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tables/table10.xml" ContentType="application/vnd.openxmlformats-officedocument.spreadsheetml.table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tables/table12.xml" ContentType="application/vnd.openxmlformats-officedocument.spreadsheetml.table+xml"/>
  <Override PartName="/xl/worksheets/sheet19.xml" ContentType="application/vnd.openxmlformats-officedocument.spreadsheetml.worksheet+xml"/>
  <Override PartName="/xl/tables/table13.xml" ContentType="application/vnd.openxmlformats-officedocument.spreadsheetml.table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OpeningStock" sheetId="8" state="visible" r:id="rId8"/>
    <sheet name="T_StockCount" sheetId="9" state="visible" r:id="rId9"/>
    <sheet name="T_SelfStock" sheetId="10" state="visible" r:id="rId10"/>
    <sheet name="T_TTAFStock" sheetId="11" state="visible" r:id="rId11"/>
    <sheet name="M_RawMaterials" sheetId="12" state="visible" r:id="rId12"/>
    <sheet name="M_BOM" sheetId="13" state="visible" r:id="rId13"/>
    <sheet name="PP_Grid" sheetId="14" state="visible" r:id="rId14"/>
    <sheet name="Cal_Weeks" sheetId="15" state="hidden" r:id="rId15"/>
    <sheet name="M_Intermediates" sheetId="16" state="hidden" r:id="rId16"/>
    <sheet name="M_ProductMap" sheetId="17" state="hidden" r:id="rId17"/>
    <sheet name="Grid_Requirement" sheetId="18" state="hidden" r:id="rId18"/>
    <sheet name="Grid_Incoming" sheetId="19" state="hidden" r:id="rId19"/>
    <sheet name="Grid_Stock" sheetId="20" state="hidden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B9C"/>
      </patternFill>
    </fill>
    <fill>
      <patternFill patternType="solid">
        <fgColor rgb="00FFE699"/>
      </patternFill>
    </fill>
    <fill>
      <patternFill patternType="solid">
        <fgColor rgb="00FFF9DB"/>
      </patternFill>
    </fill>
    <fill>
      <patternFill patternType="solid">
        <fgColor rgb="00D9EAD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6" fillId="4" borderId="0" pivotButton="0" quotePrefix="0" xfId="0"/>
    <xf numFmtId="165" fontId="0" fillId="5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1" fillId="5" borderId="1" pivotButton="0" quotePrefix="0" xfId="0"/>
    <xf numFmtId="0" fontId="0" fillId="9" borderId="1" pivotButton="0" quotePrefix="0" xfId="0"/>
    <xf numFmtId="0" fontId="0" fillId="7" borderId="1" pivotButton="0" quotePrefix="0" xfId="0"/>
    <xf numFmtId="0" fontId="0" fillId="0" borderId="1" pivotButton="0" quotePrefix="0" xfId="0"/>
    <xf numFmtId="0" fontId="1" fillId="5" borderId="0" pivotButton="0" quotePrefix="0" xfId="0"/>
    <xf numFmtId="165" fontId="6" fillId="5" borderId="0" pivotButton="0" quotePrefix="0" xfId="0"/>
    <xf numFmtId="0" fontId="6" fillId="5" borderId="0" pivotButton="0" quotePrefix="0" xfId="0"/>
    <xf numFmtId="0" fontId="1" fillId="6" borderId="0" pivotButton="0" quotePrefix="0" xfId="0"/>
    <xf numFmtId="0" fontId="6" fillId="2" borderId="0" pivotButton="0" quotePrefix="0" xfId="0"/>
    <xf numFmtId="0" fontId="1" fillId="7" borderId="0" pivotButton="0" quotePrefix="0" xfId="0"/>
    <xf numFmtId="0" fontId="1" fillId="8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28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82" authorId="0" shapeId="0">
      <text>
        <t>MOQ(最小発注量)を入力してください（手書きでOK）</t>
      </text>
    </comment>
    <comment ref="C199" authorId="0" shapeId="0">
      <text>
        <t>MOQ(最小発注量)を入力してください（手書きでOK）</t>
      </text>
    </comment>
    <comment ref="C340" authorId="0" shapeId="0">
      <text>
        <t>MOQ(最小発注量)を入力してください（手書きでOK）</t>
      </text>
    </comment>
    <comment ref="C515" authorId="0" shapeId="0">
      <text>
        <t>MOQ(最小発注量)を入力してください（手書きでOK）</t>
      </text>
    </comment>
    <comment ref="C636" authorId="0" shapeId="0">
      <text>
        <t>MOQ(最小発注量)を入力してください（手書きでOK）</t>
      </text>
    </comment>
    <comment ref="C745" authorId="0" shapeId="0">
      <text>
        <t>MOQ(最小発注量)を入力してください（手書きでOK）</t>
      </text>
    </comment>
    <comment ref="C766" authorId="0" shapeId="0">
      <text>
        <t>MOQ(最小発注量)を入力してください（手書きでOK）</t>
      </text>
    </comment>
    <comment ref="C775" authorId="0" shapeId="0">
      <text>
        <t>MOQ(最小発注量)を入力してください（手書きでOK）</t>
      </text>
    </comment>
    <comment ref="C826" authorId="0" shapeId="0">
      <text>
        <t>MOQ(最小発注量)を入力してください（手書きでOK）</t>
      </text>
    </comment>
    <comment ref="C847" authorId="0" shapeId="0">
      <text>
        <t>MOQ(最小発注量)を入力してください（手書きでOK）</t>
      </text>
    </comment>
    <comment ref="C860" authorId="0" shapeId="0">
      <text>
        <t>MOQ(最小発注量)を入力してください（手書きでOK）</t>
      </text>
    </comment>
    <comment ref="C891" authorId="0" shapeId="0">
      <text>
        <t>MOQ(最小発注量)を入力してください（手書きでOK）</t>
      </text>
    </comment>
    <comment ref="C938" authorId="0" shapeId="0">
      <text>
        <t>MOQ(最小発注量)を入力してください（手書きでOK）</t>
      </text>
    </comment>
    <comment ref="C971" authorId="0" shapeId="0">
      <text>
        <t>MOQ(最小発注量)を入力してください（手書きでOK）</t>
      </text>
    </comment>
    <comment ref="C1034" authorId="0" shapeId="0">
      <text>
        <t>MOQ(最小発注量)を入力してください（手書きでOK）</t>
      </text>
    </comment>
    <comment ref="C1061" authorId="0" shapeId="0">
      <text>
        <t>MOQ(最小発注量)を入力してください（手書きでOK）</t>
      </text>
    </comment>
    <comment ref="C1072" authorId="0" shapeId="0">
      <text>
        <t>MOQ(最小発注量)を入力してください（手書きでOK）</t>
      </text>
    </comment>
    <comment ref="C1085" authorId="0" shapeId="0">
      <text>
        <t>MOQ(最小発注量)を入力してください（手書きでOK）</t>
      </text>
    </comment>
    <comment ref="C1112" authorId="0" shapeId="0">
      <text>
        <t>MOQ(最小発注量)を入力してください（手書きでOK）</t>
      </text>
    </comment>
    <comment ref="C1125" authorId="0" shapeId="0">
      <text>
        <t>MOQ(最小発注量)を入力してください（手書きでOK）</t>
      </text>
    </comment>
    <comment ref="C1140" authorId="0" shapeId="0">
      <text>
        <t>MOQ(最小発注量)を入力してください（手書きでOK）</t>
      </text>
    </comment>
    <comment ref="C1173" authorId="0" shapeId="0">
      <text>
        <t>MOQ(最小発注量)を入力してください（手書きでOK）</t>
      </text>
    </comment>
    <comment ref="C1222" authorId="0" shapeId="0">
      <text>
        <t>MOQ(最小発注量)を入力してください（手書きでOK）</t>
      </text>
    </comment>
    <comment ref="C1283" authorId="0" shapeId="0">
      <text>
        <t>MOQ(最小発注量)を入力してください（手書きでOK）</t>
      </text>
    </comment>
    <comment ref="C1298" authorId="0" shapeId="0">
      <text>
        <t>MOQ(最小発注量)を入力してください（手書きでOK）</t>
      </text>
    </comment>
    <comment ref="C1311" authorId="0" shapeId="0">
      <text>
        <t>MOQ(最小発注量)を入力してください（手書きでOK）</t>
      </text>
    </comment>
    <comment ref="C1326" authorId="0" shapeId="0">
      <text>
        <t>MOQ(最小発注量)を入力してください（手書きでOK）</t>
      </text>
    </comment>
    <comment ref="C1371" authorId="0" shapeId="0">
      <text>
        <t>MOQ(最小発注量)を入力してください（手書きでOK）</t>
      </text>
    </comment>
    <comment ref="C1392" authorId="0" shapeId="0">
      <text>
        <t>MOQ(最小発注量)を入力してください（手書きでOK）</t>
      </text>
    </comment>
    <comment ref="C1413" authorId="0" shapeId="0">
      <text>
        <t>MOQ(最小発注量)を入力してください（手書きでOK）</t>
      </text>
    </comment>
    <comment ref="C1440" authorId="0" shapeId="0">
      <text>
        <t>MOQ(最小発注量)を入力してください（手書きでOK）</t>
      </text>
    </comment>
    <comment ref="C1451" authorId="0" shapeId="0">
      <text>
        <t>MOQ(最小発注量)を入力してください（手書きでOK）</t>
      </text>
    </comment>
    <comment ref="C1486" authorId="0" shapeId="0">
      <text>
        <t>MOQ(最小発注量)を入力してください（手書きでOK）</t>
      </text>
    </comment>
    <comment ref="C1501" authorId="0" shapeId="0">
      <text>
        <t>MOQ(最小発注量)を入力してください（手書きでOK）</t>
      </text>
    </comment>
    <comment ref="C1536" authorId="0" shapeId="0">
      <text>
        <t>MOQ(最小発注量)を入力してください（手書きでOK）</t>
      </text>
    </comment>
    <comment ref="C1553" authorId="0" shapeId="0">
      <text>
        <t>MOQ(最小発注量)を入力してください（手書きでOK）</t>
      </text>
    </comment>
    <comment ref="C1566" authorId="0" shapeId="0">
      <text>
        <t>MOQ(最小発注量)を入力してください（手書きでOK）</t>
      </text>
    </comment>
    <comment ref="C1575" authorId="0" shapeId="0">
      <text>
        <t>MOQ(最小発注量)を入力してください（手書きでOK）</t>
      </text>
    </comment>
    <comment ref="C1586" authorId="0" shapeId="0">
      <text>
        <t>MOQ(最小発注量)を入力してください（手書きでOK）</t>
      </text>
    </comment>
    <comment ref="C1615" authorId="0" shapeId="0">
      <text>
        <t>MOQ(最小発注量)を入力してください（手書きでOK）</t>
      </text>
    </comment>
    <comment ref="C1628" authorId="0" shapeId="0">
      <text>
        <t>MOQ(最小発注量)を入力してください（手書きでOK）</t>
      </text>
    </comment>
    <comment ref="C1645" authorId="0" shapeId="0">
      <text>
        <t>MOQ(最小発注量)を入力してください（手書きでOK）</t>
      </text>
    </comment>
    <comment ref="C1656" authorId="0" shapeId="0">
      <text>
        <t>MOQ(最小発注量)を入力してください（手書きでOK）</t>
      </text>
    </comment>
    <comment ref="C1669" authorId="0" shapeId="0">
      <text>
        <t>MOQ(最小発注量)を入力してください（手書きでOK）</t>
      </text>
    </comment>
    <comment ref="C1678" authorId="0" shapeId="0">
      <text>
        <t>MOQ(最小発注量)を入力してください（手書きでOK）</t>
      </text>
    </comment>
    <comment ref="C1687" authorId="0" shapeId="0">
      <text>
        <t>MOQ(最小発注量)を入力してください（手書きでOK）</t>
      </text>
    </comment>
    <comment ref="C1696" authorId="0" shapeId="0">
      <text>
        <t>MOQ(最小発注量)を入力してください（手書きでOK）</t>
      </text>
    </comment>
    <comment ref="C1705" authorId="0" shapeId="0">
      <text>
        <t>MOQ(最小発注量)を入力してください（手書きでOK）</t>
      </text>
    </comment>
    <comment ref="C1714" authorId="0" shapeId="0">
      <text>
        <t>MOQ(最小発注量)を入力してください（手書きでOK）</t>
      </text>
    </comment>
    <comment ref="C1723" authorId="0" shapeId="0">
      <text>
        <t>MOQ(最小発注量)を入力してください（手書きでOK）</t>
      </text>
    </comment>
    <comment ref="C1732" authorId="0" shapeId="0">
      <text>
        <t>MOQ(最小発注量)を入力してください（手書きでOK）</t>
      </text>
    </comment>
    <comment ref="C1741" authorId="0" shapeId="0">
      <text>
        <t>MOQ(最小発注量)を入力してください（手書きでOK）</t>
      </text>
    </comment>
    <comment ref="C1754" authorId="0" shapeId="0">
      <text>
        <t>MOQ(最小発注量)を入力してください（手書きでOK）</t>
      </text>
    </comment>
    <comment ref="C1771" authorId="0" shapeId="0">
      <text>
        <t>MOQ(最小発注量)を入力してください（手書きでOK）</t>
      </text>
    </comment>
    <comment ref="C1814" authorId="0" shapeId="0">
      <text>
        <t>MOQ(最小発注量)を入力してください（手書きでOK）</t>
      </text>
    </comment>
    <comment ref="C182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H251" headerRowCount="1">
  <autoFilter ref="A1:H251"/>
  <tableColumns count="8">
    <tableColumn id="1" name="RM_Cod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OpeningStock" displayName="T_OpeningStock" ref="A1:C102" headerRowCount="1">
  <autoFilter ref="A1:C102"/>
  <tableColumns count="3">
    <tableColumn id="1" name="RM_Code"/>
    <tableColumn id="2" name="Opening_Qty_要入力"/>
    <tableColumn id="3" name="AsOf"/>
  </tableColumns>
  <tableStyleInfo name="TableStyleMedium9" showRowStripes="1"/>
</table>
</file>

<file path=xl/tables/table3.xml><?xml version="1.0" encoding="utf-8"?>
<table xmlns="http://schemas.openxmlformats.org/spreadsheetml/2006/main" id="3" name="T_StockCount" displayName="T_StockCount" ref="A1:E2" headerRowCount="1">
  <autoFilter ref="A1:E2"/>
  <tableColumns count="5">
    <tableColumn id="1" name="RM_Cod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4.xml><?xml version="1.0" encoding="utf-8"?>
<table xmlns="http://schemas.openxmlformats.org/spreadsheetml/2006/main" id="4" name="T_SelfStock" displayName="T_SelfStock" ref="A1:D123" headerRowCount="1">
  <autoFilter ref="A1:D123"/>
  <tableColumns count="4">
    <tableColumn id="1" name="RM_Code"/>
    <tableColumn id="2" name="Date"/>
    <tableColumn id="3" name="WeekIndex"/>
    <tableColumn id="4" name="Self_Qty"/>
  </tableColumns>
  <tableStyleInfo name="TableStyleMedium9" showRowStripes="1"/>
</table>
</file>

<file path=xl/tables/table5.xml><?xml version="1.0" encoding="utf-8"?>
<table xmlns="http://schemas.openxmlformats.org/spreadsheetml/2006/main" id="5" name="T_TTAFStock" displayName="T_TTAFStock" ref="A1:D46" headerRowCount="1">
  <autoFilter ref="A1:D46"/>
  <tableColumns count="4">
    <tableColumn id="1" name="RM_Code"/>
    <tableColumn id="2" name="Date"/>
    <tableColumn id="3" name="WeekIndex"/>
    <tableColumn id="4" name="TTAF_Qty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H102" headerRowCount="1">
  <autoFilter ref="A1:H102"/>
  <tableColumns count="8">
    <tableColumn id="1" name="RM_Cod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712" headerRowCount="1">
  <autoFilter ref="A1:D712"/>
  <tableColumns count="4">
    <tableColumn id="1" name="Intermediate"/>
    <tableColumn id="2" name="RM_Cod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55" headerRowCount="1">
  <autoFilter ref="A1:DA155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55" headerRowCount="1">
  <autoFilter ref="A1:D155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201" headerRowCount="1">
  <autoFilter ref="A1:B201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OpeningStock'!A1" TargetMode="External" Id="rId7" /><Relationship Type="http://schemas.openxmlformats.org/officeDocument/2006/relationships/hyperlink" Target="#'T_StockCount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</t>
        </is>
      </c>
    </row>
    <row r="9">
      <c r="A9" s="3" t="inlineStr">
        <is>
          <t>▶ T_OpeningStock - 期首在庫の入力</t>
        </is>
      </c>
    </row>
    <row r="10">
      <c r="A10" s="3" t="inlineStr">
        <is>
          <t>▶ T_StockCount - 棚卸実績の入力</t>
        </is>
      </c>
    </row>
    <row r="12">
      <c r="A12" t="inlineStr"/>
    </row>
    <row r="13">
      <c r="A13" t="inlineStr">
        <is>
          <t>このブックはPower BI等に読み込ませる中間テーブルではなく、これ自体が完成品です。</t>
        </is>
      </c>
    </row>
    <row r="14">
      <c r="A14" t="inlineStr">
        <is>
          <t>Dashboard と PO_Draft_* が最終的な閲覧・発注画面、それ以外は計算の土台です。</t>
        </is>
      </c>
    </row>
    <row r="15">
      <c r="A15" t="inlineStr"/>
    </row>
    <row r="16">
      <c r="A16" t="inlineStr">
        <is>
          <t>【週番号のルール】すべてExcelの数式で計算（Cal_WeeksのB1=AnchorYearを変えると全体が再計算）</t>
        </is>
      </c>
    </row>
    <row r="17">
      <c r="A17" t="inlineStr">
        <is>
          <t xml:space="preserve">  Week1=1月1日を含む月〜日の週。年が変わると再び1にリセットされます（2026-W52の次は2027-W01）。</t>
        </is>
      </c>
    </row>
    <row r="18">
      <c r="A18" t="inlineStr">
        <is>
          <t xml:space="preserve">  各シートの週見出しは3段: 1段目=月-年(Aug-26等) / 2段目=その週月曜の日付 / 3段目=週No。</t>
        </is>
      </c>
    </row>
    <row r="19">
      <c r="A19" t="inlineStr"/>
    </row>
    <row r="20">
      <c r="A20" t="inlineStr">
        <is>
          <t>【普段見るシート】</t>
        </is>
      </c>
    </row>
    <row r="21">
      <c r="A21" t="inlineStr">
        <is>
          <t xml:space="preserve">  Dashboard           : 原材料×週の在庫を2年分、横軸で見渡せるメイン画面（まずここ）。</t>
        </is>
      </c>
    </row>
    <row r="22">
      <c r="A22" t="inlineStr">
        <is>
          <t xml:space="preserve">                        自社在庫(実績)・TTAF在庫(実績)・実績週の列で内訳も確認できます。</t>
        </is>
      </c>
    </row>
    <row r="23">
      <c r="A23" t="inlineStr">
        <is>
          <t xml:space="preserve">                        基準在庫(下限/上限)を入力すると、各週のセルが赤(下限未満)/</t>
        </is>
      </c>
    </row>
    <row r="24">
      <c r="A24" t="inlineStr">
        <is>
          <t xml:space="preserve">                        緑(範囲内)/青(上限超)に自動で色分けされます。</t>
        </is>
      </c>
    </row>
    <row r="25">
      <c r="A25" t="inlineStr">
        <is>
          <t xml:space="preserve">                        C1に'W23'のように入力すると（現在年の週Noとして検索）、</t>
        </is>
      </c>
    </row>
    <row r="26">
      <c r="A26" t="inlineStr">
        <is>
          <t xml:space="preserve">                        実績週のすぐ隣のI列にその週の在庫が常時表示され、</t>
        </is>
      </c>
    </row>
    <row r="27">
      <c r="A27" t="inlineStr">
        <is>
          <t xml:space="preserve">                        該当する週の列が太枠でハイライトされます（マクロ不要・スクロール不要）。</t>
        </is>
      </c>
    </row>
    <row r="28">
      <c r="A28" t="inlineStr">
        <is>
          <t xml:space="preserve">  Material_Detail     : 材料ごとに「どの中間体が・何バッチ・いくら使うか」をブロック表示（トレーサビリティ）。</t>
        </is>
      </c>
    </row>
    <row r="29">
      <c r="A29" t="inlineStr">
        <is>
          <t xml:space="preserve">                        Dashboardと同様にC1に'W23'のように入力すると、D列に選択週の数値が常時表示されます。</t>
        </is>
      </c>
    </row>
    <row r="30">
      <c r="A30" t="inlineStr">
        <is>
          <t xml:space="preserve">                        材料名の右のC列にMOQ(最小発注量)を手入力できます。</t>
        </is>
      </c>
    </row>
    <row r="31">
      <c r="A31" t="inlineStr">
        <is>
          <t xml:space="preserve">                        合計使用量の下にTTAF在庫実績・自社在庫実績・合計在庫(週末時点)の週次推移も表示されます。</t>
        </is>
      </c>
    </row>
    <row r="32">
      <c r="A32" t="inlineStr">
        <is>
          <t xml:space="preserve">                        HideInactiveIntermediatesマクロ(要ボタン設定)で、指定期間ずっと生産予定の無い</t>
        </is>
      </c>
    </row>
    <row r="33">
      <c r="A33" t="inlineStr">
        <is>
          <t xml:space="preserve">                        中間体の行を折りたためます（在庫関連の行は常に表示されたままです）。</t>
        </is>
      </c>
    </row>
    <row r="34">
      <c r="A34" t="inlineStr">
        <is>
          <t xml:space="preserve">  PO_Draft_*          : 要発注分を注文書ひな形に自動転記</t>
        </is>
      </c>
    </row>
    <row r="35">
      <c r="A35" t="inlineStr">
        <is>
          <t xml:space="preserve">  T_Shipments/T_OpeningStock/T_StockCount/T_SelfStock/T_TTAFStock : 入力用</t>
        </is>
      </c>
    </row>
    <row r="36">
      <c r="A36" t="inlineStr"/>
    </row>
    <row r="37">
      <c r="A37" t="inlineStr">
        <is>
          <t xml:space="preserve">  M_RawMaterials・M_BOM・PP_Grid・Grid_Stock・その他非表示シートは内部計算用です。通常は開く必要はありません。</t>
        </is>
      </c>
    </row>
    <row r="38">
      <c r="A38" t="inlineStr"/>
    </row>
    <row r="39">
      <c r="A39" t="inlineStr">
        <is>
          <t>【重要】原単位・バッチ数・自社/TTAF在庫はPythonを使わず、Excel(VBA)マクロだけで更新できます。</t>
        </is>
      </c>
    </row>
    <row r="40">
      <c r="A40" t="inlineStr">
        <is>
          <t xml:space="preserve">  macros/RefreshData.bas を導入し、RefreshWeeklyBatches / RefreshBOM / RefreshSelfStock /</t>
        </is>
      </c>
    </row>
    <row r="41">
      <c r="A41" t="inlineStr">
        <is>
          <t xml:space="preserve">  RefreshTTAFStock を実行してください（対象ファイルを選ぶだけです。詳細はdocs/SOH_System_Guide.md、</t>
        </is>
      </c>
    </row>
    <row r="42">
      <c r="A42" t="inlineStr">
        <is>
          <t xml:space="preserve">  未検証のため要動作確認）。T_Shipments・T_OpeningStock・T_StockCount等には一切触れません。</t>
        </is>
      </c>
    </row>
    <row r="43">
      <c r="A43" t="inlineStr">
        <is>
          <t xml:space="preserve">  Material_Detailの中間体の行を隠す/戻すHideInactiveIntermediates / ShowAllIntermediatesは、</t>
        </is>
      </c>
    </row>
    <row r="44">
      <c r="A44" t="inlineStr">
        <is>
          <t xml:space="preserve">  ボタンへの割り当てが必要な一度だけの手動設定です（詳細はdocs/SOH_System_Guide.md）。</t>
        </is>
      </c>
    </row>
    <row r="45">
      <c r="A45" t="inlineStr"/>
    </row>
    <row r="46">
      <c r="A46" t="inlineStr">
        <is>
          <t>【毎月の運用】</t>
        </is>
      </c>
    </row>
    <row r="47">
      <c r="A47" t="inlineStr">
        <is>
          <t xml:space="preserve">  1. 「Powder &amp; Slurry &amp; Pgm Plan」の新しい月版でRefreshWeeklyBatchesを実行</t>
        </is>
      </c>
    </row>
    <row r="48">
      <c r="A48" t="inlineStr">
        <is>
          <t xml:space="preserve">  2. 「Usage from Production Engineering」が更新されていればRefreshBOMを実行</t>
        </is>
      </c>
    </row>
    <row r="49">
      <c r="A49" t="inlineStr">
        <is>
          <t xml:space="preserve">  3. 自社倉庫の現物確認を実施したらRefreshSelfStockを実行</t>
        </is>
      </c>
    </row>
    <row r="50">
      <c r="A50" t="inlineStr">
        <is>
          <t xml:space="preserve">  4. CSA Reportが届いたらRefreshTTAFStockを実行し、T_Shipments のETA/着荷日/PO番号/発注日も更新</t>
        </is>
      </c>
    </row>
    <row r="51">
      <c r="A51" t="inlineStr">
        <is>
          <t xml:space="preserve">  5. 棚卸を実施したらT_StockCountに実測値を追記（Date列に実施日を入力。WeekIndex列は自動計算）</t>
        </is>
      </c>
    </row>
    <row r="52">
      <c r="A52" t="inlineStr">
        <is>
          <t xml:space="preserve">  6. Dashboardで赤色(基準在庫の下限未満)の週を確認し、PO_Draft_*から注文書を出力</t>
        </is>
      </c>
    </row>
    <row r="53">
      <c r="A53" t="inlineStr">
        <is>
          <t xml:space="preserve">  7. 月初は、前月最終週と当月頭のDashboardを見比べて在庫差異を確認（Plan Increase and Decrease /</t>
        </is>
      </c>
    </row>
    <row r="54">
      <c r="A54" t="inlineStr">
        <is>
          <t xml:space="preserve">     Inventory Releasesの報告フォーマットに転記）</t>
        </is>
      </c>
    </row>
    <row r="55">
      <c r="A55" t="inlineStr"/>
    </row>
    <row r="56">
      <c r="A56" t="inlineStr">
        <is>
          <t>【前提・要確認事項】詳細はdocs/SOH_System_Guide.mdを参照</t>
        </is>
      </c>
    </row>
    <row r="57">
      <c r="A57" t="inlineStr">
        <is>
          <t xml:space="preserve">  - M_RawMaterials の基準在庫(下限/上限)とLeadTime_Weeksは仮値(0)です。実際の水準に置き換えてください</t>
        </is>
      </c>
    </row>
    <row r="58">
      <c r="A58" t="inlineStr">
        <is>
          <t xml:space="preserve">    （Dashboardの週次セルの赤/緑/青の色分けに使われます）。</t>
        </is>
      </c>
    </row>
    <row r="59">
      <c r="A59" t="inlineStr">
        <is>
          <t xml:space="preserve">  - Categoryの割り当て(Chemical/Hazardous Chemical/Substrate)は入手データから機械的に推定した部分があります。要レビュー。</t>
        </is>
      </c>
    </row>
    <row r="60">
      <c r="A60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07"/>
  <sheetViews>
    <sheetView workbookViewId="0">
      <pane xSplit="9" ySplit="6" topLeftCell="J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をI列に表示中"))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9">
        <f>IFERROR(INDEX(Cal_Weeks!$G$4:$G$107,$F$1),"")</f>
        <v/>
      </c>
      <c r="J3" s="8">
        <f>'Cal_Weeks'!G4</f>
        <v/>
      </c>
      <c r="K3" s="8">
        <f>IF(TEXT('Cal_Weeks'!B5,"mmm-yy")&lt;&gt;TEXT('Cal_Weeks'!B4,"mmm-yy"),'Cal_Weeks'!G5,"")</f>
        <v/>
      </c>
      <c r="L3" s="8">
        <f>IF(TEXT('Cal_Weeks'!B6,"mmm-yy")&lt;&gt;TEXT('Cal_Weeks'!B5,"mmm-yy"),'Cal_Weeks'!G6,"")</f>
        <v/>
      </c>
      <c r="M3" s="8">
        <f>IF(TEXT('Cal_Weeks'!B7,"mmm-yy")&lt;&gt;TEXT('Cal_Weeks'!B6,"mmm-yy"),'Cal_Weeks'!G7,"")</f>
        <v/>
      </c>
      <c r="N3" s="8">
        <f>IF(TEXT('Cal_Weeks'!B8,"mmm-yy")&lt;&gt;TEXT('Cal_Weeks'!B7,"mmm-yy"),'Cal_Weeks'!G8,"")</f>
        <v/>
      </c>
      <c r="O3" s="8">
        <f>IF(TEXT('Cal_Weeks'!B9,"mmm-yy")&lt;&gt;TEXT('Cal_Weeks'!B8,"mmm-yy"),'Cal_Weeks'!G9,"")</f>
        <v/>
      </c>
      <c r="P3" s="8">
        <f>IF(TEXT('Cal_Weeks'!B10,"mmm-yy")&lt;&gt;TEXT('Cal_Weeks'!B9,"mmm-yy"),'Cal_Weeks'!G10,"")</f>
        <v/>
      </c>
      <c r="Q3" s="8">
        <f>IF(TEXT('Cal_Weeks'!B11,"mmm-yy")&lt;&gt;TEXT('Cal_Weeks'!B10,"mmm-yy"),'Cal_Weeks'!G11,"")</f>
        <v/>
      </c>
      <c r="R3" s="8">
        <f>IF(TEXT('Cal_Weeks'!B12,"mmm-yy")&lt;&gt;TEXT('Cal_Weeks'!B11,"mmm-yy"),'Cal_Weeks'!G12,"")</f>
        <v/>
      </c>
      <c r="S3" s="8">
        <f>IF(TEXT('Cal_Weeks'!B13,"mmm-yy")&lt;&gt;TEXT('Cal_Weeks'!B12,"mmm-yy"),'Cal_Weeks'!G13,"")</f>
        <v/>
      </c>
      <c r="T3" s="8">
        <f>IF(TEXT('Cal_Weeks'!B14,"mmm-yy")&lt;&gt;TEXT('Cal_Weeks'!B13,"mmm-yy"),'Cal_Weeks'!G14,"")</f>
        <v/>
      </c>
      <c r="U3" s="8">
        <f>IF(TEXT('Cal_Weeks'!B15,"mmm-yy")&lt;&gt;TEXT('Cal_Weeks'!B14,"mmm-yy"),'Cal_Weeks'!G15,"")</f>
        <v/>
      </c>
      <c r="V3" s="8">
        <f>IF(TEXT('Cal_Weeks'!B16,"mmm-yy")&lt;&gt;TEXT('Cal_Weeks'!B15,"mmm-yy"),'Cal_Weeks'!G16,"")</f>
        <v/>
      </c>
      <c r="W3" s="8">
        <f>IF(TEXT('Cal_Weeks'!B17,"mmm-yy")&lt;&gt;TEXT('Cal_Weeks'!B16,"mmm-yy"),'Cal_Weeks'!G17,"")</f>
        <v/>
      </c>
      <c r="X3" s="8">
        <f>IF(TEXT('Cal_Weeks'!B18,"mmm-yy")&lt;&gt;TEXT('Cal_Weeks'!B17,"mmm-yy"),'Cal_Weeks'!G18,"")</f>
        <v/>
      </c>
      <c r="Y3" s="8">
        <f>IF(TEXT('Cal_Weeks'!B19,"mmm-yy")&lt;&gt;TEXT('Cal_Weeks'!B18,"mmm-yy"),'Cal_Weeks'!G19,"")</f>
        <v/>
      </c>
      <c r="Z3" s="8">
        <f>IF(TEXT('Cal_Weeks'!B20,"mmm-yy")&lt;&gt;TEXT('Cal_Weeks'!B19,"mmm-yy"),'Cal_Weeks'!G20,"")</f>
        <v/>
      </c>
      <c r="AA3" s="8">
        <f>IF(TEXT('Cal_Weeks'!B21,"mmm-yy")&lt;&gt;TEXT('Cal_Weeks'!B20,"mmm-yy"),'Cal_Weeks'!G21,"")</f>
        <v/>
      </c>
      <c r="AB3" s="8">
        <f>IF(TEXT('Cal_Weeks'!B22,"mmm-yy")&lt;&gt;TEXT('Cal_Weeks'!B21,"mmm-yy"),'Cal_Weeks'!G22,"")</f>
        <v/>
      </c>
      <c r="AC3" s="8">
        <f>IF(TEXT('Cal_Weeks'!B23,"mmm-yy")&lt;&gt;TEXT('Cal_Weeks'!B22,"mmm-yy"),'Cal_Weeks'!G23,"")</f>
        <v/>
      </c>
      <c r="AD3" s="8">
        <f>IF(TEXT('Cal_Weeks'!B24,"mmm-yy")&lt;&gt;TEXT('Cal_Weeks'!B23,"mmm-yy"),'Cal_Weeks'!G24,"")</f>
        <v/>
      </c>
      <c r="AE3" s="8">
        <f>IF(TEXT('Cal_Weeks'!B25,"mmm-yy")&lt;&gt;TEXT('Cal_Weeks'!B24,"mmm-yy"),'Cal_Weeks'!G25,"")</f>
        <v/>
      </c>
      <c r="AF3" s="8">
        <f>IF(TEXT('Cal_Weeks'!B26,"mmm-yy")&lt;&gt;TEXT('Cal_Weeks'!B25,"mmm-yy"),'Cal_Weeks'!G26,"")</f>
        <v/>
      </c>
      <c r="AG3" s="8">
        <f>IF(TEXT('Cal_Weeks'!B27,"mmm-yy")&lt;&gt;TEXT('Cal_Weeks'!B26,"mmm-yy"),'Cal_Weeks'!G27,"")</f>
        <v/>
      </c>
      <c r="AH3" s="8">
        <f>IF(TEXT('Cal_Weeks'!B28,"mmm-yy")&lt;&gt;TEXT('Cal_Weeks'!B27,"mmm-yy"),'Cal_Weeks'!G28,"")</f>
        <v/>
      </c>
      <c r="AI3" s="8">
        <f>IF(TEXT('Cal_Weeks'!B29,"mmm-yy")&lt;&gt;TEXT('Cal_Weeks'!B28,"mmm-yy"),'Cal_Weeks'!G29,"")</f>
        <v/>
      </c>
      <c r="AJ3" s="8">
        <f>IF(TEXT('Cal_Weeks'!B30,"mmm-yy")&lt;&gt;TEXT('Cal_Weeks'!B29,"mmm-yy"),'Cal_Weeks'!G30,"")</f>
        <v/>
      </c>
      <c r="AK3" s="8">
        <f>IF(TEXT('Cal_Weeks'!B31,"mmm-yy")&lt;&gt;TEXT('Cal_Weeks'!B30,"mmm-yy"),'Cal_Weeks'!G31,"")</f>
        <v/>
      </c>
      <c r="AL3" s="8">
        <f>IF(TEXT('Cal_Weeks'!B32,"mmm-yy")&lt;&gt;TEXT('Cal_Weeks'!B31,"mmm-yy"),'Cal_Weeks'!G32,"")</f>
        <v/>
      </c>
      <c r="AM3" s="8">
        <f>IF(TEXT('Cal_Weeks'!B33,"mmm-yy")&lt;&gt;TEXT('Cal_Weeks'!B32,"mmm-yy"),'Cal_Weeks'!G33,"")</f>
        <v/>
      </c>
      <c r="AN3" s="8">
        <f>IF(TEXT('Cal_Weeks'!B34,"mmm-yy")&lt;&gt;TEXT('Cal_Weeks'!B33,"mmm-yy"),'Cal_Weeks'!G34,"")</f>
        <v/>
      </c>
      <c r="AO3" s="8">
        <f>IF(TEXT('Cal_Weeks'!B35,"mmm-yy")&lt;&gt;TEXT('Cal_Weeks'!B34,"mmm-yy"),'Cal_Weeks'!G35,"")</f>
        <v/>
      </c>
      <c r="AP3" s="8">
        <f>IF(TEXT('Cal_Weeks'!B36,"mmm-yy")&lt;&gt;TEXT('Cal_Weeks'!B35,"mmm-yy"),'Cal_Weeks'!G36,"")</f>
        <v/>
      </c>
      <c r="AQ3" s="8">
        <f>IF(TEXT('Cal_Weeks'!B37,"mmm-yy")&lt;&gt;TEXT('Cal_Weeks'!B36,"mmm-yy"),'Cal_Weeks'!G37,"")</f>
        <v/>
      </c>
      <c r="AR3" s="8">
        <f>IF(TEXT('Cal_Weeks'!B38,"mmm-yy")&lt;&gt;TEXT('Cal_Weeks'!B37,"mmm-yy"),'Cal_Weeks'!G38,"")</f>
        <v/>
      </c>
      <c r="AS3" s="8">
        <f>IF(TEXT('Cal_Weeks'!B39,"mmm-yy")&lt;&gt;TEXT('Cal_Weeks'!B38,"mmm-yy"),'Cal_Weeks'!G39,"")</f>
        <v/>
      </c>
      <c r="AT3" s="8">
        <f>IF(TEXT('Cal_Weeks'!B40,"mmm-yy")&lt;&gt;TEXT('Cal_Weeks'!B39,"mmm-yy"),'Cal_Weeks'!G40,"")</f>
        <v/>
      </c>
      <c r="AU3" s="8">
        <f>IF(TEXT('Cal_Weeks'!B41,"mmm-yy")&lt;&gt;TEXT('Cal_Weeks'!B40,"mmm-yy"),'Cal_Weeks'!G41,"")</f>
        <v/>
      </c>
      <c r="AV3" s="8">
        <f>IF(TEXT('Cal_Weeks'!B42,"mmm-yy")&lt;&gt;TEXT('Cal_Weeks'!B41,"mmm-yy"),'Cal_Weeks'!G42,"")</f>
        <v/>
      </c>
      <c r="AW3" s="8">
        <f>IF(TEXT('Cal_Weeks'!B43,"mmm-yy")&lt;&gt;TEXT('Cal_Weeks'!B42,"mmm-yy"),'Cal_Weeks'!G43,"")</f>
        <v/>
      </c>
      <c r="AX3" s="8">
        <f>IF(TEXT('Cal_Weeks'!B44,"mmm-yy")&lt;&gt;TEXT('Cal_Weeks'!B43,"mmm-yy"),'Cal_Weeks'!G44,"")</f>
        <v/>
      </c>
      <c r="AY3" s="8">
        <f>IF(TEXT('Cal_Weeks'!B45,"mmm-yy")&lt;&gt;TEXT('Cal_Weeks'!B44,"mmm-yy"),'Cal_Weeks'!G45,"")</f>
        <v/>
      </c>
      <c r="AZ3" s="8">
        <f>IF(TEXT('Cal_Weeks'!B46,"mmm-yy")&lt;&gt;TEXT('Cal_Weeks'!B45,"mmm-yy"),'Cal_Weeks'!G46,"")</f>
        <v/>
      </c>
      <c r="BA3" s="8">
        <f>IF(TEXT('Cal_Weeks'!B47,"mmm-yy")&lt;&gt;TEXT('Cal_Weeks'!B46,"mmm-yy"),'Cal_Weeks'!G47,"")</f>
        <v/>
      </c>
      <c r="BB3" s="8">
        <f>IF(TEXT('Cal_Weeks'!B48,"mmm-yy")&lt;&gt;TEXT('Cal_Weeks'!B47,"mmm-yy"),'Cal_Weeks'!G48,"")</f>
        <v/>
      </c>
      <c r="BC3" s="8">
        <f>IF(TEXT('Cal_Weeks'!B49,"mmm-yy")&lt;&gt;TEXT('Cal_Weeks'!B48,"mmm-yy"),'Cal_Weeks'!G49,"")</f>
        <v/>
      </c>
      <c r="BD3" s="8">
        <f>IF(TEXT('Cal_Weeks'!B50,"mmm-yy")&lt;&gt;TEXT('Cal_Weeks'!B49,"mmm-yy"),'Cal_Weeks'!G50,"")</f>
        <v/>
      </c>
      <c r="BE3" s="8">
        <f>IF(TEXT('Cal_Weeks'!B51,"mmm-yy")&lt;&gt;TEXT('Cal_Weeks'!B50,"mmm-yy"),'Cal_Weeks'!G51,"")</f>
        <v/>
      </c>
      <c r="BF3" s="8">
        <f>IF(TEXT('Cal_Weeks'!B52,"mmm-yy")&lt;&gt;TEXT('Cal_Weeks'!B51,"mmm-yy"),'Cal_Weeks'!G52,"")</f>
        <v/>
      </c>
      <c r="BG3" s="8">
        <f>IF(TEXT('Cal_Weeks'!B53,"mmm-yy")&lt;&gt;TEXT('Cal_Weeks'!B52,"mmm-yy"),'Cal_Weeks'!G53,"")</f>
        <v/>
      </c>
      <c r="BH3" s="8">
        <f>IF(TEXT('Cal_Weeks'!B54,"mmm-yy")&lt;&gt;TEXT('Cal_Weeks'!B53,"mmm-yy"),'Cal_Weeks'!G54,"")</f>
        <v/>
      </c>
      <c r="BI3" s="8">
        <f>IF(TEXT('Cal_Weeks'!B55,"mmm-yy")&lt;&gt;TEXT('Cal_Weeks'!B54,"mmm-yy"),'Cal_Weeks'!G55,"")</f>
        <v/>
      </c>
      <c r="BJ3" s="8">
        <f>IF(TEXT('Cal_Weeks'!B56,"mmm-yy")&lt;&gt;TEXT('Cal_Weeks'!B55,"mmm-yy"),'Cal_Weeks'!G56,"")</f>
        <v/>
      </c>
      <c r="BK3" s="8">
        <f>IF(TEXT('Cal_Weeks'!B57,"mmm-yy")&lt;&gt;TEXT('Cal_Weeks'!B56,"mmm-yy"),'Cal_Weeks'!G57,"")</f>
        <v/>
      </c>
      <c r="BL3" s="8">
        <f>IF(TEXT('Cal_Weeks'!B58,"mmm-yy")&lt;&gt;TEXT('Cal_Weeks'!B57,"mmm-yy"),'Cal_Weeks'!G58,"")</f>
        <v/>
      </c>
      <c r="BM3" s="8">
        <f>IF(TEXT('Cal_Weeks'!B59,"mmm-yy")&lt;&gt;TEXT('Cal_Weeks'!B58,"mmm-yy"),'Cal_Weeks'!G59,"")</f>
        <v/>
      </c>
      <c r="BN3" s="8">
        <f>IF(TEXT('Cal_Weeks'!B60,"mmm-yy")&lt;&gt;TEXT('Cal_Weeks'!B59,"mmm-yy"),'Cal_Weeks'!G60,"")</f>
        <v/>
      </c>
      <c r="BO3" s="8">
        <f>IF(TEXT('Cal_Weeks'!B61,"mmm-yy")&lt;&gt;TEXT('Cal_Weeks'!B60,"mmm-yy"),'Cal_Weeks'!G61,"")</f>
        <v/>
      </c>
      <c r="BP3" s="8">
        <f>IF(TEXT('Cal_Weeks'!B62,"mmm-yy")&lt;&gt;TEXT('Cal_Weeks'!B61,"mmm-yy"),'Cal_Weeks'!G62,"")</f>
        <v/>
      </c>
      <c r="BQ3" s="8">
        <f>IF(TEXT('Cal_Weeks'!B63,"mmm-yy")&lt;&gt;TEXT('Cal_Weeks'!B62,"mmm-yy"),'Cal_Weeks'!G63,"")</f>
        <v/>
      </c>
      <c r="BR3" s="8">
        <f>IF(TEXT('Cal_Weeks'!B64,"mmm-yy")&lt;&gt;TEXT('Cal_Weeks'!B63,"mmm-yy"),'Cal_Weeks'!G64,"")</f>
        <v/>
      </c>
      <c r="BS3" s="8">
        <f>IF(TEXT('Cal_Weeks'!B65,"mmm-yy")&lt;&gt;TEXT('Cal_Weeks'!B64,"mmm-yy"),'Cal_Weeks'!G65,"")</f>
        <v/>
      </c>
      <c r="BT3" s="8">
        <f>IF(TEXT('Cal_Weeks'!B66,"mmm-yy")&lt;&gt;TEXT('Cal_Weeks'!B65,"mmm-yy"),'Cal_Weeks'!G66,"")</f>
        <v/>
      </c>
      <c r="BU3" s="8">
        <f>IF(TEXT('Cal_Weeks'!B67,"mmm-yy")&lt;&gt;TEXT('Cal_Weeks'!B66,"mmm-yy"),'Cal_Weeks'!G67,"")</f>
        <v/>
      </c>
      <c r="BV3" s="8">
        <f>IF(TEXT('Cal_Weeks'!B68,"mmm-yy")&lt;&gt;TEXT('Cal_Weeks'!B67,"mmm-yy"),'Cal_Weeks'!G68,"")</f>
        <v/>
      </c>
      <c r="BW3" s="8">
        <f>IF(TEXT('Cal_Weeks'!B69,"mmm-yy")&lt;&gt;TEXT('Cal_Weeks'!B68,"mmm-yy"),'Cal_Weeks'!G69,"")</f>
        <v/>
      </c>
      <c r="BX3" s="8">
        <f>IF(TEXT('Cal_Weeks'!B70,"mmm-yy")&lt;&gt;TEXT('Cal_Weeks'!B69,"mmm-yy"),'Cal_Weeks'!G70,"")</f>
        <v/>
      </c>
      <c r="BY3" s="8">
        <f>IF(TEXT('Cal_Weeks'!B71,"mmm-yy")&lt;&gt;TEXT('Cal_Weeks'!B70,"mmm-yy"),'Cal_Weeks'!G71,"")</f>
        <v/>
      </c>
      <c r="BZ3" s="8">
        <f>IF(TEXT('Cal_Weeks'!B72,"mmm-yy")&lt;&gt;TEXT('Cal_Weeks'!B71,"mmm-yy"),'Cal_Weeks'!G72,"")</f>
        <v/>
      </c>
      <c r="CA3" s="8">
        <f>IF(TEXT('Cal_Weeks'!B73,"mmm-yy")&lt;&gt;TEXT('Cal_Weeks'!B72,"mmm-yy"),'Cal_Weeks'!G73,"")</f>
        <v/>
      </c>
      <c r="CB3" s="8">
        <f>IF(TEXT('Cal_Weeks'!B74,"mmm-yy")&lt;&gt;TEXT('Cal_Weeks'!B73,"mmm-yy"),'Cal_Weeks'!G74,"")</f>
        <v/>
      </c>
      <c r="CC3" s="8">
        <f>IF(TEXT('Cal_Weeks'!B75,"mmm-yy")&lt;&gt;TEXT('Cal_Weeks'!B74,"mmm-yy"),'Cal_Weeks'!G75,"")</f>
        <v/>
      </c>
      <c r="CD3" s="8">
        <f>IF(TEXT('Cal_Weeks'!B76,"mmm-yy")&lt;&gt;TEXT('Cal_Weeks'!B75,"mmm-yy"),'Cal_Weeks'!G76,"")</f>
        <v/>
      </c>
      <c r="CE3" s="8">
        <f>IF(TEXT('Cal_Weeks'!B77,"mmm-yy")&lt;&gt;TEXT('Cal_Weeks'!B76,"mmm-yy"),'Cal_Weeks'!G77,"")</f>
        <v/>
      </c>
      <c r="CF3" s="8">
        <f>IF(TEXT('Cal_Weeks'!B78,"mmm-yy")&lt;&gt;TEXT('Cal_Weeks'!B77,"mmm-yy"),'Cal_Weeks'!G78,"")</f>
        <v/>
      </c>
      <c r="CG3" s="8">
        <f>IF(TEXT('Cal_Weeks'!B79,"mmm-yy")&lt;&gt;TEXT('Cal_Weeks'!B78,"mmm-yy"),'Cal_Weeks'!G79,"")</f>
        <v/>
      </c>
      <c r="CH3" s="8">
        <f>IF(TEXT('Cal_Weeks'!B80,"mmm-yy")&lt;&gt;TEXT('Cal_Weeks'!B79,"mmm-yy"),'Cal_Weeks'!G80,"")</f>
        <v/>
      </c>
      <c r="CI3" s="8">
        <f>IF(TEXT('Cal_Weeks'!B81,"mmm-yy")&lt;&gt;TEXT('Cal_Weeks'!B80,"mmm-yy"),'Cal_Weeks'!G81,"")</f>
        <v/>
      </c>
      <c r="CJ3" s="8">
        <f>IF(TEXT('Cal_Weeks'!B82,"mmm-yy")&lt;&gt;TEXT('Cal_Weeks'!B81,"mmm-yy"),'Cal_Weeks'!G82,"")</f>
        <v/>
      </c>
      <c r="CK3" s="8">
        <f>IF(TEXT('Cal_Weeks'!B83,"mmm-yy")&lt;&gt;TEXT('Cal_Weeks'!B82,"mmm-yy"),'Cal_Weeks'!G83,"")</f>
        <v/>
      </c>
      <c r="CL3" s="8">
        <f>IF(TEXT('Cal_Weeks'!B84,"mmm-yy")&lt;&gt;TEXT('Cal_Weeks'!B83,"mmm-yy"),'Cal_Weeks'!G84,"")</f>
        <v/>
      </c>
      <c r="CM3" s="8">
        <f>IF(TEXT('Cal_Weeks'!B85,"mmm-yy")&lt;&gt;TEXT('Cal_Weeks'!B84,"mmm-yy"),'Cal_Weeks'!G85,"")</f>
        <v/>
      </c>
      <c r="CN3" s="8">
        <f>IF(TEXT('Cal_Weeks'!B86,"mmm-yy")&lt;&gt;TEXT('Cal_Weeks'!B85,"mmm-yy"),'Cal_Weeks'!G86,"")</f>
        <v/>
      </c>
      <c r="CO3" s="8">
        <f>IF(TEXT('Cal_Weeks'!B87,"mmm-yy")&lt;&gt;TEXT('Cal_Weeks'!B86,"mmm-yy"),'Cal_Weeks'!G87,"")</f>
        <v/>
      </c>
      <c r="CP3" s="8">
        <f>IF(TEXT('Cal_Weeks'!B88,"mmm-yy")&lt;&gt;TEXT('Cal_Weeks'!B87,"mmm-yy"),'Cal_Weeks'!G88,"")</f>
        <v/>
      </c>
      <c r="CQ3" s="8">
        <f>IF(TEXT('Cal_Weeks'!B89,"mmm-yy")&lt;&gt;TEXT('Cal_Weeks'!B88,"mmm-yy"),'Cal_Weeks'!G89,"")</f>
        <v/>
      </c>
      <c r="CR3" s="8">
        <f>IF(TEXT('Cal_Weeks'!B90,"mmm-yy")&lt;&gt;TEXT('Cal_Weeks'!B89,"mmm-yy"),'Cal_Weeks'!G90,"")</f>
        <v/>
      </c>
      <c r="CS3" s="8">
        <f>IF(TEXT('Cal_Weeks'!B91,"mmm-yy")&lt;&gt;TEXT('Cal_Weeks'!B90,"mmm-yy"),'Cal_Weeks'!G91,"")</f>
        <v/>
      </c>
      <c r="CT3" s="8">
        <f>IF(TEXT('Cal_Weeks'!B92,"mmm-yy")&lt;&gt;TEXT('Cal_Weeks'!B91,"mmm-yy"),'Cal_Weeks'!G92,"")</f>
        <v/>
      </c>
      <c r="CU3" s="8">
        <f>IF(TEXT('Cal_Weeks'!B93,"mmm-yy")&lt;&gt;TEXT('Cal_Weeks'!B92,"mmm-yy"),'Cal_Weeks'!G93,"")</f>
        <v/>
      </c>
      <c r="CV3" s="8">
        <f>IF(TEXT('Cal_Weeks'!B94,"mmm-yy")&lt;&gt;TEXT('Cal_Weeks'!B93,"mmm-yy"),'Cal_Weeks'!G94,"")</f>
        <v/>
      </c>
      <c r="CW3" s="8">
        <f>IF(TEXT('Cal_Weeks'!B95,"mmm-yy")&lt;&gt;TEXT('Cal_Weeks'!B94,"mmm-yy"),'Cal_Weeks'!G95,"")</f>
        <v/>
      </c>
      <c r="CX3" s="8">
        <f>IF(TEXT('Cal_Weeks'!B96,"mmm-yy")&lt;&gt;TEXT('Cal_Weeks'!B95,"mmm-yy"),'Cal_Weeks'!G96,"")</f>
        <v/>
      </c>
      <c r="CY3" s="8">
        <f>IF(TEXT('Cal_Weeks'!B97,"mmm-yy")&lt;&gt;TEXT('Cal_Weeks'!B96,"mmm-yy"),'Cal_Weeks'!G97,"")</f>
        <v/>
      </c>
      <c r="CZ3" s="8">
        <f>IF(TEXT('Cal_Weeks'!B98,"mmm-yy")&lt;&gt;TEXT('Cal_Weeks'!B97,"mmm-yy"),'Cal_Weeks'!G98,"")</f>
        <v/>
      </c>
      <c r="DA3" s="8">
        <f>IF(TEXT('Cal_Weeks'!B99,"mmm-yy")&lt;&gt;TEXT('Cal_Weeks'!B98,"mmm-yy"),'Cal_Weeks'!G99,"")</f>
        <v/>
      </c>
      <c r="DB3" s="8">
        <f>IF(TEXT('Cal_Weeks'!B100,"mmm-yy")&lt;&gt;TEXT('Cal_Weeks'!B99,"mmm-yy"),'Cal_Weeks'!G100,"")</f>
        <v/>
      </c>
      <c r="DC3" s="8">
        <f>IF(TEXT('Cal_Weeks'!B101,"mmm-yy")&lt;&gt;TEXT('Cal_Weeks'!B100,"mmm-yy"),'Cal_Weeks'!G101,"")</f>
        <v/>
      </c>
      <c r="DD3" s="8">
        <f>IF(TEXT('Cal_Weeks'!B102,"mmm-yy")&lt;&gt;TEXT('Cal_Weeks'!B101,"mmm-yy"),'Cal_Weeks'!G102,"")</f>
        <v/>
      </c>
      <c r="DE3" s="8">
        <f>IF(TEXT('Cal_Weeks'!B103,"mmm-yy")&lt;&gt;TEXT('Cal_Weeks'!B102,"mmm-yy"),'Cal_Weeks'!G103,"")</f>
        <v/>
      </c>
      <c r="DF3" s="8">
        <f>IF(TEXT('Cal_Weeks'!B104,"mmm-yy")&lt;&gt;TEXT('Cal_Weeks'!B103,"mmm-yy"),'Cal_Weeks'!G104,"")</f>
        <v/>
      </c>
      <c r="DG3" s="8">
        <f>IF(TEXT('Cal_Weeks'!B105,"mmm-yy")&lt;&gt;TEXT('Cal_Weeks'!B104,"mmm-yy"),'Cal_Weeks'!G105,"")</f>
        <v/>
      </c>
      <c r="DH3" s="8">
        <f>IF(TEXT('Cal_Weeks'!B106,"mmm-yy")&lt;&gt;TEXT('Cal_Weeks'!B105,"mmm-yy"),'Cal_Weeks'!G106,"")</f>
        <v/>
      </c>
      <c r="DI3" s="8">
        <f>IF(TEXT('Cal_Weeks'!B107,"mmm-yy")&lt;&gt;TEXT('Cal_Weeks'!B106,"mmm-yy"),'Cal_Weeks'!G107,"")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1">
        <f>IFERROR(INDEX(Cal_Weeks!$B$4:$B$107,$F$1),"")</f>
        <v/>
      </c>
      <c r="J4" s="12">
        <f>'Cal_Weeks'!B4</f>
        <v/>
      </c>
      <c r="K4" s="12">
        <f>'Cal_Weeks'!B5</f>
        <v/>
      </c>
      <c r="L4" s="12">
        <f>'Cal_Weeks'!B6</f>
        <v/>
      </c>
      <c r="M4" s="12">
        <f>'Cal_Weeks'!B7</f>
        <v/>
      </c>
      <c r="N4" s="12">
        <f>'Cal_Weeks'!B8</f>
        <v/>
      </c>
      <c r="O4" s="12">
        <f>'Cal_Weeks'!B9</f>
        <v/>
      </c>
      <c r="P4" s="12">
        <f>'Cal_Weeks'!B10</f>
        <v/>
      </c>
      <c r="Q4" s="12">
        <f>'Cal_Weeks'!B11</f>
        <v/>
      </c>
      <c r="R4" s="12">
        <f>'Cal_Weeks'!B12</f>
        <v/>
      </c>
      <c r="S4" s="12">
        <f>'Cal_Weeks'!B13</f>
        <v/>
      </c>
      <c r="T4" s="12">
        <f>'Cal_Weeks'!B14</f>
        <v/>
      </c>
      <c r="U4" s="12">
        <f>'Cal_Weeks'!B15</f>
        <v/>
      </c>
      <c r="V4" s="12">
        <f>'Cal_Weeks'!B16</f>
        <v/>
      </c>
      <c r="W4" s="12">
        <f>'Cal_Weeks'!B17</f>
        <v/>
      </c>
      <c r="X4" s="12">
        <f>'Cal_Weeks'!B18</f>
        <v/>
      </c>
      <c r="Y4" s="12">
        <f>'Cal_Weeks'!B19</f>
        <v/>
      </c>
      <c r="Z4" s="12">
        <f>'Cal_Weeks'!B20</f>
        <v/>
      </c>
      <c r="AA4" s="12">
        <f>'Cal_Weeks'!B21</f>
        <v/>
      </c>
      <c r="AB4" s="12">
        <f>'Cal_Weeks'!B22</f>
        <v/>
      </c>
      <c r="AC4" s="12">
        <f>'Cal_Weeks'!B23</f>
        <v/>
      </c>
      <c r="AD4" s="12">
        <f>'Cal_Weeks'!B24</f>
        <v/>
      </c>
      <c r="AE4" s="12">
        <f>'Cal_Weeks'!B25</f>
        <v/>
      </c>
      <c r="AF4" s="12">
        <f>'Cal_Weeks'!B26</f>
        <v/>
      </c>
      <c r="AG4" s="12">
        <f>'Cal_Weeks'!B27</f>
        <v/>
      </c>
      <c r="AH4" s="12">
        <f>'Cal_Weeks'!B28</f>
        <v/>
      </c>
      <c r="AI4" s="12">
        <f>'Cal_Weeks'!B29</f>
        <v/>
      </c>
      <c r="AJ4" s="12">
        <f>'Cal_Weeks'!B30</f>
        <v/>
      </c>
      <c r="AK4" s="12">
        <f>'Cal_Weeks'!B31</f>
        <v/>
      </c>
      <c r="AL4" s="12">
        <f>'Cal_Weeks'!B32</f>
        <v/>
      </c>
      <c r="AM4" s="12">
        <f>'Cal_Weeks'!B33</f>
        <v/>
      </c>
      <c r="AN4" s="12">
        <f>'Cal_Weeks'!B34</f>
        <v/>
      </c>
      <c r="AO4" s="12">
        <f>'Cal_Weeks'!B35</f>
        <v/>
      </c>
      <c r="AP4" s="12">
        <f>'Cal_Weeks'!B36</f>
        <v/>
      </c>
      <c r="AQ4" s="12">
        <f>'Cal_Weeks'!B37</f>
        <v/>
      </c>
      <c r="AR4" s="12">
        <f>'Cal_Weeks'!B38</f>
        <v/>
      </c>
      <c r="AS4" s="12">
        <f>'Cal_Weeks'!B39</f>
        <v/>
      </c>
      <c r="AT4" s="12">
        <f>'Cal_Weeks'!B40</f>
        <v/>
      </c>
      <c r="AU4" s="12">
        <f>'Cal_Weeks'!B41</f>
        <v/>
      </c>
      <c r="AV4" s="12">
        <f>'Cal_Weeks'!B42</f>
        <v/>
      </c>
      <c r="AW4" s="12">
        <f>'Cal_Weeks'!B43</f>
        <v/>
      </c>
      <c r="AX4" s="12">
        <f>'Cal_Weeks'!B44</f>
        <v/>
      </c>
      <c r="AY4" s="12">
        <f>'Cal_Weeks'!B45</f>
        <v/>
      </c>
      <c r="AZ4" s="12">
        <f>'Cal_Weeks'!B46</f>
        <v/>
      </c>
      <c r="BA4" s="12">
        <f>'Cal_Weeks'!B47</f>
        <v/>
      </c>
      <c r="BB4" s="12">
        <f>'Cal_Weeks'!B48</f>
        <v/>
      </c>
      <c r="BC4" s="12">
        <f>'Cal_Weeks'!B49</f>
        <v/>
      </c>
      <c r="BD4" s="12">
        <f>'Cal_Weeks'!B50</f>
        <v/>
      </c>
      <c r="BE4" s="12">
        <f>'Cal_Weeks'!B51</f>
        <v/>
      </c>
      <c r="BF4" s="12">
        <f>'Cal_Weeks'!B52</f>
        <v/>
      </c>
      <c r="BG4" s="12">
        <f>'Cal_Weeks'!B53</f>
        <v/>
      </c>
      <c r="BH4" s="12">
        <f>'Cal_Weeks'!B54</f>
        <v/>
      </c>
      <c r="BI4" s="12">
        <f>'Cal_Weeks'!B55</f>
        <v/>
      </c>
      <c r="BJ4" s="12">
        <f>'Cal_Weeks'!B56</f>
        <v/>
      </c>
      <c r="BK4" s="12">
        <f>'Cal_Weeks'!B57</f>
        <v/>
      </c>
      <c r="BL4" s="12">
        <f>'Cal_Weeks'!B58</f>
        <v/>
      </c>
      <c r="BM4" s="12">
        <f>'Cal_Weeks'!B59</f>
        <v/>
      </c>
      <c r="BN4" s="12">
        <f>'Cal_Weeks'!B60</f>
        <v/>
      </c>
      <c r="BO4" s="12">
        <f>'Cal_Weeks'!B61</f>
        <v/>
      </c>
      <c r="BP4" s="12">
        <f>'Cal_Weeks'!B62</f>
        <v/>
      </c>
      <c r="BQ4" s="12">
        <f>'Cal_Weeks'!B63</f>
        <v/>
      </c>
      <c r="BR4" s="12">
        <f>'Cal_Weeks'!B64</f>
        <v/>
      </c>
      <c r="BS4" s="12">
        <f>'Cal_Weeks'!B65</f>
        <v/>
      </c>
      <c r="BT4" s="12">
        <f>'Cal_Weeks'!B66</f>
        <v/>
      </c>
      <c r="BU4" s="12">
        <f>'Cal_Weeks'!B67</f>
        <v/>
      </c>
      <c r="BV4" s="12">
        <f>'Cal_Weeks'!B68</f>
        <v/>
      </c>
      <c r="BW4" s="12">
        <f>'Cal_Weeks'!B69</f>
        <v/>
      </c>
      <c r="BX4" s="12">
        <f>'Cal_Weeks'!B70</f>
        <v/>
      </c>
      <c r="BY4" s="12">
        <f>'Cal_Weeks'!B71</f>
        <v/>
      </c>
      <c r="BZ4" s="12">
        <f>'Cal_Weeks'!B72</f>
        <v/>
      </c>
      <c r="CA4" s="12">
        <f>'Cal_Weeks'!B73</f>
        <v/>
      </c>
      <c r="CB4" s="12">
        <f>'Cal_Weeks'!B74</f>
        <v/>
      </c>
      <c r="CC4" s="12">
        <f>'Cal_Weeks'!B75</f>
        <v/>
      </c>
      <c r="CD4" s="12">
        <f>'Cal_Weeks'!B76</f>
        <v/>
      </c>
      <c r="CE4" s="12">
        <f>'Cal_Weeks'!B77</f>
        <v/>
      </c>
      <c r="CF4" s="12">
        <f>'Cal_Weeks'!B78</f>
        <v/>
      </c>
      <c r="CG4" s="12">
        <f>'Cal_Weeks'!B79</f>
        <v/>
      </c>
      <c r="CH4" s="12">
        <f>'Cal_Weeks'!B80</f>
        <v/>
      </c>
      <c r="CI4" s="12">
        <f>'Cal_Weeks'!B81</f>
        <v/>
      </c>
      <c r="CJ4" s="12">
        <f>'Cal_Weeks'!B82</f>
        <v/>
      </c>
      <c r="CK4" s="12">
        <f>'Cal_Weeks'!B83</f>
        <v/>
      </c>
      <c r="CL4" s="12">
        <f>'Cal_Weeks'!B84</f>
        <v/>
      </c>
      <c r="CM4" s="12">
        <f>'Cal_Weeks'!B85</f>
        <v/>
      </c>
      <c r="CN4" s="12">
        <f>'Cal_Weeks'!B86</f>
        <v/>
      </c>
      <c r="CO4" s="12">
        <f>'Cal_Weeks'!B87</f>
        <v/>
      </c>
      <c r="CP4" s="12">
        <f>'Cal_Weeks'!B88</f>
        <v/>
      </c>
      <c r="CQ4" s="12">
        <f>'Cal_Weeks'!B89</f>
        <v/>
      </c>
      <c r="CR4" s="12">
        <f>'Cal_Weeks'!B90</f>
        <v/>
      </c>
      <c r="CS4" s="12">
        <f>'Cal_Weeks'!B91</f>
        <v/>
      </c>
      <c r="CT4" s="12">
        <f>'Cal_Weeks'!B92</f>
        <v/>
      </c>
      <c r="CU4" s="12">
        <f>'Cal_Weeks'!B93</f>
        <v/>
      </c>
      <c r="CV4" s="12">
        <f>'Cal_Weeks'!B94</f>
        <v/>
      </c>
      <c r="CW4" s="12">
        <f>'Cal_Weeks'!B95</f>
        <v/>
      </c>
      <c r="CX4" s="12">
        <f>'Cal_Weeks'!B96</f>
        <v/>
      </c>
      <c r="CY4" s="12">
        <f>'Cal_Weeks'!B97</f>
        <v/>
      </c>
      <c r="CZ4" s="12">
        <f>'Cal_Weeks'!B98</f>
        <v/>
      </c>
      <c r="DA4" s="12">
        <f>'Cal_Weeks'!B99</f>
        <v/>
      </c>
      <c r="DB4" s="12">
        <f>'Cal_Weeks'!B100</f>
        <v/>
      </c>
      <c r="DC4" s="12">
        <f>'Cal_Weeks'!B101</f>
        <v/>
      </c>
      <c r="DD4" s="12">
        <f>'Cal_Weeks'!B102</f>
        <v/>
      </c>
      <c r="DE4" s="12">
        <f>'Cal_Weeks'!B103</f>
        <v/>
      </c>
      <c r="DF4" s="12">
        <f>'Cal_Weeks'!B104</f>
        <v/>
      </c>
      <c r="DG4" s="12">
        <f>'Cal_Weeks'!B105</f>
        <v/>
      </c>
      <c r="DH4" s="12">
        <f>'Cal_Weeks'!B106</f>
        <v/>
      </c>
      <c r="DI4" s="12">
        <f>'Cal_Weeks'!B107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9">
        <f>IFERROR(INDEX(Cal_Weeks!$D$4:$D$107,$F$1),"")</f>
        <v/>
      </c>
      <c r="J5" s="10">
        <f>'Cal_Weeks'!D4</f>
        <v/>
      </c>
      <c r="K5" s="10">
        <f>'Cal_Weeks'!D5</f>
        <v/>
      </c>
      <c r="L5" s="10">
        <f>'Cal_Weeks'!D6</f>
        <v/>
      </c>
      <c r="M5" s="10">
        <f>'Cal_Weeks'!D7</f>
        <v/>
      </c>
      <c r="N5" s="10">
        <f>'Cal_Weeks'!D8</f>
        <v/>
      </c>
      <c r="O5" s="10">
        <f>'Cal_Weeks'!D9</f>
        <v/>
      </c>
      <c r="P5" s="10">
        <f>'Cal_Weeks'!D10</f>
        <v/>
      </c>
      <c r="Q5" s="10">
        <f>'Cal_Weeks'!D11</f>
        <v/>
      </c>
      <c r="R5" s="10">
        <f>'Cal_Weeks'!D12</f>
        <v/>
      </c>
      <c r="S5" s="10">
        <f>'Cal_Weeks'!D13</f>
        <v/>
      </c>
      <c r="T5" s="10">
        <f>'Cal_Weeks'!D14</f>
        <v/>
      </c>
      <c r="U5" s="10">
        <f>'Cal_Weeks'!D15</f>
        <v/>
      </c>
      <c r="V5" s="10">
        <f>'Cal_Weeks'!D16</f>
        <v/>
      </c>
      <c r="W5" s="10">
        <f>'Cal_Weeks'!D17</f>
        <v/>
      </c>
      <c r="X5" s="10">
        <f>'Cal_Weeks'!D18</f>
        <v/>
      </c>
      <c r="Y5" s="10">
        <f>'Cal_Weeks'!D19</f>
        <v/>
      </c>
      <c r="Z5" s="10">
        <f>'Cal_Weeks'!D20</f>
        <v/>
      </c>
      <c r="AA5" s="10">
        <f>'Cal_Weeks'!D21</f>
        <v/>
      </c>
      <c r="AB5" s="10">
        <f>'Cal_Weeks'!D22</f>
        <v/>
      </c>
      <c r="AC5" s="10">
        <f>'Cal_Weeks'!D23</f>
        <v/>
      </c>
      <c r="AD5" s="10">
        <f>'Cal_Weeks'!D24</f>
        <v/>
      </c>
      <c r="AE5" s="10">
        <f>'Cal_Weeks'!D25</f>
        <v/>
      </c>
      <c r="AF5" s="10">
        <f>'Cal_Weeks'!D26</f>
        <v/>
      </c>
      <c r="AG5" s="10">
        <f>'Cal_Weeks'!D27</f>
        <v/>
      </c>
      <c r="AH5" s="10">
        <f>'Cal_Weeks'!D28</f>
        <v/>
      </c>
      <c r="AI5" s="10">
        <f>'Cal_Weeks'!D29</f>
        <v/>
      </c>
      <c r="AJ5" s="10">
        <f>'Cal_Weeks'!D30</f>
        <v/>
      </c>
      <c r="AK5" s="10">
        <f>'Cal_Weeks'!D31</f>
        <v/>
      </c>
      <c r="AL5" s="10">
        <f>'Cal_Weeks'!D32</f>
        <v/>
      </c>
      <c r="AM5" s="10">
        <f>'Cal_Weeks'!D33</f>
        <v/>
      </c>
      <c r="AN5" s="10">
        <f>'Cal_Weeks'!D34</f>
        <v/>
      </c>
      <c r="AO5" s="10">
        <f>'Cal_Weeks'!D35</f>
        <v/>
      </c>
      <c r="AP5" s="10">
        <f>'Cal_Weeks'!D36</f>
        <v/>
      </c>
      <c r="AQ5" s="10">
        <f>'Cal_Weeks'!D37</f>
        <v/>
      </c>
      <c r="AR5" s="10">
        <f>'Cal_Weeks'!D38</f>
        <v/>
      </c>
      <c r="AS5" s="10">
        <f>'Cal_Weeks'!D39</f>
        <v/>
      </c>
      <c r="AT5" s="10">
        <f>'Cal_Weeks'!D40</f>
        <v/>
      </c>
      <c r="AU5" s="10">
        <f>'Cal_Weeks'!D41</f>
        <v/>
      </c>
      <c r="AV5" s="10">
        <f>'Cal_Weeks'!D42</f>
        <v/>
      </c>
      <c r="AW5" s="10">
        <f>'Cal_Weeks'!D43</f>
        <v/>
      </c>
      <c r="AX5" s="10">
        <f>'Cal_Weeks'!D44</f>
        <v/>
      </c>
      <c r="AY5" s="10">
        <f>'Cal_Weeks'!D45</f>
        <v/>
      </c>
      <c r="AZ5" s="10">
        <f>'Cal_Weeks'!D46</f>
        <v/>
      </c>
      <c r="BA5" s="10">
        <f>'Cal_Weeks'!D47</f>
        <v/>
      </c>
      <c r="BB5" s="10">
        <f>'Cal_Weeks'!D48</f>
        <v/>
      </c>
      <c r="BC5" s="10">
        <f>'Cal_Weeks'!D49</f>
        <v/>
      </c>
      <c r="BD5" s="10">
        <f>'Cal_Weeks'!D50</f>
        <v/>
      </c>
      <c r="BE5" s="10">
        <f>'Cal_Weeks'!D51</f>
        <v/>
      </c>
      <c r="BF5" s="10">
        <f>'Cal_Weeks'!D52</f>
        <v/>
      </c>
      <c r="BG5" s="10">
        <f>'Cal_Weeks'!D53</f>
        <v/>
      </c>
      <c r="BH5" s="10">
        <f>'Cal_Weeks'!D54</f>
        <v/>
      </c>
      <c r="BI5" s="10">
        <f>'Cal_Weeks'!D55</f>
        <v/>
      </c>
      <c r="BJ5" s="10">
        <f>'Cal_Weeks'!D56</f>
        <v/>
      </c>
      <c r="BK5" s="10">
        <f>'Cal_Weeks'!D57</f>
        <v/>
      </c>
      <c r="BL5" s="10">
        <f>'Cal_Weeks'!D58</f>
        <v/>
      </c>
      <c r="BM5" s="10">
        <f>'Cal_Weeks'!D59</f>
        <v/>
      </c>
      <c r="BN5" s="10">
        <f>'Cal_Weeks'!D60</f>
        <v/>
      </c>
      <c r="BO5" s="10">
        <f>'Cal_Weeks'!D61</f>
        <v/>
      </c>
      <c r="BP5" s="10">
        <f>'Cal_Weeks'!D62</f>
        <v/>
      </c>
      <c r="BQ5" s="10">
        <f>'Cal_Weeks'!D63</f>
        <v/>
      </c>
      <c r="BR5" s="10">
        <f>'Cal_Weeks'!D64</f>
        <v/>
      </c>
      <c r="BS5" s="10">
        <f>'Cal_Weeks'!D65</f>
        <v/>
      </c>
      <c r="BT5" s="10">
        <f>'Cal_Weeks'!D66</f>
        <v/>
      </c>
      <c r="BU5" s="10">
        <f>'Cal_Weeks'!D67</f>
        <v/>
      </c>
      <c r="BV5" s="10">
        <f>'Cal_Weeks'!D68</f>
        <v/>
      </c>
      <c r="BW5" s="10">
        <f>'Cal_Weeks'!D69</f>
        <v/>
      </c>
      <c r="BX5" s="10">
        <f>'Cal_Weeks'!D70</f>
        <v/>
      </c>
      <c r="BY5" s="10">
        <f>'Cal_Weeks'!D71</f>
        <v/>
      </c>
      <c r="BZ5" s="10">
        <f>'Cal_Weeks'!D72</f>
        <v/>
      </c>
      <c r="CA5" s="10">
        <f>'Cal_Weeks'!D73</f>
        <v/>
      </c>
      <c r="CB5" s="10">
        <f>'Cal_Weeks'!D74</f>
        <v/>
      </c>
      <c r="CC5" s="10">
        <f>'Cal_Weeks'!D75</f>
        <v/>
      </c>
      <c r="CD5" s="10">
        <f>'Cal_Weeks'!D76</f>
        <v/>
      </c>
      <c r="CE5" s="10">
        <f>'Cal_Weeks'!D77</f>
        <v/>
      </c>
      <c r="CF5" s="10">
        <f>'Cal_Weeks'!D78</f>
        <v/>
      </c>
      <c r="CG5" s="10">
        <f>'Cal_Weeks'!D79</f>
        <v/>
      </c>
      <c r="CH5" s="10">
        <f>'Cal_Weeks'!D80</f>
        <v/>
      </c>
      <c r="CI5" s="10">
        <f>'Cal_Weeks'!D81</f>
        <v/>
      </c>
      <c r="CJ5" s="10">
        <f>'Cal_Weeks'!D82</f>
        <v/>
      </c>
      <c r="CK5" s="10">
        <f>'Cal_Weeks'!D83</f>
        <v/>
      </c>
      <c r="CL5" s="10">
        <f>'Cal_Weeks'!D84</f>
        <v/>
      </c>
      <c r="CM5" s="10">
        <f>'Cal_Weeks'!D85</f>
        <v/>
      </c>
      <c r="CN5" s="10">
        <f>'Cal_Weeks'!D86</f>
        <v/>
      </c>
      <c r="CO5" s="10">
        <f>'Cal_Weeks'!D87</f>
        <v/>
      </c>
      <c r="CP5" s="10">
        <f>'Cal_Weeks'!D88</f>
        <v/>
      </c>
      <c r="CQ5" s="10">
        <f>'Cal_Weeks'!D89</f>
        <v/>
      </c>
      <c r="CR5" s="10">
        <f>'Cal_Weeks'!D90</f>
        <v/>
      </c>
      <c r="CS5" s="10">
        <f>'Cal_Weeks'!D91</f>
        <v/>
      </c>
      <c r="CT5" s="10">
        <f>'Cal_Weeks'!D92</f>
        <v/>
      </c>
      <c r="CU5" s="10">
        <f>'Cal_Weeks'!D93</f>
        <v/>
      </c>
      <c r="CV5" s="10">
        <f>'Cal_Weeks'!D94</f>
        <v/>
      </c>
      <c r="CW5" s="10">
        <f>'Cal_Weeks'!D95</f>
        <v/>
      </c>
      <c r="CX5" s="10">
        <f>'Cal_Weeks'!D96</f>
        <v/>
      </c>
      <c r="CY5" s="10">
        <f>'Cal_Weeks'!D97</f>
        <v/>
      </c>
      <c r="CZ5" s="10">
        <f>'Cal_Weeks'!D98</f>
        <v/>
      </c>
      <c r="DA5" s="10">
        <f>'Cal_Weeks'!D99</f>
        <v/>
      </c>
      <c r="DB5" s="10">
        <f>'Cal_Weeks'!D100</f>
        <v/>
      </c>
      <c r="DC5" s="10">
        <f>'Cal_Weeks'!D101</f>
        <v/>
      </c>
      <c r="DD5" s="10">
        <f>'Cal_Weeks'!D102</f>
        <v/>
      </c>
      <c r="DE5" s="10">
        <f>'Cal_Weeks'!D103</f>
        <v/>
      </c>
      <c r="DF5" s="10">
        <f>'Cal_Weeks'!D104</f>
        <v/>
      </c>
      <c r="DG5" s="10">
        <f>'Cal_Weeks'!D105</f>
        <v/>
      </c>
      <c r="DH5" s="10">
        <f>'Cal_Weeks'!D106</f>
        <v/>
      </c>
      <c r="DI5" s="10">
        <f>'Cal_Weeks'!D107</f>
        <v/>
      </c>
    </row>
    <row r="6">
      <c r="A6" s="13" t="inlineStr">
        <is>
          <t>RM_Code</t>
        </is>
      </c>
      <c r="B6" s="13" t="inlineStr">
        <is>
          <t>Description</t>
        </is>
      </c>
      <c r="C6" s="13" t="inlineStr">
        <is>
          <t>Category</t>
        </is>
      </c>
      <c r="D6" s="13" t="inlineStr">
        <is>
          <t>基準在庫_下限</t>
        </is>
      </c>
      <c r="E6" s="13" t="inlineStr">
        <is>
          <t>基準在庫_上限</t>
        </is>
      </c>
      <c r="F6" s="13" t="inlineStr">
        <is>
          <t>自社在庫(実績)</t>
        </is>
      </c>
      <c r="G6" s="13" t="inlineStr">
        <is>
          <t>TTAF在庫(実績)</t>
        </is>
      </c>
      <c r="H6" s="13" t="inlineStr">
        <is>
          <t>実績週</t>
        </is>
      </c>
      <c r="I6" s="14">
        <f>IF($C$1="","選択週",$C$1)</f>
        <v/>
      </c>
      <c r="J6" s="13">
        <f>'Cal_Weeks'!E4</f>
        <v/>
      </c>
      <c r="K6" s="13">
        <f>'Cal_Weeks'!E5</f>
        <v/>
      </c>
      <c r="L6" s="13">
        <f>'Cal_Weeks'!E6</f>
        <v/>
      </c>
      <c r="M6" s="13">
        <f>'Cal_Weeks'!E7</f>
        <v/>
      </c>
      <c r="N6" s="13">
        <f>'Cal_Weeks'!E8</f>
        <v/>
      </c>
      <c r="O6" s="13">
        <f>'Cal_Weeks'!E9</f>
        <v/>
      </c>
      <c r="P6" s="13">
        <f>'Cal_Weeks'!E10</f>
        <v/>
      </c>
      <c r="Q6" s="13">
        <f>'Cal_Weeks'!E11</f>
        <v/>
      </c>
      <c r="R6" s="13">
        <f>'Cal_Weeks'!E12</f>
        <v/>
      </c>
      <c r="S6" s="13">
        <f>'Cal_Weeks'!E13</f>
        <v/>
      </c>
      <c r="T6" s="13">
        <f>'Cal_Weeks'!E14</f>
        <v/>
      </c>
      <c r="U6" s="13">
        <f>'Cal_Weeks'!E15</f>
        <v/>
      </c>
      <c r="V6" s="13">
        <f>'Cal_Weeks'!E16</f>
        <v/>
      </c>
      <c r="W6" s="13">
        <f>'Cal_Weeks'!E17</f>
        <v/>
      </c>
      <c r="X6" s="13">
        <f>'Cal_Weeks'!E18</f>
        <v/>
      </c>
      <c r="Y6" s="13">
        <f>'Cal_Weeks'!E19</f>
        <v/>
      </c>
      <c r="Z6" s="13">
        <f>'Cal_Weeks'!E20</f>
        <v/>
      </c>
      <c r="AA6" s="13">
        <f>'Cal_Weeks'!E21</f>
        <v/>
      </c>
      <c r="AB6" s="13">
        <f>'Cal_Weeks'!E22</f>
        <v/>
      </c>
      <c r="AC6" s="13">
        <f>'Cal_Weeks'!E23</f>
        <v/>
      </c>
      <c r="AD6" s="13">
        <f>'Cal_Weeks'!E24</f>
        <v/>
      </c>
      <c r="AE6" s="13">
        <f>'Cal_Weeks'!E25</f>
        <v/>
      </c>
      <c r="AF6" s="13">
        <f>'Cal_Weeks'!E26</f>
        <v/>
      </c>
      <c r="AG6" s="13">
        <f>'Cal_Weeks'!E27</f>
        <v/>
      </c>
      <c r="AH6" s="13">
        <f>'Cal_Weeks'!E28</f>
        <v/>
      </c>
      <c r="AI6" s="13">
        <f>'Cal_Weeks'!E29</f>
        <v/>
      </c>
      <c r="AJ6" s="13">
        <f>'Cal_Weeks'!E30</f>
        <v/>
      </c>
      <c r="AK6" s="13">
        <f>'Cal_Weeks'!E31</f>
        <v/>
      </c>
      <c r="AL6" s="13">
        <f>'Cal_Weeks'!E32</f>
        <v/>
      </c>
      <c r="AM6" s="13">
        <f>'Cal_Weeks'!E33</f>
        <v/>
      </c>
      <c r="AN6" s="13">
        <f>'Cal_Weeks'!E34</f>
        <v/>
      </c>
      <c r="AO6" s="13">
        <f>'Cal_Weeks'!E35</f>
        <v/>
      </c>
      <c r="AP6" s="13">
        <f>'Cal_Weeks'!E36</f>
        <v/>
      </c>
      <c r="AQ6" s="13">
        <f>'Cal_Weeks'!E37</f>
        <v/>
      </c>
      <c r="AR6" s="13">
        <f>'Cal_Weeks'!E38</f>
        <v/>
      </c>
      <c r="AS6" s="13">
        <f>'Cal_Weeks'!E39</f>
        <v/>
      </c>
      <c r="AT6" s="13">
        <f>'Cal_Weeks'!E40</f>
        <v/>
      </c>
      <c r="AU6" s="13">
        <f>'Cal_Weeks'!E41</f>
        <v/>
      </c>
      <c r="AV6" s="13">
        <f>'Cal_Weeks'!E42</f>
        <v/>
      </c>
      <c r="AW6" s="13">
        <f>'Cal_Weeks'!E43</f>
        <v/>
      </c>
      <c r="AX6" s="13">
        <f>'Cal_Weeks'!E44</f>
        <v/>
      </c>
      <c r="AY6" s="13">
        <f>'Cal_Weeks'!E45</f>
        <v/>
      </c>
      <c r="AZ6" s="13">
        <f>'Cal_Weeks'!E46</f>
        <v/>
      </c>
      <c r="BA6" s="13">
        <f>'Cal_Weeks'!E47</f>
        <v/>
      </c>
      <c r="BB6" s="13">
        <f>'Cal_Weeks'!E48</f>
        <v/>
      </c>
      <c r="BC6" s="13">
        <f>'Cal_Weeks'!E49</f>
        <v/>
      </c>
      <c r="BD6" s="13">
        <f>'Cal_Weeks'!E50</f>
        <v/>
      </c>
      <c r="BE6" s="13">
        <f>'Cal_Weeks'!E51</f>
        <v/>
      </c>
      <c r="BF6" s="13">
        <f>'Cal_Weeks'!E52</f>
        <v/>
      </c>
      <c r="BG6" s="13">
        <f>'Cal_Weeks'!E53</f>
        <v/>
      </c>
      <c r="BH6" s="13">
        <f>'Cal_Weeks'!E54</f>
        <v/>
      </c>
      <c r="BI6" s="13">
        <f>'Cal_Weeks'!E55</f>
        <v/>
      </c>
      <c r="BJ6" s="13">
        <f>'Cal_Weeks'!E56</f>
        <v/>
      </c>
      <c r="BK6" s="13">
        <f>'Cal_Weeks'!E57</f>
        <v/>
      </c>
      <c r="BL6" s="13">
        <f>'Cal_Weeks'!E58</f>
        <v/>
      </c>
      <c r="BM6" s="13">
        <f>'Cal_Weeks'!E59</f>
        <v/>
      </c>
      <c r="BN6" s="13">
        <f>'Cal_Weeks'!E60</f>
        <v/>
      </c>
      <c r="BO6" s="13">
        <f>'Cal_Weeks'!E61</f>
        <v/>
      </c>
      <c r="BP6" s="13">
        <f>'Cal_Weeks'!E62</f>
        <v/>
      </c>
      <c r="BQ6" s="13">
        <f>'Cal_Weeks'!E63</f>
        <v/>
      </c>
      <c r="BR6" s="13">
        <f>'Cal_Weeks'!E64</f>
        <v/>
      </c>
      <c r="BS6" s="13">
        <f>'Cal_Weeks'!E65</f>
        <v/>
      </c>
      <c r="BT6" s="13">
        <f>'Cal_Weeks'!E66</f>
        <v/>
      </c>
      <c r="BU6" s="13">
        <f>'Cal_Weeks'!E67</f>
        <v/>
      </c>
      <c r="BV6" s="13">
        <f>'Cal_Weeks'!E68</f>
        <v/>
      </c>
      <c r="BW6" s="13">
        <f>'Cal_Weeks'!E69</f>
        <v/>
      </c>
      <c r="BX6" s="13">
        <f>'Cal_Weeks'!E70</f>
        <v/>
      </c>
      <c r="BY6" s="13">
        <f>'Cal_Weeks'!E71</f>
        <v/>
      </c>
      <c r="BZ6" s="13">
        <f>'Cal_Weeks'!E72</f>
        <v/>
      </c>
      <c r="CA6" s="13">
        <f>'Cal_Weeks'!E73</f>
        <v/>
      </c>
      <c r="CB6" s="13">
        <f>'Cal_Weeks'!E74</f>
        <v/>
      </c>
      <c r="CC6" s="13">
        <f>'Cal_Weeks'!E75</f>
        <v/>
      </c>
      <c r="CD6" s="13">
        <f>'Cal_Weeks'!E76</f>
        <v/>
      </c>
      <c r="CE6" s="13">
        <f>'Cal_Weeks'!E77</f>
        <v/>
      </c>
      <c r="CF6" s="13">
        <f>'Cal_Weeks'!E78</f>
        <v/>
      </c>
      <c r="CG6" s="13">
        <f>'Cal_Weeks'!E79</f>
        <v/>
      </c>
      <c r="CH6" s="13">
        <f>'Cal_Weeks'!E80</f>
        <v/>
      </c>
      <c r="CI6" s="13">
        <f>'Cal_Weeks'!E81</f>
        <v/>
      </c>
      <c r="CJ6" s="13">
        <f>'Cal_Weeks'!E82</f>
        <v/>
      </c>
      <c r="CK6" s="13">
        <f>'Cal_Weeks'!E83</f>
        <v/>
      </c>
      <c r="CL6" s="13">
        <f>'Cal_Weeks'!E84</f>
        <v/>
      </c>
      <c r="CM6" s="13">
        <f>'Cal_Weeks'!E85</f>
        <v/>
      </c>
      <c r="CN6" s="13">
        <f>'Cal_Weeks'!E86</f>
        <v/>
      </c>
      <c r="CO6" s="13">
        <f>'Cal_Weeks'!E87</f>
        <v/>
      </c>
      <c r="CP6" s="13">
        <f>'Cal_Weeks'!E88</f>
        <v/>
      </c>
      <c r="CQ6" s="13">
        <f>'Cal_Weeks'!E89</f>
        <v/>
      </c>
      <c r="CR6" s="13">
        <f>'Cal_Weeks'!E90</f>
        <v/>
      </c>
      <c r="CS6" s="13">
        <f>'Cal_Weeks'!E91</f>
        <v/>
      </c>
      <c r="CT6" s="13">
        <f>'Cal_Weeks'!E92</f>
        <v/>
      </c>
      <c r="CU6" s="13">
        <f>'Cal_Weeks'!E93</f>
        <v/>
      </c>
      <c r="CV6" s="13">
        <f>'Cal_Weeks'!E94</f>
        <v/>
      </c>
      <c r="CW6" s="13">
        <f>'Cal_Weeks'!E95</f>
        <v/>
      </c>
      <c r="CX6" s="13">
        <f>'Cal_Weeks'!E96</f>
        <v/>
      </c>
      <c r="CY6" s="13">
        <f>'Cal_Weeks'!E97</f>
        <v/>
      </c>
      <c r="CZ6" s="13">
        <f>'Cal_Weeks'!E98</f>
        <v/>
      </c>
      <c r="DA6" s="13">
        <f>'Cal_Weeks'!E99</f>
        <v/>
      </c>
      <c r="DB6" s="13">
        <f>'Cal_Weeks'!E100</f>
        <v/>
      </c>
      <c r="DC6" s="13">
        <f>'Cal_Weeks'!E101</f>
        <v/>
      </c>
      <c r="DD6" s="13">
        <f>'Cal_Weeks'!E102</f>
        <v/>
      </c>
      <c r="DE6" s="13">
        <f>'Cal_Weeks'!E103</f>
        <v/>
      </c>
      <c r="DF6" s="13">
        <f>'Cal_Weeks'!E104</f>
        <v/>
      </c>
      <c r="DG6" s="13">
        <f>'Cal_Weeks'!E105</f>
        <v/>
      </c>
      <c r="DH6" s="13">
        <f>'Cal_Weeks'!E106</f>
        <v/>
      </c>
      <c r="DI6" s="13">
        <f>'Cal_Weeks'!E107</f>
        <v/>
      </c>
    </row>
    <row r="7">
      <c r="A7" s="15" t="inlineStr">
        <is>
          <t>CHEM-1250</t>
        </is>
      </c>
      <c r="B7" s="15">
        <f>IFERROR(INDEX(M_RawMaterials[Description],MATCH($A7,M_RawMaterials[RM_Code],0)),"")</f>
        <v/>
      </c>
      <c r="C7" s="15">
        <f>IFERROR(INDEX(M_RawMaterials[Category],MATCH($A7,M_RawMaterials[RM_Code],0)),"")</f>
        <v/>
      </c>
      <c r="D7" s="15">
        <f>IFERROR(INDEX(M_RawMaterials[基準在庫下限_要入力],MATCH($A7,M_RawMaterials[RM_Code],0)),0)</f>
        <v/>
      </c>
      <c r="E7" s="15">
        <f>IFERROR(INDEX(M_RawMaterials[基準在庫上限_要入力],MATCH($A7,M_RawMaterials[RM_Code],0)),0)</f>
        <v/>
      </c>
      <c r="F7" s="15">
        <f>IFERROR(LOOKUP(2,1/(T_SelfStock!$A$2:$A$12000=$A7),T_SelfStock!$D$2:$D$12000),"")</f>
        <v/>
      </c>
      <c r="G7" s="15">
        <f>IFERROR(LOOKUP(2,1/(T_TTAFStock!$A$2:$A$12000=$A7),T_TTAFStock!$D$2:$D$12000),"")</f>
        <v/>
      </c>
      <c r="H7" s="15">
        <f>IFERROR(INDEX(Cal_Weeks[Label],LOOKUP(2,1/(T_SelfStock!$A$2:$A$12000=$A7),T_SelfStock!$C$2:$C$12000)),"")</f>
        <v/>
      </c>
      <c r="I7" s="16">
        <f>IFERROR(INDEX(J7:DI7,$F$1),"")</f>
        <v/>
      </c>
      <c r="J7" s="15">
        <f>'Grid_Stock'!B2</f>
        <v/>
      </c>
      <c r="K7" s="15">
        <f>'Grid_Stock'!C2</f>
        <v/>
      </c>
      <c r="L7" s="15">
        <f>'Grid_Stock'!D2</f>
        <v/>
      </c>
      <c r="M7" s="15">
        <f>'Grid_Stock'!E2</f>
        <v/>
      </c>
      <c r="N7" s="15">
        <f>'Grid_Stock'!F2</f>
        <v/>
      </c>
      <c r="O7" s="15">
        <f>'Grid_Stock'!G2</f>
        <v/>
      </c>
      <c r="P7" s="15">
        <f>'Grid_Stock'!H2</f>
        <v/>
      </c>
      <c r="Q7" s="15">
        <f>'Grid_Stock'!I2</f>
        <v/>
      </c>
      <c r="R7" s="15">
        <f>'Grid_Stock'!J2</f>
        <v/>
      </c>
      <c r="S7" s="15">
        <f>'Grid_Stock'!K2</f>
        <v/>
      </c>
      <c r="T7" s="15">
        <f>'Grid_Stock'!L2</f>
        <v/>
      </c>
      <c r="U7" s="15">
        <f>'Grid_Stock'!M2</f>
        <v/>
      </c>
      <c r="V7" s="15">
        <f>'Grid_Stock'!N2</f>
        <v/>
      </c>
      <c r="W7" s="15">
        <f>'Grid_Stock'!O2</f>
        <v/>
      </c>
      <c r="X7" s="15">
        <f>'Grid_Stock'!P2</f>
        <v/>
      </c>
      <c r="Y7" s="15">
        <f>'Grid_Stock'!Q2</f>
        <v/>
      </c>
      <c r="Z7" s="15">
        <f>'Grid_Stock'!R2</f>
        <v/>
      </c>
      <c r="AA7" s="15">
        <f>'Grid_Stock'!S2</f>
        <v/>
      </c>
      <c r="AB7" s="15">
        <f>'Grid_Stock'!T2</f>
        <v/>
      </c>
      <c r="AC7" s="15">
        <f>'Grid_Stock'!U2</f>
        <v/>
      </c>
      <c r="AD7" s="15">
        <f>'Grid_Stock'!V2</f>
        <v/>
      </c>
      <c r="AE7" s="15">
        <f>'Grid_Stock'!W2</f>
        <v/>
      </c>
      <c r="AF7" s="15">
        <f>'Grid_Stock'!X2</f>
        <v/>
      </c>
      <c r="AG7" s="15">
        <f>'Grid_Stock'!Y2</f>
        <v/>
      </c>
      <c r="AH7" s="15">
        <f>'Grid_Stock'!Z2</f>
        <v/>
      </c>
      <c r="AI7" s="15">
        <f>'Grid_Stock'!AA2</f>
        <v/>
      </c>
      <c r="AJ7" s="15">
        <f>'Grid_Stock'!AB2</f>
        <v/>
      </c>
      <c r="AK7" s="15">
        <f>'Grid_Stock'!AC2</f>
        <v/>
      </c>
      <c r="AL7" s="15">
        <f>'Grid_Stock'!AD2</f>
        <v/>
      </c>
      <c r="AM7" s="15">
        <f>'Grid_Stock'!AE2</f>
        <v/>
      </c>
      <c r="AN7" s="15">
        <f>'Grid_Stock'!AF2</f>
        <v/>
      </c>
      <c r="AO7" s="15">
        <f>'Grid_Stock'!AG2</f>
        <v/>
      </c>
      <c r="AP7" s="15">
        <f>'Grid_Stock'!AH2</f>
        <v/>
      </c>
      <c r="AQ7" s="15">
        <f>'Grid_Stock'!AI2</f>
        <v/>
      </c>
      <c r="AR7" s="15">
        <f>'Grid_Stock'!AJ2</f>
        <v/>
      </c>
      <c r="AS7" s="15">
        <f>'Grid_Stock'!AK2</f>
        <v/>
      </c>
      <c r="AT7" s="15">
        <f>'Grid_Stock'!AL2</f>
        <v/>
      </c>
      <c r="AU7" s="15">
        <f>'Grid_Stock'!AM2</f>
        <v/>
      </c>
      <c r="AV7" s="15">
        <f>'Grid_Stock'!AN2</f>
        <v/>
      </c>
      <c r="AW7" s="15">
        <f>'Grid_Stock'!AO2</f>
        <v/>
      </c>
      <c r="AX7" s="15">
        <f>'Grid_Stock'!AP2</f>
        <v/>
      </c>
      <c r="AY7" s="15">
        <f>'Grid_Stock'!AQ2</f>
        <v/>
      </c>
      <c r="AZ7" s="15">
        <f>'Grid_Stock'!AR2</f>
        <v/>
      </c>
      <c r="BA7" s="15">
        <f>'Grid_Stock'!AS2</f>
        <v/>
      </c>
      <c r="BB7" s="15">
        <f>'Grid_Stock'!AT2</f>
        <v/>
      </c>
      <c r="BC7" s="15">
        <f>'Grid_Stock'!AU2</f>
        <v/>
      </c>
      <c r="BD7" s="15">
        <f>'Grid_Stock'!AV2</f>
        <v/>
      </c>
      <c r="BE7" s="15">
        <f>'Grid_Stock'!AW2</f>
        <v/>
      </c>
      <c r="BF7" s="15">
        <f>'Grid_Stock'!AX2</f>
        <v/>
      </c>
      <c r="BG7" s="15">
        <f>'Grid_Stock'!AY2</f>
        <v/>
      </c>
      <c r="BH7" s="15">
        <f>'Grid_Stock'!AZ2</f>
        <v/>
      </c>
      <c r="BI7" s="15">
        <f>'Grid_Stock'!BA2</f>
        <v/>
      </c>
      <c r="BJ7" s="15">
        <f>'Grid_Stock'!BB2</f>
        <v/>
      </c>
      <c r="BK7" s="15">
        <f>'Grid_Stock'!BC2</f>
        <v/>
      </c>
      <c r="BL7" s="15">
        <f>'Grid_Stock'!BD2</f>
        <v/>
      </c>
      <c r="BM7" s="15">
        <f>'Grid_Stock'!BE2</f>
        <v/>
      </c>
      <c r="BN7" s="15">
        <f>'Grid_Stock'!BF2</f>
        <v/>
      </c>
      <c r="BO7" s="15">
        <f>'Grid_Stock'!BG2</f>
        <v/>
      </c>
      <c r="BP7" s="15">
        <f>'Grid_Stock'!BH2</f>
        <v/>
      </c>
      <c r="BQ7" s="15">
        <f>'Grid_Stock'!BI2</f>
        <v/>
      </c>
      <c r="BR7" s="15">
        <f>'Grid_Stock'!BJ2</f>
        <v/>
      </c>
      <c r="BS7" s="15">
        <f>'Grid_Stock'!BK2</f>
        <v/>
      </c>
      <c r="BT7" s="15">
        <f>'Grid_Stock'!BL2</f>
        <v/>
      </c>
      <c r="BU7" s="15">
        <f>'Grid_Stock'!BM2</f>
        <v/>
      </c>
      <c r="BV7" s="15">
        <f>'Grid_Stock'!BN2</f>
        <v/>
      </c>
      <c r="BW7" s="15">
        <f>'Grid_Stock'!BO2</f>
        <v/>
      </c>
      <c r="BX7" s="15">
        <f>'Grid_Stock'!BP2</f>
        <v/>
      </c>
      <c r="BY7" s="15">
        <f>'Grid_Stock'!BQ2</f>
        <v/>
      </c>
      <c r="BZ7" s="15">
        <f>'Grid_Stock'!BR2</f>
        <v/>
      </c>
      <c r="CA7" s="15">
        <f>'Grid_Stock'!BS2</f>
        <v/>
      </c>
      <c r="CB7" s="15">
        <f>'Grid_Stock'!BT2</f>
        <v/>
      </c>
      <c r="CC7" s="15">
        <f>'Grid_Stock'!BU2</f>
        <v/>
      </c>
      <c r="CD7" s="15">
        <f>'Grid_Stock'!BV2</f>
        <v/>
      </c>
      <c r="CE7" s="15">
        <f>'Grid_Stock'!BW2</f>
        <v/>
      </c>
      <c r="CF7" s="15">
        <f>'Grid_Stock'!BX2</f>
        <v/>
      </c>
      <c r="CG7" s="15">
        <f>'Grid_Stock'!BY2</f>
        <v/>
      </c>
      <c r="CH7" s="15">
        <f>'Grid_Stock'!BZ2</f>
        <v/>
      </c>
      <c r="CI7" s="15">
        <f>'Grid_Stock'!CA2</f>
        <v/>
      </c>
      <c r="CJ7" s="15">
        <f>'Grid_Stock'!CB2</f>
        <v/>
      </c>
      <c r="CK7" s="15">
        <f>'Grid_Stock'!CC2</f>
        <v/>
      </c>
      <c r="CL7" s="15">
        <f>'Grid_Stock'!CD2</f>
        <v/>
      </c>
      <c r="CM7" s="15">
        <f>'Grid_Stock'!CE2</f>
        <v/>
      </c>
      <c r="CN7" s="15">
        <f>'Grid_Stock'!CF2</f>
        <v/>
      </c>
      <c r="CO7" s="15">
        <f>'Grid_Stock'!CG2</f>
        <v/>
      </c>
      <c r="CP7" s="15">
        <f>'Grid_Stock'!CH2</f>
        <v/>
      </c>
      <c r="CQ7" s="15">
        <f>'Grid_Stock'!CI2</f>
        <v/>
      </c>
      <c r="CR7" s="15">
        <f>'Grid_Stock'!CJ2</f>
        <v/>
      </c>
      <c r="CS7" s="15">
        <f>'Grid_Stock'!CK2</f>
        <v/>
      </c>
      <c r="CT7" s="15">
        <f>'Grid_Stock'!CL2</f>
        <v/>
      </c>
      <c r="CU7" s="15">
        <f>'Grid_Stock'!CM2</f>
        <v/>
      </c>
      <c r="CV7" s="15">
        <f>'Grid_Stock'!CN2</f>
        <v/>
      </c>
      <c r="CW7" s="15">
        <f>'Grid_Stock'!CO2</f>
        <v/>
      </c>
      <c r="CX7" s="15">
        <f>'Grid_Stock'!CP2</f>
        <v/>
      </c>
      <c r="CY7" s="15">
        <f>'Grid_Stock'!CQ2</f>
        <v/>
      </c>
      <c r="CZ7" s="15">
        <f>'Grid_Stock'!CR2</f>
        <v/>
      </c>
      <c r="DA7" s="15">
        <f>'Grid_Stock'!CS2</f>
        <v/>
      </c>
      <c r="DB7" s="15">
        <f>'Grid_Stock'!CT2</f>
        <v/>
      </c>
      <c r="DC7" s="15">
        <f>'Grid_Stock'!CU2</f>
        <v/>
      </c>
      <c r="DD7" s="15">
        <f>'Grid_Stock'!CV2</f>
        <v/>
      </c>
      <c r="DE7" s="15">
        <f>'Grid_Stock'!CW2</f>
        <v/>
      </c>
      <c r="DF7" s="15">
        <f>'Grid_Stock'!CX2</f>
        <v/>
      </c>
      <c r="DG7" s="15">
        <f>'Grid_Stock'!CY2</f>
        <v/>
      </c>
      <c r="DH7" s="15">
        <f>'Grid_Stock'!CZ2</f>
        <v/>
      </c>
      <c r="DI7" s="15">
        <f>'Grid_Stock'!DA2</f>
        <v/>
      </c>
    </row>
    <row r="8">
      <c r="A8" s="17" t="inlineStr">
        <is>
          <t>CHEM-1670</t>
        </is>
      </c>
      <c r="B8" s="17">
        <f>IFERROR(INDEX(M_RawMaterials[Description],MATCH($A8,M_RawMaterials[RM_Code],0)),"")</f>
        <v/>
      </c>
      <c r="C8" s="17">
        <f>IFERROR(INDEX(M_RawMaterials[Category],MATCH($A8,M_RawMaterials[RM_Code],0)),"")</f>
        <v/>
      </c>
      <c r="D8" s="17">
        <f>IFERROR(INDEX(M_RawMaterials[基準在庫下限_要入力],MATCH($A8,M_RawMaterials[RM_Code],0)),0)</f>
        <v/>
      </c>
      <c r="E8" s="17">
        <f>IFERROR(INDEX(M_RawMaterials[基準在庫上限_要入力],MATCH($A8,M_RawMaterials[RM_Code],0)),0)</f>
        <v/>
      </c>
      <c r="F8" s="17">
        <f>IFERROR(LOOKUP(2,1/(T_SelfStock!$A$2:$A$12000=$A8),T_SelfStock!$D$2:$D$12000),"")</f>
        <v/>
      </c>
      <c r="G8" s="17">
        <f>IFERROR(LOOKUP(2,1/(T_TTAFStock!$A$2:$A$12000=$A8),T_TTAFStock!$D$2:$D$12000),"")</f>
        <v/>
      </c>
      <c r="H8" s="17">
        <f>IFERROR(INDEX(Cal_Weeks[Label],LOOKUP(2,1/(T_SelfStock!$A$2:$A$12000=$A8),T_SelfStock!$C$2:$C$12000)),"")</f>
        <v/>
      </c>
      <c r="I8" s="16">
        <f>IFERROR(INDEX(J8:DI8,$F$1),"")</f>
        <v/>
      </c>
      <c r="J8" s="17">
        <f>'Grid_Stock'!B3</f>
        <v/>
      </c>
      <c r="K8" s="17">
        <f>'Grid_Stock'!C3</f>
        <v/>
      </c>
      <c r="L8" s="17">
        <f>'Grid_Stock'!D3</f>
        <v/>
      </c>
      <c r="M8" s="17">
        <f>'Grid_Stock'!E3</f>
        <v/>
      </c>
      <c r="N8" s="17">
        <f>'Grid_Stock'!F3</f>
        <v/>
      </c>
      <c r="O8" s="17">
        <f>'Grid_Stock'!G3</f>
        <v/>
      </c>
      <c r="P8" s="17">
        <f>'Grid_Stock'!H3</f>
        <v/>
      </c>
      <c r="Q8" s="17">
        <f>'Grid_Stock'!I3</f>
        <v/>
      </c>
      <c r="R8" s="17">
        <f>'Grid_Stock'!J3</f>
        <v/>
      </c>
      <c r="S8" s="17">
        <f>'Grid_Stock'!K3</f>
        <v/>
      </c>
      <c r="T8" s="17">
        <f>'Grid_Stock'!L3</f>
        <v/>
      </c>
      <c r="U8" s="17">
        <f>'Grid_Stock'!M3</f>
        <v/>
      </c>
      <c r="V8" s="17">
        <f>'Grid_Stock'!N3</f>
        <v/>
      </c>
      <c r="W8" s="17">
        <f>'Grid_Stock'!O3</f>
        <v/>
      </c>
      <c r="X8" s="17">
        <f>'Grid_Stock'!P3</f>
        <v/>
      </c>
      <c r="Y8" s="17">
        <f>'Grid_Stock'!Q3</f>
        <v/>
      </c>
      <c r="Z8" s="17">
        <f>'Grid_Stock'!R3</f>
        <v/>
      </c>
      <c r="AA8" s="17">
        <f>'Grid_Stock'!S3</f>
        <v/>
      </c>
      <c r="AB8" s="17">
        <f>'Grid_Stock'!T3</f>
        <v/>
      </c>
      <c r="AC8" s="17">
        <f>'Grid_Stock'!U3</f>
        <v/>
      </c>
      <c r="AD8" s="17">
        <f>'Grid_Stock'!V3</f>
        <v/>
      </c>
      <c r="AE8" s="17">
        <f>'Grid_Stock'!W3</f>
        <v/>
      </c>
      <c r="AF8" s="17">
        <f>'Grid_Stock'!X3</f>
        <v/>
      </c>
      <c r="AG8" s="17">
        <f>'Grid_Stock'!Y3</f>
        <v/>
      </c>
      <c r="AH8" s="17">
        <f>'Grid_Stock'!Z3</f>
        <v/>
      </c>
      <c r="AI8" s="17">
        <f>'Grid_Stock'!AA3</f>
        <v/>
      </c>
      <c r="AJ8" s="17">
        <f>'Grid_Stock'!AB3</f>
        <v/>
      </c>
      <c r="AK8" s="17">
        <f>'Grid_Stock'!AC3</f>
        <v/>
      </c>
      <c r="AL8" s="17">
        <f>'Grid_Stock'!AD3</f>
        <v/>
      </c>
      <c r="AM8" s="17">
        <f>'Grid_Stock'!AE3</f>
        <v/>
      </c>
      <c r="AN8" s="17">
        <f>'Grid_Stock'!AF3</f>
        <v/>
      </c>
      <c r="AO8" s="17">
        <f>'Grid_Stock'!AG3</f>
        <v/>
      </c>
      <c r="AP8" s="17">
        <f>'Grid_Stock'!AH3</f>
        <v/>
      </c>
      <c r="AQ8" s="17">
        <f>'Grid_Stock'!AI3</f>
        <v/>
      </c>
      <c r="AR8" s="17">
        <f>'Grid_Stock'!AJ3</f>
        <v/>
      </c>
      <c r="AS8" s="17">
        <f>'Grid_Stock'!AK3</f>
        <v/>
      </c>
      <c r="AT8" s="17">
        <f>'Grid_Stock'!AL3</f>
        <v/>
      </c>
      <c r="AU8" s="17">
        <f>'Grid_Stock'!AM3</f>
        <v/>
      </c>
      <c r="AV8" s="17">
        <f>'Grid_Stock'!AN3</f>
        <v/>
      </c>
      <c r="AW8" s="17">
        <f>'Grid_Stock'!AO3</f>
        <v/>
      </c>
      <c r="AX8" s="17">
        <f>'Grid_Stock'!AP3</f>
        <v/>
      </c>
      <c r="AY8" s="17">
        <f>'Grid_Stock'!AQ3</f>
        <v/>
      </c>
      <c r="AZ8" s="17">
        <f>'Grid_Stock'!AR3</f>
        <v/>
      </c>
      <c r="BA8" s="17">
        <f>'Grid_Stock'!AS3</f>
        <v/>
      </c>
      <c r="BB8" s="17">
        <f>'Grid_Stock'!AT3</f>
        <v/>
      </c>
      <c r="BC8" s="17">
        <f>'Grid_Stock'!AU3</f>
        <v/>
      </c>
      <c r="BD8" s="17">
        <f>'Grid_Stock'!AV3</f>
        <v/>
      </c>
      <c r="BE8" s="17">
        <f>'Grid_Stock'!AW3</f>
        <v/>
      </c>
      <c r="BF8" s="17">
        <f>'Grid_Stock'!AX3</f>
        <v/>
      </c>
      <c r="BG8" s="17">
        <f>'Grid_Stock'!AY3</f>
        <v/>
      </c>
      <c r="BH8" s="17">
        <f>'Grid_Stock'!AZ3</f>
        <v/>
      </c>
      <c r="BI8" s="17">
        <f>'Grid_Stock'!BA3</f>
        <v/>
      </c>
      <c r="BJ8" s="17">
        <f>'Grid_Stock'!BB3</f>
        <v/>
      </c>
      <c r="BK8" s="17">
        <f>'Grid_Stock'!BC3</f>
        <v/>
      </c>
      <c r="BL8" s="17">
        <f>'Grid_Stock'!BD3</f>
        <v/>
      </c>
      <c r="BM8" s="17">
        <f>'Grid_Stock'!BE3</f>
        <v/>
      </c>
      <c r="BN8" s="17">
        <f>'Grid_Stock'!BF3</f>
        <v/>
      </c>
      <c r="BO8" s="17">
        <f>'Grid_Stock'!BG3</f>
        <v/>
      </c>
      <c r="BP8" s="17">
        <f>'Grid_Stock'!BH3</f>
        <v/>
      </c>
      <c r="BQ8" s="17">
        <f>'Grid_Stock'!BI3</f>
        <v/>
      </c>
      <c r="BR8" s="17">
        <f>'Grid_Stock'!BJ3</f>
        <v/>
      </c>
      <c r="BS8" s="17">
        <f>'Grid_Stock'!BK3</f>
        <v/>
      </c>
      <c r="BT8" s="17">
        <f>'Grid_Stock'!BL3</f>
        <v/>
      </c>
      <c r="BU8" s="17">
        <f>'Grid_Stock'!BM3</f>
        <v/>
      </c>
      <c r="BV8" s="17">
        <f>'Grid_Stock'!BN3</f>
        <v/>
      </c>
      <c r="BW8" s="17">
        <f>'Grid_Stock'!BO3</f>
        <v/>
      </c>
      <c r="BX8" s="17">
        <f>'Grid_Stock'!BP3</f>
        <v/>
      </c>
      <c r="BY8" s="17">
        <f>'Grid_Stock'!BQ3</f>
        <v/>
      </c>
      <c r="BZ8" s="17">
        <f>'Grid_Stock'!BR3</f>
        <v/>
      </c>
      <c r="CA8" s="17">
        <f>'Grid_Stock'!BS3</f>
        <v/>
      </c>
      <c r="CB8" s="17">
        <f>'Grid_Stock'!BT3</f>
        <v/>
      </c>
      <c r="CC8" s="17">
        <f>'Grid_Stock'!BU3</f>
        <v/>
      </c>
      <c r="CD8" s="17">
        <f>'Grid_Stock'!BV3</f>
        <v/>
      </c>
      <c r="CE8" s="17">
        <f>'Grid_Stock'!BW3</f>
        <v/>
      </c>
      <c r="CF8" s="17">
        <f>'Grid_Stock'!BX3</f>
        <v/>
      </c>
      <c r="CG8" s="17">
        <f>'Grid_Stock'!BY3</f>
        <v/>
      </c>
      <c r="CH8" s="17">
        <f>'Grid_Stock'!BZ3</f>
        <v/>
      </c>
      <c r="CI8" s="17">
        <f>'Grid_Stock'!CA3</f>
        <v/>
      </c>
      <c r="CJ8" s="17">
        <f>'Grid_Stock'!CB3</f>
        <v/>
      </c>
      <c r="CK8" s="17">
        <f>'Grid_Stock'!CC3</f>
        <v/>
      </c>
      <c r="CL8" s="17">
        <f>'Grid_Stock'!CD3</f>
        <v/>
      </c>
      <c r="CM8" s="17">
        <f>'Grid_Stock'!CE3</f>
        <v/>
      </c>
      <c r="CN8" s="17">
        <f>'Grid_Stock'!CF3</f>
        <v/>
      </c>
      <c r="CO8" s="17">
        <f>'Grid_Stock'!CG3</f>
        <v/>
      </c>
      <c r="CP8" s="17">
        <f>'Grid_Stock'!CH3</f>
        <v/>
      </c>
      <c r="CQ8" s="17">
        <f>'Grid_Stock'!CI3</f>
        <v/>
      </c>
      <c r="CR8" s="17">
        <f>'Grid_Stock'!CJ3</f>
        <v/>
      </c>
      <c r="CS8" s="17">
        <f>'Grid_Stock'!CK3</f>
        <v/>
      </c>
      <c r="CT8" s="17">
        <f>'Grid_Stock'!CL3</f>
        <v/>
      </c>
      <c r="CU8" s="17">
        <f>'Grid_Stock'!CM3</f>
        <v/>
      </c>
      <c r="CV8" s="17">
        <f>'Grid_Stock'!CN3</f>
        <v/>
      </c>
      <c r="CW8" s="17">
        <f>'Grid_Stock'!CO3</f>
        <v/>
      </c>
      <c r="CX8" s="17">
        <f>'Grid_Stock'!CP3</f>
        <v/>
      </c>
      <c r="CY8" s="17">
        <f>'Grid_Stock'!CQ3</f>
        <v/>
      </c>
      <c r="CZ8" s="17">
        <f>'Grid_Stock'!CR3</f>
        <v/>
      </c>
      <c r="DA8" s="17">
        <f>'Grid_Stock'!CS3</f>
        <v/>
      </c>
      <c r="DB8" s="17">
        <f>'Grid_Stock'!CT3</f>
        <v/>
      </c>
      <c r="DC8" s="17">
        <f>'Grid_Stock'!CU3</f>
        <v/>
      </c>
      <c r="DD8" s="17">
        <f>'Grid_Stock'!CV3</f>
        <v/>
      </c>
      <c r="DE8" s="17">
        <f>'Grid_Stock'!CW3</f>
        <v/>
      </c>
      <c r="DF8" s="17">
        <f>'Grid_Stock'!CX3</f>
        <v/>
      </c>
      <c r="DG8" s="17">
        <f>'Grid_Stock'!CY3</f>
        <v/>
      </c>
      <c r="DH8" s="17">
        <f>'Grid_Stock'!CZ3</f>
        <v/>
      </c>
      <c r="DI8" s="17">
        <f>'Grid_Stock'!DA3</f>
        <v/>
      </c>
    </row>
    <row r="9">
      <c r="A9" s="15" t="inlineStr">
        <is>
          <t>CHEM-1700</t>
        </is>
      </c>
      <c r="B9" s="15">
        <f>IFERROR(INDEX(M_RawMaterials[Description],MATCH($A9,M_RawMaterials[RM_Code],0)),"")</f>
        <v/>
      </c>
      <c r="C9" s="15">
        <f>IFERROR(INDEX(M_RawMaterials[Category],MATCH($A9,M_RawMaterials[RM_Code],0)),"")</f>
        <v/>
      </c>
      <c r="D9" s="15">
        <f>IFERROR(INDEX(M_RawMaterials[基準在庫下限_要入力],MATCH($A9,M_RawMaterials[RM_Code],0)),0)</f>
        <v/>
      </c>
      <c r="E9" s="15">
        <f>IFERROR(INDEX(M_RawMaterials[基準在庫上限_要入力],MATCH($A9,M_RawMaterials[RM_Code],0)),0)</f>
        <v/>
      </c>
      <c r="F9" s="15">
        <f>IFERROR(LOOKUP(2,1/(T_SelfStock!$A$2:$A$12000=$A9),T_SelfStock!$D$2:$D$12000),"")</f>
        <v/>
      </c>
      <c r="G9" s="15">
        <f>IFERROR(LOOKUP(2,1/(T_TTAFStock!$A$2:$A$12000=$A9),T_TTAFStock!$D$2:$D$12000),"")</f>
        <v/>
      </c>
      <c r="H9" s="15">
        <f>IFERROR(INDEX(Cal_Weeks[Label],LOOKUP(2,1/(T_SelfStock!$A$2:$A$12000=$A9),T_SelfStock!$C$2:$C$12000)),"")</f>
        <v/>
      </c>
      <c r="I9" s="16">
        <f>IFERROR(INDEX(J9:DI9,$F$1),"")</f>
        <v/>
      </c>
      <c r="J9" s="15">
        <f>'Grid_Stock'!B4</f>
        <v/>
      </c>
      <c r="K9" s="15">
        <f>'Grid_Stock'!C4</f>
        <v/>
      </c>
      <c r="L9" s="15">
        <f>'Grid_Stock'!D4</f>
        <v/>
      </c>
      <c r="M9" s="15">
        <f>'Grid_Stock'!E4</f>
        <v/>
      </c>
      <c r="N9" s="15">
        <f>'Grid_Stock'!F4</f>
        <v/>
      </c>
      <c r="O9" s="15">
        <f>'Grid_Stock'!G4</f>
        <v/>
      </c>
      <c r="P9" s="15">
        <f>'Grid_Stock'!H4</f>
        <v/>
      </c>
      <c r="Q9" s="15">
        <f>'Grid_Stock'!I4</f>
        <v/>
      </c>
      <c r="R9" s="15">
        <f>'Grid_Stock'!J4</f>
        <v/>
      </c>
      <c r="S9" s="15">
        <f>'Grid_Stock'!K4</f>
        <v/>
      </c>
      <c r="T9" s="15">
        <f>'Grid_Stock'!L4</f>
        <v/>
      </c>
      <c r="U9" s="15">
        <f>'Grid_Stock'!M4</f>
        <v/>
      </c>
      <c r="V9" s="15">
        <f>'Grid_Stock'!N4</f>
        <v/>
      </c>
      <c r="W9" s="15">
        <f>'Grid_Stock'!O4</f>
        <v/>
      </c>
      <c r="X9" s="15">
        <f>'Grid_Stock'!P4</f>
        <v/>
      </c>
      <c r="Y9" s="15">
        <f>'Grid_Stock'!Q4</f>
        <v/>
      </c>
      <c r="Z9" s="15">
        <f>'Grid_Stock'!R4</f>
        <v/>
      </c>
      <c r="AA9" s="15">
        <f>'Grid_Stock'!S4</f>
        <v/>
      </c>
      <c r="AB9" s="15">
        <f>'Grid_Stock'!T4</f>
        <v/>
      </c>
      <c r="AC9" s="15">
        <f>'Grid_Stock'!U4</f>
        <v/>
      </c>
      <c r="AD9" s="15">
        <f>'Grid_Stock'!V4</f>
        <v/>
      </c>
      <c r="AE9" s="15">
        <f>'Grid_Stock'!W4</f>
        <v/>
      </c>
      <c r="AF9" s="15">
        <f>'Grid_Stock'!X4</f>
        <v/>
      </c>
      <c r="AG9" s="15">
        <f>'Grid_Stock'!Y4</f>
        <v/>
      </c>
      <c r="AH9" s="15">
        <f>'Grid_Stock'!Z4</f>
        <v/>
      </c>
      <c r="AI9" s="15">
        <f>'Grid_Stock'!AA4</f>
        <v/>
      </c>
      <c r="AJ9" s="15">
        <f>'Grid_Stock'!AB4</f>
        <v/>
      </c>
      <c r="AK9" s="15">
        <f>'Grid_Stock'!AC4</f>
        <v/>
      </c>
      <c r="AL9" s="15">
        <f>'Grid_Stock'!AD4</f>
        <v/>
      </c>
      <c r="AM9" s="15">
        <f>'Grid_Stock'!AE4</f>
        <v/>
      </c>
      <c r="AN9" s="15">
        <f>'Grid_Stock'!AF4</f>
        <v/>
      </c>
      <c r="AO9" s="15">
        <f>'Grid_Stock'!AG4</f>
        <v/>
      </c>
      <c r="AP9" s="15">
        <f>'Grid_Stock'!AH4</f>
        <v/>
      </c>
      <c r="AQ9" s="15">
        <f>'Grid_Stock'!AI4</f>
        <v/>
      </c>
      <c r="AR9" s="15">
        <f>'Grid_Stock'!AJ4</f>
        <v/>
      </c>
      <c r="AS9" s="15">
        <f>'Grid_Stock'!AK4</f>
        <v/>
      </c>
      <c r="AT9" s="15">
        <f>'Grid_Stock'!AL4</f>
        <v/>
      </c>
      <c r="AU9" s="15">
        <f>'Grid_Stock'!AM4</f>
        <v/>
      </c>
      <c r="AV9" s="15">
        <f>'Grid_Stock'!AN4</f>
        <v/>
      </c>
      <c r="AW9" s="15">
        <f>'Grid_Stock'!AO4</f>
        <v/>
      </c>
      <c r="AX9" s="15">
        <f>'Grid_Stock'!AP4</f>
        <v/>
      </c>
      <c r="AY9" s="15">
        <f>'Grid_Stock'!AQ4</f>
        <v/>
      </c>
      <c r="AZ9" s="15">
        <f>'Grid_Stock'!AR4</f>
        <v/>
      </c>
      <c r="BA9" s="15">
        <f>'Grid_Stock'!AS4</f>
        <v/>
      </c>
      <c r="BB9" s="15">
        <f>'Grid_Stock'!AT4</f>
        <v/>
      </c>
      <c r="BC9" s="15">
        <f>'Grid_Stock'!AU4</f>
        <v/>
      </c>
      <c r="BD9" s="15">
        <f>'Grid_Stock'!AV4</f>
        <v/>
      </c>
      <c r="BE9" s="15">
        <f>'Grid_Stock'!AW4</f>
        <v/>
      </c>
      <c r="BF9" s="15">
        <f>'Grid_Stock'!AX4</f>
        <v/>
      </c>
      <c r="BG9" s="15">
        <f>'Grid_Stock'!AY4</f>
        <v/>
      </c>
      <c r="BH9" s="15">
        <f>'Grid_Stock'!AZ4</f>
        <v/>
      </c>
      <c r="BI9" s="15">
        <f>'Grid_Stock'!BA4</f>
        <v/>
      </c>
      <c r="BJ9" s="15">
        <f>'Grid_Stock'!BB4</f>
        <v/>
      </c>
      <c r="BK9" s="15">
        <f>'Grid_Stock'!BC4</f>
        <v/>
      </c>
      <c r="BL9" s="15">
        <f>'Grid_Stock'!BD4</f>
        <v/>
      </c>
      <c r="BM9" s="15">
        <f>'Grid_Stock'!BE4</f>
        <v/>
      </c>
      <c r="BN9" s="15">
        <f>'Grid_Stock'!BF4</f>
        <v/>
      </c>
      <c r="BO9" s="15">
        <f>'Grid_Stock'!BG4</f>
        <v/>
      </c>
      <c r="BP9" s="15">
        <f>'Grid_Stock'!BH4</f>
        <v/>
      </c>
      <c r="BQ9" s="15">
        <f>'Grid_Stock'!BI4</f>
        <v/>
      </c>
      <c r="BR9" s="15">
        <f>'Grid_Stock'!BJ4</f>
        <v/>
      </c>
      <c r="BS9" s="15">
        <f>'Grid_Stock'!BK4</f>
        <v/>
      </c>
      <c r="BT9" s="15">
        <f>'Grid_Stock'!BL4</f>
        <v/>
      </c>
      <c r="BU9" s="15">
        <f>'Grid_Stock'!BM4</f>
        <v/>
      </c>
      <c r="BV9" s="15">
        <f>'Grid_Stock'!BN4</f>
        <v/>
      </c>
      <c r="BW9" s="15">
        <f>'Grid_Stock'!BO4</f>
        <v/>
      </c>
      <c r="BX9" s="15">
        <f>'Grid_Stock'!BP4</f>
        <v/>
      </c>
      <c r="BY9" s="15">
        <f>'Grid_Stock'!BQ4</f>
        <v/>
      </c>
      <c r="BZ9" s="15">
        <f>'Grid_Stock'!BR4</f>
        <v/>
      </c>
      <c r="CA9" s="15">
        <f>'Grid_Stock'!BS4</f>
        <v/>
      </c>
      <c r="CB9" s="15">
        <f>'Grid_Stock'!BT4</f>
        <v/>
      </c>
      <c r="CC9" s="15">
        <f>'Grid_Stock'!BU4</f>
        <v/>
      </c>
      <c r="CD9" s="15">
        <f>'Grid_Stock'!BV4</f>
        <v/>
      </c>
      <c r="CE9" s="15">
        <f>'Grid_Stock'!BW4</f>
        <v/>
      </c>
      <c r="CF9" s="15">
        <f>'Grid_Stock'!BX4</f>
        <v/>
      </c>
      <c r="CG9" s="15">
        <f>'Grid_Stock'!BY4</f>
        <v/>
      </c>
      <c r="CH9" s="15">
        <f>'Grid_Stock'!BZ4</f>
        <v/>
      </c>
      <c r="CI9" s="15">
        <f>'Grid_Stock'!CA4</f>
        <v/>
      </c>
      <c r="CJ9" s="15">
        <f>'Grid_Stock'!CB4</f>
        <v/>
      </c>
      <c r="CK9" s="15">
        <f>'Grid_Stock'!CC4</f>
        <v/>
      </c>
      <c r="CL9" s="15">
        <f>'Grid_Stock'!CD4</f>
        <v/>
      </c>
      <c r="CM9" s="15">
        <f>'Grid_Stock'!CE4</f>
        <v/>
      </c>
      <c r="CN9" s="15">
        <f>'Grid_Stock'!CF4</f>
        <v/>
      </c>
      <c r="CO9" s="15">
        <f>'Grid_Stock'!CG4</f>
        <v/>
      </c>
      <c r="CP9" s="15">
        <f>'Grid_Stock'!CH4</f>
        <v/>
      </c>
      <c r="CQ9" s="15">
        <f>'Grid_Stock'!CI4</f>
        <v/>
      </c>
      <c r="CR9" s="15">
        <f>'Grid_Stock'!CJ4</f>
        <v/>
      </c>
      <c r="CS9" s="15">
        <f>'Grid_Stock'!CK4</f>
        <v/>
      </c>
      <c r="CT9" s="15">
        <f>'Grid_Stock'!CL4</f>
        <v/>
      </c>
      <c r="CU9" s="15">
        <f>'Grid_Stock'!CM4</f>
        <v/>
      </c>
      <c r="CV9" s="15">
        <f>'Grid_Stock'!CN4</f>
        <v/>
      </c>
      <c r="CW9" s="15">
        <f>'Grid_Stock'!CO4</f>
        <v/>
      </c>
      <c r="CX9" s="15">
        <f>'Grid_Stock'!CP4</f>
        <v/>
      </c>
      <c r="CY9" s="15">
        <f>'Grid_Stock'!CQ4</f>
        <v/>
      </c>
      <c r="CZ9" s="15">
        <f>'Grid_Stock'!CR4</f>
        <v/>
      </c>
      <c r="DA9" s="15">
        <f>'Grid_Stock'!CS4</f>
        <v/>
      </c>
      <c r="DB9" s="15">
        <f>'Grid_Stock'!CT4</f>
        <v/>
      </c>
      <c r="DC9" s="15">
        <f>'Grid_Stock'!CU4</f>
        <v/>
      </c>
      <c r="DD9" s="15">
        <f>'Grid_Stock'!CV4</f>
        <v/>
      </c>
      <c r="DE9" s="15">
        <f>'Grid_Stock'!CW4</f>
        <v/>
      </c>
      <c r="DF9" s="15">
        <f>'Grid_Stock'!CX4</f>
        <v/>
      </c>
      <c r="DG9" s="15">
        <f>'Grid_Stock'!CY4</f>
        <v/>
      </c>
      <c r="DH9" s="15">
        <f>'Grid_Stock'!CZ4</f>
        <v/>
      </c>
      <c r="DI9" s="15">
        <f>'Grid_Stock'!DA4</f>
        <v/>
      </c>
    </row>
    <row r="10">
      <c r="A10" s="17" t="inlineStr">
        <is>
          <t>CHEM-1420</t>
        </is>
      </c>
      <c r="B10" s="17">
        <f>IFERROR(INDEX(M_RawMaterials[Description],MATCH($A10,M_RawMaterials[RM_Code],0)),"")</f>
        <v/>
      </c>
      <c r="C10" s="17">
        <f>IFERROR(INDEX(M_RawMaterials[Category],MATCH($A10,M_RawMaterials[RM_Code],0)),"")</f>
        <v/>
      </c>
      <c r="D10" s="17">
        <f>IFERROR(INDEX(M_RawMaterials[基準在庫下限_要入力],MATCH($A10,M_RawMaterials[RM_Code],0)),0)</f>
        <v/>
      </c>
      <c r="E10" s="17">
        <f>IFERROR(INDEX(M_RawMaterials[基準在庫上限_要入力],MATCH($A10,M_RawMaterials[RM_Code],0)),0)</f>
        <v/>
      </c>
      <c r="F10" s="17">
        <f>IFERROR(LOOKUP(2,1/(T_SelfStock!$A$2:$A$12000=$A10),T_SelfStock!$D$2:$D$12000),"")</f>
        <v/>
      </c>
      <c r="G10" s="17">
        <f>IFERROR(LOOKUP(2,1/(T_TTAFStock!$A$2:$A$12000=$A10),T_TTAFStock!$D$2:$D$12000),"")</f>
        <v/>
      </c>
      <c r="H10" s="17">
        <f>IFERROR(INDEX(Cal_Weeks[Label],LOOKUP(2,1/(T_SelfStock!$A$2:$A$12000=$A10),T_SelfStock!$C$2:$C$12000)),"")</f>
        <v/>
      </c>
      <c r="I10" s="16">
        <f>IFERROR(INDEX(J10:DI10,$F$1),"")</f>
        <v/>
      </c>
      <c r="J10" s="17">
        <f>'Grid_Stock'!B5</f>
        <v/>
      </c>
      <c r="K10" s="17">
        <f>'Grid_Stock'!C5</f>
        <v/>
      </c>
      <c r="L10" s="17">
        <f>'Grid_Stock'!D5</f>
        <v/>
      </c>
      <c r="M10" s="17">
        <f>'Grid_Stock'!E5</f>
        <v/>
      </c>
      <c r="N10" s="17">
        <f>'Grid_Stock'!F5</f>
        <v/>
      </c>
      <c r="O10" s="17">
        <f>'Grid_Stock'!G5</f>
        <v/>
      </c>
      <c r="P10" s="17">
        <f>'Grid_Stock'!H5</f>
        <v/>
      </c>
      <c r="Q10" s="17">
        <f>'Grid_Stock'!I5</f>
        <v/>
      </c>
      <c r="R10" s="17">
        <f>'Grid_Stock'!J5</f>
        <v/>
      </c>
      <c r="S10" s="17">
        <f>'Grid_Stock'!K5</f>
        <v/>
      </c>
      <c r="T10" s="17">
        <f>'Grid_Stock'!L5</f>
        <v/>
      </c>
      <c r="U10" s="17">
        <f>'Grid_Stock'!M5</f>
        <v/>
      </c>
      <c r="V10" s="17">
        <f>'Grid_Stock'!N5</f>
        <v/>
      </c>
      <c r="W10" s="17">
        <f>'Grid_Stock'!O5</f>
        <v/>
      </c>
      <c r="X10" s="17">
        <f>'Grid_Stock'!P5</f>
        <v/>
      </c>
      <c r="Y10" s="17">
        <f>'Grid_Stock'!Q5</f>
        <v/>
      </c>
      <c r="Z10" s="17">
        <f>'Grid_Stock'!R5</f>
        <v/>
      </c>
      <c r="AA10" s="17">
        <f>'Grid_Stock'!S5</f>
        <v/>
      </c>
      <c r="AB10" s="17">
        <f>'Grid_Stock'!T5</f>
        <v/>
      </c>
      <c r="AC10" s="17">
        <f>'Grid_Stock'!U5</f>
        <v/>
      </c>
      <c r="AD10" s="17">
        <f>'Grid_Stock'!V5</f>
        <v/>
      </c>
      <c r="AE10" s="17">
        <f>'Grid_Stock'!W5</f>
        <v/>
      </c>
      <c r="AF10" s="17">
        <f>'Grid_Stock'!X5</f>
        <v/>
      </c>
      <c r="AG10" s="17">
        <f>'Grid_Stock'!Y5</f>
        <v/>
      </c>
      <c r="AH10" s="17">
        <f>'Grid_Stock'!Z5</f>
        <v/>
      </c>
      <c r="AI10" s="17">
        <f>'Grid_Stock'!AA5</f>
        <v/>
      </c>
      <c r="AJ10" s="17">
        <f>'Grid_Stock'!AB5</f>
        <v/>
      </c>
      <c r="AK10" s="17">
        <f>'Grid_Stock'!AC5</f>
        <v/>
      </c>
      <c r="AL10" s="17">
        <f>'Grid_Stock'!AD5</f>
        <v/>
      </c>
      <c r="AM10" s="17">
        <f>'Grid_Stock'!AE5</f>
        <v/>
      </c>
      <c r="AN10" s="17">
        <f>'Grid_Stock'!AF5</f>
        <v/>
      </c>
      <c r="AO10" s="17">
        <f>'Grid_Stock'!AG5</f>
        <v/>
      </c>
      <c r="AP10" s="17">
        <f>'Grid_Stock'!AH5</f>
        <v/>
      </c>
      <c r="AQ10" s="17">
        <f>'Grid_Stock'!AI5</f>
        <v/>
      </c>
      <c r="AR10" s="17">
        <f>'Grid_Stock'!AJ5</f>
        <v/>
      </c>
      <c r="AS10" s="17">
        <f>'Grid_Stock'!AK5</f>
        <v/>
      </c>
      <c r="AT10" s="17">
        <f>'Grid_Stock'!AL5</f>
        <v/>
      </c>
      <c r="AU10" s="17">
        <f>'Grid_Stock'!AM5</f>
        <v/>
      </c>
      <c r="AV10" s="17">
        <f>'Grid_Stock'!AN5</f>
        <v/>
      </c>
      <c r="AW10" s="17">
        <f>'Grid_Stock'!AO5</f>
        <v/>
      </c>
      <c r="AX10" s="17">
        <f>'Grid_Stock'!AP5</f>
        <v/>
      </c>
      <c r="AY10" s="17">
        <f>'Grid_Stock'!AQ5</f>
        <v/>
      </c>
      <c r="AZ10" s="17">
        <f>'Grid_Stock'!AR5</f>
        <v/>
      </c>
      <c r="BA10" s="17">
        <f>'Grid_Stock'!AS5</f>
        <v/>
      </c>
      <c r="BB10" s="17">
        <f>'Grid_Stock'!AT5</f>
        <v/>
      </c>
      <c r="BC10" s="17">
        <f>'Grid_Stock'!AU5</f>
        <v/>
      </c>
      <c r="BD10" s="17">
        <f>'Grid_Stock'!AV5</f>
        <v/>
      </c>
      <c r="BE10" s="17">
        <f>'Grid_Stock'!AW5</f>
        <v/>
      </c>
      <c r="BF10" s="17">
        <f>'Grid_Stock'!AX5</f>
        <v/>
      </c>
      <c r="BG10" s="17">
        <f>'Grid_Stock'!AY5</f>
        <v/>
      </c>
      <c r="BH10" s="17">
        <f>'Grid_Stock'!AZ5</f>
        <v/>
      </c>
      <c r="BI10" s="17">
        <f>'Grid_Stock'!BA5</f>
        <v/>
      </c>
      <c r="BJ10" s="17">
        <f>'Grid_Stock'!BB5</f>
        <v/>
      </c>
      <c r="BK10" s="17">
        <f>'Grid_Stock'!BC5</f>
        <v/>
      </c>
      <c r="BL10" s="17">
        <f>'Grid_Stock'!BD5</f>
        <v/>
      </c>
      <c r="BM10" s="17">
        <f>'Grid_Stock'!BE5</f>
        <v/>
      </c>
      <c r="BN10" s="17">
        <f>'Grid_Stock'!BF5</f>
        <v/>
      </c>
      <c r="BO10" s="17">
        <f>'Grid_Stock'!BG5</f>
        <v/>
      </c>
      <c r="BP10" s="17">
        <f>'Grid_Stock'!BH5</f>
        <v/>
      </c>
      <c r="BQ10" s="17">
        <f>'Grid_Stock'!BI5</f>
        <v/>
      </c>
      <c r="BR10" s="17">
        <f>'Grid_Stock'!BJ5</f>
        <v/>
      </c>
      <c r="BS10" s="17">
        <f>'Grid_Stock'!BK5</f>
        <v/>
      </c>
      <c r="BT10" s="17">
        <f>'Grid_Stock'!BL5</f>
        <v/>
      </c>
      <c r="BU10" s="17">
        <f>'Grid_Stock'!BM5</f>
        <v/>
      </c>
      <c r="BV10" s="17">
        <f>'Grid_Stock'!BN5</f>
        <v/>
      </c>
      <c r="BW10" s="17">
        <f>'Grid_Stock'!BO5</f>
        <v/>
      </c>
      <c r="BX10" s="17">
        <f>'Grid_Stock'!BP5</f>
        <v/>
      </c>
      <c r="BY10" s="17">
        <f>'Grid_Stock'!BQ5</f>
        <v/>
      </c>
      <c r="BZ10" s="17">
        <f>'Grid_Stock'!BR5</f>
        <v/>
      </c>
      <c r="CA10" s="17">
        <f>'Grid_Stock'!BS5</f>
        <v/>
      </c>
      <c r="CB10" s="17">
        <f>'Grid_Stock'!BT5</f>
        <v/>
      </c>
      <c r="CC10" s="17">
        <f>'Grid_Stock'!BU5</f>
        <v/>
      </c>
      <c r="CD10" s="17">
        <f>'Grid_Stock'!BV5</f>
        <v/>
      </c>
      <c r="CE10" s="17">
        <f>'Grid_Stock'!BW5</f>
        <v/>
      </c>
      <c r="CF10" s="17">
        <f>'Grid_Stock'!BX5</f>
        <v/>
      </c>
      <c r="CG10" s="17">
        <f>'Grid_Stock'!BY5</f>
        <v/>
      </c>
      <c r="CH10" s="17">
        <f>'Grid_Stock'!BZ5</f>
        <v/>
      </c>
      <c r="CI10" s="17">
        <f>'Grid_Stock'!CA5</f>
        <v/>
      </c>
      <c r="CJ10" s="17">
        <f>'Grid_Stock'!CB5</f>
        <v/>
      </c>
      <c r="CK10" s="17">
        <f>'Grid_Stock'!CC5</f>
        <v/>
      </c>
      <c r="CL10" s="17">
        <f>'Grid_Stock'!CD5</f>
        <v/>
      </c>
      <c r="CM10" s="17">
        <f>'Grid_Stock'!CE5</f>
        <v/>
      </c>
      <c r="CN10" s="17">
        <f>'Grid_Stock'!CF5</f>
        <v/>
      </c>
      <c r="CO10" s="17">
        <f>'Grid_Stock'!CG5</f>
        <v/>
      </c>
      <c r="CP10" s="17">
        <f>'Grid_Stock'!CH5</f>
        <v/>
      </c>
      <c r="CQ10" s="17">
        <f>'Grid_Stock'!CI5</f>
        <v/>
      </c>
      <c r="CR10" s="17">
        <f>'Grid_Stock'!CJ5</f>
        <v/>
      </c>
      <c r="CS10" s="17">
        <f>'Grid_Stock'!CK5</f>
        <v/>
      </c>
      <c r="CT10" s="17">
        <f>'Grid_Stock'!CL5</f>
        <v/>
      </c>
      <c r="CU10" s="17">
        <f>'Grid_Stock'!CM5</f>
        <v/>
      </c>
      <c r="CV10" s="17">
        <f>'Grid_Stock'!CN5</f>
        <v/>
      </c>
      <c r="CW10" s="17">
        <f>'Grid_Stock'!CO5</f>
        <v/>
      </c>
      <c r="CX10" s="17">
        <f>'Grid_Stock'!CP5</f>
        <v/>
      </c>
      <c r="CY10" s="17">
        <f>'Grid_Stock'!CQ5</f>
        <v/>
      </c>
      <c r="CZ10" s="17">
        <f>'Grid_Stock'!CR5</f>
        <v/>
      </c>
      <c r="DA10" s="17">
        <f>'Grid_Stock'!CS5</f>
        <v/>
      </c>
      <c r="DB10" s="17">
        <f>'Grid_Stock'!CT5</f>
        <v/>
      </c>
      <c r="DC10" s="17">
        <f>'Grid_Stock'!CU5</f>
        <v/>
      </c>
      <c r="DD10" s="17">
        <f>'Grid_Stock'!CV5</f>
        <v/>
      </c>
      <c r="DE10" s="17">
        <f>'Grid_Stock'!CW5</f>
        <v/>
      </c>
      <c r="DF10" s="17">
        <f>'Grid_Stock'!CX5</f>
        <v/>
      </c>
      <c r="DG10" s="17">
        <f>'Grid_Stock'!CY5</f>
        <v/>
      </c>
      <c r="DH10" s="17">
        <f>'Grid_Stock'!CZ5</f>
        <v/>
      </c>
      <c r="DI10" s="17">
        <f>'Grid_Stock'!DA5</f>
        <v/>
      </c>
    </row>
    <row r="11">
      <c r="A11" s="15" t="inlineStr">
        <is>
          <t>CHEM-1530</t>
        </is>
      </c>
      <c r="B11" s="15">
        <f>IFERROR(INDEX(M_RawMaterials[Description],MATCH($A11,M_RawMaterials[RM_Code],0)),"")</f>
        <v/>
      </c>
      <c r="C11" s="15">
        <f>IFERROR(INDEX(M_RawMaterials[Category],MATCH($A11,M_RawMaterials[RM_Code],0)),"")</f>
        <v/>
      </c>
      <c r="D11" s="15">
        <f>IFERROR(INDEX(M_RawMaterials[基準在庫下限_要入力],MATCH($A11,M_RawMaterials[RM_Code],0)),0)</f>
        <v/>
      </c>
      <c r="E11" s="15">
        <f>IFERROR(INDEX(M_RawMaterials[基準在庫上限_要入力],MATCH($A11,M_RawMaterials[RM_Code],0)),0)</f>
        <v/>
      </c>
      <c r="F11" s="15">
        <f>IFERROR(LOOKUP(2,1/(T_SelfStock!$A$2:$A$12000=$A11),T_SelfStock!$D$2:$D$12000),"")</f>
        <v/>
      </c>
      <c r="G11" s="15">
        <f>IFERROR(LOOKUP(2,1/(T_TTAFStock!$A$2:$A$12000=$A11),T_TTAFStock!$D$2:$D$12000),"")</f>
        <v/>
      </c>
      <c r="H11" s="15">
        <f>IFERROR(INDEX(Cal_Weeks[Label],LOOKUP(2,1/(T_SelfStock!$A$2:$A$12000=$A11),T_SelfStock!$C$2:$C$12000)),"")</f>
        <v/>
      </c>
      <c r="I11" s="16">
        <f>IFERROR(INDEX(J11:DI11,$F$1),"")</f>
        <v/>
      </c>
      <c r="J11" s="15">
        <f>'Grid_Stock'!B6</f>
        <v/>
      </c>
      <c r="K11" s="15">
        <f>'Grid_Stock'!C6</f>
        <v/>
      </c>
      <c r="L11" s="15">
        <f>'Grid_Stock'!D6</f>
        <v/>
      </c>
      <c r="M11" s="15">
        <f>'Grid_Stock'!E6</f>
        <v/>
      </c>
      <c r="N11" s="15">
        <f>'Grid_Stock'!F6</f>
        <v/>
      </c>
      <c r="O11" s="15">
        <f>'Grid_Stock'!G6</f>
        <v/>
      </c>
      <c r="P11" s="15">
        <f>'Grid_Stock'!H6</f>
        <v/>
      </c>
      <c r="Q11" s="15">
        <f>'Grid_Stock'!I6</f>
        <v/>
      </c>
      <c r="R11" s="15">
        <f>'Grid_Stock'!J6</f>
        <v/>
      </c>
      <c r="S11" s="15">
        <f>'Grid_Stock'!K6</f>
        <v/>
      </c>
      <c r="T11" s="15">
        <f>'Grid_Stock'!L6</f>
        <v/>
      </c>
      <c r="U11" s="15">
        <f>'Grid_Stock'!M6</f>
        <v/>
      </c>
      <c r="V11" s="15">
        <f>'Grid_Stock'!N6</f>
        <v/>
      </c>
      <c r="W11" s="15">
        <f>'Grid_Stock'!O6</f>
        <v/>
      </c>
      <c r="X11" s="15">
        <f>'Grid_Stock'!P6</f>
        <v/>
      </c>
      <c r="Y11" s="15">
        <f>'Grid_Stock'!Q6</f>
        <v/>
      </c>
      <c r="Z11" s="15">
        <f>'Grid_Stock'!R6</f>
        <v/>
      </c>
      <c r="AA11" s="15">
        <f>'Grid_Stock'!S6</f>
        <v/>
      </c>
      <c r="AB11" s="15">
        <f>'Grid_Stock'!T6</f>
        <v/>
      </c>
      <c r="AC11" s="15">
        <f>'Grid_Stock'!U6</f>
        <v/>
      </c>
      <c r="AD11" s="15">
        <f>'Grid_Stock'!V6</f>
        <v/>
      </c>
      <c r="AE11" s="15">
        <f>'Grid_Stock'!W6</f>
        <v/>
      </c>
      <c r="AF11" s="15">
        <f>'Grid_Stock'!X6</f>
        <v/>
      </c>
      <c r="AG11" s="15">
        <f>'Grid_Stock'!Y6</f>
        <v/>
      </c>
      <c r="AH11" s="15">
        <f>'Grid_Stock'!Z6</f>
        <v/>
      </c>
      <c r="AI11" s="15">
        <f>'Grid_Stock'!AA6</f>
        <v/>
      </c>
      <c r="AJ11" s="15">
        <f>'Grid_Stock'!AB6</f>
        <v/>
      </c>
      <c r="AK11" s="15">
        <f>'Grid_Stock'!AC6</f>
        <v/>
      </c>
      <c r="AL11" s="15">
        <f>'Grid_Stock'!AD6</f>
        <v/>
      </c>
      <c r="AM11" s="15">
        <f>'Grid_Stock'!AE6</f>
        <v/>
      </c>
      <c r="AN11" s="15">
        <f>'Grid_Stock'!AF6</f>
        <v/>
      </c>
      <c r="AO11" s="15">
        <f>'Grid_Stock'!AG6</f>
        <v/>
      </c>
      <c r="AP11" s="15">
        <f>'Grid_Stock'!AH6</f>
        <v/>
      </c>
      <c r="AQ11" s="15">
        <f>'Grid_Stock'!AI6</f>
        <v/>
      </c>
      <c r="AR11" s="15">
        <f>'Grid_Stock'!AJ6</f>
        <v/>
      </c>
      <c r="AS11" s="15">
        <f>'Grid_Stock'!AK6</f>
        <v/>
      </c>
      <c r="AT11" s="15">
        <f>'Grid_Stock'!AL6</f>
        <v/>
      </c>
      <c r="AU11" s="15">
        <f>'Grid_Stock'!AM6</f>
        <v/>
      </c>
      <c r="AV11" s="15">
        <f>'Grid_Stock'!AN6</f>
        <v/>
      </c>
      <c r="AW11" s="15">
        <f>'Grid_Stock'!AO6</f>
        <v/>
      </c>
      <c r="AX11" s="15">
        <f>'Grid_Stock'!AP6</f>
        <v/>
      </c>
      <c r="AY11" s="15">
        <f>'Grid_Stock'!AQ6</f>
        <v/>
      </c>
      <c r="AZ11" s="15">
        <f>'Grid_Stock'!AR6</f>
        <v/>
      </c>
      <c r="BA11" s="15">
        <f>'Grid_Stock'!AS6</f>
        <v/>
      </c>
      <c r="BB11" s="15">
        <f>'Grid_Stock'!AT6</f>
        <v/>
      </c>
      <c r="BC11" s="15">
        <f>'Grid_Stock'!AU6</f>
        <v/>
      </c>
      <c r="BD11" s="15">
        <f>'Grid_Stock'!AV6</f>
        <v/>
      </c>
      <c r="BE11" s="15">
        <f>'Grid_Stock'!AW6</f>
        <v/>
      </c>
      <c r="BF11" s="15">
        <f>'Grid_Stock'!AX6</f>
        <v/>
      </c>
      <c r="BG11" s="15">
        <f>'Grid_Stock'!AY6</f>
        <v/>
      </c>
      <c r="BH11" s="15">
        <f>'Grid_Stock'!AZ6</f>
        <v/>
      </c>
      <c r="BI11" s="15">
        <f>'Grid_Stock'!BA6</f>
        <v/>
      </c>
      <c r="BJ11" s="15">
        <f>'Grid_Stock'!BB6</f>
        <v/>
      </c>
      <c r="BK11" s="15">
        <f>'Grid_Stock'!BC6</f>
        <v/>
      </c>
      <c r="BL11" s="15">
        <f>'Grid_Stock'!BD6</f>
        <v/>
      </c>
      <c r="BM11" s="15">
        <f>'Grid_Stock'!BE6</f>
        <v/>
      </c>
      <c r="BN11" s="15">
        <f>'Grid_Stock'!BF6</f>
        <v/>
      </c>
      <c r="BO11" s="15">
        <f>'Grid_Stock'!BG6</f>
        <v/>
      </c>
      <c r="BP11" s="15">
        <f>'Grid_Stock'!BH6</f>
        <v/>
      </c>
      <c r="BQ11" s="15">
        <f>'Grid_Stock'!BI6</f>
        <v/>
      </c>
      <c r="BR11" s="15">
        <f>'Grid_Stock'!BJ6</f>
        <v/>
      </c>
      <c r="BS11" s="15">
        <f>'Grid_Stock'!BK6</f>
        <v/>
      </c>
      <c r="BT11" s="15">
        <f>'Grid_Stock'!BL6</f>
        <v/>
      </c>
      <c r="BU11" s="15">
        <f>'Grid_Stock'!BM6</f>
        <v/>
      </c>
      <c r="BV11" s="15">
        <f>'Grid_Stock'!BN6</f>
        <v/>
      </c>
      <c r="BW11" s="15">
        <f>'Grid_Stock'!BO6</f>
        <v/>
      </c>
      <c r="BX11" s="15">
        <f>'Grid_Stock'!BP6</f>
        <v/>
      </c>
      <c r="BY11" s="15">
        <f>'Grid_Stock'!BQ6</f>
        <v/>
      </c>
      <c r="BZ11" s="15">
        <f>'Grid_Stock'!BR6</f>
        <v/>
      </c>
      <c r="CA11" s="15">
        <f>'Grid_Stock'!BS6</f>
        <v/>
      </c>
      <c r="CB11" s="15">
        <f>'Grid_Stock'!BT6</f>
        <v/>
      </c>
      <c r="CC11" s="15">
        <f>'Grid_Stock'!BU6</f>
        <v/>
      </c>
      <c r="CD11" s="15">
        <f>'Grid_Stock'!BV6</f>
        <v/>
      </c>
      <c r="CE11" s="15">
        <f>'Grid_Stock'!BW6</f>
        <v/>
      </c>
      <c r="CF11" s="15">
        <f>'Grid_Stock'!BX6</f>
        <v/>
      </c>
      <c r="CG11" s="15">
        <f>'Grid_Stock'!BY6</f>
        <v/>
      </c>
      <c r="CH11" s="15">
        <f>'Grid_Stock'!BZ6</f>
        <v/>
      </c>
      <c r="CI11" s="15">
        <f>'Grid_Stock'!CA6</f>
        <v/>
      </c>
      <c r="CJ11" s="15">
        <f>'Grid_Stock'!CB6</f>
        <v/>
      </c>
      <c r="CK11" s="15">
        <f>'Grid_Stock'!CC6</f>
        <v/>
      </c>
      <c r="CL11" s="15">
        <f>'Grid_Stock'!CD6</f>
        <v/>
      </c>
      <c r="CM11" s="15">
        <f>'Grid_Stock'!CE6</f>
        <v/>
      </c>
      <c r="CN11" s="15">
        <f>'Grid_Stock'!CF6</f>
        <v/>
      </c>
      <c r="CO11" s="15">
        <f>'Grid_Stock'!CG6</f>
        <v/>
      </c>
      <c r="CP11" s="15">
        <f>'Grid_Stock'!CH6</f>
        <v/>
      </c>
      <c r="CQ11" s="15">
        <f>'Grid_Stock'!CI6</f>
        <v/>
      </c>
      <c r="CR11" s="15">
        <f>'Grid_Stock'!CJ6</f>
        <v/>
      </c>
      <c r="CS11" s="15">
        <f>'Grid_Stock'!CK6</f>
        <v/>
      </c>
      <c r="CT11" s="15">
        <f>'Grid_Stock'!CL6</f>
        <v/>
      </c>
      <c r="CU11" s="15">
        <f>'Grid_Stock'!CM6</f>
        <v/>
      </c>
      <c r="CV11" s="15">
        <f>'Grid_Stock'!CN6</f>
        <v/>
      </c>
      <c r="CW11" s="15">
        <f>'Grid_Stock'!CO6</f>
        <v/>
      </c>
      <c r="CX11" s="15">
        <f>'Grid_Stock'!CP6</f>
        <v/>
      </c>
      <c r="CY11" s="15">
        <f>'Grid_Stock'!CQ6</f>
        <v/>
      </c>
      <c r="CZ11" s="15">
        <f>'Grid_Stock'!CR6</f>
        <v/>
      </c>
      <c r="DA11" s="15">
        <f>'Grid_Stock'!CS6</f>
        <v/>
      </c>
      <c r="DB11" s="15">
        <f>'Grid_Stock'!CT6</f>
        <v/>
      </c>
      <c r="DC11" s="15">
        <f>'Grid_Stock'!CU6</f>
        <v/>
      </c>
      <c r="DD11" s="15">
        <f>'Grid_Stock'!CV6</f>
        <v/>
      </c>
      <c r="DE11" s="15">
        <f>'Grid_Stock'!CW6</f>
        <v/>
      </c>
      <c r="DF11" s="15">
        <f>'Grid_Stock'!CX6</f>
        <v/>
      </c>
      <c r="DG11" s="15">
        <f>'Grid_Stock'!CY6</f>
        <v/>
      </c>
      <c r="DH11" s="15">
        <f>'Grid_Stock'!CZ6</f>
        <v/>
      </c>
      <c r="DI11" s="15">
        <f>'Grid_Stock'!DA6</f>
        <v/>
      </c>
    </row>
    <row r="12">
      <c r="A12" s="17" t="inlineStr">
        <is>
          <t>CHEM-1540</t>
        </is>
      </c>
      <c r="B12" s="17">
        <f>IFERROR(INDEX(M_RawMaterials[Description],MATCH($A12,M_RawMaterials[RM_Code],0)),"")</f>
        <v/>
      </c>
      <c r="C12" s="17">
        <f>IFERROR(INDEX(M_RawMaterials[Category],MATCH($A12,M_RawMaterials[RM_Code],0)),"")</f>
        <v/>
      </c>
      <c r="D12" s="17">
        <f>IFERROR(INDEX(M_RawMaterials[基準在庫下限_要入力],MATCH($A12,M_RawMaterials[RM_Code],0)),0)</f>
        <v/>
      </c>
      <c r="E12" s="17">
        <f>IFERROR(INDEX(M_RawMaterials[基準在庫上限_要入力],MATCH($A12,M_RawMaterials[RM_Code],0)),0)</f>
        <v/>
      </c>
      <c r="F12" s="17">
        <f>IFERROR(LOOKUP(2,1/(T_SelfStock!$A$2:$A$12000=$A12),T_SelfStock!$D$2:$D$12000),"")</f>
        <v/>
      </c>
      <c r="G12" s="17">
        <f>IFERROR(LOOKUP(2,1/(T_TTAFStock!$A$2:$A$12000=$A12),T_TTAFStock!$D$2:$D$12000),"")</f>
        <v/>
      </c>
      <c r="H12" s="17">
        <f>IFERROR(INDEX(Cal_Weeks[Label],LOOKUP(2,1/(T_SelfStock!$A$2:$A$12000=$A12),T_SelfStock!$C$2:$C$12000)),"")</f>
        <v/>
      </c>
      <c r="I12" s="16">
        <f>IFERROR(INDEX(J12:DI12,$F$1),"")</f>
        <v/>
      </c>
      <c r="J12" s="17">
        <f>'Grid_Stock'!B7</f>
        <v/>
      </c>
      <c r="K12" s="17">
        <f>'Grid_Stock'!C7</f>
        <v/>
      </c>
      <c r="L12" s="17">
        <f>'Grid_Stock'!D7</f>
        <v/>
      </c>
      <c r="M12" s="17">
        <f>'Grid_Stock'!E7</f>
        <v/>
      </c>
      <c r="N12" s="17">
        <f>'Grid_Stock'!F7</f>
        <v/>
      </c>
      <c r="O12" s="17">
        <f>'Grid_Stock'!G7</f>
        <v/>
      </c>
      <c r="P12" s="17">
        <f>'Grid_Stock'!H7</f>
        <v/>
      </c>
      <c r="Q12" s="17">
        <f>'Grid_Stock'!I7</f>
        <v/>
      </c>
      <c r="R12" s="17">
        <f>'Grid_Stock'!J7</f>
        <v/>
      </c>
      <c r="S12" s="17">
        <f>'Grid_Stock'!K7</f>
        <v/>
      </c>
      <c r="T12" s="17">
        <f>'Grid_Stock'!L7</f>
        <v/>
      </c>
      <c r="U12" s="17">
        <f>'Grid_Stock'!M7</f>
        <v/>
      </c>
      <c r="V12" s="17">
        <f>'Grid_Stock'!N7</f>
        <v/>
      </c>
      <c r="W12" s="17">
        <f>'Grid_Stock'!O7</f>
        <v/>
      </c>
      <c r="X12" s="17">
        <f>'Grid_Stock'!P7</f>
        <v/>
      </c>
      <c r="Y12" s="17">
        <f>'Grid_Stock'!Q7</f>
        <v/>
      </c>
      <c r="Z12" s="17">
        <f>'Grid_Stock'!R7</f>
        <v/>
      </c>
      <c r="AA12" s="17">
        <f>'Grid_Stock'!S7</f>
        <v/>
      </c>
      <c r="AB12" s="17">
        <f>'Grid_Stock'!T7</f>
        <v/>
      </c>
      <c r="AC12" s="17">
        <f>'Grid_Stock'!U7</f>
        <v/>
      </c>
      <c r="AD12" s="17">
        <f>'Grid_Stock'!V7</f>
        <v/>
      </c>
      <c r="AE12" s="17">
        <f>'Grid_Stock'!W7</f>
        <v/>
      </c>
      <c r="AF12" s="17">
        <f>'Grid_Stock'!X7</f>
        <v/>
      </c>
      <c r="AG12" s="17">
        <f>'Grid_Stock'!Y7</f>
        <v/>
      </c>
      <c r="AH12" s="17">
        <f>'Grid_Stock'!Z7</f>
        <v/>
      </c>
      <c r="AI12" s="17">
        <f>'Grid_Stock'!AA7</f>
        <v/>
      </c>
      <c r="AJ12" s="17">
        <f>'Grid_Stock'!AB7</f>
        <v/>
      </c>
      <c r="AK12" s="17">
        <f>'Grid_Stock'!AC7</f>
        <v/>
      </c>
      <c r="AL12" s="17">
        <f>'Grid_Stock'!AD7</f>
        <v/>
      </c>
      <c r="AM12" s="17">
        <f>'Grid_Stock'!AE7</f>
        <v/>
      </c>
      <c r="AN12" s="17">
        <f>'Grid_Stock'!AF7</f>
        <v/>
      </c>
      <c r="AO12" s="17">
        <f>'Grid_Stock'!AG7</f>
        <v/>
      </c>
      <c r="AP12" s="17">
        <f>'Grid_Stock'!AH7</f>
        <v/>
      </c>
      <c r="AQ12" s="17">
        <f>'Grid_Stock'!AI7</f>
        <v/>
      </c>
      <c r="AR12" s="17">
        <f>'Grid_Stock'!AJ7</f>
        <v/>
      </c>
      <c r="AS12" s="17">
        <f>'Grid_Stock'!AK7</f>
        <v/>
      </c>
      <c r="AT12" s="17">
        <f>'Grid_Stock'!AL7</f>
        <v/>
      </c>
      <c r="AU12" s="17">
        <f>'Grid_Stock'!AM7</f>
        <v/>
      </c>
      <c r="AV12" s="17">
        <f>'Grid_Stock'!AN7</f>
        <v/>
      </c>
      <c r="AW12" s="17">
        <f>'Grid_Stock'!AO7</f>
        <v/>
      </c>
      <c r="AX12" s="17">
        <f>'Grid_Stock'!AP7</f>
        <v/>
      </c>
      <c r="AY12" s="17">
        <f>'Grid_Stock'!AQ7</f>
        <v/>
      </c>
      <c r="AZ12" s="17">
        <f>'Grid_Stock'!AR7</f>
        <v/>
      </c>
      <c r="BA12" s="17">
        <f>'Grid_Stock'!AS7</f>
        <v/>
      </c>
      <c r="BB12" s="17">
        <f>'Grid_Stock'!AT7</f>
        <v/>
      </c>
      <c r="BC12" s="17">
        <f>'Grid_Stock'!AU7</f>
        <v/>
      </c>
      <c r="BD12" s="17">
        <f>'Grid_Stock'!AV7</f>
        <v/>
      </c>
      <c r="BE12" s="17">
        <f>'Grid_Stock'!AW7</f>
        <v/>
      </c>
      <c r="BF12" s="17">
        <f>'Grid_Stock'!AX7</f>
        <v/>
      </c>
      <c r="BG12" s="17">
        <f>'Grid_Stock'!AY7</f>
        <v/>
      </c>
      <c r="BH12" s="17">
        <f>'Grid_Stock'!AZ7</f>
        <v/>
      </c>
      <c r="BI12" s="17">
        <f>'Grid_Stock'!BA7</f>
        <v/>
      </c>
      <c r="BJ12" s="17">
        <f>'Grid_Stock'!BB7</f>
        <v/>
      </c>
      <c r="BK12" s="17">
        <f>'Grid_Stock'!BC7</f>
        <v/>
      </c>
      <c r="BL12" s="17">
        <f>'Grid_Stock'!BD7</f>
        <v/>
      </c>
      <c r="BM12" s="17">
        <f>'Grid_Stock'!BE7</f>
        <v/>
      </c>
      <c r="BN12" s="17">
        <f>'Grid_Stock'!BF7</f>
        <v/>
      </c>
      <c r="BO12" s="17">
        <f>'Grid_Stock'!BG7</f>
        <v/>
      </c>
      <c r="BP12" s="17">
        <f>'Grid_Stock'!BH7</f>
        <v/>
      </c>
      <c r="BQ12" s="17">
        <f>'Grid_Stock'!BI7</f>
        <v/>
      </c>
      <c r="BR12" s="17">
        <f>'Grid_Stock'!BJ7</f>
        <v/>
      </c>
      <c r="BS12" s="17">
        <f>'Grid_Stock'!BK7</f>
        <v/>
      </c>
      <c r="BT12" s="17">
        <f>'Grid_Stock'!BL7</f>
        <v/>
      </c>
      <c r="BU12" s="17">
        <f>'Grid_Stock'!BM7</f>
        <v/>
      </c>
      <c r="BV12" s="17">
        <f>'Grid_Stock'!BN7</f>
        <v/>
      </c>
      <c r="BW12" s="17">
        <f>'Grid_Stock'!BO7</f>
        <v/>
      </c>
      <c r="BX12" s="17">
        <f>'Grid_Stock'!BP7</f>
        <v/>
      </c>
      <c r="BY12" s="17">
        <f>'Grid_Stock'!BQ7</f>
        <v/>
      </c>
      <c r="BZ12" s="17">
        <f>'Grid_Stock'!BR7</f>
        <v/>
      </c>
      <c r="CA12" s="17">
        <f>'Grid_Stock'!BS7</f>
        <v/>
      </c>
      <c r="CB12" s="17">
        <f>'Grid_Stock'!BT7</f>
        <v/>
      </c>
      <c r="CC12" s="17">
        <f>'Grid_Stock'!BU7</f>
        <v/>
      </c>
      <c r="CD12" s="17">
        <f>'Grid_Stock'!BV7</f>
        <v/>
      </c>
      <c r="CE12" s="17">
        <f>'Grid_Stock'!BW7</f>
        <v/>
      </c>
      <c r="CF12" s="17">
        <f>'Grid_Stock'!BX7</f>
        <v/>
      </c>
      <c r="CG12" s="17">
        <f>'Grid_Stock'!BY7</f>
        <v/>
      </c>
      <c r="CH12" s="17">
        <f>'Grid_Stock'!BZ7</f>
        <v/>
      </c>
      <c r="CI12" s="17">
        <f>'Grid_Stock'!CA7</f>
        <v/>
      </c>
      <c r="CJ12" s="17">
        <f>'Grid_Stock'!CB7</f>
        <v/>
      </c>
      <c r="CK12" s="17">
        <f>'Grid_Stock'!CC7</f>
        <v/>
      </c>
      <c r="CL12" s="17">
        <f>'Grid_Stock'!CD7</f>
        <v/>
      </c>
      <c r="CM12" s="17">
        <f>'Grid_Stock'!CE7</f>
        <v/>
      </c>
      <c r="CN12" s="17">
        <f>'Grid_Stock'!CF7</f>
        <v/>
      </c>
      <c r="CO12" s="17">
        <f>'Grid_Stock'!CG7</f>
        <v/>
      </c>
      <c r="CP12" s="17">
        <f>'Grid_Stock'!CH7</f>
        <v/>
      </c>
      <c r="CQ12" s="17">
        <f>'Grid_Stock'!CI7</f>
        <v/>
      </c>
      <c r="CR12" s="17">
        <f>'Grid_Stock'!CJ7</f>
        <v/>
      </c>
      <c r="CS12" s="17">
        <f>'Grid_Stock'!CK7</f>
        <v/>
      </c>
      <c r="CT12" s="17">
        <f>'Grid_Stock'!CL7</f>
        <v/>
      </c>
      <c r="CU12" s="17">
        <f>'Grid_Stock'!CM7</f>
        <v/>
      </c>
      <c r="CV12" s="17">
        <f>'Grid_Stock'!CN7</f>
        <v/>
      </c>
      <c r="CW12" s="17">
        <f>'Grid_Stock'!CO7</f>
        <v/>
      </c>
      <c r="CX12" s="17">
        <f>'Grid_Stock'!CP7</f>
        <v/>
      </c>
      <c r="CY12" s="17">
        <f>'Grid_Stock'!CQ7</f>
        <v/>
      </c>
      <c r="CZ12" s="17">
        <f>'Grid_Stock'!CR7</f>
        <v/>
      </c>
      <c r="DA12" s="17">
        <f>'Grid_Stock'!CS7</f>
        <v/>
      </c>
      <c r="DB12" s="17">
        <f>'Grid_Stock'!CT7</f>
        <v/>
      </c>
      <c r="DC12" s="17">
        <f>'Grid_Stock'!CU7</f>
        <v/>
      </c>
      <c r="DD12" s="17">
        <f>'Grid_Stock'!CV7</f>
        <v/>
      </c>
      <c r="DE12" s="17">
        <f>'Grid_Stock'!CW7</f>
        <v/>
      </c>
      <c r="DF12" s="17">
        <f>'Grid_Stock'!CX7</f>
        <v/>
      </c>
      <c r="DG12" s="17">
        <f>'Grid_Stock'!CY7</f>
        <v/>
      </c>
      <c r="DH12" s="17">
        <f>'Grid_Stock'!CZ7</f>
        <v/>
      </c>
      <c r="DI12" s="17">
        <f>'Grid_Stock'!DA7</f>
        <v/>
      </c>
    </row>
    <row r="13">
      <c r="A13" s="15" t="inlineStr">
        <is>
          <t>CHEM-1690</t>
        </is>
      </c>
      <c r="B13" s="15">
        <f>IFERROR(INDEX(M_RawMaterials[Description],MATCH($A13,M_RawMaterials[RM_Code],0)),"")</f>
        <v/>
      </c>
      <c r="C13" s="15">
        <f>IFERROR(INDEX(M_RawMaterials[Category],MATCH($A13,M_RawMaterials[RM_Code],0)),"")</f>
        <v/>
      </c>
      <c r="D13" s="15">
        <f>IFERROR(INDEX(M_RawMaterials[基準在庫下限_要入力],MATCH($A13,M_RawMaterials[RM_Code],0)),0)</f>
        <v/>
      </c>
      <c r="E13" s="15">
        <f>IFERROR(INDEX(M_RawMaterials[基準在庫上限_要入力],MATCH($A13,M_RawMaterials[RM_Code],0)),0)</f>
        <v/>
      </c>
      <c r="F13" s="15">
        <f>IFERROR(LOOKUP(2,1/(T_SelfStock!$A$2:$A$12000=$A13),T_SelfStock!$D$2:$D$12000),"")</f>
        <v/>
      </c>
      <c r="G13" s="15">
        <f>IFERROR(LOOKUP(2,1/(T_TTAFStock!$A$2:$A$12000=$A13),T_TTAFStock!$D$2:$D$12000),"")</f>
        <v/>
      </c>
      <c r="H13" s="15">
        <f>IFERROR(INDEX(Cal_Weeks[Label],LOOKUP(2,1/(T_SelfStock!$A$2:$A$12000=$A13),T_SelfStock!$C$2:$C$12000)),"")</f>
        <v/>
      </c>
      <c r="I13" s="16">
        <f>IFERROR(INDEX(J13:DI13,$F$1),"")</f>
        <v/>
      </c>
      <c r="J13" s="15">
        <f>'Grid_Stock'!B8</f>
        <v/>
      </c>
      <c r="K13" s="15">
        <f>'Grid_Stock'!C8</f>
        <v/>
      </c>
      <c r="L13" s="15">
        <f>'Grid_Stock'!D8</f>
        <v/>
      </c>
      <c r="M13" s="15">
        <f>'Grid_Stock'!E8</f>
        <v/>
      </c>
      <c r="N13" s="15">
        <f>'Grid_Stock'!F8</f>
        <v/>
      </c>
      <c r="O13" s="15">
        <f>'Grid_Stock'!G8</f>
        <v/>
      </c>
      <c r="P13" s="15">
        <f>'Grid_Stock'!H8</f>
        <v/>
      </c>
      <c r="Q13" s="15">
        <f>'Grid_Stock'!I8</f>
        <v/>
      </c>
      <c r="R13" s="15">
        <f>'Grid_Stock'!J8</f>
        <v/>
      </c>
      <c r="S13" s="15">
        <f>'Grid_Stock'!K8</f>
        <v/>
      </c>
      <c r="T13" s="15">
        <f>'Grid_Stock'!L8</f>
        <v/>
      </c>
      <c r="U13" s="15">
        <f>'Grid_Stock'!M8</f>
        <v/>
      </c>
      <c r="V13" s="15">
        <f>'Grid_Stock'!N8</f>
        <v/>
      </c>
      <c r="W13" s="15">
        <f>'Grid_Stock'!O8</f>
        <v/>
      </c>
      <c r="X13" s="15">
        <f>'Grid_Stock'!P8</f>
        <v/>
      </c>
      <c r="Y13" s="15">
        <f>'Grid_Stock'!Q8</f>
        <v/>
      </c>
      <c r="Z13" s="15">
        <f>'Grid_Stock'!R8</f>
        <v/>
      </c>
      <c r="AA13" s="15">
        <f>'Grid_Stock'!S8</f>
        <v/>
      </c>
      <c r="AB13" s="15">
        <f>'Grid_Stock'!T8</f>
        <v/>
      </c>
      <c r="AC13" s="15">
        <f>'Grid_Stock'!U8</f>
        <v/>
      </c>
      <c r="AD13" s="15">
        <f>'Grid_Stock'!V8</f>
        <v/>
      </c>
      <c r="AE13" s="15">
        <f>'Grid_Stock'!W8</f>
        <v/>
      </c>
      <c r="AF13" s="15">
        <f>'Grid_Stock'!X8</f>
        <v/>
      </c>
      <c r="AG13" s="15">
        <f>'Grid_Stock'!Y8</f>
        <v/>
      </c>
      <c r="AH13" s="15">
        <f>'Grid_Stock'!Z8</f>
        <v/>
      </c>
      <c r="AI13" s="15">
        <f>'Grid_Stock'!AA8</f>
        <v/>
      </c>
      <c r="AJ13" s="15">
        <f>'Grid_Stock'!AB8</f>
        <v/>
      </c>
      <c r="AK13" s="15">
        <f>'Grid_Stock'!AC8</f>
        <v/>
      </c>
      <c r="AL13" s="15">
        <f>'Grid_Stock'!AD8</f>
        <v/>
      </c>
      <c r="AM13" s="15">
        <f>'Grid_Stock'!AE8</f>
        <v/>
      </c>
      <c r="AN13" s="15">
        <f>'Grid_Stock'!AF8</f>
        <v/>
      </c>
      <c r="AO13" s="15">
        <f>'Grid_Stock'!AG8</f>
        <v/>
      </c>
      <c r="AP13" s="15">
        <f>'Grid_Stock'!AH8</f>
        <v/>
      </c>
      <c r="AQ13" s="15">
        <f>'Grid_Stock'!AI8</f>
        <v/>
      </c>
      <c r="AR13" s="15">
        <f>'Grid_Stock'!AJ8</f>
        <v/>
      </c>
      <c r="AS13" s="15">
        <f>'Grid_Stock'!AK8</f>
        <v/>
      </c>
      <c r="AT13" s="15">
        <f>'Grid_Stock'!AL8</f>
        <v/>
      </c>
      <c r="AU13" s="15">
        <f>'Grid_Stock'!AM8</f>
        <v/>
      </c>
      <c r="AV13" s="15">
        <f>'Grid_Stock'!AN8</f>
        <v/>
      </c>
      <c r="AW13" s="15">
        <f>'Grid_Stock'!AO8</f>
        <v/>
      </c>
      <c r="AX13" s="15">
        <f>'Grid_Stock'!AP8</f>
        <v/>
      </c>
      <c r="AY13" s="15">
        <f>'Grid_Stock'!AQ8</f>
        <v/>
      </c>
      <c r="AZ13" s="15">
        <f>'Grid_Stock'!AR8</f>
        <v/>
      </c>
      <c r="BA13" s="15">
        <f>'Grid_Stock'!AS8</f>
        <v/>
      </c>
      <c r="BB13" s="15">
        <f>'Grid_Stock'!AT8</f>
        <v/>
      </c>
      <c r="BC13" s="15">
        <f>'Grid_Stock'!AU8</f>
        <v/>
      </c>
      <c r="BD13" s="15">
        <f>'Grid_Stock'!AV8</f>
        <v/>
      </c>
      <c r="BE13" s="15">
        <f>'Grid_Stock'!AW8</f>
        <v/>
      </c>
      <c r="BF13" s="15">
        <f>'Grid_Stock'!AX8</f>
        <v/>
      </c>
      <c r="BG13" s="15">
        <f>'Grid_Stock'!AY8</f>
        <v/>
      </c>
      <c r="BH13" s="15">
        <f>'Grid_Stock'!AZ8</f>
        <v/>
      </c>
      <c r="BI13" s="15">
        <f>'Grid_Stock'!BA8</f>
        <v/>
      </c>
      <c r="BJ13" s="15">
        <f>'Grid_Stock'!BB8</f>
        <v/>
      </c>
      <c r="BK13" s="15">
        <f>'Grid_Stock'!BC8</f>
        <v/>
      </c>
      <c r="BL13" s="15">
        <f>'Grid_Stock'!BD8</f>
        <v/>
      </c>
      <c r="BM13" s="15">
        <f>'Grid_Stock'!BE8</f>
        <v/>
      </c>
      <c r="BN13" s="15">
        <f>'Grid_Stock'!BF8</f>
        <v/>
      </c>
      <c r="BO13" s="15">
        <f>'Grid_Stock'!BG8</f>
        <v/>
      </c>
      <c r="BP13" s="15">
        <f>'Grid_Stock'!BH8</f>
        <v/>
      </c>
      <c r="BQ13" s="15">
        <f>'Grid_Stock'!BI8</f>
        <v/>
      </c>
      <c r="BR13" s="15">
        <f>'Grid_Stock'!BJ8</f>
        <v/>
      </c>
      <c r="BS13" s="15">
        <f>'Grid_Stock'!BK8</f>
        <v/>
      </c>
      <c r="BT13" s="15">
        <f>'Grid_Stock'!BL8</f>
        <v/>
      </c>
      <c r="BU13" s="15">
        <f>'Grid_Stock'!BM8</f>
        <v/>
      </c>
      <c r="BV13" s="15">
        <f>'Grid_Stock'!BN8</f>
        <v/>
      </c>
      <c r="BW13" s="15">
        <f>'Grid_Stock'!BO8</f>
        <v/>
      </c>
      <c r="BX13" s="15">
        <f>'Grid_Stock'!BP8</f>
        <v/>
      </c>
      <c r="BY13" s="15">
        <f>'Grid_Stock'!BQ8</f>
        <v/>
      </c>
      <c r="BZ13" s="15">
        <f>'Grid_Stock'!BR8</f>
        <v/>
      </c>
      <c r="CA13" s="15">
        <f>'Grid_Stock'!BS8</f>
        <v/>
      </c>
      <c r="CB13" s="15">
        <f>'Grid_Stock'!BT8</f>
        <v/>
      </c>
      <c r="CC13" s="15">
        <f>'Grid_Stock'!BU8</f>
        <v/>
      </c>
      <c r="CD13" s="15">
        <f>'Grid_Stock'!BV8</f>
        <v/>
      </c>
      <c r="CE13" s="15">
        <f>'Grid_Stock'!BW8</f>
        <v/>
      </c>
      <c r="CF13" s="15">
        <f>'Grid_Stock'!BX8</f>
        <v/>
      </c>
      <c r="CG13" s="15">
        <f>'Grid_Stock'!BY8</f>
        <v/>
      </c>
      <c r="CH13" s="15">
        <f>'Grid_Stock'!BZ8</f>
        <v/>
      </c>
      <c r="CI13" s="15">
        <f>'Grid_Stock'!CA8</f>
        <v/>
      </c>
      <c r="CJ13" s="15">
        <f>'Grid_Stock'!CB8</f>
        <v/>
      </c>
      <c r="CK13" s="15">
        <f>'Grid_Stock'!CC8</f>
        <v/>
      </c>
      <c r="CL13" s="15">
        <f>'Grid_Stock'!CD8</f>
        <v/>
      </c>
      <c r="CM13" s="15">
        <f>'Grid_Stock'!CE8</f>
        <v/>
      </c>
      <c r="CN13" s="15">
        <f>'Grid_Stock'!CF8</f>
        <v/>
      </c>
      <c r="CO13" s="15">
        <f>'Grid_Stock'!CG8</f>
        <v/>
      </c>
      <c r="CP13" s="15">
        <f>'Grid_Stock'!CH8</f>
        <v/>
      </c>
      <c r="CQ13" s="15">
        <f>'Grid_Stock'!CI8</f>
        <v/>
      </c>
      <c r="CR13" s="15">
        <f>'Grid_Stock'!CJ8</f>
        <v/>
      </c>
      <c r="CS13" s="15">
        <f>'Grid_Stock'!CK8</f>
        <v/>
      </c>
      <c r="CT13" s="15">
        <f>'Grid_Stock'!CL8</f>
        <v/>
      </c>
      <c r="CU13" s="15">
        <f>'Grid_Stock'!CM8</f>
        <v/>
      </c>
      <c r="CV13" s="15">
        <f>'Grid_Stock'!CN8</f>
        <v/>
      </c>
      <c r="CW13" s="15">
        <f>'Grid_Stock'!CO8</f>
        <v/>
      </c>
      <c r="CX13" s="15">
        <f>'Grid_Stock'!CP8</f>
        <v/>
      </c>
      <c r="CY13" s="15">
        <f>'Grid_Stock'!CQ8</f>
        <v/>
      </c>
      <c r="CZ13" s="15">
        <f>'Grid_Stock'!CR8</f>
        <v/>
      </c>
      <c r="DA13" s="15">
        <f>'Grid_Stock'!CS8</f>
        <v/>
      </c>
      <c r="DB13" s="15">
        <f>'Grid_Stock'!CT8</f>
        <v/>
      </c>
      <c r="DC13" s="15">
        <f>'Grid_Stock'!CU8</f>
        <v/>
      </c>
      <c r="DD13" s="15">
        <f>'Grid_Stock'!CV8</f>
        <v/>
      </c>
      <c r="DE13" s="15">
        <f>'Grid_Stock'!CW8</f>
        <v/>
      </c>
      <c r="DF13" s="15">
        <f>'Grid_Stock'!CX8</f>
        <v/>
      </c>
      <c r="DG13" s="15">
        <f>'Grid_Stock'!CY8</f>
        <v/>
      </c>
      <c r="DH13" s="15">
        <f>'Grid_Stock'!CZ8</f>
        <v/>
      </c>
      <c r="DI13" s="15">
        <f>'Grid_Stock'!DA8</f>
        <v/>
      </c>
    </row>
    <row r="14">
      <c r="A14" s="17" t="inlineStr">
        <is>
          <t>CHEM-1720</t>
        </is>
      </c>
      <c r="B14" s="17">
        <f>IFERROR(INDEX(M_RawMaterials[Description],MATCH($A14,M_RawMaterials[RM_Code],0)),"")</f>
        <v/>
      </c>
      <c r="C14" s="17">
        <f>IFERROR(INDEX(M_RawMaterials[Category],MATCH($A14,M_RawMaterials[RM_Code],0)),"")</f>
        <v/>
      </c>
      <c r="D14" s="17">
        <f>IFERROR(INDEX(M_RawMaterials[基準在庫下限_要入力],MATCH($A14,M_RawMaterials[RM_Code],0)),0)</f>
        <v/>
      </c>
      <c r="E14" s="17">
        <f>IFERROR(INDEX(M_RawMaterials[基準在庫上限_要入力],MATCH($A14,M_RawMaterials[RM_Code],0)),0)</f>
        <v/>
      </c>
      <c r="F14" s="17">
        <f>IFERROR(LOOKUP(2,1/(T_SelfStock!$A$2:$A$12000=$A14),T_SelfStock!$D$2:$D$12000),"")</f>
        <v/>
      </c>
      <c r="G14" s="17">
        <f>IFERROR(LOOKUP(2,1/(T_TTAFStock!$A$2:$A$12000=$A14),T_TTAFStock!$D$2:$D$12000),"")</f>
        <v/>
      </c>
      <c r="H14" s="17">
        <f>IFERROR(INDEX(Cal_Weeks[Label],LOOKUP(2,1/(T_SelfStock!$A$2:$A$12000=$A14),T_SelfStock!$C$2:$C$12000)),"")</f>
        <v/>
      </c>
      <c r="I14" s="16">
        <f>IFERROR(INDEX(J14:DI14,$F$1),"")</f>
        <v/>
      </c>
      <c r="J14" s="17">
        <f>'Grid_Stock'!B9</f>
        <v/>
      </c>
      <c r="K14" s="17">
        <f>'Grid_Stock'!C9</f>
        <v/>
      </c>
      <c r="L14" s="17">
        <f>'Grid_Stock'!D9</f>
        <v/>
      </c>
      <c r="M14" s="17">
        <f>'Grid_Stock'!E9</f>
        <v/>
      </c>
      <c r="N14" s="17">
        <f>'Grid_Stock'!F9</f>
        <v/>
      </c>
      <c r="O14" s="17">
        <f>'Grid_Stock'!G9</f>
        <v/>
      </c>
      <c r="P14" s="17">
        <f>'Grid_Stock'!H9</f>
        <v/>
      </c>
      <c r="Q14" s="17">
        <f>'Grid_Stock'!I9</f>
        <v/>
      </c>
      <c r="R14" s="17">
        <f>'Grid_Stock'!J9</f>
        <v/>
      </c>
      <c r="S14" s="17">
        <f>'Grid_Stock'!K9</f>
        <v/>
      </c>
      <c r="T14" s="17">
        <f>'Grid_Stock'!L9</f>
        <v/>
      </c>
      <c r="U14" s="17">
        <f>'Grid_Stock'!M9</f>
        <v/>
      </c>
      <c r="V14" s="17">
        <f>'Grid_Stock'!N9</f>
        <v/>
      </c>
      <c r="W14" s="17">
        <f>'Grid_Stock'!O9</f>
        <v/>
      </c>
      <c r="X14" s="17">
        <f>'Grid_Stock'!P9</f>
        <v/>
      </c>
      <c r="Y14" s="17">
        <f>'Grid_Stock'!Q9</f>
        <v/>
      </c>
      <c r="Z14" s="17">
        <f>'Grid_Stock'!R9</f>
        <v/>
      </c>
      <c r="AA14" s="17">
        <f>'Grid_Stock'!S9</f>
        <v/>
      </c>
      <c r="AB14" s="17">
        <f>'Grid_Stock'!T9</f>
        <v/>
      </c>
      <c r="AC14" s="17">
        <f>'Grid_Stock'!U9</f>
        <v/>
      </c>
      <c r="AD14" s="17">
        <f>'Grid_Stock'!V9</f>
        <v/>
      </c>
      <c r="AE14" s="17">
        <f>'Grid_Stock'!W9</f>
        <v/>
      </c>
      <c r="AF14" s="17">
        <f>'Grid_Stock'!X9</f>
        <v/>
      </c>
      <c r="AG14" s="17">
        <f>'Grid_Stock'!Y9</f>
        <v/>
      </c>
      <c r="AH14" s="17">
        <f>'Grid_Stock'!Z9</f>
        <v/>
      </c>
      <c r="AI14" s="17">
        <f>'Grid_Stock'!AA9</f>
        <v/>
      </c>
      <c r="AJ14" s="17">
        <f>'Grid_Stock'!AB9</f>
        <v/>
      </c>
      <c r="AK14" s="17">
        <f>'Grid_Stock'!AC9</f>
        <v/>
      </c>
      <c r="AL14" s="17">
        <f>'Grid_Stock'!AD9</f>
        <v/>
      </c>
      <c r="AM14" s="17">
        <f>'Grid_Stock'!AE9</f>
        <v/>
      </c>
      <c r="AN14" s="17">
        <f>'Grid_Stock'!AF9</f>
        <v/>
      </c>
      <c r="AO14" s="17">
        <f>'Grid_Stock'!AG9</f>
        <v/>
      </c>
      <c r="AP14" s="17">
        <f>'Grid_Stock'!AH9</f>
        <v/>
      </c>
      <c r="AQ14" s="17">
        <f>'Grid_Stock'!AI9</f>
        <v/>
      </c>
      <c r="AR14" s="17">
        <f>'Grid_Stock'!AJ9</f>
        <v/>
      </c>
      <c r="AS14" s="17">
        <f>'Grid_Stock'!AK9</f>
        <v/>
      </c>
      <c r="AT14" s="17">
        <f>'Grid_Stock'!AL9</f>
        <v/>
      </c>
      <c r="AU14" s="17">
        <f>'Grid_Stock'!AM9</f>
        <v/>
      </c>
      <c r="AV14" s="17">
        <f>'Grid_Stock'!AN9</f>
        <v/>
      </c>
      <c r="AW14" s="17">
        <f>'Grid_Stock'!AO9</f>
        <v/>
      </c>
      <c r="AX14" s="17">
        <f>'Grid_Stock'!AP9</f>
        <v/>
      </c>
      <c r="AY14" s="17">
        <f>'Grid_Stock'!AQ9</f>
        <v/>
      </c>
      <c r="AZ14" s="17">
        <f>'Grid_Stock'!AR9</f>
        <v/>
      </c>
      <c r="BA14" s="17">
        <f>'Grid_Stock'!AS9</f>
        <v/>
      </c>
      <c r="BB14" s="17">
        <f>'Grid_Stock'!AT9</f>
        <v/>
      </c>
      <c r="BC14" s="17">
        <f>'Grid_Stock'!AU9</f>
        <v/>
      </c>
      <c r="BD14" s="17">
        <f>'Grid_Stock'!AV9</f>
        <v/>
      </c>
      <c r="BE14" s="17">
        <f>'Grid_Stock'!AW9</f>
        <v/>
      </c>
      <c r="BF14" s="17">
        <f>'Grid_Stock'!AX9</f>
        <v/>
      </c>
      <c r="BG14" s="17">
        <f>'Grid_Stock'!AY9</f>
        <v/>
      </c>
      <c r="BH14" s="17">
        <f>'Grid_Stock'!AZ9</f>
        <v/>
      </c>
      <c r="BI14" s="17">
        <f>'Grid_Stock'!BA9</f>
        <v/>
      </c>
      <c r="BJ14" s="17">
        <f>'Grid_Stock'!BB9</f>
        <v/>
      </c>
      <c r="BK14" s="17">
        <f>'Grid_Stock'!BC9</f>
        <v/>
      </c>
      <c r="BL14" s="17">
        <f>'Grid_Stock'!BD9</f>
        <v/>
      </c>
      <c r="BM14" s="17">
        <f>'Grid_Stock'!BE9</f>
        <v/>
      </c>
      <c r="BN14" s="17">
        <f>'Grid_Stock'!BF9</f>
        <v/>
      </c>
      <c r="BO14" s="17">
        <f>'Grid_Stock'!BG9</f>
        <v/>
      </c>
      <c r="BP14" s="17">
        <f>'Grid_Stock'!BH9</f>
        <v/>
      </c>
      <c r="BQ14" s="17">
        <f>'Grid_Stock'!BI9</f>
        <v/>
      </c>
      <c r="BR14" s="17">
        <f>'Grid_Stock'!BJ9</f>
        <v/>
      </c>
      <c r="BS14" s="17">
        <f>'Grid_Stock'!BK9</f>
        <v/>
      </c>
      <c r="BT14" s="17">
        <f>'Grid_Stock'!BL9</f>
        <v/>
      </c>
      <c r="BU14" s="17">
        <f>'Grid_Stock'!BM9</f>
        <v/>
      </c>
      <c r="BV14" s="17">
        <f>'Grid_Stock'!BN9</f>
        <v/>
      </c>
      <c r="BW14" s="17">
        <f>'Grid_Stock'!BO9</f>
        <v/>
      </c>
      <c r="BX14" s="17">
        <f>'Grid_Stock'!BP9</f>
        <v/>
      </c>
      <c r="BY14" s="17">
        <f>'Grid_Stock'!BQ9</f>
        <v/>
      </c>
      <c r="BZ14" s="17">
        <f>'Grid_Stock'!BR9</f>
        <v/>
      </c>
      <c r="CA14" s="17">
        <f>'Grid_Stock'!BS9</f>
        <v/>
      </c>
      <c r="CB14" s="17">
        <f>'Grid_Stock'!BT9</f>
        <v/>
      </c>
      <c r="CC14" s="17">
        <f>'Grid_Stock'!BU9</f>
        <v/>
      </c>
      <c r="CD14" s="17">
        <f>'Grid_Stock'!BV9</f>
        <v/>
      </c>
      <c r="CE14" s="17">
        <f>'Grid_Stock'!BW9</f>
        <v/>
      </c>
      <c r="CF14" s="17">
        <f>'Grid_Stock'!BX9</f>
        <v/>
      </c>
      <c r="CG14" s="17">
        <f>'Grid_Stock'!BY9</f>
        <v/>
      </c>
      <c r="CH14" s="17">
        <f>'Grid_Stock'!BZ9</f>
        <v/>
      </c>
      <c r="CI14" s="17">
        <f>'Grid_Stock'!CA9</f>
        <v/>
      </c>
      <c r="CJ14" s="17">
        <f>'Grid_Stock'!CB9</f>
        <v/>
      </c>
      <c r="CK14" s="17">
        <f>'Grid_Stock'!CC9</f>
        <v/>
      </c>
      <c r="CL14" s="17">
        <f>'Grid_Stock'!CD9</f>
        <v/>
      </c>
      <c r="CM14" s="17">
        <f>'Grid_Stock'!CE9</f>
        <v/>
      </c>
      <c r="CN14" s="17">
        <f>'Grid_Stock'!CF9</f>
        <v/>
      </c>
      <c r="CO14" s="17">
        <f>'Grid_Stock'!CG9</f>
        <v/>
      </c>
      <c r="CP14" s="17">
        <f>'Grid_Stock'!CH9</f>
        <v/>
      </c>
      <c r="CQ14" s="17">
        <f>'Grid_Stock'!CI9</f>
        <v/>
      </c>
      <c r="CR14" s="17">
        <f>'Grid_Stock'!CJ9</f>
        <v/>
      </c>
      <c r="CS14" s="17">
        <f>'Grid_Stock'!CK9</f>
        <v/>
      </c>
      <c r="CT14" s="17">
        <f>'Grid_Stock'!CL9</f>
        <v/>
      </c>
      <c r="CU14" s="17">
        <f>'Grid_Stock'!CM9</f>
        <v/>
      </c>
      <c r="CV14" s="17">
        <f>'Grid_Stock'!CN9</f>
        <v/>
      </c>
      <c r="CW14" s="17">
        <f>'Grid_Stock'!CO9</f>
        <v/>
      </c>
      <c r="CX14" s="17">
        <f>'Grid_Stock'!CP9</f>
        <v/>
      </c>
      <c r="CY14" s="17">
        <f>'Grid_Stock'!CQ9</f>
        <v/>
      </c>
      <c r="CZ14" s="17">
        <f>'Grid_Stock'!CR9</f>
        <v/>
      </c>
      <c r="DA14" s="17">
        <f>'Grid_Stock'!CS9</f>
        <v/>
      </c>
      <c r="DB14" s="17">
        <f>'Grid_Stock'!CT9</f>
        <v/>
      </c>
      <c r="DC14" s="17">
        <f>'Grid_Stock'!CU9</f>
        <v/>
      </c>
      <c r="DD14" s="17">
        <f>'Grid_Stock'!CV9</f>
        <v/>
      </c>
      <c r="DE14" s="17">
        <f>'Grid_Stock'!CW9</f>
        <v/>
      </c>
      <c r="DF14" s="17">
        <f>'Grid_Stock'!CX9</f>
        <v/>
      </c>
      <c r="DG14" s="17">
        <f>'Grid_Stock'!CY9</f>
        <v/>
      </c>
      <c r="DH14" s="17">
        <f>'Grid_Stock'!CZ9</f>
        <v/>
      </c>
      <c r="DI14" s="17">
        <f>'Grid_Stock'!DA9</f>
        <v/>
      </c>
    </row>
    <row r="15">
      <c r="A15" s="15" t="inlineStr">
        <is>
          <t>CHEM-1440</t>
        </is>
      </c>
      <c r="B15" s="15">
        <f>IFERROR(INDEX(M_RawMaterials[Description],MATCH($A15,M_RawMaterials[RM_Code],0)),"")</f>
        <v/>
      </c>
      <c r="C15" s="15">
        <f>IFERROR(INDEX(M_RawMaterials[Category],MATCH($A15,M_RawMaterials[RM_Code],0)),"")</f>
        <v/>
      </c>
      <c r="D15" s="15">
        <f>IFERROR(INDEX(M_RawMaterials[基準在庫下限_要入力],MATCH($A15,M_RawMaterials[RM_Code],0)),0)</f>
        <v/>
      </c>
      <c r="E15" s="15">
        <f>IFERROR(INDEX(M_RawMaterials[基準在庫上限_要入力],MATCH($A15,M_RawMaterials[RM_Code],0)),0)</f>
        <v/>
      </c>
      <c r="F15" s="15">
        <f>IFERROR(LOOKUP(2,1/(T_SelfStock!$A$2:$A$12000=$A15),T_SelfStock!$D$2:$D$12000),"")</f>
        <v/>
      </c>
      <c r="G15" s="15">
        <f>IFERROR(LOOKUP(2,1/(T_TTAFStock!$A$2:$A$12000=$A15),T_TTAFStock!$D$2:$D$12000),"")</f>
        <v/>
      </c>
      <c r="H15" s="15">
        <f>IFERROR(INDEX(Cal_Weeks[Label],LOOKUP(2,1/(T_SelfStock!$A$2:$A$12000=$A15),T_SelfStock!$C$2:$C$12000)),"")</f>
        <v/>
      </c>
      <c r="I15" s="16">
        <f>IFERROR(INDEX(J15:DI15,$F$1),"")</f>
        <v/>
      </c>
      <c r="J15" s="15">
        <f>'Grid_Stock'!B10</f>
        <v/>
      </c>
      <c r="K15" s="15">
        <f>'Grid_Stock'!C10</f>
        <v/>
      </c>
      <c r="L15" s="15">
        <f>'Grid_Stock'!D10</f>
        <v/>
      </c>
      <c r="M15" s="15">
        <f>'Grid_Stock'!E10</f>
        <v/>
      </c>
      <c r="N15" s="15">
        <f>'Grid_Stock'!F10</f>
        <v/>
      </c>
      <c r="O15" s="15">
        <f>'Grid_Stock'!G10</f>
        <v/>
      </c>
      <c r="P15" s="15">
        <f>'Grid_Stock'!H10</f>
        <v/>
      </c>
      <c r="Q15" s="15">
        <f>'Grid_Stock'!I10</f>
        <v/>
      </c>
      <c r="R15" s="15">
        <f>'Grid_Stock'!J10</f>
        <v/>
      </c>
      <c r="S15" s="15">
        <f>'Grid_Stock'!K10</f>
        <v/>
      </c>
      <c r="T15" s="15">
        <f>'Grid_Stock'!L10</f>
        <v/>
      </c>
      <c r="U15" s="15">
        <f>'Grid_Stock'!M10</f>
        <v/>
      </c>
      <c r="V15" s="15">
        <f>'Grid_Stock'!N10</f>
        <v/>
      </c>
      <c r="W15" s="15">
        <f>'Grid_Stock'!O10</f>
        <v/>
      </c>
      <c r="X15" s="15">
        <f>'Grid_Stock'!P10</f>
        <v/>
      </c>
      <c r="Y15" s="15">
        <f>'Grid_Stock'!Q10</f>
        <v/>
      </c>
      <c r="Z15" s="15">
        <f>'Grid_Stock'!R10</f>
        <v/>
      </c>
      <c r="AA15" s="15">
        <f>'Grid_Stock'!S10</f>
        <v/>
      </c>
      <c r="AB15" s="15">
        <f>'Grid_Stock'!T10</f>
        <v/>
      </c>
      <c r="AC15" s="15">
        <f>'Grid_Stock'!U10</f>
        <v/>
      </c>
      <c r="AD15" s="15">
        <f>'Grid_Stock'!V10</f>
        <v/>
      </c>
      <c r="AE15" s="15">
        <f>'Grid_Stock'!W10</f>
        <v/>
      </c>
      <c r="AF15" s="15">
        <f>'Grid_Stock'!X10</f>
        <v/>
      </c>
      <c r="AG15" s="15">
        <f>'Grid_Stock'!Y10</f>
        <v/>
      </c>
      <c r="AH15" s="15">
        <f>'Grid_Stock'!Z10</f>
        <v/>
      </c>
      <c r="AI15" s="15">
        <f>'Grid_Stock'!AA10</f>
        <v/>
      </c>
      <c r="AJ15" s="15">
        <f>'Grid_Stock'!AB10</f>
        <v/>
      </c>
      <c r="AK15" s="15">
        <f>'Grid_Stock'!AC10</f>
        <v/>
      </c>
      <c r="AL15" s="15">
        <f>'Grid_Stock'!AD10</f>
        <v/>
      </c>
      <c r="AM15" s="15">
        <f>'Grid_Stock'!AE10</f>
        <v/>
      </c>
      <c r="AN15" s="15">
        <f>'Grid_Stock'!AF10</f>
        <v/>
      </c>
      <c r="AO15" s="15">
        <f>'Grid_Stock'!AG10</f>
        <v/>
      </c>
      <c r="AP15" s="15">
        <f>'Grid_Stock'!AH10</f>
        <v/>
      </c>
      <c r="AQ15" s="15">
        <f>'Grid_Stock'!AI10</f>
        <v/>
      </c>
      <c r="AR15" s="15">
        <f>'Grid_Stock'!AJ10</f>
        <v/>
      </c>
      <c r="AS15" s="15">
        <f>'Grid_Stock'!AK10</f>
        <v/>
      </c>
      <c r="AT15" s="15">
        <f>'Grid_Stock'!AL10</f>
        <v/>
      </c>
      <c r="AU15" s="15">
        <f>'Grid_Stock'!AM10</f>
        <v/>
      </c>
      <c r="AV15" s="15">
        <f>'Grid_Stock'!AN10</f>
        <v/>
      </c>
      <c r="AW15" s="15">
        <f>'Grid_Stock'!AO10</f>
        <v/>
      </c>
      <c r="AX15" s="15">
        <f>'Grid_Stock'!AP10</f>
        <v/>
      </c>
      <c r="AY15" s="15">
        <f>'Grid_Stock'!AQ10</f>
        <v/>
      </c>
      <c r="AZ15" s="15">
        <f>'Grid_Stock'!AR10</f>
        <v/>
      </c>
      <c r="BA15" s="15">
        <f>'Grid_Stock'!AS10</f>
        <v/>
      </c>
      <c r="BB15" s="15">
        <f>'Grid_Stock'!AT10</f>
        <v/>
      </c>
      <c r="BC15" s="15">
        <f>'Grid_Stock'!AU10</f>
        <v/>
      </c>
      <c r="BD15" s="15">
        <f>'Grid_Stock'!AV10</f>
        <v/>
      </c>
      <c r="BE15" s="15">
        <f>'Grid_Stock'!AW10</f>
        <v/>
      </c>
      <c r="BF15" s="15">
        <f>'Grid_Stock'!AX10</f>
        <v/>
      </c>
      <c r="BG15" s="15">
        <f>'Grid_Stock'!AY10</f>
        <v/>
      </c>
      <c r="BH15" s="15">
        <f>'Grid_Stock'!AZ10</f>
        <v/>
      </c>
      <c r="BI15" s="15">
        <f>'Grid_Stock'!BA10</f>
        <v/>
      </c>
      <c r="BJ15" s="15">
        <f>'Grid_Stock'!BB10</f>
        <v/>
      </c>
      <c r="BK15" s="15">
        <f>'Grid_Stock'!BC10</f>
        <v/>
      </c>
      <c r="BL15" s="15">
        <f>'Grid_Stock'!BD10</f>
        <v/>
      </c>
      <c r="BM15" s="15">
        <f>'Grid_Stock'!BE10</f>
        <v/>
      </c>
      <c r="BN15" s="15">
        <f>'Grid_Stock'!BF10</f>
        <v/>
      </c>
      <c r="BO15" s="15">
        <f>'Grid_Stock'!BG10</f>
        <v/>
      </c>
      <c r="BP15" s="15">
        <f>'Grid_Stock'!BH10</f>
        <v/>
      </c>
      <c r="BQ15" s="15">
        <f>'Grid_Stock'!BI10</f>
        <v/>
      </c>
      <c r="BR15" s="15">
        <f>'Grid_Stock'!BJ10</f>
        <v/>
      </c>
      <c r="BS15" s="15">
        <f>'Grid_Stock'!BK10</f>
        <v/>
      </c>
      <c r="BT15" s="15">
        <f>'Grid_Stock'!BL10</f>
        <v/>
      </c>
      <c r="BU15" s="15">
        <f>'Grid_Stock'!BM10</f>
        <v/>
      </c>
      <c r="BV15" s="15">
        <f>'Grid_Stock'!BN10</f>
        <v/>
      </c>
      <c r="BW15" s="15">
        <f>'Grid_Stock'!BO10</f>
        <v/>
      </c>
      <c r="BX15" s="15">
        <f>'Grid_Stock'!BP10</f>
        <v/>
      </c>
      <c r="BY15" s="15">
        <f>'Grid_Stock'!BQ10</f>
        <v/>
      </c>
      <c r="BZ15" s="15">
        <f>'Grid_Stock'!BR10</f>
        <v/>
      </c>
      <c r="CA15" s="15">
        <f>'Grid_Stock'!BS10</f>
        <v/>
      </c>
      <c r="CB15" s="15">
        <f>'Grid_Stock'!BT10</f>
        <v/>
      </c>
      <c r="CC15" s="15">
        <f>'Grid_Stock'!BU10</f>
        <v/>
      </c>
      <c r="CD15" s="15">
        <f>'Grid_Stock'!BV10</f>
        <v/>
      </c>
      <c r="CE15" s="15">
        <f>'Grid_Stock'!BW10</f>
        <v/>
      </c>
      <c r="CF15" s="15">
        <f>'Grid_Stock'!BX10</f>
        <v/>
      </c>
      <c r="CG15" s="15">
        <f>'Grid_Stock'!BY10</f>
        <v/>
      </c>
      <c r="CH15" s="15">
        <f>'Grid_Stock'!BZ10</f>
        <v/>
      </c>
      <c r="CI15" s="15">
        <f>'Grid_Stock'!CA10</f>
        <v/>
      </c>
      <c r="CJ15" s="15">
        <f>'Grid_Stock'!CB10</f>
        <v/>
      </c>
      <c r="CK15" s="15">
        <f>'Grid_Stock'!CC10</f>
        <v/>
      </c>
      <c r="CL15" s="15">
        <f>'Grid_Stock'!CD10</f>
        <v/>
      </c>
      <c r="CM15" s="15">
        <f>'Grid_Stock'!CE10</f>
        <v/>
      </c>
      <c r="CN15" s="15">
        <f>'Grid_Stock'!CF10</f>
        <v/>
      </c>
      <c r="CO15" s="15">
        <f>'Grid_Stock'!CG10</f>
        <v/>
      </c>
      <c r="CP15" s="15">
        <f>'Grid_Stock'!CH10</f>
        <v/>
      </c>
      <c r="CQ15" s="15">
        <f>'Grid_Stock'!CI10</f>
        <v/>
      </c>
      <c r="CR15" s="15">
        <f>'Grid_Stock'!CJ10</f>
        <v/>
      </c>
      <c r="CS15" s="15">
        <f>'Grid_Stock'!CK10</f>
        <v/>
      </c>
      <c r="CT15" s="15">
        <f>'Grid_Stock'!CL10</f>
        <v/>
      </c>
      <c r="CU15" s="15">
        <f>'Grid_Stock'!CM10</f>
        <v/>
      </c>
      <c r="CV15" s="15">
        <f>'Grid_Stock'!CN10</f>
        <v/>
      </c>
      <c r="CW15" s="15">
        <f>'Grid_Stock'!CO10</f>
        <v/>
      </c>
      <c r="CX15" s="15">
        <f>'Grid_Stock'!CP10</f>
        <v/>
      </c>
      <c r="CY15" s="15">
        <f>'Grid_Stock'!CQ10</f>
        <v/>
      </c>
      <c r="CZ15" s="15">
        <f>'Grid_Stock'!CR10</f>
        <v/>
      </c>
      <c r="DA15" s="15">
        <f>'Grid_Stock'!CS10</f>
        <v/>
      </c>
      <c r="DB15" s="15">
        <f>'Grid_Stock'!CT10</f>
        <v/>
      </c>
      <c r="DC15" s="15">
        <f>'Grid_Stock'!CU10</f>
        <v/>
      </c>
      <c r="DD15" s="15">
        <f>'Grid_Stock'!CV10</f>
        <v/>
      </c>
      <c r="DE15" s="15">
        <f>'Grid_Stock'!CW10</f>
        <v/>
      </c>
      <c r="DF15" s="15">
        <f>'Grid_Stock'!CX10</f>
        <v/>
      </c>
      <c r="DG15" s="15">
        <f>'Grid_Stock'!CY10</f>
        <v/>
      </c>
      <c r="DH15" s="15">
        <f>'Grid_Stock'!CZ10</f>
        <v/>
      </c>
      <c r="DI15" s="15">
        <f>'Grid_Stock'!DA10</f>
        <v/>
      </c>
    </row>
    <row r="16">
      <c r="A16" s="17" t="inlineStr">
        <is>
          <t>PET FILM(900*1000)</t>
        </is>
      </c>
      <c r="B16" s="17">
        <f>IFERROR(INDEX(M_RawMaterials[Description],MATCH($A16,M_RawMaterials[RM_Code],0)),"")</f>
        <v/>
      </c>
      <c r="C16" s="17">
        <f>IFERROR(INDEX(M_RawMaterials[Category],MATCH($A16,M_RawMaterials[RM_Code],0)),"")</f>
        <v/>
      </c>
      <c r="D16" s="17">
        <f>IFERROR(INDEX(M_RawMaterials[基準在庫下限_要入力],MATCH($A16,M_RawMaterials[RM_Code],0)),0)</f>
        <v/>
      </c>
      <c r="E16" s="17">
        <f>IFERROR(INDEX(M_RawMaterials[基準在庫上限_要入力],MATCH($A16,M_RawMaterials[RM_Code],0)),0)</f>
        <v/>
      </c>
      <c r="F16" s="17">
        <f>IFERROR(LOOKUP(2,1/(T_SelfStock!$A$2:$A$12000=$A16),T_SelfStock!$D$2:$D$12000),"")</f>
        <v/>
      </c>
      <c r="G16" s="17">
        <f>IFERROR(LOOKUP(2,1/(T_TTAFStock!$A$2:$A$12000=$A16),T_TTAFStock!$D$2:$D$12000),"")</f>
        <v/>
      </c>
      <c r="H16" s="17">
        <f>IFERROR(INDEX(Cal_Weeks[Label],LOOKUP(2,1/(T_SelfStock!$A$2:$A$12000=$A16),T_SelfStock!$C$2:$C$12000)),"")</f>
        <v/>
      </c>
      <c r="I16" s="16">
        <f>IFERROR(INDEX(J16:DI16,$F$1),"")</f>
        <v/>
      </c>
      <c r="J16" s="17">
        <f>'Grid_Stock'!B11</f>
        <v/>
      </c>
      <c r="K16" s="17">
        <f>'Grid_Stock'!C11</f>
        <v/>
      </c>
      <c r="L16" s="17">
        <f>'Grid_Stock'!D11</f>
        <v/>
      </c>
      <c r="M16" s="17">
        <f>'Grid_Stock'!E11</f>
        <v/>
      </c>
      <c r="N16" s="17">
        <f>'Grid_Stock'!F11</f>
        <v/>
      </c>
      <c r="O16" s="17">
        <f>'Grid_Stock'!G11</f>
        <v/>
      </c>
      <c r="P16" s="17">
        <f>'Grid_Stock'!H11</f>
        <v/>
      </c>
      <c r="Q16" s="17">
        <f>'Grid_Stock'!I11</f>
        <v/>
      </c>
      <c r="R16" s="17">
        <f>'Grid_Stock'!J11</f>
        <v/>
      </c>
      <c r="S16" s="17">
        <f>'Grid_Stock'!K11</f>
        <v/>
      </c>
      <c r="T16" s="17">
        <f>'Grid_Stock'!L11</f>
        <v/>
      </c>
      <c r="U16" s="17">
        <f>'Grid_Stock'!M11</f>
        <v/>
      </c>
      <c r="V16" s="17">
        <f>'Grid_Stock'!N11</f>
        <v/>
      </c>
      <c r="W16" s="17">
        <f>'Grid_Stock'!O11</f>
        <v/>
      </c>
      <c r="X16" s="17">
        <f>'Grid_Stock'!P11</f>
        <v/>
      </c>
      <c r="Y16" s="17">
        <f>'Grid_Stock'!Q11</f>
        <v/>
      </c>
      <c r="Z16" s="17">
        <f>'Grid_Stock'!R11</f>
        <v/>
      </c>
      <c r="AA16" s="17">
        <f>'Grid_Stock'!S11</f>
        <v/>
      </c>
      <c r="AB16" s="17">
        <f>'Grid_Stock'!T11</f>
        <v/>
      </c>
      <c r="AC16" s="17">
        <f>'Grid_Stock'!U11</f>
        <v/>
      </c>
      <c r="AD16" s="17">
        <f>'Grid_Stock'!V11</f>
        <v/>
      </c>
      <c r="AE16" s="17">
        <f>'Grid_Stock'!W11</f>
        <v/>
      </c>
      <c r="AF16" s="17">
        <f>'Grid_Stock'!X11</f>
        <v/>
      </c>
      <c r="AG16" s="17">
        <f>'Grid_Stock'!Y11</f>
        <v/>
      </c>
      <c r="AH16" s="17">
        <f>'Grid_Stock'!Z11</f>
        <v/>
      </c>
      <c r="AI16" s="17">
        <f>'Grid_Stock'!AA11</f>
        <v/>
      </c>
      <c r="AJ16" s="17">
        <f>'Grid_Stock'!AB11</f>
        <v/>
      </c>
      <c r="AK16" s="17">
        <f>'Grid_Stock'!AC11</f>
        <v/>
      </c>
      <c r="AL16" s="17">
        <f>'Grid_Stock'!AD11</f>
        <v/>
      </c>
      <c r="AM16" s="17">
        <f>'Grid_Stock'!AE11</f>
        <v/>
      </c>
      <c r="AN16" s="17">
        <f>'Grid_Stock'!AF11</f>
        <v/>
      </c>
      <c r="AO16" s="17">
        <f>'Grid_Stock'!AG11</f>
        <v/>
      </c>
      <c r="AP16" s="17">
        <f>'Grid_Stock'!AH11</f>
        <v/>
      </c>
      <c r="AQ16" s="17">
        <f>'Grid_Stock'!AI11</f>
        <v/>
      </c>
      <c r="AR16" s="17">
        <f>'Grid_Stock'!AJ11</f>
        <v/>
      </c>
      <c r="AS16" s="17">
        <f>'Grid_Stock'!AK11</f>
        <v/>
      </c>
      <c r="AT16" s="17">
        <f>'Grid_Stock'!AL11</f>
        <v/>
      </c>
      <c r="AU16" s="17">
        <f>'Grid_Stock'!AM11</f>
        <v/>
      </c>
      <c r="AV16" s="17">
        <f>'Grid_Stock'!AN11</f>
        <v/>
      </c>
      <c r="AW16" s="17">
        <f>'Grid_Stock'!AO11</f>
        <v/>
      </c>
      <c r="AX16" s="17">
        <f>'Grid_Stock'!AP11</f>
        <v/>
      </c>
      <c r="AY16" s="17">
        <f>'Grid_Stock'!AQ11</f>
        <v/>
      </c>
      <c r="AZ16" s="17">
        <f>'Grid_Stock'!AR11</f>
        <v/>
      </c>
      <c r="BA16" s="17">
        <f>'Grid_Stock'!AS11</f>
        <v/>
      </c>
      <c r="BB16" s="17">
        <f>'Grid_Stock'!AT11</f>
        <v/>
      </c>
      <c r="BC16" s="17">
        <f>'Grid_Stock'!AU11</f>
        <v/>
      </c>
      <c r="BD16" s="17">
        <f>'Grid_Stock'!AV11</f>
        <v/>
      </c>
      <c r="BE16" s="17">
        <f>'Grid_Stock'!AW11</f>
        <v/>
      </c>
      <c r="BF16" s="17">
        <f>'Grid_Stock'!AX11</f>
        <v/>
      </c>
      <c r="BG16" s="17">
        <f>'Grid_Stock'!AY11</f>
        <v/>
      </c>
      <c r="BH16" s="17">
        <f>'Grid_Stock'!AZ11</f>
        <v/>
      </c>
      <c r="BI16" s="17">
        <f>'Grid_Stock'!BA11</f>
        <v/>
      </c>
      <c r="BJ16" s="17">
        <f>'Grid_Stock'!BB11</f>
        <v/>
      </c>
      <c r="BK16" s="17">
        <f>'Grid_Stock'!BC11</f>
        <v/>
      </c>
      <c r="BL16" s="17">
        <f>'Grid_Stock'!BD11</f>
        <v/>
      </c>
      <c r="BM16" s="17">
        <f>'Grid_Stock'!BE11</f>
        <v/>
      </c>
      <c r="BN16" s="17">
        <f>'Grid_Stock'!BF11</f>
        <v/>
      </c>
      <c r="BO16" s="17">
        <f>'Grid_Stock'!BG11</f>
        <v/>
      </c>
      <c r="BP16" s="17">
        <f>'Grid_Stock'!BH11</f>
        <v/>
      </c>
      <c r="BQ16" s="17">
        <f>'Grid_Stock'!BI11</f>
        <v/>
      </c>
      <c r="BR16" s="17">
        <f>'Grid_Stock'!BJ11</f>
        <v/>
      </c>
      <c r="BS16" s="17">
        <f>'Grid_Stock'!BK11</f>
        <v/>
      </c>
      <c r="BT16" s="17">
        <f>'Grid_Stock'!BL11</f>
        <v/>
      </c>
      <c r="BU16" s="17">
        <f>'Grid_Stock'!BM11</f>
        <v/>
      </c>
      <c r="BV16" s="17">
        <f>'Grid_Stock'!BN11</f>
        <v/>
      </c>
      <c r="BW16" s="17">
        <f>'Grid_Stock'!BO11</f>
        <v/>
      </c>
      <c r="BX16" s="17">
        <f>'Grid_Stock'!BP11</f>
        <v/>
      </c>
      <c r="BY16" s="17">
        <f>'Grid_Stock'!BQ11</f>
        <v/>
      </c>
      <c r="BZ16" s="17">
        <f>'Grid_Stock'!BR11</f>
        <v/>
      </c>
      <c r="CA16" s="17">
        <f>'Grid_Stock'!BS11</f>
        <v/>
      </c>
      <c r="CB16" s="17">
        <f>'Grid_Stock'!BT11</f>
        <v/>
      </c>
      <c r="CC16" s="17">
        <f>'Grid_Stock'!BU11</f>
        <v/>
      </c>
      <c r="CD16" s="17">
        <f>'Grid_Stock'!BV11</f>
        <v/>
      </c>
      <c r="CE16" s="17">
        <f>'Grid_Stock'!BW11</f>
        <v/>
      </c>
      <c r="CF16" s="17">
        <f>'Grid_Stock'!BX11</f>
        <v/>
      </c>
      <c r="CG16" s="17">
        <f>'Grid_Stock'!BY11</f>
        <v/>
      </c>
      <c r="CH16" s="17">
        <f>'Grid_Stock'!BZ11</f>
        <v/>
      </c>
      <c r="CI16" s="17">
        <f>'Grid_Stock'!CA11</f>
        <v/>
      </c>
      <c r="CJ16" s="17">
        <f>'Grid_Stock'!CB11</f>
        <v/>
      </c>
      <c r="CK16" s="17">
        <f>'Grid_Stock'!CC11</f>
        <v/>
      </c>
      <c r="CL16" s="17">
        <f>'Grid_Stock'!CD11</f>
        <v/>
      </c>
      <c r="CM16" s="17">
        <f>'Grid_Stock'!CE11</f>
        <v/>
      </c>
      <c r="CN16" s="17">
        <f>'Grid_Stock'!CF11</f>
        <v/>
      </c>
      <c r="CO16" s="17">
        <f>'Grid_Stock'!CG11</f>
        <v/>
      </c>
      <c r="CP16" s="17">
        <f>'Grid_Stock'!CH11</f>
        <v/>
      </c>
      <c r="CQ16" s="17">
        <f>'Grid_Stock'!CI11</f>
        <v/>
      </c>
      <c r="CR16" s="17">
        <f>'Grid_Stock'!CJ11</f>
        <v/>
      </c>
      <c r="CS16" s="17">
        <f>'Grid_Stock'!CK11</f>
        <v/>
      </c>
      <c r="CT16" s="17">
        <f>'Grid_Stock'!CL11</f>
        <v/>
      </c>
      <c r="CU16" s="17">
        <f>'Grid_Stock'!CM11</f>
        <v/>
      </c>
      <c r="CV16" s="17">
        <f>'Grid_Stock'!CN11</f>
        <v/>
      </c>
      <c r="CW16" s="17">
        <f>'Grid_Stock'!CO11</f>
        <v/>
      </c>
      <c r="CX16" s="17">
        <f>'Grid_Stock'!CP11</f>
        <v/>
      </c>
      <c r="CY16" s="17">
        <f>'Grid_Stock'!CQ11</f>
        <v/>
      </c>
      <c r="CZ16" s="17">
        <f>'Grid_Stock'!CR11</f>
        <v/>
      </c>
      <c r="DA16" s="17">
        <f>'Grid_Stock'!CS11</f>
        <v/>
      </c>
      <c r="DB16" s="17">
        <f>'Grid_Stock'!CT11</f>
        <v/>
      </c>
      <c r="DC16" s="17">
        <f>'Grid_Stock'!CU11</f>
        <v/>
      </c>
      <c r="DD16" s="17">
        <f>'Grid_Stock'!CV11</f>
        <v/>
      </c>
      <c r="DE16" s="17">
        <f>'Grid_Stock'!CW11</f>
        <v/>
      </c>
      <c r="DF16" s="17">
        <f>'Grid_Stock'!CX11</f>
        <v/>
      </c>
      <c r="DG16" s="17">
        <f>'Grid_Stock'!CY11</f>
        <v/>
      </c>
      <c r="DH16" s="17">
        <f>'Grid_Stock'!CZ11</f>
        <v/>
      </c>
      <c r="DI16" s="17">
        <f>'Grid_Stock'!DA11</f>
        <v/>
      </c>
    </row>
    <row r="17">
      <c r="A17" s="15" t="inlineStr">
        <is>
          <t>4HL</t>
        </is>
      </c>
      <c r="B17" s="15">
        <f>IFERROR(INDEX(M_RawMaterials[Description],MATCH($A17,M_RawMaterials[RM_Code],0)),"")</f>
        <v/>
      </c>
      <c r="C17" s="15">
        <f>IFERROR(INDEX(M_RawMaterials[Category],MATCH($A17,M_RawMaterials[RM_Code],0)),"")</f>
        <v/>
      </c>
      <c r="D17" s="15">
        <f>IFERROR(INDEX(M_RawMaterials[基準在庫下限_要入力],MATCH($A17,M_RawMaterials[RM_Code],0)),0)</f>
        <v/>
      </c>
      <c r="E17" s="15">
        <f>IFERROR(INDEX(M_RawMaterials[基準在庫上限_要入力],MATCH($A17,M_RawMaterials[RM_Code],0)),0)</f>
        <v/>
      </c>
      <c r="F17" s="15">
        <f>IFERROR(LOOKUP(2,1/(T_SelfStock!$A$2:$A$12000=$A17),T_SelfStock!$D$2:$D$12000),"")</f>
        <v/>
      </c>
      <c r="G17" s="15">
        <f>IFERROR(LOOKUP(2,1/(T_TTAFStock!$A$2:$A$12000=$A17),T_TTAFStock!$D$2:$D$12000),"")</f>
        <v/>
      </c>
      <c r="H17" s="15">
        <f>IFERROR(INDEX(Cal_Weeks[Label],LOOKUP(2,1/(T_SelfStock!$A$2:$A$12000=$A17),T_SelfStock!$C$2:$C$12000)),"")</f>
        <v/>
      </c>
      <c r="I17" s="16">
        <f>IFERROR(INDEX(J17:DI17,$F$1),"")</f>
        <v/>
      </c>
      <c r="J17" s="15">
        <f>'Grid_Stock'!B12</f>
        <v/>
      </c>
      <c r="K17" s="15">
        <f>'Grid_Stock'!C12</f>
        <v/>
      </c>
      <c r="L17" s="15">
        <f>'Grid_Stock'!D12</f>
        <v/>
      </c>
      <c r="M17" s="15">
        <f>'Grid_Stock'!E12</f>
        <v/>
      </c>
      <c r="N17" s="15">
        <f>'Grid_Stock'!F12</f>
        <v/>
      </c>
      <c r="O17" s="15">
        <f>'Grid_Stock'!G12</f>
        <v/>
      </c>
      <c r="P17" s="15">
        <f>'Grid_Stock'!H12</f>
        <v/>
      </c>
      <c r="Q17" s="15">
        <f>'Grid_Stock'!I12</f>
        <v/>
      </c>
      <c r="R17" s="15">
        <f>'Grid_Stock'!J12</f>
        <v/>
      </c>
      <c r="S17" s="15">
        <f>'Grid_Stock'!K12</f>
        <v/>
      </c>
      <c r="T17" s="15">
        <f>'Grid_Stock'!L12</f>
        <v/>
      </c>
      <c r="U17" s="15">
        <f>'Grid_Stock'!M12</f>
        <v/>
      </c>
      <c r="V17" s="15">
        <f>'Grid_Stock'!N12</f>
        <v/>
      </c>
      <c r="W17" s="15">
        <f>'Grid_Stock'!O12</f>
        <v/>
      </c>
      <c r="X17" s="15">
        <f>'Grid_Stock'!P12</f>
        <v/>
      </c>
      <c r="Y17" s="15">
        <f>'Grid_Stock'!Q12</f>
        <v/>
      </c>
      <c r="Z17" s="15">
        <f>'Grid_Stock'!R12</f>
        <v/>
      </c>
      <c r="AA17" s="15">
        <f>'Grid_Stock'!S12</f>
        <v/>
      </c>
      <c r="AB17" s="15">
        <f>'Grid_Stock'!T12</f>
        <v/>
      </c>
      <c r="AC17" s="15">
        <f>'Grid_Stock'!U12</f>
        <v/>
      </c>
      <c r="AD17" s="15">
        <f>'Grid_Stock'!V12</f>
        <v/>
      </c>
      <c r="AE17" s="15">
        <f>'Grid_Stock'!W12</f>
        <v/>
      </c>
      <c r="AF17" s="15">
        <f>'Grid_Stock'!X12</f>
        <v/>
      </c>
      <c r="AG17" s="15">
        <f>'Grid_Stock'!Y12</f>
        <v/>
      </c>
      <c r="AH17" s="15">
        <f>'Grid_Stock'!Z12</f>
        <v/>
      </c>
      <c r="AI17" s="15">
        <f>'Grid_Stock'!AA12</f>
        <v/>
      </c>
      <c r="AJ17" s="15">
        <f>'Grid_Stock'!AB12</f>
        <v/>
      </c>
      <c r="AK17" s="15">
        <f>'Grid_Stock'!AC12</f>
        <v/>
      </c>
      <c r="AL17" s="15">
        <f>'Grid_Stock'!AD12</f>
        <v/>
      </c>
      <c r="AM17" s="15">
        <f>'Grid_Stock'!AE12</f>
        <v/>
      </c>
      <c r="AN17" s="15">
        <f>'Grid_Stock'!AF12</f>
        <v/>
      </c>
      <c r="AO17" s="15">
        <f>'Grid_Stock'!AG12</f>
        <v/>
      </c>
      <c r="AP17" s="15">
        <f>'Grid_Stock'!AH12</f>
        <v/>
      </c>
      <c r="AQ17" s="15">
        <f>'Grid_Stock'!AI12</f>
        <v/>
      </c>
      <c r="AR17" s="15">
        <f>'Grid_Stock'!AJ12</f>
        <v/>
      </c>
      <c r="AS17" s="15">
        <f>'Grid_Stock'!AK12</f>
        <v/>
      </c>
      <c r="AT17" s="15">
        <f>'Grid_Stock'!AL12</f>
        <v/>
      </c>
      <c r="AU17" s="15">
        <f>'Grid_Stock'!AM12</f>
        <v/>
      </c>
      <c r="AV17" s="15">
        <f>'Grid_Stock'!AN12</f>
        <v/>
      </c>
      <c r="AW17" s="15">
        <f>'Grid_Stock'!AO12</f>
        <v/>
      </c>
      <c r="AX17" s="15">
        <f>'Grid_Stock'!AP12</f>
        <v/>
      </c>
      <c r="AY17" s="15">
        <f>'Grid_Stock'!AQ12</f>
        <v/>
      </c>
      <c r="AZ17" s="15">
        <f>'Grid_Stock'!AR12</f>
        <v/>
      </c>
      <c r="BA17" s="15">
        <f>'Grid_Stock'!AS12</f>
        <v/>
      </c>
      <c r="BB17" s="15">
        <f>'Grid_Stock'!AT12</f>
        <v/>
      </c>
      <c r="BC17" s="15">
        <f>'Grid_Stock'!AU12</f>
        <v/>
      </c>
      <c r="BD17" s="15">
        <f>'Grid_Stock'!AV12</f>
        <v/>
      </c>
      <c r="BE17" s="15">
        <f>'Grid_Stock'!AW12</f>
        <v/>
      </c>
      <c r="BF17" s="15">
        <f>'Grid_Stock'!AX12</f>
        <v/>
      </c>
      <c r="BG17" s="15">
        <f>'Grid_Stock'!AY12</f>
        <v/>
      </c>
      <c r="BH17" s="15">
        <f>'Grid_Stock'!AZ12</f>
        <v/>
      </c>
      <c r="BI17" s="15">
        <f>'Grid_Stock'!BA12</f>
        <v/>
      </c>
      <c r="BJ17" s="15">
        <f>'Grid_Stock'!BB12</f>
        <v/>
      </c>
      <c r="BK17" s="15">
        <f>'Grid_Stock'!BC12</f>
        <v/>
      </c>
      <c r="BL17" s="15">
        <f>'Grid_Stock'!BD12</f>
        <v/>
      </c>
      <c r="BM17" s="15">
        <f>'Grid_Stock'!BE12</f>
        <v/>
      </c>
      <c r="BN17" s="15">
        <f>'Grid_Stock'!BF12</f>
        <v/>
      </c>
      <c r="BO17" s="15">
        <f>'Grid_Stock'!BG12</f>
        <v/>
      </c>
      <c r="BP17" s="15">
        <f>'Grid_Stock'!BH12</f>
        <v/>
      </c>
      <c r="BQ17" s="15">
        <f>'Grid_Stock'!BI12</f>
        <v/>
      </c>
      <c r="BR17" s="15">
        <f>'Grid_Stock'!BJ12</f>
        <v/>
      </c>
      <c r="BS17" s="15">
        <f>'Grid_Stock'!BK12</f>
        <v/>
      </c>
      <c r="BT17" s="15">
        <f>'Grid_Stock'!BL12</f>
        <v/>
      </c>
      <c r="BU17" s="15">
        <f>'Grid_Stock'!BM12</f>
        <v/>
      </c>
      <c r="BV17" s="15">
        <f>'Grid_Stock'!BN12</f>
        <v/>
      </c>
      <c r="BW17" s="15">
        <f>'Grid_Stock'!BO12</f>
        <v/>
      </c>
      <c r="BX17" s="15">
        <f>'Grid_Stock'!BP12</f>
        <v/>
      </c>
      <c r="BY17" s="15">
        <f>'Grid_Stock'!BQ12</f>
        <v/>
      </c>
      <c r="BZ17" s="15">
        <f>'Grid_Stock'!BR12</f>
        <v/>
      </c>
      <c r="CA17" s="15">
        <f>'Grid_Stock'!BS12</f>
        <v/>
      </c>
      <c r="CB17" s="15">
        <f>'Grid_Stock'!BT12</f>
        <v/>
      </c>
      <c r="CC17" s="15">
        <f>'Grid_Stock'!BU12</f>
        <v/>
      </c>
      <c r="CD17" s="15">
        <f>'Grid_Stock'!BV12</f>
        <v/>
      </c>
      <c r="CE17" s="15">
        <f>'Grid_Stock'!BW12</f>
        <v/>
      </c>
      <c r="CF17" s="15">
        <f>'Grid_Stock'!BX12</f>
        <v/>
      </c>
      <c r="CG17" s="15">
        <f>'Grid_Stock'!BY12</f>
        <v/>
      </c>
      <c r="CH17" s="15">
        <f>'Grid_Stock'!BZ12</f>
        <v/>
      </c>
      <c r="CI17" s="15">
        <f>'Grid_Stock'!CA12</f>
        <v/>
      </c>
      <c r="CJ17" s="15">
        <f>'Grid_Stock'!CB12</f>
        <v/>
      </c>
      <c r="CK17" s="15">
        <f>'Grid_Stock'!CC12</f>
        <v/>
      </c>
      <c r="CL17" s="15">
        <f>'Grid_Stock'!CD12</f>
        <v/>
      </c>
      <c r="CM17" s="15">
        <f>'Grid_Stock'!CE12</f>
        <v/>
      </c>
      <c r="CN17" s="15">
        <f>'Grid_Stock'!CF12</f>
        <v/>
      </c>
      <c r="CO17" s="15">
        <f>'Grid_Stock'!CG12</f>
        <v/>
      </c>
      <c r="CP17" s="15">
        <f>'Grid_Stock'!CH12</f>
        <v/>
      </c>
      <c r="CQ17" s="15">
        <f>'Grid_Stock'!CI12</f>
        <v/>
      </c>
      <c r="CR17" s="15">
        <f>'Grid_Stock'!CJ12</f>
        <v/>
      </c>
      <c r="CS17" s="15">
        <f>'Grid_Stock'!CK12</f>
        <v/>
      </c>
      <c r="CT17" s="15">
        <f>'Grid_Stock'!CL12</f>
        <v/>
      </c>
      <c r="CU17" s="15">
        <f>'Grid_Stock'!CM12</f>
        <v/>
      </c>
      <c r="CV17" s="15">
        <f>'Grid_Stock'!CN12</f>
        <v/>
      </c>
      <c r="CW17" s="15">
        <f>'Grid_Stock'!CO12</f>
        <v/>
      </c>
      <c r="CX17" s="15">
        <f>'Grid_Stock'!CP12</f>
        <v/>
      </c>
      <c r="CY17" s="15">
        <f>'Grid_Stock'!CQ12</f>
        <v/>
      </c>
      <c r="CZ17" s="15">
        <f>'Grid_Stock'!CR12</f>
        <v/>
      </c>
      <c r="DA17" s="15">
        <f>'Grid_Stock'!CS12</f>
        <v/>
      </c>
      <c r="DB17" s="15">
        <f>'Grid_Stock'!CT12</f>
        <v/>
      </c>
      <c r="DC17" s="15">
        <f>'Grid_Stock'!CU12</f>
        <v/>
      </c>
      <c r="DD17" s="15">
        <f>'Grid_Stock'!CV12</f>
        <v/>
      </c>
      <c r="DE17" s="15">
        <f>'Grid_Stock'!CW12</f>
        <v/>
      </c>
      <c r="DF17" s="15">
        <f>'Grid_Stock'!CX12</f>
        <v/>
      </c>
      <c r="DG17" s="15">
        <f>'Grid_Stock'!CY12</f>
        <v/>
      </c>
      <c r="DH17" s="15">
        <f>'Grid_Stock'!CZ12</f>
        <v/>
      </c>
      <c r="DI17" s="15">
        <f>'Grid_Stock'!DA12</f>
        <v/>
      </c>
    </row>
    <row r="18">
      <c r="A18" s="17" t="inlineStr">
        <is>
          <t>1EK</t>
        </is>
      </c>
      <c r="B18" s="17">
        <f>IFERROR(INDEX(M_RawMaterials[Description],MATCH($A18,M_RawMaterials[RM_Code],0)),"")</f>
        <v/>
      </c>
      <c r="C18" s="17">
        <f>IFERROR(INDEX(M_RawMaterials[Category],MATCH($A18,M_RawMaterials[RM_Code],0)),"")</f>
        <v/>
      </c>
      <c r="D18" s="17">
        <f>IFERROR(INDEX(M_RawMaterials[基準在庫下限_要入力],MATCH($A18,M_RawMaterials[RM_Code],0)),0)</f>
        <v/>
      </c>
      <c r="E18" s="17">
        <f>IFERROR(INDEX(M_RawMaterials[基準在庫上限_要入力],MATCH($A18,M_RawMaterials[RM_Code],0)),0)</f>
        <v/>
      </c>
      <c r="F18" s="17">
        <f>IFERROR(LOOKUP(2,1/(T_SelfStock!$A$2:$A$12000=$A18),T_SelfStock!$D$2:$D$12000),"")</f>
        <v/>
      </c>
      <c r="G18" s="17">
        <f>IFERROR(LOOKUP(2,1/(T_TTAFStock!$A$2:$A$12000=$A18),T_TTAFStock!$D$2:$D$12000),"")</f>
        <v/>
      </c>
      <c r="H18" s="17">
        <f>IFERROR(INDEX(Cal_Weeks[Label],LOOKUP(2,1/(T_SelfStock!$A$2:$A$12000=$A18),T_SelfStock!$C$2:$C$12000)),"")</f>
        <v/>
      </c>
      <c r="I18" s="16">
        <f>IFERROR(INDEX(J18:DI18,$F$1),"")</f>
        <v/>
      </c>
      <c r="J18" s="17">
        <f>'Grid_Stock'!B13</f>
        <v/>
      </c>
      <c r="K18" s="17">
        <f>'Grid_Stock'!C13</f>
        <v/>
      </c>
      <c r="L18" s="17">
        <f>'Grid_Stock'!D13</f>
        <v/>
      </c>
      <c r="M18" s="17">
        <f>'Grid_Stock'!E13</f>
        <v/>
      </c>
      <c r="N18" s="17">
        <f>'Grid_Stock'!F13</f>
        <v/>
      </c>
      <c r="O18" s="17">
        <f>'Grid_Stock'!G13</f>
        <v/>
      </c>
      <c r="P18" s="17">
        <f>'Grid_Stock'!H13</f>
        <v/>
      </c>
      <c r="Q18" s="17">
        <f>'Grid_Stock'!I13</f>
        <v/>
      </c>
      <c r="R18" s="17">
        <f>'Grid_Stock'!J13</f>
        <v/>
      </c>
      <c r="S18" s="17">
        <f>'Grid_Stock'!K13</f>
        <v/>
      </c>
      <c r="T18" s="17">
        <f>'Grid_Stock'!L13</f>
        <v/>
      </c>
      <c r="U18" s="17">
        <f>'Grid_Stock'!M13</f>
        <v/>
      </c>
      <c r="V18" s="17">
        <f>'Grid_Stock'!N13</f>
        <v/>
      </c>
      <c r="W18" s="17">
        <f>'Grid_Stock'!O13</f>
        <v/>
      </c>
      <c r="X18" s="17">
        <f>'Grid_Stock'!P13</f>
        <v/>
      </c>
      <c r="Y18" s="17">
        <f>'Grid_Stock'!Q13</f>
        <v/>
      </c>
      <c r="Z18" s="17">
        <f>'Grid_Stock'!R13</f>
        <v/>
      </c>
      <c r="AA18" s="17">
        <f>'Grid_Stock'!S13</f>
        <v/>
      </c>
      <c r="AB18" s="17">
        <f>'Grid_Stock'!T13</f>
        <v/>
      </c>
      <c r="AC18" s="17">
        <f>'Grid_Stock'!U13</f>
        <v/>
      </c>
      <c r="AD18" s="17">
        <f>'Grid_Stock'!V13</f>
        <v/>
      </c>
      <c r="AE18" s="17">
        <f>'Grid_Stock'!W13</f>
        <v/>
      </c>
      <c r="AF18" s="17">
        <f>'Grid_Stock'!X13</f>
        <v/>
      </c>
      <c r="AG18" s="17">
        <f>'Grid_Stock'!Y13</f>
        <v/>
      </c>
      <c r="AH18" s="17">
        <f>'Grid_Stock'!Z13</f>
        <v/>
      </c>
      <c r="AI18" s="17">
        <f>'Grid_Stock'!AA13</f>
        <v/>
      </c>
      <c r="AJ18" s="17">
        <f>'Grid_Stock'!AB13</f>
        <v/>
      </c>
      <c r="AK18" s="17">
        <f>'Grid_Stock'!AC13</f>
        <v/>
      </c>
      <c r="AL18" s="17">
        <f>'Grid_Stock'!AD13</f>
        <v/>
      </c>
      <c r="AM18" s="17">
        <f>'Grid_Stock'!AE13</f>
        <v/>
      </c>
      <c r="AN18" s="17">
        <f>'Grid_Stock'!AF13</f>
        <v/>
      </c>
      <c r="AO18" s="17">
        <f>'Grid_Stock'!AG13</f>
        <v/>
      </c>
      <c r="AP18" s="17">
        <f>'Grid_Stock'!AH13</f>
        <v/>
      </c>
      <c r="AQ18" s="17">
        <f>'Grid_Stock'!AI13</f>
        <v/>
      </c>
      <c r="AR18" s="17">
        <f>'Grid_Stock'!AJ13</f>
        <v/>
      </c>
      <c r="AS18" s="17">
        <f>'Grid_Stock'!AK13</f>
        <v/>
      </c>
      <c r="AT18" s="17">
        <f>'Grid_Stock'!AL13</f>
        <v/>
      </c>
      <c r="AU18" s="17">
        <f>'Grid_Stock'!AM13</f>
        <v/>
      </c>
      <c r="AV18" s="17">
        <f>'Grid_Stock'!AN13</f>
        <v/>
      </c>
      <c r="AW18" s="17">
        <f>'Grid_Stock'!AO13</f>
        <v/>
      </c>
      <c r="AX18" s="17">
        <f>'Grid_Stock'!AP13</f>
        <v/>
      </c>
      <c r="AY18" s="17">
        <f>'Grid_Stock'!AQ13</f>
        <v/>
      </c>
      <c r="AZ18" s="17">
        <f>'Grid_Stock'!AR13</f>
        <v/>
      </c>
      <c r="BA18" s="17">
        <f>'Grid_Stock'!AS13</f>
        <v/>
      </c>
      <c r="BB18" s="17">
        <f>'Grid_Stock'!AT13</f>
        <v/>
      </c>
      <c r="BC18" s="17">
        <f>'Grid_Stock'!AU13</f>
        <v/>
      </c>
      <c r="BD18" s="17">
        <f>'Grid_Stock'!AV13</f>
        <v/>
      </c>
      <c r="BE18" s="17">
        <f>'Grid_Stock'!AW13</f>
        <v/>
      </c>
      <c r="BF18" s="17">
        <f>'Grid_Stock'!AX13</f>
        <v/>
      </c>
      <c r="BG18" s="17">
        <f>'Grid_Stock'!AY13</f>
        <v/>
      </c>
      <c r="BH18" s="17">
        <f>'Grid_Stock'!AZ13</f>
        <v/>
      </c>
      <c r="BI18" s="17">
        <f>'Grid_Stock'!BA13</f>
        <v/>
      </c>
      <c r="BJ18" s="17">
        <f>'Grid_Stock'!BB13</f>
        <v/>
      </c>
      <c r="BK18" s="17">
        <f>'Grid_Stock'!BC13</f>
        <v/>
      </c>
      <c r="BL18" s="17">
        <f>'Grid_Stock'!BD13</f>
        <v/>
      </c>
      <c r="BM18" s="17">
        <f>'Grid_Stock'!BE13</f>
        <v/>
      </c>
      <c r="BN18" s="17">
        <f>'Grid_Stock'!BF13</f>
        <v/>
      </c>
      <c r="BO18" s="17">
        <f>'Grid_Stock'!BG13</f>
        <v/>
      </c>
      <c r="BP18" s="17">
        <f>'Grid_Stock'!BH13</f>
        <v/>
      </c>
      <c r="BQ18" s="17">
        <f>'Grid_Stock'!BI13</f>
        <v/>
      </c>
      <c r="BR18" s="17">
        <f>'Grid_Stock'!BJ13</f>
        <v/>
      </c>
      <c r="BS18" s="17">
        <f>'Grid_Stock'!BK13</f>
        <v/>
      </c>
      <c r="BT18" s="17">
        <f>'Grid_Stock'!BL13</f>
        <v/>
      </c>
      <c r="BU18" s="17">
        <f>'Grid_Stock'!BM13</f>
        <v/>
      </c>
      <c r="BV18" s="17">
        <f>'Grid_Stock'!BN13</f>
        <v/>
      </c>
      <c r="BW18" s="17">
        <f>'Grid_Stock'!BO13</f>
        <v/>
      </c>
      <c r="BX18" s="17">
        <f>'Grid_Stock'!BP13</f>
        <v/>
      </c>
      <c r="BY18" s="17">
        <f>'Grid_Stock'!BQ13</f>
        <v/>
      </c>
      <c r="BZ18" s="17">
        <f>'Grid_Stock'!BR13</f>
        <v/>
      </c>
      <c r="CA18" s="17">
        <f>'Grid_Stock'!BS13</f>
        <v/>
      </c>
      <c r="CB18" s="17">
        <f>'Grid_Stock'!BT13</f>
        <v/>
      </c>
      <c r="CC18" s="17">
        <f>'Grid_Stock'!BU13</f>
        <v/>
      </c>
      <c r="CD18" s="17">
        <f>'Grid_Stock'!BV13</f>
        <v/>
      </c>
      <c r="CE18" s="17">
        <f>'Grid_Stock'!BW13</f>
        <v/>
      </c>
      <c r="CF18" s="17">
        <f>'Grid_Stock'!BX13</f>
        <v/>
      </c>
      <c r="CG18" s="17">
        <f>'Grid_Stock'!BY13</f>
        <v/>
      </c>
      <c r="CH18" s="17">
        <f>'Grid_Stock'!BZ13</f>
        <v/>
      </c>
      <c r="CI18" s="17">
        <f>'Grid_Stock'!CA13</f>
        <v/>
      </c>
      <c r="CJ18" s="17">
        <f>'Grid_Stock'!CB13</f>
        <v/>
      </c>
      <c r="CK18" s="17">
        <f>'Grid_Stock'!CC13</f>
        <v/>
      </c>
      <c r="CL18" s="17">
        <f>'Grid_Stock'!CD13</f>
        <v/>
      </c>
      <c r="CM18" s="17">
        <f>'Grid_Stock'!CE13</f>
        <v/>
      </c>
      <c r="CN18" s="17">
        <f>'Grid_Stock'!CF13</f>
        <v/>
      </c>
      <c r="CO18" s="17">
        <f>'Grid_Stock'!CG13</f>
        <v/>
      </c>
      <c r="CP18" s="17">
        <f>'Grid_Stock'!CH13</f>
        <v/>
      </c>
      <c r="CQ18" s="17">
        <f>'Grid_Stock'!CI13</f>
        <v/>
      </c>
      <c r="CR18" s="17">
        <f>'Grid_Stock'!CJ13</f>
        <v/>
      </c>
      <c r="CS18" s="17">
        <f>'Grid_Stock'!CK13</f>
        <v/>
      </c>
      <c r="CT18" s="17">
        <f>'Grid_Stock'!CL13</f>
        <v/>
      </c>
      <c r="CU18" s="17">
        <f>'Grid_Stock'!CM13</f>
        <v/>
      </c>
      <c r="CV18" s="17">
        <f>'Grid_Stock'!CN13</f>
        <v/>
      </c>
      <c r="CW18" s="17">
        <f>'Grid_Stock'!CO13</f>
        <v/>
      </c>
      <c r="CX18" s="17">
        <f>'Grid_Stock'!CP13</f>
        <v/>
      </c>
      <c r="CY18" s="17">
        <f>'Grid_Stock'!CQ13</f>
        <v/>
      </c>
      <c r="CZ18" s="17">
        <f>'Grid_Stock'!CR13</f>
        <v/>
      </c>
      <c r="DA18" s="17">
        <f>'Grid_Stock'!CS13</f>
        <v/>
      </c>
      <c r="DB18" s="17">
        <f>'Grid_Stock'!CT13</f>
        <v/>
      </c>
      <c r="DC18" s="17">
        <f>'Grid_Stock'!CU13</f>
        <v/>
      </c>
      <c r="DD18" s="17">
        <f>'Grid_Stock'!CV13</f>
        <v/>
      </c>
      <c r="DE18" s="17">
        <f>'Grid_Stock'!CW13</f>
        <v/>
      </c>
      <c r="DF18" s="17">
        <f>'Grid_Stock'!CX13</f>
        <v/>
      </c>
      <c r="DG18" s="17">
        <f>'Grid_Stock'!CY13</f>
        <v/>
      </c>
      <c r="DH18" s="17">
        <f>'Grid_Stock'!CZ13</f>
        <v/>
      </c>
      <c r="DI18" s="17">
        <f>'Grid_Stock'!DA13</f>
        <v/>
      </c>
    </row>
    <row r="19">
      <c r="A19" s="15" t="inlineStr">
        <is>
          <t>7CL</t>
        </is>
      </c>
      <c r="B19" s="15">
        <f>IFERROR(INDEX(M_RawMaterials[Description],MATCH($A19,M_RawMaterials[RM_Code],0)),"")</f>
        <v/>
      </c>
      <c r="C19" s="15">
        <f>IFERROR(INDEX(M_RawMaterials[Category],MATCH($A19,M_RawMaterials[RM_Code],0)),"")</f>
        <v/>
      </c>
      <c r="D19" s="15">
        <f>IFERROR(INDEX(M_RawMaterials[基準在庫下限_要入力],MATCH($A19,M_RawMaterials[RM_Code],0)),0)</f>
        <v/>
      </c>
      <c r="E19" s="15">
        <f>IFERROR(INDEX(M_RawMaterials[基準在庫上限_要入力],MATCH($A19,M_RawMaterials[RM_Code],0)),0)</f>
        <v/>
      </c>
      <c r="F19" s="15">
        <f>IFERROR(LOOKUP(2,1/(T_SelfStock!$A$2:$A$12000=$A19),T_SelfStock!$D$2:$D$12000),"")</f>
        <v/>
      </c>
      <c r="G19" s="15">
        <f>IFERROR(LOOKUP(2,1/(T_TTAFStock!$A$2:$A$12000=$A19),T_TTAFStock!$D$2:$D$12000),"")</f>
        <v/>
      </c>
      <c r="H19" s="15">
        <f>IFERROR(INDEX(Cal_Weeks[Label],LOOKUP(2,1/(T_SelfStock!$A$2:$A$12000=$A19),T_SelfStock!$C$2:$C$12000)),"")</f>
        <v/>
      </c>
      <c r="I19" s="16">
        <f>IFERROR(INDEX(J19:DI19,$F$1),"")</f>
        <v/>
      </c>
      <c r="J19" s="15">
        <f>'Grid_Stock'!B14</f>
        <v/>
      </c>
      <c r="K19" s="15">
        <f>'Grid_Stock'!C14</f>
        <v/>
      </c>
      <c r="L19" s="15">
        <f>'Grid_Stock'!D14</f>
        <v/>
      </c>
      <c r="M19" s="15">
        <f>'Grid_Stock'!E14</f>
        <v/>
      </c>
      <c r="N19" s="15">
        <f>'Grid_Stock'!F14</f>
        <v/>
      </c>
      <c r="O19" s="15">
        <f>'Grid_Stock'!G14</f>
        <v/>
      </c>
      <c r="P19" s="15">
        <f>'Grid_Stock'!H14</f>
        <v/>
      </c>
      <c r="Q19" s="15">
        <f>'Grid_Stock'!I14</f>
        <v/>
      </c>
      <c r="R19" s="15">
        <f>'Grid_Stock'!J14</f>
        <v/>
      </c>
      <c r="S19" s="15">
        <f>'Grid_Stock'!K14</f>
        <v/>
      </c>
      <c r="T19" s="15">
        <f>'Grid_Stock'!L14</f>
        <v/>
      </c>
      <c r="U19" s="15">
        <f>'Grid_Stock'!M14</f>
        <v/>
      </c>
      <c r="V19" s="15">
        <f>'Grid_Stock'!N14</f>
        <v/>
      </c>
      <c r="W19" s="15">
        <f>'Grid_Stock'!O14</f>
        <v/>
      </c>
      <c r="X19" s="15">
        <f>'Grid_Stock'!P14</f>
        <v/>
      </c>
      <c r="Y19" s="15">
        <f>'Grid_Stock'!Q14</f>
        <v/>
      </c>
      <c r="Z19" s="15">
        <f>'Grid_Stock'!R14</f>
        <v/>
      </c>
      <c r="AA19" s="15">
        <f>'Grid_Stock'!S14</f>
        <v/>
      </c>
      <c r="AB19" s="15">
        <f>'Grid_Stock'!T14</f>
        <v/>
      </c>
      <c r="AC19" s="15">
        <f>'Grid_Stock'!U14</f>
        <v/>
      </c>
      <c r="AD19" s="15">
        <f>'Grid_Stock'!V14</f>
        <v/>
      </c>
      <c r="AE19" s="15">
        <f>'Grid_Stock'!W14</f>
        <v/>
      </c>
      <c r="AF19" s="15">
        <f>'Grid_Stock'!X14</f>
        <v/>
      </c>
      <c r="AG19" s="15">
        <f>'Grid_Stock'!Y14</f>
        <v/>
      </c>
      <c r="AH19" s="15">
        <f>'Grid_Stock'!Z14</f>
        <v/>
      </c>
      <c r="AI19" s="15">
        <f>'Grid_Stock'!AA14</f>
        <v/>
      </c>
      <c r="AJ19" s="15">
        <f>'Grid_Stock'!AB14</f>
        <v/>
      </c>
      <c r="AK19" s="15">
        <f>'Grid_Stock'!AC14</f>
        <v/>
      </c>
      <c r="AL19" s="15">
        <f>'Grid_Stock'!AD14</f>
        <v/>
      </c>
      <c r="AM19" s="15">
        <f>'Grid_Stock'!AE14</f>
        <v/>
      </c>
      <c r="AN19" s="15">
        <f>'Grid_Stock'!AF14</f>
        <v/>
      </c>
      <c r="AO19" s="15">
        <f>'Grid_Stock'!AG14</f>
        <v/>
      </c>
      <c r="AP19" s="15">
        <f>'Grid_Stock'!AH14</f>
        <v/>
      </c>
      <c r="AQ19" s="15">
        <f>'Grid_Stock'!AI14</f>
        <v/>
      </c>
      <c r="AR19" s="15">
        <f>'Grid_Stock'!AJ14</f>
        <v/>
      </c>
      <c r="AS19" s="15">
        <f>'Grid_Stock'!AK14</f>
        <v/>
      </c>
      <c r="AT19" s="15">
        <f>'Grid_Stock'!AL14</f>
        <v/>
      </c>
      <c r="AU19" s="15">
        <f>'Grid_Stock'!AM14</f>
        <v/>
      </c>
      <c r="AV19" s="15">
        <f>'Grid_Stock'!AN14</f>
        <v/>
      </c>
      <c r="AW19" s="15">
        <f>'Grid_Stock'!AO14</f>
        <v/>
      </c>
      <c r="AX19" s="15">
        <f>'Grid_Stock'!AP14</f>
        <v/>
      </c>
      <c r="AY19" s="15">
        <f>'Grid_Stock'!AQ14</f>
        <v/>
      </c>
      <c r="AZ19" s="15">
        <f>'Grid_Stock'!AR14</f>
        <v/>
      </c>
      <c r="BA19" s="15">
        <f>'Grid_Stock'!AS14</f>
        <v/>
      </c>
      <c r="BB19" s="15">
        <f>'Grid_Stock'!AT14</f>
        <v/>
      </c>
      <c r="BC19" s="15">
        <f>'Grid_Stock'!AU14</f>
        <v/>
      </c>
      <c r="BD19" s="15">
        <f>'Grid_Stock'!AV14</f>
        <v/>
      </c>
      <c r="BE19" s="15">
        <f>'Grid_Stock'!AW14</f>
        <v/>
      </c>
      <c r="BF19" s="15">
        <f>'Grid_Stock'!AX14</f>
        <v/>
      </c>
      <c r="BG19" s="15">
        <f>'Grid_Stock'!AY14</f>
        <v/>
      </c>
      <c r="BH19" s="15">
        <f>'Grid_Stock'!AZ14</f>
        <v/>
      </c>
      <c r="BI19" s="15">
        <f>'Grid_Stock'!BA14</f>
        <v/>
      </c>
      <c r="BJ19" s="15">
        <f>'Grid_Stock'!BB14</f>
        <v/>
      </c>
      <c r="BK19" s="15">
        <f>'Grid_Stock'!BC14</f>
        <v/>
      </c>
      <c r="BL19" s="15">
        <f>'Grid_Stock'!BD14</f>
        <v/>
      </c>
      <c r="BM19" s="15">
        <f>'Grid_Stock'!BE14</f>
        <v/>
      </c>
      <c r="BN19" s="15">
        <f>'Grid_Stock'!BF14</f>
        <v/>
      </c>
      <c r="BO19" s="15">
        <f>'Grid_Stock'!BG14</f>
        <v/>
      </c>
      <c r="BP19" s="15">
        <f>'Grid_Stock'!BH14</f>
        <v/>
      </c>
      <c r="BQ19" s="15">
        <f>'Grid_Stock'!BI14</f>
        <v/>
      </c>
      <c r="BR19" s="15">
        <f>'Grid_Stock'!BJ14</f>
        <v/>
      </c>
      <c r="BS19" s="15">
        <f>'Grid_Stock'!BK14</f>
        <v/>
      </c>
      <c r="BT19" s="15">
        <f>'Grid_Stock'!BL14</f>
        <v/>
      </c>
      <c r="BU19" s="15">
        <f>'Grid_Stock'!BM14</f>
        <v/>
      </c>
      <c r="BV19" s="15">
        <f>'Grid_Stock'!BN14</f>
        <v/>
      </c>
      <c r="BW19" s="15">
        <f>'Grid_Stock'!BO14</f>
        <v/>
      </c>
      <c r="BX19" s="15">
        <f>'Grid_Stock'!BP14</f>
        <v/>
      </c>
      <c r="BY19" s="15">
        <f>'Grid_Stock'!BQ14</f>
        <v/>
      </c>
      <c r="BZ19" s="15">
        <f>'Grid_Stock'!BR14</f>
        <v/>
      </c>
      <c r="CA19" s="15">
        <f>'Grid_Stock'!BS14</f>
        <v/>
      </c>
      <c r="CB19" s="15">
        <f>'Grid_Stock'!BT14</f>
        <v/>
      </c>
      <c r="CC19" s="15">
        <f>'Grid_Stock'!BU14</f>
        <v/>
      </c>
      <c r="CD19" s="15">
        <f>'Grid_Stock'!BV14</f>
        <v/>
      </c>
      <c r="CE19" s="15">
        <f>'Grid_Stock'!BW14</f>
        <v/>
      </c>
      <c r="CF19" s="15">
        <f>'Grid_Stock'!BX14</f>
        <v/>
      </c>
      <c r="CG19" s="15">
        <f>'Grid_Stock'!BY14</f>
        <v/>
      </c>
      <c r="CH19" s="15">
        <f>'Grid_Stock'!BZ14</f>
        <v/>
      </c>
      <c r="CI19" s="15">
        <f>'Grid_Stock'!CA14</f>
        <v/>
      </c>
      <c r="CJ19" s="15">
        <f>'Grid_Stock'!CB14</f>
        <v/>
      </c>
      <c r="CK19" s="15">
        <f>'Grid_Stock'!CC14</f>
        <v/>
      </c>
      <c r="CL19" s="15">
        <f>'Grid_Stock'!CD14</f>
        <v/>
      </c>
      <c r="CM19" s="15">
        <f>'Grid_Stock'!CE14</f>
        <v/>
      </c>
      <c r="CN19" s="15">
        <f>'Grid_Stock'!CF14</f>
        <v/>
      </c>
      <c r="CO19" s="15">
        <f>'Grid_Stock'!CG14</f>
        <v/>
      </c>
      <c r="CP19" s="15">
        <f>'Grid_Stock'!CH14</f>
        <v/>
      </c>
      <c r="CQ19" s="15">
        <f>'Grid_Stock'!CI14</f>
        <v/>
      </c>
      <c r="CR19" s="15">
        <f>'Grid_Stock'!CJ14</f>
        <v/>
      </c>
      <c r="CS19" s="15">
        <f>'Grid_Stock'!CK14</f>
        <v/>
      </c>
      <c r="CT19" s="15">
        <f>'Grid_Stock'!CL14</f>
        <v/>
      </c>
      <c r="CU19" s="15">
        <f>'Grid_Stock'!CM14</f>
        <v/>
      </c>
      <c r="CV19" s="15">
        <f>'Grid_Stock'!CN14</f>
        <v/>
      </c>
      <c r="CW19" s="15">
        <f>'Grid_Stock'!CO14</f>
        <v/>
      </c>
      <c r="CX19" s="15">
        <f>'Grid_Stock'!CP14</f>
        <v/>
      </c>
      <c r="CY19" s="15">
        <f>'Grid_Stock'!CQ14</f>
        <v/>
      </c>
      <c r="CZ19" s="15">
        <f>'Grid_Stock'!CR14</f>
        <v/>
      </c>
      <c r="DA19" s="15">
        <f>'Grid_Stock'!CS14</f>
        <v/>
      </c>
      <c r="DB19" s="15">
        <f>'Grid_Stock'!CT14</f>
        <v/>
      </c>
      <c r="DC19" s="15">
        <f>'Grid_Stock'!CU14</f>
        <v/>
      </c>
      <c r="DD19" s="15">
        <f>'Grid_Stock'!CV14</f>
        <v/>
      </c>
      <c r="DE19" s="15">
        <f>'Grid_Stock'!CW14</f>
        <v/>
      </c>
      <c r="DF19" s="15">
        <f>'Grid_Stock'!CX14</f>
        <v/>
      </c>
      <c r="DG19" s="15">
        <f>'Grid_Stock'!CY14</f>
        <v/>
      </c>
      <c r="DH19" s="15">
        <f>'Grid_Stock'!CZ14</f>
        <v/>
      </c>
      <c r="DI19" s="15">
        <f>'Grid_Stock'!DA14</f>
        <v/>
      </c>
    </row>
    <row r="20">
      <c r="A20" s="17" t="inlineStr">
        <is>
          <t>9RN</t>
        </is>
      </c>
      <c r="B20" s="17">
        <f>IFERROR(INDEX(M_RawMaterials[Description],MATCH($A20,M_RawMaterials[RM_Code],0)),"")</f>
        <v/>
      </c>
      <c r="C20" s="17">
        <f>IFERROR(INDEX(M_RawMaterials[Category],MATCH($A20,M_RawMaterials[RM_Code],0)),"")</f>
        <v/>
      </c>
      <c r="D20" s="17">
        <f>IFERROR(INDEX(M_RawMaterials[基準在庫下限_要入力],MATCH($A20,M_RawMaterials[RM_Code],0)),0)</f>
        <v/>
      </c>
      <c r="E20" s="17">
        <f>IFERROR(INDEX(M_RawMaterials[基準在庫上限_要入力],MATCH($A20,M_RawMaterials[RM_Code],0)),0)</f>
        <v/>
      </c>
      <c r="F20" s="17">
        <f>IFERROR(LOOKUP(2,1/(T_SelfStock!$A$2:$A$12000=$A20),T_SelfStock!$D$2:$D$12000),"")</f>
        <v/>
      </c>
      <c r="G20" s="17">
        <f>IFERROR(LOOKUP(2,1/(T_TTAFStock!$A$2:$A$12000=$A20),T_TTAFStock!$D$2:$D$12000),"")</f>
        <v/>
      </c>
      <c r="H20" s="17">
        <f>IFERROR(INDEX(Cal_Weeks[Label],LOOKUP(2,1/(T_SelfStock!$A$2:$A$12000=$A20),T_SelfStock!$C$2:$C$12000)),"")</f>
        <v/>
      </c>
      <c r="I20" s="16">
        <f>IFERROR(INDEX(J20:DI20,$F$1),"")</f>
        <v/>
      </c>
      <c r="J20" s="17">
        <f>'Grid_Stock'!B15</f>
        <v/>
      </c>
      <c r="K20" s="17">
        <f>'Grid_Stock'!C15</f>
        <v/>
      </c>
      <c r="L20" s="17">
        <f>'Grid_Stock'!D15</f>
        <v/>
      </c>
      <c r="M20" s="17">
        <f>'Grid_Stock'!E15</f>
        <v/>
      </c>
      <c r="N20" s="17">
        <f>'Grid_Stock'!F15</f>
        <v/>
      </c>
      <c r="O20" s="17">
        <f>'Grid_Stock'!G15</f>
        <v/>
      </c>
      <c r="P20" s="17">
        <f>'Grid_Stock'!H15</f>
        <v/>
      </c>
      <c r="Q20" s="17">
        <f>'Grid_Stock'!I15</f>
        <v/>
      </c>
      <c r="R20" s="17">
        <f>'Grid_Stock'!J15</f>
        <v/>
      </c>
      <c r="S20" s="17">
        <f>'Grid_Stock'!K15</f>
        <v/>
      </c>
      <c r="T20" s="17">
        <f>'Grid_Stock'!L15</f>
        <v/>
      </c>
      <c r="U20" s="17">
        <f>'Grid_Stock'!M15</f>
        <v/>
      </c>
      <c r="V20" s="17">
        <f>'Grid_Stock'!N15</f>
        <v/>
      </c>
      <c r="W20" s="17">
        <f>'Grid_Stock'!O15</f>
        <v/>
      </c>
      <c r="X20" s="17">
        <f>'Grid_Stock'!P15</f>
        <v/>
      </c>
      <c r="Y20" s="17">
        <f>'Grid_Stock'!Q15</f>
        <v/>
      </c>
      <c r="Z20" s="17">
        <f>'Grid_Stock'!R15</f>
        <v/>
      </c>
      <c r="AA20" s="17">
        <f>'Grid_Stock'!S15</f>
        <v/>
      </c>
      <c r="AB20" s="17">
        <f>'Grid_Stock'!T15</f>
        <v/>
      </c>
      <c r="AC20" s="17">
        <f>'Grid_Stock'!U15</f>
        <v/>
      </c>
      <c r="AD20" s="17">
        <f>'Grid_Stock'!V15</f>
        <v/>
      </c>
      <c r="AE20" s="17">
        <f>'Grid_Stock'!W15</f>
        <v/>
      </c>
      <c r="AF20" s="17">
        <f>'Grid_Stock'!X15</f>
        <v/>
      </c>
      <c r="AG20" s="17">
        <f>'Grid_Stock'!Y15</f>
        <v/>
      </c>
      <c r="AH20" s="17">
        <f>'Grid_Stock'!Z15</f>
        <v/>
      </c>
      <c r="AI20" s="17">
        <f>'Grid_Stock'!AA15</f>
        <v/>
      </c>
      <c r="AJ20" s="17">
        <f>'Grid_Stock'!AB15</f>
        <v/>
      </c>
      <c r="AK20" s="17">
        <f>'Grid_Stock'!AC15</f>
        <v/>
      </c>
      <c r="AL20" s="17">
        <f>'Grid_Stock'!AD15</f>
        <v/>
      </c>
      <c r="AM20" s="17">
        <f>'Grid_Stock'!AE15</f>
        <v/>
      </c>
      <c r="AN20" s="17">
        <f>'Grid_Stock'!AF15</f>
        <v/>
      </c>
      <c r="AO20" s="17">
        <f>'Grid_Stock'!AG15</f>
        <v/>
      </c>
      <c r="AP20" s="17">
        <f>'Grid_Stock'!AH15</f>
        <v/>
      </c>
      <c r="AQ20" s="17">
        <f>'Grid_Stock'!AI15</f>
        <v/>
      </c>
      <c r="AR20" s="17">
        <f>'Grid_Stock'!AJ15</f>
        <v/>
      </c>
      <c r="AS20" s="17">
        <f>'Grid_Stock'!AK15</f>
        <v/>
      </c>
      <c r="AT20" s="17">
        <f>'Grid_Stock'!AL15</f>
        <v/>
      </c>
      <c r="AU20" s="17">
        <f>'Grid_Stock'!AM15</f>
        <v/>
      </c>
      <c r="AV20" s="17">
        <f>'Grid_Stock'!AN15</f>
        <v/>
      </c>
      <c r="AW20" s="17">
        <f>'Grid_Stock'!AO15</f>
        <v/>
      </c>
      <c r="AX20" s="17">
        <f>'Grid_Stock'!AP15</f>
        <v/>
      </c>
      <c r="AY20" s="17">
        <f>'Grid_Stock'!AQ15</f>
        <v/>
      </c>
      <c r="AZ20" s="17">
        <f>'Grid_Stock'!AR15</f>
        <v/>
      </c>
      <c r="BA20" s="17">
        <f>'Grid_Stock'!AS15</f>
        <v/>
      </c>
      <c r="BB20" s="17">
        <f>'Grid_Stock'!AT15</f>
        <v/>
      </c>
      <c r="BC20" s="17">
        <f>'Grid_Stock'!AU15</f>
        <v/>
      </c>
      <c r="BD20" s="17">
        <f>'Grid_Stock'!AV15</f>
        <v/>
      </c>
      <c r="BE20" s="17">
        <f>'Grid_Stock'!AW15</f>
        <v/>
      </c>
      <c r="BF20" s="17">
        <f>'Grid_Stock'!AX15</f>
        <v/>
      </c>
      <c r="BG20" s="17">
        <f>'Grid_Stock'!AY15</f>
        <v/>
      </c>
      <c r="BH20" s="17">
        <f>'Grid_Stock'!AZ15</f>
        <v/>
      </c>
      <c r="BI20" s="17">
        <f>'Grid_Stock'!BA15</f>
        <v/>
      </c>
      <c r="BJ20" s="17">
        <f>'Grid_Stock'!BB15</f>
        <v/>
      </c>
      <c r="BK20" s="17">
        <f>'Grid_Stock'!BC15</f>
        <v/>
      </c>
      <c r="BL20" s="17">
        <f>'Grid_Stock'!BD15</f>
        <v/>
      </c>
      <c r="BM20" s="17">
        <f>'Grid_Stock'!BE15</f>
        <v/>
      </c>
      <c r="BN20" s="17">
        <f>'Grid_Stock'!BF15</f>
        <v/>
      </c>
      <c r="BO20" s="17">
        <f>'Grid_Stock'!BG15</f>
        <v/>
      </c>
      <c r="BP20" s="17">
        <f>'Grid_Stock'!BH15</f>
        <v/>
      </c>
      <c r="BQ20" s="17">
        <f>'Grid_Stock'!BI15</f>
        <v/>
      </c>
      <c r="BR20" s="17">
        <f>'Grid_Stock'!BJ15</f>
        <v/>
      </c>
      <c r="BS20" s="17">
        <f>'Grid_Stock'!BK15</f>
        <v/>
      </c>
      <c r="BT20" s="17">
        <f>'Grid_Stock'!BL15</f>
        <v/>
      </c>
      <c r="BU20" s="17">
        <f>'Grid_Stock'!BM15</f>
        <v/>
      </c>
      <c r="BV20" s="17">
        <f>'Grid_Stock'!BN15</f>
        <v/>
      </c>
      <c r="BW20" s="17">
        <f>'Grid_Stock'!BO15</f>
        <v/>
      </c>
      <c r="BX20" s="17">
        <f>'Grid_Stock'!BP15</f>
        <v/>
      </c>
      <c r="BY20" s="17">
        <f>'Grid_Stock'!BQ15</f>
        <v/>
      </c>
      <c r="BZ20" s="17">
        <f>'Grid_Stock'!BR15</f>
        <v/>
      </c>
      <c r="CA20" s="17">
        <f>'Grid_Stock'!BS15</f>
        <v/>
      </c>
      <c r="CB20" s="17">
        <f>'Grid_Stock'!BT15</f>
        <v/>
      </c>
      <c r="CC20" s="17">
        <f>'Grid_Stock'!BU15</f>
        <v/>
      </c>
      <c r="CD20" s="17">
        <f>'Grid_Stock'!BV15</f>
        <v/>
      </c>
      <c r="CE20" s="17">
        <f>'Grid_Stock'!BW15</f>
        <v/>
      </c>
      <c r="CF20" s="17">
        <f>'Grid_Stock'!BX15</f>
        <v/>
      </c>
      <c r="CG20" s="17">
        <f>'Grid_Stock'!BY15</f>
        <v/>
      </c>
      <c r="CH20" s="17">
        <f>'Grid_Stock'!BZ15</f>
        <v/>
      </c>
      <c r="CI20" s="17">
        <f>'Grid_Stock'!CA15</f>
        <v/>
      </c>
      <c r="CJ20" s="17">
        <f>'Grid_Stock'!CB15</f>
        <v/>
      </c>
      <c r="CK20" s="17">
        <f>'Grid_Stock'!CC15</f>
        <v/>
      </c>
      <c r="CL20" s="17">
        <f>'Grid_Stock'!CD15</f>
        <v/>
      </c>
      <c r="CM20" s="17">
        <f>'Grid_Stock'!CE15</f>
        <v/>
      </c>
      <c r="CN20" s="17">
        <f>'Grid_Stock'!CF15</f>
        <v/>
      </c>
      <c r="CO20" s="17">
        <f>'Grid_Stock'!CG15</f>
        <v/>
      </c>
      <c r="CP20" s="17">
        <f>'Grid_Stock'!CH15</f>
        <v/>
      </c>
      <c r="CQ20" s="17">
        <f>'Grid_Stock'!CI15</f>
        <v/>
      </c>
      <c r="CR20" s="17">
        <f>'Grid_Stock'!CJ15</f>
        <v/>
      </c>
      <c r="CS20" s="17">
        <f>'Grid_Stock'!CK15</f>
        <v/>
      </c>
      <c r="CT20" s="17">
        <f>'Grid_Stock'!CL15</f>
        <v/>
      </c>
      <c r="CU20" s="17">
        <f>'Grid_Stock'!CM15</f>
        <v/>
      </c>
      <c r="CV20" s="17">
        <f>'Grid_Stock'!CN15</f>
        <v/>
      </c>
      <c r="CW20" s="17">
        <f>'Grid_Stock'!CO15</f>
        <v/>
      </c>
      <c r="CX20" s="17">
        <f>'Grid_Stock'!CP15</f>
        <v/>
      </c>
      <c r="CY20" s="17">
        <f>'Grid_Stock'!CQ15</f>
        <v/>
      </c>
      <c r="CZ20" s="17">
        <f>'Grid_Stock'!CR15</f>
        <v/>
      </c>
      <c r="DA20" s="17">
        <f>'Grid_Stock'!CS15</f>
        <v/>
      </c>
      <c r="DB20" s="17">
        <f>'Grid_Stock'!CT15</f>
        <v/>
      </c>
      <c r="DC20" s="17">
        <f>'Grid_Stock'!CU15</f>
        <v/>
      </c>
      <c r="DD20" s="17">
        <f>'Grid_Stock'!CV15</f>
        <v/>
      </c>
      <c r="DE20" s="17">
        <f>'Grid_Stock'!CW15</f>
        <v/>
      </c>
      <c r="DF20" s="17">
        <f>'Grid_Stock'!CX15</f>
        <v/>
      </c>
      <c r="DG20" s="17">
        <f>'Grid_Stock'!CY15</f>
        <v/>
      </c>
      <c r="DH20" s="17">
        <f>'Grid_Stock'!CZ15</f>
        <v/>
      </c>
      <c r="DI20" s="17">
        <f>'Grid_Stock'!DA15</f>
        <v/>
      </c>
    </row>
    <row r="21">
      <c r="A21" s="15" t="inlineStr">
        <is>
          <t>7EP</t>
        </is>
      </c>
      <c r="B21" s="15">
        <f>IFERROR(INDEX(M_RawMaterials[Description],MATCH($A21,M_RawMaterials[RM_Code],0)),"")</f>
        <v/>
      </c>
      <c r="C21" s="15">
        <f>IFERROR(INDEX(M_RawMaterials[Category],MATCH($A21,M_RawMaterials[RM_Code],0)),"")</f>
        <v/>
      </c>
      <c r="D21" s="15">
        <f>IFERROR(INDEX(M_RawMaterials[基準在庫下限_要入力],MATCH($A21,M_RawMaterials[RM_Code],0)),0)</f>
        <v/>
      </c>
      <c r="E21" s="15">
        <f>IFERROR(INDEX(M_RawMaterials[基準在庫上限_要入力],MATCH($A21,M_RawMaterials[RM_Code],0)),0)</f>
        <v/>
      </c>
      <c r="F21" s="15">
        <f>IFERROR(LOOKUP(2,1/(T_SelfStock!$A$2:$A$12000=$A21),T_SelfStock!$D$2:$D$12000),"")</f>
        <v/>
      </c>
      <c r="G21" s="15">
        <f>IFERROR(LOOKUP(2,1/(T_TTAFStock!$A$2:$A$12000=$A21),T_TTAFStock!$D$2:$D$12000),"")</f>
        <v/>
      </c>
      <c r="H21" s="15">
        <f>IFERROR(INDEX(Cal_Weeks[Label],LOOKUP(2,1/(T_SelfStock!$A$2:$A$12000=$A21),T_SelfStock!$C$2:$C$12000)),"")</f>
        <v/>
      </c>
      <c r="I21" s="16">
        <f>IFERROR(INDEX(J21:DI21,$F$1),"")</f>
        <v/>
      </c>
      <c r="J21" s="15">
        <f>'Grid_Stock'!B16</f>
        <v/>
      </c>
      <c r="K21" s="15">
        <f>'Grid_Stock'!C16</f>
        <v/>
      </c>
      <c r="L21" s="15">
        <f>'Grid_Stock'!D16</f>
        <v/>
      </c>
      <c r="M21" s="15">
        <f>'Grid_Stock'!E16</f>
        <v/>
      </c>
      <c r="N21" s="15">
        <f>'Grid_Stock'!F16</f>
        <v/>
      </c>
      <c r="O21" s="15">
        <f>'Grid_Stock'!G16</f>
        <v/>
      </c>
      <c r="P21" s="15">
        <f>'Grid_Stock'!H16</f>
        <v/>
      </c>
      <c r="Q21" s="15">
        <f>'Grid_Stock'!I16</f>
        <v/>
      </c>
      <c r="R21" s="15">
        <f>'Grid_Stock'!J16</f>
        <v/>
      </c>
      <c r="S21" s="15">
        <f>'Grid_Stock'!K16</f>
        <v/>
      </c>
      <c r="T21" s="15">
        <f>'Grid_Stock'!L16</f>
        <v/>
      </c>
      <c r="U21" s="15">
        <f>'Grid_Stock'!M16</f>
        <v/>
      </c>
      <c r="V21" s="15">
        <f>'Grid_Stock'!N16</f>
        <v/>
      </c>
      <c r="W21" s="15">
        <f>'Grid_Stock'!O16</f>
        <v/>
      </c>
      <c r="X21" s="15">
        <f>'Grid_Stock'!P16</f>
        <v/>
      </c>
      <c r="Y21" s="15">
        <f>'Grid_Stock'!Q16</f>
        <v/>
      </c>
      <c r="Z21" s="15">
        <f>'Grid_Stock'!R16</f>
        <v/>
      </c>
      <c r="AA21" s="15">
        <f>'Grid_Stock'!S16</f>
        <v/>
      </c>
      <c r="AB21" s="15">
        <f>'Grid_Stock'!T16</f>
        <v/>
      </c>
      <c r="AC21" s="15">
        <f>'Grid_Stock'!U16</f>
        <v/>
      </c>
      <c r="AD21" s="15">
        <f>'Grid_Stock'!V16</f>
        <v/>
      </c>
      <c r="AE21" s="15">
        <f>'Grid_Stock'!W16</f>
        <v/>
      </c>
      <c r="AF21" s="15">
        <f>'Grid_Stock'!X16</f>
        <v/>
      </c>
      <c r="AG21" s="15">
        <f>'Grid_Stock'!Y16</f>
        <v/>
      </c>
      <c r="AH21" s="15">
        <f>'Grid_Stock'!Z16</f>
        <v/>
      </c>
      <c r="AI21" s="15">
        <f>'Grid_Stock'!AA16</f>
        <v/>
      </c>
      <c r="AJ21" s="15">
        <f>'Grid_Stock'!AB16</f>
        <v/>
      </c>
      <c r="AK21" s="15">
        <f>'Grid_Stock'!AC16</f>
        <v/>
      </c>
      <c r="AL21" s="15">
        <f>'Grid_Stock'!AD16</f>
        <v/>
      </c>
      <c r="AM21" s="15">
        <f>'Grid_Stock'!AE16</f>
        <v/>
      </c>
      <c r="AN21" s="15">
        <f>'Grid_Stock'!AF16</f>
        <v/>
      </c>
      <c r="AO21" s="15">
        <f>'Grid_Stock'!AG16</f>
        <v/>
      </c>
      <c r="AP21" s="15">
        <f>'Grid_Stock'!AH16</f>
        <v/>
      </c>
      <c r="AQ21" s="15">
        <f>'Grid_Stock'!AI16</f>
        <v/>
      </c>
      <c r="AR21" s="15">
        <f>'Grid_Stock'!AJ16</f>
        <v/>
      </c>
      <c r="AS21" s="15">
        <f>'Grid_Stock'!AK16</f>
        <v/>
      </c>
      <c r="AT21" s="15">
        <f>'Grid_Stock'!AL16</f>
        <v/>
      </c>
      <c r="AU21" s="15">
        <f>'Grid_Stock'!AM16</f>
        <v/>
      </c>
      <c r="AV21" s="15">
        <f>'Grid_Stock'!AN16</f>
        <v/>
      </c>
      <c r="AW21" s="15">
        <f>'Grid_Stock'!AO16</f>
        <v/>
      </c>
      <c r="AX21" s="15">
        <f>'Grid_Stock'!AP16</f>
        <v/>
      </c>
      <c r="AY21" s="15">
        <f>'Grid_Stock'!AQ16</f>
        <v/>
      </c>
      <c r="AZ21" s="15">
        <f>'Grid_Stock'!AR16</f>
        <v/>
      </c>
      <c r="BA21" s="15">
        <f>'Grid_Stock'!AS16</f>
        <v/>
      </c>
      <c r="BB21" s="15">
        <f>'Grid_Stock'!AT16</f>
        <v/>
      </c>
      <c r="BC21" s="15">
        <f>'Grid_Stock'!AU16</f>
        <v/>
      </c>
      <c r="BD21" s="15">
        <f>'Grid_Stock'!AV16</f>
        <v/>
      </c>
      <c r="BE21" s="15">
        <f>'Grid_Stock'!AW16</f>
        <v/>
      </c>
      <c r="BF21" s="15">
        <f>'Grid_Stock'!AX16</f>
        <v/>
      </c>
      <c r="BG21" s="15">
        <f>'Grid_Stock'!AY16</f>
        <v/>
      </c>
      <c r="BH21" s="15">
        <f>'Grid_Stock'!AZ16</f>
        <v/>
      </c>
      <c r="BI21" s="15">
        <f>'Grid_Stock'!BA16</f>
        <v/>
      </c>
      <c r="BJ21" s="15">
        <f>'Grid_Stock'!BB16</f>
        <v/>
      </c>
      <c r="BK21" s="15">
        <f>'Grid_Stock'!BC16</f>
        <v/>
      </c>
      <c r="BL21" s="15">
        <f>'Grid_Stock'!BD16</f>
        <v/>
      </c>
      <c r="BM21" s="15">
        <f>'Grid_Stock'!BE16</f>
        <v/>
      </c>
      <c r="BN21" s="15">
        <f>'Grid_Stock'!BF16</f>
        <v/>
      </c>
      <c r="BO21" s="15">
        <f>'Grid_Stock'!BG16</f>
        <v/>
      </c>
      <c r="BP21" s="15">
        <f>'Grid_Stock'!BH16</f>
        <v/>
      </c>
      <c r="BQ21" s="15">
        <f>'Grid_Stock'!BI16</f>
        <v/>
      </c>
      <c r="BR21" s="15">
        <f>'Grid_Stock'!BJ16</f>
        <v/>
      </c>
      <c r="BS21" s="15">
        <f>'Grid_Stock'!BK16</f>
        <v/>
      </c>
      <c r="BT21" s="15">
        <f>'Grid_Stock'!BL16</f>
        <v/>
      </c>
      <c r="BU21" s="15">
        <f>'Grid_Stock'!BM16</f>
        <v/>
      </c>
      <c r="BV21" s="15">
        <f>'Grid_Stock'!BN16</f>
        <v/>
      </c>
      <c r="BW21" s="15">
        <f>'Grid_Stock'!BO16</f>
        <v/>
      </c>
      <c r="BX21" s="15">
        <f>'Grid_Stock'!BP16</f>
        <v/>
      </c>
      <c r="BY21" s="15">
        <f>'Grid_Stock'!BQ16</f>
        <v/>
      </c>
      <c r="BZ21" s="15">
        <f>'Grid_Stock'!BR16</f>
        <v/>
      </c>
      <c r="CA21" s="15">
        <f>'Grid_Stock'!BS16</f>
        <v/>
      </c>
      <c r="CB21" s="15">
        <f>'Grid_Stock'!BT16</f>
        <v/>
      </c>
      <c r="CC21" s="15">
        <f>'Grid_Stock'!BU16</f>
        <v/>
      </c>
      <c r="CD21" s="15">
        <f>'Grid_Stock'!BV16</f>
        <v/>
      </c>
      <c r="CE21" s="15">
        <f>'Grid_Stock'!BW16</f>
        <v/>
      </c>
      <c r="CF21" s="15">
        <f>'Grid_Stock'!BX16</f>
        <v/>
      </c>
      <c r="CG21" s="15">
        <f>'Grid_Stock'!BY16</f>
        <v/>
      </c>
      <c r="CH21" s="15">
        <f>'Grid_Stock'!BZ16</f>
        <v/>
      </c>
      <c r="CI21" s="15">
        <f>'Grid_Stock'!CA16</f>
        <v/>
      </c>
      <c r="CJ21" s="15">
        <f>'Grid_Stock'!CB16</f>
        <v/>
      </c>
      <c r="CK21" s="15">
        <f>'Grid_Stock'!CC16</f>
        <v/>
      </c>
      <c r="CL21" s="15">
        <f>'Grid_Stock'!CD16</f>
        <v/>
      </c>
      <c r="CM21" s="15">
        <f>'Grid_Stock'!CE16</f>
        <v/>
      </c>
      <c r="CN21" s="15">
        <f>'Grid_Stock'!CF16</f>
        <v/>
      </c>
      <c r="CO21" s="15">
        <f>'Grid_Stock'!CG16</f>
        <v/>
      </c>
      <c r="CP21" s="15">
        <f>'Grid_Stock'!CH16</f>
        <v/>
      </c>
      <c r="CQ21" s="15">
        <f>'Grid_Stock'!CI16</f>
        <v/>
      </c>
      <c r="CR21" s="15">
        <f>'Grid_Stock'!CJ16</f>
        <v/>
      </c>
      <c r="CS21" s="15">
        <f>'Grid_Stock'!CK16</f>
        <v/>
      </c>
      <c r="CT21" s="15">
        <f>'Grid_Stock'!CL16</f>
        <v/>
      </c>
      <c r="CU21" s="15">
        <f>'Grid_Stock'!CM16</f>
        <v/>
      </c>
      <c r="CV21" s="15">
        <f>'Grid_Stock'!CN16</f>
        <v/>
      </c>
      <c r="CW21" s="15">
        <f>'Grid_Stock'!CO16</f>
        <v/>
      </c>
      <c r="CX21" s="15">
        <f>'Grid_Stock'!CP16</f>
        <v/>
      </c>
      <c r="CY21" s="15">
        <f>'Grid_Stock'!CQ16</f>
        <v/>
      </c>
      <c r="CZ21" s="15">
        <f>'Grid_Stock'!CR16</f>
        <v/>
      </c>
      <c r="DA21" s="15">
        <f>'Grid_Stock'!CS16</f>
        <v/>
      </c>
      <c r="DB21" s="15">
        <f>'Grid_Stock'!CT16</f>
        <v/>
      </c>
      <c r="DC21" s="15">
        <f>'Grid_Stock'!CU16</f>
        <v/>
      </c>
      <c r="DD21" s="15">
        <f>'Grid_Stock'!CV16</f>
        <v/>
      </c>
      <c r="DE21" s="15">
        <f>'Grid_Stock'!CW16</f>
        <v/>
      </c>
      <c r="DF21" s="15">
        <f>'Grid_Stock'!CX16</f>
        <v/>
      </c>
      <c r="DG21" s="15">
        <f>'Grid_Stock'!CY16</f>
        <v/>
      </c>
      <c r="DH21" s="15">
        <f>'Grid_Stock'!CZ16</f>
        <v/>
      </c>
      <c r="DI21" s="15">
        <f>'Grid_Stock'!DA16</f>
        <v/>
      </c>
    </row>
    <row r="22">
      <c r="A22" s="17" t="inlineStr">
        <is>
          <t>F2290</t>
        </is>
      </c>
      <c r="B22" s="17">
        <f>IFERROR(INDEX(M_RawMaterials[Description],MATCH($A22,M_RawMaterials[RM_Code],0)),"")</f>
        <v/>
      </c>
      <c r="C22" s="17">
        <f>IFERROR(INDEX(M_RawMaterials[Category],MATCH($A22,M_RawMaterials[RM_Code],0)),"")</f>
        <v/>
      </c>
      <c r="D22" s="17">
        <f>IFERROR(INDEX(M_RawMaterials[基準在庫下限_要入力],MATCH($A22,M_RawMaterials[RM_Code],0)),0)</f>
        <v/>
      </c>
      <c r="E22" s="17">
        <f>IFERROR(INDEX(M_RawMaterials[基準在庫上限_要入力],MATCH($A22,M_RawMaterials[RM_Code],0)),0)</f>
        <v/>
      </c>
      <c r="F22" s="17">
        <f>IFERROR(LOOKUP(2,1/(T_SelfStock!$A$2:$A$12000=$A22),T_SelfStock!$D$2:$D$12000),"")</f>
        <v/>
      </c>
      <c r="G22" s="17">
        <f>IFERROR(LOOKUP(2,1/(T_TTAFStock!$A$2:$A$12000=$A22),T_TTAFStock!$D$2:$D$12000),"")</f>
        <v/>
      </c>
      <c r="H22" s="17">
        <f>IFERROR(INDEX(Cal_Weeks[Label],LOOKUP(2,1/(T_SelfStock!$A$2:$A$12000=$A22),T_SelfStock!$C$2:$C$12000)),"")</f>
        <v/>
      </c>
      <c r="I22" s="16">
        <f>IFERROR(INDEX(J22:DI22,$F$1),"")</f>
        <v/>
      </c>
      <c r="J22" s="17">
        <f>'Grid_Stock'!B17</f>
        <v/>
      </c>
      <c r="K22" s="17">
        <f>'Grid_Stock'!C17</f>
        <v/>
      </c>
      <c r="L22" s="17">
        <f>'Grid_Stock'!D17</f>
        <v/>
      </c>
      <c r="M22" s="17">
        <f>'Grid_Stock'!E17</f>
        <v/>
      </c>
      <c r="N22" s="17">
        <f>'Grid_Stock'!F17</f>
        <v/>
      </c>
      <c r="O22" s="17">
        <f>'Grid_Stock'!G17</f>
        <v/>
      </c>
      <c r="P22" s="17">
        <f>'Grid_Stock'!H17</f>
        <v/>
      </c>
      <c r="Q22" s="17">
        <f>'Grid_Stock'!I17</f>
        <v/>
      </c>
      <c r="R22" s="17">
        <f>'Grid_Stock'!J17</f>
        <v/>
      </c>
      <c r="S22" s="17">
        <f>'Grid_Stock'!K17</f>
        <v/>
      </c>
      <c r="T22" s="17">
        <f>'Grid_Stock'!L17</f>
        <v/>
      </c>
      <c r="U22" s="17">
        <f>'Grid_Stock'!M17</f>
        <v/>
      </c>
      <c r="V22" s="17">
        <f>'Grid_Stock'!N17</f>
        <v/>
      </c>
      <c r="W22" s="17">
        <f>'Grid_Stock'!O17</f>
        <v/>
      </c>
      <c r="X22" s="17">
        <f>'Grid_Stock'!P17</f>
        <v/>
      </c>
      <c r="Y22" s="17">
        <f>'Grid_Stock'!Q17</f>
        <v/>
      </c>
      <c r="Z22" s="17">
        <f>'Grid_Stock'!R17</f>
        <v/>
      </c>
      <c r="AA22" s="17">
        <f>'Grid_Stock'!S17</f>
        <v/>
      </c>
      <c r="AB22" s="17">
        <f>'Grid_Stock'!T17</f>
        <v/>
      </c>
      <c r="AC22" s="17">
        <f>'Grid_Stock'!U17</f>
        <v/>
      </c>
      <c r="AD22" s="17">
        <f>'Grid_Stock'!V17</f>
        <v/>
      </c>
      <c r="AE22" s="17">
        <f>'Grid_Stock'!W17</f>
        <v/>
      </c>
      <c r="AF22" s="17">
        <f>'Grid_Stock'!X17</f>
        <v/>
      </c>
      <c r="AG22" s="17">
        <f>'Grid_Stock'!Y17</f>
        <v/>
      </c>
      <c r="AH22" s="17">
        <f>'Grid_Stock'!Z17</f>
        <v/>
      </c>
      <c r="AI22" s="17">
        <f>'Grid_Stock'!AA17</f>
        <v/>
      </c>
      <c r="AJ22" s="17">
        <f>'Grid_Stock'!AB17</f>
        <v/>
      </c>
      <c r="AK22" s="17">
        <f>'Grid_Stock'!AC17</f>
        <v/>
      </c>
      <c r="AL22" s="17">
        <f>'Grid_Stock'!AD17</f>
        <v/>
      </c>
      <c r="AM22" s="17">
        <f>'Grid_Stock'!AE17</f>
        <v/>
      </c>
      <c r="AN22" s="17">
        <f>'Grid_Stock'!AF17</f>
        <v/>
      </c>
      <c r="AO22" s="17">
        <f>'Grid_Stock'!AG17</f>
        <v/>
      </c>
      <c r="AP22" s="17">
        <f>'Grid_Stock'!AH17</f>
        <v/>
      </c>
      <c r="AQ22" s="17">
        <f>'Grid_Stock'!AI17</f>
        <v/>
      </c>
      <c r="AR22" s="17">
        <f>'Grid_Stock'!AJ17</f>
        <v/>
      </c>
      <c r="AS22" s="17">
        <f>'Grid_Stock'!AK17</f>
        <v/>
      </c>
      <c r="AT22" s="17">
        <f>'Grid_Stock'!AL17</f>
        <v/>
      </c>
      <c r="AU22" s="17">
        <f>'Grid_Stock'!AM17</f>
        <v/>
      </c>
      <c r="AV22" s="17">
        <f>'Grid_Stock'!AN17</f>
        <v/>
      </c>
      <c r="AW22" s="17">
        <f>'Grid_Stock'!AO17</f>
        <v/>
      </c>
      <c r="AX22" s="17">
        <f>'Grid_Stock'!AP17</f>
        <v/>
      </c>
      <c r="AY22" s="17">
        <f>'Grid_Stock'!AQ17</f>
        <v/>
      </c>
      <c r="AZ22" s="17">
        <f>'Grid_Stock'!AR17</f>
        <v/>
      </c>
      <c r="BA22" s="17">
        <f>'Grid_Stock'!AS17</f>
        <v/>
      </c>
      <c r="BB22" s="17">
        <f>'Grid_Stock'!AT17</f>
        <v/>
      </c>
      <c r="BC22" s="17">
        <f>'Grid_Stock'!AU17</f>
        <v/>
      </c>
      <c r="BD22" s="17">
        <f>'Grid_Stock'!AV17</f>
        <v/>
      </c>
      <c r="BE22" s="17">
        <f>'Grid_Stock'!AW17</f>
        <v/>
      </c>
      <c r="BF22" s="17">
        <f>'Grid_Stock'!AX17</f>
        <v/>
      </c>
      <c r="BG22" s="17">
        <f>'Grid_Stock'!AY17</f>
        <v/>
      </c>
      <c r="BH22" s="17">
        <f>'Grid_Stock'!AZ17</f>
        <v/>
      </c>
      <c r="BI22" s="17">
        <f>'Grid_Stock'!BA17</f>
        <v/>
      </c>
      <c r="BJ22" s="17">
        <f>'Grid_Stock'!BB17</f>
        <v/>
      </c>
      <c r="BK22" s="17">
        <f>'Grid_Stock'!BC17</f>
        <v/>
      </c>
      <c r="BL22" s="17">
        <f>'Grid_Stock'!BD17</f>
        <v/>
      </c>
      <c r="BM22" s="17">
        <f>'Grid_Stock'!BE17</f>
        <v/>
      </c>
      <c r="BN22" s="17">
        <f>'Grid_Stock'!BF17</f>
        <v/>
      </c>
      <c r="BO22" s="17">
        <f>'Grid_Stock'!BG17</f>
        <v/>
      </c>
      <c r="BP22" s="17">
        <f>'Grid_Stock'!BH17</f>
        <v/>
      </c>
      <c r="BQ22" s="17">
        <f>'Grid_Stock'!BI17</f>
        <v/>
      </c>
      <c r="BR22" s="17">
        <f>'Grid_Stock'!BJ17</f>
        <v/>
      </c>
      <c r="BS22" s="17">
        <f>'Grid_Stock'!BK17</f>
        <v/>
      </c>
      <c r="BT22" s="17">
        <f>'Grid_Stock'!BL17</f>
        <v/>
      </c>
      <c r="BU22" s="17">
        <f>'Grid_Stock'!BM17</f>
        <v/>
      </c>
      <c r="BV22" s="17">
        <f>'Grid_Stock'!BN17</f>
        <v/>
      </c>
      <c r="BW22" s="17">
        <f>'Grid_Stock'!BO17</f>
        <v/>
      </c>
      <c r="BX22" s="17">
        <f>'Grid_Stock'!BP17</f>
        <v/>
      </c>
      <c r="BY22" s="17">
        <f>'Grid_Stock'!BQ17</f>
        <v/>
      </c>
      <c r="BZ22" s="17">
        <f>'Grid_Stock'!BR17</f>
        <v/>
      </c>
      <c r="CA22" s="17">
        <f>'Grid_Stock'!BS17</f>
        <v/>
      </c>
      <c r="CB22" s="17">
        <f>'Grid_Stock'!BT17</f>
        <v/>
      </c>
      <c r="CC22" s="17">
        <f>'Grid_Stock'!BU17</f>
        <v/>
      </c>
      <c r="CD22" s="17">
        <f>'Grid_Stock'!BV17</f>
        <v/>
      </c>
      <c r="CE22" s="17">
        <f>'Grid_Stock'!BW17</f>
        <v/>
      </c>
      <c r="CF22" s="17">
        <f>'Grid_Stock'!BX17</f>
        <v/>
      </c>
      <c r="CG22" s="17">
        <f>'Grid_Stock'!BY17</f>
        <v/>
      </c>
      <c r="CH22" s="17">
        <f>'Grid_Stock'!BZ17</f>
        <v/>
      </c>
      <c r="CI22" s="17">
        <f>'Grid_Stock'!CA17</f>
        <v/>
      </c>
      <c r="CJ22" s="17">
        <f>'Grid_Stock'!CB17</f>
        <v/>
      </c>
      <c r="CK22" s="17">
        <f>'Grid_Stock'!CC17</f>
        <v/>
      </c>
      <c r="CL22" s="17">
        <f>'Grid_Stock'!CD17</f>
        <v/>
      </c>
      <c r="CM22" s="17">
        <f>'Grid_Stock'!CE17</f>
        <v/>
      </c>
      <c r="CN22" s="17">
        <f>'Grid_Stock'!CF17</f>
        <v/>
      </c>
      <c r="CO22" s="17">
        <f>'Grid_Stock'!CG17</f>
        <v/>
      </c>
      <c r="CP22" s="17">
        <f>'Grid_Stock'!CH17</f>
        <v/>
      </c>
      <c r="CQ22" s="17">
        <f>'Grid_Stock'!CI17</f>
        <v/>
      </c>
      <c r="CR22" s="17">
        <f>'Grid_Stock'!CJ17</f>
        <v/>
      </c>
      <c r="CS22" s="17">
        <f>'Grid_Stock'!CK17</f>
        <v/>
      </c>
      <c r="CT22" s="17">
        <f>'Grid_Stock'!CL17</f>
        <v/>
      </c>
      <c r="CU22" s="17">
        <f>'Grid_Stock'!CM17</f>
        <v/>
      </c>
      <c r="CV22" s="17">
        <f>'Grid_Stock'!CN17</f>
        <v/>
      </c>
      <c r="CW22" s="17">
        <f>'Grid_Stock'!CO17</f>
        <v/>
      </c>
      <c r="CX22" s="17">
        <f>'Grid_Stock'!CP17</f>
        <v/>
      </c>
      <c r="CY22" s="17">
        <f>'Grid_Stock'!CQ17</f>
        <v/>
      </c>
      <c r="CZ22" s="17">
        <f>'Grid_Stock'!CR17</f>
        <v/>
      </c>
      <c r="DA22" s="17">
        <f>'Grid_Stock'!CS17</f>
        <v/>
      </c>
      <c r="DB22" s="17">
        <f>'Grid_Stock'!CT17</f>
        <v/>
      </c>
      <c r="DC22" s="17">
        <f>'Grid_Stock'!CU17</f>
        <v/>
      </c>
      <c r="DD22" s="17">
        <f>'Grid_Stock'!CV17</f>
        <v/>
      </c>
      <c r="DE22" s="17">
        <f>'Grid_Stock'!CW17</f>
        <v/>
      </c>
      <c r="DF22" s="17">
        <f>'Grid_Stock'!CX17</f>
        <v/>
      </c>
      <c r="DG22" s="17">
        <f>'Grid_Stock'!CY17</f>
        <v/>
      </c>
      <c r="DH22" s="17">
        <f>'Grid_Stock'!CZ17</f>
        <v/>
      </c>
      <c r="DI22" s="17">
        <f>'Grid_Stock'!DA17</f>
        <v/>
      </c>
    </row>
    <row r="23">
      <c r="A23" s="15" t="inlineStr">
        <is>
          <t>CHEM-1400</t>
        </is>
      </c>
      <c r="B23" s="15">
        <f>IFERROR(INDEX(M_RawMaterials[Description],MATCH($A23,M_RawMaterials[RM_Code],0)),"")</f>
        <v/>
      </c>
      <c r="C23" s="15">
        <f>IFERROR(INDEX(M_RawMaterials[Category],MATCH($A23,M_RawMaterials[RM_Code],0)),"")</f>
        <v/>
      </c>
      <c r="D23" s="15">
        <f>IFERROR(INDEX(M_RawMaterials[基準在庫下限_要入力],MATCH($A23,M_RawMaterials[RM_Code],0)),0)</f>
        <v/>
      </c>
      <c r="E23" s="15">
        <f>IFERROR(INDEX(M_RawMaterials[基準在庫上限_要入力],MATCH($A23,M_RawMaterials[RM_Code],0)),0)</f>
        <v/>
      </c>
      <c r="F23" s="15">
        <f>IFERROR(LOOKUP(2,1/(T_SelfStock!$A$2:$A$12000=$A23),T_SelfStock!$D$2:$D$12000),"")</f>
        <v/>
      </c>
      <c r="G23" s="15">
        <f>IFERROR(LOOKUP(2,1/(T_TTAFStock!$A$2:$A$12000=$A23),T_TTAFStock!$D$2:$D$12000),"")</f>
        <v/>
      </c>
      <c r="H23" s="15">
        <f>IFERROR(INDEX(Cal_Weeks[Label],LOOKUP(2,1/(T_SelfStock!$A$2:$A$12000=$A23),T_SelfStock!$C$2:$C$12000)),"")</f>
        <v/>
      </c>
      <c r="I23" s="16">
        <f>IFERROR(INDEX(J23:DI23,$F$1),"")</f>
        <v/>
      </c>
      <c r="J23" s="15">
        <f>'Grid_Stock'!B18</f>
        <v/>
      </c>
      <c r="K23" s="15">
        <f>'Grid_Stock'!C18</f>
        <v/>
      </c>
      <c r="L23" s="15">
        <f>'Grid_Stock'!D18</f>
        <v/>
      </c>
      <c r="M23" s="15">
        <f>'Grid_Stock'!E18</f>
        <v/>
      </c>
      <c r="N23" s="15">
        <f>'Grid_Stock'!F18</f>
        <v/>
      </c>
      <c r="O23" s="15">
        <f>'Grid_Stock'!G18</f>
        <v/>
      </c>
      <c r="P23" s="15">
        <f>'Grid_Stock'!H18</f>
        <v/>
      </c>
      <c r="Q23" s="15">
        <f>'Grid_Stock'!I18</f>
        <v/>
      </c>
      <c r="R23" s="15">
        <f>'Grid_Stock'!J18</f>
        <v/>
      </c>
      <c r="S23" s="15">
        <f>'Grid_Stock'!K18</f>
        <v/>
      </c>
      <c r="T23" s="15">
        <f>'Grid_Stock'!L18</f>
        <v/>
      </c>
      <c r="U23" s="15">
        <f>'Grid_Stock'!M18</f>
        <v/>
      </c>
      <c r="V23" s="15">
        <f>'Grid_Stock'!N18</f>
        <v/>
      </c>
      <c r="W23" s="15">
        <f>'Grid_Stock'!O18</f>
        <v/>
      </c>
      <c r="X23" s="15">
        <f>'Grid_Stock'!P18</f>
        <v/>
      </c>
      <c r="Y23" s="15">
        <f>'Grid_Stock'!Q18</f>
        <v/>
      </c>
      <c r="Z23" s="15">
        <f>'Grid_Stock'!R18</f>
        <v/>
      </c>
      <c r="AA23" s="15">
        <f>'Grid_Stock'!S18</f>
        <v/>
      </c>
      <c r="AB23" s="15">
        <f>'Grid_Stock'!T18</f>
        <v/>
      </c>
      <c r="AC23" s="15">
        <f>'Grid_Stock'!U18</f>
        <v/>
      </c>
      <c r="AD23" s="15">
        <f>'Grid_Stock'!V18</f>
        <v/>
      </c>
      <c r="AE23" s="15">
        <f>'Grid_Stock'!W18</f>
        <v/>
      </c>
      <c r="AF23" s="15">
        <f>'Grid_Stock'!X18</f>
        <v/>
      </c>
      <c r="AG23" s="15">
        <f>'Grid_Stock'!Y18</f>
        <v/>
      </c>
      <c r="AH23" s="15">
        <f>'Grid_Stock'!Z18</f>
        <v/>
      </c>
      <c r="AI23" s="15">
        <f>'Grid_Stock'!AA18</f>
        <v/>
      </c>
      <c r="AJ23" s="15">
        <f>'Grid_Stock'!AB18</f>
        <v/>
      </c>
      <c r="AK23" s="15">
        <f>'Grid_Stock'!AC18</f>
        <v/>
      </c>
      <c r="AL23" s="15">
        <f>'Grid_Stock'!AD18</f>
        <v/>
      </c>
      <c r="AM23" s="15">
        <f>'Grid_Stock'!AE18</f>
        <v/>
      </c>
      <c r="AN23" s="15">
        <f>'Grid_Stock'!AF18</f>
        <v/>
      </c>
      <c r="AO23" s="15">
        <f>'Grid_Stock'!AG18</f>
        <v/>
      </c>
      <c r="AP23" s="15">
        <f>'Grid_Stock'!AH18</f>
        <v/>
      </c>
      <c r="AQ23" s="15">
        <f>'Grid_Stock'!AI18</f>
        <v/>
      </c>
      <c r="AR23" s="15">
        <f>'Grid_Stock'!AJ18</f>
        <v/>
      </c>
      <c r="AS23" s="15">
        <f>'Grid_Stock'!AK18</f>
        <v/>
      </c>
      <c r="AT23" s="15">
        <f>'Grid_Stock'!AL18</f>
        <v/>
      </c>
      <c r="AU23" s="15">
        <f>'Grid_Stock'!AM18</f>
        <v/>
      </c>
      <c r="AV23" s="15">
        <f>'Grid_Stock'!AN18</f>
        <v/>
      </c>
      <c r="AW23" s="15">
        <f>'Grid_Stock'!AO18</f>
        <v/>
      </c>
      <c r="AX23" s="15">
        <f>'Grid_Stock'!AP18</f>
        <v/>
      </c>
      <c r="AY23" s="15">
        <f>'Grid_Stock'!AQ18</f>
        <v/>
      </c>
      <c r="AZ23" s="15">
        <f>'Grid_Stock'!AR18</f>
        <v/>
      </c>
      <c r="BA23" s="15">
        <f>'Grid_Stock'!AS18</f>
        <v/>
      </c>
      <c r="BB23" s="15">
        <f>'Grid_Stock'!AT18</f>
        <v/>
      </c>
      <c r="BC23" s="15">
        <f>'Grid_Stock'!AU18</f>
        <v/>
      </c>
      <c r="BD23" s="15">
        <f>'Grid_Stock'!AV18</f>
        <v/>
      </c>
      <c r="BE23" s="15">
        <f>'Grid_Stock'!AW18</f>
        <v/>
      </c>
      <c r="BF23" s="15">
        <f>'Grid_Stock'!AX18</f>
        <v/>
      </c>
      <c r="BG23" s="15">
        <f>'Grid_Stock'!AY18</f>
        <v/>
      </c>
      <c r="BH23" s="15">
        <f>'Grid_Stock'!AZ18</f>
        <v/>
      </c>
      <c r="BI23" s="15">
        <f>'Grid_Stock'!BA18</f>
        <v/>
      </c>
      <c r="BJ23" s="15">
        <f>'Grid_Stock'!BB18</f>
        <v/>
      </c>
      <c r="BK23" s="15">
        <f>'Grid_Stock'!BC18</f>
        <v/>
      </c>
      <c r="BL23" s="15">
        <f>'Grid_Stock'!BD18</f>
        <v/>
      </c>
      <c r="BM23" s="15">
        <f>'Grid_Stock'!BE18</f>
        <v/>
      </c>
      <c r="BN23" s="15">
        <f>'Grid_Stock'!BF18</f>
        <v/>
      </c>
      <c r="BO23" s="15">
        <f>'Grid_Stock'!BG18</f>
        <v/>
      </c>
      <c r="BP23" s="15">
        <f>'Grid_Stock'!BH18</f>
        <v/>
      </c>
      <c r="BQ23" s="15">
        <f>'Grid_Stock'!BI18</f>
        <v/>
      </c>
      <c r="BR23" s="15">
        <f>'Grid_Stock'!BJ18</f>
        <v/>
      </c>
      <c r="BS23" s="15">
        <f>'Grid_Stock'!BK18</f>
        <v/>
      </c>
      <c r="BT23" s="15">
        <f>'Grid_Stock'!BL18</f>
        <v/>
      </c>
      <c r="BU23" s="15">
        <f>'Grid_Stock'!BM18</f>
        <v/>
      </c>
      <c r="BV23" s="15">
        <f>'Grid_Stock'!BN18</f>
        <v/>
      </c>
      <c r="BW23" s="15">
        <f>'Grid_Stock'!BO18</f>
        <v/>
      </c>
      <c r="BX23" s="15">
        <f>'Grid_Stock'!BP18</f>
        <v/>
      </c>
      <c r="BY23" s="15">
        <f>'Grid_Stock'!BQ18</f>
        <v/>
      </c>
      <c r="BZ23" s="15">
        <f>'Grid_Stock'!BR18</f>
        <v/>
      </c>
      <c r="CA23" s="15">
        <f>'Grid_Stock'!BS18</f>
        <v/>
      </c>
      <c r="CB23" s="15">
        <f>'Grid_Stock'!BT18</f>
        <v/>
      </c>
      <c r="CC23" s="15">
        <f>'Grid_Stock'!BU18</f>
        <v/>
      </c>
      <c r="CD23" s="15">
        <f>'Grid_Stock'!BV18</f>
        <v/>
      </c>
      <c r="CE23" s="15">
        <f>'Grid_Stock'!BW18</f>
        <v/>
      </c>
      <c r="CF23" s="15">
        <f>'Grid_Stock'!BX18</f>
        <v/>
      </c>
      <c r="CG23" s="15">
        <f>'Grid_Stock'!BY18</f>
        <v/>
      </c>
      <c r="CH23" s="15">
        <f>'Grid_Stock'!BZ18</f>
        <v/>
      </c>
      <c r="CI23" s="15">
        <f>'Grid_Stock'!CA18</f>
        <v/>
      </c>
      <c r="CJ23" s="15">
        <f>'Grid_Stock'!CB18</f>
        <v/>
      </c>
      <c r="CK23" s="15">
        <f>'Grid_Stock'!CC18</f>
        <v/>
      </c>
      <c r="CL23" s="15">
        <f>'Grid_Stock'!CD18</f>
        <v/>
      </c>
      <c r="CM23" s="15">
        <f>'Grid_Stock'!CE18</f>
        <v/>
      </c>
      <c r="CN23" s="15">
        <f>'Grid_Stock'!CF18</f>
        <v/>
      </c>
      <c r="CO23" s="15">
        <f>'Grid_Stock'!CG18</f>
        <v/>
      </c>
      <c r="CP23" s="15">
        <f>'Grid_Stock'!CH18</f>
        <v/>
      </c>
      <c r="CQ23" s="15">
        <f>'Grid_Stock'!CI18</f>
        <v/>
      </c>
      <c r="CR23" s="15">
        <f>'Grid_Stock'!CJ18</f>
        <v/>
      </c>
      <c r="CS23" s="15">
        <f>'Grid_Stock'!CK18</f>
        <v/>
      </c>
      <c r="CT23" s="15">
        <f>'Grid_Stock'!CL18</f>
        <v/>
      </c>
      <c r="CU23" s="15">
        <f>'Grid_Stock'!CM18</f>
        <v/>
      </c>
      <c r="CV23" s="15">
        <f>'Grid_Stock'!CN18</f>
        <v/>
      </c>
      <c r="CW23" s="15">
        <f>'Grid_Stock'!CO18</f>
        <v/>
      </c>
      <c r="CX23" s="15">
        <f>'Grid_Stock'!CP18</f>
        <v/>
      </c>
      <c r="CY23" s="15">
        <f>'Grid_Stock'!CQ18</f>
        <v/>
      </c>
      <c r="CZ23" s="15">
        <f>'Grid_Stock'!CR18</f>
        <v/>
      </c>
      <c r="DA23" s="15">
        <f>'Grid_Stock'!CS18</f>
        <v/>
      </c>
      <c r="DB23" s="15">
        <f>'Grid_Stock'!CT18</f>
        <v/>
      </c>
      <c r="DC23" s="15">
        <f>'Grid_Stock'!CU18</f>
        <v/>
      </c>
      <c r="DD23" s="15">
        <f>'Grid_Stock'!CV18</f>
        <v/>
      </c>
      <c r="DE23" s="15">
        <f>'Grid_Stock'!CW18</f>
        <v/>
      </c>
      <c r="DF23" s="15">
        <f>'Grid_Stock'!CX18</f>
        <v/>
      </c>
      <c r="DG23" s="15">
        <f>'Grid_Stock'!CY18</f>
        <v/>
      </c>
      <c r="DH23" s="15">
        <f>'Grid_Stock'!CZ18</f>
        <v/>
      </c>
      <c r="DI23" s="15">
        <f>'Grid_Stock'!DA18</f>
        <v/>
      </c>
    </row>
    <row r="24">
      <c r="A24" s="17" t="inlineStr">
        <is>
          <t>CHEM-1570</t>
        </is>
      </c>
      <c r="B24" s="17">
        <f>IFERROR(INDEX(M_RawMaterials[Description],MATCH($A24,M_RawMaterials[RM_Code],0)),"")</f>
        <v/>
      </c>
      <c r="C24" s="17">
        <f>IFERROR(INDEX(M_RawMaterials[Category],MATCH($A24,M_RawMaterials[RM_Code],0)),"")</f>
        <v/>
      </c>
      <c r="D24" s="17">
        <f>IFERROR(INDEX(M_RawMaterials[基準在庫下限_要入力],MATCH($A24,M_RawMaterials[RM_Code],0)),0)</f>
        <v/>
      </c>
      <c r="E24" s="17">
        <f>IFERROR(INDEX(M_RawMaterials[基準在庫上限_要入力],MATCH($A24,M_RawMaterials[RM_Code],0)),0)</f>
        <v/>
      </c>
      <c r="F24" s="17">
        <f>IFERROR(LOOKUP(2,1/(T_SelfStock!$A$2:$A$12000=$A24),T_SelfStock!$D$2:$D$12000),"")</f>
        <v/>
      </c>
      <c r="G24" s="17">
        <f>IFERROR(LOOKUP(2,1/(T_TTAFStock!$A$2:$A$12000=$A24),T_TTAFStock!$D$2:$D$12000),"")</f>
        <v/>
      </c>
      <c r="H24" s="17">
        <f>IFERROR(INDEX(Cal_Weeks[Label],LOOKUP(2,1/(T_SelfStock!$A$2:$A$12000=$A24),T_SelfStock!$C$2:$C$12000)),"")</f>
        <v/>
      </c>
      <c r="I24" s="16">
        <f>IFERROR(INDEX(J24:DI24,$F$1),"")</f>
        <v/>
      </c>
      <c r="J24" s="17">
        <f>'Grid_Stock'!B19</f>
        <v/>
      </c>
      <c r="K24" s="17">
        <f>'Grid_Stock'!C19</f>
        <v/>
      </c>
      <c r="L24" s="17">
        <f>'Grid_Stock'!D19</f>
        <v/>
      </c>
      <c r="M24" s="17">
        <f>'Grid_Stock'!E19</f>
        <v/>
      </c>
      <c r="N24" s="17">
        <f>'Grid_Stock'!F19</f>
        <v/>
      </c>
      <c r="O24" s="17">
        <f>'Grid_Stock'!G19</f>
        <v/>
      </c>
      <c r="P24" s="17">
        <f>'Grid_Stock'!H19</f>
        <v/>
      </c>
      <c r="Q24" s="17">
        <f>'Grid_Stock'!I19</f>
        <v/>
      </c>
      <c r="R24" s="17">
        <f>'Grid_Stock'!J19</f>
        <v/>
      </c>
      <c r="S24" s="17">
        <f>'Grid_Stock'!K19</f>
        <v/>
      </c>
      <c r="T24" s="17">
        <f>'Grid_Stock'!L19</f>
        <v/>
      </c>
      <c r="U24" s="17">
        <f>'Grid_Stock'!M19</f>
        <v/>
      </c>
      <c r="V24" s="17">
        <f>'Grid_Stock'!N19</f>
        <v/>
      </c>
      <c r="W24" s="17">
        <f>'Grid_Stock'!O19</f>
        <v/>
      </c>
      <c r="X24" s="17">
        <f>'Grid_Stock'!P19</f>
        <v/>
      </c>
      <c r="Y24" s="17">
        <f>'Grid_Stock'!Q19</f>
        <v/>
      </c>
      <c r="Z24" s="17">
        <f>'Grid_Stock'!R19</f>
        <v/>
      </c>
      <c r="AA24" s="17">
        <f>'Grid_Stock'!S19</f>
        <v/>
      </c>
      <c r="AB24" s="17">
        <f>'Grid_Stock'!T19</f>
        <v/>
      </c>
      <c r="AC24" s="17">
        <f>'Grid_Stock'!U19</f>
        <v/>
      </c>
      <c r="AD24" s="17">
        <f>'Grid_Stock'!V19</f>
        <v/>
      </c>
      <c r="AE24" s="17">
        <f>'Grid_Stock'!W19</f>
        <v/>
      </c>
      <c r="AF24" s="17">
        <f>'Grid_Stock'!X19</f>
        <v/>
      </c>
      <c r="AG24" s="17">
        <f>'Grid_Stock'!Y19</f>
        <v/>
      </c>
      <c r="AH24" s="17">
        <f>'Grid_Stock'!Z19</f>
        <v/>
      </c>
      <c r="AI24" s="17">
        <f>'Grid_Stock'!AA19</f>
        <v/>
      </c>
      <c r="AJ24" s="17">
        <f>'Grid_Stock'!AB19</f>
        <v/>
      </c>
      <c r="AK24" s="17">
        <f>'Grid_Stock'!AC19</f>
        <v/>
      </c>
      <c r="AL24" s="17">
        <f>'Grid_Stock'!AD19</f>
        <v/>
      </c>
      <c r="AM24" s="17">
        <f>'Grid_Stock'!AE19</f>
        <v/>
      </c>
      <c r="AN24" s="17">
        <f>'Grid_Stock'!AF19</f>
        <v/>
      </c>
      <c r="AO24" s="17">
        <f>'Grid_Stock'!AG19</f>
        <v/>
      </c>
      <c r="AP24" s="17">
        <f>'Grid_Stock'!AH19</f>
        <v/>
      </c>
      <c r="AQ24" s="17">
        <f>'Grid_Stock'!AI19</f>
        <v/>
      </c>
      <c r="AR24" s="17">
        <f>'Grid_Stock'!AJ19</f>
        <v/>
      </c>
      <c r="AS24" s="17">
        <f>'Grid_Stock'!AK19</f>
        <v/>
      </c>
      <c r="AT24" s="17">
        <f>'Grid_Stock'!AL19</f>
        <v/>
      </c>
      <c r="AU24" s="17">
        <f>'Grid_Stock'!AM19</f>
        <v/>
      </c>
      <c r="AV24" s="17">
        <f>'Grid_Stock'!AN19</f>
        <v/>
      </c>
      <c r="AW24" s="17">
        <f>'Grid_Stock'!AO19</f>
        <v/>
      </c>
      <c r="AX24" s="17">
        <f>'Grid_Stock'!AP19</f>
        <v/>
      </c>
      <c r="AY24" s="17">
        <f>'Grid_Stock'!AQ19</f>
        <v/>
      </c>
      <c r="AZ24" s="17">
        <f>'Grid_Stock'!AR19</f>
        <v/>
      </c>
      <c r="BA24" s="17">
        <f>'Grid_Stock'!AS19</f>
        <v/>
      </c>
      <c r="BB24" s="17">
        <f>'Grid_Stock'!AT19</f>
        <v/>
      </c>
      <c r="BC24" s="17">
        <f>'Grid_Stock'!AU19</f>
        <v/>
      </c>
      <c r="BD24" s="17">
        <f>'Grid_Stock'!AV19</f>
        <v/>
      </c>
      <c r="BE24" s="17">
        <f>'Grid_Stock'!AW19</f>
        <v/>
      </c>
      <c r="BF24" s="17">
        <f>'Grid_Stock'!AX19</f>
        <v/>
      </c>
      <c r="BG24" s="17">
        <f>'Grid_Stock'!AY19</f>
        <v/>
      </c>
      <c r="BH24" s="17">
        <f>'Grid_Stock'!AZ19</f>
        <v/>
      </c>
      <c r="BI24" s="17">
        <f>'Grid_Stock'!BA19</f>
        <v/>
      </c>
      <c r="BJ24" s="17">
        <f>'Grid_Stock'!BB19</f>
        <v/>
      </c>
      <c r="BK24" s="17">
        <f>'Grid_Stock'!BC19</f>
        <v/>
      </c>
      <c r="BL24" s="17">
        <f>'Grid_Stock'!BD19</f>
        <v/>
      </c>
      <c r="BM24" s="17">
        <f>'Grid_Stock'!BE19</f>
        <v/>
      </c>
      <c r="BN24" s="17">
        <f>'Grid_Stock'!BF19</f>
        <v/>
      </c>
      <c r="BO24" s="17">
        <f>'Grid_Stock'!BG19</f>
        <v/>
      </c>
      <c r="BP24" s="17">
        <f>'Grid_Stock'!BH19</f>
        <v/>
      </c>
      <c r="BQ24" s="17">
        <f>'Grid_Stock'!BI19</f>
        <v/>
      </c>
      <c r="BR24" s="17">
        <f>'Grid_Stock'!BJ19</f>
        <v/>
      </c>
      <c r="BS24" s="17">
        <f>'Grid_Stock'!BK19</f>
        <v/>
      </c>
      <c r="BT24" s="17">
        <f>'Grid_Stock'!BL19</f>
        <v/>
      </c>
      <c r="BU24" s="17">
        <f>'Grid_Stock'!BM19</f>
        <v/>
      </c>
      <c r="BV24" s="17">
        <f>'Grid_Stock'!BN19</f>
        <v/>
      </c>
      <c r="BW24" s="17">
        <f>'Grid_Stock'!BO19</f>
        <v/>
      </c>
      <c r="BX24" s="17">
        <f>'Grid_Stock'!BP19</f>
        <v/>
      </c>
      <c r="BY24" s="17">
        <f>'Grid_Stock'!BQ19</f>
        <v/>
      </c>
      <c r="BZ24" s="17">
        <f>'Grid_Stock'!BR19</f>
        <v/>
      </c>
      <c r="CA24" s="17">
        <f>'Grid_Stock'!BS19</f>
        <v/>
      </c>
      <c r="CB24" s="17">
        <f>'Grid_Stock'!BT19</f>
        <v/>
      </c>
      <c r="CC24" s="17">
        <f>'Grid_Stock'!BU19</f>
        <v/>
      </c>
      <c r="CD24" s="17">
        <f>'Grid_Stock'!BV19</f>
        <v/>
      </c>
      <c r="CE24" s="17">
        <f>'Grid_Stock'!BW19</f>
        <v/>
      </c>
      <c r="CF24" s="17">
        <f>'Grid_Stock'!BX19</f>
        <v/>
      </c>
      <c r="CG24" s="17">
        <f>'Grid_Stock'!BY19</f>
        <v/>
      </c>
      <c r="CH24" s="17">
        <f>'Grid_Stock'!BZ19</f>
        <v/>
      </c>
      <c r="CI24" s="17">
        <f>'Grid_Stock'!CA19</f>
        <v/>
      </c>
      <c r="CJ24" s="17">
        <f>'Grid_Stock'!CB19</f>
        <v/>
      </c>
      <c r="CK24" s="17">
        <f>'Grid_Stock'!CC19</f>
        <v/>
      </c>
      <c r="CL24" s="17">
        <f>'Grid_Stock'!CD19</f>
        <v/>
      </c>
      <c r="CM24" s="17">
        <f>'Grid_Stock'!CE19</f>
        <v/>
      </c>
      <c r="CN24" s="17">
        <f>'Grid_Stock'!CF19</f>
        <v/>
      </c>
      <c r="CO24" s="17">
        <f>'Grid_Stock'!CG19</f>
        <v/>
      </c>
      <c r="CP24" s="17">
        <f>'Grid_Stock'!CH19</f>
        <v/>
      </c>
      <c r="CQ24" s="17">
        <f>'Grid_Stock'!CI19</f>
        <v/>
      </c>
      <c r="CR24" s="17">
        <f>'Grid_Stock'!CJ19</f>
        <v/>
      </c>
      <c r="CS24" s="17">
        <f>'Grid_Stock'!CK19</f>
        <v/>
      </c>
      <c r="CT24" s="17">
        <f>'Grid_Stock'!CL19</f>
        <v/>
      </c>
      <c r="CU24" s="17">
        <f>'Grid_Stock'!CM19</f>
        <v/>
      </c>
      <c r="CV24" s="17">
        <f>'Grid_Stock'!CN19</f>
        <v/>
      </c>
      <c r="CW24" s="17">
        <f>'Grid_Stock'!CO19</f>
        <v/>
      </c>
      <c r="CX24" s="17">
        <f>'Grid_Stock'!CP19</f>
        <v/>
      </c>
      <c r="CY24" s="17">
        <f>'Grid_Stock'!CQ19</f>
        <v/>
      </c>
      <c r="CZ24" s="17">
        <f>'Grid_Stock'!CR19</f>
        <v/>
      </c>
      <c r="DA24" s="17">
        <f>'Grid_Stock'!CS19</f>
        <v/>
      </c>
      <c r="DB24" s="17">
        <f>'Grid_Stock'!CT19</f>
        <v/>
      </c>
      <c r="DC24" s="17">
        <f>'Grid_Stock'!CU19</f>
        <v/>
      </c>
      <c r="DD24" s="17">
        <f>'Grid_Stock'!CV19</f>
        <v/>
      </c>
      <c r="DE24" s="17">
        <f>'Grid_Stock'!CW19</f>
        <v/>
      </c>
      <c r="DF24" s="17">
        <f>'Grid_Stock'!CX19</f>
        <v/>
      </c>
      <c r="DG24" s="17">
        <f>'Grid_Stock'!CY19</f>
        <v/>
      </c>
      <c r="DH24" s="17">
        <f>'Grid_Stock'!CZ19</f>
        <v/>
      </c>
      <c r="DI24" s="17">
        <f>'Grid_Stock'!DA19</f>
        <v/>
      </c>
    </row>
    <row r="25">
      <c r="A25" s="15" t="inlineStr">
        <is>
          <t>CHEM-1650</t>
        </is>
      </c>
      <c r="B25" s="15">
        <f>IFERROR(INDEX(M_RawMaterials[Description],MATCH($A25,M_RawMaterials[RM_Code],0)),"")</f>
        <v/>
      </c>
      <c r="C25" s="15">
        <f>IFERROR(INDEX(M_RawMaterials[Category],MATCH($A25,M_RawMaterials[RM_Code],0)),"")</f>
        <v/>
      </c>
      <c r="D25" s="15">
        <f>IFERROR(INDEX(M_RawMaterials[基準在庫下限_要入力],MATCH($A25,M_RawMaterials[RM_Code],0)),0)</f>
        <v/>
      </c>
      <c r="E25" s="15">
        <f>IFERROR(INDEX(M_RawMaterials[基準在庫上限_要入力],MATCH($A25,M_RawMaterials[RM_Code],0)),0)</f>
        <v/>
      </c>
      <c r="F25" s="15">
        <f>IFERROR(LOOKUP(2,1/(T_SelfStock!$A$2:$A$12000=$A25),T_SelfStock!$D$2:$D$12000),"")</f>
        <v/>
      </c>
      <c r="G25" s="15">
        <f>IFERROR(LOOKUP(2,1/(T_TTAFStock!$A$2:$A$12000=$A25),T_TTAFStock!$D$2:$D$12000),"")</f>
        <v/>
      </c>
      <c r="H25" s="15">
        <f>IFERROR(INDEX(Cal_Weeks[Label],LOOKUP(2,1/(T_SelfStock!$A$2:$A$12000=$A25),T_SelfStock!$C$2:$C$12000)),"")</f>
        <v/>
      </c>
      <c r="I25" s="16">
        <f>IFERROR(INDEX(J25:DI25,$F$1),"")</f>
        <v/>
      </c>
      <c r="J25" s="15">
        <f>'Grid_Stock'!B20</f>
        <v/>
      </c>
      <c r="K25" s="15">
        <f>'Grid_Stock'!C20</f>
        <v/>
      </c>
      <c r="L25" s="15">
        <f>'Grid_Stock'!D20</f>
        <v/>
      </c>
      <c r="M25" s="15">
        <f>'Grid_Stock'!E20</f>
        <v/>
      </c>
      <c r="N25" s="15">
        <f>'Grid_Stock'!F20</f>
        <v/>
      </c>
      <c r="O25" s="15">
        <f>'Grid_Stock'!G20</f>
        <v/>
      </c>
      <c r="P25" s="15">
        <f>'Grid_Stock'!H20</f>
        <v/>
      </c>
      <c r="Q25" s="15">
        <f>'Grid_Stock'!I20</f>
        <v/>
      </c>
      <c r="R25" s="15">
        <f>'Grid_Stock'!J20</f>
        <v/>
      </c>
      <c r="S25" s="15">
        <f>'Grid_Stock'!K20</f>
        <v/>
      </c>
      <c r="T25" s="15">
        <f>'Grid_Stock'!L20</f>
        <v/>
      </c>
      <c r="U25" s="15">
        <f>'Grid_Stock'!M20</f>
        <v/>
      </c>
      <c r="V25" s="15">
        <f>'Grid_Stock'!N20</f>
        <v/>
      </c>
      <c r="W25" s="15">
        <f>'Grid_Stock'!O20</f>
        <v/>
      </c>
      <c r="X25" s="15">
        <f>'Grid_Stock'!P20</f>
        <v/>
      </c>
      <c r="Y25" s="15">
        <f>'Grid_Stock'!Q20</f>
        <v/>
      </c>
      <c r="Z25" s="15">
        <f>'Grid_Stock'!R20</f>
        <v/>
      </c>
      <c r="AA25" s="15">
        <f>'Grid_Stock'!S20</f>
        <v/>
      </c>
      <c r="AB25" s="15">
        <f>'Grid_Stock'!T20</f>
        <v/>
      </c>
      <c r="AC25" s="15">
        <f>'Grid_Stock'!U20</f>
        <v/>
      </c>
      <c r="AD25" s="15">
        <f>'Grid_Stock'!V20</f>
        <v/>
      </c>
      <c r="AE25" s="15">
        <f>'Grid_Stock'!W20</f>
        <v/>
      </c>
      <c r="AF25" s="15">
        <f>'Grid_Stock'!X20</f>
        <v/>
      </c>
      <c r="AG25" s="15">
        <f>'Grid_Stock'!Y20</f>
        <v/>
      </c>
      <c r="AH25" s="15">
        <f>'Grid_Stock'!Z20</f>
        <v/>
      </c>
      <c r="AI25" s="15">
        <f>'Grid_Stock'!AA20</f>
        <v/>
      </c>
      <c r="AJ25" s="15">
        <f>'Grid_Stock'!AB20</f>
        <v/>
      </c>
      <c r="AK25" s="15">
        <f>'Grid_Stock'!AC20</f>
        <v/>
      </c>
      <c r="AL25" s="15">
        <f>'Grid_Stock'!AD20</f>
        <v/>
      </c>
      <c r="AM25" s="15">
        <f>'Grid_Stock'!AE20</f>
        <v/>
      </c>
      <c r="AN25" s="15">
        <f>'Grid_Stock'!AF20</f>
        <v/>
      </c>
      <c r="AO25" s="15">
        <f>'Grid_Stock'!AG20</f>
        <v/>
      </c>
      <c r="AP25" s="15">
        <f>'Grid_Stock'!AH20</f>
        <v/>
      </c>
      <c r="AQ25" s="15">
        <f>'Grid_Stock'!AI20</f>
        <v/>
      </c>
      <c r="AR25" s="15">
        <f>'Grid_Stock'!AJ20</f>
        <v/>
      </c>
      <c r="AS25" s="15">
        <f>'Grid_Stock'!AK20</f>
        <v/>
      </c>
      <c r="AT25" s="15">
        <f>'Grid_Stock'!AL20</f>
        <v/>
      </c>
      <c r="AU25" s="15">
        <f>'Grid_Stock'!AM20</f>
        <v/>
      </c>
      <c r="AV25" s="15">
        <f>'Grid_Stock'!AN20</f>
        <v/>
      </c>
      <c r="AW25" s="15">
        <f>'Grid_Stock'!AO20</f>
        <v/>
      </c>
      <c r="AX25" s="15">
        <f>'Grid_Stock'!AP20</f>
        <v/>
      </c>
      <c r="AY25" s="15">
        <f>'Grid_Stock'!AQ20</f>
        <v/>
      </c>
      <c r="AZ25" s="15">
        <f>'Grid_Stock'!AR20</f>
        <v/>
      </c>
      <c r="BA25" s="15">
        <f>'Grid_Stock'!AS20</f>
        <v/>
      </c>
      <c r="BB25" s="15">
        <f>'Grid_Stock'!AT20</f>
        <v/>
      </c>
      <c r="BC25" s="15">
        <f>'Grid_Stock'!AU20</f>
        <v/>
      </c>
      <c r="BD25" s="15">
        <f>'Grid_Stock'!AV20</f>
        <v/>
      </c>
      <c r="BE25" s="15">
        <f>'Grid_Stock'!AW20</f>
        <v/>
      </c>
      <c r="BF25" s="15">
        <f>'Grid_Stock'!AX20</f>
        <v/>
      </c>
      <c r="BG25" s="15">
        <f>'Grid_Stock'!AY20</f>
        <v/>
      </c>
      <c r="BH25" s="15">
        <f>'Grid_Stock'!AZ20</f>
        <v/>
      </c>
      <c r="BI25" s="15">
        <f>'Grid_Stock'!BA20</f>
        <v/>
      </c>
      <c r="BJ25" s="15">
        <f>'Grid_Stock'!BB20</f>
        <v/>
      </c>
      <c r="BK25" s="15">
        <f>'Grid_Stock'!BC20</f>
        <v/>
      </c>
      <c r="BL25" s="15">
        <f>'Grid_Stock'!BD20</f>
        <v/>
      </c>
      <c r="BM25" s="15">
        <f>'Grid_Stock'!BE20</f>
        <v/>
      </c>
      <c r="BN25" s="15">
        <f>'Grid_Stock'!BF20</f>
        <v/>
      </c>
      <c r="BO25" s="15">
        <f>'Grid_Stock'!BG20</f>
        <v/>
      </c>
      <c r="BP25" s="15">
        <f>'Grid_Stock'!BH20</f>
        <v/>
      </c>
      <c r="BQ25" s="15">
        <f>'Grid_Stock'!BI20</f>
        <v/>
      </c>
      <c r="BR25" s="15">
        <f>'Grid_Stock'!BJ20</f>
        <v/>
      </c>
      <c r="BS25" s="15">
        <f>'Grid_Stock'!BK20</f>
        <v/>
      </c>
      <c r="BT25" s="15">
        <f>'Grid_Stock'!BL20</f>
        <v/>
      </c>
      <c r="BU25" s="15">
        <f>'Grid_Stock'!BM20</f>
        <v/>
      </c>
      <c r="BV25" s="15">
        <f>'Grid_Stock'!BN20</f>
        <v/>
      </c>
      <c r="BW25" s="15">
        <f>'Grid_Stock'!BO20</f>
        <v/>
      </c>
      <c r="BX25" s="15">
        <f>'Grid_Stock'!BP20</f>
        <v/>
      </c>
      <c r="BY25" s="15">
        <f>'Grid_Stock'!BQ20</f>
        <v/>
      </c>
      <c r="BZ25" s="15">
        <f>'Grid_Stock'!BR20</f>
        <v/>
      </c>
      <c r="CA25" s="15">
        <f>'Grid_Stock'!BS20</f>
        <v/>
      </c>
      <c r="CB25" s="15">
        <f>'Grid_Stock'!BT20</f>
        <v/>
      </c>
      <c r="CC25" s="15">
        <f>'Grid_Stock'!BU20</f>
        <v/>
      </c>
      <c r="CD25" s="15">
        <f>'Grid_Stock'!BV20</f>
        <v/>
      </c>
      <c r="CE25" s="15">
        <f>'Grid_Stock'!BW20</f>
        <v/>
      </c>
      <c r="CF25" s="15">
        <f>'Grid_Stock'!BX20</f>
        <v/>
      </c>
      <c r="CG25" s="15">
        <f>'Grid_Stock'!BY20</f>
        <v/>
      </c>
      <c r="CH25" s="15">
        <f>'Grid_Stock'!BZ20</f>
        <v/>
      </c>
      <c r="CI25" s="15">
        <f>'Grid_Stock'!CA20</f>
        <v/>
      </c>
      <c r="CJ25" s="15">
        <f>'Grid_Stock'!CB20</f>
        <v/>
      </c>
      <c r="CK25" s="15">
        <f>'Grid_Stock'!CC20</f>
        <v/>
      </c>
      <c r="CL25" s="15">
        <f>'Grid_Stock'!CD20</f>
        <v/>
      </c>
      <c r="CM25" s="15">
        <f>'Grid_Stock'!CE20</f>
        <v/>
      </c>
      <c r="CN25" s="15">
        <f>'Grid_Stock'!CF20</f>
        <v/>
      </c>
      <c r="CO25" s="15">
        <f>'Grid_Stock'!CG20</f>
        <v/>
      </c>
      <c r="CP25" s="15">
        <f>'Grid_Stock'!CH20</f>
        <v/>
      </c>
      <c r="CQ25" s="15">
        <f>'Grid_Stock'!CI20</f>
        <v/>
      </c>
      <c r="CR25" s="15">
        <f>'Grid_Stock'!CJ20</f>
        <v/>
      </c>
      <c r="CS25" s="15">
        <f>'Grid_Stock'!CK20</f>
        <v/>
      </c>
      <c r="CT25" s="15">
        <f>'Grid_Stock'!CL20</f>
        <v/>
      </c>
      <c r="CU25" s="15">
        <f>'Grid_Stock'!CM20</f>
        <v/>
      </c>
      <c r="CV25" s="15">
        <f>'Grid_Stock'!CN20</f>
        <v/>
      </c>
      <c r="CW25" s="15">
        <f>'Grid_Stock'!CO20</f>
        <v/>
      </c>
      <c r="CX25" s="15">
        <f>'Grid_Stock'!CP20</f>
        <v/>
      </c>
      <c r="CY25" s="15">
        <f>'Grid_Stock'!CQ20</f>
        <v/>
      </c>
      <c r="CZ25" s="15">
        <f>'Grid_Stock'!CR20</f>
        <v/>
      </c>
      <c r="DA25" s="15">
        <f>'Grid_Stock'!CS20</f>
        <v/>
      </c>
      <c r="DB25" s="15">
        <f>'Grid_Stock'!CT20</f>
        <v/>
      </c>
      <c r="DC25" s="15">
        <f>'Grid_Stock'!CU20</f>
        <v/>
      </c>
      <c r="DD25" s="15">
        <f>'Grid_Stock'!CV20</f>
        <v/>
      </c>
      <c r="DE25" s="15">
        <f>'Grid_Stock'!CW20</f>
        <v/>
      </c>
      <c r="DF25" s="15">
        <f>'Grid_Stock'!CX20</f>
        <v/>
      </c>
      <c r="DG25" s="15">
        <f>'Grid_Stock'!CY20</f>
        <v/>
      </c>
      <c r="DH25" s="15">
        <f>'Grid_Stock'!CZ20</f>
        <v/>
      </c>
      <c r="DI25" s="15">
        <f>'Grid_Stock'!DA20</f>
        <v/>
      </c>
    </row>
    <row r="26">
      <c r="A26" s="17" t="inlineStr">
        <is>
          <t>CHEM-1660</t>
        </is>
      </c>
      <c r="B26" s="17">
        <f>IFERROR(INDEX(M_RawMaterials[Description],MATCH($A26,M_RawMaterials[RM_Code],0)),"")</f>
        <v/>
      </c>
      <c r="C26" s="17">
        <f>IFERROR(INDEX(M_RawMaterials[Category],MATCH($A26,M_RawMaterials[RM_Code],0)),"")</f>
        <v/>
      </c>
      <c r="D26" s="17">
        <f>IFERROR(INDEX(M_RawMaterials[基準在庫下限_要入力],MATCH($A26,M_RawMaterials[RM_Code],0)),0)</f>
        <v/>
      </c>
      <c r="E26" s="17">
        <f>IFERROR(INDEX(M_RawMaterials[基準在庫上限_要入力],MATCH($A26,M_RawMaterials[RM_Code],0)),0)</f>
        <v/>
      </c>
      <c r="F26" s="17">
        <f>IFERROR(LOOKUP(2,1/(T_SelfStock!$A$2:$A$12000=$A26),T_SelfStock!$D$2:$D$12000),"")</f>
        <v/>
      </c>
      <c r="G26" s="17">
        <f>IFERROR(LOOKUP(2,1/(T_TTAFStock!$A$2:$A$12000=$A26),T_TTAFStock!$D$2:$D$12000),"")</f>
        <v/>
      </c>
      <c r="H26" s="17">
        <f>IFERROR(INDEX(Cal_Weeks[Label],LOOKUP(2,1/(T_SelfStock!$A$2:$A$12000=$A26),T_SelfStock!$C$2:$C$12000)),"")</f>
        <v/>
      </c>
      <c r="I26" s="16">
        <f>IFERROR(INDEX(J26:DI26,$F$1),"")</f>
        <v/>
      </c>
      <c r="J26" s="17">
        <f>'Grid_Stock'!B21</f>
        <v/>
      </c>
      <c r="K26" s="17">
        <f>'Grid_Stock'!C21</f>
        <v/>
      </c>
      <c r="L26" s="17">
        <f>'Grid_Stock'!D21</f>
        <v/>
      </c>
      <c r="M26" s="17">
        <f>'Grid_Stock'!E21</f>
        <v/>
      </c>
      <c r="N26" s="17">
        <f>'Grid_Stock'!F21</f>
        <v/>
      </c>
      <c r="O26" s="17">
        <f>'Grid_Stock'!G21</f>
        <v/>
      </c>
      <c r="P26" s="17">
        <f>'Grid_Stock'!H21</f>
        <v/>
      </c>
      <c r="Q26" s="17">
        <f>'Grid_Stock'!I21</f>
        <v/>
      </c>
      <c r="R26" s="17">
        <f>'Grid_Stock'!J21</f>
        <v/>
      </c>
      <c r="S26" s="17">
        <f>'Grid_Stock'!K21</f>
        <v/>
      </c>
      <c r="T26" s="17">
        <f>'Grid_Stock'!L21</f>
        <v/>
      </c>
      <c r="U26" s="17">
        <f>'Grid_Stock'!M21</f>
        <v/>
      </c>
      <c r="V26" s="17">
        <f>'Grid_Stock'!N21</f>
        <v/>
      </c>
      <c r="W26" s="17">
        <f>'Grid_Stock'!O21</f>
        <v/>
      </c>
      <c r="X26" s="17">
        <f>'Grid_Stock'!P21</f>
        <v/>
      </c>
      <c r="Y26" s="17">
        <f>'Grid_Stock'!Q21</f>
        <v/>
      </c>
      <c r="Z26" s="17">
        <f>'Grid_Stock'!R21</f>
        <v/>
      </c>
      <c r="AA26" s="17">
        <f>'Grid_Stock'!S21</f>
        <v/>
      </c>
      <c r="AB26" s="17">
        <f>'Grid_Stock'!T21</f>
        <v/>
      </c>
      <c r="AC26" s="17">
        <f>'Grid_Stock'!U21</f>
        <v/>
      </c>
      <c r="AD26" s="17">
        <f>'Grid_Stock'!V21</f>
        <v/>
      </c>
      <c r="AE26" s="17">
        <f>'Grid_Stock'!W21</f>
        <v/>
      </c>
      <c r="AF26" s="17">
        <f>'Grid_Stock'!X21</f>
        <v/>
      </c>
      <c r="AG26" s="17">
        <f>'Grid_Stock'!Y21</f>
        <v/>
      </c>
      <c r="AH26" s="17">
        <f>'Grid_Stock'!Z21</f>
        <v/>
      </c>
      <c r="AI26" s="17">
        <f>'Grid_Stock'!AA21</f>
        <v/>
      </c>
      <c r="AJ26" s="17">
        <f>'Grid_Stock'!AB21</f>
        <v/>
      </c>
      <c r="AK26" s="17">
        <f>'Grid_Stock'!AC21</f>
        <v/>
      </c>
      <c r="AL26" s="17">
        <f>'Grid_Stock'!AD21</f>
        <v/>
      </c>
      <c r="AM26" s="17">
        <f>'Grid_Stock'!AE21</f>
        <v/>
      </c>
      <c r="AN26" s="17">
        <f>'Grid_Stock'!AF21</f>
        <v/>
      </c>
      <c r="AO26" s="17">
        <f>'Grid_Stock'!AG21</f>
        <v/>
      </c>
      <c r="AP26" s="17">
        <f>'Grid_Stock'!AH21</f>
        <v/>
      </c>
      <c r="AQ26" s="17">
        <f>'Grid_Stock'!AI21</f>
        <v/>
      </c>
      <c r="AR26" s="17">
        <f>'Grid_Stock'!AJ21</f>
        <v/>
      </c>
      <c r="AS26" s="17">
        <f>'Grid_Stock'!AK21</f>
        <v/>
      </c>
      <c r="AT26" s="17">
        <f>'Grid_Stock'!AL21</f>
        <v/>
      </c>
      <c r="AU26" s="17">
        <f>'Grid_Stock'!AM21</f>
        <v/>
      </c>
      <c r="AV26" s="17">
        <f>'Grid_Stock'!AN21</f>
        <v/>
      </c>
      <c r="AW26" s="17">
        <f>'Grid_Stock'!AO21</f>
        <v/>
      </c>
      <c r="AX26" s="17">
        <f>'Grid_Stock'!AP21</f>
        <v/>
      </c>
      <c r="AY26" s="17">
        <f>'Grid_Stock'!AQ21</f>
        <v/>
      </c>
      <c r="AZ26" s="17">
        <f>'Grid_Stock'!AR21</f>
        <v/>
      </c>
      <c r="BA26" s="17">
        <f>'Grid_Stock'!AS21</f>
        <v/>
      </c>
      <c r="BB26" s="17">
        <f>'Grid_Stock'!AT21</f>
        <v/>
      </c>
      <c r="BC26" s="17">
        <f>'Grid_Stock'!AU21</f>
        <v/>
      </c>
      <c r="BD26" s="17">
        <f>'Grid_Stock'!AV21</f>
        <v/>
      </c>
      <c r="BE26" s="17">
        <f>'Grid_Stock'!AW21</f>
        <v/>
      </c>
      <c r="BF26" s="17">
        <f>'Grid_Stock'!AX21</f>
        <v/>
      </c>
      <c r="BG26" s="17">
        <f>'Grid_Stock'!AY21</f>
        <v/>
      </c>
      <c r="BH26" s="17">
        <f>'Grid_Stock'!AZ21</f>
        <v/>
      </c>
      <c r="BI26" s="17">
        <f>'Grid_Stock'!BA21</f>
        <v/>
      </c>
      <c r="BJ26" s="17">
        <f>'Grid_Stock'!BB21</f>
        <v/>
      </c>
      <c r="BK26" s="17">
        <f>'Grid_Stock'!BC21</f>
        <v/>
      </c>
      <c r="BL26" s="17">
        <f>'Grid_Stock'!BD21</f>
        <v/>
      </c>
      <c r="BM26" s="17">
        <f>'Grid_Stock'!BE21</f>
        <v/>
      </c>
      <c r="BN26" s="17">
        <f>'Grid_Stock'!BF21</f>
        <v/>
      </c>
      <c r="BO26" s="17">
        <f>'Grid_Stock'!BG21</f>
        <v/>
      </c>
      <c r="BP26" s="17">
        <f>'Grid_Stock'!BH21</f>
        <v/>
      </c>
      <c r="BQ26" s="17">
        <f>'Grid_Stock'!BI21</f>
        <v/>
      </c>
      <c r="BR26" s="17">
        <f>'Grid_Stock'!BJ21</f>
        <v/>
      </c>
      <c r="BS26" s="17">
        <f>'Grid_Stock'!BK21</f>
        <v/>
      </c>
      <c r="BT26" s="17">
        <f>'Grid_Stock'!BL21</f>
        <v/>
      </c>
      <c r="BU26" s="17">
        <f>'Grid_Stock'!BM21</f>
        <v/>
      </c>
      <c r="BV26" s="17">
        <f>'Grid_Stock'!BN21</f>
        <v/>
      </c>
      <c r="BW26" s="17">
        <f>'Grid_Stock'!BO21</f>
        <v/>
      </c>
      <c r="BX26" s="17">
        <f>'Grid_Stock'!BP21</f>
        <v/>
      </c>
      <c r="BY26" s="17">
        <f>'Grid_Stock'!BQ21</f>
        <v/>
      </c>
      <c r="BZ26" s="17">
        <f>'Grid_Stock'!BR21</f>
        <v/>
      </c>
      <c r="CA26" s="17">
        <f>'Grid_Stock'!BS21</f>
        <v/>
      </c>
      <c r="CB26" s="17">
        <f>'Grid_Stock'!BT21</f>
        <v/>
      </c>
      <c r="CC26" s="17">
        <f>'Grid_Stock'!BU21</f>
        <v/>
      </c>
      <c r="CD26" s="17">
        <f>'Grid_Stock'!BV21</f>
        <v/>
      </c>
      <c r="CE26" s="17">
        <f>'Grid_Stock'!BW21</f>
        <v/>
      </c>
      <c r="CF26" s="17">
        <f>'Grid_Stock'!BX21</f>
        <v/>
      </c>
      <c r="CG26" s="17">
        <f>'Grid_Stock'!BY21</f>
        <v/>
      </c>
      <c r="CH26" s="17">
        <f>'Grid_Stock'!BZ21</f>
        <v/>
      </c>
      <c r="CI26" s="17">
        <f>'Grid_Stock'!CA21</f>
        <v/>
      </c>
      <c r="CJ26" s="17">
        <f>'Grid_Stock'!CB21</f>
        <v/>
      </c>
      <c r="CK26" s="17">
        <f>'Grid_Stock'!CC21</f>
        <v/>
      </c>
      <c r="CL26" s="17">
        <f>'Grid_Stock'!CD21</f>
        <v/>
      </c>
      <c r="CM26" s="17">
        <f>'Grid_Stock'!CE21</f>
        <v/>
      </c>
      <c r="CN26" s="17">
        <f>'Grid_Stock'!CF21</f>
        <v/>
      </c>
      <c r="CO26" s="17">
        <f>'Grid_Stock'!CG21</f>
        <v/>
      </c>
      <c r="CP26" s="17">
        <f>'Grid_Stock'!CH21</f>
        <v/>
      </c>
      <c r="CQ26" s="17">
        <f>'Grid_Stock'!CI21</f>
        <v/>
      </c>
      <c r="CR26" s="17">
        <f>'Grid_Stock'!CJ21</f>
        <v/>
      </c>
      <c r="CS26" s="17">
        <f>'Grid_Stock'!CK21</f>
        <v/>
      </c>
      <c r="CT26" s="17">
        <f>'Grid_Stock'!CL21</f>
        <v/>
      </c>
      <c r="CU26" s="17">
        <f>'Grid_Stock'!CM21</f>
        <v/>
      </c>
      <c r="CV26" s="17">
        <f>'Grid_Stock'!CN21</f>
        <v/>
      </c>
      <c r="CW26" s="17">
        <f>'Grid_Stock'!CO21</f>
        <v/>
      </c>
      <c r="CX26" s="17">
        <f>'Grid_Stock'!CP21</f>
        <v/>
      </c>
      <c r="CY26" s="17">
        <f>'Grid_Stock'!CQ21</f>
        <v/>
      </c>
      <c r="CZ26" s="17">
        <f>'Grid_Stock'!CR21</f>
        <v/>
      </c>
      <c r="DA26" s="17">
        <f>'Grid_Stock'!CS21</f>
        <v/>
      </c>
      <c r="DB26" s="17">
        <f>'Grid_Stock'!CT21</f>
        <v/>
      </c>
      <c r="DC26" s="17">
        <f>'Grid_Stock'!CU21</f>
        <v/>
      </c>
      <c r="DD26" s="17">
        <f>'Grid_Stock'!CV21</f>
        <v/>
      </c>
      <c r="DE26" s="17">
        <f>'Grid_Stock'!CW21</f>
        <v/>
      </c>
      <c r="DF26" s="17">
        <f>'Grid_Stock'!CX21</f>
        <v/>
      </c>
      <c r="DG26" s="17">
        <f>'Grid_Stock'!CY21</f>
        <v/>
      </c>
      <c r="DH26" s="17">
        <f>'Grid_Stock'!CZ21</f>
        <v/>
      </c>
      <c r="DI26" s="17">
        <f>'Grid_Stock'!DA21</f>
        <v/>
      </c>
    </row>
    <row r="27">
      <c r="A27" s="15" t="inlineStr">
        <is>
          <t>CHEM-1600</t>
        </is>
      </c>
      <c r="B27" s="15">
        <f>IFERROR(INDEX(M_RawMaterials[Description],MATCH($A27,M_RawMaterials[RM_Code],0)),"")</f>
        <v/>
      </c>
      <c r="C27" s="15">
        <f>IFERROR(INDEX(M_RawMaterials[Category],MATCH($A27,M_RawMaterials[RM_Code],0)),"")</f>
        <v/>
      </c>
      <c r="D27" s="15">
        <f>IFERROR(INDEX(M_RawMaterials[基準在庫下限_要入力],MATCH($A27,M_RawMaterials[RM_Code],0)),0)</f>
        <v/>
      </c>
      <c r="E27" s="15">
        <f>IFERROR(INDEX(M_RawMaterials[基準在庫上限_要入力],MATCH($A27,M_RawMaterials[RM_Code],0)),0)</f>
        <v/>
      </c>
      <c r="F27" s="15">
        <f>IFERROR(LOOKUP(2,1/(T_SelfStock!$A$2:$A$12000=$A27),T_SelfStock!$D$2:$D$12000),"")</f>
        <v/>
      </c>
      <c r="G27" s="15">
        <f>IFERROR(LOOKUP(2,1/(T_TTAFStock!$A$2:$A$12000=$A27),T_TTAFStock!$D$2:$D$12000),"")</f>
        <v/>
      </c>
      <c r="H27" s="15">
        <f>IFERROR(INDEX(Cal_Weeks[Label],LOOKUP(2,1/(T_SelfStock!$A$2:$A$12000=$A27),T_SelfStock!$C$2:$C$12000)),"")</f>
        <v/>
      </c>
      <c r="I27" s="16">
        <f>IFERROR(INDEX(J27:DI27,$F$1),"")</f>
        <v/>
      </c>
      <c r="J27" s="15">
        <f>'Grid_Stock'!B22</f>
        <v/>
      </c>
      <c r="K27" s="15">
        <f>'Grid_Stock'!C22</f>
        <v/>
      </c>
      <c r="L27" s="15">
        <f>'Grid_Stock'!D22</f>
        <v/>
      </c>
      <c r="M27" s="15">
        <f>'Grid_Stock'!E22</f>
        <v/>
      </c>
      <c r="N27" s="15">
        <f>'Grid_Stock'!F22</f>
        <v/>
      </c>
      <c r="O27" s="15">
        <f>'Grid_Stock'!G22</f>
        <v/>
      </c>
      <c r="P27" s="15">
        <f>'Grid_Stock'!H22</f>
        <v/>
      </c>
      <c r="Q27" s="15">
        <f>'Grid_Stock'!I22</f>
        <v/>
      </c>
      <c r="R27" s="15">
        <f>'Grid_Stock'!J22</f>
        <v/>
      </c>
      <c r="S27" s="15">
        <f>'Grid_Stock'!K22</f>
        <v/>
      </c>
      <c r="T27" s="15">
        <f>'Grid_Stock'!L22</f>
        <v/>
      </c>
      <c r="U27" s="15">
        <f>'Grid_Stock'!M22</f>
        <v/>
      </c>
      <c r="V27" s="15">
        <f>'Grid_Stock'!N22</f>
        <v/>
      </c>
      <c r="W27" s="15">
        <f>'Grid_Stock'!O22</f>
        <v/>
      </c>
      <c r="X27" s="15">
        <f>'Grid_Stock'!P22</f>
        <v/>
      </c>
      <c r="Y27" s="15">
        <f>'Grid_Stock'!Q22</f>
        <v/>
      </c>
      <c r="Z27" s="15">
        <f>'Grid_Stock'!R22</f>
        <v/>
      </c>
      <c r="AA27" s="15">
        <f>'Grid_Stock'!S22</f>
        <v/>
      </c>
      <c r="AB27" s="15">
        <f>'Grid_Stock'!T22</f>
        <v/>
      </c>
      <c r="AC27" s="15">
        <f>'Grid_Stock'!U22</f>
        <v/>
      </c>
      <c r="AD27" s="15">
        <f>'Grid_Stock'!V22</f>
        <v/>
      </c>
      <c r="AE27" s="15">
        <f>'Grid_Stock'!W22</f>
        <v/>
      </c>
      <c r="AF27" s="15">
        <f>'Grid_Stock'!X22</f>
        <v/>
      </c>
      <c r="AG27" s="15">
        <f>'Grid_Stock'!Y22</f>
        <v/>
      </c>
      <c r="AH27" s="15">
        <f>'Grid_Stock'!Z22</f>
        <v/>
      </c>
      <c r="AI27" s="15">
        <f>'Grid_Stock'!AA22</f>
        <v/>
      </c>
      <c r="AJ27" s="15">
        <f>'Grid_Stock'!AB22</f>
        <v/>
      </c>
      <c r="AK27" s="15">
        <f>'Grid_Stock'!AC22</f>
        <v/>
      </c>
      <c r="AL27" s="15">
        <f>'Grid_Stock'!AD22</f>
        <v/>
      </c>
      <c r="AM27" s="15">
        <f>'Grid_Stock'!AE22</f>
        <v/>
      </c>
      <c r="AN27" s="15">
        <f>'Grid_Stock'!AF22</f>
        <v/>
      </c>
      <c r="AO27" s="15">
        <f>'Grid_Stock'!AG22</f>
        <v/>
      </c>
      <c r="AP27" s="15">
        <f>'Grid_Stock'!AH22</f>
        <v/>
      </c>
      <c r="AQ27" s="15">
        <f>'Grid_Stock'!AI22</f>
        <v/>
      </c>
      <c r="AR27" s="15">
        <f>'Grid_Stock'!AJ22</f>
        <v/>
      </c>
      <c r="AS27" s="15">
        <f>'Grid_Stock'!AK22</f>
        <v/>
      </c>
      <c r="AT27" s="15">
        <f>'Grid_Stock'!AL22</f>
        <v/>
      </c>
      <c r="AU27" s="15">
        <f>'Grid_Stock'!AM22</f>
        <v/>
      </c>
      <c r="AV27" s="15">
        <f>'Grid_Stock'!AN22</f>
        <v/>
      </c>
      <c r="AW27" s="15">
        <f>'Grid_Stock'!AO22</f>
        <v/>
      </c>
      <c r="AX27" s="15">
        <f>'Grid_Stock'!AP22</f>
        <v/>
      </c>
      <c r="AY27" s="15">
        <f>'Grid_Stock'!AQ22</f>
        <v/>
      </c>
      <c r="AZ27" s="15">
        <f>'Grid_Stock'!AR22</f>
        <v/>
      </c>
      <c r="BA27" s="15">
        <f>'Grid_Stock'!AS22</f>
        <v/>
      </c>
      <c r="BB27" s="15">
        <f>'Grid_Stock'!AT22</f>
        <v/>
      </c>
      <c r="BC27" s="15">
        <f>'Grid_Stock'!AU22</f>
        <v/>
      </c>
      <c r="BD27" s="15">
        <f>'Grid_Stock'!AV22</f>
        <v/>
      </c>
      <c r="BE27" s="15">
        <f>'Grid_Stock'!AW22</f>
        <v/>
      </c>
      <c r="BF27" s="15">
        <f>'Grid_Stock'!AX22</f>
        <v/>
      </c>
      <c r="BG27" s="15">
        <f>'Grid_Stock'!AY22</f>
        <v/>
      </c>
      <c r="BH27" s="15">
        <f>'Grid_Stock'!AZ22</f>
        <v/>
      </c>
      <c r="BI27" s="15">
        <f>'Grid_Stock'!BA22</f>
        <v/>
      </c>
      <c r="BJ27" s="15">
        <f>'Grid_Stock'!BB22</f>
        <v/>
      </c>
      <c r="BK27" s="15">
        <f>'Grid_Stock'!BC22</f>
        <v/>
      </c>
      <c r="BL27" s="15">
        <f>'Grid_Stock'!BD22</f>
        <v/>
      </c>
      <c r="BM27" s="15">
        <f>'Grid_Stock'!BE22</f>
        <v/>
      </c>
      <c r="BN27" s="15">
        <f>'Grid_Stock'!BF22</f>
        <v/>
      </c>
      <c r="BO27" s="15">
        <f>'Grid_Stock'!BG22</f>
        <v/>
      </c>
      <c r="BP27" s="15">
        <f>'Grid_Stock'!BH22</f>
        <v/>
      </c>
      <c r="BQ27" s="15">
        <f>'Grid_Stock'!BI22</f>
        <v/>
      </c>
      <c r="BR27" s="15">
        <f>'Grid_Stock'!BJ22</f>
        <v/>
      </c>
      <c r="BS27" s="15">
        <f>'Grid_Stock'!BK22</f>
        <v/>
      </c>
      <c r="BT27" s="15">
        <f>'Grid_Stock'!BL22</f>
        <v/>
      </c>
      <c r="BU27" s="15">
        <f>'Grid_Stock'!BM22</f>
        <v/>
      </c>
      <c r="BV27" s="15">
        <f>'Grid_Stock'!BN22</f>
        <v/>
      </c>
      <c r="BW27" s="15">
        <f>'Grid_Stock'!BO22</f>
        <v/>
      </c>
      <c r="BX27" s="15">
        <f>'Grid_Stock'!BP22</f>
        <v/>
      </c>
      <c r="BY27" s="15">
        <f>'Grid_Stock'!BQ22</f>
        <v/>
      </c>
      <c r="BZ27" s="15">
        <f>'Grid_Stock'!BR22</f>
        <v/>
      </c>
      <c r="CA27" s="15">
        <f>'Grid_Stock'!BS22</f>
        <v/>
      </c>
      <c r="CB27" s="15">
        <f>'Grid_Stock'!BT22</f>
        <v/>
      </c>
      <c r="CC27" s="15">
        <f>'Grid_Stock'!BU22</f>
        <v/>
      </c>
      <c r="CD27" s="15">
        <f>'Grid_Stock'!BV22</f>
        <v/>
      </c>
      <c r="CE27" s="15">
        <f>'Grid_Stock'!BW22</f>
        <v/>
      </c>
      <c r="CF27" s="15">
        <f>'Grid_Stock'!BX22</f>
        <v/>
      </c>
      <c r="CG27" s="15">
        <f>'Grid_Stock'!BY22</f>
        <v/>
      </c>
      <c r="CH27" s="15">
        <f>'Grid_Stock'!BZ22</f>
        <v/>
      </c>
      <c r="CI27" s="15">
        <f>'Grid_Stock'!CA22</f>
        <v/>
      </c>
      <c r="CJ27" s="15">
        <f>'Grid_Stock'!CB22</f>
        <v/>
      </c>
      <c r="CK27" s="15">
        <f>'Grid_Stock'!CC22</f>
        <v/>
      </c>
      <c r="CL27" s="15">
        <f>'Grid_Stock'!CD22</f>
        <v/>
      </c>
      <c r="CM27" s="15">
        <f>'Grid_Stock'!CE22</f>
        <v/>
      </c>
      <c r="CN27" s="15">
        <f>'Grid_Stock'!CF22</f>
        <v/>
      </c>
      <c r="CO27" s="15">
        <f>'Grid_Stock'!CG22</f>
        <v/>
      </c>
      <c r="CP27" s="15">
        <f>'Grid_Stock'!CH22</f>
        <v/>
      </c>
      <c r="CQ27" s="15">
        <f>'Grid_Stock'!CI22</f>
        <v/>
      </c>
      <c r="CR27" s="15">
        <f>'Grid_Stock'!CJ22</f>
        <v/>
      </c>
      <c r="CS27" s="15">
        <f>'Grid_Stock'!CK22</f>
        <v/>
      </c>
      <c r="CT27" s="15">
        <f>'Grid_Stock'!CL22</f>
        <v/>
      </c>
      <c r="CU27" s="15">
        <f>'Grid_Stock'!CM22</f>
        <v/>
      </c>
      <c r="CV27" s="15">
        <f>'Grid_Stock'!CN22</f>
        <v/>
      </c>
      <c r="CW27" s="15">
        <f>'Grid_Stock'!CO22</f>
        <v/>
      </c>
      <c r="CX27" s="15">
        <f>'Grid_Stock'!CP22</f>
        <v/>
      </c>
      <c r="CY27" s="15">
        <f>'Grid_Stock'!CQ22</f>
        <v/>
      </c>
      <c r="CZ27" s="15">
        <f>'Grid_Stock'!CR22</f>
        <v/>
      </c>
      <c r="DA27" s="15">
        <f>'Grid_Stock'!CS22</f>
        <v/>
      </c>
      <c r="DB27" s="15">
        <f>'Grid_Stock'!CT22</f>
        <v/>
      </c>
      <c r="DC27" s="15">
        <f>'Grid_Stock'!CU22</f>
        <v/>
      </c>
      <c r="DD27" s="15">
        <f>'Grid_Stock'!CV22</f>
        <v/>
      </c>
      <c r="DE27" s="15">
        <f>'Grid_Stock'!CW22</f>
        <v/>
      </c>
      <c r="DF27" s="15">
        <f>'Grid_Stock'!CX22</f>
        <v/>
      </c>
      <c r="DG27" s="15">
        <f>'Grid_Stock'!CY22</f>
        <v/>
      </c>
      <c r="DH27" s="15">
        <f>'Grid_Stock'!CZ22</f>
        <v/>
      </c>
      <c r="DI27" s="15">
        <f>'Grid_Stock'!DA22</f>
        <v/>
      </c>
    </row>
    <row r="28">
      <c r="A28" s="17" t="inlineStr">
        <is>
          <t>CHEM-1280</t>
        </is>
      </c>
      <c r="B28" s="17">
        <f>IFERROR(INDEX(M_RawMaterials[Description],MATCH($A28,M_RawMaterials[RM_Code],0)),"")</f>
        <v/>
      </c>
      <c r="C28" s="17">
        <f>IFERROR(INDEX(M_RawMaterials[Category],MATCH($A28,M_RawMaterials[RM_Code],0)),"")</f>
        <v/>
      </c>
      <c r="D28" s="17">
        <f>IFERROR(INDEX(M_RawMaterials[基準在庫下限_要入力],MATCH($A28,M_RawMaterials[RM_Code],0)),0)</f>
        <v/>
      </c>
      <c r="E28" s="17">
        <f>IFERROR(INDEX(M_RawMaterials[基準在庫上限_要入力],MATCH($A28,M_RawMaterials[RM_Code],0)),0)</f>
        <v/>
      </c>
      <c r="F28" s="17">
        <f>IFERROR(LOOKUP(2,1/(T_SelfStock!$A$2:$A$12000=$A28),T_SelfStock!$D$2:$D$12000),"")</f>
        <v/>
      </c>
      <c r="G28" s="17">
        <f>IFERROR(LOOKUP(2,1/(T_TTAFStock!$A$2:$A$12000=$A28),T_TTAFStock!$D$2:$D$12000),"")</f>
        <v/>
      </c>
      <c r="H28" s="17">
        <f>IFERROR(INDEX(Cal_Weeks[Label],LOOKUP(2,1/(T_SelfStock!$A$2:$A$12000=$A28),T_SelfStock!$C$2:$C$12000)),"")</f>
        <v/>
      </c>
      <c r="I28" s="16">
        <f>IFERROR(INDEX(J28:DI28,$F$1),"")</f>
        <v/>
      </c>
      <c r="J28" s="17">
        <f>'Grid_Stock'!B23</f>
        <v/>
      </c>
      <c r="K28" s="17">
        <f>'Grid_Stock'!C23</f>
        <v/>
      </c>
      <c r="L28" s="17">
        <f>'Grid_Stock'!D23</f>
        <v/>
      </c>
      <c r="M28" s="17">
        <f>'Grid_Stock'!E23</f>
        <v/>
      </c>
      <c r="N28" s="17">
        <f>'Grid_Stock'!F23</f>
        <v/>
      </c>
      <c r="O28" s="17">
        <f>'Grid_Stock'!G23</f>
        <v/>
      </c>
      <c r="P28" s="17">
        <f>'Grid_Stock'!H23</f>
        <v/>
      </c>
      <c r="Q28" s="17">
        <f>'Grid_Stock'!I23</f>
        <v/>
      </c>
      <c r="R28" s="17">
        <f>'Grid_Stock'!J23</f>
        <v/>
      </c>
      <c r="S28" s="17">
        <f>'Grid_Stock'!K23</f>
        <v/>
      </c>
      <c r="T28" s="17">
        <f>'Grid_Stock'!L23</f>
        <v/>
      </c>
      <c r="U28" s="17">
        <f>'Grid_Stock'!M23</f>
        <v/>
      </c>
      <c r="V28" s="17">
        <f>'Grid_Stock'!N23</f>
        <v/>
      </c>
      <c r="W28" s="17">
        <f>'Grid_Stock'!O23</f>
        <v/>
      </c>
      <c r="X28" s="17">
        <f>'Grid_Stock'!P23</f>
        <v/>
      </c>
      <c r="Y28" s="17">
        <f>'Grid_Stock'!Q23</f>
        <v/>
      </c>
      <c r="Z28" s="17">
        <f>'Grid_Stock'!R23</f>
        <v/>
      </c>
      <c r="AA28" s="17">
        <f>'Grid_Stock'!S23</f>
        <v/>
      </c>
      <c r="AB28" s="17">
        <f>'Grid_Stock'!T23</f>
        <v/>
      </c>
      <c r="AC28" s="17">
        <f>'Grid_Stock'!U23</f>
        <v/>
      </c>
      <c r="AD28" s="17">
        <f>'Grid_Stock'!V23</f>
        <v/>
      </c>
      <c r="AE28" s="17">
        <f>'Grid_Stock'!W23</f>
        <v/>
      </c>
      <c r="AF28" s="17">
        <f>'Grid_Stock'!X23</f>
        <v/>
      </c>
      <c r="AG28" s="17">
        <f>'Grid_Stock'!Y23</f>
        <v/>
      </c>
      <c r="AH28" s="17">
        <f>'Grid_Stock'!Z23</f>
        <v/>
      </c>
      <c r="AI28" s="17">
        <f>'Grid_Stock'!AA23</f>
        <v/>
      </c>
      <c r="AJ28" s="17">
        <f>'Grid_Stock'!AB23</f>
        <v/>
      </c>
      <c r="AK28" s="17">
        <f>'Grid_Stock'!AC23</f>
        <v/>
      </c>
      <c r="AL28" s="17">
        <f>'Grid_Stock'!AD23</f>
        <v/>
      </c>
      <c r="AM28" s="17">
        <f>'Grid_Stock'!AE23</f>
        <v/>
      </c>
      <c r="AN28" s="17">
        <f>'Grid_Stock'!AF23</f>
        <v/>
      </c>
      <c r="AO28" s="17">
        <f>'Grid_Stock'!AG23</f>
        <v/>
      </c>
      <c r="AP28" s="17">
        <f>'Grid_Stock'!AH23</f>
        <v/>
      </c>
      <c r="AQ28" s="17">
        <f>'Grid_Stock'!AI23</f>
        <v/>
      </c>
      <c r="AR28" s="17">
        <f>'Grid_Stock'!AJ23</f>
        <v/>
      </c>
      <c r="AS28" s="17">
        <f>'Grid_Stock'!AK23</f>
        <v/>
      </c>
      <c r="AT28" s="17">
        <f>'Grid_Stock'!AL23</f>
        <v/>
      </c>
      <c r="AU28" s="17">
        <f>'Grid_Stock'!AM23</f>
        <v/>
      </c>
      <c r="AV28" s="17">
        <f>'Grid_Stock'!AN23</f>
        <v/>
      </c>
      <c r="AW28" s="17">
        <f>'Grid_Stock'!AO23</f>
        <v/>
      </c>
      <c r="AX28" s="17">
        <f>'Grid_Stock'!AP23</f>
        <v/>
      </c>
      <c r="AY28" s="17">
        <f>'Grid_Stock'!AQ23</f>
        <v/>
      </c>
      <c r="AZ28" s="17">
        <f>'Grid_Stock'!AR23</f>
        <v/>
      </c>
      <c r="BA28" s="17">
        <f>'Grid_Stock'!AS23</f>
        <v/>
      </c>
      <c r="BB28" s="17">
        <f>'Grid_Stock'!AT23</f>
        <v/>
      </c>
      <c r="BC28" s="17">
        <f>'Grid_Stock'!AU23</f>
        <v/>
      </c>
      <c r="BD28" s="17">
        <f>'Grid_Stock'!AV23</f>
        <v/>
      </c>
      <c r="BE28" s="17">
        <f>'Grid_Stock'!AW23</f>
        <v/>
      </c>
      <c r="BF28" s="17">
        <f>'Grid_Stock'!AX23</f>
        <v/>
      </c>
      <c r="BG28" s="17">
        <f>'Grid_Stock'!AY23</f>
        <v/>
      </c>
      <c r="BH28" s="17">
        <f>'Grid_Stock'!AZ23</f>
        <v/>
      </c>
      <c r="BI28" s="17">
        <f>'Grid_Stock'!BA23</f>
        <v/>
      </c>
      <c r="BJ28" s="17">
        <f>'Grid_Stock'!BB23</f>
        <v/>
      </c>
      <c r="BK28" s="17">
        <f>'Grid_Stock'!BC23</f>
        <v/>
      </c>
      <c r="BL28" s="17">
        <f>'Grid_Stock'!BD23</f>
        <v/>
      </c>
      <c r="BM28" s="17">
        <f>'Grid_Stock'!BE23</f>
        <v/>
      </c>
      <c r="BN28" s="17">
        <f>'Grid_Stock'!BF23</f>
        <v/>
      </c>
      <c r="BO28" s="17">
        <f>'Grid_Stock'!BG23</f>
        <v/>
      </c>
      <c r="BP28" s="17">
        <f>'Grid_Stock'!BH23</f>
        <v/>
      </c>
      <c r="BQ28" s="17">
        <f>'Grid_Stock'!BI23</f>
        <v/>
      </c>
      <c r="BR28" s="17">
        <f>'Grid_Stock'!BJ23</f>
        <v/>
      </c>
      <c r="BS28" s="17">
        <f>'Grid_Stock'!BK23</f>
        <v/>
      </c>
      <c r="BT28" s="17">
        <f>'Grid_Stock'!BL23</f>
        <v/>
      </c>
      <c r="BU28" s="17">
        <f>'Grid_Stock'!BM23</f>
        <v/>
      </c>
      <c r="BV28" s="17">
        <f>'Grid_Stock'!BN23</f>
        <v/>
      </c>
      <c r="BW28" s="17">
        <f>'Grid_Stock'!BO23</f>
        <v/>
      </c>
      <c r="BX28" s="17">
        <f>'Grid_Stock'!BP23</f>
        <v/>
      </c>
      <c r="BY28" s="17">
        <f>'Grid_Stock'!BQ23</f>
        <v/>
      </c>
      <c r="BZ28" s="17">
        <f>'Grid_Stock'!BR23</f>
        <v/>
      </c>
      <c r="CA28" s="17">
        <f>'Grid_Stock'!BS23</f>
        <v/>
      </c>
      <c r="CB28" s="17">
        <f>'Grid_Stock'!BT23</f>
        <v/>
      </c>
      <c r="CC28" s="17">
        <f>'Grid_Stock'!BU23</f>
        <v/>
      </c>
      <c r="CD28" s="17">
        <f>'Grid_Stock'!BV23</f>
        <v/>
      </c>
      <c r="CE28" s="17">
        <f>'Grid_Stock'!BW23</f>
        <v/>
      </c>
      <c r="CF28" s="17">
        <f>'Grid_Stock'!BX23</f>
        <v/>
      </c>
      <c r="CG28" s="17">
        <f>'Grid_Stock'!BY23</f>
        <v/>
      </c>
      <c r="CH28" s="17">
        <f>'Grid_Stock'!BZ23</f>
        <v/>
      </c>
      <c r="CI28" s="17">
        <f>'Grid_Stock'!CA23</f>
        <v/>
      </c>
      <c r="CJ28" s="17">
        <f>'Grid_Stock'!CB23</f>
        <v/>
      </c>
      <c r="CK28" s="17">
        <f>'Grid_Stock'!CC23</f>
        <v/>
      </c>
      <c r="CL28" s="17">
        <f>'Grid_Stock'!CD23</f>
        <v/>
      </c>
      <c r="CM28" s="17">
        <f>'Grid_Stock'!CE23</f>
        <v/>
      </c>
      <c r="CN28" s="17">
        <f>'Grid_Stock'!CF23</f>
        <v/>
      </c>
      <c r="CO28" s="17">
        <f>'Grid_Stock'!CG23</f>
        <v/>
      </c>
      <c r="CP28" s="17">
        <f>'Grid_Stock'!CH23</f>
        <v/>
      </c>
      <c r="CQ28" s="17">
        <f>'Grid_Stock'!CI23</f>
        <v/>
      </c>
      <c r="CR28" s="17">
        <f>'Grid_Stock'!CJ23</f>
        <v/>
      </c>
      <c r="CS28" s="17">
        <f>'Grid_Stock'!CK23</f>
        <v/>
      </c>
      <c r="CT28" s="17">
        <f>'Grid_Stock'!CL23</f>
        <v/>
      </c>
      <c r="CU28" s="17">
        <f>'Grid_Stock'!CM23</f>
        <v/>
      </c>
      <c r="CV28" s="17">
        <f>'Grid_Stock'!CN23</f>
        <v/>
      </c>
      <c r="CW28" s="17">
        <f>'Grid_Stock'!CO23</f>
        <v/>
      </c>
      <c r="CX28" s="17">
        <f>'Grid_Stock'!CP23</f>
        <v/>
      </c>
      <c r="CY28" s="17">
        <f>'Grid_Stock'!CQ23</f>
        <v/>
      </c>
      <c r="CZ28" s="17">
        <f>'Grid_Stock'!CR23</f>
        <v/>
      </c>
      <c r="DA28" s="17">
        <f>'Grid_Stock'!CS23</f>
        <v/>
      </c>
      <c r="DB28" s="17">
        <f>'Grid_Stock'!CT23</f>
        <v/>
      </c>
      <c r="DC28" s="17">
        <f>'Grid_Stock'!CU23</f>
        <v/>
      </c>
      <c r="DD28" s="17">
        <f>'Grid_Stock'!CV23</f>
        <v/>
      </c>
      <c r="DE28" s="17">
        <f>'Grid_Stock'!CW23</f>
        <v/>
      </c>
      <c r="DF28" s="17">
        <f>'Grid_Stock'!CX23</f>
        <v/>
      </c>
      <c r="DG28" s="17">
        <f>'Grid_Stock'!CY23</f>
        <v/>
      </c>
      <c r="DH28" s="17">
        <f>'Grid_Stock'!CZ23</f>
        <v/>
      </c>
      <c r="DI28" s="17">
        <f>'Grid_Stock'!DA23</f>
        <v/>
      </c>
    </row>
    <row r="29">
      <c r="A29" s="15" t="inlineStr">
        <is>
          <t>CHEM-1240</t>
        </is>
      </c>
      <c r="B29" s="15">
        <f>IFERROR(INDEX(M_RawMaterials[Description],MATCH($A29,M_RawMaterials[RM_Code],0)),"")</f>
        <v/>
      </c>
      <c r="C29" s="15">
        <f>IFERROR(INDEX(M_RawMaterials[Category],MATCH($A29,M_RawMaterials[RM_Code],0)),"")</f>
        <v/>
      </c>
      <c r="D29" s="15">
        <f>IFERROR(INDEX(M_RawMaterials[基準在庫下限_要入力],MATCH($A29,M_RawMaterials[RM_Code],0)),0)</f>
        <v/>
      </c>
      <c r="E29" s="15">
        <f>IFERROR(INDEX(M_RawMaterials[基準在庫上限_要入力],MATCH($A29,M_RawMaterials[RM_Code],0)),0)</f>
        <v/>
      </c>
      <c r="F29" s="15">
        <f>IFERROR(LOOKUP(2,1/(T_SelfStock!$A$2:$A$12000=$A29),T_SelfStock!$D$2:$D$12000),"")</f>
        <v/>
      </c>
      <c r="G29" s="15">
        <f>IFERROR(LOOKUP(2,1/(T_TTAFStock!$A$2:$A$12000=$A29),T_TTAFStock!$D$2:$D$12000),"")</f>
        <v/>
      </c>
      <c r="H29" s="15">
        <f>IFERROR(INDEX(Cal_Weeks[Label],LOOKUP(2,1/(T_SelfStock!$A$2:$A$12000=$A29),T_SelfStock!$C$2:$C$12000)),"")</f>
        <v/>
      </c>
      <c r="I29" s="16">
        <f>IFERROR(INDEX(J29:DI29,$F$1),"")</f>
        <v/>
      </c>
      <c r="J29" s="15">
        <f>'Grid_Stock'!B24</f>
        <v/>
      </c>
      <c r="K29" s="15">
        <f>'Grid_Stock'!C24</f>
        <v/>
      </c>
      <c r="L29" s="15">
        <f>'Grid_Stock'!D24</f>
        <v/>
      </c>
      <c r="M29" s="15">
        <f>'Grid_Stock'!E24</f>
        <v/>
      </c>
      <c r="N29" s="15">
        <f>'Grid_Stock'!F24</f>
        <v/>
      </c>
      <c r="O29" s="15">
        <f>'Grid_Stock'!G24</f>
        <v/>
      </c>
      <c r="P29" s="15">
        <f>'Grid_Stock'!H24</f>
        <v/>
      </c>
      <c r="Q29" s="15">
        <f>'Grid_Stock'!I24</f>
        <v/>
      </c>
      <c r="R29" s="15">
        <f>'Grid_Stock'!J24</f>
        <v/>
      </c>
      <c r="S29" s="15">
        <f>'Grid_Stock'!K24</f>
        <v/>
      </c>
      <c r="T29" s="15">
        <f>'Grid_Stock'!L24</f>
        <v/>
      </c>
      <c r="U29" s="15">
        <f>'Grid_Stock'!M24</f>
        <v/>
      </c>
      <c r="V29" s="15">
        <f>'Grid_Stock'!N24</f>
        <v/>
      </c>
      <c r="W29" s="15">
        <f>'Grid_Stock'!O24</f>
        <v/>
      </c>
      <c r="X29" s="15">
        <f>'Grid_Stock'!P24</f>
        <v/>
      </c>
      <c r="Y29" s="15">
        <f>'Grid_Stock'!Q24</f>
        <v/>
      </c>
      <c r="Z29" s="15">
        <f>'Grid_Stock'!R24</f>
        <v/>
      </c>
      <c r="AA29" s="15">
        <f>'Grid_Stock'!S24</f>
        <v/>
      </c>
      <c r="AB29" s="15">
        <f>'Grid_Stock'!T24</f>
        <v/>
      </c>
      <c r="AC29" s="15">
        <f>'Grid_Stock'!U24</f>
        <v/>
      </c>
      <c r="AD29" s="15">
        <f>'Grid_Stock'!V24</f>
        <v/>
      </c>
      <c r="AE29" s="15">
        <f>'Grid_Stock'!W24</f>
        <v/>
      </c>
      <c r="AF29" s="15">
        <f>'Grid_Stock'!X24</f>
        <v/>
      </c>
      <c r="AG29" s="15">
        <f>'Grid_Stock'!Y24</f>
        <v/>
      </c>
      <c r="AH29" s="15">
        <f>'Grid_Stock'!Z24</f>
        <v/>
      </c>
      <c r="AI29" s="15">
        <f>'Grid_Stock'!AA24</f>
        <v/>
      </c>
      <c r="AJ29" s="15">
        <f>'Grid_Stock'!AB24</f>
        <v/>
      </c>
      <c r="AK29" s="15">
        <f>'Grid_Stock'!AC24</f>
        <v/>
      </c>
      <c r="AL29" s="15">
        <f>'Grid_Stock'!AD24</f>
        <v/>
      </c>
      <c r="AM29" s="15">
        <f>'Grid_Stock'!AE24</f>
        <v/>
      </c>
      <c r="AN29" s="15">
        <f>'Grid_Stock'!AF24</f>
        <v/>
      </c>
      <c r="AO29" s="15">
        <f>'Grid_Stock'!AG24</f>
        <v/>
      </c>
      <c r="AP29" s="15">
        <f>'Grid_Stock'!AH24</f>
        <v/>
      </c>
      <c r="AQ29" s="15">
        <f>'Grid_Stock'!AI24</f>
        <v/>
      </c>
      <c r="AR29" s="15">
        <f>'Grid_Stock'!AJ24</f>
        <v/>
      </c>
      <c r="AS29" s="15">
        <f>'Grid_Stock'!AK24</f>
        <v/>
      </c>
      <c r="AT29" s="15">
        <f>'Grid_Stock'!AL24</f>
        <v/>
      </c>
      <c r="AU29" s="15">
        <f>'Grid_Stock'!AM24</f>
        <v/>
      </c>
      <c r="AV29" s="15">
        <f>'Grid_Stock'!AN24</f>
        <v/>
      </c>
      <c r="AW29" s="15">
        <f>'Grid_Stock'!AO24</f>
        <v/>
      </c>
      <c r="AX29" s="15">
        <f>'Grid_Stock'!AP24</f>
        <v/>
      </c>
      <c r="AY29" s="15">
        <f>'Grid_Stock'!AQ24</f>
        <v/>
      </c>
      <c r="AZ29" s="15">
        <f>'Grid_Stock'!AR24</f>
        <v/>
      </c>
      <c r="BA29" s="15">
        <f>'Grid_Stock'!AS24</f>
        <v/>
      </c>
      <c r="BB29" s="15">
        <f>'Grid_Stock'!AT24</f>
        <v/>
      </c>
      <c r="BC29" s="15">
        <f>'Grid_Stock'!AU24</f>
        <v/>
      </c>
      <c r="BD29" s="15">
        <f>'Grid_Stock'!AV24</f>
        <v/>
      </c>
      <c r="BE29" s="15">
        <f>'Grid_Stock'!AW24</f>
        <v/>
      </c>
      <c r="BF29" s="15">
        <f>'Grid_Stock'!AX24</f>
        <v/>
      </c>
      <c r="BG29" s="15">
        <f>'Grid_Stock'!AY24</f>
        <v/>
      </c>
      <c r="BH29" s="15">
        <f>'Grid_Stock'!AZ24</f>
        <v/>
      </c>
      <c r="BI29" s="15">
        <f>'Grid_Stock'!BA24</f>
        <v/>
      </c>
      <c r="BJ29" s="15">
        <f>'Grid_Stock'!BB24</f>
        <v/>
      </c>
      <c r="BK29" s="15">
        <f>'Grid_Stock'!BC24</f>
        <v/>
      </c>
      <c r="BL29" s="15">
        <f>'Grid_Stock'!BD24</f>
        <v/>
      </c>
      <c r="BM29" s="15">
        <f>'Grid_Stock'!BE24</f>
        <v/>
      </c>
      <c r="BN29" s="15">
        <f>'Grid_Stock'!BF24</f>
        <v/>
      </c>
      <c r="BO29" s="15">
        <f>'Grid_Stock'!BG24</f>
        <v/>
      </c>
      <c r="BP29" s="15">
        <f>'Grid_Stock'!BH24</f>
        <v/>
      </c>
      <c r="BQ29" s="15">
        <f>'Grid_Stock'!BI24</f>
        <v/>
      </c>
      <c r="BR29" s="15">
        <f>'Grid_Stock'!BJ24</f>
        <v/>
      </c>
      <c r="BS29" s="15">
        <f>'Grid_Stock'!BK24</f>
        <v/>
      </c>
      <c r="BT29" s="15">
        <f>'Grid_Stock'!BL24</f>
        <v/>
      </c>
      <c r="BU29" s="15">
        <f>'Grid_Stock'!BM24</f>
        <v/>
      </c>
      <c r="BV29" s="15">
        <f>'Grid_Stock'!BN24</f>
        <v/>
      </c>
      <c r="BW29" s="15">
        <f>'Grid_Stock'!BO24</f>
        <v/>
      </c>
      <c r="BX29" s="15">
        <f>'Grid_Stock'!BP24</f>
        <v/>
      </c>
      <c r="BY29" s="15">
        <f>'Grid_Stock'!BQ24</f>
        <v/>
      </c>
      <c r="BZ29" s="15">
        <f>'Grid_Stock'!BR24</f>
        <v/>
      </c>
      <c r="CA29" s="15">
        <f>'Grid_Stock'!BS24</f>
        <v/>
      </c>
      <c r="CB29" s="15">
        <f>'Grid_Stock'!BT24</f>
        <v/>
      </c>
      <c r="CC29" s="15">
        <f>'Grid_Stock'!BU24</f>
        <v/>
      </c>
      <c r="CD29" s="15">
        <f>'Grid_Stock'!BV24</f>
        <v/>
      </c>
      <c r="CE29" s="15">
        <f>'Grid_Stock'!BW24</f>
        <v/>
      </c>
      <c r="CF29" s="15">
        <f>'Grid_Stock'!BX24</f>
        <v/>
      </c>
      <c r="CG29" s="15">
        <f>'Grid_Stock'!BY24</f>
        <v/>
      </c>
      <c r="CH29" s="15">
        <f>'Grid_Stock'!BZ24</f>
        <v/>
      </c>
      <c r="CI29" s="15">
        <f>'Grid_Stock'!CA24</f>
        <v/>
      </c>
      <c r="CJ29" s="15">
        <f>'Grid_Stock'!CB24</f>
        <v/>
      </c>
      <c r="CK29" s="15">
        <f>'Grid_Stock'!CC24</f>
        <v/>
      </c>
      <c r="CL29" s="15">
        <f>'Grid_Stock'!CD24</f>
        <v/>
      </c>
      <c r="CM29" s="15">
        <f>'Grid_Stock'!CE24</f>
        <v/>
      </c>
      <c r="CN29" s="15">
        <f>'Grid_Stock'!CF24</f>
        <v/>
      </c>
      <c r="CO29" s="15">
        <f>'Grid_Stock'!CG24</f>
        <v/>
      </c>
      <c r="CP29" s="15">
        <f>'Grid_Stock'!CH24</f>
        <v/>
      </c>
      <c r="CQ29" s="15">
        <f>'Grid_Stock'!CI24</f>
        <v/>
      </c>
      <c r="CR29" s="15">
        <f>'Grid_Stock'!CJ24</f>
        <v/>
      </c>
      <c r="CS29" s="15">
        <f>'Grid_Stock'!CK24</f>
        <v/>
      </c>
      <c r="CT29" s="15">
        <f>'Grid_Stock'!CL24</f>
        <v/>
      </c>
      <c r="CU29" s="15">
        <f>'Grid_Stock'!CM24</f>
        <v/>
      </c>
      <c r="CV29" s="15">
        <f>'Grid_Stock'!CN24</f>
        <v/>
      </c>
      <c r="CW29" s="15">
        <f>'Grid_Stock'!CO24</f>
        <v/>
      </c>
      <c r="CX29" s="15">
        <f>'Grid_Stock'!CP24</f>
        <v/>
      </c>
      <c r="CY29" s="15">
        <f>'Grid_Stock'!CQ24</f>
        <v/>
      </c>
      <c r="CZ29" s="15">
        <f>'Grid_Stock'!CR24</f>
        <v/>
      </c>
      <c r="DA29" s="15">
        <f>'Grid_Stock'!CS24</f>
        <v/>
      </c>
      <c r="DB29" s="15">
        <f>'Grid_Stock'!CT24</f>
        <v/>
      </c>
      <c r="DC29" s="15">
        <f>'Grid_Stock'!CU24</f>
        <v/>
      </c>
      <c r="DD29" s="15">
        <f>'Grid_Stock'!CV24</f>
        <v/>
      </c>
      <c r="DE29" s="15">
        <f>'Grid_Stock'!CW24</f>
        <v/>
      </c>
      <c r="DF29" s="15">
        <f>'Grid_Stock'!CX24</f>
        <v/>
      </c>
      <c r="DG29" s="15">
        <f>'Grid_Stock'!CY24</f>
        <v/>
      </c>
      <c r="DH29" s="15">
        <f>'Grid_Stock'!CZ24</f>
        <v/>
      </c>
      <c r="DI29" s="15">
        <f>'Grid_Stock'!DA24</f>
        <v/>
      </c>
    </row>
    <row r="30">
      <c r="A30" s="17" t="inlineStr">
        <is>
          <t>0JN</t>
        </is>
      </c>
      <c r="B30" s="17">
        <f>IFERROR(INDEX(M_RawMaterials[Description],MATCH($A30,M_RawMaterials[RM_Code],0)),"")</f>
        <v/>
      </c>
      <c r="C30" s="17">
        <f>IFERROR(INDEX(M_RawMaterials[Category],MATCH($A30,M_RawMaterials[RM_Code],0)),"")</f>
        <v/>
      </c>
      <c r="D30" s="17">
        <f>IFERROR(INDEX(M_RawMaterials[基準在庫下限_要入力],MATCH($A30,M_RawMaterials[RM_Code],0)),0)</f>
        <v/>
      </c>
      <c r="E30" s="17">
        <f>IFERROR(INDEX(M_RawMaterials[基準在庫上限_要入力],MATCH($A30,M_RawMaterials[RM_Code],0)),0)</f>
        <v/>
      </c>
      <c r="F30" s="17">
        <f>IFERROR(LOOKUP(2,1/(T_SelfStock!$A$2:$A$12000=$A30),T_SelfStock!$D$2:$D$12000),"")</f>
        <v/>
      </c>
      <c r="G30" s="17">
        <f>IFERROR(LOOKUP(2,1/(T_TTAFStock!$A$2:$A$12000=$A30),T_TTAFStock!$D$2:$D$12000),"")</f>
        <v/>
      </c>
      <c r="H30" s="17">
        <f>IFERROR(INDEX(Cal_Weeks[Label],LOOKUP(2,1/(T_SelfStock!$A$2:$A$12000=$A30),T_SelfStock!$C$2:$C$12000)),"")</f>
        <v/>
      </c>
      <c r="I30" s="16">
        <f>IFERROR(INDEX(J30:DI30,$F$1),"")</f>
        <v/>
      </c>
      <c r="J30" s="17">
        <f>'Grid_Stock'!B25</f>
        <v/>
      </c>
      <c r="K30" s="17">
        <f>'Grid_Stock'!C25</f>
        <v/>
      </c>
      <c r="L30" s="17">
        <f>'Grid_Stock'!D25</f>
        <v/>
      </c>
      <c r="M30" s="17">
        <f>'Grid_Stock'!E25</f>
        <v/>
      </c>
      <c r="N30" s="17">
        <f>'Grid_Stock'!F25</f>
        <v/>
      </c>
      <c r="O30" s="17">
        <f>'Grid_Stock'!G25</f>
        <v/>
      </c>
      <c r="P30" s="17">
        <f>'Grid_Stock'!H25</f>
        <v/>
      </c>
      <c r="Q30" s="17">
        <f>'Grid_Stock'!I25</f>
        <v/>
      </c>
      <c r="R30" s="17">
        <f>'Grid_Stock'!J25</f>
        <v/>
      </c>
      <c r="S30" s="17">
        <f>'Grid_Stock'!K25</f>
        <v/>
      </c>
      <c r="T30" s="17">
        <f>'Grid_Stock'!L25</f>
        <v/>
      </c>
      <c r="U30" s="17">
        <f>'Grid_Stock'!M25</f>
        <v/>
      </c>
      <c r="V30" s="17">
        <f>'Grid_Stock'!N25</f>
        <v/>
      </c>
      <c r="W30" s="17">
        <f>'Grid_Stock'!O25</f>
        <v/>
      </c>
      <c r="X30" s="17">
        <f>'Grid_Stock'!P25</f>
        <v/>
      </c>
      <c r="Y30" s="17">
        <f>'Grid_Stock'!Q25</f>
        <v/>
      </c>
      <c r="Z30" s="17">
        <f>'Grid_Stock'!R25</f>
        <v/>
      </c>
      <c r="AA30" s="17">
        <f>'Grid_Stock'!S25</f>
        <v/>
      </c>
      <c r="AB30" s="17">
        <f>'Grid_Stock'!T25</f>
        <v/>
      </c>
      <c r="AC30" s="17">
        <f>'Grid_Stock'!U25</f>
        <v/>
      </c>
      <c r="AD30" s="17">
        <f>'Grid_Stock'!V25</f>
        <v/>
      </c>
      <c r="AE30" s="17">
        <f>'Grid_Stock'!W25</f>
        <v/>
      </c>
      <c r="AF30" s="17">
        <f>'Grid_Stock'!X25</f>
        <v/>
      </c>
      <c r="AG30" s="17">
        <f>'Grid_Stock'!Y25</f>
        <v/>
      </c>
      <c r="AH30" s="17">
        <f>'Grid_Stock'!Z25</f>
        <v/>
      </c>
      <c r="AI30" s="17">
        <f>'Grid_Stock'!AA25</f>
        <v/>
      </c>
      <c r="AJ30" s="17">
        <f>'Grid_Stock'!AB25</f>
        <v/>
      </c>
      <c r="AK30" s="17">
        <f>'Grid_Stock'!AC25</f>
        <v/>
      </c>
      <c r="AL30" s="17">
        <f>'Grid_Stock'!AD25</f>
        <v/>
      </c>
      <c r="AM30" s="17">
        <f>'Grid_Stock'!AE25</f>
        <v/>
      </c>
      <c r="AN30" s="17">
        <f>'Grid_Stock'!AF25</f>
        <v/>
      </c>
      <c r="AO30" s="17">
        <f>'Grid_Stock'!AG25</f>
        <v/>
      </c>
      <c r="AP30" s="17">
        <f>'Grid_Stock'!AH25</f>
        <v/>
      </c>
      <c r="AQ30" s="17">
        <f>'Grid_Stock'!AI25</f>
        <v/>
      </c>
      <c r="AR30" s="17">
        <f>'Grid_Stock'!AJ25</f>
        <v/>
      </c>
      <c r="AS30" s="17">
        <f>'Grid_Stock'!AK25</f>
        <v/>
      </c>
      <c r="AT30" s="17">
        <f>'Grid_Stock'!AL25</f>
        <v/>
      </c>
      <c r="AU30" s="17">
        <f>'Grid_Stock'!AM25</f>
        <v/>
      </c>
      <c r="AV30" s="17">
        <f>'Grid_Stock'!AN25</f>
        <v/>
      </c>
      <c r="AW30" s="17">
        <f>'Grid_Stock'!AO25</f>
        <v/>
      </c>
      <c r="AX30" s="17">
        <f>'Grid_Stock'!AP25</f>
        <v/>
      </c>
      <c r="AY30" s="17">
        <f>'Grid_Stock'!AQ25</f>
        <v/>
      </c>
      <c r="AZ30" s="17">
        <f>'Grid_Stock'!AR25</f>
        <v/>
      </c>
      <c r="BA30" s="17">
        <f>'Grid_Stock'!AS25</f>
        <v/>
      </c>
      <c r="BB30" s="17">
        <f>'Grid_Stock'!AT25</f>
        <v/>
      </c>
      <c r="BC30" s="17">
        <f>'Grid_Stock'!AU25</f>
        <v/>
      </c>
      <c r="BD30" s="17">
        <f>'Grid_Stock'!AV25</f>
        <v/>
      </c>
      <c r="BE30" s="17">
        <f>'Grid_Stock'!AW25</f>
        <v/>
      </c>
      <c r="BF30" s="17">
        <f>'Grid_Stock'!AX25</f>
        <v/>
      </c>
      <c r="BG30" s="17">
        <f>'Grid_Stock'!AY25</f>
        <v/>
      </c>
      <c r="BH30" s="17">
        <f>'Grid_Stock'!AZ25</f>
        <v/>
      </c>
      <c r="BI30" s="17">
        <f>'Grid_Stock'!BA25</f>
        <v/>
      </c>
      <c r="BJ30" s="17">
        <f>'Grid_Stock'!BB25</f>
        <v/>
      </c>
      <c r="BK30" s="17">
        <f>'Grid_Stock'!BC25</f>
        <v/>
      </c>
      <c r="BL30" s="17">
        <f>'Grid_Stock'!BD25</f>
        <v/>
      </c>
      <c r="BM30" s="17">
        <f>'Grid_Stock'!BE25</f>
        <v/>
      </c>
      <c r="BN30" s="17">
        <f>'Grid_Stock'!BF25</f>
        <v/>
      </c>
      <c r="BO30" s="17">
        <f>'Grid_Stock'!BG25</f>
        <v/>
      </c>
      <c r="BP30" s="17">
        <f>'Grid_Stock'!BH25</f>
        <v/>
      </c>
      <c r="BQ30" s="17">
        <f>'Grid_Stock'!BI25</f>
        <v/>
      </c>
      <c r="BR30" s="17">
        <f>'Grid_Stock'!BJ25</f>
        <v/>
      </c>
      <c r="BS30" s="17">
        <f>'Grid_Stock'!BK25</f>
        <v/>
      </c>
      <c r="BT30" s="17">
        <f>'Grid_Stock'!BL25</f>
        <v/>
      </c>
      <c r="BU30" s="17">
        <f>'Grid_Stock'!BM25</f>
        <v/>
      </c>
      <c r="BV30" s="17">
        <f>'Grid_Stock'!BN25</f>
        <v/>
      </c>
      <c r="BW30" s="17">
        <f>'Grid_Stock'!BO25</f>
        <v/>
      </c>
      <c r="BX30" s="17">
        <f>'Grid_Stock'!BP25</f>
        <v/>
      </c>
      <c r="BY30" s="17">
        <f>'Grid_Stock'!BQ25</f>
        <v/>
      </c>
      <c r="BZ30" s="17">
        <f>'Grid_Stock'!BR25</f>
        <v/>
      </c>
      <c r="CA30" s="17">
        <f>'Grid_Stock'!BS25</f>
        <v/>
      </c>
      <c r="CB30" s="17">
        <f>'Grid_Stock'!BT25</f>
        <v/>
      </c>
      <c r="CC30" s="17">
        <f>'Grid_Stock'!BU25</f>
        <v/>
      </c>
      <c r="CD30" s="17">
        <f>'Grid_Stock'!BV25</f>
        <v/>
      </c>
      <c r="CE30" s="17">
        <f>'Grid_Stock'!BW25</f>
        <v/>
      </c>
      <c r="CF30" s="17">
        <f>'Grid_Stock'!BX25</f>
        <v/>
      </c>
      <c r="CG30" s="17">
        <f>'Grid_Stock'!BY25</f>
        <v/>
      </c>
      <c r="CH30" s="17">
        <f>'Grid_Stock'!BZ25</f>
        <v/>
      </c>
      <c r="CI30" s="17">
        <f>'Grid_Stock'!CA25</f>
        <v/>
      </c>
      <c r="CJ30" s="17">
        <f>'Grid_Stock'!CB25</f>
        <v/>
      </c>
      <c r="CK30" s="17">
        <f>'Grid_Stock'!CC25</f>
        <v/>
      </c>
      <c r="CL30" s="17">
        <f>'Grid_Stock'!CD25</f>
        <v/>
      </c>
      <c r="CM30" s="17">
        <f>'Grid_Stock'!CE25</f>
        <v/>
      </c>
      <c r="CN30" s="17">
        <f>'Grid_Stock'!CF25</f>
        <v/>
      </c>
      <c r="CO30" s="17">
        <f>'Grid_Stock'!CG25</f>
        <v/>
      </c>
      <c r="CP30" s="17">
        <f>'Grid_Stock'!CH25</f>
        <v/>
      </c>
      <c r="CQ30" s="17">
        <f>'Grid_Stock'!CI25</f>
        <v/>
      </c>
      <c r="CR30" s="17">
        <f>'Grid_Stock'!CJ25</f>
        <v/>
      </c>
      <c r="CS30" s="17">
        <f>'Grid_Stock'!CK25</f>
        <v/>
      </c>
      <c r="CT30" s="17">
        <f>'Grid_Stock'!CL25</f>
        <v/>
      </c>
      <c r="CU30" s="17">
        <f>'Grid_Stock'!CM25</f>
        <v/>
      </c>
      <c r="CV30" s="17">
        <f>'Grid_Stock'!CN25</f>
        <v/>
      </c>
      <c r="CW30" s="17">
        <f>'Grid_Stock'!CO25</f>
        <v/>
      </c>
      <c r="CX30" s="17">
        <f>'Grid_Stock'!CP25</f>
        <v/>
      </c>
      <c r="CY30" s="17">
        <f>'Grid_Stock'!CQ25</f>
        <v/>
      </c>
      <c r="CZ30" s="17">
        <f>'Grid_Stock'!CR25</f>
        <v/>
      </c>
      <c r="DA30" s="17">
        <f>'Grid_Stock'!CS25</f>
        <v/>
      </c>
      <c r="DB30" s="17">
        <f>'Grid_Stock'!CT25</f>
        <v/>
      </c>
      <c r="DC30" s="17">
        <f>'Grid_Stock'!CU25</f>
        <v/>
      </c>
      <c r="DD30" s="17">
        <f>'Grid_Stock'!CV25</f>
        <v/>
      </c>
      <c r="DE30" s="17">
        <f>'Grid_Stock'!CW25</f>
        <v/>
      </c>
      <c r="DF30" s="17">
        <f>'Grid_Stock'!CX25</f>
        <v/>
      </c>
      <c r="DG30" s="17">
        <f>'Grid_Stock'!CY25</f>
        <v/>
      </c>
      <c r="DH30" s="17">
        <f>'Grid_Stock'!CZ25</f>
        <v/>
      </c>
      <c r="DI30" s="17">
        <f>'Grid_Stock'!DA25</f>
        <v/>
      </c>
    </row>
    <row r="31">
      <c r="A31" s="15" t="inlineStr">
        <is>
          <t>CHEM-1760</t>
        </is>
      </c>
      <c r="B31" s="15">
        <f>IFERROR(INDEX(M_RawMaterials[Description],MATCH($A31,M_RawMaterials[RM_Code],0)),"")</f>
        <v/>
      </c>
      <c r="C31" s="15">
        <f>IFERROR(INDEX(M_RawMaterials[Category],MATCH($A31,M_RawMaterials[RM_Code],0)),"")</f>
        <v/>
      </c>
      <c r="D31" s="15">
        <f>IFERROR(INDEX(M_RawMaterials[基準在庫下限_要入力],MATCH($A31,M_RawMaterials[RM_Code],0)),0)</f>
        <v/>
      </c>
      <c r="E31" s="15">
        <f>IFERROR(INDEX(M_RawMaterials[基準在庫上限_要入力],MATCH($A31,M_RawMaterials[RM_Code],0)),0)</f>
        <v/>
      </c>
      <c r="F31" s="15">
        <f>IFERROR(LOOKUP(2,1/(T_SelfStock!$A$2:$A$12000=$A31),T_SelfStock!$D$2:$D$12000),"")</f>
        <v/>
      </c>
      <c r="G31" s="15">
        <f>IFERROR(LOOKUP(2,1/(T_TTAFStock!$A$2:$A$12000=$A31),T_TTAFStock!$D$2:$D$12000),"")</f>
        <v/>
      </c>
      <c r="H31" s="15">
        <f>IFERROR(INDEX(Cal_Weeks[Label],LOOKUP(2,1/(T_SelfStock!$A$2:$A$12000=$A31),T_SelfStock!$C$2:$C$12000)),"")</f>
        <v/>
      </c>
      <c r="I31" s="16">
        <f>IFERROR(INDEX(J31:DI31,$F$1),"")</f>
        <v/>
      </c>
      <c r="J31" s="15">
        <f>'Grid_Stock'!B26</f>
        <v/>
      </c>
      <c r="K31" s="15">
        <f>'Grid_Stock'!C26</f>
        <v/>
      </c>
      <c r="L31" s="15">
        <f>'Grid_Stock'!D26</f>
        <v/>
      </c>
      <c r="M31" s="15">
        <f>'Grid_Stock'!E26</f>
        <v/>
      </c>
      <c r="N31" s="15">
        <f>'Grid_Stock'!F26</f>
        <v/>
      </c>
      <c r="O31" s="15">
        <f>'Grid_Stock'!G26</f>
        <v/>
      </c>
      <c r="P31" s="15">
        <f>'Grid_Stock'!H26</f>
        <v/>
      </c>
      <c r="Q31" s="15">
        <f>'Grid_Stock'!I26</f>
        <v/>
      </c>
      <c r="R31" s="15">
        <f>'Grid_Stock'!J26</f>
        <v/>
      </c>
      <c r="S31" s="15">
        <f>'Grid_Stock'!K26</f>
        <v/>
      </c>
      <c r="T31" s="15">
        <f>'Grid_Stock'!L26</f>
        <v/>
      </c>
      <c r="U31" s="15">
        <f>'Grid_Stock'!M26</f>
        <v/>
      </c>
      <c r="V31" s="15">
        <f>'Grid_Stock'!N26</f>
        <v/>
      </c>
      <c r="W31" s="15">
        <f>'Grid_Stock'!O26</f>
        <v/>
      </c>
      <c r="X31" s="15">
        <f>'Grid_Stock'!P26</f>
        <v/>
      </c>
      <c r="Y31" s="15">
        <f>'Grid_Stock'!Q26</f>
        <v/>
      </c>
      <c r="Z31" s="15">
        <f>'Grid_Stock'!R26</f>
        <v/>
      </c>
      <c r="AA31" s="15">
        <f>'Grid_Stock'!S26</f>
        <v/>
      </c>
      <c r="AB31" s="15">
        <f>'Grid_Stock'!T26</f>
        <v/>
      </c>
      <c r="AC31" s="15">
        <f>'Grid_Stock'!U26</f>
        <v/>
      </c>
      <c r="AD31" s="15">
        <f>'Grid_Stock'!V26</f>
        <v/>
      </c>
      <c r="AE31" s="15">
        <f>'Grid_Stock'!W26</f>
        <v/>
      </c>
      <c r="AF31" s="15">
        <f>'Grid_Stock'!X26</f>
        <v/>
      </c>
      <c r="AG31" s="15">
        <f>'Grid_Stock'!Y26</f>
        <v/>
      </c>
      <c r="AH31" s="15">
        <f>'Grid_Stock'!Z26</f>
        <v/>
      </c>
      <c r="AI31" s="15">
        <f>'Grid_Stock'!AA26</f>
        <v/>
      </c>
      <c r="AJ31" s="15">
        <f>'Grid_Stock'!AB26</f>
        <v/>
      </c>
      <c r="AK31" s="15">
        <f>'Grid_Stock'!AC26</f>
        <v/>
      </c>
      <c r="AL31" s="15">
        <f>'Grid_Stock'!AD26</f>
        <v/>
      </c>
      <c r="AM31" s="15">
        <f>'Grid_Stock'!AE26</f>
        <v/>
      </c>
      <c r="AN31" s="15">
        <f>'Grid_Stock'!AF26</f>
        <v/>
      </c>
      <c r="AO31" s="15">
        <f>'Grid_Stock'!AG26</f>
        <v/>
      </c>
      <c r="AP31" s="15">
        <f>'Grid_Stock'!AH26</f>
        <v/>
      </c>
      <c r="AQ31" s="15">
        <f>'Grid_Stock'!AI26</f>
        <v/>
      </c>
      <c r="AR31" s="15">
        <f>'Grid_Stock'!AJ26</f>
        <v/>
      </c>
      <c r="AS31" s="15">
        <f>'Grid_Stock'!AK26</f>
        <v/>
      </c>
      <c r="AT31" s="15">
        <f>'Grid_Stock'!AL26</f>
        <v/>
      </c>
      <c r="AU31" s="15">
        <f>'Grid_Stock'!AM26</f>
        <v/>
      </c>
      <c r="AV31" s="15">
        <f>'Grid_Stock'!AN26</f>
        <v/>
      </c>
      <c r="AW31" s="15">
        <f>'Grid_Stock'!AO26</f>
        <v/>
      </c>
      <c r="AX31" s="15">
        <f>'Grid_Stock'!AP26</f>
        <v/>
      </c>
      <c r="AY31" s="15">
        <f>'Grid_Stock'!AQ26</f>
        <v/>
      </c>
      <c r="AZ31" s="15">
        <f>'Grid_Stock'!AR26</f>
        <v/>
      </c>
      <c r="BA31" s="15">
        <f>'Grid_Stock'!AS26</f>
        <v/>
      </c>
      <c r="BB31" s="15">
        <f>'Grid_Stock'!AT26</f>
        <v/>
      </c>
      <c r="BC31" s="15">
        <f>'Grid_Stock'!AU26</f>
        <v/>
      </c>
      <c r="BD31" s="15">
        <f>'Grid_Stock'!AV26</f>
        <v/>
      </c>
      <c r="BE31" s="15">
        <f>'Grid_Stock'!AW26</f>
        <v/>
      </c>
      <c r="BF31" s="15">
        <f>'Grid_Stock'!AX26</f>
        <v/>
      </c>
      <c r="BG31" s="15">
        <f>'Grid_Stock'!AY26</f>
        <v/>
      </c>
      <c r="BH31" s="15">
        <f>'Grid_Stock'!AZ26</f>
        <v/>
      </c>
      <c r="BI31" s="15">
        <f>'Grid_Stock'!BA26</f>
        <v/>
      </c>
      <c r="BJ31" s="15">
        <f>'Grid_Stock'!BB26</f>
        <v/>
      </c>
      <c r="BK31" s="15">
        <f>'Grid_Stock'!BC26</f>
        <v/>
      </c>
      <c r="BL31" s="15">
        <f>'Grid_Stock'!BD26</f>
        <v/>
      </c>
      <c r="BM31" s="15">
        <f>'Grid_Stock'!BE26</f>
        <v/>
      </c>
      <c r="BN31" s="15">
        <f>'Grid_Stock'!BF26</f>
        <v/>
      </c>
      <c r="BO31" s="15">
        <f>'Grid_Stock'!BG26</f>
        <v/>
      </c>
      <c r="BP31" s="15">
        <f>'Grid_Stock'!BH26</f>
        <v/>
      </c>
      <c r="BQ31" s="15">
        <f>'Grid_Stock'!BI26</f>
        <v/>
      </c>
      <c r="BR31" s="15">
        <f>'Grid_Stock'!BJ26</f>
        <v/>
      </c>
      <c r="BS31" s="15">
        <f>'Grid_Stock'!BK26</f>
        <v/>
      </c>
      <c r="BT31" s="15">
        <f>'Grid_Stock'!BL26</f>
        <v/>
      </c>
      <c r="BU31" s="15">
        <f>'Grid_Stock'!BM26</f>
        <v/>
      </c>
      <c r="BV31" s="15">
        <f>'Grid_Stock'!BN26</f>
        <v/>
      </c>
      <c r="BW31" s="15">
        <f>'Grid_Stock'!BO26</f>
        <v/>
      </c>
      <c r="BX31" s="15">
        <f>'Grid_Stock'!BP26</f>
        <v/>
      </c>
      <c r="BY31" s="15">
        <f>'Grid_Stock'!BQ26</f>
        <v/>
      </c>
      <c r="BZ31" s="15">
        <f>'Grid_Stock'!BR26</f>
        <v/>
      </c>
      <c r="CA31" s="15">
        <f>'Grid_Stock'!BS26</f>
        <v/>
      </c>
      <c r="CB31" s="15">
        <f>'Grid_Stock'!BT26</f>
        <v/>
      </c>
      <c r="CC31" s="15">
        <f>'Grid_Stock'!BU26</f>
        <v/>
      </c>
      <c r="CD31" s="15">
        <f>'Grid_Stock'!BV26</f>
        <v/>
      </c>
      <c r="CE31" s="15">
        <f>'Grid_Stock'!BW26</f>
        <v/>
      </c>
      <c r="CF31" s="15">
        <f>'Grid_Stock'!BX26</f>
        <v/>
      </c>
      <c r="CG31" s="15">
        <f>'Grid_Stock'!BY26</f>
        <v/>
      </c>
      <c r="CH31" s="15">
        <f>'Grid_Stock'!BZ26</f>
        <v/>
      </c>
      <c r="CI31" s="15">
        <f>'Grid_Stock'!CA26</f>
        <v/>
      </c>
      <c r="CJ31" s="15">
        <f>'Grid_Stock'!CB26</f>
        <v/>
      </c>
      <c r="CK31" s="15">
        <f>'Grid_Stock'!CC26</f>
        <v/>
      </c>
      <c r="CL31" s="15">
        <f>'Grid_Stock'!CD26</f>
        <v/>
      </c>
      <c r="CM31" s="15">
        <f>'Grid_Stock'!CE26</f>
        <v/>
      </c>
      <c r="CN31" s="15">
        <f>'Grid_Stock'!CF26</f>
        <v/>
      </c>
      <c r="CO31" s="15">
        <f>'Grid_Stock'!CG26</f>
        <v/>
      </c>
      <c r="CP31" s="15">
        <f>'Grid_Stock'!CH26</f>
        <v/>
      </c>
      <c r="CQ31" s="15">
        <f>'Grid_Stock'!CI26</f>
        <v/>
      </c>
      <c r="CR31" s="15">
        <f>'Grid_Stock'!CJ26</f>
        <v/>
      </c>
      <c r="CS31" s="15">
        <f>'Grid_Stock'!CK26</f>
        <v/>
      </c>
      <c r="CT31" s="15">
        <f>'Grid_Stock'!CL26</f>
        <v/>
      </c>
      <c r="CU31" s="15">
        <f>'Grid_Stock'!CM26</f>
        <v/>
      </c>
      <c r="CV31" s="15">
        <f>'Grid_Stock'!CN26</f>
        <v/>
      </c>
      <c r="CW31" s="15">
        <f>'Grid_Stock'!CO26</f>
        <v/>
      </c>
      <c r="CX31" s="15">
        <f>'Grid_Stock'!CP26</f>
        <v/>
      </c>
      <c r="CY31" s="15">
        <f>'Grid_Stock'!CQ26</f>
        <v/>
      </c>
      <c r="CZ31" s="15">
        <f>'Grid_Stock'!CR26</f>
        <v/>
      </c>
      <c r="DA31" s="15">
        <f>'Grid_Stock'!CS26</f>
        <v/>
      </c>
      <c r="DB31" s="15">
        <f>'Grid_Stock'!CT26</f>
        <v/>
      </c>
      <c r="DC31" s="15">
        <f>'Grid_Stock'!CU26</f>
        <v/>
      </c>
      <c r="DD31" s="15">
        <f>'Grid_Stock'!CV26</f>
        <v/>
      </c>
      <c r="DE31" s="15">
        <f>'Grid_Stock'!CW26</f>
        <v/>
      </c>
      <c r="DF31" s="15">
        <f>'Grid_Stock'!CX26</f>
        <v/>
      </c>
      <c r="DG31" s="15">
        <f>'Grid_Stock'!CY26</f>
        <v/>
      </c>
      <c r="DH31" s="15">
        <f>'Grid_Stock'!CZ26</f>
        <v/>
      </c>
      <c r="DI31" s="15">
        <f>'Grid_Stock'!DA26</f>
        <v/>
      </c>
    </row>
    <row r="32">
      <c r="A32" s="17" t="inlineStr">
        <is>
          <t>Original Towel</t>
        </is>
      </c>
      <c r="B32" s="17">
        <f>IFERROR(INDEX(M_RawMaterials[Description],MATCH($A32,M_RawMaterials[RM_Code],0)),"")</f>
        <v/>
      </c>
      <c r="C32" s="17">
        <f>IFERROR(INDEX(M_RawMaterials[Category],MATCH($A32,M_RawMaterials[RM_Code],0)),"")</f>
        <v/>
      </c>
      <c r="D32" s="17">
        <f>IFERROR(INDEX(M_RawMaterials[基準在庫下限_要入力],MATCH($A32,M_RawMaterials[RM_Code],0)),0)</f>
        <v/>
      </c>
      <c r="E32" s="17">
        <f>IFERROR(INDEX(M_RawMaterials[基準在庫上限_要入力],MATCH($A32,M_RawMaterials[RM_Code],0)),0)</f>
        <v/>
      </c>
      <c r="F32" s="17">
        <f>IFERROR(LOOKUP(2,1/(T_SelfStock!$A$2:$A$12000=$A32),T_SelfStock!$D$2:$D$12000),"")</f>
        <v/>
      </c>
      <c r="G32" s="17">
        <f>IFERROR(LOOKUP(2,1/(T_TTAFStock!$A$2:$A$12000=$A32),T_TTAFStock!$D$2:$D$12000),"")</f>
        <v/>
      </c>
      <c r="H32" s="17">
        <f>IFERROR(INDEX(Cal_Weeks[Label],LOOKUP(2,1/(T_SelfStock!$A$2:$A$12000=$A32),T_SelfStock!$C$2:$C$12000)),"")</f>
        <v/>
      </c>
      <c r="I32" s="16">
        <f>IFERROR(INDEX(J32:DI32,$F$1),"")</f>
        <v/>
      </c>
      <c r="J32" s="17">
        <f>'Grid_Stock'!B27</f>
        <v/>
      </c>
      <c r="K32" s="17">
        <f>'Grid_Stock'!C27</f>
        <v/>
      </c>
      <c r="L32" s="17">
        <f>'Grid_Stock'!D27</f>
        <v/>
      </c>
      <c r="M32" s="17">
        <f>'Grid_Stock'!E27</f>
        <v/>
      </c>
      <c r="N32" s="17">
        <f>'Grid_Stock'!F27</f>
        <v/>
      </c>
      <c r="O32" s="17">
        <f>'Grid_Stock'!G27</f>
        <v/>
      </c>
      <c r="P32" s="17">
        <f>'Grid_Stock'!H27</f>
        <v/>
      </c>
      <c r="Q32" s="17">
        <f>'Grid_Stock'!I27</f>
        <v/>
      </c>
      <c r="R32" s="17">
        <f>'Grid_Stock'!J27</f>
        <v/>
      </c>
      <c r="S32" s="17">
        <f>'Grid_Stock'!K27</f>
        <v/>
      </c>
      <c r="T32" s="17">
        <f>'Grid_Stock'!L27</f>
        <v/>
      </c>
      <c r="U32" s="17">
        <f>'Grid_Stock'!M27</f>
        <v/>
      </c>
      <c r="V32" s="17">
        <f>'Grid_Stock'!N27</f>
        <v/>
      </c>
      <c r="W32" s="17">
        <f>'Grid_Stock'!O27</f>
        <v/>
      </c>
      <c r="X32" s="17">
        <f>'Grid_Stock'!P27</f>
        <v/>
      </c>
      <c r="Y32" s="17">
        <f>'Grid_Stock'!Q27</f>
        <v/>
      </c>
      <c r="Z32" s="17">
        <f>'Grid_Stock'!R27</f>
        <v/>
      </c>
      <c r="AA32" s="17">
        <f>'Grid_Stock'!S27</f>
        <v/>
      </c>
      <c r="AB32" s="17">
        <f>'Grid_Stock'!T27</f>
        <v/>
      </c>
      <c r="AC32" s="17">
        <f>'Grid_Stock'!U27</f>
        <v/>
      </c>
      <c r="AD32" s="17">
        <f>'Grid_Stock'!V27</f>
        <v/>
      </c>
      <c r="AE32" s="17">
        <f>'Grid_Stock'!W27</f>
        <v/>
      </c>
      <c r="AF32" s="17">
        <f>'Grid_Stock'!X27</f>
        <v/>
      </c>
      <c r="AG32" s="17">
        <f>'Grid_Stock'!Y27</f>
        <v/>
      </c>
      <c r="AH32" s="17">
        <f>'Grid_Stock'!Z27</f>
        <v/>
      </c>
      <c r="AI32" s="17">
        <f>'Grid_Stock'!AA27</f>
        <v/>
      </c>
      <c r="AJ32" s="17">
        <f>'Grid_Stock'!AB27</f>
        <v/>
      </c>
      <c r="AK32" s="17">
        <f>'Grid_Stock'!AC27</f>
        <v/>
      </c>
      <c r="AL32" s="17">
        <f>'Grid_Stock'!AD27</f>
        <v/>
      </c>
      <c r="AM32" s="17">
        <f>'Grid_Stock'!AE27</f>
        <v/>
      </c>
      <c r="AN32" s="17">
        <f>'Grid_Stock'!AF27</f>
        <v/>
      </c>
      <c r="AO32" s="17">
        <f>'Grid_Stock'!AG27</f>
        <v/>
      </c>
      <c r="AP32" s="17">
        <f>'Grid_Stock'!AH27</f>
        <v/>
      </c>
      <c r="AQ32" s="17">
        <f>'Grid_Stock'!AI27</f>
        <v/>
      </c>
      <c r="AR32" s="17">
        <f>'Grid_Stock'!AJ27</f>
        <v/>
      </c>
      <c r="AS32" s="17">
        <f>'Grid_Stock'!AK27</f>
        <v/>
      </c>
      <c r="AT32" s="17">
        <f>'Grid_Stock'!AL27</f>
        <v/>
      </c>
      <c r="AU32" s="17">
        <f>'Grid_Stock'!AM27</f>
        <v/>
      </c>
      <c r="AV32" s="17">
        <f>'Grid_Stock'!AN27</f>
        <v/>
      </c>
      <c r="AW32" s="17">
        <f>'Grid_Stock'!AO27</f>
        <v/>
      </c>
      <c r="AX32" s="17">
        <f>'Grid_Stock'!AP27</f>
        <v/>
      </c>
      <c r="AY32" s="17">
        <f>'Grid_Stock'!AQ27</f>
        <v/>
      </c>
      <c r="AZ32" s="17">
        <f>'Grid_Stock'!AR27</f>
        <v/>
      </c>
      <c r="BA32" s="17">
        <f>'Grid_Stock'!AS27</f>
        <v/>
      </c>
      <c r="BB32" s="17">
        <f>'Grid_Stock'!AT27</f>
        <v/>
      </c>
      <c r="BC32" s="17">
        <f>'Grid_Stock'!AU27</f>
        <v/>
      </c>
      <c r="BD32" s="17">
        <f>'Grid_Stock'!AV27</f>
        <v/>
      </c>
      <c r="BE32" s="17">
        <f>'Grid_Stock'!AW27</f>
        <v/>
      </c>
      <c r="BF32" s="17">
        <f>'Grid_Stock'!AX27</f>
        <v/>
      </c>
      <c r="BG32" s="17">
        <f>'Grid_Stock'!AY27</f>
        <v/>
      </c>
      <c r="BH32" s="17">
        <f>'Grid_Stock'!AZ27</f>
        <v/>
      </c>
      <c r="BI32" s="17">
        <f>'Grid_Stock'!BA27</f>
        <v/>
      </c>
      <c r="BJ32" s="17">
        <f>'Grid_Stock'!BB27</f>
        <v/>
      </c>
      <c r="BK32" s="17">
        <f>'Grid_Stock'!BC27</f>
        <v/>
      </c>
      <c r="BL32" s="17">
        <f>'Grid_Stock'!BD27</f>
        <v/>
      </c>
      <c r="BM32" s="17">
        <f>'Grid_Stock'!BE27</f>
        <v/>
      </c>
      <c r="BN32" s="17">
        <f>'Grid_Stock'!BF27</f>
        <v/>
      </c>
      <c r="BO32" s="17">
        <f>'Grid_Stock'!BG27</f>
        <v/>
      </c>
      <c r="BP32" s="17">
        <f>'Grid_Stock'!BH27</f>
        <v/>
      </c>
      <c r="BQ32" s="17">
        <f>'Grid_Stock'!BI27</f>
        <v/>
      </c>
      <c r="BR32" s="17">
        <f>'Grid_Stock'!BJ27</f>
        <v/>
      </c>
      <c r="BS32" s="17">
        <f>'Grid_Stock'!BK27</f>
        <v/>
      </c>
      <c r="BT32" s="17">
        <f>'Grid_Stock'!BL27</f>
        <v/>
      </c>
      <c r="BU32" s="17">
        <f>'Grid_Stock'!BM27</f>
        <v/>
      </c>
      <c r="BV32" s="17">
        <f>'Grid_Stock'!BN27</f>
        <v/>
      </c>
      <c r="BW32" s="17">
        <f>'Grid_Stock'!BO27</f>
        <v/>
      </c>
      <c r="BX32" s="17">
        <f>'Grid_Stock'!BP27</f>
        <v/>
      </c>
      <c r="BY32" s="17">
        <f>'Grid_Stock'!BQ27</f>
        <v/>
      </c>
      <c r="BZ32" s="17">
        <f>'Grid_Stock'!BR27</f>
        <v/>
      </c>
      <c r="CA32" s="17">
        <f>'Grid_Stock'!BS27</f>
        <v/>
      </c>
      <c r="CB32" s="17">
        <f>'Grid_Stock'!BT27</f>
        <v/>
      </c>
      <c r="CC32" s="17">
        <f>'Grid_Stock'!BU27</f>
        <v/>
      </c>
      <c r="CD32" s="17">
        <f>'Grid_Stock'!BV27</f>
        <v/>
      </c>
      <c r="CE32" s="17">
        <f>'Grid_Stock'!BW27</f>
        <v/>
      </c>
      <c r="CF32" s="17">
        <f>'Grid_Stock'!BX27</f>
        <v/>
      </c>
      <c r="CG32" s="17">
        <f>'Grid_Stock'!BY27</f>
        <v/>
      </c>
      <c r="CH32" s="17">
        <f>'Grid_Stock'!BZ27</f>
        <v/>
      </c>
      <c r="CI32" s="17">
        <f>'Grid_Stock'!CA27</f>
        <v/>
      </c>
      <c r="CJ32" s="17">
        <f>'Grid_Stock'!CB27</f>
        <v/>
      </c>
      <c r="CK32" s="17">
        <f>'Grid_Stock'!CC27</f>
        <v/>
      </c>
      <c r="CL32" s="17">
        <f>'Grid_Stock'!CD27</f>
        <v/>
      </c>
      <c r="CM32" s="17">
        <f>'Grid_Stock'!CE27</f>
        <v/>
      </c>
      <c r="CN32" s="17">
        <f>'Grid_Stock'!CF27</f>
        <v/>
      </c>
      <c r="CO32" s="17">
        <f>'Grid_Stock'!CG27</f>
        <v/>
      </c>
      <c r="CP32" s="17">
        <f>'Grid_Stock'!CH27</f>
        <v/>
      </c>
      <c r="CQ32" s="17">
        <f>'Grid_Stock'!CI27</f>
        <v/>
      </c>
      <c r="CR32" s="17">
        <f>'Grid_Stock'!CJ27</f>
        <v/>
      </c>
      <c r="CS32" s="17">
        <f>'Grid_Stock'!CK27</f>
        <v/>
      </c>
      <c r="CT32" s="17">
        <f>'Grid_Stock'!CL27</f>
        <v/>
      </c>
      <c r="CU32" s="17">
        <f>'Grid_Stock'!CM27</f>
        <v/>
      </c>
      <c r="CV32" s="17">
        <f>'Grid_Stock'!CN27</f>
        <v/>
      </c>
      <c r="CW32" s="17">
        <f>'Grid_Stock'!CO27</f>
        <v/>
      </c>
      <c r="CX32" s="17">
        <f>'Grid_Stock'!CP27</f>
        <v/>
      </c>
      <c r="CY32" s="17">
        <f>'Grid_Stock'!CQ27</f>
        <v/>
      </c>
      <c r="CZ32" s="17">
        <f>'Grid_Stock'!CR27</f>
        <v/>
      </c>
      <c r="DA32" s="17">
        <f>'Grid_Stock'!CS27</f>
        <v/>
      </c>
      <c r="DB32" s="17">
        <f>'Grid_Stock'!CT27</f>
        <v/>
      </c>
      <c r="DC32" s="17">
        <f>'Grid_Stock'!CU27</f>
        <v/>
      </c>
      <c r="DD32" s="17">
        <f>'Grid_Stock'!CV27</f>
        <v/>
      </c>
      <c r="DE32" s="17">
        <f>'Grid_Stock'!CW27</f>
        <v/>
      </c>
      <c r="DF32" s="17">
        <f>'Grid_Stock'!CX27</f>
        <v/>
      </c>
      <c r="DG32" s="17">
        <f>'Grid_Stock'!CY27</f>
        <v/>
      </c>
      <c r="DH32" s="17">
        <f>'Grid_Stock'!CZ27</f>
        <v/>
      </c>
      <c r="DI32" s="17">
        <f>'Grid_Stock'!DA27</f>
        <v/>
      </c>
    </row>
    <row r="33">
      <c r="A33" s="15" t="inlineStr">
        <is>
          <t>0LJ</t>
        </is>
      </c>
      <c r="B33" s="15">
        <f>IFERROR(INDEX(M_RawMaterials[Description],MATCH($A33,M_RawMaterials[RM_Code],0)),"")</f>
        <v/>
      </c>
      <c r="C33" s="15">
        <f>IFERROR(INDEX(M_RawMaterials[Category],MATCH($A33,M_RawMaterials[RM_Code],0)),"")</f>
        <v/>
      </c>
      <c r="D33" s="15">
        <f>IFERROR(INDEX(M_RawMaterials[基準在庫下限_要入力],MATCH($A33,M_RawMaterials[RM_Code],0)),0)</f>
        <v/>
      </c>
      <c r="E33" s="15">
        <f>IFERROR(INDEX(M_RawMaterials[基準在庫上限_要入力],MATCH($A33,M_RawMaterials[RM_Code],0)),0)</f>
        <v/>
      </c>
      <c r="F33" s="15">
        <f>IFERROR(LOOKUP(2,1/(T_SelfStock!$A$2:$A$12000=$A33),T_SelfStock!$D$2:$D$12000),"")</f>
        <v/>
      </c>
      <c r="G33" s="15">
        <f>IFERROR(LOOKUP(2,1/(T_TTAFStock!$A$2:$A$12000=$A33),T_TTAFStock!$D$2:$D$12000),"")</f>
        <v/>
      </c>
      <c r="H33" s="15">
        <f>IFERROR(INDEX(Cal_Weeks[Label],LOOKUP(2,1/(T_SelfStock!$A$2:$A$12000=$A33),T_SelfStock!$C$2:$C$12000)),"")</f>
        <v/>
      </c>
      <c r="I33" s="16">
        <f>IFERROR(INDEX(J33:DI33,$F$1),"")</f>
        <v/>
      </c>
      <c r="J33" s="15">
        <f>'Grid_Stock'!B28</f>
        <v/>
      </c>
      <c r="K33" s="15">
        <f>'Grid_Stock'!C28</f>
        <v/>
      </c>
      <c r="L33" s="15">
        <f>'Grid_Stock'!D28</f>
        <v/>
      </c>
      <c r="M33" s="15">
        <f>'Grid_Stock'!E28</f>
        <v/>
      </c>
      <c r="N33" s="15">
        <f>'Grid_Stock'!F28</f>
        <v/>
      </c>
      <c r="O33" s="15">
        <f>'Grid_Stock'!G28</f>
        <v/>
      </c>
      <c r="P33" s="15">
        <f>'Grid_Stock'!H28</f>
        <v/>
      </c>
      <c r="Q33" s="15">
        <f>'Grid_Stock'!I28</f>
        <v/>
      </c>
      <c r="R33" s="15">
        <f>'Grid_Stock'!J28</f>
        <v/>
      </c>
      <c r="S33" s="15">
        <f>'Grid_Stock'!K28</f>
        <v/>
      </c>
      <c r="T33" s="15">
        <f>'Grid_Stock'!L28</f>
        <v/>
      </c>
      <c r="U33" s="15">
        <f>'Grid_Stock'!M28</f>
        <v/>
      </c>
      <c r="V33" s="15">
        <f>'Grid_Stock'!N28</f>
        <v/>
      </c>
      <c r="W33" s="15">
        <f>'Grid_Stock'!O28</f>
        <v/>
      </c>
      <c r="X33" s="15">
        <f>'Grid_Stock'!P28</f>
        <v/>
      </c>
      <c r="Y33" s="15">
        <f>'Grid_Stock'!Q28</f>
        <v/>
      </c>
      <c r="Z33" s="15">
        <f>'Grid_Stock'!R28</f>
        <v/>
      </c>
      <c r="AA33" s="15">
        <f>'Grid_Stock'!S28</f>
        <v/>
      </c>
      <c r="AB33" s="15">
        <f>'Grid_Stock'!T28</f>
        <v/>
      </c>
      <c r="AC33" s="15">
        <f>'Grid_Stock'!U28</f>
        <v/>
      </c>
      <c r="AD33" s="15">
        <f>'Grid_Stock'!V28</f>
        <v/>
      </c>
      <c r="AE33" s="15">
        <f>'Grid_Stock'!W28</f>
        <v/>
      </c>
      <c r="AF33" s="15">
        <f>'Grid_Stock'!X28</f>
        <v/>
      </c>
      <c r="AG33" s="15">
        <f>'Grid_Stock'!Y28</f>
        <v/>
      </c>
      <c r="AH33" s="15">
        <f>'Grid_Stock'!Z28</f>
        <v/>
      </c>
      <c r="AI33" s="15">
        <f>'Grid_Stock'!AA28</f>
        <v/>
      </c>
      <c r="AJ33" s="15">
        <f>'Grid_Stock'!AB28</f>
        <v/>
      </c>
      <c r="AK33" s="15">
        <f>'Grid_Stock'!AC28</f>
        <v/>
      </c>
      <c r="AL33" s="15">
        <f>'Grid_Stock'!AD28</f>
        <v/>
      </c>
      <c r="AM33" s="15">
        <f>'Grid_Stock'!AE28</f>
        <v/>
      </c>
      <c r="AN33" s="15">
        <f>'Grid_Stock'!AF28</f>
        <v/>
      </c>
      <c r="AO33" s="15">
        <f>'Grid_Stock'!AG28</f>
        <v/>
      </c>
      <c r="AP33" s="15">
        <f>'Grid_Stock'!AH28</f>
        <v/>
      </c>
      <c r="AQ33" s="15">
        <f>'Grid_Stock'!AI28</f>
        <v/>
      </c>
      <c r="AR33" s="15">
        <f>'Grid_Stock'!AJ28</f>
        <v/>
      </c>
      <c r="AS33" s="15">
        <f>'Grid_Stock'!AK28</f>
        <v/>
      </c>
      <c r="AT33" s="15">
        <f>'Grid_Stock'!AL28</f>
        <v/>
      </c>
      <c r="AU33" s="15">
        <f>'Grid_Stock'!AM28</f>
        <v/>
      </c>
      <c r="AV33" s="15">
        <f>'Grid_Stock'!AN28</f>
        <v/>
      </c>
      <c r="AW33" s="15">
        <f>'Grid_Stock'!AO28</f>
        <v/>
      </c>
      <c r="AX33" s="15">
        <f>'Grid_Stock'!AP28</f>
        <v/>
      </c>
      <c r="AY33" s="15">
        <f>'Grid_Stock'!AQ28</f>
        <v/>
      </c>
      <c r="AZ33" s="15">
        <f>'Grid_Stock'!AR28</f>
        <v/>
      </c>
      <c r="BA33" s="15">
        <f>'Grid_Stock'!AS28</f>
        <v/>
      </c>
      <c r="BB33" s="15">
        <f>'Grid_Stock'!AT28</f>
        <v/>
      </c>
      <c r="BC33" s="15">
        <f>'Grid_Stock'!AU28</f>
        <v/>
      </c>
      <c r="BD33" s="15">
        <f>'Grid_Stock'!AV28</f>
        <v/>
      </c>
      <c r="BE33" s="15">
        <f>'Grid_Stock'!AW28</f>
        <v/>
      </c>
      <c r="BF33" s="15">
        <f>'Grid_Stock'!AX28</f>
        <v/>
      </c>
      <c r="BG33" s="15">
        <f>'Grid_Stock'!AY28</f>
        <v/>
      </c>
      <c r="BH33" s="15">
        <f>'Grid_Stock'!AZ28</f>
        <v/>
      </c>
      <c r="BI33" s="15">
        <f>'Grid_Stock'!BA28</f>
        <v/>
      </c>
      <c r="BJ33" s="15">
        <f>'Grid_Stock'!BB28</f>
        <v/>
      </c>
      <c r="BK33" s="15">
        <f>'Grid_Stock'!BC28</f>
        <v/>
      </c>
      <c r="BL33" s="15">
        <f>'Grid_Stock'!BD28</f>
        <v/>
      </c>
      <c r="BM33" s="15">
        <f>'Grid_Stock'!BE28</f>
        <v/>
      </c>
      <c r="BN33" s="15">
        <f>'Grid_Stock'!BF28</f>
        <v/>
      </c>
      <c r="BO33" s="15">
        <f>'Grid_Stock'!BG28</f>
        <v/>
      </c>
      <c r="BP33" s="15">
        <f>'Grid_Stock'!BH28</f>
        <v/>
      </c>
      <c r="BQ33" s="15">
        <f>'Grid_Stock'!BI28</f>
        <v/>
      </c>
      <c r="BR33" s="15">
        <f>'Grid_Stock'!BJ28</f>
        <v/>
      </c>
      <c r="BS33" s="15">
        <f>'Grid_Stock'!BK28</f>
        <v/>
      </c>
      <c r="BT33" s="15">
        <f>'Grid_Stock'!BL28</f>
        <v/>
      </c>
      <c r="BU33" s="15">
        <f>'Grid_Stock'!BM28</f>
        <v/>
      </c>
      <c r="BV33" s="15">
        <f>'Grid_Stock'!BN28</f>
        <v/>
      </c>
      <c r="BW33" s="15">
        <f>'Grid_Stock'!BO28</f>
        <v/>
      </c>
      <c r="BX33" s="15">
        <f>'Grid_Stock'!BP28</f>
        <v/>
      </c>
      <c r="BY33" s="15">
        <f>'Grid_Stock'!BQ28</f>
        <v/>
      </c>
      <c r="BZ33" s="15">
        <f>'Grid_Stock'!BR28</f>
        <v/>
      </c>
      <c r="CA33" s="15">
        <f>'Grid_Stock'!BS28</f>
        <v/>
      </c>
      <c r="CB33" s="15">
        <f>'Grid_Stock'!BT28</f>
        <v/>
      </c>
      <c r="CC33" s="15">
        <f>'Grid_Stock'!BU28</f>
        <v/>
      </c>
      <c r="CD33" s="15">
        <f>'Grid_Stock'!BV28</f>
        <v/>
      </c>
      <c r="CE33" s="15">
        <f>'Grid_Stock'!BW28</f>
        <v/>
      </c>
      <c r="CF33" s="15">
        <f>'Grid_Stock'!BX28</f>
        <v/>
      </c>
      <c r="CG33" s="15">
        <f>'Grid_Stock'!BY28</f>
        <v/>
      </c>
      <c r="CH33" s="15">
        <f>'Grid_Stock'!BZ28</f>
        <v/>
      </c>
      <c r="CI33" s="15">
        <f>'Grid_Stock'!CA28</f>
        <v/>
      </c>
      <c r="CJ33" s="15">
        <f>'Grid_Stock'!CB28</f>
        <v/>
      </c>
      <c r="CK33" s="15">
        <f>'Grid_Stock'!CC28</f>
        <v/>
      </c>
      <c r="CL33" s="15">
        <f>'Grid_Stock'!CD28</f>
        <v/>
      </c>
      <c r="CM33" s="15">
        <f>'Grid_Stock'!CE28</f>
        <v/>
      </c>
      <c r="CN33" s="15">
        <f>'Grid_Stock'!CF28</f>
        <v/>
      </c>
      <c r="CO33" s="15">
        <f>'Grid_Stock'!CG28</f>
        <v/>
      </c>
      <c r="CP33" s="15">
        <f>'Grid_Stock'!CH28</f>
        <v/>
      </c>
      <c r="CQ33" s="15">
        <f>'Grid_Stock'!CI28</f>
        <v/>
      </c>
      <c r="CR33" s="15">
        <f>'Grid_Stock'!CJ28</f>
        <v/>
      </c>
      <c r="CS33" s="15">
        <f>'Grid_Stock'!CK28</f>
        <v/>
      </c>
      <c r="CT33" s="15">
        <f>'Grid_Stock'!CL28</f>
        <v/>
      </c>
      <c r="CU33" s="15">
        <f>'Grid_Stock'!CM28</f>
        <v/>
      </c>
      <c r="CV33" s="15">
        <f>'Grid_Stock'!CN28</f>
        <v/>
      </c>
      <c r="CW33" s="15">
        <f>'Grid_Stock'!CO28</f>
        <v/>
      </c>
      <c r="CX33" s="15">
        <f>'Grid_Stock'!CP28</f>
        <v/>
      </c>
      <c r="CY33" s="15">
        <f>'Grid_Stock'!CQ28</f>
        <v/>
      </c>
      <c r="CZ33" s="15">
        <f>'Grid_Stock'!CR28</f>
        <v/>
      </c>
      <c r="DA33" s="15">
        <f>'Grid_Stock'!CS28</f>
        <v/>
      </c>
      <c r="DB33" s="15">
        <f>'Grid_Stock'!CT28</f>
        <v/>
      </c>
      <c r="DC33" s="15">
        <f>'Grid_Stock'!CU28</f>
        <v/>
      </c>
      <c r="DD33" s="15">
        <f>'Grid_Stock'!CV28</f>
        <v/>
      </c>
      <c r="DE33" s="15">
        <f>'Grid_Stock'!CW28</f>
        <v/>
      </c>
      <c r="DF33" s="15">
        <f>'Grid_Stock'!CX28</f>
        <v/>
      </c>
      <c r="DG33" s="15">
        <f>'Grid_Stock'!CY28</f>
        <v/>
      </c>
      <c r="DH33" s="15">
        <f>'Grid_Stock'!CZ28</f>
        <v/>
      </c>
      <c r="DI33" s="15">
        <f>'Grid_Stock'!DA28</f>
        <v/>
      </c>
    </row>
    <row r="34">
      <c r="A34" s="17" t="inlineStr">
        <is>
          <t>PP FILM</t>
        </is>
      </c>
      <c r="B34" s="17">
        <f>IFERROR(INDEX(M_RawMaterials[Description],MATCH($A34,M_RawMaterials[RM_Code],0)),"")</f>
        <v/>
      </c>
      <c r="C34" s="17">
        <f>IFERROR(INDEX(M_RawMaterials[Category],MATCH($A34,M_RawMaterials[RM_Code],0)),"")</f>
        <v/>
      </c>
      <c r="D34" s="17">
        <f>IFERROR(INDEX(M_RawMaterials[基準在庫下限_要入力],MATCH($A34,M_RawMaterials[RM_Code],0)),0)</f>
        <v/>
      </c>
      <c r="E34" s="17">
        <f>IFERROR(INDEX(M_RawMaterials[基準在庫上限_要入力],MATCH($A34,M_RawMaterials[RM_Code],0)),0)</f>
        <v/>
      </c>
      <c r="F34" s="17">
        <f>IFERROR(LOOKUP(2,1/(T_SelfStock!$A$2:$A$12000=$A34),T_SelfStock!$D$2:$D$12000),"")</f>
        <v/>
      </c>
      <c r="G34" s="17">
        <f>IFERROR(LOOKUP(2,1/(T_TTAFStock!$A$2:$A$12000=$A34),T_TTAFStock!$D$2:$D$12000),"")</f>
        <v/>
      </c>
      <c r="H34" s="17">
        <f>IFERROR(INDEX(Cal_Weeks[Label],LOOKUP(2,1/(T_SelfStock!$A$2:$A$12000=$A34),T_SelfStock!$C$2:$C$12000)),"")</f>
        <v/>
      </c>
      <c r="I34" s="16">
        <f>IFERROR(INDEX(J34:DI34,$F$1),"")</f>
        <v/>
      </c>
      <c r="J34" s="17">
        <f>'Grid_Stock'!B29</f>
        <v/>
      </c>
      <c r="K34" s="17">
        <f>'Grid_Stock'!C29</f>
        <v/>
      </c>
      <c r="L34" s="17">
        <f>'Grid_Stock'!D29</f>
        <v/>
      </c>
      <c r="M34" s="17">
        <f>'Grid_Stock'!E29</f>
        <v/>
      </c>
      <c r="N34" s="17">
        <f>'Grid_Stock'!F29</f>
        <v/>
      </c>
      <c r="O34" s="17">
        <f>'Grid_Stock'!G29</f>
        <v/>
      </c>
      <c r="P34" s="17">
        <f>'Grid_Stock'!H29</f>
        <v/>
      </c>
      <c r="Q34" s="17">
        <f>'Grid_Stock'!I29</f>
        <v/>
      </c>
      <c r="R34" s="17">
        <f>'Grid_Stock'!J29</f>
        <v/>
      </c>
      <c r="S34" s="17">
        <f>'Grid_Stock'!K29</f>
        <v/>
      </c>
      <c r="T34" s="17">
        <f>'Grid_Stock'!L29</f>
        <v/>
      </c>
      <c r="U34" s="17">
        <f>'Grid_Stock'!M29</f>
        <v/>
      </c>
      <c r="V34" s="17">
        <f>'Grid_Stock'!N29</f>
        <v/>
      </c>
      <c r="W34" s="17">
        <f>'Grid_Stock'!O29</f>
        <v/>
      </c>
      <c r="X34" s="17">
        <f>'Grid_Stock'!P29</f>
        <v/>
      </c>
      <c r="Y34" s="17">
        <f>'Grid_Stock'!Q29</f>
        <v/>
      </c>
      <c r="Z34" s="17">
        <f>'Grid_Stock'!R29</f>
        <v/>
      </c>
      <c r="AA34" s="17">
        <f>'Grid_Stock'!S29</f>
        <v/>
      </c>
      <c r="AB34" s="17">
        <f>'Grid_Stock'!T29</f>
        <v/>
      </c>
      <c r="AC34" s="17">
        <f>'Grid_Stock'!U29</f>
        <v/>
      </c>
      <c r="AD34" s="17">
        <f>'Grid_Stock'!V29</f>
        <v/>
      </c>
      <c r="AE34" s="17">
        <f>'Grid_Stock'!W29</f>
        <v/>
      </c>
      <c r="AF34" s="17">
        <f>'Grid_Stock'!X29</f>
        <v/>
      </c>
      <c r="AG34" s="17">
        <f>'Grid_Stock'!Y29</f>
        <v/>
      </c>
      <c r="AH34" s="17">
        <f>'Grid_Stock'!Z29</f>
        <v/>
      </c>
      <c r="AI34" s="17">
        <f>'Grid_Stock'!AA29</f>
        <v/>
      </c>
      <c r="AJ34" s="17">
        <f>'Grid_Stock'!AB29</f>
        <v/>
      </c>
      <c r="AK34" s="17">
        <f>'Grid_Stock'!AC29</f>
        <v/>
      </c>
      <c r="AL34" s="17">
        <f>'Grid_Stock'!AD29</f>
        <v/>
      </c>
      <c r="AM34" s="17">
        <f>'Grid_Stock'!AE29</f>
        <v/>
      </c>
      <c r="AN34" s="17">
        <f>'Grid_Stock'!AF29</f>
        <v/>
      </c>
      <c r="AO34" s="17">
        <f>'Grid_Stock'!AG29</f>
        <v/>
      </c>
      <c r="AP34" s="17">
        <f>'Grid_Stock'!AH29</f>
        <v/>
      </c>
      <c r="AQ34" s="17">
        <f>'Grid_Stock'!AI29</f>
        <v/>
      </c>
      <c r="AR34" s="17">
        <f>'Grid_Stock'!AJ29</f>
        <v/>
      </c>
      <c r="AS34" s="17">
        <f>'Grid_Stock'!AK29</f>
        <v/>
      </c>
      <c r="AT34" s="17">
        <f>'Grid_Stock'!AL29</f>
        <v/>
      </c>
      <c r="AU34" s="17">
        <f>'Grid_Stock'!AM29</f>
        <v/>
      </c>
      <c r="AV34" s="17">
        <f>'Grid_Stock'!AN29</f>
        <v/>
      </c>
      <c r="AW34" s="17">
        <f>'Grid_Stock'!AO29</f>
        <v/>
      </c>
      <c r="AX34" s="17">
        <f>'Grid_Stock'!AP29</f>
        <v/>
      </c>
      <c r="AY34" s="17">
        <f>'Grid_Stock'!AQ29</f>
        <v/>
      </c>
      <c r="AZ34" s="17">
        <f>'Grid_Stock'!AR29</f>
        <v/>
      </c>
      <c r="BA34" s="17">
        <f>'Grid_Stock'!AS29</f>
        <v/>
      </c>
      <c r="BB34" s="17">
        <f>'Grid_Stock'!AT29</f>
        <v/>
      </c>
      <c r="BC34" s="17">
        <f>'Grid_Stock'!AU29</f>
        <v/>
      </c>
      <c r="BD34" s="17">
        <f>'Grid_Stock'!AV29</f>
        <v/>
      </c>
      <c r="BE34" s="17">
        <f>'Grid_Stock'!AW29</f>
        <v/>
      </c>
      <c r="BF34" s="17">
        <f>'Grid_Stock'!AX29</f>
        <v/>
      </c>
      <c r="BG34" s="17">
        <f>'Grid_Stock'!AY29</f>
        <v/>
      </c>
      <c r="BH34" s="17">
        <f>'Grid_Stock'!AZ29</f>
        <v/>
      </c>
      <c r="BI34" s="17">
        <f>'Grid_Stock'!BA29</f>
        <v/>
      </c>
      <c r="BJ34" s="17">
        <f>'Grid_Stock'!BB29</f>
        <v/>
      </c>
      <c r="BK34" s="17">
        <f>'Grid_Stock'!BC29</f>
        <v/>
      </c>
      <c r="BL34" s="17">
        <f>'Grid_Stock'!BD29</f>
        <v/>
      </c>
      <c r="BM34" s="17">
        <f>'Grid_Stock'!BE29</f>
        <v/>
      </c>
      <c r="BN34" s="17">
        <f>'Grid_Stock'!BF29</f>
        <v/>
      </c>
      <c r="BO34" s="17">
        <f>'Grid_Stock'!BG29</f>
        <v/>
      </c>
      <c r="BP34" s="17">
        <f>'Grid_Stock'!BH29</f>
        <v/>
      </c>
      <c r="BQ34" s="17">
        <f>'Grid_Stock'!BI29</f>
        <v/>
      </c>
      <c r="BR34" s="17">
        <f>'Grid_Stock'!BJ29</f>
        <v/>
      </c>
      <c r="BS34" s="17">
        <f>'Grid_Stock'!BK29</f>
        <v/>
      </c>
      <c r="BT34" s="17">
        <f>'Grid_Stock'!BL29</f>
        <v/>
      </c>
      <c r="BU34" s="17">
        <f>'Grid_Stock'!BM29</f>
        <v/>
      </c>
      <c r="BV34" s="17">
        <f>'Grid_Stock'!BN29</f>
        <v/>
      </c>
      <c r="BW34" s="17">
        <f>'Grid_Stock'!BO29</f>
        <v/>
      </c>
      <c r="BX34" s="17">
        <f>'Grid_Stock'!BP29</f>
        <v/>
      </c>
      <c r="BY34" s="17">
        <f>'Grid_Stock'!BQ29</f>
        <v/>
      </c>
      <c r="BZ34" s="17">
        <f>'Grid_Stock'!BR29</f>
        <v/>
      </c>
      <c r="CA34" s="17">
        <f>'Grid_Stock'!BS29</f>
        <v/>
      </c>
      <c r="CB34" s="17">
        <f>'Grid_Stock'!BT29</f>
        <v/>
      </c>
      <c r="CC34" s="17">
        <f>'Grid_Stock'!BU29</f>
        <v/>
      </c>
      <c r="CD34" s="17">
        <f>'Grid_Stock'!BV29</f>
        <v/>
      </c>
      <c r="CE34" s="17">
        <f>'Grid_Stock'!BW29</f>
        <v/>
      </c>
      <c r="CF34" s="17">
        <f>'Grid_Stock'!BX29</f>
        <v/>
      </c>
      <c r="CG34" s="17">
        <f>'Grid_Stock'!BY29</f>
        <v/>
      </c>
      <c r="CH34" s="17">
        <f>'Grid_Stock'!BZ29</f>
        <v/>
      </c>
      <c r="CI34" s="17">
        <f>'Grid_Stock'!CA29</f>
        <v/>
      </c>
      <c r="CJ34" s="17">
        <f>'Grid_Stock'!CB29</f>
        <v/>
      </c>
      <c r="CK34" s="17">
        <f>'Grid_Stock'!CC29</f>
        <v/>
      </c>
      <c r="CL34" s="17">
        <f>'Grid_Stock'!CD29</f>
        <v/>
      </c>
      <c r="CM34" s="17">
        <f>'Grid_Stock'!CE29</f>
        <v/>
      </c>
      <c r="CN34" s="17">
        <f>'Grid_Stock'!CF29</f>
        <v/>
      </c>
      <c r="CO34" s="17">
        <f>'Grid_Stock'!CG29</f>
        <v/>
      </c>
      <c r="CP34" s="17">
        <f>'Grid_Stock'!CH29</f>
        <v/>
      </c>
      <c r="CQ34" s="17">
        <f>'Grid_Stock'!CI29</f>
        <v/>
      </c>
      <c r="CR34" s="17">
        <f>'Grid_Stock'!CJ29</f>
        <v/>
      </c>
      <c r="CS34" s="17">
        <f>'Grid_Stock'!CK29</f>
        <v/>
      </c>
      <c r="CT34" s="17">
        <f>'Grid_Stock'!CL29</f>
        <v/>
      </c>
      <c r="CU34" s="17">
        <f>'Grid_Stock'!CM29</f>
        <v/>
      </c>
      <c r="CV34" s="17">
        <f>'Grid_Stock'!CN29</f>
        <v/>
      </c>
      <c r="CW34" s="17">
        <f>'Grid_Stock'!CO29</f>
        <v/>
      </c>
      <c r="CX34" s="17">
        <f>'Grid_Stock'!CP29</f>
        <v/>
      </c>
      <c r="CY34" s="17">
        <f>'Grid_Stock'!CQ29</f>
        <v/>
      </c>
      <c r="CZ34" s="17">
        <f>'Grid_Stock'!CR29</f>
        <v/>
      </c>
      <c r="DA34" s="17">
        <f>'Grid_Stock'!CS29</f>
        <v/>
      </c>
      <c r="DB34" s="17">
        <f>'Grid_Stock'!CT29</f>
        <v/>
      </c>
      <c r="DC34" s="17">
        <f>'Grid_Stock'!CU29</f>
        <v/>
      </c>
      <c r="DD34" s="17">
        <f>'Grid_Stock'!CV29</f>
        <v/>
      </c>
      <c r="DE34" s="17">
        <f>'Grid_Stock'!CW29</f>
        <v/>
      </c>
      <c r="DF34" s="17">
        <f>'Grid_Stock'!CX29</f>
        <v/>
      </c>
      <c r="DG34" s="17">
        <f>'Grid_Stock'!CY29</f>
        <v/>
      </c>
      <c r="DH34" s="17">
        <f>'Grid_Stock'!CZ29</f>
        <v/>
      </c>
      <c r="DI34" s="17">
        <f>'Grid_Stock'!DA29</f>
        <v/>
      </c>
    </row>
    <row r="35">
      <c r="A35" s="15" t="inlineStr">
        <is>
          <t>CHEM-1200</t>
        </is>
      </c>
      <c r="B35" s="15">
        <f>IFERROR(INDEX(M_RawMaterials[Description],MATCH($A35,M_RawMaterials[RM_Code],0)),"")</f>
        <v/>
      </c>
      <c r="C35" s="15">
        <f>IFERROR(INDEX(M_RawMaterials[Category],MATCH($A35,M_RawMaterials[RM_Code],0)),"")</f>
        <v/>
      </c>
      <c r="D35" s="15">
        <f>IFERROR(INDEX(M_RawMaterials[基準在庫下限_要入力],MATCH($A35,M_RawMaterials[RM_Code],0)),0)</f>
        <v/>
      </c>
      <c r="E35" s="15">
        <f>IFERROR(INDEX(M_RawMaterials[基準在庫上限_要入力],MATCH($A35,M_RawMaterials[RM_Code],0)),0)</f>
        <v/>
      </c>
      <c r="F35" s="15">
        <f>IFERROR(LOOKUP(2,1/(T_SelfStock!$A$2:$A$12000=$A35),T_SelfStock!$D$2:$D$12000),"")</f>
        <v/>
      </c>
      <c r="G35" s="15">
        <f>IFERROR(LOOKUP(2,1/(T_TTAFStock!$A$2:$A$12000=$A35),T_TTAFStock!$D$2:$D$12000),"")</f>
        <v/>
      </c>
      <c r="H35" s="15">
        <f>IFERROR(INDEX(Cal_Weeks[Label],LOOKUP(2,1/(T_SelfStock!$A$2:$A$12000=$A35),T_SelfStock!$C$2:$C$12000)),"")</f>
        <v/>
      </c>
      <c r="I35" s="16">
        <f>IFERROR(INDEX(J35:DI35,$F$1),"")</f>
        <v/>
      </c>
      <c r="J35" s="15">
        <f>'Grid_Stock'!B30</f>
        <v/>
      </c>
      <c r="K35" s="15">
        <f>'Grid_Stock'!C30</f>
        <v/>
      </c>
      <c r="L35" s="15">
        <f>'Grid_Stock'!D30</f>
        <v/>
      </c>
      <c r="M35" s="15">
        <f>'Grid_Stock'!E30</f>
        <v/>
      </c>
      <c r="N35" s="15">
        <f>'Grid_Stock'!F30</f>
        <v/>
      </c>
      <c r="O35" s="15">
        <f>'Grid_Stock'!G30</f>
        <v/>
      </c>
      <c r="P35" s="15">
        <f>'Grid_Stock'!H30</f>
        <v/>
      </c>
      <c r="Q35" s="15">
        <f>'Grid_Stock'!I30</f>
        <v/>
      </c>
      <c r="R35" s="15">
        <f>'Grid_Stock'!J30</f>
        <v/>
      </c>
      <c r="S35" s="15">
        <f>'Grid_Stock'!K30</f>
        <v/>
      </c>
      <c r="T35" s="15">
        <f>'Grid_Stock'!L30</f>
        <v/>
      </c>
      <c r="U35" s="15">
        <f>'Grid_Stock'!M30</f>
        <v/>
      </c>
      <c r="V35" s="15">
        <f>'Grid_Stock'!N30</f>
        <v/>
      </c>
      <c r="W35" s="15">
        <f>'Grid_Stock'!O30</f>
        <v/>
      </c>
      <c r="X35" s="15">
        <f>'Grid_Stock'!P30</f>
        <v/>
      </c>
      <c r="Y35" s="15">
        <f>'Grid_Stock'!Q30</f>
        <v/>
      </c>
      <c r="Z35" s="15">
        <f>'Grid_Stock'!R30</f>
        <v/>
      </c>
      <c r="AA35" s="15">
        <f>'Grid_Stock'!S30</f>
        <v/>
      </c>
      <c r="AB35" s="15">
        <f>'Grid_Stock'!T30</f>
        <v/>
      </c>
      <c r="AC35" s="15">
        <f>'Grid_Stock'!U30</f>
        <v/>
      </c>
      <c r="AD35" s="15">
        <f>'Grid_Stock'!V30</f>
        <v/>
      </c>
      <c r="AE35" s="15">
        <f>'Grid_Stock'!W30</f>
        <v/>
      </c>
      <c r="AF35" s="15">
        <f>'Grid_Stock'!X30</f>
        <v/>
      </c>
      <c r="AG35" s="15">
        <f>'Grid_Stock'!Y30</f>
        <v/>
      </c>
      <c r="AH35" s="15">
        <f>'Grid_Stock'!Z30</f>
        <v/>
      </c>
      <c r="AI35" s="15">
        <f>'Grid_Stock'!AA30</f>
        <v/>
      </c>
      <c r="AJ35" s="15">
        <f>'Grid_Stock'!AB30</f>
        <v/>
      </c>
      <c r="AK35" s="15">
        <f>'Grid_Stock'!AC30</f>
        <v/>
      </c>
      <c r="AL35" s="15">
        <f>'Grid_Stock'!AD30</f>
        <v/>
      </c>
      <c r="AM35" s="15">
        <f>'Grid_Stock'!AE30</f>
        <v/>
      </c>
      <c r="AN35" s="15">
        <f>'Grid_Stock'!AF30</f>
        <v/>
      </c>
      <c r="AO35" s="15">
        <f>'Grid_Stock'!AG30</f>
        <v/>
      </c>
      <c r="AP35" s="15">
        <f>'Grid_Stock'!AH30</f>
        <v/>
      </c>
      <c r="AQ35" s="15">
        <f>'Grid_Stock'!AI30</f>
        <v/>
      </c>
      <c r="AR35" s="15">
        <f>'Grid_Stock'!AJ30</f>
        <v/>
      </c>
      <c r="AS35" s="15">
        <f>'Grid_Stock'!AK30</f>
        <v/>
      </c>
      <c r="AT35" s="15">
        <f>'Grid_Stock'!AL30</f>
        <v/>
      </c>
      <c r="AU35" s="15">
        <f>'Grid_Stock'!AM30</f>
        <v/>
      </c>
      <c r="AV35" s="15">
        <f>'Grid_Stock'!AN30</f>
        <v/>
      </c>
      <c r="AW35" s="15">
        <f>'Grid_Stock'!AO30</f>
        <v/>
      </c>
      <c r="AX35" s="15">
        <f>'Grid_Stock'!AP30</f>
        <v/>
      </c>
      <c r="AY35" s="15">
        <f>'Grid_Stock'!AQ30</f>
        <v/>
      </c>
      <c r="AZ35" s="15">
        <f>'Grid_Stock'!AR30</f>
        <v/>
      </c>
      <c r="BA35" s="15">
        <f>'Grid_Stock'!AS30</f>
        <v/>
      </c>
      <c r="BB35" s="15">
        <f>'Grid_Stock'!AT30</f>
        <v/>
      </c>
      <c r="BC35" s="15">
        <f>'Grid_Stock'!AU30</f>
        <v/>
      </c>
      <c r="BD35" s="15">
        <f>'Grid_Stock'!AV30</f>
        <v/>
      </c>
      <c r="BE35" s="15">
        <f>'Grid_Stock'!AW30</f>
        <v/>
      </c>
      <c r="BF35" s="15">
        <f>'Grid_Stock'!AX30</f>
        <v/>
      </c>
      <c r="BG35" s="15">
        <f>'Grid_Stock'!AY30</f>
        <v/>
      </c>
      <c r="BH35" s="15">
        <f>'Grid_Stock'!AZ30</f>
        <v/>
      </c>
      <c r="BI35" s="15">
        <f>'Grid_Stock'!BA30</f>
        <v/>
      </c>
      <c r="BJ35" s="15">
        <f>'Grid_Stock'!BB30</f>
        <v/>
      </c>
      <c r="BK35" s="15">
        <f>'Grid_Stock'!BC30</f>
        <v/>
      </c>
      <c r="BL35" s="15">
        <f>'Grid_Stock'!BD30</f>
        <v/>
      </c>
      <c r="BM35" s="15">
        <f>'Grid_Stock'!BE30</f>
        <v/>
      </c>
      <c r="BN35" s="15">
        <f>'Grid_Stock'!BF30</f>
        <v/>
      </c>
      <c r="BO35" s="15">
        <f>'Grid_Stock'!BG30</f>
        <v/>
      </c>
      <c r="BP35" s="15">
        <f>'Grid_Stock'!BH30</f>
        <v/>
      </c>
      <c r="BQ35" s="15">
        <f>'Grid_Stock'!BI30</f>
        <v/>
      </c>
      <c r="BR35" s="15">
        <f>'Grid_Stock'!BJ30</f>
        <v/>
      </c>
      <c r="BS35" s="15">
        <f>'Grid_Stock'!BK30</f>
        <v/>
      </c>
      <c r="BT35" s="15">
        <f>'Grid_Stock'!BL30</f>
        <v/>
      </c>
      <c r="BU35" s="15">
        <f>'Grid_Stock'!BM30</f>
        <v/>
      </c>
      <c r="BV35" s="15">
        <f>'Grid_Stock'!BN30</f>
        <v/>
      </c>
      <c r="BW35" s="15">
        <f>'Grid_Stock'!BO30</f>
        <v/>
      </c>
      <c r="BX35" s="15">
        <f>'Grid_Stock'!BP30</f>
        <v/>
      </c>
      <c r="BY35" s="15">
        <f>'Grid_Stock'!BQ30</f>
        <v/>
      </c>
      <c r="BZ35" s="15">
        <f>'Grid_Stock'!BR30</f>
        <v/>
      </c>
      <c r="CA35" s="15">
        <f>'Grid_Stock'!BS30</f>
        <v/>
      </c>
      <c r="CB35" s="15">
        <f>'Grid_Stock'!BT30</f>
        <v/>
      </c>
      <c r="CC35" s="15">
        <f>'Grid_Stock'!BU30</f>
        <v/>
      </c>
      <c r="CD35" s="15">
        <f>'Grid_Stock'!BV30</f>
        <v/>
      </c>
      <c r="CE35" s="15">
        <f>'Grid_Stock'!BW30</f>
        <v/>
      </c>
      <c r="CF35" s="15">
        <f>'Grid_Stock'!BX30</f>
        <v/>
      </c>
      <c r="CG35" s="15">
        <f>'Grid_Stock'!BY30</f>
        <v/>
      </c>
      <c r="CH35" s="15">
        <f>'Grid_Stock'!BZ30</f>
        <v/>
      </c>
      <c r="CI35" s="15">
        <f>'Grid_Stock'!CA30</f>
        <v/>
      </c>
      <c r="CJ35" s="15">
        <f>'Grid_Stock'!CB30</f>
        <v/>
      </c>
      <c r="CK35" s="15">
        <f>'Grid_Stock'!CC30</f>
        <v/>
      </c>
      <c r="CL35" s="15">
        <f>'Grid_Stock'!CD30</f>
        <v/>
      </c>
      <c r="CM35" s="15">
        <f>'Grid_Stock'!CE30</f>
        <v/>
      </c>
      <c r="CN35" s="15">
        <f>'Grid_Stock'!CF30</f>
        <v/>
      </c>
      <c r="CO35" s="15">
        <f>'Grid_Stock'!CG30</f>
        <v/>
      </c>
      <c r="CP35" s="15">
        <f>'Grid_Stock'!CH30</f>
        <v/>
      </c>
      <c r="CQ35" s="15">
        <f>'Grid_Stock'!CI30</f>
        <v/>
      </c>
      <c r="CR35" s="15">
        <f>'Grid_Stock'!CJ30</f>
        <v/>
      </c>
      <c r="CS35" s="15">
        <f>'Grid_Stock'!CK30</f>
        <v/>
      </c>
      <c r="CT35" s="15">
        <f>'Grid_Stock'!CL30</f>
        <v/>
      </c>
      <c r="CU35" s="15">
        <f>'Grid_Stock'!CM30</f>
        <v/>
      </c>
      <c r="CV35" s="15">
        <f>'Grid_Stock'!CN30</f>
        <v/>
      </c>
      <c r="CW35" s="15">
        <f>'Grid_Stock'!CO30</f>
        <v/>
      </c>
      <c r="CX35" s="15">
        <f>'Grid_Stock'!CP30</f>
        <v/>
      </c>
      <c r="CY35" s="15">
        <f>'Grid_Stock'!CQ30</f>
        <v/>
      </c>
      <c r="CZ35" s="15">
        <f>'Grid_Stock'!CR30</f>
        <v/>
      </c>
      <c r="DA35" s="15">
        <f>'Grid_Stock'!CS30</f>
        <v/>
      </c>
      <c r="DB35" s="15">
        <f>'Grid_Stock'!CT30</f>
        <v/>
      </c>
      <c r="DC35" s="15">
        <f>'Grid_Stock'!CU30</f>
        <v/>
      </c>
      <c r="DD35" s="15">
        <f>'Grid_Stock'!CV30</f>
        <v/>
      </c>
      <c r="DE35" s="15">
        <f>'Grid_Stock'!CW30</f>
        <v/>
      </c>
      <c r="DF35" s="15">
        <f>'Grid_Stock'!CX30</f>
        <v/>
      </c>
      <c r="DG35" s="15">
        <f>'Grid_Stock'!CY30</f>
        <v/>
      </c>
      <c r="DH35" s="15">
        <f>'Grid_Stock'!CZ30</f>
        <v/>
      </c>
      <c r="DI35" s="15">
        <f>'Grid_Stock'!DA30</f>
        <v/>
      </c>
    </row>
    <row r="36">
      <c r="A36" s="17" t="inlineStr">
        <is>
          <t>ABN</t>
        </is>
      </c>
      <c r="B36" s="17">
        <f>IFERROR(INDEX(M_RawMaterials[Description],MATCH($A36,M_RawMaterials[RM_Code],0)),"")</f>
        <v/>
      </c>
      <c r="C36" s="17">
        <f>IFERROR(INDEX(M_RawMaterials[Category],MATCH($A36,M_RawMaterials[RM_Code],0)),"")</f>
        <v/>
      </c>
      <c r="D36" s="17">
        <f>IFERROR(INDEX(M_RawMaterials[基準在庫下限_要入力],MATCH($A36,M_RawMaterials[RM_Code],0)),0)</f>
        <v/>
      </c>
      <c r="E36" s="17">
        <f>IFERROR(INDEX(M_RawMaterials[基準在庫上限_要入力],MATCH($A36,M_RawMaterials[RM_Code],0)),0)</f>
        <v/>
      </c>
      <c r="F36" s="17">
        <f>IFERROR(LOOKUP(2,1/(T_SelfStock!$A$2:$A$12000=$A36),T_SelfStock!$D$2:$D$12000),"")</f>
        <v/>
      </c>
      <c r="G36" s="17">
        <f>IFERROR(LOOKUP(2,1/(T_TTAFStock!$A$2:$A$12000=$A36),T_TTAFStock!$D$2:$D$12000),"")</f>
        <v/>
      </c>
      <c r="H36" s="17">
        <f>IFERROR(INDEX(Cal_Weeks[Label],LOOKUP(2,1/(T_SelfStock!$A$2:$A$12000=$A36),T_SelfStock!$C$2:$C$12000)),"")</f>
        <v/>
      </c>
      <c r="I36" s="16">
        <f>IFERROR(INDEX(J36:DI36,$F$1),"")</f>
        <v/>
      </c>
      <c r="J36" s="17">
        <f>'Grid_Stock'!B31</f>
        <v/>
      </c>
      <c r="K36" s="17">
        <f>'Grid_Stock'!C31</f>
        <v/>
      </c>
      <c r="L36" s="17">
        <f>'Grid_Stock'!D31</f>
        <v/>
      </c>
      <c r="M36" s="17">
        <f>'Grid_Stock'!E31</f>
        <v/>
      </c>
      <c r="N36" s="17">
        <f>'Grid_Stock'!F31</f>
        <v/>
      </c>
      <c r="O36" s="17">
        <f>'Grid_Stock'!G31</f>
        <v/>
      </c>
      <c r="P36" s="17">
        <f>'Grid_Stock'!H31</f>
        <v/>
      </c>
      <c r="Q36" s="17">
        <f>'Grid_Stock'!I31</f>
        <v/>
      </c>
      <c r="R36" s="17">
        <f>'Grid_Stock'!J31</f>
        <v/>
      </c>
      <c r="S36" s="17">
        <f>'Grid_Stock'!K31</f>
        <v/>
      </c>
      <c r="T36" s="17">
        <f>'Grid_Stock'!L31</f>
        <v/>
      </c>
      <c r="U36" s="17">
        <f>'Grid_Stock'!M31</f>
        <v/>
      </c>
      <c r="V36" s="17">
        <f>'Grid_Stock'!N31</f>
        <v/>
      </c>
      <c r="W36" s="17">
        <f>'Grid_Stock'!O31</f>
        <v/>
      </c>
      <c r="X36" s="17">
        <f>'Grid_Stock'!P31</f>
        <v/>
      </c>
      <c r="Y36" s="17">
        <f>'Grid_Stock'!Q31</f>
        <v/>
      </c>
      <c r="Z36" s="17">
        <f>'Grid_Stock'!R31</f>
        <v/>
      </c>
      <c r="AA36" s="17">
        <f>'Grid_Stock'!S31</f>
        <v/>
      </c>
      <c r="AB36" s="17">
        <f>'Grid_Stock'!T31</f>
        <v/>
      </c>
      <c r="AC36" s="17">
        <f>'Grid_Stock'!U31</f>
        <v/>
      </c>
      <c r="AD36" s="17">
        <f>'Grid_Stock'!V31</f>
        <v/>
      </c>
      <c r="AE36" s="17">
        <f>'Grid_Stock'!W31</f>
        <v/>
      </c>
      <c r="AF36" s="17">
        <f>'Grid_Stock'!X31</f>
        <v/>
      </c>
      <c r="AG36" s="17">
        <f>'Grid_Stock'!Y31</f>
        <v/>
      </c>
      <c r="AH36" s="17">
        <f>'Grid_Stock'!Z31</f>
        <v/>
      </c>
      <c r="AI36" s="17">
        <f>'Grid_Stock'!AA31</f>
        <v/>
      </c>
      <c r="AJ36" s="17">
        <f>'Grid_Stock'!AB31</f>
        <v/>
      </c>
      <c r="AK36" s="17">
        <f>'Grid_Stock'!AC31</f>
        <v/>
      </c>
      <c r="AL36" s="17">
        <f>'Grid_Stock'!AD31</f>
        <v/>
      </c>
      <c r="AM36" s="17">
        <f>'Grid_Stock'!AE31</f>
        <v/>
      </c>
      <c r="AN36" s="17">
        <f>'Grid_Stock'!AF31</f>
        <v/>
      </c>
      <c r="AO36" s="17">
        <f>'Grid_Stock'!AG31</f>
        <v/>
      </c>
      <c r="AP36" s="17">
        <f>'Grid_Stock'!AH31</f>
        <v/>
      </c>
      <c r="AQ36" s="17">
        <f>'Grid_Stock'!AI31</f>
        <v/>
      </c>
      <c r="AR36" s="17">
        <f>'Grid_Stock'!AJ31</f>
        <v/>
      </c>
      <c r="AS36" s="17">
        <f>'Grid_Stock'!AK31</f>
        <v/>
      </c>
      <c r="AT36" s="17">
        <f>'Grid_Stock'!AL31</f>
        <v/>
      </c>
      <c r="AU36" s="17">
        <f>'Grid_Stock'!AM31</f>
        <v/>
      </c>
      <c r="AV36" s="17">
        <f>'Grid_Stock'!AN31</f>
        <v/>
      </c>
      <c r="AW36" s="17">
        <f>'Grid_Stock'!AO31</f>
        <v/>
      </c>
      <c r="AX36" s="17">
        <f>'Grid_Stock'!AP31</f>
        <v/>
      </c>
      <c r="AY36" s="17">
        <f>'Grid_Stock'!AQ31</f>
        <v/>
      </c>
      <c r="AZ36" s="17">
        <f>'Grid_Stock'!AR31</f>
        <v/>
      </c>
      <c r="BA36" s="17">
        <f>'Grid_Stock'!AS31</f>
        <v/>
      </c>
      <c r="BB36" s="17">
        <f>'Grid_Stock'!AT31</f>
        <v/>
      </c>
      <c r="BC36" s="17">
        <f>'Grid_Stock'!AU31</f>
        <v/>
      </c>
      <c r="BD36" s="17">
        <f>'Grid_Stock'!AV31</f>
        <v/>
      </c>
      <c r="BE36" s="17">
        <f>'Grid_Stock'!AW31</f>
        <v/>
      </c>
      <c r="BF36" s="17">
        <f>'Grid_Stock'!AX31</f>
        <v/>
      </c>
      <c r="BG36" s="17">
        <f>'Grid_Stock'!AY31</f>
        <v/>
      </c>
      <c r="BH36" s="17">
        <f>'Grid_Stock'!AZ31</f>
        <v/>
      </c>
      <c r="BI36" s="17">
        <f>'Grid_Stock'!BA31</f>
        <v/>
      </c>
      <c r="BJ36" s="17">
        <f>'Grid_Stock'!BB31</f>
        <v/>
      </c>
      <c r="BK36" s="17">
        <f>'Grid_Stock'!BC31</f>
        <v/>
      </c>
      <c r="BL36" s="17">
        <f>'Grid_Stock'!BD31</f>
        <v/>
      </c>
      <c r="BM36" s="17">
        <f>'Grid_Stock'!BE31</f>
        <v/>
      </c>
      <c r="BN36" s="17">
        <f>'Grid_Stock'!BF31</f>
        <v/>
      </c>
      <c r="BO36" s="17">
        <f>'Grid_Stock'!BG31</f>
        <v/>
      </c>
      <c r="BP36" s="17">
        <f>'Grid_Stock'!BH31</f>
        <v/>
      </c>
      <c r="BQ36" s="17">
        <f>'Grid_Stock'!BI31</f>
        <v/>
      </c>
      <c r="BR36" s="17">
        <f>'Grid_Stock'!BJ31</f>
        <v/>
      </c>
      <c r="BS36" s="17">
        <f>'Grid_Stock'!BK31</f>
        <v/>
      </c>
      <c r="BT36" s="17">
        <f>'Grid_Stock'!BL31</f>
        <v/>
      </c>
      <c r="BU36" s="17">
        <f>'Grid_Stock'!BM31</f>
        <v/>
      </c>
      <c r="BV36" s="17">
        <f>'Grid_Stock'!BN31</f>
        <v/>
      </c>
      <c r="BW36" s="17">
        <f>'Grid_Stock'!BO31</f>
        <v/>
      </c>
      <c r="BX36" s="17">
        <f>'Grid_Stock'!BP31</f>
        <v/>
      </c>
      <c r="BY36" s="17">
        <f>'Grid_Stock'!BQ31</f>
        <v/>
      </c>
      <c r="BZ36" s="17">
        <f>'Grid_Stock'!BR31</f>
        <v/>
      </c>
      <c r="CA36" s="17">
        <f>'Grid_Stock'!BS31</f>
        <v/>
      </c>
      <c r="CB36" s="17">
        <f>'Grid_Stock'!BT31</f>
        <v/>
      </c>
      <c r="CC36" s="17">
        <f>'Grid_Stock'!BU31</f>
        <v/>
      </c>
      <c r="CD36" s="17">
        <f>'Grid_Stock'!BV31</f>
        <v/>
      </c>
      <c r="CE36" s="17">
        <f>'Grid_Stock'!BW31</f>
        <v/>
      </c>
      <c r="CF36" s="17">
        <f>'Grid_Stock'!BX31</f>
        <v/>
      </c>
      <c r="CG36" s="17">
        <f>'Grid_Stock'!BY31</f>
        <v/>
      </c>
      <c r="CH36" s="17">
        <f>'Grid_Stock'!BZ31</f>
        <v/>
      </c>
      <c r="CI36" s="17">
        <f>'Grid_Stock'!CA31</f>
        <v/>
      </c>
      <c r="CJ36" s="17">
        <f>'Grid_Stock'!CB31</f>
        <v/>
      </c>
      <c r="CK36" s="17">
        <f>'Grid_Stock'!CC31</f>
        <v/>
      </c>
      <c r="CL36" s="17">
        <f>'Grid_Stock'!CD31</f>
        <v/>
      </c>
      <c r="CM36" s="17">
        <f>'Grid_Stock'!CE31</f>
        <v/>
      </c>
      <c r="CN36" s="17">
        <f>'Grid_Stock'!CF31</f>
        <v/>
      </c>
      <c r="CO36" s="17">
        <f>'Grid_Stock'!CG31</f>
        <v/>
      </c>
      <c r="CP36" s="17">
        <f>'Grid_Stock'!CH31</f>
        <v/>
      </c>
      <c r="CQ36" s="17">
        <f>'Grid_Stock'!CI31</f>
        <v/>
      </c>
      <c r="CR36" s="17">
        <f>'Grid_Stock'!CJ31</f>
        <v/>
      </c>
      <c r="CS36" s="17">
        <f>'Grid_Stock'!CK31</f>
        <v/>
      </c>
      <c r="CT36" s="17">
        <f>'Grid_Stock'!CL31</f>
        <v/>
      </c>
      <c r="CU36" s="17">
        <f>'Grid_Stock'!CM31</f>
        <v/>
      </c>
      <c r="CV36" s="17">
        <f>'Grid_Stock'!CN31</f>
        <v/>
      </c>
      <c r="CW36" s="17">
        <f>'Grid_Stock'!CO31</f>
        <v/>
      </c>
      <c r="CX36" s="17">
        <f>'Grid_Stock'!CP31</f>
        <v/>
      </c>
      <c r="CY36" s="17">
        <f>'Grid_Stock'!CQ31</f>
        <v/>
      </c>
      <c r="CZ36" s="17">
        <f>'Grid_Stock'!CR31</f>
        <v/>
      </c>
      <c r="DA36" s="17">
        <f>'Grid_Stock'!CS31</f>
        <v/>
      </c>
      <c r="DB36" s="17">
        <f>'Grid_Stock'!CT31</f>
        <v/>
      </c>
      <c r="DC36" s="17">
        <f>'Grid_Stock'!CU31</f>
        <v/>
      </c>
      <c r="DD36" s="17">
        <f>'Grid_Stock'!CV31</f>
        <v/>
      </c>
      <c r="DE36" s="17">
        <f>'Grid_Stock'!CW31</f>
        <v/>
      </c>
      <c r="DF36" s="17">
        <f>'Grid_Stock'!CX31</f>
        <v/>
      </c>
      <c r="DG36" s="17">
        <f>'Grid_Stock'!CY31</f>
        <v/>
      </c>
      <c r="DH36" s="17">
        <f>'Grid_Stock'!CZ31</f>
        <v/>
      </c>
      <c r="DI36" s="17">
        <f>'Grid_Stock'!DA31</f>
        <v/>
      </c>
    </row>
    <row r="37">
      <c r="A37" s="15" t="inlineStr">
        <is>
          <t>YAN</t>
        </is>
      </c>
      <c r="B37" s="15">
        <f>IFERROR(INDEX(M_RawMaterials[Description],MATCH($A37,M_RawMaterials[RM_Code],0)),"")</f>
        <v/>
      </c>
      <c r="C37" s="15">
        <f>IFERROR(INDEX(M_RawMaterials[Category],MATCH($A37,M_RawMaterials[RM_Code],0)),"")</f>
        <v/>
      </c>
      <c r="D37" s="15">
        <f>IFERROR(INDEX(M_RawMaterials[基準在庫下限_要入力],MATCH($A37,M_RawMaterials[RM_Code],0)),0)</f>
        <v/>
      </c>
      <c r="E37" s="15">
        <f>IFERROR(INDEX(M_RawMaterials[基準在庫上限_要入力],MATCH($A37,M_RawMaterials[RM_Code],0)),0)</f>
        <v/>
      </c>
      <c r="F37" s="15">
        <f>IFERROR(LOOKUP(2,1/(T_SelfStock!$A$2:$A$12000=$A37),T_SelfStock!$D$2:$D$12000),"")</f>
        <v/>
      </c>
      <c r="G37" s="15">
        <f>IFERROR(LOOKUP(2,1/(T_TTAFStock!$A$2:$A$12000=$A37),T_TTAFStock!$D$2:$D$12000),"")</f>
        <v/>
      </c>
      <c r="H37" s="15">
        <f>IFERROR(INDEX(Cal_Weeks[Label],LOOKUP(2,1/(T_SelfStock!$A$2:$A$12000=$A37),T_SelfStock!$C$2:$C$12000)),"")</f>
        <v/>
      </c>
      <c r="I37" s="16">
        <f>IFERROR(INDEX(J37:DI37,$F$1),"")</f>
        <v/>
      </c>
      <c r="J37" s="15">
        <f>'Grid_Stock'!B32</f>
        <v/>
      </c>
      <c r="K37" s="15">
        <f>'Grid_Stock'!C32</f>
        <v/>
      </c>
      <c r="L37" s="15">
        <f>'Grid_Stock'!D32</f>
        <v/>
      </c>
      <c r="M37" s="15">
        <f>'Grid_Stock'!E32</f>
        <v/>
      </c>
      <c r="N37" s="15">
        <f>'Grid_Stock'!F32</f>
        <v/>
      </c>
      <c r="O37" s="15">
        <f>'Grid_Stock'!G32</f>
        <v/>
      </c>
      <c r="P37" s="15">
        <f>'Grid_Stock'!H32</f>
        <v/>
      </c>
      <c r="Q37" s="15">
        <f>'Grid_Stock'!I32</f>
        <v/>
      </c>
      <c r="R37" s="15">
        <f>'Grid_Stock'!J32</f>
        <v/>
      </c>
      <c r="S37" s="15">
        <f>'Grid_Stock'!K32</f>
        <v/>
      </c>
      <c r="T37" s="15">
        <f>'Grid_Stock'!L32</f>
        <v/>
      </c>
      <c r="U37" s="15">
        <f>'Grid_Stock'!M32</f>
        <v/>
      </c>
      <c r="V37" s="15">
        <f>'Grid_Stock'!N32</f>
        <v/>
      </c>
      <c r="W37" s="15">
        <f>'Grid_Stock'!O32</f>
        <v/>
      </c>
      <c r="X37" s="15">
        <f>'Grid_Stock'!P32</f>
        <v/>
      </c>
      <c r="Y37" s="15">
        <f>'Grid_Stock'!Q32</f>
        <v/>
      </c>
      <c r="Z37" s="15">
        <f>'Grid_Stock'!R32</f>
        <v/>
      </c>
      <c r="AA37" s="15">
        <f>'Grid_Stock'!S32</f>
        <v/>
      </c>
      <c r="AB37" s="15">
        <f>'Grid_Stock'!T32</f>
        <v/>
      </c>
      <c r="AC37" s="15">
        <f>'Grid_Stock'!U32</f>
        <v/>
      </c>
      <c r="AD37" s="15">
        <f>'Grid_Stock'!V32</f>
        <v/>
      </c>
      <c r="AE37" s="15">
        <f>'Grid_Stock'!W32</f>
        <v/>
      </c>
      <c r="AF37" s="15">
        <f>'Grid_Stock'!X32</f>
        <v/>
      </c>
      <c r="AG37" s="15">
        <f>'Grid_Stock'!Y32</f>
        <v/>
      </c>
      <c r="AH37" s="15">
        <f>'Grid_Stock'!Z32</f>
        <v/>
      </c>
      <c r="AI37" s="15">
        <f>'Grid_Stock'!AA32</f>
        <v/>
      </c>
      <c r="AJ37" s="15">
        <f>'Grid_Stock'!AB32</f>
        <v/>
      </c>
      <c r="AK37" s="15">
        <f>'Grid_Stock'!AC32</f>
        <v/>
      </c>
      <c r="AL37" s="15">
        <f>'Grid_Stock'!AD32</f>
        <v/>
      </c>
      <c r="AM37" s="15">
        <f>'Grid_Stock'!AE32</f>
        <v/>
      </c>
      <c r="AN37" s="15">
        <f>'Grid_Stock'!AF32</f>
        <v/>
      </c>
      <c r="AO37" s="15">
        <f>'Grid_Stock'!AG32</f>
        <v/>
      </c>
      <c r="AP37" s="15">
        <f>'Grid_Stock'!AH32</f>
        <v/>
      </c>
      <c r="AQ37" s="15">
        <f>'Grid_Stock'!AI32</f>
        <v/>
      </c>
      <c r="AR37" s="15">
        <f>'Grid_Stock'!AJ32</f>
        <v/>
      </c>
      <c r="AS37" s="15">
        <f>'Grid_Stock'!AK32</f>
        <v/>
      </c>
      <c r="AT37" s="15">
        <f>'Grid_Stock'!AL32</f>
        <v/>
      </c>
      <c r="AU37" s="15">
        <f>'Grid_Stock'!AM32</f>
        <v/>
      </c>
      <c r="AV37" s="15">
        <f>'Grid_Stock'!AN32</f>
        <v/>
      </c>
      <c r="AW37" s="15">
        <f>'Grid_Stock'!AO32</f>
        <v/>
      </c>
      <c r="AX37" s="15">
        <f>'Grid_Stock'!AP32</f>
        <v/>
      </c>
      <c r="AY37" s="15">
        <f>'Grid_Stock'!AQ32</f>
        <v/>
      </c>
      <c r="AZ37" s="15">
        <f>'Grid_Stock'!AR32</f>
        <v/>
      </c>
      <c r="BA37" s="15">
        <f>'Grid_Stock'!AS32</f>
        <v/>
      </c>
      <c r="BB37" s="15">
        <f>'Grid_Stock'!AT32</f>
        <v/>
      </c>
      <c r="BC37" s="15">
        <f>'Grid_Stock'!AU32</f>
        <v/>
      </c>
      <c r="BD37" s="15">
        <f>'Grid_Stock'!AV32</f>
        <v/>
      </c>
      <c r="BE37" s="15">
        <f>'Grid_Stock'!AW32</f>
        <v/>
      </c>
      <c r="BF37" s="15">
        <f>'Grid_Stock'!AX32</f>
        <v/>
      </c>
      <c r="BG37" s="15">
        <f>'Grid_Stock'!AY32</f>
        <v/>
      </c>
      <c r="BH37" s="15">
        <f>'Grid_Stock'!AZ32</f>
        <v/>
      </c>
      <c r="BI37" s="15">
        <f>'Grid_Stock'!BA32</f>
        <v/>
      </c>
      <c r="BJ37" s="15">
        <f>'Grid_Stock'!BB32</f>
        <v/>
      </c>
      <c r="BK37" s="15">
        <f>'Grid_Stock'!BC32</f>
        <v/>
      </c>
      <c r="BL37" s="15">
        <f>'Grid_Stock'!BD32</f>
        <v/>
      </c>
      <c r="BM37" s="15">
        <f>'Grid_Stock'!BE32</f>
        <v/>
      </c>
      <c r="BN37" s="15">
        <f>'Grid_Stock'!BF32</f>
        <v/>
      </c>
      <c r="BO37" s="15">
        <f>'Grid_Stock'!BG32</f>
        <v/>
      </c>
      <c r="BP37" s="15">
        <f>'Grid_Stock'!BH32</f>
        <v/>
      </c>
      <c r="BQ37" s="15">
        <f>'Grid_Stock'!BI32</f>
        <v/>
      </c>
      <c r="BR37" s="15">
        <f>'Grid_Stock'!BJ32</f>
        <v/>
      </c>
      <c r="BS37" s="15">
        <f>'Grid_Stock'!BK32</f>
        <v/>
      </c>
      <c r="BT37" s="15">
        <f>'Grid_Stock'!BL32</f>
        <v/>
      </c>
      <c r="BU37" s="15">
        <f>'Grid_Stock'!BM32</f>
        <v/>
      </c>
      <c r="BV37" s="15">
        <f>'Grid_Stock'!BN32</f>
        <v/>
      </c>
      <c r="BW37" s="15">
        <f>'Grid_Stock'!BO32</f>
        <v/>
      </c>
      <c r="BX37" s="15">
        <f>'Grid_Stock'!BP32</f>
        <v/>
      </c>
      <c r="BY37" s="15">
        <f>'Grid_Stock'!BQ32</f>
        <v/>
      </c>
      <c r="BZ37" s="15">
        <f>'Grid_Stock'!BR32</f>
        <v/>
      </c>
      <c r="CA37" s="15">
        <f>'Grid_Stock'!BS32</f>
        <v/>
      </c>
      <c r="CB37" s="15">
        <f>'Grid_Stock'!BT32</f>
        <v/>
      </c>
      <c r="CC37" s="15">
        <f>'Grid_Stock'!BU32</f>
        <v/>
      </c>
      <c r="CD37" s="15">
        <f>'Grid_Stock'!BV32</f>
        <v/>
      </c>
      <c r="CE37" s="15">
        <f>'Grid_Stock'!BW32</f>
        <v/>
      </c>
      <c r="CF37" s="15">
        <f>'Grid_Stock'!BX32</f>
        <v/>
      </c>
      <c r="CG37" s="15">
        <f>'Grid_Stock'!BY32</f>
        <v/>
      </c>
      <c r="CH37" s="15">
        <f>'Grid_Stock'!BZ32</f>
        <v/>
      </c>
      <c r="CI37" s="15">
        <f>'Grid_Stock'!CA32</f>
        <v/>
      </c>
      <c r="CJ37" s="15">
        <f>'Grid_Stock'!CB32</f>
        <v/>
      </c>
      <c r="CK37" s="15">
        <f>'Grid_Stock'!CC32</f>
        <v/>
      </c>
      <c r="CL37" s="15">
        <f>'Grid_Stock'!CD32</f>
        <v/>
      </c>
      <c r="CM37" s="15">
        <f>'Grid_Stock'!CE32</f>
        <v/>
      </c>
      <c r="CN37" s="15">
        <f>'Grid_Stock'!CF32</f>
        <v/>
      </c>
      <c r="CO37" s="15">
        <f>'Grid_Stock'!CG32</f>
        <v/>
      </c>
      <c r="CP37" s="15">
        <f>'Grid_Stock'!CH32</f>
        <v/>
      </c>
      <c r="CQ37" s="15">
        <f>'Grid_Stock'!CI32</f>
        <v/>
      </c>
      <c r="CR37" s="15">
        <f>'Grid_Stock'!CJ32</f>
        <v/>
      </c>
      <c r="CS37" s="15">
        <f>'Grid_Stock'!CK32</f>
        <v/>
      </c>
      <c r="CT37" s="15">
        <f>'Grid_Stock'!CL32</f>
        <v/>
      </c>
      <c r="CU37" s="15">
        <f>'Grid_Stock'!CM32</f>
        <v/>
      </c>
      <c r="CV37" s="15">
        <f>'Grid_Stock'!CN32</f>
        <v/>
      </c>
      <c r="CW37" s="15">
        <f>'Grid_Stock'!CO32</f>
        <v/>
      </c>
      <c r="CX37" s="15">
        <f>'Grid_Stock'!CP32</f>
        <v/>
      </c>
      <c r="CY37" s="15">
        <f>'Grid_Stock'!CQ32</f>
        <v/>
      </c>
      <c r="CZ37" s="15">
        <f>'Grid_Stock'!CR32</f>
        <v/>
      </c>
      <c r="DA37" s="15">
        <f>'Grid_Stock'!CS32</f>
        <v/>
      </c>
      <c r="DB37" s="15">
        <f>'Grid_Stock'!CT32</f>
        <v/>
      </c>
      <c r="DC37" s="15">
        <f>'Grid_Stock'!CU32</f>
        <v/>
      </c>
      <c r="DD37" s="15">
        <f>'Grid_Stock'!CV32</f>
        <v/>
      </c>
      <c r="DE37" s="15">
        <f>'Grid_Stock'!CW32</f>
        <v/>
      </c>
      <c r="DF37" s="15">
        <f>'Grid_Stock'!CX32</f>
        <v/>
      </c>
      <c r="DG37" s="15">
        <f>'Grid_Stock'!CY32</f>
        <v/>
      </c>
      <c r="DH37" s="15">
        <f>'Grid_Stock'!CZ32</f>
        <v/>
      </c>
      <c r="DI37" s="15">
        <f>'Grid_Stock'!DA32</f>
        <v/>
      </c>
    </row>
    <row r="38">
      <c r="A38" s="17" t="inlineStr">
        <is>
          <t>KEJ</t>
        </is>
      </c>
      <c r="B38" s="17">
        <f>IFERROR(INDEX(M_RawMaterials[Description],MATCH($A38,M_RawMaterials[RM_Code],0)),"")</f>
        <v/>
      </c>
      <c r="C38" s="17">
        <f>IFERROR(INDEX(M_RawMaterials[Category],MATCH($A38,M_RawMaterials[RM_Code],0)),"")</f>
        <v/>
      </c>
      <c r="D38" s="17">
        <f>IFERROR(INDEX(M_RawMaterials[基準在庫下限_要入力],MATCH($A38,M_RawMaterials[RM_Code],0)),0)</f>
        <v/>
      </c>
      <c r="E38" s="17">
        <f>IFERROR(INDEX(M_RawMaterials[基準在庫上限_要入力],MATCH($A38,M_RawMaterials[RM_Code],0)),0)</f>
        <v/>
      </c>
      <c r="F38" s="17">
        <f>IFERROR(LOOKUP(2,1/(T_SelfStock!$A$2:$A$12000=$A38),T_SelfStock!$D$2:$D$12000),"")</f>
        <v/>
      </c>
      <c r="G38" s="17">
        <f>IFERROR(LOOKUP(2,1/(T_TTAFStock!$A$2:$A$12000=$A38),T_TTAFStock!$D$2:$D$12000),"")</f>
        <v/>
      </c>
      <c r="H38" s="17">
        <f>IFERROR(INDEX(Cal_Weeks[Label],LOOKUP(2,1/(T_SelfStock!$A$2:$A$12000=$A38),T_SelfStock!$C$2:$C$12000)),"")</f>
        <v/>
      </c>
      <c r="I38" s="16">
        <f>IFERROR(INDEX(J38:DI38,$F$1),"")</f>
        <v/>
      </c>
      <c r="J38" s="17">
        <f>'Grid_Stock'!B33</f>
        <v/>
      </c>
      <c r="K38" s="17">
        <f>'Grid_Stock'!C33</f>
        <v/>
      </c>
      <c r="L38" s="17">
        <f>'Grid_Stock'!D33</f>
        <v/>
      </c>
      <c r="M38" s="17">
        <f>'Grid_Stock'!E33</f>
        <v/>
      </c>
      <c r="N38" s="17">
        <f>'Grid_Stock'!F33</f>
        <v/>
      </c>
      <c r="O38" s="17">
        <f>'Grid_Stock'!G33</f>
        <v/>
      </c>
      <c r="P38" s="17">
        <f>'Grid_Stock'!H33</f>
        <v/>
      </c>
      <c r="Q38" s="17">
        <f>'Grid_Stock'!I33</f>
        <v/>
      </c>
      <c r="R38" s="17">
        <f>'Grid_Stock'!J33</f>
        <v/>
      </c>
      <c r="S38" s="17">
        <f>'Grid_Stock'!K33</f>
        <v/>
      </c>
      <c r="T38" s="17">
        <f>'Grid_Stock'!L33</f>
        <v/>
      </c>
      <c r="U38" s="17">
        <f>'Grid_Stock'!M33</f>
        <v/>
      </c>
      <c r="V38" s="17">
        <f>'Grid_Stock'!N33</f>
        <v/>
      </c>
      <c r="W38" s="17">
        <f>'Grid_Stock'!O33</f>
        <v/>
      </c>
      <c r="X38" s="17">
        <f>'Grid_Stock'!P33</f>
        <v/>
      </c>
      <c r="Y38" s="17">
        <f>'Grid_Stock'!Q33</f>
        <v/>
      </c>
      <c r="Z38" s="17">
        <f>'Grid_Stock'!R33</f>
        <v/>
      </c>
      <c r="AA38" s="17">
        <f>'Grid_Stock'!S33</f>
        <v/>
      </c>
      <c r="AB38" s="17">
        <f>'Grid_Stock'!T33</f>
        <v/>
      </c>
      <c r="AC38" s="17">
        <f>'Grid_Stock'!U33</f>
        <v/>
      </c>
      <c r="AD38" s="17">
        <f>'Grid_Stock'!V33</f>
        <v/>
      </c>
      <c r="AE38" s="17">
        <f>'Grid_Stock'!W33</f>
        <v/>
      </c>
      <c r="AF38" s="17">
        <f>'Grid_Stock'!X33</f>
        <v/>
      </c>
      <c r="AG38" s="17">
        <f>'Grid_Stock'!Y33</f>
        <v/>
      </c>
      <c r="AH38" s="17">
        <f>'Grid_Stock'!Z33</f>
        <v/>
      </c>
      <c r="AI38" s="17">
        <f>'Grid_Stock'!AA33</f>
        <v/>
      </c>
      <c r="AJ38" s="17">
        <f>'Grid_Stock'!AB33</f>
        <v/>
      </c>
      <c r="AK38" s="17">
        <f>'Grid_Stock'!AC33</f>
        <v/>
      </c>
      <c r="AL38" s="17">
        <f>'Grid_Stock'!AD33</f>
        <v/>
      </c>
      <c r="AM38" s="17">
        <f>'Grid_Stock'!AE33</f>
        <v/>
      </c>
      <c r="AN38" s="17">
        <f>'Grid_Stock'!AF33</f>
        <v/>
      </c>
      <c r="AO38" s="17">
        <f>'Grid_Stock'!AG33</f>
        <v/>
      </c>
      <c r="AP38" s="17">
        <f>'Grid_Stock'!AH33</f>
        <v/>
      </c>
      <c r="AQ38" s="17">
        <f>'Grid_Stock'!AI33</f>
        <v/>
      </c>
      <c r="AR38" s="17">
        <f>'Grid_Stock'!AJ33</f>
        <v/>
      </c>
      <c r="AS38" s="17">
        <f>'Grid_Stock'!AK33</f>
        <v/>
      </c>
      <c r="AT38" s="17">
        <f>'Grid_Stock'!AL33</f>
        <v/>
      </c>
      <c r="AU38" s="17">
        <f>'Grid_Stock'!AM33</f>
        <v/>
      </c>
      <c r="AV38" s="17">
        <f>'Grid_Stock'!AN33</f>
        <v/>
      </c>
      <c r="AW38" s="17">
        <f>'Grid_Stock'!AO33</f>
        <v/>
      </c>
      <c r="AX38" s="17">
        <f>'Grid_Stock'!AP33</f>
        <v/>
      </c>
      <c r="AY38" s="17">
        <f>'Grid_Stock'!AQ33</f>
        <v/>
      </c>
      <c r="AZ38" s="17">
        <f>'Grid_Stock'!AR33</f>
        <v/>
      </c>
      <c r="BA38" s="17">
        <f>'Grid_Stock'!AS33</f>
        <v/>
      </c>
      <c r="BB38" s="17">
        <f>'Grid_Stock'!AT33</f>
        <v/>
      </c>
      <c r="BC38" s="17">
        <f>'Grid_Stock'!AU33</f>
        <v/>
      </c>
      <c r="BD38" s="17">
        <f>'Grid_Stock'!AV33</f>
        <v/>
      </c>
      <c r="BE38" s="17">
        <f>'Grid_Stock'!AW33</f>
        <v/>
      </c>
      <c r="BF38" s="17">
        <f>'Grid_Stock'!AX33</f>
        <v/>
      </c>
      <c r="BG38" s="17">
        <f>'Grid_Stock'!AY33</f>
        <v/>
      </c>
      <c r="BH38" s="17">
        <f>'Grid_Stock'!AZ33</f>
        <v/>
      </c>
      <c r="BI38" s="17">
        <f>'Grid_Stock'!BA33</f>
        <v/>
      </c>
      <c r="BJ38" s="17">
        <f>'Grid_Stock'!BB33</f>
        <v/>
      </c>
      <c r="BK38" s="17">
        <f>'Grid_Stock'!BC33</f>
        <v/>
      </c>
      <c r="BL38" s="17">
        <f>'Grid_Stock'!BD33</f>
        <v/>
      </c>
      <c r="BM38" s="17">
        <f>'Grid_Stock'!BE33</f>
        <v/>
      </c>
      <c r="BN38" s="17">
        <f>'Grid_Stock'!BF33</f>
        <v/>
      </c>
      <c r="BO38" s="17">
        <f>'Grid_Stock'!BG33</f>
        <v/>
      </c>
      <c r="BP38" s="17">
        <f>'Grid_Stock'!BH33</f>
        <v/>
      </c>
      <c r="BQ38" s="17">
        <f>'Grid_Stock'!BI33</f>
        <v/>
      </c>
      <c r="BR38" s="17">
        <f>'Grid_Stock'!BJ33</f>
        <v/>
      </c>
      <c r="BS38" s="17">
        <f>'Grid_Stock'!BK33</f>
        <v/>
      </c>
      <c r="BT38" s="17">
        <f>'Grid_Stock'!BL33</f>
        <v/>
      </c>
      <c r="BU38" s="17">
        <f>'Grid_Stock'!BM33</f>
        <v/>
      </c>
      <c r="BV38" s="17">
        <f>'Grid_Stock'!BN33</f>
        <v/>
      </c>
      <c r="BW38" s="17">
        <f>'Grid_Stock'!BO33</f>
        <v/>
      </c>
      <c r="BX38" s="17">
        <f>'Grid_Stock'!BP33</f>
        <v/>
      </c>
      <c r="BY38" s="17">
        <f>'Grid_Stock'!BQ33</f>
        <v/>
      </c>
      <c r="BZ38" s="17">
        <f>'Grid_Stock'!BR33</f>
        <v/>
      </c>
      <c r="CA38" s="17">
        <f>'Grid_Stock'!BS33</f>
        <v/>
      </c>
      <c r="CB38" s="17">
        <f>'Grid_Stock'!BT33</f>
        <v/>
      </c>
      <c r="CC38" s="17">
        <f>'Grid_Stock'!BU33</f>
        <v/>
      </c>
      <c r="CD38" s="17">
        <f>'Grid_Stock'!BV33</f>
        <v/>
      </c>
      <c r="CE38" s="17">
        <f>'Grid_Stock'!BW33</f>
        <v/>
      </c>
      <c r="CF38" s="17">
        <f>'Grid_Stock'!BX33</f>
        <v/>
      </c>
      <c r="CG38" s="17">
        <f>'Grid_Stock'!BY33</f>
        <v/>
      </c>
      <c r="CH38" s="17">
        <f>'Grid_Stock'!BZ33</f>
        <v/>
      </c>
      <c r="CI38" s="17">
        <f>'Grid_Stock'!CA33</f>
        <v/>
      </c>
      <c r="CJ38" s="17">
        <f>'Grid_Stock'!CB33</f>
        <v/>
      </c>
      <c r="CK38" s="17">
        <f>'Grid_Stock'!CC33</f>
        <v/>
      </c>
      <c r="CL38" s="17">
        <f>'Grid_Stock'!CD33</f>
        <v/>
      </c>
      <c r="CM38" s="17">
        <f>'Grid_Stock'!CE33</f>
        <v/>
      </c>
      <c r="CN38" s="17">
        <f>'Grid_Stock'!CF33</f>
        <v/>
      </c>
      <c r="CO38" s="17">
        <f>'Grid_Stock'!CG33</f>
        <v/>
      </c>
      <c r="CP38" s="17">
        <f>'Grid_Stock'!CH33</f>
        <v/>
      </c>
      <c r="CQ38" s="17">
        <f>'Grid_Stock'!CI33</f>
        <v/>
      </c>
      <c r="CR38" s="17">
        <f>'Grid_Stock'!CJ33</f>
        <v/>
      </c>
      <c r="CS38" s="17">
        <f>'Grid_Stock'!CK33</f>
        <v/>
      </c>
      <c r="CT38" s="17">
        <f>'Grid_Stock'!CL33</f>
        <v/>
      </c>
      <c r="CU38" s="17">
        <f>'Grid_Stock'!CM33</f>
        <v/>
      </c>
      <c r="CV38" s="17">
        <f>'Grid_Stock'!CN33</f>
        <v/>
      </c>
      <c r="CW38" s="17">
        <f>'Grid_Stock'!CO33</f>
        <v/>
      </c>
      <c r="CX38" s="17">
        <f>'Grid_Stock'!CP33</f>
        <v/>
      </c>
      <c r="CY38" s="17">
        <f>'Grid_Stock'!CQ33</f>
        <v/>
      </c>
      <c r="CZ38" s="17">
        <f>'Grid_Stock'!CR33</f>
        <v/>
      </c>
      <c r="DA38" s="17">
        <f>'Grid_Stock'!CS33</f>
        <v/>
      </c>
      <c r="DB38" s="17">
        <f>'Grid_Stock'!CT33</f>
        <v/>
      </c>
      <c r="DC38" s="17">
        <f>'Grid_Stock'!CU33</f>
        <v/>
      </c>
      <c r="DD38" s="17">
        <f>'Grid_Stock'!CV33</f>
        <v/>
      </c>
      <c r="DE38" s="17">
        <f>'Grid_Stock'!CW33</f>
        <v/>
      </c>
      <c r="DF38" s="17">
        <f>'Grid_Stock'!CX33</f>
        <v/>
      </c>
      <c r="DG38" s="17">
        <f>'Grid_Stock'!CY33</f>
        <v/>
      </c>
      <c r="DH38" s="17">
        <f>'Grid_Stock'!CZ33</f>
        <v/>
      </c>
      <c r="DI38" s="17">
        <f>'Grid_Stock'!DA33</f>
        <v/>
      </c>
    </row>
    <row r="39">
      <c r="A39" s="15" t="inlineStr">
        <is>
          <t>JEJ</t>
        </is>
      </c>
      <c r="B39" s="15">
        <f>IFERROR(INDEX(M_RawMaterials[Description],MATCH($A39,M_RawMaterials[RM_Code],0)),"")</f>
        <v/>
      </c>
      <c r="C39" s="15">
        <f>IFERROR(INDEX(M_RawMaterials[Category],MATCH($A39,M_RawMaterials[RM_Code],0)),"")</f>
        <v/>
      </c>
      <c r="D39" s="15">
        <f>IFERROR(INDEX(M_RawMaterials[基準在庫下限_要入力],MATCH($A39,M_RawMaterials[RM_Code],0)),0)</f>
        <v/>
      </c>
      <c r="E39" s="15">
        <f>IFERROR(INDEX(M_RawMaterials[基準在庫上限_要入力],MATCH($A39,M_RawMaterials[RM_Code],0)),0)</f>
        <v/>
      </c>
      <c r="F39" s="15">
        <f>IFERROR(LOOKUP(2,1/(T_SelfStock!$A$2:$A$12000=$A39),T_SelfStock!$D$2:$D$12000),"")</f>
        <v/>
      </c>
      <c r="G39" s="15">
        <f>IFERROR(LOOKUP(2,1/(T_TTAFStock!$A$2:$A$12000=$A39),T_TTAFStock!$D$2:$D$12000),"")</f>
        <v/>
      </c>
      <c r="H39" s="15">
        <f>IFERROR(INDEX(Cal_Weeks[Label],LOOKUP(2,1/(T_SelfStock!$A$2:$A$12000=$A39),T_SelfStock!$C$2:$C$12000)),"")</f>
        <v/>
      </c>
      <c r="I39" s="16">
        <f>IFERROR(INDEX(J39:DI39,$F$1),"")</f>
        <v/>
      </c>
      <c r="J39" s="15">
        <f>'Grid_Stock'!B34</f>
        <v/>
      </c>
      <c r="K39" s="15">
        <f>'Grid_Stock'!C34</f>
        <v/>
      </c>
      <c r="L39" s="15">
        <f>'Grid_Stock'!D34</f>
        <v/>
      </c>
      <c r="M39" s="15">
        <f>'Grid_Stock'!E34</f>
        <v/>
      </c>
      <c r="N39" s="15">
        <f>'Grid_Stock'!F34</f>
        <v/>
      </c>
      <c r="O39" s="15">
        <f>'Grid_Stock'!G34</f>
        <v/>
      </c>
      <c r="P39" s="15">
        <f>'Grid_Stock'!H34</f>
        <v/>
      </c>
      <c r="Q39" s="15">
        <f>'Grid_Stock'!I34</f>
        <v/>
      </c>
      <c r="R39" s="15">
        <f>'Grid_Stock'!J34</f>
        <v/>
      </c>
      <c r="S39" s="15">
        <f>'Grid_Stock'!K34</f>
        <v/>
      </c>
      <c r="T39" s="15">
        <f>'Grid_Stock'!L34</f>
        <v/>
      </c>
      <c r="U39" s="15">
        <f>'Grid_Stock'!M34</f>
        <v/>
      </c>
      <c r="V39" s="15">
        <f>'Grid_Stock'!N34</f>
        <v/>
      </c>
      <c r="W39" s="15">
        <f>'Grid_Stock'!O34</f>
        <v/>
      </c>
      <c r="X39" s="15">
        <f>'Grid_Stock'!P34</f>
        <v/>
      </c>
      <c r="Y39" s="15">
        <f>'Grid_Stock'!Q34</f>
        <v/>
      </c>
      <c r="Z39" s="15">
        <f>'Grid_Stock'!R34</f>
        <v/>
      </c>
      <c r="AA39" s="15">
        <f>'Grid_Stock'!S34</f>
        <v/>
      </c>
      <c r="AB39" s="15">
        <f>'Grid_Stock'!T34</f>
        <v/>
      </c>
      <c r="AC39" s="15">
        <f>'Grid_Stock'!U34</f>
        <v/>
      </c>
      <c r="AD39" s="15">
        <f>'Grid_Stock'!V34</f>
        <v/>
      </c>
      <c r="AE39" s="15">
        <f>'Grid_Stock'!W34</f>
        <v/>
      </c>
      <c r="AF39" s="15">
        <f>'Grid_Stock'!X34</f>
        <v/>
      </c>
      <c r="AG39" s="15">
        <f>'Grid_Stock'!Y34</f>
        <v/>
      </c>
      <c r="AH39" s="15">
        <f>'Grid_Stock'!Z34</f>
        <v/>
      </c>
      <c r="AI39" s="15">
        <f>'Grid_Stock'!AA34</f>
        <v/>
      </c>
      <c r="AJ39" s="15">
        <f>'Grid_Stock'!AB34</f>
        <v/>
      </c>
      <c r="AK39" s="15">
        <f>'Grid_Stock'!AC34</f>
        <v/>
      </c>
      <c r="AL39" s="15">
        <f>'Grid_Stock'!AD34</f>
        <v/>
      </c>
      <c r="AM39" s="15">
        <f>'Grid_Stock'!AE34</f>
        <v/>
      </c>
      <c r="AN39" s="15">
        <f>'Grid_Stock'!AF34</f>
        <v/>
      </c>
      <c r="AO39" s="15">
        <f>'Grid_Stock'!AG34</f>
        <v/>
      </c>
      <c r="AP39" s="15">
        <f>'Grid_Stock'!AH34</f>
        <v/>
      </c>
      <c r="AQ39" s="15">
        <f>'Grid_Stock'!AI34</f>
        <v/>
      </c>
      <c r="AR39" s="15">
        <f>'Grid_Stock'!AJ34</f>
        <v/>
      </c>
      <c r="AS39" s="15">
        <f>'Grid_Stock'!AK34</f>
        <v/>
      </c>
      <c r="AT39" s="15">
        <f>'Grid_Stock'!AL34</f>
        <v/>
      </c>
      <c r="AU39" s="15">
        <f>'Grid_Stock'!AM34</f>
        <v/>
      </c>
      <c r="AV39" s="15">
        <f>'Grid_Stock'!AN34</f>
        <v/>
      </c>
      <c r="AW39" s="15">
        <f>'Grid_Stock'!AO34</f>
        <v/>
      </c>
      <c r="AX39" s="15">
        <f>'Grid_Stock'!AP34</f>
        <v/>
      </c>
      <c r="AY39" s="15">
        <f>'Grid_Stock'!AQ34</f>
        <v/>
      </c>
      <c r="AZ39" s="15">
        <f>'Grid_Stock'!AR34</f>
        <v/>
      </c>
      <c r="BA39" s="15">
        <f>'Grid_Stock'!AS34</f>
        <v/>
      </c>
      <c r="BB39" s="15">
        <f>'Grid_Stock'!AT34</f>
        <v/>
      </c>
      <c r="BC39" s="15">
        <f>'Grid_Stock'!AU34</f>
        <v/>
      </c>
      <c r="BD39" s="15">
        <f>'Grid_Stock'!AV34</f>
        <v/>
      </c>
      <c r="BE39" s="15">
        <f>'Grid_Stock'!AW34</f>
        <v/>
      </c>
      <c r="BF39" s="15">
        <f>'Grid_Stock'!AX34</f>
        <v/>
      </c>
      <c r="BG39" s="15">
        <f>'Grid_Stock'!AY34</f>
        <v/>
      </c>
      <c r="BH39" s="15">
        <f>'Grid_Stock'!AZ34</f>
        <v/>
      </c>
      <c r="BI39" s="15">
        <f>'Grid_Stock'!BA34</f>
        <v/>
      </c>
      <c r="BJ39" s="15">
        <f>'Grid_Stock'!BB34</f>
        <v/>
      </c>
      <c r="BK39" s="15">
        <f>'Grid_Stock'!BC34</f>
        <v/>
      </c>
      <c r="BL39" s="15">
        <f>'Grid_Stock'!BD34</f>
        <v/>
      </c>
      <c r="BM39" s="15">
        <f>'Grid_Stock'!BE34</f>
        <v/>
      </c>
      <c r="BN39" s="15">
        <f>'Grid_Stock'!BF34</f>
        <v/>
      </c>
      <c r="BO39" s="15">
        <f>'Grid_Stock'!BG34</f>
        <v/>
      </c>
      <c r="BP39" s="15">
        <f>'Grid_Stock'!BH34</f>
        <v/>
      </c>
      <c r="BQ39" s="15">
        <f>'Grid_Stock'!BI34</f>
        <v/>
      </c>
      <c r="BR39" s="15">
        <f>'Grid_Stock'!BJ34</f>
        <v/>
      </c>
      <c r="BS39" s="15">
        <f>'Grid_Stock'!BK34</f>
        <v/>
      </c>
      <c r="BT39" s="15">
        <f>'Grid_Stock'!BL34</f>
        <v/>
      </c>
      <c r="BU39" s="15">
        <f>'Grid_Stock'!BM34</f>
        <v/>
      </c>
      <c r="BV39" s="15">
        <f>'Grid_Stock'!BN34</f>
        <v/>
      </c>
      <c r="BW39" s="15">
        <f>'Grid_Stock'!BO34</f>
        <v/>
      </c>
      <c r="BX39" s="15">
        <f>'Grid_Stock'!BP34</f>
        <v/>
      </c>
      <c r="BY39" s="15">
        <f>'Grid_Stock'!BQ34</f>
        <v/>
      </c>
      <c r="BZ39" s="15">
        <f>'Grid_Stock'!BR34</f>
        <v/>
      </c>
      <c r="CA39" s="15">
        <f>'Grid_Stock'!BS34</f>
        <v/>
      </c>
      <c r="CB39" s="15">
        <f>'Grid_Stock'!BT34</f>
        <v/>
      </c>
      <c r="CC39" s="15">
        <f>'Grid_Stock'!BU34</f>
        <v/>
      </c>
      <c r="CD39" s="15">
        <f>'Grid_Stock'!BV34</f>
        <v/>
      </c>
      <c r="CE39" s="15">
        <f>'Grid_Stock'!BW34</f>
        <v/>
      </c>
      <c r="CF39" s="15">
        <f>'Grid_Stock'!BX34</f>
        <v/>
      </c>
      <c r="CG39" s="15">
        <f>'Grid_Stock'!BY34</f>
        <v/>
      </c>
      <c r="CH39" s="15">
        <f>'Grid_Stock'!BZ34</f>
        <v/>
      </c>
      <c r="CI39" s="15">
        <f>'Grid_Stock'!CA34</f>
        <v/>
      </c>
      <c r="CJ39" s="15">
        <f>'Grid_Stock'!CB34</f>
        <v/>
      </c>
      <c r="CK39" s="15">
        <f>'Grid_Stock'!CC34</f>
        <v/>
      </c>
      <c r="CL39" s="15">
        <f>'Grid_Stock'!CD34</f>
        <v/>
      </c>
      <c r="CM39" s="15">
        <f>'Grid_Stock'!CE34</f>
        <v/>
      </c>
      <c r="CN39" s="15">
        <f>'Grid_Stock'!CF34</f>
        <v/>
      </c>
      <c r="CO39" s="15">
        <f>'Grid_Stock'!CG34</f>
        <v/>
      </c>
      <c r="CP39" s="15">
        <f>'Grid_Stock'!CH34</f>
        <v/>
      </c>
      <c r="CQ39" s="15">
        <f>'Grid_Stock'!CI34</f>
        <v/>
      </c>
      <c r="CR39" s="15">
        <f>'Grid_Stock'!CJ34</f>
        <v/>
      </c>
      <c r="CS39" s="15">
        <f>'Grid_Stock'!CK34</f>
        <v/>
      </c>
      <c r="CT39" s="15">
        <f>'Grid_Stock'!CL34</f>
        <v/>
      </c>
      <c r="CU39" s="15">
        <f>'Grid_Stock'!CM34</f>
        <v/>
      </c>
      <c r="CV39" s="15">
        <f>'Grid_Stock'!CN34</f>
        <v/>
      </c>
      <c r="CW39" s="15">
        <f>'Grid_Stock'!CO34</f>
        <v/>
      </c>
      <c r="CX39" s="15">
        <f>'Grid_Stock'!CP34</f>
        <v/>
      </c>
      <c r="CY39" s="15">
        <f>'Grid_Stock'!CQ34</f>
        <v/>
      </c>
      <c r="CZ39" s="15">
        <f>'Grid_Stock'!CR34</f>
        <v/>
      </c>
      <c r="DA39" s="15">
        <f>'Grid_Stock'!CS34</f>
        <v/>
      </c>
      <c r="DB39" s="15">
        <f>'Grid_Stock'!CT34</f>
        <v/>
      </c>
      <c r="DC39" s="15">
        <f>'Grid_Stock'!CU34</f>
        <v/>
      </c>
      <c r="DD39" s="15">
        <f>'Grid_Stock'!CV34</f>
        <v/>
      </c>
      <c r="DE39" s="15">
        <f>'Grid_Stock'!CW34</f>
        <v/>
      </c>
      <c r="DF39" s="15">
        <f>'Grid_Stock'!CX34</f>
        <v/>
      </c>
      <c r="DG39" s="15">
        <f>'Grid_Stock'!CY34</f>
        <v/>
      </c>
      <c r="DH39" s="15">
        <f>'Grid_Stock'!CZ34</f>
        <v/>
      </c>
      <c r="DI39" s="15">
        <f>'Grid_Stock'!DA34</f>
        <v/>
      </c>
    </row>
    <row r="40">
      <c r="A40" s="17" t="inlineStr">
        <is>
          <t>CHEM-1830</t>
        </is>
      </c>
      <c r="B40" s="17">
        <f>IFERROR(INDEX(M_RawMaterials[Description],MATCH($A40,M_RawMaterials[RM_Code],0)),"")</f>
        <v/>
      </c>
      <c r="C40" s="17">
        <f>IFERROR(INDEX(M_RawMaterials[Category],MATCH($A40,M_RawMaterials[RM_Code],0)),"")</f>
        <v/>
      </c>
      <c r="D40" s="17">
        <f>IFERROR(INDEX(M_RawMaterials[基準在庫下限_要入力],MATCH($A40,M_RawMaterials[RM_Code],0)),0)</f>
        <v/>
      </c>
      <c r="E40" s="17">
        <f>IFERROR(INDEX(M_RawMaterials[基準在庫上限_要入力],MATCH($A40,M_RawMaterials[RM_Code],0)),0)</f>
        <v/>
      </c>
      <c r="F40" s="17">
        <f>IFERROR(LOOKUP(2,1/(T_SelfStock!$A$2:$A$12000=$A40),T_SelfStock!$D$2:$D$12000),"")</f>
        <v/>
      </c>
      <c r="G40" s="17">
        <f>IFERROR(LOOKUP(2,1/(T_TTAFStock!$A$2:$A$12000=$A40),T_TTAFStock!$D$2:$D$12000),"")</f>
        <v/>
      </c>
      <c r="H40" s="17">
        <f>IFERROR(INDEX(Cal_Weeks[Label],LOOKUP(2,1/(T_SelfStock!$A$2:$A$12000=$A40),T_SelfStock!$C$2:$C$12000)),"")</f>
        <v/>
      </c>
      <c r="I40" s="16">
        <f>IFERROR(INDEX(J40:DI40,$F$1),"")</f>
        <v/>
      </c>
      <c r="J40" s="17">
        <f>'Grid_Stock'!B35</f>
        <v/>
      </c>
      <c r="K40" s="17">
        <f>'Grid_Stock'!C35</f>
        <v/>
      </c>
      <c r="L40" s="17">
        <f>'Grid_Stock'!D35</f>
        <v/>
      </c>
      <c r="M40" s="17">
        <f>'Grid_Stock'!E35</f>
        <v/>
      </c>
      <c r="N40" s="17">
        <f>'Grid_Stock'!F35</f>
        <v/>
      </c>
      <c r="O40" s="17">
        <f>'Grid_Stock'!G35</f>
        <v/>
      </c>
      <c r="P40" s="17">
        <f>'Grid_Stock'!H35</f>
        <v/>
      </c>
      <c r="Q40" s="17">
        <f>'Grid_Stock'!I35</f>
        <v/>
      </c>
      <c r="R40" s="17">
        <f>'Grid_Stock'!J35</f>
        <v/>
      </c>
      <c r="S40" s="17">
        <f>'Grid_Stock'!K35</f>
        <v/>
      </c>
      <c r="T40" s="17">
        <f>'Grid_Stock'!L35</f>
        <v/>
      </c>
      <c r="U40" s="17">
        <f>'Grid_Stock'!M35</f>
        <v/>
      </c>
      <c r="V40" s="17">
        <f>'Grid_Stock'!N35</f>
        <v/>
      </c>
      <c r="W40" s="17">
        <f>'Grid_Stock'!O35</f>
        <v/>
      </c>
      <c r="X40" s="17">
        <f>'Grid_Stock'!P35</f>
        <v/>
      </c>
      <c r="Y40" s="17">
        <f>'Grid_Stock'!Q35</f>
        <v/>
      </c>
      <c r="Z40" s="17">
        <f>'Grid_Stock'!R35</f>
        <v/>
      </c>
      <c r="AA40" s="17">
        <f>'Grid_Stock'!S35</f>
        <v/>
      </c>
      <c r="AB40" s="17">
        <f>'Grid_Stock'!T35</f>
        <v/>
      </c>
      <c r="AC40" s="17">
        <f>'Grid_Stock'!U35</f>
        <v/>
      </c>
      <c r="AD40" s="17">
        <f>'Grid_Stock'!V35</f>
        <v/>
      </c>
      <c r="AE40" s="17">
        <f>'Grid_Stock'!W35</f>
        <v/>
      </c>
      <c r="AF40" s="17">
        <f>'Grid_Stock'!X35</f>
        <v/>
      </c>
      <c r="AG40" s="17">
        <f>'Grid_Stock'!Y35</f>
        <v/>
      </c>
      <c r="AH40" s="17">
        <f>'Grid_Stock'!Z35</f>
        <v/>
      </c>
      <c r="AI40" s="17">
        <f>'Grid_Stock'!AA35</f>
        <v/>
      </c>
      <c r="AJ40" s="17">
        <f>'Grid_Stock'!AB35</f>
        <v/>
      </c>
      <c r="AK40" s="17">
        <f>'Grid_Stock'!AC35</f>
        <v/>
      </c>
      <c r="AL40" s="17">
        <f>'Grid_Stock'!AD35</f>
        <v/>
      </c>
      <c r="AM40" s="17">
        <f>'Grid_Stock'!AE35</f>
        <v/>
      </c>
      <c r="AN40" s="17">
        <f>'Grid_Stock'!AF35</f>
        <v/>
      </c>
      <c r="AO40" s="17">
        <f>'Grid_Stock'!AG35</f>
        <v/>
      </c>
      <c r="AP40" s="17">
        <f>'Grid_Stock'!AH35</f>
        <v/>
      </c>
      <c r="AQ40" s="17">
        <f>'Grid_Stock'!AI35</f>
        <v/>
      </c>
      <c r="AR40" s="17">
        <f>'Grid_Stock'!AJ35</f>
        <v/>
      </c>
      <c r="AS40" s="17">
        <f>'Grid_Stock'!AK35</f>
        <v/>
      </c>
      <c r="AT40" s="17">
        <f>'Grid_Stock'!AL35</f>
        <v/>
      </c>
      <c r="AU40" s="17">
        <f>'Grid_Stock'!AM35</f>
        <v/>
      </c>
      <c r="AV40" s="17">
        <f>'Grid_Stock'!AN35</f>
        <v/>
      </c>
      <c r="AW40" s="17">
        <f>'Grid_Stock'!AO35</f>
        <v/>
      </c>
      <c r="AX40" s="17">
        <f>'Grid_Stock'!AP35</f>
        <v/>
      </c>
      <c r="AY40" s="17">
        <f>'Grid_Stock'!AQ35</f>
        <v/>
      </c>
      <c r="AZ40" s="17">
        <f>'Grid_Stock'!AR35</f>
        <v/>
      </c>
      <c r="BA40" s="17">
        <f>'Grid_Stock'!AS35</f>
        <v/>
      </c>
      <c r="BB40" s="17">
        <f>'Grid_Stock'!AT35</f>
        <v/>
      </c>
      <c r="BC40" s="17">
        <f>'Grid_Stock'!AU35</f>
        <v/>
      </c>
      <c r="BD40" s="17">
        <f>'Grid_Stock'!AV35</f>
        <v/>
      </c>
      <c r="BE40" s="17">
        <f>'Grid_Stock'!AW35</f>
        <v/>
      </c>
      <c r="BF40" s="17">
        <f>'Grid_Stock'!AX35</f>
        <v/>
      </c>
      <c r="BG40" s="17">
        <f>'Grid_Stock'!AY35</f>
        <v/>
      </c>
      <c r="BH40" s="17">
        <f>'Grid_Stock'!AZ35</f>
        <v/>
      </c>
      <c r="BI40" s="17">
        <f>'Grid_Stock'!BA35</f>
        <v/>
      </c>
      <c r="BJ40" s="17">
        <f>'Grid_Stock'!BB35</f>
        <v/>
      </c>
      <c r="BK40" s="17">
        <f>'Grid_Stock'!BC35</f>
        <v/>
      </c>
      <c r="BL40" s="17">
        <f>'Grid_Stock'!BD35</f>
        <v/>
      </c>
      <c r="BM40" s="17">
        <f>'Grid_Stock'!BE35</f>
        <v/>
      </c>
      <c r="BN40" s="17">
        <f>'Grid_Stock'!BF35</f>
        <v/>
      </c>
      <c r="BO40" s="17">
        <f>'Grid_Stock'!BG35</f>
        <v/>
      </c>
      <c r="BP40" s="17">
        <f>'Grid_Stock'!BH35</f>
        <v/>
      </c>
      <c r="BQ40" s="17">
        <f>'Grid_Stock'!BI35</f>
        <v/>
      </c>
      <c r="BR40" s="17">
        <f>'Grid_Stock'!BJ35</f>
        <v/>
      </c>
      <c r="BS40" s="17">
        <f>'Grid_Stock'!BK35</f>
        <v/>
      </c>
      <c r="BT40" s="17">
        <f>'Grid_Stock'!BL35</f>
        <v/>
      </c>
      <c r="BU40" s="17">
        <f>'Grid_Stock'!BM35</f>
        <v/>
      </c>
      <c r="BV40" s="17">
        <f>'Grid_Stock'!BN35</f>
        <v/>
      </c>
      <c r="BW40" s="17">
        <f>'Grid_Stock'!BO35</f>
        <v/>
      </c>
      <c r="BX40" s="17">
        <f>'Grid_Stock'!BP35</f>
        <v/>
      </c>
      <c r="BY40" s="17">
        <f>'Grid_Stock'!BQ35</f>
        <v/>
      </c>
      <c r="BZ40" s="17">
        <f>'Grid_Stock'!BR35</f>
        <v/>
      </c>
      <c r="CA40" s="17">
        <f>'Grid_Stock'!BS35</f>
        <v/>
      </c>
      <c r="CB40" s="17">
        <f>'Grid_Stock'!BT35</f>
        <v/>
      </c>
      <c r="CC40" s="17">
        <f>'Grid_Stock'!BU35</f>
        <v/>
      </c>
      <c r="CD40" s="17">
        <f>'Grid_Stock'!BV35</f>
        <v/>
      </c>
      <c r="CE40" s="17">
        <f>'Grid_Stock'!BW35</f>
        <v/>
      </c>
      <c r="CF40" s="17">
        <f>'Grid_Stock'!BX35</f>
        <v/>
      </c>
      <c r="CG40" s="17">
        <f>'Grid_Stock'!BY35</f>
        <v/>
      </c>
      <c r="CH40" s="17">
        <f>'Grid_Stock'!BZ35</f>
        <v/>
      </c>
      <c r="CI40" s="17">
        <f>'Grid_Stock'!CA35</f>
        <v/>
      </c>
      <c r="CJ40" s="17">
        <f>'Grid_Stock'!CB35</f>
        <v/>
      </c>
      <c r="CK40" s="17">
        <f>'Grid_Stock'!CC35</f>
        <v/>
      </c>
      <c r="CL40" s="17">
        <f>'Grid_Stock'!CD35</f>
        <v/>
      </c>
      <c r="CM40" s="17">
        <f>'Grid_Stock'!CE35</f>
        <v/>
      </c>
      <c r="CN40" s="17">
        <f>'Grid_Stock'!CF35</f>
        <v/>
      </c>
      <c r="CO40" s="17">
        <f>'Grid_Stock'!CG35</f>
        <v/>
      </c>
      <c r="CP40" s="17">
        <f>'Grid_Stock'!CH35</f>
        <v/>
      </c>
      <c r="CQ40" s="17">
        <f>'Grid_Stock'!CI35</f>
        <v/>
      </c>
      <c r="CR40" s="17">
        <f>'Grid_Stock'!CJ35</f>
        <v/>
      </c>
      <c r="CS40" s="17">
        <f>'Grid_Stock'!CK35</f>
        <v/>
      </c>
      <c r="CT40" s="17">
        <f>'Grid_Stock'!CL35</f>
        <v/>
      </c>
      <c r="CU40" s="17">
        <f>'Grid_Stock'!CM35</f>
        <v/>
      </c>
      <c r="CV40" s="17">
        <f>'Grid_Stock'!CN35</f>
        <v/>
      </c>
      <c r="CW40" s="17">
        <f>'Grid_Stock'!CO35</f>
        <v/>
      </c>
      <c r="CX40" s="17">
        <f>'Grid_Stock'!CP35</f>
        <v/>
      </c>
      <c r="CY40" s="17">
        <f>'Grid_Stock'!CQ35</f>
        <v/>
      </c>
      <c r="CZ40" s="17">
        <f>'Grid_Stock'!CR35</f>
        <v/>
      </c>
      <c r="DA40" s="17">
        <f>'Grid_Stock'!CS35</f>
        <v/>
      </c>
      <c r="DB40" s="17">
        <f>'Grid_Stock'!CT35</f>
        <v/>
      </c>
      <c r="DC40" s="17">
        <f>'Grid_Stock'!CU35</f>
        <v/>
      </c>
      <c r="DD40" s="17">
        <f>'Grid_Stock'!CV35</f>
        <v/>
      </c>
      <c r="DE40" s="17">
        <f>'Grid_Stock'!CW35</f>
        <v/>
      </c>
      <c r="DF40" s="17">
        <f>'Grid_Stock'!CX35</f>
        <v/>
      </c>
      <c r="DG40" s="17">
        <f>'Grid_Stock'!CY35</f>
        <v/>
      </c>
      <c r="DH40" s="17">
        <f>'Grid_Stock'!CZ35</f>
        <v/>
      </c>
      <c r="DI40" s="17">
        <f>'Grid_Stock'!DA35</f>
        <v/>
      </c>
    </row>
    <row r="41">
      <c r="A41" s="15" t="inlineStr">
        <is>
          <t>CHEM-1100</t>
        </is>
      </c>
      <c r="B41" s="15">
        <f>IFERROR(INDEX(M_RawMaterials[Description],MATCH($A41,M_RawMaterials[RM_Code],0)),"")</f>
        <v/>
      </c>
      <c r="C41" s="15">
        <f>IFERROR(INDEX(M_RawMaterials[Category],MATCH($A41,M_RawMaterials[RM_Code],0)),"")</f>
        <v/>
      </c>
      <c r="D41" s="15">
        <f>IFERROR(INDEX(M_RawMaterials[基準在庫下限_要入力],MATCH($A41,M_RawMaterials[RM_Code],0)),0)</f>
        <v/>
      </c>
      <c r="E41" s="15">
        <f>IFERROR(INDEX(M_RawMaterials[基準在庫上限_要入力],MATCH($A41,M_RawMaterials[RM_Code],0)),0)</f>
        <v/>
      </c>
      <c r="F41" s="15">
        <f>IFERROR(LOOKUP(2,1/(T_SelfStock!$A$2:$A$12000=$A41),T_SelfStock!$D$2:$D$12000),"")</f>
        <v/>
      </c>
      <c r="G41" s="15">
        <f>IFERROR(LOOKUP(2,1/(T_TTAFStock!$A$2:$A$12000=$A41),T_TTAFStock!$D$2:$D$12000),"")</f>
        <v/>
      </c>
      <c r="H41" s="15">
        <f>IFERROR(INDEX(Cal_Weeks[Label],LOOKUP(2,1/(T_SelfStock!$A$2:$A$12000=$A41),T_SelfStock!$C$2:$C$12000)),"")</f>
        <v/>
      </c>
      <c r="I41" s="16">
        <f>IFERROR(INDEX(J41:DI41,$F$1),"")</f>
        <v/>
      </c>
      <c r="J41" s="15">
        <f>'Grid_Stock'!B36</f>
        <v/>
      </c>
      <c r="K41" s="15">
        <f>'Grid_Stock'!C36</f>
        <v/>
      </c>
      <c r="L41" s="15">
        <f>'Grid_Stock'!D36</f>
        <v/>
      </c>
      <c r="M41" s="15">
        <f>'Grid_Stock'!E36</f>
        <v/>
      </c>
      <c r="N41" s="15">
        <f>'Grid_Stock'!F36</f>
        <v/>
      </c>
      <c r="O41" s="15">
        <f>'Grid_Stock'!G36</f>
        <v/>
      </c>
      <c r="P41" s="15">
        <f>'Grid_Stock'!H36</f>
        <v/>
      </c>
      <c r="Q41" s="15">
        <f>'Grid_Stock'!I36</f>
        <v/>
      </c>
      <c r="R41" s="15">
        <f>'Grid_Stock'!J36</f>
        <v/>
      </c>
      <c r="S41" s="15">
        <f>'Grid_Stock'!K36</f>
        <v/>
      </c>
      <c r="T41" s="15">
        <f>'Grid_Stock'!L36</f>
        <v/>
      </c>
      <c r="U41" s="15">
        <f>'Grid_Stock'!M36</f>
        <v/>
      </c>
      <c r="V41" s="15">
        <f>'Grid_Stock'!N36</f>
        <v/>
      </c>
      <c r="W41" s="15">
        <f>'Grid_Stock'!O36</f>
        <v/>
      </c>
      <c r="X41" s="15">
        <f>'Grid_Stock'!P36</f>
        <v/>
      </c>
      <c r="Y41" s="15">
        <f>'Grid_Stock'!Q36</f>
        <v/>
      </c>
      <c r="Z41" s="15">
        <f>'Grid_Stock'!R36</f>
        <v/>
      </c>
      <c r="AA41" s="15">
        <f>'Grid_Stock'!S36</f>
        <v/>
      </c>
      <c r="AB41" s="15">
        <f>'Grid_Stock'!T36</f>
        <v/>
      </c>
      <c r="AC41" s="15">
        <f>'Grid_Stock'!U36</f>
        <v/>
      </c>
      <c r="AD41" s="15">
        <f>'Grid_Stock'!V36</f>
        <v/>
      </c>
      <c r="AE41" s="15">
        <f>'Grid_Stock'!W36</f>
        <v/>
      </c>
      <c r="AF41" s="15">
        <f>'Grid_Stock'!X36</f>
        <v/>
      </c>
      <c r="AG41" s="15">
        <f>'Grid_Stock'!Y36</f>
        <v/>
      </c>
      <c r="AH41" s="15">
        <f>'Grid_Stock'!Z36</f>
        <v/>
      </c>
      <c r="AI41" s="15">
        <f>'Grid_Stock'!AA36</f>
        <v/>
      </c>
      <c r="AJ41" s="15">
        <f>'Grid_Stock'!AB36</f>
        <v/>
      </c>
      <c r="AK41" s="15">
        <f>'Grid_Stock'!AC36</f>
        <v/>
      </c>
      <c r="AL41" s="15">
        <f>'Grid_Stock'!AD36</f>
        <v/>
      </c>
      <c r="AM41" s="15">
        <f>'Grid_Stock'!AE36</f>
        <v/>
      </c>
      <c r="AN41" s="15">
        <f>'Grid_Stock'!AF36</f>
        <v/>
      </c>
      <c r="AO41" s="15">
        <f>'Grid_Stock'!AG36</f>
        <v/>
      </c>
      <c r="AP41" s="15">
        <f>'Grid_Stock'!AH36</f>
        <v/>
      </c>
      <c r="AQ41" s="15">
        <f>'Grid_Stock'!AI36</f>
        <v/>
      </c>
      <c r="AR41" s="15">
        <f>'Grid_Stock'!AJ36</f>
        <v/>
      </c>
      <c r="AS41" s="15">
        <f>'Grid_Stock'!AK36</f>
        <v/>
      </c>
      <c r="AT41" s="15">
        <f>'Grid_Stock'!AL36</f>
        <v/>
      </c>
      <c r="AU41" s="15">
        <f>'Grid_Stock'!AM36</f>
        <v/>
      </c>
      <c r="AV41" s="15">
        <f>'Grid_Stock'!AN36</f>
        <v/>
      </c>
      <c r="AW41" s="15">
        <f>'Grid_Stock'!AO36</f>
        <v/>
      </c>
      <c r="AX41" s="15">
        <f>'Grid_Stock'!AP36</f>
        <v/>
      </c>
      <c r="AY41" s="15">
        <f>'Grid_Stock'!AQ36</f>
        <v/>
      </c>
      <c r="AZ41" s="15">
        <f>'Grid_Stock'!AR36</f>
        <v/>
      </c>
      <c r="BA41" s="15">
        <f>'Grid_Stock'!AS36</f>
        <v/>
      </c>
      <c r="BB41" s="15">
        <f>'Grid_Stock'!AT36</f>
        <v/>
      </c>
      <c r="BC41" s="15">
        <f>'Grid_Stock'!AU36</f>
        <v/>
      </c>
      <c r="BD41" s="15">
        <f>'Grid_Stock'!AV36</f>
        <v/>
      </c>
      <c r="BE41" s="15">
        <f>'Grid_Stock'!AW36</f>
        <v/>
      </c>
      <c r="BF41" s="15">
        <f>'Grid_Stock'!AX36</f>
        <v/>
      </c>
      <c r="BG41" s="15">
        <f>'Grid_Stock'!AY36</f>
        <v/>
      </c>
      <c r="BH41" s="15">
        <f>'Grid_Stock'!AZ36</f>
        <v/>
      </c>
      <c r="BI41" s="15">
        <f>'Grid_Stock'!BA36</f>
        <v/>
      </c>
      <c r="BJ41" s="15">
        <f>'Grid_Stock'!BB36</f>
        <v/>
      </c>
      <c r="BK41" s="15">
        <f>'Grid_Stock'!BC36</f>
        <v/>
      </c>
      <c r="BL41" s="15">
        <f>'Grid_Stock'!BD36</f>
        <v/>
      </c>
      <c r="BM41" s="15">
        <f>'Grid_Stock'!BE36</f>
        <v/>
      </c>
      <c r="BN41" s="15">
        <f>'Grid_Stock'!BF36</f>
        <v/>
      </c>
      <c r="BO41" s="15">
        <f>'Grid_Stock'!BG36</f>
        <v/>
      </c>
      <c r="BP41" s="15">
        <f>'Grid_Stock'!BH36</f>
        <v/>
      </c>
      <c r="BQ41" s="15">
        <f>'Grid_Stock'!BI36</f>
        <v/>
      </c>
      <c r="BR41" s="15">
        <f>'Grid_Stock'!BJ36</f>
        <v/>
      </c>
      <c r="BS41" s="15">
        <f>'Grid_Stock'!BK36</f>
        <v/>
      </c>
      <c r="BT41" s="15">
        <f>'Grid_Stock'!BL36</f>
        <v/>
      </c>
      <c r="BU41" s="15">
        <f>'Grid_Stock'!BM36</f>
        <v/>
      </c>
      <c r="BV41" s="15">
        <f>'Grid_Stock'!BN36</f>
        <v/>
      </c>
      <c r="BW41" s="15">
        <f>'Grid_Stock'!BO36</f>
        <v/>
      </c>
      <c r="BX41" s="15">
        <f>'Grid_Stock'!BP36</f>
        <v/>
      </c>
      <c r="BY41" s="15">
        <f>'Grid_Stock'!BQ36</f>
        <v/>
      </c>
      <c r="BZ41" s="15">
        <f>'Grid_Stock'!BR36</f>
        <v/>
      </c>
      <c r="CA41" s="15">
        <f>'Grid_Stock'!BS36</f>
        <v/>
      </c>
      <c r="CB41" s="15">
        <f>'Grid_Stock'!BT36</f>
        <v/>
      </c>
      <c r="CC41" s="15">
        <f>'Grid_Stock'!BU36</f>
        <v/>
      </c>
      <c r="CD41" s="15">
        <f>'Grid_Stock'!BV36</f>
        <v/>
      </c>
      <c r="CE41" s="15">
        <f>'Grid_Stock'!BW36</f>
        <v/>
      </c>
      <c r="CF41" s="15">
        <f>'Grid_Stock'!BX36</f>
        <v/>
      </c>
      <c r="CG41" s="15">
        <f>'Grid_Stock'!BY36</f>
        <v/>
      </c>
      <c r="CH41" s="15">
        <f>'Grid_Stock'!BZ36</f>
        <v/>
      </c>
      <c r="CI41" s="15">
        <f>'Grid_Stock'!CA36</f>
        <v/>
      </c>
      <c r="CJ41" s="15">
        <f>'Grid_Stock'!CB36</f>
        <v/>
      </c>
      <c r="CK41" s="15">
        <f>'Grid_Stock'!CC36</f>
        <v/>
      </c>
      <c r="CL41" s="15">
        <f>'Grid_Stock'!CD36</f>
        <v/>
      </c>
      <c r="CM41" s="15">
        <f>'Grid_Stock'!CE36</f>
        <v/>
      </c>
      <c r="CN41" s="15">
        <f>'Grid_Stock'!CF36</f>
        <v/>
      </c>
      <c r="CO41" s="15">
        <f>'Grid_Stock'!CG36</f>
        <v/>
      </c>
      <c r="CP41" s="15">
        <f>'Grid_Stock'!CH36</f>
        <v/>
      </c>
      <c r="CQ41" s="15">
        <f>'Grid_Stock'!CI36</f>
        <v/>
      </c>
      <c r="CR41" s="15">
        <f>'Grid_Stock'!CJ36</f>
        <v/>
      </c>
      <c r="CS41" s="15">
        <f>'Grid_Stock'!CK36</f>
        <v/>
      </c>
      <c r="CT41" s="15">
        <f>'Grid_Stock'!CL36</f>
        <v/>
      </c>
      <c r="CU41" s="15">
        <f>'Grid_Stock'!CM36</f>
        <v/>
      </c>
      <c r="CV41" s="15">
        <f>'Grid_Stock'!CN36</f>
        <v/>
      </c>
      <c r="CW41" s="15">
        <f>'Grid_Stock'!CO36</f>
        <v/>
      </c>
      <c r="CX41" s="15">
        <f>'Grid_Stock'!CP36</f>
        <v/>
      </c>
      <c r="CY41" s="15">
        <f>'Grid_Stock'!CQ36</f>
        <v/>
      </c>
      <c r="CZ41" s="15">
        <f>'Grid_Stock'!CR36</f>
        <v/>
      </c>
      <c r="DA41" s="15">
        <f>'Grid_Stock'!CS36</f>
        <v/>
      </c>
      <c r="DB41" s="15">
        <f>'Grid_Stock'!CT36</f>
        <v/>
      </c>
      <c r="DC41" s="15">
        <f>'Grid_Stock'!CU36</f>
        <v/>
      </c>
      <c r="DD41" s="15">
        <f>'Grid_Stock'!CV36</f>
        <v/>
      </c>
      <c r="DE41" s="15">
        <f>'Grid_Stock'!CW36</f>
        <v/>
      </c>
      <c r="DF41" s="15">
        <f>'Grid_Stock'!CX36</f>
        <v/>
      </c>
      <c r="DG41" s="15">
        <f>'Grid_Stock'!CY36</f>
        <v/>
      </c>
      <c r="DH41" s="15">
        <f>'Grid_Stock'!CZ36</f>
        <v/>
      </c>
      <c r="DI41" s="15">
        <f>'Grid_Stock'!DA36</f>
        <v/>
      </c>
    </row>
    <row r="42">
      <c r="A42" s="17" t="inlineStr">
        <is>
          <t>CHEM-1680</t>
        </is>
      </c>
      <c r="B42" s="17">
        <f>IFERROR(INDEX(M_RawMaterials[Description],MATCH($A42,M_RawMaterials[RM_Code],0)),"")</f>
        <v/>
      </c>
      <c r="C42" s="17">
        <f>IFERROR(INDEX(M_RawMaterials[Category],MATCH($A42,M_RawMaterials[RM_Code],0)),"")</f>
        <v/>
      </c>
      <c r="D42" s="17">
        <f>IFERROR(INDEX(M_RawMaterials[基準在庫下限_要入力],MATCH($A42,M_RawMaterials[RM_Code],0)),0)</f>
        <v/>
      </c>
      <c r="E42" s="17">
        <f>IFERROR(INDEX(M_RawMaterials[基準在庫上限_要入力],MATCH($A42,M_RawMaterials[RM_Code],0)),0)</f>
        <v/>
      </c>
      <c r="F42" s="17">
        <f>IFERROR(LOOKUP(2,1/(T_SelfStock!$A$2:$A$12000=$A42),T_SelfStock!$D$2:$D$12000),"")</f>
        <v/>
      </c>
      <c r="G42" s="17">
        <f>IFERROR(LOOKUP(2,1/(T_TTAFStock!$A$2:$A$12000=$A42),T_TTAFStock!$D$2:$D$12000),"")</f>
        <v/>
      </c>
      <c r="H42" s="17">
        <f>IFERROR(INDEX(Cal_Weeks[Label],LOOKUP(2,1/(T_SelfStock!$A$2:$A$12000=$A42),T_SelfStock!$C$2:$C$12000)),"")</f>
        <v/>
      </c>
      <c r="I42" s="16">
        <f>IFERROR(INDEX(J42:DI42,$F$1),"")</f>
        <v/>
      </c>
      <c r="J42" s="17">
        <f>'Grid_Stock'!B37</f>
        <v/>
      </c>
      <c r="K42" s="17">
        <f>'Grid_Stock'!C37</f>
        <v/>
      </c>
      <c r="L42" s="17">
        <f>'Grid_Stock'!D37</f>
        <v/>
      </c>
      <c r="M42" s="17">
        <f>'Grid_Stock'!E37</f>
        <v/>
      </c>
      <c r="N42" s="17">
        <f>'Grid_Stock'!F37</f>
        <v/>
      </c>
      <c r="O42" s="17">
        <f>'Grid_Stock'!G37</f>
        <v/>
      </c>
      <c r="P42" s="17">
        <f>'Grid_Stock'!H37</f>
        <v/>
      </c>
      <c r="Q42" s="17">
        <f>'Grid_Stock'!I37</f>
        <v/>
      </c>
      <c r="R42" s="17">
        <f>'Grid_Stock'!J37</f>
        <v/>
      </c>
      <c r="S42" s="17">
        <f>'Grid_Stock'!K37</f>
        <v/>
      </c>
      <c r="T42" s="17">
        <f>'Grid_Stock'!L37</f>
        <v/>
      </c>
      <c r="U42" s="17">
        <f>'Grid_Stock'!M37</f>
        <v/>
      </c>
      <c r="V42" s="17">
        <f>'Grid_Stock'!N37</f>
        <v/>
      </c>
      <c r="W42" s="17">
        <f>'Grid_Stock'!O37</f>
        <v/>
      </c>
      <c r="X42" s="17">
        <f>'Grid_Stock'!P37</f>
        <v/>
      </c>
      <c r="Y42" s="17">
        <f>'Grid_Stock'!Q37</f>
        <v/>
      </c>
      <c r="Z42" s="17">
        <f>'Grid_Stock'!R37</f>
        <v/>
      </c>
      <c r="AA42" s="17">
        <f>'Grid_Stock'!S37</f>
        <v/>
      </c>
      <c r="AB42" s="17">
        <f>'Grid_Stock'!T37</f>
        <v/>
      </c>
      <c r="AC42" s="17">
        <f>'Grid_Stock'!U37</f>
        <v/>
      </c>
      <c r="AD42" s="17">
        <f>'Grid_Stock'!V37</f>
        <v/>
      </c>
      <c r="AE42" s="17">
        <f>'Grid_Stock'!W37</f>
        <v/>
      </c>
      <c r="AF42" s="17">
        <f>'Grid_Stock'!X37</f>
        <v/>
      </c>
      <c r="AG42" s="17">
        <f>'Grid_Stock'!Y37</f>
        <v/>
      </c>
      <c r="AH42" s="17">
        <f>'Grid_Stock'!Z37</f>
        <v/>
      </c>
      <c r="AI42" s="17">
        <f>'Grid_Stock'!AA37</f>
        <v/>
      </c>
      <c r="AJ42" s="17">
        <f>'Grid_Stock'!AB37</f>
        <v/>
      </c>
      <c r="AK42" s="17">
        <f>'Grid_Stock'!AC37</f>
        <v/>
      </c>
      <c r="AL42" s="17">
        <f>'Grid_Stock'!AD37</f>
        <v/>
      </c>
      <c r="AM42" s="17">
        <f>'Grid_Stock'!AE37</f>
        <v/>
      </c>
      <c r="AN42" s="17">
        <f>'Grid_Stock'!AF37</f>
        <v/>
      </c>
      <c r="AO42" s="17">
        <f>'Grid_Stock'!AG37</f>
        <v/>
      </c>
      <c r="AP42" s="17">
        <f>'Grid_Stock'!AH37</f>
        <v/>
      </c>
      <c r="AQ42" s="17">
        <f>'Grid_Stock'!AI37</f>
        <v/>
      </c>
      <c r="AR42" s="17">
        <f>'Grid_Stock'!AJ37</f>
        <v/>
      </c>
      <c r="AS42" s="17">
        <f>'Grid_Stock'!AK37</f>
        <v/>
      </c>
      <c r="AT42" s="17">
        <f>'Grid_Stock'!AL37</f>
        <v/>
      </c>
      <c r="AU42" s="17">
        <f>'Grid_Stock'!AM37</f>
        <v/>
      </c>
      <c r="AV42" s="17">
        <f>'Grid_Stock'!AN37</f>
        <v/>
      </c>
      <c r="AW42" s="17">
        <f>'Grid_Stock'!AO37</f>
        <v/>
      </c>
      <c r="AX42" s="17">
        <f>'Grid_Stock'!AP37</f>
        <v/>
      </c>
      <c r="AY42" s="17">
        <f>'Grid_Stock'!AQ37</f>
        <v/>
      </c>
      <c r="AZ42" s="17">
        <f>'Grid_Stock'!AR37</f>
        <v/>
      </c>
      <c r="BA42" s="17">
        <f>'Grid_Stock'!AS37</f>
        <v/>
      </c>
      <c r="BB42" s="17">
        <f>'Grid_Stock'!AT37</f>
        <v/>
      </c>
      <c r="BC42" s="17">
        <f>'Grid_Stock'!AU37</f>
        <v/>
      </c>
      <c r="BD42" s="17">
        <f>'Grid_Stock'!AV37</f>
        <v/>
      </c>
      <c r="BE42" s="17">
        <f>'Grid_Stock'!AW37</f>
        <v/>
      </c>
      <c r="BF42" s="17">
        <f>'Grid_Stock'!AX37</f>
        <v/>
      </c>
      <c r="BG42" s="17">
        <f>'Grid_Stock'!AY37</f>
        <v/>
      </c>
      <c r="BH42" s="17">
        <f>'Grid_Stock'!AZ37</f>
        <v/>
      </c>
      <c r="BI42" s="17">
        <f>'Grid_Stock'!BA37</f>
        <v/>
      </c>
      <c r="BJ42" s="17">
        <f>'Grid_Stock'!BB37</f>
        <v/>
      </c>
      <c r="BK42" s="17">
        <f>'Grid_Stock'!BC37</f>
        <v/>
      </c>
      <c r="BL42" s="17">
        <f>'Grid_Stock'!BD37</f>
        <v/>
      </c>
      <c r="BM42" s="17">
        <f>'Grid_Stock'!BE37</f>
        <v/>
      </c>
      <c r="BN42" s="17">
        <f>'Grid_Stock'!BF37</f>
        <v/>
      </c>
      <c r="BO42" s="17">
        <f>'Grid_Stock'!BG37</f>
        <v/>
      </c>
      <c r="BP42" s="17">
        <f>'Grid_Stock'!BH37</f>
        <v/>
      </c>
      <c r="BQ42" s="17">
        <f>'Grid_Stock'!BI37</f>
        <v/>
      </c>
      <c r="BR42" s="17">
        <f>'Grid_Stock'!BJ37</f>
        <v/>
      </c>
      <c r="BS42" s="17">
        <f>'Grid_Stock'!BK37</f>
        <v/>
      </c>
      <c r="BT42" s="17">
        <f>'Grid_Stock'!BL37</f>
        <v/>
      </c>
      <c r="BU42" s="17">
        <f>'Grid_Stock'!BM37</f>
        <v/>
      </c>
      <c r="BV42" s="17">
        <f>'Grid_Stock'!BN37</f>
        <v/>
      </c>
      <c r="BW42" s="17">
        <f>'Grid_Stock'!BO37</f>
        <v/>
      </c>
      <c r="BX42" s="17">
        <f>'Grid_Stock'!BP37</f>
        <v/>
      </c>
      <c r="BY42" s="17">
        <f>'Grid_Stock'!BQ37</f>
        <v/>
      </c>
      <c r="BZ42" s="17">
        <f>'Grid_Stock'!BR37</f>
        <v/>
      </c>
      <c r="CA42" s="17">
        <f>'Grid_Stock'!BS37</f>
        <v/>
      </c>
      <c r="CB42" s="17">
        <f>'Grid_Stock'!BT37</f>
        <v/>
      </c>
      <c r="CC42" s="17">
        <f>'Grid_Stock'!BU37</f>
        <v/>
      </c>
      <c r="CD42" s="17">
        <f>'Grid_Stock'!BV37</f>
        <v/>
      </c>
      <c r="CE42" s="17">
        <f>'Grid_Stock'!BW37</f>
        <v/>
      </c>
      <c r="CF42" s="17">
        <f>'Grid_Stock'!BX37</f>
        <v/>
      </c>
      <c r="CG42" s="17">
        <f>'Grid_Stock'!BY37</f>
        <v/>
      </c>
      <c r="CH42" s="17">
        <f>'Grid_Stock'!BZ37</f>
        <v/>
      </c>
      <c r="CI42" s="17">
        <f>'Grid_Stock'!CA37</f>
        <v/>
      </c>
      <c r="CJ42" s="17">
        <f>'Grid_Stock'!CB37</f>
        <v/>
      </c>
      <c r="CK42" s="17">
        <f>'Grid_Stock'!CC37</f>
        <v/>
      </c>
      <c r="CL42" s="17">
        <f>'Grid_Stock'!CD37</f>
        <v/>
      </c>
      <c r="CM42" s="17">
        <f>'Grid_Stock'!CE37</f>
        <v/>
      </c>
      <c r="CN42" s="17">
        <f>'Grid_Stock'!CF37</f>
        <v/>
      </c>
      <c r="CO42" s="17">
        <f>'Grid_Stock'!CG37</f>
        <v/>
      </c>
      <c r="CP42" s="17">
        <f>'Grid_Stock'!CH37</f>
        <v/>
      </c>
      <c r="CQ42" s="17">
        <f>'Grid_Stock'!CI37</f>
        <v/>
      </c>
      <c r="CR42" s="17">
        <f>'Grid_Stock'!CJ37</f>
        <v/>
      </c>
      <c r="CS42" s="17">
        <f>'Grid_Stock'!CK37</f>
        <v/>
      </c>
      <c r="CT42" s="17">
        <f>'Grid_Stock'!CL37</f>
        <v/>
      </c>
      <c r="CU42" s="17">
        <f>'Grid_Stock'!CM37</f>
        <v/>
      </c>
      <c r="CV42" s="17">
        <f>'Grid_Stock'!CN37</f>
        <v/>
      </c>
      <c r="CW42" s="17">
        <f>'Grid_Stock'!CO37</f>
        <v/>
      </c>
      <c r="CX42" s="17">
        <f>'Grid_Stock'!CP37</f>
        <v/>
      </c>
      <c r="CY42" s="17">
        <f>'Grid_Stock'!CQ37</f>
        <v/>
      </c>
      <c r="CZ42" s="17">
        <f>'Grid_Stock'!CR37</f>
        <v/>
      </c>
      <c r="DA42" s="17">
        <f>'Grid_Stock'!CS37</f>
        <v/>
      </c>
      <c r="DB42" s="17">
        <f>'Grid_Stock'!CT37</f>
        <v/>
      </c>
      <c r="DC42" s="17">
        <f>'Grid_Stock'!CU37</f>
        <v/>
      </c>
      <c r="DD42" s="17">
        <f>'Grid_Stock'!CV37</f>
        <v/>
      </c>
      <c r="DE42" s="17">
        <f>'Grid_Stock'!CW37</f>
        <v/>
      </c>
      <c r="DF42" s="17">
        <f>'Grid_Stock'!CX37</f>
        <v/>
      </c>
      <c r="DG42" s="17">
        <f>'Grid_Stock'!CY37</f>
        <v/>
      </c>
      <c r="DH42" s="17">
        <f>'Grid_Stock'!CZ37</f>
        <v/>
      </c>
      <c r="DI42" s="17">
        <f>'Grid_Stock'!DA37</f>
        <v/>
      </c>
    </row>
    <row r="43">
      <c r="A43" s="15" t="inlineStr">
        <is>
          <t>CHEM-1820</t>
        </is>
      </c>
      <c r="B43" s="15">
        <f>IFERROR(INDEX(M_RawMaterials[Description],MATCH($A43,M_RawMaterials[RM_Code],0)),"")</f>
        <v/>
      </c>
      <c r="C43" s="15">
        <f>IFERROR(INDEX(M_RawMaterials[Category],MATCH($A43,M_RawMaterials[RM_Code],0)),"")</f>
        <v/>
      </c>
      <c r="D43" s="15">
        <f>IFERROR(INDEX(M_RawMaterials[基準在庫下限_要入力],MATCH($A43,M_RawMaterials[RM_Code],0)),0)</f>
        <v/>
      </c>
      <c r="E43" s="15">
        <f>IFERROR(INDEX(M_RawMaterials[基準在庫上限_要入力],MATCH($A43,M_RawMaterials[RM_Code],0)),0)</f>
        <v/>
      </c>
      <c r="F43" s="15">
        <f>IFERROR(LOOKUP(2,1/(T_SelfStock!$A$2:$A$12000=$A43),T_SelfStock!$D$2:$D$12000),"")</f>
        <v/>
      </c>
      <c r="G43" s="15">
        <f>IFERROR(LOOKUP(2,1/(T_TTAFStock!$A$2:$A$12000=$A43),T_TTAFStock!$D$2:$D$12000),"")</f>
        <v/>
      </c>
      <c r="H43" s="15">
        <f>IFERROR(INDEX(Cal_Weeks[Label],LOOKUP(2,1/(T_SelfStock!$A$2:$A$12000=$A43),T_SelfStock!$C$2:$C$12000)),"")</f>
        <v/>
      </c>
      <c r="I43" s="16">
        <f>IFERROR(INDEX(J43:DI43,$F$1),"")</f>
        <v/>
      </c>
      <c r="J43" s="15">
        <f>'Grid_Stock'!B38</f>
        <v/>
      </c>
      <c r="K43" s="15">
        <f>'Grid_Stock'!C38</f>
        <v/>
      </c>
      <c r="L43" s="15">
        <f>'Grid_Stock'!D38</f>
        <v/>
      </c>
      <c r="M43" s="15">
        <f>'Grid_Stock'!E38</f>
        <v/>
      </c>
      <c r="N43" s="15">
        <f>'Grid_Stock'!F38</f>
        <v/>
      </c>
      <c r="O43" s="15">
        <f>'Grid_Stock'!G38</f>
        <v/>
      </c>
      <c r="P43" s="15">
        <f>'Grid_Stock'!H38</f>
        <v/>
      </c>
      <c r="Q43" s="15">
        <f>'Grid_Stock'!I38</f>
        <v/>
      </c>
      <c r="R43" s="15">
        <f>'Grid_Stock'!J38</f>
        <v/>
      </c>
      <c r="S43" s="15">
        <f>'Grid_Stock'!K38</f>
        <v/>
      </c>
      <c r="T43" s="15">
        <f>'Grid_Stock'!L38</f>
        <v/>
      </c>
      <c r="U43" s="15">
        <f>'Grid_Stock'!M38</f>
        <v/>
      </c>
      <c r="V43" s="15">
        <f>'Grid_Stock'!N38</f>
        <v/>
      </c>
      <c r="W43" s="15">
        <f>'Grid_Stock'!O38</f>
        <v/>
      </c>
      <c r="X43" s="15">
        <f>'Grid_Stock'!P38</f>
        <v/>
      </c>
      <c r="Y43" s="15">
        <f>'Grid_Stock'!Q38</f>
        <v/>
      </c>
      <c r="Z43" s="15">
        <f>'Grid_Stock'!R38</f>
        <v/>
      </c>
      <c r="AA43" s="15">
        <f>'Grid_Stock'!S38</f>
        <v/>
      </c>
      <c r="AB43" s="15">
        <f>'Grid_Stock'!T38</f>
        <v/>
      </c>
      <c r="AC43" s="15">
        <f>'Grid_Stock'!U38</f>
        <v/>
      </c>
      <c r="AD43" s="15">
        <f>'Grid_Stock'!V38</f>
        <v/>
      </c>
      <c r="AE43" s="15">
        <f>'Grid_Stock'!W38</f>
        <v/>
      </c>
      <c r="AF43" s="15">
        <f>'Grid_Stock'!X38</f>
        <v/>
      </c>
      <c r="AG43" s="15">
        <f>'Grid_Stock'!Y38</f>
        <v/>
      </c>
      <c r="AH43" s="15">
        <f>'Grid_Stock'!Z38</f>
        <v/>
      </c>
      <c r="AI43" s="15">
        <f>'Grid_Stock'!AA38</f>
        <v/>
      </c>
      <c r="AJ43" s="15">
        <f>'Grid_Stock'!AB38</f>
        <v/>
      </c>
      <c r="AK43" s="15">
        <f>'Grid_Stock'!AC38</f>
        <v/>
      </c>
      <c r="AL43" s="15">
        <f>'Grid_Stock'!AD38</f>
        <v/>
      </c>
      <c r="AM43" s="15">
        <f>'Grid_Stock'!AE38</f>
        <v/>
      </c>
      <c r="AN43" s="15">
        <f>'Grid_Stock'!AF38</f>
        <v/>
      </c>
      <c r="AO43" s="15">
        <f>'Grid_Stock'!AG38</f>
        <v/>
      </c>
      <c r="AP43" s="15">
        <f>'Grid_Stock'!AH38</f>
        <v/>
      </c>
      <c r="AQ43" s="15">
        <f>'Grid_Stock'!AI38</f>
        <v/>
      </c>
      <c r="AR43" s="15">
        <f>'Grid_Stock'!AJ38</f>
        <v/>
      </c>
      <c r="AS43" s="15">
        <f>'Grid_Stock'!AK38</f>
        <v/>
      </c>
      <c r="AT43" s="15">
        <f>'Grid_Stock'!AL38</f>
        <v/>
      </c>
      <c r="AU43" s="15">
        <f>'Grid_Stock'!AM38</f>
        <v/>
      </c>
      <c r="AV43" s="15">
        <f>'Grid_Stock'!AN38</f>
        <v/>
      </c>
      <c r="AW43" s="15">
        <f>'Grid_Stock'!AO38</f>
        <v/>
      </c>
      <c r="AX43" s="15">
        <f>'Grid_Stock'!AP38</f>
        <v/>
      </c>
      <c r="AY43" s="15">
        <f>'Grid_Stock'!AQ38</f>
        <v/>
      </c>
      <c r="AZ43" s="15">
        <f>'Grid_Stock'!AR38</f>
        <v/>
      </c>
      <c r="BA43" s="15">
        <f>'Grid_Stock'!AS38</f>
        <v/>
      </c>
      <c r="BB43" s="15">
        <f>'Grid_Stock'!AT38</f>
        <v/>
      </c>
      <c r="BC43" s="15">
        <f>'Grid_Stock'!AU38</f>
        <v/>
      </c>
      <c r="BD43" s="15">
        <f>'Grid_Stock'!AV38</f>
        <v/>
      </c>
      <c r="BE43" s="15">
        <f>'Grid_Stock'!AW38</f>
        <v/>
      </c>
      <c r="BF43" s="15">
        <f>'Grid_Stock'!AX38</f>
        <v/>
      </c>
      <c r="BG43" s="15">
        <f>'Grid_Stock'!AY38</f>
        <v/>
      </c>
      <c r="BH43" s="15">
        <f>'Grid_Stock'!AZ38</f>
        <v/>
      </c>
      <c r="BI43" s="15">
        <f>'Grid_Stock'!BA38</f>
        <v/>
      </c>
      <c r="BJ43" s="15">
        <f>'Grid_Stock'!BB38</f>
        <v/>
      </c>
      <c r="BK43" s="15">
        <f>'Grid_Stock'!BC38</f>
        <v/>
      </c>
      <c r="BL43" s="15">
        <f>'Grid_Stock'!BD38</f>
        <v/>
      </c>
      <c r="BM43" s="15">
        <f>'Grid_Stock'!BE38</f>
        <v/>
      </c>
      <c r="BN43" s="15">
        <f>'Grid_Stock'!BF38</f>
        <v/>
      </c>
      <c r="BO43" s="15">
        <f>'Grid_Stock'!BG38</f>
        <v/>
      </c>
      <c r="BP43" s="15">
        <f>'Grid_Stock'!BH38</f>
        <v/>
      </c>
      <c r="BQ43" s="15">
        <f>'Grid_Stock'!BI38</f>
        <v/>
      </c>
      <c r="BR43" s="15">
        <f>'Grid_Stock'!BJ38</f>
        <v/>
      </c>
      <c r="BS43" s="15">
        <f>'Grid_Stock'!BK38</f>
        <v/>
      </c>
      <c r="BT43" s="15">
        <f>'Grid_Stock'!BL38</f>
        <v/>
      </c>
      <c r="BU43" s="15">
        <f>'Grid_Stock'!BM38</f>
        <v/>
      </c>
      <c r="BV43" s="15">
        <f>'Grid_Stock'!BN38</f>
        <v/>
      </c>
      <c r="BW43" s="15">
        <f>'Grid_Stock'!BO38</f>
        <v/>
      </c>
      <c r="BX43" s="15">
        <f>'Grid_Stock'!BP38</f>
        <v/>
      </c>
      <c r="BY43" s="15">
        <f>'Grid_Stock'!BQ38</f>
        <v/>
      </c>
      <c r="BZ43" s="15">
        <f>'Grid_Stock'!BR38</f>
        <v/>
      </c>
      <c r="CA43" s="15">
        <f>'Grid_Stock'!BS38</f>
        <v/>
      </c>
      <c r="CB43" s="15">
        <f>'Grid_Stock'!BT38</f>
        <v/>
      </c>
      <c r="CC43" s="15">
        <f>'Grid_Stock'!BU38</f>
        <v/>
      </c>
      <c r="CD43" s="15">
        <f>'Grid_Stock'!BV38</f>
        <v/>
      </c>
      <c r="CE43" s="15">
        <f>'Grid_Stock'!BW38</f>
        <v/>
      </c>
      <c r="CF43" s="15">
        <f>'Grid_Stock'!BX38</f>
        <v/>
      </c>
      <c r="CG43" s="15">
        <f>'Grid_Stock'!BY38</f>
        <v/>
      </c>
      <c r="CH43" s="15">
        <f>'Grid_Stock'!BZ38</f>
        <v/>
      </c>
      <c r="CI43" s="15">
        <f>'Grid_Stock'!CA38</f>
        <v/>
      </c>
      <c r="CJ43" s="15">
        <f>'Grid_Stock'!CB38</f>
        <v/>
      </c>
      <c r="CK43" s="15">
        <f>'Grid_Stock'!CC38</f>
        <v/>
      </c>
      <c r="CL43" s="15">
        <f>'Grid_Stock'!CD38</f>
        <v/>
      </c>
      <c r="CM43" s="15">
        <f>'Grid_Stock'!CE38</f>
        <v/>
      </c>
      <c r="CN43" s="15">
        <f>'Grid_Stock'!CF38</f>
        <v/>
      </c>
      <c r="CO43" s="15">
        <f>'Grid_Stock'!CG38</f>
        <v/>
      </c>
      <c r="CP43" s="15">
        <f>'Grid_Stock'!CH38</f>
        <v/>
      </c>
      <c r="CQ43" s="15">
        <f>'Grid_Stock'!CI38</f>
        <v/>
      </c>
      <c r="CR43" s="15">
        <f>'Grid_Stock'!CJ38</f>
        <v/>
      </c>
      <c r="CS43" s="15">
        <f>'Grid_Stock'!CK38</f>
        <v/>
      </c>
      <c r="CT43" s="15">
        <f>'Grid_Stock'!CL38</f>
        <v/>
      </c>
      <c r="CU43" s="15">
        <f>'Grid_Stock'!CM38</f>
        <v/>
      </c>
      <c r="CV43" s="15">
        <f>'Grid_Stock'!CN38</f>
        <v/>
      </c>
      <c r="CW43" s="15">
        <f>'Grid_Stock'!CO38</f>
        <v/>
      </c>
      <c r="CX43" s="15">
        <f>'Grid_Stock'!CP38</f>
        <v/>
      </c>
      <c r="CY43" s="15">
        <f>'Grid_Stock'!CQ38</f>
        <v/>
      </c>
      <c r="CZ43" s="15">
        <f>'Grid_Stock'!CR38</f>
        <v/>
      </c>
      <c r="DA43" s="15">
        <f>'Grid_Stock'!CS38</f>
        <v/>
      </c>
      <c r="DB43" s="15">
        <f>'Grid_Stock'!CT38</f>
        <v/>
      </c>
      <c r="DC43" s="15">
        <f>'Grid_Stock'!CU38</f>
        <v/>
      </c>
      <c r="DD43" s="15">
        <f>'Grid_Stock'!CV38</f>
        <v/>
      </c>
      <c r="DE43" s="15">
        <f>'Grid_Stock'!CW38</f>
        <v/>
      </c>
      <c r="DF43" s="15">
        <f>'Grid_Stock'!CX38</f>
        <v/>
      </c>
      <c r="DG43" s="15">
        <f>'Grid_Stock'!CY38</f>
        <v/>
      </c>
      <c r="DH43" s="15">
        <f>'Grid_Stock'!CZ38</f>
        <v/>
      </c>
      <c r="DI43" s="15">
        <f>'Grid_Stock'!DA38</f>
        <v/>
      </c>
    </row>
    <row r="44">
      <c r="A44" s="17" t="inlineStr">
        <is>
          <t>CHEM-1840</t>
        </is>
      </c>
      <c r="B44" s="17">
        <f>IFERROR(INDEX(M_RawMaterials[Description],MATCH($A44,M_RawMaterials[RM_Code],0)),"")</f>
        <v/>
      </c>
      <c r="C44" s="17">
        <f>IFERROR(INDEX(M_RawMaterials[Category],MATCH($A44,M_RawMaterials[RM_Code],0)),"")</f>
        <v/>
      </c>
      <c r="D44" s="17">
        <f>IFERROR(INDEX(M_RawMaterials[基準在庫下限_要入力],MATCH($A44,M_RawMaterials[RM_Code],0)),0)</f>
        <v/>
      </c>
      <c r="E44" s="17">
        <f>IFERROR(INDEX(M_RawMaterials[基準在庫上限_要入力],MATCH($A44,M_RawMaterials[RM_Code],0)),0)</f>
        <v/>
      </c>
      <c r="F44" s="17">
        <f>IFERROR(LOOKUP(2,1/(T_SelfStock!$A$2:$A$12000=$A44),T_SelfStock!$D$2:$D$12000),"")</f>
        <v/>
      </c>
      <c r="G44" s="17">
        <f>IFERROR(LOOKUP(2,1/(T_TTAFStock!$A$2:$A$12000=$A44),T_TTAFStock!$D$2:$D$12000),"")</f>
        <v/>
      </c>
      <c r="H44" s="17">
        <f>IFERROR(INDEX(Cal_Weeks[Label],LOOKUP(2,1/(T_SelfStock!$A$2:$A$12000=$A44),T_SelfStock!$C$2:$C$12000)),"")</f>
        <v/>
      </c>
      <c r="I44" s="16">
        <f>IFERROR(INDEX(J44:DI44,$F$1),"")</f>
        <v/>
      </c>
      <c r="J44" s="17">
        <f>'Grid_Stock'!B39</f>
        <v/>
      </c>
      <c r="K44" s="17">
        <f>'Grid_Stock'!C39</f>
        <v/>
      </c>
      <c r="L44" s="17">
        <f>'Grid_Stock'!D39</f>
        <v/>
      </c>
      <c r="M44" s="17">
        <f>'Grid_Stock'!E39</f>
        <v/>
      </c>
      <c r="N44" s="17">
        <f>'Grid_Stock'!F39</f>
        <v/>
      </c>
      <c r="O44" s="17">
        <f>'Grid_Stock'!G39</f>
        <v/>
      </c>
      <c r="P44" s="17">
        <f>'Grid_Stock'!H39</f>
        <v/>
      </c>
      <c r="Q44" s="17">
        <f>'Grid_Stock'!I39</f>
        <v/>
      </c>
      <c r="R44" s="17">
        <f>'Grid_Stock'!J39</f>
        <v/>
      </c>
      <c r="S44" s="17">
        <f>'Grid_Stock'!K39</f>
        <v/>
      </c>
      <c r="T44" s="17">
        <f>'Grid_Stock'!L39</f>
        <v/>
      </c>
      <c r="U44" s="17">
        <f>'Grid_Stock'!M39</f>
        <v/>
      </c>
      <c r="V44" s="17">
        <f>'Grid_Stock'!N39</f>
        <v/>
      </c>
      <c r="W44" s="17">
        <f>'Grid_Stock'!O39</f>
        <v/>
      </c>
      <c r="X44" s="17">
        <f>'Grid_Stock'!P39</f>
        <v/>
      </c>
      <c r="Y44" s="17">
        <f>'Grid_Stock'!Q39</f>
        <v/>
      </c>
      <c r="Z44" s="17">
        <f>'Grid_Stock'!R39</f>
        <v/>
      </c>
      <c r="AA44" s="17">
        <f>'Grid_Stock'!S39</f>
        <v/>
      </c>
      <c r="AB44" s="17">
        <f>'Grid_Stock'!T39</f>
        <v/>
      </c>
      <c r="AC44" s="17">
        <f>'Grid_Stock'!U39</f>
        <v/>
      </c>
      <c r="AD44" s="17">
        <f>'Grid_Stock'!V39</f>
        <v/>
      </c>
      <c r="AE44" s="17">
        <f>'Grid_Stock'!W39</f>
        <v/>
      </c>
      <c r="AF44" s="17">
        <f>'Grid_Stock'!X39</f>
        <v/>
      </c>
      <c r="AG44" s="17">
        <f>'Grid_Stock'!Y39</f>
        <v/>
      </c>
      <c r="AH44" s="17">
        <f>'Grid_Stock'!Z39</f>
        <v/>
      </c>
      <c r="AI44" s="17">
        <f>'Grid_Stock'!AA39</f>
        <v/>
      </c>
      <c r="AJ44" s="17">
        <f>'Grid_Stock'!AB39</f>
        <v/>
      </c>
      <c r="AK44" s="17">
        <f>'Grid_Stock'!AC39</f>
        <v/>
      </c>
      <c r="AL44" s="17">
        <f>'Grid_Stock'!AD39</f>
        <v/>
      </c>
      <c r="AM44" s="17">
        <f>'Grid_Stock'!AE39</f>
        <v/>
      </c>
      <c r="AN44" s="17">
        <f>'Grid_Stock'!AF39</f>
        <v/>
      </c>
      <c r="AO44" s="17">
        <f>'Grid_Stock'!AG39</f>
        <v/>
      </c>
      <c r="AP44" s="17">
        <f>'Grid_Stock'!AH39</f>
        <v/>
      </c>
      <c r="AQ44" s="17">
        <f>'Grid_Stock'!AI39</f>
        <v/>
      </c>
      <c r="AR44" s="17">
        <f>'Grid_Stock'!AJ39</f>
        <v/>
      </c>
      <c r="AS44" s="17">
        <f>'Grid_Stock'!AK39</f>
        <v/>
      </c>
      <c r="AT44" s="17">
        <f>'Grid_Stock'!AL39</f>
        <v/>
      </c>
      <c r="AU44" s="17">
        <f>'Grid_Stock'!AM39</f>
        <v/>
      </c>
      <c r="AV44" s="17">
        <f>'Grid_Stock'!AN39</f>
        <v/>
      </c>
      <c r="AW44" s="17">
        <f>'Grid_Stock'!AO39</f>
        <v/>
      </c>
      <c r="AX44" s="17">
        <f>'Grid_Stock'!AP39</f>
        <v/>
      </c>
      <c r="AY44" s="17">
        <f>'Grid_Stock'!AQ39</f>
        <v/>
      </c>
      <c r="AZ44" s="17">
        <f>'Grid_Stock'!AR39</f>
        <v/>
      </c>
      <c r="BA44" s="17">
        <f>'Grid_Stock'!AS39</f>
        <v/>
      </c>
      <c r="BB44" s="17">
        <f>'Grid_Stock'!AT39</f>
        <v/>
      </c>
      <c r="BC44" s="17">
        <f>'Grid_Stock'!AU39</f>
        <v/>
      </c>
      <c r="BD44" s="17">
        <f>'Grid_Stock'!AV39</f>
        <v/>
      </c>
      <c r="BE44" s="17">
        <f>'Grid_Stock'!AW39</f>
        <v/>
      </c>
      <c r="BF44" s="17">
        <f>'Grid_Stock'!AX39</f>
        <v/>
      </c>
      <c r="BG44" s="17">
        <f>'Grid_Stock'!AY39</f>
        <v/>
      </c>
      <c r="BH44" s="17">
        <f>'Grid_Stock'!AZ39</f>
        <v/>
      </c>
      <c r="BI44" s="17">
        <f>'Grid_Stock'!BA39</f>
        <v/>
      </c>
      <c r="BJ44" s="17">
        <f>'Grid_Stock'!BB39</f>
        <v/>
      </c>
      <c r="BK44" s="17">
        <f>'Grid_Stock'!BC39</f>
        <v/>
      </c>
      <c r="BL44" s="17">
        <f>'Grid_Stock'!BD39</f>
        <v/>
      </c>
      <c r="BM44" s="17">
        <f>'Grid_Stock'!BE39</f>
        <v/>
      </c>
      <c r="BN44" s="17">
        <f>'Grid_Stock'!BF39</f>
        <v/>
      </c>
      <c r="BO44" s="17">
        <f>'Grid_Stock'!BG39</f>
        <v/>
      </c>
      <c r="BP44" s="17">
        <f>'Grid_Stock'!BH39</f>
        <v/>
      </c>
      <c r="BQ44" s="17">
        <f>'Grid_Stock'!BI39</f>
        <v/>
      </c>
      <c r="BR44" s="17">
        <f>'Grid_Stock'!BJ39</f>
        <v/>
      </c>
      <c r="BS44" s="17">
        <f>'Grid_Stock'!BK39</f>
        <v/>
      </c>
      <c r="BT44" s="17">
        <f>'Grid_Stock'!BL39</f>
        <v/>
      </c>
      <c r="BU44" s="17">
        <f>'Grid_Stock'!BM39</f>
        <v/>
      </c>
      <c r="BV44" s="17">
        <f>'Grid_Stock'!BN39</f>
        <v/>
      </c>
      <c r="BW44" s="17">
        <f>'Grid_Stock'!BO39</f>
        <v/>
      </c>
      <c r="BX44" s="17">
        <f>'Grid_Stock'!BP39</f>
        <v/>
      </c>
      <c r="BY44" s="17">
        <f>'Grid_Stock'!BQ39</f>
        <v/>
      </c>
      <c r="BZ44" s="17">
        <f>'Grid_Stock'!BR39</f>
        <v/>
      </c>
      <c r="CA44" s="17">
        <f>'Grid_Stock'!BS39</f>
        <v/>
      </c>
      <c r="CB44" s="17">
        <f>'Grid_Stock'!BT39</f>
        <v/>
      </c>
      <c r="CC44" s="17">
        <f>'Grid_Stock'!BU39</f>
        <v/>
      </c>
      <c r="CD44" s="17">
        <f>'Grid_Stock'!BV39</f>
        <v/>
      </c>
      <c r="CE44" s="17">
        <f>'Grid_Stock'!BW39</f>
        <v/>
      </c>
      <c r="CF44" s="17">
        <f>'Grid_Stock'!BX39</f>
        <v/>
      </c>
      <c r="CG44" s="17">
        <f>'Grid_Stock'!BY39</f>
        <v/>
      </c>
      <c r="CH44" s="17">
        <f>'Grid_Stock'!BZ39</f>
        <v/>
      </c>
      <c r="CI44" s="17">
        <f>'Grid_Stock'!CA39</f>
        <v/>
      </c>
      <c r="CJ44" s="17">
        <f>'Grid_Stock'!CB39</f>
        <v/>
      </c>
      <c r="CK44" s="17">
        <f>'Grid_Stock'!CC39</f>
        <v/>
      </c>
      <c r="CL44" s="17">
        <f>'Grid_Stock'!CD39</f>
        <v/>
      </c>
      <c r="CM44" s="17">
        <f>'Grid_Stock'!CE39</f>
        <v/>
      </c>
      <c r="CN44" s="17">
        <f>'Grid_Stock'!CF39</f>
        <v/>
      </c>
      <c r="CO44" s="17">
        <f>'Grid_Stock'!CG39</f>
        <v/>
      </c>
      <c r="CP44" s="17">
        <f>'Grid_Stock'!CH39</f>
        <v/>
      </c>
      <c r="CQ44" s="17">
        <f>'Grid_Stock'!CI39</f>
        <v/>
      </c>
      <c r="CR44" s="17">
        <f>'Grid_Stock'!CJ39</f>
        <v/>
      </c>
      <c r="CS44" s="17">
        <f>'Grid_Stock'!CK39</f>
        <v/>
      </c>
      <c r="CT44" s="17">
        <f>'Grid_Stock'!CL39</f>
        <v/>
      </c>
      <c r="CU44" s="17">
        <f>'Grid_Stock'!CM39</f>
        <v/>
      </c>
      <c r="CV44" s="17">
        <f>'Grid_Stock'!CN39</f>
        <v/>
      </c>
      <c r="CW44" s="17">
        <f>'Grid_Stock'!CO39</f>
        <v/>
      </c>
      <c r="CX44" s="17">
        <f>'Grid_Stock'!CP39</f>
        <v/>
      </c>
      <c r="CY44" s="17">
        <f>'Grid_Stock'!CQ39</f>
        <v/>
      </c>
      <c r="CZ44" s="17">
        <f>'Grid_Stock'!CR39</f>
        <v/>
      </c>
      <c r="DA44" s="17">
        <f>'Grid_Stock'!CS39</f>
        <v/>
      </c>
      <c r="DB44" s="17">
        <f>'Grid_Stock'!CT39</f>
        <v/>
      </c>
      <c r="DC44" s="17">
        <f>'Grid_Stock'!CU39</f>
        <v/>
      </c>
      <c r="DD44" s="17">
        <f>'Grid_Stock'!CV39</f>
        <v/>
      </c>
      <c r="DE44" s="17">
        <f>'Grid_Stock'!CW39</f>
        <v/>
      </c>
      <c r="DF44" s="17">
        <f>'Grid_Stock'!CX39</f>
        <v/>
      </c>
      <c r="DG44" s="17">
        <f>'Grid_Stock'!CY39</f>
        <v/>
      </c>
      <c r="DH44" s="17">
        <f>'Grid_Stock'!CZ39</f>
        <v/>
      </c>
      <c r="DI44" s="17">
        <f>'Grid_Stock'!DA39</f>
        <v/>
      </c>
    </row>
    <row r="45">
      <c r="A45" s="15" t="inlineStr">
        <is>
          <t>TPP-1469</t>
        </is>
      </c>
      <c r="B45" s="15">
        <f>IFERROR(INDEX(M_RawMaterials[Description],MATCH($A45,M_RawMaterials[RM_Code],0)),"")</f>
        <v/>
      </c>
      <c r="C45" s="15">
        <f>IFERROR(INDEX(M_RawMaterials[Category],MATCH($A45,M_RawMaterials[RM_Code],0)),"")</f>
        <v/>
      </c>
      <c r="D45" s="15">
        <f>IFERROR(INDEX(M_RawMaterials[基準在庫下限_要入力],MATCH($A45,M_RawMaterials[RM_Code],0)),0)</f>
        <v/>
      </c>
      <c r="E45" s="15">
        <f>IFERROR(INDEX(M_RawMaterials[基準在庫上限_要入力],MATCH($A45,M_RawMaterials[RM_Code],0)),0)</f>
        <v/>
      </c>
      <c r="F45" s="15">
        <f>IFERROR(LOOKUP(2,1/(T_SelfStock!$A$2:$A$12000=$A45),T_SelfStock!$D$2:$D$12000),"")</f>
        <v/>
      </c>
      <c r="G45" s="15">
        <f>IFERROR(LOOKUP(2,1/(T_TTAFStock!$A$2:$A$12000=$A45),T_TTAFStock!$D$2:$D$12000),"")</f>
        <v/>
      </c>
      <c r="H45" s="15">
        <f>IFERROR(INDEX(Cal_Weeks[Label],LOOKUP(2,1/(T_SelfStock!$A$2:$A$12000=$A45),T_SelfStock!$C$2:$C$12000)),"")</f>
        <v/>
      </c>
      <c r="I45" s="16">
        <f>IFERROR(INDEX(J45:DI45,$F$1),"")</f>
        <v/>
      </c>
      <c r="J45" s="15">
        <f>'Grid_Stock'!B40</f>
        <v/>
      </c>
      <c r="K45" s="15">
        <f>'Grid_Stock'!C40</f>
        <v/>
      </c>
      <c r="L45" s="15">
        <f>'Grid_Stock'!D40</f>
        <v/>
      </c>
      <c r="M45" s="15">
        <f>'Grid_Stock'!E40</f>
        <v/>
      </c>
      <c r="N45" s="15">
        <f>'Grid_Stock'!F40</f>
        <v/>
      </c>
      <c r="O45" s="15">
        <f>'Grid_Stock'!G40</f>
        <v/>
      </c>
      <c r="P45" s="15">
        <f>'Grid_Stock'!H40</f>
        <v/>
      </c>
      <c r="Q45" s="15">
        <f>'Grid_Stock'!I40</f>
        <v/>
      </c>
      <c r="R45" s="15">
        <f>'Grid_Stock'!J40</f>
        <v/>
      </c>
      <c r="S45" s="15">
        <f>'Grid_Stock'!K40</f>
        <v/>
      </c>
      <c r="T45" s="15">
        <f>'Grid_Stock'!L40</f>
        <v/>
      </c>
      <c r="U45" s="15">
        <f>'Grid_Stock'!M40</f>
        <v/>
      </c>
      <c r="V45" s="15">
        <f>'Grid_Stock'!N40</f>
        <v/>
      </c>
      <c r="W45" s="15">
        <f>'Grid_Stock'!O40</f>
        <v/>
      </c>
      <c r="X45" s="15">
        <f>'Grid_Stock'!P40</f>
        <v/>
      </c>
      <c r="Y45" s="15">
        <f>'Grid_Stock'!Q40</f>
        <v/>
      </c>
      <c r="Z45" s="15">
        <f>'Grid_Stock'!R40</f>
        <v/>
      </c>
      <c r="AA45" s="15">
        <f>'Grid_Stock'!S40</f>
        <v/>
      </c>
      <c r="AB45" s="15">
        <f>'Grid_Stock'!T40</f>
        <v/>
      </c>
      <c r="AC45" s="15">
        <f>'Grid_Stock'!U40</f>
        <v/>
      </c>
      <c r="AD45" s="15">
        <f>'Grid_Stock'!V40</f>
        <v/>
      </c>
      <c r="AE45" s="15">
        <f>'Grid_Stock'!W40</f>
        <v/>
      </c>
      <c r="AF45" s="15">
        <f>'Grid_Stock'!X40</f>
        <v/>
      </c>
      <c r="AG45" s="15">
        <f>'Grid_Stock'!Y40</f>
        <v/>
      </c>
      <c r="AH45" s="15">
        <f>'Grid_Stock'!Z40</f>
        <v/>
      </c>
      <c r="AI45" s="15">
        <f>'Grid_Stock'!AA40</f>
        <v/>
      </c>
      <c r="AJ45" s="15">
        <f>'Grid_Stock'!AB40</f>
        <v/>
      </c>
      <c r="AK45" s="15">
        <f>'Grid_Stock'!AC40</f>
        <v/>
      </c>
      <c r="AL45" s="15">
        <f>'Grid_Stock'!AD40</f>
        <v/>
      </c>
      <c r="AM45" s="15">
        <f>'Grid_Stock'!AE40</f>
        <v/>
      </c>
      <c r="AN45" s="15">
        <f>'Grid_Stock'!AF40</f>
        <v/>
      </c>
      <c r="AO45" s="15">
        <f>'Grid_Stock'!AG40</f>
        <v/>
      </c>
      <c r="AP45" s="15">
        <f>'Grid_Stock'!AH40</f>
        <v/>
      </c>
      <c r="AQ45" s="15">
        <f>'Grid_Stock'!AI40</f>
        <v/>
      </c>
      <c r="AR45" s="15">
        <f>'Grid_Stock'!AJ40</f>
        <v/>
      </c>
      <c r="AS45" s="15">
        <f>'Grid_Stock'!AK40</f>
        <v/>
      </c>
      <c r="AT45" s="15">
        <f>'Grid_Stock'!AL40</f>
        <v/>
      </c>
      <c r="AU45" s="15">
        <f>'Grid_Stock'!AM40</f>
        <v/>
      </c>
      <c r="AV45" s="15">
        <f>'Grid_Stock'!AN40</f>
        <v/>
      </c>
      <c r="AW45" s="15">
        <f>'Grid_Stock'!AO40</f>
        <v/>
      </c>
      <c r="AX45" s="15">
        <f>'Grid_Stock'!AP40</f>
        <v/>
      </c>
      <c r="AY45" s="15">
        <f>'Grid_Stock'!AQ40</f>
        <v/>
      </c>
      <c r="AZ45" s="15">
        <f>'Grid_Stock'!AR40</f>
        <v/>
      </c>
      <c r="BA45" s="15">
        <f>'Grid_Stock'!AS40</f>
        <v/>
      </c>
      <c r="BB45" s="15">
        <f>'Grid_Stock'!AT40</f>
        <v/>
      </c>
      <c r="BC45" s="15">
        <f>'Grid_Stock'!AU40</f>
        <v/>
      </c>
      <c r="BD45" s="15">
        <f>'Grid_Stock'!AV40</f>
        <v/>
      </c>
      <c r="BE45" s="15">
        <f>'Grid_Stock'!AW40</f>
        <v/>
      </c>
      <c r="BF45" s="15">
        <f>'Grid_Stock'!AX40</f>
        <v/>
      </c>
      <c r="BG45" s="15">
        <f>'Grid_Stock'!AY40</f>
        <v/>
      </c>
      <c r="BH45" s="15">
        <f>'Grid_Stock'!AZ40</f>
        <v/>
      </c>
      <c r="BI45" s="15">
        <f>'Grid_Stock'!BA40</f>
        <v/>
      </c>
      <c r="BJ45" s="15">
        <f>'Grid_Stock'!BB40</f>
        <v/>
      </c>
      <c r="BK45" s="15">
        <f>'Grid_Stock'!BC40</f>
        <v/>
      </c>
      <c r="BL45" s="15">
        <f>'Grid_Stock'!BD40</f>
        <v/>
      </c>
      <c r="BM45" s="15">
        <f>'Grid_Stock'!BE40</f>
        <v/>
      </c>
      <c r="BN45" s="15">
        <f>'Grid_Stock'!BF40</f>
        <v/>
      </c>
      <c r="BO45" s="15">
        <f>'Grid_Stock'!BG40</f>
        <v/>
      </c>
      <c r="BP45" s="15">
        <f>'Grid_Stock'!BH40</f>
        <v/>
      </c>
      <c r="BQ45" s="15">
        <f>'Grid_Stock'!BI40</f>
        <v/>
      </c>
      <c r="BR45" s="15">
        <f>'Grid_Stock'!BJ40</f>
        <v/>
      </c>
      <c r="BS45" s="15">
        <f>'Grid_Stock'!BK40</f>
        <v/>
      </c>
      <c r="BT45" s="15">
        <f>'Grid_Stock'!BL40</f>
        <v/>
      </c>
      <c r="BU45" s="15">
        <f>'Grid_Stock'!BM40</f>
        <v/>
      </c>
      <c r="BV45" s="15">
        <f>'Grid_Stock'!BN40</f>
        <v/>
      </c>
      <c r="BW45" s="15">
        <f>'Grid_Stock'!BO40</f>
        <v/>
      </c>
      <c r="BX45" s="15">
        <f>'Grid_Stock'!BP40</f>
        <v/>
      </c>
      <c r="BY45" s="15">
        <f>'Grid_Stock'!BQ40</f>
        <v/>
      </c>
      <c r="BZ45" s="15">
        <f>'Grid_Stock'!BR40</f>
        <v/>
      </c>
      <c r="CA45" s="15">
        <f>'Grid_Stock'!BS40</f>
        <v/>
      </c>
      <c r="CB45" s="15">
        <f>'Grid_Stock'!BT40</f>
        <v/>
      </c>
      <c r="CC45" s="15">
        <f>'Grid_Stock'!BU40</f>
        <v/>
      </c>
      <c r="CD45" s="15">
        <f>'Grid_Stock'!BV40</f>
        <v/>
      </c>
      <c r="CE45" s="15">
        <f>'Grid_Stock'!BW40</f>
        <v/>
      </c>
      <c r="CF45" s="15">
        <f>'Grid_Stock'!BX40</f>
        <v/>
      </c>
      <c r="CG45" s="15">
        <f>'Grid_Stock'!BY40</f>
        <v/>
      </c>
      <c r="CH45" s="15">
        <f>'Grid_Stock'!BZ40</f>
        <v/>
      </c>
      <c r="CI45" s="15">
        <f>'Grid_Stock'!CA40</f>
        <v/>
      </c>
      <c r="CJ45" s="15">
        <f>'Grid_Stock'!CB40</f>
        <v/>
      </c>
      <c r="CK45" s="15">
        <f>'Grid_Stock'!CC40</f>
        <v/>
      </c>
      <c r="CL45" s="15">
        <f>'Grid_Stock'!CD40</f>
        <v/>
      </c>
      <c r="CM45" s="15">
        <f>'Grid_Stock'!CE40</f>
        <v/>
      </c>
      <c r="CN45" s="15">
        <f>'Grid_Stock'!CF40</f>
        <v/>
      </c>
      <c r="CO45" s="15">
        <f>'Grid_Stock'!CG40</f>
        <v/>
      </c>
      <c r="CP45" s="15">
        <f>'Grid_Stock'!CH40</f>
        <v/>
      </c>
      <c r="CQ45" s="15">
        <f>'Grid_Stock'!CI40</f>
        <v/>
      </c>
      <c r="CR45" s="15">
        <f>'Grid_Stock'!CJ40</f>
        <v/>
      </c>
      <c r="CS45" s="15">
        <f>'Grid_Stock'!CK40</f>
        <v/>
      </c>
      <c r="CT45" s="15">
        <f>'Grid_Stock'!CL40</f>
        <v/>
      </c>
      <c r="CU45" s="15">
        <f>'Grid_Stock'!CM40</f>
        <v/>
      </c>
      <c r="CV45" s="15">
        <f>'Grid_Stock'!CN40</f>
        <v/>
      </c>
      <c r="CW45" s="15">
        <f>'Grid_Stock'!CO40</f>
        <v/>
      </c>
      <c r="CX45" s="15">
        <f>'Grid_Stock'!CP40</f>
        <v/>
      </c>
      <c r="CY45" s="15">
        <f>'Grid_Stock'!CQ40</f>
        <v/>
      </c>
      <c r="CZ45" s="15">
        <f>'Grid_Stock'!CR40</f>
        <v/>
      </c>
      <c r="DA45" s="15">
        <f>'Grid_Stock'!CS40</f>
        <v/>
      </c>
      <c r="DB45" s="15">
        <f>'Grid_Stock'!CT40</f>
        <v/>
      </c>
      <c r="DC45" s="15">
        <f>'Grid_Stock'!CU40</f>
        <v/>
      </c>
      <c r="DD45" s="15">
        <f>'Grid_Stock'!CV40</f>
        <v/>
      </c>
      <c r="DE45" s="15">
        <f>'Grid_Stock'!CW40</f>
        <v/>
      </c>
      <c r="DF45" s="15">
        <f>'Grid_Stock'!CX40</f>
        <v/>
      </c>
      <c r="DG45" s="15">
        <f>'Grid_Stock'!CY40</f>
        <v/>
      </c>
      <c r="DH45" s="15">
        <f>'Grid_Stock'!CZ40</f>
        <v/>
      </c>
      <c r="DI45" s="15">
        <f>'Grid_Stock'!DA40</f>
        <v/>
      </c>
    </row>
    <row r="46">
      <c r="A46" s="17" t="inlineStr">
        <is>
          <t>TDJ</t>
        </is>
      </c>
      <c r="B46" s="17">
        <f>IFERROR(INDEX(M_RawMaterials[Description],MATCH($A46,M_RawMaterials[RM_Code],0)),"")</f>
        <v/>
      </c>
      <c r="C46" s="17">
        <f>IFERROR(INDEX(M_RawMaterials[Category],MATCH($A46,M_RawMaterials[RM_Code],0)),"")</f>
        <v/>
      </c>
      <c r="D46" s="17">
        <f>IFERROR(INDEX(M_RawMaterials[基準在庫下限_要入力],MATCH($A46,M_RawMaterials[RM_Code],0)),0)</f>
        <v/>
      </c>
      <c r="E46" s="17">
        <f>IFERROR(INDEX(M_RawMaterials[基準在庫上限_要入力],MATCH($A46,M_RawMaterials[RM_Code],0)),0)</f>
        <v/>
      </c>
      <c r="F46" s="17">
        <f>IFERROR(LOOKUP(2,1/(T_SelfStock!$A$2:$A$12000=$A46),T_SelfStock!$D$2:$D$12000),"")</f>
        <v/>
      </c>
      <c r="G46" s="17">
        <f>IFERROR(LOOKUP(2,1/(T_TTAFStock!$A$2:$A$12000=$A46),T_TTAFStock!$D$2:$D$12000),"")</f>
        <v/>
      </c>
      <c r="H46" s="17">
        <f>IFERROR(INDEX(Cal_Weeks[Label],LOOKUP(2,1/(T_SelfStock!$A$2:$A$12000=$A46),T_SelfStock!$C$2:$C$12000)),"")</f>
        <v/>
      </c>
      <c r="I46" s="16">
        <f>IFERROR(INDEX(J46:DI46,$F$1),"")</f>
        <v/>
      </c>
      <c r="J46" s="17">
        <f>'Grid_Stock'!B41</f>
        <v/>
      </c>
      <c r="K46" s="17">
        <f>'Grid_Stock'!C41</f>
        <v/>
      </c>
      <c r="L46" s="17">
        <f>'Grid_Stock'!D41</f>
        <v/>
      </c>
      <c r="M46" s="17">
        <f>'Grid_Stock'!E41</f>
        <v/>
      </c>
      <c r="N46" s="17">
        <f>'Grid_Stock'!F41</f>
        <v/>
      </c>
      <c r="O46" s="17">
        <f>'Grid_Stock'!G41</f>
        <v/>
      </c>
      <c r="P46" s="17">
        <f>'Grid_Stock'!H41</f>
        <v/>
      </c>
      <c r="Q46" s="17">
        <f>'Grid_Stock'!I41</f>
        <v/>
      </c>
      <c r="R46" s="17">
        <f>'Grid_Stock'!J41</f>
        <v/>
      </c>
      <c r="S46" s="17">
        <f>'Grid_Stock'!K41</f>
        <v/>
      </c>
      <c r="T46" s="17">
        <f>'Grid_Stock'!L41</f>
        <v/>
      </c>
      <c r="U46" s="17">
        <f>'Grid_Stock'!M41</f>
        <v/>
      </c>
      <c r="V46" s="17">
        <f>'Grid_Stock'!N41</f>
        <v/>
      </c>
      <c r="W46" s="17">
        <f>'Grid_Stock'!O41</f>
        <v/>
      </c>
      <c r="X46" s="17">
        <f>'Grid_Stock'!P41</f>
        <v/>
      </c>
      <c r="Y46" s="17">
        <f>'Grid_Stock'!Q41</f>
        <v/>
      </c>
      <c r="Z46" s="17">
        <f>'Grid_Stock'!R41</f>
        <v/>
      </c>
      <c r="AA46" s="17">
        <f>'Grid_Stock'!S41</f>
        <v/>
      </c>
      <c r="AB46" s="17">
        <f>'Grid_Stock'!T41</f>
        <v/>
      </c>
      <c r="AC46" s="17">
        <f>'Grid_Stock'!U41</f>
        <v/>
      </c>
      <c r="AD46" s="17">
        <f>'Grid_Stock'!V41</f>
        <v/>
      </c>
      <c r="AE46" s="17">
        <f>'Grid_Stock'!W41</f>
        <v/>
      </c>
      <c r="AF46" s="17">
        <f>'Grid_Stock'!X41</f>
        <v/>
      </c>
      <c r="AG46" s="17">
        <f>'Grid_Stock'!Y41</f>
        <v/>
      </c>
      <c r="AH46" s="17">
        <f>'Grid_Stock'!Z41</f>
        <v/>
      </c>
      <c r="AI46" s="17">
        <f>'Grid_Stock'!AA41</f>
        <v/>
      </c>
      <c r="AJ46" s="17">
        <f>'Grid_Stock'!AB41</f>
        <v/>
      </c>
      <c r="AK46" s="17">
        <f>'Grid_Stock'!AC41</f>
        <v/>
      </c>
      <c r="AL46" s="17">
        <f>'Grid_Stock'!AD41</f>
        <v/>
      </c>
      <c r="AM46" s="17">
        <f>'Grid_Stock'!AE41</f>
        <v/>
      </c>
      <c r="AN46" s="17">
        <f>'Grid_Stock'!AF41</f>
        <v/>
      </c>
      <c r="AO46" s="17">
        <f>'Grid_Stock'!AG41</f>
        <v/>
      </c>
      <c r="AP46" s="17">
        <f>'Grid_Stock'!AH41</f>
        <v/>
      </c>
      <c r="AQ46" s="17">
        <f>'Grid_Stock'!AI41</f>
        <v/>
      </c>
      <c r="AR46" s="17">
        <f>'Grid_Stock'!AJ41</f>
        <v/>
      </c>
      <c r="AS46" s="17">
        <f>'Grid_Stock'!AK41</f>
        <v/>
      </c>
      <c r="AT46" s="17">
        <f>'Grid_Stock'!AL41</f>
        <v/>
      </c>
      <c r="AU46" s="17">
        <f>'Grid_Stock'!AM41</f>
        <v/>
      </c>
      <c r="AV46" s="17">
        <f>'Grid_Stock'!AN41</f>
        <v/>
      </c>
      <c r="AW46" s="17">
        <f>'Grid_Stock'!AO41</f>
        <v/>
      </c>
      <c r="AX46" s="17">
        <f>'Grid_Stock'!AP41</f>
        <v/>
      </c>
      <c r="AY46" s="17">
        <f>'Grid_Stock'!AQ41</f>
        <v/>
      </c>
      <c r="AZ46" s="17">
        <f>'Grid_Stock'!AR41</f>
        <v/>
      </c>
      <c r="BA46" s="17">
        <f>'Grid_Stock'!AS41</f>
        <v/>
      </c>
      <c r="BB46" s="17">
        <f>'Grid_Stock'!AT41</f>
        <v/>
      </c>
      <c r="BC46" s="17">
        <f>'Grid_Stock'!AU41</f>
        <v/>
      </c>
      <c r="BD46" s="17">
        <f>'Grid_Stock'!AV41</f>
        <v/>
      </c>
      <c r="BE46" s="17">
        <f>'Grid_Stock'!AW41</f>
        <v/>
      </c>
      <c r="BF46" s="17">
        <f>'Grid_Stock'!AX41</f>
        <v/>
      </c>
      <c r="BG46" s="17">
        <f>'Grid_Stock'!AY41</f>
        <v/>
      </c>
      <c r="BH46" s="17">
        <f>'Grid_Stock'!AZ41</f>
        <v/>
      </c>
      <c r="BI46" s="17">
        <f>'Grid_Stock'!BA41</f>
        <v/>
      </c>
      <c r="BJ46" s="17">
        <f>'Grid_Stock'!BB41</f>
        <v/>
      </c>
      <c r="BK46" s="17">
        <f>'Grid_Stock'!BC41</f>
        <v/>
      </c>
      <c r="BL46" s="17">
        <f>'Grid_Stock'!BD41</f>
        <v/>
      </c>
      <c r="BM46" s="17">
        <f>'Grid_Stock'!BE41</f>
        <v/>
      </c>
      <c r="BN46" s="17">
        <f>'Grid_Stock'!BF41</f>
        <v/>
      </c>
      <c r="BO46" s="17">
        <f>'Grid_Stock'!BG41</f>
        <v/>
      </c>
      <c r="BP46" s="17">
        <f>'Grid_Stock'!BH41</f>
        <v/>
      </c>
      <c r="BQ46" s="17">
        <f>'Grid_Stock'!BI41</f>
        <v/>
      </c>
      <c r="BR46" s="17">
        <f>'Grid_Stock'!BJ41</f>
        <v/>
      </c>
      <c r="BS46" s="17">
        <f>'Grid_Stock'!BK41</f>
        <v/>
      </c>
      <c r="BT46" s="17">
        <f>'Grid_Stock'!BL41</f>
        <v/>
      </c>
      <c r="BU46" s="17">
        <f>'Grid_Stock'!BM41</f>
        <v/>
      </c>
      <c r="BV46" s="17">
        <f>'Grid_Stock'!BN41</f>
        <v/>
      </c>
      <c r="BW46" s="17">
        <f>'Grid_Stock'!BO41</f>
        <v/>
      </c>
      <c r="BX46" s="17">
        <f>'Grid_Stock'!BP41</f>
        <v/>
      </c>
      <c r="BY46" s="17">
        <f>'Grid_Stock'!BQ41</f>
        <v/>
      </c>
      <c r="BZ46" s="17">
        <f>'Grid_Stock'!BR41</f>
        <v/>
      </c>
      <c r="CA46" s="17">
        <f>'Grid_Stock'!BS41</f>
        <v/>
      </c>
      <c r="CB46" s="17">
        <f>'Grid_Stock'!BT41</f>
        <v/>
      </c>
      <c r="CC46" s="17">
        <f>'Grid_Stock'!BU41</f>
        <v/>
      </c>
      <c r="CD46" s="17">
        <f>'Grid_Stock'!BV41</f>
        <v/>
      </c>
      <c r="CE46" s="17">
        <f>'Grid_Stock'!BW41</f>
        <v/>
      </c>
      <c r="CF46" s="17">
        <f>'Grid_Stock'!BX41</f>
        <v/>
      </c>
      <c r="CG46" s="17">
        <f>'Grid_Stock'!BY41</f>
        <v/>
      </c>
      <c r="CH46" s="17">
        <f>'Grid_Stock'!BZ41</f>
        <v/>
      </c>
      <c r="CI46" s="17">
        <f>'Grid_Stock'!CA41</f>
        <v/>
      </c>
      <c r="CJ46" s="17">
        <f>'Grid_Stock'!CB41</f>
        <v/>
      </c>
      <c r="CK46" s="17">
        <f>'Grid_Stock'!CC41</f>
        <v/>
      </c>
      <c r="CL46" s="17">
        <f>'Grid_Stock'!CD41</f>
        <v/>
      </c>
      <c r="CM46" s="17">
        <f>'Grid_Stock'!CE41</f>
        <v/>
      </c>
      <c r="CN46" s="17">
        <f>'Grid_Stock'!CF41</f>
        <v/>
      </c>
      <c r="CO46" s="17">
        <f>'Grid_Stock'!CG41</f>
        <v/>
      </c>
      <c r="CP46" s="17">
        <f>'Grid_Stock'!CH41</f>
        <v/>
      </c>
      <c r="CQ46" s="17">
        <f>'Grid_Stock'!CI41</f>
        <v/>
      </c>
      <c r="CR46" s="17">
        <f>'Grid_Stock'!CJ41</f>
        <v/>
      </c>
      <c r="CS46" s="17">
        <f>'Grid_Stock'!CK41</f>
        <v/>
      </c>
      <c r="CT46" s="17">
        <f>'Grid_Stock'!CL41</f>
        <v/>
      </c>
      <c r="CU46" s="17">
        <f>'Grid_Stock'!CM41</f>
        <v/>
      </c>
      <c r="CV46" s="17">
        <f>'Grid_Stock'!CN41</f>
        <v/>
      </c>
      <c r="CW46" s="17">
        <f>'Grid_Stock'!CO41</f>
        <v/>
      </c>
      <c r="CX46" s="17">
        <f>'Grid_Stock'!CP41</f>
        <v/>
      </c>
      <c r="CY46" s="17">
        <f>'Grid_Stock'!CQ41</f>
        <v/>
      </c>
      <c r="CZ46" s="17">
        <f>'Grid_Stock'!CR41</f>
        <v/>
      </c>
      <c r="DA46" s="17">
        <f>'Grid_Stock'!CS41</f>
        <v/>
      </c>
      <c r="DB46" s="17">
        <f>'Grid_Stock'!CT41</f>
        <v/>
      </c>
      <c r="DC46" s="17">
        <f>'Grid_Stock'!CU41</f>
        <v/>
      </c>
      <c r="DD46" s="17">
        <f>'Grid_Stock'!CV41</f>
        <v/>
      </c>
      <c r="DE46" s="17">
        <f>'Grid_Stock'!CW41</f>
        <v/>
      </c>
      <c r="DF46" s="17">
        <f>'Grid_Stock'!CX41</f>
        <v/>
      </c>
      <c r="DG46" s="17">
        <f>'Grid_Stock'!CY41</f>
        <v/>
      </c>
      <c r="DH46" s="17">
        <f>'Grid_Stock'!CZ41</f>
        <v/>
      </c>
      <c r="DI46" s="17">
        <f>'Grid_Stock'!DA41</f>
        <v/>
      </c>
    </row>
    <row r="47">
      <c r="A47" s="15" t="inlineStr">
        <is>
          <t>CHEM-1730</t>
        </is>
      </c>
      <c r="B47" s="15">
        <f>IFERROR(INDEX(M_RawMaterials[Description],MATCH($A47,M_RawMaterials[RM_Code],0)),"")</f>
        <v/>
      </c>
      <c r="C47" s="15">
        <f>IFERROR(INDEX(M_RawMaterials[Category],MATCH($A47,M_RawMaterials[RM_Code],0)),"")</f>
        <v/>
      </c>
      <c r="D47" s="15">
        <f>IFERROR(INDEX(M_RawMaterials[基準在庫下限_要入力],MATCH($A47,M_RawMaterials[RM_Code],0)),0)</f>
        <v/>
      </c>
      <c r="E47" s="15">
        <f>IFERROR(INDEX(M_RawMaterials[基準在庫上限_要入力],MATCH($A47,M_RawMaterials[RM_Code],0)),0)</f>
        <v/>
      </c>
      <c r="F47" s="15">
        <f>IFERROR(LOOKUP(2,1/(T_SelfStock!$A$2:$A$12000=$A47),T_SelfStock!$D$2:$D$12000),"")</f>
        <v/>
      </c>
      <c r="G47" s="15">
        <f>IFERROR(LOOKUP(2,1/(T_TTAFStock!$A$2:$A$12000=$A47),T_TTAFStock!$D$2:$D$12000),"")</f>
        <v/>
      </c>
      <c r="H47" s="15">
        <f>IFERROR(INDEX(Cal_Weeks[Label],LOOKUP(2,1/(T_SelfStock!$A$2:$A$12000=$A47),T_SelfStock!$C$2:$C$12000)),"")</f>
        <v/>
      </c>
      <c r="I47" s="16">
        <f>IFERROR(INDEX(J47:DI47,$F$1),"")</f>
        <v/>
      </c>
      <c r="J47" s="15">
        <f>'Grid_Stock'!B42</f>
        <v/>
      </c>
      <c r="K47" s="15">
        <f>'Grid_Stock'!C42</f>
        <v/>
      </c>
      <c r="L47" s="15">
        <f>'Grid_Stock'!D42</f>
        <v/>
      </c>
      <c r="M47" s="15">
        <f>'Grid_Stock'!E42</f>
        <v/>
      </c>
      <c r="N47" s="15">
        <f>'Grid_Stock'!F42</f>
        <v/>
      </c>
      <c r="O47" s="15">
        <f>'Grid_Stock'!G42</f>
        <v/>
      </c>
      <c r="P47" s="15">
        <f>'Grid_Stock'!H42</f>
        <v/>
      </c>
      <c r="Q47" s="15">
        <f>'Grid_Stock'!I42</f>
        <v/>
      </c>
      <c r="R47" s="15">
        <f>'Grid_Stock'!J42</f>
        <v/>
      </c>
      <c r="S47" s="15">
        <f>'Grid_Stock'!K42</f>
        <v/>
      </c>
      <c r="T47" s="15">
        <f>'Grid_Stock'!L42</f>
        <v/>
      </c>
      <c r="U47" s="15">
        <f>'Grid_Stock'!M42</f>
        <v/>
      </c>
      <c r="V47" s="15">
        <f>'Grid_Stock'!N42</f>
        <v/>
      </c>
      <c r="W47" s="15">
        <f>'Grid_Stock'!O42</f>
        <v/>
      </c>
      <c r="X47" s="15">
        <f>'Grid_Stock'!P42</f>
        <v/>
      </c>
      <c r="Y47" s="15">
        <f>'Grid_Stock'!Q42</f>
        <v/>
      </c>
      <c r="Z47" s="15">
        <f>'Grid_Stock'!R42</f>
        <v/>
      </c>
      <c r="AA47" s="15">
        <f>'Grid_Stock'!S42</f>
        <v/>
      </c>
      <c r="AB47" s="15">
        <f>'Grid_Stock'!T42</f>
        <v/>
      </c>
      <c r="AC47" s="15">
        <f>'Grid_Stock'!U42</f>
        <v/>
      </c>
      <c r="AD47" s="15">
        <f>'Grid_Stock'!V42</f>
        <v/>
      </c>
      <c r="AE47" s="15">
        <f>'Grid_Stock'!W42</f>
        <v/>
      </c>
      <c r="AF47" s="15">
        <f>'Grid_Stock'!X42</f>
        <v/>
      </c>
      <c r="AG47" s="15">
        <f>'Grid_Stock'!Y42</f>
        <v/>
      </c>
      <c r="AH47" s="15">
        <f>'Grid_Stock'!Z42</f>
        <v/>
      </c>
      <c r="AI47" s="15">
        <f>'Grid_Stock'!AA42</f>
        <v/>
      </c>
      <c r="AJ47" s="15">
        <f>'Grid_Stock'!AB42</f>
        <v/>
      </c>
      <c r="AK47" s="15">
        <f>'Grid_Stock'!AC42</f>
        <v/>
      </c>
      <c r="AL47" s="15">
        <f>'Grid_Stock'!AD42</f>
        <v/>
      </c>
      <c r="AM47" s="15">
        <f>'Grid_Stock'!AE42</f>
        <v/>
      </c>
      <c r="AN47" s="15">
        <f>'Grid_Stock'!AF42</f>
        <v/>
      </c>
      <c r="AO47" s="15">
        <f>'Grid_Stock'!AG42</f>
        <v/>
      </c>
      <c r="AP47" s="15">
        <f>'Grid_Stock'!AH42</f>
        <v/>
      </c>
      <c r="AQ47" s="15">
        <f>'Grid_Stock'!AI42</f>
        <v/>
      </c>
      <c r="AR47" s="15">
        <f>'Grid_Stock'!AJ42</f>
        <v/>
      </c>
      <c r="AS47" s="15">
        <f>'Grid_Stock'!AK42</f>
        <v/>
      </c>
      <c r="AT47" s="15">
        <f>'Grid_Stock'!AL42</f>
        <v/>
      </c>
      <c r="AU47" s="15">
        <f>'Grid_Stock'!AM42</f>
        <v/>
      </c>
      <c r="AV47" s="15">
        <f>'Grid_Stock'!AN42</f>
        <v/>
      </c>
      <c r="AW47" s="15">
        <f>'Grid_Stock'!AO42</f>
        <v/>
      </c>
      <c r="AX47" s="15">
        <f>'Grid_Stock'!AP42</f>
        <v/>
      </c>
      <c r="AY47" s="15">
        <f>'Grid_Stock'!AQ42</f>
        <v/>
      </c>
      <c r="AZ47" s="15">
        <f>'Grid_Stock'!AR42</f>
        <v/>
      </c>
      <c r="BA47" s="15">
        <f>'Grid_Stock'!AS42</f>
        <v/>
      </c>
      <c r="BB47" s="15">
        <f>'Grid_Stock'!AT42</f>
        <v/>
      </c>
      <c r="BC47" s="15">
        <f>'Grid_Stock'!AU42</f>
        <v/>
      </c>
      <c r="BD47" s="15">
        <f>'Grid_Stock'!AV42</f>
        <v/>
      </c>
      <c r="BE47" s="15">
        <f>'Grid_Stock'!AW42</f>
        <v/>
      </c>
      <c r="BF47" s="15">
        <f>'Grid_Stock'!AX42</f>
        <v/>
      </c>
      <c r="BG47" s="15">
        <f>'Grid_Stock'!AY42</f>
        <v/>
      </c>
      <c r="BH47" s="15">
        <f>'Grid_Stock'!AZ42</f>
        <v/>
      </c>
      <c r="BI47" s="15">
        <f>'Grid_Stock'!BA42</f>
        <v/>
      </c>
      <c r="BJ47" s="15">
        <f>'Grid_Stock'!BB42</f>
        <v/>
      </c>
      <c r="BK47" s="15">
        <f>'Grid_Stock'!BC42</f>
        <v/>
      </c>
      <c r="BL47" s="15">
        <f>'Grid_Stock'!BD42</f>
        <v/>
      </c>
      <c r="BM47" s="15">
        <f>'Grid_Stock'!BE42</f>
        <v/>
      </c>
      <c r="BN47" s="15">
        <f>'Grid_Stock'!BF42</f>
        <v/>
      </c>
      <c r="BO47" s="15">
        <f>'Grid_Stock'!BG42</f>
        <v/>
      </c>
      <c r="BP47" s="15">
        <f>'Grid_Stock'!BH42</f>
        <v/>
      </c>
      <c r="BQ47" s="15">
        <f>'Grid_Stock'!BI42</f>
        <v/>
      </c>
      <c r="BR47" s="15">
        <f>'Grid_Stock'!BJ42</f>
        <v/>
      </c>
      <c r="BS47" s="15">
        <f>'Grid_Stock'!BK42</f>
        <v/>
      </c>
      <c r="BT47" s="15">
        <f>'Grid_Stock'!BL42</f>
        <v/>
      </c>
      <c r="BU47" s="15">
        <f>'Grid_Stock'!BM42</f>
        <v/>
      </c>
      <c r="BV47" s="15">
        <f>'Grid_Stock'!BN42</f>
        <v/>
      </c>
      <c r="BW47" s="15">
        <f>'Grid_Stock'!BO42</f>
        <v/>
      </c>
      <c r="BX47" s="15">
        <f>'Grid_Stock'!BP42</f>
        <v/>
      </c>
      <c r="BY47" s="15">
        <f>'Grid_Stock'!BQ42</f>
        <v/>
      </c>
      <c r="BZ47" s="15">
        <f>'Grid_Stock'!BR42</f>
        <v/>
      </c>
      <c r="CA47" s="15">
        <f>'Grid_Stock'!BS42</f>
        <v/>
      </c>
      <c r="CB47" s="15">
        <f>'Grid_Stock'!BT42</f>
        <v/>
      </c>
      <c r="CC47" s="15">
        <f>'Grid_Stock'!BU42</f>
        <v/>
      </c>
      <c r="CD47" s="15">
        <f>'Grid_Stock'!BV42</f>
        <v/>
      </c>
      <c r="CE47" s="15">
        <f>'Grid_Stock'!BW42</f>
        <v/>
      </c>
      <c r="CF47" s="15">
        <f>'Grid_Stock'!BX42</f>
        <v/>
      </c>
      <c r="CG47" s="15">
        <f>'Grid_Stock'!BY42</f>
        <v/>
      </c>
      <c r="CH47" s="15">
        <f>'Grid_Stock'!BZ42</f>
        <v/>
      </c>
      <c r="CI47" s="15">
        <f>'Grid_Stock'!CA42</f>
        <v/>
      </c>
      <c r="CJ47" s="15">
        <f>'Grid_Stock'!CB42</f>
        <v/>
      </c>
      <c r="CK47" s="15">
        <f>'Grid_Stock'!CC42</f>
        <v/>
      </c>
      <c r="CL47" s="15">
        <f>'Grid_Stock'!CD42</f>
        <v/>
      </c>
      <c r="CM47" s="15">
        <f>'Grid_Stock'!CE42</f>
        <v/>
      </c>
      <c r="CN47" s="15">
        <f>'Grid_Stock'!CF42</f>
        <v/>
      </c>
      <c r="CO47" s="15">
        <f>'Grid_Stock'!CG42</f>
        <v/>
      </c>
      <c r="CP47" s="15">
        <f>'Grid_Stock'!CH42</f>
        <v/>
      </c>
      <c r="CQ47" s="15">
        <f>'Grid_Stock'!CI42</f>
        <v/>
      </c>
      <c r="CR47" s="15">
        <f>'Grid_Stock'!CJ42</f>
        <v/>
      </c>
      <c r="CS47" s="15">
        <f>'Grid_Stock'!CK42</f>
        <v/>
      </c>
      <c r="CT47" s="15">
        <f>'Grid_Stock'!CL42</f>
        <v/>
      </c>
      <c r="CU47" s="15">
        <f>'Grid_Stock'!CM42</f>
        <v/>
      </c>
      <c r="CV47" s="15">
        <f>'Grid_Stock'!CN42</f>
        <v/>
      </c>
      <c r="CW47" s="15">
        <f>'Grid_Stock'!CO42</f>
        <v/>
      </c>
      <c r="CX47" s="15">
        <f>'Grid_Stock'!CP42</f>
        <v/>
      </c>
      <c r="CY47" s="15">
        <f>'Grid_Stock'!CQ42</f>
        <v/>
      </c>
      <c r="CZ47" s="15">
        <f>'Grid_Stock'!CR42</f>
        <v/>
      </c>
      <c r="DA47" s="15">
        <f>'Grid_Stock'!CS42</f>
        <v/>
      </c>
      <c r="DB47" s="15">
        <f>'Grid_Stock'!CT42</f>
        <v/>
      </c>
      <c r="DC47" s="15">
        <f>'Grid_Stock'!CU42</f>
        <v/>
      </c>
      <c r="DD47" s="15">
        <f>'Grid_Stock'!CV42</f>
        <v/>
      </c>
      <c r="DE47" s="15">
        <f>'Grid_Stock'!CW42</f>
        <v/>
      </c>
      <c r="DF47" s="15">
        <f>'Grid_Stock'!CX42</f>
        <v/>
      </c>
      <c r="DG47" s="15">
        <f>'Grid_Stock'!CY42</f>
        <v/>
      </c>
      <c r="DH47" s="15">
        <f>'Grid_Stock'!CZ42</f>
        <v/>
      </c>
      <c r="DI47" s="15">
        <f>'Grid_Stock'!DA42</f>
        <v/>
      </c>
    </row>
    <row r="48">
      <c r="A48" s="17" t="inlineStr">
        <is>
          <t>CHEM-1110</t>
        </is>
      </c>
      <c r="B48" s="17">
        <f>IFERROR(INDEX(M_RawMaterials[Description],MATCH($A48,M_RawMaterials[RM_Code],0)),"")</f>
        <v/>
      </c>
      <c r="C48" s="17">
        <f>IFERROR(INDEX(M_RawMaterials[Category],MATCH($A48,M_RawMaterials[RM_Code],0)),"")</f>
        <v/>
      </c>
      <c r="D48" s="17">
        <f>IFERROR(INDEX(M_RawMaterials[基準在庫下限_要入力],MATCH($A48,M_RawMaterials[RM_Code],0)),0)</f>
        <v/>
      </c>
      <c r="E48" s="17">
        <f>IFERROR(INDEX(M_RawMaterials[基準在庫上限_要入力],MATCH($A48,M_RawMaterials[RM_Code],0)),0)</f>
        <v/>
      </c>
      <c r="F48" s="17">
        <f>IFERROR(LOOKUP(2,1/(T_SelfStock!$A$2:$A$12000=$A48),T_SelfStock!$D$2:$D$12000),"")</f>
        <v/>
      </c>
      <c r="G48" s="17">
        <f>IFERROR(LOOKUP(2,1/(T_TTAFStock!$A$2:$A$12000=$A48),T_TTAFStock!$D$2:$D$12000),"")</f>
        <v/>
      </c>
      <c r="H48" s="17">
        <f>IFERROR(INDEX(Cal_Weeks[Label],LOOKUP(2,1/(T_SelfStock!$A$2:$A$12000=$A48),T_SelfStock!$C$2:$C$12000)),"")</f>
        <v/>
      </c>
      <c r="I48" s="16">
        <f>IFERROR(INDEX(J48:DI48,$F$1),"")</f>
        <v/>
      </c>
      <c r="J48" s="17">
        <f>'Grid_Stock'!B43</f>
        <v/>
      </c>
      <c r="K48" s="17">
        <f>'Grid_Stock'!C43</f>
        <v/>
      </c>
      <c r="L48" s="17">
        <f>'Grid_Stock'!D43</f>
        <v/>
      </c>
      <c r="M48" s="17">
        <f>'Grid_Stock'!E43</f>
        <v/>
      </c>
      <c r="N48" s="17">
        <f>'Grid_Stock'!F43</f>
        <v/>
      </c>
      <c r="O48" s="17">
        <f>'Grid_Stock'!G43</f>
        <v/>
      </c>
      <c r="P48" s="17">
        <f>'Grid_Stock'!H43</f>
        <v/>
      </c>
      <c r="Q48" s="17">
        <f>'Grid_Stock'!I43</f>
        <v/>
      </c>
      <c r="R48" s="17">
        <f>'Grid_Stock'!J43</f>
        <v/>
      </c>
      <c r="S48" s="17">
        <f>'Grid_Stock'!K43</f>
        <v/>
      </c>
      <c r="T48" s="17">
        <f>'Grid_Stock'!L43</f>
        <v/>
      </c>
      <c r="U48" s="17">
        <f>'Grid_Stock'!M43</f>
        <v/>
      </c>
      <c r="V48" s="17">
        <f>'Grid_Stock'!N43</f>
        <v/>
      </c>
      <c r="W48" s="17">
        <f>'Grid_Stock'!O43</f>
        <v/>
      </c>
      <c r="X48" s="17">
        <f>'Grid_Stock'!P43</f>
        <v/>
      </c>
      <c r="Y48" s="17">
        <f>'Grid_Stock'!Q43</f>
        <v/>
      </c>
      <c r="Z48" s="17">
        <f>'Grid_Stock'!R43</f>
        <v/>
      </c>
      <c r="AA48" s="17">
        <f>'Grid_Stock'!S43</f>
        <v/>
      </c>
      <c r="AB48" s="17">
        <f>'Grid_Stock'!T43</f>
        <v/>
      </c>
      <c r="AC48" s="17">
        <f>'Grid_Stock'!U43</f>
        <v/>
      </c>
      <c r="AD48" s="17">
        <f>'Grid_Stock'!V43</f>
        <v/>
      </c>
      <c r="AE48" s="17">
        <f>'Grid_Stock'!W43</f>
        <v/>
      </c>
      <c r="AF48" s="17">
        <f>'Grid_Stock'!X43</f>
        <v/>
      </c>
      <c r="AG48" s="17">
        <f>'Grid_Stock'!Y43</f>
        <v/>
      </c>
      <c r="AH48" s="17">
        <f>'Grid_Stock'!Z43</f>
        <v/>
      </c>
      <c r="AI48" s="17">
        <f>'Grid_Stock'!AA43</f>
        <v/>
      </c>
      <c r="AJ48" s="17">
        <f>'Grid_Stock'!AB43</f>
        <v/>
      </c>
      <c r="AK48" s="17">
        <f>'Grid_Stock'!AC43</f>
        <v/>
      </c>
      <c r="AL48" s="17">
        <f>'Grid_Stock'!AD43</f>
        <v/>
      </c>
      <c r="AM48" s="17">
        <f>'Grid_Stock'!AE43</f>
        <v/>
      </c>
      <c r="AN48" s="17">
        <f>'Grid_Stock'!AF43</f>
        <v/>
      </c>
      <c r="AO48" s="17">
        <f>'Grid_Stock'!AG43</f>
        <v/>
      </c>
      <c r="AP48" s="17">
        <f>'Grid_Stock'!AH43</f>
        <v/>
      </c>
      <c r="AQ48" s="17">
        <f>'Grid_Stock'!AI43</f>
        <v/>
      </c>
      <c r="AR48" s="17">
        <f>'Grid_Stock'!AJ43</f>
        <v/>
      </c>
      <c r="AS48" s="17">
        <f>'Grid_Stock'!AK43</f>
        <v/>
      </c>
      <c r="AT48" s="17">
        <f>'Grid_Stock'!AL43</f>
        <v/>
      </c>
      <c r="AU48" s="17">
        <f>'Grid_Stock'!AM43</f>
        <v/>
      </c>
      <c r="AV48" s="17">
        <f>'Grid_Stock'!AN43</f>
        <v/>
      </c>
      <c r="AW48" s="17">
        <f>'Grid_Stock'!AO43</f>
        <v/>
      </c>
      <c r="AX48" s="17">
        <f>'Grid_Stock'!AP43</f>
        <v/>
      </c>
      <c r="AY48" s="17">
        <f>'Grid_Stock'!AQ43</f>
        <v/>
      </c>
      <c r="AZ48" s="17">
        <f>'Grid_Stock'!AR43</f>
        <v/>
      </c>
      <c r="BA48" s="17">
        <f>'Grid_Stock'!AS43</f>
        <v/>
      </c>
      <c r="BB48" s="17">
        <f>'Grid_Stock'!AT43</f>
        <v/>
      </c>
      <c r="BC48" s="17">
        <f>'Grid_Stock'!AU43</f>
        <v/>
      </c>
      <c r="BD48" s="17">
        <f>'Grid_Stock'!AV43</f>
        <v/>
      </c>
      <c r="BE48" s="17">
        <f>'Grid_Stock'!AW43</f>
        <v/>
      </c>
      <c r="BF48" s="17">
        <f>'Grid_Stock'!AX43</f>
        <v/>
      </c>
      <c r="BG48" s="17">
        <f>'Grid_Stock'!AY43</f>
        <v/>
      </c>
      <c r="BH48" s="17">
        <f>'Grid_Stock'!AZ43</f>
        <v/>
      </c>
      <c r="BI48" s="17">
        <f>'Grid_Stock'!BA43</f>
        <v/>
      </c>
      <c r="BJ48" s="17">
        <f>'Grid_Stock'!BB43</f>
        <v/>
      </c>
      <c r="BK48" s="17">
        <f>'Grid_Stock'!BC43</f>
        <v/>
      </c>
      <c r="BL48" s="17">
        <f>'Grid_Stock'!BD43</f>
        <v/>
      </c>
      <c r="BM48" s="17">
        <f>'Grid_Stock'!BE43</f>
        <v/>
      </c>
      <c r="BN48" s="17">
        <f>'Grid_Stock'!BF43</f>
        <v/>
      </c>
      <c r="BO48" s="17">
        <f>'Grid_Stock'!BG43</f>
        <v/>
      </c>
      <c r="BP48" s="17">
        <f>'Grid_Stock'!BH43</f>
        <v/>
      </c>
      <c r="BQ48" s="17">
        <f>'Grid_Stock'!BI43</f>
        <v/>
      </c>
      <c r="BR48" s="17">
        <f>'Grid_Stock'!BJ43</f>
        <v/>
      </c>
      <c r="BS48" s="17">
        <f>'Grid_Stock'!BK43</f>
        <v/>
      </c>
      <c r="BT48" s="17">
        <f>'Grid_Stock'!BL43</f>
        <v/>
      </c>
      <c r="BU48" s="17">
        <f>'Grid_Stock'!BM43</f>
        <v/>
      </c>
      <c r="BV48" s="17">
        <f>'Grid_Stock'!BN43</f>
        <v/>
      </c>
      <c r="BW48" s="17">
        <f>'Grid_Stock'!BO43</f>
        <v/>
      </c>
      <c r="BX48" s="17">
        <f>'Grid_Stock'!BP43</f>
        <v/>
      </c>
      <c r="BY48" s="17">
        <f>'Grid_Stock'!BQ43</f>
        <v/>
      </c>
      <c r="BZ48" s="17">
        <f>'Grid_Stock'!BR43</f>
        <v/>
      </c>
      <c r="CA48" s="17">
        <f>'Grid_Stock'!BS43</f>
        <v/>
      </c>
      <c r="CB48" s="17">
        <f>'Grid_Stock'!BT43</f>
        <v/>
      </c>
      <c r="CC48" s="17">
        <f>'Grid_Stock'!BU43</f>
        <v/>
      </c>
      <c r="CD48" s="17">
        <f>'Grid_Stock'!BV43</f>
        <v/>
      </c>
      <c r="CE48" s="17">
        <f>'Grid_Stock'!BW43</f>
        <v/>
      </c>
      <c r="CF48" s="17">
        <f>'Grid_Stock'!BX43</f>
        <v/>
      </c>
      <c r="CG48" s="17">
        <f>'Grid_Stock'!BY43</f>
        <v/>
      </c>
      <c r="CH48" s="17">
        <f>'Grid_Stock'!BZ43</f>
        <v/>
      </c>
      <c r="CI48" s="17">
        <f>'Grid_Stock'!CA43</f>
        <v/>
      </c>
      <c r="CJ48" s="17">
        <f>'Grid_Stock'!CB43</f>
        <v/>
      </c>
      <c r="CK48" s="17">
        <f>'Grid_Stock'!CC43</f>
        <v/>
      </c>
      <c r="CL48" s="17">
        <f>'Grid_Stock'!CD43</f>
        <v/>
      </c>
      <c r="CM48" s="17">
        <f>'Grid_Stock'!CE43</f>
        <v/>
      </c>
      <c r="CN48" s="17">
        <f>'Grid_Stock'!CF43</f>
        <v/>
      </c>
      <c r="CO48" s="17">
        <f>'Grid_Stock'!CG43</f>
        <v/>
      </c>
      <c r="CP48" s="17">
        <f>'Grid_Stock'!CH43</f>
        <v/>
      </c>
      <c r="CQ48" s="17">
        <f>'Grid_Stock'!CI43</f>
        <v/>
      </c>
      <c r="CR48" s="17">
        <f>'Grid_Stock'!CJ43</f>
        <v/>
      </c>
      <c r="CS48" s="17">
        <f>'Grid_Stock'!CK43</f>
        <v/>
      </c>
      <c r="CT48" s="17">
        <f>'Grid_Stock'!CL43</f>
        <v/>
      </c>
      <c r="CU48" s="17">
        <f>'Grid_Stock'!CM43</f>
        <v/>
      </c>
      <c r="CV48" s="17">
        <f>'Grid_Stock'!CN43</f>
        <v/>
      </c>
      <c r="CW48" s="17">
        <f>'Grid_Stock'!CO43</f>
        <v/>
      </c>
      <c r="CX48" s="17">
        <f>'Grid_Stock'!CP43</f>
        <v/>
      </c>
      <c r="CY48" s="17">
        <f>'Grid_Stock'!CQ43</f>
        <v/>
      </c>
      <c r="CZ48" s="17">
        <f>'Grid_Stock'!CR43</f>
        <v/>
      </c>
      <c r="DA48" s="17">
        <f>'Grid_Stock'!CS43</f>
        <v/>
      </c>
      <c r="DB48" s="17">
        <f>'Grid_Stock'!CT43</f>
        <v/>
      </c>
      <c r="DC48" s="17">
        <f>'Grid_Stock'!CU43</f>
        <v/>
      </c>
      <c r="DD48" s="17">
        <f>'Grid_Stock'!CV43</f>
        <v/>
      </c>
      <c r="DE48" s="17">
        <f>'Grid_Stock'!CW43</f>
        <v/>
      </c>
      <c r="DF48" s="17">
        <f>'Grid_Stock'!CX43</f>
        <v/>
      </c>
      <c r="DG48" s="17">
        <f>'Grid_Stock'!CY43</f>
        <v/>
      </c>
      <c r="DH48" s="17">
        <f>'Grid_Stock'!CZ43</f>
        <v/>
      </c>
      <c r="DI48" s="17">
        <f>'Grid_Stock'!DA43</f>
        <v/>
      </c>
    </row>
    <row r="49">
      <c r="A49" s="15" t="inlineStr">
        <is>
          <t>CHEM-1120</t>
        </is>
      </c>
      <c r="B49" s="15">
        <f>IFERROR(INDEX(M_RawMaterials[Description],MATCH($A49,M_RawMaterials[RM_Code],0)),"")</f>
        <v/>
      </c>
      <c r="C49" s="15">
        <f>IFERROR(INDEX(M_RawMaterials[Category],MATCH($A49,M_RawMaterials[RM_Code],0)),"")</f>
        <v/>
      </c>
      <c r="D49" s="15">
        <f>IFERROR(INDEX(M_RawMaterials[基準在庫下限_要入力],MATCH($A49,M_RawMaterials[RM_Code],0)),0)</f>
        <v/>
      </c>
      <c r="E49" s="15">
        <f>IFERROR(INDEX(M_RawMaterials[基準在庫上限_要入力],MATCH($A49,M_RawMaterials[RM_Code],0)),0)</f>
        <v/>
      </c>
      <c r="F49" s="15">
        <f>IFERROR(LOOKUP(2,1/(T_SelfStock!$A$2:$A$12000=$A49),T_SelfStock!$D$2:$D$12000),"")</f>
        <v/>
      </c>
      <c r="G49" s="15">
        <f>IFERROR(LOOKUP(2,1/(T_TTAFStock!$A$2:$A$12000=$A49),T_TTAFStock!$D$2:$D$12000),"")</f>
        <v/>
      </c>
      <c r="H49" s="15">
        <f>IFERROR(INDEX(Cal_Weeks[Label],LOOKUP(2,1/(T_SelfStock!$A$2:$A$12000=$A49),T_SelfStock!$C$2:$C$12000)),"")</f>
        <v/>
      </c>
      <c r="I49" s="16">
        <f>IFERROR(INDEX(J49:DI49,$F$1),"")</f>
        <v/>
      </c>
      <c r="J49" s="15">
        <f>'Grid_Stock'!B44</f>
        <v/>
      </c>
      <c r="K49" s="15">
        <f>'Grid_Stock'!C44</f>
        <v/>
      </c>
      <c r="L49" s="15">
        <f>'Grid_Stock'!D44</f>
        <v/>
      </c>
      <c r="M49" s="15">
        <f>'Grid_Stock'!E44</f>
        <v/>
      </c>
      <c r="N49" s="15">
        <f>'Grid_Stock'!F44</f>
        <v/>
      </c>
      <c r="O49" s="15">
        <f>'Grid_Stock'!G44</f>
        <v/>
      </c>
      <c r="P49" s="15">
        <f>'Grid_Stock'!H44</f>
        <v/>
      </c>
      <c r="Q49" s="15">
        <f>'Grid_Stock'!I44</f>
        <v/>
      </c>
      <c r="R49" s="15">
        <f>'Grid_Stock'!J44</f>
        <v/>
      </c>
      <c r="S49" s="15">
        <f>'Grid_Stock'!K44</f>
        <v/>
      </c>
      <c r="T49" s="15">
        <f>'Grid_Stock'!L44</f>
        <v/>
      </c>
      <c r="U49" s="15">
        <f>'Grid_Stock'!M44</f>
        <v/>
      </c>
      <c r="V49" s="15">
        <f>'Grid_Stock'!N44</f>
        <v/>
      </c>
      <c r="W49" s="15">
        <f>'Grid_Stock'!O44</f>
        <v/>
      </c>
      <c r="X49" s="15">
        <f>'Grid_Stock'!P44</f>
        <v/>
      </c>
      <c r="Y49" s="15">
        <f>'Grid_Stock'!Q44</f>
        <v/>
      </c>
      <c r="Z49" s="15">
        <f>'Grid_Stock'!R44</f>
        <v/>
      </c>
      <c r="AA49" s="15">
        <f>'Grid_Stock'!S44</f>
        <v/>
      </c>
      <c r="AB49" s="15">
        <f>'Grid_Stock'!T44</f>
        <v/>
      </c>
      <c r="AC49" s="15">
        <f>'Grid_Stock'!U44</f>
        <v/>
      </c>
      <c r="AD49" s="15">
        <f>'Grid_Stock'!V44</f>
        <v/>
      </c>
      <c r="AE49" s="15">
        <f>'Grid_Stock'!W44</f>
        <v/>
      </c>
      <c r="AF49" s="15">
        <f>'Grid_Stock'!X44</f>
        <v/>
      </c>
      <c r="AG49" s="15">
        <f>'Grid_Stock'!Y44</f>
        <v/>
      </c>
      <c r="AH49" s="15">
        <f>'Grid_Stock'!Z44</f>
        <v/>
      </c>
      <c r="AI49" s="15">
        <f>'Grid_Stock'!AA44</f>
        <v/>
      </c>
      <c r="AJ49" s="15">
        <f>'Grid_Stock'!AB44</f>
        <v/>
      </c>
      <c r="AK49" s="15">
        <f>'Grid_Stock'!AC44</f>
        <v/>
      </c>
      <c r="AL49" s="15">
        <f>'Grid_Stock'!AD44</f>
        <v/>
      </c>
      <c r="AM49" s="15">
        <f>'Grid_Stock'!AE44</f>
        <v/>
      </c>
      <c r="AN49" s="15">
        <f>'Grid_Stock'!AF44</f>
        <v/>
      </c>
      <c r="AO49" s="15">
        <f>'Grid_Stock'!AG44</f>
        <v/>
      </c>
      <c r="AP49" s="15">
        <f>'Grid_Stock'!AH44</f>
        <v/>
      </c>
      <c r="AQ49" s="15">
        <f>'Grid_Stock'!AI44</f>
        <v/>
      </c>
      <c r="AR49" s="15">
        <f>'Grid_Stock'!AJ44</f>
        <v/>
      </c>
      <c r="AS49" s="15">
        <f>'Grid_Stock'!AK44</f>
        <v/>
      </c>
      <c r="AT49" s="15">
        <f>'Grid_Stock'!AL44</f>
        <v/>
      </c>
      <c r="AU49" s="15">
        <f>'Grid_Stock'!AM44</f>
        <v/>
      </c>
      <c r="AV49" s="15">
        <f>'Grid_Stock'!AN44</f>
        <v/>
      </c>
      <c r="AW49" s="15">
        <f>'Grid_Stock'!AO44</f>
        <v/>
      </c>
      <c r="AX49" s="15">
        <f>'Grid_Stock'!AP44</f>
        <v/>
      </c>
      <c r="AY49" s="15">
        <f>'Grid_Stock'!AQ44</f>
        <v/>
      </c>
      <c r="AZ49" s="15">
        <f>'Grid_Stock'!AR44</f>
        <v/>
      </c>
      <c r="BA49" s="15">
        <f>'Grid_Stock'!AS44</f>
        <v/>
      </c>
      <c r="BB49" s="15">
        <f>'Grid_Stock'!AT44</f>
        <v/>
      </c>
      <c r="BC49" s="15">
        <f>'Grid_Stock'!AU44</f>
        <v/>
      </c>
      <c r="BD49" s="15">
        <f>'Grid_Stock'!AV44</f>
        <v/>
      </c>
      <c r="BE49" s="15">
        <f>'Grid_Stock'!AW44</f>
        <v/>
      </c>
      <c r="BF49" s="15">
        <f>'Grid_Stock'!AX44</f>
        <v/>
      </c>
      <c r="BG49" s="15">
        <f>'Grid_Stock'!AY44</f>
        <v/>
      </c>
      <c r="BH49" s="15">
        <f>'Grid_Stock'!AZ44</f>
        <v/>
      </c>
      <c r="BI49" s="15">
        <f>'Grid_Stock'!BA44</f>
        <v/>
      </c>
      <c r="BJ49" s="15">
        <f>'Grid_Stock'!BB44</f>
        <v/>
      </c>
      <c r="BK49" s="15">
        <f>'Grid_Stock'!BC44</f>
        <v/>
      </c>
      <c r="BL49" s="15">
        <f>'Grid_Stock'!BD44</f>
        <v/>
      </c>
      <c r="BM49" s="15">
        <f>'Grid_Stock'!BE44</f>
        <v/>
      </c>
      <c r="BN49" s="15">
        <f>'Grid_Stock'!BF44</f>
        <v/>
      </c>
      <c r="BO49" s="15">
        <f>'Grid_Stock'!BG44</f>
        <v/>
      </c>
      <c r="BP49" s="15">
        <f>'Grid_Stock'!BH44</f>
        <v/>
      </c>
      <c r="BQ49" s="15">
        <f>'Grid_Stock'!BI44</f>
        <v/>
      </c>
      <c r="BR49" s="15">
        <f>'Grid_Stock'!BJ44</f>
        <v/>
      </c>
      <c r="BS49" s="15">
        <f>'Grid_Stock'!BK44</f>
        <v/>
      </c>
      <c r="BT49" s="15">
        <f>'Grid_Stock'!BL44</f>
        <v/>
      </c>
      <c r="BU49" s="15">
        <f>'Grid_Stock'!BM44</f>
        <v/>
      </c>
      <c r="BV49" s="15">
        <f>'Grid_Stock'!BN44</f>
        <v/>
      </c>
      <c r="BW49" s="15">
        <f>'Grid_Stock'!BO44</f>
        <v/>
      </c>
      <c r="BX49" s="15">
        <f>'Grid_Stock'!BP44</f>
        <v/>
      </c>
      <c r="BY49" s="15">
        <f>'Grid_Stock'!BQ44</f>
        <v/>
      </c>
      <c r="BZ49" s="15">
        <f>'Grid_Stock'!BR44</f>
        <v/>
      </c>
      <c r="CA49" s="15">
        <f>'Grid_Stock'!BS44</f>
        <v/>
      </c>
      <c r="CB49" s="15">
        <f>'Grid_Stock'!BT44</f>
        <v/>
      </c>
      <c r="CC49" s="15">
        <f>'Grid_Stock'!BU44</f>
        <v/>
      </c>
      <c r="CD49" s="15">
        <f>'Grid_Stock'!BV44</f>
        <v/>
      </c>
      <c r="CE49" s="15">
        <f>'Grid_Stock'!BW44</f>
        <v/>
      </c>
      <c r="CF49" s="15">
        <f>'Grid_Stock'!BX44</f>
        <v/>
      </c>
      <c r="CG49" s="15">
        <f>'Grid_Stock'!BY44</f>
        <v/>
      </c>
      <c r="CH49" s="15">
        <f>'Grid_Stock'!BZ44</f>
        <v/>
      </c>
      <c r="CI49" s="15">
        <f>'Grid_Stock'!CA44</f>
        <v/>
      </c>
      <c r="CJ49" s="15">
        <f>'Grid_Stock'!CB44</f>
        <v/>
      </c>
      <c r="CK49" s="15">
        <f>'Grid_Stock'!CC44</f>
        <v/>
      </c>
      <c r="CL49" s="15">
        <f>'Grid_Stock'!CD44</f>
        <v/>
      </c>
      <c r="CM49" s="15">
        <f>'Grid_Stock'!CE44</f>
        <v/>
      </c>
      <c r="CN49" s="15">
        <f>'Grid_Stock'!CF44</f>
        <v/>
      </c>
      <c r="CO49" s="15">
        <f>'Grid_Stock'!CG44</f>
        <v/>
      </c>
      <c r="CP49" s="15">
        <f>'Grid_Stock'!CH44</f>
        <v/>
      </c>
      <c r="CQ49" s="15">
        <f>'Grid_Stock'!CI44</f>
        <v/>
      </c>
      <c r="CR49" s="15">
        <f>'Grid_Stock'!CJ44</f>
        <v/>
      </c>
      <c r="CS49" s="15">
        <f>'Grid_Stock'!CK44</f>
        <v/>
      </c>
      <c r="CT49" s="15">
        <f>'Grid_Stock'!CL44</f>
        <v/>
      </c>
      <c r="CU49" s="15">
        <f>'Grid_Stock'!CM44</f>
        <v/>
      </c>
      <c r="CV49" s="15">
        <f>'Grid_Stock'!CN44</f>
        <v/>
      </c>
      <c r="CW49" s="15">
        <f>'Grid_Stock'!CO44</f>
        <v/>
      </c>
      <c r="CX49" s="15">
        <f>'Grid_Stock'!CP44</f>
        <v/>
      </c>
      <c r="CY49" s="15">
        <f>'Grid_Stock'!CQ44</f>
        <v/>
      </c>
      <c r="CZ49" s="15">
        <f>'Grid_Stock'!CR44</f>
        <v/>
      </c>
      <c r="DA49" s="15">
        <f>'Grid_Stock'!CS44</f>
        <v/>
      </c>
      <c r="DB49" s="15">
        <f>'Grid_Stock'!CT44</f>
        <v/>
      </c>
      <c r="DC49" s="15">
        <f>'Grid_Stock'!CU44</f>
        <v/>
      </c>
      <c r="DD49" s="15">
        <f>'Grid_Stock'!CV44</f>
        <v/>
      </c>
      <c r="DE49" s="15">
        <f>'Grid_Stock'!CW44</f>
        <v/>
      </c>
      <c r="DF49" s="15">
        <f>'Grid_Stock'!CX44</f>
        <v/>
      </c>
      <c r="DG49" s="15">
        <f>'Grid_Stock'!CY44</f>
        <v/>
      </c>
      <c r="DH49" s="15">
        <f>'Grid_Stock'!CZ44</f>
        <v/>
      </c>
      <c r="DI49" s="15">
        <f>'Grid_Stock'!DA44</f>
        <v/>
      </c>
    </row>
    <row r="50">
      <c r="A50" s="17" t="inlineStr">
        <is>
          <t>CHEM-1010</t>
        </is>
      </c>
      <c r="B50" s="17">
        <f>IFERROR(INDEX(M_RawMaterials[Description],MATCH($A50,M_RawMaterials[RM_Code],0)),"")</f>
        <v/>
      </c>
      <c r="C50" s="17">
        <f>IFERROR(INDEX(M_RawMaterials[Category],MATCH($A50,M_RawMaterials[RM_Code],0)),"")</f>
        <v/>
      </c>
      <c r="D50" s="17">
        <f>IFERROR(INDEX(M_RawMaterials[基準在庫下限_要入力],MATCH($A50,M_RawMaterials[RM_Code],0)),0)</f>
        <v/>
      </c>
      <c r="E50" s="17">
        <f>IFERROR(INDEX(M_RawMaterials[基準在庫上限_要入力],MATCH($A50,M_RawMaterials[RM_Code],0)),0)</f>
        <v/>
      </c>
      <c r="F50" s="17">
        <f>IFERROR(LOOKUP(2,1/(T_SelfStock!$A$2:$A$12000=$A50),T_SelfStock!$D$2:$D$12000),"")</f>
        <v/>
      </c>
      <c r="G50" s="17">
        <f>IFERROR(LOOKUP(2,1/(T_TTAFStock!$A$2:$A$12000=$A50),T_TTAFStock!$D$2:$D$12000),"")</f>
        <v/>
      </c>
      <c r="H50" s="17">
        <f>IFERROR(INDEX(Cal_Weeks[Label],LOOKUP(2,1/(T_SelfStock!$A$2:$A$12000=$A50),T_SelfStock!$C$2:$C$12000)),"")</f>
        <v/>
      </c>
      <c r="I50" s="16">
        <f>IFERROR(INDEX(J50:DI50,$F$1),"")</f>
        <v/>
      </c>
      <c r="J50" s="17">
        <f>'Grid_Stock'!B45</f>
        <v/>
      </c>
      <c r="K50" s="17">
        <f>'Grid_Stock'!C45</f>
        <v/>
      </c>
      <c r="L50" s="17">
        <f>'Grid_Stock'!D45</f>
        <v/>
      </c>
      <c r="M50" s="17">
        <f>'Grid_Stock'!E45</f>
        <v/>
      </c>
      <c r="N50" s="17">
        <f>'Grid_Stock'!F45</f>
        <v/>
      </c>
      <c r="O50" s="17">
        <f>'Grid_Stock'!G45</f>
        <v/>
      </c>
      <c r="P50" s="17">
        <f>'Grid_Stock'!H45</f>
        <v/>
      </c>
      <c r="Q50" s="17">
        <f>'Grid_Stock'!I45</f>
        <v/>
      </c>
      <c r="R50" s="17">
        <f>'Grid_Stock'!J45</f>
        <v/>
      </c>
      <c r="S50" s="17">
        <f>'Grid_Stock'!K45</f>
        <v/>
      </c>
      <c r="T50" s="17">
        <f>'Grid_Stock'!L45</f>
        <v/>
      </c>
      <c r="U50" s="17">
        <f>'Grid_Stock'!M45</f>
        <v/>
      </c>
      <c r="V50" s="17">
        <f>'Grid_Stock'!N45</f>
        <v/>
      </c>
      <c r="W50" s="17">
        <f>'Grid_Stock'!O45</f>
        <v/>
      </c>
      <c r="X50" s="17">
        <f>'Grid_Stock'!P45</f>
        <v/>
      </c>
      <c r="Y50" s="17">
        <f>'Grid_Stock'!Q45</f>
        <v/>
      </c>
      <c r="Z50" s="17">
        <f>'Grid_Stock'!R45</f>
        <v/>
      </c>
      <c r="AA50" s="17">
        <f>'Grid_Stock'!S45</f>
        <v/>
      </c>
      <c r="AB50" s="17">
        <f>'Grid_Stock'!T45</f>
        <v/>
      </c>
      <c r="AC50" s="17">
        <f>'Grid_Stock'!U45</f>
        <v/>
      </c>
      <c r="AD50" s="17">
        <f>'Grid_Stock'!V45</f>
        <v/>
      </c>
      <c r="AE50" s="17">
        <f>'Grid_Stock'!W45</f>
        <v/>
      </c>
      <c r="AF50" s="17">
        <f>'Grid_Stock'!X45</f>
        <v/>
      </c>
      <c r="AG50" s="17">
        <f>'Grid_Stock'!Y45</f>
        <v/>
      </c>
      <c r="AH50" s="17">
        <f>'Grid_Stock'!Z45</f>
        <v/>
      </c>
      <c r="AI50" s="17">
        <f>'Grid_Stock'!AA45</f>
        <v/>
      </c>
      <c r="AJ50" s="17">
        <f>'Grid_Stock'!AB45</f>
        <v/>
      </c>
      <c r="AK50" s="17">
        <f>'Grid_Stock'!AC45</f>
        <v/>
      </c>
      <c r="AL50" s="17">
        <f>'Grid_Stock'!AD45</f>
        <v/>
      </c>
      <c r="AM50" s="17">
        <f>'Grid_Stock'!AE45</f>
        <v/>
      </c>
      <c r="AN50" s="17">
        <f>'Grid_Stock'!AF45</f>
        <v/>
      </c>
      <c r="AO50" s="17">
        <f>'Grid_Stock'!AG45</f>
        <v/>
      </c>
      <c r="AP50" s="17">
        <f>'Grid_Stock'!AH45</f>
        <v/>
      </c>
      <c r="AQ50" s="17">
        <f>'Grid_Stock'!AI45</f>
        <v/>
      </c>
      <c r="AR50" s="17">
        <f>'Grid_Stock'!AJ45</f>
        <v/>
      </c>
      <c r="AS50" s="17">
        <f>'Grid_Stock'!AK45</f>
        <v/>
      </c>
      <c r="AT50" s="17">
        <f>'Grid_Stock'!AL45</f>
        <v/>
      </c>
      <c r="AU50" s="17">
        <f>'Grid_Stock'!AM45</f>
        <v/>
      </c>
      <c r="AV50" s="17">
        <f>'Grid_Stock'!AN45</f>
        <v/>
      </c>
      <c r="AW50" s="17">
        <f>'Grid_Stock'!AO45</f>
        <v/>
      </c>
      <c r="AX50" s="17">
        <f>'Grid_Stock'!AP45</f>
        <v/>
      </c>
      <c r="AY50" s="17">
        <f>'Grid_Stock'!AQ45</f>
        <v/>
      </c>
      <c r="AZ50" s="17">
        <f>'Grid_Stock'!AR45</f>
        <v/>
      </c>
      <c r="BA50" s="17">
        <f>'Grid_Stock'!AS45</f>
        <v/>
      </c>
      <c r="BB50" s="17">
        <f>'Grid_Stock'!AT45</f>
        <v/>
      </c>
      <c r="BC50" s="17">
        <f>'Grid_Stock'!AU45</f>
        <v/>
      </c>
      <c r="BD50" s="17">
        <f>'Grid_Stock'!AV45</f>
        <v/>
      </c>
      <c r="BE50" s="17">
        <f>'Grid_Stock'!AW45</f>
        <v/>
      </c>
      <c r="BF50" s="17">
        <f>'Grid_Stock'!AX45</f>
        <v/>
      </c>
      <c r="BG50" s="17">
        <f>'Grid_Stock'!AY45</f>
        <v/>
      </c>
      <c r="BH50" s="17">
        <f>'Grid_Stock'!AZ45</f>
        <v/>
      </c>
      <c r="BI50" s="17">
        <f>'Grid_Stock'!BA45</f>
        <v/>
      </c>
      <c r="BJ50" s="17">
        <f>'Grid_Stock'!BB45</f>
        <v/>
      </c>
      <c r="BK50" s="17">
        <f>'Grid_Stock'!BC45</f>
        <v/>
      </c>
      <c r="BL50" s="17">
        <f>'Grid_Stock'!BD45</f>
        <v/>
      </c>
      <c r="BM50" s="17">
        <f>'Grid_Stock'!BE45</f>
        <v/>
      </c>
      <c r="BN50" s="17">
        <f>'Grid_Stock'!BF45</f>
        <v/>
      </c>
      <c r="BO50" s="17">
        <f>'Grid_Stock'!BG45</f>
        <v/>
      </c>
      <c r="BP50" s="17">
        <f>'Grid_Stock'!BH45</f>
        <v/>
      </c>
      <c r="BQ50" s="17">
        <f>'Grid_Stock'!BI45</f>
        <v/>
      </c>
      <c r="BR50" s="17">
        <f>'Grid_Stock'!BJ45</f>
        <v/>
      </c>
      <c r="BS50" s="17">
        <f>'Grid_Stock'!BK45</f>
        <v/>
      </c>
      <c r="BT50" s="17">
        <f>'Grid_Stock'!BL45</f>
        <v/>
      </c>
      <c r="BU50" s="17">
        <f>'Grid_Stock'!BM45</f>
        <v/>
      </c>
      <c r="BV50" s="17">
        <f>'Grid_Stock'!BN45</f>
        <v/>
      </c>
      <c r="BW50" s="17">
        <f>'Grid_Stock'!BO45</f>
        <v/>
      </c>
      <c r="BX50" s="17">
        <f>'Grid_Stock'!BP45</f>
        <v/>
      </c>
      <c r="BY50" s="17">
        <f>'Grid_Stock'!BQ45</f>
        <v/>
      </c>
      <c r="BZ50" s="17">
        <f>'Grid_Stock'!BR45</f>
        <v/>
      </c>
      <c r="CA50" s="17">
        <f>'Grid_Stock'!BS45</f>
        <v/>
      </c>
      <c r="CB50" s="17">
        <f>'Grid_Stock'!BT45</f>
        <v/>
      </c>
      <c r="CC50" s="17">
        <f>'Grid_Stock'!BU45</f>
        <v/>
      </c>
      <c r="CD50" s="17">
        <f>'Grid_Stock'!BV45</f>
        <v/>
      </c>
      <c r="CE50" s="17">
        <f>'Grid_Stock'!BW45</f>
        <v/>
      </c>
      <c r="CF50" s="17">
        <f>'Grid_Stock'!BX45</f>
        <v/>
      </c>
      <c r="CG50" s="17">
        <f>'Grid_Stock'!BY45</f>
        <v/>
      </c>
      <c r="CH50" s="17">
        <f>'Grid_Stock'!BZ45</f>
        <v/>
      </c>
      <c r="CI50" s="17">
        <f>'Grid_Stock'!CA45</f>
        <v/>
      </c>
      <c r="CJ50" s="17">
        <f>'Grid_Stock'!CB45</f>
        <v/>
      </c>
      <c r="CK50" s="17">
        <f>'Grid_Stock'!CC45</f>
        <v/>
      </c>
      <c r="CL50" s="17">
        <f>'Grid_Stock'!CD45</f>
        <v/>
      </c>
      <c r="CM50" s="17">
        <f>'Grid_Stock'!CE45</f>
        <v/>
      </c>
      <c r="CN50" s="17">
        <f>'Grid_Stock'!CF45</f>
        <v/>
      </c>
      <c r="CO50" s="17">
        <f>'Grid_Stock'!CG45</f>
        <v/>
      </c>
      <c r="CP50" s="17">
        <f>'Grid_Stock'!CH45</f>
        <v/>
      </c>
      <c r="CQ50" s="17">
        <f>'Grid_Stock'!CI45</f>
        <v/>
      </c>
      <c r="CR50" s="17">
        <f>'Grid_Stock'!CJ45</f>
        <v/>
      </c>
      <c r="CS50" s="17">
        <f>'Grid_Stock'!CK45</f>
        <v/>
      </c>
      <c r="CT50" s="17">
        <f>'Grid_Stock'!CL45</f>
        <v/>
      </c>
      <c r="CU50" s="17">
        <f>'Grid_Stock'!CM45</f>
        <v/>
      </c>
      <c r="CV50" s="17">
        <f>'Grid_Stock'!CN45</f>
        <v/>
      </c>
      <c r="CW50" s="17">
        <f>'Grid_Stock'!CO45</f>
        <v/>
      </c>
      <c r="CX50" s="17">
        <f>'Grid_Stock'!CP45</f>
        <v/>
      </c>
      <c r="CY50" s="17">
        <f>'Grid_Stock'!CQ45</f>
        <v/>
      </c>
      <c r="CZ50" s="17">
        <f>'Grid_Stock'!CR45</f>
        <v/>
      </c>
      <c r="DA50" s="17">
        <f>'Grid_Stock'!CS45</f>
        <v/>
      </c>
      <c r="DB50" s="17">
        <f>'Grid_Stock'!CT45</f>
        <v/>
      </c>
      <c r="DC50" s="17">
        <f>'Grid_Stock'!CU45</f>
        <v/>
      </c>
      <c r="DD50" s="17">
        <f>'Grid_Stock'!CV45</f>
        <v/>
      </c>
      <c r="DE50" s="17">
        <f>'Grid_Stock'!CW45</f>
        <v/>
      </c>
      <c r="DF50" s="17">
        <f>'Grid_Stock'!CX45</f>
        <v/>
      </c>
      <c r="DG50" s="17">
        <f>'Grid_Stock'!CY45</f>
        <v/>
      </c>
      <c r="DH50" s="17">
        <f>'Grid_Stock'!CZ45</f>
        <v/>
      </c>
      <c r="DI50" s="17">
        <f>'Grid_Stock'!DA45</f>
        <v/>
      </c>
    </row>
    <row r="51">
      <c r="A51" s="15" t="inlineStr">
        <is>
          <t>CHEM-1410</t>
        </is>
      </c>
      <c r="B51" s="15">
        <f>IFERROR(INDEX(M_RawMaterials[Description],MATCH($A51,M_RawMaterials[RM_Code],0)),"")</f>
        <v/>
      </c>
      <c r="C51" s="15">
        <f>IFERROR(INDEX(M_RawMaterials[Category],MATCH($A51,M_RawMaterials[RM_Code],0)),"")</f>
        <v/>
      </c>
      <c r="D51" s="15">
        <f>IFERROR(INDEX(M_RawMaterials[基準在庫下限_要入力],MATCH($A51,M_RawMaterials[RM_Code],0)),0)</f>
        <v/>
      </c>
      <c r="E51" s="15">
        <f>IFERROR(INDEX(M_RawMaterials[基準在庫上限_要入力],MATCH($A51,M_RawMaterials[RM_Code],0)),0)</f>
        <v/>
      </c>
      <c r="F51" s="15">
        <f>IFERROR(LOOKUP(2,1/(T_SelfStock!$A$2:$A$12000=$A51),T_SelfStock!$D$2:$D$12000),"")</f>
        <v/>
      </c>
      <c r="G51" s="15">
        <f>IFERROR(LOOKUP(2,1/(T_TTAFStock!$A$2:$A$12000=$A51),T_TTAFStock!$D$2:$D$12000),"")</f>
        <v/>
      </c>
      <c r="H51" s="15">
        <f>IFERROR(INDEX(Cal_Weeks[Label],LOOKUP(2,1/(T_SelfStock!$A$2:$A$12000=$A51),T_SelfStock!$C$2:$C$12000)),"")</f>
        <v/>
      </c>
      <c r="I51" s="16">
        <f>IFERROR(INDEX(J51:DI51,$F$1),"")</f>
        <v/>
      </c>
      <c r="J51" s="15">
        <f>'Grid_Stock'!B46</f>
        <v/>
      </c>
      <c r="K51" s="15">
        <f>'Grid_Stock'!C46</f>
        <v/>
      </c>
      <c r="L51" s="15">
        <f>'Grid_Stock'!D46</f>
        <v/>
      </c>
      <c r="M51" s="15">
        <f>'Grid_Stock'!E46</f>
        <v/>
      </c>
      <c r="N51" s="15">
        <f>'Grid_Stock'!F46</f>
        <v/>
      </c>
      <c r="O51" s="15">
        <f>'Grid_Stock'!G46</f>
        <v/>
      </c>
      <c r="P51" s="15">
        <f>'Grid_Stock'!H46</f>
        <v/>
      </c>
      <c r="Q51" s="15">
        <f>'Grid_Stock'!I46</f>
        <v/>
      </c>
      <c r="R51" s="15">
        <f>'Grid_Stock'!J46</f>
        <v/>
      </c>
      <c r="S51" s="15">
        <f>'Grid_Stock'!K46</f>
        <v/>
      </c>
      <c r="T51" s="15">
        <f>'Grid_Stock'!L46</f>
        <v/>
      </c>
      <c r="U51" s="15">
        <f>'Grid_Stock'!M46</f>
        <v/>
      </c>
      <c r="V51" s="15">
        <f>'Grid_Stock'!N46</f>
        <v/>
      </c>
      <c r="W51" s="15">
        <f>'Grid_Stock'!O46</f>
        <v/>
      </c>
      <c r="X51" s="15">
        <f>'Grid_Stock'!P46</f>
        <v/>
      </c>
      <c r="Y51" s="15">
        <f>'Grid_Stock'!Q46</f>
        <v/>
      </c>
      <c r="Z51" s="15">
        <f>'Grid_Stock'!R46</f>
        <v/>
      </c>
      <c r="AA51" s="15">
        <f>'Grid_Stock'!S46</f>
        <v/>
      </c>
      <c r="AB51" s="15">
        <f>'Grid_Stock'!T46</f>
        <v/>
      </c>
      <c r="AC51" s="15">
        <f>'Grid_Stock'!U46</f>
        <v/>
      </c>
      <c r="AD51" s="15">
        <f>'Grid_Stock'!V46</f>
        <v/>
      </c>
      <c r="AE51" s="15">
        <f>'Grid_Stock'!W46</f>
        <v/>
      </c>
      <c r="AF51" s="15">
        <f>'Grid_Stock'!X46</f>
        <v/>
      </c>
      <c r="AG51" s="15">
        <f>'Grid_Stock'!Y46</f>
        <v/>
      </c>
      <c r="AH51" s="15">
        <f>'Grid_Stock'!Z46</f>
        <v/>
      </c>
      <c r="AI51" s="15">
        <f>'Grid_Stock'!AA46</f>
        <v/>
      </c>
      <c r="AJ51" s="15">
        <f>'Grid_Stock'!AB46</f>
        <v/>
      </c>
      <c r="AK51" s="15">
        <f>'Grid_Stock'!AC46</f>
        <v/>
      </c>
      <c r="AL51" s="15">
        <f>'Grid_Stock'!AD46</f>
        <v/>
      </c>
      <c r="AM51" s="15">
        <f>'Grid_Stock'!AE46</f>
        <v/>
      </c>
      <c r="AN51" s="15">
        <f>'Grid_Stock'!AF46</f>
        <v/>
      </c>
      <c r="AO51" s="15">
        <f>'Grid_Stock'!AG46</f>
        <v/>
      </c>
      <c r="AP51" s="15">
        <f>'Grid_Stock'!AH46</f>
        <v/>
      </c>
      <c r="AQ51" s="15">
        <f>'Grid_Stock'!AI46</f>
        <v/>
      </c>
      <c r="AR51" s="15">
        <f>'Grid_Stock'!AJ46</f>
        <v/>
      </c>
      <c r="AS51" s="15">
        <f>'Grid_Stock'!AK46</f>
        <v/>
      </c>
      <c r="AT51" s="15">
        <f>'Grid_Stock'!AL46</f>
        <v/>
      </c>
      <c r="AU51" s="15">
        <f>'Grid_Stock'!AM46</f>
        <v/>
      </c>
      <c r="AV51" s="15">
        <f>'Grid_Stock'!AN46</f>
        <v/>
      </c>
      <c r="AW51" s="15">
        <f>'Grid_Stock'!AO46</f>
        <v/>
      </c>
      <c r="AX51" s="15">
        <f>'Grid_Stock'!AP46</f>
        <v/>
      </c>
      <c r="AY51" s="15">
        <f>'Grid_Stock'!AQ46</f>
        <v/>
      </c>
      <c r="AZ51" s="15">
        <f>'Grid_Stock'!AR46</f>
        <v/>
      </c>
      <c r="BA51" s="15">
        <f>'Grid_Stock'!AS46</f>
        <v/>
      </c>
      <c r="BB51" s="15">
        <f>'Grid_Stock'!AT46</f>
        <v/>
      </c>
      <c r="BC51" s="15">
        <f>'Grid_Stock'!AU46</f>
        <v/>
      </c>
      <c r="BD51" s="15">
        <f>'Grid_Stock'!AV46</f>
        <v/>
      </c>
      <c r="BE51" s="15">
        <f>'Grid_Stock'!AW46</f>
        <v/>
      </c>
      <c r="BF51" s="15">
        <f>'Grid_Stock'!AX46</f>
        <v/>
      </c>
      <c r="BG51" s="15">
        <f>'Grid_Stock'!AY46</f>
        <v/>
      </c>
      <c r="BH51" s="15">
        <f>'Grid_Stock'!AZ46</f>
        <v/>
      </c>
      <c r="BI51" s="15">
        <f>'Grid_Stock'!BA46</f>
        <v/>
      </c>
      <c r="BJ51" s="15">
        <f>'Grid_Stock'!BB46</f>
        <v/>
      </c>
      <c r="BK51" s="15">
        <f>'Grid_Stock'!BC46</f>
        <v/>
      </c>
      <c r="BL51" s="15">
        <f>'Grid_Stock'!BD46</f>
        <v/>
      </c>
      <c r="BM51" s="15">
        <f>'Grid_Stock'!BE46</f>
        <v/>
      </c>
      <c r="BN51" s="15">
        <f>'Grid_Stock'!BF46</f>
        <v/>
      </c>
      <c r="BO51" s="15">
        <f>'Grid_Stock'!BG46</f>
        <v/>
      </c>
      <c r="BP51" s="15">
        <f>'Grid_Stock'!BH46</f>
        <v/>
      </c>
      <c r="BQ51" s="15">
        <f>'Grid_Stock'!BI46</f>
        <v/>
      </c>
      <c r="BR51" s="15">
        <f>'Grid_Stock'!BJ46</f>
        <v/>
      </c>
      <c r="BS51" s="15">
        <f>'Grid_Stock'!BK46</f>
        <v/>
      </c>
      <c r="BT51" s="15">
        <f>'Grid_Stock'!BL46</f>
        <v/>
      </c>
      <c r="BU51" s="15">
        <f>'Grid_Stock'!BM46</f>
        <v/>
      </c>
      <c r="BV51" s="15">
        <f>'Grid_Stock'!BN46</f>
        <v/>
      </c>
      <c r="BW51" s="15">
        <f>'Grid_Stock'!BO46</f>
        <v/>
      </c>
      <c r="BX51" s="15">
        <f>'Grid_Stock'!BP46</f>
        <v/>
      </c>
      <c r="BY51" s="15">
        <f>'Grid_Stock'!BQ46</f>
        <v/>
      </c>
      <c r="BZ51" s="15">
        <f>'Grid_Stock'!BR46</f>
        <v/>
      </c>
      <c r="CA51" s="15">
        <f>'Grid_Stock'!BS46</f>
        <v/>
      </c>
      <c r="CB51" s="15">
        <f>'Grid_Stock'!BT46</f>
        <v/>
      </c>
      <c r="CC51" s="15">
        <f>'Grid_Stock'!BU46</f>
        <v/>
      </c>
      <c r="CD51" s="15">
        <f>'Grid_Stock'!BV46</f>
        <v/>
      </c>
      <c r="CE51" s="15">
        <f>'Grid_Stock'!BW46</f>
        <v/>
      </c>
      <c r="CF51" s="15">
        <f>'Grid_Stock'!BX46</f>
        <v/>
      </c>
      <c r="CG51" s="15">
        <f>'Grid_Stock'!BY46</f>
        <v/>
      </c>
      <c r="CH51" s="15">
        <f>'Grid_Stock'!BZ46</f>
        <v/>
      </c>
      <c r="CI51" s="15">
        <f>'Grid_Stock'!CA46</f>
        <v/>
      </c>
      <c r="CJ51" s="15">
        <f>'Grid_Stock'!CB46</f>
        <v/>
      </c>
      <c r="CK51" s="15">
        <f>'Grid_Stock'!CC46</f>
        <v/>
      </c>
      <c r="CL51" s="15">
        <f>'Grid_Stock'!CD46</f>
        <v/>
      </c>
      <c r="CM51" s="15">
        <f>'Grid_Stock'!CE46</f>
        <v/>
      </c>
      <c r="CN51" s="15">
        <f>'Grid_Stock'!CF46</f>
        <v/>
      </c>
      <c r="CO51" s="15">
        <f>'Grid_Stock'!CG46</f>
        <v/>
      </c>
      <c r="CP51" s="15">
        <f>'Grid_Stock'!CH46</f>
        <v/>
      </c>
      <c r="CQ51" s="15">
        <f>'Grid_Stock'!CI46</f>
        <v/>
      </c>
      <c r="CR51" s="15">
        <f>'Grid_Stock'!CJ46</f>
        <v/>
      </c>
      <c r="CS51" s="15">
        <f>'Grid_Stock'!CK46</f>
        <v/>
      </c>
      <c r="CT51" s="15">
        <f>'Grid_Stock'!CL46</f>
        <v/>
      </c>
      <c r="CU51" s="15">
        <f>'Grid_Stock'!CM46</f>
        <v/>
      </c>
      <c r="CV51" s="15">
        <f>'Grid_Stock'!CN46</f>
        <v/>
      </c>
      <c r="CW51" s="15">
        <f>'Grid_Stock'!CO46</f>
        <v/>
      </c>
      <c r="CX51" s="15">
        <f>'Grid_Stock'!CP46</f>
        <v/>
      </c>
      <c r="CY51" s="15">
        <f>'Grid_Stock'!CQ46</f>
        <v/>
      </c>
      <c r="CZ51" s="15">
        <f>'Grid_Stock'!CR46</f>
        <v/>
      </c>
      <c r="DA51" s="15">
        <f>'Grid_Stock'!CS46</f>
        <v/>
      </c>
      <c r="DB51" s="15">
        <f>'Grid_Stock'!CT46</f>
        <v/>
      </c>
      <c r="DC51" s="15">
        <f>'Grid_Stock'!CU46</f>
        <v/>
      </c>
      <c r="DD51" s="15">
        <f>'Grid_Stock'!CV46</f>
        <v/>
      </c>
      <c r="DE51" s="15">
        <f>'Grid_Stock'!CW46</f>
        <v/>
      </c>
      <c r="DF51" s="15">
        <f>'Grid_Stock'!CX46</f>
        <v/>
      </c>
      <c r="DG51" s="15">
        <f>'Grid_Stock'!CY46</f>
        <v/>
      </c>
      <c r="DH51" s="15">
        <f>'Grid_Stock'!CZ46</f>
        <v/>
      </c>
      <c r="DI51" s="15">
        <f>'Grid_Stock'!DA46</f>
        <v/>
      </c>
    </row>
    <row r="52">
      <c r="A52" s="17" t="inlineStr">
        <is>
          <t>CHEM-1430</t>
        </is>
      </c>
      <c r="B52" s="17">
        <f>IFERROR(INDEX(M_RawMaterials[Description],MATCH($A52,M_RawMaterials[RM_Code],0)),"")</f>
        <v/>
      </c>
      <c r="C52" s="17">
        <f>IFERROR(INDEX(M_RawMaterials[Category],MATCH($A52,M_RawMaterials[RM_Code],0)),"")</f>
        <v/>
      </c>
      <c r="D52" s="17">
        <f>IFERROR(INDEX(M_RawMaterials[基準在庫下限_要入力],MATCH($A52,M_RawMaterials[RM_Code],0)),0)</f>
        <v/>
      </c>
      <c r="E52" s="17">
        <f>IFERROR(INDEX(M_RawMaterials[基準在庫上限_要入力],MATCH($A52,M_RawMaterials[RM_Code],0)),0)</f>
        <v/>
      </c>
      <c r="F52" s="17">
        <f>IFERROR(LOOKUP(2,1/(T_SelfStock!$A$2:$A$12000=$A52),T_SelfStock!$D$2:$D$12000),"")</f>
        <v/>
      </c>
      <c r="G52" s="17">
        <f>IFERROR(LOOKUP(2,1/(T_TTAFStock!$A$2:$A$12000=$A52),T_TTAFStock!$D$2:$D$12000),"")</f>
        <v/>
      </c>
      <c r="H52" s="17">
        <f>IFERROR(INDEX(Cal_Weeks[Label],LOOKUP(2,1/(T_SelfStock!$A$2:$A$12000=$A52),T_SelfStock!$C$2:$C$12000)),"")</f>
        <v/>
      </c>
      <c r="I52" s="16">
        <f>IFERROR(INDEX(J52:DI52,$F$1),"")</f>
        <v/>
      </c>
      <c r="J52" s="17">
        <f>'Grid_Stock'!B47</f>
        <v/>
      </c>
      <c r="K52" s="17">
        <f>'Grid_Stock'!C47</f>
        <v/>
      </c>
      <c r="L52" s="17">
        <f>'Grid_Stock'!D47</f>
        <v/>
      </c>
      <c r="M52" s="17">
        <f>'Grid_Stock'!E47</f>
        <v/>
      </c>
      <c r="N52" s="17">
        <f>'Grid_Stock'!F47</f>
        <v/>
      </c>
      <c r="O52" s="17">
        <f>'Grid_Stock'!G47</f>
        <v/>
      </c>
      <c r="P52" s="17">
        <f>'Grid_Stock'!H47</f>
        <v/>
      </c>
      <c r="Q52" s="17">
        <f>'Grid_Stock'!I47</f>
        <v/>
      </c>
      <c r="R52" s="17">
        <f>'Grid_Stock'!J47</f>
        <v/>
      </c>
      <c r="S52" s="17">
        <f>'Grid_Stock'!K47</f>
        <v/>
      </c>
      <c r="T52" s="17">
        <f>'Grid_Stock'!L47</f>
        <v/>
      </c>
      <c r="U52" s="17">
        <f>'Grid_Stock'!M47</f>
        <v/>
      </c>
      <c r="V52" s="17">
        <f>'Grid_Stock'!N47</f>
        <v/>
      </c>
      <c r="W52" s="17">
        <f>'Grid_Stock'!O47</f>
        <v/>
      </c>
      <c r="X52" s="17">
        <f>'Grid_Stock'!P47</f>
        <v/>
      </c>
      <c r="Y52" s="17">
        <f>'Grid_Stock'!Q47</f>
        <v/>
      </c>
      <c r="Z52" s="17">
        <f>'Grid_Stock'!R47</f>
        <v/>
      </c>
      <c r="AA52" s="17">
        <f>'Grid_Stock'!S47</f>
        <v/>
      </c>
      <c r="AB52" s="17">
        <f>'Grid_Stock'!T47</f>
        <v/>
      </c>
      <c r="AC52" s="17">
        <f>'Grid_Stock'!U47</f>
        <v/>
      </c>
      <c r="AD52" s="17">
        <f>'Grid_Stock'!V47</f>
        <v/>
      </c>
      <c r="AE52" s="17">
        <f>'Grid_Stock'!W47</f>
        <v/>
      </c>
      <c r="AF52" s="17">
        <f>'Grid_Stock'!X47</f>
        <v/>
      </c>
      <c r="AG52" s="17">
        <f>'Grid_Stock'!Y47</f>
        <v/>
      </c>
      <c r="AH52" s="17">
        <f>'Grid_Stock'!Z47</f>
        <v/>
      </c>
      <c r="AI52" s="17">
        <f>'Grid_Stock'!AA47</f>
        <v/>
      </c>
      <c r="AJ52" s="17">
        <f>'Grid_Stock'!AB47</f>
        <v/>
      </c>
      <c r="AK52" s="17">
        <f>'Grid_Stock'!AC47</f>
        <v/>
      </c>
      <c r="AL52" s="17">
        <f>'Grid_Stock'!AD47</f>
        <v/>
      </c>
      <c r="AM52" s="17">
        <f>'Grid_Stock'!AE47</f>
        <v/>
      </c>
      <c r="AN52" s="17">
        <f>'Grid_Stock'!AF47</f>
        <v/>
      </c>
      <c r="AO52" s="17">
        <f>'Grid_Stock'!AG47</f>
        <v/>
      </c>
      <c r="AP52" s="17">
        <f>'Grid_Stock'!AH47</f>
        <v/>
      </c>
      <c r="AQ52" s="17">
        <f>'Grid_Stock'!AI47</f>
        <v/>
      </c>
      <c r="AR52" s="17">
        <f>'Grid_Stock'!AJ47</f>
        <v/>
      </c>
      <c r="AS52" s="17">
        <f>'Grid_Stock'!AK47</f>
        <v/>
      </c>
      <c r="AT52" s="17">
        <f>'Grid_Stock'!AL47</f>
        <v/>
      </c>
      <c r="AU52" s="17">
        <f>'Grid_Stock'!AM47</f>
        <v/>
      </c>
      <c r="AV52" s="17">
        <f>'Grid_Stock'!AN47</f>
        <v/>
      </c>
      <c r="AW52" s="17">
        <f>'Grid_Stock'!AO47</f>
        <v/>
      </c>
      <c r="AX52" s="17">
        <f>'Grid_Stock'!AP47</f>
        <v/>
      </c>
      <c r="AY52" s="17">
        <f>'Grid_Stock'!AQ47</f>
        <v/>
      </c>
      <c r="AZ52" s="17">
        <f>'Grid_Stock'!AR47</f>
        <v/>
      </c>
      <c r="BA52" s="17">
        <f>'Grid_Stock'!AS47</f>
        <v/>
      </c>
      <c r="BB52" s="17">
        <f>'Grid_Stock'!AT47</f>
        <v/>
      </c>
      <c r="BC52" s="17">
        <f>'Grid_Stock'!AU47</f>
        <v/>
      </c>
      <c r="BD52" s="17">
        <f>'Grid_Stock'!AV47</f>
        <v/>
      </c>
      <c r="BE52" s="17">
        <f>'Grid_Stock'!AW47</f>
        <v/>
      </c>
      <c r="BF52" s="17">
        <f>'Grid_Stock'!AX47</f>
        <v/>
      </c>
      <c r="BG52" s="17">
        <f>'Grid_Stock'!AY47</f>
        <v/>
      </c>
      <c r="BH52" s="17">
        <f>'Grid_Stock'!AZ47</f>
        <v/>
      </c>
      <c r="BI52" s="17">
        <f>'Grid_Stock'!BA47</f>
        <v/>
      </c>
      <c r="BJ52" s="17">
        <f>'Grid_Stock'!BB47</f>
        <v/>
      </c>
      <c r="BK52" s="17">
        <f>'Grid_Stock'!BC47</f>
        <v/>
      </c>
      <c r="BL52" s="17">
        <f>'Grid_Stock'!BD47</f>
        <v/>
      </c>
      <c r="BM52" s="17">
        <f>'Grid_Stock'!BE47</f>
        <v/>
      </c>
      <c r="BN52" s="17">
        <f>'Grid_Stock'!BF47</f>
        <v/>
      </c>
      <c r="BO52" s="17">
        <f>'Grid_Stock'!BG47</f>
        <v/>
      </c>
      <c r="BP52" s="17">
        <f>'Grid_Stock'!BH47</f>
        <v/>
      </c>
      <c r="BQ52" s="17">
        <f>'Grid_Stock'!BI47</f>
        <v/>
      </c>
      <c r="BR52" s="17">
        <f>'Grid_Stock'!BJ47</f>
        <v/>
      </c>
      <c r="BS52" s="17">
        <f>'Grid_Stock'!BK47</f>
        <v/>
      </c>
      <c r="BT52" s="17">
        <f>'Grid_Stock'!BL47</f>
        <v/>
      </c>
      <c r="BU52" s="17">
        <f>'Grid_Stock'!BM47</f>
        <v/>
      </c>
      <c r="BV52" s="17">
        <f>'Grid_Stock'!BN47</f>
        <v/>
      </c>
      <c r="BW52" s="17">
        <f>'Grid_Stock'!BO47</f>
        <v/>
      </c>
      <c r="BX52" s="17">
        <f>'Grid_Stock'!BP47</f>
        <v/>
      </c>
      <c r="BY52" s="17">
        <f>'Grid_Stock'!BQ47</f>
        <v/>
      </c>
      <c r="BZ52" s="17">
        <f>'Grid_Stock'!BR47</f>
        <v/>
      </c>
      <c r="CA52" s="17">
        <f>'Grid_Stock'!BS47</f>
        <v/>
      </c>
      <c r="CB52" s="17">
        <f>'Grid_Stock'!BT47</f>
        <v/>
      </c>
      <c r="CC52" s="17">
        <f>'Grid_Stock'!BU47</f>
        <v/>
      </c>
      <c r="CD52" s="17">
        <f>'Grid_Stock'!BV47</f>
        <v/>
      </c>
      <c r="CE52" s="17">
        <f>'Grid_Stock'!BW47</f>
        <v/>
      </c>
      <c r="CF52" s="17">
        <f>'Grid_Stock'!BX47</f>
        <v/>
      </c>
      <c r="CG52" s="17">
        <f>'Grid_Stock'!BY47</f>
        <v/>
      </c>
      <c r="CH52" s="17">
        <f>'Grid_Stock'!BZ47</f>
        <v/>
      </c>
      <c r="CI52" s="17">
        <f>'Grid_Stock'!CA47</f>
        <v/>
      </c>
      <c r="CJ52" s="17">
        <f>'Grid_Stock'!CB47</f>
        <v/>
      </c>
      <c r="CK52" s="17">
        <f>'Grid_Stock'!CC47</f>
        <v/>
      </c>
      <c r="CL52" s="17">
        <f>'Grid_Stock'!CD47</f>
        <v/>
      </c>
      <c r="CM52" s="17">
        <f>'Grid_Stock'!CE47</f>
        <v/>
      </c>
      <c r="CN52" s="17">
        <f>'Grid_Stock'!CF47</f>
        <v/>
      </c>
      <c r="CO52" s="17">
        <f>'Grid_Stock'!CG47</f>
        <v/>
      </c>
      <c r="CP52" s="17">
        <f>'Grid_Stock'!CH47</f>
        <v/>
      </c>
      <c r="CQ52" s="17">
        <f>'Grid_Stock'!CI47</f>
        <v/>
      </c>
      <c r="CR52" s="17">
        <f>'Grid_Stock'!CJ47</f>
        <v/>
      </c>
      <c r="CS52" s="17">
        <f>'Grid_Stock'!CK47</f>
        <v/>
      </c>
      <c r="CT52" s="17">
        <f>'Grid_Stock'!CL47</f>
        <v/>
      </c>
      <c r="CU52" s="17">
        <f>'Grid_Stock'!CM47</f>
        <v/>
      </c>
      <c r="CV52" s="17">
        <f>'Grid_Stock'!CN47</f>
        <v/>
      </c>
      <c r="CW52" s="17">
        <f>'Grid_Stock'!CO47</f>
        <v/>
      </c>
      <c r="CX52" s="17">
        <f>'Grid_Stock'!CP47</f>
        <v/>
      </c>
      <c r="CY52" s="17">
        <f>'Grid_Stock'!CQ47</f>
        <v/>
      </c>
      <c r="CZ52" s="17">
        <f>'Grid_Stock'!CR47</f>
        <v/>
      </c>
      <c r="DA52" s="17">
        <f>'Grid_Stock'!CS47</f>
        <v/>
      </c>
      <c r="DB52" s="17">
        <f>'Grid_Stock'!CT47</f>
        <v/>
      </c>
      <c r="DC52" s="17">
        <f>'Grid_Stock'!CU47</f>
        <v/>
      </c>
      <c r="DD52" s="17">
        <f>'Grid_Stock'!CV47</f>
        <v/>
      </c>
      <c r="DE52" s="17">
        <f>'Grid_Stock'!CW47</f>
        <v/>
      </c>
      <c r="DF52" s="17">
        <f>'Grid_Stock'!CX47</f>
        <v/>
      </c>
      <c r="DG52" s="17">
        <f>'Grid_Stock'!CY47</f>
        <v/>
      </c>
      <c r="DH52" s="17">
        <f>'Grid_Stock'!CZ47</f>
        <v/>
      </c>
      <c r="DI52" s="17">
        <f>'Grid_Stock'!DA47</f>
        <v/>
      </c>
    </row>
    <row r="53">
      <c r="A53" s="15" t="inlineStr">
        <is>
          <t>CHEM-1450</t>
        </is>
      </c>
      <c r="B53" s="15">
        <f>IFERROR(INDEX(M_RawMaterials[Description],MATCH($A53,M_RawMaterials[RM_Code],0)),"")</f>
        <v/>
      </c>
      <c r="C53" s="15">
        <f>IFERROR(INDEX(M_RawMaterials[Category],MATCH($A53,M_RawMaterials[RM_Code],0)),"")</f>
        <v/>
      </c>
      <c r="D53" s="15">
        <f>IFERROR(INDEX(M_RawMaterials[基準在庫下限_要入力],MATCH($A53,M_RawMaterials[RM_Code],0)),0)</f>
        <v/>
      </c>
      <c r="E53" s="15">
        <f>IFERROR(INDEX(M_RawMaterials[基準在庫上限_要入力],MATCH($A53,M_RawMaterials[RM_Code],0)),0)</f>
        <v/>
      </c>
      <c r="F53" s="15">
        <f>IFERROR(LOOKUP(2,1/(T_SelfStock!$A$2:$A$12000=$A53),T_SelfStock!$D$2:$D$12000),"")</f>
        <v/>
      </c>
      <c r="G53" s="15">
        <f>IFERROR(LOOKUP(2,1/(T_TTAFStock!$A$2:$A$12000=$A53),T_TTAFStock!$D$2:$D$12000),"")</f>
        <v/>
      </c>
      <c r="H53" s="15">
        <f>IFERROR(INDEX(Cal_Weeks[Label],LOOKUP(2,1/(T_SelfStock!$A$2:$A$12000=$A53),T_SelfStock!$C$2:$C$12000)),"")</f>
        <v/>
      </c>
      <c r="I53" s="16">
        <f>IFERROR(INDEX(J53:DI53,$F$1),"")</f>
        <v/>
      </c>
      <c r="J53" s="15">
        <f>'Grid_Stock'!B48</f>
        <v/>
      </c>
      <c r="K53" s="15">
        <f>'Grid_Stock'!C48</f>
        <v/>
      </c>
      <c r="L53" s="15">
        <f>'Grid_Stock'!D48</f>
        <v/>
      </c>
      <c r="M53" s="15">
        <f>'Grid_Stock'!E48</f>
        <v/>
      </c>
      <c r="N53" s="15">
        <f>'Grid_Stock'!F48</f>
        <v/>
      </c>
      <c r="O53" s="15">
        <f>'Grid_Stock'!G48</f>
        <v/>
      </c>
      <c r="P53" s="15">
        <f>'Grid_Stock'!H48</f>
        <v/>
      </c>
      <c r="Q53" s="15">
        <f>'Grid_Stock'!I48</f>
        <v/>
      </c>
      <c r="R53" s="15">
        <f>'Grid_Stock'!J48</f>
        <v/>
      </c>
      <c r="S53" s="15">
        <f>'Grid_Stock'!K48</f>
        <v/>
      </c>
      <c r="T53" s="15">
        <f>'Grid_Stock'!L48</f>
        <v/>
      </c>
      <c r="U53" s="15">
        <f>'Grid_Stock'!M48</f>
        <v/>
      </c>
      <c r="V53" s="15">
        <f>'Grid_Stock'!N48</f>
        <v/>
      </c>
      <c r="W53" s="15">
        <f>'Grid_Stock'!O48</f>
        <v/>
      </c>
      <c r="X53" s="15">
        <f>'Grid_Stock'!P48</f>
        <v/>
      </c>
      <c r="Y53" s="15">
        <f>'Grid_Stock'!Q48</f>
        <v/>
      </c>
      <c r="Z53" s="15">
        <f>'Grid_Stock'!R48</f>
        <v/>
      </c>
      <c r="AA53" s="15">
        <f>'Grid_Stock'!S48</f>
        <v/>
      </c>
      <c r="AB53" s="15">
        <f>'Grid_Stock'!T48</f>
        <v/>
      </c>
      <c r="AC53" s="15">
        <f>'Grid_Stock'!U48</f>
        <v/>
      </c>
      <c r="AD53" s="15">
        <f>'Grid_Stock'!V48</f>
        <v/>
      </c>
      <c r="AE53" s="15">
        <f>'Grid_Stock'!W48</f>
        <v/>
      </c>
      <c r="AF53" s="15">
        <f>'Grid_Stock'!X48</f>
        <v/>
      </c>
      <c r="AG53" s="15">
        <f>'Grid_Stock'!Y48</f>
        <v/>
      </c>
      <c r="AH53" s="15">
        <f>'Grid_Stock'!Z48</f>
        <v/>
      </c>
      <c r="AI53" s="15">
        <f>'Grid_Stock'!AA48</f>
        <v/>
      </c>
      <c r="AJ53" s="15">
        <f>'Grid_Stock'!AB48</f>
        <v/>
      </c>
      <c r="AK53" s="15">
        <f>'Grid_Stock'!AC48</f>
        <v/>
      </c>
      <c r="AL53" s="15">
        <f>'Grid_Stock'!AD48</f>
        <v/>
      </c>
      <c r="AM53" s="15">
        <f>'Grid_Stock'!AE48</f>
        <v/>
      </c>
      <c r="AN53" s="15">
        <f>'Grid_Stock'!AF48</f>
        <v/>
      </c>
      <c r="AO53" s="15">
        <f>'Grid_Stock'!AG48</f>
        <v/>
      </c>
      <c r="AP53" s="15">
        <f>'Grid_Stock'!AH48</f>
        <v/>
      </c>
      <c r="AQ53" s="15">
        <f>'Grid_Stock'!AI48</f>
        <v/>
      </c>
      <c r="AR53" s="15">
        <f>'Grid_Stock'!AJ48</f>
        <v/>
      </c>
      <c r="AS53" s="15">
        <f>'Grid_Stock'!AK48</f>
        <v/>
      </c>
      <c r="AT53" s="15">
        <f>'Grid_Stock'!AL48</f>
        <v/>
      </c>
      <c r="AU53" s="15">
        <f>'Grid_Stock'!AM48</f>
        <v/>
      </c>
      <c r="AV53" s="15">
        <f>'Grid_Stock'!AN48</f>
        <v/>
      </c>
      <c r="AW53" s="15">
        <f>'Grid_Stock'!AO48</f>
        <v/>
      </c>
      <c r="AX53" s="15">
        <f>'Grid_Stock'!AP48</f>
        <v/>
      </c>
      <c r="AY53" s="15">
        <f>'Grid_Stock'!AQ48</f>
        <v/>
      </c>
      <c r="AZ53" s="15">
        <f>'Grid_Stock'!AR48</f>
        <v/>
      </c>
      <c r="BA53" s="15">
        <f>'Grid_Stock'!AS48</f>
        <v/>
      </c>
      <c r="BB53" s="15">
        <f>'Grid_Stock'!AT48</f>
        <v/>
      </c>
      <c r="BC53" s="15">
        <f>'Grid_Stock'!AU48</f>
        <v/>
      </c>
      <c r="BD53" s="15">
        <f>'Grid_Stock'!AV48</f>
        <v/>
      </c>
      <c r="BE53" s="15">
        <f>'Grid_Stock'!AW48</f>
        <v/>
      </c>
      <c r="BF53" s="15">
        <f>'Grid_Stock'!AX48</f>
        <v/>
      </c>
      <c r="BG53" s="15">
        <f>'Grid_Stock'!AY48</f>
        <v/>
      </c>
      <c r="BH53" s="15">
        <f>'Grid_Stock'!AZ48</f>
        <v/>
      </c>
      <c r="BI53" s="15">
        <f>'Grid_Stock'!BA48</f>
        <v/>
      </c>
      <c r="BJ53" s="15">
        <f>'Grid_Stock'!BB48</f>
        <v/>
      </c>
      <c r="BK53" s="15">
        <f>'Grid_Stock'!BC48</f>
        <v/>
      </c>
      <c r="BL53" s="15">
        <f>'Grid_Stock'!BD48</f>
        <v/>
      </c>
      <c r="BM53" s="15">
        <f>'Grid_Stock'!BE48</f>
        <v/>
      </c>
      <c r="BN53" s="15">
        <f>'Grid_Stock'!BF48</f>
        <v/>
      </c>
      <c r="BO53" s="15">
        <f>'Grid_Stock'!BG48</f>
        <v/>
      </c>
      <c r="BP53" s="15">
        <f>'Grid_Stock'!BH48</f>
        <v/>
      </c>
      <c r="BQ53" s="15">
        <f>'Grid_Stock'!BI48</f>
        <v/>
      </c>
      <c r="BR53" s="15">
        <f>'Grid_Stock'!BJ48</f>
        <v/>
      </c>
      <c r="BS53" s="15">
        <f>'Grid_Stock'!BK48</f>
        <v/>
      </c>
      <c r="BT53" s="15">
        <f>'Grid_Stock'!BL48</f>
        <v/>
      </c>
      <c r="BU53" s="15">
        <f>'Grid_Stock'!BM48</f>
        <v/>
      </c>
      <c r="BV53" s="15">
        <f>'Grid_Stock'!BN48</f>
        <v/>
      </c>
      <c r="BW53" s="15">
        <f>'Grid_Stock'!BO48</f>
        <v/>
      </c>
      <c r="BX53" s="15">
        <f>'Grid_Stock'!BP48</f>
        <v/>
      </c>
      <c r="BY53" s="15">
        <f>'Grid_Stock'!BQ48</f>
        <v/>
      </c>
      <c r="BZ53" s="15">
        <f>'Grid_Stock'!BR48</f>
        <v/>
      </c>
      <c r="CA53" s="15">
        <f>'Grid_Stock'!BS48</f>
        <v/>
      </c>
      <c r="CB53" s="15">
        <f>'Grid_Stock'!BT48</f>
        <v/>
      </c>
      <c r="CC53" s="15">
        <f>'Grid_Stock'!BU48</f>
        <v/>
      </c>
      <c r="CD53" s="15">
        <f>'Grid_Stock'!BV48</f>
        <v/>
      </c>
      <c r="CE53" s="15">
        <f>'Grid_Stock'!BW48</f>
        <v/>
      </c>
      <c r="CF53" s="15">
        <f>'Grid_Stock'!BX48</f>
        <v/>
      </c>
      <c r="CG53" s="15">
        <f>'Grid_Stock'!BY48</f>
        <v/>
      </c>
      <c r="CH53" s="15">
        <f>'Grid_Stock'!BZ48</f>
        <v/>
      </c>
      <c r="CI53" s="15">
        <f>'Grid_Stock'!CA48</f>
        <v/>
      </c>
      <c r="CJ53" s="15">
        <f>'Grid_Stock'!CB48</f>
        <v/>
      </c>
      <c r="CK53" s="15">
        <f>'Grid_Stock'!CC48</f>
        <v/>
      </c>
      <c r="CL53" s="15">
        <f>'Grid_Stock'!CD48</f>
        <v/>
      </c>
      <c r="CM53" s="15">
        <f>'Grid_Stock'!CE48</f>
        <v/>
      </c>
      <c r="CN53" s="15">
        <f>'Grid_Stock'!CF48</f>
        <v/>
      </c>
      <c r="CO53" s="15">
        <f>'Grid_Stock'!CG48</f>
        <v/>
      </c>
      <c r="CP53" s="15">
        <f>'Grid_Stock'!CH48</f>
        <v/>
      </c>
      <c r="CQ53" s="15">
        <f>'Grid_Stock'!CI48</f>
        <v/>
      </c>
      <c r="CR53" s="15">
        <f>'Grid_Stock'!CJ48</f>
        <v/>
      </c>
      <c r="CS53" s="15">
        <f>'Grid_Stock'!CK48</f>
        <v/>
      </c>
      <c r="CT53" s="15">
        <f>'Grid_Stock'!CL48</f>
        <v/>
      </c>
      <c r="CU53" s="15">
        <f>'Grid_Stock'!CM48</f>
        <v/>
      </c>
      <c r="CV53" s="15">
        <f>'Grid_Stock'!CN48</f>
        <v/>
      </c>
      <c r="CW53" s="15">
        <f>'Grid_Stock'!CO48</f>
        <v/>
      </c>
      <c r="CX53" s="15">
        <f>'Grid_Stock'!CP48</f>
        <v/>
      </c>
      <c r="CY53" s="15">
        <f>'Grid_Stock'!CQ48</f>
        <v/>
      </c>
      <c r="CZ53" s="15">
        <f>'Grid_Stock'!CR48</f>
        <v/>
      </c>
      <c r="DA53" s="15">
        <f>'Grid_Stock'!CS48</f>
        <v/>
      </c>
      <c r="DB53" s="15">
        <f>'Grid_Stock'!CT48</f>
        <v/>
      </c>
      <c r="DC53" s="15">
        <f>'Grid_Stock'!CU48</f>
        <v/>
      </c>
      <c r="DD53" s="15">
        <f>'Grid_Stock'!CV48</f>
        <v/>
      </c>
      <c r="DE53" s="15">
        <f>'Grid_Stock'!CW48</f>
        <v/>
      </c>
      <c r="DF53" s="15">
        <f>'Grid_Stock'!CX48</f>
        <v/>
      </c>
      <c r="DG53" s="15">
        <f>'Grid_Stock'!CY48</f>
        <v/>
      </c>
      <c r="DH53" s="15">
        <f>'Grid_Stock'!CZ48</f>
        <v/>
      </c>
      <c r="DI53" s="15">
        <f>'Grid_Stock'!DA48</f>
        <v/>
      </c>
    </row>
    <row r="54">
      <c r="A54" s="17" t="inlineStr">
        <is>
          <t>CHEM-1470</t>
        </is>
      </c>
      <c r="B54" s="17">
        <f>IFERROR(INDEX(M_RawMaterials[Description],MATCH($A54,M_RawMaterials[RM_Code],0)),"")</f>
        <v/>
      </c>
      <c r="C54" s="17">
        <f>IFERROR(INDEX(M_RawMaterials[Category],MATCH($A54,M_RawMaterials[RM_Code],0)),"")</f>
        <v/>
      </c>
      <c r="D54" s="17">
        <f>IFERROR(INDEX(M_RawMaterials[基準在庫下限_要入力],MATCH($A54,M_RawMaterials[RM_Code],0)),0)</f>
        <v/>
      </c>
      <c r="E54" s="17">
        <f>IFERROR(INDEX(M_RawMaterials[基準在庫上限_要入力],MATCH($A54,M_RawMaterials[RM_Code],0)),0)</f>
        <v/>
      </c>
      <c r="F54" s="17">
        <f>IFERROR(LOOKUP(2,1/(T_SelfStock!$A$2:$A$12000=$A54),T_SelfStock!$D$2:$D$12000),"")</f>
        <v/>
      </c>
      <c r="G54" s="17">
        <f>IFERROR(LOOKUP(2,1/(T_TTAFStock!$A$2:$A$12000=$A54),T_TTAFStock!$D$2:$D$12000),"")</f>
        <v/>
      </c>
      <c r="H54" s="17">
        <f>IFERROR(INDEX(Cal_Weeks[Label],LOOKUP(2,1/(T_SelfStock!$A$2:$A$12000=$A54),T_SelfStock!$C$2:$C$12000)),"")</f>
        <v/>
      </c>
      <c r="I54" s="16">
        <f>IFERROR(INDEX(J54:DI54,$F$1),"")</f>
        <v/>
      </c>
      <c r="J54" s="17">
        <f>'Grid_Stock'!B49</f>
        <v/>
      </c>
      <c r="K54" s="17">
        <f>'Grid_Stock'!C49</f>
        <v/>
      </c>
      <c r="L54" s="17">
        <f>'Grid_Stock'!D49</f>
        <v/>
      </c>
      <c r="M54" s="17">
        <f>'Grid_Stock'!E49</f>
        <v/>
      </c>
      <c r="N54" s="17">
        <f>'Grid_Stock'!F49</f>
        <v/>
      </c>
      <c r="O54" s="17">
        <f>'Grid_Stock'!G49</f>
        <v/>
      </c>
      <c r="P54" s="17">
        <f>'Grid_Stock'!H49</f>
        <v/>
      </c>
      <c r="Q54" s="17">
        <f>'Grid_Stock'!I49</f>
        <v/>
      </c>
      <c r="R54" s="17">
        <f>'Grid_Stock'!J49</f>
        <v/>
      </c>
      <c r="S54" s="17">
        <f>'Grid_Stock'!K49</f>
        <v/>
      </c>
      <c r="T54" s="17">
        <f>'Grid_Stock'!L49</f>
        <v/>
      </c>
      <c r="U54" s="17">
        <f>'Grid_Stock'!M49</f>
        <v/>
      </c>
      <c r="V54" s="17">
        <f>'Grid_Stock'!N49</f>
        <v/>
      </c>
      <c r="W54" s="17">
        <f>'Grid_Stock'!O49</f>
        <v/>
      </c>
      <c r="X54" s="17">
        <f>'Grid_Stock'!P49</f>
        <v/>
      </c>
      <c r="Y54" s="17">
        <f>'Grid_Stock'!Q49</f>
        <v/>
      </c>
      <c r="Z54" s="17">
        <f>'Grid_Stock'!R49</f>
        <v/>
      </c>
      <c r="AA54" s="17">
        <f>'Grid_Stock'!S49</f>
        <v/>
      </c>
      <c r="AB54" s="17">
        <f>'Grid_Stock'!T49</f>
        <v/>
      </c>
      <c r="AC54" s="17">
        <f>'Grid_Stock'!U49</f>
        <v/>
      </c>
      <c r="AD54" s="17">
        <f>'Grid_Stock'!V49</f>
        <v/>
      </c>
      <c r="AE54" s="17">
        <f>'Grid_Stock'!W49</f>
        <v/>
      </c>
      <c r="AF54" s="17">
        <f>'Grid_Stock'!X49</f>
        <v/>
      </c>
      <c r="AG54" s="17">
        <f>'Grid_Stock'!Y49</f>
        <v/>
      </c>
      <c r="AH54" s="17">
        <f>'Grid_Stock'!Z49</f>
        <v/>
      </c>
      <c r="AI54" s="17">
        <f>'Grid_Stock'!AA49</f>
        <v/>
      </c>
      <c r="AJ54" s="17">
        <f>'Grid_Stock'!AB49</f>
        <v/>
      </c>
      <c r="AK54" s="17">
        <f>'Grid_Stock'!AC49</f>
        <v/>
      </c>
      <c r="AL54" s="17">
        <f>'Grid_Stock'!AD49</f>
        <v/>
      </c>
      <c r="AM54" s="17">
        <f>'Grid_Stock'!AE49</f>
        <v/>
      </c>
      <c r="AN54" s="17">
        <f>'Grid_Stock'!AF49</f>
        <v/>
      </c>
      <c r="AO54" s="17">
        <f>'Grid_Stock'!AG49</f>
        <v/>
      </c>
      <c r="AP54" s="17">
        <f>'Grid_Stock'!AH49</f>
        <v/>
      </c>
      <c r="AQ54" s="17">
        <f>'Grid_Stock'!AI49</f>
        <v/>
      </c>
      <c r="AR54" s="17">
        <f>'Grid_Stock'!AJ49</f>
        <v/>
      </c>
      <c r="AS54" s="17">
        <f>'Grid_Stock'!AK49</f>
        <v/>
      </c>
      <c r="AT54" s="17">
        <f>'Grid_Stock'!AL49</f>
        <v/>
      </c>
      <c r="AU54" s="17">
        <f>'Grid_Stock'!AM49</f>
        <v/>
      </c>
      <c r="AV54" s="17">
        <f>'Grid_Stock'!AN49</f>
        <v/>
      </c>
      <c r="AW54" s="17">
        <f>'Grid_Stock'!AO49</f>
        <v/>
      </c>
      <c r="AX54" s="17">
        <f>'Grid_Stock'!AP49</f>
        <v/>
      </c>
      <c r="AY54" s="17">
        <f>'Grid_Stock'!AQ49</f>
        <v/>
      </c>
      <c r="AZ54" s="17">
        <f>'Grid_Stock'!AR49</f>
        <v/>
      </c>
      <c r="BA54" s="17">
        <f>'Grid_Stock'!AS49</f>
        <v/>
      </c>
      <c r="BB54" s="17">
        <f>'Grid_Stock'!AT49</f>
        <v/>
      </c>
      <c r="BC54" s="17">
        <f>'Grid_Stock'!AU49</f>
        <v/>
      </c>
      <c r="BD54" s="17">
        <f>'Grid_Stock'!AV49</f>
        <v/>
      </c>
      <c r="BE54" s="17">
        <f>'Grid_Stock'!AW49</f>
        <v/>
      </c>
      <c r="BF54" s="17">
        <f>'Grid_Stock'!AX49</f>
        <v/>
      </c>
      <c r="BG54" s="17">
        <f>'Grid_Stock'!AY49</f>
        <v/>
      </c>
      <c r="BH54" s="17">
        <f>'Grid_Stock'!AZ49</f>
        <v/>
      </c>
      <c r="BI54" s="17">
        <f>'Grid_Stock'!BA49</f>
        <v/>
      </c>
      <c r="BJ54" s="17">
        <f>'Grid_Stock'!BB49</f>
        <v/>
      </c>
      <c r="BK54" s="17">
        <f>'Grid_Stock'!BC49</f>
        <v/>
      </c>
      <c r="BL54" s="17">
        <f>'Grid_Stock'!BD49</f>
        <v/>
      </c>
      <c r="BM54" s="17">
        <f>'Grid_Stock'!BE49</f>
        <v/>
      </c>
      <c r="BN54" s="17">
        <f>'Grid_Stock'!BF49</f>
        <v/>
      </c>
      <c r="BO54" s="17">
        <f>'Grid_Stock'!BG49</f>
        <v/>
      </c>
      <c r="BP54" s="17">
        <f>'Grid_Stock'!BH49</f>
        <v/>
      </c>
      <c r="BQ54" s="17">
        <f>'Grid_Stock'!BI49</f>
        <v/>
      </c>
      <c r="BR54" s="17">
        <f>'Grid_Stock'!BJ49</f>
        <v/>
      </c>
      <c r="BS54" s="17">
        <f>'Grid_Stock'!BK49</f>
        <v/>
      </c>
      <c r="BT54" s="17">
        <f>'Grid_Stock'!BL49</f>
        <v/>
      </c>
      <c r="BU54" s="17">
        <f>'Grid_Stock'!BM49</f>
        <v/>
      </c>
      <c r="BV54" s="17">
        <f>'Grid_Stock'!BN49</f>
        <v/>
      </c>
      <c r="BW54" s="17">
        <f>'Grid_Stock'!BO49</f>
        <v/>
      </c>
      <c r="BX54" s="17">
        <f>'Grid_Stock'!BP49</f>
        <v/>
      </c>
      <c r="BY54" s="17">
        <f>'Grid_Stock'!BQ49</f>
        <v/>
      </c>
      <c r="BZ54" s="17">
        <f>'Grid_Stock'!BR49</f>
        <v/>
      </c>
      <c r="CA54" s="17">
        <f>'Grid_Stock'!BS49</f>
        <v/>
      </c>
      <c r="CB54" s="17">
        <f>'Grid_Stock'!BT49</f>
        <v/>
      </c>
      <c r="CC54" s="17">
        <f>'Grid_Stock'!BU49</f>
        <v/>
      </c>
      <c r="CD54" s="17">
        <f>'Grid_Stock'!BV49</f>
        <v/>
      </c>
      <c r="CE54" s="17">
        <f>'Grid_Stock'!BW49</f>
        <v/>
      </c>
      <c r="CF54" s="17">
        <f>'Grid_Stock'!BX49</f>
        <v/>
      </c>
      <c r="CG54" s="17">
        <f>'Grid_Stock'!BY49</f>
        <v/>
      </c>
      <c r="CH54" s="17">
        <f>'Grid_Stock'!BZ49</f>
        <v/>
      </c>
      <c r="CI54" s="17">
        <f>'Grid_Stock'!CA49</f>
        <v/>
      </c>
      <c r="CJ54" s="17">
        <f>'Grid_Stock'!CB49</f>
        <v/>
      </c>
      <c r="CK54" s="17">
        <f>'Grid_Stock'!CC49</f>
        <v/>
      </c>
      <c r="CL54" s="17">
        <f>'Grid_Stock'!CD49</f>
        <v/>
      </c>
      <c r="CM54" s="17">
        <f>'Grid_Stock'!CE49</f>
        <v/>
      </c>
      <c r="CN54" s="17">
        <f>'Grid_Stock'!CF49</f>
        <v/>
      </c>
      <c r="CO54" s="17">
        <f>'Grid_Stock'!CG49</f>
        <v/>
      </c>
      <c r="CP54" s="17">
        <f>'Grid_Stock'!CH49</f>
        <v/>
      </c>
      <c r="CQ54" s="17">
        <f>'Grid_Stock'!CI49</f>
        <v/>
      </c>
      <c r="CR54" s="17">
        <f>'Grid_Stock'!CJ49</f>
        <v/>
      </c>
      <c r="CS54" s="17">
        <f>'Grid_Stock'!CK49</f>
        <v/>
      </c>
      <c r="CT54" s="17">
        <f>'Grid_Stock'!CL49</f>
        <v/>
      </c>
      <c r="CU54" s="17">
        <f>'Grid_Stock'!CM49</f>
        <v/>
      </c>
      <c r="CV54" s="17">
        <f>'Grid_Stock'!CN49</f>
        <v/>
      </c>
      <c r="CW54" s="17">
        <f>'Grid_Stock'!CO49</f>
        <v/>
      </c>
      <c r="CX54" s="17">
        <f>'Grid_Stock'!CP49</f>
        <v/>
      </c>
      <c r="CY54" s="17">
        <f>'Grid_Stock'!CQ49</f>
        <v/>
      </c>
      <c r="CZ54" s="17">
        <f>'Grid_Stock'!CR49</f>
        <v/>
      </c>
      <c r="DA54" s="17">
        <f>'Grid_Stock'!CS49</f>
        <v/>
      </c>
      <c r="DB54" s="17">
        <f>'Grid_Stock'!CT49</f>
        <v/>
      </c>
      <c r="DC54" s="17">
        <f>'Grid_Stock'!CU49</f>
        <v/>
      </c>
      <c r="DD54" s="17">
        <f>'Grid_Stock'!CV49</f>
        <v/>
      </c>
      <c r="DE54" s="17">
        <f>'Grid_Stock'!CW49</f>
        <v/>
      </c>
      <c r="DF54" s="17">
        <f>'Grid_Stock'!CX49</f>
        <v/>
      </c>
      <c r="DG54" s="17">
        <f>'Grid_Stock'!CY49</f>
        <v/>
      </c>
      <c r="DH54" s="17">
        <f>'Grid_Stock'!CZ49</f>
        <v/>
      </c>
      <c r="DI54" s="17">
        <f>'Grid_Stock'!DA49</f>
        <v/>
      </c>
    </row>
    <row r="55">
      <c r="A55" s="15" t="inlineStr">
        <is>
          <t>CHEM-1480</t>
        </is>
      </c>
      <c r="B55" s="15">
        <f>IFERROR(INDEX(M_RawMaterials[Description],MATCH($A55,M_RawMaterials[RM_Code],0)),"")</f>
        <v/>
      </c>
      <c r="C55" s="15">
        <f>IFERROR(INDEX(M_RawMaterials[Category],MATCH($A55,M_RawMaterials[RM_Code],0)),"")</f>
        <v/>
      </c>
      <c r="D55" s="15">
        <f>IFERROR(INDEX(M_RawMaterials[基準在庫下限_要入力],MATCH($A55,M_RawMaterials[RM_Code],0)),0)</f>
        <v/>
      </c>
      <c r="E55" s="15">
        <f>IFERROR(INDEX(M_RawMaterials[基準在庫上限_要入力],MATCH($A55,M_RawMaterials[RM_Code],0)),0)</f>
        <v/>
      </c>
      <c r="F55" s="15">
        <f>IFERROR(LOOKUP(2,1/(T_SelfStock!$A$2:$A$12000=$A55),T_SelfStock!$D$2:$D$12000),"")</f>
        <v/>
      </c>
      <c r="G55" s="15">
        <f>IFERROR(LOOKUP(2,1/(T_TTAFStock!$A$2:$A$12000=$A55),T_TTAFStock!$D$2:$D$12000),"")</f>
        <v/>
      </c>
      <c r="H55" s="15">
        <f>IFERROR(INDEX(Cal_Weeks[Label],LOOKUP(2,1/(T_SelfStock!$A$2:$A$12000=$A55),T_SelfStock!$C$2:$C$12000)),"")</f>
        <v/>
      </c>
      <c r="I55" s="16">
        <f>IFERROR(INDEX(J55:DI55,$F$1),"")</f>
        <v/>
      </c>
      <c r="J55" s="15">
        <f>'Grid_Stock'!B50</f>
        <v/>
      </c>
      <c r="K55" s="15">
        <f>'Grid_Stock'!C50</f>
        <v/>
      </c>
      <c r="L55" s="15">
        <f>'Grid_Stock'!D50</f>
        <v/>
      </c>
      <c r="M55" s="15">
        <f>'Grid_Stock'!E50</f>
        <v/>
      </c>
      <c r="N55" s="15">
        <f>'Grid_Stock'!F50</f>
        <v/>
      </c>
      <c r="O55" s="15">
        <f>'Grid_Stock'!G50</f>
        <v/>
      </c>
      <c r="P55" s="15">
        <f>'Grid_Stock'!H50</f>
        <v/>
      </c>
      <c r="Q55" s="15">
        <f>'Grid_Stock'!I50</f>
        <v/>
      </c>
      <c r="R55" s="15">
        <f>'Grid_Stock'!J50</f>
        <v/>
      </c>
      <c r="S55" s="15">
        <f>'Grid_Stock'!K50</f>
        <v/>
      </c>
      <c r="T55" s="15">
        <f>'Grid_Stock'!L50</f>
        <v/>
      </c>
      <c r="U55" s="15">
        <f>'Grid_Stock'!M50</f>
        <v/>
      </c>
      <c r="V55" s="15">
        <f>'Grid_Stock'!N50</f>
        <v/>
      </c>
      <c r="W55" s="15">
        <f>'Grid_Stock'!O50</f>
        <v/>
      </c>
      <c r="X55" s="15">
        <f>'Grid_Stock'!P50</f>
        <v/>
      </c>
      <c r="Y55" s="15">
        <f>'Grid_Stock'!Q50</f>
        <v/>
      </c>
      <c r="Z55" s="15">
        <f>'Grid_Stock'!R50</f>
        <v/>
      </c>
      <c r="AA55" s="15">
        <f>'Grid_Stock'!S50</f>
        <v/>
      </c>
      <c r="AB55" s="15">
        <f>'Grid_Stock'!T50</f>
        <v/>
      </c>
      <c r="AC55" s="15">
        <f>'Grid_Stock'!U50</f>
        <v/>
      </c>
      <c r="AD55" s="15">
        <f>'Grid_Stock'!V50</f>
        <v/>
      </c>
      <c r="AE55" s="15">
        <f>'Grid_Stock'!W50</f>
        <v/>
      </c>
      <c r="AF55" s="15">
        <f>'Grid_Stock'!X50</f>
        <v/>
      </c>
      <c r="AG55" s="15">
        <f>'Grid_Stock'!Y50</f>
        <v/>
      </c>
      <c r="AH55" s="15">
        <f>'Grid_Stock'!Z50</f>
        <v/>
      </c>
      <c r="AI55" s="15">
        <f>'Grid_Stock'!AA50</f>
        <v/>
      </c>
      <c r="AJ55" s="15">
        <f>'Grid_Stock'!AB50</f>
        <v/>
      </c>
      <c r="AK55" s="15">
        <f>'Grid_Stock'!AC50</f>
        <v/>
      </c>
      <c r="AL55" s="15">
        <f>'Grid_Stock'!AD50</f>
        <v/>
      </c>
      <c r="AM55" s="15">
        <f>'Grid_Stock'!AE50</f>
        <v/>
      </c>
      <c r="AN55" s="15">
        <f>'Grid_Stock'!AF50</f>
        <v/>
      </c>
      <c r="AO55" s="15">
        <f>'Grid_Stock'!AG50</f>
        <v/>
      </c>
      <c r="AP55" s="15">
        <f>'Grid_Stock'!AH50</f>
        <v/>
      </c>
      <c r="AQ55" s="15">
        <f>'Grid_Stock'!AI50</f>
        <v/>
      </c>
      <c r="AR55" s="15">
        <f>'Grid_Stock'!AJ50</f>
        <v/>
      </c>
      <c r="AS55" s="15">
        <f>'Grid_Stock'!AK50</f>
        <v/>
      </c>
      <c r="AT55" s="15">
        <f>'Grid_Stock'!AL50</f>
        <v/>
      </c>
      <c r="AU55" s="15">
        <f>'Grid_Stock'!AM50</f>
        <v/>
      </c>
      <c r="AV55" s="15">
        <f>'Grid_Stock'!AN50</f>
        <v/>
      </c>
      <c r="AW55" s="15">
        <f>'Grid_Stock'!AO50</f>
        <v/>
      </c>
      <c r="AX55" s="15">
        <f>'Grid_Stock'!AP50</f>
        <v/>
      </c>
      <c r="AY55" s="15">
        <f>'Grid_Stock'!AQ50</f>
        <v/>
      </c>
      <c r="AZ55" s="15">
        <f>'Grid_Stock'!AR50</f>
        <v/>
      </c>
      <c r="BA55" s="15">
        <f>'Grid_Stock'!AS50</f>
        <v/>
      </c>
      <c r="BB55" s="15">
        <f>'Grid_Stock'!AT50</f>
        <v/>
      </c>
      <c r="BC55" s="15">
        <f>'Grid_Stock'!AU50</f>
        <v/>
      </c>
      <c r="BD55" s="15">
        <f>'Grid_Stock'!AV50</f>
        <v/>
      </c>
      <c r="BE55" s="15">
        <f>'Grid_Stock'!AW50</f>
        <v/>
      </c>
      <c r="BF55" s="15">
        <f>'Grid_Stock'!AX50</f>
        <v/>
      </c>
      <c r="BG55" s="15">
        <f>'Grid_Stock'!AY50</f>
        <v/>
      </c>
      <c r="BH55" s="15">
        <f>'Grid_Stock'!AZ50</f>
        <v/>
      </c>
      <c r="BI55" s="15">
        <f>'Grid_Stock'!BA50</f>
        <v/>
      </c>
      <c r="BJ55" s="15">
        <f>'Grid_Stock'!BB50</f>
        <v/>
      </c>
      <c r="BK55" s="15">
        <f>'Grid_Stock'!BC50</f>
        <v/>
      </c>
      <c r="BL55" s="15">
        <f>'Grid_Stock'!BD50</f>
        <v/>
      </c>
      <c r="BM55" s="15">
        <f>'Grid_Stock'!BE50</f>
        <v/>
      </c>
      <c r="BN55" s="15">
        <f>'Grid_Stock'!BF50</f>
        <v/>
      </c>
      <c r="BO55" s="15">
        <f>'Grid_Stock'!BG50</f>
        <v/>
      </c>
      <c r="BP55" s="15">
        <f>'Grid_Stock'!BH50</f>
        <v/>
      </c>
      <c r="BQ55" s="15">
        <f>'Grid_Stock'!BI50</f>
        <v/>
      </c>
      <c r="BR55" s="15">
        <f>'Grid_Stock'!BJ50</f>
        <v/>
      </c>
      <c r="BS55" s="15">
        <f>'Grid_Stock'!BK50</f>
        <v/>
      </c>
      <c r="BT55" s="15">
        <f>'Grid_Stock'!BL50</f>
        <v/>
      </c>
      <c r="BU55" s="15">
        <f>'Grid_Stock'!BM50</f>
        <v/>
      </c>
      <c r="BV55" s="15">
        <f>'Grid_Stock'!BN50</f>
        <v/>
      </c>
      <c r="BW55" s="15">
        <f>'Grid_Stock'!BO50</f>
        <v/>
      </c>
      <c r="BX55" s="15">
        <f>'Grid_Stock'!BP50</f>
        <v/>
      </c>
      <c r="BY55" s="15">
        <f>'Grid_Stock'!BQ50</f>
        <v/>
      </c>
      <c r="BZ55" s="15">
        <f>'Grid_Stock'!BR50</f>
        <v/>
      </c>
      <c r="CA55" s="15">
        <f>'Grid_Stock'!BS50</f>
        <v/>
      </c>
      <c r="CB55" s="15">
        <f>'Grid_Stock'!BT50</f>
        <v/>
      </c>
      <c r="CC55" s="15">
        <f>'Grid_Stock'!BU50</f>
        <v/>
      </c>
      <c r="CD55" s="15">
        <f>'Grid_Stock'!BV50</f>
        <v/>
      </c>
      <c r="CE55" s="15">
        <f>'Grid_Stock'!BW50</f>
        <v/>
      </c>
      <c r="CF55" s="15">
        <f>'Grid_Stock'!BX50</f>
        <v/>
      </c>
      <c r="CG55" s="15">
        <f>'Grid_Stock'!BY50</f>
        <v/>
      </c>
      <c r="CH55" s="15">
        <f>'Grid_Stock'!BZ50</f>
        <v/>
      </c>
      <c r="CI55" s="15">
        <f>'Grid_Stock'!CA50</f>
        <v/>
      </c>
      <c r="CJ55" s="15">
        <f>'Grid_Stock'!CB50</f>
        <v/>
      </c>
      <c r="CK55" s="15">
        <f>'Grid_Stock'!CC50</f>
        <v/>
      </c>
      <c r="CL55" s="15">
        <f>'Grid_Stock'!CD50</f>
        <v/>
      </c>
      <c r="CM55" s="15">
        <f>'Grid_Stock'!CE50</f>
        <v/>
      </c>
      <c r="CN55" s="15">
        <f>'Grid_Stock'!CF50</f>
        <v/>
      </c>
      <c r="CO55" s="15">
        <f>'Grid_Stock'!CG50</f>
        <v/>
      </c>
      <c r="CP55" s="15">
        <f>'Grid_Stock'!CH50</f>
        <v/>
      </c>
      <c r="CQ55" s="15">
        <f>'Grid_Stock'!CI50</f>
        <v/>
      </c>
      <c r="CR55" s="15">
        <f>'Grid_Stock'!CJ50</f>
        <v/>
      </c>
      <c r="CS55" s="15">
        <f>'Grid_Stock'!CK50</f>
        <v/>
      </c>
      <c r="CT55" s="15">
        <f>'Grid_Stock'!CL50</f>
        <v/>
      </c>
      <c r="CU55" s="15">
        <f>'Grid_Stock'!CM50</f>
        <v/>
      </c>
      <c r="CV55" s="15">
        <f>'Grid_Stock'!CN50</f>
        <v/>
      </c>
      <c r="CW55" s="15">
        <f>'Grid_Stock'!CO50</f>
        <v/>
      </c>
      <c r="CX55" s="15">
        <f>'Grid_Stock'!CP50</f>
        <v/>
      </c>
      <c r="CY55" s="15">
        <f>'Grid_Stock'!CQ50</f>
        <v/>
      </c>
      <c r="CZ55" s="15">
        <f>'Grid_Stock'!CR50</f>
        <v/>
      </c>
      <c r="DA55" s="15">
        <f>'Grid_Stock'!CS50</f>
        <v/>
      </c>
      <c r="DB55" s="15">
        <f>'Grid_Stock'!CT50</f>
        <v/>
      </c>
      <c r="DC55" s="15">
        <f>'Grid_Stock'!CU50</f>
        <v/>
      </c>
      <c r="DD55" s="15">
        <f>'Grid_Stock'!CV50</f>
        <v/>
      </c>
      <c r="DE55" s="15">
        <f>'Grid_Stock'!CW50</f>
        <v/>
      </c>
      <c r="DF55" s="15">
        <f>'Grid_Stock'!CX50</f>
        <v/>
      </c>
      <c r="DG55" s="15">
        <f>'Grid_Stock'!CY50</f>
        <v/>
      </c>
      <c r="DH55" s="15">
        <f>'Grid_Stock'!CZ50</f>
        <v/>
      </c>
      <c r="DI55" s="15">
        <f>'Grid_Stock'!DA50</f>
        <v/>
      </c>
    </row>
    <row r="56">
      <c r="A56" s="17" t="inlineStr">
        <is>
          <t>CHEM-1560</t>
        </is>
      </c>
      <c r="B56" s="17">
        <f>IFERROR(INDEX(M_RawMaterials[Description],MATCH($A56,M_RawMaterials[RM_Code],0)),"")</f>
        <v/>
      </c>
      <c r="C56" s="17">
        <f>IFERROR(INDEX(M_RawMaterials[Category],MATCH($A56,M_RawMaterials[RM_Code],0)),"")</f>
        <v/>
      </c>
      <c r="D56" s="17">
        <f>IFERROR(INDEX(M_RawMaterials[基準在庫下限_要入力],MATCH($A56,M_RawMaterials[RM_Code],0)),0)</f>
        <v/>
      </c>
      <c r="E56" s="17">
        <f>IFERROR(INDEX(M_RawMaterials[基準在庫上限_要入力],MATCH($A56,M_RawMaterials[RM_Code],0)),0)</f>
        <v/>
      </c>
      <c r="F56" s="17">
        <f>IFERROR(LOOKUP(2,1/(T_SelfStock!$A$2:$A$12000=$A56),T_SelfStock!$D$2:$D$12000),"")</f>
        <v/>
      </c>
      <c r="G56" s="17">
        <f>IFERROR(LOOKUP(2,1/(T_TTAFStock!$A$2:$A$12000=$A56),T_TTAFStock!$D$2:$D$12000),"")</f>
        <v/>
      </c>
      <c r="H56" s="17">
        <f>IFERROR(INDEX(Cal_Weeks[Label],LOOKUP(2,1/(T_SelfStock!$A$2:$A$12000=$A56),T_SelfStock!$C$2:$C$12000)),"")</f>
        <v/>
      </c>
      <c r="I56" s="16">
        <f>IFERROR(INDEX(J56:DI56,$F$1),"")</f>
        <v/>
      </c>
      <c r="J56" s="17">
        <f>'Grid_Stock'!B51</f>
        <v/>
      </c>
      <c r="K56" s="17">
        <f>'Grid_Stock'!C51</f>
        <v/>
      </c>
      <c r="L56" s="17">
        <f>'Grid_Stock'!D51</f>
        <v/>
      </c>
      <c r="M56" s="17">
        <f>'Grid_Stock'!E51</f>
        <v/>
      </c>
      <c r="N56" s="17">
        <f>'Grid_Stock'!F51</f>
        <v/>
      </c>
      <c r="O56" s="17">
        <f>'Grid_Stock'!G51</f>
        <v/>
      </c>
      <c r="P56" s="17">
        <f>'Grid_Stock'!H51</f>
        <v/>
      </c>
      <c r="Q56" s="17">
        <f>'Grid_Stock'!I51</f>
        <v/>
      </c>
      <c r="R56" s="17">
        <f>'Grid_Stock'!J51</f>
        <v/>
      </c>
      <c r="S56" s="17">
        <f>'Grid_Stock'!K51</f>
        <v/>
      </c>
      <c r="T56" s="17">
        <f>'Grid_Stock'!L51</f>
        <v/>
      </c>
      <c r="U56" s="17">
        <f>'Grid_Stock'!M51</f>
        <v/>
      </c>
      <c r="V56" s="17">
        <f>'Grid_Stock'!N51</f>
        <v/>
      </c>
      <c r="W56" s="17">
        <f>'Grid_Stock'!O51</f>
        <v/>
      </c>
      <c r="X56" s="17">
        <f>'Grid_Stock'!P51</f>
        <v/>
      </c>
      <c r="Y56" s="17">
        <f>'Grid_Stock'!Q51</f>
        <v/>
      </c>
      <c r="Z56" s="17">
        <f>'Grid_Stock'!R51</f>
        <v/>
      </c>
      <c r="AA56" s="17">
        <f>'Grid_Stock'!S51</f>
        <v/>
      </c>
      <c r="AB56" s="17">
        <f>'Grid_Stock'!T51</f>
        <v/>
      </c>
      <c r="AC56" s="17">
        <f>'Grid_Stock'!U51</f>
        <v/>
      </c>
      <c r="AD56" s="17">
        <f>'Grid_Stock'!V51</f>
        <v/>
      </c>
      <c r="AE56" s="17">
        <f>'Grid_Stock'!W51</f>
        <v/>
      </c>
      <c r="AF56" s="17">
        <f>'Grid_Stock'!X51</f>
        <v/>
      </c>
      <c r="AG56" s="17">
        <f>'Grid_Stock'!Y51</f>
        <v/>
      </c>
      <c r="AH56" s="17">
        <f>'Grid_Stock'!Z51</f>
        <v/>
      </c>
      <c r="AI56" s="17">
        <f>'Grid_Stock'!AA51</f>
        <v/>
      </c>
      <c r="AJ56" s="17">
        <f>'Grid_Stock'!AB51</f>
        <v/>
      </c>
      <c r="AK56" s="17">
        <f>'Grid_Stock'!AC51</f>
        <v/>
      </c>
      <c r="AL56" s="17">
        <f>'Grid_Stock'!AD51</f>
        <v/>
      </c>
      <c r="AM56" s="17">
        <f>'Grid_Stock'!AE51</f>
        <v/>
      </c>
      <c r="AN56" s="17">
        <f>'Grid_Stock'!AF51</f>
        <v/>
      </c>
      <c r="AO56" s="17">
        <f>'Grid_Stock'!AG51</f>
        <v/>
      </c>
      <c r="AP56" s="17">
        <f>'Grid_Stock'!AH51</f>
        <v/>
      </c>
      <c r="AQ56" s="17">
        <f>'Grid_Stock'!AI51</f>
        <v/>
      </c>
      <c r="AR56" s="17">
        <f>'Grid_Stock'!AJ51</f>
        <v/>
      </c>
      <c r="AS56" s="17">
        <f>'Grid_Stock'!AK51</f>
        <v/>
      </c>
      <c r="AT56" s="17">
        <f>'Grid_Stock'!AL51</f>
        <v/>
      </c>
      <c r="AU56" s="17">
        <f>'Grid_Stock'!AM51</f>
        <v/>
      </c>
      <c r="AV56" s="17">
        <f>'Grid_Stock'!AN51</f>
        <v/>
      </c>
      <c r="AW56" s="17">
        <f>'Grid_Stock'!AO51</f>
        <v/>
      </c>
      <c r="AX56" s="17">
        <f>'Grid_Stock'!AP51</f>
        <v/>
      </c>
      <c r="AY56" s="17">
        <f>'Grid_Stock'!AQ51</f>
        <v/>
      </c>
      <c r="AZ56" s="17">
        <f>'Grid_Stock'!AR51</f>
        <v/>
      </c>
      <c r="BA56" s="17">
        <f>'Grid_Stock'!AS51</f>
        <v/>
      </c>
      <c r="BB56" s="17">
        <f>'Grid_Stock'!AT51</f>
        <v/>
      </c>
      <c r="BC56" s="17">
        <f>'Grid_Stock'!AU51</f>
        <v/>
      </c>
      <c r="BD56" s="17">
        <f>'Grid_Stock'!AV51</f>
        <v/>
      </c>
      <c r="BE56" s="17">
        <f>'Grid_Stock'!AW51</f>
        <v/>
      </c>
      <c r="BF56" s="17">
        <f>'Grid_Stock'!AX51</f>
        <v/>
      </c>
      <c r="BG56" s="17">
        <f>'Grid_Stock'!AY51</f>
        <v/>
      </c>
      <c r="BH56" s="17">
        <f>'Grid_Stock'!AZ51</f>
        <v/>
      </c>
      <c r="BI56" s="17">
        <f>'Grid_Stock'!BA51</f>
        <v/>
      </c>
      <c r="BJ56" s="17">
        <f>'Grid_Stock'!BB51</f>
        <v/>
      </c>
      <c r="BK56" s="17">
        <f>'Grid_Stock'!BC51</f>
        <v/>
      </c>
      <c r="BL56" s="17">
        <f>'Grid_Stock'!BD51</f>
        <v/>
      </c>
      <c r="BM56" s="17">
        <f>'Grid_Stock'!BE51</f>
        <v/>
      </c>
      <c r="BN56" s="17">
        <f>'Grid_Stock'!BF51</f>
        <v/>
      </c>
      <c r="BO56" s="17">
        <f>'Grid_Stock'!BG51</f>
        <v/>
      </c>
      <c r="BP56" s="17">
        <f>'Grid_Stock'!BH51</f>
        <v/>
      </c>
      <c r="BQ56" s="17">
        <f>'Grid_Stock'!BI51</f>
        <v/>
      </c>
      <c r="BR56" s="17">
        <f>'Grid_Stock'!BJ51</f>
        <v/>
      </c>
      <c r="BS56" s="17">
        <f>'Grid_Stock'!BK51</f>
        <v/>
      </c>
      <c r="BT56" s="17">
        <f>'Grid_Stock'!BL51</f>
        <v/>
      </c>
      <c r="BU56" s="17">
        <f>'Grid_Stock'!BM51</f>
        <v/>
      </c>
      <c r="BV56" s="17">
        <f>'Grid_Stock'!BN51</f>
        <v/>
      </c>
      <c r="BW56" s="17">
        <f>'Grid_Stock'!BO51</f>
        <v/>
      </c>
      <c r="BX56" s="17">
        <f>'Grid_Stock'!BP51</f>
        <v/>
      </c>
      <c r="BY56" s="17">
        <f>'Grid_Stock'!BQ51</f>
        <v/>
      </c>
      <c r="BZ56" s="17">
        <f>'Grid_Stock'!BR51</f>
        <v/>
      </c>
      <c r="CA56" s="17">
        <f>'Grid_Stock'!BS51</f>
        <v/>
      </c>
      <c r="CB56" s="17">
        <f>'Grid_Stock'!BT51</f>
        <v/>
      </c>
      <c r="CC56" s="17">
        <f>'Grid_Stock'!BU51</f>
        <v/>
      </c>
      <c r="CD56" s="17">
        <f>'Grid_Stock'!BV51</f>
        <v/>
      </c>
      <c r="CE56" s="17">
        <f>'Grid_Stock'!BW51</f>
        <v/>
      </c>
      <c r="CF56" s="17">
        <f>'Grid_Stock'!BX51</f>
        <v/>
      </c>
      <c r="CG56" s="17">
        <f>'Grid_Stock'!BY51</f>
        <v/>
      </c>
      <c r="CH56" s="17">
        <f>'Grid_Stock'!BZ51</f>
        <v/>
      </c>
      <c r="CI56" s="17">
        <f>'Grid_Stock'!CA51</f>
        <v/>
      </c>
      <c r="CJ56" s="17">
        <f>'Grid_Stock'!CB51</f>
        <v/>
      </c>
      <c r="CK56" s="17">
        <f>'Grid_Stock'!CC51</f>
        <v/>
      </c>
      <c r="CL56" s="17">
        <f>'Grid_Stock'!CD51</f>
        <v/>
      </c>
      <c r="CM56" s="17">
        <f>'Grid_Stock'!CE51</f>
        <v/>
      </c>
      <c r="CN56" s="17">
        <f>'Grid_Stock'!CF51</f>
        <v/>
      </c>
      <c r="CO56" s="17">
        <f>'Grid_Stock'!CG51</f>
        <v/>
      </c>
      <c r="CP56" s="17">
        <f>'Grid_Stock'!CH51</f>
        <v/>
      </c>
      <c r="CQ56" s="17">
        <f>'Grid_Stock'!CI51</f>
        <v/>
      </c>
      <c r="CR56" s="17">
        <f>'Grid_Stock'!CJ51</f>
        <v/>
      </c>
      <c r="CS56" s="17">
        <f>'Grid_Stock'!CK51</f>
        <v/>
      </c>
      <c r="CT56" s="17">
        <f>'Grid_Stock'!CL51</f>
        <v/>
      </c>
      <c r="CU56" s="17">
        <f>'Grid_Stock'!CM51</f>
        <v/>
      </c>
      <c r="CV56" s="17">
        <f>'Grid_Stock'!CN51</f>
        <v/>
      </c>
      <c r="CW56" s="17">
        <f>'Grid_Stock'!CO51</f>
        <v/>
      </c>
      <c r="CX56" s="17">
        <f>'Grid_Stock'!CP51</f>
        <v/>
      </c>
      <c r="CY56" s="17">
        <f>'Grid_Stock'!CQ51</f>
        <v/>
      </c>
      <c r="CZ56" s="17">
        <f>'Grid_Stock'!CR51</f>
        <v/>
      </c>
      <c r="DA56" s="17">
        <f>'Grid_Stock'!CS51</f>
        <v/>
      </c>
      <c r="DB56" s="17">
        <f>'Grid_Stock'!CT51</f>
        <v/>
      </c>
      <c r="DC56" s="17">
        <f>'Grid_Stock'!CU51</f>
        <v/>
      </c>
      <c r="DD56" s="17">
        <f>'Grid_Stock'!CV51</f>
        <v/>
      </c>
      <c r="DE56" s="17">
        <f>'Grid_Stock'!CW51</f>
        <v/>
      </c>
      <c r="DF56" s="17">
        <f>'Grid_Stock'!CX51</f>
        <v/>
      </c>
      <c r="DG56" s="17">
        <f>'Grid_Stock'!CY51</f>
        <v/>
      </c>
      <c r="DH56" s="17">
        <f>'Grid_Stock'!CZ51</f>
        <v/>
      </c>
      <c r="DI56" s="17">
        <f>'Grid_Stock'!DA51</f>
        <v/>
      </c>
    </row>
    <row r="57">
      <c r="A57" s="15" t="inlineStr">
        <is>
          <t>CHEM-1520</t>
        </is>
      </c>
      <c r="B57" s="15">
        <f>IFERROR(INDEX(M_RawMaterials[Description],MATCH($A57,M_RawMaterials[RM_Code],0)),"")</f>
        <v/>
      </c>
      <c r="C57" s="15">
        <f>IFERROR(INDEX(M_RawMaterials[Category],MATCH($A57,M_RawMaterials[RM_Code],0)),"")</f>
        <v/>
      </c>
      <c r="D57" s="15">
        <f>IFERROR(INDEX(M_RawMaterials[基準在庫下限_要入力],MATCH($A57,M_RawMaterials[RM_Code],0)),0)</f>
        <v/>
      </c>
      <c r="E57" s="15">
        <f>IFERROR(INDEX(M_RawMaterials[基準在庫上限_要入力],MATCH($A57,M_RawMaterials[RM_Code],0)),0)</f>
        <v/>
      </c>
      <c r="F57" s="15">
        <f>IFERROR(LOOKUP(2,1/(T_SelfStock!$A$2:$A$12000=$A57),T_SelfStock!$D$2:$D$12000),"")</f>
        <v/>
      </c>
      <c r="G57" s="15">
        <f>IFERROR(LOOKUP(2,1/(T_TTAFStock!$A$2:$A$12000=$A57),T_TTAFStock!$D$2:$D$12000),"")</f>
        <v/>
      </c>
      <c r="H57" s="15">
        <f>IFERROR(INDEX(Cal_Weeks[Label],LOOKUP(2,1/(T_SelfStock!$A$2:$A$12000=$A57),T_SelfStock!$C$2:$C$12000)),"")</f>
        <v/>
      </c>
      <c r="I57" s="16">
        <f>IFERROR(INDEX(J57:DI57,$F$1),"")</f>
        <v/>
      </c>
      <c r="J57" s="15">
        <f>'Grid_Stock'!B52</f>
        <v/>
      </c>
      <c r="K57" s="15">
        <f>'Grid_Stock'!C52</f>
        <v/>
      </c>
      <c r="L57" s="15">
        <f>'Grid_Stock'!D52</f>
        <v/>
      </c>
      <c r="M57" s="15">
        <f>'Grid_Stock'!E52</f>
        <v/>
      </c>
      <c r="N57" s="15">
        <f>'Grid_Stock'!F52</f>
        <v/>
      </c>
      <c r="O57" s="15">
        <f>'Grid_Stock'!G52</f>
        <v/>
      </c>
      <c r="P57" s="15">
        <f>'Grid_Stock'!H52</f>
        <v/>
      </c>
      <c r="Q57" s="15">
        <f>'Grid_Stock'!I52</f>
        <v/>
      </c>
      <c r="R57" s="15">
        <f>'Grid_Stock'!J52</f>
        <v/>
      </c>
      <c r="S57" s="15">
        <f>'Grid_Stock'!K52</f>
        <v/>
      </c>
      <c r="T57" s="15">
        <f>'Grid_Stock'!L52</f>
        <v/>
      </c>
      <c r="U57" s="15">
        <f>'Grid_Stock'!M52</f>
        <v/>
      </c>
      <c r="V57" s="15">
        <f>'Grid_Stock'!N52</f>
        <v/>
      </c>
      <c r="W57" s="15">
        <f>'Grid_Stock'!O52</f>
        <v/>
      </c>
      <c r="X57" s="15">
        <f>'Grid_Stock'!P52</f>
        <v/>
      </c>
      <c r="Y57" s="15">
        <f>'Grid_Stock'!Q52</f>
        <v/>
      </c>
      <c r="Z57" s="15">
        <f>'Grid_Stock'!R52</f>
        <v/>
      </c>
      <c r="AA57" s="15">
        <f>'Grid_Stock'!S52</f>
        <v/>
      </c>
      <c r="AB57" s="15">
        <f>'Grid_Stock'!T52</f>
        <v/>
      </c>
      <c r="AC57" s="15">
        <f>'Grid_Stock'!U52</f>
        <v/>
      </c>
      <c r="AD57" s="15">
        <f>'Grid_Stock'!V52</f>
        <v/>
      </c>
      <c r="AE57" s="15">
        <f>'Grid_Stock'!W52</f>
        <v/>
      </c>
      <c r="AF57" s="15">
        <f>'Grid_Stock'!X52</f>
        <v/>
      </c>
      <c r="AG57" s="15">
        <f>'Grid_Stock'!Y52</f>
        <v/>
      </c>
      <c r="AH57" s="15">
        <f>'Grid_Stock'!Z52</f>
        <v/>
      </c>
      <c r="AI57" s="15">
        <f>'Grid_Stock'!AA52</f>
        <v/>
      </c>
      <c r="AJ57" s="15">
        <f>'Grid_Stock'!AB52</f>
        <v/>
      </c>
      <c r="AK57" s="15">
        <f>'Grid_Stock'!AC52</f>
        <v/>
      </c>
      <c r="AL57" s="15">
        <f>'Grid_Stock'!AD52</f>
        <v/>
      </c>
      <c r="AM57" s="15">
        <f>'Grid_Stock'!AE52</f>
        <v/>
      </c>
      <c r="AN57" s="15">
        <f>'Grid_Stock'!AF52</f>
        <v/>
      </c>
      <c r="AO57" s="15">
        <f>'Grid_Stock'!AG52</f>
        <v/>
      </c>
      <c r="AP57" s="15">
        <f>'Grid_Stock'!AH52</f>
        <v/>
      </c>
      <c r="AQ57" s="15">
        <f>'Grid_Stock'!AI52</f>
        <v/>
      </c>
      <c r="AR57" s="15">
        <f>'Grid_Stock'!AJ52</f>
        <v/>
      </c>
      <c r="AS57" s="15">
        <f>'Grid_Stock'!AK52</f>
        <v/>
      </c>
      <c r="AT57" s="15">
        <f>'Grid_Stock'!AL52</f>
        <v/>
      </c>
      <c r="AU57" s="15">
        <f>'Grid_Stock'!AM52</f>
        <v/>
      </c>
      <c r="AV57" s="15">
        <f>'Grid_Stock'!AN52</f>
        <v/>
      </c>
      <c r="AW57" s="15">
        <f>'Grid_Stock'!AO52</f>
        <v/>
      </c>
      <c r="AX57" s="15">
        <f>'Grid_Stock'!AP52</f>
        <v/>
      </c>
      <c r="AY57" s="15">
        <f>'Grid_Stock'!AQ52</f>
        <v/>
      </c>
      <c r="AZ57" s="15">
        <f>'Grid_Stock'!AR52</f>
        <v/>
      </c>
      <c r="BA57" s="15">
        <f>'Grid_Stock'!AS52</f>
        <v/>
      </c>
      <c r="BB57" s="15">
        <f>'Grid_Stock'!AT52</f>
        <v/>
      </c>
      <c r="BC57" s="15">
        <f>'Grid_Stock'!AU52</f>
        <v/>
      </c>
      <c r="BD57" s="15">
        <f>'Grid_Stock'!AV52</f>
        <v/>
      </c>
      <c r="BE57" s="15">
        <f>'Grid_Stock'!AW52</f>
        <v/>
      </c>
      <c r="BF57" s="15">
        <f>'Grid_Stock'!AX52</f>
        <v/>
      </c>
      <c r="BG57" s="15">
        <f>'Grid_Stock'!AY52</f>
        <v/>
      </c>
      <c r="BH57" s="15">
        <f>'Grid_Stock'!AZ52</f>
        <v/>
      </c>
      <c r="BI57" s="15">
        <f>'Grid_Stock'!BA52</f>
        <v/>
      </c>
      <c r="BJ57" s="15">
        <f>'Grid_Stock'!BB52</f>
        <v/>
      </c>
      <c r="BK57" s="15">
        <f>'Grid_Stock'!BC52</f>
        <v/>
      </c>
      <c r="BL57" s="15">
        <f>'Grid_Stock'!BD52</f>
        <v/>
      </c>
      <c r="BM57" s="15">
        <f>'Grid_Stock'!BE52</f>
        <v/>
      </c>
      <c r="BN57" s="15">
        <f>'Grid_Stock'!BF52</f>
        <v/>
      </c>
      <c r="BO57" s="15">
        <f>'Grid_Stock'!BG52</f>
        <v/>
      </c>
      <c r="BP57" s="15">
        <f>'Grid_Stock'!BH52</f>
        <v/>
      </c>
      <c r="BQ57" s="15">
        <f>'Grid_Stock'!BI52</f>
        <v/>
      </c>
      <c r="BR57" s="15">
        <f>'Grid_Stock'!BJ52</f>
        <v/>
      </c>
      <c r="BS57" s="15">
        <f>'Grid_Stock'!BK52</f>
        <v/>
      </c>
      <c r="BT57" s="15">
        <f>'Grid_Stock'!BL52</f>
        <v/>
      </c>
      <c r="BU57" s="15">
        <f>'Grid_Stock'!BM52</f>
        <v/>
      </c>
      <c r="BV57" s="15">
        <f>'Grid_Stock'!BN52</f>
        <v/>
      </c>
      <c r="BW57" s="15">
        <f>'Grid_Stock'!BO52</f>
        <v/>
      </c>
      <c r="BX57" s="15">
        <f>'Grid_Stock'!BP52</f>
        <v/>
      </c>
      <c r="BY57" s="15">
        <f>'Grid_Stock'!BQ52</f>
        <v/>
      </c>
      <c r="BZ57" s="15">
        <f>'Grid_Stock'!BR52</f>
        <v/>
      </c>
      <c r="CA57" s="15">
        <f>'Grid_Stock'!BS52</f>
        <v/>
      </c>
      <c r="CB57" s="15">
        <f>'Grid_Stock'!BT52</f>
        <v/>
      </c>
      <c r="CC57" s="15">
        <f>'Grid_Stock'!BU52</f>
        <v/>
      </c>
      <c r="CD57" s="15">
        <f>'Grid_Stock'!BV52</f>
        <v/>
      </c>
      <c r="CE57" s="15">
        <f>'Grid_Stock'!BW52</f>
        <v/>
      </c>
      <c r="CF57" s="15">
        <f>'Grid_Stock'!BX52</f>
        <v/>
      </c>
      <c r="CG57" s="15">
        <f>'Grid_Stock'!BY52</f>
        <v/>
      </c>
      <c r="CH57" s="15">
        <f>'Grid_Stock'!BZ52</f>
        <v/>
      </c>
      <c r="CI57" s="15">
        <f>'Grid_Stock'!CA52</f>
        <v/>
      </c>
      <c r="CJ57" s="15">
        <f>'Grid_Stock'!CB52</f>
        <v/>
      </c>
      <c r="CK57" s="15">
        <f>'Grid_Stock'!CC52</f>
        <v/>
      </c>
      <c r="CL57" s="15">
        <f>'Grid_Stock'!CD52</f>
        <v/>
      </c>
      <c r="CM57" s="15">
        <f>'Grid_Stock'!CE52</f>
        <v/>
      </c>
      <c r="CN57" s="15">
        <f>'Grid_Stock'!CF52</f>
        <v/>
      </c>
      <c r="CO57" s="15">
        <f>'Grid_Stock'!CG52</f>
        <v/>
      </c>
      <c r="CP57" s="15">
        <f>'Grid_Stock'!CH52</f>
        <v/>
      </c>
      <c r="CQ57" s="15">
        <f>'Grid_Stock'!CI52</f>
        <v/>
      </c>
      <c r="CR57" s="15">
        <f>'Grid_Stock'!CJ52</f>
        <v/>
      </c>
      <c r="CS57" s="15">
        <f>'Grid_Stock'!CK52</f>
        <v/>
      </c>
      <c r="CT57" s="15">
        <f>'Grid_Stock'!CL52</f>
        <v/>
      </c>
      <c r="CU57" s="15">
        <f>'Grid_Stock'!CM52</f>
        <v/>
      </c>
      <c r="CV57" s="15">
        <f>'Grid_Stock'!CN52</f>
        <v/>
      </c>
      <c r="CW57" s="15">
        <f>'Grid_Stock'!CO52</f>
        <v/>
      </c>
      <c r="CX57" s="15">
        <f>'Grid_Stock'!CP52</f>
        <v/>
      </c>
      <c r="CY57" s="15">
        <f>'Grid_Stock'!CQ52</f>
        <v/>
      </c>
      <c r="CZ57" s="15">
        <f>'Grid_Stock'!CR52</f>
        <v/>
      </c>
      <c r="DA57" s="15">
        <f>'Grid_Stock'!CS52</f>
        <v/>
      </c>
      <c r="DB57" s="15">
        <f>'Grid_Stock'!CT52</f>
        <v/>
      </c>
      <c r="DC57" s="15">
        <f>'Grid_Stock'!CU52</f>
        <v/>
      </c>
      <c r="DD57" s="15">
        <f>'Grid_Stock'!CV52</f>
        <v/>
      </c>
      <c r="DE57" s="15">
        <f>'Grid_Stock'!CW52</f>
        <v/>
      </c>
      <c r="DF57" s="15">
        <f>'Grid_Stock'!CX52</f>
        <v/>
      </c>
      <c r="DG57" s="15">
        <f>'Grid_Stock'!CY52</f>
        <v/>
      </c>
      <c r="DH57" s="15">
        <f>'Grid_Stock'!CZ52</f>
        <v/>
      </c>
      <c r="DI57" s="15">
        <f>'Grid_Stock'!DA52</f>
        <v/>
      </c>
    </row>
    <row r="58">
      <c r="A58" s="17" t="inlineStr">
        <is>
          <t>CHEM-1580</t>
        </is>
      </c>
      <c r="B58" s="17">
        <f>IFERROR(INDEX(M_RawMaterials[Description],MATCH($A58,M_RawMaterials[RM_Code],0)),"")</f>
        <v/>
      </c>
      <c r="C58" s="17">
        <f>IFERROR(INDEX(M_RawMaterials[Category],MATCH($A58,M_RawMaterials[RM_Code],0)),"")</f>
        <v/>
      </c>
      <c r="D58" s="17">
        <f>IFERROR(INDEX(M_RawMaterials[基準在庫下限_要入力],MATCH($A58,M_RawMaterials[RM_Code],0)),0)</f>
        <v/>
      </c>
      <c r="E58" s="17">
        <f>IFERROR(INDEX(M_RawMaterials[基準在庫上限_要入力],MATCH($A58,M_RawMaterials[RM_Code],0)),0)</f>
        <v/>
      </c>
      <c r="F58" s="17">
        <f>IFERROR(LOOKUP(2,1/(T_SelfStock!$A$2:$A$12000=$A58),T_SelfStock!$D$2:$D$12000),"")</f>
        <v/>
      </c>
      <c r="G58" s="17">
        <f>IFERROR(LOOKUP(2,1/(T_TTAFStock!$A$2:$A$12000=$A58),T_TTAFStock!$D$2:$D$12000),"")</f>
        <v/>
      </c>
      <c r="H58" s="17">
        <f>IFERROR(INDEX(Cal_Weeks[Label],LOOKUP(2,1/(T_SelfStock!$A$2:$A$12000=$A58),T_SelfStock!$C$2:$C$12000)),"")</f>
        <v/>
      </c>
      <c r="I58" s="16">
        <f>IFERROR(INDEX(J58:DI58,$F$1),"")</f>
        <v/>
      </c>
      <c r="J58" s="17">
        <f>'Grid_Stock'!B53</f>
        <v/>
      </c>
      <c r="K58" s="17">
        <f>'Grid_Stock'!C53</f>
        <v/>
      </c>
      <c r="L58" s="17">
        <f>'Grid_Stock'!D53</f>
        <v/>
      </c>
      <c r="M58" s="17">
        <f>'Grid_Stock'!E53</f>
        <v/>
      </c>
      <c r="N58" s="17">
        <f>'Grid_Stock'!F53</f>
        <v/>
      </c>
      <c r="O58" s="17">
        <f>'Grid_Stock'!G53</f>
        <v/>
      </c>
      <c r="P58" s="17">
        <f>'Grid_Stock'!H53</f>
        <v/>
      </c>
      <c r="Q58" s="17">
        <f>'Grid_Stock'!I53</f>
        <v/>
      </c>
      <c r="R58" s="17">
        <f>'Grid_Stock'!J53</f>
        <v/>
      </c>
      <c r="S58" s="17">
        <f>'Grid_Stock'!K53</f>
        <v/>
      </c>
      <c r="T58" s="17">
        <f>'Grid_Stock'!L53</f>
        <v/>
      </c>
      <c r="U58" s="17">
        <f>'Grid_Stock'!M53</f>
        <v/>
      </c>
      <c r="V58" s="17">
        <f>'Grid_Stock'!N53</f>
        <v/>
      </c>
      <c r="W58" s="17">
        <f>'Grid_Stock'!O53</f>
        <v/>
      </c>
      <c r="X58" s="17">
        <f>'Grid_Stock'!P53</f>
        <v/>
      </c>
      <c r="Y58" s="17">
        <f>'Grid_Stock'!Q53</f>
        <v/>
      </c>
      <c r="Z58" s="17">
        <f>'Grid_Stock'!R53</f>
        <v/>
      </c>
      <c r="AA58" s="17">
        <f>'Grid_Stock'!S53</f>
        <v/>
      </c>
      <c r="AB58" s="17">
        <f>'Grid_Stock'!T53</f>
        <v/>
      </c>
      <c r="AC58" s="17">
        <f>'Grid_Stock'!U53</f>
        <v/>
      </c>
      <c r="AD58" s="17">
        <f>'Grid_Stock'!V53</f>
        <v/>
      </c>
      <c r="AE58" s="17">
        <f>'Grid_Stock'!W53</f>
        <v/>
      </c>
      <c r="AF58" s="17">
        <f>'Grid_Stock'!X53</f>
        <v/>
      </c>
      <c r="AG58" s="17">
        <f>'Grid_Stock'!Y53</f>
        <v/>
      </c>
      <c r="AH58" s="17">
        <f>'Grid_Stock'!Z53</f>
        <v/>
      </c>
      <c r="AI58" s="17">
        <f>'Grid_Stock'!AA53</f>
        <v/>
      </c>
      <c r="AJ58" s="17">
        <f>'Grid_Stock'!AB53</f>
        <v/>
      </c>
      <c r="AK58" s="17">
        <f>'Grid_Stock'!AC53</f>
        <v/>
      </c>
      <c r="AL58" s="17">
        <f>'Grid_Stock'!AD53</f>
        <v/>
      </c>
      <c r="AM58" s="17">
        <f>'Grid_Stock'!AE53</f>
        <v/>
      </c>
      <c r="AN58" s="17">
        <f>'Grid_Stock'!AF53</f>
        <v/>
      </c>
      <c r="AO58" s="17">
        <f>'Grid_Stock'!AG53</f>
        <v/>
      </c>
      <c r="AP58" s="17">
        <f>'Grid_Stock'!AH53</f>
        <v/>
      </c>
      <c r="AQ58" s="17">
        <f>'Grid_Stock'!AI53</f>
        <v/>
      </c>
      <c r="AR58" s="17">
        <f>'Grid_Stock'!AJ53</f>
        <v/>
      </c>
      <c r="AS58" s="17">
        <f>'Grid_Stock'!AK53</f>
        <v/>
      </c>
      <c r="AT58" s="17">
        <f>'Grid_Stock'!AL53</f>
        <v/>
      </c>
      <c r="AU58" s="17">
        <f>'Grid_Stock'!AM53</f>
        <v/>
      </c>
      <c r="AV58" s="17">
        <f>'Grid_Stock'!AN53</f>
        <v/>
      </c>
      <c r="AW58" s="17">
        <f>'Grid_Stock'!AO53</f>
        <v/>
      </c>
      <c r="AX58" s="17">
        <f>'Grid_Stock'!AP53</f>
        <v/>
      </c>
      <c r="AY58" s="17">
        <f>'Grid_Stock'!AQ53</f>
        <v/>
      </c>
      <c r="AZ58" s="17">
        <f>'Grid_Stock'!AR53</f>
        <v/>
      </c>
      <c r="BA58" s="17">
        <f>'Grid_Stock'!AS53</f>
        <v/>
      </c>
      <c r="BB58" s="17">
        <f>'Grid_Stock'!AT53</f>
        <v/>
      </c>
      <c r="BC58" s="17">
        <f>'Grid_Stock'!AU53</f>
        <v/>
      </c>
      <c r="BD58" s="17">
        <f>'Grid_Stock'!AV53</f>
        <v/>
      </c>
      <c r="BE58" s="17">
        <f>'Grid_Stock'!AW53</f>
        <v/>
      </c>
      <c r="BF58" s="17">
        <f>'Grid_Stock'!AX53</f>
        <v/>
      </c>
      <c r="BG58" s="17">
        <f>'Grid_Stock'!AY53</f>
        <v/>
      </c>
      <c r="BH58" s="17">
        <f>'Grid_Stock'!AZ53</f>
        <v/>
      </c>
      <c r="BI58" s="17">
        <f>'Grid_Stock'!BA53</f>
        <v/>
      </c>
      <c r="BJ58" s="17">
        <f>'Grid_Stock'!BB53</f>
        <v/>
      </c>
      <c r="BK58" s="17">
        <f>'Grid_Stock'!BC53</f>
        <v/>
      </c>
      <c r="BL58" s="17">
        <f>'Grid_Stock'!BD53</f>
        <v/>
      </c>
      <c r="BM58" s="17">
        <f>'Grid_Stock'!BE53</f>
        <v/>
      </c>
      <c r="BN58" s="17">
        <f>'Grid_Stock'!BF53</f>
        <v/>
      </c>
      <c r="BO58" s="17">
        <f>'Grid_Stock'!BG53</f>
        <v/>
      </c>
      <c r="BP58" s="17">
        <f>'Grid_Stock'!BH53</f>
        <v/>
      </c>
      <c r="BQ58" s="17">
        <f>'Grid_Stock'!BI53</f>
        <v/>
      </c>
      <c r="BR58" s="17">
        <f>'Grid_Stock'!BJ53</f>
        <v/>
      </c>
      <c r="BS58" s="17">
        <f>'Grid_Stock'!BK53</f>
        <v/>
      </c>
      <c r="BT58" s="17">
        <f>'Grid_Stock'!BL53</f>
        <v/>
      </c>
      <c r="BU58" s="17">
        <f>'Grid_Stock'!BM53</f>
        <v/>
      </c>
      <c r="BV58" s="17">
        <f>'Grid_Stock'!BN53</f>
        <v/>
      </c>
      <c r="BW58" s="17">
        <f>'Grid_Stock'!BO53</f>
        <v/>
      </c>
      <c r="BX58" s="17">
        <f>'Grid_Stock'!BP53</f>
        <v/>
      </c>
      <c r="BY58" s="17">
        <f>'Grid_Stock'!BQ53</f>
        <v/>
      </c>
      <c r="BZ58" s="17">
        <f>'Grid_Stock'!BR53</f>
        <v/>
      </c>
      <c r="CA58" s="17">
        <f>'Grid_Stock'!BS53</f>
        <v/>
      </c>
      <c r="CB58" s="17">
        <f>'Grid_Stock'!BT53</f>
        <v/>
      </c>
      <c r="CC58" s="17">
        <f>'Grid_Stock'!BU53</f>
        <v/>
      </c>
      <c r="CD58" s="17">
        <f>'Grid_Stock'!BV53</f>
        <v/>
      </c>
      <c r="CE58" s="17">
        <f>'Grid_Stock'!BW53</f>
        <v/>
      </c>
      <c r="CF58" s="17">
        <f>'Grid_Stock'!BX53</f>
        <v/>
      </c>
      <c r="CG58" s="17">
        <f>'Grid_Stock'!BY53</f>
        <v/>
      </c>
      <c r="CH58" s="17">
        <f>'Grid_Stock'!BZ53</f>
        <v/>
      </c>
      <c r="CI58" s="17">
        <f>'Grid_Stock'!CA53</f>
        <v/>
      </c>
      <c r="CJ58" s="17">
        <f>'Grid_Stock'!CB53</f>
        <v/>
      </c>
      <c r="CK58" s="17">
        <f>'Grid_Stock'!CC53</f>
        <v/>
      </c>
      <c r="CL58" s="17">
        <f>'Grid_Stock'!CD53</f>
        <v/>
      </c>
      <c r="CM58" s="17">
        <f>'Grid_Stock'!CE53</f>
        <v/>
      </c>
      <c r="CN58" s="17">
        <f>'Grid_Stock'!CF53</f>
        <v/>
      </c>
      <c r="CO58" s="17">
        <f>'Grid_Stock'!CG53</f>
        <v/>
      </c>
      <c r="CP58" s="17">
        <f>'Grid_Stock'!CH53</f>
        <v/>
      </c>
      <c r="CQ58" s="17">
        <f>'Grid_Stock'!CI53</f>
        <v/>
      </c>
      <c r="CR58" s="17">
        <f>'Grid_Stock'!CJ53</f>
        <v/>
      </c>
      <c r="CS58" s="17">
        <f>'Grid_Stock'!CK53</f>
        <v/>
      </c>
      <c r="CT58" s="17">
        <f>'Grid_Stock'!CL53</f>
        <v/>
      </c>
      <c r="CU58" s="17">
        <f>'Grid_Stock'!CM53</f>
        <v/>
      </c>
      <c r="CV58" s="17">
        <f>'Grid_Stock'!CN53</f>
        <v/>
      </c>
      <c r="CW58" s="17">
        <f>'Grid_Stock'!CO53</f>
        <v/>
      </c>
      <c r="CX58" s="17">
        <f>'Grid_Stock'!CP53</f>
        <v/>
      </c>
      <c r="CY58" s="17">
        <f>'Grid_Stock'!CQ53</f>
        <v/>
      </c>
      <c r="CZ58" s="17">
        <f>'Grid_Stock'!CR53</f>
        <v/>
      </c>
      <c r="DA58" s="17">
        <f>'Grid_Stock'!CS53</f>
        <v/>
      </c>
      <c r="DB58" s="17">
        <f>'Grid_Stock'!CT53</f>
        <v/>
      </c>
      <c r="DC58" s="17">
        <f>'Grid_Stock'!CU53</f>
        <v/>
      </c>
      <c r="DD58" s="17">
        <f>'Grid_Stock'!CV53</f>
        <v/>
      </c>
      <c r="DE58" s="17">
        <f>'Grid_Stock'!CW53</f>
        <v/>
      </c>
      <c r="DF58" s="17">
        <f>'Grid_Stock'!CX53</f>
        <v/>
      </c>
      <c r="DG58" s="17">
        <f>'Grid_Stock'!CY53</f>
        <v/>
      </c>
      <c r="DH58" s="17">
        <f>'Grid_Stock'!CZ53</f>
        <v/>
      </c>
      <c r="DI58" s="17">
        <f>'Grid_Stock'!DA53</f>
        <v/>
      </c>
    </row>
    <row r="59">
      <c r="A59" s="15" t="inlineStr">
        <is>
          <t>CHEM-1550</t>
        </is>
      </c>
      <c r="B59" s="15">
        <f>IFERROR(INDEX(M_RawMaterials[Description],MATCH($A59,M_RawMaterials[RM_Code],0)),"")</f>
        <v/>
      </c>
      <c r="C59" s="15">
        <f>IFERROR(INDEX(M_RawMaterials[Category],MATCH($A59,M_RawMaterials[RM_Code],0)),"")</f>
        <v/>
      </c>
      <c r="D59" s="15">
        <f>IFERROR(INDEX(M_RawMaterials[基準在庫下限_要入力],MATCH($A59,M_RawMaterials[RM_Code],0)),0)</f>
        <v/>
      </c>
      <c r="E59" s="15">
        <f>IFERROR(INDEX(M_RawMaterials[基準在庫上限_要入力],MATCH($A59,M_RawMaterials[RM_Code],0)),0)</f>
        <v/>
      </c>
      <c r="F59" s="15">
        <f>IFERROR(LOOKUP(2,1/(T_SelfStock!$A$2:$A$12000=$A59),T_SelfStock!$D$2:$D$12000),"")</f>
        <v/>
      </c>
      <c r="G59" s="15">
        <f>IFERROR(LOOKUP(2,1/(T_TTAFStock!$A$2:$A$12000=$A59),T_TTAFStock!$D$2:$D$12000),"")</f>
        <v/>
      </c>
      <c r="H59" s="15">
        <f>IFERROR(INDEX(Cal_Weeks[Label],LOOKUP(2,1/(T_SelfStock!$A$2:$A$12000=$A59),T_SelfStock!$C$2:$C$12000)),"")</f>
        <v/>
      </c>
      <c r="I59" s="16">
        <f>IFERROR(INDEX(J59:DI59,$F$1),"")</f>
        <v/>
      </c>
      <c r="J59" s="15">
        <f>'Grid_Stock'!B54</f>
        <v/>
      </c>
      <c r="K59" s="15">
        <f>'Grid_Stock'!C54</f>
        <v/>
      </c>
      <c r="L59" s="15">
        <f>'Grid_Stock'!D54</f>
        <v/>
      </c>
      <c r="M59" s="15">
        <f>'Grid_Stock'!E54</f>
        <v/>
      </c>
      <c r="N59" s="15">
        <f>'Grid_Stock'!F54</f>
        <v/>
      </c>
      <c r="O59" s="15">
        <f>'Grid_Stock'!G54</f>
        <v/>
      </c>
      <c r="P59" s="15">
        <f>'Grid_Stock'!H54</f>
        <v/>
      </c>
      <c r="Q59" s="15">
        <f>'Grid_Stock'!I54</f>
        <v/>
      </c>
      <c r="R59" s="15">
        <f>'Grid_Stock'!J54</f>
        <v/>
      </c>
      <c r="S59" s="15">
        <f>'Grid_Stock'!K54</f>
        <v/>
      </c>
      <c r="T59" s="15">
        <f>'Grid_Stock'!L54</f>
        <v/>
      </c>
      <c r="U59" s="15">
        <f>'Grid_Stock'!M54</f>
        <v/>
      </c>
      <c r="V59" s="15">
        <f>'Grid_Stock'!N54</f>
        <v/>
      </c>
      <c r="W59" s="15">
        <f>'Grid_Stock'!O54</f>
        <v/>
      </c>
      <c r="X59" s="15">
        <f>'Grid_Stock'!P54</f>
        <v/>
      </c>
      <c r="Y59" s="15">
        <f>'Grid_Stock'!Q54</f>
        <v/>
      </c>
      <c r="Z59" s="15">
        <f>'Grid_Stock'!R54</f>
        <v/>
      </c>
      <c r="AA59" s="15">
        <f>'Grid_Stock'!S54</f>
        <v/>
      </c>
      <c r="AB59" s="15">
        <f>'Grid_Stock'!T54</f>
        <v/>
      </c>
      <c r="AC59" s="15">
        <f>'Grid_Stock'!U54</f>
        <v/>
      </c>
      <c r="AD59" s="15">
        <f>'Grid_Stock'!V54</f>
        <v/>
      </c>
      <c r="AE59" s="15">
        <f>'Grid_Stock'!W54</f>
        <v/>
      </c>
      <c r="AF59" s="15">
        <f>'Grid_Stock'!X54</f>
        <v/>
      </c>
      <c r="AG59" s="15">
        <f>'Grid_Stock'!Y54</f>
        <v/>
      </c>
      <c r="AH59" s="15">
        <f>'Grid_Stock'!Z54</f>
        <v/>
      </c>
      <c r="AI59" s="15">
        <f>'Grid_Stock'!AA54</f>
        <v/>
      </c>
      <c r="AJ59" s="15">
        <f>'Grid_Stock'!AB54</f>
        <v/>
      </c>
      <c r="AK59" s="15">
        <f>'Grid_Stock'!AC54</f>
        <v/>
      </c>
      <c r="AL59" s="15">
        <f>'Grid_Stock'!AD54</f>
        <v/>
      </c>
      <c r="AM59" s="15">
        <f>'Grid_Stock'!AE54</f>
        <v/>
      </c>
      <c r="AN59" s="15">
        <f>'Grid_Stock'!AF54</f>
        <v/>
      </c>
      <c r="AO59" s="15">
        <f>'Grid_Stock'!AG54</f>
        <v/>
      </c>
      <c r="AP59" s="15">
        <f>'Grid_Stock'!AH54</f>
        <v/>
      </c>
      <c r="AQ59" s="15">
        <f>'Grid_Stock'!AI54</f>
        <v/>
      </c>
      <c r="AR59" s="15">
        <f>'Grid_Stock'!AJ54</f>
        <v/>
      </c>
      <c r="AS59" s="15">
        <f>'Grid_Stock'!AK54</f>
        <v/>
      </c>
      <c r="AT59" s="15">
        <f>'Grid_Stock'!AL54</f>
        <v/>
      </c>
      <c r="AU59" s="15">
        <f>'Grid_Stock'!AM54</f>
        <v/>
      </c>
      <c r="AV59" s="15">
        <f>'Grid_Stock'!AN54</f>
        <v/>
      </c>
      <c r="AW59" s="15">
        <f>'Grid_Stock'!AO54</f>
        <v/>
      </c>
      <c r="AX59" s="15">
        <f>'Grid_Stock'!AP54</f>
        <v/>
      </c>
      <c r="AY59" s="15">
        <f>'Grid_Stock'!AQ54</f>
        <v/>
      </c>
      <c r="AZ59" s="15">
        <f>'Grid_Stock'!AR54</f>
        <v/>
      </c>
      <c r="BA59" s="15">
        <f>'Grid_Stock'!AS54</f>
        <v/>
      </c>
      <c r="BB59" s="15">
        <f>'Grid_Stock'!AT54</f>
        <v/>
      </c>
      <c r="BC59" s="15">
        <f>'Grid_Stock'!AU54</f>
        <v/>
      </c>
      <c r="BD59" s="15">
        <f>'Grid_Stock'!AV54</f>
        <v/>
      </c>
      <c r="BE59" s="15">
        <f>'Grid_Stock'!AW54</f>
        <v/>
      </c>
      <c r="BF59" s="15">
        <f>'Grid_Stock'!AX54</f>
        <v/>
      </c>
      <c r="BG59" s="15">
        <f>'Grid_Stock'!AY54</f>
        <v/>
      </c>
      <c r="BH59" s="15">
        <f>'Grid_Stock'!AZ54</f>
        <v/>
      </c>
      <c r="BI59" s="15">
        <f>'Grid_Stock'!BA54</f>
        <v/>
      </c>
      <c r="BJ59" s="15">
        <f>'Grid_Stock'!BB54</f>
        <v/>
      </c>
      <c r="BK59" s="15">
        <f>'Grid_Stock'!BC54</f>
        <v/>
      </c>
      <c r="BL59" s="15">
        <f>'Grid_Stock'!BD54</f>
        <v/>
      </c>
      <c r="BM59" s="15">
        <f>'Grid_Stock'!BE54</f>
        <v/>
      </c>
      <c r="BN59" s="15">
        <f>'Grid_Stock'!BF54</f>
        <v/>
      </c>
      <c r="BO59" s="15">
        <f>'Grid_Stock'!BG54</f>
        <v/>
      </c>
      <c r="BP59" s="15">
        <f>'Grid_Stock'!BH54</f>
        <v/>
      </c>
      <c r="BQ59" s="15">
        <f>'Grid_Stock'!BI54</f>
        <v/>
      </c>
      <c r="BR59" s="15">
        <f>'Grid_Stock'!BJ54</f>
        <v/>
      </c>
      <c r="BS59" s="15">
        <f>'Grid_Stock'!BK54</f>
        <v/>
      </c>
      <c r="BT59" s="15">
        <f>'Grid_Stock'!BL54</f>
        <v/>
      </c>
      <c r="BU59" s="15">
        <f>'Grid_Stock'!BM54</f>
        <v/>
      </c>
      <c r="BV59" s="15">
        <f>'Grid_Stock'!BN54</f>
        <v/>
      </c>
      <c r="BW59" s="15">
        <f>'Grid_Stock'!BO54</f>
        <v/>
      </c>
      <c r="BX59" s="15">
        <f>'Grid_Stock'!BP54</f>
        <v/>
      </c>
      <c r="BY59" s="15">
        <f>'Grid_Stock'!BQ54</f>
        <v/>
      </c>
      <c r="BZ59" s="15">
        <f>'Grid_Stock'!BR54</f>
        <v/>
      </c>
      <c r="CA59" s="15">
        <f>'Grid_Stock'!BS54</f>
        <v/>
      </c>
      <c r="CB59" s="15">
        <f>'Grid_Stock'!BT54</f>
        <v/>
      </c>
      <c r="CC59" s="15">
        <f>'Grid_Stock'!BU54</f>
        <v/>
      </c>
      <c r="CD59" s="15">
        <f>'Grid_Stock'!BV54</f>
        <v/>
      </c>
      <c r="CE59" s="15">
        <f>'Grid_Stock'!BW54</f>
        <v/>
      </c>
      <c r="CF59" s="15">
        <f>'Grid_Stock'!BX54</f>
        <v/>
      </c>
      <c r="CG59" s="15">
        <f>'Grid_Stock'!BY54</f>
        <v/>
      </c>
      <c r="CH59" s="15">
        <f>'Grid_Stock'!BZ54</f>
        <v/>
      </c>
      <c r="CI59" s="15">
        <f>'Grid_Stock'!CA54</f>
        <v/>
      </c>
      <c r="CJ59" s="15">
        <f>'Grid_Stock'!CB54</f>
        <v/>
      </c>
      <c r="CK59" s="15">
        <f>'Grid_Stock'!CC54</f>
        <v/>
      </c>
      <c r="CL59" s="15">
        <f>'Grid_Stock'!CD54</f>
        <v/>
      </c>
      <c r="CM59" s="15">
        <f>'Grid_Stock'!CE54</f>
        <v/>
      </c>
      <c r="CN59" s="15">
        <f>'Grid_Stock'!CF54</f>
        <v/>
      </c>
      <c r="CO59" s="15">
        <f>'Grid_Stock'!CG54</f>
        <v/>
      </c>
      <c r="CP59" s="15">
        <f>'Grid_Stock'!CH54</f>
        <v/>
      </c>
      <c r="CQ59" s="15">
        <f>'Grid_Stock'!CI54</f>
        <v/>
      </c>
      <c r="CR59" s="15">
        <f>'Grid_Stock'!CJ54</f>
        <v/>
      </c>
      <c r="CS59" s="15">
        <f>'Grid_Stock'!CK54</f>
        <v/>
      </c>
      <c r="CT59" s="15">
        <f>'Grid_Stock'!CL54</f>
        <v/>
      </c>
      <c r="CU59" s="15">
        <f>'Grid_Stock'!CM54</f>
        <v/>
      </c>
      <c r="CV59" s="15">
        <f>'Grid_Stock'!CN54</f>
        <v/>
      </c>
      <c r="CW59" s="15">
        <f>'Grid_Stock'!CO54</f>
        <v/>
      </c>
      <c r="CX59" s="15">
        <f>'Grid_Stock'!CP54</f>
        <v/>
      </c>
      <c r="CY59" s="15">
        <f>'Grid_Stock'!CQ54</f>
        <v/>
      </c>
      <c r="CZ59" s="15">
        <f>'Grid_Stock'!CR54</f>
        <v/>
      </c>
      <c r="DA59" s="15">
        <f>'Grid_Stock'!CS54</f>
        <v/>
      </c>
      <c r="DB59" s="15">
        <f>'Grid_Stock'!CT54</f>
        <v/>
      </c>
      <c r="DC59" s="15">
        <f>'Grid_Stock'!CU54</f>
        <v/>
      </c>
      <c r="DD59" s="15">
        <f>'Grid_Stock'!CV54</f>
        <v/>
      </c>
      <c r="DE59" s="15">
        <f>'Grid_Stock'!CW54</f>
        <v/>
      </c>
      <c r="DF59" s="15">
        <f>'Grid_Stock'!CX54</f>
        <v/>
      </c>
      <c r="DG59" s="15">
        <f>'Grid_Stock'!CY54</f>
        <v/>
      </c>
      <c r="DH59" s="15">
        <f>'Grid_Stock'!CZ54</f>
        <v/>
      </c>
      <c r="DI59" s="15">
        <f>'Grid_Stock'!DA54</f>
        <v/>
      </c>
    </row>
    <row r="60">
      <c r="A60" s="17" t="inlineStr">
        <is>
          <t>CHEM-1510</t>
        </is>
      </c>
      <c r="B60" s="17">
        <f>IFERROR(INDEX(M_RawMaterials[Description],MATCH($A60,M_RawMaterials[RM_Code],0)),"")</f>
        <v/>
      </c>
      <c r="C60" s="17">
        <f>IFERROR(INDEX(M_RawMaterials[Category],MATCH($A60,M_RawMaterials[RM_Code],0)),"")</f>
        <v/>
      </c>
      <c r="D60" s="17">
        <f>IFERROR(INDEX(M_RawMaterials[基準在庫下限_要入力],MATCH($A60,M_RawMaterials[RM_Code],0)),0)</f>
        <v/>
      </c>
      <c r="E60" s="17">
        <f>IFERROR(INDEX(M_RawMaterials[基準在庫上限_要入力],MATCH($A60,M_RawMaterials[RM_Code],0)),0)</f>
        <v/>
      </c>
      <c r="F60" s="17">
        <f>IFERROR(LOOKUP(2,1/(T_SelfStock!$A$2:$A$12000=$A60),T_SelfStock!$D$2:$D$12000),"")</f>
        <v/>
      </c>
      <c r="G60" s="17">
        <f>IFERROR(LOOKUP(2,1/(T_TTAFStock!$A$2:$A$12000=$A60),T_TTAFStock!$D$2:$D$12000),"")</f>
        <v/>
      </c>
      <c r="H60" s="17">
        <f>IFERROR(INDEX(Cal_Weeks[Label],LOOKUP(2,1/(T_SelfStock!$A$2:$A$12000=$A60),T_SelfStock!$C$2:$C$12000)),"")</f>
        <v/>
      </c>
      <c r="I60" s="16">
        <f>IFERROR(INDEX(J60:DI60,$F$1),"")</f>
        <v/>
      </c>
      <c r="J60" s="17">
        <f>'Grid_Stock'!B55</f>
        <v/>
      </c>
      <c r="K60" s="17">
        <f>'Grid_Stock'!C55</f>
        <v/>
      </c>
      <c r="L60" s="17">
        <f>'Grid_Stock'!D55</f>
        <v/>
      </c>
      <c r="M60" s="17">
        <f>'Grid_Stock'!E55</f>
        <v/>
      </c>
      <c r="N60" s="17">
        <f>'Grid_Stock'!F55</f>
        <v/>
      </c>
      <c r="O60" s="17">
        <f>'Grid_Stock'!G55</f>
        <v/>
      </c>
      <c r="P60" s="17">
        <f>'Grid_Stock'!H55</f>
        <v/>
      </c>
      <c r="Q60" s="17">
        <f>'Grid_Stock'!I55</f>
        <v/>
      </c>
      <c r="R60" s="17">
        <f>'Grid_Stock'!J55</f>
        <v/>
      </c>
      <c r="S60" s="17">
        <f>'Grid_Stock'!K55</f>
        <v/>
      </c>
      <c r="T60" s="17">
        <f>'Grid_Stock'!L55</f>
        <v/>
      </c>
      <c r="U60" s="17">
        <f>'Grid_Stock'!M55</f>
        <v/>
      </c>
      <c r="V60" s="17">
        <f>'Grid_Stock'!N55</f>
        <v/>
      </c>
      <c r="W60" s="17">
        <f>'Grid_Stock'!O55</f>
        <v/>
      </c>
      <c r="X60" s="17">
        <f>'Grid_Stock'!P55</f>
        <v/>
      </c>
      <c r="Y60" s="17">
        <f>'Grid_Stock'!Q55</f>
        <v/>
      </c>
      <c r="Z60" s="17">
        <f>'Grid_Stock'!R55</f>
        <v/>
      </c>
      <c r="AA60" s="17">
        <f>'Grid_Stock'!S55</f>
        <v/>
      </c>
      <c r="AB60" s="17">
        <f>'Grid_Stock'!T55</f>
        <v/>
      </c>
      <c r="AC60" s="17">
        <f>'Grid_Stock'!U55</f>
        <v/>
      </c>
      <c r="AD60" s="17">
        <f>'Grid_Stock'!V55</f>
        <v/>
      </c>
      <c r="AE60" s="17">
        <f>'Grid_Stock'!W55</f>
        <v/>
      </c>
      <c r="AF60" s="17">
        <f>'Grid_Stock'!X55</f>
        <v/>
      </c>
      <c r="AG60" s="17">
        <f>'Grid_Stock'!Y55</f>
        <v/>
      </c>
      <c r="AH60" s="17">
        <f>'Grid_Stock'!Z55</f>
        <v/>
      </c>
      <c r="AI60" s="17">
        <f>'Grid_Stock'!AA55</f>
        <v/>
      </c>
      <c r="AJ60" s="17">
        <f>'Grid_Stock'!AB55</f>
        <v/>
      </c>
      <c r="AK60" s="17">
        <f>'Grid_Stock'!AC55</f>
        <v/>
      </c>
      <c r="AL60" s="17">
        <f>'Grid_Stock'!AD55</f>
        <v/>
      </c>
      <c r="AM60" s="17">
        <f>'Grid_Stock'!AE55</f>
        <v/>
      </c>
      <c r="AN60" s="17">
        <f>'Grid_Stock'!AF55</f>
        <v/>
      </c>
      <c r="AO60" s="17">
        <f>'Grid_Stock'!AG55</f>
        <v/>
      </c>
      <c r="AP60" s="17">
        <f>'Grid_Stock'!AH55</f>
        <v/>
      </c>
      <c r="AQ60" s="17">
        <f>'Grid_Stock'!AI55</f>
        <v/>
      </c>
      <c r="AR60" s="17">
        <f>'Grid_Stock'!AJ55</f>
        <v/>
      </c>
      <c r="AS60" s="17">
        <f>'Grid_Stock'!AK55</f>
        <v/>
      </c>
      <c r="AT60" s="17">
        <f>'Grid_Stock'!AL55</f>
        <v/>
      </c>
      <c r="AU60" s="17">
        <f>'Grid_Stock'!AM55</f>
        <v/>
      </c>
      <c r="AV60" s="17">
        <f>'Grid_Stock'!AN55</f>
        <v/>
      </c>
      <c r="AW60" s="17">
        <f>'Grid_Stock'!AO55</f>
        <v/>
      </c>
      <c r="AX60" s="17">
        <f>'Grid_Stock'!AP55</f>
        <v/>
      </c>
      <c r="AY60" s="17">
        <f>'Grid_Stock'!AQ55</f>
        <v/>
      </c>
      <c r="AZ60" s="17">
        <f>'Grid_Stock'!AR55</f>
        <v/>
      </c>
      <c r="BA60" s="17">
        <f>'Grid_Stock'!AS55</f>
        <v/>
      </c>
      <c r="BB60" s="17">
        <f>'Grid_Stock'!AT55</f>
        <v/>
      </c>
      <c r="BC60" s="17">
        <f>'Grid_Stock'!AU55</f>
        <v/>
      </c>
      <c r="BD60" s="17">
        <f>'Grid_Stock'!AV55</f>
        <v/>
      </c>
      <c r="BE60" s="17">
        <f>'Grid_Stock'!AW55</f>
        <v/>
      </c>
      <c r="BF60" s="17">
        <f>'Grid_Stock'!AX55</f>
        <v/>
      </c>
      <c r="BG60" s="17">
        <f>'Grid_Stock'!AY55</f>
        <v/>
      </c>
      <c r="BH60" s="17">
        <f>'Grid_Stock'!AZ55</f>
        <v/>
      </c>
      <c r="BI60" s="17">
        <f>'Grid_Stock'!BA55</f>
        <v/>
      </c>
      <c r="BJ60" s="17">
        <f>'Grid_Stock'!BB55</f>
        <v/>
      </c>
      <c r="BK60" s="17">
        <f>'Grid_Stock'!BC55</f>
        <v/>
      </c>
      <c r="BL60" s="17">
        <f>'Grid_Stock'!BD55</f>
        <v/>
      </c>
      <c r="BM60" s="17">
        <f>'Grid_Stock'!BE55</f>
        <v/>
      </c>
      <c r="BN60" s="17">
        <f>'Grid_Stock'!BF55</f>
        <v/>
      </c>
      <c r="BO60" s="17">
        <f>'Grid_Stock'!BG55</f>
        <v/>
      </c>
      <c r="BP60" s="17">
        <f>'Grid_Stock'!BH55</f>
        <v/>
      </c>
      <c r="BQ60" s="17">
        <f>'Grid_Stock'!BI55</f>
        <v/>
      </c>
      <c r="BR60" s="17">
        <f>'Grid_Stock'!BJ55</f>
        <v/>
      </c>
      <c r="BS60" s="17">
        <f>'Grid_Stock'!BK55</f>
        <v/>
      </c>
      <c r="BT60" s="17">
        <f>'Grid_Stock'!BL55</f>
        <v/>
      </c>
      <c r="BU60" s="17">
        <f>'Grid_Stock'!BM55</f>
        <v/>
      </c>
      <c r="BV60" s="17">
        <f>'Grid_Stock'!BN55</f>
        <v/>
      </c>
      <c r="BW60" s="17">
        <f>'Grid_Stock'!BO55</f>
        <v/>
      </c>
      <c r="BX60" s="17">
        <f>'Grid_Stock'!BP55</f>
        <v/>
      </c>
      <c r="BY60" s="17">
        <f>'Grid_Stock'!BQ55</f>
        <v/>
      </c>
      <c r="BZ60" s="17">
        <f>'Grid_Stock'!BR55</f>
        <v/>
      </c>
      <c r="CA60" s="17">
        <f>'Grid_Stock'!BS55</f>
        <v/>
      </c>
      <c r="CB60" s="17">
        <f>'Grid_Stock'!BT55</f>
        <v/>
      </c>
      <c r="CC60" s="17">
        <f>'Grid_Stock'!BU55</f>
        <v/>
      </c>
      <c r="CD60" s="17">
        <f>'Grid_Stock'!BV55</f>
        <v/>
      </c>
      <c r="CE60" s="17">
        <f>'Grid_Stock'!BW55</f>
        <v/>
      </c>
      <c r="CF60" s="17">
        <f>'Grid_Stock'!BX55</f>
        <v/>
      </c>
      <c r="CG60" s="17">
        <f>'Grid_Stock'!BY55</f>
        <v/>
      </c>
      <c r="CH60" s="17">
        <f>'Grid_Stock'!BZ55</f>
        <v/>
      </c>
      <c r="CI60" s="17">
        <f>'Grid_Stock'!CA55</f>
        <v/>
      </c>
      <c r="CJ60" s="17">
        <f>'Grid_Stock'!CB55</f>
        <v/>
      </c>
      <c r="CK60" s="17">
        <f>'Grid_Stock'!CC55</f>
        <v/>
      </c>
      <c r="CL60" s="17">
        <f>'Grid_Stock'!CD55</f>
        <v/>
      </c>
      <c r="CM60" s="17">
        <f>'Grid_Stock'!CE55</f>
        <v/>
      </c>
      <c r="CN60" s="17">
        <f>'Grid_Stock'!CF55</f>
        <v/>
      </c>
      <c r="CO60" s="17">
        <f>'Grid_Stock'!CG55</f>
        <v/>
      </c>
      <c r="CP60" s="17">
        <f>'Grid_Stock'!CH55</f>
        <v/>
      </c>
      <c r="CQ60" s="17">
        <f>'Grid_Stock'!CI55</f>
        <v/>
      </c>
      <c r="CR60" s="17">
        <f>'Grid_Stock'!CJ55</f>
        <v/>
      </c>
      <c r="CS60" s="17">
        <f>'Grid_Stock'!CK55</f>
        <v/>
      </c>
      <c r="CT60" s="17">
        <f>'Grid_Stock'!CL55</f>
        <v/>
      </c>
      <c r="CU60" s="17">
        <f>'Grid_Stock'!CM55</f>
        <v/>
      </c>
      <c r="CV60" s="17">
        <f>'Grid_Stock'!CN55</f>
        <v/>
      </c>
      <c r="CW60" s="17">
        <f>'Grid_Stock'!CO55</f>
        <v/>
      </c>
      <c r="CX60" s="17">
        <f>'Grid_Stock'!CP55</f>
        <v/>
      </c>
      <c r="CY60" s="17">
        <f>'Grid_Stock'!CQ55</f>
        <v/>
      </c>
      <c r="CZ60" s="17">
        <f>'Grid_Stock'!CR55</f>
        <v/>
      </c>
      <c r="DA60" s="17">
        <f>'Grid_Stock'!CS55</f>
        <v/>
      </c>
      <c r="DB60" s="17">
        <f>'Grid_Stock'!CT55</f>
        <v/>
      </c>
      <c r="DC60" s="17">
        <f>'Grid_Stock'!CU55</f>
        <v/>
      </c>
      <c r="DD60" s="17">
        <f>'Grid_Stock'!CV55</f>
        <v/>
      </c>
      <c r="DE60" s="17">
        <f>'Grid_Stock'!CW55</f>
        <v/>
      </c>
      <c r="DF60" s="17">
        <f>'Grid_Stock'!CX55</f>
        <v/>
      </c>
      <c r="DG60" s="17">
        <f>'Grid_Stock'!CY55</f>
        <v/>
      </c>
      <c r="DH60" s="17">
        <f>'Grid_Stock'!CZ55</f>
        <v/>
      </c>
      <c r="DI60" s="17">
        <f>'Grid_Stock'!DA55</f>
        <v/>
      </c>
    </row>
    <row r="61">
      <c r="A61" s="15" t="inlineStr">
        <is>
          <t>CHEM-1080</t>
        </is>
      </c>
      <c r="B61" s="15">
        <f>IFERROR(INDEX(M_RawMaterials[Description],MATCH($A61,M_RawMaterials[RM_Code],0)),"")</f>
        <v/>
      </c>
      <c r="C61" s="15">
        <f>IFERROR(INDEX(M_RawMaterials[Category],MATCH($A61,M_RawMaterials[RM_Code],0)),"")</f>
        <v/>
      </c>
      <c r="D61" s="15">
        <f>IFERROR(INDEX(M_RawMaterials[基準在庫下限_要入力],MATCH($A61,M_RawMaterials[RM_Code],0)),0)</f>
        <v/>
      </c>
      <c r="E61" s="15">
        <f>IFERROR(INDEX(M_RawMaterials[基準在庫上限_要入力],MATCH($A61,M_RawMaterials[RM_Code],0)),0)</f>
        <v/>
      </c>
      <c r="F61" s="15">
        <f>IFERROR(LOOKUP(2,1/(T_SelfStock!$A$2:$A$12000=$A61),T_SelfStock!$D$2:$D$12000),"")</f>
        <v/>
      </c>
      <c r="G61" s="15">
        <f>IFERROR(LOOKUP(2,1/(T_TTAFStock!$A$2:$A$12000=$A61),T_TTAFStock!$D$2:$D$12000),"")</f>
        <v/>
      </c>
      <c r="H61" s="15">
        <f>IFERROR(INDEX(Cal_Weeks[Label],LOOKUP(2,1/(T_SelfStock!$A$2:$A$12000=$A61),T_SelfStock!$C$2:$C$12000)),"")</f>
        <v/>
      </c>
      <c r="I61" s="16">
        <f>IFERROR(INDEX(J61:DI61,$F$1),"")</f>
        <v/>
      </c>
      <c r="J61" s="15">
        <f>'Grid_Stock'!B56</f>
        <v/>
      </c>
      <c r="K61" s="15">
        <f>'Grid_Stock'!C56</f>
        <v/>
      </c>
      <c r="L61" s="15">
        <f>'Grid_Stock'!D56</f>
        <v/>
      </c>
      <c r="M61" s="15">
        <f>'Grid_Stock'!E56</f>
        <v/>
      </c>
      <c r="N61" s="15">
        <f>'Grid_Stock'!F56</f>
        <v/>
      </c>
      <c r="O61" s="15">
        <f>'Grid_Stock'!G56</f>
        <v/>
      </c>
      <c r="P61" s="15">
        <f>'Grid_Stock'!H56</f>
        <v/>
      </c>
      <c r="Q61" s="15">
        <f>'Grid_Stock'!I56</f>
        <v/>
      </c>
      <c r="R61" s="15">
        <f>'Grid_Stock'!J56</f>
        <v/>
      </c>
      <c r="S61" s="15">
        <f>'Grid_Stock'!K56</f>
        <v/>
      </c>
      <c r="T61" s="15">
        <f>'Grid_Stock'!L56</f>
        <v/>
      </c>
      <c r="U61" s="15">
        <f>'Grid_Stock'!M56</f>
        <v/>
      </c>
      <c r="V61" s="15">
        <f>'Grid_Stock'!N56</f>
        <v/>
      </c>
      <c r="W61" s="15">
        <f>'Grid_Stock'!O56</f>
        <v/>
      </c>
      <c r="X61" s="15">
        <f>'Grid_Stock'!P56</f>
        <v/>
      </c>
      <c r="Y61" s="15">
        <f>'Grid_Stock'!Q56</f>
        <v/>
      </c>
      <c r="Z61" s="15">
        <f>'Grid_Stock'!R56</f>
        <v/>
      </c>
      <c r="AA61" s="15">
        <f>'Grid_Stock'!S56</f>
        <v/>
      </c>
      <c r="AB61" s="15">
        <f>'Grid_Stock'!T56</f>
        <v/>
      </c>
      <c r="AC61" s="15">
        <f>'Grid_Stock'!U56</f>
        <v/>
      </c>
      <c r="AD61" s="15">
        <f>'Grid_Stock'!V56</f>
        <v/>
      </c>
      <c r="AE61" s="15">
        <f>'Grid_Stock'!W56</f>
        <v/>
      </c>
      <c r="AF61" s="15">
        <f>'Grid_Stock'!X56</f>
        <v/>
      </c>
      <c r="AG61" s="15">
        <f>'Grid_Stock'!Y56</f>
        <v/>
      </c>
      <c r="AH61" s="15">
        <f>'Grid_Stock'!Z56</f>
        <v/>
      </c>
      <c r="AI61" s="15">
        <f>'Grid_Stock'!AA56</f>
        <v/>
      </c>
      <c r="AJ61" s="15">
        <f>'Grid_Stock'!AB56</f>
        <v/>
      </c>
      <c r="AK61" s="15">
        <f>'Grid_Stock'!AC56</f>
        <v/>
      </c>
      <c r="AL61" s="15">
        <f>'Grid_Stock'!AD56</f>
        <v/>
      </c>
      <c r="AM61" s="15">
        <f>'Grid_Stock'!AE56</f>
        <v/>
      </c>
      <c r="AN61" s="15">
        <f>'Grid_Stock'!AF56</f>
        <v/>
      </c>
      <c r="AO61" s="15">
        <f>'Grid_Stock'!AG56</f>
        <v/>
      </c>
      <c r="AP61" s="15">
        <f>'Grid_Stock'!AH56</f>
        <v/>
      </c>
      <c r="AQ61" s="15">
        <f>'Grid_Stock'!AI56</f>
        <v/>
      </c>
      <c r="AR61" s="15">
        <f>'Grid_Stock'!AJ56</f>
        <v/>
      </c>
      <c r="AS61" s="15">
        <f>'Grid_Stock'!AK56</f>
        <v/>
      </c>
      <c r="AT61" s="15">
        <f>'Grid_Stock'!AL56</f>
        <v/>
      </c>
      <c r="AU61" s="15">
        <f>'Grid_Stock'!AM56</f>
        <v/>
      </c>
      <c r="AV61" s="15">
        <f>'Grid_Stock'!AN56</f>
        <v/>
      </c>
      <c r="AW61" s="15">
        <f>'Grid_Stock'!AO56</f>
        <v/>
      </c>
      <c r="AX61" s="15">
        <f>'Grid_Stock'!AP56</f>
        <v/>
      </c>
      <c r="AY61" s="15">
        <f>'Grid_Stock'!AQ56</f>
        <v/>
      </c>
      <c r="AZ61" s="15">
        <f>'Grid_Stock'!AR56</f>
        <v/>
      </c>
      <c r="BA61" s="15">
        <f>'Grid_Stock'!AS56</f>
        <v/>
      </c>
      <c r="BB61" s="15">
        <f>'Grid_Stock'!AT56</f>
        <v/>
      </c>
      <c r="BC61" s="15">
        <f>'Grid_Stock'!AU56</f>
        <v/>
      </c>
      <c r="BD61" s="15">
        <f>'Grid_Stock'!AV56</f>
        <v/>
      </c>
      <c r="BE61" s="15">
        <f>'Grid_Stock'!AW56</f>
        <v/>
      </c>
      <c r="BF61" s="15">
        <f>'Grid_Stock'!AX56</f>
        <v/>
      </c>
      <c r="BG61" s="15">
        <f>'Grid_Stock'!AY56</f>
        <v/>
      </c>
      <c r="BH61" s="15">
        <f>'Grid_Stock'!AZ56</f>
        <v/>
      </c>
      <c r="BI61" s="15">
        <f>'Grid_Stock'!BA56</f>
        <v/>
      </c>
      <c r="BJ61" s="15">
        <f>'Grid_Stock'!BB56</f>
        <v/>
      </c>
      <c r="BK61" s="15">
        <f>'Grid_Stock'!BC56</f>
        <v/>
      </c>
      <c r="BL61" s="15">
        <f>'Grid_Stock'!BD56</f>
        <v/>
      </c>
      <c r="BM61" s="15">
        <f>'Grid_Stock'!BE56</f>
        <v/>
      </c>
      <c r="BN61" s="15">
        <f>'Grid_Stock'!BF56</f>
        <v/>
      </c>
      <c r="BO61" s="15">
        <f>'Grid_Stock'!BG56</f>
        <v/>
      </c>
      <c r="BP61" s="15">
        <f>'Grid_Stock'!BH56</f>
        <v/>
      </c>
      <c r="BQ61" s="15">
        <f>'Grid_Stock'!BI56</f>
        <v/>
      </c>
      <c r="BR61" s="15">
        <f>'Grid_Stock'!BJ56</f>
        <v/>
      </c>
      <c r="BS61" s="15">
        <f>'Grid_Stock'!BK56</f>
        <v/>
      </c>
      <c r="BT61" s="15">
        <f>'Grid_Stock'!BL56</f>
        <v/>
      </c>
      <c r="BU61" s="15">
        <f>'Grid_Stock'!BM56</f>
        <v/>
      </c>
      <c r="BV61" s="15">
        <f>'Grid_Stock'!BN56</f>
        <v/>
      </c>
      <c r="BW61" s="15">
        <f>'Grid_Stock'!BO56</f>
        <v/>
      </c>
      <c r="BX61" s="15">
        <f>'Grid_Stock'!BP56</f>
        <v/>
      </c>
      <c r="BY61" s="15">
        <f>'Grid_Stock'!BQ56</f>
        <v/>
      </c>
      <c r="BZ61" s="15">
        <f>'Grid_Stock'!BR56</f>
        <v/>
      </c>
      <c r="CA61" s="15">
        <f>'Grid_Stock'!BS56</f>
        <v/>
      </c>
      <c r="CB61" s="15">
        <f>'Grid_Stock'!BT56</f>
        <v/>
      </c>
      <c r="CC61" s="15">
        <f>'Grid_Stock'!BU56</f>
        <v/>
      </c>
      <c r="CD61" s="15">
        <f>'Grid_Stock'!BV56</f>
        <v/>
      </c>
      <c r="CE61" s="15">
        <f>'Grid_Stock'!BW56</f>
        <v/>
      </c>
      <c r="CF61" s="15">
        <f>'Grid_Stock'!BX56</f>
        <v/>
      </c>
      <c r="CG61" s="15">
        <f>'Grid_Stock'!BY56</f>
        <v/>
      </c>
      <c r="CH61" s="15">
        <f>'Grid_Stock'!BZ56</f>
        <v/>
      </c>
      <c r="CI61" s="15">
        <f>'Grid_Stock'!CA56</f>
        <v/>
      </c>
      <c r="CJ61" s="15">
        <f>'Grid_Stock'!CB56</f>
        <v/>
      </c>
      <c r="CK61" s="15">
        <f>'Grid_Stock'!CC56</f>
        <v/>
      </c>
      <c r="CL61" s="15">
        <f>'Grid_Stock'!CD56</f>
        <v/>
      </c>
      <c r="CM61" s="15">
        <f>'Grid_Stock'!CE56</f>
        <v/>
      </c>
      <c r="CN61" s="15">
        <f>'Grid_Stock'!CF56</f>
        <v/>
      </c>
      <c r="CO61" s="15">
        <f>'Grid_Stock'!CG56</f>
        <v/>
      </c>
      <c r="CP61" s="15">
        <f>'Grid_Stock'!CH56</f>
        <v/>
      </c>
      <c r="CQ61" s="15">
        <f>'Grid_Stock'!CI56</f>
        <v/>
      </c>
      <c r="CR61" s="15">
        <f>'Grid_Stock'!CJ56</f>
        <v/>
      </c>
      <c r="CS61" s="15">
        <f>'Grid_Stock'!CK56</f>
        <v/>
      </c>
      <c r="CT61" s="15">
        <f>'Grid_Stock'!CL56</f>
        <v/>
      </c>
      <c r="CU61" s="15">
        <f>'Grid_Stock'!CM56</f>
        <v/>
      </c>
      <c r="CV61" s="15">
        <f>'Grid_Stock'!CN56</f>
        <v/>
      </c>
      <c r="CW61" s="15">
        <f>'Grid_Stock'!CO56</f>
        <v/>
      </c>
      <c r="CX61" s="15">
        <f>'Grid_Stock'!CP56</f>
        <v/>
      </c>
      <c r="CY61" s="15">
        <f>'Grid_Stock'!CQ56</f>
        <v/>
      </c>
      <c r="CZ61" s="15">
        <f>'Grid_Stock'!CR56</f>
        <v/>
      </c>
      <c r="DA61" s="15">
        <f>'Grid_Stock'!CS56</f>
        <v/>
      </c>
      <c r="DB61" s="15">
        <f>'Grid_Stock'!CT56</f>
        <v/>
      </c>
      <c r="DC61" s="15">
        <f>'Grid_Stock'!CU56</f>
        <v/>
      </c>
      <c r="DD61" s="15">
        <f>'Grid_Stock'!CV56</f>
        <v/>
      </c>
      <c r="DE61" s="15">
        <f>'Grid_Stock'!CW56</f>
        <v/>
      </c>
      <c r="DF61" s="15">
        <f>'Grid_Stock'!CX56</f>
        <v/>
      </c>
      <c r="DG61" s="15">
        <f>'Grid_Stock'!CY56</f>
        <v/>
      </c>
      <c r="DH61" s="15">
        <f>'Grid_Stock'!CZ56</f>
        <v/>
      </c>
      <c r="DI61" s="15">
        <f>'Grid_Stock'!DA56</f>
        <v/>
      </c>
    </row>
    <row r="62">
      <c r="A62" s="17" t="inlineStr">
        <is>
          <t>CHEM-1770</t>
        </is>
      </c>
      <c r="B62" s="17">
        <f>IFERROR(INDEX(M_RawMaterials[Description],MATCH($A62,M_RawMaterials[RM_Code],0)),"")</f>
        <v/>
      </c>
      <c r="C62" s="17">
        <f>IFERROR(INDEX(M_RawMaterials[Category],MATCH($A62,M_RawMaterials[RM_Code],0)),"")</f>
        <v/>
      </c>
      <c r="D62" s="17">
        <f>IFERROR(INDEX(M_RawMaterials[基準在庫下限_要入力],MATCH($A62,M_RawMaterials[RM_Code],0)),0)</f>
        <v/>
      </c>
      <c r="E62" s="17">
        <f>IFERROR(INDEX(M_RawMaterials[基準在庫上限_要入力],MATCH($A62,M_RawMaterials[RM_Code],0)),0)</f>
        <v/>
      </c>
      <c r="F62" s="17">
        <f>IFERROR(LOOKUP(2,1/(T_SelfStock!$A$2:$A$12000=$A62),T_SelfStock!$D$2:$D$12000),"")</f>
        <v/>
      </c>
      <c r="G62" s="17">
        <f>IFERROR(LOOKUP(2,1/(T_TTAFStock!$A$2:$A$12000=$A62),T_TTAFStock!$D$2:$D$12000),"")</f>
        <v/>
      </c>
      <c r="H62" s="17">
        <f>IFERROR(INDEX(Cal_Weeks[Label],LOOKUP(2,1/(T_SelfStock!$A$2:$A$12000=$A62),T_SelfStock!$C$2:$C$12000)),"")</f>
        <v/>
      </c>
      <c r="I62" s="16">
        <f>IFERROR(INDEX(J62:DI62,$F$1),"")</f>
        <v/>
      </c>
      <c r="J62" s="17">
        <f>'Grid_Stock'!B57</f>
        <v/>
      </c>
      <c r="K62" s="17">
        <f>'Grid_Stock'!C57</f>
        <v/>
      </c>
      <c r="L62" s="17">
        <f>'Grid_Stock'!D57</f>
        <v/>
      </c>
      <c r="M62" s="17">
        <f>'Grid_Stock'!E57</f>
        <v/>
      </c>
      <c r="N62" s="17">
        <f>'Grid_Stock'!F57</f>
        <v/>
      </c>
      <c r="O62" s="17">
        <f>'Grid_Stock'!G57</f>
        <v/>
      </c>
      <c r="P62" s="17">
        <f>'Grid_Stock'!H57</f>
        <v/>
      </c>
      <c r="Q62" s="17">
        <f>'Grid_Stock'!I57</f>
        <v/>
      </c>
      <c r="R62" s="17">
        <f>'Grid_Stock'!J57</f>
        <v/>
      </c>
      <c r="S62" s="17">
        <f>'Grid_Stock'!K57</f>
        <v/>
      </c>
      <c r="T62" s="17">
        <f>'Grid_Stock'!L57</f>
        <v/>
      </c>
      <c r="U62" s="17">
        <f>'Grid_Stock'!M57</f>
        <v/>
      </c>
      <c r="V62" s="17">
        <f>'Grid_Stock'!N57</f>
        <v/>
      </c>
      <c r="W62" s="17">
        <f>'Grid_Stock'!O57</f>
        <v/>
      </c>
      <c r="X62" s="17">
        <f>'Grid_Stock'!P57</f>
        <v/>
      </c>
      <c r="Y62" s="17">
        <f>'Grid_Stock'!Q57</f>
        <v/>
      </c>
      <c r="Z62" s="17">
        <f>'Grid_Stock'!R57</f>
        <v/>
      </c>
      <c r="AA62" s="17">
        <f>'Grid_Stock'!S57</f>
        <v/>
      </c>
      <c r="AB62" s="17">
        <f>'Grid_Stock'!T57</f>
        <v/>
      </c>
      <c r="AC62" s="17">
        <f>'Grid_Stock'!U57</f>
        <v/>
      </c>
      <c r="AD62" s="17">
        <f>'Grid_Stock'!V57</f>
        <v/>
      </c>
      <c r="AE62" s="17">
        <f>'Grid_Stock'!W57</f>
        <v/>
      </c>
      <c r="AF62" s="17">
        <f>'Grid_Stock'!X57</f>
        <v/>
      </c>
      <c r="AG62" s="17">
        <f>'Grid_Stock'!Y57</f>
        <v/>
      </c>
      <c r="AH62" s="17">
        <f>'Grid_Stock'!Z57</f>
        <v/>
      </c>
      <c r="AI62" s="17">
        <f>'Grid_Stock'!AA57</f>
        <v/>
      </c>
      <c r="AJ62" s="17">
        <f>'Grid_Stock'!AB57</f>
        <v/>
      </c>
      <c r="AK62" s="17">
        <f>'Grid_Stock'!AC57</f>
        <v/>
      </c>
      <c r="AL62" s="17">
        <f>'Grid_Stock'!AD57</f>
        <v/>
      </c>
      <c r="AM62" s="17">
        <f>'Grid_Stock'!AE57</f>
        <v/>
      </c>
      <c r="AN62" s="17">
        <f>'Grid_Stock'!AF57</f>
        <v/>
      </c>
      <c r="AO62" s="17">
        <f>'Grid_Stock'!AG57</f>
        <v/>
      </c>
      <c r="AP62" s="17">
        <f>'Grid_Stock'!AH57</f>
        <v/>
      </c>
      <c r="AQ62" s="17">
        <f>'Grid_Stock'!AI57</f>
        <v/>
      </c>
      <c r="AR62" s="17">
        <f>'Grid_Stock'!AJ57</f>
        <v/>
      </c>
      <c r="AS62" s="17">
        <f>'Grid_Stock'!AK57</f>
        <v/>
      </c>
      <c r="AT62" s="17">
        <f>'Grid_Stock'!AL57</f>
        <v/>
      </c>
      <c r="AU62" s="17">
        <f>'Grid_Stock'!AM57</f>
        <v/>
      </c>
      <c r="AV62" s="17">
        <f>'Grid_Stock'!AN57</f>
        <v/>
      </c>
      <c r="AW62" s="17">
        <f>'Grid_Stock'!AO57</f>
        <v/>
      </c>
      <c r="AX62" s="17">
        <f>'Grid_Stock'!AP57</f>
        <v/>
      </c>
      <c r="AY62" s="17">
        <f>'Grid_Stock'!AQ57</f>
        <v/>
      </c>
      <c r="AZ62" s="17">
        <f>'Grid_Stock'!AR57</f>
        <v/>
      </c>
      <c r="BA62" s="17">
        <f>'Grid_Stock'!AS57</f>
        <v/>
      </c>
      <c r="BB62" s="17">
        <f>'Grid_Stock'!AT57</f>
        <v/>
      </c>
      <c r="BC62" s="17">
        <f>'Grid_Stock'!AU57</f>
        <v/>
      </c>
      <c r="BD62" s="17">
        <f>'Grid_Stock'!AV57</f>
        <v/>
      </c>
      <c r="BE62" s="17">
        <f>'Grid_Stock'!AW57</f>
        <v/>
      </c>
      <c r="BF62" s="17">
        <f>'Grid_Stock'!AX57</f>
        <v/>
      </c>
      <c r="BG62" s="17">
        <f>'Grid_Stock'!AY57</f>
        <v/>
      </c>
      <c r="BH62" s="17">
        <f>'Grid_Stock'!AZ57</f>
        <v/>
      </c>
      <c r="BI62" s="17">
        <f>'Grid_Stock'!BA57</f>
        <v/>
      </c>
      <c r="BJ62" s="17">
        <f>'Grid_Stock'!BB57</f>
        <v/>
      </c>
      <c r="BK62" s="17">
        <f>'Grid_Stock'!BC57</f>
        <v/>
      </c>
      <c r="BL62" s="17">
        <f>'Grid_Stock'!BD57</f>
        <v/>
      </c>
      <c r="BM62" s="17">
        <f>'Grid_Stock'!BE57</f>
        <v/>
      </c>
      <c r="BN62" s="17">
        <f>'Grid_Stock'!BF57</f>
        <v/>
      </c>
      <c r="BO62" s="17">
        <f>'Grid_Stock'!BG57</f>
        <v/>
      </c>
      <c r="BP62" s="17">
        <f>'Grid_Stock'!BH57</f>
        <v/>
      </c>
      <c r="BQ62" s="17">
        <f>'Grid_Stock'!BI57</f>
        <v/>
      </c>
      <c r="BR62" s="17">
        <f>'Grid_Stock'!BJ57</f>
        <v/>
      </c>
      <c r="BS62" s="17">
        <f>'Grid_Stock'!BK57</f>
        <v/>
      </c>
      <c r="BT62" s="17">
        <f>'Grid_Stock'!BL57</f>
        <v/>
      </c>
      <c r="BU62" s="17">
        <f>'Grid_Stock'!BM57</f>
        <v/>
      </c>
      <c r="BV62" s="17">
        <f>'Grid_Stock'!BN57</f>
        <v/>
      </c>
      <c r="BW62" s="17">
        <f>'Grid_Stock'!BO57</f>
        <v/>
      </c>
      <c r="BX62" s="17">
        <f>'Grid_Stock'!BP57</f>
        <v/>
      </c>
      <c r="BY62" s="17">
        <f>'Grid_Stock'!BQ57</f>
        <v/>
      </c>
      <c r="BZ62" s="17">
        <f>'Grid_Stock'!BR57</f>
        <v/>
      </c>
      <c r="CA62" s="17">
        <f>'Grid_Stock'!BS57</f>
        <v/>
      </c>
      <c r="CB62" s="17">
        <f>'Grid_Stock'!BT57</f>
        <v/>
      </c>
      <c r="CC62" s="17">
        <f>'Grid_Stock'!BU57</f>
        <v/>
      </c>
      <c r="CD62" s="17">
        <f>'Grid_Stock'!BV57</f>
        <v/>
      </c>
      <c r="CE62" s="17">
        <f>'Grid_Stock'!BW57</f>
        <v/>
      </c>
      <c r="CF62" s="17">
        <f>'Grid_Stock'!BX57</f>
        <v/>
      </c>
      <c r="CG62" s="17">
        <f>'Grid_Stock'!BY57</f>
        <v/>
      </c>
      <c r="CH62" s="17">
        <f>'Grid_Stock'!BZ57</f>
        <v/>
      </c>
      <c r="CI62" s="17">
        <f>'Grid_Stock'!CA57</f>
        <v/>
      </c>
      <c r="CJ62" s="17">
        <f>'Grid_Stock'!CB57</f>
        <v/>
      </c>
      <c r="CK62" s="17">
        <f>'Grid_Stock'!CC57</f>
        <v/>
      </c>
      <c r="CL62" s="17">
        <f>'Grid_Stock'!CD57</f>
        <v/>
      </c>
      <c r="CM62" s="17">
        <f>'Grid_Stock'!CE57</f>
        <v/>
      </c>
      <c r="CN62" s="17">
        <f>'Grid_Stock'!CF57</f>
        <v/>
      </c>
      <c r="CO62" s="17">
        <f>'Grid_Stock'!CG57</f>
        <v/>
      </c>
      <c r="CP62" s="17">
        <f>'Grid_Stock'!CH57</f>
        <v/>
      </c>
      <c r="CQ62" s="17">
        <f>'Grid_Stock'!CI57</f>
        <v/>
      </c>
      <c r="CR62" s="17">
        <f>'Grid_Stock'!CJ57</f>
        <v/>
      </c>
      <c r="CS62" s="17">
        <f>'Grid_Stock'!CK57</f>
        <v/>
      </c>
      <c r="CT62" s="17">
        <f>'Grid_Stock'!CL57</f>
        <v/>
      </c>
      <c r="CU62" s="17">
        <f>'Grid_Stock'!CM57</f>
        <v/>
      </c>
      <c r="CV62" s="17">
        <f>'Grid_Stock'!CN57</f>
        <v/>
      </c>
      <c r="CW62" s="17">
        <f>'Grid_Stock'!CO57</f>
        <v/>
      </c>
      <c r="CX62" s="17">
        <f>'Grid_Stock'!CP57</f>
        <v/>
      </c>
      <c r="CY62" s="17">
        <f>'Grid_Stock'!CQ57</f>
        <v/>
      </c>
      <c r="CZ62" s="17">
        <f>'Grid_Stock'!CR57</f>
        <v/>
      </c>
      <c r="DA62" s="17">
        <f>'Grid_Stock'!CS57</f>
        <v/>
      </c>
      <c r="DB62" s="17">
        <f>'Grid_Stock'!CT57</f>
        <v/>
      </c>
      <c r="DC62" s="17">
        <f>'Grid_Stock'!CU57</f>
        <v/>
      </c>
      <c r="DD62" s="17">
        <f>'Grid_Stock'!CV57</f>
        <v/>
      </c>
      <c r="DE62" s="17">
        <f>'Grid_Stock'!CW57</f>
        <v/>
      </c>
      <c r="DF62" s="17">
        <f>'Grid_Stock'!CX57</f>
        <v/>
      </c>
      <c r="DG62" s="17">
        <f>'Grid_Stock'!CY57</f>
        <v/>
      </c>
      <c r="DH62" s="17">
        <f>'Grid_Stock'!CZ57</f>
        <v/>
      </c>
      <c r="DI62" s="17">
        <f>'Grid_Stock'!DA57</f>
        <v/>
      </c>
    </row>
    <row r="63">
      <c r="A63" s="15" t="inlineStr">
        <is>
          <t>CHEM-1850</t>
        </is>
      </c>
      <c r="B63" s="15">
        <f>IFERROR(INDEX(M_RawMaterials[Description],MATCH($A63,M_RawMaterials[RM_Code],0)),"")</f>
        <v/>
      </c>
      <c r="C63" s="15">
        <f>IFERROR(INDEX(M_RawMaterials[Category],MATCH($A63,M_RawMaterials[RM_Code],0)),"")</f>
        <v/>
      </c>
      <c r="D63" s="15">
        <f>IFERROR(INDEX(M_RawMaterials[基準在庫下限_要入力],MATCH($A63,M_RawMaterials[RM_Code],0)),0)</f>
        <v/>
      </c>
      <c r="E63" s="15">
        <f>IFERROR(INDEX(M_RawMaterials[基準在庫上限_要入力],MATCH($A63,M_RawMaterials[RM_Code],0)),0)</f>
        <v/>
      </c>
      <c r="F63" s="15">
        <f>IFERROR(LOOKUP(2,1/(T_SelfStock!$A$2:$A$12000=$A63),T_SelfStock!$D$2:$D$12000),"")</f>
        <v/>
      </c>
      <c r="G63" s="15">
        <f>IFERROR(LOOKUP(2,1/(T_TTAFStock!$A$2:$A$12000=$A63),T_TTAFStock!$D$2:$D$12000),"")</f>
        <v/>
      </c>
      <c r="H63" s="15">
        <f>IFERROR(INDEX(Cal_Weeks[Label],LOOKUP(2,1/(T_SelfStock!$A$2:$A$12000=$A63),T_SelfStock!$C$2:$C$12000)),"")</f>
        <v/>
      </c>
      <c r="I63" s="16">
        <f>IFERROR(INDEX(J63:DI63,$F$1),"")</f>
        <v/>
      </c>
      <c r="J63" s="15">
        <f>'Grid_Stock'!B58</f>
        <v/>
      </c>
      <c r="K63" s="15">
        <f>'Grid_Stock'!C58</f>
        <v/>
      </c>
      <c r="L63" s="15">
        <f>'Grid_Stock'!D58</f>
        <v/>
      </c>
      <c r="M63" s="15">
        <f>'Grid_Stock'!E58</f>
        <v/>
      </c>
      <c r="N63" s="15">
        <f>'Grid_Stock'!F58</f>
        <v/>
      </c>
      <c r="O63" s="15">
        <f>'Grid_Stock'!G58</f>
        <v/>
      </c>
      <c r="P63" s="15">
        <f>'Grid_Stock'!H58</f>
        <v/>
      </c>
      <c r="Q63" s="15">
        <f>'Grid_Stock'!I58</f>
        <v/>
      </c>
      <c r="R63" s="15">
        <f>'Grid_Stock'!J58</f>
        <v/>
      </c>
      <c r="S63" s="15">
        <f>'Grid_Stock'!K58</f>
        <v/>
      </c>
      <c r="T63" s="15">
        <f>'Grid_Stock'!L58</f>
        <v/>
      </c>
      <c r="U63" s="15">
        <f>'Grid_Stock'!M58</f>
        <v/>
      </c>
      <c r="V63" s="15">
        <f>'Grid_Stock'!N58</f>
        <v/>
      </c>
      <c r="W63" s="15">
        <f>'Grid_Stock'!O58</f>
        <v/>
      </c>
      <c r="X63" s="15">
        <f>'Grid_Stock'!P58</f>
        <v/>
      </c>
      <c r="Y63" s="15">
        <f>'Grid_Stock'!Q58</f>
        <v/>
      </c>
      <c r="Z63" s="15">
        <f>'Grid_Stock'!R58</f>
        <v/>
      </c>
      <c r="AA63" s="15">
        <f>'Grid_Stock'!S58</f>
        <v/>
      </c>
      <c r="AB63" s="15">
        <f>'Grid_Stock'!T58</f>
        <v/>
      </c>
      <c r="AC63" s="15">
        <f>'Grid_Stock'!U58</f>
        <v/>
      </c>
      <c r="AD63" s="15">
        <f>'Grid_Stock'!V58</f>
        <v/>
      </c>
      <c r="AE63" s="15">
        <f>'Grid_Stock'!W58</f>
        <v/>
      </c>
      <c r="AF63" s="15">
        <f>'Grid_Stock'!X58</f>
        <v/>
      </c>
      <c r="AG63" s="15">
        <f>'Grid_Stock'!Y58</f>
        <v/>
      </c>
      <c r="AH63" s="15">
        <f>'Grid_Stock'!Z58</f>
        <v/>
      </c>
      <c r="AI63" s="15">
        <f>'Grid_Stock'!AA58</f>
        <v/>
      </c>
      <c r="AJ63" s="15">
        <f>'Grid_Stock'!AB58</f>
        <v/>
      </c>
      <c r="AK63" s="15">
        <f>'Grid_Stock'!AC58</f>
        <v/>
      </c>
      <c r="AL63" s="15">
        <f>'Grid_Stock'!AD58</f>
        <v/>
      </c>
      <c r="AM63" s="15">
        <f>'Grid_Stock'!AE58</f>
        <v/>
      </c>
      <c r="AN63" s="15">
        <f>'Grid_Stock'!AF58</f>
        <v/>
      </c>
      <c r="AO63" s="15">
        <f>'Grid_Stock'!AG58</f>
        <v/>
      </c>
      <c r="AP63" s="15">
        <f>'Grid_Stock'!AH58</f>
        <v/>
      </c>
      <c r="AQ63" s="15">
        <f>'Grid_Stock'!AI58</f>
        <v/>
      </c>
      <c r="AR63" s="15">
        <f>'Grid_Stock'!AJ58</f>
        <v/>
      </c>
      <c r="AS63" s="15">
        <f>'Grid_Stock'!AK58</f>
        <v/>
      </c>
      <c r="AT63" s="15">
        <f>'Grid_Stock'!AL58</f>
        <v/>
      </c>
      <c r="AU63" s="15">
        <f>'Grid_Stock'!AM58</f>
        <v/>
      </c>
      <c r="AV63" s="15">
        <f>'Grid_Stock'!AN58</f>
        <v/>
      </c>
      <c r="AW63" s="15">
        <f>'Grid_Stock'!AO58</f>
        <v/>
      </c>
      <c r="AX63" s="15">
        <f>'Grid_Stock'!AP58</f>
        <v/>
      </c>
      <c r="AY63" s="15">
        <f>'Grid_Stock'!AQ58</f>
        <v/>
      </c>
      <c r="AZ63" s="15">
        <f>'Grid_Stock'!AR58</f>
        <v/>
      </c>
      <c r="BA63" s="15">
        <f>'Grid_Stock'!AS58</f>
        <v/>
      </c>
      <c r="BB63" s="15">
        <f>'Grid_Stock'!AT58</f>
        <v/>
      </c>
      <c r="BC63" s="15">
        <f>'Grid_Stock'!AU58</f>
        <v/>
      </c>
      <c r="BD63" s="15">
        <f>'Grid_Stock'!AV58</f>
        <v/>
      </c>
      <c r="BE63" s="15">
        <f>'Grid_Stock'!AW58</f>
        <v/>
      </c>
      <c r="BF63" s="15">
        <f>'Grid_Stock'!AX58</f>
        <v/>
      </c>
      <c r="BG63" s="15">
        <f>'Grid_Stock'!AY58</f>
        <v/>
      </c>
      <c r="BH63" s="15">
        <f>'Grid_Stock'!AZ58</f>
        <v/>
      </c>
      <c r="BI63" s="15">
        <f>'Grid_Stock'!BA58</f>
        <v/>
      </c>
      <c r="BJ63" s="15">
        <f>'Grid_Stock'!BB58</f>
        <v/>
      </c>
      <c r="BK63" s="15">
        <f>'Grid_Stock'!BC58</f>
        <v/>
      </c>
      <c r="BL63" s="15">
        <f>'Grid_Stock'!BD58</f>
        <v/>
      </c>
      <c r="BM63" s="15">
        <f>'Grid_Stock'!BE58</f>
        <v/>
      </c>
      <c r="BN63" s="15">
        <f>'Grid_Stock'!BF58</f>
        <v/>
      </c>
      <c r="BO63" s="15">
        <f>'Grid_Stock'!BG58</f>
        <v/>
      </c>
      <c r="BP63" s="15">
        <f>'Grid_Stock'!BH58</f>
        <v/>
      </c>
      <c r="BQ63" s="15">
        <f>'Grid_Stock'!BI58</f>
        <v/>
      </c>
      <c r="BR63" s="15">
        <f>'Grid_Stock'!BJ58</f>
        <v/>
      </c>
      <c r="BS63" s="15">
        <f>'Grid_Stock'!BK58</f>
        <v/>
      </c>
      <c r="BT63" s="15">
        <f>'Grid_Stock'!BL58</f>
        <v/>
      </c>
      <c r="BU63" s="15">
        <f>'Grid_Stock'!BM58</f>
        <v/>
      </c>
      <c r="BV63" s="15">
        <f>'Grid_Stock'!BN58</f>
        <v/>
      </c>
      <c r="BW63" s="15">
        <f>'Grid_Stock'!BO58</f>
        <v/>
      </c>
      <c r="BX63" s="15">
        <f>'Grid_Stock'!BP58</f>
        <v/>
      </c>
      <c r="BY63" s="15">
        <f>'Grid_Stock'!BQ58</f>
        <v/>
      </c>
      <c r="BZ63" s="15">
        <f>'Grid_Stock'!BR58</f>
        <v/>
      </c>
      <c r="CA63" s="15">
        <f>'Grid_Stock'!BS58</f>
        <v/>
      </c>
      <c r="CB63" s="15">
        <f>'Grid_Stock'!BT58</f>
        <v/>
      </c>
      <c r="CC63" s="15">
        <f>'Grid_Stock'!BU58</f>
        <v/>
      </c>
      <c r="CD63" s="15">
        <f>'Grid_Stock'!BV58</f>
        <v/>
      </c>
      <c r="CE63" s="15">
        <f>'Grid_Stock'!BW58</f>
        <v/>
      </c>
      <c r="CF63" s="15">
        <f>'Grid_Stock'!BX58</f>
        <v/>
      </c>
      <c r="CG63" s="15">
        <f>'Grid_Stock'!BY58</f>
        <v/>
      </c>
      <c r="CH63" s="15">
        <f>'Grid_Stock'!BZ58</f>
        <v/>
      </c>
      <c r="CI63" s="15">
        <f>'Grid_Stock'!CA58</f>
        <v/>
      </c>
      <c r="CJ63" s="15">
        <f>'Grid_Stock'!CB58</f>
        <v/>
      </c>
      <c r="CK63" s="15">
        <f>'Grid_Stock'!CC58</f>
        <v/>
      </c>
      <c r="CL63" s="15">
        <f>'Grid_Stock'!CD58</f>
        <v/>
      </c>
      <c r="CM63" s="15">
        <f>'Grid_Stock'!CE58</f>
        <v/>
      </c>
      <c r="CN63" s="15">
        <f>'Grid_Stock'!CF58</f>
        <v/>
      </c>
      <c r="CO63" s="15">
        <f>'Grid_Stock'!CG58</f>
        <v/>
      </c>
      <c r="CP63" s="15">
        <f>'Grid_Stock'!CH58</f>
        <v/>
      </c>
      <c r="CQ63" s="15">
        <f>'Grid_Stock'!CI58</f>
        <v/>
      </c>
      <c r="CR63" s="15">
        <f>'Grid_Stock'!CJ58</f>
        <v/>
      </c>
      <c r="CS63" s="15">
        <f>'Grid_Stock'!CK58</f>
        <v/>
      </c>
      <c r="CT63" s="15">
        <f>'Grid_Stock'!CL58</f>
        <v/>
      </c>
      <c r="CU63" s="15">
        <f>'Grid_Stock'!CM58</f>
        <v/>
      </c>
      <c r="CV63" s="15">
        <f>'Grid_Stock'!CN58</f>
        <v/>
      </c>
      <c r="CW63" s="15">
        <f>'Grid_Stock'!CO58</f>
        <v/>
      </c>
      <c r="CX63" s="15">
        <f>'Grid_Stock'!CP58</f>
        <v/>
      </c>
      <c r="CY63" s="15">
        <f>'Grid_Stock'!CQ58</f>
        <v/>
      </c>
      <c r="CZ63" s="15">
        <f>'Grid_Stock'!CR58</f>
        <v/>
      </c>
      <c r="DA63" s="15">
        <f>'Grid_Stock'!CS58</f>
        <v/>
      </c>
      <c r="DB63" s="15">
        <f>'Grid_Stock'!CT58</f>
        <v/>
      </c>
      <c r="DC63" s="15">
        <f>'Grid_Stock'!CU58</f>
        <v/>
      </c>
      <c r="DD63" s="15">
        <f>'Grid_Stock'!CV58</f>
        <v/>
      </c>
      <c r="DE63" s="15">
        <f>'Grid_Stock'!CW58</f>
        <v/>
      </c>
      <c r="DF63" s="15">
        <f>'Grid_Stock'!CX58</f>
        <v/>
      </c>
      <c r="DG63" s="15">
        <f>'Grid_Stock'!CY58</f>
        <v/>
      </c>
      <c r="DH63" s="15">
        <f>'Grid_Stock'!CZ58</f>
        <v/>
      </c>
      <c r="DI63" s="15">
        <f>'Grid_Stock'!DA58</f>
        <v/>
      </c>
    </row>
    <row r="64">
      <c r="A64" s="17" t="inlineStr">
        <is>
          <t>CHEM-1780</t>
        </is>
      </c>
      <c r="B64" s="17">
        <f>IFERROR(INDEX(M_RawMaterials[Description],MATCH($A64,M_RawMaterials[RM_Code],0)),"")</f>
        <v/>
      </c>
      <c r="C64" s="17">
        <f>IFERROR(INDEX(M_RawMaterials[Category],MATCH($A64,M_RawMaterials[RM_Code],0)),"")</f>
        <v/>
      </c>
      <c r="D64" s="17">
        <f>IFERROR(INDEX(M_RawMaterials[基準在庫下限_要入力],MATCH($A64,M_RawMaterials[RM_Code],0)),0)</f>
        <v/>
      </c>
      <c r="E64" s="17">
        <f>IFERROR(INDEX(M_RawMaterials[基準在庫上限_要入力],MATCH($A64,M_RawMaterials[RM_Code],0)),0)</f>
        <v/>
      </c>
      <c r="F64" s="17">
        <f>IFERROR(LOOKUP(2,1/(T_SelfStock!$A$2:$A$12000=$A64),T_SelfStock!$D$2:$D$12000),"")</f>
        <v/>
      </c>
      <c r="G64" s="17">
        <f>IFERROR(LOOKUP(2,1/(T_TTAFStock!$A$2:$A$12000=$A64),T_TTAFStock!$D$2:$D$12000),"")</f>
        <v/>
      </c>
      <c r="H64" s="17">
        <f>IFERROR(INDEX(Cal_Weeks[Label],LOOKUP(2,1/(T_SelfStock!$A$2:$A$12000=$A64),T_SelfStock!$C$2:$C$12000)),"")</f>
        <v/>
      </c>
      <c r="I64" s="16">
        <f>IFERROR(INDEX(J64:DI64,$F$1),"")</f>
        <v/>
      </c>
      <c r="J64" s="17">
        <f>'Grid_Stock'!B59</f>
        <v/>
      </c>
      <c r="K64" s="17">
        <f>'Grid_Stock'!C59</f>
        <v/>
      </c>
      <c r="L64" s="17">
        <f>'Grid_Stock'!D59</f>
        <v/>
      </c>
      <c r="M64" s="17">
        <f>'Grid_Stock'!E59</f>
        <v/>
      </c>
      <c r="N64" s="17">
        <f>'Grid_Stock'!F59</f>
        <v/>
      </c>
      <c r="O64" s="17">
        <f>'Grid_Stock'!G59</f>
        <v/>
      </c>
      <c r="P64" s="17">
        <f>'Grid_Stock'!H59</f>
        <v/>
      </c>
      <c r="Q64" s="17">
        <f>'Grid_Stock'!I59</f>
        <v/>
      </c>
      <c r="R64" s="17">
        <f>'Grid_Stock'!J59</f>
        <v/>
      </c>
      <c r="S64" s="17">
        <f>'Grid_Stock'!K59</f>
        <v/>
      </c>
      <c r="T64" s="17">
        <f>'Grid_Stock'!L59</f>
        <v/>
      </c>
      <c r="U64" s="17">
        <f>'Grid_Stock'!M59</f>
        <v/>
      </c>
      <c r="V64" s="17">
        <f>'Grid_Stock'!N59</f>
        <v/>
      </c>
      <c r="W64" s="17">
        <f>'Grid_Stock'!O59</f>
        <v/>
      </c>
      <c r="X64" s="17">
        <f>'Grid_Stock'!P59</f>
        <v/>
      </c>
      <c r="Y64" s="17">
        <f>'Grid_Stock'!Q59</f>
        <v/>
      </c>
      <c r="Z64" s="17">
        <f>'Grid_Stock'!R59</f>
        <v/>
      </c>
      <c r="AA64" s="17">
        <f>'Grid_Stock'!S59</f>
        <v/>
      </c>
      <c r="AB64" s="17">
        <f>'Grid_Stock'!T59</f>
        <v/>
      </c>
      <c r="AC64" s="17">
        <f>'Grid_Stock'!U59</f>
        <v/>
      </c>
      <c r="AD64" s="17">
        <f>'Grid_Stock'!V59</f>
        <v/>
      </c>
      <c r="AE64" s="17">
        <f>'Grid_Stock'!W59</f>
        <v/>
      </c>
      <c r="AF64" s="17">
        <f>'Grid_Stock'!X59</f>
        <v/>
      </c>
      <c r="AG64" s="17">
        <f>'Grid_Stock'!Y59</f>
        <v/>
      </c>
      <c r="AH64" s="17">
        <f>'Grid_Stock'!Z59</f>
        <v/>
      </c>
      <c r="AI64" s="17">
        <f>'Grid_Stock'!AA59</f>
        <v/>
      </c>
      <c r="AJ64" s="17">
        <f>'Grid_Stock'!AB59</f>
        <v/>
      </c>
      <c r="AK64" s="17">
        <f>'Grid_Stock'!AC59</f>
        <v/>
      </c>
      <c r="AL64" s="17">
        <f>'Grid_Stock'!AD59</f>
        <v/>
      </c>
      <c r="AM64" s="17">
        <f>'Grid_Stock'!AE59</f>
        <v/>
      </c>
      <c r="AN64" s="17">
        <f>'Grid_Stock'!AF59</f>
        <v/>
      </c>
      <c r="AO64" s="17">
        <f>'Grid_Stock'!AG59</f>
        <v/>
      </c>
      <c r="AP64" s="17">
        <f>'Grid_Stock'!AH59</f>
        <v/>
      </c>
      <c r="AQ64" s="17">
        <f>'Grid_Stock'!AI59</f>
        <v/>
      </c>
      <c r="AR64" s="17">
        <f>'Grid_Stock'!AJ59</f>
        <v/>
      </c>
      <c r="AS64" s="17">
        <f>'Grid_Stock'!AK59</f>
        <v/>
      </c>
      <c r="AT64" s="17">
        <f>'Grid_Stock'!AL59</f>
        <v/>
      </c>
      <c r="AU64" s="17">
        <f>'Grid_Stock'!AM59</f>
        <v/>
      </c>
      <c r="AV64" s="17">
        <f>'Grid_Stock'!AN59</f>
        <v/>
      </c>
      <c r="AW64" s="17">
        <f>'Grid_Stock'!AO59</f>
        <v/>
      </c>
      <c r="AX64" s="17">
        <f>'Grid_Stock'!AP59</f>
        <v/>
      </c>
      <c r="AY64" s="17">
        <f>'Grid_Stock'!AQ59</f>
        <v/>
      </c>
      <c r="AZ64" s="17">
        <f>'Grid_Stock'!AR59</f>
        <v/>
      </c>
      <c r="BA64" s="17">
        <f>'Grid_Stock'!AS59</f>
        <v/>
      </c>
      <c r="BB64" s="17">
        <f>'Grid_Stock'!AT59</f>
        <v/>
      </c>
      <c r="BC64" s="17">
        <f>'Grid_Stock'!AU59</f>
        <v/>
      </c>
      <c r="BD64" s="17">
        <f>'Grid_Stock'!AV59</f>
        <v/>
      </c>
      <c r="BE64" s="17">
        <f>'Grid_Stock'!AW59</f>
        <v/>
      </c>
      <c r="BF64" s="17">
        <f>'Grid_Stock'!AX59</f>
        <v/>
      </c>
      <c r="BG64" s="17">
        <f>'Grid_Stock'!AY59</f>
        <v/>
      </c>
      <c r="BH64" s="17">
        <f>'Grid_Stock'!AZ59</f>
        <v/>
      </c>
      <c r="BI64" s="17">
        <f>'Grid_Stock'!BA59</f>
        <v/>
      </c>
      <c r="BJ64" s="17">
        <f>'Grid_Stock'!BB59</f>
        <v/>
      </c>
      <c r="BK64" s="17">
        <f>'Grid_Stock'!BC59</f>
        <v/>
      </c>
      <c r="BL64" s="17">
        <f>'Grid_Stock'!BD59</f>
        <v/>
      </c>
      <c r="BM64" s="17">
        <f>'Grid_Stock'!BE59</f>
        <v/>
      </c>
      <c r="BN64" s="17">
        <f>'Grid_Stock'!BF59</f>
        <v/>
      </c>
      <c r="BO64" s="17">
        <f>'Grid_Stock'!BG59</f>
        <v/>
      </c>
      <c r="BP64" s="17">
        <f>'Grid_Stock'!BH59</f>
        <v/>
      </c>
      <c r="BQ64" s="17">
        <f>'Grid_Stock'!BI59</f>
        <v/>
      </c>
      <c r="BR64" s="17">
        <f>'Grid_Stock'!BJ59</f>
        <v/>
      </c>
      <c r="BS64" s="17">
        <f>'Grid_Stock'!BK59</f>
        <v/>
      </c>
      <c r="BT64" s="17">
        <f>'Grid_Stock'!BL59</f>
        <v/>
      </c>
      <c r="BU64" s="17">
        <f>'Grid_Stock'!BM59</f>
        <v/>
      </c>
      <c r="BV64" s="17">
        <f>'Grid_Stock'!BN59</f>
        <v/>
      </c>
      <c r="BW64" s="17">
        <f>'Grid_Stock'!BO59</f>
        <v/>
      </c>
      <c r="BX64" s="17">
        <f>'Grid_Stock'!BP59</f>
        <v/>
      </c>
      <c r="BY64" s="17">
        <f>'Grid_Stock'!BQ59</f>
        <v/>
      </c>
      <c r="BZ64" s="17">
        <f>'Grid_Stock'!BR59</f>
        <v/>
      </c>
      <c r="CA64" s="17">
        <f>'Grid_Stock'!BS59</f>
        <v/>
      </c>
      <c r="CB64" s="17">
        <f>'Grid_Stock'!BT59</f>
        <v/>
      </c>
      <c r="CC64" s="17">
        <f>'Grid_Stock'!BU59</f>
        <v/>
      </c>
      <c r="CD64" s="17">
        <f>'Grid_Stock'!BV59</f>
        <v/>
      </c>
      <c r="CE64" s="17">
        <f>'Grid_Stock'!BW59</f>
        <v/>
      </c>
      <c r="CF64" s="17">
        <f>'Grid_Stock'!BX59</f>
        <v/>
      </c>
      <c r="CG64" s="17">
        <f>'Grid_Stock'!BY59</f>
        <v/>
      </c>
      <c r="CH64" s="17">
        <f>'Grid_Stock'!BZ59</f>
        <v/>
      </c>
      <c r="CI64" s="17">
        <f>'Grid_Stock'!CA59</f>
        <v/>
      </c>
      <c r="CJ64" s="17">
        <f>'Grid_Stock'!CB59</f>
        <v/>
      </c>
      <c r="CK64" s="17">
        <f>'Grid_Stock'!CC59</f>
        <v/>
      </c>
      <c r="CL64" s="17">
        <f>'Grid_Stock'!CD59</f>
        <v/>
      </c>
      <c r="CM64" s="17">
        <f>'Grid_Stock'!CE59</f>
        <v/>
      </c>
      <c r="CN64" s="17">
        <f>'Grid_Stock'!CF59</f>
        <v/>
      </c>
      <c r="CO64" s="17">
        <f>'Grid_Stock'!CG59</f>
        <v/>
      </c>
      <c r="CP64" s="17">
        <f>'Grid_Stock'!CH59</f>
        <v/>
      </c>
      <c r="CQ64" s="17">
        <f>'Grid_Stock'!CI59</f>
        <v/>
      </c>
      <c r="CR64" s="17">
        <f>'Grid_Stock'!CJ59</f>
        <v/>
      </c>
      <c r="CS64" s="17">
        <f>'Grid_Stock'!CK59</f>
        <v/>
      </c>
      <c r="CT64" s="17">
        <f>'Grid_Stock'!CL59</f>
        <v/>
      </c>
      <c r="CU64" s="17">
        <f>'Grid_Stock'!CM59</f>
        <v/>
      </c>
      <c r="CV64" s="17">
        <f>'Grid_Stock'!CN59</f>
        <v/>
      </c>
      <c r="CW64" s="17">
        <f>'Grid_Stock'!CO59</f>
        <v/>
      </c>
      <c r="CX64" s="17">
        <f>'Grid_Stock'!CP59</f>
        <v/>
      </c>
      <c r="CY64" s="17">
        <f>'Grid_Stock'!CQ59</f>
        <v/>
      </c>
      <c r="CZ64" s="17">
        <f>'Grid_Stock'!CR59</f>
        <v/>
      </c>
      <c r="DA64" s="17">
        <f>'Grid_Stock'!CS59</f>
        <v/>
      </c>
      <c r="DB64" s="17">
        <f>'Grid_Stock'!CT59</f>
        <v/>
      </c>
      <c r="DC64" s="17">
        <f>'Grid_Stock'!CU59</f>
        <v/>
      </c>
      <c r="DD64" s="17">
        <f>'Grid_Stock'!CV59</f>
        <v/>
      </c>
      <c r="DE64" s="17">
        <f>'Grid_Stock'!CW59</f>
        <v/>
      </c>
      <c r="DF64" s="17">
        <f>'Grid_Stock'!CX59</f>
        <v/>
      </c>
      <c r="DG64" s="17">
        <f>'Grid_Stock'!CY59</f>
        <v/>
      </c>
      <c r="DH64" s="17">
        <f>'Grid_Stock'!CZ59</f>
        <v/>
      </c>
      <c r="DI64" s="17">
        <f>'Grid_Stock'!DA59</f>
        <v/>
      </c>
    </row>
    <row r="65">
      <c r="A65" s="15" t="inlineStr">
        <is>
          <t>CHEM-1020</t>
        </is>
      </c>
      <c r="B65" s="15">
        <f>IFERROR(INDEX(M_RawMaterials[Description],MATCH($A65,M_RawMaterials[RM_Code],0)),"")</f>
        <v/>
      </c>
      <c r="C65" s="15">
        <f>IFERROR(INDEX(M_RawMaterials[Category],MATCH($A65,M_RawMaterials[RM_Code],0)),"")</f>
        <v/>
      </c>
      <c r="D65" s="15">
        <f>IFERROR(INDEX(M_RawMaterials[基準在庫下限_要入力],MATCH($A65,M_RawMaterials[RM_Code],0)),0)</f>
        <v/>
      </c>
      <c r="E65" s="15">
        <f>IFERROR(INDEX(M_RawMaterials[基準在庫上限_要入力],MATCH($A65,M_RawMaterials[RM_Code],0)),0)</f>
        <v/>
      </c>
      <c r="F65" s="15">
        <f>IFERROR(LOOKUP(2,1/(T_SelfStock!$A$2:$A$12000=$A65),T_SelfStock!$D$2:$D$12000),"")</f>
        <v/>
      </c>
      <c r="G65" s="15">
        <f>IFERROR(LOOKUP(2,1/(T_TTAFStock!$A$2:$A$12000=$A65),T_TTAFStock!$D$2:$D$12000),"")</f>
        <v/>
      </c>
      <c r="H65" s="15">
        <f>IFERROR(INDEX(Cal_Weeks[Label],LOOKUP(2,1/(T_SelfStock!$A$2:$A$12000=$A65),T_SelfStock!$C$2:$C$12000)),"")</f>
        <v/>
      </c>
      <c r="I65" s="16">
        <f>IFERROR(INDEX(J65:DI65,$F$1),"")</f>
        <v/>
      </c>
      <c r="J65" s="15">
        <f>'Grid_Stock'!B60</f>
        <v/>
      </c>
      <c r="K65" s="15">
        <f>'Grid_Stock'!C60</f>
        <v/>
      </c>
      <c r="L65" s="15">
        <f>'Grid_Stock'!D60</f>
        <v/>
      </c>
      <c r="M65" s="15">
        <f>'Grid_Stock'!E60</f>
        <v/>
      </c>
      <c r="N65" s="15">
        <f>'Grid_Stock'!F60</f>
        <v/>
      </c>
      <c r="O65" s="15">
        <f>'Grid_Stock'!G60</f>
        <v/>
      </c>
      <c r="P65" s="15">
        <f>'Grid_Stock'!H60</f>
        <v/>
      </c>
      <c r="Q65" s="15">
        <f>'Grid_Stock'!I60</f>
        <v/>
      </c>
      <c r="R65" s="15">
        <f>'Grid_Stock'!J60</f>
        <v/>
      </c>
      <c r="S65" s="15">
        <f>'Grid_Stock'!K60</f>
        <v/>
      </c>
      <c r="T65" s="15">
        <f>'Grid_Stock'!L60</f>
        <v/>
      </c>
      <c r="U65" s="15">
        <f>'Grid_Stock'!M60</f>
        <v/>
      </c>
      <c r="V65" s="15">
        <f>'Grid_Stock'!N60</f>
        <v/>
      </c>
      <c r="W65" s="15">
        <f>'Grid_Stock'!O60</f>
        <v/>
      </c>
      <c r="X65" s="15">
        <f>'Grid_Stock'!P60</f>
        <v/>
      </c>
      <c r="Y65" s="15">
        <f>'Grid_Stock'!Q60</f>
        <v/>
      </c>
      <c r="Z65" s="15">
        <f>'Grid_Stock'!R60</f>
        <v/>
      </c>
      <c r="AA65" s="15">
        <f>'Grid_Stock'!S60</f>
        <v/>
      </c>
      <c r="AB65" s="15">
        <f>'Grid_Stock'!T60</f>
        <v/>
      </c>
      <c r="AC65" s="15">
        <f>'Grid_Stock'!U60</f>
        <v/>
      </c>
      <c r="AD65" s="15">
        <f>'Grid_Stock'!V60</f>
        <v/>
      </c>
      <c r="AE65" s="15">
        <f>'Grid_Stock'!W60</f>
        <v/>
      </c>
      <c r="AF65" s="15">
        <f>'Grid_Stock'!X60</f>
        <v/>
      </c>
      <c r="AG65" s="15">
        <f>'Grid_Stock'!Y60</f>
        <v/>
      </c>
      <c r="AH65" s="15">
        <f>'Grid_Stock'!Z60</f>
        <v/>
      </c>
      <c r="AI65" s="15">
        <f>'Grid_Stock'!AA60</f>
        <v/>
      </c>
      <c r="AJ65" s="15">
        <f>'Grid_Stock'!AB60</f>
        <v/>
      </c>
      <c r="AK65" s="15">
        <f>'Grid_Stock'!AC60</f>
        <v/>
      </c>
      <c r="AL65" s="15">
        <f>'Grid_Stock'!AD60</f>
        <v/>
      </c>
      <c r="AM65" s="15">
        <f>'Grid_Stock'!AE60</f>
        <v/>
      </c>
      <c r="AN65" s="15">
        <f>'Grid_Stock'!AF60</f>
        <v/>
      </c>
      <c r="AO65" s="15">
        <f>'Grid_Stock'!AG60</f>
        <v/>
      </c>
      <c r="AP65" s="15">
        <f>'Grid_Stock'!AH60</f>
        <v/>
      </c>
      <c r="AQ65" s="15">
        <f>'Grid_Stock'!AI60</f>
        <v/>
      </c>
      <c r="AR65" s="15">
        <f>'Grid_Stock'!AJ60</f>
        <v/>
      </c>
      <c r="AS65" s="15">
        <f>'Grid_Stock'!AK60</f>
        <v/>
      </c>
      <c r="AT65" s="15">
        <f>'Grid_Stock'!AL60</f>
        <v/>
      </c>
      <c r="AU65" s="15">
        <f>'Grid_Stock'!AM60</f>
        <v/>
      </c>
      <c r="AV65" s="15">
        <f>'Grid_Stock'!AN60</f>
        <v/>
      </c>
      <c r="AW65" s="15">
        <f>'Grid_Stock'!AO60</f>
        <v/>
      </c>
      <c r="AX65" s="15">
        <f>'Grid_Stock'!AP60</f>
        <v/>
      </c>
      <c r="AY65" s="15">
        <f>'Grid_Stock'!AQ60</f>
        <v/>
      </c>
      <c r="AZ65" s="15">
        <f>'Grid_Stock'!AR60</f>
        <v/>
      </c>
      <c r="BA65" s="15">
        <f>'Grid_Stock'!AS60</f>
        <v/>
      </c>
      <c r="BB65" s="15">
        <f>'Grid_Stock'!AT60</f>
        <v/>
      </c>
      <c r="BC65" s="15">
        <f>'Grid_Stock'!AU60</f>
        <v/>
      </c>
      <c r="BD65" s="15">
        <f>'Grid_Stock'!AV60</f>
        <v/>
      </c>
      <c r="BE65" s="15">
        <f>'Grid_Stock'!AW60</f>
        <v/>
      </c>
      <c r="BF65" s="15">
        <f>'Grid_Stock'!AX60</f>
        <v/>
      </c>
      <c r="BG65" s="15">
        <f>'Grid_Stock'!AY60</f>
        <v/>
      </c>
      <c r="BH65" s="15">
        <f>'Grid_Stock'!AZ60</f>
        <v/>
      </c>
      <c r="BI65" s="15">
        <f>'Grid_Stock'!BA60</f>
        <v/>
      </c>
      <c r="BJ65" s="15">
        <f>'Grid_Stock'!BB60</f>
        <v/>
      </c>
      <c r="BK65" s="15">
        <f>'Grid_Stock'!BC60</f>
        <v/>
      </c>
      <c r="BL65" s="15">
        <f>'Grid_Stock'!BD60</f>
        <v/>
      </c>
      <c r="BM65" s="15">
        <f>'Grid_Stock'!BE60</f>
        <v/>
      </c>
      <c r="BN65" s="15">
        <f>'Grid_Stock'!BF60</f>
        <v/>
      </c>
      <c r="BO65" s="15">
        <f>'Grid_Stock'!BG60</f>
        <v/>
      </c>
      <c r="BP65" s="15">
        <f>'Grid_Stock'!BH60</f>
        <v/>
      </c>
      <c r="BQ65" s="15">
        <f>'Grid_Stock'!BI60</f>
        <v/>
      </c>
      <c r="BR65" s="15">
        <f>'Grid_Stock'!BJ60</f>
        <v/>
      </c>
      <c r="BS65" s="15">
        <f>'Grid_Stock'!BK60</f>
        <v/>
      </c>
      <c r="BT65" s="15">
        <f>'Grid_Stock'!BL60</f>
        <v/>
      </c>
      <c r="BU65" s="15">
        <f>'Grid_Stock'!BM60</f>
        <v/>
      </c>
      <c r="BV65" s="15">
        <f>'Grid_Stock'!BN60</f>
        <v/>
      </c>
      <c r="BW65" s="15">
        <f>'Grid_Stock'!BO60</f>
        <v/>
      </c>
      <c r="BX65" s="15">
        <f>'Grid_Stock'!BP60</f>
        <v/>
      </c>
      <c r="BY65" s="15">
        <f>'Grid_Stock'!BQ60</f>
        <v/>
      </c>
      <c r="BZ65" s="15">
        <f>'Grid_Stock'!BR60</f>
        <v/>
      </c>
      <c r="CA65" s="15">
        <f>'Grid_Stock'!BS60</f>
        <v/>
      </c>
      <c r="CB65" s="15">
        <f>'Grid_Stock'!BT60</f>
        <v/>
      </c>
      <c r="CC65" s="15">
        <f>'Grid_Stock'!BU60</f>
        <v/>
      </c>
      <c r="CD65" s="15">
        <f>'Grid_Stock'!BV60</f>
        <v/>
      </c>
      <c r="CE65" s="15">
        <f>'Grid_Stock'!BW60</f>
        <v/>
      </c>
      <c r="CF65" s="15">
        <f>'Grid_Stock'!BX60</f>
        <v/>
      </c>
      <c r="CG65" s="15">
        <f>'Grid_Stock'!BY60</f>
        <v/>
      </c>
      <c r="CH65" s="15">
        <f>'Grid_Stock'!BZ60</f>
        <v/>
      </c>
      <c r="CI65" s="15">
        <f>'Grid_Stock'!CA60</f>
        <v/>
      </c>
      <c r="CJ65" s="15">
        <f>'Grid_Stock'!CB60</f>
        <v/>
      </c>
      <c r="CK65" s="15">
        <f>'Grid_Stock'!CC60</f>
        <v/>
      </c>
      <c r="CL65" s="15">
        <f>'Grid_Stock'!CD60</f>
        <v/>
      </c>
      <c r="CM65" s="15">
        <f>'Grid_Stock'!CE60</f>
        <v/>
      </c>
      <c r="CN65" s="15">
        <f>'Grid_Stock'!CF60</f>
        <v/>
      </c>
      <c r="CO65" s="15">
        <f>'Grid_Stock'!CG60</f>
        <v/>
      </c>
      <c r="CP65" s="15">
        <f>'Grid_Stock'!CH60</f>
        <v/>
      </c>
      <c r="CQ65" s="15">
        <f>'Grid_Stock'!CI60</f>
        <v/>
      </c>
      <c r="CR65" s="15">
        <f>'Grid_Stock'!CJ60</f>
        <v/>
      </c>
      <c r="CS65" s="15">
        <f>'Grid_Stock'!CK60</f>
        <v/>
      </c>
      <c r="CT65" s="15">
        <f>'Grid_Stock'!CL60</f>
        <v/>
      </c>
      <c r="CU65" s="15">
        <f>'Grid_Stock'!CM60</f>
        <v/>
      </c>
      <c r="CV65" s="15">
        <f>'Grid_Stock'!CN60</f>
        <v/>
      </c>
      <c r="CW65" s="15">
        <f>'Grid_Stock'!CO60</f>
        <v/>
      </c>
      <c r="CX65" s="15">
        <f>'Grid_Stock'!CP60</f>
        <v/>
      </c>
      <c r="CY65" s="15">
        <f>'Grid_Stock'!CQ60</f>
        <v/>
      </c>
      <c r="CZ65" s="15">
        <f>'Grid_Stock'!CR60</f>
        <v/>
      </c>
      <c r="DA65" s="15">
        <f>'Grid_Stock'!CS60</f>
        <v/>
      </c>
      <c r="DB65" s="15">
        <f>'Grid_Stock'!CT60</f>
        <v/>
      </c>
      <c r="DC65" s="15">
        <f>'Grid_Stock'!CU60</f>
        <v/>
      </c>
      <c r="DD65" s="15">
        <f>'Grid_Stock'!CV60</f>
        <v/>
      </c>
      <c r="DE65" s="15">
        <f>'Grid_Stock'!CW60</f>
        <v/>
      </c>
      <c r="DF65" s="15">
        <f>'Grid_Stock'!CX60</f>
        <v/>
      </c>
      <c r="DG65" s="15">
        <f>'Grid_Stock'!CY60</f>
        <v/>
      </c>
      <c r="DH65" s="15">
        <f>'Grid_Stock'!CZ60</f>
        <v/>
      </c>
      <c r="DI65" s="15">
        <f>'Grid_Stock'!DA60</f>
        <v/>
      </c>
    </row>
    <row r="66">
      <c r="A66" s="17" t="inlineStr">
        <is>
          <t>CSA Code</t>
        </is>
      </c>
      <c r="B66" s="17">
        <f>IFERROR(INDEX(M_RawMaterials[Description],MATCH($A66,M_RawMaterials[RM_Code],0)),"")</f>
        <v/>
      </c>
      <c r="C66" s="17">
        <f>IFERROR(INDEX(M_RawMaterials[Category],MATCH($A66,M_RawMaterials[RM_Code],0)),"")</f>
        <v/>
      </c>
      <c r="D66" s="17">
        <f>IFERROR(INDEX(M_RawMaterials[基準在庫下限_要入力],MATCH($A66,M_RawMaterials[RM_Code],0)),0)</f>
        <v/>
      </c>
      <c r="E66" s="17">
        <f>IFERROR(INDEX(M_RawMaterials[基準在庫上限_要入力],MATCH($A66,M_RawMaterials[RM_Code],0)),0)</f>
        <v/>
      </c>
      <c r="F66" s="17">
        <f>IFERROR(LOOKUP(2,1/(T_SelfStock!$A$2:$A$12000=$A66),T_SelfStock!$D$2:$D$12000),"")</f>
        <v/>
      </c>
      <c r="G66" s="17">
        <f>IFERROR(LOOKUP(2,1/(T_TTAFStock!$A$2:$A$12000=$A66),T_TTAFStock!$D$2:$D$12000),"")</f>
        <v/>
      </c>
      <c r="H66" s="17">
        <f>IFERROR(INDEX(Cal_Weeks[Label],LOOKUP(2,1/(T_SelfStock!$A$2:$A$12000=$A66),T_SelfStock!$C$2:$C$12000)),"")</f>
        <v/>
      </c>
      <c r="I66" s="16">
        <f>IFERROR(INDEX(J66:DI66,$F$1),"")</f>
        <v/>
      </c>
      <c r="J66" s="17">
        <f>'Grid_Stock'!B61</f>
        <v/>
      </c>
      <c r="K66" s="17">
        <f>'Grid_Stock'!C61</f>
        <v/>
      </c>
      <c r="L66" s="17">
        <f>'Grid_Stock'!D61</f>
        <v/>
      </c>
      <c r="M66" s="17">
        <f>'Grid_Stock'!E61</f>
        <v/>
      </c>
      <c r="N66" s="17">
        <f>'Grid_Stock'!F61</f>
        <v/>
      </c>
      <c r="O66" s="17">
        <f>'Grid_Stock'!G61</f>
        <v/>
      </c>
      <c r="P66" s="17">
        <f>'Grid_Stock'!H61</f>
        <v/>
      </c>
      <c r="Q66" s="17">
        <f>'Grid_Stock'!I61</f>
        <v/>
      </c>
      <c r="R66" s="17">
        <f>'Grid_Stock'!J61</f>
        <v/>
      </c>
      <c r="S66" s="17">
        <f>'Grid_Stock'!K61</f>
        <v/>
      </c>
      <c r="T66" s="17">
        <f>'Grid_Stock'!L61</f>
        <v/>
      </c>
      <c r="U66" s="17">
        <f>'Grid_Stock'!M61</f>
        <v/>
      </c>
      <c r="V66" s="17">
        <f>'Grid_Stock'!N61</f>
        <v/>
      </c>
      <c r="W66" s="17">
        <f>'Grid_Stock'!O61</f>
        <v/>
      </c>
      <c r="X66" s="17">
        <f>'Grid_Stock'!P61</f>
        <v/>
      </c>
      <c r="Y66" s="17">
        <f>'Grid_Stock'!Q61</f>
        <v/>
      </c>
      <c r="Z66" s="17">
        <f>'Grid_Stock'!R61</f>
        <v/>
      </c>
      <c r="AA66" s="17">
        <f>'Grid_Stock'!S61</f>
        <v/>
      </c>
      <c r="AB66" s="17">
        <f>'Grid_Stock'!T61</f>
        <v/>
      </c>
      <c r="AC66" s="17">
        <f>'Grid_Stock'!U61</f>
        <v/>
      </c>
      <c r="AD66" s="17">
        <f>'Grid_Stock'!V61</f>
        <v/>
      </c>
      <c r="AE66" s="17">
        <f>'Grid_Stock'!W61</f>
        <v/>
      </c>
      <c r="AF66" s="17">
        <f>'Grid_Stock'!X61</f>
        <v/>
      </c>
      <c r="AG66" s="17">
        <f>'Grid_Stock'!Y61</f>
        <v/>
      </c>
      <c r="AH66" s="17">
        <f>'Grid_Stock'!Z61</f>
        <v/>
      </c>
      <c r="AI66" s="17">
        <f>'Grid_Stock'!AA61</f>
        <v/>
      </c>
      <c r="AJ66" s="17">
        <f>'Grid_Stock'!AB61</f>
        <v/>
      </c>
      <c r="AK66" s="17">
        <f>'Grid_Stock'!AC61</f>
        <v/>
      </c>
      <c r="AL66" s="17">
        <f>'Grid_Stock'!AD61</f>
        <v/>
      </c>
      <c r="AM66" s="17">
        <f>'Grid_Stock'!AE61</f>
        <v/>
      </c>
      <c r="AN66" s="17">
        <f>'Grid_Stock'!AF61</f>
        <v/>
      </c>
      <c r="AO66" s="17">
        <f>'Grid_Stock'!AG61</f>
        <v/>
      </c>
      <c r="AP66" s="17">
        <f>'Grid_Stock'!AH61</f>
        <v/>
      </c>
      <c r="AQ66" s="17">
        <f>'Grid_Stock'!AI61</f>
        <v/>
      </c>
      <c r="AR66" s="17">
        <f>'Grid_Stock'!AJ61</f>
        <v/>
      </c>
      <c r="AS66" s="17">
        <f>'Grid_Stock'!AK61</f>
        <v/>
      </c>
      <c r="AT66" s="17">
        <f>'Grid_Stock'!AL61</f>
        <v/>
      </c>
      <c r="AU66" s="17">
        <f>'Grid_Stock'!AM61</f>
        <v/>
      </c>
      <c r="AV66" s="17">
        <f>'Grid_Stock'!AN61</f>
        <v/>
      </c>
      <c r="AW66" s="17">
        <f>'Grid_Stock'!AO61</f>
        <v/>
      </c>
      <c r="AX66" s="17">
        <f>'Grid_Stock'!AP61</f>
        <v/>
      </c>
      <c r="AY66" s="17">
        <f>'Grid_Stock'!AQ61</f>
        <v/>
      </c>
      <c r="AZ66" s="17">
        <f>'Grid_Stock'!AR61</f>
        <v/>
      </c>
      <c r="BA66" s="17">
        <f>'Grid_Stock'!AS61</f>
        <v/>
      </c>
      <c r="BB66" s="17">
        <f>'Grid_Stock'!AT61</f>
        <v/>
      </c>
      <c r="BC66" s="17">
        <f>'Grid_Stock'!AU61</f>
        <v/>
      </c>
      <c r="BD66" s="17">
        <f>'Grid_Stock'!AV61</f>
        <v/>
      </c>
      <c r="BE66" s="17">
        <f>'Grid_Stock'!AW61</f>
        <v/>
      </c>
      <c r="BF66" s="17">
        <f>'Grid_Stock'!AX61</f>
        <v/>
      </c>
      <c r="BG66" s="17">
        <f>'Grid_Stock'!AY61</f>
        <v/>
      </c>
      <c r="BH66" s="17">
        <f>'Grid_Stock'!AZ61</f>
        <v/>
      </c>
      <c r="BI66" s="17">
        <f>'Grid_Stock'!BA61</f>
        <v/>
      </c>
      <c r="BJ66" s="17">
        <f>'Grid_Stock'!BB61</f>
        <v/>
      </c>
      <c r="BK66" s="17">
        <f>'Grid_Stock'!BC61</f>
        <v/>
      </c>
      <c r="BL66" s="17">
        <f>'Grid_Stock'!BD61</f>
        <v/>
      </c>
      <c r="BM66" s="17">
        <f>'Grid_Stock'!BE61</f>
        <v/>
      </c>
      <c r="BN66" s="17">
        <f>'Grid_Stock'!BF61</f>
        <v/>
      </c>
      <c r="BO66" s="17">
        <f>'Grid_Stock'!BG61</f>
        <v/>
      </c>
      <c r="BP66" s="17">
        <f>'Grid_Stock'!BH61</f>
        <v/>
      </c>
      <c r="BQ66" s="17">
        <f>'Grid_Stock'!BI61</f>
        <v/>
      </c>
      <c r="BR66" s="17">
        <f>'Grid_Stock'!BJ61</f>
        <v/>
      </c>
      <c r="BS66" s="17">
        <f>'Grid_Stock'!BK61</f>
        <v/>
      </c>
      <c r="BT66" s="17">
        <f>'Grid_Stock'!BL61</f>
        <v/>
      </c>
      <c r="BU66" s="17">
        <f>'Grid_Stock'!BM61</f>
        <v/>
      </c>
      <c r="BV66" s="17">
        <f>'Grid_Stock'!BN61</f>
        <v/>
      </c>
      <c r="BW66" s="17">
        <f>'Grid_Stock'!BO61</f>
        <v/>
      </c>
      <c r="BX66" s="17">
        <f>'Grid_Stock'!BP61</f>
        <v/>
      </c>
      <c r="BY66" s="17">
        <f>'Grid_Stock'!BQ61</f>
        <v/>
      </c>
      <c r="BZ66" s="17">
        <f>'Grid_Stock'!BR61</f>
        <v/>
      </c>
      <c r="CA66" s="17">
        <f>'Grid_Stock'!BS61</f>
        <v/>
      </c>
      <c r="CB66" s="17">
        <f>'Grid_Stock'!BT61</f>
        <v/>
      </c>
      <c r="CC66" s="17">
        <f>'Grid_Stock'!BU61</f>
        <v/>
      </c>
      <c r="CD66" s="17">
        <f>'Grid_Stock'!BV61</f>
        <v/>
      </c>
      <c r="CE66" s="17">
        <f>'Grid_Stock'!BW61</f>
        <v/>
      </c>
      <c r="CF66" s="17">
        <f>'Grid_Stock'!BX61</f>
        <v/>
      </c>
      <c r="CG66" s="17">
        <f>'Grid_Stock'!BY61</f>
        <v/>
      </c>
      <c r="CH66" s="17">
        <f>'Grid_Stock'!BZ61</f>
        <v/>
      </c>
      <c r="CI66" s="17">
        <f>'Grid_Stock'!CA61</f>
        <v/>
      </c>
      <c r="CJ66" s="17">
        <f>'Grid_Stock'!CB61</f>
        <v/>
      </c>
      <c r="CK66" s="17">
        <f>'Grid_Stock'!CC61</f>
        <v/>
      </c>
      <c r="CL66" s="17">
        <f>'Grid_Stock'!CD61</f>
        <v/>
      </c>
      <c r="CM66" s="17">
        <f>'Grid_Stock'!CE61</f>
        <v/>
      </c>
      <c r="CN66" s="17">
        <f>'Grid_Stock'!CF61</f>
        <v/>
      </c>
      <c r="CO66" s="17">
        <f>'Grid_Stock'!CG61</f>
        <v/>
      </c>
      <c r="CP66" s="17">
        <f>'Grid_Stock'!CH61</f>
        <v/>
      </c>
      <c r="CQ66" s="17">
        <f>'Grid_Stock'!CI61</f>
        <v/>
      </c>
      <c r="CR66" s="17">
        <f>'Grid_Stock'!CJ61</f>
        <v/>
      </c>
      <c r="CS66" s="17">
        <f>'Grid_Stock'!CK61</f>
        <v/>
      </c>
      <c r="CT66" s="17">
        <f>'Grid_Stock'!CL61</f>
        <v/>
      </c>
      <c r="CU66" s="17">
        <f>'Grid_Stock'!CM61</f>
        <v/>
      </c>
      <c r="CV66" s="17">
        <f>'Grid_Stock'!CN61</f>
        <v/>
      </c>
      <c r="CW66" s="17">
        <f>'Grid_Stock'!CO61</f>
        <v/>
      </c>
      <c r="CX66" s="17">
        <f>'Grid_Stock'!CP61</f>
        <v/>
      </c>
      <c r="CY66" s="17">
        <f>'Grid_Stock'!CQ61</f>
        <v/>
      </c>
      <c r="CZ66" s="17">
        <f>'Grid_Stock'!CR61</f>
        <v/>
      </c>
      <c r="DA66" s="17">
        <f>'Grid_Stock'!CS61</f>
        <v/>
      </c>
      <c r="DB66" s="17">
        <f>'Grid_Stock'!CT61</f>
        <v/>
      </c>
      <c r="DC66" s="17">
        <f>'Grid_Stock'!CU61</f>
        <v/>
      </c>
      <c r="DD66" s="17">
        <f>'Grid_Stock'!CV61</f>
        <v/>
      </c>
      <c r="DE66" s="17">
        <f>'Grid_Stock'!CW61</f>
        <v/>
      </c>
      <c r="DF66" s="17">
        <f>'Grid_Stock'!CX61</f>
        <v/>
      </c>
      <c r="DG66" s="17">
        <f>'Grid_Stock'!CY61</f>
        <v/>
      </c>
      <c r="DH66" s="17">
        <f>'Grid_Stock'!CZ61</f>
        <v/>
      </c>
      <c r="DI66" s="17">
        <f>'Grid_Stock'!DA61</f>
        <v/>
      </c>
    </row>
    <row r="67">
      <c r="A67" s="15" t="inlineStr">
        <is>
          <t>Ester Film</t>
        </is>
      </c>
      <c r="B67" s="15">
        <f>IFERROR(INDEX(M_RawMaterials[Description],MATCH($A67,M_RawMaterials[RM_Code],0)),"")</f>
        <v/>
      </c>
      <c r="C67" s="15">
        <f>IFERROR(INDEX(M_RawMaterials[Category],MATCH($A67,M_RawMaterials[RM_Code],0)),"")</f>
        <v/>
      </c>
      <c r="D67" s="15">
        <f>IFERROR(INDEX(M_RawMaterials[基準在庫下限_要入力],MATCH($A67,M_RawMaterials[RM_Code],0)),0)</f>
        <v/>
      </c>
      <c r="E67" s="15">
        <f>IFERROR(INDEX(M_RawMaterials[基準在庫上限_要入力],MATCH($A67,M_RawMaterials[RM_Code],0)),0)</f>
        <v/>
      </c>
      <c r="F67" s="15">
        <f>IFERROR(LOOKUP(2,1/(T_SelfStock!$A$2:$A$12000=$A67),T_SelfStock!$D$2:$D$12000),"")</f>
        <v/>
      </c>
      <c r="G67" s="15">
        <f>IFERROR(LOOKUP(2,1/(T_TTAFStock!$A$2:$A$12000=$A67),T_TTAFStock!$D$2:$D$12000),"")</f>
        <v/>
      </c>
      <c r="H67" s="15">
        <f>IFERROR(INDEX(Cal_Weeks[Label],LOOKUP(2,1/(T_SelfStock!$A$2:$A$12000=$A67),T_SelfStock!$C$2:$C$12000)),"")</f>
        <v/>
      </c>
      <c r="I67" s="16">
        <f>IFERROR(INDEX(J67:DI67,$F$1),"")</f>
        <v/>
      </c>
      <c r="J67" s="15">
        <f>'Grid_Stock'!B62</f>
        <v/>
      </c>
      <c r="K67" s="15">
        <f>'Grid_Stock'!C62</f>
        <v/>
      </c>
      <c r="L67" s="15">
        <f>'Grid_Stock'!D62</f>
        <v/>
      </c>
      <c r="M67" s="15">
        <f>'Grid_Stock'!E62</f>
        <v/>
      </c>
      <c r="N67" s="15">
        <f>'Grid_Stock'!F62</f>
        <v/>
      </c>
      <c r="O67" s="15">
        <f>'Grid_Stock'!G62</f>
        <v/>
      </c>
      <c r="P67" s="15">
        <f>'Grid_Stock'!H62</f>
        <v/>
      </c>
      <c r="Q67" s="15">
        <f>'Grid_Stock'!I62</f>
        <v/>
      </c>
      <c r="R67" s="15">
        <f>'Grid_Stock'!J62</f>
        <v/>
      </c>
      <c r="S67" s="15">
        <f>'Grid_Stock'!K62</f>
        <v/>
      </c>
      <c r="T67" s="15">
        <f>'Grid_Stock'!L62</f>
        <v/>
      </c>
      <c r="U67" s="15">
        <f>'Grid_Stock'!M62</f>
        <v/>
      </c>
      <c r="V67" s="15">
        <f>'Grid_Stock'!N62</f>
        <v/>
      </c>
      <c r="W67" s="15">
        <f>'Grid_Stock'!O62</f>
        <v/>
      </c>
      <c r="X67" s="15">
        <f>'Grid_Stock'!P62</f>
        <v/>
      </c>
      <c r="Y67" s="15">
        <f>'Grid_Stock'!Q62</f>
        <v/>
      </c>
      <c r="Z67" s="15">
        <f>'Grid_Stock'!R62</f>
        <v/>
      </c>
      <c r="AA67" s="15">
        <f>'Grid_Stock'!S62</f>
        <v/>
      </c>
      <c r="AB67" s="15">
        <f>'Grid_Stock'!T62</f>
        <v/>
      </c>
      <c r="AC67" s="15">
        <f>'Grid_Stock'!U62</f>
        <v/>
      </c>
      <c r="AD67" s="15">
        <f>'Grid_Stock'!V62</f>
        <v/>
      </c>
      <c r="AE67" s="15">
        <f>'Grid_Stock'!W62</f>
        <v/>
      </c>
      <c r="AF67" s="15">
        <f>'Grid_Stock'!X62</f>
        <v/>
      </c>
      <c r="AG67" s="15">
        <f>'Grid_Stock'!Y62</f>
        <v/>
      </c>
      <c r="AH67" s="15">
        <f>'Grid_Stock'!Z62</f>
        <v/>
      </c>
      <c r="AI67" s="15">
        <f>'Grid_Stock'!AA62</f>
        <v/>
      </c>
      <c r="AJ67" s="15">
        <f>'Grid_Stock'!AB62</f>
        <v/>
      </c>
      <c r="AK67" s="15">
        <f>'Grid_Stock'!AC62</f>
        <v/>
      </c>
      <c r="AL67" s="15">
        <f>'Grid_Stock'!AD62</f>
        <v/>
      </c>
      <c r="AM67" s="15">
        <f>'Grid_Stock'!AE62</f>
        <v/>
      </c>
      <c r="AN67" s="15">
        <f>'Grid_Stock'!AF62</f>
        <v/>
      </c>
      <c r="AO67" s="15">
        <f>'Grid_Stock'!AG62</f>
        <v/>
      </c>
      <c r="AP67" s="15">
        <f>'Grid_Stock'!AH62</f>
        <v/>
      </c>
      <c r="AQ67" s="15">
        <f>'Grid_Stock'!AI62</f>
        <v/>
      </c>
      <c r="AR67" s="15">
        <f>'Grid_Stock'!AJ62</f>
        <v/>
      </c>
      <c r="AS67" s="15">
        <f>'Grid_Stock'!AK62</f>
        <v/>
      </c>
      <c r="AT67" s="15">
        <f>'Grid_Stock'!AL62</f>
        <v/>
      </c>
      <c r="AU67" s="15">
        <f>'Grid_Stock'!AM62</f>
        <v/>
      </c>
      <c r="AV67" s="15">
        <f>'Grid_Stock'!AN62</f>
        <v/>
      </c>
      <c r="AW67" s="15">
        <f>'Grid_Stock'!AO62</f>
        <v/>
      </c>
      <c r="AX67" s="15">
        <f>'Grid_Stock'!AP62</f>
        <v/>
      </c>
      <c r="AY67" s="15">
        <f>'Grid_Stock'!AQ62</f>
        <v/>
      </c>
      <c r="AZ67" s="15">
        <f>'Grid_Stock'!AR62</f>
        <v/>
      </c>
      <c r="BA67" s="15">
        <f>'Grid_Stock'!AS62</f>
        <v/>
      </c>
      <c r="BB67" s="15">
        <f>'Grid_Stock'!AT62</f>
        <v/>
      </c>
      <c r="BC67" s="15">
        <f>'Grid_Stock'!AU62</f>
        <v/>
      </c>
      <c r="BD67" s="15">
        <f>'Grid_Stock'!AV62</f>
        <v/>
      </c>
      <c r="BE67" s="15">
        <f>'Grid_Stock'!AW62</f>
        <v/>
      </c>
      <c r="BF67" s="15">
        <f>'Grid_Stock'!AX62</f>
        <v/>
      </c>
      <c r="BG67" s="15">
        <f>'Grid_Stock'!AY62</f>
        <v/>
      </c>
      <c r="BH67" s="15">
        <f>'Grid_Stock'!AZ62</f>
        <v/>
      </c>
      <c r="BI67" s="15">
        <f>'Grid_Stock'!BA62</f>
        <v/>
      </c>
      <c r="BJ67" s="15">
        <f>'Grid_Stock'!BB62</f>
        <v/>
      </c>
      <c r="BK67" s="15">
        <f>'Grid_Stock'!BC62</f>
        <v/>
      </c>
      <c r="BL67" s="15">
        <f>'Grid_Stock'!BD62</f>
        <v/>
      </c>
      <c r="BM67" s="15">
        <f>'Grid_Stock'!BE62</f>
        <v/>
      </c>
      <c r="BN67" s="15">
        <f>'Grid_Stock'!BF62</f>
        <v/>
      </c>
      <c r="BO67" s="15">
        <f>'Grid_Stock'!BG62</f>
        <v/>
      </c>
      <c r="BP67" s="15">
        <f>'Grid_Stock'!BH62</f>
        <v/>
      </c>
      <c r="BQ67" s="15">
        <f>'Grid_Stock'!BI62</f>
        <v/>
      </c>
      <c r="BR67" s="15">
        <f>'Grid_Stock'!BJ62</f>
        <v/>
      </c>
      <c r="BS67" s="15">
        <f>'Grid_Stock'!BK62</f>
        <v/>
      </c>
      <c r="BT67" s="15">
        <f>'Grid_Stock'!BL62</f>
        <v/>
      </c>
      <c r="BU67" s="15">
        <f>'Grid_Stock'!BM62</f>
        <v/>
      </c>
      <c r="BV67" s="15">
        <f>'Grid_Stock'!BN62</f>
        <v/>
      </c>
      <c r="BW67" s="15">
        <f>'Grid_Stock'!BO62</f>
        <v/>
      </c>
      <c r="BX67" s="15">
        <f>'Grid_Stock'!BP62</f>
        <v/>
      </c>
      <c r="BY67" s="15">
        <f>'Grid_Stock'!BQ62</f>
        <v/>
      </c>
      <c r="BZ67" s="15">
        <f>'Grid_Stock'!BR62</f>
        <v/>
      </c>
      <c r="CA67" s="15">
        <f>'Grid_Stock'!BS62</f>
        <v/>
      </c>
      <c r="CB67" s="15">
        <f>'Grid_Stock'!BT62</f>
        <v/>
      </c>
      <c r="CC67" s="15">
        <f>'Grid_Stock'!BU62</f>
        <v/>
      </c>
      <c r="CD67" s="15">
        <f>'Grid_Stock'!BV62</f>
        <v/>
      </c>
      <c r="CE67" s="15">
        <f>'Grid_Stock'!BW62</f>
        <v/>
      </c>
      <c r="CF67" s="15">
        <f>'Grid_Stock'!BX62</f>
        <v/>
      </c>
      <c r="CG67" s="15">
        <f>'Grid_Stock'!BY62</f>
        <v/>
      </c>
      <c r="CH67" s="15">
        <f>'Grid_Stock'!BZ62</f>
        <v/>
      </c>
      <c r="CI67" s="15">
        <f>'Grid_Stock'!CA62</f>
        <v/>
      </c>
      <c r="CJ67" s="15">
        <f>'Grid_Stock'!CB62</f>
        <v/>
      </c>
      <c r="CK67" s="15">
        <f>'Grid_Stock'!CC62</f>
        <v/>
      </c>
      <c r="CL67" s="15">
        <f>'Grid_Stock'!CD62</f>
        <v/>
      </c>
      <c r="CM67" s="15">
        <f>'Grid_Stock'!CE62</f>
        <v/>
      </c>
      <c r="CN67" s="15">
        <f>'Grid_Stock'!CF62</f>
        <v/>
      </c>
      <c r="CO67" s="15">
        <f>'Grid_Stock'!CG62</f>
        <v/>
      </c>
      <c r="CP67" s="15">
        <f>'Grid_Stock'!CH62</f>
        <v/>
      </c>
      <c r="CQ67" s="15">
        <f>'Grid_Stock'!CI62</f>
        <v/>
      </c>
      <c r="CR67" s="15">
        <f>'Grid_Stock'!CJ62</f>
        <v/>
      </c>
      <c r="CS67" s="15">
        <f>'Grid_Stock'!CK62</f>
        <v/>
      </c>
      <c r="CT67" s="15">
        <f>'Grid_Stock'!CL62</f>
        <v/>
      </c>
      <c r="CU67" s="15">
        <f>'Grid_Stock'!CM62</f>
        <v/>
      </c>
      <c r="CV67" s="15">
        <f>'Grid_Stock'!CN62</f>
        <v/>
      </c>
      <c r="CW67" s="15">
        <f>'Grid_Stock'!CO62</f>
        <v/>
      </c>
      <c r="CX67" s="15">
        <f>'Grid_Stock'!CP62</f>
        <v/>
      </c>
      <c r="CY67" s="15">
        <f>'Grid_Stock'!CQ62</f>
        <v/>
      </c>
      <c r="CZ67" s="15">
        <f>'Grid_Stock'!CR62</f>
        <v/>
      </c>
      <c r="DA67" s="15">
        <f>'Grid_Stock'!CS62</f>
        <v/>
      </c>
      <c r="DB67" s="15">
        <f>'Grid_Stock'!CT62</f>
        <v/>
      </c>
      <c r="DC67" s="15">
        <f>'Grid_Stock'!CU62</f>
        <v/>
      </c>
      <c r="DD67" s="15">
        <f>'Grid_Stock'!CV62</f>
        <v/>
      </c>
      <c r="DE67" s="15">
        <f>'Grid_Stock'!CW62</f>
        <v/>
      </c>
      <c r="DF67" s="15">
        <f>'Grid_Stock'!CX62</f>
        <v/>
      </c>
      <c r="DG67" s="15">
        <f>'Grid_Stock'!CY62</f>
        <v/>
      </c>
      <c r="DH67" s="15">
        <f>'Grid_Stock'!CZ62</f>
        <v/>
      </c>
      <c r="DI67" s="15">
        <f>'Grid_Stock'!DA62</f>
        <v/>
      </c>
    </row>
    <row r="68">
      <c r="A68" s="17" t="inlineStr">
        <is>
          <t>PP Film</t>
        </is>
      </c>
      <c r="B68" s="17">
        <f>IFERROR(INDEX(M_RawMaterials[Description],MATCH($A68,M_RawMaterials[RM_Code],0)),"")</f>
        <v/>
      </c>
      <c r="C68" s="17">
        <f>IFERROR(INDEX(M_RawMaterials[Category],MATCH($A68,M_RawMaterials[RM_Code],0)),"")</f>
        <v/>
      </c>
      <c r="D68" s="17">
        <f>IFERROR(INDEX(M_RawMaterials[基準在庫下限_要入力],MATCH($A68,M_RawMaterials[RM_Code],0)),0)</f>
        <v/>
      </c>
      <c r="E68" s="17">
        <f>IFERROR(INDEX(M_RawMaterials[基準在庫上限_要入力],MATCH($A68,M_RawMaterials[RM_Code],0)),0)</f>
        <v/>
      </c>
      <c r="F68" s="17">
        <f>IFERROR(LOOKUP(2,1/(T_SelfStock!$A$2:$A$12000=$A68),T_SelfStock!$D$2:$D$12000),"")</f>
        <v/>
      </c>
      <c r="G68" s="17">
        <f>IFERROR(LOOKUP(2,1/(T_TTAFStock!$A$2:$A$12000=$A68),T_TTAFStock!$D$2:$D$12000),"")</f>
        <v/>
      </c>
      <c r="H68" s="17">
        <f>IFERROR(INDEX(Cal_Weeks[Label],LOOKUP(2,1/(T_SelfStock!$A$2:$A$12000=$A68),T_SelfStock!$C$2:$C$12000)),"")</f>
        <v/>
      </c>
      <c r="I68" s="16">
        <f>IFERROR(INDEX(J68:DI68,$F$1),"")</f>
        <v/>
      </c>
      <c r="J68" s="17">
        <f>'Grid_Stock'!B63</f>
        <v/>
      </c>
      <c r="K68" s="17">
        <f>'Grid_Stock'!C63</f>
        <v/>
      </c>
      <c r="L68" s="17">
        <f>'Grid_Stock'!D63</f>
        <v/>
      </c>
      <c r="M68" s="17">
        <f>'Grid_Stock'!E63</f>
        <v/>
      </c>
      <c r="N68" s="17">
        <f>'Grid_Stock'!F63</f>
        <v/>
      </c>
      <c r="O68" s="17">
        <f>'Grid_Stock'!G63</f>
        <v/>
      </c>
      <c r="P68" s="17">
        <f>'Grid_Stock'!H63</f>
        <v/>
      </c>
      <c r="Q68" s="17">
        <f>'Grid_Stock'!I63</f>
        <v/>
      </c>
      <c r="R68" s="17">
        <f>'Grid_Stock'!J63</f>
        <v/>
      </c>
      <c r="S68" s="17">
        <f>'Grid_Stock'!K63</f>
        <v/>
      </c>
      <c r="T68" s="17">
        <f>'Grid_Stock'!L63</f>
        <v/>
      </c>
      <c r="U68" s="17">
        <f>'Grid_Stock'!M63</f>
        <v/>
      </c>
      <c r="V68" s="17">
        <f>'Grid_Stock'!N63</f>
        <v/>
      </c>
      <c r="W68" s="17">
        <f>'Grid_Stock'!O63</f>
        <v/>
      </c>
      <c r="X68" s="17">
        <f>'Grid_Stock'!P63</f>
        <v/>
      </c>
      <c r="Y68" s="17">
        <f>'Grid_Stock'!Q63</f>
        <v/>
      </c>
      <c r="Z68" s="17">
        <f>'Grid_Stock'!R63</f>
        <v/>
      </c>
      <c r="AA68" s="17">
        <f>'Grid_Stock'!S63</f>
        <v/>
      </c>
      <c r="AB68" s="17">
        <f>'Grid_Stock'!T63</f>
        <v/>
      </c>
      <c r="AC68" s="17">
        <f>'Grid_Stock'!U63</f>
        <v/>
      </c>
      <c r="AD68" s="17">
        <f>'Grid_Stock'!V63</f>
        <v/>
      </c>
      <c r="AE68" s="17">
        <f>'Grid_Stock'!W63</f>
        <v/>
      </c>
      <c r="AF68" s="17">
        <f>'Grid_Stock'!X63</f>
        <v/>
      </c>
      <c r="AG68" s="17">
        <f>'Grid_Stock'!Y63</f>
        <v/>
      </c>
      <c r="AH68" s="17">
        <f>'Grid_Stock'!Z63</f>
        <v/>
      </c>
      <c r="AI68" s="17">
        <f>'Grid_Stock'!AA63</f>
        <v/>
      </c>
      <c r="AJ68" s="17">
        <f>'Grid_Stock'!AB63</f>
        <v/>
      </c>
      <c r="AK68" s="17">
        <f>'Grid_Stock'!AC63</f>
        <v/>
      </c>
      <c r="AL68" s="17">
        <f>'Grid_Stock'!AD63</f>
        <v/>
      </c>
      <c r="AM68" s="17">
        <f>'Grid_Stock'!AE63</f>
        <v/>
      </c>
      <c r="AN68" s="17">
        <f>'Grid_Stock'!AF63</f>
        <v/>
      </c>
      <c r="AO68" s="17">
        <f>'Grid_Stock'!AG63</f>
        <v/>
      </c>
      <c r="AP68" s="17">
        <f>'Grid_Stock'!AH63</f>
        <v/>
      </c>
      <c r="AQ68" s="17">
        <f>'Grid_Stock'!AI63</f>
        <v/>
      </c>
      <c r="AR68" s="17">
        <f>'Grid_Stock'!AJ63</f>
        <v/>
      </c>
      <c r="AS68" s="17">
        <f>'Grid_Stock'!AK63</f>
        <v/>
      </c>
      <c r="AT68" s="17">
        <f>'Grid_Stock'!AL63</f>
        <v/>
      </c>
      <c r="AU68" s="17">
        <f>'Grid_Stock'!AM63</f>
        <v/>
      </c>
      <c r="AV68" s="17">
        <f>'Grid_Stock'!AN63</f>
        <v/>
      </c>
      <c r="AW68" s="17">
        <f>'Grid_Stock'!AO63</f>
        <v/>
      </c>
      <c r="AX68" s="17">
        <f>'Grid_Stock'!AP63</f>
        <v/>
      </c>
      <c r="AY68" s="17">
        <f>'Grid_Stock'!AQ63</f>
        <v/>
      </c>
      <c r="AZ68" s="17">
        <f>'Grid_Stock'!AR63</f>
        <v/>
      </c>
      <c r="BA68" s="17">
        <f>'Grid_Stock'!AS63</f>
        <v/>
      </c>
      <c r="BB68" s="17">
        <f>'Grid_Stock'!AT63</f>
        <v/>
      </c>
      <c r="BC68" s="17">
        <f>'Grid_Stock'!AU63</f>
        <v/>
      </c>
      <c r="BD68" s="17">
        <f>'Grid_Stock'!AV63</f>
        <v/>
      </c>
      <c r="BE68" s="17">
        <f>'Grid_Stock'!AW63</f>
        <v/>
      </c>
      <c r="BF68" s="17">
        <f>'Grid_Stock'!AX63</f>
        <v/>
      </c>
      <c r="BG68" s="17">
        <f>'Grid_Stock'!AY63</f>
        <v/>
      </c>
      <c r="BH68" s="17">
        <f>'Grid_Stock'!AZ63</f>
        <v/>
      </c>
      <c r="BI68" s="17">
        <f>'Grid_Stock'!BA63</f>
        <v/>
      </c>
      <c r="BJ68" s="17">
        <f>'Grid_Stock'!BB63</f>
        <v/>
      </c>
      <c r="BK68" s="17">
        <f>'Grid_Stock'!BC63</f>
        <v/>
      </c>
      <c r="BL68" s="17">
        <f>'Grid_Stock'!BD63</f>
        <v/>
      </c>
      <c r="BM68" s="17">
        <f>'Grid_Stock'!BE63</f>
        <v/>
      </c>
      <c r="BN68" s="17">
        <f>'Grid_Stock'!BF63</f>
        <v/>
      </c>
      <c r="BO68" s="17">
        <f>'Grid_Stock'!BG63</f>
        <v/>
      </c>
      <c r="BP68" s="17">
        <f>'Grid_Stock'!BH63</f>
        <v/>
      </c>
      <c r="BQ68" s="17">
        <f>'Grid_Stock'!BI63</f>
        <v/>
      </c>
      <c r="BR68" s="17">
        <f>'Grid_Stock'!BJ63</f>
        <v/>
      </c>
      <c r="BS68" s="17">
        <f>'Grid_Stock'!BK63</f>
        <v/>
      </c>
      <c r="BT68" s="17">
        <f>'Grid_Stock'!BL63</f>
        <v/>
      </c>
      <c r="BU68" s="17">
        <f>'Grid_Stock'!BM63</f>
        <v/>
      </c>
      <c r="BV68" s="17">
        <f>'Grid_Stock'!BN63</f>
        <v/>
      </c>
      <c r="BW68" s="17">
        <f>'Grid_Stock'!BO63</f>
        <v/>
      </c>
      <c r="BX68" s="17">
        <f>'Grid_Stock'!BP63</f>
        <v/>
      </c>
      <c r="BY68" s="17">
        <f>'Grid_Stock'!BQ63</f>
        <v/>
      </c>
      <c r="BZ68" s="17">
        <f>'Grid_Stock'!BR63</f>
        <v/>
      </c>
      <c r="CA68" s="17">
        <f>'Grid_Stock'!BS63</f>
        <v/>
      </c>
      <c r="CB68" s="17">
        <f>'Grid_Stock'!BT63</f>
        <v/>
      </c>
      <c r="CC68" s="17">
        <f>'Grid_Stock'!BU63</f>
        <v/>
      </c>
      <c r="CD68" s="17">
        <f>'Grid_Stock'!BV63</f>
        <v/>
      </c>
      <c r="CE68" s="17">
        <f>'Grid_Stock'!BW63</f>
        <v/>
      </c>
      <c r="CF68" s="17">
        <f>'Grid_Stock'!BX63</f>
        <v/>
      </c>
      <c r="CG68" s="17">
        <f>'Grid_Stock'!BY63</f>
        <v/>
      </c>
      <c r="CH68" s="17">
        <f>'Grid_Stock'!BZ63</f>
        <v/>
      </c>
      <c r="CI68" s="17">
        <f>'Grid_Stock'!CA63</f>
        <v/>
      </c>
      <c r="CJ68" s="17">
        <f>'Grid_Stock'!CB63</f>
        <v/>
      </c>
      <c r="CK68" s="17">
        <f>'Grid_Stock'!CC63</f>
        <v/>
      </c>
      <c r="CL68" s="17">
        <f>'Grid_Stock'!CD63</f>
        <v/>
      </c>
      <c r="CM68" s="17">
        <f>'Grid_Stock'!CE63</f>
        <v/>
      </c>
      <c r="CN68" s="17">
        <f>'Grid_Stock'!CF63</f>
        <v/>
      </c>
      <c r="CO68" s="17">
        <f>'Grid_Stock'!CG63</f>
        <v/>
      </c>
      <c r="CP68" s="17">
        <f>'Grid_Stock'!CH63</f>
        <v/>
      </c>
      <c r="CQ68" s="17">
        <f>'Grid_Stock'!CI63</f>
        <v/>
      </c>
      <c r="CR68" s="17">
        <f>'Grid_Stock'!CJ63</f>
        <v/>
      </c>
      <c r="CS68" s="17">
        <f>'Grid_Stock'!CK63</f>
        <v/>
      </c>
      <c r="CT68" s="17">
        <f>'Grid_Stock'!CL63</f>
        <v/>
      </c>
      <c r="CU68" s="17">
        <f>'Grid_Stock'!CM63</f>
        <v/>
      </c>
      <c r="CV68" s="17">
        <f>'Grid_Stock'!CN63</f>
        <v/>
      </c>
      <c r="CW68" s="17">
        <f>'Grid_Stock'!CO63</f>
        <v/>
      </c>
      <c r="CX68" s="17">
        <f>'Grid_Stock'!CP63</f>
        <v/>
      </c>
      <c r="CY68" s="17">
        <f>'Grid_Stock'!CQ63</f>
        <v/>
      </c>
      <c r="CZ68" s="17">
        <f>'Grid_Stock'!CR63</f>
        <v/>
      </c>
      <c r="DA68" s="17">
        <f>'Grid_Stock'!CS63</f>
        <v/>
      </c>
      <c r="DB68" s="17">
        <f>'Grid_Stock'!CT63</f>
        <v/>
      </c>
      <c r="DC68" s="17">
        <f>'Grid_Stock'!CU63</f>
        <v/>
      </c>
      <c r="DD68" s="17">
        <f>'Grid_Stock'!CV63</f>
        <v/>
      </c>
      <c r="DE68" s="17">
        <f>'Grid_Stock'!CW63</f>
        <v/>
      </c>
      <c r="DF68" s="17">
        <f>'Grid_Stock'!CX63</f>
        <v/>
      </c>
      <c r="DG68" s="17">
        <f>'Grid_Stock'!CY63</f>
        <v/>
      </c>
      <c r="DH68" s="17">
        <f>'Grid_Stock'!CZ63</f>
        <v/>
      </c>
      <c r="DI68" s="17">
        <f>'Grid_Stock'!DA63</f>
        <v/>
      </c>
    </row>
    <row r="69">
      <c r="A69" s="15" t="inlineStr">
        <is>
          <t>5SN</t>
        </is>
      </c>
      <c r="B69" s="15">
        <f>IFERROR(INDEX(M_RawMaterials[Description],MATCH($A69,M_RawMaterials[RM_Code],0)),"")</f>
        <v/>
      </c>
      <c r="C69" s="15">
        <f>IFERROR(INDEX(M_RawMaterials[Category],MATCH($A69,M_RawMaterials[RM_Code],0)),"")</f>
        <v/>
      </c>
      <c r="D69" s="15">
        <f>IFERROR(INDEX(M_RawMaterials[基準在庫下限_要入力],MATCH($A69,M_RawMaterials[RM_Code],0)),0)</f>
        <v/>
      </c>
      <c r="E69" s="15">
        <f>IFERROR(INDEX(M_RawMaterials[基準在庫上限_要入力],MATCH($A69,M_RawMaterials[RM_Code],0)),0)</f>
        <v/>
      </c>
      <c r="F69" s="15">
        <f>IFERROR(LOOKUP(2,1/(T_SelfStock!$A$2:$A$12000=$A69),T_SelfStock!$D$2:$D$12000),"")</f>
        <v/>
      </c>
      <c r="G69" s="15">
        <f>IFERROR(LOOKUP(2,1/(T_TTAFStock!$A$2:$A$12000=$A69),T_TTAFStock!$D$2:$D$12000),"")</f>
        <v/>
      </c>
      <c r="H69" s="15">
        <f>IFERROR(INDEX(Cal_Weeks[Label],LOOKUP(2,1/(T_SelfStock!$A$2:$A$12000=$A69),T_SelfStock!$C$2:$C$12000)),"")</f>
        <v/>
      </c>
      <c r="I69" s="16">
        <f>IFERROR(INDEX(J69:DI69,$F$1),"")</f>
        <v/>
      </c>
      <c r="J69" s="15">
        <f>'Grid_Stock'!B64</f>
        <v/>
      </c>
      <c r="K69" s="15">
        <f>'Grid_Stock'!C64</f>
        <v/>
      </c>
      <c r="L69" s="15">
        <f>'Grid_Stock'!D64</f>
        <v/>
      </c>
      <c r="M69" s="15">
        <f>'Grid_Stock'!E64</f>
        <v/>
      </c>
      <c r="N69" s="15">
        <f>'Grid_Stock'!F64</f>
        <v/>
      </c>
      <c r="O69" s="15">
        <f>'Grid_Stock'!G64</f>
        <v/>
      </c>
      <c r="P69" s="15">
        <f>'Grid_Stock'!H64</f>
        <v/>
      </c>
      <c r="Q69" s="15">
        <f>'Grid_Stock'!I64</f>
        <v/>
      </c>
      <c r="R69" s="15">
        <f>'Grid_Stock'!J64</f>
        <v/>
      </c>
      <c r="S69" s="15">
        <f>'Grid_Stock'!K64</f>
        <v/>
      </c>
      <c r="T69" s="15">
        <f>'Grid_Stock'!L64</f>
        <v/>
      </c>
      <c r="U69" s="15">
        <f>'Grid_Stock'!M64</f>
        <v/>
      </c>
      <c r="V69" s="15">
        <f>'Grid_Stock'!N64</f>
        <v/>
      </c>
      <c r="W69" s="15">
        <f>'Grid_Stock'!O64</f>
        <v/>
      </c>
      <c r="X69" s="15">
        <f>'Grid_Stock'!P64</f>
        <v/>
      </c>
      <c r="Y69" s="15">
        <f>'Grid_Stock'!Q64</f>
        <v/>
      </c>
      <c r="Z69" s="15">
        <f>'Grid_Stock'!R64</f>
        <v/>
      </c>
      <c r="AA69" s="15">
        <f>'Grid_Stock'!S64</f>
        <v/>
      </c>
      <c r="AB69" s="15">
        <f>'Grid_Stock'!T64</f>
        <v/>
      </c>
      <c r="AC69" s="15">
        <f>'Grid_Stock'!U64</f>
        <v/>
      </c>
      <c r="AD69" s="15">
        <f>'Grid_Stock'!V64</f>
        <v/>
      </c>
      <c r="AE69" s="15">
        <f>'Grid_Stock'!W64</f>
        <v/>
      </c>
      <c r="AF69" s="15">
        <f>'Grid_Stock'!X64</f>
        <v/>
      </c>
      <c r="AG69" s="15">
        <f>'Grid_Stock'!Y64</f>
        <v/>
      </c>
      <c r="AH69" s="15">
        <f>'Grid_Stock'!Z64</f>
        <v/>
      </c>
      <c r="AI69" s="15">
        <f>'Grid_Stock'!AA64</f>
        <v/>
      </c>
      <c r="AJ69" s="15">
        <f>'Grid_Stock'!AB64</f>
        <v/>
      </c>
      <c r="AK69" s="15">
        <f>'Grid_Stock'!AC64</f>
        <v/>
      </c>
      <c r="AL69" s="15">
        <f>'Grid_Stock'!AD64</f>
        <v/>
      </c>
      <c r="AM69" s="15">
        <f>'Grid_Stock'!AE64</f>
        <v/>
      </c>
      <c r="AN69" s="15">
        <f>'Grid_Stock'!AF64</f>
        <v/>
      </c>
      <c r="AO69" s="15">
        <f>'Grid_Stock'!AG64</f>
        <v/>
      </c>
      <c r="AP69" s="15">
        <f>'Grid_Stock'!AH64</f>
        <v/>
      </c>
      <c r="AQ69" s="15">
        <f>'Grid_Stock'!AI64</f>
        <v/>
      </c>
      <c r="AR69" s="15">
        <f>'Grid_Stock'!AJ64</f>
        <v/>
      </c>
      <c r="AS69" s="15">
        <f>'Grid_Stock'!AK64</f>
        <v/>
      </c>
      <c r="AT69" s="15">
        <f>'Grid_Stock'!AL64</f>
        <v/>
      </c>
      <c r="AU69" s="15">
        <f>'Grid_Stock'!AM64</f>
        <v/>
      </c>
      <c r="AV69" s="15">
        <f>'Grid_Stock'!AN64</f>
        <v/>
      </c>
      <c r="AW69" s="15">
        <f>'Grid_Stock'!AO64</f>
        <v/>
      </c>
      <c r="AX69" s="15">
        <f>'Grid_Stock'!AP64</f>
        <v/>
      </c>
      <c r="AY69" s="15">
        <f>'Grid_Stock'!AQ64</f>
        <v/>
      </c>
      <c r="AZ69" s="15">
        <f>'Grid_Stock'!AR64</f>
        <v/>
      </c>
      <c r="BA69" s="15">
        <f>'Grid_Stock'!AS64</f>
        <v/>
      </c>
      <c r="BB69" s="15">
        <f>'Grid_Stock'!AT64</f>
        <v/>
      </c>
      <c r="BC69" s="15">
        <f>'Grid_Stock'!AU64</f>
        <v/>
      </c>
      <c r="BD69" s="15">
        <f>'Grid_Stock'!AV64</f>
        <v/>
      </c>
      <c r="BE69" s="15">
        <f>'Grid_Stock'!AW64</f>
        <v/>
      </c>
      <c r="BF69" s="15">
        <f>'Grid_Stock'!AX64</f>
        <v/>
      </c>
      <c r="BG69" s="15">
        <f>'Grid_Stock'!AY64</f>
        <v/>
      </c>
      <c r="BH69" s="15">
        <f>'Grid_Stock'!AZ64</f>
        <v/>
      </c>
      <c r="BI69" s="15">
        <f>'Grid_Stock'!BA64</f>
        <v/>
      </c>
      <c r="BJ69" s="15">
        <f>'Grid_Stock'!BB64</f>
        <v/>
      </c>
      <c r="BK69" s="15">
        <f>'Grid_Stock'!BC64</f>
        <v/>
      </c>
      <c r="BL69" s="15">
        <f>'Grid_Stock'!BD64</f>
        <v/>
      </c>
      <c r="BM69" s="15">
        <f>'Grid_Stock'!BE64</f>
        <v/>
      </c>
      <c r="BN69" s="15">
        <f>'Grid_Stock'!BF64</f>
        <v/>
      </c>
      <c r="BO69" s="15">
        <f>'Grid_Stock'!BG64</f>
        <v/>
      </c>
      <c r="BP69" s="15">
        <f>'Grid_Stock'!BH64</f>
        <v/>
      </c>
      <c r="BQ69" s="15">
        <f>'Grid_Stock'!BI64</f>
        <v/>
      </c>
      <c r="BR69" s="15">
        <f>'Grid_Stock'!BJ64</f>
        <v/>
      </c>
      <c r="BS69" s="15">
        <f>'Grid_Stock'!BK64</f>
        <v/>
      </c>
      <c r="BT69" s="15">
        <f>'Grid_Stock'!BL64</f>
        <v/>
      </c>
      <c r="BU69" s="15">
        <f>'Grid_Stock'!BM64</f>
        <v/>
      </c>
      <c r="BV69" s="15">
        <f>'Grid_Stock'!BN64</f>
        <v/>
      </c>
      <c r="BW69" s="15">
        <f>'Grid_Stock'!BO64</f>
        <v/>
      </c>
      <c r="BX69" s="15">
        <f>'Grid_Stock'!BP64</f>
        <v/>
      </c>
      <c r="BY69" s="15">
        <f>'Grid_Stock'!BQ64</f>
        <v/>
      </c>
      <c r="BZ69" s="15">
        <f>'Grid_Stock'!BR64</f>
        <v/>
      </c>
      <c r="CA69" s="15">
        <f>'Grid_Stock'!BS64</f>
        <v/>
      </c>
      <c r="CB69" s="15">
        <f>'Grid_Stock'!BT64</f>
        <v/>
      </c>
      <c r="CC69" s="15">
        <f>'Grid_Stock'!BU64</f>
        <v/>
      </c>
      <c r="CD69" s="15">
        <f>'Grid_Stock'!BV64</f>
        <v/>
      </c>
      <c r="CE69" s="15">
        <f>'Grid_Stock'!BW64</f>
        <v/>
      </c>
      <c r="CF69" s="15">
        <f>'Grid_Stock'!BX64</f>
        <v/>
      </c>
      <c r="CG69" s="15">
        <f>'Grid_Stock'!BY64</f>
        <v/>
      </c>
      <c r="CH69" s="15">
        <f>'Grid_Stock'!BZ64</f>
        <v/>
      </c>
      <c r="CI69" s="15">
        <f>'Grid_Stock'!CA64</f>
        <v/>
      </c>
      <c r="CJ69" s="15">
        <f>'Grid_Stock'!CB64</f>
        <v/>
      </c>
      <c r="CK69" s="15">
        <f>'Grid_Stock'!CC64</f>
        <v/>
      </c>
      <c r="CL69" s="15">
        <f>'Grid_Stock'!CD64</f>
        <v/>
      </c>
      <c r="CM69" s="15">
        <f>'Grid_Stock'!CE64</f>
        <v/>
      </c>
      <c r="CN69" s="15">
        <f>'Grid_Stock'!CF64</f>
        <v/>
      </c>
      <c r="CO69" s="15">
        <f>'Grid_Stock'!CG64</f>
        <v/>
      </c>
      <c r="CP69" s="15">
        <f>'Grid_Stock'!CH64</f>
        <v/>
      </c>
      <c r="CQ69" s="15">
        <f>'Grid_Stock'!CI64</f>
        <v/>
      </c>
      <c r="CR69" s="15">
        <f>'Grid_Stock'!CJ64</f>
        <v/>
      </c>
      <c r="CS69" s="15">
        <f>'Grid_Stock'!CK64</f>
        <v/>
      </c>
      <c r="CT69" s="15">
        <f>'Grid_Stock'!CL64</f>
        <v/>
      </c>
      <c r="CU69" s="15">
        <f>'Grid_Stock'!CM64</f>
        <v/>
      </c>
      <c r="CV69" s="15">
        <f>'Grid_Stock'!CN64</f>
        <v/>
      </c>
      <c r="CW69" s="15">
        <f>'Grid_Stock'!CO64</f>
        <v/>
      </c>
      <c r="CX69" s="15">
        <f>'Grid_Stock'!CP64</f>
        <v/>
      </c>
      <c r="CY69" s="15">
        <f>'Grid_Stock'!CQ64</f>
        <v/>
      </c>
      <c r="CZ69" s="15">
        <f>'Grid_Stock'!CR64</f>
        <v/>
      </c>
      <c r="DA69" s="15">
        <f>'Grid_Stock'!CS64</f>
        <v/>
      </c>
      <c r="DB69" s="15">
        <f>'Grid_Stock'!CT64</f>
        <v/>
      </c>
      <c r="DC69" s="15">
        <f>'Grid_Stock'!CU64</f>
        <v/>
      </c>
      <c r="DD69" s="15">
        <f>'Grid_Stock'!CV64</f>
        <v/>
      </c>
      <c r="DE69" s="15">
        <f>'Grid_Stock'!CW64</f>
        <v/>
      </c>
      <c r="DF69" s="15">
        <f>'Grid_Stock'!CX64</f>
        <v/>
      </c>
      <c r="DG69" s="15">
        <f>'Grid_Stock'!CY64</f>
        <v/>
      </c>
      <c r="DH69" s="15">
        <f>'Grid_Stock'!CZ64</f>
        <v/>
      </c>
      <c r="DI69" s="15">
        <f>'Grid_Stock'!DA64</f>
        <v/>
      </c>
    </row>
    <row r="70">
      <c r="A70" s="17" t="inlineStr">
        <is>
          <t>1JN</t>
        </is>
      </c>
      <c r="B70" s="17">
        <f>IFERROR(INDEX(M_RawMaterials[Description],MATCH($A70,M_RawMaterials[RM_Code],0)),"")</f>
        <v/>
      </c>
      <c r="C70" s="17">
        <f>IFERROR(INDEX(M_RawMaterials[Category],MATCH($A70,M_RawMaterials[RM_Code],0)),"")</f>
        <v/>
      </c>
      <c r="D70" s="17">
        <f>IFERROR(INDEX(M_RawMaterials[基準在庫下限_要入力],MATCH($A70,M_RawMaterials[RM_Code],0)),0)</f>
        <v/>
      </c>
      <c r="E70" s="17">
        <f>IFERROR(INDEX(M_RawMaterials[基準在庫上限_要入力],MATCH($A70,M_RawMaterials[RM_Code],0)),0)</f>
        <v/>
      </c>
      <c r="F70" s="17">
        <f>IFERROR(LOOKUP(2,1/(T_SelfStock!$A$2:$A$12000=$A70),T_SelfStock!$D$2:$D$12000),"")</f>
        <v/>
      </c>
      <c r="G70" s="17">
        <f>IFERROR(LOOKUP(2,1/(T_TTAFStock!$A$2:$A$12000=$A70),T_TTAFStock!$D$2:$D$12000),"")</f>
        <v/>
      </c>
      <c r="H70" s="17">
        <f>IFERROR(INDEX(Cal_Weeks[Label],LOOKUP(2,1/(T_SelfStock!$A$2:$A$12000=$A70),T_SelfStock!$C$2:$C$12000)),"")</f>
        <v/>
      </c>
      <c r="I70" s="16">
        <f>IFERROR(INDEX(J70:DI70,$F$1),"")</f>
        <v/>
      </c>
      <c r="J70" s="17">
        <f>'Grid_Stock'!B65</f>
        <v/>
      </c>
      <c r="K70" s="17">
        <f>'Grid_Stock'!C65</f>
        <v/>
      </c>
      <c r="L70" s="17">
        <f>'Grid_Stock'!D65</f>
        <v/>
      </c>
      <c r="M70" s="17">
        <f>'Grid_Stock'!E65</f>
        <v/>
      </c>
      <c r="N70" s="17">
        <f>'Grid_Stock'!F65</f>
        <v/>
      </c>
      <c r="O70" s="17">
        <f>'Grid_Stock'!G65</f>
        <v/>
      </c>
      <c r="P70" s="17">
        <f>'Grid_Stock'!H65</f>
        <v/>
      </c>
      <c r="Q70" s="17">
        <f>'Grid_Stock'!I65</f>
        <v/>
      </c>
      <c r="R70" s="17">
        <f>'Grid_Stock'!J65</f>
        <v/>
      </c>
      <c r="S70" s="17">
        <f>'Grid_Stock'!K65</f>
        <v/>
      </c>
      <c r="T70" s="17">
        <f>'Grid_Stock'!L65</f>
        <v/>
      </c>
      <c r="U70" s="17">
        <f>'Grid_Stock'!M65</f>
        <v/>
      </c>
      <c r="V70" s="17">
        <f>'Grid_Stock'!N65</f>
        <v/>
      </c>
      <c r="W70" s="17">
        <f>'Grid_Stock'!O65</f>
        <v/>
      </c>
      <c r="X70" s="17">
        <f>'Grid_Stock'!P65</f>
        <v/>
      </c>
      <c r="Y70" s="17">
        <f>'Grid_Stock'!Q65</f>
        <v/>
      </c>
      <c r="Z70" s="17">
        <f>'Grid_Stock'!R65</f>
        <v/>
      </c>
      <c r="AA70" s="17">
        <f>'Grid_Stock'!S65</f>
        <v/>
      </c>
      <c r="AB70" s="17">
        <f>'Grid_Stock'!T65</f>
        <v/>
      </c>
      <c r="AC70" s="17">
        <f>'Grid_Stock'!U65</f>
        <v/>
      </c>
      <c r="AD70" s="17">
        <f>'Grid_Stock'!V65</f>
        <v/>
      </c>
      <c r="AE70" s="17">
        <f>'Grid_Stock'!W65</f>
        <v/>
      </c>
      <c r="AF70" s="17">
        <f>'Grid_Stock'!X65</f>
        <v/>
      </c>
      <c r="AG70" s="17">
        <f>'Grid_Stock'!Y65</f>
        <v/>
      </c>
      <c r="AH70" s="17">
        <f>'Grid_Stock'!Z65</f>
        <v/>
      </c>
      <c r="AI70" s="17">
        <f>'Grid_Stock'!AA65</f>
        <v/>
      </c>
      <c r="AJ70" s="17">
        <f>'Grid_Stock'!AB65</f>
        <v/>
      </c>
      <c r="AK70" s="17">
        <f>'Grid_Stock'!AC65</f>
        <v/>
      </c>
      <c r="AL70" s="17">
        <f>'Grid_Stock'!AD65</f>
        <v/>
      </c>
      <c r="AM70" s="17">
        <f>'Grid_Stock'!AE65</f>
        <v/>
      </c>
      <c r="AN70" s="17">
        <f>'Grid_Stock'!AF65</f>
        <v/>
      </c>
      <c r="AO70" s="17">
        <f>'Grid_Stock'!AG65</f>
        <v/>
      </c>
      <c r="AP70" s="17">
        <f>'Grid_Stock'!AH65</f>
        <v/>
      </c>
      <c r="AQ70" s="17">
        <f>'Grid_Stock'!AI65</f>
        <v/>
      </c>
      <c r="AR70" s="17">
        <f>'Grid_Stock'!AJ65</f>
        <v/>
      </c>
      <c r="AS70" s="17">
        <f>'Grid_Stock'!AK65</f>
        <v/>
      </c>
      <c r="AT70" s="17">
        <f>'Grid_Stock'!AL65</f>
        <v/>
      </c>
      <c r="AU70" s="17">
        <f>'Grid_Stock'!AM65</f>
        <v/>
      </c>
      <c r="AV70" s="17">
        <f>'Grid_Stock'!AN65</f>
        <v/>
      </c>
      <c r="AW70" s="17">
        <f>'Grid_Stock'!AO65</f>
        <v/>
      </c>
      <c r="AX70" s="17">
        <f>'Grid_Stock'!AP65</f>
        <v/>
      </c>
      <c r="AY70" s="17">
        <f>'Grid_Stock'!AQ65</f>
        <v/>
      </c>
      <c r="AZ70" s="17">
        <f>'Grid_Stock'!AR65</f>
        <v/>
      </c>
      <c r="BA70" s="17">
        <f>'Grid_Stock'!AS65</f>
        <v/>
      </c>
      <c r="BB70" s="17">
        <f>'Grid_Stock'!AT65</f>
        <v/>
      </c>
      <c r="BC70" s="17">
        <f>'Grid_Stock'!AU65</f>
        <v/>
      </c>
      <c r="BD70" s="17">
        <f>'Grid_Stock'!AV65</f>
        <v/>
      </c>
      <c r="BE70" s="17">
        <f>'Grid_Stock'!AW65</f>
        <v/>
      </c>
      <c r="BF70" s="17">
        <f>'Grid_Stock'!AX65</f>
        <v/>
      </c>
      <c r="BG70" s="17">
        <f>'Grid_Stock'!AY65</f>
        <v/>
      </c>
      <c r="BH70" s="17">
        <f>'Grid_Stock'!AZ65</f>
        <v/>
      </c>
      <c r="BI70" s="17">
        <f>'Grid_Stock'!BA65</f>
        <v/>
      </c>
      <c r="BJ70" s="17">
        <f>'Grid_Stock'!BB65</f>
        <v/>
      </c>
      <c r="BK70" s="17">
        <f>'Grid_Stock'!BC65</f>
        <v/>
      </c>
      <c r="BL70" s="17">
        <f>'Grid_Stock'!BD65</f>
        <v/>
      </c>
      <c r="BM70" s="17">
        <f>'Grid_Stock'!BE65</f>
        <v/>
      </c>
      <c r="BN70" s="17">
        <f>'Grid_Stock'!BF65</f>
        <v/>
      </c>
      <c r="BO70" s="17">
        <f>'Grid_Stock'!BG65</f>
        <v/>
      </c>
      <c r="BP70" s="17">
        <f>'Grid_Stock'!BH65</f>
        <v/>
      </c>
      <c r="BQ70" s="17">
        <f>'Grid_Stock'!BI65</f>
        <v/>
      </c>
      <c r="BR70" s="17">
        <f>'Grid_Stock'!BJ65</f>
        <v/>
      </c>
      <c r="BS70" s="17">
        <f>'Grid_Stock'!BK65</f>
        <v/>
      </c>
      <c r="BT70" s="17">
        <f>'Grid_Stock'!BL65</f>
        <v/>
      </c>
      <c r="BU70" s="17">
        <f>'Grid_Stock'!BM65</f>
        <v/>
      </c>
      <c r="BV70" s="17">
        <f>'Grid_Stock'!BN65</f>
        <v/>
      </c>
      <c r="BW70" s="17">
        <f>'Grid_Stock'!BO65</f>
        <v/>
      </c>
      <c r="BX70" s="17">
        <f>'Grid_Stock'!BP65</f>
        <v/>
      </c>
      <c r="BY70" s="17">
        <f>'Grid_Stock'!BQ65</f>
        <v/>
      </c>
      <c r="BZ70" s="17">
        <f>'Grid_Stock'!BR65</f>
        <v/>
      </c>
      <c r="CA70" s="17">
        <f>'Grid_Stock'!BS65</f>
        <v/>
      </c>
      <c r="CB70" s="17">
        <f>'Grid_Stock'!BT65</f>
        <v/>
      </c>
      <c r="CC70" s="17">
        <f>'Grid_Stock'!BU65</f>
        <v/>
      </c>
      <c r="CD70" s="17">
        <f>'Grid_Stock'!BV65</f>
        <v/>
      </c>
      <c r="CE70" s="17">
        <f>'Grid_Stock'!BW65</f>
        <v/>
      </c>
      <c r="CF70" s="17">
        <f>'Grid_Stock'!BX65</f>
        <v/>
      </c>
      <c r="CG70" s="17">
        <f>'Grid_Stock'!BY65</f>
        <v/>
      </c>
      <c r="CH70" s="17">
        <f>'Grid_Stock'!BZ65</f>
        <v/>
      </c>
      <c r="CI70" s="17">
        <f>'Grid_Stock'!CA65</f>
        <v/>
      </c>
      <c r="CJ70" s="17">
        <f>'Grid_Stock'!CB65</f>
        <v/>
      </c>
      <c r="CK70" s="17">
        <f>'Grid_Stock'!CC65</f>
        <v/>
      </c>
      <c r="CL70" s="17">
        <f>'Grid_Stock'!CD65</f>
        <v/>
      </c>
      <c r="CM70" s="17">
        <f>'Grid_Stock'!CE65</f>
        <v/>
      </c>
      <c r="CN70" s="17">
        <f>'Grid_Stock'!CF65</f>
        <v/>
      </c>
      <c r="CO70" s="17">
        <f>'Grid_Stock'!CG65</f>
        <v/>
      </c>
      <c r="CP70" s="17">
        <f>'Grid_Stock'!CH65</f>
        <v/>
      </c>
      <c r="CQ70" s="17">
        <f>'Grid_Stock'!CI65</f>
        <v/>
      </c>
      <c r="CR70" s="17">
        <f>'Grid_Stock'!CJ65</f>
        <v/>
      </c>
      <c r="CS70" s="17">
        <f>'Grid_Stock'!CK65</f>
        <v/>
      </c>
      <c r="CT70" s="17">
        <f>'Grid_Stock'!CL65</f>
        <v/>
      </c>
      <c r="CU70" s="17">
        <f>'Grid_Stock'!CM65</f>
        <v/>
      </c>
      <c r="CV70" s="17">
        <f>'Grid_Stock'!CN65</f>
        <v/>
      </c>
      <c r="CW70" s="17">
        <f>'Grid_Stock'!CO65</f>
        <v/>
      </c>
      <c r="CX70" s="17">
        <f>'Grid_Stock'!CP65</f>
        <v/>
      </c>
      <c r="CY70" s="17">
        <f>'Grid_Stock'!CQ65</f>
        <v/>
      </c>
      <c r="CZ70" s="17">
        <f>'Grid_Stock'!CR65</f>
        <v/>
      </c>
      <c r="DA70" s="17">
        <f>'Grid_Stock'!CS65</f>
        <v/>
      </c>
      <c r="DB70" s="17">
        <f>'Grid_Stock'!CT65</f>
        <v/>
      </c>
      <c r="DC70" s="17">
        <f>'Grid_Stock'!CU65</f>
        <v/>
      </c>
      <c r="DD70" s="17">
        <f>'Grid_Stock'!CV65</f>
        <v/>
      </c>
      <c r="DE70" s="17">
        <f>'Grid_Stock'!CW65</f>
        <v/>
      </c>
      <c r="DF70" s="17">
        <f>'Grid_Stock'!CX65</f>
        <v/>
      </c>
      <c r="DG70" s="17">
        <f>'Grid_Stock'!CY65</f>
        <v/>
      </c>
      <c r="DH70" s="17">
        <f>'Grid_Stock'!CZ65</f>
        <v/>
      </c>
      <c r="DI70" s="17">
        <f>'Grid_Stock'!DA65</f>
        <v/>
      </c>
    </row>
    <row r="71">
      <c r="A71" s="15" t="inlineStr">
        <is>
          <t>V03</t>
        </is>
      </c>
      <c r="B71" s="15">
        <f>IFERROR(INDEX(M_RawMaterials[Description],MATCH($A71,M_RawMaterials[RM_Code],0)),"")</f>
        <v/>
      </c>
      <c r="C71" s="15">
        <f>IFERROR(INDEX(M_RawMaterials[Category],MATCH($A71,M_RawMaterials[RM_Code],0)),"")</f>
        <v/>
      </c>
      <c r="D71" s="15">
        <f>IFERROR(INDEX(M_RawMaterials[基準在庫下限_要入力],MATCH($A71,M_RawMaterials[RM_Code],0)),0)</f>
        <v/>
      </c>
      <c r="E71" s="15">
        <f>IFERROR(INDEX(M_RawMaterials[基準在庫上限_要入力],MATCH($A71,M_RawMaterials[RM_Code],0)),0)</f>
        <v/>
      </c>
      <c r="F71" s="15">
        <f>IFERROR(LOOKUP(2,1/(T_SelfStock!$A$2:$A$12000=$A71),T_SelfStock!$D$2:$D$12000),"")</f>
        <v/>
      </c>
      <c r="G71" s="15">
        <f>IFERROR(LOOKUP(2,1/(T_TTAFStock!$A$2:$A$12000=$A71),T_TTAFStock!$D$2:$D$12000),"")</f>
        <v/>
      </c>
      <c r="H71" s="15">
        <f>IFERROR(INDEX(Cal_Weeks[Label],LOOKUP(2,1/(T_SelfStock!$A$2:$A$12000=$A71),T_SelfStock!$C$2:$C$12000)),"")</f>
        <v/>
      </c>
      <c r="I71" s="16">
        <f>IFERROR(INDEX(J71:DI71,$F$1),"")</f>
        <v/>
      </c>
      <c r="J71" s="15">
        <f>'Grid_Stock'!B66</f>
        <v/>
      </c>
      <c r="K71" s="15">
        <f>'Grid_Stock'!C66</f>
        <v/>
      </c>
      <c r="L71" s="15">
        <f>'Grid_Stock'!D66</f>
        <v/>
      </c>
      <c r="M71" s="15">
        <f>'Grid_Stock'!E66</f>
        <v/>
      </c>
      <c r="N71" s="15">
        <f>'Grid_Stock'!F66</f>
        <v/>
      </c>
      <c r="O71" s="15">
        <f>'Grid_Stock'!G66</f>
        <v/>
      </c>
      <c r="P71" s="15">
        <f>'Grid_Stock'!H66</f>
        <v/>
      </c>
      <c r="Q71" s="15">
        <f>'Grid_Stock'!I66</f>
        <v/>
      </c>
      <c r="R71" s="15">
        <f>'Grid_Stock'!J66</f>
        <v/>
      </c>
      <c r="S71" s="15">
        <f>'Grid_Stock'!K66</f>
        <v/>
      </c>
      <c r="T71" s="15">
        <f>'Grid_Stock'!L66</f>
        <v/>
      </c>
      <c r="U71" s="15">
        <f>'Grid_Stock'!M66</f>
        <v/>
      </c>
      <c r="V71" s="15">
        <f>'Grid_Stock'!N66</f>
        <v/>
      </c>
      <c r="W71" s="15">
        <f>'Grid_Stock'!O66</f>
        <v/>
      </c>
      <c r="X71" s="15">
        <f>'Grid_Stock'!P66</f>
        <v/>
      </c>
      <c r="Y71" s="15">
        <f>'Grid_Stock'!Q66</f>
        <v/>
      </c>
      <c r="Z71" s="15">
        <f>'Grid_Stock'!R66</f>
        <v/>
      </c>
      <c r="AA71" s="15">
        <f>'Grid_Stock'!S66</f>
        <v/>
      </c>
      <c r="AB71" s="15">
        <f>'Grid_Stock'!T66</f>
        <v/>
      </c>
      <c r="AC71" s="15">
        <f>'Grid_Stock'!U66</f>
        <v/>
      </c>
      <c r="AD71" s="15">
        <f>'Grid_Stock'!V66</f>
        <v/>
      </c>
      <c r="AE71" s="15">
        <f>'Grid_Stock'!W66</f>
        <v/>
      </c>
      <c r="AF71" s="15">
        <f>'Grid_Stock'!X66</f>
        <v/>
      </c>
      <c r="AG71" s="15">
        <f>'Grid_Stock'!Y66</f>
        <v/>
      </c>
      <c r="AH71" s="15">
        <f>'Grid_Stock'!Z66</f>
        <v/>
      </c>
      <c r="AI71" s="15">
        <f>'Grid_Stock'!AA66</f>
        <v/>
      </c>
      <c r="AJ71" s="15">
        <f>'Grid_Stock'!AB66</f>
        <v/>
      </c>
      <c r="AK71" s="15">
        <f>'Grid_Stock'!AC66</f>
        <v/>
      </c>
      <c r="AL71" s="15">
        <f>'Grid_Stock'!AD66</f>
        <v/>
      </c>
      <c r="AM71" s="15">
        <f>'Grid_Stock'!AE66</f>
        <v/>
      </c>
      <c r="AN71" s="15">
        <f>'Grid_Stock'!AF66</f>
        <v/>
      </c>
      <c r="AO71" s="15">
        <f>'Grid_Stock'!AG66</f>
        <v/>
      </c>
      <c r="AP71" s="15">
        <f>'Grid_Stock'!AH66</f>
        <v/>
      </c>
      <c r="AQ71" s="15">
        <f>'Grid_Stock'!AI66</f>
        <v/>
      </c>
      <c r="AR71" s="15">
        <f>'Grid_Stock'!AJ66</f>
        <v/>
      </c>
      <c r="AS71" s="15">
        <f>'Grid_Stock'!AK66</f>
        <v/>
      </c>
      <c r="AT71" s="15">
        <f>'Grid_Stock'!AL66</f>
        <v/>
      </c>
      <c r="AU71" s="15">
        <f>'Grid_Stock'!AM66</f>
        <v/>
      </c>
      <c r="AV71" s="15">
        <f>'Grid_Stock'!AN66</f>
        <v/>
      </c>
      <c r="AW71" s="15">
        <f>'Grid_Stock'!AO66</f>
        <v/>
      </c>
      <c r="AX71" s="15">
        <f>'Grid_Stock'!AP66</f>
        <v/>
      </c>
      <c r="AY71" s="15">
        <f>'Grid_Stock'!AQ66</f>
        <v/>
      </c>
      <c r="AZ71" s="15">
        <f>'Grid_Stock'!AR66</f>
        <v/>
      </c>
      <c r="BA71" s="15">
        <f>'Grid_Stock'!AS66</f>
        <v/>
      </c>
      <c r="BB71" s="15">
        <f>'Grid_Stock'!AT66</f>
        <v/>
      </c>
      <c r="BC71" s="15">
        <f>'Grid_Stock'!AU66</f>
        <v/>
      </c>
      <c r="BD71" s="15">
        <f>'Grid_Stock'!AV66</f>
        <v/>
      </c>
      <c r="BE71" s="15">
        <f>'Grid_Stock'!AW66</f>
        <v/>
      </c>
      <c r="BF71" s="15">
        <f>'Grid_Stock'!AX66</f>
        <v/>
      </c>
      <c r="BG71" s="15">
        <f>'Grid_Stock'!AY66</f>
        <v/>
      </c>
      <c r="BH71" s="15">
        <f>'Grid_Stock'!AZ66</f>
        <v/>
      </c>
      <c r="BI71" s="15">
        <f>'Grid_Stock'!BA66</f>
        <v/>
      </c>
      <c r="BJ71" s="15">
        <f>'Grid_Stock'!BB66</f>
        <v/>
      </c>
      <c r="BK71" s="15">
        <f>'Grid_Stock'!BC66</f>
        <v/>
      </c>
      <c r="BL71" s="15">
        <f>'Grid_Stock'!BD66</f>
        <v/>
      </c>
      <c r="BM71" s="15">
        <f>'Grid_Stock'!BE66</f>
        <v/>
      </c>
      <c r="BN71" s="15">
        <f>'Grid_Stock'!BF66</f>
        <v/>
      </c>
      <c r="BO71" s="15">
        <f>'Grid_Stock'!BG66</f>
        <v/>
      </c>
      <c r="BP71" s="15">
        <f>'Grid_Stock'!BH66</f>
        <v/>
      </c>
      <c r="BQ71" s="15">
        <f>'Grid_Stock'!BI66</f>
        <v/>
      </c>
      <c r="BR71" s="15">
        <f>'Grid_Stock'!BJ66</f>
        <v/>
      </c>
      <c r="BS71" s="15">
        <f>'Grid_Stock'!BK66</f>
        <v/>
      </c>
      <c r="BT71" s="15">
        <f>'Grid_Stock'!BL66</f>
        <v/>
      </c>
      <c r="BU71" s="15">
        <f>'Grid_Stock'!BM66</f>
        <v/>
      </c>
      <c r="BV71" s="15">
        <f>'Grid_Stock'!BN66</f>
        <v/>
      </c>
      <c r="BW71" s="15">
        <f>'Grid_Stock'!BO66</f>
        <v/>
      </c>
      <c r="BX71" s="15">
        <f>'Grid_Stock'!BP66</f>
        <v/>
      </c>
      <c r="BY71" s="15">
        <f>'Grid_Stock'!BQ66</f>
        <v/>
      </c>
      <c r="BZ71" s="15">
        <f>'Grid_Stock'!BR66</f>
        <v/>
      </c>
      <c r="CA71" s="15">
        <f>'Grid_Stock'!BS66</f>
        <v/>
      </c>
      <c r="CB71" s="15">
        <f>'Grid_Stock'!BT66</f>
        <v/>
      </c>
      <c r="CC71" s="15">
        <f>'Grid_Stock'!BU66</f>
        <v/>
      </c>
      <c r="CD71" s="15">
        <f>'Grid_Stock'!BV66</f>
        <v/>
      </c>
      <c r="CE71" s="15">
        <f>'Grid_Stock'!BW66</f>
        <v/>
      </c>
      <c r="CF71" s="15">
        <f>'Grid_Stock'!BX66</f>
        <v/>
      </c>
      <c r="CG71" s="15">
        <f>'Grid_Stock'!BY66</f>
        <v/>
      </c>
      <c r="CH71" s="15">
        <f>'Grid_Stock'!BZ66</f>
        <v/>
      </c>
      <c r="CI71" s="15">
        <f>'Grid_Stock'!CA66</f>
        <v/>
      </c>
      <c r="CJ71" s="15">
        <f>'Grid_Stock'!CB66</f>
        <v/>
      </c>
      <c r="CK71" s="15">
        <f>'Grid_Stock'!CC66</f>
        <v/>
      </c>
      <c r="CL71" s="15">
        <f>'Grid_Stock'!CD66</f>
        <v/>
      </c>
      <c r="CM71" s="15">
        <f>'Grid_Stock'!CE66</f>
        <v/>
      </c>
      <c r="CN71" s="15">
        <f>'Grid_Stock'!CF66</f>
        <v/>
      </c>
      <c r="CO71" s="15">
        <f>'Grid_Stock'!CG66</f>
        <v/>
      </c>
      <c r="CP71" s="15">
        <f>'Grid_Stock'!CH66</f>
        <v/>
      </c>
      <c r="CQ71" s="15">
        <f>'Grid_Stock'!CI66</f>
        <v/>
      </c>
      <c r="CR71" s="15">
        <f>'Grid_Stock'!CJ66</f>
        <v/>
      </c>
      <c r="CS71" s="15">
        <f>'Grid_Stock'!CK66</f>
        <v/>
      </c>
      <c r="CT71" s="15">
        <f>'Grid_Stock'!CL66</f>
        <v/>
      </c>
      <c r="CU71" s="15">
        <f>'Grid_Stock'!CM66</f>
        <v/>
      </c>
      <c r="CV71" s="15">
        <f>'Grid_Stock'!CN66</f>
        <v/>
      </c>
      <c r="CW71" s="15">
        <f>'Grid_Stock'!CO66</f>
        <v/>
      </c>
      <c r="CX71" s="15">
        <f>'Grid_Stock'!CP66</f>
        <v/>
      </c>
      <c r="CY71" s="15">
        <f>'Grid_Stock'!CQ66</f>
        <v/>
      </c>
      <c r="CZ71" s="15">
        <f>'Grid_Stock'!CR66</f>
        <v/>
      </c>
      <c r="DA71" s="15">
        <f>'Grid_Stock'!CS66</f>
        <v/>
      </c>
      <c r="DB71" s="15">
        <f>'Grid_Stock'!CT66</f>
        <v/>
      </c>
      <c r="DC71" s="15">
        <f>'Grid_Stock'!CU66</f>
        <v/>
      </c>
      <c r="DD71" s="15">
        <f>'Grid_Stock'!CV66</f>
        <v/>
      </c>
      <c r="DE71" s="15">
        <f>'Grid_Stock'!CW66</f>
        <v/>
      </c>
      <c r="DF71" s="15">
        <f>'Grid_Stock'!CX66</f>
        <v/>
      </c>
      <c r="DG71" s="15">
        <f>'Grid_Stock'!CY66</f>
        <v/>
      </c>
      <c r="DH71" s="15">
        <f>'Grid_Stock'!CZ66</f>
        <v/>
      </c>
      <c r="DI71" s="15">
        <f>'Grid_Stock'!DA66</f>
        <v/>
      </c>
    </row>
    <row r="72">
      <c r="A72" s="17" t="inlineStr">
        <is>
          <t>V19</t>
        </is>
      </c>
      <c r="B72" s="17">
        <f>IFERROR(INDEX(M_RawMaterials[Description],MATCH($A72,M_RawMaterials[RM_Code],0)),"")</f>
        <v/>
      </c>
      <c r="C72" s="17">
        <f>IFERROR(INDEX(M_RawMaterials[Category],MATCH($A72,M_RawMaterials[RM_Code],0)),"")</f>
        <v/>
      </c>
      <c r="D72" s="17">
        <f>IFERROR(INDEX(M_RawMaterials[基準在庫下限_要入力],MATCH($A72,M_RawMaterials[RM_Code],0)),0)</f>
        <v/>
      </c>
      <c r="E72" s="17">
        <f>IFERROR(INDEX(M_RawMaterials[基準在庫上限_要入力],MATCH($A72,M_RawMaterials[RM_Code],0)),0)</f>
        <v/>
      </c>
      <c r="F72" s="17">
        <f>IFERROR(LOOKUP(2,1/(T_SelfStock!$A$2:$A$12000=$A72),T_SelfStock!$D$2:$D$12000),"")</f>
        <v/>
      </c>
      <c r="G72" s="17">
        <f>IFERROR(LOOKUP(2,1/(T_TTAFStock!$A$2:$A$12000=$A72),T_TTAFStock!$D$2:$D$12000),"")</f>
        <v/>
      </c>
      <c r="H72" s="17">
        <f>IFERROR(INDEX(Cal_Weeks[Label],LOOKUP(2,1/(T_SelfStock!$A$2:$A$12000=$A72),T_SelfStock!$C$2:$C$12000)),"")</f>
        <v/>
      </c>
      <c r="I72" s="16">
        <f>IFERROR(INDEX(J72:DI72,$F$1),"")</f>
        <v/>
      </c>
      <c r="J72" s="17">
        <f>'Grid_Stock'!B67</f>
        <v/>
      </c>
      <c r="K72" s="17">
        <f>'Grid_Stock'!C67</f>
        <v/>
      </c>
      <c r="L72" s="17">
        <f>'Grid_Stock'!D67</f>
        <v/>
      </c>
      <c r="M72" s="17">
        <f>'Grid_Stock'!E67</f>
        <v/>
      </c>
      <c r="N72" s="17">
        <f>'Grid_Stock'!F67</f>
        <v/>
      </c>
      <c r="O72" s="17">
        <f>'Grid_Stock'!G67</f>
        <v/>
      </c>
      <c r="P72" s="17">
        <f>'Grid_Stock'!H67</f>
        <v/>
      </c>
      <c r="Q72" s="17">
        <f>'Grid_Stock'!I67</f>
        <v/>
      </c>
      <c r="R72" s="17">
        <f>'Grid_Stock'!J67</f>
        <v/>
      </c>
      <c r="S72" s="17">
        <f>'Grid_Stock'!K67</f>
        <v/>
      </c>
      <c r="T72" s="17">
        <f>'Grid_Stock'!L67</f>
        <v/>
      </c>
      <c r="U72" s="17">
        <f>'Grid_Stock'!M67</f>
        <v/>
      </c>
      <c r="V72" s="17">
        <f>'Grid_Stock'!N67</f>
        <v/>
      </c>
      <c r="W72" s="17">
        <f>'Grid_Stock'!O67</f>
        <v/>
      </c>
      <c r="X72" s="17">
        <f>'Grid_Stock'!P67</f>
        <v/>
      </c>
      <c r="Y72" s="17">
        <f>'Grid_Stock'!Q67</f>
        <v/>
      </c>
      <c r="Z72" s="17">
        <f>'Grid_Stock'!R67</f>
        <v/>
      </c>
      <c r="AA72" s="17">
        <f>'Grid_Stock'!S67</f>
        <v/>
      </c>
      <c r="AB72" s="17">
        <f>'Grid_Stock'!T67</f>
        <v/>
      </c>
      <c r="AC72" s="17">
        <f>'Grid_Stock'!U67</f>
        <v/>
      </c>
      <c r="AD72" s="17">
        <f>'Grid_Stock'!V67</f>
        <v/>
      </c>
      <c r="AE72" s="17">
        <f>'Grid_Stock'!W67</f>
        <v/>
      </c>
      <c r="AF72" s="17">
        <f>'Grid_Stock'!X67</f>
        <v/>
      </c>
      <c r="AG72" s="17">
        <f>'Grid_Stock'!Y67</f>
        <v/>
      </c>
      <c r="AH72" s="17">
        <f>'Grid_Stock'!Z67</f>
        <v/>
      </c>
      <c r="AI72" s="17">
        <f>'Grid_Stock'!AA67</f>
        <v/>
      </c>
      <c r="AJ72" s="17">
        <f>'Grid_Stock'!AB67</f>
        <v/>
      </c>
      <c r="AK72" s="17">
        <f>'Grid_Stock'!AC67</f>
        <v/>
      </c>
      <c r="AL72" s="17">
        <f>'Grid_Stock'!AD67</f>
        <v/>
      </c>
      <c r="AM72" s="17">
        <f>'Grid_Stock'!AE67</f>
        <v/>
      </c>
      <c r="AN72" s="17">
        <f>'Grid_Stock'!AF67</f>
        <v/>
      </c>
      <c r="AO72" s="17">
        <f>'Grid_Stock'!AG67</f>
        <v/>
      </c>
      <c r="AP72" s="17">
        <f>'Grid_Stock'!AH67</f>
        <v/>
      </c>
      <c r="AQ72" s="17">
        <f>'Grid_Stock'!AI67</f>
        <v/>
      </c>
      <c r="AR72" s="17">
        <f>'Grid_Stock'!AJ67</f>
        <v/>
      </c>
      <c r="AS72" s="17">
        <f>'Grid_Stock'!AK67</f>
        <v/>
      </c>
      <c r="AT72" s="17">
        <f>'Grid_Stock'!AL67</f>
        <v/>
      </c>
      <c r="AU72" s="17">
        <f>'Grid_Stock'!AM67</f>
        <v/>
      </c>
      <c r="AV72" s="17">
        <f>'Grid_Stock'!AN67</f>
        <v/>
      </c>
      <c r="AW72" s="17">
        <f>'Grid_Stock'!AO67</f>
        <v/>
      </c>
      <c r="AX72" s="17">
        <f>'Grid_Stock'!AP67</f>
        <v/>
      </c>
      <c r="AY72" s="17">
        <f>'Grid_Stock'!AQ67</f>
        <v/>
      </c>
      <c r="AZ72" s="17">
        <f>'Grid_Stock'!AR67</f>
        <v/>
      </c>
      <c r="BA72" s="17">
        <f>'Grid_Stock'!AS67</f>
        <v/>
      </c>
      <c r="BB72" s="17">
        <f>'Grid_Stock'!AT67</f>
        <v/>
      </c>
      <c r="BC72" s="17">
        <f>'Grid_Stock'!AU67</f>
        <v/>
      </c>
      <c r="BD72" s="17">
        <f>'Grid_Stock'!AV67</f>
        <v/>
      </c>
      <c r="BE72" s="17">
        <f>'Grid_Stock'!AW67</f>
        <v/>
      </c>
      <c r="BF72" s="17">
        <f>'Grid_Stock'!AX67</f>
        <v/>
      </c>
      <c r="BG72" s="17">
        <f>'Grid_Stock'!AY67</f>
        <v/>
      </c>
      <c r="BH72" s="17">
        <f>'Grid_Stock'!AZ67</f>
        <v/>
      </c>
      <c r="BI72" s="17">
        <f>'Grid_Stock'!BA67</f>
        <v/>
      </c>
      <c r="BJ72" s="17">
        <f>'Grid_Stock'!BB67</f>
        <v/>
      </c>
      <c r="BK72" s="17">
        <f>'Grid_Stock'!BC67</f>
        <v/>
      </c>
      <c r="BL72" s="17">
        <f>'Grid_Stock'!BD67</f>
        <v/>
      </c>
      <c r="BM72" s="17">
        <f>'Grid_Stock'!BE67</f>
        <v/>
      </c>
      <c r="BN72" s="17">
        <f>'Grid_Stock'!BF67</f>
        <v/>
      </c>
      <c r="BO72" s="17">
        <f>'Grid_Stock'!BG67</f>
        <v/>
      </c>
      <c r="BP72" s="17">
        <f>'Grid_Stock'!BH67</f>
        <v/>
      </c>
      <c r="BQ72" s="17">
        <f>'Grid_Stock'!BI67</f>
        <v/>
      </c>
      <c r="BR72" s="17">
        <f>'Grid_Stock'!BJ67</f>
        <v/>
      </c>
      <c r="BS72" s="17">
        <f>'Grid_Stock'!BK67</f>
        <v/>
      </c>
      <c r="BT72" s="17">
        <f>'Grid_Stock'!BL67</f>
        <v/>
      </c>
      <c r="BU72" s="17">
        <f>'Grid_Stock'!BM67</f>
        <v/>
      </c>
      <c r="BV72" s="17">
        <f>'Grid_Stock'!BN67</f>
        <v/>
      </c>
      <c r="BW72" s="17">
        <f>'Grid_Stock'!BO67</f>
        <v/>
      </c>
      <c r="BX72" s="17">
        <f>'Grid_Stock'!BP67</f>
        <v/>
      </c>
      <c r="BY72" s="17">
        <f>'Grid_Stock'!BQ67</f>
        <v/>
      </c>
      <c r="BZ72" s="17">
        <f>'Grid_Stock'!BR67</f>
        <v/>
      </c>
      <c r="CA72" s="17">
        <f>'Grid_Stock'!BS67</f>
        <v/>
      </c>
      <c r="CB72" s="17">
        <f>'Grid_Stock'!BT67</f>
        <v/>
      </c>
      <c r="CC72" s="17">
        <f>'Grid_Stock'!BU67</f>
        <v/>
      </c>
      <c r="CD72" s="17">
        <f>'Grid_Stock'!BV67</f>
        <v/>
      </c>
      <c r="CE72" s="17">
        <f>'Grid_Stock'!BW67</f>
        <v/>
      </c>
      <c r="CF72" s="17">
        <f>'Grid_Stock'!BX67</f>
        <v/>
      </c>
      <c r="CG72" s="17">
        <f>'Grid_Stock'!BY67</f>
        <v/>
      </c>
      <c r="CH72" s="17">
        <f>'Grid_Stock'!BZ67</f>
        <v/>
      </c>
      <c r="CI72" s="17">
        <f>'Grid_Stock'!CA67</f>
        <v/>
      </c>
      <c r="CJ72" s="17">
        <f>'Grid_Stock'!CB67</f>
        <v/>
      </c>
      <c r="CK72" s="17">
        <f>'Grid_Stock'!CC67</f>
        <v/>
      </c>
      <c r="CL72" s="17">
        <f>'Grid_Stock'!CD67</f>
        <v/>
      </c>
      <c r="CM72" s="17">
        <f>'Grid_Stock'!CE67</f>
        <v/>
      </c>
      <c r="CN72" s="17">
        <f>'Grid_Stock'!CF67</f>
        <v/>
      </c>
      <c r="CO72" s="17">
        <f>'Grid_Stock'!CG67</f>
        <v/>
      </c>
      <c r="CP72" s="17">
        <f>'Grid_Stock'!CH67</f>
        <v/>
      </c>
      <c r="CQ72" s="17">
        <f>'Grid_Stock'!CI67</f>
        <v/>
      </c>
      <c r="CR72" s="17">
        <f>'Grid_Stock'!CJ67</f>
        <v/>
      </c>
      <c r="CS72" s="17">
        <f>'Grid_Stock'!CK67</f>
        <v/>
      </c>
      <c r="CT72" s="17">
        <f>'Grid_Stock'!CL67</f>
        <v/>
      </c>
      <c r="CU72" s="17">
        <f>'Grid_Stock'!CM67</f>
        <v/>
      </c>
      <c r="CV72" s="17">
        <f>'Grid_Stock'!CN67</f>
        <v/>
      </c>
      <c r="CW72" s="17">
        <f>'Grid_Stock'!CO67</f>
        <v/>
      </c>
      <c r="CX72" s="17">
        <f>'Grid_Stock'!CP67</f>
        <v/>
      </c>
      <c r="CY72" s="17">
        <f>'Grid_Stock'!CQ67</f>
        <v/>
      </c>
      <c r="CZ72" s="17">
        <f>'Grid_Stock'!CR67</f>
        <v/>
      </c>
      <c r="DA72" s="17">
        <f>'Grid_Stock'!CS67</f>
        <v/>
      </c>
      <c r="DB72" s="17">
        <f>'Grid_Stock'!CT67</f>
        <v/>
      </c>
      <c r="DC72" s="17">
        <f>'Grid_Stock'!CU67</f>
        <v/>
      </c>
      <c r="DD72" s="17">
        <f>'Grid_Stock'!CV67</f>
        <v/>
      </c>
      <c r="DE72" s="17">
        <f>'Grid_Stock'!CW67</f>
        <v/>
      </c>
      <c r="DF72" s="17">
        <f>'Grid_Stock'!CX67</f>
        <v/>
      </c>
      <c r="DG72" s="17">
        <f>'Grid_Stock'!CY67</f>
        <v/>
      </c>
      <c r="DH72" s="17">
        <f>'Grid_Stock'!CZ67</f>
        <v/>
      </c>
      <c r="DI72" s="17">
        <f>'Grid_Stock'!DA67</f>
        <v/>
      </c>
    </row>
    <row r="73">
      <c r="A73" s="15" t="inlineStr">
        <is>
          <t>3TP</t>
        </is>
      </c>
      <c r="B73" s="15">
        <f>IFERROR(INDEX(M_RawMaterials[Description],MATCH($A73,M_RawMaterials[RM_Code],0)),"")</f>
        <v/>
      </c>
      <c r="C73" s="15">
        <f>IFERROR(INDEX(M_RawMaterials[Category],MATCH($A73,M_RawMaterials[RM_Code],0)),"")</f>
        <v/>
      </c>
      <c r="D73" s="15">
        <f>IFERROR(INDEX(M_RawMaterials[基準在庫下限_要入力],MATCH($A73,M_RawMaterials[RM_Code],0)),0)</f>
        <v/>
      </c>
      <c r="E73" s="15">
        <f>IFERROR(INDEX(M_RawMaterials[基準在庫上限_要入力],MATCH($A73,M_RawMaterials[RM_Code],0)),0)</f>
        <v/>
      </c>
      <c r="F73" s="15">
        <f>IFERROR(LOOKUP(2,1/(T_SelfStock!$A$2:$A$12000=$A73),T_SelfStock!$D$2:$D$12000),"")</f>
        <v/>
      </c>
      <c r="G73" s="15">
        <f>IFERROR(LOOKUP(2,1/(T_TTAFStock!$A$2:$A$12000=$A73),T_TTAFStock!$D$2:$D$12000),"")</f>
        <v/>
      </c>
      <c r="H73" s="15">
        <f>IFERROR(INDEX(Cal_Weeks[Label],LOOKUP(2,1/(T_SelfStock!$A$2:$A$12000=$A73),T_SelfStock!$C$2:$C$12000)),"")</f>
        <v/>
      </c>
      <c r="I73" s="16">
        <f>IFERROR(INDEX(J73:DI73,$F$1),"")</f>
        <v/>
      </c>
      <c r="J73" s="15">
        <f>'Grid_Stock'!B68</f>
        <v/>
      </c>
      <c r="K73" s="15">
        <f>'Grid_Stock'!C68</f>
        <v/>
      </c>
      <c r="L73" s="15">
        <f>'Grid_Stock'!D68</f>
        <v/>
      </c>
      <c r="M73" s="15">
        <f>'Grid_Stock'!E68</f>
        <v/>
      </c>
      <c r="N73" s="15">
        <f>'Grid_Stock'!F68</f>
        <v/>
      </c>
      <c r="O73" s="15">
        <f>'Grid_Stock'!G68</f>
        <v/>
      </c>
      <c r="P73" s="15">
        <f>'Grid_Stock'!H68</f>
        <v/>
      </c>
      <c r="Q73" s="15">
        <f>'Grid_Stock'!I68</f>
        <v/>
      </c>
      <c r="R73" s="15">
        <f>'Grid_Stock'!J68</f>
        <v/>
      </c>
      <c r="S73" s="15">
        <f>'Grid_Stock'!K68</f>
        <v/>
      </c>
      <c r="T73" s="15">
        <f>'Grid_Stock'!L68</f>
        <v/>
      </c>
      <c r="U73" s="15">
        <f>'Grid_Stock'!M68</f>
        <v/>
      </c>
      <c r="V73" s="15">
        <f>'Grid_Stock'!N68</f>
        <v/>
      </c>
      <c r="W73" s="15">
        <f>'Grid_Stock'!O68</f>
        <v/>
      </c>
      <c r="X73" s="15">
        <f>'Grid_Stock'!P68</f>
        <v/>
      </c>
      <c r="Y73" s="15">
        <f>'Grid_Stock'!Q68</f>
        <v/>
      </c>
      <c r="Z73" s="15">
        <f>'Grid_Stock'!R68</f>
        <v/>
      </c>
      <c r="AA73" s="15">
        <f>'Grid_Stock'!S68</f>
        <v/>
      </c>
      <c r="AB73" s="15">
        <f>'Grid_Stock'!T68</f>
        <v/>
      </c>
      <c r="AC73" s="15">
        <f>'Grid_Stock'!U68</f>
        <v/>
      </c>
      <c r="AD73" s="15">
        <f>'Grid_Stock'!V68</f>
        <v/>
      </c>
      <c r="AE73" s="15">
        <f>'Grid_Stock'!W68</f>
        <v/>
      </c>
      <c r="AF73" s="15">
        <f>'Grid_Stock'!X68</f>
        <v/>
      </c>
      <c r="AG73" s="15">
        <f>'Grid_Stock'!Y68</f>
        <v/>
      </c>
      <c r="AH73" s="15">
        <f>'Grid_Stock'!Z68</f>
        <v/>
      </c>
      <c r="AI73" s="15">
        <f>'Grid_Stock'!AA68</f>
        <v/>
      </c>
      <c r="AJ73" s="15">
        <f>'Grid_Stock'!AB68</f>
        <v/>
      </c>
      <c r="AK73" s="15">
        <f>'Grid_Stock'!AC68</f>
        <v/>
      </c>
      <c r="AL73" s="15">
        <f>'Grid_Stock'!AD68</f>
        <v/>
      </c>
      <c r="AM73" s="15">
        <f>'Grid_Stock'!AE68</f>
        <v/>
      </c>
      <c r="AN73" s="15">
        <f>'Grid_Stock'!AF68</f>
        <v/>
      </c>
      <c r="AO73" s="15">
        <f>'Grid_Stock'!AG68</f>
        <v/>
      </c>
      <c r="AP73" s="15">
        <f>'Grid_Stock'!AH68</f>
        <v/>
      </c>
      <c r="AQ73" s="15">
        <f>'Grid_Stock'!AI68</f>
        <v/>
      </c>
      <c r="AR73" s="15">
        <f>'Grid_Stock'!AJ68</f>
        <v/>
      </c>
      <c r="AS73" s="15">
        <f>'Grid_Stock'!AK68</f>
        <v/>
      </c>
      <c r="AT73" s="15">
        <f>'Grid_Stock'!AL68</f>
        <v/>
      </c>
      <c r="AU73" s="15">
        <f>'Grid_Stock'!AM68</f>
        <v/>
      </c>
      <c r="AV73" s="15">
        <f>'Grid_Stock'!AN68</f>
        <v/>
      </c>
      <c r="AW73" s="15">
        <f>'Grid_Stock'!AO68</f>
        <v/>
      </c>
      <c r="AX73" s="15">
        <f>'Grid_Stock'!AP68</f>
        <v/>
      </c>
      <c r="AY73" s="15">
        <f>'Grid_Stock'!AQ68</f>
        <v/>
      </c>
      <c r="AZ73" s="15">
        <f>'Grid_Stock'!AR68</f>
        <v/>
      </c>
      <c r="BA73" s="15">
        <f>'Grid_Stock'!AS68</f>
        <v/>
      </c>
      <c r="BB73" s="15">
        <f>'Grid_Stock'!AT68</f>
        <v/>
      </c>
      <c r="BC73" s="15">
        <f>'Grid_Stock'!AU68</f>
        <v/>
      </c>
      <c r="BD73" s="15">
        <f>'Grid_Stock'!AV68</f>
        <v/>
      </c>
      <c r="BE73" s="15">
        <f>'Grid_Stock'!AW68</f>
        <v/>
      </c>
      <c r="BF73" s="15">
        <f>'Grid_Stock'!AX68</f>
        <v/>
      </c>
      <c r="BG73" s="15">
        <f>'Grid_Stock'!AY68</f>
        <v/>
      </c>
      <c r="BH73" s="15">
        <f>'Grid_Stock'!AZ68</f>
        <v/>
      </c>
      <c r="BI73" s="15">
        <f>'Grid_Stock'!BA68</f>
        <v/>
      </c>
      <c r="BJ73" s="15">
        <f>'Grid_Stock'!BB68</f>
        <v/>
      </c>
      <c r="BK73" s="15">
        <f>'Grid_Stock'!BC68</f>
        <v/>
      </c>
      <c r="BL73" s="15">
        <f>'Grid_Stock'!BD68</f>
        <v/>
      </c>
      <c r="BM73" s="15">
        <f>'Grid_Stock'!BE68</f>
        <v/>
      </c>
      <c r="BN73" s="15">
        <f>'Grid_Stock'!BF68</f>
        <v/>
      </c>
      <c r="BO73" s="15">
        <f>'Grid_Stock'!BG68</f>
        <v/>
      </c>
      <c r="BP73" s="15">
        <f>'Grid_Stock'!BH68</f>
        <v/>
      </c>
      <c r="BQ73" s="15">
        <f>'Grid_Stock'!BI68</f>
        <v/>
      </c>
      <c r="BR73" s="15">
        <f>'Grid_Stock'!BJ68</f>
        <v/>
      </c>
      <c r="BS73" s="15">
        <f>'Grid_Stock'!BK68</f>
        <v/>
      </c>
      <c r="BT73" s="15">
        <f>'Grid_Stock'!BL68</f>
        <v/>
      </c>
      <c r="BU73" s="15">
        <f>'Grid_Stock'!BM68</f>
        <v/>
      </c>
      <c r="BV73" s="15">
        <f>'Grid_Stock'!BN68</f>
        <v/>
      </c>
      <c r="BW73" s="15">
        <f>'Grid_Stock'!BO68</f>
        <v/>
      </c>
      <c r="BX73" s="15">
        <f>'Grid_Stock'!BP68</f>
        <v/>
      </c>
      <c r="BY73" s="15">
        <f>'Grid_Stock'!BQ68</f>
        <v/>
      </c>
      <c r="BZ73" s="15">
        <f>'Grid_Stock'!BR68</f>
        <v/>
      </c>
      <c r="CA73" s="15">
        <f>'Grid_Stock'!BS68</f>
        <v/>
      </c>
      <c r="CB73" s="15">
        <f>'Grid_Stock'!BT68</f>
        <v/>
      </c>
      <c r="CC73" s="15">
        <f>'Grid_Stock'!BU68</f>
        <v/>
      </c>
      <c r="CD73" s="15">
        <f>'Grid_Stock'!BV68</f>
        <v/>
      </c>
      <c r="CE73" s="15">
        <f>'Grid_Stock'!BW68</f>
        <v/>
      </c>
      <c r="CF73" s="15">
        <f>'Grid_Stock'!BX68</f>
        <v/>
      </c>
      <c r="CG73" s="15">
        <f>'Grid_Stock'!BY68</f>
        <v/>
      </c>
      <c r="CH73" s="15">
        <f>'Grid_Stock'!BZ68</f>
        <v/>
      </c>
      <c r="CI73" s="15">
        <f>'Grid_Stock'!CA68</f>
        <v/>
      </c>
      <c r="CJ73" s="15">
        <f>'Grid_Stock'!CB68</f>
        <v/>
      </c>
      <c r="CK73" s="15">
        <f>'Grid_Stock'!CC68</f>
        <v/>
      </c>
      <c r="CL73" s="15">
        <f>'Grid_Stock'!CD68</f>
        <v/>
      </c>
      <c r="CM73" s="15">
        <f>'Grid_Stock'!CE68</f>
        <v/>
      </c>
      <c r="CN73" s="15">
        <f>'Grid_Stock'!CF68</f>
        <v/>
      </c>
      <c r="CO73" s="15">
        <f>'Grid_Stock'!CG68</f>
        <v/>
      </c>
      <c r="CP73" s="15">
        <f>'Grid_Stock'!CH68</f>
        <v/>
      </c>
      <c r="CQ73" s="15">
        <f>'Grid_Stock'!CI68</f>
        <v/>
      </c>
      <c r="CR73" s="15">
        <f>'Grid_Stock'!CJ68</f>
        <v/>
      </c>
      <c r="CS73" s="15">
        <f>'Grid_Stock'!CK68</f>
        <v/>
      </c>
      <c r="CT73" s="15">
        <f>'Grid_Stock'!CL68</f>
        <v/>
      </c>
      <c r="CU73" s="15">
        <f>'Grid_Stock'!CM68</f>
        <v/>
      </c>
      <c r="CV73" s="15">
        <f>'Grid_Stock'!CN68</f>
        <v/>
      </c>
      <c r="CW73" s="15">
        <f>'Grid_Stock'!CO68</f>
        <v/>
      </c>
      <c r="CX73" s="15">
        <f>'Grid_Stock'!CP68</f>
        <v/>
      </c>
      <c r="CY73" s="15">
        <f>'Grid_Stock'!CQ68</f>
        <v/>
      </c>
      <c r="CZ73" s="15">
        <f>'Grid_Stock'!CR68</f>
        <v/>
      </c>
      <c r="DA73" s="15">
        <f>'Grid_Stock'!CS68</f>
        <v/>
      </c>
      <c r="DB73" s="15">
        <f>'Grid_Stock'!CT68</f>
        <v/>
      </c>
      <c r="DC73" s="15">
        <f>'Grid_Stock'!CU68</f>
        <v/>
      </c>
      <c r="DD73" s="15">
        <f>'Grid_Stock'!CV68</f>
        <v/>
      </c>
      <c r="DE73" s="15">
        <f>'Grid_Stock'!CW68</f>
        <v/>
      </c>
      <c r="DF73" s="15">
        <f>'Grid_Stock'!CX68</f>
        <v/>
      </c>
      <c r="DG73" s="15">
        <f>'Grid_Stock'!CY68</f>
        <v/>
      </c>
      <c r="DH73" s="15">
        <f>'Grid_Stock'!CZ68</f>
        <v/>
      </c>
      <c r="DI73" s="15">
        <f>'Grid_Stock'!DA68</f>
        <v/>
      </c>
    </row>
    <row r="74">
      <c r="A74" s="17" t="inlineStr">
        <is>
          <t>CHEM-1740</t>
        </is>
      </c>
      <c r="B74" s="17">
        <f>IFERROR(INDEX(M_RawMaterials[Description],MATCH($A74,M_RawMaterials[RM_Code],0)),"")</f>
        <v/>
      </c>
      <c r="C74" s="17">
        <f>IFERROR(INDEX(M_RawMaterials[Category],MATCH($A74,M_RawMaterials[RM_Code],0)),"")</f>
        <v/>
      </c>
      <c r="D74" s="17">
        <f>IFERROR(INDEX(M_RawMaterials[基準在庫下限_要入力],MATCH($A74,M_RawMaterials[RM_Code],0)),0)</f>
        <v/>
      </c>
      <c r="E74" s="17">
        <f>IFERROR(INDEX(M_RawMaterials[基準在庫上限_要入力],MATCH($A74,M_RawMaterials[RM_Code],0)),0)</f>
        <v/>
      </c>
      <c r="F74" s="17">
        <f>IFERROR(LOOKUP(2,1/(T_SelfStock!$A$2:$A$12000=$A74),T_SelfStock!$D$2:$D$12000),"")</f>
        <v/>
      </c>
      <c r="G74" s="17">
        <f>IFERROR(LOOKUP(2,1/(T_TTAFStock!$A$2:$A$12000=$A74),T_TTAFStock!$D$2:$D$12000),"")</f>
        <v/>
      </c>
      <c r="H74" s="17">
        <f>IFERROR(INDEX(Cal_Weeks[Label],LOOKUP(2,1/(T_SelfStock!$A$2:$A$12000=$A74),T_SelfStock!$C$2:$C$12000)),"")</f>
        <v/>
      </c>
      <c r="I74" s="16">
        <f>IFERROR(INDEX(J74:DI74,$F$1),"")</f>
        <v/>
      </c>
      <c r="J74" s="17">
        <f>'Grid_Stock'!B69</f>
        <v/>
      </c>
      <c r="K74" s="17">
        <f>'Grid_Stock'!C69</f>
        <v/>
      </c>
      <c r="L74" s="17">
        <f>'Grid_Stock'!D69</f>
        <v/>
      </c>
      <c r="M74" s="17">
        <f>'Grid_Stock'!E69</f>
        <v/>
      </c>
      <c r="N74" s="17">
        <f>'Grid_Stock'!F69</f>
        <v/>
      </c>
      <c r="O74" s="17">
        <f>'Grid_Stock'!G69</f>
        <v/>
      </c>
      <c r="P74" s="17">
        <f>'Grid_Stock'!H69</f>
        <v/>
      </c>
      <c r="Q74" s="17">
        <f>'Grid_Stock'!I69</f>
        <v/>
      </c>
      <c r="R74" s="17">
        <f>'Grid_Stock'!J69</f>
        <v/>
      </c>
      <c r="S74" s="17">
        <f>'Grid_Stock'!K69</f>
        <v/>
      </c>
      <c r="T74" s="17">
        <f>'Grid_Stock'!L69</f>
        <v/>
      </c>
      <c r="U74" s="17">
        <f>'Grid_Stock'!M69</f>
        <v/>
      </c>
      <c r="V74" s="17">
        <f>'Grid_Stock'!N69</f>
        <v/>
      </c>
      <c r="W74" s="17">
        <f>'Grid_Stock'!O69</f>
        <v/>
      </c>
      <c r="X74" s="17">
        <f>'Grid_Stock'!P69</f>
        <v/>
      </c>
      <c r="Y74" s="17">
        <f>'Grid_Stock'!Q69</f>
        <v/>
      </c>
      <c r="Z74" s="17">
        <f>'Grid_Stock'!R69</f>
        <v/>
      </c>
      <c r="AA74" s="17">
        <f>'Grid_Stock'!S69</f>
        <v/>
      </c>
      <c r="AB74" s="17">
        <f>'Grid_Stock'!T69</f>
        <v/>
      </c>
      <c r="AC74" s="17">
        <f>'Grid_Stock'!U69</f>
        <v/>
      </c>
      <c r="AD74" s="17">
        <f>'Grid_Stock'!V69</f>
        <v/>
      </c>
      <c r="AE74" s="17">
        <f>'Grid_Stock'!W69</f>
        <v/>
      </c>
      <c r="AF74" s="17">
        <f>'Grid_Stock'!X69</f>
        <v/>
      </c>
      <c r="AG74" s="17">
        <f>'Grid_Stock'!Y69</f>
        <v/>
      </c>
      <c r="AH74" s="17">
        <f>'Grid_Stock'!Z69</f>
        <v/>
      </c>
      <c r="AI74" s="17">
        <f>'Grid_Stock'!AA69</f>
        <v/>
      </c>
      <c r="AJ74" s="17">
        <f>'Grid_Stock'!AB69</f>
        <v/>
      </c>
      <c r="AK74" s="17">
        <f>'Grid_Stock'!AC69</f>
        <v/>
      </c>
      <c r="AL74" s="17">
        <f>'Grid_Stock'!AD69</f>
        <v/>
      </c>
      <c r="AM74" s="17">
        <f>'Grid_Stock'!AE69</f>
        <v/>
      </c>
      <c r="AN74" s="17">
        <f>'Grid_Stock'!AF69</f>
        <v/>
      </c>
      <c r="AO74" s="17">
        <f>'Grid_Stock'!AG69</f>
        <v/>
      </c>
      <c r="AP74" s="17">
        <f>'Grid_Stock'!AH69</f>
        <v/>
      </c>
      <c r="AQ74" s="17">
        <f>'Grid_Stock'!AI69</f>
        <v/>
      </c>
      <c r="AR74" s="17">
        <f>'Grid_Stock'!AJ69</f>
        <v/>
      </c>
      <c r="AS74" s="17">
        <f>'Grid_Stock'!AK69</f>
        <v/>
      </c>
      <c r="AT74" s="17">
        <f>'Grid_Stock'!AL69</f>
        <v/>
      </c>
      <c r="AU74" s="17">
        <f>'Grid_Stock'!AM69</f>
        <v/>
      </c>
      <c r="AV74" s="17">
        <f>'Grid_Stock'!AN69</f>
        <v/>
      </c>
      <c r="AW74" s="17">
        <f>'Grid_Stock'!AO69</f>
        <v/>
      </c>
      <c r="AX74" s="17">
        <f>'Grid_Stock'!AP69</f>
        <v/>
      </c>
      <c r="AY74" s="17">
        <f>'Grid_Stock'!AQ69</f>
        <v/>
      </c>
      <c r="AZ74" s="17">
        <f>'Grid_Stock'!AR69</f>
        <v/>
      </c>
      <c r="BA74" s="17">
        <f>'Grid_Stock'!AS69</f>
        <v/>
      </c>
      <c r="BB74" s="17">
        <f>'Grid_Stock'!AT69</f>
        <v/>
      </c>
      <c r="BC74" s="17">
        <f>'Grid_Stock'!AU69</f>
        <v/>
      </c>
      <c r="BD74" s="17">
        <f>'Grid_Stock'!AV69</f>
        <v/>
      </c>
      <c r="BE74" s="17">
        <f>'Grid_Stock'!AW69</f>
        <v/>
      </c>
      <c r="BF74" s="17">
        <f>'Grid_Stock'!AX69</f>
        <v/>
      </c>
      <c r="BG74" s="17">
        <f>'Grid_Stock'!AY69</f>
        <v/>
      </c>
      <c r="BH74" s="17">
        <f>'Grid_Stock'!AZ69</f>
        <v/>
      </c>
      <c r="BI74" s="17">
        <f>'Grid_Stock'!BA69</f>
        <v/>
      </c>
      <c r="BJ74" s="17">
        <f>'Grid_Stock'!BB69</f>
        <v/>
      </c>
      <c r="BK74" s="17">
        <f>'Grid_Stock'!BC69</f>
        <v/>
      </c>
      <c r="BL74" s="17">
        <f>'Grid_Stock'!BD69</f>
        <v/>
      </c>
      <c r="BM74" s="17">
        <f>'Grid_Stock'!BE69</f>
        <v/>
      </c>
      <c r="BN74" s="17">
        <f>'Grid_Stock'!BF69</f>
        <v/>
      </c>
      <c r="BO74" s="17">
        <f>'Grid_Stock'!BG69</f>
        <v/>
      </c>
      <c r="BP74" s="17">
        <f>'Grid_Stock'!BH69</f>
        <v/>
      </c>
      <c r="BQ74" s="17">
        <f>'Grid_Stock'!BI69</f>
        <v/>
      </c>
      <c r="BR74" s="17">
        <f>'Grid_Stock'!BJ69</f>
        <v/>
      </c>
      <c r="BS74" s="17">
        <f>'Grid_Stock'!BK69</f>
        <v/>
      </c>
      <c r="BT74" s="17">
        <f>'Grid_Stock'!BL69</f>
        <v/>
      </c>
      <c r="BU74" s="17">
        <f>'Grid_Stock'!BM69</f>
        <v/>
      </c>
      <c r="BV74" s="17">
        <f>'Grid_Stock'!BN69</f>
        <v/>
      </c>
      <c r="BW74" s="17">
        <f>'Grid_Stock'!BO69</f>
        <v/>
      </c>
      <c r="BX74" s="17">
        <f>'Grid_Stock'!BP69</f>
        <v/>
      </c>
      <c r="BY74" s="17">
        <f>'Grid_Stock'!BQ69</f>
        <v/>
      </c>
      <c r="BZ74" s="17">
        <f>'Grid_Stock'!BR69</f>
        <v/>
      </c>
      <c r="CA74" s="17">
        <f>'Grid_Stock'!BS69</f>
        <v/>
      </c>
      <c r="CB74" s="17">
        <f>'Grid_Stock'!BT69</f>
        <v/>
      </c>
      <c r="CC74" s="17">
        <f>'Grid_Stock'!BU69</f>
        <v/>
      </c>
      <c r="CD74" s="17">
        <f>'Grid_Stock'!BV69</f>
        <v/>
      </c>
      <c r="CE74" s="17">
        <f>'Grid_Stock'!BW69</f>
        <v/>
      </c>
      <c r="CF74" s="17">
        <f>'Grid_Stock'!BX69</f>
        <v/>
      </c>
      <c r="CG74" s="17">
        <f>'Grid_Stock'!BY69</f>
        <v/>
      </c>
      <c r="CH74" s="17">
        <f>'Grid_Stock'!BZ69</f>
        <v/>
      </c>
      <c r="CI74" s="17">
        <f>'Grid_Stock'!CA69</f>
        <v/>
      </c>
      <c r="CJ74" s="17">
        <f>'Grid_Stock'!CB69</f>
        <v/>
      </c>
      <c r="CK74" s="17">
        <f>'Grid_Stock'!CC69</f>
        <v/>
      </c>
      <c r="CL74" s="17">
        <f>'Grid_Stock'!CD69</f>
        <v/>
      </c>
      <c r="CM74" s="17">
        <f>'Grid_Stock'!CE69</f>
        <v/>
      </c>
      <c r="CN74" s="17">
        <f>'Grid_Stock'!CF69</f>
        <v/>
      </c>
      <c r="CO74" s="17">
        <f>'Grid_Stock'!CG69</f>
        <v/>
      </c>
      <c r="CP74" s="17">
        <f>'Grid_Stock'!CH69</f>
        <v/>
      </c>
      <c r="CQ74" s="17">
        <f>'Grid_Stock'!CI69</f>
        <v/>
      </c>
      <c r="CR74" s="17">
        <f>'Grid_Stock'!CJ69</f>
        <v/>
      </c>
      <c r="CS74" s="17">
        <f>'Grid_Stock'!CK69</f>
        <v/>
      </c>
      <c r="CT74" s="17">
        <f>'Grid_Stock'!CL69</f>
        <v/>
      </c>
      <c r="CU74" s="17">
        <f>'Grid_Stock'!CM69</f>
        <v/>
      </c>
      <c r="CV74" s="17">
        <f>'Grid_Stock'!CN69</f>
        <v/>
      </c>
      <c r="CW74" s="17">
        <f>'Grid_Stock'!CO69</f>
        <v/>
      </c>
      <c r="CX74" s="17">
        <f>'Grid_Stock'!CP69</f>
        <v/>
      </c>
      <c r="CY74" s="17">
        <f>'Grid_Stock'!CQ69</f>
        <v/>
      </c>
      <c r="CZ74" s="17">
        <f>'Grid_Stock'!CR69</f>
        <v/>
      </c>
      <c r="DA74" s="17">
        <f>'Grid_Stock'!CS69</f>
        <v/>
      </c>
      <c r="DB74" s="17">
        <f>'Grid_Stock'!CT69</f>
        <v/>
      </c>
      <c r="DC74" s="17">
        <f>'Grid_Stock'!CU69</f>
        <v/>
      </c>
      <c r="DD74" s="17">
        <f>'Grid_Stock'!CV69</f>
        <v/>
      </c>
      <c r="DE74" s="17">
        <f>'Grid_Stock'!CW69</f>
        <v/>
      </c>
      <c r="DF74" s="17">
        <f>'Grid_Stock'!CX69</f>
        <v/>
      </c>
      <c r="DG74" s="17">
        <f>'Grid_Stock'!CY69</f>
        <v/>
      </c>
      <c r="DH74" s="17">
        <f>'Grid_Stock'!CZ69</f>
        <v/>
      </c>
      <c r="DI74" s="17">
        <f>'Grid_Stock'!DA69</f>
        <v/>
      </c>
    </row>
    <row r="75">
      <c r="A75" s="15" t="inlineStr">
        <is>
          <t>CHEM-1750</t>
        </is>
      </c>
      <c r="B75" s="15">
        <f>IFERROR(INDEX(M_RawMaterials[Description],MATCH($A75,M_RawMaterials[RM_Code],0)),"")</f>
        <v/>
      </c>
      <c r="C75" s="15">
        <f>IFERROR(INDEX(M_RawMaterials[Category],MATCH($A75,M_RawMaterials[RM_Code],0)),"")</f>
        <v/>
      </c>
      <c r="D75" s="15">
        <f>IFERROR(INDEX(M_RawMaterials[基準在庫下限_要入力],MATCH($A75,M_RawMaterials[RM_Code],0)),0)</f>
        <v/>
      </c>
      <c r="E75" s="15">
        <f>IFERROR(INDEX(M_RawMaterials[基準在庫上限_要入力],MATCH($A75,M_RawMaterials[RM_Code],0)),0)</f>
        <v/>
      </c>
      <c r="F75" s="15">
        <f>IFERROR(LOOKUP(2,1/(T_SelfStock!$A$2:$A$12000=$A75),T_SelfStock!$D$2:$D$12000),"")</f>
        <v/>
      </c>
      <c r="G75" s="15">
        <f>IFERROR(LOOKUP(2,1/(T_TTAFStock!$A$2:$A$12000=$A75),T_TTAFStock!$D$2:$D$12000),"")</f>
        <v/>
      </c>
      <c r="H75" s="15">
        <f>IFERROR(INDEX(Cal_Weeks[Label],LOOKUP(2,1/(T_SelfStock!$A$2:$A$12000=$A75),T_SelfStock!$C$2:$C$12000)),"")</f>
        <v/>
      </c>
      <c r="I75" s="16">
        <f>IFERROR(INDEX(J75:DI75,$F$1),"")</f>
        <v/>
      </c>
      <c r="J75" s="15">
        <f>'Grid_Stock'!B70</f>
        <v/>
      </c>
      <c r="K75" s="15">
        <f>'Grid_Stock'!C70</f>
        <v/>
      </c>
      <c r="L75" s="15">
        <f>'Grid_Stock'!D70</f>
        <v/>
      </c>
      <c r="M75" s="15">
        <f>'Grid_Stock'!E70</f>
        <v/>
      </c>
      <c r="N75" s="15">
        <f>'Grid_Stock'!F70</f>
        <v/>
      </c>
      <c r="O75" s="15">
        <f>'Grid_Stock'!G70</f>
        <v/>
      </c>
      <c r="P75" s="15">
        <f>'Grid_Stock'!H70</f>
        <v/>
      </c>
      <c r="Q75" s="15">
        <f>'Grid_Stock'!I70</f>
        <v/>
      </c>
      <c r="R75" s="15">
        <f>'Grid_Stock'!J70</f>
        <v/>
      </c>
      <c r="S75" s="15">
        <f>'Grid_Stock'!K70</f>
        <v/>
      </c>
      <c r="T75" s="15">
        <f>'Grid_Stock'!L70</f>
        <v/>
      </c>
      <c r="U75" s="15">
        <f>'Grid_Stock'!M70</f>
        <v/>
      </c>
      <c r="V75" s="15">
        <f>'Grid_Stock'!N70</f>
        <v/>
      </c>
      <c r="W75" s="15">
        <f>'Grid_Stock'!O70</f>
        <v/>
      </c>
      <c r="X75" s="15">
        <f>'Grid_Stock'!P70</f>
        <v/>
      </c>
      <c r="Y75" s="15">
        <f>'Grid_Stock'!Q70</f>
        <v/>
      </c>
      <c r="Z75" s="15">
        <f>'Grid_Stock'!R70</f>
        <v/>
      </c>
      <c r="AA75" s="15">
        <f>'Grid_Stock'!S70</f>
        <v/>
      </c>
      <c r="AB75" s="15">
        <f>'Grid_Stock'!T70</f>
        <v/>
      </c>
      <c r="AC75" s="15">
        <f>'Grid_Stock'!U70</f>
        <v/>
      </c>
      <c r="AD75" s="15">
        <f>'Grid_Stock'!V70</f>
        <v/>
      </c>
      <c r="AE75" s="15">
        <f>'Grid_Stock'!W70</f>
        <v/>
      </c>
      <c r="AF75" s="15">
        <f>'Grid_Stock'!X70</f>
        <v/>
      </c>
      <c r="AG75" s="15">
        <f>'Grid_Stock'!Y70</f>
        <v/>
      </c>
      <c r="AH75" s="15">
        <f>'Grid_Stock'!Z70</f>
        <v/>
      </c>
      <c r="AI75" s="15">
        <f>'Grid_Stock'!AA70</f>
        <v/>
      </c>
      <c r="AJ75" s="15">
        <f>'Grid_Stock'!AB70</f>
        <v/>
      </c>
      <c r="AK75" s="15">
        <f>'Grid_Stock'!AC70</f>
        <v/>
      </c>
      <c r="AL75" s="15">
        <f>'Grid_Stock'!AD70</f>
        <v/>
      </c>
      <c r="AM75" s="15">
        <f>'Grid_Stock'!AE70</f>
        <v/>
      </c>
      <c r="AN75" s="15">
        <f>'Grid_Stock'!AF70</f>
        <v/>
      </c>
      <c r="AO75" s="15">
        <f>'Grid_Stock'!AG70</f>
        <v/>
      </c>
      <c r="AP75" s="15">
        <f>'Grid_Stock'!AH70</f>
        <v/>
      </c>
      <c r="AQ75" s="15">
        <f>'Grid_Stock'!AI70</f>
        <v/>
      </c>
      <c r="AR75" s="15">
        <f>'Grid_Stock'!AJ70</f>
        <v/>
      </c>
      <c r="AS75" s="15">
        <f>'Grid_Stock'!AK70</f>
        <v/>
      </c>
      <c r="AT75" s="15">
        <f>'Grid_Stock'!AL70</f>
        <v/>
      </c>
      <c r="AU75" s="15">
        <f>'Grid_Stock'!AM70</f>
        <v/>
      </c>
      <c r="AV75" s="15">
        <f>'Grid_Stock'!AN70</f>
        <v/>
      </c>
      <c r="AW75" s="15">
        <f>'Grid_Stock'!AO70</f>
        <v/>
      </c>
      <c r="AX75" s="15">
        <f>'Grid_Stock'!AP70</f>
        <v/>
      </c>
      <c r="AY75" s="15">
        <f>'Grid_Stock'!AQ70</f>
        <v/>
      </c>
      <c r="AZ75" s="15">
        <f>'Grid_Stock'!AR70</f>
        <v/>
      </c>
      <c r="BA75" s="15">
        <f>'Grid_Stock'!AS70</f>
        <v/>
      </c>
      <c r="BB75" s="15">
        <f>'Grid_Stock'!AT70</f>
        <v/>
      </c>
      <c r="BC75" s="15">
        <f>'Grid_Stock'!AU70</f>
        <v/>
      </c>
      <c r="BD75" s="15">
        <f>'Grid_Stock'!AV70</f>
        <v/>
      </c>
      <c r="BE75" s="15">
        <f>'Grid_Stock'!AW70</f>
        <v/>
      </c>
      <c r="BF75" s="15">
        <f>'Grid_Stock'!AX70</f>
        <v/>
      </c>
      <c r="BG75" s="15">
        <f>'Grid_Stock'!AY70</f>
        <v/>
      </c>
      <c r="BH75" s="15">
        <f>'Grid_Stock'!AZ70</f>
        <v/>
      </c>
      <c r="BI75" s="15">
        <f>'Grid_Stock'!BA70</f>
        <v/>
      </c>
      <c r="BJ75" s="15">
        <f>'Grid_Stock'!BB70</f>
        <v/>
      </c>
      <c r="BK75" s="15">
        <f>'Grid_Stock'!BC70</f>
        <v/>
      </c>
      <c r="BL75" s="15">
        <f>'Grid_Stock'!BD70</f>
        <v/>
      </c>
      <c r="BM75" s="15">
        <f>'Grid_Stock'!BE70</f>
        <v/>
      </c>
      <c r="BN75" s="15">
        <f>'Grid_Stock'!BF70</f>
        <v/>
      </c>
      <c r="BO75" s="15">
        <f>'Grid_Stock'!BG70</f>
        <v/>
      </c>
      <c r="BP75" s="15">
        <f>'Grid_Stock'!BH70</f>
        <v/>
      </c>
      <c r="BQ75" s="15">
        <f>'Grid_Stock'!BI70</f>
        <v/>
      </c>
      <c r="BR75" s="15">
        <f>'Grid_Stock'!BJ70</f>
        <v/>
      </c>
      <c r="BS75" s="15">
        <f>'Grid_Stock'!BK70</f>
        <v/>
      </c>
      <c r="BT75" s="15">
        <f>'Grid_Stock'!BL70</f>
        <v/>
      </c>
      <c r="BU75" s="15">
        <f>'Grid_Stock'!BM70</f>
        <v/>
      </c>
      <c r="BV75" s="15">
        <f>'Grid_Stock'!BN70</f>
        <v/>
      </c>
      <c r="BW75" s="15">
        <f>'Grid_Stock'!BO70</f>
        <v/>
      </c>
      <c r="BX75" s="15">
        <f>'Grid_Stock'!BP70</f>
        <v/>
      </c>
      <c r="BY75" s="15">
        <f>'Grid_Stock'!BQ70</f>
        <v/>
      </c>
      <c r="BZ75" s="15">
        <f>'Grid_Stock'!BR70</f>
        <v/>
      </c>
      <c r="CA75" s="15">
        <f>'Grid_Stock'!BS70</f>
        <v/>
      </c>
      <c r="CB75" s="15">
        <f>'Grid_Stock'!BT70</f>
        <v/>
      </c>
      <c r="CC75" s="15">
        <f>'Grid_Stock'!BU70</f>
        <v/>
      </c>
      <c r="CD75" s="15">
        <f>'Grid_Stock'!BV70</f>
        <v/>
      </c>
      <c r="CE75" s="15">
        <f>'Grid_Stock'!BW70</f>
        <v/>
      </c>
      <c r="CF75" s="15">
        <f>'Grid_Stock'!BX70</f>
        <v/>
      </c>
      <c r="CG75" s="15">
        <f>'Grid_Stock'!BY70</f>
        <v/>
      </c>
      <c r="CH75" s="15">
        <f>'Grid_Stock'!BZ70</f>
        <v/>
      </c>
      <c r="CI75" s="15">
        <f>'Grid_Stock'!CA70</f>
        <v/>
      </c>
      <c r="CJ75" s="15">
        <f>'Grid_Stock'!CB70</f>
        <v/>
      </c>
      <c r="CK75" s="15">
        <f>'Grid_Stock'!CC70</f>
        <v/>
      </c>
      <c r="CL75" s="15">
        <f>'Grid_Stock'!CD70</f>
        <v/>
      </c>
      <c r="CM75" s="15">
        <f>'Grid_Stock'!CE70</f>
        <v/>
      </c>
      <c r="CN75" s="15">
        <f>'Grid_Stock'!CF70</f>
        <v/>
      </c>
      <c r="CO75" s="15">
        <f>'Grid_Stock'!CG70</f>
        <v/>
      </c>
      <c r="CP75" s="15">
        <f>'Grid_Stock'!CH70</f>
        <v/>
      </c>
      <c r="CQ75" s="15">
        <f>'Grid_Stock'!CI70</f>
        <v/>
      </c>
      <c r="CR75" s="15">
        <f>'Grid_Stock'!CJ70</f>
        <v/>
      </c>
      <c r="CS75" s="15">
        <f>'Grid_Stock'!CK70</f>
        <v/>
      </c>
      <c r="CT75" s="15">
        <f>'Grid_Stock'!CL70</f>
        <v/>
      </c>
      <c r="CU75" s="15">
        <f>'Grid_Stock'!CM70</f>
        <v/>
      </c>
      <c r="CV75" s="15">
        <f>'Grid_Stock'!CN70</f>
        <v/>
      </c>
      <c r="CW75" s="15">
        <f>'Grid_Stock'!CO70</f>
        <v/>
      </c>
      <c r="CX75" s="15">
        <f>'Grid_Stock'!CP70</f>
        <v/>
      </c>
      <c r="CY75" s="15">
        <f>'Grid_Stock'!CQ70</f>
        <v/>
      </c>
      <c r="CZ75" s="15">
        <f>'Grid_Stock'!CR70</f>
        <v/>
      </c>
      <c r="DA75" s="15">
        <f>'Grid_Stock'!CS70</f>
        <v/>
      </c>
      <c r="DB75" s="15">
        <f>'Grid_Stock'!CT70</f>
        <v/>
      </c>
      <c r="DC75" s="15">
        <f>'Grid_Stock'!CU70</f>
        <v/>
      </c>
      <c r="DD75" s="15">
        <f>'Grid_Stock'!CV70</f>
        <v/>
      </c>
      <c r="DE75" s="15">
        <f>'Grid_Stock'!CW70</f>
        <v/>
      </c>
      <c r="DF75" s="15">
        <f>'Grid_Stock'!CX70</f>
        <v/>
      </c>
      <c r="DG75" s="15">
        <f>'Grid_Stock'!CY70</f>
        <v/>
      </c>
      <c r="DH75" s="15">
        <f>'Grid_Stock'!CZ70</f>
        <v/>
      </c>
      <c r="DI75" s="15">
        <f>'Grid_Stock'!DA70</f>
        <v/>
      </c>
    </row>
    <row r="76">
      <c r="A76" s="17" t="inlineStr">
        <is>
          <t>848530</t>
        </is>
      </c>
      <c r="B76" s="17">
        <f>IFERROR(INDEX(M_RawMaterials[Description],MATCH($A76,M_RawMaterials[RM_Code],0)),"")</f>
        <v/>
      </c>
      <c r="C76" s="17">
        <f>IFERROR(INDEX(M_RawMaterials[Category],MATCH($A76,M_RawMaterials[RM_Code],0)),"")</f>
        <v/>
      </c>
      <c r="D76" s="17">
        <f>IFERROR(INDEX(M_RawMaterials[基準在庫下限_要入力],MATCH($A76,M_RawMaterials[RM_Code],0)),0)</f>
        <v/>
      </c>
      <c r="E76" s="17">
        <f>IFERROR(INDEX(M_RawMaterials[基準在庫上限_要入力],MATCH($A76,M_RawMaterials[RM_Code],0)),0)</f>
        <v/>
      </c>
      <c r="F76" s="17">
        <f>IFERROR(LOOKUP(2,1/(T_SelfStock!$A$2:$A$12000=$A76),T_SelfStock!$D$2:$D$12000),"")</f>
        <v/>
      </c>
      <c r="G76" s="17">
        <f>IFERROR(LOOKUP(2,1/(T_TTAFStock!$A$2:$A$12000=$A76),T_TTAFStock!$D$2:$D$12000),"")</f>
        <v/>
      </c>
      <c r="H76" s="17">
        <f>IFERROR(INDEX(Cal_Weeks[Label],LOOKUP(2,1/(T_SelfStock!$A$2:$A$12000=$A76),T_SelfStock!$C$2:$C$12000)),"")</f>
        <v/>
      </c>
      <c r="I76" s="16">
        <f>IFERROR(INDEX(J76:DI76,$F$1),"")</f>
        <v/>
      </c>
      <c r="J76" s="17">
        <f>'Grid_Stock'!B71</f>
        <v/>
      </c>
      <c r="K76" s="17">
        <f>'Grid_Stock'!C71</f>
        <v/>
      </c>
      <c r="L76" s="17">
        <f>'Grid_Stock'!D71</f>
        <v/>
      </c>
      <c r="M76" s="17">
        <f>'Grid_Stock'!E71</f>
        <v/>
      </c>
      <c r="N76" s="17">
        <f>'Grid_Stock'!F71</f>
        <v/>
      </c>
      <c r="O76" s="17">
        <f>'Grid_Stock'!G71</f>
        <v/>
      </c>
      <c r="P76" s="17">
        <f>'Grid_Stock'!H71</f>
        <v/>
      </c>
      <c r="Q76" s="17">
        <f>'Grid_Stock'!I71</f>
        <v/>
      </c>
      <c r="R76" s="17">
        <f>'Grid_Stock'!J71</f>
        <v/>
      </c>
      <c r="S76" s="17">
        <f>'Grid_Stock'!K71</f>
        <v/>
      </c>
      <c r="T76" s="17">
        <f>'Grid_Stock'!L71</f>
        <v/>
      </c>
      <c r="U76" s="17">
        <f>'Grid_Stock'!M71</f>
        <v/>
      </c>
      <c r="V76" s="17">
        <f>'Grid_Stock'!N71</f>
        <v/>
      </c>
      <c r="W76" s="17">
        <f>'Grid_Stock'!O71</f>
        <v/>
      </c>
      <c r="X76" s="17">
        <f>'Grid_Stock'!P71</f>
        <v/>
      </c>
      <c r="Y76" s="17">
        <f>'Grid_Stock'!Q71</f>
        <v/>
      </c>
      <c r="Z76" s="17">
        <f>'Grid_Stock'!R71</f>
        <v/>
      </c>
      <c r="AA76" s="17">
        <f>'Grid_Stock'!S71</f>
        <v/>
      </c>
      <c r="AB76" s="17">
        <f>'Grid_Stock'!T71</f>
        <v/>
      </c>
      <c r="AC76" s="17">
        <f>'Grid_Stock'!U71</f>
        <v/>
      </c>
      <c r="AD76" s="17">
        <f>'Grid_Stock'!V71</f>
        <v/>
      </c>
      <c r="AE76" s="17">
        <f>'Grid_Stock'!W71</f>
        <v/>
      </c>
      <c r="AF76" s="17">
        <f>'Grid_Stock'!X71</f>
        <v/>
      </c>
      <c r="AG76" s="17">
        <f>'Grid_Stock'!Y71</f>
        <v/>
      </c>
      <c r="AH76" s="17">
        <f>'Grid_Stock'!Z71</f>
        <v/>
      </c>
      <c r="AI76" s="17">
        <f>'Grid_Stock'!AA71</f>
        <v/>
      </c>
      <c r="AJ76" s="17">
        <f>'Grid_Stock'!AB71</f>
        <v/>
      </c>
      <c r="AK76" s="17">
        <f>'Grid_Stock'!AC71</f>
        <v/>
      </c>
      <c r="AL76" s="17">
        <f>'Grid_Stock'!AD71</f>
        <v/>
      </c>
      <c r="AM76" s="17">
        <f>'Grid_Stock'!AE71</f>
        <v/>
      </c>
      <c r="AN76" s="17">
        <f>'Grid_Stock'!AF71</f>
        <v/>
      </c>
      <c r="AO76" s="17">
        <f>'Grid_Stock'!AG71</f>
        <v/>
      </c>
      <c r="AP76" s="17">
        <f>'Grid_Stock'!AH71</f>
        <v/>
      </c>
      <c r="AQ76" s="17">
        <f>'Grid_Stock'!AI71</f>
        <v/>
      </c>
      <c r="AR76" s="17">
        <f>'Grid_Stock'!AJ71</f>
        <v/>
      </c>
      <c r="AS76" s="17">
        <f>'Grid_Stock'!AK71</f>
        <v/>
      </c>
      <c r="AT76" s="17">
        <f>'Grid_Stock'!AL71</f>
        <v/>
      </c>
      <c r="AU76" s="17">
        <f>'Grid_Stock'!AM71</f>
        <v/>
      </c>
      <c r="AV76" s="17">
        <f>'Grid_Stock'!AN71</f>
        <v/>
      </c>
      <c r="AW76" s="17">
        <f>'Grid_Stock'!AO71</f>
        <v/>
      </c>
      <c r="AX76" s="17">
        <f>'Grid_Stock'!AP71</f>
        <v/>
      </c>
      <c r="AY76" s="17">
        <f>'Grid_Stock'!AQ71</f>
        <v/>
      </c>
      <c r="AZ76" s="17">
        <f>'Grid_Stock'!AR71</f>
        <v/>
      </c>
      <c r="BA76" s="17">
        <f>'Grid_Stock'!AS71</f>
        <v/>
      </c>
      <c r="BB76" s="17">
        <f>'Grid_Stock'!AT71</f>
        <v/>
      </c>
      <c r="BC76" s="17">
        <f>'Grid_Stock'!AU71</f>
        <v/>
      </c>
      <c r="BD76" s="17">
        <f>'Grid_Stock'!AV71</f>
        <v/>
      </c>
      <c r="BE76" s="17">
        <f>'Grid_Stock'!AW71</f>
        <v/>
      </c>
      <c r="BF76" s="17">
        <f>'Grid_Stock'!AX71</f>
        <v/>
      </c>
      <c r="BG76" s="17">
        <f>'Grid_Stock'!AY71</f>
        <v/>
      </c>
      <c r="BH76" s="17">
        <f>'Grid_Stock'!AZ71</f>
        <v/>
      </c>
      <c r="BI76" s="17">
        <f>'Grid_Stock'!BA71</f>
        <v/>
      </c>
      <c r="BJ76" s="17">
        <f>'Grid_Stock'!BB71</f>
        <v/>
      </c>
      <c r="BK76" s="17">
        <f>'Grid_Stock'!BC71</f>
        <v/>
      </c>
      <c r="BL76" s="17">
        <f>'Grid_Stock'!BD71</f>
        <v/>
      </c>
      <c r="BM76" s="17">
        <f>'Grid_Stock'!BE71</f>
        <v/>
      </c>
      <c r="BN76" s="17">
        <f>'Grid_Stock'!BF71</f>
        <v/>
      </c>
      <c r="BO76" s="17">
        <f>'Grid_Stock'!BG71</f>
        <v/>
      </c>
      <c r="BP76" s="17">
        <f>'Grid_Stock'!BH71</f>
        <v/>
      </c>
      <c r="BQ76" s="17">
        <f>'Grid_Stock'!BI71</f>
        <v/>
      </c>
      <c r="BR76" s="17">
        <f>'Grid_Stock'!BJ71</f>
        <v/>
      </c>
      <c r="BS76" s="17">
        <f>'Grid_Stock'!BK71</f>
        <v/>
      </c>
      <c r="BT76" s="17">
        <f>'Grid_Stock'!BL71</f>
        <v/>
      </c>
      <c r="BU76" s="17">
        <f>'Grid_Stock'!BM71</f>
        <v/>
      </c>
      <c r="BV76" s="17">
        <f>'Grid_Stock'!BN71</f>
        <v/>
      </c>
      <c r="BW76" s="17">
        <f>'Grid_Stock'!BO71</f>
        <v/>
      </c>
      <c r="BX76" s="17">
        <f>'Grid_Stock'!BP71</f>
        <v/>
      </c>
      <c r="BY76" s="17">
        <f>'Grid_Stock'!BQ71</f>
        <v/>
      </c>
      <c r="BZ76" s="17">
        <f>'Grid_Stock'!BR71</f>
        <v/>
      </c>
      <c r="CA76" s="17">
        <f>'Grid_Stock'!BS71</f>
        <v/>
      </c>
      <c r="CB76" s="17">
        <f>'Grid_Stock'!BT71</f>
        <v/>
      </c>
      <c r="CC76" s="17">
        <f>'Grid_Stock'!BU71</f>
        <v/>
      </c>
      <c r="CD76" s="17">
        <f>'Grid_Stock'!BV71</f>
        <v/>
      </c>
      <c r="CE76" s="17">
        <f>'Grid_Stock'!BW71</f>
        <v/>
      </c>
      <c r="CF76" s="17">
        <f>'Grid_Stock'!BX71</f>
        <v/>
      </c>
      <c r="CG76" s="17">
        <f>'Grid_Stock'!BY71</f>
        <v/>
      </c>
      <c r="CH76" s="17">
        <f>'Grid_Stock'!BZ71</f>
        <v/>
      </c>
      <c r="CI76" s="17">
        <f>'Grid_Stock'!CA71</f>
        <v/>
      </c>
      <c r="CJ76" s="17">
        <f>'Grid_Stock'!CB71</f>
        <v/>
      </c>
      <c r="CK76" s="17">
        <f>'Grid_Stock'!CC71</f>
        <v/>
      </c>
      <c r="CL76" s="17">
        <f>'Grid_Stock'!CD71</f>
        <v/>
      </c>
      <c r="CM76" s="17">
        <f>'Grid_Stock'!CE71</f>
        <v/>
      </c>
      <c r="CN76" s="17">
        <f>'Grid_Stock'!CF71</f>
        <v/>
      </c>
      <c r="CO76" s="17">
        <f>'Grid_Stock'!CG71</f>
        <v/>
      </c>
      <c r="CP76" s="17">
        <f>'Grid_Stock'!CH71</f>
        <v/>
      </c>
      <c r="CQ76" s="17">
        <f>'Grid_Stock'!CI71</f>
        <v/>
      </c>
      <c r="CR76" s="17">
        <f>'Grid_Stock'!CJ71</f>
        <v/>
      </c>
      <c r="CS76" s="17">
        <f>'Grid_Stock'!CK71</f>
        <v/>
      </c>
      <c r="CT76" s="17">
        <f>'Grid_Stock'!CL71</f>
        <v/>
      </c>
      <c r="CU76" s="17">
        <f>'Grid_Stock'!CM71</f>
        <v/>
      </c>
      <c r="CV76" s="17">
        <f>'Grid_Stock'!CN71</f>
        <v/>
      </c>
      <c r="CW76" s="17">
        <f>'Grid_Stock'!CO71</f>
        <v/>
      </c>
      <c r="CX76" s="17">
        <f>'Grid_Stock'!CP71</f>
        <v/>
      </c>
      <c r="CY76" s="17">
        <f>'Grid_Stock'!CQ71</f>
        <v/>
      </c>
      <c r="CZ76" s="17">
        <f>'Grid_Stock'!CR71</f>
        <v/>
      </c>
      <c r="DA76" s="17">
        <f>'Grid_Stock'!CS71</f>
        <v/>
      </c>
      <c r="DB76" s="17">
        <f>'Grid_Stock'!CT71</f>
        <v/>
      </c>
      <c r="DC76" s="17">
        <f>'Grid_Stock'!CU71</f>
        <v/>
      </c>
      <c r="DD76" s="17">
        <f>'Grid_Stock'!CV71</f>
        <v/>
      </c>
      <c r="DE76" s="17">
        <f>'Grid_Stock'!CW71</f>
        <v/>
      </c>
      <c r="DF76" s="17">
        <f>'Grid_Stock'!CX71</f>
        <v/>
      </c>
      <c r="DG76" s="17">
        <f>'Grid_Stock'!CY71</f>
        <v/>
      </c>
      <c r="DH76" s="17">
        <f>'Grid_Stock'!CZ71</f>
        <v/>
      </c>
      <c r="DI76" s="17">
        <f>'Grid_Stock'!DA71</f>
        <v/>
      </c>
    </row>
    <row r="77">
      <c r="A77" s="15" t="inlineStr">
        <is>
          <t>848531</t>
        </is>
      </c>
      <c r="B77" s="15">
        <f>IFERROR(INDEX(M_RawMaterials[Description],MATCH($A77,M_RawMaterials[RM_Code],0)),"")</f>
        <v/>
      </c>
      <c r="C77" s="15">
        <f>IFERROR(INDEX(M_RawMaterials[Category],MATCH($A77,M_RawMaterials[RM_Code],0)),"")</f>
        <v/>
      </c>
      <c r="D77" s="15">
        <f>IFERROR(INDEX(M_RawMaterials[基準在庫下限_要入力],MATCH($A77,M_RawMaterials[RM_Code],0)),0)</f>
        <v/>
      </c>
      <c r="E77" s="15">
        <f>IFERROR(INDEX(M_RawMaterials[基準在庫上限_要入力],MATCH($A77,M_RawMaterials[RM_Code],0)),0)</f>
        <v/>
      </c>
      <c r="F77" s="15">
        <f>IFERROR(LOOKUP(2,1/(T_SelfStock!$A$2:$A$12000=$A77),T_SelfStock!$D$2:$D$12000),"")</f>
        <v/>
      </c>
      <c r="G77" s="15">
        <f>IFERROR(LOOKUP(2,1/(T_TTAFStock!$A$2:$A$12000=$A77),T_TTAFStock!$D$2:$D$12000),"")</f>
        <v/>
      </c>
      <c r="H77" s="15">
        <f>IFERROR(INDEX(Cal_Weeks[Label],LOOKUP(2,1/(T_SelfStock!$A$2:$A$12000=$A77),T_SelfStock!$C$2:$C$12000)),"")</f>
        <v/>
      </c>
      <c r="I77" s="16">
        <f>IFERROR(INDEX(J77:DI77,$F$1),"")</f>
        <v/>
      </c>
      <c r="J77" s="15">
        <f>'Grid_Stock'!B72</f>
        <v/>
      </c>
      <c r="K77" s="15">
        <f>'Grid_Stock'!C72</f>
        <v/>
      </c>
      <c r="L77" s="15">
        <f>'Grid_Stock'!D72</f>
        <v/>
      </c>
      <c r="M77" s="15">
        <f>'Grid_Stock'!E72</f>
        <v/>
      </c>
      <c r="N77" s="15">
        <f>'Grid_Stock'!F72</f>
        <v/>
      </c>
      <c r="O77" s="15">
        <f>'Grid_Stock'!G72</f>
        <v/>
      </c>
      <c r="P77" s="15">
        <f>'Grid_Stock'!H72</f>
        <v/>
      </c>
      <c r="Q77" s="15">
        <f>'Grid_Stock'!I72</f>
        <v/>
      </c>
      <c r="R77" s="15">
        <f>'Grid_Stock'!J72</f>
        <v/>
      </c>
      <c r="S77" s="15">
        <f>'Grid_Stock'!K72</f>
        <v/>
      </c>
      <c r="T77" s="15">
        <f>'Grid_Stock'!L72</f>
        <v/>
      </c>
      <c r="U77" s="15">
        <f>'Grid_Stock'!M72</f>
        <v/>
      </c>
      <c r="V77" s="15">
        <f>'Grid_Stock'!N72</f>
        <v/>
      </c>
      <c r="W77" s="15">
        <f>'Grid_Stock'!O72</f>
        <v/>
      </c>
      <c r="X77" s="15">
        <f>'Grid_Stock'!P72</f>
        <v/>
      </c>
      <c r="Y77" s="15">
        <f>'Grid_Stock'!Q72</f>
        <v/>
      </c>
      <c r="Z77" s="15">
        <f>'Grid_Stock'!R72</f>
        <v/>
      </c>
      <c r="AA77" s="15">
        <f>'Grid_Stock'!S72</f>
        <v/>
      </c>
      <c r="AB77" s="15">
        <f>'Grid_Stock'!T72</f>
        <v/>
      </c>
      <c r="AC77" s="15">
        <f>'Grid_Stock'!U72</f>
        <v/>
      </c>
      <c r="AD77" s="15">
        <f>'Grid_Stock'!V72</f>
        <v/>
      </c>
      <c r="AE77" s="15">
        <f>'Grid_Stock'!W72</f>
        <v/>
      </c>
      <c r="AF77" s="15">
        <f>'Grid_Stock'!X72</f>
        <v/>
      </c>
      <c r="AG77" s="15">
        <f>'Grid_Stock'!Y72</f>
        <v/>
      </c>
      <c r="AH77" s="15">
        <f>'Grid_Stock'!Z72</f>
        <v/>
      </c>
      <c r="AI77" s="15">
        <f>'Grid_Stock'!AA72</f>
        <v/>
      </c>
      <c r="AJ77" s="15">
        <f>'Grid_Stock'!AB72</f>
        <v/>
      </c>
      <c r="AK77" s="15">
        <f>'Grid_Stock'!AC72</f>
        <v/>
      </c>
      <c r="AL77" s="15">
        <f>'Grid_Stock'!AD72</f>
        <v/>
      </c>
      <c r="AM77" s="15">
        <f>'Grid_Stock'!AE72</f>
        <v/>
      </c>
      <c r="AN77" s="15">
        <f>'Grid_Stock'!AF72</f>
        <v/>
      </c>
      <c r="AO77" s="15">
        <f>'Grid_Stock'!AG72</f>
        <v/>
      </c>
      <c r="AP77" s="15">
        <f>'Grid_Stock'!AH72</f>
        <v/>
      </c>
      <c r="AQ77" s="15">
        <f>'Grid_Stock'!AI72</f>
        <v/>
      </c>
      <c r="AR77" s="15">
        <f>'Grid_Stock'!AJ72</f>
        <v/>
      </c>
      <c r="AS77" s="15">
        <f>'Grid_Stock'!AK72</f>
        <v/>
      </c>
      <c r="AT77" s="15">
        <f>'Grid_Stock'!AL72</f>
        <v/>
      </c>
      <c r="AU77" s="15">
        <f>'Grid_Stock'!AM72</f>
        <v/>
      </c>
      <c r="AV77" s="15">
        <f>'Grid_Stock'!AN72</f>
        <v/>
      </c>
      <c r="AW77" s="15">
        <f>'Grid_Stock'!AO72</f>
        <v/>
      </c>
      <c r="AX77" s="15">
        <f>'Grid_Stock'!AP72</f>
        <v/>
      </c>
      <c r="AY77" s="15">
        <f>'Grid_Stock'!AQ72</f>
        <v/>
      </c>
      <c r="AZ77" s="15">
        <f>'Grid_Stock'!AR72</f>
        <v/>
      </c>
      <c r="BA77" s="15">
        <f>'Grid_Stock'!AS72</f>
        <v/>
      </c>
      <c r="BB77" s="15">
        <f>'Grid_Stock'!AT72</f>
        <v/>
      </c>
      <c r="BC77" s="15">
        <f>'Grid_Stock'!AU72</f>
        <v/>
      </c>
      <c r="BD77" s="15">
        <f>'Grid_Stock'!AV72</f>
        <v/>
      </c>
      <c r="BE77" s="15">
        <f>'Grid_Stock'!AW72</f>
        <v/>
      </c>
      <c r="BF77" s="15">
        <f>'Grid_Stock'!AX72</f>
        <v/>
      </c>
      <c r="BG77" s="15">
        <f>'Grid_Stock'!AY72</f>
        <v/>
      </c>
      <c r="BH77" s="15">
        <f>'Grid_Stock'!AZ72</f>
        <v/>
      </c>
      <c r="BI77" s="15">
        <f>'Grid_Stock'!BA72</f>
        <v/>
      </c>
      <c r="BJ77" s="15">
        <f>'Grid_Stock'!BB72</f>
        <v/>
      </c>
      <c r="BK77" s="15">
        <f>'Grid_Stock'!BC72</f>
        <v/>
      </c>
      <c r="BL77" s="15">
        <f>'Grid_Stock'!BD72</f>
        <v/>
      </c>
      <c r="BM77" s="15">
        <f>'Grid_Stock'!BE72</f>
        <v/>
      </c>
      <c r="BN77" s="15">
        <f>'Grid_Stock'!BF72</f>
        <v/>
      </c>
      <c r="BO77" s="15">
        <f>'Grid_Stock'!BG72</f>
        <v/>
      </c>
      <c r="BP77" s="15">
        <f>'Grid_Stock'!BH72</f>
        <v/>
      </c>
      <c r="BQ77" s="15">
        <f>'Grid_Stock'!BI72</f>
        <v/>
      </c>
      <c r="BR77" s="15">
        <f>'Grid_Stock'!BJ72</f>
        <v/>
      </c>
      <c r="BS77" s="15">
        <f>'Grid_Stock'!BK72</f>
        <v/>
      </c>
      <c r="BT77" s="15">
        <f>'Grid_Stock'!BL72</f>
        <v/>
      </c>
      <c r="BU77" s="15">
        <f>'Grid_Stock'!BM72</f>
        <v/>
      </c>
      <c r="BV77" s="15">
        <f>'Grid_Stock'!BN72</f>
        <v/>
      </c>
      <c r="BW77" s="15">
        <f>'Grid_Stock'!BO72</f>
        <v/>
      </c>
      <c r="BX77" s="15">
        <f>'Grid_Stock'!BP72</f>
        <v/>
      </c>
      <c r="BY77" s="15">
        <f>'Grid_Stock'!BQ72</f>
        <v/>
      </c>
      <c r="BZ77" s="15">
        <f>'Grid_Stock'!BR72</f>
        <v/>
      </c>
      <c r="CA77" s="15">
        <f>'Grid_Stock'!BS72</f>
        <v/>
      </c>
      <c r="CB77" s="15">
        <f>'Grid_Stock'!BT72</f>
        <v/>
      </c>
      <c r="CC77" s="15">
        <f>'Grid_Stock'!BU72</f>
        <v/>
      </c>
      <c r="CD77" s="15">
        <f>'Grid_Stock'!BV72</f>
        <v/>
      </c>
      <c r="CE77" s="15">
        <f>'Grid_Stock'!BW72</f>
        <v/>
      </c>
      <c r="CF77" s="15">
        <f>'Grid_Stock'!BX72</f>
        <v/>
      </c>
      <c r="CG77" s="15">
        <f>'Grid_Stock'!BY72</f>
        <v/>
      </c>
      <c r="CH77" s="15">
        <f>'Grid_Stock'!BZ72</f>
        <v/>
      </c>
      <c r="CI77" s="15">
        <f>'Grid_Stock'!CA72</f>
        <v/>
      </c>
      <c r="CJ77" s="15">
        <f>'Grid_Stock'!CB72</f>
        <v/>
      </c>
      <c r="CK77" s="15">
        <f>'Grid_Stock'!CC72</f>
        <v/>
      </c>
      <c r="CL77" s="15">
        <f>'Grid_Stock'!CD72</f>
        <v/>
      </c>
      <c r="CM77" s="15">
        <f>'Grid_Stock'!CE72</f>
        <v/>
      </c>
      <c r="CN77" s="15">
        <f>'Grid_Stock'!CF72</f>
        <v/>
      </c>
      <c r="CO77" s="15">
        <f>'Grid_Stock'!CG72</f>
        <v/>
      </c>
      <c r="CP77" s="15">
        <f>'Grid_Stock'!CH72</f>
        <v/>
      </c>
      <c r="CQ77" s="15">
        <f>'Grid_Stock'!CI72</f>
        <v/>
      </c>
      <c r="CR77" s="15">
        <f>'Grid_Stock'!CJ72</f>
        <v/>
      </c>
      <c r="CS77" s="15">
        <f>'Grid_Stock'!CK72</f>
        <v/>
      </c>
      <c r="CT77" s="15">
        <f>'Grid_Stock'!CL72</f>
        <v/>
      </c>
      <c r="CU77" s="15">
        <f>'Grid_Stock'!CM72</f>
        <v/>
      </c>
      <c r="CV77" s="15">
        <f>'Grid_Stock'!CN72</f>
        <v/>
      </c>
      <c r="CW77" s="15">
        <f>'Grid_Stock'!CO72</f>
        <v/>
      </c>
      <c r="CX77" s="15">
        <f>'Grid_Stock'!CP72</f>
        <v/>
      </c>
      <c r="CY77" s="15">
        <f>'Grid_Stock'!CQ72</f>
        <v/>
      </c>
      <c r="CZ77" s="15">
        <f>'Grid_Stock'!CR72</f>
        <v/>
      </c>
      <c r="DA77" s="15">
        <f>'Grid_Stock'!CS72</f>
        <v/>
      </c>
      <c r="DB77" s="15">
        <f>'Grid_Stock'!CT72</f>
        <v/>
      </c>
      <c r="DC77" s="15">
        <f>'Grid_Stock'!CU72</f>
        <v/>
      </c>
      <c r="DD77" s="15">
        <f>'Grid_Stock'!CV72</f>
        <v/>
      </c>
      <c r="DE77" s="15">
        <f>'Grid_Stock'!CW72</f>
        <v/>
      </c>
      <c r="DF77" s="15">
        <f>'Grid_Stock'!CX72</f>
        <v/>
      </c>
      <c r="DG77" s="15">
        <f>'Grid_Stock'!CY72</f>
        <v/>
      </c>
      <c r="DH77" s="15">
        <f>'Grid_Stock'!CZ72</f>
        <v/>
      </c>
      <c r="DI77" s="15">
        <f>'Grid_Stock'!DA72</f>
        <v/>
      </c>
    </row>
    <row r="78">
      <c r="A78" s="17" t="inlineStr">
        <is>
          <t>846227</t>
        </is>
      </c>
      <c r="B78" s="17">
        <f>IFERROR(INDEX(M_RawMaterials[Description],MATCH($A78,M_RawMaterials[RM_Code],0)),"")</f>
        <v/>
      </c>
      <c r="C78" s="17">
        <f>IFERROR(INDEX(M_RawMaterials[Category],MATCH($A78,M_RawMaterials[RM_Code],0)),"")</f>
        <v/>
      </c>
      <c r="D78" s="17">
        <f>IFERROR(INDEX(M_RawMaterials[基準在庫下限_要入力],MATCH($A78,M_RawMaterials[RM_Code],0)),0)</f>
        <v/>
      </c>
      <c r="E78" s="17">
        <f>IFERROR(INDEX(M_RawMaterials[基準在庫上限_要入力],MATCH($A78,M_RawMaterials[RM_Code],0)),0)</f>
        <v/>
      </c>
      <c r="F78" s="17">
        <f>IFERROR(LOOKUP(2,1/(T_SelfStock!$A$2:$A$12000=$A78),T_SelfStock!$D$2:$D$12000),"")</f>
        <v/>
      </c>
      <c r="G78" s="17">
        <f>IFERROR(LOOKUP(2,1/(T_TTAFStock!$A$2:$A$12000=$A78),T_TTAFStock!$D$2:$D$12000),"")</f>
        <v/>
      </c>
      <c r="H78" s="17">
        <f>IFERROR(INDEX(Cal_Weeks[Label],LOOKUP(2,1/(T_SelfStock!$A$2:$A$12000=$A78),T_SelfStock!$C$2:$C$12000)),"")</f>
        <v/>
      </c>
      <c r="I78" s="16">
        <f>IFERROR(INDEX(J78:DI78,$F$1),"")</f>
        <v/>
      </c>
      <c r="J78" s="17">
        <f>'Grid_Stock'!B73</f>
        <v/>
      </c>
      <c r="K78" s="17">
        <f>'Grid_Stock'!C73</f>
        <v/>
      </c>
      <c r="L78" s="17">
        <f>'Grid_Stock'!D73</f>
        <v/>
      </c>
      <c r="M78" s="17">
        <f>'Grid_Stock'!E73</f>
        <v/>
      </c>
      <c r="N78" s="17">
        <f>'Grid_Stock'!F73</f>
        <v/>
      </c>
      <c r="O78" s="17">
        <f>'Grid_Stock'!G73</f>
        <v/>
      </c>
      <c r="P78" s="17">
        <f>'Grid_Stock'!H73</f>
        <v/>
      </c>
      <c r="Q78" s="17">
        <f>'Grid_Stock'!I73</f>
        <v/>
      </c>
      <c r="R78" s="17">
        <f>'Grid_Stock'!J73</f>
        <v/>
      </c>
      <c r="S78" s="17">
        <f>'Grid_Stock'!K73</f>
        <v/>
      </c>
      <c r="T78" s="17">
        <f>'Grid_Stock'!L73</f>
        <v/>
      </c>
      <c r="U78" s="17">
        <f>'Grid_Stock'!M73</f>
        <v/>
      </c>
      <c r="V78" s="17">
        <f>'Grid_Stock'!N73</f>
        <v/>
      </c>
      <c r="W78" s="17">
        <f>'Grid_Stock'!O73</f>
        <v/>
      </c>
      <c r="X78" s="17">
        <f>'Grid_Stock'!P73</f>
        <v/>
      </c>
      <c r="Y78" s="17">
        <f>'Grid_Stock'!Q73</f>
        <v/>
      </c>
      <c r="Z78" s="17">
        <f>'Grid_Stock'!R73</f>
        <v/>
      </c>
      <c r="AA78" s="17">
        <f>'Grid_Stock'!S73</f>
        <v/>
      </c>
      <c r="AB78" s="17">
        <f>'Grid_Stock'!T73</f>
        <v/>
      </c>
      <c r="AC78" s="17">
        <f>'Grid_Stock'!U73</f>
        <v/>
      </c>
      <c r="AD78" s="17">
        <f>'Grid_Stock'!V73</f>
        <v/>
      </c>
      <c r="AE78" s="17">
        <f>'Grid_Stock'!W73</f>
        <v/>
      </c>
      <c r="AF78" s="17">
        <f>'Grid_Stock'!X73</f>
        <v/>
      </c>
      <c r="AG78" s="17">
        <f>'Grid_Stock'!Y73</f>
        <v/>
      </c>
      <c r="AH78" s="17">
        <f>'Grid_Stock'!Z73</f>
        <v/>
      </c>
      <c r="AI78" s="17">
        <f>'Grid_Stock'!AA73</f>
        <v/>
      </c>
      <c r="AJ78" s="17">
        <f>'Grid_Stock'!AB73</f>
        <v/>
      </c>
      <c r="AK78" s="17">
        <f>'Grid_Stock'!AC73</f>
        <v/>
      </c>
      <c r="AL78" s="17">
        <f>'Grid_Stock'!AD73</f>
        <v/>
      </c>
      <c r="AM78" s="17">
        <f>'Grid_Stock'!AE73</f>
        <v/>
      </c>
      <c r="AN78" s="17">
        <f>'Grid_Stock'!AF73</f>
        <v/>
      </c>
      <c r="AO78" s="17">
        <f>'Grid_Stock'!AG73</f>
        <v/>
      </c>
      <c r="AP78" s="17">
        <f>'Grid_Stock'!AH73</f>
        <v/>
      </c>
      <c r="AQ78" s="17">
        <f>'Grid_Stock'!AI73</f>
        <v/>
      </c>
      <c r="AR78" s="17">
        <f>'Grid_Stock'!AJ73</f>
        <v/>
      </c>
      <c r="AS78" s="17">
        <f>'Grid_Stock'!AK73</f>
        <v/>
      </c>
      <c r="AT78" s="17">
        <f>'Grid_Stock'!AL73</f>
        <v/>
      </c>
      <c r="AU78" s="17">
        <f>'Grid_Stock'!AM73</f>
        <v/>
      </c>
      <c r="AV78" s="17">
        <f>'Grid_Stock'!AN73</f>
        <v/>
      </c>
      <c r="AW78" s="17">
        <f>'Grid_Stock'!AO73</f>
        <v/>
      </c>
      <c r="AX78" s="17">
        <f>'Grid_Stock'!AP73</f>
        <v/>
      </c>
      <c r="AY78" s="17">
        <f>'Grid_Stock'!AQ73</f>
        <v/>
      </c>
      <c r="AZ78" s="17">
        <f>'Grid_Stock'!AR73</f>
        <v/>
      </c>
      <c r="BA78" s="17">
        <f>'Grid_Stock'!AS73</f>
        <v/>
      </c>
      <c r="BB78" s="17">
        <f>'Grid_Stock'!AT73</f>
        <v/>
      </c>
      <c r="BC78" s="17">
        <f>'Grid_Stock'!AU73</f>
        <v/>
      </c>
      <c r="BD78" s="17">
        <f>'Grid_Stock'!AV73</f>
        <v/>
      </c>
      <c r="BE78" s="17">
        <f>'Grid_Stock'!AW73</f>
        <v/>
      </c>
      <c r="BF78" s="17">
        <f>'Grid_Stock'!AX73</f>
        <v/>
      </c>
      <c r="BG78" s="17">
        <f>'Grid_Stock'!AY73</f>
        <v/>
      </c>
      <c r="BH78" s="17">
        <f>'Grid_Stock'!AZ73</f>
        <v/>
      </c>
      <c r="BI78" s="17">
        <f>'Grid_Stock'!BA73</f>
        <v/>
      </c>
      <c r="BJ78" s="17">
        <f>'Grid_Stock'!BB73</f>
        <v/>
      </c>
      <c r="BK78" s="17">
        <f>'Grid_Stock'!BC73</f>
        <v/>
      </c>
      <c r="BL78" s="17">
        <f>'Grid_Stock'!BD73</f>
        <v/>
      </c>
      <c r="BM78" s="17">
        <f>'Grid_Stock'!BE73</f>
        <v/>
      </c>
      <c r="BN78" s="17">
        <f>'Grid_Stock'!BF73</f>
        <v/>
      </c>
      <c r="BO78" s="17">
        <f>'Grid_Stock'!BG73</f>
        <v/>
      </c>
      <c r="BP78" s="17">
        <f>'Grid_Stock'!BH73</f>
        <v/>
      </c>
      <c r="BQ78" s="17">
        <f>'Grid_Stock'!BI73</f>
        <v/>
      </c>
      <c r="BR78" s="17">
        <f>'Grid_Stock'!BJ73</f>
        <v/>
      </c>
      <c r="BS78" s="17">
        <f>'Grid_Stock'!BK73</f>
        <v/>
      </c>
      <c r="BT78" s="17">
        <f>'Grid_Stock'!BL73</f>
        <v/>
      </c>
      <c r="BU78" s="17">
        <f>'Grid_Stock'!BM73</f>
        <v/>
      </c>
      <c r="BV78" s="17">
        <f>'Grid_Stock'!BN73</f>
        <v/>
      </c>
      <c r="BW78" s="17">
        <f>'Grid_Stock'!BO73</f>
        <v/>
      </c>
      <c r="BX78" s="17">
        <f>'Grid_Stock'!BP73</f>
        <v/>
      </c>
      <c r="BY78" s="17">
        <f>'Grid_Stock'!BQ73</f>
        <v/>
      </c>
      <c r="BZ78" s="17">
        <f>'Grid_Stock'!BR73</f>
        <v/>
      </c>
      <c r="CA78" s="17">
        <f>'Grid_Stock'!BS73</f>
        <v/>
      </c>
      <c r="CB78" s="17">
        <f>'Grid_Stock'!BT73</f>
        <v/>
      </c>
      <c r="CC78" s="17">
        <f>'Grid_Stock'!BU73</f>
        <v/>
      </c>
      <c r="CD78" s="17">
        <f>'Grid_Stock'!BV73</f>
        <v/>
      </c>
      <c r="CE78" s="17">
        <f>'Grid_Stock'!BW73</f>
        <v/>
      </c>
      <c r="CF78" s="17">
        <f>'Grid_Stock'!BX73</f>
        <v/>
      </c>
      <c r="CG78" s="17">
        <f>'Grid_Stock'!BY73</f>
        <v/>
      </c>
      <c r="CH78" s="17">
        <f>'Grid_Stock'!BZ73</f>
        <v/>
      </c>
      <c r="CI78" s="17">
        <f>'Grid_Stock'!CA73</f>
        <v/>
      </c>
      <c r="CJ78" s="17">
        <f>'Grid_Stock'!CB73</f>
        <v/>
      </c>
      <c r="CK78" s="17">
        <f>'Grid_Stock'!CC73</f>
        <v/>
      </c>
      <c r="CL78" s="17">
        <f>'Grid_Stock'!CD73</f>
        <v/>
      </c>
      <c r="CM78" s="17">
        <f>'Grid_Stock'!CE73</f>
        <v/>
      </c>
      <c r="CN78" s="17">
        <f>'Grid_Stock'!CF73</f>
        <v/>
      </c>
      <c r="CO78" s="17">
        <f>'Grid_Stock'!CG73</f>
        <v/>
      </c>
      <c r="CP78" s="17">
        <f>'Grid_Stock'!CH73</f>
        <v/>
      </c>
      <c r="CQ78" s="17">
        <f>'Grid_Stock'!CI73</f>
        <v/>
      </c>
      <c r="CR78" s="17">
        <f>'Grid_Stock'!CJ73</f>
        <v/>
      </c>
      <c r="CS78" s="17">
        <f>'Grid_Stock'!CK73</f>
        <v/>
      </c>
      <c r="CT78" s="17">
        <f>'Grid_Stock'!CL73</f>
        <v/>
      </c>
      <c r="CU78" s="17">
        <f>'Grid_Stock'!CM73</f>
        <v/>
      </c>
      <c r="CV78" s="17">
        <f>'Grid_Stock'!CN73</f>
        <v/>
      </c>
      <c r="CW78" s="17">
        <f>'Grid_Stock'!CO73</f>
        <v/>
      </c>
      <c r="CX78" s="17">
        <f>'Grid_Stock'!CP73</f>
        <v/>
      </c>
      <c r="CY78" s="17">
        <f>'Grid_Stock'!CQ73</f>
        <v/>
      </c>
      <c r="CZ78" s="17">
        <f>'Grid_Stock'!CR73</f>
        <v/>
      </c>
      <c r="DA78" s="17">
        <f>'Grid_Stock'!CS73</f>
        <v/>
      </c>
      <c r="DB78" s="17">
        <f>'Grid_Stock'!CT73</f>
        <v/>
      </c>
      <c r="DC78" s="17">
        <f>'Grid_Stock'!CU73</f>
        <v/>
      </c>
      <c r="DD78" s="17">
        <f>'Grid_Stock'!CV73</f>
        <v/>
      </c>
      <c r="DE78" s="17">
        <f>'Grid_Stock'!CW73</f>
        <v/>
      </c>
      <c r="DF78" s="17">
        <f>'Grid_Stock'!CX73</f>
        <v/>
      </c>
      <c r="DG78" s="17">
        <f>'Grid_Stock'!CY73</f>
        <v/>
      </c>
      <c r="DH78" s="17">
        <f>'Grid_Stock'!CZ73</f>
        <v/>
      </c>
      <c r="DI78" s="17">
        <f>'Grid_Stock'!DA73</f>
        <v/>
      </c>
    </row>
    <row r="79">
      <c r="A79" s="15" t="inlineStr">
        <is>
          <t>OLJ</t>
        </is>
      </c>
      <c r="B79" s="15">
        <f>IFERROR(INDEX(M_RawMaterials[Description],MATCH($A79,M_RawMaterials[RM_Code],0)),"")</f>
        <v/>
      </c>
      <c r="C79" s="15">
        <f>IFERROR(INDEX(M_RawMaterials[Category],MATCH($A79,M_RawMaterials[RM_Code],0)),"")</f>
        <v/>
      </c>
      <c r="D79" s="15">
        <f>IFERROR(INDEX(M_RawMaterials[基準在庫下限_要入力],MATCH($A79,M_RawMaterials[RM_Code],0)),0)</f>
        <v/>
      </c>
      <c r="E79" s="15">
        <f>IFERROR(INDEX(M_RawMaterials[基準在庫上限_要入力],MATCH($A79,M_RawMaterials[RM_Code],0)),0)</f>
        <v/>
      </c>
      <c r="F79" s="15">
        <f>IFERROR(LOOKUP(2,1/(T_SelfStock!$A$2:$A$12000=$A79),T_SelfStock!$D$2:$D$12000),"")</f>
        <v/>
      </c>
      <c r="G79" s="15">
        <f>IFERROR(LOOKUP(2,1/(T_TTAFStock!$A$2:$A$12000=$A79),T_TTAFStock!$D$2:$D$12000),"")</f>
        <v/>
      </c>
      <c r="H79" s="15">
        <f>IFERROR(INDEX(Cal_Weeks[Label],LOOKUP(2,1/(T_SelfStock!$A$2:$A$12000=$A79),T_SelfStock!$C$2:$C$12000)),"")</f>
        <v/>
      </c>
      <c r="I79" s="16">
        <f>IFERROR(INDEX(J79:DI79,$F$1),"")</f>
        <v/>
      </c>
      <c r="J79" s="15">
        <f>'Grid_Stock'!B74</f>
        <v/>
      </c>
      <c r="K79" s="15">
        <f>'Grid_Stock'!C74</f>
        <v/>
      </c>
      <c r="L79" s="15">
        <f>'Grid_Stock'!D74</f>
        <v/>
      </c>
      <c r="M79" s="15">
        <f>'Grid_Stock'!E74</f>
        <v/>
      </c>
      <c r="N79" s="15">
        <f>'Grid_Stock'!F74</f>
        <v/>
      </c>
      <c r="O79" s="15">
        <f>'Grid_Stock'!G74</f>
        <v/>
      </c>
      <c r="P79" s="15">
        <f>'Grid_Stock'!H74</f>
        <v/>
      </c>
      <c r="Q79" s="15">
        <f>'Grid_Stock'!I74</f>
        <v/>
      </c>
      <c r="R79" s="15">
        <f>'Grid_Stock'!J74</f>
        <v/>
      </c>
      <c r="S79" s="15">
        <f>'Grid_Stock'!K74</f>
        <v/>
      </c>
      <c r="T79" s="15">
        <f>'Grid_Stock'!L74</f>
        <v/>
      </c>
      <c r="U79" s="15">
        <f>'Grid_Stock'!M74</f>
        <v/>
      </c>
      <c r="V79" s="15">
        <f>'Grid_Stock'!N74</f>
        <v/>
      </c>
      <c r="W79" s="15">
        <f>'Grid_Stock'!O74</f>
        <v/>
      </c>
      <c r="X79" s="15">
        <f>'Grid_Stock'!P74</f>
        <v/>
      </c>
      <c r="Y79" s="15">
        <f>'Grid_Stock'!Q74</f>
        <v/>
      </c>
      <c r="Z79" s="15">
        <f>'Grid_Stock'!R74</f>
        <v/>
      </c>
      <c r="AA79" s="15">
        <f>'Grid_Stock'!S74</f>
        <v/>
      </c>
      <c r="AB79" s="15">
        <f>'Grid_Stock'!T74</f>
        <v/>
      </c>
      <c r="AC79" s="15">
        <f>'Grid_Stock'!U74</f>
        <v/>
      </c>
      <c r="AD79" s="15">
        <f>'Grid_Stock'!V74</f>
        <v/>
      </c>
      <c r="AE79" s="15">
        <f>'Grid_Stock'!W74</f>
        <v/>
      </c>
      <c r="AF79" s="15">
        <f>'Grid_Stock'!X74</f>
        <v/>
      </c>
      <c r="AG79" s="15">
        <f>'Grid_Stock'!Y74</f>
        <v/>
      </c>
      <c r="AH79" s="15">
        <f>'Grid_Stock'!Z74</f>
        <v/>
      </c>
      <c r="AI79" s="15">
        <f>'Grid_Stock'!AA74</f>
        <v/>
      </c>
      <c r="AJ79" s="15">
        <f>'Grid_Stock'!AB74</f>
        <v/>
      </c>
      <c r="AK79" s="15">
        <f>'Grid_Stock'!AC74</f>
        <v/>
      </c>
      <c r="AL79" s="15">
        <f>'Grid_Stock'!AD74</f>
        <v/>
      </c>
      <c r="AM79" s="15">
        <f>'Grid_Stock'!AE74</f>
        <v/>
      </c>
      <c r="AN79" s="15">
        <f>'Grid_Stock'!AF74</f>
        <v/>
      </c>
      <c r="AO79" s="15">
        <f>'Grid_Stock'!AG74</f>
        <v/>
      </c>
      <c r="AP79" s="15">
        <f>'Grid_Stock'!AH74</f>
        <v/>
      </c>
      <c r="AQ79" s="15">
        <f>'Grid_Stock'!AI74</f>
        <v/>
      </c>
      <c r="AR79" s="15">
        <f>'Grid_Stock'!AJ74</f>
        <v/>
      </c>
      <c r="AS79" s="15">
        <f>'Grid_Stock'!AK74</f>
        <v/>
      </c>
      <c r="AT79" s="15">
        <f>'Grid_Stock'!AL74</f>
        <v/>
      </c>
      <c r="AU79" s="15">
        <f>'Grid_Stock'!AM74</f>
        <v/>
      </c>
      <c r="AV79" s="15">
        <f>'Grid_Stock'!AN74</f>
        <v/>
      </c>
      <c r="AW79" s="15">
        <f>'Grid_Stock'!AO74</f>
        <v/>
      </c>
      <c r="AX79" s="15">
        <f>'Grid_Stock'!AP74</f>
        <v/>
      </c>
      <c r="AY79" s="15">
        <f>'Grid_Stock'!AQ74</f>
        <v/>
      </c>
      <c r="AZ79" s="15">
        <f>'Grid_Stock'!AR74</f>
        <v/>
      </c>
      <c r="BA79" s="15">
        <f>'Grid_Stock'!AS74</f>
        <v/>
      </c>
      <c r="BB79" s="15">
        <f>'Grid_Stock'!AT74</f>
        <v/>
      </c>
      <c r="BC79" s="15">
        <f>'Grid_Stock'!AU74</f>
        <v/>
      </c>
      <c r="BD79" s="15">
        <f>'Grid_Stock'!AV74</f>
        <v/>
      </c>
      <c r="BE79" s="15">
        <f>'Grid_Stock'!AW74</f>
        <v/>
      </c>
      <c r="BF79" s="15">
        <f>'Grid_Stock'!AX74</f>
        <v/>
      </c>
      <c r="BG79" s="15">
        <f>'Grid_Stock'!AY74</f>
        <v/>
      </c>
      <c r="BH79" s="15">
        <f>'Grid_Stock'!AZ74</f>
        <v/>
      </c>
      <c r="BI79" s="15">
        <f>'Grid_Stock'!BA74</f>
        <v/>
      </c>
      <c r="BJ79" s="15">
        <f>'Grid_Stock'!BB74</f>
        <v/>
      </c>
      <c r="BK79" s="15">
        <f>'Grid_Stock'!BC74</f>
        <v/>
      </c>
      <c r="BL79" s="15">
        <f>'Grid_Stock'!BD74</f>
        <v/>
      </c>
      <c r="BM79" s="15">
        <f>'Grid_Stock'!BE74</f>
        <v/>
      </c>
      <c r="BN79" s="15">
        <f>'Grid_Stock'!BF74</f>
        <v/>
      </c>
      <c r="BO79" s="15">
        <f>'Grid_Stock'!BG74</f>
        <v/>
      </c>
      <c r="BP79" s="15">
        <f>'Grid_Stock'!BH74</f>
        <v/>
      </c>
      <c r="BQ79" s="15">
        <f>'Grid_Stock'!BI74</f>
        <v/>
      </c>
      <c r="BR79" s="15">
        <f>'Grid_Stock'!BJ74</f>
        <v/>
      </c>
      <c r="BS79" s="15">
        <f>'Grid_Stock'!BK74</f>
        <v/>
      </c>
      <c r="BT79" s="15">
        <f>'Grid_Stock'!BL74</f>
        <v/>
      </c>
      <c r="BU79" s="15">
        <f>'Grid_Stock'!BM74</f>
        <v/>
      </c>
      <c r="BV79" s="15">
        <f>'Grid_Stock'!BN74</f>
        <v/>
      </c>
      <c r="BW79" s="15">
        <f>'Grid_Stock'!BO74</f>
        <v/>
      </c>
      <c r="BX79" s="15">
        <f>'Grid_Stock'!BP74</f>
        <v/>
      </c>
      <c r="BY79" s="15">
        <f>'Grid_Stock'!BQ74</f>
        <v/>
      </c>
      <c r="BZ79" s="15">
        <f>'Grid_Stock'!BR74</f>
        <v/>
      </c>
      <c r="CA79" s="15">
        <f>'Grid_Stock'!BS74</f>
        <v/>
      </c>
      <c r="CB79" s="15">
        <f>'Grid_Stock'!BT74</f>
        <v/>
      </c>
      <c r="CC79" s="15">
        <f>'Grid_Stock'!BU74</f>
        <v/>
      </c>
      <c r="CD79" s="15">
        <f>'Grid_Stock'!BV74</f>
        <v/>
      </c>
      <c r="CE79" s="15">
        <f>'Grid_Stock'!BW74</f>
        <v/>
      </c>
      <c r="CF79" s="15">
        <f>'Grid_Stock'!BX74</f>
        <v/>
      </c>
      <c r="CG79" s="15">
        <f>'Grid_Stock'!BY74</f>
        <v/>
      </c>
      <c r="CH79" s="15">
        <f>'Grid_Stock'!BZ74</f>
        <v/>
      </c>
      <c r="CI79" s="15">
        <f>'Grid_Stock'!CA74</f>
        <v/>
      </c>
      <c r="CJ79" s="15">
        <f>'Grid_Stock'!CB74</f>
        <v/>
      </c>
      <c r="CK79" s="15">
        <f>'Grid_Stock'!CC74</f>
        <v/>
      </c>
      <c r="CL79" s="15">
        <f>'Grid_Stock'!CD74</f>
        <v/>
      </c>
      <c r="CM79" s="15">
        <f>'Grid_Stock'!CE74</f>
        <v/>
      </c>
      <c r="CN79" s="15">
        <f>'Grid_Stock'!CF74</f>
        <v/>
      </c>
      <c r="CO79" s="15">
        <f>'Grid_Stock'!CG74</f>
        <v/>
      </c>
      <c r="CP79" s="15">
        <f>'Grid_Stock'!CH74</f>
        <v/>
      </c>
      <c r="CQ79" s="15">
        <f>'Grid_Stock'!CI74</f>
        <v/>
      </c>
      <c r="CR79" s="15">
        <f>'Grid_Stock'!CJ74</f>
        <v/>
      </c>
      <c r="CS79" s="15">
        <f>'Grid_Stock'!CK74</f>
        <v/>
      </c>
      <c r="CT79" s="15">
        <f>'Grid_Stock'!CL74</f>
        <v/>
      </c>
      <c r="CU79" s="15">
        <f>'Grid_Stock'!CM74</f>
        <v/>
      </c>
      <c r="CV79" s="15">
        <f>'Grid_Stock'!CN74</f>
        <v/>
      </c>
      <c r="CW79" s="15">
        <f>'Grid_Stock'!CO74</f>
        <v/>
      </c>
      <c r="CX79" s="15">
        <f>'Grid_Stock'!CP74</f>
        <v/>
      </c>
      <c r="CY79" s="15">
        <f>'Grid_Stock'!CQ74</f>
        <v/>
      </c>
      <c r="CZ79" s="15">
        <f>'Grid_Stock'!CR74</f>
        <v/>
      </c>
      <c r="DA79" s="15">
        <f>'Grid_Stock'!CS74</f>
        <v/>
      </c>
      <c r="DB79" s="15">
        <f>'Grid_Stock'!CT74</f>
        <v/>
      </c>
      <c r="DC79" s="15">
        <f>'Grid_Stock'!CU74</f>
        <v/>
      </c>
      <c r="DD79" s="15">
        <f>'Grid_Stock'!CV74</f>
        <v/>
      </c>
      <c r="DE79" s="15">
        <f>'Grid_Stock'!CW74</f>
        <v/>
      </c>
      <c r="DF79" s="15">
        <f>'Grid_Stock'!CX74</f>
        <v/>
      </c>
      <c r="DG79" s="15">
        <f>'Grid_Stock'!CY74</f>
        <v/>
      </c>
      <c r="DH79" s="15">
        <f>'Grid_Stock'!CZ74</f>
        <v/>
      </c>
      <c r="DI79" s="15">
        <f>'Grid_Stock'!DA74</f>
        <v/>
      </c>
    </row>
    <row r="80">
      <c r="A80" s="17" t="inlineStr">
        <is>
          <t>CHEM-1500</t>
        </is>
      </c>
      <c r="B80" s="17">
        <f>IFERROR(INDEX(M_RawMaterials[Description],MATCH($A80,M_RawMaterials[RM_Code],0)),"")</f>
        <v/>
      </c>
      <c r="C80" s="17">
        <f>IFERROR(INDEX(M_RawMaterials[Category],MATCH($A80,M_RawMaterials[RM_Code],0)),"")</f>
        <v/>
      </c>
      <c r="D80" s="17">
        <f>IFERROR(INDEX(M_RawMaterials[基準在庫下限_要入力],MATCH($A80,M_RawMaterials[RM_Code],0)),0)</f>
        <v/>
      </c>
      <c r="E80" s="17">
        <f>IFERROR(INDEX(M_RawMaterials[基準在庫上限_要入力],MATCH($A80,M_RawMaterials[RM_Code],0)),0)</f>
        <v/>
      </c>
      <c r="F80" s="17">
        <f>IFERROR(LOOKUP(2,1/(T_SelfStock!$A$2:$A$12000=$A80),T_SelfStock!$D$2:$D$12000),"")</f>
        <v/>
      </c>
      <c r="G80" s="17">
        <f>IFERROR(LOOKUP(2,1/(T_TTAFStock!$A$2:$A$12000=$A80),T_TTAFStock!$D$2:$D$12000),"")</f>
        <v/>
      </c>
      <c r="H80" s="17">
        <f>IFERROR(INDEX(Cal_Weeks[Label],LOOKUP(2,1/(T_SelfStock!$A$2:$A$12000=$A80),T_SelfStock!$C$2:$C$12000)),"")</f>
        <v/>
      </c>
      <c r="I80" s="16">
        <f>IFERROR(INDEX(J80:DI80,$F$1),"")</f>
        <v/>
      </c>
      <c r="J80" s="17">
        <f>'Grid_Stock'!B75</f>
        <v/>
      </c>
      <c r="K80" s="17">
        <f>'Grid_Stock'!C75</f>
        <v/>
      </c>
      <c r="L80" s="17">
        <f>'Grid_Stock'!D75</f>
        <v/>
      </c>
      <c r="M80" s="17">
        <f>'Grid_Stock'!E75</f>
        <v/>
      </c>
      <c r="N80" s="17">
        <f>'Grid_Stock'!F75</f>
        <v/>
      </c>
      <c r="O80" s="17">
        <f>'Grid_Stock'!G75</f>
        <v/>
      </c>
      <c r="P80" s="17">
        <f>'Grid_Stock'!H75</f>
        <v/>
      </c>
      <c r="Q80" s="17">
        <f>'Grid_Stock'!I75</f>
        <v/>
      </c>
      <c r="R80" s="17">
        <f>'Grid_Stock'!J75</f>
        <v/>
      </c>
      <c r="S80" s="17">
        <f>'Grid_Stock'!K75</f>
        <v/>
      </c>
      <c r="T80" s="17">
        <f>'Grid_Stock'!L75</f>
        <v/>
      </c>
      <c r="U80" s="17">
        <f>'Grid_Stock'!M75</f>
        <v/>
      </c>
      <c r="V80" s="17">
        <f>'Grid_Stock'!N75</f>
        <v/>
      </c>
      <c r="W80" s="17">
        <f>'Grid_Stock'!O75</f>
        <v/>
      </c>
      <c r="X80" s="17">
        <f>'Grid_Stock'!P75</f>
        <v/>
      </c>
      <c r="Y80" s="17">
        <f>'Grid_Stock'!Q75</f>
        <v/>
      </c>
      <c r="Z80" s="17">
        <f>'Grid_Stock'!R75</f>
        <v/>
      </c>
      <c r="AA80" s="17">
        <f>'Grid_Stock'!S75</f>
        <v/>
      </c>
      <c r="AB80" s="17">
        <f>'Grid_Stock'!T75</f>
        <v/>
      </c>
      <c r="AC80" s="17">
        <f>'Grid_Stock'!U75</f>
        <v/>
      </c>
      <c r="AD80" s="17">
        <f>'Grid_Stock'!V75</f>
        <v/>
      </c>
      <c r="AE80" s="17">
        <f>'Grid_Stock'!W75</f>
        <v/>
      </c>
      <c r="AF80" s="17">
        <f>'Grid_Stock'!X75</f>
        <v/>
      </c>
      <c r="AG80" s="17">
        <f>'Grid_Stock'!Y75</f>
        <v/>
      </c>
      <c r="AH80" s="17">
        <f>'Grid_Stock'!Z75</f>
        <v/>
      </c>
      <c r="AI80" s="17">
        <f>'Grid_Stock'!AA75</f>
        <v/>
      </c>
      <c r="AJ80" s="17">
        <f>'Grid_Stock'!AB75</f>
        <v/>
      </c>
      <c r="AK80" s="17">
        <f>'Grid_Stock'!AC75</f>
        <v/>
      </c>
      <c r="AL80" s="17">
        <f>'Grid_Stock'!AD75</f>
        <v/>
      </c>
      <c r="AM80" s="17">
        <f>'Grid_Stock'!AE75</f>
        <v/>
      </c>
      <c r="AN80" s="17">
        <f>'Grid_Stock'!AF75</f>
        <v/>
      </c>
      <c r="AO80" s="17">
        <f>'Grid_Stock'!AG75</f>
        <v/>
      </c>
      <c r="AP80" s="17">
        <f>'Grid_Stock'!AH75</f>
        <v/>
      </c>
      <c r="AQ80" s="17">
        <f>'Grid_Stock'!AI75</f>
        <v/>
      </c>
      <c r="AR80" s="17">
        <f>'Grid_Stock'!AJ75</f>
        <v/>
      </c>
      <c r="AS80" s="17">
        <f>'Grid_Stock'!AK75</f>
        <v/>
      </c>
      <c r="AT80" s="17">
        <f>'Grid_Stock'!AL75</f>
        <v/>
      </c>
      <c r="AU80" s="17">
        <f>'Grid_Stock'!AM75</f>
        <v/>
      </c>
      <c r="AV80" s="17">
        <f>'Grid_Stock'!AN75</f>
        <v/>
      </c>
      <c r="AW80" s="17">
        <f>'Grid_Stock'!AO75</f>
        <v/>
      </c>
      <c r="AX80" s="17">
        <f>'Grid_Stock'!AP75</f>
        <v/>
      </c>
      <c r="AY80" s="17">
        <f>'Grid_Stock'!AQ75</f>
        <v/>
      </c>
      <c r="AZ80" s="17">
        <f>'Grid_Stock'!AR75</f>
        <v/>
      </c>
      <c r="BA80" s="17">
        <f>'Grid_Stock'!AS75</f>
        <v/>
      </c>
      <c r="BB80" s="17">
        <f>'Grid_Stock'!AT75</f>
        <v/>
      </c>
      <c r="BC80" s="17">
        <f>'Grid_Stock'!AU75</f>
        <v/>
      </c>
      <c r="BD80" s="17">
        <f>'Grid_Stock'!AV75</f>
        <v/>
      </c>
      <c r="BE80" s="17">
        <f>'Grid_Stock'!AW75</f>
        <v/>
      </c>
      <c r="BF80" s="17">
        <f>'Grid_Stock'!AX75</f>
        <v/>
      </c>
      <c r="BG80" s="17">
        <f>'Grid_Stock'!AY75</f>
        <v/>
      </c>
      <c r="BH80" s="17">
        <f>'Grid_Stock'!AZ75</f>
        <v/>
      </c>
      <c r="BI80" s="17">
        <f>'Grid_Stock'!BA75</f>
        <v/>
      </c>
      <c r="BJ80" s="17">
        <f>'Grid_Stock'!BB75</f>
        <v/>
      </c>
      <c r="BK80" s="17">
        <f>'Grid_Stock'!BC75</f>
        <v/>
      </c>
      <c r="BL80" s="17">
        <f>'Grid_Stock'!BD75</f>
        <v/>
      </c>
      <c r="BM80" s="17">
        <f>'Grid_Stock'!BE75</f>
        <v/>
      </c>
      <c r="BN80" s="17">
        <f>'Grid_Stock'!BF75</f>
        <v/>
      </c>
      <c r="BO80" s="17">
        <f>'Grid_Stock'!BG75</f>
        <v/>
      </c>
      <c r="BP80" s="17">
        <f>'Grid_Stock'!BH75</f>
        <v/>
      </c>
      <c r="BQ80" s="17">
        <f>'Grid_Stock'!BI75</f>
        <v/>
      </c>
      <c r="BR80" s="17">
        <f>'Grid_Stock'!BJ75</f>
        <v/>
      </c>
      <c r="BS80" s="17">
        <f>'Grid_Stock'!BK75</f>
        <v/>
      </c>
      <c r="BT80" s="17">
        <f>'Grid_Stock'!BL75</f>
        <v/>
      </c>
      <c r="BU80" s="17">
        <f>'Grid_Stock'!BM75</f>
        <v/>
      </c>
      <c r="BV80" s="17">
        <f>'Grid_Stock'!BN75</f>
        <v/>
      </c>
      <c r="BW80" s="17">
        <f>'Grid_Stock'!BO75</f>
        <v/>
      </c>
      <c r="BX80" s="17">
        <f>'Grid_Stock'!BP75</f>
        <v/>
      </c>
      <c r="BY80" s="17">
        <f>'Grid_Stock'!BQ75</f>
        <v/>
      </c>
      <c r="BZ80" s="17">
        <f>'Grid_Stock'!BR75</f>
        <v/>
      </c>
      <c r="CA80" s="17">
        <f>'Grid_Stock'!BS75</f>
        <v/>
      </c>
      <c r="CB80" s="17">
        <f>'Grid_Stock'!BT75</f>
        <v/>
      </c>
      <c r="CC80" s="17">
        <f>'Grid_Stock'!BU75</f>
        <v/>
      </c>
      <c r="CD80" s="17">
        <f>'Grid_Stock'!BV75</f>
        <v/>
      </c>
      <c r="CE80" s="17">
        <f>'Grid_Stock'!BW75</f>
        <v/>
      </c>
      <c r="CF80" s="17">
        <f>'Grid_Stock'!BX75</f>
        <v/>
      </c>
      <c r="CG80" s="17">
        <f>'Grid_Stock'!BY75</f>
        <v/>
      </c>
      <c r="CH80" s="17">
        <f>'Grid_Stock'!BZ75</f>
        <v/>
      </c>
      <c r="CI80" s="17">
        <f>'Grid_Stock'!CA75</f>
        <v/>
      </c>
      <c r="CJ80" s="17">
        <f>'Grid_Stock'!CB75</f>
        <v/>
      </c>
      <c r="CK80" s="17">
        <f>'Grid_Stock'!CC75</f>
        <v/>
      </c>
      <c r="CL80" s="17">
        <f>'Grid_Stock'!CD75</f>
        <v/>
      </c>
      <c r="CM80" s="17">
        <f>'Grid_Stock'!CE75</f>
        <v/>
      </c>
      <c r="CN80" s="17">
        <f>'Grid_Stock'!CF75</f>
        <v/>
      </c>
      <c r="CO80" s="17">
        <f>'Grid_Stock'!CG75</f>
        <v/>
      </c>
      <c r="CP80" s="17">
        <f>'Grid_Stock'!CH75</f>
        <v/>
      </c>
      <c r="CQ80" s="17">
        <f>'Grid_Stock'!CI75</f>
        <v/>
      </c>
      <c r="CR80" s="17">
        <f>'Grid_Stock'!CJ75</f>
        <v/>
      </c>
      <c r="CS80" s="17">
        <f>'Grid_Stock'!CK75</f>
        <v/>
      </c>
      <c r="CT80" s="17">
        <f>'Grid_Stock'!CL75</f>
        <v/>
      </c>
      <c r="CU80" s="17">
        <f>'Grid_Stock'!CM75</f>
        <v/>
      </c>
      <c r="CV80" s="17">
        <f>'Grid_Stock'!CN75</f>
        <v/>
      </c>
      <c r="CW80" s="17">
        <f>'Grid_Stock'!CO75</f>
        <v/>
      </c>
      <c r="CX80" s="17">
        <f>'Grid_Stock'!CP75</f>
        <v/>
      </c>
      <c r="CY80" s="17">
        <f>'Grid_Stock'!CQ75</f>
        <v/>
      </c>
      <c r="CZ80" s="17">
        <f>'Grid_Stock'!CR75</f>
        <v/>
      </c>
      <c r="DA80" s="17">
        <f>'Grid_Stock'!CS75</f>
        <v/>
      </c>
      <c r="DB80" s="17">
        <f>'Grid_Stock'!CT75</f>
        <v/>
      </c>
      <c r="DC80" s="17">
        <f>'Grid_Stock'!CU75</f>
        <v/>
      </c>
      <c r="DD80" s="17">
        <f>'Grid_Stock'!CV75</f>
        <v/>
      </c>
      <c r="DE80" s="17">
        <f>'Grid_Stock'!CW75</f>
        <v/>
      </c>
      <c r="DF80" s="17">
        <f>'Grid_Stock'!CX75</f>
        <v/>
      </c>
      <c r="DG80" s="17">
        <f>'Grid_Stock'!CY75</f>
        <v/>
      </c>
      <c r="DH80" s="17">
        <f>'Grid_Stock'!CZ75</f>
        <v/>
      </c>
      <c r="DI80" s="17">
        <f>'Grid_Stock'!DA75</f>
        <v/>
      </c>
    </row>
    <row r="81">
      <c r="A81" s="15" t="inlineStr">
        <is>
          <t>CHEM-1810</t>
        </is>
      </c>
      <c r="B81" s="15">
        <f>IFERROR(INDEX(M_RawMaterials[Description],MATCH($A81,M_RawMaterials[RM_Code],0)),"")</f>
        <v/>
      </c>
      <c r="C81" s="15">
        <f>IFERROR(INDEX(M_RawMaterials[Category],MATCH($A81,M_RawMaterials[RM_Code],0)),"")</f>
        <v/>
      </c>
      <c r="D81" s="15">
        <f>IFERROR(INDEX(M_RawMaterials[基準在庫下限_要入力],MATCH($A81,M_RawMaterials[RM_Code],0)),0)</f>
        <v/>
      </c>
      <c r="E81" s="15">
        <f>IFERROR(INDEX(M_RawMaterials[基準在庫上限_要入力],MATCH($A81,M_RawMaterials[RM_Code],0)),0)</f>
        <v/>
      </c>
      <c r="F81" s="15">
        <f>IFERROR(LOOKUP(2,1/(T_SelfStock!$A$2:$A$12000=$A81),T_SelfStock!$D$2:$D$12000),"")</f>
        <v/>
      </c>
      <c r="G81" s="15">
        <f>IFERROR(LOOKUP(2,1/(T_TTAFStock!$A$2:$A$12000=$A81),T_TTAFStock!$D$2:$D$12000),"")</f>
        <v/>
      </c>
      <c r="H81" s="15">
        <f>IFERROR(INDEX(Cal_Weeks[Label],LOOKUP(2,1/(T_SelfStock!$A$2:$A$12000=$A81),T_SelfStock!$C$2:$C$12000)),"")</f>
        <v/>
      </c>
      <c r="I81" s="16">
        <f>IFERROR(INDEX(J81:DI81,$F$1),"")</f>
        <v/>
      </c>
      <c r="J81" s="15">
        <f>'Grid_Stock'!B76</f>
        <v/>
      </c>
      <c r="K81" s="15">
        <f>'Grid_Stock'!C76</f>
        <v/>
      </c>
      <c r="L81" s="15">
        <f>'Grid_Stock'!D76</f>
        <v/>
      </c>
      <c r="M81" s="15">
        <f>'Grid_Stock'!E76</f>
        <v/>
      </c>
      <c r="N81" s="15">
        <f>'Grid_Stock'!F76</f>
        <v/>
      </c>
      <c r="O81" s="15">
        <f>'Grid_Stock'!G76</f>
        <v/>
      </c>
      <c r="P81" s="15">
        <f>'Grid_Stock'!H76</f>
        <v/>
      </c>
      <c r="Q81" s="15">
        <f>'Grid_Stock'!I76</f>
        <v/>
      </c>
      <c r="R81" s="15">
        <f>'Grid_Stock'!J76</f>
        <v/>
      </c>
      <c r="S81" s="15">
        <f>'Grid_Stock'!K76</f>
        <v/>
      </c>
      <c r="T81" s="15">
        <f>'Grid_Stock'!L76</f>
        <v/>
      </c>
      <c r="U81" s="15">
        <f>'Grid_Stock'!M76</f>
        <v/>
      </c>
      <c r="V81" s="15">
        <f>'Grid_Stock'!N76</f>
        <v/>
      </c>
      <c r="W81" s="15">
        <f>'Grid_Stock'!O76</f>
        <v/>
      </c>
      <c r="X81" s="15">
        <f>'Grid_Stock'!P76</f>
        <v/>
      </c>
      <c r="Y81" s="15">
        <f>'Grid_Stock'!Q76</f>
        <v/>
      </c>
      <c r="Z81" s="15">
        <f>'Grid_Stock'!R76</f>
        <v/>
      </c>
      <c r="AA81" s="15">
        <f>'Grid_Stock'!S76</f>
        <v/>
      </c>
      <c r="AB81" s="15">
        <f>'Grid_Stock'!T76</f>
        <v/>
      </c>
      <c r="AC81" s="15">
        <f>'Grid_Stock'!U76</f>
        <v/>
      </c>
      <c r="AD81" s="15">
        <f>'Grid_Stock'!V76</f>
        <v/>
      </c>
      <c r="AE81" s="15">
        <f>'Grid_Stock'!W76</f>
        <v/>
      </c>
      <c r="AF81" s="15">
        <f>'Grid_Stock'!X76</f>
        <v/>
      </c>
      <c r="AG81" s="15">
        <f>'Grid_Stock'!Y76</f>
        <v/>
      </c>
      <c r="AH81" s="15">
        <f>'Grid_Stock'!Z76</f>
        <v/>
      </c>
      <c r="AI81" s="15">
        <f>'Grid_Stock'!AA76</f>
        <v/>
      </c>
      <c r="AJ81" s="15">
        <f>'Grid_Stock'!AB76</f>
        <v/>
      </c>
      <c r="AK81" s="15">
        <f>'Grid_Stock'!AC76</f>
        <v/>
      </c>
      <c r="AL81" s="15">
        <f>'Grid_Stock'!AD76</f>
        <v/>
      </c>
      <c r="AM81" s="15">
        <f>'Grid_Stock'!AE76</f>
        <v/>
      </c>
      <c r="AN81" s="15">
        <f>'Grid_Stock'!AF76</f>
        <v/>
      </c>
      <c r="AO81" s="15">
        <f>'Grid_Stock'!AG76</f>
        <v/>
      </c>
      <c r="AP81" s="15">
        <f>'Grid_Stock'!AH76</f>
        <v/>
      </c>
      <c r="AQ81" s="15">
        <f>'Grid_Stock'!AI76</f>
        <v/>
      </c>
      <c r="AR81" s="15">
        <f>'Grid_Stock'!AJ76</f>
        <v/>
      </c>
      <c r="AS81" s="15">
        <f>'Grid_Stock'!AK76</f>
        <v/>
      </c>
      <c r="AT81" s="15">
        <f>'Grid_Stock'!AL76</f>
        <v/>
      </c>
      <c r="AU81" s="15">
        <f>'Grid_Stock'!AM76</f>
        <v/>
      </c>
      <c r="AV81" s="15">
        <f>'Grid_Stock'!AN76</f>
        <v/>
      </c>
      <c r="AW81" s="15">
        <f>'Grid_Stock'!AO76</f>
        <v/>
      </c>
      <c r="AX81" s="15">
        <f>'Grid_Stock'!AP76</f>
        <v/>
      </c>
      <c r="AY81" s="15">
        <f>'Grid_Stock'!AQ76</f>
        <v/>
      </c>
      <c r="AZ81" s="15">
        <f>'Grid_Stock'!AR76</f>
        <v/>
      </c>
      <c r="BA81" s="15">
        <f>'Grid_Stock'!AS76</f>
        <v/>
      </c>
      <c r="BB81" s="15">
        <f>'Grid_Stock'!AT76</f>
        <v/>
      </c>
      <c r="BC81" s="15">
        <f>'Grid_Stock'!AU76</f>
        <v/>
      </c>
      <c r="BD81" s="15">
        <f>'Grid_Stock'!AV76</f>
        <v/>
      </c>
      <c r="BE81" s="15">
        <f>'Grid_Stock'!AW76</f>
        <v/>
      </c>
      <c r="BF81" s="15">
        <f>'Grid_Stock'!AX76</f>
        <v/>
      </c>
      <c r="BG81" s="15">
        <f>'Grid_Stock'!AY76</f>
        <v/>
      </c>
      <c r="BH81" s="15">
        <f>'Grid_Stock'!AZ76</f>
        <v/>
      </c>
      <c r="BI81" s="15">
        <f>'Grid_Stock'!BA76</f>
        <v/>
      </c>
      <c r="BJ81" s="15">
        <f>'Grid_Stock'!BB76</f>
        <v/>
      </c>
      <c r="BK81" s="15">
        <f>'Grid_Stock'!BC76</f>
        <v/>
      </c>
      <c r="BL81" s="15">
        <f>'Grid_Stock'!BD76</f>
        <v/>
      </c>
      <c r="BM81" s="15">
        <f>'Grid_Stock'!BE76</f>
        <v/>
      </c>
      <c r="BN81" s="15">
        <f>'Grid_Stock'!BF76</f>
        <v/>
      </c>
      <c r="BO81" s="15">
        <f>'Grid_Stock'!BG76</f>
        <v/>
      </c>
      <c r="BP81" s="15">
        <f>'Grid_Stock'!BH76</f>
        <v/>
      </c>
      <c r="BQ81" s="15">
        <f>'Grid_Stock'!BI76</f>
        <v/>
      </c>
      <c r="BR81" s="15">
        <f>'Grid_Stock'!BJ76</f>
        <v/>
      </c>
      <c r="BS81" s="15">
        <f>'Grid_Stock'!BK76</f>
        <v/>
      </c>
      <c r="BT81" s="15">
        <f>'Grid_Stock'!BL76</f>
        <v/>
      </c>
      <c r="BU81" s="15">
        <f>'Grid_Stock'!BM76</f>
        <v/>
      </c>
      <c r="BV81" s="15">
        <f>'Grid_Stock'!BN76</f>
        <v/>
      </c>
      <c r="BW81" s="15">
        <f>'Grid_Stock'!BO76</f>
        <v/>
      </c>
      <c r="BX81" s="15">
        <f>'Grid_Stock'!BP76</f>
        <v/>
      </c>
      <c r="BY81" s="15">
        <f>'Grid_Stock'!BQ76</f>
        <v/>
      </c>
      <c r="BZ81" s="15">
        <f>'Grid_Stock'!BR76</f>
        <v/>
      </c>
      <c r="CA81" s="15">
        <f>'Grid_Stock'!BS76</f>
        <v/>
      </c>
      <c r="CB81" s="15">
        <f>'Grid_Stock'!BT76</f>
        <v/>
      </c>
      <c r="CC81" s="15">
        <f>'Grid_Stock'!BU76</f>
        <v/>
      </c>
      <c r="CD81" s="15">
        <f>'Grid_Stock'!BV76</f>
        <v/>
      </c>
      <c r="CE81" s="15">
        <f>'Grid_Stock'!BW76</f>
        <v/>
      </c>
      <c r="CF81" s="15">
        <f>'Grid_Stock'!BX76</f>
        <v/>
      </c>
      <c r="CG81" s="15">
        <f>'Grid_Stock'!BY76</f>
        <v/>
      </c>
      <c r="CH81" s="15">
        <f>'Grid_Stock'!BZ76</f>
        <v/>
      </c>
      <c r="CI81" s="15">
        <f>'Grid_Stock'!CA76</f>
        <v/>
      </c>
      <c r="CJ81" s="15">
        <f>'Grid_Stock'!CB76</f>
        <v/>
      </c>
      <c r="CK81" s="15">
        <f>'Grid_Stock'!CC76</f>
        <v/>
      </c>
      <c r="CL81" s="15">
        <f>'Grid_Stock'!CD76</f>
        <v/>
      </c>
      <c r="CM81" s="15">
        <f>'Grid_Stock'!CE76</f>
        <v/>
      </c>
      <c r="CN81" s="15">
        <f>'Grid_Stock'!CF76</f>
        <v/>
      </c>
      <c r="CO81" s="15">
        <f>'Grid_Stock'!CG76</f>
        <v/>
      </c>
      <c r="CP81" s="15">
        <f>'Grid_Stock'!CH76</f>
        <v/>
      </c>
      <c r="CQ81" s="15">
        <f>'Grid_Stock'!CI76</f>
        <v/>
      </c>
      <c r="CR81" s="15">
        <f>'Grid_Stock'!CJ76</f>
        <v/>
      </c>
      <c r="CS81" s="15">
        <f>'Grid_Stock'!CK76</f>
        <v/>
      </c>
      <c r="CT81" s="15">
        <f>'Grid_Stock'!CL76</f>
        <v/>
      </c>
      <c r="CU81" s="15">
        <f>'Grid_Stock'!CM76</f>
        <v/>
      </c>
      <c r="CV81" s="15">
        <f>'Grid_Stock'!CN76</f>
        <v/>
      </c>
      <c r="CW81" s="15">
        <f>'Grid_Stock'!CO76</f>
        <v/>
      </c>
      <c r="CX81" s="15">
        <f>'Grid_Stock'!CP76</f>
        <v/>
      </c>
      <c r="CY81" s="15">
        <f>'Grid_Stock'!CQ76</f>
        <v/>
      </c>
      <c r="CZ81" s="15">
        <f>'Grid_Stock'!CR76</f>
        <v/>
      </c>
      <c r="DA81" s="15">
        <f>'Grid_Stock'!CS76</f>
        <v/>
      </c>
      <c r="DB81" s="15">
        <f>'Grid_Stock'!CT76</f>
        <v/>
      </c>
      <c r="DC81" s="15">
        <f>'Grid_Stock'!CU76</f>
        <v/>
      </c>
      <c r="DD81" s="15">
        <f>'Grid_Stock'!CV76</f>
        <v/>
      </c>
      <c r="DE81" s="15">
        <f>'Grid_Stock'!CW76</f>
        <v/>
      </c>
      <c r="DF81" s="15">
        <f>'Grid_Stock'!CX76</f>
        <v/>
      </c>
      <c r="DG81" s="15">
        <f>'Grid_Stock'!CY76</f>
        <v/>
      </c>
      <c r="DH81" s="15">
        <f>'Grid_Stock'!CZ76</f>
        <v/>
      </c>
      <c r="DI81" s="15">
        <f>'Grid_Stock'!DA76</f>
        <v/>
      </c>
    </row>
    <row r="82">
      <c r="A82" s="17" t="inlineStr">
        <is>
          <t>Chem-1220</t>
        </is>
      </c>
      <c r="B82" s="17">
        <f>IFERROR(INDEX(M_RawMaterials[Description],MATCH($A82,M_RawMaterials[RM_Code],0)),"")</f>
        <v/>
      </c>
      <c r="C82" s="17">
        <f>IFERROR(INDEX(M_RawMaterials[Category],MATCH($A82,M_RawMaterials[RM_Code],0)),"")</f>
        <v/>
      </c>
      <c r="D82" s="17">
        <f>IFERROR(INDEX(M_RawMaterials[基準在庫下限_要入力],MATCH($A82,M_RawMaterials[RM_Code],0)),0)</f>
        <v/>
      </c>
      <c r="E82" s="17">
        <f>IFERROR(INDEX(M_RawMaterials[基準在庫上限_要入力],MATCH($A82,M_RawMaterials[RM_Code],0)),0)</f>
        <v/>
      </c>
      <c r="F82" s="17">
        <f>IFERROR(LOOKUP(2,1/(T_SelfStock!$A$2:$A$12000=$A82),T_SelfStock!$D$2:$D$12000),"")</f>
        <v/>
      </c>
      <c r="G82" s="17">
        <f>IFERROR(LOOKUP(2,1/(T_TTAFStock!$A$2:$A$12000=$A82),T_TTAFStock!$D$2:$D$12000),"")</f>
        <v/>
      </c>
      <c r="H82" s="17">
        <f>IFERROR(INDEX(Cal_Weeks[Label],LOOKUP(2,1/(T_SelfStock!$A$2:$A$12000=$A82),T_SelfStock!$C$2:$C$12000)),"")</f>
        <v/>
      </c>
      <c r="I82" s="16">
        <f>IFERROR(INDEX(J82:DI82,$F$1),"")</f>
        <v/>
      </c>
      <c r="J82" s="17">
        <f>'Grid_Stock'!B77</f>
        <v/>
      </c>
      <c r="K82" s="17">
        <f>'Grid_Stock'!C77</f>
        <v/>
      </c>
      <c r="L82" s="17">
        <f>'Grid_Stock'!D77</f>
        <v/>
      </c>
      <c r="M82" s="17">
        <f>'Grid_Stock'!E77</f>
        <v/>
      </c>
      <c r="N82" s="17">
        <f>'Grid_Stock'!F77</f>
        <v/>
      </c>
      <c r="O82" s="17">
        <f>'Grid_Stock'!G77</f>
        <v/>
      </c>
      <c r="P82" s="17">
        <f>'Grid_Stock'!H77</f>
        <v/>
      </c>
      <c r="Q82" s="17">
        <f>'Grid_Stock'!I77</f>
        <v/>
      </c>
      <c r="R82" s="17">
        <f>'Grid_Stock'!J77</f>
        <v/>
      </c>
      <c r="S82" s="17">
        <f>'Grid_Stock'!K77</f>
        <v/>
      </c>
      <c r="T82" s="17">
        <f>'Grid_Stock'!L77</f>
        <v/>
      </c>
      <c r="U82" s="17">
        <f>'Grid_Stock'!M77</f>
        <v/>
      </c>
      <c r="V82" s="17">
        <f>'Grid_Stock'!N77</f>
        <v/>
      </c>
      <c r="W82" s="17">
        <f>'Grid_Stock'!O77</f>
        <v/>
      </c>
      <c r="X82" s="17">
        <f>'Grid_Stock'!P77</f>
        <v/>
      </c>
      <c r="Y82" s="17">
        <f>'Grid_Stock'!Q77</f>
        <v/>
      </c>
      <c r="Z82" s="17">
        <f>'Grid_Stock'!R77</f>
        <v/>
      </c>
      <c r="AA82" s="17">
        <f>'Grid_Stock'!S77</f>
        <v/>
      </c>
      <c r="AB82" s="17">
        <f>'Grid_Stock'!T77</f>
        <v/>
      </c>
      <c r="AC82" s="17">
        <f>'Grid_Stock'!U77</f>
        <v/>
      </c>
      <c r="AD82" s="17">
        <f>'Grid_Stock'!V77</f>
        <v/>
      </c>
      <c r="AE82" s="17">
        <f>'Grid_Stock'!W77</f>
        <v/>
      </c>
      <c r="AF82" s="17">
        <f>'Grid_Stock'!X77</f>
        <v/>
      </c>
      <c r="AG82" s="17">
        <f>'Grid_Stock'!Y77</f>
        <v/>
      </c>
      <c r="AH82" s="17">
        <f>'Grid_Stock'!Z77</f>
        <v/>
      </c>
      <c r="AI82" s="17">
        <f>'Grid_Stock'!AA77</f>
        <v/>
      </c>
      <c r="AJ82" s="17">
        <f>'Grid_Stock'!AB77</f>
        <v/>
      </c>
      <c r="AK82" s="17">
        <f>'Grid_Stock'!AC77</f>
        <v/>
      </c>
      <c r="AL82" s="17">
        <f>'Grid_Stock'!AD77</f>
        <v/>
      </c>
      <c r="AM82" s="17">
        <f>'Grid_Stock'!AE77</f>
        <v/>
      </c>
      <c r="AN82" s="17">
        <f>'Grid_Stock'!AF77</f>
        <v/>
      </c>
      <c r="AO82" s="17">
        <f>'Grid_Stock'!AG77</f>
        <v/>
      </c>
      <c r="AP82" s="17">
        <f>'Grid_Stock'!AH77</f>
        <v/>
      </c>
      <c r="AQ82" s="17">
        <f>'Grid_Stock'!AI77</f>
        <v/>
      </c>
      <c r="AR82" s="17">
        <f>'Grid_Stock'!AJ77</f>
        <v/>
      </c>
      <c r="AS82" s="17">
        <f>'Grid_Stock'!AK77</f>
        <v/>
      </c>
      <c r="AT82" s="17">
        <f>'Grid_Stock'!AL77</f>
        <v/>
      </c>
      <c r="AU82" s="17">
        <f>'Grid_Stock'!AM77</f>
        <v/>
      </c>
      <c r="AV82" s="17">
        <f>'Grid_Stock'!AN77</f>
        <v/>
      </c>
      <c r="AW82" s="17">
        <f>'Grid_Stock'!AO77</f>
        <v/>
      </c>
      <c r="AX82" s="17">
        <f>'Grid_Stock'!AP77</f>
        <v/>
      </c>
      <c r="AY82" s="17">
        <f>'Grid_Stock'!AQ77</f>
        <v/>
      </c>
      <c r="AZ82" s="17">
        <f>'Grid_Stock'!AR77</f>
        <v/>
      </c>
      <c r="BA82" s="17">
        <f>'Grid_Stock'!AS77</f>
        <v/>
      </c>
      <c r="BB82" s="17">
        <f>'Grid_Stock'!AT77</f>
        <v/>
      </c>
      <c r="BC82" s="17">
        <f>'Grid_Stock'!AU77</f>
        <v/>
      </c>
      <c r="BD82" s="17">
        <f>'Grid_Stock'!AV77</f>
        <v/>
      </c>
      <c r="BE82" s="17">
        <f>'Grid_Stock'!AW77</f>
        <v/>
      </c>
      <c r="BF82" s="17">
        <f>'Grid_Stock'!AX77</f>
        <v/>
      </c>
      <c r="BG82" s="17">
        <f>'Grid_Stock'!AY77</f>
        <v/>
      </c>
      <c r="BH82" s="17">
        <f>'Grid_Stock'!AZ77</f>
        <v/>
      </c>
      <c r="BI82" s="17">
        <f>'Grid_Stock'!BA77</f>
        <v/>
      </c>
      <c r="BJ82" s="17">
        <f>'Grid_Stock'!BB77</f>
        <v/>
      </c>
      <c r="BK82" s="17">
        <f>'Grid_Stock'!BC77</f>
        <v/>
      </c>
      <c r="BL82" s="17">
        <f>'Grid_Stock'!BD77</f>
        <v/>
      </c>
      <c r="BM82" s="17">
        <f>'Grid_Stock'!BE77</f>
        <v/>
      </c>
      <c r="BN82" s="17">
        <f>'Grid_Stock'!BF77</f>
        <v/>
      </c>
      <c r="BO82" s="17">
        <f>'Grid_Stock'!BG77</f>
        <v/>
      </c>
      <c r="BP82" s="17">
        <f>'Grid_Stock'!BH77</f>
        <v/>
      </c>
      <c r="BQ82" s="17">
        <f>'Grid_Stock'!BI77</f>
        <v/>
      </c>
      <c r="BR82" s="17">
        <f>'Grid_Stock'!BJ77</f>
        <v/>
      </c>
      <c r="BS82" s="17">
        <f>'Grid_Stock'!BK77</f>
        <v/>
      </c>
      <c r="BT82" s="17">
        <f>'Grid_Stock'!BL77</f>
        <v/>
      </c>
      <c r="BU82" s="17">
        <f>'Grid_Stock'!BM77</f>
        <v/>
      </c>
      <c r="BV82" s="17">
        <f>'Grid_Stock'!BN77</f>
        <v/>
      </c>
      <c r="BW82" s="17">
        <f>'Grid_Stock'!BO77</f>
        <v/>
      </c>
      <c r="BX82" s="17">
        <f>'Grid_Stock'!BP77</f>
        <v/>
      </c>
      <c r="BY82" s="17">
        <f>'Grid_Stock'!BQ77</f>
        <v/>
      </c>
      <c r="BZ82" s="17">
        <f>'Grid_Stock'!BR77</f>
        <v/>
      </c>
      <c r="CA82" s="17">
        <f>'Grid_Stock'!BS77</f>
        <v/>
      </c>
      <c r="CB82" s="17">
        <f>'Grid_Stock'!BT77</f>
        <v/>
      </c>
      <c r="CC82" s="17">
        <f>'Grid_Stock'!BU77</f>
        <v/>
      </c>
      <c r="CD82" s="17">
        <f>'Grid_Stock'!BV77</f>
        <v/>
      </c>
      <c r="CE82" s="17">
        <f>'Grid_Stock'!BW77</f>
        <v/>
      </c>
      <c r="CF82" s="17">
        <f>'Grid_Stock'!BX77</f>
        <v/>
      </c>
      <c r="CG82" s="17">
        <f>'Grid_Stock'!BY77</f>
        <v/>
      </c>
      <c r="CH82" s="17">
        <f>'Grid_Stock'!BZ77</f>
        <v/>
      </c>
      <c r="CI82" s="17">
        <f>'Grid_Stock'!CA77</f>
        <v/>
      </c>
      <c r="CJ82" s="17">
        <f>'Grid_Stock'!CB77</f>
        <v/>
      </c>
      <c r="CK82" s="17">
        <f>'Grid_Stock'!CC77</f>
        <v/>
      </c>
      <c r="CL82" s="17">
        <f>'Grid_Stock'!CD77</f>
        <v/>
      </c>
      <c r="CM82" s="17">
        <f>'Grid_Stock'!CE77</f>
        <v/>
      </c>
      <c r="CN82" s="17">
        <f>'Grid_Stock'!CF77</f>
        <v/>
      </c>
      <c r="CO82" s="17">
        <f>'Grid_Stock'!CG77</f>
        <v/>
      </c>
      <c r="CP82" s="17">
        <f>'Grid_Stock'!CH77</f>
        <v/>
      </c>
      <c r="CQ82" s="17">
        <f>'Grid_Stock'!CI77</f>
        <v/>
      </c>
      <c r="CR82" s="17">
        <f>'Grid_Stock'!CJ77</f>
        <v/>
      </c>
      <c r="CS82" s="17">
        <f>'Grid_Stock'!CK77</f>
        <v/>
      </c>
      <c r="CT82" s="17">
        <f>'Grid_Stock'!CL77</f>
        <v/>
      </c>
      <c r="CU82" s="17">
        <f>'Grid_Stock'!CM77</f>
        <v/>
      </c>
      <c r="CV82" s="17">
        <f>'Grid_Stock'!CN77</f>
        <v/>
      </c>
      <c r="CW82" s="17">
        <f>'Grid_Stock'!CO77</f>
        <v/>
      </c>
      <c r="CX82" s="17">
        <f>'Grid_Stock'!CP77</f>
        <v/>
      </c>
      <c r="CY82" s="17">
        <f>'Grid_Stock'!CQ77</f>
        <v/>
      </c>
      <c r="CZ82" s="17">
        <f>'Grid_Stock'!CR77</f>
        <v/>
      </c>
      <c r="DA82" s="17">
        <f>'Grid_Stock'!CS77</f>
        <v/>
      </c>
      <c r="DB82" s="17">
        <f>'Grid_Stock'!CT77</f>
        <v/>
      </c>
      <c r="DC82" s="17">
        <f>'Grid_Stock'!CU77</f>
        <v/>
      </c>
      <c r="DD82" s="17">
        <f>'Grid_Stock'!CV77</f>
        <v/>
      </c>
      <c r="DE82" s="17">
        <f>'Grid_Stock'!CW77</f>
        <v/>
      </c>
      <c r="DF82" s="17">
        <f>'Grid_Stock'!CX77</f>
        <v/>
      </c>
      <c r="DG82" s="17">
        <f>'Grid_Stock'!CY77</f>
        <v/>
      </c>
      <c r="DH82" s="17">
        <f>'Grid_Stock'!CZ77</f>
        <v/>
      </c>
      <c r="DI82" s="17">
        <f>'Grid_Stock'!DA77</f>
        <v/>
      </c>
    </row>
    <row r="83">
      <c r="A83" s="15" t="inlineStr">
        <is>
          <t>Chem-1610</t>
        </is>
      </c>
      <c r="B83" s="15">
        <f>IFERROR(INDEX(M_RawMaterials[Description],MATCH($A83,M_RawMaterials[RM_Code],0)),"")</f>
        <v/>
      </c>
      <c r="C83" s="15">
        <f>IFERROR(INDEX(M_RawMaterials[Category],MATCH($A83,M_RawMaterials[RM_Code],0)),"")</f>
        <v/>
      </c>
      <c r="D83" s="15">
        <f>IFERROR(INDEX(M_RawMaterials[基準在庫下限_要入力],MATCH($A83,M_RawMaterials[RM_Code],0)),0)</f>
        <v/>
      </c>
      <c r="E83" s="15">
        <f>IFERROR(INDEX(M_RawMaterials[基準在庫上限_要入力],MATCH($A83,M_RawMaterials[RM_Code],0)),0)</f>
        <v/>
      </c>
      <c r="F83" s="15">
        <f>IFERROR(LOOKUP(2,1/(T_SelfStock!$A$2:$A$12000=$A83),T_SelfStock!$D$2:$D$12000),"")</f>
        <v/>
      </c>
      <c r="G83" s="15">
        <f>IFERROR(LOOKUP(2,1/(T_TTAFStock!$A$2:$A$12000=$A83),T_TTAFStock!$D$2:$D$12000),"")</f>
        <v/>
      </c>
      <c r="H83" s="15">
        <f>IFERROR(INDEX(Cal_Weeks[Label],LOOKUP(2,1/(T_SelfStock!$A$2:$A$12000=$A83),T_SelfStock!$C$2:$C$12000)),"")</f>
        <v/>
      </c>
      <c r="I83" s="16">
        <f>IFERROR(INDEX(J83:DI83,$F$1),"")</f>
        <v/>
      </c>
      <c r="J83" s="15">
        <f>'Grid_Stock'!B78</f>
        <v/>
      </c>
      <c r="K83" s="15">
        <f>'Grid_Stock'!C78</f>
        <v/>
      </c>
      <c r="L83" s="15">
        <f>'Grid_Stock'!D78</f>
        <v/>
      </c>
      <c r="M83" s="15">
        <f>'Grid_Stock'!E78</f>
        <v/>
      </c>
      <c r="N83" s="15">
        <f>'Grid_Stock'!F78</f>
        <v/>
      </c>
      <c r="O83" s="15">
        <f>'Grid_Stock'!G78</f>
        <v/>
      </c>
      <c r="P83" s="15">
        <f>'Grid_Stock'!H78</f>
        <v/>
      </c>
      <c r="Q83" s="15">
        <f>'Grid_Stock'!I78</f>
        <v/>
      </c>
      <c r="R83" s="15">
        <f>'Grid_Stock'!J78</f>
        <v/>
      </c>
      <c r="S83" s="15">
        <f>'Grid_Stock'!K78</f>
        <v/>
      </c>
      <c r="T83" s="15">
        <f>'Grid_Stock'!L78</f>
        <v/>
      </c>
      <c r="U83" s="15">
        <f>'Grid_Stock'!M78</f>
        <v/>
      </c>
      <c r="V83" s="15">
        <f>'Grid_Stock'!N78</f>
        <v/>
      </c>
      <c r="W83" s="15">
        <f>'Grid_Stock'!O78</f>
        <v/>
      </c>
      <c r="X83" s="15">
        <f>'Grid_Stock'!P78</f>
        <v/>
      </c>
      <c r="Y83" s="15">
        <f>'Grid_Stock'!Q78</f>
        <v/>
      </c>
      <c r="Z83" s="15">
        <f>'Grid_Stock'!R78</f>
        <v/>
      </c>
      <c r="AA83" s="15">
        <f>'Grid_Stock'!S78</f>
        <v/>
      </c>
      <c r="AB83" s="15">
        <f>'Grid_Stock'!T78</f>
        <v/>
      </c>
      <c r="AC83" s="15">
        <f>'Grid_Stock'!U78</f>
        <v/>
      </c>
      <c r="AD83" s="15">
        <f>'Grid_Stock'!V78</f>
        <v/>
      </c>
      <c r="AE83" s="15">
        <f>'Grid_Stock'!W78</f>
        <v/>
      </c>
      <c r="AF83" s="15">
        <f>'Grid_Stock'!X78</f>
        <v/>
      </c>
      <c r="AG83" s="15">
        <f>'Grid_Stock'!Y78</f>
        <v/>
      </c>
      <c r="AH83" s="15">
        <f>'Grid_Stock'!Z78</f>
        <v/>
      </c>
      <c r="AI83" s="15">
        <f>'Grid_Stock'!AA78</f>
        <v/>
      </c>
      <c r="AJ83" s="15">
        <f>'Grid_Stock'!AB78</f>
        <v/>
      </c>
      <c r="AK83" s="15">
        <f>'Grid_Stock'!AC78</f>
        <v/>
      </c>
      <c r="AL83" s="15">
        <f>'Grid_Stock'!AD78</f>
        <v/>
      </c>
      <c r="AM83" s="15">
        <f>'Grid_Stock'!AE78</f>
        <v/>
      </c>
      <c r="AN83" s="15">
        <f>'Grid_Stock'!AF78</f>
        <v/>
      </c>
      <c r="AO83" s="15">
        <f>'Grid_Stock'!AG78</f>
        <v/>
      </c>
      <c r="AP83" s="15">
        <f>'Grid_Stock'!AH78</f>
        <v/>
      </c>
      <c r="AQ83" s="15">
        <f>'Grid_Stock'!AI78</f>
        <v/>
      </c>
      <c r="AR83" s="15">
        <f>'Grid_Stock'!AJ78</f>
        <v/>
      </c>
      <c r="AS83" s="15">
        <f>'Grid_Stock'!AK78</f>
        <v/>
      </c>
      <c r="AT83" s="15">
        <f>'Grid_Stock'!AL78</f>
        <v/>
      </c>
      <c r="AU83" s="15">
        <f>'Grid_Stock'!AM78</f>
        <v/>
      </c>
      <c r="AV83" s="15">
        <f>'Grid_Stock'!AN78</f>
        <v/>
      </c>
      <c r="AW83" s="15">
        <f>'Grid_Stock'!AO78</f>
        <v/>
      </c>
      <c r="AX83" s="15">
        <f>'Grid_Stock'!AP78</f>
        <v/>
      </c>
      <c r="AY83" s="15">
        <f>'Grid_Stock'!AQ78</f>
        <v/>
      </c>
      <c r="AZ83" s="15">
        <f>'Grid_Stock'!AR78</f>
        <v/>
      </c>
      <c r="BA83" s="15">
        <f>'Grid_Stock'!AS78</f>
        <v/>
      </c>
      <c r="BB83" s="15">
        <f>'Grid_Stock'!AT78</f>
        <v/>
      </c>
      <c r="BC83" s="15">
        <f>'Grid_Stock'!AU78</f>
        <v/>
      </c>
      <c r="BD83" s="15">
        <f>'Grid_Stock'!AV78</f>
        <v/>
      </c>
      <c r="BE83" s="15">
        <f>'Grid_Stock'!AW78</f>
        <v/>
      </c>
      <c r="BF83" s="15">
        <f>'Grid_Stock'!AX78</f>
        <v/>
      </c>
      <c r="BG83" s="15">
        <f>'Grid_Stock'!AY78</f>
        <v/>
      </c>
      <c r="BH83" s="15">
        <f>'Grid_Stock'!AZ78</f>
        <v/>
      </c>
      <c r="BI83" s="15">
        <f>'Grid_Stock'!BA78</f>
        <v/>
      </c>
      <c r="BJ83" s="15">
        <f>'Grid_Stock'!BB78</f>
        <v/>
      </c>
      <c r="BK83" s="15">
        <f>'Grid_Stock'!BC78</f>
        <v/>
      </c>
      <c r="BL83" s="15">
        <f>'Grid_Stock'!BD78</f>
        <v/>
      </c>
      <c r="BM83" s="15">
        <f>'Grid_Stock'!BE78</f>
        <v/>
      </c>
      <c r="BN83" s="15">
        <f>'Grid_Stock'!BF78</f>
        <v/>
      </c>
      <c r="BO83" s="15">
        <f>'Grid_Stock'!BG78</f>
        <v/>
      </c>
      <c r="BP83" s="15">
        <f>'Grid_Stock'!BH78</f>
        <v/>
      </c>
      <c r="BQ83" s="15">
        <f>'Grid_Stock'!BI78</f>
        <v/>
      </c>
      <c r="BR83" s="15">
        <f>'Grid_Stock'!BJ78</f>
        <v/>
      </c>
      <c r="BS83" s="15">
        <f>'Grid_Stock'!BK78</f>
        <v/>
      </c>
      <c r="BT83" s="15">
        <f>'Grid_Stock'!BL78</f>
        <v/>
      </c>
      <c r="BU83" s="15">
        <f>'Grid_Stock'!BM78</f>
        <v/>
      </c>
      <c r="BV83" s="15">
        <f>'Grid_Stock'!BN78</f>
        <v/>
      </c>
      <c r="BW83" s="15">
        <f>'Grid_Stock'!BO78</f>
        <v/>
      </c>
      <c r="BX83" s="15">
        <f>'Grid_Stock'!BP78</f>
        <v/>
      </c>
      <c r="BY83" s="15">
        <f>'Grid_Stock'!BQ78</f>
        <v/>
      </c>
      <c r="BZ83" s="15">
        <f>'Grid_Stock'!BR78</f>
        <v/>
      </c>
      <c r="CA83" s="15">
        <f>'Grid_Stock'!BS78</f>
        <v/>
      </c>
      <c r="CB83" s="15">
        <f>'Grid_Stock'!BT78</f>
        <v/>
      </c>
      <c r="CC83" s="15">
        <f>'Grid_Stock'!BU78</f>
        <v/>
      </c>
      <c r="CD83" s="15">
        <f>'Grid_Stock'!BV78</f>
        <v/>
      </c>
      <c r="CE83" s="15">
        <f>'Grid_Stock'!BW78</f>
        <v/>
      </c>
      <c r="CF83" s="15">
        <f>'Grid_Stock'!BX78</f>
        <v/>
      </c>
      <c r="CG83" s="15">
        <f>'Grid_Stock'!BY78</f>
        <v/>
      </c>
      <c r="CH83" s="15">
        <f>'Grid_Stock'!BZ78</f>
        <v/>
      </c>
      <c r="CI83" s="15">
        <f>'Grid_Stock'!CA78</f>
        <v/>
      </c>
      <c r="CJ83" s="15">
        <f>'Grid_Stock'!CB78</f>
        <v/>
      </c>
      <c r="CK83" s="15">
        <f>'Grid_Stock'!CC78</f>
        <v/>
      </c>
      <c r="CL83" s="15">
        <f>'Grid_Stock'!CD78</f>
        <v/>
      </c>
      <c r="CM83" s="15">
        <f>'Grid_Stock'!CE78</f>
        <v/>
      </c>
      <c r="CN83" s="15">
        <f>'Grid_Stock'!CF78</f>
        <v/>
      </c>
      <c r="CO83" s="15">
        <f>'Grid_Stock'!CG78</f>
        <v/>
      </c>
      <c r="CP83" s="15">
        <f>'Grid_Stock'!CH78</f>
        <v/>
      </c>
      <c r="CQ83" s="15">
        <f>'Grid_Stock'!CI78</f>
        <v/>
      </c>
      <c r="CR83" s="15">
        <f>'Grid_Stock'!CJ78</f>
        <v/>
      </c>
      <c r="CS83" s="15">
        <f>'Grid_Stock'!CK78</f>
        <v/>
      </c>
      <c r="CT83" s="15">
        <f>'Grid_Stock'!CL78</f>
        <v/>
      </c>
      <c r="CU83" s="15">
        <f>'Grid_Stock'!CM78</f>
        <v/>
      </c>
      <c r="CV83" s="15">
        <f>'Grid_Stock'!CN78</f>
        <v/>
      </c>
      <c r="CW83" s="15">
        <f>'Grid_Stock'!CO78</f>
        <v/>
      </c>
      <c r="CX83" s="15">
        <f>'Grid_Stock'!CP78</f>
        <v/>
      </c>
      <c r="CY83" s="15">
        <f>'Grid_Stock'!CQ78</f>
        <v/>
      </c>
      <c r="CZ83" s="15">
        <f>'Grid_Stock'!CR78</f>
        <v/>
      </c>
      <c r="DA83" s="15">
        <f>'Grid_Stock'!CS78</f>
        <v/>
      </c>
      <c r="DB83" s="15">
        <f>'Grid_Stock'!CT78</f>
        <v/>
      </c>
      <c r="DC83" s="15">
        <f>'Grid_Stock'!CU78</f>
        <v/>
      </c>
      <c r="DD83" s="15">
        <f>'Grid_Stock'!CV78</f>
        <v/>
      </c>
      <c r="DE83" s="15">
        <f>'Grid_Stock'!CW78</f>
        <v/>
      </c>
      <c r="DF83" s="15">
        <f>'Grid_Stock'!CX78</f>
        <v/>
      </c>
      <c r="DG83" s="15">
        <f>'Grid_Stock'!CY78</f>
        <v/>
      </c>
      <c r="DH83" s="15">
        <f>'Grid_Stock'!CZ78</f>
        <v/>
      </c>
      <c r="DI83" s="15">
        <f>'Grid_Stock'!DA78</f>
        <v/>
      </c>
    </row>
    <row r="84">
      <c r="A84" s="17" t="inlineStr">
        <is>
          <t>Chem-1490</t>
        </is>
      </c>
      <c r="B84" s="17">
        <f>IFERROR(INDEX(M_RawMaterials[Description],MATCH($A84,M_RawMaterials[RM_Code],0)),"")</f>
        <v/>
      </c>
      <c r="C84" s="17">
        <f>IFERROR(INDEX(M_RawMaterials[Category],MATCH($A84,M_RawMaterials[RM_Code],0)),"")</f>
        <v/>
      </c>
      <c r="D84" s="17">
        <f>IFERROR(INDEX(M_RawMaterials[基準在庫下限_要入力],MATCH($A84,M_RawMaterials[RM_Code],0)),0)</f>
        <v/>
      </c>
      <c r="E84" s="17">
        <f>IFERROR(INDEX(M_RawMaterials[基準在庫上限_要入力],MATCH($A84,M_RawMaterials[RM_Code],0)),0)</f>
        <v/>
      </c>
      <c r="F84" s="17">
        <f>IFERROR(LOOKUP(2,1/(T_SelfStock!$A$2:$A$12000=$A84),T_SelfStock!$D$2:$D$12000),"")</f>
        <v/>
      </c>
      <c r="G84" s="17">
        <f>IFERROR(LOOKUP(2,1/(T_TTAFStock!$A$2:$A$12000=$A84),T_TTAFStock!$D$2:$D$12000),"")</f>
        <v/>
      </c>
      <c r="H84" s="17">
        <f>IFERROR(INDEX(Cal_Weeks[Label],LOOKUP(2,1/(T_SelfStock!$A$2:$A$12000=$A84),T_SelfStock!$C$2:$C$12000)),"")</f>
        <v/>
      </c>
      <c r="I84" s="16">
        <f>IFERROR(INDEX(J84:DI84,$F$1),"")</f>
        <v/>
      </c>
      <c r="J84" s="17">
        <f>'Grid_Stock'!B79</f>
        <v/>
      </c>
      <c r="K84" s="17">
        <f>'Grid_Stock'!C79</f>
        <v/>
      </c>
      <c r="L84" s="17">
        <f>'Grid_Stock'!D79</f>
        <v/>
      </c>
      <c r="M84" s="17">
        <f>'Grid_Stock'!E79</f>
        <v/>
      </c>
      <c r="N84" s="17">
        <f>'Grid_Stock'!F79</f>
        <v/>
      </c>
      <c r="O84" s="17">
        <f>'Grid_Stock'!G79</f>
        <v/>
      </c>
      <c r="P84" s="17">
        <f>'Grid_Stock'!H79</f>
        <v/>
      </c>
      <c r="Q84" s="17">
        <f>'Grid_Stock'!I79</f>
        <v/>
      </c>
      <c r="R84" s="17">
        <f>'Grid_Stock'!J79</f>
        <v/>
      </c>
      <c r="S84" s="17">
        <f>'Grid_Stock'!K79</f>
        <v/>
      </c>
      <c r="T84" s="17">
        <f>'Grid_Stock'!L79</f>
        <v/>
      </c>
      <c r="U84" s="17">
        <f>'Grid_Stock'!M79</f>
        <v/>
      </c>
      <c r="V84" s="17">
        <f>'Grid_Stock'!N79</f>
        <v/>
      </c>
      <c r="W84" s="17">
        <f>'Grid_Stock'!O79</f>
        <v/>
      </c>
      <c r="X84" s="17">
        <f>'Grid_Stock'!P79</f>
        <v/>
      </c>
      <c r="Y84" s="17">
        <f>'Grid_Stock'!Q79</f>
        <v/>
      </c>
      <c r="Z84" s="17">
        <f>'Grid_Stock'!R79</f>
        <v/>
      </c>
      <c r="AA84" s="17">
        <f>'Grid_Stock'!S79</f>
        <v/>
      </c>
      <c r="AB84" s="17">
        <f>'Grid_Stock'!T79</f>
        <v/>
      </c>
      <c r="AC84" s="17">
        <f>'Grid_Stock'!U79</f>
        <v/>
      </c>
      <c r="AD84" s="17">
        <f>'Grid_Stock'!V79</f>
        <v/>
      </c>
      <c r="AE84" s="17">
        <f>'Grid_Stock'!W79</f>
        <v/>
      </c>
      <c r="AF84" s="17">
        <f>'Grid_Stock'!X79</f>
        <v/>
      </c>
      <c r="AG84" s="17">
        <f>'Grid_Stock'!Y79</f>
        <v/>
      </c>
      <c r="AH84" s="17">
        <f>'Grid_Stock'!Z79</f>
        <v/>
      </c>
      <c r="AI84" s="17">
        <f>'Grid_Stock'!AA79</f>
        <v/>
      </c>
      <c r="AJ84" s="17">
        <f>'Grid_Stock'!AB79</f>
        <v/>
      </c>
      <c r="AK84" s="17">
        <f>'Grid_Stock'!AC79</f>
        <v/>
      </c>
      <c r="AL84" s="17">
        <f>'Grid_Stock'!AD79</f>
        <v/>
      </c>
      <c r="AM84" s="17">
        <f>'Grid_Stock'!AE79</f>
        <v/>
      </c>
      <c r="AN84" s="17">
        <f>'Grid_Stock'!AF79</f>
        <v/>
      </c>
      <c r="AO84" s="17">
        <f>'Grid_Stock'!AG79</f>
        <v/>
      </c>
      <c r="AP84" s="17">
        <f>'Grid_Stock'!AH79</f>
        <v/>
      </c>
      <c r="AQ84" s="17">
        <f>'Grid_Stock'!AI79</f>
        <v/>
      </c>
      <c r="AR84" s="17">
        <f>'Grid_Stock'!AJ79</f>
        <v/>
      </c>
      <c r="AS84" s="17">
        <f>'Grid_Stock'!AK79</f>
        <v/>
      </c>
      <c r="AT84" s="17">
        <f>'Grid_Stock'!AL79</f>
        <v/>
      </c>
      <c r="AU84" s="17">
        <f>'Grid_Stock'!AM79</f>
        <v/>
      </c>
      <c r="AV84" s="17">
        <f>'Grid_Stock'!AN79</f>
        <v/>
      </c>
      <c r="AW84" s="17">
        <f>'Grid_Stock'!AO79</f>
        <v/>
      </c>
      <c r="AX84" s="17">
        <f>'Grid_Stock'!AP79</f>
        <v/>
      </c>
      <c r="AY84" s="17">
        <f>'Grid_Stock'!AQ79</f>
        <v/>
      </c>
      <c r="AZ84" s="17">
        <f>'Grid_Stock'!AR79</f>
        <v/>
      </c>
      <c r="BA84" s="17">
        <f>'Grid_Stock'!AS79</f>
        <v/>
      </c>
      <c r="BB84" s="17">
        <f>'Grid_Stock'!AT79</f>
        <v/>
      </c>
      <c r="BC84" s="17">
        <f>'Grid_Stock'!AU79</f>
        <v/>
      </c>
      <c r="BD84" s="17">
        <f>'Grid_Stock'!AV79</f>
        <v/>
      </c>
      <c r="BE84" s="17">
        <f>'Grid_Stock'!AW79</f>
        <v/>
      </c>
      <c r="BF84" s="17">
        <f>'Grid_Stock'!AX79</f>
        <v/>
      </c>
      <c r="BG84" s="17">
        <f>'Grid_Stock'!AY79</f>
        <v/>
      </c>
      <c r="BH84" s="17">
        <f>'Grid_Stock'!AZ79</f>
        <v/>
      </c>
      <c r="BI84" s="17">
        <f>'Grid_Stock'!BA79</f>
        <v/>
      </c>
      <c r="BJ84" s="17">
        <f>'Grid_Stock'!BB79</f>
        <v/>
      </c>
      <c r="BK84" s="17">
        <f>'Grid_Stock'!BC79</f>
        <v/>
      </c>
      <c r="BL84" s="17">
        <f>'Grid_Stock'!BD79</f>
        <v/>
      </c>
      <c r="BM84" s="17">
        <f>'Grid_Stock'!BE79</f>
        <v/>
      </c>
      <c r="BN84" s="17">
        <f>'Grid_Stock'!BF79</f>
        <v/>
      </c>
      <c r="BO84" s="17">
        <f>'Grid_Stock'!BG79</f>
        <v/>
      </c>
      <c r="BP84" s="17">
        <f>'Grid_Stock'!BH79</f>
        <v/>
      </c>
      <c r="BQ84" s="17">
        <f>'Grid_Stock'!BI79</f>
        <v/>
      </c>
      <c r="BR84" s="17">
        <f>'Grid_Stock'!BJ79</f>
        <v/>
      </c>
      <c r="BS84" s="17">
        <f>'Grid_Stock'!BK79</f>
        <v/>
      </c>
      <c r="BT84" s="17">
        <f>'Grid_Stock'!BL79</f>
        <v/>
      </c>
      <c r="BU84" s="17">
        <f>'Grid_Stock'!BM79</f>
        <v/>
      </c>
      <c r="BV84" s="17">
        <f>'Grid_Stock'!BN79</f>
        <v/>
      </c>
      <c r="BW84" s="17">
        <f>'Grid_Stock'!BO79</f>
        <v/>
      </c>
      <c r="BX84" s="17">
        <f>'Grid_Stock'!BP79</f>
        <v/>
      </c>
      <c r="BY84" s="17">
        <f>'Grid_Stock'!BQ79</f>
        <v/>
      </c>
      <c r="BZ84" s="17">
        <f>'Grid_Stock'!BR79</f>
        <v/>
      </c>
      <c r="CA84" s="17">
        <f>'Grid_Stock'!BS79</f>
        <v/>
      </c>
      <c r="CB84" s="17">
        <f>'Grid_Stock'!BT79</f>
        <v/>
      </c>
      <c r="CC84" s="17">
        <f>'Grid_Stock'!BU79</f>
        <v/>
      </c>
      <c r="CD84" s="17">
        <f>'Grid_Stock'!BV79</f>
        <v/>
      </c>
      <c r="CE84" s="17">
        <f>'Grid_Stock'!BW79</f>
        <v/>
      </c>
      <c r="CF84" s="17">
        <f>'Grid_Stock'!BX79</f>
        <v/>
      </c>
      <c r="CG84" s="17">
        <f>'Grid_Stock'!BY79</f>
        <v/>
      </c>
      <c r="CH84" s="17">
        <f>'Grid_Stock'!BZ79</f>
        <v/>
      </c>
      <c r="CI84" s="17">
        <f>'Grid_Stock'!CA79</f>
        <v/>
      </c>
      <c r="CJ84" s="17">
        <f>'Grid_Stock'!CB79</f>
        <v/>
      </c>
      <c r="CK84" s="17">
        <f>'Grid_Stock'!CC79</f>
        <v/>
      </c>
      <c r="CL84" s="17">
        <f>'Grid_Stock'!CD79</f>
        <v/>
      </c>
      <c r="CM84" s="17">
        <f>'Grid_Stock'!CE79</f>
        <v/>
      </c>
      <c r="CN84" s="17">
        <f>'Grid_Stock'!CF79</f>
        <v/>
      </c>
      <c r="CO84" s="17">
        <f>'Grid_Stock'!CG79</f>
        <v/>
      </c>
      <c r="CP84" s="17">
        <f>'Grid_Stock'!CH79</f>
        <v/>
      </c>
      <c r="CQ84" s="17">
        <f>'Grid_Stock'!CI79</f>
        <v/>
      </c>
      <c r="CR84" s="17">
        <f>'Grid_Stock'!CJ79</f>
        <v/>
      </c>
      <c r="CS84" s="17">
        <f>'Grid_Stock'!CK79</f>
        <v/>
      </c>
      <c r="CT84" s="17">
        <f>'Grid_Stock'!CL79</f>
        <v/>
      </c>
      <c r="CU84" s="17">
        <f>'Grid_Stock'!CM79</f>
        <v/>
      </c>
      <c r="CV84" s="17">
        <f>'Grid_Stock'!CN79</f>
        <v/>
      </c>
      <c r="CW84" s="17">
        <f>'Grid_Stock'!CO79</f>
        <v/>
      </c>
      <c r="CX84" s="17">
        <f>'Grid_Stock'!CP79</f>
        <v/>
      </c>
      <c r="CY84" s="17">
        <f>'Grid_Stock'!CQ79</f>
        <v/>
      </c>
      <c r="CZ84" s="17">
        <f>'Grid_Stock'!CR79</f>
        <v/>
      </c>
      <c r="DA84" s="17">
        <f>'Grid_Stock'!CS79</f>
        <v/>
      </c>
      <c r="DB84" s="17">
        <f>'Grid_Stock'!CT79</f>
        <v/>
      </c>
      <c r="DC84" s="17">
        <f>'Grid_Stock'!CU79</f>
        <v/>
      </c>
      <c r="DD84" s="17">
        <f>'Grid_Stock'!CV79</f>
        <v/>
      </c>
      <c r="DE84" s="17">
        <f>'Grid_Stock'!CW79</f>
        <v/>
      </c>
      <c r="DF84" s="17">
        <f>'Grid_Stock'!CX79</f>
        <v/>
      </c>
      <c r="DG84" s="17">
        <f>'Grid_Stock'!CY79</f>
        <v/>
      </c>
      <c r="DH84" s="17">
        <f>'Grid_Stock'!CZ79</f>
        <v/>
      </c>
      <c r="DI84" s="17">
        <f>'Grid_Stock'!DA79</f>
        <v/>
      </c>
    </row>
    <row r="85">
      <c r="A85" s="15" t="inlineStr">
        <is>
          <t>Chem-1790</t>
        </is>
      </c>
      <c r="B85" s="15">
        <f>IFERROR(INDEX(M_RawMaterials[Description],MATCH($A85,M_RawMaterials[RM_Code],0)),"")</f>
        <v/>
      </c>
      <c r="C85" s="15">
        <f>IFERROR(INDEX(M_RawMaterials[Category],MATCH($A85,M_RawMaterials[RM_Code],0)),"")</f>
        <v/>
      </c>
      <c r="D85" s="15">
        <f>IFERROR(INDEX(M_RawMaterials[基準在庫下限_要入力],MATCH($A85,M_RawMaterials[RM_Code],0)),0)</f>
        <v/>
      </c>
      <c r="E85" s="15">
        <f>IFERROR(INDEX(M_RawMaterials[基準在庫上限_要入力],MATCH($A85,M_RawMaterials[RM_Code],0)),0)</f>
        <v/>
      </c>
      <c r="F85" s="15">
        <f>IFERROR(LOOKUP(2,1/(T_SelfStock!$A$2:$A$12000=$A85),T_SelfStock!$D$2:$D$12000),"")</f>
        <v/>
      </c>
      <c r="G85" s="15">
        <f>IFERROR(LOOKUP(2,1/(T_TTAFStock!$A$2:$A$12000=$A85),T_TTAFStock!$D$2:$D$12000),"")</f>
        <v/>
      </c>
      <c r="H85" s="15">
        <f>IFERROR(INDEX(Cal_Weeks[Label],LOOKUP(2,1/(T_SelfStock!$A$2:$A$12000=$A85),T_SelfStock!$C$2:$C$12000)),"")</f>
        <v/>
      </c>
      <c r="I85" s="16">
        <f>IFERROR(INDEX(J85:DI85,$F$1),"")</f>
        <v/>
      </c>
      <c r="J85" s="15">
        <f>'Grid_Stock'!B80</f>
        <v/>
      </c>
      <c r="K85" s="15">
        <f>'Grid_Stock'!C80</f>
        <v/>
      </c>
      <c r="L85" s="15">
        <f>'Grid_Stock'!D80</f>
        <v/>
      </c>
      <c r="M85" s="15">
        <f>'Grid_Stock'!E80</f>
        <v/>
      </c>
      <c r="N85" s="15">
        <f>'Grid_Stock'!F80</f>
        <v/>
      </c>
      <c r="O85" s="15">
        <f>'Grid_Stock'!G80</f>
        <v/>
      </c>
      <c r="P85" s="15">
        <f>'Grid_Stock'!H80</f>
        <v/>
      </c>
      <c r="Q85" s="15">
        <f>'Grid_Stock'!I80</f>
        <v/>
      </c>
      <c r="R85" s="15">
        <f>'Grid_Stock'!J80</f>
        <v/>
      </c>
      <c r="S85" s="15">
        <f>'Grid_Stock'!K80</f>
        <v/>
      </c>
      <c r="T85" s="15">
        <f>'Grid_Stock'!L80</f>
        <v/>
      </c>
      <c r="U85" s="15">
        <f>'Grid_Stock'!M80</f>
        <v/>
      </c>
      <c r="V85" s="15">
        <f>'Grid_Stock'!N80</f>
        <v/>
      </c>
      <c r="W85" s="15">
        <f>'Grid_Stock'!O80</f>
        <v/>
      </c>
      <c r="X85" s="15">
        <f>'Grid_Stock'!P80</f>
        <v/>
      </c>
      <c r="Y85" s="15">
        <f>'Grid_Stock'!Q80</f>
        <v/>
      </c>
      <c r="Z85" s="15">
        <f>'Grid_Stock'!R80</f>
        <v/>
      </c>
      <c r="AA85" s="15">
        <f>'Grid_Stock'!S80</f>
        <v/>
      </c>
      <c r="AB85" s="15">
        <f>'Grid_Stock'!T80</f>
        <v/>
      </c>
      <c r="AC85" s="15">
        <f>'Grid_Stock'!U80</f>
        <v/>
      </c>
      <c r="AD85" s="15">
        <f>'Grid_Stock'!V80</f>
        <v/>
      </c>
      <c r="AE85" s="15">
        <f>'Grid_Stock'!W80</f>
        <v/>
      </c>
      <c r="AF85" s="15">
        <f>'Grid_Stock'!X80</f>
        <v/>
      </c>
      <c r="AG85" s="15">
        <f>'Grid_Stock'!Y80</f>
        <v/>
      </c>
      <c r="AH85" s="15">
        <f>'Grid_Stock'!Z80</f>
        <v/>
      </c>
      <c r="AI85" s="15">
        <f>'Grid_Stock'!AA80</f>
        <v/>
      </c>
      <c r="AJ85" s="15">
        <f>'Grid_Stock'!AB80</f>
        <v/>
      </c>
      <c r="AK85" s="15">
        <f>'Grid_Stock'!AC80</f>
        <v/>
      </c>
      <c r="AL85" s="15">
        <f>'Grid_Stock'!AD80</f>
        <v/>
      </c>
      <c r="AM85" s="15">
        <f>'Grid_Stock'!AE80</f>
        <v/>
      </c>
      <c r="AN85" s="15">
        <f>'Grid_Stock'!AF80</f>
        <v/>
      </c>
      <c r="AO85" s="15">
        <f>'Grid_Stock'!AG80</f>
        <v/>
      </c>
      <c r="AP85" s="15">
        <f>'Grid_Stock'!AH80</f>
        <v/>
      </c>
      <c r="AQ85" s="15">
        <f>'Grid_Stock'!AI80</f>
        <v/>
      </c>
      <c r="AR85" s="15">
        <f>'Grid_Stock'!AJ80</f>
        <v/>
      </c>
      <c r="AS85" s="15">
        <f>'Grid_Stock'!AK80</f>
        <v/>
      </c>
      <c r="AT85" s="15">
        <f>'Grid_Stock'!AL80</f>
        <v/>
      </c>
      <c r="AU85" s="15">
        <f>'Grid_Stock'!AM80</f>
        <v/>
      </c>
      <c r="AV85" s="15">
        <f>'Grid_Stock'!AN80</f>
        <v/>
      </c>
      <c r="AW85" s="15">
        <f>'Grid_Stock'!AO80</f>
        <v/>
      </c>
      <c r="AX85" s="15">
        <f>'Grid_Stock'!AP80</f>
        <v/>
      </c>
      <c r="AY85" s="15">
        <f>'Grid_Stock'!AQ80</f>
        <v/>
      </c>
      <c r="AZ85" s="15">
        <f>'Grid_Stock'!AR80</f>
        <v/>
      </c>
      <c r="BA85" s="15">
        <f>'Grid_Stock'!AS80</f>
        <v/>
      </c>
      <c r="BB85" s="15">
        <f>'Grid_Stock'!AT80</f>
        <v/>
      </c>
      <c r="BC85" s="15">
        <f>'Grid_Stock'!AU80</f>
        <v/>
      </c>
      <c r="BD85" s="15">
        <f>'Grid_Stock'!AV80</f>
        <v/>
      </c>
      <c r="BE85" s="15">
        <f>'Grid_Stock'!AW80</f>
        <v/>
      </c>
      <c r="BF85" s="15">
        <f>'Grid_Stock'!AX80</f>
        <v/>
      </c>
      <c r="BG85" s="15">
        <f>'Grid_Stock'!AY80</f>
        <v/>
      </c>
      <c r="BH85" s="15">
        <f>'Grid_Stock'!AZ80</f>
        <v/>
      </c>
      <c r="BI85" s="15">
        <f>'Grid_Stock'!BA80</f>
        <v/>
      </c>
      <c r="BJ85" s="15">
        <f>'Grid_Stock'!BB80</f>
        <v/>
      </c>
      <c r="BK85" s="15">
        <f>'Grid_Stock'!BC80</f>
        <v/>
      </c>
      <c r="BL85" s="15">
        <f>'Grid_Stock'!BD80</f>
        <v/>
      </c>
      <c r="BM85" s="15">
        <f>'Grid_Stock'!BE80</f>
        <v/>
      </c>
      <c r="BN85" s="15">
        <f>'Grid_Stock'!BF80</f>
        <v/>
      </c>
      <c r="BO85" s="15">
        <f>'Grid_Stock'!BG80</f>
        <v/>
      </c>
      <c r="BP85" s="15">
        <f>'Grid_Stock'!BH80</f>
        <v/>
      </c>
      <c r="BQ85" s="15">
        <f>'Grid_Stock'!BI80</f>
        <v/>
      </c>
      <c r="BR85" s="15">
        <f>'Grid_Stock'!BJ80</f>
        <v/>
      </c>
      <c r="BS85" s="15">
        <f>'Grid_Stock'!BK80</f>
        <v/>
      </c>
      <c r="BT85" s="15">
        <f>'Grid_Stock'!BL80</f>
        <v/>
      </c>
      <c r="BU85" s="15">
        <f>'Grid_Stock'!BM80</f>
        <v/>
      </c>
      <c r="BV85" s="15">
        <f>'Grid_Stock'!BN80</f>
        <v/>
      </c>
      <c r="BW85" s="15">
        <f>'Grid_Stock'!BO80</f>
        <v/>
      </c>
      <c r="BX85" s="15">
        <f>'Grid_Stock'!BP80</f>
        <v/>
      </c>
      <c r="BY85" s="15">
        <f>'Grid_Stock'!BQ80</f>
        <v/>
      </c>
      <c r="BZ85" s="15">
        <f>'Grid_Stock'!BR80</f>
        <v/>
      </c>
      <c r="CA85" s="15">
        <f>'Grid_Stock'!BS80</f>
        <v/>
      </c>
      <c r="CB85" s="15">
        <f>'Grid_Stock'!BT80</f>
        <v/>
      </c>
      <c r="CC85" s="15">
        <f>'Grid_Stock'!BU80</f>
        <v/>
      </c>
      <c r="CD85" s="15">
        <f>'Grid_Stock'!BV80</f>
        <v/>
      </c>
      <c r="CE85" s="15">
        <f>'Grid_Stock'!BW80</f>
        <v/>
      </c>
      <c r="CF85" s="15">
        <f>'Grid_Stock'!BX80</f>
        <v/>
      </c>
      <c r="CG85" s="15">
        <f>'Grid_Stock'!BY80</f>
        <v/>
      </c>
      <c r="CH85" s="15">
        <f>'Grid_Stock'!BZ80</f>
        <v/>
      </c>
      <c r="CI85" s="15">
        <f>'Grid_Stock'!CA80</f>
        <v/>
      </c>
      <c r="CJ85" s="15">
        <f>'Grid_Stock'!CB80</f>
        <v/>
      </c>
      <c r="CK85" s="15">
        <f>'Grid_Stock'!CC80</f>
        <v/>
      </c>
      <c r="CL85" s="15">
        <f>'Grid_Stock'!CD80</f>
        <v/>
      </c>
      <c r="CM85" s="15">
        <f>'Grid_Stock'!CE80</f>
        <v/>
      </c>
      <c r="CN85" s="15">
        <f>'Grid_Stock'!CF80</f>
        <v/>
      </c>
      <c r="CO85" s="15">
        <f>'Grid_Stock'!CG80</f>
        <v/>
      </c>
      <c r="CP85" s="15">
        <f>'Grid_Stock'!CH80</f>
        <v/>
      </c>
      <c r="CQ85" s="15">
        <f>'Grid_Stock'!CI80</f>
        <v/>
      </c>
      <c r="CR85" s="15">
        <f>'Grid_Stock'!CJ80</f>
        <v/>
      </c>
      <c r="CS85" s="15">
        <f>'Grid_Stock'!CK80</f>
        <v/>
      </c>
      <c r="CT85" s="15">
        <f>'Grid_Stock'!CL80</f>
        <v/>
      </c>
      <c r="CU85" s="15">
        <f>'Grid_Stock'!CM80</f>
        <v/>
      </c>
      <c r="CV85" s="15">
        <f>'Grid_Stock'!CN80</f>
        <v/>
      </c>
      <c r="CW85" s="15">
        <f>'Grid_Stock'!CO80</f>
        <v/>
      </c>
      <c r="CX85" s="15">
        <f>'Grid_Stock'!CP80</f>
        <v/>
      </c>
      <c r="CY85" s="15">
        <f>'Grid_Stock'!CQ80</f>
        <v/>
      </c>
      <c r="CZ85" s="15">
        <f>'Grid_Stock'!CR80</f>
        <v/>
      </c>
      <c r="DA85" s="15">
        <f>'Grid_Stock'!CS80</f>
        <v/>
      </c>
      <c r="DB85" s="15">
        <f>'Grid_Stock'!CT80</f>
        <v/>
      </c>
      <c r="DC85" s="15">
        <f>'Grid_Stock'!CU80</f>
        <v/>
      </c>
      <c r="DD85" s="15">
        <f>'Grid_Stock'!CV80</f>
        <v/>
      </c>
      <c r="DE85" s="15">
        <f>'Grid_Stock'!CW80</f>
        <v/>
      </c>
      <c r="DF85" s="15">
        <f>'Grid_Stock'!CX80</f>
        <v/>
      </c>
      <c r="DG85" s="15">
        <f>'Grid_Stock'!CY80</f>
        <v/>
      </c>
      <c r="DH85" s="15">
        <f>'Grid_Stock'!CZ80</f>
        <v/>
      </c>
      <c r="DI85" s="15">
        <f>'Grid_Stock'!DA80</f>
        <v/>
      </c>
    </row>
    <row r="86">
      <c r="A86" s="17" t="inlineStr">
        <is>
          <t>Chem-1800</t>
        </is>
      </c>
      <c r="B86" s="17">
        <f>IFERROR(INDEX(M_RawMaterials[Description],MATCH($A86,M_RawMaterials[RM_Code],0)),"")</f>
        <v/>
      </c>
      <c r="C86" s="17">
        <f>IFERROR(INDEX(M_RawMaterials[Category],MATCH($A86,M_RawMaterials[RM_Code],0)),"")</f>
        <v/>
      </c>
      <c r="D86" s="17">
        <f>IFERROR(INDEX(M_RawMaterials[基準在庫下限_要入力],MATCH($A86,M_RawMaterials[RM_Code],0)),0)</f>
        <v/>
      </c>
      <c r="E86" s="17">
        <f>IFERROR(INDEX(M_RawMaterials[基準在庫上限_要入力],MATCH($A86,M_RawMaterials[RM_Code],0)),0)</f>
        <v/>
      </c>
      <c r="F86" s="17">
        <f>IFERROR(LOOKUP(2,1/(T_SelfStock!$A$2:$A$12000=$A86),T_SelfStock!$D$2:$D$12000),"")</f>
        <v/>
      </c>
      <c r="G86" s="17">
        <f>IFERROR(LOOKUP(2,1/(T_TTAFStock!$A$2:$A$12000=$A86),T_TTAFStock!$D$2:$D$12000),"")</f>
        <v/>
      </c>
      <c r="H86" s="17">
        <f>IFERROR(INDEX(Cal_Weeks[Label],LOOKUP(2,1/(T_SelfStock!$A$2:$A$12000=$A86),T_SelfStock!$C$2:$C$12000)),"")</f>
        <v/>
      </c>
      <c r="I86" s="16">
        <f>IFERROR(INDEX(J86:DI86,$F$1),"")</f>
        <v/>
      </c>
      <c r="J86" s="17">
        <f>'Grid_Stock'!B81</f>
        <v/>
      </c>
      <c r="K86" s="17">
        <f>'Grid_Stock'!C81</f>
        <v/>
      </c>
      <c r="L86" s="17">
        <f>'Grid_Stock'!D81</f>
        <v/>
      </c>
      <c r="M86" s="17">
        <f>'Grid_Stock'!E81</f>
        <v/>
      </c>
      <c r="N86" s="17">
        <f>'Grid_Stock'!F81</f>
        <v/>
      </c>
      <c r="O86" s="17">
        <f>'Grid_Stock'!G81</f>
        <v/>
      </c>
      <c r="P86" s="17">
        <f>'Grid_Stock'!H81</f>
        <v/>
      </c>
      <c r="Q86" s="17">
        <f>'Grid_Stock'!I81</f>
        <v/>
      </c>
      <c r="R86" s="17">
        <f>'Grid_Stock'!J81</f>
        <v/>
      </c>
      <c r="S86" s="17">
        <f>'Grid_Stock'!K81</f>
        <v/>
      </c>
      <c r="T86" s="17">
        <f>'Grid_Stock'!L81</f>
        <v/>
      </c>
      <c r="U86" s="17">
        <f>'Grid_Stock'!M81</f>
        <v/>
      </c>
      <c r="V86" s="17">
        <f>'Grid_Stock'!N81</f>
        <v/>
      </c>
      <c r="W86" s="17">
        <f>'Grid_Stock'!O81</f>
        <v/>
      </c>
      <c r="X86" s="17">
        <f>'Grid_Stock'!P81</f>
        <v/>
      </c>
      <c r="Y86" s="17">
        <f>'Grid_Stock'!Q81</f>
        <v/>
      </c>
      <c r="Z86" s="17">
        <f>'Grid_Stock'!R81</f>
        <v/>
      </c>
      <c r="AA86" s="17">
        <f>'Grid_Stock'!S81</f>
        <v/>
      </c>
      <c r="AB86" s="17">
        <f>'Grid_Stock'!T81</f>
        <v/>
      </c>
      <c r="AC86" s="17">
        <f>'Grid_Stock'!U81</f>
        <v/>
      </c>
      <c r="AD86" s="17">
        <f>'Grid_Stock'!V81</f>
        <v/>
      </c>
      <c r="AE86" s="17">
        <f>'Grid_Stock'!W81</f>
        <v/>
      </c>
      <c r="AF86" s="17">
        <f>'Grid_Stock'!X81</f>
        <v/>
      </c>
      <c r="AG86" s="17">
        <f>'Grid_Stock'!Y81</f>
        <v/>
      </c>
      <c r="AH86" s="17">
        <f>'Grid_Stock'!Z81</f>
        <v/>
      </c>
      <c r="AI86" s="17">
        <f>'Grid_Stock'!AA81</f>
        <v/>
      </c>
      <c r="AJ86" s="17">
        <f>'Grid_Stock'!AB81</f>
        <v/>
      </c>
      <c r="AK86" s="17">
        <f>'Grid_Stock'!AC81</f>
        <v/>
      </c>
      <c r="AL86" s="17">
        <f>'Grid_Stock'!AD81</f>
        <v/>
      </c>
      <c r="AM86" s="17">
        <f>'Grid_Stock'!AE81</f>
        <v/>
      </c>
      <c r="AN86" s="17">
        <f>'Grid_Stock'!AF81</f>
        <v/>
      </c>
      <c r="AO86" s="17">
        <f>'Grid_Stock'!AG81</f>
        <v/>
      </c>
      <c r="AP86" s="17">
        <f>'Grid_Stock'!AH81</f>
        <v/>
      </c>
      <c r="AQ86" s="17">
        <f>'Grid_Stock'!AI81</f>
        <v/>
      </c>
      <c r="AR86" s="17">
        <f>'Grid_Stock'!AJ81</f>
        <v/>
      </c>
      <c r="AS86" s="17">
        <f>'Grid_Stock'!AK81</f>
        <v/>
      </c>
      <c r="AT86" s="17">
        <f>'Grid_Stock'!AL81</f>
        <v/>
      </c>
      <c r="AU86" s="17">
        <f>'Grid_Stock'!AM81</f>
        <v/>
      </c>
      <c r="AV86" s="17">
        <f>'Grid_Stock'!AN81</f>
        <v/>
      </c>
      <c r="AW86" s="17">
        <f>'Grid_Stock'!AO81</f>
        <v/>
      </c>
      <c r="AX86" s="17">
        <f>'Grid_Stock'!AP81</f>
        <v/>
      </c>
      <c r="AY86" s="17">
        <f>'Grid_Stock'!AQ81</f>
        <v/>
      </c>
      <c r="AZ86" s="17">
        <f>'Grid_Stock'!AR81</f>
        <v/>
      </c>
      <c r="BA86" s="17">
        <f>'Grid_Stock'!AS81</f>
        <v/>
      </c>
      <c r="BB86" s="17">
        <f>'Grid_Stock'!AT81</f>
        <v/>
      </c>
      <c r="BC86" s="17">
        <f>'Grid_Stock'!AU81</f>
        <v/>
      </c>
      <c r="BD86" s="17">
        <f>'Grid_Stock'!AV81</f>
        <v/>
      </c>
      <c r="BE86" s="17">
        <f>'Grid_Stock'!AW81</f>
        <v/>
      </c>
      <c r="BF86" s="17">
        <f>'Grid_Stock'!AX81</f>
        <v/>
      </c>
      <c r="BG86" s="17">
        <f>'Grid_Stock'!AY81</f>
        <v/>
      </c>
      <c r="BH86" s="17">
        <f>'Grid_Stock'!AZ81</f>
        <v/>
      </c>
      <c r="BI86" s="17">
        <f>'Grid_Stock'!BA81</f>
        <v/>
      </c>
      <c r="BJ86" s="17">
        <f>'Grid_Stock'!BB81</f>
        <v/>
      </c>
      <c r="BK86" s="17">
        <f>'Grid_Stock'!BC81</f>
        <v/>
      </c>
      <c r="BL86" s="17">
        <f>'Grid_Stock'!BD81</f>
        <v/>
      </c>
      <c r="BM86" s="17">
        <f>'Grid_Stock'!BE81</f>
        <v/>
      </c>
      <c r="BN86" s="17">
        <f>'Grid_Stock'!BF81</f>
        <v/>
      </c>
      <c r="BO86" s="17">
        <f>'Grid_Stock'!BG81</f>
        <v/>
      </c>
      <c r="BP86" s="17">
        <f>'Grid_Stock'!BH81</f>
        <v/>
      </c>
      <c r="BQ86" s="17">
        <f>'Grid_Stock'!BI81</f>
        <v/>
      </c>
      <c r="BR86" s="17">
        <f>'Grid_Stock'!BJ81</f>
        <v/>
      </c>
      <c r="BS86" s="17">
        <f>'Grid_Stock'!BK81</f>
        <v/>
      </c>
      <c r="BT86" s="17">
        <f>'Grid_Stock'!BL81</f>
        <v/>
      </c>
      <c r="BU86" s="17">
        <f>'Grid_Stock'!BM81</f>
        <v/>
      </c>
      <c r="BV86" s="17">
        <f>'Grid_Stock'!BN81</f>
        <v/>
      </c>
      <c r="BW86" s="17">
        <f>'Grid_Stock'!BO81</f>
        <v/>
      </c>
      <c r="BX86" s="17">
        <f>'Grid_Stock'!BP81</f>
        <v/>
      </c>
      <c r="BY86" s="17">
        <f>'Grid_Stock'!BQ81</f>
        <v/>
      </c>
      <c r="BZ86" s="17">
        <f>'Grid_Stock'!BR81</f>
        <v/>
      </c>
      <c r="CA86" s="17">
        <f>'Grid_Stock'!BS81</f>
        <v/>
      </c>
      <c r="CB86" s="17">
        <f>'Grid_Stock'!BT81</f>
        <v/>
      </c>
      <c r="CC86" s="17">
        <f>'Grid_Stock'!BU81</f>
        <v/>
      </c>
      <c r="CD86" s="17">
        <f>'Grid_Stock'!BV81</f>
        <v/>
      </c>
      <c r="CE86" s="17">
        <f>'Grid_Stock'!BW81</f>
        <v/>
      </c>
      <c r="CF86" s="17">
        <f>'Grid_Stock'!BX81</f>
        <v/>
      </c>
      <c r="CG86" s="17">
        <f>'Grid_Stock'!BY81</f>
        <v/>
      </c>
      <c r="CH86" s="17">
        <f>'Grid_Stock'!BZ81</f>
        <v/>
      </c>
      <c r="CI86" s="17">
        <f>'Grid_Stock'!CA81</f>
        <v/>
      </c>
      <c r="CJ86" s="17">
        <f>'Grid_Stock'!CB81</f>
        <v/>
      </c>
      <c r="CK86" s="17">
        <f>'Grid_Stock'!CC81</f>
        <v/>
      </c>
      <c r="CL86" s="17">
        <f>'Grid_Stock'!CD81</f>
        <v/>
      </c>
      <c r="CM86" s="17">
        <f>'Grid_Stock'!CE81</f>
        <v/>
      </c>
      <c r="CN86" s="17">
        <f>'Grid_Stock'!CF81</f>
        <v/>
      </c>
      <c r="CO86" s="17">
        <f>'Grid_Stock'!CG81</f>
        <v/>
      </c>
      <c r="CP86" s="17">
        <f>'Grid_Stock'!CH81</f>
        <v/>
      </c>
      <c r="CQ86" s="17">
        <f>'Grid_Stock'!CI81</f>
        <v/>
      </c>
      <c r="CR86" s="17">
        <f>'Grid_Stock'!CJ81</f>
        <v/>
      </c>
      <c r="CS86" s="17">
        <f>'Grid_Stock'!CK81</f>
        <v/>
      </c>
      <c r="CT86" s="17">
        <f>'Grid_Stock'!CL81</f>
        <v/>
      </c>
      <c r="CU86" s="17">
        <f>'Grid_Stock'!CM81</f>
        <v/>
      </c>
      <c r="CV86" s="17">
        <f>'Grid_Stock'!CN81</f>
        <v/>
      </c>
      <c r="CW86" s="17">
        <f>'Grid_Stock'!CO81</f>
        <v/>
      </c>
      <c r="CX86" s="17">
        <f>'Grid_Stock'!CP81</f>
        <v/>
      </c>
      <c r="CY86" s="17">
        <f>'Grid_Stock'!CQ81</f>
        <v/>
      </c>
      <c r="CZ86" s="17">
        <f>'Grid_Stock'!CR81</f>
        <v/>
      </c>
      <c r="DA86" s="17">
        <f>'Grid_Stock'!CS81</f>
        <v/>
      </c>
      <c r="DB86" s="17">
        <f>'Grid_Stock'!CT81</f>
        <v/>
      </c>
      <c r="DC86" s="17">
        <f>'Grid_Stock'!CU81</f>
        <v/>
      </c>
      <c r="DD86" s="17">
        <f>'Grid_Stock'!CV81</f>
        <v/>
      </c>
      <c r="DE86" s="17">
        <f>'Grid_Stock'!CW81</f>
        <v/>
      </c>
      <c r="DF86" s="17">
        <f>'Grid_Stock'!CX81</f>
        <v/>
      </c>
      <c r="DG86" s="17">
        <f>'Grid_Stock'!CY81</f>
        <v/>
      </c>
      <c r="DH86" s="17">
        <f>'Grid_Stock'!CZ81</f>
        <v/>
      </c>
      <c r="DI86" s="17">
        <f>'Grid_Stock'!DA81</f>
        <v/>
      </c>
    </row>
    <row r="87">
      <c r="A87" s="15" t="inlineStr">
        <is>
          <t>A043</t>
        </is>
      </c>
      <c r="B87" s="15">
        <f>IFERROR(INDEX(M_RawMaterials[Description],MATCH($A87,M_RawMaterials[RM_Code],0)),"")</f>
        <v/>
      </c>
      <c r="C87" s="15">
        <f>IFERROR(INDEX(M_RawMaterials[Category],MATCH($A87,M_RawMaterials[RM_Code],0)),"")</f>
        <v/>
      </c>
      <c r="D87" s="15">
        <f>IFERROR(INDEX(M_RawMaterials[基準在庫下限_要入力],MATCH($A87,M_RawMaterials[RM_Code],0)),0)</f>
        <v/>
      </c>
      <c r="E87" s="15">
        <f>IFERROR(INDEX(M_RawMaterials[基準在庫上限_要入力],MATCH($A87,M_RawMaterials[RM_Code],0)),0)</f>
        <v/>
      </c>
      <c r="F87" s="15">
        <f>IFERROR(LOOKUP(2,1/(T_SelfStock!$A$2:$A$12000=$A87),T_SelfStock!$D$2:$D$12000),"")</f>
        <v/>
      </c>
      <c r="G87" s="15">
        <f>IFERROR(LOOKUP(2,1/(T_TTAFStock!$A$2:$A$12000=$A87),T_TTAFStock!$D$2:$D$12000),"")</f>
        <v/>
      </c>
      <c r="H87" s="15">
        <f>IFERROR(INDEX(Cal_Weeks[Label],LOOKUP(2,1/(T_SelfStock!$A$2:$A$12000=$A87),T_SelfStock!$C$2:$C$12000)),"")</f>
        <v/>
      </c>
      <c r="I87" s="16">
        <f>IFERROR(INDEX(J87:DI87,$F$1),"")</f>
        <v/>
      </c>
      <c r="J87" s="15">
        <f>'Grid_Stock'!B82</f>
        <v/>
      </c>
      <c r="K87" s="15">
        <f>'Grid_Stock'!C82</f>
        <v/>
      </c>
      <c r="L87" s="15">
        <f>'Grid_Stock'!D82</f>
        <v/>
      </c>
      <c r="M87" s="15">
        <f>'Grid_Stock'!E82</f>
        <v/>
      </c>
      <c r="N87" s="15">
        <f>'Grid_Stock'!F82</f>
        <v/>
      </c>
      <c r="O87" s="15">
        <f>'Grid_Stock'!G82</f>
        <v/>
      </c>
      <c r="P87" s="15">
        <f>'Grid_Stock'!H82</f>
        <v/>
      </c>
      <c r="Q87" s="15">
        <f>'Grid_Stock'!I82</f>
        <v/>
      </c>
      <c r="R87" s="15">
        <f>'Grid_Stock'!J82</f>
        <v/>
      </c>
      <c r="S87" s="15">
        <f>'Grid_Stock'!K82</f>
        <v/>
      </c>
      <c r="T87" s="15">
        <f>'Grid_Stock'!L82</f>
        <v/>
      </c>
      <c r="U87" s="15">
        <f>'Grid_Stock'!M82</f>
        <v/>
      </c>
      <c r="V87" s="15">
        <f>'Grid_Stock'!N82</f>
        <v/>
      </c>
      <c r="W87" s="15">
        <f>'Grid_Stock'!O82</f>
        <v/>
      </c>
      <c r="X87" s="15">
        <f>'Grid_Stock'!P82</f>
        <v/>
      </c>
      <c r="Y87" s="15">
        <f>'Grid_Stock'!Q82</f>
        <v/>
      </c>
      <c r="Z87" s="15">
        <f>'Grid_Stock'!R82</f>
        <v/>
      </c>
      <c r="AA87" s="15">
        <f>'Grid_Stock'!S82</f>
        <v/>
      </c>
      <c r="AB87" s="15">
        <f>'Grid_Stock'!T82</f>
        <v/>
      </c>
      <c r="AC87" s="15">
        <f>'Grid_Stock'!U82</f>
        <v/>
      </c>
      <c r="AD87" s="15">
        <f>'Grid_Stock'!V82</f>
        <v/>
      </c>
      <c r="AE87" s="15">
        <f>'Grid_Stock'!W82</f>
        <v/>
      </c>
      <c r="AF87" s="15">
        <f>'Grid_Stock'!X82</f>
        <v/>
      </c>
      <c r="AG87" s="15">
        <f>'Grid_Stock'!Y82</f>
        <v/>
      </c>
      <c r="AH87" s="15">
        <f>'Grid_Stock'!Z82</f>
        <v/>
      </c>
      <c r="AI87" s="15">
        <f>'Grid_Stock'!AA82</f>
        <v/>
      </c>
      <c r="AJ87" s="15">
        <f>'Grid_Stock'!AB82</f>
        <v/>
      </c>
      <c r="AK87" s="15">
        <f>'Grid_Stock'!AC82</f>
        <v/>
      </c>
      <c r="AL87" s="15">
        <f>'Grid_Stock'!AD82</f>
        <v/>
      </c>
      <c r="AM87" s="15">
        <f>'Grid_Stock'!AE82</f>
        <v/>
      </c>
      <c r="AN87" s="15">
        <f>'Grid_Stock'!AF82</f>
        <v/>
      </c>
      <c r="AO87" s="15">
        <f>'Grid_Stock'!AG82</f>
        <v/>
      </c>
      <c r="AP87" s="15">
        <f>'Grid_Stock'!AH82</f>
        <v/>
      </c>
      <c r="AQ87" s="15">
        <f>'Grid_Stock'!AI82</f>
        <v/>
      </c>
      <c r="AR87" s="15">
        <f>'Grid_Stock'!AJ82</f>
        <v/>
      </c>
      <c r="AS87" s="15">
        <f>'Grid_Stock'!AK82</f>
        <v/>
      </c>
      <c r="AT87" s="15">
        <f>'Grid_Stock'!AL82</f>
        <v/>
      </c>
      <c r="AU87" s="15">
        <f>'Grid_Stock'!AM82</f>
        <v/>
      </c>
      <c r="AV87" s="15">
        <f>'Grid_Stock'!AN82</f>
        <v/>
      </c>
      <c r="AW87" s="15">
        <f>'Grid_Stock'!AO82</f>
        <v/>
      </c>
      <c r="AX87" s="15">
        <f>'Grid_Stock'!AP82</f>
        <v/>
      </c>
      <c r="AY87" s="15">
        <f>'Grid_Stock'!AQ82</f>
        <v/>
      </c>
      <c r="AZ87" s="15">
        <f>'Grid_Stock'!AR82</f>
        <v/>
      </c>
      <c r="BA87" s="15">
        <f>'Grid_Stock'!AS82</f>
        <v/>
      </c>
      <c r="BB87" s="15">
        <f>'Grid_Stock'!AT82</f>
        <v/>
      </c>
      <c r="BC87" s="15">
        <f>'Grid_Stock'!AU82</f>
        <v/>
      </c>
      <c r="BD87" s="15">
        <f>'Grid_Stock'!AV82</f>
        <v/>
      </c>
      <c r="BE87" s="15">
        <f>'Grid_Stock'!AW82</f>
        <v/>
      </c>
      <c r="BF87" s="15">
        <f>'Grid_Stock'!AX82</f>
        <v/>
      </c>
      <c r="BG87" s="15">
        <f>'Grid_Stock'!AY82</f>
        <v/>
      </c>
      <c r="BH87" s="15">
        <f>'Grid_Stock'!AZ82</f>
        <v/>
      </c>
      <c r="BI87" s="15">
        <f>'Grid_Stock'!BA82</f>
        <v/>
      </c>
      <c r="BJ87" s="15">
        <f>'Grid_Stock'!BB82</f>
        <v/>
      </c>
      <c r="BK87" s="15">
        <f>'Grid_Stock'!BC82</f>
        <v/>
      </c>
      <c r="BL87" s="15">
        <f>'Grid_Stock'!BD82</f>
        <v/>
      </c>
      <c r="BM87" s="15">
        <f>'Grid_Stock'!BE82</f>
        <v/>
      </c>
      <c r="BN87" s="15">
        <f>'Grid_Stock'!BF82</f>
        <v/>
      </c>
      <c r="BO87" s="15">
        <f>'Grid_Stock'!BG82</f>
        <v/>
      </c>
      <c r="BP87" s="15">
        <f>'Grid_Stock'!BH82</f>
        <v/>
      </c>
      <c r="BQ87" s="15">
        <f>'Grid_Stock'!BI82</f>
        <v/>
      </c>
      <c r="BR87" s="15">
        <f>'Grid_Stock'!BJ82</f>
        <v/>
      </c>
      <c r="BS87" s="15">
        <f>'Grid_Stock'!BK82</f>
        <v/>
      </c>
      <c r="BT87" s="15">
        <f>'Grid_Stock'!BL82</f>
        <v/>
      </c>
      <c r="BU87" s="15">
        <f>'Grid_Stock'!BM82</f>
        <v/>
      </c>
      <c r="BV87" s="15">
        <f>'Grid_Stock'!BN82</f>
        <v/>
      </c>
      <c r="BW87" s="15">
        <f>'Grid_Stock'!BO82</f>
        <v/>
      </c>
      <c r="BX87" s="15">
        <f>'Grid_Stock'!BP82</f>
        <v/>
      </c>
      <c r="BY87" s="15">
        <f>'Grid_Stock'!BQ82</f>
        <v/>
      </c>
      <c r="BZ87" s="15">
        <f>'Grid_Stock'!BR82</f>
        <v/>
      </c>
      <c r="CA87" s="15">
        <f>'Grid_Stock'!BS82</f>
        <v/>
      </c>
      <c r="CB87" s="15">
        <f>'Grid_Stock'!BT82</f>
        <v/>
      </c>
      <c r="CC87" s="15">
        <f>'Grid_Stock'!BU82</f>
        <v/>
      </c>
      <c r="CD87" s="15">
        <f>'Grid_Stock'!BV82</f>
        <v/>
      </c>
      <c r="CE87" s="15">
        <f>'Grid_Stock'!BW82</f>
        <v/>
      </c>
      <c r="CF87" s="15">
        <f>'Grid_Stock'!BX82</f>
        <v/>
      </c>
      <c r="CG87" s="15">
        <f>'Grid_Stock'!BY82</f>
        <v/>
      </c>
      <c r="CH87" s="15">
        <f>'Grid_Stock'!BZ82</f>
        <v/>
      </c>
      <c r="CI87" s="15">
        <f>'Grid_Stock'!CA82</f>
        <v/>
      </c>
      <c r="CJ87" s="15">
        <f>'Grid_Stock'!CB82</f>
        <v/>
      </c>
      <c r="CK87" s="15">
        <f>'Grid_Stock'!CC82</f>
        <v/>
      </c>
      <c r="CL87" s="15">
        <f>'Grid_Stock'!CD82</f>
        <v/>
      </c>
      <c r="CM87" s="15">
        <f>'Grid_Stock'!CE82</f>
        <v/>
      </c>
      <c r="CN87" s="15">
        <f>'Grid_Stock'!CF82</f>
        <v/>
      </c>
      <c r="CO87" s="15">
        <f>'Grid_Stock'!CG82</f>
        <v/>
      </c>
      <c r="CP87" s="15">
        <f>'Grid_Stock'!CH82</f>
        <v/>
      </c>
      <c r="CQ87" s="15">
        <f>'Grid_Stock'!CI82</f>
        <v/>
      </c>
      <c r="CR87" s="15">
        <f>'Grid_Stock'!CJ82</f>
        <v/>
      </c>
      <c r="CS87" s="15">
        <f>'Grid_Stock'!CK82</f>
        <v/>
      </c>
      <c r="CT87" s="15">
        <f>'Grid_Stock'!CL82</f>
        <v/>
      </c>
      <c r="CU87" s="15">
        <f>'Grid_Stock'!CM82</f>
        <v/>
      </c>
      <c r="CV87" s="15">
        <f>'Grid_Stock'!CN82</f>
        <v/>
      </c>
      <c r="CW87" s="15">
        <f>'Grid_Stock'!CO82</f>
        <v/>
      </c>
      <c r="CX87" s="15">
        <f>'Grid_Stock'!CP82</f>
        <v/>
      </c>
      <c r="CY87" s="15">
        <f>'Grid_Stock'!CQ82</f>
        <v/>
      </c>
      <c r="CZ87" s="15">
        <f>'Grid_Stock'!CR82</f>
        <v/>
      </c>
      <c r="DA87" s="15">
        <f>'Grid_Stock'!CS82</f>
        <v/>
      </c>
      <c r="DB87" s="15">
        <f>'Grid_Stock'!CT82</f>
        <v/>
      </c>
      <c r="DC87" s="15">
        <f>'Grid_Stock'!CU82</f>
        <v/>
      </c>
      <c r="DD87" s="15">
        <f>'Grid_Stock'!CV82</f>
        <v/>
      </c>
      <c r="DE87" s="15">
        <f>'Grid_Stock'!CW82</f>
        <v/>
      </c>
      <c r="DF87" s="15">
        <f>'Grid_Stock'!CX82</f>
        <v/>
      </c>
      <c r="DG87" s="15">
        <f>'Grid_Stock'!CY82</f>
        <v/>
      </c>
      <c r="DH87" s="15">
        <f>'Grid_Stock'!CZ82</f>
        <v/>
      </c>
      <c r="DI87" s="15">
        <f>'Grid_Stock'!DA82</f>
        <v/>
      </c>
    </row>
    <row r="88">
      <c r="A88" s="17" t="inlineStr">
        <is>
          <t>CHEM-1220</t>
        </is>
      </c>
      <c r="B88" s="17">
        <f>IFERROR(INDEX(M_RawMaterials[Description],MATCH($A88,M_RawMaterials[RM_Code],0)),"")</f>
        <v/>
      </c>
      <c r="C88" s="17">
        <f>IFERROR(INDEX(M_RawMaterials[Category],MATCH($A88,M_RawMaterials[RM_Code],0)),"")</f>
        <v/>
      </c>
      <c r="D88" s="17">
        <f>IFERROR(INDEX(M_RawMaterials[基準在庫下限_要入力],MATCH($A88,M_RawMaterials[RM_Code],0)),0)</f>
        <v/>
      </c>
      <c r="E88" s="17">
        <f>IFERROR(INDEX(M_RawMaterials[基準在庫上限_要入力],MATCH($A88,M_RawMaterials[RM_Code],0)),0)</f>
        <v/>
      </c>
      <c r="F88" s="17">
        <f>IFERROR(LOOKUP(2,1/(T_SelfStock!$A$2:$A$12000=$A88),T_SelfStock!$D$2:$D$12000),"")</f>
        <v/>
      </c>
      <c r="G88" s="17">
        <f>IFERROR(LOOKUP(2,1/(T_TTAFStock!$A$2:$A$12000=$A88),T_TTAFStock!$D$2:$D$12000),"")</f>
        <v/>
      </c>
      <c r="H88" s="17">
        <f>IFERROR(INDEX(Cal_Weeks[Label],LOOKUP(2,1/(T_SelfStock!$A$2:$A$12000=$A88),T_SelfStock!$C$2:$C$12000)),"")</f>
        <v/>
      </c>
      <c r="I88" s="16">
        <f>IFERROR(INDEX(J88:DI88,$F$1),"")</f>
        <v/>
      </c>
      <c r="J88" s="17">
        <f>'Grid_Stock'!B83</f>
        <v/>
      </c>
      <c r="K88" s="17">
        <f>'Grid_Stock'!C83</f>
        <v/>
      </c>
      <c r="L88" s="17">
        <f>'Grid_Stock'!D83</f>
        <v/>
      </c>
      <c r="M88" s="17">
        <f>'Grid_Stock'!E83</f>
        <v/>
      </c>
      <c r="N88" s="17">
        <f>'Grid_Stock'!F83</f>
        <v/>
      </c>
      <c r="O88" s="17">
        <f>'Grid_Stock'!G83</f>
        <v/>
      </c>
      <c r="P88" s="17">
        <f>'Grid_Stock'!H83</f>
        <v/>
      </c>
      <c r="Q88" s="17">
        <f>'Grid_Stock'!I83</f>
        <v/>
      </c>
      <c r="R88" s="17">
        <f>'Grid_Stock'!J83</f>
        <v/>
      </c>
      <c r="S88" s="17">
        <f>'Grid_Stock'!K83</f>
        <v/>
      </c>
      <c r="T88" s="17">
        <f>'Grid_Stock'!L83</f>
        <v/>
      </c>
      <c r="U88" s="17">
        <f>'Grid_Stock'!M83</f>
        <v/>
      </c>
      <c r="V88" s="17">
        <f>'Grid_Stock'!N83</f>
        <v/>
      </c>
      <c r="W88" s="17">
        <f>'Grid_Stock'!O83</f>
        <v/>
      </c>
      <c r="X88" s="17">
        <f>'Grid_Stock'!P83</f>
        <v/>
      </c>
      <c r="Y88" s="17">
        <f>'Grid_Stock'!Q83</f>
        <v/>
      </c>
      <c r="Z88" s="17">
        <f>'Grid_Stock'!R83</f>
        <v/>
      </c>
      <c r="AA88" s="17">
        <f>'Grid_Stock'!S83</f>
        <v/>
      </c>
      <c r="AB88" s="17">
        <f>'Grid_Stock'!T83</f>
        <v/>
      </c>
      <c r="AC88" s="17">
        <f>'Grid_Stock'!U83</f>
        <v/>
      </c>
      <c r="AD88" s="17">
        <f>'Grid_Stock'!V83</f>
        <v/>
      </c>
      <c r="AE88" s="17">
        <f>'Grid_Stock'!W83</f>
        <v/>
      </c>
      <c r="AF88" s="17">
        <f>'Grid_Stock'!X83</f>
        <v/>
      </c>
      <c r="AG88" s="17">
        <f>'Grid_Stock'!Y83</f>
        <v/>
      </c>
      <c r="AH88" s="17">
        <f>'Grid_Stock'!Z83</f>
        <v/>
      </c>
      <c r="AI88" s="17">
        <f>'Grid_Stock'!AA83</f>
        <v/>
      </c>
      <c r="AJ88" s="17">
        <f>'Grid_Stock'!AB83</f>
        <v/>
      </c>
      <c r="AK88" s="17">
        <f>'Grid_Stock'!AC83</f>
        <v/>
      </c>
      <c r="AL88" s="17">
        <f>'Grid_Stock'!AD83</f>
        <v/>
      </c>
      <c r="AM88" s="17">
        <f>'Grid_Stock'!AE83</f>
        <v/>
      </c>
      <c r="AN88" s="17">
        <f>'Grid_Stock'!AF83</f>
        <v/>
      </c>
      <c r="AO88" s="17">
        <f>'Grid_Stock'!AG83</f>
        <v/>
      </c>
      <c r="AP88" s="17">
        <f>'Grid_Stock'!AH83</f>
        <v/>
      </c>
      <c r="AQ88" s="17">
        <f>'Grid_Stock'!AI83</f>
        <v/>
      </c>
      <c r="AR88" s="17">
        <f>'Grid_Stock'!AJ83</f>
        <v/>
      </c>
      <c r="AS88" s="17">
        <f>'Grid_Stock'!AK83</f>
        <v/>
      </c>
      <c r="AT88" s="17">
        <f>'Grid_Stock'!AL83</f>
        <v/>
      </c>
      <c r="AU88" s="17">
        <f>'Grid_Stock'!AM83</f>
        <v/>
      </c>
      <c r="AV88" s="17">
        <f>'Grid_Stock'!AN83</f>
        <v/>
      </c>
      <c r="AW88" s="17">
        <f>'Grid_Stock'!AO83</f>
        <v/>
      </c>
      <c r="AX88" s="17">
        <f>'Grid_Stock'!AP83</f>
        <v/>
      </c>
      <c r="AY88" s="17">
        <f>'Grid_Stock'!AQ83</f>
        <v/>
      </c>
      <c r="AZ88" s="17">
        <f>'Grid_Stock'!AR83</f>
        <v/>
      </c>
      <c r="BA88" s="17">
        <f>'Grid_Stock'!AS83</f>
        <v/>
      </c>
      <c r="BB88" s="17">
        <f>'Grid_Stock'!AT83</f>
        <v/>
      </c>
      <c r="BC88" s="17">
        <f>'Grid_Stock'!AU83</f>
        <v/>
      </c>
      <c r="BD88" s="17">
        <f>'Grid_Stock'!AV83</f>
        <v/>
      </c>
      <c r="BE88" s="17">
        <f>'Grid_Stock'!AW83</f>
        <v/>
      </c>
      <c r="BF88" s="17">
        <f>'Grid_Stock'!AX83</f>
        <v/>
      </c>
      <c r="BG88" s="17">
        <f>'Grid_Stock'!AY83</f>
        <v/>
      </c>
      <c r="BH88" s="17">
        <f>'Grid_Stock'!AZ83</f>
        <v/>
      </c>
      <c r="BI88" s="17">
        <f>'Grid_Stock'!BA83</f>
        <v/>
      </c>
      <c r="BJ88" s="17">
        <f>'Grid_Stock'!BB83</f>
        <v/>
      </c>
      <c r="BK88" s="17">
        <f>'Grid_Stock'!BC83</f>
        <v/>
      </c>
      <c r="BL88" s="17">
        <f>'Grid_Stock'!BD83</f>
        <v/>
      </c>
      <c r="BM88" s="17">
        <f>'Grid_Stock'!BE83</f>
        <v/>
      </c>
      <c r="BN88" s="17">
        <f>'Grid_Stock'!BF83</f>
        <v/>
      </c>
      <c r="BO88" s="17">
        <f>'Grid_Stock'!BG83</f>
        <v/>
      </c>
      <c r="BP88" s="17">
        <f>'Grid_Stock'!BH83</f>
        <v/>
      </c>
      <c r="BQ88" s="17">
        <f>'Grid_Stock'!BI83</f>
        <v/>
      </c>
      <c r="BR88" s="17">
        <f>'Grid_Stock'!BJ83</f>
        <v/>
      </c>
      <c r="BS88" s="17">
        <f>'Grid_Stock'!BK83</f>
        <v/>
      </c>
      <c r="BT88" s="17">
        <f>'Grid_Stock'!BL83</f>
        <v/>
      </c>
      <c r="BU88" s="17">
        <f>'Grid_Stock'!BM83</f>
        <v/>
      </c>
      <c r="BV88" s="17">
        <f>'Grid_Stock'!BN83</f>
        <v/>
      </c>
      <c r="BW88" s="17">
        <f>'Grid_Stock'!BO83</f>
        <v/>
      </c>
      <c r="BX88" s="17">
        <f>'Grid_Stock'!BP83</f>
        <v/>
      </c>
      <c r="BY88" s="17">
        <f>'Grid_Stock'!BQ83</f>
        <v/>
      </c>
      <c r="BZ88" s="17">
        <f>'Grid_Stock'!BR83</f>
        <v/>
      </c>
      <c r="CA88" s="17">
        <f>'Grid_Stock'!BS83</f>
        <v/>
      </c>
      <c r="CB88" s="17">
        <f>'Grid_Stock'!BT83</f>
        <v/>
      </c>
      <c r="CC88" s="17">
        <f>'Grid_Stock'!BU83</f>
        <v/>
      </c>
      <c r="CD88" s="17">
        <f>'Grid_Stock'!BV83</f>
        <v/>
      </c>
      <c r="CE88" s="17">
        <f>'Grid_Stock'!BW83</f>
        <v/>
      </c>
      <c r="CF88" s="17">
        <f>'Grid_Stock'!BX83</f>
        <v/>
      </c>
      <c r="CG88" s="17">
        <f>'Grid_Stock'!BY83</f>
        <v/>
      </c>
      <c r="CH88" s="17">
        <f>'Grid_Stock'!BZ83</f>
        <v/>
      </c>
      <c r="CI88" s="17">
        <f>'Grid_Stock'!CA83</f>
        <v/>
      </c>
      <c r="CJ88" s="17">
        <f>'Grid_Stock'!CB83</f>
        <v/>
      </c>
      <c r="CK88" s="17">
        <f>'Grid_Stock'!CC83</f>
        <v/>
      </c>
      <c r="CL88" s="17">
        <f>'Grid_Stock'!CD83</f>
        <v/>
      </c>
      <c r="CM88" s="17">
        <f>'Grid_Stock'!CE83</f>
        <v/>
      </c>
      <c r="CN88" s="17">
        <f>'Grid_Stock'!CF83</f>
        <v/>
      </c>
      <c r="CO88" s="17">
        <f>'Grid_Stock'!CG83</f>
        <v/>
      </c>
      <c r="CP88" s="17">
        <f>'Grid_Stock'!CH83</f>
        <v/>
      </c>
      <c r="CQ88" s="17">
        <f>'Grid_Stock'!CI83</f>
        <v/>
      </c>
      <c r="CR88" s="17">
        <f>'Grid_Stock'!CJ83</f>
        <v/>
      </c>
      <c r="CS88" s="17">
        <f>'Grid_Stock'!CK83</f>
        <v/>
      </c>
      <c r="CT88" s="17">
        <f>'Grid_Stock'!CL83</f>
        <v/>
      </c>
      <c r="CU88" s="17">
        <f>'Grid_Stock'!CM83</f>
        <v/>
      </c>
      <c r="CV88" s="17">
        <f>'Grid_Stock'!CN83</f>
        <v/>
      </c>
      <c r="CW88" s="17">
        <f>'Grid_Stock'!CO83</f>
        <v/>
      </c>
      <c r="CX88" s="17">
        <f>'Grid_Stock'!CP83</f>
        <v/>
      </c>
      <c r="CY88" s="17">
        <f>'Grid_Stock'!CQ83</f>
        <v/>
      </c>
      <c r="CZ88" s="17">
        <f>'Grid_Stock'!CR83</f>
        <v/>
      </c>
      <c r="DA88" s="17">
        <f>'Grid_Stock'!CS83</f>
        <v/>
      </c>
      <c r="DB88" s="17">
        <f>'Grid_Stock'!CT83</f>
        <v/>
      </c>
      <c r="DC88" s="17">
        <f>'Grid_Stock'!CU83</f>
        <v/>
      </c>
      <c r="DD88" s="17">
        <f>'Grid_Stock'!CV83</f>
        <v/>
      </c>
      <c r="DE88" s="17">
        <f>'Grid_Stock'!CW83</f>
        <v/>
      </c>
      <c r="DF88" s="17">
        <f>'Grid_Stock'!CX83</f>
        <v/>
      </c>
      <c r="DG88" s="17">
        <f>'Grid_Stock'!CY83</f>
        <v/>
      </c>
      <c r="DH88" s="17">
        <f>'Grid_Stock'!CZ83</f>
        <v/>
      </c>
      <c r="DI88" s="17">
        <f>'Grid_Stock'!DA83</f>
        <v/>
      </c>
    </row>
    <row r="89">
      <c r="A89" s="15" t="inlineStr">
        <is>
          <t>CHEM-1260</t>
        </is>
      </c>
      <c r="B89" s="15">
        <f>IFERROR(INDEX(M_RawMaterials[Description],MATCH($A89,M_RawMaterials[RM_Code],0)),"")</f>
        <v/>
      </c>
      <c r="C89" s="15">
        <f>IFERROR(INDEX(M_RawMaterials[Category],MATCH($A89,M_RawMaterials[RM_Code],0)),"")</f>
        <v/>
      </c>
      <c r="D89" s="15">
        <f>IFERROR(INDEX(M_RawMaterials[基準在庫下限_要入力],MATCH($A89,M_RawMaterials[RM_Code],0)),0)</f>
        <v/>
      </c>
      <c r="E89" s="15">
        <f>IFERROR(INDEX(M_RawMaterials[基準在庫上限_要入力],MATCH($A89,M_RawMaterials[RM_Code],0)),0)</f>
        <v/>
      </c>
      <c r="F89" s="15">
        <f>IFERROR(LOOKUP(2,1/(T_SelfStock!$A$2:$A$12000=$A89),T_SelfStock!$D$2:$D$12000),"")</f>
        <v/>
      </c>
      <c r="G89" s="15">
        <f>IFERROR(LOOKUP(2,1/(T_TTAFStock!$A$2:$A$12000=$A89),T_TTAFStock!$D$2:$D$12000),"")</f>
        <v/>
      </c>
      <c r="H89" s="15">
        <f>IFERROR(INDEX(Cal_Weeks[Label],LOOKUP(2,1/(T_SelfStock!$A$2:$A$12000=$A89),T_SelfStock!$C$2:$C$12000)),"")</f>
        <v/>
      </c>
      <c r="I89" s="16">
        <f>IFERROR(INDEX(J89:DI89,$F$1),"")</f>
        <v/>
      </c>
      <c r="J89" s="15">
        <f>'Grid_Stock'!B84</f>
        <v/>
      </c>
      <c r="K89" s="15">
        <f>'Grid_Stock'!C84</f>
        <v/>
      </c>
      <c r="L89" s="15">
        <f>'Grid_Stock'!D84</f>
        <v/>
      </c>
      <c r="M89" s="15">
        <f>'Grid_Stock'!E84</f>
        <v/>
      </c>
      <c r="N89" s="15">
        <f>'Grid_Stock'!F84</f>
        <v/>
      </c>
      <c r="O89" s="15">
        <f>'Grid_Stock'!G84</f>
        <v/>
      </c>
      <c r="P89" s="15">
        <f>'Grid_Stock'!H84</f>
        <v/>
      </c>
      <c r="Q89" s="15">
        <f>'Grid_Stock'!I84</f>
        <v/>
      </c>
      <c r="R89" s="15">
        <f>'Grid_Stock'!J84</f>
        <v/>
      </c>
      <c r="S89" s="15">
        <f>'Grid_Stock'!K84</f>
        <v/>
      </c>
      <c r="T89" s="15">
        <f>'Grid_Stock'!L84</f>
        <v/>
      </c>
      <c r="U89" s="15">
        <f>'Grid_Stock'!M84</f>
        <v/>
      </c>
      <c r="V89" s="15">
        <f>'Grid_Stock'!N84</f>
        <v/>
      </c>
      <c r="W89" s="15">
        <f>'Grid_Stock'!O84</f>
        <v/>
      </c>
      <c r="X89" s="15">
        <f>'Grid_Stock'!P84</f>
        <v/>
      </c>
      <c r="Y89" s="15">
        <f>'Grid_Stock'!Q84</f>
        <v/>
      </c>
      <c r="Z89" s="15">
        <f>'Grid_Stock'!R84</f>
        <v/>
      </c>
      <c r="AA89" s="15">
        <f>'Grid_Stock'!S84</f>
        <v/>
      </c>
      <c r="AB89" s="15">
        <f>'Grid_Stock'!T84</f>
        <v/>
      </c>
      <c r="AC89" s="15">
        <f>'Grid_Stock'!U84</f>
        <v/>
      </c>
      <c r="AD89" s="15">
        <f>'Grid_Stock'!V84</f>
        <v/>
      </c>
      <c r="AE89" s="15">
        <f>'Grid_Stock'!W84</f>
        <v/>
      </c>
      <c r="AF89" s="15">
        <f>'Grid_Stock'!X84</f>
        <v/>
      </c>
      <c r="AG89" s="15">
        <f>'Grid_Stock'!Y84</f>
        <v/>
      </c>
      <c r="AH89" s="15">
        <f>'Grid_Stock'!Z84</f>
        <v/>
      </c>
      <c r="AI89" s="15">
        <f>'Grid_Stock'!AA84</f>
        <v/>
      </c>
      <c r="AJ89" s="15">
        <f>'Grid_Stock'!AB84</f>
        <v/>
      </c>
      <c r="AK89" s="15">
        <f>'Grid_Stock'!AC84</f>
        <v/>
      </c>
      <c r="AL89" s="15">
        <f>'Grid_Stock'!AD84</f>
        <v/>
      </c>
      <c r="AM89" s="15">
        <f>'Grid_Stock'!AE84</f>
        <v/>
      </c>
      <c r="AN89" s="15">
        <f>'Grid_Stock'!AF84</f>
        <v/>
      </c>
      <c r="AO89" s="15">
        <f>'Grid_Stock'!AG84</f>
        <v/>
      </c>
      <c r="AP89" s="15">
        <f>'Grid_Stock'!AH84</f>
        <v/>
      </c>
      <c r="AQ89" s="15">
        <f>'Grid_Stock'!AI84</f>
        <v/>
      </c>
      <c r="AR89" s="15">
        <f>'Grid_Stock'!AJ84</f>
        <v/>
      </c>
      <c r="AS89" s="15">
        <f>'Grid_Stock'!AK84</f>
        <v/>
      </c>
      <c r="AT89" s="15">
        <f>'Grid_Stock'!AL84</f>
        <v/>
      </c>
      <c r="AU89" s="15">
        <f>'Grid_Stock'!AM84</f>
        <v/>
      </c>
      <c r="AV89" s="15">
        <f>'Grid_Stock'!AN84</f>
        <v/>
      </c>
      <c r="AW89" s="15">
        <f>'Grid_Stock'!AO84</f>
        <v/>
      </c>
      <c r="AX89" s="15">
        <f>'Grid_Stock'!AP84</f>
        <v/>
      </c>
      <c r="AY89" s="15">
        <f>'Grid_Stock'!AQ84</f>
        <v/>
      </c>
      <c r="AZ89" s="15">
        <f>'Grid_Stock'!AR84</f>
        <v/>
      </c>
      <c r="BA89" s="15">
        <f>'Grid_Stock'!AS84</f>
        <v/>
      </c>
      <c r="BB89" s="15">
        <f>'Grid_Stock'!AT84</f>
        <v/>
      </c>
      <c r="BC89" s="15">
        <f>'Grid_Stock'!AU84</f>
        <v/>
      </c>
      <c r="BD89" s="15">
        <f>'Grid_Stock'!AV84</f>
        <v/>
      </c>
      <c r="BE89" s="15">
        <f>'Grid_Stock'!AW84</f>
        <v/>
      </c>
      <c r="BF89" s="15">
        <f>'Grid_Stock'!AX84</f>
        <v/>
      </c>
      <c r="BG89" s="15">
        <f>'Grid_Stock'!AY84</f>
        <v/>
      </c>
      <c r="BH89" s="15">
        <f>'Grid_Stock'!AZ84</f>
        <v/>
      </c>
      <c r="BI89" s="15">
        <f>'Grid_Stock'!BA84</f>
        <v/>
      </c>
      <c r="BJ89" s="15">
        <f>'Grid_Stock'!BB84</f>
        <v/>
      </c>
      <c r="BK89" s="15">
        <f>'Grid_Stock'!BC84</f>
        <v/>
      </c>
      <c r="BL89" s="15">
        <f>'Grid_Stock'!BD84</f>
        <v/>
      </c>
      <c r="BM89" s="15">
        <f>'Grid_Stock'!BE84</f>
        <v/>
      </c>
      <c r="BN89" s="15">
        <f>'Grid_Stock'!BF84</f>
        <v/>
      </c>
      <c r="BO89" s="15">
        <f>'Grid_Stock'!BG84</f>
        <v/>
      </c>
      <c r="BP89" s="15">
        <f>'Grid_Stock'!BH84</f>
        <v/>
      </c>
      <c r="BQ89" s="15">
        <f>'Grid_Stock'!BI84</f>
        <v/>
      </c>
      <c r="BR89" s="15">
        <f>'Grid_Stock'!BJ84</f>
        <v/>
      </c>
      <c r="BS89" s="15">
        <f>'Grid_Stock'!BK84</f>
        <v/>
      </c>
      <c r="BT89" s="15">
        <f>'Grid_Stock'!BL84</f>
        <v/>
      </c>
      <c r="BU89" s="15">
        <f>'Grid_Stock'!BM84</f>
        <v/>
      </c>
      <c r="BV89" s="15">
        <f>'Grid_Stock'!BN84</f>
        <v/>
      </c>
      <c r="BW89" s="15">
        <f>'Grid_Stock'!BO84</f>
        <v/>
      </c>
      <c r="BX89" s="15">
        <f>'Grid_Stock'!BP84</f>
        <v/>
      </c>
      <c r="BY89" s="15">
        <f>'Grid_Stock'!BQ84</f>
        <v/>
      </c>
      <c r="BZ89" s="15">
        <f>'Grid_Stock'!BR84</f>
        <v/>
      </c>
      <c r="CA89" s="15">
        <f>'Grid_Stock'!BS84</f>
        <v/>
      </c>
      <c r="CB89" s="15">
        <f>'Grid_Stock'!BT84</f>
        <v/>
      </c>
      <c r="CC89" s="15">
        <f>'Grid_Stock'!BU84</f>
        <v/>
      </c>
      <c r="CD89" s="15">
        <f>'Grid_Stock'!BV84</f>
        <v/>
      </c>
      <c r="CE89" s="15">
        <f>'Grid_Stock'!BW84</f>
        <v/>
      </c>
      <c r="CF89" s="15">
        <f>'Grid_Stock'!BX84</f>
        <v/>
      </c>
      <c r="CG89" s="15">
        <f>'Grid_Stock'!BY84</f>
        <v/>
      </c>
      <c r="CH89" s="15">
        <f>'Grid_Stock'!BZ84</f>
        <v/>
      </c>
      <c r="CI89" s="15">
        <f>'Grid_Stock'!CA84</f>
        <v/>
      </c>
      <c r="CJ89" s="15">
        <f>'Grid_Stock'!CB84</f>
        <v/>
      </c>
      <c r="CK89" s="15">
        <f>'Grid_Stock'!CC84</f>
        <v/>
      </c>
      <c r="CL89" s="15">
        <f>'Grid_Stock'!CD84</f>
        <v/>
      </c>
      <c r="CM89" s="15">
        <f>'Grid_Stock'!CE84</f>
        <v/>
      </c>
      <c r="CN89" s="15">
        <f>'Grid_Stock'!CF84</f>
        <v/>
      </c>
      <c r="CO89" s="15">
        <f>'Grid_Stock'!CG84</f>
        <v/>
      </c>
      <c r="CP89" s="15">
        <f>'Grid_Stock'!CH84</f>
        <v/>
      </c>
      <c r="CQ89" s="15">
        <f>'Grid_Stock'!CI84</f>
        <v/>
      </c>
      <c r="CR89" s="15">
        <f>'Grid_Stock'!CJ84</f>
        <v/>
      </c>
      <c r="CS89" s="15">
        <f>'Grid_Stock'!CK84</f>
        <v/>
      </c>
      <c r="CT89" s="15">
        <f>'Grid_Stock'!CL84</f>
        <v/>
      </c>
      <c r="CU89" s="15">
        <f>'Grid_Stock'!CM84</f>
        <v/>
      </c>
      <c r="CV89" s="15">
        <f>'Grid_Stock'!CN84</f>
        <v/>
      </c>
      <c r="CW89" s="15">
        <f>'Grid_Stock'!CO84</f>
        <v/>
      </c>
      <c r="CX89" s="15">
        <f>'Grid_Stock'!CP84</f>
        <v/>
      </c>
      <c r="CY89" s="15">
        <f>'Grid_Stock'!CQ84</f>
        <v/>
      </c>
      <c r="CZ89" s="15">
        <f>'Grid_Stock'!CR84</f>
        <v/>
      </c>
      <c r="DA89" s="15">
        <f>'Grid_Stock'!CS84</f>
        <v/>
      </c>
      <c r="DB89" s="15">
        <f>'Grid_Stock'!CT84</f>
        <v/>
      </c>
      <c r="DC89" s="15">
        <f>'Grid_Stock'!CU84</f>
        <v/>
      </c>
      <c r="DD89" s="15">
        <f>'Grid_Stock'!CV84</f>
        <v/>
      </c>
      <c r="DE89" s="15">
        <f>'Grid_Stock'!CW84</f>
        <v/>
      </c>
      <c r="DF89" s="15">
        <f>'Grid_Stock'!CX84</f>
        <v/>
      </c>
      <c r="DG89" s="15">
        <f>'Grid_Stock'!CY84</f>
        <v/>
      </c>
      <c r="DH89" s="15">
        <f>'Grid_Stock'!CZ84</f>
        <v/>
      </c>
      <c r="DI89" s="15">
        <f>'Grid_Stock'!DA84</f>
        <v/>
      </c>
    </row>
    <row r="90">
      <c r="A90" s="17" t="inlineStr">
        <is>
          <t>CHEM-1790</t>
        </is>
      </c>
      <c r="B90" s="17">
        <f>IFERROR(INDEX(M_RawMaterials[Description],MATCH($A90,M_RawMaterials[RM_Code],0)),"")</f>
        <v/>
      </c>
      <c r="C90" s="17">
        <f>IFERROR(INDEX(M_RawMaterials[Category],MATCH($A90,M_RawMaterials[RM_Code],0)),"")</f>
        <v/>
      </c>
      <c r="D90" s="17">
        <f>IFERROR(INDEX(M_RawMaterials[基準在庫下限_要入力],MATCH($A90,M_RawMaterials[RM_Code],0)),0)</f>
        <v/>
      </c>
      <c r="E90" s="17">
        <f>IFERROR(INDEX(M_RawMaterials[基準在庫上限_要入力],MATCH($A90,M_RawMaterials[RM_Code],0)),0)</f>
        <v/>
      </c>
      <c r="F90" s="17">
        <f>IFERROR(LOOKUP(2,1/(T_SelfStock!$A$2:$A$12000=$A90),T_SelfStock!$D$2:$D$12000),"")</f>
        <v/>
      </c>
      <c r="G90" s="17">
        <f>IFERROR(LOOKUP(2,1/(T_TTAFStock!$A$2:$A$12000=$A90),T_TTAFStock!$D$2:$D$12000),"")</f>
        <v/>
      </c>
      <c r="H90" s="17">
        <f>IFERROR(INDEX(Cal_Weeks[Label],LOOKUP(2,1/(T_SelfStock!$A$2:$A$12000=$A90),T_SelfStock!$C$2:$C$12000)),"")</f>
        <v/>
      </c>
      <c r="I90" s="16">
        <f>IFERROR(INDEX(J90:DI90,$F$1),"")</f>
        <v/>
      </c>
      <c r="J90" s="17">
        <f>'Grid_Stock'!B85</f>
        <v/>
      </c>
      <c r="K90" s="17">
        <f>'Grid_Stock'!C85</f>
        <v/>
      </c>
      <c r="L90" s="17">
        <f>'Grid_Stock'!D85</f>
        <v/>
      </c>
      <c r="M90" s="17">
        <f>'Grid_Stock'!E85</f>
        <v/>
      </c>
      <c r="N90" s="17">
        <f>'Grid_Stock'!F85</f>
        <v/>
      </c>
      <c r="O90" s="17">
        <f>'Grid_Stock'!G85</f>
        <v/>
      </c>
      <c r="P90" s="17">
        <f>'Grid_Stock'!H85</f>
        <v/>
      </c>
      <c r="Q90" s="17">
        <f>'Grid_Stock'!I85</f>
        <v/>
      </c>
      <c r="R90" s="17">
        <f>'Grid_Stock'!J85</f>
        <v/>
      </c>
      <c r="S90" s="17">
        <f>'Grid_Stock'!K85</f>
        <v/>
      </c>
      <c r="T90" s="17">
        <f>'Grid_Stock'!L85</f>
        <v/>
      </c>
      <c r="U90" s="17">
        <f>'Grid_Stock'!M85</f>
        <v/>
      </c>
      <c r="V90" s="17">
        <f>'Grid_Stock'!N85</f>
        <v/>
      </c>
      <c r="W90" s="17">
        <f>'Grid_Stock'!O85</f>
        <v/>
      </c>
      <c r="X90" s="17">
        <f>'Grid_Stock'!P85</f>
        <v/>
      </c>
      <c r="Y90" s="17">
        <f>'Grid_Stock'!Q85</f>
        <v/>
      </c>
      <c r="Z90" s="17">
        <f>'Grid_Stock'!R85</f>
        <v/>
      </c>
      <c r="AA90" s="17">
        <f>'Grid_Stock'!S85</f>
        <v/>
      </c>
      <c r="AB90" s="17">
        <f>'Grid_Stock'!T85</f>
        <v/>
      </c>
      <c r="AC90" s="17">
        <f>'Grid_Stock'!U85</f>
        <v/>
      </c>
      <c r="AD90" s="17">
        <f>'Grid_Stock'!V85</f>
        <v/>
      </c>
      <c r="AE90" s="17">
        <f>'Grid_Stock'!W85</f>
        <v/>
      </c>
      <c r="AF90" s="17">
        <f>'Grid_Stock'!X85</f>
        <v/>
      </c>
      <c r="AG90" s="17">
        <f>'Grid_Stock'!Y85</f>
        <v/>
      </c>
      <c r="AH90" s="17">
        <f>'Grid_Stock'!Z85</f>
        <v/>
      </c>
      <c r="AI90" s="17">
        <f>'Grid_Stock'!AA85</f>
        <v/>
      </c>
      <c r="AJ90" s="17">
        <f>'Grid_Stock'!AB85</f>
        <v/>
      </c>
      <c r="AK90" s="17">
        <f>'Grid_Stock'!AC85</f>
        <v/>
      </c>
      <c r="AL90" s="17">
        <f>'Grid_Stock'!AD85</f>
        <v/>
      </c>
      <c r="AM90" s="17">
        <f>'Grid_Stock'!AE85</f>
        <v/>
      </c>
      <c r="AN90" s="17">
        <f>'Grid_Stock'!AF85</f>
        <v/>
      </c>
      <c r="AO90" s="17">
        <f>'Grid_Stock'!AG85</f>
        <v/>
      </c>
      <c r="AP90" s="17">
        <f>'Grid_Stock'!AH85</f>
        <v/>
      </c>
      <c r="AQ90" s="17">
        <f>'Grid_Stock'!AI85</f>
        <v/>
      </c>
      <c r="AR90" s="17">
        <f>'Grid_Stock'!AJ85</f>
        <v/>
      </c>
      <c r="AS90" s="17">
        <f>'Grid_Stock'!AK85</f>
        <v/>
      </c>
      <c r="AT90" s="17">
        <f>'Grid_Stock'!AL85</f>
        <v/>
      </c>
      <c r="AU90" s="17">
        <f>'Grid_Stock'!AM85</f>
        <v/>
      </c>
      <c r="AV90" s="17">
        <f>'Grid_Stock'!AN85</f>
        <v/>
      </c>
      <c r="AW90" s="17">
        <f>'Grid_Stock'!AO85</f>
        <v/>
      </c>
      <c r="AX90" s="17">
        <f>'Grid_Stock'!AP85</f>
        <v/>
      </c>
      <c r="AY90" s="17">
        <f>'Grid_Stock'!AQ85</f>
        <v/>
      </c>
      <c r="AZ90" s="17">
        <f>'Grid_Stock'!AR85</f>
        <v/>
      </c>
      <c r="BA90" s="17">
        <f>'Grid_Stock'!AS85</f>
        <v/>
      </c>
      <c r="BB90" s="17">
        <f>'Grid_Stock'!AT85</f>
        <v/>
      </c>
      <c r="BC90" s="17">
        <f>'Grid_Stock'!AU85</f>
        <v/>
      </c>
      <c r="BD90" s="17">
        <f>'Grid_Stock'!AV85</f>
        <v/>
      </c>
      <c r="BE90" s="17">
        <f>'Grid_Stock'!AW85</f>
        <v/>
      </c>
      <c r="BF90" s="17">
        <f>'Grid_Stock'!AX85</f>
        <v/>
      </c>
      <c r="BG90" s="17">
        <f>'Grid_Stock'!AY85</f>
        <v/>
      </c>
      <c r="BH90" s="17">
        <f>'Grid_Stock'!AZ85</f>
        <v/>
      </c>
      <c r="BI90" s="17">
        <f>'Grid_Stock'!BA85</f>
        <v/>
      </c>
      <c r="BJ90" s="17">
        <f>'Grid_Stock'!BB85</f>
        <v/>
      </c>
      <c r="BK90" s="17">
        <f>'Grid_Stock'!BC85</f>
        <v/>
      </c>
      <c r="BL90" s="17">
        <f>'Grid_Stock'!BD85</f>
        <v/>
      </c>
      <c r="BM90" s="17">
        <f>'Grid_Stock'!BE85</f>
        <v/>
      </c>
      <c r="BN90" s="17">
        <f>'Grid_Stock'!BF85</f>
        <v/>
      </c>
      <c r="BO90" s="17">
        <f>'Grid_Stock'!BG85</f>
        <v/>
      </c>
      <c r="BP90" s="17">
        <f>'Grid_Stock'!BH85</f>
        <v/>
      </c>
      <c r="BQ90" s="17">
        <f>'Grid_Stock'!BI85</f>
        <v/>
      </c>
      <c r="BR90" s="17">
        <f>'Grid_Stock'!BJ85</f>
        <v/>
      </c>
      <c r="BS90" s="17">
        <f>'Grid_Stock'!BK85</f>
        <v/>
      </c>
      <c r="BT90" s="17">
        <f>'Grid_Stock'!BL85</f>
        <v/>
      </c>
      <c r="BU90" s="17">
        <f>'Grid_Stock'!BM85</f>
        <v/>
      </c>
      <c r="BV90" s="17">
        <f>'Grid_Stock'!BN85</f>
        <v/>
      </c>
      <c r="BW90" s="17">
        <f>'Grid_Stock'!BO85</f>
        <v/>
      </c>
      <c r="BX90" s="17">
        <f>'Grid_Stock'!BP85</f>
        <v/>
      </c>
      <c r="BY90" s="17">
        <f>'Grid_Stock'!BQ85</f>
        <v/>
      </c>
      <c r="BZ90" s="17">
        <f>'Grid_Stock'!BR85</f>
        <v/>
      </c>
      <c r="CA90" s="17">
        <f>'Grid_Stock'!BS85</f>
        <v/>
      </c>
      <c r="CB90" s="17">
        <f>'Grid_Stock'!BT85</f>
        <v/>
      </c>
      <c r="CC90" s="17">
        <f>'Grid_Stock'!BU85</f>
        <v/>
      </c>
      <c r="CD90" s="17">
        <f>'Grid_Stock'!BV85</f>
        <v/>
      </c>
      <c r="CE90" s="17">
        <f>'Grid_Stock'!BW85</f>
        <v/>
      </c>
      <c r="CF90" s="17">
        <f>'Grid_Stock'!BX85</f>
        <v/>
      </c>
      <c r="CG90" s="17">
        <f>'Grid_Stock'!BY85</f>
        <v/>
      </c>
      <c r="CH90" s="17">
        <f>'Grid_Stock'!BZ85</f>
        <v/>
      </c>
      <c r="CI90" s="17">
        <f>'Grid_Stock'!CA85</f>
        <v/>
      </c>
      <c r="CJ90" s="17">
        <f>'Grid_Stock'!CB85</f>
        <v/>
      </c>
      <c r="CK90" s="17">
        <f>'Grid_Stock'!CC85</f>
        <v/>
      </c>
      <c r="CL90" s="17">
        <f>'Grid_Stock'!CD85</f>
        <v/>
      </c>
      <c r="CM90" s="17">
        <f>'Grid_Stock'!CE85</f>
        <v/>
      </c>
      <c r="CN90" s="17">
        <f>'Grid_Stock'!CF85</f>
        <v/>
      </c>
      <c r="CO90" s="17">
        <f>'Grid_Stock'!CG85</f>
        <v/>
      </c>
      <c r="CP90" s="17">
        <f>'Grid_Stock'!CH85</f>
        <v/>
      </c>
      <c r="CQ90" s="17">
        <f>'Grid_Stock'!CI85</f>
        <v/>
      </c>
      <c r="CR90" s="17">
        <f>'Grid_Stock'!CJ85</f>
        <v/>
      </c>
      <c r="CS90" s="17">
        <f>'Grid_Stock'!CK85</f>
        <v/>
      </c>
      <c r="CT90" s="17">
        <f>'Grid_Stock'!CL85</f>
        <v/>
      </c>
      <c r="CU90" s="17">
        <f>'Grid_Stock'!CM85</f>
        <v/>
      </c>
      <c r="CV90" s="17">
        <f>'Grid_Stock'!CN85</f>
        <v/>
      </c>
      <c r="CW90" s="17">
        <f>'Grid_Stock'!CO85</f>
        <v/>
      </c>
      <c r="CX90" s="17">
        <f>'Grid_Stock'!CP85</f>
        <v/>
      </c>
      <c r="CY90" s="17">
        <f>'Grid_Stock'!CQ85</f>
        <v/>
      </c>
      <c r="CZ90" s="17">
        <f>'Grid_Stock'!CR85</f>
        <v/>
      </c>
      <c r="DA90" s="17">
        <f>'Grid_Stock'!CS85</f>
        <v/>
      </c>
      <c r="DB90" s="17">
        <f>'Grid_Stock'!CT85</f>
        <v/>
      </c>
      <c r="DC90" s="17">
        <f>'Grid_Stock'!CU85</f>
        <v/>
      </c>
      <c r="DD90" s="17">
        <f>'Grid_Stock'!CV85</f>
        <v/>
      </c>
      <c r="DE90" s="17">
        <f>'Grid_Stock'!CW85</f>
        <v/>
      </c>
      <c r="DF90" s="17">
        <f>'Grid_Stock'!CX85</f>
        <v/>
      </c>
      <c r="DG90" s="17">
        <f>'Grid_Stock'!CY85</f>
        <v/>
      </c>
      <c r="DH90" s="17">
        <f>'Grid_Stock'!CZ85</f>
        <v/>
      </c>
      <c r="DI90" s="17">
        <f>'Grid_Stock'!DA85</f>
        <v/>
      </c>
    </row>
    <row r="91">
      <c r="A91" s="15" t="inlineStr">
        <is>
          <t>TSZ-616</t>
        </is>
      </c>
      <c r="B91" s="15">
        <f>IFERROR(INDEX(M_RawMaterials[Description],MATCH($A91,M_RawMaterials[RM_Code],0)),"")</f>
        <v/>
      </c>
      <c r="C91" s="15">
        <f>IFERROR(INDEX(M_RawMaterials[Category],MATCH($A91,M_RawMaterials[RM_Code],0)),"")</f>
        <v/>
      </c>
      <c r="D91" s="15">
        <f>IFERROR(INDEX(M_RawMaterials[基準在庫下限_要入力],MATCH($A91,M_RawMaterials[RM_Code],0)),0)</f>
        <v/>
      </c>
      <c r="E91" s="15">
        <f>IFERROR(INDEX(M_RawMaterials[基準在庫上限_要入力],MATCH($A91,M_RawMaterials[RM_Code],0)),0)</f>
        <v/>
      </c>
      <c r="F91" s="15">
        <f>IFERROR(LOOKUP(2,1/(T_SelfStock!$A$2:$A$12000=$A91),T_SelfStock!$D$2:$D$12000),"")</f>
        <v/>
      </c>
      <c r="G91" s="15">
        <f>IFERROR(LOOKUP(2,1/(T_TTAFStock!$A$2:$A$12000=$A91),T_TTAFStock!$D$2:$D$12000),"")</f>
        <v/>
      </c>
      <c r="H91" s="15">
        <f>IFERROR(INDEX(Cal_Weeks[Label],LOOKUP(2,1/(T_SelfStock!$A$2:$A$12000=$A91),T_SelfStock!$C$2:$C$12000)),"")</f>
        <v/>
      </c>
      <c r="I91" s="16">
        <f>IFERROR(INDEX(J91:DI91,$F$1),"")</f>
        <v/>
      </c>
      <c r="J91" s="15">
        <f>'Grid_Stock'!B86</f>
        <v/>
      </c>
      <c r="K91" s="15">
        <f>'Grid_Stock'!C86</f>
        <v/>
      </c>
      <c r="L91" s="15">
        <f>'Grid_Stock'!D86</f>
        <v/>
      </c>
      <c r="M91" s="15">
        <f>'Grid_Stock'!E86</f>
        <v/>
      </c>
      <c r="N91" s="15">
        <f>'Grid_Stock'!F86</f>
        <v/>
      </c>
      <c r="O91" s="15">
        <f>'Grid_Stock'!G86</f>
        <v/>
      </c>
      <c r="P91" s="15">
        <f>'Grid_Stock'!H86</f>
        <v/>
      </c>
      <c r="Q91" s="15">
        <f>'Grid_Stock'!I86</f>
        <v/>
      </c>
      <c r="R91" s="15">
        <f>'Grid_Stock'!J86</f>
        <v/>
      </c>
      <c r="S91" s="15">
        <f>'Grid_Stock'!K86</f>
        <v/>
      </c>
      <c r="T91" s="15">
        <f>'Grid_Stock'!L86</f>
        <v/>
      </c>
      <c r="U91" s="15">
        <f>'Grid_Stock'!M86</f>
        <v/>
      </c>
      <c r="V91" s="15">
        <f>'Grid_Stock'!N86</f>
        <v/>
      </c>
      <c r="W91" s="15">
        <f>'Grid_Stock'!O86</f>
        <v/>
      </c>
      <c r="X91" s="15">
        <f>'Grid_Stock'!P86</f>
        <v/>
      </c>
      <c r="Y91" s="15">
        <f>'Grid_Stock'!Q86</f>
        <v/>
      </c>
      <c r="Z91" s="15">
        <f>'Grid_Stock'!R86</f>
        <v/>
      </c>
      <c r="AA91" s="15">
        <f>'Grid_Stock'!S86</f>
        <v/>
      </c>
      <c r="AB91" s="15">
        <f>'Grid_Stock'!T86</f>
        <v/>
      </c>
      <c r="AC91" s="15">
        <f>'Grid_Stock'!U86</f>
        <v/>
      </c>
      <c r="AD91" s="15">
        <f>'Grid_Stock'!V86</f>
        <v/>
      </c>
      <c r="AE91" s="15">
        <f>'Grid_Stock'!W86</f>
        <v/>
      </c>
      <c r="AF91" s="15">
        <f>'Grid_Stock'!X86</f>
        <v/>
      </c>
      <c r="AG91" s="15">
        <f>'Grid_Stock'!Y86</f>
        <v/>
      </c>
      <c r="AH91" s="15">
        <f>'Grid_Stock'!Z86</f>
        <v/>
      </c>
      <c r="AI91" s="15">
        <f>'Grid_Stock'!AA86</f>
        <v/>
      </c>
      <c r="AJ91" s="15">
        <f>'Grid_Stock'!AB86</f>
        <v/>
      </c>
      <c r="AK91" s="15">
        <f>'Grid_Stock'!AC86</f>
        <v/>
      </c>
      <c r="AL91" s="15">
        <f>'Grid_Stock'!AD86</f>
        <v/>
      </c>
      <c r="AM91" s="15">
        <f>'Grid_Stock'!AE86</f>
        <v/>
      </c>
      <c r="AN91" s="15">
        <f>'Grid_Stock'!AF86</f>
        <v/>
      </c>
      <c r="AO91" s="15">
        <f>'Grid_Stock'!AG86</f>
        <v/>
      </c>
      <c r="AP91" s="15">
        <f>'Grid_Stock'!AH86</f>
        <v/>
      </c>
      <c r="AQ91" s="15">
        <f>'Grid_Stock'!AI86</f>
        <v/>
      </c>
      <c r="AR91" s="15">
        <f>'Grid_Stock'!AJ86</f>
        <v/>
      </c>
      <c r="AS91" s="15">
        <f>'Grid_Stock'!AK86</f>
        <v/>
      </c>
      <c r="AT91" s="15">
        <f>'Grid_Stock'!AL86</f>
        <v/>
      </c>
      <c r="AU91" s="15">
        <f>'Grid_Stock'!AM86</f>
        <v/>
      </c>
      <c r="AV91" s="15">
        <f>'Grid_Stock'!AN86</f>
        <v/>
      </c>
      <c r="AW91" s="15">
        <f>'Grid_Stock'!AO86</f>
        <v/>
      </c>
      <c r="AX91" s="15">
        <f>'Grid_Stock'!AP86</f>
        <v/>
      </c>
      <c r="AY91" s="15">
        <f>'Grid_Stock'!AQ86</f>
        <v/>
      </c>
      <c r="AZ91" s="15">
        <f>'Grid_Stock'!AR86</f>
        <v/>
      </c>
      <c r="BA91" s="15">
        <f>'Grid_Stock'!AS86</f>
        <v/>
      </c>
      <c r="BB91" s="15">
        <f>'Grid_Stock'!AT86</f>
        <v/>
      </c>
      <c r="BC91" s="15">
        <f>'Grid_Stock'!AU86</f>
        <v/>
      </c>
      <c r="BD91" s="15">
        <f>'Grid_Stock'!AV86</f>
        <v/>
      </c>
      <c r="BE91" s="15">
        <f>'Grid_Stock'!AW86</f>
        <v/>
      </c>
      <c r="BF91" s="15">
        <f>'Grid_Stock'!AX86</f>
        <v/>
      </c>
      <c r="BG91" s="15">
        <f>'Grid_Stock'!AY86</f>
        <v/>
      </c>
      <c r="BH91" s="15">
        <f>'Grid_Stock'!AZ86</f>
        <v/>
      </c>
      <c r="BI91" s="15">
        <f>'Grid_Stock'!BA86</f>
        <v/>
      </c>
      <c r="BJ91" s="15">
        <f>'Grid_Stock'!BB86</f>
        <v/>
      </c>
      <c r="BK91" s="15">
        <f>'Grid_Stock'!BC86</f>
        <v/>
      </c>
      <c r="BL91" s="15">
        <f>'Grid_Stock'!BD86</f>
        <v/>
      </c>
      <c r="BM91" s="15">
        <f>'Grid_Stock'!BE86</f>
        <v/>
      </c>
      <c r="BN91" s="15">
        <f>'Grid_Stock'!BF86</f>
        <v/>
      </c>
      <c r="BO91" s="15">
        <f>'Grid_Stock'!BG86</f>
        <v/>
      </c>
      <c r="BP91" s="15">
        <f>'Grid_Stock'!BH86</f>
        <v/>
      </c>
      <c r="BQ91" s="15">
        <f>'Grid_Stock'!BI86</f>
        <v/>
      </c>
      <c r="BR91" s="15">
        <f>'Grid_Stock'!BJ86</f>
        <v/>
      </c>
      <c r="BS91" s="15">
        <f>'Grid_Stock'!BK86</f>
        <v/>
      </c>
      <c r="BT91" s="15">
        <f>'Grid_Stock'!BL86</f>
        <v/>
      </c>
      <c r="BU91" s="15">
        <f>'Grid_Stock'!BM86</f>
        <v/>
      </c>
      <c r="BV91" s="15">
        <f>'Grid_Stock'!BN86</f>
        <v/>
      </c>
      <c r="BW91" s="15">
        <f>'Grid_Stock'!BO86</f>
        <v/>
      </c>
      <c r="BX91" s="15">
        <f>'Grid_Stock'!BP86</f>
        <v/>
      </c>
      <c r="BY91" s="15">
        <f>'Grid_Stock'!BQ86</f>
        <v/>
      </c>
      <c r="BZ91" s="15">
        <f>'Grid_Stock'!BR86</f>
        <v/>
      </c>
      <c r="CA91" s="15">
        <f>'Grid_Stock'!BS86</f>
        <v/>
      </c>
      <c r="CB91" s="15">
        <f>'Grid_Stock'!BT86</f>
        <v/>
      </c>
      <c r="CC91" s="15">
        <f>'Grid_Stock'!BU86</f>
        <v/>
      </c>
      <c r="CD91" s="15">
        <f>'Grid_Stock'!BV86</f>
        <v/>
      </c>
      <c r="CE91" s="15">
        <f>'Grid_Stock'!BW86</f>
        <v/>
      </c>
      <c r="CF91" s="15">
        <f>'Grid_Stock'!BX86</f>
        <v/>
      </c>
      <c r="CG91" s="15">
        <f>'Grid_Stock'!BY86</f>
        <v/>
      </c>
      <c r="CH91" s="15">
        <f>'Grid_Stock'!BZ86</f>
        <v/>
      </c>
      <c r="CI91" s="15">
        <f>'Grid_Stock'!CA86</f>
        <v/>
      </c>
      <c r="CJ91" s="15">
        <f>'Grid_Stock'!CB86</f>
        <v/>
      </c>
      <c r="CK91" s="15">
        <f>'Grid_Stock'!CC86</f>
        <v/>
      </c>
      <c r="CL91" s="15">
        <f>'Grid_Stock'!CD86</f>
        <v/>
      </c>
      <c r="CM91" s="15">
        <f>'Grid_Stock'!CE86</f>
        <v/>
      </c>
      <c r="CN91" s="15">
        <f>'Grid_Stock'!CF86</f>
        <v/>
      </c>
      <c r="CO91" s="15">
        <f>'Grid_Stock'!CG86</f>
        <v/>
      </c>
      <c r="CP91" s="15">
        <f>'Grid_Stock'!CH86</f>
        <v/>
      </c>
      <c r="CQ91" s="15">
        <f>'Grid_Stock'!CI86</f>
        <v/>
      </c>
      <c r="CR91" s="15">
        <f>'Grid_Stock'!CJ86</f>
        <v/>
      </c>
      <c r="CS91" s="15">
        <f>'Grid_Stock'!CK86</f>
        <v/>
      </c>
      <c r="CT91" s="15">
        <f>'Grid_Stock'!CL86</f>
        <v/>
      </c>
      <c r="CU91" s="15">
        <f>'Grid_Stock'!CM86</f>
        <v/>
      </c>
      <c r="CV91" s="15">
        <f>'Grid_Stock'!CN86</f>
        <v/>
      </c>
      <c r="CW91" s="15">
        <f>'Grid_Stock'!CO86</f>
        <v/>
      </c>
      <c r="CX91" s="15">
        <f>'Grid_Stock'!CP86</f>
        <v/>
      </c>
      <c r="CY91" s="15">
        <f>'Grid_Stock'!CQ86</f>
        <v/>
      </c>
      <c r="CZ91" s="15">
        <f>'Grid_Stock'!CR86</f>
        <v/>
      </c>
      <c r="DA91" s="15">
        <f>'Grid_Stock'!CS86</f>
        <v/>
      </c>
      <c r="DB91" s="15">
        <f>'Grid_Stock'!CT86</f>
        <v/>
      </c>
      <c r="DC91" s="15">
        <f>'Grid_Stock'!CU86</f>
        <v/>
      </c>
      <c r="DD91" s="15">
        <f>'Grid_Stock'!CV86</f>
        <v/>
      </c>
      <c r="DE91" s="15">
        <f>'Grid_Stock'!CW86</f>
        <v/>
      </c>
      <c r="DF91" s="15">
        <f>'Grid_Stock'!CX86</f>
        <v/>
      </c>
      <c r="DG91" s="15">
        <f>'Grid_Stock'!CY86</f>
        <v/>
      </c>
      <c r="DH91" s="15">
        <f>'Grid_Stock'!CZ86</f>
        <v/>
      </c>
      <c r="DI91" s="15">
        <f>'Grid_Stock'!DA86</f>
        <v/>
      </c>
    </row>
    <row r="92">
      <c r="A92" s="17" t="inlineStr">
        <is>
          <t>CHEM-1180</t>
        </is>
      </c>
      <c r="B92" s="17">
        <f>IFERROR(INDEX(M_RawMaterials[Description],MATCH($A92,M_RawMaterials[RM_Code],0)),"")</f>
        <v/>
      </c>
      <c r="C92" s="17">
        <f>IFERROR(INDEX(M_RawMaterials[Category],MATCH($A92,M_RawMaterials[RM_Code],0)),"")</f>
        <v/>
      </c>
      <c r="D92" s="17">
        <f>IFERROR(INDEX(M_RawMaterials[基準在庫下限_要入力],MATCH($A92,M_RawMaterials[RM_Code],0)),0)</f>
        <v/>
      </c>
      <c r="E92" s="17">
        <f>IFERROR(INDEX(M_RawMaterials[基準在庫上限_要入力],MATCH($A92,M_RawMaterials[RM_Code],0)),0)</f>
        <v/>
      </c>
      <c r="F92" s="17">
        <f>IFERROR(LOOKUP(2,1/(T_SelfStock!$A$2:$A$12000=$A92),T_SelfStock!$D$2:$D$12000),"")</f>
        <v/>
      </c>
      <c r="G92" s="17">
        <f>IFERROR(LOOKUP(2,1/(T_TTAFStock!$A$2:$A$12000=$A92),T_TTAFStock!$D$2:$D$12000),"")</f>
        <v/>
      </c>
      <c r="H92" s="17">
        <f>IFERROR(INDEX(Cal_Weeks[Label],LOOKUP(2,1/(T_SelfStock!$A$2:$A$12000=$A92),T_SelfStock!$C$2:$C$12000)),"")</f>
        <v/>
      </c>
      <c r="I92" s="16">
        <f>IFERROR(INDEX(J92:DI92,$F$1),"")</f>
        <v/>
      </c>
      <c r="J92" s="17">
        <f>'Grid_Stock'!B87</f>
        <v/>
      </c>
      <c r="K92" s="17">
        <f>'Grid_Stock'!C87</f>
        <v/>
      </c>
      <c r="L92" s="17">
        <f>'Grid_Stock'!D87</f>
        <v/>
      </c>
      <c r="M92" s="17">
        <f>'Grid_Stock'!E87</f>
        <v/>
      </c>
      <c r="N92" s="17">
        <f>'Grid_Stock'!F87</f>
        <v/>
      </c>
      <c r="O92" s="17">
        <f>'Grid_Stock'!G87</f>
        <v/>
      </c>
      <c r="P92" s="17">
        <f>'Grid_Stock'!H87</f>
        <v/>
      </c>
      <c r="Q92" s="17">
        <f>'Grid_Stock'!I87</f>
        <v/>
      </c>
      <c r="R92" s="17">
        <f>'Grid_Stock'!J87</f>
        <v/>
      </c>
      <c r="S92" s="17">
        <f>'Grid_Stock'!K87</f>
        <v/>
      </c>
      <c r="T92" s="17">
        <f>'Grid_Stock'!L87</f>
        <v/>
      </c>
      <c r="U92" s="17">
        <f>'Grid_Stock'!M87</f>
        <v/>
      </c>
      <c r="V92" s="17">
        <f>'Grid_Stock'!N87</f>
        <v/>
      </c>
      <c r="W92" s="17">
        <f>'Grid_Stock'!O87</f>
        <v/>
      </c>
      <c r="X92" s="17">
        <f>'Grid_Stock'!P87</f>
        <v/>
      </c>
      <c r="Y92" s="17">
        <f>'Grid_Stock'!Q87</f>
        <v/>
      </c>
      <c r="Z92" s="17">
        <f>'Grid_Stock'!R87</f>
        <v/>
      </c>
      <c r="AA92" s="17">
        <f>'Grid_Stock'!S87</f>
        <v/>
      </c>
      <c r="AB92" s="17">
        <f>'Grid_Stock'!T87</f>
        <v/>
      </c>
      <c r="AC92" s="17">
        <f>'Grid_Stock'!U87</f>
        <v/>
      </c>
      <c r="AD92" s="17">
        <f>'Grid_Stock'!V87</f>
        <v/>
      </c>
      <c r="AE92" s="17">
        <f>'Grid_Stock'!W87</f>
        <v/>
      </c>
      <c r="AF92" s="17">
        <f>'Grid_Stock'!X87</f>
        <v/>
      </c>
      <c r="AG92" s="17">
        <f>'Grid_Stock'!Y87</f>
        <v/>
      </c>
      <c r="AH92" s="17">
        <f>'Grid_Stock'!Z87</f>
        <v/>
      </c>
      <c r="AI92" s="17">
        <f>'Grid_Stock'!AA87</f>
        <v/>
      </c>
      <c r="AJ92" s="17">
        <f>'Grid_Stock'!AB87</f>
        <v/>
      </c>
      <c r="AK92" s="17">
        <f>'Grid_Stock'!AC87</f>
        <v/>
      </c>
      <c r="AL92" s="17">
        <f>'Grid_Stock'!AD87</f>
        <v/>
      </c>
      <c r="AM92" s="17">
        <f>'Grid_Stock'!AE87</f>
        <v/>
      </c>
      <c r="AN92" s="17">
        <f>'Grid_Stock'!AF87</f>
        <v/>
      </c>
      <c r="AO92" s="17">
        <f>'Grid_Stock'!AG87</f>
        <v/>
      </c>
      <c r="AP92" s="17">
        <f>'Grid_Stock'!AH87</f>
        <v/>
      </c>
      <c r="AQ92" s="17">
        <f>'Grid_Stock'!AI87</f>
        <v/>
      </c>
      <c r="AR92" s="17">
        <f>'Grid_Stock'!AJ87</f>
        <v/>
      </c>
      <c r="AS92" s="17">
        <f>'Grid_Stock'!AK87</f>
        <v/>
      </c>
      <c r="AT92" s="17">
        <f>'Grid_Stock'!AL87</f>
        <v/>
      </c>
      <c r="AU92" s="17">
        <f>'Grid_Stock'!AM87</f>
        <v/>
      </c>
      <c r="AV92" s="17">
        <f>'Grid_Stock'!AN87</f>
        <v/>
      </c>
      <c r="AW92" s="17">
        <f>'Grid_Stock'!AO87</f>
        <v/>
      </c>
      <c r="AX92" s="17">
        <f>'Grid_Stock'!AP87</f>
        <v/>
      </c>
      <c r="AY92" s="17">
        <f>'Grid_Stock'!AQ87</f>
        <v/>
      </c>
      <c r="AZ92" s="17">
        <f>'Grid_Stock'!AR87</f>
        <v/>
      </c>
      <c r="BA92" s="17">
        <f>'Grid_Stock'!AS87</f>
        <v/>
      </c>
      <c r="BB92" s="17">
        <f>'Grid_Stock'!AT87</f>
        <v/>
      </c>
      <c r="BC92" s="17">
        <f>'Grid_Stock'!AU87</f>
        <v/>
      </c>
      <c r="BD92" s="17">
        <f>'Grid_Stock'!AV87</f>
        <v/>
      </c>
      <c r="BE92" s="17">
        <f>'Grid_Stock'!AW87</f>
        <v/>
      </c>
      <c r="BF92" s="17">
        <f>'Grid_Stock'!AX87</f>
        <v/>
      </c>
      <c r="BG92" s="17">
        <f>'Grid_Stock'!AY87</f>
        <v/>
      </c>
      <c r="BH92" s="17">
        <f>'Grid_Stock'!AZ87</f>
        <v/>
      </c>
      <c r="BI92" s="17">
        <f>'Grid_Stock'!BA87</f>
        <v/>
      </c>
      <c r="BJ92" s="17">
        <f>'Grid_Stock'!BB87</f>
        <v/>
      </c>
      <c r="BK92" s="17">
        <f>'Grid_Stock'!BC87</f>
        <v/>
      </c>
      <c r="BL92" s="17">
        <f>'Grid_Stock'!BD87</f>
        <v/>
      </c>
      <c r="BM92" s="17">
        <f>'Grid_Stock'!BE87</f>
        <v/>
      </c>
      <c r="BN92" s="17">
        <f>'Grid_Stock'!BF87</f>
        <v/>
      </c>
      <c r="BO92" s="17">
        <f>'Grid_Stock'!BG87</f>
        <v/>
      </c>
      <c r="BP92" s="17">
        <f>'Grid_Stock'!BH87</f>
        <v/>
      </c>
      <c r="BQ92" s="17">
        <f>'Grid_Stock'!BI87</f>
        <v/>
      </c>
      <c r="BR92" s="17">
        <f>'Grid_Stock'!BJ87</f>
        <v/>
      </c>
      <c r="BS92" s="17">
        <f>'Grid_Stock'!BK87</f>
        <v/>
      </c>
      <c r="BT92" s="17">
        <f>'Grid_Stock'!BL87</f>
        <v/>
      </c>
      <c r="BU92" s="17">
        <f>'Grid_Stock'!BM87</f>
        <v/>
      </c>
      <c r="BV92" s="17">
        <f>'Grid_Stock'!BN87</f>
        <v/>
      </c>
      <c r="BW92" s="17">
        <f>'Grid_Stock'!BO87</f>
        <v/>
      </c>
      <c r="BX92" s="17">
        <f>'Grid_Stock'!BP87</f>
        <v/>
      </c>
      <c r="BY92" s="17">
        <f>'Grid_Stock'!BQ87</f>
        <v/>
      </c>
      <c r="BZ92" s="17">
        <f>'Grid_Stock'!BR87</f>
        <v/>
      </c>
      <c r="CA92" s="17">
        <f>'Grid_Stock'!BS87</f>
        <v/>
      </c>
      <c r="CB92" s="17">
        <f>'Grid_Stock'!BT87</f>
        <v/>
      </c>
      <c r="CC92" s="17">
        <f>'Grid_Stock'!BU87</f>
        <v/>
      </c>
      <c r="CD92" s="17">
        <f>'Grid_Stock'!BV87</f>
        <v/>
      </c>
      <c r="CE92" s="17">
        <f>'Grid_Stock'!BW87</f>
        <v/>
      </c>
      <c r="CF92" s="17">
        <f>'Grid_Stock'!BX87</f>
        <v/>
      </c>
      <c r="CG92" s="17">
        <f>'Grid_Stock'!BY87</f>
        <v/>
      </c>
      <c r="CH92" s="17">
        <f>'Grid_Stock'!BZ87</f>
        <v/>
      </c>
      <c r="CI92" s="17">
        <f>'Grid_Stock'!CA87</f>
        <v/>
      </c>
      <c r="CJ92" s="17">
        <f>'Grid_Stock'!CB87</f>
        <v/>
      </c>
      <c r="CK92" s="17">
        <f>'Grid_Stock'!CC87</f>
        <v/>
      </c>
      <c r="CL92" s="17">
        <f>'Grid_Stock'!CD87</f>
        <v/>
      </c>
      <c r="CM92" s="17">
        <f>'Grid_Stock'!CE87</f>
        <v/>
      </c>
      <c r="CN92" s="17">
        <f>'Grid_Stock'!CF87</f>
        <v/>
      </c>
      <c r="CO92" s="17">
        <f>'Grid_Stock'!CG87</f>
        <v/>
      </c>
      <c r="CP92" s="17">
        <f>'Grid_Stock'!CH87</f>
        <v/>
      </c>
      <c r="CQ92" s="17">
        <f>'Grid_Stock'!CI87</f>
        <v/>
      </c>
      <c r="CR92" s="17">
        <f>'Grid_Stock'!CJ87</f>
        <v/>
      </c>
      <c r="CS92" s="17">
        <f>'Grid_Stock'!CK87</f>
        <v/>
      </c>
      <c r="CT92" s="17">
        <f>'Grid_Stock'!CL87</f>
        <v/>
      </c>
      <c r="CU92" s="17">
        <f>'Grid_Stock'!CM87</f>
        <v/>
      </c>
      <c r="CV92" s="17">
        <f>'Grid_Stock'!CN87</f>
        <v/>
      </c>
      <c r="CW92" s="17">
        <f>'Grid_Stock'!CO87</f>
        <v/>
      </c>
      <c r="CX92" s="17">
        <f>'Grid_Stock'!CP87</f>
        <v/>
      </c>
      <c r="CY92" s="17">
        <f>'Grid_Stock'!CQ87</f>
        <v/>
      </c>
      <c r="CZ92" s="17">
        <f>'Grid_Stock'!CR87</f>
        <v/>
      </c>
      <c r="DA92" s="17">
        <f>'Grid_Stock'!CS87</f>
        <v/>
      </c>
      <c r="DB92" s="17">
        <f>'Grid_Stock'!CT87</f>
        <v/>
      </c>
      <c r="DC92" s="17">
        <f>'Grid_Stock'!CU87</f>
        <v/>
      </c>
      <c r="DD92" s="17">
        <f>'Grid_Stock'!CV87</f>
        <v/>
      </c>
      <c r="DE92" s="17">
        <f>'Grid_Stock'!CW87</f>
        <v/>
      </c>
      <c r="DF92" s="17">
        <f>'Grid_Stock'!CX87</f>
        <v/>
      </c>
      <c r="DG92" s="17">
        <f>'Grid_Stock'!CY87</f>
        <v/>
      </c>
      <c r="DH92" s="17">
        <f>'Grid_Stock'!CZ87</f>
        <v/>
      </c>
      <c r="DI92" s="17">
        <f>'Grid_Stock'!DA87</f>
        <v/>
      </c>
    </row>
    <row r="93">
      <c r="A93" s="15" t="inlineStr">
        <is>
          <t>TSZ-938</t>
        </is>
      </c>
      <c r="B93" s="15">
        <f>IFERROR(INDEX(M_RawMaterials[Description],MATCH($A93,M_RawMaterials[RM_Code],0)),"")</f>
        <v/>
      </c>
      <c r="C93" s="15">
        <f>IFERROR(INDEX(M_RawMaterials[Category],MATCH($A93,M_RawMaterials[RM_Code],0)),"")</f>
        <v/>
      </c>
      <c r="D93" s="15">
        <f>IFERROR(INDEX(M_RawMaterials[基準在庫下限_要入力],MATCH($A93,M_RawMaterials[RM_Code],0)),0)</f>
        <v/>
      </c>
      <c r="E93" s="15">
        <f>IFERROR(INDEX(M_RawMaterials[基準在庫上限_要入力],MATCH($A93,M_RawMaterials[RM_Code],0)),0)</f>
        <v/>
      </c>
      <c r="F93" s="15">
        <f>IFERROR(LOOKUP(2,1/(T_SelfStock!$A$2:$A$12000=$A93),T_SelfStock!$D$2:$D$12000),"")</f>
        <v/>
      </c>
      <c r="G93" s="15">
        <f>IFERROR(LOOKUP(2,1/(T_TTAFStock!$A$2:$A$12000=$A93),T_TTAFStock!$D$2:$D$12000),"")</f>
        <v/>
      </c>
      <c r="H93" s="15">
        <f>IFERROR(INDEX(Cal_Weeks[Label],LOOKUP(2,1/(T_SelfStock!$A$2:$A$12000=$A93),T_SelfStock!$C$2:$C$12000)),"")</f>
        <v/>
      </c>
      <c r="I93" s="16">
        <f>IFERROR(INDEX(J93:DI93,$F$1),"")</f>
        <v/>
      </c>
      <c r="J93" s="15">
        <f>'Grid_Stock'!B88</f>
        <v/>
      </c>
      <c r="K93" s="15">
        <f>'Grid_Stock'!C88</f>
        <v/>
      </c>
      <c r="L93" s="15">
        <f>'Grid_Stock'!D88</f>
        <v/>
      </c>
      <c r="M93" s="15">
        <f>'Grid_Stock'!E88</f>
        <v/>
      </c>
      <c r="N93" s="15">
        <f>'Grid_Stock'!F88</f>
        <v/>
      </c>
      <c r="O93" s="15">
        <f>'Grid_Stock'!G88</f>
        <v/>
      </c>
      <c r="P93" s="15">
        <f>'Grid_Stock'!H88</f>
        <v/>
      </c>
      <c r="Q93" s="15">
        <f>'Grid_Stock'!I88</f>
        <v/>
      </c>
      <c r="R93" s="15">
        <f>'Grid_Stock'!J88</f>
        <v/>
      </c>
      <c r="S93" s="15">
        <f>'Grid_Stock'!K88</f>
        <v/>
      </c>
      <c r="T93" s="15">
        <f>'Grid_Stock'!L88</f>
        <v/>
      </c>
      <c r="U93" s="15">
        <f>'Grid_Stock'!M88</f>
        <v/>
      </c>
      <c r="V93" s="15">
        <f>'Grid_Stock'!N88</f>
        <v/>
      </c>
      <c r="W93" s="15">
        <f>'Grid_Stock'!O88</f>
        <v/>
      </c>
      <c r="X93" s="15">
        <f>'Grid_Stock'!P88</f>
        <v/>
      </c>
      <c r="Y93" s="15">
        <f>'Grid_Stock'!Q88</f>
        <v/>
      </c>
      <c r="Z93" s="15">
        <f>'Grid_Stock'!R88</f>
        <v/>
      </c>
      <c r="AA93" s="15">
        <f>'Grid_Stock'!S88</f>
        <v/>
      </c>
      <c r="AB93" s="15">
        <f>'Grid_Stock'!T88</f>
        <v/>
      </c>
      <c r="AC93" s="15">
        <f>'Grid_Stock'!U88</f>
        <v/>
      </c>
      <c r="AD93" s="15">
        <f>'Grid_Stock'!V88</f>
        <v/>
      </c>
      <c r="AE93" s="15">
        <f>'Grid_Stock'!W88</f>
        <v/>
      </c>
      <c r="AF93" s="15">
        <f>'Grid_Stock'!X88</f>
        <v/>
      </c>
      <c r="AG93" s="15">
        <f>'Grid_Stock'!Y88</f>
        <v/>
      </c>
      <c r="AH93" s="15">
        <f>'Grid_Stock'!Z88</f>
        <v/>
      </c>
      <c r="AI93" s="15">
        <f>'Grid_Stock'!AA88</f>
        <v/>
      </c>
      <c r="AJ93" s="15">
        <f>'Grid_Stock'!AB88</f>
        <v/>
      </c>
      <c r="AK93" s="15">
        <f>'Grid_Stock'!AC88</f>
        <v/>
      </c>
      <c r="AL93" s="15">
        <f>'Grid_Stock'!AD88</f>
        <v/>
      </c>
      <c r="AM93" s="15">
        <f>'Grid_Stock'!AE88</f>
        <v/>
      </c>
      <c r="AN93" s="15">
        <f>'Grid_Stock'!AF88</f>
        <v/>
      </c>
      <c r="AO93" s="15">
        <f>'Grid_Stock'!AG88</f>
        <v/>
      </c>
      <c r="AP93" s="15">
        <f>'Grid_Stock'!AH88</f>
        <v/>
      </c>
      <c r="AQ93" s="15">
        <f>'Grid_Stock'!AI88</f>
        <v/>
      </c>
      <c r="AR93" s="15">
        <f>'Grid_Stock'!AJ88</f>
        <v/>
      </c>
      <c r="AS93" s="15">
        <f>'Grid_Stock'!AK88</f>
        <v/>
      </c>
      <c r="AT93" s="15">
        <f>'Grid_Stock'!AL88</f>
        <v/>
      </c>
      <c r="AU93" s="15">
        <f>'Grid_Stock'!AM88</f>
        <v/>
      </c>
      <c r="AV93" s="15">
        <f>'Grid_Stock'!AN88</f>
        <v/>
      </c>
      <c r="AW93" s="15">
        <f>'Grid_Stock'!AO88</f>
        <v/>
      </c>
      <c r="AX93" s="15">
        <f>'Grid_Stock'!AP88</f>
        <v/>
      </c>
      <c r="AY93" s="15">
        <f>'Grid_Stock'!AQ88</f>
        <v/>
      </c>
      <c r="AZ93" s="15">
        <f>'Grid_Stock'!AR88</f>
        <v/>
      </c>
      <c r="BA93" s="15">
        <f>'Grid_Stock'!AS88</f>
        <v/>
      </c>
      <c r="BB93" s="15">
        <f>'Grid_Stock'!AT88</f>
        <v/>
      </c>
      <c r="BC93" s="15">
        <f>'Grid_Stock'!AU88</f>
        <v/>
      </c>
      <c r="BD93" s="15">
        <f>'Grid_Stock'!AV88</f>
        <v/>
      </c>
      <c r="BE93" s="15">
        <f>'Grid_Stock'!AW88</f>
        <v/>
      </c>
      <c r="BF93" s="15">
        <f>'Grid_Stock'!AX88</f>
        <v/>
      </c>
      <c r="BG93" s="15">
        <f>'Grid_Stock'!AY88</f>
        <v/>
      </c>
      <c r="BH93" s="15">
        <f>'Grid_Stock'!AZ88</f>
        <v/>
      </c>
      <c r="BI93" s="15">
        <f>'Grid_Stock'!BA88</f>
        <v/>
      </c>
      <c r="BJ93" s="15">
        <f>'Grid_Stock'!BB88</f>
        <v/>
      </c>
      <c r="BK93" s="15">
        <f>'Grid_Stock'!BC88</f>
        <v/>
      </c>
      <c r="BL93" s="15">
        <f>'Grid_Stock'!BD88</f>
        <v/>
      </c>
      <c r="BM93" s="15">
        <f>'Grid_Stock'!BE88</f>
        <v/>
      </c>
      <c r="BN93" s="15">
        <f>'Grid_Stock'!BF88</f>
        <v/>
      </c>
      <c r="BO93" s="15">
        <f>'Grid_Stock'!BG88</f>
        <v/>
      </c>
      <c r="BP93" s="15">
        <f>'Grid_Stock'!BH88</f>
        <v/>
      </c>
      <c r="BQ93" s="15">
        <f>'Grid_Stock'!BI88</f>
        <v/>
      </c>
      <c r="BR93" s="15">
        <f>'Grid_Stock'!BJ88</f>
        <v/>
      </c>
      <c r="BS93" s="15">
        <f>'Grid_Stock'!BK88</f>
        <v/>
      </c>
      <c r="BT93" s="15">
        <f>'Grid_Stock'!BL88</f>
        <v/>
      </c>
      <c r="BU93" s="15">
        <f>'Grid_Stock'!BM88</f>
        <v/>
      </c>
      <c r="BV93" s="15">
        <f>'Grid_Stock'!BN88</f>
        <v/>
      </c>
      <c r="BW93" s="15">
        <f>'Grid_Stock'!BO88</f>
        <v/>
      </c>
      <c r="BX93" s="15">
        <f>'Grid_Stock'!BP88</f>
        <v/>
      </c>
      <c r="BY93" s="15">
        <f>'Grid_Stock'!BQ88</f>
        <v/>
      </c>
      <c r="BZ93" s="15">
        <f>'Grid_Stock'!BR88</f>
        <v/>
      </c>
      <c r="CA93" s="15">
        <f>'Grid_Stock'!BS88</f>
        <v/>
      </c>
      <c r="CB93" s="15">
        <f>'Grid_Stock'!BT88</f>
        <v/>
      </c>
      <c r="CC93" s="15">
        <f>'Grid_Stock'!BU88</f>
        <v/>
      </c>
      <c r="CD93" s="15">
        <f>'Grid_Stock'!BV88</f>
        <v/>
      </c>
      <c r="CE93" s="15">
        <f>'Grid_Stock'!BW88</f>
        <v/>
      </c>
      <c r="CF93" s="15">
        <f>'Grid_Stock'!BX88</f>
        <v/>
      </c>
      <c r="CG93" s="15">
        <f>'Grid_Stock'!BY88</f>
        <v/>
      </c>
      <c r="CH93" s="15">
        <f>'Grid_Stock'!BZ88</f>
        <v/>
      </c>
      <c r="CI93" s="15">
        <f>'Grid_Stock'!CA88</f>
        <v/>
      </c>
      <c r="CJ93" s="15">
        <f>'Grid_Stock'!CB88</f>
        <v/>
      </c>
      <c r="CK93" s="15">
        <f>'Grid_Stock'!CC88</f>
        <v/>
      </c>
      <c r="CL93" s="15">
        <f>'Grid_Stock'!CD88</f>
        <v/>
      </c>
      <c r="CM93" s="15">
        <f>'Grid_Stock'!CE88</f>
        <v/>
      </c>
      <c r="CN93" s="15">
        <f>'Grid_Stock'!CF88</f>
        <v/>
      </c>
      <c r="CO93" s="15">
        <f>'Grid_Stock'!CG88</f>
        <v/>
      </c>
      <c r="CP93" s="15">
        <f>'Grid_Stock'!CH88</f>
        <v/>
      </c>
      <c r="CQ93" s="15">
        <f>'Grid_Stock'!CI88</f>
        <v/>
      </c>
      <c r="CR93" s="15">
        <f>'Grid_Stock'!CJ88</f>
        <v/>
      </c>
      <c r="CS93" s="15">
        <f>'Grid_Stock'!CK88</f>
        <v/>
      </c>
      <c r="CT93" s="15">
        <f>'Grid_Stock'!CL88</f>
        <v/>
      </c>
      <c r="CU93" s="15">
        <f>'Grid_Stock'!CM88</f>
        <v/>
      </c>
      <c r="CV93" s="15">
        <f>'Grid_Stock'!CN88</f>
        <v/>
      </c>
      <c r="CW93" s="15">
        <f>'Grid_Stock'!CO88</f>
        <v/>
      </c>
      <c r="CX93" s="15">
        <f>'Grid_Stock'!CP88</f>
        <v/>
      </c>
      <c r="CY93" s="15">
        <f>'Grid_Stock'!CQ88</f>
        <v/>
      </c>
      <c r="CZ93" s="15">
        <f>'Grid_Stock'!CR88</f>
        <v/>
      </c>
      <c r="DA93" s="15">
        <f>'Grid_Stock'!CS88</f>
        <v/>
      </c>
      <c r="DB93" s="15">
        <f>'Grid_Stock'!CT88</f>
        <v/>
      </c>
      <c r="DC93" s="15">
        <f>'Grid_Stock'!CU88</f>
        <v/>
      </c>
      <c r="DD93" s="15">
        <f>'Grid_Stock'!CV88</f>
        <v/>
      </c>
      <c r="DE93" s="15">
        <f>'Grid_Stock'!CW88</f>
        <v/>
      </c>
      <c r="DF93" s="15">
        <f>'Grid_Stock'!CX88</f>
        <v/>
      </c>
      <c r="DG93" s="15">
        <f>'Grid_Stock'!CY88</f>
        <v/>
      </c>
      <c r="DH93" s="15">
        <f>'Grid_Stock'!CZ88</f>
        <v/>
      </c>
      <c r="DI93" s="15">
        <f>'Grid_Stock'!DA88</f>
        <v/>
      </c>
    </row>
    <row r="94">
      <c r="A94" s="17" t="inlineStr">
        <is>
          <t>CHEM-1460</t>
        </is>
      </c>
      <c r="B94" s="17">
        <f>IFERROR(INDEX(M_RawMaterials[Description],MATCH($A94,M_RawMaterials[RM_Code],0)),"")</f>
        <v/>
      </c>
      <c r="C94" s="17">
        <f>IFERROR(INDEX(M_RawMaterials[Category],MATCH($A94,M_RawMaterials[RM_Code],0)),"")</f>
        <v/>
      </c>
      <c r="D94" s="17">
        <f>IFERROR(INDEX(M_RawMaterials[基準在庫下限_要入力],MATCH($A94,M_RawMaterials[RM_Code],0)),0)</f>
        <v/>
      </c>
      <c r="E94" s="17">
        <f>IFERROR(INDEX(M_RawMaterials[基準在庫上限_要入力],MATCH($A94,M_RawMaterials[RM_Code],0)),0)</f>
        <v/>
      </c>
      <c r="F94" s="17">
        <f>IFERROR(LOOKUP(2,1/(T_SelfStock!$A$2:$A$12000=$A94),T_SelfStock!$D$2:$D$12000),"")</f>
        <v/>
      </c>
      <c r="G94" s="17">
        <f>IFERROR(LOOKUP(2,1/(T_TTAFStock!$A$2:$A$12000=$A94),T_TTAFStock!$D$2:$D$12000),"")</f>
        <v/>
      </c>
      <c r="H94" s="17">
        <f>IFERROR(INDEX(Cal_Weeks[Label],LOOKUP(2,1/(T_SelfStock!$A$2:$A$12000=$A94),T_SelfStock!$C$2:$C$12000)),"")</f>
        <v/>
      </c>
      <c r="I94" s="16">
        <f>IFERROR(INDEX(J94:DI94,$F$1),"")</f>
        <v/>
      </c>
      <c r="J94" s="17">
        <f>'Grid_Stock'!B89</f>
        <v/>
      </c>
      <c r="K94" s="17">
        <f>'Grid_Stock'!C89</f>
        <v/>
      </c>
      <c r="L94" s="17">
        <f>'Grid_Stock'!D89</f>
        <v/>
      </c>
      <c r="M94" s="17">
        <f>'Grid_Stock'!E89</f>
        <v/>
      </c>
      <c r="N94" s="17">
        <f>'Grid_Stock'!F89</f>
        <v/>
      </c>
      <c r="O94" s="17">
        <f>'Grid_Stock'!G89</f>
        <v/>
      </c>
      <c r="P94" s="17">
        <f>'Grid_Stock'!H89</f>
        <v/>
      </c>
      <c r="Q94" s="17">
        <f>'Grid_Stock'!I89</f>
        <v/>
      </c>
      <c r="R94" s="17">
        <f>'Grid_Stock'!J89</f>
        <v/>
      </c>
      <c r="S94" s="17">
        <f>'Grid_Stock'!K89</f>
        <v/>
      </c>
      <c r="T94" s="17">
        <f>'Grid_Stock'!L89</f>
        <v/>
      </c>
      <c r="U94" s="17">
        <f>'Grid_Stock'!M89</f>
        <v/>
      </c>
      <c r="V94" s="17">
        <f>'Grid_Stock'!N89</f>
        <v/>
      </c>
      <c r="W94" s="17">
        <f>'Grid_Stock'!O89</f>
        <v/>
      </c>
      <c r="X94" s="17">
        <f>'Grid_Stock'!P89</f>
        <v/>
      </c>
      <c r="Y94" s="17">
        <f>'Grid_Stock'!Q89</f>
        <v/>
      </c>
      <c r="Z94" s="17">
        <f>'Grid_Stock'!R89</f>
        <v/>
      </c>
      <c r="AA94" s="17">
        <f>'Grid_Stock'!S89</f>
        <v/>
      </c>
      <c r="AB94" s="17">
        <f>'Grid_Stock'!T89</f>
        <v/>
      </c>
      <c r="AC94" s="17">
        <f>'Grid_Stock'!U89</f>
        <v/>
      </c>
      <c r="AD94" s="17">
        <f>'Grid_Stock'!V89</f>
        <v/>
      </c>
      <c r="AE94" s="17">
        <f>'Grid_Stock'!W89</f>
        <v/>
      </c>
      <c r="AF94" s="17">
        <f>'Grid_Stock'!X89</f>
        <v/>
      </c>
      <c r="AG94" s="17">
        <f>'Grid_Stock'!Y89</f>
        <v/>
      </c>
      <c r="AH94" s="17">
        <f>'Grid_Stock'!Z89</f>
        <v/>
      </c>
      <c r="AI94" s="17">
        <f>'Grid_Stock'!AA89</f>
        <v/>
      </c>
      <c r="AJ94" s="17">
        <f>'Grid_Stock'!AB89</f>
        <v/>
      </c>
      <c r="AK94" s="17">
        <f>'Grid_Stock'!AC89</f>
        <v/>
      </c>
      <c r="AL94" s="17">
        <f>'Grid_Stock'!AD89</f>
        <v/>
      </c>
      <c r="AM94" s="17">
        <f>'Grid_Stock'!AE89</f>
        <v/>
      </c>
      <c r="AN94" s="17">
        <f>'Grid_Stock'!AF89</f>
        <v/>
      </c>
      <c r="AO94" s="17">
        <f>'Grid_Stock'!AG89</f>
        <v/>
      </c>
      <c r="AP94" s="17">
        <f>'Grid_Stock'!AH89</f>
        <v/>
      </c>
      <c r="AQ94" s="17">
        <f>'Grid_Stock'!AI89</f>
        <v/>
      </c>
      <c r="AR94" s="17">
        <f>'Grid_Stock'!AJ89</f>
        <v/>
      </c>
      <c r="AS94" s="17">
        <f>'Grid_Stock'!AK89</f>
        <v/>
      </c>
      <c r="AT94" s="17">
        <f>'Grid_Stock'!AL89</f>
        <v/>
      </c>
      <c r="AU94" s="17">
        <f>'Grid_Stock'!AM89</f>
        <v/>
      </c>
      <c r="AV94" s="17">
        <f>'Grid_Stock'!AN89</f>
        <v/>
      </c>
      <c r="AW94" s="17">
        <f>'Grid_Stock'!AO89</f>
        <v/>
      </c>
      <c r="AX94" s="17">
        <f>'Grid_Stock'!AP89</f>
        <v/>
      </c>
      <c r="AY94" s="17">
        <f>'Grid_Stock'!AQ89</f>
        <v/>
      </c>
      <c r="AZ94" s="17">
        <f>'Grid_Stock'!AR89</f>
        <v/>
      </c>
      <c r="BA94" s="17">
        <f>'Grid_Stock'!AS89</f>
        <v/>
      </c>
      <c r="BB94" s="17">
        <f>'Grid_Stock'!AT89</f>
        <v/>
      </c>
      <c r="BC94" s="17">
        <f>'Grid_Stock'!AU89</f>
        <v/>
      </c>
      <c r="BD94" s="17">
        <f>'Grid_Stock'!AV89</f>
        <v/>
      </c>
      <c r="BE94" s="17">
        <f>'Grid_Stock'!AW89</f>
        <v/>
      </c>
      <c r="BF94" s="17">
        <f>'Grid_Stock'!AX89</f>
        <v/>
      </c>
      <c r="BG94" s="17">
        <f>'Grid_Stock'!AY89</f>
        <v/>
      </c>
      <c r="BH94" s="17">
        <f>'Grid_Stock'!AZ89</f>
        <v/>
      </c>
      <c r="BI94" s="17">
        <f>'Grid_Stock'!BA89</f>
        <v/>
      </c>
      <c r="BJ94" s="17">
        <f>'Grid_Stock'!BB89</f>
        <v/>
      </c>
      <c r="BK94" s="17">
        <f>'Grid_Stock'!BC89</f>
        <v/>
      </c>
      <c r="BL94" s="17">
        <f>'Grid_Stock'!BD89</f>
        <v/>
      </c>
      <c r="BM94" s="17">
        <f>'Grid_Stock'!BE89</f>
        <v/>
      </c>
      <c r="BN94" s="17">
        <f>'Grid_Stock'!BF89</f>
        <v/>
      </c>
      <c r="BO94" s="17">
        <f>'Grid_Stock'!BG89</f>
        <v/>
      </c>
      <c r="BP94" s="17">
        <f>'Grid_Stock'!BH89</f>
        <v/>
      </c>
      <c r="BQ94" s="17">
        <f>'Grid_Stock'!BI89</f>
        <v/>
      </c>
      <c r="BR94" s="17">
        <f>'Grid_Stock'!BJ89</f>
        <v/>
      </c>
      <c r="BS94" s="17">
        <f>'Grid_Stock'!BK89</f>
        <v/>
      </c>
      <c r="BT94" s="17">
        <f>'Grid_Stock'!BL89</f>
        <v/>
      </c>
      <c r="BU94" s="17">
        <f>'Grid_Stock'!BM89</f>
        <v/>
      </c>
      <c r="BV94" s="17">
        <f>'Grid_Stock'!BN89</f>
        <v/>
      </c>
      <c r="BW94" s="17">
        <f>'Grid_Stock'!BO89</f>
        <v/>
      </c>
      <c r="BX94" s="17">
        <f>'Grid_Stock'!BP89</f>
        <v/>
      </c>
      <c r="BY94" s="17">
        <f>'Grid_Stock'!BQ89</f>
        <v/>
      </c>
      <c r="BZ94" s="17">
        <f>'Grid_Stock'!BR89</f>
        <v/>
      </c>
      <c r="CA94" s="17">
        <f>'Grid_Stock'!BS89</f>
        <v/>
      </c>
      <c r="CB94" s="17">
        <f>'Grid_Stock'!BT89</f>
        <v/>
      </c>
      <c r="CC94" s="17">
        <f>'Grid_Stock'!BU89</f>
        <v/>
      </c>
      <c r="CD94" s="17">
        <f>'Grid_Stock'!BV89</f>
        <v/>
      </c>
      <c r="CE94" s="17">
        <f>'Grid_Stock'!BW89</f>
        <v/>
      </c>
      <c r="CF94" s="17">
        <f>'Grid_Stock'!BX89</f>
        <v/>
      </c>
      <c r="CG94" s="17">
        <f>'Grid_Stock'!BY89</f>
        <v/>
      </c>
      <c r="CH94" s="17">
        <f>'Grid_Stock'!BZ89</f>
        <v/>
      </c>
      <c r="CI94" s="17">
        <f>'Grid_Stock'!CA89</f>
        <v/>
      </c>
      <c r="CJ94" s="17">
        <f>'Grid_Stock'!CB89</f>
        <v/>
      </c>
      <c r="CK94" s="17">
        <f>'Grid_Stock'!CC89</f>
        <v/>
      </c>
      <c r="CL94" s="17">
        <f>'Grid_Stock'!CD89</f>
        <v/>
      </c>
      <c r="CM94" s="17">
        <f>'Grid_Stock'!CE89</f>
        <v/>
      </c>
      <c r="CN94" s="17">
        <f>'Grid_Stock'!CF89</f>
        <v/>
      </c>
      <c r="CO94" s="17">
        <f>'Grid_Stock'!CG89</f>
        <v/>
      </c>
      <c r="CP94" s="17">
        <f>'Grid_Stock'!CH89</f>
        <v/>
      </c>
      <c r="CQ94" s="17">
        <f>'Grid_Stock'!CI89</f>
        <v/>
      </c>
      <c r="CR94" s="17">
        <f>'Grid_Stock'!CJ89</f>
        <v/>
      </c>
      <c r="CS94" s="17">
        <f>'Grid_Stock'!CK89</f>
        <v/>
      </c>
      <c r="CT94" s="17">
        <f>'Grid_Stock'!CL89</f>
        <v/>
      </c>
      <c r="CU94" s="17">
        <f>'Grid_Stock'!CM89</f>
        <v/>
      </c>
      <c r="CV94" s="17">
        <f>'Grid_Stock'!CN89</f>
        <v/>
      </c>
      <c r="CW94" s="17">
        <f>'Grid_Stock'!CO89</f>
        <v/>
      </c>
      <c r="CX94" s="17">
        <f>'Grid_Stock'!CP89</f>
        <v/>
      </c>
      <c r="CY94" s="17">
        <f>'Grid_Stock'!CQ89</f>
        <v/>
      </c>
      <c r="CZ94" s="17">
        <f>'Grid_Stock'!CR89</f>
        <v/>
      </c>
      <c r="DA94" s="17">
        <f>'Grid_Stock'!CS89</f>
        <v/>
      </c>
      <c r="DB94" s="17">
        <f>'Grid_Stock'!CT89</f>
        <v/>
      </c>
      <c r="DC94" s="17">
        <f>'Grid_Stock'!CU89</f>
        <v/>
      </c>
      <c r="DD94" s="17">
        <f>'Grid_Stock'!CV89</f>
        <v/>
      </c>
      <c r="DE94" s="17">
        <f>'Grid_Stock'!CW89</f>
        <v/>
      </c>
      <c r="DF94" s="17">
        <f>'Grid_Stock'!CX89</f>
        <v/>
      </c>
      <c r="DG94" s="17">
        <f>'Grid_Stock'!CY89</f>
        <v/>
      </c>
      <c r="DH94" s="17">
        <f>'Grid_Stock'!CZ89</f>
        <v/>
      </c>
      <c r="DI94" s="17">
        <f>'Grid_Stock'!DA89</f>
        <v/>
      </c>
    </row>
    <row r="95">
      <c r="A95" s="15" t="inlineStr">
        <is>
          <t>CHEM-1490</t>
        </is>
      </c>
      <c r="B95" s="15">
        <f>IFERROR(INDEX(M_RawMaterials[Description],MATCH($A95,M_RawMaterials[RM_Code],0)),"")</f>
        <v/>
      </c>
      <c r="C95" s="15">
        <f>IFERROR(INDEX(M_RawMaterials[Category],MATCH($A95,M_RawMaterials[RM_Code],0)),"")</f>
        <v/>
      </c>
      <c r="D95" s="15">
        <f>IFERROR(INDEX(M_RawMaterials[基準在庫下限_要入力],MATCH($A95,M_RawMaterials[RM_Code],0)),0)</f>
        <v/>
      </c>
      <c r="E95" s="15">
        <f>IFERROR(INDEX(M_RawMaterials[基準在庫上限_要入力],MATCH($A95,M_RawMaterials[RM_Code],0)),0)</f>
        <v/>
      </c>
      <c r="F95" s="15">
        <f>IFERROR(LOOKUP(2,1/(T_SelfStock!$A$2:$A$12000=$A95),T_SelfStock!$D$2:$D$12000),"")</f>
        <v/>
      </c>
      <c r="G95" s="15">
        <f>IFERROR(LOOKUP(2,1/(T_TTAFStock!$A$2:$A$12000=$A95),T_TTAFStock!$D$2:$D$12000),"")</f>
        <v/>
      </c>
      <c r="H95" s="15">
        <f>IFERROR(INDEX(Cal_Weeks[Label],LOOKUP(2,1/(T_SelfStock!$A$2:$A$12000=$A95),T_SelfStock!$C$2:$C$12000)),"")</f>
        <v/>
      </c>
      <c r="I95" s="16">
        <f>IFERROR(INDEX(J95:DI95,$F$1),"")</f>
        <v/>
      </c>
      <c r="J95" s="15">
        <f>'Grid_Stock'!B90</f>
        <v/>
      </c>
      <c r="K95" s="15">
        <f>'Grid_Stock'!C90</f>
        <v/>
      </c>
      <c r="L95" s="15">
        <f>'Grid_Stock'!D90</f>
        <v/>
      </c>
      <c r="M95" s="15">
        <f>'Grid_Stock'!E90</f>
        <v/>
      </c>
      <c r="N95" s="15">
        <f>'Grid_Stock'!F90</f>
        <v/>
      </c>
      <c r="O95" s="15">
        <f>'Grid_Stock'!G90</f>
        <v/>
      </c>
      <c r="P95" s="15">
        <f>'Grid_Stock'!H90</f>
        <v/>
      </c>
      <c r="Q95" s="15">
        <f>'Grid_Stock'!I90</f>
        <v/>
      </c>
      <c r="R95" s="15">
        <f>'Grid_Stock'!J90</f>
        <v/>
      </c>
      <c r="S95" s="15">
        <f>'Grid_Stock'!K90</f>
        <v/>
      </c>
      <c r="T95" s="15">
        <f>'Grid_Stock'!L90</f>
        <v/>
      </c>
      <c r="U95" s="15">
        <f>'Grid_Stock'!M90</f>
        <v/>
      </c>
      <c r="V95" s="15">
        <f>'Grid_Stock'!N90</f>
        <v/>
      </c>
      <c r="W95" s="15">
        <f>'Grid_Stock'!O90</f>
        <v/>
      </c>
      <c r="X95" s="15">
        <f>'Grid_Stock'!P90</f>
        <v/>
      </c>
      <c r="Y95" s="15">
        <f>'Grid_Stock'!Q90</f>
        <v/>
      </c>
      <c r="Z95" s="15">
        <f>'Grid_Stock'!R90</f>
        <v/>
      </c>
      <c r="AA95" s="15">
        <f>'Grid_Stock'!S90</f>
        <v/>
      </c>
      <c r="AB95" s="15">
        <f>'Grid_Stock'!T90</f>
        <v/>
      </c>
      <c r="AC95" s="15">
        <f>'Grid_Stock'!U90</f>
        <v/>
      </c>
      <c r="AD95" s="15">
        <f>'Grid_Stock'!V90</f>
        <v/>
      </c>
      <c r="AE95" s="15">
        <f>'Grid_Stock'!W90</f>
        <v/>
      </c>
      <c r="AF95" s="15">
        <f>'Grid_Stock'!X90</f>
        <v/>
      </c>
      <c r="AG95" s="15">
        <f>'Grid_Stock'!Y90</f>
        <v/>
      </c>
      <c r="AH95" s="15">
        <f>'Grid_Stock'!Z90</f>
        <v/>
      </c>
      <c r="AI95" s="15">
        <f>'Grid_Stock'!AA90</f>
        <v/>
      </c>
      <c r="AJ95" s="15">
        <f>'Grid_Stock'!AB90</f>
        <v/>
      </c>
      <c r="AK95" s="15">
        <f>'Grid_Stock'!AC90</f>
        <v/>
      </c>
      <c r="AL95" s="15">
        <f>'Grid_Stock'!AD90</f>
        <v/>
      </c>
      <c r="AM95" s="15">
        <f>'Grid_Stock'!AE90</f>
        <v/>
      </c>
      <c r="AN95" s="15">
        <f>'Grid_Stock'!AF90</f>
        <v/>
      </c>
      <c r="AO95" s="15">
        <f>'Grid_Stock'!AG90</f>
        <v/>
      </c>
      <c r="AP95" s="15">
        <f>'Grid_Stock'!AH90</f>
        <v/>
      </c>
      <c r="AQ95" s="15">
        <f>'Grid_Stock'!AI90</f>
        <v/>
      </c>
      <c r="AR95" s="15">
        <f>'Grid_Stock'!AJ90</f>
        <v/>
      </c>
      <c r="AS95" s="15">
        <f>'Grid_Stock'!AK90</f>
        <v/>
      </c>
      <c r="AT95" s="15">
        <f>'Grid_Stock'!AL90</f>
        <v/>
      </c>
      <c r="AU95" s="15">
        <f>'Grid_Stock'!AM90</f>
        <v/>
      </c>
      <c r="AV95" s="15">
        <f>'Grid_Stock'!AN90</f>
        <v/>
      </c>
      <c r="AW95" s="15">
        <f>'Grid_Stock'!AO90</f>
        <v/>
      </c>
      <c r="AX95" s="15">
        <f>'Grid_Stock'!AP90</f>
        <v/>
      </c>
      <c r="AY95" s="15">
        <f>'Grid_Stock'!AQ90</f>
        <v/>
      </c>
      <c r="AZ95" s="15">
        <f>'Grid_Stock'!AR90</f>
        <v/>
      </c>
      <c r="BA95" s="15">
        <f>'Grid_Stock'!AS90</f>
        <v/>
      </c>
      <c r="BB95" s="15">
        <f>'Grid_Stock'!AT90</f>
        <v/>
      </c>
      <c r="BC95" s="15">
        <f>'Grid_Stock'!AU90</f>
        <v/>
      </c>
      <c r="BD95" s="15">
        <f>'Grid_Stock'!AV90</f>
        <v/>
      </c>
      <c r="BE95" s="15">
        <f>'Grid_Stock'!AW90</f>
        <v/>
      </c>
      <c r="BF95" s="15">
        <f>'Grid_Stock'!AX90</f>
        <v/>
      </c>
      <c r="BG95" s="15">
        <f>'Grid_Stock'!AY90</f>
        <v/>
      </c>
      <c r="BH95" s="15">
        <f>'Grid_Stock'!AZ90</f>
        <v/>
      </c>
      <c r="BI95" s="15">
        <f>'Grid_Stock'!BA90</f>
        <v/>
      </c>
      <c r="BJ95" s="15">
        <f>'Grid_Stock'!BB90</f>
        <v/>
      </c>
      <c r="BK95" s="15">
        <f>'Grid_Stock'!BC90</f>
        <v/>
      </c>
      <c r="BL95" s="15">
        <f>'Grid_Stock'!BD90</f>
        <v/>
      </c>
      <c r="BM95" s="15">
        <f>'Grid_Stock'!BE90</f>
        <v/>
      </c>
      <c r="BN95" s="15">
        <f>'Grid_Stock'!BF90</f>
        <v/>
      </c>
      <c r="BO95" s="15">
        <f>'Grid_Stock'!BG90</f>
        <v/>
      </c>
      <c r="BP95" s="15">
        <f>'Grid_Stock'!BH90</f>
        <v/>
      </c>
      <c r="BQ95" s="15">
        <f>'Grid_Stock'!BI90</f>
        <v/>
      </c>
      <c r="BR95" s="15">
        <f>'Grid_Stock'!BJ90</f>
        <v/>
      </c>
      <c r="BS95" s="15">
        <f>'Grid_Stock'!BK90</f>
        <v/>
      </c>
      <c r="BT95" s="15">
        <f>'Grid_Stock'!BL90</f>
        <v/>
      </c>
      <c r="BU95" s="15">
        <f>'Grid_Stock'!BM90</f>
        <v/>
      </c>
      <c r="BV95" s="15">
        <f>'Grid_Stock'!BN90</f>
        <v/>
      </c>
      <c r="BW95" s="15">
        <f>'Grid_Stock'!BO90</f>
        <v/>
      </c>
      <c r="BX95" s="15">
        <f>'Grid_Stock'!BP90</f>
        <v/>
      </c>
      <c r="BY95" s="15">
        <f>'Grid_Stock'!BQ90</f>
        <v/>
      </c>
      <c r="BZ95" s="15">
        <f>'Grid_Stock'!BR90</f>
        <v/>
      </c>
      <c r="CA95" s="15">
        <f>'Grid_Stock'!BS90</f>
        <v/>
      </c>
      <c r="CB95" s="15">
        <f>'Grid_Stock'!BT90</f>
        <v/>
      </c>
      <c r="CC95" s="15">
        <f>'Grid_Stock'!BU90</f>
        <v/>
      </c>
      <c r="CD95" s="15">
        <f>'Grid_Stock'!BV90</f>
        <v/>
      </c>
      <c r="CE95" s="15">
        <f>'Grid_Stock'!BW90</f>
        <v/>
      </c>
      <c r="CF95" s="15">
        <f>'Grid_Stock'!BX90</f>
        <v/>
      </c>
      <c r="CG95" s="15">
        <f>'Grid_Stock'!BY90</f>
        <v/>
      </c>
      <c r="CH95" s="15">
        <f>'Grid_Stock'!BZ90</f>
        <v/>
      </c>
      <c r="CI95" s="15">
        <f>'Grid_Stock'!CA90</f>
        <v/>
      </c>
      <c r="CJ95" s="15">
        <f>'Grid_Stock'!CB90</f>
        <v/>
      </c>
      <c r="CK95" s="15">
        <f>'Grid_Stock'!CC90</f>
        <v/>
      </c>
      <c r="CL95" s="15">
        <f>'Grid_Stock'!CD90</f>
        <v/>
      </c>
      <c r="CM95" s="15">
        <f>'Grid_Stock'!CE90</f>
        <v/>
      </c>
      <c r="CN95" s="15">
        <f>'Grid_Stock'!CF90</f>
        <v/>
      </c>
      <c r="CO95" s="15">
        <f>'Grid_Stock'!CG90</f>
        <v/>
      </c>
      <c r="CP95" s="15">
        <f>'Grid_Stock'!CH90</f>
        <v/>
      </c>
      <c r="CQ95" s="15">
        <f>'Grid_Stock'!CI90</f>
        <v/>
      </c>
      <c r="CR95" s="15">
        <f>'Grid_Stock'!CJ90</f>
        <v/>
      </c>
      <c r="CS95" s="15">
        <f>'Grid_Stock'!CK90</f>
        <v/>
      </c>
      <c r="CT95" s="15">
        <f>'Grid_Stock'!CL90</f>
        <v/>
      </c>
      <c r="CU95" s="15">
        <f>'Grid_Stock'!CM90</f>
        <v/>
      </c>
      <c r="CV95" s="15">
        <f>'Grid_Stock'!CN90</f>
        <v/>
      </c>
      <c r="CW95" s="15">
        <f>'Grid_Stock'!CO90</f>
        <v/>
      </c>
      <c r="CX95" s="15">
        <f>'Grid_Stock'!CP90</f>
        <v/>
      </c>
      <c r="CY95" s="15">
        <f>'Grid_Stock'!CQ90</f>
        <v/>
      </c>
      <c r="CZ95" s="15">
        <f>'Grid_Stock'!CR90</f>
        <v/>
      </c>
      <c r="DA95" s="15">
        <f>'Grid_Stock'!CS90</f>
        <v/>
      </c>
      <c r="DB95" s="15">
        <f>'Grid_Stock'!CT90</f>
        <v/>
      </c>
      <c r="DC95" s="15">
        <f>'Grid_Stock'!CU90</f>
        <v/>
      </c>
      <c r="DD95" s="15">
        <f>'Grid_Stock'!CV90</f>
        <v/>
      </c>
      <c r="DE95" s="15">
        <f>'Grid_Stock'!CW90</f>
        <v/>
      </c>
      <c r="DF95" s="15">
        <f>'Grid_Stock'!CX90</f>
        <v/>
      </c>
      <c r="DG95" s="15">
        <f>'Grid_Stock'!CY90</f>
        <v/>
      </c>
      <c r="DH95" s="15">
        <f>'Grid_Stock'!CZ90</f>
        <v/>
      </c>
      <c r="DI95" s="15">
        <f>'Grid_Stock'!DA90</f>
        <v/>
      </c>
    </row>
    <row r="96">
      <c r="A96" s="17" t="inlineStr">
        <is>
          <t>CHEM-1610</t>
        </is>
      </c>
      <c r="B96" s="17">
        <f>IFERROR(INDEX(M_RawMaterials[Description],MATCH($A96,M_RawMaterials[RM_Code],0)),"")</f>
        <v/>
      </c>
      <c r="C96" s="17">
        <f>IFERROR(INDEX(M_RawMaterials[Category],MATCH($A96,M_RawMaterials[RM_Code],0)),"")</f>
        <v/>
      </c>
      <c r="D96" s="17">
        <f>IFERROR(INDEX(M_RawMaterials[基準在庫下限_要入力],MATCH($A96,M_RawMaterials[RM_Code],0)),0)</f>
        <v/>
      </c>
      <c r="E96" s="17">
        <f>IFERROR(INDEX(M_RawMaterials[基準在庫上限_要入力],MATCH($A96,M_RawMaterials[RM_Code],0)),0)</f>
        <v/>
      </c>
      <c r="F96" s="17">
        <f>IFERROR(LOOKUP(2,1/(T_SelfStock!$A$2:$A$12000=$A96),T_SelfStock!$D$2:$D$12000),"")</f>
        <v/>
      </c>
      <c r="G96" s="17">
        <f>IFERROR(LOOKUP(2,1/(T_TTAFStock!$A$2:$A$12000=$A96),T_TTAFStock!$D$2:$D$12000),"")</f>
        <v/>
      </c>
      <c r="H96" s="17">
        <f>IFERROR(INDEX(Cal_Weeks[Label],LOOKUP(2,1/(T_SelfStock!$A$2:$A$12000=$A96),T_SelfStock!$C$2:$C$12000)),"")</f>
        <v/>
      </c>
      <c r="I96" s="16">
        <f>IFERROR(INDEX(J96:DI96,$F$1),"")</f>
        <v/>
      </c>
      <c r="J96" s="17">
        <f>'Grid_Stock'!B91</f>
        <v/>
      </c>
      <c r="K96" s="17">
        <f>'Grid_Stock'!C91</f>
        <v/>
      </c>
      <c r="L96" s="17">
        <f>'Grid_Stock'!D91</f>
        <v/>
      </c>
      <c r="M96" s="17">
        <f>'Grid_Stock'!E91</f>
        <v/>
      </c>
      <c r="N96" s="17">
        <f>'Grid_Stock'!F91</f>
        <v/>
      </c>
      <c r="O96" s="17">
        <f>'Grid_Stock'!G91</f>
        <v/>
      </c>
      <c r="P96" s="17">
        <f>'Grid_Stock'!H91</f>
        <v/>
      </c>
      <c r="Q96" s="17">
        <f>'Grid_Stock'!I91</f>
        <v/>
      </c>
      <c r="R96" s="17">
        <f>'Grid_Stock'!J91</f>
        <v/>
      </c>
      <c r="S96" s="17">
        <f>'Grid_Stock'!K91</f>
        <v/>
      </c>
      <c r="T96" s="17">
        <f>'Grid_Stock'!L91</f>
        <v/>
      </c>
      <c r="U96" s="17">
        <f>'Grid_Stock'!M91</f>
        <v/>
      </c>
      <c r="V96" s="17">
        <f>'Grid_Stock'!N91</f>
        <v/>
      </c>
      <c r="W96" s="17">
        <f>'Grid_Stock'!O91</f>
        <v/>
      </c>
      <c r="X96" s="17">
        <f>'Grid_Stock'!P91</f>
        <v/>
      </c>
      <c r="Y96" s="17">
        <f>'Grid_Stock'!Q91</f>
        <v/>
      </c>
      <c r="Z96" s="17">
        <f>'Grid_Stock'!R91</f>
        <v/>
      </c>
      <c r="AA96" s="17">
        <f>'Grid_Stock'!S91</f>
        <v/>
      </c>
      <c r="AB96" s="17">
        <f>'Grid_Stock'!T91</f>
        <v/>
      </c>
      <c r="AC96" s="17">
        <f>'Grid_Stock'!U91</f>
        <v/>
      </c>
      <c r="AD96" s="17">
        <f>'Grid_Stock'!V91</f>
        <v/>
      </c>
      <c r="AE96" s="17">
        <f>'Grid_Stock'!W91</f>
        <v/>
      </c>
      <c r="AF96" s="17">
        <f>'Grid_Stock'!X91</f>
        <v/>
      </c>
      <c r="AG96" s="17">
        <f>'Grid_Stock'!Y91</f>
        <v/>
      </c>
      <c r="AH96" s="17">
        <f>'Grid_Stock'!Z91</f>
        <v/>
      </c>
      <c r="AI96" s="17">
        <f>'Grid_Stock'!AA91</f>
        <v/>
      </c>
      <c r="AJ96" s="17">
        <f>'Grid_Stock'!AB91</f>
        <v/>
      </c>
      <c r="AK96" s="17">
        <f>'Grid_Stock'!AC91</f>
        <v/>
      </c>
      <c r="AL96" s="17">
        <f>'Grid_Stock'!AD91</f>
        <v/>
      </c>
      <c r="AM96" s="17">
        <f>'Grid_Stock'!AE91</f>
        <v/>
      </c>
      <c r="AN96" s="17">
        <f>'Grid_Stock'!AF91</f>
        <v/>
      </c>
      <c r="AO96" s="17">
        <f>'Grid_Stock'!AG91</f>
        <v/>
      </c>
      <c r="AP96" s="17">
        <f>'Grid_Stock'!AH91</f>
        <v/>
      </c>
      <c r="AQ96" s="17">
        <f>'Grid_Stock'!AI91</f>
        <v/>
      </c>
      <c r="AR96" s="17">
        <f>'Grid_Stock'!AJ91</f>
        <v/>
      </c>
      <c r="AS96" s="17">
        <f>'Grid_Stock'!AK91</f>
        <v/>
      </c>
      <c r="AT96" s="17">
        <f>'Grid_Stock'!AL91</f>
        <v/>
      </c>
      <c r="AU96" s="17">
        <f>'Grid_Stock'!AM91</f>
        <v/>
      </c>
      <c r="AV96" s="17">
        <f>'Grid_Stock'!AN91</f>
        <v/>
      </c>
      <c r="AW96" s="17">
        <f>'Grid_Stock'!AO91</f>
        <v/>
      </c>
      <c r="AX96" s="17">
        <f>'Grid_Stock'!AP91</f>
        <v/>
      </c>
      <c r="AY96" s="17">
        <f>'Grid_Stock'!AQ91</f>
        <v/>
      </c>
      <c r="AZ96" s="17">
        <f>'Grid_Stock'!AR91</f>
        <v/>
      </c>
      <c r="BA96" s="17">
        <f>'Grid_Stock'!AS91</f>
        <v/>
      </c>
      <c r="BB96" s="17">
        <f>'Grid_Stock'!AT91</f>
        <v/>
      </c>
      <c r="BC96" s="17">
        <f>'Grid_Stock'!AU91</f>
        <v/>
      </c>
      <c r="BD96" s="17">
        <f>'Grid_Stock'!AV91</f>
        <v/>
      </c>
      <c r="BE96" s="17">
        <f>'Grid_Stock'!AW91</f>
        <v/>
      </c>
      <c r="BF96" s="17">
        <f>'Grid_Stock'!AX91</f>
        <v/>
      </c>
      <c r="BG96" s="17">
        <f>'Grid_Stock'!AY91</f>
        <v/>
      </c>
      <c r="BH96" s="17">
        <f>'Grid_Stock'!AZ91</f>
        <v/>
      </c>
      <c r="BI96" s="17">
        <f>'Grid_Stock'!BA91</f>
        <v/>
      </c>
      <c r="BJ96" s="17">
        <f>'Grid_Stock'!BB91</f>
        <v/>
      </c>
      <c r="BK96" s="17">
        <f>'Grid_Stock'!BC91</f>
        <v/>
      </c>
      <c r="BL96" s="17">
        <f>'Grid_Stock'!BD91</f>
        <v/>
      </c>
      <c r="BM96" s="17">
        <f>'Grid_Stock'!BE91</f>
        <v/>
      </c>
      <c r="BN96" s="17">
        <f>'Grid_Stock'!BF91</f>
        <v/>
      </c>
      <c r="BO96" s="17">
        <f>'Grid_Stock'!BG91</f>
        <v/>
      </c>
      <c r="BP96" s="17">
        <f>'Grid_Stock'!BH91</f>
        <v/>
      </c>
      <c r="BQ96" s="17">
        <f>'Grid_Stock'!BI91</f>
        <v/>
      </c>
      <c r="BR96" s="17">
        <f>'Grid_Stock'!BJ91</f>
        <v/>
      </c>
      <c r="BS96" s="17">
        <f>'Grid_Stock'!BK91</f>
        <v/>
      </c>
      <c r="BT96" s="17">
        <f>'Grid_Stock'!BL91</f>
        <v/>
      </c>
      <c r="BU96" s="17">
        <f>'Grid_Stock'!BM91</f>
        <v/>
      </c>
      <c r="BV96" s="17">
        <f>'Grid_Stock'!BN91</f>
        <v/>
      </c>
      <c r="BW96" s="17">
        <f>'Grid_Stock'!BO91</f>
        <v/>
      </c>
      <c r="BX96" s="17">
        <f>'Grid_Stock'!BP91</f>
        <v/>
      </c>
      <c r="BY96" s="17">
        <f>'Grid_Stock'!BQ91</f>
        <v/>
      </c>
      <c r="BZ96" s="17">
        <f>'Grid_Stock'!BR91</f>
        <v/>
      </c>
      <c r="CA96" s="17">
        <f>'Grid_Stock'!BS91</f>
        <v/>
      </c>
      <c r="CB96" s="17">
        <f>'Grid_Stock'!BT91</f>
        <v/>
      </c>
      <c r="CC96" s="17">
        <f>'Grid_Stock'!BU91</f>
        <v/>
      </c>
      <c r="CD96" s="17">
        <f>'Grid_Stock'!BV91</f>
        <v/>
      </c>
      <c r="CE96" s="17">
        <f>'Grid_Stock'!BW91</f>
        <v/>
      </c>
      <c r="CF96" s="17">
        <f>'Grid_Stock'!BX91</f>
        <v/>
      </c>
      <c r="CG96" s="17">
        <f>'Grid_Stock'!BY91</f>
        <v/>
      </c>
      <c r="CH96" s="17">
        <f>'Grid_Stock'!BZ91</f>
        <v/>
      </c>
      <c r="CI96" s="17">
        <f>'Grid_Stock'!CA91</f>
        <v/>
      </c>
      <c r="CJ96" s="17">
        <f>'Grid_Stock'!CB91</f>
        <v/>
      </c>
      <c r="CK96" s="17">
        <f>'Grid_Stock'!CC91</f>
        <v/>
      </c>
      <c r="CL96" s="17">
        <f>'Grid_Stock'!CD91</f>
        <v/>
      </c>
      <c r="CM96" s="17">
        <f>'Grid_Stock'!CE91</f>
        <v/>
      </c>
      <c r="CN96" s="17">
        <f>'Grid_Stock'!CF91</f>
        <v/>
      </c>
      <c r="CO96" s="17">
        <f>'Grid_Stock'!CG91</f>
        <v/>
      </c>
      <c r="CP96" s="17">
        <f>'Grid_Stock'!CH91</f>
        <v/>
      </c>
      <c r="CQ96" s="17">
        <f>'Grid_Stock'!CI91</f>
        <v/>
      </c>
      <c r="CR96" s="17">
        <f>'Grid_Stock'!CJ91</f>
        <v/>
      </c>
      <c r="CS96" s="17">
        <f>'Grid_Stock'!CK91</f>
        <v/>
      </c>
      <c r="CT96" s="17">
        <f>'Grid_Stock'!CL91</f>
        <v/>
      </c>
      <c r="CU96" s="17">
        <f>'Grid_Stock'!CM91</f>
        <v/>
      </c>
      <c r="CV96" s="17">
        <f>'Grid_Stock'!CN91</f>
        <v/>
      </c>
      <c r="CW96" s="17">
        <f>'Grid_Stock'!CO91</f>
        <v/>
      </c>
      <c r="CX96" s="17">
        <f>'Grid_Stock'!CP91</f>
        <v/>
      </c>
      <c r="CY96" s="17">
        <f>'Grid_Stock'!CQ91</f>
        <v/>
      </c>
      <c r="CZ96" s="17">
        <f>'Grid_Stock'!CR91</f>
        <v/>
      </c>
      <c r="DA96" s="17">
        <f>'Grid_Stock'!CS91</f>
        <v/>
      </c>
      <c r="DB96" s="17">
        <f>'Grid_Stock'!CT91</f>
        <v/>
      </c>
      <c r="DC96" s="17">
        <f>'Grid_Stock'!CU91</f>
        <v/>
      </c>
      <c r="DD96" s="17">
        <f>'Grid_Stock'!CV91</f>
        <v/>
      </c>
      <c r="DE96" s="17">
        <f>'Grid_Stock'!CW91</f>
        <v/>
      </c>
      <c r="DF96" s="17">
        <f>'Grid_Stock'!CX91</f>
        <v/>
      </c>
      <c r="DG96" s="17">
        <f>'Grid_Stock'!CY91</f>
        <v/>
      </c>
      <c r="DH96" s="17">
        <f>'Grid_Stock'!CZ91</f>
        <v/>
      </c>
      <c r="DI96" s="17">
        <f>'Grid_Stock'!DA91</f>
        <v/>
      </c>
    </row>
    <row r="97">
      <c r="A97" s="15" t="inlineStr">
        <is>
          <t>CHEM-1640</t>
        </is>
      </c>
      <c r="B97" s="15">
        <f>IFERROR(INDEX(M_RawMaterials[Description],MATCH($A97,M_RawMaterials[RM_Code],0)),"")</f>
        <v/>
      </c>
      <c r="C97" s="15">
        <f>IFERROR(INDEX(M_RawMaterials[Category],MATCH($A97,M_RawMaterials[RM_Code],0)),"")</f>
        <v/>
      </c>
      <c r="D97" s="15">
        <f>IFERROR(INDEX(M_RawMaterials[基準在庫下限_要入力],MATCH($A97,M_RawMaterials[RM_Code],0)),0)</f>
        <v/>
      </c>
      <c r="E97" s="15">
        <f>IFERROR(INDEX(M_RawMaterials[基準在庫上限_要入力],MATCH($A97,M_RawMaterials[RM_Code],0)),0)</f>
        <v/>
      </c>
      <c r="F97" s="15">
        <f>IFERROR(LOOKUP(2,1/(T_SelfStock!$A$2:$A$12000=$A97),T_SelfStock!$D$2:$D$12000),"")</f>
        <v/>
      </c>
      <c r="G97" s="15">
        <f>IFERROR(LOOKUP(2,1/(T_TTAFStock!$A$2:$A$12000=$A97),T_TTAFStock!$D$2:$D$12000),"")</f>
        <v/>
      </c>
      <c r="H97" s="15">
        <f>IFERROR(INDEX(Cal_Weeks[Label],LOOKUP(2,1/(T_SelfStock!$A$2:$A$12000=$A97),T_SelfStock!$C$2:$C$12000)),"")</f>
        <v/>
      </c>
      <c r="I97" s="16">
        <f>IFERROR(INDEX(J97:DI97,$F$1),"")</f>
        <v/>
      </c>
      <c r="J97" s="15">
        <f>'Grid_Stock'!B92</f>
        <v/>
      </c>
      <c r="K97" s="15">
        <f>'Grid_Stock'!C92</f>
        <v/>
      </c>
      <c r="L97" s="15">
        <f>'Grid_Stock'!D92</f>
        <v/>
      </c>
      <c r="M97" s="15">
        <f>'Grid_Stock'!E92</f>
        <v/>
      </c>
      <c r="N97" s="15">
        <f>'Grid_Stock'!F92</f>
        <v/>
      </c>
      <c r="O97" s="15">
        <f>'Grid_Stock'!G92</f>
        <v/>
      </c>
      <c r="P97" s="15">
        <f>'Grid_Stock'!H92</f>
        <v/>
      </c>
      <c r="Q97" s="15">
        <f>'Grid_Stock'!I92</f>
        <v/>
      </c>
      <c r="R97" s="15">
        <f>'Grid_Stock'!J92</f>
        <v/>
      </c>
      <c r="S97" s="15">
        <f>'Grid_Stock'!K92</f>
        <v/>
      </c>
      <c r="T97" s="15">
        <f>'Grid_Stock'!L92</f>
        <v/>
      </c>
      <c r="U97" s="15">
        <f>'Grid_Stock'!M92</f>
        <v/>
      </c>
      <c r="V97" s="15">
        <f>'Grid_Stock'!N92</f>
        <v/>
      </c>
      <c r="W97" s="15">
        <f>'Grid_Stock'!O92</f>
        <v/>
      </c>
      <c r="X97" s="15">
        <f>'Grid_Stock'!P92</f>
        <v/>
      </c>
      <c r="Y97" s="15">
        <f>'Grid_Stock'!Q92</f>
        <v/>
      </c>
      <c r="Z97" s="15">
        <f>'Grid_Stock'!R92</f>
        <v/>
      </c>
      <c r="AA97" s="15">
        <f>'Grid_Stock'!S92</f>
        <v/>
      </c>
      <c r="AB97" s="15">
        <f>'Grid_Stock'!T92</f>
        <v/>
      </c>
      <c r="AC97" s="15">
        <f>'Grid_Stock'!U92</f>
        <v/>
      </c>
      <c r="AD97" s="15">
        <f>'Grid_Stock'!V92</f>
        <v/>
      </c>
      <c r="AE97" s="15">
        <f>'Grid_Stock'!W92</f>
        <v/>
      </c>
      <c r="AF97" s="15">
        <f>'Grid_Stock'!X92</f>
        <v/>
      </c>
      <c r="AG97" s="15">
        <f>'Grid_Stock'!Y92</f>
        <v/>
      </c>
      <c r="AH97" s="15">
        <f>'Grid_Stock'!Z92</f>
        <v/>
      </c>
      <c r="AI97" s="15">
        <f>'Grid_Stock'!AA92</f>
        <v/>
      </c>
      <c r="AJ97" s="15">
        <f>'Grid_Stock'!AB92</f>
        <v/>
      </c>
      <c r="AK97" s="15">
        <f>'Grid_Stock'!AC92</f>
        <v/>
      </c>
      <c r="AL97" s="15">
        <f>'Grid_Stock'!AD92</f>
        <v/>
      </c>
      <c r="AM97" s="15">
        <f>'Grid_Stock'!AE92</f>
        <v/>
      </c>
      <c r="AN97" s="15">
        <f>'Grid_Stock'!AF92</f>
        <v/>
      </c>
      <c r="AO97" s="15">
        <f>'Grid_Stock'!AG92</f>
        <v/>
      </c>
      <c r="AP97" s="15">
        <f>'Grid_Stock'!AH92</f>
        <v/>
      </c>
      <c r="AQ97" s="15">
        <f>'Grid_Stock'!AI92</f>
        <v/>
      </c>
      <c r="AR97" s="15">
        <f>'Grid_Stock'!AJ92</f>
        <v/>
      </c>
      <c r="AS97" s="15">
        <f>'Grid_Stock'!AK92</f>
        <v/>
      </c>
      <c r="AT97" s="15">
        <f>'Grid_Stock'!AL92</f>
        <v/>
      </c>
      <c r="AU97" s="15">
        <f>'Grid_Stock'!AM92</f>
        <v/>
      </c>
      <c r="AV97" s="15">
        <f>'Grid_Stock'!AN92</f>
        <v/>
      </c>
      <c r="AW97" s="15">
        <f>'Grid_Stock'!AO92</f>
        <v/>
      </c>
      <c r="AX97" s="15">
        <f>'Grid_Stock'!AP92</f>
        <v/>
      </c>
      <c r="AY97" s="15">
        <f>'Grid_Stock'!AQ92</f>
        <v/>
      </c>
      <c r="AZ97" s="15">
        <f>'Grid_Stock'!AR92</f>
        <v/>
      </c>
      <c r="BA97" s="15">
        <f>'Grid_Stock'!AS92</f>
        <v/>
      </c>
      <c r="BB97" s="15">
        <f>'Grid_Stock'!AT92</f>
        <v/>
      </c>
      <c r="BC97" s="15">
        <f>'Grid_Stock'!AU92</f>
        <v/>
      </c>
      <c r="BD97" s="15">
        <f>'Grid_Stock'!AV92</f>
        <v/>
      </c>
      <c r="BE97" s="15">
        <f>'Grid_Stock'!AW92</f>
        <v/>
      </c>
      <c r="BF97" s="15">
        <f>'Grid_Stock'!AX92</f>
        <v/>
      </c>
      <c r="BG97" s="15">
        <f>'Grid_Stock'!AY92</f>
        <v/>
      </c>
      <c r="BH97" s="15">
        <f>'Grid_Stock'!AZ92</f>
        <v/>
      </c>
      <c r="BI97" s="15">
        <f>'Grid_Stock'!BA92</f>
        <v/>
      </c>
      <c r="BJ97" s="15">
        <f>'Grid_Stock'!BB92</f>
        <v/>
      </c>
      <c r="BK97" s="15">
        <f>'Grid_Stock'!BC92</f>
        <v/>
      </c>
      <c r="BL97" s="15">
        <f>'Grid_Stock'!BD92</f>
        <v/>
      </c>
      <c r="BM97" s="15">
        <f>'Grid_Stock'!BE92</f>
        <v/>
      </c>
      <c r="BN97" s="15">
        <f>'Grid_Stock'!BF92</f>
        <v/>
      </c>
      <c r="BO97" s="15">
        <f>'Grid_Stock'!BG92</f>
        <v/>
      </c>
      <c r="BP97" s="15">
        <f>'Grid_Stock'!BH92</f>
        <v/>
      </c>
      <c r="BQ97" s="15">
        <f>'Grid_Stock'!BI92</f>
        <v/>
      </c>
      <c r="BR97" s="15">
        <f>'Grid_Stock'!BJ92</f>
        <v/>
      </c>
      <c r="BS97" s="15">
        <f>'Grid_Stock'!BK92</f>
        <v/>
      </c>
      <c r="BT97" s="15">
        <f>'Grid_Stock'!BL92</f>
        <v/>
      </c>
      <c r="BU97" s="15">
        <f>'Grid_Stock'!BM92</f>
        <v/>
      </c>
      <c r="BV97" s="15">
        <f>'Grid_Stock'!BN92</f>
        <v/>
      </c>
      <c r="BW97" s="15">
        <f>'Grid_Stock'!BO92</f>
        <v/>
      </c>
      <c r="BX97" s="15">
        <f>'Grid_Stock'!BP92</f>
        <v/>
      </c>
      <c r="BY97" s="15">
        <f>'Grid_Stock'!BQ92</f>
        <v/>
      </c>
      <c r="BZ97" s="15">
        <f>'Grid_Stock'!BR92</f>
        <v/>
      </c>
      <c r="CA97" s="15">
        <f>'Grid_Stock'!BS92</f>
        <v/>
      </c>
      <c r="CB97" s="15">
        <f>'Grid_Stock'!BT92</f>
        <v/>
      </c>
      <c r="CC97" s="15">
        <f>'Grid_Stock'!BU92</f>
        <v/>
      </c>
      <c r="CD97" s="15">
        <f>'Grid_Stock'!BV92</f>
        <v/>
      </c>
      <c r="CE97" s="15">
        <f>'Grid_Stock'!BW92</f>
        <v/>
      </c>
      <c r="CF97" s="15">
        <f>'Grid_Stock'!BX92</f>
        <v/>
      </c>
      <c r="CG97" s="15">
        <f>'Grid_Stock'!BY92</f>
        <v/>
      </c>
      <c r="CH97" s="15">
        <f>'Grid_Stock'!BZ92</f>
        <v/>
      </c>
      <c r="CI97" s="15">
        <f>'Grid_Stock'!CA92</f>
        <v/>
      </c>
      <c r="CJ97" s="15">
        <f>'Grid_Stock'!CB92</f>
        <v/>
      </c>
      <c r="CK97" s="15">
        <f>'Grid_Stock'!CC92</f>
        <v/>
      </c>
      <c r="CL97" s="15">
        <f>'Grid_Stock'!CD92</f>
        <v/>
      </c>
      <c r="CM97" s="15">
        <f>'Grid_Stock'!CE92</f>
        <v/>
      </c>
      <c r="CN97" s="15">
        <f>'Grid_Stock'!CF92</f>
        <v/>
      </c>
      <c r="CO97" s="15">
        <f>'Grid_Stock'!CG92</f>
        <v/>
      </c>
      <c r="CP97" s="15">
        <f>'Grid_Stock'!CH92</f>
        <v/>
      </c>
      <c r="CQ97" s="15">
        <f>'Grid_Stock'!CI92</f>
        <v/>
      </c>
      <c r="CR97" s="15">
        <f>'Grid_Stock'!CJ92</f>
        <v/>
      </c>
      <c r="CS97" s="15">
        <f>'Grid_Stock'!CK92</f>
        <v/>
      </c>
      <c r="CT97" s="15">
        <f>'Grid_Stock'!CL92</f>
        <v/>
      </c>
      <c r="CU97" s="15">
        <f>'Grid_Stock'!CM92</f>
        <v/>
      </c>
      <c r="CV97" s="15">
        <f>'Grid_Stock'!CN92</f>
        <v/>
      </c>
      <c r="CW97" s="15">
        <f>'Grid_Stock'!CO92</f>
        <v/>
      </c>
      <c r="CX97" s="15">
        <f>'Grid_Stock'!CP92</f>
        <v/>
      </c>
      <c r="CY97" s="15">
        <f>'Grid_Stock'!CQ92</f>
        <v/>
      </c>
      <c r="CZ97" s="15">
        <f>'Grid_Stock'!CR92</f>
        <v/>
      </c>
      <c r="DA97" s="15">
        <f>'Grid_Stock'!CS92</f>
        <v/>
      </c>
      <c r="DB97" s="15">
        <f>'Grid_Stock'!CT92</f>
        <v/>
      </c>
      <c r="DC97" s="15">
        <f>'Grid_Stock'!CU92</f>
        <v/>
      </c>
      <c r="DD97" s="15">
        <f>'Grid_Stock'!CV92</f>
        <v/>
      </c>
      <c r="DE97" s="15">
        <f>'Grid_Stock'!CW92</f>
        <v/>
      </c>
      <c r="DF97" s="15">
        <f>'Grid_Stock'!CX92</f>
        <v/>
      </c>
      <c r="DG97" s="15">
        <f>'Grid_Stock'!CY92</f>
        <v/>
      </c>
      <c r="DH97" s="15">
        <f>'Grid_Stock'!CZ92</f>
        <v/>
      </c>
      <c r="DI97" s="15">
        <f>'Grid_Stock'!DA92</f>
        <v/>
      </c>
    </row>
    <row r="98">
      <c r="A98" s="17" t="inlineStr">
        <is>
          <t>CHEM-1030</t>
        </is>
      </c>
      <c r="B98" s="17">
        <f>IFERROR(INDEX(M_RawMaterials[Description],MATCH($A98,M_RawMaterials[RM_Code],0)),"")</f>
        <v/>
      </c>
      <c r="C98" s="17">
        <f>IFERROR(INDEX(M_RawMaterials[Category],MATCH($A98,M_RawMaterials[RM_Code],0)),"")</f>
        <v/>
      </c>
      <c r="D98" s="17">
        <f>IFERROR(INDEX(M_RawMaterials[基準在庫下限_要入力],MATCH($A98,M_RawMaterials[RM_Code],0)),0)</f>
        <v/>
      </c>
      <c r="E98" s="17">
        <f>IFERROR(INDEX(M_RawMaterials[基準在庫上限_要入力],MATCH($A98,M_RawMaterials[RM_Code],0)),0)</f>
        <v/>
      </c>
      <c r="F98" s="17">
        <f>IFERROR(LOOKUP(2,1/(T_SelfStock!$A$2:$A$12000=$A98),T_SelfStock!$D$2:$D$12000),"")</f>
        <v/>
      </c>
      <c r="G98" s="17">
        <f>IFERROR(LOOKUP(2,1/(T_TTAFStock!$A$2:$A$12000=$A98),T_TTAFStock!$D$2:$D$12000),"")</f>
        <v/>
      </c>
      <c r="H98" s="17">
        <f>IFERROR(INDEX(Cal_Weeks[Label],LOOKUP(2,1/(T_SelfStock!$A$2:$A$12000=$A98),T_SelfStock!$C$2:$C$12000)),"")</f>
        <v/>
      </c>
      <c r="I98" s="16">
        <f>IFERROR(INDEX(J98:DI98,$F$1),"")</f>
        <v/>
      </c>
      <c r="J98" s="17">
        <f>'Grid_Stock'!B93</f>
        <v/>
      </c>
      <c r="K98" s="17">
        <f>'Grid_Stock'!C93</f>
        <v/>
      </c>
      <c r="L98" s="17">
        <f>'Grid_Stock'!D93</f>
        <v/>
      </c>
      <c r="M98" s="17">
        <f>'Grid_Stock'!E93</f>
        <v/>
      </c>
      <c r="N98" s="17">
        <f>'Grid_Stock'!F93</f>
        <v/>
      </c>
      <c r="O98" s="17">
        <f>'Grid_Stock'!G93</f>
        <v/>
      </c>
      <c r="P98" s="17">
        <f>'Grid_Stock'!H93</f>
        <v/>
      </c>
      <c r="Q98" s="17">
        <f>'Grid_Stock'!I93</f>
        <v/>
      </c>
      <c r="R98" s="17">
        <f>'Grid_Stock'!J93</f>
        <v/>
      </c>
      <c r="S98" s="17">
        <f>'Grid_Stock'!K93</f>
        <v/>
      </c>
      <c r="T98" s="17">
        <f>'Grid_Stock'!L93</f>
        <v/>
      </c>
      <c r="U98" s="17">
        <f>'Grid_Stock'!M93</f>
        <v/>
      </c>
      <c r="V98" s="17">
        <f>'Grid_Stock'!N93</f>
        <v/>
      </c>
      <c r="W98" s="17">
        <f>'Grid_Stock'!O93</f>
        <v/>
      </c>
      <c r="X98" s="17">
        <f>'Grid_Stock'!P93</f>
        <v/>
      </c>
      <c r="Y98" s="17">
        <f>'Grid_Stock'!Q93</f>
        <v/>
      </c>
      <c r="Z98" s="17">
        <f>'Grid_Stock'!R93</f>
        <v/>
      </c>
      <c r="AA98" s="17">
        <f>'Grid_Stock'!S93</f>
        <v/>
      </c>
      <c r="AB98" s="17">
        <f>'Grid_Stock'!T93</f>
        <v/>
      </c>
      <c r="AC98" s="17">
        <f>'Grid_Stock'!U93</f>
        <v/>
      </c>
      <c r="AD98" s="17">
        <f>'Grid_Stock'!V93</f>
        <v/>
      </c>
      <c r="AE98" s="17">
        <f>'Grid_Stock'!W93</f>
        <v/>
      </c>
      <c r="AF98" s="17">
        <f>'Grid_Stock'!X93</f>
        <v/>
      </c>
      <c r="AG98" s="17">
        <f>'Grid_Stock'!Y93</f>
        <v/>
      </c>
      <c r="AH98" s="17">
        <f>'Grid_Stock'!Z93</f>
        <v/>
      </c>
      <c r="AI98" s="17">
        <f>'Grid_Stock'!AA93</f>
        <v/>
      </c>
      <c r="AJ98" s="17">
        <f>'Grid_Stock'!AB93</f>
        <v/>
      </c>
      <c r="AK98" s="17">
        <f>'Grid_Stock'!AC93</f>
        <v/>
      </c>
      <c r="AL98" s="17">
        <f>'Grid_Stock'!AD93</f>
        <v/>
      </c>
      <c r="AM98" s="17">
        <f>'Grid_Stock'!AE93</f>
        <v/>
      </c>
      <c r="AN98" s="17">
        <f>'Grid_Stock'!AF93</f>
        <v/>
      </c>
      <c r="AO98" s="17">
        <f>'Grid_Stock'!AG93</f>
        <v/>
      </c>
      <c r="AP98" s="17">
        <f>'Grid_Stock'!AH93</f>
        <v/>
      </c>
      <c r="AQ98" s="17">
        <f>'Grid_Stock'!AI93</f>
        <v/>
      </c>
      <c r="AR98" s="17">
        <f>'Grid_Stock'!AJ93</f>
        <v/>
      </c>
      <c r="AS98" s="17">
        <f>'Grid_Stock'!AK93</f>
        <v/>
      </c>
      <c r="AT98" s="17">
        <f>'Grid_Stock'!AL93</f>
        <v/>
      </c>
      <c r="AU98" s="17">
        <f>'Grid_Stock'!AM93</f>
        <v/>
      </c>
      <c r="AV98" s="17">
        <f>'Grid_Stock'!AN93</f>
        <v/>
      </c>
      <c r="AW98" s="17">
        <f>'Grid_Stock'!AO93</f>
        <v/>
      </c>
      <c r="AX98" s="17">
        <f>'Grid_Stock'!AP93</f>
        <v/>
      </c>
      <c r="AY98" s="17">
        <f>'Grid_Stock'!AQ93</f>
        <v/>
      </c>
      <c r="AZ98" s="17">
        <f>'Grid_Stock'!AR93</f>
        <v/>
      </c>
      <c r="BA98" s="17">
        <f>'Grid_Stock'!AS93</f>
        <v/>
      </c>
      <c r="BB98" s="17">
        <f>'Grid_Stock'!AT93</f>
        <v/>
      </c>
      <c r="BC98" s="17">
        <f>'Grid_Stock'!AU93</f>
        <v/>
      </c>
      <c r="BD98" s="17">
        <f>'Grid_Stock'!AV93</f>
        <v/>
      </c>
      <c r="BE98" s="17">
        <f>'Grid_Stock'!AW93</f>
        <v/>
      </c>
      <c r="BF98" s="17">
        <f>'Grid_Stock'!AX93</f>
        <v/>
      </c>
      <c r="BG98" s="17">
        <f>'Grid_Stock'!AY93</f>
        <v/>
      </c>
      <c r="BH98" s="17">
        <f>'Grid_Stock'!AZ93</f>
        <v/>
      </c>
      <c r="BI98" s="17">
        <f>'Grid_Stock'!BA93</f>
        <v/>
      </c>
      <c r="BJ98" s="17">
        <f>'Grid_Stock'!BB93</f>
        <v/>
      </c>
      <c r="BK98" s="17">
        <f>'Grid_Stock'!BC93</f>
        <v/>
      </c>
      <c r="BL98" s="17">
        <f>'Grid_Stock'!BD93</f>
        <v/>
      </c>
      <c r="BM98" s="17">
        <f>'Grid_Stock'!BE93</f>
        <v/>
      </c>
      <c r="BN98" s="17">
        <f>'Grid_Stock'!BF93</f>
        <v/>
      </c>
      <c r="BO98" s="17">
        <f>'Grid_Stock'!BG93</f>
        <v/>
      </c>
      <c r="BP98" s="17">
        <f>'Grid_Stock'!BH93</f>
        <v/>
      </c>
      <c r="BQ98" s="17">
        <f>'Grid_Stock'!BI93</f>
        <v/>
      </c>
      <c r="BR98" s="17">
        <f>'Grid_Stock'!BJ93</f>
        <v/>
      </c>
      <c r="BS98" s="17">
        <f>'Grid_Stock'!BK93</f>
        <v/>
      </c>
      <c r="BT98" s="17">
        <f>'Grid_Stock'!BL93</f>
        <v/>
      </c>
      <c r="BU98" s="17">
        <f>'Grid_Stock'!BM93</f>
        <v/>
      </c>
      <c r="BV98" s="17">
        <f>'Grid_Stock'!BN93</f>
        <v/>
      </c>
      <c r="BW98" s="17">
        <f>'Grid_Stock'!BO93</f>
        <v/>
      </c>
      <c r="BX98" s="17">
        <f>'Grid_Stock'!BP93</f>
        <v/>
      </c>
      <c r="BY98" s="17">
        <f>'Grid_Stock'!BQ93</f>
        <v/>
      </c>
      <c r="BZ98" s="17">
        <f>'Grid_Stock'!BR93</f>
        <v/>
      </c>
      <c r="CA98" s="17">
        <f>'Grid_Stock'!BS93</f>
        <v/>
      </c>
      <c r="CB98" s="17">
        <f>'Grid_Stock'!BT93</f>
        <v/>
      </c>
      <c r="CC98" s="17">
        <f>'Grid_Stock'!BU93</f>
        <v/>
      </c>
      <c r="CD98" s="17">
        <f>'Grid_Stock'!BV93</f>
        <v/>
      </c>
      <c r="CE98" s="17">
        <f>'Grid_Stock'!BW93</f>
        <v/>
      </c>
      <c r="CF98" s="17">
        <f>'Grid_Stock'!BX93</f>
        <v/>
      </c>
      <c r="CG98" s="17">
        <f>'Grid_Stock'!BY93</f>
        <v/>
      </c>
      <c r="CH98" s="17">
        <f>'Grid_Stock'!BZ93</f>
        <v/>
      </c>
      <c r="CI98" s="17">
        <f>'Grid_Stock'!CA93</f>
        <v/>
      </c>
      <c r="CJ98" s="17">
        <f>'Grid_Stock'!CB93</f>
        <v/>
      </c>
      <c r="CK98" s="17">
        <f>'Grid_Stock'!CC93</f>
        <v/>
      </c>
      <c r="CL98" s="17">
        <f>'Grid_Stock'!CD93</f>
        <v/>
      </c>
      <c r="CM98" s="17">
        <f>'Grid_Stock'!CE93</f>
        <v/>
      </c>
      <c r="CN98" s="17">
        <f>'Grid_Stock'!CF93</f>
        <v/>
      </c>
      <c r="CO98" s="17">
        <f>'Grid_Stock'!CG93</f>
        <v/>
      </c>
      <c r="CP98" s="17">
        <f>'Grid_Stock'!CH93</f>
        <v/>
      </c>
      <c r="CQ98" s="17">
        <f>'Grid_Stock'!CI93</f>
        <v/>
      </c>
      <c r="CR98" s="17">
        <f>'Grid_Stock'!CJ93</f>
        <v/>
      </c>
      <c r="CS98" s="17">
        <f>'Grid_Stock'!CK93</f>
        <v/>
      </c>
      <c r="CT98" s="17">
        <f>'Grid_Stock'!CL93</f>
        <v/>
      </c>
      <c r="CU98" s="17">
        <f>'Grid_Stock'!CM93</f>
        <v/>
      </c>
      <c r="CV98" s="17">
        <f>'Grid_Stock'!CN93</f>
        <v/>
      </c>
      <c r="CW98" s="17">
        <f>'Grid_Stock'!CO93</f>
        <v/>
      </c>
      <c r="CX98" s="17">
        <f>'Grid_Stock'!CP93</f>
        <v/>
      </c>
      <c r="CY98" s="17">
        <f>'Grid_Stock'!CQ93</f>
        <v/>
      </c>
      <c r="CZ98" s="17">
        <f>'Grid_Stock'!CR93</f>
        <v/>
      </c>
      <c r="DA98" s="17">
        <f>'Grid_Stock'!CS93</f>
        <v/>
      </c>
      <c r="DB98" s="17">
        <f>'Grid_Stock'!CT93</f>
        <v/>
      </c>
      <c r="DC98" s="17">
        <f>'Grid_Stock'!CU93</f>
        <v/>
      </c>
      <c r="DD98" s="17">
        <f>'Grid_Stock'!CV93</f>
        <v/>
      </c>
      <c r="DE98" s="17">
        <f>'Grid_Stock'!CW93</f>
        <v/>
      </c>
      <c r="DF98" s="17">
        <f>'Grid_Stock'!CX93</f>
        <v/>
      </c>
      <c r="DG98" s="17">
        <f>'Grid_Stock'!CY93</f>
        <v/>
      </c>
      <c r="DH98" s="17">
        <f>'Grid_Stock'!CZ93</f>
        <v/>
      </c>
      <c r="DI98" s="17">
        <f>'Grid_Stock'!DA93</f>
        <v/>
      </c>
    </row>
    <row r="99">
      <c r="A99" s="15" t="inlineStr">
        <is>
          <t>CHEM-1800</t>
        </is>
      </c>
      <c r="B99" s="15">
        <f>IFERROR(INDEX(M_RawMaterials[Description],MATCH($A99,M_RawMaterials[RM_Code],0)),"")</f>
        <v/>
      </c>
      <c r="C99" s="15">
        <f>IFERROR(INDEX(M_RawMaterials[Category],MATCH($A99,M_RawMaterials[RM_Code],0)),"")</f>
        <v/>
      </c>
      <c r="D99" s="15">
        <f>IFERROR(INDEX(M_RawMaterials[基準在庫下限_要入力],MATCH($A99,M_RawMaterials[RM_Code],0)),0)</f>
        <v/>
      </c>
      <c r="E99" s="15">
        <f>IFERROR(INDEX(M_RawMaterials[基準在庫上限_要入力],MATCH($A99,M_RawMaterials[RM_Code],0)),0)</f>
        <v/>
      </c>
      <c r="F99" s="15">
        <f>IFERROR(LOOKUP(2,1/(T_SelfStock!$A$2:$A$12000=$A99),T_SelfStock!$D$2:$D$12000),"")</f>
        <v/>
      </c>
      <c r="G99" s="15">
        <f>IFERROR(LOOKUP(2,1/(T_TTAFStock!$A$2:$A$12000=$A99),T_TTAFStock!$D$2:$D$12000),"")</f>
        <v/>
      </c>
      <c r="H99" s="15">
        <f>IFERROR(INDEX(Cal_Weeks[Label],LOOKUP(2,1/(T_SelfStock!$A$2:$A$12000=$A99),T_SelfStock!$C$2:$C$12000)),"")</f>
        <v/>
      </c>
      <c r="I99" s="16">
        <f>IFERROR(INDEX(J99:DI99,$F$1),"")</f>
        <v/>
      </c>
      <c r="J99" s="15">
        <f>'Grid_Stock'!B94</f>
        <v/>
      </c>
      <c r="K99" s="15">
        <f>'Grid_Stock'!C94</f>
        <v/>
      </c>
      <c r="L99" s="15">
        <f>'Grid_Stock'!D94</f>
        <v/>
      </c>
      <c r="M99" s="15">
        <f>'Grid_Stock'!E94</f>
        <v/>
      </c>
      <c r="N99" s="15">
        <f>'Grid_Stock'!F94</f>
        <v/>
      </c>
      <c r="O99" s="15">
        <f>'Grid_Stock'!G94</f>
        <v/>
      </c>
      <c r="P99" s="15">
        <f>'Grid_Stock'!H94</f>
        <v/>
      </c>
      <c r="Q99" s="15">
        <f>'Grid_Stock'!I94</f>
        <v/>
      </c>
      <c r="R99" s="15">
        <f>'Grid_Stock'!J94</f>
        <v/>
      </c>
      <c r="S99" s="15">
        <f>'Grid_Stock'!K94</f>
        <v/>
      </c>
      <c r="T99" s="15">
        <f>'Grid_Stock'!L94</f>
        <v/>
      </c>
      <c r="U99" s="15">
        <f>'Grid_Stock'!M94</f>
        <v/>
      </c>
      <c r="V99" s="15">
        <f>'Grid_Stock'!N94</f>
        <v/>
      </c>
      <c r="W99" s="15">
        <f>'Grid_Stock'!O94</f>
        <v/>
      </c>
      <c r="X99" s="15">
        <f>'Grid_Stock'!P94</f>
        <v/>
      </c>
      <c r="Y99" s="15">
        <f>'Grid_Stock'!Q94</f>
        <v/>
      </c>
      <c r="Z99" s="15">
        <f>'Grid_Stock'!R94</f>
        <v/>
      </c>
      <c r="AA99" s="15">
        <f>'Grid_Stock'!S94</f>
        <v/>
      </c>
      <c r="AB99" s="15">
        <f>'Grid_Stock'!T94</f>
        <v/>
      </c>
      <c r="AC99" s="15">
        <f>'Grid_Stock'!U94</f>
        <v/>
      </c>
      <c r="AD99" s="15">
        <f>'Grid_Stock'!V94</f>
        <v/>
      </c>
      <c r="AE99" s="15">
        <f>'Grid_Stock'!W94</f>
        <v/>
      </c>
      <c r="AF99" s="15">
        <f>'Grid_Stock'!X94</f>
        <v/>
      </c>
      <c r="AG99" s="15">
        <f>'Grid_Stock'!Y94</f>
        <v/>
      </c>
      <c r="AH99" s="15">
        <f>'Grid_Stock'!Z94</f>
        <v/>
      </c>
      <c r="AI99" s="15">
        <f>'Grid_Stock'!AA94</f>
        <v/>
      </c>
      <c r="AJ99" s="15">
        <f>'Grid_Stock'!AB94</f>
        <v/>
      </c>
      <c r="AK99" s="15">
        <f>'Grid_Stock'!AC94</f>
        <v/>
      </c>
      <c r="AL99" s="15">
        <f>'Grid_Stock'!AD94</f>
        <v/>
      </c>
      <c r="AM99" s="15">
        <f>'Grid_Stock'!AE94</f>
        <v/>
      </c>
      <c r="AN99" s="15">
        <f>'Grid_Stock'!AF94</f>
        <v/>
      </c>
      <c r="AO99" s="15">
        <f>'Grid_Stock'!AG94</f>
        <v/>
      </c>
      <c r="AP99" s="15">
        <f>'Grid_Stock'!AH94</f>
        <v/>
      </c>
      <c r="AQ99" s="15">
        <f>'Grid_Stock'!AI94</f>
        <v/>
      </c>
      <c r="AR99" s="15">
        <f>'Grid_Stock'!AJ94</f>
        <v/>
      </c>
      <c r="AS99" s="15">
        <f>'Grid_Stock'!AK94</f>
        <v/>
      </c>
      <c r="AT99" s="15">
        <f>'Grid_Stock'!AL94</f>
        <v/>
      </c>
      <c r="AU99" s="15">
        <f>'Grid_Stock'!AM94</f>
        <v/>
      </c>
      <c r="AV99" s="15">
        <f>'Grid_Stock'!AN94</f>
        <v/>
      </c>
      <c r="AW99" s="15">
        <f>'Grid_Stock'!AO94</f>
        <v/>
      </c>
      <c r="AX99" s="15">
        <f>'Grid_Stock'!AP94</f>
        <v/>
      </c>
      <c r="AY99" s="15">
        <f>'Grid_Stock'!AQ94</f>
        <v/>
      </c>
      <c r="AZ99" s="15">
        <f>'Grid_Stock'!AR94</f>
        <v/>
      </c>
      <c r="BA99" s="15">
        <f>'Grid_Stock'!AS94</f>
        <v/>
      </c>
      <c r="BB99" s="15">
        <f>'Grid_Stock'!AT94</f>
        <v/>
      </c>
      <c r="BC99" s="15">
        <f>'Grid_Stock'!AU94</f>
        <v/>
      </c>
      <c r="BD99" s="15">
        <f>'Grid_Stock'!AV94</f>
        <v/>
      </c>
      <c r="BE99" s="15">
        <f>'Grid_Stock'!AW94</f>
        <v/>
      </c>
      <c r="BF99" s="15">
        <f>'Grid_Stock'!AX94</f>
        <v/>
      </c>
      <c r="BG99" s="15">
        <f>'Grid_Stock'!AY94</f>
        <v/>
      </c>
      <c r="BH99" s="15">
        <f>'Grid_Stock'!AZ94</f>
        <v/>
      </c>
      <c r="BI99" s="15">
        <f>'Grid_Stock'!BA94</f>
        <v/>
      </c>
      <c r="BJ99" s="15">
        <f>'Grid_Stock'!BB94</f>
        <v/>
      </c>
      <c r="BK99" s="15">
        <f>'Grid_Stock'!BC94</f>
        <v/>
      </c>
      <c r="BL99" s="15">
        <f>'Grid_Stock'!BD94</f>
        <v/>
      </c>
      <c r="BM99" s="15">
        <f>'Grid_Stock'!BE94</f>
        <v/>
      </c>
      <c r="BN99" s="15">
        <f>'Grid_Stock'!BF94</f>
        <v/>
      </c>
      <c r="BO99" s="15">
        <f>'Grid_Stock'!BG94</f>
        <v/>
      </c>
      <c r="BP99" s="15">
        <f>'Grid_Stock'!BH94</f>
        <v/>
      </c>
      <c r="BQ99" s="15">
        <f>'Grid_Stock'!BI94</f>
        <v/>
      </c>
      <c r="BR99" s="15">
        <f>'Grid_Stock'!BJ94</f>
        <v/>
      </c>
      <c r="BS99" s="15">
        <f>'Grid_Stock'!BK94</f>
        <v/>
      </c>
      <c r="BT99" s="15">
        <f>'Grid_Stock'!BL94</f>
        <v/>
      </c>
      <c r="BU99" s="15">
        <f>'Grid_Stock'!BM94</f>
        <v/>
      </c>
      <c r="BV99" s="15">
        <f>'Grid_Stock'!BN94</f>
        <v/>
      </c>
      <c r="BW99" s="15">
        <f>'Grid_Stock'!BO94</f>
        <v/>
      </c>
      <c r="BX99" s="15">
        <f>'Grid_Stock'!BP94</f>
        <v/>
      </c>
      <c r="BY99" s="15">
        <f>'Grid_Stock'!BQ94</f>
        <v/>
      </c>
      <c r="BZ99" s="15">
        <f>'Grid_Stock'!BR94</f>
        <v/>
      </c>
      <c r="CA99" s="15">
        <f>'Grid_Stock'!BS94</f>
        <v/>
      </c>
      <c r="CB99" s="15">
        <f>'Grid_Stock'!BT94</f>
        <v/>
      </c>
      <c r="CC99" s="15">
        <f>'Grid_Stock'!BU94</f>
        <v/>
      </c>
      <c r="CD99" s="15">
        <f>'Grid_Stock'!BV94</f>
        <v/>
      </c>
      <c r="CE99" s="15">
        <f>'Grid_Stock'!BW94</f>
        <v/>
      </c>
      <c r="CF99" s="15">
        <f>'Grid_Stock'!BX94</f>
        <v/>
      </c>
      <c r="CG99" s="15">
        <f>'Grid_Stock'!BY94</f>
        <v/>
      </c>
      <c r="CH99" s="15">
        <f>'Grid_Stock'!BZ94</f>
        <v/>
      </c>
      <c r="CI99" s="15">
        <f>'Grid_Stock'!CA94</f>
        <v/>
      </c>
      <c r="CJ99" s="15">
        <f>'Grid_Stock'!CB94</f>
        <v/>
      </c>
      <c r="CK99" s="15">
        <f>'Grid_Stock'!CC94</f>
        <v/>
      </c>
      <c r="CL99" s="15">
        <f>'Grid_Stock'!CD94</f>
        <v/>
      </c>
      <c r="CM99" s="15">
        <f>'Grid_Stock'!CE94</f>
        <v/>
      </c>
      <c r="CN99" s="15">
        <f>'Grid_Stock'!CF94</f>
        <v/>
      </c>
      <c r="CO99" s="15">
        <f>'Grid_Stock'!CG94</f>
        <v/>
      </c>
      <c r="CP99" s="15">
        <f>'Grid_Stock'!CH94</f>
        <v/>
      </c>
      <c r="CQ99" s="15">
        <f>'Grid_Stock'!CI94</f>
        <v/>
      </c>
      <c r="CR99" s="15">
        <f>'Grid_Stock'!CJ94</f>
        <v/>
      </c>
      <c r="CS99" s="15">
        <f>'Grid_Stock'!CK94</f>
        <v/>
      </c>
      <c r="CT99" s="15">
        <f>'Grid_Stock'!CL94</f>
        <v/>
      </c>
      <c r="CU99" s="15">
        <f>'Grid_Stock'!CM94</f>
        <v/>
      </c>
      <c r="CV99" s="15">
        <f>'Grid_Stock'!CN94</f>
        <v/>
      </c>
      <c r="CW99" s="15">
        <f>'Grid_Stock'!CO94</f>
        <v/>
      </c>
      <c r="CX99" s="15">
        <f>'Grid_Stock'!CP94</f>
        <v/>
      </c>
      <c r="CY99" s="15">
        <f>'Grid_Stock'!CQ94</f>
        <v/>
      </c>
      <c r="CZ99" s="15">
        <f>'Grid_Stock'!CR94</f>
        <v/>
      </c>
      <c r="DA99" s="15">
        <f>'Grid_Stock'!CS94</f>
        <v/>
      </c>
      <c r="DB99" s="15">
        <f>'Grid_Stock'!CT94</f>
        <v/>
      </c>
      <c r="DC99" s="15">
        <f>'Grid_Stock'!CU94</f>
        <v/>
      </c>
      <c r="DD99" s="15">
        <f>'Grid_Stock'!CV94</f>
        <v/>
      </c>
      <c r="DE99" s="15">
        <f>'Grid_Stock'!CW94</f>
        <v/>
      </c>
      <c r="DF99" s="15">
        <f>'Grid_Stock'!CX94</f>
        <v/>
      </c>
      <c r="DG99" s="15">
        <f>'Grid_Stock'!CY94</f>
        <v/>
      </c>
      <c r="DH99" s="15">
        <f>'Grid_Stock'!CZ94</f>
        <v/>
      </c>
      <c r="DI99" s="15">
        <f>'Grid_Stock'!DA94</f>
        <v/>
      </c>
    </row>
    <row r="100">
      <c r="A100" s="17" t="inlineStr">
        <is>
          <t>CHEM-1710</t>
        </is>
      </c>
      <c r="B100" s="17">
        <f>IFERROR(INDEX(M_RawMaterials[Description],MATCH($A100,M_RawMaterials[RM_Code],0)),"")</f>
        <v/>
      </c>
      <c r="C100" s="17">
        <f>IFERROR(INDEX(M_RawMaterials[Category],MATCH($A100,M_RawMaterials[RM_Code],0)),"")</f>
        <v/>
      </c>
      <c r="D100" s="17">
        <f>IFERROR(INDEX(M_RawMaterials[基準在庫下限_要入力],MATCH($A100,M_RawMaterials[RM_Code],0)),0)</f>
        <v/>
      </c>
      <c r="E100" s="17">
        <f>IFERROR(INDEX(M_RawMaterials[基準在庫上限_要入力],MATCH($A100,M_RawMaterials[RM_Code],0)),0)</f>
        <v/>
      </c>
      <c r="F100" s="17">
        <f>IFERROR(LOOKUP(2,1/(T_SelfStock!$A$2:$A$12000=$A100),T_SelfStock!$D$2:$D$12000),"")</f>
        <v/>
      </c>
      <c r="G100" s="17">
        <f>IFERROR(LOOKUP(2,1/(T_TTAFStock!$A$2:$A$12000=$A100),T_TTAFStock!$D$2:$D$12000),"")</f>
        <v/>
      </c>
      <c r="H100" s="17">
        <f>IFERROR(INDEX(Cal_Weeks[Label],LOOKUP(2,1/(T_SelfStock!$A$2:$A$12000=$A100),T_SelfStock!$C$2:$C$12000)),"")</f>
        <v/>
      </c>
      <c r="I100" s="16">
        <f>IFERROR(INDEX(J100:DI100,$F$1),"")</f>
        <v/>
      </c>
      <c r="J100" s="17">
        <f>'Grid_Stock'!B95</f>
        <v/>
      </c>
      <c r="K100" s="17">
        <f>'Grid_Stock'!C95</f>
        <v/>
      </c>
      <c r="L100" s="17">
        <f>'Grid_Stock'!D95</f>
        <v/>
      </c>
      <c r="M100" s="17">
        <f>'Grid_Stock'!E95</f>
        <v/>
      </c>
      <c r="N100" s="17">
        <f>'Grid_Stock'!F95</f>
        <v/>
      </c>
      <c r="O100" s="17">
        <f>'Grid_Stock'!G95</f>
        <v/>
      </c>
      <c r="P100" s="17">
        <f>'Grid_Stock'!H95</f>
        <v/>
      </c>
      <c r="Q100" s="17">
        <f>'Grid_Stock'!I95</f>
        <v/>
      </c>
      <c r="R100" s="17">
        <f>'Grid_Stock'!J95</f>
        <v/>
      </c>
      <c r="S100" s="17">
        <f>'Grid_Stock'!K95</f>
        <v/>
      </c>
      <c r="T100" s="17">
        <f>'Grid_Stock'!L95</f>
        <v/>
      </c>
      <c r="U100" s="17">
        <f>'Grid_Stock'!M95</f>
        <v/>
      </c>
      <c r="V100" s="17">
        <f>'Grid_Stock'!N95</f>
        <v/>
      </c>
      <c r="W100" s="17">
        <f>'Grid_Stock'!O95</f>
        <v/>
      </c>
      <c r="X100" s="17">
        <f>'Grid_Stock'!P95</f>
        <v/>
      </c>
      <c r="Y100" s="17">
        <f>'Grid_Stock'!Q95</f>
        <v/>
      </c>
      <c r="Z100" s="17">
        <f>'Grid_Stock'!R95</f>
        <v/>
      </c>
      <c r="AA100" s="17">
        <f>'Grid_Stock'!S95</f>
        <v/>
      </c>
      <c r="AB100" s="17">
        <f>'Grid_Stock'!T95</f>
        <v/>
      </c>
      <c r="AC100" s="17">
        <f>'Grid_Stock'!U95</f>
        <v/>
      </c>
      <c r="AD100" s="17">
        <f>'Grid_Stock'!V95</f>
        <v/>
      </c>
      <c r="AE100" s="17">
        <f>'Grid_Stock'!W95</f>
        <v/>
      </c>
      <c r="AF100" s="17">
        <f>'Grid_Stock'!X95</f>
        <v/>
      </c>
      <c r="AG100" s="17">
        <f>'Grid_Stock'!Y95</f>
        <v/>
      </c>
      <c r="AH100" s="17">
        <f>'Grid_Stock'!Z95</f>
        <v/>
      </c>
      <c r="AI100" s="17">
        <f>'Grid_Stock'!AA95</f>
        <v/>
      </c>
      <c r="AJ100" s="17">
        <f>'Grid_Stock'!AB95</f>
        <v/>
      </c>
      <c r="AK100" s="17">
        <f>'Grid_Stock'!AC95</f>
        <v/>
      </c>
      <c r="AL100" s="17">
        <f>'Grid_Stock'!AD95</f>
        <v/>
      </c>
      <c r="AM100" s="17">
        <f>'Grid_Stock'!AE95</f>
        <v/>
      </c>
      <c r="AN100" s="17">
        <f>'Grid_Stock'!AF95</f>
        <v/>
      </c>
      <c r="AO100" s="17">
        <f>'Grid_Stock'!AG95</f>
        <v/>
      </c>
      <c r="AP100" s="17">
        <f>'Grid_Stock'!AH95</f>
        <v/>
      </c>
      <c r="AQ100" s="17">
        <f>'Grid_Stock'!AI95</f>
        <v/>
      </c>
      <c r="AR100" s="17">
        <f>'Grid_Stock'!AJ95</f>
        <v/>
      </c>
      <c r="AS100" s="17">
        <f>'Grid_Stock'!AK95</f>
        <v/>
      </c>
      <c r="AT100" s="17">
        <f>'Grid_Stock'!AL95</f>
        <v/>
      </c>
      <c r="AU100" s="17">
        <f>'Grid_Stock'!AM95</f>
        <v/>
      </c>
      <c r="AV100" s="17">
        <f>'Grid_Stock'!AN95</f>
        <v/>
      </c>
      <c r="AW100" s="17">
        <f>'Grid_Stock'!AO95</f>
        <v/>
      </c>
      <c r="AX100" s="17">
        <f>'Grid_Stock'!AP95</f>
        <v/>
      </c>
      <c r="AY100" s="17">
        <f>'Grid_Stock'!AQ95</f>
        <v/>
      </c>
      <c r="AZ100" s="17">
        <f>'Grid_Stock'!AR95</f>
        <v/>
      </c>
      <c r="BA100" s="17">
        <f>'Grid_Stock'!AS95</f>
        <v/>
      </c>
      <c r="BB100" s="17">
        <f>'Grid_Stock'!AT95</f>
        <v/>
      </c>
      <c r="BC100" s="17">
        <f>'Grid_Stock'!AU95</f>
        <v/>
      </c>
      <c r="BD100" s="17">
        <f>'Grid_Stock'!AV95</f>
        <v/>
      </c>
      <c r="BE100" s="17">
        <f>'Grid_Stock'!AW95</f>
        <v/>
      </c>
      <c r="BF100" s="17">
        <f>'Grid_Stock'!AX95</f>
        <v/>
      </c>
      <c r="BG100" s="17">
        <f>'Grid_Stock'!AY95</f>
        <v/>
      </c>
      <c r="BH100" s="17">
        <f>'Grid_Stock'!AZ95</f>
        <v/>
      </c>
      <c r="BI100" s="17">
        <f>'Grid_Stock'!BA95</f>
        <v/>
      </c>
      <c r="BJ100" s="17">
        <f>'Grid_Stock'!BB95</f>
        <v/>
      </c>
      <c r="BK100" s="17">
        <f>'Grid_Stock'!BC95</f>
        <v/>
      </c>
      <c r="BL100" s="17">
        <f>'Grid_Stock'!BD95</f>
        <v/>
      </c>
      <c r="BM100" s="17">
        <f>'Grid_Stock'!BE95</f>
        <v/>
      </c>
      <c r="BN100" s="17">
        <f>'Grid_Stock'!BF95</f>
        <v/>
      </c>
      <c r="BO100" s="17">
        <f>'Grid_Stock'!BG95</f>
        <v/>
      </c>
      <c r="BP100" s="17">
        <f>'Grid_Stock'!BH95</f>
        <v/>
      </c>
      <c r="BQ100" s="17">
        <f>'Grid_Stock'!BI95</f>
        <v/>
      </c>
      <c r="BR100" s="17">
        <f>'Grid_Stock'!BJ95</f>
        <v/>
      </c>
      <c r="BS100" s="17">
        <f>'Grid_Stock'!BK95</f>
        <v/>
      </c>
      <c r="BT100" s="17">
        <f>'Grid_Stock'!BL95</f>
        <v/>
      </c>
      <c r="BU100" s="17">
        <f>'Grid_Stock'!BM95</f>
        <v/>
      </c>
      <c r="BV100" s="17">
        <f>'Grid_Stock'!BN95</f>
        <v/>
      </c>
      <c r="BW100" s="17">
        <f>'Grid_Stock'!BO95</f>
        <v/>
      </c>
      <c r="BX100" s="17">
        <f>'Grid_Stock'!BP95</f>
        <v/>
      </c>
      <c r="BY100" s="17">
        <f>'Grid_Stock'!BQ95</f>
        <v/>
      </c>
      <c r="BZ100" s="17">
        <f>'Grid_Stock'!BR95</f>
        <v/>
      </c>
      <c r="CA100" s="17">
        <f>'Grid_Stock'!BS95</f>
        <v/>
      </c>
      <c r="CB100" s="17">
        <f>'Grid_Stock'!BT95</f>
        <v/>
      </c>
      <c r="CC100" s="17">
        <f>'Grid_Stock'!BU95</f>
        <v/>
      </c>
      <c r="CD100" s="17">
        <f>'Grid_Stock'!BV95</f>
        <v/>
      </c>
      <c r="CE100" s="17">
        <f>'Grid_Stock'!BW95</f>
        <v/>
      </c>
      <c r="CF100" s="17">
        <f>'Grid_Stock'!BX95</f>
        <v/>
      </c>
      <c r="CG100" s="17">
        <f>'Grid_Stock'!BY95</f>
        <v/>
      </c>
      <c r="CH100" s="17">
        <f>'Grid_Stock'!BZ95</f>
        <v/>
      </c>
      <c r="CI100" s="17">
        <f>'Grid_Stock'!CA95</f>
        <v/>
      </c>
      <c r="CJ100" s="17">
        <f>'Grid_Stock'!CB95</f>
        <v/>
      </c>
      <c r="CK100" s="17">
        <f>'Grid_Stock'!CC95</f>
        <v/>
      </c>
      <c r="CL100" s="17">
        <f>'Grid_Stock'!CD95</f>
        <v/>
      </c>
      <c r="CM100" s="17">
        <f>'Grid_Stock'!CE95</f>
        <v/>
      </c>
      <c r="CN100" s="17">
        <f>'Grid_Stock'!CF95</f>
        <v/>
      </c>
      <c r="CO100" s="17">
        <f>'Grid_Stock'!CG95</f>
        <v/>
      </c>
      <c r="CP100" s="17">
        <f>'Grid_Stock'!CH95</f>
        <v/>
      </c>
      <c r="CQ100" s="17">
        <f>'Grid_Stock'!CI95</f>
        <v/>
      </c>
      <c r="CR100" s="17">
        <f>'Grid_Stock'!CJ95</f>
        <v/>
      </c>
      <c r="CS100" s="17">
        <f>'Grid_Stock'!CK95</f>
        <v/>
      </c>
      <c r="CT100" s="17">
        <f>'Grid_Stock'!CL95</f>
        <v/>
      </c>
      <c r="CU100" s="17">
        <f>'Grid_Stock'!CM95</f>
        <v/>
      </c>
      <c r="CV100" s="17">
        <f>'Grid_Stock'!CN95</f>
        <v/>
      </c>
      <c r="CW100" s="17">
        <f>'Grid_Stock'!CO95</f>
        <v/>
      </c>
      <c r="CX100" s="17">
        <f>'Grid_Stock'!CP95</f>
        <v/>
      </c>
      <c r="CY100" s="17">
        <f>'Grid_Stock'!CQ95</f>
        <v/>
      </c>
      <c r="CZ100" s="17">
        <f>'Grid_Stock'!CR95</f>
        <v/>
      </c>
      <c r="DA100" s="17">
        <f>'Grid_Stock'!CS95</f>
        <v/>
      </c>
      <c r="DB100" s="17">
        <f>'Grid_Stock'!CT95</f>
        <v/>
      </c>
      <c r="DC100" s="17">
        <f>'Grid_Stock'!CU95</f>
        <v/>
      </c>
      <c r="DD100" s="17">
        <f>'Grid_Stock'!CV95</f>
        <v/>
      </c>
      <c r="DE100" s="17">
        <f>'Grid_Stock'!CW95</f>
        <v/>
      </c>
      <c r="DF100" s="17">
        <f>'Grid_Stock'!CX95</f>
        <v/>
      </c>
      <c r="DG100" s="17">
        <f>'Grid_Stock'!CY95</f>
        <v/>
      </c>
      <c r="DH100" s="17">
        <f>'Grid_Stock'!CZ95</f>
        <v/>
      </c>
      <c r="DI100" s="17">
        <f>'Grid_Stock'!DA95</f>
        <v/>
      </c>
    </row>
    <row r="101">
      <c r="A101" s="15" t="inlineStr">
        <is>
          <t>CHEM-1170</t>
        </is>
      </c>
      <c r="B101" s="15">
        <f>IFERROR(INDEX(M_RawMaterials[Description],MATCH($A101,M_RawMaterials[RM_Code],0)),"")</f>
        <v/>
      </c>
      <c r="C101" s="15">
        <f>IFERROR(INDEX(M_RawMaterials[Category],MATCH($A101,M_RawMaterials[RM_Code],0)),"")</f>
        <v/>
      </c>
      <c r="D101" s="15">
        <f>IFERROR(INDEX(M_RawMaterials[基準在庫下限_要入力],MATCH($A101,M_RawMaterials[RM_Code],0)),0)</f>
        <v/>
      </c>
      <c r="E101" s="15">
        <f>IFERROR(INDEX(M_RawMaterials[基準在庫上限_要入力],MATCH($A101,M_RawMaterials[RM_Code],0)),0)</f>
        <v/>
      </c>
      <c r="F101" s="15">
        <f>IFERROR(LOOKUP(2,1/(T_SelfStock!$A$2:$A$12000=$A101),T_SelfStock!$D$2:$D$12000),"")</f>
        <v/>
      </c>
      <c r="G101" s="15">
        <f>IFERROR(LOOKUP(2,1/(T_TTAFStock!$A$2:$A$12000=$A101),T_TTAFStock!$D$2:$D$12000),"")</f>
        <v/>
      </c>
      <c r="H101" s="15">
        <f>IFERROR(INDEX(Cal_Weeks[Label],LOOKUP(2,1/(T_SelfStock!$A$2:$A$12000=$A101),T_SelfStock!$C$2:$C$12000)),"")</f>
        <v/>
      </c>
      <c r="I101" s="16">
        <f>IFERROR(INDEX(J101:DI101,$F$1),"")</f>
        <v/>
      </c>
      <c r="J101" s="15">
        <f>'Grid_Stock'!B96</f>
        <v/>
      </c>
      <c r="K101" s="15">
        <f>'Grid_Stock'!C96</f>
        <v/>
      </c>
      <c r="L101" s="15">
        <f>'Grid_Stock'!D96</f>
        <v/>
      </c>
      <c r="M101" s="15">
        <f>'Grid_Stock'!E96</f>
        <v/>
      </c>
      <c r="N101" s="15">
        <f>'Grid_Stock'!F96</f>
        <v/>
      </c>
      <c r="O101" s="15">
        <f>'Grid_Stock'!G96</f>
        <v/>
      </c>
      <c r="P101" s="15">
        <f>'Grid_Stock'!H96</f>
        <v/>
      </c>
      <c r="Q101" s="15">
        <f>'Grid_Stock'!I96</f>
        <v/>
      </c>
      <c r="R101" s="15">
        <f>'Grid_Stock'!J96</f>
        <v/>
      </c>
      <c r="S101" s="15">
        <f>'Grid_Stock'!K96</f>
        <v/>
      </c>
      <c r="T101" s="15">
        <f>'Grid_Stock'!L96</f>
        <v/>
      </c>
      <c r="U101" s="15">
        <f>'Grid_Stock'!M96</f>
        <v/>
      </c>
      <c r="V101" s="15">
        <f>'Grid_Stock'!N96</f>
        <v/>
      </c>
      <c r="W101" s="15">
        <f>'Grid_Stock'!O96</f>
        <v/>
      </c>
      <c r="X101" s="15">
        <f>'Grid_Stock'!P96</f>
        <v/>
      </c>
      <c r="Y101" s="15">
        <f>'Grid_Stock'!Q96</f>
        <v/>
      </c>
      <c r="Z101" s="15">
        <f>'Grid_Stock'!R96</f>
        <v/>
      </c>
      <c r="AA101" s="15">
        <f>'Grid_Stock'!S96</f>
        <v/>
      </c>
      <c r="AB101" s="15">
        <f>'Grid_Stock'!T96</f>
        <v/>
      </c>
      <c r="AC101" s="15">
        <f>'Grid_Stock'!U96</f>
        <v/>
      </c>
      <c r="AD101" s="15">
        <f>'Grid_Stock'!V96</f>
        <v/>
      </c>
      <c r="AE101" s="15">
        <f>'Grid_Stock'!W96</f>
        <v/>
      </c>
      <c r="AF101" s="15">
        <f>'Grid_Stock'!X96</f>
        <v/>
      </c>
      <c r="AG101" s="15">
        <f>'Grid_Stock'!Y96</f>
        <v/>
      </c>
      <c r="AH101" s="15">
        <f>'Grid_Stock'!Z96</f>
        <v/>
      </c>
      <c r="AI101" s="15">
        <f>'Grid_Stock'!AA96</f>
        <v/>
      </c>
      <c r="AJ101" s="15">
        <f>'Grid_Stock'!AB96</f>
        <v/>
      </c>
      <c r="AK101" s="15">
        <f>'Grid_Stock'!AC96</f>
        <v/>
      </c>
      <c r="AL101" s="15">
        <f>'Grid_Stock'!AD96</f>
        <v/>
      </c>
      <c r="AM101" s="15">
        <f>'Grid_Stock'!AE96</f>
        <v/>
      </c>
      <c r="AN101" s="15">
        <f>'Grid_Stock'!AF96</f>
        <v/>
      </c>
      <c r="AO101" s="15">
        <f>'Grid_Stock'!AG96</f>
        <v/>
      </c>
      <c r="AP101" s="15">
        <f>'Grid_Stock'!AH96</f>
        <v/>
      </c>
      <c r="AQ101" s="15">
        <f>'Grid_Stock'!AI96</f>
        <v/>
      </c>
      <c r="AR101" s="15">
        <f>'Grid_Stock'!AJ96</f>
        <v/>
      </c>
      <c r="AS101" s="15">
        <f>'Grid_Stock'!AK96</f>
        <v/>
      </c>
      <c r="AT101" s="15">
        <f>'Grid_Stock'!AL96</f>
        <v/>
      </c>
      <c r="AU101" s="15">
        <f>'Grid_Stock'!AM96</f>
        <v/>
      </c>
      <c r="AV101" s="15">
        <f>'Grid_Stock'!AN96</f>
        <v/>
      </c>
      <c r="AW101" s="15">
        <f>'Grid_Stock'!AO96</f>
        <v/>
      </c>
      <c r="AX101" s="15">
        <f>'Grid_Stock'!AP96</f>
        <v/>
      </c>
      <c r="AY101" s="15">
        <f>'Grid_Stock'!AQ96</f>
        <v/>
      </c>
      <c r="AZ101" s="15">
        <f>'Grid_Stock'!AR96</f>
        <v/>
      </c>
      <c r="BA101" s="15">
        <f>'Grid_Stock'!AS96</f>
        <v/>
      </c>
      <c r="BB101" s="15">
        <f>'Grid_Stock'!AT96</f>
        <v/>
      </c>
      <c r="BC101" s="15">
        <f>'Grid_Stock'!AU96</f>
        <v/>
      </c>
      <c r="BD101" s="15">
        <f>'Grid_Stock'!AV96</f>
        <v/>
      </c>
      <c r="BE101" s="15">
        <f>'Grid_Stock'!AW96</f>
        <v/>
      </c>
      <c r="BF101" s="15">
        <f>'Grid_Stock'!AX96</f>
        <v/>
      </c>
      <c r="BG101" s="15">
        <f>'Grid_Stock'!AY96</f>
        <v/>
      </c>
      <c r="BH101" s="15">
        <f>'Grid_Stock'!AZ96</f>
        <v/>
      </c>
      <c r="BI101" s="15">
        <f>'Grid_Stock'!BA96</f>
        <v/>
      </c>
      <c r="BJ101" s="15">
        <f>'Grid_Stock'!BB96</f>
        <v/>
      </c>
      <c r="BK101" s="15">
        <f>'Grid_Stock'!BC96</f>
        <v/>
      </c>
      <c r="BL101" s="15">
        <f>'Grid_Stock'!BD96</f>
        <v/>
      </c>
      <c r="BM101" s="15">
        <f>'Grid_Stock'!BE96</f>
        <v/>
      </c>
      <c r="BN101" s="15">
        <f>'Grid_Stock'!BF96</f>
        <v/>
      </c>
      <c r="BO101" s="15">
        <f>'Grid_Stock'!BG96</f>
        <v/>
      </c>
      <c r="BP101" s="15">
        <f>'Grid_Stock'!BH96</f>
        <v/>
      </c>
      <c r="BQ101" s="15">
        <f>'Grid_Stock'!BI96</f>
        <v/>
      </c>
      <c r="BR101" s="15">
        <f>'Grid_Stock'!BJ96</f>
        <v/>
      </c>
      <c r="BS101" s="15">
        <f>'Grid_Stock'!BK96</f>
        <v/>
      </c>
      <c r="BT101" s="15">
        <f>'Grid_Stock'!BL96</f>
        <v/>
      </c>
      <c r="BU101" s="15">
        <f>'Grid_Stock'!BM96</f>
        <v/>
      </c>
      <c r="BV101" s="15">
        <f>'Grid_Stock'!BN96</f>
        <v/>
      </c>
      <c r="BW101" s="15">
        <f>'Grid_Stock'!BO96</f>
        <v/>
      </c>
      <c r="BX101" s="15">
        <f>'Grid_Stock'!BP96</f>
        <v/>
      </c>
      <c r="BY101" s="15">
        <f>'Grid_Stock'!BQ96</f>
        <v/>
      </c>
      <c r="BZ101" s="15">
        <f>'Grid_Stock'!BR96</f>
        <v/>
      </c>
      <c r="CA101" s="15">
        <f>'Grid_Stock'!BS96</f>
        <v/>
      </c>
      <c r="CB101" s="15">
        <f>'Grid_Stock'!BT96</f>
        <v/>
      </c>
      <c r="CC101" s="15">
        <f>'Grid_Stock'!BU96</f>
        <v/>
      </c>
      <c r="CD101" s="15">
        <f>'Grid_Stock'!BV96</f>
        <v/>
      </c>
      <c r="CE101" s="15">
        <f>'Grid_Stock'!BW96</f>
        <v/>
      </c>
      <c r="CF101" s="15">
        <f>'Grid_Stock'!BX96</f>
        <v/>
      </c>
      <c r="CG101" s="15">
        <f>'Grid_Stock'!BY96</f>
        <v/>
      </c>
      <c r="CH101" s="15">
        <f>'Grid_Stock'!BZ96</f>
        <v/>
      </c>
      <c r="CI101" s="15">
        <f>'Grid_Stock'!CA96</f>
        <v/>
      </c>
      <c r="CJ101" s="15">
        <f>'Grid_Stock'!CB96</f>
        <v/>
      </c>
      <c r="CK101" s="15">
        <f>'Grid_Stock'!CC96</f>
        <v/>
      </c>
      <c r="CL101" s="15">
        <f>'Grid_Stock'!CD96</f>
        <v/>
      </c>
      <c r="CM101" s="15">
        <f>'Grid_Stock'!CE96</f>
        <v/>
      </c>
      <c r="CN101" s="15">
        <f>'Grid_Stock'!CF96</f>
        <v/>
      </c>
      <c r="CO101" s="15">
        <f>'Grid_Stock'!CG96</f>
        <v/>
      </c>
      <c r="CP101" s="15">
        <f>'Grid_Stock'!CH96</f>
        <v/>
      </c>
      <c r="CQ101" s="15">
        <f>'Grid_Stock'!CI96</f>
        <v/>
      </c>
      <c r="CR101" s="15">
        <f>'Grid_Stock'!CJ96</f>
        <v/>
      </c>
      <c r="CS101" s="15">
        <f>'Grid_Stock'!CK96</f>
        <v/>
      </c>
      <c r="CT101" s="15">
        <f>'Grid_Stock'!CL96</f>
        <v/>
      </c>
      <c r="CU101" s="15">
        <f>'Grid_Stock'!CM96</f>
        <v/>
      </c>
      <c r="CV101" s="15">
        <f>'Grid_Stock'!CN96</f>
        <v/>
      </c>
      <c r="CW101" s="15">
        <f>'Grid_Stock'!CO96</f>
        <v/>
      </c>
      <c r="CX101" s="15">
        <f>'Grid_Stock'!CP96</f>
        <v/>
      </c>
      <c r="CY101" s="15">
        <f>'Grid_Stock'!CQ96</f>
        <v/>
      </c>
      <c r="CZ101" s="15">
        <f>'Grid_Stock'!CR96</f>
        <v/>
      </c>
      <c r="DA101" s="15">
        <f>'Grid_Stock'!CS96</f>
        <v/>
      </c>
      <c r="DB101" s="15">
        <f>'Grid_Stock'!CT96</f>
        <v/>
      </c>
      <c r="DC101" s="15">
        <f>'Grid_Stock'!CU96</f>
        <v/>
      </c>
      <c r="DD101" s="15">
        <f>'Grid_Stock'!CV96</f>
        <v/>
      </c>
      <c r="DE101" s="15">
        <f>'Grid_Stock'!CW96</f>
        <v/>
      </c>
      <c r="DF101" s="15">
        <f>'Grid_Stock'!CX96</f>
        <v/>
      </c>
      <c r="DG101" s="15">
        <f>'Grid_Stock'!CY96</f>
        <v/>
      </c>
      <c r="DH101" s="15">
        <f>'Grid_Stock'!CZ96</f>
        <v/>
      </c>
      <c r="DI101" s="15">
        <f>'Grid_Stock'!DA96</f>
        <v/>
      </c>
    </row>
    <row r="102">
      <c r="A102" s="17" t="inlineStr">
        <is>
          <t>CHEM-1620</t>
        </is>
      </c>
      <c r="B102" s="17">
        <f>IFERROR(INDEX(M_RawMaterials[Description],MATCH($A102,M_RawMaterials[RM_Code],0)),"")</f>
        <v/>
      </c>
      <c r="C102" s="17">
        <f>IFERROR(INDEX(M_RawMaterials[Category],MATCH($A102,M_RawMaterials[RM_Code],0)),"")</f>
        <v/>
      </c>
      <c r="D102" s="17">
        <f>IFERROR(INDEX(M_RawMaterials[基準在庫下限_要入力],MATCH($A102,M_RawMaterials[RM_Code],0)),0)</f>
        <v/>
      </c>
      <c r="E102" s="17">
        <f>IFERROR(INDEX(M_RawMaterials[基準在庫上限_要入力],MATCH($A102,M_RawMaterials[RM_Code],0)),0)</f>
        <v/>
      </c>
      <c r="F102" s="17">
        <f>IFERROR(LOOKUP(2,1/(T_SelfStock!$A$2:$A$12000=$A102),T_SelfStock!$D$2:$D$12000),"")</f>
        <v/>
      </c>
      <c r="G102" s="17">
        <f>IFERROR(LOOKUP(2,1/(T_TTAFStock!$A$2:$A$12000=$A102),T_TTAFStock!$D$2:$D$12000),"")</f>
        <v/>
      </c>
      <c r="H102" s="17">
        <f>IFERROR(INDEX(Cal_Weeks[Label],LOOKUP(2,1/(T_SelfStock!$A$2:$A$12000=$A102),T_SelfStock!$C$2:$C$12000)),"")</f>
        <v/>
      </c>
      <c r="I102" s="16">
        <f>IFERROR(INDEX(J102:DI102,$F$1),"")</f>
        <v/>
      </c>
      <c r="J102" s="17">
        <f>'Grid_Stock'!B97</f>
        <v/>
      </c>
      <c r="K102" s="17">
        <f>'Grid_Stock'!C97</f>
        <v/>
      </c>
      <c r="L102" s="17">
        <f>'Grid_Stock'!D97</f>
        <v/>
      </c>
      <c r="M102" s="17">
        <f>'Grid_Stock'!E97</f>
        <v/>
      </c>
      <c r="N102" s="17">
        <f>'Grid_Stock'!F97</f>
        <v/>
      </c>
      <c r="O102" s="17">
        <f>'Grid_Stock'!G97</f>
        <v/>
      </c>
      <c r="P102" s="17">
        <f>'Grid_Stock'!H97</f>
        <v/>
      </c>
      <c r="Q102" s="17">
        <f>'Grid_Stock'!I97</f>
        <v/>
      </c>
      <c r="R102" s="17">
        <f>'Grid_Stock'!J97</f>
        <v/>
      </c>
      <c r="S102" s="17">
        <f>'Grid_Stock'!K97</f>
        <v/>
      </c>
      <c r="T102" s="17">
        <f>'Grid_Stock'!L97</f>
        <v/>
      </c>
      <c r="U102" s="17">
        <f>'Grid_Stock'!M97</f>
        <v/>
      </c>
      <c r="V102" s="17">
        <f>'Grid_Stock'!N97</f>
        <v/>
      </c>
      <c r="W102" s="17">
        <f>'Grid_Stock'!O97</f>
        <v/>
      </c>
      <c r="X102" s="17">
        <f>'Grid_Stock'!P97</f>
        <v/>
      </c>
      <c r="Y102" s="17">
        <f>'Grid_Stock'!Q97</f>
        <v/>
      </c>
      <c r="Z102" s="17">
        <f>'Grid_Stock'!R97</f>
        <v/>
      </c>
      <c r="AA102" s="17">
        <f>'Grid_Stock'!S97</f>
        <v/>
      </c>
      <c r="AB102" s="17">
        <f>'Grid_Stock'!T97</f>
        <v/>
      </c>
      <c r="AC102" s="17">
        <f>'Grid_Stock'!U97</f>
        <v/>
      </c>
      <c r="AD102" s="17">
        <f>'Grid_Stock'!V97</f>
        <v/>
      </c>
      <c r="AE102" s="17">
        <f>'Grid_Stock'!W97</f>
        <v/>
      </c>
      <c r="AF102" s="17">
        <f>'Grid_Stock'!X97</f>
        <v/>
      </c>
      <c r="AG102" s="17">
        <f>'Grid_Stock'!Y97</f>
        <v/>
      </c>
      <c r="AH102" s="17">
        <f>'Grid_Stock'!Z97</f>
        <v/>
      </c>
      <c r="AI102" s="17">
        <f>'Grid_Stock'!AA97</f>
        <v/>
      </c>
      <c r="AJ102" s="17">
        <f>'Grid_Stock'!AB97</f>
        <v/>
      </c>
      <c r="AK102" s="17">
        <f>'Grid_Stock'!AC97</f>
        <v/>
      </c>
      <c r="AL102" s="17">
        <f>'Grid_Stock'!AD97</f>
        <v/>
      </c>
      <c r="AM102" s="17">
        <f>'Grid_Stock'!AE97</f>
        <v/>
      </c>
      <c r="AN102" s="17">
        <f>'Grid_Stock'!AF97</f>
        <v/>
      </c>
      <c r="AO102" s="17">
        <f>'Grid_Stock'!AG97</f>
        <v/>
      </c>
      <c r="AP102" s="17">
        <f>'Grid_Stock'!AH97</f>
        <v/>
      </c>
      <c r="AQ102" s="17">
        <f>'Grid_Stock'!AI97</f>
        <v/>
      </c>
      <c r="AR102" s="17">
        <f>'Grid_Stock'!AJ97</f>
        <v/>
      </c>
      <c r="AS102" s="17">
        <f>'Grid_Stock'!AK97</f>
        <v/>
      </c>
      <c r="AT102" s="17">
        <f>'Grid_Stock'!AL97</f>
        <v/>
      </c>
      <c r="AU102" s="17">
        <f>'Grid_Stock'!AM97</f>
        <v/>
      </c>
      <c r="AV102" s="17">
        <f>'Grid_Stock'!AN97</f>
        <v/>
      </c>
      <c r="AW102" s="17">
        <f>'Grid_Stock'!AO97</f>
        <v/>
      </c>
      <c r="AX102" s="17">
        <f>'Grid_Stock'!AP97</f>
        <v/>
      </c>
      <c r="AY102" s="17">
        <f>'Grid_Stock'!AQ97</f>
        <v/>
      </c>
      <c r="AZ102" s="17">
        <f>'Grid_Stock'!AR97</f>
        <v/>
      </c>
      <c r="BA102" s="17">
        <f>'Grid_Stock'!AS97</f>
        <v/>
      </c>
      <c r="BB102" s="17">
        <f>'Grid_Stock'!AT97</f>
        <v/>
      </c>
      <c r="BC102" s="17">
        <f>'Grid_Stock'!AU97</f>
        <v/>
      </c>
      <c r="BD102" s="17">
        <f>'Grid_Stock'!AV97</f>
        <v/>
      </c>
      <c r="BE102" s="17">
        <f>'Grid_Stock'!AW97</f>
        <v/>
      </c>
      <c r="BF102" s="17">
        <f>'Grid_Stock'!AX97</f>
        <v/>
      </c>
      <c r="BG102" s="17">
        <f>'Grid_Stock'!AY97</f>
        <v/>
      </c>
      <c r="BH102" s="17">
        <f>'Grid_Stock'!AZ97</f>
        <v/>
      </c>
      <c r="BI102" s="17">
        <f>'Grid_Stock'!BA97</f>
        <v/>
      </c>
      <c r="BJ102" s="17">
        <f>'Grid_Stock'!BB97</f>
        <v/>
      </c>
      <c r="BK102" s="17">
        <f>'Grid_Stock'!BC97</f>
        <v/>
      </c>
      <c r="BL102" s="17">
        <f>'Grid_Stock'!BD97</f>
        <v/>
      </c>
      <c r="BM102" s="17">
        <f>'Grid_Stock'!BE97</f>
        <v/>
      </c>
      <c r="BN102" s="17">
        <f>'Grid_Stock'!BF97</f>
        <v/>
      </c>
      <c r="BO102" s="17">
        <f>'Grid_Stock'!BG97</f>
        <v/>
      </c>
      <c r="BP102" s="17">
        <f>'Grid_Stock'!BH97</f>
        <v/>
      </c>
      <c r="BQ102" s="17">
        <f>'Grid_Stock'!BI97</f>
        <v/>
      </c>
      <c r="BR102" s="17">
        <f>'Grid_Stock'!BJ97</f>
        <v/>
      </c>
      <c r="BS102" s="17">
        <f>'Grid_Stock'!BK97</f>
        <v/>
      </c>
      <c r="BT102" s="17">
        <f>'Grid_Stock'!BL97</f>
        <v/>
      </c>
      <c r="BU102" s="17">
        <f>'Grid_Stock'!BM97</f>
        <v/>
      </c>
      <c r="BV102" s="17">
        <f>'Grid_Stock'!BN97</f>
        <v/>
      </c>
      <c r="BW102" s="17">
        <f>'Grid_Stock'!BO97</f>
        <v/>
      </c>
      <c r="BX102" s="17">
        <f>'Grid_Stock'!BP97</f>
        <v/>
      </c>
      <c r="BY102" s="17">
        <f>'Grid_Stock'!BQ97</f>
        <v/>
      </c>
      <c r="BZ102" s="17">
        <f>'Grid_Stock'!BR97</f>
        <v/>
      </c>
      <c r="CA102" s="17">
        <f>'Grid_Stock'!BS97</f>
        <v/>
      </c>
      <c r="CB102" s="17">
        <f>'Grid_Stock'!BT97</f>
        <v/>
      </c>
      <c r="CC102" s="17">
        <f>'Grid_Stock'!BU97</f>
        <v/>
      </c>
      <c r="CD102" s="17">
        <f>'Grid_Stock'!BV97</f>
        <v/>
      </c>
      <c r="CE102" s="17">
        <f>'Grid_Stock'!BW97</f>
        <v/>
      </c>
      <c r="CF102" s="17">
        <f>'Grid_Stock'!BX97</f>
        <v/>
      </c>
      <c r="CG102" s="17">
        <f>'Grid_Stock'!BY97</f>
        <v/>
      </c>
      <c r="CH102" s="17">
        <f>'Grid_Stock'!BZ97</f>
        <v/>
      </c>
      <c r="CI102" s="17">
        <f>'Grid_Stock'!CA97</f>
        <v/>
      </c>
      <c r="CJ102" s="17">
        <f>'Grid_Stock'!CB97</f>
        <v/>
      </c>
      <c r="CK102" s="17">
        <f>'Grid_Stock'!CC97</f>
        <v/>
      </c>
      <c r="CL102" s="17">
        <f>'Grid_Stock'!CD97</f>
        <v/>
      </c>
      <c r="CM102" s="17">
        <f>'Grid_Stock'!CE97</f>
        <v/>
      </c>
      <c r="CN102" s="17">
        <f>'Grid_Stock'!CF97</f>
        <v/>
      </c>
      <c r="CO102" s="17">
        <f>'Grid_Stock'!CG97</f>
        <v/>
      </c>
      <c r="CP102" s="17">
        <f>'Grid_Stock'!CH97</f>
        <v/>
      </c>
      <c r="CQ102" s="17">
        <f>'Grid_Stock'!CI97</f>
        <v/>
      </c>
      <c r="CR102" s="17">
        <f>'Grid_Stock'!CJ97</f>
        <v/>
      </c>
      <c r="CS102" s="17">
        <f>'Grid_Stock'!CK97</f>
        <v/>
      </c>
      <c r="CT102" s="17">
        <f>'Grid_Stock'!CL97</f>
        <v/>
      </c>
      <c r="CU102" s="17">
        <f>'Grid_Stock'!CM97</f>
        <v/>
      </c>
      <c r="CV102" s="17">
        <f>'Grid_Stock'!CN97</f>
        <v/>
      </c>
      <c r="CW102" s="17">
        <f>'Grid_Stock'!CO97</f>
        <v/>
      </c>
      <c r="CX102" s="17">
        <f>'Grid_Stock'!CP97</f>
        <v/>
      </c>
      <c r="CY102" s="17">
        <f>'Grid_Stock'!CQ97</f>
        <v/>
      </c>
      <c r="CZ102" s="17">
        <f>'Grid_Stock'!CR97</f>
        <v/>
      </c>
      <c r="DA102" s="17">
        <f>'Grid_Stock'!CS97</f>
        <v/>
      </c>
      <c r="DB102" s="17">
        <f>'Grid_Stock'!CT97</f>
        <v/>
      </c>
      <c r="DC102" s="17">
        <f>'Grid_Stock'!CU97</f>
        <v/>
      </c>
      <c r="DD102" s="17">
        <f>'Grid_Stock'!CV97</f>
        <v/>
      </c>
      <c r="DE102" s="17">
        <f>'Grid_Stock'!CW97</f>
        <v/>
      </c>
      <c r="DF102" s="17">
        <f>'Grid_Stock'!CX97</f>
        <v/>
      </c>
      <c r="DG102" s="17">
        <f>'Grid_Stock'!CY97</f>
        <v/>
      </c>
      <c r="DH102" s="17">
        <f>'Grid_Stock'!CZ97</f>
        <v/>
      </c>
      <c r="DI102" s="17">
        <f>'Grid_Stock'!DA97</f>
        <v/>
      </c>
    </row>
    <row r="103">
      <c r="A103" s="15" t="inlineStr">
        <is>
          <t>CHEM-1050</t>
        </is>
      </c>
      <c r="B103" s="15">
        <f>IFERROR(INDEX(M_RawMaterials[Description],MATCH($A103,M_RawMaterials[RM_Code],0)),"")</f>
        <v/>
      </c>
      <c r="C103" s="15">
        <f>IFERROR(INDEX(M_RawMaterials[Category],MATCH($A103,M_RawMaterials[RM_Code],0)),"")</f>
        <v/>
      </c>
      <c r="D103" s="15">
        <f>IFERROR(INDEX(M_RawMaterials[基準在庫下限_要入力],MATCH($A103,M_RawMaterials[RM_Code],0)),0)</f>
        <v/>
      </c>
      <c r="E103" s="15">
        <f>IFERROR(INDEX(M_RawMaterials[基準在庫上限_要入力],MATCH($A103,M_RawMaterials[RM_Code],0)),0)</f>
        <v/>
      </c>
      <c r="F103" s="15">
        <f>IFERROR(LOOKUP(2,1/(T_SelfStock!$A$2:$A$12000=$A103),T_SelfStock!$D$2:$D$12000),"")</f>
        <v/>
      </c>
      <c r="G103" s="15">
        <f>IFERROR(LOOKUP(2,1/(T_TTAFStock!$A$2:$A$12000=$A103),T_TTAFStock!$D$2:$D$12000),"")</f>
        <v/>
      </c>
      <c r="H103" s="15">
        <f>IFERROR(INDEX(Cal_Weeks[Label],LOOKUP(2,1/(T_SelfStock!$A$2:$A$12000=$A103),T_SelfStock!$C$2:$C$12000)),"")</f>
        <v/>
      </c>
      <c r="I103" s="16">
        <f>IFERROR(INDEX(J103:DI103,$F$1),"")</f>
        <v/>
      </c>
      <c r="J103" s="15">
        <f>'Grid_Stock'!B98</f>
        <v/>
      </c>
      <c r="K103" s="15">
        <f>'Grid_Stock'!C98</f>
        <v/>
      </c>
      <c r="L103" s="15">
        <f>'Grid_Stock'!D98</f>
        <v/>
      </c>
      <c r="M103" s="15">
        <f>'Grid_Stock'!E98</f>
        <v/>
      </c>
      <c r="N103" s="15">
        <f>'Grid_Stock'!F98</f>
        <v/>
      </c>
      <c r="O103" s="15">
        <f>'Grid_Stock'!G98</f>
        <v/>
      </c>
      <c r="P103" s="15">
        <f>'Grid_Stock'!H98</f>
        <v/>
      </c>
      <c r="Q103" s="15">
        <f>'Grid_Stock'!I98</f>
        <v/>
      </c>
      <c r="R103" s="15">
        <f>'Grid_Stock'!J98</f>
        <v/>
      </c>
      <c r="S103" s="15">
        <f>'Grid_Stock'!K98</f>
        <v/>
      </c>
      <c r="T103" s="15">
        <f>'Grid_Stock'!L98</f>
        <v/>
      </c>
      <c r="U103" s="15">
        <f>'Grid_Stock'!M98</f>
        <v/>
      </c>
      <c r="V103" s="15">
        <f>'Grid_Stock'!N98</f>
        <v/>
      </c>
      <c r="W103" s="15">
        <f>'Grid_Stock'!O98</f>
        <v/>
      </c>
      <c r="X103" s="15">
        <f>'Grid_Stock'!P98</f>
        <v/>
      </c>
      <c r="Y103" s="15">
        <f>'Grid_Stock'!Q98</f>
        <v/>
      </c>
      <c r="Z103" s="15">
        <f>'Grid_Stock'!R98</f>
        <v/>
      </c>
      <c r="AA103" s="15">
        <f>'Grid_Stock'!S98</f>
        <v/>
      </c>
      <c r="AB103" s="15">
        <f>'Grid_Stock'!T98</f>
        <v/>
      </c>
      <c r="AC103" s="15">
        <f>'Grid_Stock'!U98</f>
        <v/>
      </c>
      <c r="AD103" s="15">
        <f>'Grid_Stock'!V98</f>
        <v/>
      </c>
      <c r="AE103" s="15">
        <f>'Grid_Stock'!W98</f>
        <v/>
      </c>
      <c r="AF103" s="15">
        <f>'Grid_Stock'!X98</f>
        <v/>
      </c>
      <c r="AG103" s="15">
        <f>'Grid_Stock'!Y98</f>
        <v/>
      </c>
      <c r="AH103" s="15">
        <f>'Grid_Stock'!Z98</f>
        <v/>
      </c>
      <c r="AI103" s="15">
        <f>'Grid_Stock'!AA98</f>
        <v/>
      </c>
      <c r="AJ103" s="15">
        <f>'Grid_Stock'!AB98</f>
        <v/>
      </c>
      <c r="AK103" s="15">
        <f>'Grid_Stock'!AC98</f>
        <v/>
      </c>
      <c r="AL103" s="15">
        <f>'Grid_Stock'!AD98</f>
        <v/>
      </c>
      <c r="AM103" s="15">
        <f>'Grid_Stock'!AE98</f>
        <v/>
      </c>
      <c r="AN103" s="15">
        <f>'Grid_Stock'!AF98</f>
        <v/>
      </c>
      <c r="AO103" s="15">
        <f>'Grid_Stock'!AG98</f>
        <v/>
      </c>
      <c r="AP103" s="15">
        <f>'Grid_Stock'!AH98</f>
        <v/>
      </c>
      <c r="AQ103" s="15">
        <f>'Grid_Stock'!AI98</f>
        <v/>
      </c>
      <c r="AR103" s="15">
        <f>'Grid_Stock'!AJ98</f>
        <v/>
      </c>
      <c r="AS103" s="15">
        <f>'Grid_Stock'!AK98</f>
        <v/>
      </c>
      <c r="AT103" s="15">
        <f>'Grid_Stock'!AL98</f>
        <v/>
      </c>
      <c r="AU103" s="15">
        <f>'Grid_Stock'!AM98</f>
        <v/>
      </c>
      <c r="AV103" s="15">
        <f>'Grid_Stock'!AN98</f>
        <v/>
      </c>
      <c r="AW103" s="15">
        <f>'Grid_Stock'!AO98</f>
        <v/>
      </c>
      <c r="AX103" s="15">
        <f>'Grid_Stock'!AP98</f>
        <v/>
      </c>
      <c r="AY103" s="15">
        <f>'Grid_Stock'!AQ98</f>
        <v/>
      </c>
      <c r="AZ103" s="15">
        <f>'Grid_Stock'!AR98</f>
        <v/>
      </c>
      <c r="BA103" s="15">
        <f>'Grid_Stock'!AS98</f>
        <v/>
      </c>
      <c r="BB103" s="15">
        <f>'Grid_Stock'!AT98</f>
        <v/>
      </c>
      <c r="BC103" s="15">
        <f>'Grid_Stock'!AU98</f>
        <v/>
      </c>
      <c r="BD103" s="15">
        <f>'Grid_Stock'!AV98</f>
        <v/>
      </c>
      <c r="BE103" s="15">
        <f>'Grid_Stock'!AW98</f>
        <v/>
      </c>
      <c r="BF103" s="15">
        <f>'Grid_Stock'!AX98</f>
        <v/>
      </c>
      <c r="BG103" s="15">
        <f>'Grid_Stock'!AY98</f>
        <v/>
      </c>
      <c r="BH103" s="15">
        <f>'Grid_Stock'!AZ98</f>
        <v/>
      </c>
      <c r="BI103" s="15">
        <f>'Grid_Stock'!BA98</f>
        <v/>
      </c>
      <c r="BJ103" s="15">
        <f>'Grid_Stock'!BB98</f>
        <v/>
      </c>
      <c r="BK103" s="15">
        <f>'Grid_Stock'!BC98</f>
        <v/>
      </c>
      <c r="BL103" s="15">
        <f>'Grid_Stock'!BD98</f>
        <v/>
      </c>
      <c r="BM103" s="15">
        <f>'Grid_Stock'!BE98</f>
        <v/>
      </c>
      <c r="BN103" s="15">
        <f>'Grid_Stock'!BF98</f>
        <v/>
      </c>
      <c r="BO103" s="15">
        <f>'Grid_Stock'!BG98</f>
        <v/>
      </c>
      <c r="BP103" s="15">
        <f>'Grid_Stock'!BH98</f>
        <v/>
      </c>
      <c r="BQ103" s="15">
        <f>'Grid_Stock'!BI98</f>
        <v/>
      </c>
      <c r="BR103" s="15">
        <f>'Grid_Stock'!BJ98</f>
        <v/>
      </c>
      <c r="BS103" s="15">
        <f>'Grid_Stock'!BK98</f>
        <v/>
      </c>
      <c r="BT103" s="15">
        <f>'Grid_Stock'!BL98</f>
        <v/>
      </c>
      <c r="BU103" s="15">
        <f>'Grid_Stock'!BM98</f>
        <v/>
      </c>
      <c r="BV103" s="15">
        <f>'Grid_Stock'!BN98</f>
        <v/>
      </c>
      <c r="BW103" s="15">
        <f>'Grid_Stock'!BO98</f>
        <v/>
      </c>
      <c r="BX103" s="15">
        <f>'Grid_Stock'!BP98</f>
        <v/>
      </c>
      <c r="BY103" s="15">
        <f>'Grid_Stock'!BQ98</f>
        <v/>
      </c>
      <c r="BZ103" s="15">
        <f>'Grid_Stock'!BR98</f>
        <v/>
      </c>
      <c r="CA103" s="15">
        <f>'Grid_Stock'!BS98</f>
        <v/>
      </c>
      <c r="CB103" s="15">
        <f>'Grid_Stock'!BT98</f>
        <v/>
      </c>
      <c r="CC103" s="15">
        <f>'Grid_Stock'!BU98</f>
        <v/>
      </c>
      <c r="CD103" s="15">
        <f>'Grid_Stock'!BV98</f>
        <v/>
      </c>
      <c r="CE103" s="15">
        <f>'Grid_Stock'!BW98</f>
        <v/>
      </c>
      <c r="CF103" s="15">
        <f>'Grid_Stock'!BX98</f>
        <v/>
      </c>
      <c r="CG103" s="15">
        <f>'Grid_Stock'!BY98</f>
        <v/>
      </c>
      <c r="CH103" s="15">
        <f>'Grid_Stock'!BZ98</f>
        <v/>
      </c>
      <c r="CI103" s="15">
        <f>'Grid_Stock'!CA98</f>
        <v/>
      </c>
      <c r="CJ103" s="15">
        <f>'Grid_Stock'!CB98</f>
        <v/>
      </c>
      <c r="CK103" s="15">
        <f>'Grid_Stock'!CC98</f>
        <v/>
      </c>
      <c r="CL103" s="15">
        <f>'Grid_Stock'!CD98</f>
        <v/>
      </c>
      <c r="CM103" s="15">
        <f>'Grid_Stock'!CE98</f>
        <v/>
      </c>
      <c r="CN103" s="15">
        <f>'Grid_Stock'!CF98</f>
        <v/>
      </c>
      <c r="CO103" s="15">
        <f>'Grid_Stock'!CG98</f>
        <v/>
      </c>
      <c r="CP103" s="15">
        <f>'Grid_Stock'!CH98</f>
        <v/>
      </c>
      <c r="CQ103" s="15">
        <f>'Grid_Stock'!CI98</f>
        <v/>
      </c>
      <c r="CR103" s="15">
        <f>'Grid_Stock'!CJ98</f>
        <v/>
      </c>
      <c r="CS103" s="15">
        <f>'Grid_Stock'!CK98</f>
        <v/>
      </c>
      <c r="CT103" s="15">
        <f>'Grid_Stock'!CL98</f>
        <v/>
      </c>
      <c r="CU103" s="15">
        <f>'Grid_Stock'!CM98</f>
        <v/>
      </c>
      <c r="CV103" s="15">
        <f>'Grid_Stock'!CN98</f>
        <v/>
      </c>
      <c r="CW103" s="15">
        <f>'Grid_Stock'!CO98</f>
        <v/>
      </c>
      <c r="CX103" s="15">
        <f>'Grid_Stock'!CP98</f>
        <v/>
      </c>
      <c r="CY103" s="15">
        <f>'Grid_Stock'!CQ98</f>
        <v/>
      </c>
      <c r="CZ103" s="15">
        <f>'Grid_Stock'!CR98</f>
        <v/>
      </c>
      <c r="DA103" s="15">
        <f>'Grid_Stock'!CS98</f>
        <v/>
      </c>
      <c r="DB103" s="15">
        <f>'Grid_Stock'!CT98</f>
        <v/>
      </c>
      <c r="DC103" s="15">
        <f>'Grid_Stock'!CU98</f>
        <v/>
      </c>
      <c r="DD103" s="15">
        <f>'Grid_Stock'!CV98</f>
        <v/>
      </c>
      <c r="DE103" s="15">
        <f>'Grid_Stock'!CW98</f>
        <v/>
      </c>
      <c r="DF103" s="15">
        <f>'Grid_Stock'!CX98</f>
        <v/>
      </c>
      <c r="DG103" s="15">
        <f>'Grid_Stock'!CY98</f>
        <v/>
      </c>
      <c r="DH103" s="15">
        <f>'Grid_Stock'!CZ98</f>
        <v/>
      </c>
      <c r="DI103" s="15">
        <f>'Grid_Stock'!DA98</f>
        <v/>
      </c>
    </row>
    <row r="104">
      <c r="A104" s="17" t="inlineStr">
        <is>
          <t>CHEM-1190</t>
        </is>
      </c>
      <c r="B104" s="17">
        <f>IFERROR(INDEX(M_RawMaterials[Description],MATCH($A104,M_RawMaterials[RM_Code],0)),"")</f>
        <v/>
      </c>
      <c r="C104" s="17">
        <f>IFERROR(INDEX(M_RawMaterials[Category],MATCH($A104,M_RawMaterials[RM_Code],0)),"")</f>
        <v/>
      </c>
      <c r="D104" s="17">
        <f>IFERROR(INDEX(M_RawMaterials[基準在庫下限_要入力],MATCH($A104,M_RawMaterials[RM_Code],0)),0)</f>
        <v/>
      </c>
      <c r="E104" s="17">
        <f>IFERROR(INDEX(M_RawMaterials[基準在庫上限_要入力],MATCH($A104,M_RawMaterials[RM_Code],0)),0)</f>
        <v/>
      </c>
      <c r="F104" s="17">
        <f>IFERROR(LOOKUP(2,1/(T_SelfStock!$A$2:$A$12000=$A104),T_SelfStock!$D$2:$D$12000),"")</f>
        <v/>
      </c>
      <c r="G104" s="17">
        <f>IFERROR(LOOKUP(2,1/(T_TTAFStock!$A$2:$A$12000=$A104),T_TTAFStock!$D$2:$D$12000),"")</f>
        <v/>
      </c>
      <c r="H104" s="17">
        <f>IFERROR(INDEX(Cal_Weeks[Label],LOOKUP(2,1/(T_SelfStock!$A$2:$A$12000=$A104),T_SelfStock!$C$2:$C$12000)),"")</f>
        <v/>
      </c>
      <c r="I104" s="16">
        <f>IFERROR(INDEX(J104:DI104,$F$1),"")</f>
        <v/>
      </c>
      <c r="J104" s="17">
        <f>'Grid_Stock'!B99</f>
        <v/>
      </c>
      <c r="K104" s="17">
        <f>'Grid_Stock'!C99</f>
        <v/>
      </c>
      <c r="L104" s="17">
        <f>'Grid_Stock'!D99</f>
        <v/>
      </c>
      <c r="M104" s="17">
        <f>'Grid_Stock'!E99</f>
        <v/>
      </c>
      <c r="N104" s="17">
        <f>'Grid_Stock'!F99</f>
        <v/>
      </c>
      <c r="O104" s="17">
        <f>'Grid_Stock'!G99</f>
        <v/>
      </c>
      <c r="P104" s="17">
        <f>'Grid_Stock'!H99</f>
        <v/>
      </c>
      <c r="Q104" s="17">
        <f>'Grid_Stock'!I99</f>
        <v/>
      </c>
      <c r="R104" s="17">
        <f>'Grid_Stock'!J99</f>
        <v/>
      </c>
      <c r="S104" s="17">
        <f>'Grid_Stock'!K99</f>
        <v/>
      </c>
      <c r="T104" s="17">
        <f>'Grid_Stock'!L99</f>
        <v/>
      </c>
      <c r="U104" s="17">
        <f>'Grid_Stock'!M99</f>
        <v/>
      </c>
      <c r="V104" s="17">
        <f>'Grid_Stock'!N99</f>
        <v/>
      </c>
      <c r="W104" s="17">
        <f>'Grid_Stock'!O99</f>
        <v/>
      </c>
      <c r="X104" s="17">
        <f>'Grid_Stock'!P99</f>
        <v/>
      </c>
      <c r="Y104" s="17">
        <f>'Grid_Stock'!Q99</f>
        <v/>
      </c>
      <c r="Z104" s="17">
        <f>'Grid_Stock'!R99</f>
        <v/>
      </c>
      <c r="AA104" s="17">
        <f>'Grid_Stock'!S99</f>
        <v/>
      </c>
      <c r="AB104" s="17">
        <f>'Grid_Stock'!T99</f>
        <v/>
      </c>
      <c r="AC104" s="17">
        <f>'Grid_Stock'!U99</f>
        <v/>
      </c>
      <c r="AD104" s="17">
        <f>'Grid_Stock'!V99</f>
        <v/>
      </c>
      <c r="AE104" s="17">
        <f>'Grid_Stock'!W99</f>
        <v/>
      </c>
      <c r="AF104" s="17">
        <f>'Grid_Stock'!X99</f>
        <v/>
      </c>
      <c r="AG104" s="17">
        <f>'Grid_Stock'!Y99</f>
        <v/>
      </c>
      <c r="AH104" s="17">
        <f>'Grid_Stock'!Z99</f>
        <v/>
      </c>
      <c r="AI104" s="17">
        <f>'Grid_Stock'!AA99</f>
        <v/>
      </c>
      <c r="AJ104" s="17">
        <f>'Grid_Stock'!AB99</f>
        <v/>
      </c>
      <c r="AK104" s="17">
        <f>'Grid_Stock'!AC99</f>
        <v/>
      </c>
      <c r="AL104" s="17">
        <f>'Grid_Stock'!AD99</f>
        <v/>
      </c>
      <c r="AM104" s="17">
        <f>'Grid_Stock'!AE99</f>
        <v/>
      </c>
      <c r="AN104" s="17">
        <f>'Grid_Stock'!AF99</f>
        <v/>
      </c>
      <c r="AO104" s="17">
        <f>'Grid_Stock'!AG99</f>
        <v/>
      </c>
      <c r="AP104" s="17">
        <f>'Grid_Stock'!AH99</f>
        <v/>
      </c>
      <c r="AQ104" s="17">
        <f>'Grid_Stock'!AI99</f>
        <v/>
      </c>
      <c r="AR104" s="17">
        <f>'Grid_Stock'!AJ99</f>
        <v/>
      </c>
      <c r="AS104" s="17">
        <f>'Grid_Stock'!AK99</f>
        <v/>
      </c>
      <c r="AT104" s="17">
        <f>'Grid_Stock'!AL99</f>
        <v/>
      </c>
      <c r="AU104" s="17">
        <f>'Grid_Stock'!AM99</f>
        <v/>
      </c>
      <c r="AV104" s="17">
        <f>'Grid_Stock'!AN99</f>
        <v/>
      </c>
      <c r="AW104" s="17">
        <f>'Grid_Stock'!AO99</f>
        <v/>
      </c>
      <c r="AX104" s="17">
        <f>'Grid_Stock'!AP99</f>
        <v/>
      </c>
      <c r="AY104" s="17">
        <f>'Grid_Stock'!AQ99</f>
        <v/>
      </c>
      <c r="AZ104" s="17">
        <f>'Grid_Stock'!AR99</f>
        <v/>
      </c>
      <c r="BA104" s="17">
        <f>'Grid_Stock'!AS99</f>
        <v/>
      </c>
      <c r="BB104" s="17">
        <f>'Grid_Stock'!AT99</f>
        <v/>
      </c>
      <c r="BC104" s="17">
        <f>'Grid_Stock'!AU99</f>
        <v/>
      </c>
      <c r="BD104" s="17">
        <f>'Grid_Stock'!AV99</f>
        <v/>
      </c>
      <c r="BE104" s="17">
        <f>'Grid_Stock'!AW99</f>
        <v/>
      </c>
      <c r="BF104" s="17">
        <f>'Grid_Stock'!AX99</f>
        <v/>
      </c>
      <c r="BG104" s="17">
        <f>'Grid_Stock'!AY99</f>
        <v/>
      </c>
      <c r="BH104" s="17">
        <f>'Grid_Stock'!AZ99</f>
        <v/>
      </c>
      <c r="BI104" s="17">
        <f>'Grid_Stock'!BA99</f>
        <v/>
      </c>
      <c r="BJ104" s="17">
        <f>'Grid_Stock'!BB99</f>
        <v/>
      </c>
      <c r="BK104" s="17">
        <f>'Grid_Stock'!BC99</f>
        <v/>
      </c>
      <c r="BL104" s="17">
        <f>'Grid_Stock'!BD99</f>
        <v/>
      </c>
      <c r="BM104" s="17">
        <f>'Grid_Stock'!BE99</f>
        <v/>
      </c>
      <c r="BN104" s="17">
        <f>'Grid_Stock'!BF99</f>
        <v/>
      </c>
      <c r="BO104" s="17">
        <f>'Grid_Stock'!BG99</f>
        <v/>
      </c>
      <c r="BP104" s="17">
        <f>'Grid_Stock'!BH99</f>
        <v/>
      </c>
      <c r="BQ104" s="17">
        <f>'Grid_Stock'!BI99</f>
        <v/>
      </c>
      <c r="BR104" s="17">
        <f>'Grid_Stock'!BJ99</f>
        <v/>
      </c>
      <c r="BS104" s="17">
        <f>'Grid_Stock'!BK99</f>
        <v/>
      </c>
      <c r="BT104" s="17">
        <f>'Grid_Stock'!BL99</f>
        <v/>
      </c>
      <c r="BU104" s="17">
        <f>'Grid_Stock'!BM99</f>
        <v/>
      </c>
      <c r="BV104" s="17">
        <f>'Grid_Stock'!BN99</f>
        <v/>
      </c>
      <c r="BW104" s="17">
        <f>'Grid_Stock'!BO99</f>
        <v/>
      </c>
      <c r="BX104" s="17">
        <f>'Grid_Stock'!BP99</f>
        <v/>
      </c>
      <c r="BY104" s="17">
        <f>'Grid_Stock'!BQ99</f>
        <v/>
      </c>
      <c r="BZ104" s="17">
        <f>'Grid_Stock'!BR99</f>
        <v/>
      </c>
      <c r="CA104" s="17">
        <f>'Grid_Stock'!BS99</f>
        <v/>
      </c>
      <c r="CB104" s="17">
        <f>'Grid_Stock'!BT99</f>
        <v/>
      </c>
      <c r="CC104" s="17">
        <f>'Grid_Stock'!BU99</f>
        <v/>
      </c>
      <c r="CD104" s="17">
        <f>'Grid_Stock'!BV99</f>
        <v/>
      </c>
      <c r="CE104" s="17">
        <f>'Grid_Stock'!BW99</f>
        <v/>
      </c>
      <c r="CF104" s="17">
        <f>'Grid_Stock'!BX99</f>
        <v/>
      </c>
      <c r="CG104" s="17">
        <f>'Grid_Stock'!BY99</f>
        <v/>
      </c>
      <c r="CH104" s="17">
        <f>'Grid_Stock'!BZ99</f>
        <v/>
      </c>
      <c r="CI104" s="17">
        <f>'Grid_Stock'!CA99</f>
        <v/>
      </c>
      <c r="CJ104" s="17">
        <f>'Grid_Stock'!CB99</f>
        <v/>
      </c>
      <c r="CK104" s="17">
        <f>'Grid_Stock'!CC99</f>
        <v/>
      </c>
      <c r="CL104" s="17">
        <f>'Grid_Stock'!CD99</f>
        <v/>
      </c>
      <c r="CM104" s="17">
        <f>'Grid_Stock'!CE99</f>
        <v/>
      </c>
      <c r="CN104" s="17">
        <f>'Grid_Stock'!CF99</f>
        <v/>
      </c>
      <c r="CO104" s="17">
        <f>'Grid_Stock'!CG99</f>
        <v/>
      </c>
      <c r="CP104" s="17">
        <f>'Grid_Stock'!CH99</f>
        <v/>
      </c>
      <c r="CQ104" s="17">
        <f>'Grid_Stock'!CI99</f>
        <v/>
      </c>
      <c r="CR104" s="17">
        <f>'Grid_Stock'!CJ99</f>
        <v/>
      </c>
      <c r="CS104" s="17">
        <f>'Grid_Stock'!CK99</f>
        <v/>
      </c>
      <c r="CT104" s="17">
        <f>'Grid_Stock'!CL99</f>
        <v/>
      </c>
      <c r="CU104" s="17">
        <f>'Grid_Stock'!CM99</f>
        <v/>
      </c>
      <c r="CV104" s="17">
        <f>'Grid_Stock'!CN99</f>
        <v/>
      </c>
      <c r="CW104" s="17">
        <f>'Grid_Stock'!CO99</f>
        <v/>
      </c>
      <c r="CX104" s="17">
        <f>'Grid_Stock'!CP99</f>
        <v/>
      </c>
      <c r="CY104" s="17">
        <f>'Grid_Stock'!CQ99</f>
        <v/>
      </c>
      <c r="CZ104" s="17">
        <f>'Grid_Stock'!CR99</f>
        <v/>
      </c>
      <c r="DA104" s="17">
        <f>'Grid_Stock'!CS99</f>
        <v/>
      </c>
      <c r="DB104" s="17">
        <f>'Grid_Stock'!CT99</f>
        <v/>
      </c>
      <c r="DC104" s="17">
        <f>'Grid_Stock'!CU99</f>
        <v/>
      </c>
      <c r="DD104" s="17">
        <f>'Grid_Stock'!CV99</f>
        <v/>
      </c>
      <c r="DE104" s="17">
        <f>'Grid_Stock'!CW99</f>
        <v/>
      </c>
      <c r="DF104" s="17">
        <f>'Grid_Stock'!CX99</f>
        <v/>
      </c>
      <c r="DG104" s="17">
        <f>'Grid_Stock'!CY99</f>
        <v/>
      </c>
      <c r="DH104" s="17">
        <f>'Grid_Stock'!CZ99</f>
        <v/>
      </c>
      <c r="DI104" s="17">
        <f>'Grid_Stock'!DA99</f>
        <v/>
      </c>
    </row>
    <row r="105">
      <c r="A105" s="15" t="inlineStr">
        <is>
          <t>CHEM-1630</t>
        </is>
      </c>
      <c r="B105" s="15">
        <f>IFERROR(INDEX(M_RawMaterials[Description],MATCH($A105,M_RawMaterials[RM_Code],0)),"")</f>
        <v/>
      </c>
      <c r="C105" s="15">
        <f>IFERROR(INDEX(M_RawMaterials[Category],MATCH($A105,M_RawMaterials[RM_Code],0)),"")</f>
        <v/>
      </c>
      <c r="D105" s="15">
        <f>IFERROR(INDEX(M_RawMaterials[基準在庫下限_要入力],MATCH($A105,M_RawMaterials[RM_Code],0)),0)</f>
        <v/>
      </c>
      <c r="E105" s="15">
        <f>IFERROR(INDEX(M_RawMaterials[基準在庫上限_要入力],MATCH($A105,M_RawMaterials[RM_Code],0)),0)</f>
        <v/>
      </c>
      <c r="F105" s="15">
        <f>IFERROR(LOOKUP(2,1/(T_SelfStock!$A$2:$A$12000=$A105),T_SelfStock!$D$2:$D$12000),"")</f>
        <v/>
      </c>
      <c r="G105" s="15">
        <f>IFERROR(LOOKUP(2,1/(T_TTAFStock!$A$2:$A$12000=$A105),T_TTAFStock!$D$2:$D$12000),"")</f>
        <v/>
      </c>
      <c r="H105" s="15">
        <f>IFERROR(INDEX(Cal_Weeks[Label],LOOKUP(2,1/(T_SelfStock!$A$2:$A$12000=$A105),T_SelfStock!$C$2:$C$12000)),"")</f>
        <v/>
      </c>
      <c r="I105" s="16">
        <f>IFERROR(INDEX(J105:DI105,$F$1),"")</f>
        <v/>
      </c>
      <c r="J105" s="15">
        <f>'Grid_Stock'!B100</f>
        <v/>
      </c>
      <c r="K105" s="15">
        <f>'Grid_Stock'!C100</f>
        <v/>
      </c>
      <c r="L105" s="15">
        <f>'Grid_Stock'!D100</f>
        <v/>
      </c>
      <c r="M105" s="15">
        <f>'Grid_Stock'!E100</f>
        <v/>
      </c>
      <c r="N105" s="15">
        <f>'Grid_Stock'!F100</f>
        <v/>
      </c>
      <c r="O105" s="15">
        <f>'Grid_Stock'!G100</f>
        <v/>
      </c>
      <c r="P105" s="15">
        <f>'Grid_Stock'!H100</f>
        <v/>
      </c>
      <c r="Q105" s="15">
        <f>'Grid_Stock'!I100</f>
        <v/>
      </c>
      <c r="R105" s="15">
        <f>'Grid_Stock'!J100</f>
        <v/>
      </c>
      <c r="S105" s="15">
        <f>'Grid_Stock'!K100</f>
        <v/>
      </c>
      <c r="T105" s="15">
        <f>'Grid_Stock'!L100</f>
        <v/>
      </c>
      <c r="U105" s="15">
        <f>'Grid_Stock'!M100</f>
        <v/>
      </c>
      <c r="V105" s="15">
        <f>'Grid_Stock'!N100</f>
        <v/>
      </c>
      <c r="W105" s="15">
        <f>'Grid_Stock'!O100</f>
        <v/>
      </c>
      <c r="X105" s="15">
        <f>'Grid_Stock'!P100</f>
        <v/>
      </c>
      <c r="Y105" s="15">
        <f>'Grid_Stock'!Q100</f>
        <v/>
      </c>
      <c r="Z105" s="15">
        <f>'Grid_Stock'!R100</f>
        <v/>
      </c>
      <c r="AA105" s="15">
        <f>'Grid_Stock'!S100</f>
        <v/>
      </c>
      <c r="AB105" s="15">
        <f>'Grid_Stock'!T100</f>
        <v/>
      </c>
      <c r="AC105" s="15">
        <f>'Grid_Stock'!U100</f>
        <v/>
      </c>
      <c r="AD105" s="15">
        <f>'Grid_Stock'!V100</f>
        <v/>
      </c>
      <c r="AE105" s="15">
        <f>'Grid_Stock'!W100</f>
        <v/>
      </c>
      <c r="AF105" s="15">
        <f>'Grid_Stock'!X100</f>
        <v/>
      </c>
      <c r="AG105" s="15">
        <f>'Grid_Stock'!Y100</f>
        <v/>
      </c>
      <c r="AH105" s="15">
        <f>'Grid_Stock'!Z100</f>
        <v/>
      </c>
      <c r="AI105" s="15">
        <f>'Grid_Stock'!AA100</f>
        <v/>
      </c>
      <c r="AJ105" s="15">
        <f>'Grid_Stock'!AB100</f>
        <v/>
      </c>
      <c r="AK105" s="15">
        <f>'Grid_Stock'!AC100</f>
        <v/>
      </c>
      <c r="AL105" s="15">
        <f>'Grid_Stock'!AD100</f>
        <v/>
      </c>
      <c r="AM105" s="15">
        <f>'Grid_Stock'!AE100</f>
        <v/>
      </c>
      <c r="AN105" s="15">
        <f>'Grid_Stock'!AF100</f>
        <v/>
      </c>
      <c r="AO105" s="15">
        <f>'Grid_Stock'!AG100</f>
        <v/>
      </c>
      <c r="AP105" s="15">
        <f>'Grid_Stock'!AH100</f>
        <v/>
      </c>
      <c r="AQ105" s="15">
        <f>'Grid_Stock'!AI100</f>
        <v/>
      </c>
      <c r="AR105" s="15">
        <f>'Grid_Stock'!AJ100</f>
        <v/>
      </c>
      <c r="AS105" s="15">
        <f>'Grid_Stock'!AK100</f>
        <v/>
      </c>
      <c r="AT105" s="15">
        <f>'Grid_Stock'!AL100</f>
        <v/>
      </c>
      <c r="AU105" s="15">
        <f>'Grid_Stock'!AM100</f>
        <v/>
      </c>
      <c r="AV105" s="15">
        <f>'Grid_Stock'!AN100</f>
        <v/>
      </c>
      <c r="AW105" s="15">
        <f>'Grid_Stock'!AO100</f>
        <v/>
      </c>
      <c r="AX105" s="15">
        <f>'Grid_Stock'!AP100</f>
        <v/>
      </c>
      <c r="AY105" s="15">
        <f>'Grid_Stock'!AQ100</f>
        <v/>
      </c>
      <c r="AZ105" s="15">
        <f>'Grid_Stock'!AR100</f>
        <v/>
      </c>
      <c r="BA105" s="15">
        <f>'Grid_Stock'!AS100</f>
        <v/>
      </c>
      <c r="BB105" s="15">
        <f>'Grid_Stock'!AT100</f>
        <v/>
      </c>
      <c r="BC105" s="15">
        <f>'Grid_Stock'!AU100</f>
        <v/>
      </c>
      <c r="BD105" s="15">
        <f>'Grid_Stock'!AV100</f>
        <v/>
      </c>
      <c r="BE105" s="15">
        <f>'Grid_Stock'!AW100</f>
        <v/>
      </c>
      <c r="BF105" s="15">
        <f>'Grid_Stock'!AX100</f>
        <v/>
      </c>
      <c r="BG105" s="15">
        <f>'Grid_Stock'!AY100</f>
        <v/>
      </c>
      <c r="BH105" s="15">
        <f>'Grid_Stock'!AZ100</f>
        <v/>
      </c>
      <c r="BI105" s="15">
        <f>'Grid_Stock'!BA100</f>
        <v/>
      </c>
      <c r="BJ105" s="15">
        <f>'Grid_Stock'!BB100</f>
        <v/>
      </c>
      <c r="BK105" s="15">
        <f>'Grid_Stock'!BC100</f>
        <v/>
      </c>
      <c r="BL105" s="15">
        <f>'Grid_Stock'!BD100</f>
        <v/>
      </c>
      <c r="BM105" s="15">
        <f>'Grid_Stock'!BE100</f>
        <v/>
      </c>
      <c r="BN105" s="15">
        <f>'Grid_Stock'!BF100</f>
        <v/>
      </c>
      <c r="BO105" s="15">
        <f>'Grid_Stock'!BG100</f>
        <v/>
      </c>
      <c r="BP105" s="15">
        <f>'Grid_Stock'!BH100</f>
        <v/>
      </c>
      <c r="BQ105" s="15">
        <f>'Grid_Stock'!BI100</f>
        <v/>
      </c>
      <c r="BR105" s="15">
        <f>'Grid_Stock'!BJ100</f>
        <v/>
      </c>
      <c r="BS105" s="15">
        <f>'Grid_Stock'!BK100</f>
        <v/>
      </c>
      <c r="BT105" s="15">
        <f>'Grid_Stock'!BL100</f>
        <v/>
      </c>
      <c r="BU105" s="15">
        <f>'Grid_Stock'!BM100</f>
        <v/>
      </c>
      <c r="BV105" s="15">
        <f>'Grid_Stock'!BN100</f>
        <v/>
      </c>
      <c r="BW105" s="15">
        <f>'Grid_Stock'!BO100</f>
        <v/>
      </c>
      <c r="BX105" s="15">
        <f>'Grid_Stock'!BP100</f>
        <v/>
      </c>
      <c r="BY105" s="15">
        <f>'Grid_Stock'!BQ100</f>
        <v/>
      </c>
      <c r="BZ105" s="15">
        <f>'Grid_Stock'!BR100</f>
        <v/>
      </c>
      <c r="CA105" s="15">
        <f>'Grid_Stock'!BS100</f>
        <v/>
      </c>
      <c r="CB105" s="15">
        <f>'Grid_Stock'!BT100</f>
        <v/>
      </c>
      <c r="CC105" s="15">
        <f>'Grid_Stock'!BU100</f>
        <v/>
      </c>
      <c r="CD105" s="15">
        <f>'Grid_Stock'!BV100</f>
        <v/>
      </c>
      <c r="CE105" s="15">
        <f>'Grid_Stock'!BW100</f>
        <v/>
      </c>
      <c r="CF105" s="15">
        <f>'Grid_Stock'!BX100</f>
        <v/>
      </c>
      <c r="CG105" s="15">
        <f>'Grid_Stock'!BY100</f>
        <v/>
      </c>
      <c r="CH105" s="15">
        <f>'Grid_Stock'!BZ100</f>
        <v/>
      </c>
      <c r="CI105" s="15">
        <f>'Grid_Stock'!CA100</f>
        <v/>
      </c>
      <c r="CJ105" s="15">
        <f>'Grid_Stock'!CB100</f>
        <v/>
      </c>
      <c r="CK105" s="15">
        <f>'Grid_Stock'!CC100</f>
        <v/>
      </c>
      <c r="CL105" s="15">
        <f>'Grid_Stock'!CD100</f>
        <v/>
      </c>
      <c r="CM105" s="15">
        <f>'Grid_Stock'!CE100</f>
        <v/>
      </c>
      <c r="CN105" s="15">
        <f>'Grid_Stock'!CF100</f>
        <v/>
      </c>
      <c r="CO105" s="15">
        <f>'Grid_Stock'!CG100</f>
        <v/>
      </c>
      <c r="CP105" s="15">
        <f>'Grid_Stock'!CH100</f>
        <v/>
      </c>
      <c r="CQ105" s="15">
        <f>'Grid_Stock'!CI100</f>
        <v/>
      </c>
      <c r="CR105" s="15">
        <f>'Grid_Stock'!CJ100</f>
        <v/>
      </c>
      <c r="CS105" s="15">
        <f>'Grid_Stock'!CK100</f>
        <v/>
      </c>
      <c r="CT105" s="15">
        <f>'Grid_Stock'!CL100</f>
        <v/>
      </c>
      <c r="CU105" s="15">
        <f>'Grid_Stock'!CM100</f>
        <v/>
      </c>
      <c r="CV105" s="15">
        <f>'Grid_Stock'!CN100</f>
        <v/>
      </c>
      <c r="CW105" s="15">
        <f>'Grid_Stock'!CO100</f>
        <v/>
      </c>
      <c r="CX105" s="15">
        <f>'Grid_Stock'!CP100</f>
        <v/>
      </c>
      <c r="CY105" s="15">
        <f>'Grid_Stock'!CQ100</f>
        <v/>
      </c>
      <c r="CZ105" s="15">
        <f>'Grid_Stock'!CR100</f>
        <v/>
      </c>
      <c r="DA105" s="15">
        <f>'Grid_Stock'!CS100</f>
        <v/>
      </c>
      <c r="DB105" s="15">
        <f>'Grid_Stock'!CT100</f>
        <v/>
      </c>
      <c r="DC105" s="15">
        <f>'Grid_Stock'!CU100</f>
        <v/>
      </c>
      <c r="DD105" s="15">
        <f>'Grid_Stock'!CV100</f>
        <v/>
      </c>
      <c r="DE105" s="15">
        <f>'Grid_Stock'!CW100</f>
        <v/>
      </c>
      <c r="DF105" s="15">
        <f>'Grid_Stock'!CX100</f>
        <v/>
      </c>
      <c r="DG105" s="15">
        <f>'Grid_Stock'!CY100</f>
        <v/>
      </c>
      <c r="DH105" s="15">
        <f>'Grid_Stock'!CZ100</f>
        <v/>
      </c>
      <c r="DI105" s="15">
        <f>'Grid_Stock'!DA100</f>
        <v/>
      </c>
    </row>
    <row r="106">
      <c r="A106" s="17" t="inlineStr">
        <is>
          <t>CHEM-1090</t>
        </is>
      </c>
      <c r="B106" s="17">
        <f>IFERROR(INDEX(M_RawMaterials[Description],MATCH($A106,M_RawMaterials[RM_Code],0)),"")</f>
        <v/>
      </c>
      <c r="C106" s="17">
        <f>IFERROR(INDEX(M_RawMaterials[Category],MATCH($A106,M_RawMaterials[RM_Code],0)),"")</f>
        <v/>
      </c>
      <c r="D106" s="17">
        <f>IFERROR(INDEX(M_RawMaterials[基準在庫下限_要入力],MATCH($A106,M_RawMaterials[RM_Code],0)),0)</f>
        <v/>
      </c>
      <c r="E106" s="17">
        <f>IFERROR(INDEX(M_RawMaterials[基準在庫上限_要入力],MATCH($A106,M_RawMaterials[RM_Code],0)),0)</f>
        <v/>
      </c>
      <c r="F106" s="17">
        <f>IFERROR(LOOKUP(2,1/(T_SelfStock!$A$2:$A$12000=$A106),T_SelfStock!$D$2:$D$12000),"")</f>
        <v/>
      </c>
      <c r="G106" s="17">
        <f>IFERROR(LOOKUP(2,1/(T_TTAFStock!$A$2:$A$12000=$A106),T_TTAFStock!$D$2:$D$12000),"")</f>
        <v/>
      </c>
      <c r="H106" s="17">
        <f>IFERROR(INDEX(Cal_Weeks[Label],LOOKUP(2,1/(T_SelfStock!$A$2:$A$12000=$A106),T_SelfStock!$C$2:$C$12000)),"")</f>
        <v/>
      </c>
      <c r="I106" s="16">
        <f>IFERROR(INDEX(J106:DI106,$F$1),"")</f>
        <v/>
      </c>
      <c r="J106" s="17">
        <f>'Grid_Stock'!B101</f>
        <v/>
      </c>
      <c r="K106" s="17">
        <f>'Grid_Stock'!C101</f>
        <v/>
      </c>
      <c r="L106" s="17">
        <f>'Grid_Stock'!D101</f>
        <v/>
      </c>
      <c r="M106" s="17">
        <f>'Grid_Stock'!E101</f>
        <v/>
      </c>
      <c r="N106" s="17">
        <f>'Grid_Stock'!F101</f>
        <v/>
      </c>
      <c r="O106" s="17">
        <f>'Grid_Stock'!G101</f>
        <v/>
      </c>
      <c r="P106" s="17">
        <f>'Grid_Stock'!H101</f>
        <v/>
      </c>
      <c r="Q106" s="17">
        <f>'Grid_Stock'!I101</f>
        <v/>
      </c>
      <c r="R106" s="17">
        <f>'Grid_Stock'!J101</f>
        <v/>
      </c>
      <c r="S106" s="17">
        <f>'Grid_Stock'!K101</f>
        <v/>
      </c>
      <c r="T106" s="17">
        <f>'Grid_Stock'!L101</f>
        <v/>
      </c>
      <c r="U106" s="17">
        <f>'Grid_Stock'!M101</f>
        <v/>
      </c>
      <c r="V106" s="17">
        <f>'Grid_Stock'!N101</f>
        <v/>
      </c>
      <c r="W106" s="17">
        <f>'Grid_Stock'!O101</f>
        <v/>
      </c>
      <c r="X106" s="17">
        <f>'Grid_Stock'!P101</f>
        <v/>
      </c>
      <c r="Y106" s="17">
        <f>'Grid_Stock'!Q101</f>
        <v/>
      </c>
      <c r="Z106" s="17">
        <f>'Grid_Stock'!R101</f>
        <v/>
      </c>
      <c r="AA106" s="17">
        <f>'Grid_Stock'!S101</f>
        <v/>
      </c>
      <c r="AB106" s="17">
        <f>'Grid_Stock'!T101</f>
        <v/>
      </c>
      <c r="AC106" s="17">
        <f>'Grid_Stock'!U101</f>
        <v/>
      </c>
      <c r="AD106" s="17">
        <f>'Grid_Stock'!V101</f>
        <v/>
      </c>
      <c r="AE106" s="17">
        <f>'Grid_Stock'!W101</f>
        <v/>
      </c>
      <c r="AF106" s="17">
        <f>'Grid_Stock'!X101</f>
        <v/>
      </c>
      <c r="AG106" s="17">
        <f>'Grid_Stock'!Y101</f>
        <v/>
      </c>
      <c r="AH106" s="17">
        <f>'Grid_Stock'!Z101</f>
        <v/>
      </c>
      <c r="AI106" s="17">
        <f>'Grid_Stock'!AA101</f>
        <v/>
      </c>
      <c r="AJ106" s="17">
        <f>'Grid_Stock'!AB101</f>
        <v/>
      </c>
      <c r="AK106" s="17">
        <f>'Grid_Stock'!AC101</f>
        <v/>
      </c>
      <c r="AL106" s="17">
        <f>'Grid_Stock'!AD101</f>
        <v/>
      </c>
      <c r="AM106" s="17">
        <f>'Grid_Stock'!AE101</f>
        <v/>
      </c>
      <c r="AN106" s="17">
        <f>'Grid_Stock'!AF101</f>
        <v/>
      </c>
      <c r="AO106" s="17">
        <f>'Grid_Stock'!AG101</f>
        <v/>
      </c>
      <c r="AP106" s="17">
        <f>'Grid_Stock'!AH101</f>
        <v/>
      </c>
      <c r="AQ106" s="17">
        <f>'Grid_Stock'!AI101</f>
        <v/>
      </c>
      <c r="AR106" s="17">
        <f>'Grid_Stock'!AJ101</f>
        <v/>
      </c>
      <c r="AS106" s="17">
        <f>'Grid_Stock'!AK101</f>
        <v/>
      </c>
      <c r="AT106" s="17">
        <f>'Grid_Stock'!AL101</f>
        <v/>
      </c>
      <c r="AU106" s="17">
        <f>'Grid_Stock'!AM101</f>
        <v/>
      </c>
      <c r="AV106" s="17">
        <f>'Grid_Stock'!AN101</f>
        <v/>
      </c>
      <c r="AW106" s="17">
        <f>'Grid_Stock'!AO101</f>
        <v/>
      </c>
      <c r="AX106" s="17">
        <f>'Grid_Stock'!AP101</f>
        <v/>
      </c>
      <c r="AY106" s="17">
        <f>'Grid_Stock'!AQ101</f>
        <v/>
      </c>
      <c r="AZ106" s="17">
        <f>'Grid_Stock'!AR101</f>
        <v/>
      </c>
      <c r="BA106" s="17">
        <f>'Grid_Stock'!AS101</f>
        <v/>
      </c>
      <c r="BB106" s="17">
        <f>'Grid_Stock'!AT101</f>
        <v/>
      </c>
      <c r="BC106" s="17">
        <f>'Grid_Stock'!AU101</f>
        <v/>
      </c>
      <c r="BD106" s="17">
        <f>'Grid_Stock'!AV101</f>
        <v/>
      </c>
      <c r="BE106" s="17">
        <f>'Grid_Stock'!AW101</f>
        <v/>
      </c>
      <c r="BF106" s="17">
        <f>'Grid_Stock'!AX101</f>
        <v/>
      </c>
      <c r="BG106" s="17">
        <f>'Grid_Stock'!AY101</f>
        <v/>
      </c>
      <c r="BH106" s="17">
        <f>'Grid_Stock'!AZ101</f>
        <v/>
      </c>
      <c r="BI106" s="17">
        <f>'Grid_Stock'!BA101</f>
        <v/>
      </c>
      <c r="BJ106" s="17">
        <f>'Grid_Stock'!BB101</f>
        <v/>
      </c>
      <c r="BK106" s="17">
        <f>'Grid_Stock'!BC101</f>
        <v/>
      </c>
      <c r="BL106" s="17">
        <f>'Grid_Stock'!BD101</f>
        <v/>
      </c>
      <c r="BM106" s="17">
        <f>'Grid_Stock'!BE101</f>
        <v/>
      </c>
      <c r="BN106" s="17">
        <f>'Grid_Stock'!BF101</f>
        <v/>
      </c>
      <c r="BO106" s="17">
        <f>'Grid_Stock'!BG101</f>
        <v/>
      </c>
      <c r="BP106" s="17">
        <f>'Grid_Stock'!BH101</f>
        <v/>
      </c>
      <c r="BQ106" s="17">
        <f>'Grid_Stock'!BI101</f>
        <v/>
      </c>
      <c r="BR106" s="17">
        <f>'Grid_Stock'!BJ101</f>
        <v/>
      </c>
      <c r="BS106" s="17">
        <f>'Grid_Stock'!BK101</f>
        <v/>
      </c>
      <c r="BT106" s="17">
        <f>'Grid_Stock'!BL101</f>
        <v/>
      </c>
      <c r="BU106" s="17">
        <f>'Grid_Stock'!BM101</f>
        <v/>
      </c>
      <c r="BV106" s="17">
        <f>'Grid_Stock'!BN101</f>
        <v/>
      </c>
      <c r="BW106" s="17">
        <f>'Grid_Stock'!BO101</f>
        <v/>
      </c>
      <c r="BX106" s="17">
        <f>'Grid_Stock'!BP101</f>
        <v/>
      </c>
      <c r="BY106" s="17">
        <f>'Grid_Stock'!BQ101</f>
        <v/>
      </c>
      <c r="BZ106" s="17">
        <f>'Grid_Stock'!BR101</f>
        <v/>
      </c>
      <c r="CA106" s="17">
        <f>'Grid_Stock'!BS101</f>
        <v/>
      </c>
      <c r="CB106" s="17">
        <f>'Grid_Stock'!BT101</f>
        <v/>
      </c>
      <c r="CC106" s="17">
        <f>'Grid_Stock'!BU101</f>
        <v/>
      </c>
      <c r="CD106" s="17">
        <f>'Grid_Stock'!BV101</f>
        <v/>
      </c>
      <c r="CE106" s="17">
        <f>'Grid_Stock'!BW101</f>
        <v/>
      </c>
      <c r="CF106" s="17">
        <f>'Grid_Stock'!BX101</f>
        <v/>
      </c>
      <c r="CG106" s="17">
        <f>'Grid_Stock'!BY101</f>
        <v/>
      </c>
      <c r="CH106" s="17">
        <f>'Grid_Stock'!BZ101</f>
        <v/>
      </c>
      <c r="CI106" s="17">
        <f>'Grid_Stock'!CA101</f>
        <v/>
      </c>
      <c r="CJ106" s="17">
        <f>'Grid_Stock'!CB101</f>
        <v/>
      </c>
      <c r="CK106" s="17">
        <f>'Grid_Stock'!CC101</f>
        <v/>
      </c>
      <c r="CL106" s="17">
        <f>'Grid_Stock'!CD101</f>
        <v/>
      </c>
      <c r="CM106" s="17">
        <f>'Grid_Stock'!CE101</f>
        <v/>
      </c>
      <c r="CN106" s="17">
        <f>'Grid_Stock'!CF101</f>
        <v/>
      </c>
      <c r="CO106" s="17">
        <f>'Grid_Stock'!CG101</f>
        <v/>
      </c>
      <c r="CP106" s="17">
        <f>'Grid_Stock'!CH101</f>
        <v/>
      </c>
      <c r="CQ106" s="17">
        <f>'Grid_Stock'!CI101</f>
        <v/>
      </c>
      <c r="CR106" s="17">
        <f>'Grid_Stock'!CJ101</f>
        <v/>
      </c>
      <c r="CS106" s="17">
        <f>'Grid_Stock'!CK101</f>
        <v/>
      </c>
      <c r="CT106" s="17">
        <f>'Grid_Stock'!CL101</f>
        <v/>
      </c>
      <c r="CU106" s="17">
        <f>'Grid_Stock'!CM101</f>
        <v/>
      </c>
      <c r="CV106" s="17">
        <f>'Grid_Stock'!CN101</f>
        <v/>
      </c>
      <c r="CW106" s="17">
        <f>'Grid_Stock'!CO101</f>
        <v/>
      </c>
      <c r="CX106" s="17">
        <f>'Grid_Stock'!CP101</f>
        <v/>
      </c>
      <c r="CY106" s="17">
        <f>'Grid_Stock'!CQ101</f>
        <v/>
      </c>
      <c r="CZ106" s="17">
        <f>'Grid_Stock'!CR101</f>
        <v/>
      </c>
      <c r="DA106" s="17">
        <f>'Grid_Stock'!CS101</f>
        <v/>
      </c>
      <c r="DB106" s="17">
        <f>'Grid_Stock'!CT101</f>
        <v/>
      </c>
      <c r="DC106" s="17">
        <f>'Grid_Stock'!CU101</f>
        <v/>
      </c>
      <c r="DD106" s="17">
        <f>'Grid_Stock'!CV101</f>
        <v/>
      </c>
      <c r="DE106" s="17">
        <f>'Grid_Stock'!CW101</f>
        <v/>
      </c>
      <c r="DF106" s="17">
        <f>'Grid_Stock'!CX101</f>
        <v/>
      </c>
      <c r="DG106" s="17">
        <f>'Grid_Stock'!CY101</f>
        <v/>
      </c>
      <c r="DH106" s="17">
        <f>'Grid_Stock'!CZ101</f>
        <v/>
      </c>
      <c r="DI106" s="17">
        <f>'Grid_Stock'!DA101</f>
        <v/>
      </c>
    </row>
    <row r="107">
      <c r="A107" s="15" t="inlineStr">
        <is>
          <t>CHEM-1310</t>
        </is>
      </c>
      <c r="B107" s="15">
        <f>IFERROR(INDEX(M_RawMaterials[Description],MATCH($A107,M_RawMaterials[RM_Code],0)),"")</f>
        <v/>
      </c>
      <c r="C107" s="15">
        <f>IFERROR(INDEX(M_RawMaterials[Category],MATCH($A107,M_RawMaterials[RM_Code],0)),"")</f>
        <v/>
      </c>
      <c r="D107" s="15">
        <f>IFERROR(INDEX(M_RawMaterials[基準在庫下限_要入力],MATCH($A107,M_RawMaterials[RM_Code],0)),0)</f>
        <v/>
      </c>
      <c r="E107" s="15">
        <f>IFERROR(INDEX(M_RawMaterials[基準在庫上限_要入力],MATCH($A107,M_RawMaterials[RM_Code],0)),0)</f>
        <v/>
      </c>
      <c r="F107" s="15">
        <f>IFERROR(LOOKUP(2,1/(T_SelfStock!$A$2:$A$12000=$A107),T_SelfStock!$D$2:$D$12000),"")</f>
        <v/>
      </c>
      <c r="G107" s="15">
        <f>IFERROR(LOOKUP(2,1/(T_TTAFStock!$A$2:$A$12000=$A107),T_TTAFStock!$D$2:$D$12000),"")</f>
        <v/>
      </c>
      <c r="H107" s="15">
        <f>IFERROR(INDEX(Cal_Weeks[Label],LOOKUP(2,1/(T_SelfStock!$A$2:$A$12000=$A107),T_SelfStock!$C$2:$C$12000)),"")</f>
        <v/>
      </c>
      <c r="I107" s="16">
        <f>IFERROR(INDEX(J107:DI107,$F$1),"")</f>
        <v/>
      </c>
      <c r="J107" s="15">
        <f>'Grid_Stock'!B102</f>
        <v/>
      </c>
      <c r="K107" s="15">
        <f>'Grid_Stock'!C102</f>
        <v/>
      </c>
      <c r="L107" s="15">
        <f>'Grid_Stock'!D102</f>
        <v/>
      </c>
      <c r="M107" s="15">
        <f>'Grid_Stock'!E102</f>
        <v/>
      </c>
      <c r="N107" s="15">
        <f>'Grid_Stock'!F102</f>
        <v/>
      </c>
      <c r="O107" s="15">
        <f>'Grid_Stock'!G102</f>
        <v/>
      </c>
      <c r="P107" s="15">
        <f>'Grid_Stock'!H102</f>
        <v/>
      </c>
      <c r="Q107" s="15">
        <f>'Grid_Stock'!I102</f>
        <v/>
      </c>
      <c r="R107" s="15">
        <f>'Grid_Stock'!J102</f>
        <v/>
      </c>
      <c r="S107" s="15">
        <f>'Grid_Stock'!K102</f>
        <v/>
      </c>
      <c r="T107" s="15">
        <f>'Grid_Stock'!L102</f>
        <v/>
      </c>
      <c r="U107" s="15">
        <f>'Grid_Stock'!M102</f>
        <v/>
      </c>
      <c r="V107" s="15">
        <f>'Grid_Stock'!N102</f>
        <v/>
      </c>
      <c r="W107" s="15">
        <f>'Grid_Stock'!O102</f>
        <v/>
      </c>
      <c r="X107" s="15">
        <f>'Grid_Stock'!P102</f>
        <v/>
      </c>
      <c r="Y107" s="15">
        <f>'Grid_Stock'!Q102</f>
        <v/>
      </c>
      <c r="Z107" s="15">
        <f>'Grid_Stock'!R102</f>
        <v/>
      </c>
      <c r="AA107" s="15">
        <f>'Grid_Stock'!S102</f>
        <v/>
      </c>
      <c r="AB107" s="15">
        <f>'Grid_Stock'!T102</f>
        <v/>
      </c>
      <c r="AC107" s="15">
        <f>'Grid_Stock'!U102</f>
        <v/>
      </c>
      <c r="AD107" s="15">
        <f>'Grid_Stock'!V102</f>
        <v/>
      </c>
      <c r="AE107" s="15">
        <f>'Grid_Stock'!W102</f>
        <v/>
      </c>
      <c r="AF107" s="15">
        <f>'Grid_Stock'!X102</f>
        <v/>
      </c>
      <c r="AG107" s="15">
        <f>'Grid_Stock'!Y102</f>
        <v/>
      </c>
      <c r="AH107" s="15">
        <f>'Grid_Stock'!Z102</f>
        <v/>
      </c>
      <c r="AI107" s="15">
        <f>'Grid_Stock'!AA102</f>
        <v/>
      </c>
      <c r="AJ107" s="15">
        <f>'Grid_Stock'!AB102</f>
        <v/>
      </c>
      <c r="AK107" s="15">
        <f>'Grid_Stock'!AC102</f>
        <v/>
      </c>
      <c r="AL107" s="15">
        <f>'Grid_Stock'!AD102</f>
        <v/>
      </c>
      <c r="AM107" s="15">
        <f>'Grid_Stock'!AE102</f>
        <v/>
      </c>
      <c r="AN107" s="15">
        <f>'Grid_Stock'!AF102</f>
        <v/>
      </c>
      <c r="AO107" s="15">
        <f>'Grid_Stock'!AG102</f>
        <v/>
      </c>
      <c r="AP107" s="15">
        <f>'Grid_Stock'!AH102</f>
        <v/>
      </c>
      <c r="AQ107" s="15">
        <f>'Grid_Stock'!AI102</f>
        <v/>
      </c>
      <c r="AR107" s="15">
        <f>'Grid_Stock'!AJ102</f>
        <v/>
      </c>
      <c r="AS107" s="15">
        <f>'Grid_Stock'!AK102</f>
        <v/>
      </c>
      <c r="AT107" s="15">
        <f>'Grid_Stock'!AL102</f>
        <v/>
      </c>
      <c r="AU107" s="15">
        <f>'Grid_Stock'!AM102</f>
        <v/>
      </c>
      <c r="AV107" s="15">
        <f>'Grid_Stock'!AN102</f>
        <v/>
      </c>
      <c r="AW107" s="15">
        <f>'Grid_Stock'!AO102</f>
        <v/>
      </c>
      <c r="AX107" s="15">
        <f>'Grid_Stock'!AP102</f>
        <v/>
      </c>
      <c r="AY107" s="15">
        <f>'Grid_Stock'!AQ102</f>
        <v/>
      </c>
      <c r="AZ107" s="15">
        <f>'Grid_Stock'!AR102</f>
        <v/>
      </c>
      <c r="BA107" s="15">
        <f>'Grid_Stock'!AS102</f>
        <v/>
      </c>
      <c r="BB107" s="15">
        <f>'Grid_Stock'!AT102</f>
        <v/>
      </c>
      <c r="BC107" s="15">
        <f>'Grid_Stock'!AU102</f>
        <v/>
      </c>
      <c r="BD107" s="15">
        <f>'Grid_Stock'!AV102</f>
        <v/>
      </c>
      <c r="BE107" s="15">
        <f>'Grid_Stock'!AW102</f>
        <v/>
      </c>
      <c r="BF107" s="15">
        <f>'Grid_Stock'!AX102</f>
        <v/>
      </c>
      <c r="BG107" s="15">
        <f>'Grid_Stock'!AY102</f>
        <v/>
      </c>
      <c r="BH107" s="15">
        <f>'Grid_Stock'!AZ102</f>
        <v/>
      </c>
      <c r="BI107" s="15">
        <f>'Grid_Stock'!BA102</f>
        <v/>
      </c>
      <c r="BJ107" s="15">
        <f>'Grid_Stock'!BB102</f>
        <v/>
      </c>
      <c r="BK107" s="15">
        <f>'Grid_Stock'!BC102</f>
        <v/>
      </c>
      <c r="BL107" s="15">
        <f>'Grid_Stock'!BD102</f>
        <v/>
      </c>
      <c r="BM107" s="15">
        <f>'Grid_Stock'!BE102</f>
        <v/>
      </c>
      <c r="BN107" s="15">
        <f>'Grid_Stock'!BF102</f>
        <v/>
      </c>
      <c r="BO107" s="15">
        <f>'Grid_Stock'!BG102</f>
        <v/>
      </c>
      <c r="BP107" s="15">
        <f>'Grid_Stock'!BH102</f>
        <v/>
      </c>
      <c r="BQ107" s="15">
        <f>'Grid_Stock'!BI102</f>
        <v/>
      </c>
      <c r="BR107" s="15">
        <f>'Grid_Stock'!BJ102</f>
        <v/>
      </c>
      <c r="BS107" s="15">
        <f>'Grid_Stock'!BK102</f>
        <v/>
      </c>
      <c r="BT107" s="15">
        <f>'Grid_Stock'!BL102</f>
        <v/>
      </c>
      <c r="BU107" s="15">
        <f>'Grid_Stock'!BM102</f>
        <v/>
      </c>
      <c r="BV107" s="15">
        <f>'Grid_Stock'!BN102</f>
        <v/>
      </c>
      <c r="BW107" s="15">
        <f>'Grid_Stock'!BO102</f>
        <v/>
      </c>
      <c r="BX107" s="15">
        <f>'Grid_Stock'!BP102</f>
        <v/>
      </c>
      <c r="BY107" s="15">
        <f>'Grid_Stock'!BQ102</f>
        <v/>
      </c>
      <c r="BZ107" s="15">
        <f>'Grid_Stock'!BR102</f>
        <v/>
      </c>
      <c r="CA107" s="15">
        <f>'Grid_Stock'!BS102</f>
        <v/>
      </c>
      <c r="CB107" s="15">
        <f>'Grid_Stock'!BT102</f>
        <v/>
      </c>
      <c r="CC107" s="15">
        <f>'Grid_Stock'!BU102</f>
        <v/>
      </c>
      <c r="CD107" s="15">
        <f>'Grid_Stock'!BV102</f>
        <v/>
      </c>
      <c r="CE107" s="15">
        <f>'Grid_Stock'!BW102</f>
        <v/>
      </c>
      <c r="CF107" s="15">
        <f>'Grid_Stock'!BX102</f>
        <v/>
      </c>
      <c r="CG107" s="15">
        <f>'Grid_Stock'!BY102</f>
        <v/>
      </c>
      <c r="CH107" s="15">
        <f>'Grid_Stock'!BZ102</f>
        <v/>
      </c>
      <c r="CI107" s="15">
        <f>'Grid_Stock'!CA102</f>
        <v/>
      </c>
      <c r="CJ107" s="15">
        <f>'Grid_Stock'!CB102</f>
        <v/>
      </c>
      <c r="CK107" s="15">
        <f>'Grid_Stock'!CC102</f>
        <v/>
      </c>
      <c r="CL107" s="15">
        <f>'Grid_Stock'!CD102</f>
        <v/>
      </c>
      <c r="CM107" s="15">
        <f>'Grid_Stock'!CE102</f>
        <v/>
      </c>
      <c r="CN107" s="15">
        <f>'Grid_Stock'!CF102</f>
        <v/>
      </c>
      <c r="CO107" s="15">
        <f>'Grid_Stock'!CG102</f>
        <v/>
      </c>
      <c r="CP107" s="15">
        <f>'Grid_Stock'!CH102</f>
        <v/>
      </c>
      <c r="CQ107" s="15">
        <f>'Grid_Stock'!CI102</f>
        <v/>
      </c>
      <c r="CR107" s="15">
        <f>'Grid_Stock'!CJ102</f>
        <v/>
      </c>
      <c r="CS107" s="15">
        <f>'Grid_Stock'!CK102</f>
        <v/>
      </c>
      <c r="CT107" s="15">
        <f>'Grid_Stock'!CL102</f>
        <v/>
      </c>
      <c r="CU107" s="15">
        <f>'Grid_Stock'!CM102</f>
        <v/>
      </c>
      <c r="CV107" s="15">
        <f>'Grid_Stock'!CN102</f>
        <v/>
      </c>
      <c r="CW107" s="15">
        <f>'Grid_Stock'!CO102</f>
        <v/>
      </c>
      <c r="CX107" s="15">
        <f>'Grid_Stock'!CP102</f>
        <v/>
      </c>
      <c r="CY107" s="15">
        <f>'Grid_Stock'!CQ102</f>
        <v/>
      </c>
      <c r="CZ107" s="15">
        <f>'Grid_Stock'!CR102</f>
        <v/>
      </c>
      <c r="DA107" s="15">
        <f>'Grid_Stock'!CS102</f>
        <v/>
      </c>
      <c r="DB107" s="15">
        <f>'Grid_Stock'!CT102</f>
        <v/>
      </c>
      <c r="DC107" s="15">
        <f>'Grid_Stock'!CU102</f>
        <v/>
      </c>
      <c r="DD107" s="15">
        <f>'Grid_Stock'!CV102</f>
        <v/>
      </c>
      <c r="DE107" s="15">
        <f>'Grid_Stock'!CW102</f>
        <v/>
      </c>
      <c r="DF107" s="15">
        <f>'Grid_Stock'!CX102</f>
        <v/>
      </c>
      <c r="DG107" s="15">
        <f>'Grid_Stock'!CY102</f>
        <v/>
      </c>
      <c r="DH107" s="15">
        <f>'Grid_Stock'!CZ102</f>
        <v/>
      </c>
      <c r="DI107" s="15">
        <f>'Grid_Stock'!DA102</f>
        <v/>
      </c>
    </row>
  </sheetData>
  <conditionalFormatting sqref="I7:DI107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J6:DI107">
    <cfRule type="expression" priority="4" dxfId="3">
      <formula>(COLUMN()-COLUMN($J$1)+1)=$F$1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1840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2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10" customWidth="1" min="109" max="109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をD列に表示中"))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18">
        <f>IFERROR(INDEX(Cal_Weeks!$G$4:$G$107,$F$1),"")</f>
        <v/>
      </c>
      <c r="E3" s="8">
        <f>'Cal_Weeks'!G4</f>
        <v/>
      </c>
      <c r="F3" s="8">
        <f>IF(TEXT('Cal_Weeks'!B5,"mmm-yy")&lt;&gt;TEXT('Cal_Weeks'!B4,"mmm-yy"),'Cal_Weeks'!G5,"")</f>
        <v/>
      </c>
      <c r="G3" s="8">
        <f>IF(TEXT('Cal_Weeks'!B6,"mmm-yy")&lt;&gt;TEXT('Cal_Weeks'!B5,"mmm-yy"),'Cal_Weeks'!G6,"")</f>
        <v/>
      </c>
      <c r="H3" s="8">
        <f>IF(TEXT('Cal_Weeks'!B7,"mmm-yy")&lt;&gt;TEXT('Cal_Weeks'!B6,"mmm-yy"),'Cal_Weeks'!G7,"")</f>
        <v/>
      </c>
      <c r="I3" s="8">
        <f>IF(TEXT('Cal_Weeks'!B8,"mmm-yy")&lt;&gt;TEXT('Cal_Weeks'!B7,"mmm-yy"),'Cal_Weeks'!G8,"")</f>
        <v/>
      </c>
      <c r="J3" s="8">
        <f>IF(TEXT('Cal_Weeks'!B9,"mmm-yy")&lt;&gt;TEXT('Cal_Weeks'!B8,"mmm-yy"),'Cal_Weeks'!G9,"")</f>
        <v/>
      </c>
      <c r="K3" s="8">
        <f>IF(TEXT('Cal_Weeks'!B10,"mmm-yy")&lt;&gt;TEXT('Cal_Weeks'!B9,"mmm-yy"),'Cal_Weeks'!G10,"")</f>
        <v/>
      </c>
      <c r="L3" s="8">
        <f>IF(TEXT('Cal_Weeks'!B11,"mmm-yy")&lt;&gt;TEXT('Cal_Weeks'!B10,"mmm-yy"),'Cal_Weeks'!G11,"")</f>
        <v/>
      </c>
      <c r="M3" s="8">
        <f>IF(TEXT('Cal_Weeks'!B12,"mmm-yy")&lt;&gt;TEXT('Cal_Weeks'!B11,"mmm-yy"),'Cal_Weeks'!G12,"")</f>
        <v/>
      </c>
      <c r="N3" s="8">
        <f>IF(TEXT('Cal_Weeks'!B13,"mmm-yy")&lt;&gt;TEXT('Cal_Weeks'!B12,"mmm-yy"),'Cal_Weeks'!G13,"")</f>
        <v/>
      </c>
      <c r="O3" s="8">
        <f>IF(TEXT('Cal_Weeks'!B14,"mmm-yy")&lt;&gt;TEXT('Cal_Weeks'!B13,"mmm-yy"),'Cal_Weeks'!G14,"")</f>
        <v/>
      </c>
      <c r="P3" s="8">
        <f>IF(TEXT('Cal_Weeks'!B15,"mmm-yy")&lt;&gt;TEXT('Cal_Weeks'!B14,"mmm-yy"),'Cal_Weeks'!G15,"")</f>
        <v/>
      </c>
      <c r="Q3" s="8">
        <f>IF(TEXT('Cal_Weeks'!B16,"mmm-yy")&lt;&gt;TEXT('Cal_Weeks'!B15,"mmm-yy"),'Cal_Weeks'!G16,"")</f>
        <v/>
      </c>
      <c r="R3" s="8">
        <f>IF(TEXT('Cal_Weeks'!B17,"mmm-yy")&lt;&gt;TEXT('Cal_Weeks'!B16,"mmm-yy"),'Cal_Weeks'!G17,"")</f>
        <v/>
      </c>
      <c r="S3" s="8">
        <f>IF(TEXT('Cal_Weeks'!B18,"mmm-yy")&lt;&gt;TEXT('Cal_Weeks'!B17,"mmm-yy"),'Cal_Weeks'!G18,"")</f>
        <v/>
      </c>
      <c r="T3" s="8">
        <f>IF(TEXT('Cal_Weeks'!B19,"mmm-yy")&lt;&gt;TEXT('Cal_Weeks'!B18,"mmm-yy"),'Cal_Weeks'!G19,"")</f>
        <v/>
      </c>
      <c r="U3" s="8">
        <f>IF(TEXT('Cal_Weeks'!B20,"mmm-yy")&lt;&gt;TEXT('Cal_Weeks'!B19,"mmm-yy"),'Cal_Weeks'!G20,"")</f>
        <v/>
      </c>
      <c r="V3" s="8">
        <f>IF(TEXT('Cal_Weeks'!B21,"mmm-yy")&lt;&gt;TEXT('Cal_Weeks'!B20,"mmm-yy"),'Cal_Weeks'!G21,"")</f>
        <v/>
      </c>
      <c r="W3" s="8">
        <f>IF(TEXT('Cal_Weeks'!B22,"mmm-yy")&lt;&gt;TEXT('Cal_Weeks'!B21,"mmm-yy"),'Cal_Weeks'!G22,"")</f>
        <v/>
      </c>
      <c r="X3" s="8">
        <f>IF(TEXT('Cal_Weeks'!B23,"mmm-yy")&lt;&gt;TEXT('Cal_Weeks'!B22,"mmm-yy"),'Cal_Weeks'!G23,"")</f>
        <v/>
      </c>
      <c r="Y3" s="8">
        <f>IF(TEXT('Cal_Weeks'!B24,"mmm-yy")&lt;&gt;TEXT('Cal_Weeks'!B23,"mmm-yy"),'Cal_Weeks'!G24,"")</f>
        <v/>
      </c>
      <c r="Z3" s="8">
        <f>IF(TEXT('Cal_Weeks'!B25,"mmm-yy")&lt;&gt;TEXT('Cal_Weeks'!B24,"mmm-yy"),'Cal_Weeks'!G25,"")</f>
        <v/>
      </c>
      <c r="AA3" s="8">
        <f>IF(TEXT('Cal_Weeks'!B26,"mmm-yy")&lt;&gt;TEXT('Cal_Weeks'!B25,"mmm-yy"),'Cal_Weeks'!G26,"")</f>
        <v/>
      </c>
      <c r="AB3" s="8">
        <f>IF(TEXT('Cal_Weeks'!B27,"mmm-yy")&lt;&gt;TEXT('Cal_Weeks'!B26,"mmm-yy"),'Cal_Weeks'!G27,"")</f>
        <v/>
      </c>
      <c r="AC3" s="8">
        <f>IF(TEXT('Cal_Weeks'!B28,"mmm-yy")&lt;&gt;TEXT('Cal_Weeks'!B27,"mmm-yy"),'Cal_Weeks'!G28,"")</f>
        <v/>
      </c>
      <c r="AD3" s="8">
        <f>IF(TEXT('Cal_Weeks'!B29,"mmm-yy")&lt;&gt;TEXT('Cal_Weeks'!B28,"mmm-yy"),'Cal_Weeks'!G29,"")</f>
        <v/>
      </c>
      <c r="AE3" s="8">
        <f>IF(TEXT('Cal_Weeks'!B30,"mmm-yy")&lt;&gt;TEXT('Cal_Weeks'!B29,"mmm-yy"),'Cal_Weeks'!G30,"")</f>
        <v/>
      </c>
      <c r="AF3" s="8">
        <f>IF(TEXT('Cal_Weeks'!B31,"mmm-yy")&lt;&gt;TEXT('Cal_Weeks'!B30,"mmm-yy"),'Cal_Weeks'!G31,"")</f>
        <v/>
      </c>
      <c r="AG3" s="8">
        <f>IF(TEXT('Cal_Weeks'!B32,"mmm-yy")&lt;&gt;TEXT('Cal_Weeks'!B31,"mmm-yy"),'Cal_Weeks'!G32,"")</f>
        <v/>
      </c>
      <c r="AH3" s="8">
        <f>IF(TEXT('Cal_Weeks'!B33,"mmm-yy")&lt;&gt;TEXT('Cal_Weeks'!B32,"mmm-yy"),'Cal_Weeks'!G33,"")</f>
        <v/>
      </c>
      <c r="AI3" s="8">
        <f>IF(TEXT('Cal_Weeks'!B34,"mmm-yy")&lt;&gt;TEXT('Cal_Weeks'!B33,"mmm-yy"),'Cal_Weeks'!G34,"")</f>
        <v/>
      </c>
      <c r="AJ3" s="8">
        <f>IF(TEXT('Cal_Weeks'!B35,"mmm-yy")&lt;&gt;TEXT('Cal_Weeks'!B34,"mmm-yy"),'Cal_Weeks'!G35,"")</f>
        <v/>
      </c>
      <c r="AK3" s="8">
        <f>IF(TEXT('Cal_Weeks'!B36,"mmm-yy")&lt;&gt;TEXT('Cal_Weeks'!B35,"mmm-yy"),'Cal_Weeks'!G36,"")</f>
        <v/>
      </c>
      <c r="AL3" s="8">
        <f>IF(TEXT('Cal_Weeks'!B37,"mmm-yy")&lt;&gt;TEXT('Cal_Weeks'!B36,"mmm-yy"),'Cal_Weeks'!G37,"")</f>
        <v/>
      </c>
      <c r="AM3" s="8">
        <f>IF(TEXT('Cal_Weeks'!B38,"mmm-yy")&lt;&gt;TEXT('Cal_Weeks'!B37,"mmm-yy"),'Cal_Weeks'!G38,"")</f>
        <v/>
      </c>
      <c r="AN3" s="8">
        <f>IF(TEXT('Cal_Weeks'!B39,"mmm-yy")&lt;&gt;TEXT('Cal_Weeks'!B38,"mmm-yy"),'Cal_Weeks'!G39,"")</f>
        <v/>
      </c>
      <c r="AO3" s="8">
        <f>IF(TEXT('Cal_Weeks'!B40,"mmm-yy")&lt;&gt;TEXT('Cal_Weeks'!B39,"mmm-yy"),'Cal_Weeks'!G40,"")</f>
        <v/>
      </c>
      <c r="AP3" s="8">
        <f>IF(TEXT('Cal_Weeks'!B41,"mmm-yy")&lt;&gt;TEXT('Cal_Weeks'!B40,"mmm-yy"),'Cal_Weeks'!G41,"")</f>
        <v/>
      </c>
      <c r="AQ3" s="8">
        <f>IF(TEXT('Cal_Weeks'!B42,"mmm-yy")&lt;&gt;TEXT('Cal_Weeks'!B41,"mmm-yy"),'Cal_Weeks'!G42,"")</f>
        <v/>
      </c>
      <c r="AR3" s="8">
        <f>IF(TEXT('Cal_Weeks'!B43,"mmm-yy")&lt;&gt;TEXT('Cal_Weeks'!B42,"mmm-yy"),'Cal_Weeks'!G43,"")</f>
        <v/>
      </c>
      <c r="AS3" s="8">
        <f>IF(TEXT('Cal_Weeks'!B44,"mmm-yy")&lt;&gt;TEXT('Cal_Weeks'!B43,"mmm-yy"),'Cal_Weeks'!G44,"")</f>
        <v/>
      </c>
      <c r="AT3" s="8">
        <f>IF(TEXT('Cal_Weeks'!B45,"mmm-yy")&lt;&gt;TEXT('Cal_Weeks'!B44,"mmm-yy"),'Cal_Weeks'!G45,"")</f>
        <v/>
      </c>
      <c r="AU3" s="8">
        <f>IF(TEXT('Cal_Weeks'!B46,"mmm-yy")&lt;&gt;TEXT('Cal_Weeks'!B45,"mmm-yy"),'Cal_Weeks'!G46,"")</f>
        <v/>
      </c>
      <c r="AV3" s="8">
        <f>IF(TEXT('Cal_Weeks'!B47,"mmm-yy")&lt;&gt;TEXT('Cal_Weeks'!B46,"mmm-yy"),'Cal_Weeks'!G47,"")</f>
        <v/>
      </c>
      <c r="AW3" s="8">
        <f>IF(TEXT('Cal_Weeks'!B48,"mmm-yy")&lt;&gt;TEXT('Cal_Weeks'!B47,"mmm-yy"),'Cal_Weeks'!G48,"")</f>
        <v/>
      </c>
      <c r="AX3" s="8">
        <f>IF(TEXT('Cal_Weeks'!B49,"mmm-yy")&lt;&gt;TEXT('Cal_Weeks'!B48,"mmm-yy"),'Cal_Weeks'!G49,"")</f>
        <v/>
      </c>
      <c r="AY3" s="8">
        <f>IF(TEXT('Cal_Weeks'!B50,"mmm-yy")&lt;&gt;TEXT('Cal_Weeks'!B49,"mmm-yy"),'Cal_Weeks'!G50,"")</f>
        <v/>
      </c>
      <c r="AZ3" s="8">
        <f>IF(TEXT('Cal_Weeks'!B51,"mmm-yy")&lt;&gt;TEXT('Cal_Weeks'!B50,"mmm-yy"),'Cal_Weeks'!G51,"")</f>
        <v/>
      </c>
      <c r="BA3" s="8">
        <f>IF(TEXT('Cal_Weeks'!B52,"mmm-yy")&lt;&gt;TEXT('Cal_Weeks'!B51,"mmm-yy"),'Cal_Weeks'!G52,"")</f>
        <v/>
      </c>
      <c r="BB3" s="8">
        <f>IF(TEXT('Cal_Weeks'!B53,"mmm-yy")&lt;&gt;TEXT('Cal_Weeks'!B52,"mmm-yy"),'Cal_Weeks'!G53,"")</f>
        <v/>
      </c>
      <c r="BC3" s="8">
        <f>IF(TEXT('Cal_Weeks'!B54,"mmm-yy")&lt;&gt;TEXT('Cal_Weeks'!B53,"mmm-yy"),'Cal_Weeks'!G54,"")</f>
        <v/>
      </c>
      <c r="BD3" s="8">
        <f>IF(TEXT('Cal_Weeks'!B55,"mmm-yy")&lt;&gt;TEXT('Cal_Weeks'!B54,"mmm-yy"),'Cal_Weeks'!G55,"")</f>
        <v/>
      </c>
      <c r="BE3" s="8">
        <f>IF(TEXT('Cal_Weeks'!B56,"mmm-yy")&lt;&gt;TEXT('Cal_Weeks'!B55,"mmm-yy"),'Cal_Weeks'!G56,"")</f>
        <v/>
      </c>
      <c r="BF3" s="8">
        <f>IF(TEXT('Cal_Weeks'!B57,"mmm-yy")&lt;&gt;TEXT('Cal_Weeks'!B56,"mmm-yy"),'Cal_Weeks'!G57,"")</f>
        <v/>
      </c>
      <c r="BG3" s="8">
        <f>IF(TEXT('Cal_Weeks'!B58,"mmm-yy")&lt;&gt;TEXT('Cal_Weeks'!B57,"mmm-yy"),'Cal_Weeks'!G58,"")</f>
        <v/>
      </c>
      <c r="BH3" s="8">
        <f>IF(TEXT('Cal_Weeks'!B59,"mmm-yy")&lt;&gt;TEXT('Cal_Weeks'!B58,"mmm-yy"),'Cal_Weeks'!G59,"")</f>
        <v/>
      </c>
      <c r="BI3" s="8">
        <f>IF(TEXT('Cal_Weeks'!B60,"mmm-yy")&lt;&gt;TEXT('Cal_Weeks'!B59,"mmm-yy"),'Cal_Weeks'!G60,"")</f>
        <v/>
      </c>
      <c r="BJ3" s="8">
        <f>IF(TEXT('Cal_Weeks'!B61,"mmm-yy")&lt;&gt;TEXT('Cal_Weeks'!B60,"mmm-yy"),'Cal_Weeks'!G61,"")</f>
        <v/>
      </c>
      <c r="BK3" s="8">
        <f>IF(TEXT('Cal_Weeks'!B62,"mmm-yy")&lt;&gt;TEXT('Cal_Weeks'!B61,"mmm-yy"),'Cal_Weeks'!G62,"")</f>
        <v/>
      </c>
      <c r="BL3" s="8">
        <f>IF(TEXT('Cal_Weeks'!B63,"mmm-yy")&lt;&gt;TEXT('Cal_Weeks'!B62,"mmm-yy"),'Cal_Weeks'!G63,"")</f>
        <v/>
      </c>
      <c r="BM3" s="8">
        <f>IF(TEXT('Cal_Weeks'!B64,"mmm-yy")&lt;&gt;TEXT('Cal_Weeks'!B63,"mmm-yy"),'Cal_Weeks'!G64,"")</f>
        <v/>
      </c>
      <c r="BN3" s="8">
        <f>IF(TEXT('Cal_Weeks'!B65,"mmm-yy")&lt;&gt;TEXT('Cal_Weeks'!B64,"mmm-yy"),'Cal_Weeks'!G65,"")</f>
        <v/>
      </c>
      <c r="BO3" s="8">
        <f>IF(TEXT('Cal_Weeks'!B66,"mmm-yy")&lt;&gt;TEXT('Cal_Weeks'!B65,"mmm-yy"),'Cal_Weeks'!G66,"")</f>
        <v/>
      </c>
      <c r="BP3" s="8">
        <f>IF(TEXT('Cal_Weeks'!B67,"mmm-yy")&lt;&gt;TEXT('Cal_Weeks'!B66,"mmm-yy"),'Cal_Weeks'!G67,"")</f>
        <v/>
      </c>
      <c r="BQ3" s="8">
        <f>IF(TEXT('Cal_Weeks'!B68,"mmm-yy")&lt;&gt;TEXT('Cal_Weeks'!B67,"mmm-yy"),'Cal_Weeks'!G68,"")</f>
        <v/>
      </c>
      <c r="BR3" s="8">
        <f>IF(TEXT('Cal_Weeks'!B69,"mmm-yy")&lt;&gt;TEXT('Cal_Weeks'!B68,"mmm-yy"),'Cal_Weeks'!G69,"")</f>
        <v/>
      </c>
      <c r="BS3" s="8">
        <f>IF(TEXT('Cal_Weeks'!B70,"mmm-yy")&lt;&gt;TEXT('Cal_Weeks'!B69,"mmm-yy"),'Cal_Weeks'!G70,"")</f>
        <v/>
      </c>
      <c r="BT3" s="8">
        <f>IF(TEXT('Cal_Weeks'!B71,"mmm-yy")&lt;&gt;TEXT('Cal_Weeks'!B70,"mmm-yy"),'Cal_Weeks'!G71,"")</f>
        <v/>
      </c>
      <c r="BU3" s="8">
        <f>IF(TEXT('Cal_Weeks'!B72,"mmm-yy")&lt;&gt;TEXT('Cal_Weeks'!B71,"mmm-yy"),'Cal_Weeks'!G72,"")</f>
        <v/>
      </c>
      <c r="BV3" s="8">
        <f>IF(TEXT('Cal_Weeks'!B73,"mmm-yy")&lt;&gt;TEXT('Cal_Weeks'!B72,"mmm-yy"),'Cal_Weeks'!G73,"")</f>
        <v/>
      </c>
      <c r="BW3" s="8">
        <f>IF(TEXT('Cal_Weeks'!B74,"mmm-yy")&lt;&gt;TEXT('Cal_Weeks'!B73,"mmm-yy"),'Cal_Weeks'!G74,"")</f>
        <v/>
      </c>
      <c r="BX3" s="8">
        <f>IF(TEXT('Cal_Weeks'!B75,"mmm-yy")&lt;&gt;TEXT('Cal_Weeks'!B74,"mmm-yy"),'Cal_Weeks'!G75,"")</f>
        <v/>
      </c>
      <c r="BY3" s="8">
        <f>IF(TEXT('Cal_Weeks'!B76,"mmm-yy")&lt;&gt;TEXT('Cal_Weeks'!B75,"mmm-yy"),'Cal_Weeks'!G76,"")</f>
        <v/>
      </c>
      <c r="BZ3" s="8">
        <f>IF(TEXT('Cal_Weeks'!B77,"mmm-yy")&lt;&gt;TEXT('Cal_Weeks'!B76,"mmm-yy"),'Cal_Weeks'!G77,"")</f>
        <v/>
      </c>
      <c r="CA3" s="8">
        <f>IF(TEXT('Cal_Weeks'!B78,"mmm-yy")&lt;&gt;TEXT('Cal_Weeks'!B77,"mmm-yy"),'Cal_Weeks'!G78,"")</f>
        <v/>
      </c>
      <c r="CB3" s="8">
        <f>IF(TEXT('Cal_Weeks'!B79,"mmm-yy")&lt;&gt;TEXT('Cal_Weeks'!B78,"mmm-yy"),'Cal_Weeks'!G79,"")</f>
        <v/>
      </c>
      <c r="CC3" s="8">
        <f>IF(TEXT('Cal_Weeks'!B80,"mmm-yy")&lt;&gt;TEXT('Cal_Weeks'!B79,"mmm-yy"),'Cal_Weeks'!G80,"")</f>
        <v/>
      </c>
      <c r="CD3" s="8">
        <f>IF(TEXT('Cal_Weeks'!B81,"mmm-yy")&lt;&gt;TEXT('Cal_Weeks'!B80,"mmm-yy"),'Cal_Weeks'!G81,"")</f>
        <v/>
      </c>
      <c r="CE3" s="8">
        <f>IF(TEXT('Cal_Weeks'!B82,"mmm-yy")&lt;&gt;TEXT('Cal_Weeks'!B81,"mmm-yy"),'Cal_Weeks'!G82,"")</f>
        <v/>
      </c>
      <c r="CF3" s="8">
        <f>IF(TEXT('Cal_Weeks'!B83,"mmm-yy")&lt;&gt;TEXT('Cal_Weeks'!B82,"mmm-yy"),'Cal_Weeks'!G83,"")</f>
        <v/>
      </c>
      <c r="CG3" s="8">
        <f>IF(TEXT('Cal_Weeks'!B84,"mmm-yy")&lt;&gt;TEXT('Cal_Weeks'!B83,"mmm-yy"),'Cal_Weeks'!G84,"")</f>
        <v/>
      </c>
      <c r="CH3" s="8">
        <f>IF(TEXT('Cal_Weeks'!B85,"mmm-yy")&lt;&gt;TEXT('Cal_Weeks'!B84,"mmm-yy"),'Cal_Weeks'!G85,"")</f>
        <v/>
      </c>
      <c r="CI3" s="8">
        <f>IF(TEXT('Cal_Weeks'!B86,"mmm-yy")&lt;&gt;TEXT('Cal_Weeks'!B85,"mmm-yy"),'Cal_Weeks'!G86,"")</f>
        <v/>
      </c>
      <c r="CJ3" s="8">
        <f>IF(TEXT('Cal_Weeks'!B87,"mmm-yy")&lt;&gt;TEXT('Cal_Weeks'!B86,"mmm-yy"),'Cal_Weeks'!G87,"")</f>
        <v/>
      </c>
      <c r="CK3" s="8">
        <f>IF(TEXT('Cal_Weeks'!B88,"mmm-yy")&lt;&gt;TEXT('Cal_Weeks'!B87,"mmm-yy"),'Cal_Weeks'!G88,"")</f>
        <v/>
      </c>
      <c r="CL3" s="8">
        <f>IF(TEXT('Cal_Weeks'!B89,"mmm-yy")&lt;&gt;TEXT('Cal_Weeks'!B88,"mmm-yy"),'Cal_Weeks'!G89,"")</f>
        <v/>
      </c>
      <c r="CM3" s="8">
        <f>IF(TEXT('Cal_Weeks'!B90,"mmm-yy")&lt;&gt;TEXT('Cal_Weeks'!B89,"mmm-yy"),'Cal_Weeks'!G90,"")</f>
        <v/>
      </c>
      <c r="CN3" s="8">
        <f>IF(TEXT('Cal_Weeks'!B91,"mmm-yy")&lt;&gt;TEXT('Cal_Weeks'!B90,"mmm-yy"),'Cal_Weeks'!G91,"")</f>
        <v/>
      </c>
      <c r="CO3" s="8">
        <f>IF(TEXT('Cal_Weeks'!B92,"mmm-yy")&lt;&gt;TEXT('Cal_Weeks'!B91,"mmm-yy"),'Cal_Weeks'!G92,"")</f>
        <v/>
      </c>
      <c r="CP3" s="8">
        <f>IF(TEXT('Cal_Weeks'!B93,"mmm-yy")&lt;&gt;TEXT('Cal_Weeks'!B92,"mmm-yy"),'Cal_Weeks'!G93,"")</f>
        <v/>
      </c>
      <c r="CQ3" s="8">
        <f>IF(TEXT('Cal_Weeks'!B94,"mmm-yy")&lt;&gt;TEXT('Cal_Weeks'!B93,"mmm-yy"),'Cal_Weeks'!G94,"")</f>
        <v/>
      </c>
      <c r="CR3" s="8">
        <f>IF(TEXT('Cal_Weeks'!B95,"mmm-yy")&lt;&gt;TEXT('Cal_Weeks'!B94,"mmm-yy"),'Cal_Weeks'!G95,"")</f>
        <v/>
      </c>
      <c r="CS3" s="8">
        <f>IF(TEXT('Cal_Weeks'!B96,"mmm-yy")&lt;&gt;TEXT('Cal_Weeks'!B95,"mmm-yy"),'Cal_Weeks'!G96,"")</f>
        <v/>
      </c>
      <c r="CT3" s="8">
        <f>IF(TEXT('Cal_Weeks'!B97,"mmm-yy")&lt;&gt;TEXT('Cal_Weeks'!B96,"mmm-yy"),'Cal_Weeks'!G97,"")</f>
        <v/>
      </c>
      <c r="CU3" s="8">
        <f>IF(TEXT('Cal_Weeks'!B98,"mmm-yy")&lt;&gt;TEXT('Cal_Weeks'!B97,"mmm-yy"),'Cal_Weeks'!G98,"")</f>
        <v/>
      </c>
      <c r="CV3" s="8">
        <f>IF(TEXT('Cal_Weeks'!B99,"mmm-yy")&lt;&gt;TEXT('Cal_Weeks'!B98,"mmm-yy"),'Cal_Weeks'!G99,"")</f>
        <v/>
      </c>
      <c r="CW3" s="8">
        <f>IF(TEXT('Cal_Weeks'!B100,"mmm-yy")&lt;&gt;TEXT('Cal_Weeks'!B99,"mmm-yy"),'Cal_Weeks'!G100,"")</f>
        <v/>
      </c>
      <c r="CX3" s="8">
        <f>IF(TEXT('Cal_Weeks'!B101,"mmm-yy")&lt;&gt;TEXT('Cal_Weeks'!B100,"mmm-yy"),'Cal_Weeks'!G101,"")</f>
        <v/>
      </c>
      <c r="CY3" s="8">
        <f>IF(TEXT('Cal_Weeks'!B102,"mmm-yy")&lt;&gt;TEXT('Cal_Weeks'!B101,"mmm-yy"),'Cal_Weeks'!G102,"")</f>
        <v/>
      </c>
      <c r="CZ3" s="8">
        <f>IF(TEXT('Cal_Weeks'!B103,"mmm-yy")&lt;&gt;TEXT('Cal_Weeks'!B102,"mmm-yy"),'Cal_Weeks'!G103,"")</f>
        <v/>
      </c>
      <c r="DA3" s="8">
        <f>IF(TEXT('Cal_Weeks'!B104,"mmm-yy")&lt;&gt;TEXT('Cal_Weeks'!B103,"mmm-yy"),'Cal_Weeks'!G104,"")</f>
        <v/>
      </c>
      <c r="DB3" s="8">
        <f>IF(TEXT('Cal_Weeks'!B105,"mmm-yy")&lt;&gt;TEXT('Cal_Weeks'!B104,"mmm-yy"),'Cal_Weeks'!G105,"")</f>
        <v/>
      </c>
      <c r="DC3" s="8">
        <f>IF(TEXT('Cal_Weeks'!B106,"mmm-yy")&lt;&gt;TEXT('Cal_Weeks'!B105,"mmm-yy"),'Cal_Weeks'!G106,"")</f>
        <v/>
      </c>
      <c r="DD3" s="8">
        <f>IF(TEXT('Cal_Weeks'!B107,"mmm-yy")&lt;&gt;TEXT('Cal_Weeks'!B106,"mmm-yy"),'Cal_Weeks'!G107,"")</f>
        <v/>
      </c>
    </row>
    <row r="4">
      <c r="A4" s="10" t="n"/>
      <c r="B4" s="10" t="n"/>
      <c r="C4" s="10" t="n"/>
      <c r="D4" s="19">
        <f>IFERROR(INDEX(Cal_Weeks!$B$4:$B$107,$F$1),"")</f>
        <v/>
      </c>
      <c r="E4" s="12">
        <f>'Cal_Weeks'!B4</f>
        <v/>
      </c>
      <c r="F4" s="12">
        <f>'Cal_Weeks'!B5</f>
        <v/>
      </c>
      <c r="G4" s="12">
        <f>'Cal_Weeks'!B6</f>
        <v/>
      </c>
      <c r="H4" s="12">
        <f>'Cal_Weeks'!B7</f>
        <v/>
      </c>
      <c r="I4" s="12">
        <f>'Cal_Weeks'!B8</f>
        <v/>
      </c>
      <c r="J4" s="12">
        <f>'Cal_Weeks'!B9</f>
        <v/>
      </c>
      <c r="K4" s="12">
        <f>'Cal_Weeks'!B10</f>
        <v/>
      </c>
      <c r="L4" s="12">
        <f>'Cal_Weeks'!B11</f>
        <v/>
      </c>
      <c r="M4" s="12">
        <f>'Cal_Weeks'!B12</f>
        <v/>
      </c>
      <c r="N4" s="12">
        <f>'Cal_Weeks'!B13</f>
        <v/>
      </c>
      <c r="O4" s="12">
        <f>'Cal_Weeks'!B14</f>
        <v/>
      </c>
      <c r="P4" s="12">
        <f>'Cal_Weeks'!B15</f>
        <v/>
      </c>
      <c r="Q4" s="12">
        <f>'Cal_Weeks'!B16</f>
        <v/>
      </c>
      <c r="R4" s="12">
        <f>'Cal_Weeks'!B17</f>
        <v/>
      </c>
      <c r="S4" s="12">
        <f>'Cal_Weeks'!B18</f>
        <v/>
      </c>
      <c r="T4" s="12">
        <f>'Cal_Weeks'!B19</f>
        <v/>
      </c>
      <c r="U4" s="12">
        <f>'Cal_Weeks'!B20</f>
        <v/>
      </c>
      <c r="V4" s="12">
        <f>'Cal_Weeks'!B21</f>
        <v/>
      </c>
      <c r="W4" s="12">
        <f>'Cal_Weeks'!B22</f>
        <v/>
      </c>
      <c r="X4" s="12">
        <f>'Cal_Weeks'!B23</f>
        <v/>
      </c>
      <c r="Y4" s="12">
        <f>'Cal_Weeks'!B24</f>
        <v/>
      </c>
      <c r="Z4" s="12">
        <f>'Cal_Weeks'!B25</f>
        <v/>
      </c>
      <c r="AA4" s="12">
        <f>'Cal_Weeks'!B26</f>
        <v/>
      </c>
      <c r="AB4" s="12">
        <f>'Cal_Weeks'!B27</f>
        <v/>
      </c>
      <c r="AC4" s="12">
        <f>'Cal_Weeks'!B28</f>
        <v/>
      </c>
      <c r="AD4" s="12">
        <f>'Cal_Weeks'!B29</f>
        <v/>
      </c>
      <c r="AE4" s="12">
        <f>'Cal_Weeks'!B30</f>
        <v/>
      </c>
      <c r="AF4" s="12">
        <f>'Cal_Weeks'!B31</f>
        <v/>
      </c>
      <c r="AG4" s="12">
        <f>'Cal_Weeks'!B32</f>
        <v/>
      </c>
      <c r="AH4" s="12">
        <f>'Cal_Weeks'!B33</f>
        <v/>
      </c>
      <c r="AI4" s="12">
        <f>'Cal_Weeks'!B34</f>
        <v/>
      </c>
      <c r="AJ4" s="12">
        <f>'Cal_Weeks'!B35</f>
        <v/>
      </c>
      <c r="AK4" s="12">
        <f>'Cal_Weeks'!B36</f>
        <v/>
      </c>
      <c r="AL4" s="12">
        <f>'Cal_Weeks'!B37</f>
        <v/>
      </c>
      <c r="AM4" s="12">
        <f>'Cal_Weeks'!B38</f>
        <v/>
      </c>
      <c r="AN4" s="12">
        <f>'Cal_Weeks'!B39</f>
        <v/>
      </c>
      <c r="AO4" s="12">
        <f>'Cal_Weeks'!B40</f>
        <v/>
      </c>
      <c r="AP4" s="12">
        <f>'Cal_Weeks'!B41</f>
        <v/>
      </c>
      <c r="AQ4" s="12">
        <f>'Cal_Weeks'!B42</f>
        <v/>
      </c>
      <c r="AR4" s="12">
        <f>'Cal_Weeks'!B43</f>
        <v/>
      </c>
      <c r="AS4" s="12">
        <f>'Cal_Weeks'!B44</f>
        <v/>
      </c>
      <c r="AT4" s="12">
        <f>'Cal_Weeks'!B45</f>
        <v/>
      </c>
      <c r="AU4" s="12">
        <f>'Cal_Weeks'!B46</f>
        <v/>
      </c>
      <c r="AV4" s="12">
        <f>'Cal_Weeks'!B47</f>
        <v/>
      </c>
      <c r="AW4" s="12">
        <f>'Cal_Weeks'!B48</f>
        <v/>
      </c>
      <c r="AX4" s="12">
        <f>'Cal_Weeks'!B49</f>
        <v/>
      </c>
      <c r="AY4" s="12">
        <f>'Cal_Weeks'!B50</f>
        <v/>
      </c>
      <c r="AZ4" s="12">
        <f>'Cal_Weeks'!B51</f>
        <v/>
      </c>
      <c r="BA4" s="12">
        <f>'Cal_Weeks'!B52</f>
        <v/>
      </c>
      <c r="BB4" s="12">
        <f>'Cal_Weeks'!B53</f>
        <v/>
      </c>
      <c r="BC4" s="12">
        <f>'Cal_Weeks'!B54</f>
        <v/>
      </c>
      <c r="BD4" s="12">
        <f>'Cal_Weeks'!B55</f>
        <v/>
      </c>
      <c r="BE4" s="12">
        <f>'Cal_Weeks'!B56</f>
        <v/>
      </c>
      <c r="BF4" s="12">
        <f>'Cal_Weeks'!B57</f>
        <v/>
      </c>
      <c r="BG4" s="12">
        <f>'Cal_Weeks'!B58</f>
        <v/>
      </c>
      <c r="BH4" s="12">
        <f>'Cal_Weeks'!B59</f>
        <v/>
      </c>
      <c r="BI4" s="12">
        <f>'Cal_Weeks'!B60</f>
        <v/>
      </c>
      <c r="BJ4" s="12">
        <f>'Cal_Weeks'!B61</f>
        <v/>
      </c>
      <c r="BK4" s="12">
        <f>'Cal_Weeks'!B62</f>
        <v/>
      </c>
      <c r="BL4" s="12">
        <f>'Cal_Weeks'!B63</f>
        <v/>
      </c>
      <c r="BM4" s="12">
        <f>'Cal_Weeks'!B64</f>
        <v/>
      </c>
      <c r="BN4" s="12">
        <f>'Cal_Weeks'!B65</f>
        <v/>
      </c>
      <c r="BO4" s="12">
        <f>'Cal_Weeks'!B66</f>
        <v/>
      </c>
      <c r="BP4" s="12">
        <f>'Cal_Weeks'!B67</f>
        <v/>
      </c>
      <c r="BQ4" s="12">
        <f>'Cal_Weeks'!B68</f>
        <v/>
      </c>
      <c r="BR4" s="12">
        <f>'Cal_Weeks'!B69</f>
        <v/>
      </c>
      <c r="BS4" s="12">
        <f>'Cal_Weeks'!B70</f>
        <v/>
      </c>
      <c r="BT4" s="12">
        <f>'Cal_Weeks'!B71</f>
        <v/>
      </c>
      <c r="BU4" s="12">
        <f>'Cal_Weeks'!B72</f>
        <v/>
      </c>
      <c r="BV4" s="12">
        <f>'Cal_Weeks'!B73</f>
        <v/>
      </c>
      <c r="BW4" s="12">
        <f>'Cal_Weeks'!B74</f>
        <v/>
      </c>
      <c r="BX4" s="12">
        <f>'Cal_Weeks'!B75</f>
        <v/>
      </c>
      <c r="BY4" s="12">
        <f>'Cal_Weeks'!B76</f>
        <v/>
      </c>
      <c r="BZ4" s="12">
        <f>'Cal_Weeks'!B77</f>
        <v/>
      </c>
      <c r="CA4" s="12">
        <f>'Cal_Weeks'!B78</f>
        <v/>
      </c>
      <c r="CB4" s="12">
        <f>'Cal_Weeks'!B79</f>
        <v/>
      </c>
      <c r="CC4" s="12">
        <f>'Cal_Weeks'!B80</f>
        <v/>
      </c>
      <c r="CD4" s="12">
        <f>'Cal_Weeks'!B81</f>
        <v/>
      </c>
      <c r="CE4" s="12">
        <f>'Cal_Weeks'!B82</f>
        <v/>
      </c>
      <c r="CF4" s="12">
        <f>'Cal_Weeks'!B83</f>
        <v/>
      </c>
      <c r="CG4" s="12">
        <f>'Cal_Weeks'!B84</f>
        <v/>
      </c>
      <c r="CH4" s="12">
        <f>'Cal_Weeks'!B85</f>
        <v/>
      </c>
      <c r="CI4" s="12">
        <f>'Cal_Weeks'!B86</f>
        <v/>
      </c>
      <c r="CJ4" s="12">
        <f>'Cal_Weeks'!B87</f>
        <v/>
      </c>
      <c r="CK4" s="12">
        <f>'Cal_Weeks'!B88</f>
        <v/>
      </c>
      <c r="CL4" s="12">
        <f>'Cal_Weeks'!B89</f>
        <v/>
      </c>
      <c r="CM4" s="12">
        <f>'Cal_Weeks'!B90</f>
        <v/>
      </c>
      <c r="CN4" s="12">
        <f>'Cal_Weeks'!B91</f>
        <v/>
      </c>
      <c r="CO4" s="12">
        <f>'Cal_Weeks'!B92</f>
        <v/>
      </c>
      <c r="CP4" s="12">
        <f>'Cal_Weeks'!B93</f>
        <v/>
      </c>
      <c r="CQ4" s="12">
        <f>'Cal_Weeks'!B94</f>
        <v/>
      </c>
      <c r="CR4" s="12">
        <f>'Cal_Weeks'!B95</f>
        <v/>
      </c>
      <c r="CS4" s="12">
        <f>'Cal_Weeks'!B96</f>
        <v/>
      </c>
      <c r="CT4" s="12">
        <f>'Cal_Weeks'!B97</f>
        <v/>
      </c>
      <c r="CU4" s="12">
        <f>'Cal_Weeks'!B98</f>
        <v/>
      </c>
      <c r="CV4" s="12">
        <f>'Cal_Weeks'!B99</f>
        <v/>
      </c>
      <c r="CW4" s="12">
        <f>'Cal_Weeks'!B100</f>
        <v/>
      </c>
      <c r="CX4" s="12">
        <f>'Cal_Weeks'!B101</f>
        <v/>
      </c>
      <c r="CY4" s="12">
        <f>'Cal_Weeks'!B102</f>
        <v/>
      </c>
      <c r="CZ4" s="12">
        <f>'Cal_Weeks'!B103</f>
        <v/>
      </c>
      <c r="DA4" s="12">
        <f>'Cal_Weeks'!B104</f>
        <v/>
      </c>
      <c r="DB4" s="12">
        <f>'Cal_Weeks'!B105</f>
        <v/>
      </c>
      <c r="DC4" s="12">
        <f>'Cal_Weeks'!B106</f>
        <v/>
      </c>
      <c r="DD4" s="12">
        <f>'Cal_Weeks'!B107</f>
        <v/>
      </c>
    </row>
    <row r="5">
      <c r="A5" s="10" t="n"/>
      <c r="B5" s="10" t="n"/>
      <c r="C5" s="10" t="n"/>
      <c r="D5" s="20">
        <f>IFERROR(INDEX(Cal_Weeks!$D$4:$D$107,$F$1),"")</f>
        <v/>
      </c>
      <c r="E5" s="10">
        <f>'Cal_Weeks'!D4</f>
        <v/>
      </c>
      <c r="F5" s="10">
        <f>'Cal_Weeks'!D5</f>
        <v/>
      </c>
      <c r="G5" s="10">
        <f>'Cal_Weeks'!D6</f>
        <v/>
      </c>
      <c r="H5" s="10">
        <f>'Cal_Weeks'!D7</f>
        <v/>
      </c>
      <c r="I5" s="10">
        <f>'Cal_Weeks'!D8</f>
        <v/>
      </c>
      <c r="J5" s="10">
        <f>'Cal_Weeks'!D9</f>
        <v/>
      </c>
      <c r="K5" s="10">
        <f>'Cal_Weeks'!D10</f>
        <v/>
      </c>
      <c r="L5" s="10">
        <f>'Cal_Weeks'!D11</f>
        <v/>
      </c>
      <c r="M5" s="10">
        <f>'Cal_Weeks'!D12</f>
        <v/>
      </c>
      <c r="N5" s="10">
        <f>'Cal_Weeks'!D13</f>
        <v/>
      </c>
      <c r="O5" s="10">
        <f>'Cal_Weeks'!D14</f>
        <v/>
      </c>
      <c r="P5" s="10">
        <f>'Cal_Weeks'!D15</f>
        <v/>
      </c>
      <c r="Q5" s="10">
        <f>'Cal_Weeks'!D16</f>
        <v/>
      </c>
      <c r="R5" s="10">
        <f>'Cal_Weeks'!D17</f>
        <v/>
      </c>
      <c r="S5" s="10">
        <f>'Cal_Weeks'!D18</f>
        <v/>
      </c>
      <c r="T5" s="10">
        <f>'Cal_Weeks'!D19</f>
        <v/>
      </c>
      <c r="U5" s="10">
        <f>'Cal_Weeks'!D20</f>
        <v/>
      </c>
      <c r="V5" s="10">
        <f>'Cal_Weeks'!D21</f>
        <v/>
      </c>
      <c r="W5" s="10">
        <f>'Cal_Weeks'!D22</f>
        <v/>
      </c>
      <c r="X5" s="10">
        <f>'Cal_Weeks'!D23</f>
        <v/>
      </c>
      <c r="Y5" s="10">
        <f>'Cal_Weeks'!D24</f>
        <v/>
      </c>
      <c r="Z5" s="10">
        <f>'Cal_Weeks'!D25</f>
        <v/>
      </c>
      <c r="AA5" s="10">
        <f>'Cal_Weeks'!D26</f>
        <v/>
      </c>
      <c r="AB5" s="10">
        <f>'Cal_Weeks'!D27</f>
        <v/>
      </c>
      <c r="AC5" s="10">
        <f>'Cal_Weeks'!D28</f>
        <v/>
      </c>
      <c r="AD5" s="10">
        <f>'Cal_Weeks'!D29</f>
        <v/>
      </c>
      <c r="AE5" s="10">
        <f>'Cal_Weeks'!D30</f>
        <v/>
      </c>
      <c r="AF5" s="10">
        <f>'Cal_Weeks'!D31</f>
        <v/>
      </c>
      <c r="AG5" s="10">
        <f>'Cal_Weeks'!D32</f>
        <v/>
      </c>
      <c r="AH5" s="10">
        <f>'Cal_Weeks'!D33</f>
        <v/>
      </c>
      <c r="AI5" s="10">
        <f>'Cal_Weeks'!D34</f>
        <v/>
      </c>
      <c r="AJ5" s="10">
        <f>'Cal_Weeks'!D35</f>
        <v/>
      </c>
      <c r="AK5" s="10">
        <f>'Cal_Weeks'!D36</f>
        <v/>
      </c>
      <c r="AL5" s="10">
        <f>'Cal_Weeks'!D37</f>
        <v/>
      </c>
      <c r="AM5" s="10">
        <f>'Cal_Weeks'!D38</f>
        <v/>
      </c>
      <c r="AN5" s="10">
        <f>'Cal_Weeks'!D39</f>
        <v/>
      </c>
      <c r="AO5" s="10">
        <f>'Cal_Weeks'!D40</f>
        <v/>
      </c>
      <c r="AP5" s="10">
        <f>'Cal_Weeks'!D41</f>
        <v/>
      </c>
      <c r="AQ5" s="10">
        <f>'Cal_Weeks'!D42</f>
        <v/>
      </c>
      <c r="AR5" s="10">
        <f>'Cal_Weeks'!D43</f>
        <v/>
      </c>
      <c r="AS5" s="10">
        <f>'Cal_Weeks'!D44</f>
        <v/>
      </c>
      <c r="AT5" s="10">
        <f>'Cal_Weeks'!D45</f>
        <v/>
      </c>
      <c r="AU5" s="10">
        <f>'Cal_Weeks'!D46</f>
        <v/>
      </c>
      <c r="AV5" s="10">
        <f>'Cal_Weeks'!D47</f>
        <v/>
      </c>
      <c r="AW5" s="10">
        <f>'Cal_Weeks'!D48</f>
        <v/>
      </c>
      <c r="AX5" s="10">
        <f>'Cal_Weeks'!D49</f>
        <v/>
      </c>
      <c r="AY5" s="10">
        <f>'Cal_Weeks'!D50</f>
        <v/>
      </c>
      <c r="AZ5" s="10">
        <f>'Cal_Weeks'!D51</f>
        <v/>
      </c>
      <c r="BA5" s="10">
        <f>'Cal_Weeks'!D52</f>
        <v/>
      </c>
      <c r="BB5" s="10">
        <f>'Cal_Weeks'!D53</f>
        <v/>
      </c>
      <c r="BC5" s="10">
        <f>'Cal_Weeks'!D54</f>
        <v/>
      </c>
      <c r="BD5" s="10">
        <f>'Cal_Weeks'!D55</f>
        <v/>
      </c>
      <c r="BE5" s="10">
        <f>'Cal_Weeks'!D56</f>
        <v/>
      </c>
      <c r="BF5" s="10">
        <f>'Cal_Weeks'!D57</f>
        <v/>
      </c>
      <c r="BG5" s="10">
        <f>'Cal_Weeks'!D58</f>
        <v/>
      </c>
      <c r="BH5" s="10">
        <f>'Cal_Weeks'!D59</f>
        <v/>
      </c>
      <c r="BI5" s="10">
        <f>'Cal_Weeks'!D60</f>
        <v/>
      </c>
      <c r="BJ5" s="10">
        <f>'Cal_Weeks'!D61</f>
        <v/>
      </c>
      <c r="BK5" s="10">
        <f>'Cal_Weeks'!D62</f>
        <v/>
      </c>
      <c r="BL5" s="10">
        <f>'Cal_Weeks'!D63</f>
        <v/>
      </c>
      <c r="BM5" s="10">
        <f>'Cal_Weeks'!D64</f>
        <v/>
      </c>
      <c r="BN5" s="10">
        <f>'Cal_Weeks'!D65</f>
        <v/>
      </c>
      <c r="BO5" s="10">
        <f>'Cal_Weeks'!D66</f>
        <v/>
      </c>
      <c r="BP5" s="10">
        <f>'Cal_Weeks'!D67</f>
        <v/>
      </c>
      <c r="BQ5" s="10">
        <f>'Cal_Weeks'!D68</f>
        <v/>
      </c>
      <c r="BR5" s="10">
        <f>'Cal_Weeks'!D69</f>
        <v/>
      </c>
      <c r="BS5" s="10">
        <f>'Cal_Weeks'!D70</f>
        <v/>
      </c>
      <c r="BT5" s="10">
        <f>'Cal_Weeks'!D71</f>
        <v/>
      </c>
      <c r="BU5" s="10">
        <f>'Cal_Weeks'!D72</f>
        <v/>
      </c>
      <c r="BV5" s="10">
        <f>'Cal_Weeks'!D73</f>
        <v/>
      </c>
      <c r="BW5" s="10">
        <f>'Cal_Weeks'!D74</f>
        <v/>
      </c>
      <c r="BX5" s="10">
        <f>'Cal_Weeks'!D75</f>
        <v/>
      </c>
      <c r="BY5" s="10">
        <f>'Cal_Weeks'!D76</f>
        <v/>
      </c>
      <c r="BZ5" s="10">
        <f>'Cal_Weeks'!D77</f>
        <v/>
      </c>
      <c r="CA5" s="10">
        <f>'Cal_Weeks'!D78</f>
        <v/>
      </c>
      <c r="CB5" s="10">
        <f>'Cal_Weeks'!D79</f>
        <v/>
      </c>
      <c r="CC5" s="10">
        <f>'Cal_Weeks'!D80</f>
        <v/>
      </c>
      <c r="CD5" s="10">
        <f>'Cal_Weeks'!D81</f>
        <v/>
      </c>
      <c r="CE5" s="10">
        <f>'Cal_Weeks'!D82</f>
        <v/>
      </c>
      <c r="CF5" s="10">
        <f>'Cal_Weeks'!D83</f>
        <v/>
      </c>
      <c r="CG5" s="10">
        <f>'Cal_Weeks'!D84</f>
        <v/>
      </c>
      <c r="CH5" s="10">
        <f>'Cal_Weeks'!D85</f>
        <v/>
      </c>
      <c r="CI5" s="10">
        <f>'Cal_Weeks'!D86</f>
        <v/>
      </c>
      <c r="CJ5" s="10">
        <f>'Cal_Weeks'!D87</f>
        <v/>
      </c>
      <c r="CK5" s="10">
        <f>'Cal_Weeks'!D88</f>
        <v/>
      </c>
      <c r="CL5" s="10">
        <f>'Cal_Weeks'!D89</f>
        <v/>
      </c>
      <c r="CM5" s="10">
        <f>'Cal_Weeks'!D90</f>
        <v/>
      </c>
      <c r="CN5" s="10">
        <f>'Cal_Weeks'!D91</f>
        <v/>
      </c>
      <c r="CO5" s="10">
        <f>'Cal_Weeks'!D92</f>
        <v/>
      </c>
      <c r="CP5" s="10">
        <f>'Cal_Weeks'!D93</f>
        <v/>
      </c>
      <c r="CQ5" s="10">
        <f>'Cal_Weeks'!D94</f>
        <v/>
      </c>
      <c r="CR5" s="10">
        <f>'Cal_Weeks'!D95</f>
        <v/>
      </c>
      <c r="CS5" s="10">
        <f>'Cal_Weeks'!D96</f>
        <v/>
      </c>
      <c r="CT5" s="10">
        <f>'Cal_Weeks'!D97</f>
        <v/>
      </c>
      <c r="CU5" s="10">
        <f>'Cal_Weeks'!D98</f>
        <v/>
      </c>
      <c r="CV5" s="10">
        <f>'Cal_Weeks'!D99</f>
        <v/>
      </c>
      <c r="CW5" s="10">
        <f>'Cal_Weeks'!D100</f>
        <v/>
      </c>
      <c r="CX5" s="10">
        <f>'Cal_Weeks'!D101</f>
        <v/>
      </c>
      <c r="CY5" s="10">
        <f>'Cal_Weeks'!D102</f>
        <v/>
      </c>
      <c r="CZ5" s="10">
        <f>'Cal_Weeks'!D103</f>
        <v/>
      </c>
      <c r="DA5" s="10">
        <f>'Cal_Weeks'!D104</f>
        <v/>
      </c>
      <c r="DB5" s="10">
        <f>'Cal_Weeks'!D105</f>
        <v/>
      </c>
      <c r="DC5" s="10">
        <f>'Cal_Weeks'!D106</f>
        <v/>
      </c>
      <c r="DD5" s="10">
        <f>'Cal_Weeks'!D107</f>
        <v/>
      </c>
    </row>
    <row r="6">
      <c r="A6" s="8" t="inlineStr">
        <is>
          <t>RM_Code</t>
        </is>
      </c>
      <c r="B6" s="8" t="inlineStr">
        <is>
          <t>項目</t>
        </is>
      </c>
      <c r="C6" s="8" t="inlineStr">
        <is>
          <t>1バッチ使用量(kg)</t>
        </is>
      </c>
      <c r="D6" s="18">
        <f>IF($C$1="","選択週",$C$1)</f>
        <v/>
      </c>
      <c r="E6" s="8">
        <f>'Cal_Weeks'!E4</f>
        <v/>
      </c>
      <c r="F6" s="8">
        <f>'Cal_Weeks'!E5</f>
        <v/>
      </c>
      <c r="G6" s="8">
        <f>'Cal_Weeks'!E6</f>
        <v/>
      </c>
      <c r="H6" s="8">
        <f>'Cal_Weeks'!E7</f>
        <v/>
      </c>
      <c r="I6" s="8">
        <f>'Cal_Weeks'!E8</f>
        <v/>
      </c>
      <c r="J6" s="8">
        <f>'Cal_Weeks'!E9</f>
        <v/>
      </c>
      <c r="K6" s="8">
        <f>'Cal_Weeks'!E10</f>
        <v/>
      </c>
      <c r="L6" s="8">
        <f>'Cal_Weeks'!E11</f>
        <v/>
      </c>
      <c r="M6" s="8">
        <f>'Cal_Weeks'!E12</f>
        <v/>
      </c>
      <c r="N6" s="8">
        <f>'Cal_Weeks'!E13</f>
        <v/>
      </c>
      <c r="O6" s="8">
        <f>'Cal_Weeks'!E14</f>
        <v/>
      </c>
      <c r="P6" s="8">
        <f>'Cal_Weeks'!E15</f>
        <v/>
      </c>
      <c r="Q6" s="8">
        <f>'Cal_Weeks'!E16</f>
        <v/>
      </c>
      <c r="R6" s="8">
        <f>'Cal_Weeks'!E17</f>
        <v/>
      </c>
      <c r="S6" s="8">
        <f>'Cal_Weeks'!E18</f>
        <v/>
      </c>
      <c r="T6" s="8">
        <f>'Cal_Weeks'!E19</f>
        <v/>
      </c>
      <c r="U6" s="8">
        <f>'Cal_Weeks'!E20</f>
        <v/>
      </c>
      <c r="V6" s="8">
        <f>'Cal_Weeks'!E21</f>
        <v/>
      </c>
      <c r="W6" s="8">
        <f>'Cal_Weeks'!E22</f>
        <v/>
      </c>
      <c r="X6" s="8">
        <f>'Cal_Weeks'!E23</f>
        <v/>
      </c>
      <c r="Y6" s="8">
        <f>'Cal_Weeks'!E24</f>
        <v/>
      </c>
      <c r="Z6" s="8">
        <f>'Cal_Weeks'!E25</f>
        <v/>
      </c>
      <c r="AA6" s="8">
        <f>'Cal_Weeks'!E26</f>
        <v/>
      </c>
      <c r="AB6" s="8">
        <f>'Cal_Weeks'!E27</f>
        <v/>
      </c>
      <c r="AC6" s="8">
        <f>'Cal_Weeks'!E28</f>
        <v/>
      </c>
      <c r="AD6" s="8">
        <f>'Cal_Weeks'!E29</f>
        <v/>
      </c>
      <c r="AE6" s="8">
        <f>'Cal_Weeks'!E30</f>
        <v/>
      </c>
      <c r="AF6" s="8">
        <f>'Cal_Weeks'!E31</f>
        <v/>
      </c>
      <c r="AG6" s="8">
        <f>'Cal_Weeks'!E32</f>
        <v/>
      </c>
      <c r="AH6" s="8">
        <f>'Cal_Weeks'!E33</f>
        <v/>
      </c>
      <c r="AI6" s="8">
        <f>'Cal_Weeks'!E34</f>
        <v/>
      </c>
      <c r="AJ6" s="8">
        <f>'Cal_Weeks'!E35</f>
        <v/>
      </c>
      <c r="AK6" s="8">
        <f>'Cal_Weeks'!E36</f>
        <v/>
      </c>
      <c r="AL6" s="8">
        <f>'Cal_Weeks'!E37</f>
        <v/>
      </c>
      <c r="AM6" s="8">
        <f>'Cal_Weeks'!E38</f>
        <v/>
      </c>
      <c r="AN6" s="8">
        <f>'Cal_Weeks'!E39</f>
        <v/>
      </c>
      <c r="AO6" s="8">
        <f>'Cal_Weeks'!E40</f>
        <v/>
      </c>
      <c r="AP6" s="8">
        <f>'Cal_Weeks'!E41</f>
        <v/>
      </c>
      <c r="AQ6" s="8">
        <f>'Cal_Weeks'!E42</f>
        <v/>
      </c>
      <c r="AR6" s="8">
        <f>'Cal_Weeks'!E43</f>
        <v/>
      </c>
      <c r="AS6" s="8">
        <f>'Cal_Weeks'!E44</f>
        <v/>
      </c>
      <c r="AT6" s="8">
        <f>'Cal_Weeks'!E45</f>
        <v/>
      </c>
      <c r="AU6" s="8">
        <f>'Cal_Weeks'!E46</f>
        <v/>
      </c>
      <c r="AV6" s="8">
        <f>'Cal_Weeks'!E47</f>
        <v/>
      </c>
      <c r="AW6" s="8">
        <f>'Cal_Weeks'!E48</f>
        <v/>
      </c>
      <c r="AX6" s="8">
        <f>'Cal_Weeks'!E49</f>
        <v/>
      </c>
      <c r="AY6" s="8">
        <f>'Cal_Weeks'!E50</f>
        <v/>
      </c>
      <c r="AZ6" s="8">
        <f>'Cal_Weeks'!E51</f>
        <v/>
      </c>
      <c r="BA6" s="8">
        <f>'Cal_Weeks'!E52</f>
        <v/>
      </c>
      <c r="BB6" s="8">
        <f>'Cal_Weeks'!E53</f>
        <v/>
      </c>
      <c r="BC6" s="8">
        <f>'Cal_Weeks'!E54</f>
        <v/>
      </c>
      <c r="BD6" s="8">
        <f>'Cal_Weeks'!E55</f>
        <v/>
      </c>
      <c r="BE6" s="8">
        <f>'Cal_Weeks'!E56</f>
        <v/>
      </c>
      <c r="BF6" s="8">
        <f>'Cal_Weeks'!E57</f>
        <v/>
      </c>
      <c r="BG6" s="8">
        <f>'Cal_Weeks'!E58</f>
        <v/>
      </c>
      <c r="BH6" s="8">
        <f>'Cal_Weeks'!E59</f>
        <v/>
      </c>
      <c r="BI6" s="8">
        <f>'Cal_Weeks'!E60</f>
        <v/>
      </c>
      <c r="BJ6" s="8">
        <f>'Cal_Weeks'!E61</f>
        <v/>
      </c>
      <c r="BK6" s="8">
        <f>'Cal_Weeks'!E62</f>
        <v/>
      </c>
      <c r="BL6" s="8">
        <f>'Cal_Weeks'!E63</f>
        <v/>
      </c>
      <c r="BM6" s="8">
        <f>'Cal_Weeks'!E64</f>
        <v/>
      </c>
      <c r="BN6" s="8">
        <f>'Cal_Weeks'!E65</f>
        <v/>
      </c>
      <c r="BO6" s="8">
        <f>'Cal_Weeks'!E66</f>
        <v/>
      </c>
      <c r="BP6" s="8">
        <f>'Cal_Weeks'!E67</f>
        <v/>
      </c>
      <c r="BQ6" s="8">
        <f>'Cal_Weeks'!E68</f>
        <v/>
      </c>
      <c r="BR6" s="8">
        <f>'Cal_Weeks'!E69</f>
        <v/>
      </c>
      <c r="BS6" s="8">
        <f>'Cal_Weeks'!E70</f>
        <v/>
      </c>
      <c r="BT6" s="8">
        <f>'Cal_Weeks'!E71</f>
        <v/>
      </c>
      <c r="BU6" s="8">
        <f>'Cal_Weeks'!E72</f>
        <v/>
      </c>
      <c r="BV6" s="8">
        <f>'Cal_Weeks'!E73</f>
        <v/>
      </c>
      <c r="BW6" s="8">
        <f>'Cal_Weeks'!E74</f>
        <v/>
      </c>
      <c r="BX6" s="8">
        <f>'Cal_Weeks'!E75</f>
        <v/>
      </c>
      <c r="BY6" s="8">
        <f>'Cal_Weeks'!E76</f>
        <v/>
      </c>
      <c r="BZ6" s="8">
        <f>'Cal_Weeks'!E77</f>
        <v/>
      </c>
      <c r="CA6" s="8">
        <f>'Cal_Weeks'!E78</f>
        <v/>
      </c>
      <c r="CB6" s="8">
        <f>'Cal_Weeks'!E79</f>
        <v/>
      </c>
      <c r="CC6" s="8">
        <f>'Cal_Weeks'!E80</f>
        <v/>
      </c>
      <c r="CD6" s="8">
        <f>'Cal_Weeks'!E81</f>
        <v/>
      </c>
      <c r="CE6" s="8">
        <f>'Cal_Weeks'!E82</f>
        <v/>
      </c>
      <c r="CF6" s="8">
        <f>'Cal_Weeks'!E83</f>
        <v/>
      </c>
      <c r="CG6" s="8">
        <f>'Cal_Weeks'!E84</f>
        <v/>
      </c>
      <c r="CH6" s="8">
        <f>'Cal_Weeks'!E85</f>
        <v/>
      </c>
      <c r="CI6" s="8">
        <f>'Cal_Weeks'!E86</f>
        <v/>
      </c>
      <c r="CJ6" s="8">
        <f>'Cal_Weeks'!E87</f>
        <v/>
      </c>
      <c r="CK6" s="8">
        <f>'Cal_Weeks'!E88</f>
        <v/>
      </c>
      <c r="CL6" s="8">
        <f>'Cal_Weeks'!E89</f>
        <v/>
      </c>
      <c r="CM6" s="8">
        <f>'Cal_Weeks'!E90</f>
        <v/>
      </c>
      <c r="CN6" s="8">
        <f>'Cal_Weeks'!E91</f>
        <v/>
      </c>
      <c r="CO6" s="8">
        <f>'Cal_Weeks'!E92</f>
        <v/>
      </c>
      <c r="CP6" s="8">
        <f>'Cal_Weeks'!E93</f>
        <v/>
      </c>
      <c r="CQ6" s="8">
        <f>'Cal_Weeks'!E94</f>
        <v/>
      </c>
      <c r="CR6" s="8">
        <f>'Cal_Weeks'!E95</f>
        <v/>
      </c>
      <c r="CS6" s="8">
        <f>'Cal_Weeks'!E96</f>
        <v/>
      </c>
      <c r="CT6" s="8">
        <f>'Cal_Weeks'!E97</f>
        <v/>
      </c>
      <c r="CU6" s="8">
        <f>'Cal_Weeks'!E98</f>
        <v/>
      </c>
      <c r="CV6" s="8">
        <f>'Cal_Weeks'!E99</f>
        <v/>
      </c>
      <c r="CW6" s="8">
        <f>'Cal_Weeks'!E100</f>
        <v/>
      </c>
      <c r="CX6" s="8">
        <f>'Cal_Weeks'!E101</f>
        <v/>
      </c>
      <c r="CY6" s="8">
        <f>'Cal_Weeks'!E102</f>
        <v/>
      </c>
      <c r="CZ6" s="8">
        <f>'Cal_Weeks'!E103</f>
        <v/>
      </c>
      <c r="DA6" s="8">
        <f>'Cal_Weeks'!E104</f>
        <v/>
      </c>
      <c r="DB6" s="8">
        <f>'Cal_Weeks'!E105</f>
        <v/>
      </c>
      <c r="DC6" s="8">
        <f>'Cal_Weeks'!E106</f>
        <v/>
      </c>
      <c r="DD6" s="8">
        <f>'Cal_Weeks'!E107</f>
        <v/>
      </c>
    </row>
    <row r="7">
      <c r="A7" s="21" t="inlineStr">
        <is>
          <t>CHEM-1220</t>
        </is>
      </c>
      <c r="B7" s="21" t="inlineStr">
        <is>
          <t>Actalys Lisa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  <c r="DD7" s="21" t="n"/>
    </row>
    <row r="8">
      <c r="B8" t="inlineStr">
        <is>
          <t>TSP-049</t>
        </is>
      </c>
      <c r="C8" t="inlineStr">
        <is>
          <t>No. of batches</t>
        </is>
      </c>
      <c r="D8">
        <f>IFERROR(INDEX(E8:DD8,$F$1),"")</f>
        <v/>
      </c>
      <c r="E8">
        <f>IFERROR(INDEX(PP_Grid[#Data],$DE8,2),0)</f>
        <v/>
      </c>
      <c r="F8">
        <f>IFERROR(INDEX(PP_Grid[#Data],$DE8,3),0)</f>
        <v/>
      </c>
      <c r="G8">
        <f>IFERROR(INDEX(PP_Grid[#Data],$DE8,4),0)</f>
        <v/>
      </c>
      <c r="H8">
        <f>IFERROR(INDEX(PP_Grid[#Data],$DE8,5),0)</f>
        <v/>
      </c>
      <c r="I8">
        <f>IFERROR(INDEX(PP_Grid[#Data],$DE8,6),0)</f>
        <v/>
      </c>
      <c r="J8">
        <f>IFERROR(INDEX(PP_Grid[#Data],$DE8,7),0)</f>
        <v/>
      </c>
      <c r="K8">
        <f>IFERROR(INDEX(PP_Grid[#Data],$DE8,8),0)</f>
        <v/>
      </c>
      <c r="L8">
        <f>IFERROR(INDEX(PP_Grid[#Data],$DE8,9),0)</f>
        <v/>
      </c>
      <c r="M8">
        <f>IFERROR(INDEX(PP_Grid[#Data],$DE8,10),0)</f>
        <v/>
      </c>
      <c r="N8">
        <f>IFERROR(INDEX(PP_Grid[#Data],$DE8,11),0)</f>
        <v/>
      </c>
      <c r="O8">
        <f>IFERROR(INDEX(PP_Grid[#Data],$DE8,12),0)</f>
        <v/>
      </c>
      <c r="P8">
        <f>IFERROR(INDEX(PP_Grid[#Data],$DE8,13),0)</f>
        <v/>
      </c>
      <c r="Q8">
        <f>IFERROR(INDEX(PP_Grid[#Data],$DE8,14),0)</f>
        <v/>
      </c>
      <c r="R8">
        <f>IFERROR(INDEX(PP_Grid[#Data],$DE8,15),0)</f>
        <v/>
      </c>
      <c r="S8">
        <f>IFERROR(INDEX(PP_Grid[#Data],$DE8,16),0)</f>
        <v/>
      </c>
      <c r="T8">
        <f>IFERROR(INDEX(PP_Grid[#Data],$DE8,17),0)</f>
        <v/>
      </c>
      <c r="U8">
        <f>IFERROR(INDEX(PP_Grid[#Data],$DE8,18),0)</f>
        <v/>
      </c>
      <c r="V8">
        <f>IFERROR(INDEX(PP_Grid[#Data],$DE8,19),0)</f>
        <v/>
      </c>
      <c r="W8">
        <f>IFERROR(INDEX(PP_Grid[#Data],$DE8,20),0)</f>
        <v/>
      </c>
      <c r="X8">
        <f>IFERROR(INDEX(PP_Grid[#Data],$DE8,21),0)</f>
        <v/>
      </c>
      <c r="Y8">
        <f>IFERROR(INDEX(PP_Grid[#Data],$DE8,22),0)</f>
        <v/>
      </c>
      <c r="Z8">
        <f>IFERROR(INDEX(PP_Grid[#Data],$DE8,23),0)</f>
        <v/>
      </c>
      <c r="AA8">
        <f>IFERROR(INDEX(PP_Grid[#Data],$DE8,24),0)</f>
        <v/>
      </c>
      <c r="AB8">
        <f>IFERROR(INDEX(PP_Grid[#Data],$DE8,25),0)</f>
        <v/>
      </c>
      <c r="AC8">
        <f>IFERROR(INDEX(PP_Grid[#Data],$DE8,26),0)</f>
        <v/>
      </c>
      <c r="AD8">
        <f>IFERROR(INDEX(PP_Grid[#Data],$DE8,27),0)</f>
        <v/>
      </c>
      <c r="AE8">
        <f>IFERROR(INDEX(PP_Grid[#Data],$DE8,28),0)</f>
        <v/>
      </c>
      <c r="AF8">
        <f>IFERROR(INDEX(PP_Grid[#Data],$DE8,29),0)</f>
        <v/>
      </c>
      <c r="AG8">
        <f>IFERROR(INDEX(PP_Grid[#Data],$DE8,30),0)</f>
        <v/>
      </c>
      <c r="AH8">
        <f>IFERROR(INDEX(PP_Grid[#Data],$DE8,31),0)</f>
        <v/>
      </c>
      <c r="AI8">
        <f>IFERROR(INDEX(PP_Grid[#Data],$DE8,32),0)</f>
        <v/>
      </c>
      <c r="AJ8">
        <f>IFERROR(INDEX(PP_Grid[#Data],$DE8,33),0)</f>
        <v/>
      </c>
      <c r="AK8">
        <f>IFERROR(INDEX(PP_Grid[#Data],$DE8,34),0)</f>
        <v/>
      </c>
      <c r="AL8">
        <f>IFERROR(INDEX(PP_Grid[#Data],$DE8,35),0)</f>
        <v/>
      </c>
      <c r="AM8">
        <f>IFERROR(INDEX(PP_Grid[#Data],$DE8,36),0)</f>
        <v/>
      </c>
      <c r="AN8">
        <f>IFERROR(INDEX(PP_Grid[#Data],$DE8,37),0)</f>
        <v/>
      </c>
      <c r="AO8">
        <f>IFERROR(INDEX(PP_Grid[#Data],$DE8,38),0)</f>
        <v/>
      </c>
      <c r="AP8">
        <f>IFERROR(INDEX(PP_Grid[#Data],$DE8,39),0)</f>
        <v/>
      </c>
      <c r="AQ8">
        <f>IFERROR(INDEX(PP_Grid[#Data],$DE8,40),0)</f>
        <v/>
      </c>
      <c r="AR8">
        <f>IFERROR(INDEX(PP_Grid[#Data],$DE8,41),0)</f>
        <v/>
      </c>
      <c r="AS8">
        <f>IFERROR(INDEX(PP_Grid[#Data],$DE8,42),0)</f>
        <v/>
      </c>
      <c r="AT8">
        <f>IFERROR(INDEX(PP_Grid[#Data],$DE8,43),0)</f>
        <v/>
      </c>
      <c r="AU8">
        <f>IFERROR(INDEX(PP_Grid[#Data],$DE8,44),0)</f>
        <v/>
      </c>
      <c r="AV8">
        <f>IFERROR(INDEX(PP_Grid[#Data],$DE8,45),0)</f>
        <v/>
      </c>
      <c r="AW8">
        <f>IFERROR(INDEX(PP_Grid[#Data],$DE8,46),0)</f>
        <v/>
      </c>
      <c r="AX8">
        <f>IFERROR(INDEX(PP_Grid[#Data],$DE8,47),0)</f>
        <v/>
      </c>
      <c r="AY8">
        <f>IFERROR(INDEX(PP_Grid[#Data],$DE8,48),0)</f>
        <v/>
      </c>
      <c r="AZ8">
        <f>IFERROR(INDEX(PP_Grid[#Data],$DE8,49),0)</f>
        <v/>
      </c>
      <c r="BA8">
        <f>IFERROR(INDEX(PP_Grid[#Data],$DE8,50),0)</f>
        <v/>
      </c>
      <c r="BB8">
        <f>IFERROR(INDEX(PP_Grid[#Data],$DE8,51),0)</f>
        <v/>
      </c>
      <c r="BC8">
        <f>IFERROR(INDEX(PP_Grid[#Data],$DE8,52),0)</f>
        <v/>
      </c>
      <c r="BD8">
        <f>IFERROR(INDEX(PP_Grid[#Data],$DE8,53),0)</f>
        <v/>
      </c>
      <c r="BE8">
        <f>IFERROR(INDEX(PP_Grid[#Data],$DE8,54),0)</f>
        <v/>
      </c>
      <c r="BF8">
        <f>IFERROR(INDEX(PP_Grid[#Data],$DE8,55),0)</f>
        <v/>
      </c>
      <c r="BG8">
        <f>IFERROR(INDEX(PP_Grid[#Data],$DE8,56),0)</f>
        <v/>
      </c>
      <c r="BH8">
        <f>IFERROR(INDEX(PP_Grid[#Data],$DE8,57),0)</f>
        <v/>
      </c>
      <c r="BI8">
        <f>IFERROR(INDEX(PP_Grid[#Data],$DE8,58),0)</f>
        <v/>
      </c>
      <c r="BJ8">
        <f>IFERROR(INDEX(PP_Grid[#Data],$DE8,59),0)</f>
        <v/>
      </c>
      <c r="BK8">
        <f>IFERROR(INDEX(PP_Grid[#Data],$DE8,60),0)</f>
        <v/>
      </c>
      <c r="BL8">
        <f>IFERROR(INDEX(PP_Grid[#Data],$DE8,61),0)</f>
        <v/>
      </c>
      <c r="BM8">
        <f>IFERROR(INDEX(PP_Grid[#Data],$DE8,62),0)</f>
        <v/>
      </c>
      <c r="BN8">
        <f>IFERROR(INDEX(PP_Grid[#Data],$DE8,63),0)</f>
        <v/>
      </c>
      <c r="BO8">
        <f>IFERROR(INDEX(PP_Grid[#Data],$DE8,64),0)</f>
        <v/>
      </c>
      <c r="BP8">
        <f>IFERROR(INDEX(PP_Grid[#Data],$DE8,65),0)</f>
        <v/>
      </c>
      <c r="BQ8">
        <f>IFERROR(INDEX(PP_Grid[#Data],$DE8,66),0)</f>
        <v/>
      </c>
      <c r="BR8">
        <f>IFERROR(INDEX(PP_Grid[#Data],$DE8,67),0)</f>
        <v/>
      </c>
      <c r="BS8">
        <f>IFERROR(INDEX(PP_Grid[#Data],$DE8,68),0)</f>
        <v/>
      </c>
      <c r="BT8">
        <f>IFERROR(INDEX(PP_Grid[#Data],$DE8,69),0)</f>
        <v/>
      </c>
      <c r="BU8">
        <f>IFERROR(INDEX(PP_Grid[#Data],$DE8,70),0)</f>
        <v/>
      </c>
      <c r="BV8">
        <f>IFERROR(INDEX(PP_Grid[#Data],$DE8,71),0)</f>
        <v/>
      </c>
      <c r="BW8">
        <f>IFERROR(INDEX(PP_Grid[#Data],$DE8,72),0)</f>
        <v/>
      </c>
      <c r="BX8">
        <f>IFERROR(INDEX(PP_Grid[#Data],$DE8,73),0)</f>
        <v/>
      </c>
      <c r="BY8">
        <f>IFERROR(INDEX(PP_Grid[#Data],$DE8,74),0)</f>
        <v/>
      </c>
      <c r="BZ8">
        <f>IFERROR(INDEX(PP_Grid[#Data],$DE8,75),0)</f>
        <v/>
      </c>
      <c r="CA8">
        <f>IFERROR(INDEX(PP_Grid[#Data],$DE8,76),0)</f>
        <v/>
      </c>
      <c r="CB8">
        <f>IFERROR(INDEX(PP_Grid[#Data],$DE8,77),0)</f>
        <v/>
      </c>
      <c r="CC8">
        <f>IFERROR(INDEX(PP_Grid[#Data],$DE8,78),0)</f>
        <v/>
      </c>
      <c r="CD8">
        <f>IFERROR(INDEX(PP_Grid[#Data],$DE8,79),0)</f>
        <v/>
      </c>
      <c r="CE8">
        <f>IFERROR(INDEX(PP_Grid[#Data],$DE8,80),0)</f>
        <v/>
      </c>
      <c r="CF8">
        <f>IFERROR(INDEX(PP_Grid[#Data],$DE8,81),0)</f>
        <v/>
      </c>
      <c r="CG8">
        <f>IFERROR(INDEX(PP_Grid[#Data],$DE8,82),0)</f>
        <v/>
      </c>
      <c r="CH8">
        <f>IFERROR(INDEX(PP_Grid[#Data],$DE8,83),0)</f>
        <v/>
      </c>
      <c r="CI8">
        <f>IFERROR(INDEX(PP_Grid[#Data],$DE8,84),0)</f>
        <v/>
      </c>
      <c r="CJ8">
        <f>IFERROR(INDEX(PP_Grid[#Data],$DE8,85),0)</f>
        <v/>
      </c>
      <c r="CK8">
        <f>IFERROR(INDEX(PP_Grid[#Data],$DE8,86),0)</f>
        <v/>
      </c>
      <c r="CL8">
        <f>IFERROR(INDEX(PP_Grid[#Data],$DE8,87),0)</f>
        <v/>
      </c>
      <c r="CM8">
        <f>IFERROR(INDEX(PP_Grid[#Data],$DE8,88),0)</f>
        <v/>
      </c>
      <c r="CN8">
        <f>IFERROR(INDEX(PP_Grid[#Data],$DE8,89),0)</f>
        <v/>
      </c>
      <c r="CO8">
        <f>IFERROR(INDEX(PP_Grid[#Data],$DE8,90),0)</f>
        <v/>
      </c>
      <c r="CP8">
        <f>IFERROR(INDEX(PP_Grid[#Data],$DE8,91),0)</f>
        <v/>
      </c>
      <c r="CQ8">
        <f>IFERROR(INDEX(PP_Grid[#Data],$DE8,92),0)</f>
        <v/>
      </c>
      <c r="CR8">
        <f>IFERROR(INDEX(PP_Grid[#Data],$DE8,93),0)</f>
        <v/>
      </c>
      <c r="CS8">
        <f>IFERROR(INDEX(PP_Grid[#Data],$DE8,94),0)</f>
        <v/>
      </c>
      <c r="CT8">
        <f>IFERROR(INDEX(PP_Grid[#Data],$DE8,95),0)</f>
        <v/>
      </c>
      <c r="CU8">
        <f>IFERROR(INDEX(PP_Grid[#Data],$DE8,96),0)</f>
        <v/>
      </c>
      <c r="CV8">
        <f>IFERROR(INDEX(PP_Grid[#Data],$DE8,97),0)</f>
        <v/>
      </c>
      <c r="CW8">
        <f>IFERROR(INDEX(PP_Grid[#Data],$DE8,98),0)</f>
        <v/>
      </c>
      <c r="CX8">
        <f>IFERROR(INDEX(PP_Grid[#Data],$DE8,99),0)</f>
        <v/>
      </c>
      <c r="CY8">
        <f>IFERROR(INDEX(PP_Grid[#Data],$DE8,100),0)</f>
        <v/>
      </c>
      <c r="CZ8">
        <f>IFERROR(INDEX(PP_Grid[#Data],$DE8,101),0)</f>
        <v/>
      </c>
      <c r="DA8">
        <f>IFERROR(INDEX(PP_Grid[#Data],$DE8,102),0)</f>
        <v/>
      </c>
      <c r="DB8">
        <f>IFERROR(INDEX(PP_Grid[#Data],$DE8,103),0)</f>
        <v/>
      </c>
      <c r="DC8">
        <f>IFERROR(INDEX(PP_Grid[#Data],$DE8,104),0)</f>
        <v/>
      </c>
      <c r="DD8">
        <f>IFERROR(INDEX(PP_Grid[#Data],$DE8,105),0)</f>
        <v/>
      </c>
      <c r="DE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SUMIFS(M_BOM[RM_Qty_Per_Batch],M_BOM[Intermediate],$B8,M_BOM[RM_Code],$A7)</f>
        <v/>
      </c>
      <c r="D9">
        <f>IFERROR(INDEX(E9:DD9,$F$1),"")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  <c r="DD9">
        <f>$C9*DD8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IFERROR(INDEX(E10:DD10,$F$1),"")</f>
        <v/>
      </c>
      <c r="E10">
        <f>IFERROR(INDEX(PP_Grid[#Data],$DE10,2),0)</f>
        <v/>
      </c>
      <c r="F10">
        <f>IFERROR(INDEX(PP_Grid[#Data],$DE10,3),0)</f>
        <v/>
      </c>
      <c r="G10">
        <f>IFERROR(INDEX(PP_Grid[#Data],$DE10,4),0)</f>
        <v/>
      </c>
      <c r="H10">
        <f>IFERROR(INDEX(PP_Grid[#Data],$DE10,5),0)</f>
        <v/>
      </c>
      <c r="I10">
        <f>IFERROR(INDEX(PP_Grid[#Data],$DE10,6),0)</f>
        <v/>
      </c>
      <c r="J10">
        <f>IFERROR(INDEX(PP_Grid[#Data],$DE10,7),0)</f>
        <v/>
      </c>
      <c r="K10">
        <f>IFERROR(INDEX(PP_Grid[#Data],$DE10,8),0)</f>
        <v/>
      </c>
      <c r="L10">
        <f>IFERROR(INDEX(PP_Grid[#Data],$DE10,9),0)</f>
        <v/>
      </c>
      <c r="M10">
        <f>IFERROR(INDEX(PP_Grid[#Data],$DE10,10),0)</f>
        <v/>
      </c>
      <c r="N10">
        <f>IFERROR(INDEX(PP_Grid[#Data],$DE10,11),0)</f>
        <v/>
      </c>
      <c r="O10">
        <f>IFERROR(INDEX(PP_Grid[#Data],$DE10,12),0)</f>
        <v/>
      </c>
      <c r="P10">
        <f>IFERROR(INDEX(PP_Grid[#Data],$DE10,13),0)</f>
        <v/>
      </c>
      <c r="Q10">
        <f>IFERROR(INDEX(PP_Grid[#Data],$DE10,14),0)</f>
        <v/>
      </c>
      <c r="R10">
        <f>IFERROR(INDEX(PP_Grid[#Data],$DE10,15),0)</f>
        <v/>
      </c>
      <c r="S10">
        <f>IFERROR(INDEX(PP_Grid[#Data],$DE10,16),0)</f>
        <v/>
      </c>
      <c r="T10">
        <f>IFERROR(INDEX(PP_Grid[#Data],$DE10,17),0)</f>
        <v/>
      </c>
      <c r="U10">
        <f>IFERROR(INDEX(PP_Grid[#Data],$DE10,18),0)</f>
        <v/>
      </c>
      <c r="V10">
        <f>IFERROR(INDEX(PP_Grid[#Data],$DE10,19),0)</f>
        <v/>
      </c>
      <c r="W10">
        <f>IFERROR(INDEX(PP_Grid[#Data],$DE10,20),0)</f>
        <v/>
      </c>
      <c r="X10">
        <f>IFERROR(INDEX(PP_Grid[#Data],$DE10,21),0)</f>
        <v/>
      </c>
      <c r="Y10">
        <f>IFERROR(INDEX(PP_Grid[#Data],$DE10,22),0)</f>
        <v/>
      </c>
      <c r="Z10">
        <f>IFERROR(INDEX(PP_Grid[#Data],$DE10,23),0)</f>
        <v/>
      </c>
      <c r="AA10">
        <f>IFERROR(INDEX(PP_Grid[#Data],$DE10,24),0)</f>
        <v/>
      </c>
      <c r="AB10">
        <f>IFERROR(INDEX(PP_Grid[#Data],$DE10,25),0)</f>
        <v/>
      </c>
      <c r="AC10">
        <f>IFERROR(INDEX(PP_Grid[#Data],$DE10,26),0)</f>
        <v/>
      </c>
      <c r="AD10">
        <f>IFERROR(INDEX(PP_Grid[#Data],$DE10,27),0)</f>
        <v/>
      </c>
      <c r="AE10">
        <f>IFERROR(INDEX(PP_Grid[#Data],$DE10,28),0)</f>
        <v/>
      </c>
      <c r="AF10">
        <f>IFERROR(INDEX(PP_Grid[#Data],$DE10,29),0)</f>
        <v/>
      </c>
      <c r="AG10">
        <f>IFERROR(INDEX(PP_Grid[#Data],$DE10,30),0)</f>
        <v/>
      </c>
      <c r="AH10">
        <f>IFERROR(INDEX(PP_Grid[#Data],$DE10,31),0)</f>
        <v/>
      </c>
      <c r="AI10">
        <f>IFERROR(INDEX(PP_Grid[#Data],$DE10,32),0)</f>
        <v/>
      </c>
      <c r="AJ10">
        <f>IFERROR(INDEX(PP_Grid[#Data],$DE10,33),0)</f>
        <v/>
      </c>
      <c r="AK10">
        <f>IFERROR(INDEX(PP_Grid[#Data],$DE10,34),0)</f>
        <v/>
      </c>
      <c r="AL10">
        <f>IFERROR(INDEX(PP_Grid[#Data],$DE10,35),0)</f>
        <v/>
      </c>
      <c r="AM10">
        <f>IFERROR(INDEX(PP_Grid[#Data],$DE10,36),0)</f>
        <v/>
      </c>
      <c r="AN10">
        <f>IFERROR(INDEX(PP_Grid[#Data],$DE10,37),0)</f>
        <v/>
      </c>
      <c r="AO10">
        <f>IFERROR(INDEX(PP_Grid[#Data],$DE10,38),0)</f>
        <v/>
      </c>
      <c r="AP10">
        <f>IFERROR(INDEX(PP_Grid[#Data],$DE10,39),0)</f>
        <v/>
      </c>
      <c r="AQ10">
        <f>IFERROR(INDEX(PP_Grid[#Data],$DE10,40),0)</f>
        <v/>
      </c>
      <c r="AR10">
        <f>IFERROR(INDEX(PP_Grid[#Data],$DE10,41),0)</f>
        <v/>
      </c>
      <c r="AS10">
        <f>IFERROR(INDEX(PP_Grid[#Data],$DE10,42),0)</f>
        <v/>
      </c>
      <c r="AT10">
        <f>IFERROR(INDEX(PP_Grid[#Data],$DE10,43),0)</f>
        <v/>
      </c>
      <c r="AU10">
        <f>IFERROR(INDEX(PP_Grid[#Data],$DE10,44),0)</f>
        <v/>
      </c>
      <c r="AV10">
        <f>IFERROR(INDEX(PP_Grid[#Data],$DE10,45),0)</f>
        <v/>
      </c>
      <c r="AW10">
        <f>IFERROR(INDEX(PP_Grid[#Data],$DE10,46),0)</f>
        <v/>
      </c>
      <c r="AX10">
        <f>IFERROR(INDEX(PP_Grid[#Data],$DE10,47),0)</f>
        <v/>
      </c>
      <c r="AY10">
        <f>IFERROR(INDEX(PP_Grid[#Data],$DE10,48),0)</f>
        <v/>
      </c>
      <c r="AZ10">
        <f>IFERROR(INDEX(PP_Grid[#Data],$DE10,49),0)</f>
        <v/>
      </c>
      <c r="BA10">
        <f>IFERROR(INDEX(PP_Grid[#Data],$DE10,50),0)</f>
        <v/>
      </c>
      <c r="BB10">
        <f>IFERROR(INDEX(PP_Grid[#Data],$DE10,51),0)</f>
        <v/>
      </c>
      <c r="BC10">
        <f>IFERROR(INDEX(PP_Grid[#Data],$DE10,52),0)</f>
        <v/>
      </c>
      <c r="BD10">
        <f>IFERROR(INDEX(PP_Grid[#Data],$DE10,53),0)</f>
        <v/>
      </c>
      <c r="BE10">
        <f>IFERROR(INDEX(PP_Grid[#Data],$DE10,54),0)</f>
        <v/>
      </c>
      <c r="BF10">
        <f>IFERROR(INDEX(PP_Grid[#Data],$DE10,55),0)</f>
        <v/>
      </c>
      <c r="BG10">
        <f>IFERROR(INDEX(PP_Grid[#Data],$DE10,56),0)</f>
        <v/>
      </c>
      <c r="BH10">
        <f>IFERROR(INDEX(PP_Grid[#Data],$DE10,57),0)</f>
        <v/>
      </c>
      <c r="BI10">
        <f>IFERROR(INDEX(PP_Grid[#Data],$DE10,58),0)</f>
        <v/>
      </c>
      <c r="BJ10">
        <f>IFERROR(INDEX(PP_Grid[#Data],$DE10,59),0)</f>
        <v/>
      </c>
      <c r="BK10">
        <f>IFERROR(INDEX(PP_Grid[#Data],$DE10,60),0)</f>
        <v/>
      </c>
      <c r="BL10">
        <f>IFERROR(INDEX(PP_Grid[#Data],$DE10,61),0)</f>
        <v/>
      </c>
      <c r="BM10">
        <f>IFERROR(INDEX(PP_Grid[#Data],$DE10,62),0)</f>
        <v/>
      </c>
      <c r="BN10">
        <f>IFERROR(INDEX(PP_Grid[#Data],$DE10,63),0)</f>
        <v/>
      </c>
      <c r="BO10">
        <f>IFERROR(INDEX(PP_Grid[#Data],$DE10,64),0)</f>
        <v/>
      </c>
      <c r="BP10">
        <f>IFERROR(INDEX(PP_Grid[#Data],$DE10,65),0)</f>
        <v/>
      </c>
      <c r="BQ10">
        <f>IFERROR(INDEX(PP_Grid[#Data],$DE10,66),0)</f>
        <v/>
      </c>
      <c r="BR10">
        <f>IFERROR(INDEX(PP_Grid[#Data],$DE10,67),0)</f>
        <v/>
      </c>
      <c r="BS10">
        <f>IFERROR(INDEX(PP_Grid[#Data],$DE10,68),0)</f>
        <v/>
      </c>
      <c r="BT10">
        <f>IFERROR(INDEX(PP_Grid[#Data],$DE10,69),0)</f>
        <v/>
      </c>
      <c r="BU10">
        <f>IFERROR(INDEX(PP_Grid[#Data],$DE10,70),0)</f>
        <v/>
      </c>
      <c r="BV10">
        <f>IFERROR(INDEX(PP_Grid[#Data],$DE10,71),0)</f>
        <v/>
      </c>
      <c r="BW10">
        <f>IFERROR(INDEX(PP_Grid[#Data],$DE10,72),0)</f>
        <v/>
      </c>
      <c r="BX10">
        <f>IFERROR(INDEX(PP_Grid[#Data],$DE10,73),0)</f>
        <v/>
      </c>
      <c r="BY10">
        <f>IFERROR(INDEX(PP_Grid[#Data],$DE10,74),0)</f>
        <v/>
      </c>
      <c r="BZ10">
        <f>IFERROR(INDEX(PP_Grid[#Data],$DE10,75),0)</f>
        <v/>
      </c>
      <c r="CA10">
        <f>IFERROR(INDEX(PP_Grid[#Data],$DE10,76),0)</f>
        <v/>
      </c>
      <c r="CB10">
        <f>IFERROR(INDEX(PP_Grid[#Data],$DE10,77),0)</f>
        <v/>
      </c>
      <c r="CC10">
        <f>IFERROR(INDEX(PP_Grid[#Data],$DE10,78),0)</f>
        <v/>
      </c>
      <c r="CD10">
        <f>IFERROR(INDEX(PP_Grid[#Data],$DE10,79),0)</f>
        <v/>
      </c>
      <c r="CE10">
        <f>IFERROR(INDEX(PP_Grid[#Data],$DE10,80),0)</f>
        <v/>
      </c>
      <c r="CF10">
        <f>IFERROR(INDEX(PP_Grid[#Data],$DE10,81),0)</f>
        <v/>
      </c>
      <c r="CG10">
        <f>IFERROR(INDEX(PP_Grid[#Data],$DE10,82),0)</f>
        <v/>
      </c>
      <c r="CH10">
        <f>IFERROR(INDEX(PP_Grid[#Data],$DE10,83),0)</f>
        <v/>
      </c>
      <c r="CI10">
        <f>IFERROR(INDEX(PP_Grid[#Data],$DE10,84),0)</f>
        <v/>
      </c>
      <c r="CJ10">
        <f>IFERROR(INDEX(PP_Grid[#Data],$DE10,85),0)</f>
        <v/>
      </c>
      <c r="CK10">
        <f>IFERROR(INDEX(PP_Grid[#Data],$DE10,86),0)</f>
        <v/>
      </c>
      <c r="CL10">
        <f>IFERROR(INDEX(PP_Grid[#Data],$DE10,87),0)</f>
        <v/>
      </c>
      <c r="CM10">
        <f>IFERROR(INDEX(PP_Grid[#Data],$DE10,88),0)</f>
        <v/>
      </c>
      <c r="CN10">
        <f>IFERROR(INDEX(PP_Grid[#Data],$DE10,89),0)</f>
        <v/>
      </c>
      <c r="CO10">
        <f>IFERROR(INDEX(PP_Grid[#Data],$DE10,90),0)</f>
        <v/>
      </c>
      <c r="CP10">
        <f>IFERROR(INDEX(PP_Grid[#Data],$DE10,91),0)</f>
        <v/>
      </c>
      <c r="CQ10">
        <f>IFERROR(INDEX(PP_Grid[#Data],$DE10,92),0)</f>
        <v/>
      </c>
      <c r="CR10">
        <f>IFERROR(INDEX(PP_Grid[#Data],$DE10,93),0)</f>
        <v/>
      </c>
      <c r="CS10">
        <f>IFERROR(INDEX(PP_Grid[#Data],$DE10,94),0)</f>
        <v/>
      </c>
      <c r="CT10">
        <f>IFERROR(INDEX(PP_Grid[#Data],$DE10,95),0)</f>
        <v/>
      </c>
      <c r="CU10">
        <f>IFERROR(INDEX(PP_Grid[#Data],$DE10,96),0)</f>
        <v/>
      </c>
      <c r="CV10">
        <f>IFERROR(INDEX(PP_Grid[#Data],$DE10,97),0)</f>
        <v/>
      </c>
      <c r="CW10">
        <f>IFERROR(INDEX(PP_Grid[#Data],$DE10,98),0)</f>
        <v/>
      </c>
      <c r="CX10">
        <f>IFERROR(INDEX(PP_Grid[#Data],$DE10,99),0)</f>
        <v/>
      </c>
      <c r="CY10">
        <f>IFERROR(INDEX(PP_Grid[#Data],$DE10,100),0)</f>
        <v/>
      </c>
      <c r="CZ10">
        <f>IFERROR(INDEX(PP_Grid[#Data],$DE10,101),0)</f>
        <v/>
      </c>
      <c r="DA10">
        <f>IFERROR(INDEX(PP_Grid[#Data],$DE10,102),0)</f>
        <v/>
      </c>
      <c r="DB10">
        <f>IFERROR(INDEX(PP_Grid[#Data],$DE10,103),0)</f>
        <v/>
      </c>
      <c r="DC10">
        <f>IFERROR(INDEX(PP_Grid[#Data],$DE10,104),0)</f>
        <v/>
      </c>
      <c r="DD10">
        <f>IFERROR(INDEX(PP_Grid[#Data],$DE10,105),0)</f>
        <v/>
      </c>
      <c r="DE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SUMIFS(M_BOM[RM_Qty_Per_Batch],M_BOM[Intermediate],$B10,M_BOM[RM_Code],$A7)</f>
        <v/>
      </c>
      <c r="D11">
        <f>IFERROR(INDEX(E11:DD11,$F$1),"")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  <c r="DD11">
        <f>$C11*DD10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IFERROR(INDEX(E12:DD12,$F$1),"")</f>
        <v/>
      </c>
      <c r="E12">
        <f>IFERROR(INDEX(PP_Grid[#Data],$DE12,2),0)</f>
        <v/>
      </c>
      <c r="F12">
        <f>IFERROR(INDEX(PP_Grid[#Data],$DE12,3),0)</f>
        <v/>
      </c>
      <c r="G12">
        <f>IFERROR(INDEX(PP_Grid[#Data],$DE12,4),0)</f>
        <v/>
      </c>
      <c r="H12">
        <f>IFERROR(INDEX(PP_Grid[#Data],$DE12,5),0)</f>
        <v/>
      </c>
      <c r="I12">
        <f>IFERROR(INDEX(PP_Grid[#Data],$DE12,6),0)</f>
        <v/>
      </c>
      <c r="J12">
        <f>IFERROR(INDEX(PP_Grid[#Data],$DE12,7),0)</f>
        <v/>
      </c>
      <c r="K12">
        <f>IFERROR(INDEX(PP_Grid[#Data],$DE12,8),0)</f>
        <v/>
      </c>
      <c r="L12">
        <f>IFERROR(INDEX(PP_Grid[#Data],$DE12,9),0)</f>
        <v/>
      </c>
      <c r="M12">
        <f>IFERROR(INDEX(PP_Grid[#Data],$DE12,10),0)</f>
        <v/>
      </c>
      <c r="N12">
        <f>IFERROR(INDEX(PP_Grid[#Data],$DE12,11),0)</f>
        <v/>
      </c>
      <c r="O12">
        <f>IFERROR(INDEX(PP_Grid[#Data],$DE12,12),0)</f>
        <v/>
      </c>
      <c r="P12">
        <f>IFERROR(INDEX(PP_Grid[#Data],$DE12,13),0)</f>
        <v/>
      </c>
      <c r="Q12">
        <f>IFERROR(INDEX(PP_Grid[#Data],$DE12,14),0)</f>
        <v/>
      </c>
      <c r="R12">
        <f>IFERROR(INDEX(PP_Grid[#Data],$DE12,15),0)</f>
        <v/>
      </c>
      <c r="S12">
        <f>IFERROR(INDEX(PP_Grid[#Data],$DE12,16),0)</f>
        <v/>
      </c>
      <c r="T12">
        <f>IFERROR(INDEX(PP_Grid[#Data],$DE12,17),0)</f>
        <v/>
      </c>
      <c r="U12">
        <f>IFERROR(INDEX(PP_Grid[#Data],$DE12,18),0)</f>
        <v/>
      </c>
      <c r="V12">
        <f>IFERROR(INDEX(PP_Grid[#Data],$DE12,19),0)</f>
        <v/>
      </c>
      <c r="W12">
        <f>IFERROR(INDEX(PP_Grid[#Data],$DE12,20),0)</f>
        <v/>
      </c>
      <c r="X12">
        <f>IFERROR(INDEX(PP_Grid[#Data],$DE12,21),0)</f>
        <v/>
      </c>
      <c r="Y12">
        <f>IFERROR(INDEX(PP_Grid[#Data],$DE12,22),0)</f>
        <v/>
      </c>
      <c r="Z12">
        <f>IFERROR(INDEX(PP_Grid[#Data],$DE12,23),0)</f>
        <v/>
      </c>
      <c r="AA12">
        <f>IFERROR(INDEX(PP_Grid[#Data],$DE12,24),0)</f>
        <v/>
      </c>
      <c r="AB12">
        <f>IFERROR(INDEX(PP_Grid[#Data],$DE12,25),0)</f>
        <v/>
      </c>
      <c r="AC12">
        <f>IFERROR(INDEX(PP_Grid[#Data],$DE12,26),0)</f>
        <v/>
      </c>
      <c r="AD12">
        <f>IFERROR(INDEX(PP_Grid[#Data],$DE12,27),0)</f>
        <v/>
      </c>
      <c r="AE12">
        <f>IFERROR(INDEX(PP_Grid[#Data],$DE12,28),0)</f>
        <v/>
      </c>
      <c r="AF12">
        <f>IFERROR(INDEX(PP_Grid[#Data],$DE12,29),0)</f>
        <v/>
      </c>
      <c r="AG12">
        <f>IFERROR(INDEX(PP_Grid[#Data],$DE12,30),0)</f>
        <v/>
      </c>
      <c r="AH12">
        <f>IFERROR(INDEX(PP_Grid[#Data],$DE12,31),0)</f>
        <v/>
      </c>
      <c r="AI12">
        <f>IFERROR(INDEX(PP_Grid[#Data],$DE12,32),0)</f>
        <v/>
      </c>
      <c r="AJ12">
        <f>IFERROR(INDEX(PP_Grid[#Data],$DE12,33),0)</f>
        <v/>
      </c>
      <c r="AK12">
        <f>IFERROR(INDEX(PP_Grid[#Data],$DE12,34),0)</f>
        <v/>
      </c>
      <c r="AL12">
        <f>IFERROR(INDEX(PP_Grid[#Data],$DE12,35),0)</f>
        <v/>
      </c>
      <c r="AM12">
        <f>IFERROR(INDEX(PP_Grid[#Data],$DE12,36),0)</f>
        <v/>
      </c>
      <c r="AN12">
        <f>IFERROR(INDEX(PP_Grid[#Data],$DE12,37),0)</f>
        <v/>
      </c>
      <c r="AO12">
        <f>IFERROR(INDEX(PP_Grid[#Data],$DE12,38),0)</f>
        <v/>
      </c>
      <c r="AP12">
        <f>IFERROR(INDEX(PP_Grid[#Data],$DE12,39),0)</f>
        <v/>
      </c>
      <c r="AQ12">
        <f>IFERROR(INDEX(PP_Grid[#Data],$DE12,40),0)</f>
        <v/>
      </c>
      <c r="AR12">
        <f>IFERROR(INDEX(PP_Grid[#Data],$DE12,41),0)</f>
        <v/>
      </c>
      <c r="AS12">
        <f>IFERROR(INDEX(PP_Grid[#Data],$DE12,42),0)</f>
        <v/>
      </c>
      <c r="AT12">
        <f>IFERROR(INDEX(PP_Grid[#Data],$DE12,43),0)</f>
        <v/>
      </c>
      <c r="AU12">
        <f>IFERROR(INDEX(PP_Grid[#Data],$DE12,44),0)</f>
        <v/>
      </c>
      <c r="AV12">
        <f>IFERROR(INDEX(PP_Grid[#Data],$DE12,45),0)</f>
        <v/>
      </c>
      <c r="AW12">
        <f>IFERROR(INDEX(PP_Grid[#Data],$DE12,46),0)</f>
        <v/>
      </c>
      <c r="AX12">
        <f>IFERROR(INDEX(PP_Grid[#Data],$DE12,47),0)</f>
        <v/>
      </c>
      <c r="AY12">
        <f>IFERROR(INDEX(PP_Grid[#Data],$DE12,48),0)</f>
        <v/>
      </c>
      <c r="AZ12">
        <f>IFERROR(INDEX(PP_Grid[#Data],$DE12,49),0)</f>
        <v/>
      </c>
      <c r="BA12">
        <f>IFERROR(INDEX(PP_Grid[#Data],$DE12,50),0)</f>
        <v/>
      </c>
      <c r="BB12">
        <f>IFERROR(INDEX(PP_Grid[#Data],$DE12,51),0)</f>
        <v/>
      </c>
      <c r="BC12">
        <f>IFERROR(INDEX(PP_Grid[#Data],$DE12,52),0)</f>
        <v/>
      </c>
      <c r="BD12">
        <f>IFERROR(INDEX(PP_Grid[#Data],$DE12,53),0)</f>
        <v/>
      </c>
      <c r="BE12">
        <f>IFERROR(INDEX(PP_Grid[#Data],$DE12,54),0)</f>
        <v/>
      </c>
      <c r="BF12">
        <f>IFERROR(INDEX(PP_Grid[#Data],$DE12,55),0)</f>
        <v/>
      </c>
      <c r="BG12">
        <f>IFERROR(INDEX(PP_Grid[#Data],$DE12,56),0)</f>
        <v/>
      </c>
      <c r="BH12">
        <f>IFERROR(INDEX(PP_Grid[#Data],$DE12,57),0)</f>
        <v/>
      </c>
      <c r="BI12">
        <f>IFERROR(INDEX(PP_Grid[#Data],$DE12,58),0)</f>
        <v/>
      </c>
      <c r="BJ12">
        <f>IFERROR(INDEX(PP_Grid[#Data],$DE12,59),0)</f>
        <v/>
      </c>
      <c r="BK12">
        <f>IFERROR(INDEX(PP_Grid[#Data],$DE12,60),0)</f>
        <v/>
      </c>
      <c r="BL12">
        <f>IFERROR(INDEX(PP_Grid[#Data],$DE12,61),0)</f>
        <v/>
      </c>
      <c r="BM12">
        <f>IFERROR(INDEX(PP_Grid[#Data],$DE12,62),0)</f>
        <v/>
      </c>
      <c r="BN12">
        <f>IFERROR(INDEX(PP_Grid[#Data],$DE12,63),0)</f>
        <v/>
      </c>
      <c r="BO12">
        <f>IFERROR(INDEX(PP_Grid[#Data],$DE12,64),0)</f>
        <v/>
      </c>
      <c r="BP12">
        <f>IFERROR(INDEX(PP_Grid[#Data],$DE12,65),0)</f>
        <v/>
      </c>
      <c r="BQ12">
        <f>IFERROR(INDEX(PP_Grid[#Data],$DE12,66),0)</f>
        <v/>
      </c>
      <c r="BR12">
        <f>IFERROR(INDEX(PP_Grid[#Data],$DE12,67),0)</f>
        <v/>
      </c>
      <c r="BS12">
        <f>IFERROR(INDEX(PP_Grid[#Data],$DE12,68),0)</f>
        <v/>
      </c>
      <c r="BT12">
        <f>IFERROR(INDEX(PP_Grid[#Data],$DE12,69),0)</f>
        <v/>
      </c>
      <c r="BU12">
        <f>IFERROR(INDEX(PP_Grid[#Data],$DE12,70),0)</f>
        <v/>
      </c>
      <c r="BV12">
        <f>IFERROR(INDEX(PP_Grid[#Data],$DE12,71),0)</f>
        <v/>
      </c>
      <c r="BW12">
        <f>IFERROR(INDEX(PP_Grid[#Data],$DE12,72),0)</f>
        <v/>
      </c>
      <c r="BX12">
        <f>IFERROR(INDEX(PP_Grid[#Data],$DE12,73),0)</f>
        <v/>
      </c>
      <c r="BY12">
        <f>IFERROR(INDEX(PP_Grid[#Data],$DE12,74),0)</f>
        <v/>
      </c>
      <c r="BZ12">
        <f>IFERROR(INDEX(PP_Grid[#Data],$DE12,75),0)</f>
        <v/>
      </c>
      <c r="CA12">
        <f>IFERROR(INDEX(PP_Grid[#Data],$DE12,76),0)</f>
        <v/>
      </c>
      <c r="CB12">
        <f>IFERROR(INDEX(PP_Grid[#Data],$DE12,77),0)</f>
        <v/>
      </c>
      <c r="CC12">
        <f>IFERROR(INDEX(PP_Grid[#Data],$DE12,78),0)</f>
        <v/>
      </c>
      <c r="CD12">
        <f>IFERROR(INDEX(PP_Grid[#Data],$DE12,79),0)</f>
        <v/>
      </c>
      <c r="CE12">
        <f>IFERROR(INDEX(PP_Grid[#Data],$DE12,80),0)</f>
        <v/>
      </c>
      <c r="CF12">
        <f>IFERROR(INDEX(PP_Grid[#Data],$DE12,81),0)</f>
        <v/>
      </c>
      <c r="CG12">
        <f>IFERROR(INDEX(PP_Grid[#Data],$DE12,82),0)</f>
        <v/>
      </c>
      <c r="CH12">
        <f>IFERROR(INDEX(PP_Grid[#Data],$DE12,83),0)</f>
        <v/>
      </c>
      <c r="CI12">
        <f>IFERROR(INDEX(PP_Grid[#Data],$DE12,84),0)</f>
        <v/>
      </c>
      <c r="CJ12">
        <f>IFERROR(INDEX(PP_Grid[#Data],$DE12,85),0)</f>
        <v/>
      </c>
      <c r="CK12">
        <f>IFERROR(INDEX(PP_Grid[#Data],$DE12,86),0)</f>
        <v/>
      </c>
      <c r="CL12">
        <f>IFERROR(INDEX(PP_Grid[#Data],$DE12,87),0)</f>
        <v/>
      </c>
      <c r="CM12">
        <f>IFERROR(INDEX(PP_Grid[#Data],$DE12,88),0)</f>
        <v/>
      </c>
      <c r="CN12">
        <f>IFERROR(INDEX(PP_Grid[#Data],$DE12,89),0)</f>
        <v/>
      </c>
      <c r="CO12">
        <f>IFERROR(INDEX(PP_Grid[#Data],$DE12,90),0)</f>
        <v/>
      </c>
      <c r="CP12">
        <f>IFERROR(INDEX(PP_Grid[#Data],$DE12,91),0)</f>
        <v/>
      </c>
      <c r="CQ12">
        <f>IFERROR(INDEX(PP_Grid[#Data],$DE12,92),0)</f>
        <v/>
      </c>
      <c r="CR12">
        <f>IFERROR(INDEX(PP_Grid[#Data],$DE12,93),0)</f>
        <v/>
      </c>
      <c r="CS12">
        <f>IFERROR(INDEX(PP_Grid[#Data],$DE12,94),0)</f>
        <v/>
      </c>
      <c r="CT12">
        <f>IFERROR(INDEX(PP_Grid[#Data],$DE12,95),0)</f>
        <v/>
      </c>
      <c r="CU12">
        <f>IFERROR(INDEX(PP_Grid[#Data],$DE12,96),0)</f>
        <v/>
      </c>
      <c r="CV12">
        <f>IFERROR(INDEX(PP_Grid[#Data],$DE12,97),0)</f>
        <v/>
      </c>
      <c r="CW12">
        <f>IFERROR(INDEX(PP_Grid[#Data],$DE12,98),0)</f>
        <v/>
      </c>
      <c r="CX12">
        <f>IFERROR(INDEX(PP_Grid[#Data],$DE12,99),0)</f>
        <v/>
      </c>
      <c r="CY12">
        <f>IFERROR(INDEX(PP_Grid[#Data],$DE12,100),0)</f>
        <v/>
      </c>
      <c r="CZ12">
        <f>IFERROR(INDEX(PP_Grid[#Data],$DE12,101),0)</f>
        <v/>
      </c>
      <c r="DA12">
        <f>IFERROR(INDEX(PP_Grid[#Data],$DE12,102),0)</f>
        <v/>
      </c>
      <c r="DB12">
        <f>IFERROR(INDEX(PP_Grid[#Data],$DE12,103),0)</f>
        <v/>
      </c>
      <c r="DC12">
        <f>IFERROR(INDEX(PP_Grid[#Data],$DE12,104),0)</f>
        <v/>
      </c>
      <c r="DD12">
        <f>IFERROR(INDEX(PP_Grid[#Data],$DE12,105),0)</f>
        <v/>
      </c>
      <c r="DE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SUMIFS(M_BOM[RM_Qty_Per_Batch],M_BOM[Intermediate],$B12,M_BOM[RM_Code],$A7)</f>
        <v/>
      </c>
      <c r="D13">
        <f>IFERROR(INDEX(E13:DD13,$F$1),"")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  <c r="DD13">
        <f>$C13*DD12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IFERROR(INDEX(E14:DD14,$F$1),"")</f>
        <v/>
      </c>
      <c r="E14">
        <f>IFERROR(INDEX(PP_Grid[#Data],$DE14,2),0)</f>
        <v/>
      </c>
      <c r="F14">
        <f>IFERROR(INDEX(PP_Grid[#Data],$DE14,3),0)</f>
        <v/>
      </c>
      <c r="G14">
        <f>IFERROR(INDEX(PP_Grid[#Data],$DE14,4),0)</f>
        <v/>
      </c>
      <c r="H14">
        <f>IFERROR(INDEX(PP_Grid[#Data],$DE14,5),0)</f>
        <v/>
      </c>
      <c r="I14">
        <f>IFERROR(INDEX(PP_Grid[#Data],$DE14,6),0)</f>
        <v/>
      </c>
      <c r="J14">
        <f>IFERROR(INDEX(PP_Grid[#Data],$DE14,7),0)</f>
        <v/>
      </c>
      <c r="K14">
        <f>IFERROR(INDEX(PP_Grid[#Data],$DE14,8),0)</f>
        <v/>
      </c>
      <c r="L14">
        <f>IFERROR(INDEX(PP_Grid[#Data],$DE14,9),0)</f>
        <v/>
      </c>
      <c r="M14">
        <f>IFERROR(INDEX(PP_Grid[#Data],$DE14,10),0)</f>
        <v/>
      </c>
      <c r="N14">
        <f>IFERROR(INDEX(PP_Grid[#Data],$DE14,11),0)</f>
        <v/>
      </c>
      <c r="O14">
        <f>IFERROR(INDEX(PP_Grid[#Data],$DE14,12),0)</f>
        <v/>
      </c>
      <c r="P14">
        <f>IFERROR(INDEX(PP_Grid[#Data],$DE14,13),0)</f>
        <v/>
      </c>
      <c r="Q14">
        <f>IFERROR(INDEX(PP_Grid[#Data],$DE14,14),0)</f>
        <v/>
      </c>
      <c r="R14">
        <f>IFERROR(INDEX(PP_Grid[#Data],$DE14,15),0)</f>
        <v/>
      </c>
      <c r="S14">
        <f>IFERROR(INDEX(PP_Grid[#Data],$DE14,16),0)</f>
        <v/>
      </c>
      <c r="T14">
        <f>IFERROR(INDEX(PP_Grid[#Data],$DE14,17),0)</f>
        <v/>
      </c>
      <c r="U14">
        <f>IFERROR(INDEX(PP_Grid[#Data],$DE14,18),0)</f>
        <v/>
      </c>
      <c r="V14">
        <f>IFERROR(INDEX(PP_Grid[#Data],$DE14,19),0)</f>
        <v/>
      </c>
      <c r="W14">
        <f>IFERROR(INDEX(PP_Grid[#Data],$DE14,20),0)</f>
        <v/>
      </c>
      <c r="X14">
        <f>IFERROR(INDEX(PP_Grid[#Data],$DE14,21),0)</f>
        <v/>
      </c>
      <c r="Y14">
        <f>IFERROR(INDEX(PP_Grid[#Data],$DE14,22),0)</f>
        <v/>
      </c>
      <c r="Z14">
        <f>IFERROR(INDEX(PP_Grid[#Data],$DE14,23),0)</f>
        <v/>
      </c>
      <c r="AA14">
        <f>IFERROR(INDEX(PP_Grid[#Data],$DE14,24),0)</f>
        <v/>
      </c>
      <c r="AB14">
        <f>IFERROR(INDEX(PP_Grid[#Data],$DE14,25),0)</f>
        <v/>
      </c>
      <c r="AC14">
        <f>IFERROR(INDEX(PP_Grid[#Data],$DE14,26),0)</f>
        <v/>
      </c>
      <c r="AD14">
        <f>IFERROR(INDEX(PP_Grid[#Data],$DE14,27),0)</f>
        <v/>
      </c>
      <c r="AE14">
        <f>IFERROR(INDEX(PP_Grid[#Data],$DE14,28),0)</f>
        <v/>
      </c>
      <c r="AF14">
        <f>IFERROR(INDEX(PP_Grid[#Data],$DE14,29),0)</f>
        <v/>
      </c>
      <c r="AG14">
        <f>IFERROR(INDEX(PP_Grid[#Data],$DE14,30),0)</f>
        <v/>
      </c>
      <c r="AH14">
        <f>IFERROR(INDEX(PP_Grid[#Data],$DE14,31),0)</f>
        <v/>
      </c>
      <c r="AI14">
        <f>IFERROR(INDEX(PP_Grid[#Data],$DE14,32),0)</f>
        <v/>
      </c>
      <c r="AJ14">
        <f>IFERROR(INDEX(PP_Grid[#Data],$DE14,33),0)</f>
        <v/>
      </c>
      <c r="AK14">
        <f>IFERROR(INDEX(PP_Grid[#Data],$DE14,34),0)</f>
        <v/>
      </c>
      <c r="AL14">
        <f>IFERROR(INDEX(PP_Grid[#Data],$DE14,35),0)</f>
        <v/>
      </c>
      <c r="AM14">
        <f>IFERROR(INDEX(PP_Grid[#Data],$DE14,36),0)</f>
        <v/>
      </c>
      <c r="AN14">
        <f>IFERROR(INDEX(PP_Grid[#Data],$DE14,37),0)</f>
        <v/>
      </c>
      <c r="AO14">
        <f>IFERROR(INDEX(PP_Grid[#Data],$DE14,38),0)</f>
        <v/>
      </c>
      <c r="AP14">
        <f>IFERROR(INDEX(PP_Grid[#Data],$DE14,39),0)</f>
        <v/>
      </c>
      <c r="AQ14">
        <f>IFERROR(INDEX(PP_Grid[#Data],$DE14,40),0)</f>
        <v/>
      </c>
      <c r="AR14">
        <f>IFERROR(INDEX(PP_Grid[#Data],$DE14,41),0)</f>
        <v/>
      </c>
      <c r="AS14">
        <f>IFERROR(INDEX(PP_Grid[#Data],$DE14,42),0)</f>
        <v/>
      </c>
      <c r="AT14">
        <f>IFERROR(INDEX(PP_Grid[#Data],$DE14,43),0)</f>
        <v/>
      </c>
      <c r="AU14">
        <f>IFERROR(INDEX(PP_Grid[#Data],$DE14,44),0)</f>
        <v/>
      </c>
      <c r="AV14">
        <f>IFERROR(INDEX(PP_Grid[#Data],$DE14,45),0)</f>
        <v/>
      </c>
      <c r="AW14">
        <f>IFERROR(INDEX(PP_Grid[#Data],$DE14,46),0)</f>
        <v/>
      </c>
      <c r="AX14">
        <f>IFERROR(INDEX(PP_Grid[#Data],$DE14,47),0)</f>
        <v/>
      </c>
      <c r="AY14">
        <f>IFERROR(INDEX(PP_Grid[#Data],$DE14,48),0)</f>
        <v/>
      </c>
      <c r="AZ14">
        <f>IFERROR(INDEX(PP_Grid[#Data],$DE14,49),0)</f>
        <v/>
      </c>
      <c r="BA14">
        <f>IFERROR(INDEX(PP_Grid[#Data],$DE14,50),0)</f>
        <v/>
      </c>
      <c r="BB14">
        <f>IFERROR(INDEX(PP_Grid[#Data],$DE14,51),0)</f>
        <v/>
      </c>
      <c r="BC14">
        <f>IFERROR(INDEX(PP_Grid[#Data],$DE14,52),0)</f>
        <v/>
      </c>
      <c r="BD14">
        <f>IFERROR(INDEX(PP_Grid[#Data],$DE14,53),0)</f>
        <v/>
      </c>
      <c r="BE14">
        <f>IFERROR(INDEX(PP_Grid[#Data],$DE14,54),0)</f>
        <v/>
      </c>
      <c r="BF14">
        <f>IFERROR(INDEX(PP_Grid[#Data],$DE14,55),0)</f>
        <v/>
      </c>
      <c r="BG14">
        <f>IFERROR(INDEX(PP_Grid[#Data],$DE14,56),0)</f>
        <v/>
      </c>
      <c r="BH14">
        <f>IFERROR(INDEX(PP_Grid[#Data],$DE14,57),0)</f>
        <v/>
      </c>
      <c r="BI14">
        <f>IFERROR(INDEX(PP_Grid[#Data],$DE14,58),0)</f>
        <v/>
      </c>
      <c r="BJ14">
        <f>IFERROR(INDEX(PP_Grid[#Data],$DE14,59),0)</f>
        <v/>
      </c>
      <c r="BK14">
        <f>IFERROR(INDEX(PP_Grid[#Data],$DE14,60),0)</f>
        <v/>
      </c>
      <c r="BL14">
        <f>IFERROR(INDEX(PP_Grid[#Data],$DE14,61),0)</f>
        <v/>
      </c>
      <c r="BM14">
        <f>IFERROR(INDEX(PP_Grid[#Data],$DE14,62),0)</f>
        <v/>
      </c>
      <c r="BN14">
        <f>IFERROR(INDEX(PP_Grid[#Data],$DE14,63),0)</f>
        <v/>
      </c>
      <c r="BO14">
        <f>IFERROR(INDEX(PP_Grid[#Data],$DE14,64),0)</f>
        <v/>
      </c>
      <c r="BP14">
        <f>IFERROR(INDEX(PP_Grid[#Data],$DE14,65),0)</f>
        <v/>
      </c>
      <c r="BQ14">
        <f>IFERROR(INDEX(PP_Grid[#Data],$DE14,66),0)</f>
        <v/>
      </c>
      <c r="BR14">
        <f>IFERROR(INDEX(PP_Grid[#Data],$DE14,67),0)</f>
        <v/>
      </c>
      <c r="BS14">
        <f>IFERROR(INDEX(PP_Grid[#Data],$DE14,68),0)</f>
        <v/>
      </c>
      <c r="BT14">
        <f>IFERROR(INDEX(PP_Grid[#Data],$DE14,69),0)</f>
        <v/>
      </c>
      <c r="BU14">
        <f>IFERROR(INDEX(PP_Grid[#Data],$DE14,70),0)</f>
        <v/>
      </c>
      <c r="BV14">
        <f>IFERROR(INDEX(PP_Grid[#Data],$DE14,71),0)</f>
        <v/>
      </c>
      <c r="BW14">
        <f>IFERROR(INDEX(PP_Grid[#Data],$DE14,72),0)</f>
        <v/>
      </c>
      <c r="BX14">
        <f>IFERROR(INDEX(PP_Grid[#Data],$DE14,73),0)</f>
        <v/>
      </c>
      <c r="BY14">
        <f>IFERROR(INDEX(PP_Grid[#Data],$DE14,74),0)</f>
        <v/>
      </c>
      <c r="BZ14">
        <f>IFERROR(INDEX(PP_Grid[#Data],$DE14,75),0)</f>
        <v/>
      </c>
      <c r="CA14">
        <f>IFERROR(INDEX(PP_Grid[#Data],$DE14,76),0)</f>
        <v/>
      </c>
      <c r="CB14">
        <f>IFERROR(INDEX(PP_Grid[#Data],$DE14,77),0)</f>
        <v/>
      </c>
      <c r="CC14">
        <f>IFERROR(INDEX(PP_Grid[#Data],$DE14,78),0)</f>
        <v/>
      </c>
      <c r="CD14">
        <f>IFERROR(INDEX(PP_Grid[#Data],$DE14,79),0)</f>
        <v/>
      </c>
      <c r="CE14">
        <f>IFERROR(INDEX(PP_Grid[#Data],$DE14,80),0)</f>
        <v/>
      </c>
      <c r="CF14">
        <f>IFERROR(INDEX(PP_Grid[#Data],$DE14,81),0)</f>
        <v/>
      </c>
      <c r="CG14">
        <f>IFERROR(INDEX(PP_Grid[#Data],$DE14,82),0)</f>
        <v/>
      </c>
      <c r="CH14">
        <f>IFERROR(INDEX(PP_Grid[#Data],$DE14,83),0)</f>
        <v/>
      </c>
      <c r="CI14">
        <f>IFERROR(INDEX(PP_Grid[#Data],$DE14,84),0)</f>
        <v/>
      </c>
      <c r="CJ14">
        <f>IFERROR(INDEX(PP_Grid[#Data],$DE14,85),0)</f>
        <v/>
      </c>
      <c r="CK14">
        <f>IFERROR(INDEX(PP_Grid[#Data],$DE14,86),0)</f>
        <v/>
      </c>
      <c r="CL14">
        <f>IFERROR(INDEX(PP_Grid[#Data],$DE14,87),0)</f>
        <v/>
      </c>
      <c r="CM14">
        <f>IFERROR(INDEX(PP_Grid[#Data],$DE14,88),0)</f>
        <v/>
      </c>
      <c r="CN14">
        <f>IFERROR(INDEX(PP_Grid[#Data],$DE14,89),0)</f>
        <v/>
      </c>
      <c r="CO14">
        <f>IFERROR(INDEX(PP_Grid[#Data],$DE14,90),0)</f>
        <v/>
      </c>
      <c r="CP14">
        <f>IFERROR(INDEX(PP_Grid[#Data],$DE14,91),0)</f>
        <v/>
      </c>
      <c r="CQ14">
        <f>IFERROR(INDEX(PP_Grid[#Data],$DE14,92),0)</f>
        <v/>
      </c>
      <c r="CR14">
        <f>IFERROR(INDEX(PP_Grid[#Data],$DE14,93),0)</f>
        <v/>
      </c>
      <c r="CS14">
        <f>IFERROR(INDEX(PP_Grid[#Data],$DE14,94),0)</f>
        <v/>
      </c>
      <c r="CT14">
        <f>IFERROR(INDEX(PP_Grid[#Data],$DE14,95),0)</f>
        <v/>
      </c>
      <c r="CU14">
        <f>IFERROR(INDEX(PP_Grid[#Data],$DE14,96),0)</f>
        <v/>
      </c>
      <c r="CV14">
        <f>IFERROR(INDEX(PP_Grid[#Data],$DE14,97),0)</f>
        <v/>
      </c>
      <c r="CW14">
        <f>IFERROR(INDEX(PP_Grid[#Data],$DE14,98),0)</f>
        <v/>
      </c>
      <c r="CX14">
        <f>IFERROR(INDEX(PP_Grid[#Data],$DE14,99),0)</f>
        <v/>
      </c>
      <c r="CY14">
        <f>IFERROR(INDEX(PP_Grid[#Data],$DE14,100),0)</f>
        <v/>
      </c>
      <c r="CZ14">
        <f>IFERROR(INDEX(PP_Grid[#Data],$DE14,101),0)</f>
        <v/>
      </c>
      <c r="DA14">
        <f>IFERROR(INDEX(PP_Grid[#Data],$DE14,102),0)</f>
        <v/>
      </c>
      <c r="DB14">
        <f>IFERROR(INDEX(PP_Grid[#Data],$DE14,103),0)</f>
        <v/>
      </c>
      <c r="DC14">
        <f>IFERROR(INDEX(PP_Grid[#Data],$DE14,104),0)</f>
        <v/>
      </c>
      <c r="DD14">
        <f>IFERROR(INDEX(PP_Grid[#Data],$DE14,105),0)</f>
        <v/>
      </c>
      <c r="DE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SUMIFS(M_BOM[RM_Qty_Per_Batch],M_BOM[Intermediate],$B14,M_BOM[RM_Code],$A7)</f>
        <v/>
      </c>
      <c r="D15">
        <f>IFERROR(INDEX(E15:DD15,$F$1),"")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  <c r="DD15">
        <f>$C15*DD14</f>
        <v/>
      </c>
    </row>
    <row r="16">
      <c r="B16" t="inlineStr">
        <is>
          <t>TPP-204</t>
        </is>
      </c>
      <c r="C16" t="inlineStr">
        <is>
          <t>No. of batches</t>
        </is>
      </c>
      <c r="D16">
        <f>IFERROR(INDEX(E16:DD16,$F$1),"")</f>
        <v/>
      </c>
      <c r="E16">
        <f>IFERROR(INDEX(PP_Grid[#Data],$DE16,2),0)</f>
        <v/>
      </c>
      <c r="F16">
        <f>IFERROR(INDEX(PP_Grid[#Data],$DE16,3),0)</f>
        <v/>
      </c>
      <c r="G16">
        <f>IFERROR(INDEX(PP_Grid[#Data],$DE16,4),0)</f>
        <v/>
      </c>
      <c r="H16">
        <f>IFERROR(INDEX(PP_Grid[#Data],$DE16,5),0)</f>
        <v/>
      </c>
      <c r="I16">
        <f>IFERROR(INDEX(PP_Grid[#Data],$DE16,6),0)</f>
        <v/>
      </c>
      <c r="J16">
        <f>IFERROR(INDEX(PP_Grid[#Data],$DE16,7),0)</f>
        <v/>
      </c>
      <c r="K16">
        <f>IFERROR(INDEX(PP_Grid[#Data],$DE16,8),0)</f>
        <v/>
      </c>
      <c r="L16">
        <f>IFERROR(INDEX(PP_Grid[#Data],$DE16,9),0)</f>
        <v/>
      </c>
      <c r="M16">
        <f>IFERROR(INDEX(PP_Grid[#Data],$DE16,10),0)</f>
        <v/>
      </c>
      <c r="N16">
        <f>IFERROR(INDEX(PP_Grid[#Data],$DE16,11),0)</f>
        <v/>
      </c>
      <c r="O16">
        <f>IFERROR(INDEX(PP_Grid[#Data],$DE16,12),0)</f>
        <v/>
      </c>
      <c r="P16">
        <f>IFERROR(INDEX(PP_Grid[#Data],$DE16,13),0)</f>
        <v/>
      </c>
      <c r="Q16">
        <f>IFERROR(INDEX(PP_Grid[#Data],$DE16,14),0)</f>
        <v/>
      </c>
      <c r="R16">
        <f>IFERROR(INDEX(PP_Grid[#Data],$DE16,15),0)</f>
        <v/>
      </c>
      <c r="S16">
        <f>IFERROR(INDEX(PP_Grid[#Data],$DE16,16),0)</f>
        <v/>
      </c>
      <c r="T16">
        <f>IFERROR(INDEX(PP_Grid[#Data],$DE16,17),0)</f>
        <v/>
      </c>
      <c r="U16">
        <f>IFERROR(INDEX(PP_Grid[#Data],$DE16,18),0)</f>
        <v/>
      </c>
      <c r="V16">
        <f>IFERROR(INDEX(PP_Grid[#Data],$DE16,19),0)</f>
        <v/>
      </c>
      <c r="W16">
        <f>IFERROR(INDEX(PP_Grid[#Data],$DE16,20),0)</f>
        <v/>
      </c>
      <c r="X16">
        <f>IFERROR(INDEX(PP_Grid[#Data],$DE16,21),0)</f>
        <v/>
      </c>
      <c r="Y16">
        <f>IFERROR(INDEX(PP_Grid[#Data],$DE16,22),0)</f>
        <v/>
      </c>
      <c r="Z16">
        <f>IFERROR(INDEX(PP_Grid[#Data],$DE16,23),0)</f>
        <v/>
      </c>
      <c r="AA16">
        <f>IFERROR(INDEX(PP_Grid[#Data],$DE16,24),0)</f>
        <v/>
      </c>
      <c r="AB16">
        <f>IFERROR(INDEX(PP_Grid[#Data],$DE16,25),0)</f>
        <v/>
      </c>
      <c r="AC16">
        <f>IFERROR(INDEX(PP_Grid[#Data],$DE16,26),0)</f>
        <v/>
      </c>
      <c r="AD16">
        <f>IFERROR(INDEX(PP_Grid[#Data],$DE16,27),0)</f>
        <v/>
      </c>
      <c r="AE16">
        <f>IFERROR(INDEX(PP_Grid[#Data],$DE16,28),0)</f>
        <v/>
      </c>
      <c r="AF16">
        <f>IFERROR(INDEX(PP_Grid[#Data],$DE16,29),0)</f>
        <v/>
      </c>
      <c r="AG16">
        <f>IFERROR(INDEX(PP_Grid[#Data],$DE16,30),0)</f>
        <v/>
      </c>
      <c r="AH16">
        <f>IFERROR(INDEX(PP_Grid[#Data],$DE16,31),0)</f>
        <v/>
      </c>
      <c r="AI16">
        <f>IFERROR(INDEX(PP_Grid[#Data],$DE16,32),0)</f>
        <v/>
      </c>
      <c r="AJ16">
        <f>IFERROR(INDEX(PP_Grid[#Data],$DE16,33),0)</f>
        <v/>
      </c>
      <c r="AK16">
        <f>IFERROR(INDEX(PP_Grid[#Data],$DE16,34),0)</f>
        <v/>
      </c>
      <c r="AL16">
        <f>IFERROR(INDEX(PP_Grid[#Data],$DE16,35),0)</f>
        <v/>
      </c>
      <c r="AM16">
        <f>IFERROR(INDEX(PP_Grid[#Data],$DE16,36),0)</f>
        <v/>
      </c>
      <c r="AN16">
        <f>IFERROR(INDEX(PP_Grid[#Data],$DE16,37),0)</f>
        <v/>
      </c>
      <c r="AO16">
        <f>IFERROR(INDEX(PP_Grid[#Data],$DE16,38),0)</f>
        <v/>
      </c>
      <c r="AP16">
        <f>IFERROR(INDEX(PP_Grid[#Data],$DE16,39),0)</f>
        <v/>
      </c>
      <c r="AQ16">
        <f>IFERROR(INDEX(PP_Grid[#Data],$DE16,40),0)</f>
        <v/>
      </c>
      <c r="AR16">
        <f>IFERROR(INDEX(PP_Grid[#Data],$DE16,41),0)</f>
        <v/>
      </c>
      <c r="AS16">
        <f>IFERROR(INDEX(PP_Grid[#Data],$DE16,42),0)</f>
        <v/>
      </c>
      <c r="AT16">
        <f>IFERROR(INDEX(PP_Grid[#Data],$DE16,43),0)</f>
        <v/>
      </c>
      <c r="AU16">
        <f>IFERROR(INDEX(PP_Grid[#Data],$DE16,44),0)</f>
        <v/>
      </c>
      <c r="AV16">
        <f>IFERROR(INDEX(PP_Grid[#Data],$DE16,45),0)</f>
        <v/>
      </c>
      <c r="AW16">
        <f>IFERROR(INDEX(PP_Grid[#Data],$DE16,46),0)</f>
        <v/>
      </c>
      <c r="AX16">
        <f>IFERROR(INDEX(PP_Grid[#Data],$DE16,47),0)</f>
        <v/>
      </c>
      <c r="AY16">
        <f>IFERROR(INDEX(PP_Grid[#Data],$DE16,48),0)</f>
        <v/>
      </c>
      <c r="AZ16">
        <f>IFERROR(INDEX(PP_Grid[#Data],$DE16,49),0)</f>
        <v/>
      </c>
      <c r="BA16">
        <f>IFERROR(INDEX(PP_Grid[#Data],$DE16,50),0)</f>
        <v/>
      </c>
      <c r="BB16">
        <f>IFERROR(INDEX(PP_Grid[#Data],$DE16,51),0)</f>
        <v/>
      </c>
      <c r="BC16">
        <f>IFERROR(INDEX(PP_Grid[#Data],$DE16,52),0)</f>
        <v/>
      </c>
      <c r="BD16">
        <f>IFERROR(INDEX(PP_Grid[#Data],$DE16,53),0)</f>
        <v/>
      </c>
      <c r="BE16">
        <f>IFERROR(INDEX(PP_Grid[#Data],$DE16,54),0)</f>
        <v/>
      </c>
      <c r="BF16">
        <f>IFERROR(INDEX(PP_Grid[#Data],$DE16,55),0)</f>
        <v/>
      </c>
      <c r="BG16">
        <f>IFERROR(INDEX(PP_Grid[#Data],$DE16,56),0)</f>
        <v/>
      </c>
      <c r="BH16">
        <f>IFERROR(INDEX(PP_Grid[#Data],$DE16,57),0)</f>
        <v/>
      </c>
      <c r="BI16">
        <f>IFERROR(INDEX(PP_Grid[#Data],$DE16,58),0)</f>
        <v/>
      </c>
      <c r="BJ16">
        <f>IFERROR(INDEX(PP_Grid[#Data],$DE16,59),0)</f>
        <v/>
      </c>
      <c r="BK16">
        <f>IFERROR(INDEX(PP_Grid[#Data],$DE16,60),0)</f>
        <v/>
      </c>
      <c r="BL16">
        <f>IFERROR(INDEX(PP_Grid[#Data],$DE16,61),0)</f>
        <v/>
      </c>
      <c r="BM16">
        <f>IFERROR(INDEX(PP_Grid[#Data],$DE16,62),0)</f>
        <v/>
      </c>
      <c r="BN16">
        <f>IFERROR(INDEX(PP_Grid[#Data],$DE16,63),0)</f>
        <v/>
      </c>
      <c r="BO16">
        <f>IFERROR(INDEX(PP_Grid[#Data],$DE16,64),0)</f>
        <v/>
      </c>
      <c r="BP16">
        <f>IFERROR(INDEX(PP_Grid[#Data],$DE16,65),0)</f>
        <v/>
      </c>
      <c r="BQ16">
        <f>IFERROR(INDEX(PP_Grid[#Data],$DE16,66),0)</f>
        <v/>
      </c>
      <c r="BR16">
        <f>IFERROR(INDEX(PP_Grid[#Data],$DE16,67),0)</f>
        <v/>
      </c>
      <c r="BS16">
        <f>IFERROR(INDEX(PP_Grid[#Data],$DE16,68),0)</f>
        <v/>
      </c>
      <c r="BT16">
        <f>IFERROR(INDEX(PP_Grid[#Data],$DE16,69),0)</f>
        <v/>
      </c>
      <c r="BU16">
        <f>IFERROR(INDEX(PP_Grid[#Data],$DE16,70),0)</f>
        <v/>
      </c>
      <c r="BV16">
        <f>IFERROR(INDEX(PP_Grid[#Data],$DE16,71),0)</f>
        <v/>
      </c>
      <c r="BW16">
        <f>IFERROR(INDEX(PP_Grid[#Data],$DE16,72),0)</f>
        <v/>
      </c>
      <c r="BX16">
        <f>IFERROR(INDEX(PP_Grid[#Data],$DE16,73),0)</f>
        <v/>
      </c>
      <c r="BY16">
        <f>IFERROR(INDEX(PP_Grid[#Data],$DE16,74),0)</f>
        <v/>
      </c>
      <c r="BZ16">
        <f>IFERROR(INDEX(PP_Grid[#Data],$DE16,75),0)</f>
        <v/>
      </c>
      <c r="CA16">
        <f>IFERROR(INDEX(PP_Grid[#Data],$DE16,76),0)</f>
        <v/>
      </c>
      <c r="CB16">
        <f>IFERROR(INDEX(PP_Grid[#Data],$DE16,77),0)</f>
        <v/>
      </c>
      <c r="CC16">
        <f>IFERROR(INDEX(PP_Grid[#Data],$DE16,78),0)</f>
        <v/>
      </c>
      <c r="CD16">
        <f>IFERROR(INDEX(PP_Grid[#Data],$DE16,79),0)</f>
        <v/>
      </c>
      <c r="CE16">
        <f>IFERROR(INDEX(PP_Grid[#Data],$DE16,80),0)</f>
        <v/>
      </c>
      <c r="CF16">
        <f>IFERROR(INDEX(PP_Grid[#Data],$DE16,81),0)</f>
        <v/>
      </c>
      <c r="CG16">
        <f>IFERROR(INDEX(PP_Grid[#Data],$DE16,82),0)</f>
        <v/>
      </c>
      <c r="CH16">
        <f>IFERROR(INDEX(PP_Grid[#Data],$DE16,83),0)</f>
        <v/>
      </c>
      <c r="CI16">
        <f>IFERROR(INDEX(PP_Grid[#Data],$DE16,84),0)</f>
        <v/>
      </c>
      <c r="CJ16">
        <f>IFERROR(INDEX(PP_Grid[#Data],$DE16,85),0)</f>
        <v/>
      </c>
      <c r="CK16">
        <f>IFERROR(INDEX(PP_Grid[#Data],$DE16,86),0)</f>
        <v/>
      </c>
      <c r="CL16">
        <f>IFERROR(INDEX(PP_Grid[#Data],$DE16,87),0)</f>
        <v/>
      </c>
      <c r="CM16">
        <f>IFERROR(INDEX(PP_Grid[#Data],$DE16,88),0)</f>
        <v/>
      </c>
      <c r="CN16">
        <f>IFERROR(INDEX(PP_Grid[#Data],$DE16,89),0)</f>
        <v/>
      </c>
      <c r="CO16">
        <f>IFERROR(INDEX(PP_Grid[#Data],$DE16,90),0)</f>
        <v/>
      </c>
      <c r="CP16">
        <f>IFERROR(INDEX(PP_Grid[#Data],$DE16,91),0)</f>
        <v/>
      </c>
      <c r="CQ16">
        <f>IFERROR(INDEX(PP_Grid[#Data],$DE16,92),0)</f>
        <v/>
      </c>
      <c r="CR16">
        <f>IFERROR(INDEX(PP_Grid[#Data],$DE16,93),0)</f>
        <v/>
      </c>
      <c r="CS16">
        <f>IFERROR(INDEX(PP_Grid[#Data],$DE16,94),0)</f>
        <v/>
      </c>
      <c r="CT16">
        <f>IFERROR(INDEX(PP_Grid[#Data],$DE16,95),0)</f>
        <v/>
      </c>
      <c r="CU16">
        <f>IFERROR(INDEX(PP_Grid[#Data],$DE16,96),0)</f>
        <v/>
      </c>
      <c r="CV16">
        <f>IFERROR(INDEX(PP_Grid[#Data],$DE16,97),0)</f>
        <v/>
      </c>
      <c r="CW16">
        <f>IFERROR(INDEX(PP_Grid[#Data],$DE16,98),0)</f>
        <v/>
      </c>
      <c r="CX16">
        <f>IFERROR(INDEX(PP_Grid[#Data],$DE16,99),0)</f>
        <v/>
      </c>
      <c r="CY16">
        <f>IFERROR(INDEX(PP_Grid[#Data],$DE16,100),0)</f>
        <v/>
      </c>
      <c r="CZ16">
        <f>IFERROR(INDEX(PP_Grid[#Data],$DE16,101),0)</f>
        <v/>
      </c>
      <c r="DA16">
        <f>IFERROR(INDEX(PP_Grid[#Data],$DE16,102),0)</f>
        <v/>
      </c>
      <c r="DB16">
        <f>IFERROR(INDEX(PP_Grid[#Data],$DE16,103),0)</f>
        <v/>
      </c>
      <c r="DC16">
        <f>IFERROR(INDEX(PP_Grid[#Data],$DE16,104),0)</f>
        <v/>
      </c>
      <c r="DD16">
        <f>IFERROR(INDEX(PP_Grid[#Data],$DE16,105),0)</f>
        <v/>
      </c>
      <c r="DE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SUMIFS(M_BOM[RM_Qty_Per_Batch],M_BOM[Intermediate],$B16,M_BOM[RM_Code],$A7)</f>
        <v/>
      </c>
      <c r="D17">
        <f>IFERROR(INDEX(E17:DD17,$F$1),"")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  <c r="DD17">
        <f>$C17*DD16</f>
        <v/>
      </c>
    </row>
    <row r="18">
      <c r="B18" t="inlineStr">
        <is>
          <t>TPP-356</t>
        </is>
      </c>
      <c r="C18" t="inlineStr">
        <is>
          <t>No. of batches</t>
        </is>
      </c>
      <c r="D18">
        <f>IFERROR(INDEX(E18:DD18,$F$1),"")</f>
        <v/>
      </c>
      <c r="E18">
        <f>IFERROR(INDEX(PP_Grid[#Data],$DE18,2),0)</f>
        <v/>
      </c>
      <c r="F18">
        <f>IFERROR(INDEX(PP_Grid[#Data],$DE18,3),0)</f>
        <v/>
      </c>
      <c r="G18">
        <f>IFERROR(INDEX(PP_Grid[#Data],$DE18,4),0)</f>
        <v/>
      </c>
      <c r="H18">
        <f>IFERROR(INDEX(PP_Grid[#Data],$DE18,5),0)</f>
        <v/>
      </c>
      <c r="I18">
        <f>IFERROR(INDEX(PP_Grid[#Data],$DE18,6),0)</f>
        <v/>
      </c>
      <c r="J18">
        <f>IFERROR(INDEX(PP_Grid[#Data],$DE18,7),0)</f>
        <v/>
      </c>
      <c r="K18">
        <f>IFERROR(INDEX(PP_Grid[#Data],$DE18,8),0)</f>
        <v/>
      </c>
      <c r="L18">
        <f>IFERROR(INDEX(PP_Grid[#Data],$DE18,9),0)</f>
        <v/>
      </c>
      <c r="M18">
        <f>IFERROR(INDEX(PP_Grid[#Data],$DE18,10),0)</f>
        <v/>
      </c>
      <c r="N18">
        <f>IFERROR(INDEX(PP_Grid[#Data],$DE18,11),0)</f>
        <v/>
      </c>
      <c r="O18">
        <f>IFERROR(INDEX(PP_Grid[#Data],$DE18,12),0)</f>
        <v/>
      </c>
      <c r="P18">
        <f>IFERROR(INDEX(PP_Grid[#Data],$DE18,13),0)</f>
        <v/>
      </c>
      <c r="Q18">
        <f>IFERROR(INDEX(PP_Grid[#Data],$DE18,14),0)</f>
        <v/>
      </c>
      <c r="R18">
        <f>IFERROR(INDEX(PP_Grid[#Data],$DE18,15),0)</f>
        <v/>
      </c>
      <c r="S18">
        <f>IFERROR(INDEX(PP_Grid[#Data],$DE18,16),0)</f>
        <v/>
      </c>
      <c r="T18">
        <f>IFERROR(INDEX(PP_Grid[#Data],$DE18,17),0)</f>
        <v/>
      </c>
      <c r="U18">
        <f>IFERROR(INDEX(PP_Grid[#Data],$DE18,18),0)</f>
        <v/>
      </c>
      <c r="V18">
        <f>IFERROR(INDEX(PP_Grid[#Data],$DE18,19),0)</f>
        <v/>
      </c>
      <c r="W18">
        <f>IFERROR(INDEX(PP_Grid[#Data],$DE18,20),0)</f>
        <v/>
      </c>
      <c r="X18">
        <f>IFERROR(INDEX(PP_Grid[#Data],$DE18,21),0)</f>
        <v/>
      </c>
      <c r="Y18">
        <f>IFERROR(INDEX(PP_Grid[#Data],$DE18,22),0)</f>
        <v/>
      </c>
      <c r="Z18">
        <f>IFERROR(INDEX(PP_Grid[#Data],$DE18,23),0)</f>
        <v/>
      </c>
      <c r="AA18">
        <f>IFERROR(INDEX(PP_Grid[#Data],$DE18,24),0)</f>
        <v/>
      </c>
      <c r="AB18">
        <f>IFERROR(INDEX(PP_Grid[#Data],$DE18,25),0)</f>
        <v/>
      </c>
      <c r="AC18">
        <f>IFERROR(INDEX(PP_Grid[#Data],$DE18,26),0)</f>
        <v/>
      </c>
      <c r="AD18">
        <f>IFERROR(INDEX(PP_Grid[#Data],$DE18,27),0)</f>
        <v/>
      </c>
      <c r="AE18">
        <f>IFERROR(INDEX(PP_Grid[#Data],$DE18,28),0)</f>
        <v/>
      </c>
      <c r="AF18">
        <f>IFERROR(INDEX(PP_Grid[#Data],$DE18,29),0)</f>
        <v/>
      </c>
      <c r="AG18">
        <f>IFERROR(INDEX(PP_Grid[#Data],$DE18,30),0)</f>
        <v/>
      </c>
      <c r="AH18">
        <f>IFERROR(INDEX(PP_Grid[#Data],$DE18,31),0)</f>
        <v/>
      </c>
      <c r="AI18">
        <f>IFERROR(INDEX(PP_Grid[#Data],$DE18,32),0)</f>
        <v/>
      </c>
      <c r="AJ18">
        <f>IFERROR(INDEX(PP_Grid[#Data],$DE18,33),0)</f>
        <v/>
      </c>
      <c r="AK18">
        <f>IFERROR(INDEX(PP_Grid[#Data],$DE18,34),0)</f>
        <v/>
      </c>
      <c r="AL18">
        <f>IFERROR(INDEX(PP_Grid[#Data],$DE18,35),0)</f>
        <v/>
      </c>
      <c r="AM18">
        <f>IFERROR(INDEX(PP_Grid[#Data],$DE18,36),0)</f>
        <v/>
      </c>
      <c r="AN18">
        <f>IFERROR(INDEX(PP_Grid[#Data],$DE18,37),0)</f>
        <v/>
      </c>
      <c r="AO18">
        <f>IFERROR(INDEX(PP_Grid[#Data],$DE18,38),0)</f>
        <v/>
      </c>
      <c r="AP18">
        <f>IFERROR(INDEX(PP_Grid[#Data],$DE18,39),0)</f>
        <v/>
      </c>
      <c r="AQ18">
        <f>IFERROR(INDEX(PP_Grid[#Data],$DE18,40),0)</f>
        <v/>
      </c>
      <c r="AR18">
        <f>IFERROR(INDEX(PP_Grid[#Data],$DE18,41),0)</f>
        <v/>
      </c>
      <c r="AS18">
        <f>IFERROR(INDEX(PP_Grid[#Data],$DE18,42),0)</f>
        <v/>
      </c>
      <c r="AT18">
        <f>IFERROR(INDEX(PP_Grid[#Data],$DE18,43),0)</f>
        <v/>
      </c>
      <c r="AU18">
        <f>IFERROR(INDEX(PP_Grid[#Data],$DE18,44),0)</f>
        <v/>
      </c>
      <c r="AV18">
        <f>IFERROR(INDEX(PP_Grid[#Data],$DE18,45),0)</f>
        <v/>
      </c>
      <c r="AW18">
        <f>IFERROR(INDEX(PP_Grid[#Data],$DE18,46),0)</f>
        <v/>
      </c>
      <c r="AX18">
        <f>IFERROR(INDEX(PP_Grid[#Data],$DE18,47),0)</f>
        <v/>
      </c>
      <c r="AY18">
        <f>IFERROR(INDEX(PP_Grid[#Data],$DE18,48),0)</f>
        <v/>
      </c>
      <c r="AZ18">
        <f>IFERROR(INDEX(PP_Grid[#Data],$DE18,49),0)</f>
        <v/>
      </c>
      <c r="BA18">
        <f>IFERROR(INDEX(PP_Grid[#Data],$DE18,50),0)</f>
        <v/>
      </c>
      <c r="BB18">
        <f>IFERROR(INDEX(PP_Grid[#Data],$DE18,51),0)</f>
        <v/>
      </c>
      <c r="BC18">
        <f>IFERROR(INDEX(PP_Grid[#Data],$DE18,52),0)</f>
        <v/>
      </c>
      <c r="BD18">
        <f>IFERROR(INDEX(PP_Grid[#Data],$DE18,53),0)</f>
        <v/>
      </c>
      <c r="BE18">
        <f>IFERROR(INDEX(PP_Grid[#Data],$DE18,54),0)</f>
        <v/>
      </c>
      <c r="BF18">
        <f>IFERROR(INDEX(PP_Grid[#Data],$DE18,55),0)</f>
        <v/>
      </c>
      <c r="BG18">
        <f>IFERROR(INDEX(PP_Grid[#Data],$DE18,56),0)</f>
        <v/>
      </c>
      <c r="BH18">
        <f>IFERROR(INDEX(PP_Grid[#Data],$DE18,57),0)</f>
        <v/>
      </c>
      <c r="BI18">
        <f>IFERROR(INDEX(PP_Grid[#Data],$DE18,58),0)</f>
        <v/>
      </c>
      <c r="BJ18">
        <f>IFERROR(INDEX(PP_Grid[#Data],$DE18,59),0)</f>
        <v/>
      </c>
      <c r="BK18">
        <f>IFERROR(INDEX(PP_Grid[#Data],$DE18,60),0)</f>
        <v/>
      </c>
      <c r="BL18">
        <f>IFERROR(INDEX(PP_Grid[#Data],$DE18,61),0)</f>
        <v/>
      </c>
      <c r="BM18">
        <f>IFERROR(INDEX(PP_Grid[#Data],$DE18,62),0)</f>
        <v/>
      </c>
      <c r="BN18">
        <f>IFERROR(INDEX(PP_Grid[#Data],$DE18,63),0)</f>
        <v/>
      </c>
      <c r="BO18">
        <f>IFERROR(INDEX(PP_Grid[#Data],$DE18,64),0)</f>
        <v/>
      </c>
      <c r="BP18">
        <f>IFERROR(INDEX(PP_Grid[#Data],$DE18,65),0)</f>
        <v/>
      </c>
      <c r="BQ18">
        <f>IFERROR(INDEX(PP_Grid[#Data],$DE18,66),0)</f>
        <v/>
      </c>
      <c r="BR18">
        <f>IFERROR(INDEX(PP_Grid[#Data],$DE18,67),0)</f>
        <v/>
      </c>
      <c r="BS18">
        <f>IFERROR(INDEX(PP_Grid[#Data],$DE18,68),0)</f>
        <v/>
      </c>
      <c r="BT18">
        <f>IFERROR(INDEX(PP_Grid[#Data],$DE18,69),0)</f>
        <v/>
      </c>
      <c r="BU18">
        <f>IFERROR(INDEX(PP_Grid[#Data],$DE18,70),0)</f>
        <v/>
      </c>
      <c r="BV18">
        <f>IFERROR(INDEX(PP_Grid[#Data],$DE18,71),0)</f>
        <v/>
      </c>
      <c r="BW18">
        <f>IFERROR(INDEX(PP_Grid[#Data],$DE18,72),0)</f>
        <v/>
      </c>
      <c r="BX18">
        <f>IFERROR(INDEX(PP_Grid[#Data],$DE18,73),0)</f>
        <v/>
      </c>
      <c r="BY18">
        <f>IFERROR(INDEX(PP_Grid[#Data],$DE18,74),0)</f>
        <v/>
      </c>
      <c r="BZ18">
        <f>IFERROR(INDEX(PP_Grid[#Data],$DE18,75),0)</f>
        <v/>
      </c>
      <c r="CA18">
        <f>IFERROR(INDEX(PP_Grid[#Data],$DE18,76),0)</f>
        <v/>
      </c>
      <c r="CB18">
        <f>IFERROR(INDEX(PP_Grid[#Data],$DE18,77),0)</f>
        <v/>
      </c>
      <c r="CC18">
        <f>IFERROR(INDEX(PP_Grid[#Data],$DE18,78),0)</f>
        <v/>
      </c>
      <c r="CD18">
        <f>IFERROR(INDEX(PP_Grid[#Data],$DE18,79),0)</f>
        <v/>
      </c>
      <c r="CE18">
        <f>IFERROR(INDEX(PP_Grid[#Data],$DE18,80),0)</f>
        <v/>
      </c>
      <c r="CF18">
        <f>IFERROR(INDEX(PP_Grid[#Data],$DE18,81),0)</f>
        <v/>
      </c>
      <c r="CG18">
        <f>IFERROR(INDEX(PP_Grid[#Data],$DE18,82),0)</f>
        <v/>
      </c>
      <c r="CH18">
        <f>IFERROR(INDEX(PP_Grid[#Data],$DE18,83),0)</f>
        <v/>
      </c>
      <c r="CI18">
        <f>IFERROR(INDEX(PP_Grid[#Data],$DE18,84),0)</f>
        <v/>
      </c>
      <c r="CJ18">
        <f>IFERROR(INDEX(PP_Grid[#Data],$DE18,85),0)</f>
        <v/>
      </c>
      <c r="CK18">
        <f>IFERROR(INDEX(PP_Grid[#Data],$DE18,86),0)</f>
        <v/>
      </c>
      <c r="CL18">
        <f>IFERROR(INDEX(PP_Grid[#Data],$DE18,87),0)</f>
        <v/>
      </c>
      <c r="CM18">
        <f>IFERROR(INDEX(PP_Grid[#Data],$DE18,88),0)</f>
        <v/>
      </c>
      <c r="CN18">
        <f>IFERROR(INDEX(PP_Grid[#Data],$DE18,89),0)</f>
        <v/>
      </c>
      <c r="CO18">
        <f>IFERROR(INDEX(PP_Grid[#Data],$DE18,90),0)</f>
        <v/>
      </c>
      <c r="CP18">
        <f>IFERROR(INDEX(PP_Grid[#Data],$DE18,91),0)</f>
        <v/>
      </c>
      <c r="CQ18">
        <f>IFERROR(INDEX(PP_Grid[#Data],$DE18,92),0)</f>
        <v/>
      </c>
      <c r="CR18">
        <f>IFERROR(INDEX(PP_Grid[#Data],$DE18,93),0)</f>
        <v/>
      </c>
      <c r="CS18">
        <f>IFERROR(INDEX(PP_Grid[#Data],$DE18,94),0)</f>
        <v/>
      </c>
      <c r="CT18">
        <f>IFERROR(INDEX(PP_Grid[#Data],$DE18,95),0)</f>
        <v/>
      </c>
      <c r="CU18">
        <f>IFERROR(INDEX(PP_Grid[#Data],$DE18,96),0)</f>
        <v/>
      </c>
      <c r="CV18">
        <f>IFERROR(INDEX(PP_Grid[#Data],$DE18,97),0)</f>
        <v/>
      </c>
      <c r="CW18">
        <f>IFERROR(INDEX(PP_Grid[#Data],$DE18,98),0)</f>
        <v/>
      </c>
      <c r="CX18">
        <f>IFERROR(INDEX(PP_Grid[#Data],$DE18,99),0)</f>
        <v/>
      </c>
      <c r="CY18">
        <f>IFERROR(INDEX(PP_Grid[#Data],$DE18,100),0)</f>
        <v/>
      </c>
      <c r="CZ18">
        <f>IFERROR(INDEX(PP_Grid[#Data],$DE18,101),0)</f>
        <v/>
      </c>
      <c r="DA18">
        <f>IFERROR(INDEX(PP_Grid[#Data],$DE18,102),0)</f>
        <v/>
      </c>
      <c r="DB18">
        <f>IFERROR(INDEX(PP_Grid[#Data],$DE18,103),0)</f>
        <v/>
      </c>
      <c r="DC18">
        <f>IFERROR(INDEX(PP_Grid[#Data],$DE18,104),0)</f>
        <v/>
      </c>
      <c r="DD18">
        <f>IFERROR(INDEX(PP_Grid[#Data],$DE18,105),0)</f>
        <v/>
      </c>
      <c r="DE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SUMIFS(M_BOM[RM_Qty_Per_Batch],M_BOM[Intermediate],$B18,M_BOM[RM_Code],$A7)</f>
        <v/>
      </c>
      <c r="D19">
        <f>IFERROR(INDEX(E19:DD19,$F$1),"")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  <c r="DD19">
        <f>$C19*DD18</f>
        <v/>
      </c>
    </row>
    <row r="20">
      <c r="B20" t="inlineStr">
        <is>
          <t>No of times used</t>
        </is>
      </c>
      <c r="C20" t="inlineStr">
        <is>
          <t>No. of batches</t>
        </is>
      </c>
      <c r="D20">
        <f>IFERROR(INDEX(E20:DD20,$F$1),"")</f>
        <v/>
      </c>
      <c r="E20">
        <f>IFERROR(INDEX(PP_Grid[#Data],$DE20,2),0)</f>
        <v/>
      </c>
      <c r="F20">
        <f>IFERROR(INDEX(PP_Grid[#Data],$DE20,3),0)</f>
        <v/>
      </c>
      <c r="G20">
        <f>IFERROR(INDEX(PP_Grid[#Data],$DE20,4),0)</f>
        <v/>
      </c>
      <c r="H20">
        <f>IFERROR(INDEX(PP_Grid[#Data],$DE20,5),0)</f>
        <v/>
      </c>
      <c r="I20">
        <f>IFERROR(INDEX(PP_Grid[#Data],$DE20,6),0)</f>
        <v/>
      </c>
      <c r="J20">
        <f>IFERROR(INDEX(PP_Grid[#Data],$DE20,7),0)</f>
        <v/>
      </c>
      <c r="K20">
        <f>IFERROR(INDEX(PP_Grid[#Data],$DE20,8),0)</f>
        <v/>
      </c>
      <c r="L20">
        <f>IFERROR(INDEX(PP_Grid[#Data],$DE20,9),0)</f>
        <v/>
      </c>
      <c r="M20">
        <f>IFERROR(INDEX(PP_Grid[#Data],$DE20,10),0)</f>
        <v/>
      </c>
      <c r="N20">
        <f>IFERROR(INDEX(PP_Grid[#Data],$DE20,11),0)</f>
        <v/>
      </c>
      <c r="O20">
        <f>IFERROR(INDEX(PP_Grid[#Data],$DE20,12),0)</f>
        <v/>
      </c>
      <c r="P20">
        <f>IFERROR(INDEX(PP_Grid[#Data],$DE20,13),0)</f>
        <v/>
      </c>
      <c r="Q20">
        <f>IFERROR(INDEX(PP_Grid[#Data],$DE20,14),0)</f>
        <v/>
      </c>
      <c r="R20">
        <f>IFERROR(INDEX(PP_Grid[#Data],$DE20,15),0)</f>
        <v/>
      </c>
      <c r="S20">
        <f>IFERROR(INDEX(PP_Grid[#Data],$DE20,16),0)</f>
        <v/>
      </c>
      <c r="T20">
        <f>IFERROR(INDEX(PP_Grid[#Data],$DE20,17),0)</f>
        <v/>
      </c>
      <c r="U20">
        <f>IFERROR(INDEX(PP_Grid[#Data],$DE20,18),0)</f>
        <v/>
      </c>
      <c r="V20">
        <f>IFERROR(INDEX(PP_Grid[#Data],$DE20,19),0)</f>
        <v/>
      </c>
      <c r="W20">
        <f>IFERROR(INDEX(PP_Grid[#Data],$DE20,20),0)</f>
        <v/>
      </c>
      <c r="X20">
        <f>IFERROR(INDEX(PP_Grid[#Data],$DE20,21),0)</f>
        <v/>
      </c>
      <c r="Y20">
        <f>IFERROR(INDEX(PP_Grid[#Data],$DE20,22),0)</f>
        <v/>
      </c>
      <c r="Z20">
        <f>IFERROR(INDEX(PP_Grid[#Data],$DE20,23),0)</f>
        <v/>
      </c>
      <c r="AA20">
        <f>IFERROR(INDEX(PP_Grid[#Data],$DE20,24),0)</f>
        <v/>
      </c>
      <c r="AB20">
        <f>IFERROR(INDEX(PP_Grid[#Data],$DE20,25),0)</f>
        <v/>
      </c>
      <c r="AC20">
        <f>IFERROR(INDEX(PP_Grid[#Data],$DE20,26),0)</f>
        <v/>
      </c>
      <c r="AD20">
        <f>IFERROR(INDEX(PP_Grid[#Data],$DE20,27),0)</f>
        <v/>
      </c>
      <c r="AE20">
        <f>IFERROR(INDEX(PP_Grid[#Data],$DE20,28),0)</f>
        <v/>
      </c>
      <c r="AF20">
        <f>IFERROR(INDEX(PP_Grid[#Data],$DE20,29),0)</f>
        <v/>
      </c>
      <c r="AG20">
        <f>IFERROR(INDEX(PP_Grid[#Data],$DE20,30),0)</f>
        <v/>
      </c>
      <c r="AH20">
        <f>IFERROR(INDEX(PP_Grid[#Data],$DE20,31),0)</f>
        <v/>
      </c>
      <c r="AI20">
        <f>IFERROR(INDEX(PP_Grid[#Data],$DE20,32),0)</f>
        <v/>
      </c>
      <c r="AJ20">
        <f>IFERROR(INDEX(PP_Grid[#Data],$DE20,33),0)</f>
        <v/>
      </c>
      <c r="AK20">
        <f>IFERROR(INDEX(PP_Grid[#Data],$DE20,34),0)</f>
        <v/>
      </c>
      <c r="AL20">
        <f>IFERROR(INDEX(PP_Grid[#Data],$DE20,35),0)</f>
        <v/>
      </c>
      <c r="AM20">
        <f>IFERROR(INDEX(PP_Grid[#Data],$DE20,36),0)</f>
        <v/>
      </c>
      <c r="AN20">
        <f>IFERROR(INDEX(PP_Grid[#Data],$DE20,37),0)</f>
        <v/>
      </c>
      <c r="AO20">
        <f>IFERROR(INDEX(PP_Grid[#Data],$DE20,38),0)</f>
        <v/>
      </c>
      <c r="AP20">
        <f>IFERROR(INDEX(PP_Grid[#Data],$DE20,39),0)</f>
        <v/>
      </c>
      <c r="AQ20">
        <f>IFERROR(INDEX(PP_Grid[#Data],$DE20,40),0)</f>
        <v/>
      </c>
      <c r="AR20">
        <f>IFERROR(INDEX(PP_Grid[#Data],$DE20,41),0)</f>
        <v/>
      </c>
      <c r="AS20">
        <f>IFERROR(INDEX(PP_Grid[#Data],$DE20,42),0)</f>
        <v/>
      </c>
      <c r="AT20">
        <f>IFERROR(INDEX(PP_Grid[#Data],$DE20,43),0)</f>
        <v/>
      </c>
      <c r="AU20">
        <f>IFERROR(INDEX(PP_Grid[#Data],$DE20,44),0)</f>
        <v/>
      </c>
      <c r="AV20">
        <f>IFERROR(INDEX(PP_Grid[#Data],$DE20,45),0)</f>
        <v/>
      </c>
      <c r="AW20">
        <f>IFERROR(INDEX(PP_Grid[#Data],$DE20,46),0)</f>
        <v/>
      </c>
      <c r="AX20">
        <f>IFERROR(INDEX(PP_Grid[#Data],$DE20,47),0)</f>
        <v/>
      </c>
      <c r="AY20">
        <f>IFERROR(INDEX(PP_Grid[#Data],$DE20,48),0)</f>
        <v/>
      </c>
      <c r="AZ20">
        <f>IFERROR(INDEX(PP_Grid[#Data],$DE20,49),0)</f>
        <v/>
      </c>
      <c r="BA20">
        <f>IFERROR(INDEX(PP_Grid[#Data],$DE20,50),0)</f>
        <v/>
      </c>
      <c r="BB20">
        <f>IFERROR(INDEX(PP_Grid[#Data],$DE20,51),0)</f>
        <v/>
      </c>
      <c r="BC20">
        <f>IFERROR(INDEX(PP_Grid[#Data],$DE20,52),0)</f>
        <v/>
      </c>
      <c r="BD20">
        <f>IFERROR(INDEX(PP_Grid[#Data],$DE20,53),0)</f>
        <v/>
      </c>
      <c r="BE20">
        <f>IFERROR(INDEX(PP_Grid[#Data],$DE20,54),0)</f>
        <v/>
      </c>
      <c r="BF20">
        <f>IFERROR(INDEX(PP_Grid[#Data],$DE20,55),0)</f>
        <v/>
      </c>
      <c r="BG20">
        <f>IFERROR(INDEX(PP_Grid[#Data],$DE20,56),0)</f>
        <v/>
      </c>
      <c r="BH20">
        <f>IFERROR(INDEX(PP_Grid[#Data],$DE20,57),0)</f>
        <v/>
      </c>
      <c r="BI20">
        <f>IFERROR(INDEX(PP_Grid[#Data],$DE20,58),0)</f>
        <v/>
      </c>
      <c r="BJ20">
        <f>IFERROR(INDEX(PP_Grid[#Data],$DE20,59),0)</f>
        <v/>
      </c>
      <c r="BK20">
        <f>IFERROR(INDEX(PP_Grid[#Data],$DE20,60),0)</f>
        <v/>
      </c>
      <c r="BL20">
        <f>IFERROR(INDEX(PP_Grid[#Data],$DE20,61),0)</f>
        <v/>
      </c>
      <c r="BM20">
        <f>IFERROR(INDEX(PP_Grid[#Data],$DE20,62),0)</f>
        <v/>
      </c>
      <c r="BN20">
        <f>IFERROR(INDEX(PP_Grid[#Data],$DE20,63),0)</f>
        <v/>
      </c>
      <c r="BO20">
        <f>IFERROR(INDEX(PP_Grid[#Data],$DE20,64),0)</f>
        <v/>
      </c>
      <c r="BP20">
        <f>IFERROR(INDEX(PP_Grid[#Data],$DE20,65),0)</f>
        <v/>
      </c>
      <c r="BQ20">
        <f>IFERROR(INDEX(PP_Grid[#Data],$DE20,66),0)</f>
        <v/>
      </c>
      <c r="BR20">
        <f>IFERROR(INDEX(PP_Grid[#Data],$DE20,67),0)</f>
        <v/>
      </c>
      <c r="BS20">
        <f>IFERROR(INDEX(PP_Grid[#Data],$DE20,68),0)</f>
        <v/>
      </c>
      <c r="BT20">
        <f>IFERROR(INDEX(PP_Grid[#Data],$DE20,69),0)</f>
        <v/>
      </c>
      <c r="BU20">
        <f>IFERROR(INDEX(PP_Grid[#Data],$DE20,70),0)</f>
        <v/>
      </c>
      <c r="BV20">
        <f>IFERROR(INDEX(PP_Grid[#Data],$DE20,71),0)</f>
        <v/>
      </c>
      <c r="BW20">
        <f>IFERROR(INDEX(PP_Grid[#Data],$DE20,72),0)</f>
        <v/>
      </c>
      <c r="BX20">
        <f>IFERROR(INDEX(PP_Grid[#Data],$DE20,73),0)</f>
        <v/>
      </c>
      <c r="BY20">
        <f>IFERROR(INDEX(PP_Grid[#Data],$DE20,74),0)</f>
        <v/>
      </c>
      <c r="BZ20">
        <f>IFERROR(INDEX(PP_Grid[#Data],$DE20,75),0)</f>
        <v/>
      </c>
      <c r="CA20">
        <f>IFERROR(INDEX(PP_Grid[#Data],$DE20,76),0)</f>
        <v/>
      </c>
      <c r="CB20">
        <f>IFERROR(INDEX(PP_Grid[#Data],$DE20,77),0)</f>
        <v/>
      </c>
      <c r="CC20">
        <f>IFERROR(INDEX(PP_Grid[#Data],$DE20,78),0)</f>
        <v/>
      </c>
      <c r="CD20">
        <f>IFERROR(INDEX(PP_Grid[#Data],$DE20,79),0)</f>
        <v/>
      </c>
      <c r="CE20">
        <f>IFERROR(INDEX(PP_Grid[#Data],$DE20,80),0)</f>
        <v/>
      </c>
      <c r="CF20">
        <f>IFERROR(INDEX(PP_Grid[#Data],$DE20,81),0)</f>
        <v/>
      </c>
      <c r="CG20">
        <f>IFERROR(INDEX(PP_Grid[#Data],$DE20,82),0)</f>
        <v/>
      </c>
      <c r="CH20">
        <f>IFERROR(INDEX(PP_Grid[#Data],$DE20,83),0)</f>
        <v/>
      </c>
      <c r="CI20">
        <f>IFERROR(INDEX(PP_Grid[#Data],$DE20,84),0)</f>
        <v/>
      </c>
      <c r="CJ20">
        <f>IFERROR(INDEX(PP_Grid[#Data],$DE20,85),0)</f>
        <v/>
      </c>
      <c r="CK20">
        <f>IFERROR(INDEX(PP_Grid[#Data],$DE20,86),0)</f>
        <v/>
      </c>
      <c r="CL20">
        <f>IFERROR(INDEX(PP_Grid[#Data],$DE20,87),0)</f>
        <v/>
      </c>
      <c r="CM20">
        <f>IFERROR(INDEX(PP_Grid[#Data],$DE20,88),0)</f>
        <v/>
      </c>
      <c r="CN20">
        <f>IFERROR(INDEX(PP_Grid[#Data],$DE20,89),0)</f>
        <v/>
      </c>
      <c r="CO20">
        <f>IFERROR(INDEX(PP_Grid[#Data],$DE20,90),0)</f>
        <v/>
      </c>
      <c r="CP20">
        <f>IFERROR(INDEX(PP_Grid[#Data],$DE20,91),0)</f>
        <v/>
      </c>
      <c r="CQ20">
        <f>IFERROR(INDEX(PP_Grid[#Data],$DE20,92),0)</f>
        <v/>
      </c>
      <c r="CR20">
        <f>IFERROR(INDEX(PP_Grid[#Data],$DE20,93),0)</f>
        <v/>
      </c>
      <c r="CS20">
        <f>IFERROR(INDEX(PP_Grid[#Data],$DE20,94),0)</f>
        <v/>
      </c>
      <c r="CT20">
        <f>IFERROR(INDEX(PP_Grid[#Data],$DE20,95),0)</f>
        <v/>
      </c>
      <c r="CU20">
        <f>IFERROR(INDEX(PP_Grid[#Data],$DE20,96),0)</f>
        <v/>
      </c>
      <c r="CV20">
        <f>IFERROR(INDEX(PP_Grid[#Data],$DE20,97),0)</f>
        <v/>
      </c>
      <c r="CW20">
        <f>IFERROR(INDEX(PP_Grid[#Data],$DE20,98),0)</f>
        <v/>
      </c>
      <c r="CX20">
        <f>IFERROR(INDEX(PP_Grid[#Data],$DE20,99),0)</f>
        <v/>
      </c>
      <c r="CY20">
        <f>IFERROR(INDEX(PP_Grid[#Data],$DE20,100),0)</f>
        <v/>
      </c>
      <c r="CZ20">
        <f>IFERROR(INDEX(PP_Grid[#Data],$DE20,101),0)</f>
        <v/>
      </c>
      <c r="DA20">
        <f>IFERROR(INDEX(PP_Grid[#Data],$DE20,102),0)</f>
        <v/>
      </c>
      <c r="DB20">
        <f>IFERROR(INDEX(PP_Grid[#Data],$DE20,103),0)</f>
        <v/>
      </c>
      <c r="DC20">
        <f>IFERROR(INDEX(PP_Grid[#Data],$DE20,104),0)</f>
        <v/>
      </c>
      <c r="DD20">
        <f>IFERROR(INDEX(PP_Grid[#Data],$DE20,105),0)</f>
        <v/>
      </c>
      <c r="DE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SUMIFS(M_BOM[RM_Qty_Per_Batch],M_BOM[Intermediate],$B20,M_BOM[RM_Code],$A7)</f>
        <v/>
      </c>
      <c r="D21">
        <f>IFERROR(INDEX(E21:DD21,$F$1),"")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  <c r="DD21">
        <f>$C21*DD20</f>
        <v/>
      </c>
    </row>
    <row r="22">
      <c r="B22" s="4" t="inlineStr">
        <is>
          <t>合計使用量(kg)/週</t>
        </is>
      </c>
      <c r="D22" s="23">
        <f>IFERROR(INDEX(E22:DD22,$F$1),"")</f>
        <v/>
      </c>
      <c r="E22">
        <f>'Grid_Requirement'!B83</f>
        <v/>
      </c>
      <c r="F22">
        <f>'Grid_Requirement'!C83</f>
        <v/>
      </c>
      <c r="G22">
        <f>'Grid_Requirement'!D83</f>
        <v/>
      </c>
      <c r="H22">
        <f>'Grid_Requirement'!E83</f>
        <v/>
      </c>
      <c r="I22">
        <f>'Grid_Requirement'!F83</f>
        <v/>
      </c>
      <c r="J22">
        <f>'Grid_Requirement'!G83</f>
        <v/>
      </c>
      <c r="K22">
        <f>'Grid_Requirement'!H83</f>
        <v/>
      </c>
      <c r="L22">
        <f>'Grid_Requirement'!I83</f>
        <v/>
      </c>
      <c r="M22">
        <f>'Grid_Requirement'!J83</f>
        <v/>
      </c>
      <c r="N22">
        <f>'Grid_Requirement'!K83</f>
        <v/>
      </c>
      <c r="O22">
        <f>'Grid_Requirement'!L83</f>
        <v/>
      </c>
      <c r="P22">
        <f>'Grid_Requirement'!M83</f>
        <v/>
      </c>
      <c r="Q22">
        <f>'Grid_Requirement'!N83</f>
        <v/>
      </c>
      <c r="R22">
        <f>'Grid_Requirement'!O83</f>
        <v/>
      </c>
      <c r="S22">
        <f>'Grid_Requirement'!P83</f>
        <v/>
      </c>
      <c r="T22">
        <f>'Grid_Requirement'!Q83</f>
        <v/>
      </c>
      <c r="U22">
        <f>'Grid_Requirement'!R83</f>
        <v/>
      </c>
      <c r="V22">
        <f>'Grid_Requirement'!S83</f>
        <v/>
      </c>
      <c r="W22">
        <f>'Grid_Requirement'!T83</f>
        <v/>
      </c>
      <c r="X22">
        <f>'Grid_Requirement'!U83</f>
        <v/>
      </c>
      <c r="Y22">
        <f>'Grid_Requirement'!V83</f>
        <v/>
      </c>
      <c r="Z22">
        <f>'Grid_Requirement'!W83</f>
        <v/>
      </c>
      <c r="AA22">
        <f>'Grid_Requirement'!X83</f>
        <v/>
      </c>
      <c r="AB22">
        <f>'Grid_Requirement'!Y83</f>
        <v/>
      </c>
      <c r="AC22">
        <f>'Grid_Requirement'!Z83</f>
        <v/>
      </c>
      <c r="AD22">
        <f>'Grid_Requirement'!AA83</f>
        <v/>
      </c>
      <c r="AE22">
        <f>'Grid_Requirement'!AB83</f>
        <v/>
      </c>
      <c r="AF22">
        <f>'Grid_Requirement'!AC83</f>
        <v/>
      </c>
      <c r="AG22">
        <f>'Grid_Requirement'!AD83</f>
        <v/>
      </c>
      <c r="AH22">
        <f>'Grid_Requirement'!AE83</f>
        <v/>
      </c>
      <c r="AI22">
        <f>'Grid_Requirement'!AF83</f>
        <v/>
      </c>
      <c r="AJ22">
        <f>'Grid_Requirement'!AG83</f>
        <v/>
      </c>
      <c r="AK22">
        <f>'Grid_Requirement'!AH83</f>
        <v/>
      </c>
      <c r="AL22">
        <f>'Grid_Requirement'!AI83</f>
        <v/>
      </c>
      <c r="AM22">
        <f>'Grid_Requirement'!AJ83</f>
        <v/>
      </c>
      <c r="AN22">
        <f>'Grid_Requirement'!AK83</f>
        <v/>
      </c>
      <c r="AO22">
        <f>'Grid_Requirement'!AL83</f>
        <v/>
      </c>
      <c r="AP22">
        <f>'Grid_Requirement'!AM83</f>
        <v/>
      </c>
      <c r="AQ22">
        <f>'Grid_Requirement'!AN83</f>
        <v/>
      </c>
      <c r="AR22">
        <f>'Grid_Requirement'!AO83</f>
        <v/>
      </c>
      <c r="AS22">
        <f>'Grid_Requirement'!AP83</f>
        <v/>
      </c>
      <c r="AT22">
        <f>'Grid_Requirement'!AQ83</f>
        <v/>
      </c>
      <c r="AU22">
        <f>'Grid_Requirement'!AR83</f>
        <v/>
      </c>
      <c r="AV22">
        <f>'Grid_Requirement'!AS83</f>
        <v/>
      </c>
      <c r="AW22">
        <f>'Grid_Requirement'!AT83</f>
        <v/>
      </c>
      <c r="AX22">
        <f>'Grid_Requirement'!AU83</f>
        <v/>
      </c>
      <c r="AY22">
        <f>'Grid_Requirement'!AV83</f>
        <v/>
      </c>
      <c r="AZ22">
        <f>'Grid_Requirement'!AW83</f>
        <v/>
      </c>
      <c r="BA22">
        <f>'Grid_Requirement'!AX83</f>
        <v/>
      </c>
      <c r="BB22">
        <f>'Grid_Requirement'!AY83</f>
        <v/>
      </c>
      <c r="BC22">
        <f>'Grid_Requirement'!AZ83</f>
        <v/>
      </c>
      <c r="BD22">
        <f>'Grid_Requirement'!BA83</f>
        <v/>
      </c>
      <c r="BE22">
        <f>'Grid_Requirement'!BB83</f>
        <v/>
      </c>
      <c r="BF22">
        <f>'Grid_Requirement'!BC83</f>
        <v/>
      </c>
      <c r="BG22">
        <f>'Grid_Requirement'!BD83</f>
        <v/>
      </c>
      <c r="BH22">
        <f>'Grid_Requirement'!BE83</f>
        <v/>
      </c>
      <c r="BI22">
        <f>'Grid_Requirement'!BF83</f>
        <v/>
      </c>
      <c r="BJ22">
        <f>'Grid_Requirement'!BG83</f>
        <v/>
      </c>
      <c r="BK22">
        <f>'Grid_Requirement'!BH83</f>
        <v/>
      </c>
      <c r="BL22">
        <f>'Grid_Requirement'!BI83</f>
        <v/>
      </c>
      <c r="BM22">
        <f>'Grid_Requirement'!BJ83</f>
        <v/>
      </c>
      <c r="BN22">
        <f>'Grid_Requirement'!BK83</f>
        <v/>
      </c>
      <c r="BO22">
        <f>'Grid_Requirement'!BL83</f>
        <v/>
      </c>
      <c r="BP22">
        <f>'Grid_Requirement'!BM83</f>
        <v/>
      </c>
      <c r="BQ22">
        <f>'Grid_Requirement'!BN83</f>
        <v/>
      </c>
      <c r="BR22">
        <f>'Grid_Requirement'!BO83</f>
        <v/>
      </c>
      <c r="BS22">
        <f>'Grid_Requirement'!BP83</f>
        <v/>
      </c>
      <c r="BT22">
        <f>'Grid_Requirement'!BQ83</f>
        <v/>
      </c>
      <c r="BU22">
        <f>'Grid_Requirement'!BR83</f>
        <v/>
      </c>
      <c r="BV22">
        <f>'Grid_Requirement'!BS83</f>
        <v/>
      </c>
      <c r="BW22">
        <f>'Grid_Requirement'!BT83</f>
        <v/>
      </c>
      <c r="BX22">
        <f>'Grid_Requirement'!BU83</f>
        <v/>
      </c>
      <c r="BY22">
        <f>'Grid_Requirement'!BV83</f>
        <v/>
      </c>
      <c r="BZ22">
        <f>'Grid_Requirement'!BW83</f>
        <v/>
      </c>
      <c r="CA22">
        <f>'Grid_Requirement'!BX83</f>
        <v/>
      </c>
      <c r="CB22">
        <f>'Grid_Requirement'!BY83</f>
        <v/>
      </c>
      <c r="CC22">
        <f>'Grid_Requirement'!BZ83</f>
        <v/>
      </c>
      <c r="CD22">
        <f>'Grid_Requirement'!CA83</f>
        <v/>
      </c>
      <c r="CE22">
        <f>'Grid_Requirement'!CB83</f>
        <v/>
      </c>
      <c r="CF22">
        <f>'Grid_Requirement'!CC83</f>
        <v/>
      </c>
      <c r="CG22">
        <f>'Grid_Requirement'!CD83</f>
        <v/>
      </c>
      <c r="CH22">
        <f>'Grid_Requirement'!CE83</f>
        <v/>
      </c>
      <c r="CI22">
        <f>'Grid_Requirement'!CF83</f>
        <v/>
      </c>
      <c r="CJ22">
        <f>'Grid_Requirement'!CG83</f>
        <v/>
      </c>
      <c r="CK22">
        <f>'Grid_Requirement'!CH83</f>
        <v/>
      </c>
      <c r="CL22">
        <f>'Grid_Requirement'!CI83</f>
        <v/>
      </c>
      <c r="CM22">
        <f>'Grid_Requirement'!CJ83</f>
        <v/>
      </c>
      <c r="CN22">
        <f>'Grid_Requirement'!CK83</f>
        <v/>
      </c>
      <c r="CO22">
        <f>'Grid_Requirement'!CL83</f>
        <v/>
      </c>
      <c r="CP22">
        <f>'Grid_Requirement'!CM83</f>
        <v/>
      </c>
      <c r="CQ22">
        <f>'Grid_Requirement'!CN83</f>
        <v/>
      </c>
      <c r="CR22">
        <f>'Grid_Requirement'!CO83</f>
        <v/>
      </c>
      <c r="CS22">
        <f>'Grid_Requirement'!CP83</f>
        <v/>
      </c>
      <c r="CT22">
        <f>'Grid_Requirement'!CQ83</f>
        <v/>
      </c>
      <c r="CU22">
        <f>'Grid_Requirement'!CR83</f>
        <v/>
      </c>
      <c r="CV22">
        <f>'Grid_Requirement'!CS83</f>
        <v/>
      </c>
      <c r="CW22">
        <f>'Grid_Requirement'!CT83</f>
        <v/>
      </c>
      <c r="CX22">
        <f>'Grid_Requirement'!CU83</f>
        <v/>
      </c>
      <c r="CY22">
        <f>'Grid_Requirement'!CV83</f>
        <v/>
      </c>
      <c r="CZ22">
        <f>'Grid_Requirement'!CW83</f>
        <v/>
      </c>
      <c r="DA22">
        <f>'Grid_Requirement'!CX83</f>
        <v/>
      </c>
      <c r="DB22">
        <f>'Grid_Requirement'!CY83</f>
        <v/>
      </c>
      <c r="DC22">
        <f>'Grid_Requirement'!CZ83</f>
        <v/>
      </c>
      <c r="DD22">
        <f>'Grid_Requirement'!DA83</f>
        <v/>
      </c>
    </row>
    <row r="23">
      <c r="B23" t="inlineStr">
        <is>
          <t>TTAF在庫(実績,kg)</t>
        </is>
      </c>
      <c r="D23">
        <f>IFERROR(INDEX(E23:DD23,$F$1),"")</f>
        <v/>
      </c>
      <c r="E23">
        <f>IFERROR(SUMIFS(T_TTAFStock[TTAF_Qty],T_TTAFStock[RM_Code],$A7,T_TTAFStock[WeekIndex],1),"")</f>
        <v/>
      </c>
      <c r="F23">
        <f>IFERROR(SUMIFS(T_TTAFStock[TTAF_Qty],T_TTAFStock[RM_Code],$A7,T_TTAFStock[WeekIndex],2),"")</f>
        <v/>
      </c>
      <c r="G23">
        <f>IFERROR(SUMIFS(T_TTAFStock[TTAF_Qty],T_TTAFStock[RM_Code],$A7,T_TTAFStock[WeekIndex],3),"")</f>
        <v/>
      </c>
      <c r="H23">
        <f>IFERROR(SUMIFS(T_TTAFStock[TTAF_Qty],T_TTAFStock[RM_Code],$A7,T_TTAFStock[WeekIndex],4),"")</f>
        <v/>
      </c>
      <c r="I23">
        <f>IFERROR(SUMIFS(T_TTAFStock[TTAF_Qty],T_TTAFStock[RM_Code],$A7,T_TTAFStock[WeekIndex],5),"")</f>
        <v/>
      </c>
      <c r="J23">
        <f>IFERROR(SUMIFS(T_TTAFStock[TTAF_Qty],T_TTAFStock[RM_Code],$A7,T_TTAFStock[WeekIndex],6),"")</f>
        <v/>
      </c>
      <c r="K23">
        <f>IFERROR(SUMIFS(T_TTAFStock[TTAF_Qty],T_TTAFStock[RM_Code],$A7,T_TTAFStock[WeekIndex],7),"")</f>
        <v/>
      </c>
      <c r="L23">
        <f>IFERROR(SUMIFS(T_TTAFStock[TTAF_Qty],T_TTAFStock[RM_Code],$A7,T_TTAFStock[WeekIndex],8),"")</f>
        <v/>
      </c>
      <c r="M23">
        <f>IFERROR(SUMIFS(T_TTAFStock[TTAF_Qty],T_TTAFStock[RM_Code],$A7,T_TTAFStock[WeekIndex],9),"")</f>
        <v/>
      </c>
      <c r="N23">
        <f>IFERROR(SUMIFS(T_TTAFStock[TTAF_Qty],T_TTAFStock[RM_Code],$A7,T_TTAFStock[WeekIndex],10),"")</f>
        <v/>
      </c>
      <c r="O23">
        <f>IFERROR(SUMIFS(T_TTAFStock[TTAF_Qty],T_TTAFStock[RM_Code],$A7,T_TTAFStock[WeekIndex],11),"")</f>
        <v/>
      </c>
      <c r="P23">
        <f>IFERROR(SUMIFS(T_TTAFStock[TTAF_Qty],T_TTAFStock[RM_Code],$A7,T_TTAFStock[WeekIndex],12),"")</f>
        <v/>
      </c>
      <c r="Q23">
        <f>IFERROR(SUMIFS(T_TTAFStock[TTAF_Qty],T_TTAFStock[RM_Code],$A7,T_TTAFStock[WeekIndex],13),"")</f>
        <v/>
      </c>
      <c r="R23">
        <f>IFERROR(SUMIFS(T_TTAFStock[TTAF_Qty],T_TTAFStock[RM_Code],$A7,T_TTAFStock[WeekIndex],14),"")</f>
        <v/>
      </c>
      <c r="S23">
        <f>IFERROR(SUMIFS(T_TTAFStock[TTAF_Qty],T_TTAFStock[RM_Code],$A7,T_TTAFStock[WeekIndex],15),"")</f>
        <v/>
      </c>
      <c r="T23">
        <f>IFERROR(SUMIFS(T_TTAFStock[TTAF_Qty],T_TTAFStock[RM_Code],$A7,T_TTAFStock[WeekIndex],16),"")</f>
        <v/>
      </c>
      <c r="U23">
        <f>IFERROR(SUMIFS(T_TTAFStock[TTAF_Qty],T_TTAFStock[RM_Code],$A7,T_TTAFStock[WeekIndex],17),"")</f>
        <v/>
      </c>
      <c r="V23">
        <f>IFERROR(SUMIFS(T_TTAFStock[TTAF_Qty],T_TTAFStock[RM_Code],$A7,T_TTAFStock[WeekIndex],18),"")</f>
        <v/>
      </c>
      <c r="W23">
        <f>IFERROR(SUMIFS(T_TTAFStock[TTAF_Qty],T_TTAFStock[RM_Code],$A7,T_TTAFStock[WeekIndex],19),"")</f>
        <v/>
      </c>
      <c r="X23">
        <f>IFERROR(SUMIFS(T_TTAFStock[TTAF_Qty],T_TTAFStock[RM_Code],$A7,T_TTAFStock[WeekIndex],20),"")</f>
        <v/>
      </c>
      <c r="Y23">
        <f>IFERROR(SUMIFS(T_TTAFStock[TTAF_Qty],T_TTAFStock[RM_Code],$A7,T_TTAFStock[WeekIndex],21),"")</f>
        <v/>
      </c>
      <c r="Z23">
        <f>IFERROR(SUMIFS(T_TTAFStock[TTAF_Qty],T_TTAFStock[RM_Code],$A7,T_TTAFStock[WeekIndex],22),"")</f>
        <v/>
      </c>
      <c r="AA23">
        <f>IFERROR(SUMIFS(T_TTAFStock[TTAF_Qty],T_TTAFStock[RM_Code],$A7,T_TTAFStock[WeekIndex],23),"")</f>
        <v/>
      </c>
      <c r="AB23">
        <f>IFERROR(SUMIFS(T_TTAFStock[TTAF_Qty],T_TTAFStock[RM_Code],$A7,T_TTAFStock[WeekIndex],24),"")</f>
        <v/>
      </c>
      <c r="AC23">
        <f>IFERROR(SUMIFS(T_TTAFStock[TTAF_Qty],T_TTAFStock[RM_Code],$A7,T_TTAFStock[WeekIndex],25),"")</f>
        <v/>
      </c>
      <c r="AD23">
        <f>IFERROR(SUMIFS(T_TTAFStock[TTAF_Qty],T_TTAFStock[RM_Code],$A7,T_TTAFStock[WeekIndex],26),"")</f>
        <v/>
      </c>
      <c r="AE23">
        <f>IFERROR(SUMIFS(T_TTAFStock[TTAF_Qty],T_TTAFStock[RM_Code],$A7,T_TTAFStock[WeekIndex],27),"")</f>
        <v/>
      </c>
      <c r="AF23">
        <f>IFERROR(SUMIFS(T_TTAFStock[TTAF_Qty],T_TTAFStock[RM_Code],$A7,T_TTAFStock[WeekIndex],28),"")</f>
        <v/>
      </c>
      <c r="AG23">
        <f>IFERROR(SUMIFS(T_TTAFStock[TTAF_Qty],T_TTAFStock[RM_Code],$A7,T_TTAFStock[WeekIndex],29),"")</f>
        <v/>
      </c>
      <c r="AH23">
        <f>IFERROR(SUMIFS(T_TTAFStock[TTAF_Qty],T_TTAFStock[RM_Code],$A7,T_TTAFStock[WeekIndex],30),"")</f>
        <v/>
      </c>
      <c r="AI23">
        <f>IFERROR(SUMIFS(T_TTAFStock[TTAF_Qty],T_TTAFStock[RM_Code],$A7,T_TTAFStock[WeekIndex],31),"")</f>
        <v/>
      </c>
      <c r="AJ23">
        <f>IFERROR(SUMIFS(T_TTAFStock[TTAF_Qty],T_TTAFStock[RM_Code],$A7,T_TTAFStock[WeekIndex],32),"")</f>
        <v/>
      </c>
      <c r="AK23">
        <f>IFERROR(SUMIFS(T_TTAFStock[TTAF_Qty],T_TTAFStock[RM_Code],$A7,T_TTAFStock[WeekIndex],33),"")</f>
        <v/>
      </c>
      <c r="AL23">
        <f>IFERROR(SUMIFS(T_TTAFStock[TTAF_Qty],T_TTAFStock[RM_Code],$A7,T_TTAFStock[WeekIndex],34),"")</f>
        <v/>
      </c>
      <c r="AM23">
        <f>IFERROR(SUMIFS(T_TTAFStock[TTAF_Qty],T_TTAFStock[RM_Code],$A7,T_TTAFStock[WeekIndex],35),"")</f>
        <v/>
      </c>
      <c r="AN23">
        <f>IFERROR(SUMIFS(T_TTAFStock[TTAF_Qty],T_TTAFStock[RM_Code],$A7,T_TTAFStock[WeekIndex],36),"")</f>
        <v/>
      </c>
      <c r="AO23">
        <f>IFERROR(SUMIFS(T_TTAFStock[TTAF_Qty],T_TTAFStock[RM_Code],$A7,T_TTAFStock[WeekIndex],37),"")</f>
        <v/>
      </c>
      <c r="AP23">
        <f>IFERROR(SUMIFS(T_TTAFStock[TTAF_Qty],T_TTAFStock[RM_Code],$A7,T_TTAFStock[WeekIndex],38),"")</f>
        <v/>
      </c>
      <c r="AQ23">
        <f>IFERROR(SUMIFS(T_TTAFStock[TTAF_Qty],T_TTAFStock[RM_Code],$A7,T_TTAFStock[WeekIndex],39),"")</f>
        <v/>
      </c>
      <c r="AR23">
        <f>IFERROR(SUMIFS(T_TTAFStock[TTAF_Qty],T_TTAFStock[RM_Code],$A7,T_TTAFStock[WeekIndex],40),"")</f>
        <v/>
      </c>
      <c r="AS23">
        <f>IFERROR(SUMIFS(T_TTAFStock[TTAF_Qty],T_TTAFStock[RM_Code],$A7,T_TTAFStock[WeekIndex],41),"")</f>
        <v/>
      </c>
      <c r="AT23">
        <f>IFERROR(SUMIFS(T_TTAFStock[TTAF_Qty],T_TTAFStock[RM_Code],$A7,T_TTAFStock[WeekIndex],42),"")</f>
        <v/>
      </c>
      <c r="AU23">
        <f>IFERROR(SUMIFS(T_TTAFStock[TTAF_Qty],T_TTAFStock[RM_Code],$A7,T_TTAFStock[WeekIndex],43),"")</f>
        <v/>
      </c>
      <c r="AV23">
        <f>IFERROR(SUMIFS(T_TTAFStock[TTAF_Qty],T_TTAFStock[RM_Code],$A7,T_TTAFStock[WeekIndex],44),"")</f>
        <v/>
      </c>
      <c r="AW23">
        <f>IFERROR(SUMIFS(T_TTAFStock[TTAF_Qty],T_TTAFStock[RM_Code],$A7,T_TTAFStock[WeekIndex],45),"")</f>
        <v/>
      </c>
      <c r="AX23">
        <f>IFERROR(SUMIFS(T_TTAFStock[TTAF_Qty],T_TTAFStock[RM_Code],$A7,T_TTAFStock[WeekIndex],46),"")</f>
        <v/>
      </c>
      <c r="AY23">
        <f>IFERROR(SUMIFS(T_TTAFStock[TTAF_Qty],T_TTAFStock[RM_Code],$A7,T_TTAFStock[WeekIndex],47),"")</f>
        <v/>
      </c>
      <c r="AZ23">
        <f>IFERROR(SUMIFS(T_TTAFStock[TTAF_Qty],T_TTAFStock[RM_Code],$A7,T_TTAFStock[WeekIndex],48),"")</f>
        <v/>
      </c>
      <c r="BA23">
        <f>IFERROR(SUMIFS(T_TTAFStock[TTAF_Qty],T_TTAFStock[RM_Code],$A7,T_TTAFStock[WeekIndex],49),"")</f>
        <v/>
      </c>
      <c r="BB23">
        <f>IFERROR(SUMIFS(T_TTAFStock[TTAF_Qty],T_TTAFStock[RM_Code],$A7,T_TTAFStock[WeekIndex],50),"")</f>
        <v/>
      </c>
      <c r="BC23">
        <f>IFERROR(SUMIFS(T_TTAFStock[TTAF_Qty],T_TTAFStock[RM_Code],$A7,T_TTAFStock[WeekIndex],51),"")</f>
        <v/>
      </c>
      <c r="BD23">
        <f>IFERROR(SUMIFS(T_TTAFStock[TTAF_Qty],T_TTAFStock[RM_Code],$A7,T_TTAFStock[WeekIndex],52),"")</f>
        <v/>
      </c>
      <c r="BE23">
        <f>IFERROR(SUMIFS(T_TTAFStock[TTAF_Qty],T_TTAFStock[RM_Code],$A7,T_TTAFStock[WeekIndex],53),"")</f>
        <v/>
      </c>
      <c r="BF23">
        <f>IFERROR(SUMIFS(T_TTAFStock[TTAF_Qty],T_TTAFStock[RM_Code],$A7,T_TTAFStock[WeekIndex],54),"")</f>
        <v/>
      </c>
      <c r="BG23">
        <f>IFERROR(SUMIFS(T_TTAFStock[TTAF_Qty],T_TTAFStock[RM_Code],$A7,T_TTAFStock[WeekIndex],55),"")</f>
        <v/>
      </c>
      <c r="BH23">
        <f>IFERROR(SUMIFS(T_TTAFStock[TTAF_Qty],T_TTAFStock[RM_Code],$A7,T_TTAFStock[WeekIndex],56),"")</f>
        <v/>
      </c>
      <c r="BI23">
        <f>IFERROR(SUMIFS(T_TTAFStock[TTAF_Qty],T_TTAFStock[RM_Code],$A7,T_TTAFStock[WeekIndex],57),"")</f>
        <v/>
      </c>
      <c r="BJ23">
        <f>IFERROR(SUMIFS(T_TTAFStock[TTAF_Qty],T_TTAFStock[RM_Code],$A7,T_TTAFStock[WeekIndex],58),"")</f>
        <v/>
      </c>
      <c r="BK23">
        <f>IFERROR(SUMIFS(T_TTAFStock[TTAF_Qty],T_TTAFStock[RM_Code],$A7,T_TTAFStock[WeekIndex],59),"")</f>
        <v/>
      </c>
      <c r="BL23">
        <f>IFERROR(SUMIFS(T_TTAFStock[TTAF_Qty],T_TTAFStock[RM_Code],$A7,T_TTAFStock[WeekIndex],60),"")</f>
        <v/>
      </c>
      <c r="BM23">
        <f>IFERROR(SUMIFS(T_TTAFStock[TTAF_Qty],T_TTAFStock[RM_Code],$A7,T_TTAFStock[WeekIndex],61),"")</f>
        <v/>
      </c>
      <c r="BN23">
        <f>IFERROR(SUMIFS(T_TTAFStock[TTAF_Qty],T_TTAFStock[RM_Code],$A7,T_TTAFStock[WeekIndex],62),"")</f>
        <v/>
      </c>
      <c r="BO23">
        <f>IFERROR(SUMIFS(T_TTAFStock[TTAF_Qty],T_TTAFStock[RM_Code],$A7,T_TTAFStock[WeekIndex],63),"")</f>
        <v/>
      </c>
      <c r="BP23">
        <f>IFERROR(SUMIFS(T_TTAFStock[TTAF_Qty],T_TTAFStock[RM_Code],$A7,T_TTAFStock[WeekIndex],64),"")</f>
        <v/>
      </c>
      <c r="BQ23">
        <f>IFERROR(SUMIFS(T_TTAFStock[TTAF_Qty],T_TTAFStock[RM_Code],$A7,T_TTAFStock[WeekIndex],65),"")</f>
        <v/>
      </c>
      <c r="BR23">
        <f>IFERROR(SUMIFS(T_TTAFStock[TTAF_Qty],T_TTAFStock[RM_Code],$A7,T_TTAFStock[WeekIndex],66),"")</f>
        <v/>
      </c>
      <c r="BS23">
        <f>IFERROR(SUMIFS(T_TTAFStock[TTAF_Qty],T_TTAFStock[RM_Code],$A7,T_TTAFStock[WeekIndex],67),"")</f>
        <v/>
      </c>
      <c r="BT23">
        <f>IFERROR(SUMIFS(T_TTAFStock[TTAF_Qty],T_TTAFStock[RM_Code],$A7,T_TTAFStock[WeekIndex],68),"")</f>
        <v/>
      </c>
      <c r="BU23">
        <f>IFERROR(SUMIFS(T_TTAFStock[TTAF_Qty],T_TTAFStock[RM_Code],$A7,T_TTAFStock[WeekIndex],69),"")</f>
        <v/>
      </c>
      <c r="BV23">
        <f>IFERROR(SUMIFS(T_TTAFStock[TTAF_Qty],T_TTAFStock[RM_Code],$A7,T_TTAFStock[WeekIndex],70),"")</f>
        <v/>
      </c>
      <c r="BW23">
        <f>IFERROR(SUMIFS(T_TTAFStock[TTAF_Qty],T_TTAFStock[RM_Code],$A7,T_TTAFStock[WeekIndex],71),"")</f>
        <v/>
      </c>
      <c r="BX23">
        <f>IFERROR(SUMIFS(T_TTAFStock[TTAF_Qty],T_TTAFStock[RM_Code],$A7,T_TTAFStock[WeekIndex],72),"")</f>
        <v/>
      </c>
      <c r="BY23">
        <f>IFERROR(SUMIFS(T_TTAFStock[TTAF_Qty],T_TTAFStock[RM_Code],$A7,T_TTAFStock[WeekIndex],73),"")</f>
        <v/>
      </c>
      <c r="BZ23">
        <f>IFERROR(SUMIFS(T_TTAFStock[TTAF_Qty],T_TTAFStock[RM_Code],$A7,T_TTAFStock[WeekIndex],74),"")</f>
        <v/>
      </c>
      <c r="CA23">
        <f>IFERROR(SUMIFS(T_TTAFStock[TTAF_Qty],T_TTAFStock[RM_Code],$A7,T_TTAFStock[WeekIndex],75),"")</f>
        <v/>
      </c>
      <c r="CB23">
        <f>IFERROR(SUMIFS(T_TTAFStock[TTAF_Qty],T_TTAFStock[RM_Code],$A7,T_TTAFStock[WeekIndex],76),"")</f>
        <v/>
      </c>
      <c r="CC23">
        <f>IFERROR(SUMIFS(T_TTAFStock[TTAF_Qty],T_TTAFStock[RM_Code],$A7,T_TTAFStock[WeekIndex],77),"")</f>
        <v/>
      </c>
      <c r="CD23">
        <f>IFERROR(SUMIFS(T_TTAFStock[TTAF_Qty],T_TTAFStock[RM_Code],$A7,T_TTAFStock[WeekIndex],78),"")</f>
        <v/>
      </c>
      <c r="CE23">
        <f>IFERROR(SUMIFS(T_TTAFStock[TTAF_Qty],T_TTAFStock[RM_Code],$A7,T_TTAFStock[WeekIndex],79),"")</f>
        <v/>
      </c>
      <c r="CF23">
        <f>IFERROR(SUMIFS(T_TTAFStock[TTAF_Qty],T_TTAFStock[RM_Code],$A7,T_TTAFStock[WeekIndex],80),"")</f>
        <v/>
      </c>
      <c r="CG23">
        <f>IFERROR(SUMIFS(T_TTAFStock[TTAF_Qty],T_TTAFStock[RM_Code],$A7,T_TTAFStock[WeekIndex],81),"")</f>
        <v/>
      </c>
      <c r="CH23">
        <f>IFERROR(SUMIFS(T_TTAFStock[TTAF_Qty],T_TTAFStock[RM_Code],$A7,T_TTAFStock[WeekIndex],82),"")</f>
        <v/>
      </c>
      <c r="CI23">
        <f>IFERROR(SUMIFS(T_TTAFStock[TTAF_Qty],T_TTAFStock[RM_Code],$A7,T_TTAFStock[WeekIndex],83),"")</f>
        <v/>
      </c>
      <c r="CJ23">
        <f>IFERROR(SUMIFS(T_TTAFStock[TTAF_Qty],T_TTAFStock[RM_Code],$A7,T_TTAFStock[WeekIndex],84),"")</f>
        <v/>
      </c>
      <c r="CK23">
        <f>IFERROR(SUMIFS(T_TTAFStock[TTAF_Qty],T_TTAFStock[RM_Code],$A7,T_TTAFStock[WeekIndex],85),"")</f>
        <v/>
      </c>
      <c r="CL23">
        <f>IFERROR(SUMIFS(T_TTAFStock[TTAF_Qty],T_TTAFStock[RM_Code],$A7,T_TTAFStock[WeekIndex],86),"")</f>
        <v/>
      </c>
      <c r="CM23">
        <f>IFERROR(SUMIFS(T_TTAFStock[TTAF_Qty],T_TTAFStock[RM_Code],$A7,T_TTAFStock[WeekIndex],87),"")</f>
        <v/>
      </c>
      <c r="CN23">
        <f>IFERROR(SUMIFS(T_TTAFStock[TTAF_Qty],T_TTAFStock[RM_Code],$A7,T_TTAFStock[WeekIndex],88),"")</f>
        <v/>
      </c>
      <c r="CO23">
        <f>IFERROR(SUMIFS(T_TTAFStock[TTAF_Qty],T_TTAFStock[RM_Code],$A7,T_TTAFStock[WeekIndex],89),"")</f>
        <v/>
      </c>
      <c r="CP23">
        <f>IFERROR(SUMIFS(T_TTAFStock[TTAF_Qty],T_TTAFStock[RM_Code],$A7,T_TTAFStock[WeekIndex],90),"")</f>
        <v/>
      </c>
      <c r="CQ23">
        <f>IFERROR(SUMIFS(T_TTAFStock[TTAF_Qty],T_TTAFStock[RM_Code],$A7,T_TTAFStock[WeekIndex],91),"")</f>
        <v/>
      </c>
      <c r="CR23">
        <f>IFERROR(SUMIFS(T_TTAFStock[TTAF_Qty],T_TTAFStock[RM_Code],$A7,T_TTAFStock[WeekIndex],92),"")</f>
        <v/>
      </c>
      <c r="CS23">
        <f>IFERROR(SUMIFS(T_TTAFStock[TTAF_Qty],T_TTAFStock[RM_Code],$A7,T_TTAFStock[WeekIndex],93),"")</f>
        <v/>
      </c>
      <c r="CT23">
        <f>IFERROR(SUMIFS(T_TTAFStock[TTAF_Qty],T_TTAFStock[RM_Code],$A7,T_TTAFStock[WeekIndex],94),"")</f>
        <v/>
      </c>
      <c r="CU23">
        <f>IFERROR(SUMIFS(T_TTAFStock[TTAF_Qty],T_TTAFStock[RM_Code],$A7,T_TTAFStock[WeekIndex],95),"")</f>
        <v/>
      </c>
      <c r="CV23">
        <f>IFERROR(SUMIFS(T_TTAFStock[TTAF_Qty],T_TTAFStock[RM_Code],$A7,T_TTAFStock[WeekIndex],96),"")</f>
        <v/>
      </c>
      <c r="CW23">
        <f>IFERROR(SUMIFS(T_TTAFStock[TTAF_Qty],T_TTAFStock[RM_Code],$A7,T_TTAFStock[WeekIndex],97),"")</f>
        <v/>
      </c>
      <c r="CX23">
        <f>IFERROR(SUMIFS(T_TTAFStock[TTAF_Qty],T_TTAFStock[RM_Code],$A7,T_TTAFStock[WeekIndex],98),"")</f>
        <v/>
      </c>
      <c r="CY23">
        <f>IFERROR(SUMIFS(T_TTAFStock[TTAF_Qty],T_TTAFStock[RM_Code],$A7,T_TTAFStock[WeekIndex],99),"")</f>
        <v/>
      </c>
      <c r="CZ23">
        <f>IFERROR(SUMIFS(T_TTAFStock[TTAF_Qty],T_TTAFStock[RM_Code],$A7,T_TTAFStock[WeekIndex],100),"")</f>
        <v/>
      </c>
      <c r="DA23">
        <f>IFERROR(SUMIFS(T_TTAFStock[TTAF_Qty],T_TTAFStock[RM_Code],$A7,T_TTAFStock[WeekIndex],101),"")</f>
        <v/>
      </c>
      <c r="DB23">
        <f>IFERROR(SUMIFS(T_TTAFStock[TTAF_Qty],T_TTAFStock[RM_Code],$A7,T_TTAFStock[WeekIndex],102),"")</f>
        <v/>
      </c>
      <c r="DC23">
        <f>IFERROR(SUMIFS(T_TTAFStock[TTAF_Qty],T_TTAFStock[RM_Code],$A7,T_TTAFStock[WeekIndex],103),"")</f>
        <v/>
      </c>
      <c r="DD23">
        <f>IFERROR(SUMIFS(T_TTAFStock[TTAF_Qty],T_TTAFStock[RM_Code],$A7,T_TTAFStock[WeekIndex],104),"")</f>
        <v/>
      </c>
    </row>
    <row r="24">
      <c r="B24" t="inlineStr">
        <is>
          <t>自社在庫(実績,kg)</t>
        </is>
      </c>
      <c r="D24">
        <f>IFERROR(INDEX(E24:DD24,$F$1),"")</f>
        <v/>
      </c>
      <c r="E24">
        <f>IFERROR(SUMIFS(T_SelfStock[Self_Qty],T_SelfStock[RM_Code],$A7,T_SelfStock[WeekIndex],1),"")</f>
        <v/>
      </c>
      <c r="F24">
        <f>IFERROR(SUMIFS(T_SelfStock[Self_Qty],T_SelfStock[RM_Code],$A7,T_SelfStock[WeekIndex],2),"")</f>
        <v/>
      </c>
      <c r="G24">
        <f>IFERROR(SUMIFS(T_SelfStock[Self_Qty],T_SelfStock[RM_Code],$A7,T_SelfStock[WeekIndex],3),"")</f>
        <v/>
      </c>
      <c r="H24">
        <f>IFERROR(SUMIFS(T_SelfStock[Self_Qty],T_SelfStock[RM_Code],$A7,T_SelfStock[WeekIndex],4),"")</f>
        <v/>
      </c>
      <c r="I24">
        <f>IFERROR(SUMIFS(T_SelfStock[Self_Qty],T_SelfStock[RM_Code],$A7,T_SelfStock[WeekIndex],5),"")</f>
        <v/>
      </c>
      <c r="J24">
        <f>IFERROR(SUMIFS(T_SelfStock[Self_Qty],T_SelfStock[RM_Code],$A7,T_SelfStock[WeekIndex],6),"")</f>
        <v/>
      </c>
      <c r="K24">
        <f>IFERROR(SUMIFS(T_SelfStock[Self_Qty],T_SelfStock[RM_Code],$A7,T_SelfStock[WeekIndex],7),"")</f>
        <v/>
      </c>
      <c r="L24">
        <f>IFERROR(SUMIFS(T_SelfStock[Self_Qty],T_SelfStock[RM_Code],$A7,T_SelfStock[WeekIndex],8),"")</f>
        <v/>
      </c>
      <c r="M24">
        <f>IFERROR(SUMIFS(T_SelfStock[Self_Qty],T_SelfStock[RM_Code],$A7,T_SelfStock[WeekIndex],9),"")</f>
        <v/>
      </c>
      <c r="N24">
        <f>IFERROR(SUMIFS(T_SelfStock[Self_Qty],T_SelfStock[RM_Code],$A7,T_SelfStock[WeekIndex],10),"")</f>
        <v/>
      </c>
      <c r="O24">
        <f>IFERROR(SUMIFS(T_SelfStock[Self_Qty],T_SelfStock[RM_Code],$A7,T_SelfStock[WeekIndex],11),"")</f>
        <v/>
      </c>
      <c r="P24">
        <f>IFERROR(SUMIFS(T_SelfStock[Self_Qty],T_SelfStock[RM_Code],$A7,T_SelfStock[WeekIndex],12),"")</f>
        <v/>
      </c>
      <c r="Q24">
        <f>IFERROR(SUMIFS(T_SelfStock[Self_Qty],T_SelfStock[RM_Code],$A7,T_SelfStock[WeekIndex],13),"")</f>
        <v/>
      </c>
      <c r="R24">
        <f>IFERROR(SUMIFS(T_SelfStock[Self_Qty],T_SelfStock[RM_Code],$A7,T_SelfStock[WeekIndex],14),"")</f>
        <v/>
      </c>
      <c r="S24">
        <f>IFERROR(SUMIFS(T_SelfStock[Self_Qty],T_SelfStock[RM_Code],$A7,T_SelfStock[WeekIndex],15),"")</f>
        <v/>
      </c>
      <c r="T24">
        <f>IFERROR(SUMIFS(T_SelfStock[Self_Qty],T_SelfStock[RM_Code],$A7,T_SelfStock[WeekIndex],16),"")</f>
        <v/>
      </c>
      <c r="U24">
        <f>IFERROR(SUMIFS(T_SelfStock[Self_Qty],T_SelfStock[RM_Code],$A7,T_SelfStock[WeekIndex],17),"")</f>
        <v/>
      </c>
      <c r="V24">
        <f>IFERROR(SUMIFS(T_SelfStock[Self_Qty],T_SelfStock[RM_Code],$A7,T_SelfStock[WeekIndex],18),"")</f>
        <v/>
      </c>
      <c r="W24">
        <f>IFERROR(SUMIFS(T_SelfStock[Self_Qty],T_SelfStock[RM_Code],$A7,T_SelfStock[WeekIndex],19),"")</f>
        <v/>
      </c>
      <c r="X24">
        <f>IFERROR(SUMIFS(T_SelfStock[Self_Qty],T_SelfStock[RM_Code],$A7,T_SelfStock[WeekIndex],20),"")</f>
        <v/>
      </c>
      <c r="Y24">
        <f>IFERROR(SUMIFS(T_SelfStock[Self_Qty],T_SelfStock[RM_Code],$A7,T_SelfStock[WeekIndex],21),"")</f>
        <v/>
      </c>
      <c r="Z24">
        <f>IFERROR(SUMIFS(T_SelfStock[Self_Qty],T_SelfStock[RM_Code],$A7,T_SelfStock[WeekIndex],22),"")</f>
        <v/>
      </c>
      <c r="AA24">
        <f>IFERROR(SUMIFS(T_SelfStock[Self_Qty],T_SelfStock[RM_Code],$A7,T_SelfStock[WeekIndex],23),"")</f>
        <v/>
      </c>
      <c r="AB24">
        <f>IFERROR(SUMIFS(T_SelfStock[Self_Qty],T_SelfStock[RM_Code],$A7,T_SelfStock[WeekIndex],24),"")</f>
        <v/>
      </c>
      <c r="AC24">
        <f>IFERROR(SUMIFS(T_SelfStock[Self_Qty],T_SelfStock[RM_Code],$A7,T_SelfStock[WeekIndex],25),"")</f>
        <v/>
      </c>
      <c r="AD24">
        <f>IFERROR(SUMIFS(T_SelfStock[Self_Qty],T_SelfStock[RM_Code],$A7,T_SelfStock[WeekIndex],26),"")</f>
        <v/>
      </c>
      <c r="AE24">
        <f>IFERROR(SUMIFS(T_SelfStock[Self_Qty],T_SelfStock[RM_Code],$A7,T_SelfStock[WeekIndex],27),"")</f>
        <v/>
      </c>
      <c r="AF24">
        <f>IFERROR(SUMIFS(T_SelfStock[Self_Qty],T_SelfStock[RM_Code],$A7,T_SelfStock[WeekIndex],28),"")</f>
        <v/>
      </c>
      <c r="AG24">
        <f>IFERROR(SUMIFS(T_SelfStock[Self_Qty],T_SelfStock[RM_Code],$A7,T_SelfStock[WeekIndex],29),"")</f>
        <v/>
      </c>
      <c r="AH24">
        <f>IFERROR(SUMIFS(T_SelfStock[Self_Qty],T_SelfStock[RM_Code],$A7,T_SelfStock[WeekIndex],30),"")</f>
        <v/>
      </c>
      <c r="AI24">
        <f>IFERROR(SUMIFS(T_SelfStock[Self_Qty],T_SelfStock[RM_Code],$A7,T_SelfStock[WeekIndex],31),"")</f>
        <v/>
      </c>
      <c r="AJ24">
        <f>IFERROR(SUMIFS(T_SelfStock[Self_Qty],T_SelfStock[RM_Code],$A7,T_SelfStock[WeekIndex],32),"")</f>
        <v/>
      </c>
      <c r="AK24">
        <f>IFERROR(SUMIFS(T_SelfStock[Self_Qty],T_SelfStock[RM_Code],$A7,T_SelfStock[WeekIndex],33),"")</f>
        <v/>
      </c>
      <c r="AL24">
        <f>IFERROR(SUMIFS(T_SelfStock[Self_Qty],T_SelfStock[RM_Code],$A7,T_SelfStock[WeekIndex],34),"")</f>
        <v/>
      </c>
      <c r="AM24">
        <f>IFERROR(SUMIFS(T_SelfStock[Self_Qty],T_SelfStock[RM_Code],$A7,T_SelfStock[WeekIndex],35),"")</f>
        <v/>
      </c>
      <c r="AN24">
        <f>IFERROR(SUMIFS(T_SelfStock[Self_Qty],T_SelfStock[RM_Code],$A7,T_SelfStock[WeekIndex],36),"")</f>
        <v/>
      </c>
      <c r="AO24">
        <f>IFERROR(SUMIFS(T_SelfStock[Self_Qty],T_SelfStock[RM_Code],$A7,T_SelfStock[WeekIndex],37),"")</f>
        <v/>
      </c>
      <c r="AP24">
        <f>IFERROR(SUMIFS(T_SelfStock[Self_Qty],T_SelfStock[RM_Code],$A7,T_SelfStock[WeekIndex],38),"")</f>
        <v/>
      </c>
      <c r="AQ24">
        <f>IFERROR(SUMIFS(T_SelfStock[Self_Qty],T_SelfStock[RM_Code],$A7,T_SelfStock[WeekIndex],39),"")</f>
        <v/>
      </c>
      <c r="AR24">
        <f>IFERROR(SUMIFS(T_SelfStock[Self_Qty],T_SelfStock[RM_Code],$A7,T_SelfStock[WeekIndex],40),"")</f>
        <v/>
      </c>
      <c r="AS24">
        <f>IFERROR(SUMIFS(T_SelfStock[Self_Qty],T_SelfStock[RM_Code],$A7,T_SelfStock[WeekIndex],41),"")</f>
        <v/>
      </c>
      <c r="AT24">
        <f>IFERROR(SUMIFS(T_SelfStock[Self_Qty],T_SelfStock[RM_Code],$A7,T_SelfStock[WeekIndex],42),"")</f>
        <v/>
      </c>
      <c r="AU24">
        <f>IFERROR(SUMIFS(T_SelfStock[Self_Qty],T_SelfStock[RM_Code],$A7,T_SelfStock[WeekIndex],43),"")</f>
        <v/>
      </c>
      <c r="AV24">
        <f>IFERROR(SUMIFS(T_SelfStock[Self_Qty],T_SelfStock[RM_Code],$A7,T_SelfStock[WeekIndex],44),"")</f>
        <v/>
      </c>
      <c r="AW24">
        <f>IFERROR(SUMIFS(T_SelfStock[Self_Qty],T_SelfStock[RM_Code],$A7,T_SelfStock[WeekIndex],45),"")</f>
        <v/>
      </c>
      <c r="AX24">
        <f>IFERROR(SUMIFS(T_SelfStock[Self_Qty],T_SelfStock[RM_Code],$A7,T_SelfStock[WeekIndex],46),"")</f>
        <v/>
      </c>
      <c r="AY24">
        <f>IFERROR(SUMIFS(T_SelfStock[Self_Qty],T_SelfStock[RM_Code],$A7,T_SelfStock[WeekIndex],47),"")</f>
        <v/>
      </c>
      <c r="AZ24">
        <f>IFERROR(SUMIFS(T_SelfStock[Self_Qty],T_SelfStock[RM_Code],$A7,T_SelfStock[WeekIndex],48),"")</f>
        <v/>
      </c>
      <c r="BA24">
        <f>IFERROR(SUMIFS(T_SelfStock[Self_Qty],T_SelfStock[RM_Code],$A7,T_SelfStock[WeekIndex],49),"")</f>
        <v/>
      </c>
      <c r="BB24">
        <f>IFERROR(SUMIFS(T_SelfStock[Self_Qty],T_SelfStock[RM_Code],$A7,T_SelfStock[WeekIndex],50),"")</f>
        <v/>
      </c>
      <c r="BC24">
        <f>IFERROR(SUMIFS(T_SelfStock[Self_Qty],T_SelfStock[RM_Code],$A7,T_SelfStock[WeekIndex],51),"")</f>
        <v/>
      </c>
      <c r="BD24">
        <f>IFERROR(SUMIFS(T_SelfStock[Self_Qty],T_SelfStock[RM_Code],$A7,T_SelfStock[WeekIndex],52),"")</f>
        <v/>
      </c>
      <c r="BE24">
        <f>IFERROR(SUMIFS(T_SelfStock[Self_Qty],T_SelfStock[RM_Code],$A7,T_SelfStock[WeekIndex],53),"")</f>
        <v/>
      </c>
      <c r="BF24">
        <f>IFERROR(SUMIFS(T_SelfStock[Self_Qty],T_SelfStock[RM_Code],$A7,T_SelfStock[WeekIndex],54),"")</f>
        <v/>
      </c>
      <c r="BG24">
        <f>IFERROR(SUMIFS(T_SelfStock[Self_Qty],T_SelfStock[RM_Code],$A7,T_SelfStock[WeekIndex],55),"")</f>
        <v/>
      </c>
      <c r="BH24">
        <f>IFERROR(SUMIFS(T_SelfStock[Self_Qty],T_SelfStock[RM_Code],$A7,T_SelfStock[WeekIndex],56),"")</f>
        <v/>
      </c>
      <c r="BI24">
        <f>IFERROR(SUMIFS(T_SelfStock[Self_Qty],T_SelfStock[RM_Code],$A7,T_SelfStock[WeekIndex],57),"")</f>
        <v/>
      </c>
      <c r="BJ24">
        <f>IFERROR(SUMIFS(T_SelfStock[Self_Qty],T_SelfStock[RM_Code],$A7,T_SelfStock[WeekIndex],58),"")</f>
        <v/>
      </c>
      <c r="BK24">
        <f>IFERROR(SUMIFS(T_SelfStock[Self_Qty],T_SelfStock[RM_Code],$A7,T_SelfStock[WeekIndex],59),"")</f>
        <v/>
      </c>
      <c r="BL24">
        <f>IFERROR(SUMIFS(T_SelfStock[Self_Qty],T_SelfStock[RM_Code],$A7,T_SelfStock[WeekIndex],60),"")</f>
        <v/>
      </c>
      <c r="BM24">
        <f>IFERROR(SUMIFS(T_SelfStock[Self_Qty],T_SelfStock[RM_Code],$A7,T_SelfStock[WeekIndex],61),"")</f>
        <v/>
      </c>
      <c r="BN24">
        <f>IFERROR(SUMIFS(T_SelfStock[Self_Qty],T_SelfStock[RM_Code],$A7,T_SelfStock[WeekIndex],62),"")</f>
        <v/>
      </c>
      <c r="BO24">
        <f>IFERROR(SUMIFS(T_SelfStock[Self_Qty],T_SelfStock[RM_Code],$A7,T_SelfStock[WeekIndex],63),"")</f>
        <v/>
      </c>
      <c r="BP24">
        <f>IFERROR(SUMIFS(T_SelfStock[Self_Qty],T_SelfStock[RM_Code],$A7,T_SelfStock[WeekIndex],64),"")</f>
        <v/>
      </c>
      <c r="BQ24">
        <f>IFERROR(SUMIFS(T_SelfStock[Self_Qty],T_SelfStock[RM_Code],$A7,T_SelfStock[WeekIndex],65),"")</f>
        <v/>
      </c>
      <c r="BR24">
        <f>IFERROR(SUMIFS(T_SelfStock[Self_Qty],T_SelfStock[RM_Code],$A7,T_SelfStock[WeekIndex],66),"")</f>
        <v/>
      </c>
      <c r="BS24">
        <f>IFERROR(SUMIFS(T_SelfStock[Self_Qty],T_SelfStock[RM_Code],$A7,T_SelfStock[WeekIndex],67),"")</f>
        <v/>
      </c>
      <c r="BT24">
        <f>IFERROR(SUMIFS(T_SelfStock[Self_Qty],T_SelfStock[RM_Code],$A7,T_SelfStock[WeekIndex],68),"")</f>
        <v/>
      </c>
      <c r="BU24">
        <f>IFERROR(SUMIFS(T_SelfStock[Self_Qty],T_SelfStock[RM_Code],$A7,T_SelfStock[WeekIndex],69),"")</f>
        <v/>
      </c>
      <c r="BV24">
        <f>IFERROR(SUMIFS(T_SelfStock[Self_Qty],T_SelfStock[RM_Code],$A7,T_SelfStock[WeekIndex],70),"")</f>
        <v/>
      </c>
      <c r="BW24">
        <f>IFERROR(SUMIFS(T_SelfStock[Self_Qty],T_SelfStock[RM_Code],$A7,T_SelfStock[WeekIndex],71),"")</f>
        <v/>
      </c>
      <c r="BX24">
        <f>IFERROR(SUMIFS(T_SelfStock[Self_Qty],T_SelfStock[RM_Code],$A7,T_SelfStock[WeekIndex],72),"")</f>
        <v/>
      </c>
      <c r="BY24">
        <f>IFERROR(SUMIFS(T_SelfStock[Self_Qty],T_SelfStock[RM_Code],$A7,T_SelfStock[WeekIndex],73),"")</f>
        <v/>
      </c>
      <c r="BZ24">
        <f>IFERROR(SUMIFS(T_SelfStock[Self_Qty],T_SelfStock[RM_Code],$A7,T_SelfStock[WeekIndex],74),"")</f>
        <v/>
      </c>
      <c r="CA24">
        <f>IFERROR(SUMIFS(T_SelfStock[Self_Qty],T_SelfStock[RM_Code],$A7,T_SelfStock[WeekIndex],75),"")</f>
        <v/>
      </c>
      <c r="CB24">
        <f>IFERROR(SUMIFS(T_SelfStock[Self_Qty],T_SelfStock[RM_Code],$A7,T_SelfStock[WeekIndex],76),"")</f>
        <v/>
      </c>
      <c r="CC24">
        <f>IFERROR(SUMIFS(T_SelfStock[Self_Qty],T_SelfStock[RM_Code],$A7,T_SelfStock[WeekIndex],77),"")</f>
        <v/>
      </c>
      <c r="CD24">
        <f>IFERROR(SUMIFS(T_SelfStock[Self_Qty],T_SelfStock[RM_Code],$A7,T_SelfStock[WeekIndex],78),"")</f>
        <v/>
      </c>
      <c r="CE24">
        <f>IFERROR(SUMIFS(T_SelfStock[Self_Qty],T_SelfStock[RM_Code],$A7,T_SelfStock[WeekIndex],79),"")</f>
        <v/>
      </c>
      <c r="CF24">
        <f>IFERROR(SUMIFS(T_SelfStock[Self_Qty],T_SelfStock[RM_Code],$A7,T_SelfStock[WeekIndex],80),"")</f>
        <v/>
      </c>
      <c r="CG24">
        <f>IFERROR(SUMIFS(T_SelfStock[Self_Qty],T_SelfStock[RM_Code],$A7,T_SelfStock[WeekIndex],81),"")</f>
        <v/>
      </c>
      <c r="CH24">
        <f>IFERROR(SUMIFS(T_SelfStock[Self_Qty],T_SelfStock[RM_Code],$A7,T_SelfStock[WeekIndex],82),"")</f>
        <v/>
      </c>
      <c r="CI24">
        <f>IFERROR(SUMIFS(T_SelfStock[Self_Qty],T_SelfStock[RM_Code],$A7,T_SelfStock[WeekIndex],83),"")</f>
        <v/>
      </c>
      <c r="CJ24">
        <f>IFERROR(SUMIFS(T_SelfStock[Self_Qty],T_SelfStock[RM_Code],$A7,T_SelfStock[WeekIndex],84),"")</f>
        <v/>
      </c>
      <c r="CK24">
        <f>IFERROR(SUMIFS(T_SelfStock[Self_Qty],T_SelfStock[RM_Code],$A7,T_SelfStock[WeekIndex],85),"")</f>
        <v/>
      </c>
      <c r="CL24">
        <f>IFERROR(SUMIFS(T_SelfStock[Self_Qty],T_SelfStock[RM_Code],$A7,T_SelfStock[WeekIndex],86),"")</f>
        <v/>
      </c>
      <c r="CM24">
        <f>IFERROR(SUMIFS(T_SelfStock[Self_Qty],T_SelfStock[RM_Code],$A7,T_SelfStock[WeekIndex],87),"")</f>
        <v/>
      </c>
      <c r="CN24">
        <f>IFERROR(SUMIFS(T_SelfStock[Self_Qty],T_SelfStock[RM_Code],$A7,T_SelfStock[WeekIndex],88),"")</f>
        <v/>
      </c>
      <c r="CO24">
        <f>IFERROR(SUMIFS(T_SelfStock[Self_Qty],T_SelfStock[RM_Code],$A7,T_SelfStock[WeekIndex],89),"")</f>
        <v/>
      </c>
      <c r="CP24">
        <f>IFERROR(SUMIFS(T_SelfStock[Self_Qty],T_SelfStock[RM_Code],$A7,T_SelfStock[WeekIndex],90),"")</f>
        <v/>
      </c>
      <c r="CQ24">
        <f>IFERROR(SUMIFS(T_SelfStock[Self_Qty],T_SelfStock[RM_Code],$A7,T_SelfStock[WeekIndex],91),"")</f>
        <v/>
      </c>
      <c r="CR24">
        <f>IFERROR(SUMIFS(T_SelfStock[Self_Qty],T_SelfStock[RM_Code],$A7,T_SelfStock[WeekIndex],92),"")</f>
        <v/>
      </c>
      <c r="CS24">
        <f>IFERROR(SUMIFS(T_SelfStock[Self_Qty],T_SelfStock[RM_Code],$A7,T_SelfStock[WeekIndex],93),"")</f>
        <v/>
      </c>
      <c r="CT24">
        <f>IFERROR(SUMIFS(T_SelfStock[Self_Qty],T_SelfStock[RM_Code],$A7,T_SelfStock[WeekIndex],94),"")</f>
        <v/>
      </c>
      <c r="CU24">
        <f>IFERROR(SUMIFS(T_SelfStock[Self_Qty],T_SelfStock[RM_Code],$A7,T_SelfStock[WeekIndex],95),"")</f>
        <v/>
      </c>
      <c r="CV24">
        <f>IFERROR(SUMIFS(T_SelfStock[Self_Qty],T_SelfStock[RM_Code],$A7,T_SelfStock[WeekIndex],96),"")</f>
        <v/>
      </c>
      <c r="CW24">
        <f>IFERROR(SUMIFS(T_SelfStock[Self_Qty],T_SelfStock[RM_Code],$A7,T_SelfStock[WeekIndex],97),"")</f>
        <v/>
      </c>
      <c r="CX24">
        <f>IFERROR(SUMIFS(T_SelfStock[Self_Qty],T_SelfStock[RM_Code],$A7,T_SelfStock[WeekIndex],98),"")</f>
        <v/>
      </c>
      <c r="CY24">
        <f>IFERROR(SUMIFS(T_SelfStock[Self_Qty],T_SelfStock[RM_Code],$A7,T_SelfStock[WeekIndex],99),"")</f>
        <v/>
      </c>
      <c r="CZ24">
        <f>IFERROR(SUMIFS(T_SelfStock[Self_Qty],T_SelfStock[RM_Code],$A7,T_SelfStock[WeekIndex],100),"")</f>
        <v/>
      </c>
      <c r="DA24">
        <f>IFERROR(SUMIFS(T_SelfStock[Self_Qty],T_SelfStock[RM_Code],$A7,T_SelfStock[WeekIndex],101),"")</f>
        <v/>
      </c>
      <c r="DB24">
        <f>IFERROR(SUMIFS(T_SelfStock[Self_Qty],T_SelfStock[RM_Code],$A7,T_SelfStock[WeekIndex],102),"")</f>
        <v/>
      </c>
      <c r="DC24">
        <f>IFERROR(SUMIFS(T_SelfStock[Self_Qty],T_SelfStock[RM_Code],$A7,T_SelfStock[WeekIndex],103),"")</f>
        <v/>
      </c>
      <c r="DD24">
        <f>IFERROR(SUMIFS(T_SelfStock[Self_Qty],T_SelfStock[RM_Code],$A7,T_SelfStock[WeekIndex],104),"")</f>
        <v/>
      </c>
    </row>
    <row r="25">
      <c r="B25" s="4" t="inlineStr">
        <is>
          <t>合計在庫(週末時点,kg)</t>
        </is>
      </c>
      <c r="D25" s="24">
        <f>IFERROR(INDEX(E25:DD25,$F$1),"")</f>
        <v/>
      </c>
      <c r="E25">
        <f>'Grid_Stock'!B83</f>
        <v/>
      </c>
      <c r="F25">
        <f>'Grid_Stock'!C83</f>
        <v/>
      </c>
      <c r="G25">
        <f>'Grid_Stock'!D83</f>
        <v/>
      </c>
      <c r="H25">
        <f>'Grid_Stock'!E83</f>
        <v/>
      </c>
      <c r="I25">
        <f>'Grid_Stock'!F83</f>
        <v/>
      </c>
      <c r="J25">
        <f>'Grid_Stock'!G83</f>
        <v/>
      </c>
      <c r="K25">
        <f>'Grid_Stock'!H83</f>
        <v/>
      </c>
      <c r="L25">
        <f>'Grid_Stock'!I83</f>
        <v/>
      </c>
      <c r="M25">
        <f>'Grid_Stock'!J83</f>
        <v/>
      </c>
      <c r="N25">
        <f>'Grid_Stock'!K83</f>
        <v/>
      </c>
      <c r="O25">
        <f>'Grid_Stock'!L83</f>
        <v/>
      </c>
      <c r="P25">
        <f>'Grid_Stock'!M83</f>
        <v/>
      </c>
      <c r="Q25">
        <f>'Grid_Stock'!N83</f>
        <v/>
      </c>
      <c r="R25">
        <f>'Grid_Stock'!O83</f>
        <v/>
      </c>
      <c r="S25">
        <f>'Grid_Stock'!P83</f>
        <v/>
      </c>
      <c r="T25">
        <f>'Grid_Stock'!Q83</f>
        <v/>
      </c>
      <c r="U25">
        <f>'Grid_Stock'!R83</f>
        <v/>
      </c>
      <c r="V25">
        <f>'Grid_Stock'!S83</f>
        <v/>
      </c>
      <c r="W25">
        <f>'Grid_Stock'!T83</f>
        <v/>
      </c>
      <c r="X25">
        <f>'Grid_Stock'!U83</f>
        <v/>
      </c>
      <c r="Y25">
        <f>'Grid_Stock'!V83</f>
        <v/>
      </c>
      <c r="Z25">
        <f>'Grid_Stock'!W83</f>
        <v/>
      </c>
      <c r="AA25">
        <f>'Grid_Stock'!X83</f>
        <v/>
      </c>
      <c r="AB25">
        <f>'Grid_Stock'!Y83</f>
        <v/>
      </c>
      <c r="AC25">
        <f>'Grid_Stock'!Z83</f>
        <v/>
      </c>
      <c r="AD25">
        <f>'Grid_Stock'!AA83</f>
        <v/>
      </c>
      <c r="AE25">
        <f>'Grid_Stock'!AB83</f>
        <v/>
      </c>
      <c r="AF25">
        <f>'Grid_Stock'!AC83</f>
        <v/>
      </c>
      <c r="AG25">
        <f>'Grid_Stock'!AD83</f>
        <v/>
      </c>
      <c r="AH25">
        <f>'Grid_Stock'!AE83</f>
        <v/>
      </c>
      <c r="AI25">
        <f>'Grid_Stock'!AF83</f>
        <v/>
      </c>
      <c r="AJ25">
        <f>'Grid_Stock'!AG83</f>
        <v/>
      </c>
      <c r="AK25">
        <f>'Grid_Stock'!AH83</f>
        <v/>
      </c>
      <c r="AL25">
        <f>'Grid_Stock'!AI83</f>
        <v/>
      </c>
      <c r="AM25">
        <f>'Grid_Stock'!AJ83</f>
        <v/>
      </c>
      <c r="AN25">
        <f>'Grid_Stock'!AK83</f>
        <v/>
      </c>
      <c r="AO25">
        <f>'Grid_Stock'!AL83</f>
        <v/>
      </c>
      <c r="AP25">
        <f>'Grid_Stock'!AM83</f>
        <v/>
      </c>
      <c r="AQ25">
        <f>'Grid_Stock'!AN83</f>
        <v/>
      </c>
      <c r="AR25">
        <f>'Grid_Stock'!AO83</f>
        <v/>
      </c>
      <c r="AS25">
        <f>'Grid_Stock'!AP83</f>
        <v/>
      </c>
      <c r="AT25">
        <f>'Grid_Stock'!AQ83</f>
        <v/>
      </c>
      <c r="AU25">
        <f>'Grid_Stock'!AR83</f>
        <v/>
      </c>
      <c r="AV25">
        <f>'Grid_Stock'!AS83</f>
        <v/>
      </c>
      <c r="AW25">
        <f>'Grid_Stock'!AT83</f>
        <v/>
      </c>
      <c r="AX25">
        <f>'Grid_Stock'!AU83</f>
        <v/>
      </c>
      <c r="AY25">
        <f>'Grid_Stock'!AV83</f>
        <v/>
      </c>
      <c r="AZ25">
        <f>'Grid_Stock'!AW83</f>
        <v/>
      </c>
      <c r="BA25">
        <f>'Grid_Stock'!AX83</f>
        <v/>
      </c>
      <c r="BB25">
        <f>'Grid_Stock'!AY83</f>
        <v/>
      </c>
      <c r="BC25">
        <f>'Grid_Stock'!AZ83</f>
        <v/>
      </c>
      <c r="BD25">
        <f>'Grid_Stock'!BA83</f>
        <v/>
      </c>
      <c r="BE25">
        <f>'Grid_Stock'!BB83</f>
        <v/>
      </c>
      <c r="BF25">
        <f>'Grid_Stock'!BC83</f>
        <v/>
      </c>
      <c r="BG25">
        <f>'Grid_Stock'!BD83</f>
        <v/>
      </c>
      <c r="BH25">
        <f>'Grid_Stock'!BE83</f>
        <v/>
      </c>
      <c r="BI25">
        <f>'Grid_Stock'!BF83</f>
        <v/>
      </c>
      <c r="BJ25">
        <f>'Grid_Stock'!BG83</f>
        <v/>
      </c>
      <c r="BK25">
        <f>'Grid_Stock'!BH83</f>
        <v/>
      </c>
      <c r="BL25">
        <f>'Grid_Stock'!BI83</f>
        <v/>
      </c>
      <c r="BM25">
        <f>'Grid_Stock'!BJ83</f>
        <v/>
      </c>
      <c r="BN25">
        <f>'Grid_Stock'!BK83</f>
        <v/>
      </c>
      <c r="BO25">
        <f>'Grid_Stock'!BL83</f>
        <v/>
      </c>
      <c r="BP25">
        <f>'Grid_Stock'!BM83</f>
        <v/>
      </c>
      <c r="BQ25">
        <f>'Grid_Stock'!BN83</f>
        <v/>
      </c>
      <c r="BR25">
        <f>'Grid_Stock'!BO83</f>
        <v/>
      </c>
      <c r="BS25">
        <f>'Grid_Stock'!BP83</f>
        <v/>
      </c>
      <c r="BT25">
        <f>'Grid_Stock'!BQ83</f>
        <v/>
      </c>
      <c r="BU25">
        <f>'Grid_Stock'!BR83</f>
        <v/>
      </c>
      <c r="BV25">
        <f>'Grid_Stock'!BS83</f>
        <v/>
      </c>
      <c r="BW25">
        <f>'Grid_Stock'!BT83</f>
        <v/>
      </c>
      <c r="BX25">
        <f>'Grid_Stock'!BU83</f>
        <v/>
      </c>
      <c r="BY25">
        <f>'Grid_Stock'!BV83</f>
        <v/>
      </c>
      <c r="BZ25">
        <f>'Grid_Stock'!BW83</f>
        <v/>
      </c>
      <c r="CA25">
        <f>'Grid_Stock'!BX83</f>
        <v/>
      </c>
      <c r="CB25">
        <f>'Grid_Stock'!BY83</f>
        <v/>
      </c>
      <c r="CC25">
        <f>'Grid_Stock'!BZ83</f>
        <v/>
      </c>
      <c r="CD25">
        <f>'Grid_Stock'!CA83</f>
        <v/>
      </c>
      <c r="CE25">
        <f>'Grid_Stock'!CB83</f>
        <v/>
      </c>
      <c r="CF25">
        <f>'Grid_Stock'!CC83</f>
        <v/>
      </c>
      <c r="CG25">
        <f>'Grid_Stock'!CD83</f>
        <v/>
      </c>
      <c r="CH25">
        <f>'Grid_Stock'!CE83</f>
        <v/>
      </c>
      <c r="CI25">
        <f>'Grid_Stock'!CF83</f>
        <v/>
      </c>
      <c r="CJ25">
        <f>'Grid_Stock'!CG83</f>
        <v/>
      </c>
      <c r="CK25">
        <f>'Grid_Stock'!CH83</f>
        <v/>
      </c>
      <c r="CL25">
        <f>'Grid_Stock'!CI83</f>
        <v/>
      </c>
      <c r="CM25">
        <f>'Grid_Stock'!CJ83</f>
        <v/>
      </c>
      <c r="CN25">
        <f>'Grid_Stock'!CK83</f>
        <v/>
      </c>
      <c r="CO25">
        <f>'Grid_Stock'!CL83</f>
        <v/>
      </c>
      <c r="CP25">
        <f>'Grid_Stock'!CM83</f>
        <v/>
      </c>
      <c r="CQ25">
        <f>'Grid_Stock'!CN83</f>
        <v/>
      </c>
      <c r="CR25">
        <f>'Grid_Stock'!CO83</f>
        <v/>
      </c>
      <c r="CS25">
        <f>'Grid_Stock'!CP83</f>
        <v/>
      </c>
      <c r="CT25">
        <f>'Grid_Stock'!CQ83</f>
        <v/>
      </c>
      <c r="CU25">
        <f>'Grid_Stock'!CR83</f>
        <v/>
      </c>
      <c r="CV25">
        <f>'Grid_Stock'!CS83</f>
        <v/>
      </c>
      <c r="CW25">
        <f>'Grid_Stock'!CT83</f>
        <v/>
      </c>
      <c r="CX25">
        <f>'Grid_Stock'!CU83</f>
        <v/>
      </c>
      <c r="CY25">
        <f>'Grid_Stock'!CV83</f>
        <v/>
      </c>
      <c r="CZ25">
        <f>'Grid_Stock'!CW83</f>
        <v/>
      </c>
      <c r="DA25">
        <f>'Grid_Stock'!CX83</f>
        <v/>
      </c>
      <c r="DB25">
        <f>'Grid_Stock'!CY83</f>
        <v/>
      </c>
      <c r="DC25">
        <f>'Grid_Stock'!CZ83</f>
        <v/>
      </c>
      <c r="DD25">
        <f>'Grid_Stock'!DA83</f>
        <v/>
      </c>
    </row>
    <row r="26">
      <c r="B26" s="25" t="inlineStr">
        <is>
          <t>（発注の目安はDashboardの基準在庫[下限/上限]と色分けを参照）</t>
        </is>
      </c>
    </row>
    <row r="28">
      <c r="A28" s="21" t="inlineStr">
        <is>
          <t>CHEM-1410</t>
        </is>
      </c>
      <c r="B28" s="21" t="inlineStr">
        <is>
          <t>SCFa100L4</t>
        </is>
      </c>
      <c r="C28" s="22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</row>
    <row r="29">
      <c r="B29" t="inlineStr">
        <is>
          <t>TSP-049</t>
        </is>
      </c>
      <c r="C29" t="inlineStr">
        <is>
          <t>No. of batches</t>
        </is>
      </c>
      <c r="D29">
        <f>IFERROR(INDEX(E29:DD29,$F$1),"")</f>
        <v/>
      </c>
      <c r="E29">
        <f>IFERROR(INDEX(PP_Grid[#Data],$DE29,2),0)</f>
        <v/>
      </c>
      <c r="F29">
        <f>IFERROR(INDEX(PP_Grid[#Data],$DE29,3),0)</f>
        <v/>
      </c>
      <c r="G29">
        <f>IFERROR(INDEX(PP_Grid[#Data],$DE29,4),0)</f>
        <v/>
      </c>
      <c r="H29">
        <f>IFERROR(INDEX(PP_Grid[#Data],$DE29,5),0)</f>
        <v/>
      </c>
      <c r="I29">
        <f>IFERROR(INDEX(PP_Grid[#Data],$DE29,6),0)</f>
        <v/>
      </c>
      <c r="J29">
        <f>IFERROR(INDEX(PP_Grid[#Data],$DE29,7),0)</f>
        <v/>
      </c>
      <c r="K29">
        <f>IFERROR(INDEX(PP_Grid[#Data],$DE29,8),0)</f>
        <v/>
      </c>
      <c r="L29">
        <f>IFERROR(INDEX(PP_Grid[#Data],$DE29,9),0)</f>
        <v/>
      </c>
      <c r="M29">
        <f>IFERROR(INDEX(PP_Grid[#Data],$DE29,10),0)</f>
        <v/>
      </c>
      <c r="N29">
        <f>IFERROR(INDEX(PP_Grid[#Data],$DE29,11),0)</f>
        <v/>
      </c>
      <c r="O29">
        <f>IFERROR(INDEX(PP_Grid[#Data],$DE29,12),0)</f>
        <v/>
      </c>
      <c r="P29">
        <f>IFERROR(INDEX(PP_Grid[#Data],$DE29,13),0)</f>
        <v/>
      </c>
      <c r="Q29">
        <f>IFERROR(INDEX(PP_Grid[#Data],$DE29,14),0)</f>
        <v/>
      </c>
      <c r="R29">
        <f>IFERROR(INDEX(PP_Grid[#Data],$DE29,15),0)</f>
        <v/>
      </c>
      <c r="S29">
        <f>IFERROR(INDEX(PP_Grid[#Data],$DE29,16),0)</f>
        <v/>
      </c>
      <c r="T29">
        <f>IFERROR(INDEX(PP_Grid[#Data],$DE29,17),0)</f>
        <v/>
      </c>
      <c r="U29">
        <f>IFERROR(INDEX(PP_Grid[#Data],$DE29,18),0)</f>
        <v/>
      </c>
      <c r="V29">
        <f>IFERROR(INDEX(PP_Grid[#Data],$DE29,19),0)</f>
        <v/>
      </c>
      <c r="W29">
        <f>IFERROR(INDEX(PP_Grid[#Data],$DE29,20),0)</f>
        <v/>
      </c>
      <c r="X29">
        <f>IFERROR(INDEX(PP_Grid[#Data],$DE29,21),0)</f>
        <v/>
      </c>
      <c r="Y29">
        <f>IFERROR(INDEX(PP_Grid[#Data],$DE29,22),0)</f>
        <v/>
      </c>
      <c r="Z29">
        <f>IFERROR(INDEX(PP_Grid[#Data],$DE29,23),0)</f>
        <v/>
      </c>
      <c r="AA29">
        <f>IFERROR(INDEX(PP_Grid[#Data],$DE29,24),0)</f>
        <v/>
      </c>
      <c r="AB29">
        <f>IFERROR(INDEX(PP_Grid[#Data],$DE29,25),0)</f>
        <v/>
      </c>
      <c r="AC29">
        <f>IFERROR(INDEX(PP_Grid[#Data],$DE29,26),0)</f>
        <v/>
      </c>
      <c r="AD29">
        <f>IFERROR(INDEX(PP_Grid[#Data],$DE29,27),0)</f>
        <v/>
      </c>
      <c r="AE29">
        <f>IFERROR(INDEX(PP_Grid[#Data],$DE29,28),0)</f>
        <v/>
      </c>
      <c r="AF29">
        <f>IFERROR(INDEX(PP_Grid[#Data],$DE29,29),0)</f>
        <v/>
      </c>
      <c r="AG29">
        <f>IFERROR(INDEX(PP_Grid[#Data],$DE29,30),0)</f>
        <v/>
      </c>
      <c r="AH29">
        <f>IFERROR(INDEX(PP_Grid[#Data],$DE29,31),0)</f>
        <v/>
      </c>
      <c r="AI29">
        <f>IFERROR(INDEX(PP_Grid[#Data],$DE29,32),0)</f>
        <v/>
      </c>
      <c r="AJ29">
        <f>IFERROR(INDEX(PP_Grid[#Data],$DE29,33),0)</f>
        <v/>
      </c>
      <c r="AK29">
        <f>IFERROR(INDEX(PP_Grid[#Data],$DE29,34),0)</f>
        <v/>
      </c>
      <c r="AL29">
        <f>IFERROR(INDEX(PP_Grid[#Data],$DE29,35),0)</f>
        <v/>
      </c>
      <c r="AM29">
        <f>IFERROR(INDEX(PP_Grid[#Data],$DE29,36),0)</f>
        <v/>
      </c>
      <c r="AN29">
        <f>IFERROR(INDEX(PP_Grid[#Data],$DE29,37),0)</f>
        <v/>
      </c>
      <c r="AO29">
        <f>IFERROR(INDEX(PP_Grid[#Data],$DE29,38),0)</f>
        <v/>
      </c>
      <c r="AP29">
        <f>IFERROR(INDEX(PP_Grid[#Data],$DE29,39),0)</f>
        <v/>
      </c>
      <c r="AQ29">
        <f>IFERROR(INDEX(PP_Grid[#Data],$DE29,40),0)</f>
        <v/>
      </c>
      <c r="AR29">
        <f>IFERROR(INDEX(PP_Grid[#Data],$DE29,41),0)</f>
        <v/>
      </c>
      <c r="AS29">
        <f>IFERROR(INDEX(PP_Grid[#Data],$DE29,42),0)</f>
        <v/>
      </c>
      <c r="AT29">
        <f>IFERROR(INDEX(PP_Grid[#Data],$DE29,43),0)</f>
        <v/>
      </c>
      <c r="AU29">
        <f>IFERROR(INDEX(PP_Grid[#Data],$DE29,44),0)</f>
        <v/>
      </c>
      <c r="AV29">
        <f>IFERROR(INDEX(PP_Grid[#Data],$DE29,45),0)</f>
        <v/>
      </c>
      <c r="AW29">
        <f>IFERROR(INDEX(PP_Grid[#Data],$DE29,46),0)</f>
        <v/>
      </c>
      <c r="AX29">
        <f>IFERROR(INDEX(PP_Grid[#Data],$DE29,47),0)</f>
        <v/>
      </c>
      <c r="AY29">
        <f>IFERROR(INDEX(PP_Grid[#Data],$DE29,48),0)</f>
        <v/>
      </c>
      <c r="AZ29">
        <f>IFERROR(INDEX(PP_Grid[#Data],$DE29,49),0)</f>
        <v/>
      </c>
      <c r="BA29">
        <f>IFERROR(INDEX(PP_Grid[#Data],$DE29,50),0)</f>
        <v/>
      </c>
      <c r="BB29">
        <f>IFERROR(INDEX(PP_Grid[#Data],$DE29,51),0)</f>
        <v/>
      </c>
      <c r="BC29">
        <f>IFERROR(INDEX(PP_Grid[#Data],$DE29,52),0)</f>
        <v/>
      </c>
      <c r="BD29">
        <f>IFERROR(INDEX(PP_Grid[#Data],$DE29,53),0)</f>
        <v/>
      </c>
      <c r="BE29">
        <f>IFERROR(INDEX(PP_Grid[#Data],$DE29,54),0)</f>
        <v/>
      </c>
      <c r="BF29">
        <f>IFERROR(INDEX(PP_Grid[#Data],$DE29,55),0)</f>
        <v/>
      </c>
      <c r="BG29">
        <f>IFERROR(INDEX(PP_Grid[#Data],$DE29,56),0)</f>
        <v/>
      </c>
      <c r="BH29">
        <f>IFERROR(INDEX(PP_Grid[#Data],$DE29,57),0)</f>
        <v/>
      </c>
      <c r="BI29">
        <f>IFERROR(INDEX(PP_Grid[#Data],$DE29,58),0)</f>
        <v/>
      </c>
      <c r="BJ29">
        <f>IFERROR(INDEX(PP_Grid[#Data],$DE29,59),0)</f>
        <v/>
      </c>
      <c r="BK29">
        <f>IFERROR(INDEX(PP_Grid[#Data],$DE29,60),0)</f>
        <v/>
      </c>
      <c r="BL29">
        <f>IFERROR(INDEX(PP_Grid[#Data],$DE29,61),0)</f>
        <v/>
      </c>
      <c r="BM29">
        <f>IFERROR(INDEX(PP_Grid[#Data],$DE29,62),0)</f>
        <v/>
      </c>
      <c r="BN29">
        <f>IFERROR(INDEX(PP_Grid[#Data],$DE29,63),0)</f>
        <v/>
      </c>
      <c r="BO29">
        <f>IFERROR(INDEX(PP_Grid[#Data],$DE29,64),0)</f>
        <v/>
      </c>
      <c r="BP29">
        <f>IFERROR(INDEX(PP_Grid[#Data],$DE29,65),0)</f>
        <v/>
      </c>
      <c r="BQ29">
        <f>IFERROR(INDEX(PP_Grid[#Data],$DE29,66),0)</f>
        <v/>
      </c>
      <c r="BR29">
        <f>IFERROR(INDEX(PP_Grid[#Data],$DE29,67),0)</f>
        <v/>
      </c>
      <c r="BS29">
        <f>IFERROR(INDEX(PP_Grid[#Data],$DE29,68),0)</f>
        <v/>
      </c>
      <c r="BT29">
        <f>IFERROR(INDEX(PP_Grid[#Data],$DE29,69),0)</f>
        <v/>
      </c>
      <c r="BU29">
        <f>IFERROR(INDEX(PP_Grid[#Data],$DE29,70),0)</f>
        <v/>
      </c>
      <c r="BV29">
        <f>IFERROR(INDEX(PP_Grid[#Data],$DE29,71),0)</f>
        <v/>
      </c>
      <c r="BW29">
        <f>IFERROR(INDEX(PP_Grid[#Data],$DE29,72),0)</f>
        <v/>
      </c>
      <c r="BX29">
        <f>IFERROR(INDEX(PP_Grid[#Data],$DE29,73),0)</f>
        <v/>
      </c>
      <c r="BY29">
        <f>IFERROR(INDEX(PP_Grid[#Data],$DE29,74),0)</f>
        <v/>
      </c>
      <c r="BZ29">
        <f>IFERROR(INDEX(PP_Grid[#Data],$DE29,75),0)</f>
        <v/>
      </c>
      <c r="CA29">
        <f>IFERROR(INDEX(PP_Grid[#Data],$DE29,76),0)</f>
        <v/>
      </c>
      <c r="CB29">
        <f>IFERROR(INDEX(PP_Grid[#Data],$DE29,77),0)</f>
        <v/>
      </c>
      <c r="CC29">
        <f>IFERROR(INDEX(PP_Grid[#Data],$DE29,78),0)</f>
        <v/>
      </c>
      <c r="CD29">
        <f>IFERROR(INDEX(PP_Grid[#Data],$DE29,79),0)</f>
        <v/>
      </c>
      <c r="CE29">
        <f>IFERROR(INDEX(PP_Grid[#Data],$DE29,80),0)</f>
        <v/>
      </c>
      <c r="CF29">
        <f>IFERROR(INDEX(PP_Grid[#Data],$DE29,81),0)</f>
        <v/>
      </c>
      <c r="CG29">
        <f>IFERROR(INDEX(PP_Grid[#Data],$DE29,82),0)</f>
        <v/>
      </c>
      <c r="CH29">
        <f>IFERROR(INDEX(PP_Grid[#Data],$DE29,83),0)</f>
        <v/>
      </c>
      <c r="CI29">
        <f>IFERROR(INDEX(PP_Grid[#Data],$DE29,84),0)</f>
        <v/>
      </c>
      <c r="CJ29">
        <f>IFERROR(INDEX(PP_Grid[#Data],$DE29,85),0)</f>
        <v/>
      </c>
      <c r="CK29">
        <f>IFERROR(INDEX(PP_Grid[#Data],$DE29,86),0)</f>
        <v/>
      </c>
      <c r="CL29">
        <f>IFERROR(INDEX(PP_Grid[#Data],$DE29,87),0)</f>
        <v/>
      </c>
      <c r="CM29">
        <f>IFERROR(INDEX(PP_Grid[#Data],$DE29,88),0)</f>
        <v/>
      </c>
      <c r="CN29">
        <f>IFERROR(INDEX(PP_Grid[#Data],$DE29,89),0)</f>
        <v/>
      </c>
      <c r="CO29">
        <f>IFERROR(INDEX(PP_Grid[#Data],$DE29,90),0)</f>
        <v/>
      </c>
      <c r="CP29">
        <f>IFERROR(INDEX(PP_Grid[#Data],$DE29,91),0)</f>
        <v/>
      </c>
      <c r="CQ29">
        <f>IFERROR(INDEX(PP_Grid[#Data],$DE29,92),0)</f>
        <v/>
      </c>
      <c r="CR29">
        <f>IFERROR(INDEX(PP_Grid[#Data],$DE29,93),0)</f>
        <v/>
      </c>
      <c r="CS29">
        <f>IFERROR(INDEX(PP_Grid[#Data],$DE29,94),0)</f>
        <v/>
      </c>
      <c r="CT29">
        <f>IFERROR(INDEX(PP_Grid[#Data],$DE29,95),0)</f>
        <v/>
      </c>
      <c r="CU29">
        <f>IFERROR(INDEX(PP_Grid[#Data],$DE29,96),0)</f>
        <v/>
      </c>
      <c r="CV29">
        <f>IFERROR(INDEX(PP_Grid[#Data],$DE29,97),0)</f>
        <v/>
      </c>
      <c r="CW29">
        <f>IFERROR(INDEX(PP_Grid[#Data],$DE29,98),0)</f>
        <v/>
      </c>
      <c r="CX29">
        <f>IFERROR(INDEX(PP_Grid[#Data],$DE29,99),0)</f>
        <v/>
      </c>
      <c r="CY29">
        <f>IFERROR(INDEX(PP_Grid[#Data],$DE29,100),0)</f>
        <v/>
      </c>
      <c r="CZ29">
        <f>IFERROR(INDEX(PP_Grid[#Data],$DE29,101),0)</f>
        <v/>
      </c>
      <c r="DA29">
        <f>IFERROR(INDEX(PP_Grid[#Data],$DE29,102),0)</f>
        <v/>
      </c>
      <c r="DB29">
        <f>IFERROR(INDEX(PP_Grid[#Data],$DE29,103),0)</f>
        <v/>
      </c>
      <c r="DC29">
        <f>IFERROR(INDEX(PP_Grid[#Data],$DE29,104),0)</f>
        <v/>
      </c>
      <c r="DD29">
        <f>IFERROR(INDEX(PP_Grid[#Data],$DE29,105),0)</f>
        <v/>
      </c>
      <c r="DE29" s="7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SUMIFS(M_BOM[RM_Qty_Per_Batch],M_BOM[Intermediate],$B29,M_BOM[RM_Code],$A28)</f>
        <v/>
      </c>
      <c r="D30">
        <f>IFERROR(INDEX(E30:DD30,$F$1),"")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  <c r="DD30">
        <f>$C30*DD29</f>
        <v/>
      </c>
    </row>
    <row r="31">
      <c r="B31" t="inlineStr">
        <is>
          <t>TSP-050</t>
        </is>
      </c>
      <c r="C31" t="inlineStr">
        <is>
          <t>No. of batches</t>
        </is>
      </c>
      <c r="D31">
        <f>IFERROR(INDEX(E31:DD31,$F$1),"")</f>
        <v/>
      </c>
      <c r="E31">
        <f>IFERROR(INDEX(PP_Grid[#Data],$DE31,2),0)</f>
        <v/>
      </c>
      <c r="F31">
        <f>IFERROR(INDEX(PP_Grid[#Data],$DE31,3),0)</f>
        <v/>
      </c>
      <c r="G31">
        <f>IFERROR(INDEX(PP_Grid[#Data],$DE31,4),0)</f>
        <v/>
      </c>
      <c r="H31">
        <f>IFERROR(INDEX(PP_Grid[#Data],$DE31,5),0)</f>
        <v/>
      </c>
      <c r="I31">
        <f>IFERROR(INDEX(PP_Grid[#Data],$DE31,6),0)</f>
        <v/>
      </c>
      <c r="J31">
        <f>IFERROR(INDEX(PP_Grid[#Data],$DE31,7),0)</f>
        <v/>
      </c>
      <c r="K31">
        <f>IFERROR(INDEX(PP_Grid[#Data],$DE31,8),0)</f>
        <v/>
      </c>
      <c r="L31">
        <f>IFERROR(INDEX(PP_Grid[#Data],$DE31,9),0)</f>
        <v/>
      </c>
      <c r="M31">
        <f>IFERROR(INDEX(PP_Grid[#Data],$DE31,10),0)</f>
        <v/>
      </c>
      <c r="N31">
        <f>IFERROR(INDEX(PP_Grid[#Data],$DE31,11),0)</f>
        <v/>
      </c>
      <c r="O31">
        <f>IFERROR(INDEX(PP_Grid[#Data],$DE31,12),0)</f>
        <v/>
      </c>
      <c r="P31">
        <f>IFERROR(INDEX(PP_Grid[#Data],$DE31,13),0)</f>
        <v/>
      </c>
      <c r="Q31">
        <f>IFERROR(INDEX(PP_Grid[#Data],$DE31,14),0)</f>
        <v/>
      </c>
      <c r="R31">
        <f>IFERROR(INDEX(PP_Grid[#Data],$DE31,15),0)</f>
        <v/>
      </c>
      <c r="S31">
        <f>IFERROR(INDEX(PP_Grid[#Data],$DE31,16),0)</f>
        <v/>
      </c>
      <c r="T31">
        <f>IFERROR(INDEX(PP_Grid[#Data],$DE31,17),0)</f>
        <v/>
      </c>
      <c r="U31">
        <f>IFERROR(INDEX(PP_Grid[#Data],$DE31,18),0)</f>
        <v/>
      </c>
      <c r="V31">
        <f>IFERROR(INDEX(PP_Grid[#Data],$DE31,19),0)</f>
        <v/>
      </c>
      <c r="W31">
        <f>IFERROR(INDEX(PP_Grid[#Data],$DE31,20),0)</f>
        <v/>
      </c>
      <c r="X31">
        <f>IFERROR(INDEX(PP_Grid[#Data],$DE31,21),0)</f>
        <v/>
      </c>
      <c r="Y31">
        <f>IFERROR(INDEX(PP_Grid[#Data],$DE31,22),0)</f>
        <v/>
      </c>
      <c r="Z31">
        <f>IFERROR(INDEX(PP_Grid[#Data],$DE31,23),0)</f>
        <v/>
      </c>
      <c r="AA31">
        <f>IFERROR(INDEX(PP_Grid[#Data],$DE31,24),0)</f>
        <v/>
      </c>
      <c r="AB31">
        <f>IFERROR(INDEX(PP_Grid[#Data],$DE31,25),0)</f>
        <v/>
      </c>
      <c r="AC31">
        <f>IFERROR(INDEX(PP_Grid[#Data],$DE31,26),0)</f>
        <v/>
      </c>
      <c r="AD31">
        <f>IFERROR(INDEX(PP_Grid[#Data],$DE31,27),0)</f>
        <v/>
      </c>
      <c r="AE31">
        <f>IFERROR(INDEX(PP_Grid[#Data],$DE31,28),0)</f>
        <v/>
      </c>
      <c r="AF31">
        <f>IFERROR(INDEX(PP_Grid[#Data],$DE31,29),0)</f>
        <v/>
      </c>
      <c r="AG31">
        <f>IFERROR(INDEX(PP_Grid[#Data],$DE31,30),0)</f>
        <v/>
      </c>
      <c r="AH31">
        <f>IFERROR(INDEX(PP_Grid[#Data],$DE31,31),0)</f>
        <v/>
      </c>
      <c r="AI31">
        <f>IFERROR(INDEX(PP_Grid[#Data],$DE31,32),0)</f>
        <v/>
      </c>
      <c r="AJ31">
        <f>IFERROR(INDEX(PP_Grid[#Data],$DE31,33),0)</f>
        <v/>
      </c>
      <c r="AK31">
        <f>IFERROR(INDEX(PP_Grid[#Data],$DE31,34),0)</f>
        <v/>
      </c>
      <c r="AL31">
        <f>IFERROR(INDEX(PP_Grid[#Data],$DE31,35),0)</f>
        <v/>
      </c>
      <c r="AM31">
        <f>IFERROR(INDEX(PP_Grid[#Data],$DE31,36),0)</f>
        <v/>
      </c>
      <c r="AN31">
        <f>IFERROR(INDEX(PP_Grid[#Data],$DE31,37),0)</f>
        <v/>
      </c>
      <c r="AO31">
        <f>IFERROR(INDEX(PP_Grid[#Data],$DE31,38),0)</f>
        <v/>
      </c>
      <c r="AP31">
        <f>IFERROR(INDEX(PP_Grid[#Data],$DE31,39),0)</f>
        <v/>
      </c>
      <c r="AQ31">
        <f>IFERROR(INDEX(PP_Grid[#Data],$DE31,40),0)</f>
        <v/>
      </c>
      <c r="AR31">
        <f>IFERROR(INDEX(PP_Grid[#Data],$DE31,41),0)</f>
        <v/>
      </c>
      <c r="AS31">
        <f>IFERROR(INDEX(PP_Grid[#Data],$DE31,42),0)</f>
        <v/>
      </c>
      <c r="AT31">
        <f>IFERROR(INDEX(PP_Grid[#Data],$DE31,43),0)</f>
        <v/>
      </c>
      <c r="AU31">
        <f>IFERROR(INDEX(PP_Grid[#Data],$DE31,44),0)</f>
        <v/>
      </c>
      <c r="AV31">
        <f>IFERROR(INDEX(PP_Grid[#Data],$DE31,45),0)</f>
        <v/>
      </c>
      <c r="AW31">
        <f>IFERROR(INDEX(PP_Grid[#Data],$DE31,46),0)</f>
        <v/>
      </c>
      <c r="AX31">
        <f>IFERROR(INDEX(PP_Grid[#Data],$DE31,47),0)</f>
        <v/>
      </c>
      <c r="AY31">
        <f>IFERROR(INDEX(PP_Grid[#Data],$DE31,48),0)</f>
        <v/>
      </c>
      <c r="AZ31">
        <f>IFERROR(INDEX(PP_Grid[#Data],$DE31,49),0)</f>
        <v/>
      </c>
      <c r="BA31">
        <f>IFERROR(INDEX(PP_Grid[#Data],$DE31,50),0)</f>
        <v/>
      </c>
      <c r="BB31">
        <f>IFERROR(INDEX(PP_Grid[#Data],$DE31,51),0)</f>
        <v/>
      </c>
      <c r="BC31">
        <f>IFERROR(INDEX(PP_Grid[#Data],$DE31,52),0)</f>
        <v/>
      </c>
      <c r="BD31">
        <f>IFERROR(INDEX(PP_Grid[#Data],$DE31,53),0)</f>
        <v/>
      </c>
      <c r="BE31">
        <f>IFERROR(INDEX(PP_Grid[#Data],$DE31,54),0)</f>
        <v/>
      </c>
      <c r="BF31">
        <f>IFERROR(INDEX(PP_Grid[#Data],$DE31,55),0)</f>
        <v/>
      </c>
      <c r="BG31">
        <f>IFERROR(INDEX(PP_Grid[#Data],$DE31,56),0)</f>
        <v/>
      </c>
      <c r="BH31">
        <f>IFERROR(INDEX(PP_Grid[#Data],$DE31,57),0)</f>
        <v/>
      </c>
      <c r="BI31">
        <f>IFERROR(INDEX(PP_Grid[#Data],$DE31,58),0)</f>
        <v/>
      </c>
      <c r="BJ31">
        <f>IFERROR(INDEX(PP_Grid[#Data],$DE31,59),0)</f>
        <v/>
      </c>
      <c r="BK31">
        <f>IFERROR(INDEX(PP_Grid[#Data],$DE31,60),0)</f>
        <v/>
      </c>
      <c r="BL31">
        <f>IFERROR(INDEX(PP_Grid[#Data],$DE31,61),0)</f>
        <v/>
      </c>
      <c r="BM31">
        <f>IFERROR(INDEX(PP_Grid[#Data],$DE31,62),0)</f>
        <v/>
      </c>
      <c r="BN31">
        <f>IFERROR(INDEX(PP_Grid[#Data],$DE31,63),0)</f>
        <v/>
      </c>
      <c r="BO31">
        <f>IFERROR(INDEX(PP_Grid[#Data],$DE31,64),0)</f>
        <v/>
      </c>
      <c r="BP31">
        <f>IFERROR(INDEX(PP_Grid[#Data],$DE31,65),0)</f>
        <v/>
      </c>
      <c r="BQ31">
        <f>IFERROR(INDEX(PP_Grid[#Data],$DE31,66),0)</f>
        <v/>
      </c>
      <c r="BR31">
        <f>IFERROR(INDEX(PP_Grid[#Data],$DE31,67),0)</f>
        <v/>
      </c>
      <c r="BS31">
        <f>IFERROR(INDEX(PP_Grid[#Data],$DE31,68),0)</f>
        <v/>
      </c>
      <c r="BT31">
        <f>IFERROR(INDEX(PP_Grid[#Data],$DE31,69),0)</f>
        <v/>
      </c>
      <c r="BU31">
        <f>IFERROR(INDEX(PP_Grid[#Data],$DE31,70),0)</f>
        <v/>
      </c>
      <c r="BV31">
        <f>IFERROR(INDEX(PP_Grid[#Data],$DE31,71),0)</f>
        <v/>
      </c>
      <c r="BW31">
        <f>IFERROR(INDEX(PP_Grid[#Data],$DE31,72),0)</f>
        <v/>
      </c>
      <c r="BX31">
        <f>IFERROR(INDEX(PP_Grid[#Data],$DE31,73),0)</f>
        <v/>
      </c>
      <c r="BY31">
        <f>IFERROR(INDEX(PP_Grid[#Data],$DE31,74),0)</f>
        <v/>
      </c>
      <c r="BZ31">
        <f>IFERROR(INDEX(PP_Grid[#Data],$DE31,75),0)</f>
        <v/>
      </c>
      <c r="CA31">
        <f>IFERROR(INDEX(PP_Grid[#Data],$DE31,76),0)</f>
        <v/>
      </c>
      <c r="CB31">
        <f>IFERROR(INDEX(PP_Grid[#Data],$DE31,77),0)</f>
        <v/>
      </c>
      <c r="CC31">
        <f>IFERROR(INDEX(PP_Grid[#Data],$DE31,78),0)</f>
        <v/>
      </c>
      <c r="CD31">
        <f>IFERROR(INDEX(PP_Grid[#Data],$DE31,79),0)</f>
        <v/>
      </c>
      <c r="CE31">
        <f>IFERROR(INDEX(PP_Grid[#Data],$DE31,80),0)</f>
        <v/>
      </c>
      <c r="CF31">
        <f>IFERROR(INDEX(PP_Grid[#Data],$DE31,81),0)</f>
        <v/>
      </c>
      <c r="CG31">
        <f>IFERROR(INDEX(PP_Grid[#Data],$DE31,82),0)</f>
        <v/>
      </c>
      <c r="CH31">
        <f>IFERROR(INDEX(PP_Grid[#Data],$DE31,83),0)</f>
        <v/>
      </c>
      <c r="CI31">
        <f>IFERROR(INDEX(PP_Grid[#Data],$DE31,84),0)</f>
        <v/>
      </c>
      <c r="CJ31">
        <f>IFERROR(INDEX(PP_Grid[#Data],$DE31,85),0)</f>
        <v/>
      </c>
      <c r="CK31">
        <f>IFERROR(INDEX(PP_Grid[#Data],$DE31,86),0)</f>
        <v/>
      </c>
      <c r="CL31">
        <f>IFERROR(INDEX(PP_Grid[#Data],$DE31,87),0)</f>
        <v/>
      </c>
      <c r="CM31">
        <f>IFERROR(INDEX(PP_Grid[#Data],$DE31,88),0)</f>
        <v/>
      </c>
      <c r="CN31">
        <f>IFERROR(INDEX(PP_Grid[#Data],$DE31,89),0)</f>
        <v/>
      </c>
      <c r="CO31">
        <f>IFERROR(INDEX(PP_Grid[#Data],$DE31,90),0)</f>
        <v/>
      </c>
      <c r="CP31">
        <f>IFERROR(INDEX(PP_Grid[#Data],$DE31,91),0)</f>
        <v/>
      </c>
      <c r="CQ31">
        <f>IFERROR(INDEX(PP_Grid[#Data],$DE31,92),0)</f>
        <v/>
      </c>
      <c r="CR31">
        <f>IFERROR(INDEX(PP_Grid[#Data],$DE31,93),0)</f>
        <v/>
      </c>
      <c r="CS31">
        <f>IFERROR(INDEX(PP_Grid[#Data],$DE31,94),0)</f>
        <v/>
      </c>
      <c r="CT31">
        <f>IFERROR(INDEX(PP_Grid[#Data],$DE31,95),0)</f>
        <v/>
      </c>
      <c r="CU31">
        <f>IFERROR(INDEX(PP_Grid[#Data],$DE31,96),0)</f>
        <v/>
      </c>
      <c r="CV31">
        <f>IFERROR(INDEX(PP_Grid[#Data],$DE31,97),0)</f>
        <v/>
      </c>
      <c r="CW31">
        <f>IFERROR(INDEX(PP_Grid[#Data],$DE31,98),0)</f>
        <v/>
      </c>
      <c r="CX31">
        <f>IFERROR(INDEX(PP_Grid[#Data],$DE31,99),0)</f>
        <v/>
      </c>
      <c r="CY31">
        <f>IFERROR(INDEX(PP_Grid[#Data],$DE31,100),0)</f>
        <v/>
      </c>
      <c r="CZ31">
        <f>IFERROR(INDEX(PP_Grid[#Data],$DE31,101),0)</f>
        <v/>
      </c>
      <c r="DA31">
        <f>IFERROR(INDEX(PP_Grid[#Data],$DE31,102),0)</f>
        <v/>
      </c>
      <c r="DB31">
        <f>IFERROR(INDEX(PP_Grid[#Data],$DE31,103),0)</f>
        <v/>
      </c>
      <c r="DC31">
        <f>IFERROR(INDEX(PP_Grid[#Data],$DE31,104),0)</f>
        <v/>
      </c>
      <c r="DD31">
        <f>IFERROR(INDEX(PP_Grid[#Data],$DE31,105),0)</f>
        <v/>
      </c>
      <c r="DE31" s="7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SUMIFS(M_BOM[RM_Qty_Per_Batch],M_BOM[Intermediate],$B31,M_BOM[RM_Code],$A28)</f>
        <v/>
      </c>
      <c r="D32">
        <f>IFERROR(INDEX(E32:DD32,$F$1),"")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  <c r="DD32">
        <f>$C32*DD31</f>
        <v/>
      </c>
    </row>
    <row r="33">
      <c r="B33" t="inlineStr">
        <is>
          <t>TSP-067</t>
        </is>
      </c>
      <c r="C33" t="inlineStr">
        <is>
          <t>No. of batches</t>
        </is>
      </c>
      <c r="D33">
        <f>IFERROR(INDEX(E33:DD33,$F$1),"")</f>
        <v/>
      </c>
      <c r="E33">
        <f>IFERROR(INDEX(PP_Grid[#Data],$DE33,2),0)</f>
        <v/>
      </c>
      <c r="F33">
        <f>IFERROR(INDEX(PP_Grid[#Data],$DE33,3),0)</f>
        <v/>
      </c>
      <c r="G33">
        <f>IFERROR(INDEX(PP_Grid[#Data],$DE33,4),0)</f>
        <v/>
      </c>
      <c r="H33">
        <f>IFERROR(INDEX(PP_Grid[#Data],$DE33,5),0)</f>
        <v/>
      </c>
      <c r="I33">
        <f>IFERROR(INDEX(PP_Grid[#Data],$DE33,6),0)</f>
        <v/>
      </c>
      <c r="J33">
        <f>IFERROR(INDEX(PP_Grid[#Data],$DE33,7),0)</f>
        <v/>
      </c>
      <c r="K33">
        <f>IFERROR(INDEX(PP_Grid[#Data],$DE33,8),0)</f>
        <v/>
      </c>
      <c r="L33">
        <f>IFERROR(INDEX(PP_Grid[#Data],$DE33,9),0)</f>
        <v/>
      </c>
      <c r="M33">
        <f>IFERROR(INDEX(PP_Grid[#Data],$DE33,10),0)</f>
        <v/>
      </c>
      <c r="N33">
        <f>IFERROR(INDEX(PP_Grid[#Data],$DE33,11),0)</f>
        <v/>
      </c>
      <c r="O33">
        <f>IFERROR(INDEX(PP_Grid[#Data],$DE33,12),0)</f>
        <v/>
      </c>
      <c r="P33">
        <f>IFERROR(INDEX(PP_Grid[#Data],$DE33,13),0)</f>
        <v/>
      </c>
      <c r="Q33">
        <f>IFERROR(INDEX(PP_Grid[#Data],$DE33,14),0)</f>
        <v/>
      </c>
      <c r="R33">
        <f>IFERROR(INDEX(PP_Grid[#Data],$DE33,15),0)</f>
        <v/>
      </c>
      <c r="S33">
        <f>IFERROR(INDEX(PP_Grid[#Data],$DE33,16),0)</f>
        <v/>
      </c>
      <c r="T33">
        <f>IFERROR(INDEX(PP_Grid[#Data],$DE33,17),0)</f>
        <v/>
      </c>
      <c r="U33">
        <f>IFERROR(INDEX(PP_Grid[#Data],$DE33,18),0)</f>
        <v/>
      </c>
      <c r="V33">
        <f>IFERROR(INDEX(PP_Grid[#Data],$DE33,19),0)</f>
        <v/>
      </c>
      <c r="W33">
        <f>IFERROR(INDEX(PP_Grid[#Data],$DE33,20),0)</f>
        <v/>
      </c>
      <c r="X33">
        <f>IFERROR(INDEX(PP_Grid[#Data],$DE33,21),0)</f>
        <v/>
      </c>
      <c r="Y33">
        <f>IFERROR(INDEX(PP_Grid[#Data],$DE33,22),0)</f>
        <v/>
      </c>
      <c r="Z33">
        <f>IFERROR(INDEX(PP_Grid[#Data],$DE33,23),0)</f>
        <v/>
      </c>
      <c r="AA33">
        <f>IFERROR(INDEX(PP_Grid[#Data],$DE33,24),0)</f>
        <v/>
      </c>
      <c r="AB33">
        <f>IFERROR(INDEX(PP_Grid[#Data],$DE33,25),0)</f>
        <v/>
      </c>
      <c r="AC33">
        <f>IFERROR(INDEX(PP_Grid[#Data],$DE33,26),0)</f>
        <v/>
      </c>
      <c r="AD33">
        <f>IFERROR(INDEX(PP_Grid[#Data],$DE33,27),0)</f>
        <v/>
      </c>
      <c r="AE33">
        <f>IFERROR(INDEX(PP_Grid[#Data],$DE33,28),0)</f>
        <v/>
      </c>
      <c r="AF33">
        <f>IFERROR(INDEX(PP_Grid[#Data],$DE33,29),0)</f>
        <v/>
      </c>
      <c r="AG33">
        <f>IFERROR(INDEX(PP_Grid[#Data],$DE33,30),0)</f>
        <v/>
      </c>
      <c r="AH33">
        <f>IFERROR(INDEX(PP_Grid[#Data],$DE33,31),0)</f>
        <v/>
      </c>
      <c r="AI33">
        <f>IFERROR(INDEX(PP_Grid[#Data],$DE33,32),0)</f>
        <v/>
      </c>
      <c r="AJ33">
        <f>IFERROR(INDEX(PP_Grid[#Data],$DE33,33),0)</f>
        <v/>
      </c>
      <c r="AK33">
        <f>IFERROR(INDEX(PP_Grid[#Data],$DE33,34),0)</f>
        <v/>
      </c>
      <c r="AL33">
        <f>IFERROR(INDEX(PP_Grid[#Data],$DE33,35),0)</f>
        <v/>
      </c>
      <c r="AM33">
        <f>IFERROR(INDEX(PP_Grid[#Data],$DE33,36),0)</f>
        <v/>
      </c>
      <c r="AN33">
        <f>IFERROR(INDEX(PP_Grid[#Data],$DE33,37),0)</f>
        <v/>
      </c>
      <c r="AO33">
        <f>IFERROR(INDEX(PP_Grid[#Data],$DE33,38),0)</f>
        <v/>
      </c>
      <c r="AP33">
        <f>IFERROR(INDEX(PP_Grid[#Data],$DE33,39),0)</f>
        <v/>
      </c>
      <c r="AQ33">
        <f>IFERROR(INDEX(PP_Grid[#Data],$DE33,40),0)</f>
        <v/>
      </c>
      <c r="AR33">
        <f>IFERROR(INDEX(PP_Grid[#Data],$DE33,41),0)</f>
        <v/>
      </c>
      <c r="AS33">
        <f>IFERROR(INDEX(PP_Grid[#Data],$DE33,42),0)</f>
        <v/>
      </c>
      <c r="AT33">
        <f>IFERROR(INDEX(PP_Grid[#Data],$DE33,43),0)</f>
        <v/>
      </c>
      <c r="AU33">
        <f>IFERROR(INDEX(PP_Grid[#Data],$DE33,44),0)</f>
        <v/>
      </c>
      <c r="AV33">
        <f>IFERROR(INDEX(PP_Grid[#Data],$DE33,45),0)</f>
        <v/>
      </c>
      <c r="AW33">
        <f>IFERROR(INDEX(PP_Grid[#Data],$DE33,46),0)</f>
        <v/>
      </c>
      <c r="AX33">
        <f>IFERROR(INDEX(PP_Grid[#Data],$DE33,47),0)</f>
        <v/>
      </c>
      <c r="AY33">
        <f>IFERROR(INDEX(PP_Grid[#Data],$DE33,48),0)</f>
        <v/>
      </c>
      <c r="AZ33">
        <f>IFERROR(INDEX(PP_Grid[#Data],$DE33,49),0)</f>
        <v/>
      </c>
      <c r="BA33">
        <f>IFERROR(INDEX(PP_Grid[#Data],$DE33,50),0)</f>
        <v/>
      </c>
      <c r="BB33">
        <f>IFERROR(INDEX(PP_Grid[#Data],$DE33,51),0)</f>
        <v/>
      </c>
      <c r="BC33">
        <f>IFERROR(INDEX(PP_Grid[#Data],$DE33,52),0)</f>
        <v/>
      </c>
      <c r="BD33">
        <f>IFERROR(INDEX(PP_Grid[#Data],$DE33,53),0)</f>
        <v/>
      </c>
      <c r="BE33">
        <f>IFERROR(INDEX(PP_Grid[#Data],$DE33,54),0)</f>
        <v/>
      </c>
      <c r="BF33">
        <f>IFERROR(INDEX(PP_Grid[#Data],$DE33,55),0)</f>
        <v/>
      </c>
      <c r="BG33">
        <f>IFERROR(INDEX(PP_Grid[#Data],$DE33,56),0)</f>
        <v/>
      </c>
      <c r="BH33">
        <f>IFERROR(INDEX(PP_Grid[#Data],$DE33,57),0)</f>
        <v/>
      </c>
      <c r="BI33">
        <f>IFERROR(INDEX(PP_Grid[#Data],$DE33,58),0)</f>
        <v/>
      </c>
      <c r="BJ33">
        <f>IFERROR(INDEX(PP_Grid[#Data],$DE33,59),0)</f>
        <v/>
      </c>
      <c r="BK33">
        <f>IFERROR(INDEX(PP_Grid[#Data],$DE33,60),0)</f>
        <v/>
      </c>
      <c r="BL33">
        <f>IFERROR(INDEX(PP_Grid[#Data],$DE33,61),0)</f>
        <v/>
      </c>
      <c r="BM33">
        <f>IFERROR(INDEX(PP_Grid[#Data],$DE33,62),0)</f>
        <v/>
      </c>
      <c r="BN33">
        <f>IFERROR(INDEX(PP_Grid[#Data],$DE33,63),0)</f>
        <v/>
      </c>
      <c r="BO33">
        <f>IFERROR(INDEX(PP_Grid[#Data],$DE33,64),0)</f>
        <v/>
      </c>
      <c r="BP33">
        <f>IFERROR(INDEX(PP_Grid[#Data],$DE33,65),0)</f>
        <v/>
      </c>
      <c r="BQ33">
        <f>IFERROR(INDEX(PP_Grid[#Data],$DE33,66),0)</f>
        <v/>
      </c>
      <c r="BR33">
        <f>IFERROR(INDEX(PP_Grid[#Data],$DE33,67),0)</f>
        <v/>
      </c>
      <c r="BS33">
        <f>IFERROR(INDEX(PP_Grid[#Data],$DE33,68),0)</f>
        <v/>
      </c>
      <c r="BT33">
        <f>IFERROR(INDEX(PP_Grid[#Data],$DE33,69),0)</f>
        <v/>
      </c>
      <c r="BU33">
        <f>IFERROR(INDEX(PP_Grid[#Data],$DE33,70),0)</f>
        <v/>
      </c>
      <c r="BV33">
        <f>IFERROR(INDEX(PP_Grid[#Data],$DE33,71),0)</f>
        <v/>
      </c>
      <c r="BW33">
        <f>IFERROR(INDEX(PP_Grid[#Data],$DE33,72),0)</f>
        <v/>
      </c>
      <c r="BX33">
        <f>IFERROR(INDEX(PP_Grid[#Data],$DE33,73),0)</f>
        <v/>
      </c>
      <c r="BY33">
        <f>IFERROR(INDEX(PP_Grid[#Data],$DE33,74),0)</f>
        <v/>
      </c>
      <c r="BZ33">
        <f>IFERROR(INDEX(PP_Grid[#Data],$DE33,75),0)</f>
        <v/>
      </c>
      <c r="CA33">
        <f>IFERROR(INDEX(PP_Grid[#Data],$DE33,76),0)</f>
        <v/>
      </c>
      <c r="CB33">
        <f>IFERROR(INDEX(PP_Grid[#Data],$DE33,77),0)</f>
        <v/>
      </c>
      <c r="CC33">
        <f>IFERROR(INDEX(PP_Grid[#Data],$DE33,78),0)</f>
        <v/>
      </c>
      <c r="CD33">
        <f>IFERROR(INDEX(PP_Grid[#Data],$DE33,79),0)</f>
        <v/>
      </c>
      <c r="CE33">
        <f>IFERROR(INDEX(PP_Grid[#Data],$DE33,80),0)</f>
        <v/>
      </c>
      <c r="CF33">
        <f>IFERROR(INDEX(PP_Grid[#Data],$DE33,81),0)</f>
        <v/>
      </c>
      <c r="CG33">
        <f>IFERROR(INDEX(PP_Grid[#Data],$DE33,82),0)</f>
        <v/>
      </c>
      <c r="CH33">
        <f>IFERROR(INDEX(PP_Grid[#Data],$DE33,83),0)</f>
        <v/>
      </c>
      <c r="CI33">
        <f>IFERROR(INDEX(PP_Grid[#Data],$DE33,84),0)</f>
        <v/>
      </c>
      <c r="CJ33">
        <f>IFERROR(INDEX(PP_Grid[#Data],$DE33,85),0)</f>
        <v/>
      </c>
      <c r="CK33">
        <f>IFERROR(INDEX(PP_Grid[#Data],$DE33,86),0)</f>
        <v/>
      </c>
      <c r="CL33">
        <f>IFERROR(INDEX(PP_Grid[#Data],$DE33,87),0)</f>
        <v/>
      </c>
      <c r="CM33">
        <f>IFERROR(INDEX(PP_Grid[#Data],$DE33,88),0)</f>
        <v/>
      </c>
      <c r="CN33">
        <f>IFERROR(INDEX(PP_Grid[#Data],$DE33,89),0)</f>
        <v/>
      </c>
      <c r="CO33">
        <f>IFERROR(INDEX(PP_Grid[#Data],$DE33,90),0)</f>
        <v/>
      </c>
      <c r="CP33">
        <f>IFERROR(INDEX(PP_Grid[#Data],$DE33,91),0)</f>
        <v/>
      </c>
      <c r="CQ33">
        <f>IFERROR(INDEX(PP_Grid[#Data],$DE33,92),0)</f>
        <v/>
      </c>
      <c r="CR33">
        <f>IFERROR(INDEX(PP_Grid[#Data],$DE33,93),0)</f>
        <v/>
      </c>
      <c r="CS33">
        <f>IFERROR(INDEX(PP_Grid[#Data],$DE33,94),0)</f>
        <v/>
      </c>
      <c r="CT33">
        <f>IFERROR(INDEX(PP_Grid[#Data],$DE33,95),0)</f>
        <v/>
      </c>
      <c r="CU33">
        <f>IFERROR(INDEX(PP_Grid[#Data],$DE33,96),0)</f>
        <v/>
      </c>
      <c r="CV33">
        <f>IFERROR(INDEX(PP_Grid[#Data],$DE33,97),0)</f>
        <v/>
      </c>
      <c r="CW33">
        <f>IFERROR(INDEX(PP_Grid[#Data],$DE33,98),0)</f>
        <v/>
      </c>
      <c r="CX33">
        <f>IFERROR(INDEX(PP_Grid[#Data],$DE33,99),0)</f>
        <v/>
      </c>
      <c r="CY33">
        <f>IFERROR(INDEX(PP_Grid[#Data],$DE33,100),0)</f>
        <v/>
      </c>
      <c r="CZ33">
        <f>IFERROR(INDEX(PP_Grid[#Data],$DE33,101),0)</f>
        <v/>
      </c>
      <c r="DA33">
        <f>IFERROR(INDEX(PP_Grid[#Data],$DE33,102),0)</f>
        <v/>
      </c>
      <c r="DB33">
        <f>IFERROR(INDEX(PP_Grid[#Data],$DE33,103),0)</f>
        <v/>
      </c>
      <c r="DC33">
        <f>IFERROR(INDEX(PP_Grid[#Data],$DE33,104),0)</f>
        <v/>
      </c>
      <c r="DD33">
        <f>IFERROR(INDEX(PP_Grid[#Data],$DE33,105),0)</f>
        <v/>
      </c>
      <c r="DE33" s="7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SUMIFS(M_BOM[RM_Qty_Per_Batch],M_BOM[Intermediate],$B33,M_BOM[RM_Code],$A28)</f>
        <v/>
      </c>
      <c r="D34">
        <f>IFERROR(INDEX(E34:DD34,$F$1),"")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  <c r="DD34">
        <f>$C34*DD33</f>
        <v/>
      </c>
    </row>
    <row r="35">
      <c r="B35" t="inlineStr">
        <is>
          <t>TSP-069</t>
        </is>
      </c>
      <c r="C35" t="inlineStr">
        <is>
          <t>No. of batches</t>
        </is>
      </c>
      <c r="D35">
        <f>IFERROR(INDEX(E35:DD35,$F$1),"")</f>
        <v/>
      </c>
      <c r="E35">
        <f>IFERROR(INDEX(PP_Grid[#Data],$DE35,2),0)</f>
        <v/>
      </c>
      <c r="F35">
        <f>IFERROR(INDEX(PP_Grid[#Data],$DE35,3),0)</f>
        <v/>
      </c>
      <c r="G35">
        <f>IFERROR(INDEX(PP_Grid[#Data],$DE35,4),0)</f>
        <v/>
      </c>
      <c r="H35">
        <f>IFERROR(INDEX(PP_Grid[#Data],$DE35,5),0)</f>
        <v/>
      </c>
      <c r="I35">
        <f>IFERROR(INDEX(PP_Grid[#Data],$DE35,6),0)</f>
        <v/>
      </c>
      <c r="J35">
        <f>IFERROR(INDEX(PP_Grid[#Data],$DE35,7),0)</f>
        <v/>
      </c>
      <c r="K35">
        <f>IFERROR(INDEX(PP_Grid[#Data],$DE35,8),0)</f>
        <v/>
      </c>
      <c r="L35">
        <f>IFERROR(INDEX(PP_Grid[#Data],$DE35,9),0)</f>
        <v/>
      </c>
      <c r="M35">
        <f>IFERROR(INDEX(PP_Grid[#Data],$DE35,10),0)</f>
        <v/>
      </c>
      <c r="N35">
        <f>IFERROR(INDEX(PP_Grid[#Data],$DE35,11),0)</f>
        <v/>
      </c>
      <c r="O35">
        <f>IFERROR(INDEX(PP_Grid[#Data],$DE35,12),0)</f>
        <v/>
      </c>
      <c r="P35">
        <f>IFERROR(INDEX(PP_Grid[#Data],$DE35,13),0)</f>
        <v/>
      </c>
      <c r="Q35">
        <f>IFERROR(INDEX(PP_Grid[#Data],$DE35,14),0)</f>
        <v/>
      </c>
      <c r="R35">
        <f>IFERROR(INDEX(PP_Grid[#Data],$DE35,15),0)</f>
        <v/>
      </c>
      <c r="S35">
        <f>IFERROR(INDEX(PP_Grid[#Data],$DE35,16),0)</f>
        <v/>
      </c>
      <c r="T35">
        <f>IFERROR(INDEX(PP_Grid[#Data],$DE35,17),0)</f>
        <v/>
      </c>
      <c r="U35">
        <f>IFERROR(INDEX(PP_Grid[#Data],$DE35,18),0)</f>
        <v/>
      </c>
      <c r="V35">
        <f>IFERROR(INDEX(PP_Grid[#Data],$DE35,19),0)</f>
        <v/>
      </c>
      <c r="W35">
        <f>IFERROR(INDEX(PP_Grid[#Data],$DE35,20),0)</f>
        <v/>
      </c>
      <c r="X35">
        <f>IFERROR(INDEX(PP_Grid[#Data],$DE35,21),0)</f>
        <v/>
      </c>
      <c r="Y35">
        <f>IFERROR(INDEX(PP_Grid[#Data],$DE35,22),0)</f>
        <v/>
      </c>
      <c r="Z35">
        <f>IFERROR(INDEX(PP_Grid[#Data],$DE35,23),0)</f>
        <v/>
      </c>
      <c r="AA35">
        <f>IFERROR(INDEX(PP_Grid[#Data],$DE35,24),0)</f>
        <v/>
      </c>
      <c r="AB35">
        <f>IFERROR(INDEX(PP_Grid[#Data],$DE35,25),0)</f>
        <v/>
      </c>
      <c r="AC35">
        <f>IFERROR(INDEX(PP_Grid[#Data],$DE35,26),0)</f>
        <v/>
      </c>
      <c r="AD35">
        <f>IFERROR(INDEX(PP_Grid[#Data],$DE35,27),0)</f>
        <v/>
      </c>
      <c r="AE35">
        <f>IFERROR(INDEX(PP_Grid[#Data],$DE35,28),0)</f>
        <v/>
      </c>
      <c r="AF35">
        <f>IFERROR(INDEX(PP_Grid[#Data],$DE35,29),0)</f>
        <v/>
      </c>
      <c r="AG35">
        <f>IFERROR(INDEX(PP_Grid[#Data],$DE35,30),0)</f>
        <v/>
      </c>
      <c r="AH35">
        <f>IFERROR(INDEX(PP_Grid[#Data],$DE35,31),0)</f>
        <v/>
      </c>
      <c r="AI35">
        <f>IFERROR(INDEX(PP_Grid[#Data],$DE35,32),0)</f>
        <v/>
      </c>
      <c r="AJ35">
        <f>IFERROR(INDEX(PP_Grid[#Data],$DE35,33),0)</f>
        <v/>
      </c>
      <c r="AK35">
        <f>IFERROR(INDEX(PP_Grid[#Data],$DE35,34),0)</f>
        <v/>
      </c>
      <c r="AL35">
        <f>IFERROR(INDEX(PP_Grid[#Data],$DE35,35),0)</f>
        <v/>
      </c>
      <c r="AM35">
        <f>IFERROR(INDEX(PP_Grid[#Data],$DE35,36),0)</f>
        <v/>
      </c>
      <c r="AN35">
        <f>IFERROR(INDEX(PP_Grid[#Data],$DE35,37),0)</f>
        <v/>
      </c>
      <c r="AO35">
        <f>IFERROR(INDEX(PP_Grid[#Data],$DE35,38),0)</f>
        <v/>
      </c>
      <c r="AP35">
        <f>IFERROR(INDEX(PP_Grid[#Data],$DE35,39),0)</f>
        <v/>
      </c>
      <c r="AQ35">
        <f>IFERROR(INDEX(PP_Grid[#Data],$DE35,40),0)</f>
        <v/>
      </c>
      <c r="AR35">
        <f>IFERROR(INDEX(PP_Grid[#Data],$DE35,41),0)</f>
        <v/>
      </c>
      <c r="AS35">
        <f>IFERROR(INDEX(PP_Grid[#Data],$DE35,42),0)</f>
        <v/>
      </c>
      <c r="AT35">
        <f>IFERROR(INDEX(PP_Grid[#Data],$DE35,43),0)</f>
        <v/>
      </c>
      <c r="AU35">
        <f>IFERROR(INDEX(PP_Grid[#Data],$DE35,44),0)</f>
        <v/>
      </c>
      <c r="AV35">
        <f>IFERROR(INDEX(PP_Grid[#Data],$DE35,45),0)</f>
        <v/>
      </c>
      <c r="AW35">
        <f>IFERROR(INDEX(PP_Grid[#Data],$DE35,46),0)</f>
        <v/>
      </c>
      <c r="AX35">
        <f>IFERROR(INDEX(PP_Grid[#Data],$DE35,47),0)</f>
        <v/>
      </c>
      <c r="AY35">
        <f>IFERROR(INDEX(PP_Grid[#Data],$DE35,48),0)</f>
        <v/>
      </c>
      <c r="AZ35">
        <f>IFERROR(INDEX(PP_Grid[#Data],$DE35,49),0)</f>
        <v/>
      </c>
      <c r="BA35">
        <f>IFERROR(INDEX(PP_Grid[#Data],$DE35,50),0)</f>
        <v/>
      </c>
      <c r="BB35">
        <f>IFERROR(INDEX(PP_Grid[#Data],$DE35,51),0)</f>
        <v/>
      </c>
      <c r="BC35">
        <f>IFERROR(INDEX(PP_Grid[#Data],$DE35,52),0)</f>
        <v/>
      </c>
      <c r="BD35">
        <f>IFERROR(INDEX(PP_Grid[#Data],$DE35,53),0)</f>
        <v/>
      </c>
      <c r="BE35">
        <f>IFERROR(INDEX(PP_Grid[#Data],$DE35,54),0)</f>
        <v/>
      </c>
      <c r="BF35">
        <f>IFERROR(INDEX(PP_Grid[#Data],$DE35,55),0)</f>
        <v/>
      </c>
      <c r="BG35">
        <f>IFERROR(INDEX(PP_Grid[#Data],$DE35,56),0)</f>
        <v/>
      </c>
      <c r="BH35">
        <f>IFERROR(INDEX(PP_Grid[#Data],$DE35,57),0)</f>
        <v/>
      </c>
      <c r="BI35">
        <f>IFERROR(INDEX(PP_Grid[#Data],$DE35,58),0)</f>
        <v/>
      </c>
      <c r="BJ35">
        <f>IFERROR(INDEX(PP_Grid[#Data],$DE35,59),0)</f>
        <v/>
      </c>
      <c r="BK35">
        <f>IFERROR(INDEX(PP_Grid[#Data],$DE35,60),0)</f>
        <v/>
      </c>
      <c r="BL35">
        <f>IFERROR(INDEX(PP_Grid[#Data],$DE35,61),0)</f>
        <v/>
      </c>
      <c r="BM35">
        <f>IFERROR(INDEX(PP_Grid[#Data],$DE35,62),0)</f>
        <v/>
      </c>
      <c r="BN35">
        <f>IFERROR(INDEX(PP_Grid[#Data],$DE35,63),0)</f>
        <v/>
      </c>
      <c r="BO35">
        <f>IFERROR(INDEX(PP_Grid[#Data],$DE35,64),0)</f>
        <v/>
      </c>
      <c r="BP35">
        <f>IFERROR(INDEX(PP_Grid[#Data],$DE35,65),0)</f>
        <v/>
      </c>
      <c r="BQ35">
        <f>IFERROR(INDEX(PP_Grid[#Data],$DE35,66),0)</f>
        <v/>
      </c>
      <c r="BR35">
        <f>IFERROR(INDEX(PP_Grid[#Data],$DE35,67),0)</f>
        <v/>
      </c>
      <c r="BS35">
        <f>IFERROR(INDEX(PP_Grid[#Data],$DE35,68),0)</f>
        <v/>
      </c>
      <c r="BT35">
        <f>IFERROR(INDEX(PP_Grid[#Data],$DE35,69),0)</f>
        <v/>
      </c>
      <c r="BU35">
        <f>IFERROR(INDEX(PP_Grid[#Data],$DE35,70),0)</f>
        <v/>
      </c>
      <c r="BV35">
        <f>IFERROR(INDEX(PP_Grid[#Data],$DE35,71),0)</f>
        <v/>
      </c>
      <c r="BW35">
        <f>IFERROR(INDEX(PP_Grid[#Data],$DE35,72),0)</f>
        <v/>
      </c>
      <c r="BX35">
        <f>IFERROR(INDEX(PP_Grid[#Data],$DE35,73),0)</f>
        <v/>
      </c>
      <c r="BY35">
        <f>IFERROR(INDEX(PP_Grid[#Data],$DE35,74),0)</f>
        <v/>
      </c>
      <c r="BZ35">
        <f>IFERROR(INDEX(PP_Grid[#Data],$DE35,75),0)</f>
        <v/>
      </c>
      <c r="CA35">
        <f>IFERROR(INDEX(PP_Grid[#Data],$DE35,76),0)</f>
        <v/>
      </c>
      <c r="CB35">
        <f>IFERROR(INDEX(PP_Grid[#Data],$DE35,77),0)</f>
        <v/>
      </c>
      <c r="CC35">
        <f>IFERROR(INDEX(PP_Grid[#Data],$DE35,78),0)</f>
        <v/>
      </c>
      <c r="CD35">
        <f>IFERROR(INDEX(PP_Grid[#Data],$DE35,79),0)</f>
        <v/>
      </c>
      <c r="CE35">
        <f>IFERROR(INDEX(PP_Grid[#Data],$DE35,80),0)</f>
        <v/>
      </c>
      <c r="CF35">
        <f>IFERROR(INDEX(PP_Grid[#Data],$DE35,81),0)</f>
        <v/>
      </c>
      <c r="CG35">
        <f>IFERROR(INDEX(PP_Grid[#Data],$DE35,82),0)</f>
        <v/>
      </c>
      <c r="CH35">
        <f>IFERROR(INDEX(PP_Grid[#Data],$DE35,83),0)</f>
        <v/>
      </c>
      <c r="CI35">
        <f>IFERROR(INDEX(PP_Grid[#Data],$DE35,84),0)</f>
        <v/>
      </c>
      <c r="CJ35">
        <f>IFERROR(INDEX(PP_Grid[#Data],$DE35,85),0)</f>
        <v/>
      </c>
      <c r="CK35">
        <f>IFERROR(INDEX(PP_Grid[#Data],$DE35,86),0)</f>
        <v/>
      </c>
      <c r="CL35">
        <f>IFERROR(INDEX(PP_Grid[#Data],$DE35,87),0)</f>
        <v/>
      </c>
      <c r="CM35">
        <f>IFERROR(INDEX(PP_Grid[#Data],$DE35,88),0)</f>
        <v/>
      </c>
      <c r="CN35">
        <f>IFERROR(INDEX(PP_Grid[#Data],$DE35,89),0)</f>
        <v/>
      </c>
      <c r="CO35">
        <f>IFERROR(INDEX(PP_Grid[#Data],$DE35,90),0)</f>
        <v/>
      </c>
      <c r="CP35">
        <f>IFERROR(INDEX(PP_Grid[#Data],$DE35,91),0)</f>
        <v/>
      </c>
      <c r="CQ35">
        <f>IFERROR(INDEX(PP_Grid[#Data],$DE35,92),0)</f>
        <v/>
      </c>
      <c r="CR35">
        <f>IFERROR(INDEX(PP_Grid[#Data],$DE35,93),0)</f>
        <v/>
      </c>
      <c r="CS35">
        <f>IFERROR(INDEX(PP_Grid[#Data],$DE35,94),0)</f>
        <v/>
      </c>
      <c r="CT35">
        <f>IFERROR(INDEX(PP_Grid[#Data],$DE35,95),0)</f>
        <v/>
      </c>
      <c r="CU35">
        <f>IFERROR(INDEX(PP_Grid[#Data],$DE35,96),0)</f>
        <v/>
      </c>
      <c r="CV35">
        <f>IFERROR(INDEX(PP_Grid[#Data],$DE35,97),0)</f>
        <v/>
      </c>
      <c r="CW35">
        <f>IFERROR(INDEX(PP_Grid[#Data],$DE35,98),0)</f>
        <v/>
      </c>
      <c r="CX35">
        <f>IFERROR(INDEX(PP_Grid[#Data],$DE35,99),0)</f>
        <v/>
      </c>
      <c r="CY35">
        <f>IFERROR(INDEX(PP_Grid[#Data],$DE35,100),0)</f>
        <v/>
      </c>
      <c r="CZ35">
        <f>IFERROR(INDEX(PP_Grid[#Data],$DE35,101),0)</f>
        <v/>
      </c>
      <c r="DA35">
        <f>IFERROR(INDEX(PP_Grid[#Data],$DE35,102),0)</f>
        <v/>
      </c>
      <c r="DB35">
        <f>IFERROR(INDEX(PP_Grid[#Data],$DE35,103),0)</f>
        <v/>
      </c>
      <c r="DC35">
        <f>IFERROR(INDEX(PP_Grid[#Data],$DE35,104),0)</f>
        <v/>
      </c>
      <c r="DD35">
        <f>IFERROR(INDEX(PP_Grid[#Data],$DE35,105),0)</f>
        <v/>
      </c>
      <c r="DE35" s="7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SUMIFS(M_BOM[RM_Qty_Per_Batch],M_BOM[Intermediate],$B35,M_BOM[RM_Code],$A28)</f>
        <v/>
      </c>
      <c r="D36">
        <f>IFERROR(INDEX(E36:DD36,$F$1),"")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  <c r="DD36">
        <f>$C36*DD35</f>
        <v/>
      </c>
    </row>
    <row r="37">
      <c r="B37" t="inlineStr">
        <is>
          <t>TSP-070</t>
        </is>
      </c>
      <c r="C37" t="inlineStr">
        <is>
          <t>No. of batches</t>
        </is>
      </c>
      <c r="D37">
        <f>IFERROR(INDEX(E37:DD37,$F$1),"")</f>
        <v/>
      </c>
      <c r="E37">
        <f>IFERROR(INDEX(PP_Grid[#Data],$DE37,2),0)</f>
        <v/>
      </c>
      <c r="F37">
        <f>IFERROR(INDEX(PP_Grid[#Data],$DE37,3),0)</f>
        <v/>
      </c>
      <c r="G37">
        <f>IFERROR(INDEX(PP_Grid[#Data],$DE37,4),0)</f>
        <v/>
      </c>
      <c r="H37">
        <f>IFERROR(INDEX(PP_Grid[#Data],$DE37,5),0)</f>
        <v/>
      </c>
      <c r="I37">
        <f>IFERROR(INDEX(PP_Grid[#Data],$DE37,6),0)</f>
        <v/>
      </c>
      <c r="J37">
        <f>IFERROR(INDEX(PP_Grid[#Data],$DE37,7),0)</f>
        <v/>
      </c>
      <c r="K37">
        <f>IFERROR(INDEX(PP_Grid[#Data],$DE37,8),0)</f>
        <v/>
      </c>
      <c r="L37">
        <f>IFERROR(INDEX(PP_Grid[#Data],$DE37,9),0)</f>
        <v/>
      </c>
      <c r="M37">
        <f>IFERROR(INDEX(PP_Grid[#Data],$DE37,10),0)</f>
        <v/>
      </c>
      <c r="N37">
        <f>IFERROR(INDEX(PP_Grid[#Data],$DE37,11),0)</f>
        <v/>
      </c>
      <c r="O37">
        <f>IFERROR(INDEX(PP_Grid[#Data],$DE37,12),0)</f>
        <v/>
      </c>
      <c r="P37">
        <f>IFERROR(INDEX(PP_Grid[#Data],$DE37,13),0)</f>
        <v/>
      </c>
      <c r="Q37">
        <f>IFERROR(INDEX(PP_Grid[#Data],$DE37,14),0)</f>
        <v/>
      </c>
      <c r="R37">
        <f>IFERROR(INDEX(PP_Grid[#Data],$DE37,15),0)</f>
        <v/>
      </c>
      <c r="S37">
        <f>IFERROR(INDEX(PP_Grid[#Data],$DE37,16),0)</f>
        <v/>
      </c>
      <c r="T37">
        <f>IFERROR(INDEX(PP_Grid[#Data],$DE37,17),0)</f>
        <v/>
      </c>
      <c r="U37">
        <f>IFERROR(INDEX(PP_Grid[#Data],$DE37,18),0)</f>
        <v/>
      </c>
      <c r="V37">
        <f>IFERROR(INDEX(PP_Grid[#Data],$DE37,19),0)</f>
        <v/>
      </c>
      <c r="W37">
        <f>IFERROR(INDEX(PP_Grid[#Data],$DE37,20),0)</f>
        <v/>
      </c>
      <c r="X37">
        <f>IFERROR(INDEX(PP_Grid[#Data],$DE37,21),0)</f>
        <v/>
      </c>
      <c r="Y37">
        <f>IFERROR(INDEX(PP_Grid[#Data],$DE37,22),0)</f>
        <v/>
      </c>
      <c r="Z37">
        <f>IFERROR(INDEX(PP_Grid[#Data],$DE37,23),0)</f>
        <v/>
      </c>
      <c r="AA37">
        <f>IFERROR(INDEX(PP_Grid[#Data],$DE37,24),0)</f>
        <v/>
      </c>
      <c r="AB37">
        <f>IFERROR(INDEX(PP_Grid[#Data],$DE37,25),0)</f>
        <v/>
      </c>
      <c r="AC37">
        <f>IFERROR(INDEX(PP_Grid[#Data],$DE37,26),0)</f>
        <v/>
      </c>
      <c r="AD37">
        <f>IFERROR(INDEX(PP_Grid[#Data],$DE37,27),0)</f>
        <v/>
      </c>
      <c r="AE37">
        <f>IFERROR(INDEX(PP_Grid[#Data],$DE37,28),0)</f>
        <v/>
      </c>
      <c r="AF37">
        <f>IFERROR(INDEX(PP_Grid[#Data],$DE37,29),0)</f>
        <v/>
      </c>
      <c r="AG37">
        <f>IFERROR(INDEX(PP_Grid[#Data],$DE37,30),0)</f>
        <v/>
      </c>
      <c r="AH37">
        <f>IFERROR(INDEX(PP_Grid[#Data],$DE37,31),0)</f>
        <v/>
      </c>
      <c r="AI37">
        <f>IFERROR(INDEX(PP_Grid[#Data],$DE37,32),0)</f>
        <v/>
      </c>
      <c r="AJ37">
        <f>IFERROR(INDEX(PP_Grid[#Data],$DE37,33),0)</f>
        <v/>
      </c>
      <c r="AK37">
        <f>IFERROR(INDEX(PP_Grid[#Data],$DE37,34),0)</f>
        <v/>
      </c>
      <c r="AL37">
        <f>IFERROR(INDEX(PP_Grid[#Data],$DE37,35),0)</f>
        <v/>
      </c>
      <c r="AM37">
        <f>IFERROR(INDEX(PP_Grid[#Data],$DE37,36),0)</f>
        <v/>
      </c>
      <c r="AN37">
        <f>IFERROR(INDEX(PP_Grid[#Data],$DE37,37),0)</f>
        <v/>
      </c>
      <c r="AO37">
        <f>IFERROR(INDEX(PP_Grid[#Data],$DE37,38),0)</f>
        <v/>
      </c>
      <c r="AP37">
        <f>IFERROR(INDEX(PP_Grid[#Data],$DE37,39),0)</f>
        <v/>
      </c>
      <c r="AQ37">
        <f>IFERROR(INDEX(PP_Grid[#Data],$DE37,40),0)</f>
        <v/>
      </c>
      <c r="AR37">
        <f>IFERROR(INDEX(PP_Grid[#Data],$DE37,41),0)</f>
        <v/>
      </c>
      <c r="AS37">
        <f>IFERROR(INDEX(PP_Grid[#Data],$DE37,42),0)</f>
        <v/>
      </c>
      <c r="AT37">
        <f>IFERROR(INDEX(PP_Grid[#Data],$DE37,43),0)</f>
        <v/>
      </c>
      <c r="AU37">
        <f>IFERROR(INDEX(PP_Grid[#Data],$DE37,44),0)</f>
        <v/>
      </c>
      <c r="AV37">
        <f>IFERROR(INDEX(PP_Grid[#Data],$DE37,45),0)</f>
        <v/>
      </c>
      <c r="AW37">
        <f>IFERROR(INDEX(PP_Grid[#Data],$DE37,46),0)</f>
        <v/>
      </c>
      <c r="AX37">
        <f>IFERROR(INDEX(PP_Grid[#Data],$DE37,47),0)</f>
        <v/>
      </c>
      <c r="AY37">
        <f>IFERROR(INDEX(PP_Grid[#Data],$DE37,48),0)</f>
        <v/>
      </c>
      <c r="AZ37">
        <f>IFERROR(INDEX(PP_Grid[#Data],$DE37,49),0)</f>
        <v/>
      </c>
      <c r="BA37">
        <f>IFERROR(INDEX(PP_Grid[#Data],$DE37,50),0)</f>
        <v/>
      </c>
      <c r="BB37">
        <f>IFERROR(INDEX(PP_Grid[#Data],$DE37,51),0)</f>
        <v/>
      </c>
      <c r="BC37">
        <f>IFERROR(INDEX(PP_Grid[#Data],$DE37,52),0)</f>
        <v/>
      </c>
      <c r="BD37">
        <f>IFERROR(INDEX(PP_Grid[#Data],$DE37,53),0)</f>
        <v/>
      </c>
      <c r="BE37">
        <f>IFERROR(INDEX(PP_Grid[#Data],$DE37,54),0)</f>
        <v/>
      </c>
      <c r="BF37">
        <f>IFERROR(INDEX(PP_Grid[#Data],$DE37,55),0)</f>
        <v/>
      </c>
      <c r="BG37">
        <f>IFERROR(INDEX(PP_Grid[#Data],$DE37,56),0)</f>
        <v/>
      </c>
      <c r="BH37">
        <f>IFERROR(INDEX(PP_Grid[#Data],$DE37,57),0)</f>
        <v/>
      </c>
      <c r="BI37">
        <f>IFERROR(INDEX(PP_Grid[#Data],$DE37,58),0)</f>
        <v/>
      </c>
      <c r="BJ37">
        <f>IFERROR(INDEX(PP_Grid[#Data],$DE37,59),0)</f>
        <v/>
      </c>
      <c r="BK37">
        <f>IFERROR(INDEX(PP_Grid[#Data],$DE37,60),0)</f>
        <v/>
      </c>
      <c r="BL37">
        <f>IFERROR(INDEX(PP_Grid[#Data],$DE37,61),0)</f>
        <v/>
      </c>
      <c r="BM37">
        <f>IFERROR(INDEX(PP_Grid[#Data],$DE37,62),0)</f>
        <v/>
      </c>
      <c r="BN37">
        <f>IFERROR(INDEX(PP_Grid[#Data],$DE37,63),0)</f>
        <v/>
      </c>
      <c r="BO37">
        <f>IFERROR(INDEX(PP_Grid[#Data],$DE37,64),0)</f>
        <v/>
      </c>
      <c r="BP37">
        <f>IFERROR(INDEX(PP_Grid[#Data],$DE37,65),0)</f>
        <v/>
      </c>
      <c r="BQ37">
        <f>IFERROR(INDEX(PP_Grid[#Data],$DE37,66),0)</f>
        <v/>
      </c>
      <c r="BR37">
        <f>IFERROR(INDEX(PP_Grid[#Data],$DE37,67),0)</f>
        <v/>
      </c>
      <c r="BS37">
        <f>IFERROR(INDEX(PP_Grid[#Data],$DE37,68),0)</f>
        <v/>
      </c>
      <c r="BT37">
        <f>IFERROR(INDEX(PP_Grid[#Data],$DE37,69),0)</f>
        <v/>
      </c>
      <c r="BU37">
        <f>IFERROR(INDEX(PP_Grid[#Data],$DE37,70),0)</f>
        <v/>
      </c>
      <c r="BV37">
        <f>IFERROR(INDEX(PP_Grid[#Data],$DE37,71),0)</f>
        <v/>
      </c>
      <c r="BW37">
        <f>IFERROR(INDEX(PP_Grid[#Data],$DE37,72),0)</f>
        <v/>
      </c>
      <c r="BX37">
        <f>IFERROR(INDEX(PP_Grid[#Data],$DE37,73),0)</f>
        <v/>
      </c>
      <c r="BY37">
        <f>IFERROR(INDEX(PP_Grid[#Data],$DE37,74),0)</f>
        <v/>
      </c>
      <c r="BZ37">
        <f>IFERROR(INDEX(PP_Grid[#Data],$DE37,75),0)</f>
        <v/>
      </c>
      <c r="CA37">
        <f>IFERROR(INDEX(PP_Grid[#Data],$DE37,76),0)</f>
        <v/>
      </c>
      <c r="CB37">
        <f>IFERROR(INDEX(PP_Grid[#Data],$DE37,77),0)</f>
        <v/>
      </c>
      <c r="CC37">
        <f>IFERROR(INDEX(PP_Grid[#Data],$DE37,78),0)</f>
        <v/>
      </c>
      <c r="CD37">
        <f>IFERROR(INDEX(PP_Grid[#Data],$DE37,79),0)</f>
        <v/>
      </c>
      <c r="CE37">
        <f>IFERROR(INDEX(PP_Grid[#Data],$DE37,80),0)</f>
        <v/>
      </c>
      <c r="CF37">
        <f>IFERROR(INDEX(PP_Grid[#Data],$DE37,81),0)</f>
        <v/>
      </c>
      <c r="CG37">
        <f>IFERROR(INDEX(PP_Grid[#Data],$DE37,82),0)</f>
        <v/>
      </c>
      <c r="CH37">
        <f>IFERROR(INDEX(PP_Grid[#Data],$DE37,83),0)</f>
        <v/>
      </c>
      <c r="CI37">
        <f>IFERROR(INDEX(PP_Grid[#Data],$DE37,84),0)</f>
        <v/>
      </c>
      <c r="CJ37">
        <f>IFERROR(INDEX(PP_Grid[#Data],$DE37,85),0)</f>
        <v/>
      </c>
      <c r="CK37">
        <f>IFERROR(INDEX(PP_Grid[#Data],$DE37,86),0)</f>
        <v/>
      </c>
      <c r="CL37">
        <f>IFERROR(INDEX(PP_Grid[#Data],$DE37,87),0)</f>
        <v/>
      </c>
      <c r="CM37">
        <f>IFERROR(INDEX(PP_Grid[#Data],$DE37,88),0)</f>
        <v/>
      </c>
      <c r="CN37">
        <f>IFERROR(INDEX(PP_Grid[#Data],$DE37,89),0)</f>
        <v/>
      </c>
      <c r="CO37">
        <f>IFERROR(INDEX(PP_Grid[#Data],$DE37,90),0)</f>
        <v/>
      </c>
      <c r="CP37">
        <f>IFERROR(INDEX(PP_Grid[#Data],$DE37,91),0)</f>
        <v/>
      </c>
      <c r="CQ37">
        <f>IFERROR(INDEX(PP_Grid[#Data],$DE37,92),0)</f>
        <v/>
      </c>
      <c r="CR37">
        <f>IFERROR(INDEX(PP_Grid[#Data],$DE37,93),0)</f>
        <v/>
      </c>
      <c r="CS37">
        <f>IFERROR(INDEX(PP_Grid[#Data],$DE37,94),0)</f>
        <v/>
      </c>
      <c r="CT37">
        <f>IFERROR(INDEX(PP_Grid[#Data],$DE37,95),0)</f>
        <v/>
      </c>
      <c r="CU37">
        <f>IFERROR(INDEX(PP_Grid[#Data],$DE37,96),0)</f>
        <v/>
      </c>
      <c r="CV37">
        <f>IFERROR(INDEX(PP_Grid[#Data],$DE37,97),0)</f>
        <v/>
      </c>
      <c r="CW37">
        <f>IFERROR(INDEX(PP_Grid[#Data],$DE37,98),0)</f>
        <v/>
      </c>
      <c r="CX37">
        <f>IFERROR(INDEX(PP_Grid[#Data],$DE37,99),0)</f>
        <v/>
      </c>
      <c r="CY37">
        <f>IFERROR(INDEX(PP_Grid[#Data],$DE37,100),0)</f>
        <v/>
      </c>
      <c r="CZ37">
        <f>IFERROR(INDEX(PP_Grid[#Data],$DE37,101),0)</f>
        <v/>
      </c>
      <c r="DA37">
        <f>IFERROR(INDEX(PP_Grid[#Data],$DE37,102),0)</f>
        <v/>
      </c>
      <c r="DB37">
        <f>IFERROR(INDEX(PP_Grid[#Data],$DE37,103),0)</f>
        <v/>
      </c>
      <c r="DC37">
        <f>IFERROR(INDEX(PP_Grid[#Data],$DE37,104),0)</f>
        <v/>
      </c>
      <c r="DD37">
        <f>IFERROR(INDEX(PP_Grid[#Data],$DE37,105),0)</f>
        <v/>
      </c>
      <c r="DE37" s="7">
        <f>IFERROR(MATCH($B37,PP_Grid[Intermediate],0),99999)</f>
        <v/>
      </c>
    </row>
    <row r="38">
      <c r="B38" t="inlineStr">
        <is>
          <t>使用量(kg)</t>
        </is>
      </c>
      <c r="C38">
        <f>SUMIFS(M_BOM[RM_Qty_Per_Batch],M_BOM[Intermediate],$B37,M_BOM[RM_Code],$A28)</f>
        <v/>
      </c>
      <c r="D38">
        <f>IFERROR(INDEX(E38:DD38,$F$1),"")</f>
        <v/>
      </c>
      <c r="E38">
        <f>$C38*E37</f>
        <v/>
      </c>
      <c r="F38">
        <f>$C38*F37</f>
        <v/>
      </c>
      <c r="G38">
        <f>$C38*G37</f>
        <v/>
      </c>
      <c r="H38">
        <f>$C38*H37</f>
        <v/>
      </c>
      <c r="I38">
        <f>$C38*I37</f>
        <v/>
      </c>
      <c r="J38">
        <f>$C38*J37</f>
        <v/>
      </c>
      <c r="K38">
        <f>$C38*K37</f>
        <v/>
      </c>
      <c r="L38">
        <f>$C38*L37</f>
        <v/>
      </c>
      <c r="M38">
        <f>$C38*M37</f>
        <v/>
      </c>
      <c r="N38">
        <f>$C38*N37</f>
        <v/>
      </c>
      <c r="O38">
        <f>$C38*O37</f>
        <v/>
      </c>
      <c r="P38">
        <f>$C38*P37</f>
        <v/>
      </c>
      <c r="Q38">
        <f>$C38*Q37</f>
        <v/>
      </c>
      <c r="R38">
        <f>$C38*R37</f>
        <v/>
      </c>
      <c r="S38">
        <f>$C38*S37</f>
        <v/>
      </c>
      <c r="T38">
        <f>$C38*T37</f>
        <v/>
      </c>
      <c r="U38">
        <f>$C38*U37</f>
        <v/>
      </c>
      <c r="V38">
        <f>$C38*V37</f>
        <v/>
      </c>
      <c r="W38">
        <f>$C38*W37</f>
        <v/>
      </c>
      <c r="X38">
        <f>$C38*X37</f>
        <v/>
      </c>
      <c r="Y38">
        <f>$C38*Y37</f>
        <v/>
      </c>
      <c r="Z38">
        <f>$C38*Z37</f>
        <v/>
      </c>
      <c r="AA38">
        <f>$C38*AA37</f>
        <v/>
      </c>
      <c r="AB38">
        <f>$C38*AB37</f>
        <v/>
      </c>
      <c r="AC38">
        <f>$C38*AC37</f>
        <v/>
      </c>
      <c r="AD38">
        <f>$C38*AD37</f>
        <v/>
      </c>
      <c r="AE38">
        <f>$C38*AE37</f>
        <v/>
      </c>
      <c r="AF38">
        <f>$C38*AF37</f>
        <v/>
      </c>
      <c r="AG38">
        <f>$C38*AG37</f>
        <v/>
      </c>
      <c r="AH38">
        <f>$C38*AH37</f>
        <v/>
      </c>
      <c r="AI38">
        <f>$C38*AI37</f>
        <v/>
      </c>
      <c r="AJ38">
        <f>$C38*AJ37</f>
        <v/>
      </c>
      <c r="AK38">
        <f>$C38*AK37</f>
        <v/>
      </c>
      <c r="AL38">
        <f>$C38*AL37</f>
        <v/>
      </c>
      <c r="AM38">
        <f>$C38*AM37</f>
        <v/>
      </c>
      <c r="AN38">
        <f>$C38*AN37</f>
        <v/>
      </c>
      <c r="AO38">
        <f>$C38*AO37</f>
        <v/>
      </c>
      <c r="AP38">
        <f>$C38*AP37</f>
        <v/>
      </c>
      <c r="AQ38">
        <f>$C38*AQ37</f>
        <v/>
      </c>
      <c r="AR38">
        <f>$C38*AR37</f>
        <v/>
      </c>
      <c r="AS38">
        <f>$C38*AS37</f>
        <v/>
      </c>
      <c r="AT38">
        <f>$C38*AT37</f>
        <v/>
      </c>
      <c r="AU38">
        <f>$C38*AU37</f>
        <v/>
      </c>
      <c r="AV38">
        <f>$C38*AV37</f>
        <v/>
      </c>
      <c r="AW38">
        <f>$C38*AW37</f>
        <v/>
      </c>
      <c r="AX38">
        <f>$C38*AX37</f>
        <v/>
      </c>
      <c r="AY38">
        <f>$C38*AY37</f>
        <v/>
      </c>
      <c r="AZ38">
        <f>$C38*AZ37</f>
        <v/>
      </c>
      <c r="BA38">
        <f>$C38*BA37</f>
        <v/>
      </c>
      <c r="BB38">
        <f>$C38*BB37</f>
        <v/>
      </c>
      <c r="BC38">
        <f>$C38*BC37</f>
        <v/>
      </c>
      <c r="BD38">
        <f>$C38*BD37</f>
        <v/>
      </c>
      <c r="BE38">
        <f>$C38*BE37</f>
        <v/>
      </c>
      <c r="BF38">
        <f>$C38*BF37</f>
        <v/>
      </c>
      <c r="BG38">
        <f>$C38*BG37</f>
        <v/>
      </c>
      <c r="BH38">
        <f>$C38*BH37</f>
        <v/>
      </c>
      <c r="BI38">
        <f>$C38*BI37</f>
        <v/>
      </c>
      <c r="BJ38">
        <f>$C38*BJ37</f>
        <v/>
      </c>
      <c r="BK38">
        <f>$C38*BK37</f>
        <v/>
      </c>
      <c r="BL38">
        <f>$C38*BL37</f>
        <v/>
      </c>
      <c r="BM38">
        <f>$C38*BM37</f>
        <v/>
      </c>
      <c r="BN38">
        <f>$C38*BN37</f>
        <v/>
      </c>
      <c r="BO38">
        <f>$C38*BO37</f>
        <v/>
      </c>
      <c r="BP38">
        <f>$C38*BP37</f>
        <v/>
      </c>
      <c r="BQ38">
        <f>$C38*BQ37</f>
        <v/>
      </c>
      <c r="BR38">
        <f>$C38*BR37</f>
        <v/>
      </c>
      <c r="BS38">
        <f>$C38*BS37</f>
        <v/>
      </c>
      <c r="BT38">
        <f>$C38*BT37</f>
        <v/>
      </c>
      <c r="BU38">
        <f>$C38*BU37</f>
        <v/>
      </c>
      <c r="BV38">
        <f>$C38*BV37</f>
        <v/>
      </c>
      <c r="BW38">
        <f>$C38*BW37</f>
        <v/>
      </c>
      <c r="BX38">
        <f>$C38*BX37</f>
        <v/>
      </c>
      <c r="BY38">
        <f>$C38*BY37</f>
        <v/>
      </c>
      <c r="BZ38">
        <f>$C38*BZ37</f>
        <v/>
      </c>
      <c r="CA38">
        <f>$C38*CA37</f>
        <v/>
      </c>
      <c r="CB38">
        <f>$C38*CB37</f>
        <v/>
      </c>
      <c r="CC38">
        <f>$C38*CC37</f>
        <v/>
      </c>
      <c r="CD38">
        <f>$C38*CD37</f>
        <v/>
      </c>
      <c r="CE38">
        <f>$C38*CE37</f>
        <v/>
      </c>
      <c r="CF38">
        <f>$C38*CF37</f>
        <v/>
      </c>
      <c r="CG38">
        <f>$C38*CG37</f>
        <v/>
      </c>
      <c r="CH38">
        <f>$C38*CH37</f>
        <v/>
      </c>
      <c r="CI38">
        <f>$C38*CI37</f>
        <v/>
      </c>
      <c r="CJ38">
        <f>$C38*CJ37</f>
        <v/>
      </c>
      <c r="CK38">
        <f>$C38*CK37</f>
        <v/>
      </c>
      <c r="CL38">
        <f>$C38*CL37</f>
        <v/>
      </c>
      <c r="CM38">
        <f>$C38*CM37</f>
        <v/>
      </c>
      <c r="CN38">
        <f>$C38*CN37</f>
        <v/>
      </c>
      <c r="CO38">
        <f>$C38*CO37</f>
        <v/>
      </c>
      <c r="CP38">
        <f>$C38*CP37</f>
        <v/>
      </c>
      <c r="CQ38">
        <f>$C38*CQ37</f>
        <v/>
      </c>
      <c r="CR38">
        <f>$C38*CR37</f>
        <v/>
      </c>
      <c r="CS38">
        <f>$C38*CS37</f>
        <v/>
      </c>
      <c r="CT38">
        <f>$C38*CT37</f>
        <v/>
      </c>
      <c r="CU38">
        <f>$C38*CU37</f>
        <v/>
      </c>
      <c r="CV38">
        <f>$C38*CV37</f>
        <v/>
      </c>
      <c r="CW38">
        <f>$C38*CW37</f>
        <v/>
      </c>
      <c r="CX38">
        <f>$C38*CX37</f>
        <v/>
      </c>
      <c r="CY38">
        <f>$C38*CY37</f>
        <v/>
      </c>
      <c r="CZ38">
        <f>$C38*CZ37</f>
        <v/>
      </c>
      <c r="DA38">
        <f>$C38*DA37</f>
        <v/>
      </c>
      <c r="DB38">
        <f>$C38*DB37</f>
        <v/>
      </c>
      <c r="DC38">
        <f>$C38*DC37</f>
        <v/>
      </c>
      <c r="DD38">
        <f>$C38*DD37</f>
        <v/>
      </c>
    </row>
    <row r="39">
      <c r="B39" t="inlineStr">
        <is>
          <t>TSP-077</t>
        </is>
      </c>
      <c r="C39" t="inlineStr">
        <is>
          <t>No. of batches</t>
        </is>
      </c>
      <c r="D39">
        <f>IFERROR(INDEX(E39:DD39,$F$1),"")</f>
        <v/>
      </c>
      <c r="E39">
        <f>IFERROR(INDEX(PP_Grid[#Data],$DE39,2),0)</f>
        <v/>
      </c>
      <c r="F39">
        <f>IFERROR(INDEX(PP_Grid[#Data],$DE39,3),0)</f>
        <v/>
      </c>
      <c r="G39">
        <f>IFERROR(INDEX(PP_Grid[#Data],$DE39,4),0)</f>
        <v/>
      </c>
      <c r="H39">
        <f>IFERROR(INDEX(PP_Grid[#Data],$DE39,5),0)</f>
        <v/>
      </c>
      <c r="I39">
        <f>IFERROR(INDEX(PP_Grid[#Data],$DE39,6),0)</f>
        <v/>
      </c>
      <c r="J39">
        <f>IFERROR(INDEX(PP_Grid[#Data],$DE39,7),0)</f>
        <v/>
      </c>
      <c r="K39">
        <f>IFERROR(INDEX(PP_Grid[#Data],$DE39,8),0)</f>
        <v/>
      </c>
      <c r="L39">
        <f>IFERROR(INDEX(PP_Grid[#Data],$DE39,9),0)</f>
        <v/>
      </c>
      <c r="M39">
        <f>IFERROR(INDEX(PP_Grid[#Data],$DE39,10),0)</f>
        <v/>
      </c>
      <c r="N39">
        <f>IFERROR(INDEX(PP_Grid[#Data],$DE39,11),0)</f>
        <v/>
      </c>
      <c r="O39">
        <f>IFERROR(INDEX(PP_Grid[#Data],$DE39,12),0)</f>
        <v/>
      </c>
      <c r="P39">
        <f>IFERROR(INDEX(PP_Grid[#Data],$DE39,13),0)</f>
        <v/>
      </c>
      <c r="Q39">
        <f>IFERROR(INDEX(PP_Grid[#Data],$DE39,14),0)</f>
        <v/>
      </c>
      <c r="R39">
        <f>IFERROR(INDEX(PP_Grid[#Data],$DE39,15),0)</f>
        <v/>
      </c>
      <c r="S39">
        <f>IFERROR(INDEX(PP_Grid[#Data],$DE39,16),0)</f>
        <v/>
      </c>
      <c r="T39">
        <f>IFERROR(INDEX(PP_Grid[#Data],$DE39,17),0)</f>
        <v/>
      </c>
      <c r="U39">
        <f>IFERROR(INDEX(PP_Grid[#Data],$DE39,18),0)</f>
        <v/>
      </c>
      <c r="V39">
        <f>IFERROR(INDEX(PP_Grid[#Data],$DE39,19),0)</f>
        <v/>
      </c>
      <c r="W39">
        <f>IFERROR(INDEX(PP_Grid[#Data],$DE39,20),0)</f>
        <v/>
      </c>
      <c r="X39">
        <f>IFERROR(INDEX(PP_Grid[#Data],$DE39,21),0)</f>
        <v/>
      </c>
      <c r="Y39">
        <f>IFERROR(INDEX(PP_Grid[#Data],$DE39,22),0)</f>
        <v/>
      </c>
      <c r="Z39">
        <f>IFERROR(INDEX(PP_Grid[#Data],$DE39,23),0)</f>
        <v/>
      </c>
      <c r="AA39">
        <f>IFERROR(INDEX(PP_Grid[#Data],$DE39,24),0)</f>
        <v/>
      </c>
      <c r="AB39">
        <f>IFERROR(INDEX(PP_Grid[#Data],$DE39,25),0)</f>
        <v/>
      </c>
      <c r="AC39">
        <f>IFERROR(INDEX(PP_Grid[#Data],$DE39,26),0)</f>
        <v/>
      </c>
      <c r="AD39">
        <f>IFERROR(INDEX(PP_Grid[#Data],$DE39,27),0)</f>
        <v/>
      </c>
      <c r="AE39">
        <f>IFERROR(INDEX(PP_Grid[#Data],$DE39,28),0)</f>
        <v/>
      </c>
      <c r="AF39">
        <f>IFERROR(INDEX(PP_Grid[#Data],$DE39,29),0)</f>
        <v/>
      </c>
      <c r="AG39">
        <f>IFERROR(INDEX(PP_Grid[#Data],$DE39,30),0)</f>
        <v/>
      </c>
      <c r="AH39">
        <f>IFERROR(INDEX(PP_Grid[#Data],$DE39,31),0)</f>
        <v/>
      </c>
      <c r="AI39">
        <f>IFERROR(INDEX(PP_Grid[#Data],$DE39,32),0)</f>
        <v/>
      </c>
      <c r="AJ39">
        <f>IFERROR(INDEX(PP_Grid[#Data],$DE39,33),0)</f>
        <v/>
      </c>
      <c r="AK39">
        <f>IFERROR(INDEX(PP_Grid[#Data],$DE39,34),0)</f>
        <v/>
      </c>
      <c r="AL39">
        <f>IFERROR(INDEX(PP_Grid[#Data],$DE39,35),0)</f>
        <v/>
      </c>
      <c r="AM39">
        <f>IFERROR(INDEX(PP_Grid[#Data],$DE39,36),0)</f>
        <v/>
      </c>
      <c r="AN39">
        <f>IFERROR(INDEX(PP_Grid[#Data],$DE39,37),0)</f>
        <v/>
      </c>
      <c r="AO39">
        <f>IFERROR(INDEX(PP_Grid[#Data],$DE39,38),0)</f>
        <v/>
      </c>
      <c r="AP39">
        <f>IFERROR(INDEX(PP_Grid[#Data],$DE39,39),0)</f>
        <v/>
      </c>
      <c r="AQ39">
        <f>IFERROR(INDEX(PP_Grid[#Data],$DE39,40),0)</f>
        <v/>
      </c>
      <c r="AR39">
        <f>IFERROR(INDEX(PP_Grid[#Data],$DE39,41),0)</f>
        <v/>
      </c>
      <c r="AS39">
        <f>IFERROR(INDEX(PP_Grid[#Data],$DE39,42),0)</f>
        <v/>
      </c>
      <c r="AT39">
        <f>IFERROR(INDEX(PP_Grid[#Data],$DE39,43),0)</f>
        <v/>
      </c>
      <c r="AU39">
        <f>IFERROR(INDEX(PP_Grid[#Data],$DE39,44),0)</f>
        <v/>
      </c>
      <c r="AV39">
        <f>IFERROR(INDEX(PP_Grid[#Data],$DE39,45),0)</f>
        <v/>
      </c>
      <c r="AW39">
        <f>IFERROR(INDEX(PP_Grid[#Data],$DE39,46),0)</f>
        <v/>
      </c>
      <c r="AX39">
        <f>IFERROR(INDEX(PP_Grid[#Data],$DE39,47),0)</f>
        <v/>
      </c>
      <c r="AY39">
        <f>IFERROR(INDEX(PP_Grid[#Data],$DE39,48),0)</f>
        <v/>
      </c>
      <c r="AZ39">
        <f>IFERROR(INDEX(PP_Grid[#Data],$DE39,49),0)</f>
        <v/>
      </c>
      <c r="BA39">
        <f>IFERROR(INDEX(PP_Grid[#Data],$DE39,50),0)</f>
        <v/>
      </c>
      <c r="BB39">
        <f>IFERROR(INDEX(PP_Grid[#Data],$DE39,51),0)</f>
        <v/>
      </c>
      <c r="BC39">
        <f>IFERROR(INDEX(PP_Grid[#Data],$DE39,52),0)</f>
        <v/>
      </c>
      <c r="BD39">
        <f>IFERROR(INDEX(PP_Grid[#Data],$DE39,53),0)</f>
        <v/>
      </c>
      <c r="BE39">
        <f>IFERROR(INDEX(PP_Grid[#Data],$DE39,54),0)</f>
        <v/>
      </c>
      <c r="BF39">
        <f>IFERROR(INDEX(PP_Grid[#Data],$DE39,55),0)</f>
        <v/>
      </c>
      <c r="BG39">
        <f>IFERROR(INDEX(PP_Grid[#Data],$DE39,56),0)</f>
        <v/>
      </c>
      <c r="BH39">
        <f>IFERROR(INDEX(PP_Grid[#Data],$DE39,57),0)</f>
        <v/>
      </c>
      <c r="BI39">
        <f>IFERROR(INDEX(PP_Grid[#Data],$DE39,58),0)</f>
        <v/>
      </c>
      <c r="BJ39">
        <f>IFERROR(INDEX(PP_Grid[#Data],$DE39,59),0)</f>
        <v/>
      </c>
      <c r="BK39">
        <f>IFERROR(INDEX(PP_Grid[#Data],$DE39,60),0)</f>
        <v/>
      </c>
      <c r="BL39">
        <f>IFERROR(INDEX(PP_Grid[#Data],$DE39,61),0)</f>
        <v/>
      </c>
      <c r="BM39">
        <f>IFERROR(INDEX(PP_Grid[#Data],$DE39,62),0)</f>
        <v/>
      </c>
      <c r="BN39">
        <f>IFERROR(INDEX(PP_Grid[#Data],$DE39,63),0)</f>
        <v/>
      </c>
      <c r="BO39">
        <f>IFERROR(INDEX(PP_Grid[#Data],$DE39,64),0)</f>
        <v/>
      </c>
      <c r="BP39">
        <f>IFERROR(INDEX(PP_Grid[#Data],$DE39,65),0)</f>
        <v/>
      </c>
      <c r="BQ39">
        <f>IFERROR(INDEX(PP_Grid[#Data],$DE39,66),0)</f>
        <v/>
      </c>
      <c r="BR39">
        <f>IFERROR(INDEX(PP_Grid[#Data],$DE39,67),0)</f>
        <v/>
      </c>
      <c r="BS39">
        <f>IFERROR(INDEX(PP_Grid[#Data],$DE39,68),0)</f>
        <v/>
      </c>
      <c r="BT39">
        <f>IFERROR(INDEX(PP_Grid[#Data],$DE39,69),0)</f>
        <v/>
      </c>
      <c r="BU39">
        <f>IFERROR(INDEX(PP_Grid[#Data],$DE39,70),0)</f>
        <v/>
      </c>
      <c r="BV39">
        <f>IFERROR(INDEX(PP_Grid[#Data],$DE39,71),0)</f>
        <v/>
      </c>
      <c r="BW39">
        <f>IFERROR(INDEX(PP_Grid[#Data],$DE39,72),0)</f>
        <v/>
      </c>
      <c r="BX39">
        <f>IFERROR(INDEX(PP_Grid[#Data],$DE39,73),0)</f>
        <v/>
      </c>
      <c r="BY39">
        <f>IFERROR(INDEX(PP_Grid[#Data],$DE39,74),0)</f>
        <v/>
      </c>
      <c r="BZ39">
        <f>IFERROR(INDEX(PP_Grid[#Data],$DE39,75),0)</f>
        <v/>
      </c>
      <c r="CA39">
        <f>IFERROR(INDEX(PP_Grid[#Data],$DE39,76),0)</f>
        <v/>
      </c>
      <c r="CB39">
        <f>IFERROR(INDEX(PP_Grid[#Data],$DE39,77),0)</f>
        <v/>
      </c>
      <c r="CC39">
        <f>IFERROR(INDEX(PP_Grid[#Data],$DE39,78),0)</f>
        <v/>
      </c>
      <c r="CD39">
        <f>IFERROR(INDEX(PP_Grid[#Data],$DE39,79),0)</f>
        <v/>
      </c>
      <c r="CE39">
        <f>IFERROR(INDEX(PP_Grid[#Data],$DE39,80),0)</f>
        <v/>
      </c>
      <c r="CF39">
        <f>IFERROR(INDEX(PP_Grid[#Data],$DE39,81),0)</f>
        <v/>
      </c>
      <c r="CG39">
        <f>IFERROR(INDEX(PP_Grid[#Data],$DE39,82),0)</f>
        <v/>
      </c>
      <c r="CH39">
        <f>IFERROR(INDEX(PP_Grid[#Data],$DE39,83),0)</f>
        <v/>
      </c>
      <c r="CI39">
        <f>IFERROR(INDEX(PP_Grid[#Data],$DE39,84),0)</f>
        <v/>
      </c>
      <c r="CJ39">
        <f>IFERROR(INDEX(PP_Grid[#Data],$DE39,85),0)</f>
        <v/>
      </c>
      <c r="CK39">
        <f>IFERROR(INDEX(PP_Grid[#Data],$DE39,86),0)</f>
        <v/>
      </c>
      <c r="CL39">
        <f>IFERROR(INDEX(PP_Grid[#Data],$DE39,87),0)</f>
        <v/>
      </c>
      <c r="CM39">
        <f>IFERROR(INDEX(PP_Grid[#Data],$DE39,88),0)</f>
        <v/>
      </c>
      <c r="CN39">
        <f>IFERROR(INDEX(PP_Grid[#Data],$DE39,89),0)</f>
        <v/>
      </c>
      <c r="CO39">
        <f>IFERROR(INDEX(PP_Grid[#Data],$DE39,90),0)</f>
        <v/>
      </c>
      <c r="CP39">
        <f>IFERROR(INDEX(PP_Grid[#Data],$DE39,91),0)</f>
        <v/>
      </c>
      <c r="CQ39">
        <f>IFERROR(INDEX(PP_Grid[#Data],$DE39,92),0)</f>
        <v/>
      </c>
      <c r="CR39">
        <f>IFERROR(INDEX(PP_Grid[#Data],$DE39,93),0)</f>
        <v/>
      </c>
      <c r="CS39">
        <f>IFERROR(INDEX(PP_Grid[#Data],$DE39,94),0)</f>
        <v/>
      </c>
      <c r="CT39">
        <f>IFERROR(INDEX(PP_Grid[#Data],$DE39,95),0)</f>
        <v/>
      </c>
      <c r="CU39">
        <f>IFERROR(INDEX(PP_Grid[#Data],$DE39,96),0)</f>
        <v/>
      </c>
      <c r="CV39">
        <f>IFERROR(INDEX(PP_Grid[#Data],$DE39,97),0)</f>
        <v/>
      </c>
      <c r="CW39">
        <f>IFERROR(INDEX(PP_Grid[#Data],$DE39,98),0)</f>
        <v/>
      </c>
      <c r="CX39">
        <f>IFERROR(INDEX(PP_Grid[#Data],$DE39,99),0)</f>
        <v/>
      </c>
      <c r="CY39">
        <f>IFERROR(INDEX(PP_Grid[#Data],$DE39,100),0)</f>
        <v/>
      </c>
      <c r="CZ39">
        <f>IFERROR(INDEX(PP_Grid[#Data],$DE39,101),0)</f>
        <v/>
      </c>
      <c r="DA39">
        <f>IFERROR(INDEX(PP_Grid[#Data],$DE39,102),0)</f>
        <v/>
      </c>
      <c r="DB39">
        <f>IFERROR(INDEX(PP_Grid[#Data],$DE39,103),0)</f>
        <v/>
      </c>
      <c r="DC39">
        <f>IFERROR(INDEX(PP_Grid[#Data],$DE39,104),0)</f>
        <v/>
      </c>
      <c r="DD39">
        <f>IFERROR(INDEX(PP_Grid[#Data],$DE39,105),0)</f>
        <v/>
      </c>
      <c r="DE39" s="7">
        <f>IFERROR(MATCH($B39,PP_Grid[Intermediate],0),99999)</f>
        <v/>
      </c>
    </row>
    <row r="40">
      <c r="B40" t="inlineStr">
        <is>
          <t>使用量(kg)</t>
        </is>
      </c>
      <c r="C40">
        <f>SUMIFS(M_BOM[RM_Qty_Per_Batch],M_BOM[Intermediate],$B39,M_BOM[RM_Code],$A28)</f>
        <v/>
      </c>
      <c r="D40">
        <f>IFERROR(INDEX(E40:DD40,$F$1),"")</f>
        <v/>
      </c>
      <c r="E40">
        <f>$C40*E39</f>
        <v/>
      </c>
      <c r="F40">
        <f>$C40*F39</f>
        <v/>
      </c>
      <c r="G40">
        <f>$C40*G39</f>
        <v/>
      </c>
      <c r="H40">
        <f>$C40*H39</f>
        <v/>
      </c>
      <c r="I40">
        <f>$C40*I39</f>
        <v/>
      </c>
      <c r="J40">
        <f>$C40*J39</f>
        <v/>
      </c>
      <c r="K40">
        <f>$C40*K39</f>
        <v/>
      </c>
      <c r="L40">
        <f>$C40*L39</f>
        <v/>
      </c>
      <c r="M40">
        <f>$C40*M39</f>
        <v/>
      </c>
      <c r="N40">
        <f>$C40*N39</f>
        <v/>
      </c>
      <c r="O40">
        <f>$C40*O39</f>
        <v/>
      </c>
      <c r="P40">
        <f>$C40*P39</f>
        <v/>
      </c>
      <c r="Q40">
        <f>$C40*Q39</f>
        <v/>
      </c>
      <c r="R40">
        <f>$C40*R39</f>
        <v/>
      </c>
      <c r="S40">
        <f>$C40*S39</f>
        <v/>
      </c>
      <c r="T40">
        <f>$C40*T39</f>
        <v/>
      </c>
      <c r="U40">
        <f>$C40*U39</f>
        <v/>
      </c>
      <c r="V40">
        <f>$C40*V39</f>
        <v/>
      </c>
      <c r="W40">
        <f>$C40*W39</f>
        <v/>
      </c>
      <c r="X40">
        <f>$C40*X39</f>
        <v/>
      </c>
      <c r="Y40">
        <f>$C40*Y39</f>
        <v/>
      </c>
      <c r="Z40">
        <f>$C40*Z39</f>
        <v/>
      </c>
      <c r="AA40">
        <f>$C40*AA39</f>
        <v/>
      </c>
      <c r="AB40">
        <f>$C40*AB39</f>
        <v/>
      </c>
      <c r="AC40">
        <f>$C40*AC39</f>
        <v/>
      </c>
      <c r="AD40">
        <f>$C40*AD39</f>
        <v/>
      </c>
      <c r="AE40">
        <f>$C40*AE39</f>
        <v/>
      </c>
      <c r="AF40">
        <f>$C40*AF39</f>
        <v/>
      </c>
      <c r="AG40">
        <f>$C40*AG39</f>
        <v/>
      </c>
      <c r="AH40">
        <f>$C40*AH39</f>
        <v/>
      </c>
      <c r="AI40">
        <f>$C40*AI39</f>
        <v/>
      </c>
      <c r="AJ40">
        <f>$C40*AJ39</f>
        <v/>
      </c>
      <c r="AK40">
        <f>$C40*AK39</f>
        <v/>
      </c>
      <c r="AL40">
        <f>$C40*AL39</f>
        <v/>
      </c>
      <c r="AM40">
        <f>$C40*AM39</f>
        <v/>
      </c>
      <c r="AN40">
        <f>$C40*AN39</f>
        <v/>
      </c>
      <c r="AO40">
        <f>$C40*AO39</f>
        <v/>
      </c>
      <c r="AP40">
        <f>$C40*AP39</f>
        <v/>
      </c>
      <c r="AQ40">
        <f>$C40*AQ39</f>
        <v/>
      </c>
      <c r="AR40">
        <f>$C40*AR39</f>
        <v/>
      </c>
      <c r="AS40">
        <f>$C40*AS39</f>
        <v/>
      </c>
      <c r="AT40">
        <f>$C40*AT39</f>
        <v/>
      </c>
      <c r="AU40">
        <f>$C40*AU39</f>
        <v/>
      </c>
      <c r="AV40">
        <f>$C40*AV39</f>
        <v/>
      </c>
      <c r="AW40">
        <f>$C40*AW39</f>
        <v/>
      </c>
      <c r="AX40">
        <f>$C40*AX39</f>
        <v/>
      </c>
      <c r="AY40">
        <f>$C40*AY39</f>
        <v/>
      </c>
      <c r="AZ40">
        <f>$C40*AZ39</f>
        <v/>
      </c>
      <c r="BA40">
        <f>$C40*BA39</f>
        <v/>
      </c>
      <c r="BB40">
        <f>$C40*BB39</f>
        <v/>
      </c>
      <c r="BC40">
        <f>$C40*BC39</f>
        <v/>
      </c>
      <c r="BD40">
        <f>$C40*BD39</f>
        <v/>
      </c>
      <c r="BE40">
        <f>$C40*BE39</f>
        <v/>
      </c>
      <c r="BF40">
        <f>$C40*BF39</f>
        <v/>
      </c>
      <c r="BG40">
        <f>$C40*BG39</f>
        <v/>
      </c>
      <c r="BH40">
        <f>$C40*BH39</f>
        <v/>
      </c>
      <c r="BI40">
        <f>$C40*BI39</f>
        <v/>
      </c>
      <c r="BJ40">
        <f>$C40*BJ39</f>
        <v/>
      </c>
      <c r="BK40">
        <f>$C40*BK39</f>
        <v/>
      </c>
      <c r="BL40">
        <f>$C40*BL39</f>
        <v/>
      </c>
      <c r="BM40">
        <f>$C40*BM39</f>
        <v/>
      </c>
      <c r="BN40">
        <f>$C40*BN39</f>
        <v/>
      </c>
      <c r="BO40">
        <f>$C40*BO39</f>
        <v/>
      </c>
      <c r="BP40">
        <f>$C40*BP39</f>
        <v/>
      </c>
      <c r="BQ40">
        <f>$C40*BQ39</f>
        <v/>
      </c>
      <c r="BR40">
        <f>$C40*BR39</f>
        <v/>
      </c>
      <c r="BS40">
        <f>$C40*BS39</f>
        <v/>
      </c>
      <c r="BT40">
        <f>$C40*BT39</f>
        <v/>
      </c>
      <c r="BU40">
        <f>$C40*BU39</f>
        <v/>
      </c>
      <c r="BV40">
        <f>$C40*BV39</f>
        <v/>
      </c>
      <c r="BW40">
        <f>$C40*BW39</f>
        <v/>
      </c>
      <c r="BX40">
        <f>$C40*BX39</f>
        <v/>
      </c>
      <c r="BY40">
        <f>$C40*BY39</f>
        <v/>
      </c>
      <c r="BZ40">
        <f>$C40*BZ39</f>
        <v/>
      </c>
      <c r="CA40">
        <f>$C40*CA39</f>
        <v/>
      </c>
      <c r="CB40">
        <f>$C40*CB39</f>
        <v/>
      </c>
      <c r="CC40">
        <f>$C40*CC39</f>
        <v/>
      </c>
      <c r="CD40">
        <f>$C40*CD39</f>
        <v/>
      </c>
      <c r="CE40">
        <f>$C40*CE39</f>
        <v/>
      </c>
      <c r="CF40">
        <f>$C40*CF39</f>
        <v/>
      </c>
      <c r="CG40">
        <f>$C40*CG39</f>
        <v/>
      </c>
      <c r="CH40">
        <f>$C40*CH39</f>
        <v/>
      </c>
      <c r="CI40">
        <f>$C40*CI39</f>
        <v/>
      </c>
      <c r="CJ40">
        <f>$C40*CJ39</f>
        <v/>
      </c>
      <c r="CK40">
        <f>$C40*CK39</f>
        <v/>
      </c>
      <c r="CL40">
        <f>$C40*CL39</f>
        <v/>
      </c>
      <c r="CM40">
        <f>$C40*CM39</f>
        <v/>
      </c>
      <c r="CN40">
        <f>$C40*CN39</f>
        <v/>
      </c>
      <c r="CO40">
        <f>$C40*CO39</f>
        <v/>
      </c>
      <c r="CP40">
        <f>$C40*CP39</f>
        <v/>
      </c>
      <c r="CQ40">
        <f>$C40*CQ39</f>
        <v/>
      </c>
      <c r="CR40">
        <f>$C40*CR39</f>
        <v/>
      </c>
      <c r="CS40">
        <f>$C40*CS39</f>
        <v/>
      </c>
      <c r="CT40">
        <f>$C40*CT39</f>
        <v/>
      </c>
      <c r="CU40">
        <f>$C40*CU39</f>
        <v/>
      </c>
      <c r="CV40">
        <f>$C40*CV39</f>
        <v/>
      </c>
      <c r="CW40">
        <f>$C40*CW39</f>
        <v/>
      </c>
      <c r="CX40">
        <f>$C40*CX39</f>
        <v/>
      </c>
      <c r="CY40">
        <f>$C40*CY39</f>
        <v/>
      </c>
      <c r="CZ40">
        <f>$C40*CZ39</f>
        <v/>
      </c>
      <c r="DA40">
        <f>$C40*DA39</f>
        <v/>
      </c>
      <c r="DB40">
        <f>$C40*DB39</f>
        <v/>
      </c>
      <c r="DC40">
        <f>$C40*DC39</f>
        <v/>
      </c>
      <c r="DD40">
        <f>$C40*DD39</f>
        <v/>
      </c>
    </row>
    <row r="41">
      <c r="B41" t="inlineStr">
        <is>
          <t>TSP-078</t>
        </is>
      </c>
      <c r="C41" t="inlineStr">
        <is>
          <t>No. of batches</t>
        </is>
      </c>
      <c r="D41">
        <f>IFERROR(INDEX(E41:DD41,$F$1),"")</f>
        <v/>
      </c>
      <c r="E41">
        <f>IFERROR(INDEX(PP_Grid[#Data],$DE41,2),0)</f>
        <v/>
      </c>
      <c r="F41">
        <f>IFERROR(INDEX(PP_Grid[#Data],$DE41,3),0)</f>
        <v/>
      </c>
      <c r="G41">
        <f>IFERROR(INDEX(PP_Grid[#Data],$DE41,4),0)</f>
        <v/>
      </c>
      <c r="H41">
        <f>IFERROR(INDEX(PP_Grid[#Data],$DE41,5),0)</f>
        <v/>
      </c>
      <c r="I41">
        <f>IFERROR(INDEX(PP_Grid[#Data],$DE41,6),0)</f>
        <v/>
      </c>
      <c r="J41">
        <f>IFERROR(INDEX(PP_Grid[#Data],$DE41,7),0)</f>
        <v/>
      </c>
      <c r="K41">
        <f>IFERROR(INDEX(PP_Grid[#Data],$DE41,8),0)</f>
        <v/>
      </c>
      <c r="L41">
        <f>IFERROR(INDEX(PP_Grid[#Data],$DE41,9),0)</f>
        <v/>
      </c>
      <c r="M41">
        <f>IFERROR(INDEX(PP_Grid[#Data],$DE41,10),0)</f>
        <v/>
      </c>
      <c r="N41">
        <f>IFERROR(INDEX(PP_Grid[#Data],$DE41,11),0)</f>
        <v/>
      </c>
      <c r="O41">
        <f>IFERROR(INDEX(PP_Grid[#Data],$DE41,12),0)</f>
        <v/>
      </c>
      <c r="P41">
        <f>IFERROR(INDEX(PP_Grid[#Data],$DE41,13),0)</f>
        <v/>
      </c>
      <c r="Q41">
        <f>IFERROR(INDEX(PP_Grid[#Data],$DE41,14),0)</f>
        <v/>
      </c>
      <c r="R41">
        <f>IFERROR(INDEX(PP_Grid[#Data],$DE41,15),0)</f>
        <v/>
      </c>
      <c r="S41">
        <f>IFERROR(INDEX(PP_Grid[#Data],$DE41,16),0)</f>
        <v/>
      </c>
      <c r="T41">
        <f>IFERROR(INDEX(PP_Grid[#Data],$DE41,17),0)</f>
        <v/>
      </c>
      <c r="U41">
        <f>IFERROR(INDEX(PP_Grid[#Data],$DE41,18),0)</f>
        <v/>
      </c>
      <c r="V41">
        <f>IFERROR(INDEX(PP_Grid[#Data],$DE41,19),0)</f>
        <v/>
      </c>
      <c r="W41">
        <f>IFERROR(INDEX(PP_Grid[#Data],$DE41,20),0)</f>
        <v/>
      </c>
      <c r="X41">
        <f>IFERROR(INDEX(PP_Grid[#Data],$DE41,21),0)</f>
        <v/>
      </c>
      <c r="Y41">
        <f>IFERROR(INDEX(PP_Grid[#Data],$DE41,22),0)</f>
        <v/>
      </c>
      <c r="Z41">
        <f>IFERROR(INDEX(PP_Grid[#Data],$DE41,23),0)</f>
        <v/>
      </c>
      <c r="AA41">
        <f>IFERROR(INDEX(PP_Grid[#Data],$DE41,24),0)</f>
        <v/>
      </c>
      <c r="AB41">
        <f>IFERROR(INDEX(PP_Grid[#Data],$DE41,25),0)</f>
        <v/>
      </c>
      <c r="AC41">
        <f>IFERROR(INDEX(PP_Grid[#Data],$DE41,26),0)</f>
        <v/>
      </c>
      <c r="AD41">
        <f>IFERROR(INDEX(PP_Grid[#Data],$DE41,27),0)</f>
        <v/>
      </c>
      <c r="AE41">
        <f>IFERROR(INDEX(PP_Grid[#Data],$DE41,28),0)</f>
        <v/>
      </c>
      <c r="AF41">
        <f>IFERROR(INDEX(PP_Grid[#Data],$DE41,29),0)</f>
        <v/>
      </c>
      <c r="AG41">
        <f>IFERROR(INDEX(PP_Grid[#Data],$DE41,30),0)</f>
        <v/>
      </c>
      <c r="AH41">
        <f>IFERROR(INDEX(PP_Grid[#Data],$DE41,31),0)</f>
        <v/>
      </c>
      <c r="AI41">
        <f>IFERROR(INDEX(PP_Grid[#Data],$DE41,32),0)</f>
        <v/>
      </c>
      <c r="AJ41">
        <f>IFERROR(INDEX(PP_Grid[#Data],$DE41,33),0)</f>
        <v/>
      </c>
      <c r="AK41">
        <f>IFERROR(INDEX(PP_Grid[#Data],$DE41,34),0)</f>
        <v/>
      </c>
      <c r="AL41">
        <f>IFERROR(INDEX(PP_Grid[#Data],$DE41,35),0)</f>
        <v/>
      </c>
      <c r="AM41">
        <f>IFERROR(INDEX(PP_Grid[#Data],$DE41,36),0)</f>
        <v/>
      </c>
      <c r="AN41">
        <f>IFERROR(INDEX(PP_Grid[#Data],$DE41,37),0)</f>
        <v/>
      </c>
      <c r="AO41">
        <f>IFERROR(INDEX(PP_Grid[#Data],$DE41,38),0)</f>
        <v/>
      </c>
      <c r="AP41">
        <f>IFERROR(INDEX(PP_Grid[#Data],$DE41,39),0)</f>
        <v/>
      </c>
      <c r="AQ41">
        <f>IFERROR(INDEX(PP_Grid[#Data],$DE41,40),0)</f>
        <v/>
      </c>
      <c r="AR41">
        <f>IFERROR(INDEX(PP_Grid[#Data],$DE41,41),0)</f>
        <v/>
      </c>
      <c r="AS41">
        <f>IFERROR(INDEX(PP_Grid[#Data],$DE41,42),0)</f>
        <v/>
      </c>
      <c r="AT41">
        <f>IFERROR(INDEX(PP_Grid[#Data],$DE41,43),0)</f>
        <v/>
      </c>
      <c r="AU41">
        <f>IFERROR(INDEX(PP_Grid[#Data],$DE41,44),0)</f>
        <v/>
      </c>
      <c r="AV41">
        <f>IFERROR(INDEX(PP_Grid[#Data],$DE41,45),0)</f>
        <v/>
      </c>
      <c r="AW41">
        <f>IFERROR(INDEX(PP_Grid[#Data],$DE41,46),0)</f>
        <v/>
      </c>
      <c r="AX41">
        <f>IFERROR(INDEX(PP_Grid[#Data],$DE41,47),0)</f>
        <v/>
      </c>
      <c r="AY41">
        <f>IFERROR(INDEX(PP_Grid[#Data],$DE41,48),0)</f>
        <v/>
      </c>
      <c r="AZ41">
        <f>IFERROR(INDEX(PP_Grid[#Data],$DE41,49),0)</f>
        <v/>
      </c>
      <c r="BA41">
        <f>IFERROR(INDEX(PP_Grid[#Data],$DE41,50),0)</f>
        <v/>
      </c>
      <c r="BB41">
        <f>IFERROR(INDEX(PP_Grid[#Data],$DE41,51),0)</f>
        <v/>
      </c>
      <c r="BC41">
        <f>IFERROR(INDEX(PP_Grid[#Data],$DE41,52),0)</f>
        <v/>
      </c>
      <c r="BD41">
        <f>IFERROR(INDEX(PP_Grid[#Data],$DE41,53),0)</f>
        <v/>
      </c>
      <c r="BE41">
        <f>IFERROR(INDEX(PP_Grid[#Data],$DE41,54),0)</f>
        <v/>
      </c>
      <c r="BF41">
        <f>IFERROR(INDEX(PP_Grid[#Data],$DE41,55),0)</f>
        <v/>
      </c>
      <c r="BG41">
        <f>IFERROR(INDEX(PP_Grid[#Data],$DE41,56),0)</f>
        <v/>
      </c>
      <c r="BH41">
        <f>IFERROR(INDEX(PP_Grid[#Data],$DE41,57),0)</f>
        <v/>
      </c>
      <c r="BI41">
        <f>IFERROR(INDEX(PP_Grid[#Data],$DE41,58),0)</f>
        <v/>
      </c>
      <c r="BJ41">
        <f>IFERROR(INDEX(PP_Grid[#Data],$DE41,59),0)</f>
        <v/>
      </c>
      <c r="BK41">
        <f>IFERROR(INDEX(PP_Grid[#Data],$DE41,60),0)</f>
        <v/>
      </c>
      <c r="BL41">
        <f>IFERROR(INDEX(PP_Grid[#Data],$DE41,61),0)</f>
        <v/>
      </c>
      <c r="BM41">
        <f>IFERROR(INDEX(PP_Grid[#Data],$DE41,62),0)</f>
        <v/>
      </c>
      <c r="BN41">
        <f>IFERROR(INDEX(PP_Grid[#Data],$DE41,63),0)</f>
        <v/>
      </c>
      <c r="BO41">
        <f>IFERROR(INDEX(PP_Grid[#Data],$DE41,64),0)</f>
        <v/>
      </c>
      <c r="BP41">
        <f>IFERROR(INDEX(PP_Grid[#Data],$DE41,65),0)</f>
        <v/>
      </c>
      <c r="BQ41">
        <f>IFERROR(INDEX(PP_Grid[#Data],$DE41,66),0)</f>
        <v/>
      </c>
      <c r="BR41">
        <f>IFERROR(INDEX(PP_Grid[#Data],$DE41,67),0)</f>
        <v/>
      </c>
      <c r="BS41">
        <f>IFERROR(INDEX(PP_Grid[#Data],$DE41,68),0)</f>
        <v/>
      </c>
      <c r="BT41">
        <f>IFERROR(INDEX(PP_Grid[#Data],$DE41,69),0)</f>
        <v/>
      </c>
      <c r="BU41">
        <f>IFERROR(INDEX(PP_Grid[#Data],$DE41,70),0)</f>
        <v/>
      </c>
      <c r="BV41">
        <f>IFERROR(INDEX(PP_Grid[#Data],$DE41,71),0)</f>
        <v/>
      </c>
      <c r="BW41">
        <f>IFERROR(INDEX(PP_Grid[#Data],$DE41,72),0)</f>
        <v/>
      </c>
      <c r="BX41">
        <f>IFERROR(INDEX(PP_Grid[#Data],$DE41,73),0)</f>
        <v/>
      </c>
      <c r="BY41">
        <f>IFERROR(INDEX(PP_Grid[#Data],$DE41,74),0)</f>
        <v/>
      </c>
      <c r="BZ41">
        <f>IFERROR(INDEX(PP_Grid[#Data],$DE41,75),0)</f>
        <v/>
      </c>
      <c r="CA41">
        <f>IFERROR(INDEX(PP_Grid[#Data],$DE41,76),0)</f>
        <v/>
      </c>
      <c r="CB41">
        <f>IFERROR(INDEX(PP_Grid[#Data],$DE41,77),0)</f>
        <v/>
      </c>
      <c r="CC41">
        <f>IFERROR(INDEX(PP_Grid[#Data],$DE41,78),0)</f>
        <v/>
      </c>
      <c r="CD41">
        <f>IFERROR(INDEX(PP_Grid[#Data],$DE41,79),0)</f>
        <v/>
      </c>
      <c r="CE41">
        <f>IFERROR(INDEX(PP_Grid[#Data],$DE41,80),0)</f>
        <v/>
      </c>
      <c r="CF41">
        <f>IFERROR(INDEX(PP_Grid[#Data],$DE41,81),0)</f>
        <v/>
      </c>
      <c r="CG41">
        <f>IFERROR(INDEX(PP_Grid[#Data],$DE41,82),0)</f>
        <v/>
      </c>
      <c r="CH41">
        <f>IFERROR(INDEX(PP_Grid[#Data],$DE41,83),0)</f>
        <v/>
      </c>
      <c r="CI41">
        <f>IFERROR(INDEX(PP_Grid[#Data],$DE41,84),0)</f>
        <v/>
      </c>
      <c r="CJ41">
        <f>IFERROR(INDEX(PP_Grid[#Data],$DE41,85),0)</f>
        <v/>
      </c>
      <c r="CK41">
        <f>IFERROR(INDEX(PP_Grid[#Data],$DE41,86),0)</f>
        <v/>
      </c>
      <c r="CL41">
        <f>IFERROR(INDEX(PP_Grid[#Data],$DE41,87),0)</f>
        <v/>
      </c>
      <c r="CM41">
        <f>IFERROR(INDEX(PP_Grid[#Data],$DE41,88),0)</f>
        <v/>
      </c>
      <c r="CN41">
        <f>IFERROR(INDEX(PP_Grid[#Data],$DE41,89),0)</f>
        <v/>
      </c>
      <c r="CO41">
        <f>IFERROR(INDEX(PP_Grid[#Data],$DE41,90),0)</f>
        <v/>
      </c>
      <c r="CP41">
        <f>IFERROR(INDEX(PP_Grid[#Data],$DE41,91),0)</f>
        <v/>
      </c>
      <c r="CQ41">
        <f>IFERROR(INDEX(PP_Grid[#Data],$DE41,92),0)</f>
        <v/>
      </c>
      <c r="CR41">
        <f>IFERROR(INDEX(PP_Grid[#Data],$DE41,93),0)</f>
        <v/>
      </c>
      <c r="CS41">
        <f>IFERROR(INDEX(PP_Grid[#Data],$DE41,94),0)</f>
        <v/>
      </c>
      <c r="CT41">
        <f>IFERROR(INDEX(PP_Grid[#Data],$DE41,95),0)</f>
        <v/>
      </c>
      <c r="CU41">
        <f>IFERROR(INDEX(PP_Grid[#Data],$DE41,96),0)</f>
        <v/>
      </c>
      <c r="CV41">
        <f>IFERROR(INDEX(PP_Grid[#Data],$DE41,97),0)</f>
        <v/>
      </c>
      <c r="CW41">
        <f>IFERROR(INDEX(PP_Grid[#Data],$DE41,98),0)</f>
        <v/>
      </c>
      <c r="CX41">
        <f>IFERROR(INDEX(PP_Grid[#Data],$DE41,99),0)</f>
        <v/>
      </c>
      <c r="CY41">
        <f>IFERROR(INDEX(PP_Grid[#Data],$DE41,100),0)</f>
        <v/>
      </c>
      <c r="CZ41">
        <f>IFERROR(INDEX(PP_Grid[#Data],$DE41,101),0)</f>
        <v/>
      </c>
      <c r="DA41">
        <f>IFERROR(INDEX(PP_Grid[#Data],$DE41,102),0)</f>
        <v/>
      </c>
      <c r="DB41">
        <f>IFERROR(INDEX(PP_Grid[#Data],$DE41,103),0)</f>
        <v/>
      </c>
      <c r="DC41">
        <f>IFERROR(INDEX(PP_Grid[#Data],$DE41,104),0)</f>
        <v/>
      </c>
      <c r="DD41">
        <f>IFERROR(INDEX(PP_Grid[#Data],$DE41,105),0)</f>
        <v/>
      </c>
      <c r="DE41" s="7">
        <f>IFERROR(MATCH($B41,PP_Grid[Intermediate],0),99999)</f>
        <v/>
      </c>
    </row>
    <row r="42">
      <c r="B42" t="inlineStr">
        <is>
          <t>使用量(kg)</t>
        </is>
      </c>
      <c r="C42">
        <f>SUMIFS(M_BOM[RM_Qty_Per_Batch],M_BOM[Intermediate],$B41,M_BOM[RM_Code],$A28)</f>
        <v/>
      </c>
      <c r="D42">
        <f>IFERROR(INDEX(E42:DD42,$F$1),"")</f>
        <v/>
      </c>
      <c r="E42">
        <f>$C42*E41</f>
        <v/>
      </c>
      <c r="F42">
        <f>$C42*F41</f>
        <v/>
      </c>
      <c r="G42">
        <f>$C42*G41</f>
        <v/>
      </c>
      <c r="H42">
        <f>$C42*H41</f>
        <v/>
      </c>
      <c r="I42">
        <f>$C42*I41</f>
        <v/>
      </c>
      <c r="J42">
        <f>$C42*J41</f>
        <v/>
      </c>
      <c r="K42">
        <f>$C42*K41</f>
        <v/>
      </c>
      <c r="L42">
        <f>$C42*L41</f>
        <v/>
      </c>
      <c r="M42">
        <f>$C42*M41</f>
        <v/>
      </c>
      <c r="N42">
        <f>$C42*N41</f>
        <v/>
      </c>
      <c r="O42">
        <f>$C42*O41</f>
        <v/>
      </c>
      <c r="P42">
        <f>$C42*P41</f>
        <v/>
      </c>
      <c r="Q42">
        <f>$C42*Q41</f>
        <v/>
      </c>
      <c r="R42">
        <f>$C42*R41</f>
        <v/>
      </c>
      <c r="S42">
        <f>$C42*S41</f>
        <v/>
      </c>
      <c r="T42">
        <f>$C42*T41</f>
        <v/>
      </c>
      <c r="U42">
        <f>$C42*U41</f>
        <v/>
      </c>
      <c r="V42">
        <f>$C42*V41</f>
        <v/>
      </c>
      <c r="W42">
        <f>$C42*W41</f>
        <v/>
      </c>
      <c r="X42">
        <f>$C42*X41</f>
        <v/>
      </c>
      <c r="Y42">
        <f>$C42*Y41</f>
        <v/>
      </c>
      <c r="Z42">
        <f>$C42*Z41</f>
        <v/>
      </c>
      <c r="AA42">
        <f>$C42*AA41</f>
        <v/>
      </c>
      <c r="AB42">
        <f>$C42*AB41</f>
        <v/>
      </c>
      <c r="AC42">
        <f>$C42*AC41</f>
        <v/>
      </c>
      <c r="AD42">
        <f>$C42*AD41</f>
        <v/>
      </c>
      <c r="AE42">
        <f>$C42*AE41</f>
        <v/>
      </c>
      <c r="AF42">
        <f>$C42*AF41</f>
        <v/>
      </c>
      <c r="AG42">
        <f>$C42*AG41</f>
        <v/>
      </c>
      <c r="AH42">
        <f>$C42*AH41</f>
        <v/>
      </c>
      <c r="AI42">
        <f>$C42*AI41</f>
        <v/>
      </c>
      <c r="AJ42">
        <f>$C42*AJ41</f>
        <v/>
      </c>
      <c r="AK42">
        <f>$C42*AK41</f>
        <v/>
      </c>
      <c r="AL42">
        <f>$C42*AL41</f>
        <v/>
      </c>
      <c r="AM42">
        <f>$C42*AM41</f>
        <v/>
      </c>
      <c r="AN42">
        <f>$C42*AN41</f>
        <v/>
      </c>
      <c r="AO42">
        <f>$C42*AO41</f>
        <v/>
      </c>
      <c r="AP42">
        <f>$C42*AP41</f>
        <v/>
      </c>
      <c r="AQ42">
        <f>$C42*AQ41</f>
        <v/>
      </c>
      <c r="AR42">
        <f>$C42*AR41</f>
        <v/>
      </c>
      <c r="AS42">
        <f>$C42*AS41</f>
        <v/>
      </c>
      <c r="AT42">
        <f>$C42*AT41</f>
        <v/>
      </c>
      <c r="AU42">
        <f>$C42*AU41</f>
        <v/>
      </c>
      <c r="AV42">
        <f>$C42*AV41</f>
        <v/>
      </c>
      <c r="AW42">
        <f>$C42*AW41</f>
        <v/>
      </c>
      <c r="AX42">
        <f>$C42*AX41</f>
        <v/>
      </c>
      <c r="AY42">
        <f>$C42*AY41</f>
        <v/>
      </c>
      <c r="AZ42">
        <f>$C42*AZ41</f>
        <v/>
      </c>
      <c r="BA42">
        <f>$C42*BA41</f>
        <v/>
      </c>
      <c r="BB42">
        <f>$C42*BB41</f>
        <v/>
      </c>
      <c r="BC42">
        <f>$C42*BC41</f>
        <v/>
      </c>
      <c r="BD42">
        <f>$C42*BD41</f>
        <v/>
      </c>
      <c r="BE42">
        <f>$C42*BE41</f>
        <v/>
      </c>
      <c r="BF42">
        <f>$C42*BF41</f>
        <v/>
      </c>
      <c r="BG42">
        <f>$C42*BG41</f>
        <v/>
      </c>
      <c r="BH42">
        <f>$C42*BH41</f>
        <v/>
      </c>
      <c r="BI42">
        <f>$C42*BI41</f>
        <v/>
      </c>
      <c r="BJ42">
        <f>$C42*BJ41</f>
        <v/>
      </c>
      <c r="BK42">
        <f>$C42*BK41</f>
        <v/>
      </c>
      <c r="BL42">
        <f>$C42*BL41</f>
        <v/>
      </c>
      <c r="BM42">
        <f>$C42*BM41</f>
        <v/>
      </c>
      <c r="BN42">
        <f>$C42*BN41</f>
        <v/>
      </c>
      <c r="BO42">
        <f>$C42*BO41</f>
        <v/>
      </c>
      <c r="BP42">
        <f>$C42*BP41</f>
        <v/>
      </c>
      <c r="BQ42">
        <f>$C42*BQ41</f>
        <v/>
      </c>
      <c r="BR42">
        <f>$C42*BR41</f>
        <v/>
      </c>
      <c r="BS42">
        <f>$C42*BS41</f>
        <v/>
      </c>
      <c r="BT42">
        <f>$C42*BT41</f>
        <v/>
      </c>
      <c r="BU42">
        <f>$C42*BU41</f>
        <v/>
      </c>
      <c r="BV42">
        <f>$C42*BV41</f>
        <v/>
      </c>
      <c r="BW42">
        <f>$C42*BW41</f>
        <v/>
      </c>
      <c r="BX42">
        <f>$C42*BX41</f>
        <v/>
      </c>
      <c r="BY42">
        <f>$C42*BY41</f>
        <v/>
      </c>
      <c r="BZ42">
        <f>$C42*BZ41</f>
        <v/>
      </c>
      <c r="CA42">
        <f>$C42*CA41</f>
        <v/>
      </c>
      <c r="CB42">
        <f>$C42*CB41</f>
        <v/>
      </c>
      <c r="CC42">
        <f>$C42*CC41</f>
        <v/>
      </c>
      <c r="CD42">
        <f>$C42*CD41</f>
        <v/>
      </c>
      <c r="CE42">
        <f>$C42*CE41</f>
        <v/>
      </c>
      <c r="CF42">
        <f>$C42*CF41</f>
        <v/>
      </c>
      <c r="CG42">
        <f>$C42*CG41</f>
        <v/>
      </c>
      <c r="CH42">
        <f>$C42*CH41</f>
        <v/>
      </c>
      <c r="CI42">
        <f>$C42*CI41</f>
        <v/>
      </c>
      <c r="CJ42">
        <f>$C42*CJ41</f>
        <v/>
      </c>
      <c r="CK42">
        <f>$C42*CK41</f>
        <v/>
      </c>
      <c r="CL42">
        <f>$C42*CL41</f>
        <v/>
      </c>
      <c r="CM42">
        <f>$C42*CM41</f>
        <v/>
      </c>
      <c r="CN42">
        <f>$C42*CN41</f>
        <v/>
      </c>
      <c r="CO42">
        <f>$C42*CO41</f>
        <v/>
      </c>
      <c r="CP42">
        <f>$C42*CP41</f>
        <v/>
      </c>
      <c r="CQ42">
        <f>$C42*CQ41</f>
        <v/>
      </c>
      <c r="CR42">
        <f>$C42*CR41</f>
        <v/>
      </c>
      <c r="CS42">
        <f>$C42*CS41</f>
        <v/>
      </c>
      <c r="CT42">
        <f>$C42*CT41</f>
        <v/>
      </c>
      <c r="CU42">
        <f>$C42*CU41</f>
        <v/>
      </c>
      <c r="CV42">
        <f>$C42*CV41</f>
        <v/>
      </c>
      <c r="CW42">
        <f>$C42*CW41</f>
        <v/>
      </c>
      <c r="CX42">
        <f>$C42*CX41</f>
        <v/>
      </c>
      <c r="CY42">
        <f>$C42*CY41</f>
        <v/>
      </c>
      <c r="CZ42">
        <f>$C42*CZ41</f>
        <v/>
      </c>
      <c r="DA42">
        <f>$C42*DA41</f>
        <v/>
      </c>
      <c r="DB42">
        <f>$C42*DB41</f>
        <v/>
      </c>
      <c r="DC42">
        <f>$C42*DC41</f>
        <v/>
      </c>
      <c r="DD42">
        <f>$C42*DD41</f>
        <v/>
      </c>
    </row>
    <row r="43">
      <c r="B43" t="inlineStr">
        <is>
          <t>TSP-088</t>
        </is>
      </c>
      <c r="C43" t="inlineStr">
        <is>
          <t>No. of batches</t>
        </is>
      </c>
      <c r="D43">
        <f>IFERROR(INDEX(E43:DD43,$F$1),"")</f>
        <v/>
      </c>
      <c r="E43">
        <f>IFERROR(INDEX(PP_Grid[#Data],$DE43,2),0)</f>
        <v/>
      </c>
      <c r="F43">
        <f>IFERROR(INDEX(PP_Grid[#Data],$DE43,3),0)</f>
        <v/>
      </c>
      <c r="G43">
        <f>IFERROR(INDEX(PP_Grid[#Data],$DE43,4),0)</f>
        <v/>
      </c>
      <c r="H43">
        <f>IFERROR(INDEX(PP_Grid[#Data],$DE43,5),0)</f>
        <v/>
      </c>
      <c r="I43">
        <f>IFERROR(INDEX(PP_Grid[#Data],$DE43,6),0)</f>
        <v/>
      </c>
      <c r="J43">
        <f>IFERROR(INDEX(PP_Grid[#Data],$DE43,7),0)</f>
        <v/>
      </c>
      <c r="K43">
        <f>IFERROR(INDEX(PP_Grid[#Data],$DE43,8),0)</f>
        <v/>
      </c>
      <c r="L43">
        <f>IFERROR(INDEX(PP_Grid[#Data],$DE43,9),0)</f>
        <v/>
      </c>
      <c r="M43">
        <f>IFERROR(INDEX(PP_Grid[#Data],$DE43,10),0)</f>
        <v/>
      </c>
      <c r="N43">
        <f>IFERROR(INDEX(PP_Grid[#Data],$DE43,11),0)</f>
        <v/>
      </c>
      <c r="O43">
        <f>IFERROR(INDEX(PP_Grid[#Data],$DE43,12),0)</f>
        <v/>
      </c>
      <c r="P43">
        <f>IFERROR(INDEX(PP_Grid[#Data],$DE43,13),0)</f>
        <v/>
      </c>
      <c r="Q43">
        <f>IFERROR(INDEX(PP_Grid[#Data],$DE43,14),0)</f>
        <v/>
      </c>
      <c r="R43">
        <f>IFERROR(INDEX(PP_Grid[#Data],$DE43,15),0)</f>
        <v/>
      </c>
      <c r="S43">
        <f>IFERROR(INDEX(PP_Grid[#Data],$DE43,16),0)</f>
        <v/>
      </c>
      <c r="T43">
        <f>IFERROR(INDEX(PP_Grid[#Data],$DE43,17),0)</f>
        <v/>
      </c>
      <c r="U43">
        <f>IFERROR(INDEX(PP_Grid[#Data],$DE43,18),0)</f>
        <v/>
      </c>
      <c r="V43">
        <f>IFERROR(INDEX(PP_Grid[#Data],$DE43,19),0)</f>
        <v/>
      </c>
      <c r="W43">
        <f>IFERROR(INDEX(PP_Grid[#Data],$DE43,20),0)</f>
        <v/>
      </c>
      <c r="X43">
        <f>IFERROR(INDEX(PP_Grid[#Data],$DE43,21),0)</f>
        <v/>
      </c>
      <c r="Y43">
        <f>IFERROR(INDEX(PP_Grid[#Data],$DE43,22),0)</f>
        <v/>
      </c>
      <c r="Z43">
        <f>IFERROR(INDEX(PP_Grid[#Data],$DE43,23),0)</f>
        <v/>
      </c>
      <c r="AA43">
        <f>IFERROR(INDEX(PP_Grid[#Data],$DE43,24),0)</f>
        <v/>
      </c>
      <c r="AB43">
        <f>IFERROR(INDEX(PP_Grid[#Data],$DE43,25),0)</f>
        <v/>
      </c>
      <c r="AC43">
        <f>IFERROR(INDEX(PP_Grid[#Data],$DE43,26),0)</f>
        <v/>
      </c>
      <c r="AD43">
        <f>IFERROR(INDEX(PP_Grid[#Data],$DE43,27),0)</f>
        <v/>
      </c>
      <c r="AE43">
        <f>IFERROR(INDEX(PP_Grid[#Data],$DE43,28),0)</f>
        <v/>
      </c>
      <c r="AF43">
        <f>IFERROR(INDEX(PP_Grid[#Data],$DE43,29),0)</f>
        <v/>
      </c>
      <c r="AG43">
        <f>IFERROR(INDEX(PP_Grid[#Data],$DE43,30),0)</f>
        <v/>
      </c>
      <c r="AH43">
        <f>IFERROR(INDEX(PP_Grid[#Data],$DE43,31),0)</f>
        <v/>
      </c>
      <c r="AI43">
        <f>IFERROR(INDEX(PP_Grid[#Data],$DE43,32),0)</f>
        <v/>
      </c>
      <c r="AJ43">
        <f>IFERROR(INDEX(PP_Grid[#Data],$DE43,33),0)</f>
        <v/>
      </c>
      <c r="AK43">
        <f>IFERROR(INDEX(PP_Grid[#Data],$DE43,34),0)</f>
        <v/>
      </c>
      <c r="AL43">
        <f>IFERROR(INDEX(PP_Grid[#Data],$DE43,35),0)</f>
        <v/>
      </c>
      <c r="AM43">
        <f>IFERROR(INDEX(PP_Grid[#Data],$DE43,36),0)</f>
        <v/>
      </c>
      <c r="AN43">
        <f>IFERROR(INDEX(PP_Grid[#Data],$DE43,37),0)</f>
        <v/>
      </c>
      <c r="AO43">
        <f>IFERROR(INDEX(PP_Grid[#Data],$DE43,38),0)</f>
        <v/>
      </c>
      <c r="AP43">
        <f>IFERROR(INDEX(PP_Grid[#Data],$DE43,39),0)</f>
        <v/>
      </c>
      <c r="AQ43">
        <f>IFERROR(INDEX(PP_Grid[#Data],$DE43,40),0)</f>
        <v/>
      </c>
      <c r="AR43">
        <f>IFERROR(INDEX(PP_Grid[#Data],$DE43,41),0)</f>
        <v/>
      </c>
      <c r="AS43">
        <f>IFERROR(INDEX(PP_Grid[#Data],$DE43,42),0)</f>
        <v/>
      </c>
      <c r="AT43">
        <f>IFERROR(INDEX(PP_Grid[#Data],$DE43,43),0)</f>
        <v/>
      </c>
      <c r="AU43">
        <f>IFERROR(INDEX(PP_Grid[#Data],$DE43,44),0)</f>
        <v/>
      </c>
      <c r="AV43">
        <f>IFERROR(INDEX(PP_Grid[#Data],$DE43,45),0)</f>
        <v/>
      </c>
      <c r="AW43">
        <f>IFERROR(INDEX(PP_Grid[#Data],$DE43,46),0)</f>
        <v/>
      </c>
      <c r="AX43">
        <f>IFERROR(INDEX(PP_Grid[#Data],$DE43,47),0)</f>
        <v/>
      </c>
      <c r="AY43">
        <f>IFERROR(INDEX(PP_Grid[#Data],$DE43,48),0)</f>
        <v/>
      </c>
      <c r="AZ43">
        <f>IFERROR(INDEX(PP_Grid[#Data],$DE43,49),0)</f>
        <v/>
      </c>
      <c r="BA43">
        <f>IFERROR(INDEX(PP_Grid[#Data],$DE43,50),0)</f>
        <v/>
      </c>
      <c r="BB43">
        <f>IFERROR(INDEX(PP_Grid[#Data],$DE43,51),0)</f>
        <v/>
      </c>
      <c r="BC43">
        <f>IFERROR(INDEX(PP_Grid[#Data],$DE43,52),0)</f>
        <v/>
      </c>
      <c r="BD43">
        <f>IFERROR(INDEX(PP_Grid[#Data],$DE43,53),0)</f>
        <v/>
      </c>
      <c r="BE43">
        <f>IFERROR(INDEX(PP_Grid[#Data],$DE43,54),0)</f>
        <v/>
      </c>
      <c r="BF43">
        <f>IFERROR(INDEX(PP_Grid[#Data],$DE43,55),0)</f>
        <v/>
      </c>
      <c r="BG43">
        <f>IFERROR(INDEX(PP_Grid[#Data],$DE43,56),0)</f>
        <v/>
      </c>
      <c r="BH43">
        <f>IFERROR(INDEX(PP_Grid[#Data],$DE43,57),0)</f>
        <v/>
      </c>
      <c r="BI43">
        <f>IFERROR(INDEX(PP_Grid[#Data],$DE43,58),0)</f>
        <v/>
      </c>
      <c r="BJ43">
        <f>IFERROR(INDEX(PP_Grid[#Data],$DE43,59),0)</f>
        <v/>
      </c>
      <c r="BK43">
        <f>IFERROR(INDEX(PP_Grid[#Data],$DE43,60),0)</f>
        <v/>
      </c>
      <c r="BL43">
        <f>IFERROR(INDEX(PP_Grid[#Data],$DE43,61),0)</f>
        <v/>
      </c>
      <c r="BM43">
        <f>IFERROR(INDEX(PP_Grid[#Data],$DE43,62),0)</f>
        <v/>
      </c>
      <c r="BN43">
        <f>IFERROR(INDEX(PP_Grid[#Data],$DE43,63),0)</f>
        <v/>
      </c>
      <c r="BO43">
        <f>IFERROR(INDEX(PP_Grid[#Data],$DE43,64),0)</f>
        <v/>
      </c>
      <c r="BP43">
        <f>IFERROR(INDEX(PP_Grid[#Data],$DE43,65),0)</f>
        <v/>
      </c>
      <c r="BQ43">
        <f>IFERROR(INDEX(PP_Grid[#Data],$DE43,66),0)</f>
        <v/>
      </c>
      <c r="BR43">
        <f>IFERROR(INDEX(PP_Grid[#Data],$DE43,67),0)</f>
        <v/>
      </c>
      <c r="BS43">
        <f>IFERROR(INDEX(PP_Grid[#Data],$DE43,68),0)</f>
        <v/>
      </c>
      <c r="BT43">
        <f>IFERROR(INDEX(PP_Grid[#Data],$DE43,69),0)</f>
        <v/>
      </c>
      <c r="BU43">
        <f>IFERROR(INDEX(PP_Grid[#Data],$DE43,70),0)</f>
        <v/>
      </c>
      <c r="BV43">
        <f>IFERROR(INDEX(PP_Grid[#Data],$DE43,71),0)</f>
        <v/>
      </c>
      <c r="BW43">
        <f>IFERROR(INDEX(PP_Grid[#Data],$DE43,72),0)</f>
        <v/>
      </c>
      <c r="BX43">
        <f>IFERROR(INDEX(PP_Grid[#Data],$DE43,73),0)</f>
        <v/>
      </c>
      <c r="BY43">
        <f>IFERROR(INDEX(PP_Grid[#Data],$DE43,74),0)</f>
        <v/>
      </c>
      <c r="BZ43">
        <f>IFERROR(INDEX(PP_Grid[#Data],$DE43,75),0)</f>
        <v/>
      </c>
      <c r="CA43">
        <f>IFERROR(INDEX(PP_Grid[#Data],$DE43,76),0)</f>
        <v/>
      </c>
      <c r="CB43">
        <f>IFERROR(INDEX(PP_Grid[#Data],$DE43,77),0)</f>
        <v/>
      </c>
      <c r="CC43">
        <f>IFERROR(INDEX(PP_Grid[#Data],$DE43,78),0)</f>
        <v/>
      </c>
      <c r="CD43">
        <f>IFERROR(INDEX(PP_Grid[#Data],$DE43,79),0)</f>
        <v/>
      </c>
      <c r="CE43">
        <f>IFERROR(INDEX(PP_Grid[#Data],$DE43,80),0)</f>
        <v/>
      </c>
      <c r="CF43">
        <f>IFERROR(INDEX(PP_Grid[#Data],$DE43,81),0)</f>
        <v/>
      </c>
      <c r="CG43">
        <f>IFERROR(INDEX(PP_Grid[#Data],$DE43,82),0)</f>
        <v/>
      </c>
      <c r="CH43">
        <f>IFERROR(INDEX(PP_Grid[#Data],$DE43,83),0)</f>
        <v/>
      </c>
      <c r="CI43">
        <f>IFERROR(INDEX(PP_Grid[#Data],$DE43,84),0)</f>
        <v/>
      </c>
      <c r="CJ43">
        <f>IFERROR(INDEX(PP_Grid[#Data],$DE43,85),0)</f>
        <v/>
      </c>
      <c r="CK43">
        <f>IFERROR(INDEX(PP_Grid[#Data],$DE43,86),0)</f>
        <v/>
      </c>
      <c r="CL43">
        <f>IFERROR(INDEX(PP_Grid[#Data],$DE43,87),0)</f>
        <v/>
      </c>
      <c r="CM43">
        <f>IFERROR(INDEX(PP_Grid[#Data],$DE43,88),0)</f>
        <v/>
      </c>
      <c r="CN43">
        <f>IFERROR(INDEX(PP_Grid[#Data],$DE43,89),0)</f>
        <v/>
      </c>
      <c r="CO43">
        <f>IFERROR(INDEX(PP_Grid[#Data],$DE43,90),0)</f>
        <v/>
      </c>
      <c r="CP43">
        <f>IFERROR(INDEX(PP_Grid[#Data],$DE43,91),0)</f>
        <v/>
      </c>
      <c r="CQ43">
        <f>IFERROR(INDEX(PP_Grid[#Data],$DE43,92),0)</f>
        <v/>
      </c>
      <c r="CR43">
        <f>IFERROR(INDEX(PP_Grid[#Data],$DE43,93),0)</f>
        <v/>
      </c>
      <c r="CS43">
        <f>IFERROR(INDEX(PP_Grid[#Data],$DE43,94),0)</f>
        <v/>
      </c>
      <c r="CT43">
        <f>IFERROR(INDEX(PP_Grid[#Data],$DE43,95),0)</f>
        <v/>
      </c>
      <c r="CU43">
        <f>IFERROR(INDEX(PP_Grid[#Data],$DE43,96),0)</f>
        <v/>
      </c>
      <c r="CV43">
        <f>IFERROR(INDEX(PP_Grid[#Data],$DE43,97),0)</f>
        <v/>
      </c>
      <c r="CW43">
        <f>IFERROR(INDEX(PP_Grid[#Data],$DE43,98),0)</f>
        <v/>
      </c>
      <c r="CX43">
        <f>IFERROR(INDEX(PP_Grid[#Data],$DE43,99),0)</f>
        <v/>
      </c>
      <c r="CY43">
        <f>IFERROR(INDEX(PP_Grid[#Data],$DE43,100),0)</f>
        <v/>
      </c>
      <c r="CZ43">
        <f>IFERROR(INDEX(PP_Grid[#Data],$DE43,101),0)</f>
        <v/>
      </c>
      <c r="DA43">
        <f>IFERROR(INDEX(PP_Grid[#Data],$DE43,102),0)</f>
        <v/>
      </c>
      <c r="DB43">
        <f>IFERROR(INDEX(PP_Grid[#Data],$DE43,103),0)</f>
        <v/>
      </c>
      <c r="DC43">
        <f>IFERROR(INDEX(PP_Grid[#Data],$DE43,104),0)</f>
        <v/>
      </c>
      <c r="DD43">
        <f>IFERROR(INDEX(PP_Grid[#Data],$DE43,105),0)</f>
        <v/>
      </c>
      <c r="DE43" s="7">
        <f>IFERROR(MATCH($B43,PP_Grid[Intermediate],0),99999)</f>
        <v/>
      </c>
    </row>
    <row r="44">
      <c r="B44" t="inlineStr">
        <is>
          <t>使用量(kg)</t>
        </is>
      </c>
      <c r="C44">
        <f>SUMIFS(M_BOM[RM_Qty_Per_Batch],M_BOM[Intermediate],$B43,M_BOM[RM_Code],$A28)</f>
        <v/>
      </c>
      <c r="D44">
        <f>IFERROR(INDEX(E44:DD44,$F$1),"")</f>
        <v/>
      </c>
      <c r="E44">
        <f>$C44*E43</f>
        <v/>
      </c>
      <c r="F44">
        <f>$C44*F43</f>
        <v/>
      </c>
      <c r="G44">
        <f>$C44*G43</f>
        <v/>
      </c>
      <c r="H44">
        <f>$C44*H43</f>
        <v/>
      </c>
      <c r="I44">
        <f>$C44*I43</f>
        <v/>
      </c>
      <c r="J44">
        <f>$C44*J43</f>
        <v/>
      </c>
      <c r="K44">
        <f>$C44*K43</f>
        <v/>
      </c>
      <c r="L44">
        <f>$C44*L43</f>
        <v/>
      </c>
      <c r="M44">
        <f>$C44*M43</f>
        <v/>
      </c>
      <c r="N44">
        <f>$C44*N43</f>
        <v/>
      </c>
      <c r="O44">
        <f>$C44*O43</f>
        <v/>
      </c>
      <c r="P44">
        <f>$C44*P43</f>
        <v/>
      </c>
      <c r="Q44">
        <f>$C44*Q43</f>
        <v/>
      </c>
      <c r="R44">
        <f>$C44*R43</f>
        <v/>
      </c>
      <c r="S44">
        <f>$C44*S43</f>
        <v/>
      </c>
      <c r="T44">
        <f>$C44*T43</f>
        <v/>
      </c>
      <c r="U44">
        <f>$C44*U43</f>
        <v/>
      </c>
      <c r="V44">
        <f>$C44*V43</f>
        <v/>
      </c>
      <c r="W44">
        <f>$C44*W43</f>
        <v/>
      </c>
      <c r="X44">
        <f>$C44*X43</f>
        <v/>
      </c>
      <c r="Y44">
        <f>$C44*Y43</f>
        <v/>
      </c>
      <c r="Z44">
        <f>$C44*Z43</f>
        <v/>
      </c>
      <c r="AA44">
        <f>$C44*AA43</f>
        <v/>
      </c>
      <c r="AB44">
        <f>$C44*AB43</f>
        <v/>
      </c>
      <c r="AC44">
        <f>$C44*AC43</f>
        <v/>
      </c>
      <c r="AD44">
        <f>$C44*AD43</f>
        <v/>
      </c>
      <c r="AE44">
        <f>$C44*AE43</f>
        <v/>
      </c>
      <c r="AF44">
        <f>$C44*AF43</f>
        <v/>
      </c>
      <c r="AG44">
        <f>$C44*AG43</f>
        <v/>
      </c>
      <c r="AH44">
        <f>$C44*AH43</f>
        <v/>
      </c>
      <c r="AI44">
        <f>$C44*AI43</f>
        <v/>
      </c>
      <c r="AJ44">
        <f>$C44*AJ43</f>
        <v/>
      </c>
      <c r="AK44">
        <f>$C44*AK43</f>
        <v/>
      </c>
      <c r="AL44">
        <f>$C44*AL43</f>
        <v/>
      </c>
      <c r="AM44">
        <f>$C44*AM43</f>
        <v/>
      </c>
      <c r="AN44">
        <f>$C44*AN43</f>
        <v/>
      </c>
      <c r="AO44">
        <f>$C44*AO43</f>
        <v/>
      </c>
      <c r="AP44">
        <f>$C44*AP43</f>
        <v/>
      </c>
      <c r="AQ44">
        <f>$C44*AQ43</f>
        <v/>
      </c>
      <c r="AR44">
        <f>$C44*AR43</f>
        <v/>
      </c>
      <c r="AS44">
        <f>$C44*AS43</f>
        <v/>
      </c>
      <c r="AT44">
        <f>$C44*AT43</f>
        <v/>
      </c>
      <c r="AU44">
        <f>$C44*AU43</f>
        <v/>
      </c>
      <c r="AV44">
        <f>$C44*AV43</f>
        <v/>
      </c>
      <c r="AW44">
        <f>$C44*AW43</f>
        <v/>
      </c>
      <c r="AX44">
        <f>$C44*AX43</f>
        <v/>
      </c>
      <c r="AY44">
        <f>$C44*AY43</f>
        <v/>
      </c>
      <c r="AZ44">
        <f>$C44*AZ43</f>
        <v/>
      </c>
      <c r="BA44">
        <f>$C44*BA43</f>
        <v/>
      </c>
      <c r="BB44">
        <f>$C44*BB43</f>
        <v/>
      </c>
      <c r="BC44">
        <f>$C44*BC43</f>
        <v/>
      </c>
      <c r="BD44">
        <f>$C44*BD43</f>
        <v/>
      </c>
      <c r="BE44">
        <f>$C44*BE43</f>
        <v/>
      </c>
      <c r="BF44">
        <f>$C44*BF43</f>
        <v/>
      </c>
      <c r="BG44">
        <f>$C44*BG43</f>
        <v/>
      </c>
      <c r="BH44">
        <f>$C44*BH43</f>
        <v/>
      </c>
      <c r="BI44">
        <f>$C44*BI43</f>
        <v/>
      </c>
      <c r="BJ44">
        <f>$C44*BJ43</f>
        <v/>
      </c>
      <c r="BK44">
        <f>$C44*BK43</f>
        <v/>
      </c>
      <c r="BL44">
        <f>$C44*BL43</f>
        <v/>
      </c>
      <c r="BM44">
        <f>$C44*BM43</f>
        <v/>
      </c>
      <c r="BN44">
        <f>$C44*BN43</f>
        <v/>
      </c>
      <c r="BO44">
        <f>$C44*BO43</f>
        <v/>
      </c>
      <c r="BP44">
        <f>$C44*BP43</f>
        <v/>
      </c>
      <c r="BQ44">
        <f>$C44*BQ43</f>
        <v/>
      </c>
      <c r="BR44">
        <f>$C44*BR43</f>
        <v/>
      </c>
      <c r="BS44">
        <f>$C44*BS43</f>
        <v/>
      </c>
      <c r="BT44">
        <f>$C44*BT43</f>
        <v/>
      </c>
      <c r="BU44">
        <f>$C44*BU43</f>
        <v/>
      </c>
      <c r="BV44">
        <f>$C44*BV43</f>
        <v/>
      </c>
      <c r="BW44">
        <f>$C44*BW43</f>
        <v/>
      </c>
      <c r="BX44">
        <f>$C44*BX43</f>
        <v/>
      </c>
      <c r="BY44">
        <f>$C44*BY43</f>
        <v/>
      </c>
      <c r="BZ44">
        <f>$C44*BZ43</f>
        <v/>
      </c>
      <c r="CA44">
        <f>$C44*CA43</f>
        <v/>
      </c>
      <c r="CB44">
        <f>$C44*CB43</f>
        <v/>
      </c>
      <c r="CC44">
        <f>$C44*CC43</f>
        <v/>
      </c>
      <c r="CD44">
        <f>$C44*CD43</f>
        <v/>
      </c>
      <c r="CE44">
        <f>$C44*CE43</f>
        <v/>
      </c>
      <c r="CF44">
        <f>$C44*CF43</f>
        <v/>
      </c>
      <c r="CG44">
        <f>$C44*CG43</f>
        <v/>
      </c>
      <c r="CH44">
        <f>$C44*CH43</f>
        <v/>
      </c>
      <c r="CI44">
        <f>$C44*CI43</f>
        <v/>
      </c>
      <c r="CJ44">
        <f>$C44*CJ43</f>
        <v/>
      </c>
      <c r="CK44">
        <f>$C44*CK43</f>
        <v/>
      </c>
      <c r="CL44">
        <f>$C44*CL43</f>
        <v/>
      </c>
      <c r="CM44">
        <f>$C44*CM43</f>
        <v/>
      </c>
      <c r="CN44">
        <f>$C44*CN43</f>
        <v/>
      </c>
      <c r="CO44">
        <f>$C44*CO43</f>
        <v/>
      </c>
      <c r="CP44">
        <f>$C44*CP43</f>
        <v/>
      </c>
      <c r="CQ44">
        <f>$C44*CQ43</f>
        <v/>
      </c>
      <c r="CR44">
        <f>$C44*CR43</f>
        <v/>
      </c>
      <c r="CS44">
        <f>$C44*CS43</f>
        <v/>
      </c>
      <c r="CT44">
        <f>$C44*CT43</f>
        <v/>
      </c>
      <c r="CU44">
        <f>$C44*CU43</f>
        <v/>
      </c>
      <c r="CV44">
        <f>$C44*CV43</f>
        <v/>
      </c>
      <c r="CW44">
        <f>$C44*CW43</f>
        <v/>
      </c>
      <c r="CX44">
        <f>$C44*CX43</f>
        <v/>
      </c>
      <c r="CY44">
        <f>$C44*CY43</f>
        <v/>
      </c>
      <c r="CZ44">
        <f>$C44*CZ43</f>
        <v/>
      </c>
      <c r="DA44">
        <f>$C44*DA43</f>
        <v/>
      </c>
      <c r="DB44">
        <f>$C44*DB43</f>
        <v/>
      </c>
      <c r="DC44">
        <f>$C44*DC43</f>
        <v/>
      </c>
      <c r="DD44">
        <f>$C44*DD43</f>
        <v/>
      </c>
    </row>
    <row r="45">
      <c r="B45" t="inlineStr">
        <is>
          <t>TSP-089</t>
        </is>
      </c>
      <c r="C45" t="inlineStr">
        <is>
          <t>No. of batches</t>
        </is>
      </c>
      <c r="D45">
        <f>IFERROR(INDEX(E45:DD45,$F$1),"")</f>
        <v/>
      </c>
      <c r="E45">
        <f>IFERROR(INDEX(PP_Grid[#Data],$DE45,2),0)</f>
        <v/>
      </c>
      <c r="F45">
        <f>IFERROR(INDEX(PP_Grid[#Data],$DE45,3),0)</f>
        <v/>
      </c>
      <c r="G45">
        <f>IFERROR(INDEX(PP_Grid[#Data],$DE45,4),0)</f>
        <v/>
      </c>
      <c r="H45">
        <f>IFERROR(INDEX(PP_Grid[#Data],$DE45,5),0)</f>
        <v/>
      </c>
      <c r="I45">
        <f>IFERROR(INDEX(PP_Grid[#Data],$DE45,6),0)</f>
        <v/>
      </c>
      <c r="J45">
        <f>IFERROR(INDEX(PP_Grid[#Data],$DE45,7),0)</f>
        <v/>
      </c>
      <c r="K45">
        <f>IFERROR(INDEX(PP_Grid[#Data],$DE45,8),0)</f>
        <v/>
      </c>
      <c r="L45">
        <f>IFERROR(INDEX(PP_Grid[#Data],$DE45,9),0)</f>
        <v/>
      </c>
      <c r="M45">
        <f>IFERROR(INDEX(PP_Grid[#Data],$DE45,10),0)</f>
        <v/>
      </c>
      <c r="N45">
        <f>IFERROR(INDEX(PP_Grid[#Data],$DE45,11),0)</f>
        <v/>
      </c>
      <c r="O45">
        <f>IFERROR(INDEX(PP_Grid[#Data],$DE45,12),0)</f>
        <v/>
      </c>
      <c r="P45">
        <f>IFERROR(INDEX(PP_Grid[#Data],$DE45,13),0)</f>
        <v/>
      </c>
      <c r="Q45">
        <f>IFERROR(INDEX(PP_Grid[#Data],$DE45,14),0)</f>
        <v/>
      </c>
      <c r="R45">
        <f>IFERROR(INDEX(PP_Grid[#Data],$DE45,15),0)</f>
        <v/>
      </c>
      <c r="S45">
        <f>IFERROR(INDEX(PP_Grid[#Data],$DE45,16),0)</f>
        <v/>
      </c>
      <c r="T45">
        <f>IFERROR(INDEX(PP_Grid[#Data],$DE45,17),0)</f>
        <v/>
      </c>
      <c r="U45">
        <f>IFERROR(INDEX(PP_Grid[#Data],$DE45,18),0)</f>
        <v/>
      </c>
      <c r="V45">
        <f>IFERROR(INDEX(PP_Grid[#Data],$DE45,19),0)</f>
        <v/>
      </c>
      <c r="W45">
        <f>IFERROR(INDEX(PP_Grid[#Data],$DE45,20),0)</f>
        <v/>
      </c>
      <c r="X45">
        <f>IFERROR(INDEX(PP_Grid[#Data],$DE45,21),0)</f>
        <v/>
      </c>
      <c r="Y45">
        <f>IFERROR(INDEX(PP_Grid[#Data],$DE45,22),0)</f>
        <v/>
      </c>
      <c r="Z45">
        <f>IFERROR(INDEX(PP_Grid[#Data],$DE45,23),0)</f>
        <v/>
      </c>
      <c r="AA45">
        <f>IFERROR(INDEX(PP_Grid[#Data],$DE45,24),0)</f>
        <v/>
      </c>
      <c r="AB45">
        <f>IFERROR(INDEX(PP_Grid[#Data],$DE45,25),0)</f>
        <v/>
      </c>
      <c r="AC45">
        <f>IFERROR(INDEX(PP_Grid[#Data],$DE45,26),0)</f>
        <v/>
      </c>
      <c r="AD45">
        <f>IFERROR(INDEX(PP_Grid[#Data],$DE45,27),0)</f>
        <v/>
      </c>
      <c r="AE45">
        <f>IFERROR(INDEX(PP_Grid[#Data],$DE45,28),0)</f>
        <v/>
      </c>
      <c r="AF45">
        <f>IFERROR(INDEX(PP_Grid[#Data],$DE45,29),0)</f>
        <v/>
      </c>
      <c r="AG45">
        <f>IFERROR(INDEX(PP_Grid[#Data],$DE45,30),0)</f>
        <v/>
      </c>
      <c r="AH45">
        <f>IFERROR(INDEX(PP_Grid[#Data],$DE45,31),0)</f>
        <v/>
      </c>
      <c r="AI45">
        <f>IFERROR(INDEX(PP_Grid[#Data],$DE45,32),0)</f>
        <v/>
      </c>
      <c r="AJ45">
        <f>IFERROR(INDEX(PP_Grid[#Data],$DE45,33),0)</f>
        <v/>
      </c>
      <c r="AK45">
        <f>IFERROR(INDEX(PP_Grid[#Data],$DE45,34),0)</f>
        <v/>
      </c>
      <c r="AL45">
        <f>IFERROR(INDEX(PP_Grid[#Data],$DE45,35),0)</f>
        <v/>
      </c>
      <c r="AM45">
        <f>IFERROR(INDEX(PP_Grid[#Data],$DE45,36),0)</f>
        <v/>
      </c>
      <c r="AN45">
        <f>IFERROR(INDEX(PP_Grid[#Data],$DE45,37),0)</f>
        <v/>
      </c>
      <c r="AO45">
        <f>IFERROR(INDEX(PP_Grid[#Data],$DE45,38),0)</f>
        <v/>
      </c>
      <c r="AP45">
        <f>IFERROR(INDEX(PP_Grid[#Data],$DE45,39),0)</f>
        <v/>
      </c>
      <c r="AQ45">
        <f>IFERROR(INDEX(PP_Grid[#Data],$DE45,40),0)</f>
        <v/>
      </c>
      <c r="AR45">
        <f>IFERROR(INDEX(PP_Grid[#Data],$DE45,41),0)</f>
        <v/>
      </c>
      <c r="AS45">
        <f>IFERROR(INDEX(PP_Grid[#Data],$DE45,42),0)</f>
        <v/>
      </c>
      <c r="AT45">
        <f>IFERROR(INDEX(PP_Grid[#Data],$DE45,43),0)</f>
        <v/>
      </c>
      <c r="AU45">
        <f>IFERROR(INDEX(PP_Grid[#Data],$DE45,44),0)</f>
        <v/>
      </c>
      <c r="AV45">
        <f>IFERROR(INDEX(PP_Grid[#Data],$DE45,45),0)</f>
        <v/>
      </c>
      <c r="AW45">
        <f>IFERROR(INDEX(PP_Grid[#Data],$DE45,46),0)</f>
        <v/>
      </c>
      <c r="AX45">
        <f>IFERROR(INDEX(PP_Grid[#Data],$DE45,47),0)</f>
        <v/>
      </c>
      <c r="AY45">
        <f>IFERROR(INDEX(PP_Grid[#Data],$DE45,48),0)</f>
        <v/>
      </c>
      <c r="AZ45">
        <f>IFERROR(INDEX(PP_Grid[#Data],$DE45,49),0)</f>
        <v/>
      </c>
      <c r="BA45">
        <f>IFERROR(INDEX(PP_Grid[#Data],$DE45,50),0)</f>
        <v/>
      </c>
      <c r="BB45">
        <f>IFERROR(INDEX(PP_Grid[#Data],$DE45,51),0)</f>
        <v/>
      </c>
      <c r="BC45">
        <f>IFERROR(INDEX(PP_Grid[#Data],$DE45,52),0)</f>
        <v/>
      </c>
      <c r="BD45">
        <f>IFERROR(INDEX(PP_Grid[#Data],$DE45,53),0)</f>
        <v/>
      </c>
      <c r="BE45">
        <f>IFERROR(INDEX(PP_Grid[#Data],$DE45,54),0)</f>
        <v/>
      </c>
      <c r="BF45">
        <f>IFERROR(INDEX(PP_Grid[#Data],$DE45,55),0)</f>
        <v/>
      </c>
      <c r="BG45">
        <f>IFERROR(INDEX(PP_Grid[#Data],$DE45,56),0)</f>
        <v/>
      </c>
      <c r="BH45">
        <f>IFERROR(INDEX(PP_Grid[#Data],$DE45,57),0)</f>
        <v/>
      </c>
      <c r="BI45">
        <f>IFERROR(INDEX(PP_Grid[#Data],$DE45,58),0)</f>
        <v/>
      </c>
      <c r="BJ45">
        <f>IFERROR(INDEX(PP_Grid[#Data],$DE45,59),0)</f>
        <v/>
      </c>
      <c r="BK45">
        <f>IFERROR(INDEX(PP_Grid[#Data],$DE45,60),0)</f>
        <v/>
      </c>
      <c r="BL45">
        <f>IFERROR(INDEX(PP_Grid[#Data],$DE45,61),0)</f>
        <v/>
      </c>
      <c r="BM45">
        <f>IFERROR(INDEX(PP_Grid[#Data],$DE45,62),0)</f>
        <v/>
      </c>
      <c r="BN45">
        <f>IFERROR(INDEX(PP_Grid[#Data],$DE45,63),0)</f>
        <v/>
      </c>
      <c r="BO45">
        <f>IFERROR(INDEX(PP_Grid[#Data],$DE45,64),0)</f>
        <v/>
      </c>
      <c r="BP45">
        <f>IFERROR(INDEX(PP_Grid[#Data],$DE45,65),0)</f>
        <v/>
      </c>
      <c r="BQ45">
        <f>IFERROR(INDEX(PP_Grid[#Data],$DE45,66),0)</f>
        <v/>
      </c>
      <c r="BR45">
        <f>IFERROR(INDEX(PP_Grid[#Data],$DE45,67),0)</f>
        <v/>
      </c>
      <c r="BS45">
        <f>IFERROR(INDEX(PP_Grid[#Data],$DE45,68),0)</f>
        <v/>
      </c>
      <c r="BT45">
        <f>IFERROR(INDEX(PP_Grid[#Data],$DE45,69),0)</f>
        <v/>
      </c>
      <c r="BU45">
        <f>IFERROR(INDEX(PP_Grid[#Data],$DE45,70),0)</f>
        <v/>
      </c>
      <c r="BV45">
        <f>IFERROR(INDEX(PP_Grid[#Data],$DE45,71),0)</f>
        <v/>
      </c>
      <c r="BW45">
        <f>IFERROR(INDEX(PP_Grid[#Data],$DE45,72),0)</f>
        <v/>
      </c>
      <c r="BX45">
        <f>IFERROR(INDEX(PP_Grid[#Data],$DE45,73),0)</f>
        <v/>
      </c>
      <c r="BY45">
        <f>IFERROR(INDEX(PP_Grid[#Data],$DE45,74),0)</f>
        <v/>
      </c>
      <c r="BZ45">
        <f>IFERROR(INDEX(PP_Grid[#Data],$DE45,75),0)</f>
        <v/>
      </c>
      <c r="CA45">
        <f>IFERROR(INDEX(PP_Grid[#Data],$DE45,76),0)</f>
        <v/>
      </c>
      <c r="CB45">
        <f>IFERROR(INDEX(PP_Grid[#Data],$DE45,77),0)</f>
        <v/>
      </c>
      <c r="CC45">
        <f>IFERROR(INDEX(PP_Grid[#Data],$DE45,78),0)</f>
        <v/>
      </c>
      <c r="CD45">
        <f>IFERROR(INDEX(PP_Grid[#Data],$DE45,79),0)</f>
        <v/>
      </c>
      <c r="CE45">
        <f>IFERROR(INDEX(PP_Grid[#Data],$DE45,80),0)</f>
        <v/>
      </c>
      <c r="CF45">
        <f>IFERROR(INDEX(PP_Grid[#Data],$DE45,81),0)</f>
        <v/>
      </c>
      <c r="CG45">
        <f>IFERROR(INDEX(PP_Grid[#Data],$DE45,82),0)</f>
        <v/>
      </c>
      <c r="CH45">
        <f>IFERROR(INDEX(PP_Grid[#Data],$DE45,83),0)</f>
        <v/>
      </c>
      <c r="CI45">
        <f>IFERROR(INDEX(PP_Grid[#Data],$DE45,84),0)</f>
        <v/>
      </c>
      <c r="CJ45">
        <f>IFERROR(INDEX(PP_Grid[#Data],$DE45,85),0)</f>
        <v/>
      </c>
      <c r="CK45">
        <f>IFERROR(INDEX(PP_Grid[#Data],$DE45,86),0)</f>
        <v/>
      </c>
      <c r="CL45">
        <f>IFERROR(INDEX(PP_Grid[#Data],$DE45,87),0)</f>
        <v/>
      </c>
      <c r="CM45">
        <f>IFERROR(INDEX(PP_Grid[#Data],$DE45,88),0)</f>
        <v/>
      </c>
      <c r="CN45">
        <f>IFERROR(INDEX(PP_Grid[#Data],$DE45,89),0)</f>
        <v/>
      </c>
      <c r="CO45">
        <f>IFERROR(INDEX(PP_Grid[#Data],$DE45,90),0)</f>
        <v/>
      </c>
      <c r="CP45">
        <f>IFERROR(INDEX(PP_Grid[#Data],$DE45,91),0)</f>
        <v/>
      </c>
      <c r="CQ45">
        <f>IFERROR(INDEX(PP_Grid[#Data],$DE45,92),0)</f>
        <v/>
      </c>
      <c r="CR45">
        <f>IFERROR(INDEX(PP_Grid[#Data],$DE45,93),0)</f>
        <v/>
      </c>
      <c r="CS45">
        <f>IFERROR(INDEX(PP_Grid[#Data],$DE45,94),0)</f>
        <v/>
      </c>
      <c r="CT45">
        <f>IFERROR(INDEX(PP_Grid[#Data],$DE45,95),0)</f>
        <v/>
      </c>
      <c r="CU45">
        <f>IFERROR(INDEX(PP_Grid[#Data],$DE45,96),0)</f>
        <v/>
      </c>
      <c r="CV45">
        <f>IFERROR(INDEX(PP_Grid[#Data],$DE45,97),0)</f>
        <v/>
      </c>
      <c r="CW45">
        <f>IFERROR(INDEX(PP_Grid[#Data],$DE45,98),0)</f>
        <v/>
      </c>
      <c r="CX45">
        <f>IFERROR(INDEX(PP_Grid[#Data],$DE45,99),0)</f>
        <v/>
      </c>
      <c r="CY45">
        <f>IFERROR(INDEX(PP_Grid[#Data],$DE45,100),0)</f>
        <v/>
      </c>
      <c r="CZ45">
        <f>IFERROR(INDEX(PP_Grid[#Data],$DE45,101),0)</f>
        <v/>
      </c>
      <c r="DA45">
        <f>IFERROR(INDEX(PP_Grid[#Data],$DE45,102),0)</f>
        <v/>
      </c>
      <c r="DB45">
        <f>IFERROR(INDEX(PP_Grid[#Data],$DE45,103),0)</f>
        <v/>
      </c>
      <c r="DC45">
        <f>IFERROR(INDEX(PP_Grid[#Data],$DE45,104),0)</f>
        <v/>
      </c>
      <c r="DD45">
        <f>IFERROR(INDEX(PP_Grid[#Data],$DE45,105),0)</f>
        <v/>
      </c>
      <c r="DE45" s="7">
        <f>IFERROR(MATCH($B45,PP_Grid[Intermediate],0),99999)</f>
        <v/>
      </c>
    </row>
    <row r="46">
      <c r="B46" t="inlineStr">
        <is>
          <t>使用量(kg)</t>
        </is>
      </c>
      <c r="C46">
        <f>SUMIFS(M_BOM[RM_Qty_Per_Batch],M_BOM[Intermediate],$B45,M_BOM[RM_Code],$A28)</f>
        <v/>
      </c>
      <c r="D46">
        <f>IFERROR(INDEX(E46:DD46,$F$1),"")</f>
        <v/>
      </c>
      <c r="E46">
        <f>$C46*E45</f>
        <v/>
      </c>
      <c r="F46">
        <f>$C46*F45</f>
        <v/>
      </c>
      <c r="G46">
        <f>$C46*G45</f>
        <v/>
      </c>
      <c r="H46">
        <f>$C46*H45</f>
        <v/>
      </c>
      <c r="I46">
        <f>$C46*I45</f>
        <v/>
      </c>
      <c r="J46">
        <f>$C46*J45</f>
        <v/>
      </c>
      <c r="K46">
        <f>$C46*K45</f>
        <v/>
      </c>
      <c r="L46">
        <f>$C46*L45</f>
        <v/>
      </c>
      <c r="M46">
        <f>$C46*M45</f>
        <v/>
      </c>
      <c r="N46">
        <f>$C46*N45</f>
        <v/>
      </c>
      <c r="O46">
        <f>$C46*O45</f>
        <v/>
      </c>
      <c r="P46">
        <f>$C46*P45</f>
        <v/>
      </c>
      <c r="Q46">
        <f>$C46*Q45</f>
        <v/>
      </c>
      <c r="R46">
        <f>$C46*R45</f>
        <v/>
      </c>
      <c r="S46">
        <f>$C46*S45</f>
        <v/>
      </c>
      <c r="T46">
        <f>$C46*T45</f>
        <v/>
      </c>
      <c r="U46">
        <f>$C46*U45</f>
        <v/>
      </c>
      <c r="V46">
        <f>$C46*V45</f>
        <v/>
      </c>
      <c r="W46">
        <f>$C46*W45</f>
        <v/>
      </c>
      <c r="X46">
        <f>$C46*X45</f>
        <v/>
      </c>
      <c r="Y46">
        <f>$C46*Y45</f>
        <v/>
      </c>
      <c r="Z46">
        <f>$C46*Z45</f>
        <v/>
      </c>
      <c r="AA46">
        <f>$C46*AA45</f>
        <v/>
      </c>
      <c r="AB46">
        <f>$C46*AB45</f>
        <v/>
      </c>
      <c r="AC46">
        <f>$C46*AC45</f>
        <v/>
      </c>
      <c r="AD46">
        <f>$C46*AD45</f>
        <v/>
      </c>
      <c r="AE46">
        <f>$C46*AE45</f>
        <v/>
      </c>
      <c r="AF46">
        <f>$C46*AF45</f>
        <v/>
      </c>
      <c r="AG46">
        <f>$C46*AG45</f>
        <v/>
      </c>
      <c r="AH46">
        <f>$C46*AH45</f>
        <v/>
      </c>
      <c r="AI46">
        <f>$C46*AI45</f>
        <v/>
      </c>
      <c r="AJ46">
        <f>$C46*AJ45</f>
        <v/>
      </c>
      <c r="AK46">
        <f>$C46*AK45</f>
        <v/>
      </c>
      <c r="AL46">
        <f>$C46*AL45</f>
        <v/>
      </c>
      <c r="AM46">
        <f>$C46*AM45</f>
        <v/>
      </c>
      <c r="AN46">
        <f>$C46*AN45</f>
        <v/>
      </c>
      <c r="AO46">
        <f>$C46*AO45</f>
        <v/>
      </c>
      <c r="AP46">
        <f>$C46*AP45</f>
        <v/>
      </c>
      <c r="AQ46">
        <f>$C46*AQ45</f>
        <v/>
      </c>
      <c r="AR46">
        <f>$C46*AR45</f>
        <v/>
      </c>
      <c r="AS46">
        <f>$C46*AS45</f>
        <v/>
      </c>
      <c r="AT46">
        <f>$C46*AT45</f>
        <v/>
      </c>
      <c r="AU46">
        <f>$C46*AU45</f>
        <v/>
      </c>
      <c r="AV46">
        <f>$C46*AV45</f>
        <v/>
      </c>
      <c r="AW46">
        <f>$C46*AW45</f>
        <v/>
      </c>
      <c r="AX46">
        <f>$C46*AX45</f>
        <v/>
      </c>
      <c r="AY46">
        <f>$C46*AY45</f>
        <v/>
      </c>
      <c r="AZ46">
        <f>$C46*AZ45</f>
        <v/>
      </c>
      <c r="BA46">
        <f>$C46*BA45</f>
        <v/>
      </c>
      <c r="BB46">
        <f>$C46*BB45</f>
        <v/>
      </c>
      <c r="BC46">
        <f>$C46*BC45</f>
        <v/>
      </c>
      <c r="BD46">
        <f>$C46*BD45</f>
        <v/>
      </c>
      <c r="BE46">
        <f>$C46*BE45</f>
        <v/>
      </c>
      <c r="BF46">
        <f>$C46*BF45</f>
        <v/>
      </c>
      <c r="BG46">
        <f>$C46*BG45</f>
        <v/>
      </c>
      <c r="BH46">
        <f>$C46*BH45</f>
        <v/>
      </c>
      <c r="BI46">
        <f>$C46*BI45</f>
        <v/>
      </c>
      <c r="BJ46">
        <f>$C46*BJ45</f>
        <v/>
      </c>
      <c r="BK46">
        <f>$C46*BK45</f>
        <v/>
      </c>
      <c r="BL46">
        <f>$C46*BL45</f>
        <v/>
      </c>
      <c r="BM46">
        <f>$C46*BM45</f>
        <v/>
      </c>
      <c r="BN46">
        <f>$C46*BN45</f>
        <v/>
      </c>
      <c r="BO46">
        <f>$C46*BO45</f>
        <v/>
      </c>
      <c r="BP46">
        <f>$C46*BP45</f>
        <v/>
      </c>
      <c r="BQ46">
        <f>$C46*BQ45</f>
        <v/>
      </c>
      <c r="BR46">
        <f>$C46*BR45</f>
        <v/>
      </c>
      <c r="BS46">
        <f>$C46*BS45</f>
        <v/>
      </c>
      <c r="BT46">
        <f>$C46*BT45</f>
        <v/>
      </c>
      <c r="BU46">
        <f>$C46*BU45</f>
        <v/>
      </c>
      <c r="BV46">
        <f>$C46*BV45</f>
        <v/>
      </c>
      <c r="BW46">
        <f>$C46*BW45</f>
        <v/>
      </c>
      <c r="BX46">
        <f>$C46*BX45</f>
        <v/>
      </c>
      <c r="BY46">
        <f>$C46*BY45</f>
        <v/>
      </c>
      <c r="BZ46">
        <f>$C46*BZ45</f>
        <v/>
      </c>
      <c r="CA46">
        <f>$C46*CA45</f>
        <v/>
      </c>
      <c r="CB46">
        <f>$C46*CB45</f>
        <v/>
      </c>
      <c r="CC46">
        <f>$C46*CC45</f>
        <v/>
      </c>
      <c r="CD46">
        <f>$C46*CD45</f>
        <v/>
      </c>
      <c r="CE46">
        <f>$C46*CE45</f>
        <v/>
      </c>
      <c r="CF46">
        <f>$C46*CF45</f>
        <v/>
      </c>
      <c r="CG46">
        <f>$C46*CG45</f>
        <v/>
      </c>
      <c r="CH46">
        <f>$C46*CH45</f>
        <v/>
      </c>
      <c r="CI46">
        <f>$C46*CI45</f>
        <v/>
      </c>
      <c r="CJ46">
        <f>$C46*CJ45</f>
        <v/>
      </c>
      <c r="CK46">
        <f>$C46*CK45</f>
        <v/>
      </c>
      <c r="CL46">
        <f>$C46*CL45</f>
        <v/>
      </c>
      <c r="CM46">
        <f>$C46*CM45</f>
        <v/>
      </c>
      <c r="CN46">
        <f>$C46*CN45</f>
        <v/>
      </c>
      <c r="CO46">
        <f>$C46*CO45</f>
        <v/>
      </c>
      <c r="CP46">
        <f>$C46*CP45</f>
        <v/>
      </c>
      <c r="CQ46">
        <f>$C46*CQ45</f>
        <v/>
      </c>
      <c r="CR46">
        <f>$C46*CR45</f>
        <v/>
      </c>
      <c r="CS46">
        <f>$C46*CS45</f>
        <v/>
      </c>
      <c r="CT46">
        <f>$C46*CT45</f>
        <v/>
      </c>
      <c r="CU46">
        <f>$C46*CU45</f>
        <v/>
      </c>
      <c r="CV46">
        <f>$C46*CV45</f>
        <v/>
      </c>
      <c r="CW46">
        <f>$C46*CW45</f>
        <v/>
      </c>
      <c r="CX46">
        <f>$C46*CX45</f>
        <v/>
      </c>
      <c r="CY46">
        <f>$C46*CY45</f>
        <v/>
      </c>
      <c r="CZ46">
        <f>$C46*CZ45</f>
        <v/>
      </c>
      <c r="DA46">
        <f>$C46*DA45</f>
        <v/>
      </c>
      <c r="DB46">
        <f>$C46*DB45</f>
        <v/>
      </c>
      <c r="DC46">
        <f>$C46*DC45</f>
        <v/>
      </c>
      <c r="DD46">
        <f>$C46*DD45</f>
        <v/>
      </c>
    </row>
    <row r="47">
      <c r="B47" t="inlineStr">
        <is>
          <t>TSP-105</t>
        </is>
      </c>
      <c r="C47" t="inlineStr">
        <is>
          <t>No. of batches</t>
        </is>
      </c>
      <c r="D47">
        <f>IFERROR(INDEX(E47:DD47,$F$1),"")</f>
        <v/>
      </c>
      <c r="E47">
        <f>IFERROR(INDEX(PP_Grid[#Data],$DE47,2),0)</f>
        <v/>
      </c>
      <c r="F47">
        <f>IFERROR(INDEX(PP_Grid[#Data],$DE47,3),0)</f>
        <v/>
      </c>
      <c r="G47">
        <f>IFERROR(INDEX(PP_Grid[#Data],$DE47,4),0)</f>
        <v/>
      </c>
      <c r="H47">
        <f>IFERROR(INDEX(PP_Grid[#Data],$DE47,5),0)</f>
        <v/>
      </c>
      <c r="I47">
        <f>IFERROR(INDEX(PP_Grid[#Data],$DE47,6),0)</f>
        <v/>
      </c>
      <c r="J47">
        <f>IFERROR(INDEX(PP_Grid[#Data],$DE47,7),0)</f>
        <v/>
      </c>
      <c r="K47">
        <f>IFERROR(INDEX(PP_Grid[#Data],$DE47,8),0)</f>
        <v/>
      </c>
      <c r="L47">
        <f>IFERROR(INDEX(PP_Grid[#Data],$DE47,9),0)</f>
        <v/>
      </c>
      <c r="M47">
        <f>IFERROR(INDEX(PP_Grid[#Data],$DE47,10),0)</f>
        <v/>
      </c>
      <c r="N47">
        <f>IFERROR(INDEX(PP_Grid[#Data],$DE47,11),0)</f>
        <v/>
      </c>
      <c r="O47">
        <f>IFERROR(INDEX(PP_Grid[#Data],$DE47,12),0)</f>
        <v/>
      </c>
      <c r="P47">
        <f>IFERROR(INDEX(PP_Grid[#Data],$DE47,13),0)</f>
        <v/>
      </c>
      <c r="Q47">
        <f>IFERROR(INDEX(PP_Grid[#Data],$DE47,14),0)</f>
        <v/>
      </c>
      <c r="R47">
        <f>IFERROR(INDEX(PP_Grid[#Data],$DE47,15),0)</f>
        <v/>
      </c>
      <c r="S47">
        <f>IFERROR(INDEX(PP_Grid[#Data],$DE47,16),0)</f>
        <v/>
      </c>
      <c r="T47">
        <f>IFERROR(INDEX(PP_Grid[#Data],$DE47,17),0)</f>
        <v/>
      </c>
      <c r="U47">
        <f>IFERROR(INDEX(PP_Grid[#Data],$DE47,18),0)</f>
        <v/>
      </c>
      <c r="V47">
        <f>IFERROR(INDEX(PP_Grid[#Data],$DE47,19),0)</f>
        <v/>
      </c>
      <c r="W47">
        <f>IFERROR(INDEX(PP_Grid[#Data],$DE47,20),0)</f>
        <v/>
      </c>
      <c r="X47">
        <f>IFERROR(INDEX(PP_Grid[#Data],$DE47,21),0)</f>
        <v/>
      </c>
      <c r="Y47">
        <f>IFERROR(INDEX(PP_Grid[#Data],$DE47,22),0)</f>
        <v/>
      </c>
      <c r="Z47">
        <f>IFERROR(INDEX(PP_Grid[#Data],$DE47,23),0)</f>
        <v/>
      </c>
      <c r="AA47">
        <f>IFERROR(INDEX(PP_Grid[#Data],$DE47,24),0)</f>
        <v/>
      </c>
      <c r="AB47">
        <f>IFERROR(INDEX(PP_Grid[#Data],$DE47,25),0)</f>
        <v/>
      </c>
      <c r="AC47">
        <f>IFERROR(INDEX(PP_Grid[#Data],$DE47,26),0)</f>
        <v/>
      </c>
      <c r="AD47">
        <f>IFERROR(INDEX(PP_Grid[#Data],$DE47,27),0)</f>
        <v/>
      </c>
      <c r="AE47">
        <f>IFERROR(INDEX(PP_Grid[#Data],$DE47,28),0)</f>
        <v/>
      </c>
      <c r="AF47">
        <f>IFERROR(INDEX(PP_Grid[#Data],$DE47,29),0)</f>
        <v/>
      </c>
      <c r="AG47">
        <f>IFERROR(INDEX(PP_Grid[#Data],$DE47,30),0)</f>
        <v/>
      </c>
      <c r="AH47">
        <f>IFERROR(INDEX(PP_Grid[#Data],$DE47,31),0)</f>
        <v/>
      </c>
      <c r="AI47">
        <f>IFERROR(INDEX(PP_Grid[#Data],$DE47,32),0)</f>
        <v/>
      </c>
      <c r="AJ47">
        <f>IFERROR(INDEX(PP_Grid[#Data],$DE47,33),0)</f>
        <v/>
      </c>
      <c r="AK47">
        <f>IFERROR(INDEX(PP_Grid[#Data],$DE47,34),0)</f>
        <v/>
      </c>
      <c r="AL47">
        <f>IFERROR(INDEX(PP_Grid[#Data],$DE47,35),0)</f>
        <v/>
      </c>
      <c r="AM47">
        <f>IFERROR(INDEX(PP_Grid[#Data],$DE47,36),0)</f>
        <v/>
      </c>
      <c r="AN47">
        <f>IFERROR(INDEX(PP_Grid[#Data],$DE47,37),0)</f>
        <v/>
      </c>
      <c r="AO47">
        <f>IFERROR(INDEX(PP_Grid[#Data],$DE47,38),0)</f>
        <v/>
      </c>
      <c r="AP47">
        <f>IFERROR(INDEX(PP_Grid[#Data],$DE47,39),0)</f>
        <v/>
      </c>
      <c r="AQ47">
        <f>IFERROR(INDEX(PP_Grid[#Data],$DE47,40),0)</f>
        <v/>
      </c>
      <c r="AR47">
        <f>IFERROR(INDEX(PP_Grid[#Data],$DE47,41),0)</f>
        <v/>
      </c>
      <c r="AS47">
        <f>IFERROR(INDEX(PP_Grid[#Data],$DE47,42),0)</f>
        <v/>
      </c>
      <c r="AT47">
        <f>IFERROR(INDEX(PP_Grid[#Data],$DE47,43),0)</f>
        <v/>
      </c>
      <c r="AU47">
        <f>IFERROR(INDEX(PP_Grid[#Data],$DE47,44),0)</f>
        <v/>
      </c>
      <c r="AV47">
        <f>IFERROR(INDEX(PP_Grid[#Data],$DE47,45),0)</f>
        <v/>
      </c>
      <c r="AW47">
        <f>IFERROR(INDEX(PP_Grid[#Data],$DE47,46),0)</f>
        <v/>
      </c>
      <c r="AX47">
        <f>IFERROR(INDEX(PP_Grid[#Data],$DE47,47),0)</f>
        <v/>
      </c>
      <c r="AY47">
        <f>IFERROR(INDEX(PP_Grid[#Data],$DE47,48),0)</f>
        <v/>
      </c>
      <c r="AZ47">
        <f>IFERROR(INDEX(PP_Grid[#Data],$DE47,49),0)</f>
        <v/>
      </c>
      <c r="BA47">
        <f>IFERROR(INDEX(PP_Grid[#Data],$DE47,50),0)</f>
        <v/>
      </c>
      <c r="BB47">
        <f>IFERROR(INDEX(PP_Grid[#Data],$DE47,51),0)</f>
        <v/>
      </c>
      <c r="BC47">
        <f>IFERROR(INDEX(PP_Grid[#Data],$DE47,52),0)</f>
        <v/>
      </c>
      <c r="BD47">
        <f>IFERROR(INDEX(PP_Grid[#Data],$DE47,53),0)</f>
        <v/>
      </c>
      <c r="BE47">
        <f>IFERROR(INDEX(PP_Grid[#Data],$DE47,54),0)</f>
        <v/>
      </c>
      <c r="BF47">
        <f>IFERROR(INDEX(PP_Grid[#Data],$DE47,55),0)</f>
        <v/>
      </c>
      <c r="BG47">
        <f>IFERROR(INDEX(PP_Grid[#Data],$DE47,56),0)</f>
        <v/>
      </c>
      <c r="BH47">
        <f>IFERROR(INDEX(PP_Grid[#Data],$DE47,57),0)</f>
        <v/>
      </c>
      <c r="BI47">
        <f>IFERROR(INDEX(PP_Grid[#Data],$DE47,58),0)</f>
        <v/>
      </c>
      <c r="BJ47">
        <f>IFERROR(INDEX(PP_Grid[#Data],$DE47,59),0)</f>
        <v/>
      </c>
      <c r="BK47">
        <f>IFERROR(INDEX(PP_Grid[#Data],$DE47,60),0)</f>
        <v/>
      </c>
      <c r="BL47">
        <f>IFERROR(INDEX(PP_Grid[#Data],$DE47,61),0)</f>
        <v/>
      </c>
      <c r="BM47">
        <f>IFERROR(INDEX(PP_Grid[#Data],$DE47,62),0)</f>
        <v/>
      </c>
      <c r="BN47">
        <f>IFERROR(INDEX(PP_Grid[#Data],$DE47,63),0)</f>
        <v/>
      </c>
      <c r="BO47">
        <f>IFERROR(INDEX(PP_Grid[#Data],$DE47,64),0)</f>
        <v/>
      </c>
      <c r="BP47">
        <f>IFERROR(INDEX(PP_Grid[#Data],$DE47,65),0)</f>
        <v/>
      </c>
      <c r="BQ47">
        <f>IFERROR(INDEX(PP_Grid[#Data],$DE47,66),0)</f>
        <v/>
      </c>
      <c r="BR47">
        <f>IFERROR(INDEX(PP_Grid[#Data],$DE47,67),0)</f>
        <v/>
      </c>
      <c r="BS47">
        <f>IFERROR(INDEX(PP_Grid[#Data],$DE47,68),0)</f>
        <v/>
      </c>
      <c r="BT47">
        <f>IFERROR(INDEX(PP_Grid[#Data],$DE47,69),0)</f>
        <v/>
      </c>
      <c r="BU47">
        <f>IFERROR(INDEX(PP_Grid[#Data],$DE47,70),0)</f>
        <v/>
      </c>
      <c r="BV47">
        <f>IFERROR(INDEX(PP_Grid[#Data],$DE47,71),0)</f>
        <v/>
      </c>
      <c r="BW47">
        <f>IFERROR(INDEX(PP_Grid[#Data],$DE47,72),0)</f>
        <v/>
      </c>
      <c r="BX47">
        <f>IFERROR(INDEX(PP_Grid[#Data],$DE47,73),0)</f>
        <v/>
      </c>
      <c r="BY47">
        <f>IFERROR(INDEX(PP_Grid[#Data],$DE47,74),0)</f>
        <v/>
      </c>
      <c r="BZ47">
        <f>IFERROR(INDEX(PP_Grid[#Data],$DE47,75),0)</f>
        <v/>
      </c>
      <c r="CA47">
        <f>IFERROR(INDEX(PP_Grid[#Data],$DE47,76),0)</f>
        <v/>
      </c>
      <c r="CB47">
        <f>IFERROR(INDEX(PP_Grid[#Data],$DE47,77),0)</f>
        <v/>
      </c>
      <c r="CC47">
        <f>IFERROR(INDEX(PP_Grid[#Data],$DE47,78),0)</f>
        <v/>
      </c>
      <c r="CD47">
        <f>IFERROR(INDEX(PP_Grid[#Data],$DE47,79),0)</f>
        <v/>
      </c>
      <c r="CE47">
        <f>IFERROR(INDEX(PP_Grid[#Data],$DE47,80),0)</f>
        <v/>
      </c>
      <c r="CF47">
        <f>IFERROR(INDEX(PP_Grid[#Data],$DE47,81),0)</f>
        <v/>
      </c>
      <c r="CG47">
        <f>IFERROR(INDEX(PP_Grid[#Data],$DE47,82),0)</f>
        <v/>
      </c>
      <c r="CH47">
        <f>IFERROR(INDEX(PP_Grid[#Data],$DE47,83),0)</f>
        <v/>
      </c>
      <c r="CI47">
        <f>IFERROR(INDEX(PP_Grid[#Data],$DE47,84),0)</f>
        <v/>
      </c>
      <c r="CJ47">
        <f>IFERROR(INDEX(PP_Grid[#Data],$DE47,85),0)</f>
        <v/>
      </c>
      <c r="CK47">
        <f>IFERROR(INDEX(PP_Grid[#Data],$DE47,86),0)</f>
        <v/>
      </c>
      <c r="CL47">
        <f>IFERROR(INDEX(PP_Grid[#Data],$DE47,87),0)</f>
        <v/>
      </c>
      <c r="CM47">
        <f>IFERROR(INDEX(PP_Grid[#Data],$DE47,88),0)</f>
        <v/>
      </c>
      <c r="CN47">
        <f>IFERROR(INDEX(PP_Grid[#Data],$DE47,89),0)</f>
        <v/>
      </c>
      <c r="CO47">
        <f>IFERROR(INDEX(PP_Grid[#Data],$DE47,90),0)</f>
        <v/>
      </c>
      <c r="CP47">
        <f>IFERROR(INDEX(PP_Grid[#Data],$DE47,91),0)</f>
        <v/>
      </c>
      <c r="CQ47">
        <f>IFERROR(INDEX(PP_Grid[#Data],$DE47,92),0)</f>
        <v/>
      </c>
      <c r="CR47">
        <f>IFERROR(INDEX(PP_Grid[#Data],$DE47,93),0)</f>
        <v/>
      </c>
      <c r="CS47">
        <f>IFERROR(INDEX(PP_Grid[#Data],$DE47,94),0)</f>
        <v/>
      </c>
      <c r="CT47">
        <f>IFERROR(INDEX(PP_Grid[#Data],$DE47,95),0)</f>
        <v/>
      </c>
      <c r="CU47">
        <f>IFERROR(INDEX(PP_Grid[#Data],$DE47,96),0)</f>
        <v/>
      </c>
      <c r="CV47">
        <f>IFERROR(INDEX(PP_Grid[#Data],$DE47,97),0)</f>
        <v/>
      </c>
      <c r="CW47">
        <f>IFERROR(INDEX(PP_Grid[#Data],$DE47,98),0)</f>
        <v/>
      </c>
      <c r="CX47">
        <f>IFERROR(INDEX(PP_Grid[#Data],$DE47,99),0)</f>
        <v/>
      </c>
      <c r="CY47">
        <f>IFERROR(INDEX(PP_Grid[#Data],$DE47,100),0)</f>
        <v/>
      </c>
      <c r="CZ47">
        <f>IFERROR(INDEX(PP_Grid[#Data],$DE47,101),0)</f>
        <v/>
      </c>
      <c r="DA47">
        <f>IFERROR(INDEX(PP_Grid[#Data],$DE47,102),0)</f>
        <v/>
      </c>
      <c r="DB47">
        <f>IFERROR(INDEX(PP_Grid[#Data],$DE47,103),0)</f>
        <v/>
      </c>
      <c r="DC47">
        <f>IFERROR(INDEX(PP_Grid[#Data],$DE47,104),0)</f>
        <v/>
      </c>
      <c r="DD47">
        <f>IFERROR(INDEX(PP_Grid[#Data],$DE47,105),0)</f>
        <v/>
      </c>
      <c r="DE47" s="7">
        <f>IFERROR(MATCH($B47,PP_Grid[Intermediate],0),99999)</f>
        <v/>
      </c>
    </row>
    <row r="48">
      <c r="B48" t="inlineStr">
        <is>
          <t>使用量(kg)</t>
        </is>
      </c>
      <c r="C48">
        <f>SUMIFS(M_BOM[RM_Qty_Per_Batch],M_BOM[Intermediate],$B47,M_BOM[RM_Code],$A28)</f>
        <v/>
      </c>
      <c r="D48">
        <f>IFERROR(INDEX(E48:DD48,$F$1),"")</f>
        <v/>
      </c>
      <c r="E48">
        <f>$C48*E47</f>
        <v/>
      </c>
      <c r="F48">
        <f>$C48*F47</f>
        <v/>
      </c>
      <c r="G48">
        <f>$C48*G47</f>
        <v/>
      </c>
      <c r="H48">
        <f>$C48*H47</f>
        <v/>
      </c>
      <c r="I48">
        <f>$C48*I47</f>
        <v/>
      </c>
      <c r="J48">
        <f>$C48*J47</f>
        <v/>
      </c>
      <c r="K48">
        <f>$C48*K47</f>
        <v/>
      </c>
      <c r="L48">
        <f>$C48*L47</f>
        <v/>
      </c>
      <c r="M48">
        <f>$C48*M47</f>
        <v/>
      </c>
      <c r="N48">
        <f>$C48*N47</f>
        <v/>
      </c>
      <c r="O48">
        <f>$C48*O47</f>
        <v/>
      </c>
      <c r="P48">
        <f>$C48*P47</f>
        <v/>
      </c>
      <c r="Q48">
        <f>$C48*Q47</f>
        <v/>
      </c>
      <c r="R48">
        <f>$C48*R47</f>
        <v/>
      </c>
      <c r="S48">
        <f>$C48*S47</f>
        <v/>
      </c>
      <c r="T48">
        <f>$C48*T47</f>
        <v/>
      </c>
      <c r="U48">
        <f>$C48*U47</f>
        <v/>
      </c>
      <c r="V48">
        <f>$C48*V47</f>
        <v/>
      </c>
      <c r="W48">
        <f>$C48*W47</f>
        <v/>
      </c>
      <c r="X48">
        <f>$C48*X47</f>
        <v/>
      </c>
      <c r="Y48">
        <f>$C48*Y47</f>
        <v/>
      </c>
      <c r="Z48">
        <f>$C48*Z47</f>
        <v/>
      </c>
      <c r="AA48">
        <f>$C48*AA47</f>
        <v/>
      </c>
      <c r="AB48">
        <f>$C48*AB47</f>
        <v/>
      </c>
      <c r="AC48">
        <f>$C48*AC47</f>
        <v/>
      </c>
      <c r="AD48">
        <f>$C48*AD47</f>
        <v/>
      </c>
      <c r="AE48">
        <f>$C48*AE47</f>
        <v/>
      </c>
      <c r="AF48">
        <f>$C48*AF47</f>
        <v/>
      </c>
      <c r="AG48">
        <f>$C48*AG47</f>
        <v/>
      </c>
      <c r="AH48">
        <f>$C48*AH47</f>
        <v/>
      </c>
      <c r="AI48">
        <f>$C48*AI47</f>
        <v/>
      </c>
      <c r="AJ48">
        <f>$C48*AJ47</f>
        <v/>
      </c>
      <c r="AK48">
        <f>$C48*AK47</f>
        <v/>
      </c>
      <c r="AL48">
        <f>$C48*AL47</f>
        <v/>
      </c>
      <c r="AM48">
        <f>$C48*AM47</f>
        <v/>
      </c>
      <c r="AN48">
        <f>$C48*AN47</f>
        <v/>
      </c>
      <c r="AO48">
        <f>$C48*AO47</f>
        <v/>
      </c>
      <c r="AP48">
        <f>$C48*AP47</f>
        <v/>
      </c>
      <c r="AQ48">
        <f>$C48*AQ47</f>
        <v/>
      </c>
      <c r="AR48">
        <f>$C48*AR47</f>
        <v/>
      </c>
      <c r="AS48">
        <f>$C48*AS47</f>
        <v/>
      </c>
      <c r="AT48">
        <f>$C48*AT47</f>
        <v/>
      </c>
      <c r="AU48">
        <f>$C48*AU47</f>
        <v/>
      </c>
      <c r="AV48">
        <f>$C48*AV47</f>
        <v/>
      </c>
      <c r="AW48">
        <f>$C48*AW47</f>
        <v/>
      </c>
      <c r="AX48">
        <f>$C48*AX47</f>
        <v/>
      </c>
      <c r="AY48">
        <f>$C48*AY47</f>
        <v/>
      </c>
      <c r="AZ48">
        <f>$C48*AZ47</f>
        <v/>
      </c>
      <c r="BA48">
        <f>$C48*BA47</f>
        <v/>
      </c>
      <c r="BB48">
        <f>$C48*BB47</f>
        <v/>
      </c>
      <c r="BC48">
        <f>$C48*BC47</f>
        <v/>
      </c>
      <c r="BD48">
        <f>$C48*BD47</f>
        <v/>
      </c>
      <c r="BE48">
        <f>$C48*BE47</f>
        <v/>
      </c>
      <c r="BF48">
        <f>$C48*BF47</f>
        <v/>
      </c>
      <c r="BG48">
        <f>$C48*BG47</f>
        <v/>
      </c>
      <c r="BH48">
        <f>$C48*BH47</f>
        <v/>
      </c>
      <c r="BI48">
        <f>$C48*BI47</f>
        <v/>
      </c>
      <c r="BJ48">
        <f>$C48*BJ47</f>
        <v/>
      </c>
      <c r="BK48">
        <f>$C48*BK47</f>
        <v/>
      </c>
      <c r="BL48">
        <f>$C48*BL47</f>
        <v/>
      </c>
      <c r="BM48">
        <f>$C48*BM47</f>
        <v/>
      </c>
      <c r="BN48">
        <f>$C48*BN47</f>
        <v/>
      </c>
      <c r="BO48">
        <f>$C48*BO47</f>
        <v/>
      </c>
      <c r="BP48">
        <f>$C48*BP47</f>
        <v/>
      </c>
      <c r="BQ48">
        <f>$C48*BQ47</f>
        <v/>
      </c>
      <c r="BR48">
        <f>$C48*BR47</f>
        <v/>
      </c>
      <c r="BS48">
        <f>$C48*BS47</f>
        <v/>
      </c>
      <c r="BT48">
        <f>$C48*BT47</f>
        <v/>
      </c>
      <c r="BU48">
        <f>$C48*BU47</f>
        <v/>
      </c>
      <c r="BV48">
        <f>$C48*BV47</f>
        <v/>
      </c>
      <c r="BW48">
        <f>$C48*BW47</f>
        <v/>
      </c>
      <c r="BX48">
        <f>$C48*BX47</f>
        <v/>
      </c>
      <c r="BY48">
        <f>$C48*BY47</f>
        <v/>
      </c>
      <c r="BZ48">
        <f>$C48*BZ47</f>
        <v/>
      </c>
      <c r="CA48">
        <f>$C48*CA47</f>
        <v/>
      </c>
      <c r="CB48">
        <f>$C48*CB47</f>
        <v/>
      </c>
      <c r="CC48">
        <f>$C48*CC47</f>
        <v/>
      </c>
      <c r="CD48">
        <f>$C48*CD47</f>
        <v/>
      </c>
      <c r="CE48">
        <f>$C48*CE47</f>
        <v/>
      </c>
      <c r="CF48">
        <f>$C48*CF47</f>
        <v/>
      </c>
      <c r="CG48">
        <f>$C48*CG47</f>
        <v/>
      </c>
      <c r="CH48">
        <f>$C48*CH47</f>
        <v/>
      </c>
      <c r="CI48">
        <f>$C48*CI47</f>
        <v/>
      </c>
      <c r="CJ48">
        <f>$C48*CJ47</f>
        <v/>
      </c>
      <c r="CK48">
        <f>$C48*CK47</f>
        <v/>
      </c>
      <c r="CL48">
        <f>$C48*CL47</f>
        <v/>
      </c>
      <c r="CM48">
        <f>$C48*CM47</f>
        <v/>
      </c>
      <c r="CN48">
        <f>$C48*CN47</f>
        <v/>
      </c>
      <c r="CO48">
        <f>$C48*CO47</f>
        <v/>
      </c>
      <c r="CP48">
        <f>$C48*CP47</f>
        <v/>
      </c>
      <c r="CQ48">
        <f>$C48*CQ47</f>
        <v/>
      </c>
      <c r="CR48">
        <f>$C48*CR47</f>
        <v/>
      </c>
      <c r="CS48">
        <f>$C48*CS47</f>
        <v/>
      </c>
      <c r="CT48">
        <f>$C48*CT47</f>
        <v/>
      </c>
      <c r="CU48">
        <f>$C48*CU47</f>
        <v/>
      </c>
      <c r="CV48">
        <f>$C48*CV47</f>
        <v/>
      </c>
      <c r="CW48">
        <f>$C48*CW47</f>
        <v/>
      </c>
      <c r="CX48">
        <f>$C48*CX47</f>
        <v/>
      </c>
      <c r="CY48">
        <f>$C48*CY47</f>
        <v/>
      </c>
      <c r="CZ48">
        <f>$C48*CZ47</f>
        <v/>
      </c>
      <c r="DA48">
        <f>$C48*DA47</f>
        <v/>
      </c>
      <c r="DB48">
        <f>$C48*DB47</f>
        <v/>
      </c>
      <c r="DC48">
        <f>$C48*DC47</f>
        <v/>
      </c>
      <c r="DD48">
        <f>$C48*DD47</f>
        <v/>
      </c>
    </row>
    <row r="49">
      <c r="B49" t="inlineStr">
        <is>
          <t>TSP-206</t>
        </is>
      </c>
      <c r="C49" t="inlineStr">
        <is>
          <t>No. of batches</t>
        </is>
      </c>
      <c r="D49">
        <f>IFERROR(INDEX(E49:DD49,$F$1),"")</f>
        <v/>
      </c>
      <c r="E49">
        <f>IFERROR(INDEX(PP_Grid[#Data],$DE49,2),0)</f>
        <v/>
      </c>
      <c r="F49">
        <f>IFERROR(INDEX(PP_Grid[#Data],$DE49,3),0)</f>
        <v/>
      </c>
      <c r="G49">
        <f>IFERROR(INDEX(PP_Grid[#Data],$DE49,4),0)</f>
        <v/>
      </c>
      <c r="H49">
        <f>IFERROR(INDEX(PP_Grid[#Data],$DE49,5),0)</f>
        <v/>
      </c>
      <c r="I49">
        <f>IFERROR(INDEX(PP_Grid[#Data],$DE49,6),0)</f>
        <v/>
      </c>
      <c r="J49">
        <f>IFERROR(INDEX(PP_Grid[#Data],$DE49,7),0)</f>
        <v/>
      </c>
      <c r="K49">
        <f>IFERROR(INDEX(PP_Grid[#Data],$DE49,8),0)</f>
        <v/>
      </c>
      <c r="L49">
        <f>IFERROR(INDEX(PP_Grid[#Data],$DE49,9),0)</f>
        <v/>
      </c>
      <c r="M49">
        <f>IFERROR(INDEX(PP_Grid[#Data],$DE49,10),0)</f>
        <v/>
      </c>
      <c r="N49">
        <f>IFERROR(INDEX(PP_Grid[#Data],$DE49,11),0)</f>
        <v/>
      </c>
      <c r="O49">
        <f>IFERROR(INDEX(PP_Grid[#Data],$DE49,12),0)</f>
        <v/>
      </c>
      <c r="P49">
        <f>IFERROR(INDEX(PP_Grid[#Data],$DE49,13),0)</f>
        <v/>
      </c>
      <c r="Q49">
        <f>IFERROR(INDEX(PP_Grid[#Data],$DE49,14),0)</f>
        <v/>
      </c>
      <c r="R49">
        <f>IFERROR(INDEX(PP_Grid[#Data],$DE49,15),0)</f>
        <v/>
      </c>
      <c r="S49">
        <f>IFERROR(INDEX(PP_Grid[#Data],$DE49,16),0)</f>
        <v/>
      </c>
      <c r="T49">
        <f>IFERROR(INDEX(PP_Grid[#Data],$DE49,17),0)</f>
        <v/>
      </c>
      <c r="U49">
        <f>IFERROR(INDEX(PP_Grid[#Data],$DE49,18),0)</f>
        <v/>
      </c>
      <c r="V49">
        <f>IFERROR(INDEX(PP_Grid[#Data],$DE49,19),0)</f>
        <v/>
      </c>
      <c r="W49">
        <f>IFERROR(INDEX(PP_Grid[#Data],$DE49,20),0)</f>
        <v/>
      </c>
      <c r="X49">
        <f>IFERROR(INDEX(PP_Grid[#Data],$DE49,21),0)</f>
        <v/>
      </c>
      <c r="Y49">
        <f>IFERROR(INDEX(PP_Grid[#Data],$DE49,22),0)</f>
        <v/>
      </c>
      <c r="Z49">
        <f>IFERROR(INDEX(PP_Grid[#Data],$DE49,23),0)</f>
        <v/>
      </c>
      <c r="AA49">
        <f>IFERROR(INDEX(PP_Grid[#Data],$DE49,24),0)</f>
        <v/>
      </c>
      <c r="AB49">
        <f>IFERROR(INDEX(PP_Grid[#Data],$DE49,25),0)</f>
        <v/>
      </c>
      <c r="AC49">
        <f>IFERROR(INDEX(PP_Grid[#Data],$DE49,26),0)</f>
        <v/>
      </c>
      <c r="AD49">
        <f>IFERROR(INDEX(PP_Grid[#Data],$DE49,27),0)</f>
        <v/>
      </c>
      <c r="AE49">
        <f>IFERROR(INDEX(PP_Grid[#Data],$DE49,28),0)</f>
        <v/>
      </c>
      <c r="AF49">
        <f>IFERROR(INDEX(PP_Grid[#Data],$DE49,29),0)</f>
        <v/>
      </c>
      <c r="AG49">
        <f>IFERROR(INDEX(PP_Grid[#Data],$DE49,30),0)</f>
        <v/>
      </c>
      <c r="AH49">
        <f>IFERROR(INDEX(PP_Grid[#Data],$DE49,31),0)</f>
        <v/>
      </c>
      <c r="AI49">
        <f>IFERROR(INDEX(PP_Grid[#Data],$DE49,32),0)</f>
        <v/>
      </c>
      <c r="AJ49">
        <f>IFERROR(INDEX(PP_Grid[#Data],$DE49,33),0)</f>
        <v/>
      </c>
      <c r="AK49">
        <f>IFERROR(INDEX(PP_Grid[#Data],$DE49,34),0)</f>
        <v/>
      </c>
      <c r="AL49">
        <f>IFERROR(INDEX(PP_Grid[#Data],$DE49,35),0)</f>
        <v/>
      </c>
      <c r="AM49">
        <f>IFERROR(INDEX(PP_Grid[#Data],$DE49,36),0)</f>
        <v/>
      </c>
      <c r="AN49">
        <f>IFERROR(INDEX(PP_Grid[#Data],$DE49,37),0)</f>
        <v/>
      </c>
      <c r="AO49">
        <f>IFERROR(INDEX(PP_Grid[#Data],$DE49,38),0)</f>
        <v/>
      </c>
      <c r="AP49">
        <f>IFERROR(INDEX(PP_Grid[#Data],$DE49,39),0)</f>
        <v/>
      </c>
      <c r="AQ49">
        <f>IFERROR(INDEX(PP_Grid[#Data],$DE49,40),0)</f>
        <v/>
      </c>
      <c r="AR49">
        <f>IFERROR(INDEX(PP_Grid[#Data],$DE49,41),0)</f>
        <v/>
      </c>
      <c r="AS49">
        <f>IFERROR(INDEX(PP_Grid[#Data],$DE49,42),0)</f>
        <v/>
      </c>
      <c r="AT49">
        <f>IFERROR(INDEX(PP_Grid[#Data],$DE49,43),0)</f>
        <v/>
      </c>
      <c r="AU49">
        <f>IFERROR(INDEX(PP_Grid[#Data],$DE49,44),0)</f>
        <v/>
      </c>
      <c r="AV49">
        <f>IFERROR(INDEX(PP_Grid[#Data],$DE49,45),0)</f>
        <v/>
      </c>
      <c r="AW49">
        <f>IFERROR(INDEX(PP_Grid[#Data],$DE49,46),0)</f>
        <v/>
      </c>
      <c r="AX49">
        <f>IFERROR(INDEX(PP_Grid[#Data],$DE49,47),0)</f>
        <v/>
      </c>
      <c r="AY49">
        <f>IFERROR(INDEX(PP_Grid[#Data],$DE49,48),0)</f>
        <v/>
      </c>
      <c r="AZ49">
        <f>IFERROR(INDEX(PP_Grid[#Data],$DE49,49),0)</f>
        <v/>
      </c>
      <c r="BA49">
        <f>IFERROR(INDEX(PP_Grid[#Data],$DE49,50),0)</f>
        <v/>
      </c>
      <c r="BB49">
        <f>IFERROR(INDEX(PP_Grid[#Data],$DE49,51),0)</f>
        <v/>
      </c>
      <c r="BC49">
        <f>IFERROR(INDEX(PP_Grid[#Data],$DE49,52),0)</f>
        <v/>
      </c>
      <c r="BD49">
        <f>IFERROR(INDEX(PP_Grid[#Data],$DE49,53),0)</f>
        <v/>
      </c>
      <c r="BE49">
        <f>IFERROR(INDEX(PP_Grid[#Data],$DE49,54),0)</f>
        <v/>
      </c>
      <c r="BF49">
        <f>IFERROR(INDEX(PP_Grid[#Data],$DE49,55),0)</f>
        <v/>
      </c>
      <c r="BG49">
        <f>IFERROR(INDEX(PP_Grid[#Data],$DE49,56),0)</f>
        <v/>
      </c>
      <c r="BH49">
        <f>IFERROR(INDEX(PP_Grid[#Data],$DE49,57),0)</f>
        <v/>
      </c>
      <c r="BI49">
        <f>IFERROR(INDEX(PP_Grid[#Data],$DE49,58),0)</f>
        <v/>
      </c>
      <c r="BJ49">
        <f>IFERROR(INDEX(PP_Grid[#Data],$DE49,59),0)</f>
        <v/>
      </c>
      <c r="BK49">
        <f>IFERROR(INDEX(PP_Grid[#Data],$DE49,60),0)</f>
        <v/>
      </c>
      <c r="BL49">
        <f>IFERROR(INDEX(PP_Grid[#Data],$DE49,61),0)</f>
        <v/>
      </c>
      <c r="BM49">
        <f>IFERROR(INDEX(PP_Grid[#Data],$DE49,62),0)</f>
        <v/>
      </c>
      <c r="BN49">
        <f>IFERROR(INDEX(PP_Grid[#Data],$DE49,63),0)</f>
        <v/>
      </c>
      <c r="BO49">
        <f>IFERROR(INDEX(PP_Grid[#Data],$DE49,64),0)</f>
        <v/>
      </c>
      <c r="BP49">
        <f>IFERROR(INDEX(PP_Grid[#Data],$DE49,65),0)</f>
        <v/>
      </c>
      <c r="BQ49">
        <f>IFERROR(INDEX(PP_Grid[#Data],$DE49,66),0)</f>
        <v/>
      </c>
      <c r="BR49">
        <f>IFERROR(INDEX(PP_Grid[#Data],$DE49,67),0)</f>
        <v/>
      </c>
      <c r="BS49">
        <f>IFERROR(INDEX(PP_Grid[#Data],$DE49,68),0)</f>
        <v/>
      </c>
      <c r="BT49">
        <f>IFERROR(INDEX(PP_Grid[#Data],$DE49,69),0)</f>
        <v/>
      </c>
      <c r="BU49">
        <f>IFERROR(INDEX(PP_Grid[#Data],$DE49,70),0)</f>
        <v/>
      </c>
      <c r="BV49">
        <f>IFERROR(INDEX(PP_Grid[#Data],$DE49,71),0)</f>
        <v/>
      </c>
      <c r="BW49">
        <f>IFERROR(INDEX(PP_Grid[#Data],$DE49,72),0)</f>
        <v/>
      </c>
      <c r="BX49">
        <f>IFERROR(INDEX(PP_Grid[#Data],$DE49,73),0)</f>
        <v/>
      </c>
      <c r="BY49">
        <f>IFERROR(INDEX(PP_Grid[#Data],$DE49,74),0)</f>
        <v/>
      </c>
      <c r="BZ49">
        <f>IFERROR(INDEX(PP_Grid[#Data],$DE49,75),0)</f>
        <v/>
      </c>
      <c r="CA49">
        <f>IFERROR(INDEX(PP_Grid[#Data],$DE49,76),0)</f>
        <v/>
      </c>
      <c r="CB49">
        <f>IFERROR(INDEX(PP_Grid[#Data],$DE49,77),0)</f>
        <v/>
      </c>
      <c r="CC49">
        <f>IFERROR(INDEX(PP_Grid[#Data],$DE49,78),0)</f>
        <v/>
      </c>
      <c r="CD49">
        <f>IFERROR(INDEX(PP_Grid[#Data],$DE49,79),0)</f>
        <v/>
      </c>
      <c r="CE49">
        <f>IFERROR(INDEX(PP_Grid[#Data],$DE49,80),0)</f>
        <v/>
      </c>
      <c r="CF49">
        <f>IFERROR(INDEX(PP_Grid[#Data],$DE49,81),0)</f>
        <v/>
      </c>
      <c r="CG49">
        <f>IFERROR(INDEX(PP_Grid[#Data],$DE49,82),0)</f>
        <v/>
      </c>
      <c r="CH49">
        <f>IFERROR(INDEX(PP_Grid[#Data],$DE49,83),0)</f>
        <v/>
      </c>
      <c r="CI49">
        <f>IFERROR(INDEX(PP_Grid[#Data],$DE49,84),0)</f>
        <v/>
      </c>
      <c r="CJ49">
        <f>IFERROR(INDEX(PP_Grid[#Data],$DE49,85),0)</f>
        <v/>
      </c>
      <c r="CK49">
        <f>IFERROR(INDEX(PP_Grid[#Data],$DE49,86),0)</f>
        <v/>
      </c>
      <c r="CL49">
        <f>IFERROR(INDEX(PP_Grid[#Data],$DE49,87),0)</f>
        <v/>
      </c>
      <c r="CM49">
        <f>IFERROR(INDEX(PP_Grid[#Data],$DE49,88),0)</f>
        <v/>
      </c>
      <c r="CN49">
        <f>IFERROR(INDEX(PP_Grid[#Data],$DE49,89),0)</f>
        <v/>
      </c>
      <c r="CO49">
        <f>IFERROR(INDEX(PP_Grid[#Data],$DE49,90),0)</f>
        <v/>
      </c>
      <c r="CP49">
        <f>IFERROR(INDEX(PP_Grid[#Data],$DE49,91),0)</f>
        <v/>
      </c>
      <c r="CQ49">
        <f>IFERROR(INDEX(PP_Grid[#Data],$DE49,92),0)</f>
        <v/>
      </c>
      <c r="CR49">
        <f>IFERROR(INDEX(PP_Grid[#Data],$DE49,93),0)</f>
        <v/>
      </c>
      <c r="CS49">
        <f>IFERROR(INDEX(PP_Grid[#Data],$DE49,94),0)</f>
        <v/>
      </c>
      <c r="CT49">
        <f>IFERROR(INDEX(PP_Grid[#Data],$DE49,95),0)</f>
        <v/>
      </c>
      <c r="CU49">
        <f>IFERROR(INDEX(PP_Grid[#Data],$DE49,96),0)</f>
        <v/>
      </c>
      <c r="CV49">
        <f>IFERROR(INDEX(PP_Grid[#Data],$DE49,97),0)</f>
        <v/>
      </c>
      <c r="CW49">
        <f>IFERROR(INDEX(PP_Grid[#Data],$DE49,98),0)</f>
        <v/>
      </c>
      <c r="CX49">
        <f>IFERROR(INDEX(PP_Grid[#Data],$DE49,99),0)</f>
        <v/>
      </c>
      <c r="CY49">
        <f>IFERROR(INDEX(PP_Grid[#Data],$DE49,100),0)</f>
        <v/>
      </c>
      <c r="CZ49">
        <f>IFERROR(INDEX(PP_Grid[#Data],$DE49,101),0)</f>
        <v/>
      </c>
      <c r="DA49">
        <f>IFERROR(INDEX(PP_Grid[#Data],$DE49,102),0)</f>
        <v/>
      </c>
      <c r="DB49">
        <f>IFERROR(INDEX(PP_Grid[#Data],$DE49,103),0)</f>
        <v/>
      </c>
      <c r="DC49">
        <f>IFERROR(INDEX(PP_Grid[#Data],$DE49,104),0)</f>
        <v/>
      </c>
      <c r="DD49">
        <f>IFERROR(INDEX(PP_Grid[#Data],$DE49,105),0)</f>
        <v/>
      </c>
      <c r="DE49" s="7">
        <f>IFERROR(MATCH($B49,PP_Grid[Intermediate],0),99999)</f>
        <v/>
      </c>
    </row>
    <row r="50">
      <c r="B50" t="inlineStr">
        <is>
          <t>使用量(kg)</t>
        </is>
      </c>
      <c r="C50">
        <f>SUMIFS(M_BOM[RM_Qty_Per_Batch],M_BOM[Intermediate],$B49,M_BOM[RM_Code],$A28)</f>
        <v/>
      </c>
      <c r="D50">
        <f>IFERROR(INDEX(E50:DD50,$F$1),"")</f>
        <v/>
      </c>
      <c r="E50">
        <f>$C50*E49</f>
        <v/>
      </c>
      <c r="F50">
        <f>$C50*F49</f>
        <v/>
      </c>
      <c r="G50">
        <f>$C50*G49</f>
        <v/>
      </c>
      <c r="H50">
        <f>$C50*H49</f>
        <v/>
      </c>
      <c r="I50">
        <f>$C50*I49</f>
        <v/>
      </c>
      <c r="J50">
        <f>$C50*J49</f>
        <v/>
      </c>
      <c r="K50">
        <f>$C50*K49</f>
        <v/>
      </c>
      <c r="L50">
        <f>$C50*L49</f>
        <v/>
      </c>
      <c r="M50">
        <f>$C50*M49</f>
        <v/>
      </c>
      <c r="N50">
        <f>$C50*N49</f>
        <v/>
      </c>
      <c r="O50">
        <f>$C50*O49</f>
        <v/>
      </c>
      <c r="P50">
        <f>$C50*P49</f>
        <v/>
      </c>
      <c r="Q50">
        <f>$C50*Q49</f>
        <v/>
      </c>
      <c r="R50">
        <f>$C50*R49</f>
        <v/>
      </c>
      <c r="S50">
        <f>$C50*S49</f>
        <v/>
      </c>
      <c r="T50">
        <f>$C50*T49</f>
        <v/>
      </c>
      <c r="U50">
        <f>$C50*U49</f>
        <v/>
      </c>
      <c r="V50">
        <f>$C50*V49</f>
        <v/>
      </c>
      <c r="W50">
        <f>$C50*W49</f>
        <v/>
      </c>
      <c r="X50">
        <f>$C50*X49</f>
        <v/>
      </c>
      <c r="Y50">
        <f>$C50*Y49</f>
        <v/>
      </c>
      <c r="Z50">
        <f>$C50*Z49</f>
        <v/>
      </c>
      <c r="AA50">
        <f>$C50*AA49</f>
        <v/>
      </c>
      <c r="AB50">
        <f>$C50*AB49</f>
        <v/>
      </c>
      <c r="AC50">
        <f>$C50*AC49</f>
        <v/>
      </c>
      <c r="AD50">
        <f>$C50*AD49</f>
        <v/>
      </c>
      <c r="AE50">
        <f>$C50*AE49</f>
        <v/>
      </c>
      <c r="AF50">
        <f>$C50*AF49</f>
        <v/>
      </c>
      <c r="AG50">
        <f>$C50*AG49</f>
        <v/>
      </c>
      <c r="AH50">
        <f>$C50*AH49</f>
        <v/>
      </c>
      <c r="AI50">
        <f>$C50*AI49</f>
        <v/>
      </c>
      <c r="AJ50">
        <f>$C50*AJ49</f>
        <v/>
      </c>
      <c r="AK50">
        <f>$C50*AK49</f>
        <v/>
      </c>
      <c r="AL50">
        <f>$C50*AL49</f>
        <v/>
      </c>
      <c r="AM50">
        <f>$C50*AM49</f>
        <v/>
      </c>
      <c r="AN50">
        <f>$C50*AN49</f>
        <v/>
      </c>
      <c r="AO50">
        <f>$C50*AO49</f>
        <v/>
      </c>
      <c r="AP50">
        <f>$C50*AP49</f>
        <v/>
      </c>
      <c r="AQ50">
        <f>$C50*AQ49</f>
        <v/>
      </c>
      <c r="AR50">
        <f>$C50*AR49</f>
        <v/>
      </c>
      <c r="AS50">
        <f>$C50*AS49</f>
        <v/>
      </c>
      <c r="AT50">
        <f>$C50*AT49</f>
        <v/>
      </c>
      <c r="AU50">
        <f>$C50*AU49</f>
        <v/>
      </c>
      <c r="AV50">
        <f>$C50*AV49</f>
        <v/>
      </c>
      <c r="AW50">
        <f>$C50*AW49</f>
        <v/>
      </c>
      <c r="AX50">
        <f>$C50*AX49</f>
        <v/>
      </c>
      <c r="AY50">
        <f>$C50*AY49</f>
        <v/>
      </c>
      <c r="AZ50">
        <f>$C50*AZ49</f>
        <v/>
      </c>
      <c r="BA50">
        <f>$C50*BA49</f>
        <v/>
      </c>
      <c r="BB50">
        <f>$C50*BB49</f>
        <v/>
      </c>
      <c r="BC50">
        <f>$C50*BC49</f>
        <v/>
      </c>
      <c r="BD50">
        <f>$C50*BD49</f>
        <v/>
      </c>
      <c r="BE50">
        <f>$C50*BE49</f>
        <v/>
      </c>
      <c r="BF50">
        <f>$C50*BF49</f>
        <v/>
      </c>
      <c r="BG50">
        <f>$C50*BG49</f>
        <v/>
      </c>
      <c r="BH50">
        <f>$C50*BH49</f>
        <v/>
      </c>
      <c r="BI50">
        <f>$C50*BI49</f>
        <v/>
      </c>
      <c r="BJ50">
        <f>$C50*BJ49</f>
        <v/>
      </c>
      <c r="BK50">
        <f>$C50*BK49</f>
        <v/>
      </c>
      <c r="BL50">
        <f>$C50*BL49</f>
        <v/>
      </c>
      <c r="BM50">
        <f>$C50*BM49</f>
        <v/>
      </c>
      <c r="BN50">
        <f>$C50*BN49</f>
        <v/>
      </c>
      <c r="BO50">
        <f>$C50*BO49</f>
        <v/>
      </c>
      <c r="BP50">
        <f>$C50*BP49</f>
        <v/>
      </c>
      <c r="BQ50">
        <f>$C50*BQ49</f>
        <v/>
      </c>
      <c r="BR50">
        <f>$C50*BR49</f>
        <v/>
      </c>
      <c r="BS50">
        <f>$C50*BS49</f>
        <v/>
      </c>
      <c r="BT50">
        <f>$C50*BT49</f>
        <v/>
      </c>
      <c r="BU50">
        <f>$C50*BU49</f>
        <v/>
      </c>
      <c r="BV50">
        <f>$C50*BV49</f>
        <v/>
      </c>
      <c r="BW50">
        <f>$C50*BW49</f>
        <v/>
      </c>
      <c r="BX50">
        <f>$C50*BX49</f>
        <v/>
      </c>
      <c r="BY50">
        <f>$C50*BY49</f>
        <v/>
      </c>
      <c r="BZ50">
        <f>$C50*BZ49</f>
        <v/>
      </c>
      <c r="CA50">
        <f>$C50*CA49</f>
        <v/>
      </c>
      <c r="CB50">
        <f>$C50*CB49</f>
        <v/>
      </c>
      <c r="CC50">
        <f>$C50*CC49</f>
        <v/>
      </c>
      <c r="CD50">
        <f>$C50*CD49</f>
        <v/>
      </c>
      <c r="CE50">
        <f>$C50*CE49</f>
        <v/>
      </c>
      <c r="CF50">
        <f>$C50*CF49</f>
        <v/>
      </c>
      <c r="CG50">
        <f>$C50*CG49</f>
        <v/>
      </c>
      <c r="CH50">
        <f>$C50*CH49</f>
        <v/>
      </c>
      <c r="CI50">
        <f>$C50*CI49</f>
        <v/>
      </c>
      <c r="CJ50">
        <f>$C50*CJ49</f>
        <v/>
      </c>
      <c r="CK50">
        <f>$C50*CK49</f>
        <v/>
      </c>
      <c r="CL50">
        <f>$C50*CL49</f>
        <v/>
      </c>
      <c r="CM50">
        <f>$C50*CM49</f>
        <v/>
      </c>
      <c r="CN50">
        <f>$C50*CN49</f>
        <v/>
      </c>
      <c r="CO50">
        <f>$C50*CO49</f>
        <v/>
      </c>
      <c r="CP50">
        <f>$C50*CP49</f>
        <v/>
      </c>
      <c r="CQ50">
        <f>$C50*CQ49</f>
        <v/>
      </c>
      <c r="CR50">
        <f>$C50*CR49</f>
        <v/>
      </c>
      <c r="CS50">
        <f>$C50*CS49</f>
        <v/>
      </c>
      <c r="CT50">
        <f>$C50*CT49</f>
        <v/>
      </c>
      <c r="CU50">
        <f>$C50*CU49</f>
        <v/>
      </c>
      <c r="CV50">
        <f>$C50*CV49</f>
        <v/>
      </c>
      <c r="CW50">
        <f>$C50*CW49</f>
        <v/>
      </c>
      <c r="CX50">
        <f>$C50*CX49</f>
        <v/>
      </c>
      <c r="CY50">
        <f>$C50*CY49</f>
        <v/>
      </c>
      <c r="CZ50">
        <f>$C50*CZ49</f>
        <v/>
      </c>
      <c r="DA50">
        <f>$C50*DA49</f>
        <v/>
      </c>
      <c r="DB50">
        <f>$C50*DB49</f>
        <v/>
      </c>
      <c r="DC50">
        <f>$C50*DC49</f>
        <v/>
      </c>
      <c r="DD50">
        <f>$C50*DD49</f>
        <v/>
      </c>
    </row>
    <row r="51">
      <c r="B51" t="inlineStr">
        <is>
          <t>TSP-219</t>
        </is>
      </c>
      <c r="C51" t="inlineStr">
        <is>
          <t>No. of batches</t>
        </is>
      </c>
      <c r="D51">
        <f>IFERROR(INDEX(E51:DD51,$F$1),"")</f>
        <v/>
      </c>
      <c r="E51">
        <f>IFERROR(INDEX(PP_Grid[#Data],$DE51,2),0)</f>
        <v/>
      </c>
      <c r="F51">
        <f>IFERROR(INDEX(PP_Grid[#Data],$DE51,3),0)</f>
        <v/>
      </c>
      <c r="G51">
        <f>IFERROR(INDEX(PP_Grid[#Data],$DE51,4),0)</f>
        <v/>
      </c>
      <c r="H51">
        <f>IFERROR(INDEX(PP_Grid[#Data],$DE51,5),0)</f>
        <v/>
      </c>
      <c r="I51">
        <f>IFERROR(INDEX(PP_Grid[#Data],$DE51,6),0)</f>
        <v/>
      </c>
      <c r="J51">
        <f>IFERROR(INDEX(PP_Grid[#Data],$DE51,7),0)</f>
        <v/>
      </c>
      <c r="K51">
        <f>IFERROR(INDEX(PP_Grid[#Data],$DE51,8),0)</f>
        <v/>
      </c>
      <c r="L51">
        <f>IFERROR(INDEX(PP_Grid[#Data],$DE51,9),0)</f>
        <v/>
      </c>
      <c r="M51">
        <f>IFERROR(INDEX(PP_Grid[#Data],$DE51,10),0)</f>
        <v/>
      </c>
      <c r="N51">
        <f>IFERROR(INDEX(PP_Grid[#Data],$DE51,11),0)</f>
        <v/>
      </c>
      <c r="O51">
        <f>IFERROR(INDEX(PP_Grid[#Data],$DE51,12),0)</f>
        <v/>
      </c>
      <c r="P51">
        <f>IFERROR(INDEX(PP_Grid[#Data],$DE51,13),0)</f>
        <v/>
      </c>
      <c r="Q51">
        <f>IFERROR(INDEX(PP_Grid[#Data],$DE51,14),0)</f>
        <v/>
      </c>
      <c r="R51">
        <f>IFERROR(INDEX(PP_Grid[#Data],$DE51,15),0)</f>
        <v/>
      </c>
      <c r="S51">
        <f>IFERROR(INDEX(PP_Grid[#Data],$DE51,16),0)</f>
        <v/>
      </c>
      <c r="T51">
        <f>IFERROR(INDEX(PP_Grid[#Data],$DE51,17),0)</f>
        <v/>
      </c>
      <c r="U51">
        <f>IFERROR(INDEX(PP_Grid[#Data],$DE51,18),0)</f>
        <v/>
      </c>
      <c r="V51">
        <f>IFERROR(INDEX(PP_Grid[#Data],$DE51,19),0)</f>
        <v/>
      </c>
      <c r="W51">
        <f>IFERROR(INDEX(PP_Grid[#Data],$DE51,20),0)</f>
        <v/>
      </c>
      <c r="X51">
        <f>IFERROR(INDEX(PP_Grid[#Data],$DE51,21),0)</f>
        <v/>
      </c>
      <c r="Y51">
        <f>IFERROR(INDEX(PP_Grid[#Data],$DE51,22),0)</f>
        <v/>
      </c>
      <c r="Z51">
        <f>IFERROR(INDEX(PP_Grid[#Data],$DE51,23),0)</f>
        <v/>
      </c>
      <c r="AA51">
        <f>IFERROR(INDEX(PP_Grid[#Data],$DE51,24),0)</f>
        <v/>
      </c>
      <c r="AB51">
        <f>IFERROR(INDEX(PP_Grid[#Data],$DE51,25),0)</f>
        <v/>
      </c>
      <c r="AC51">
        <f>IFERROR(INDEX(PP_Grid[#Data],$DE51,26),0)</f>
        <v/>
      </c>
      <c r="AD51">
        <f>IFERROR(INDEX(PP_Grid[#Data],$DE51,27),0)</f>
        <v/>
      </c>
      <c r="AE51">
        <f>IFERROR(INDEX(PP_Grid[#Data],$DE51,28),0)</f>
        <v/>
      </c>
      <c r="AF51">
        <f>IFERROR(INDEX(PP_Grid[#Data],$DE51,29),0)</f>
        <v/>
      </c>
      <c r="AG51">
        <f>IFERROR(INDEX(PP_Grid[#Data],$DE51,30),0)</f>
        <v/>
      </c>
      <c r="AH51">
        <f>IFERROR(INDEX(PP_Grid[#Data],$DE51,31),0)</f>
        <v/>
      </c>
      <c r="AI51">
        <f>IFERROR(INDEX(PP_Grid[#Data],$DE51,32),0)</f>
        <v/>
      </c>
      <c r="AJ51">
        <f>IFERROR(INDEX(PP_Grid[#Data],$DE51,33),0)</f>
        <v/>
      </c>
      <c r="AK51">
        <f>IFERROR(INDEX(PP_Grid[#Data],$DE51,34),0)</f>
        <v/>
      </c>
      <c r="AL51">
        <f>IFERROR(INDEX(PP_Grid[#Data],$DE51,35),0)</f>
        <v/>
      </c>
      <c r="AM51">
        <f>IFERROR(INDEX(PP_Grid[#Data],$DE51,36),0)</f>
        <v/>
      </c>
      <c r="AN51">
        <f>IFERROR(INDEX(PP_Grid[#Data],$DE51,37),0)</f>
        <v/>
      </c>
      <c r="AO51">
        <f>IFERROR(INDEX(PP_Grid[#Data],$DE51,38),0)</f>
        <v/>
      </c>
      <c r="AP51">
        <f>IFERROR(INDEX(PP_Grid[#Data],$DE51,39),0)</f>
        <v/>
      </c>
      <c r="AQ51">
        <f>IFERROR(INDEX(PP_Grid[#Data],$DE51,40),0)</f>
        <v/>
      </c>
      <c r="AR51">
        <f>IFERROR(INDEX(PP_Grid[#Data],$DE51,41),0)</f>
        <v/>
      </c>
      <c r="AS51">
        <f>IFERROR(INDEX(PP_Grid[#Data],$DE51,42),0)</f>
        <v/>
      </c>
      <c r="AT51">
        <f>IFERROR(INDEX(PP_Grid[#Data],$DE51,43),0)</f>
        <v/>
      </c>
      <c r="AU51">
        <f>IFERROR(INDEX(PP_Grid[#Data],$DE51,44),0)</f>
        <v/>
      </c>
      <c r="AV51">
        <f>IFERROR(INDEX(PP_Grid[#Data],$DE51,45),0)</f>
        <v/>
      </c>
      <c r="AW51">
        <f>IFERROR(INDEX(PP_Grid[#Data],$DE51,46),0)</f>
        <v/>
      </c>
      <c r="AX51">
        <f>IFERROR(INDEX(PP_Grid[#Data],$DE51,47),0)</f>
        <v/>
      </c>
      <c r="AY51">
        <f>IFERROR(INDEX(PP_Grid[#Data],$DE51,48),0)</f>
        <v/>
      </c>
      <c r="AZ51">
        <f>IFERROR(INDEX(PP_Grid[#Data],$DE51,49),0)</f>
        <v/>
      </c>
      <c r="BA51">
        <f>IFERROR(INDEX(PP_Grid[#Data],$DE51,50),0)</f>
        <v/>
      </c>
      <c r="BB51">
        <f>IFERROR(INDEX(PP_Grid[#Data],$DE51,51),0)</f>
        <v/>
      </c>
      <c r="BC51">
        <f>IFERROR(INDEX(PP_Grid[#Data],$DE51,52),0)</f>
        <v/>
      </c>
      <c r="BD51">
        <f>IFERROR(INDEX(PP_Grid[#Data],$DE51,53),0)</f>
        <v/>
      </c>
      <c r="BE51">
        <f>IFERROR(INDEX(PP_Grid[#Data],$DE51,54),0)</f>
        <v/>
      </c>
      <c r="BF51">
        <f>IFERROR(INDEX(PP_Grid[#Data],$DE51,55),0)</f>
        <v/>
      </c>
      <c r="BG51">
        <f>IFERROR(INDEX(PP_Grid[#Data],$DE51,56),0)</f>
        <v/>
      </c>
      <c r="BH51">
        <f>IFERROR(INDEX(PP_Grid[#Data],$DE51,57),0)</f>
        <v/>
      </c>
      <c r="BI51">
        <f>IFERROR(INDEX(PP_Grid[#Data],$DE51,58),0)</f>
        <v/>
      </c>
      <c r="BJ51">
        <f>IFERROR(INDEX(PP_Grid[#Data],$DE51,59),0)</f>
        <v/>
      </c>
      <c r="BK51">
        <f>IFERROR(INDEX(PP_Grid[#Data],$DE51,60),0)</f>
        <v/>
      </c>
      <c r="BL51">
        <f>IFERROR(INDEX(PP_Grid[#Data],$DE51,61),0)</f>
        <v/>
      </c>
      <c r="BM51">
        <f>IFERROR(INDEX(PP_Grid[#Data],$DE51,62),0)</f>
        <v/>
      </c>
      <c r="BN51">
        <f>IFERROR(INDEX(PP_Grid[#Data],$DE51,63),0)</f>
        <v/>
      </c>
      <c r="BO51">
        <f>IFERROR(INDEX(PP_Grid[#Data],$DE51,64),0)</f>
        <v/>
      </c>
      <c r="BP51">
        <f>IFERROR(INDEX(PP_Grid[#Data],$DE51,65),0)</f>
        <v/>
      </c>
      <c r="BQ51">
        <f>IFERROR(INDEX(PP_Grid[#Data],$DE51,66),0)</f>
        <v/>
      </c>
      <c r="BR51">
        <f>IFERROR(INDEX(PP_Grid[#Data],$DE51,67),0)</f>
        <v/>
      </c>
      <c r="BS51">
        <f>IFERROR(INDEX(PP_Grid[#Data],$DE51,68),0)</f>
        <v/>
      </c>
      <c r="BT51">
        <f>IFERROR(INDEX(PP_Grid[#Data],$DE51,69),0)</f>
        <v/>
      </c>
      <c r="BU51">
        <f>IFERROR(INDEX(PP_Grid[#Data],$DE51,70),0)</f>
        <v/>
      </c>
      <c r="BV51">
        <f>IFERROR(INDEX(PP_Grid[#Data],$DE51,71),0)</f>
        <v/>
      </c>
      <c r="BW51">
        <f>IFERROR(INDEX(PP_Grid[#Data],$DE51,72),0)</f>
        <v/>
      </c>
      <c r="BX51">
        <f>IFERROR(INDEX(PP_Grid[#Data],$DE51,73),0)</f>
        <v/>
      </c>
      <c r="BY51">
        <f>IFERROR(INDEX(PP_Grid[#Data],$DE51,74),0)</f>
        <v/>
      </c>
      <c r="BZ51">
        <f>IFERROR(INDEX(PP_Grid[#Data],$DE51,75),0)</f>
        <v/>
      </c>
      <c r="CA51">
        <f>IFERROR(INDEX(PP_Grid[#Data],$DE51,76),0)</f>
        <v/>
      </c>
      <c r="CB51">
        <f>IFERROR(INDEX(PP_Grid[#Data],$DE51,77),0)</f>
        <v/>
      </c>
      <c r="CC51">
        <f>IFERROR(INDEX(PP_Grid[#Data],$DE51,78),0)</f>
        <v/>
      </c>
      <c r="CD51">
        <f>IFERROR(INDEX(PP_Grid[#Data],$DE51,79),0)</f>
        <v/>
      </c>
      <c r="CE51">
        <f>IFERROR(INDEX(PP_Grid[#Data],$DE51,80),0)</f>
        <v/>
      </c>
      <c r="CF51">
        <f>IFERROR(INDEX(PP_Grid[#Data],$DE51,81),0)</f>
        <v/>
      </c>
      <c r="CG51">
        <f>IFERROR(INDEX(PP_Grid[#Data],$DE51,82),0)</f>
        <v/>
      </c>
      <c r="CH51">
        <f>IFERROR(INDEX(PP_Grid[#Data],$DE51,83),0)</f>
        <v/>
      </c>
      <c r="CI51">
        <f>IFERROR(INDEX(PP_Grid[#Data],$DE51,84),0)</f>
        <v/>
      </c>
      <c r="CJ51">
        <f>IFERROR(INDEX(PP_Grid[#Data],$DE51,85),0)</f>
        <v/>
      </c>
      <c r="CK51">
        <f>IFERROR(INDEX(PP_Grid[#Data],$DE51,86),0)</f>
        <v/>
      </c>
      <c r="CL51">
        <f>IFERROR(INDEX(PP_Grid[#Data],$DE51,87),0)</f>
        <v/>
      </c>
      <c r="CM51">
        <f>IFERROR(INDEX(PP_Grid[#Data],$DE51,88),0)</f>
        <v/>
      </c>
      <c r="CN51">
        <f>IFERROR(INDEX(PP_Grid[#Data],$DE51,89),0)</f>
        <v/>
      </c>
      <c r="CO51">
        <f>IFERROR(INDEX(PP_Grid[#Data],$DE51,90),0)</f>
        <v/>
      </c>
      <c r="CP51">
        <f>IFERROR(INDEX(PP_Grid[#Data],$DE51,91),0)</f>
        <v/>
      </c>
      <c r="CQ51">
        <f>IFERROR(INDEX(PP_Grid[#Data],$DE51,92),0)</f>
        <v/>
      </c>
      <c r="CR51">
        <f>IFERROR(INDEX(PP_Grid[#Data],$DE51,93),0)</f>
        <v/>
      </c>
      <c r="CS51">
        <f>IFERROR(INDEX(PP_Grid[#Data],$DE51,94),0)</f>
        <v/>
      </c>
      <c r="CT51">
        <f>IFERROR(INDEX(PP_Grid[#Data],$DE51,95),0)</f>
        <v/>
      </c>
      <c r="CU51">
        <f>IFERROR(INDEX(PP_Grid[#Data],$DE51,96),0)</f>
        <v/>
      </c>
      <c r="CV51">
        <f>IFERROR(INDEX(PP_Grid[#Data],$DE51,97),0)</f>
        <v/>
      </c>
      <c r="CW51">
        <f>IFERROR(INDEX(PP_Grid[#Data],$DE51,98),0)</f>
        <v/>
      </c>
      <c r="CX51">
        <f>IFERROR(INDEX(PP_Grid[#Data],$DE51,99),0)</f>
        <v/>
      </c>
      <c r="CY51">
        <f>IFERROR(INDEX(PP_Grid[#Data],$DE51,100),0)</f>
        <v/>
      </c>
      <c r="CZ51">
        <f>IFERROR(INDEX(PP_Grid[#Data],$DE51,101),0)</f>
        <v/>
      </c>
      <c r="DA51">
        <f>IFERROR(INDEX(PP_Grid[#Data],$DE51,102),0)</f>
        <v/>
      </c>
      <c r="DB51">
        <f>IFERROR(INDEX(PP_Grid[#Data],$DE51,103),0)</f>
        <v/>
      </c>
      <c r="DC51">
        <f>IFERROR(INDEX(PP_Grid[#Data],$DE51,104),0)</f>
        <v/>
      </c>
      <c r="DD51">
        <f>IFERROR(INDEX(PP_Grid[#Data],$DE51,105),0)</f>
        <v/>
      </c>
      <c r="DE51" s="7">
        <f>IFERROR(MATCH($B51,PP_Grid[Intermediate],0),99999)</f>
        <v/>
      </c>
    </row>
    <row r="52">
      <c r="B52" t="inlineStr">
        <is>
          <t>使用量(kg)</t>
        </is>
      </c>
      <c r="C52">
        <f>SUMIFS(M_BOM[RM_Qty_Per_Batch],M_BOM[Intermediate],$B51,M_BOM[RM_Code],$A28)</f>
        <v/>
      </c>
      <c r="D52">
        <f>IFERROR(INDEX(E52:DD52,$F$1),"")</f>
        <v/>
      </c>
      <c r="E52">
        <f>$C52*E51</f>
        <v/>
      </c>
      <c r="F52">
        <f>$C52*F51</f>
        <v/>
      </c>
      <c r="G52">
        <f>$C52*G51</f>
        <v/>
      </c>
      <c r="H52">
        <f>$C52*H51</f>
        <v/>
      </c>
      <c r="I52">
        <f>$C52*I51</f>
        <v/>
      </c>
      <c r="J52">
        <f>$C52*J51</f>
        <v/>
      </c>
      <c r="K52">
        <f>$C52*K51</f>
        <v/>
      </c>
      <c r="L52">
        <f>$C52*L51</f>
        <v/>
      </c>
      <c r="M52">
        <f>$C52*M51</f>
        <v/>
      </c>
      <c r="N52">
        <f>$C52*N51</f>
        <v/>
      </c>
      <c r="O52">
        <f>$C52*O51</f>
        <v/>
      </c>
      <c r="P52">
        <f>$C52*P51</f>
        <v/>
      </c>
      <c r="Q52">
        <f>$C52*Q51</f>
        <v/>
      </c>
      <c r="R52">
        <f>$C52*R51</f>
        <v/>
      </c>
      <c r="S52">
        <f>$C52*S51</f>
        <v/>
      </c>
      <c r="T52">
        <f>$C52*T51</f>
        <v/>
      </c>
      <c r="U52">
        <f>$C52*U51</f>
        <v/>
      </c>
      <c r="V52">
        <f>$C52*V51</f>
        <v/>
      </c>
      <c r="W52">
        <f>$C52*W51</f>
        <v/>
      </c>
      <c r="X52">
        <f>$C52*X51</f>
        <v/>
      </c>
      <c r="Y52">
        <f>$C52*Y51</f>
        <v/>
      </c>
      <c r="Z52">
        <f>$C52*Z51</f>
        <v/>
      </c>
      <c r="AA52">
        <f>$C52*AA51</f>
        <v/>
      </c>
      <c r="AB52">
        <f>$C52*AB51</f>
        <v/>
      </c>
      <c r="AC52">
        <f>$C52*AC51</f>
        <v/>
      </c>
      <c r="AD52">
        <f>$C52*AD51</f>
        <v/>
      </c>
      <c r="AE52">
        <f>$C52*AE51</f>
        <v/>
      </c>
      <c r="AF52">
        <f>$C52*AF51</f>
        <v/>
      </c>
      <c r="AG52">
        <f>$C52*AG51</f>
        <v/>
      </c>
      <c r="AH52">
        <f>$C52*AH51</f>
        <v/>
      </c>
      <c r="AI52">
        <f>$C52*AI51</f>
        <v/>
      </c>
      <c r="AJ52">
        <f>$C52*AJ51</f>
        <v/>
      </c>
      <c r="AK52">
        <f>$C52*AK51</f>
        <v/>
      </c>
      <c r="AL52">
        <f>$C52*AL51</f>
        <v/>
      </c>
      <c r="AM52">
        <f>$C52*AM51</f>
        <v/>
      </c>
      <c r="AN52">
        <f>$C52*AN51</f>
        <v/>
      </c>
      <c r="AO52">
        <f>$C52*AO51</f>
        <v/>
      </c>
      <c r="AP52">
        <f>$C52*AP51</f>
        <v/>
      </c>
      <c r="AQ52">
        <f>$C52*AQ51</f>
        <v/>
      </c>
      <c r="AR52">
        <f>$C52*AR51</f>
        <v/>
      </c>
      <c r="AS52">
        <f>$C52*AS51</f>
        <v/>
      </c>
      <c r="AT52">
        <f>$C52*AT51</f>
        <v/>
      </c>
      <c r="AU52">
        <f>$C52*AU51</f>
        <v/>
      </c>
      <c r="AV52">
        <f>$C52*AV51</f>
        <v/>
      </c>
      <c r="AW52">
        <f>$C52*AW51</f>
        <v/>
      </c>
      <c r="AX52">
        <f>$C52*AX51</f>
        <v/>
      </c>
      <c r="AY52">
        <f>$C52*AY51</f>
        <v/>
      </c>
      <c r="AZ52">
        <f>$C52*AZ51</f>
        <v/>
      </c>
      <c r="BA52">
        <f>$C52*BA51</f>
        <v/>
      </c>
      <c r="BB52">
        <f>$C52*BB51</f>
        <v/>
      </c>
      <c r="BC52">
        <f>$C52*BC51</f>
        <v/>
      </c>
      <c r="BD52">
        <f>$C52*BD51</f>
        <v/>
      </c>
      <c r="BE52">
        <f>$C52*BE51</f>
        <v/>
      </c>
      <c r="BF52">
        <f>$C52*BF51</f>
        <v/>
      </c>
      <c r="BG52">
        <f>$C52*BG51</f>
        <v/>
      </c>
      <c r="BH52">
        <f>$C52*BH51</f>
        <v/>
      </c>
      <c r="BI52">
        <f>$C52*BI51</f>
        <v/>
      </c>
      <c r="BJ52">
        <f>$C52*BJ51</f>
        <v/>
      </c>
      <c r="BK52">
        <f>$C52*BK51</f>
        <v/>
      </c>
      <c r="BL52">
        <f>$C52*BL51</f>
        <v/>
      </c>
      <c r="BM52">
        <f>$C52*BM51</f>
        <v/>
      </c>
      <c r="BN52">
        <f>$C52*BN51</f>
        <v/>
      </c>
      <c r="BO52">
        <f>$C52*BO51</f>
        <v/>
      </c>
      <c r="BP52">
        <f>$C52*BP51</f>
        <v/>
      </c>
      <c r="BQ52">
        <f>$C52*BQ51</f>
        <v/>
      </c>
      <c r="BR52">
        <f>$C52*BR51</f>
        <v/>
      </c>
      <c r="BS52">
        <f>$C52*BS51</f>
        <v/>
      </c>
      <c r="BT52">
        <f>$C52*BT51</f>
        <v/>
      </c>
      <c r="BU52">
        <f>$C52*BU51</f>
        <v/>
      </c>
      <c r="BV52">
        <f>$C52*BV51</f>
        <v/>
      </c>
      <c r="BW52">
        <f>$C52*BW51</f>
        <v/>
      </c>
      <c r="BX52">
        <f>$C52*BX51</f>
        <v/>
      </c>
      <c r="BY52">
        <f>$C52*BY51</f>
        <v/>
      </c>
      <c r="BZ52">
        <f>$C52*BZ51</f>
        <v/>
      </c>
      <c r="CA52">
        <f>$C52*CA51</f>
        <v/>
      </c>
      <c r="CB52">
        <f>$C52*CB51</f>
        <v/>
      </c>
      <c r="CC52">
        <f>$C52*CC51</f>
        <v/>
      </c>
      <c r="CD52">
        <f>$C52*CD51</f>
        <v/>
      </c>
      <c r="CE52">
        <f>$C52*CE51</f>
        <v/>
      </c>
      <c r="CF52">
        <f>$C52*CF51</f>
        <v/>
      </c>
      <c r="CG52">
        <f>$C52*CG51</f>
        <v/>
      </c>
      <c r="CH52">
        <f>$C52*CH51</f>
        <v/>
      </c>
      <c r="CI52">
        <f>$C52*CI51</f>
        <v/>
      </c>
      <c r="CJ52">
        <f>$C52*CJ51</f>
        <v/>
      </c>
      <c r="CK52">
        <f>$C52*CK51</f>
        <v/>
      </c>
      <c r="CL52">
        <f>$C52*CL51</f>
        <v/>
      </c>
      <c r="CM52">
        <f>$C52*CM51</f>
        <v/>
      </c>
      <c r="CN52">
        <f>$C52*CN51</f>
        <v/>
      </c>
      <c r="CO52">
        <f>$C52*CO51</f>
        <v/>
      </c>
      <c r="CP52">
        <f>$C52*CP51</f>
        <v/>
      </c>
      <c r="CQ52">
        <f>$C52*CQ51</f>
        <v/>
      </c>
      <c r="CR52">
        <f>$C52*CR51</f>
        <v/>
      </c>
      <c r="CS52">
        <f>$C52*CS51</f>
        <v/>
      </c>
      <c r="CT52">
        <f>$C52*CT51</f>
        <v/>
      </c>
      <c r="CU52">
        <f>$C52*CU51</f>
        <v/>
      </c>
      <c r="CV52">
        <f>$C52*CV51</f>
        <v/>
      </c>
      <c r="CW52">
        <f>$C52*CW51</f>
        <v/>
      </c>
      <c r="CX52">
        <f>$C52*CX51</f>
        <v/>
      </c>
      <c r="CY52">
        <f>$C52*CY51</f>
        <v/>
      </c>
      <c r="CZ52">
        <f>$C52*CZ51</f>
        <v/>
      </c>
      <c r="DA52">
        <f>$C52*DA51</f>
        <v/>
      </c>
      <c r="DB52">
        <f>$C52*DB51</f>
        <v/>
      </c>
      <c r="DC52">
        <f>$C52*DC51</f>
        <v/>
      </c>
      <c r="DD52">
        <f>$C52*DD51</f>
        <v/>
      </c>
    </row>
    <row r="53">
      <c r="B53" t="inlineStr">
        <is>
          <t>TSP-360</t>
        </is>
      </c>
      <c r="C53" t="inlineStr">
        <is>
          <t>No. of batches</t>
        </is>
      </c>
      <c r="D53">
        <f>IFERROR(INDEX(E53:DD53,$F$1),"")</f>
        <v/>
      </c>
      <c r="E53">
        <f>IFERROR(INDEX(PP_Grid[#Data],$DE53,2),0)</f>
        <v/>
      </c>
      <c r="F53">
        <f>IFERROR(INDEX(PP_Grid[#Data],$DE53,3),0)</f>
        <v/>
      </c>
      <c r="G53">
        <f>IFERROR(INDEX(PP_Grid[#Data],$DE53,4),0)</f>
        <v/>
      </c>
      <c r="H53">
        <f>IFERROR(INDEX(PP_Grid[#Data],$DE53,5),0)</f>
        <v/>
      </c>
      <c r="I53">
        <f>IFERROR(INDEX(PP_Grid[#Data],$DE53,6),0)</f>
        <v/>
      </c>
      <c r="J53">
        <f>IFERROR(INDEX(PP_Grid[#Data],$DE53,7),0)</f>
        <v/>
      </c>
      <c r="K53">
        <f>IFERROR(INDEX(PP_Grid[#Data],$DE53,8),0)</f>
        <v/>
      </c>
      <c r="L53">
        <f>IFERROR(INDEX(PP_Grid[#Data],$DE53,9),0)</f>
        <v/>
      </c>
      <c r="M53">
        <f>IFERROR(INDEX(PP_Grid[#Data],$DE53,10),0)</f>
        <v/>
      </c>
      <c r="N53">
        <f>IFERROR(INDEX(PP_Grid[#Data],$DE53,11),0)</f>
        <v/>
      </c>
      <c r="O53">
        <f>IFERROR(INDEX(PP_Grid[#Data],$DE53,12),0)</f>
        <v/>
      </c>
      <c r="P53">
        <f>IFERROR(INDEX(PP_Grid[#Data],$DE53,13),0)</f>
        <v/>
      </c>
      <c r="Q53">
        <f>IFERROR(INDEX(PP_Grid[#Data],$DE53,14),0)</f>
        <v/>
      </c>
      <c r="R53">
        <f>IFERROR(INDEX(PP_Grid[#Data],$DE53,15),0)</f>
        <v/>
      </c>
      <c r="S53">
        <f>IFERROR(INDEX(PP_Grid[#Data],$DE53,16),0)</f>
        <v/>
      </c>
      <c r="T53">
        <f>IFERROR(INDEX(PP_Grid[#Data],$DE53,17),0)</f>
        <v/>
      </c>
      <c r="U53">
        <f>IFERROR(INDEX(PP_Grid[#Data],$DE53,18),0)</f>
        <v/>
      </c>
      <c r="V53">
        <f>IFERROR(INDEX(PP_Grid[#Data],$DE53,19),0)</f>
        <v/>
      </c>
      <c r="W53">
        <f>IFERROR(INDEX(PP_Grid[#Data],$DE53,20),0)</f>
        <v/>
      </c>
      <c r="X53">
        <f>IFERROR(INDEX(PP_Grid[#Data],$DE53,21),0)</f>
        <v/>
      </c>
      <c r="Y53">
        <f>IFERROR(INDEX(PP_Grid[#Data],$DE53,22),0)</f>
        <v/>
      </c>
      <c r="Z53">
        <f>IFERROR(INDEX(PP_Grid[#Data],$DE53,23),0)</f>
        <v/>
      </c>
      <c r="AA53">
        <f>IFERROR(INDEX(PP_Grid[#Data],$DE53,24),0)</f>
        <v/>
      </c>
      <c r="AB53">
        <f>IFERROR(INDEX(PP_Grid[#Data],$DE53,25),0)</f>
        <v/>
      </c>
      <c r="AC53">
        <f>IFERROR(INDEX(PP_Grid[#Data],$DE53,26),0)</f>
        <v/>
      </c>
      <c r="AD53">
        <f>IFERROR(INDEX(PP_Grid[#Data],$DE53,27),0)</f>
        <v/>
      </c>
      <c r="AE53">
        <f>IFERROR(INDEX(PP_Grid[#Data],$DE53,28),0)</f>
        <v/>
      </c>
      <c r="AF53">
        <f>IFERROR(INDEX(PP_Grid[#Data],$DE53,29),0)</f>
        <v/>
      </c>
      <c r="AG53">
        <f>IFERROR(INDEX(PP_Grid[#Data],$DE53,30),0)</f>
        <v/>
      </c>
      <c r="AH53">
        <f>IFERROR(INDEX(PP_Grid[#Data],$DE53,31),0)</f>
        <v/>
      </c>
      <c r="AI53">
        <f>IFERROR(INDEX(PP_Grid[#Data],$DE53,32),0)</f>
        <v/>
      </c>
      <c r="AJ53">
        <f>IFERROR(INDEX(PP_Grid[#Data],$DE53,33),0)</f>
        <v/>
      </c>
      <c r="AK53">
        <f>IFERROR(INDEX(PP_Grid[#Data],$DE53,34),0)</f>
        <v/>
      </c>
      <c r="AL53">
        <f>IFERROR(INDEX(PP_Grid[#Data],$DE53,35),0)</f>
        <v/>
      </c>
      <c r="AM53">
        <f>IFERROR(INDEX(PP_Grid[#Data],$DE53,36),0)</f>
        <v/>
      </c>
      <c r="AN53">
        <f>IFERROR(INDEX(PP_Grid[#Data],$DE53,37),0)</f>
        <v/>
      </c>
      <c r="AO53">
        <f>IFERROR(INDEX(PP_Grid[#Data],$DE53,38),0)</f>
        <v/>
      </c>
      <c r="AP53">
        <f>IFERROR(INDEX(PP_Grid[#Data],$DE53,39),0)</f>
        <v/>
      </c>
      <c r="AQ53">
        <f>IFERROR(INDEX(PP_Grid[#Data],$DE53,40),0)</f>
        <v/>
      </c>
      <c r="AR53">
        <f>IFERROR(INDEX(PP_Grid[#Data],$DE53,41),0)</f>
        <v/>
      </c>
      <c r="AS53">
        <f>IFERROR(INDEX(PP_Grid[#Data],$DE53,42),0)</f>
        <v/>
      </c>
      <c r="AT53">
        <f>IFERROR(INDEX(PP_Grid[#Data],$DE53,43),0)</f>
        <v/>
      </c>
      <c r="AU53">
        <f>IFERROR(INDEX(PP_Grid[#Data],$DE53,44),0)</f>
        <v/>
      </c>
      <c r="AV53">
        <f>IFERROR(INDEX(PP_Grid[#Data],$DE53,45),0)</f>
        <v/>
      </c>
      <c r="AW53">
        <f>IFERROR(INDEX(PP_Grid[#Data],$DE53,46),0)</f>
        <v/>
      </c>
      <c r="AX53">
        <f>IFERROR(INDEX(PP_Grid[#Data],$DE53,47),0)</f>
        <v/>
      </c>
      <c r="AY53">
        <f>IFERROR(INDEX(PP_Grid[#Data],$DE53,48),0)</f>
        <v/>
      </c>
      <c r="AZ53">
        <f>IFERROR(INDEX(PP_Grid[#Data],$DE53,49),0)</f>
        <v/>
      </c>
      <c r="BA53">
        <f>IFERROR(INDEX(PP_Grid[#Data],$DE53,50),0)</f>
        <v/>
      </c>
      <c r="BB53">
        <f>IFERROR(INDEX(PP_Grid[#Data],$DE53,51),0)</f>
        <v/>
      </c>
      <c r="BC53">
        <f>IFERROR(INDEX(PP_Grid[#Data],$DE53,52),0)</f>
        <v/>
      </c>
      <c r="BD53">
        <f>IFERROR(INDEX(PP_Grid[#Data],$DE53,53),0)</f>
        <v/>
      </c>
      <c r="BE53">
        <f>IFERROR(INDEX(PP_Grid[#Data],$DE53,54),0)</f>
        <v/>
      </c>
      <c r="BF53">
        <f>IFERROR(INDEX(PP_Grid[#Data],$DE53,55),0)</f>
        <v/>
      </c>
      <c r="BG53">
        <f>IFERROR(INDEX(PP_Grid[#Data],$DE53,56),0)</f>
        <v/>
      </c>
      <c r="BH53">
        <f>IFERROR(INDEX(PP_Grid[#Data],$DE53,57),0)</f>
        <v/>
      </c>
      <c r="BI53">
        <f>IFERROR(INDEX(PP_Grid[#Data],$DE53,58),0)</f>
        <v/>
      </c>
      <c r="BJ53">
        <f>IFERROR(INDEX(PP_Grid[#Data],$DE53,59),0)</f>
        <v/>
      </c>
      <c r="BK53">
        <f>IFERROR(INDEX(PP_Grid[#Data],$DE53,60),0)</f>
        <v/>
      </c>
      <c r="BL53">
        <f>IFERROR(INDEX(PP_Grid[#Data],$DE53,61),0)</f>
        <v/>
      </c>
      <c r="BM53">
        <f>IFERROR(INDEX(PP_Grid[#Data],$DE53,62),0)</f>
        <v/>
      </c>
      <c r="BN53">
        <f>IFERROR(INDEX(PP_Grid[#Data],$DE53,63),0)</f>
        <v/>
      </c>
      <c r="BO53">
        <f>IFERROR(INDEX(PP_Grid[#Data],$DE53,64),0)</f>
        <v/>
      </c>
      <c r="BP53">
        <f>IFERROR(INDEX(PP_Grid[#Data],$DE53,65),0)</f>
        <v/>
      </c>
      <c r="BQ53">
        <f>IFERROR(INDEX(PP_Grid[#Data],$DE53,66),0)</f>
        <v/>
      </c>
      <c r="BR53">
        <f>IFERROR(INDEX(PP_Grid[#Data],$DE53,67),0)</f>
        <v/>
      </c>
      <c r="BS53">
        <f>IFERROR(INDEX(PP_Grid[#Data],$DE53,68),0)</f>
        <v/>
      </c>
      <c r="BT53">
        <f>IFERROR(INDEX(PP_Grid[#Data],$DE53,69),0)</f>
        <v/>
      </c>
      <c r="BU53">
        <f>IFERROR(INDEX(PP_Grid[#Data],$DE53,70),0)</f>
        <v/>
      </c>
      <c r="BV53">
        <f>IFERROR(INDEX(PP_Grid[#Data],$DE53,71),0)</f>
        <v/>
      </c>
      <c r="BW53">
        <f>IFERROR(INDEX(PP_Grid[#Data],$DE53,72),0)</f>
        <v/>
      </c>
      <c r="BX53">
        <f>IFERROR(INDEX(PP_Grid[#Data],$DE53,73),0)</f>
        <v/>
      </c>
      <c r="BY53">
        <f>IFERROR(INDEX(PP_Grid[#Data],$DE53,74),0)</f>
        <v/>
      </c>
      <c r="BZ53">
        <f>IFERROR(INDEX(PP_Grid[#Data],$DE53,75),0)</f>
        <v/>
      </c>
      <c r="CA53">
        <f>IFERROR(INDEX(PP_Grid[#Data],$DE53,76),0)</f>
        <v/>
      </c>
      <c r="CB53">
        <f>IFERROR(INDEX(PP_Grid[#Data],$DE53,77),0)</f>
        <v/>
      </c>
      <c r="CC53">
        <f>IFERROR(INDEX(PP_Grid[#Data],$DE53,78),0)</f>
        <v/>
      </c>
      <c r="CD53">
        <f>IFERROR(INDEX(PP_Grid[#Data],$DE53,79),0)</f>
        <v/>
      </c>
      <c r="CE53">
        <f>IFERROR(INDEX(PP_Grid[#Data],$DE53,80),0)</f>
        <v/>
      </c>
      <c r="CF53">
        <f>IFERROR(INDEX(PP_Grid[#Data],$DE53,81),0)</f>
        <v/>
      </c>
      <c r="CG53">
        <f>IFERROR(INDEX(PP_Grid[#Data],$DE53,82),0)</f>
        <v/>
      </c>
      <c r="CH53">
        <f>IFERROR(INDEX(PP_Grid[#Data],$DE53,83),0)</f>
        <v/>
      </c>
      <c r="CI53">
        <f>IFERROR(INDEX(PP_Grid[#Data],$DE53,84),0)</f>
        <v/>
      </c>
      <c r="CJ53">
        <f>IFERROR(INDEX(PP_Grid[#Data],$DE53,85),0)</f>
        <v/>
      </c>
      <c r="CK53">
        <f>IFERROR(INDEX(PP_Grid[#Data],$DE53,86),0)</f>
        <v/>
      </c>
      <c r="CL53">
        <f>IFERROR(INDEX(PP_Grid[#Data],$DE53,87),0)</f>
        <v/>
      </c>
      <c r="CM53">
        <f>IFERROR(INDEX(PP_Grid[#Data],$DE53,88),0)</f>
        <v/>
      </c>
      <c r="CN53">
        <f>IFERROR(INDEX(PP_Grid[#Data],$DE53,89),0)</f>
        <v/>
      </c>
      <c r="CO53">
        <f>IFERROR(INDEX(PP_Grid[#Data],$DE53,90),0)</f>
        <v/>
      </c>
      <c r="CP53">
        <f>IFERROR(INDEX(PP_Grid[#Data],$DE53,91),0)</f>
        <v/>
      </c>
      <c r="CQ53">
        <f>IFERROR(INDEX(PP_Grid[#Data],$DE53,92),0)</f>
        <v/>
      </c>
      <c r="CR53">
        <f>IFERROR(INDEX(PP_Grid[#Data],$DE53,93),0)</f>
        <v/>
      </c>
      <c r="CS53">
        <f>IFERROR(INDEX(PP_Grid[#Data],$DE53,94),0)</f>
        <v/>
      </c>
      <c r="CT53">
        <f>IFERROR(INDEX(PP_Grid[#Data],$DE53,95),0)</f>
        <v/>
      </c>
      <c r="CU53">
        <f>IFERROR(INDEX(PP_Grid[#Data],$DE53,96),0)</f>
        <v/>
      </c>
      <c r="CV53">
        <f>IFERROR(INDEX(PP_Grid[#Data],$DE53,97),0)</f>
        <v/>
      </c>
      <c r="CW53">
        <f>IFERROR(INDEX(PP_Grid[#Data],$DE53,98),0)</f>
        <v/>
      </c>
      <c r="CX53">
        <f>IFERROR(INDEX(PP_Grid[#Data],$DE53,99),0)</f>
        <v/>
      </c>
      <c r="CY53">
        <f>IFERROR(INDEX(PP_Grid[#Data],$DE53,100),0)</f>
        <v/>
      </c>
      <c r="CZ53">
        <f>IFERROR(INDEX(PP_Grid[#Data],$DE53,101),0)</f>
        <v/>
      </c>
      <c r="DA53">
        <f>IFERROR(INDEX(PP_Grid[#Data],$DE53,102),0)</f>
        <v/>
      </c>
      <c r="DB53">
        <f>IFERROR(INDEX(PP_Grid[#Data],$DE53,103),0)</f>
        <v/>
      </c>
      <c r="DC53">
        <f>IFERROR(INDEX(PP_Grid[#Data],$DE53,104),0)</f>
        <v/>
      </c>
      <c r="DD53">
        <f>IFERROR(INDEX(PP_Grid[#Data],$DE53,105),0)</f>
        <v/>
      </c>
      <c r="DE53" s="7">
        <f>IFERROR(MATCH($B53,PP_Grid[Intermediate],0),99999)</f>
        <v/>
      </c>
    </row>
    <row r="54">
      <c r="B54" t="inlineStr">
        <is>
          <t>使用量(kg)</t>
        </is>
      </c>
      <c r="C54">
        <f>SUMIFS(M_BOM[RM_Qty_Per_Batch],M_BOM[Intermediate],$B53,M_BOM[RM_Code],$A28)</f>
        <v/>
      </c>
      <c r="D54">
        <f>IFERROR(INDEX(E54:DD54,$F$1),"")</f>
        <v/>
      </c>
      <c r="E54">
        <f>$C54*E53</f>
        <v/>
      </c>
      <c r="F54">
        <f>$C54*F53</f>
        <v/>
      </c>
      <c r="G54">
        <f>$C54*G53</f>
        <v/>
      </c>
      <c r="H54">
        <f>$C54*H53</f>
        <v/>
      </c>
      <c r="I54">
        <f>$C54*I53</f>
        <v/>
      </c>
      <c r="J54">
        <f>$C54*J53</f>
        <v/>
      </c>
      <c r="K54">
        <f>$C54*K53</f>
        <v/>
      </c>
      <c r="L54">
        <f>$C54*L53</f>
        <v/>
      </c>
      <c r="M54">
        <f>$C54*M53</f>
        <v/>
      </c>
      <c r="N54">
        <f>$C54*N53</f>
        <v/>
      </c>
      <c r="O54">
        <f>$C54*O53</f>
        <v/>
      </c>
      <c r="P54">
        <f>$C54*P53</f>
        <v/>
      </c>
      <c r="Q54">
        <f>$C54*Q53</f>
        <v/>
      </c>
      <c r="R54">
        <f>$C54*R53</f>
        <v/>
      </c>
      <c r="S54">
        <f>$C54*S53</f>
        <v/>
      </c>
      <c r="T54">
        <f>$C54*T53</f>
        <v/>
      </c>
      <c r="U54">
        <f>$C54*U53</f>
        <v/>
      </c>
      <c r="V54">
        <f>$C54*V53</f>
        <v/>
      </c>
      <c r="W54">
        <f>$C54*W53</f>
        <v/>
      </c>
      <c r="X54">
        <f>$C54*X53</f>
        <v/>
      </c>
      <c r="Y54">
        <f>$C54*Y53</f>
        <v/>
      </c>
      <c r="Z54">
        <f>$C54*Z53</f>
        <v/>
      </c>
      <c r="AA54">
        <f>$C54*AA53</f>
        <v/>
      </c>
      <c r="AB54">
        <f>$C54*AB53</f>
        <v/>
      </c>
      <c r="AC54">
        <f>$C54*AC53</f>
        <v/>
      </c>
      <c r="AD54">
        <f>$C54*AD53</f>
        <v/>
      </c>
      <c r="AE54">
        <f>$C54*AE53</f>
        <v/>
      </c>
      <c r="AF54">
        <f>$C54*AF53</f>
        <v/>
      </c>
      <c r="AG54">
        <f>$C54*AG53</f>
        <v/>
      </c>
      <c r="AH54">
        <f>$C54*AH53</f>
        <v/>
      </c>
      <c r="AI54">
        <f>$C54*AI53</f>
        <v/>
      </c>
      <c r="AJ54">
        <f>$C54*AJ53</f>
        <v/>
      </c>
      <c r="AK54">
        <f>$C54*AK53</f>
        <v/>
      </c>
      <c r="AL54">
        <f>$C54*AL53</f>
        <v/>
      </c>
      <c r="AM54">
        <f>$C54*AM53</f>
        <v/>
      </c>
      <c r="AN54">
        <f>$C54*AN53</f>
        <v/>
      </c>
      <c r="AO54">
        <f>$C54*AO53</f>
        <v/>
      </c>
      <c r="AP54">
        <f>$C54*AP53</f>
        <v/>
      </c>
      <c r="AQ54">
        <f>$C54*AQ53</f>
        <v/>
      </c>
      <c r="AR54">
        <f>$C54*AR53</f>
        <v/>
      </c>
      <c r="AS54">
        <f>$C54*AS53</f>
        <v/>
      </c>
      <c r="AT54">
        <f>$C54*AT53</f>
        <v/>
      </c>
      <c r="AU54">
        <f>$C54*AU53</f>
        <v/>
      </c>
      <c r="AV54">
        <f>$C54*AV53</f>
        <v/>
      </c>
      <c r="AW54">
        <f>$C54*AW53</f>
        <v/>
      </c>
      <c r="AX54">
        <f>$C54*AX53</f>
        <v/>
      </c>
      <c r="AY54">
        <f>$C54*AY53</f>
        <v/>
      </c>
      <c r="AZ54">
        <f>$C54*AZ53</f>
        <v/>
      </c>
      <c r="BA54">
        <f>$C54*BA53</f>
        <v/>
      </c>
      <c r="BB54">
        <f>$C54*BB53</f>
        <v/>
      </c>
      <c r="BC54">
        <f>$C54*BC53</f>
        <v/>
      </c>
      <c r="BD54">
        <f>$C54*BD53</f>
        <v/>
      </c>
      <c r="BE54">
        <f>$C54*BE53</f>
        <v/>
      </c>
      <c r="BF54">
        <f>$C54*BF53</f>
        <v/>
      </c>
      <c r="BG54">
        <f>$C54*BG53</f>
        <v/>
      </c>
      <c r="BH54">
        <f>$C54*BH53</f>
        <v/>
      </c>
      <c r="BI54">
        <f>$C54*BI53</f>
        <v/>
      </c>
      <c r="BJ54">
        <f>$C54*BJ53</f>
        <v/>
      </c>
      <c r="BK54">
        <f>$C54*BK53</f>
        <v/>
      </c>
      <c r="BL54">
        <f>$C54*BL53</f>
        <v/>
      </c>
      <c r="BM54">
        <f>$C54*BM53</f>
        <v/>
      </c>
      <c r="BN54">
        <f>$C54*BN53</f>
        <v/>
      </c>
      <c r="BO54">
        <f>$C54*BO53</f>
        <v/>
      </c>
      <c r="BP54">
        <f>$C54*BP53</f>
        <v/>
      </c>
      <c r="BQ54">
        <f>$C54*BQ53</f>
        <v/>
      </c>
      <c r="BR54">
        <f>$C54*BR53</f>
        <v/>
      </c>
      <c r="BS54">
        <f>$C54*BS53</f>
        <v/>
      </c>
      <c r="BT54">
        <f>$C54*BT53</f>
        <v/>
      </c>
      <c r="BU54">
        <f>$C54*BU53</f>
        <v/>
      </c>
      <c r="BV54">
        <f>$C54*BV53</f>
        <v/>
      </c>
      <c r="BW54">
        <f>$C54*BW53</f>
        <v/>
      </c>
      <c r="BX54">
        <f>$C54*BX53</f>
        <v/>
      </c>
      <c r="BY54">
        <f>$C54*BY53</f>
        <v/>
      </c>
      <c r="BZ54">
        <f>$C54*BZ53</f>
        <v/>
      </c>
      <c r="CA54">
        <f>$C54*CA53</f>
        <v/>
      </c>
      <c r="CB54">
        <f>$C54*CB53</f>
        <v/>
      </c>
      <c r="CC54">
        <f>$C54*CC53</f>
        <v/>
      </c>
      <c r="CD54">
        <f>$C54*CD53</f>
        <v/>
      </c>
      <c r="CE54">
        <f>$C54*CE53</f>
        <v/>
      </c>
      <c r="CF54">
        <f>$C54*CF53</f>
        <v/>
      </c>
      <c r="CG54">
        <f>$C54*CG53</f>
        <v/>
      </c>
      <c r="CH54">
        <f>$C54*CH53</f>
        <v/>
      </c>
      <c r="CI54">
        <f>$C54*CI53</f>
        <v/>
      </c>
      <c r="CJ54">
        <f>$C54*CJ53</f>
        <v/>
      </c>
      <c r="CK54">
        <f>$C54*CK53</f>
        <v/>
      </c>
      <c r="CL54">
        <f>$C54*CL53</f>
        <v/>
      </c>
      <c r="CM54">
        <f>$C54*CM53</f>
        <v/>
      </c>
      <c r="CN54">
        <f>$C54*CN53</f>
        <v/>
      </c>
      <c r="CO54">
        <f>$C54*CO53</f>
        <v/>
      </c>
      <c r="CP54">
        <f>$C54*CP53</f>
        <v/>
      </c>
      <c r="CQ54">
        <f>$C54*CQ53</f>
        <v/>
      </c>
      <c r="CR54">
        <f>$C54*CR53</f>
        <v/>
      </c>
      <c r="CS54">
        <f>$C54*CS53</f>
        <v/>
      </c>
      <c r="CT54">
        <f>$C54*CT53</f>
        <v/>
      </c>
      <c r="CU54">
        <f>$C54*CU53</f>
        <v/>
      </c>
      <c r="CV54">
        <f>$C54*CV53</f>
        <v/>
      </c>
      <c r="CW54">
        <f>$C54*CW53</f>
        <v/>
      </c>
      <c r="CX54">
        <f>$C54*CX53</f>
        <v/>
      </c>
      <c r="CY54">
        <f>$C54*CY53</f>
        <v/>
      </c>
      <c r="CZ54">
        <f>$C54*CZ53</f>
        <v/>
      </c>
      <c r="DA54">
        <f>$C54*DA53</f>
        <v/>
      </c>
      <c r="DB54">
        <f>$C54*DB53</f>
        <v/>
      </c>
      <c r="DC54">
        <f>$C54*DC53</f>
        <v/>
      </c>
      <c r="DD54">
        <f>$C54*DD53</f>
        <v/>
      </c>
    </row>
    <row r="55">
      <c r="B55" t="inlineStr">
        <is>
          <t>TSP-544</t>
        </is>
      </c>
      <c r="C55" t="inlineStr">
        <is>
          <t>No. of batches</t>
        </is>
      </c>
      <c r="D55">
        <f>IFERROR(INDEX(E55:DD55,$F$1),"")</f>
        <v/>
      </c>
      <c r="E55">
        <f>IFERROR(INDEX(PP_Grid[#Data],$DE55,2),0)</f>
        <v/>
      </c>
      <c r="F55">
        <f>IFERROR(INDEX(PP_Grid[#Data],$DE55,3),0)</f>
        <v/>
      </c>
      <c r="G55">
        <f>IFERROR(INDEX(PP_Grid[#Data],$DE55,4),0)</f>
        <v/>
      </c>
      <c r="H55">
        <f>IFERROR(INDEX(PP_Grid[#Data],$DE55,5),0)</f>
        <v/>
      </c>
      <c r="I55">
        <f>IFERROR(INDEX(PP_Grid[#Data],$DE55,6),0)</f>
        <v/>
      </c>
      <c r="J55">
        <f>IFERROR(INDEX(PP_Grid[#Data],$DE55,7),0)</f>
        <v/>
      </c>
      <c r="K55">
        <f>IFERROR(INDEX(PP_Grid[#Data],$DE55,8),0)</f>
        <v/>
      </c>
      <c r="L55">
        <f>IFERROR(INDEX(PP_Grid[#Data],$DE55,9),0)</f>
        <v/>
      </c>
      <c r="M55">
        <f>IFERROR(INDEX(PP_Grid[#Data],$DE55,10),0)</f>
        <v/>
      </c>
      <c r="N55">
        <f>IFERROR(INDEX(PP_Grid[#Data],$DE55,11),0)</f>
        <v/>
      </c>
      <c r="O55">
        <f>IFERROR(INDEX(PP_Grid[#Data],$DE55,12),0)</f>
        <v/>
      </c>
      <c r="P55">
        <f>IFERROR(INDEX(PP_Grid[#Data],$DE55,13),0)</f>
        <v/>
      </c>
      <c r="Q55">
        <f>IFERROR(INDEX(PP_Grid[#Data],$DE55,14),0)</f>
        <v/>
      </c>
      <c r="R55">
        <f>IFERROR(INDEX(PP_Grid[#Data],$DE55,15),0)</f>
        <v/>
      </c>
      <c r="S55">
        <f>IFERROR(INDEX(PP_Grid[#Data],$DE55,16),0)</f>
        <v/>
      </c>
      <c r="T55">
        <f>IFERROR(INDEX(PP_Grid[#Data],$DE55,17),0)</f>
        <v/>
      </c>
      <c r="U55">
        <f>IFERROR(INDEX(PP_Grid[#Data],$DE55,18),0)</f>
        <v/>
      </c>
      <c r="V55">
        <f>IFERROR(INDEX(PP_Grid[#Data],$DE55,19),0)</f>
        <v/>
      </c>
      <c r="W55">
        <f>IFERROR(INDEX(PP_Grid[#Data],$DE55,20),0)</f>
        <v/>
      </c>
      <c r="X55">
        <f>IFERROR(INDEX(PP_Grid[#Data],$DE55,21),0)</f>
        <v/>
      </c>
      <c r="Y55">
        <f>IFERROR(INDEX(PP_Grid[#Data],$DE55,22),0)</f>
        <v/>
      </c>
      <c r="Z55">
        <f>IFERROR(INDEX(PP_Grid[#Data],$DE55,23),0)</f>
        <v/>
      </c>
      <c r="AA55">
        <f>IFERROR(INDEX(PP_Grid[#Data],$DE55,24),0)</f>
        <v/>
      </c>
      <c r="AB55">
        <f>IFERROR(INDEX(PP_Grid[#Data],$DE55,25),0)</f>
        <v/>
      </c>
      <c r="AC55">
        <f>IFERROR(INDEX(PP_Grid[#Data],$DE55,26),0)</f>
        <v/>
      </c>
      <c r="AD55">
        <f>IFERROR(INDEX(PP_Grid[#Data],$DE55,27),0)</f>
        <v/>
      </c>
      <c r="AE55">
        <f>IFERROR(INDEX(PP_Grid[#Data],$DE55,28),0)</f>
        <v/>
      </c>
      <c r="AF55">
        <f>IFERROR(INDEX(PP_Grid[#Data],$DE55,29),0)</f>
        <v/>
      </c>
      <c r="AG55">
        <f>IFERROR(INDEX(PP_Grid[#Data],$DE55,30),0)</f>
        <v/>
      </c>
      <c r="AH55">
        <f>IFERROR(INDEX(PP_Grid[#Data],$DE55,31),0)</f>
        <v/>
      </c>
      <c r="AI55">
        <f>IFERROR(INDEX(PP_Grid[#Data],$DE55,32),0)</f>
        <v/>
      </c>
      <c r="AJ55">
        <f>IFERROR(INDEX(PP_Grid[#Data],$DE55,33),0)</f>
        <v/>
      </c>
      <c r="AK55">
        <f>IFERROR(INDEX(PP_Grid[#Data],$DE55,34),0)</f>
        <v/>
      </c>
      <c r="AL55">
        <f>IFERROR(INDEX(PP_Grid[#Data],$DE55,35),0)</f>
        <v/>
      </c>
      <c r="AM55">
        <f>IFERROR(INDEX(PP_Grid[#Data],$DE55,36),0)</f>
        <v/>
      </c>
      <c r="AN55">
        <f>IFERROR(INDEX(PP_Grid[#Data],$DE55,37),0)</f>
        <v/>
      </c>
      <c r="AO55">
        <f>IFERROR(INDEX(PP_Grid[#Data],$DE55,38),0)</f>
        <v/>
      </c>
      <c r="AP55">
        <f>IFERROR(INDEX(PP_Grid[#Data],$DE55,39),0)</f>
        <v/>
      </c>
      <c r="AQ55">
        <f>IFERROR(INDEX(PP_Grid[#Data],$DE55,40),0)</f>
        <v/>
      </c>
      <c r="AR55">
        <f>IFERROR(INDEX(PP_Grid[#Data],$DE55,41),0)</f>
        <v/>
      </c>
      <c r="AS55">
        <f>IFERROR(INDEX(PP_Grid[#Data],$DE55,42),0)</f>
        <v/>
      </c>
      <c r="AT55">
        <f>IFERROR(INDEX(PP_Grid[#Data],$DE55,43),0)</f>
        <v/>
      </c>
      <c r="AU55">
        <f>IFERROR(INDEX(PP_Grid[#Data],$DE55,44),0)</f>
        <v/>
      </c>
      <c r="AV55">
        <f>IFERROR(INDEX(PP_Grid[#Data],$DE55,45),0)</f>
        <v/>
      </c>
      <c r="AW55">
        <f>IFERROR(INDEX(PP_Grid[#Data],$DE55,46),0)</f>
        <v/>
      </c>
      <c r="AX55">
        <f>IFERROR(INDEX(PP_Grid[#Data],$DE55,47),0)</f>
        <v/>
      </c>
      <c r="AY55">
        <f>IFERROR(INDEX(PP_Grid[#Data],$DE55,48),0)</f>
        <v/>
      </c>
      <c r="AZ55">
        <f>IFERROR(INDEX(PP_Grid[#Data],$DE55,49),0)</f>
        <v/>
      </c>
      <c r="BA55">
        <f>IFERROR(INDEX(PP_Grid[#Data],$DE55,50),0)</f>
        <v/>
      </c>
      <c r="BB55">
        <f>IFERROR(INDEX(PP_Grid[#Data],$DE55,51),0)</f>
        <v/>
      </c>
      <c r="BC55">
        <f>IFERROR(INDEX(PP_Grid[#Data],$DE55,52),0)</f>
        <v/>
      </c>
      <c r="BD55">
        <f>IFERROR(INDEX(PP_Grid[#Data],$DE55,53),0)</f>
        <v/>
      </c>
      <c r="BE55">
        <f>IFERROR(INDEX(PP_Grid[#Data],$DE55,54),0)</f>
        <v/>
      </c>
      <c r="BF55">
        <f>IFERROR(INDEX(PP_Grid[#Data],$DE55,55),0)</f>
        <v/>
      </c>
      <c r="BG55">
        <f>IFERROR(INDEX(PP_Grid[#Data],$DE55,56),0)</f>
        <v/>
      </c>
      <c r="BH55">
        <f>IFERROR(INDEX(PP_Grid[#Data],$DE55,57),0)</f>
        <v/>
      </c>
      <c r="BI55">
        <f>IFERROR(INDEX(PP_Grid[#Data],$DE55,58),0)</f>
        <v/>
      </c>
      <c r="BJ55">
        <f>IFERROR(INDEX(PP_Grid[#Data],$DE55,59),0)</f>
        <v/>
      </c>
      <c r="BK55">
        <f>IFERROR(INDEX(PP_Grid[#Data],$DE55,60),0)</f>
        <v/>
      </c>
      <c r="BL55">
        <f>IFERROR(INDEX(PP_Grid[#Data],$DE55,61),0)</f>
        <v/>
      </c>
      <c r="BM55">
        <f>IFERROR(INDEX(PP_Grid[#Data],$DE55,62),0)</f>
        <v/>
      </c>
      <c r="BN55">
        <f>IFERROR(INDEX(PP_Grid[#Data],$DE55,63),0)</f>
        <v/>
      </c>
      <c r="BO55">
        <f>IFERROR(INDEX(PP_Grid[#Data],$DE55,64),0)</f>
        <v/>
      </c>
      <c r="BP55">
        <f>IFERROR(INDEX(PP_Grid[#Data],$DE55,65),0)</f>
        <v/>
      </c>
      <c r="BQ55">
        <f>IFERROR(INDEX(PP_Grid[#Data],$DE55,66),0)</f>
        <v/>
      </c>
      <c r="BR55">
        <f>IFERROR(INDEX(PP_Grid[#Data],$DE55,67),0)</f>
        <v/>
      </c>
      <c r="BS55">
        <f>IFERROR(INDEX(PP_Grid[#Data],$DE55,68),0)</f>
        <v/>
      </c>
      <c r="BT55">
        <f>IFERROR(INDEX(PP_Grid[#Data],$DE55,69),0)</f>
        <v/>
      </c>
      <c r="BU55">
        <f>IFERROR(INDEX(PP_Grid[#Data],$DE55,70),0)</f>
        <v/>
      </c>
      <c r="BV55">
        <f>IFERROR(INDEX(PP_Grid[#Data],$DE55,71),0)</f>
        <v/>
      </c>
      <c r="BW55">
        <f>IFERROR(INDEX(PP_Grid[#Data],$DE55,72),0)</f>
        <v/>
      </c>
      <c r="BX55">
        <f>IFERROR(INDEX(PP_Grid[#Data],$DE55,73),0)</f>
        <v/>
      </c>
      <c r="BY55">
        <f>IFERROR(INDEX(PP_Grid[#Data],$DE55,74),0)</f>
        <v/>
      </c>
      <c r="BZ55">
        <f>IFERROR(INDEX(PP_Grid[#Data],$DE55,75),0)</f>
        <v/>
      </c>
      <c r="CA55">
        <f>IFERROR(INDEX(PP_Grid[#Data],$DE55,76),0)</f>
        <v/>
      </c>
      <c r="CB55">
        <f>IFERROR(INDEX(PP_Grid[#Data],$DE55,77),0)</f>
        <v/>
      </c>
      <c r="CC55">
        <f>IFERROR(INDEX(PP_Grid[#Data],$DE55,78),0)</f>
        <v/>
      </c>
      <c r="CD55">
        <f>IFERROR(INDEX(PP_Grid[#Data],$DE55,79),0)</f>
        <v/>
      </c>
      <c r="CE55">
        <f>IFERROR(INDEX(PP_Grid[#Data],$DE55,80),0)</f>
        <v/>
      </c>
      <c r="CF55">
        <f>IFERROR(INDEX(PP_Grid[#Data],$DE55,81),0)</f>
        <v/>
      </c>
      <c r="CG55">
        <f>IFERROR(INDEX(PP_Grid[#Data],$DE55,82),0)</f>
        <v/>
      </c>
      <c r="CH55">
        <f>IFERROR(INDEX(PP_Grid[#Data],$DE55,83),0)</f>
        <v/>
      </c>
      <c r="CI55">
        <f>IFERROR(INDEX(PP_Grid[#Data],$DE55,84),0)</f>
        <v/>
      </c>
      <c r="CJ55">
        <f>IFERROR(INDEX(PP_Grid[#Data],$DE55,85),0)</f>
        <v/>
      </c>
      <c r="CK55">
        <f>IFERROR(INDEX(PP_Grid[#Data],$DE55,86),0)</f>
        <v/>
      </c>
      <c r="CL55">
        <f>IFERROR(INDEX(PP_Grid[#Data],$DE55,87),0)</f>
        <v/>
      </c>
      <c r="CM55">
        <f>IFERROR(INDEX(PP_Grid[#Data],$DE55,88),0)</f>
        <v/>
      </c>
      <c r="CN55">
        <f>IFERROR(INDEX(PP_Grid[#Data],$DE55,89),0)</f>
        <v/>
      </c>
      <c r="CO55">
        <f>IFERROR(INDEX(PP_Grid[#Data],$DE55,90),0)</f>
        <v/>
      </c>
      <c r="CP55">
        <f>IFERROR(INDEX(PP_Grid[#Data],$DE55,91),0)</f>
        <v/>
      </c>
      <c r="CQ55">
        <f>IFERROR(INDEX(PP_Grid[#Data],$DE55,92),0)</f>
        <v/>
      </c>
      <c r="CR55">
        <f>IFERROR(INDEX(PP_Grid[#Data],$DE55,93),0)</f>
        <v/>
      </c>
      <c r="CS55">
        <f>IFERROR(INDEX(PP_Grid[#Data],$DE55,94),0)</f>
        <v/>
      </c>
      <c r="CT55">
        <f>IFERROR(INDEX(PP_Grid[#Data],$DE55,95),0)</f>
        <v/>
      </c>
      <c r="CU55">
        <f>IFERROR(INDEX(PP_Grid[#Data],$DE55,96),0)</f>
        <v/>
      </c>
      <c r="CV55">
        <f>IFERROR(INDEX(PP_Grid[#Data],$DE55,97),0)</f>
        <v/>
      </c>
      <c r="CW55">
        <f>IFERROR(INDEX(PP_Grid[#Data],$DE55,98),0)</f>
        <v/>
      </c>
      <c r="CX55">
        <f>IFERROR(INDEX(PP_Grid[#Data],$DE55,99),0)</f>
        <v/>
      </c>
      <c r="CY55">
        <f>IFERROR(INDEX(PP_Grid[#Data],$DE55,100),0)</f>
        <v/>
      </c>
      <c r="CZ55">
        <f>IFERROR(INDEX(PP_Grid[#Data],$DE55,101),0)</f>
        <v/>
      </c>
      <c r="DA55">
        <f>IFERROR(INDEX(PP_Grid[#Data],$DE55,102),0)</f>
        <v/>
      </c>
      <c r="DB55">
        <f>IFERROR(INDEX(PP_Grid[#Data],$DE55,103),0)</f>
        <v/>
      </c>
      <c r="DC55">
        <f>IFERROR(INDEX(PP_Grid[#Data],$DE55,104),0)</f>
        <v/>
      </c>
      <c r="DD55">
        <f>IFERROR(INDEX(PP_Grid[#Data],$DE55,105),0)</f>
        <v/>
      </c>
      <c r="DE55" s="7">
        <f>IFERROR(MATCH($B55,PP_Grid[Intermediate],0),99999)</f>
        <v/>
      </c>
    </row>
    <row r="56">
      <c r="B56" t="inlineStr">
        <is>
          <t>使用量(kg)</t>
        </is>
      </c>
      <c r="C56">
        <f>SUMIFS(M_BOM[RM_Qty_Per_Batch],M_BOM[Intermediate],$B55,M_BOM[RM_Code],$A28)</f>
        <v/>
      </c>
      <c r="D56">
        <f>IFERROR(INDEX(E56:DD56,$F$1),"")</f>
        <v/>
      </c>
      <c r="E56">
        <f>$C56*E55</f>
        <v/>
      </c>
      <c r="F56">
        <f>$C56*F55</f>
        <v/>
      </c>
      <c r="G56">
        <f>$C56*G55</f>
        <v/>
      </c>
      <c r="H56">
        <f>$C56*H55</f>
        <v/>
      </c>
      <c r="I56">
        <f>$C56*I55</f>
        <v/>
      </c>
      <c r="J56">
        <f>$C56*J55</f>
        <v/>
      </c>
      <c r="K56">
        <f>$C56*K55</f>
        <v/>
      </c>
      <c r="L56">
        <f>$C56*L55</f>
        <v/>
      </c>
      <c r="M56">
        <f>$C56*M55</f>
        <v/>
      </c>
      <c r="N56">
        <f>$C56*N55</f>
        <v/>
      </c>
      <c r="O56">
        <f>$C56*O55</f>
        <v/>
      </c>
      <c r="P56">
        <f>$C56*P55</f>
        <v/>
      </c>
      <c r="Q56">
        <f>$C56*Q55</f>
        <v/>
      </c>
      <c r="R56">
        <f>$C56*R55</f>
        <v/>
      </c>
      <c r="S56">
        <f>$C56*S55</f>
        <v/>
      </c>
      <c r="T56">
        <f>$C56*T55</f>
        <v/>
      </c>
      <c r="U56">
        <f>$C56*U55</f>
        <v/>
      </c>
      <c r="V56">
        <f>$C56*V55</f>
        <v/>
      </c>
      <c r="W56">
        <f>$C56*W55</f>
        <v/>
      </c>
      <c r="X56">
        <f>$C56*X55</f>
        <v/>
      </c>
      <c r="Y56">
        <f>$C56*Y55</f>
        <v/>
      </c>
      <c r="Z56">
        <f>$C56*Z55</f>
        <v/>
      </c>
      <c r="AA56">
        <f>$C56*AA55</f>
        <v/>
      </c>
      <c r="AB56">
        <f>$C56*AB55</f>
        <v/>
      </c>
      <c r="AC56">
        <f>$C56*AC55</f>
        <v/>
      </c>
      <c r="AD56">
        <f>$C56*AD55</f>
        <v/>
      </c>
      <c r="AE56">
        <f>$C56*AE55</f>
        <v/>
      </c>
      <c r="AF56">
        <f>$C56*AF55</f>
        <v/>
      </c>
      <c r="AG56">
        <f>$C56*AG55</f>
        <v/>
      </c>
      <c r="AH56">
        <f>$C56*AH55</f>
        <v/>
      </c>
      <c r="AI56">
        <f>$C56*AI55</f>
        <v/>
      </c>
      <c r="AJ56">
        <f>$C56*AJ55</f>
        <v/>
      </c>
      <c r="AK56">
        <f>$C56*AK55</f>
        <v/>
      </c>
      <c r="AL56">
        <f>$C56*AL55</f>
        <v/>
      </c>
      <c r="AM56">
        <f>$C56*AM55</f>
        <v/>
      </c>
      <c r="AN56">
        <f>$C56*AN55</f>
        <v/>
      </c>
      <c r="AO56">
        <f>$C56*AO55</f>
        <v/>
      </c>
      <c r="AP56">
        <f>$C56*AP55</f>
        <v/>
      </c>
      <c r="AQ56">
        <f>$C56*AQ55</f>
        <v/>
      </c>
      <c r="AR56">
        <f>$C56*AR55</f>
        <v/>
      </c>
      <c r="AS56">
        <f>$C56*AS55</f>
        <v/>
      </c>
      <c r="AT56">
        <f>$C56*AT55</f>
        <v/>
      </c>
      <c r="AU56">
        <f>$C56*AU55</f>
        <v/>
      </c>
      <c r="AV56">
        <f>$C56*AV55</f>
        <v/>
      </c>
      <c r="AW56">
        <f>$C56*AW55</f>
        <v/>
      </c>
      <c r="AX56">
        <f>$C56*AX55</f>
        <v/>
      </c>
      <c r="AY56">
        <f>$C56*AY55</f>
        <v/>
      </c>
      <c r="AZ56">
        <f>$C56*AZ55</f>
        <v/>
      </c>
      <c r="BA56">
        <f>$C56*BA55</f>
        <v/>
      </c>
      <c r="BB56">
        <f>$C56*BB55</f>
        <v/>
      </c>
      <c r="BC56">
        <f>$C56*BC55</f>
        <v/>
      </c>
      <c r="BD56">
        <f>$C56*BD55</f>
        <v/>
      </c>
      <c r="BE56">
        <f>$C56*BE55</f>
        <v/>
      </c>
      <c r="BF56">
        <f>$C56*BF55</f>
        <v/>
      </c>
      <c r="BG56">
        <f>$C56*BG55</f>
        <v/>
      </c>
      <c r="BH56">
        <f>$C56*BH55</f>
        <v/>
      </c>
      <c r="BI56">
        <f>$C56*BI55</f>
        <v/>
      </c>
      <c r="BJ56">
        <f>$C56*BJ55</f>
        <v/>
      </c>
      <c r="BK56">
        <f>$C56*BK55</f>
        <v/>
      </c>
      <c r="BL56">
        <f>$C56*BL55</f>
        <v/>
      </c>
      <c r="BM56">
        <f>$C56*BM55</f>
        <v/>
      </c>
      <c r="BN56">
        <f>$C56*BN55</f>
        <v/>
      </c>
      <c r="BO56">
        <f>$C56*BO55</f>
        <v/>
      </c>
      <c r="BP56">
        <f>$C56*BP55</f>
        <v/>
      </c>
      <c r="BQ56">
        <f>$C56*BQ55</f>
        <v/>
      </c>
      <c r="BR56">
        <f>$C56*BR55</f>
        <v/>
      </c>
      <c r="BS56">
        <f>$C56*BS55</f>
        <v/>
      </c>
      <c r="BT56">
        <f>$C56*BT55</f>
        <v/>
      </c>
      <c r="BU56">
        <f>$C56*BU55</f>
        <v/>
      </c>
      <c r="BV56">
        <f>$C56*BV55</f>
        <v/>
      </c>
      <c r="BW56">
        <f>$C56*BW55</f>
        <v/>
      </c>
      <c r="BX56">
        <f>$C56*BX55</f>
        <v/>
      </c>
      <c r="BY56">
        <f>$C56*BY55</f>
        <v/>
      </c>
      <c r="BZ56">
        <f>$C56*BZ55</f>
        <v/>
      </c>
      <c r="CA56">
        <f>$C56*CA55</f>
        <v/>
      </c>
      <c r="CB56">
        <f>$C56*CB55</f>
        <v/>
      </c>
      <c r="CC56">
        <f>$C56*CC55</f>
        <v/>
      </c>
      <c r="CD56">
        <f>$C56*CD55</f>
        <v/>
      </c>
      <c r="CE56">
        <f>$C56*CE55</f>
        <v/>
      </c>
      <c r="CF56">
        <f>$C56*CF55</f>
        <v/>
      </c>
      <c r="CG56">
        <f>$C56*CG55</f>
        <v/>
      </c>
      <c r="CH56">
        <f>$C56*CH55</f>
        <v/>
      </c>
      <c r="CI56">
        <f>$C56*CI55</f>
        <v/>
      </c>
      <c r="CJ56">
        <f>$C56*CJ55</f>
        <v/>
      </c>
      <c r="CK56">
        <f>$C56*CK55</f>
        <v/>
      </c>
      <c r="CL56">
        <f>$C56*CL55</f>
        <v/>
      </c>
      <c r="CM56">
        <f>$C56*CM55</f>
        <v/>
      </c>
      <c r="CN56">
        <f>$C56*CN55</f>
        <v/>
      </c>
      <c r="CO56">
        <f>$C56*CO55</f>
        <v/>
      </c>
      <c r="CP56">
        <f>$C56*CP55</f>
        <v/>
      </c>
      <c r="CQ56">
        <f>$C56*CQ55</f>
        <v/>
      </c>
      <c r="CR56">
        <f>$C56*CR55</f>
        <v/>
      </c>
      <c r="CS56">
        <f>$C56*CS55</f>
        <v/>
      </c>
      <c r="CT56">
        <f>$C56*CT55</f>
        <v/>
      </c>
      <c r="CU56">
        <f>$C56*CU55</f>
        <v/>
      </c>
      <c r="CV56">
        <f>$C56*CV55</f>
        <v/>
      </c>
      <c r="CW56">
        <f>$C56*CW55</f>
        <v/>
      </c>
      <c r="CX56">
        <f>$C56*CX55</f>
        <v/>
      </c>
      <c r="CY56">
        <f>$C56*CY55</f>
        <v/>
      </c>
      <c r="CZ56">
        <f>$C56*CZ55</f>
        <v/>
      </c>
      <c r="DA56">
        <f>$C56*DA55</f>
        <v/>
      </c>
      <c r="DB56">
        <f>$C56*DB55</f>
        <v/>
      </c>
      <c r="DC56">
        <f>$C56*DC55</f>
        <v/>
      </c>
      <c r="DD56">
        <f>$C56*DD55</f>
        <v/>
      </c>
    </row>
    <row r="57">
      <c r="B57" t="inlineStr">
        <is>
          <t>TSP-618</t>
        </is>
      </c>
      <c r="C57" t="inlineStr">
        <is>
          <t>No. of batches</t>
        </is>
      </c>
      <c r="D57">
        <f>IFERROR(INDEX(E57:DD57,$F$1),"")</f>
        <v/>
      </c>
      <c r="E57">
        <f>IFERROR(INDEX(PP_Grid[#Data],$DE57,2),0)</f>
        <v/>
      </c>
      <c r="F57">
        <f>IFERROR(INDEX(PP_Grid[#Data],$DE57,3),0)</f>
        <v/>
      </c>
      <c r="G57">
        <f>IFERROR(INDEX(PP_Grid[#Data],$DE57,4),0)</f>
        <v/>
      </c>
      <c r="H57">
        <f>IFERROR(INDEX(PP_Grid[#Data],$DE57,5),0)</f>
        <v/>
      </c>
      <c r="I57">
        <f>IFERROR(INDEX(PP_Grid[#Data],$DE57,6),0)</f>
        <v/>
      </c>
      <c r="J57">
        <f>IFERROR(INDEX(PP_Grid[#Data],$DE57,7),0)</f>
        <v/>
      </c>
      <c r="K57">
        <f>IFERROR(INDEX(PP_Grid[#Data],$DE57,8),0)</f>
        <v/>
      </c>
      <c r="L57">
        <f>IFERROR(INDEX(PP_Grid[#Data],$DE57,9),0)</f>
        <v/>
      </c>
      <c r="M57">
        <f>IFERROR(INDEX(PP_Grid[#Data],$DE57,10),0)</f>
        <v/>
      </c>
      <c r="N57">
        <f>IFERROR(INDEX(PP_Grid[#Data],$DE57,11),0)</f>
        <v/>
      </c>
      <c r="O57">
        <f>IFERROR(INDEX(PP_Grid[#Data],$DE57,12),0)</f>
        <v/>
      </c>
      <c r="P57">
        <f>IFERROR(INDEX(PP_Grid[#Data],$DE57,13),0)</f>
        <v/>
      </c>
      <c r="Q57">
        <f>IFERROR(INDEX(PP_Grid[#Data],$DE57,14),0)</f>
        <v/>
      </c>
      <c r="R57">
        <f>IFERROR(INDEX(PP_Grid[#Data],$DE57,15),0)</f>
        <v/>
      </c>
      <c r="S57">
        <f>IFERROR(INDEX(PP_Grid[#Data],$DE57,16),0)</f>
        <v/>
      </c>
      <c r="T57">
        <f>IFERROR(INDEX(PP_Grid[#Data],$DE57,17),0)</f>
        <v/>
      </c>
      <c r="U57">
        <f>IFERROR(INDEX(PP_Grid[#Data],$DE57,18),0)</f>
        <v/>
      </c>
      <c r="V57">
        <f>IFERROR(INDEX(PP_Grid[#Data],$DE57,19),0)</f>
        <v/>
      </c>
      <c r="W57">
        <f>IFERROR(INDEX(PP_Grid[#Data],$DE57,20),0)</f>
        <v/>
      </c>
      <c r="X57">
        <f>IFERROR(INDEX(PP_Grid[#Data],$DE57,21),0)</f>
        <v/>
      </c>
      <c r="Y57">
        <f>IFERROR(INDEX(PP_Grid[#Data],$DE57,22),0)</f>
        <v/>
      </c>
      <c r="Z57">
        <f>IFERROR(INDEX(PP_Grid[#Data],$DE57,23),0)</f>
        <v/>
      </c>
      <c r="AA57">
        <f>IFERROR(INDEX(PP_Grid[#Data],$DE57,24),0)</f>
        <v/>
      </c>
      <c r="AB57">
        <f>IFERROR(INDEX(PP_Grid[#Data],$DE57,25),0)</f>
        <v/>
      </c>
      <c r="AC57">
        <f>IFERROR(INDEX(PP_Grid[#Data],$DE57,26),0)</f>
        <v/>
      </c>
      <c r="AD57">
        <f>IFERROR(INDEX(PP_Grid[#Data],$DE57,27),0)</f>
        <v/>
      </c>
      <c r="AE57">
        <f>IFERROR(INDEX(PP_Grid[#Data],$DE57,28),0)</f>
        <v/>
      </c>
      <c r="AF57">
        <f>IFERROR(INDEX(PP_Grid[#Data],$DE57,29),0)</f>
        <v/>
      </c>
      <c r="AG57">
        <f>IFERROR(INDEX(PP_Grid[#Data],$DE57,30),0)</f>
        <v/>
      </c>
      <c r="AH57">
        <f>IFERROR(INDEX(PP_Grid[#Data],$DE57,31),0)</f>
        <v/>
      </c>
      <c r="AI57">
        <f>IFERROR(INDEX(PP_Grid[#Data],$DE57,32),0)</f>
        <v/>
      </c>
      <c r="AJ57">
        <f>IFERROR(INDEX(PP_Grid[#Data],$DE57,33),0)</f>
        <v/>
      </c>
      <c r="AK57">
        <f>IFERROR(INDEX(PP_Grid[#Data],$DE57,34),0)</f>
        <v/>
      </c>
      <c r="AL57">
        <f>IFERROR(INDEX(PP_Grid[#Data],$DE57,35),0)</f>
        <v/>
      </c>
      <c r="AM57">
        <f>IFERROR(INDEX(PP_Grid[#Data],$DE57,36),0)</f>
        <v/>
      </c>
      <c r="AN57">
        <f>IFERROR(INDEX(PP_Grid[#Data],$DE57,37),0)</f>
        <v/>
      </c>
      <c r="AO57">
        <f>IFERROR(INDEX(PP_Grid[#Data],$DE57,38),0)</f>
        <v/>
      </c>
      <c r="AP57">
        <f>IFERROR(INDEX(PP_Grid[#Data],$DE57,39),0)</f>
        <v/>
      </c>
      <c r="AQ57">
        <f>IFERROR(INDEX(PP_Grid[#Data],$DE57,40),0)</f>
        <v/>
      </c>
      <c r="AR57">
        <f>IFERROR(INDEX(PP_Grid[#Data],$DE57,41),0)</f>
        <v/>
      </c>
      <c r="AS57">
        <f>IFERROR(INDEX(PP_Grid[#Data],$DE57,42),0)</f>
        <v/>
      </c>
      <c r="AT57">
        <f>IFERROR(INDEX(PP_Grid[#Data],$DE57,43),0)</f>
        <v/>
      </c>
      <c r="AU57">
        <f>IFERROR(INDEX(PP_Grid[#Data],$DE57,44),0)</f>
        <v/>
      </c>
      <c r="AV57">
        <f>IFERROR(INDEX(PP_Grid[#Data],$DE57,45),0)</f>
        <v/>
      </c>
      <c r="AW57">
        <f>IFERROR(INDEX(PP_Grid[#Data],$DE57,46),0)</f>
        <v/>
      </c>
      <c r="AX57">
        <f>IFERROR(INDEX(PP_Grid[#Data],$DE57,47),0)</f>
        <v/>
      </c>
      <c r="AY57">
        <f>IFERROR(INDEX(PP_Grid[#Data],$DE57,48),0)</f>
        <v/>
      </c>
      <c r="AZ57">
        <f>IFERROR(INDEX(PP_Grid[#Data],$DE57,49),0)</f>
        <v/>
      </c>
      <c r="BA57">
        <f>IFERROR(INDEX(PP_Grid[#Data],$DE57,50),0)</f>
        <v/>
      </c>
      <c r="BB57">
        <f>IFERROR(INDEX(PP_Grid[#Data],$DE57,51),0)</f>
        <v/>
      </c>
      <c r="BC57">
        <f>IFERROR(INDEX(PP_Grid[#Data],$DE57,52),0)</f>
        <v/>
      </c>
      <c r="BD57">
        <f>IFERROR(INDEX(PP_Grid[#Data],$DE57,53),0)</f>
        <v/>
      </c>
      <c r="BE57">
        <f>IFERROR(INDEX(PP_Grid[#Data],$DE57,54),0)</f>
        <v/>
      </c>
      <c r="BF57">
        <f>IFERROR(INDEX(PP_Grid[#Data],$DE57,55),0)</f>
        <v/>
      </c>
      <c r="BG57">
        <f>IFERROR(INDEX(PP_Grid[#Data],$DE57,56),0)</f>
        <v/>
      </c>
      <c r="BH57">
        <f>IFERROR(INDEX(PP_Grid[#Data],$DE57,57),0)</f>
        <v/>
      </c>
      <c r="BI57">
        <f>IFERROR(INDEX(PP_Grid[#Data],$DE57,58),0)</f>
        <v/>
      </c>
      <c r="BJ57">
        <f>IFERROR(INDEX(PP_Grid[#Data],$DE57,59),0)</f>
        <v/>
      </c>
      <c r="BK57">
        <f>IFERROR(INDEX(PP_Grid[#Data],$DE57,60),0)</f>
        <v/>
      </c>
      <c r="BL57">
        <f>IFERROR(INDEX(PP_Grid[#Data],$DE57,61),0)</f>
        <v/>
      </c>
      <c r="BM57">
        <f>IFERROR(INDEX(PP_Grid[#Data],$DE57,62),0)</f>
        <v/>
      </c>
      <c r="BN57">
        <f>IFERROR(INDEX(PP_Grid[#Data],$DE57,63),0)</f>
        <v/>
      </c>
      <c r="BO57">
        <f>IFERROR(INDEX(PP_Grid[#Data],$DE57,64),0)</f>
        <v/>
      </c>
      <c r="BP57">
        <f>IFERROR(INDEX(PP_Grid[#Data],$DE57,65),0)</f>
        <v/>
      </c>
      <c r="BQ57">
        <f>IFERROR(INDEX(PP_Grid[#Data],$DE57,66),0)</f>
        <v/>
      </c>
      <c r="BR57">
        <f>IFERROR(INDEX(PP_Grid[#Data],$DE57,67),0)</f>
        <v/>
      </c>
      <c r="BS57">
        <f>IFERROR(INDEX(PP_Grid[#Data],$DE57,68),0)</f>
        <v/>
      </c>
      <c r="BT57">
        <f>IFERROR(INDEX(PP_Grid[#Data],$DE57,69),0)</f>
        <v/>
      </c>
      <c r="BU57">
        <f>IFERROR(INDEX(PP_Grid[#Data],$DE57,70),0)</f>
        <v/>
      </c>
      <c r="BV57">
        <f>IFERROR(INDEX(PP_Grid[#Data],$DE57,71),0)</f>
        <v/>
      </c>
      <c r="BW57">
        <f>IFERROR(INDEX(PP_Grid[#Data],$DE57,72),0)</f>
        <v/>
      </c>
      <c r="BX57">
        <f>IFERROR(INDEX(PP_Grid[#Data],$DE57,73),0)</f>
        <v/>
      </c>
      <c r="BY57">
        <f>IFERROR(INDEX(PP_Grid[#Data],$DE57,74),0)</f>
        <v/>
      </c>
      <c r="BZ57">
        <f>IFERROR(INDEX(PP_Grid[#Data],$DE57,75),0)</f>
        <v/>
      </c>
      <c r="CA57">
        <f>IFERROR(INDEX(PP_Grid[#Data],$DE57,76),0)</f>
        <v/>
      </c>
      <c r="CB57">
        <f>IFERROR(INDEX(PP_Grid[#Data],$DE57,77),0)</f>
        <v/>
      </c>
      <c r="CC57">
        <f>IFERROR(INDEX(PP_Grid[#Data],$DE57,78),0)</f>
        <v/>
      </c>
      <c r="CD57">
        <f>IFERROR(INDEX(PP_Grid[#Data],$DE57,79),0)</f>
        <v/>
      </c>
      <c r="CE57">
        <f>IFERROR(INDEX(PP_Grid[#Data],$DE57,80),0)</f>
        <v/>
      </c>
      <c r="CF57">
        <f>IFERROR(INDEX(PP_Grid[#Data],$DE57,81),0)</f>
        <v/>
      </c>
      <c r="CG57">
        <f>IFERROR(INDEX(PP_Grid[#Data],$DE57,82),0)</f>
        <v/>
      </c>
      <c r="CH57">
        <f>IFERROR(INDEX(PP_Grid[#Data],$DE57,83),0)</f>
        <v/>
      </c>
      <c r="CI57">
        <f>IFERROR(INDEX(PP_Grid[#Data],$DE57,84),0)</f>
        <v/>
      </c>
      <c r="CJ57">
        <f>IFERROR(INDEX(PP_Grid[#Data],$DE57,85),0)</f>
        <v/>
      </c>
      <c r="CK57">
        <f>IFERROR(INDEX(PP_Grid[#Data],$DE57,86),0)</f>
        <v/>
      </c>
      <c r="CL57">
        <f>IFERROR(INDEX(PP_Grid[#Data],$DE57,87),0)</f>
        <v/>
      </c>
      <c r="CM57">
        <f>IFERROR(INDEX(PP_Grid[#Data],$DE57,88),0)</f>
        <v/>
      </c>
      <c r="CN57">
        <f>IFERROR(INDEX(PP_Grid[#Data],$DE57,89),0)</f>
        <v/>
      </c>
      <c r="CO57">
        <f>IFERROR(INDEX(PP_Grid[#Data],$DE57,90),0)</f>
        <v/>
      </c>
      <c r="CP57">
        <f>IFERROR(INDEX(PP_Grid[#Data],$DE57,91),0)</f>
        <v/>
      </c>
      <c r="CQ57">
        <f>IFERROR(INDEX(PP_Grid[#Data],$DE57,92),0)</f>
        <v/>
      </c>
      <c r="CR57">
        <f>IFERROR(INDEX(PP_Grid[#Data],$DE57,93),0)</f>
        <v/>
      </c>
      <c r="CS57">
        <f>IFERROR(INDEX(PP_Grid[#Data],$DE57,94),0)</f>
        <v/>
      </c>
      <c r="CT57">
        <f>IFERROR(INDEX(PP_Grid[#Data],$DE57,95),0)</f>
        <v/>
      </c>
      <c r="CU57">
        <f>IFERROR(INDEX(PP_Grid[#Data],$DE57,96),0)</f>
        <v/>
      </c>
      <c r="CV57">
        <f>IFERROR(INDEX(PP_Grid[#Data],$DE57,97),0)</f>
        <v/>
      </c>
      <c r="CW57">
        <f>IFERROR(INDEX(PP_Grid[#Data],$DE57,98),0)</f>
        <v/>
      </c>
      <c r="CX57">
        <f>IFERROR(INDEX(PP_Grid[#Data],$DE57,99),0)</f>
        <v/>
      </c>
      <c r="CY57">
        <f>IFERROR(INDEX(PP_Grid[#Data],$DE57,100),0)</f>
        <v/>
      </c>
      <c r="CZ57">
        <f>IFERROR(INDEX(PP_Grid[#Data],$DE57,101),0)</f>
        <v/>
      </c>
      <c r="DA57">
        <f>IFERROR(INDEX(PP_Grid[#Data],$DE57,102),0)</f>
        <v/>
      </c>
      <c r="DB57">
        <f>IFERROR(INDEX(PP_Grid[#Data],$DE57,103),0)</f>
        <v/>
      </c>
      <c r="DC57">
        <f>IFERROR(INDEX(PP_Grid[#Data],$DE57,104),0)</f>
        <v/>
      </c>
      <c r="DD57">
        <f>IFERROR(INDEX(PP_Grid[#Data],$DE57,105),0)</f>
        <v/>
      </c>
      <c r="DE57" s="7">
        <f>IFERROR(MATCH($B57,PP_Grid[Intermediate],0),99999)</f>
        <v/>
      </c>
    </row>
    <row r="58">
      <c r="B58" t="inlineStr">
        <is>
          <t>使用量(kg)</t>
        </is>
      </c>
      <c r="C58">
        <f>SUMIFS(M_BOM[RM_Qty_Per_Batch],M_BOM[Intermediate],$B57,M_BOM[RM_Code],$A28)</f>
        <v/>
      </c>
      <c r="D58">
        <f>IFERROR(INDEX(E58:DD58,$F$1),"")</f>
        <v/>
      </c>
      <c r="E58">
        <f>$C58*E57</f>
        <v/>
      </c>
      <c r="F58">
        <f>$C58*F57</f>
        <v/>
      </c>
      <c r="G58">
        <f>$C58*G57</f>
        <v/>
      </c>
      <c r="H58">
        <f>$C58*H57</f>
        <v/>
      </c>
      <c r="I58">
        <f>$C58*I57</f>
        <v/>
      </c>
      <c r="J58">
        <f>$C58*J57</f>
        <v/>
      </c>
      <c r="K58">
        <f>$C58*K57</f>
        <v/>
      </c>
      <c r="L58">
        <f>$C58*L57</f>
        <v/>
      </c>
      <c r="M58">
        <f>$C58*M57</f>
        <v/>
      </c>
      <c r="N58">
        <f>$C58*N57</f>
        <v/>
      </c>
      <c r="O58">
        <f>$C58*O57</f>
        <v/>
      </c>
      <c r="P58">
        <f>$C58*P57</f>
        <v/>
      </c>
      <c r="Q58">
        <f>$C58*Q57</f>
        <v/>
      </c>
      <c r="R58">
        <f>$C58*R57</f>
        <v/>
      </c>
      <c r="S58">
        <f>$C58*S57</f>
        <v/>
      </c>
      <c r="T58">
        <f>$C58*T57</f>
        <v/>
      </c>
      <c r="U58">
        <f>$C58*U57</f>
        <v/>
      </c>
      <c r="V58">
        <f>$C58*V57</f>
        <v/>
      </c>
      <c r="W58">
        <f>$C58*W57</f>
        <v/>
      </c>
      <c r="X58">
        <f>$C58*X57</f>
        <v/>
      </c>
      <c r="Y58">
        <f>$C58*Y57</f>
        <v/>
      </c>
      <c r="Z58">
        <f>$C58*Z57</f>
        <v/>
      </c>
      <c r="AA58">
        <f>$C58*AA57</f>
        <v/>
      </c>
      <c r="AB58">
        <f>$C58*AB57</f>
        <v/>
      </c>
      <c r="AC58">
        <f>$C58*AC57</f>
        <v/>
      </c>
      <c r="AD58">
        <f>$C58*AD57</f>
        <v/>
      </c>
      <c r="AE58">
        <f>$C58*AE57</f>
        <v/>
      </c>
      <c r="AF58">
        <f>$C58*AF57</f>
        <v/>
      </c>
      <c r="AG58">
        <f>$C58*AG57</f>
        <v/>
      </c>
      <c r="AH58">
        <f>$C58*AH57</f>
        <v/>
      </c>
      <c r="AI58">
        <f>$C58*AI57</f>
        <v/>
      </c>
      <c r="AJ58">
        <f>$C58*AJ57</f>
        <v/>
      </c>
      <c r="AK58">
        <f>$C58*AK57</f>
        <v/>
      </c>
      <c r="AL58">
        <f>$C58*AL57</f>
        <v/>
      </c>
      <c r="AM58">
        <f>$C58*AM57</f>
        <v/>
      </c>
      <c r="AN58">
        <f>$C58*AN57</f>
        <v/>
      </c>
      <c r="AO58">
        <f>$C58*AO57</f>
        <v/>
      </c>
      <c r="AP58">
        <f>$C58*AP57</f>
        <v/>
      </c>
      <c r="AQ58">
        <f>$C58*AQ57</f>
        <v/>
      </c>
      <c r="AR58">
        <f>$C58*AR57</f>
        <v/>
      </c>
      <c r="AS58">
        <f>$C58*AS57</f>
        <v/>
      </c>
      <c r="AT58">
        <f>$C58*AT57</f>
        <v/>
      </c>
      <c r="AU58">
        <f>$C58*AU57</f>
        <v/>
      </c>
      <c r="AV58">
        <f>$C58*AV57</f>
        <v/>
      </c>
      <c r="AW58">
        <f>$C58*AW57</f>
        <v/>
      </c>
      <c r="AX58">
        <f>$C58*AX57</f>
        <v/>
      </c>
      <c r="AY58">
        <f>$C58*AY57</f>
        <v/>
      </c>
      <c r="AZ58">
        <f>$C58*AZ57</f>
        <v/>
      </c>
      <c r="BA58">
        <f>$C58*BA57</f>
        <v/>
      </c>
      <c r="BB58">
        <f>$C58*BB57</f>
        <v/>
      </c>
      <c r="BC58">
        <f>$C58*BC57</f>
        <v/>
      </c>
      <c r="BD58">
        <f>$C58*BD57</f>
        <v/>
      </c>
      <c r="BE58">
        <f>$C58*BE57</f>
        <v/>
      </c>
      <c r="BF58">
        <f>$C58*BF57</f>
        <v/>
      </c>
      <c r="BG58">
        <f>$C58*BG57</f>
        <v/>
      </c>
      <c r="BH58">
        <f>$C58*BH57</f>
        <v/>
      </c>
      <c r="BI58">
        <f>$C58*BI57</f>
        <v/>
      </c>
      <c r="BJ58">
        <f>$C58*BJ57</f>
        <v/>
      </c>
      <c r="BK58">
        <f>$C58*BK57</f>
        <v/>
      </c>
      <c r="BL58">
        <f>$C58*BL57</f>
        <v/>
      </c>
      <c r="BM58">
        <f>$C58*BM57</f>
        <v/>
      </c>
      <c r="BN58">
        <f>$C58*BN57</f>
        <v/>
      </c>
      <c r="BO58">
        <f>$C58*BO57</f>
        <v/>
      </c>
      <c r="BP58">
        <f>$C58*BP57</f>
        <v/>
      </c>
      <c r="BQ58">
        <f>$C58*BQ57</f>
        <v/>
      </c>
      <c r="BR58">
        <f>$C58*BR57</f>
        <v/>
      </c>
      <c r="BS58">
        <f>$C58*BS57</f>
        <v/>
      </c>
      <c r="BT58">
        <f>$C58*BT57</f>
        <v/>
      </c>
      <c r="BU58">
        <f>$C58*BU57</f>
        <v/>
      </c>
      <c r="BV58">
        <f>$C58*BV57</f>
        <v/>
      </c>
      <c r="BW58">
        <f>$C58*BW57</f>
        <v/>
      </c>
      <c r="BX58">
        <f>$C58*BX57</f>
        <v/>
      </c>
      <c r="BY58">
        <f>$C58*BY57</f>
        <v/>
      </c>
      <c r="BZ58">
        <f>$C58*BZ57</f>
        <v/>
      </c>
      <c r="CA58">
        <f>$C58*CA57</f>
        <v/>
      </c>
      <c r="CB58">
        <f>$C58*CB57</f>
        <v/>
      </c>
      <c r="CC58">
        <f>$C58*CC57</f>
        <v/>
      </c>
      <c r="CD58">
        <f>$C58*CD57</f>
        <v/>
      </c>
      <c r="CE58">
        <f>$C58*CE57</f>
        <v/>
      </c>
      <c r="CF58">
        <f>$C58*CF57</f>
        <v/>
      </c>
      <c r="CG58">
        <f>$C58*CG57</f>
        <v/>
      </c>
      <c r="CH58">
        <f>$C58*CH57</f>
        <v/>
      </c>
      <c r="CI58">
        <f>$C58*CI57</f>
        <v/>
      </c>
      <c r="CJ58">
        <f>$C58*CJ57</f>
        <v/>
      </c>
      <c r="CK58">
        <f>$C58*CK57</f>
        <v/>
      </c>
      <c r="CL58">
        <f>$C58*CL57</f>
        <v/>
      </c>
      <c r="CM58">
        <f>$C58*CM57</f>
        <v/>
      </c>
      <c r="CN58">
        <f>$C58*CN57</f>
        <v/>
      </c>
      <c r="CO58">
        <f>$C58*CO57</f>
        <v/>
      </c>
      <c r="CP58">
        <f>$C58*CP57</f>
        <v/>
      </c>
      <c r="CQ58">
        <f>$C58*CQ57</f>
        <v/>
      </c>
      <c r="CR58">
        <f>$C58*CR57</f>
        <v/>
      </c>
      <c r="CS58">
        <f>$C58*CS57</f>
        <v/>
      </c>
      <c r="CT58">
        <f>$C58*CT57</f>
        <v/>
      </c>
      <c r="CU58">
        <f>$C58*CU57</f>
        <v/>
      </c>
      <c r="CV58">
        <f>$C58*CV57</f>
        <v/>
      </c>
      <c r="CW58">
        <f>$C58*CW57</f>
        <v/>
      </c>
      <c r="CX58">
        <f>$C58*CX57</f>
        <v/>
      </c>
      <c r="CY58">
        <f>$C58*CY57</f>
        <v/>
      </c>
      <c r="CZ58">
        <f>$C58*CZ57</f>
        <v/>
      </c>
      <c r="DA58">
        <f>$C58*DA57</f>
        <v/>
      </c>
      <c r="DB58">
        <f>$C58*DB57</f>
        <v/>
      </c>
      <c r="DC58">
        <f>$C58*DC57</f>
        <v/>
      </c>
      <c r="DD58">
        <f>$C58*DD57</f>
        <v/>
      </c>
    </row>
    <row r="59">
      <c r="B59" t="inlineStr">
        <is>
          <t>TSP-710</t>
        </is>
      </c>
      <c r="C59" t="inlineStr">
        <is>
          <t>No. of batches</t>
        </is>
      </c>
      <c r="D59">
        <f>IFERROR(INDEX(E59:DD59,$F$1),"")</f>
        <v/>
      </c>
      <c r="E59">
        <f>IFERROR(INDEX(PP_Grid[#Data],$DE59,2),0)</f>
        <v/>
      </c>
      <c r="F59">
        <f>IFERROR(INDEX(PP_Grid[#Data],$DE59,3),0)</f>
        <v/>
      </c>
      <c r="G59">
        <f>IFERROR(INDEX(PP_Grid[#Data],$DE59,4),0)</f>
        <v/>
      </c>
      <c r="H59">
        <f>IFERROR(INDEX(PP_Grid[#Data],$DE59,5),0)</f>
        <v/>
      </c>
      <c r="I59">
        <f>IFERROR(INDEX(PP_Grid[#Data],$DE59,6),0)</f>
        <v/>
      </c>
      <c r="J59">
        <f>IFERROR(INDEX(PP_Grid[#Data],$DE59,7),0)</f>
        <v/>
      </c>
      <c r="K59">
        <f>IFERROR(INDEX(PP_Grid[#Data],$DE59,8),0)</f>
        <v/>
      </c>
      <c r="L59">
        <f>IFERROR(INDEX(PP_Grid[#Data],$DE59,9),0)</f>
        <v/>
      </c>
      <c r="M59">
        <f>IFERROR(INDEX(PP_Grid[#Data],$DE59,10),0)</f>
        <v/>
      </c>
      <c r="N59">
        <f>IFERROR(INDEX(PP_Grid[#Data],$DE59,11),0)</f>
        <v/>
      </c>
      <c r="O59">
        <f>IFERROR(INDEX(PP_Grid[#Data],$DE59,12),0)</f>
        <v/>
      </c>
      <c r="P59">
        <f>IFERROR(INDEX(PP_Grid[#Data],$DE59,13),0)</f>
        <v/>
      </c>
      <c r="Q59">
        <f>IFERROR(INDEX(PP_Grid[#Data],$DE59,14),0)</f>
        <v/>
      </c>
      <c r="R59">
        <f>IFERROR(INDEX(PP_Grid[#Data],$DE59,15),0)</f>
        <v/>
      </c>
      <c r="S59">
        <f>IFERROR(INDEX(PP_Grid[#Data],$DE59,16),0)</f>
        <v/>
      </c>
      <c r="T59">
        <f>IFERROR(INDEX(PP_Grid[#Data],$DE59,17),0)</f>
        <v/>
      </c>
      <c r="U59">
        <f>IFERROR(INDEX(PP_Grid[#Data],$DE59,18),0)</f>
        <v/>
      </c>
      <c r="V59">
        <f>IFERROR(INDEX(PP_Grid[#Data],$DE59,19),0)</f>
        <v/>
      </c>
      <c r="W59">
        <f>IFERROR(INDEX(PP_Grid[#Data],$DE59,20),0)</f>
        <v/>
      </c>
      <c r="X59">
        <f>IFERROR(INDEX(PP_Grid[#Data],$DE59,21),0)</f>
        <v/>
      </c>
      <c r="Y59">
        <f>IFERROR(INDEX(PP_Grid[#Data],$DE59,22),0)</f>
        <v/>
      </c>
      <c r="Z59">
        <f>IFERROR(INDEX(PP_Grid[#Data],$DE59,23),0)</f>
        <v/>
      </c>
      <c r="AA59">
        <f>IFERROR(INDEX(PP_Grid[#Data],$DE59,24),0)</f>
        <v/>
      </c>
      <c r="AB59">
        <f>IFERROR(INDEX(PP_Grid[#Data],$DE59,25),0)</f>
        <v/>
      </c>
      <c r="AC59">
        <f>IFERROR(INDEX(PP_Grid[#Data],$DE59,26),0)</f>
        <v/>
      </c>
      <c r="AD59">
        <f>IFERROR(INDEX(PP_Grid[#Data],$DE59,27),0)</f>
        <v/>
      </c>
      <c r="AE59">
        <f>IFERROR(INDEX(PP_Grid[#Data],$DE59,28),0)</f>
        <v/>
      </c>
      <c r="AF59">
        <f>IFERROR(INDEX(PP_Grid[#Data],$DE59,29),0)</f>
        <v/>
      </c>
      <c r="AG59">
        <f>IFERROR(INDEX(PP_Grid[#Data],$DE59,30),0)</f>
        <v/>
      </c>
      <c r="AH59">
        <f>IFERROR(INDEX(PP_Grid[#Data],$DE59,31),0)</f>
        <v/>
      </c>
      <c r="AI59">
        <f>IFERROR(INDEX(PP_Grid[#Data],$DE59,32),0)</f>
        <v/>
      </c>
      <c r="AJ59">
        <f>IFERROR(INDEX(PP_Grid[#Data],$DE59,33),0)</f>
        <v/>
      </c>
      <c r="AK59">
        <f>IFERROR(INDEX(PP_Grid[#Data],$DE59,34),0)</f>
        <v/>
      </c>
      <c r="AL59">
        <f>IFERROR(INDEX(PP_Grid[#Data],$DE59,35),0)</f>
        <v/>
      </c>
      <c r="AM59">
        <f>IFERROR(INDEX(PP_Grid[#Data],$DE59,36),0)</f>
        <v/>
      </c>
      <c r="AN59">
        <f>IFERROR(INDEX(PP_Grid[#Data],$DE59,37),0)</f>
        <v/>
      </c>
      <c r="AO59">
        <f>IFERROR(INDEX(PP_Grid[#Data],$DE59,38),0)</f>
        <v/>
      </c>
      <c r="AP59">
        <f>IFERROR(INDEX(PP_Grid[#Data],$DE59,39),0)</f>
        <v/>
      </c>
      <c r="AQ59">
        <f>IFERROR(INDEX(PP_Grid[#Data],$DE59,40),0)</f>
        <v/>
      </c>
      <c r="AR59">
        <f>IFERROR(INDEX(PP_Grid[#Data],$DE59,41),0)</f>
        <v/>
      </c>
      <c r="AS59">
        <f>IFERROR(INDEX(PP_Grid[#Data],$DE59,42),0)</f>
        <v/>
      </c>
      <c r="AT59">
        <f>IFERROR(INDEX(PP_Grid[#Data],$DE59,43),0)</f>
        <v/>
      </c>
      <c r="AU59">
        <f>IFERROR(INDEX(PP_Grid[#Data],$DE59,44),0)</f>
        <v/>
      </c>
      <c r="AV59">
        <f>IFERROR(INDEX(PP_Grid[#Data],$DE59,45),0)</f>
        <v/>
      </c>
      <c r="AW59">
        <f>IFERROR(INDEX(PP_Grid[#Data],$DE59,46),0)</f>
        <v/>
      </c>
      <c r="AX59">
        <f>IFERROR(INDEX(PP_Grid[#Data],$DE59,47),0)</f>
        <v/>
      </c>
      <c r="AY59">
        <f>IFERROR(INDEX(PP_Grid[#Data],$DE59,48),0)</f>
        <v/>
      </c>
      <c r="AZ59">
        <f>IFERROR(INDEX(PP_Grid[#Data],$DE59,49),0)</f>
        <v/>
      </c>
      <c r="BA59">
        <f>IFERROR(INDEX(PP_Grid[#Data],$DE59,50),0)</f>
        <v/>
      </c>
      <c r="BB59">
        <f>IFERROR(INDEX(PP_Grid[#Data],$DE59,51),0)</f>
        <v/>
      </c>
      <c r="BC59">
        <f>IFERROR(INDEX(PP_Grid[#Data],$DE59,52),0)</f>
        <v/>
      </c>
      <c r="BD59">
        <f>IFERROR(INDEX(PP_Grid[#Data],$DE59,53),0)</f>
        <v/>
      </c>
      <c r="BE59">
        <f>IFERROR(INDEX(PP_Grid[#Data],$DE59,54),0)</f>
        <v/>
      </c>
      <c r="BF59">
        <f>IFERROR(INDEX(PP_Grid[#Data],$DE59,55),0)</f>
        <v/>
      </c>
      <c r="BG59">
        <f>IFERROR(INDEX(PP_Grid[#Data],$DE59,56),0)</f>
        <v/>
      </c>
      <c r="BH59">
        <f>IFERROR(INDEX(PP_Grid[#Data],$DE59,57),0)</f>
        <v/>
      </c>
      <c r="BI59">
        <f>IFERROR(INDEX(PP_Grid[#Data],$DE59,58),0)</f>
        <v/>
      </c>
      <c r="BJ59">
        <f>IFERROR(INDEX(PP_Grid[#Data],$DE59,59),0)</f>
        <v/>
      </c>
      <c r="BK59">
        <f>IFERROR(INDEX(PP_Grid[#Data],$DE59,60),0)</f>
        <v/>
      </c>
      <c r="BL59">
        <f>IFERROR(INDEX(PP_Grid[#Data],$DE59,61),0)</f>
        <v/>
      </c>
      <c r="BM59">
        <f>IFERROR(INDEX(PP_Grid[#Data],$DE59,62),0)</f>
        <v/>
      </c>
      <c r="BN59">
        <f>IFERROR(INDEX(PP_Grid[#Data],$DE59,63),0)</f>
        <v/>
      </c>
      <c r="BO59">
        <f>IFERROR(INDEX(PP_Grid[#Data],$DE59,64),0)</f>
        <v/>
      </c>
      <c r="BP59">
        <f>IFERROR(INDEX(PP_Grid[#Data],$DE59,65),0)</f>
        <v/>
      </c>
      <c r="BQ59">
        <f>IFERROR(INDEX(PP_Grid[#Data],$DE59,66),0)</f>
        <v/>
      </c>
      <c r="BR59">
        <f>IFERROR(INDEX(PP_Grid[#Data],$DE59,67),0)</f>
        <v/>
      </c>
      <c r="BS59">
        <f>IFERROR(INDEX(PP_Grid[#Data],$DE59,68),0)</f>
        <v/>
      </c>
      <c r="BT59">
        <f>IFERROR(INDEX(PP_Grid[#Data],$DE59,69),0)</f>
        <v/>
      </c>
      <c r="BU59">
        <f>IFERROR(INDEX(PP_Grid[#Data],$DE59,70),0)</f>
        <v/>
      </c>
      <c r="BV59">
        <f>IFERROR(INDEX(PP_Grid[#Data],$DE59,71),0)</f>
        <v/>
      </c>
      <c r="BW59">
        <f>IFERROR(INDEX(PP_Grid[#Data],$DE59,72),0)</f>
        <v/>
      </c>
      <c r="BX59">
        <f>IFERROR(INDEX(PP_Grid[#Data],$DE59,73),0)</f>
        <v/>
      </c>
      <c r="BY59">
        <f>IFERROR(INDEX(PP_Grid[#Data],$DE59,74),0)</f>
        <v/>
      </c>
      <c r="BZ59">
        <f>IFERROR(INDEX(PP_Grid[#Data],$DE59,75),0)</f>
        <v/>
      </c>
      <c r="CA59">
        <f>IFERROR(INDEX(PP_Grid[#Data],$DE59,76),0)</f>
        <v/>
      </c>
      <c r="CB59">
        <f>IFERROR(INDEX(PP_Grid[#Data],$DE59,77),0)</f>
        <v/>
      </c>
      <c r="CC59">
        <f>IFERROR(INDEX(PP_Grid[#Data],$DE59,78),0)</f>
        <v/>
      </c>
      <c r="CD59">
        <f>IFERROR(INDEX(PP_Grid[#Data],$DE59,79),0)</f>
        <v/>
      </c>
      <c r="CE59">
        <f>IFERROR(INDEX(PP_Grid[#Data],$DE59,80),0)</f>
        <v/>
      </c>
      <c r="CF59">
        <f>IFERROR(INDEX(PP_Grid[#Data],$DE59,81),0)</f>
        <v/>
      </c>
      <c r="CG59">
        <f>IFERROR(INDEX(PP_Grid[#Data],$DE59,82),0)</f>
        <v/>
      </c>
      <c r="CH59">
        <f>IFERROR(INDEX(PP_Grid[#Data],$DE59,83),0)</f>
        <v/>
      </c>
      <c r="CI59">
        <f>IFERROR(INDEX(PP_Grid[#Data],$DE59,84),0)</f>
        <v/>
      </c>
      <c r="CJ59">
        <f>IFERROR(INDEX(PP_Grid[#Data],$DE59,85),0)</f>
        <v/>
      </c>
      <c r="CK59">
        <f>IFERROR(INDEX(PP_Grid[#Data],$DE59,86),0)</f>
        <v/>
      </c>
      <c r="CL59">
        <f>IFERROR(INDEX(PP_Grid[#Data],$DE59,87),0)</f>
        <v/>
      </c>
      <c r="CM59">
        <f>IFERROR(INDEX(PP_Grid[#Data],$DE59,88),0)</f>
        <v/>
      </c>
      <c r="CN59">
        <f>IFERROR(INDEX(PP_Grid[#Data],$DE59,89),0)</f>
        <v/>
      </c>
      <c r="CO59">
        <f>IFERROR(INDEX(PP_Grid[#Data],$DE59,90),0)</f>
        <v/>
      </c>
      <c r="CP59">
        <f>IFERROR(INDEX(PP_Grid[#Data],$DE59,91),0)</f>
        <v/>
      </c>
      <c r="CQ59">
        <f>IFERROR(INDEX(PP_Grid[#Data],$DE59,92),0)</f>
        <v/>
      </c>
      <c r="CR59">
        <f>IFERROR(INDEX(PP_Grid[#Data],$DE59,93),0)</f>
        <v/>
      </c>
      <c r="CS59">
        <f>IFERROR(INDEX(PP_Grid[#Data],$DE59,94),0)</f>
        <v/>
      </c>
      <c r="CT59">
        <f>IFERROR(INDEX(PP_Grid[#Data],$DE59,95),0)</f>
        <v/>
      </c>
      <c r="CU59">
        <f>IFERROR(INDEX(PP_Grid[#Data],$DE59,96),0)</f>
        <v/>
      </c>
      <c r="CV59">
        <f>IFERROR(INDEX(PP_Grid[#Data],$DE59,97),0)</f>
        <v/>
      </c>
      <c r="CW59">
        <f>IFERROR(INDEX(PP_Grid[#Data],$DE59,98),0)</f>
        <v/>
      </c>
      <c r="CX59">
        <f>IFERROR(INDEX(PP_Grid[#Data],$DE59,99),0)</f>
        <v/>
      </c>
      <c r="CY59">
        <f>IFERROR(INDEX(PP_Grid[#Data],$DE59,100),0)</f>
        <v/>
      </c>
      <c r="CZ59">
        <f>IFERROR(INDEX(PP_Grid[#Data],$DE59,101),0)</f>
        <v/>
      </c>
      <c r="DA59">
        <f>IFERROR(INDEX(PP_Grid[#Data],$DE59,102),0)</f>
        <v/>
      </c>
      <c r="DB59">
        <f>IFERROR(INDEX(PP_Grid[#Data],$DE59,103),0)</f>
        <v/>
      </c>
      <c r="DC59">
        <f>IFERROR(INDEX(PP_Grid[#Data],$DE59,104),0)</f>
        <v/>
      </c>
      <c r="DD59">
        <f>IFERROR(INDEX(PP_Grid[#Data],$DE59,105),0)</f>
        <v/>
      </c>
      <c r="DE59" s="7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SUMIFS(M_BOM[RM_Qty_Per_Batch],M_BOM[Intermediate],$B59,M_BOM[RM_Code],$A28)</f>
        <v/>
      </c>
      <c r="D60">
        <f>IFERROR(INDEX(E60:DD60,$F$1),"")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  <c r="DD60">
        <f>$C60*DD59</f>
        <v/>
      </c>
    </row>
    <row r="61">
      <c r="B61" t="inlineStr">
        <is>
          <t>TSP-828</t>
        </is>
      </c>
      <c r="C61" t="inlineStr">
        <is>
          <t>No. of batches</t>
        </is>
      </c>
      <c r="D61">
        <f>IFERROR(INDEX(E61:DD61,$F$1),"")</f>
        <v/>
      </c>
      <c r="E61">
        <f>IFERROR(INDEX(PP_Grid[#Data],$DE61,2),0)</f>
        <v/>
      </c>
      <c r="F61">
        <f>IFERROR(INDEX(PP_Grid[#Data],$DE61,3),0)</f>
        <v/>
      </c>
      <c r="G61">
        <f>IFERROR(INDEX(PP_Grid[#Data],$DE61,4),0)</f>
        <v/>
      </c>
      <c r="H61">
        <f>IFERROR(INDEX(PP_Grid[#Data],$DE61,5),0)</f>
        <v/>
      </c>
      <c r="I61">
        <f>IFERROR(INDEX(PP_Grid[#Data],$DE61,6),0)</f>
        <v/>
      </c>
      <c r="J61">
        <f>IFERROR(INDEX(PP_Grid[#Data],$DE61,7),0)</f>
        <v/>
      </c>
      <c r="K61">
        <f>IFERROR(INDEX(PP_Grid[#Data],$DE61,8),0)</f>
        <v/>
      </c>
      <c r="L61">
        <f>IFERROR(INDEX(PP_Grid[#Data],$DE61,9),0)</f>
        <v/>
      </c>
      <c r="M61">
        <f>IFERROR(INDEX(PP_Grid[#Data],$DE61,10),0)</f>
        <v/>
      </c>
      <c r="N61">
        <f>IFERROR(INDEX(PP_Grid[#Data],$DE61,11),0)</f>
        <v/>
      </c>
      <c r="O61">
        <f>IFERROR(INDEX(PP_Grid[#Data],$DE61,12),0)</f>
        <v/>
      </c>
      <c r="P61">
        <f>IFERROR(INDEX(PP_Grid[#Data],$DE61,13),0)</f>
        <v/>
      </c>
      <c r="Q61">
        <f>IFERROR(INDEX(PP_Grid[#Data],$DE61,14),0)</f>
        <v/>
      </c>
      <c r="R61">
        <f>IFERROR(INDEX(PP_Grid[#Data],$DE61,15),0)</f>
        <v/>
      </c>
      <c r="S61">
        <f>IFERROR(INDEX(PP_Grid[#Data],$DE61,16),0)</f>
        <v/>
      </c>
      <c r="T61">
        <f>IFERROR(INDEX(PP_Grid[#Data],$DE61,17),0)</f>
        <v/>
      </c>
      <c r="U61">
        <f>IFERROR(INDEX(PP_Grid[#Data],$DE61,18),0)</f>
        <v/>
      </c>
      <c r="V61">
        <f>IFERROR(INDEX(PP_Grid[#Data],$DE61,19),0)</f>
        <v/>
      </c>
      <c r="W61">
        <f>IFERROR(INDEX(PP_Grid[#Data],$DE61,20),0)</f>
        <v/>
      </c>
      <c r="X61">
        <f>IFERROR(INDEX(PP_Grid[#Data],$DE61,21),0)</f>
        <v/>
      </c>
      <c r="Y61">
        <f>IFERROR(INDEX(PP_Grid[#Data],$DE61,22),0)</f>
        <v/>
      </c>
      <c r="Z61">
        <f>IFERROR(INDEX(PP_Grid[#Data],$DE61,23),0)</f>
        <v/>
      </c>
      <c r="AA61">
        <f>IFERROR(INDEX(PP_Grid[#Data],$DE61,24),0)</f>
        <v/>
      </c>
      <c r="AB61">
        <f>IFERROR(INDEX(PP_Grid[#Data],$DE61,25),0)</f>
        <v/>
      </c>
      <c r="AC61">
        <f>IFERROR(INDEX(PP_Grid[#Data],$DE61,26),0)</f>
        <v/>
      </c>
      <c r="AD61">
        <f>IFERROR(INDEX(PP_Grid[#Data],$DE61,27),0)</f>
        <v/>
      </c>
      <c r="AE61">
        <f>IFERROR(INDEX(PP_Grid[#Data],$DE61,28),0)</f>
        <v/>
      </c>
      <c r="AF61">
        <f>IFERROR(INDEX(PP_Grid[#Data],$DE61,29),0)</f>
        <v/>
      </c>
      <c r="AG61">
        <f>IFERROR(INDEX(PP_Grid[#Data],$DE61,30),0)</f>
        <v/>
      </c>
      <c r="AH61">
        <f>IFERROR(INDEX(PP_Grid[#Data],$DE61,31),0)</f>
        <v/>
      </c>
      <c r="AI61">
        <f>IFERROR(INDEX(PP_Grid[#Data],$DE61,32),0)</f>
        <v/>
      </c>
      <c r="AJ61">
        <f>IFERROR(INDEX(PP_Grid[#Data],$DE61,33),0)</f>
        <v/>
      </c>
      <c r="AK61">
        <f>IFERROR(INDEX(PP_Grid[#Data],$DE61,34),0)</f>
        <v/>
      </c>
      <c r="AL61">
        <f>IFERROR(INDEX(PP_Grid[#Data],$DE61,35),0)</f>
        <v/>
      </c>
      <c r="AM61">
        <f>IFERROR(INDEX(PP_Grid[#Data],$DE61,36),0)</f>
        <v/>
      </c>
      <c r="AN61">
        <f>IFERROR(INDEX(PP_Grid[#Data],$DE61,37),0)</f>
        <v/>
      </c>
      <c r="AO61">
        <f>IFERROR(INDEX(PP_Grid[#Data],$DE61,38),0)</f>
        <v/>
      </c>
      <c r="AP61">
        <f>IFERROR(INDEX(PP_Grid[#Data],$DE61,39),0)</f>
        <v/>
      </c>
      <c r="AQ61">
        <f>IFERROR(INDEX(PP_Grid[#Data],$DE61,40),0)</f>
        <v/>
      </c>
      <c r="AR61">
        <f>IFERROR(INDEX(PP_Grid[#Data],$DE61,41),0)</f>
        <v/>
      </c>
      <c r="AS61">
        <f>IFERROR(INDEX(PP_Grid[#Data],$DE61,42),0)</f>
        <v/>
      </c>
      <c r="AT61">
        <f>IFERROR(INDEX(PP_Grid[#Data],$DE61,43),0)</f>
        <v/>
      </c>
      <c r="AU61">
        <f>IFERROR(INDEX(PP_Grid[#Data],$DE61,44),0)</f>
        <v/>
      </c>
      <c r="AV61">
        <f>IFERROR(INDEX(PP_Grid[#Data],$DE61,45),0)</f>
        <v/>
      </c>
      <c r="AW61">
        <f>IFERROR(INDEX(PP_Grid[#Data],$DE61,46),0)</f>
        <v/>
      </c>
      <c r="AX61">
        <f>IFERROR(INDEX(PP_Grid[#Data],$DE61,47),0)</f>
        <v/>
      </c>
      <c r="AY61">
        <f>IFERROR(INDEX(PP_Grid[#Data],$DE61,48),0)</f>
        <v/>
      </c>
      <c r="AZ61">
        <f>IFERROR(INDEX(PP_Grid[#Data],$DE61,49),0)</f>
        <v/>
      </c>
      <c r="BA61">
        <f>IFERROR(INDEX(PP_Grid[#Data],$DE61,50),0)</f>
        <v/>
      </c>
      <c r="BB61">
        <f>IFERROR(INDEX(PP_Grid[#Data],$DE61,51),0)</f>
        <v/>
      </c>
      <c r="BC61">
        <f>IFERROR(INDEX(PP_Grid[#Data],$DE61,52),0)</f>
        <v/>
      </c>
      <c r="BD61">
        <f>IFERROR(INDEX(PP_Grid[#Data],$DE61,53),0)</f>
        <v/>
      </c>
      <c r="BE61">
        <f>IFERROR(INDEX(PP_Grid[#Data],$DE61,54),0)</f>
        <v/>
      </c>
      <c r="BF61">
        <f>IFERROR(INDEX(PP_Grid[#Data],$DE61,55),0)</f>
        <v/>
      </c>
      <c r="BG61">
        <f>IFERROR(INDEX(PP_Grid[#Data],$DE61,56),0)</f>
        <v/>
      </c>
      <c r="BH61">
        <f>IFERROR(INDEX(PP_Grid[#Data],$DE61,57),0)</f>
        <v/>
      </c>
      <c r="BI61">
        <f>IFERROR(INDEX(PP_Grid[#Data],$DE61,58),0)</f>
        <v/>
      </c>
      <c r="BJ61">
        <f>IFERROR(INDEX(PP_Grid[#Data],$DE61,59),0)</f>
        <v/>
      </c>
      <c r="BK61">
        <f>IFERROR(INDEX(PP_Grid[#Data],$DE61,60),0)</f>
        <v/>
      </c>
      <c r="BL61">
        <f>IFERROR(INDEX(PP_Grid[#Data],$DE61,61),0)</f>
        <v/>
      </c>
      <c r="BM61">
        <f>IFERROR(INDEX(PP_Grid[#Data],$DE61,62),0)</f>
        <v/>
      </c>
      <c r="BN61">
        <f>IFERROR(INDEX(PP_Grid[#Data],$DE61,63),0)</f>
        <v/>
      </c>
      <c r="BO61">
        <f>IFERROR(INDEX(PP_Grid[#Data],$DE61,64),0)</f>
        <v/>
      </c>
      <c r="BP61">
        <f>IFERROR(INDEX(PP_Grid[#Data],$DE61,65),0)</f>
        <v/>
      </c>
      <c r="BQ61">
        <f>IFERROR(INDEX(PP_Grid[#Data],$DE61,66),0)</f>
        <v/>
      </c>
      <c r="BR61">
        <f>IFERROR(INDEX(PP_Grid[#Data],$DE61,67),0)</f>
        <v/>
      </c>
      <c r="BS61">
        <f>IFERROR(INDEX(PP_Grid[#Data],$DE61,68),0)</f>
        <v/>
      </c>
      <c r="BT61">
        <f>IFERROR(INDEX(PP_Grid[#Data],$DE61,69),0)</f>
        <v/>
      </c>
      <c r="BU61">
        <f>IFERROR(INDEX(PP_Grid[#Data],$DE61,70),0)</f>
        <v/>
      </c>
      <c r="BV61">
        <f>IFERROR(INDEX(PP_Grid[#Data],$DE61,71),0)</f>
        <v/>
      </c>
      <c r="BW61">
        <f>IFERROR(INDEX(PP_Grid[#Data],$DE61,72),0)</f>
        <v/>
      </c>
      <c r="BX61">
        <f>IFERROR(INDEX(PP_Grid[#Data],$DE61,73),0)</f>
        <v/>
      </c>
      <c r="BY61">
        <f>IFERROR(INDEX(PP_Grid[#Data],$DE61,74),0)</f>
        <v/>
      </c>
      <c r="BZ61">
        <f>IFERROR(INDEX(PP_Grid[#Data],$DE61,75),0)</f>
        <v/>
      </c>
      <c r="CA61">
        <f>IFERROR(INDEX(PP_Grid[#Data],$DE61,76),0)</f>
        <v/>
      </c>
      <c r="CB61">
        <f>IFERROR(INDEX(PP_Grid[#Data],$DE61,77),0)</f>
        <v/>
      </c>
      <c r="CC61">
        <f>IFERROR(INDEX(PP_Grid[#Data],$DE61,78),0)</f>
        <v/>
      </c>
      <c r="CD61">
        <f>IFERROR(INDEX(PP_Grid[#Data],$DE61,79),0)</f>
        <v/>
      </c>
      <c r="CE61">
        <f>IFERROR(INDEX(PP_Grid[#Data],$DE61,80),0)</f>
        <v/>
      </c>
      <c r="CF61">
        <f>IFERROR(INDEX(PP_Grid[#Data],$DE61,81),0)</f>
        <v/>
      </c>
      <c r="CG61">
        <f>IFERROR(INDEX(PP_Grid[#Data],$DE61,82),0)</f>
        <v/>
      </c>
      <c r="CH61">
        <f>IFERROR(INDEX(PP_Grid[#Data],$DE61,83),0)</f>
        <v/>
      </c>
      <c r="CI61">
        <f>IFERROR(INDEX(PP_Grid[#Data],$DE61,84),0)</f>
        <v/>
      </c>
      <c r="CJ61">
        <f>IFERROR(INDEX(PP_Grid[#Data],$DE61,85),0)</f>
        <v/>
      </c>
      <c r="CK61">
        <f>IFERROR(INDEX(PP_Grid[#Data],$DE61,86),0)</f>
        <v/>
      </c>
      <c r="CL61">
        <f>IFERROR(INDEX(PP_Grid[#Data],$DE61,87),0)</f>
        <v/>
      </c>
      <c r="CM61">
        <f>IFERROR(INDEX(PP_Grid[#Data],$DE61,88),0)</f>
        <v/>
      </c>
      <c r="CN61">
        <f>IFERROR(INDEX(PP_Grid[#Data],$DE61,89),0)</f>
        <v/>
      </c>
      <c r="CO61">
        <f>IFERROR(INDEX(PP_Grid[#Data],$DE61,90),0)</f>
        <v/>
      </c>
      <c r="CP61">
        <f>IFERROR(INDEX(PP_Grid[#Data],$DE61,91),0)</f>
        <v/>
      </c>
      <c r="CQ61">
        <f>IFERROR(INDEX(PP_Grid[#Data],$DE61,92),0)</f>
        <v/>
      </c>
      <c r="CR61">
        <f>IFERROR(INDEX(PP_Grid[#Data],$DE61,93),0)</f>
        <v/>
      </c>
      <c r="CS61">
        <f>IFERROR(INDEX(PP_Grid[#Data],$DE61,94),0)</f>
        <v/>
      </c>
      <c r="CT61">
        <f>IFERROR(INDEX(PP_Grid[#Data],$DE61,95),0)</f>
        <v/>
      </c>
      <c r="CU61">
        <f>IFERROR(INDEX(PP_Grid[#Data],$DE61,96),0)</f>
        <v/>
      </c>
      <c r="CV61">
        <f>IFERROR(INDEX(PP_Grid[#Data],$DE61,97),0)</f>
        <v/>
      </c>
      <c r="CW61">
        <f>IFERROR(INDEX(PP_Grid[#Data],$DE61,98),0)</f>
        <v/>
      </c>
      <c r="CX61">
        <f>IFERROR(INDEX(PP_Grid[#Data],$DE61,99),0)</f>
        <v/>
      </c>
      <c r="CY61">
        <f>IFERROR(INDEX(PP_Grid[#Data],$DE61,100),0)</f>
        <v/>
      </c>
      <c r="CZ61">
        <f>IFERROR(INDEX(PP_Grid[#Data],$DE61,101),0)</f>
        <v/>
      </c>
      <c r="DA61">
        <f>IFERROR(INDEX(PP_Grid[#Data],$DE61,102),0)</f>
        <v/>
      </c>
      <c r="DB61">
        <f>IFERROR(INDEX(PP_Grid[#Data],$DE61,103),0)</f>
        <v/>
      </c>
      <c r="DC61">
        <f>IFERROR(INDEX(PP_Grid[#Data],$DE61,104),0)</f>
        <v/>
      </c>
      <c r="DD61">
        <f>IFERROR(INDEX(PP_Grid[#Data],$DE61,105),0)</f>
        <v/>
      </c>
      <c r="DE61" s="7">
        <f>IFERROR(MATCH($B61,PP_Grid[Intermediate],0),99999)</f>
        <v/>
      </c>
    </row>
    <row r="62">
      <c r="B62" t="inlineStr">
        <is>
          <t>使用量(kg)</t>
        </is>
      </c>
      <c r="C62">
        <f>SUMIFS(M_BOM[RM_Qty_Per_Batch],M_BOM[Intermediate],$B61,M_BOM[RM_Code],$A28)</f>
        <v/>
      </c>
      <c r="D62">
        <f>IFERROR(INDEX(E62:DD62,$F$1),"")</f>
        <v/>
      </c>
      <c r="E62">
        <f>$C62*E61</f>
        <v/>
      </c>
      <c r="F62">
        <f>$C62*F61</f>
        <v/>
      </c>
      <c r="G62">
        <f>$C62*G61</f>
        <v/>
      </c>
      <c r="H62">
        <f>$C62*H61</f>
        <v/>
      </c>
      <c r="I62">
        <f>$C62*I61</f>
        <v/>
      </c>
      <c r="J62">
        <f>$C62*J61</f>
        <v/>
      </c>
      <c r="K62">
        <f>$C62*K61</f>
        <v/>
      </c>
      <c r="L62">
        <f>$C62*L61</f>
        <v/>
      </c>
      <c r="M62">
        <f>$C62*M61</f>
        <v/>
      </c>
      <c r="N62">
        <f>$C62*N61</f>
        <v/>
      </c>
      <c r="O62">
        <f>$C62*O61</f>
        <v/>
      </c>
      <c r="P62">
        <f>$C62*P61</f>
        <v/>
      </c>
      <c r="Q62">
        <f>$C62*Q61</f>
        <v/>
      </c>
      <c r="R62">
        <f>$C62*R61</f>
        <v/>
      </c>
      <c r="S62">
        <f>$C62*S61</f>
        <v/>
      </c>
      <c r="T62">
        <f>$C62*T61</f>
        <v/>
      </c>
      <c r="U62">
        <f>$C62*U61</f>
        <v/>
      </c>
      <c r="V62">
        <f>$C62*V61</f>
        <v/>
      </c>
      <c r="W62">
        <f>$C62*W61</f>
        <v/>
      </c>
      <c r="X62">
        <f>$C62*X61</f>
        <v/>
      </c>
      <c r="Y62">
        <f>$C62*Y61</f>
        <v/>
      </c>
      <c r="Z62">
        <f>$C62*Z61</f>
        <v/>
      </c>
      <c r="AA62">
        <f>$C62*AA61</f>
        <v/>
      </c>
      <c r="AB62">
        <f>$C62*AB61</f>
        <v/>
      </c>
      <c r="AC62">
        <f>$C62*AC61</f>
        <v/>
      </c>
      <c r="AD62">
        <f>$C62*AD61</f>
        <v/>
      </c>
      <c r="AE62">
        <f>$C62*AE61</f>
        <v/>
      </c>
      <c r="AF62">
        <f>$C62*AF61</f>
        <v/>
      </c>
      <c r="AG62">
        <f>$C62*AG61</f>
        <v/>
      </c>
      <c r="AH62">
        <f>$C62*AH61</f>
        <v/>
      </c>
      <c r="AI62">
        <f>$C62*AI61</f>
        <v/>
      </c>
      <c r="AJ62">
        <f>$C62*AJ61</f>
        <v/>
      </c>
      <c r="AK62">
        <f>$C62*AK61</f>
        <v/>
      </c>
      <c r="AL62">
        <f>$C62*AL61</f>
        <v/>
      </c>
      <c r="AM62">
        <f>$C62*AM61</f>
        <v/>
      </c>
      <c r="AN62">
        <f>$C62*AN61</f>
        <v/>
      </c>
      <c r="AO62">
        <f>$C62*AO61</f>
        <v/>
      </c>
      <c r="AP62">
        <f>$C62*AP61</f>
        <v/>
      </c>
      <c r="AQ62">
        <f>$C62*AQ61</f>
        <v/>
      </c>
      <c r="AR62">
        <f>$C62*AR61</f>
        <v/>
      </c>
      <c r="AS62">
        <f>$C62*AS61</f>
        <v/>
      </c>
      <c r="AT62">
        <f>$C62*AT61</f>
        <v/>
      </c>
      <c r="AU62">
        <f>$C62*AU61</f>
        <v/>
      </c>
      <c r="AV62">
        <f>$C62*AV61</f>
        <v/>
      </c>
      <c r="AW62">
        <f>$C62*AW61</f>
        <v/>
      </c>
      <c r="AX62">
        <f>$C62*AX61</f>
        <v/>
      </c>
      <c r="AY62">
        <f>$C62*AY61</f>
        <v/>
      </c>
      <c r="AZ62">
        <f>$C62*AZ61</f>
        <v/>
      </c>
      <c r="BA62">
        <f>$C62*BA61</f>
        <v/>
      </c>
      <c r="BB62">
        <f>$C62*BB61</f>
        <v/>
      </c>
      <c r="BC62">
        <f>$C62*BC61</f>
        <v/>
      </c>
      <c r="BD62">
        <f>$C62*BD61</f>
        <v/>
      </c>
      <c r="BE62">
        <f>$C62*BE61</f>
        <v/>
      </c>
      <c r="BF62">
        <f>$C62*BF61</f>
        <v/>
      </c>
      <c r="BG62">
        <f>$C62*BG61</f>
        <v/>
      </c>
      <c r="BH62">
        <f>$C62*BH61</f>
        <v/>
      </c>
      <c r="BI62">
        <f>$C62*BI61</f>
        <v/>
      </c>
      <c r="BJ62">
        <f>$C62*BJ61</f>
        <v/>
      </c>
      <c r="BK62">
        <f>$C62*BK61</f>
        <v/>
      </c>
      <c r="BL62">
        <f>$C62*BL61</f>
        <v/>
      </c>
      <c r="BM62">
        <f>$C62*BM61</f>
        <v/>
      </c>
      <c r="BN62">
        <f>$C62*BN61</f>
        <v/>
      </c>
      <c r="BO62">
        <f>$C62*BO61</f>
        <v/>
      </c>
      <c r="BP62">
        <f>$C62*BP61</f>
        <v/>
      </c>
      <c r="BQ62">
        <f>$C62*BQ61</f>
        <v/>
      </c>
      <c r="BR62">
        <f>$C62*BR61</f>
        <v/>
      </c>
      <c r="BS62">
        <f>$C62*BS61</f>
        <v/>
      </c>
      <c r="BT62">
        <f>$C62*BT61</f>
        <v/>
      </c>
      <c r="BU62">
        <f>$C62*BU61</f>
        <v/>
      </c>
      <c r="BV62">
        <f>$C62*BV61</f>
        <v/>
      </c>
      <c r="BW62">
        <f>$C62*BW61</f>
        <v/>
      </c>
      <c r="BX62">
        <f>$C62*BX61</f>
        <v/>
      </c>
      <c r="BY62">
        <f>$C62*BY61</f>
        <v/>
      </c>
      <c r="BZ62">
        <f>$C62*BZ61</f>
        <v/>
      </c>
      <c r="CA62">
        <f>$C62*CA61</f>
        <v/>
      </c>
      <c r="CB62">
        <f>$C62*CB61</f>
        <v/>
      </c>
      <c r="CC62">
        <f>$C62*CC61</f>
        <v/>
      </c>
      <c r="CD62">
        <f>$C62*CD61</f>
        <v/>
      </c>
      <c r="CE62">
        <f>$C62*CE61</f>
        <v/>
      </c>
      <c r="CF62">
        <f>$C62*CF61</f>
        <v/>
      </c>
      <c r="CG62">
        <f>$C62*CG61</f>
        <v/>
      </c>
      <c r="CH62">
        <f>$C62*CH61</f>
        <v/>
      </c>
      <c r="CI62">
        <f>$C62*CI61</f>
        <v/>
      </c>
      <c r="CJ62">
        <f>$C62*CJ61</f>
        <v/>
      </c>
      <c r="CK62">
        <f>$C62*CK61</f>
        <v/>
      </c>
      <c r="CL62">
        <f>$C62*CL61</f>
        <v/>
      </c>
      <c r="CM62">
        <f>$C62*CM61</f>
        <v/>
      </c>
      <c r="CN62">
        <f>$C62*CN61</f>
        <v/>
      </c>
      <c r="CO62">
        <f>$C62*CO61</f>
        <v/>
      </c>
      <c r="CP62">
        <f>$C62*CP61</f>
        <v/>
      </c>
      <c r="CQ62">
        <f>$C62*CQ61</f>
        <v/>
      </c>
      <c r="CR62">
        <f>$C62*CR61</f>
        <v/>
      </c>
      <c r="CS62">
        <f>$C62*CS61</f>
        <v/>
      </c>
      <c r="CT62">
        <f>$C62*CT61</f>
        <v/>
      </c>
      <c r="CU62">
        <f>$C62*CU61</f>
        <v/>
      </c>
      <c r="CV62">
        <f>$C62*CV61</f>
        <v/>
      </c>
      <c r="CW62">
        <f>$C62*CW61</f>
        <v/>
      </c>
      <c r="CX62">
        <f>$C62*CX61</f>
        <v/>
      </c>
      <c r="CY62">
        <f>$C62*CY61</f>
        <v/>
      </c>
      <c r="CZ62">
        <f>$C62*CZ61</f>
        <v/>
      </c>
      <c r="DA62">
        <f>$C62*DA61</f>
        <v/>
      </c>
      <c r="DB62">
        <f>$C62*DB61</f>
        <v/>
      </c>
      <c r="DC62">
        <f>$C62*DC61</f>
        <v/>
      </c>
      <c r="DD62">
        <f>$C62*DD61</f>
        <v/>
      </c>
    </row>
    <row r="63">
      <c r="B63" t="inlineStr">
        <is>
          <t>TSP-924</t>
        </is>
      </c>
      <c r="C63" t="inlineStr">
        <is>
          <t>No. of batches</t>
        </is>
      </c>
      <c r="D63">
        <f>IFERROR(INDEX(E63:DD63,$F$1),"")</f>
        <v/>
      </c>
      <c r="E63">
        <f>IFERROR(INDEX(PP_Grid[#Data],$DE63,2),0)</f>
        <v/>
      </c>
      <c r="F63">
        <f>IFERROR(INDEX(PP_Grid[#Data],$DE63,3),0)</f>
        <v/>
      </c>
      <c r="G63">
        <f>IFERROR(INDEX(PP_Grid[#Data],$DE63,4),0)</f>
        <v/>
      </c>
      <c r="H63">
        <f>IFERROR(INDEX(PP_Grid[#Data],$DE63,5),0)</f>
        <v/>
      </c>
      <c r="I63">
        <f>IFERROR(INDEX(PP_Grid[#Data],$DE63,6),0)</f>
        <v/>
      </c>
      <c r="J63">
        <f>IFERROR(INDEX(PP_Grid[#Data],$DE63,7),0)</f>
        <v/>
      </c>
      <c r="K63">
        <f>IFERROR(INDEX(PP_Grid[#Data],$DE63,8),0)</f>
        <v/>
      </c>
      <c r="L63">
        <f>IFERROR(INDEX(PP_Grid[#Data],$DE63,9),0)</f>
        <v/>
      </c>
      <c r="M63">
        <f>IFERROR(INDEX(PP_Grid[#Data],$DE63,10),0)</f>
        <v/>
      </c>
      <c r="N63">
        <f>IFERROR(INDEX(PP_Grid[#Data],$DE63,11),0)</f>
        <v/>
      </c>
      <c r="O63">
        <f>IFERROR(INDEX(PP_Grid[#Data],$DE63,12),0)</f>
        <v/>
      </c>
      <c r="P63">
        <f>IFERROR(INDEX(PP_Grid[#Data],$DE63,13),0)</f>
        <v/>
      </c>
      <c r="Q63">
        <f>IFERROR(INDEX(PP_Grid[#Data],$DE63,14),0)</f>
        <v/>
      </c>
      <c r="R63">
        <f>IFERROR(INDEX(PP_Grid[#Data],$DE63,15),0)</f>
        <v/>
      </c>
      <c r="S63">
        <f>IFERROR(INDEX(PP_Grid[#Data],$DE63,16),0)</f>
        <v/>
      </c>
      <c r="T63">
        <f>IFERROR(INDEX(PP_Grid[#Data],$DE63,17),0)</f>
        <v/>
      </c>
      <c r="U63">
        <f>IFERROR(INDEX(PP_Grid[#Data],$DE63,18),0)</f>
        <v/>
      </c>
      <c r="V63">
        <f>IFERROR(INDEX(PP_Grid[#Data],$DE63,19),0)</f>
        <v/>
      </c>
      <c r="W63">
        <f>IFERROR(INDEX(PP_Grid[#Data],$DE63,20),0)</f>
        <v/>
      </c>
      <c r="X63">
        <f>IFERROR(INDEX(PP_Grid[#Data],$DE63,21),0)</f>
        <v/>
      </c>
      <c r="Y63">
        <f>IFERROR(INDEX(PP_Grid[#Data],$DE63,22),0)</f>
        <v/>
      </c>
      <c r="Z63">
        <f>IFERROR(INDEX(PP_Grid[#Data],$DE63,23),0)</f>
        <v/>
      </c>
      <c r="AA63">
        <f>IFERROR(INDEX(PP_Grid[#Data],$DE63,24),0)</f>
        <v/>
      </c>
      <c r="AB63">
        <f>IFERROR(INDEX(PP_Grid[#Data],$DE63,25),0)</f>
        <v/>
      </c>
      <c r="AC63">
        <f>IFERROR(INDEX(PP_Grid[#Data],$DE63,26),0)</f>
        <v/>
      </c>
      <c r="AD63">
        <f>IFERROR(INDEX(PP_Grid[#Data],$DE63,27),0)</f>
        <v/>
      </c>
      <c r="AE63">
        <f>IFERROR(INDEX(PP_Grid[#Data],$DE63,28),0)</f>
        <v/>
      </c>
      <c r="AF63">
        <f>IFERROR(INDEX(PP_Grid[#Data],$DE63,29),0)</f>
        <v/>
      </c>
      <c r="AG63">
        <f>IFERROR(INDEX(PP_Grid[#Data],$DE63,30),0)</f>
        <v/>
      </c>
      <c r="AH63">
        <f>IFERROR(INDEX(PP_Grid[#Data],$DE63,31),0)</f>
        <v/>
      </c>
      <c r="AI63">
        <f>IFERROR(INDEX(PP_Grid[#Data],$DE63,32),0)</f>
        <v/>
      </c>
      <c r="AJ63">
        <f>IFERROR(INDEX(PP_Grid[#Data],$DE63,33),0)</f>
        <v/>
      </c>
      <c r="AK63">
        <f>IFERROR(INDEX(PP_Grid[#Data],$DE63,34),0)</f>
        <v/>
      </c>
      <c r="AL63">
        <f>IFERROR(INDEX(PP_Grid[#Data],$DE63,35),0)</f>
        <v/>
      </c>
      <c r="AM63">
        <f>IFERROR(INDEX(PP_Grid[#Data],$DE63,36),0)</f>
        <v/>
      </c>
      <c r="AN63">
        <f>IFERROR(INDEX(PP_Grid[#Data],$DE63,37),0)</f>
        <v/>
      </c>
      <c r="AO63">
        <f>IFERROR(INDEX(PP_Grid[#Data],$DE63,38),0)</f>
        <v/>
      </c>
      <c r="AP63">
        <f>IFERROR(INDEX(PP_Grid[#Data],$DE63,39),0)</f>
        <v/>
      </c>
      <c r="AQ63">
        <f>IFERROR(INDEX(PP_Grid[#Data],$DE63,40),0)</f>
        <v/>
      </c>
      <c r="AR63">
        <f>IFERROR(INDEX(PP_Grid[#Data],$DE63,41),0)</f>
        <v/>
      </c>
      <c r="AS63">
        <f>IFERROR(INDEX(PP_Grid[#Data],$DE63,42),0)</f>
        <v/>
      </c>
      <c r="AT63">
        <f>IFERROR(INDEX(PP_Grid[#Data],$DE63,43),0)</f>
        <v/>
      </c>
      <c r="AU63">
        <f>IFERROR(INDEX(PP_Grid[#Data],$DE63,44),0)</f>
        <v/>
      </c>
      <c r="AV63">
        <f>IFERROR(INDEX(PP_Grid[#Data],$DE63,45),0)</f>
        <v/>
      </c>
      <c r="AW63">
        <f>IFERROR(INDEX(PP_Grid[#Data],$DE63,46),0)</f>
        <v/>
      </c>
      <c r="AX63">
        <f>IFERROR(INDEX(PP_Grid[#Data],$DE63,47),0)</f>
        <v/>
      </c>
      <c r="AY63">
        <f>IFERROR(INDEX(PP_Grid[#Data],$DE63,48),0)</f>
        <v/>
      </c>
      <c r="AZ63">
        <f>IFERROR(INDEX(PP_Grid[#Data],$DE63,49),0)</f>
        <v/>
      </c>
      <c r="BA63">
        <f>IFERROR(INDEX(PP_Grid[#Data],$DE63,50),0)</f>
        <v/>
      </c>
      <c r="BB63">
        <f>IFERROR(INDEX(PP_Grid[#Data],$DE63,51),0)</f>
        <v/>
      </c>
      <c r="BC63">
        <f>IFERROR(INDEX(PP_Grid[#Data],$DE63,52),0)</f>
        <v/>
      </c>
      <c r="BD63">
        <f>IFERROR(INDEX(PP_Grid[#Data],$DE63,53),0)</f>
        <v/>
      </c>
      <c r="BE63">
        <f>IFERROR(INDEX(PP_Grid[#Data],$DE63,54),0)</f>
        <v/>
      </c>
      <c r="BF63">
        <f>IFERROR(INDEX(PP_Grid[#Data],$DE63,55),0)</f>
        <v/>
      </c>
      <c r="BG63">
        <f>IFERROR(INDEX(PP_Grid[#Data],$DE63,56),0)</f>
        <v/>
      </c>
      <c r="BH63">
        <f>IFERROR(INDEX(PP_Grid[#Data],$DE63,57),0)</f>
        <v/>
      </c>
      <c r="BI63">
        <f>IFERROR(INDEX(PP_Grid[#Data],$DE63,58),0)</f>
        <v/>
      </c>
      <c r="BJ63">
        <f>IFERROR(INDEX(PP_Grid[#Data],$DE63,59),0)</f>
        <v/>
      </c>
      <c r="BK63">
        <f>IFERROR(INDEX(PP_Grid[#Data],$DE63,60),0)</f>
        <v/>
      </c>
      <c r="BL63">
        <f>IFERROR(INDEX(PP_Grid[#Data],$DE63,61),0)</f>
        <v/>
      </c>
      <c r="BM63">
        <f>IFERROR(INDEX(PP_Grid[#Data],$DE63,62),0)</f>
        <v/>
      </c>
      <c r="BN63">
        <f>IFERROR(INDEX(PP_Grid[#Data],$DE63,63),0)</f>
        <v/>
      </c>
      <c r="BO63">
        <f>IFERROR(INDEX(PP_Grid[#Data],$DE63,64),0)</f>
        <v/>
      </c>
      <c r="BP63">
        <f>IFERROR(INDEX(PP_Grid[#Data],$DE63,65),0)</f>
        <v/>
      </c>
      <c r="BQ63">
        <f>IFERROR(INDEX(PP_Grid[#Data],$DE63,66),0)</f>
        <v/>
      </c>
      <c r="BR63">
        <f>IFERROR(INDEX(PP_Grid[#Data],$DE63,67),0)</f>
        <v/>
      </c>
      <c r="BS63">
        <f>IFERROR(INDEX(PP_Grid[#Data],$DE63,68),0)</f>
        <v/>
      </c>
      <c r="BT63">
        <f>IFERROR(INDEX(PP_Grid[#Data],$DE63,69),0)</f>
        <v/>
      </c>
      <c r="BU63">
        <f>IFERROR(INDEX(PP_Grid[#Data],$DE63,70),0)</f>
        <v/>
      </c>
      <c r="BV63">
        <f>IFERROR(INDEX(PP_Grid[#Data],$DE63,71),0)</f>
        <v/>
      </c>
      <c r="BW63">
        <f>IFERROR(INDEX(PP_Grid[#Data],$DE63,72),0)</f>
        <v/>
      </c>
      <c r="BX63">
        <f>IFERROR(INDEX(PP_Grid[#Data],$DE63,73),0)</f>
        <v/>
      </c>
      <c r="BY63">
        <f>IFERROR(INDEX(PP_Grid[#Data],$DE63,74),0)</f>
        <v/>
      </c>
      <c r="BZ63">
        <f>IFERROR(INDEX(PP_Grid[#Data],$DE63,75),0)</f>
        <v/>
      </c>
      <c r="CA63">
        <f>IFERROR(INDEX(PP_Grid[#Data],$DE63,76),0)</f>
        <v/>
      </c>
      <c r="CB63">
        <f>IFERROR(INDEX(PP_Grid[#Data],$DE63,77),0)</f>
        <v/>
      </c>
      <c r="CC63">
        <f>IFERROR(INDEX(PP_Grid[#Data],$DE63,78),0)</f>
        <v/>
      </c>
      <c r="CD63">
        <f>IFERROR(INDEX(PP_Grid[#Data],$DE63,79),0)</f>
        <v/>
      </c>
      <c r="CE63">
        <f>IFERROR(INDEX(PP_Grid[#Data],$DE63,80),0)</f>
        <v/>
      </c>
      <c r="CF63">
        <f>IFERROR(INDEX(PP_Grid[#Data],$DE63,81),0)</f>
        <v/>
      </c>
      <c r="CG63">
        <f>IFERROR(INDEX(PP_Grid[#Data],$DE63,82),0)</f>
        <v/>
      </c>
      <c r="CH63">
        <f>IFERROR(INDEX(PP_Grid[#Data],$DE63,83),0)</f>
        <v/>
      </c>
      <c r="CI63">
        <f>IFERROR(INDEX(PP_Grid[#Data],$DE63,84),0)</f>
        <v/>
      </c>
      <c r="CJ63">
        <f>IFERROR(INDEX(PP_Grid[#Data],$DE63,85),0)</f>
        <v/>
      </c>
      <c r="CK63">
        <f>IFERROR(INDEX(PP_Grid[#Data],$DE63,86),0)</f>
        <v/>
      </c>
      <c r="CL63">
        <f>IFERROR(INDEX(PP_Grid[#Data],$DE63,87),0)</f>
        <v/>
      </c>
      <c r="CM63">
        <f>IFERROR(INDEX(PP_Grid[#Data],$DE63,88),0)</f>
        <v/>
      </c>
      <c r="CN63">
        <f>IFERROR(INDEX(PP_Grid[#Data],$DE63,89),0)</f>
        <v/>
      </c>
      <c r="CO63">
        <f>IFERROR(INDEX(PP_Grid[#Data],$DE63,90),0)</f>
        <v/>
      </c>
      <c r="CP63">
        <f>IFERROR(INDEX(PP_Grid[#Data],$DE63,91),0)</f>
        <v/>
      </c>
      <c r="CQ63">
        <f>IFERROR(INDEX(PP_Grid[#Data],$DE63,92),0)</f>
        <v/>
      </c>
      <c r="CR63">
        <f>IFERROR(INDEX(PP_Grid[#Data],$DE63,93),0)</f>
        <v/>
      </c>
      <c r="CS63">
        <f>IFERROR(INDEX(PP_Grid[#Data],$DE63,94),0)</f>
        <v/>
      </c>
      <c r="CT63">
        <f>IFERROR(INDEX(PP_Grid[#Data],$DE63,95),0)</f>
        <v/>
      </c>
      <c r="CU63">
        <f>IFERROR(INDEX(PP_Grid[#Data],$DE63,96),0)</f>
        <v/>
      </c>
      <c r="CV63">
        <f>IFERROR(INDEX(PP_Grid[#Data],$DE63,97),0)</f>
        <v/>
      </c>
      <c r="CW63">
        <f>IFERROR(INDEX(PP_Grid[#Data],$DE63,98),0)</f>
        <v/>
      </c>
      <c r="CX63">
        <f>IFERROR(INDEX(PP_Grid[#Data],$DE63,99),0)</f>
        <v/>
      </c>
      <c r="CY63">
        <f>IFERROR(INDEX(PP_Grid[#Data],$DE63,100),0)</f>
        <v/>
      </c>
      <c r="CZ63">
        <f>IFERROR(INDEX(PP_Grid[#Data],$DE63,101),0)</f>
        <v/>
      </c>
      <c r="DA63">
        <f>IFERROR(INDEX(PP_Grid[#Data],$DE63,102),0)</f>
        <v/>
      </c>
      <c r="DB63">
        <f>IFERROR(INDEX(PP_Grid[#Data],$DE63,103),0)</f>
        <v/>
      </c>
      <c r="DC63">
        <f>IFERROR(INDEX(PP_Grid[#Data],$DE63,104),0)</f>
        <v/>
      </c>
      <c r="DD63">
        <f>IFERROR(INDEX(PP_Grid[#Data],$DE63,105),0)</f>
        <v/>
      </c>
      <c r="DE63" s="7">
        <f>IFERROR(MATCH($B63,PP_Grid[Intermediate],0),99999)</f>
        <v/>
      </c>
    </row>
    <row r="64">
      <c r="B64" t="inlineStr">
        <is>
          <t>使用量(kg)</t>
        </is>
      </c>
      <c r="C64">
        <f>SUMIFS(M_BOM[RM_Qty_Per_Batch],M_BOM[Intermediate],$B63,M_BOM[RM_Code],$A28)</f>
        <v/>
      </c>
      <c r="D64">
        <f>IFERROR(INDEX(E64:DD64,$F$1),"")</f>
        <v/>
      </c>
      <c r="E64">
        <f>$C64*E63</f>
        <v/>
      </c>
      <c r="F64">
        <f>$C64*F63</f>
        <v/>
      </c>
      <c r="G64">
        <f>$C64*G63</f>
        <v/>
      </c>
      <c r="H64">
        <f>$C64*H63</f>
        <v/>
      </c>
      <c r="I64">
        <f>$C64*I63</f>
        <v/>
      </c>
      <c r="J64">
        <f>$C64*J63</f>
        <v/>
      </c>
      <c r="K64">
        <f>$C64*K63</f>
        <v/>
      </c>
      <c r="L64">
        <f>$C64*L63</f>
        <v/>
      </c>
      <c r="M64">
        <f>$C64*M63</f>
        <v/>
      </c>
      <c r="N64">
        <f>$C64*N63</f>
        <v/>
      </c>
      <c r="O64">
        <f>$C64*O63</f>
        <v/>
      </c>
      <c r="P64">
        <f>$C64*P63</f>
        <v/>
      </c>
      <c r="Q64">
        <f>$C64*Q63</f>
        <v/>
      </c>
      <c r="R64">
        <f>$C64*R63</f>
        <v/>
      </c>
      <c r="S64">
        <f>$C64*S63</f>
        <v/>
      </c>
      <c r="T64">
        <f>$C64*T63</f>
        <v/>
      </c>
      <c r="U64">
        <f>$C64*U63</f>
        <v/>
      </c>
      <c r="V64">
        <f>$C64*V63</f>
        <v/>
      </c>
      <c r="W64">
        <f>$C64*W63</f>
        <v/>
      </c>
      <c r="X64">
        <f>$C64*X63</f>
        <v/>
      </c>
      <c r="Y64">
        <f>$C64*Y63</f>
        <v/>
      </c>
      <c r="Z64">
        <f>$C64*Z63</f>
        <v/>
      </c>
      <c r="AA64">
        <f>$C64*AA63</f>
        <v/>
      </c>
      <c r="AB64">
        <f>$C64*AB63</f>
        <v/>
      </c>
      <c r="AC64">
        <f>$C64*AC63</f>
        <v/>
      </c>
      <c r="AD64">
        <f>$C64*AD63</f>
        <v/>
      </c>
      <c r="AE64">
        <f>$C64*AE63</f>
        <v/>
      </c>
      <c r="AF64">
        <f>$C64*AF63</f>
        <v/>
      </c>
      <c r="AG64">
        <f>$C64*AG63</f>
        <v/>
      </c>
      <c r="AH64">
        <f>$C64*AH63</f>
        <v/>
      </c>
      <c r="AI64">
        <f>$C64*AI63</f>
        <v/>
      </c>
      <c r="AJ64">
        <f>$C64*AJ63</f>
        <v/>
      </c>
      <c r="AK64">
        <f>$C64*AK63</f>
        <v/>
      </c>
      <c r="AL64">
        <f>$C64*AL63</f>
        <v/>
      </c>
      <c r="AM64">
        <f>$C64*AM63</f>
        <v/>
      </c>
      <c r="AN64">
        <f>$C64*AN63</f>
        <v/>
      </c>
      <c r="AO64">
        <f>$C64*AO63</f>
        <v/>
      </c>
      <c r="AP64">
        <f>$C64*AP63</f>
        <v/>
      </c>
      <c r="AQ64">
        <f>$C64*AQ63</f>
        <v/>
      </c>
      <c r="AR64">
        <f>$C64*AR63</f>
        <v/>
      </c>
      <c r="AS64">
        <f>$C64*AS63</f>
        <v/>
      </c>
      <c r="AT64">
        <f>$C64*AT63</f>
        <v/>
      </c>
      <c r="AU64">
        <f>$C64*AU63</f>
        <v/>
      </c>
      <c r="AV64">
        <f>$C64*AV63</f>
        <v/>
      </c>
      <c r="AW64">
        <f>$C64*AW63</f>
        <v/>
      </c>
      <c r="AX64">
        <f>$C64*AX63</f>
        <v/>
      </c>
      <c r="AY64">
        <f>$C64*AY63</f>
        <v/>
      </c>
      <c r="AZ64">
        <f>$C64*AZ63</f>
        <v/>
      </c>
      <c r="BA64">
        <f>$C64*BA63</f>
        <v/>
      </c>
      <c r="BB64">
        <f>$C64*BB63</f>
        <v/>
      </c>
      <c r="BC64">
        <f>$C64*BC63</f>
        <v/>
      </c>
      <c r="BD64">
        <f>$C64*BD63</f>
        <v/>
      </c>
      <c r="BE64">
        <f>$C64*BE63</f>
        <v/>
      </c>
      <c r="BF64">
        <f>$C64*BF63</f>
        <v/>
      </c>
      <c r="BG64">
        <f>$C64*BG63</f>
        <v/>
      </c>
      <c r="BH64">
        <f>$C64*BH63</f>
        <v/>
      </c>
      <c r="BI64">
        <f>$C64*BI63</f>
        <v/>
      </c>
      <c r="BJ64">
        <f>$C64*BJ63</f>
        <v/>
      </c>
      <c r="BK64">
        <f>$C64*BK63</f>
        <v/>
      </c>
      <c r="BL64">
        <f>$C64*BL63</f>
        <v/>
      </c>
      <c r="BM64">
        <f>$C64*BM63</f>
        <v/>
      </c>
      <c r="BN64">
        <f>$C64*BN63</f>
        <v/>
      </c>
      <c r="BO64">
        <f>$C64*BO63</f>
        <v/>
      </c>
      <c r="BP64">
        <f>$C64*BP63</f>
        <v/>
      </c>
      <c r="BQ64">
        <f>$C64*BQ63</f>
        <v/>
      </c>
      <c r="BR64">
        <f>$C64*BR63</f>
        <v/>
      </c>
      <c r="BS64">
        <f>$C64*BS63</f>
        <v/>
      </c>
      <c r="BT64">
        <f>$C64*BT63</f>
        <v/>
      </c>
      <c r="BU64">
        <f>$C64*BU63</f>
        <v/>
      </c>
      <c r="BV64">
        <f>$C64*BV63</f>
        <v/>
      </c>
      <c r="BW64">
        <f>$C64*BW63</f>
        <v/>
      </c>
      <c r="BX64">
        <f>$C64*BX63</f>
        <v/>
      </c>
      <c r="BY64">
        <f>$C64*BY63</f>
        <v/>
      </c>
      <c r="BZ64">
        <f>$C64*BZ63</f>
        <v/>
      </c>
      <c r="CA64">
        <f>$C64*CA63</f>
        <v/>
      </c>
      <c r="CB64">
        <f>$C64*CB63</f>
        <v/>
      </c>
      <c r="CC64">
        <f>$C64*CC63</f>
        <v/>
      </c>
      <c r="CD64">
        <f>$C64*CD63</f>
        <v/>
      </c>
      <c r="CE64">
        <f>$C64*CE63</f>
        <v/>
      </c>
      <c r="CF64">
        <f>$C64*CF63</f>
        <v/>
      </c>
      <c r="CG64">
        <f>$C64*CG63</f>
        <v/>
      </c>
      <c r="CH64">
        <f>$C64*CH63</f>
        <v/>
      </c>
      <c r="CI64">
        <f>$C64*CI63</f>
        <v/>
      </c>
      <c r="CJ64">
        <f>$C64*CJ63</f>
        <v/>
      </c>
      <c r="CK64">
        <f>$C64*CK63</f>
        <v/>
      </c>
      <c r="CL64">
        <f>$C64*CL63</f>
        <v/>
      </c>
      <c r="CM64">
        <f>$C64*CM63</f>
        <v/>
      </c>
      <c r="CN64">
        <f>$C64*CN63</f>
        <v/>
      </c>
      <c r="CO64">
        <f>$C64*CO63</f>
        <v/>
      </c>
      <c r="CP64">
        <f>$C64*CP63</f>
        <v/>
      </c>
      <c r="CQ64">
        <f>$C64*CQ63</f>
        <v/>
      </c>
      <c r="CR64">
        <f>$C64*CR63</f>
        <v/>
      </c>
      <c r="CS64">
        <f>$C64*CS63</f>
        <v/>
      </c>
      <c r="CT64">
        <f>$C64*CT63</f>
        <v/>
      </c>
      <c r="CU64">
        <f>$C64*CU63</f>
        <v/>
      </c>
      <c r="CV64">
        <f>$C64*CV63</f>
        <v/>
      </c>
      <c r="CW64">
        <f>$C64*CW63</f>
        <v/>
      </c>
      <c r="CX64">
        <f>$C64*CX63</f>
        <v/>
      </c>
      <c r="CY64">
        <f>$C64*CY63</f>
        <v/>
      </c>
      <c r="CZ64">
        <f>$C64*CZ63</f>
        <v/>
      </c>
      <c r="DA64">
        <f>$C64*DA63</f>
        <v/>
      </c>
      <c r="DB64">
        <f>$C64*DB63</f>
        <v/>
      </c>
      <c r="DC64">
        <f>$C64*DC63</f>
        <v/>
      </c>
      <c r="DD64">
        <f>$C64*DD63</f>
        <v/>
      </c>
    </row>
    <row r="65">
      <c r="B65" t="inlineStr">
        <is>
          <t>TSP-925</t>
        </is>
      </c>
      <c r="C65" t="inlineStr">
        <is>
          <t>No. of batches</t>
        </is>
      </c>
      <c r="D65">
        <f>IFERROR(INDEX(E65:DD65,$F$1),"")</f>
        <v/>
      </c>
      <c r="E65">
        <f>IFERROR(INDEX(PP_Grid[#Data],$DE65,2),0)</f>
        <v/>
      </c>
      <c r="F65">
        <f>IFERROR(INDEX(PP_Grid[#Data],$DE65,3),0)</f>
        <v/>
      </c>
      <c r="G65">
        <f>IFERROR(INDEX(PP_Grid[#Data],$DE65,4),0)</f>
        <v/>
      </c>
      <c r="H65">
        <f>IFERROR(INDEX(PP_Grid[#Data],$DE65,5),0)</f>
        <v/>
      </c>
      <c r="I65">
        <f>IFERROR(INDEX(PP_Grid[#Data],$DE65,6),0)</f>
        <v/>
      </c>
      <c r="J65">
        <f>IFERROR(INDEX(PP_Grid[#Data],$DE65,7),0)</f>
        <v/>
      </c>
      <c r="K65">
        <f>IFERROR(INDEX(PP_Grid[#Data],$DE65,8),0)</f>
        <v/>
      </c>
      <c r="L65">
        <f>IFERROR(INDEX(PP_Grid[#Data],$DE65,9),0)</f>
        <v/>
      </c>
      <c r="M65">
        <f>IFERROR(INDEX(PP_Grid[#Data],$DE65,10),0)</f>
        <v/>
      </c>
      <c r="N65">
        <f>IFERROR(INDEX(PP_Grid[#Data],$DE65,11),0)</f>
        <v/>
      </c>
      <c r="O65">
        <f>IFERROR(INDEX(PP_Grid[#Data],$DE65,12),0)</f>
        <v/>
      </c>
      <c r="P65">
        <f>IFERROR(INDEX(PP_Grid[#Data],$DE65,13),0)</f>
        <v/>
      </c>
      <c r="Q65">
        <f>IFERROR(INDEX(PP_Grid[#Data],$DE65,14),0)</f>
        <v/>
      </c>
      <c r="R65">
        <f>IFERROR(INDEX(PP_Grid[#Data],$DE65,15),0)</f>
        <v/>
      </c>
      <c r="S65">
        <f>IFERROR(INDEX(PP_Grid[#Data],$DE65,16),0)</f>
        <v/>
      </c>
      <c r="T65">
        <f>IFERROR(INDEX(PP_Grid[#Data],$DE65,17),0)</f>
        <v/>
      </c>
      <c r="U65">
        <f>IFERROR(INDEX(PP_Grid[#Data],$DE65,18),0)</f>
        <v/>
      </c>
      <c r="V65">
        <f>IFERROR(INDEX(PP_Grid[#Data],$DE65,19),0)</f>
        <v/>
      </c>
      <c r="W65">
        <f>IFERROR(INDEX(PP_Grid[#Data],$DE65,20),0)</f>
        <v/>
      </c>
      <c r="X65">
        <f>IFERROR(INDEX(PP_Grid[#Data],$DE65,21),0)</f>
        <v/>
      </c>
      <c r="Y65">
        <f>IFERROR(INDEX(PP_Grid[#Data],$DE65,22),0)</f>
        <v/>
      </c>
      <c r="Z65">
        <f>IFERROR(INDEX(PP_Grid[#Data],$DE65,23),0)</f>
        <v/>
      </c>
      <c r="AA65">
        <f>IFERROR(INDEX(PP_Grid[#Data],$DE65,24),0)</f>
        <v/>
      </c>
      <c r="AB65">
        <f>IFERROR(INDEX(PP_Grid[#Data],$DE65,25),0)</f>
        <v/>
      </c>
      <c r="AC65">
        <f>IFERROR(INDEX(PP_Grid[#Data],$DE65,26),0)</f>
        <v/>
      </c>
      <c r="AD65">
        <f>IFERROR(INDEX(PP_Grid[#Data],$DE65,27),0)</f>
        <v/>
      </c>
      <c r="AE65">
        <f>IFERROR(INDEX(PP_Grid[#Data],$DE65,28),0)</f>
        <v/>
      </c>
      <c r="AF65">
        <f>IFERROR(INDEX(PP_Grid[#Data],$DE65,29),0)</f>
        <v/>
      </c>
      <c r="AG65">
        <f>IFERROR(INDEX(PP_Grid[#Data],$DE65,30),0)</f>
        <v/>
      </c>
      <c r="AH65">
        <f>IFERROR(INDEX(PP_Grid[#Data],$DE65,31),0)</f>
        <v/>
      </c>
      <c r="AI65">
        <f>IFERROR(INDEX(PP_Grid[#Data],$DE65,32),0)</f>
        <v/>
      </c>
      <c r="AJ65">
        <f>IFERROR(INDEX(PP_Grid[#Data],$DE65,33),0)</f>
        <v/>
      </c>
      <c r="AK65">
        <f>IFERROR(INDEX(PP_Grid[#Data],$DE65,34),0)</f>
        <v/>
      </c>
      <c r="AL65">
        <f>IFERROR(INDEX(PP_Grid[#Data],$DE65,35),0)</f>
        <v/>
      </c>
      <c r="AM65">
        <f>IFERROR(INDEX(PP_Grid[#Data],$DE65,36),0)</f>
        <v/>
      </c>
      <c r="AN65">
        <f>IFERROR(INDEX(PP_Grid[#Data],$DE65,37),0)</f>
        <v/>
      </c>
      <c r="AO65">
        <f>IFERROR(INDEX(PP_Grid[#Data],$DE65,38),0)</f>
        <v/>
      </c>
      <c r="AP65">
        <f>IFERROR(INDEX(PP_Grid[#Data],$DE65,39),0)</f>
        <v/>
      </c>
      <c r="AQ65">
        <f>IFERROR(INDEX(PP_Grid[#Data],$DE65,40),0)</f>
        <v/>
      </c>
      <c r="AR65">
        <f>IFERROR(INDEX(PP_Grid[#Data],$DE65,41),0)</f>
        <v/>
      </c>
      <c r="AS65">
        <f>IFERROR(INDEX(PP_Grid[#Data],$DE65,42),0)</f>
        <v/>
      </c>
      <c r="AT65">
        <f>IFERROR(INDEX(PP_Grid[#Data],$DE65,43),0)</f>
        <v/>
      </c>
      <c r="AU65">
        <f>IFERROR(INDEX(PP_Grid[#Data],$DE65,44),0)</f>
        <v/>
      </c>
      <c r="AV65">
        <f>IFERROR(INDEX(PP_Grid[#Data],$DE65,45),0)</f>
        <v/>
      </c>
      <c r="AW65">
        <f>IFERROR(INDEX(PP_Grid[#Data],$DE65,46),0)</f>
        <v/>
      </c>
      <c r="AX65">
        <f>IFERROR(INDEX(PP_Grid[#Data],$DE65,47),0)</f>
        <v/>
      </c>
      <c r="AY65">
        <f>IFERROR(INDEX(PP_Grid[#Data],$DE65,48),0)</f>
        <v/>
      </c>
      <c r="AZ65">
        <f>IFERROR(INDEX(PP_Grid[#Data],$DE65,49),0)</f>
        <v/>
      </c>
      <c r="BA65">
        <f>IFERROR(INDEX(PP_Grid[#Data],$DE65,50),0)</f>
        <v/>
      </c>
      <c r="BB65">
        <f>IFERROR(INDEX(PP_Grid[#Data],$DE65,51),0)</f>
        <v/>
      </c>
      <c r="BC65">
        <f>IFERROR(INDEX(PP_Grid[#Data],$DE65,52),0)</f>
        <v/>
      </c>
      <c r="BD65">
        <f>IFERROR(INDEX(PP_Grid[#Data],$DE65,53),0)</f>
        <v/>
      </c>
      <c r="BE65">
        <f>IFERROR(INDEX(PP_Grid[#Data],$DE65,54),0)</f>
        <v/>
      </c>
      <c r="BF65">
        <f>IFERROR(INDEX(PP_Grid[#Data],$DE65,55),0)</f>
        <v/>
      </c>
      <c r="BG65">
        <f>IFERROR(INDEX(PP_Grid[#Data],$DE65,56),0)</f>
        <v/>
      </c>
      <c r="BH65">
        <f>IFERROR(INDEX(PP_Grid[#Data],$DE65,57),0)</f>
        <v/>
      </c>
      <c r="BI65">
        <f>IFERROR(INDEX(PP_Grid[#Data],$DE65,58),0)</f>
        <v/>
      </c>
      <c r="BJ65">
        <f>IFERROR(INDEX(PP_Grid[#Data],$DE65,59),0)</f>
        <v/>
      </c>
      <c r="BK65">
        <f>IFERROR(INDEX(PP_Grid[#Data],$DE65,60),0)</f>
        <v/>
      </c>
      <c r="BL65">
        <f>IFERROR(INDEX(PP_Grid[#Data],$DE65,61),0)</f>
        <v/>
      </c>
      <c r="BM65">
        <f>IFERROR(INDEX(PP_Grid[#Data],$DE65,62),0)</f>
        <v/>
      </c>
      <c r="BN65">
        <f>IFERROR(INDEX(PP_Grid[#Data],$DE65,63),0)</f>
        <v/>
      </c>
      <c r="BO65">
        <f>IFERROR(INDEX(PP_Grid[#Data],$DE65,64),0)</f>
        <v/>
      </c>
      <c r="BP65">
        <f>IFERROR(INDEX(PP_Grid[#Data],$DE65,65),0)</f>
        <v/>
      </c>
      <c r="BQ65">
        <f>IFERROR(INDEX(PP_Grid[#Data],$DE65,66),0)</f>
        <v/>
      </c>
      <c r="BR65">
        <f>IFERROR(INDEX(PP_Grid[#Data],$DE65,67),0)</f>
        <v/>
      </c>
      <c r="BS65">
        <f>IFERROR(INDEX(PP_Grid[#Data],$DE65,68),0)</f>
        <v/>
      </c>
      <c r="BT65">
        <f>IFERROR(INDEX(PP_Grid[#Data],$DE65,69),0)</f>
        <v/>
      </c>
      <c r="BU65">
        <f>IFERROR(INDEX(PP_Grid[#Data],$DE65,70),0)</f>
        <v/>
      </c>
      <c r="BV65">
        <f>IFERROR(INDEX(PP_Grid[#Data],$DE65,71),0)</f>
        <v/>
      </c>
      <c r="BW65">
        <f>IFERROR(INDEX(PP_Grid[#Data],$DE65,72),0)</f>
        <v/>
      </c>
      <c r="BX65">
        <f>IFERROR(INDEX(PP_Grid[#Data],$DE65,73),0)</f>
        <v/>
      </c>
      <c r="BY65">
        <f>IFERROR(INDEX(PP_Grid[#Data],$DE65,74),0)</f>
        <v/>
      </c>
      <c r="BZ65">
        <f>IFERROR(INDEX(PP_Grid[#Data],$DE65,75),0)</f>
        <v/>
      </c>
      <c r="CA65">
        <f>IFERROR(INDEX(PP_Grid[#Data],$DE65,76),0)</f>
        <v/>
      </c>
      <c r="CB65">
        <f>IFERROR(INDEX(PP_Grid[#Data],$DE65,77),0)</f>
        <v/>
      </c>
      <c r="CC65">
        <f>IFERROR(INDEX(PP_Grid[#Data],$DE65,78),0)</f>
        <v/>
      </c>
      <c r="CD65">
        <f>IFERROR(INDEX(PP_Grid[#Data],$DE65,79),0)</f>
        <v/>
      </c>
      <c r="CE65">
        <f>IFERROR(INDEX(PP_Grid[#Data],$DE65,80),0)</f>
        <v/>
      </c>
      <c r="CF65">
        <f>IFERROR(INDEX(PP_Grid[#Data],$DE65,81),0)</f>
        <v/>
      </c>
      <c r="CG65">
        <f>IFERROR(INDEX(PP_Grid[#Data],$DE65,82),0)</f>
        <v/>
      </c>
      <c r="CH65">
        <f>IFERROR(INDEX(PP_Grid[#Data],$DE65,83),0)</f>
        <v/>
      </c>
      <c r="CI65">
        <f>IFERROR(INDEX(PP_Grid[#Data],$DE65,84),0)</f>
        <v/>
      </c>
      <c r="CJ65">
        <f>IFERROR(INDEX(PP_Grid[#Data],$DE65,85),0)</f>
        <v/>
      </c>
      <c r="CK65">
        <f>IFERROR(INDEX(PP_Grid[#Data],$DE65,86),0)</f>
        <v/>
      </c>
      <c r="CL65">
        <f>IFERROR(INDEX(PP_Grid[#Data],$DE65,87),0)</f>
        <v/>
      </c>
      <c r="CM65">
        <f>IFERROR(INDEX(PP_Grid[#Data],$DE65,88),0)</f>
        <v/>
      </c>
      <c r="CN65">
        <f>IFERROR(INDEX(PP_Grid[#Data],$DE65,89),0)</f>
        <v/>
      </c>
      <c r="CO65">
        <f>IFERROR(INDEX(PP_Grid[#Data],$DE65,90),0)</f>
        <v/>
      </c>
      <c r="CP65">
        <f>IFERROR(INDEX(PP_Grid[#Data],$DE65,91),0)</f>
        <v/>
      </c>
      <c r="CQ65">
        <f>IFERROR(INDEX(PP_Grid[#Data],$DE65,92),0)</f>
        <v/>
      </c>
      <c r="CR65">
        <f>IFERROR(INDEX(PP_Grid[#Data],$DE65,93),0)</f>
        <v/>
      </c>
      <c r="CS65">
        <f>IFERROR(INDEX(PP_Grid[#Data],$DE65,94),0)</f>
        <v/>
      </c>
      <c r="CT65">
        <f>IFERROR(INDEX(PP_Grid[#Data],$DE65,95),0)</f>
        <v/>
      </c>
      <c r="CU65">
        <f>IFERROR(INDEX(PP_Grid[#Data],$DE65,96),0)</f>
        <v/>
      </c>
      <c r="CV65">
        <f>IFERROR(INDEX(PP_Grid[#Data],$DE65,97),0)</f>
        <v/>
      </c>
      <c r="CW65">
        <f>IFERROR(INDEX(PP_Grid[#Data],$DE65,98),0)</f>
        <v/>
      </c>
      <c r="CX65">
        <f>IFERROR(INDEX(PP_Grid[#Data],$DE65,99),0)</f>
        <v/>
      </c>
      <c r="CY65">
        <f>IFERROR(INDEX(PP_Grid[#Data],$DE65,100),0)</f>
        <v/>
      </c>
      <c r="CZ65">
        <f>IFERROR(INDEX(PP_Grid[#Data],$DE65,101),0)</f>
        <v/>
      </c>
      <c r="DA65">
        <f>IFERROR(INDEX(PP_Grid[#Data],$DE65,102),0)</f>
        <v/>
      </c>
      <c r="DB65">
        <f>IFERROR(INDEX(PP_Grid[#Data],$DE65,103),0)</f>
        <v/>
      </c>
      <c r="DC65">
        <f>IFERROR(INDEX(PP_Grid[#Data],$DE65,104),0)</f>
        <v/>
      </c>
      <c r="DD65">
        <f>IFERROR(INDEX(PP_Grid[#Data],$DE65,105),0)</f>
        <v/>
      </c>
      <c r="DE65" s="7">
        <f>IFERROR(MATCH($B65,PP_Grid[Intermediate],0),99999)</f>
        <v/>
      </c>
    </row>
    <row r="66">
      <c r="B66" t="inlineStr">
        <is>
          <t>使用量(kg)</t>
        </is>
      </c>
      <c r="C66">
        <f>SUMIFS(M_BOM[RM_Qty_Per_Batch],M_BOM[Intermediate],$B65,M_BOM[RM_Code],$A28)</f>
        <v/>
      </c>
      <c r="D66">
        <f>IFERROR(INDEX(E66:DD66,$F$1),"")</f>
        <v/>
      </c>
      <c r="E66">
        <f>$C66*E65</f>
        <v/>
      </c>
      <c r="F66">
        <f>$C66*F65</f>
        <v/>
      </c>
      <c r="G66">
        <f>$C66*G65</f>
        <v/>
      </c>
      <c r="H66">
        <f>$C66*H65</f>
        <v/>
      </c>
      <c r="I66">
        <f>$C66*I65</f>
        <v/>
      </c>
      <c r="J66">
        <f>$C66*J65</f>
        <v/>
      </c>
      <c r="K66">
        <f>$C66*K65</f>
        <v/>
      </c>
      <c r="L66">
        <f>$C66*L65</f>
        <v/>
      </c>
      <c r="M66">
        <f>$C66*M65</f>
        <v/>
      </c>
      <c r="N66">
        <f>$C66*N65</f>
        <v/>
      </c>
      <c r="O66">
        <f>$C66*O65</f>
        <v/>
      </c>
      <c r="P66">
        <f>$C66*P65</f>
        <v/>
      </c>
      <c r="Q66">
        <f>$C66*Q65</f>
        <v/>
      </c>
      <c r="R66">
        <f>$C66*R65</f>
        <v/>
      </c>
      <c r="S66">
        <f>$C66*S65</f>
        <v/>
      </c>
      <c r="T66">
        <f>$C66*T65</f>
        <v/>
      </c>
      <c r="U66">
        <f>$C66*U65</f>
        <v/>
      </c>
      <c r="V66">
        <f>$C66*V65</f>
        <v/>
      </c>
      <c r="W66">
        <f>$C66*W65</f>
        <v/>
      </c>
      <c r="X66">
        <f>$C66*X65</f>
        <v/>
      </c>
      <c r="Y66">
        <f>$C66*Y65</f>
        <v/>
      </c>
      <c r="Z66">
        <f>$C66*Z65</f>
        <v/>
      </c>
      <c r="AA66">
        <f>$C66*AA65</f>
        <v/>
      </c>
      <c r="AB66">
        <f>$C66*AB65</f>
        <v/>
      </c>
      <c r="AC66">
        <f>$C66*AC65</f>
        <v/>
      </c>
      <c r="AD66">
        <f>$C66*AD65</f>
        <v/>
      </c>
      <c r="AE66">
        <f>$C66*AE65</f>
        <v/>
      </c>
      <c r="AF66">
        <f>$C66*AF65</f>
        <v/>
      </c>
      <c r="AG66">
        <f>$C66*AG65</f>
        <v/>
      </c>
      <c r="AH66">
        <f>$C66*AH65</f>
        <v/>
      </c>
      <c r="AI66">
        <f>$C66*AI65</f>
        <v/>
      </c>
      <c r="AJ66">
        <f>$C66*AJ65</f>
        <v/>
      </c>
      <c r="AK66">
        <f>$C66*AK65</f>
        <v/>
      </c>
      <c r="AL66">
        <f>$C66*AL65</f>
        <v/>
      </c>
      <c r="AM66">
        <f>$C66*AM65</f>
        <v/>
      </c>
      <c r="AN66">
        <f>$C66*AN65</f>
        <v/>
      </c>
      <c r="AO66">
        <f>$C66*AO65</f>
        <v/>
      </c>
      <c r="AP66">
        <f>$C66*AP65</f>
        <v/>
      </c>
      <c r="AQ66">
        <f>$C66*AQ65</f>
        <v/>
      </c>
      <c r="AR66">
        <f>$C66*AR65</f>
        <v/>
      </c>
      <c r="AS66">
        <f>$C66*AS65</f>
        <v/>
      </c>
      <c r="AT66">
        <f>$C66*AT65</f>
        <v/>
      </c>
      <c r="AU66">
        <f>$C66*AU65</f>
        <v/>
      </c>
      <c r="AV66">
        <f>$C66*AV65</f>
        <v/>
      </c>
      <c r="AW66">
        <f>$C66*AW65</f>
        <v/>
      </c>
      <c r="AX66">
        <f>$C66*AX65</f>
        <v/>
      </c>
      <c r="AY66">
        <f>$C66*AY65</f>
        <v/>
      </c>
      <c r="AZ66">
        <f>$C66*AZ65</f>
        <v/>
      </c>
      <c r="BA66">
        <f>$C66*BA65</f>
        <v/>
      </c>
      <c r="BB66">
        <f>$C66*BB65</f>
        <v/>
      </c>
      <c r="BC66">
        <f>$C66*BC65</f>
        <v/>
      </c>
      <c r="BD66">
        <f>$C66*BD65</f>
        <v/>
      </c>
      <c r="BE66">
        <f>$C66*BE65</f>
        <v/>
      </c>
      <c r="BF66">
        <f>$C66*BF65</f>
        <v/>
      </c>
      <c r="BG66">
        <f>$C66*BG65</f>
        <v/>
      </c>
      <c r="BH66">
        <f>$C66*BH65</f>
        <v/>
      </c>
      <c r="BI66">
        <f>$C66*BI65</f>
        <v/>
      </c>
      <c r="BJ66">
        <f>$C66*BJ65</f>
        <v/>
      </c>
      <c r="BK66">
        <f>$C66*BK65</f>
        <v/>
      </c>
      <c r="BL66">
        <f>$C66*BL65</f>
        <v/>
      </c>
      <c r="BM66">
        <f>$C66*BM65</f>
        <v/>
      </c>
      <c r="BN66">
        <f>$C66*BN65</f>
        <v/>
      </c>
      <c r="BO66">
        <f>$C66*BO65</f>
        <v/>
      </c>
      <c r="BP66">
        <f>$C66*BP65</f>
        <v/>
      </c>
      <c r="BQ66">
        <f>$C66*BQ65</f>
        <v/>
      </c>
      <c r="BR66">
        <f>$C66*BR65</f>
        <v/>
      </c>
      <c r="BS66">
        <f>$C66*BS65</f>
        <v/>
      </c>
      <c r="BT66">
        <f>$C66*BT65</f>
        <v/>
      </c>
      <c r="BU66">
        <f>$C66*BU65</f>
        <v/>
      </c>
      <c r="BV66">
        <f>$C66*BV65</f>
        <v/>
      </c>
      <c r="BW66">
        <f>$C66*BW65</f>
        <v/>
      </c>
      <c r="BX66">
        <f>$C66*BX65</f>
        <v/>
      </c>
      <c r="BY66">
        <f>$C66*BY65</f>
        <v/>
      </c>
      <c r="BZ66">
        <f>$C66*BZ65</f>
        <v/>
      </c>
      <c r="CA66">
        <f>$C66*CA65</f>
        <v/>
      </c>
      <c r="CB66">
        <f>$C66*CB65</f>
        <v/>
      </c>
      <c r="CC66">
        <f>$C66*CC65</f>
        <v/>
      </c>
      <c r="CD66">
        <f>$C66*CD65</f>
        <v/>
      </c>
      <c r="CE66">
        <f>$C66*CE65</f>
        <v/>
      </c>
      <c r="CF66">
        <f>$C66*CF65</f>
        <v/>
      </c>
      <c r="CG66">
        <f>$C66*CG65</f>
        <v/>
      </c>
      <c r="CH66">
        <f>$C66*CH65</f>
        <v/>
      </c>
      <c r="CI66">
        <f>$C66*CI65</f>
        <v/>
      </c>
      <c r="CJ66">
        <f>$C66*CJ65</f>
        <v/>
      </c>
      <c r="CK66">
        <f>$C66*CK65</f>
        <v/>
      </c>
      <c r="CL66">
        <f>$C66*CL65</f>
        <v/>
      </c>
      <c r="CM66">
        <f>$C66*CM65</f>
        <v/>
      </c>
      <c r="CN66">
        <f>$C66*CN65</f>
        <v/>
      </c>
      <c r="CO66">
        <f>$C66*CO65</f>
        <v/>
      </c>
      <c r="CP66">
        <f>$C66*CP65</f>
        <v/>
      </c>
      <c r="CQ66">
        <f>$C66*CQ65</f>
        <v/>
      </c>
      <c r="CR66">
        <f>$C66*CR65</f>
        <v/>
      </c>
      <c r="CS66">
        <f>$C66*CS65</f>
        <v/>
      </c>
      <c r="CT66">
        <f>$C66*CT65</f>
        <v/>
      </c>
      <c r="CU66">
        <f>$C66*CU65</f>
        <v/>
      </c>
      <c r="CV66">
        <f>$C66*CV65</f>
        <v/>
      </c>
      <c r="CW66">
        <f>$C66*CW65</f>
        <v/>
      </c>
      <c r="CX66">
        <f>$C66*CX65</f>
        <v/>
      </c>
      <c r="CY66">
        <f>$C66*CY65</f>
        <v/>
      </c>
      <c r="CZ66">
        <f>$C66*CZ65</f>
        <v/>
      </c>
      <c r="DA66">
        <f>$C66*DA65</f>
        <v/>
      </c>
      <c r="DB66">
        <f>$C66*DB65</f>
        <v/>
      </c>
      <c r="DC66">
        <f>$C66*DC65</f>
        <v/>
      </c>
      <c r="DD66">
        <f>$C66*DD65</f>
        <v/>
      </c>
    </row>
    <row r="67">
      <c r="B67" t="inlineStr">
        <is>
          <t>TSP-1388</t>
        </is>
      </c>
      <c r="C67" t="inlineStr">
        <is>
          <t>No. of batches</t>
        </is>
      </c>
      <c r="D67">
        <f>IFERROR(INDEX(E67:DD67,$F$1),"")</f>
        <v/>
      </c>
      <c r="E67">
        <f>IFERROR(INDEX(PP_Grid[#Data],$DE67,2),0)</f>
        <v/>
      </c>
      <c r="F67">
        <f>IFERROR(INDEX(PP_Grid[#Data],$DE67,3),0)</f>
        <v/>
      </c>
      <c r="G67">
        <f>IFERROR(INDEX(PP_Grid[#Data],$DE67,4),0)</f>
        <v/>
      </c>
      <c r="H67">
        <f>IFERROR(INDEX(PP_Grid[#Data],$DE67,5),0)</f>
        <v/>
      </c>
      <c r="I67">
        <f>IFERROR(INDEX(PP_Grid[#Data],$DE67,6),0)</f>
        <v/>
      </c>
      <c r="J67">
        <f>IFERROR(INDEX(PP_Grid[#Data],$DE67,7),0)</f>
        <v/>
      </c>
      <c r="K67">
        <f>IFERROR(INDEX(PP_Grid[#Data],$DE67,8),0)</f>
        <v/>
      </c>
      <c r="L67">
        <f>IFERROR(INDEX(PP_Grid[#Data],$DE67,9),0)</f>
        <v/>
      </c>
      <c r="M67">
        <f>IFERROR(INDEX(PP_Grid[#Data],$DE67,10),0)</f>
        <v/>
      </c>
      <c r="N67">
        <f>IFERROR(INDEX(PP_Grid[#Data],$DE67,11),0)</f>
        <v/>
      </c>
      <c r="O67">
        <f>IFERROR(INDEX(PP_Grid[#Data],$DE67,12),0)</f>
        <v/>
      </c>
      <c r="P67">
        <f>IFERROR(INDEX(PP_Grid[#Data],$DE67,13),0)</f>
        <v/>
      </c>
      <c r="Q67">
        <f>IFERROR(INDEX(PP_Grid[#Data],$DE67,14),0)</f>
        <v/>
      </c>
      <c r="R67">
        <f>IFERROR(INDEX(PP_Grid[#Data],$DE67,15),0)</f>
        <v/>
      </c>
      <c r="S67">
        <f>IFERROR(INDEX(PP_Grid[#Data],$DE67,16),0)</f>
        <v/>
      </c>
      <c r="T67">
        <f>IFERROR(INDEX(PP_Grid[#Data],$DE67,17),0)</f>
        <v/>
      </c>
      <c r="U67">
        <f>IFERROR(INDEX(PP_Grid[#Data],$DE67,18),0)</f>
        <v/>
      </c>
      <c r="V67">
        <f>IFERROR(INDEX(PP_Grid[#Data],$DE67,19),0)</f>
        <v/>
      </c>
      <c r="W67">
        <f>IFERROR(INDEX(PP_Grid[#Data],$DE67,20),0)</f>
        <v/>
      </c>
      <c r="X67">
        <f>IFERROR(INDEX(PP_Grid[#Data],$DE67,21),0)</f>
        <v/>
      </c>
      <c r="Y67">
        <f>IFERROR(INDEX(PP_Grid[#Data],$DE67,22),0)</f>
        <v/>
      </c>
      <c r="Z67">
        <f>IFERROR(INDEX(PP_Grid[#Data],$DE67,23),0)</f>
        <v/>
      </c>
      <c r="AA67">
        <f>IFERROR(INDEX(PP_Grid[#Data],$DE67,24),0)</f>
        <v/>
      </c>
      <c r="AB67">
        <f>IFERROR(INDEX(PP_Grid[#Data],$DE67,25),0)</f>
        <v/>
      </c>
      <c r="AC67">
        <f>IFERROR(INDEX(PP_Grid[#Data],$DE67,26),0)</f>
        <v/>
      </c>
      <c r="AD67">
        <f>IFERROR(INDEX(PP_Grid[#Data],$DE67,27),0)</f>
        <v/>
      </c>
      <c r="AE67">
        <f>IFERROR(INDEX(PP_Grid[#Data],$DE67,28),0)</f>
        <v/>
      </c>
      <c r="AF67">
        <f>IFERROR(INDEX(PP_Grid[#Data],$DE67,29),0)</f>
        <v/>
      </c>
      <c r="AG67">
        <f>IFERROR(INDEX(PP_Grid[#Data],$DE67,30),0)</f>
        <v/>
      </c>
      <c r="AH67">
        <f>IFERROR(INDEX(PP_Grid[#Data],$DE67,31),0)</f>
        <v/>
      </c>
      <c r="AI67">
        <f>IFERROR(INDEX(PP_Grid[#Data],$DE67,32),0)</f>
        <v/>
      </c>
      <c r="AJ67">
        <f>IFERROR(INDEX(PP_Grid[#Data],$DE67,33),0)</f>
        <v/>
      </c>
      <c r="AK67">
        <f>IFERROR(INDEX(PP_Grid[#Data],$DE67,34),0)</f>
        <v/>
      </c>
      <c r="AL67">
        <f>IFERROR(INDEX(PP_Grid[#Data],$DE67,35),0)</f>
        <v/>
      </c>
      <c r="AM67">
        <f>IFERROR(INDEX(PP_Grid[#Data],$DE67,36),0)</f>
        <v/>
      </c>
      <c r="AN67">
        <f>IFERROR(INDEX(PP_Grid[#Data],$DE67,37),0)</f>
        <v/>
      </c>
      <c r="AO67">
        <f>IFERROR(INDEX(PP_Grid[#Data],$DE67,38),0)</f>
        <v/>
      </c>
      <c r="AP67">
        <f>IFERROR(INDEX(PP_Grid[#Data],$DE67,39),0)</f>
        <v/>
      </c>
      <c r="AQ67">
        <f>IFERROR(INDEX(PP_Grid[#Data],$DE67,40),0)</f>
        <v/>
      </c>
      <c r="AR67">
        <f>IFERROR(INDEX(PP_Grid[#Data],$DE67,41),0)</f>
        <v/>
      </c>
      <c r="AS67">
        <f>IFERROR(INDEX(PP_Grid[#Data],$DE67,42),0)</f>
        <v/>
      </c>
      <c r="AT67">
        <f>IFERROR(INDEX(PP_Grid[#Data],$DE67,43),0)</f>
        <v/>
      </c>
      <c r="AU67">
        <f>IFERROR(INDEX(PP_Grid[#Data],$DE67,44),0)</f>
        <v/>
      </c>
      <c r="AV67">
        <f>IFERROR(INDEX(PP_Grid[#Data],$DE67,45),0)</f>
        <v/>
      </c>
      <c r="AW67">
        <f>IFERROR(INDEX(PP_Grid[#Data],$DE67,46),0)</f>
        <v/>
      </c>
      <c r="AX67">
        <f>IFERROR(INDEX(PP_Grid[#Data],$DE67,47),0)</f>
        <v/>
      </c>
      <c r="AY67">
        <f>IFERROR(INDEX(PP_Grid[#Data],$DE67,48),0)</f>
        <v/>
      </c>
      <c r="AZ67">
        <f>IFERROR(INDEX(PP_Grid[#Data],$DE67,49),0)</f>
        <v/>
      </c>
      <c r="BA67">
        <f>IFERROR(INDEX(PP_Grid[#Data],$DE67,50),0)</f>
        <v/>
      </c>
      <c r="BB67">
        <f>IFERROR(INDEX(PP_Grid[#Data],$DE67,51),0)</f>
        <v/>
      </c>
      <c r="BC67">
        <f>IFERROR(INDEX(PP_Grid[#Data],$DE67,52),0)</f>
        <v/>
      </c>
      <c r="BD67">
        <f>IFERROR(INDEX(PP_Grid[#Data],$DE67,53),0)</f>
        <v/>
      </c>
      <c r="BE67">
        <f>IFERROR(INDEX(PP_Grid[#Data],$DE67,54),0)</f>
        <v/>
      </c>
      <c r="BF67">
        <f>IFERROR(INDEX(PP_Grid[#Data],$DE67,55),0)</f>
        <v/>
      </c>
      <c r="BG67">
        <f>IFERROR(INDEX(PP_Grid[#Data],$DE67,56),0)</f>
        <v/>
      </c>
      <c r="BH67">
        <f>IFERROR(INDEX(PP_Grid[#Data],$DE67,57),0)</f>
        <v/>
      </c>
      <c r="BI67">
        <f>IFERROR(INDEX(PP_Grid[#Data],$DE67,58),0)</f>
        <v/>
      </c>
      <c r="BJ67">
        <f>IFERROR(INDEX(PP_Grid[#Data],$DE67,59),0)</f>
        <v/>
      </c>
      <c r="BK67">
        <f>IFERROR(INDEX(PP_Grid[#Data],$DE67,60),0)</f>
        <v/>
      </c>
      <c r="BL67">
        <f>IFERROR(INDEX(PP_Grid[#Data],$DE67,61),0)</f>
        <v/>
      </c>
      <c r="BM67">
        <f>IFERROR(INDEX(PP_Grid[#Data],$DE67,62),0)</f>
        <v/>
      </c>
      <c r="BN67">
        <f>IFERROR(INDEX(PP_Grid[#Data],$DE67,63),0)</f>
        <v/>
      </c>
      <c r="BO67">
        <f>IFERROR(INDEX(PP_Grid[#Data],$DE67,64),0)</f>
        <v/>
      </c>
      <c r="BP67">
        <f>IFERROR(INDEX(PP_Grid[#Data],$DE67,65),0)</f>
        <v/>
      </c>
      <c r="BQ67">
        <f>IFERROR(INDEX(PP_Grid[#Data],$DE67,66),0)</f>
        <v/>
      </c>
      <c r="BR67">
        <f>IFERROR(INDEX(PP_Grid[#Data],$DE67,67),0)</f>
        <v/>
      </c>
      <c r="BS67">
        <f>IFERROR(INDEX(PP_Grid[#Data],$DE67,68),0)</f>
        <v/>
      </c>
      <c r="BT67">
        <f>IFERROR(INDEX(PP_Grid[#Data],$DE67,69),0)</f>
        <v/>
      </c>
      <c r="BU67">
        <f>IFERROR(INDEX(PP_Grid[#Data],$DE67,70),0)</f>
        <v/>
      </c>
      <c r="BV67">
        <f>IFERROR(INDEX(PP_Grid[#Data],$DE67,71),0)</f>
        <v/>
      </c>
      <c r="BW67">
        <f>IFERROR(INDEX(PP_Grid[#Data],$DE67,72),0)</f>
        <v/>
      </c>
      <c r="BX67">
        <f>IFERROR(INDEX(PP_Grid[#Data],$DE67,73),0)</f>
        <v/>
      </c>
      <c r="BY67">
        <f>IFERROR(INDEX(PP_Grid[#Data],$DE67,74),0)</f>
        <v/>
      </c>
      <c r="BZ67">
        <f>IFERROR(INDEX(PP_Grid[#Data],$DE67,75),0)</f>
        <v/>
      </c>
      <c r="CA67">
        <f>IFERROR(INDEX(PP_Grid[#Data],$DE67,76),0)</f>
        <v/>
      </c>
      <c r="CB67">
        <f>IFERROR(INDEX(PP_Grid[#Data],$DE67,77),0)</f>
        <v/>
      </c>
      <c r="CC67">
        <f>IFERROR(INDEX(PP_Grid[#Data],$DE67,78),0)</f>
        <v/>
      </c>
      <c r="CD67">
        <f>IFERROR(INDEX(PP_Grid[#Data],$DE67,79),0)</f>
        <v/>
      </c>
      <c r="CE67">
        <f>IFERROR(INDEX(PP_Grid[#Data],$DE67,80),0)</f>
        <v/>
      </c>
      <c r="CF67">
        <f>IFERROR(INDEX(PP_Grid[#Data],$DE67,81),0)</f>
        <v/>
      </c>
      <c r="CG67">
        <f>IFERROR(INDEX(PP_Grid[#Data],$DE67,82),0)</f>
        <v/>
      </c>
      <c r="CH67">
        <f>IFERROR(INDEX(PP_Grid[#Data],$DE67,83),0)</f>
        <v/>
      </c>
      <c r="CI67">
        <f>IFERROR(INDEX(PP_Grid[#Data],$DE67,84),0)</f>
        <v/>
      </c>
      <c r="CJ67">
        <f>IFERROR(INDEX(PP_Grid[#Data],$DE67,85),0)</f>
        <v/>
      </c>
      <c r="CK67">
        <f>IFERROR(INDEX(PP_Grid[#Data],$DE67,86),0)</f>
        <v/>
      </c>
      <c r="CL67">
        <f>IFERROR(INDEX(PP_Grid[#Data],$DE67,87),0)</f>
        <v/>
      </c>
      <c r="CM67">
        <f>IFERROR(INDEX(PP_Grid[#Data],$DE67,88),0)</f>
        <v/>
      </c>
      <c r="CN67">
        <f>IFERROR(INDEX(PP_Grid[#Data],$DE67,89),0)</f>
        <v/>
      </c>
      <c r="CO67">
        <f>IFERROR(INDEX(PP_Grid[#Data],$DE67,90),0)</f>
        <v/>
      </c>
      <c r="CP67">
        <f>IFERROR(INDEX(PP_Grid[#Data],$DE67,91),0)</f>
        <v/>
      </c>
      <c r="CQ67">
        <f>IFERROR(INDEX(PP_Grid[#Data],$DE67,92),0)</f>
        <v/>
      </c>
      <c r="CR67">
        <f>IFERROR(INDEX(PP_Grid[#Data],$DE67,93),0)</f>
        <v/>
      </c>
      <c r="CS67">
        <f>IFERROR(INDEX(PP_Grid[#Data],$DE67,94),0)</f>
        <v/>
      </c>
      <c r="CT67">
        <f>IFERROR(INDEX(PP_Grid[#Data],$DE67,95),0)</f>
        <v/>
      </c>
      <c r="CU67">
        <f>IFERROR(INDEX(PP_Grid[#Data],$DE67,96),0)</f>
        <v/>
      </c>
      <c r="CV67">
        <f>IFERROR(INDEX(PP_Grid[#Data],$DE67,97),0)</f>
        <v/>
      </c>
      <c r="CW67">
        <f>IFERROR(INDEX(PP_Grid[#Data],$DE67,98),0)</f>
        <v/>
      </c>
      <c r="CX67">
        <f>IFERROR(INDEX(PP_Grid[#Data],$DE67,99),0)</f>
        <v/>
      </c>
      <c r="CY67">
        <f>IFERROR(INDEX(PP_Grid[#Data],$DE67,100),0)</f>
        <v/>
      </c>
      <c r="CZ67">
        <f>IFERROR(INDEX(PP_Grid[#Data],$DE67,101),0)</f>
        <v/>
      </c>
      <c r="DA67">
        <f>IFERROR(INDEX(PP_Grid[#Data],$DE67,102),0)</f>
        <v/>
      </c>
      <c r="DB67">
        <f>IFERROR(INDEX(PP_Grid[#Data],$DE67,103),0)</f>
        <v/>
      </c>
      <c r="DC67">
        <f>IFERROR(INDEX(PP_Grid[#Data],$DE67,104),0)</f>
        <v/>
      </c>
      <c r="DD67">
        <f>IFERROR(INDEX(PP_Grid[#Data],$DE67,105),0)</f>
        <v/>
      </c>
      <c r="DE67" s="7">
        <f>IFERROR(MATCH($B67,PP_Grid[Intermediate],0),99999)</f>
        <v/>
      </c>
    </row>
    <row r="68">
      <c r="B68" t="inlineStr">
        <is>
          <t>使用量(kg)</t>
        </is>
      </c>
      <c r="C68">
        <f>SUMIFS(M_BOM[RM_Qty_Per_Batch],M_BOM[Intermediate],$B67,M_BOM[RM_Code],$A28)</f>
        <v/>
      </c>
      <c r="D68">
        <f>IFERROR(INDEX(E68:DD68,$F$1),"")</f>
        <v/>
      </c>
      <c r="E68">
        <f>$C68*E67</f>
        <v/>
      </c>
      <c r="F68">
        <f>$C68*F67</f>
        <v/>
      </c>
      <c r="G68">
        <f>$C68*G67</f>
        <v/>
      </c>
      <c r="H68">
        <f>$C68*H67</f>
        <v/>
      </c>
      <c r="I68">
        <f>$C68*I67</f>
        <v/>
      </c>
      <c r="J68">
        <f>$C68*J67</f>
        <v/>
      </c>
      <c r="K68">
        <f>$C68*K67</f>
        <v/>
      </c>
      <c r="L68">
        <f>$C68*L67</f>
        <v/>
      </c>
      <c r="M68">
        <f>$C68*M67</f>
        <v/>
      </c>
      <c r="N68">
        <f>$C68*N67</f>
        <v/>
      </c>
      <c r="O68">
        <f>$C68*O67</f>
        <v/>
      </c>
      <c r="P68">
        <f>$C68*P67</f>
        <v/>
      </c>
      <c r="Q68">
        <f>$C68*Q67</f>
        <v/>
      </c>
      <c r="R68">
        <f>$C68*R67</f>
        <v/>
      </c>
      <c r="S68">
        <f>$C68*S67</f>
        <v/>
      </c>
      <c r="T68">
        <f>$C68*T67</f>
        <v/>
      </c>
      <c r="U68">
        <f>$C68*U67</f>
        <v/>
      </c>
      <c r="V68">
        <f>$C68*V67</f>
        <v/>
      </c>
      <c r="W68">
        <f>$C68*W67</f>
        <v/>
      </c>
      <c r="X68">
        <f>$C68*X67</f>
        <v/>
      </c>
      <c r="Y68">
        <f>$C68*Y67</f>
        <v/>
      </c>
      <c r="Z68">
        <f>$C68*Z67</f>
        <v/>
      </c>
      <c r="AA68">
        <f>$C68*AA67</f>
        <v/>
      </c>
      <c r="AB68">
        <f>$C68*AB67</f>
        <v/>
      </c>
      <c r="AC68">
        <f>$C68*AC67</f>
        <v/>
      </c>
      <c r="AD68">
        <f>$C68*AD67</f>
        <v/>
      </c>
      <c r="AE68">
        <f>$C68*AE67</f>
        <v/>
      </c>
      <c r="AF68">
        <f>$C68*AF67</f>
        <v/>
      </c>
      <c r="AG68">
        <f>$C68*AG67</f>
        <v/>
      </c>
      <c r="AH68">
        <f>$C68*AH67</f>
        <v/>
      </c>
      <c r="AI68">
        <f>$C68*AI67</f>
        <v/>
      </c>
      <c r="AJ68">
        <f>$C68*AJ67</f>
        <v/>
      </c>
      <c r="AK68">
        <f>$C68*AK67</f>
        <v/>
      </c>
      <c r="AL68">
        <f>$C68*AL67</f>
        <v/>
      </c>
      <c r="AM68">
        <f>$C68*AM67</f>
        <v/>
      </c>
      <c r="AN68">
        <f>$C68*AN67</f>
        <v/>
      </c>
      <c r="AO68">
        <f>$C68*AO67</f>
        <v/>
      </c>
      <c r="AP68">
        <f>$C68*AP67</f>
        <v/>
      </c>
      <c r="AQ68">
        <f>$C68*AQ67</f>
        <v/>
      </c>
      <c r="AR68">
        <f>$C68*AR67</f>
        <v/>
      </c>
      <c r="AS68">
        <f>$C68*AS67</f>
        <v/>
      </c>
      <c r="AT68">
        <f>$C68*AT67</f>
        <v/>
      </c>
      <c r="AU68">
        <f>$C68*AU67</f>
        <v/>
      </c>
      <c r="AV68">
        <f>$C68*AV67</f>
        <v/>
      </c>
      <c r="AW68">
        <f>$C68*AW67</f>
        <v/>
      </c>
      <c r="AX68">
        <f>$C68*AX67</f>
        <v/>
      </c>
      <c r="AY68">
        <f>$C68*AY67</f>
        <v/>
      </c>
      <c r="AZ68">
        <f>$C68*AZ67</f>
        <v/>
      </c>
      <c r="BA68">
        <f>$C68*BA67</f>
        <v/>
      </c>
      <c r="BB68">
        <f>$C68*BB67</f>
        <v/>
      </c>
      <c r="BC68">
        <f>$C68*BC67</f>
        <v/>
      </c>
      <c r="BD68">
        <f>$C68*BD67</f>
        <v/>
      </c>
      <c r="BE68">
        <f>$C68*BE67</f>
        <v/>
      </c>
      <c r="BF68">
        <f>$C68*BF67</f>
        <v/>
      </c>
      <c r="BG68">
        <f>$C68*BG67</f>
        <v/>
      </c>
      <c r="BH68">
        <f>$C68*BH67</f>
        <v/>
      </c>
      <c r="BI68">
        <f>$C68*BI67</f>
        <v/>
      </c>
      <c r="BJ68">
        <f>$C68*BJ67</f>
        <v/>
      </c>
      <c r="BK68">
        <f>$C68*BK67</f>
        <v/>
      </c>
      <c r="BL68">
        <f>$C68*BL67</f>
        <v/>
      </c>
      <c r="BM68">
        <f>$C68*BM67</f>
        <v/>
      </c>
      <c r="BN68">
        <f>$C68*BN67</f>
        <v/>
      </c>
      <c r="BO68">
        <f>$C68*BO67</f>
        <v/>
      </c>
      <c r="BP68">
        <f>$C68*BP67</f>
        <v/>
      </c>
      <c r="BQ68">
        <f>$C68*BQ67</f>
        <v/>
      </c>
      <c r="BR68">
        <f>$C68*BR67</f>
        <v/>
      </c>
      <c r="BS68">
        <f>$C68*BS67</f>
        <v/>
      </c>
      <c r="BT68">
        <f>$C68*BT67</f>
        <v/>
      </c>
      <c r="BU68">
        <f>$C68*BU67</f>
        <v/>
      </c>
      <c r="BV68">
        <f>$C68*BV67</f>
        <v/>
      </c>
      <c r="BW68">
        <f>$C68*BW67</f>
        <v/>
      </c>
      <c r="BX68">
        <f>$C68*BX67</f>
        <v/>
      </c>
      <c r="BY68">
        <f>$C68*BY67</f>
        <v/>
      </c>
      <c r="BZ68">
        <f>$C68*BZ67</f>
        <v/>
      </c>
      <c r="CA68">
        <f>$C68*CA67</f>
        <v/>
      </c>
      <c r="CB68">
        <f>$C68*CB67</f>
        <v/>
      </c>
      <c r="CC68">
        <f>$C68*CC67</f>
        <v/>
      </c>
      <c r="CD68">
        <f>$C68*CD67</f>
        <v/>
      </c>
      <c r="CE68">
        <f>$C68*CE67</f>
        <v/>
      </c>
      <c r="CF68">
        <f>$C68*CF67</f>
        <v/>
      </c>
      <c r="CG68">
        <f>$C68*CG67</f>
        <v/>
      </c>
      <c r="CH68">
        <f>$C68*CH67</f>
        <v/>
      </c>
      <c r="CI68">
        <f>$C68*CI67</f>
        <v/>
      </c>
      <c r="CJ68">
        <f>$C68*CJ67</f>
        <v/>
      </c>
      <c r="CK68">
        <f>$C68*CK67</f>
        <v/>
      </c>
      <c r="CL68">
        <f>$C68*CL67</f>
        <v/>
      </c>
      <c r="CM68">
        <f>$C68*CM67</f>
        <v/>
      </c>
      <c r="CN68">
        <f>$C68*CN67</f>
        <v/>
      </c>
      <c r="CO68">
        <f>$C68*CO67</f>
        <v/>
      </c>
      <c r="CP68">
        <f>$C68*CP67</f>
        <v/>
      </c>
      <c r="CQ68">
        <f>$C68*CQ67</f>
        <v/>
      </c>
      <c r="CR68">
        <f>$C68*CR67</f>
        <v/>
      </c>
      <c r="CS68">
        <f>$C68*CS67</f>
        <v/>
      </c>
      <c r="CT68">
        <f>$C68*CT67</f>
        <v/>
      </c>
      <c r="CU68">
        <f>$C68*CU67</f>
        <v/>
      </c>
      <c r="CV68">
        <f>$C68*CV67</f>
        <v/>
      </c>
      <c r="CW68">
        <f>$C68*CW67</f>
        <v/>
      </c>
      <c r="CX68">
        <f>$C68*CX67</f>
        <v/>
      </c>
      <c r="CY68">
        <f>$C68*CY67</f>
        <v/>
      </c>
      <c r="CZ68">
        <f>$C68*CZ67</f>
        <v/>
      </c>
      <c r="DA68">
        <f>$C68*DA67</f>
        <v/>
      </c>
      <c r="DB68">
        <f>$C68*DB67</f>
        <v/>
      </c>
      <c r="DC68">
        <f>$C68*DC67</f>
        <v/>
      </c>
      <c r="DD68">
        <f>$C68*DD67</f>
        <v/>
      </c>
    </row>
    <row r="69">
      <c r="B69" t="inlineStr">
        <is>
          <t>TSP-1449</t>
        </is>
      </c>
      <c r="C69" t="inlineStr">
        <is>
          <t>No. of batches</t>
        </is>
      </c>
      <c r="D69">
        <f>IFERROR(INDEX(E69:DD69,$F$1),"")</f>
        <v/>
      </c>
      <c r="E69">
        <f>IFERROR(INDEX(PP_Grid[#Data],$DE69,2),0)</f>
        <v/>
      </c>
      <c r="F69">
        <f>IFERROR(INDEX(PP_Grid[#Data],$DE69,3),0)</f>
        <v/>
      </c>
      <c r="G69">
        <f>IFERROR(INDEX(PP_Grid[#Data],$DE69,4),0)</f>
        <v/>
      </c>
      <c r="H69">
        <f>IFERROR(INDEX(PP_Grid[#Data],$DE69,5),0)</f>
        <v/>
      </c>
      <c r="I69">
        <f>IFERROR(INDEX(PP_Grid[#Data],$DE69,6),0)</f>
        <v/>
      </c>
      <c r="J69">
        <f>IFERROR(INDEX(PP_Grid[#Data],$DE69,7),0)</f>
        <v/>
      </c>
      <c r="K69">
        <f>IFERROR(INDEX(PP_Grid[#Data],$DE69,8),0)</f>
        <v/>
      </c>
      <c r="L69">
        <f>IFERROR(INDEX(PP_Grid[#Data],$DE69,9),0)</f>
        <v/>
      </c>
      <c r="M69">
        <f>IFERROR(INDEX(PP_Grid[#Data],$DE69,10),0)</f>
        <v/>
      </c>
      <c r="N69">
        <f>IFERROR(INDEX(PP_Grid[#Data],$DE69,11),0)</f>
        <v/>
      </c>
      <c r="O69">
        <f>IFERROR(INDEX(PP_Grid[#Data],$DE69,12),0)</f>
        <v/>
      </c>
      <c r="P69">
        <f>IFERROR(INDEX(PP_Grid[#Data],$DE69,13),0)</f>
        <v/>
      </c>
      <c r="Q69">
        <f>IFERROR(INDEX(PP_Grid[#Data],$DE69,14),0)</f>
        <v/>
      </c>
      <c r="R69">
        <f>IFERROR(INDEX(PP_Grid[#Data],$DE69,15),0)</f>
        <v/>
      </c>
      <c r="S69">
        <f>IFERROR(INDEX(PP_Grid[#Data],$DE69,16),0)</f>
        <v/>
      </c>
      <c r="T69">
        <f>IFERROR(INDEX(PP_Grid[#Data],$DE69,17),0)</f>
        <v/>
      </c>
      <c r="U69">
        <f>IFERROR(INDEX(PP_Grid[#Data],$DE69,18),0)</f>
        <v/>
      </c>
      <c r="V69">
        <f>IFERROR(INDEX(PP_Grid[#Data],$DE69,19),0)</f>
        <v/>
      </c>
      <c r="W69">
        <f>IFERROR(INDEX(PP_Grid[#Data],$DE69,20),0)</f>
        <v/>
      </c>
      <c r="X69">
        <f>IFERROR(INDEX(PP_Grid[#Data],$DE69,21),0)</f>
        <v/>
      </c>
      <c r="Y69">
        <f>IFERROR(INDEX(PP_Grid[#Data],$DE69,22),0)</f>
        <v/>
      </c>
      <c r="Z69">
        <f>IFERROR(INDEX(PP_Grid[#Data],$DE69,23),0)</f>
        <v/>
      </c>
      <c r="AA69">
        <f>IFERROR(INDEX(PP_Grid[#Data],$DE69,24),0)</f>
        <v/>
      </c>
      <c r="AB69">
        <f>IFERROR(INDEX(PP_Grid[#Data],$DE69,25),0)</f>
        <v/>
      </c>
      <c r="AC69">
        <f>IFERROR(INDEX(PP_Grid[#Data],$DE69,26),0)</f>
        <v/>
      </c>
      <c r="AD69">
        <f>IFERROR(INDEX(PP_Grid[#Data],$DE69,27),0)</f>
        <v/>
      </c>
      <c r="AE69">
        <f>IFERROR(INDEX(PP_Grid[#Data],$DE69,28),0)</f>
        <v/>
      </c>
      <c r="AF69">
        <f>IFERROR(INDEX(PP_Grid[#Data],$DE69,29),0)</f>
        <v/>
      </c>
      <c r="AG69">
        <f>IFERROR(INDEX(PP_Grid[#Data],$DE69,30),0)</f>
        <v/>
      </c>
      <c r="AH69">
        <f>IFERROR(INDEX(PP_Grid[#Data],$DE69,31),0)</f>
        <v/>
      </c>
      <c r="AI69">
        <f>IFERROR(INDEX(PP_Grid[#Data],$DE69,32),0)</f>
        <v/>
      </c>
      <c r="AJ69">
        <f>IFERROR(INDEX(PP_Grid[#Data],$DE69,33),0)</f>
        <v/>
      </c>
      <c r="AK69">
        <f>IFERROR(INDEX(PP_Grid[#Data],$DE69,34),0)</f>
        <v/>
      </c>
      <c r="AL69">
        <f>IFERROR(INDEX(PP_Grid[#Data],$DE69,35),0)</f>
        <v/>
      </c>
      <c r="AM69">
        <f>IFERROR(INDEX(PP_Grid[#Data],$DE69,36),0)</f>
        <v/>
      </c>
      <c r="AN69">
        <f>IFERROR(INDEX(PP_Grid[#Data],$DE69,37),0)</f>
        <v/>
      </c>
      <c r="AO69">
        <f>IFERROR(INDEX(PP_Grid[#Data],$DE69,38),0)</f>
        <v/>
      </c>
      <c r="AP69">
        <f>IFERROR(INDEX(PP_Grid[#Data],$DE69,39),0)</f>
        <v/>
      </c>
      <c r="AQ69">
        <f>IFERROR(INDEX(PP_Grid[#Data],$DE69,40),0)</f>
        <v/>
      </c>
      <c r="AR69">
        <f>IFERROR(INDEX(PP_Grid[#Data],$DE69,41),0)</f>
        <v/>
      </c>
      <c r="AS69">
        <f>IFERROR(INDEX(PP_Grid[#Data],$DE69,42),0)</f>
        <v/>
      </c>
      <c r="AT69">
        <f>IFERROR(INDEX(PP_Grid[#Data],$DE69,43),0)</f>
        <v/>
      </c>
      <c r="AU69">
        <f>IFERROR(INDEX(PP_Grid[#Data],$DE69,44),0)</f>
        <v/>
      </c>
      <c r="AV69">
        <f>IFERROR(INDEX(PP_Grid[#Data],$DE69,45),0)</f>
        <v/>
      </c>
      <c r="AW69">
        <f>IFERROR(INDEX(PP_Grid[#Data],$DE69,46),0)</f>
        <v/>
      </c>
      <c r="AX69">
        <f>IFERROR(INDEX(PP_Grid[#Data],$DE69,47),0)</f>
        <v/>
      </c>
      <c r="AY69">
        <f>IFERROR(INDEX(PP_Grid[#Data],$DE69,48),0)</f>
        <v/>
      </c>
      <c r="AZ69">
        <f>IFERROR(INDEX(PP_Grid[#Data],$DE69,49),0)</f>
        <v/>
      </c>
      <c r="BA69">
        <f>IFERROR(INDEX(PP_Grid[#Data],$DE69,50),0)</f>
        <v/>
      </c>
      <c r="BB69">
        <f>IFERROR(INDEX(PP_Grid[#Data],$DE69,51),0)</f>
        <v/>
      </c>
      <c r="BC69">
        <f>IFERROR(INDEX(PP_Grid[#Data],$DE69,52),0)</f>
        <v/>
      </c>
      <c r="BD69">
        <f>IFERROR(INDEX(PP_Grid[#Data],$DE69,53),0)</f>
        <v/>
      </c>
      <c r="BE69">
        <f>IFERROR(INDEX(PP_Grid[#Data],$DE69,54),0)</f>
        <v/>
      </c>
      <c r="BF69">
        <f>IFERROR(INDEX(PP_Grid[#Data],$DE69,55),0)</f>
        <v/>
      </c>
      <c r="BG69">
        <f>IFERROR(INDEX(PP_Grid[#Data],$DE69,56),0)</f>
        <v/>
      </c>
      <c r="BH69">
        <f>IFERROR(INDEX(PP_Grid[#Data],$DE69,57),0)</f>
        <v/>
      </c>
      <c r="BI69">
        <f>IFERROR(INDEX(PP_Grid[#Data],$DE69,58),0)</f>
        <v/>
      </c>
      <c r="BJ69">
        <f>IFERROR(INDEX(PP_Grid[#Data],$DE69,59),0)</f>
        <v/>
      </c>
      <c r="BK69">
        <f>IFERROR(INDEX(PP_Grid[#Data],$DE69,60),0)</f>
        <v/>
      </c>
      <c r="BL69">
        <f>IFERROR(INDEX(PP_Grid[#Data],$DE69,61),0)</f>
        <v/>
      </c>
      <c r="BM69">
        <f>IFERROR(INDEX(PP_Grid[#Data],$DE69,62),0)</f>
        <v/>
      </c>
      <c r="BN69">
        <f>IFERROR(INDEX(PP_Grid[#Data],$DE69,63),0)</f>
        <v/>
      </c>
      <c r="BO69">
        <f>IFERROR(INDEX(PP_Grid[#Data],$DE69,64),0)</f>
        <v/>
      </c>
      <c r="BP69">
        <f>IFERROR(INDEX(PP_Grid[#Data],$DE69,65),0)</f>
        <v/>
      </c>
      <c r="BQ69">
        <f>IFERROR(INDEX(PP_Grid[#Data],$DE69,66),0)</f>
        <v/>
      </c>
      <c r="BR69">
        <f>IFERROR(INDEX(PP_Grid[#Data],$DE69,67),0)</f>
        <v/>
      </c>
      <c r="BS69">
        <f>IFERROR(INDEX(PP_Grid[#Data],$DE69,68),0)</f>
        <v/>
      </c>
      <c r="BT69">
        <f>IFERROR(INDEX(PP_Grid[#Data],$DE69,69),0)</f>
        <v/>
      </c>
      <c r="BU69">
        <f>IFERROR(INDEX(PP_Grid[#Data],$DE69,70),0)</f>
        <v/>
      </c>
      <c r="BV69">
        <f>IFERROR(INDEX(PP_Grid[#Data],$DE69,71),0)</f>
        <v/>
      </c>
      <c r="BW69">
        <f>IFERROR(INDEX(PP_Grid[#Data],$DE69,72),0)</f>
        <v/>
      </c>
      <c r="BX69">
        <f>IFERROR(INDEX(PP_Grid[#Data],$DE69,73),0)</f>
        <v/>
      </c>
      <c r="BY69">
        <f>IFERROR(INDEX(PP_Grid[#Data],$DE69,74),0)</f>
        <v/>
      </c>
      <c r="BZ69">
        <f>IFERROR(INDEX(PP_Grid[#Data],$DE69,75),0)</f>
        <v/>
      </c>
      <c r="CA69">
        <f>IFERROR(INDEX(PP_Grid[#Data],$DE69,76),0)</f>
        <v/>
      </c>
      <c r="CB69">
        <f>IFERROR(INDEX(PP_Grid[#Data],$DE69,77),0)</f>
        <v/>
      </c>
      <c r="CC69">
        <f>IFERROR(INDEX(PP_Grid[#Data],$DE69,78),0)</f>
        <v/>
      </c>
      <c r="CD69">
        <f>IFERROR(INDEX(PP_Grid[#Data],$DE69,79),0)</f>
        <v/>
      </c>
      <c r="CE69">
        <f>IFERROR(INDEX(PP_Grid[#Data],$DE69,80),0)</f>
        <v/>
      </c>
      <c r="CF69">
        <f>IFERROR(INDEX(PP_Grid[#Data],$DE69,81),0)</f>
        <v/>
      </c>
      <c r="CG69">
        <f>IFERROR(INDEX(PP_Grid[#Data],$DE69,82),0)</f>
        <v/>
      </c>
      <c r="CH69">
        <f>IFERROR(INDEX(PP_Grid[#Data],$DE69,83),0)</f>
        <v/>
      </c>
      <c r="CI69">
        <f>IFERROR(INDEX(PP_Grid[#Data],$DE69,84),0)</f>
        <v/>
      </c>
      <c r="CJ69">
        <f>IFERROR(INDEX(PP_Grid[#Data],$DE69,85),0)</f>
        <v/>
      </c>
      <c r="CK69">
        <f>IFERROR(INDEX(PP_Grid[#Data],$DE69,86),0)</f>
        <v/>
      </c>
      <c r="CL69">
        <f>IFERROR(INDEX(PP_Grid[#Data],$DE69,87),0)</f>
        <v/>
      </c>
      <c r="CM69">
        <f>IFERROR(INDEX(PP_Grid[#Data],$DE69,88),0)</f>
        <v/>
      </c>
      <c r="CN69">
        <f>IFERROR(INDEX(PP_Grid[#Data],$DE69,89),0)</f>
        <v/>
      </c>
      <c r="CO69">
        <f>IFERROR(INDEX(PP_Grid[#Data],$DE69,90),0)</f>
        <v/>
      </c>
      <c r="CP69">
        <f>IFERROR(INDEX(PP_Grid[#Data],$DE69,91),0)</f>
        <v/>
      </c>
      <c r="CQ69">
        <f>IFERROR(INDEX(PP_Grid[#Data],$DE69,92),0)</f>
        <v/>
      </c>
      <c r="CR69">
        <f>IFERROR(INDEX(PP_Grid[#Data],$DE69,93),0)</f>
        <v/>
      </c>
      <c r="CS69">
        <f>IFERROR(INDEX(PP_Grid[#Data],$DE69,94),0)</f>
        <v/>
      </c>
      <c r="CT69">
        <f>IFERROR(INDEX(PP_Grid[#Data],$DE69,95),0)</f>
        <v/>
      </c>
      <c r="CU69">
        <f>IFERROR(INDEX(PP_Grid[#Data],$DE69,96),0)</f>
        <v/>
      </c>
      <c r="CV69">
        <f>IFERROR(INDEX(PP_Grid[#Data],$DE69,97),0)</f>
        <v/>
      </c>
      <c r="CW69">
        <f>IFERROR(INDEX(PP_Grid[#Data],$DE69,98),0)</f>
        <v/>
      </c>
      <c r="CX69">
        <f>IFERROR(INDEX(PP_Grid[#Data],$DE69,99),0)</f>
        <v/>
      </c>
      <c r="CY69">
        <f>IFERROR(INDEX(PP_Grid[#Data],$DE69,100),0)</f>
        <v/>
      </c>
      <c r="CZ69">
        <f>IFERROR(INDEX(PP_Grid[#Data],$DE69,101),0)</f>
        <v/>
      </c>
      <c r="DA69">
        <f>IFERROR(INDEX(PP_Grid[#Data],$DE69,102),0)</f>
        <v/>
      </c>
      <c r="DB69">
        <f>IFERROR(INDEX(PP_Grid[#Data],$DE69,103),0)</f>
        <v/>
      </c>
      <c r="DC69">
        <f>IFERROR(INDEX(PP_Grid[#Data],$DE69,104),0)</f>
        <v/>
      </c>
      <c r="DD69">
        <f>IFERROR(INDEX(PP_Grid[#Data],$DE69,105),0)</f>
        <v/>
      </c>
      <c r="DE69" s="7">
        <f>IFERROR(MATCH($B69,PP_Grid[Intermediate],0),99999)</f>
        <v/>
      </c>
    </row>
    <row r="70">
      <c r="B70" t="inlineStr">
        <is>
          <t>使用量(kg)</t>
        </is>
      </c>
      <c r="C70">
        <f>SUMIFS(M_BOM[RM_Qty_Per_Batch],M_BOM[Intermediate],$B69,M_BOM[RM_Code],$A28)</f>
        <v/>
      </c>
      <c r="D70">
        <f>IFERROR(INDEX(E70:DD70,$F$1),"")</f>
        <v/>
      </c>
      <c r="E70">
        <f>$C70*E69</f>
        <v/>
      </c>
      <c r="F70">
        <f>$C70*F69</f>
        <v/>
      </c>
      <c r="G70">
        <f>$C70*G69</f>
        <v/>
      </c>
      <c r="H70">
        <f>$C70*H69</f>
        <v/>
      </c>
      <c r="I70">
        <f>$C70*I69</f>
        <v/>
      </c>
      <c r="J70">
        <f>$C70*J69</f>
        <v/>
      </c>
      <c r="K70">
        <f>$C70*K69</f>
        <v/>
      </c>
      <c r="L70">
        <f>$C70*L69</f>
        <v/>
      </c>
      <c r="M70">
        <f>$C70*M69</f>
        <v/>
      </c>
      <c r="N70">
        <f>$C70*N69</f>
        <v/>
      </c>
      <c r="O70">
        <f>$C70*O69</f>
        <v/>
      </c>
      <c r="P70">
        <f>$C70*P69</f>
        <v/>
      </c>
      <c r="Q70">
        <f>$C70*Q69</f>
        <v/>
      </c>
      <c r="R70">
        <f>$C70*R69</f>
        <v/>
      </c>
      <c r="S70">
        <f>$C70*S69</f>
        <v/>
      </c>
      <c r="T70">
        <f>$C70*T69</f>
        <v/>
      </c>
      <c r="U70">
        <f>$C70*U69</f>
        <v/>
      </c>
      <c r="V70">
        <f>$C70*V69</f>
        <v/>
      </c>
      <c r="W70">
        <f>$C70*W69</f>
        <v/>
      </c>
      <c r="X70">
        <f>$C70*X69</f>
        <v/>
      </c>
      <c r="Y70">
        <f>$C70*Y69</f>
        <v/>
      </c>
      <c r="Z70">
        <f>$C70*Z69</f>
        <v/>
      </c>
      <c r="AA70">
        <f>$C70*AA69</f>
        <v/>
      </c>
      <c r="AB70">
        <f>$C70*AB69</f>
        <v/>
      </c>
      <c r="AC70">
        <f>$C70*AC69</f>
        <v/>
      </c>
      <c r="AD70">
        <f>$C70*AD69</f>
        <v/>
      </c>
      <c r="AE70">
        <f>$C70*AE69</f>
        <v/>
      </c>
      <c r="AF70">
        <f>$C70*AF69</f>
        <v/>
      </c>
      <c r="AG70">
        <f>$C70*AG69</f>
        <v/>
      </c>
      <c r="AH70">
        <f>$C70*AH69</f>
        <v/>
      </c>
      <c r="AI70">
        <f>$C70*AI69</f>
        <v/>
      </c>
      <c r="AJ70">
        <f>$C70*AJ69</f>
        <v/>
      </c>
      <c r="AK70">
        <f>$C70*AK69</f>
        <v/>
      </c>
      <c r="AL70">
        <f>$C70*AL69</f>
        <v/>
      </c>
      <c r="AM70">
        <f>$C70*AM69</f>
        <v/>
      </c>
      <c r="AN70">
        <f>$C70*AN69</f>
        <v/>
      </c>
      <c r="AO70">
        <f>$C70*AO69</f>
        <v/>
      </c>
      <c r="AP70">
        <f>$C70*AP69</f>
        <v/>
      </c>
      <c r="AQ70">
        <f>$C70*AQ69</f>
        <v/>
      </c>
      <c r="AR70">
        <f>$C70*AR69</f>
        <v/>
      </c>
      <c r="AS70">
        <f>$C70*AS69</f>
        <v/>
      </c>
      <c r="AT70">
        <f>$C70*AT69</f>
        <v/>
      </c>
      <c r="AU70">
        <f>$C70*AU69</f>
        <v/>
      </c>
      <c r="AV70">
        <f>$C70*AV69</f>
        <v/>
      </c>
      <c r="AW70">
        <f>$C70*AW69</f>
        <v/>
      </c>
      <c r="AX70">
        <f>$C70*AX69</f>
        <v/>
      </c>
      <c r="AY70">
        <f>$C70*AY69</f>
        <v/>
      </c>
      <c r="AZ70">
        <f>$C70*AZ69</f>
        <v/>
      </c>
      <c r="BA70">
        <f>$C70*BA69</f>
        <v/>
      </c>
      <c r="BB70">
        <f>$C70*BB69</f>
        <v/>
      </c>
      <c r="BC70">
        <f>$C70*BC69</f>
        <v/>
      </c>
      <c r="BD70">
        <f>$C70*BD69</f>
        <v/>
      </c>
      <c r="BE70">
        <f>$C70*BE69</f>
        <v/>
      </c>
      <c r="BF70">
        <f>$C70*BF69</f>
        <v/>
      </c>
      <c r="BG70">
        <f>$C70*BG69</f>
        <v/>
      </c>
      <c r="BH70">
        <f>$C70*BH69</f>
        <v/>
      </c>
      <c r="BI70">
        <f>$C70*BI69</f>
        <v/>
      </c>
      <c r="BJ70">
        <f>$C70*BJ69</f>
        <v/>
      </c>
      <c r="BK70">
        <f>$C70*BK69</f>
        <v/>
      </c>
      <c r="BL70">
        <f>$C70*BL69</f>
        <v/>
      </c>
      <c r="BM70">
        <f>$C70*BM69</f>
        <v/>
      </c>
      <c r="BN70">
        <f>$C70*BN69</f>
        <v/>
      </c>
      <c r="BO70">
        <f>$C70*BO69</f>
        <v/>
      </c>
      <c r="BP70">
        <f>$C70*BP69</f>
        <v/>
      </c>
      <c r="BQ70">
        <f>$C70*BQ69</f>
        <v/>
      </c>
      <c r="BR70">
        <f>$C70*BR69</f>
        <v/>
      </c>
      <c r="BS70">
        <f>$C70*BS69</f>
        <v/>
      </c>
      <c r="BT70">
        <f>$C70*BT69</f>
        <v/>
      </c>
      <c r="BU70">
        <f>$C70*BU69</f>
        <v/>
      </c>
      <c r="BV70">
        <f>$C70*BV69</f>
        <v/>
      </c>
      <c r="BW70">
        <f>$C70*BW69</f>
        <v/>
      </c>
      <c r="BX70">
        <f>$C70*BX69</f>
        <v/>
      </c>
      <c r="BY70">
        <f>$C70*BY69</f>
        <v/>
      </c>
      <c r="BZ70">
        <f>$C70*BZ69</f>
        <v/>
      </c>
      <c r="CA70">
        <f>$C70*CA69</f>
        <v/>
      </c>
      <c r="CB70">
        <f>$C70*CB69</f>
        <v/>
      </c>
      <c r="CC70">
        <f>$C70*CC69</f>
        <v/>
      </c>
      <c r="CD70">
        <f>$C70*CD69</f>
        <v/>
      </c>
      <c r="CE70">
        <f>$C70*CE69</f>
        <v/>
      </c>
      <c r="CF70">
        <f>$C70*CF69</f>
        <v/>
      </c>
      <c r="CG70">
        <f>$C70*CG69</f>
        <v/>
      </c>
      <c r="CH70">
        <f>$C70*CH69</f>
        <v/>
      </c>
      <c r="CI70">
        <f>$C70*CI69</f>
        <v/>
      </c>
      <c r="CJ70">
        <f>$C70*CJ69</f>
        <v/>
      </c>
      <c r="CK70">
        <f>$C70*CK69</f>
        <v/>
      </c>
      <c r="CL70">
        <f>$C70*CL69</f>
        <v/>
      </c>
      <c r="CM70">
        <f>$C70*CM69</f>
        <v/>
      </c>
      <c r="CN70">
        <f>$C70*CN69</f>
        <v/>
      </c>
      <c r="CO70">
        <f>$C70*CO69</f>
        <v/>
      </c>
      <c r="CP70">
        <f>$C70*CP69</f>
        <v/>
      </c>
      <c r="CQ70">
        <f>$C70*CQ69</f>
        <v/>
      </c>
      <c r="CR70">
        <f>$C70*CR69</f>
        <v/>
      </c>
      <c r="CS70">
        <f>$C70*CS69</f>
        <v/>
      </c>
      <c r="CT70">
        <f>$C70*CT69</f>
        <v/>
      </c>
      <c r="CU70">
        <f>$C70*CU69</f>
        <v/>
      </c>
      <c r="CV70">
        <f>$C70*CV69</f>
        <v/>
      </c>
      <c r="CW70">
        <f>$C70*CW69</f>
        <v/>
      </c>
      <c r="CX70">
        <f>$C70*CX69</f>
        <v/>
      </c>
      <c r="CY70">
        <f>$C70*CY69</f>
        <v/>
      </c>
      <c r="CZ70">
        <f>$C70*CZ69</f>
        <v/>
      </c>
      <c r="DA70">
        <f>$C70*DA69</f>
        <v/>
      </c>
      <c r="DB70">
        <f>$C70*DB69</f>
        <v/>
      </c>
      <c r="DC70">
        <f>$C70*DC69</f>
        <v/>
      </c>
      <c r="DD70">
        <f>$C70*DD69</f>
        <v/>
      </c>
    </row>
    <row r="71">
      <c r="B71" t="inlineStr">
        <is>
          <t>VSP-567</t>
        </is>
      </c>
      <c r="C71" t="inlineStr">
        <is>
          <t>No. of batches</t>
        </is>
      </c>
      <c r="D71">
        <f>IFERROR(INDEX(E71:DD71,$F$1),"")</f>
        <v/>
      </c>
      <c r="E71">
        <f>IFERROR(INDEX(PP_Grid[#Data],$DE71,2),0)</f>
        <v/>
      </c>
      <c r="F71">
        <f>IFERROR(INDEX(PP_Grid[#Data],$DE71,3),0)</f>
        <v/>
      </c>
      <c r="G71">
        <f>IFERROR(INDEX(PP_Grid[#Data],$DE71,4),0)</f>
        <v/>
      </c>
      <c r="H71">
        <f>IFERROR(INDEX(PP_Grid[#Data],$DE71,5),0)</f>
        <v/>
      </c>
      <c r="I71">
        <f>IFERROR(INDEX(PP_Grid[#Data],$DE71,6),0)</f>
        <v/>
      </c>
      <c r="J71">
        <f>IFERROR(INDEX(PP_Grid[#Data],$DE71,7),0)</f>
        <v/>
      </c>
      <c r="K71">
        <f>IFERROR(INDEX(PP_Grid[#Data],$DE71,8),0)</f>
        <v/>
      </c>
      <c r="L71">
        <f>IFERROR(INDEX(PP_Grid[#Data],$DE71,9),0)</f>
        <v/>
      </c>
      <c r="M71">
        <f>IFERROR(INDEX(PP_Grid[#Data],$DE71,10),0)</f>
        <v/>
      </c>
      <c r="N71">
        <f>IFERROR(INDEX(PP_Grid[#Data],$DE71,11),0)</f>
        <v/>
      </c>
      <c r="O71">
        <f>IFERROR(INDEX(PP_Grid[#Data],$DE71,12),0)</f>
        <v/>
      </c>
      <c r="P71">
        <f>IFERROR(INDEX(PP_Grid[#Data],$DE71,13),0)</f>
        <v/>
      </c>
      <c r="Q71">
        <f>IFERROR(INDEX(PP_Grid[#Data],$DE71,14),0)</f>
        <v/>
      </c>
      <c r="R71">
        <f>IFERROR(INDEX(PP_Grid[#Data],$DE71,15),0)</f>
        <v/>
      </c>
      <c r="S71">
        <f>IFERROR(INDEX(PP_Grid[#Data],$DE71,16),0)</f>
        <v/>
      </c>
      <c r="T71">
        <f>IFERROR(INDEX(PP_Grid[#Data],$DE71,17),0)</f>
        <v/>
      </c>
      <c r="U71">
        <f>IFERROR(INDEX(PP_Grid[#Data],$DE71,18),0)</f>
        <v/>
      </c>
      <c r="V71">
        <f>IFERROR(INDEX(PP_Grid[#Data],$DE71,19),0)</f>
        <v/>
      </c>
      <c r="W71">
        <f>IFERROR(INDEX(PP_Grid[#Data],$DE71,20),0)</f>
        <v/>
      </c>
      <c r="X71">
        <f>IFERROR(INDEX(PP_Grid[#Data],$DE71,21),0)</f>
        <v/>
      </c>
      <c r="Y71">
        <f>IFERROR(INDEX(PP_Grid[#Data],$DE71,22),0)</f>
        <v/>
      </c>
      <c r="Z71">
        <f>IFERROR(INDEX(PP_Grid[#Data],$DE71,23),0)</f>
        <v/>
      </c>
      <c r="AA71">
        <f>IFERROR(INDEX(PP_Grid[#Data],$DE71,24),0)</f>
        <v/>
      </c>
      <c r="AB71">
        <f>IFERROR(INDEX(PP_Grid[#Data],$DE71,25),0)</f>
        <v/>
      </c>
      <c r="AC71">
        <f>IFERROR(INDEX(PP_Grid[#Data],$DE71,26),0)</f>
        <v/>
      </c>
      <c r="AD71">
        <f>IFERROR(INDEX(PP_Grid[#Data],$DE71,27),0)</f>
        <v/>
      </c>
      <c r="AE71">
        <f>IFERROR(INDEX(PP_Grid[#Data],$DE71,28),0)</f>
        <v/>
      </c>
      <c r="AF71">
        <f>IFERROR(INDEX(PP_Grid[#Data],$DE71,29),0)</f>
        <v/>
      </c>
      <c r="AG71">
        <f>IFERROR(INDEX(PP_Grid[#Data],$DE71,30),0)</f>
        <v/>
      </c>
      <c r="AH71">
        <f>IFERROR(INDEX(PP_Grid[#Data],$DE71,31),0)</f>
        <v/>
      </c>
      <c r="AI71">
        <f>IFERROR(INDEX(PP_Grid[#Data],$DE71,32),0)</f>
        <v/>
      </c>
      <c r="AJ71">
        <f>IFERROR(INDEX(PP_Grid[#Data],$DE71,33),0)</f>
        <v/>
      </c>
      <c r="AK71">
        <f>IFERROR(INDEX(PP_Grid[#Data],$DE71,34),0)</f>
        <v/>
      </c>
      <c r="AL71">
        <f>IFERROR(INDEX(PP_Grid[#Data],$DE71,35),0)</f>
        <v/>
      </c>
      <c r="AM71">
        <f>IFERROR(INDEX(PP_Grid[#Data],$DE71,36),0)</f>
        <v/>
      </c>
      <c r="AN71">
        <f>IFERROR(INDEX(PP_Grid[#Data],$DE71,37),0)</f>
        <v/>
      </c>
      <c r="AO71">
        <f>IFERROR(INDEX(PP_Grid[#Data],$DE71,38),0)</f>
        <v/>
      </c>
      <c r="AP71">
        <f>IFERROR(INDEX(PP_Grid[#Data],$DE71,39),0)</f>
        <v/>
      </c>
      <c r="AQ71">
        <f>IFERROR(INDEX(PP_Grid[#Data],$DE71,40),0)</f>
        <v/>
      </c>
      <c r="AR71">
        <f>IFERROR(INDEX(PP_Grid[#Data],$DE71,41),0)</f>
        <v/>
      </c>
      <c r="AS71">
        <f>IFERROR(INDEX(PP_Grid[#Data],$DE71,42),0)</f>
        <v/>
      </c>
      <c r="AT71">
        <f>IFERROR(INDEX(PP_Grid[#Data],$DE71,43),0)</f>
        <v/>
      </c>
      <c r="AU71">
        <f>IFERROR(INDEX(PP_Grid[#Data],$DE71,44),0)</f>
        <v/>
      </c>
      <c r="AV71">
        <f>IFERROR(INDEX(PP_Grid[#Data],$DE71,45),0)</f>
        <v/>
      </c>
      <c r="AW71">
        <f>IFERROR(INDEX(PP_Grid[#Data],$DE71,46),0)</f>
        <v/>
      </c>
      <c r="AX71">
        <f>IFERROR(INDEX(PP_Grid[#Data],$DE71,47),0)</f>
        <v/>
      </c>
      <c r="AY71">
        <f>IFERROR(INDEX(PP_Grid[#Data],$DE71,48),0)</f>
        <v/>
      </c>
      <c r="AZ71">
        <f>IFERROR(INDEX(PP_Grid[#Data],$DE71,49),0)</f>
        <v/>
      </c>
      <c r="BA71">
        <f>IFERROR(INDEX(PP_Grid[#Data],$DE71,50),0)</f>
        <v/>
      </c>
      <c r="BB71">
        <f>IFERROR(INDEX(PP_Grid[#Data],$DE71,51),0)</f>
        <v/>
      </c>
      <c r="BC71">
        <f>IFERROR(INDEX(PP_Grid[#Data],$DE71,52),0)</f>
        <v/>
      </c>
      <c r="BD71">
        <f>IFERROR(INDEX(PP_Grid[#Data],$DE71,53),0)</f>
        <v/>
      </c>
      <c r="BE71">
        <f>IFERROR(INDEX(PP_Grid[#Data],$DE71,54),0)</f>
        <v/>
      </c>
      <c r="BF71">
        <f>IFERROR(INDEX(PP_Grid[#Data],$DE71,55),0)</f>
        <v/>
      </c>
      <c r="BG71">
        <f>IFERROR(INDEX(PP_Grid[#Data],$DE71,56),0)</f>
        <v/>
      </c>
      <c r="BH71">
        <f>IFERROR(INDEX(PP_Grid[#Data],$DE71,57),0)</f>
        <v/>
      </c>
      <c r="BI71">
        <f>IFERROR(INDEX(PP_Grid[#Data],$DE71,58),0)</f>
        <v/>
      </c>
      <c r="BJ71">
        <f>IFERROR(INDEX(PP_Grid[#Data],$DE71,59),0)</f>
        <v/>
      </c>
      <c r="BK71">
        <f>IFERROR(INDEX(PP_Grid[#Data],$DE71,60),0)</f>
        <v/>
      </c>
      <c r="BL71">
        <f>IFERROR(INDEX(PP_Grid[#Data],$DE71,61),0)</f>
        <v/>
      </c>
      <c r="BM71">
        <f>IFERROR(INDEX(PP_Grid[#Data],$DE71,62),0)</f>
        <v/>
      </c>
      <c r="BN71">
        <f>IFERROR(INDEX(PP_Grid[#Data],$DE71,63),0)</f>
        <v/>
      </c>
      <c r="BO71">
        <f>IFERROR(INDEX(PP_Grid[#Data],$DE71,64),0)</f>
        <v/>
      </c>
      <c r="BP71">
        <f>IFERROR(INDEX(PP_Grid[#Data],$DE71,65),0)</f>
        <v/>
      </c>
      <c r="BQ71">
        <f>IFERROR(INDEX(PP_Grid[#Data],$DE71,66),0)</f>
        <v/>
      </c>
      <c r="BR71">
        <f>IFERROR(INDEX(PP_Grid[#Data],$DE71,67),0)</f>
        <v/>
      </c>
      <c r="BS71">
        <f>IFERROR(INDEX(PP_Grid[#Data],$DE71,68),0)</f>
        <v/>
      </c>
      <c r="BT71">
        <f>IFERROR(INDEX(PP_Grid[#Data],$DE71,69),0)</f>
        <v/>
      </c>
      <c r="BU71">
        <f>IFERROR(INDEX(PP_Grid[#Data],$DE71,70),0)</f>
        <v/>
      </c>
      <c r="BV71">
        <f>IFERROR(INDEX(PP_Grid[#Data],$DE71,71),0)</f>
        <v/>
      </c>
      <c r="BW71">
        <f>IFERROR(INDEX(PP_Grid[#Data],$DE71,72),0)</f>
        <v/>
      </c>
      <c r="BX71">
        <f>IFERROR(INDEX(PP_Grid[#Data],$DE71,73),0)</f>
        <v/>
      </c>
      <c r="BY71">
        <f>IFERROR(INDEX(PP_Grid[#Data],$DE71,74),0)</f>
        <v/>
      </c>
      <c r="BZ71">
        <f>IFERROR(INDEX(PP_Grid[#Data],$DE71,75),0)</f>
        <v/>
      </c>
      <c r="CA71">
        <f>IFERROR(INDEX(PP_Grid[#Data],$DE71,76),0)</f>
        <v/>
      </c>
      <c r="CB71">
        <f>IFERROR(INDEX(PP_Grid[#Data],$DE71,77),0)</f>
        <v/>
      </c>
      <c r="CC71">
        <f>IFERROR(INDEX(PP_Grid[#Data],$DE71,78),0)</f>
        <v/>
      </c>
      <c r="CD71">
        <f>IFERROR(INDEX(PP_Grid[#Data],$DE71,79),0)</f>
        <v/>
      </c>
      <c r="CE71">
        <f>IFERROR(INDEX(PP_Grid[#Data],$DE71,80),0)</f>
        <v/>
      </c>
      <c r="CF71">
        <f>IFERROR(INDEX(PP_Grid[#Data],$DE71,81),0)</f>
        <v/>
      </c>
      <c r="CG71">
        <f>IFERROR(INDEX(PP_Grid[#Data],$DE71,82),0)</f>
        <v/>
      </c>
      <c r="CH71">
        <f>IFERROR(INDEX(PP_Grid[#Data],$DE71,83),0)</f>
        <v/>
      </c>
      <c r="CI71">
        <f>IFERROR(INDEX(PP_Grid[#Data],$DE71,84),0)</f>
        <v/>
      </c>
      <c r="CJ71">
        <f>IFERROR(INDEX(PP_Grid[#Data],$DE71,85),0)</f>
        <v/>
      </c>
      <c r="CK71">
        <f>IFERROR(INDEX(PP_Grid[#Data],$DE71,86),0)</f>
        <v/>
      </c>
      <c r="CL71">
        <f>IFERROR(INDEX(PP_Grid[#Data],$DE71,87),0)</f>
        <v/>
      </c>
      <c r="CM71">
        <f>IFERROR(INDEX(PP_Grid[#Data],$DE71,88),0)</f>
        <v/>
      </c>
      <c r="CN71">
        <f>IFERROR(INDEX(PP_Grid[#Data],$DE71,89),0)</f>
        <v/>
      </c>
      <c r="CO71">
        <f>IFERROR(INDEX(PP_Grid[#Data],$DE71,90),0)</f>
        <v/>
      </c>
      <c r="CP71">
        <f>IFERROR(INDEX(PP_Grid[#Data],$DE71,91),0)</f>
        <v/>
      </c>
      <c r="CQ71">
        <f>IFERROR(INDEX(PP_Grid[#Data],$DE71,92),0)</f>
        <v/>
      </c>
      <c r="CR71">
        <f>IFERROR(INDEX(PP_Grid[#Data],$DE71,93),0)</f>
        <v/>
      </c>
      <c r="CS71">
        <f>IFERROR(INDEX(PP_Grid[#Data],$DE71,94),0)</f>
        <v/>
      </c>
      <c r="CT71">
        <f>IFERROR(INDEX(PP_Grid[#Data],$DE71,95),0)</f>
        <v/>
      </c>
      <c r="CU71">
        <f>IFERROR(INDEX(PP_Grid[#Data],$DE71,96),0)</f>
        <v/>
      </c>
      <c r="CV71">
        <f>IFERROR(INDEX(PP_Grid[#Data],$DE71,97),0)</f>
        <v/>
      </c>
      <c r="CW71">
        <f>IFERROR(INDEX(PP_Grid[#Data],$DE71,98),0)</f>
        <v/>
      </c>
      <c r="CX71">
        <f>IFERROR(INDEX(PP_Grid[#Data],$DE71,99),0)</f>
        <v/>
      </c>
      <c r="CY71">
        <f>IFERROR(INDEX(PP_Grid[#Data],$DE71,100),0)</f>
        <v/>
      </c>
      <c r="CZ71">
        <f>IFERROR(INDEX(PP_Grid[#Data],$DE71,101),0)</f>
        <v/>
      </c>
      <c r="DA71">
        <f>IFERROR(INDEX(PP_Grid[#Data],$DE71,102),0)</f>
        <v/>
      </c>
      <c r="DB71">
        <f>IFERROR(INDEX(PP_Grid[#Data],$DE71,103),0)</f>
        <v/>
      </c>
      <c r="DC71">
        <f>IFERROR(INDEX(PP_Grid[#Data],$DE71,104),0)</f>
        <v/>
      </c>
      <c r="DD71">
        <f>IFERROR(INDEX(PP_Grid[#Data],$DE71,105),0)</f>
        <v/>
      </c>
      <c r="DE71" s="7">
        <f>IFERROR(MATCH($B71,PP_Grid[Intermediate],0),99999)</f>
        <v/>
      </c>
    </row>
    <row r="72">
      <c r="B72" t="inlineStr">
        <is>
          <t>使用量(kg)</t>
        </is>
      </c>
      <c r="C72">
        <f>SUMIFS(M_BOM[RM_Qty_Per_Batch],M_BOM[Intermediate],$B71,M_BOM[RM_Code],$A28)</f>
        <v/>
      </c>
      <c r="D72">
        <f>IFERROR(INDEX(E72:DD72,$F$1),"")</f>
        <v/>
      </c>
      <c r="E72">
        <f>$C72*E71</f>
        <v/>
      </c>
      <c r="F72">
        <f>$C72*F71</f>
        <v/>
      </c>
      <c r="G72">
        <f>$C72*G71</f>
        <v/>
      </c>
      <c r="H72">
        <f>$C72*H71</f>
        <v/>
      </c>
      <c r="I72">
        <f>$C72*I71</f>
        <v/>
      </c>
      <c r="J72">
        <f>$C72*J71</f>
        <v/>
      </c>
      <c r="K72">
        <f>$C72*K71</f>
        <v/>
      </c>
      <c r="L72">
        <f>$C72*L71</f>
        <v/>
      </c>
      <c r="M72">
        <f>$C72*M71</f>
        <v/>
      </c>
      <c r="N72">
        <f>$C72*N71</f>
        <v/>
      </c>
      <c r="O72">
        <f>$C72*O71</f>
        <v/>
      </c>
      <c r="P72">
        <f>$C72*P71</f>
        <v/>
      </c>
      <c r="Q72">
        <f>$C72*Q71</f>
        <v/>
      </c>
      <c r="R72">
        <f>$C72*R71</f>
        <v/>
      </c>
      <c r="S72">
        <f>$C72*S71</f>
        <v/>
      </c>
      <c r="T72">
        <f>$C72*T71</f>
        <v/>
      </c>
      <c r="U72">
        <f>$C72*U71</f>
        <v/>
      </c>
      <c r="V72">
        <f>$C72*V71</f>
        <v/>
      </c>
      <c r="W72">
        <f>$C72*W71</f>
        <v/>
      </c>
      <c r="X72">
        <f>$C72*X71</f>
        <v/>
      </c>
      <c r="Y72">
        <f>$C72*Y71</f>
        <v/>
      </c>
      <c r="Z72">
        <f>$C72*Z71</f>
        <v/>
      </c>
      <c r="AA72">
        <f>$C72*AA71</f>
        <v/>
      </c>
      <c r="AB72">
        <f>$C72*AB71</f>
        <v/>
      </c>
      <c r="AC72">
        <f>$C72*AC71</f>
        <v/>
      </c>
      <c r="AD72">
        <f>$C72*AD71</f>
        <v/>
      </c>
      <c r="AE72">
        <f>$C72*AE71</f>
        <v/>
      </c>
      <c r="AF72">
        <f>$C72*AF71</f>
        <v/>
      </c>
      <c r="AG72">
        <f>$C72*AG71</f>
        <v/>
      </c>
      <c r="AH72">
        <f>$C72*AH71</f>
        <v/>
      </c>
      <c r="AI72">
        <f>$C72*AI71</f>
        <v/>
      </c>
      <c r="AJ72">
        <f>$C72*AJ71</f>
        <v/>
      </c>
      <c r="AK72">
        <f>$C72*AK71</f>
        <v/>
      </c>
      <c r="AL72">
        <f>$C72*AL71</f>
        <v/>
      </c>
      <c r="AM72">
        <f>$C72*AM71</f>
        <v/>
      </c>
      <c r="AN72">
        <f>$C72*AN71</f>
        <v/>
      </c>
      <c r="AO72">
        <f>$C72*AO71</f>
        <v/>
      </c>
      <c r="AP72">
        <f>$C72*AP71</f>
        <v/>
      </c>
      <c r="AQ72">
        <f>$C72*AQ71</f>
        <v/>
      </c>
      <c r="AR72">
        <f>$C72*AR71</f>
        <v/>
      </c>
      <c r="AS72">
        <f>$C72*AS71</f>
        <v/>
      </c>
      <c r="AT72">
        <f>$C72*AT71</f>
        <v/>
      </c>
      <c r="AU72">
        <f>$C72*AU71</f>
        <v/>
      </c>
      <c r="AV72">
        <f>$C72*AV71</f>
        <v/>
      </c>
      <c r="AW72">
        <f>$C72*AW71</f>
        <v/>
      </c>
      <c r="AX72">
        <f>$C72*AX71</f>
        <v/>
      </c>
      <c r="AY72">
        <f>$C72*AY71</f>
        <v/>
      </c>
      <c r="AZ72">
        <f>$C72*AZ71</f>
        <v/>
      </c>
      <c r="BA72">
        <f>$C72*BA71</f>
        <v/>
      </c>
      <c r="BB72">
        <f>$C72*BB71</f>
        <v/>
      </c>
      <c r="BC72">
        <f>$C72*BC71</f>
        <v/>
      </c>
      <c r="BD72">
        <f>$C72*BD71</f>
        <v/>
      </c>
      <c r="BE72">
        <f>$C72*BE71</f>
        <v/>
      </c>
      <c r="BF72">
        <f>$C72*BF71</f>
        <v/>
      </c>
      <c r="BG72">
        <f>$C72*BG71</f>
        <v/>
      </c>
      <c r="BH72">
        <f>$C72*BH71</f>
        <v/>
      </c>
      <c r="BI72">
        <f>$C72*BI71</f>
        <v/>
      </c>
      <c r="BJ72">
        <f>$C72*BJ71</f>
        <v/>
      </c>
      <c r="BK72">
        <f>$C72*BK71</f>
        <v/>
      </c>
      <c r="BL72">
        <f>$C72*BL71</f>
        <v/>
      </c>
      <c r="BM72">
        <f>$C72*BM71</f>
        <v/>
      </c>
      <c r="BN72">
        <f>$C72*BN71</f>
        <v/>
      </c>
      <c r="BO72">
        <f>$C72*BO71</f>
        <v/>
      </c>
      <c r="BP72">
        <f>$C72*BP71</f>
        <v/>
      </c>
      <c r="BQ72">
        <f>$C72*BQ71</f>
        <v/>
      </c>
      <c r="BR72">
        <f>$C72*BR71</f>
        <v/>
      </c>
      <c r="BS72">
        <f>$C72*BS71</f>
        <v/>
      </c>
      <c r="BT72">
        <f>$C72*BT71</f>
        <v/>
      </c>
      <c r="BU72">
        <f>$C72*BU71</f>
        <v/>
      </c>
      <c r="BV72">
        <f>$C72*BV71</f>
        <v/>
      </c>
      <c r="BW72">
        <f>$C72*BW71</f>
        <v/>
      </c>
      <c r="BX72">
        <f>$C72*BX71</f>
        <v/>
      </c>
      <c r="BY72">
        <f>$C72*BY71</f>
        <v/>
      </c>
      <c r="BZ72">
        <f>$C72*BZ71</f>
        <v/>
      </c>
      <c r="CA72">
        <f>$C72*CA71</f>
        <v/>
      </c>
      <c r="CB72">
        <f>$C72*CB71</f>
        <v/>
      </c>
      <c r="CC72">
        <f>$C72*CC71</f>
        <v/>
      </c>
      <c r="CD72">
        <f>$C72*CD71</f>
        <v/>
      </c>
      <c r="CE72">
        <f>$C72*CE71</f>
        <v/>
      </c>
      <c r="CF72">
        <f>$C72*CF71</f>
        <v/>
      </c>
      <c r="CG72">
        <f>$C72*CG71</f>
        <v/>
      </c>
      <c r="CH72">
        <f>$C72*CH71</f>
        <v/>
      </c>
      <c r="CI72">
        <f>$C72*CI71</f>
        <v/>
      </c>
      <c r="CJ72">
        <f>$C72*CJ71</f>
        <v/>
      </c>
      <c r="CK72">
        <f>$C72*CK71</f>
        <v/>
      </c>
      <c r="CL72">
        <f>$C72*CL71</f>
        <v/>
      </c>
      <c r="CM72">
        <f>$C72*CM71</f>
        <v/>
      </c>
      <c r="CN72">
        <f>$C72*CN71</f>
        <v/>
      </c>
      <c r="CO72">
        <f>$C72*CO71</f>
        <v/>
      </c>
      <c r="CP72">
        <f>$C72*CP71</f>
        <v/>
      </c>
      <c r="CQ72">
        <f>$C72*CQ71</f>
        <v/>
      </c>
      <c r="CR72">
        <f>$C72*CR71</f>
        <v/>
      </c>
      <c r="CS72">
        <f>$C72*CS71</f>
        <v/>
      </c>
      <c r="CT72">
        <f>$C72*CT71</f>
        <v/>
      </c>
      <c r="CU72">
        <f>$C72*CU71</f>
        <v/>
      </c>
      <c r="CV72">
        <f>$C72*CV71</f>
        <v/>
      </c>
      <c r="CW72">
        <f>$C72*CW71</f>
        <v/>
      </c>
      <c r="CX72">
        <f>$C72*CX71</f>
        <v/>
      </c>
      <c r="CY72">
        <f>$C72*CY71</f>
        <v/>
      </c>
      <c r="CZ72">
        <f>$C72*CZ71</f>
        <v/>
      </c>
      <c r="DA72">
        <f>$C72*DA71</f>
        <v/>
      </c>
      <c r="DB72">
        <f>$C72*DB71</f>
        <v/>
      </c>
      <c r="DC72">
        <f>$C72*DC71</f>
        <v/>
      </c>
      <c r="DD72">
        <f>$C72*DD71</f>
        <v/>
      </c>
    </row>
    <row r="73">
      <c r="B73" t="inlineStr">
        <is>
          <t>VSP-600</t>
        </is>
      </c>
      <c r="C73" t="inlineStr">
        <is>
          <t>No. of batches</t>
        </is>
      </c>
      <c r="D73">
        <f>IFERROR(INDEX(E73:DD73,$F$1),"")</f>
        <v/>
      </c>
      <c r="E73">
        <f>IFERROR(INDEX(PP_Grid[#Data],$DE73,2),0)</f>
        <v/>
      </c>
      <c r="F73">
        <f>IFERROR(INDEX(PP_Grid[#Data],$DE73,3),0)</f>
        <v/>
      </c>
      <c r="G73">
        <f>IFERROR(INDEX(PP_Grid[#Data],$DE73,4),0)</f>
        <v/>
      </c>
      <c r="H73">
        <f>IFERROR(INDEX(PP_Grid[#Data],$DE73,5),0)</f>
        <v/>
      </c>
      <c r="I73">
        <f>IFERROR(INDEX(PP_Grid[#Data],$DE73,6),0)</f>
        <v/>
      </c>
      <c r="J73">
        <f>IFERROR(INDEX(PP_Grid[#Data],$DE73,7),0)</f>
        <v/>
      </c>
      <c r="K73">
        <f>IFERROR(INDEX(PP_Grid[#Data],$DE73,8),0)</f>
        <v/>
      </c>
      <c r="L73">
        <f>IFERROR(INDEX(PP_Grid[#Data],$DE73,9),0)</f>
        <v/>
      </c>
      <c r="M73">
        <f>IFERROR(INDEX(PP_Grid[#Data],$DE73,10),0)</f>
        <v/>
      </c>
      <c r="N73">
        <f>IFERROR(INDEX(PP_Grid[#Data],$DE73,11),0)</f>
        <v/>
      </c>
      <c r="O73">
        <f>IFERROR(INDEX(PP_Grid[#Data],$DE73,12),0)</f>
        <v/>
      </c>
      <c r="P73">
        <f>IFERROR(INDEX(PP_Grid[#Data],$DE73,13),0)</f>
        <v/>
      </c>
      <c r="Q73">
        <f>IFERROR(INDEX(PP_Grid[#Data],$DE73,14),0)</f>
        <v/>
      </c>
      <c r="R73">
        <f>IFERROR(INDEX(PP_Grid[#Data],$DE73,15),0)</f>
        <v/>
      </c>
      <c r="S73">
        <f>IFERROR(INDEX(PP_Grid[#Data],$DE73,16),0)</f>
        <v/>
      </c>
      <c r="T73">
        <f>IFERROR(INDEX(PP_Grid[#Data],$DE73,17),0)</f>
        <v/>
      </c>
      <c r="U73">
        <f>IFERROR(INDEX(PP_Grid[#Data],$DE73,18),0)</f>
        <v/>
      </c>
      <c r="V73">
        <f>IFERROR(INDEX(PP_Grid[#Data],$DE73,19),0)</f>
        <v/>
      </c>
      <c r="W73">
        <f>IFERROR(INDEX(PP_Grid[#Data],$DE73,20),0)</f>
        <v/>
      </c>
      <c r="X73">
        <f>IFERROR(INDEX(PP_Grid[#Data],$DE73,21),0)</f>
        <v/>
      </c>
      <c r="Y73">
        <f>IFERROR(INDEX(PP_Grid[#Data],$DE73,22),0)</f>
        <v/>
      </c>
      <c r="Z73">
        <f>IFERROR(INDEX(PP_Grid[#Data],$DE73,23),0)</f>
        <v/>
      </c>
      <c r="AA73">
        <f>IFERROR(INDEX(PP_Grid[#Data],$DE73,24),0)</f>
        <v/>
      </c>
      <c r="AB73">
        <f>IFERROR(INDEX(PP_Grid[#Data],$DE73,25),0)</f>
        <v/>
      </c>
      <c r="AC73">
        <f>IFERROR(INDEX(PP_Grid[#Data],$DE73,26),0)</f>
        <v/>
      </c>
      <c r="AD73">
        <f>IFERROR(INDEX(PP_Grid[#Data],$DE73,27),0)</f>
        <v/>
      </c>
      <c r="AE73">
        <f>IFERROR(INDEX(PP_Grid[#Data],$DE73,28),0)</f>
        <v/>
      </c>
      <c r="AF73">
        <f>IFERROR(INDEX(PP_Grid[#Data],$DE73,29),0)</f>
        <v/>
      </c>
      <c r="AG73">
        <f>IFERROR(INDEX(PP_Grid[#Data],$DE73,30),0)</f>
        <v/>
      </c>
      <c r="AH73">
        <f>IFERROR(INDEX(PP_Grid[#Data],$DE73,31),0)</f>
        <v/>
      </c>
      <c r="AI73">
        <f>IFERROR(INDEX(PP_Grid[#Data],$DE73,32),0)</f>
        <v/>
      </c>
      <c r="AJ73">
        <f>IFERROR(INDEX(PP_Grid[#Data],$DE73,33),0)</f>
        <v/>
      </c>
      <c r="AK73">
        <f>IFERROR(INDEX(PP_Grid[#Data],$DE73,34),0)</f>
        <v/>
      </c>
      <c r="AL73">
        <f>IFERROR(INDEX(PP_Grid[#Data],$DE73,35),0)</f>
        <v/>
      </c>
      <c r="AM73">
        <f>IFERROR(INDEX(PP_Grid[#Data],$DE73,36),0)</f>
        <v/>
      </c>
      <c r="AN73">
        <f>IFERROR(INDEX(PP_Grid[#Data],$DE73,37),0)</f>
        <v/>
      </c>
      <c r="AO73">
        <f>IFERROR(INDEX(PP_Grid[#Data],$DE73,38),0)</f>
        <v/>
      </c>
      <c r="AP73">
        <f>IFERROR(INDEX(PP_Grid[#Data],$DE73,39),0)</f>
        <v/>
      </c>
      <c r="AQ73">
        <f>IFERROR(INDEX(PP_Grid[#Data],$DE73,40),0)</f>
        <v/>
      </c>
      <c r="AR73">
        <f>IFERROR(INDEX(PP_Grid[#Data],$DE73,41),0)</f>
        <v/>
      </c>
      <c r="AS73">
        <f>IFERROR(INDEX(PP_Grid[#Data],$DE73,42),0)</f>
        <v/>
      </c>
      <c r="AT73">
        <f>IFERROR(INDEX(PP_Grid[#Data],$DE73,43),0)</f>
        <v/>
      </c>
      <c r="AU73">
        <f>IFERROR(INDEX(PP_Grid[#Data],$DE73,44),0)</f>
        <v/>
      </c>
      <c r="AV73">
        <f>IFERROR(INDEX(PP_Grid[#Data],$DE73,45),0)</f>
        <v/>
      </c>
      <c r="AW73">
        <f>IFERROR(INDEX(PP_Grid[#Data],$DE73,46),0)</f>
        <v/>
      </c>
      <c r="AX73">
        <f>IFERROR(INDEX(PP_Grid[#Data],$DE73,47),0)</f>
        <v/>
      </c>
      <c r="AY73">
        <f>IFERROR(INDEX(PP_Grid[#Data],$DE73,48),0)</f>
        <v/>
      </c>
      <c r="AZ73">
        <f>IFERROR(INDEX(PP_Grid[#Data],$DE73,49),0)</f>
        <v/>
      </c>
      <c r="BA73">
        <f>IFERROR(INDEX(PP_Grid[#Data],$DE73,50),0)</f>
        <v/>
      </c>
      <c r="BB73">
        <f>IFERROR(INDEX(PP_Grid[#Data],$DE73,51),0)</f>
        <v/>
      </c>
      <c r="BC73">
        <f>IFERROR(INDEX(PP_Grid[#Data],$DE73,52),0)</f>
        <v/>
      </c>
      <c r="BD73">
        <f>IFERROR(INDEX(PP_Grid[#Data],$DE73,53),0)</f>
        <v/>
      </c>
      <c r="BE73">
        <f>IFERROR(INDEX(PP_Grid[#Data],$DE73,54),0)</f>
        <v/>
      </c>
      <c r="BF73">
        <f>IFERROR(INDEX(PP_Grid[#Data],$DE73,55),0)</f>
        <v/>
      </c>
      <c r="BG73">
        <f>IFERROR(INDEX(PP_Grid[#Data],$DE73,56),0)</f>
        <v/>
      </c>
      <c r="BH73">
        <f>IFERROR(INDEX(PP_Grid[#Data],$DE73,57),0)</f>
        <v/>
      </c>
      <c r="BI73">
        <f>IFERROR(INDEX(PP_Grid[#Data],$DE73,58),0)</f>
        <v/>
      </c>
      <c r="BJ73">
        <f>IFERROR(INDEX(PP_Grid[#Data],$DE73,59),0)</f>
        <v/>
      </c>
      <c r="BK73">
        <f>IFERROR(INDEX(PP_Grid[#Data],$DE73,60),0)</f>
        <v/>
      </c>
      <c r="BL73">
        <f>IFERROR(INDEX(PP_Grid[#Data],$DE73,61),0)</f>
        <v/>
      </c>
      <c r="BM73">
        <f>IFERROR(INDEX(PP_Grid[#Data],$DE73,62),0)</f>
        <v/>
      </c>
      <c r="BN73">
        <f>IFERROR(INDEX(PP_Grid[#Data],$DE73,63),0)</f>
        <v/>
      </c>
      <c r="BO73">
        <f>IFERROR(INDEX(PP_Grid[#Data],$DE73,64),0)</f>
        <v/>
      </c>
      <c r="BP73">
        <f>IFERROR(INDEX(PP_Grid[#Data],$DE73,65),0)</f>
        <v/>
      </c>
      <c r="BQ73">
        <f>IFERROR(INDEX(PP_Grid[#Data],$DE73,66),0)</f>
        <v/>
      </c>
      <c r="BR73">
        <f>IFERROR(INDEX(PP_Grid[#Data],$DE73,67),0)</f>
        <v/>
      </c>
      <c r="BS73">
        <f>IFERROR(INDEX(PP_Grid[#Data],$DE73,68),0)</f>
        <v/>
      </c>
      <c r="BT73">
        <f>IFERROR(INDEX(PP_Grid[#Data],$DE73,69),0)</f>
        <v/>
      </c>
      <c r="BU73">
        <f>IFERROR(INDEX(PP_Grid[#Data],$DE73,70),0)</f>
        <v/>
      </c>
      <c r="BV73">
        <f>IFERROR(INDEX(PP_Grid[#Data],$DE73,71),0)</f>
        <v/>
      </c>
      <c r="BW73">
        <f>IFERROR(INDEX(PP_Grid[#Data],$DE73,72),0)</f>
        <v/>
      </c>
      <c r="BX73">
        <f>IFERROR(INDEX(PP_Grid[#Data],$DE73,73),0)</f>
        <v/>
      </c>
      <c r="BY73">
        <f>IFERROR(INDEX(PP_Grid[#Data],$DE73,74),0)</f>
        <v/>
      </c>
      <c r="BZ73">
        <f>IFERROR(INDEX(PP_Grid[#Data],$DE73,75),0)</f>
        <v/>
      </c>
      <c r="CA73">
        <f>IFERROR(INDEX(PP_Grid[#Data],$DE73,76),0)</f>
        <v/>
      </c>
      <c r="CB73">
        <f>IFERROR(INDEX(PP_Grid[#Data],$DE73,77),0)</f>
        <v/>
      </c>
      <c r="CC73">
        <f>IFERROR(INDEX(PP_Grid[#Data],$DE73,78),0)</f>
        <v/>
      </c>
      <c r="CD73">
        <f>IFERROR(INDEX(PP_Grid[#Data],$DE73,79),0)</f>
        <v/>
      </c>
      <c r="CE73">
        <f>IFERROR(INDEX(PP_Grid[#Data],$DE73,80),0)</f>
        <v/>
      </c>
      <c r="CF73">
        <f>IFERROR(INDEX(PP_Grid[#Data],$DE73,81),0)</f>
        <v/>
      </c>
      <c r="CG73">
        <f>IFERROR(INDEX(PP_Grid[#Data],$DE73,82),0)</f>
        <v/>
      </c>
      <c r="CH73">
        <f>IFERROR(INDEX(PP_Grid[#Data],$DE73,83),0)</f>
        <v/>
      </c>
      <c r="CI73">
        <f>IFERROR(INDEX(PP_Grid[#Data],$DE73,84),0)</f>
        <v/>
      </c>
      <c r="CJ73">
        <f>IFERROR(INDEX(PP_Grid[#Data],$DE73,85),0)</f>
        <v/>
      </c>
      <c r="CK73">
        <f>IFERROR(INDEX(PP_Grid[#Data],$DE73,86),0)</f>
        <v/>
      </c>
      <c r="CL73">
        <f>IFERROR(INDEX(PP_Grid[#Data],$DE73,87),0)</f>
        <v/>
      </c>
      <c r="CM73">
        <f>IFERROR(INDEX(PP_Grid[#Data],$DE73,88),0)</f>
        <v/>
      </c>
      <c r="CN73">
        <f>IFERROR(INDEX(PP_Grid[#Data],$DE73,89),0)</f>
        <v/>
      </c>
      <c r="CO73">
        <f>IFERROR(INDEX(PP_Grid[#Data],$DE73,90),0)</f>
        <v/>
      </c>
      <c r="CP73">
        <f>IFERROR(INDEX(PP_Grid[#Data],$DE73,91),0)</f>
        <v/>
      </c>
      <c r="CQ73">
        <f>IFERROR(INDEX(PP_Grid[#Data],$DE73,92),0)</f>
        <v/>
      </c>
      <c r="CR73">
        <f>IFERROR(INDEX(PP_Grid[#Data],$DE73,93),0)</f>
        <v/>
      </c>
      <c r="CS73">
        <f>IFERROR(INDEX(PP_Grid[#Data],$DE73,94),0)</f>
        <v/>
      </c>
      <c r="CT73">
        <f>IFERROR(INDEX(PP_Grid[#Data],$DE73,95),0)</f>
        <v/>
      </c>
      <c r="CU73">
        <f>IFERROR(INDEX(PP_Grid[#Data],$DE73,96),0)</f>
        <v/>
      </c>
      <c r="CV73">
        <f>IFERROR(INDEX(PP_Grid[#Data],$DE73,97),0)</f>
        <v/>
      </c>
      <c r="CW73">
        <f>IFERROR(INDEX(PP_Grid[#Data],$DE73,98),0)</f>
        <v/>
      </c>
      <c r="CX73">
        <f>IFERROR(INDEX(PP_Grid[#Data],$DE73,99),0)</f>
        <v/>
      </c>
      <c r="CY73">
        <f>IFERROR(INDEX(PP_Grid[#Data],$DE73,100),0)</f>
        <v/>
      </c>
      <c r="CZ73">
        <f>IFERROR(INDEX(PP_Grid[#Data],$DE73,101),0)</f>
        <v/>
      </c>
      <c r="DA73">
        <f>IFERROR(INDEX(PP_Grid[#Data],$DE73,102),0)</f>
        <v/>
      </c>
      <c r="DB73">
        <f>IFERROR(INDEX(PP_Grid[#Data],$DE73,103),0)</f>
        <v/>
      </c>
      <c r="DC73">
        <f>IFERROR(INDEX(PP_Grid[#Data],$DE73,104),0)</f>
        <v/>
      </c>
      <c r="DD73">
        <f>IFERROR(INDEX(PP_Grid[#Data],$DE73,105),0)</f>
        <v/>
      </c>
      <c r="DE73" s="7">
        <f>IFERROR(MATCH($B73,PP_Grid[Intermediate],0),99999)</f>
        <v/>
      </c>
    </row>
    <row r="74">
      <c r="B74" t="inlineStr">
        <is>
          <t>使用量(kg)</t>
        </is>
      </c>
      <c r="C74">
        <f>SUMIFS(M_BOM[RM_Qty_Per_Batch],M_BOM[Intermediate],$B73,M_BOM[RM_Code],$A28)</f>
        <v/>
      </c>
      <c r="D74">
        <f>IFERROR(INDEX(E74:DD74,$F$1),"")</f>
        <v/>
      </c>
      <c r="E74">
        <f>$C74*E73</f>
        <v/>
      </c>
      <c r="F74">
        <f>$C74*F73</f>
        <v/>
      </c>
      <c r="G74">
        <f>$C74*G73</f>
        <v/>
      </c>
      <c r="H74">
        <f>$C74*H73</f>
        <v/>
      </c>
      <c r="I74">
        <f>$C74*I73</f>
        <v/>
      </c>
      <c r="J74">
        <f>$C74*J73</f>
        <v/>
      </c>
      <c r="K74">
        <f>$C74*K73</f>
        <v/>
      </c>
      <c r="L74">
        <f>$C74*L73</f>
        <v/>
      </c>
      <c r="M74">
        <f>$C74*M73</f>
        <v/>
      </c>
      <c r="N74">
        <f>$C74*N73</f>
        <v/>
      </c>
      <c r="O74">
        <f>$C74*O73</f>
        <v/>
      </c>
      <c r="P74">
        <f>$C74*P73</f>
        <v/>
      </c>
      <c r="Q74">
        <f>$C74*Q73</f>
        <v/>
      </c>
      <c r="R74">
        <f>$C74*R73</f>
        <v/>
      </c>
      <c r="S74">
        <f>$C74*S73</f>
        <v/>
      </c>
      <c r="T74">
        <f>$C74*T73</f>
        <v/>
      </c>
      <c r="U74">
        <f>$C74*U73</f>
        <v/>
      </c>
      <c r="V74">
        <f>$C74*V73</f>
        <v/>
      </c>
      <c r="W74">
        <f>$C74*W73</f>
        <v/>
      </c>
      <c r="X74">
        <f>$C74*X73</f>
        <v/>
      </c>
      <c r="Y74">
        <f>$C74*Y73</f>
        <v/>
      </c>
      <c r="Z74">
        <f>$C74*Z73</f>
        <v/>
      </c>
      <c r="AA74">
        <f>$C74*AA73</f>
        <v/>
      </c>
      <c r="AB74">
        <f>$C74*AB73</f>
        <v/>
      </c>
      <c r="AC74">
        <f>$C74*AC73</f>
        <v/>
      </c>
      <c r="AD74">
        <f>$C74*AD73</f>
        <v/>
      </c>
      <c r="AE74">
        <f>$C74*AE73</f>
        <v/>
      </c>
      <c r="AF74">
        <f>$C74*AF73</f>
        <v/>
      </c>
      <c r="AG74">
        <f>$C74*AG73</f>
        <v/>
      </c>
      <c r="AH74">
        <f>$C74*AH73</f>
        <v/>
      </c>
      <c r="AI74">
        <f>$C74*AI73</f>
        <v/>
      </c>
      <c r="AJ74">
        <f>$C74*AJ73</f>
        <v/>
      </c>
      <c r="AK74">
        <f>$C74*AK73</f>
        <v/>
      </c>
      <c r="AL74">
        <f>$C74*AL73</f>
        <v/>
      </c>
      <c r="AM74">
        <f>$C74*AM73</f>
        <v/>
      </c>
      <c r="AN74">
        <f>$C74*AN73</f>
        <v/>
      </c>
      <c r="AO74">
        <f>$C74*AO73</f>
        <v/>
      </c>
      <c r="AP74">
        <f>$C74*AP73</f>
        <v/>
      </c>
      <c r="AQ74">
        <f>$C74*AQ73</f>
        <v/>
      </c>
      <c r="AR74">
        <f>$C74*AR73</f>
        <v/>
      </c>
      <c r="AS74">
        <f>$C74*AS73</f>
        <v/>
      </c>
      <c r="AT74">
        <f>$C74*AT73</f>
        <v/>
      </c>
      <c r="AU74">
        <f>$C74*AU73</f>
        <v/>
      </c>
      <c r="AV74">
        <f>$C74*AV73</f>
        <v/>
      </c>
      <c r="AW74">
        <f>$C74*AW73</f>
        <v/>
      </c>
      <c r="AX74">
        <f>$C74*AX73</f>
        <v/>
      </c>
      <c r="AY74">
        <f>$C74*AY73</f>
        <v/>
      </c>
      <c r="AZ74">
        <f>$C74*AZ73</f>
        <v/>
      </c>
      <c r="BA74">
        <f>$C74*BA73</f>
        <v/>
      </c>
      <c r="BB74">
        <f>$C74*BB73</f>
        <v/>
      </c>
      <c r="BC74">
        <f>$C74*BC73</f>
        <v/>
      </c>
      <c r="BD74">
        <f>$C74*BD73</f>
        <v/>
      </c>
      <c r="BE74">
        <f>$C74*BE73</f>
        <v/>
      </c>
      <c r="BF74">
        <f>$C74*BF73</f>
        <v/>
      </c>
      <c r="BG74">
        <f>$C74*BG73</f>
        <v/>
      </c>
      <c r="BH74">
        <f>$C74*BH73</f>
        <v/>
      </c>
      <c r="BI74">
        <f>$C74*BI73</f>
        <v/>
      </c>
      <c r="BJ74">
        <f>$C74*BJ73</f>
        <v/>
      </c>
      <c r="BK74">
        <f>$C74*BK73</f>
        <v/>
      </c>
      <c r="BL74">
        <f>$C74*BL73</f>
        <v/>
      </c>
      <c r="BM74">
        <f>$C74*BM73</f>
        <v/>
      </c>
      <c r="BN74">
        <f>$C74*BN73</f>
        <v/>
      </c>
      <c r="BO74">
        <f>$C74*BO73</f>
        <v/>
      </c>
      <c r="BP74">
        <f>$C74*BP73</f>
        <v/>
      </c>
      <c r="BQ74">
        <f>$C74*BQ73</f>
        <v/>
      </c>
      <c r="BR74">
        <f>$C74*BR73</f>
        <v/>
      </c>
      <c r="BS74">
        <f>$C74*BS73</f>
        <v/>
      </c>
      <c r="BT74">
        <f>$C74*BT73</f>
        <v/>
      </c>
      <c r="BU74">
        <f>$C74*BU73</f>
        <v/>
      </c>
      <c r="BV74">
        <f>$C74*BV73</f>
        <v/>
      </c>
      <c r="BW74">
        <f>$C74*BW73</f>
        <v/>
      </c>
      <c r="BX74">
        <f>$C74*BX73</f>
        <v/>
      </c>
      <c r="BY74">
        <f>$C74*BY73</f>
        <v/>
      </c>
      <c r="BZ74">
        <f>$C74*BZ73</f>
        <v/>
      </c>
      <c r="CA74">
        <f>$C74*CA73</f>
        <v/>
      </c>
      <c r="CB74">
        <f>$C74*CB73</f>
        <v/>
      </c>
      <c r="CC74">
        <f>$C74*CC73</f>
        <v/>
      </c>
      <c r="CD74">
        <f>$C74*CD73</f>
        <v/>
      </c>
      <c r="CE74">
        <f>$C74*CE73</f>
        <v/>
      </c>
      <c r="CF74">
        <f>$C74*CF73</f>
        <v/>
      </c>
      <c r="CG74">
        <f>$C74*CG73</f>
        <v/>
      </c>
      <c r="CH74">
        <f>$C74*CH73</f>
        <v/>
      </c>
      <c r="CI74">
        <f>$C74*CI73</f>
        <v/>
      </c>
      <c r="CJ74">
        <f>$C74*CJ73</f>
        <v/>
      </c>
      <c r="CK74">
        <f>$C74*CK73</f>
        <v/>
      </c>
      <c r="CL74">
        <f>$C74*CL73</f>
        <v/>
      </c>
      <c r="CM74">
        <f>$C74*CM73</f>
        <v/>
      </c>
      <c r="CN74">
        <f>$C74*CN73</f>
        <v/>
      </c>
      <c r="CO74">
        <f>$C74*CO73</f>
        <v/>
      </c>
      <c r="CP74">
        <f>$C74*CP73</f>
        <v/>
      </c>
      <c r="CQ74">
        <f>$C74*CQ73</f>
        <v/>
      </c>
      <c r="CR74">
        <f>$C74*CR73</f>
        <v/>
      </c>
      <c r="CS74">
        <f>$C74*CS73</f>
        <v/>
      </c>
      <c r="CT74">
        <f>$C74*CT73</f>
        <v/>
      </c>
      <c r="CU74">
        <f>$C74*CU73</f>
        <v/>
      </c>
      <c r="CV74">
        <f>$C74*CV73</f>
        <v/>
      </c>
      <c r="CW74">
        <f>$C74*CW73</f>
        <v/>
      </c>
      <c r="CX74">
        <f>$C74*CX73</f>
        <v/>
      </c>
      <c r="CY74">
        <f>$C74*CY73</f>
        <v/>
      </c>
      <c r="CZ74">
        <f>$C74*CZ73</f>
        <v/>
      </c>
      <c r="DA74">
        <f>$C74*DA73</f>
        <v/>
      </c>
      <c r="DB74">
        <f>$C74*DB73</f>
        <v/>
      </c>
      <c r="DC74">
        <f>$C74*DC73</f>
        <v/>
      </c>
      <c r="DD74">
        <f>$C74*DD73</f>
        <v/>
      </c>
    </row>
    <row r="75">
      <c r="B75" t="inlineStr">
        <is>
          <t>VSP-601</t>
        </is>
      </c>
      <c r="C75" t="inlineStr">
        <is>
          <t>No. of batches</t>
        </is>
      </c>
      <c r="D75">
        <f>IFERROR(INDEX(E75:DD75,$F$1),"")</f>
        <v/>
      </c>
      <c r="E75">
        <f>IFERROR(INDEX(PP_Grid[#Data],$DE75,2),0)</f>
        <v/>
      </c>
      <c r="F75">
        <f>IFERROR(INDEX(PP_Grid[#Data],$DE75,3),0)</f>
        <v/>
      </c>
      <c r="G75">
        <f>IFERROR(INDEX(PP_Grid[#Data],$DE75,4),0)</f>
        <v/>
      </c>
      <c r="H75">
        <f>IFERROR(INDEX(PP_Grid[#Data],$DE75,5),0)</f>
        <v/>
      </c>
      <c r="I75">
        <f>IFERROR(INDEX(PP_Grid[#Data],$DE75,6),0)</f>
        <v/>
      </c>
      <c r="J75">
        <f>IFERROR(INDEX(PP_Grid[#Data],$DE75,7),0)</f>
        <v/>
      </c>
      <c r="K75">
        <f>IFERROR(INDEX(PP_Grid[#Data],$DE75,8),0)</f>
        <v/>
      </c>
      <c r="L75">
        <f>IFERROR(INDEX(PP_Grid[#Data],$DE75,9),0)</f>
        <v/>
      </c>
      <c r="M75">
        <f>IFERROR(INDEX(PP_Grid[#Data],$DE75,10),0)</f>
        <v/>
      </c>
      <c r="N75">
        <f>IFERROR(INDEX(PP_Grid[#Data],$DE75,11),0)</f>
        <v/>
      </c>
      <c r="O75">
        <f>IFERROR(INDEX(PP_Grid[#Data],$DE75,12),0)</f>
        <v/>
      </c>
      <c r="P75">
        <f>IFERROR(INDEX(PP_Grid[#Data],$DE75,13),0)</f>
        <v/>
      </c>
      <c r="Q75">
        <f>IFERROR(INDEX(PP_Grid[#Data],$DE75,14),0)</f>
        <v/>
      </c>
      <c r="R75">
        <f>IFERROR(INDEX(PP_Grid[#Data],$DE75,15),0)</f>
        <v/>
      </c>
      <c r="S75">
        <f>IFERROR(INDEX(PP_Grid[#Data],$DE75,16),0)</f>
        <v/>
      </c>
      <c r="T75">
        <f>IFERROR(INDEX(PP_Grid[#Data],$DE75,17),0)</f>
        <v/>
      </c>
      <c r="U75">
        <f>IFERROR(INDEX(PP_Grid[#Data],$DE75,18),0)</f>
        <v/>
      </c>
      <c r="V75">
        <f>IFERROR(INDEX(PP_Grid[#Data],$DE75,19),0)</f>
        <v/>
      </c>
      <c r="W75">
        <f>IFERROR(INDEX(PP_Grid[#Data],$DE75,20),0)</f>
        <v/>
      </c>
      <c r="X75">
        <f>IFERROR(INDEX(PP_Grid[#Data],$DE75,21),0)</f>
        <v/>
      </c>
      <c r="Y75">
        <f>IFERROR(INDEX(PP_Grid[#Data],$DE75,22),0)</f>
        <v/>
      </c>
      <c r="Z75">
        <f>IFERROR(INDEX(PP_Grid[#Data],$DE75,23),0)</f>
        <v/>
      </c>
      <c r="AA75">
        <f>IFERROR(INDEX(PP_Grid[#Data],$DE75,24),0)</f>
        <v/>
      </c>
      <c r="AB75">
        <f>IFERROR(INDEX(PP_Grid[#Data],$DE75,25),0)</f>
        <v/>
      </c>
      <c r="AC75">
        <f>IFERROR(INDEX(PP_Grid[#Data],$DE75,26),0)</f>
        <v/>
      </c>
      <c r="AD75">
        <f>IFERROR(INDEX(PP_Grid[#Data],$DE75,27),0)</f>
        <v/>
      </c>
      <c r="AE75">
        <f>IFERROR(INDEX(PP_Grid[#Data],$DE75,28),0)</f>
        <v/>
      </c>
      <c r="AF75">
        <f>IFERROR(INDEX(PP_Grid[#Data],$DE75,29),0)</f>
        <v/>
      </c>
      <c r="AG75">
        <f>IFERROR(INDEX(PP_Grid[#Data],$DE75,30),0)</f>
        <v/>
      </c>
      <c r="AH75">
        <f>IFERROR(INDEX(PP_Grid[#Data],$DE75,31),0)</f>
        <v/>
      </c>
      <c r="AI75">
        <f>IFERROR(INDEX(PP_Grid[#Data],$DE75,32),0)</f>
        <v/>
      </c>
      <c r="AJ75">
        <f>IFERROR(INDEX(PP_Grid[#Data],$DE75,33),0)</f>
        <v/>
      </c>
      <c r="AK75">
        <f>IFERROR(INDEX(PP_Grid[#Data],$DE75,34),0)</f>
        <v/>
      </c>
      <c r="AL75">
        <f>IFERROR(INDEX(PP_Grid[#Data],$DE75,35),0)</f>
        <v/>
      </c>
      <c r="AM75">
        <f>IFERROR(INDEX(PP_Grid[#Data],$DE75,36),0)</f>
        <v/>
      </c>
      <c r="AN75">
        <f>IFERROR(INDEX(PP_Grid[#Data],$DE75,37),0)</f>
        <v/>
      </c>
      <c r="AO75">
        <f>IFERROR(INDEX(PP_Grid[#Data],$DE75,38),0)</f>
        <v/>
      </c>
      <c r="AP75">
        <f>IFERROR(INDEX(PP_Grid[#Data],$DE75,39),0)</f>
        <v/>
      </c>
      <c r="AQ75">
        <f>IFERROR(INDEX(PP_Grid[#Data],$DE75,40),0)</f>
        <v/>
      </c>
      <c r="AR75">
        <f>IFERROR(INDEX(PP_Grid[#Data],$DE75,41),0)</f>
        <v/>
      </c>
      <c r="AS75">
        <f>IFERROR(INDEX(PP_Grid[#Data],$DE75,42),0)</f>
        <v/>
      </c>
      <c r="AT75">
        <f>IFERROR(INDEX(PP_Grid[#Data],$DE75,43),0)</f>
        <v/>
      </c>
      <c r="AU75">
        <f>IFERROR(INDEX(PP_Grid[#Data],$DE75,44),0)</f>
        <v/>
      </c>
      <c r="AV75">
        <f>IFERROR(INDEX(PP_Grid[#Data],$DE75,45),0)</f>
        <v/>
      </c>
      <c r="AW75">
        <f>IFERROR(INDEX(PP_Grid[#Data],$DE75,46),0)</f>
        <v/>
      </c>
      <c r="AX75">
        <f>IFERROR(INDEX(PP_Grid[#Data],$DE75,47),0)</f>
        <v/>
      </c>
      <c r="AY75">
        <f>IFERROR(INDEX(PP_Grid[#Data],$DE75,48),0)</f>
        <v/>
      </c>
      <c r="AZ75">
        <f>IFERROR(INDEX(PP_Grid[#Data],$DE75,49),0)</f>
        <v/>
      </c>
      <c r="BA75">
        <f>IFERROR(INDEX(PP_Grid[#Data],$DE75,50),0)</f>
        <v/>
      </c>
      <c r="BB75">
        <f>IFERROR(INDEX(PP_Grid[#Data],$DE75,51),0)</f>
        <v/>
      </c>
      <c r="BC75">
        <f>IFERROR(INDEX(PP_Grid[#Data],$DE75,52),0)</f>
        <v/>
      </c>
      <c r="BD75">
        <f>IFERROR(INDEX(PP_Grid[#Data],$DE75,53),0)</f>
        <v/>
      </c>
      <c r="BE75">
        <f>IFERROR(INDEX(PP_Grid[#Data],$DE75,54),0)</f>
        <v/>
      </c>
      <c r="BF75">
        <f>IFERROR(INDEX(PP_Grid[#Data],$DE75,55),0)</f>
        <v/>
      </c>
      <c r="BG75">
        <f>IFERROR(INDEX(PP_Grid[#Data],$DE75,56),0)</f>
        <v/>
      </c>
      <c r="BH75">
        <f>IFERROR(INDEX(PP_Grid[#Data],$DE75,57),0)</f>
        <v/>
      </c>
      <c r="BI75">
        <f>IFERROR(INDEX(PP_Grid[#Data],$DE75,58),0)</f>
        <v/>
      </c>
      <c r="BJ75">
        <f>IFERROR(INDEX(PP_Grid[#Data],$DE75,59),0)</f>
        <v/>
      </c>
      <c r="BK75">
        <f>IFERROR(INDEX(PP_Grid[#Data],$DE75,60),0)</f>
        <v/>
      </c>
      <c r="BL75">
        <f>IFERROR(INDEX(PP_Grid[#Data],$DE75,61),0)</f>
        <v/>
      </c>
      <c r="BM75">
        <f>IFERROR(INDEX(PP_Grid[#Data],$DE75,62),0)</f>
        <v/>
      </c>
      <c r="BN75">
        <f>IFERROR(INDEX(PP_Grid[#Data],$DE75,63),0)</f>
        <v/>
      </c>
      <c r="BO75">
        <f>IFERROR(INDEX(PP_Grid[#Data],$DE75,64),0)</f>
        <v/>
      </c>
      <c r="BP75">
        <f>IFERROR(INDEX(PP_Grid[#Data],$DE75,65),0)</f>
        <v/>
      </c>
      <c r="BQ75">
        <f>IFERROR(INDEX(PP_Grid[#Data],$DE75,66),0)</f>
        <v/>
      </c>
      <c r="BR75">
        <f>IFERROR(INDEX(PP_Grid[#Data],$DE75,67),0)</f>
        <v/>
      </c>
      <c r="BS75">
        <f>IFERROR(INDEX(PP_Grid[#Data],$DE75,68),0)</f>
        <v/>
      </c>
      <c r="BT75">
        <f>IFERROR(INDEX(PP_Grid[#Data],$DE75,69),0)</f>
        <v/>
      </c>
      <c r="BU75">
        <f>IFERROR(INDEX(PP_Grid[#Data],$DE75,70),0)</f>
        <v/>
      </c>
      <c r="BV75">
        <f>IFERROR(INDEX(PP_Grid[#Data],$DE75,71),0)</f>
        <v/>
      </c>
      <c r="BW75">
        <f>IFERROR(INDEX(PP_Grid[#Data],$DE75,72),0)</f>
        <v/>
      </c>
      <c r="BX75">
        <f>IFERROR(INDEX(PP_Grid[#Data],$DE75,73),0)</f>
        <v/>
      </c>
      <c r="BY75">
        <f>IFERROR(INDEX(PP_Grid[#Data],$DE75,74),0)</f>
        <v/>
      </c>
      <c r="BZ75">
        <f>IFERROR(INDEX(PP_Grid[#Data],$DE75,75),0)</f>
        <v/>
      </c>
      <c r="CA75">
        <f>IFERROR(INDEX(PP_Grid[#Data],$DE75,76),0)</f>
        <v/>
      </c>
      <c r="CB75">
        <f>IFERROR(INDEX(PP_Grid[#Data],$DE75,77),0)</f>
        <v/>
      </c>
      <c r="CC75">
        <f>IFERROR(INDEX(PP_Grid[#Data],$DE75,78),0)</f>
        <v/>
      </c>
      <c r="CD75">
        <f>IFERROR(INDEX(PP_Grid[#Data],$DE75,79),0)</f>
        <v/>
      </c>
      <c r="CE75">
        <f>IFERROR(INDEX(PP_Grid[#Data],$DE75,80),0)</f>
        <v/>
      </c>
      <c r="CF75">
        <f>IFERROR(INDEX(PP_Grid[#Data],$DE75,81),0)</f>
        <v/>
      </c>
      <c r="CG75">
        <f>IFERROR(INDEX(PP_Grid[#Data],$DE75,82),0)</f>
        <v/>
      </c>
      <c r="CH75">
        <f>IFERROR(INDEX(PP_Grid[#Data],$DE75,83),0)</f>
        <v/>
      </c>
      <c r="CI75">
        <f>IFERROR(INDEX(PP_Grid[#Data],$DE75,84),0)</f>
        <v/>
      </c>
      <c r="CJ75">
        <f>IFERROR(INDEX(PP_Grid[#Data],$DE75,85),0)</f>
        <v/>
      </c>
      <c r="CK75">
        <f>IFERROR(INDEX(PP_Grid[#Data],$DE75,86),0)</f>
        <v/>
      </c>
      <c r="CL75">
        <f>IFERROR(INDEX(PP_Grid[#Data],$DE75,87),0)</f>
        <v/>
      </c>
      <c r="CM75">
        <f>IFERROR(INDEX(PP_Grid[#Data],$DE75,88),0)</f>
        <v/>
      </c>
      <c r="CN75">
        <f>IFERROR(INDEX(PP_Grid[#Data],$DE75,89),0)</f>
        <v/>
      </c>
      <c r="CO75">
        <f>IFERROR(INDEX(PP_Grid[#Data],$DE75,90),0)</f>
        <v/>
      </c>
      <c r="CP75">
        <f>IFERROR(INDEX(PP_Grid[#Data],$DE75,91),0)</f>
        <v/>
      </c>
      <c r="CQ75">
        <f>IFERROR(INDEX(PP_Grid[#Data],$DE75,92),0)</f>
        <v/>
      </c>
      <c r="CR75">
        <f>IFERROR(INDEX(PP_Grid[#Data],$DE75,93),0)</f>
        <v/>
      </c>
      <c r="CS75">
        <f>IFERROR(INDEX(PP_Grid[#Data],$DE75,94),0)</f>
        <v/>
      </c>
      <c r="CT75">
        <f>IFERROR(INDEX(PP_Grid[#Data],$DE75,95),0)</f>
        <v/>
      </c>
      <c r="CU75">
        <f>IFERROR(INDEX(PP_Grid[#Data],$DE75,96),0)</f>
        <v/>
      </c>
      <c r="CV75">
        <f>IFERROR(INDEX(PP_Grid[#Data],$DE75,97),0)</f>
        <v/>
      </c>
      <c r="CW75">
        <f>IFERROR(INDEX(PP_Grid[#Data],$DE75,98),0)</f>
        <v/>
      </c>
      <c r="CX75">
        <f>IFERROR(INDEX(PP_Grid[#Data],$DE75,99),0)</f>
        <v/>
      </c>
      <c r="CY75">
        <f>IFERROR(INDEX(PP_Grid[#Data],$DE75,100),0)</f>
        <v/>
      </c>
      <c r="CZ75">
        <f>IFERROR(INDEX(PP_Grid[#Data],$DE75,101),0)</f>
        <v/>
      </c>
      <c r="DA75">
        <f>IFERROR(INDEX(PP_Grid[#Data],$DE75,102),0)</f>
        <v/>
      </c>
      <c r="DB75">
        <f>IFERROR(INDEX(PP_Grid[#Data],$DE75,103),0)</f>
        <v/>
      </c>
      <c r="DC75">
        <f>IFERROR(INDEX(PP_Grid[#Data],$DE75,104),0)</f>
        <v/>
      </c>
      <c r="DD75">
        <f>IFERROR(INDEX(PP_Grid[#Data],$DE75,105),0)</f>
        <v/>
      </c>
      <c r="DE75" s="7">
        <f>IFERROR(MATCH($B75,PP_Grid[Intermediate],0),99999)</f>
        <v/>
      </c>
    </row>
    <row r="76">
      <c r="B76" t="inlineStr">
        <is>
          <t>使用量(kg)</t>
        </is>
      </c>
      <c r="C76">
        <f>SUMIFS(M_BOM[RM_Qty_Per_Batch],M_BOM[Intermediate],$B75,M_BOM[RM_Code],$A28)</f>
        <v/>
      </c>
      <c r="D76">
        <f>IFERROR(INDEX(E76:DD76,$F$1),"")</f>
        <v/>
      </c>
      <c r="E76">
        <f>$C76*E75</f>
        <v/>
      </c>
      <c r="F76">
        <f>$C76*F75</f>
        <v/>
      </c>
      <c r="G76">
        <f>$C76*G75</f>
        <v/>
      </c>
      <c r="H76">
        <f>$C76*H75</f>
        <v/>
      </c>
      <c r="I76">
        <f>$C76*I75</f>
        <v/>
      </c>
      <c r="J76">
        <f>$C76*J75</f>
        <v/>
      </c>
      <c r="K76">
        <f>$C76*K75</f>
        <v/>
      </c>
      <c r="L76">
        <f>$C76*L75</f>
        <v/>
      </c>
      <c r="M76">
        <f>$C76*M75</f>
        <v/>
      </c>
      <c r="N76">
        <f>$C76*N75</f>
        <v/>
      </c>
      <c r="O76">
        <f>$C76*O75</f>
        <v/>
      </c>
      <c r="P76">
        <f>$C76*P75</f>
        <v/>
      </c>
      <c r="Q76">
        <f>$C76*Q75</f>
        <v/>
      </c>
      <c r="R76">
        <f>$C76*R75</f>
        <v/>
      </c>
      <c r="S76">
        <f>$C76*S75</f>
        <v/>
      </c>
      <c r="T76">
        <f>$C76*T75</f>
        <v/>
      </c>
      <c r="U76">
        <f>$C76*U75</f>
        <v/>
      </c>
      <c r="V76">
        <f>$C76*V75</f>
        <v/>
      </c>
      <c r="W76">
        <f>$C76*W75</f>
        <v/>
      </c>
      <c r="X76">
        <f>$C76*X75</f>
        <v/>
      </c>
      <c r="Y76">
        <f>$C76*Y75</f>
        <v/>
      </c>
      <c r="Z76">
        <f>$C76*Z75</f>
        <v/>
      </c>
      <c r="AA76">
        <f>$C76*AA75</f>
        <v/>
      </c>
      <c r="AB76">
        <f>$C76*AB75</f>
        <v/>
      </c>
      <c r="AC76">
        <f>$C76*AC75</f>
        <v/>
      </c>
      <c r="AD76">
        <f>$C76*AD75</f>
        <v/>
      </c>
      <c r="AE76">
        <f>$C76*AE75</f>
        <v/>
      </c>
      <c r="AF76">
        <f>$C76*AF75</f>
        <v/>
      </c>
      <c r="AG76">
        <f>$C76*AG75</f>
        <v/>
      </c>
      <c r="AH76">
        <f>$C76*AH75</f>
        <v/>
      </c>
      <c r="AI76">
        <f>$C76*AI75</f>
        <v/>
      </c>
      <c r="AJ76">
        <f>$C76*AJ75</f>
        <v/>
      </c>
      <c r="AK76">
        <f>$C76*AK75</f>
        <v/>
      </c>
      <c r="AL76">
        <f>$C76*AL75</f>
        <v/>
      </c>
      <c r="AM76">
        <f>$C76*AM75</f>
        <v/>
      </c>
      <c r="AN76">
        <f>$C76*AN75</f>
        <v/>
      </c>
      <c r="AO76">
        <f>$C76*AO75</f>
        <v/>
      </c>
      <c r="AP76">
        <f>$C76*AP75</f>
        <v/>
      </c>
      <c r="AQ76">
        <f>$C76*AQ75</f>
        <v/>
      </c>
      <c r="AR76">
        <f>$C76*AR75</f>
        <v/>
      </c>
      <c r="AS76">
        <f>$C76*AS75</f>
        <v/>
      </c>
      <c r="AT76">
        <f>$C76*AT75</f>
        <v/>
      </c>
      <c r="AU76">
        <f>$C76*AU75</f>
        <v/>
      </c>
      <c r="AV76">
        <f>$C76*AV75</f>
        <v/>
      </c>
      <c r="AW76">
        <f>$C76*AW75</f>
        <v/>
      </c>
      <c r="AX76">
        <f>$C76*AX75</f>
        <v/>
      </c>
      <c r="AY76">
        <f>$C76*AY75</f>
        <v/>
      </c>
      <c r="AZ76">
        <f>$C76*AZ75</f>
        <v/>
      </c>
      <c r="BA76">
        <f>$C76*BA75</f>
        <v/>
      </c>
      <c r="BB76">
        <f>$C76*BB75</f>
        <v/>
      </c>
      <c r="BC76">
        <f>$C76*BC75</f>
        <v/>
      </c>
      <c r="BD76">
        <f>$C76*BD75</f>
        <v/>
      </c>
      <c r="BE76">
        <f>$C76*BE75</f>
        <v/>
      </c>
      <c r="BF76">
        <f>$C76*BF75</f>
        <v/>
      </c>
      <c r="BG76">
        <f>$C76*BG75</f>
        <v/>
      </c>
      <c r="BH76">
        <f>$C76*BH75</f>
        <v/>
      </c>
      <c r="BI76">
        <f>$C76*BI75</f>
        <v/>
      </c>
      <c r="BJ76">
        <f>$C76*BJ75</f>
        <v/>
      </c>
      <c r="BK76">
        <f>$C76*BK75</f>
        <v/>
      </c>
      <c r="BL76">
        <f>$C76*BL75</f>
        <v/>
      </c>
      <c r="BM76">
        <f>$C76*BM75</f>
        <v/>
      </c>
      <c r="BN76">
        <f>$C76*BN75</f>
        <v/>
      </c>
      <c r="BO76">
        <f>$C76*BO75</f>
        <v/>
      </c>
      <c r="BP76">
        <f>$C76*BP75</f>
        <v/>
      </c>
      <c r="BQ76">
        <f>$C76*BQ75</f>
        <v/>
      </c>
      <c r="BR76">
        <f>$C76*BR75</f>
        <v/>
      </c>
      <c r="BS76">
        <f>$C76*BS75</f>
        <v/>
      </c>
      <c r="BT76">
        <f>$C76*BT75</f>
        <v/>
      </c>
      <c r="BU76">
        <f>$C76*BU75</f>
        <v/>
      </c>
      <c r="BV76">
        <f>$C76*BV75</f>
        <v/>
      </c>
      <c r="BW76">
        <f>$C76*BW75</f>
        <v/>
      </c>
      <c r="BX76">
        <f>$C76*BX75</f>
        <v/>
      </c>
      <c r="BY76">
        <f>$C76*BY75</f>
        <v/>
      </c>
      <c r="BZ76">
        <f>$C76*BZ75</f>
        <v/>
      </c>
      <c r="CA76">
        <f>$C76*CA75</f>
        <v/>
      </c>
      <c r="CB76">
        <f>$C76*CB75</f>
        <v/>
      </c>
      <c r="CC76">
        <f>$C76*CC75</f>
        <v/>
      </c>
      <c r="CD76">
        <f>$C76*CD75</f>
        <v/>
      </c>
      <c r="CE76">
        <f>$C76*CE75</f>
        <v/>
      </c>
      <c r="CF76">
        <f>$C76*CF75</f>
        <v/>
      </c>
      <c r="CG76">
        <f>$C76*CG75</f>
        <v/>
      </c>
      <c r="CH76">
        <f>$C76*CH75</f>
        <v/>
      </c>
      <c r="CI76">
        <f>$C76*CI75</f>
        <v/>
      </c>
      <c r="CJ76">
        <f>$C76*CJ75</f>
        <v/>
      </c>
      <c r="CK76">
        <f>$C76*CK75</f>
        <v/>
      </c>
      <c r="CL76">
        <f>$C76*CL75</f>
        <v/>
      </c>
      <c r="CM76">
        <f>$C76*CM75</f>
        <v/>
      </c>
      <c r="CN76">
        <f>$C76*CN75</f>
        <v/>
      </c>
      <c r="CO76">
        <f>$C76*CO75</f>
        <v/>
      </c>
      <c r="CP76">
        <f>$C76*CP75</f>
        <v/>
      </c>
      <c r="CQ76">
        <f>$C76*CQ75</f>
        <v/>
      </c>
      <c r="CR76">
        <f>$C76*CR75</f>
        <v/>
      </c>
      <c r="CS76">
        <f>$C76*CS75</f>
        <v/>
      </c>
      <c r="CT76">
        <f>$C76*CT75</f>
        <v/>
      </c>
      <c r="CU76">
        <f>$C76*CU75</f>
        <v/>
      </c>
      <c r="CV76">
        <f>$C76*CV75</f>
        <v/>
      </c>
      <c r="CW76">
        <f>$C76*CW75</f>
        <v/>
      </c>
      <c r="CX76">
        <f>$C76*CX75</f>
        <v/>
      </c>
      <c r="CY76">
        <f>$C76*CY75</f>
        <v/>
      </c>
      <c r="CZ76">
        <f>$C76*CZ75</f>
        <v/>
      </c>
      <c r="DA76">
        <f>$C76*DA75</f>
        <v/>
      </c>
      <c r="DB76">
        <f>$C76*DB75</f>
        <v/>
      </c>
      <c r="DC76">
        <f>$C76*DC75</f>
        <v/>
      </c>
      <c r="DD76">
        <f>$C76*DD75</f>
        <v/>
      </c>
    </row>
    <row r="77">
      <c r="B77" t="inlineStr">
        <is>
          <t>VSP-602</t>
        </is>
      </c>
      <c r="C77" t="inlineStr">
        <is>
          <t>No. of batches</t>
        </is>
      </c>
      <c r="D77">
        <f>IFERROR(INDEX(E77:DD77,$F$1),"")</f>
        <v/>
      </c>
      <c r="E77">
        <f>IFERROR(INDEX(PP_Grid[#Data],$DE77,2),0)</f>
        <v/>
      </c>
      <c r="F77">
        <f>IFERROR(INDEX(PP_Grid[#Data],$DE77,3),0)</f>
        <v/>
      </c>
      <c r="G77">
        <f>IFERROR(INDEX(PP_Grid[#Data],$DE77,4),0)</f>
        <v/>
      </c>
      <c r="H77">
        <f>IFERROR(INDEX(PP_Grid[#Data],$DE77,5),0)</f>
        <v/>
      </c>
      <c r="I77">
        <f>IFERROR(INDEX(PP_Grid[#Data],$DE77,6),0)</f>
        <v/>
      </c>
      <c r="J77">
        <f>IFERROR(INDEX(PP_Grid[#Data],$DE77,7),0)</f>
        <v/>
      </c>
      <c r="K77">
        <f>IFERROR(INDEX(PP_Grid[#Data],$DE77,8),0)</f>
        <v/>
      </c>
      <c r="L77">
        <f>IFERROR(INDEX(PP_Grid[#Data],$DE77,9),0)</f>
        <v/>
      </c>
      <c r="M77">
        <f>IFERROR(INDEX(PP_Grid[#Data],$DE77,10),0)</f>
        <v/>
      </c>
      <c r="N77">
        <f>IFERROR(INDEX(PP_Grid[#Data],$DE77,11),0)</f>
        <v/>
      </c>
      <c r="O77">
        <f>IFERROR(INDEX(PP_Grid[#Data],$DE77,12),0)</f>
        <v/>
      </c>
      <c r="P77">
        <f>IFERROR(INDEX(PP_Grid[#Data],$DE77,13),0)</f>
        <v/>
      </c>
      <c r="Q77">
        <f>IFERROR(INDEX(PP_Grid[#Data],$DE77,14),0)</f>
        <v/>
      </c>
      <c r="R77">
        <f>IFERROR(INDEX(PP_Grid[#Data],$DE77,15),0)</f>
        <v/>
      </c>
      <c r="S77">
        <f>IFERROR(INDEX(PP_Grid[#Data],$DE77,16),0)</f>
        <v/>
      </c>
      <c r="T77">
        <f>IFERROR(INDEX(PP_Grid[#Data],$DE77,17),0)</f>
        <v/>
      </c>
      <c r="U77">
        <f>IFERROR(INDEX(PP_Grid[#Data],$DE77,18),0)</f>
        <v/>
      </c>
      <c r="V77">
        <f>IFERROR(INDEX(PP_Grid[#Data],$DE77,19),0)</f>
        <v/>
      </c>
      <c r="W77">
        <f>IFERROR(INDEX(PP_Grid[#Data],$DE77,20),0)</f>
        <v/>
      </c>
      <c r="X77">
        <f>IFERROR(INDEX(PP_Grid[#Data],$DE77,21),0)</f>
        <v/>
      </c>
      <c r="Y77">
        <f>IFERROR(INDEX(PP_Grid[#Data],$DE77,22),0)</f>
        <v/>
      </c>
      <c r="Z77">
        <f>IFERROR(INDEX(PP_Grid[#Data],$DE77,23),0)</f>
        <v/>
      </c>
      <c r="AA77">
        <f>IFERROR(INDEX(PP_Grid[#Data],$DE77,24),0)</f>
        <v/>
      </c>
      <c r="AB77">
        <f>IFERROR(INDEX(PP_Grid[#Data],$DE77,25),0)</f>
        <v/>
      </c>
      <c r="AC77">
        <f>IFERROR(INDEX(PP_Grid[#Data],$DE77,26),0)</f>
        <v/>
      </c>
      <c r="AD77">
        <f>IFERROR(INDEX(PP_Grid[#Data],$DE77,27),0)</f>
        <v/>
      </c>
      <c r="AE77">
        <f>IFERROR(INDEX(PP_Grid[#Data],$DE77,28),0)</f>
        <v/>
      </c>
      <c r="AF77">
        <f>IFERROR(INDEX(PP_Grid[#Data],$DE77,29),0)</f>
        <v/>
      </c>
      <c r="AG77">
        <f>IFERROR(INDEX(PP_Grid[#Data],$DE77,30),0)</f>
        <v/>
      </c>
      <c r="AH77">
        <f>IFERROR(INDEX(PP_Grid[#Data],$DE77,31),0)</f>
        <v/>
      </c>
      <c r="AI77">
        <f>IFERROR(INDEX(PP_Grid[#Data],$DE77,32),0)</f>
        <v/>
      </c>
      <c r="AJ77">
        <f>IFERROR(INDEX(PP_Grid[#Data],$DE77,33),0)</f>
        <v/>
      </c>
      <c r="AK77">
        <f>IFERROR(INDEX(PP_Grid[#Data],$DE77,34),0)</f>
        <v/>
      </c>
      <c r="AL77">
        <f>IFERROR(INDEX(PP_Grid[#Data],$DE77,35),0)</f>
        <v/>
      </c>
      <c r="AM77">
        <f>IFERROR(INDEX(PP_Grid[#Data],$DE77,36),0)</f>
        <v/>
      </c>
      <c r="AN77">
        <f>IFERROR(INDEX(PP_Grid[#Data],$DE77,37),0)</f>
        <v/>
      </c>
      <c r="AO77">
        <f>IFERROR(INDEX(PP_Grid[#Data],$DE77,38),0)</f>
        <v/>
      </c>
      <c r="AP77">
        <f>IFERROR(INDEX(PP_Grid[#Data],$DE77,39),0)</f>
        <v/>
      </c>
      <c r="AQ77">
        <f>IFERROR(INDEX(PP_Grid[#Data],$DE77,40),0)</f>
        <v/>
      </c>
      <c r="AR77">
        <f>IFERROR(INDEX(PP_Grid[#Data],$DE77,41),0)</f>
        <v/>
      </c>
      <c r="AS77">
        <f>IFERROR(INDEX(PP_Grid[#Data],$DE77,42),0)</f>
        <v/>
      </c>
      <c r="AT77">
        <f>IFERROR(INDEX(PP_Grid[#Data],$DE77,43),0)</f>
        <v/>
      </c>
      <c r="AU77">
        <f>IFERROR(INDEX(PP_Grid[#Data],$DE77,44),0)</f>
        <v/>
      </c>
      <c r="AV77">
        <f>IFERROR(INDEX(PP_Grid[#Data],$DE77,45),0)</f>
        <v/>
      </c>
      <c r="AW77">
        <f>IFERROR(INDEX(PP_Grid[#Data],$DE77,46),0)</f>
        <v/>
      </c>
      <c r="AX77">
        <f>IFERROR(INDEX(PP_Grid[#Data],$DE77,47),0)</f>
        <v/>
      </c>
      <c r="AY77">
        <f>IFERROR(INDEX(PP_Grid[#Data],$DE77,48),0)</f>
        <v/>
      </c>
      <c r="AZ77">
        <f>IFERROR(INDEX(PP_Grid[#Data],$DE77,49),0)</f>
        <v/>
      </c>
      <c r="BA77">
        <f>IFERROR(INDEX(PP_Grid[#Data],$DE77,50),0)</f>
        <v/>
      </c>
      <c r="BB77">
        <f>IFERROR(INDEX(PP_Grid[#Data],$DE77,51),0)</f>
        <v/>
      </c>
      <c r="BC77">
        <f>IFERROR(INDEX(PP_Grid[#Data],$DE77,52),0)</f>
        <v/>
      </c>
      <c r="BD77">
        <f>IFERROR(INDEX(PP_Grid[#Data],$DE77,53),0)</f>
        <v/>
      </c>
      <c r="BE77">
        <f>IFERROR(INDEX(PP_Grid[#Data],$DE77,54),0)</f>
        <v/>
      </c>
      <c r="BF77">
        <f>IFERROR(INDEX(PP_Grid[#Data],$DE77,55),0)</f>
        <v/>
      </c>
      <c r="BG77">
        <f>IFERROR(INDEX(PP_Grid[#Data],$DE77,56),0)</f>
        <v/>
      </c>
      <c r="BH77">
        <f>IFERROR(INDEX(PP_Grid[#Data],$DE77,57),0)</f>
        <v/>
      </c>
      <c r="BI77">
        <f>IFERROR(INDEX(PP_Grid[#Data],$DE77,58),0)</f>
        <v/>
      </c>
      <c r="BJ77">
        <f>IFERROR(INDEX(PP_Grid[#Data],$DE77,59),0)</f>
        <v/>
      </c>
      <c r="BK77">
        <f>IFERROR(INDEX(PP_Grid[#Data],$DE77,60),0)</f>
        <v/>
      </c>
      <c r="BL77">
        <f>IFERROR(INDEX(PP_Grid[#Data],$DE77,61),0)</f>
        <v/>
      </c>
      <c r="BM77">
        <f>IFERROR(INDEX(PP_Grid[#Data],$DE77,62),0)</f>
        <v/>
      </c>
      <c r="BN77">
        <f>IFERROR(INDEX(PP_Grid[#Data],$DE77,63),0)</f>
        <v/>
      </c>
      <c r="BO77">
        <f>IFERROR(INDEX(PP_Grid[#Data],$DE77,64),0)</f>
        <v/>
      </c>
      <c r="BP77">
        <f>IFERROR(INDEX(PP_Grid[#Data],$DE77,65),0)</f>
        <v/>
      </c>
      <c r="BQ77">
        <f>IFERROR(INDEX(PP_Grid[#Data],$DE77,66),0)</f>
        <v/>
      </c>
      <c r="BR77">
        <f>IFERROR(INDEX(PP_Grid[#Data],$DE77,67),0)</f>
        <v/>
      </c>
      <c r="BS77">
        <f>IFERROR(INDEX(PP_Grid[#Data],$DE77,68),0)</f>
        <v/>
      </c>
      <c r="BT77">
        <f>IFERROR(INDEX(PP_Grid[#Data],$DE77,69),0)</f>
        <v/>
      </c>
      <c r="BU77">
        <f>IFERROR(INDEX(PP_Grid[#Data],$DE77,70),0)</f>
        <v/>
      </c>
      <c r="BV77">
        <f>IFERROR(INDEX(PP_Grid[#Data],$DE77,71),0)</f>
        <v/>
      </c>
      <c r="BW77">
        <f>IFERROR(INDEX(PP_Grid[#Data],$DE77,72),0)</f>
        <v/>
      </c>
      <c r="BX77">
        <f>IFERROR(INDEX(PP_Grid[#Data],$DE77,73),0)</f>
        <v/>
      </c>
      <c r="BY77">
        <f>IFERROR(INDEX(PP_Grid[#Data],$DE77,74),0)</f>
        <v/>
      </c>
      <c r="BZ77">
        <f>IFERROR(INDEX(PP_Grid[#Data],$DE77,75),0)</f>
        <v/>
      </c>
      <c r="CA77">
        <f>IFERROR(INDEX(PP_Grid[#Data],$DE77,76),0)</f>
        <v/>
      </c>
      <c r="CB77">
        <f>IFERROR(INDEX(PP_Grid[#Data],$DE77,77),0)</f>
        <v/>
      </c>
      <c r="CC77">
        <f>IFERROR(INDEX(PP_Grid[#Data],$DE77,78),0)</f>
        <v/>
      </c>
      <c r="CD77">
        <f>IFERROR(INDEX(PP_Grid[#Data],$DE77,79),0)</f>
        <v/>
      </c>
      <c r="CE77">
        <f>IFERROR(INDEX(PP_Grid[#Data],$DE77,80),0)</f>
        <v/>
      </c>
      <c r="CF77">
        <f>IFERROR(INDEX(PP_Grid[#Data],$DE77,81),0)</f>
        <v/>
      </c>
      <c r="CG77">
        <f>IFERROR(INDEX(PP_Grid[#Data],$DE77,82),0)</f>
        <v/>
      </c>
      <c r="CH77">
        <f>IFERROR(INDEX(PP_Grid[#Data],$DE77,83),0)</f>
        <v/>
      </c>
      <c r="CI77">
        <f>IFERROR(INDEX(PP_Grid[#Data],$DE77,84),0)</f>
        <v/>
      </c>
      <c r="CJ77">
        <f>IFERROR(INDEX(PP_Grid[#Data],$DE77,85),0)</f>
        <v/>
      </c>
      <c r="CK77">
        <f>IFERROR(INDEX(PP_Grid[#Data],$DE77,86),0)</f>
        <v/>
      </c>
      <c r="CL77">
        <f>IFERROR(INDEX(PP_Grid[#Data],$DE77,87),0)</f>
        <v/>
      </c>
      <c r="CM77">
        <f>IFERROR(INDEX(PP_Grid[#Data],$DE77,88),0)</f>
        <v/>
      </c>
      <c r="CN77">
        <f>IFERROR(INDEX(PP_Grid[#Data],$DE77,89),0)</f>
        <v/>
      </c>
      <c r="CO77">
        <f>IFERROR(INDEX(PP_Grid[#Data],$DE77,90),0)</f>
        <v/>
      </c>
      <c r="CP77">
        <f>IFERROR(INDEX(PP_Grid[#Data],$DE77,91),0)</f>
        <v/>
      </c>
      <c r="CQ77">
        <f>IFERROR(INDEX(PP_Grid[#Data],$DE77,92),0)</f>
        <v/>
      </c>
      <c r="CR77">
        <f>IFERROR(INDEX(PP_Grid[#Data],$DE77,93),0)</f>
        <v/>
      </c>
      <c r="CS77">
        <f>IFERROR(INDEX(PP_Grid[#Data],$DE77,94),0)</f>
        <v/>
      </c>
      <c r="CT77">
        <f>IFERROR(INDEX(PP_Grid[#Data],$DE77,95),0)</f>
        <v/>
      </c>
      <c r="CU77">
        <f>IFERROR(INDEX(PP_Grid[#Data],$DE77,96),0)</f>
        <v/>
      </c>
      <c r="CV77">
        <f>IFERROR(INDEX(PP_Grid[#Data],$DE77,97),0)</f>
        <v/>
      </c>
      <c r="CW77">
        <f>IFERROR(INDEX(PP_Grid[#Data],$DE77,98),0)</f>
        <v/>
      </c>
      <c r="CX77">
        <f>IFERROR(INDEX(PP_Grid[#Data],$DE77,99),0)</f>
        <v/>
      </c>
      <c r="CY77">
        <f>IFERROR(INDEX(PP_Grid[#Data],$DE77,100),0)</f>
        <v/>
      </c>
      <c r="CZ77">
        <f>IFERROR(INDEX(PP_Grid[#Data],$DE77,101),0)</f>
        <v/>
      </c>
      <c r="DA77">
        <f>IFERROR(INDEX(PP_Grid[#Data],$DE77,102),0)</f>
        <v/>
      </c>
      <c r="DB77">
        <f>IFERROR(INDEX(PP_Grid[#Data],$DE77,103),0)</f>
        <v/>
      </c>
      <c r="DC77">
        <f>IFERROR(INDEX(PP_Grid[#Data],$DE77,104),0)</f>
        <v/>
      </c>
      <c r="DD77">
        <f>IFERROR(INDEX(PP_Grid[#Data],$DE77,105),0)</f>
        <v/>
      </c>
      <c r="DE77" s="7">
        <f>IFERROR(MATCH($B77,PP_Grid[Intermediate],0),99999)</f>
        <v/>
      </c>
    </row>
    <row r="78">
      <c r="B78" t="inlineStr">
        <is>
          <t>使用量(kg)</t>
        </is>
      </c>
      <c r="C78">
        <f>SUMIFS(M_BOM[RM_Qty_Per_Batch],M_BOM[Intermediate],$B77,M_BOM[RM_Code],$A28)</f>
        <v/>
      </c>
      <c r="D78">
        <f>IFERROR(INDEX(E78:DD78,$F$1),"")</f>
        <v/>
      </c>
      <c r="E78">
        <f>$C78*E77</f>
        <v/>
      </c>
      <c r="F78">
        <f>$C78*F77</f>
        <v/>
      </c>
      <c r="G78">
        <f>$C78*G77</f>
        <v/>
      </c>
      <c r="H78">
        <f>$C78*H77</f>
        <v/>
      </c>
      <c r="I78">
        <f>$C78*I77</f>
        <v/>
      </c>
      <c r="J78">
        <f>$C78*J77</f>
        <v/>
      </c>
      <c r="K78">
        <f>$C78*K77</f>
        <v/>
      </c>
      <c r="L78">
        <f>$C78*L77</f>
        <v/>
      </c>
      <c r="M78">
        <f>$C78*M77</f>
        <v/>
      </c>
      <c r="N78">
        <f>$C78*N77</f>
        <v/>
      </c>
      <c r="O78">
        <f>$C78*O77</f>
        <v/>
      </c>
      <c r="P78">
        <f>$C78*P77</f>
        <v/>
      </c>
      <c r="Q78">
        <f>$C78*Q77</f>
        <v/>
      </c>
      <c r="R78">
        <f>$C78*R77</f>
        <v/>
      </c>
      <c r="S78">
        <f>$C78*S77</f>
        <v/>
      </c>
      <c r="T78">
        <f>$C78*T77</f>
        <v/>
      </c>
      <c r="U78">
        <f>$C78*U77</f>
        <v/>
      </c>
      <c r="V78">
        <f>$C78*V77</f>
        <v/>
      </c>
      <c r="W78">
        <f>$C78*W77</f>
        <v/>
      </c>
      <c r="X78">
        <f>$C78*X77</f>
        <v/>
      </c>
      <c r="Y78">
        <f>$C78*Y77</f>
        <v/>
      </c>
      <c r="Z78">
        <f>$C78*Z77</f>
        <v/>
      </c>
      <c r="AA78">
        <f>$C78*AA77</f>
        <v/>
      </c>
      <c r="AB78">
        <f>$C78*AB77</f>
        <v/>
      </c>
      <c r="AC78">
        <f>$C78*AC77</f>
        <v/>
      </c>
      <c r="AD78">
        <f>$C78*AD77</f>
        <v/>
      </c>
      <c r="AE78">
        <f>$C78*AE77</f>
        <v/>
      </c>
      <c r="AF78">
        <f>$C78*AF77</f>
        <v/>
      </c>
      <c r="AG78">
        <f>$C78*AG77</f>
        <v/>
      </c>
      <c r="AH78">
        <f>$C78*AH77</f>
        <v/>
      </c>
      <c r="AI78">
        <f>$C78*AI77</f>
        <v/>
      </c>
      <c r="AJ78">
        <f>$C78*AJ77</f>
        <v/>
      </c>
      <c r="AK78">
        <f>$C78*AK77</f>
        <v/>
      </c>
      <c r="AL78">
        <f>$C78*AL77</f>
        <v/>
      </c>
      <c r="AM78">
        <f>$C78*AM77</f>
        <v/>
      </c>
      <c r="AN78">
        <f>$C78*AN77</f>
        <v/>
      </c>
      <c r="AO78">
        <f>$C78*AO77</f>
        <v/>
      </c>
      <c r="AP78">
        <f>$C78*AP77</f>
        <v/>
      </c>
      <c r="AQ78">
        <f>$C78*AQ77</f>
        <v/>
      </c>
      <c r="AR78">
        <f>$C78*AR77</f>
        <v/>
      </c>
      <c r="AS78">
        <f>$C78*AS77</f>
        <v/>
      </c>
      <c r="AT78">
        <f>$C78*AT77</f>
        <v/>
      </c>
      <c r="AU78">
        <f>$C78*AU77</f>
        <v/>
      </c>
      <c r="AV78">
        <f>$C78*AV77</f>
        <v/>
      </c>
      <c r="AW78">
        <f>$C78*AW77</f>
        <v/>
      </c>
      <c r="AX78">
        <f>$C78*AX77</f>
        <v/>
      </c>
      <c r="AY78">
        <f>$C78*AY77</f>
        <v/>
      </c>
      <c r="AZ78">
        <f>$C78*AZ77</f>
        <v/>
      </c>
      <c r="BA78">
        <f>$C78*BA77</f>
        <v/>
      </c>
      <c r="BB78">
        <f>$C78*BB77</f>
        <v/>
      </c>
      <c r="BC78">
        <f>$C78*BC77</f>
        <v/>
      </c>
      <c r="BD78">
        <f>$C78*BD77</f>
        <v/>
      </c>
      <c r="BE78">
        <f>$C78*BE77</f>
        <v/>
      </c>
      <c r="BF78">
        <f>$C78*BF77</f>
        <v/>
      </c>
      <c r="BG78">
        <f>$C78*BG77</f>
        <v/>
      </c>
      <c r="BH78">
        <f>$C78*BH77</f>
        <v/>
      </c>
      <c r="BI78">
        <f>$C78*BI77</f>
        <v/>
      </c>
      <c r="BJ78">
        <f>$C78*BJ77</f>
        <v/>
      </c>
      <c r="BK78">
        <f>$C78*BK77</f>
        <v/>
      </c>
      <c r="BL78">
        <f>$C78*BL77</f>
        <v/>
      </c>
      <c r="BM78">
        <f>$C78*BM77</f>
        <v/>
      </c>
      <c r="BN78">
        <f>$C78*BN77</f>
        <v/>
      </c>
      <c r="BO78">
        <f>$C78*BO77</f>
        <v/>
      </c>
      <c r="BP78">
        <f>$C78*BP77</f>
        <v/>
      </c>
      <c r="BQ78">
        <f>$C78*BQ77</f>
        <v/>
      </c>
      <c r="BR78">
        <f>$C78*BR77</f>
        <v/>
      </c>
      <c r="BS78">
        <f>$C78*BS77</f>
        <v/>
      </c>
      <c r="BT78">
        <f>$C78*BT77</f>
        <v/>
      </c>
      <c r="BU78">
        <f>$C78*BU77</f>
        <v/>
      </c>
      <c r="BV78">
        <f>$C78*BV77</f>
        <v/>
      </c>
      <c r="BW78">
        <f>$C78*BW77</f>
        <v/>
      </c>
      <c r="BX78">
        <f>$C78*BX77</f>
        <v/>
      </c>
      <c r="BY78">
        <f>$C78*BY77</f>
        <v/>
      </c>
      <c r="BZ78">
        <f>$C78*BZ77</f>
        <v/>
      </c>
      <c r="CA78">
        <f>$C78*CA77</f>
        <v/>
      </c>
      <c r="CB78">
        <f>$C78*CB77</f>
        <v/>
      </c>
      <c r="CC78">
        <f>$C78*CC77</f>
        <v/>
      </c>
      <c r="CD78">
        <f>$C78*CD77</f>
        <v/>
      </c>
      <c r="CE78">
        <f>$C78*CE77</f>
        <v/>
      </c>
      <c r="CF78">
        <f>$C78*CF77</f>
        <v/>
      </c>
      <c r="CG78">
        <f>$C78*CG77</f>
        <v/>
      </c>
      <c r="CH78">
        <f>$C78*CH77</f>
        <v/>
      </c>
      <c r="CI78">
        <f>$C78*CI77</f>
        <v/>
      </c>
      <c r="CJ78">
        <f>$C78*CJ77</f>
        <v/>
      </c>
      <c r="CK78">
        <f>$C78*CK77</f>
        <v/>
      </c>
      <c r="CL78">
        <f>$C78*CL77</f>
        <v/>
      </c>
      <c r="CM78">
        <f>$C78*CM77</f>
        <v/>
      </c>
      <c r="CN78">
        <f>$C78*CN77</f>
        <v/>
      </c>
      <c r="CO78">
        <f>$C78*CO77</f>
        <v/>
      </c>
      <c r="CP78">
        <f>$C78*CP77</f>
        <v/>
      </c>
      <c r="CQ78">
        <f>$C78*CQ77</f>
        <v/>
      </c>
      <c r="CR78">
        <f>$C78*CR77</f>
        <v/>
      </c>
      <c r="CS78">
        <f>$C78*CS77</f>
        <v/>
      </c>
      <c r="CT78">
        <f>$C78*CT77</f>
        <v/>
      </c>
      <c r="CU78">
        <f>$C78*CU77</f>
        <v/>
      </c>
      <c r="CV78">
        <f>$C78*CV77</f>
        <v/>
      </c>
      <c r="CW78">
        <f>$C78*CW77</f>
        <v/>
      </c>
      <c r="CX78">
        <f>$C78*CX77</f>
        <v/>
      </c>
      <c r="CY78">
        <f>$C78*CY77</f>
        <v/>
      </c>
      <c r="CZ78">
        <f>$C78*CZ77</f>
        <v/>
      </c>
      <c r="DA78">
        <f>$C78*DA77</f>
        <v/>
      </c>
      <c r="DB78">
        <f>$C78*DB77</f>
        <v/>
      </c>
      <c r="DC78">
        <f>$C78*DC77</f>
        <v/>
      </c>
      <c r="DD78">
        <f>$C78*DD77</f>
        <v/>
      </c>
    </row>
    <row r="79">
      <c r="B79" t="inlineStr">
        <is>
          <t>VSP-603</t>
        </is>
      </c>
      <c r="C79" t="inlineStr">
        <is>
          <t>No. of batches</t>
        </is>
      </c>
      <c r="D79">
        <f>IFERROR(INDEX(E79:DD79,$F$1),"")</f>
        <v/>
      </c>
      <c r="E79">
        <f>IFERROR(INDEX(PP_Grid[#Data],$DE79,2),0)</f>
        <v/>
      </c>
      <c r="F79">
        <f>IFERROR(INDEX(PP_Grid[#Data],$DE79,3),0)</f>
        <v/>
      </c>
      <c r="G79">
        <f>IFERROR(INDEX(PP_Grid[#Data],$DE79,4),0)</f>
        <v/>
      </c>
      <c r="H79">
        <f>IFERROR(INDEX(PP_Grid[#Data],$DE79,5),0)</f>
        <v/>
      </c>
      <c r="I79">
        <f>IFERROR(INDEX(PP_Grid[#Data],$DE79,6),0)</f>
        <v/>
      </c>
      <c r="J79">
        <f>IFERROR(INDEX(PP_Grid[#Data],$DE79,7),0)</f>
        <v/>
      </c>
      <c r="K79">
        <f>IFERROR(INDEX(PP_Grid[#Data],$DE79,8),0)</f>
        <v/>
      </c>
      <c r="L79">
        <f>IFERROR(INDEX(PP_Grid[#Data],$DE79,9),0)</f>
        <v/>
      </c>
      <c r="M79">
        <f>IFERROR(INDEX(PP_Grid[#Data],$DE79,10),0)</f>
        <v/>
      </c>
      <c r="N79">
        <f>IFERROR(INDEX(PP_Grid[#Data],$DE79,11),0)</f>
        <v/>
      </c>
      <c r="O79">
        <f>IFERROR(INDEX(PP_Grid[#Data],$DE79,12),0)</f>
        <v/>
      </c>
      <c r="P79">
        <f>IFERROR(INDEX(PP_Grid[#Data],$DE79,13),0)</f>
        <v/>
      </c>
      <c r="Q79">
        <f>IFERROR(INDEX(PP_Grid[#Data],$DE79,14),0)</f>
        <v/>
      </c>
      <c r="R79">
        <f>IFERROR(INDEX(PP_Grid[#Data],$DE79,15),0)</f>
        <v/>
      </c>
      <c r="S79">
        <f>IFERROR(INDEX(PP_Grid[#Data],$DE79,16),0)</f>
        <v/>
      </c>
      <c r="T79">
        <f>IFERROR(INDEX(PP_Grid[#Data],$DE79,17),0)</f>
        <v/>
      </c>
      <c r="U79">
        <f>IFERROR(INDEX(PP_Grid[#Data],$DE79,18),0)</f>
        <v/>
      </c>
      <c r="V79">
        <f>IFERROR(INDEX(PP_Grid[#Data],$DE79,19),0)</f>
        <v/>
      </c>
      <c r="W79">
        <f>IFERROR(INDEX(PP_Grid[#Data],$DE79,20),0)</f>
        <v/>
      </c>
      <c r="X79">
        <f>IFERROR(INDEX(PP_Grid[#Data],$DE79,21),0)</f>
        <v/>
      </c>
      <c r="Y79">
        <f>IFERROR(INDEX(PP_Grid[#Data],$DE79,22),0)</f>
        <v/>
      </c>
      <c r="Z79">
        <f>IFERROR(INDEX(PP_Grid[#Data],$DE79,23),0)</f>
        <v/>
      </c>
      <c r="AA79">
        <f>IFERROR(INDEX(PP_Grid[#Data],$DE79,24),0)</f>
        <v/>
      </c>
      <c r="AB79">
        <f>IFERROR(INDEX(PP_Grid[#Data],$DE79,25),0)</f>
        <v/>
      </c>
      <c r="AC79">
        <f>IFERROR(INDEX(PP_Grid[#Data],$DE79,26),0)</f>
        <v/>
      </c>
      <c r="AD79">
        <f>IFERROR(INDEX(PP_Grid[#Data],$DE79,27),0)</f>
        <v/>
      </c>
      <c r="AE79">
        <f>IFERROR(INDEX(PP_Grid[#Data],$DE79,28),0)</f>
        <v/>
      </c>
      <c r="AF79">
        <f>IFERROR(INDEX(PP_Grid[#Data],$DE79,29),0)</f>
        <v/>
      </c>
      <c r="AG79">
        <f>IFERROR(INDEX(PP_Grid[#Data],$DE79,30),0)</f>
        <v/>
      </c>
      <c r="AH79">
        <f>IFERROR(INDEX(PP_Grid[#Data],$DE79,31),0)</f>
        <v/>
      </c>
      <c r="AI79">
        <f>IFERROR(INDEX(PP_Grid[#Data],$DE79,32),0)</f>
        <v/>
      </c>
      <c r="AJ79">
        <f>IFERROR(INDEX(PP_Grid[#Data],$DE79,33),0)</f>
        <v/>
      </c>
      <c r="AK79">
        <f>IFERROR(INDEX(PP_Grid[#Data],$DE79,34),0)</f>
        <v/>
      </c>
      <c r="AL79">
        <f>IFERROR(INDEX(PP_Grid[#Data],$DE79,35),0)</f>
        <v/>
      </c>
      <c r="AM79">
        <f>IFERROR(INDEX(PP_Grid[#Data],$DE79,36),0)</f>
        <v/>
      </c>
      <c r="AN79">
        <f>IFERROR(INDEX(PP_Grid[#Data],$DE79,37),0)</f>
        <v/>
      </c>
      <c r="AO79">
        <f>IFERROR(INDEX(PP_Grid[#Data],$DE79,38),0)</f>
        <v/>
      </c>
      <c r="AP79">
        <f>IFERROR(INDEX(PP_Grid[#Data],$DE79,39),0)</f>
        <v/>
      </c>
      <c r="AQ79">
        <f>IFERROR(INDEX(PP_Grid[#Data],$DE79,40),0)</f>
        <v/>
      </c>
      <c r="AR79">
        <f>IFERROR(INDEX(PP_Grid[#Data],$DE79,41),0)</f>
        <v/>
      </c>
      <c r="AS79">
        <f>IFERROR(INDEX(PP_Grid[#Data],$DE79,42),0)</f>
        <v/>
      </c>
      <c r="AT79">
        <f>IFERROR(INDEX(PP_Grid[#Data],$DE79,43),0)</f>
        <v/>
      </c>
      <c r="AU79">
        <f>IFERROR(INDEX(PP_Grid[#Data],$DE79,44),0)</f>
        <v/>
      </c>
      <c r="AV79">
        <f>IFERROR(INDEX(PP_Grid[#Data],$DE79,45),0)</f>
        <v/>
      </c>
      <c r="AW79">
        <f>IFERROR(INDEX(PP_Grid[#Data],$DE79,46),0)</f>
        <v/>
      </c>
      <c r="AX79">
        <f>IFERROR(INDEX(PP_Grid[#Data],$DE79,47),0)</f>
        <v/>
      </c>
      <c r="AY79">
        <f>IFERROR(INDEX(PP_Grid[#Data],$DE79,48),0)</f>
        <v/>
      </c>
      <c r="AZ79">
        <f>IFERROR(INDEX(PP_Grid[#Data],$DE79,49),0)</f>
        <v/>
      </c>
      <c r="BA79">
        <f>IFERROR(INDEX(PP_Grid[#Data],$DE79,50),0)</f>
        <v/>
      </c>
      <c r="BB79">
        <f>IFERROR(INDEX(PP_Grid[#Data],$DE79,51),0)</f>
        <v/>
      </c>
      <c r="BC79">
        <f>IFERROR(INDEX(PP_Grid[#Data],$DE79,52),0)</f>
        <v/>
      </c>
      <c r="BD79">
        <f>IFERROR(INDEX(PP_Grid[#Data],$DE79,53),0)</f>
        <v/>
      </c>
      <c r="BE79">
        <f>IFERROR(INDEX(PP_Grid[#Data],$DE79,54),0)</f>
        <v/>
      </c>
      <c r="BF79">
        <f>IFERROR(INDEX(PP_Grid[#Data],$DE79,55),0)</f>
        <v/>
      </c>
      <c r="BG79">
        <f>IFERROR(INDEX(PP_Grid[#Data],$DE79,56),0)</f>
        <v/>
      </c>
      <c r="BH79">
        <f>IFERROR(INDEX(PP_Grid[#Data],$DE79,57),0)</f>
        <v/>
      </c>
      <c r="BI79">
        <f>IFERROR(INDEX(PP_Grid[#Data],$DE79,58),0)</f>
        <v/>
      </c>
      <c r="BJ79">
        <f>IFERROR(INDEX(PP_Grid[#Data],$DE79,59),0)</f>
        <v/>
      </c>
      <c r="BK79">
        <f>IFERROR(INDEX(PP_Grid[#Data],$DE79,60),0)</f>
        <v/>
      </c>
      <c r="BL79">
        <f>IFERROR(INDEX(PP_Grid[#Data],$DE79,61),0)</f>
        <v/>
      </c>
      <c r="BM79">
        <f>IFERROR(INDEX(PP_Grid[#Data],$DE79,62),0)</f>
        <v/>
      </c>
      <c r="BN79">
        <f>IFERROR(INDEX(PP_Grid[#Data],$DE79,63),0)</f>
        <v/>
      </c>
      <c r="BO79">
        <f>IFERROR(INDEX(PP_Grid[#Data],$DE79,64),0)</f>
        <v/>
      </c>
      <c r="BP79">
        <f>IFERROR(INDEX(PP_Grid[#Data],$DE79,65),0)</f>
        <v/>
      </c>
      <c r="BQ79">
        <f>IFERROR(INDEX(PP_Grid[#Data],$DE79,66),0)</f>
        <v/>
      </c>
      <c r="BR79">
        <f>IFERROR(INDEX(PP_Grid[#Data],$DE79,67),0)</f>
        <v/>
      </c>
      <c r="BS79">
        <f>IFERROR(INDEX(PP_Grid[#Data],$DE79,68),0)</f>
        <v/>
      </c>
      <c r="BT79">
        <f>IFERROR(INDEX(PP_Grid[#Data],$DE79,69),0)</f>
        <v/>
      </c>
      <c r="BU79">
        <f>IFERROR(INDEX(PP_Grid[#Data],$DE79,70),0)</f>
        <v/>
      </c>
      <c r="BV79">
        <f>IFERROR(INDEX(PP_Grid[#Data],$DE79,71),0)</f>
        <v/>
      </c>
      <c r="BW79">
        <f>IFERROR(INDEX(PP_Grid[#Data],$DE79,72),0)</f>
        <v/>
      </c>
      <c r="BX79">
        <f>IFERROR(INDEX(PP_Grid[#Data],$DE79,73),0)</f>
        <v/>
      </c>
      <c r="BY79">
        <f>IFERROR(INDEX(PP_Grid[#Data],$DE79,74),0)</f>
        <v/>
      </c>
      <c r="BZ79">
        <f>IFERROR(INDEX(PP_Grid[#Data],$DE79,75),0)</f>
        <v/>
      </c>
      <c r="CA79">
        <f>IFERROR(INDEX(PP_Grid[#Data],$DE79,76),0)</f>
        <v/>
      </c>
      <c r="CB79">
        <f>IFERROR(INDEX(PP_Grid[#Data],$DE79,77),0)</f>
        <v/>
      </c>
      <c r="CC79">
        <f>IFERROR(INDEX(PP_Grid[#Data],$DE79,78),0)</f>
        <v/>
      </c>
      <c r="CD79">
        <f>IFERROR(INDEX(PP_Grid[#Data],$DE79,79),0)</f>
        <v/>
      </c>
      <c r="CE79">
        <f>IFERROR(INDEX(PP_Grid[#Data],$DE79,80),0)</f>
        <v/>
      </c>
      <c r="CF79">
        <f>IFERROR(INDEX(PP_Grid[#Data],$DE79,81),0)</f>
        <v/>
      </c>
      <c r="CG79">
        <f>IFERROR(INDEX(PP_Grid[#Data],$DE79,82),0)</f>
        <v/>
      </c>
      <c r="CH79">
        <f>IFERROR(INDEX(PP_Grid[#Data],$DE79,83),0)</f>
        <v/>
      </c>
      <c r="CI79">
        <f>IFERROR(INDEX(PP_Grid[#Data],$DE79,84),0)</f>
        <v/>
      </c>
      <c r="CJ79">
        <f>IFERROR(INDEX(PP_Grid[#Data],$DE79,85),0)</f>
        <v/>
      </c>
      <c r="CK79">
        <f>IFERROR(INDEX(PP_Grid[#Data],$DE79,86),0)</f>
        <v/>
      </c>
      <c r="CL79">
        <f>IFERROR(INDEX(PP_Grid[#Data],$DE79,87),0)</f>
        <v/>
      </c>
      <c r="CM79">
        <f>IFERROR(INDEX(PP_Grid[#Data],$DE79,88),0)</f>
        <v/>
      </c>
      <c r="CN79">
        <f>IFERROR(INDEX(PP_Grid[#Data],$DE79,89),0)</f>
        <v/>
      </c>
      <c r="CO79">
        <f>IFERROR(INDEX(PP_Grid[#Data],$DE79,90),0)</f>
        <v/>
      </c>
      <c r="CP79">
        <f>IFERROR(INDEX(PP_Grid[#Data],$DE79,91),0)</f>
        <v/>
      </c>
      <c r="CQ79">
        <f>IFERROR(INDEX(PP_Grid[#Data],$DE79,92),0)</f>
        <v/>
      </c>
      <c r="CR79">
        <f>IFERROR(INDEX(PP_Grid[#Data],$DE79,93),0)</f>
        <v/>
      </c>
      <c r="CS79">
        <f>IFERROR(INDEX(PP_Grid[#Data],$DE79,94),0)</f>
        <v/>
      </c>
      <c r="CT79">
        <f>IFERROR(INDEX(PP_Grid[#Data],$DE79,95),0)</f>
        <v/>
      </c>
      <c r="CU79">
        <f>IFERROR(INDEX(PP_Grid[#Data],$DE79,96),0)</f>
        <v/>
      </c>
      <c r="CV79">
        <f>IFERROR(INDEX(PP_Grid[#Data],$DE79,97),0)</f>
        <v/>
      </c>
      <c r="CW79">
        <f>IFERROR(INDEX(PP_Grid[#Data],$DE79,98),0)</f>
        <v/>
      </c>
      <c r="CX79">
        <f>IFERROR(INDEX(PP_Grid[#Data],$DE79,99),0)</f>
        <v/>
      </c>
      <c r="CY79">
        <f>IFERROR(INDEX(PP_Grid[#Data],$DE79,100),0)</f>
        <v/>
      </c>
      <c r="CZ79">
        <f>IFERROR(INDEX(PP_Grid[#Data],$DE79,101),0)</f>
        <v/>
      </c>
      <c r="DA79">
        <f>IFERROR(INDEX(PP_Grid[#Data],$DE79,102),0)</f>
        <v/>
      </c>
      <c r="DB79">
        <f>IFERROR(INDEX(PP_Grid[#Data],$DE79,103),0)</f>
        <v/>
      </c>
      <c r="DC79">
        <f>IFERROR(INDEX(PP_Grid[#Data],$DE79,104),0)</f>
        <v/>
      </c>
      <c r="DD79">
        <f>IFERROR(INDEX(PP_Grid[#Data],$DE79,105),0)</f>
        <v/>
      </c>
      <c r="DE79" s="7">
        <f>IFERROR(MATCH($B79,PP_Grid[Intermediate],0),99999)</f>
        <v/>
      </c>
    </row>
    <row r="80">
      <c r="B80" t="inlineStr">
        <is>
          <t>使用量(kg)</t>
        </is>
      </c>
      <c r="C80">
        <f>SUMIFS(M_BOM[RM_Qty_Per_Batch],M_BOM[Intermediate],$B79,M_BOM[RM_Code],$A28)</f>
        <v/>
      </c>
      <c r="D80">
        <f>IFERROR(INDEX(E80:DD80,$F$1),"")</f>
        <v/>
      </c>
      <c r="E80">
        <f>$C80*E79</f>
        <v/>
      </c>
      <c r="F80">
        <f>$C80*F79</f>
        <v/>
      </c>
      <c r="G80">
        <f>$C80*G79</f>
        <v/>
      </c>
      <c r="H80">
        <f>$C80*H79</f>
        <v/>
      </c>
      <c r="I80">
        <f>$C80*I79</f>
        <v/>
      </c>
      <c r="J80">
        <f>$C80*J79</f>
        <v/>
      </c>
      <c r="K80">
        <f>$C80*K79</f>
        <v/>
      </c>
      <c r="L80">
        <f>$C80*L79</f>
        <v/>
      </c>
      <c r="M80">
        <f>$C80*M79</f>
        <v/>
      </c>
      <c r="N80">
        <f>$C80*N79</f>
        <v/>
      </c>
      <c r="O80">
        <f>$C80*O79</f>
        <v/>
      </c>
      <c r="P80">
        <f>$C80*P79</f>
        <v/>
      </c>
      <c r="Q80">
        <f>$C80*Q79</f>
        <v/>
      </c>
      <c r="R80">
        <f>$C80*R79</f>
        <v/>
      </c>
      <c r="S80">
        <f>$C80*S79</f>
        <v/>
      </c>
      <c r="T80">
        <f>$C80*T79</f>
        <v/>
      </c>
      <c r="U80">
        <f>$C80*U79</f>
        <v/>
      </c>
      <c r="V80">
        <f>$C80*V79</f>
        <v/>
      </c>
      <c r="W80">
        <f>$C80*W79</f>
        <v/>
      </c>
      <c r="X80">
        <f>$C80*X79</f>
        <v/>
      </c>
      <c r="Y80">
        <f>$C80*Y79</f>
        <v/>
      </c>
      <c r="Z80">
        <f>$C80*Z79</f>
        <v/>
      </c>
      <c r="AA80">
        <f>$C80*AA79</f>
        <v/>
      </c>
      <c r="AB80">
        <f>$C80*AB79</f>
        <v/>
      </c>
      <c r="AC80">
        <f>$C80*AC79</f>
        <v/>
      </c>
      <c r="AD80">
        <f>$C80*AD79</f>
        <v/>
      </c>
      <c r="AE80">
        <f>$C80*AE79</f>
        <v/>
      </c>
      <c r="AF80">
        <f>$C80*AF79</f>
        <v/>
      </c>
      <c r="AG80">
        <f>$C80*AG79</f>
        <v/>
      </c>
      <c r="AH80">
        <f>$C80*AH79</f>
        <v/>
      </c>
      <c r="AI80">
        <f>$C80*AI79</f>
        <v/>
      </c>
      <c r="AJ80">
        <f>$C80*AJ79</f>
        <v/>
      </c>
      <c r="AK80">
        <f>$C80*AK79</f>
        <v/>
      </c>
      <c r="AL80">
        <f>$C80*AL79</f>
        <v/>
      </c>
      <c r="AM80">
        <f>$C80*AM79</f>
        <v/>
      </c>
      <c r="AN80">
        <f>$C80*AN79</f>
        <v/>
      </c>
      <c r="AO80">
        <f>$C80*AO79</f>
        <v/>
      </c>
      <c r="AP80">
        <f>$C80*AP79</f>
        <v/>
      </c>
      <c r="AQ80">
        <f>$C80*AQ79</f>
        <v/>
      </c>
      <c r="AR80">
        <f>$C80*AR79</f>
        <v/>
      </c>
      <c r="AS80">
        <f>$C80*AS79</f>
        <v/>
      </c>
      <c r="AT80">
        <f>$C80*AT79</f>
        <v/>
      </c>
      <c r="AU80">
        <f>$C80*AU79</f>
        <v/>
      </c>
      <c r="AV80">
        <f>$C80*AV79</f>
        <v/>
      </c>
      <c r="AW80">
        <f>$C80*AW79</f>
        <v/>
      </c>
      <c r="AX80">
        <f>$C80*AX79</f>
        <v/>
      </c>
      <c r="AY80">
        <f>$C80*AY79</f>
        <v/>
      </c>
      <c r="AZ80">
        <f>$C80*AZ79</f>
        <v/>
      </c>
      <c r="BA80">
        <f>$C80*BA79</f>
        <v/>
      </c>
      <c r="BB80">
        <f>$C80*BB79</f>
        <v/>
      </c>
      <c r="BC80">
        <f>$C80*BC79</f>
        <v/>
      </c>
      <c r="BD80">
        <f>$C80*BD79</f>
        <v/>
      </c>
      <c r="BE80">
        <f>$C80*BE79</f>
        <v/>
      </c>
      <c r="BF80">
        <f>$C80*BF79</f>
        <v/>
      </c>
      <c r="BG80">
        <f>$C80*BG79</f>
        <v/>
      </c>
      <c r="BH80">
        <f>$C80*BH79</f>
        <v/>
      </c>
      <c r="BI80">
        <f>$C80*BI79</f>
        <v/>
      </c>
      <c r="BJ80">
        <f>$C80*BJ79</f>
        <v/>
      </c>
      <c r="BK80">
        <f>$C80*BK79</f>
        <v/>
      </c>
      <c r="BL80">
        <f>$C80*BL79</f>
        <v/>
      </c>
      <c r="BM80">
        <f>$C80*BM79</f>
        <v/>
      </c>
      <c r="BN80">
        <f>$C80*BN79</f>
        <v/>
      </c>
      <c r="BO80">
        <f>$C80*BO79</f>
        <v/>
      </c>
      <c r="BP80">
        <f>$C80*BP79</f>
        <v/>
      </c>
      <c r="BQ80">
        <f>$C80*BQ79</f>
        <v/>
      </c>
      <c r="BR80">
        <f>$C80*BR79</f>
        <v/>
      </c>
      <c r="BS80">
        <f>$C80*BS79</f>
        <v/>
      </c>
      <c r="BT80">
        <f>$C80*BT79</f>
        <v/>
      </c>
      <c r="BU80">
        <f>$C80*BU79</f>
        <v/>
      </c>
      <c r="BV80">
        <f>$C80*BV79</f>
        <v/>
      </c>
      <c r="BW80">
        <f>$C80*BW79</f>
        <v/>
      </c>
      <c r="BX80">
        <f>$C80*BX79</f>
        <v/>
      </c>
      <c r="BY80">
        <f>$C80*BY79</f>
        <v/>
      </c>
      <c r="BZ80">
        <f>$C80*BZ79</f>
        <v/>
      </c>
      <c r="CA80">
        <f>$C80*CA79</f>
        <v/>
      </c>
      <c r="CB80">
        <f>$C80*CB79</f>
        <v/>
      </c>
      <c r="CC80">
        <f>$C80*CC79</f>
        <v/>
      </c>
      <c r="CD80">
        <f>$C80*CD79</f>
        <v/>
      </c>
      <c r="CE80">
        <f>$C80*CE79</f>
        <v/>
      </c>
      <c r="CF80">
        <f>$C80*CF79</f>
        <v/>
      </c>
      <c r="CG80">
        <f>$C80*CG79</f>
        <v/>
      </c>
      <c r="CH80">
        <f>$C80*CH79</f>
        <v/>
      </c>
      <c r="CI80">
        <f>$C80*CI79</f>
        <v/>
      </c>
      <c r="CJ80">
        <f>$C80*CJ79</f>
        <v/>
      </c>
      <c r="CK80">
        <f>$C80*CK79</f>
        <v/>
      </c>
      <c r="CL80">
        <f>$C80*CL79</f>
        <v/>
      </c>
      <c r="CM80">
        <f>$C80*CM79</f>
        <v/>
      </c>
      <c r="CN80">
        <f>$C80*CN79</f>
        <v/>
      </c>
      <c r="CO80">
        <f>$C80*CO79</f>
        <v/>
      </c>
      <c r="CP80">
        <f>$C80*CP79</f>
        <v/>
      </c>
      <c r="CQ80">
        <f>$C80*CQ79</f>
        <v/>
      </c>
      <c r="CR80">
        <f>$C80*CR79</f>
        <v/>
      </c>
      <c r="CS80">
        <f>$C80*CS79</f>
        <v/>
      </c>
      <c r="CT80">
        <f>$C80*CT79</f>
        <v/>
      </c>
      <c r="CU80">
        <f>$C80*CU79</f>
        <v/>
      </c>
      <c r="CV80">
        <f>$C80*CV79</f>
        <v/>
      </c>
      <c r="CW80">
        <f>$C80*CW79</f>
        <v/>
      </c>
      <c r="CX80">
        <f>$C80*CX79</f>
        <v/>
      </c>
      <c r="CY80">
        <f>$C80*CY79</f>
        <v/>
      </c>
      <c r="CZ80">
        <f>$C80*CZ79</f>
        <v/>
      </c>
      <c r="DA80">
        <f>$C80*DA79</f>
        <v/>
      </c>
      <c r="DB80">
        <f>$C80*DB79</f>
        <v/>
      </c>
      <c r="DC80">
        <f>$C80*DC79</f>
        <v/>
      </c>
      <c r="DD80">
        <f>$C80*DD79</f>
        <v/>
      </c>
    </row>
    <row r="81">
      <c r="B81" t="inlineStr">
        <is>
          <t>VSP-604</t>
        </is>
      </c>
      <c r="C81" t="inlineStr">
        <is>
          <t>No. of batches</t>
        </is>
      </c>
      <c r="D81">
        <f>IFERROR(INDEX(E81:DD81,$F$1),"")</f>
        <v/>
      </c>
      <c r="E81">
        <f>IFERROR(INDEX(PP_Grid[#Data],$DE81,2),0)</f>
        <v/>
      </c>
      <c r="F81">
        <f>IFERROR(INDEX(PP_Grid[#Data],$DE81,3),0)</f>
        <v/>
      </c>
      <c r="G81">
        <f>IFERROR(INDEX(PP_Grid[#Data],$DE81,4),0)</f>
        <v/>
      </c>
      <c r="H81">
        <f>IFERROR(INDEX(PP_Grid[#Data],$DE81,5),0)</f>
        <v/>
      </c>
      <c r="I81">
        <f>IFERROR(INDEX(PP_Grid[#Data],$DE81,6),0)</f>
        <v/>
      </c>
      <c r="J81">
        <f>IFERROR(INDEX(PP_Grid[#Data],$DE81,7),0)</f>
        <v/>
      </c>
      <c r="K81">
        <f>IFERROR(INDEX(PP_Grid[#Data],$DE81,8),0)</f>
        <v/>
      </c>
      <c r="L81">
        <f>IFERROR(INDEX(PP_Grid[#Data],$DE81,9),0)</f>
        <v/>
      </c>
      <c r="M81">
        <f>IFERROR(INDEX(PP_Grid[#Data],$DE81,10),0)</f>
        <v/>
      </c>
      <c r="N81">
        <f>IFERROR(INDEX(PP_Grid[#Data],$DE81,11),0)</f>
        <v/>
      </c>
      <c r="O81">
        <f>IFERROR(INDEX(PP_Grid[#Data],$DE81,12),0)</f>
        <v/>
      </c>
      <c r="P81">
        <f>IFERROR(INDEX(PP_Grid[#Data],$DE81,13),0)</f>
        <v/>
      </c>
      <c r="Q81">
        <f>IFERROR(INDEX(PP_Grid[#Data],$DE81,14),0)</f>
        <v/>
      </c>
      <c r="R81">
        <f>IFERROR(INDEX(PP_Grid[#Data],$DE81,15),0)</f>
        <v/>
      </c>
      <c r="S81">
        <f>IFERROR(INDEX(PP_Grid[#Data],$DE81,16),0)</f>
        <v/>
      </c>
      <c r="T81">
        <f>IFERROR(INDEX(PP_Grid[#Data],$DE81,17),0)</f>
        <v/>
      </c>
      <c r="U81">
        <f>IFERROR(INDEX(PP_Grid[#Data],$DE81,18),0)</f>
        <v/>
      </c>
      <c r="V81">
        <f>IFERROR(INDEX(PP_Grid[#Data],$DE81,19),0)</f>
        <v/>
      </c>
      <c r="W81">
        <f>IFERROR(INDEX(PP_Grid[#Data],$DE81,20),0)</f>
        <v/>
      </c>
      <c r="X81">
        <f>IFERROR(INDEX(PP_Grid[#Data],$DE81,21),0)</f>
        <v/>
      </c>
      <c r="Y81">
        <f>IFERROR(INDEX(PP_Grid[#Data],$DE81,22),0)</f>
        <v/>
      </c>
      <c r="Z81">
        <f>IFERROR(INDEX(PP_Grid[#Data],$DE81,23),0)</f>
        <v/>
      </c>
      <c r="AA81">
        <f>IFERROR(INDEX(PP_Grid[#Data],$DE81,24),0)</f>
        <v/>
      </c>
      <c r="AB81">
        <f>IFERROR(INDEX(PP_Grid[#Data],$DE81,25),0)</f>
        <v/>
      </c>
      <c r="AC81">
        <f>IFERROR(INDEX(PP_Grid[#Data],$DE81,26),0)</f>
        <v/>
      </c>
      <c r="AD81">
        <f>IFERROR(INDEX(PP_Grid[#Data],$DE81,27),0)</f>
        <v/>
      </c>
      <c r="AE81">
        <f>IFERROR(INDEX(PP_Grid[#Data],$DE81,28),0)</f>
        <v/>
      </c>
      <c r="AF81">
        <f>IFERROR(INDEX(PP_Grid[#Data],$DE81,29),0)</f>
        <v/>
      </c>
      <c r="AG81">
        <f>IFERROR(INDEX(PP_Grid[#Data],$DE81,30),0)</f>
        <v/>
      </c>
      <c r="AH81">
        <f>IFERROR(INDEX(PP_Grid[#Data],$DE81,31),0)</f>
        <v/>
      </c>
      <c r="AI81">
        <f>IFERROR(INDEX(PP_Grid[#Data],$DE81,32),0)</f>
        <v/>
      </c>
      <c r="AJ81">
        <f>IFERROR(INDEX(PP_Grid[#Data],$DE81,33),0)</f>
        <v/>
      </c>
      <c r="AK81">
        <f>IFERROR(INDEX(PP_Grid[#Data],$DE81,34),0)</f>
        <v/>
      </c>
      <c r="AL81">
        <f>IFERROR(INDEX(PP_Grid[#Data],$DE81,35),0)</f>
        <v/>
      </c>
      <c r="AM81">
        <f>IFERROR(INDEX(PP_Grid[#Data],$DE81,36),0)</f>
        <v/>
      </c>
      <c r="AN81">
        <f>IFERROR(INDEX(PP_Grid[#Data],$DE81,37),0)</f>
        <v/>
      </c>
      <c r="AO81">
        <f>IFERROR(INDEX(PP_Grid[#Data],$DE81,38),0)</f>
        <v/>
      </c>
      <c r="AP81">
        <f>IFERROR(INDEX(PP_Grid[#Data],$DE81,39),0)</f>
        <v/>
      </c>
      <c r="AQ81">
        <f>IFERROR(INDEX(PP_Grid[#Data],$DE81,40),0)</f>
        <v/>
      </c>
      <c r="AR81">
        <f>IFERROR(INDEX(PP_Grid[#Data],$DE81,41),0)</f>
        <v/>
      </c>
      <c r="AS81">
        <f>IFERROR(INDEX(PP_Grid[#Data],$DE81,42),0)</f>
        <v/>
      </c>
      <c r="AT81">
        <f>IFERROR(INDEX(PP_Grid[#Data],$DE81,43),0)</f>
        <v/>
      </c>
      <c r="AU81">
        <f>IFERROR(INDEX(PP_Grid[#Data],$DE81,44),0)</f>
        <v/>
      </c>
      <c r="AV81">
        <f>IFERROR(INDEX(PP_Grid[#Data],$DE81,45),0)</f>
        <v/>
      </c>
      <c r="AW81">
        <f>IFERROR(INDEX(PP_Grid[#Data],$DE81,46),0)</f>
        <v/>
      </c>
      <c r="AX81">
        <f>IFERROR(INDEX(PP_Grid[#Data],$DE81,47),0)</f>
        <v/>
      </c>
      <c r="AY81">
        <f>IFERROR(INDEX(PP_Grid[#Data],$DE81,48),0)</f>
        <v/>
      </c>
      <c r="AZ81">
        <f>IFERROR(INDEX(PP_Grid[#Data],$DE81,49),0)</f>
        <v/>
      </c>
      <c r="BA81">
        <f>IFERROR(INDEX(PP_Grid[#Data],$DE81,50),0)</f>
        <v/>
      </c>
      <c r="BB81">
        <f>IFERROR(INDEX(PP_Grid[#Data],$DE81,51),0)</f>
        <v/>
      </c>
      <c r="BC81">
        <f>IFERROR(INDEX(PP_Grid[#Data],$DE81,52),0)</f>
        <v/>
      </c>
      <c r="BD81">
        <f>IFERROR(INDEX(PP_Grid[#Data],$DE81,53),0)</f>
        <v/>
      </c>
      <c r="BE81">
        <f>IFERROR(INDEX(PP_Grid[#Data],$DE81,54),0)</f>
        <v/>
      </c>
      <c r="BF81">
        <f>IFERROR(INDEX(PP_Grid[#Data],$DE81,55),0)</f>
        <v/>
      </c>
      <c r="BG81">
        <f>IFERROR(INDEX(PP_Grid[#Data],$DE81,56),0)</f>
        <v/>
      </c>
      <c r="BH81">
        <f>IFERROR(INDEX(PP_Grid[#Data],$DE81,57),0)</f>
        <v/>
      </c>
      <c r="BI81">
        <f>IFERROR(INDEX(PP_Grid[#Data],$DE81,58),0)</f>
        <v/>
      </c>
      <c r="BJ81">
        <f>IFERROR(INDEX(PP_Grid[#Data],$DE81,59),0)</f>
        <v/>
      </c>
      <c r="BK81">
        <f>IFERROR(INDEX(PP_Grid[#Data],$DE81,60),0)</f>
        <v/>
      </c>
      <c r="BL81">
        <f>IFERROR(INDEX(PP_Grid[#Data],$DE81,61),0)</f>
        <v/>
      </c>
      <c r="BM81">
        <f>IFERROR(INDEX(PP_Grid[#Data],$DE81,62),0)</f>
        <v/>
      </c>
      <c r="BN81">
        <f>IFERROR(INDEX(PP_Grid[#Data],$DE81,63),0)</f>
        <v/>
      </c>
      <c r="BO81">
        <f>IFERROR(INDEX(PP_Grid[#Data],$DE81,64),0)</f>
        <v/>
      </c>
      <c r="BP81">
        <f>IFERROR(INDEX(PP_Grid[#Data],$DE81,65),0)</f>
        <v/>
      </c>
      <c r="BQ81">
        <f>IFERROR(INDEX(PP_Grid[#Data],$DE81,66),0)</f>
        <v/>
      </c>
      <c r="BR81">
        <f>IFERROR(INDEX(PP_Grid[#Data],$DE81,67),0)</f>
        <v/>
      </c>
      <c r="BS81">
        <f>IFERROR(INDEX(PP_Grid[#Data],$DE81,68),0)</f>
        <v/>
      </c>
      <c r="BT81">
        <f>IFERROR(INDEX(PP_Grid[#Data],$DE81,69),0)</f>
        <v/>
      </c>
      <c r="BU81">
        <f>IFERROR(INDEX(PP_Grid[#Data],$DE81,70),0)</f>
        <v/>
      </c>
      <c r="BV81">
        <f>IFERROR(INDEX(PP_Grid[#Data],$DE81,71),0)</f>
        <v/>
      </c>
      <c r="BW81">
        <f>IFERROR(INDEX(PP_Grid[#Data],$DE81,72),0)</f>
        <v/>
      </c>
      <c r="BX81">
        <f>IFERROR(INDEX(PP_Grid[#Data],$DE81,73),0)</f>
        <v/>
      </c>
      <c r="BY81">
        <f>IFERROR(INDEX(PP_Grid[#Data],$DE81,74),0)</f>
        <v/>
      </c>
      <c r="BZ81">
        <f>IFERROR(INDEX(PP_Grid[#Data],$DE81,75),0)</f>
        <v/>
      </c>
      <c r="CA81">
        <f>IFERROR(INDEX(PP_Grid[#Data],$DE81,76),0)</f>
        <v/>
      </c>
      <c r="CB81">
        <f>IFERROR(INDEX(PP_Grid[#Data],$DE81,77),0)</f>
        <v/>
      </c>
      <c r="CC81">
        <f>IFERROR(INDEX(PP_Grid[#Data],$DE81,78),0)</f>
        <v/>
      </c>
      <c r="CD81">
        <f>IFERROR(INDEX(PP_Grid[#Data],$DE81,79),0)</f>
        <v/>
      </c>
      <c r="CE81">
        <f>IFERROR(INDEX(PP_Grid[#Data],$DE81,80),0)</f>
        <v/>
      </c>
      <c r="CF81">
        <f>IFERROR(INDEX(PP_Grid[#Data],$DE81,81),0)</f>
        <v/>
      </c>
      <c r="CG81">
        <f>IFERROR(INDEX(PP_Grid[#Data],$DE81,82),0)</f>
        <v/>
      </c>
      <c r="CH81">
        <f>IFERROR(INDEX(PP_Grid[#Data],$DE81,83),0)</f>
        <v/>
      </c>
      <c r="CI81">
        <f>IFERROR(INDEX(PP_Grid[#Data],$DE81,84),0)</f>
        <v/>
      </c>
      <c r="CJ81">
        <f>IFERROR(INDEX(PP_Grid[#Data],$DE81,85),0)</f>
        <v/>
      </c>
      <c r="CK81">
        <f>IFERROR(INDEX(PP_Grid[#Data],$DE81,86),0)</f>
        <v/>
      </c>
      <c r="CL81">
        <f>IFERROR(INDEX(PP_Grid[#Data],$DE81,87),0)</f>
        <v/>
      </c>
      <c r="CM81">
        <f>IFERROR(INDEX(PP_Grid[#Data],$DE81,88),0)</f>
        <v/>
      </c>
      <c r="CN81">
        <f>IFERROR(INDEX(PP_Grid[#Data],$DE81,89),0)</f>
        <v/>
      </c>
      <c r="CO81">
        <f>IFERROR(INDEX(PP_Grid[#Data],$DE81,90),0)</f>
        <v/>
      </c>
      <c r="CP81">
        <f>IFERROR(INDEX(PP_Grid[#Data],$DE81,91),0)</f>
        <v/>
      </c>
      <c r="CQ81">
        <f>IFERROR(INDEX(PP_Grid[#Data],$DE81,92),0)</f>
        <v/>
      </c>
      <c r="CR81">
        <f>IFERROR(INDEX(PP_Grid[#Data],$DE81,93),0)</f>
        <v/>
      </c>
      <c r="CS81">
        <f>IFERROR(INDEX(PP_Grid[#Data],$DE81,94),0)</f>
        <v/>
      </c>
      <c r="CT81">
        <f>IFERROR(INDEX(PP_Grid[#Data],$DE81,95),0)</f>
        <v/>
      </c>
      <c r="CU81">
        <f>IFERROR(INDEX(PP_Grid[#Data],$DE81,96),0)</f>
        <v/>
      </c>
      <c r="CV81">
        <f>IFERROR(INDEX(PP_Grid[#Data],$DE81,97),0)</f>
        <v/>
      </c>
      <c r="CW81">
        <f>IFERROR(INDEX(PP_Grid[#Data],$DE81,98),0)</f>
        <v/>
      </c>
      <c r="CX81">
        <f>IFERROR(INDEX(PP_Grid[#Data],$DE81,99),0)</f>
        <v/>
      </c>
      <c r="CY81">
        <f>IFERROR(INDEX(PP_Grid[#Data],$DE81,100),0)</f>
        <v/>
      </c>
      <c r="CZ81">
        <f>IFERROR(INDEX(PP_Grid[#Data],$DE81,101),0)</f>
        <v/>
      </c>
      <c r="DA81">
        <f>IFERROR(INDEX(PP_Grid[#Data],$DE81,102),0)</f>
        <v/>
      </c>
      <c r="DB81">
        <f>IFERROR(INDEX(PP_Grid[#Data],$DE81,103),0)</f>
        <v/>
      </c>
      <c r="DC81">
        <f>IFERROR(INDEX(PP_Grid[#Data],$DE81,104),0)</f>
        <v/>
      </c>
      <c r="DD81">
        <f>IFERROR(INDEX(PP_Grid[#Data],$DE81,105),0)</f>
        <v/>
      </c>
      <c r="DE81" s="7">
        <f>IFERROR(MATCH($B81,PP_Grid[Intermediate],0),99999)</f>
        <v/>
      </c>
    </row>
    <row r="82">
      <c r="B82" t="inlineStr">
        <is>
          <t>使用量(kg)</t>
        </is>
      </c>
      <c r="C82">
        <f>SUMIFS(M_BOM[RM_Qty_Per_Batch],M_BOM[Intermediate],$B81,M_BOM[RM_Code],$A28)</f>
        <v/>
      </c>
      <c r="D82">
        <f>IFERROR(INDEX(E82:DD82,$F$1),"")</f>
        <v/>
      </c>
      <c r="E82">
        <f>$C82*E81</f>
        <v/>
      </c>
      <c r="F82">
        <f>$C82*F81</f>
        <v/>
      </c>
      <c r="G82">
        <f>$C82*G81</f>
        <v/>
      </c>
      <c r="H82">
        <f>$C82*H81</f>
        <v/>
      </c>
      <c r="I82">
        <f>$C82*I81</f>
        <v/>
      </c>
      <c r="J82">
        <f>$C82*J81</f>
        <v/>
      </c>
      <c r="K82">
        <f>$C82*K81</f>
        <v/>
      </c>
      <c r="L82">
        <f>$C82*L81</f>
        <v/>
      </c>
      <c r="M82">
        <f>$C82*M81</f>
        <v/>
      </c>
      <c r="N82">
        <f>$C82*N81</f>
        <v/>
      </c>
      <c r="O82">
        <f>$C82*O81</f>
        <v/>
      </c>
      <c r="P82">
        <f>$C82*P81</f>
        <v/>
      </c>
      <c r="Q82">
        <f>$C82*Q81</f>
        <v/>
      </c>
      <c r="R82">
        <f>$C82*R81</f>
        <v/>
      </c>
      <c r="S82">
        <f>$C82*S81</f>
        <v/>
      </c>
      <c r="T82">
        <f>$C82*T81</f>
        <v/>
      </c>
      <c r="U82">
        <f>$C82*U81</f>
        <v/>
      </c>
      <c r="V82">
        <f>$C82*V81</f>
        <v/>
      </c>
      <c r="W82">
        <f>$C82*W81</f>
        <v/>
      </c>
      <c r="X82">
        <f>$C82*X81</f>
        <v/>
      </c>
      <c r="Y82">
        <f>$C82*Y81</f>
        <v/>
      </c>
      <c r="Z82">
        <f>$C82*Z81</f>
        <v/>
      </c>
      <c r="AA82">
        <f>$C82*AA81</f>
        <v/>
      </c>
      <c r="AB82">
        <f>$C82*AB81</f>
        <v/>
      </c>
      <c r="AC82">
        <f>$C82*AC81</f>
        <v/>
      </c>
      <c r="AD82">
        <f>$C82*AD81</f>
        <v/>
      </c>
      <c r="AE82">
        <f>$C82*AE81</f>
        <v/>
      </c>
      <c r="AF82">
        <f>$C82*AF81</f>
        <v/>
      </c>
      <c r="AG82">
        <f>$C82*AG81</f>
        <v/>
      </c>
      <c r="AH82">
        <f>$C82*AH81</f>
        <v/>
      </c>
      <c r="AI82">
        <f>$C82*AI81</f>
        <v/>
      </c>
      <c r="AJ82">
        <f>$C82*AJ81</f>
        <v/>
      </c>
      <c r="AK82">
        <f>$C82*AK81</f>
        <v/>
      </c>
      <c r="AL82">
        <f>$C82*AL81</f>
        <v/>
      </c>
      <c r="AM82">
        <f>$C82*AM81</f>
        <v/>
      </c>
      <c r="AN82">
        <f>$C82*AN81</f>
        <v/>
      </c>
      <c r="AO82">
        <f>$C82*AO81</f>
        <v/>
      </c>
      <c r="AP82">
        <f>$C82*AP81</f>
        <v/>
      </c>
      <c r="AQ82">
        <f>$C82*AQ81</f>
        <v/>
      </c>
      <c r="AR82">
        <f>$C82*AR81</f>
        <v/>
      </c>
      <c r="AS82">
        <f>$C82*AS81</f>
        <v/>
      </c>
      <c r="AT82">
        <f>$C82*AT81</f>
        <v/>
      </c>
      <c r="AU82">
        <f>$C82*AU81</f>
        <v/>
      </c>
      <c r="AV82">
        <f>$C82*AV81</f>
        <v/>
      </c>
      <c r="AW82">
        <f>$C82*AW81</f>
        <v/>
      </c>
      <c r="AX82">
        <f>$C82*AX81</f>
        <v/>
      </c>
      <c r="AY82">
        <f>$C82*AY81</f>
        <v/>
      </c>
      <c r="AZ82">
        <f>$C82*AZ81</f>
        <v/>
      </c>
      <c r="BA82">
        <f>$C82*BA81</f>
        <v/>
      </c>
      <c r="BB82">
        <f>$C82*BB81</f>
        <v/>
      </c>
      <c r="BC82">
        <f>$C82*BC81</f>
        <v/>
      </c>
      <c r="BD82">
        <f>$C82*BD81</f>
        <v/>
      </c>
      <c r="BE82">
        <f>$C82*BE81</f>
        <v/>
      </c>
      <c r="BF82">
        <f>$C82*BF81</f>
        <v/>
      </c>
      <c r="BG82">
        <f>$C82*BG81</f>
        <v/>
      </c>
      <c r="BH82">
        <f>$C82*BH81</f>
        <v/>
      </c>
      <c r="BI82">
        <f>$C82*BI81</f>
        <v/>
      </c>
      <c r="BJ82">
        <f>$C82*BJ81</f>
        <v/>
      </c>
      <c r="BK82">
        <f>$C82*BK81</f>
        <v/>
      </c>
      <c r="BL82">
        <f>$C82*BL81</f>
        <v/>
      </c>
      <c r="BM82">
        <f>$C82*BM81</f>
        <v/>
      </c>
      <c r="BN82">
        <f>$C82*BN81</f>
        <v/>
      </c>
      <c r="BO82">
        <f>$C82*BO81</f>
        <v/>
      </c>
      <c r="BP82">
        <f>$C82*BP81</f>
        <v/>
      </c>
      <c r="BQ82">
        <f>$C82*BQ81</f>
        <v/>
      </c>
      <c r="BR82">
        <f>$C82*BR81</f>
        <v/>
      </c>
      <c r="BS82">
        <f>$C82*BS81</f>
        <v/>
      </c>
      <c r="BT82">
        <f>$C82*BT81</f>
        <v/>
      </c>
      <c r="BU82">
        <f>$C82*BU81</f>
        <v/>
      </c>
      <c r="BV82">
        <f>$C82*BV81</f>
        <v/>
      </c>
      <c r="BW82">
        <f>$C82*BW81</f>
        <v/>
      </c>
      <c r="BX82">
        <f>$C82*BX81</f>
        <v/>
      </c>
      <c r="BY82">
        <f>$C82*BY81</f>
        <v/>
      </c>
      <c r="BZ82">
        <f>$C82*BZ81</f>
        <v/>
      </c>
      <c r="CA82">
        <f>$C82*CA81</f>
        <v/>
      </c>
      <c r="CB82">
        <f>$C82*CB81</f>
        <v/>
      </c>
      <c r="CC82">
        <f>$C82*CC81</f>
        <v/>
      </c>
      <c r="CD82">
        <f>$C82*CD81</f>
        <v/>
      </c>
      <c r="CE82">
        <f>$C82*CE81</f>
        <v/>
      </c>
      <c r="CF82">
        <f>$C82*CF81</f>
        <v/>
      </c>
      <c r="CG82">
        <f>$C82*CG81</f>
        <v/>
      </c>
      <c r="CH82">
        <f>$C82*CH81</f>
        <v/>
      </c>
      <c r="CI82">
        <f>$C82*CI81</f>
        <v/>
      </c>
      <c r="CJ82">
        <f>$C82*CJ81</f>
        <v/>
      </c>
      <c r="CK82">
        <f>$C82*CK81</f>
        <v/>
      </c>
      <c r="CL82">
        <f>$C82*CL81</f>
        <v/>
      </c>
      <c r="CM82">
        <f>$C82*CM81</f>
        <v/>
      </c>
      <c r="CN82">
        <f>$C82*CN81</f>
        <v/>
      </c>
      <c r="CO82">
        <f>$C82*CO81</f>
        <v/>
      </c>
      <c r="CP82">
        <f>$C82*CP81</f>
        <v/>
      </c>
      <c r="CQ82">
        <f>$C82*CQ81</f>
        <v/>
      </c>
      <c r="CR82">
        <f>$C82*CR81</f>
        <v/>
      </c>
      <c r="CS82">
        <f>$C82*CS81</f>
        <v/>
      </c>
      <c r="CT82">
        <f>$C82*CT81</f>
        <v/>
      </c>
      <c r="CU82">
        <f>$C82*CU81</f>
        <v/>
      </c>
      <c r="CV82">
        <f>$C82*CV81</f>
        <v/>
      </c>
      <c r="CW82">
        <f>$C82*CW81</f>
        <v/>
      </c>
      <c r="CX82">
        <f>$C82*CX81</f>
        <v/>
      </c>
      <c r="CY82">
        <f>$C82*CY81</f>
        <v/>
      </c>
      <c r="CZ82">
        <f>$C82*CZ81</f>
        <v/>
      </c>
      <c r="DA82">
        <f>$C82*DA81</f>
        <v/>
      </c>
      <c r="DB82">
        <f>$C82*DB81</f>
        <v/>
      </c>
      <c r="DC82">
        <f>$C82*DC81</f>
        <v/>
      </c>
      <c r="DD82">
        <f>$C82*DD81</f>
        <v/>
      </c>
    </row>
    <row r="83">
      <c r="B83" t="inlineStr">
        <is>
          <t>VSP-605</t>
        </is>
      </c>
      <c r="C83" t="inlineStr">
        <is>
          <t>No. of batches</t>
        </is>
      </c>
      <c r="D83">
        <f>IFERROR(INDEX(E83:DD83,$F$1),"")</f>
        <v/>
      </c>
      <c r="E83">
        <f>IFERROR(INDEX(PP_Grid[#Data],$DE83,2),0)</f>
        <v/>
      </c>
      <c r="F83">
        <f>IFERROR(INDEX(PP_Grid[#Data],$DE83,3),0)</f>
        <v/>
      </c>
      <c r="G83">
        <f>IFERROR(INDEX(PP_Grid[#Data],$DE83,4),0)</f>
        <v/>
      </c>
      <c r="H83">
        <f>IFERROR(INDEX(PP_Grid[#Data],$DE83,5),0)</f>
        <v/>
      </c>
      <c r="I83">
        <f>IFERROR(INDEX(PP_Grid[#Data],$DE83,6),0)</f>
        <v/>
      </c>
      <c r="J83">
        <f>IFERROR(INDEX(PP_Grid[#Data],$DE83,7),0)</f>
        <v/>
      </c>
      <c r="K83">
        <f>IFERROR(INDEX(PP_Grid[#Data],$DE83,8),0)</f>
        <v/>
      </c>
      <c r="L83">
        <f>IFERROR(INDEX(PP_Grid[#Data],$DE83,9),0)</f>
        <v/>
      </c>
      <c r="M83">
        <f>IFERROR(INDEX(PP_Grid[#Data],$DE83,10),0)</f>
        <v/>
      </c>
      <c r="N83">
        <f>IFERROR(INDEX(PP_Grid[#Data],$DE83,11),0)</f>
        <v/>
      </c>
      <c r="O83">
        <f>IFERROR(INDEX(PP_Grid[#Data],$DE83,12),0)</f>
        <v/>
      </c>
      <c r="P83">
        <f>IFERROR(INDEX(PP_Grid[#Data],$DE83,13),0)</f>
        <v/>
      </c>
      <c r="Q83">
        <f>IFERROR(INDEX(PP_Grid[#Data],$DE83,14),0)</f>
        <v/>
      </c>
      <c r="R83">
        <f>IFERROR(INDEX(PP_Grid[#Data],$DE83,15),0)</f>
        <v/>
      </c>
      <c r="S83">
        <f>IFERROR(INDEX(PP_Grid[#Data],$DE83,16),0)</f>
        <v/>
      </c>
      <c r="T83">
        <f>IFERROR(INDEX(PP_Grid[#Data],$DE83,17),0)</f>
        <v/>
      </c>
      <c r="U83">
        <f>IFERROR(INDEX(PP_Grid[#Data],$DE83,18),0)</f>
        <v/>
      </c>
      <c r="V83">
        <f>IFERROR(INDEX(PP_Grid[#Data],$DE83,19),0)</f>
        <v/>
      </c>
      <c r="W83">
        <f>IFERROR(INDEX(PP_Grid[#Data],$DE83,20),0)</f>
        <v/>
      </c>
      <c r="X83">
        <f>IFERROR(INDEX(PP_Grid[#Data],$DE83,21),0)</f>
        <v/>
      </c>
      <c r="Y83">
        <f>IFERROR(INDEX(PP_Grid[#Data],$DE83,22),0)</f>
        <v/>
      </c>
      <c r="Z83">
        <f>IFERROR(INDEX(PP_Grid[#Data],$DE83,23),0)</f>
        <v/>
      </c>
      <c r="AA83">
        <f>IFERROR(INDEX(PP_Grid[#Data],$DE83,24),0)</f>
        <v/>
      </c>
      <c r="AB83">
        <f>IFERROR(INDEX(PP_Grid[#Data],$DE83,25),0)</f>
        <v/>
      </c>
      <c r="AC83">
        <f>IFERROR(INDEX(PP_Grid[#Data],$DE83,26),0)</f>
        <v/>
      </c>
      <c r="AD83">
        <f>IFERROR(INDEX(PP_Grid[#Data],$DE83,27),0)</f>
        <v/>
      </c>
      <c r="AE83">
        <f>IFERROR(INDEX(PP_Grid[#Data],$DE83,28),0)</f>
        <v/>
      </c>
      <c r="AF83">
        <f>IFERROR(INDEX(PP_Grid[#Data],$DE83,29),0)</f>
        <v/>
      </c>
      <c r="AG83">
        <f>IFERROR(INDEX(PP_Grid[#Data],$DE83,30),0)</f>
        <v/>
      </c>
      <c r="AH83">
        <f>IFERROR(INDEX(PP_Grid[#Data],$DE83,31),0)</f>
        <v/>
      </c>
      <c r="AI83">
        <f>IFERROR(INDEX(PP_Grid[#Data],$DE83,32),0)</f>
        <v/>
      </c>
      <c r="AJ83">
        <f>IFERROR(INDEX(PP_Grid[#Data],$DE83,33),0)</f>
        <v/>
      </c>
      <c r="AK83">
        <f>IFERROR(INDEX(PP_Grid[#Data],$DE83,34),0)</f>
        <v/>
      </c>
      <c r="AL83">
        <f>IFERROR(INDEX(PP_Grid[#Data],$DE83,35),0)</f>
        <v/>
      </c>
      <c r="AM83">
        <f>IFERROR(INDEX(PP_Grid[#Data],$DE83,36),0)</f>
        <v/>
      </c>
      <c r="AN83">
        <f>IFERROR(INDEX(PP_Grid[#Data],$DE83,37),0)</f>
        <v/>
      </c>
      <c r="AO83">
        <f>IFERROR(INDEX(PP_Grid[#Data],$DE83,38),0)</f>
        <v/>
      </c>
      <c r="AP83">
        <f>IFERROR(INDEX(PP_Grid[#Data],$DE83,39),0)</f>
        <v/>
      </c>
      <c r="AQ83">
        <f>IFERROR(INDEX(PP_Grid[#Data],$DE83,40),0)</f>
        <v/>
      </c>
      <c r="AR83">
        <f>IFERROR(INDEX(PP_Grid[#Data],$DE83,41),0)</f>
        <v/>
      </c>
      <c r="AS83">
        <f>IFERROR(INDEX(PP_Grid[#Data],$DE83,42),0)</f>
        <v/>
      </c>
      <c r="AT83">
        <f>IFERROR(INDEX(PP_Grid[#Data],$DE83,43),0)</f>
        <v/>
      </c>
      <c r="AU83">
        <f>IFERROR(INDEX(PP_Grid[#Data],$DE83,44),0)</f>
        <v/>
      </c>
      <c r="AV83">
        <f>IFERROR(INDEX(PP_Grid[#Data],$DE83,45),0)</f>
        <v/>
      </c>
      <c r="AW83">
        <f>IFERROR(INDEX(PP_Grid[#Data],$DE83,46),0)</f>
        <v/>
      </c>
      <c r="AX83">
        <f>IFERROR(INDEX(PP_Grid[#Data],$DE83,47),0)</f>
        <v/>
      </c>
      <c r="AY83">
        <f>IFERROR(INDEX(PP_Grid[#Data],$DE83,48),0)</f>
        <v/>
      </c>
      <c r="AZ83">
        <f>IFERROR(INDEX(PP_Grid[#Data],$DE83,49),0)</f>
        <v/>
      </c>
      <c r="BA83">
        <f>IFERROR(INDEX(PP_Grid[#Data],$DE83,50),0)</f>
        <v/>
      </c>
      <c r="BB83">
        <f>IFERROR(INDEX(PP_Grid[#Data],$DE83,51),0)</f>
        <v/>
      </c>
      <c r="BC83">
        <f>IFERROR(INDEX(PP_Grid[#Data],$DE83,52),0)</f>
        <v/>
      </c>
      <c r="BD83">
        <f>IFERROR(INDEX(PP_Grid[#Data],$DE83,53),0)</f>
        <v/>
      </c>
      <c r="BE83">
        <f>IFERROR(INDEX(PP_Grid[#Data],$DE83,54),0)</f>
        <v/>
      </c>
      <c r="BF83">
        <f>IFERROR(INDEX(PP_Grid[#Data],$DE83,55),0)</f>
        <v/>
      </c>
      <c r="BG83">
        <f>IFERROR(INDEX(PP_Grid[#Data],$DE83,56),0)</f>
        <v/>
      </c>
      <c r="BH83">
        <f>IFERROR(INDEX(PP_Grid[#Data],$DE83,57),0)</f>
        <v/>
      </c>
      <c r="BI83">
        <f>IFERROR(INDEX(PP_Grid[#Data],$DE83,58),0)</f>
        <v/>
      </c>
      <c r="BJ83">
        <f>IFERROR(INDEX(PP_Grid[#Data],$DE83,59),0)</f>
        <v/>
      </c>
      <c r="BK83">
        <f>IFERROR(INDEX(PP_Grid[#Data],$DE83,60),0)</f>
        <v/>
      </c>
      <c r="BL83">
        <f>IFERROR(INDEX(PP_Grid[#Data],$DE83,61),0)</f>
        <v/>
      </c>
      <c r="BM83">
        <f>IFERROR(INDEX(PP_Grid[#Data],$DE83,62),0)</f>
        <v/>
      </c>
      <c r="BN83">
        <f>IFERROR(INDEX(PP_Grid[#Data],$DE83,63),0)</f>
        <v/>
      </c>
      <c r="BO83">
        <f>IFERROR(INDEX(PP_Grid[#Data],$DE83,64),0)</f>
        <v/>
      </c>
      <c r="BP83">
        <f>IFERROR(INDEX(PP_Grid[#Data],$DE83,65),0)</f>
        <v/>
      </c>
      <c r="BQ83">
        <f>IFERROR(INDEX(PP_Grid[#Data],$DE83,66),0)</f>
        <v/>
      </c>
      <c r="BR83">
        <f>IFERROR(INDEX(PP_Grid[#Data],$DE83,67),0)</f>
        <v/>
      </c>
      <c r="BS83">
        <f>IFERROR(INDEX(PP_Grid[#Data],$DE83,68),0)</f>
        <v/>
      </c>
      <c r="BT83">
        <f>IFERROR(INDEX(PP_Grid[#Data],$DE83,69),0)</f>
        <v/>
      </c>
      <c r="BU83">
        <f>IFERROR(INDEX(PP_Grid[#Data],$DE83,70),0)</f>
        <v/>
      </c>
      <c r="BV83">
        <f>IFERROR(INDEX(PP_Grid[#Data],$DE83,71),0)</f>
        <v/>
      </c>
      <c r="BW83">
        <f>IFERROR(INDEX(PP_Grid[#Data],$DE83,72),0)</f>
        <v/>
      </c>
      <c r="BX83">
        <f>IFERROR(INDEX(PP_Grid[#Data],$DE83,73),0)</f>
        <v/>
      </c>
      <c r="BY83">
        <f>IFERROR(INDEX(PP_Grid[#Data],$DE83,74),0)</f>
        <v/>
      </c>
      <c r="BZ83">
        <f>IFERROR(INDEX(PP_Grid[#Data],$DE83,75),0)</f>
        <v/>
      </c>
      <c r="CA83">
        <f>IFERROR(INDEX(PP_Grid[#Data],$DE83,76),0)</f>
        <v/>
      </c>
      <c r="CB83">
        <f>IFERROR(INDEX(PP_Grid[#Data],$DE83,77),0)</f>
        <v/>
      </c>
      <c r="CC83">
        <f>IFERROR(INDEX(PP_Grid[#Data],$DE83,78),0)</f>
        <v/>
      </c>
      <c r="CD83">
        <f>IFERROR(INDEX(PP_Grid[#Data],$DE83,79),0)</f>
        <v/>
      </c>
      <c r="CE83">
        <f>IFERROR(INDEX(PP_Grid[#Data],$DE83,80),0)</f>
        <v/>
      </c>
      <c r="CF83">
        <f>IFERROR(INDEX(PP_Grid[#Data],$DE83,81),0)</f>
        <v/>
      </c>
      <c r="CG83">
        <f>IFERROR(INDEX(PP_Grid[#Data],$DE83,82),0)</f>
        <v/>
      </c>
      <c r="CH83">
        <f>IFERROR(INDEX(PP_Grid[#Data],$DE83,83),0)</f>
        <v/>
      </c>
      <c r="CI83">
        <f>IFERROR(INDEX(PP_Grid[#Data],$DE83,84),0)</f>
        <v/>
      </c>
      <c r="CJ83">
        <f>IFERROR(INDEX(PP_Grid[#Data],$DE83,85),0)</f>
        <v/>
      </c>
      <c r="CK83">
        <f>IFERROR(INDEX(PP_Grid[#Data],$DE83,86),0)</f>
        <v/>
      </c>
      <c r="CL83">
        <f>IFERROR(INDEX(PP_Grid[#Data],$DE83,87),0)</f>
        <v/>
      </c>
      <c r="CM83">
        <f>IFERROR(INDEX(PP_Grid[#Data],$DE83,88),0)</f>
        <v/>
      </c>
      <c r="CN83">
        <f>IFERROR(INDEX(PP_Grid[#Data],$DE83,89),0)</f>
        <v/>
      </c>
      <c r="CO83">
        <f>IFERROR(INDEX(PP_Grid[#Data],$DE83,90),0)</f>
        <v/>
      </c>
      <c r="CP83">
        <f>IFERROR(INDEX(PP_Grid[#Data],$DE83,91),0)</f>
        <v/>
      </c>
      <c r="CQ83">
        <f>IFERROR(INDEX(PP_Grid[#Data],$DE83,92),0)</f>
        <v/>
      </c>
      <c r="CR83">
        <f>IFERROR(INDEX(PP_Grid[#Data],$DE83,93),0)</f>
        <v/>
      </c>
      <c r="CS83">
        <f>IFERROR(INDEX(PP_Grid[#Data],$DE83,94),0)</f>
        <v/>
      </c>
      <c r="CT83">
        <f>IFERROR(INDEX(PP_Grid[#Data],$DE83,95),0)</f>
        <v/>
      </c>
      <c r="CU83">
        <f>IFERROR(INDEX(PP_Grid[#Data],$DE83,96),0)</f>
        <v/>
      </c>
      <c r="CV83">
        <f>IFERROR(INDEX(PP_Grid[#Data],$DE83,97),0)</f>
        <v/>
      </c>
      <c r="CW83">
        <f>IFERROR(INDEX(PP_Grid[#Data],$DE83,98),0)</f>
        <v/>
      </c>
      <c r="CX83">
        <f>IFERROR(INDEX(PP_Grid[#Data],$DE83,99),0)</f>
        <v/>
      </c>
      <c r="CY83">
        <f>IFERROR(INDEX(PP_Grid[#Data],$DE83,100),0)</f>
        <v/>
      </c>
      <c r="CZ83">
        <f>IFERROR(INDEX(PP_Grid[#Data],$DE83,101),0)</f>
        <v/>
      </c>
      <c r="DA83">
        <f>IFERROR(INDEX(PP_Grid[#Data],$DE83,102),0)</f>
        <v/>
      </c>
      <c r="DB83">
        <f>IFERROR(INDEX(PP_Grid[#Data],$DE83,103),0)</f>
        <v/>
      </c>
      <c r="DC83">
        <f>IFERROR(INDEX(PP_Grid[#Data],$DE83,104),0)</f>
        <v/>
      </c>
      <c r="DD83">
        <f>IFERROR(INDEX(PP_Grid[#Data],$DE83,105),0)</f>
        <v/>
      </c>
      <c r="DE83" s="7">
        <f>IFERROR(MATCH($B83,PP_Grid[Intermediate],0),99999)</f>
        <v/>
      </c>
    </row>
    <row r="84">
      <c r="B84" t="inlineStr">
        <is>
          <t>使用量(kg)</t>
        </is>
      </c>
      <c r="C84">
        <f>SUMIFS(M_BOM[RM_Qty_Per_Batch],M_BOM[Intermediate],$B83,M_BOM[RM_Code],$A28)</f>
        <v/>
      </c>
      <c r="D84">
        <f>IFERROR(INDEX(E84:DD84,$F$1),"")</f>
        <v/>
      </c>
      <c r="E84">
        <f>$C84*E83</f>
        <v/>
      </c>
      <c r="F84">
        <f>$C84*F83</f>
        <v/>
      </c>
      <c r="G84">
        <f>$C84*G83</f>
        <v/>
      </c>
      <c r="H84">
        <f>$C84*H83</f>
        <v/>
      </c>
      <c r="I84">
        <f>$C84*I83</f>
        <v/>
      </c>
      <c r="J84">
        <f>$C84*J83</f>
        <v/>
      </c>
      <c r="K84">
        <f>$C84*K83</f>
        <v/>
      </c>
      <c r="L84">
        <f>$C84*L83</f>
        <v/>
      </c>
      <c r="M84">
        <f>$C84*M83</f>
        <v/>
      </c>
      <c r="N84">
        <f>$C84*N83</f>
        <v/>
      </c>
      <c r="O84">
        <f>$C84*O83</f>
        <v/>
      </c>
      <c r="P84">
        <f>$C84*P83</f>
        <v/>
      </c>
      <c r="Q84">
        <f>$C84*Q83</f>
        <v/>
      </c>
      <c r="R84">
        <f>$C84*R83</f>
        <v/>
      </c>
      <c r="S84">
        <f>$C84*S83</f>
        <v/>
      </c>
      <c r="T84">
        <f>$C84*T83</f>
        <v/>
      </c>
      <c r="U84">
        <f>$C84*U83</f>
        <v/>
      </c>
      <c r="V84">
        <f>$C84*V83</f>
        <v/>
      </c>
      <c r="W84">
        <f>$C84*W83</f>
        <v/>
      </c>
      <c r="X84">
        <f>$C84*X83</f>
        <v/>
      </c>
      <c r="Y84">
        <f>$C84*Y83</f>
        <v/>
      </c>
      <c r="Z84">
        <f>$C84*Z83</f>
        <v/>
      </c>
      <c r="AA84">
        <f>$C84*AA83</f>
        <v/>
      </c>
      <c r="AB84">
        <f>$C84*AB83</f>
        <v/>
      </c>
      <c r="AC84">
        <f>$C84*AC83</f>
        <v/>
      </c>
      <c r="AD84">
        <f>$C84*AD83</f>
        <v/>
      </c>
      <c r="AE84">
        <f>$C84*AE83</f>
        <v/>
      </c>
      <c r="AF84">
        <f>$C84*AF83</f>
        <v/>
      </c>
      <c r="AG84">
        <f>$C84*AG83</f>
        <v/>
      </c>
      <c r="AH84">
        <f>$C84*AH83</f>
        <v/>
      </c>
      <c r="AI84">
        <f>$C84*AI83</f>
        <v/>
      </c>
      <c r="AJ84">
        <f>$C84*AJ83</f>
        <v/>
      </c>
      <c r="AK84">
        <f>$C84*AK83</f>
        <v/>
      </c>
      <c r="AL84">
        <f>$C84*AL83</f>
        <v/>
      </c>
      <c r="AM84">
        <f>$C84*AM83</f>
        <v/>
      </c>
      <c r="AN84">
        <f>$C84*AN83</f>
        <v/>
      </c>
      <c r="AO84">
        <f>$C84*AO83</f>
        <v/>
      </c>
      <c r="AP84">
        <f>$C84*AP83</f>
        <v/>
      </c>
      <c r="AQ84">
        <f>$C84*AQ83</f>
        <v/>
      </c>
      <c r="AR84">
        <f>$C84*AR83</f>
        <v/>
      </c>
      <c r="AS84">
        <f>$C84*AS83</f>
        <v/>
      </c>
      <c r="AT84">
        <f>$C84*AT83</f>
        <v/>
      </c>
      <c r="AU84">
        <f>$C84*AU83</f>
        <v/>
      </c>
      <c r="AV84">
        <f>$C84*AV83</f>
        <v/>
      </c>
      <c r="AW84">
        <f>$C84*AW83</f>
        <v/>
      </c>
      <c r="AX84">
        <f>$C84*AX83</f>
        <v/>
      </c>
      <c r="AY84">
        <f>$C84*AY83</f>
        <v/>
      </c>
      <c r="AZ84">
        <f>$C84*AZ83</f>
        <v/>
      </c>
      <c r="BA84">
        <f>$C84*BA83</f>
        <v/>
      </c>
      <c r="BB84">
        <f>$C84*BB83</f>
        <v/>
      </c>
      <c r="BC84">
        <f>$C84*BC83</f>
        <v/>
      </c>
      <c r="BD84">
        <f>$C84*BD83</f>
        <v/>
      </c>
      <c r="BE84">
        <f>$C84*BE83</f>
        <v/>
      </c>
      <c r="BF84">
        <f>$C84*BF83</f>
        <v/>
      </c>
      <c r="BG84">
        <f>$C84*BG83</f>
        <v/>
      </c>
      <c r="BH84">
        <f>$C84*BH83</f>
        <v/>
      </c>
      <c r="BI84">
        <f>$C84*BI83</f>
        <v/>
      </c>
      <c r="BJ84">
        <f>$C84*BJ83</f>
        <v/>
      </c>
      <c r="BK84">
        <f>$C84*BK83</f>
        <v/>
      </c>
      <c r="BL84">
        <f>$C84*BL83</f>
        <v/>
      </c>
      <c r="BM84">
        <f>$C84*BM83</f>
        <v/>
      </c>
      <c r="BN84">
        <f>$C84*BN83</f>
        <v/>
      </c>
      <c r="BO84">
        <f>$C84*BO83</f>
        <v/>
      </c>
      <c r="BP84">
        <f>$C84*BP83</f>
        <v/>
      </c>
      <c r="BQ84">
        <f>$C84*BQ83</f>
        <v/>
      </c>
      <c r="BR84">
        <f>$C84*BR83</f>
        <v/>
      </c>
      <c r="BS84">
        <f>$C84*BS83</f>
        <v/>
      </c>
      <c r="BT84">
        <f>$C84*BT83</f>
        <v/>
      </c>
      <c r="BU84">
        <f>$C84*BU83</f>
        <v/>
      </c>
      <c r="BV84">
        <f>$C84*BV83</f>
        <v/>
      </c>
      <c r="BW84">
        <f>$C84*BW83</f>
        <v/>
      </c>
      <c r="BX84">
        <f>$C84*BX83</f>
        <v/>
      </c>
      <c r="BY84">
        <f>$C84*BY83</f>
        <v/>
      </c>
      <c r="BZ84">
        <f>$C84*BZ83</f>
        <v/>
      </c>
      <c r="CA84">
        <f>$C84*CA83</f>
        <v/>
      </c>
      <c r="CB84">
        <f>$C84*CB83</f>
        <v/>
      </c>
      <c r="CC84">
        <f>$C84*CC83</f>
        <v/>
      </c>
      <c r="CD84">
        <f>$C84*CD83</f>
        <v/>
      </c>
      <c r="CE84">
        <f>$C84*CE83</f>
        <v/>
      </c>
      <c r="CF84">
        <f>$C84*CF83</f>
        <v/>
      </c>
      <c r="CG84">
        <f>$C84*CG83</f>
        <v/>
      </c>
      <c r="CH84">
        <f>$C84*CH83</f>
        <v/>
      </c>
      <c r="CI84">
        <f>$C84*CI83</f>
        <v/>
      </c>
      <c r="CJ84">
        <f>$C84*CJ83</f>
        <v/>
      </c>
      <c r="CK84">
        <f>$C84*CK83</f>
        <v/>
      </c>
      <c r="CL84">
        <f>$C84*CL83</f>
        <v/>
      </c>
      <c r="CM84">
        <f>$C84*CM83</f>
        <v/>
      </c>
      <c r="CN84">
        <f>$C84*CN83</f>
        <v/>
      </c>
      <c r="CO84">
        <f>$C84*CO83</f>
        <v/>
      </c>
      <c r="CP84">
        <f>$C84*CP83</f>
        <v/>
      </c>
      <c r="CQ84">
        <f>$C84*CQ83</f>
        <v/>
      </c>
      <c r="CR84">
        <f>$C84*CR83</f>
        <v/>
      </c>
      <c r="CS84">
        <f>$C84*CS83</f>
        <v/>
      </c>
      <c r="CT84">
        <f>$C84*CT83</f>
        <v/>
      </c>
      <c r="CU84">
        <f>$C84*CU83</f>
        <v/>
      </c>
      <c r="CV84">
        <f>$C84*CV83</f>
        <v/>
      </c>
      <c r="CW84">
        <f>$C84*CW83</f>
        <v/>
      </c>
      <c r="CX84">
        <f>$C84*CX83</f>
        <v/>
      </c>
      <c r="CY84">
        <f>$C84*CY83</f>
        <v/>
      </c>
      <c r="CZ84">
        <f>$C84*CZ83</f>
        <v/>
      </c>
      <c r="DA84">
        <f>$C84*DA83</f>
        <v/>
      </c>
      <c r="DB84">
        <f>$C84*DB83</f>
        <v/>
      </c>
      <c r="DC84">
        <f>$C84*DC83</f>
        <v/>
      </c>
      <c r="DD84">
        <f>$C84*DD83</f>
        <v/>
      </c>
    </row>
    <row r="85">
      <c r="B85" t="inlineStr">
        <is>
          <t>VSP-606</t>
        </is>
      </c>
      <c r="C85" t="inlineStr">
        <is>
          <t>No. of batches</t>
        </is>
      </c>
      <c r="D85">
        <f>IFERROR(INDEX(E85:DD85,$F$1),"")</f>
        <v/>
      </c>
      <c r="E85">
        <f>IFERROR(INDEX(PP_Grid[#Data],$DE85,2),0)</f>
        <v/>
      </c>
      <c r="F85">
        <f>IFERROR(INDEX(PP_Grid[#Data],$DE85,3),0)</f>
        <v/>
      </c>
      <c r="G85">
        <f>IFERROR(INDEX(PP_Grid[#Data],$DE85,4),0)</f>
        <v/>
      </c>
      <c r="H85">
        <f>IFERROR(INDEX(PP_Grid[#Data],$DE85,5),0)</f>
        <v/>
      </c>
      <c r="I85">
        <f>IFERROR(INDEX(PP_Grid[#Data],$DE85,6),0)</f>
        <v/>
      </c>
      <c r="J85">
        <f>IFERROR(INDEX(PP_Grid[#Data],$DE85,7),0)</f>
        <v/>
      </c>
      <c r="K85">
        <f>IFERROR(INDEX(PP_Grid[#Data],$DE85,8),0)</f>
        <v/>
      </c>
      <c r="L85">
        <f>IFERROR(INDEX(PP_Grid[#Data],$DE85,9),0)</f>
        <v/>
      </c>
      <c r="M85">
        <f>IFERROR(INDEX(PP_Grid[#Data],$DE85,10),0)</f>
        <v/>
      </c>
      <c r="N85">
        <f>IFERROR(INDEX(PP_Grid[#Data],$DE85,11),0)</f>
        <v/>
      </c>
      <c r="O85">
        <f>IFERROR(INDEX(PP_Grid[#Data],$DE85,12),0)</f>
        <v/>
      </c>
      <c r="P85">
        <f>IFERROR(INDEX(PP_Grid[#Data],$DE85,13),0)</f>
        <v/>
      </c>
      <c r="Q85">
        <f>IFERROR(INDEX(PP_Grid[#Data],$DE85,14),0)</f>
        <v/>
      </c>
      <c r="R85">
        <f>IFERROR(INDEX(PP_Grid[#Data],$DE85,15),0)</f>
        <v/>
      </c>
      <c r="S85">
        <f>IFERROR(INDEX(PP_Grid[#Data],$DE85,16),0)</f>
        <v/>
      </c>
      <c r="T85">
        <f>IFERROR(INDEX(PP_Grid[#Data],$DE85,17),0)</f>
        <v/>
      </c>
      <c r="U85">
        <f>IFERROR(INDEX(PP_Grid[#Data],$DE85,18),0)</f>
        <v/>
      </c>
      <c r="V85">
        <f>IFERROR(INDEX(PP_Grid[#Data],$DE85,19),0)</f>
        <v/>
      </c>
      <c r="W85">
        <f>IFERROR(INDEX(PP_Grid[#Data],$DE85,20),0)</f>
        <v/>
      </c>
      <c r="X85">
        <f>IFERROR(INDEX(PP_Grid[#Data],$DE85,21),0)</f>
        <v/>
      </c>
      <c r="Y85">
        <f>IFERROR(INDEX(PP_Grid[#Data],$DE85,22),0)</f>
        <v/>
      </c>
      <c r="Z85">
        <f>IFERROR(INDEX(PP_Grid[#Data],$DE85,23),0)</f>
        <v/>
      </c>
      <c r="AA85">
        <f>IFERROR(INDEX(PP_Grid[#Data],$DE85,24),0)</f>
        <v/>
      </c>
      <c r="AB85">
        <f>IFERROR(INDEX(PP_Grid[#Data],$DE85,25),0)</f>
        <v/>
      </c>
      <c r="AC85">
        <f>IFERROR(INDEX(PP_Grid[#Data],$DE85,26),0)</f>
        <v/>
      </c>
      <c r="AD85">
        <f>IFERROR(INDEX(PP_Grid[#Data],$DE85,27),0)</f>
        <v/>
      </c>
      <c r="AE85">
        <f>IFERROR(INDEX(PP_Grid[#Data],$DE85,28),0)</f>
        <v/>
      </c>
      <c r="AF85">
        <f>IFERROR(INDEX(PP_Grid[#Data],$DE85,29),0)</f>
        <v/>
      </c>
      <c r="AG85">
        <f>IFERROR(INDEX(PP_Grid[#Data],$DE85,30),0)</f>
        <v/>
      </c>
      <c r="AH85">
        <f>IFERROR(INDEX(PP_Grid[#Data],$DE85,31),0)</f>
        <v/>
      </c>
      <c r="AI85">
        <f>IFERROR(INDEX(PP_Grid[#Data],$DE85,32),0)</f>
        <v/>
      </c>
      <c r="AJ85">
        <f>IFERROR(INDEX(PP_Grid[#Data],$DE85,33),0)</f>
        <v/>
      </c>
      <c r="AK85">
        <f>IFERROR(INDEX(PP_Grid[#Data],$DE85,34),0)</f>
        <v/>
      </c>
      <c r="AL85">
        <f>IFERROR(INDEX(PP_Grid[#Data],$DE85,35),0)</f>
        <v/>
      </c>
      <c r="AM85">
        <f>IFERROR(INDEX(PP_Grid[#Data],$DE85,36),0)</f>
        <v/>
      </c>
      <c r="AN85">
        <f>IFERROR(INDEX(PP_Grid[#Data],$DE85,37),0)</f>
        <v/>
      </c>
      <c r="AO85">
        <f>IFERROR(INDEX(PP_Grid[#Data],$DE85,38),0)</f>
        <v/>
      </c>
      <c r="AP85">
        <f>IFERROR(INDEX(PP_Grid[#Data],$DE85,39),0)</f>
        <v/>
      </c>
      <c r="AQ85">
        <f>IFERROR(INDEX(PP_Grid[#Data],$DE85,40),0)</f>
        <v/>
      </c>
      <c r="AR85">
        <f>IFERROR(INDEX(PP_Grid[#Data],$DE85,41),0)</f>
        <v/>
      </c>
      <c r="AS85">
        <f>IFERROR(INDEX(PP_Grid[#Data],$DE85,42),0)</f>
        <v/>
      </c>
      <c r="AT85">
        <f>IFERROR(INDEX(PP_Grid[#Data],$DE85,43),0)</f>
        <v/>
      </c>
      <c r="AU85">
        <f>IFERROR(INDEX(PP_Grid[#Data],$DE85,44),0)</f>
        <v/>
      </c>
      <c r="AV85">
        <f>IFERROR(INDEX(PP_Grid[#Data],$DE85,45),0)</f>
        <v/>
      </c>
      <c r="AW85">
        <f>IFERROR(INDEX(PP_Grid[#Data],$DE85,46),0)</f>
        <v/>
      </c>
      <c r="AX85">
        <f>IFERROR(INDEX(PP_Grid[#Data],$DE85,47),0)</f>
        <v/>
      </c>
      <c r="AY85">
        <f>IFERROR(INDEX(PP_Grid[#Data],$DE85,48),0)</f>
        <v/>
      </c>
      <c r="AZ85">
        <f>IFERROR(INDEX(PP_Grid[#Data],$DE85,49),0)</f>
        <v/>
      </c>
      <c r="BA85">
        <f>IFERROR(INDEX(PP_Grid[#Data],$DE85,50),0)</f>
        <v/>
      </c>
      <c r="BB85">
        <f>IFERROR(INDEX(PP_Grid[#Data],$DE85,51),0)</f>
        <v/>
      </c>
      <c r="BC85">
        <f>IFERROR(INDEX(PP_Grid[#Data],$DE85,52),0)</f>
        <v/>
      </c>
      <c r="BD85">
        <f>IFERROR(INDEX(PP_Grid[#Data],$DE85,53),0)</f>
        <v/>
      </c>
      <c r="BE85">
        <f>IFERROR(INDEX(PP_Grid[#Data],$DE85,54),0)</f>
        <v/>
      </c>
      <c r="BF85">
        <f>IFERROR(INDEX(PP_Grid[#Data],$DE85,55),0)</f>
        <v/>
      </c>
      <c r="BG85">
        <f>IFERROR(INDEX(PP_Grid[#Data],$DE85,56),0)</f>
        <v/>
      </c>
      <c r="BH85">
        <f>IFERROR(INDEX(PP_Grid[#Data],$DE85,57),0)</f>
        <v/>
      </c>
      <c r="BI85">
        <f>IFERROR(INDEX(PP_Grid[#Data],$DE85,58),0)</f>
        <v/>
      </c>
      <c r="BJ85">
        <f>IFERROR(INDEX(PP_Grid[#Data],$DE85,59),0)</f>
        <v/>
      </c>
      <c r="BK85">
        <f>IFERROR(INDEX(PP_Grid[#Data],$DE85,60),0)</f>
        <v/>
      </c>
      <c r="BL85">
        <f>IFERROR(INDEX(PP_Grid[#Data],$DE85,61),0)</f>
        <v/>
      </c>
      <c r="BM85">
        <f>IFERROR(INDEX(PP_Grid[#Data],$DE85,62),0)</f>
        <v/>
      </c>
      <c r="BN85">
        <f>IFERROR(INDEX(PP_Grid[#Data],$DE85,63),0)</f>
        <v/>
      </c>
      <c r="BO85">
        <f>IFERROR(INDEX(PP_Grid[#Data],$DE85,64),0)</f>
        <v/>
      </c>
      <c r="BP85">
        <f>IFERROR(INDEX(PP_Grid[#Data],$DE85,65),0)</f>
        <v/>
      </c>
      <c r="BQ85">
        <f>IFERROR(INDEX(PP_Grid[#Data],$DE85,66),0)</f>
        <v/>
      </c>
      <c r="BR85">
        <f>IFERROR(INDEX(PP_Grid[#Data],$DE85,67),0)</f>
        <v/>
      </c>
      <c r="BS85">
        <f>IFERROR(INDEX(PP_Grid[#Data],$DE85,68),0)</f>
        <v/>
      </c>
      <c r="BT85">
        <f>IFERROR(INDEX(PP_Grid[#Data],$DE85,69),0)</f>
        <v/>
      </c>
      <c r="BU85">
        <f>IFERROR(INDEX(PP_Grid[#Data],$DE85,70),0)</f>
        <v/>
      </c>
      <c r="BV85">
        <f>IFERROR(INDEX(PP_Grid[#Data],$DE85,71),0)</f>
        <v/>
      </c>
      <c r="BW85">
        <f>IFERROR(INDEX(PP_Grid[#Data],$DE85,72),0)</f>
        <v/>
      </c>
      <c r="BX85">
        <f>IFERROR(INDEX(PP_Grid[#Data],$DE85,73),0)</f>
        <v/>
      </c>
      <c r="BY85">
        <f>IFERROR(INDEX(PP_Grid[#Data],$DE85,74),0)</f>
        <v/>
      </c>
      <c r="BZ85">
        <f>IFERROR(INDEX(PP_Grid[#Data],$DE85,75),0)</f>
        <v/>
      </c>
      <c r="CA85">
        <f>IFERROR(INDEX(PP_Grid[#Data],$DE85,76),0)</f>
        <v/>
      </c>
      <c r="CB85">
        <f>IFERROR(INDEX(PP_Grid[#Data],$DE85,77),0)</f>
        <v/>
      </c>
      <c r="CC85">
        <f>IFERROR(INDEX(PP_Grid[#Data],$DE85,78),0)</f>
        <v/>
      </c>
      <c r="CD85">
        <f>IFERROR(INDEX(PP_Grid[#Data],$DE85,79),0)</f>
        <v/>
      </c>
      <c r="CE85">
        <f>IFERROR(INDEX(PP_Grid[#Data],$DE85,80),0)</f>
        <v/>
      </c>
      <c r="CF85">
        <f>IFERROR(INDEX(PP_Grid[#Data],$DE85,81),0)</f>
        <v/>
      </c>
      <c r="CG85">
        <f>IFERROR(INDEX(PP_Grid[#Data],$DE85,82),0)</f>
        <v/>
      </c>
      <c r="CH85">
        <f>IFERROR(INDEX(PP_Grid[#Data],$DE85,83),0)</f>
        <v/>
      </c>
      <c r="CI85">
        <f>IFERROR(INDEX(PP_Grid[#Data],$DE85,84),0)</f>
        <v/>
      </c>
      <c r="CJ85">
        <f>IFERROR(INDEX(PP_Grid[#Data],$DE85,85),0)</f>
        <v/>
      </c>
      <c r="CK85">
        <f>IFERROR(INDEX(PP_Grid[#Data],$DE85,86),0)</f>
        <v/>
      </c>
      <c r="CL85">
        <f>IFERROR(INDEX(PP_Grid[#Data],$DE85,87),0)</f>
        <v/>
      </c>
      <c r="CM85">
        <f>IFERROR(INDEX(PP_Grid[#Data],$DE85,88),0)</f>
        <v/>
      </c>
      <c r="CN85">
        <f>IFERROR(INDEX(PP_Grid[#Data],$DE85,89),0)</f>
        <v/>
      </c>
      <c r="CO85">
        <f>IFERROR(INDEX(PP_Grid[#Data],$DE85,90),0)</f>
        <v/>
      </c>
      <c r="CP85">
        <f>IFERROR(INDEX(PP_Grid[#Data],$DE85,91),0)</f>
        <v/>
      </c>
      <c r="CQ85">
        <f>IFERROR(INDEX(PP_Grid[#Data],$DE85,92),0)</f>
        <v/>
      </c>
      <c r="CR85">
        <f>IFERROR(INDEX(PP_Grid[#Data],$DE85,93),0)</f>
        <v/>
      </c>
      <c r="CS85">
        <f>IFERROR(INDEX(PP_Grid[#Data],$DE85,94),0)</f>
        <v/>
      </c>
      <c r="CT85">
        <f>IFERROR(INDEX(PP_Grid[#Data],$DE85,95),0)</f>
        <v/>
      </c>
      <c r="CU85">
        <f>IFERROR(INDEX(PP_Grid[#Data],$DE85,96),0)</f>
        <v/>
      </c>
      <c r="CV85">
        <f>IFERROR(INDEX(PP_Grid[#Data],$DE85,97),0)</f>
        <v/>
      </c>
      <c r="CW85">
        <f>IFERROR(INDEX(PP_Grid[#Data],$DE85,98),0)</f>
        <v/>
      </c>
      <c r="CX85">
        <f>IFERROR(INDEX(PP_Grid[#Data],$DE85,99),0)</f>
        <v/>
      </c>
      <c r="CY85">
        <f>IFERROR(INDEX(PP_Grid[#Data],$DE85,100),0)</f>
        <v/>
      </c>
      <c r="CZ85">
        <f>IFERROR(INDEX(PP_Grid[#Data],$DE85,101),0)</f>
        <v/>
      </c>
      <c r="DA85">
        <f>IFERROR(INDEX(PP_Grid[#Data],$DE85,102),0)</f>
        <v/>
      </c>
      <c r="DB85">
        <f>IFERROR(INDEX(PP_Grid[#Data],$DE85,103),0)</f>
        <v/>
      </c>
      <c r="DC85">
        <f>IFERROR(INDEX(PP_Grid[#Data],$DE85,104),0)</f>
        <v/>
      </c>
      <c r="DD85">
        <f>IFERROR(INDEX(PP_Grid[#Data],$DE85,105),0)</f>
        <v/>
      </c>
      <c r="DE85" s="7">
        <f>IFERROR(MATCH($B85,PP_Grid[Intermediate],0),99999)</f>
        <v/>
      </c>
    </row>
    <row r="86">
      <c r="B86" t="inlineStr">
        <is>
          <t>使用量(kg)</t>
        </is>
      </c>
      <c r="C86">
        <f>SUMIFS(M_BOM[RM_Qty_Per_Batch],M_BOM[Intermediate],$B85,M_BOM[RM_Code],$A28)</f>
        <v/>
      </c>
      <c r="D86">
        <f>IFERROR(INDEX(E86:DD86,$F$1),"")</f>
        <v/>
      </c>
      <c r="E86">
        <f>$C86*E85</f>
        <v/>
      </c>
      <c r="F86">
        <f>$C86*F85</f>
        <v/>
      </c>
      <c r="G86">
        <f>$C86*G85</f>
        <v/>
      </c>
      <c r="H86">
        <f>$C86*H85</f>
        <v/>
      </c>
      <c r="I86">
        <f>$C86*I85</f>
        <v/>
      </c>
      <c r="J86">
        <f>$C86*J85</f>
        <v/>
      </c>
      <c r="K86">
        <f>$C86*K85</f>
        <v/>
      </c>
      <c r="L86">
        <f>$C86*L85</f>
        <v/>
      </c>
      <c r="M86">
        <f>$C86*M85</f>
        <v/>
      </c>
      <c r="N86">
        <f>$C86*N85</f>
        <v/>
      </c>
      <c r="O86">
        <f>$C86*O85</f>
        <v/>
      </c>
      <c r="P86">
        <f>$C86*P85</f>
        <v/>
      </c>
      <c r="Q86">
        <f>$C86*Q85</f>
        <v/>
      </c>
      <c r="R86">
        <f>$C86*R85</f>
        <v/>
      </c>
      <c r="S86">
        <f>$C86*S85</f>
        <v/>
      </c>
      <c r="T86">
        <f>$C86*T85</f>
        <v/>
      </c>
      <c r="U86">
        <f>$C86*U85</f>
        <v/>
      </c>
      <c r="V86">
        <f>$C86*V85</f>
        <v/>
      </c>
      <c r="W86">
        <f>$C86*W85</f>
        <v/>
      </c>
      <c r="X86">
        <f>$C86*X85</f>
        <v/>
      </c>
      <c r="Y86">
        <f>$C86*Y85</f>
        <v/>
      </c>
      <c r="Z86">
        <f>$C86*Z85</f>
        <v/>
      </c>
      <c r="AA86">
        <f>$C86*AA85</f>
        <v/>
      </c>
      <c r="AB86">
        <f>$C86*AB85</f>
        <v/>
      </c>
      <c r="AC86">
        <f>$C86*AC85</f>
        <v/>
      </c>
      <c r="AD86">
        <f>$C86*AD85</f>
        <v/>
      </c>
      <c r="AE86">
        <f>$C86*AE85</f>
        <v/>
      </c>
      <c r="AF86">
        <f>$C86*AF85</f>
        <v/>
      </c>
      <c r="AG86">
        <f>$C86*AG85</f>
        <v/>
      </c>
      <c r="AH86">
        <f>$C86*AH85</f>
        <v/>
      </c>
      <c r="AI86">
        <f>$C86*AI85</f>
        <v/>
      </c>
      <c r="AJ86">
        <f>$C86*AJ85</f>
        <v/>
      </c>
      <c r="AK86">
        <f>$C86*AK85</f>
        <v/>
      </c>
      <c r="AL86">
        <f>$C86*AL85</f>
        <v/>
      </c>
      <c r="AM86">
        <f>$C86*AM85</f>
        <v/>
      </c>
      <c r="AN86">
        <f>$C86*AN85</f>
        <v/>
      </c>
      <c r="AO86">
        <f>$C86*AO85</f>
        <v/>
      </c>
      <c r="AP86">
        <f>$C86*AP85</f>
        <v/>
      </c>
      <c r="AQ86">
        <f>$C86*AQ85</f>
        <v/>
      </c>
      <c r="AR86">
        <f>$C86*AR85</f>
        <v/>
      </c>
      <c r="AS86">
        <f>$C86*AS85</f>
        <v/>
      </c>
      <c r="AT86">
        <f>$C86*AT85</f>
        <v/>
      </c>
      <c r="AU86">
        <f>$C86*AU85</f>
        <v/>
      </c>
      <c r="AV86">
        <f>$C86*AV85</f>
        <v/>
      </c>
      <c r="AW86">
        <f>$C86*AW85</f>
        <v/>
      </c>
      <c r="AX86">
        <f>$C86*AX85</f>
        <v/>
      </c>
      <c r="AY86">
        <f>$C86*AY85</f>
        <v/>
      </c>
      <c r="AZ86">
        <f>$C86*AZ85</f>
        <v/>
      </c>
      <c r="BA86">
        <f>$C86*BA85</f>
        <v/>
      </c>
      <c r="BB86">
        <f>$C86*BB85</f>
        <v/>
      </c>
      <c r="BC86">
        <f>$C86*BC85</f>
        <v/>
      </c>
      <c r="BD86">
        <f>$C86*BD85</f>
        <v/>
      </c>
      <c r="BE86">
        <f>$C86*BE85</f>
        <v/>
      </c>
      <c r="BF86">
        <f>$C86*BF85</f>
        <v/>
      </c>
      <c r="BG86">
        <f>$C86*BG85</f>
        <v/>
      </c>
      <c r="BH86">
        <f>$C86*BH85</f>
        <v/>
      </c>
      <c r="BI86">
        <f>$C86*BI85</f>
        <v/>
      </c>
      <c r="BJ86">
        <f>$C86*BJ85</f>
        <v/>
      </c>
      <c r="BK86">
        <f>$C86*BK85</f>
        <v/>
      </c>
      <c r="BL86">
        <f>$C86*BL85</f>
        <v/>
      </c>
      <c r="BM86">
        <f>$C86*BM85</f>
        <v/>
      </c>
      <c r="BN86">
        <f>$C86*BN85</f>
        <v/>
      </c>
      <c r="BO86">
        <f>$C86*BO85</f>
        <v/>
      </c>
      <c r="BP86">
        <f>$C86*BP85</f>
        <v/>
      </c>
      <c r="BQ86">
        <f>$C86*BQ85</f>
        <v/>
      </c>
      <c r="BR86">
        <f>$C86*BR85</f>
        <v/>
      </c>
      <c r="BS86">
        <f>$C86*BS85</f>
        <v/>
      </c>
      <c r="BT86">
        <f>$C86*BT85</f>
        <v/>
      </c>
      <c r="BU86">
        <f>$C86*BU85</f>
        <v/>
      </c>
      <c r="BV86">
        <f>$C86*BV85</f>
        <v/>
      </c>
      <c r="BW86">
        <f>$C86*BW85</f>
        <v/>
      </c>
      <c r="BX86">
        <f>$C86*BX85</f>
        <v/>
      </c>
      <c r="BY86">
        <f>$C86*BY85</f>
        <v/>
      </c>
      <c r="BZ86">
        <f>$C86*BZ85</f>
        <v/>
      </c>
      <c r="CA86">
        <f>$C86*CA85</f>
        <v/>
      </c>
      <c r="CB86">
        <f>$C86*CB85</f>
        <v/>
      </c>
      <c r="CC86">
        <f>$C86*CC85</f>
        <v/>
      </c>
      <c r="CD86">
        <f>$C86*CD85</f>
        <v/>
      </c>
      <c r="CE86">
        <f>$C86*CE85</f>
        <v/>
      </c>
      <c r="CF86">
        <f>$C86*CF85</f>
        <v/>
      </c>
      <c r="CG86">
        <f>$C86*CG85</f>
        <v/>
      </c>
      <c r="CH86">
        <f>$C86*CH85</f>
        <v/>
      </c>
      <c r="CI86">
        <f>$C86*CI85</f>
        <v/>
      </c>
      <c r="CJ86">
        <f>$C86*CJ85</f>
        <v/>
      </c>
      <c r="CK86">
        <f>$C86*CK85</f>
        <v/>
      </c>
      <c r="CL86">
        <f>$C86*CL85</f>
        <v/>
      </c>
      <c r="CM86">
        <f>$C86*CM85</f>
        <v/>
      </c>
      <c r="CN86">
        <f>$C86*CN85</f>
        <v/>
      </c>
      <c r="CO86">
        <f>$C86*CO85</f>
        <v/>
      </c>
      <c r="CP86">
        <f>$C86*CP85</f>
        <v/>
      </c>
      <c r="CQ86">
        <f>$C86*CQ85</f>
        <v/>
      </c>
      <c r="CR86">
        <f>$C86*CR85</f>
        <v/>
      </c>
      <c r="CS86">
        <f>$C86*CS85</f>
        <v/>
      </c>
      <c r="CT86">
        <f>$C86*CT85</f>
        <v/>
      </c>
      <c r="CU86">
        <f>$C86*CU85</f>
        <v/>
      </c>
      <c r="CV86">
        <f>$C86*CV85</f>
        <v/>
      </c>
      <c r="CW86">
        <f>$C86*CW85</f>
        <v/>
      </c>
      <c r="CX86">
        <f>$C86*CX85</f>
        <v/>
      </c>
      <c r="CY86">
        <f>$C86*CY85</f>
        <v/>
      </c>
      <c r="CZ86">
        <f>$C86*CZ85</f>
        <v/>
      </c>
      <c r="DA86">
        <f>$C86*DA85</f>
        <v/>
      </c>
      <c r="DB86">
        <f>$C86*DB85</f>
        <v/>
      </c>
      <c r="DC86">
        <f>$C86*DC85</f>
        <v/>
      </c>
      <c r="DD86">
        <f>$C86*DD85</f>
        <v/>
      </c>
    </row>
    <row r="87">
      <c r="B87" t="inlineStr">
        <is>
          <t>VSP-607</t>
        </is>
      </c>
      <c r="C87" t="inlineStr">
        <is>
          <t>No. of batches</t>
        </is>
      </c>
      <c r="D87">
        <f>IFERROR(INDEX(E87:DD87,$F$1),"")</f>
        <v/>
      </c>
      <c r="E87">
        <f>IFERROR(INDEX(PP_Grid[#Data],$DE87,2),0)</f>
        <v/>
      </c>
      <c r="F87">
        <f>IFERROR(INDEX(PP_Grid[#Data],$DE87,3),0)</f>
        <v/>
      </c>
      <c r="G87">
        <f>IFERROR(INDEX(PP_Grid[#Data],$DE87,4),0)</f>
        <v/>
      </c>
      <c r="H87">
        <f>IFERROR(INDEX(PP_Grid[#Data],$DE87,5),0)</f>
        <v/>
      </c>
      <c r="I87">
        <f>IFERROR(INDEX(PP_Grid[#Data],$DE87,6),0)</f>
        <v/>
      </c>
      <c r="J87">
        <f>IFERROR(INDEX(PP_Grid[#Data],$DE87,7),0)</f>
        <v/>
      </c>
      <c r="K87">
        <f>IFERROR(INDEX(PP_Grid[#Data],$DE87,8),0)</f>
        <v/>
      </c>
      <c r="L87">
        <f>IFERROR(INDEX(PP_Grid[#Data],$DE87,9),0)</f>
        <v/>
      </c>
      <c r="M87">
        <f>IFERROR(INDEX(PP_Grid[#Data],$DE87,10),0)</f>
        <v/>
      </c>
      <c r="N87">
        <f>IFERROR(INDEX(PP_Grid[#Data],$DE87,11),0)</f>
        <v/>
      </c>
      <c r="O87">
        <f>IFERROR(INDEX(PP_Grid[#Data],$DE87,12),0)</f>
        <v/>
      </c>
      <c r="P87">
        <f>IFERROR(INDEX(PP_Grid[#Data],$DE87,13),0)</f>
        <v/>
      </c>
      <c r="Q87">
        <f>IFERROR(INDEX(PP_Grid[#Data],$DE87,14),0)</f>
        <v/>
      </c>
      <c r="R87">
        <f>IFERROR(INDEX(PP_Grid[#Data],$DE87,15),0)</f>
        <v/>
      </c>
      <c r="S87">
        <f>IFERROR(INDEX(PP_Grid[#Data],$DE87,16),0)</f>
        <v/>
      </c>
      <c r="T87">
        <f>IFERROR(INDEX(PP_Grid[#Data],$DE87,17),0)</f>
        <v/>
      </c>
      <c r="U87">
        <f>IFERROR(INDEX(PP_Grid[#Data],$DE87,18),0)</f>
        <v/>
      </c>
      <c r="V87">
        <f>IFERROR(INDEX(PP_Grid[#Data],$DE87,19),0)</f>
        <v/>
      </c>
      <c r="W87">
        <f>IFERROR(INDEX(PP_Grid[#Data],$DE87,20),0)</f>
        <v/>
      </c>
      <c r="X87">
        <f>IFERROR(INDEX(PP_Grid[#Data],$DE87,21),0)</f>
        <v/>
      </c>
      <c r="Y87">
        <f>IFERROR(INDEX(PP_Grid[#Data],$DE87,22),0)</f>
        <v/>
      </c>
      <c r="Z87">
        <f>IFERROR(INDEX(PP_Grid[#Data],$DE87,23),0)</f>
        <v/>
      </c>
      <c r="AA87">
        <f>IFERROR(INDEX(PP_Grid[#Data],$DE87,24),0)</f>
        <v/>
      </c>
      <c r="AB87">
        <f>IFERROR(INDEX(PP_Grid[#Data],$DE87,25),0)</f>
        <v/>
      </c>
      <c r="AC87">
        <f>IFERROR(INDEX(PP_Grid[#Data],$DE87,26),0)</f>
        <v/>
      </c>
      <c r="AD87">
        <f>IFERROR(INDEX(PP_Grid[#Data],$DE87,27),0)</f>
        <v/>
      </c>
      <c r="AE87">
        <f>IFERROR(INDEX(PP_Grid[#Data],$DE87,28),0)</f>
        <v/>
      </c>
      <c r="AF87">
        <f>IFERROR(INDEX(PP_Grid[#Data],$DE87,29),0)</f>
        <v/>
      </c>
      <c r="AG87">
        <f>IFERROR(INDEX(PP_Grid[#Data],$DE87,30),0)</f>
        <v/>
      </c>
      <c r="AH87">
        <f>IFERROR(INDEX(PP_Grid[#Data],$DE87,31),0)</f>
        <v/>
      </c>
      <c r="AI87">
        <f>IFERROR(INDEX(PP_Grid[#Data],$DE87,32),0)</f>
        <v/>
      </c>
      <c r="AJ87">
        <f>IFERROR(INDEX(PP_Grid[#Data],$DE87,33),0)</f>
        <v/>
      </c>
      <c r="AK87">
        <f>IFERROR(INDEX(PP_Grid[#Data],$DE87,34),0)</f>
        <v/>
      </c>
      <c r="AL87">
        <f>IFERROR(INDEX(PP_Grid[#Data],$DE87,35),0)</f>
        <v/>
      </c>
      <c r="AM87">
        <f>IFERROR(INDEX(PP_Grid[#Data],$DE87,36),0)</f>
        <v/>
      </c>
      <c r="AN87">
        <f>IFERROR(INDEX(PP_Grid[#Data],$DE87,37),0)</f>
        <v/>
      </c>
      <c r="AO87">
        <f>IFERROR(INDEX(PP_Grid[#Data],$DE87,38),0)</f>
        <v/>
      </c>
      <c r="AP87">
        <f>IFERROR(INDEX(PP_Grid[#Data],$DE87,39),0)</f>
        <v/>
      </c>
      <c r="AQ87">
        <f>IFERROR(INDEX(PP_Grid[#Data],$DE87,40),0)</f>
        <v/>
      </c>
      <c r="AR87">
        <f>IFERROR(INDEX(PP_Grid[#Data],$DE87,41),0)</f>
        <v/>
      </c>
      <c r="AS87">
        <f>IFERROR(INDEX(PP_Grid[#Data],$DE87,42),0)</f>
        <v/>
      </c>
      <c r="AT87">
        <f>IFERROR(INDEX(PP_Grid[#Data],$DE87,43),0)</f>
        <v/>
      </c>
      <c r="AU87">
        <f>IFERROR(INDEX(PP_Grid[#Data],$DE87,44),0)</f>
        <v/>
      </c>
      <c r="AV87">
        <f>IFERROR(INDEX(PP_Grid[#Data],$DE87,45),0)</f>
        <v/>
      </c>
      <c r="AW87">
        <f>IFERROR(INDEX(PP_Grid[#Data],$DE87,46),0)</f>
        <v/>
      </c>
      <c r="AX87">
        <f>IFERROR(INDEX(PP_Grid[#Data],$DE87,47),0)</f>
        <v/>
      </c>
      <c r="AY87">
        <f>IFERROR(INDEX(PP_Grid[#Data],$DE87,48),0)</f>
        <v/>
      </c>
      <c r="AZ87">
        <f>IFERROR(INDEX(PP_Grid[#Data],$DE87,49),0)</f>
        <v/>
      </c>
      <c r="BA87">
        <f>IFERROR(INDEX(PP_Grid[#Data],$DE87,50),0)</f>
        <v/>
      </c>
      <c r="BB87">
        <f>IFERROR(INDEX(PP_Grid[#Data],$DE87,51),0)</f>
        <v/>
      </c>
      <c r="BC87">
        <f>IFERROR(INDEX(PP_Grid[#Data],$DE87,52),0)</f>
        <v/>
      </c>
      <c r="BD87">
        <f>IFERROR(INDEX(PP_Grid[#Data],$DE87,53),0)</f>
        <v/>
      </c>
      <c r="BE87">
        <f>IFERROR(INDEX(PP_Grid[#Data],$DE87,54),0)</f>
        <v/>
      </c>
      <c r="BF87">
        <f>IFERROR(INDEX(PP_Grid[#Data],$DE87,55),0)</f>
        <v/>
      </c>
      <c r="BG87">
        <f>IFERROR(INDEX(PP_Grid[#Data],$DE87,56),0)</f>
        <v/>
      </c>
      <c r="BH87">
        <f>IFERROR(INDEX(PP_Grid[#Data],$DE87,57),0)</f>
        <v/>
      </c>
      <c r="BI87">
        <f>IFERROR(INDEX(PP_Grid[#Data],$DE87,58),0)</f>
        <v/>
      </c>
      <c r="BJ87">
        <f>IFERROR(INDEX(PP_Grid[#Data],$DE87,59),0)</f>
        <v/>
      </c>
      <c r="BK87">
        <f>IFERROR(INDEX(PP_Grid[#Data],$DE87,60),0)</f>
        <v/>
      </c>
      <c r="BL87">
        <f>IFERROR(INDEX(PP_Grid[#Data],$DE87,61),0)</f>
        <v/>
      </c>
      <c r="BM87">
        <f>IFERROR(INDEX(PP_Grid[#Data],$DE87,62),0)</f>
        <v/>
      </c>
      <c r="BN87">
        <f>IFERROR(INDEX(PP_Grid[#Data],$DE87,63),0)</f>
        <v/>
      </c>
      <c r="BO87">
        <f>IFERROR(INDEX(PP_Grid[#Data],$DE87,64),0)</f>
        <v/>
      </c>
      <c r="BP87">
        <f>IFERROR(INDEX(PP_Grid[#Data],$DE87,65),0)</f>
        <v/>
      </c>
      <c r="BQ87">
        <f>IFERROR(INDEX(PP_Grid[#Data],$DE87,66),0)</f>
        <v/>
      </c>
      <c r="BR87">
        <f>IFERROR(INDEX(PP_Grid[#Data],$DE87,67),0)</f>
        <v/>
      </c>
      <c r="BS87">
        <f>IFERROR(INDEX(PP_Grid[#Data],$DE87,68),0)</f>
        <v/>
      </c>
      <c r="BT87">
        <f>IFERROR(INDEX(PP_Grid[#Data],$DE87,69),0)</f>
        <v/>
      </c>
      <c r="BU87">
        <f>IFERROR(INDEX(PP_Grid[#Data],$DE87,70),0)</f>
        <v/>
      </c>
      <c r="BV87">
        <f>IFERROR(INDEX(PP_Grid[#Data],$DE87,71),0)</f>
        <v/>
      </c>
      <c r="BW87">
        <f>IFERROR(INDEX(PP_Grid[#Data],$DE87,72),0)</f>
        <v/>
      </c>
      <c r="BX87">
        <f>IFERROR(INDEX(PP_Grid[#Data],$DE87,73),0)</f>
        <v/>
      </c>
      <c r="BY87">
        <f>IFERROR(INDEX(PP_Grid[#Data],$DE87,74),0)</f>
        <v/>
      </c>
      <c r="BZ87">
        <f>IFERROR(INDEX(PP_Grid[#Data],$DE87,75),0)</f>
        <v/>
      </c>
      <c r="CA87">
        <f>IFERROR(INDEX(PP_Grid[#Data],$DE87,76),0)</f>
        <v/>
      </c>
      <c r="CB87">
        <f>IFERROR(INDEX(PP_Grid[#Data],$DE87,77),0)</f>
        <v/>
      </c>
      <c r="CC87">
        <f>IFERROR(INDEX(PP_Grid[#Data],$DE87,78),0)</f>
        <v/>
      </c>
      <c r="CD87">
        <f>IFERROR(INDEX(PP_Grid[#Data],$DE87,79),0)</f>
        <v/>
      </c>
      <c r="CE87">
        <f>IFERROR(INDEX(PP_Grid[#Data],$DE87,80),0)</f>
        <v/>
      </c>
      <c r="CF87">
        <f>IFERROR(INDEX(PP_Grid[#Data],$DE87,81),0)</f>
        <v/>
      </c>
      <c r="CG87">
        <f>IFERROR(INDEX(PP_Grid[#Data],$DE87,82),0)</f>
        <v/>
      </c>
      <c r="CH87">
        <f>IFERROR(INDEX(PP_Grid[#Data],$DE87,83),0)</f>
        <v/>
      </c>
      <c r="CI87">
        <f>IFERROR(INDEX(PP_Grid[#Data],$DE87,84),0)</f>
        <v/>
      </c>
      <c r="CJ87">
        <f>IFERROR(INDEX(PP_Grid[#Data],$DE87,85),0)</f>
        <v/>
      </c>
      <c r="CK87">
        <f>IFERROR(INDEX(PP_Grid[#Data],$DE87,86),0)</f>
        <v/>
      </c>
      <c r="CL87">
        <f>IFERROR(INDEX(PP_Grid[#Data],$DE87,87),0)</f>
        <v/>
      </c>
      <c r="CM87">
        <f>IFERROR(INDEX(PP_Grid[#Data],$DE87,88),0)</f>
        <v/>
      </c>
      <c r="CN87">
        <f>IFERROR(INDEX(PP_Grid[#Data],$DE87,89),0)</f>
        <v/>
      </c>
      <c r="CO87">
        <f>IFERROR(INDEX(PP_Grid[#Data],$DE87,90),0)</f>
        <v/>
      </c>
      <c r="CP87">
        <f>IFERROR(INDEX(PP_Grid[#Data],$DE87,91),0)</f>
        <v/>
      </c>
      <c r="CQ87">
        <f>IFERROR(INDEX(PP_Grid[#Data],$DE87,92),0)</f>
        <v/>
      </c>
      <c r="CR87">
        <f>IFERROR(INDEX(PP_Grid[#Data],$DE87,93),0)</f>
        <v/>
      </c>
      <c r="CS87">
        <f>IFERROR(INDEX(PP_Grid[#Data],$DE87,94),0)</f>
        <v/>
      </c>
      <c r="CT87">
        <f>IFERROR(INDEX(PP_Grid[#Data],$DE87,95),0)</f>
        <v/>
      </c>
      <c r="CU87">
        <f>IFERROR(INDEX(PP_Grid[#Data],$DE87,96),0)</f>
        <v/>
      </c>
      <c r="CV87">
        <f>IFERROR(INDEX(PP_Grid[#Data],$DE87,97),0)</f>
        <v/>
      </c>
      <c r="CW87">
        <f>IFERROR(INDEX(PP_Grid[#Data],$DE87,98),0)</f>
        <v/>
      </c>
      <c r="CX87">
        <f>IFERROR(INDEX(PP_Grid[#Data],$DE87,99),0)</f>
        <v/>
      </c>
      <c r="CY87">
        <f>IFERROR(INDEX(PP_Grid[#Data],$DE87,100),0)</f>
        <v/>
      </c>
      <c r="CZ87">
        <f>IFERROR(INDEX(PP_Grid[#Data],$DE87,101),0)</f>
        <v/>
      </c>
      <c r="DA87">
        <f>IFERROR(INDEX(PP_Grid[#Data],$DE87,102),0)</f>
        <v/>
      </c>
      <c r="DB87">
        <f>IFERROR(INDEX(PP_Grid[#Data],$DE87,103),0)</f>
        <v/>
      </c>
      <c r="DC87">
        <f>IFERROR(INDEX(PP_Grid[#Data],$DE87,104),0)</f>
        <v/>
      </c>
      <c r="DD87">
        <f>IFERROR(INDEX(PP_Grid[#Data],$DE87,105),0)</f>
        <v/>
      </c>
      <c r="DE87" s="7">
        <f>IFERROR(MATCH($B87,PP_Grid[Intermediate],0),99999)</f>
        <v/>
      </c>
    </row>
    <row r="88">
      <c r="B88" t="inlineStr">
        <is>
          <t>使用量(kg)</t>
        </is>
      </c>
      <c r="C88">
        <f>SUMIFS(M_BOM[RM_Qty_Per_Batch],M_BOM[Intermediate],$B87,M_BOM[RM_Code],$A28)</f>
        <v/>
      </c>
      <c r="D88">
        <f>IFERROR(INDEX(E88:DD88,$F$1),"")</f>
        <v/>
      </c>
      <c r="E88">
        <f>$C88*E87</f>
        <v/>
      </c>
      <c r="F88">
        <f>$C88*F87</f>
        <v/>
      </c>
      <c r="G88">
        <f>$C88*G87</f>
        <v/>
      </c>
      <c r="H88">
        <f>$C88*H87</f>
        <v/>
      </c>
      <c r="I88">
        <f>$C88*I87</f>
        <v/>
      </c>
      <c r="J88">
        <f>$C88*J87</f>
        <v/>
      </c>
      <c r="K88">
        <f>$C88*K87</f>
        <v/>
      </c>
      <c r="L88">
        <f>$C88*L87</f>
        <v/>
      </c>
      <c r="M88">
        <f>$C88*M87</f>
        <v/>
      </c>
      <c r="N88">
        <f>$C88*N87</f>
        <v/>
      </c>
      <c r="O88">
        <f>$C88*O87</f>
        <v/>
      </c>
      <c r="P88">
        <f>$C88*P87</f>
        <v/>
      </c>
      <c r="Q88">
        <f>$C88*Q87</f>
        <v/>
      </c>
      <c r="R88">
        <f>$C88*R87</f>
        <v/>
      </c>
      <c r="S88">
        <f>$C88*S87</f>
        <v/>
      </c>
      <c r="T88">
        <f>$C88*T87</f>
        <v/>
      </c>
      <c r="U88">
        <f>$C88*U87</f>
        <v/>
      </c>
      <c r="V88">
        <f>$C88*V87</f>
        <v/>
      </c>
      <c r="W88">
        <f>$C88*W87</f>
        <v/>
      </c>
      <c r="X88">
        <f>$C88*X87</f>
        <v/>
      </c>
      <c r="Y88">
        <f>$C88*Y87</f>
        <v/>
      </c>
      <c r="Z88">
        <f>$C88*Z87</f>
        <v/>
      </c>
      <c r="AA88">
        <f>$C88*AA87</f>
        <v/>
      </c>
      <c r="AB88">
        <f>$C88*AB87</f>
        <v/>
      </c>
      <c r="AC88">
        <f>$C88*AC87</f>
        <v/>
      </c>
      <c r="AD88">
        <f>$C88*AD87</f>
        <v/>
      </c>
      <c r="AE88">
        <f>$C88*AE87</f>
        <v/>
      </c>
      <c r="AF88">
        <f>$C88*AF87</f>
        <v/>
      </c>
      <c r="AG88">
        <f>$C88*AG87</f>
        <v/>
      </c>
      <c r="AH88">
        <f>$C88*AH87</f>
        <v/>
      </c>
      <c r="AI88">
        <f>$C88*AI87</f>
        <v/>
      </c>
      <c r="AJ88">
        <f>$C88*AJ87</f>
        <v/>
      </c>
      <c r="AK88">
        <f>$C88*AK87</f>
        <v/>
      </c>
      <c r="AL88">
        <f>$C88*AL87</f>
        <v/>
      </c>
      <c r="AM88">
        <f>$C88*AM87</f>
        <v/>
      </c>
      <c r="AN88">
        <f>$C88*AN87</f>
        <v/>
      </c>
      <c r="AO88">
        <f>$C88*AO87</f>
        <v/>
      </c>
      <c r="AP88">
        <f>$C88*AP87</f>
        <v/>
      </c>
      <c r="AQ88">
        <f>$C88*AQ87</f>
        <v/>
      </c>
      <c r="AR88">
        <f>$C88*AR87</f>
        <v/>
      </c>
      <c r="AS88">
        <f>$C88*AS87</f>
        <v/>
      </c>
      <c r="AT88">
        <f>$C88*AT87</f>
        <v/>
      </c>
      <c r="AU88">
        <f>$C88*AU87</f>
        <v/>
      </c>
      <c r="AV88">
        <f>$C88*AV87</f>
        <v/>
      </c>
      <c r="AW88">
        <f>$C88*AW87</f>
        <v/>
      </c>
      <c r="AX88">
        <f>$C88*AX87</f>
        <v/>
      </c>
      <c r="AY88">
        <f>$C88*AY87</f>
        <v/>
      </c>
      <c r="AZ88">
        <f>$C88*AZ87</f>
        <v/>
      </c>
      <c r="BA88">
        <f>$C88*BA87</f>
        <v/>
      </c>
      <c r="BB88">
        <f>$C88*BB87</f>
        <v/>
      </c>
      <c r="BC88">
        <f>$C88*BC87</f>
        <v/>
      </c>
      <c r="BD88">
        <f>$C88*BD87</f>
        <v/>
      </c>
      <c r="BE88">
        <f>$C88*BE87</f>
        <v/>
      </c>
      <c r="BF88">
        <f>$C88*BF87</f>
        <v/>
      </c>
      <c r="BG88">
        <f>$C88*BG87</f>
        <v/>
      </c>
      <c r="BH88">
        <f>$C88*BH87</f>
        <v/>
      </c>
      <c r="BI88">
        <f>$C88*BI87</f>
        <v/>
      </c>
      <c r="BJ88">
        <f>$C88*BJ87</f>
        <v/>
      </c>
      <c r="BK88">
        <f>$C88*BK87</f>
        <v/>
      </c>
      <c r="BL88">
        <f>$C88*BL87</f>
        <v/>
      </c>
      <c r="BM88">
        <f>$C88*BM87</f>
        <v/>
      </c>
      <c r="BN88">
        <f>$C88*BN87</f>
        <v/>
      </c>
      <c r="BO88">
        <f>$C88*BO87</f>
        <v/>
      </c>
      <c r="BP88">
        <f>$C88*BP87</f>
        <v/>
      </c>
      <c r="BQ88">
        <f>$C88*BQ87</f>
        <v/>
      </c>
      <c r="BR88">
        <f>$C88*BR87</f>
        <v/>
      </c>
      <c r="BS88">
        <f>$C88*BS87</f>
        <v/>
      </c>
      <c r="BT88">
        <f>$C88*BT87</f>
        <v/>
      </c>
      <c r="BU88">
        <f>$C88*BU87</f>
        <v/>
      </c>
      <c r="BV88">
        <f>$C88*BV87</f>
        <v/>
      </c>
      <c r="BW88">
        <f>$C88*BW87</f>
        <v/>
      </c>
      <c r="BX88">
        <f>$C88*BX87</f>
        <v/>
      </c>
      <c r="BY88">
        <f>$C88*BY87</f>
        <v/>
      </c>
      <c r="BZ88">
        <f>$C88*BZ87</f>
        <v/>
      </c>
      <c r="CA88">
        <f>$C88*CA87</f>
        <v/>
      </c>
      <c r="CB88">
        <f>$C88*CB87</f>
        <v/>
      </c>
      <c r="CC88">
        <f>$C88*CC87</f>
        <v/>
      </c>
      <c r="CD88">
        <f>$C88*CD87</f>
        <v/>
      </c>
      <c r="CE88">
        <f>$C88*CE87</f>
        <v/>
      </c>
      <c r="CF88">
        <f>$C88*CF87</f>
        <v/>
      </c>
      <c r="CG88">
        <f>$C88*CG87</f>
        <v/>
      </c>
      <c r="CH88">
        <f>$C88*CH87</f>
        <v/>
      </c>
      <c r="CI88">
        <f>$C88*CI87</f>
        <v/>
      </c>
      <c r="CJ88">
        <f>$C88*CJ87</f>
        <v/>
      </c>
      <c r="CK88">
        <f>$C88*CK87</f>
        <v/>
      </c>
      <c r="CL88">
        <f>$C88*CL87</f>
        <v/>
      </c>
      <c r="CM88">
        <f>$C88*CM87</f>
        <v/>
      </c>
      <c r="CN88">
        <f>$C88*CN87</f>
        <v/>
      </c>
      <c r="CO88">
        <f>$C88*CO87</f>
        <v/>
      </c>
      <c r="CP88">
        <f>$C88*CP87</f>
        <v/>
      </c>
      <c r="CQ88">
        <f>$C88*CQ87</f>
        <v/>
      </c>
      <c r="CR88">
        <f>$C88*CR87</f>
        <v/>
      </c>
      <c r="CS88">
        <f>$C88*CS87</f>
        <v/>
      </c>
      <c r="CT88">
        <f>$C88*CT87</f>
        <v/>
      </c>
      <c r="CU88">
        <f>$C88*CU87</f>
        <v/>
      </c>
      <c r="CV88">
        <f>$C88*CV87</f>
        <v/>
      </c>
      <c r="CW88">
        <f>$C88*CW87</f>
        <v/>
      </c>
      <c r="CX88">
        <f>$C88*CX87</f>
        <v/>
      </c>
      <c r="CY88">
        <f>$C88*CY87</f>
        <v/>
      </c>
      <c r="CZ88">
        <f>$C88*CZ87</f>
        <v/>
      </c>
      <c r="DA88">
        <f>$C88*DA87</f>
        <v/>
      </c>
      <c r="DB88">
        <f>$C88*DB87</f>
        <v/>
      </c>
      <c r="DC88">
        <f>$C88*DC87</f>
        <v/>
      </c>
      <c r="DD88">
        <f>$C88*DD87</f>
        <v/>
      </c>
    </row>
    <row r="89">
      <c r="B89" t="inlineStr">
        <is>
          <t>VSP-738</t>
        </is>
      </c>
      <c r="C89" t="inlineStr">
        <is>
          <t>No. of batches</t>
        </is>
      </c>
      <c r="D89">
        <f>IFERROR(INDEX(E89:DD89,$F$1),"")</f>
        <v/>
      </c>
      <c r="E89">
        <f>IFERROR(INDEX(PP_Grid[#Data],$DE89,2),0)</f>
        <v/>
      </c>
      <c r="F89">
        <f>IFERROR(INDEX(PP_Grid[#Data],$DE89,3),0)</f>
        <v/>
      </c>
      <c r="G89">
        <f>IFERROR(INDEX(PP_Grid[#Data],$DE89,4),0)</f>
        <v/>
      </c>
      <c r="H89">
        <f>IFERROR(INDEX(PP_Grid[#Data],$DE89,5),0)</f>
        <v/>
      </c>
      <c r="I89">
        <f>IFERROR(INDEX(PP_Grid[#Data],$DE89,6),0)</f>
        <v/>
      </c>
      <c r="J89">
        <f>IFERROR(INDEX(PP_Grid[#Data],$DE89,7),0)</f>
        <v/>
      </c>
      <c r="K89">
        <f>IFERROR(INDEX(PP_Grid[#Data],$DE89,8),0)</f>
        <v/>
      </c>
      <c r="L89">
        <f>IFERROR(INDEX(PP_Grid[#Data],$DE89,9),0)</f>
        <v/>
      </c>
      <c r="M89">
        <f>IFERROR(INDEX(PP_Grid[#Data],$DE89,10),0)</f>
        <v/>
      </c>
      <c r="N89">
        <f>IFERROR(INDEX(PP_Grid[#Data],$DE89,11),0)</f>
        <v/>
      </c>
      <c r="O89">
        <f>IFERROR(INDEX(PP_Grid[#Data],$DE89,12),0)</f>
        <v/>
      </c>
      <c r="P89">
        <f>IFERROR(INDEX(PP_Grid[#Data],$DE89,13),0)</f>
        <v/>
      </c>
      <c r="Q89">
        <f>IFERROR(INDEX(PP_Grid[#Data],$DE89,14),0)</f>
        <v/>
      </c>
      <c r="R89">
        <f>IFERROR(INDEX(PP_Grid[#Data],$DE89,15),0)</f>
        <v/>
      </c>
      <c r="S89">
        <f>IFERROR(INDEX(PP_Grid[#Data],$DE89,16),0)</f>
        <v/>
      </c>
      <c r="T89">
        <f>IFERROR(INDEX(PP_Grid[#Data],$DE89,17),0)</f>
        <v/>
      </c>
      <c r="U89">
        <f>IFERROR(INDEX(PP_Grid[#Data],$DE89,18),0)</f>
        <v/>
      </c>
      <c r="V89">
        <f>IFERROR(INDEX(PP_Grid[#Data],$DE89,19),0)</f>
        <v/>
      </c>
      <c r="W89">
        <f>IFERROR(INDEX(PP_Grid[#Data],$DE89,20),0)</f>
        <v/>
      </c>
      <c r="X89">
        <f>IFERROR(INDEX(PP_Grid[#Data],$DE89,21),0)</f>
        <v/>
      </c>
      <c r="Y89">
        <f>IFERROR(INDEX(PP_Grid[#Data],$DE89,22),0)</f>
        <v/>
      </c>
      <c r="Z89">
        <f>IFERROR(INDEX(PP_Grid[#Data],$DE89,23),0)</f>
        <v/>
      </c>
      <c r="AA89">
        <f>IFERROR(INDEX(PP_Grid[#Data],$DE89,24),0)</f>
        <v/>
      </c>
      <c r="AB89">
        <f>IFERROR(INDEX(PP_Grid[#Data],$DE89,25),0)</f>
        <v/>
      </c>
      <c r="AC89">
        <f>IFERROR(INDEX(PP_Grid[#Data],$DE89,26),0)</f>
        <v/>
      </c>
      <c r="AD89">
        <f>IFERROR(INDEX(PP_Grid[#Data],$DE89,27),0)</f>
        <v/>
      </c>
      <c r="AE89">
        <f>IFERROR(INDEX(PP_Grid[#Data],$DE89,28),0)</f>
        <v/>
      </c>
      <c r="AF89">
        <f>IFERROR(INDEX(PP_Grid[#Data],$DE89,29),0)</f>
        <v/>
      </c>
      <c r="AG89">
        <f>IFERROR(INDEX(PP_Grid[#Data],$DE89,30),0)</f>
        <v/>
      </c>
      <c r="AH89">
        <f>IFERROR(INDEX(PP_Grid[#Data],$DE89,31),0)</f>
        <v/>
      </c>
      <c r="AI89">
        <f>IFERROR(INDEX(PP_Grid[#Data],$DE89,32),0)</f>
        <v/>
      </c>
      <c r="AJ89">
        <f>IFERROR(INDEX(PP_Grid[#Data],$DE89,33),0)</f>
        <v/>
      </c>
      <c r="AK89">
        <f>IFERROR(INDEX(PP_Grid[#Data],$DE89,34),0)</f>
        <v/>
      </c>
      <c r="AL89">
        <f>IFERROR(INDEX(PP_Grid[#Data],$DE89,35),0)</f>
        <v/>
      </c>
      <c r="AM89">
        <f>IFERROR(INDEX(PP_Grid[#Data],$DE89,36),0)</f>
        <v/>
      </c>
      <c r="AN89">
        <f>IFERROR(INDEX(PP_Grid[#Data],$DE89,37),0)</f>
        <v/>
      </c>
      <c r="AO89">
        <f>IFERROR(INDEX(PP_Grid[#Data],$DE89,38),0)</f>
        <v/>
      </c>
      <c r="AP89">
        <f>IFERROR(INDEX(PP_Grid[#Data],$DE89,39),0)</f>
        <v/>
      </c>
      <c r="AQ89">
        <f>IFERROR(INDEX(PP_Grid[#Data],$DE89,40),0)</f>
        <v/>
      </c>
      <c r="AR89">
        <f>IFERROR(INDEX(PP_Grid[#Data],$DE89,41),0)</f>
        <v/>
      </c>
      <c r="AS89">
        <f>IFERROR(INDEX(PP_Grid[#Data],$DE89,42),0)</f>
        <v/>
      </c>
      <c r="AT89">
        <f>IFERROR(INDEX(PP_Grid[#Data],$DE89,43),0)</f>
        <v/>
      </c>
      <c r="AU89">
        <f>IFERROR(INDEX(PP_Grid[#Data],$DE89,44),0)</f>
        <v/>
      </c>
      <c r="AV89">
        <f>IFERROR(INDEX(PP_Grid[#Data],$DE89,45),0)</f>
        <v/>
      </c>
      <c r="AW89">
        <f>IFERROR(INDEX(PP_Grid[#Data],$DE89,46),0)</f>
        <v/>
      </c>
      <c r="AX89">
        <f>IFERROR(INDEX(PP_Grid[#Data],$DE89,47),0)</f>
        <v/>
      </c>
      <c r="AY89">
        <f>IFERROR(INDEX(PP_Grid[#Data],$DE89,48),0)</f>
        <v/>
      </c>
      <c r="AZ89">
        <f>IFERROR(INDEX(PP_Grid[#Data],$DE89,49),0)</f>
        <v/>
      </c>
      <c r="BA89">
        <f>IFERROR(INDEX(PP_Grid[#Data],$DE89,50),0)</f>
        <v/>
      </c>
      <c r="BB89">
        <f>IFERROR(INDEX(PP_Grid[#Data],$DE89,51),0)</f>
        <v/>
      </c>
      <c r="BC89">
        <f>IFERROR(INDEX(PP_Grid[#Data],$DE89,52),0)</f>
        <v/>
      </c>
      <c r="BD89">
        <f>IFERROR(INDEX(PP_Grid[#Data],$DE89,53),0)</f>
        <v/>
      </c>
      <c r="BE89">
        <f>IFERROR(INDEX(PP_Grid[#Data],$DE89,54),0)</f>
        <v/>
      </c>
      <c r="BF89">
        <f>IFERROR(INDEX(PP_Grid[#Data],$DE89,55),0)</f>
        <v/>
      </c>
      <c r="BG89">
        <f>IFERROR(INDEX(PP_Grid[#Data],$DE89,56),0)</f>
        <v/>
      </c>
      <c r="BH89">
        <f>IFERROR(INDEX(PP_Grid[#Data],$DE89,57),0)</f>
        <v/>
      </c>
      <c r="BI89">
        <f>IFERROR(INDEX(PP_Grid[#Data],$DE89,58),0)</f>
        <v/>
      </c>
      <c r="BJ89">
        <f>IFERROR(INDEX(PP_Grid[#Data],$DE89,59),0)</f>
        <v/>
      </c>
      <c r="BK89">
        <f>IFERROR(INDEX(PP_Grid[#Data],$DE89,60),0)</f>
        <v/>
      </c>
      <c r="BL89">
        <f>IFERROR(INDEX(PP_Grid[#Data],$DE89,61),0)</f>
        <v/>
      </c>
      <c r="BM89">
        <f>IFERROR(INDEX(PP_Grid[#Data],$DE89,62),0)</f>
        <v/>
      </c>
      <c r="BN89">
        <f>IFERROR(INDEX(PP_Grid[#Data],$DE89,63),0)</f>
        <v/>
      </c>
      <c r="BO89">
        <f>IFERROR(INDEX(PP_Grid[#Data],$DE89,64),0)</f>
        <v/>
      </c>
      <c r="BP89">
        <f>IFERROR(INDEX(PP_Grid[#Data],$DE89,65),0)</f>
        <v/>
      </c>
      <c r="BQ89">
        <f>IFERROR(INDEX(PP_Grid[#Data],$DE89,66),0)</f>
        <v/>
      </c>
      <c r="BR89">
        <f>IFERROR(INDEX(PP_Grid[#Data],$DE89,67),0)</f>
        <v/>
      </c>
      <c r="BS89">
        <f>IFERROR(INDEX(PP_Grid[#Data],$DE89,68),0)</f>
        <v/>
      </c>
      <c r="BT89">
        <f>IFERROR(INDEX(PP_Grid[#Data],$DE89,69),0)</f>
        <v/>
      </c>
      <c r="BU89">
        <f>IFERROR(INDEX(PP_Grid[#Data],$DE89,70),0)</f>
        <v/>
      </c>
      <c r="BV89">
        <f>IFERROR(INDEX(PP_Grid[#Data],$DE89,71),0)</f>
        <v/>
      </c>
      <c r="BW89">
        <f>IFERROR(INDEX(PP_Grid[#Data],$DE89,72),0)</f>
        <v/>
      </c>
      <c r="BX89">
        <f>IFERROR(INDEX(PP_Grid[#Data],$DE89,73),0)</f>
        <v/>
      </c>
      <c r="BY89">
        <f>IFERROR(INDEX(PP_Grid[#Data],$DE89,74),0)</f>
        <v/>
      </c>
      <c r="BZ89">
        <f>IFERROR(INDEX(PP_Grid[#Data],$DE89,75),0)</f>
        <v/>
      </c>
      <c r="CA89">
        <f>IFERROR(INDEX(PP_Grid[#Data],$DE89,76),0)</f>
        <v/>
      </c>
      <c r="CB89">
        <f>IFERROR(INDEX(PP_Grid[#Data],$DE89,77),0)</f>
        <v/>
      </c>
      <c r="CC89">
        <f>IFERROR(INDEX(PP_Grid[#Data],$DE89,78),0)</f>
        <v/>
      </c>
      <c r="CD89">
        <f>IFERROR(INDEX(PP_Grid[#Data],$DE89,79),0)</f>
        <v/>
      </c>
      <c r="CE89">
        <f>IFERROR(INDEX(PP_Grid[#Data],$DE89,80),0)</f>
        <v/>
      </c>
      <c r="CF89">
        <f>IFERROR(INDEX(PP_Grid[#Data],$DE89,81),0)</f>
        <v/>
      </c>
      <c r="CG89">
        <f>IFERROR(INDEX(PP_Grid[#Data],$DE89,82),0)</f>
        <v/>
      </c>
      <c r="CH89">
        <f>IFERROR(INDEX(PP_Grid[#Data],$DE89,83),0)</f>
        <v/>
      </c>
      <c r="CI89">
        <f>IFERROR(INDEX(PP_Grid[#Data],$DE89,84),0)</f>
        <v/>
      </c>
      <c r="CJ89">
        <f>IFERROR(INDEX(PP_Grid[#Data],$DE89,85),0)</f>
        <v/>
      </c>
      <c r="CK89">
        <f>IFERROR(INDEX(PP_Grid[#Data],$DE89,86),0)</f>
        <v/>
      </c>
      <c r="CL89">
        <f>IFERROR(INDEX(PP_Grid[#Data],$DE89,87),0)</f>
        <v/>
      </c>
      <c r="CM89">
        <f>IFERROR(INDEX(PP_Grid[#Data],$DE89,88),0)</f>
        <v/>
      </c>
      <c r="CN89">
        <f>IFERROR(INDEX(PP_Grid[#Data],$DE89,89),0)</f>
        <v/>
      </c>
      <c r="CO89">
        <f>IFERROR(INDEX(PP_Grid[#Data],$DE89,90),0)</f>
        <v/>
      </c>
      <c r="CP89">
        <f>IFERROR(INDEX(PP_Grid[#Data],$DE89,91),0)</f>
        <v/>
      </c>
      <c r="CQ89">
        <f>IFERROR(INDEX(PP_Grid[#Data],$DE89,92),0)</f>
        <v/>
      </c>
      <c r="CR89">
        <f>IFERROR(INDEX(PP_Grid[#Data],$DE89,93),0)</f>
        <v/>
      </c>
      <c r="CS89">
        <f>IFERROR(INDEX(PP_Grid[#Data],$DE89,94),0)</f>
        <v/>
      </c>
      <c r="CT89">
        <f>IFERROR(INDEX(PP_Grid[#Data],$DE89,95),0)</f>
        <v/>
      </c>
      <c r="CU89">
        <f>IFERROR(INDEX(PP_Grid[#Data],$DE89,96),0)</f>
        <v/>
      </c>
      <c r="CV89">
        <f>IFERROR(INDEX(PP_Grid[#Data],$DE89,97),0)</f>
        <v/>
      </c>
      <c r="CW89">
        <f>IFERROR(INDEX(PP_Grid[#Data],$DE89,98),0)</f>
        <v/>
      </c>
      <c r="CX89">
        <f>IFERROR(INDEX(PP_Grid[#Data],$DE89,99),0)</f>
        <v/>
      </c>
      <c r="CY89">
        <f>IFERROR(INDEX(PP_Grid[#Data],$DE89,100),0)</f>
        <v/>
      </c>
      <c r="CZ89">
        <f>IFERROR(INDEX(PP_Grid[#Data],$DE89,101),0)</f>
        <v/>
      </c>
      <c r="DA89">
        <f>IFERROR(INDEX(PP_Grid[#Data],$DE89,102),0)</f>
        <v/>
      </c>
      <c r="DB89">
        <f>IFERROR(INDEX(PP_Grid[#Data],$DE89,103),0)</f>
        <v/>
      </c>
      <c r="DC89">
        <f>IFERROR(INDEX(PP_Grid[#Data],$DE89,104),0)</f>
        <v/>
      </c>
      <c r="DD89">
        <f>IFERROR(INDEX(PP_Grid[#Data],$DE89,105),0)</f>
        <v/>
      </c>
      <c r="DE89" s="7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SUMIFS(M_BOM[RM_Qty_Per_Batch],M_BOM[Intermediate],$B89,M_BOM[RM_Code],$A28)</f>
        <v/>
      </c>
      <c r="D90">
        <f>IFERROR(INDEX(E90:DD90,$F$1),"")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  <c r="DD90">
        <f>$C90*DD89</f>
        <v/>
      </c>
    </row>
    <row r="91">
      <c r="B91" t="inlineStr">
        <is>
          <t>VSP-739</t>
        </is>
      </c>
      <c r="C91" t="inlineStr">
        <is>
          <t>No. of batches</t>
        </is>
      </c>
      <c r="D91">
        <f>IFERROR(INDEX(E91:DD91,$F$1),"")</f>
        <v/>
      </c>
      <c r="E91">
        <f>IFERROR(INDEX(PP_Grid[#Data],$DE91,2),0)</f>
        <v/>
      </c>
      <c r="F91">
        <f>IFERROR(INDEX(PP_Grid[#Data],$DE91,3),0)</f>
        <v/>
      </c>
      <c r="G91">
        <f>IFERROR(INDEX(PP_Grid[#Data],$DE91,4),0)</f>
        <v/>
      </c>
      <c r="H91">
        <f>IFERROR(INDEX(PP_Grid[#Data],$DE91,5),0)</f>
        <v/>
      </c>
      <c r="I91">
        <f>IFERROR(INDEX(PP_Grid[#Data],$DE91,6),0)</f>
        <v/>
      </c>
      <c r="J91">
        <f>IFERROR(INDEX(PP_Grid[#Data],$DE91,7),0)</f>
        <v/>
      </c>
      <c r="K91">
        <f>IFERROR(INDEX(PP_Grid[#Data],$DE91,8),0)</f>
        <v/>
      </c>
      <c r="L91">
        <f>IFERROR(INDEX(PP_Grid[#Data],$DE91,9),0)</f>
        <v/>
      </c>
      <c r="M91">
        <f>IFERROR(INDEX(PP_Grid[#Data],$DE91,10),0)</f>
        <v/>
      </c>
      <c r="N91">
        <f>IFERROR(INDEX(PP_Grid[#Data],$DE91,11),0)</f>
        <v/>
      </c>
      <c r="O91">
        <f>IFERROR(INDEX(PP_Grid[#Data],$DE91,12),0)</f>
        <v/>
      </c>
      <c r="P91">
        <f>IFERROR(INDEX(PP_Grid[#Data],$DE91,13),0)</f>
        <v/>
      </c>
      <c r="Q91">
        <f>IFERROR(INDEX(PP_Grid[#Data],$DE91,14),0)</f>
        <v/>
      </c>
      <c r="R91">
        <f>IFERROR(INDEX(PP_Grid[#Data],$DE91,15),0)</f>
        <v/>
      </c>
      <c r="S91">
        <f>IFERROR(INDEX(PP_Grid[#Data],$DE91,16),0)</f>
        <v/>
      </c>
      <c r="T91">
        <f>IFERROR(INDEX(PP_Grid[#Data],$DE91,17),0)</f>
        <v/>
      </c>
      <c r="U91">
        <f>IFERROR(INDEX(PP_Grid[#Data],$DE91,18),0)</f>
        <v/>
      </c>
      <c r="V91">
        <f>IFERROR(INDEX(PP_Grid[#Data],$DE91,19),0)</f>
        <v/>
      </c>
      <c r="W91">
        <f>IFERROR(INDEX(PP_Grid[#Data],$DE91,20),0)</f>
        <v/>
      </c>
      <c r="X91">
        <f>IFERROR(INDEX(PP_Grid[#Data],$DE91,21),0)</f>
        <v/>
      </c>
      <c r="Y91">
        <f>IFERROR(INDEX(PP_Grid[#Data],$DE91,22),0)</f>
        <v/>
      </c>
      <c r="Z91">
        <f>IFERROR(INDEX(PP_Grid[#Data],$DE91,23),0)</f>
        <v/>
      </c>
      <c r="AA91">
        <f>IFERROR(INDEX(PP_Grid[#Data],$DE91,24),0)</f>
        <v/>
      </c>
      <c r="AB91">
        <f>IFERROR(INDEX(PP_Grid[#Data],$DE91,25),0)</f>
        <v/>
      </c>
      <c r="AC91">
        <f>IFERROR(INDEX(PP_Grid[#Data],$DE91,26),0)</f>
        <v/>
      </c>
      <c r="AD91">
        <f>IFERROR(INDEX(PP_Grid[#Data],$DE91,27),0)</f>
        <v/>
      </c>
      <c r="AE91">
        <f>IFERROR(INDEX(PP_Grid[#Data],$DE91,28),0)</f>
        <v/>
      </c>
      <c r="AF91">
        <f>IFERROR(INDEX(PP_Grid[#Data],$DE91,29),0)</f>
        <v/>
      </c>
      <c r="AG91">
        <f>IFERROR(INDEX(PP_Grid[#Data],$DE91,30),0)</f>
        <v/>
      </c>
      <c r="AH91">
        <f>IFERROR(INDEX(PP_Grid[#Data],$DE91,31),0)</f>
        <v/>
      </c>
      <c r="AI91">
        <f>IFERROR(INDEX(PP_Grid[#Data],$DE91,32),0)</f>
        <v/>
      </c>
      <c r="AJ91">
        <f>IFERROR(INDEX(PP_Grid[#Data],$DE91,33),0)</f>
        <v/>
      </c>
      <c r="AK91">
        <f>IFERROR(INDEX(PP_Grid[#Data],$DE91,34),0)</f>
        <v/>
      </c>
      <c r="AL91">
        <f>IFERROR(INDEX(PP_Grid[#Data],$DE91,35),0)</f>
        <v/>
      </c>
      <c r="AM91">
        <f>IFERROR(INDEX(PP_Grid[#Data],$DE91,36),0)</f>
        <v/>
      </c>
      <c r="AN91">
        <f>IFERROR(INDEX(PP_Grid[#Data],$DE91,37),0)</f>
        <v/>
      </c>
      <c r="AO91">
        <f>IFERROR(INDEX(PP_Grid[#Data],$DE91,38),0)</f>
        <v/>
      </c>
      <c r="AP91">
        <f>IFERROR(INDEX(PP_Grid[#Data],$DE91,39),0)</f>
        <v/>
      </c>
      <c r="AQ91">
        <f>IFERROR(INDEX(PP_Grid[#Data],$DE91,40),0)</f>
        <v/>
      </c>
      <c r="AR91">
        <f>IFERROR(INDEX(PP_Grid[#Data],$DE91,41),0)</f>
        <v/>
      </c>
      <c r="AS91">
        <f>IFERROR(INDEX(PP_Grid[#Data],$DE91,42),0)</f>
        <v/>
      </c>
      <c r="AT91">
        <f>IFERROR(INDEX(PP_Grid[#Data],$DE91,43),0)</f>
        <v/>
      </c>
      <c r="AU91">
        <f>IFERROR(INDEX(PP_Grid[#Data],$DE91,44),0)</f>
        <v/>
      </c>
      <c r="AV91">
        <f>IFERROR(INDEX(PP_Grid[#Data],$DE91,45),0)</f>
        <v/>
      </c>
      <c r="AW91">
        <f>IFERROR(INDEX(PP_Grid[#Data],$DE91,46),0)</f>
        <v/>
      </c>
      <c r="AX91">
        <f>IFERROR(INDEX(PP_Grid[#Data],$DE91,47),0)</f>
        <v/>
      </c>
      <c r="AY91">
        <f>IFERROR(INDEX(PP_Grid[#Data],$DE91,48),0)</f>
        <v/>
      </c>
      <c r="AZ91">
        <f>IFERROR(INDEX(PP_Grid[#Data],$DE91,49),0)</f>
        <v/>
      </c>
      <c r="BA91">
        <f>IFERROR(INDEX(PP_Grid[#Data],$DE91,50),0)</f>
        <v/>
      </c>
      <c r="BB91">
        <f>IFERROR(INDEX(PP_Grid[#Data],$DE91,51),0)</f>
        <v/>
      </c>
      <c r="BC91">
        <f>IFERROR(INDEX(PP_Grid[#Data],$DE91,52),0)</f>
        <v/>
      </c>
      <c r="BD91">
        <f>IFERROR(INDEX(PP_Grid[#Data],$DE91,53),0)</f>
        <v/>
      </c>
      <c r="BE91">
        <f>IFERROR(INDEX(PP_Grid[#Data],$DE91,54),0)</f>
        <v/>
      </c>
      <c r="BF91">
        <f>IFERROR(INDEX(PP_Grid[#Data],$DE91,55),0)</f>
        <v/>
      </c>
      <c r="BG91">
        <f>IFERROR(INDEX(PP_Grid[#Data],$DE91,56),0)</f>
        <v/>
      </c>
      <c r="BH91">
        <f>IFERROR(INDEX(PP_Grid[#Data],$DE91,57),0)</f>
        <v/>
      </c>
      <c r="BI91">
        <f>IFERROR(INDEX(PP_Grid[#Data],$DE91,58),0)</f>
        <v/>
      </c>
      <c r="BJ91">
        <f>IFERROR(INDEX(PP_Grid[#Data],$DE91,59),0)</f>
        <v/>
      </c>
      <c r="BK91">
        <f>IFERROR(INDEX(PP_Grid[#Data],$DE91,60),0)</f>
        <v/>
      </c>
      <c r="BL91">
        <f>IFERROR(INDEX(PP_Grid[#Data],$DE91,61),0)</f>
        <v/>
      </c>
      <c r="BM91">
        <f>IFERROR(INDEX(PP_Grid[#Data],$DE91,62),0)</f>
        <v/>
      </c>
      <c r="BN91">
        <f>IFERROR(INDEX(PP_Grid[#Data],$DE91,63),0)</f>
        <v/>
      </c>
      <c r="BO91">
        <f>IFERROR(INDEX(PP_Grid[#Data],$DE91,64),0)</f>
        <v/>
      </c>
      <c r="BP91">
        <f>IFERROR(INDEX(PP_Grid[#Data],$DE91,65),0)</f>
        <v/>
      </c>
      <c r="BQ91">
        <f>IFERROR(INDEX(PP_Grid[#Data],$DE91,66),0)</f>
        <v/>
      </c>
      <c r="BR91">
        <f>IFERROR(INDEX(PP_Grid[#Data],$DE91,67),0)</f>
        <v/>
      </c>
      <c r="BS91">
        <f>IFERROR(INDEX(PP_Grid[#Data],$DE91,68),0)</f>
        <v/>
      </c>
      <c r="BT91">
        <f>IFERROR(INDEX(PP_Grid[#Data],$DE91,69),0)</f>
        <v/>
      </c>
      <c r="BU91">
        <f>IFERROR(INDEX(PP_Grid[#Data],$DE91,70),0)</f>
        <v/>
      </c>
      <c r="BV91">
        <f>IFERROR(INDEX(PP_Grid[#Data],$DE91,71),0)</f>
        <v/>
      </c>
      <c r="BW91">
        <f>IFERROR(INDEX(PP_Grid[#Data],$DE91,72),0)</f>
        <v/>
      </c>
      <c r="BX91">
        <f>IFERROR(INDEX(PP_Grid[#Data],$DE91,73),0)</f>
        <v/>
      </c>
      <c r="BY91">
        <f>IFERROR(INDEX(PP_Grid[#Data],$DE91,74),0)</f>
        <v/>
      </c>
      <c r="BZ91">
        <f>IFERROR(INDEX(PP_Grid[#Data],$DE91,75),0)</f>
        <v/>
      </c>
      <c r="CA91">
        <f>IFERROR(INDEX(PP_Grid[#Data],$DE91,76),0)</f>
        <v/>
      </c>
      <c r="CB91">
        <f>IFERROR(INDEX(PP_Grid[#Data],$DE91,77),0)</f>
        <v/>
      </c>
      <c r="CC91">
        <f>IFERROR(INDEX(PP_Grid[#Data],$DE91,78),0)</f>
        <v/>
      </c>
      <c r="CD91">
        <f>IFERROR(INDEX(PP_Grid[#Data],$DE91,79),0)</f>
        <v/>
      </c>
      <c r="CE91">
        <f>IFERROR(INDEX(PP_Grid[#Data],$DE91,80),0)</f>
        <v/>
      </c>
      <c r="CF91">
        <f>IFERROR(INDEX(PP_Grid[#Data],$DE91,81),0)</f>
        <v/>
      </c>
      <c r="CG91">
        <f>IFERROR(INDEX(PP_Grid[#Data],$DE91,82),0)</f>
        <v/>
      </c>
      <c r="CH91">
        <f>IFERROR(INDEX(PP_Grid[#Data],$DE91,83),0)</f>
        <v/>
      </c>
      <c r="CI91">
        <f>IFERROR(INDEX(PP_Grid[#Data],$DE91,84),0)</f>
        <v/>
      </c>
      <c r="CJ91">
        <f>IFERROR(INDEX(PP_Grid[#Data],$DE91,85),0)</f>
        <v/>
      </c>
      <c r="CK91">
        <f>IFERROR(INDEX(PP_Grid[#Data],$DE91,86),0)</f>
        <v/>
      </c>
      <c r="CL91">
        <f>IFERROR(INDEX(PP_Grid[#Data],$DE91,87),0)</f>
        <v/>
      </c>
      <c r="CM91">
        <f>IFERROR(INDEX(PP_Grid[#Data],$DE91,88),0)</f>
        <v/>
      </c>
      <c r="CN91">
        <f>IFERROR(INDEX(PP_Grid[#Data],$DE91,89),0)</f>
        <v/>
      </c>
      <c r="CO91">
        <f>IFERROR(INDEX(PP_Grid[#Data],$DE91,90),0)</f>
        <v/>
      </c>
      <c r="CP91">
        <f>IFERROR(INDEX(PP_Grid[#Data],$DE91,91),0)</f>
        <v/>
      </c>
      <c r="CQ91">
        <f>IFERROR(INDEX(PP_Grid[#Data],$DE91,92),0)</f>
        <v/>
      </c>
      <c r="CR91">
        <f>IFERROR(INDEX(PP_Grid[#Data],$DE91,93),0)</f>
        <v/>
      </c>
      <c r="CS91">
        <f>IFERROR(INDEX(PP_Grid[#Data],$DE91,94),0)</f>
        <v/>
      </c>
      <c r="CT91">
        <f>IFERROR(INDEX(PP_Grid[#Data],$DE91,95),0)</f>
        <v/>
      </c>
      <c r="CU91">
        <f>IFERROR(INDEX(PP_Grid[#Data],$DE91,96),0)</f>
        <v/>
      </c>
      <c r="CV91">
        <f>IFERROR(INDEX(PP_Grid[#Data],$DE91,97),0)</f>
        <v/>
      </c>
      <c r="CW91">
        <f>IFERROR(INDEX(PP_Grid[#Data],$DE91,98),0)</f>
        <v/>
      </c>
      <c r="CX91">
        <f>IFERROR(INDEX(PP_Grid[#Data],$DE91,99),0)</f>
        <v/>
      </c>
      <c r="CY91">
        <f>IFERROR(INDEX(PP_Grid[#Data],$DE91,100),0)</f>
        <v/>
      </c>
      <c r="CZ91">
        <f>IFERROR(INDEX(PP_Grid[#Data],$DE91,101),0)</f>
        <v/>
      </c>
      <c r="DA91">
        <f>IFERROR(INDEX(PP_Grid[#Data],$DE91,102),0)</f>
        <v/>
      </c>
      <c r="DB91">
        <f>IFERROR(INDEX(PP_Grid[#Data],$DE91,103),0)</f>
        <v/>
      </c>
      <c r="DC91">
        <f>IFERROR(INDEX(PP_Grid[#Data],$DE91,104),0)</f>
        <v/>
      </c>
      <c r="DD91">
        <f>IFERROR(INDEX(PP_Grid[#Data],$DE91,105),0)</f>
        <v/>
      </c>
      <c r="DE91" s="7">
        <f>IFERROR(MATCH($B91,PP_Grid[Intermediate],0),99999)</f>
        <v/>
      </c>
    </row>
    <row r="92">
      <c r="B92" t="inlineStr">
        <is>
          <t>使用量(kg)</t>
        </is>
      </c>
      <c r="C92">
        <f>SUMIFS(M_BOM[RM_Qty_Per_Batch],M_BOM[Intermediate],$B91,M_BOM[RM_Code],$A28)</f>
        <v/>
      </c>
      <c r="D92">
        <f>IFERROR(INDEX(E92:DD92,$F$1),"")</f>
        <v/>
      </c>
      <c r="E92">
        <f>$C92*E91</f>
        <v/>
      </c>
      <c r="F92">
        <f>$C92*F91</f>
        <v/>
      </c>
      <c r="G92">
        <f>$C92*G91</f>
        <v/>
      </c>
      <c r="H92">
        <f>$C92*H91</f>
        <v/>
      </c>
      <c r="I92">
        <f>$C92*I91</f>
        <v/>
      </c>
      <c r="J92">
        <f>$C92*J91</f>
        <v/>
      </c>
      <c r="K92">
        <f>$C92*K91</f>
        <v/>
      </c>
      <c r="L92">
        <f>$C92*L91</f>
        <v/>
      </c>
      <c r="M92">
        <f>$C92*M91</f>
        <v/>
      </c>
      <c r="N92">
        <f>$C92*N91</f>
        <v/>
      </c>
      <c r="O92">
        <f>$C92*O91</f>
        <v/>
      </c>
      <c r="P92">
        <f>$C92*P91</f>
        <v/>
      </c>
      <c r="Q92">
        <f>$C92*Q91</f>
        <v/>
      </c>
      <c r="R92">
        <f>$C92*R91</f>
        <v/>
      </c>
      <c r="S92">
        <f>$C92*S91</f>
        <v/>
      </c>
      <c r="T92">
        <f>$C92*T91</f>
        <v/>
      </c>
      <c r="U92">
        <f>$C92*U91</f>
        <v/>
      </c>
      <c r="V92">
        <f>$C92*V91</f>
        <v/>
      </c>
      <c r="W92">
        <f>$C92*W91</f>
        <v/>
      </c>
      <c r="X92">
        <f>$C92*X91</f>
        <v/>
      </c>
      <c r="Y92">
        <f>$C92*Y91</f>
        <v/>
      </c>
      <c r="Z92">
        <f>$C92*Z91</f>
        <v/>
      </c>
      <c r="AA92">
        <f>$C92*AA91</f>
        <v/>
      </c>
      <c r="AB92">
        <f>$C92*AB91</f>
        <v/>
      </c>
      <c r="AC92">
        <f>$C92*AC91</f>
        <v/>
      </c>
      <c r="AD92">
        <f>$C92*AD91</f>
        <v/>
      </c>
      <c r="AE92">
        <f>$C92*AE91</f>
        <v/>
      </c>
      <c r="AF92">
        <f>$C92*AF91</f>
        <v/>
      </c>
      <c r="AG92">
        <f>$C92*AG91</f>
        <v/>
      </c>
      <c r="AH92">
        <f>$C92*AH91</f>
        <v/>
      </c>
      <c r="AI92">
        <f>$C92*AI91</f>
        <v/>
      </c>
      <c r="AJ92">
        <f>$C92*AJ91</f>
        <v/>
      </c>
      <c r="AK92">
        <f>$C92*AK91</f>
        <v/>
      </c>
      <c r="AL92">
        <f>$C92*AL91</f>
        <v/>
      </c>
      <c r="AM92">
        <f>$C92*AM91</f>
        <v/>
      </c>
      <c r="AN92">
        <f>$C92*AN91</f>
        <v/>
      </c>
      <c r="AO92">
        <f>$C92*AO91</f>
        <v/>
      </c>
      <c r="AP92">
        <f>$C92*AP91</f>
        <v/>
      </c>
      <c r="AQ92">
        <f>$C92*AQ91</f>
        <v/>
      </c>
      <c r="AR92">
        <f>$C92*AR91</f>
        <v/>
      </c>
      <c r="AS92">
        <f>$C92*AS91</f>
        <v/>
      </c>
      <c r="AT92">
        <f>$C92*AT91</f>
        <v/>
      </c>
      <c r="AU92">
        <f>$C92*AU91</f>
        <v/>
      </c>
      <c r="AV92">
        <f>$C92*AV91</f>
        <v/>
      </c>
      <c r="AW92">
        <f>$C92*AW91</f>
        <v/>
      </c>
      <c r="AX92">
        <f>$C92*AX91</f>
        <v/>
      </c>
      <c r="AY92">
        <f>$C92*AY91</f>
        <v/>
      </c>
      <c r="AZ92">
        <f>$C92*AZ91</f>
        <v/>
      </c>
      <c r="BA92">
        <f>$C92*BA91</f>
        <v/>
      </c>
      <c r="BB92">
        <f>$C92*BB91</f>
        <v/>
      </c>
      <c r="BC92">
        <f>$C92*BC91</f>
        <v/>
      </c>
      <c r="BD92">
        <f>$C92*BD91</f>
        <v/>
      </c>
      <c r="BE92">
        <f>$C92*BE91</f>
        <v/>
      </c>
      <c r="BF92">
        <f>$C92*BF91</f>
        <v/>
      </c>
      <c r="BG92">
        <f>$C92*BG91</f>
        <v/>
      </c>
      <c r="BH92">
        <f>$C92*BH91</f>
        <v/>
      </c>
      <c r="BI92">
        <f>$C92*BI91</f>
        <v/>
      </c>
      <c r="BJ92">
        <f>$C92*BJ91</f>
        <v/>
      </c>
      <c r="BK92">
        <f>$C92*BK91</f>
        <v/>
      </c>
      <c r="BL92">
        <f>$C92*BL91</f>
        <v/>
      </c>
      <c r="BM92">
        <f>$C92*BM91</f>
        <v/>
      </c>
      <c r="BN92">
        <f>$C92*BN91</f>
        <v/>
      </c>
      <c r="BO92">
        <f>$C92*BO91</f>
        <v/>
      </c>
      <c r="BP92">
        <f>$C92*BP91</f>
        <v/>
      </c>
      <c r="BQ92">
        <f>$C92*BQ91</f>
        <v/>
      </c>
      <c r="BR92">
        <f>$C92*BR91</f>
        <v/>
      </c>
      <c r="BS92">
        <f>$C92*BS91</f>
        <v/>
      </c>
      <c r="BT92">
        <f>$C92*BT91</f>
        <v/>
      </c>
      <c r="BU92">
        <f>$C92*BU91</f>
        <v/>
      </c>
      <c r="BV92">
        <f>$C92*BV91</f>
        <v/>
      </c>
      <c r="BW92">
        <f>$C92*BW91</f>
        <v/>
      </c>
      <c r="BX92">
        <f>$C92*BX91</f>
        <v/>
      </c>
      <c r="BY92">
        <f>$C92*BY91</f>
        <v/>
      </c>
      <c r="BZ92">
        <f>$C92*BZ91</f>
        <v/>
      </c>
      <c r="CA92">
        <f>$C92*CA91</f>
        <v/>
      </c>
      <c r="CB92">
        <f>$C92*CB91</f>
        <v/>
      </c>
      <c r="CC92">
        <f>$C92*CC91</f>
        <v/>
      </c>
      <c r="CD92">
        <f>$C92*CD91</f>
        <v/>
      </c>
      <c r="CE92">
        <f>$C92*CE91</f>
        <v/>
      </c>
      <c r="CF92">
        <f>$C92*CF91</f>
        <v/>
      </c>
      <c r="CG92">
        <f>$C92*CG91</f>
        <v/>
      </c>
      <c r="CH92">
        <f>$C92*CH91</f>
        <v/>
      </c>
      <c r="CI92">
        <f>$C92*CI91</f>
        <v/>
      </c>
      <c r="CJ92">
        <f>$C92*CJ91</f>
        <v/>
      </c>
      <c r="CK92">
        <f>$C92*CK91</f>
        <v/>
      </c>
      <c r="CL92">
        <f>$C92*CL91</f>
        <v/>
      </c>
      <c r="CM92">
        <f>$C92*CM91</f>
        <v/>
      </c>
      <c r="CN92">
        <f>$C92*CN91</f>
        <v/>
      </c>
      <c r="CO92">
        <f>$C92*CO91</f>
        <v/>
      </c>
      <c r="CP92">
        <f>$C92*CP91</f>
        <v/>
      </c>
      <c r="CQ92">
        <f>$C92*CQ91</f>
        <v/>
      </c>
      <c r="CR92">
        <f>$C92*CR91</f>
        <v/>
      </c>
      <c r="CS92">
        <f>$C92*CS91</f>
        <v/>
      </c>
      <c r="CT92">
        <f>$C92*CT91</f>
        <v/>
      </c>
      <c r="CU92">
        <f>$C92*CU91</f>
        <v/>
      </c>
      <c r="CV92">
        <f>$C92*CV91</f>
        <v/>
      </c>
      <c r="CW92">
        <f>$C92*CW91</f>
        <v/>
      </c>
      <c r="CX92">
        <f>$C92*CX91</f>
        <v/>
      </c>
      <c r="CY92">
        <f>$C92*CY91</f>
        <v/>
      </c>
      <c r="CZ92">
        <f>$C92*CZ91</f>
        <v/>
      </c>
      <c r="DA92">
        <f>$C92*DA91</f>
        <v/>
      </c>
      <c r="DB92">
        <f>$C92*DB91</f>
        <v/>
      </c>
      <c r="DC92">
        <f>$C92*DC91</f>
        <v/>
      </c>
      <c r="DD92">
        <f>$C92*DD91</f>
        <v/>
      </c>
    </row>
    <row r="93">
      <c r="B93" t="inlineStr">
        <is>
          <t>VSP-740</t>
        </is>
      </c>
      <c r="C93" t="inlineStr">
        <is>
          <t>No. of batches</t>
        </is>
      </c>
      <c r="D93">
        <f>IFERROR(INDEX(E93:DD93,$F$1),"")</f>
        <v/>
      </c>
      <c r="E93">
        <f>IFERROR(INDEX(PP_Grid[#Data],$DE93,2),0)</f>
        <v/>
      </c>
      <c r="F93">
        <f>IFERROR(INDEX(PP_Grid[#Data],$DE93,3),0)</f>
        <v/>
      </c>
      <c r="G93">
        <f>IFERROR(INDEX(PP_Grid[#Data],$DE93,4),0)</f>
        <v/>
      </c>
      <c r="H93">
        <f>IFERROR(INDEX(PP_Grid[#Data],$DE93,5),0)</f>
        <v/>
      </c>
      <c r="I93">
        <f>IFERROR(INDEX(PP_Grid[#Data],$DE93,6),0)</f>
        <v/>
      </c>
      <c r="J93">
        <f>IFERROR(INDEX(PP_Grid[#Data],$DE93,7),0)</f>
        <v/>
      </c>
      <c r="K93">
        <f>IFERROR(INDEX(PP_Grid[#Data],$DE93,8),0)</f>
        <v/>
      </c>
      <c r="L93">
        <f>IFERROR(INDEX(PP_Grid[#Data],$DE93,9),0)</f>
        <v/>
      </c>
      <c r="M93">
        <f>IFERROR(INDEX(PP_Grid[#Data],$DE93,10),0)</f>
        <v/>
      </c>
      <c r="N93">
        <f>IFERROR(INDEX(PP_Grid[#Data],$DE93,11),0)</f>
        <v/>
      </c>
      <c r="O93">
        <f>IFERROR(INDEX(PP_Grid[#Data],$DE93,12),0)</f>
        <v/>
      </c>
      <c r="P93">
        <f>IFERROR(INDEX(PP_Grid[#Data],$DE93,13),0)</f>
        <v/>
      </c>
      <c r="Q93">
        <f>IFERROR(INDEX(PP_Grid[#Data],$DE93,14),0)</f>
        <v/>
      </c>
      <c r="R93">
        <f>IFERROR(INDEX(PP_Grid[#Data],$DE93,15),0)</f>
        <v/>
      </c>
      <c r="S93">
        <f>IFERROR(INDEX(PP_Grid[#Data],$DE93,16),0)</f>
        <v/>
      </c>
      <c r="T93">
        <f>IFERROR(INDEX(PP_Grid[#Data],$DE93,17),0)</f>
        <v/>
      </c>
      <c r="U93">
        <f>IFERROR(INDEX(PP_Grid[#Data],$DE93,18),0)</f>
        <v/>
      </c>
      <c r="V93">
        <f>IFERROR(INDEX(PP_Grid[#Data],$DE93,19),0)</f>
        <v/>
      </c>
      <c r="W93">
        <f>IFERROR(INDEX(PP_Grid[#Data],$DE93,20),0)</f>
        <v/>
      </c>
      <c r="X93">
        <f>IFERROR(INDEX(PP_Grid[#Data],$DE93,21),0)</f>
        <v/>
      </c>
      <c r="Y93">
        <f>IFERROR(INDEX(PP_Grid[#Data],$DE93,22),0)</f>
        <v/>
      </c>
      <c r="Z93">
        <f>IFERROR(INDEX(PP_Grid[#Data],$DE93,23),0)</f>
        <v/>
      </c>
      <c r="AA93">
        <f>IFERROR(INDEX(PP_Grid[#Data],$DE93,24),0)</f>
        <v/>
      </c>
      <c r="AB93">
        <f>IFERROR(INDEX(PP_Grid[#Data],$DE93,25),0)</f>
        <v/>
      </c>
      <c r="AC93">
        <f>IFERROR(INDEX(PP_Grid[#Data],$DE93,26),0)</f>
        <v/>
      </c>
      <c r="AD93">
        <f>IFERROR(INDEX(PP_Grid[#Data],$DE93,27),0)</f>
        <v/>
      </c>
      <c r="AE93">
        <f>IFERROR(INDEX(PP_Grid[#Data],$DE93,28),0)</f>
        <v/>
      </c>
      <c r="AF93">
        <f>IFERROR(INDEX(PP_Grid[#Data],$DE93,29),0)</f>
        <v/>
      </c>
      <c r="AG93">
        <f>IFERROR(INDEX(PP_Grid[#Data],$DE93,30),0)</f>
        <v/>
      </c>
      <c r="AH93">
        <f>IFERROR(INDEX(PP_Grid[#Data],$DE93,31),0)</f>
        <v/>
      </c>
      <c r="AI93">
        <f>IFERROR(INDEX(PP_Grid[#Data],$DE93,32),0)</f>
        <v/>
      </c>
      <c r="AJ93">
        <f>IFERROR(INDEX(PP_Grid[#Data],$DE93,33),0)</f>
        <v/>
      </c>
      <c r="AK93">
        <f>IFERROR(INDEX(PP_Grid[#Data],$DE93,34),0)</f>
        <v/>
      </c>
      <c r="AL93">
        <f>IFERROR(INDEX(PP_Grid[#Data],$DE93,35),0)</f>
        <v/>
      </c>
      <c r="AM93">
        <f>IFERROR(INDEX(PP_Grid[#Data],$DE93,36),0)</f>
        <v/>
      </c>
      <c r="AN93">
        <f>IFERROR(INDEX(PP_Grid[#Data],$DE93,37),0)</f>
        <v/>
      </c>
      <c r="AO93">
        <f>IFERROR(INDEX(PP_Grid[#Data],$DE93,38),0)</f>
        <v/>
      </c>
      <c r="AP93">
        <f>IFERROR(INDEX(PP_Grid[#Data],$DE93,39),0)</f>
        <v/>
      </c>
      <c r="AQ93">
        <f>IFERROR(INDEX(PP_Grid[#Data],$DE93,40),0)</f>
        <v/>
      </c>
      <c r="AR93">
        <f>IFERROR(INDEX(PP_Grid[#Data],$DE93,41),0)</f>
        <v/>
      </c>
      <c r="AS93">
        <f>IFERROR(INDEX(PP_Grid[#Data],$DE93,42),0)</f>
        <v/>
      </c>
      <c r="AT93">
        <f>IFERROR(INDEX(PP_Grid[#Data],$DE93,43),0)</f>
        <v/>
      </c>
      <c r="AU93">
        <f>IFERROR(INDEX(PP_Grid[#Data],$DE93,44),0)</f>
        <v/>
      </c>
      <c r="AV93">
        <f>IFERROR(INDEX(PP_Grid[#Data],$DE93,45),0)</f>
        <v/>
      </c>
      <c r="AW93">
        <f>IFERROR(INDEX(PP_Grid[#Data],$DE93,46),0)</f>
        <v/>
      </c>
      <c r="AX93">
        <f>IFERROR(INDEX(PP_Grid[#Data],$DE93,47),0)</f>
        <v/>
      </c>
      <c r="AY93">
        <f>IFERROR(INDEX(PP_Grid[#Data],$DE93,48),0)</f>
        <v/>
      </c>
      <c r="AZ93">
        <f>IFERROR(INDEX(PP_Grid[#Data],$DE93,49),0)</f>
        <v/>
      </c>
      <c r="BA93">
        <f>IFERROR(INDEX(PP_Grid[#Data],$DE93,50),0)</f>
        <v/>
      </c>
      <c r="BB93">
        <f>IFERROR(INDEX(PP_Grid[#Data],$DE93,51),0)</f>
        <v/>
      </c>
      <c r="BC93">
        <f>IFERROR(INDEX(PP_Grid[#Data],$DE93,52),0)</f>
        <v/>
      </c>
      <c r="BD93">
        <f>IFERROR(INDEX(PP_Grid[#Data],$DE93,53),0)</f>
        <v/>
      </c>
      <c r="BE93">
        <f>IFERROR(INDEX(PP_Grid[#Data],$DE93,54),0)</f>
        <v/>
      </c>
      <c r="BF93">
        <f>IFERROR(INDEX(PP_Grid[#Data],$DE93,55),0)</f>
        <v/>
      </c>
      <c r="BG93">
        <f>IFERROR(INDEX(PP_Grid[#Data],$DE93,56),0)</f>
        <v/>
      </c>
      <c r="BH93">
        <f>IFERROR(INDEX(PP_Grid[#Data],$DE93,57),0)</f>
        <v/>
      </c>
      <c r="BI93">
        <f>IFERROR(INDEX(PP_Grid[#Data],$DE93,58),0)</f>
        <v/>
      </c>
      <c r="BJ93">
        <f>IFERROR(INDEX(PP_Grid[#Data],$DE93,59),0)</f>
        <v/>
      </c>
      <c r="BK93">
        <f>IFERROR(INDEX(PP_Grid[#Data],$DE93,60),0)</f>
        <v/>
      </c>
      <c r="BL93">
        <f>IFERROR(INDEX(PP_Grid[#Data],$DE93,61),0)</f>
        <v/>
      </c>
      <c r="BM93">
        <f>IFERROR(INDEX(PP_Grid[#Data],$DE93,62),0)</f>
        <v/>
      </c>
      <c r="BN93">
        <f>IFERROR(INDEX(PP_Grid[#Data],$DE93,63),0)</f>
        <v/>
      </c>
      <c r="BO93">
        <f>IFERROR(INDEX(PP_Grid[#Data],$DE93,64),0)</f>
        <v/>
      </c>
      <c r="BP93">
        <f>IFERROR(INDEX(PP_Grid[#Data],$DE93,65),0)</f>
        <v/>
      </c>
      <c r="BQ93">
        <f>IFERROR(INDEX(PP_Grid[#Data],$DE93,66),0)</f>
        <v/>
      </c>
      <c r="BR93">
        <f>IFERROR(INDEX(PP_Grid[#Data],$DE93,67),0)</f>
        <v/>
      </c>
      <c r="BS93">
        <f>IFERROR(INDEX(PP_Grid[#Data],$DE93,68),0)</f>
        <v/>
      </c>
      <c r="BT93">
        <f>IFERROR(INDEX(PP_Grid[#Data],$DE93,69),0)</f>
        <v/>
      </c>
      <c r="BU93">
        <f>IFERROR(INDEX(PP_Grid[#Data],$DE93,70),0)</f>
        <v/>
      </c>
      <c r="BV93">
        <f>IFERROR(INDEX(PP_Grid[#Data],$DE93,71),0)</f>
        <v/>
      </c>
      <c r="BW93">
        <f>IFERROR(INDEX(PP_Grid[#Data],$DE93,72),0)</f>
        <v/>
      </c>
      <c r="BX93">
        <f>IFERROR(INDEX(PP_Grid[#Data],$DE93,73),0)</f>
        <v/>
      </c>
      <c r="BY93">
        <f>IFERROR(INDEX(PP_Grid[#Data],$DE93,74),0)</f>
        <v/>
      </c>
      <c r="BZ93">
        <f>IFERROR(INDEX(PP_Grid[#Data],$DE93,75),0)</f>
        <v/>
      </c>
      <c r="CA93">
        <f>IFERROR(INDEX(PP_Grid[#Data],$DE93,76),0)</f>
        <v/>
      </c>
      <c r="CB93">
        <f>IFERROR(INDEX(PP_Grid[#Data],$DE93,77),0)</f>
        <v/>
      </c>
      <c r="CC93">
        <f>IFERROR(INDEX(PP_Grid[#Data],$DE93,78),0)</f>
        <v/>
      </c>
      <c r="CD93">
        <f>IFERROR(INDEX(PP_Grid[#Data],$DE93,79),0)</f>
        <v/>
      </c>
      <c r="CE93">
        <f>IFERROR(INDEX(PP_Grid[#Data],$DE93,80),0)</f>
        <v/>
      </c>
      <c r="CF93">
        <f>IFERROR(INDEX(PP_Grid[#Data],$DE93,81),0)</f>
        <v/>
      </c>
      <c r="CG93">
        <f>IFERROR(INDEX(PP_Grid[#Data],$DE93,82),0)</f>
        <v/>
      </c>
      <c r="CH93">
        <f>IFERROR(INDEX(PP_Grid[#Data],$DE93,83),0)</f>
        <v/>
      </c>
      <c r="CI93">
        <f>IFERROR(INDEX(PP_Grid[#Data],$DE93,84),0)</f>
        <v/>
      </c>
      <c r="CJ93">
        <f>IFERROR(INDEX(PP_Grid[#Data],$DE93,85),0)</f>
        <v/>
      </c>
      <c r="CK93">
        <f>IFERROR(INDEX(PP_Grid[#Data],$DE93,86),0)</f>
        <v/>
      </c>
      <c r="CL93">
        <f>IFERROR(INDEX(PP_Grid[#Data],$DE93,87),0)</f>
        <v/>
      </c>
      <c r="CM93">
        <f>IFERROR(INDEX(PP_Grid[#Data],$DE93,88),0)</f>
        <v/>
      </c>
      <c r="CN93">
        <f>IFERROR(INDEX(PP_Grid[#Data],$DE93,89),0)</f>
        <v/>
      </c>
      <c r="CO93">
        <f>IFERROR(INDEX(PP_Grid[#Data],$DE93,90),0)</f>
        <v/>
      </c>
      <c r="CP93">
        <f>IFERROR(INDEX(PP_Grid[#Data],$DE93,91),0)</f>
        <v/>
      </c>
      <c r="CQ93">
        <f>IFERROR(INDEX(PP_Grid[#Data],$DE93,92),0)</f>
        <v/>
      </c>
      <c r="CR93">
        <f>IFERROR(INDEX(PP_Grid[#Data],$DE93,93),0)</f>
        <v/>
      </c>
      <c r="CS93">
        <f>IFERROR(INDEX(PP_Grid[#Data],$DE93,94),0)</f>
        <v/>
      </c>
      <c r="CT93">
        <f>IFERROR(INDEX(PP_Grid[#Data],$DE93,95),0)</f>
        <v/>
      </c>
      <c r="CU93">
        <f>IFERROR(INDEX(PP_Grid[#Data],$DE93,96),0)</f>
        <v/>
      </c>
      <c r="CV93">
        <f>IFERROR(INDEX(PP_Grid[#Data],$DE93,97),0)</f>
        <v/>
      </c>
      <c r="CW93">
        <f>IFERROR(INDEX(PP_Grid[#Data],$DE93,98),0)</f>
        <v/>
      </c>
      <c r="CX93">
        <f>IFERROR(INDEX(PP_Grid[#Data],$DE93,99),0)</f>
        <v/>
      </c>
      <c r="CY93">
        <f>IFERROR(INDEX(PP_Grid[#Data],$DE93,100),0)</f>
        <v/>
      </c>
      <c r="CZ93">
        <f>IFERROR(INDEX(PP_Grid[#Data],$DE93,101),0)</f>
        <v/>
      </c>
      <c r="DA93">
        <f>IFERROR(INDEX(PP_Grid[#Data],$DE93,102),0)</f>
        <v/>
      </c>
      <c r="DB93">
        <f>IFERROR(INDEX(PP_Grid[#Data],$DE93,103),0)</f>
        <v/>
      </c>
      <c r="DC93">
        <f>IFERROR(INDEX(PP_Grid[#Data],$DE93,104),0)</f>
        <v/>
      </c>
      <c r="DD93">
        <f>IFERROR(INDEX(PP_Grid[#Data],$DE93,105),0)</f>
        <v/>
      </c>
      <c r="DE93" s="7">
        <f>IFERROR(MATCH($B93,PP_Grid[Intermediate],0),99999)</f>
        <v/>
      </c>
    </row>
    <row r="94">
      <c r="B94" t="inlineStr">
        <is>
          <t>使用量(kg)</t>
        </is>
      </c>
      <c r="C94">
        <f>SUMIFS(M_BOM[RM_Qty_Per_Batch],M_BOM[Intermediate],$B93,M_BOM[RM_Code],$A28)</f>
        <v/>
      </c>
      <c r="D94">
        <f>IFERROR(INDEX(E94:DD94,$F$1),"")</f>
        <v/>
      </c>
      <c r="E94">
        <f>$C94*E93</f>
        <v/>
      </c>
      <c r="F94">
        <f>$C94*F93</f>
        <v/>
      </c>
      <c r="G94">
        <f>$C94*G93</f>
        <v/>
      </c>
      <c r="H94">
        <f>$C94*H93</f>
        <v/>
      </c>
      <c r="I94">
        <f>$C94*I93</f>
        <v/>
      </c>
      <c r="J94">
        <f>$C94*J93</f>
        <v/>
      </c>
      <c r="K94">
        <f>$C94*K93</f>
        <v/>
      </c>
      <c r="L94">
        <f>$C94*L93</f>
        <v/>
      </c>
      <c r="M94">
        <f>$C94*M93</f>
        <v/>
      </c>
      <c r="N94">
        <f>$C94*N93</f>
        <v/>
      </c>
      <c r="O94">
        <f>$C94*O93</f>
        <v/>
      </c>
      <c r="P94">
        <f>$C94*P93</f>
        <v/>
      </c>
      <c r="Q94">
        <f>$C94*Q93</f>
        <v/>
      </c>
      <c r="R94">
        <f>$C94*R93</f>
        <v/>
      </c>
      <c r="S94">
        <f>$C94*S93</f>
        <v/>
      </c>
      <c r="T94">
        <f>$C94*T93</f>
        <v/>
      </c>
      <c r="U94">
        <f>$C94*U93</f>
        <v/>
      </c>
      <c r="V94">
        <f>$C94*V93</f>
        <v/>
      </c>
      <c r="W94">
        <f>$C94*W93</f>
        <v/>
      </c>
      <c r="X94">
        <f>$C94*X93</f>
        <v/>
      </c>
      <c r="Y94">
        <f>$C94*Y93</f>
        <v/>
      </c>
      <c r="Z94">
        <f>$C94*Z93</f>
        <v/>
      </c>
      <c r="AA94">
        <f>$C94*AA93</f>
        <v/>
      </c>
      <c r="AB94">
        <f>$C94*AB93</f>
        <v/>
      </c>
      <c r="AC94">
        <f>$C94*AC93</f>
        <v/>
      </c>
      <c r="AD94">
        <f>$C94*AD93</f>
        <v/>
      </c>
      <c r="AE94">
        <f>$C94*AE93</f>
        <v/>
      </c>
      <c r="AF94">
        <f>$C94*AF93</f>
        <v/>
      </c>
      <c r="AG94">
        <f>$C94*AG93</f>
        <v/>
      </c>
      <c r="AH94">
        <f>$C94*AH93</f>
        <v/>
      </c>
      <c r="AI94">
        <f>$C94*AI93</f>
        <v/>
      </c>
      <c r="AJ94">
        <f>$C94*AJ93</f>
        <v/>
      </c>
      <c r="AK94">
        <f>$C94*AK93</f>
        <v/>
      </c>
      <c r="AL94">
        <f>$C94*AL93</f>
        <v/>
      </c>
      <c r="AM94">
        <f>$C94*AM93</f>
        <v/>
      </c>
      <c r="AN94">
        <f>$C94*AN93</f>
        <v/>
      </c>
      <c r="AO94">
        <f>$C94*AO93</f>
        <v/>
      </c>
      <c r="AP94">
        <f>$C94*AP93</f>
        <v/>
      </c>
      <c r="AQ94">
        <f>$C94*AQ93</f>
        <v/>
      </c>
      <c r="AR94">
        <f>$C94*AR93</f>
        <v/>
      </c>
      <c r="AS94">
        <f>$C94*AS93</f>
        <v/>
      </c>
      <c r="AT94">
        <f>$C94*AT93</f>
        <v/>
      </c>
      <c r="AU94">
        <f>$C94*AU93</f>
        <v/>
      </c>
      <c r="AV94">
        <f>$C94*AV93</f>
        <v/>
      </c>
      <c r="AW94">
        <f>$C94*AW93</f>
        <v/>
      </c>
      <c r="AX94">
        <f>$C94*AX93</f>
        <v/>
      </c>
      <c r="AY94">
        <f>$C94*AY93</f>
        <v/>
      </c>
      <c r="AZ94">
        <f>$C94*AZ93</f>
        <v/>
      </c>
      <c r="BA94">
        <f>$C94*BA93</f>
        <v/>
      </c>
      <c r="BB94">
        <f>$C94*BB93</f>
        <v/>
      </c>
      <c r="BC94">
        <f>$C94*BC93</f>
        <v/>
      </c>
      <c r="BD94">
        <f>$C94*BD93</f>
        <v/>
      </c>
      <c r="BE94">
        <f>$C94*BE93</f>
        <v/>
      </c>
      <c r="BF94">
        <f>$C94*BF93</f>
        <v/>
      </c>
      <c r="BG94">
        <f>$C94*BG93</f>
        <v/>
      </c>
      <c r="BH94">
        <f>$C94*BH93</f>
        <v/>
      </c>
      <c r="BI94">
        <f>$C94*BI93</f>
        <v/>
      </c>
      <c r="BJ94">
        <f>$C94*BJ93</f>
        <v/>
      </c>
      <c r="BK94">
        <f>$C94*BK93</f>
        <v/>
      </c>
      <c r="BL94">
        <f>$C94*BL93</f>
        <v/>
      </c>
      <c r="BM94">
        <f>$C94*BM93</f>
        <v/>
      </c>
      <c r="BN94">
        <f>$C94*BN93</f>
        <v/>
      </c>
      <c r="BO94">
        <f>$C94*BO93</f>
        <v/>
      </c>
      <c r="BP94">
        <f>$C94*BP93</f>
        <v/>
      </c>
      <c r="BQ94">
        <f>$C94*BQ93</f>
        <v/>
      </c>
      <c r="BR94">
        <f>$C94*BR93</f>
        <v/>
      </c>
      <c r="BS94">
        <f>$C94*BS93</f>
        <v/>
      </c>
      <c r="BT94">
        <f>$C94*BT93</f>
        <v/>
      </c>
      <c r="BU94">
        <f>$C94*BU93</f>
        <v/>
      </c>
      <c r="BV94">
        <f>$C94*BV93</f>
        <v/>
      </c>
      <c r="BW94">
        <f>$C94*BW93</f>
        <v/>
      </c>
      <c r="BX94">
        <f>$C94*BX93</f>
        <v/>
      </c>
      <c r="BY94">
        <f>$C94*BY93</f>
        <v/>
      </c>
      <c r="BZ94">
        <f>$C94*BZ93</f>
        <v/>
      </c>
      <c r="CA94">
        <f>$C94*CA93</f>
        <v/>
      </c>
      <c r="CB94">
        <f>$C94*CB93</f>
        <v/>
      </c>
      <c r="CC94">
        <f>$C94*CC93</f>
        <v/>
      </c>
      <c r="CD94">
        <f>$C94*CD93</f>
        <v/>
      </c>
      <c r="CE94">
        <f>$C94*CE93</f>
        <v/>
      </c>
      <c r="CF94">
        <f>$C94*CF93</f>
        <v/>
      </c>
      <c r="CG94">
        <f>$C94*CG93</f>
        <v/>
      </c>
      <c r="CH94">
        <f>$C94*CH93</f>
        <v/>
      </c>
      <c r="CI94">
        <f>$C94*CI93</f>
        <v/>
      </c>
      <c r="CJ94">
        <f>$C94*CJ93</f>
        <v/>
      </c>
      <c r="CK94">
        <f>$C94*CK93</f>
        <v/>
      </c>
      <c r="CL94">
        <f>$C94*CL93</f>
        <v/>
      </c>
      <c r="CM94">
        <f>$C94*CM93</f>
        <v/>
      </c>
      <c r="CN94">
        <f>$C94*CN93</f>
        <v/>
      </c>
      <c r="CO94">
        <f>$C94*CO93</f>
        <v/>
      </c>
      <c r="CP94">
        <f>$C94*CP93</f>
        <v/>
      </c>
      <c r="CQ94">
        <f>$C94*CQ93</f>
        <v/>
      </c>
      <c r="CR94">
        <f>$C94*CR93</f>
        <v/>
      </c>
      <c r="CS94">
        <f>$C94*CS93</f>
        <v/>
      </c>
      <c r="CT94">
        <f>$C94*CT93</f>
        <v/>
      </c>
      <c r="CU94">
        <f>$C94*CU93</f>
        <v/>
      </c>
      <c r="CV94">
        <f>$C94*CV93</f>
        <v/>
      </c>
      <c r="CW94">
        <f>$C94*CW93</f>
        <v/>
      </c>
      <c r="CX94">
        <f>$C94*CX93</f>
        <v/>
      </c>
      <c r="CY94">
        <f>$C94*CY93</f>
        <v/>
      </c>
      <c r="CZ94">
        <f>$C94*CZ93</f>
        <v/>
      </c>
      <c r="DA94">
        <f>$C94*DA93</f>
        <v/>
      </c>
      <c r="DB94">
        <f>$C94*DB93</f>
        <v/>
      </c>
      <c r="DC94">
        <f>$C94*DC93</f>
        <v/>
      </c>
      <c r="DD94">
        <f>$C94*DD93</f>
        <v/>
      </c>
    </row>
    <row r="95">
      <c r="B95" t="inlineStr">
        <is>
          <t>VSP-746</t>
        </is>
      </c>
      <c r="C95" t="inlineStr">
        <is>
          <t>No. of batches</t>
        </is>
      </c>
      <c r="D95">
        <f>IFERROR(INDEX(E95:DD95,$F$1),"")</f>
        <v/>
      </c>
      <c r="E95">
        <f>IFERROR(INDEX(PP_Grid[#Data],$DE95,2),0)</f>
        <v/>
      </c>
      <c r="F95">
        <f>IFERROR(INDEX(PP_Grid[#Data],$DE95,3),0)</f>
        <v/>
      </c>
      <c r="G95">
        <f>IFERROR(INDEX(PP_Grid[#Data],$DE95,4),0)</f>
        <v/>
      </c>
      <c r="H95">
        <f>IFERROR(INDEX(PP_Grid[#Data],$DE95,5),0)</f>
        <v/>
      </c>
      <c r="I95">
        <f>IFERROR(INDEX(PP_Grid[#Data],$DE95,6),0)</f>
        <v/>
      </c>
      <c r="J95">
        <f>IFERROR(INDEX(PP_Grid[#Data],$DE95,7),0)</f>
        <v/>
      </c>
      <c r="K95">
        <f>IFERROR(INDEX(PP_Grid[#Data],$DE95,8),0)</f>
        <v/>
      </c>
      <c r="L95">
        <f>IFERROR(INDEX(PP_Grid[#Data],$DE95,9),0)</f>
        <v/>
      </c>
      <c r="M95">
        <f>IFERROR(INDEX(PP_Grid[#Data],$DE95,10),0)</f>
        <v/>
      </c>
      <c r="N95">
        <f>IFERROR(INDEX(PP_Grid[#Data],$DE95,11),0)</f>
        <v/>
      </c>
      <c r="O95">
        <f>IFERROR(INDEX(PP_Grid[#Data],$DE95,12),0)</f>
        <v/>
      </c>
      <c r="P95">
        <f>IFERROR(INDEX(PP_Grid[#Data],$DE95,13),0)</f>
        <v/>
      </c>
      <c r="Q95">
        <f>IFERROR(INDEX(PP_Grid[#Data],$DE95,14),0)</f>
        <v/>
      </c>
      <c r="R95">
        <f>IFERROR(INDEX(PP_Grid[#Data],$DE95,15),0)</f>
        <v/>
      </c>
      <c r="S95">
        <f>IFERROR(INDEX(PP_Grid[#Data],$DE95,16),0)</f>
        <v/>
      </c>
      <c r="T95">
        <f>IFERROR(INDEX(PP_Grid[#Data],$DE95,17),0)</f>
        <v/>
      </c>
      <c r="U95">
        <f>IFERROR(INDEX(PP_Grid[#Data],$DE95,18),0)</f>
        <v/>
      </c>
      <c r="V95">
        <f>IFERROR(INDEX(PP_Grid[#Data],$DE95,19),0)</f>
        <v/>
      </c>
      <c r="W95">
        <f>IFERROR(INDEX(PP_Grid[#Data],$DE95,20),0)</f>
        <v/>
      </c>
      <c r="X95">
        <f>IFERROR(INDEX(PP_Grid[#Data],$DE95,21),0)</f>
        <v/>
      </c>
      <c r="Y95">
        <f>IFERROR(INDEX(PP_Grid[#Data],$DE95,22),0)</f>
        <v/>
      </c>
      <c r="Z95">
        <f>IFERROR(INDEX(PP_Grid[#Data],$DE95,23),0)</f>
        <v/>
      </c>
      <c r="AA95">
        <f>IFERROR(INDEX(PP_Grid[#Data],$DE95,24),0)</f>
        <v/>
      </c>
      <c r="AB95">
        <f>IFERROR(INDEX(PP_Grid[#Data],$DE95,25),0)</f>
        <v/>
      </c>
      <c r="AC95">
        <f>IFERROR(INDEX(PP_Grid[#Data],$DE95,26),0)</f>
        <v/>
      </c>
      <c r="AD95">
        <f>IFERROR(INDEX(PP_Grid[#Data],$DE95,27),0)</f>
        <v/>
      </c>
      <c r="AE95">
        <f>IFERROR(INDEX(PP_Grid[#Data],$DE95,28),0)</f>
        <v/>
      </c>
      <c r="AF95">
        <f>IFERROR(INDEX(PP_Grid[#Data],$DE95,29),0)</f>
        <v/>
      </c>
      <c r="AG95">
        <f>IFERROR(INDEX(PP_Grid[#Data],$DE95,30),0)</f>
        <v/>
      </c>
      <c r="AH95">
        <f>IFERROR(INDEX(PP_Grid[#Data],$DE95,31),0)</f>
        <v/>
      </c>
      <c r="AI95">
        <f>IFERROR(INDEX(PP_Grid[#Data],$DE95,32),0)</f>
        <v/>
      </c>
      <c r="AJ95">
        <f>IFERROR(INDEX(PP_Grid[#Data],$DE95,33),0)</f>
        <v/>
      </c>
      <c r="AK95">
        <f>IFERROR(INDEX(PP_Grid[#Data],$DE95,34),0)</f>
        <v/>
      </c>
      <c r="AL95">
        <f>IFERROR(INDEX(PP_Grid[#Data],$DE95,35),0)</f>
        <v/>
      </c>
      <c r="AM95">
        <f>IFERROR(INDEX(PP_Grid[#Data],$DE95,36),0)</f>
        <v/>
      </c>
      <c r="AN95">
        <f>IFERROR(INDEX(PP_Grid[#Data],$DE95,37),0)</f>
        <v/>
      </c>
      <c r="AO95">
        <f>IFERROR(INDEX(PP_Grid[#Data],$DE95,38),0)</f>
        <v/>
      </c>
      <c r="AP95">
        <f>IFERROR(INDEX(PP_Grid[#Data],$DE95,39),0)</f>
        <v/>
      </c>
      <c r="AQ95">
        <f>IFERROR(INDEX(PP_Grid[#Data],$DE95,40),0)</f>
        <v/>
      </c>
      <c r="AR95">
        <f>IFERROR(INDEX(PP_Grid[#Data],$DE95,41),0)</f>
        <v/>
      </c>
      <c r="AS95">
        <f>IFERROR(INDEX(PP_Grid[#Data],$DE95,42),0)</f>
        <v/>
      </c>
      <c r="AT95">
        <f>IFERROR(INDEX(PP_Grid[#Data],$DE95,43),0)</f>
        <v/>
      </c>
      <c r="AU95">
        <f>IFERROR(INDEX(PP_Grid[#Data],$DE95,44),0)</f>
        <v/>
      </c>
      <c r="AV95">
        <f>IFERROR(INDEX(PP_Grid[#Data],$DE95,45),0)</f>
        <v/>
      </c>
      <c r="AW95">
        <f>IFERROR(INDEX(PP_Grid[#Data],$DE95,46),0)</f>
        <v/>
      </c>
      <c r="AX95">
        <f>IFERROR(INDEX(PP_Grid[#Data],$DE95,47),0)</f>
        <v/>
      </c>
      <c r="AY95">
        <f>IFERROR(INDEX(PP_Grid[#Data],$DE95,48),0)</f>
        <v/>
      </c>
      <c r="AZ95">
        <f>IFERROR(INDEX(PP_Grid[#Data],$DE95,49),0)</f>
        <v/>
      </c>
      <c r="BA95">
        <f>IFERROR(INDEX(PP_Grid[#Data],$DE95,50),0)</f>
        <v/>
      </c>
      <c r="BB95">
        <f>IFERROR(INDEX(PP_Grid[#Data],$DE95,51),0)</f>
        <v/>
      </c>
      <c r="BC95">
        <f>IFERROR(INDEX(PP_Grid[#Data],$DE95,52),0)</f>
        <v/>
      </c>
      <c r="BD95">
        <f>IFERROR(INDEX(PP_Grid[#Data],$DE95,53),0)</f>
        <v/>
      </c>
      <c r="BE95">
        <f>IFERROR(INDEX(PP_Grid[#Data],$DE95,54),0)</f>
        <v/>
      </c>
      <c r="BF95">
        <f>IFERROR(INDEX(PP_Grid[#Data],$DE95,55),0)</f>
        <v/>
      </c>
      <c r="BG95">
        <f>IFERROR(INDEX(PP_Grid[#Data],$DE95,56),0)</f>
        <v/>
      </c>
      <c r="BH95">
        <f>IFERROR(INDEX(PP_Grid[#Data],$DE95,57),0)</f>
        <v/>
      </c>
      <c r="BI95">
        <f>IFERROR(INDEX(PP_Grid[#Data],$DE95,58),0)</f>
        <v/>
      </c>
      <c r="BJ95">
        <f>IFERROR(INDEX(PP_Grid[#Data],$DE95,59),0)</f>
        <v/>
      </c>
      <c r="BK95">
        <f>IFERROR(INDEX(PP_Grid[#Data],$DE95,60),0)</f>
        <v/>
      </c>
      <c r="BL95">
        <f>IFERROR(INDEX(PP_Grid[#Data],$DE95,61),0)</f>
        <v/>
      </c>
      <c r="BM95">
        <f>IFERROR(INDEX(PP_Grid[#Data],$DE95,62),0)</f>
        <v/>
      </c>
      <c r="BN95">
        <f>IFERROR(INDEX(PP_Grid[#Data],$DE95,63),0)</f>
        <v/>
      </c>
      <c r="BO95">
        <f>IFERROR(INDEX(PP_Grid[#Data],$DE95,64),0)</f>
        <v/>
      </c>
      <c r="BP95">
        <f>IFERROR(INDEX(PP_Grid[#Data],$DE95,65),0)</f>
        <v/>
      </c>
      <c r="BQ95">
        <f>IFERROR(INDEX(PP_Grid[#Data],$DE95,66),0)</f>
        <v/>
      </c>
      <c r="BR95">
        <f>IFERROR(INDEX(PP_Grid[#Data],$DE95,67),0)</f>
        <v/>
      </c>
      <c r="BS95">
        <f>IFERROR(INDEX(PP_Grid[#Data],$DE95,68),0)</f>
        <v/>
      </c>
      <c r="BT95">
        <f>IFERROR(INDEX(PP_Grid[#Data],$DE95,69),0)</f>
        <v/>
      </c>
      <c r="BU95">
        <f>IFERROR(INDEX(PP_Grid[#Data],$DE95,70),0)</f>
        <v/>
      </c>
      <c r="BV95">
        <f>IFERROR(INDEX(PP_Grid[#Data],$DE95,71),0)</f>
        <v/>
      </c>
      <c r="BW95">
        <f>IFERROR(INDEX(PP_Grid[#Data],$DE95,72),0)</f>
        <v/>
      </c>
      <c r="BX95">
        <f>IFERROR(INDEX(PP_Grid[#Data],$DE95,73),0)</f>
        <v/>
      </c>
      <c r="BY95">
        <f>IFERROR(INDEX(PP_Grid[#Data],$DE95,74),0)</f>
        <v/>
      </c>
      <c r="BZ95">
        <f>IFERROR(INDEX(PP_Grid[#Data],$DE95,75),0)</f>
        <v/>
      </c>
      <c r="CA95">
        <f>IFERROR(INDEX(PP_Grid[#Data],$DE95,76),0)</f>
        <v/>
      </c>
      <c r="CB95">
        <f>IFERROR(INDEX(PP_Grid[#Data],$DE95,77),0)</f>
        <v/>
      </c>
      <c r="CC95">
        <f>IFERROR(INDEX(PP_Grid[#Data],$DE95,78),0)</f>
        <v/>
      </c>
      <c r="CD95">
        <f>IFERROR(INDEX(PP_Grid[#Data],$DE95,79),0)</f>
        <v/>
      </c>
      <c r="CE95">
        <f>IFERROR(INDEX(PP_Grid[#Data],$DE95,80),0)</f>
        <v/>
      </c>
      <c r="CF95">
        <f>IFERROR(INDEX(PP_Grid[#Data],$DE95,81),0)</f>
        <v/>
      </c>
      <c r="CG95">
        <f>IFERROR(INDEX(PP_Grid[#Data],$DE95,82),0)</f>
        <v/>
      </c>
      <c r="CH95">
        <f>IFERROR(INDEX(PP_Grid[#Data],$DE95,83),0)</f>
        <v/>
      </c>
      <c r="CI95">
        <f>IFERROR(INDEX(PP_Grid[#Data],$DE95,84),0)</f>
        <v/>
      </c>
      <c r="CJ95">
        <f>IFERROR(INDEX(PP_Grid[#Data],$DE95,85),0)</f>
        <v/>
      </c>
      <c r="CK95">
        <f>IFERROR(INDEX(PP_Grid[#Data],$DE95,86),0)</f>
        <v/>
      </c>
      <c r="CL95">
        <f>IFERROR(INDEX(PP_Grid[#Data],$DE95,87),0)</f>
        <v/>
      </c>
      <c r="CM95">
        <f>IFERROR(INDEX(PP_Grid[#Data],$DE95,88),0)</f>
        <v/>
      </c>
      <c r="CN95">
        <f>IFERROR(INDEX(PP_Grid[#Data],$DE95,89),0)</f>
        <v/>
      </c>
      <c r="CO95">
        <f>IFERROR(INDEX(PP_Grid[#Data],$DE95,90),0)</f>
        <v/>
      </c>
      <c r="CP95">
        <f>IFERROR(INDEX(PP_Grid[#Data],$DE95,91),0)</f>
        <v/>
      </c>
      <c r="CQ95">
        <f>IFERROR(INDEX(PP_Grid[#Data],$DE95,92),0)</f>
        <v/>
      </c>
      <c r="CR95">
        <f>IFERROR(INDEX(PP_Grid[#Data],$DE95,93),0)</f>
        <v/>
      </c>
      <c r="CS95">
        <f>IFERROR(INDEX(PP_Grid[#Data],$DE95,94),0)</f>
        <v/>
      </c>
      <c r="CT95">
        <f>IFERROR(INDEX(PP_Grid[#Data],$DE95,95),0)</f>
        <v/>
      </c>
      <c r="CU95">
        <f>IFERROR(INDEX(PP_Grid[#Data],$DE95,96),0)</f>
        <v/>
      </c>
      <c r="CV95">
        <f>IFERROR(INDEX(PP_Grid[#Data],$DE95,97),0)</f>
        <v/>
      </c>
      <c r="CW95">
        <f>IFERROR(INDEX(PP_Grid[#Data],$DE95,98),0)</f>
        <v/>
      </c>
      <c r="CX95">
        <f>IFERROR(INDEX(PP_Grid[#Data],$DE95,99),0)</f>
        <v/>
      </c>
      <c r="CY95">
        <f>IFERROR(INDEX(PP_Grid[#Data],$DE95,100),0)</f>
        <v/>
      </c>
      <c r="CZ95">
        <f>IFERROR(INDEX(PP_Grid[#Data],$DE95,101),0)</f>
        <v/>
      </c>
      <c r="DA95">
        <f>IFERROR(INDEX(PP_Grid[#Data],$DE95,102),0)</f>
        <v/>
      </c>
      <c r="DB95">
        <f>IFERROR(INDEX(PP_Grid[#Data],$DE95,103),0)</f>
        <v/>
      </c>
      <c r="DC95">
        <f>IFERROR(INDEX(PP_Grid[#Data],$DE95,104),0)</f>
        <v/>
      </c>
      <c r="DD95">
        <f>IFERROR(INDEX(PP_Grid[#Data],$DE95,105),0)</f>
        <v/>
      </c>
      <c r="DE95" s="7">
        <f>IFERROR(MATCH($B95,PP_Grid[Intermediate],0),99999)</f>
        <v/>
      </c>
    </row>
    <row r="96">
      <c r="B96" t="inlineStr">
        <is>
          <t>使用量(kg)</t>
        </is>
      </c>
      <c r="C96">
        <f>SUMIFS(M_BOM[RM_Qty_Per_Batch],M_BOM[Intermediate],$B95,M_BOM[RM_Code],$A28)</f>
        <v/>
      </c>
      <c r="D96">
        <f>IFERROR(INDEX(E96:DD96,$F$1),"")</f>
        <v/>
      </c>
      <c r="E96">
        <f>$C96*E95</f>
        <v/>
      </c>
      <c r="F96">
        <f>$C96*F95</f>
        <v/>
      </c>
      <c r="G96">
        <f>$C96*G95</f>
        <v/>
      </c>
      <c r="H96">
        <f>$C96*H95</f>
        <v/>
      </c>
      <c r="I96">
        <f>$C96*I95</f>
        <v/>
      </c>
      <c r="J96">
        <f>$C96*J95</f>
        <v/>
      </c>
      <c r="K96">
        <f>$C96*K95</f>
        <v/>
      </c>
      <c r="L96">
        <f>$C96*L95</f>
        <v/>
      </c>
      <c r="M96">
        <f>$C96*M95</f>
        <v/>
      </c>
      <c r="N96">
        <f>$C96*N95</f>
        <v/>
      </c>
      <c r="O96">
        <f>$C96*O95</f>
        <v/>
      </c>
      <c r="P96">
        <f>$C96*P95</f>
        <v/>
      </c>
      <c r="Q96">
        <f>$C96*Q95</f>
        <v/>
      </c>
      <c r="R96">
        <f>$C96*R95</f>
        <v/>
      </c>
      <c r="S96">
        <f>$C96*S95</f>
        <v/>
      </c>
      <c r="T96">
        <f>$C96*T95</f>
        <v/>
      </c>
      <c r="U96">
        <f>$C96*U95</f>
        <v/>
      </c>
      <c r="V96">
        <f>$C96*V95</f>
        <v/>
      </c>
      <c r="W96">
        <f>$C96*W95</f>
        <v/>
      </c>
      <c r="X96">
        <f>$C96*X95</f>
        <v/>
      </c>
      <c r="Y96">
        <f>$C96*Y95</f>
        <v/>
      </c>
      <c r="Z96">
        <f>$C96*Z95</f>
        <v/>
      </c>
      <c r="AA96">
        <f>$C96*AA95</f>
        <v/>
      </c>
      <c r="AB96">
        <f>$C96*AB95</f>
        <v/>
      </c>
      <c r="AC96">
        <f>$C96*AC95</f>
        <v/>
      </c>
      <c r="AD96">
        <f>$C96*AD95</f>
        <v/>
      </c>
      <c r="AE96">
        <f>$C96*AE95</f>
        <v/>
      </c>
      <c r="AF96">
        <f>$C96*AF95</f>
        <v/>
      </c>
      <c r="AG96">
        <f>$C96*AG95</f>
        <v/>
      </c>
      <c r="AH96">
        <f>$C96*AH95</f>
        <v/>
      </c>
      <c r="AI96">
        <f>$C96*AI95</f>
        <v/>
      </c>
      <c r="AJ96">
        <f>$C96*AJ95</f>
        <v/>
      </c>
      <c r="AK96">
        <f>$C96*AK95</f>
        <v/>
      </c>
      <c r="AL96">
        <f>$C96*AL95</f>
        <v/>
      </c>
      <c r="AM96">
        <f>$C96*AM95</f>
        <v/>
      </c>
      <c r="AN96">
        <f>$C96*AN95</f>
        <v/>
      </c>
      <c r="AO96">
        <f>$C96*AO95</f>
        <v/>
      </c>
      <c r="AP96">
        <f>$C96*AP95</f>
        <v/>
      </c>
      <c r="AQ96">
        <f>$C96*AQ95</f>
        <v/>
      </c>
      <c r="AR96">
        <f>$C96*AR95</f>
        <v/>
      </c>
      <c r="AS96">
        <f>$C96*AS95</f>
        <v/>
      </c>
      <c r="AT96">
        <f>$C96*AT95</f>
        <v/>
      </c>
      <c r="AU96">
        <f>$C96*AU95</f>
        <v/>
      </c>
      <c r="AV96">
        <f>$C96*AV95</f>
        <v/>
      </c>
      <c r="AW96">
        <f>$C96*AW95</f>
        <v/>
      </c>
      <c r="AX96">
        <f>$C96*AX95</f>
        <v/>
      </c>
      <c r="AY96">
        <f>$C96*AY95</f>
        <v/>
      </c>
      <c r="AZ96">
        <f>$C96*AZ95</f>
        <v/>
      </c>
      <c r="BA96">
        <f>$C96*BA95</f>
        <v/>
      </c>
      <c r="BB96">
        <f>$C96*BB95</f>
        <v/>
      </c>
      <c r="BC96">
        <f>$C96*BC95</f>
        <v/>
      </c>
      <c r="BD96">
        <f>$C96*BD95</f>
        <v/>
      </c>
      <c r="BE96">
        <f>$C96*BE95</f>
        <v/>
      </c>
      <c r="BF96">
        <f>$C96*BF95</f>
        <v/>
      </c>
      <c r="BG96">
        <f>$C96*BG95</f>
        <v/>
      </c>
      <c r="BH96">
        <f>$C96*BH95</f>
        <v/>
      </c>
      <c r="BI96">
        <f>$C96*BI95</f>
        <v/>
      </c>
      <c r="BJ96">
        <f>$C96*BJ95</f>
        <v/>
      </c>
      <c r="BK96">
        <f>$C96*BK95</f>
        <v/>
      </c>
      <c r="BL96">
        <f>$C96*BL95</f>
        <v/>
      </c>
      <c r="BM96">
        <f>$C96*BM95</f>
        <v/>
      </c>
      <c r="BN96">
        <f>$C96*BN95</f>
        <v/>
      </c>
      <c r="BO96">
        <f>$C96*BO95</f>
        <v/>
      </c>
      <c r="BP96">
        <f>$C96*BP95</f>
        <v/>
      </c>
      <c r="BQ96">
        <f>$C96*BQ95</f>
        <v/>
      </c>
      <c r="BR96">
        <f>$C96*BR95</f>
        <v/>
      </c>
      <c r="BS96">
        <f>$C96*BS95</f>
        <v/>
      </c>
      <c r="BT96">
        <f>$C96*BT95</f>
        <v/>
      </c>
      <c r="BU96">
        <f>$C96*BU95</f>
        <v/>
      </c>
      <c r="BV96">
        <f>$C96*BV95</f>
        <v/>
      </c>
      <c r="BW96">
        <f>$C96*BW95</f>
        <v/>
      </c>
      <c r="BX96">
        <f>$C96*BX95</f>
        <v/>
      </c>
      <c r="BY96">
        <f>$C96*BY95</f>
        <v/>
      </c>
      <c r="BZ96">
        <f>$C96*BZ95</f>
        <v/>
      </c>
      <c r="CA96">
        <f>$C96*CA95</f>
        <v/>
      </c>
      <c r="CB96">
        <f>$C96*CB95</f>
        <v/>
      </c>
      <c r="CC96">
        <f>$C96*CC95</f>
        <v/>
      </c>
      <c r="CD96">
        <f>$C96*CD95</f>
        <v/>
      </c>
      <c r="CE96">
        <f>$C96*CE95</f>
        <v/>
      </c>
      <c r="CF96">
        <f>$C96*CF95</f>
        <v/>
      </c>
      <c r="CG96">
        <f>$C96*CG95</f>
        <v/>
      </c>
      <c r="CH96">
        <f>$C96*CH95</f>
        <v/>
      </c>
      <c r="CI96">
        <f>$C96*CI95</f>
        <v/>
      </c>
      <c r="CJ96">
        <f>$C96*CJ95</f>
        <v/>
      </c>
      <c r="CK96">
        <f>$C96*CK95</f>
        <v/>
      </c>
      <c r="CL96">
        <f>$C96*CL95</f>
        <v/>
      </c>
      <c r="CM96">
        <f>$C96*CM95</f>
        <v/>
      </c>
      <c r="CN96">
        <f>$C96*CN95</f>
        <v/>
      </c>
      <c r="CO96">
        <f>$C96*CO95</f>
        <v/>
      </c>
      <c r="CP96">
        <f>$C96*CP95</f>
        <v/>
      </c>
      <c r="CQ96">
        <f>$C96*CQ95</f>
        <v/>
      </c>
      <c r="CR96">
        <f>$C96*CR95</f>
        <v/>
      </c>
      <c r="CS96">
        <f>$C96*CS95</f>
        <v/>
      </c>
      <c r="CT96">
        <f>$C96*CT95</f>
        <v/>
      </c>
      <c r="CU96">
        <f>$C96*CU95</f>
        <v/>
      </c>
      <c r="CV96">
        <f>$C96*CV95</f>
        <v/>
      </c>
      <c r="CW96">
        <f>$C96*CW95</f>
        <v/>
      </c>
      <c r="CX96">
        <f>$C96*CX95</f>
        <v/>
      </c>
      <c r="CY96">
        <f>$C96*CY95</f>
        <v/>
      </c>
      <c r="CZ96">
        <f>$C96*CZ95</f>
        <v/>
      </c>
      <c r="DA96">
        <f>$C96*DA95</f>
        <v/>
      </c>
      <c r="DB96">
        <f>$C96*DB95</f>
        <v/>
      </c>
      <c r="DC96">
        <f>$C96*DC95</f>
        <v/>
      </c>
      <c r="DD96">
        <f>$C96*DD95</f>
        <v/>
      </c>
    </row>
    <row r="97">
      <c r="B97" t="inlineStr">
        <is>
          <t>VSP-820</t>
        </is>
      </c>
      <c r="C97" t="inlineStr">
        <is>
          <t>No. of batches</t>
        </is>
      </c>
      <c r="D97">
        <f>IFERROR(INDEX(E97:DD97,$F$1),"")</f>
        <v/>
      </c>
      <c r="E97">
        <f>IFERROR(INDEX(PP_Grid[#Data],$DE97,2),0)</f>
        <v/>
      </c>
      <c r="F97">
        <f>IFERROR(INDEX(PP_Grid[#Data],$DE97,3),0)</f>
        <v/>
      </c>
      <c r="G97">
        <f>IFERROR(INDEX(PP_Grid[#Data],$DE97,4),0)</f>
        <v/>
      </c>
      <c r="H97">
        <f>IFERROR(INDEX(PP_Grid[#Data],$DE97,5),0)</f>
        <v/>
      </c>
      <c r="I97">
        <f>IFERROR(INDEX(PP_Grid[#Data],$DE97,6),0)</f>
        <v/>
      </c>
      <c r="J97">
        <f>IFERROR(INDEX(PP_Grid[#Data],$DE97,7),0)</f>
        <v/>
      </c>
      <c r="K97">
        <f>IFERROR(INDEX(PP_Grid[#Data],$DE97,8),0)</f>
        <v/>
      </c>
      <c r="L97">
        <f>IFERROR(INDEX(PP_Grid[#Data],$DE97,9),0)</f>
        <v/>
      </c>
      <c r="M97">
        <f>IFERROR(INDEX(PP_Grid[#Data],$DE97,10),0)</f>
        <v/>
      </c>
      <c r="N97">
        <f>IFERROR(INDEX(PP_Grid[#Data],$DE97,11),0)</f>
        <v/>
      </c>
      <c r="O97">
        <f>IFERROR(INDEX(PP_Grid[#Data],$DE97,12),0)</f>
        <v/>
      </c>
      <c r="P97">
        <f>IFERROR(INDEX(PP_Grid[#Data],$DE97,13),0)</f>
        <v/>
      </c>
      <c r="Q97">
        <f>IFERROR(INDEX(PP_Grid[#Data],$DE97,14),0)</f>
        <v/>
      </c>
      <c r="R97">
        <f>IFERROR(INDEX(PP_Grid[#Data],$DE97,15),0)</f>
        <v/>
      </c>
      <c r="S97">
        <f>IFERROR(INDEX(PP_Grid[#Data],$DE97,16),0)</f>
        <v/>
      </c>
      <c r="T97">
        <f>IFERROR(INDEX(PP_Grid[#Data],$DE97,17),0)</f>
        <v/>
      </c>
      <c r="U97">
        <f>IFERROR(INDEX(PP_Grid[#Data],$DE97,18),0)</f>
        <v/>
      </c>
      <c r="V97">
        <f>IFERROR(INDEX(PP_Grid[#Data],$DE97,19),0)</f>
        <v/>
      </c>
      <c r="W97">
        <f>IFERROR(INDEX(PP_Grid[#Data],$DE97,20),0)</f>
        <v/>
      </c>
      <c r="X97">
        <f>IFERROR(INDEX(PP_Grid[#Data],$DE97,21),0)</f>
        <v/>
      </c>
      <c r="Y97">
        <f>IFERROR(INDEX(PP_Grid[#Data],$DE97,22),0)</f>
        <v/>
      </c>
      <c r="Z97">
        <f>IFERROR(INDEX(PP_Grid[#Data],$DE97,23),0)</f>
        <v/>
      </c>
      <c r="AA97">
        <f>IFERROR(INDEX(PP_Grid[#Data],$DE97,24),0)</f>
        <v/>
      </c>
      <c r="AB97">
        <f>IFERROR(INDEX(PP_Grid[#Data],$DE97,25),0)</f>
        <v/>
      </c>
      <c r="AC97">
        <f>IFERROR(INDEX(PP_Grid[#Data],$DE97,26),0)</f>
        <v/>
      </c>
      <c r="AD97">
        <f>IFERROR(INDEX(PP_Grid[#Data],$DE97,27),0)</f>
        <v/>
      </c>
      <c r="AE97">
        <f>IFERROR(INDEX(PP_Grid[#Data],$DE97,28),0)</f>
        <v/>
      </c>
      <c r="AF97">
        <f>IFERROR(INDEX(PP_Grid[#Data],$DE97,29),0)</f>
        <v/>
      </c>
      <c r="AG97">
        <f>IFERROR(INDEX(PP_Grid[#Data],$DE97,30),0)</f>
        <v/>
      </c>
      <c r="AH97">
        <f>IFERROR(INDEX(PP_Grid[#Data],$DE97,31),0)</f>
        <v/>
      </c>
      <c r="AI97">
        <f>IFERROR(INDEX(PP_Grid[#Data],$DE97,32),0)</f>
        <v/>
      </c>
      <c r="AJ97">
        <f>IFERROR(INDEX(PP_Grid[#Data],$DE97,33),0)</f>
        <v/>
      </c>
      <c r="AK97">
        <f>IFERROR(INDEX(PP_Grid[#Data],$DE97,34),0)</f>
        <v/>
      </c>
      <c r="AL97">
        <f>IFERROR(INDEX(PP_Grid[#Data],$DE97,35),0)</f>
        <v/>
      </c>
      <c r="AM97">
        <f>IFERROR(INDEX(PP_Grid[#Data],$DE97,36),0)</f>
        <v/>
      </c>
      <c r="AN97">
        <f>IFERROR(INDEX(PP_Grid[#Data],$DE97,37),0)</f>
        <v/>
      </c>
      <c r="AO97">
        <f>IFERROR(INDEX(PP_Grid[#Data],$DE97,38),0)</f>
        <v/>
      </c>
      <c r="AP97">
        <f>IFERROR(INDEX(PP_Grid[#Data],$DE97,39),0)</f>
        <v/>
      </c>
      <c r="AQ97">
        <f>IFERROR(INDEX(PP_Grid[#Data],$DE97,40),0)</f>
        <v/>
      </c>
      <c r="AR97">
        <f>IFERROR(INDEX(PP_Grid[#Data],$DE97,41),0)</f>
        <v/>
      </c>
      <c r="AS97">
        <f>IFERROR(INDEX(PP_Grid[#Data],$DE97,42),0)</f>
        <v/>
      </c>
      <c r="AT97">
        <f>IFERROR(INDEX(PP_Grid[#Data],$DE97,43),0)</f>
        <v/>
      </c>
      <c r="AU97">
        <f>IFERROR(INDEX(PP_Grid[#Data],$DE97,44),0)</f>
        <v/>
      </c>
      <c r="AV97">
        <f>IFERROR(INDEX(PP_Grid[#Data],$DE97,45),0)</f>
        <v/>
      </c>
      <c r="AW97">
        <f>IFERROR(INDEX(PP_Grid[#Data],$DE97,46),0)</f>
        <v/>
      </c>
      <c r="AX97">
        <f>IFERROR(INDEX(PP_Grid[#Data],$DE97,47),0)</f>
        <v/>
      </c>
      <c r="AY97">
        <f>IFERROR(INDEX(PP_Grid[#Data],$DE97,48),0)</f>
        <v/>
      </c>
      <c r="AZ97">
        <f>IFERROR(INDEX(PP_Grid[#Data],$DE97,49),0)</f>
        <v/>
      </c>
      <c r="BA97">
        <f>IFERROR(INDEX(PP_Grid[#Data],$DE97,50),0)</f>
        <v/>
      </c>
      <c r="BB97">
        <f>IFERROR(INDEX(PP_Grid[#Data],$DE97,51),0)</f>
        <v/>
      </c>
      <c r="BC97">
        <f>IFERROR(INDEX(PP_Grid[#Data],$DE97,52),0)</f>
        <v/>
      </c>
      <c r="BD97">
        <f>IFERROR(INDEX(PP_Grid[#Data],$DE97,53),0)</f>
        <v/>
      </c>
      <c r="BE97">
        <f>IFERROR(INDEX(PP_Grid[#Data],$DE97,54),0)</f>
        <v/>
      </c>
      <c r="BF97">
        <f>IFERROR(INDEX(PP_Grid[#Data],$DE97,55),0)</f>
        <v/>
      </c>
      <c r="BG97">
        <f>IFERROR(INDEX(PP_Grid[#Data],$DE97,56),0)</f>
        <v/>
      </c>
      <c r="BH97">
        <f>IFERROR(INDEX(PP_Grid[#Data],$DE97,57),0)</f>
        <v/>
      </c>
      <c r="BI97">
        <f>IFERROR(INDEX(PP_Grid[#Data],$DE97,58),0)</f>
        <v/>
      </c>
      <c r="BJ97">
        <f>IFERROR(INDEX(PP_Grid[#Data],$DE97,59),0)</f>
        <v/>
      </c>
      <c r="BK97">
        <f>IFERROR(INDEX(PP_Grid[#Data],$DE97,60),0)</f>
        <v/>
      </c>
      <c r="BL97">
        <f>IFERROR(INDEX(PP_Grid[#Data],$DE97,61),0)</f>
        <v/>
      </c>
      <c r="BM97">
        <f>IFERROR(INDEX(PP_Grid[#Data],$DE97,62),0)</f>
        <v/>
      </c>
      <c r="BN97">
        <f>IFERROR(INDEX(PP_Grid[#Data],$DE97,63),0)</f>
        <v/>
      </c>
      <c r="BO97">
        <f>IFERROR(INDEX(PP_Grid[#Data],$DE97,64),0)</f>
        <v/>
      </c>
      <c r="BP97">
        <f>IFERROR(INDEX(PP_Grid[#Data],$DE97,65),0)</f>
        <v/>
      </c>
      <c r="BQ97">
        <f>IFERROR(INDEX(PP_Grid[#Data],$DE97,66),0)</f>
        <v/>
      </c>
      <c r="BR97">
        <f>IFERROR(INDEX(PP_Grid[#Data],$DE97,67),0)</f>
        <v/>
      </c>
      <c r="BS97">
        <f>IFERROR(INDEX(PP_Grid[#Data],$DE97,68),0)</f>
        <v/>
      </c>
      <c r="BT97">
        <f>IFERROR(INDEX(PP_Grid[#Data],$DE97,69),0)</f>
        <v/>
      </c>
      <c r="BU97">
        <f>IFERROR(INDEX(PP_Grid[#Data],$DE97,70),0)</f>
        <v/>
      </c>
      <c r="BV97">
        <f>IFERROR(INDEX(PP_Grid[#Data],$DE97,71),0)</f>
        <v/>
      </c>
      <c r="BW97">
        <f>IFERROR(INDEX(PP_Grid[#Data],$DE97,72),0)</f>
        <v/>
      </c>
      <c r="BX97">
        <f>IFERROR(INDEX(PP_Grid[#Data],$DE97,73),0)</f>
        <v/>
      </c>
      <c r="BY97">
        <f>IFERROR(INDEX(PP_Grid[#Data],$DE97,74),0)</f>
        <v/>
      </c>
      <c r="BZ97">
        <f>IFERROR(INDEX(PP_Grid[#Data],$DE97,75),0)</f>
        <v/>
      </c>
      <c r="CA97">
        <f>IFERROR(INDEX(PP_Grid[#Data],$DE97,76),0)</f>
        <v/>
      </c>
      <c r="CB97">
        <f>IFERROR(INDEX(PP_Grid[#Data],$DE97,77),0)</f>
        <v/>
      </c>
      <c r="CC97">
        <f>IFERROR(INDEX(PP_Grid[#Data],$DE97,78),0)</f>
        <v/>
      </c>
      <c r="CD97">
        <f>IFERROR(INDEX(PP_Grid[#Data],$DE97,79),0)</f>
        <v/>
      </c>
      <c r="CE97">
        <f>IFERROR(INDEX(PP_Grid[#Data],$DE97,80),0)</f>
        <v/>
      </c>
      <c r="CF97">
        <f>IFERROR(INDEX(PP_Grid[#Data],$DE97,81),0)</f>
        <v/>
      </c>
      <c r="CG97">
        <f>IFERROR(INDEX(PP_Grid[#Data],$DE97,82),0)</f>
        <v/>
      </c>
      <c r="CH97">
        <f>IFERROR(INDEX(PP_Grid[#Data],$DE97,83),0)</f>
        <v/>
      </c>
      <c r="CI97">
        <f>IFERROR(INDEX(PP_Grid[#Data],$DE97,84),0)</f>
        <v/>
      </c>
      <c r="CJ97">
        <f>IFERROR(INDEX(PP_Grid[#Data],$DE97,85),0)</f>
        <v/>
      </c>
      <c r="CK97">
        <f>IFERROR(INDEX(PP_Grid[#Data],$DE97,86),0)</f>
        <v/>
      </c>
      <c r="CL97">
        <f>IFERROR(INDEX(PP_Grid[#Data],$DE97,87),0)</f>
        <v/>
      </c>
      <c r="CM97">
        <f>IFERROR(INDEX(PP_Grid[#Data],$DE97,88),0)</f>
        <v/>
      </c>
      <c r="CN97">
        <f>IFERROR(INDEX(PP_Grid[#Data],$DE97,89),0)</f>
        <v/>
      </c>
      <c r="CO97">
        <f>IFERROR(INDEX(PP_Grid[#Data],$DE97,90),0)</f>
        <v/>
      </c>
      <c r="CP97">
        <f>IFERROR(INDEX(PP_Grid[#Data],$DE97,91),0)</f>
        <v/>
      </c>
      <c r="CQ97">
        <f>IFERROR(INDEX(PP_Grid[#Data],$DE97,92),0)</f>
        <v/>
      </c>
      <c r="CR97">
        <f>IFERROR(INDEX(PP_Grid[#Data],$DE97,93),0)</f>
        <v/>
      </c>
      <c r="CS97">
        <f>IFERROR(INDEX(PP_Grid[#Data],$DE97,94),0)</f>
        <v/>
      </c>
      <c r="CT97">
        <f>IFERROR(INDEX(PP_Grid[#Data],$DE97,95),0)</f>
        <v/>
      </c>
      <c r="CU97">
        <f>IFERROR(INDEX(PP_Grid[#Data],$DE97,96),0)</f>
        <v/>
      </c>
      <c r="CV97">
        <f>IFERROR(INDEX(PP_Grid[#Data],$DE97,97),0)</f>
        <v/>
      </c>
      <c r="CW97">
        <f>IFERROR(INDEX(PP_Grid[#Data],$DE97,98),0)</f>
        <v/>
      </c>
      <c r="CX97">
        <f>IFERROR(INDEX(PP_Grid[#Data],$DE97,99),0)</f>
        <v/>
      </c>
      <c r="CY97">
        <f>IFERROR(INDEX(PP_Grid[#Data],$DE97,100),0)</f>
        <v/>
      </c>
      <c r="CZ97">
        <f>IFERROR(INDEX(PP_Grid[#Data],$DE97,101),0)</f>
        <v/>
      </c>
      <c r="DA97">
        <f>IFERROR(INDEX(PP_Grid[#Data],$DE97,102),0)</f>
        <v/>
      </c>
      <c r="DB97">
        <f>IFERROR(INDEX(PP_Grid[#Data],$DE97,103),0)</f>
        <v/>
      </c>
      <c r="DC97">
        <f>IFERROR(INDEX(PP_Grid[#Data],$DE97,104),0)</f>
        <v/>
      </c>
      <c r="DD97">
        <f>IFERROR(INDEX(PP_Grid[#Data],$DE97,105),0)</f>
        <v/>
      </c>
      <c r="DE97" s="7">
        <f>IFERROR(MATCH($B97,PP_Grid[Intermediate],0),99999)</f>
        <v/>
      </c>
    </row>
    <row r="98">
      <c r="B98" t="inlineStr">
        <is>
          <t>使用量(kg)</t>
        </is>
      </c>
      <c r="C98">
        <f>SUMIFS(M_BOM[RM_Qty_Per_Batch],M_BOM[Intermediate],$B97,M_BOM[RM_Code],$A28)</f>
        <v/>
      </c>
      <c r="D98">
        <f>IFERROR(INDEX(E98:DD98,$F$1),"")</f>
        <v/>
      </c>
      <c r="E98">
        <f>$C98*E97</f>
        <v/>
      </c>
      <c r="F98">
        <f>$C98*F97</f>
        <v/>
      </c>
      <c r="G98">
        <f>$C98*G97</f>
        <v/>
      </c>
      <c r="H98">
        <f>$C98*H97</f>
        <v/>
      </c>
      <c r="I98">
        <f>$C98*I97</f>
        <v/>
      </c>
      <c r="J98">
        <f>$C98*J97</f>
        <v/>
      </c>
      <c r="K98">
        <f>$C98*K97</f>
        <v/>
      </c>
      <c r="L98">
        <f>$C98*L97</f>
        <v/>
      </c>
      <c r="M98">
        <f>$C98*M97</f>
        <v/>
      </c>
      <c r="N98">
        <f>$C98*N97</f>
        <v/>
      </c>
      <c r="O98">
        <f>$C98*O97</f>
        <v/>
      </c>
      <c r="P98">
        <f>$C98*P97</f>
        <v/>
      </c>
      <c r="Q98">
        <f>$C98*Q97</f>
        <v/>
      </c>
      <c r="R98">
        <f>$C98*R97</f>
        <v/>
      </c>
      <c r="S98">
        <f>$C98*S97</f>
        <v/>
      </c>
      <c r="T98">
        <f>$C98*T97</f>
        <v/>
      </c>
      <c r="U98">
        <f>$C98*U97</f>
        <v/>
      </c>
      <c r="V98">
        <f>$C98*V97</f>
        <v/>
      </c>
      <c r="W98">
        <f>$C98*W97</f>
        <v/>
      </c>
      <c r="X98">
        <f>$C98*X97</f>
        <v/>
      </c>
      <c r="Y98">
        <f>$C98*Y97</f>
        <v/>
      </c>
      <c r="Z98">
        <f>$C98*Z97</f>
        <v/>
      </c>
      <c r="AA98">
        <f>$C98*AA97</f>
        <v/>
      </c>
      <c r="AB98">
        <f>$C98*AB97</f>
        <v/>
      </c>
      <c r="AC98">
        <f>$C98*AC97</f>
        <v/>
      </c>
      <c r="AD98">
        <f>$C98*AD97</f>
        <v/>
      </c>
      <c r="AE98">
        <f>$C98*AE97</f>
        <v/>
      </c>
      <c r="AF98">
        <f>$C98*AF97</f>
        <v/>
      </c>
      <c r="AG98">
        <f>$C98*AG97</f>
        <v/>
      </c>
      <c r="AH98">
        <f>$C98*AH97</f>
        <v/>
      </c>
      <c r="AI98">
        <f>$C98*AI97</f>
        <v/>
      </c>
      <c r="AJ98">
        <f>$C98*AJ97</f>
        <v/>
      </c>
      <c r="AK98">
        <f>$C98*AK97</f>
        <v/>
      </c>
      <c r="AL98">
        <f>$C98*AL97</f>
        <v/>
      </c>
      <c r="AM98">
        <f>$C98*AM97</f>
        <v/>
      </c>
      <c r="AN98">
        <f>$C98*AN97</f>
        <v/>
      </c>
      <c r="AO98">
        <f>$C98*AO97</f>
        <v/>
      </c>
      <c r="AP98">
        <f>$C98*AP97</f>
        <v/>
      </c>
      <c r="AQ98">
        <f>$C98*AQ97</f>
        <v/>
      </c>
      <c r="AR98">
        <f>$C98*AR97</f>
        <v/>
      </c>
      <c r="AS98">
        <f>$C98*AS97</f>
        <v/>
      </c>
      <c r="AT98">
        <f>$C98*AT97</f>
        <v/>
      </c>
      <c r="AU98">
        <f>$C98*AU97</f>
        <v/>
      </c>
      <c r="AV98">
        <f>$C98*AV97</f>
        <v/>
      </c>
      <c r="AW98">
        <f>$C98*AW97</f>
        <v/>
      </c>
      <c r="AX98">
        <f>$C98*AX97</f>
        <v/>
      </c>
      <c r="AY98">
        <f>$C98*AY97</f>
        <v/>
      </c>
      <c r="AZ98">
        <f>$C98*AZ97</f>
        <v/>
      </c>
      <c r="BA98">
        <f>$C98*BA97</f>
        <v/>
      </c>
      <c r="BB98">
        <f>$C98*BB97</f>
        <v/>
      </c>
      <c r="BC98">
        <f>$C98*BC97</f>
        <v/>
      </c>
      <c r="BD98">
        <f>$C98*BD97</f>
        <v/>
      </c>
      <c r="BE98">
        <f>$C98*BE97</f>
        <v/>
      </c>
      <c r="BF98">
        <f>$C98*BF97</f>
        <v/>
      </c>
      <c r="BG98">
        <f>$C98*BG97</f>
        <v/>
      </c>
      <c r="BH98">
        <f>$C98*BH97</f>
        <v/>
      </c>
      <c r="BI98">
        <f>$C98*BI97</f>
        <v/>
      </c>
      <c r="BJ98">
        <f>$C98*BJ97</f>
        <v/>
      </c>
      <c r="BK98">
        <f>$C98*BK97</f>
        <v/>
      </c>
      <c r="BL98">
        <f>$C98*BL97</f>
        <v/>
      </c>
      <c r="BM98">
        <f>$C98*BM97</f>
        <v/>
      </c>
      <c r="BN98">
        <f>$C98*BN97</f>
        <v/>
      </c>
      <c r="BO98">
        <f>$C98*BO97</f>
        <v/>
      </c>
      <c r="BP98">
        <f>$C98*BP97</f>
        <v/>
      </c>
      <c r="BQ98">
        <f>$C98*BQ97</f>
        <v/>
      </c>
      <c r="BR98">
        <f>$C98*BR97</f>
        <v/>
      </c>
      <c r="BS98">
        <f>$C98*BS97</f>
        <v/>
      </c>
      <c r="BT98">
        <f>$C98*BT97</f>
        <v/>
      </c>
      <c r="BU98">
        <f>$C98*BU97</f>
        <v/>
      </c>
      <c r="BV98">
        <f>$C98*BV97</f>
        <v/>
      </c>
      <c r="BW98">
        <f>$C98*BW97</f>
        <v/>
      </c>
      <c r="BX98">
        <f>$C98*BX97</f>
        <v/>
      </c>
      <c r="BY98">
        <f>$C98*BY97</f>
        <v/>
      </c>
      <c r="BZ98">
        <f>$C98*BZ97</f>
        <v/>
      </c>
      <c r="CA98">
        <f>$C98*CA97</f>
        <v/>
      </c>
      <c r="CB98">
        <f>$C98*CB97</f>
        <v/>
      </c>
      <c r="CC98">
        <f>$C98*CC97</f>
        <v/>
      </c>
      <c r="CD98">
        <f>$C98*CD97</f>
        <v/>
      </c>
      <c r="CE98">
        <f>$C98*CE97</f>
        <v/>
      </c>
      <c r="CF98">
        <f>$C98*CF97</f>
        <v/>
      </c>
      <c r="CG98">
        <f>$C98*CG97</f>
        <v/>
      </c>
      <c r="CH98">
        <f>$C98*CH97</f>
        <v/>
      </c>
      <c r="CI98">
        <f>$C98*CI97</f>
        <v/>
      </c>
      <c r="CJ98">
        <f>$C98*CJ97</f>
        <v/>
      </c>
      <c r="CK98">
        <f>$C98*CK97</f>
        <v/>
      </c>
      <c r="CL98">
        <f>$C98*CL97</f>
        <v/>
      </c>
      <c r="CM98">
        <f>$C98*CM97</f>
        <v/>
      </c>
      <c r="CN98">
        <f>$C98*CN97</f>
        <v/>
      </c>
      <c r="CO98">
        <f>$C98*CO97</f>
        <v/>
      </c>
      <c r="CP98">
        <f>$C98*CP97</f>
        <v/>
      </c>
      <c r="CQ98">
        <f>$C98*CQ97</f>
        <v/>
      </c>
      <c r="CR98">
        <f>$C98*CR97</f>
        <v/>
      </c>
      <c r="CS98">
        <f>$C98*CS97</f>
        <v/>
      </c>
      <c r="CT98">
        <f>$C98*CT97</f>
        <v/>
      </c>
      <c r="CU98">
        <f>$C98*CU97</f>
        <v/>
      </c>
      <c r="CV98">
        <f>$C98*CV97</f>
        <v/>
      </c>
      <c r="CW98">
        <f>$C98*CW97</f>
        <v/>
      </c>
      <c r="CX98">
        <f>$C98*CX97</f>
        <v/>
      </c>
      <c r="CY98">
        <f>$C98*CY97</f>
        <v/>
      </c>
      <c r="CZ98">
        <f>$C98*CZ97</f>
        <v/>
      </c>
      <c r="DA98">
        <f>$C98*DA97</f>
        <v/>
      </c>
      <c r="DB98">
        <f>$C98*DB97</f>
        <v/>
      </c>
      <c r="DC98">
        <f>$C98*DC97</f>
        <v/>
      </c>
      <c r="DD98">
        <f>$C98*DD97</f>
        <v/>
      </c>
    </row>
    <row r="99">
      <c r="B99" t="inlineStr">
        <is>
          <t>VSP-822</t>
        </is>
      </c>
      <c r="C99" t="inlineStr">
        <is>
          <t>No. of batches</t>
        </is>
      </c>
      <c r="D99">
        <f>IFERROR(INDEX(E99:DD99,$F$1),"")</f>
        <v/>
      </c>
      <c r="E99">
        <f>IFERROR(INDEX(PP_Grid[#Data],$DE99,2),0)</f>
        <v/>
      </c>
      <c r="F99">
        <f>IFERROR(INDEX(PP_Grid[#Data],$DE99,3),0)</f>
        <v/>
      </c>
      <c r="G99">
        <f>IFERROR(INDEX(PP_Grid[#Data],$DE99,4),0)</f>
        <v/>
      </c>
      <c r="H99">
        <f>IFERROR(INDEX(PP_Grid[#Data],$DE99,5),0)</f>
        <v/>
      </c>
      <c r="I99">
        <f>IFERROR(INDEX(PP_Grid[#Data],$DE99,6),0)</f>
        <v/>
      </c>
      <c r="J99">
        <f>IFERROR(INDEX(PP_Grid[#Data],$DE99,7),0)</f>
        <v/>
      </c>
      <c r="K99">
        <f>IFERROR(INDEX(PP_Grid[#Data],$DE99,8),0)</f>
        <v/>
      </c>
      <c r="L99">
        <f>IFERROR(INDEX(PP_Grid[#Data],$DE99,9),0)</f>
        <v/>
      </c>
      <c r="M99">
        <f>IFERROR(INDEX(PP_Grid[#Data],$DE99,10),0)</f>
        <v/>
      </c>
      <c r="N99">
        <f>IFERROR(INDEX(PP_Grid[#Data],$DE99,11),0)</f>
        <v/>
      </c>
      <c r="O99">
        <f>IFERROR(INDEX(PP_Grid[#Data],$DE99,12),0)</f>
        <v/>
      </c>
      <c r="P99">
        <f>IFERROR(INDEX(PP_Grid[#Data],$DE99,13),0)</f>
        <v/>
      </c>
      <c r="Q99">
        <f>IFERROR(INDEX(PP_Grid[#Data],$DE99,14),0)</f>
        <v/>
      </c>
      <c r="R99">
        <f>IFERROR(INDEX(PP_Grid[#Data],$DE99,15),0)</f>
        <v/>
      </c>
      <c r="S99">
        <f>IFERROR(INDEX(PP_Grid[#Data],$DE99,16),0)</f>
        <v/>
      </c>
      <c r="T99">
        <f>IFERROR(INDEX(PP_Grid[#Data],$DE99,17),0)</f>
        <v/>
      </c>
      <c r="U99">
        <f>IFERROR(INDEX(PP_Grid[#Data],$DE99,18),0)</f>
        <v/>
      </c>
      <c r="V99">
        <f>IFERROR(INDEX(PP_Grid[#Data],$DE99,19),0)</f>
        <v/>
      </c>
      <c r="W99">
        <f>IFERROR(INDEX(PP_Grid[#Data],$DE99,20),0)</f>
        <v/>
      </c>
      <c r="X99">
        <f>IFERROR(INDEX(PP_Grid[#Data],$DE99,21),0)</f>
        <v/>
      </c>
      <c r="Y99">
        <f>IFERROR(INDEX(PP_Grid[#Data],$DE99,22),0)</f>
        <v/>
      </c>
      <c r="Z99">
        <f>IFERROR(INDEX(PP_Grid[#Data],$DE99,23),0)</f>
        <v/>
      </c>
      <c r="AA99">
        <f>IFERROR(INDEX(PP_Grid[#Data],$DE99,24),0)</f>
        <v/>
      </c>
      <c r="AB99">
        <f>IFERROR(INDEX(PP_Grid[#Data],$DE99,25),0)</f>
        <v/>
      </c>
      <c r="AC99">
        <f>IFERROR(INDEX(PP_Grid[#Data],$DE99,26),0)</f>
        <v/>
      </c>
      <c r="AD99">
        <f>IFERROR(INDEX(PP_Grid[#Data],$DE99,27),0)</f>
        <v/>
      </c>
      <c r="AE99">
        <f>IFERROR(INDEX(PP_Grid[#Data],$DE99,28),0)</f>
        <v/>
      </c>
      <c r="AF99">
        <f>IFERROR(INDEX(PP_Grid[#Data],$DE99,29),0)</f>
        <v/>
      </c>
      <c r="AG99">
        <f>IFERROR(INDEX(PP_Grid[#Data],$DE99,30),0)</f>
        <v/>
      </c>
      <c r="AH99">
        <f>IFERROR(INDEX(PP_Grid[#Data],$DE99,31),0)</f>
        <v/>
      </c>
      <c r="AI99">
        <f>IFERROR(INDEX(PP_Grid[#Data],$DE99,32),0)</f>
        <v/>
      </c>
      <c r="AJ99">
        <f>IFERROR(INDEX(PP_Grid[#Data],$DE99,33),0)</f>
        <v/>
      </c>
      <c r="AK99">
        <f>IFERROR(INDEX(PP_Grid[#Data],$DE99,34),0)</f>
        <v/>
      </c>
      <c r="AL99">
        <f>IFERROR(INDEX(PP_Grid[#Data],$DE99,35),0)</f>
        <v/>
      </c>
      <c r="AM99">
        <f>IFERROR(INDEX(PP_Grid[#Data],$DE99,36),0)</f>
        <v/>
      </c>
      <c r="AN99">
        <f>IFERROR(INDEX(PP_Grid[#Data],$DE99,37),0)</f>
        <v/>
      </c>
      <c r="AO99">
        <f>IFERROR(INDEX(PP_Grid[#Data],$DE99,38),0)</f>
        <v/>
      </c>
      <c r="AP99">
        <f>IFERROR(INDEX(PP_Grid[#Data],$DE99,39),0)</f>
        <v/>
      </c>
      <c r="AQ99">
        <f>IFERROR(INDEX(PP_Grid[#Data],$DE99,40),0)</f>
        <v/>
      </c>
      <c r="AR99">
        <f>IFERROR(INDEX(PP_Grid[#Data],$DE99,41),0)</f>
        <v/>
      </c>
      <c r="AS99">
        <f>IFERROR(INDEX(PP_Grid[#Data],$DE99,42),0)</f>
        <v/>
      </c>
      <c r="AT99">
        <f>IFERROR(INDEX(PP_Grid[#Data],$DE99,43),0)</f>
        <v/>
      </c>
      <c r="AU99">
        <f>IFERROR(INDEX(PP_Grid[#Data],$DE99,44),0)</f>
        <v/>
      </c>
      <c r="AV99">
        <f>IFERROR(INDEX(PP_Grid[#Data],$DE99,45),0)</f>
        <v/>
      </c>
      <c r="AW99">
        <f>IFERROR(INDEX(PP_Grid[#Data],$DE99,46),0)</f>
        <v/>
      </c>
      <c r="AX99">
        <f>IFERROR(INDEX(PP_Grid[#Data],$DE99,47),0)</f>
        <v/>
      </c>
      <c r="AY99">
        <f>IFERROR(INDEX(PP_Grid[#Data],$DE99,48),0)</f>
        <v/>
      </c>
      <c r="AZ99">
        <f>IFERROR(INDEX(PP_Grid[#Data],$DE99,49),0)</f>
        <v/>
      </c>
      <c r="BA99">
        <f>IFERROR(INDEX(PP_Grid[#Data],$DE99,50),0)</f>
        <v/>
      </c>
      <c r="BB99">
        <f>IFERROR(INDEX(PP_Grid[#Data],$DE99,51),0)</f>
        <v/>
      </c>
      <c r="BC99">
        <f>IFERROR(INDEX(PP_Grid[#Data],$DE99,52),0)</f>
        <v/>
      </c>
      <c r="BD99">
        <f>IFERROR(INDEX(PP_Grid[#Data],$DE99,53),0)</f>
        <v/>
      </c>
      <c r="BE99">
        <f>IFERROR(INDEX(PP_Grid[#Data],$DE99,54),0)</f>
        <v/>
      </c>
      <c r="BF99">
        <f>IFERROR(INDEX(PP_Grid[#Data],$DE99,55),0)</f>
        <v/>
      </c>
      <c r="BG99">
        <f>IFERROR(INDEX(PP_Grid[#Data],$DE99,56),0)</f>
        <v/>
      </c>
      <c r="BH99">
        <f>IFERROR(INDEX(PP_Grid[#Data],$DE99,57),0)</f>
        <v/>
      </c>
      <c r="BI99">
        <f>IFERROR(INDEX(PP_Grid[#Data],$DE99,58),0)</f>
        <v/>
      </c>
      <c r="BJ99">
        <f>IFERROR(INDEX(PP_Grid[#Data],$DE99,59),0)</f>
        <v/>
      </c>
      <c r="BK99">
        <f>IFERROR(INDEX(PP_Grid[#Data],$DE99,60),0)</f>
        <v/>
      </c>
      <c r="BL99">
        <f>IFERROR(INDEX(PP_Grid[#Data],$DE99,61),0)</f>
        <v/>
      </c>
      <c r="BM99">
        <f>IFERROR(INDEX(PP_Grid[#Data],$DE99,62),0)</f>
        <v/>
      </c>
      <c r="BN99">
        <f>IFERROR(INDEX(PP_Grid[#Data],$DE99,63),0)</f>
        <v/>
      </c>
      <c r="BO99">
        <f>IFERROR(INDEX(PP_Grid[#Data],$DE99,64),0)</f>
        <v/>
      </c>
      <c r="BP99">
        <f>IFERROR(INDEX(PP_Grid[#Data],$DE99,65),0)</f>
        <v/>
      </c>
      <c r="BQ99">
        <f>IFERROR(INDEX(PP_Grid[#Data],$DE99,66),0)</f>
        <v/>
      </c>
      <c r="BR99">
        <f>IFERROR(INDEX(PP_Grid[#Data],$DE99,67),0)</f>
        <v/>
      </c>
      <c r="BS99">
        <f>IFERROR(INDEX(PP_Grid[#Data],$DE99,68),0)</f>
        <v/>
      </c>
      <c r="BT99">
        <f>IFERROR(INDEX(PP_Grid[#Data],$DE99,69),0)</f>
        <v/>
      </c>
      <c r="BU99">
        <f>IFERROR(INDEX(PP_Grid[#Data],$DE99,70),0)</f>
        <v/>
      </c>
      <c r="BV99">
        <f>IFERROR(INDEX(PP_Grid[#Data],$DE99,71),0)</f>
        <v/>
      </c>
      <c r="BW99">
        <f>IFERROR(INDEX(PP_Grid[#Data],$DE99,72),0)</f>
        <v/>
      </c>
      <c r="BX99">
        <f>IFERROR(INDEX(PP_Grid[#Data],$DE99,73),0)</f>
        <v/>
      </c>
      <c r="BY99">
        <f>IFERROR(INDEX(PP_Grid[#Data],$DE99,74),0)</f>
        <v/>
      </c>
      <c r="BZ99">
        <f>IFERROR(INDEX(PP_Grid[#Data],$DE99,75),0)</f>
        <v/>
      </c>
      <c r="CA99">
        <f>IFERROR(INDEX(PP_Grid[#Data],$DE99,76),0)</f>
        <v/>
      </c>
      <c r="CB99">
        <f>IFERROR(INDEX(PP_Grid[#Data],$DE99,77),0)</f>
        <v/>
      </c>
      <c r="CC99">
        <f>IFERROR(INDEX(PP_Grid[#Data],$DE99,78),0)</f>
        <v/>
      </c>
      <c r="CD99">
        <f>IFERROR(INDEX(PP_Grid[#Data],$DE99,79),0)</f>
        <v/>
      </c>
      <c r="CE99">
        <f>IFERROR(INDEX(PP_Grid[#Data],$DE99,80),0)</f>
        <v/>
      </c>
      <c r="CF99">
        <f>IFERROR(INDEX(PP_Grid[#Data],$DE99,81),0)</f>
        <v/>
      </c>
      <c r="CG99">
        <f>IFERROR(INDEX(PP_Grid[#Data],$DE99,82),0)</f>
        <v/>
      </c>
      <c r="CH99">
        <f>IFERROR(INDEX(PP_Grid[#Data],$DE99,83),0)</f>
        <v/>
      </c>
      <c r="CI99">
        <f>IFERROR(INDEX(PP_Grid[#Data],$DE99,84),0)</f>
        <v/>
      </c>
      <c r="CJ99">
        <f>IFERROR(INDEX(PP_Grid[#Data],$DE99,85),0)</f>
        <v/>
      </c>
      <c r="CK99">
        <f>IFERROR(INDEX(PP_Grid[#Data],$DE99,86),0)</f>
        <v/>
      </c>
      <c r="CL99">
        <f>IFERROR(INDEX(PP_Grid[#Data],$DE99,87),0)</f>
        <v/>
      </c>
      <c r="CM99">
        <f>IFERROR(INDEX(PP_Grid[#Data],$DE99,88),0)</f>
        <v/>
      </c>
      <c r="CN99">
        <f>IFERROR(INDEX(PP_Grid[#Data],$DE99,89),0)</f>
        <v/>
      </c>
      <c r="CO99">
        <f>IFERROR(INDEX(PP_Grid[#Data],$DE99,90),0)</f>
        <v/>
      </c>
      <c r="CP99">
        <f>IFERROR(INDEX(PP_Grid[#Data],$DE99,91),0)</f>
        <v/>
      </c>
      <c r="CQ99">
        <f>IFERROR(INDEX(PP_Grid[#Data],$DE99,92),0)</f>
        <v/>
      </c>
      <c r="CR99">
        <f>IFERROR(INDEX(PP_Grid[#Data],$DE99,93),0)</f>
        <v/>
      </c>
      <c r="CS99">
        <f>IFERROR(INDEX(PP_Grid[#Data],$DE99,94),0)</f>
        <v/>
      </c>
      <c r="CT99">
        <f>IFERROR(INDEX(PP_Grid[#Data],$DE99,95),0)</f>
        <v/>
      </c>
      <c r="CU99">
        <f>IFERROR(INDEX(PP_Grid[#Data],$DE99,96),0)</f>
        <v/>
      </c>
      <c r="CV99">
        <f>IFERROR(INDEX(PP_Grid[#Data],$DE99,97),0)</f>
        <v/>
      </c>
      <c r="CW99">
        <f>IFERROR(INDEX(PP_Grid[#Data],$DE99,98),0)</f>
        <v/>
      </c>
      <c r="CX99">
        <f>IFERROR(INDEX(PP_Grid[#Data],$DE99,99),0)</f>
        <v/>
      </c>
      <c r="CY99">
        <f>IFERROR(INDEX(PP_Grid[#Data],$DE99,100),0)</f>
        <v/>
      </c>
      <c r="CZ99">
        <f>IFERROR(INDEX(PP_Grid[#Data],$DE99,101),0)</f>
        <v/>
      </c>
      <c r="DA99">
        <f>IFERROR(INDEX(PP_Grid[#Data],$DE99,102),0)</f>
        <v/>
      </c>
      <c r="DB99">
        <f>IFERROR(INDEX(PP_Grid[#Data],$DE99,103),0)</f>
        <v/>
      </c>
      <c r="DC99">
        <f>IFERROR(INDEX(PP_Grid[#Data],$DE99,104),0)</f>
        <v/>
      </c>
      <c r="DD99">
        <f>IFERROR(INDEX(PP_Grid[#Data],$DE99,105),0)</f>
        <v/>
      </c>
      <c r="DE99" s="7">
        <f>IFERROR(MATCH($B99,PP_Grid[Intermediate],0),99999)</f>
        <v/>
      </c>
    </row>
    <row r="100">
      <c r="B100" t="inlineStr">
        <is>
          <t>使用量(kg)</t>
        </is>
      </c>
      <c r="C100">
        <f>SUMIFS(M_BOM[RM_Qty_Per_Batch],M_BOM[Intermediate],$B99,M_BOM[RM_Code],$A28)</f>
        <v/>
      </c>
      <c r="D100">
        <f>IFERROR(INDEX(E100:DD100,$F$1),"")</f>
        <v/>
      </c>
      <c r="E100">
        <f>$C100*E99</f>
        <v/>
      </c>
      <c r="F100">
        <f>$C100*F99</f>
        <v/>
      </c>
      <c r="G100">
        <f>$C100*G99</f>
        <v/>
      </c>
      <c r="H100">
        <f>$C100*H99</f>
        <v/>
      </c>
      <c r="I100">
        <f>$C100*I99</f>
        <v/>
      </c>
      <c r="J100">
        <f>$C100*J99</f>
        <v/>
      </c>
      <c r="K100">
        <f>$C100*K99</f>
        <v/>
      </c>
      <c r="L100">
        <f>$C100*L99</f>
        <v/>
      </c>
      <c r="M100">
        <f>$C100*M99</f>
        <v/>
      </c>
      <c r="N100">
        <f>$C100*N99</f>
        <v/>
      </c>
      <c r="O100">
        <f>$C100*O99</f>
        <v/>
      </c>
      <c r="P100">
        <f>$C100*P99</f>
        <v/>
      </c>
      <c r="Q100">
        <f>$C100*Q99</f>
        <v/>
      </c>
      <c r="R100">
        <f>$C100*R99</f>
        <v/>
      </c>
      <c r="S100">
        <f>$C100*S99</f>
        <v/>
      </c>
      <c r="T100">
        <f>$C100*T99</f>
        <v/>
      </c>
      <c r="U100">
        <f>$C100*U99</f>
        <v/>
      </c>
      <c r="V100">
        <f>$C100*V99</f>
        <v/>
      </c>
      <c r="W100">
        <f>$C100*W99</f>
        <v/>
      </c>
      <c r="X100">
        <f>$C100*X99</f>
        <v/>
      </c>
      <c r="Y100">
        <f>$C100*Y99</f>
        <v/>
      </c>
      <c r="Z100">
        <f>$C100*Z99</f>
        <v/>
      </c>
      <c r="AA100">
        <f>$C100*AA99</f>
        <v/>
      </c>
      <c r="AB100">
        <f>$C100*AB99</f>
        <v/>
      </c>
      <c r="AC100">
        <f>$C100*AC99</f>
        <v/>
      </c>
      <c r="AD100">
        <f>$C100*AD99</f>
        <v/>
      </c>
      <c r="AE100">
        <f>$C100*AE99</f>
        <v/>
      </c>
      <c r="AF100">
        <f>$C100*AF99</f>
        <v/>
      </c>
      <c r="AG100">
        <f>$C100*AG99</f>
        <v/>
      </c>
      <c r="AH100">
        <f>$C100*AH99</f>
        <v/>
      </c>
      <c r="AI100">
        <f>$C100*AI99</f>
        <v/>
      </c>
      <c r="AJ100">
        <f>$C100*AJ99</f>
        <v/>
      </c>
      <c r="AK100">
        <f>$C100*AK99</f>
        <v/>
      </c>
      <c r="AL100">
        <f>$C100*AL99</f>
        <v/>
      </c>
      <c r="AM100">
        <f>$C100*AM99</f>
        <v/>
      </c>
      <c r="AN100">
        <f>$C100*AN99</f>
        <v/>
      </c>
      <c r="AO100">
        <f>$C100*AO99</f>
        <v/>
      </c>
      <c r="AP100">
        <f>$C100*AP99</f>
        <v/>
      </c>
      <c r="AQ100">
        <f>$C100*AQ99</f>
        <v/>
      </c>
      <c r="AR100">
        <f>$C100*AR99</f>
        <v/>
      </c>
      <c r="AS100">
        <f>$C100*AS99</f>
        <v/>
      </c>
      <c r="AT100">
        <f>$C100*AT99</f>
        <v/>
      </c>
      <c r="AU100">
        <f>$C100*AU99</f>
        <v/>
      </c>
      <c r="AV100">
        <f>$C100*AV99</f>
        <v/>
      </c>
      <c r="AW100">
        <f>$C100*AW99</f>
        <v/>
      </c>
      <c r="AX100">
        <f>$C100*AX99</f>
        <v/>
      </c>
      <c r="AY100">
        <f>$C100*AY99</f>
        <v/>
      </c>
      <c r="AZ100">
        <f>$C100*AZ99</f>
        <v/>
      </c>
      <c r="BA100">
        <f>$C100*BA99</f>
        <v/>
      </c>
      <c r="BB100">
        <f>$C100*BB99</f>
        <v/>
      </c>
      <c r="BC100">
        <f>$C100*BC99</f>
        <v/>
      </c>
      <c r="BD100">
        <f>$C100*BD99</f>
        <v/>
      </c>
      <c r="BE100">
        <f>$C100*BE99</f>
        <v/>
      </c>
      <c r="BF100">
        <f>$C100*BF99</f>
        <v/>
      </c>
      <c r="BG100">
        <f>$C100*BG99</f>
        <v/>
      </c>
      <c r="BH100">
        <f>$C100*BH99</f>
        <v/>
      </c>
      <c r="BI100">
        <f>$C100*BI99</f>
        <v/>
      </c>
      <c r="BJ100">
        <f>$C100*BJ99</f>
        <v/>
      </c>
      <c r="BK100">
        <f>$C100*BK99</f>
        <v/>
      </c>
      <c r="BL100">
        <f>$C100*BL99</f>
        <v/>
      </c>
      <c r="BM100">
        <f>$C100*BM99</f>
        <v/>
      </c>
      <c r="BN100">
        <f>$C100*BN99</f>
        <v/>
      </c>
      <c r="BO100">
        <f>$C100*BO99</f>
        <v/>
      </c>
      <c r="BP100">
        <f>$C100*BP99</f>
        <v/>
      </c>
      <c r="BQ100">
        <f>$C100*BQ99</f>
        <v/>
      </c>
      <c r="BR100">
        <f>$C100*BR99</f>
        <v/>
      </c>
      <c r="BS100">
        <f>$C100*BS99</f>
        <v/>
      </c>
      <c r="BT100">
        <f>$C100*BT99</f>
        <v/>
      </c>
      <c r="BU100">
        <f>$C100*BU99</f>
        <v/>
      </c>
      <c r="BV100">
        <f>$C100*BV99</f>
        <v/>
      </c>
      <c r="BW100">
        <f>$C100*BW99</f>
        <v/>
      </c>
      <c r="BX100">
        <f>$C100*BX99</f>
        <v/>
      </c>
      <c r="BY100">
        <f>$C100*BY99</f>
        <v/>
      </c>
      <c r="BZ100">
        <f>$C100*BZ99</f>
        <v/>
      </c>
      <c r="CA100">
        <f>$C100*CA99</f>
        <v/>
      </c>
      <c r="CB100">
        <f>$C100*CB99</f>
        <v/>
      </c>
      <c r="CC100">
        <f>$C100*CC99</f>
        <v/>
      </c>
      <c r="CD100">
        <f>$C100*CD99</f>
        <v/>
      </c>
      <c r="CE100">
        <f>$C100*CE99</f>
        <v/>
      </c>
      <c r="CF100">
        <f>$C100*CF99</f>
        <v/>
      </c>
      <c r="CG100">
        <f>$C100*CG99</f>
        <v/>
      </c>
      <c r="CH100">
        <f>$C100*CH99</f>
        <v/>
      </c>
      <c r="CI100">
        <f>$C100*CI99</f>
        <v/>
      </c>
      <c r="CJ100">
        <f>$C100*CJ99</f>
        <v/>
      </c>
      <c r="CK100">
        <f>$C100*CK99</f>
        <v/>
      </c>
      <c r="CL100">
        <f>$C100*CL99</f>
        <v/>
      </c>
      <c r="CM100">
        <f>$C100*CM99</f>
        <v/>
      </c>
      <c r="CN100">
        <f>$C100*CN99</f>
        <v/>
      </c>
      <c r="CO100">
        <f>$C100*CO99</f>
        <v/>
      </c>
      <c r="CP100">
        <f>$C100*CP99</f>
        <v/>
      </c>
      <c r="CQ100">
        <f>$C100*CQ99</f>
        <v/>
      </c>
      <c r="CR100">
        <f>$C100*CR99</f>
        <v/>
      </c>
      <c r="CS100">
        <f>$C100*CS99</f>
        <v/>
      </c>
      <c r="CT100">
        <f>$C100*CT99</f>
        <v/>
      </c>
      <c r="CU100">
        <f>$C100*CU99</f>
        <v/>
      </c>
      <c r="CV100">
        <f>$C100*CV99</f>
        <v/>
      </c>
      <c r="CW100">
        <f>$C100*CW99</f>
        <v/>
      </c>
      <c r="CX100">
        <f>$C100*CX99</f>
        <v/>
      </c>
      <c r="CY100">
        <f>$C100*CY99</f>
        <v/>
      </c>
      <c r="CZ100">
        <f>$C100*CZ99</f>
        <v/>
      </c>
      <c r="DA100">
        <f>$C100*DA99</f>
        <v/>
      </c>
      <c r="DB100">
        <f>$C100*DB99</f>
        <v/>
      </c>
      <c r="DC100">
        <f>$C100*DC99</f>
        <v/>
      </c>
      <c r="DD100">
        <f>$C100*DD99</f>
        <v/>
      </c>
    </row>
    <row r="101">
      <c r="B101" t="inlineStr">
        <is>
          <t>VSP-869</t>
        </is>
      </c>
      <c r="C101" t="inlineStr">
        <is>
          <t>No. of batches</t>
        </is>
      </c>
      <c r="D101">
        <f>IFERROR(INDEX(E101:DD101,$F$1),"")</f>
        <v/>
      </c>
      <c r="E101">
        <f>IFERROR(INDEX(PP_Grid[#Data],$DE101,2),0)</f>
        <v/>
      </c>
      <c r="F101">
        <f>IFERROR(INDEX(PP_Grid[#Data],$DE101,3),0)</f>
        <v/>
      </c>
      <c r="G101">
        <f>IFERROR(INDEX(PP_Grid[#Data],$DE101,4),0)</f>
        <v/>
      </c>
      <c r="H101">
        <f>IFERROR(INDEX(PP_Grid[#Data],$DE101,5),0)</f>
        <v/>
      </c>
      <c r="I101">
        <f>IFERROR(INDEX(PP_Grid[#Data],$DE101,6),0)</f>
        <v/>
      </c>
      <c r="J101">
        <f>IFERROR(INDEX(PP_Grid[#Data],$DE101,7),0)</f>
        <v/>
      </c>
      <c r="K101">
        <f>IFERROR(INDEX(PP_Grid[#Data],$DE101,8),0)</f>
        <v/>
      </c>
      <c r="L101">
        <f>IFERROR(INDEX(PP_Grid[#Data],$DE101,9),0)</f>
        <v/>
      </c>
      <c r="M101">
        <f>IFERROR(INDEX(PP_Grid[#Data],$DE101,10),0)</f>
        <v/>
      </c>
      <c r="N101">
        <f>IFERROR(INDEX(PP_Grid[#Data],$DE101,11),0)</f>
        <v/>
      </c>
      <c r="O101">
        <f>IFERROR(INDEX(PP_Grid[#Data],$DE101,12),0)</f>
        <v/>
      </c>
      <c r="P101">
        <f>IFERROR(INDEX(PP_Grid[#Data],$DE101,13),0)</f>
        <v/>
      </c>
      <c r="Q101">
        <f>IFERROR(INDEX(PP_Grid[#Data],$DE101,14),0)</f>
        <v/>
      </c>
      <c r="R101">
        <f>IFERROR(INDEX(PP_Grid[#Data],$DE101,15),0)</f>
        <v/>
      </c>
      <c r="S101">
        <f>IFERROR(INDEX(PP_Grid[#Data],$DE101,16),0)</f>
        <v/>
      </c>
      <c r="T101">
        <f>IFERROR(INDEX(PP_Grid[#Data],$DE101,17),0)</f>
        <v/>
      </c>
      <c r="U101">
        <f>IFERROR(INDEX(PP_Grid[#Data],$DE101,18),0)</f>
        <v/>
      </c>
      <c r="V101">
        <f>IFERROR(INDEX(PP_Grid[#Data],$DE101,19),0)</f>
        <v/>
      </c>
      <c r="W101">
        <f>IFERROR(INDEX(PP_Grid[#Data],$DE101,20),0)</f>
        <v/>
      </c>
      <c r="X101">
        <f>IFERROR(INDEX(PP_Grid[#Data],$DE101,21),0)</f>
        <v/>
      </c>
      <c r="Y101">
        <f>IFERROR(INDEX(PP_Grid[#Data],$DE101,22),0)</f>
        <v/>
      </c>
      <c r="Z101">
        <f>IFERROR(INDEX(PP_Grid[#Data],$DE101,23),0)</f>
        <v/>
      </c>
      <c r="AA101">
        <f>IFERROR(INDEX(PP_Grid[#Data],$DE101,24),0)</f>
        <v/>
      </c>
      <c r="AB101">
        <f>IFERROR(INDEX(PP_Grid[#Data],$DE101,25),0)</f>
        <v/>
      </c>
      <c r="AC101">
        <f>IFERROR(INDEX(PP_Grid[#Data],$DE101,26),0)</f>
        <v/>
      </c>
      <c r="AD101">
        <f>IFERROR(INDEX(PP_Grid[#Data],$DE101,27),0)</f>
        <v/>
      </c>
      <c r="AE101">
        <f>IFERROR(INDEX(PP_Grid[#Data],$DE101,28),0)</f>
        <v/>
      </c>
      <c r="AF101">
        <f>IFERROR(INDEX(PP_Grid[#Data],$DE101,29),0)</f>
        <v/>
      </c>
      <c r="AG101">
        <f>IFERROR(INDEX(PP_Grid[#Data],$DE101,30),0)</f>
        <v/>
      </c>
      <c r="AH101">
        <f>IFERROR(INDEX(PP_Grid[#Data],$DE101,31),0)</f>
        <v/>
      </c>
      <c r="AI101">
        <f>IFERROR(INDEX(PP_Grid[#Data],$DE101,32),0)</f>
        <v/>
      </c>
      <c r="AJ101">
        <f>IFERROR(INDEX(PP_Grid[#Data],$DE101,33),0)</f>
        <v/>
      </c>
      <c r="AK101">
        <f>IFERROR(INDEX(PP_Grid[#Data],$DE101,34),0)</f>
        <v/>
      </c>
      <c r="AL101">
        <f>IFERROR(INDEX(PP_Grid[#Data],$DE101,35),0)</f>
        <v/>
      </c>
      <c r="AM101">
        <f>IFERROR(INDEX(PP_Grid[#Data],$DE101,36),0)</f>
        <v/>
      </c>
      <c r="AN101">
        <f>IFERROR(INDEX(PP_Grid[#Data],$DE101,37),0)</f>
        <v/>
      </c>
      <c r="AO101">
        <f>IFERROR(INDEX(PP_Grid[#Data],$DE101,38),0)</f>
        <v/>
      </c>
      <c r="AP101">
        <f>IFERROR(INDEX(PP_Grid[#Data],$DE101,39),0)</f>
        <v/>
      </c>
      <c r="AQ101">
        <f>IFERROR(INDEX(PP_Grid[#Data],$DE101,40),0)</f>
        <v/>
      </c>
      <c r="AR101">
        <f>IFERROR(INDEX(PP_Grid[#Data],$DE101,41),0)</f>
        <v/>
      </c>
      <c r="AS101">
        <f>IFERROR(INDEX(PP_Grid[#Data],$DE101,42),0)</f>
        <v/>
      </c>
      <c r="AT101">
        <f>IFERROR(INDEX(PP_Grid[#Data],$DE101,43),0)</f>
        <v/>
      </c>
      <c r="AU101">
        <f>IFERROR(INDEX(PP_Grid[#Data],$DE101,44),0)</f>
        <v/>
      </c>
      <c r="AV101">
        <f>IFERROR(INDEX(PP_Grid[#Data],$DE101,45),0)</f>
        <v/>
      </c>
      <c r="AW101">
        <f>IFERROR(INDEX(PP_Grid[#Data],$DE101,46),0)</f>
        <v/>
      </c>
      <c r="AX101">
        <f>IFERROR(INDEX(PP_Grid[#Data],$DE101,47),0)</f>
        <v/>
      </c>
      <c r="AY101">
        <f>IFERROR(INDEX(PP_Grid[#Data],$DE101,48),0)</f>
        <v/>
      </c>
      <c r="AZ101">
        <f>IFERROR(INDEX(PP_Grid[#Data],$DE101,49),0)</f>
        <v/>
      </c>
      <c r="BA101">
        <f>IFERROR(INDEX(PP_Grid[#Data],$DE101,50),0)</f>
        <v/>
      </c>
      <c r="BB101">
        <f>IFERROR(INDEX(PP_Grid[#Data],$DE101,51),0)</f>
        <v/>
      </c>
      <c r="BC101">
        <f>IFERROR(INDEX(PP_Grid[#Data],$DE101,52),0)</f>
        <v/>
      </c>
      <c r="BD101">
        <f>IFERROR(INDEX(PP_Grid[#Data],$DE101,53),0)</f>
        <v/>
      </c>
      <c r="BE101">
        <f>IFERROR(INDEX(PP_Grid[#Data],$DE101,54),0)</f>
        <v/>
      </c>
      <c r="BF101">
        <f>IFERROR(INDEX(PP_Grid[#Data],$DE101,55),0)</f>
        <v/>
      </c>
      <c r="BG101">
        <f>IFERROR(INDEX(PP_Grid[#Data],$DE101,56),0)</f>
        <v/>
      </c>
      <c r="BH101">
        <f>IFERROR(INDEX(PP_Grid[#Data],$DE101,57),0)</f>
        <v/>
      </c>
      <c r="BI101">
        <f>IFERROR(INDEX(PP_Grid[#Data],$DE101,58),0)</f>
        <v/>
      </c>
      <c r="BJ101">
        <f>IFERROR(INDEX(PP_Grid[#Data],$DE101,59),0)</f>
        <v/>
      </c>
      <c r="BK101">
        <f>IFERROR(INDEX(PP_Grid[#Data],$DE101,60),0)</f>
        <v/>
      </c>
      <c r="BL101">
        <f>IFERROR(INDEX(PP_Grid[#Data],$DE101,61),0)</f>
        <v/>
      </c>
      <c r="BM101">
        <f>IFERROR(INDEX(PP_Grid[#Data],$DE101,62),0)</f>
        <v/>
      </c>
      <c r="BN101">
        <f>IFERROR(INDEX(PP_Grid[#Data],$DE101,63),0)</f>
        <v/>
      </c>
      <c r="BO101">
        <f>IFERROR(INDEX(PP_Grid[#Data],$DE101,64),0)</f>
        <v/>
      </c>
      <c r="BP101">
        <f>IFERROR(INDEX(PP_Grid[#Data],$DE101,65),0)</f>
        <v/>
      </c>
      <c r="BQ101">
        <f>IFERROR(INDEX(PP_Grid[#Data],$DE101,66),0)</f>
        <v/>
      </c>
      <c r="BR101">
        <f>IFERROR(INDEX(PP_Grid[#Data],$DE101,67),0)</f>
        <v/>
      </c>
      <c r="BS101">
        <f>IFERROR(INDEX(PP_Grid[#Data],$DE101,68),0)</f>
        <v/>
      </c>
      <c r="BT101">
        <f>IFERROR(INDEX(PP_Grid[#Data],$DE101,69),0)</f>
        <v/>
      </c>
      <c r="BU101">
        <f>IFERROR(INDEX(PP_Grid[#Data],$DE101,70),0)</f>
        <v/>
      </c>
      <c r="BV101">
        <f>IFERROR(INDEX(PP_Grid[#Data],$DE101,71),0)</f>
        <v/>
      </c>
      <c r="BW101">
        <f>IFERROR(INDEX(PP_Grid[#Data],$DE101,72),0)</f>
        <v/>
      </c>
      <c r="BX101">
        <f>IFERROR(INDEX(PP_Grid[#Data],$DE101,73),0)</f>
        <v/>
      </c>
      <c r="BY101">
        <f>IFERROR(INDEX(PP_Grid[#Data],$DE101,74),0)</f>
        <v/>
      </c>
      <c r="BZ101">
        <f>IFERROR(INDEX(PP_Grid[#Data],$DE101,75),0)</f>
        <v/>
      </c>
      <c r="CA101">
        <f>IFERROR(INDEX(PP_Grid[#Data],$DE101,76),0)</f>
        <v/>
      </c>
      <c r="CB101">
        <f>IFERROR(INDEX(PP_Grid[#Data],$DE101,77),0)</f>
        <v/>
      </c>
      <c r="CC101">
        <f>IFERROR(INDEX(PP_Grid[#Data],$DE101,78),0)</f>
        <v/>
      </c>
      <c r="CD101">
        <f>IFERROR(INDEX(PP_Grid[#Data],$DE101,79),0)</f>
        <v/>
      </c>
      <c r="CE101">
        <f>IFERROR(INDEX(PP_Grid[#Data],$DE101,80),0)</f>
        <v/>
      </c>
      <c r="CF101">
        <f>IFERROR(INDEX(PP_Grid[#Data],$DE101,81),0)</f>
        <v/>
      </c>
      <c r="CG101">
        <f>IFERROR(INDEX(PP_Grid[#Data],$DE101,82),0)</f>
        <v/>
      </c>
      <c r="CH101">
        <f>IFERROR(INDEX(PP_Grid[#Data],$DE101,83),0)</f>
        <v/>
      </c>
      <c r="CI101">
        <f>IFERROR(INDEX(PP_Grid[#Data],$DE101,84),0)</f>
        <v/>
      </c>
      <c r="CJ101">
        <f>IFERROR(INDEX(PP_Grid[#Data],$DE101,85),0)</f>
        <v/>
      </c>
      <c r="CK101">
        <f>IFERROR(INDEX(PP_Grid[#Data],$DE101,86),0)</f>
        <v/>
      </c>
      <c r="CL101">
        <f>IFERROR(INDEX(PP_Grid[#Data],$DE101,87),0)</f>
        <v/>
      </c>
      <c r="CM101">
        <f>IFERROR(INDEX(PP_Grid[#Data],$DE101,88),0)</f>
        <v/>
      </c>
      <c r="CN101">
        <f>IFERROR(INDEX(PP_Grid[#Data],$DE101,89),0)</f>
        <v/>
      </c>
      <c r="CO101">
        <f>IFERROR(INDEX(PP_Grid[#Data],$DE101,90),0)</f>
        <v/>
      </c>
      <c r="CP101">
        <f>IFERROR(INDEX(PP_Grid[#Data],$DE101,91),0)</f>
        <v/>
      </c>
      <c r="CQ101">
        <f>IFERROR(INDEX(PP_Grid[#Data],$DE101,92),0)</f>
        <v/>
      </c>
      <c r="CR101">
        <f>IFERROR(INDEX(PP_Grid[#Data],$DE101,93),0)</f>
        <v/>
      </c>
      <c r="CS101">
        <f>IFERROR(INDEX(PP_Grid[#Data],$DE101,94),0)</f>
        <v/>
      </c>
      <c r="CT101">
        <f>IFERROR(INDEX(PP_Grid[#Data],$DE101,95),0)</f>
        <v/>
      </c>
      <c r="CU101">
        <f>IFERROR(INDEX(PP_Grid[#Data],$DE101,96),0)</f>
        <v/>
      </c>
      <c r="CV101">
        <f>IFERROR(INDEX(PP_Grid[#Data],$DE101,97),0)</f>
        <v/>
      </c>
      <c r="CW101">
        <f>IFERROR(INDEX(PP_Grid[#Data],$DE101,98),0)</f>
        <v/>
      </c>
      <c r="CX101">
        <f>IFERROR(INDEX(PP_Grid[#Data],$DE101,99),0)</f>
        <v/>
      </c>
      <c r="CY101">
        <f>IFERROR(INDEX(PP_Grid[#Data],$DE101,100),0)</f>
        <v/>
      </c>
      <c r="CZ101">
        <f>IFERROR(INDEX(PP_Grid[#Data],$DE101,101),0)</f>
        <v/>
      </c>
      <c r="DA101">
        <f>IFERROR(INDEX(PP_Grid[#Data],$DE101,102),0)</f>
        <v/>
      </c>
      <c r="DB101">
        <f>IFERROR(INDEX(PP_Grid[#Data],$DE101,103),0)</f>
        <v/>
      </c>
      <c r="DC101">
        <f>IFERROR(INDEX(PP_Grid[#Data],$DE101,104),0)</f>
        <v/>
      </c>
      <c r="DD101">
        <f>IFERROR(INDEX(PP_Grid[#Data],$DE101,105),0)</f>
        <v/>
      </c>
      <c r="DE101" s="7">
        <f>IFERROR(MATCH($B101,PP_Grid[Intermediate],0),99999)</f>
        <v/>
      </c>
    </row>
    <row r="102">
      <c r="B102" t="inlineStr">
        <is>
          <t>使用量(kg)</t>
        </is>
      </c>
      <c r="C102">
        <f>SUMIFS(M_BOM[RM_Qty_Per_Batch],M_BOM[Intermediate],$B101,M_BOM[RM_Code],$A28)</f>
        <v/>
      </c>
      <c r="D102">
        <f>IFERROR(INDEX(E102:DD102,$F$1),"")</f>
        <v/>
      </c>
      <c r="E102">
        <f>$C102*E101</f>
        <v/>
      </c>
      <c r="F102">
        <f>$C102*F101</f>
        <v/>
      </c>
      <c r="G102">
        <f>$C102*G101</f>
        <v/>
      </c>
      <c r="H102">
        <f>$C102*H101</f>
        <v/>
      </c>
      <c r="I102">
        <f>$C102*I101</f>
        <v/>
      </c>
      <c r="J102">
        <f>$C102*J101</f>
        <v/>
      </c>
      <c r="K102">
        <f>$C102*K101</f>
        <v/>
      </c>
      <c r="L102">
        <f>$C102*L101</f>
        <v/>
      </c>
      <c r="M102">
        <f>$C102*M101</f>
        <v/>
      </c>
      <c r="N102">
        <f>$C102*N101</f>
        <v/>
      </c>
      <c r="O102">
        <f>$C102*O101</f>
        <v/>
      </c>
      <c r="P102">
        <f>$C102*P101</f>
        <v/>
      </c>
      <c r="Q102">
        <f>$C102*Q101</f>
        <v/>
      </c>
      <c r="R102">
        <f>$C102*R101</f>
        <v/>
      </c>
      <c r="S102">
        <f>$C102*S101</f>
        <v/>
      </c>
      <c r="T102">
        <f>$C102*T101</f>
        <v/>
      </c>
      <c r="U102">
        <f>$C102*U101</f>
        <v/>
      </c>
      <c r="V102">
        <f>$C102*V101</f>
        <v/>
      </c>
      <c r="W102">
        <f>$C102*W101</f>
        <v/>
      </c>
      <c r="X102">
        <f>$C102*X101</f>
        <v/>
      </c>
      <c r="Y102">
        <f>$C102*Y101</f>
        <v/>
      </c>
      <c r="Z102">
        <f>$C102*Z101</f>
        <v/>
      </c>
      <c r="AA102">
        <f>$C102*AA101</f>
        <v/>
      </c>
      <c r="AB102">
        <f>$C102*AB101</f>
        <v/>
      </c>
      <c r="AC102">
        <f>$C102*AC101</f>
        <v/>
      </c>
      <c r="AD102">
        <f>$C102*AD101</f>
        <v/>
      </c>
      <c r="AE102">
        <f>$C102*AE101</f>
        <v/>
      </c>
      <c r="AF102">
        <f>$C102*AF101</f>
        <v/>
      </c>
      <c r="AG102">
        <f>$C102*AG101</f>
        <v/>
      </c>
      <c r="AH102">
        <f>$C102*AH101</f>
        <v/>
      </c>
      <c r="AI102">
        <f>$C102*AI101</f>
        <v/>
      </c>
      <c r="AJ102">
        <f>$C102*AJ101</f>
        <v/>
      </c>
      <c r="AK102">
        <f>$C102*AK101</f>
        <v/>
      </c>
      <c r="AL102">
        <f>$C102*AL101</f>
        <v/>
      </c>
      <c r="AM102">
        <f>$C102*AM101</f>
        <v/>
      </c>
      <c r="AN102">
        <f>$C102*AN101</f>
        <v/>
      </c>
      <c r="AO102">
        <f>$C102*AO101</f>
        <v/>
      </c>
      <c r="AP102">
        <f>$C102*AP101</f>
        <v/>
      </c>
      <c r="AQ102">
        <f>$C102*AQ101</f>
        <v/>
      </c>
      <c r="AR102">
        <f>$C102*AR101</f>
        <v/>
      </c>
      <c r="AS102">
        <f>$C102*AS101</f>
        <v/>
      </c>
      <c r="AT102">
        <f>$C102*AT101</f>
        <v/>
      </c>
      <c r="AU102">
        <f>$C102*AU101</f>
        <v/>
      </c>
      <c r="AV102">
        <f>$C102*AV101</f>
        <v/>
      </c>
      <c r="AW102">
        <f>$C102*AW101</f>
        <v/>
      </c>
      <c r="AX102">
        <f>$C102*AX101</f>
        <v/>
      </c>
      <c r="AY102">
        <f>$C102*AY101</f>
        <v/>
      </c>
      <c r="AZ102">
        <f>$C102*AZ101</f>
        <v/>
      </c>
      <c r="BA102">
        <f>$C102*BA101</f>
        <v/>
      </c>
      <c r="BB102">
        <f>$C102*BB101</f>
        <v/>
      </c>
      <c r="BC102">
        <f>$C102*BC101</f>
        <v/>
      </c>
      <c r="BD102">
        <f>$C102*BD101</f>
        <v/>
      </c>
      <c r="BE102">
        <f>$C102*BE101</f>
        <v/>
      </c>
      <c r="BF102">
        <f>$C102*BF101</f>
        <v/>
      </c>
      <c r="BG102">
        <f>$C102*BG101</f>
        <v/>
      </c>
      <c r="BH102">
        <f>$C102*BH101</f>
        <v/>
      </c>
      <c r="BI102">
        <f>$C102*BI101</f>
        <v/>
      </c>
      <c r="BJ102">
        <f>$C102*BJ101</f>
        <v/>
      </c>
      <c r="BK102">
        <f>$C102*BK101</f>
        <v/>
      </c>
      <c r="BL102">
        <f>$C102*BL101</f>
        <v/>
      </c>
      <c r="BM102">
        <f>$C102*BM101</f>
        <v/>
      </c>
      <c r="BN102">
        <f>$C102*BN101</f>
        <v/>
      </c>
      <c r="BO102">
        <f>$C102*BO101</f>
        <v/>
      </c>
      <c r="BP102">
        <f>$C102*BP101</f>
        <v/>
      </c>
      <c r="BQ102">
        <f>$C102*BQ101</f>
        <v/>
      </c>
      <c r="BR102">
        <f>$C102*BR101</f>
        <v/>
      </c>
      <c r="BS102">
        <f>$C102*BS101</f>
        <v/>
      </c>
      <c r="BT102">
        <f>$C102*BT101</f>
        <v/>
      </c>
      <c r="BU102">
        <f>$C102*BU101</f>
        <v/>
      </c>
      <c r="BV102">
        <f>$C102*BV101</f>
        <v/>
      </c>
      <c r="BW102">
        <f>$C102*BW101</f>
        <v/>
      </c>
      <c r="BX102">
        <f>$C102*BX101</f>
        <v/>
      </c>
      <c r="BY102">
        <f>$C102*BY101</f>
        <v/>
      </c>
      <c r="BZ102">
        <f>$C102*BZ101</f>
        <v/>
      </c>
      <c r="CA102">
        <f>$C102*CA101</f>
        <v/>
      </c>
      <c r="CB102">
        <f>$C102*CB101</f>
        <v/>
      </c>
      <c r="CC102">
        <f>$C102*CC101</f>
        <v/>
      </c>
      <c r="CD102">
        <f>$C102*CD101</f>
        <v/>
      </c>
      <c r="CE102">
        <f>$C102*CE101</f>
        <v/>
      </c>
      <c r="CF102">
        <f>$C102*CF101</f>
        <v/>
      </c>
      <c r="CG102">
        <f>$C102*CG101</f>
        <v/>
      </c>
      <c r="CH102">
        <f>$C102*CH101</f>
        <v/>
      </c>
      <c r="CI102">
        <f>$C102*CI101</f>
        <v/>
      </c>
      <c r="CJ102">
        <f>$C102*CJ101</f>
        <v/>
      </c>
      <c r="CK102">
        <f>$C102*CK101</f>
        <v/>
      </c>
      <c r="CL102">
        <f>$C102*CL101</f>
        <v/>
      </c>
      <c r="CM102">
        <f>$C102*CM101</f>
        <v/>
      </c>
      <c r="CN102">
        <f>$C102*CN101</f>
        <v/>
      </c>
      <c r="CO102">
        <f>$C102*CO101</f>
        <v/>
      </c>
      <c r="CP102">
        <f>$C102*CP101</f>
        <v/>
      </c>
      <c r="CQ102">
        <f>$C102*CQ101</f>
        <v/>
      </c>
      <c r="CR102">
        <f>$C102*CR101</f>
        <v/>
      </c>
      <c r="CS102">
        <f>$C102*CS101</f>
        <v/>
      </c>
      <c r="CT102">
        <f>$C102*CT101</f>
        <v/>
      </c>
      <c r="CU102">
        <f>$C102*CU101</f>
        <v/>
      </c>
      <c r="CV102">
        <f>$C102*CV101</f>
        <v/>
      </c>
      <c r="CW102">
        <f>$C102*CW101</f>
        <v/>
      </c>
      <c r="CX102">
        <f>$C102*CX101</f>
        <v/>
      </c>
      <c r="CY102">
        <f>$C102*CY101</f>
        <v/>
      </c>
      <c r="CZ102">
        <f>$C102*CZ101</f>
        <v/>
      </c>
      <c r="DA102">
        <f>$C102*DA101</f>
        <v/>
      </c>
      <c r="DB102">
        <f>$C102*DB101</f>
        <v/>
      </c>
      <c r="DC102">
        <f>$C102*DC101</f>
        <v/>
      </c>
      <c r="DD102">
        <f>$C102*DD101</f>
        <v/>
      </c>
    </row>
    <row r="103">
      <c r="B103" t="inlineStr">
        <is>
          <t>VSP-870</t>
        </is>
      </c>
      <c r="C103" t="inlineStr">
        <is>
          <t>No. of batches</t>
        </is>
      </c>
      <c r="D103">
        <f>IFERROR(INDEX(E103:DD103,$F$1),"")</f>
        <v/>
      </c>
      <c r="E103">
        <f>IFERROR(INDEX(PP_Grid[#Data],$DE103,2),0)</f>
        <v/>
      </c>
      <c r="F103">
        <f>IFERROR(INDEX(PP_Grid[#Data],$DE103,3),0)</f>
        <v/>
      </c>
      <c r="G103">
        <f>IFERROR(INDEX(PP_Grid[#Data],$DE103,4),0)</f>
        <v/>
      </c>
      <c r="H103">
        <f>IFERROR(INDEX(PP_Grid[#Data],$DE103,5),0)</f>
        <v/>
      </c>
      <c r="I103">
        <f>IFERROR(INDEX(PP_Grid[#Data],$DE103,6),0)</f>
        <v/>
      </c>
      <c r="J103">
        <f>IFERROR(INDEX(PP_Grid[#Data],$DE103,7),0)</f>
        <v/>
      </c>
      <c r="K103">
        <f>IFERROR(INDEX(PP_Grid[#Data],$DE103,8),0)</f>
        <v/>
      </c>
      <c r="L103">
        <f>IFERROR(INDEX(PP_Grid[#Data],$DE103,9),0)</f>
        <v/>
      </c>
      <c r="M103">
        <f>IFERROR(INDEX(PP_Grid[#Data],$DE103,10),0)</f>
        <v/>
      </c>
      <c r="N103">
        <f>IFERROR(INDEX(PP_Grid[#Data],$DE103,11),0)</f>
        <v/>
      </c>
      <c r="O103">
        <f>IFERROR(INDEX(PP_Grid[#Data],$DE103,12),0)</f>
        <v/>
      </c>
      <c r="P103">
        <f>IFERROR(INDEX(PP_Grid[#Data],$DE103,13),0)</f>
        <v/>
      </c>
      <c r="Q103">
        <f>IFERROR(INDEX(PP_Grid[#Data],$DE103,14),0)</f>
        <v/>
      </c>
      <c r="R103">
        <f>IFERROR(INDEX(PP_Grid[#Data],$DE103,15),0)</f>
        <v/>
      </c>
      <c r="S103">
        <f>IFERROR(INDEX(PP_Grid[#Data],$DE103,16),0)</f>
        <v/>
      </c>
      <c r="T103">
        <f>IFERROR(INDEX(PP_Grid[#Data],$DE103,17),0)</f>
        <v/>
      </c>
      <c r="U103">
        <f>IFERROR(INDEX(PP_Grid[#Data],$DE103,18),0)</f>
        <v/>
      </c>
      <c r="V103">
        <f>IFERROR(INDEX(PP_Grid[#Data],$DE103,19),0)</f>
        <v/>
      </c>
      <c r="W103">
        <f>IFERROR(INDEX(PP_Grid[#Data],$DE103,20),0)</f>
        <v/>
      </c>
      <c r="X103">
        <f>IFERROR(INDEX(PP_Grid[#Data],$DE103,21),0)</f>
        <v/>
      </c>
      <c r="Y103">
        <f>IFERROR(INDEX(PP_Grid[#Data],$DE103,22),0)</f>
        <v/>
      </c>
      <c r="Z103">
        <f>IFERROR(INDEX(PP_Grid[#Data],$DE103,23),0)</f>
        <v/>
      </c>
      <c r="AA103">
        <f>IFERROR(INDEX(PP_Grid[#Data],$DE103,24),0)</f>
        <v/>
      </c>
      <c r="AB103">
        <f>IFERROR(INDEX(PP_Grid[#Data],$DE103,25),0)</f>
        <v/>
      </c>
      <c r="AC103">
        <f>IFERROR(INDEX(PP_Grid[#Data],$DE103,26),0)</f>
        <v/>
      </c>
      <c r="AD103">
        <f>IFERROR(INDEX(PP_Grid[#Data],$DE103,27),0)</f>
        <v/>
      </c>
      <c r="AE103">
        <f>IFERROR(INDEX(PP_Grid[#Data],$DE103,28),0)</f>
        <v/>
      </c>
      <c r="AF103">
        <f>IFERROR(INDEX(PP_Grid[#Data],$DE103,29),0)</f>
        <v/>
      </c>
      <c r="AG103">
        <f>IFERROR(INDEX(PP_Grid[#Data],$DE103,30),0)</f>
        <v/>
      </c>
      <c r="AH103">
        <f>IFERROR(INDEX(PP_Grid[#Data],$DE103,31),0)</f>
        <v/>
      </c>
      <c r="AI103">
        <f>IFERROR(INDEX(PP_Grid[#Data],$DE103,32),0)</f>
        <v/>
      </c>
      <c r="AJ103">
        <f>IFERROR(INDEX(PP_Grid[#Data],$DE103,33),0)</f>
        <v/>
      </c>
      <c r="AK103">
        <f>IFERROR(INDEX(PP_Grid[#Data],$DE103,34),0)</f>
        <v/>
      </c>
      <c r="AL103">
        <f>IFERROR(INDEX(PP_Grid[#Data],$DE103,35),0)</f>
        <v/>
      </c>
      <c r="AM103">
        <f>IFERROR(INDEX(PP_Grid[#Data],$DE103,36),0)</f>
        <v/>
      </c>
      <c r="AN103">
        <f>IFERROR(INDEX(PP_Grid[#Data],$DE103,37),0)</f>
        <v/>
      </c>
      <c r="AO103">
        <f>IFERROR(INDEX(PP_Grid[#Data],$DE103,38),0)</f>
        <v/>
      </c>
      <c r="AP103">
        <f>IFERROR(INDEX(PP_Grid[#Data],$DE103,39),0)</f>
        <v/>
      </c>
      <c r="AQ103">
        <f>IFERROR(INDEX(PP_Grid[#Data],$DE103,40),0)</f>
        <v/>
      </c>
      <c r="AR103">
        <f>IFERROR(INDEX(PP_Grid[#Data],$DE103,41),0)</f>
        <v/>
      </c>
      <c r="AS103">
        <f>IFERROR(INDEX(PP_Grid[#Data],$DE103,42),0)</f>
        <v/>
      </c>
      <c r="AT103">
        <f>IFERROR(INDEX(PP_Grid[#Data],$DE103,43),0)</f>
        <v/>
      </c>
      <c r="AU103">
        <f>IFERROR(INDEX(PP_Grid[#Data],$DE103,44),0)</f>
        <v/>
      </c>
      <c r="AV103">
        <f>IFERROR(INDEX(PP_Grid[#Data],$DE103,45),0)</f>
        <v/>
      </c>
      <c r="AW103">
        <f>IFERROR(INDEX(PP_Grid[#Data],$DE103,46),0)</f>
        <v/>
      </c>
      <c r="AX103">
        <f>IFERROR(INDEX(PP_Grid[#Data],$DE103,47),0)</f>
        <v/>
      </c>
      <c r="AY103">
        <f>IFERROR(INDEX(PP_Grid[#Data],$DE103,48),0)</f>
        <v/>
      </c>
      <c r="AZ103">
        <f>IFERROR(INDEX(PP_Grid[#Data],$DE103,49),0)</f>
        <v/>
      </c>
      <c r="BA103">
        <f>IFERROR(INDEX(PP_Grid[#Data],$DE103,50),0)</f>
        <v/>
      </c>
      <c r="BB103">
        <f>IFERROR(INDEX(PP_Grid[#Data],$DE103,51),0)</f>
        <v/>
      </c>
      <c r="BC103">
        <f>IFERROR(INDEX(PP_Grid[#Data],$DE103,52),0)</f>
        <v/>
      </c>
      <c r="BD103">
        <f>IFERROR(INDEX(PP_Grid[#Data],$DE103,53),0)</f>
        <v/>
      </c>
      <c r="BE103">
        <f>IFERROR(INDEX(PP_Grid[#Data],$DE103,54),0)</f>
        <v/>
      </c>
      <c r="BF103">
        <f>IFERROR(INDEX(PP_Grid[#Data],$DE103,55),0)</f>
        <v/>
      </c>
      <c r="BG103">
        <f>IFERROR(INDEX(PP_Grid[#Data],$DE103,56),0)</f>
        <v/>
      </c>
      <c r="BH103">
        <f>IFERROR(INDEX(PP_Grid[#Data],$DE103,57),0)</f>
        <v/>
      </c>
      <c r="BI103">
        <f>IFERROR(INDEX(PP_Grid[#Data],$DE103,58),0)</f>
        <v/>
      </c>
      <c r="BJ103">
        <f>IFERROR(INDEX(PP_Grid[#Data],$DE103,59),0)</f>
        <v/>
      </c>
      <c r="BK103">
        <f>IFERROR(INDEX(PP_Grid[#Data],$DE103,60),0)</f>
        <v/>
      </c>
      <c r="BL103">
        <f>IFERROR(INDEX(PP_Grid[#Data],$DE103,61),0)</f>
        <v/>
      </c>
      <c r="BM103">
        <f>IFERROR(INDEX(PP_Grid[#Data],$DE103,62),0)</f>
        <v/>
      </c>
      <c r="BN103">
        <f>IFERROR(INDEX(PP_Grid[#Data],$DE103,63),0)</f>
        <v/>
      </c>
      <c r="BO103">
        <f>IFERROR(INDEX(PP_Grid[#Data],$DE103,64),0)</f>
        <v/>
      </c>
      <c r="BP103">
        <f>IFERROR(INDEX(PP_Grid[#Data],$DE103,65),0)</f>
        <v/>
      </c>
      <c r="BQ103">
        <f>IFERROR(INDEX(PP_Grid[#Data],$DE103,66),0)</f>
        <v/>
      </c>
      <c r="BR103">
        <f>IFERROR(INDEX(PP_Grid[#Data],$DE103,67),0)</f>
        <v/>
      </c>
      <c r="BS103">
        <f>IFERROR(INDEX(PP_Grid[#Data],$DE103,68),0)</f>
        <v/>
      </c>
      <c r="BT103">
        <f>IFERROR(INDEX(PP_Grid[#Data],$DE103,69),0)</f>
        <v/>
      </c>
      <c r="BU103">
        <f>IFERROR(INDEX(PP_Grid[#Data],$DE103,70),0)</f>
        <v/>
      </c>
      <c r="BV103">
        <f>IFERROR(INDEX(PP_Grid[#Data],$DE103,71),0)</f>
        <v/>
      </c>
      <c r="BW103">
        <f>IFERROR(INDEX(PP_Grid[#Data],$DE103,72),0)</f>
        <v/>
      </c>
      <c r="BX103">
        <f>IFERROR(INDEX(PP_Grid[#Data],$DE103,73),0)</f>
        <v/>
      </c>
      <c r="BY103">
        <f>IFERROR(INDEX(PP_Grid[#Data],$DE103,74),0)</f>
        <v/>
      </c>
      <c r="BZ103">
        <f>IFERROR(INDEX(PP_Grid[#Data],$DE103,75),0)</f>
        <v/>
      </c>
      <c r="CA103">
        <f>IFERROR(INDEX(PP_Grid[#Data],$DE103,76),0)</f>
        <v/>
      </c>
      <c r="CB103">
        <f>IFERROR(INDEX(PP_Grid[#Data],$DE103,77),0)</f>
        <v/>
      </c>
      <c r="CC103">
        <f>IFERROR(INDEX(PP_Grid[#Data],$DE103,78),0)</f>
        <v/>
      </c>
      <c r="CD103">
        <f>IFERROR(INDEX(PP_Grid[#Data],$DE103,79),0)</f>
        <v/>
      </c>
      <c r="CE103">
        <f>IFERROR(INDEX(PP_Grid[#Data],$DE103,80),0)</f>
        <v/>
      </c>
      <c r="CF103">
        <f>IFERROR(INDEX(PP_Grid[#Data],$DE103,81),0)</f>
        <v/>
      </c>
      <c r="CG103">
        <f>IFERROR(INDEX(PP_Grid[#Data],$DE103,82),0)</f>
        <v/>
      </c>
      <c r="CH103">
        <f>IFERROR(INDEX(PP_Grid[#Data],$DE103,83),0)</f>
        <v/>
      </c>
      <c r="CI103">
        <f>IFERROR(INDEX(PP_Grid[#Data],$DE103,84),0)</f>
        <v/>
      </c>
      <c r="CJ103">
        <f>IFERROR(INDEX(PP_Grid[#Data],$DE103,85),0)</f>
        <v/>
      </c>
      <c r="CK103">
        <f>IFERROR(INDEX(PP_Grid[#Data],$DE103,86),0)</f>
        <v/>
      </c>
      <c r="CL103">
        <f>IFERROR(INDEX(PP_Grid[#Data],$DE103,87),0)</f>
        <v/>
      </c>
      <c r="CM103">
        <f>IFERROR(INDEX(PP_Grid[#Data],$DE103,88),0)</f>
        <v/>
      </c>
      <c r="CN103">
        <f>IFERROR(INDEX(PP_Grid[#Data],$DE103,89),0)</f>
        <v/>
      </c>
      <c r="CO103">
        <f>IFERROR(INDEX(PP_Grid[#Data],$DE103,90),0)</f>
        <v/>
      </c>
      <c r="CP103">
        <f>IFERROR(INDEX(PP_Grid[#Data],$DE103,91),0)</f>
        <v/>
      </c>
      <c r="CQ103">
        <f>IFERROR(INDEX(PP_Grid[#Data],$DE103,92),0)</f>
        <v/>
      </c>
      <c r="CR103">
        <f>IFERROR(INDEX(PP_Grid[#Data],$DE103,93),0)</f>
        <v/>
      </c>
      <c r="CS103">
        <f>IFERROR(INDEX(PP_Grid[#Data],$DE103,94),0)</f>
        <v/>
      </c>
      <c r="CT103">
        <f>IFERROR(INDEX(PP_Grid[#Data],$DE103,95),0)</f>
        <v/>
      </c>
      <c r="CU103">
        <f>IFERROR(INDEX(PP_Grid[#Data],$DE103,96),0)</f>
        <v/>
      </c>
      <c r="CV103">
        <f>IFERROR(INDEX(PP_Grid[#Data],$DE103,97),0)</f>
        <v/>
      </c>
      <c r="CW103">
        <f>IFERROR(INDEX(PP_Grid[#Data],$DE103,98),0)</f>
        <v/>
      </c>
      <c r="CX103">
        <f>IFERROR(INDEX(PP_Grid[#Data],$DE103,99),0)</f>
        <v/>
      </c>
      <c r="CY103">
        <f>IFERROR(INDEX(PP_Grid[#Data],$DE103,100),0)</f>
        <v/>
      </c>
      <c r="CZ103">
        <f>IFERROR(INDEX(PP_Grid[#Data],$DE103,101),0)</f>
        <v/>
      </c>
      <c r="DA103">
        <f>IFERROR(INDEX(PP_Grid[#Data],$DE103,102),0)</f>
        <v/>
      </c>
      <c r="DB103">
        <f>IFERROR(INDEX(PP_Grid[#Data],$DE103,103),0)</f>
        <v/>
      </c>
      <c r="DC103">
        <f>IFERROR(INDEX(PP_Grid[#Data],$DE103,104),0)</f>
        <v/>
      </c>
      <c r="DD103">
        <f>IFERROR(INDEX(PP_Grid[#Data],$DE103,105),0)</f>
        <v/>
      </c>
      <c r="DE103" s="7">
        <f>IFERROR(MATCH($B103,PP_Grid[Intermediate],0),99999)</f>
        <v/>
      </c>
    </row>
    <row r="104">
      <c r="B104" t="inlineStr">
        <is>
          <t>使用量(kg)</t>
        </is>
      </c>
      <c r="C104">
        <f>SUMIFS(M_BOM[RM_Qty_Per_Batch],M_BOM[Intermediate],$B103,M_BOM[RM_Code],$A28)</f>
        <v/>
      </c>
      <c r="D104">
        <f>IFERROR(INDEX(E104:DD104,$F$1),"")</f>
        <v/>
      </c>
      <c r="E104">
        <f>$C104*E103</f>
        <v/>
      </c>
      <c r="F104">
        <f>$C104*F103</f>
        <v/>
      </c>
      <c r="G104">
        <f>$C104*G103</f>
        <v/>
      </c>
      <c r="H104">
        <f>$C104*H103</f>
        <v/>
      </c>
      <c r="I104">
        <f>$C104*I103</f>
        <v/>
      </c>
      <c r="J104">
        <f>$C104*J103</f>
        <v/>
      </c>
      <c r="K104">
        <f>$C104*K103</f>
        <v/>
      </c>
      <c r="L104">
        <f>$C104*L103</f>
        <v/>
      </c>
      <c r="M104">
        <f>$C104*M103</f>
        <v/>
      </c>
      <c r="N104">
        <f>$C104*N103</f>
        <v/>
      </c>
      <c r="O104">
        <f>$C104*O103</f>
        <v/>
      </c>
      <c r="P104">
        <f>$C104*P103</f>
        <v/>
      </c>
      <c r="Q104">
        <f>$C104*Q103</f>
        <v/>
      </c>
      <c r="R104">
        <f>$C104*R103</f>
        <v/>
      </c>
      <c r="S104">
        <f>$C104*S103</f>
        <v/>
      </c>
      <c r="T104">
        <f>$C104*T103</f>
        <v/>
      </c>
      <c r="U104">
        <f>$C104*U103</f>
        <v/>
      </c>
      <c r="V104">
        <f>$C104*V103</f>
        <v/>
      </c>
      <c r="W104">
        <f>$C104*W103</f>
        <v/>
      </c>
      <c r="X104">
        <f>$C104*X103</f>
        <v/>
      </c>
      <c r="Y104">
        <f>$C104*Y103</f>
        <v/>
      </c>
      <c r="Z104">
        <f>$C104*Z103</f>
        <v/>
      </c>
      <c r="AA104">
        <f>$C104*AA103</f>
        <v/>
      </c>
      <c r="AB104">
        <f>$C104*AB103</f>
        <v/>
      </c>
      <c r="AC104">
        <f>$C104*AC103</f>
        <v/>
      </c>
      <c r="AD104">
        <f>$C104*AD103</f>
        <v/>
      </c>
      <c r="AE104">
        <f>$C104*AE103</f>
        <v/>
      </c>
      <c r="AF104">
        <f>$C104*AF103</f>
        <v/>
      </c>
      <c r="AG104">
        <f>$C104*AG103</f>
        <v/>
      </c>
      <c r="AH104">
        <f>$C104*AH103</f>
        <v/>
      </c>
      <c r="AI104">
        <f>$C104*AI103</f>
        <v/>
      </c>
      <c r="AJ104">
        <f>$C104*AJ103</f>
        <v/>
      </c>
      <c r="AK104">
        <f>$C104*AK103</f>
        <v/>
      </c>
      <c r="AL104">
        <f>$C104*AL103</f>
        <v/>
      </c>
      <c r="AM104">
        <f>$C104*AM103</f>
        <v/>
      </c>
      <c r="AN104">
        <f>$C104*AN103</f>
        <v/>
      </c>
      <c r="AO104">
        <f>$C104*AO103</f>
        <v/>
      </c>
      <c r="AP104">
        <f>$C104*AP103</f>
        <v/>
      </c>
      <c r="AQ104">
        <f>$C104*AQ103</f>
        <v/>
      </c>
      <c r="AR104">
        <f>$C104*AR103</f>
        <v/>
      </c>
      <c r="AS104">
        <f>$C104*AS103</f>
        <v/>
      </c>
      <c r="AT104">
        <f>$C104*AT103</f>
        <v/>
      </c>
      <c r="AU104">
        <f>$C104*AU103</f>
        <v/>
      </c>
      <c r="AV104">
        <f>$C104*AV103</f>
        <v/>
      </c>
      <c r="AW104">
        <f>$C104*AW103</f>
        <v/>
      </c>
      <c r="AX104">
        <f>$C104*AX103</f>
        <v/>
      </c>
      <c r="AY104">
        <f>$C104*AY103</f>
        <v/>
      </c>
      <c r="AZ104">
        <f>$C104*AZ103</f>
        <v/>
      </c>
      <c r="BA104">
        <f>$C104*BA103</f>
        <v/>
      </c>
      <c r="BB104">
        <f>$C104*BB103</f>
        <v/>
      </c>
      <c r="BC104">
        <f>$C104*BC103</f>
        <v/>
      </c>
      <c r="BD104">
        <f>$C104*BD103</f>
        <v/>
      </c>
      <c r="BE104">
        <f>$C104*BE103</f>
        <v/>
      </c>
      <c r="BF104">
        <f>$C104*BF103</f>
        <v/>
      </c>
      <c r="BG104">
        <f>$C104*BG103</f>
        <v/>
      </c>
      <c r="BH104">
        <f>$C104*BH103</f>
        <v/>
      </c>
      <c r="BI104">
        <f>$C104*BI103</f>
        <v/>
      </c>
      <c r="BJ104">
        <f>$C104*BJ103</f>
        <v/>
      </c>
      <c r="BK104">
        <f>$C104*BK103</f>
        <v/>
      </c>
      <c r="BL104">
        <f>$C104*BL103</f>
        <v/>
      </c>
      <c r="BM104">
        <f>$C104*BM103</f>
        <v/>
      </c>
      <c r="BN104">
        <f>$C104*BN103</f>
        <v/>
      </c>
      <c r="BO104">
        <f>$C104*BO103</f>
        <v/>
      </c>
      <c r="BP104">
        <f>$C104*BP103</f>
        <v/>
      </c>
      <c r="BQ104">
        <f>$C104*BQ103</f>
        <v/>
      </c>
      <c r="BR104">
        <f>$C104*BR103</f>
        <v/>
      </c>
      <c r="BS104">
        <f>$C104*BS103</f>
        <v/>
      </c>
      <c r="BT104">
        <f>$C104*BT103</f>
        <v/>
      </c>
      <c r="BU104">
        <f>$C104*BU103</f>
        <v/>
      </c>
      <c r="BV104">
        <f>$C104*BV103</f>
        <v/>
      </c>
      <c r="BW104">
        <f>$C104*BW103</f>
        <v/>
      </c>
      <c r="BX104">
        <f>$C104*BX103</f>
        <v/>
      </c>
      <c r="BY104">
        <f>$C104*BY103</f>
        <v/>
      </c>
      <c r="BZ104">
        <f>$C104*BZ103</f>
        <v/>
      </c>
      <c r="CA104">
        <f>$C104*CA103</f>
        <v/>
      </c>
      <c r="CB104">
        <f>$C104*CB103</f>
        <v/>
      </c>
      <c r="CC104">
        <f>$C104*CC103</f>
        <v/>
      </c>
      <c r="CD104">
        <f>$C104*CD103</f>
        <v/>
      </c>
      <c r="CE104">
        <f>$C104*CE103</f>
        <v/>
      </c>
      <c r="CF104">
        <f>$C104*CF103</f>
        <v/>
      </c>
      <c r="CG104">
        <f>$C104*CG103</f>
        <v/>
      </c>
      <c r="CH104">
        <f>$C104*CH103</f>
        <v/>
      </c>
      <c r="CI104">
        <f>$C104*CI103</f>
        <v/>
      </c>
      <c r="CJ104">
        <f>$C104*CJ103</f>
        <v/>
      </c>
      <c r="CK104">
        <f>$C104*CK103</f>
        <v/>
      </c>
      <c r="CL104">
        <f>$C104*CL103</f>
        <v/>
      </c>
      <c r="CM104">
        <f>$C104*CM103</f>
        <v/>
      </c>
      <c r="CN104">
        <f>$C104*CN103</f>
        <v/>
      </c>
      <c r="CO104">
        <f>$C104*CO103</f>
        <v/>
      </c>
      <c r="CP104">
        <f>$C104*CP103</f>
        <v/>
      </c>
      <c r="CQ104">
        <f>$C104*CQ103</f>
        <v/>
      </c>
      <c r="CR104">
        <f>$C104*CR103</f>
        <v/>
      </c>
      <c r="CS104">
        <f>$C104*CS103</f>
        <v/>
      </c>
      <c r="CT104">
        <f>$C104*CT103</f>
        <v/>
      </c>
      <c r="CU104">
        <f>$C104*CU103</f>
        <v/>
      </c>
      <c r="CV104">
        <f>$C104*CV103</f>
        <v/>
      </c>
      <c r="CW104">
        <f>$C104*CW103</f>
        <v/>
      </c>
      <c r="CX104">
        <f>$C104*CX103</f>
        <v/>
      </c>
      <c r="CY104">
        <f>$C104*CY103</f>
        <v/>
      </c>
      <c r="CZ104">
        <f>$C104*CZ103</f>
        <v/>
      </c>
      <c r="DA104">
        <f>$C104*DA103</f>
        <v/>
      </c>
      <c r="DB104">
        <f>$C104*DB103</f>
        <v/>
      </c>
      <c r="DC104">
        <f>$C104*DC103</f>
        <v/>
      </c>
      <c r="DD104">
        <f>$C104*DD103</f>
        <v/>
      </c>
    </row>
    <row r="105">
      <c r="B105" t="inlineStr">
        <is>
          <t>VSP-910</t>
        </is>
      </c>
      <c r="C105" t="inlineStr">
        <is>
          <t>No. of batches</t>
        </is>
      </c>
      <c r="D105">
        <f>IFERROR(INDEX(E105:DD105,$F$1),"")</f>
        <v/>
      </c>
      <c r="E105">
        <f>IFERROR(INDEX(PP_Grid[#Data],$DE105,2),0)</f>
        <v/>
      </c>
      <c r="F105">
        <f>IFERROR(INDEX(PP_Grid[#Data],$DE105,3),0)</f>
        <v/>
      </c>
      <c r="G105">
        <f>IFERROR(INDEX(PP_Grid[#Data],$DE105,4),0)</f>
        <v/>
      </c>
      <c r="H105">
        <f>IFERROR(INDEX(PP_Grid[#Data],$DE105,5),0)</f>
        <v/>
      </c>
      <c r="I105">
        <f>IFERROR(INDEX(PP_Grid[#Data],$DE105,6),0)</f>
        <v/>
      </c>
      <c r="J105">
        <f>IFERROR(INDEX(PP_Grid[#Data],$DE105,7),0)</f>
        <v/>
      </c>
      <c r="K105">
        <f>IFERROR(INDEX(PP_Grid[#Data],$DE105,8),0)</f>
        <v/>
      </c>
      <c r="L105">
        <f>IFERROR(INDEX(PP_Grid[#Data],$DE105,9),0)</f>
        <v/>
      </c>
      <c r="M105">
        <f>IFERROR(INDEX(PP_Grid[#Data],$DE105,10),0)</f>
        <v/>
      </c>
      <c r="N105">
        <f>IFERROR(INDEX(PP_Grid[#Data],$DE105,11),0)</f>
        <v/>
      </c>
      <c r="O105">
        <f>IFERROR(INDEX(PP_Grid[#Data],$DE105,12),0)</f>
        <v/>
      </c>
      <c r="P105">
        <f>IFERROR(INDEX(PP_Grid[#Data],$DE105,13),0)</f>
        <v/>
      </c>
      <c r="Q105">
        <f>IFERROR(INDEX(PP_Grid[#Data],$DE105,14),0)</f>
        <v/>
      </c>
      <c r="R105">
        <f>IFERROR(INDEX(PP_Grid[#Data],$DE105,15),0)</f>
        <v/>
      </c>
      <c r="S105">
        <f>IFERROR(INDEX(PP_Grid[#Data],$DE105,16),0)</f>
        <v/>
      </c>
      <c r="T105">
        <f>IFERROR(INDEX(PP_Grid[#Data],$DE105,17),0)</f>
        <v/>
      </c>
      <c r="U105">
        <f>IFERROR(INDEX(PP_Grid[#Data],$DE105,18),0)</f>
        <v/>
      </c>
      <c r="V105">
        <f>IFERROR(INDEX(PP_Grid[#Data],$DE105,19),0)</f>
        <v/>
      </c>
      <c r="W105">
        <f>IFERROR(INDEX(PP_Grid[#Data],$DE105,20),0)</f>
        <v/>
      </c>
      <c r="X105">
        <f>IFERROR(INDEX(PP_Grid[#Data],$DE105,21),0)</f>
        <v/>
      </c>
      <c r="Y105">
        <f>IFERROR(INDEX(PP_Grid[#Data],$DE105,22),0)</f>
        <v/>
      </c>
      <c r="Z105">
        <f>IFERROR(INDEX(PP_Grid[#Data],$DE105,23),0)</f>
        <v/>
      </c>
      <c r="AA105">
        <f>IFERROR(INDEX(PP_Grid[#Data],$DE105,24),0)</f>
        <v/>
      </c>
      <c r="AB105">
        <f>IFERROR(INDEX(PP_Grid[#Data],$DE105,25),0)</f>
        <v/>
      </c>
      <c r="AC105">
        <f>IFERROR(INDEX(PP_Grid[#Data],$DE105,26),0)</f>
        <v/>
      </c>
      <c r="AD105">
        <f>IFERROR(INDEX(PP_Grid[#Data],$DE105,27),0)</f>
        <v/>
      </c>
      <c r="AE105">
        <f>IFERROR(INDEX(PP_Grid[#Data],$DE105,28),0)</f>
        <v/>
      </c>
      <c r="AF105">
        <f>IFERROR(INDEX(PP_Grid[#Data],$DE105,29),0)</f>
        <v/>
      </c>
      <c r="AG105">
        <f>IFERROR(INDEX(PP_Grid[#Data],$DE105,30),0)</f>
        <v/>
      </c>
      <c r="AH105">
        <f>IFERROR(INDEX(PP_Grid[#Data],$DE105,31),0)</f>
        <v/>
      </c>
      <c r="AI105">
        <f>IFERROR(INDEX(PP_Grid[#Data],$DE105,32),0)</f>
        <v/>
      </c>
      <c r="AJ105">
        <f>IFERROR(INDEX(PP_Grid[#Data],$DE105,33),0)</f>
        <v/>
      </c>
      <c r="AK105">
        <f>IFERROR(INDEX(PP_Grid[#Data],$DE105,34),0)</f>
        <v/>
      </c>
      <c r="AL105">
        <f>IFERROR(INDEX(PP_Grid[#Data],$DE105,35),0)</f>
        <v/>
      </c>
      <c r="AM105">
        <f>IFERROR(INDEX(PP_Grid[#Data],$DE105,36),0)</f>
        <v/>
      </c>
      <c r="AN105">
        <f>IFERROR(INDEX(PP_Grid[#Data],$DE105,37),0)</f>
        <v/>
      </c>
      <c r="AO105">
        <f>IFERROR(INDEX(PP_Grid[#Data],$DE105,38),0)</f>
        <v/>
      </c>
      <c r="AP105">
        <f>IFERROR(INDEX(PP_Grid[#Data],$DE105,39),0)</f>
        <v/>
      </c>
      <c r="AQ105">
        <f>IFERROR(INDEX(PP_Grid[#Data],$DE105,40),0)</f>
        <v/>
      </c>
      <c r="AR105">
        <f>IFERROR(INDEX(PP_Grid[#Data],$DE105,41),0)</f>
        <v/>
      </c>
      <c r="AS105">
        <f>IFERROR(INDEX(PP_Grid[#Data],$DE105,42),0)</f>
        <v/>
      </c>
      <c r="AT105">
        <f>IFERROR(INDEX(PP_Grid[#Data],$DE105,43),0)</f>
        <v/>
      </c>
      <c r="AU105">
        <f>IFERROR(INDEX(PP_Grid[#Data],$DE105,44),0)</f>
        <v/>
      </c>
      <c r="AV105">
        <f>IFERROR(INDEX(PP_Grid[#Data],$DE105,45),0)</f>
        <v/>
      </c>
      <c r="AW105">
        <f>IFERROR(INDEX(PP_Grid[#Data],$DE105,46),0)</f>
        <v/>
      </c>
      <c r="AX105">
        <f>IFERROR(INDEX(PP_Grid[#Data],$DE105,47),0)</f>
        <v/>
      </c>
      <c r="AY105">
        <f>IFERROR(INDEX(PP_Grid[#Data],$DE105,48),0)</f>
        <v/>
      </c>
      <c r="AZ105">
        <f>IFERROR(INDEX(PP_Grid[#Data],$DE105,49),0)</f>
        <v/>
      </c>
      <c r="BA105">
        <f>IFERROR(INDEX(PP_Grid[#Data],$DE105,50),0)</f>
        <v/>
      </c>
      <c r="BB105">
        <f>IFERROR(INDEX(PP_Grid[#Data],$DE105,51),0)</f>
        <v/>
      </c>
      <c r="BC105">
        <f>IFERROR(INDEX(PP_Grid[#Data],$DE105,52),0)</f>
        <v/>
      </c>
      <c r="BD105">
        <f>IFERROR(INDEX(PP_Grid[#Data],$DE105,53),0)</f>
        <v/>
      </c>
      <c r="BE105">
        <f>IFERROR(INDEX(PP_Grid[#Data],$DE105,54),0)</f>
        <v/>
      </c>
      <c r="BF105">
        <f>IFERROR(INDEX(PP_Grid[#Data],$DE105,55),0)</f>
        <v/>
      </c>
      <c r="BG105">
        <f>IFERROR(INDEX(PP_Grid[#Data],$DE105,56),0)</f>
        <v/>
      </c>
      <c r="BH105">
        <f>IFERROR(INDEX(PP_Grid[#Data],$DE105,57),0)</f>
        <v/>
      </c>
      <c r="BI105">
        <f>IFERROR(INDEX(PP_Grid[#Data],$DE105,58),0)</f>
        <v/>
      </c>
      <c r="BJ105">
        <f>IFERROR(INDEX(PP_Grid[#Data],$DE105,59),0)</f>
        <v/>
      </c>
      <c r="BK105">
        <f>IFERROR(INDEX(PP_Grid[#Data],$DE105,60),0)</f>
        <v/>
      </c>
      <c r="BL105">
        <f>IFERROR(INDEX(PP_Grid[#Data],$DE105,61),0)</f>
        <v/>
      </c>
      <c r="BM105">
        <f>IFERROR(INDEX(PP_Grid[#Data],$DE105,62),0)</f>
        <v/>
      </c>
      <c r="BN105">
        <f>IFERROR(INDEX(PP_Grid[#Data],$DE105,63),0)</f>
        <v/>
      </c>
      <c r="BO105">
        <f>IFERROR(INDEX(PP_Grid[#Data],$DE105,64),0)</f>
        <v/>
      </c>
      <c r="BP105">
        <f>IFERROR(INDEX(PP_Grid[#Data],$DE105,65),0)</f>
        <v/>
      </c>
      <c r="BQ105">
        <f>IFERROR(INDEX(PP_Grid[#Data],$DE105,66),0)</f>
        <v/>
      </c>
      <c r="BR105">
        <f>IFERROR(INDEX(PP_Grid[#Data],$DE105,67),0)</f>
        <v/>
      </c>
      <c r="BS105">
        <f>IFERROR(INDEX(PP_Grid[#Data],$DE105,68),0)</f>
        <v/>
      </c>
      <c r="BT105">
        <f>IFERROR(INDEX(PP_Grid[#Data],$DE105,69),0)</f>
        <v/>
      </c>
      <c r="BU105">
        <f>IFERROR(INDEX(PP_Grid[#Data],$DE105,70),0)</f>
        <v/>
      </c>
      <c r="BV105">
        <f>IFERROR(INDEX(PP_Grid[#Data],$DE105,71),0)</f>
        <v/>
      </c>
      <c r="BW105">
        <f>IFERROR(INDEX(PP_Grid[#Data],$DE105,72),0)</f>
        <v/>
      </c>
      <c r="BX105">
        <f>IFERROR(INDEX(PP_Grid[#Data],$DE105,73),0)</f>
        <v/>
      </c>
      <c r="BY105">
        <f>IFERROR(INDEX(PP_Grid[#Data],$DE105,74),0)</f>
        <v/>
      </c>
      <c r="BZ105">
        <f>IFERROR(INDEX(PP_Grid[#Data],$DE105,75),0)</f>
        <v/>
      </c>
      <c r="CA105">
        <f>IFERROR(INDEX(PP_Grid[#Data],$DE105,76),0)</f>
        <v/>
      </c>
      <c r="CB105">
        <f>IFERROR(INDEX(PP_Grid[#Data],$DE105,77),0)</f>
        <v/>
      </c>
      <c r="CC105">
        <f>IFERROR(INDEX(PP_Grid[#Data],$DE105,78),0)</f>
        <v/>
      </c>
      <c r="CD105">
        <f>IFERROR(INDEX(PP_Grid[#Data],$DE105,79),0)</f>
        <v/>
      </c>
      <c r="CE105">
        <f>IFERROR(INDEX(PP_Grid[#Data],$DE105,80),0)</f>
        <v/>
      </c>
      <c r="CF105">
        <f>IFERROR(INDEX(PP_Grid[#Data],$DE105,81),0)</f>
        <v/>
      </c>
      <c r="CG105">
        <f>IFERROR(INDEX(PP_Grid[#Data],$DE105,82),0)</f>
        <v/>
      </c>
      <c r="CH105">
        <f>IFERROR(INDEX(PP_Grid[#Data],$DE105,83),0)</f>
        <v/>
      </c>
      <c r="CI105">
        <f>IFERROR(INDEX(PP_Grid[#Data],$DE105,84),0)</f>
        <v/>
      </c>
      <c r="CJ105">
        <f>IFERROR(INDEX(PP_Grid[#Data],$DE105,85),0)</f>
        <v/>
      </c>
      <c r="CK105">
        <f>IFERROR(INDEX(PP_Grid[#Data],$DE105,86),0)</f>
        <v/>
      </c>
      <c r="CL105">
        <f>IFERROR(INDEX(PP_Grid[#Data],$DE105,87),0)</f>
        <v/>
      </c>
      <c r="CM105">
        <f>IFERROR(INDEX(PP_Grid[#Data],$DE105,88),0)</f>
        <v/>
      </c>
      <c r="CN105">
        <f>IFERROR(INDEX(PP_Grid[#Data],$DE105,89),0)</f>
        <v/>
      </c>
      <c r="CO105">
        <f>IFERROR(INDEX(PP_Grid[#Data],$DE105,90),0)</f>
        <v/>
      </c>
      <c r="CP105">
        <f>IFERROR(INDEX(PP_Grid[#Data],$DE105,91),0)</f>
        <v/>
      </c>
      <c r="CQ105">
        <f>IFERROR(INDEX(PP_Grid[#Data],$DE105,92),0)</f>
        <v/>
      </c>
      <c r="CR105">
        <f>IFERROR(INDEX(PP_Grid[#Data],$DE105,93),0)</f>
        <v/>
      </c>
      <c r="CS105">
        <f>IFERROR(INDEX(PP_Grid[#Data],$DE105,94),0)</f>
        <v/>
      </c>
      <c r="CT105">
        <f>IFERROR(INDEX(PP_Grid[#Data],$DE105,95),0)</f>
        <v/>
      </c>
      <c r="CU105">
        <f>IFERROR(INDEX(PP_Grid[#Data],$DE105,96),0)</f>
        <v/>
      </c>
      <c r="CV105">
        <f>IFERROR(INDEX(PP_Grid[#Data],$DE105,97),0)</f>
        <v/>
      </c>
      <c r="CW105">
        <f>IFERROR(INDEX(PP_Grid[#Data],$DE105,98),0)</f>
        <v/>
      </c>
      <c r="CX105">
        <f>IFERROR(INDEX(PP_Grid[#Data],$DE105,99),0)</f>
        <v/>
      </c>
      <c r="CY105">
        <f>IFERROR(INDEX(PP_Grid[#Data],$DE105,100),0)</f>
        <v/>
      </c>
      <c r="CZ105">
        <f>IFERROR(INDEX(PP_Grid[#Data],$DE105,101),0)</f>
        <v/>
      </c>
      <c r="DA105">
        <f>IFERROR(INDEX(PP_Grid[#Data],$DE105,102),0)</f>
        <v/>
      </c>
      <c r="DB105">
        <f>IFERROR(INDEX(PP_Grid[#Data],$DE105,103),0)</f>
        <v/>
      </c>
      <c r="DC105">
        <f>IFERROR(INDEX(PP_Grid[#Data],$DE105,104),0)</f>
        <v/>
      </c>
      <c r="DD105">
        <f>IFERROR(INDEX(PP_Grid[#Data],$DE105,105),0)</f>
        <v/>
      </c>
      <c r="DE105" s="7">
        <f>IFERROR(MATCH($B105,PP_Grid[Intermediate],0),99999)</f>
        <v/>
      </c>
    </row>
    <row r="106">
      <c r="B106" t="inlineStr">
        <is>
          <t>使用量(kg)</t>
        </is>
      </c>
      <c r="C106">
        <f>SUMIFS(M_BOM[RM_Qty_Per_Batch],M_BOM[Intermediate],$B105,M_BOM[RM_Code],$A28)</f>
        <v/>
      </c>
      <c r="D106">
        <f>IFERROR(INDEX(E106:DD106,$F$1),"")</f>
        <v/>
      </c>
      <c r="E106">
        <f>$C106*E105</f>
        <v/>
      </c>
      <c r="F106">
        <f>$C106*F105</f>
        <v/>
      </c>
      <c r="G106">
        <f>$C106*G105</f>
        <v/>
      </c>
      <c r="H106">
        <f>$C106*H105</f>
        <v/>
      </c>
      <c r="I106">
        <f>$C106*I105</f>
        <v/>
      </c>
      <c r="J106">
        <f>$C106*J105</f>
        <v/>
      </c>
      <c r="K106">
        <f>$C106*K105</f>
        <v/>
      </c>
      <c r="L106">
        <f>$C106*L105</f>
        <v/>
      </c>
      <c r="M106">
        <f>$C106*M105</f>
        <v/>
      </c>
      <c r="N106">
        <f>$C106*N105</f>
        <v/>
      </c>
      <c r="O106">
        <f>$C106*O105</f>
        <v/>
      </c>
      <c r="P106">
        <f>$C106*P105</f>
        <v/>
      </c>
      <c r="Q106">
        <f>$C106*Q105</f>
        <v/>
      </c>
      <c r="R106">
        <f>$C106*R105</f>
        <v/>
      </c>
      <c r="S106">
        <f>$C106*S105</f>
        <v/>
      </c>
      <c r="T106">
        <f>$C106*T105</f>
        <v/>
      </c>
      <c r="U106">
        <f>$C106*U105</f>
        <v/>
      </c>
      <c r="V106">
        <f>$C106*V105</f>
        <v/>
      </c>
      <c r="W106">
        <f>$C106*W105</f>
        <v/>
      </c>
      <c r="X106">
        <f>$C106*X105</f>
        <v/>
      </c>
      <c r="Y106">
        <f>$C106*Y105</f>
        <v/>
      </c>
      <c r="Z106">
        <f>$C106*Z105</f>
        <v/>
      </c>
      <c r="AA106">
        <f>$C106*AA105</f>
        <v/>
      </c>
      <c r="AB106">
        <f>$C106*AB105</f>
        <v/>
      </c>
      <c r="AC106">
        <f>$C106*AC105</f>
        <v/>
      </c>
      <c r="AD106">
        <f>$C106*AD105</f>
        <v/>
      </c>
      <c r="AE106">
        <f>$C106*AE105</f>
        <v/>
      </c>
      <c r="AF106">
        <f>$C106*AF105</f>
        <v/>
      </c>
      <c r="AG106">
        <f>$C106*AG105</f>
        <v/>
      </c>
      <c r="AH106">
        <f>$C106*AH105</f>
        <v/>
      </c>
      <c r="AI106">
        <f>$C106*AI105</f>
        <v/>
      </c>
      <c r="AJ106">
        <f>$C106*AJ105</f>
        <v/>
      </c>
      <c r="AK106">
        <f>$C106*AK105</f>
        <v/>
      </c>
      <c r="AL106">
        <f>$C106*AL105</f>
        <v/>
      </c>
      <c r="AM106">
        <f>$C106*AM105</f>
        <v/>
      </c>
      <c r="AN106">
        <f>$C106*AN105</f>
        <v/>
      </c>
      <c r="AO106">
        <f>$C106*AO105</f>
        <v/>
      </c>
      <c r="AP106">
        <f>$C106*AP105</f>
        <v/>
      </c>
      <c r="AQ106">
        <f>$C106*AQ105</f>
        <v/>
      </c>
      <c r="AR106">
        <f>$C106*AR105</f>
        <v/>
      </c>
      <c r="AS106">
        <f>$C106*AS105</f>
        <v/>
      </c>
      <c r="AT106">
        <f>$C106*AT105</f>
        <v/>
      </c>
      <c r="AU106">
        <f>$C106*AU105</f>
        <v/>
      </c>
      <c r="AV106">
        <f>$C106*AV105</f>
        <v/>
      </c>
      <c r="AW106">
        <f>$C106*AW105</f>
        <v/>
      </c>
      <c r="AX106">
        <f>$C106*AX105</f>
        <v/>
      </c>
      <c r="AY106">
        <f>$C106*AY105</f>
        <v/>
      </c>
      <c r="AZ106">
        <f>$C106*AZ105</f>
        <v/>
      </c>
      <c r="BA106">
        <f>$C106*BA105</f>
        <v/>
      </c>
      <c r="BB106">
        <f>$C106*BB105</f>
        <v/>
      </c>
      <c r="BC106">
        <f>$C106*BC105</f>
        <v/>
      </c>
      <c r="BD106">
        <f>$C106*BD105</f>
        <v/>
      </c>
      <c r="BE106">
        <f>$C106*BE105</f>
        <v/>
      </c>
      <c r="BF106">
        <f>$C106*BF105</f>
        <v/>
      </c>
      <c r="BG106">
        <f>$C106*BG105</f>
        <v/>
      </c>
      <c r="BH106">
        <f>$C106*BH105</f>
        <v/>
      </c>
      <c r="BI106">
        <f>$C106*BI105</f>
        <v/>
      </c>
      <c r="BJ106">
        <f>$C106*BJ105</f>
        <v/>
      </c>
      <c r="BK106">
        <f>$C106*BK105</f>
        <v/>
      </c>
      <c r="BL106">
        <f>$C106*BL105</f>
        <v/>
      </c>
      <c r="BM106">
        <f>$C106*BM105</f>
        <v/>
      </c>
      <c r="BN106">
        <f>$C106*BN105</f>
        <v/>
      </c>
      <c r="BO106">
        <f>$C106*BO105</f>
        <v/>
      </c>
      <c r="BP106">
        <f>$C106*BP105</f>
        <v/>
      </c>
      <c r="BQ106">
        <f>$C106*BQ105</f>
        <v/>
      </c>
      <c r="BR106">
        <f>$C106*BR105</f>
        <v/>
      </c>
      <c r="BS106">
        <f>$C106*BS105</f>
        <v/>
      </c>
      <c r="BT106">
        <f>$C106*BT105</f>
        <v/>
      </c>
      <c r="BU106">
        <f>$C106*BU105</f>
        <v/>
      </c>
      <c r="BV106">
        <f>$C106*BV105</f>
        <v/>
      </c>
      <c r="BW106">
        <f>$C106*BW105</f>
        <v/>
      </c>
      <c r="BX106">
        <f>$C106*BX105</f>
        <v/>
      </c>
      <c r="BY106">
        <f>$C106*BY105</f>
        <v/>
      </c>
      <c r="BZ106">
        <f>$C106*BZ105</f>
        <v/>
      </c>
      <c r="CA106">
        <f>$C106*CA105</f>
        <v/>
      </c>
      <c r="CB106">
        <f>$C106*CB105</f>
        <v/>
      </c>
      <c r="CC106">
        <f>$C106*CC105</f>
        <v/>
      </c>
      <c r="CD106">
        <f>$C106*CD105</f>
        <v/>
      </c>
      <c r="CE106">
        <f>$C106*CE105</f>
        <v/>
      </c>
      <c r="CF106">
        <f>$C106*CF105</f>
        <v/>
      </c>
      <c r="CG106">
        <f>$C106*CG105</f>
        <v/>
      </c>
      <c r="CH106">
        <f>$C106*CH105</f>
        <v/>
      </c>
      <c r="CI106">
        <f>$C106*CI105</f>
        <v/>
      </c>
      <c r="CJ106">
        <f>$C106*CJ105</f>
        <v/>
      </c>
      <c r="CK106">
        <f>$C106*CK105</f>
        <v/>
      </c>
      <c r="CL106">
        <f>$C106*CL105</f>
        <v/>
      </c>
      <c r="CM106">
        <f>$C106*CM105</f>
        <v/>
      </c>
      <c r="CN106">
        <f>$C106*CN105</f>
        <v/>
      </c>
      <c r="CO106">
        <f>$C106*CO105</f>
        <v/>
      </c>
      <c r="CP106">
        <f>$C106*CP105</f>
        <v/>
      </c>
      <c r="CQ106">
        <f>$C106*CQ105</f>
        <v/>
      </c>
      <c r="CR106">
        <f>$C106*CR105</f>
        <v/>
      </c>
      <c r="CS106">
        <f>$C106*CS105</f>
        <v/>
      </c>
      <c r="CT106">
        <f>$C106*CT105</f>
        <v/>
      </c>
      <c r="CU106">
        <f>$C106*CU105</f>
        <v/>
      </c>
      <c r="CV106">
        <f>$C106*CV105</f>
        <v/>
      </c>
      <c r="CW106">
        <f>$C106*CW105</f>
        <v/>
      </c>
      <c r="CX106">
        <f>$C106*CX105</f>
        <v/>
      </c>
      <c r="CY106">
        <f>$C106*CY105</f>
        <v/>
      </c>
      <c r="CZ106">
        <f>$C106*CZ105</f>
        <v/>
      </c>
      <c r="DA106">
        <f>$C106*DA105</f>
        <v/>
      </c>
      <c r="DB106">
        <f>$C106*DB105</f>
        <v/>
      </c>
      <c r="DC106">
        <f>$C106*DC105</f>
        <v/>
      </c>
      <c r="DD106">
        <f>$C106*DD105</f>
        <v/>
      </c>
    </row>
    <row r="107">
      <c r="B107" t="inlineStr">
        <is>
          <t>VSP-989</t>
        </is>
      </c>
      <c r="C107" t="inlineStr">
        <is>
          <t>No. of batches</t>
        </is>
      </c>
      <c r="D107">
        <f>IFERROR(INDEX(E107:DD107,$F$1),"")</f>
        <v/>
      </c>
      <c r="E107">
        <f>IFERROR(INDEX(PP_Grid[#Data],$DE107,2),0)</f>
        <v/>
      </c>
      <c r="F107">
        <f>IFERROR(INDEX(PP_Grid[#Data],$DE107,3),0)</f>
        <v/>
      </c>
      <c r="G107">
        <f>IFERROR(INDEX(PP_Grid[#Data],$DE107,4),0)</f>
        <v/>
      </c>
      <c r="H107">
        <f>IFERROR(INDEX(PP_Grid[#Data],$DE107,5),0)</f>
        <v/>
      </c>
      <c r="I107">
        <f>IFERROR(INDEX(PP_Grid[#Data],$DE107,6),0)</f>
        <v/>
      </c>
      <c r="J107">
        <f>IFERROR(INDEX(PP_Grid[#Data],$DE107,7),0)</f>
        <v/>
      </c>
      <c r="K107">
        <f>IFERROR(INDEX(PP_Grid[#Data],$DE107,8),0)</f>
        <v/>
      </c>
      <c r="L107">
        <f>IFERROR(INDEX(PP_Grid[#Data],$DE107,9),0)</f>
        <v/>
      </c>
      <c r="M107">
        <f>IFERROR(INDEX(PP_Grid[#Data],$DE107,10),0)</f>
        <v/>
      </c>
      <c r="N107">
        <f>IFERROR(INDEX(PP_Grid[#Data],$DE107,11),0)</f>
        <v/>
      </c>
      <c r="O107">
        <f>IFERROR(INDEX(PP_Grid[#Data],$DE107,12),0)</f>
        <v/>
      </c>
      <c r="P107">
        <f>IFERROR(INDEX(PP_Grid[#Data],$DE107,13),0)</f>
        <v/>
      </c>
      <c r="Q107">
        <f>IFERROR(INDEX(PP_Grid[#Data],$DE107,14),0)</f>
        <v/>
      </c>
      <c r="R107">
        <f>IFERROR(INDEX(PP_Grid[#Data],$DE107,15),0)</f>
        <v/>
      </c>
      <c r="S107">
        <f>IFERROR(INDEX(PP_Grid[#Data],$DE107,16),0)</f>
        <v/>
      </c>
      <c r="T107">
        <f>IFERROR(INDEX(PP_Grid[#Data],$DE107,17),0)</f>
        <v/>
      </c>
      <c r="U107">
        <f>IFERROR(INDEX(PP_Grid[#Data],$DE107,18),0)</f>
        <v/>
      </c>
      <c r="V107">
        <f>IFERROR(INDEX(PP_Grid[#Data],$DE107,19),0)</f>
        <v/>
      </c>
      <c r="W107">
        <f>IFERROR(INDEX(PP_Grid[#Data],$DE107,20),0)</f>
        <v/>
      </c>
      <c r="X107">
        <f>IFERROR(INDEX(PP_Grid[#Data],$DE107,21),0)</f>
        <v/>
      </c>
      <c r="Y107">
        <f>IFERROR(INDEX(PP_Grid[#Data],$DE107,22),0)</f>
        <v/>
      </c>
      <c r="Z107">
        <f>IFERROR(INDEX(PP_Grid[#Data],$DE107,23),0)</f>
        <v/>
      </c>
      <c r="AA107">
        <f>IFERROR(INDEX(PP_Grid[#Data],$DE107,24),0)</f>
        <v/>
      </c>
      <c r="AB107">
        <f>IFERROR(INDEX(PP_Grid[#Data],$DE107,25),0)</f>
        <v/>
      </c>
      <c r="AC107">
        <f>IFERROR(INDEX(PP_Grid[#Data],$DE107,26),0)</f>
        <v/>
      </c>
      <c r="AD107">
        <f>IFERROR(INDEX(PP_Grid[#Data],$DE107,27),0)</f>
        <v/>
      </c>
      <c r="AE107">
        <f>IFERROR(INDEX(PP_Grid[#Data],$DE107,28),0)</f>
        <v/>
      </c>
      <c r="AF107">
        <f>IFERROR(INDEX(PP_Grid[#Data],$DE107,29),0)</f>
        <v/>
      </c>
      <c r="AG107">
        <f>IFERROR(INDEX(PP_Grid[#Data],$DE107,30),0)</f>
        <v/>
      </c>
      <c r="AH107">
        <f>IFERROR(INDEX(PP_Grid[#Data],$DE107,31),0)</f>
        <v/>
      </c>
      <c r="AI107">
        <f>IFERROR(INDEX(PP_Grid[#Data],$DE107,32),0)</f>
        <v/>
      </c>
      <c r="AJ107">
        <f>IFERROR(INDEX(PP_Grid[#Data],$DE107,33),0)</f>
        <v/>
      </c>
      <c r="AK107">
        <f>IFERROR(INDEX(PP_Grid[#Data],$DE107,34),0)</f>
        <v/>
      </c>
      <c r="AL107">
        <f>IFERROR(INDEX(PP_Grid[#Data],$DE107,35),0)</f>
        <v/>
      </c>
      <c r="AM107">
        <f>IFERROR(INDEX(PP_Grid[#Data],$DE107,36),0)</f>
        <v/>
      </c>
      <c r="AN107">
        <f>IFERROR(INDEX(PP_Grid[#Data],$DE107,37),0)</f>
        <v/>
      </c>
      <c r="AO107">
        <f>IFERROR(INDEX(PP_Grid[#Data],$DE107,38),0)</f>
        <v/>
      </c>
      <c r="AP107">
        <f>IFERROR(INDEX(PP_Grid[#Data],$DE107,39),0)</f>
        <v/>
      </c>
      <c r="AQ107">
        <f>IFERROR(INDEX(PP_Grid[#Data],$DE107,40),0)</f>
        <v/>
      </c>
      <c r="AR107">
        <f>IFERROR(INDEX(PP_Grid[#Data],$DE107,41),0)</f>
        <v/>
      </c>
      <c r="AS107">
        <f>IFERROR(INDEX(PP_Grid[#Data],$DE107,42),0)</f>
        <v/>
      </c>
      <c r="AT107">
        <f>IFERROR(INDEX(PP_Grid[#Data],$DE107,43),0)</f>
        <v/>
      </c>
      <c r="AU107">
        <f>IFERROR(INDEX(PP_Grid[#Data],$DE107,44),0)</f>
        <v/>
      </c>
      <c r="AV107">
        <f>IFERROR(INDEX(PP_Grid[#Data],$DE107,45),0)</f>
        <v/>
      </c>
      <c r="AW107">
        <f>IFERROR(INDEX(PP_Grid[#Data],$DE107,46),0)</f>
        <v/>
      </c>
      <c r="AX107">
        <f>IFERROR(INDEX(PP_Grid[#Data],$DE107,47),0)</f>
        <v/>
      </c>
      <c r="AY107">
        <f>IFERROR(INDEX(PP_Grid[#Data],$DE107,48),0)</f>
        <v/>
      </c>
      <c r="AZ107">
        <f>IFERROR(INDEX(PP_Grid[#Data],$DE107,49),0)</f>
        <v/>
      </c>
      <c r="BA107">
        <f>IFERROR(INDEX(PP_Grid[#Data],$DE107,50),0)</f>
        <v/>
      </c>
      <c r="BB107">
        <f>IFERROR(INDEX(PP_Grid[#Data],$DE107,51),0)</f>
        <v/>
      </c>
      <c r="BC107">
        <f>IFERROR(INDEX(PP_Grid[#Data],$DE107,52),0)</f>
        <v/>
      </c>
      <c r="BD107">
        <f>IFERROR(INDEX(PP_Grid[#Data],$DE107,53),0)</f>
        <v/>
      </c>
      <c r="BE107">
        <f>IFERROR(INDEX(PP_Grid[#Data],$DE107,54),0)</f>
        <v/>
      </c>
      <c r="BF107">
        <f>IFERROR(INDEX(PP_Grid[#Data],$DE107,55),0)</f>
        <v/>
      </c>
      <c r="BG107">
        <f>IFERROR(INDEX(PP_Grid[#Data],$DE107,56),0)</f>
        <v/>
      </c>
      <c r="BH107">
        <f>IFERROR(INDEX(PP_Grid[#Data],$DE107,57),0)</f>
        <v/>
      </c>
      <c r="BI107">
        <f>IFERROR(INDEX(PP_Grid[#Data],$DE107,58),0)</f>
        <v/>
      </c>
      <c r="BJ107">
        <f>IFERROR(INDEX(PP_Grid[#Data],$DE107,59),0)</f>
        <v/>
      </c>
      <c r="BK107">
        <f>IFERROR(INDEX(PP_Grid[#Data],$DE107,60),0)</f>
        <v/>
      </c>
      <c r="BL107">
        <f>IFERROR(INDEX(PP_Grid[#Data],$DE107,61),0)</f>
        <v/>
      </c>
      <c r="BM107">
        <f>IFERROR(INDEX(PP_Grid[#Data],$DE107,62),0)</f>
        <v/>
      </c>
      <c r="BN107">
        <f>IFERROR(INDEX(PP_Grid[#Data],$DE107,63),0)</f>
        <v/>
      </c>
      <c r="BO107">
        <f>IFERROR(INDEX(PP_Grid[#Data],$DE107,64),0)</f>
        <v/>
      </c>
      <c r="BP107">
        <f>IFERROR(INDEX(PP_Grid[#Data],$DE107,65),0)</f>
        <v/>
      </c>
      <c r="BQ107">
        <f>IFERROR(INDEX(PP_Grid[#Data],$DE107,66),0)</f>
        <v/>
      </c>
      <c r="BR107">
        <f>IFERROR(INDEX(PP_Grid[#Data],$DE107,67),0)</f>
        <v/>
      </c>
      <c r="BS107">
        <f>IFERROR(INDEX(PP_Grid[#Data],$DE107,68),0)</f>
        <v/>
      </c>
      <c r="BT107">
        <f>IFERROR(INDEX(PP_Grid[#Data],$DE107,69),0)</f>
        <v/>
      </c>
      <c r="BU107">
        <f>IFERROR(INDEX(PP_Grid[#Data],$DE107,70),0)</f>
        <v/>
      </c>
      <c r="BV107">
        <f>IFERROR(INDEX(PP_Grid[#Data],$DE107,71),0)</f>
        <v/>
      </c>
      <c r="BW107">
        <f>IFERROR(INDEX(PP_Grid[#Data],$DE107,72),0)</f>
        <v/>
      </c>
      <c r="BX107">
        <f>IFERROR(INDEX(PP_Grid[#Data],$DE107,73),0)</f>
        <v/>
      </c>
      <c r="BY107">
        <f>IFERROR(INDEX(PP_Grid[#Data],$DE107,74),0)</f>
        <v/>
      </c>
      <c r="BZ107">
        <f>IFERROR(INDEX(PP_Grid[#Data],$DE107,75),0)</f>
        <v/>
      </c>
      <c r="CA107">
        <f>IFERROR(INDEX(PP_Grid[#Data],$DE107,76),0)</f>
        <v/>
      </c>
      <c r="CB107">
        <f>IFERROR(INDEX(PP_Grid[#Data],$DE107,77),0)</f>
        <v/>
      </c>
      <c r="CC107">
        <f>IFERROR(INDEX(PP_Grid[#Data],$DE107,78),0)</f>
        <v/>
      </c>
      <c r="CD107">
        <f>IFERROR(INDEX(PP_Grid[#Data],$DE107,79),0)</f>
        <v/>
      </c>
      <c r="CE107">
        <f>IFERROR(INDEX(PP_Grid[#Data],$DE107,80),0)</f>
        <v/>
      </c>
      <c r="CF107">
        <f>IFERROR(INDEX(PP_Grid[#Data],$DE107,81),0)</f>
        <v/>
      </c>
      <c r="CG107">
        <f>IFERROR(INDEX(PP_Grid[#Data],$DE107,82),0)</f>
        <v/>
      </c>
      <c r="CH107">
        <f>IFERROR(INDEX(PP_Grid[#Data],$DE107,83),0)</f>
        <v/>
      </c>
      <c r="CI107">
        <f>IFERROR(INDEX(PP_Grid[#Data],$DE107,84),0)</f>
        <v/>
      </c>
      <c r="CJ107">
        <f>IFERROR(INDEX(PP_Grid[#Data],$DE107,85),0)</f>
        <v/>
      </c>
      <c r="CK107">
        <f>IFERROR(INDEX(PP_Grid[#Data],$DE107,86),0)</f>
        <v/>
      </c>
      <c r="CL107">
        <f>IFERROR(INDEX(PP_Grid[#Data],$DE107,87),0)</f>
        <v/>
      </c>
      <c r="CM107">
        <f>IFERROR(INDEX(PP_Grid[#Data],$DE107,88),0)</f>
        <v/>
      </c>
      <c r="CN107">
        <f>IFERROR(INDEX(PP_Grid[#Data],$DE107,89),0)</f>
        <v/>
      </c>
      <c r="CO107">
        <f>IFERROR(INDEX(PP_Grid[#Data],$DE107,90),0)</f>
        <v/>
      </c>
      <c r="CP107">
        <f>IFERROR(INDEX(PP_Grid[#Data],$DE107,91),0)</f>
        <v/>
      </c>
      <c r="CQ107">
        <f>IFERROR(INDEX(PP_Grid[#Data],$DE107,92),0)</f>
        <v/>
      </c>
      <c r="CR107">
        <f>IFERROR(INDEX(PP_Grid[#Data],$DE107,93),0)</f>
        <v/>
      </c>
      <c r="CS107">
        <f>IFERROR(INDEX(PP_Grid[#Data],$DE107,94),0)</f>
        <v/>
      </c>
      <c r="CT107">
        <f>IFERROR(INDEX(PP_Grid[#Data],$DE107,95),0)</f>
        <v/>
      </c>
      <c r="CU107">
        <f>IFERROR(INDEX(PP_Grid[#Data],$DE107,96),0)</f>
        <v/>
      </c>
      <c r="CV107">
        <f>IFERROR(INDEX(PP_Grid[#Data],$DE107,97),0)</f>
        <v/>
      </c>
      <c r="CW107">
        <f>IFERROR(INDEX(PP_Grid[#Data],$DE107,98),0)</f>
        <v/>
      </c>
      <c r="CX107">
        <f>IFERROR(INDEX(PP_Grid[#Data],$DE107,99),0)</f>
        <v/>
      </c>
      <c r="CY107">
        <f>IFERROR(INDEX(PP_Grid[#Data],$DE107,100),0)</f>
        <v/>
      </c>
      <c r="CZ107">
        <f>IFERROR(INDEX(PP_Grid[#Data],$DE107,101),0)</f>
        <v/>
      </c>
      <c r="DA107">
        <f>IFERROR(INDEX(PP_Grid[#Data],$DE107,102),0)</f>
        <v/>
      </c>
      <c r="DB107">
        <f>IFERROR(INDEX(PP_Grid[#Data],$DE107,103),0)</f>
        <v/>
      </c>
      <c r="DC107">
        <f>IFERROR(INDEX(PP_Grid[#Data],$DE107,104),0)</f>
        <v/>
      </c>
      <c r="DD107">
        <f>IFERROR(INDEX(PP_Grid[#Data],$DE107,105),0)</f>
        <v/>
      </c>
      <c r="DE107" s="7">
        <f>IFERROR(MATCH($B107,PP_Grid[Intermediate],0),99999)</f>
        <v/>
      </c>
    </row>
    <row r="108">
      <c r="B108" t="inlineStr">
        <is>
          <t>使用量(kg)</t>
        </is>
      </c>
      <c r="C108">
        <f>SUMIFS(M_BOM[RM_Qty_Per_Batch],M_BOM[Intermediate],$B107,M_BOM[RM_Code],$A28)</f>
        <v/>
      </c>
      <c r="D108">
        <f>IFERROR(INDEX(E108:DD108,$F$1),"")</f>
        <v/>
      </c>
      <c r="E108">
        <f>$C108*E107</f>
        <v/>
      </c>
      <c r="F108">
        <f>$C108*F107</f>
        <v/>
      </c>
      <c r="G108">
        <f>$C108*G107</f>
        <v/>
      </c>
      <c r="H108">
        <f>$C108*H107</f>
        <v/>
      </c>
      <c r="I108">
        <f>$C108*I107</f>
        <v/>
      </c>
      <c r="J108">
        <f>$C108*J107</f>
        <v/>
      </c>
      <c r="K108">
        <f>$C108*K107</f>
        <v/>
      </c>
      <c r="L108">
        <f>$C108*L107</f>
        <v/>
      </c>
      <c r="M108">
        <f>$C108*M107</f>
        <v/>
      </c>
      <c r="N108">
        <f>$C108*N107</f>
        <v/>
      </c>
      <c r="O108">
        <f>$C108*O107</f>
        <v/>
      </c>
      <c r="P108">
        <f>$C108*P107</f>
        <v/>
      </c>
      <c r="Q108">
        <f>$C108*Q107</f>
        <v/>
      </c>
      <c r="R108">
        <f>$C108*R107</f>
        <v/>
      </c>
      <c r="S108">
        <f>$C108*S107</f>
        <v/>
      </c>
      <c r="T108">
        <f>$C108*T107</f>
        <v/>
      </c>
      <c r="U108">
        <f>$C108*U107</f>
        <v/>
      </c>
      <c r="V108">
        <f>$C108*V107</f>
        <v/>
      </c>
      <c r="W108">
        <f>$C108*W107</f>
        <v/>
      </c>
      <c r="X108">
        <f>$C108*X107</f>
        <v/>
      </c>
      <c r="Y108">
        <f>$C108*Y107</f>
        <v/>
      </c>
      <c r="Z108">
        <f>$C108*Z107</f>
        <v/>
      </c>
      <c r="AA108">
        <f>$C108*AA107</f>
        <v/>
      </c>
      <c r="AB108">
        <f>$C108*AB107</f>
        <v/>
      </c>
      <c r="AC108">
        <f>$C108*AC107</f>
        <v/>
      </c>
      <c r="AD108">
        <f>$C108*AD107</f>
        <v/>
      </c>
      <c r="AE108">
        <f>$C108*AE107</f>
        <v/>
      </c>
      <c r="AF108">
        <f>$C108*AF107</f>
        <v/>
      </c>
      <c r="AG108">
        <f>$C108*AG107</f>
        <v/>
      </c>
      <c r="AH108">
        <f>$C108*AH107</f>
        <v/>
      </c>
      <c r="AI108">
        <f>$C108*AI107</f>
        <v/>
      </c>
      <c r="AJ108">
        <f>$C108*AJ107</f>
        <v/>
      </c>
      <c r="AK108">
        <f>$C108*AK107</f>
        <v/>
      </c>
      <c r="AL108">
        <f>$C108*AL107</f>
        <v/>
      </c>
      <c r="AM108">
        <f>$C108*AM107</f>
        <v/>
      </c>
      <c r="AN108">
        <f>$C108*AN107</f>
        <v/>
      </c>
      <c r="AO108">
        <f>$C108*AO107</f>
        <v/>
      </c>
      <c r="AP108">
        <f>$C108*AP107</f>
        <v/>
      </c>
      <c r="AQ108">
        <f>$C108*AQ107</f>
        <v/>
      </c>
      <c r="AR108">
        <f>$C108*AR107</f>
        <v/>
      </c>
      <c r="AS108">
        <f>$C108*AS107</f>
        <v/>
      </c>
      <c r="AT108">
        <f>$C108*AT107</f>
        <v/>
      </c>
      <c r="AU108">
        <f>$C108*AU107</f>
        <v/>
      </c>
      <c r="AV108">
        <f>$C108*AV107</f>
        <v/>
      </c>
      <c r="AW108">
        <f>$C108*AW107</f>
        <v/>
      </c>
      <c r="AX108">
        <f>$C108*AX107</f>
        <v/>
      </c>
      <c r="AY108">
        <f>$C108*AY107</f>
        <v/>
      </c>
      <c r="AZ108">
        <f>$C108*AZ107</f>
        <v/>
      </c>
      <c r="BA108">
        <f>$C108*BA107</f>
        <v/>
      </c>
      <c r="BB108">
        <f>$C108*BB107</f>
        <v/>
      </c>
      <c r="BC108">
        <f>$C108*BC107</f>
        <v/>
      </c>
      <c r="BD108">
        <f>$C108*BD107</f>
        <v/>
      </c>
      <c r="BE108">
        <f>$C108*BE107</f>
        <v/>
      </c>
      <c r="BF108">
        <f>$C108*BF107</f>
        <v/>
      </c>
      <c r="BG108">
        <f>$C108*BG107</f>
        <v/>
      </c>
      <c r="BH108">
        <f>$C108*BH107</f>
        <v/>
      </c>
      <c r="BI108">
        <f>$C108*BI107</f>
        <v/>
      </c>
      <c r="BJ108">
        <f>$C108*BJ107</f>
        <v/>
      </c>
      <c r="BK108">
        <f>$C108*BK107</f>
        <v/>
      </c>
      <c r="BL108">
        <f>$C108*BL107</f>
        <v/>
      </c>
      <c r="BM108">
        <f>$C108*BM107</f>
        <v/>
      </c>
      <c r="BN108">
        <f>$C108*BN107</f>
        <v/>
      </c>
      <c r="BO108">
        <f>$C108*BO107</f>
        <v/>
      </c>
      <c r="BP108">
        <f>$C108*BP107</f>
        <v/>
      </c>
      <c r="BQ108">
        <f>$C108*BQ107</f>
        <v/>
      </c>
      <c r="BR108">
        <f>$C108*BR107</f>
        <v/>
      </c>
      <c r="BS108">
        <f>$C108*BS107</f>
        <v/>
      </c>
      <c r="BT108">
        <f>$C108*BT107</f>
        <v/>
      </c>
      <c r="BU108">
        <f>$C108*BU107</f>
        <v/>
      </c>
      <c r="BV108">
        <f>$C108*BV107</f>
        <v/>
      </c>
      <c r="BW108">
        <f>$C108*BW107</f>
        <v/>
      </c>
      <c r="BX108">
        <f>$C108*BX107</f>
        <v/>
      </c>
      <c r="BY108">
        <f>$C108*BY107</f>
        <v/>
      </c>
      <c r="BZ108">
        <f>$C108*BZ107</f>
        <v/>
      </c>
      <c r="CA108">
        <f>$C108*CA107</f>
        <v/>
      </c>
      <c r="CB108">
        <f>$C108*CB107</f>
        <v/>
      </c>
      <c r="CC108">
        <f>$C108*CC107</f>
        <v/>
      </c>
      <c r="CD108">
        <f>$C108*CD107</f>
        <v/>
      </c>
      <c r="CE108">
        <f>$C108*CE107</f>
        <v/>
      </c>
      <c r="CF108">
        <f>$C108*CF107</f>
        <v/>
      </c>
      <c r="CG108">
        <f>$C108*CG107</f>
        <v/>
      </c>
      <c r="CH108">
        <f>$C108*CH107</f>
        <v/>
      </c>
      <c r="CI108">
        <f>$C108*CI107</f>
        <v/>
      </c>
      <c r="CJ108">
        <f>$C108*CJ107</f>
        <v/>
      </c>
      <c r="CK108">
        <f>$C108*CK107</f>
        <v/>
      </c>
      <c r="CL108">
        <f>$C108*CL107</f>
        <v/>
      </c>
      <c r="CM108">
        <f>$C108*CM107</f>
        <v/>
      </c>
      <c r="CN108">
        <f>$C108*CN107</f>
        <v/>
      </c>
      <c r="CO108">
        <f>$C108*CO107</f>
        <v/>
      </c>
      <c r="CP108">
        <f>$C108*CP107</f>
        <v/>
      </c>
      <c r="CQ108">
        <f>$C108*CQ107</f>
        <v/>
      </c>
      <c r="CR108">
        <f>$C108*CR107</f>
        <v/>
      </c>
      <c r="CS108">
        <f>$C108*CS107</f>
        <v/>
      </c>
      <c r="CT108">
        <f>$C108*CT107</f>
        <v/>
      </c>
      <c r="CU108">
        <f>$C108*CU107</f>
        <v/>
      </c>
      <c r="CV108">
        <f>$C108*CV107</f>
        <v/>
      </c>
      <c r="CW108">
        <f>$C108*CW107</f>
        <v/>
      </c>
      <c r="CX108">
        <f>$C108*CX107</f>
        <v/>
      </c>
      <c r="CY108">
        <f>$C108*CY107</f>
        <v/>
      </c>
      <c r="CZ108">
        <f>$C108*CZ107</f>
        <v/>
      </c>
      <c r="DA108">
        <f>$C108*DA107</f>
        <v/>
      </c>
      <c r="DB108">
        <f>$C108*DB107</f>
        <v/>
      </c>
      <c r="DC108">
        <f>$C108*DC107</f>
        <v/>
      </c>
      <c r="DD108">
        <f>$C108*DD107</f>
        <v/>
      </c>
    </row>
    <row r="109">
      <c r="B109" t="inlineStr">
        <is>
          <t>VSP-990</t>
        </is>
      </c>
      <c r="C109" t="inlineStr">
        <is>
          <t>No. of batches</t>
        </is>
      </c>
      <c r="D109">
        <f>IFERROR(INDEX(E109:DD109,$F$1),"")</f>
        <v/>
      </c>
      <c r="E109">
        <f>IFERROR(INDEX(PP_Grid[#Data],$DE109,2),0)</f>
        <v/>
      </c>
      <c r="F109">
        <f>IFERROR(INDEX(PP_Grid[#Data],$DE109,3),0)</f>
        <v/>
      </c>
      <c r="G109">
        <f>IFERROR(INDEX(PP_Grid[#Data],$DE109,4),0)</f>
        <v/>
      </c>
      <c r="H109">
        <f>IFERROR(INDEX(PP_Grid[#Data],$DE109,5),0)</f>
        <v/>
      </c>
      <c r="I109">
        <f>IFERROR(INDEX(PP_Grid[#Data],$DE109,6),0)</f>
        <v/>
      </c>
      <c r="J109">
        <f>IFERROR(INDEX(PP_Grid[#Data],$DE109,7),0)</f>
        <v/>
      </c>
      <c r="K109">
        <f>IFERROR(INDEX(PP_Grid[#Data],$DE109,8),0)</f>
        <v/>
      </c>
      <c r="L109">
        <f>IFERROR(INDEX(PP_Grid[#Data],$DE109,9),0)</f>
        <v/>
      </c>
      <c r="M109">
        <f>IFERROR(INDEX(PP_Grid[#Data],$DE109,10),0)</f>
        <v/>
      </c>
      <c r="N109">
        <f>IFERROR(INDEX(PP_Grid[#Data],$DE109,11),0)</f>
        <v/>
      </c>
      <c r="O109">
        <f>IFERROR(INDEX(PP_Grid[#Data],$DE109,12),0)</f>
        <v/>
      </c>
      <c r="P109">
        <f>IFERROR(INDEX(PP_Grid[#Data],$DE109,13),0)</f>
        <v/>
      </c>
      <c r="Q109">
        <f>IFERROR(INDEX(PP_Grid[#Data],$DE109,14),0)</f>
        <v/>
      </c>
      <c r="R109">
        <f>IFERROR(INDEX(PP_Grid[#Data],$DE109,15),0)</f>
        <v/>
      </c>
      <c r="S109">
        <f>IFERROR(INDEX(PP_Grid[#Data],$DE109,16),0)</f>
        <v/>
      </c>
      <c r="T109">
        <f>IFERROR(INDEX(PP_Grid[#Data],$DE109,17),0)</f>
        <v/>
      </c>
      <c r="U109">
        <f>IFERROR(INDEX(PP_Grid[#Data],$DE109,18),0)</f>
        <v/>
      </c>
      <c r="V109">
        <f>IFERROR(INDEX(PP_Grid[#Data],$DE109,19),0)</f>
        <v/>
      </c>
      <c r="W109">
        <f>IFERROR(INDEX(PP_Grid[#Data],$DE109,20),0)</f>
        <v/>
      </c>
      <c r="X109">
        <f>IFERROR(INDEX(PP_Grid[#Data],$DE109,21),0)</f>
        <v/>
      </c>
      <c r="Y109">
        <f>IFERROR(INDEX(PP_Grid[#Data],$DE109,22),0)</f>
        <v/>
      </c>
      <c r="Z109">
        <f>IFERROR(INDEX(PP_Grid[#Data],$DE109,23),0)</f>
        <v/>
      </c>
      <c r="AA109">
        <f>IFERROR(INDEX(PP_Grid[#Data],$DE109,24),0)</f>
        <v/>
      </c>
      <c r="AB109">
        <f>IFERROR(INDEX(PP_Grid[#Data],$DE109,25),0)</f>
        <v/>
      </c>
      <c r="AC109">
        <f>IFERROR(INDEX(PP_Grid[#Data],$DE109,26),0)</f>
        <v/>
      </c>
      <c r="AD109">
        <f>IFERROR(INDEX(PP_Grid[#Data],$DE109,27),0)</f>
        <v/>
      </c>
      <c r="AE109">
        <f>IFERROR(INDEX(PP_Grid[#Data],$DE109,28),0)</f>
        <v/>
      </c>
      <c r="AF109">
        <f>IFERROR(INDEX(PP_Grid[#Data],$DE109,29),0)</f>
        <v/>
      </c>
      <c r="AG109">
        <f>IFERROR(INDEX(PP_Grid[#Data],$DE109,30),0)</f>
        <v/>
      </c>
      <c r="AH109">
        <f>IFERROR(INDEX(PP_Grid[#Data],$DE109,31),0)</f>
        <v/>
      </c>
      <c r="AI109">
        <f>IFERROR(INDEX(PP_Grid[#Data],$DE109,32),0)</f>
        <v/>
      </c>
      <c r="AJ109">
        <f>IFERROR(INDEX(PP_Grid[#Data],$DE109,33),0)</f>
        <v/>
      </c>
      <c r="AK109">
        <f>IFERROR(INDEX(PP_Grid[#Data],$DE109,34),0)</f>
        <v/>
      </c>
      <c r="AL109">
        <f>IFERROR(INDEX(PP_Grid[#Data],$DE109,35),0)</f>
        <v/>
      </c>
      <c r="AM109">
        <f>IFERROR(INDEX(PP_Grid[#Data],$DE109,36),0)</f>
        <v/>
      </c>
      <c r="AN109">
        <f>IFERROR(INDEX(PP_Grid[#Data],$DE109,37),0)</f>
        <v/>
      </c>
      <c r="AO109">
        <f>IFERROR(INDEX(PP_Grid[#Data],$DE109,38),0)</f>
        <v/>
      </c>
      <c r="AP109">
        <f>IFERROR(INDEX(PP_Grid[#Data],$DE109,39),0)</f>
        <v/>
      </c>
      <c r="AQ109">
        <f>IFERROR(INDEX(PP_Grid[#Data],$DE109,40),0)</f>
        <v/>
      </c>
      <c r="AR109">
        <f>IFERROR(INDEX(PP_Grid[#Data],$DE109,41),0)</f>
        <v/>
      </c>
      <c r="AS109">
        <f>IFERROR(INDEX(PP_Grid[#Data],$DE109,42),0)</f>
        <v/>
      </c>
      <c r="AT109">
        <f>IFERROR(INDEX(PP_Grid[#Data],$DE109,43),0)</f>
        <v/>
      </c>
      <c r="AU109">
        <f>IFERROR(INDEX(PP_Grid[#Data],$DE109,44),0)</f>
        <v/>
      </c>
      <c r="AV109">
        <f>IFERROR(INDEX(PP_Grid[#Data],$DE109,45),0)</f>
        <v/>
      </c>
      <c r="AW109">
        <f>IFERROR(INDEX(PP_Grid[#Data],$DE109,46),0)</f>
        <v/>
      </c>
      <c r="AX109">
        <f>IFERROR(INDEX(PP_Grid[#Data],$DE109,47),0)</f>
        <v/>
      </c>
      <c r="AY109">
        <f>IFERROR(INDEX(PP_Grid[#Data],$DE109,48),0)</f>
        <v/>
      </c>
      <c r="AZ109">
        <f>IFERROR(INDEX(PP_Grid[#Data],$DE109,49),0)</f>
        <v/>
      </c>
      <c r="BA109">
        <f>IFERROR(INDEX(PP_Grid[#Data],$DE109,50),0)</f>
        <v/>
      </c>
      <c r="BB109">
        <f>IFERROR(INDEX(PP_Grid[#Data],$DE109,51),0)</f>
        <v/>
      </c>
      <c r="BC109">
        <f>IFERROR(INDEX(PP_Grid[#Data],$DE109,52),0)</f>
        <v/>
      </c>
      <c r="BD109">
        <f>IFERROR(INDEX(PP_Grid[#Data],$DE109,53),0)</f>
        <v/>
      </c>
      <c r="BE109">
        <f>IFERROR(INDEX(PP_Grid[#Data],$DE109,54),0)</f>
        <v/>
      </c>
      <c r="BF109">
        <f>IFERROR(INDEX(PP_Grid[#Data],$DE109,55),0)</f>
        <v/>
      </c>
      <c r="BG109">
        <f>IFERROR(INDEX(PP_Grid[#Data],$DE109,56),0)</f>
        <v/>
      </c>
      <c r="BH109">
        <f>IFERROR(INDEX(PP_Grid[#Data],$DE109,57),0)</f>
        <v/>
      </c>
      <c r="BI109">
        <f>IFERROR(INDEX(PP_Grid[#Data],$DE109,58),0)</f>
        <v/>
      </c>
      <c r="BJ109">
        <f>IFERROR(INDEX(PP_Grid[#Data],$DE109,59),0)</f>
        <v/>
      </c>
      <c r="BK109">
        <f>IFERROR(INDEX(PP_Grid[#Data],$DE109,60),0)</f>
        <v/>
      </c>
      <c r="BL109">
        <f>IFERROR(INDEX(PP_Grid[#Data],$DE109,61),0)</f>
        <v/>
      </c>
      <c r="BM109">
        <f>IFERROR(INDEX(PP_Grid[#Data],$DE109,62),0)</f>
        <v/>
      </c>
      <c r="BN109">
        <f>IFERROR(INDEX(PP_Grid[#Data],$DE109,63),0)</f>
        <v/>
      </c>
      <c r="BO109">
        <f>IFERROR(INDEX(PP_Grid[#Data],$DE109,64),0)</f>
        <v/>
      </c>
      <c r="BP109">
        <f>IFERROR(INDEX(PP_Grid[#Data],$DE109,65),0)</f>
        <v/>
      </c>
      <c r="BQ109">
        <f>IFERROR(INDEX(PP_Grid[#Data],$DE109,66),0)</f>
        <v/>
      </c>
      <c r="BR109">
        <f>IFERROR(INDEX(PP_Grid[#Data],$DE109,67),0)</f>
        <v/>
      </c>
      <c r="BS109">
        <f>IFERROR(INDEX(PP_Grid[#Data],$DE109,68),0)</f>
        <v/>
      </c>
      <c r="BT109">
        <f>IFERROR(INDEX(PP_Grid[#Data],$DE109,69),0)</f>
        <v/>
      </c>
      <c r="BU109">
        <f>IFERROR(INDEX(PP_Grid[#Data],$DE109,70),0)</f>
        <v/>
      </c>
      <c r="BV109">
        <f>IFERROR(INDEX(PP_Grid[#Data],$DE109,71),0)</f>
        <v/>
      </c>
      <c r="BW109">
        <f>IFERROR(INDEX(PP_Grid[#Data],$DE109,72),0)</f>
        <v/>
      </c>
      <c r="BX109">
        <f>IFERROR(INDEX(PP_Grid[#Data],$DE109,73),0)</f>
        <v/>
      </c>
      <c r="BY109">
        <f>IFERROR(INDEX(PP_Grid[#Data],$DE109,74),0)</f>
        <v/>
      </c>
      <c r="BZ109">
        <f>IFERROR(INDEX(PP_Grid[#Data],$DE109,75),0)</f>
        <v/>
      </c>
      <c r="CA109">
        <f>IFERROR(INDEX(PP_Grid[#Data],$DE109,76),0)</f>
        <v/>
      </c>
      <c r="CB109">
        <f>IFERROR(INDEX(PP_Grid[#Data],$DE109,77),0)</f>
        <v/>
      </c>
      <c r="CC109">
        <f>IFERROR(INDEX(PP_Grid[#Data],$DE109,78),0)</f>
        <v/>
      </c>
      <c r="CD109">
        <f>IFERROR(INDEX(PP_Grid[#Data],$DE109,79),0)</f>
        <v/>
      </c>
      <c r="CE109">
        <f>IFERROR(INDEX(PP_Grid[#Data],$DE109,80),0)</f>
        <v/>
      </c>
      <c r="CF109">
        <f>IFERROR(INDEX(PP_Grid[#Data],$DE109,81),0)</f>
        <v/>
      </c>
      <c r="CG109">
        <f>IFERROR(INDEX(PP_Grid[#Data],$DE109,82),0)</f>
        <v/>
      </c>
      <c r="CH109">
        <f>IFERROR(INDEX(PP_Grid[#Data],$DE109,83),0)</f>
        <v/>
      </c>
      <c r="CI109">
        <f>IFERROR(INDEX(PP_Grid[#Data],$DE109,84),0)</f>
        <v/>
      </c>
      <c r="CJ109">
        <f>IFERROR(INDEX(PP_Grid[#Data],$DE109,85),0)</f>
        <v/>
      </c>
      <c r="CK109">
        <f>IFERROR(INDEX(PP_Grid[#Data],$DE109,86),0)</f>
        <v/>
      </c>
      <c r="CL109">
        <f>IFERROR(INDEX(PP_Grid[#Data],$DE109,87),0)</f>
        <v/>
      </c>
      <c r="CM109">
        <f>IFERROR(INDEX(PP_Grid[#Data],$DE109,88),0)</f>
        <v/>
      </c>
      <c r="CN109">
        <f>IFERROR(INDEX(PP_Grid[#Data],$DE109,89),0)</f>
        <v/>
      </c>
      <c r="CO109">
        <f>IFERROR(INDEX(PP_Grid[#Data],$DE109,90),0)</f>
        <v/>
      </c>
      <c r="CP109">
        <f>IFERROR(INDEX(PP_Grid[#Data],$DE109,91),0)</f>
        <v/>
      </c>
      <c r="CQ109">
        <f>IFERROR(INDEX(PP_Grid[#Data],$DE109,92),0)</f>
        <v/>
      </c>
      <c r="CR109">
        <f>IFERROR(INDEX(PP_Grid[#Data],$DE109,93),0)</f>
        <v/>
      </c>
      <c r="CS109">
        <f>IFERROR(INDEX(PP_Grid[#Data],$DE109,94),0)</f>
        <v/>
      </c>
      <c r="CT109">
        <f>IFERROR(INDEX(PP_Grid[#Data],$DE109,95),0)</f>
        <v/>
      </c>
      <c r="CU109">
        <f>IFERROR(INDEX(PP_Grid[#Data],$DE109,96),0)</f>
        <v/>
      </c>
      <c r="CV109">
        <f>IFERROR(INDEX(PP_Grid[#Data],$DE109,97),0)</f>
        <v/>
      </c>
      <c r="CW109">
        <f>IFERROR(INDEX(PP_Grid[#Data],$DE109,98),0)</f>
        <v/>
      </c>
      <c r="CX109">
        <f>IFERROR(INDEX(PP_Grid[#Data],$DE109,99),0)</f>
        <v/>
      </c>
      <c r="CY109">
        <f>IFERROR(INDEX(PP_Grid[#Data],$DE109,100),0)</f>
        <v/>
      </c>
      <c r="CZ109">
        <f>IFERROR(INDEX(PP_Grid[#Data],$DE109,101),0)</f>
        <v/>
      </c>
      <c r="DA109">
        <f>IFERROR(INDEX(PP_Grid[#Data],$DE109,102),0)</f>
        <v/>
      </c>
      <c r="DB109">
        <f>IFERROR(INDEX(PP_Grid[#Data],$DE109,103),0)</f>
        <v/>
      </c>
      <c r="DC109">
        <f>IFERROR(INDEX(PP_Grid[#Data],$DE109,104),0)</f>
        <v/>
      </c>
      <c r="DD109">
        <f>IFERROR(INDEX(PP_Grid[#Data],$DE109,105),0)</f>
        <v/>
      </c>
      <c r="DE109" s="7">
        <f>IFERROR(MATCH($B109,PP_Grid[Intermediate],0),99999)</f>
        <v/>
      </c>
    </row>
    <row r="110">
      <c r="B110" t="inlineStr">
        <is>
          <t>使用量(kg)</t>
        </is>
      </c>
      <c r="C110">
        <f>SUMIFS(M_BOM[RM_Qty_Per_Batch],M_BOM[Intermediate],$B109,M_BOM[RM_Code],$A28)</f>
        <v/>
      </c>
      <c r="D110">
        <f>IFERROR(INDEX(E110:DD110,$F$1),"")</f>
        <v/>
      </c>
      <c r="E110">
        <f>$C110*E109</f>
        <v/>
      </c>
      <c r="F110">
        <f>$C110*F109</f>
        <v/>
      </c>
      <c r="G110">
        <f>$C110*G109</f>
        <v/>
      </c>
      <c r="H110">
        <f>$C110*H109</f>
        <v/>
      </c>
      <c r="I110">
        <f>$C110*I109</f>
        <v/>
      </c>
      <c r="J110">
        <f>$C110*J109</f>
        <v/>
      </c>
      <c r="K110">
        <f>$C110*K109</f>
        <v/>
      </c>
      <c r="L110">
        <f>$C110*L109</f>
        <v/>
      </c>
      <c r="M110">
        <f>$C110*M109</f>
        <v/>
      </c>
      <c r="N110">
        <f>$C110*N109</f>
        <v/>
      </c>
      <c r="O110">
        <f>$C110*O109</f>
        <v/>
      </c>
      <c r="P110">
        <f>$C110*P109</f>
        <v/>
      </c>
      <c r="Q110">
        <f>$C110*Q109</f>
        <v/>
      </c>
      <c r="R110">
        <f>$C110*R109</f>
        <v/>
      </c>
      <c r="S110">
        <f>$C110*S109</f>
        <v/>
      </c>
      <c r="T110">
        <f>$C110*T109</f>
        <v/>
      </c>
      <c r="U110">
        <f>$C110*U109</f>
        <v/>
      </c>
      <c r="V110">
        <f>$C110*V109</f>
        <v/>
      </c>
      <c r="W110">
        <f>$C110*W109</f>
        <v/>
      </c>
      <c r="X110">
        <f>$C110*X109</f>
        <v/>
      </c>
      <c r="Y110">
        <f>$C110*Y109</f>
        <v/>
      </c>
      <c r="Z110">
        <f>$C110*Z109</f>
        <v/>
      </c>
      <c r="AA110">
        <f>$C110*AA109</f>
        <v/>
      </c>
      <c r="AB110">
        <f>$C110*AB109</f>
        <v/>
      </c>
      <c r="AC110">
        <f>$C110*AC109</f>
        <v/>
      </c>
      <c r="AD110">
        <f>$C110*AD109</f>
        <v/>
      </c>
      <c r="AE110">
        <f>$C110*AE109</f>
        <v/>
      </c>
      <c r="AF110">
        <f>$C110*AF109</f>
        <v/>
      </c>
      <c r="AG110">
        <f>$C110*AG109</f>
        <v/>
      </c>
      <c r="AH110">
        <f>$C110*AH109</f>
        <v/>
      </c>
      <c r="AI110">
        <f>$C110*AI109</f>
        <v/>
      </c>
      <c r="AJ110">
        <f>$C110*AJ109</f>
        <v/>
      </c>
      <c r="AK110">
        <f>$C110*AK109</f>
        <v/>
      </c>
      <c r="AL110">
        <f>$C110*AL109</f>
        <v/>
      </c>
      <c r="AM110">
        <f>$C110*AM109</f>
        <v/>
      </c>
      <c r="AN110">
        <f>$C110*AN109</f>
        <v/>
      </c>
      <c r="AO110">
        <f>$C110*AO109</f>
        <v/>
      </c>
      <c r="AP110">
        <f>$C110*AP109</f>
        <v/>
      </c>
      <c r="AQ110">
        <f>$C110*AQ109</f>
        <v/>
      </c>
      <c r="AR110">
        <f>$C110*AR109</f>
        <v/>
      </c>
      <c r="AS110">
        <f>$C110*AS109</f>
        <v/>
      </c>
      <c r="AT110">
        <f>$C110*AT109</f>
        <v/>
      </c>
      <c r="AU110">
        <f>$C110*AU109</f>
        <v/>
      </c>
      <c r="AV110">
        <f>$C110*AV109</f>
        <v/>
      </c>
      <c r="AW110">
        <f>$C110*AW109</f>
        <v/>
      </c>
      <c r="AX110">
        <f>$C110*AX109</f>
        <v/>
      </c>
      <c r="AY110">
        <f>$C110*AY109</f>
        <v/>
      </c>
      <c r="AZ110">
        <f>$C110*AZ109</f>
        <v/>
      </c>
      <c r="BA110">
        <f>$C110*BA109</f>
        <v/>
      </c>
      <c r="BB110">
        <f>$C110*BB109</f>
        <v/>
      </c>
      <c r="BC110">
        <f>$C110*BC109</f>
        <v/>
      </c>
      <c r="BD110">
        <f>$C110*BD109</f>
        <v/>
      </c>
      <c r="BE110">
        <f>$C110*BE109</f>
        <v/>
      </c>
      <c r="BF110">
        <f>$C110*BF109</f>
        <v/>
      </c>
      <c r="BG110">
        <f>$C110*BG109</f>
        <v/>
      </c>
      <c r="BH110">
        <f>$C110*BH109</f>
        <v/>
      </c>
      <c r="BI110">
        <f>$C110*BI109</f>
        <v/>
      </c>
      <c r="BJ110">
        <f>$C110*BJ109</f>
        <v/>
      </c>
      <c r="BK110">
        <f>$C110*BK109</f>
        <v/>
      </c>
      <c r="BL110">
        <f>$C110*BL109</f>
        <v/>
      </c>
      <c r="BM110">
        <f>$C110*BM109</f>
        <v/>
      </c>
      <c r="BN110">
        <f>$C110*BN109</f>
        <v/>
      </c>
      <c r="BO110">
        <f>$C110*BO109</f>
        <v/>
      </c>
      <c r="BP110">
        <f>$C110*BP109</f>
        <v/>
      </c>
      <c r="BQ110">
        <f>$C110*BQ109</f>
        <v/>
      </c>
      <c r="BR110">
        <f>$C110*BR109</f>
        <v/>
      </c>
      <c r="BS110">
        <f>$C110*BS109</f>
        <v/>
      </c>
      <c r="BT110">
        <f>$C110*BT109</f>
        <v/>
      </c>
      <c r="BU110">
        <f>$C110*BU109</f>
        <v/>
      </c>
      <c r="BV110">
        <f>$C110*BV109</f>
        <v/>
      </c>
      <c r="BW110">
        <f>$C110*BW109</f>
        <v/>
      </c>
      <c r="BX110">
        <f>$C110*BX109</f>
        <v/>
      </c>
      <c r="BY110">
        <f>$C110*BY109</f>
        <v/>
      </c>
      <c r="BZ110">
        <f>$C110*BZ109</f>
        <v/>
      </c>
      <c r="CA110">
        <f>$C110*CA109</f>
        <v/>
      </c>
      <c r="CB110">
        <f>$C110*CB109</f>
        <v/>
      </c>
      <c r="CC110">
        <f>$C110*CC109</f>
        <v/>
      </c>
      <c r="CD110">
        <f>$C110*CD109</f>
        <v/>
      </c>
      <c r="CE110">
        <f>$C110*CE109</f>
        <v/>
      </c>
      <c r="CF110">
        <f>$C110*CF109</f>
        <v/>
      </c>
      <c r="CG110">
        <f>$C110*CG109</f>
        <v/>
      </c>
      <c r="CH110">
        <f>$C110*CH109</f>
        <v/>
      </c>
      <c r="CI110">
        <f>$C110*CI109</f>
        <v/>
      </c>
      <c r="CJ110">
        <f>$C110*CJ109</f>
        <v/>
      </c>
      <c r="CK110">
        <f>$C110*CK109</f>
        <v/>
      </c>
      <c r="CL110">
        <f>$C110*CL109</f>
        <v/>
      </c>
      <c r="CM110">
        <f>$C110*CM109</f>
        <v/>
      </c>
      <c r="CN110">
        <f>$C110*CN109</f>
        <v/>
      </c>
      <c r="CO110">
        <f>$C110*CO109</f>
        <v/>
      </c>
      <c r="CP110">
        <f>$C110*CP109</f>
        <v/>
      </c>
      <c r="CQ110">
        <f>$C110*CQ109</f>
        <v/>
      </c>
      <c r="CR110">
        <f>$C110*CR109</f>
        <v/>
      </c>
      <c r="CS110">
        <f>$C110*CS109</f>
        <v/>
      </c>
      <c r="CT110">
        <f>$C110*CT109</f>
        <v/>
      </c>
      <c r="CU110">
        <f>$C110*CU109</f>
        <v/>
      </c>
      <c r="CV110">
        <f>$C110*CV109</f>
        <v/>
      </c>
      <c r="CW110">
        <f>$C110*CW109</f>
        <v/>
      </c>
      <c r="CX110">
        <f>$C110*CX109</f>
        <v/>
      </c>
      <c r="CY110">
        <f>$C110*CY109</f>
        <v/>
      </c>
      <c r="CZ110">
        <f>$C110*CZ109</f>
        <v/>
      </c>
      <c r="DA110">
        <f>$C110*DA109</f>
        <v/>
      </c>
      <c r="DB110">
        <f>$C110*DB109</f>
        <v/>
      </c>
      <c r="DC110">
        <f>$C110*DC109</f>
        <v/>
      </c>
      <c r="DD110">
        <f>$C110*DD109</f>
        <v/>
      </c>
    </row>
    <row r="111">
      <c r="B111" t="inlineStr">
        <is>
          <t>VSP-999</t>
        </is>
      </c>
      <c r="C111" t="inlineStr">
        <is>
          <t>No. of batches</t>
        </is>
      </c>
      <c r="D111">
        <f>IFERROR(INDEX(E111:DD111,$F$1),"")</f>
        <v/>
      </c>
      <c r="E111">
        <f>IFERROR(INDEX(PP_Grid[#Data],$DE111,2),0)</f>
        <v/>
      </c>
      <c r="F111">
        <f>IFERROR(INDEX(PP_Grid[#Data],$DE111,3),0)</f>
        <v/>
      </c>
      <c r="G111">
        <f>IFERROR(INDEX(PP_Grid[#Data],$DE111,4),0)</f>
        <v/>
      </c>
      <c r="H111">
        <f>IFERROR(INDEX(PP_Grid[#Data],$DE111,5),0)</f>
        <v/>
      </c>
      <c r="I111">
        <f>IFERROR(INDEX(PP_Grid[#Data],$DE111,6),0)</f>
        <v/>
      </c>
      <c r="J111">
        <f>IFERROR(INDEX(PP_Grid[#Data],$DE111,7),0)</f>
        <v/>
      </c>
      <c r="K111">
        <f>IFERROR(INDEX(PP_Grid[#Data],$DE111,8),0)</f>
        <v/>
      </c>
      <c r="L111">
        <f>IFERROR(INDEX(PP_Grid[#Data],$DE111,9),0)</f>
        <v/>
      </c>
      <c r="M111">
        <f>IFERROR(INDEX(PP_Grid[#Data],$DE111,10),0)</f>
        <v/>
      </c>
      <c r="N111">
        <f>IFERROR(INDEX(PP_Grid[#Data],$DE111,11),0)</f>
        <v/>
      </c>
      <c r="O111">
        <f>IFERROR(INDEX(PP_Grid[#Data],$DE111,12),0)</f>
        <v/>
      </c>
      <c r="P111">
        <f>IFERROR(INDEX(PP_Grid[#Data],$DE111,13),0)</f>
        <v/>
      </c>
      <c r="Q111">
        <f>IFERROR(INDEX(PP_Grid[#Data],$DE111,14),0)</f>
        <v/>
      </c>
      <c r="R111">
        <f>IFERROR(INDEX(PP_Grid[#Data],$DE111,15),0)</f>
        <v/>
      </c>
      <c r="S111">
        <f>IFERROR(INDEX(PP_Grid[#Data],$DE111,16),0)</f>
        <v/>
      </c>
      <c r="T111">
        <f>IFERROR(INDEX(PP_Grid[#Data],$DE111,17),0)</f>
        <v/>
      </c>
      <c r="U111">
        <f>IFERROR(INDEX(PP_Grid[#Data],$DE111,18),0)</f>
        <v/>
      </c>
      <c r="V111">
        <f>IFERROR(INDEX(PP_Grid[#Data],$DE111,19),0)</f>
        <v/>
      </c>
      <c r="W111">
        <f>IFERROR(INDEX(PP_Grid[#Data],$DE111,20),0)</f>
        <v/>
      </c>
      <c r="X111">
        <f>IFERROR(INDEX(PP_Grid[#Data],$DE111,21),0)</f>
        <v/>
      </c>
      <c r="Y111">
        <f>IFERROR(INDEX(PP_Grid[#Data],$DE111,22),0)</f>
        <v/>
      </c>
      <c r="Z111">
        <f>IFERROR(INDEX(PP_Grid[#Data],$DE111,23),0)</f>
        <v/>
      </c>
      <c r="AA111">
        <f>IFERROR(INDEX(PP_Grid[#Data],$DE111,24),0)</f>
        <v/>
      </c>
      <c r="AB111">
        <f>IFERROR(INDEX(PP_Grid[#Data],$DE111,25),0)</f>
        <v/>
      </c>
      <c r="AC111">
        <f>IFERROR(INDEX(PP_Grid[#Data],$DE111,26),0)</f>
        <v/>
      </c>
      <c r="AD111">
        <f>IFERROR(INDEX(PP_Grid[#Data],$DE111,27),0)</f>
        <v/>
      </c>
      <c r="AE111">
        <f>IFERROR(INDEX(PP_Grid[#Data],$DE111,28),0)</f>
        <v/>
      </c>
      <c r="AF111">
        <f>IFERROR(INDEX(PP_Grid[#Data],$DE111,29),0)</f>
        <v/>
      </c>
      <c r="AG111">
        <f>IFERROR(INDEX(PP_Grid[#Data],$DE111,30),0)</f>
        <v/>
      </c>
      <c r="AH111">
        <f>IFERROR(INDEX(PP_Grid[#Data],$DE111,31),0)</f>
        <v/>
      </c>
      <c r="AI111">
        <f>IFERROR(INDEX(PP_Grid[#Data],$DE111,32),0)</f>
        <v/>
      </c>
      <c r="AJ111">
        <f>IFERROR(INDEX(PP_Grid[#Data],$DE111,33),0)</f>
        <v/>
      </c>
      <c r="AK111">
        <f>IFERROR(INDEX(PP_Grid[#Data],$DE111,34),0)</f>
        <v/>
      </c>
      <c r="AL111">
        <f>IFERROR(INDEX(PP_Grid[#Data],$DE111,35),0)</f>
        <v/>
      </c>
      <c r="AM111">
        <f>IFERROR(INDEX(PP_Grid[#Data],$DE111,36),0)</f>
        <v/>
      </c>
      <c r="AN111">
        <f>IFERROR(INDEX(PP_Grid[#Data],$DE111,37),0)</f>
        <v/>
      </c>
      <c r="AO111">
        <f>IFERROR(INDEX(PP_Grid[#Data],$DE111,38),0)</f>
        <v/>
      </c>
      <c r="AP111">
        <f>IFERROR(INDEX(PP_Grid[#Data],$DE111,39),0)</f>
        <v/>
      </c>
      <c r="AQ111">
        <f>IFERROR(INDEX(PP_Grid[#Data],$DE111,40),0)</f>
        <v/>
      </c>
      <c r="AR111">
        <f>IFERROR(INDEX(PP_Grid[#Data],$DE111,41),0)</f>
        <v/>
      </c>
      <c r="AS111">
        <f>IFERROR(INDEX(PP_Grid[#Data],$DE111,42),0)</f>
        <v/>
      </c>
      <c r="AT111">
        <f>IFERROR(INDEX(PP_Grid[#Data],$DE111,43),0)</f>
        <v/>
      </c>
      <c r="AU111">
        <f>IFERROR(INDEX(PP_Grid[#Data],$DE111,44),0)</f>
        <v/>
      </c>
      <c r="AV111">
        <f>IFERROR(INDEX(PP_Grid[#Data],$DE111,45),0)</f>
        <v/>
      </c>
      <c r="AW111">
        <f>IFERROR(INDEX(PP_Grid[#Data],$DE111,46),0)</f>
        <v/>
      </c>
      <c r="AX111">
        <f>IFERROR(INDEX(PP_Grid[#Data],$DE111,47),0)</f>
        <v/>
      </c>
      <c r="AY111">
        <f>IFERROR(INDEX(PP_Grid[#Data],$DE111,48),0)</f>
        <v/>
      </c>
      <c r="AZ111">
        <f>IFERROR(INDEX(PP_Grid[#Data],$DE111,49),0)</f>
        <v/>
      </c>
      <c r="BA111">
        <f>IFERROR(INDEX(PP_Grid[#Data],$DE111,50),0)</f>
        <v/>
      </c>
      <c r="BB111">
        <f>IFERROR(INDEX(PP_Grid[#Data],$DE111,51),0)</f>
        <v/>
      </c>
      <c r="BC111">
        <f>IFERROR(INDEX(PP_Grid[#Data],$DE111,52),0)</f>
        <v/>
      </c>
      <c r="BD111">
        <f>IFERROR(INDEX(PP_Grid[#Data],$DE111,53),0)</f>
        <v/>
      </c>
      <c r="BE111">
        <f>IFERROR(INDEX(PP_Grid[#Data],$DE111,54),0)</f>
        <v/>
      </c>
      <c r="BF111">
        <f>IFERROR(INDEX(PP_Grid[#Data],$DE111,55),0)</f>
        <v/>
      </c>
      <c r="BG111">
        <f>IFERROR(INDEX(PP_Grid[#Data],$DE111,56),0)</f>
        <v/>
      </c>
      <c r="BH111">
        <f>IFERROR(INDEX(PP_Grid[#Data],$DE111,57),0)</f>
        <v/>
      </c>
      <c r="BI111">
        <f>IFERROR(INDEX(PP_Grid[#Data],$DE111,58),0)</f>
        <v/>
      </c>
      <c r="BJ111">
        <f>IFERROR(INDEX(PP_Grid[#Data],$DE111,59),0)</f>
        <v/>
      </c>
      <c r="BK111">
        <f>IFERROR(INDEX(PP_Grid[#Data],$DE111,60),0)</f>
        <v/>
      </c>
      <c r="BL111">
        <f>IFERROR(INDEX(PP_Grid[#Data],$DE111,61),0)</f>
        <v/>
      </c>
      <c r="BM111">
        <f>IFERROR(INDEX(PP_Grid[#Data],$DE111,62),0)</f>
        <v/>
      </c>
      <c r="BN111">
        <f>IFERROR(INDEX(PP_Grid[#Data],$DE111,63),0)</f>
        <v/>
      </c>
      <c r="BO111">
        <f>IFERROR(INDEX(PP_Grid[#Data],$DE111,64),0)</f>
        <v/>
      </c>
      <c r="BP111">
        <f>IFERROR(INDEX(PP_Grid[#Data],$DE111,65),0)</f>
        <v/>
      </c>
      <c r="BQ111">
        <f>IFERROR(INDEX(PP_Grid[#Data],$DE111,66),0)</f>
        <v/>
      </c>
      <c r="BR111">
        <f>IFERROR(INDEX(PP_Grid[#Data],$DE111,67),0)</f>
        <v/>
      </c>
      <c r="BS111">
        <f>IFERROR(INDEX(PP_Grid[#Data],$DE111,68),0)</f>
        <v/>
      </c>
      <c r="BT111">
        <f>IFERROR(INDEX(PP_Grid[#Data],$DE111,69),0)</f>
        <v/>
      </c>
      <c r="BU111">
        <f>IFERROR(INDEX(PP_Grid[#Data],$DE111,70),0)</f>
        <v/>
      </c>
      <c r="BV111">
        <f>IFERROR(INDEX(PP_Grid[#Data],$DE111,71),0)</f>
        <v/>
      </c>
      <c r="BW111">
        <f>IFERROR(INDEX(PP_Grid[#Data],$DE111,72),0)</f>
        <v/>
      </c>
      <c r="BX111">
        <f>IFERROR(INDEX(PP_Grid[#Data],$DE111,73),0)</f>
        <v/>
      </c>
      <c r="BY111">
        <f>IFERROR(INDEX(PP_Grid[#Data],$DE111,74),0)</f>
        <v/>
      </c>
      <c r="BZ111">
        <f>IFERROR(INDEX(PP_Grid[#Data],$DE111,75),0)</f>
        <v/>
      </c>
      <c r="CA111">
        <f>IFERROR(INDEX(PP_Grid[#Data],$DE111,76),0)</f>
        <v/>
      </c>
      <c r="CB111">
        <f>IFERROR(INDEX(PP_Grid[#Data],$DE111,77),0)</f>
        <v/>
      </c>
      <c r="CC111">
        <f>IFERROR(INDEX(PP_Grid[#Data],$DE111,78),0)</f>
        <v/>
      </c>
      <c r="CD111">
        <f>IFERROR(INDEX(PP_Grid[#Data],$DE111,79),0)</f>
        <v/>
      </c>
      <c r="CE111">
        <f>IFERROR(INDEX(PP_Grid[#Data],$DE111,80),0)</f>
        <v/>
      </c>
      <c r="CF111">
        <f>IFERROR(INDEX(PP_Grid[#Data],$DE111,81),0)</f>
        <v/>
      </c>
      <c r="CG111">
        <f>IFERROR(INDEX(PP_Grid[#Data],$DE111,82),0)</f>
        <v/>
      </c>
      <c r="CH111">
        <f>IFERROR(INDEX(PP_Grid[#Data],$DE111,83),0)</f>
        <v/>
      </c>
      <c r="CI111">
        <f>IFERROR(INDEX(PP_Grid[#Data],$DE111,84),0)</f>
        <v/>
      </c>
      <c r="CJ111">
        <f>IFERROR(INDEX(PP_Grid[#Data],$DE111,85),0)</f>
        <v/>
      </c>
      <c r="CK111">
        <f>IFERROR(INDEX(PP_Grid[#Data],$DE111,86),0)</f>
        <v/>
      </c>
      <c r="CL111">
        <f>IFERROR(INDEX(PP_Grid[#Data],$DE111,87),0)</f>
        <v/>
      </c>
      <c r="CM111">
        <f>IFERROR(INDEX(PP_Grid[#Data],$DE111,88),0)</f>
        <v/>
      </c>
      <c r="CN111">
        <f>IFERROR(INDEX(PP_Grid[#Data],$DE111,89),0)</f>
        <v/>
      </c>
      <c r="CO111">
        <f>IFERROR(INDEX(PP_Grid[#Data],$DE111,90),0)</f>
        <v/>
      </c>
      <c r="CP111">
        <f>IFERROR(INDEX(PP_Grid[#Data],$DE111,91),0)</f>
        <v/>
      </c>
      <c r="CQ111">
        <f>IFERROR(INDEX(PP_Grid[#Data],$DE111,92),0)</f>
        <v/>
      </c>
      <c r="CR111">
        <f>IFERROR(INDEX(PP_Grid[#Data],$DE111,93),0)</f>
        <v/>
      </c>
      <c r="CS111">
        <f>IFERROR(INDEX(PP_Grid[#Data],$DE111,94),0)</f>
        <v/>
      </c>
      <c r="CT111">
        <f>IFERROR(INDEX(PP_Grid[#Data],$DE111,95),0)</f>
        <v/>
      </c>
      <c r="CU111">
        <f>IFERROR(INDEX(PP_Grid[#Data],$DE111,96),0)</f>
        <v/>
      </c>
      <c r="CV111">
        <f>IFERROR(INDEX(PP_Grid[#Data],$DE111,97),0)</f>
        <v/>
      </c>
      <c r="CW111">
        <f>IFERROR(INDEX(PP_Grid[#Data],$DE111,98),0)</f>
        <v/>
      </c>
      <c r="CX111">
        <f>IFERROR(INDEX(PP_Grid[#Data],$DE111,99),0)</f>
        <v/>
      </c>
      <c r="CY111">
        <f>IFERROR(INDEX(PP_Grid[#Data],$DE111,100),0)</f>
        <v/>
      </c>
      <c r="CZ111">
        <f>IFERROR(INDEX(PP_Grid[#Data],$DE111,101),0)</f>
        <v/>
      </c>
      <c r="DA111">
        <f>IFERROR(INDEX(PP_Grid[#Data],$DE111,102),0)</f>
        <v/>
      </c>
      <c r="DB111">
        <f>IFERROR(INDEX(PP_Grid[#Data],$DE111,103),0)</f>
        <v/>
      </c>
      <c r="DC111">
        <f>IFERROR(INDEX(PP_Grid[#Data],$DE111,104),0)</f>
        <v/>
      </c>
      <c r="DD111">
        <f>IFERROR(INDEX(PP_Grid[#Data],$DE111,105),0)</f>
        <v/>
      </c>
      <c r="DE111" s="7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SUMIFS(M_BOM[RM_Qty_Per_Batch],M_BOM[Intermediate],$B111,M_BOM[RM_Code],$A28)</f>
        <v/>
      </c>
      <c r="D112">
        <f>IFERROR(INDEX(E112:DD112,$F$1),"")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  <c r="DD112">
        <f>$C112*DD111</f>
        <v/>
      </c>
    </row>
    <row r="113">
      <c r="B113" t="inlineStr">
        <is>
          <t>VSP-1000</t>
        </is>
      </c>
      <c r="C113" t="inlineStr">
        <is>
          <t>No. of batches</t>
        </is>
      </c>
      <c r="D113">
        <f>IFERROR(INDEX(E113:DD113,$F$1),"")</f>
        <v/>
      </c>
      <c r="E113">
        <f>IFERROR(INDEX(PP_Grid[#Data],$DE113,2),0)</f>
        <v/>
      </c>
      <c r="F113">
        <f>IFERROR(INDEX(PP_Grid[#Data],$DE113,3),0)</f>
        <v/>
      </c>
      <c r="G113">
        <f>IFERROR(INDEX(PP_Grid[#Data],$DE113,4),0)</f>
        <v/>
      </c>
      <c r="H113">
        <f>IFERROR(INDEX(PP_Grid[#Data],$DE113,5),0)</f>
        <v/>
      </c>
      <c r="I113">
        <f>IFERROR(INDEX(PP_Grid[#Data],$DE113,6),0)</f>
        <v/>
      </c>
      <c r="J113">
        <f>IFERROR(INDEX(PP_Grid[#Data],$DE113,7),0)</f>
        <v/>
      </c>
      <c r="K113">
        <f>IFERROR(INDEX(PP_Grid[#Data],$DE113,8),0)</f>
        <v/>
      </c>
      <c r="L113">
        <f>IFERROR(INDEX(PP_Grid[#Data],$DE113,9),0)</f>
        <v/>
      </c>
      <c r="M113">
        <f>IFERROR(INDEX(PP_Grid[#Data],$DE113,10),0)</f>
        <v/>
      </c>
      <c r="N113">
        <f>IFERROR(INDEX(PP_Grid[#Data],$DE113,11),0)</f>
        <v/>
      </c>
      <c r="O113">
        <f>IFERROR(INDEX(PP_Grid[#Data],$DE113,12),0)</f>
        <v/>
      </c>
      <c r="P113">
        <f>IFERROR(INDEX(PP_Grid[#Data],$DE113,13),0)</f>
        <v/>
      </c>
      <c r="Q113">
        <f>IFERROR(INDEX(PP_Grid[#Data],$DE113,14),0)</f>
        <v/>
      </c>
      <c r="R113">
        <f>IFERROR(INDEX(PP_Grid[#Data],$DE113,15),0)</f>
        <v/>
      </c>
      <c r="S113">
        <f>IFERROR(INDEX(PP_Grid[#Data],$DE113,16),0)</f>
        <v/>
      </c>
      <c r="T113">
        <f>IFERROR(INDEX(PP_Grid[#Data],$DE113,17),0)</f>
        <v/>
      </c>
      <c r="U113">
        <f>IFERROR(INDEX(PP_Grid[#Data],$DE113,18),0)</f>
        <v/>
      </c>
      <c r="V113">
        <f>IFERROR(INDEX(PP_Grid[#Data],$DE113,19),0)</f>
        <v/>
      </c>
      <c r="W113">
        <f>IFERROR(INDEX(PP_Grid[#Data],$DE113,20),0)</f>
        <v/>
      </c>
      <c r="X113">
        <f>IFERROR(INDEX(PP_Grid[#Data],$DE113,21),0)</f>
        <v/>
      </c>
      <c r="Y113">
        <f>IFERROR(INDEX(PP_Grid[#Data],$DE113,22),0)</f>
        <v/>
      </c>
      <c r="Z113">
        <f>IFERROR(INDEX(PP_Grid[#Data],$DE113,23),0)</f>
        <v/>
      </c>
      <c r="AA113">
        <f>IFERROR(INDEX(PP_Grid[#Data],$DE113,24),0)</f>
        <v/>
      </c>
      <c r="AB113">
        <f>IFERROR(INDEX(PP_Grid[#Data],$DE113,25),0)</f>
        <v/>
      </c>
      <c r="AC113">
        <f>IFERROR(INDEX(PP_Grid[#Data],$DE113,26),0)</f>
        <v/>
      </c>
      <c r="AD113">
        <f>IFERROR(INDEX(PP_Grid[#Data],$DE113,27),0)</f>
        <v/>
      </c>
      <c r="AE113">
        <f>IFERROR(INDEX(PP_Grid[#Data],$DE113,28),0)</f>
        <v/>
      </c>
      <c r="AF113">
        <f>IFERROR(INDEX(PP_Grid[#Data],$DE113,29),0)</f>
        <v/>
      </c>
      <c r="AG113">
        <f>IFERROR(INDEX(PP_Grid[#Data],$DE113,30),0)</f>
        <v/>
      </c>
      <c r="AH113">
        <f>IFERROR(INDEX(PP_Grid[#Data],$DE113,31),0)</f>
        <v/>
      </c>
      <c r="AI113">
        <f>IFERROR(INDEX(PP_Grid[#Data],$DE113,32),0)</f>
        <v/>
      </c>
      <c r="AJ113">
        <f>IFERROR(INDEX(PP_Grid[#Data],$DE113,33),0)</f>
        <v/>
      </c>
      <c r="AK113">
        <f>IFERROR(INDEX(PP_Grid[#Data],$DE113,34),0)</f>
        <v/>
      </c>
      <c r="AL113">
        <f>IFERROR(INDEX(PP_Grid[#Data],$DE113,35),0)</f>
        <v/>
      </c>
      <c r="AM113">
        <f>IFERROR(INDEX(PP_Grid[#Data],$DE113,36),0)</f>
        <v/>
      </c>
      <c r="AN113">
        <f>IFERROR(INDEX(PP_Grid[#Data],$DE113,37),0)</f>
        <v/>
      </c>
      <c r="AO113">
        <f>IFERROR(INDEX(PP_Grid[#Data],$DE113,38),0)</f>
        <v/>
      </c>
      <c r="AP113">
        <f>IFERROR(INDEX(PP_Grid[#Data],$DE113,39),0)</f>
        <v/>
      </c>
      <c r="AQ113">
        <f>IFERROR(INDEX(PP_Grid[#Data],$DE113,40),0)</f>
        <v/>
      </c>
      <c r="AR113">
        <f>IFERROR(INDEX(PP_Grid[#Data],$DE113,41),0)</f>
        <v/>
      </c>
      <c r="AS113">
        <f>IFERROR(INDEX(PP_Grid[#Data],$DE113,42),0)</f>
        <v/>
      </c>
      <c r="AT113">
        <f>IFERROR(INDEX(PP_Grid[#Data],$DE113,43),0)</f>
        <v/>
      </c>
      <c r="AU113">
        <f>IFERROR(INDEX(PP_Grid[#Data],$DE113,44),0)</f>
        <v/>
      </c>
      <c r="AV113">
        <f>IFERROR(INDEX(PP_Grid[#Data],$DE113,45),0)</f>
        <v/>
      </c>
      <c r="AW113">
        <f>IFERROR(INDEX(PP_Grid[#Data],$DE113,46),0)</f>
        <v/>
      </c>
      <c r="AX113">
        <f>IFERROR(INDEX(PP_Grid[#Data],$DE113,47),0)</f>
        <v/>
      </c>
      <c r="AY113">
        <f>IFERROR(INDEX(PP_Grid[#Data],$DE113,48),0)</f>
        <v/>
      </c>
      <c r="AZ113">
        <f>IFERROR(INDEX(PP_Grid[#Data],$DE113,49),0)</f>
        <v/>
      </c>
      <c r="BA113">
        <f>IFERROR(INDEX(PP_Grid[#Data],$DE113,50),0)</f>
        <v/>
      </c>
      <c r="BB113">
        <f>IFERROR(INDEX(PP_Grid[#Data],$DE113,51),0)</f>
        <v/>
      </c>
      <c r="BC113">
        <f>IFERROR(INDEX(PP_Grid[#Data],$DE113,52),0)</f>
        <v/>
      </c>
      <c r="BD113">
        <f>IFERROR(INDEX(PP_Grid[#Data],$DE113,53),0)</f>
        <v/>
      </c>
      <c r="BE113">
        <f>IFERROR(INDEX(PP_Grid[#Data],$DE113,54),0)</f>
        <v/>
      </c>
      <c r="BF113">
        <f>IFERROR(INDEX(PP_Grid[#Data],$DE113,55),0)</f>
        <v/>
      </c>
      <c r="BG113">
        <f>IFERROR(INDEX(PP_Grid[#Data],$DE113,56),0)</f>
        <v/>
      </c>
      <c r="BH113">
        <f>IFERROR(INDEX(PP_Grid[#Data],$DE113,57),0)</f>
        <v/>
      </c>
      <c r="BI113">
        <f>IFERROR(INDEX(PP_Grid[#Data],$DE113,58),0)</f>
        <v/>
      </c>
      <c r="BJ113">
        <f>IFERROR(INDEX(PP_Grid[#Data],$DE113,59),0)</f>
        <v/>
      </c>
      <c r="BK113">
        <f>IFERROR(INDEX(PP_Grid[#Data],$DE113,60),0)</f>
        <v/>
      </c>
      <c r="BL113">
        <f>IFERROR(INDEX(PP_Grid[#Data],$DE113,61),0)</f>
        <v/>
      </c>
      <c r="BM113">
        <f>IFERROR(INDEX(PP_Grid[#Data],$DE113,62),0)</f>
        <v/>
      </c>
      <c r="BN113">
        <f>IFERROR(INDEX(PP_Grid[#Data],$DE113,63),0)</f>
        <v/>
      </c>
      <c r="BO113">
        <f>IFERROR(INDEX(PP_Grid[#Data],$DE113,64),0)</f>
        <v/>
      </c>
      <c r="BP113">
        <f>IFERROR(INDEX(PP_Grid[#Data],$DE113,65),0)</f>
        <v/>
      </c>
      <c r="BQ113">
        <f>IFERROR(INDEX(PP_Grid[#Data],$DE113,66),0)</f>
        <v/>
      </c>
      <c r="BR113">
        <f>IFERROR(INDEX(PP_Grid[#Data],$DE113,67),0)</f>
        <v/>
      </c>
      <c r="BS113">
        <f>IFERROR(INDEX(PP_Grid[#Data],$DE113,68),0)</f>
        <v/>
      </c>
      <c r="BT113">
        <f>IFERROR(INDEX(PP_Grid[#Data],$DE113,69),0)</f>
        <v/>
      </c>
      <c r="BU113">
        <f>IFERROR(INDEX(PP_Grid[#Data],$DE113,70),0)</f>
        <v/>
      </c>
      <c r="BV113">
        <f>IFERROR(INDEX(PP_Grid[#Data],$DE113,71),0)</f>
        <v/>
      </c>
      <c r="BW113">
        <f>IFERROR(INDEX(PP_Grid[#Data],$DE113,72),0)</f>
        <v/>
      </c>
      <c r="BX113">
        <f>IFERROR(INDEX(PP_Grid[#Data],$DE113,73),0)</f>
        <v/>
      </c>
      <c r="BY113">
        <f>IFERROR(INDEX(PP_Grid[#Data],$DE113,74),0)</f>
        <v/>
      </c>
      <c r="BZ113">
        <f>IFERROR(INDEX(PP_Grid[#Data],$DE113,75),0)</f>
        <v/>
      </c>
      <c r="CA113">
        <f>IFERROR(INDEX(PP_Grid[#Data],$DE113,76),0)</f>
        <v/>
      </c>
      <c r="CB113">
        <f>IFERROR(INDEX(PP_Grid[#Data],$DE113,77),0)</f>
        <v/>
      </c>
      <c r="CC113">
        <f>IFERROR(INDEX(PP_Grid[#Data],$DE113,78),0)</f>
        <v/>
      </c>
      <c r="CD113">
        <f>IFERROR(INDEX(PP_Grid[#Data],$DE113,79),0)</f>
        <v/>
      </c>
      <c r="CE113">
        <f>IFERROR(INDEX(PP_Grid[#Data],$DE113,80),0)</f>
        <v/>
      </c>
      <c r="CF113">
        <f>IFERROR(INDEX(PP_Grid[#Data],$DE113,81),0)</f>
        <v/>
      </c>
      <c r="CG113">
        <f>IFERROR(INDEX(PP_Grid[#Data],$DE113,82),0)</f>
        <v/>
      </c>
      <c r="CH113">
        <f>IFERROR(INDEX(PP_Grid[#Data],$DE113,83),0)</f>
        <v/>
      </c>
      <c r="CI113">
        <f>IFERROR(INDEX(PP_Grid[#Data],$DE113,84),0)</f>
        <v/>
      </c>
      <c r="CJ113">
        <f>IFERROR(INDEX(PP_Grid[#Data],$DE113,85),0)</f>
        <v/>
      </c>
      <c r="CK113">
        <f>IFERROR(INDEX(PP_Grid[#Data],$DE113,86),0)</f>
        <v/>
      </c>
      <c r="CL113">
        <f>IFERROR(INDEX(PP_Grid[#Data],$DE113,87),0)</f>
        <v/>
      </c>
      <c r="CM113">
        <f>IFERROR(INDEX(PP_Grid[#Data],$DE113,88),0)</f>
        <v/>
      </c>
      <c r="CN113">
        <f>IFERROR(INDEX(PP_Grid[#Data],$DE113,89),0)</f>
        <v/>
      </c>
      <c r="CO113">
        <f>IFERROR(INDEX(PP_Grid[#Data],$DE113,90),0)</f>
        <v/>
      </c>
      <c r="CP113">
        <f>IFERROR(INDEX(PP_Grid[#Data],$DE113,91),0)</f>
        <v/>
      </c>
      <c r="CQ113">
        <f>IFERROR(INDEX(PP_Grid[#Data],$DE113,92),0)</f>
        <v/>
      </c>
      <c r="CR113">
        <f>IFERROR(INDEX(PP_Grid[#Data],$DE113,93),0)</f>
        <v/>
      </c>
      <c r="CS113">
        <f>IFERROR(INDEX(PP_Grid[#Data],$DE113,94),0)</f>
        <v/>
      </c>
      <c r="CT113">
        <f>IFERROR(INDEX(PP_Grid[#Data],$DE113,95),0)</f>
        <v/>
      </c>
      <c r="CU113">
        <f>IFERROR(INDEX(PP_Grid[#Data],$DE113,96),0)</f>
        <v/>
      </c>
      <c r="CV113">
        <f>IFERROR(INDEX(PP_Grid[#Data],$DE113,97),0)</f>
        <v/>
      </c>
      <c r="CW113">
        <f>IFERROR(INDEX(PP_Grid[#Data],$DE113,98),0)</f>
        <v/>
      </c>
      <c r="CX113">
        <f>IFERROR(INDEX(PP_Grid[#Data],$DE113,99),0)</f>
        <v/>
      </c>
      <c r="CY113">
        <f>IFERROR(INDEX(PP_Grid[#Data],$DE113,100),0)</f>
        <v/>
      </c>
      <c r="CZ113">
        <f>IFERROR(INDEX(PP_Grid[#Data],$DE113,101),0)</f>
        <v/>
      </c>
      <c r="DA113">
        <f>IFERROR(INDEX(PP_Grid[#Data],$DE113,102),0)</f>
        <v/>
      </c>
      <c r="DB113">
        <f>IFERROR(INDEX(PP_Grid[#Data],$DE113,103),0)</f>
        <v/>
      </c>
      <c r="DC113">
        <f>IFERROR(INDEX(PP_Grid[#Data],$DE113,104),0)</f>
        <v/>
      </c>
      <c r="DD113">
        <f>IFERROR(INDEX(PP_Grid[#Data],$DE113,105),0)</f>
        <v/>
      </c>
      <c r="DE113" s="7">
        <f>IFERROR(MATCH($B113,PP_Grid[Intermediate],0),99999)</f>
        <v/>
      </c>
    </row>
    <row r="114">
      <c r="B114" t="inlineStr">
        <is>
          <t>使用量(kg)</t>
        </is>
      </c>
      <c r="C114">
        <f>SUMIFS(M_BOM[RM_Qty_Per_Batch],M_BOM[Intermediate],$B113,M_BOM[RM_Code],$A28)</f>
        <v/>
      </c>
      <c r="D114">
        <f>IFERROR(INDEX(E114:DD114,$F$1),"")</f>
        <v/>
      </c>
      <c r="E114">
        <f>$C114*E113</f>
        <v/>
      </c>
      <c r="F114">
        <f>$C114*F113</f>
        <v/>
      </c>
      <c r="G114">
        <f>$C114*G113</f>
        <v/>
      </c>
      <c r="H114">
        <f>$C114*H113</f>
        <v/>
      </c>
      <c r="I114">
        <f>$C114*I113</f>
        <v/>
      </c>
      <c r="J114">
        <f>$C114*J113</f>
        <v/>
      </c>
      <c r="K114">
        <f>$C114*K113</f>
        <v/>
      </c>
      <c r="L114">
        <f>$C114*L113</f>
        <v/>
      </c>
      <c r="M114">
        <f>$C114*M113</f>
        <v/>
      </c>
      <c r="N114">
        <f>$C114*N113</f>
        <v/>
      </c>
      <c r="O114">
        <f>$C114*O113</f>
        <v/>
      </c>
      <c r="P114">
        <f>$C114*P113</f>
        <v/>
      </c>
      <c r="Q114">
        <f>$C114*Q113</f>
        <v/>
      </c>
      <c r="R114">
        <f>$C114*R113</f>
        <v/>
      </c>
      <c r="S114">
        <f>$C114*S113</f>
        <v/>
      </c>
      <c r="T114">
        <f>$C114*T113</f>
        <v/>
      </c>
      <c r="U114">
        <f>$C114*U113</f>
        <v/>
      </c>
      <c r="V114">
        <f>$C114*V113</f>
        <v/>
      </c>
      <c r="W114">
        <f>$C114*W113</f>
        <v/>
      </c>
      <c r="X114">
        <f>$C114*X113</f>
        <v/>
      </c>
      <c r="Y114">
        <f>$C114*Y113</f>
        <v/>
      </c>
      <c r="Z114">
        <f>$C114*Z113</f>
        <v/>
      </c>
      <c r="AA114">
        <f>$C114*AA113</f>
        <v/>
      </c>
      <c r="AB114">
        <f>$C114*AB113</f>
        <v/>
      </c>
      <c r="AC114">
        <f>$C114*AC113</f>
        <v/>
      </c>
      <c r="AD114">
        <f>$C114*AD113</f>
        <v/>
      </c>
      <c r="AE114">
        <f>$C114*AE113</f>
        <v/>
      </c>
      <c r="AF114">
        <f>$C114*AF113</f>
        <v/>
      </c>
      <c r="AG114">
        <f>$C114*AG113</f>
        <v/>
      </c>
      <c r="AH114">
        <f>$C114*AH113</f>
        <v/>
      </c>
      <c r="AI114">
        <f>$C114*AI113</f>
        <v/>
      </c>
      <c r="AJ114">
        <f>$C114*AJ113</f>
        <v/>
      </c>
      <c r="AK114">
        <f>$C114*AK113</f>
        <v/>
      </c>
      <c r="AL114">
        <f>$C114*AL113</f>
        <v/>
      </c>
      <c r="AM114">
        <f>$C114*AM113</f>
        <v/>
      </c>
      <c r="AN114">
        <f>$C114*AN113</f>
        <v/>
      </c>
      <c r="AO114">
        <f>$C114*AO113</f>
        <v/>
      </c>
      <c r="AP114">
        <f>$C114*AP113</f>
        <v/>
      </c>
      <c r="AQ114">
        <f>$C114*AQ113</f>
        <v/>
      </c>
      <c r="AR114">
        <f>$C114*AR113</f>
        <v/>
      </c>
      <c r="AS114">
        <f>$C114*AS113</f>
        <v/>
      </c>
      <c r="AT114">
        <f>$C114*AT113</f>
        <v/>
      </c>
      <c r="AU114">
        <f>$C114*AU113</f>
        <v/>
      </c>
      <c r="AV114">
        <f>$C114*AV113</f>
        <v/>
      </c>
      <c r="AW114">
        <f>$C114*AW113</f>
        <v/>
      </c>
      <c r="AX114">
        <f>$C114*AX113</f>
        <v/>
      </c>
      <c r="AY114">
        <f>$C114*AY113</f>
        <v/>
      </c>
      <c r="AZ114">
        <f>$C114*AZ113</f>
        <v/>
      </c>
      <c r="BA114">
        <f>$C114*BA113</f>
        <v/>
      </c>
      <c r="BB114">
        <f>$C114*BB113</f>
        <v/>
      </c>
      <c r="BC114">
        <f>$C114*BC113</f>
        <v/>
      </c>
      <c r="BD114">
        <f>$C114*BD113</f>
        <v/>
      </c>
      <c r="BE114">
        <f>$C114*BE113</f>
        <v/>
      </c>
      <c r="BF114">
        <f>$C114*BF113</f>
        <v/>
      </c>
      <c r="BG114">
        <f>$C114*BG113</f>
        <v/>
      </c>
      <c r="BH114">
        <f>$C114*BH113</f>
        <v/>
      </c>
      <c r="BI114">
        <f>$C114*BI113</f>
        <v/>
      </c>
      <c r="BJ114">
        <f>$C114*BJ113</f>
        <v/>
      </c>
      <c r="BK114">
        <f>$C114*BK113</f>
        <v/>
      </c>
      <c r="BL114">
        <f>$C114*BL113</f>
        <v/>
      </c>
      <c r="BM114">
        <f>$C114*BM113</f>
        <v/>
      </c>
      <c r="BN114">
        <f>$C114*BN113</f>
        <v/>
      </c>
      <c r="BO114">
        <f>$C114*BO113</f>
        <v/>
      </c>
      <c r="BP114">
        <f>$C114*BP113</f>
        <v/>
      </c>
      <c r="BQ114">
        <f>$C114*BQ113</f>
        <v/>
      </c>
      <c r="BR114">
        <f>$C114*BR113</f>
        <v/>
      </c>
      <c r="BS114">
        <f>$C114*BS113</f>
        <v/>
      </c>
      <c r="BT114">
        <f>$C114*BT113</f>
        <v/>
      </c>
      <c r="BU114">
        <f>$C114*BU113</f>
        <v/>
      </c>
      <c r="BV114">
        <f>$C114*BV113</f>
        <v/>
      </c>
      <c r="BW114">
        <f>$C114*BW113</f>
        <v/>
      </c>
      <c r="BX114">
        <f>$C114*BX113</f>
        <v/>
      </c>
      <c r="BY114">
        <f>$C114*BY113</f>
        <v/>
      </c>
      <c r="BZ114">
        <f>$C114*BZ113</f>
        <v/>
      </c>
      <c r="CA114">
        <f>$C114*CA113</f>
        <v/>
      </c>
      <c r="CB114">
        <f>$C114*CB113</f>
        <v/>
      </c>
      <c r="CC114">
        <f>$C114*CC113</f>
        <v/>
      </c>
      <c r="CD114">
        <f>$C114*CD113</f>
        <v/>
      </c>
      <c r="CE114">
        <f>$C114*CE113</f>
        <v/>
      </c>
      <c r="CF114">
        <f>$C114*CF113</f>
        <v/>
      </c>
      <c r="CG114">
        <f>$C114*CG113</f>
        <v/>
      </c>
      <c r="CH114">
        <f>$C114*CH113</f>
        <v/>
      </c>
      <c r="CI114">
        <f>$C114*CI113</f>
        <v/>
      </c>
      <c r="CJ114">
        <f>$C114*CJ113</f>
        <v/>
      </c>
      <c r="CK114">
        <f>$C114*CK113</f>
        <v/>
      </c>
      <c r="CL114">
        <f>$C114*CL113</f>
        <v/>
      </c>
      <c r="CM114">
        <f>$C114*CM113</f>
        <v/>
      </c>
      <c r="CN114">
        <f>$C114*CN113</f>
        <v/>
      </c>
      <c r="CO114">
        <f>$C114*CO113</f>
        <v/>
      </c>
      <c r="CP114">
        <f>$C114*CP113</f>
        <v/>
      </c>
      <c r="CQ114">
        <f>$C114*CQ113</f>
        <v/>
      </c>
      <c r="CR114">
        <f>$C114*CR113</f>
        <v/>
      </c>
      <c r="CS114">
        <f>$C114*CS113</f>
        <v/>
      </c>
      <c r="CT114">
        <f>$C114*CT113</f>
        <v/>
      </c>
      <c r="CU114">
        <f>$C114*CU113</f>
        <v/>
      </c>
      <c r="CV114">
        <f>$C114*CV113</f>
        <v/>
      </c>
      <c r="CW114">
        <f>$C114*CW113</f>
        <v/>
      </c>
      <c r="CX114">
        <f>$C114*CX113</f>
        <v/>
      </c>
      <c r="CY114">
        <f>$C114*CY113</f>
        <v/>
      </c>
      <c r="CZ114">
        <f>$C114*CZ113</f>
        <v/>
      </c>
      <c r="DA114">
        <f>$C114*DA113</f>
        <v/>
      </c>
      <c r="DB114">
        <f>$C114*DB113</f>
        <v/>
      </c>
      <c r="DC114">
        <f>$C114*DC113</f>
        <v/>
      </c>
      <c r="DD114">
        <f>$C114*DD113</f>
        <v/>
      </c>
    </row>
    <row r="115">
      <c r="B115" t="inlineStr">
        <is>
          <t>VSZ-745</t>
        </is>
      </c>
      <c r="C115" t="inlineStr">
        <is>
          <t>No. of batches</t>
        </is>
      </c>
      <c r="D115">
        <f>IFERROR(INDEX(E115:DD115,$F$1),"")</f>
        <v/>
      </c>
      <c r="E115">
        <f>IFERROR(INDEX(PP_Grid[#Data],$DE115,2),0)</f>
        <v/>
      </c>
      <c r="F115">
        <f>IFERROR(INDEX(PP_Grid[#Data],$DE115,3),0)</f>
        <v/>
      </c>
      <c r="G115">
        <f>IFERROR(INDEX(PP_Grid[#Data],$DE115,4),0)</f>
        <v/>
      </c>
      <c r="H115">
        <f>IFERROR(INDEX(PP_Grid[#Data],$DE115,5),0)</f>
        <v/>
      </c>
      <c r="I115">
        <f>IFERROR(INDEX(PP_Grid[#Data],$DE115,6),0)</f>
        <v/>
      </c>
      <c r="J115">
        <f>IFERROR(INDEX(PP_Grid[#Data],$DE115,7),0)</f>
        <v/>
      </c>
      <c r="K115">
        <f>IFERROR(INDEX(PP_Grid[#Data],$DE115,8),0)</f>
        <v/>
      </c>
      <c r="L115">
        <f>IFERROR(INDEX(PP_Grid[#Data],$DE115,9),0)</f>
        <v/>
      </c>
      <c r="M115">
        <f>IFERROR(INDEX(PP_Grid[#Data],$DE115,10),0)</f>
        <v/>
      </c>
      <c r="N115">
        <f>IFERROR(INDEX(PP_Grid[#Data],$DE115,11),0)</f>
        <v/>
      </c>
      <c r="O115">
        <f>IFERROR(INDEX(PP_Grid[#Data],$DE115,12),0)</f>
        <v/>
      </c>
      <c r="P115">
        <f>IFERROR(INDEX(PP_Grid[#Data],$DE115,13),0)</f>
        <v/>
      </c>
      <c r="Q115">
        <f>IFERROR(INDEX(PP_Grid[#Data],$DE115,14),0)</f>
        <v/>
      </c>
      <c r="R115">
        <f>IFERROR(INDEX(PP_Grid[#Data],$DE115,15),0)</f>
        <v/>
      </c>
      <c r="S115">
        <f>IFERROR(INDEX(PP_Grid[#Data],$DE115,16),0)</f>
        <v/>
      </c>
      <c r="T115">
        <f>IFERROR(INDEX(PP_Grid[#Data],$DE115,17),0)</f>
        <v/>
      </c>
      <c r="U115">
        <f>IFERROR(INDEX(PP_Grid[#Data],$DE115,18),0)</f>
        <v/>
      </c>
      <c r="V115">
        <f>IFERROR(INDEX(PP_Grid[#Data],$DE115,19),0)</f>
        <v/>
      </c>
      <c r="W115">
        <f>IFERROR(INDEX(PP_Grid[#Data],$DE115,20),0)</f>
        <v/>
      </c>
      <c r="X115">
        <f>IFERROR(INDEX(PP_Grid[#Data],$DE115,21),0)</f>
        <v/>
      </c>
      <c r="Y115">
        <f>IFERROR(INDEX(PP_Grid[#Data],$DE115,22),0)</f>
        <v/>
      </c>
      <c r="Z115">
        <f>IFERROR(INDEX(PP_Grid[#Data],$DE115,23),0)</f>
        <v/>
      </c>
      <c r="AA115">
        <f>IFERROR(INDEX(PP_Grid[#Data],$DE115,24),0)</f>
        <v/>
      </c>
      <c r="AB115">
        <f>IFERROR(INDEX(PP_Grid[#Data],$DE115,25),0)</f>
        <v/>
      </c>
      <c r="AC115">
        <f>IFERROR(INDEX(PP_Grid[#Data],$DE115,26),0)</f>
        <v/>
      </c>
      <c r="AD115">
        <f>IFERROR(INDEX(PP_Grid[#Data],$DE115,27),0)</f>
        <v/>
      </c>
      <c r="AE115">
        <f>IFERROR(INDEX(PP_Grid[#Data],$DE115,28),0)</f>
        <v/>
      </c>
      <c r="AF115">
        <f>IFERROR(INDEX(PP_Grid[#Data],$DE115,29),0)</f>
        <v/>
      </c>
      <c r="AG115">
        <f>IFERROR(INDEX(PP_Grid[#Data],$DE115,30),0)</f>
        <v/>
      </c>
      <c r="AH115">
        <f>IFERROR(INDEX(PP_Grid[#Data],$DE115,31),0)</f>
        <v/>
      </c>
      <c r="AI115">
        <f>IFERROR(INDEX(PP_Grid[#Data],$DE115,32),0)</f>
        <v/>
      </c>
      <c r="AJ115">
        <f>IFERROR(INDEX(PP_Grid[#Data],$DE115,33),0)</f>
        <v/>
      </c>
      <c r="AK115">
        <f>IFERROR(INDEX(PP_Grid[#Data],$DE115,34),0)</f>
        <v/>
      </c>
      <c r="AL115">
        <f>IFERROR(INDEX(PP_Grid[#Data],$DE115,35),0)</f>
        <v/>
      </c>
      <c r="AM115">
        <f>IFERROR(INDEX(PP_Grid[#Data],$DE115,36),0)</f>
        <v/>
      </c>
      <c r="AN115">
        <f>IFERROR(INDEX(PP_Grid[#Data],$DE115,37),0)</f>
        <v/>
      </c>
      <c r="AO115">
        <f>IFERROR(INDEX(PP_Grid[#Data],$DE115,38),0)</f>
        <v/>
      </c>
      <c r="AP115">
        <f>IFERROR(INDEX(PP_Grid[#Data],$DE115,39),0)</f>
        <v/>
      </c>
      <c r="AQ115">
        <f>IFERROR(INDEX(PP_Grid[#Data],$DE115,40),0)</f>
        <v/>
      </c>
      <c r="AR115">
        <f>IFERROR(INDEX(PP_Grid[#Data],$DE115,41),0)</f>
        <v/>
      </c>
      <c r="AS115">
        <f>IFERROR(INDEX(PP_Grid[#Data],$DE115,42),0)</f>
        <v/>
      </c>
      <c r="AT115">
        <f>IFERROR(INDEX(PP_Grid[#Data],$DE115,43),0)</f>
        <v/>
      </c>
      <c r="AU115">
        <f>IFERROR(INDEX(PP_Grid[#Data],$DE115,44),0)</f>
        <v/>
      </c>
      <c r="AV115">
        <f>IFERROR(INDEX(PP_Grid[#Data],$DE115,45),0)</f>
        <v/>
      </c>
      <c r="AW115">
        <f>IFERROR(INDEX(PP_Grid[#Data],$DE115,46),0)</f>
        <v/>
      </c>
      <c r="AX115">
        <f>IFERROR(INDEX(PP_Grid[#Data],$DE115,47),0)</f>
        <v/>
      </c>
      <c r="AY115">
        <f>IFERROR(INDEX(PP_Grid[#Data],$DE115,48),0)</f>
        <v/>
      </c>
      <c r="AZ115">
        <f>IFERROR(INDEX(PP_Grid[#Data],$DE115,49),0)</f>
        <v/>
      </c>
      <c r="BA115">
        <f>IFERROR(INDEX(PP_Grid[#Data],$DE115,50),0)</f>
        <v/>
      </c>
      <c r="BB115">
        <f>IFERROR(INDEX(PP_Grid[#Data],$DE115,51),0)</f>
        <v/>
      </c>
      <c r="BC115">
        <f>IFERROR(INDEX(PP_Grid[#Data],$DE115,52),0)</f>
        <v/>
      </c>
      <c r="BD115">
        <f>IFERROR(INDEX(PP_Grid[#Data],$DE115,53),0)</f>
        <v/>
      </c>
      <c r="BE115">
        <f>IFERROR(INDEX(PP_Grid[#Data],$DE115,54),0)</f>
        <v/>
      </c>
      <c r="BF115">
        <f>IFERROR(INDEX(PP_Grid[#Data],$DE115,55),0)</f>
        <v/>
      </c>
      <c r="BG115">
        <f>IFERROR(INDEX(PP_Grid[#Data],$DE115,56),0)</f>
        <v/>
      </c>
      <c r="BH115">
        <f>IFERROR(INDEX(PP_Grid[#Data],$DE115,57),0)</f>
        <v/>
      </c>
      <c r="BI115">
        <f>IFERROR(INDEX(PP_Grid[#Data],$DE115,58),0)</f>
        <v/>
      </c>
      <c r="BJ115">
        <f>IFERROR(INDEX(PP_Grid[#Data],$DE115,59),0)</f>
        <v/>
      </c>
      <c r="BK115">
        <f>IFERROR(INDEX(PP_Grid[#Data],$DE115,60),0)</f>
        <v/>
      </c>
      <c r="BL115">
        <f>IFERROR(INDEX(PP_Grid[#Data],$DE115,61),0)</f>
        <v/>
      </c>
      <c r="BM115">
        <f>IFERROR(INDEX(PP_Grid[#Data],$DE115,62),0)</f>
        <v/>
      </c>
      <c r="BN115">
        <f>IFERROR(INDEX(PP_Grid[#Data],$DE115,63),0)</f>
        <v/>
      </c>
      <c r="BO115">
        <f>IFERROR(INDEX(PP_Grid[#Data],$DE115,64),0)</f>
        <v/>
      </c>
      <c r="BP115">
        <f>IFERROR(INDEX(PP_Grid[#Data],$DE115,65),0)</f>
        <v/>
      </c>
      <c r="BQ115">
        <f>IFERROR(INDEX(PP_Grid[#Data],$DE115,66),0)</f>
        <v/>
      </c>
      <c r="BR115">
        <f>IFERROR(INDEX(PP_Grid[#Data],$DE115,67),0)</f>
        <v/>
      </c>
      <c r="BS115">
        <f>IFERROR(INDEX(PP_Grid[#Data],$DE115,68),0)</f>
        <v/>
      </c>
      <c r="BT115">
        <f>IFERROR(INDEX(PP_Grid[#Data],$DE115,69),0)</f>
        <v/>
      </c>
      <c r="BU115">
        <f>IFERROR(INDEX(PP_Grid[#Data],$DE115,70),0)</f>
        <v/>
      </c>
      <c r="BV115">
        <f>IFERROR(INDEX(PP_Grid[#Data],$DE115,71),0)</f>
        <v/>
      </c>
      <c r="BW115">
        <f>IFERROR(INDEX(PP_Grid[#Data],$DE115,72),0)</f>
        <v/>
      </c>
      <c r="BX115">
        <f>IFERROR(INDEX(PP_Grid[#Data],$DE115,73),0)</f>
        <v/>
      </c>
      <c r="BY115">
        <f>IFERROR(INDEX(PP_Grid[#Data],$DE115,74),0)</f>
        <v/>
      </c>
      <c r="BZ115">
        <f>IFERROR(INDEX(PP_Grid[#Data],$DE115,75),0)</f>
        <v/>
      </c>
      <c r="CA115">
        <f>IFERROR(INDEX(PP_Grid[#Data],$DE115,76),0)</f>
        <v/>
      </c>
      <c r="CB115">
        <f>IFERROR(INDEX(PP_Grid[#Data],$DE115,77),0)</f>
        <v/>
      </c>
      <c r="CC115">
        <f>IFERROR(INDEX(PP_Grid[#Data],$DE115,78),0)</f>
        <v/>
      </c>
      <c r="CD115">
        <f>IFERROR(INDEX(PP_Grid[#Data],$DE115,79),0)</f>
        <v/>
      </c>
      <c r="CE115">
        <f>IFERROR(INDEX(PP_Grid[#Data],$DE115,80),0)</f>
        <v/>
      </c>
      <c r="CF115">
        <f>IFERROR(INDEX(PP_Grid[#Data],$DE115,81),0)</f>
        <v/>
      </c>
      <c r="CG115">
        <f>IFERROR(INDEX(PP_Grid[#Data],$DE115,82),0)</f>
        <v/>
      </c>
      <c r="CH115">
        <f>IFERROR(INDEX(PP_Grid[#Data],$DE115,83),0)</f>
        <v/>
      </c>
      <c r="CI115">
        <f>IFERROR(INDEX(PP_Grid[#Data],$DE115,84),0)</f>
        <v/>
      </c>
      <c r="CJ115">
        <f>IFERROR(INDEX(PP_Grid[#Data],$DE115,85),0)</f>
        <v/>
      </c>
      <c r="CK115">
        <f>IFERROR(INDEX(PP_Grid[#Data],$DE115,86),0)</f>
        <v/>
      </c>
      <c r="CL115">
        <f>IFERROR(INDEX(PP_Grid[#Data],$DE115,87),0)</f>
        <v/>
      </c>
      <c r="CM115">
        <f>IFERROR(INDEX(PP_Grid[#Data],$DE115,88),0)</f>
        <v/>
      </c>
      <c r="CN115">
        <f>IFERROR(INDEX(PP_Grid[#Data],$DE115,89),0)</f>
        <v/>
      </c>
      <c r="CO115">
        <f>IFERROR(INDEX(PP_Grid[#Data],$DE115,90),0)</f>
        <v/>
      </c>
      <c r="CP115">
        <f>IFERROR(INDEX(PP_Grid[#Data],$DE115,91),0)</f>
        <v/>
      </c>
      <c r="CQ115">
        <f>IFERROR(INDEX(PP_Grid[#Data],$DE115,92),0)</f>
        <v/>
      </c>
      <c r="CR115">
        <f>IFERROR(INDEX(PP_Grid[#Data],$DE115,93),0)</f>
        <v/>
      </c>
      <c r="CS115">
        <f>IFERROR(INDEX(PP_Grid[#Data],$DE115,94),0)</f>
        <v/>
      </c>
      <c r="CT115">
        <f>IFERROR(INDEX(PP_Grid[#Data],$DE115,95),0)</f>
        <v/>
      </c>
      <c r="CU115">
        <f>IFERROR(INDEX(PP_Grid[#Data],$DE115,96),0)</f>
        <v/>
      </c>
      <c r="CV115">
        <f>IFERROR(INDEX(PP_Grid[#Data],$DE115,97),0)</f>
        <v/>
      </c>
      <c r="CW115">
        <f>IFERROR(INDEX(PP_Grid[#Data],$DE115,98),0)</f>
        <v/>
      </c>
      <c r="CX115">
        <f>IFERROR(INDEX(PP_Grid[#Data],$DE115,99),0)</f>
        <v/>
      </c>
      <c r="CY115">
        <f>IFERROR(INDEX(PP_Grid[#Data],$DE115,100),0)</f>
        <v/>
      </c>
      <c r="CZ115">
        <f>IFERROR(INDEX(PP_Grid[#Data],$DE115,101),0)</f>
        <v/>
      </c>
      <c r="DA115">
        <f>IFERROR(INDEX(PP_Grid[#Data],$DE115,102),0)</f>
        <v/>
      </c>
      <c r="DB115">
        <f>IFERROR(INDEX(PP_Grid[#Data],$DE115,103),0)</f>
        <v/>
      </c>
      <c r="DC115">
        <f>IFERROR(INDEX(PP_Grid[#Data],$DE115,104),0)</f>
        <v/>
      </c>
      <c r="DD115">
        <f>IFERROR(INDEX(PP_Grid[#Data],$DE115,105),0)</f>
        <v/>
      </c>
      <c r="DE115" s="7">
        <f>IFERROR(MATCH($B115,PP_Grid[Intermediate],0),99999)</f>
        <v/>
      </c>
    </row>
    <row r="116">
      <c r="B116" t="inlineStr">
        <is>
          <t>使用量(kg)</t>
        </is>
      </c>
      <c r="C116">
        <f>SUMIFS(M_BOM[RM_Qty_Per_Batch],M_BOM[Intermediate],$B115,M_BOM[RM_Code],$A28)</f>
        <v/>
      </c>
      <c r="D116">
        <f>IFERROR(INDEX(E116:DD116,$F$1),"")</f>
        <v/>
      </c>
      <c r="E116">
        <f>$C116*E115</f>
        <v/>
      </c>
      <c r="F116">
        <f>$C116*F115</f>
        <v/>
      </c>
      <c r="G116">
        <f>$C116*G115</f>
        <v/>
      </c>
      <c r="H116">
        <f>$C116*H115</f>
        <v/>
      </c>
      <c r="I116">
        <f>$C116*I115</f>
        <v/>
      </c>
      <c r="J116">
        <f>$C116*J115</f>
        <v/>
      </c>
      <c r="K116">
        <f>$C116*K115</f>
        <v/>
      </c>
      <c r="L116">
        <f>$C116*L115</f>
        <v/>
      </c>
      <c r="M116">
        <f>$C116*M115</f>
        <v/>
      </c>
      <c r="N116">
        <f>$C116*N115</f>
        <v/>
      </c>
      <c r="O116">
        <f>$C116*O115</f>
        <v/>
      </c>
      <c r="P116">
        <f>$C116*P115</f>
        <v/>
      </c>
      <c r="Q116">
        <f>$C116*Q115</f>
        <v/>
      </c>
      <c r="R116">
        <f>$C116*R115</f>
        <v/>
      </c>
      <c r="S116">
        <f>$C116*S115</f>
        <v/>
      </c>
      <c r="T116">
        <f>$C116*T115</f>
        <v/>
      </c>
      <c r="U116">
        <f>$C116*U115</f>
        <v/>
      </c>
      <c r="V116">
        <f>$C116*V115</f>
        <v/>
      </c>
      <c r="W116">
        <f>$C116*W115</f>
        <v/>
      </c>
      <c r="X116">
        <f>$C116*X115</f>
        <v/>
      </c>
      <c r="Y116">
        <f>$C116*Y115</f>
        <v/>
      </c>
      <c r="Z116">
        <f>$C116*Z115</f>
        <v/>
      </c>
      <c r="AA116">
        <f>$C116*AA115</f>
        <v/>
      </c>
      <c r="AB116">
        <f>$C116*AB115</f>
        <v/>
      </c>
      <c r="AC116">
        <f>$C116*AC115</f>
        <v/>
      </c>
      <c r="AD116">
        <f>$C116*AD115</f>
        <v/>
      </c>
      <c r="AE116">
        <f>$C116*AE115</f>
        <v/>
      </c>
      <c r="AF116">
        <f>$C116*AF115</f>
        <v/>
      </c>
      <c r="AG116">
        <f>$C116*AG115</f>
        <v/>
      </c>
      <c r="AH116">
        <f>$C116*AH115</f>
        <v/>
      </c>
      <c r="AI116">
        <f>$C116*AI115</f>
        <v/>
      </c>
      <c r="AJ116">
        <f>$C116*AJ115</f>
        <v/>
      </c>
      <c r="AK116">
        <f>$C116*AK115</f>
        <v/>
      </c>
      <c r="AL116">
        <f>$C116*AL115</f>
        <v/>
      </c>
      <c r="AM116">
        <f>$C116*AM115</f>
        <v/>
      </c>
      <c r="AN116">
        <f>$C116*AN115</f>
        <v/>
      </c>
      <c r="AO116">
        <f>$C116*AO115</f>
        <v/>
      </c>
      <c r="AP116">
        <f>$C116*AP115</f>
        <v/>
      </c>
      <c r="AQ116">
        <f>$C116*AQ115</f>
        <v/>
      </c>
      <c r="AR116">
        <f>$C116*AR115</f>
        <v/>
      </c>
      <c r="AS116">
        <f>$C116*AS115</f>
        <v/>
      </c>
      <c r="AT116">
        <f>$C116*AT115</f>
        <v/>
      </c>
      <c r="AU116">
        <f>$C116*AU115</f>
        <v/>
      </c>
      <c r="AV116">
        <f>$C116*AV115</f>
        <v/>
      </c>
      <c r="AW116">
        <f>$C116*AW115</f>
        <v/>
      </c>
      <c r="AX116">
        <f>$C116*AX115</f>
        <v/>
      </c>
      <c r="AY116">
        <f>$C116*AY115</f>
        <v/>
      </c>
      <c r="AZ116">
        <f>$C116*AZ115</f>
        <v/>
      </c>
      <c r="BA116">
        <f>$C116*BA115</f>
        <v/>
      </c>
      <c r="BB116">
        <f>$C116*BB115</f>
        <v/>
      </c>
      <c r="BC116">
        <f>$C116*BC115</f>
        <v/>
      </c>
      <c r="BD116">
        <f>$C116*BD115</f>
        <v/>
      </c>
      <c r="BE116">
        <f>$C116*BE115</f>
        <v/>
      </c>
      <c r="BF116">
        <f>$C116*BF115</f>
        <v/>
      </c>
      <c r="BG116">
        <f>$C116*BG115</f>
        <v/>
      </c>
      <c r="BH116">
        <f>$C116*BH115</f>
        <v/>
      </c>
      <c r="BI116">
        <f>$C116*BI115</f>
        <v/>
      </c>
      <c r="BJ116">
        <f>$C116*BJ115</f>
        <v/>
      </c>
      <c r="BK116">
        <f>$C116*BK115</f>
        <v/>
      </c>
      <c r="BL116">
        <f>$C116*BL115</f>
        <v/>
      </c>
      <c r="BM116">
        <f>$C116*BM115</f>
        <v/>
      </c>
      <c r="BN116">
        <f>$C116*BN115</f>
        <v/>
      </c>
      <c r="BO116">
        <f>$C116*BO115</f>
        <v/>
      </c>
      <c r="BP116">
        <f>$C116*BP115</f>
        <v/>
      </c>
      <c r="BQ116">
        <f>$C116*BQ115</f>
        <v/>
      </c>
      <c r="BR116">
        <f>$C116*BR115</f>
        <v/>
      </c>
      <c r="BS116">
        <f>$C116*BS115</f>
        <v/>
      </c>
      <c r="BT116">
        <f>$C116*BT115</f>
        <v/>
      </c>
      <c r="BU116">
        <f>$C116*BU115</f>
        <v/>
      </c>
      <c r="BV116">
        <f>$C116*BV115</f>
        <v/>
      </c>
      <c r="BW116">
        <f>$C116*BW115</f>
        <v/>
      </c>
      <c r="BX116">
        <f>$C116*BX115</f>
        <v/>
      </c>
      <c r="BY116">
        <f>$C116*BY115</f>
        <v/>
      </c>
      <c r="BZ116">
        <f>$C116*BZ115</f>
        <v/>
      </c>
      <c r="CA116">
        <f>$C116*CA115</f>
        <v/>
      </c>
      <c r="CB116">
        <f>$C116*CB115</f>
        <v/>
      </c>
      <c r="CC116">
        <f>$C116*CC115</f>
        <v/>
      </c>
      <c r="CD116">
        <f>$C116*CD115</f>
        <v/>
      </c>
      <c r="CE116">
        <f>$C116*CE115</f>
        <v/>
      </c>
      <c r="CF116">
        <f>$C116*CF115</f>
        <v/>
      </c>
      <c r="CG116">
        <f>$C116*CG115</f>
        <v/>
      </c>
      <c r="CH116">
        <f>$C116*CH115</f>
        <v/>
      </c>
      <c r="CI116">
        <f>$C116*CI115</f>
        <v/>
      </c>
      <c r="CJ116">
        <f>$C116*CJ115</f>
        <v/>
      </c>
      <c r="CK116">
        <f>$C116*CK115</f>
        <v/>
      </c>
      <c r="CL116">
        <f>$C116*CL115</f>
        <v/>
      </c>
      <c r="CM116">
        <f>$C116*CM115</f>
        <v/>
      </c>
      <c r="CN116">
        <f>$C116*CN115</f>
        <v/>
      </c>
      <c r="CO116">
        <f>$C116*CO115</f>
        <v/>
      </c>
      <c r="CP116">
        <f>$C116*CP115</f>
        <v/>
      </c>
      <c r="CQ116">
        <f>$C116*CQ115</f>
        <v/>
      </c>
      <c r="CR116">
        <f>$C116*CR115</f>
        <v/>
      </c>
      <c r="CS116">
        <f>$C116*CS115</f>
        <v/>
      </c>
      <c r="CT116">
        <f>$C116*CT115</f>
        <v/>
      </c>
      <c r="CU116">
        <f>$C116*CU115</f>
        <v/>
      </c>
      <c r="CV116">
        <f>$C116*CV115</f>
        <v/>
      </c>
      <c r="CW116">
        <f>$C116*CW115</f>
        <v/>
      </c>
      <c r="CX116">
        <f>$C116*CX115</f>
        <v/>
      </c>
      <c r="CY116">
        <f>$C116*CY115</f>
        <v/>
      </c>
      <c r="CZ116">
        <f>$C116*CZ115</f>
        <v/>
      </c>
      <c r="DA116">
        <f>$C116*DA115</f>
        <v/>
      </c>
      <c r="DB116">
        <f>$C116*DB115</f>
        <v/>
      </c>
      <c r="DC116">
        <f>$C116*DC115</f>
        <v/>
      </c>
      <c r="DD116">
        <f>$C116*DD115</f>
        <v/>
      </c>
    </row>
    <row r="117">
      <c r="B117" t="inlineStr">
        <is>
          <t>TPP-190</t>
        </is>
      </c>
      <c r="C117" t="inlineStr">
        <is>
          <t>No. of batches</t>
        </is>
      </c>
      <c r="D117">
        <f>IFERROR(INDEX(E117:DD117,$F$1),"")</f>
        <v/>
      </c>
      <c r="E117">
        <f>IFERROR(INDEX(PP_Grid[#Data],$DE117,2),0)</f>
        <v/>
      </c>
      <c r="F117">
        <f>IFERROR(INDEX(PP_Grid[#Data],$DE117,3),0)</f>
        <v/>
      </c>
      <c r="G117">
        <f>IFERROR(INDEX(PP_Grid[#Data],$DE117,4),0)</f>
        <v/>
      </c>
      <c r="H117">
        <f>IFERROR(INDEX(PP_Grid[#Data],$DE117,5),0)</f>
        <v/>
      </c>
      <c r="I117">
        <f>IFERROR(INDEX(PP_Grid[#Data],$DE117,6),0)</f>
        <v/>
      </c>
      <c r="J117">
        <f>IFERROR(INDEX(PP_Grid[#Data],$DE117,7),0)</f>
        <v/>
      </c>
      <c r="K117">
        <f>IFERROR(INDEX(PP_Grid[#Data],$DE117,8),0)</f>
        <v/>
      </c>
      <c r="L117">
        <f>IFERROR(INDEX(PP_Grid[#Data],$DE117,9),0)</f>
        <v/>
      </c>
      <c r="M117">
        <f>IFERROR(INDEX(PP_Grid[#Data],$DE117,10),0)</f>
        <v/>
      </c>
      <c r="N117">
        <f>IFERROR(INDEX(PP_Grid[#Data],$DE117,11),0)</f>
        <v/>
      </c>
      <c r="O117">
        <f>IFERROR(INDEX(PP_Grid[#Data],$DE117,12),0)</f>
        <v/>
      </c>
      <c r="P117">
        <f>IFERROR(INDEX(PP_Grid[#Data],$DE117,13),0)</f>
        <v/>
      </c>
      <c r="Q117">
        <f>IFERROR(INDEX(PP_Grid[#Data],$DE117,14),0)</f>
        <v/>
      </c>
      <c r="R117">
        <f>IFERROR(INDEX(PP_Grid[#Data],$DE117,15),0)</f>
        <v/>
      </c>
      <c r="S117">
        <f>IFERROR(INDEX(PP_Grid[#Data],$DE117,16),0)</f>
        <v/>
      </c>
      <c r="T117">
        <f>IFERROR(INDEX(PP_Grid[#Data],$DE117,17),0)</f>
        <v/>
      </c>
      <c r="U117">
        <f>IFERROR(INDEX(PP_Grid[#Data],$DE117,18),0)</f>
        <v/>
      </c>
      <c r="V117">
        <f>IFERROR(INDEX(PP_Grid[#Data],$DE117,19),0)</f>
        <v/>
      </c>
      <c r="W117">
        <f>IFERROR(INDEX(PP_Grid[#Data],$DE117,20),0)</f>
        <v/>
      </c>
      <c r="X117">
        <f>IFERROR(INDEX(PP_Grid[#Data],$DE117,21),0)</f>
        <v/>
      </c>
      <c r="Y117">
        <f>IFERROR(INDEX(PP_Grid[#Data],$DE117,22),0)</f>
        <v/>
      </c>
      <c r="Z117">
        <f>IFERROR(INDEX(PP_Grid[#Data],$DE117,23),0)</f>
        <v/>
      </c>
      <c r="AA117">
        <f>IFERROR(INDEX(PP_Grid[#Data],$DE117,24),0)</f>
        <v/>
      </c>
      <c r="AB117">
        <f>IFERROR(INDEX(PP_Grid[#Data],$DE117,25),0)</f>
        <v/>
      </c>
      <c r="AC117">
        <f>IFERROR(INDEX(PP_Grid[#Data],$DE117,26),0)</f>
        <v/>
      </c>
      <c r="AD117">
        <f>IFERROR(INDEX(PP_Grid[#Data],$DE117,27),0)</f>
        <v/>
      </c>
      <c r="AE117">
        <f>IFERROR(INDEX(PP_Grid[#Data],$DE117,28),0)</f>
        <v/>
      </c>
      <c r="AF117">
        <f>IFERROR(INDEX(PP_Grid[#Data],$DE117,29),0)</f>
        <v/>
      </c>
      <c r="AG117">
        <f>IFERROR(INDEX(PP_Grid[#Data],$DE117,30),0)</f>
        <v/>
      </c>
      <c r="AH117">
        <f>IFERROR(INDEX(PP_Grid[#Data],$DE117,31),0)</f>
        <v/>
      </c>
      <c r="AI117">
        <f>IFERROR(INDEX(PP_Grid[#Data],$DE117,32),0)</f>
        <v/>
      </c>
      <c r="AJ117">
        <f>IFERROR(INDEX(PP_Grid[#Data],$DE117,33),0)</f>
        <v/>
      </c>
      <c r="AK117">
        <f>IFERROR(INDEX(PP_Grid[#Data],$DE117,34),0)</f>
        <v/>
      </c>
      <c r="AL117">
        <f>IFERROR(INDEX(PP_Grid[#Data],$DE117,35),0)</f>
        <v/>
      </c>
      <c r="AM117">
        <f>IFERROR(INDEX(PP_Grid[#Data],$DE117,36),0)</f>
        <v/>
      </c>
      <c r="AN117">
        <f>IFERROR(INDEX(PP_Grid[#Data],$DE117,37),0)</f>
        <v/>
      </c>
      <c r="AO117">
        <f>IFERROR(INDEX(PP_Grid[#Data],$DE117,38),0)</f>
        <v/>
      </c>
      <c r="AP117">
        <f>IFERROR(INDEX(PP_Grid[#Data],$DE117,39),0)</f>
        <v/>
      </c>
      <c r="AQ117">
        <f>IFERROR(INDEX(PP_Grid[#Data],$DE117,40),0)</f>
        <v/>
      </c>
      <c r="AR117">
        <f>IFERROR(INDEX(PP_Grid[#Data],$DE117,41),0)</f>
        <v/>
      </c>
      <c r="AS117">
        <f>IFERROR(INDEX(PP_Grid[#Data],$DE117,42),0)</f>
        <v/>
      </c>
      <c r="AT117">
        <f>IFERROR(INDEX(PP_Grid[#Data],$DE117,43),0)</f>
        <v/>
      </c>
      <c r="AU117">
        <f>IFERROR(INDEX(PP_Grid[#Data],$DE117,44),0)</f>
        <v/>
      </c>
      <c r="AV117">
        <f>IFERROR(INDEX(PP_Grid[#Data],$DE117,45),0)</f>
        <v/>
      </c>
      <c r="AW117">
        <f>IFERROR(INDEX(PP_Grid[#Data],$DE117,46),0)</f>
        <v/>
      </c>
      <c r="AX117">
        <f>IFERROR(INDEX(PP_Grid[#Data],$DE117,47),0)</f>
        <v/>
      </c>
      <c r="AY117">
        <f>IFERROR(INDEX(PP_Grid[#Data],$DE117,48),0)</f>
        <v/>
      </c>
      <c r="AZ117">
        <f>IFERROR(INDEX(PP_Grid[#Data],$DE117,49),0)</f>
        <v/>
      </c>
      <c r="BA117">
        <f>IFERROR(INDEX(PP_Grid[#Data],$DE117,50),0)</f>
        <v/>
      </c>
      <c r="BB117">
        <f>IFERROR(INDEX(PP_Grid[#Data],$DE117,51),0)</f>
        <v/>
      </c>
      <c r="BC117">
        <f>IFERROR(INDEX(PP_Grid[#Data],$DE117,52),0)</f>
        <v/>
      </c>
      <c r="BD117">
        <f>IFERROR(INDEX(PP_Grid[#Data],$DE117,53),0)</f>
        <v/>
      </c>
      <c r="BE117">
        <f>IFERROR(INDEX(PP_Grid[#Data],$DE117,54),0)</f>
        <v/>
      </c>
      <c r="BF117">
        <f>IFERROR(INDEX(PP_Grid[#Data],$DE117,55),0)</f>
        <v/>
      </c>
      <c r="BG117">
        <f>IFERROR(INDEX(PP_Grid[#Data],$DE117,56),0)</f>
        <v/>
      </c>
      <c r="BH117">
        <f>IFERROR(INDEX(PP_Grid[#Data],$DE117,57),0)</f>
        <v/>
      </c>
      <c r="BI117">
        <f>IFERROR(INDEX(PP_Grid[#Data],$DE117,58),0)</f>
        <v/>
      </c>
      <c r="BJ117">
        <f>IFERROR(INDEX(PP_Grid[#Data],$DE117,59),0)</f>
        <v/>
      </c>
      <c r="BK117">
        <f>IFERROR(INDEX(PP_Grid[#Data],$DE117,60),0)</f>
        <v/>
      </c>
      <c r="BL117">
        <f>IFERROR(INDEX(PP_Grid[#Data],$DE117,61),0)</f>
        <v/>
      </c>
      <c r="BM117">
        <f>IFERROR(INDEX(PP_Grid[#Data],$DE117,62),0)</f>
        <v/>
      </c>
      <c r="BN117">
        <f>IFERROR(INDEX(PP_Grid[#Data],$DE117,63),0)</f>
        <v/>
      </c>
      <c r="BO117">
        <f>IFERROR(INDEX(PP_Grid[#Data],$DE117,64),0)</f>
        <v/>
      </c>
      <c r="BP117">
        <f>IFERROR(INDEX(PP_Grid[#Data],$DE117,65),0)</f>
        <v/>
      </c>
      <c r="BQ117">
        <f>IFERROR(INDEX(PP_Grid[#Data],$DE117,66),0)</f>
        <v/>
      </c>
      <c r="BR117">
        <f>IFERROR(INDEX(PP_Grid[#Data],$DE117,67),0)</f>
        <v/>
      </c>
      <c r="BS117">
        <f>IFERROR(INDEX(PP_Grid[#Data],$DE117,68),0)</f>
        <v/>
      </c>
      <c r="BT117">
        <f>IFERROR(INDEX(PP_Grid[#Data],$DE117,69),0)</f>
        <v/>
      </c>
      <c r="BU117">
        <f>IFERROR(INDEX(PP_Grid[#Data],$DE117,70),0)</f>
        <v/>
      </c>
      <c r="BV117">
        <f>IFERROR(INDEX(PP_Grid[#Data],$DE117,71),0)</f>
        <v/>
      </c>
      <c r="BW117">
        <f>IFERROR(INDEX(PP_Grid[#Data],$DE117,72),0)</f>
        <v/>
      </c>
      <c r="BX117">
        <f>IFERROR(INDEX(PP_Grid[#Data],$DE117,73),0)</f>
        <v/>
      </c>
      <c r="BY117">
        <f>IFERROR(INDEX(PP_Grid[#Data],$DE117,74),0)</f>
        <v/>
      </c>
      <c r="BZ117">
        <f>IFERROR(INDEX(PP_Grid[#Data],$DE117,75),0)</f>
        <v/>
      </c>
      <c r="CA117">
        <f>IFERROR(INDEX(PP_Grid[#Data],$DE117,76),0)</f>
        <v/>
      </c>
      <c r="CB117">
        <f>IFERROR(INDEX(PP_Grid[#Data],$DE117,77),0)</f>
        <v/>
      </c>
      <c r="CC117">
        <f>IFERROR(INDEX(PP_Grid[#Data],$DE117,78),0)</f>
        <v/>
      </c>
      <c r="CD117">
        <f>IFERROR(INDEX(PP_Grid[#Data],$DE117,79),0)</f>
        <v/>
      </c>
      <c r="CE117">
        <f>IFERROR(INDEX(PP_Grid[#Data],$DE117,80),0)</f>
        <v/>
      </c>
      <c r="CF117">
        <f>IFERROR(INDEX(PP_Grid[#Data],$DE117,81),0)</f>
        <v/>
      </c>
      <c r="CG117">
        <f>IFERROR(INDEX(PP_Grid[#Data],$DE117,82),0)</f>
        <v/>
      </c>
      <c r="CH117">
        <f>IFERROR(INDEX(PP_Grid[#Data],$DE117,83),0)</f>
        <v/>
      </c>
      <c r="CI117">
        <f>IFERROR(INDEX(PP_Grid[#Data],$DE117,84),0)</f>
        <v/>
      </c>
      <c r="CJ117">
        <f>IFERROR(INDEX(PP_Grid[#Data],$DE117,85),0)</f>
        <v/>
      </c>
      <c r="CK117">
        <f>IFERROR(INDEX(PP_Grid[#Data],$DE117,86),0)</f>
        <v/>
      </c>
      <c r="CL117">
        <f>IFERROR(INDEX(PP_Grid[#Data],$DE117,87),0)</f>
        <v/>
      </c>
      <c r="CM117">
        <f>IFERROR(INDEX(PP_Grid[#Data],$DE117,88),0)</f>
        <v/>
      </c>
      <c r="CN117">
        <f>IFERROR(INDEX(PP_Grid[#Data],$DE117,89),0)</f>
        <v/>
      </c>
      <c r="CO117">
        <f>IFERROR(INDEX(PP_Grid[#Data],$DE117,90),0)</f>
        <v/>
      </c>
      <c r="CP117">
        <f>IFERROR(INDEX(PP_Grid[#Data],$DE117,91),0)</f>
        <v/>
      </c>
      <c r="CQ117">
        <f>IFERROR(INDEX(PP_Grid[#Data],$DE117,92),0)</f>
        <v/>
      </c>
      <c r="CR117">
        <f>IFERROR(INDEX(PP_Grid[#Data],$DE117,93),0)</f>
        <v/>
      </c>
      <c r="CS117">
        <f>IFERROR(INDEX(PP_Grid[#Data],$DE117,94),0)</f>
        <v/>
      </c>
      <c r="CT117">
        <f>IFERROR(INDEX(PP_Grid[#Data],$DE117,95),0)</f>
        <v/>
      </c>
      <c r="CU117">
        <f>IFERROR(INDEX(PP_Grid[#Data],$DE117,96),0)</f>
        <v/>
      </c>
      <c r="CV117">
        <f>IFERROR(INDEX(PP_Grid[#Data],$DE117,97),0)</f>
        <v/>
      </c>
      <c r="CW117">
        <f>IFERROR(INDEX(PP_Grid[#Data],$DE117,98),0)</f>
        <v/>
      </c>
      <c r="CX117">
        <f>IFERROR(INDEX(PP_Grid[#Data],$DE117,99),0)</f>
        <v/>
      </c>
      <c r="CY117">
        <f>IFERROR(INDEX(PP_Grid[#Data],$DE117,100),0)</f>
        <v/>
      </c>
      <c r="CZ117">
        <f>IFERROR(INDEX(PP_Grid[#Data],$DE117,101),0)</f>
        <v/>
      </c>
      <c r="DA117">
        <f>IFERROR(INDEX(PP_Grid[#Data],$DE117,102),0)</f>
        <v/>
      </c>
      <c r="DB117">
        <f>IFERROR(INDEX(PP_Grid[#Data],$DE117,103),0)</f>
        <v/>
      </c>
      <c r="DC117">
        <f>IFERROR(INDEX(PP_Grid[#Data],$DE117,104),0)</f>
        <v/>
      </c>
      <c r="DD117">
        <f>IFERROR(INDEX(PP_Grid[#Data],$DE117,105),0)</f>
        <v/>
      </c>
      <c r="DE117" s="7">
        <f>IFERROR(MATCH($B117,PP_Grid[Intermediate],0),99999)</f>
        <v/>
      </c>
    </row>
    <row r="118">
      <c r="B118" t="inlineStr">
        <is>
          <t>使用量(kg)</t>
        </is>
      </c>
      <c r="C118">
        <f>SUMIFS(M_BOM[RM_Qty_Per_Batch],M_BOM[Intermediate],$B117,M_BOM[RM_Code],$A28)</f>
        <v/>
      </c>
      <c r="D118">
        <f>IFERROR(INDEX(E118:DD118,$F$1),"")</f>
        <v/>
      </c>
      <c r="E118">
        <f>$C118*E117</f>
        <v/>
      </c>
      <c r="F118">
        <f>$C118*F117</f>
        <v/>
      </c>
      <c r="G118">
        <f>$C118*G117</f>
        <v/>
      </c>
      <c r="H118">
        <f>$C118*H117</f>
        <v/>
      </c>
      <c r="I118">
        <f>$C118*I117</f>
        <v/>
      </c>
      <c r="J118">
        <f>$C118*J117</f>
        <v/>
      </c>
      <c r="K118">
        <f>$C118*K117</f>
        <v/>
      </c>
      <c r="L118">
        <f>$C118*L117</f>
        <v/>
      </c>
      <c r="M118">
        <f>$C118*M117</f>
        <v/>
      </c>
      <c r="N118">
        <f>$C118*N117</f>
        <v/>
      </c>
      <c r="O118">
        <f>$C118*O117</f>
        <v/>
      </c>
      <c r="P118">
        <f>$C118*P117</f>
        <v/>
      </c>
      <c r="Q118">
        <f>$C118*Q117</f>
        <v/>
      </c>
      <c r="R118">
        <f>$C118*R117</f>
        <v/>
      </c>
      <c r="S118">
        <f>$C118*S117</f>
        <v/>
      </c>
      <c r="T118">
        <f>$C118*T117</f>
        <v/>
      </c>
      <c r="U118">
        <f>$C118*U117</f>
        <v/>
      </c>
      <c r="V118">
        <f>$C118*V117</f>
        <v/>
      </c>
      <c r="W118">
        <f>$C118*W117</f>
        <v/>
      </c>
      <c r="X118">
        <f>$C118*X117</f>
        <v/>
      </c>
      <c r="Y118">
        <f>$C118*Y117</f>
        <v/>
      </c>
      <c r="Z118">
        <f>$C118*Z117</f>
        <v/>
      </c>
      <c r="AA118">
        <f>$C118*AA117</f>
        <v/>
      </c>
      <c r="AB118">
        <f>$C118*AB117</f>
        <v/>
      </c>
      <c r="AC118">
        <f>$C118*AC117</f>
        <v/>
      </c>
      <c r="AD118">
        <f>$C118*AD117</f>
        <v/>
      </c>
      <c r="AE118">
        <f>$C118*AE117</f>
        <v/>
      </c>
      <c r="AF118">
        <f>$C118*AF117</f>
        <v/>
      </c>
      <c r="AG118">
        <f>$C118*AG117</f>
        <v/>
      </c>
      <c r="AH118">
        <f>$C118*AH117</f>
        <v/>
      </c>
      <c r="AI118">
        <f>$C118*AI117</f>
        <v/>
      </c>
      <c r="AJ118">
        <f>$C118*AJ117</f>
        <v/>
      </c>
      <c r="AK118">
        <f>$C118*AK117</f>
        <v/>
      </c>
      <c r="AL118">
        <f>$C118*AL117</f>
        <v/>
      </c>
      <c r="AM118">
        <f>$C118*AM117</f>
        <v/>
      </c>
      <c r="AN118">
        <f>$C118*AN117</f>
        <v/>
      </c>
      <c r="AO118">
        <f>$C118*AO117</f>
        <v/>
      </c>
      <c r="AP118">
        <f>$C118*AP117</f>
        <v/>
      </c>
      <c r="AQ118">
        <f>$C118*AQ117</f>
        <v/>
      </c>
      <c r="AR118">
        <f>$C118*AR117</f>
        <v/>
      </c>
      <c r="AS118">
        <f>$C118*AS117</f>
        <v/>
      </c>
      <c r="AT118">
        <f>$C118*AT117</f>
        <v/>
      </c>
      <c r="AU118">
        <f>$C118*AU117</f>
        <v/>
      </c>
      <c r="AV118">
        <f>$C118*AV117</f>
        <v/>
      </c>
      <c r="AW118">
        <f>$C118*AW117</f>
        <v/>
      </c>
      <c r="AX118">
        <f>$C118*AX117</f>
        <v/>
      </c>
      <c r="AY118">
        <f>$C118*AY117</f>
        <v/>
      </c>
      <c r="AZ118">
        <f>$C118*AZ117</f>
        <v/>
      </c>
      <c r="BA118">
        <f>$C118*BA117</f>
        <v/>
      </c>
      <c r="BB118">
        <f>$C118*BB117</f>
        <v/>
      </c>
      <c r="BC118">
        <f>$C118*BC117</f>
        <v/>
      </c>
      <c r="BD118">
        <f>$C118*BD117</f>
        <v/>
      </c>
      <c r="BE118">
        <f>$C118*BE117</f>
        <v/>
      </c>
      <c r="BF118">
        <f>$C118*BF117</f>
        <v/>
      </c>
      <c r="BG118">
        <f>$C118*BG117</f>
        <v/>
      </c>
      <c r="BH118">
        <f>$C118*BH117</f>
        <v/>
      </c>
      <c r="BI118">
        <f>$C118*BI117</f>
        <v/>
      </c>
      <c r="BJ118">
        <f>$C118*BJ117</f>
        <v/>
      </c>
      <c r="BK118">
        <f>$C118*BK117</f>
        <v/>
      </c>
      <c r="BL118">
        <f>$C118*BL117</f>
        <v/>
      </c>
      <c r="BM118">
        <f>$C118*BM117</f>
        <v/>
      </c>
      <c r="BN118">
        <f>$C118*BN117</f>
        <v/>
      </c>
      <c r="BO118">
        <f>$C118*BO117</f>
        <v/>
      </c>
      <c r="BP118">
        <f>$C118*BP117</f>
        <v/>
      </c>
      <c r="BQ118">
        <f>$C118*BQ117</f>
        <v/>
      </c>
      <c r="BR118">
        <f>$C118*BR117</f>
        <v/>
      </c>
      <c r="BS118">
        <f>$C118*BS117</f>
        <v/>
      </c>
      <c r="BT118">
        <f>$C118*BT117</f>
        <v/>
      </c>
      <c r="BU118">
        <f>$C118*BU117</f>
        <v/>
      </c>
      <c r="BV118">
        <f>$C118*BV117</f>
        <v/>
      </c>
      <c r="BW118">
        <f>$C118*BW117</f>
        <v/>
      </c>
      <c r="BX118">
        <f>$C118*BX117</f>
        <v/>
      </c>
      <c r="BY118">
        <f>$C118*BY117</f>
        <v/>
      </c>
      <c r="BZ118">
        <f>$C118*BZ117</f>
        <v/>
      </c>
      <c r="CA118">
        <f>$C118*CA117</f>
        <v/>
      </c>
      <c r="CB118">
        <f>$C118*CB117</f>
        <v/>
      </c>
      <c r="CC118">
        <f>$C118*CC117</f>
        <v/>
      </c>
      <c r="CD118">
        <f>$C118*CD117</f>
        <v/>
      </c>
      <c r="CE118">
        <f>$C118*CE117</f>
        <v/>
      </c>
      <c r="CF118">
        <f>$C118*CF117</f>
        <v/>
      </c>
      <c r="CG118">
        <f>$C118*CG117</f>
        <v/>
      </c>
      <c r="CH118">
        <f>$C118*CH117</f>
        <v/>
      </c>
      <c r="CI118">
        <f>$C118*CI117</f>
        <v/>
      </c>
      <c r="CJ118">
        <f>$C118*CJ117</f>
        <v/>
      </c>
      <c r="CK118">
        <f>$C118*CK117</f>
        <v/>
      </c>
      <c r="CL118">
        <f>$C118*CL117</f>
        <v/>
      </c>
      <c r="CM118">
        <f>$C118*CM117</f>
        <v/>
      </c>
      <c r="CN118">
        <f>$C118*CN117</f>
        <v/>
      </c>
      <c r="CO118">
        <f>$C118*CO117</f>
        <v/>
      </c>
      <c r="CP118">
        <f>$C118*CP117</f>
        <v/>
      </c>
      <c r="CQ118">
        <f>$C118*CQ117</f>
        <v/>
      </c>
      <c r="CR118">
        <f>$C118*CR117</f>
        <v/>
      </c>
      <c r="CS118">
        <f>$C118*CS117</f>
        <v/>
      </c>
      <c r="CT118">
        <f>$C118*CT117</f>
        <v/>
      </c>
      <c r="CU118">
        <f>$C118*CU117</f>
        <v/>
      </c>
      <c r="CV118">
        <f>$C118*CV117</f>
        <v/>
      </c>
      <c r="CW118">
        <f>$C118*CW117</f>
        <v/>
      </c>
      <c r="CX118">
        <f>$C118*CX117</f>
        <v/>
      </c>
      <c r="CY118">
        <f>$C118*CY117</f>
        <v/>
      </c>
      <c r="CZ118">
        <f>$C118*CZ117</f>
        <v/>
      </c>
      <c r="DA118">
        <f>$C118*DA117</f>
        <v/>
      </c>
      <c r="DB118">
        <f>$C118*DB117</f>
        <v/>
      </c>
      <c r="DC118">
        <f>$C118*DC117</f>
        <v/>
      </c>
      <c r="DD118">
        <f>$C118*DD117</f>
        <v/>
      </c>
    </row>
    <row r="119">
      <c r="B119" t="inlineStr">
        <is>
          <t>TPP-204</t>
        </is>
      </c>
      <c r="C119" t="inlineStr">
        <is>
          <t>No. of batches</t>
        </is>
      </c>
      <c r="D119">
        <f>IFERROR(INDEX(E119:DD119,$F$1),"")</f>
        <v/>
      </c>
      <c r="E119">
        <f>IFERROR(INDEX(PP_Grid[#Data],$DE119,2),0)</f>
        <v/>
      </c>
      <c r="F119">
        <f>IFERROR(INDEX(PP_Grid[#Data],$DE119,3),0)</f>
        <v/>
      </c>
      <c r="G119">
        <f>IFERROR(INDEX(PP_Grid[#Data],$DE119,4),0)</f>
        <v/>
      </c>
      <c r="H119">
        <f>IFERROR(INDEX(PP_Grid[#Data],$DE119,5),0)</f>
        <v/>
      </c>
      <c r="I119">
        <f>IFERROR(INDEX(PP_Grid[#Data],$DE119,6),0)</f>
        <v/>
      </c>
      <c r="J119">
        <f>IFERROR(INDEX(PP_Grid[#Data],$DE119,7),0)</f>
        <v/>
      </c>
      <c r="K119">
        <f>IFERROR(INDEX(PP_Grid[#Data],$DE119,8),0)</f>
        <v/>
      </c>
      <c r="L119">
        <f>IFERROR(INDEX(PP_Grid[#Data],$DE119,9),0)</f>
        <v/>
      </c>
      <c r="M119">
        <f>IFERROR(INDEX(PP_Grid[#Data],$DE119,10),0)</f>
        <v/>
      </c>
      <c r="N119">
        <f>IFERROR(INDEX(PP_Grid[#Data],$DE119,11),0)</f>
        <v/>
      </c>
      <c r="O119">
        <f>IFERROR(INDEX(PP_Grid[#Data],$DE119,12),0)</f>
        <v/>
      </c>
      <c r="P119">
        <f>IFERROR(INDEX(PP_Grid[#Data],$DE119,13),0)</f>
        <v/>
      </c>
      <c r="Q119">
        <f>IFERROR(INDEX(PP_Grid[#Data],$DE119,14),0)</f>
        <v/>
      </c>
      <c r="R119">
        <f>IFERROR(INDEX(PP_Grid[#Data],$DE119,15),0)</f>
        <v/>
      </c>
      <c r="S119">
        <f>IFERROR(INDEX(PP_Grid[#Data],$DE119,16),0)</f>
        <v/>
      </c>
      <c r="T119">
        <f>IFERROR(INDEX(PP_Grid[#Data],$DE119,17),0)</f>
        <v/>
      </c>
      <c r="U119">
        <f>IFERROR(INDEX(PP_Grid[#Data],$DE119,18),0)</f>
        <v/>
      </c>
      <c r="V119">
        <f>IFERROR(INDEX(PP_Grid[#Data],$DE119,19),0)</f>
        <v/>
      </c>
      <c r="W119">
        <f>IFERROR(INDEX(PP_Grid[#Data],$DE119,20),0)</f>
        <v/>
      </c>
      <c r="X119">
        <f>IFERROR(INDEX(PP_Grid[#Data],$DE119,21),0)</f>
        <v/>
      </c>
      <c r="Y119">
        <f>IFERROR(INDEX(PP_Grid[#Data],$DE119,22),0)</f>
        <v/>
      </c>
      <c r="Z119">
        <f>IFERROR(INDEX(PP_Grid[#Data],$DE119,23),0)</f>
        <v/>
      </c>
      <c r="AA119">
        <f>IFERROR(INDEX(PP_Grid[#Data],$DE119,24),0)</f>
        <v/>
      </c>
      <c r="AB119">
        <f>IFERROR(INDEX(PP_Grid[#Data],$DE119,25),0)</f>
        <v/>
      </c>
      <c r="AC119">
        <f>IFERROR(INDEX(PP_Grid[#Data],$DE119,26),0)</f>
        <v/>
      </c>
      <c r="AD119">
        <f>IFERROR(INDEX(PP_Grid[#Data],$DE119,27),0)</f>
        <v/>
      </c>
      <c r="AE119">
        <f>IFERROR(INDEX(PP_Grid[#Data],$DE119,28),0)</f>
        <v/>
      </c>
      <c r="AF119">
        <f>IFERROR(INDEX(PP_Grid[#Data],$DE119,29),0)</f>
        <v/>
      </c>
      <c r="AG119">
        <f>IFERROR(INDEX(PP_Grid[#Data],$DE119,30),0)</f>
        <v/>
      </c>
      <c r="AH119">
        <f>IFERROR(INDEX(PP_Grid[#Data],$DE119,31),0)</f>
        <v/>
      </c>
      <c r="AI119">
        <f>IFERROR(INDEX(PP_Grid[#Data],$DE119,32),0)</f>
        <v/>
      </c>
      <c r="AJ119">
        <f>IFERROR(INDEX(PP_Grid[#Data],$DE119,33),0)</f>
        <v/>
      </c>
      <c r="AK119">
        <f>IFERROR(INDEX(PP_Grid[#Data],$DE119,34),0)</f>
        <v/>
      </c>
      <c r="AL119">
        <f>IFERROR(INDEX(PP_Grid[#Data],$DE119,35),0)</f>
        <v/>
      </c>
      <c r="AM119">
        <f>IFERROR(INDEX(PP_Grid[#Data],$DE119,36),0)</f>
        <v/>
      </c>
      <c r="AN119">
        <f>IFERROR(INDEX(PP_Grid[#Data],$DE119,37),0)</f>
        <v/>
      </c>
      <c r="AO119">
        <f>IFERROR(INDEX(PP_Grid[#Data],$DE119,38),0)</f>
        <v/>
      </c>
      <c r="AP119">
        <f>IFERROR(INDEX(PP_Grid[#Data],$DE119,39),0)</f>
        <v/>
      </c>
      <c r="AQ119">
        <f>IFERROR(INDEX(PP_Grid[#Data],$DE119,40),0)</f>
        <v/>
      </c>
      <c r="AR119">
        <f>IFERROR(INDEX(PP_Grid[#Data],$DE119,41),0)</f>
        <v/>
      </c>
      <c r="AS119">
        <f>IFERROR(INDEX(PP_Grid[#Data],$DE119,42),0)</f>
        <v/>
      </c>
      <c r="AT119">
        <f>IFERROR(INDEX(PP_Grid[#Data],$DE119,43),0)</f>
        <v/>
      </c>
      <c r="AU119">
        <f>IFERROR(INDEX(PP_Grid[#Data],$DE119,44),0)</f>
        <v/>
      </c>
      <c r="AV119">
        <f>IFERROR(INDEX(PP_Grid[#Data],$DE119,45),0)</f>
        <v/>
      </c>
      <c r="AW119">
        <f>IFERROR(INDEX(PP_Grid[#Data],$DE119,46),0)</f>
        <v/>
      </c>
      <c r="AX119">
        <f>IFERROR(INDEX(PP_Grid[#Data],$DE119,47),0)</f>
        <v/>
      </c>
      <c r="AY119">
        <f>IFERROR(INDEX(PP_Grid[#Data],$DE119,48),0)</f>
        <v/>
      </c>
      <c r="AZ119">
        <f>IFERROR(INDEX(PP_Grid[#Data],$DE119,49),0)</f>
        <v/>
      </c>
      <c r="BA119">
        <f>IFERROR(INDEX(PP_Grid[#Data],$DE119,50),0)</f>
        <v/>
      </c>
      <c r="BB119">
        <f>IFERROR(INDEX(PP_Grid[#Data],$DE119,51),0)</f>
        <v/>
      </c>
      <c r="BC119">
        <f>IFERROR(INDEX(PP_Grid[#Data],$DE119,52),0)</f>
        <v/>
      </c>
      <c r="BD119">
        <f>IFERROR(INDEX(PP_Grid[#Data],$DE119,53),0)</f>
        <v/>
      </c>
      <c r="BE119">
        <f>IFERROR(INDEX(PP_Grid[#Data],$DE119,54),0)</f>
        <v/>
      </c>
      <c r="BF119">
        <f>IFERROR(INDEX(PP_Grid[#Data],$DE119,55),0)</f>
        <v/>
      </c>
      <c r="BG119">
        <f>IFERROR(INDEX(PP_Grid[#Data],$DE119,56),0)</f>
        <v/>
      </c>
      <c r="BH119">
        <f>IFERROR(INDEX(PP_Grid[#Data],$DE119,57),0)</f>
        <v/>
      </c>
      <c r="BI119">
        <f>IFERROR(INDEX(PP_Grid[#Data],$DE119,58),0)</f>
        <v/>
      </c>
      <c r="BJ119">
        <f>IFERROR(INDEX(PP_Grid[#Data],$DE119,59),0)</f>
        <v/>
      </c>
      <c r="BK119">
        <f>IFERROR(INDEX(PP_Grid[#Data],$DE119,60),0)</f>
        <v/>
      </c>
      <c r="BL119">
        <f>IFERROR(INDEX(PP_Grid[#Data],$DE119,61),0)</f>
        <v/>
      </c>
      <c r="BM119">
        <f>IFERROR(INDEX(PP_Grid[#Data],$DE119,62),0)</f>
        <v/>
      </c>
      <c r="BN119">
        <f>IFERROR(INDEX(PP_Grid[#Data],$DE119,63),0)</f>
        <v/>
      </c>
      <c r="BO119">
        <f>IFERROR(INDEX(PP_Grid[#Data],$DE119,64),0)</f>
        <v/>
      </c>
      <c r="BP119">
        <f>IFERROR(INDEX(PP_Grid[#Data],$DE119,65),0)</f>
        <v/>
      </c>
      <c r="BQ119">
        <f>IFERROR(INDEX(PP_Grid[#Data],$DE119,66),0)</f>
        <v/>
      </c>
      <c r="BR119">
        <f>IFERROR(INDEX(PP_Grid[#Data],$DE119,67),0)</f>
        <v/>
      </c>
      <c r="BS119">
        <f>IFERROR(INDEX(PP_Grid[#Data],$DE119,68),0)</f>
        <v/>
      </c>
      <c r="BT119">
        <f>IFERROR(INDEX(PP_Grid[#Data],$DE119,69),0)</f>
        <v/>
      </c>
      <c r="BU119">
        <f>IFERROR(INDEX(PP_Grid[#Data],$DE119,70),0)</f>
        <v/>
      </c>
      <c r="BV119">
        <f>IFERROR(INDEX(PP_Grid[#Data],$DE119,71),0)</f>
        <v/>
      </c>
      <c r="BW119">
        <f>IFERROR(INDEX(PP_Grid[#Data],$DE119,72),0)</f>
        <v/>
      </c>
      <c r="BX119">
        <f>IFERROR(INDEX(PP_Grid[#Data],$DE119,73),0)</f>
        <v/>
      </c>
      <c r="BY119">
        <f>IFERROR(INDEX(PP_Grid[#Data],$DE119,74),0)</f>
        <v/>
      </c>
      <c r="BZ119">
        <f>IFERROR(INDEX(PP_Grid[#Data],$DE119,75),0)</f>
        <v/>
      </c>
      <c r="CA119">
        <f>IFERROR(INDEX(PP_Grid[#Data],$DE119,76),0)</f>
        <v/>
      </c>
      <c r="CB119">
        <f>IFERROR(INDEX(PP_Grid[#Data],$DE119,77),0)</f>
        <v/>
      </c>
      <c r="CC119">
        <f>IFERROR(INDEX(PP_Grid[#Data],$DE119,78),0)</f>
        <v/>
      </c>
      <c r="CD119">
        <f>IFERROR(INDEX(PP_Grid[#Data],$DE119,79),0)</f>
        <v/>
      </c>
      <c r="CE119">
        <f>IFERROR(INDEX(PP_Grid[#Data],$DE119,80),0)</f>
        <v/>
      </c>
      <c r="CF119">
        <f>IFERROR(INDEX(PP_Grid[#Data],$DE119,81),0)</f>
        <v/>
      </c>
      <c r="CG119">
        <f>IFERROR(INDEX(PP_Grid[#Data],$DE119,82),0)</f>
        <v/>
      </c>
      <c r="CH119">
        <f>IFERROR(INDEX(PP_Grid[#Data],$DE119,83),0)</f>
        <v/>
      </c>
      <c r="CI119">
        <f>IFERROR(INDEX(PP_Grid[#Data],$DE119,84),0)</f>
        <v/>
      </c>
      <c r="CJ119">
        <f>IFERROR(INDEX(PP_Grid[#Data],$DE119,85),0)</f>
        <v/>
      </c>
      <c r="CK119">
        <f>IFERROR(INDEX(PP_Grid[#Data],$DE119,86),0)</f>
        <v/>
      </c>
      <c r="CL119">
        <f>IFERROR(INDEX(PP_Grid[#Data],$DE119,87),0)</f>
        <v/>
      </c>
      <c r="CM119">
        <f>IFERROR(INDEX(PP_Grid[#Data],$DE119,88),0)</f>
        <v/>
      </c>
      <c r="CN119">
        <f>IFERROR(INDEX(PP_Grid[#Data],$DE119,89),0)</f>
        <v/>
      </c>
      <c r="CO119">
        <f>IFERROR(INDEX(PP_Grid[#Data],$DE119,90),0)</f>
        <v/>
      </c>
      <c r="CP119">
        <f>IFERROR(INDEX(PP_Grid[#Data],$DE119,91),0)</f>
        <v/>
      </c>
      <c r="CQ119">
        <f>IFERROR(INDEX(PP_Grid[#Data],$DE119,92),0)</f>
        <v/>
      </c>
      <c r="CR119">
        <f>IFERROR(INDEX(PP_Grid[#Data],$DE119,93),0)</f>
        <v/>
      </c>
      <c r="CS119">
        <f>IFERROR(INDEX(PP_Grid[#Data],$DE119,94),0)</f>
        <v/>
      </c>
      <c r="CT119">
        <f>IFERROR(INDEX(PP_Grid[#Data],$DE119,95),0)</f>
        <v/>
      </c>
      <c r="CU119">
        <f>IFERROR(INDEX(PP_Grid[#Data],$DE119,96),0)</f>
        <v/>
      </c>
      <c r="CV119">
        <f>IFERROR(INDEX(PP_Grid[#Data],$DE119,97),0)</f>
        <v/>
      </c>
      <c r="CW119">
        <f>IFERROR(INDEX(PP_Grid[#Data],$DE119,98),0)</f>
        <v/>
      </c>
      <c r="CX119">
        <f>IFERROR(INDEX(PP_Grid[#Data],$DE119,99),0)</f>
        <v/>
      </c>
      <c r="CY119">
        <f>IFERROR(INDEX(PP_Grid[#Data],$DE119,100),0)</f>
        <v/>
      </c>
      <c r="CZ119">
        <f>IFERROR(INDEX(PP_Grid[#Data],$DE119,101),0)</f>
        <v/>
      </c>
      <c r="DA119">
        <f>IFERROR(INDEX(PP_Grid[#Data],$DE119,102),0)</f>
        <v/>
      </c>
      <c r="DB119">
        <f>IFERROR(INDEX(PP_Grid[#Data],$DE119,103),0)</f>
        <v/>
      </c>
      <c r="DC119">
        <f>IFERROR(INDEX(PP_Grid[#Data],$DE119,104),0)</f>
        <v/>
      </c>
      <c r="DD119">
        <f>IFERROR(INDEX(PP_Grid[#Data],$DE119,105),0)</f>
        <v/>
      </c>
      <c r="DE119" s="7">
        <f>IFERROR(MATCH($B119,PP_Grid[Intermediate],0),99999)</f>
        <v/>
      </c>
    </row>
    <row r="120">
      <c r="B120" t="inlineStr">
        <is>
          <t>使用量(kg)</t>
        </is>
      </c>
      <c r="C120">
        <f>SUMIFS(M_BOM[RM_Qty_Per_Batch],M_BOM[Intermediate],$B119,M_BOM[RM_Code],$A28)</f>
        <v/>
      </c>
      <c r="D120">
        <f>IFERROR(INDEX(E120:DD120,$F$1),"")</f>
        <v/>
      </c>
      <c r="E120">
        <f>$C120*E119</f>
        <v/>
      </c>
      <c r="F120">
        <f>$C120*F119</f>
        <v/>
      </c>
      <c r="G120">
        <f>$C120*G119</f>
        <v/>
      </c>
      <c r="H120">
        <f>$C120*H119</f>
        <v/>
      </c>
      <c r="I120">
        <f>$C120*I119</f>
        <v/>
      </c>
      <c r="J120">
        <f>$C120*J119</f>
        <v/>
      </c>
      <c r="K120">
        <f>$C120*K119</f>
        <v/>
      </c>
      <c r="L120">
        <f>$C120*L119</f>
        <v/>
      </c>
      <c r="M120">
        <f>$C120*M119</f>
        <v/>
      </c>
      <c r="N120">
        <f>$C120*N119</f>
        <v/>
      </c>
      <c r="O120">
        <f>$C120*O119</f>
        <v/>
      </c>
      <c r="P120">
        <f>$C120*P119</f>
        <v/>
      </c>
      <c r="Q120">
        <f>$C120*Q119</f>
        <v/>
      </c>
      <c r="R120">
        <f>$C120*R119</f>
        <v/>
      </c>
      <c r="S120">
        <f>$C120*S119</f>
        <v/>
      </c>
      <c r="T120">
        <f>$C120*T119</f>
        <v/>
      </c>
      <c r="U120">
        <f>$C120*U119</f>
        <v/>
      </c>
      <c r="V120">
        <f>$C120*V119</f>
        <v/>
      </c>
      <c r="W120">
        <f>$C120*W119</f>
        <v/>
      </c>
      <c r="X120">
        <f>$C120*X119</f>
        <v/>
      </c>
      <c r="Y120">
        <f>$C120*Y119</f>
        <v/>
      </c>
      <c r="Z120">
        <f>$C120*Z119</f>
        <v/>
      </c>
      <c r="AA120">
        <f>$C120*AA119</f>
        <v/>
      </c>
      <c r="AB120">
        <f>$C120*AB119</f>
        <v/>
      </c>
      <c r="AC120">
        <f>$C120*AC119</f>
        <v/>
      </c>
      <c r="AD120">
        <f>$C120*AD119</f>
        <v/>
      </c>
      <c r="AE120">
        <f>$C120*AE119</f>
        <v/>
      </c>
      <c r="AF120">
        <f>$C120*AF119</f>
        <v/>
      </c>
      <c r="AG120">
        <f>$C120*AG119</f>
        <v/>
      </c>
      <c r="AH120">
        <f>$C120*AH119</f>
        <v/>
      </c>
      <c r="AI120">
        <f>$C120*AI119</f>
        <v/>
      </c>
      <c r="AJ120">
        <f>$C120*AJ119</f>
        <v/>
      </c>
      <c r="AK120">
        <f>$C120*AK119</f>
        <v/>
      </c>
      <c r="AL120">
        <f>$C120*AL119</f>
        <v/>
      </c>
      <c r="AM120">
        <f>$C120*AM119</f>
        <v/>
      </c>
      <c r="AN120">
        <f>$C120*AN119</f>
        <v/>
      </c>
      <c r="AO120">
        <f>$C120*AO119</f>
        <v/>
      </c>
      <c r="AP120">
        <f>$C120*AP119</f>
        <v/>
      </c>
      <c r="AQ120">
        <f>$C120*AQ119</f>
        <v/>
      </c>
      <c r="AR120">
        <f>$C120*AR119</f>
        <v/>
      </c>
      <c r="AS120">
        <f>$C120*AS119</f>
        <v/>
      </c>
      <c r="AT120">
        <f>$C120*AT119</f>
        <v/>
      </c>
      <c r="AU120">
        <f>$C120*AU119</f>
        <v/>
      </c>
      <c r="AV120">
        <f>$C120*AV119</f>
        <v/>
      </c>
      <c r="AW120">
        <f>$C120*AW119</f>
        <v/>
      </c>
      <c r="AX120">
        <f>$C120*AX119</f>
        <v/>
      </c>
      <c r="AY120">
        <f>$C120*AY119</f>
        <v/>
      </c>
      <c r="AZ120">
        <f>$C120*AZ119</f>
        <v/>
      </c>
      <c r="BA120">
        <f>$C120*BA119</f>
        <v/>
      </c>
      <c r="BB120">
        <f>$C120*BB119</f>
        <v/>
      </c>
      <c r="BC120">
        <f>$C120*BC119</f>
        <v/>
      </c>
      <c r="BD120">
        <f>$C120*BD119</f>
        <v/>
      </c>
      <c r="BE120">
        <f>$C120*BE119</f>
        <v/>
      </c>
      <c r="BF120">
        <f>$C120*BF119</f>
        <v/>
      </c>
      <c r="BG120">
        <f>$C120*BG119</f>
        <v/>
      </c>
      <c r="BH120">
        <f>$C120*BH119</f>
        <v/>
      </c>
      <c r="BI120">
        <f>$C120*BI119</f>
        <v/>
      </c>
      <c r="BJ120">
        <f>$C120*BJ119</f>
        <v/>
      </c>
      <c r="BK120">
        <f>$C120*BK119</f>
        <v/>
      </c>
      <c r="BL120">
        <f>$C120*BL119</f>
        <v/>
      </c>
      <c r="BM120">
        <f>$C120*BM119</f>
        <v/>
      </c>
      <c r="BN120">
        <f>$C120*BN119</f>
        <v/>
      </c>
      <c r="BO120">
        <f>$C120*BO119</f>
        <v/>
      </c>
      <c r="BP120">
        <f>$C120*BP119</f>
        <v/>
      </c>
      <c r="BQ120">
        <f>$C120*BQ119</f>
        <v/>
      </c>
      <c r="BR120">
        <f>$C120*BR119</f>
        <v/>
      </c>
      <c r="BS120">
        <f>$C120*BS119</f>
        <v/>
      </c>
      <c r="BT120">
        <f>$C120*BT119</f>
        <v/>
      </c>
      <c r="BU120">
        <f>$C120*BU119</f>
        <v/>
      </c>
      <c r="BV120">
        <f>$C120*BV119</f>
        <v/>
      </c>
      <c r="BW120">
        <f>$C120*BW119</f>
        <v/>
      </c>
      <c r="BX120">
        <f>$C120*BX119</f>
        <v/>
      </c>
      <c r="BY120">
        <f>$C120*BY119</f>
        <v/>
      </c>
      <c r="BZ120">
        <f>$C120*BZ119</f>
        <v/>
      </c>
      <c r="CA120">
        <f>$C120*CA119</f>
        <v/>
      </c>
      <c r="CB120">
        <f>$C120*CB119</f>
        <v/>
      </c>
      <c r="CC120">
        <f>$C120*CC119</f>
        <v/>
      </c>
      <c r="CD120">
        <f>$C120*CD119</f>
        <v/>
      </c>
      <c r="CE120">
        <f>$C120*CE119</f>
        <v/>
      </c>
      <c r="CF120">
        <f>$C120*CF119</f>
        <v/>
      </c>
      <c r="CG120">
        <f>$C120*CG119</f>
        <v/>
      </c>
      <c r="CH120">
        <f>$C120*CH119</f>
        <v/>
      </c>
      <c r="CI120">
        <f>$C120*CI119</f>
        <v/>
      </c>
      <c r="CJ120">
        <f>$C120*CJ119</f>
        <v/>
      </c>
      <c r="CK120">
        <f>$C120*CK119</f>
        <v/>
      </c>
      <c r="CL120">
        <f>$C120*CL119</f>
        <v/>
      </c>
      <c r="CM120">
        <f>$C120*CM119</f>
        <v/>
      </c>
      <c r="CN120">
        <f>$C120*CN119</f>
        <v/>
      </c>
      <c r="CO120">
        <f>$C120*CO119</f>
        <v/>
      </c>
      <c r="CP120">
        <f>$C120*CP119</f>
        <v/>
      </c>
      <c r="CQ120">
        <f>$C120*CQ119</f>
        <v/>
      </c>
      <c r="CR120">
        <f>$C120*CR119</f>
        <v/>
      </c>
      <c r="CS120">
        <f>$C120*CS119</f>
        <v/>
      </c>
      <c r="CT120">
        <f>$C120*CT119</f>
        <v/>
      </c>
      <c r="CU120">
        <f>$C120*CU119</f>
        <v/>
      </c>
      <c r="CV120">
        <f>$C120*CV119</f>
        <v/>
      </c>
      <c r="CW120">
        <f>$C120*CW119</f>
        <v/>
      </c>
      <c r="CX120">
        <f>$C120*CX119</f>
        <v/>
      </c>
      <c r="CY120">
        <f>$C120*CY119</f>
        <v/>
      </c>
      <c r="CZ120">
        <f>$C120*CZ119</f>
        <v/>
      </c>
      <c r="DA120">
        <f>$C120*DA119</f>
        <v/>
      </c>
      <c r="DB120">
        <f>$C120*DB119</f>
        <v/>
      </c>
      <c r="DC120">
        <f>$C120*DC119</f>
        <v/>
      </c>
      <c r="DD120">
        <f>$C120*DD119</f>
        <v/>
      </c>
    </row>
    <row r="121">
      <c r="B121" t="inlineStr">
        <is>
          <t>TPP-356</t>
        </is>
      </c>
      <c r="C121" t="inlineStr">
        <is>
          <t>No. of batches</t>
        </is>
      </c>
      <c r="D121">
        <f>IFERROR(INDEX(E121:DD121,$F$1),"")</f>
        <v/>
      </c>
      <c r="E121">
        <f>IFERROR(INDEX(PP_Grid[#Data],$DE121,2),0)</f>
        <v/>
      </c>
      <c r="F121">
        <f>IFERROR(INDEX(PP_Grid[#Data],$DE121,3),0)</f>
        <v/>
      </c>
      <c r="G121">
        <f>IFERROR(INDEX(PP_Grid[#Data],$DE121,4),0)</f>
        <v/>
      </c>
      <c r="H121">
        <f>IFERROR(INDEX(PP_Grid[#Data],$DE121,5),0)</f>
        <v/>
      </c>
      <c r="I121">
        <f>IFERROR(INDEX(PP_Grid[#Data],$DE121,6),0)</f>
        <v/>
      </c>
      <c r="J121">
        <f>IFERROR(INDEX(PP_Grid[#Data],$DE121,7),0)</f>
        <v/>
      </c>
      <c r="K121">
        <f>IFERROR(INDEX(PP_Grid[#Data],$DE121,8),0)</f>
        <v/>
      </c>
      <c r="L121">
        <f>IFERROR(INDEX(PP_Grid[#Data],$DE121,9),0)</f>
        <v/>
      </c>
      <c r="M121">
        <f>IFERROR(INDEX(PP_Grid[#Data],$DE121,10),0)</f>
        <v/>
      </c>
      <c r="N121">
        <f>IFERROR(INDEX(PP_Grid[#Data],$DE121,11),0)</f>
        <v/>
      </c>
      <c r="O121">
        <f>IFERROR(INDEX(PP_Grid[#Data],$DE121,12),0)</f>
        <v/>
      </c>
      <c r="P121">
        <f>IFERROR(INDEX(PP_Grid[#Data],$DE121,13),0)</f>
        <v/>
      </c>
      <c r="Q121">
        <f>IFERROR(INDEX(PP_Grid[#Data],$DE121,14),0)</f>
        <v/>
      </c>
      <c r="R121">
        <f>IFERROR(INDEX(PP_Grid[#Data],$DE121,15),0)</f>
        <v/>
      </c>
      <c r="S121">
        <f>IFERROR(INDEX(PP_Grid[#Data],$DE121,16),0)</f>
        <v/>
      </c>
      <c r="T121">
        <f>IFERROR(INDEX(PP_Grid[#Data],$DE121,17),0)</f>
        <v/>
      </c>
      <c r="U121">
        <f>IFERROR(INDEX(PP_Grid[#Data],$DE121,18),0)</f>
        <v/>
      </c>
      <c r="V121">
        <f>IFERROR(INDEX(PP_Grid[#Data],$DE121,19),0)</f>
        <v/>
      </c>
      <c r="W121">
        <f>IFERROR(INDEX(PP_Grid[#Data],$DE121,20),0)</f>
        <v/>
      </c>
      <c r="X121">
        <f>IFERROR(INDEX(PP_Grid[#Data],$DE121,21),0)</f>
        <v/>
      </c>
      <c r="Y121">
        <f>IFERROR(INDEX(PP_Grid[#Data],$DE121,22),0)</f>
        <v/>
      </c>
      <c r="Z121">
        <f>IFERROR(INDEX(PP_Grid[#Data],$DE121,23),0)</f>
        <v/>
      </c>
      <c r="AA121">
        <f>IFERROR(INDEX(PP_Grid[#Data],$DE121,24),0)</f>
        <v/>
      </c>
      <c r="AB121">
        <f>IFERROR(INDEX(PP_Grid[#Data],$DE121,25),0)</f>
        <v/>
      </c>
      <c r="AC121">
        <f>IFERROR(INDEX(PP_Grid[#Data],$DE121,26),0)</f>
        <v/>
      </c>
      <c r="AD121">
        <f>IFERROR(INDEX(PP_Grid[#Data],$DE121,27),0)</f>
        <v/>
      </c>
      <c r="AE121">
        <f>IFERROR(INDEX(PP_Grid[#Data],$DE121,28),0)</f>
        <v/>
      </c>
      <c r="AF121">
        <f>IFERROR(INDEX(PP_Grid[#Data],$DE121,29),0)</f>
        <v/>
      </c>
      <c r="AG121">
        <f>IFERROR(INDEX(PP_Grid[#Data],$DE121,30),0)</f>
        <v/>
      </c>
      <c r="AH121">
        <f>IFERROR(INDEX(PP_Grid[#Data],$DE121,31),0)</f>
        <v/>
      </c>
      <c r="AI121">
        <f>IFERROR(INDEX(PP_Grid[#Data],$DE121,32),0)</f>
        <v/>
      </c>
      <c r="AJ121">
        <f>IFERROR(INDEX(PP_Grid[#Data],$DE121,33),0)</f>
        <v/>
      </c>
      <c r="AK121">
        <f>IFERROR(INDEX(PP_Grid[#Data],$DE121,34),0)</f>
        <v/>
      </c>
      <c r="AL121">
        <f>IFERROR(INDEX(PP_Grid[#Data],$DE121,35),0)</f>
        <v/>
      </c>
      <c r="AM121">
        <f>IFERROR(INDEX(PP_Grid[#Data],$DE121,36),0)</f>
        <v/>
      </c>
      <c r="AN121">
        <f>IFERROR(INDEX(PP_Grid[#Data],$DE121,37),0)</f>
        <v/>
      </c>
      <c r="AO121">
        <f>IFERROR(INDEX(PP_Grid[#Data],$DE121,38),0)</f>
        <v/>
      </c>
      <c r="AP121">
        <f>IFERROR(INDEX(PP_Grid[#Data],$DE121,39),0)</f>
        <v/>
      </c>
      <c r="AQ121">
        <f>IFERROR(INDEX(PP_Grid[#Data],$DE121,40),0)</f>
        <v/>
      </c>
      <c r="AR121">
        <f>IFERROR(INDEX(PP_Grid[#Data],$DE121,41),0)</f>
        <v/>
      </c>
      <c r="AS121">
        <f>IFERROR(INDEX(PP_Grid[#Data],$DE121,42),0)</f>
        <v/>
      </c>
      <c r="AT121">
        <f>IFERROR(INDEX(PP_Grid[#Data],$DE121,43),0)</f>
        <v/>
      </c>
      <c r="AU121">
        <f>IFERROR(INDEX(PP_Grid[#Data],$DE121,44),0)</f>
        <v/>
      </c>
      <c r="AV121">
        <f>IFERROR(INDEX(PP_Grid[#Data],$DE121,45),0)</f>
        <v/>
      </c>
      <c r="AW121">
        <f>IFERROR(INDEX(PP_Grid[#Data],$DE121,46),0)</f>
        <v/>
      </c>
      <c r="AX121">
        <f>IFERROR(INDEX(PP_Grid[#Data],$DE121,47),0)</f>
        <v/>
      </c>
      <c r="AY121">
        <f>IFERROR(INDEX(PP_Grid[#Data],$DE121,48),0)</f>
        <v/>
      </c>
      <c r="AZ121">
        <f>IFERROR(INDEX(PP_Grid[#Data],$DE121,49),0)</f>
        <v/>
      </c>
      <c r="BA121">
        <f>IFERROR(INDEX(PP_Grid[#Data],$DE121,50),0)</f>
        <v/>
      </c>
      <c r="BB121">
        <f>IFERROR(INDEX(PP_Grid[#Data],$DE121,51),0)</f>
        <v/>
      </c>
      <c r="BC121">
        <f>IFERROR(INDEX(PP_Grid[#Data],$DE121,52),0)</f>
        <v/>
      </c>
      <c r="BD121">
        <f>IFERROR(INDEX(PP_Grid[#Data],$DE121,53),0)</f>
        <v/>
      </c>
      <c r="BE121">
        <f>IFERROR(INDEX(PP_Grid[#Data],$DE121,54),0)</f>
        <v/>
      </c>
      <c r="BF121">
        <f>IFERROR(INDEX(PP_Grid[#Data],$DE121,55),0)</f>
        <v/>
      </c>
      <c r="BG121">
        <f>IFERROR(INDEX(PP_Grid[#Data],$DE121,56),0)</f>
        <v/>
      </c>
      <c r="BH121">
        <f>IFERROR(INDEX(PP_Grid[#Data],$DE121,57),0)</f>
        <v/>
      </c>
      <c r="BI121">
        <f>IFERROR(INDEX(PP_Grid[#Data],$DE121,58),0)</f>
        <v/>
      </c>
      <c r="BJ121">
        <f>IFERROR(INDEX(PP_Grid[#Data],$DE121,59),0)</f>
        <v/>
      </c>
      <c r="BK121">
        <f>IFERROR(INDEX(PP_Grid[#Data],$DE121,60),0)</f>
        <v/>
      </c>
      <c r="BL121">
        <f>IFERROR(INDEX(PP_Grid[#Data],$DE121,61),0)</f>
        <v/>
      </c>
      <c r="BM121">
        <f>IFERROR(INDEX(PP_Grid[#Data],$DE121,62),0)</f>
        <v/>
      </c>
      <c r="BN121">
        <f>IFERROR(INDEX(PP_Grid[#Data],$DE121,63),0)</f>
        <v/>
      </c>
      <c r="BO121">
        <f>IFERROR(INDEX(PP_Grid[#Data],$DE121,64),0)</f>
        <v/>
      </c>
      <c r="BP121">
        <f>IFERROR(INDEX(PP_Grid[#Data],$DE121,65),0)</f>
        <v/>
      </c>
      <c r="BQ121">
        <f>IFERROR(INDEX(PP_Grid[#Data],$DE121,66),0)</f>
        <v/>
      </c>
      <c r="BR121">
        <f>IFERROR(INDEX(PP_Grid[#Data],$DE121,67),0)</f>
        <v/>
      </c>
      <c r="BS121">
        <f>IFERROR(INDEX(PP_Grid[#Data],$DE121,68),0)</f>
        <v/>
      </c>
      <c r="BT121">
        <f>IFERROR(INDEX(PP_Grid[#Data],$DE121,69),0)</f>
        <v/>
      </c>
      <c r="BU121">
        <f>IFERROR(INDEX(PP_Grid[#Data],$DE121,70),0)</f>
        <v/>
      </c>
      <c r="BV121">
        <f>IFERROR(INDEX(PP_Grid[#Data],$DE121,71),0)</f>
        <v/>
      </c>
      <c r="BW121">
        <f>IFERROR(INDEX(PP_Grid[#Data],$DE121,72),0)</f>
        <v/>
      </c>
      <c r="BX121">
        <f>IFERROR(INDEX(PP_Grid[#Data],$DE121,73),0)</f>
        <v/>
      </c>
      <c r="BY121">
        <f>IFERROR(INDEX(PP_Grid[#Data],$DE121,74),0)</f>
        <v/>
      </c>
      <c r="BZ121">
        <f>IFERROR(INDEX(PP_Grid[#Data],$DE121,75),0)</f>
        <v/>
      </c>
      <c r="CA121">
        <f>IFERROR(INDEX(PP_Grid[#Data],$DE121,76),0)</f>
        <v/>
      </c>
      <c r="CB121">
        <f>IFERROR(INDEX(PP_Grid[#Data],$DE121,77),0)</f>
        <v/>
      </c>
      <c r="CC121">
        <f>IFERROR(INDEX(PP_Grid[#Data],$DE121,78),0)</f>
        <v/>
      </c>
      <c r="CD121">
        <f>IFERROR(INDEX(PP_Grid[#Data],$DE121,79),0)</f>
        <v/>
      </c>
      <c r="CE121">
        <f>IFERROR(INDEX(PP_Grid[#Data],$DE121,80),0)</f>
        <v/>
      </c>
      <c r="CF121">
        <f>IFERROR(INDEX(PP_Grid[#Data],$DE121,81),0)</f>
        <v/>
      </c>
      <c r="CG121">
        <f>IFERROR(INDEX(PP_Grid[#Data],$DE121,82),0)</f>
        <v/>
      </c>
      <c r="CH121">
        <f>IFERROR(INDEX(PP_Grid[#Data],$DE121,83),0)</f>
        <v/>
      </c>
      <c r="CI121">
        <f>IFERROR(INDEX(PP_Grid[#Data],$DE121,84),0)</f>
        <v/>
      </c>
      <c r="CJ121">
        <f>IFERROR(INDEX(PP_Grid[#Data],$DE121,85),0)</f>
        <v/>
      </c>
      <c r="CK121">
        <f>IFERROR(INDEX(PP_Grid[#Data],$DE121,86),0)</f>
        <v/>
      </c>
      <c r="CL121">
        <f>IFERROR(INDEX(PP_Grid[#Data],$DE121,87),0)</f>
        <v/>
      </c>
      <c r="CM121">
        <f>IFERROR(INDEX(PP_Grid[#Data],$DE121,88),0)</f>
        <v/>
      </c>
      <c r="CN121">
        <f>IFERROR(INDEX(PP_Grid[#Data],$DE121,89),0)</f>
        <v/>
      </c>
      <c r="CO121">
        <f>IFERROR(INDEX(PP_Grid[#Data],$DE121,90),0)</f>
        <v/>
      </c>
      <c r="CP121">
        <f>IFERROR(INDEX(PP_Grid[#Data],$DE121,91),0)</f>
        <v/>
      </c>
      <c r="CQ121">
        <f>IFERROR(INDEX(PP_Grid[#Data],$DE121,92),0)</f>
        <v/>
      </c>
      <c r="CR121">
        <f>IFERROR(INDEX(PP_Grid[#Data],$DE121,93),0)</f>
        <v/>
      </c>
      <c r="CS121">
        <f>IFERROR(INDEX(PP_Grid[#Data],$DE121,94),0)</f>
        <v/>
      </c>
      <c r="CT121">
        <f>IFERROR(INDEX(PP_Grid[#Data],$DE121,95),0)</f>
        <v/>
      </c>
      <c r="CU121">
        <f>IFERROR(INDEX(PP_Grid[#Data],$DE121,96),0)</f>
        <v/>
      </c>
      <c r="CV121">
        <f>IFERROR(INDEX(PP_Grid[#Data],$DE121,97),0)</f>
        <v/>
      </c>
      <c r="CW121">
        <f>IFERROR(INDEX(PP_Grid[#Data],$DE121,98),0)</f>
        <v/>
      </c>
      <c r="CX121">
        <f>IFERROR(INDEX(PP_Grid[#Data],$DE121,99),0)</f>
        <v/>
      </c>
      <c r="CY121">
        <f>IFERROR(INDEX(PP_Grid[#Data],$DE121,100),0)</f>
        <v/>
      </c>
      <c r="CZ121">
        <f>IFERROR(INDEX(PP_Grid[#Data],$DE121,101),0)</f>
        <v/>
      </c>
      <c r="DA121">
        <f>IFERROR(INDEX(PP_Grid[#Data],$DE121,102),0)</f>
        <v/>
      </c>
      <c r="DB121">
        <f>IFERROR(INDEX(PP_Grid[#Data],$DE121,103),0)</f>
        <v/>
      </c>
      <c r="DC121">
        <f>IFERROR(INDEX(PP_Grid[#Data],$DE121,104),0)</f>
        <v/>
      </c>
      <c r="DD121">
        <f>IFERROR(INDEX(PP_Grid[#Data],$DE121,105),0)</f>
        <v/>
      </c>
      <c r="DE121" s="7">
        <f>IFERROR(MATCH($B121,PP_Grid[Intermediate],0),99999)</f>
        <v/>
      </c>
    </row>
    <row r="122">
      <c r="B122" t="inlineStr">
        <is>
          <t>使用量(kg)</t>
        </is>
      </c>
      <c r="C122">
        <f>SUMIFS(M_BOM[RM_Qty_Per_Batch],M_BOM[Intermediate],$B121,M_BOM[RM_Code],$A28)</f>
        <v/>
      </c>
      <c r="D122">
        <f>IFERROR(INDEX(E122:DD122,$F$1),"")</f>
        <v/>
      </c>
      <c r="E122">
        <f>$C122*E121</f>
        <v/>
      </c>
      <c r="F122">
        <f>$C122*F121</f>
        <v/>
      </c>
      <c r="G122">
        <f>$C122*G121</f>
        <v/>
      </c>
      <c r="H122">
        <f>$C122*H121</f>
        <v/>
      </c>
      <c r="I122">
        <f>$C122*I121</f>
        <v/>
      </c>
      <c r="J122">
        <f>$C122*J121</f>
        <v/>
      </c>
      <c r="K122">
        <f>$C122*K121</f>
        <v/>
      </c>
      <c r="L122">
        <f>$C122*L121</f>
        <v/>
      </c>
      <c r="M122">
        <f>$C122*M121</f>
        <v/>
      </c>
      <c r="N122">
        <f>$C122*N121</f>
        <v/>
      </c>
      <c r="O122">
        <f>$C122*O121</f>
        <v/>
      </c>
      <c r="P122">
        <f>$C122*P121</f>
        <v/>
      </c>
      <c r="Q122">
        <f>$C122*Q121</f>
        <v/>
      </c>
      <c r="R122">
        <f>$C122*R121</f>
        <v/>
      </c>
      <c r="S122">
        <f>$C122*S121</f>
        <v/>
      </c>
      <c r="T122">
        <f>$C122*T121</f>
        <v/>
      </c>
      <c r="U122">
        <f>$C122*U121</f>
        <v/>
      </c>
      <c r="V122">
        <f>$C122*V121</f>
        <v/>
      </c>
      <c r="W122">
        <f>$C122*W121</f>
        <v/>
      </c>
      <c r="X122">
        <f>$C122*X121</f>
        <v/>
      </c>
      <c r="Y122">
        <f>$C122*Y121</f>
        <v/>
      </c>
      <c r="Z122">
        <f>$C122*Z121</f>
        <v/>
      </c>
      <c r="AA122">
        <f>$C122*AA121</f>
        <v/>
      </c>
      <c r="AB122">
        <f>$C122*AB121</f>
        <v/>
      </c>
      <c r="AC122">
        <f>$C122*AC121</f>
        <v/>
      </c>
      <c r="AD122">
        <f>$C122*AD121</f>
        <v/>
      </c>
      <c r="AE122">
        <f>$C122*AE121</f>
        <v/>
      </c>
      <c r="AF122">
        <f>$C122*AF121</f>
        <v/>
      </c>
      <c r="AG122">
        <f>$C122*AG121</f>
        <v/>
      </c>
      <c r="AH122">
        <f>$C122*AH121</f>
        <v/>
      </c>
      <c r="AI122">
        <f>$C122*AI121</f>
        <v/>
      </c>
      <c r="AJ122">
        <f>$C122*AJ121</f>
        <v/>
      </c>
      <c r="AK122">
        <f>$C122*AK121</f>
        <v/>
      </c>
      <c r="AL122">
        <f>$C122*AL121</f>
        <v/>
      </c>
      <c r="AM122">
        <f>$C122*AM121</f>
        <v/>
      </c>
      <c r="AN122">
        <f>$C122*AN121</f>
        <v/>
      </c>
      <c r="AO122">
        <f>$C122*AO121</f>
        <v/>
      </c>
      <c r="AP122">
        <f>$C122*AP121</f>
        <v/>
      </c>
      <c r="AQ122">
        <f>$C122*AQ121</f>
        <v/>
      </c>
      <c r="AR122">
        <f>$C122*AR121</f>
        <v/>
      </c>
      <c r="AS122">
        <f>$C122*AS121</f>
        <v/>
      </c>
      <c r="AT122">
        <f>$C122*AT121</f>
        <v/>
      </c>
      <c r="AU122">
        <f>$C122*AU121</f>
        <v/>
      </c>
      <c r="AV122">
        <f>$C122*AV121</f>
        <v/>
      </c>
      <c r="AW122">
        <f>$C122*AW121</f>
        <v/>
      </c>
      <c r="AX122">
        <f>$C122*AX121</f>
        <v/>
      </c>
      <c r="AY122">
        <f>$C122*AY121</f>
        <v/>
      </c>
      <c r="AZ122">
        <f>$C122*AZ121</f>
        <v/>
      </c>
      <c r="BA122">
        <f>$C122*BA121</f>
        <v/>
      </c>
      <c r="BB122">
        <f>$C122*BB121</f>
        <v/>
      </c>
      <c r="BC122">
        <f>$C122*BC121</f>
        <v/>
      </c>
      <c r="BD122">
        <f>$C122*BD121</f>
        <v/>
      </c>
      <c r="BE122">
        <f>$C122*BE121</f>
        <v/>
      </c>
      <c r="BF122">
        <f>$C122*BF121</f>
        <v/>
      </c>
      <c r="BG122">
        <f>$C122*BG121</f>
        <v/>
      </c>
      <c r="BH122">
        <f>$C122*BH121</f>
        <v/>
      </c>
      <c r="BI122">
        <f>$C122*BI121</f>
        <v/>
      </c>
      <c r="BJ122">
        <f>$C122*BJ121</f>
        <v/>
      </c>
      <c r="BK122">
        <f>$C122*BK121</f>
        <v/>
      </c>
      <c r="BL122">
        <f>$C122*BL121</f>
        <v/>
      </c>
      <c r="BM122">
        <f>$C122*BM121</f>
        <v/>
      </c>
      <c r="BN122">
        <f>$C122*BN121</f>
        <v/>
      </c>
      <c r="BO122">
        <f>$C122*BO121</f>
        <v/>
      </c>
      <c r="BP122">
        <f>$C122*BP121</f>
        <v/>
      </c>
      <c r="BQ122">
        <f>$C122*BQ121</f>
        <v/>
      </c>
      <c r="BR122">
        <f>$C122*BR121</f>
        <v/>
      </c>
      <c r="BS122">
        <f>$C122*BS121</f>
        <v/>
      </c>
      <c r="BT122">
        <f>$C122*BT121</f>
        <v/>
      </c>
      <c r="BU122">
        <f>$C122*BU121</f>
        <v/>
      </c>
      <c r="BV122">
        <f>$C122*BV121</f>
        <v/>
      </c>
      <c r="BW122">
        <f>$C122*BW121</f>
        <v/>
      </c>
      <c r="BX122">
        <f>$C122*BX121</f>
        <v/>
      </c>
      <c r="BY122">
        <f>$C122*BY121</f>
        <v/>
      </c>
      <c r="BZ122">
        <f>$C122*BZ121</f>
        <v/>
      </c>
      <c r="CA122">
        <f>$C122*CA121</f>
        <v/>
      </c>
      <c r="CB122">
        <f>$C122*CB121</f>
        <v/>
      </c>
      <c r="CC122">
        <f>$C122*CC121</f>
        <v/>
      </c>
      <c r="CD122">
        <f>$C122*CD121</f>
        <v/>
      </c>
      <c r="CE122">
        <f>$C122*CE121</f>
        <v/>
      </c>
      <c r="CF122">
        <f>$C122*CF121</f>
        <v/>
      </c>
      <c r="CG122">
        <f>$C122*CG121</f>
        <v/>
      </c>
      <c r="CH122">
        <f>$C122*CH121</f>
        <v/>
      </c>
      <c r="CI122">
        <f>$C122*CI121</f>
        <v/>
      </c>
      <c r="CJ122">
        <f>$C122*CJ121</f>
        <v/>
      </c>
      <c r="CK122">
        <f>$C122*CK121</f>
        <v/>
      </c>
      <c r="CL122">
        <f>$C122*CL121</f>
        <v/>
      </c>
      <c r="CM122">
        <f>$C122*CM121</f>
        <v/>
      </c>
      <c r="CN122">
        <f>$C122*CN121</f>
        <v/>
      </c>
      <c r="CO122">
        <f>$C122*CO121</f>
        <v/>
      </c>
      <c r="CP122">
        <f>$C122*CP121</f>
        <v/>
      </c>
      <c r="CQ122">
        <f>$C122*CQ121</f>
        <v/>
      </c>
      <c r="CR122">
        <f>$C122*CR121</f>
        <v/>
      </c>
      <c r="CS122">
        <f>$C122*CS121</f>
        <v/>
      </c>
      <c r="CT122">
        <f>$C122*CT121</f>
        <v/>
      </c>
      <c r="CU122">
        <f>$C122*CU121</f>
        <v/>
      </c>
      <c r="CV122">
        <f>$C122*CV121</f>
        <v/>
      </c>
      <c r="CW122">
        <f>$C122*CW121</f>
        <v/>
      </c>
      <c r="CX122">
        <f>$C122*CX121</f>
        <v/>
      </c>
      <c r="CY122">
        <f>$C122*CY121</f>
        <v/>
      </c>
      <c r="CZ122">
        <f>$C122*CZ121</f>
        <v/>
      </c>
      <c r="DA122">
        <f>$C122*DA121</f>
        <v/>
      </c>
      <c r="DB122">
        <f>$C122*DB121</f>
        <v/>
      </c>
      <c r="DC122">
        <f>$C122*DC121</f>
        <v/>
      </c>
      <c r="DD122">
        <f>$C122*DD121</f>
        <v/>
      </c>
    </row>
    <row r="123">
      <c r="B123" t="inlineStr">
        <is>
          <t>TPP-701</t>
        </is>
      </c>
      <c r="C123" t="inlineStr">
        <is>
          <t>No. of batches</t>
        </is>
      </c>
      <c r="D123">
        <f>IFERROR(INDEX(E123:DD123,$F$1),"")</f>
        <v/>
      </c>
      <c r="E123">
        <f>IFERROR(INDEX(PP_Grid[#Data],$DE123,2),0)</f>
        <v/>
      </c>
      <c r="F123">
        <f>IFERROR(INDEX(PP_Grid[#Data],$DE123,3),0)</f>
        <v/>
      </c>
      <c r="G123">
        <f>IFERROR(INDEX(PP_Grid[#Data],$DE123,4),0)</f>
        <v/>
      </c>
      <c r="H123">
        <f>IFERROR(INDEX(PP_Grid[#Data],$DE123,5),0)</f>
        <v/>
      </c>
      <c r="I123">
        <f>IFERROR(INDEX(PP_Grid[#Data],$DE123,6),0)</f>
        <v/>
      </c>
      <c r="J123">
        <f>IFERROR(INDEX(PP_Grid[#Data],$DE123,7),0)</f>
        <v/>
      </c>
      <c r="K123">
        <f>IFERROR(INDEX(PP_Grid[#Data],$DE123,8),0)</f>
        <v/>
      </c>
      <c r="L123">
        <f>IFERROR(INDEX(PP_Grid[#Data],$DE123,9),0)</f>
        <v/>
      </c>
      <c r="M123">
        <f>IFERROR(INDEX(PP_Grid[#Data],$DE123,10),0)</f>
        <v/>
      </c>
      <c r="N123">
        <f>IFERROR(INDEX(PP_Grid[#Data],$DE123,11),0)</f>
        <v/>
      </c>
      <c r="O123">
        <f>IFERROR(INDEX(PP_Grid[#Data],$DE123,12),0)</f>
        <v/>
      </c>
      <c r="P123">
        <f>IFERROR(INDEX(PP_Grid[#Data],$DE123,13),0)</f>
        <v/>
      </c>
      <c r="Q123">
        <f>IFERROR(INDEX(PP_Grid[#Data],$DE123,14),0)</f>
        <v/>
      </c>
      <c r="R123">
        <f>IFERROR(INDEX(PP_Grid[#Data],$DE123,15),0)</f>
        <v/>
      </c>
      <c r="S123">
        <f>IFERROR(INDEX(PP_Grid[#Data],$DE123,16),0)</f>
        <v/>
      </c>
      <c r="T123">
        <f>IFERROR(INDEX(PP_Grid[#Data],$DE123,17),0)</f>
        <v/>
      </c>
      <c r="U123">
        <f>IFERROR(INDEX(PP_Grid[#Data],$DE123,18),0)</f>
        <v/>
      </c>
      <c r="V123">
        <f>IFERROR(INDEX(PP_Grid[#Data],$DE123,19),0)</f>
        <v/>
      </c>
      <c r="W123">
        <f>IFERROR(INDEX(PP_Grid[#Data],$DE123,20),0)</f>
        <v/>
      </c>
      <c r="X123">
        <f>IFERROR(INDEX(PP_Grid[#Data],$DE123,21),0)</f>
        <v/>
      </c>
      <c r="Y123">
        <f>IFERROR(INDEX(PP_Grid[#Data],$DE123,22),0)</f>
        <v/>
      </c>
      <c r="Z123">
        <f>IFERROR(INDEX(PP_Grid[#Data],$DE123,23),0)</f>
        <v/>
      </c>
      <c r="AA123">
        <f>IFERROR(INDEX(PP_Grid[#Data],$DE123,24),0)</f>
        <v/>
      </c>
      <c r="AB123">
        <f>IFERROR(INDEX(PP_Grid[#Data],$DE123,25),0)</f>
        <v/>
      </c>
      <c r="AC123">
        <f>IFERROR(INDEX(PP_Grid[#Data],$DE123,26),0)</f>
        <v/>
      </c>
      <c r="AD123">
        <f>IFERROR(INDEX(PP_Grid[#Data],$DE123,27),0)</f>
        <v/>
      </c>
      <c r="AE123">
        <f>IFERROR(INDEX(PP_Grid[#Data],$DE123,28),0)</f>
        <v/>
      </c>
      <c r="AF123">
        <f>IFERROR(INDEX(PP_Grid[#Data],$DE123,29),0)</f>
        <v/>
      </c>
      <c r="AG123">
        <f>IFERROR(INDEX(PP_Grid[#Data],$DE123,30),0)</f>
        <v/>
      </c>
      <c r="AH123">
        <f>IFERROR(INDEX(PP_Grid[#Data],$DE123,31),0)</f>
        <v/>
      </c>
      <c r="AI123">
        <f>IFERROR(INDEX(PP_Grid[#Data],$DE123,32),0)</f>
        <v/>
      </c>
      <c r="AJ123">
        <f>IFERROR(INDEX(PP_Grid[#Data],$DE123,33),0)</f>
        <v/>
      </c>
      <c r="AK123">
        <f>IFERROR(INDEX(PP_Grid[#Data],$DE123,34),0)</f>
        <v/>
      </c>
      <c r="AL123">
        <f>IFERROR(INDEX(PP_Grid[#Data],$DE123,35),0)</f>
        <v/>
      </c>
      <c r="AM123">
        <f>IFERROR(INDEX(PP_Grid[#Data],$DE123,36),0)</f>
        <v/>
      </c>
      <c r="AN123">
        <f>IFERROR(INDEX(PP_Grid[#Data],$DE123,37),0)</f>
        <v/>
      </c>
      <c r="AO123">
        <f>IFERROR(INDEX(PP_Grid[#Data],$DE123,38),0)</f>
        <v/>
      </c>
      <c r="AP123">
        <f>IFERROR(INDEX(PP_Grid[#Data],$DE123,39),0)</f>
        <v/>
      </c>
      <c r="AQ123">
        <f>IFERROR(INDEX(PP_Grid[#Data],$DE123,40),0)</f>
        <v/>
      </c>
      <c r="AR123">
        <f>IFERROR(INDEX(PP_Grid[#Data],$DE123,41),0)</f>
        <v/>
      </c>
      <c r="AS123">
        <f>IFERROR(INDEX(PP_Grid[#Data],$DE123,42),0)</f>
        <v/>
      </c>
      <c r="AT123">
        <f>IFERROR(INDEX(PP_Grid[#Data],$DE123,43),0)</f>
        <v/>
      </c>
      <c r="AU123">
        <f>IFERROR(INDEX(PP_Grid[#Data],$DE123,44),0)</f>
        <v/>
      </c>
      <c r="AV123">
        <f>IFERROR(INDEX(PP_Grid[#Data],$DE123,45),0)</f>
        <v/>
      </c>
      <c r="AW123">
        <f>IFERROR(INDEX(PP_Grid[#Data],$DE123,46),0)</f>
        <v/>
      </c>
      <c r="AX123">
        <f>IFERROR(INDEX(PP_Grid[#Data],$DE123,47),0)</f>
        <v/>
      </c>
      <c r="AY123">
        <f>IFERROR(INDEX(PP_Grid[#Data],$DE123,48),0)</f>
        <v/>
      </c>
      <c r="AZ123">
        <f>IFERROR(INDEX(PP_Grid[#Data],$DE123,49),0)</f>
        <v/>
      </c>
      <c r="BA123">
        <f>IFERROR(INDEX(PP_Grid[#Data],$DE123,50),0)</f>
        <v/>
      </c>
      <c r="BB123">
        <f>IFERROR(INDEX(PP_Grid[#Data],$DE123,51),0)</f>
        <v/>
      </c>
      <c r="BC123">
        <f>IFERROR(INDEX(PP_Grid[#Data],$DE123,52),0)</f>
        <v/>
      </c>
      <c r="BD123">
        <f>IFERROR(INDEX(PP_Grid[#Data],$DE123,53),0)</f>
        <v/>
      </c>
      <c r="BE123">
        <f>IFERROR(INDEX(PP_Grid[#Data],$DE123,54),0)</f>
        <v/>
      </c>
      <c r="BF123">
        <f>IFERROR(INDEX(PP_Grid[#Data],$DE123,55),0)</f>
        <v/>
      </c>
      <c r="BG123">
        <f>IFERROR(INDEX(PP_Grid[#Data],$DE123,56),0)</f>
        <v/>
      </c>
      <c r="BH123">
        <f>IFERROR(INDEX(PP_Grid[#Data],$DE123,57),0)</f>
        <v/>
      </c>
      <c r="BI123">
        <f>IFERROR(INDEX(PP_Grid[#Data],$DE123,58),0)</f>
        <v/>
      </c>
      <c r="BJ123">
        <f>IFERROR(INDEX(PP_Grid[#Data],$DE123,59),0)</f>
        <v/>
      </c>
      <c r="BK123">
        <f>IFERROR(INDEX(PP_Grid[#Data],$DE123,60),0)</f>
        <v/>
      </c>
      <c r="BL123">
        <f>IFERROR(INDEX(PP_Grid[#Data],$DE123,61),0)</f>
        <v/>
      </c>
      <c r="BM123">
        <f>IFERROR(INDEX(PP_Grid[#Data],$DE123,62),0)</f>
        <v/>
      </c>
      <c r="BN123">
        <f>IFERROR(INDEX(PP_Grid[#Data],$DE123,63),0)</f>
        <v/>
      </c>
      <c r="BO123">
        <f>IFERROR(INDEX(PP_Grid[#Data],$DE123,64),0)</f>
        <v/>
      </c>
      <c r="BP123">
        <f>IFERROR(INDEX(PP_Grid[#Data],$DE123,65),0)</f>
        <v/>
      </c>
      <c r="BQ123">
        <f>IFERROR(INDEX(PP_Grid[#Data],$DE123,66),0)</f>
        <v/>
      </c>
      <c r="BR123">
        <f>IFERROR(INDEX(PP_Grid[#Data],$DE123,67),0)</f>
        <v/>
      </c>
      <c r="BS123">
        <f>IFERROR(INDEX(PP_Grid[#Data],$DE123,68),0)</f>
        <v/>
      </c>
      <c r="BT123">
        <f>IFERROR(INDEX(PP_Grid[#Data],$DE123,69),0)</f>
        <v/>
      </c>
      <c r="BU123">
        <f>IFERROR(INDEX(PP_Grid[#Data],$DE123,70),0)</f>
        <v/>
      </c>
      <c r="BV123">
        <f>IFERROR(INDEX(PP_Grid[#Data],$DE123,71),0)</f>
        <v/>
      </c>
      <c r="BW123">
        <f>IFERROR(INDEX(PP_Grid[#Data],$DE123,72),0)</f>
        <v/>
      </c>
      <c r="BX123">
        <f>IFERROR(INDEX(PP_Grid[#Data],$DE123,73),0)</f>
        <v/>
      </c>
      <c r="BY123">
        <f>IFERROR(INDEX(PP_Grid[#Data],$DE123,74),0)</f>
        <v/>
      </c>
      <c r="BZ123">
        <f>IFERROR(INDEX(PP_Grid[#Data],$DE123,75),0)</f>
        <v/>
      </c>
      <c r="CA123">
        <f>IFERROR(INDEX(PP_Grid[#Data],$DE123,76),0)</f>
        <v/>
      </c>
      <c r="CB123">
        <f>IFERROR(INDEX(PP_Grid[#Data],$DE123,77),0)</f>
        <v/>
      </c>
      <c r="CC123">
        <f>IFERROR(INDEX(PP_Grid[#Data],$DE123,78),0)</f>
        <v/>
      </c>
      <c r="CD123">
        <f>IFERROR(INDEX(PP_Grid[#Data],$DE123,79),0)</f>
        <v/>
      </c>
      <c r="CE123">
        <f>IFERROR(INDEX(PP_Grid[#Data],$DE123,80),0)</f>
        <v/>
      </c>
      <c r="CF123">
        <f>IFERROR(INDEX(PP_Grid[#Data],$DE123,81),0)</f>
        <v/>
      </c>
      <c r="CG123">
        <f>IFERROR(INDEX(PP_Grid[#Data],$DE123,82),0)</f>
        <v/>
      </c>
      <c r="CH123">
        <f>IFERROR(INDEX(PP_Grid[#Data],$DE123,83),0)</f>
        <v/>
      </c>
      <c r="CI123">
        <f>IFERROR(INDEX(PP_Grid[#Data],$DE123,84),0)</f>
        <v/>
      </c>
      <c r="CJ123">
        <f>IFERROR(INDEX(PP_Grid[#Data],$DE123,85),0)</f>
        <v/>
      </c>
      <c r="CK123">
        <f>IFERROR(INDEX(PP_Grid[#Data],$DE123,86),0)</f>
        <v/>
      </c>
      <c r="CL123">
        <f>IFERROR(INDEX(PP_Grid[#Data],$DE123,87),0)</f>
        <v/>
      </c>
      <c r="CM123">
        <f>IFERROR(INDEX(PP_Grid[#Data],$DE123,88),0)</f>
        <v/>
      </c>
      <c r="CN123">
        <f>IFERROR(INDEX(PP_Grid[#Data],$DE123,89),0)</f>
        <v/>
      </c>
      <c r="CO123">
        <f>IFERROR(INDEX(PP_Grid[#Data],$DE123,90),0)</f>
        <v/>
      </c>
      <c r="CP123">
        <f>IFERROR(INDEX(PP_Grid[#Data],$DE123,91),0)</f>
        <v/>
      </c>
      <c r="CQ123">
        <f>IFERROR(INDEX(PP_Grid[#Data],$DE123,92),0)</f>
        <v/>
      </c>
      <c r="CR123">
        <f>IFERROR(INDEX(PP_Grid[#Data],$DE123,93),0)</f>
        <v/>
      </c>
      <c r="CS123">
        <f>IFERROR(INDEX(PP_Grid[#Data],$DE123,94),0)</f>
        <v/>
      </c>
      <c r="CT123">
        <f>IFERROR(INDEX(PP_Grid[#Data],$DE123,95),0)</f>
        <v/>
      </c>
      <c r="CU123">
        <f>IFERROR(INDEX(PP_Grid[#Data],$DE123,96),0)</f>
        <v/>
      </c>
      <c r="CV123">
        <f>IFERROR(INDEX(PP_Grid[#Data],$DE123,97),0)</f>
        <v/>
      </c>
      <c r="CW123">
        <f>IFERROR(INDEX(PP_Grid[#Data],$DE123,98),0)</f>
        <v/>
      </c>
      <c r="CX123">
        <f>IFERROR(INDEX(PP_Grid[#Data],$DE123,99),0)</f>
        <v/>
      </c>
      <c r="CY123">
        <f>IFERROR(INDEX(PP_Grid[#Data],$DE123,100),0)</f>
        <v/>
      </c>
      <c r="CZ123">
        <f>IFERROR(INDEX(PP_Grid[#Data],$DE123,101),0)</f>
        <v/>
      </c>
      <c r="DA123">
        <f>IFERROR(INDEX(PP_Grid[#Data],$DE123,102),0)</f>
        <v/>
      </c>
      <c r="DB123">
        <f>IFERROR(INDEX(PP_Grid[#Data],$DE123,103),0)</f>
        <v/>
      </c>
      <c r="DC123">
        <f>IFERROR(INDEX(PP_Grid[#Data],$DE123,104),0)</f>
        <v/>
      </c>
      <c r="DD123">
        <f>IFERROR(INDEX(PP_Grid[#Data],$DE123,105),0)</f>
        <v/>
      </c>
      <c r="DE123" s="7">
        <f>IFERROR(MATCH($B123,PP_Grid[Intermediate],0),99999)</f>
        <v/>
      </c>
    </row>
    <row r="124">
      <c r="B124" t="inlineStr">
        <is>
          <t>使用量(kg)</t>
        </is>
      </c>
      <c r="C124">
        <f>SUMIFS(M_BOM[RM_Qty_Per_Batch],M_BOM[Intermediate],$B123,M_BOM[RM_Code],$A28)</f>
        <v/>
      </c>
      <c r="D124">
        <f>IFERROR(INDEX(E124:DD124,$F$1),"")</f>
        <v/>
      </c>
      <c r="E124">
        <f>$C124*E123</f>
        <v/>
      </c>
      <c r="F124">
        <f>$C124*F123</f>
        <v/>
      </c>
      <c r="G124">
        <f>$C124*G123</f>
        <v/>
      </c>
      <c r="H124">
        <f>$C124*H123</f>
        <v/>
      </c>
      <c r="I124">
        <f>$C124*I123</f>
        <v/>
      </c>
      <c r="J124">
        <f>$C124*J123</f>
        <v/>
      </c>
      <c r="K124">
        <f>$C124*K123</f>
        <v/>
      </c>
      <c r="L124">
        <f>$C124*L123</f>
        <v/>
      </c>
      <c r="M124">
        <f>$C124*M123</f>
        <v/>
      </c>
      <c r="N124">
        <f>$C124*N123</f>
        <v/>
      </c>
      <c r="O124">
        <f>$C124*O123</f>
        <v/>
      </c>
      <c r="P124">
        <f>$C124*P123</f>
        <v/>
      </c>
      <c r="Q124">
        <f>$C124*Q123</f>
        <v/>
      </c>
      <c r="R124">
        <f>$C124*R123</f>
        <v/>
      </c>
      <c r="S124">
        <f>$C124*S123</f>
        <v/>
      </c>
      <c r="T124">
        <f>$C124*T123</f>
        <v/>
      </c>
      <c r="U124">
        <f>$C124*U123</f>
        <v/>
      </c>
      <c r="V124">
        <f>$C124*V123</f>
        <v/>
      </c>
      <c r="W124">
        <f>$C124*W123</f>
        <v/>
      </c>
      <c r="X124">
        <f>$C124*X123</f>
        <v/>
      </c>
      <c r="Y124">
        <f>$C124*Y123</f>
        <v/>
      </c>
      <c r="Z124">
        <f>$C124*Z123</f>
        <v/>
      </c>
      <c r="AA124">
        <f>$C124*AA123</f>
        <v/>
      </c>
      <c r="AB124">
        <f>$C124*AB123</f>
        <v/>
      </c>
      <c r="AC124">
        <f>$C124*AC123</f>
        <v/>
      </c>
      <c r="AD124">
        <f>$C124*AD123</f>
        <v/>
      </c>
      <c r="AE124">
        <f>$C124*AE123</f>
        <v/>
      </c>
      <c r="AF124">
        <f>$C124*AF123</f>
        <v/>
      </c>
      <c r="AG124">
        <f>$C124*AG123</f>
        <v/>
      </c>
      <c r="AH124">
        <f>$C124*AH123</f>
        <v/>
      </c>
      <c r="AI124">
        <f>$C124*AI123</f>
        <v/>
      </c>
      <c r="AJ124">
        <f>$C124*AJ123</f>
        <v/>
      </c>
      <c r="AK124">
        <f>$C124*AK123</f>
        <v/>
      </c>
      <c r="AL124">
        <f>$C124*AL123</f>
        <v/>
      </c>
      <c r="AM124">
        <f>$C124*AM123</f>
        <v/>
      </c>
      <c r="AN124">
        <f>$C124*AN123</f>
        <v/>
      </c>
      <c r="AO124">
        <f>$C124*AO123</f>
        <v/>
      </c>
      <c r="AP124">
        <f>$C124*AP123</f>
        <v/>
      </c>
      <c r="AQ124">
        <f>$C124*AQ123</f>
        <v/>
      </c>
      <c r="AR124">
        <f>$C124*AR123</f>
        <v/>
      </c>
      <c r="AS124">
        <f>$C124*AS123</f>
        <v/>
      </c>
      <c r="AT124">
        <f>$C124*AT123</f>
        <v/>
      </c>
      <c r="AU124">
        <f>$C124*AU123</f>
        <v/>
      </c>
      <c r="AV124">
        <f>$C124*AV123</f>
        <v/>
      </c>
      <c r="AW124">
        <f>$C124*AW123</f>
        <v/>
      </c>
      <c r="AX124">
        <f>$C124*AX123</f>
        <v/>
      </c>
      <c r="AY124">
        <f>$C124*AY123</f>
        <v/>
      </c>
      <c r="AZ124">
        <f>$C124*AZ123</f>
        <v/>
      </c>
      <c r="BA124">
        <f>$C124*BA123</f>
        <v/>
      </c>
      <c r="BB124">
        <f>$C124*BB123</f>
        <v/>
      </c>
      <c r="BC124">
        <f>$C124*BC123</f>
        <v/>
      </c>
      <c r="BD124">
        <f>$C124*BD123</f>
        <v/>
      </c>
      <c r="BE124">
        <f>$C124*BE123</f>
        <v/>
      </c>
      <c r="BF124">
        <f>$C124*BF123</f>
        <v/>
      </c>
      <c r="BG124">
        <f>$C124*BG123</f>
        <v/>
      </c>
      <c r="BH124">
        <f>$C124*BH123</f>
        <v/>
      </c>
      <c r="BI124">
        <f>$C124*BI123</f>
        <v/>
      </c>
      <c r="BJ124">
        <f>$C124*BJ123</f>
        <v/>
      </c>
      <c r="BK124">
        <f>$C124*BK123</f>
        <v/>
      </c>
      <c r="BL124">
        <f>$C124*BL123</f>
        <v/>
      </c>
      <c r="BM124">
        <f>$C124*BM123</f>
        <v/>
      </c>
      <c r="BN124">
        <f>$C124*BN123</f>
        <v/>
      </c>
      <c r="BO124">
        <f>$C124*BO123</f>
        <v/>
      </c>
      <c r="BP124">
        <f>$C124*BP123</f>
        <v/>
      </c>
      <c r="BQ124">
        <f>$C124*BQ123</f>
        <v/>
      </c>
      <c r="BR124">
        <f>$C124*BR123</f>
        <v/>
      </c>
      <c r="BS124">
        <f>$C124*BS123</f>
        <v/>
      </c>
      <c r="BT124">
        <f>$C124*BT123</f>
        <v/>
      </c>
      <c r="BU124">
        <f>$C124*BU123</f>
        <v/>
      </c>
      <c r="BV124">
        <f>$C124*BV123</f>
        <v/>
      </c>
      <c r="BW124">
        <f>$C124*BW123</f>
        <v/>
      </c>
      <c r="BX124">
        <f>$C124*BX123</f>
        <v/>
      </c>
      <c r="BY124">
        <f>$C124*BY123</f>
        <v/>
      </c>
      <c r="BZ124">
        <f>$C124*BZ123</f>
        <v/>
      </c>
      <c r="CA124">
        <f>$C124*CA123</f>
        <v/>
      </c>
      <c r="CB124">
        <f>$C124*CB123</f>
        <v/>
      </c>
      <c r="CC124">
        <f>$C124*CC123</f>
        <v/>
      </c>
      <c r="CD124">
        <f>$C124*CD123</f>
        <v/>
      </c>
      <c r="CE124">
        <f>$C124*CE123</f>
        <v/>
      </c>
      <c r="CF124">
        <f>$C124*CF123</f>
        <v/>
      </c>
      <c r="CG124">
        <f>$C124*CG123</f>
        <v/>
      </c>
      <c r="CH124">
        <f>$C124*CH123</f>
        <v/>
      </c>
      <c r="CI124">
        <f>$C124*CI123</f>
        <v/>
      </c>
      <c r="CJ124">
        <f>$C124*CJ123</f>
        <v/>
      </c>
      <c r="CK124">
        <f>$C124*CK123</f>
        <v/>
      </c>
      <c r="CL124">
        <f>$C124*CL123</f>
        <v/>
      </c>
      <c r="CM124">
        <f>$C124*CM123</f>
        <v/>
      </c>
      <c r="CN124">
        <f>$C124*CN123</f>
        <v/>
      </c>
      <c r="CO124">
        <f>$C124*CO123</f>
        <v/>
      </c>
      <c r="CP124">
        <f>$C124*CP123</f>
        <v/>
      </c>
      <c r="CQ124">
        <f>$C124*CQ123</f>
        <v/>
      </c>
      <c r="CR124">
        <f>$C124*CR123</f>
        <v/>
      </c>
      <c r="CS124">
        <f>$C124*CS123</f>
        <v/>
      </c>
      <c r="CT124">
        <f>$C124*CT123</f>
        <v/>
      </c>
      <c r="CU124">
        <f>$C124*CU123</f>
        <v/>
      </c>
      <c r="CV124">
        <f>$C124*CV123</f>
        <v/>
      </c>
      <c r="CW124">
        <f>$C124*CW123</f>
        <v/>
      </c>
      <c r="CX124">
        <f>$C124*CX123</f>
        <v/>
      </c>
      <c r="CY124">
        <f>$C124*CY123</f>
        <v/>
      </c>
      <c r="CZ124">
        <f>$C124*CZ123</f>
        <v/>
      </c>
      <c r="DA124">
        <f>$C124*DA123</f>
        <v/>
      </c>
      <c r="DB124">
        <f>$C124*DB123</f>
        <v/>
      </c>
      <c r="DC124">
        <f>$C124*DC123</f>
        <v/>
      </c>
      <c r="DD124">
        <f>$C124*DD123</f>
        <v/>
      </c>
    </row>
    <row r="125">
      <c r="B125" t="inlineStr">
        <is>
          <t>TPP-700</t>
        </is>
      </c>
      <c r="C125" t="inlineStr">
        <is>
          <t>No. of batches</t>
        </is>
      </c>
      <c r="D125">
        <f>IFERROR(INDEX(E125:DD125,$F$1),"")</f>
        <v/>
      </c>
      <c r="E125">
        <f>IFERROR(INDEX(PP_Grid[#Data],$DE125,2),0)</f>
        <v/>
      </c>
      <c r="F125">
        <f>IFERROR(INDEX(PP_Grid[#Data],$DE125,3),0)</f>
        <v/>
      </c>
      <c r="G125">
        <f>IFERROR(INDEX(PP_Grid[#Data],$DE125,4),0)</f>
        <v/>
      </c>
      <c r="H125">
        <f>IFERROR(INDEX(PP_Grid[#Data],$DE125,5),0)</f>
        <v/>
      </c>
      <c r="I125">
        <f>IFERROR(INDEX(PP_Grid[#Data],$DE125,6),0)</f>
        <v/>
      </c>
      <c r="J125">
        <f>IFERROR(INDEX(PP_Grid[#Data],$DE125,7),0)</f>
        <v/>
      </c>
      <c r="K125">
        <f>IFERROR(INDEX(PP_Grid[#Data],$DE125,8),0)</f>
        <v/>
      </c>
      <c r="L125">
        <f>IFERROR(INDEX(PP_Grid[#Data],$DE125,9),0)</f>
        <v/>
      </c>
      <c r="M125">
        <f>IFERROR(INDEX(PP_Grid[#Data],$DE125,10),0)</f>
        <v/>
      </c>
      <c r="N125">
        <f>IFERROR(INDEX(PP_Grid[#Data],$DE125,11),0)</f>
        <v/>
      </c>
      <c r="O125">
        <f>IFERROR(INDEX(PP_Grid[#Data],$DE125,12),0)</f>
        <v/>
      </c>
      <c r="P125">
        <f>IFERROR(INDEX(PP_Grid[#Data],$DE125,13),0)</f>
        <v/>
      </c>
      <c r="Q125">
        <f>IFERROR(INDEX(PP_Grid[#Data],$DE125,14),0)</f>
        <v/>
      </c>
      <c r="R125">
        <f>IFERROR(INDEX(PP_Grid[#Data],$DE125,15),0)</f>
        <v/>
      </c>
      <c r="S125">
        <f>IFERROR(INDEX(PP_Grid[#Data],$DE125,16),0)</f>
        <v/>
      </c>
      <c r="T125">
        <f>IFERROR(INDEX(PP_Grid[#Data],$DE125,17),0)</f>
        <v/>
      </c>
      <c r="U125">
        <f>IFERROR(INDEX(PP_Grid[#Data],$DE125,18),0)</f>
        <v/>
      </c>
      <c r="V125">
        <f>IFERROR(INDEX(PP_Grid[#Data],$DE125,19),0)</f>
        <v/>
      </c>
      <c r="W125">
        <f>IFERROR(INDEX(PP_Grid[#Data],$DE125,20),0)</f>
        <v/>
      </c>
      <c r="X125">
        <f>IFERROR(INDEX(PP_Grid[#Data],$DE125,21),0)</f>
        <v/>
      </c>
      <c r="Y125">
        <f>IFERROR(INDEX(PP_Grid[#Data],$DE125,22),0)</f>
        <v/>
      </c>
      <c r="Z125">
        <f>IFERROR(INDEX(PP_Grid[#Data],$DE125,23),0)</f>
        <v/>
      </c>
      <c r="AA125">
        <f>IFERROR(INDEX(PP_Grid[#Data],$DE125,24),0)</f>
        <v/>
      </c>
      <c r="AB125">
        <f>IFERROR(INDEX(PP_Grid[#Data],$DE125,25),0)</f>
        <v/>
      </c>
      <c r="AC125">
        <f>IFERROR(INDEX(PP_Grid[#Data],$DE125,26),0)</f>
        <v/>
      </c>
      <c r="AD125">
        <f>IFERROR(INDEX(PP_Grid[#Data],$DE125,27),0)</f>
        <v/>
      </c>
      <c r="AE125">
        <f>IFERROR(INDEX(PP_Grid[#Data],$DE125,28),0)</f>
        <v/>
      </c>
      <c r="AF125">
        <f>IFERROR(INDEX(PP_Grid[#Data],$DE125,29),0)</f>
        <v/>
      </c>
      <c r="AG125">
        <f>IFERROR(INDEX(PP_Grid[#Data],$DE125,30),0)</f>
        <v/>
      </c>
      <c r="AH125">
        <f>IFERROR(INDEX(PP_Grid[#Data],$DE125,31),0)</f>
        <v/>
      </c>
      <c r="AI125">
        <f>IFERROR(INDEX(PP_Grid[#Data],$DE125,32),0)</f>
        <v/>
      </c>
      <c r="AJ125">
        <f>IFERROR(INDEX(PP_Grid[#Data],$DE125,33),0)</f>
        <v/>
      </c>
      <c r="AK125">
        <f>IFERROR(INDEX(PP_Grid[#Data],$DE125,34),0)</f>
        <v/>
      </c>
      <c r="AL125">
        <f>IFERROR(INDEX(PP_Grid[#Data],$DE125,35),0)</f>
        <v/>
      </c>
      <c r="AM125">
        <f>IFERROR(INDEX(PP_Grid[#Data],$DE125,36),0)</f>
        <v/>
      </c>
      <c r="AN125">
        <f>IFERROR(INDEX(PP_Grid[#Data],$DE125,37),0)</f>
        <v/>
      </c>
      <c r="AO125">
        <f>IFERROR(INDEX(PP_Grid[#Data],$DE125,38),0)</f>
        <v/>
      </c>
      <c r="AP125">
        <f>IFERROR(INDEX(PP_Grid[#Data],$DE125,39),0)</f>
        <v/>
      </c>
      <c r="AQ125">
        <f>IFERROR(INDEX(PP_Grid[#Data],$DE125,40),0)</f>
        <v/>
      </c>
      <c r="AR125">
        <f>IFERROR(INDEX(PP_Grid[#Data],$DE125,41),0)</f>
        <v/>
      </c>
      <c r="AS125">
        <f>IFERROR(INDEX(PP_Grid[#Data],$DE125,42),0)</f>
        <v/>
      </c>
      <c r="AT125">
        <f>IFERROR(INDEX(PP_Grid[#Data],$DE125,43),0)</f>
        <v/>
      </c>
      <c r="AU125">
        <f>IFERROR(INDEX(PP_Grid[#Data],$DE125,44),0)</f>
        <v/>
      </c>
      <c r="AV125">
        <f>IFERROR(INDEX(PP_Grid[#Data],$DE125,45),0)</f>
        <v/>
      </c>
      <c r="AW125">
        <f>IFERROR(INDEX(PP_Grid[#Data],$DE125,46),0)</f>
        <v/>
      </c>
      <c r="AX125">
        <f>IFERROR(INDEX(PP_Grid[#Data],$DE125,47),0)</f>
        <v/>
      </c>
      <c r="AY125">
        <f>IFERROR(INDEX(PP_Grid[#Data],$DE125,48),0)</f>
        <v/>
      </c>
      <c r="AZ125">
        <f>IFERROR(INDEX(PP_Grid[#Data],$DE125,49),0)</f>
        <v/>
      </c>
      <c r="BA125">
        <f>IFERROR(INDEX(PP_Grid[#Data],$DE125,50),0)</f>
        <v/>
      </c>
      <c r="BB125">
        <f>IFERROR(INDEX(PP_Grid[#Data],$DE125,51),0)</f>
        <v/>
      </c>
      <c r="BC125">
        <f>IFERROR(INDEX(PP_Grid[#Data],$DE125,52),0)</f>
        <v/>
      </c>
      <c r="BD125">
        <f>IFERROR(INDEX(PP_Grid[#Data],$DE125,53),0)</f>
        <v/>
      </c>
      <c r="BE125">
        <f>IFERROR(INDEX(PP_Grid[#Data],$DE125,54),0)</f>
        <v/>
      </c>
      <c r="BF125">
        <f>IFERROR(INDEX(PP_Grid[#Data],$DE125,55),0)</f>
        <v/>
      </c>
      <c r="BG125">
        <f>IFERROR(INDEX(PP_Grid[#Data],$DE125,56),0)</f>
        <v/>
      </c>
      <c r="BH125">
        <f>IFERROR(INDEX(PP_Grid[#Data],$DE125,57),0)</f>
        <v/>
      </c>
      <c r="BI125">
        <f>IFERROR(INDEX(PP_Grid[#Data],$DE125,58),0)</f>
        <v/>
      </c>
      <c r="BJ125">
        <f>IFERROR(INDEX(PP_Grid[#Data],$DE125,59),0)</f>
        <v/>
      </c>
      <c r="BK125">
        <f>IFERROR(INDEX(PP_Grid[#Data],$DE125,60),0)</f>
        <v/>
      </c>
      <c r="BL125">
        <f>IFERROR(INDEX(PP_Grid[#Data],$DE125,61),0)</f>
        <v/>
      </c>
      <c r="BM125">
        <f>IFERROR(INDEX(PP_Grid[#Data],$DE125,62),0)</f>
        <v/>
      </c>
      <c r="BN125">
        <f>IFERROR(INDEX(PP_Grid[#Data],$DE125,63),0)</f>
        <v/>
      </c>
      <c r="BO125">
        <f>IFERROR(INDEX(PP_Grid[#Data],$DE125,64),0)</f>
        <v/>
      </c>
      <c r="BP125">
        <f>IFERROR(INDEX(PP_Grid[#Data],$DE125,65),0)</f>
        <v/>
      </c>
      <c r="BQ125">
        <f>IFERROR(INDEX(PP_Grid[#Data],$DE125,66),0)</f>
        <v/>
      </c>
      <c r="BR125">
        <f>IFERROR(INDEX(PP_Grid[#Data],$DE125,67),0)</f>
        <v/>
      </c>
      <c r="BS125">
        <f>IFERROR(INDEX(PP_Grid[#Data],$DE125,68),0)</f>
        <v/>
      </c>
      <c r="BT125">
        <f>IFERROR(INDEX(PP_Grid[#Data],$DE125,69),0)</f>
        <v/>
      </c>
      <c r="BU125">
        <f>IFERROR(INDEX(PP_Grid[#Data],$DE125,70),0)</f>
        <v/>
      </c>
      <c r="BV125">
        <f>IFERROR(INDEX(PP_Grid[#Data],$DE125,71),0)</f>
        <v/>
      </c>
      <c r="BW125">
        <f>IFERROR(INDEX(PP_Grid[#Data],$DE125,72),0)</f>
        <v/>
      </c>
      <c r="BX125">
        <f>IFERROR(INDEX(PP_Grid[#Data],$DE125,73),0)</f>
        <v/>
      </c>
      <c r="BY125">
        <f>IFERROR(INDEX(PP_Grid[#Data],$DE125,74),0)</f>
        <v/>
      </c>
      <c r="BZ125">
        <f>IFERROR(INDEX(PP_Grid[#Data],$DE125,75),0)</f>
        <v/>
      </c>
      <c r="CA125">
        <f>IFERROR(INDEX(PP_Grid[#Data],$DE125,76),0)</f>
        <v/>
      </c>
      <c r="CB125">
        <f>IFERROR(INDEX(PP_Grid[#Data],$DE125,77),0)</f>
        <v/>
      </c>
      <c r="CC125">
        <f>IFERROR(INDEX(PP_Grid[#Data],$DE125,78),0)</f>
        <v/>
      </c>
      <c r="CD125">
        <f>IFERROR(INDEX(PP_Grid[#Data],$DE125,79),0)</f>
        <v/>
      </c>
      <c r="CE125">
        <f>IFERROR(INDEX(PP_Grid[#Data],$DE125,80),0)</f>
        <v/>
      </c>
      <c r="CF125">
        <f>IFERROR(INDEX(PP_Grid[#Data],$DE125,81),0)</f>
        <v/>
      </c>
      <c r="CG125">
        <f>IFERROR(INDEX(PP_Grid[#Data],$DE125,82),0)</f>
        <v/>
      </c>
      <c r="CH125">
        <f>IFERROR(INDEX(PP_Grid[#Data],$DE125,83),0)</f>
        <v/>
      </c>
      <c r="CI125">
        <f>IFERROR(INDEX(PP_Grid[#Data],$DE125,84),0)</f>
        <v/>
      </c>
      <c r="CJ125">
        <f>IFERROR(INDEX(PP_Grid[#Data],$DE125,85),0)</f>
        <v/>
      </c>
      <c r="CK125">
        <f>IFERROR(INDEX(PP_Grid[#Data],$DE125,86),0)</f>
        <v/>
      </c>
      <c r="CL125">
        <f>IFERROR(INDEX(PP_Grid[#Data],$DE125,87),0)</f>
        <v/>
      </c>
      <c r="CM125">
        <f>IFERROR(INDEX(PP_Grid[#Data],$DE125,88),0)</f>
        <v/>
      </c>
      <c r="CN125">
        <f>IFERROR(INDEX(PP_Grid[#Data],$DE125,89),0)</f>
        <v/>
      </c>
      <c r="CO125">
        <f>IFERROR(INDEX(PP_Grid[#Data],$DE125,90),0)</f>
        <v/>
      </c>
      <c r="CP125">
        <f>IFERROR(INDEX(PP_Grid[#Data],$DE125,91),0)</f>
        <v/>
      </c>
      <c r="CQ125">
        <f>IFERROR(INDEX(PP_Grid[#Data],$DE125,92),0)</f>
        <v/>
      </c>
      <c r="CR125">
        <f>IFERROR(INDEX(PP_Grid[#Data],$DE125,93),0)</f>
        <v/>
      </c>
      <c r="CS125">
        <f>IFERROR(INDEX(PP_Grid[#Data],$DE125,94),0)</f>
        <v/>
      </c>
      <c r="CT125">
        <f>IFERROR(INDEX(PP_Grid[#Data],$DE125,95),0)</f>
        <v/>
      </c>
      <c r="CU125">
        <f>IFERROR(INDEX(PP_Grid[#Data],$DE125,96),0)</f>
        <v/>
      </c>
      <c r="CV125">
        <f>IFERROR(INDEX(PP_Grid[#Data],$DE125,97),0)</f>
        <v/>
      </c>
      <c r="CW125">
        <f>IFERROR(INDEX(PP_Grid[#Data],$DE125,98),0)</f>
        <v/>
      </c>
      <c r="CX125">
        <f>IFERROR(INDEX(PP_Grid[#Data],$DE125,99),0)</f>
        <v/>
      </c>
      <c r="CY125">
        <f>IFERROR(INDEX(PP_Grid[#Data],$DE125,100),0)</f>
        <v/>
      </c>
      <c r="CZ125">
        <f>IFERROR(INDEX(PP_Grid[#Data],$DE125,101),0)</f>
        <v/>
      </c>
      <c r="DA125">
        <f>IFERROR(INDEX(PP_Grid[#Data],$DE125,102),0)</f>
        <v/>
      </c>
      <c r="DB125">
        <f>IFERROR(INDEX(PP_Grid[#Data],$DE125,103),0)</f>
        <v/>
      </c>
      <c r="DC125">
        <f>IFERROR(INDEX(PP_Grid[#Data],$DE125,104),0)</f>
        <v/>
      </c>
      <c r="DD125">
        <f>IFERROR(INDEX(PP_Grid[#Data],$DE125,105),0)</f>
        <v/>
      </c>
      <c r="DE125" s="7">
        <f>IFERROR(MATCH($B125,PP_Grid[Intermediate],0),99999)</f>
        <v/>
      </c>
    </row>
    <row r="126">
      <c r="B126" t="inlineStr">
        <is>
          <t>使用量(kg)</t>
        </is>
      </c>
      <c r="C126">
        <f>SUMIFS(M_BOM[RM_Qty_Per_Batch],M_BOM[Intermediate],$B125,M_BOM[RM_Code],$A28)</f>
        <v/>
      </c>
      <c r="D126">
        <f>IFERROR(INDEX(E126:DD126,$F$1),"")</f>
        <v/>
      </c>
      <c r="E126">
        <f>$C126*E125</f>
        <v/>
      </c>
      <c r="F126">
        <f>$C126*F125</f>
        <v/>
      </c>
      <c r="G126">
        <f>$C126*G125</f>
        <v/>
      </c>
      <c r="H126">
        <f>$C126*H125</f>
        <v/>
      </c>
      <c r="I126">
        <f>$C126*I125</f>
        <v/>
      </c>
      <c r="J126">
        <f>$C126*J125</f>
        <v/>
      </c>
      <c r="K126">
        <f>$C126*K125</f>
        <v/>
      </c>
      <c r="L126">
        <f>$C126*L125</f>
        <v/>
      </c>
      <c r="M126">
        <f>$C126*M125</f>
        <v/>
      </c>
      <c r="N126">
        <f>$C126*N125</f>
        <v/>
      </c>
      <c r="O126">
        <f>$C126*O125</f>
        <v/>
      </c>
      <c r="P126">
        <f>$C126*P125</f>
        <v/>
      </c>
      <c r="Q126">
        <f>$C126*Q125</f>
        <v/>
      </c>
      <c r="R126">
        <f>$C126*R125</f>
        <v/>
      </c>
      <c r="S126">
        <f>$C126*S125</f>
        <v/>
      </c>
      <c r="T126">
        <f>$C126*T125</f>
        <v/>
      </c>
      <c r="U126">
        <f>$C126*U125</f>
        <v/>
      </c>
      <c r="V126">
        <f>$C126*V125</f>
        <v/>
      </c>
      <c r="W126">
        <f>$C126*W125</f>
        <v/>
      </c>
      <c r="X126">
        <f>$C126*X125</f>
        <v/>
      </c>
      <c r="Y126">
        <f>$C126*Y125</f>
        <v/>
      </c>
      <c r="Z126">
        <f>$C126*Z125</f>
        <v/>
      </c>
      <c r="AA126">
        <f>$C126*AA125</f>
        <v/>
      </c>
      <c r="AB126">
        <f>$C126*AB125</f>
        <v/>
      </c>
      <c r="AC126">
        <f>$C126*AC125</f>
        <v/>
      </c>
      <c r="AD126">
        <f>$C126*AD125</f>
        <v/>
      </c>
      <c r="AE126">
        <f>$C126*AE125</f>
        <v/>
      </c>
      <c r="AF126">
        <f>$C126*AF125</f>
        <v/>
      </c>
      <c r="AG126">
        <f>$C126*AG125</f>
        <v/>
      </c>
      <c r="AH126">
        <f>$C126*AH125</f>
        <v/>
      </c>
      <c r="AI126">
        <f>$C126*AI125</f>
        <v/>
      </c>
      <c r="AJ126">
        <f>$C126*AJ125</f>
        <v/>
      </c>
      <c r="AK126">
        <f>$C126*AK125</f>
        <v/>
      </c>
      <c r="AL126">
        <f>$C126*AL125</f>
        <v/>
      </c>
      <c r="AM126">
        <f>$C126*AM125</f>
        <v/>
      </c>
      <c r="AN126">
        <f>$C126*AN125</f>
        <v/>
      </c>
      <c r="AO126">
        <f>$C126*AO125</f>
        <v/>
      </c>
      <c r="AP126">
        <f>$C126*AP125</f>
        <v/>
      </c>
      <c r="AQ126">
        <f>$C126*AQ125</f>
        <v/>
      </c>
      <c r="AR126">
        <f>$C126*AR125</f>
        <v/>
      </c>
      <c r="AS126">
        <f>$C126*AS125</f>
        <v/>
      </c>
      <c r="AT126">
        <f>$C126*AT125</f>
        <v/>
      </c>
      <c r="AU126">
        <f>$C126*AU125</f>
        <v/>
      </c>
      <c r="AV126">
        <f>$C126*AV125</f>
        <v/>
      </c>
      <c r="AW126">
        <f>$C126*AW125</f>
        <v/>
      </c>
      <c r="AX126">
        <f>$C126*AX125</f>
        <v/>
      </c>
      <c r="AY126">
        <f>$C126*AY125</f>
        <v/>
      </c>
      <c r="AZ126">
        <f>$C126*AZ125</f>
        <v/>
      </c>
      <c r="BA126">
        <f>$C126*BA125</f>
        <v/>
      </c>
      <c r="BB126">
        <f>$C126*BB125</f>
        <v/>
      </c>
      <c r="BC126">
        <f>$C126*BC125</f>
        <v/>
      </c>
      <c r="BD126">
        <f>$C126*BD125</f>
        <v/>
      </c>
      <c r="BE126">
        <f>$C126*BE125</f>
        <v/>
      </c>
      <c r="BF126">
        <f>$C126*BF125</f>
        <v/>
      </c>
      <c r="BG126">
        <f>$C126*BG125</f>
        <v/>
      </c>
      <c r="BH126">
        <f>$C126*BH125</f>
        <v/>
      </c>
      <c r="BI126">
        <f>$C126*BI125</f>
        <v/>
      </c>
      <c r="BJ126">
        <f>$C126*BJ125</f>
        <v/>
      </c>
      <c r="BK126">
        <f>$C126*BK125</f>
        <v/>
      </c>
      <c r="BL126">
        <f>$C126*BL125</f>
        <v/>
      </c>
      <c r="BM126">
        <f>$C126*BM125</f>
        <v/>
      </c>
      <c r="BN126">
        <f>$C126*BN125</f>
        <v/>
      </c>
      <c r="BO126">
        <f>$C126*BO125</f>
        <v/>
      </c>
      <c r="BP126">
        <f>$C126*BP125</f>
        <v/>
      </c>
      <c r="BQ126">
        <f>$C126*BQ125</f>
        <v/>
      </c>
      <c r="BR126">
        <f>$C126*BR125</f>
        <v/>
      </c>
      <c r="BS126">
        <f>$C126*BS125</f>
        <v/>
      </c>
      <c r="BT126">
        <f>$C126*BT125</f>
        <v/>
      </c>
      <c r="BU126">
        <f>$C126*BU125</f>
        <v/>
      </c>
      <c r="BV126">
        <f>$C126*BV125</f>
        <v/>
      </c>
      <c r="BW126">
        <f>$C126*BW125</f>
        <v/>
      </c>
      <c r="BX126">
        <f>$C126*BX125</f>
        <v/>
      </c>
      <c r="BY126">
        <f>$C126*BY125</f>
        <v/>
      </c>
      <c r="BZ126">
        <f>$C126*BZ125</f>
        <v/>
      </c>
      <c r="CA126">
        <f>$C126*CA125</f>
        <v/>
      </c>
      <c r="CB126">
        <f>$C126*CB125</f>
        <v/>
      </c>
      <c r="CC126">
        <f>$C126*CC125</f>
        <v/>
      </c>
      <c r="CD126">
        <f>$C126*CD125</f>
        <v/>
      </c>
      <c r="CE126">
        <f>$C126*CE125</f>
        <v/>
      </c>
      <c r="CF126">
        <f>$C126*CF125</f>
        <v/>
      </c>
      <c r="CG126">
        <f>$C126*CG125</f>
        <v/>
      </c>
      <c r="CH126">
        <f>$C126*CH125</f>
        <v/>
      </c>
      <c r="CI126">
        <f>$C126*CI125</f>
        <v/>
      </c>
      <c r="CJ126">
        <f>$C126*CJ125</f>
        <v/>
      </c>
      <c r="CK126">
        <f>$C126*CK125</f>
        <v/>
      </c>
      <c r="CL126">
        <f>$C126*CL125</f>
        <v/>
      </c>
      <c r="CM126">
        <f>$C126*CM125</f>
        <v/>
      </c>
      <c r="CN126">
        <f>$C126*CN125</f>
        <v/>
      </c>
      <c r="CO126">
        <f>$C126*CO125</f>
        <v/>
      </c>
      <c r="CP126">
        <f>$C126*CP125</f>
        <v/>
      </c>
      <c r="CQ126">
        <f>$C126*CQ125</f>
        <v/>
      </c>
      <c r="CR126">
        <f>$C126*CR125</f>
        <v/>
      </c>
      <c r="CS126">
        <f>$C126*CS125</f>
        <v/>
      </c>
      <c r="CT126">
        <f>$C126*CT125</f>
        <v/>
      </c>
      <c r="CU126">
        <f>$C126*CU125</f>
        <v/>
      </c>
      <c r="CV126">
        <f>$C126*CV125</f>
        <v/>
      </c>
      <c r="CW126">
        <f>$C126*CW125</f>
        <v/>
      </c>
      <c r="CX126">
        <f>$C126*CX125</f>
        <v/>
      </c>
      <c r="CY126">
        <f>$C126*CY125</f>
        <v/>
      </c>
      <c r="CZ126">
        <f>$C126*CZ125</f>
        <v/>
      </c>
      <c r="DA126">
        <f>$C126*DA125</f>
        <v/>
      </c>
      <c r="DB126">
        <f>$C126*DB125</f>
        <v/>
      </c>
      <c r="DC126">
        <f>$C126*DC125</f>
        <v/>
      </c>
      <c r="DD126">
        <f>$C126*DD125</f>
        <v/>
      </c>
    </row>
    <row r="127">
      <c r="B127" t="inlineStr">
        <is>
          <t>TPP-704</t>
        </is>
      </c>
      <c r="C127" t="inlineStr">
        <is>
          <t>No. of batches</t>
        </is>
      </c>
      <c r="D127">
        <f>IFERROR(INDEX(E127:DD127,$F$1),"")</f>
        <v/>
      </c>
      <c r="E127">
        <f>IFERROR(INDEX(PP_Grid[#Data],$DE127,2),0)</f>
        <v/>
      </c>
      <c r="F127">
        <f>IFERROR(INDEX(PP_Grid[#Data],$DE127,3),0)</f>
        <v/>
      </c>
      <c r="G127">
        <f>IFERROR(INDEX(PP_Grid[#Data],$DE127,4),0)</f>
        <v/>
      </c>
      <c r="H127">
        <f>IFERROR(INDEX(PP_Grid[#Data],$DE127,5),0)</f>
        <v/>
      </c>
      <c r="I127">
        <f>IFERROR(INDEX(PP_Grid[#Data],$DE127,6),0)</f>
        <v/>
      </c>
      <c r="J127">
        <f>IFERROR(INDEX(PP_Grid[#Data],$DE127,7),0)</f>
        <v/>
      </c>
      <c r="K127">
        <f>IFERROR(INDEX(PP_Grid[#Data],$DE127,8),0)</f>
        <v/>
      </c>
      <c r="L127">
        <f>IFERROR(INDEX(PP_Grid[#Data],$DE127,9),0)</f>
        <v/>
      </c>
      <c r="M127">
        <f>IFERROR(INDEX(PP_Grid[#Data],$DE127,10),0)</f>
        <v/>
      </c>
      <c r="N127">
        <f>IFERROR(INDEX(PP_Grid[#Data],$DE127,11),0)</f>
        <v/>
      </c>
      <c r="O127">
        <f>IFERROR(INDEX(PP_Grid[#Data],$DE127,12),0)</f>
        <v/>
      </c>
      <c r="P127">
        <f>IFERROR(INDEX(PP_Grid[#Data],$DE127,13),0)</f>
        <v/>
      </c>
      <c r="Q127">
        <f>IFERROR(INDEX(PP_Grid[#Data],$DE127,14),0)</f>
        <v/>
      </c>
      <c r="R127">
        <f>IFERROR(INDEX(PP_Grid[#Data],$DE127,15),0)</f>
        <v/>
      </c>
      <c r="S127">
        <f>IFERROR(INDEX(PP_Grid[#Data],$DE127,16),0)</f>
        <v/>
      </c>
      <c r="T127">
        <f>IFERROR(INDEX(PP_Grid[#Data],$DE127,17),0)</f>
        <v/>
      </c>
      <c r="U127">
        <f>IFERROR(INDEX(PP_Grid[#Data],$DE127,18),0)</f>
        <v/>
      </c>
      <c r="V127">
        <f>IFERROR(INDEX(PP_Grid[#Data],$DE127,19),0)</f>
        <v/>
      </c>
      <c r="W127">
        <f>IFERROR(INDEX(PP_Grid[#Data],$DE127,20),0)</f>
        <v/>
      </c>
      <c r="X127">
        <f>IFERROR(INDEX(PP_Grid[#Data],$DE127,21),0)</f>
        <v/>
      </c>
      <c r="Y127">
        <f>IFERROR(INDEX(PP_Grid[#Data],$DE127,22),0)</f>
        <v/>
      </c>
      <c r="Z127">
        <f>IFERROR(INDEX(PP_Grid[#Data],$DE127,23),0)</f>
        <v/>
      </c>
      <c r="AA127">
        <f>IFERROR(INDEX(PP_Grid[#Data],$DE127,24),0)</f>
        <v/>
      </c>
      <c r="AB127">
        <f>IFERROR(INDEX(PP_Grid[#Data],$DE127,25),0)</f>
        <v/>
      </c>
      <c r="AC127">
        <f>IFERROR(INDEX(PP_Grid[#Data],$DE127,26),0)</f>
        <v/>
      </c>
      <c r="AD127">
        <f>IFERROR(INDEX(PP_Grid[#Data],$DE127,27),0)</f>
        <v/>
      </c>
      <c r="AE127">
        <f>IFERROR(INDEX(PP_Grid[#Data],$DE127,28),0)</f>
        <v/>
      </c>
      <c r="AF127">
        <f>IFERROR(INDEX(PP_Grid[#Data],$DE127,29),0)</f>
        <v/>
      </c>
      <c r="AG127">
        <f>IFERROR(INDEX(PP_Grid[#Data],$DE127,30),0)</f>
        <v/>
      </c>
      <c r="AH127">
        <f>IFERROR(INDEX(PP_Grid[#Data],$DE127,31),0)</f>
        <v/>
      </c>
      <c r="AI127">
        <f>IFERROR(INDEX(PP_Grid[#Data],$DE127,32),0)</f>
        <v/>
      </c>
      <c r="AJ127">
        <f>IFERROR(INDEX(PP_Grid[#Data],$DE127,33),0)</f>
        <v/>
      </c>
      <c r="AK127">
        <f>IFERROR(INDEX(PP_Grid[#Data],$DE127,34),0)</f>
        <v/>
      </c>
      <c r="AL127">
        <f>IFERROR(INDEX(PP_Grid[#Data],$DE127,35),0)</f>
        <v/>
      </c>
      <c r="AM127">
        <f>IFERROR(INDEX(PP_Grid[#Data],$DE127,36),0)</f>
        <v/>
      </c>
      <c r="AN127">
        <f>IFERROR(INDEX(PP_Grid[#Data],$DE127,37),0)</f>
        <v/>
      </c>
      <c r="AO127">
        <f>IFERROR(INDEX(PP_Grid[#Data],$DE127,38),0)</f>
        <v/>
      </c>
      <c r="AP127">
        <f>IFERROR(INDEX(PP_Grid[#Data],$DE127,39),0)</f>
        <v/>
      </c>
      <c r="AQ127">
        <f>IFERROR(INDEX(PP_Grid[#Data],$DE127,40),0)</f>
        <v/>
      </c>
      <c r="AR127">
        <f>IFERROR(INDEX(PP_Grid[#Data],$DE127,41),0)</f>
        <v/>
      </c>
      <c r="AS127">
        <f>IFERROR(INDEX(PP_Grid[#Data],$DE127,42),0)</f>
        <v/>
      </c>
      <c r="AT127">
        <f>IFERROR(INDEX(PP_Grid[#Data],$DE127,43),0)</f>
        <v/>
      </c>
      <c r="AU127">
        <f>IFERROR(INDEX(PP_Grid[#Data],$DE127,44),0)</f>
        <v/>
      </c>
      <c r="AV127">
        <f>IFERROR(INDEX(PP_Grid[#Data],$DE127,45),0)</f>
        <v/>
      </c>
      <c r="AW127">
        <f>IFERROR(INDEX(PP_Grid[#Data],$DE127,46),0)</f>
        <v/>
      </c>
      <c r="AX127">
        <f>IFERROR(INDEX(PP_Grid[#Data],$DE127,47),0)</f>
        <v/>
      </c>
      <c r="AY127">
        <f>IFERROR(INDEX(PP_Grid[#Data],$DE127,48),0)</f>
        <v/>
      </c>
      <c r="AZ127">
        <f>IFERROR(INDEX(PP_Grid[#Data],$DE127,49),0)</f>
        <v/>
      </c>
      <c r="BA127">
        <f>IFERROR(INDEX(PP_Grid[#Data],$DE127,50),0)</f>
        <v/>
      </c>
      <c r="BB127">
        <f>IFERROR(INDEX(PP_Grid[#Data],$DE127,51),0)</f>
        <v/>
      </c>
      <c r="BC127">
        <f>IFERROR(INDEX(PP_Grid[#Data],$DE127,52),0)</f>
        <v/>
      </c>
      <c r="BD127">
        <f>IFERROR(INDEX(PP_Grid[#Data],$DE127,53),0)</f>
        <v/>
      </c>
      <c r="BE127">
        <f>IFERROR(INDEX(PP_Grid[#Data],$DE127,54),0)</f>
        <v/>
      </c>
      <c r="BF127">
        <f>IFERROR(INDEX(PP_Grid[#Data],$DE127,55),0)</f>
        <v/>
      </c>
      <c r="BG127">
        <f>IFERROR(INDEX(PP_Grid[#Data],$DE127,56),0)</f>
        <v/>
      </c>
      <c r="BH127">
        <f>IFERROR(INDEX(PP_Grid[#Data],$DE127,57),0)</f>
        <v/>
      </c>
      <c r="BI127">
        <f>IFERROR(INDEX(PP_Grid[#Data],$DE127,58),0)</f>
        <v/>
      </c>
      <c r="BJ127">
        <f>IFERROR(INDEX(PP_Grid[#Data],$DE127,59),0)</f>
        <v/>
      </c>
      <c r="BK127">
        <f>IFERROR(INDEX(PP_Grid[#Data],$DE127,60),0)</f>
        <v/>
      </c>
      <c r="BL127">
        <f>IFERROR(INDEX(PP_Grid[#Data],$DE127,61),0)</f>
        <v/>
      </c>
      <c r="BM127">
        <f>IFERROR(INDEX(PP_Grid[#Data],$DE127,62),0)</f>
        <v/>
      </c>
      <c r="BN127">
        <f>IFERROR(INDEX(PP_Grid[#Data],$DE127,63),0)</f>
        <v/>
      </c>
      <c r="BO127">
        <f>IFERROR(INDEX(PP_Grid[#Data],$DE127,64),0)</f>
        <v/>
      </c>
      <c r="BP127">
        <f>IFERROR(INDEX(PP_Grid[#Data],$DE127,65),0)</f>
        <v/>
      </c>
      <c r="BQ127">
        <f>IFERROR(INDEX(PP_Grid[#Data],$DE127,66),0)</f>
        <v/>
      </c>
      <c r="BR127">
        <f>IFERROR(INDEX(PP_Grid[#Data],$DE127,67),0)</f>
        <v/>
      </c>
      <c r="BS127">
        <f>IFERROR(INDEX(PP_Grid[#Data],$DE127,68),0)</f>
        <v/>
      </c>
      <c r="BT127">
        <f>IFERROR(INDEX(PP_Grid[#Data],$DE127,69),0)</f>
        <v/>
      </c>
      <c r="BU127">
        <f>IFERROR(INDEX(PP_Grid[#Data],$DE127,70),0)</f>
        <v/>
      </c>
      <c r="BV127">
        <f>IFERROR(INDEX(PP_Grid[#Data],$DE127,71),0)</f>
        <v/>
      </c>
      <c r="BW127">
        <f>IFERROR(INDEX(PP_Grid[#Data],$DE127,72),0)</f>
        <v/>
      </c>
      <c r="BX127">
        <f>IFERROR(INDEX(PP_Grid[#Data],$DE127,73),0)</f>
        <v/>
      </c>
      <c r="BY127">
        <f>IFERROR(INDEX(PP_Grid[#Data],$DE127,74),0)</f>
        <v/>
      </c>
      <c r="BZ127">
        <f>IFERROR(INDEX(PP_Grid[#Data],$DE127,75),0)</f>
        <v/>
      </c>
      <c r="CA127">
        <f>IFERROR(INDEX(PP_Grid[#Data],$DE127,76),0)</f>
        <v/>
      </c>
      <c r="CB127">
        <f>IFERROR(INDEX(PP_Grid[#Data],$DE127,77),0)</f>
        <v/>
      </c>
      <c r="CC127">
        <f>IFERROR(INDEX(PP_Grid[#Data],$DE127,78),0)</f>
        <v/>
      </c>
      <c r="CD127">
        <f>IFERROR(INDEX(PP_Grid[#Data],$DE127,79),0)</f>
        <v/>
      </c>
      <c r="CE127">
        <f>IFERROR(INDEX(PP_Grid[#Data],$DE127,80),0)</f>
        <v/>
      </c>
      <c r="CF127">
        <f>IFERROR(INDEX(PP_Grid[#Data],$DE127,81),0)</f>
        <v/>
      </c>
      <c r="CG127">
        <f>IFERROR(INDEX(PP_Grid[#Data],$DE127,82),0)</f>
        <v/>
      </c>
      <c r="CH127">
        <f>IFERROR(INDEX(PP_Grid[#Data],$DE127,83),0)</f>
        <v/>
      </c>
      <c r="CI127">
        <f>IFERROR(INDEX(PP_Grid[#Data],$DE127,84),0)</f>
        <v/>
      </c>
      <c r="CJ127">
        <f>IFERROR(INDEX(PP_Grid[#Data],$DE127,85),0)</f>
        <v/>
      </c>
      <c r="CK127">
        <f>IFERROR(INDEX(PP_Grid[#Data],$DE127,86),0)</f>
        <v/>
      </c>
      <c r="CL127">
        <f>IFERROR(INDEX(PP_Grid[#Data],$DE127,87),0)</f>
        <v/>
      </c>
      <c r="CM127">
        <f>IFERROR(INDEX(PP_Grid[#Data],$DE127,88),0)</f>
        <v/>
      </c>
      <c r="CN127">
        <f>IFERROR(INDEX(PP_Grid[#Data],$DE127,89),0)</f>
        <v/>
      </c>
      <c r="CO127">
        <f>IFERROR(INDEX(PP_Grid[#Data],$DE127,90),0)</f>
        <v/>
      </c>
      <c r="CP127">
        <f>IFERROR(INDEX(PP_Grid[#Data],$DE127,91),0)</f>
        <v/>
      </c>
      <c r="CQ127">
        <f>IFERROR(INDEX(PP_Grid[#Data],$DE127,92),0)</f>
        <v/>
      </c>
      <c r="CR127">
        <f>IFERROR(INDEX(PP_Grid[#Data],$DE127,93),0)</f>
        <v/>
      </c>
      <c r="CS127">
        <f>IFERROR(INDEX(PP_Grid[#Data],$DE127,94),0)</f>
        <v/>
      </c>
      <c r="CT127">
        <f>IFERROR(INDEX(PP_Grid[#Data],$DE127,95),0)</f>
        <v/>
      </c>
      <c r="CU127">
        <f>IFERROR(INDEX(PP_Grid[#Data],$DE127,96),0)</f>
        <v/>
      </c>
      <c r="CV127">
        <f>IFERROR(INDEX(PP_Grid[#Data],$DE127,97),0)</f>
        <v/>
      </c>
      <c r="CW127">
        <f>IFERROR(INDEX(PP_Grid[#Data],$DE127,98),0)</f>
        <v/>
      </c>
      <c r="CX127">
        <f>IFERROR(INDEX(PP_Grid[#Data],$DE127,99),0)</f>
        <v/>
      </c>
      <c r="CY127">
        <f>IFERROR(INDEX(PP_Grid[#Data],$DE127,100),0)</f>
        <v/>
      </c>
      <c r="CZ127">
        <f>IFERROR(INDEX(PP_Grid[#Data],$DE127,101),0)</f>
        <v/>
      </c>
      <c r="DA127">
        <f>IFERROR(INDEX(PP_Grid[#Data],$DE127,102),0)</f>
        <v/>
      </c>
      <c r="DB127">
        <f>IFERROR(INDEX(PP_Grid[#Data],$DE127,103),0)</f>
        <v/>
      </c>
      <c r="DC127">
        <f>IFERROR(INDEX(PP_Grid[#Data],$DE127,104),0)</f>
        <v/>
      </c>
      <c r="DD127">
        <f>IFERROR(INDEX(PP_Grid[#Data],$DE127,105),0)</f>
        <v/>
      </c>
      <c r="DE127" s="7">
        <f>IFERROR(MATCH($B127,PP_Grid[Intermediate],0),99999)</f>
        <v/>
      </c>
    </row>
    <row r="128">
      <c r="B128" t="inlineStr">
        <is>
          <t>使用量(kg)</t>
        </is>
      </c>
      <c r="C128">
        <f>SUMIFS(M_BOM[RM_Qty_Per_Batch],M_BOM[Intermediate],$B127,M_BOM[RM_Code],$A28)</f>
        <v/>
      </c>
      <c r="D128">
        <f>IFERROR(INDEX(E128:DD128,$F$1),"")</f>
        <v/>
      </c>
      <c r="E128">
        <f>$C128*E127</f>
        <v/>
      </c>
      <c r="F128">
        <f>$C128*F127</f>
        <v/>
      </c>
      <c r="G128">
        <f>$C128*G127</f>
        <v/>
      </c>
      <c r="H128">
        <f>$C128*H127</f>
        <v/>
      </c>
      <c r="I128">
        <f>$C128*I127</f>
        <v/>
      </c>
      <c r="J128">
        <f>$C128*J127</f>
        <v/>
      </c>
      <c r="K128">
        <f>$C128*K127</f>
        <v/>
      </c>
      <c r="L128">
        <f>$C128*L127</f>
        <v/>
      </c>
      <c r="M128">
        <f>$C128*M127</f>
        <v/>
      </c>
      <c r="N128">
        <f>$C128*N127</f>
        <v/>
      </c>
      <c r="O128">
        <f>$C128*O127</f>
        <v/>
      </c>
      <c r="P128">
        <f>$C128*P127</f>
        <v/>
      </c>
      <c r="Q128">
        <f>$C128*Q127</f>
        <v/>
      </c>
      <c r="R128">
        <f>$C128*R127</f>
        <v/>
      </c>
      <c r="S128">
        <f>$C128*S127</f>
        <v/>
      </c>
      <c r="T128">
        <f>$C128*T127</f>
        <v/>
      </c>
      <c r="U128">
        <f>$C128*U127</f>
        <v/>
      </c>
      <c r="V128">
        <f>$C128*V127</f>
        <v/>
      </c>
      <c r="W128">
        <f>$C128*W127</f>
        <v/>
      </c>
      <c r="X128">
        <f>$C128*X127</f>
        <v/>
      </c>
      <c r="Y128">
        <f>$C128*Y127</f>
        <v/>
      </c>
      <c r="Z128">
        <f>$C128*Z127</f>
        <v/>
      </c>
      <c r="AA128">
        <f>$C128*AA127</f>
        <v/>
      </c>
      <c r="AB128">
        <f>$C128*AB127</f>
        <v/>
      </c>
      <c r="AC128">
        <f>$C128*AC127</f>
        <v/>
      </c>
      <c r="AD128">
        <f>$C128*AD127</f>
        <v/>
      </c>
      <c r="AE128">
        <f>$C128*AE127</f>
        <v/>
      </c>
      <c r="AF128">
        <f>$C128*AF127</f>
        <v/>
      </c>
      <c r="AG128">
        <f>$C128*AG127</f>
        <v/>
      </c>
      <c r="AH128">
        <f>$C128*AH127</f>
        <v/>
      </c>
      <c r="AI128">
        <f>$C128*AI127</f>
        <v/>
      </c>
      <c r="AJ128">
        <f>$C128*AJ127</f>
        <v/>
      </c>
      <c r="AK128">
        <f>$C128*AK127</f>
        <v/>
      </c>
      <c r="AL128">
        <f>$C128*AL127</f>
        <v/>
      </c>
      <c r="AM128">
        <f>$C128*AM127</f>
        <v/>
      </c>
      <c r="AN128">
        <f>$C128*AN127</f>
        <v/>
      </c>
      <c r="AO128">
        <f>$C128*AO127</f>
        <v/>
      </c>
      <c r="AP128">
        <f>$C128*AP127</f>
        <v/>
      </c>
      <c r="AQ128">
        <f>$C128*AQ127</f>
        <v/>
      </c>
      <c r="AR128">
        <f>$C128*AR127</f>
        <v/>
      </c>
      <c r="AS128">
        <f>$C128*AS127</f>
        <v/>
      </c>
      <c r="AT128">
        <f>$C128*AT127</f>
        <v/>
      </c>
      <c r="AU128">
        <f>$C128*AU127</f>
        <v/>
      </c>
      <c r="AV128">
        <f>$C128*AV127</f>
        <v/>
      </c>
      <c r="AW128">
        <f>$C128*AW127</f>
        <v/>
      </c>
      <c r="AX128">
        <f>$C128*AX127</f>
        <v/>
      </c>
      <c r="AY128">
        <f>$C128*AY127</f>
        <v/>
      </c>
      <c r="AZ128">
        <f>$C128*AZ127</f>
        <v/>
      </c>
      <c r="BA128">
        <f>$C128*BA127</f>
        <v/>
      </c>
      <c r="BB128">
        <f>$C128*BB127</f>
        <v/>
      </c>
      <c r="BC128">
        <f>$C128*BC127</f>
        <v/>
      </c>
      <c r="BD128">
        <f>$C128*BD127</f>
        <v/>
      </c>
      <c r="BE128">
        <f>$C128*BE127</f>
        <v/>
      </c>
      <c r="BF128">
        <f>$C128*BF127</f>
        <v/>
      </c>
      <c r="BG128">
        <f>$C128*BG127</f>
        <v/>
      </c>
      <c r="BH128">
        <f>$C128*BH127</f>
        <v/>
      </c>
      <c r="BI128">
        <f>$C128*BI127</f>
        <v/>
      </c>
      <c r="BJ128">
        <f>$C128*BJ127</f>
        <v/>
      </c>
      <c r="BK128">
        <f>$C128*BK127</f>
        <v/>
      </c>
      <c r="BL128">
        <f>$C128*BL127</f>
        <v/>
      </c>
      <c r="BM128">
        <f>$C128*BM127</f>
        <v/>
      </c>
      <c r="BN128">
        <f>$C128*BN127</f>
        <v/>
      </c>
      <c r="BO128">
        <f>$C128*BO127</f>
        <v/>
      </c>
      <c r="BP128">
        <f>$C128*BP127</f>
        <v/>
      </c>
      <c r="BQ128">
        <f>$C128*BQ127</f>
        <v/>
      </c>
      <c r="BR128">
        <f>$C128*BR127</f>
        <v/>
      </c>
      <c r="BS128">
        <f>$C128*BS127</f>
        <v/>
      </c>
      <c r="BT128">
        <f>$C128*BT127</f>
        <v/>
      </c>
      <c r="BU128">
        <f>$C128*BU127</f>
        <v/>
      </c>
      <c r="BV128">
        <f>$C128*BV127</f>
        <v/>
      </c>
      <c r="BW128">
        <f>$C128*BW127</f>
        <v/>
      </c>
      <c r="BX128">
        <f>$C128*BX127</f>
        <v/>
      </c>
      <c r="BY128">
        <f>$C128*BY127</f>
        <v/>
      </c>
      <c r="BZ128">
        <f>$C128*BZ127</f>
        <v/>
      </c>
      <c r="CA128">
        <f>$C128*CA127</f>
        <v/>
      </c>
      <c r="CB128">
        <f>$C128*CB127</f>
        <v/>
      </c>
      <c r="CC128">
        <f>$C128*CC127</f>
        <v/>
      </c>
      <c r="CD128">
        <f>$C128*CD127</f>
        <v/>
      </c>
      <c r="CE128">
        <f>$C128*CE127</f>
        <v/>
      </c>
      <c r="CF128">
        <f>$C128*CF127</f>
        <v/>
      </c>
      <c r="CG128">
        <f>$C128*CG127</f>
        <v/>
      </c>
      <c r="CH128">
        <f>$C128*CH127</f>
        <v/>
      </c>
      <c r="CI128">
        <f>$C128*CI127</f>
        <v/>
      </c>
      <c r="CJ128">
        <f>$C128*CJ127</f>
        <v/>
      </c>
      <c r="CK128">
        <f>$C128*CK127</f>
        <v/>
      </c>
      <c r="CL128">
        <f>$C128*CL127</f>
        <v/>
      </c>
      <c r="CM128">
        <f>$C128*CM127</f>
        <v/>
      </c>
      <c r="CN128">
        <f>$C128*CN127</f>
        <v/>
      </c>
      <c r="CO128">
        <f>$C128*CO127</f>
        <v/>
      </c>
      <c r="CP128">
        <f>$C128*CP127</f>
        <v/>
      </c>
      <c r="CQ128">
        <f>$C128*CQ127</f>
        <v/>
      </c>
      <c r="CR128">
        <f>$C128*CR127</f>
        <v/>
      </c>
      <c r="CS128">
        <f>$C128*CS127</f>
        <v/>
      </c>
      <c r="CT128">
        <f>$C128*CT127</f>
        <v/>
      </c>
      <c r="CU128">
        <f>$C128*CU127</f>
        <v/>
      </c>
      <c r="CV128">
        <f>$C128*CV127</f>
        <v/>
      </c>
      <c r="CW128">
        <f>$C128*CW127</f>
        <v/>
      </c>
      <c r="CX128">
        <f>$C128*CX127</f>
        <v/>
      </c>
      <c r="CY128">
        <f>$C128*CY127</f>
        <v/>
      </c>
      <c r="CZ128">
        <f>$C128*CZ127</f>
        <v/>
      </c>
      <c r="DA128">
        <f>$C128*DA127</f>
        <v/>
      </c>
      <c r="DB128">
        <f>$C128*DB127</f>
        <v/>
      </c>
      <c r="DC128">
        <f>$C128*DC127</f>
        <v/>
      </c>
      <c r="DD128">
        <f>$C128*DD127</f>
        <v/>
      </c>
    </row>
    <row r="129">
      <c r="B129" t="inlineStr">
        <is>
          <t>TPP-699</t>
        </is>
      </c>
      <c r="C129" t="inlineStr">
        <is>
          <t>No. of batches</t>
        </is>
      </c>
      <c r="D129">
        <f>IFERROR(INDEX(E129:DD129,$F$1),"")</f>
        <v/>
      </c>
      <c r="E129">
        <f>IFERROR(INDEX(PP_Grid[#Data],$DE129,2),0)</f>
        <v/>
      </c>
      <c r="F129">
        <f>IFERROR(INDEX(PP_Grid[#Data],$DE129,3),0)</f>
        <v/>
      </c>
      <c r="G129">
        <f>IFERROR(INDEX(PP_Grid[#Data],$DE129,4),0)</f>
        <v/>
      </c>
      <c r="H129">
        <f>IFERROR(INDEX(PP_Grid[#Data],$DE129,5),0)</f>
        <v/>
      </c>
      <c r="I129">
        <f>IFERROR(INDEX(PP_Grid[#Data],$DE129,6),0)</f>
        <v/>
      </c>
      <c r="J129">
        <f>IFERROR(INDEX(PP_Grid[#Data],$DE129,7),0)</f>
        <v/>
      </c>
      <c r="K129">
        <f>IFERROR(INDEX(PP_Grid[#Data],$DE129,8),0)</f>
        <v/>
      </c>
      <c r="L129">
        <f>IFERROR(INDEX(PP_Grid[#Data],$DE129,9),0)</f>
        <v/>
      </c>
      <c r="M129">
        <f>IFERROR(INDEX(PP_Grid[#Data],$DE129,10),0)</f>
        <v/>
      </c>
      <c r="N129">
        <f>IFERROR(INDEX(PP_Grid[#Data],$DE129,11),0)</f>
        <v/>
      </c>
      <c r="O129">
        <f>IFERROR(INDEX(PP_Grid[#Data],$DE129,12),0)</f>
        <v/>
      </c>
      <c r="P129">
        <f>IFERROR(INDEX(PP_Grid[#Data],$DE129,13),0)</f>
        <v/>
      </c>
      <c r="Q129">
        <f>IFERROR(INDEX(PP_Grid[#Data],$DE129,14),0)</f>
        <v/>
      </c>
      <c r="R129">
        <f>IFERROR(INDEX(PP_Grid[#Data],$DE129,15),0)</f>
        <v/>
      </c>
      <c r="S129">
        <f>IFERROR(INDEX(PP_Grid[#Data],$DE129,16),0)</f>
        <v/>
      </c>
      <c r="T129">
        <f>IFERROR(INDEX(PP_Grid[#Data],$DE129,17),0)</f>
        <v/>
      </c>
      <c r="U129">
        <f>IFERROR(INDEX(PP_Grid[#Data],$DE129,18),0)</f>
        <v/>
      </c>
      <c r="V129">
        <f>IFERROR(INDEX(PP_Grid[#Data],$DE129,19),0)</f>
        <v/>
      </c>
      <c r="W129">
        <f>IFERROR(INDEX(PP_Grid[#Data],$DE129,20),0)</f>
        <v/>
      </c>
      <c r="X129">
        <f>IFERROR(INDEX(PP_Grid[#Data],$DE129,21),0)</f>
        <v/>
      </c>
      <c r="Y129">
        <f>IFERROR(INDEX(PP_Grid[#Data],$DE129,22),0)</f>
        <v/>
      </c>
      <c r="Z129">
        <f>IFERROR(INDEX(PP_Grid[#Data],$DE129,23),0)</f>
        <v/>
      </c>
      <c r="AA129">
        <f>IFERROR(INDEX(PP_Grid[#Data],$DE129,24),0)</f>
        <v/>
      </c>
      <c r="AB129">
        <f>IFERROR(INDEX(PP_Grid[#Data],$DE129,25),0)</f>
        <v/>
      </c>
      <c r="AC129">
        <f>IFERROR(INDEX(PP_Grid[#Data],$DE129,26),0)</f>
        <v/>
      </c>
      <c r="AD129">
        <f>IFERROR(INDEX(PP_Grid[#Data],$DE129,27),0)</f>
        <v/>
      </c>
      <c r="AE129">
        <f>IFERROR(INDEX(PP_Grid[#Data],$DE129,28),0)</f>
        <v/>
      </c>
      <c r="AF129">
        <f>IFERROR(INDEX(PP_Grid[#Data],$DE129,29),0)</f>
        <v/>
      </c>
      <c r="AG129">
        <f>IFERROR(INDEX(PP_Grid[#Data],$DE129,30),0)</f>
        <v/>
      </c>
      <c r="AH129">
        <f>IFERROR(INDEX(PP_Grid[#Data],$DE129,31),0)</f>
        <v/>
      </c>
      <c r="AI129">
        <f>IFERROR(INDEX(PP_Grid[#Data],$DE129,32),0)</f>
        <v/>
      </c>
      <c r="AJ129">
        <f>IFERROR(INDEX(PP_Grid[#Data],$DE129,33),0)</f>
        <v/>
      </c>
      <c r="AK129">
        <f>IFERROR(INDEX(PP_Grid[#Data],$DE129,34),0)</f>
        <v/>
      </c>
      <c r="AL129">
        <f>IFERROR(INDEX(PP_Grid[#Data],$DE129,35),0)</f>
        <v/>
      </c>
      <c r="AM129">
        <f>IFERROR(INDEX(PP_Grid[#Data],$DE129,36),0)</f>
        <v/>
      </c>
      <c r="AN129">
        <f>IFERROR(INDEX(PP_Grid[#Data],$DE129,37),0)</f>
        <v/>
      </c>
      <c r="AO129">
        <f>IFERROR(INDEX(PP_Grid[#Data],$DE129,38),0)</f>
        <v/>
      </c>
      <c r="AP129">
        <f>IFERROR(INDEX(PP_Grid[#Data],$DE129,39),0)</f>
        <v/>
      </c>
      <c r="AQ129">
        <f>IFERROR(INDEX(PP_Grid[#Data],$DE129,40),0)</f>
        <v/>
      </c>
      <c r="AR129">
        <f>IFERROR(INDEX(PP_Grid[#Data],$DE129,41),0)</f>
        <v/>
      </c>
      <c r="AS129">
        <f>IFERROR(INDEX(PP_Grid[#Data],$DE129,42),0)</f>
        <v/>
      </c>
      <c r="AT129">
        <f>IFERROR(INDEX(PP_Grid[#Data],$DE129,43),0)</f>
        <v/>
      </c>
      <c r="AU129">
        <f>IFERROR(INDEX(PP_Grid[#Data],$DE129,44),0)</f>
        <v/>
      </c>
      <c r="AV129">
        <f>IFERROR(INDEX(PP_Grid[#Data],$DE129,45),0)</f>
        <v/>
      </c>
      <c r="AW129">
        <f>IFERROR(INDEX(PP_Grid[#Data],$DE129,46),0)</f>
        <v/>
      </c>
      <c r="AX129">
        <f>IFERROR(INDEX(PP_Grid[#Data],$DE129,47),0)</f>
        <v/>
      </c>
      <c r="AY129">
        <f>IFERROR(INDEX(PP_Grid[#Data],$DE129,48),0)</f>
        <v/>
      </c>
      <c r="AZ129">
        <f>IFERROR(INDEX(PP_Grid[#Data],$DE129,49),0)</f>
        <v/>
      </c>
      <c r="BA129">
        <f>IFERROR(INDEX(PP_Grid[#Data],$DE129,50),0)</f>
        <v/>
      </c>
      <c r="BB129">
        <f>IFERROR(INDEX(PP_Grid[#Data],$DE129,51),0)</f>
        <v/>
      </c>
      <c r="BC129">
        <f>IFERROR(INDEX(PP_Grid[#Data],$DE129,52),0)</f>
        <v/>
      </c>
      <c r="BD129">
        <f>IFERROR(INDEX(PP_Grid[#Data],$DE129,53),0)</f>
        <v/>
      </c>
      <c r="BE129">
        <f>IFERROR(INDEX(PP_Grid[#Data],$DE129,54),0)</f>
        <v/>
      </c>
      <c r="BF129">
        <f>IFERROR(INDEX(PP_Grid[#Data],$DE129,55),0)</f>
        <v/>
      </c>
      <c r="BG129">
        <f>IFERROR(INDEX(PP_Grid[#Data],$DE129,56),0)</f>
        <v/>
      </c>
      <c r="BH129">
        <f>IFERROR(INDEX(PP_Grid[#Data],$DE129,57),0)</f>
        <v/>
      </c>
      <c r="BI129">
        <f>IFERROR(INDEX(PP_Grid[#Data],$DE129,58),0)</f>
        <v/>
      </c>
      <c r="BJ129">
        <f>IFERROR(INDEX(PP_Grid[#Data],$DE129,59),0)</f>
        <v/>
      </c>
      <c r="BK129">
        <f>IFERROR(INDEX(PP_Grid[#Data],$DE129,60),0)</f>
        <v/>
      </c>
      <c r="BL129">
        <f>IFERROR(INDEX(PP_Grid[#Data],$DE129,61),0)</f>
        <v/>
      </c>
      <c r="BM129">
        <f>IFERROR(INDEX(PP_Grid[#Data],$DE129,62),0)</f>
        <v/>
      </c>
      <c r="BN129">
        <f>IFERROR(INDEX(PP_Grid[#Data],$DE129,63),0)</f>
        <v/>
      </c>
      <c r="BO129">
        <f>IFERROR(INDEX(PP_Grid[#Data],$DE129,64),0)</f>
        <v/>
      </c>
      <c r="BP129">
        <f>IFERROR(INDEX(PP_Grid[#Data],$DE129,65),0)</f>
        <v/>
      </c>
      <c r="BQ129">
        <f>IFERROR(INDEX(PP_Grid[#Data],$DE129,66),0)</f>
        <v/>
      </c>
      <c r="BR129">
        <f>IFERROR(INDEX(PP_Grid[#Data],$DE129,67),0)</f>
        <v/>
      </c>
      <c r="BS129">
        <f>IFERROR(INDEX(PP_Grid[#Data],$DE129,68),0)</f>
        <v/>
      </c>
      <c r="BT129">
        <f>IFERROR(INDEX(PP_Grid[#Data],$DE129,69),0)</f>
        <v/>
      </c>
      <c r="BU129">
        <f>IFERROR(INDEX(PP_Grid[#Data],$DE129,70),0)</f>
        <v/>
      </c>
      <c r="BV129">
        <f>IFERROR(INDEX(PP_Grid[#Data],$DE129,71),0)</f>
        <v/>
      </c>
      <c r="BW129">
        <f>IFERROR(INDEX(PP_Grid[#Data],$DE129,72),0)</f>
        <v/>
      </c>
      <c r="BX129">
        <f>IFERROR(INDEX(PP_Grid[#Data],$DE129,73),0)</f>
        <v/>
      </c>
      <c r="BY129">
        <f>IFERROR(INDEX(PP_Grid[#Data],$DE129,74),0)</f>
        <v/>
      </c>
      <c r="BZ129">
        <f>IFERROR(INDEX(PP_Grid[#Data],$DE129,75),0)</f>
        <v/>
      </c>
      <c r="CA129">
        <f>IFERROR(INDEX(PP_Grid[#Data],$DE129,76),0)</f>
        <v/>
      </c>
      <c r="CB129">
        <f>IFERROR(INDEX(PP_Grid[#Data],$DE129,77),0)</f>
        <v/>
      </c>
      <c r="CC129">
        <f>IFERROR(INDEX(PP_Grid[#Data],$DE129,78),0)</f>
        <v/>
      </c>
      <c r="CD129">
        <f>IFERROR(INDEX(PP_Grid[#Data],$DE129,79),0)</f>
        <v/>
      </c>
      <c r="CE129">
        <f>IFERROR(INDEX(PP_Grid[#Data],$DE129,80),0)</f>
        <v/>
      </c>
      <c r="CF129">
        <f>IFERROR(INDEX(PP_Grid[#Data],$DE129,81),0)</f>
        <v/>
      </c>
      <c r="CG129">
        <f>IFERROR(INDEX(PP_Grid[#Data],$DE129,82),0)</f>
        <v/>
      </c>
      <c r="CH129">
        <f>IFERROR(INDEX(PP_Grid[#Data],$DE129,83),0)</f>
        <v/>
      </c>
      <c r="CI129">
        <f>IFERROR(INDEX(PP_Grid[#Data],$DE129,84),0)</f>
        <v/>
      </c>
      <c r="CJ129">
        <f>IFERROR(INDEX(PP_Grid[#Data],$DE129,85),0)</f>
        <v/>
      </c>
      <c r="CK129">
        <f>IFERROR(INDEX(PP_Grid[#Data],$DE129,86),0)</f>
        <v/>
      </c>
      <c r="CL129">
        <f>IFERROR(INDEX(PP_Grid[#Data],$DE129,87),0)</f>
        <v/>
      </c>
      <c r="CM129">
        <f>IFERROR(INDEX(PP_Grid[#Data],$DE129,88),0)</f>
        <v/>
      </c>
      <c r="CN129">
        <f>IFERROR(INDEX(PP_Grid[#Data],$DE129,89),0)</f>
        <v/>
      </c>
      <c r="CO129">
        <f>IFERROR(INDEX(PP_Grid[#Data],$DE129,90),0)</f>
        <v/>
      </c>
      <c r="CP129">
        <f>IFERROR(INDEX(PP_Grid[#Data],$DE129,91),0)</f>
        <v/>
      </c>
      <c r="CQ129">
        <f>IFERROR(INDEX(PP_Grid[#Data],$DE129,92),0)</f>
        <v/>
      </c>
      <c r="CR129">
        <f>IFERROR(INDEX(PP_Grid[#Data],$DE129,93),0)</f>
        <v/>
      </c>
      <c r="CS129">
        <f>IFERROR(INDEX(PP_Grid[#Data],$DE129,94),0)</f>
        <v/>
      </c>
      <c r="CT129">
        <f>IFERROR(INDEX(PP_Grid[#Data],$DE129,95),0)</f>
        <v/>
      </c>
      <c r="CU129">
        <f>IFERROR(INDEX(PP_Grid[#Data],$DE129,96),0)</f>
        <v/>
      </c>
      <c r="CV129">
        <f>IFERROR(INDEX(PP_Grid[#Data],$DE129,97),0)</f>
        <v/>
      </c>
      <c r="CW129">
        <f>IFERROR(INDEX(PP_Grid[#Data],$DE129,98),0)</f>
        <v/>
      </c>
      <c r="CX129">
        <f>IFERROR(INDEX(PP_Grid[#Data],$DE129,99),0)</f>
        <v/>
      </c>
      <c r="CY129">
        <f>IFERROR(INDEX(PP_Grid[#Data],$DE129,100),0)</f>
        <v/>
      </c>
      <c r="CZ129">
        <f>IFERROR(INDEX(PP_Grid[#Data],$DE129,101),0)</f>
        <v/>
      </c>
      <c r="DA129">
        <f>IFERROR(INDEX(PP_Grid[#Data],$DE129,102),0)</f>
        <v/>
      </c>
      <c r="DB129">
        <f>IFERROR(INDEX(PP_Grid[#Data],$DE129,103),0)</f>
        <v/>
      </c>
      <c r="DC129">
        <f>IFERROR(INDEX(PP_Grid[#Data],$DE129,104),0)</f>
        <v/>
      </c>
      <c r="DD129">
        <f>IFERROR(INDEX(PP_Grid[#Data],$DE129,105),0)</f>
        <v/>
      </c>
      <c r="DE129" s="7">
        <f>IFERROR(MATCH($B129,PP_Grid[Intermediate],0),99999)</f>
        <v/>
      </c>
    </row>
    <row r="130">
      <c r="B130" t="inlineStr">
        <is>
          <t>使用量(kg)</t>
        </is>
      </c>
      <c r="C130">
        <f>SUMIFS(M_BOM[RM_Qty_Per_Batch],M_BOM[Intermediate],$B129,M_BOM[RM_Code],$A28)</f>
        <v/>
      </c>
      <c r="D130">
        <f>IFERROR(INDEX(E130:DD130,$F$1),"")</f>
        <v/>
      </c>
      <c r="E130">
        <f>$C130*E129</f>
        <v/>
      </c>
      <c r="F130">
        <f>$C130*F129</f>
        <v/>
      </c>
      <c r="G130">
        <f>$C130*G129</f>
        <v/>
      </c>
      <c r="H130">
        <f>$C130*H129</f>
        <v/>
      </c>
      <c r="I130">
        <f>$C130*I129</f>
        <v/>
      </c>
      <c r="J130">
        <f>$C130*J129</f>
        <v/>
      </c>
      <c r="K130">
        <f>$C130*K129</f>
        <v/>
      </c>
      <c r="L130">
        <f>$C130*L129</f>
        <v/>
      </c>
      <c r="M130">
        <f>$C130*M129</f>
        <v/>
      </c>
      <c r="N130">
        <f>$C130*N129</f>
        <v/>
      </c>
      <c r="O130">
        <f>$C130*O129</f>
        <v/>
      </c>
      <c r="P130">
        <f>$C130*P129</f>
        <v/>
      </c>
      <c r="Q130">
        <f>$C130*Q129</f>
        <v/>
      </c>
      <c r="R130">
        <f>$C130*R129</f>
        <v/>
      </c>
      <c r="S130">
        <f>$C130*S129</f>
        <v/>
      </c>
      <c r="T130">
        <f>$C130*T129</f>
        <v/>
      </c>
      <c r="U130">
        <f>$C130*U129</f>
        <v/>
      </c>
      <c r="V130">
        <f>$C130*V129</f>
        <v/>
      </c>
      <c r="W130">
        <f>$C130*W129</f>
        <v/>
      </c>
      <c r="X130">
        <f>$C130*X129</f>
        <v/>
      </c>
      <c r="Y130">
        <f>$C130*Y129</f>
        <v/>
      </c>
      <c r="Z130">
        <f>$C130*Z129</f>
        <v/>
      </c>
      <c r="AA130">
        <f>$C130*AA129</f>
        <v/>
      </c>
      <c r="AB130">
        <f>$C130*AB129</f>
        <v/>
      </c>
      <c r="AC130">
        <f>$C130*AC129</f>
        <v/>
      </c>
      <c r="AD130">
        <f>$C130*AD129</f>
        <v/>
      </c>
      <c r="AE130">
        <f>$C130*AE129</f>
        <v/>
      </c>
      <c r="AF130">
        <f>$C130*AF129</f>
        <v/>
      </c>
      <c r="AG130">
        <f>$C130*AG129</f>
        <v/>
      </c>
      <c r="AH130">
        <f>$C130*AH129</f>
        <v/>
      </c>
      <c r="AI130">
        <f>$C130*AI129</f>
        <v/>
      </c>
      <c r="AJ130">
        <f>$C130*AJ129</f>
        <v/>
      </c>
      <c r="AK130">
        <f>$C130*AK129</f>
        <v/>
      </c>
      <c r="AL130">
        <f>$C130*AL129</f>
        <v/>
      </c>
      <c r="AM130">
        <f>$C130*AM129</f>
        <v/>
      </c>
      <c r="AN130">
        <f>$C130*AN129</f>
        <v/>
      </c>
      <c r="AO130">
        <f>$C130*AO129</f>
        <v/>
      </c>
      <c r="AP130">
        <f>$C130*AP129</f>
        <v/>
      </c>
      <c r="AQ130">
        <f>$C130*AQ129</f>
        <v/>
      </c>
      <c r="AR130">
        <f>$C130*AR129</f>
        <v/>
      </c>
      <c r="AS130">
        <f>$C130*AS129</f>
        <v/>
      </c>
      <c r="AT130">
        <f>$C130*AT129</f>
        <v/>
      </c>
      <c r="AU130">
        <f>$C130*AU129</f>
        <v/>
      </c>
      <c r="AV130">
        <f>$C130*AV129</f>
        <v/>
      </c>
      <c r="AW130">
        <f>$C130*AW129</f>
        <v/>
      </c>
      <c r="AX130">
        <f>$C130*AX129</f>
        <v/>
      </c>
      <c r="AY130">
        <f>$C130*AY129</f>
        <v/>
      </c>
      <c r="AZ130">
        <f>$C130*AZ129</f>
        <v/>
      </c>
      <c r="BA130">
        <f>$C130*BA129</f>
        <v/>
      </c>
      <c r="BB130">
        <f>$C130*BB129</f>
        <v/>
      </c>
      <c r="BC130">
        <f>$C130*BC129</f>
        <v/>
      </c>
      <c r="BD130">
        <f>$C130*BD129</f>
        <v/>
      </c>
      <c r="BE130">
        <f>$C130*BE129</f>
        <v/>
      </c>
      <c r="BF130">
        <f>$C130*BF129</f>
        <v/>
      </c>
      <c r="BG130">
        <f>$C130*BG129</f>
        <v/>
      </c>
      <c r="BH130">
        <f>$C130*BH129</f>
        <v/>
      </c>
      <c r="BI130">
        <f>$C130*BI129</f>
        <v/>
      </c>
      <c r="BJ130">
        <f>$C130*BJ129</f>
        <v/>
      </c>
      <c r="BK130">
        <f>$C130*BK129</f>
        <v/>
      </c>
      <c r="BL130">
        <f>$C130*BL129</f>
        <v/>
      </c>
      <c r="BM130">
        <f>$C130*BM129</f>
        <v/>
      </c>
      <c r="BN130">
        <f>$C130*BN129</f>
        <v/>
      </c>
      <c r="BO130">
        <f>$C130*BO129</f>
        <v/>
      </c>
      <c r="BP130">
        <f>$C130*BP129</f>
        <v/>
      </c>
      <c r="BQ130">
        <f>$C130*BQ129</f>
        <v/>
      </c>
      <c r="BR130">
        <f>$C130*BR129</f>
        <v/>
      </c>
      <c r="BS130">
        <f>$C130*BS129</f>
        <v/>
      </c>
      <c r="BT130">
        <f>$C130*BT129</f>
        <v/>
      </c>
      <c r="BU130">
        <f>$C130*BU129</f>
        <v/>
      </c>
      <c r="BV130">
        <f>$C130*BV129</f>
        <v/>
      </c>
      <c r="BW130">
        <f>$C130*BW129</f>
        <v/>
      </c>
      <c r="BX130">
        <f>$C130*BX129</f>
        <v/>
      </c>
      <c r="BY130">
        <f>$C130*BY129</f>
        <v/>
      </c>
      <c r="BZ130">
        <f>$C130*BZ129</f>
        <v/>
      </c>
      <c r="CA130">
        <f>$C130*CA129</f>
        <v/>
      </c>
      <c r="CB130">
        <f>$C130*CB129</f>
        <v/>
      </c>
      <c r="CC130">
        <f>$C130*CC129</f>
        <v/>
      </c>
      <c r="CD130">
        <f>$C130*CD129</f>
        <v/>
      </c>
      <c r="CE130">
        <f>$C130*CE129</f>
        <v/>
      </c>
      <c r="CF130">
        <f>$C130*CF129</f>
        <v/>
      </c>
      <c r="CG130">
        <f>$C130*CG129</f>
        <v/>
      </c>
      <c r="CH130">
        <f>$C130*CH129</f>
        <v/>
      </c>
      <c r="CI130">
        <f>$C130*CI129</f>
        <v/>
      </c>
      <c r="CJ130">
        <f>$C130*CJ129</f>
        <v/>
      </c>
      <c r="CK130">
        <f>$C130*CK129</f>
        <v/>
      </c>
      <c r="CL130">
        <f>$C130*CL129</f>
        <v/>
      </c>
      <c r="CM130">
        <f>$C130*CM129</f>
        <v/>
      </c>
      <c r="CN130">
        <f>$C130*CN129</f>
        <v/>
      </c>
      <c r="CO130">
        <f>$C130*CO129</f>
        <v/>
      </c>
      <c r="CP130">
        <f>$C130*CP129</f>
        <v/>
      </c>
      <c r="CQ130">
        <f>$C130*CQ129</f>
        <v/>
      </c>
      <c r="CR130">
        <f>$C130*CR129</f>
        <v/>
      </c>
      <c r="CS130">
        <f>$C130*CS129</f>
        <v/>
      </c>
      <c r="CT130">
        <f>$C130*CT129</f>
        <v/>
      </c>
      <c r="CU130">
        <f>$C130*CU129</f>
        <v/>
      </c>
      <c r="CV130">
        <f>$C130*CV129</f>
        <v/>
      </c>
      <c r="CW130">
        <f>$C130*CW129</f>
        <v/>
      </c>
      <c r="CX130">
        <f>$C130*CX129</f>
        <v/>
      </c>
      <c r="CY130">
        <f>$C130*CY129</f>
        <v/>
      </c>
      <c r="CZ130">
        <f>$C130*CZ129</f>
        <v/>
      </c>
      <c r="DA130">
        <f>$C130*DA129</f>
        <v/>
      </c>
      <c r="DB130">
        <f>$C130*DB129</f>
        <v/>
      </c>
      <c r="DC130">
        <f>$C130*DC129</f>
        <v/>
      </c>
      <c r="DD130">
        <f>$C130*DD129</f>
        <v/>
      </c>
    </row>
    <row r="131">
      <c r="B131" t="inlineStr">
        <is>
          <t>TPP-649</t>
        </is>
      </c>
      <c r="C131" t="inlineStr">
        <is>
          <t>No. of batches</t>
        </is>
      </c>
      <c r="D131">
        <f>IFERROR(INDEX(E131:DD131,$F$1),"")</f>
        <v/>
      </c>
      <c r="E131">
        <f>IFERROR(INDEX(PP_Grid[#Data],$DE131,2),0)</f>
        <v/>
      </c>
      <c r="F131">
        <f>IFERROR(INDEX(PP_Grid[#Data],$DE131,3),0)</f>
        <v/>
      </c>
      <c r="G131">
        <f>IFERROR(INDEX(PP_Grid[#Data],$DE131,4),0)</f>
        <v/>
      </c>
      <c r="H131">
        <f>IFERROR(INDEX(PP_Grid[#Data],$DE131,5),0)</f>
        <v/>
      </c>
      <c r="I131">
        <f>IFERROR(INDEX(PP_Grid[#Data],$DE131,6),0)</f>
        <v/>
      </c>
      <c r="J131">
        <f>IFERROR(INDEX(PP_Grid[#Data],$DE131,7),0)</f>
        <v/>
      </c>
      <c r="K131">
        <f>IFERROR(INDEX(PP_Grid[#Data],$DE131,8),0)</f>
        <v/>
      </c>
      <c r="L131">
        <f>IFERROR(INDEX(PP_Grid[#Data],$DE131,9),0)</f>
        <v/>
      </c>
      <c r="M131">
        <f>IFERROR(INDEX(PP_Grid[#Data],$DE131,10),0)</f>
        <v/>
      </c>
      <c r="N131">
        <f>IFERROR(INDEX(PP_Grid[#Data],$DE131,11),0)</f>
        <v/>
      </c>
      <c r="O131">
        <f>IFERROR(INDEX(PP_Grid[#Data],$DE131,12),0)</f>
        <v/>
      </c>
      <c r="P131">
        <f>IFERROR(INDEX(PP_Grid[#Data],$DE131,13),0)</f>
        <v/>
      </c>
      <c r="Q131">
        <f>IFERROR(INDEX(PP_Grid[#Data],$DE131,14),0)</f>
        <v/>
      </c>
      <c r="R131">
        <f>IFERROR(INDEX(PP_Grid[#Data],$DE131,15),0)</f>
        <v/>
      </c>
      <c r="S131">
        <f>IFERROR(INDEX(PP_Grid[#Data],$DE131,16),0)</f>
        <v/>
      </c>
      <c r="T131">
        <f>IFERROR(INDEX(PP_Grid[#Data],$DE131,17),0)</f>
        <v/>
      </c>
      <c r="U131">
        <f>IFERROR(INDEX(PP_Grid[#Data],$DE131,18),0)</f>
        <v/>
      </c>
      <c r="V131">
        <f>IFERROR(INDEX(PP_Grid[#Data],$DE131,19),0)</f>
        <v/>
      </c>
      <c r="W131">
        <f>IFERROR(INDEX(PP_Grid[#Data],$DE131,20),0)</f>
        <v/>
      </c>
      <c r="X131">
        <f>IFERROR(INDEX(PP_Grid[#Data],$DE131,21),0)</f>
        <v/>
      </c>
      <c r="Y131">
        <f>IFERROR(INDEX(PP_Grid[#Data],$DE131,22),0)</f>
        <v/>
      </c>
      <c r="Z131">
        <f>IFERROR(INDEX(PP_Grid[#Data],$DE131,23),0)</f>
        <v/>
      </c>
      <c r="AA131">
        <f>IFERROR(INDEX(PP_Grid[#Data],$DE131,24),0)</f>
        <v/>
      </c>
      <c r="AB131">
        <f>IFERROR(INDEX(PP_Grid[#Data],$DE131,25),0)</f>
        <v/>
      </c>
      <c r="AC131">
        <f>IFERROR(INDEX(PP_Grid[#Data],$DE131,26),0)</f>
        <v/>
      </c>
      <c r="AD131">
        <f>IFERROR(INDEX(PP_Grid[#Data],$DE131,27),0)</f>
        <v/>
      </c>
      <c r="AE131">
        <f>IFERROR(INDEX(PP_Grid[#Data],$DE131,28),0)</f>
        <v/>
      </c>
      <c r="AF131">
        <f>IFERROR(INDEX(PP_Grid[#Data],$DE131,29),0)</f>
        <v/>
      </c>
      <c r="AG131">
        <f>IFERROR(INDEX(PP_Grid[#Data],$DE131,30),0)</f>
        <v/>
      </c>
      <c r="AH131">
        <f>IFERROR(INDEX(PP_Grid[#Data],$DE131,31),0)</f>
        <v/>
      </c>
      <c r="AI131">
        <f>IFERROR(INDEX(PP_Grid[#Data],$DE131,32),0)</f>
        <v/>
      </c>
      <c r="AJ131">
        <f>IFERROR(INDEX(PP_Grid[#Data],$DE131,33),0)</f>
        <v/>
      </c>
      <c r="AK131">
        <f>IFERROR(INDEX(PP_Grid[#Data],$DE131,34),0)</f>
        <v/>
      </c>
      <c r="AL131">
        <f>IFERROR(INDEX(PP_Grid[#Data],$DE131,35),0)</f>
        <v/>
      </c>
      <c r="AM131">
        <f>IFERROR(INDEX(PP_Grid[#Data],$DE131,36),0)</f>
        <v/>
      </c>
      <c r="AN131">
        <f>IFERROR(INDEX(PP_Grid[#Data],$DE131,37),0)</f>
        <v/>
      </c>
      <c r="AO131">
        <f>IFERROR(INDEX(PP_Grid[#Data],$DE131,38),0)</f>
        <v/>
      </c>
      <c r="AP131">
        <f>IFERROR(INDEX(PP_Grid[#Data],$DE131,39),0)</f>
        <v/>
      </c>
      <c r="AQ131">
        <f>IFERROR(INDEX(PP_Grid[#Data],$DE131,40),0)</f>
        <v/>
      </c>
      <c r="AR131">
        <f>IFERROR(INDEX(PP_Grid[#Data],$DE131,41),0)</f>
        <v/>
      </c>
      <c r="AS131">
        <f>IFERROR(INDEX(PP_Grid[#Data],$DE131,42),0)</f>
        <v/>
      </c>
      <c r="AT131">
        <f>IFERROR(INDEX(PP_Grid[#Data],$DE131,43),0)</f>
        <v/>
      </c>
      <c r="AU131">
        <f>IFERROR(INDEX(PP_Grid[#Data],$DE131,44),0)</f>
        <v/>
      </c>
      <c r="AV131">
        <f>IFERROR(INDEX(PP_Grid[#Data],$DE131,45),0)</f>
        <v/>
      </c>
      <c r="AW131">
        <f>IFERROR(INDEX(PP_Grid[#Data],$DE131,46),0)</f>
        <v/>
      </c>
      <c r="AX131">
        <f>IFERROR(INDEX(PP_Grid[#Data],$DE131,47),0)</f>
        <v/>
      </c>
      <c r="AY131">
        <f>IFERROR(INDEX(PP_Grid[#Data],$DE131,48),0)</f>
        <v/>
      </c>
      <c r="AZ131">
        <f>IFERROR(INDEX(PP_Grid[#Data],$DE131,49),0)</f>
        <v/>
      </c>
      <c r="BA131">
        <f>IFERROR(INDEX(PP_Grid[#Data],$DE131,50),0)</f>
        <v/>
      </c>
      <c r="BB131">
        <f>IFERROR(INDEX(PP_Grid[#Data],$DE131,51),0)</f>
        <v/>
      </c>
      <c r="BC131">
        <f>IFERROR(INDEX(PP_Grid[#Data],$DE131,52),0)</f>
        <v/>
      </c>
      <c r="BD131">
        <f>IFERROR(INDEX(PP_Grid[#Data],$DE131,53),0)</f>
        <v/>
      </c>
      <c r="BE131">
        <f>IFERROR(INDEX(PP_Grid[#Data],$DE131,54),0)</f>
        <v/>
      </c>
      <c r="BF131">
        <f>IFERROR(INDEX(PP_Grid[#Data],$DE131,55),0)</f>
        <v/>
      </c>
      <c r="BG131">
        <f>IFERROR(INDEX(PP_Grid[#Data],$DE131,56),0)</f>
        <v/>
      </c>
      <c r="BH131">
        <f>IFERROR(INDEX(PP_Grid[#Data],$DE131,57),0)</f>
        <v/>
      </c>
      <c r="BI131">
        <f>IFERROR(INDEX(PP_Grid[#Data],$DE131,58),0)</f>
        <v/>
      </c>
      <c r="BJ131">
        <f>IFERROR(INDEX(PP_Grid[#Data],$DE131,59),0)</f>
        <v/>
      </c>
      <c r="BK131">
        <f>IFERROR(INDEX(PP_Grid[#Data],$DE131,60),0)</f>
        <v/>
      </c>
      <c r="BL131">
        <f>IFERROR(INDEX(PP_Grid[#Data],$DE131,61),0)</f>
        <v/>
      </c>
      <c r="BM131">
        <f>IFERROR(INDEX(PP_Grid[#Data],$DE131,62),0)</f>
        <v/>
      </c>
      <c r="BN131">
        <f>IFERROR(INDEX(PP_Grid[#Data],$DE131,63),0)</f>
        <v/>
      </c>
      <c r="BO131">
        <f>IFERROR(INDEX(PP_Grid[#Data],$DE131,64),0)</f>
        <v/>
      </c>
      <c r="BP131">
        <f>IFERROR(INDEX(PP_Grid[#Data],$DE131,65),0)</f>
        <v/>
      </c>
      <c r="BQ131">
        <f>IFERROR(INDEX(PP_Grid[#Data],$DE131,66),0)</f>
        <v/>
      </c>
      <c r="BR131">
        <f>IFERROR(INDEX(PP_Grid[#Data],$DE131,67),0)</f>
        <v/>
      </c>
      <c r="BS131">
        <f>IFERROR(INDEX(PP_Grid[#Data],$DE131,68),0)</f>
        <v/>
      </c>
      <c r="BT131">
        <f>IFERROR(INDEX(PP_Grid[#Data],$DE131,69),0)</f>
        <v/>
      </c>
      <c r="BU131">
        <f>IFERROR(INDEX(PP_Grid[#Data],$DE131,70),0)</f>
        <v/>
      </c>
      <c r="BV131">
        <f>IFERROR(INDEX(PP_Grid[#Data],$DE131,71),0)</f>
        <v/>
      </c>
      <c r="BW131">
        <f>IFERROR(INDEX(PP_Grid[#Data],$DE131,72),0)</f>
        <v/>
      </c>
      <c r="BX131">
        <f>IFERROR(INDEX(PP_Grid[#Data],$DE131,73),0)</f>
        <v/>
      </c>
      <c r="BY131">
        <f>IFERROR(INDEX(PP_Grid[#Data],$DE131,74),0)</f>
        <v/>
      </c>
      <c r="BZ131">
        <f>IFERROR(INDEX(PP_Grid[#Data],$DE131,75),0)</f>
        <v/>
      </c>
      <c r="CA131">
        <f>IFERROR(INDEX(PP_Grid[#Data],$DE131,76),0)</f>
        <v/>
      </c>
      <c r="CB131">
        <f>IFERROR(INDEX(PP_Grid[#Data],$DE131,77),0)</f>
        <v/>
      </c>
      <c r="CC131">
        <f>IFERROR(INDEX(PP_Grid[#Data],$DE131,78),0)</f>
        <v/>
      </c>
      <c r="CD131">
        <f>IFERROR(INDEX(PP_Grid[#Data],$DE131,79),0)</f>
        <v/>
      </c>
      <c r="CE131">
        <f>IFERROR(INDEX(PP_Grid[#Data],$DE131,80),0)</f>
        <v/>
      </c>
      <c r="CF131">
        <f>IFERROR(INDEX(PP_Grid[#Data],$DE131,81),0)</f>
        <v/>
      </c>
      <c r="CG131">
        <f>IFERROR(INDEX(PP_Grid[#Data],$DE131,82),0)</f>
        <v/>
      </c>
      <c r="CH131">
        <f>IFERROR(INDEX(PP_Grid[#Data],$DE131,83),0)</f>
        <v/>
      </c>
      <c r="CI131">
        <f>IFERROR(INDEX(PP_Grid[#Data],$DE131,84),0)</f>
        <v/>
      </c>
      <c r="CJ131">
        <f>IFERROR(INDEX(PP_Grid[#Data],$DE131,85),0)</f>
        <v/>
      </c>
      <c r="CK131">
        <f>IFERROR(INDEX(PP_Grid[#Data],$DE131,86),0)</f>
        <v/>
      </c>
      <c r="CL131">
        <f>IFERROR(INDEX(PP_Grid[#Data],$DE131,87),0)</f>
        <v/>
      </c>
      <c r="CM131">
        <f>IFERROR(INDEX(PP_Grid[#Data],$DE131,88),0)</f>
        <v/>
      </c>
      <c r="CN131">
        <f>IFERROR(INDEX(PP_Grid[#Data],$DE131,89),0)</f>
        <v/>
      </c>
      <c r="CO131">
        <f>IFERROR(INDEX(PP_Grid[#Data],$DE131,90),0)</f>
        <v/>
      </c>
      <c r="CP131">
        <f>IFERROR(INDEX(PP_Grid[#Data],$DE131,91),0)</f>
        <v/>
      </c>
      <c r="CQ131">
        <f>IFERROR(INDEX(PP_Grid[#Data],$DE131,92),0)</f>
        <v/>
      </c>
      <c r="CR131">
        <f>IFERROR(INDEX(PP_Grid[#Data],$DE131,93),0)</f>
        <v/>
      </c>
      <c r="CS131">
        <f>IFERROR(INDEX(PP_Grid[#Data],$DE131,94),0)</f>
        <v/>
      </c>
      <c r="CT131">
        <f>IFERROR(INDEX(PP_Grid[#Data],$DE131,95),0)</f>
        <v/>
      </c>
      <c r="CU131">
        <f>IFERROR(INDEX(PP_Grid[#Data],$DE131,96),0)</f>
        <v/>
      </c>
      <c r="CV131">
        <f>IFERROR(INDEX(PP_Grid[#Data],$DE131,97),0)</f>
        <v/>
      </c>
      <c r="CW131">
        <f>IFERROR(INDEX(PP_Grid[#Data],$DE131,98),0)</f>
        <v/>
      </c>
      <c r="CX131">
        <f>IFERROR(INDEX(PP_Grid[#Data],$DE131,99),0)</f>
        <v/>
      </c>
      <c r="CY131">
        <f>IFERROR(INDEX(PP_Grid[#Data],$DE131,100),0)</f>
        <v/>
      </c>
      <c r="CZ131">
        <f>IFERROR(INDEX(PP_Grid[#Data],$DE131,101),0)</f>
        <v/>
      </c>
      <c r="DA131">
        <f>IFERROR(INDEX(PP_Grid[#Data],$DE131,102),0)</f>
        <v/>
      </c>
      <c r="DB131">
        <f>IFERROR(INDEX(PP_Grid[#Data],$DE131,103),0)</f>
        <v/>
      </c>
      <c r="DC131">
        <f>IFERROR(INDEX(PP_Grid[#Data],$DE131,104),0)</f>
        <v/>
      </c>
      <c r="DD131">
        <f>IFERROR(INDEX(PP_Grid[#Data],$DE131,105),0)</f>
        <v/>
      </c>
      <c r="DE131" s="7">
        <f>IFERROR(MATCH($B131,PP_Grid[Intermediate],0),99999)</f>
        <v/>
      </c>
    </row>
    <row r="132">
      <c r="B132" t="inlineStr">
        <is>
          <t>使用量(kg)</t>
        </is>
      </c>
      <c r="C132">
        <f>SUMIFS(M_BOM[RM_Qty_Per_Batch],M_BOM[Intermediate],$B131,M_BOM[RM_Code],$A28)</f>
        <v/>
      </c>
      <c r="D132">
        <f>IFERROR(INDEX(E132:DD132,$F$1),"")</f>
        <v/>
      </c>
      <c r="E132">
        <f>$C132*E131</f>
        <v/>
      </c>
      <c r="F132">
        <f>$C132*F131</f>
        <v/>
      </c>
      <c r="G132">
        <f>$C132*G131</f>
        <v/>
      </c>
      <c r="H132">
        <f>$C132*H131</f>
        <v/>
      </c>
      <c r="I132">
        <f>$C132*I131</f>
        <v/>
      </c>
      <c r="J132">
        <f>$C132*J131</f>
        <v/>
      </c>
      <c r="K132">
        <f>$C132*K131</f>
        <v/>
      </c>
      <c r="L132">
        <f>$C132*L131</f>
        <v/>
      </c>
      <c r="M132">
        <f>$C132*M131</f>
        <v/>
      </c>
      <c r="N132">
        <f>$C132*N131</f>
        <v/>
      </c>
      <c r="O132">
        <f>$C132*O131</f>
        <v/>
      </c>
      <c r="P132">
        <f>$C132*P131</f>
        <v/>
      </c>
      <c r="Q132">
        <f>$C132*Q131</f>
        <v/>
      </c>
      <c r="R132">
        <f>$C132*R131</f>
        <v/>
      </c>
      <c r="S132">
        <f>$C132*S131</f>
        <v/>
      </c>
      <c r="T132">
        <f>$C132*T131</f>
        <v/>
      </c>
      <c r="U132">
        <f>$C132*U131</f>
        <v/>
      </c>
      <c r="V132">
        <f>$C132*V131</f>
        <v/>
      </c>
      <c r="W132">
        <f>$C132*W131</f>
        <v/>
      </c>
      <c r="X132">
        <f>$C132*X131</f>
        <v/>
      </c>
      <c r="Y132">
        <f>$C132*Y131</f>
        <v/>
      </c>
      <c r="Z132">
        <f>$C132*Z131</f>
        <v/>
      </c>
      <c r="AA132">
        <f>$C132*AA131</f>
        <v/>
      </c>
      <c r="AB132">
        <f>$C132*AB131</f>
        <v/>
      </c>
      <c r="AC132">
        <f>$C132*AC131</f>
        <v/>
      </c>
      <c r="AD132">
        <f>$C132*AD131</f>
        <v/>
      </c>
      <c r="AE132">
        <f>$C132*AE131</f>
        <v/>
      </c>
      <c r="AF132">
        <f>$C132*AF131</f>
        <v/>
      </c>
      <c r="AG132">
        <f>$C132*AG131</f>
        <v/>
      </c>
      <c r="AH132">
        <f>$C132*AH131</f>
        <v/>
      </c>
      <c r="AI132">
        <f>$C132*AI131</f>
        <v/>
      </c>
      <c r="AJ132">
        <f>$C132*AJ131</f>
        <v/>
      </c>
      <c r="AK132">
        <f>$C132*AK131</f>
        <v/>
      </c>
      <c r="AL132">
        <f>$C132*AL131</f>
        <v/>
      </c>
      <c r="AM132">
        <f>$C132*AM131</f>
        <v/>
      </c>
      <c r="AN132">
        <f>$C132*AN131</f>
        <v/>
      </c>
      <c r="AO132">
        <f>$C132*AO131</f>
        <v/>
      </c>
      <c r="AP132">
        <f>$C132*AP131</f>
        <v/>
      </c>
      <c r="AQ132">
        <f>$C132*AQ131</f>
        <v/>
      </c>
      <c r="AR132">
        <f>$C132*AR131</f>
        <v/>
      </c>
      <c r="AS132">
        <f>$C132*AS131</f>
        <v/>
      </c>
      <c r="AT132">
        <f>$C132*AT131</f>
        <v/>
      </c>
      <c r="AU132">
        <f>$C132*AU131</f>
        <v/>
      </c>
      <c r="AV132">
        <f>$C132*AV131</f>
        <v/>
      </c>
      <c r="AW132">
        <f>$C132*AW131</f>
        <v/>
      </c>
      <c r="AX132">
        <f>$C132*AX131</f>
        <v/>
      </c>
      <c r="AY132">
        <f>$C132*AY131</f>
        <v/>
      </c>
      <c r="AZ132">
        <f>$C132*AZ131</f>
        <v/>
      </c>
      <c r="BA132">
        <f>$C132*BA131</f>
        <v/>
      </c>
      <c r="BB132">
        <f>$C132*BB131</f>
        <v/>
      </c>
      <c r="BC132">
        <f>$C132*BC131</f>
        <v/>
      </c>
      <c r="BD132">
        <f>$C132*BD131</f>
        <v/>
      </c>
      <c r="BE132">
        <f>$C132*BE131</f>
        <v/>
      </c>
      <c r="BF132">
        <f>$C132*BF131</f>
        <v/>
      </c>
      <c r="BG132">
        <f>$C132*BG131</f>
        <v/>
      </c>
      <c r="BH132">
        <f>$C132*BH131</f>
        <v/>
      </c>
      <c r="BI132">
        <f>$C132*BI131</f>
        <v/>
      </c>
      <c r="BJ132">
        <f>$C132*BJ131</f>
        <v/>
      </c>
      <c r="BK132">
        <f>$C132*BK131</f>
        <v/>
      </c>
      <c r="BL132">
        <f>$C132*BL131</f>
        <v/>
      </c>
      <c r="BM132">
        <f>$C132*BM131</f>
        <v/>
      </c>
      <c r="BN132">
        <f>$C132*BN131</f>
        <v/>
      </c>
      <c r="BO132">
        <f>$C132*BO131</f>
        <v/>
      </c>
      <c r="BP132">
        <f>$C132*BP131</f>
        <v/>
      </c>
      <c r="BQ132">
        <f>$C132*BQ131</f>
        <v/>
      </c>
      <c r="BR132">
        <f>$C132*BR131</f>
        <v/>
      </c>
      <c r="BS132">
        <f>$C132*BS131</f>
        <v/>
      </c>
      <c r="BT132">
        <f>$C132*BT131</f>
        <v/>
      </c>
      <c r="BU132">
        <f>$C132*BU131</f>
        <v/>
      </c>
      <c r="BV132">
        <f>$C132*BV131</f>
        <v/>
      </c>
      <c r="BW132">
        <f>$C132*BW131</f>
        <v/>
      </c>
      <c r="BX132">
        <f>$C132*BX131</f>
        <v/>
      </c>
      <c r="BY132">
        <f>$C132*BY131</f>
        <v/>
      </c>
      <c r="BZ132">
        <f>$C132*BZ131</f>
        <v/>
      </c>
      <c r="CA132">
        <f>$C132*CA131</f>
        <v/>
      </c>
      <c r="CB132">
        <f>$C132*CB131</f>
        <v/>
      </c>
      <c r="CC132">
        <f>$C132*CC131</f>
        <v/>
      </c>
      <c r="CD132">
        <f>$C132*CD131</f>
        <v/>
      </c>
      <c r="CE132">
        <f>$C132*CE131</f>
        <v/>
      </c>
      <c r="CF132">
        <f>$C132*CF131</f>
        <v/>
      </c>
      <c r="CG132">
        <f>$C132*CG131</f>
        <v/>
      </c>
      <c r="CH132">
        <f>$C132*CH131</f>
        <v/>
      </c>
      <c r="CI132">
        <f>$C132*CI131</f>
        <v/>
      </c>
      <c r="CJ132">
        <f>$C132*CJ131</f>
        <v/>
      </c>
      <c r="CK132">
        <f>$C132*CK131</f>
        <v/>
      </c>
      <c r="CL132">
        <f>$C132*CL131</f>
        <v/>
      </c>
      <c r="CM132">
        <f>$C132*CM131</f>
        <v/>
      </c>
      <c r="CN132">
        <f>$C132*CN131</f>
        <v/>
      </c>
      <c r="CO132">
        <f>$C132*CO131</f>
        <v/>
      </c>
      <c r="CP132">
        <f>$C132*CP131</f>
        <v/>
      </c>
      <c r="CQ132">
        <f>$C132*CQ131</f>
        <v/>
      </c>
      <c r="CR132">
        <f>$C132*CR131</f>
        <v/>
      </c>
      <c r="CS132">
        <f>$C132*CS131</f>
        <v/>
      </c>
      <c r="CT132">
        <f>$C132*CT131</f>
        <v/>
      </c>
      <c r="CU132">
        <f>$C132*CU131</f>
        <v/>
      </c>
      <c r="CV132">
        <f>$C132*CV131</f>
        <v/>
      </c>
      <c r="CW132">
        <f>$C132*CW131</f>
        <v/>
      </c>
      <c r="CX132">
        <f>$C132*CX131</f>
        <v/>
      </c>
      <c r="CY132">
        <f>$C132*CY131</f>
        <v/>
      </c>
      <c r="CZ132">
        <f>$C132*CZ131</f>
        <v/>
      </c>
      <c r="DA132">
        <f>$C132*DA131</f>
        <v/>
      </c>
      <c r="DB132">
        <f>$C132*DB131</f>
        <v/>
      </c>
      <c r="DC132">
        <f>$C132*DC131</f>
        <v/>
      </c>
      <c r="DD132">
        <f>$C132*DD131</f>
        <v/>
      </c>
    </row>
    <row r="133">
      <c r="B133" t="inlineStr">
        <is>
          <t>TPP-650</t>
        </is>
      </c>
      <c r="C133" t="inlineStr">
        <is>
          <t>No. of batches</t>
        </is>
      </c>
      <c r="D133">
        <f>IFERROR(INDEX(E133:DD133,$F$1),"")</f>
        <v/>
      </c>
      <c r="E133">
        <f>IFERROR(INDEX(PP_Grid[#Data],$DE133,2),0)</f>
        <v/>
      </c>
      <c r="F133">
        <f>IFERROR(INDEX(PP_Grid[#Data],$DE133,3),0)</f>
        <v/>
      </c>
      <c r="G133">
        <f>IFERROR(INDEX(PP_Grid[#Data],$DE133,4),0)</f>
        <v/>
      </c>
      <c r="H133">
        <f>IFERROR(INDEX(PP_Grid[#Data],$DE133,5),0)</f>
        <v/>
      </c>
      <c r="I133">
        <f>IFERROR(INDEX(PP_Grid[#Data],$DE133,6),0)</f>
        <v/>
      </c>
      <c r="J133">
        <f>IFERROR(INDEX(PP_Grid[#Data],$DE133,7),0)</f>
        <v/>
      </c>
      <c r="K133">
        <f>IFERROR(INDEX(PP_Grid[#Data],$DE133,8),0)</f>
        <v/>
      </c>
      <c r="L133">
        <f>IFERROR(INDEX(PP_Grid[#Data],$DE133,9),0)</f>
        <v/>
      </c>
      <c r="M133">
        <f>IFERROR(INDEX(PP_Grid[#Data],$DE133,10),0)</f>
        <v/>
      </c>
      <c r="N133">
        <f>IFERROR(INDEX(PP_Grid[#Data],$DE133,11),0)</f>
        <v/>
      </c>
      <c r="O133">
        <f>IFERROR(INDEX(PP_Grid[#Data],$DE133,12),0)</f>
        <v/>
      </c>
      <c r="P133">
        <f>IFERROR(INDEX(PP_Grid[#Data],$DE133,13),0)</f>
        <v/>
      </c>
      <c r="Q133">
        <f>IFERROR(INDEX(PP_Grid[#Data],$DE133,14),0)</f>
        <v/>
      </c>
      <c r="R133">
        <f>IFERROR(INDEX(PP_Grid[#Data],$DE133,15),0)</f>
        <v/>
      </c>
      <c r="S133">
        <f>IFERROR(INDEX(PP_Grid[#Data],$DE133,16),0)</f>
        <v/>
      </c>
      <c r="T133">
        <f>IFERROR(INDEX(PP_Grid[#Data],$DE133,17),0)</f>
        <v/>
      </c>
      <c r="U133">
        <f>IFERROR(INDEX(PP_Grid[#Data],$DE133,18),0)</f>
        <v/>
      </c>
      <c r="V133">
        <f>IFERROR(INDEX(PP_Grid[#Data],$DE133,19),0)</f>
        <v/>
      </c>
      <c r="W133">
        <f>IFERROR(INDEX(PP_Grid[#Data],$DE133,20),0)</f>
        <v/>
      </c>
      <c r="X133">
        <f>IFERROR(INDEX(PP_Grid[#Data],$DE133,21),0)</f>
        <v/>
      </c>
      <c r="Y133">
        <f>IFERROR(INDEX(PP_Grid[#Data],$DE133,22),0)</f>
        <v/>
      </c>
      <c r="Z133">
        <f>IFERROR(INDEX(PP_Grid[#Data],$DE133,23),0)</f>
        <v/>
      </c>
      <c r="AA133">
        <f>IFERROR(INDEX(PP_Grid[#Data],$DE133,24),0)</f>
        <v/>
      </c>
      <c r="AB133">
        <f>IFERROR(INDEX(PP_Grid[#Data],$DE133,25),0)</f>
        <v/>
      </c>
      <c r="AC133">
        <f>IFERROR(INDEX(PP_Grid[#Data],$DE133,26),0)</f>
        <v/>
      </c>
      <c r="AD133">
        <f>IFERROR(INDEX(PP_Grid[#Data],$DE133,27),0)</f>
        <v/>
      </c>
      <c r="AE133">
        <f>IFERROR(INDEX(PP_Grid[#Data],$DE133,28),0)</f>
        <v/>
      </c>
      <c r="AF133">
        <f>IFERROR(INDEX(PP_Grid[#Data],$DE133,29),0)</f>
        <v/>
      </c>
      <c r="AG133">
        <f>IFERROR(INDEX(PP_Grid[#Data],$DE133,30),0)</f>
        <v/>
      </c>
      <c r="AH133">
        <f>IFERROR(INDEX(PP_Grid[#Data],$DE133,31),0)</f>
        <v/>
      </c>
      <c r="AI133">
        <f>IFERROR(INDEX(PP_Grid[#Data],$DE133,32),0)</f>
        <v/>
      </c>
      <c r="AJ133">
        <f>IFERROR(INDEX(PP_Grid[#Data],$DE133,33),0)</f>
        <v/>
      </c>
      <c r="AK133">
        <f>IFERROR(INDEX(PP_Grid[#Data],$DE133,34),0)</f>
        <v/>
      </c>
      <c r="AL133">
        <f>IFERROR(INDEX(PP_Grid[#Data],$DE133,35),0)</f>
        <v/>
      </c>
      <c r="AM133">
        <f>IFERROR(INDEX(PP_Grid[#Data],$DE133,36),0)</f>
        <v/>
      </c>
      <c r="AN133">
        <f>IFERROR(INDEX(PP_Grid[#Data],$DE133,37),0)</f>
        <v/>
      </c>
      <c r="AO133">
        <f>IFERROR(INDEX(PP_Grid[#Data],$DE133,38),0)</f>
        <v/>
      </c>
      <c r="AP133">
        <f>IFERROR(INDEX(PP_Grid[#Data],$DE133,39),0)</f>
        <v/>
      </c>
      <c r="AQ133">
        <f>IFERROR(INDEX(PP_Grid[#Data],$DE133,40),0)</f>
        <v/>
      </c>
      <c r="AR133">
        <f>IFERROR(INDEX(PP_Grid[#Data],$DE133,41),0)</f>
        <v/>
      </c>
      <c r="AS133">
        <f>IFERROR(INDEX(PP_Grid[#Data],$DE133,42),0)</f>
        <v/>
      </c>
      <c r="AT133">
        <f>IFERROR(INDEX(PP_Grid[#Data],$DE133,43),0)</f>
        <v/>
      </c>
      <c r="AU133">
        <f>IFERROR(INDEX(PP_Grid[#Data],$DE133,44),0)</f>
        <v/>
      </c>
      <c r="AV133">
        <f>IFERROR(INDEX(PP_Grid[#Data],$DE133,45),0)</f>
        <v/>
      </c>
      <c r="AW133">
        <f>IFERROR(INDEX(PP_Grid[#Data],$DE133,46),0)</f>
        <v/>
      </c>
      <c r="AX133">
        <f>IFERROR(INDEX(PP_Grid[#Data],$DE133,47),0)</f>
        <v/>
      </c>
      <c r="AY133">
        <f>IFERROR(INDEX(PP_Grid[#Data],$DE133,48),0)</f>
        <v/>
      </c>
      <c r="AZ133">
        <f>IFERROR(INDEX(PP_Grid[#Data],$DE133,49),0)</f>
        <v/>
      </c>
      <c r="BA133">
        <f>IFERROR(INDEX(PP_Grid[#Data],$DE133,50),0)</f>
        <v/>
      </c>
      <c r="BB133">
        <f>IFERROR(INDEX(PP_Grid[#Data],$DE133,51),0)</f>
        <v/>
      </c>
      <c r="BC133">
        <f>IFERROR(INDEX(PP_Grid[#Data],$DE133,52),0)</f>
        <v/>
      </c>
      <c r="BD133">
        <f>IFERROR(INDEX(PP_Grid[#Data],$DE133,53),0)</f>
        <v/>
      </c>
      <c r="BE133">
        <f>IFERROR(INDEX(PP_Grid[#Data],$DE133,54),0)</f>
        <v/>
      </c>
      <c r="BF133">
        <f>IFERROR(INDEX(PP_Grid[#Data],$DE133,55),0)</f>
        <v/>
      </c>
      <c r="BG133">
        <f>IFERROR(INDEX(PP_Grid[#Data],$DE133,56),0)</f>
        <v/>
      </c>
      <c r="BH133">
        <f>IFERROR(INDEX(PP_Grid[#Data],$DE133,57),0)</f>
        <v/>
      </c>
      <c r="BI133">
        <f>IFERROR(INDEX(PP_Grid[#Data],$DE133,58),0)</f>
        <v/>
      </c>
      <c r="BJ133">
        <f>IFERROR(INDEX(PP_Grid[#Data],$DE133,59),0)</f>
        <v/>
      </c>
      <c r="BK133">
        <f>IFERROR(INDEX(PP_Grid[#Data],$DE133,60),0)</f>
        <v/>
      </c>
      <c r="BL133">
        <f>IFERROR(INDEX(PP_Grid[#Data],$DE133,61),0)</f>
        <v/>
      </c>
      <c r="BM133">
        <f>IFERROR(INDEX(PP_Grid[#Data],$DE133,62),0)</f>
        <v/>
      </c>
      <c r="BN133">
        <f>IFERROR(INDEX(PP_Grid[#Data],$DE133,63),0)</f>
        <v/>
      </c>
      <c r="BO133">
        <f>IFERROR(INDEX(PP_Grid[#Data],$DE133,64),0)</f>
        <v/>
      </c>
      <c r="BP133">
        <f>IFERROR(INDEX(PP_Grid[#Data],$DE133,65),0)</f>
        <v/>
      </c>
      <c r="BQ133">
        <f>IFERROR(INDEX(PP_Grid[#Data],$DE133,66),0)</f>
        <v/>
      </c>
      <c r="BR133">
        <f>IFERROR(INDEX(PP_Grid[#Data],$DE133,67),0)</f>
        <v/>
      </c>
      <c r="BS133">
        <f>IFERROR(INDEX(PP_Grid[#Data],$DE133,68),0)</f>
        <v/>
      </c>
      <c r="BT133">
        <f>IFERROR(INDEX(PP_Grid[#Data],$DE133,69),0)</f>
        <v/>
      </c>
      <c r="BU133">
        <f>IFERROR(INDEX(PP_Grid[#Data],$DE133,70),0)</f>
        <v/>
      </c>
      <c r="BV133">
        <f>IFERROR(INDEX(PP_Grid[#Data],$DE133,71),0)</f>
        <v/>
      </c>
      <c r="BW133">
        <f>IFERROR(INDEX(PP_Grid[#Data],$DE133,72),0)</f>
        <v/>
      </c>
      <c r="BX133">
        <f>IFERROR(INDEX(PP_Grid[#Data],$DE133,73),0)</f>
        <v/>
      </c>
      <c r="BY133">
        <f>IFERROR(INDEX(PP_Grid[#Data],$DE133,74),0)</f>
        <v/>
      </c>
      <c r="BZ133">
        <f>IFERROR(INDEX(PP_Grid[#Data],$DE133,75),0)</f>
        <v/>
      </c>
      <c r="CA133">
        <f>IFERROR(INDEX(PP_Grid[#Data],$DE133,76),0)</f>
        <v/>
      </c>
      <c r="CB133">
        <f>IFERROR(INDEX(PP_Grid[#Data],$DE133,77),0)</f>
        <v/>
      </c>
      <c r="CC133">
        <f>IFERROR(INDEX(PP_Grid[#Data],$DE133,78),0)</f>
        <v/>
      </c>
      <c r="CD133">
        <f>IFERROR(INDEX(PP_Grid[#Data],$DE133,79),0)</f>
        <v/>
      </c>
      <c r="CE133">
        <f>IFERROR(INDEX(PP_Grid[#Data],$DE133,80),0)</f>
        <v/>
      </c>
      <c r="CF133">
        <f>IFERROR(INDEX(PP_Grid[#Data],$DE133,81),0)</f>
        <v/>
      </c>
      <c r="CG133">
        <f>IFERROR(INDEX(PP_Grid[#Data],$DE133,82),0)</f>
        <v/>
      </c>
      <c r="CH133">
        <f>IFERROR(INDEX(PP_Grid[#Data],$DE133,83),0)</f>
        <v/>
      </c>
      <c r="CI133">
        <f>IFERROR(INDEX(PP_Grid[#Data],$DE133,84),0)</f>
        <v/>
      </c>
      <c r="CJ133">
        <f>IFERROR(INDEX(PP_Grid[#Data],$DE133,85),0)</f>
        <v/>
      </c>
      <c r="CK133">
        <f>IFERROR(INDEX(PP_Grid[#Data],$DE133,86),0)</f>
        <v/>
      </c>
      <c r="CL133">
        <f>IFERROR(INDEX(PP_Grid[#Data],$DE133,87),0)</f>
        <v/>
      </c>
      <c r="CM133">
        <f>IFERROR(INDEX(PP_Grid[#Data],$DE133,88),0)</f>
        <v/>
      </c>
      <c r="CN133">
        <f>IFERROR(INDEX(PP_Grid[#Data],$DE133,89),0)</f>
        <v/>
      </c>
      <c r="CO133">
        <f>IFERROR(INDEX(PP_Grid[#Data],$DE133,90),0)</f>
        <v/>
      </c>
      <c r="CP133">
        <f>IFERROR(INDEX(PP_Grid[#Data],$DE133,91),0)</f>
        <v/>
      </c>
      <c r="CQ133">
        <f>IFERROR(INDEX(PP_Grid[#Data],$DE133,92),0)</f>
        <v/>
      </c>
      <c r="CR133">
        <f>IFERROR(INDEX(PP_Grid[#Data],$DE133,93),0)</f>
        <v/>
      </c>
      <c r="CS133">
        <f>IFERROR(INDEX(PP_Grid[#Data],$DE133,94),0)</f>
        <v/>
      </c>
      <c r="CT133">
        <f>IFERROR(INDEX(PP_Grid[#Data],$DE133,95),0)</f>
        <v/>
      </c>
      <c r="CU133">
        <f>IFERROR(INDEX(PP_Grid[#Data],$DE133,96),0)</f>
        <v/>
      </c>
      <c r="CV133">
        <f>IFERROR(INDEX(PP_Grid[#Data],$DE133,97),0)</f>
        <v/>
      </c>
      <c r="CW133">
        <f>IFERROR(INDEX(PP_Grid[#Data],$DE133,98),0)</f>
        <v/>
      </c>
      <c r="CX133">
        <f>IFERROR(INDEX(PP_Grid[#Data],$DE133,99),0)</f>
        <v/>
      </c>
      <c r="CY133">
        <f>IFERROR(INDEX(PP_Grid[#Data],$DE133,100),0)</f>
        <v/>
      </c>
      <c r="CZ133">
        <f>IFERROR(INDEX(PP_Grid[#Data],$DE133,101),0)</f>
        <v/>
      </c>
      <c r="DA133">
        <f>IFERROR(INDEX(PP_Grid[#Data],$DE133,102),0)</f>
        <v/>
      </c>
      <c r="DB133">
        <f>IFERROR(INDEX(PP_Grid[#Data],$DE133,103),0)</f>
        <v/>
      </c>
      <c r="DC133">
        <f>IFERROR(INDEX(PP_Grid[#Data],$DE133,104),0)</f>
        <v/>
      </c>
      <c r="DD133">
        <f>IFERROR(INDEX(PP_Grid[#Data],$DE133,105),0)</f>
        <v/>
      </c>
      <c r="DE133" s="7">
        <f>IFERROR(MATCH($B133,PP_Grid[Intermediate],0),99999)</f>
        <v/>
      </c>
    </row>
    <row r="134">
      <c r="B134" t="inlineStr">
        <is>
          <t>使用量(kg)</t>
        </is>
      </c>
      <c r="C134">
        <f>SUMIFS(M_BOM[RM_Qty_Per_Batch],M_BOM[Intermediate],$B133,M_BOM[RM_Code],$A28)</f>
        <v/>
      </c>
      <c r="D134">
        <f>IFERROR(INDEX(E134:DD134,$F$1),"")</f>
        <v/>
      </c>
      <c r="E134">
        <f>$C134*E133</f>
        <v/>
      </c>
      <c r="F134">
        <f>$C134*F133</f>
        <v/>
      </c>
      <c r="G134">
        <f>$C134*G133</f>
        <v/>
      </c>
      <c r="H134">
        <f>$C134*H133</f>
        <v/>
      </c>
      <c r="I134">
        <f>$C134*I133</f>
        <v/>
      </c>
      <c r="J134">
        <f>$C134*J133</f>
        <v/>
      </c>
      <c r="K134">
        <f>$C134*K133</f>
        <v/>
      </c>
      <c r="L134">
        <f>$C134*L133</f>
        <v/>
      </c>
      <c r="M134">
        <f>$C134*M133</f>
        <v/>
      </c>
      <c r="N134">
        <f>$C134*N133</f>
        <v/>
      </c>
      <c r="O134">
        <f>$C134*O133</f>
        <v/>
      </c>
      <c r="P134">
        <f>$C134*P133</f>
        <v/>
      </c>
      <c r="Q134">
        <f>$C134*Q133</f>
        <v/>
      </c>
      <c r="R134">
        <f>$C134*R133</f>
        <v/>
      </c>
      <c r="S134">
        <f>$C134*S133</f>
        <v/>
      </c>
      <c r="T134">
        <f>$C134*T133</f>
        <v/>
      </c>
      <c r="U134">
        <f>$C134*U133</f>
        <v/>
      </c>
      <c r="V134">
        <f>$C134*V133</f>
        <v/>
      </c>
      <c r="W134">
        <f>$C134*W133</f>
        <v/>
      </c>
      <c r="X134">
        <f>$C134*X133</f>
        <v/>
      </c>
      <c r="Y134">
        <f>$C134*Y133</f>
        <v/>
      </c>
      <c r="Z134">
        <f>$C134*Z133</f>
        <v/>
      </c>
      <c r="AA134">
        <f>$C134*AA133</f>
        <v/>
      </c>
      <c r="AB134">
        <f>$C134*AB133</f>
        <v/>
      </c>
      <c r="AC134">
        <f>$C134*AC133</f>
        <v/>
      </c>
      <c r="AD134">
        <f>$C134*AD133</f>
        <v/>
      </c>
      <c r="AE134">
        <f>$C134*AE133</f>
        <v/>
      </c>
      <c r="AF134">
        <f>$C134*AF133</f>
        <v/>
      </c>
      <c r="AG134">
        <f>$C134*AG133</f>
        <v/>
      </c>
      <c r="AH134">
        <f>$C134*AH133</f>
        <v/>
      </c>
      <c r="AI134">
        <f>$C134*AI133</f>
        <v/>
      </c>
      <c r="AJ134">
        <f>$C134*AJ133</f>
        <v/>
      </c>
      <c r="AK134">
        <f>$C134*AK133</f>
        <v/>
      </c>
      <c r="AL134">
        <f>$C134*AL133</f>
        <v/>
      </c>
      <c r="AM134">
        <f>$C134*AM133</f>
        <v/>
      </c>
      <c r="AN134">
        <f>$C134*AN133</f>
        <v/>
      </c>
      <c r="AO134">
        <f>$C134*AO133</f>
        <v/>
      </c>
      <c r="AP134">
        <f>$C134*AP133</f>
        <v/>
      </c>
      <c r="AQ134">
        <f>$C134*AQ133</f>
        <v/>
      </c>
      <c r="AR134">
        <f>$C134*AR133</f>
        <v/>
      </c>
      <c r="AS134">
        <f>$C134*AS133</f>
        <v/>
      </c>
      <c r="AT134">
        <f>$C134*AT133</f>
        <v/>
      </c>
      <c r="AU134">
        <f>$C134*AU133</f>
        <v/>
      </c>
      <c r="AV134">
        <f>$C134*AV133</f>
        <v/>
      </c>
      <c r="AW134">
        <f>$C134*AW133</f>
        <v/>
      </c>
      <c r="AX134">
        <f>$C134*AX133</f>
        <v/>
      </c>
      <c r="AY134">
        <f>$C134*AY133</f>
        <v/>
      </c>
      <c r="AZ134">
        <f>$C134*AZ133</f>
        <v/>
      </c>
      <c r="BA134">
        <f>$C134*BA133</f>
        <v/>
      </c>
      <c r="BB134">
        <f>$C134*BB133</f>
        <v/>
      </c>
      <c r="BC134">
        <f>$C134*BC133</f>
        <v/>
      </c>
      <c r="BD134">
        <f>$C134*BD133</f>
        <v/>
      </c>
      <c r="BE134">
        <f>$C134*BE133</f>
        <v/>
      </c>
      <c r="BF134">
        <f>$C134*BF133</f>
        <v/>
      </c>
      <c r="BG134">
        <f>$C134*BG133</f>
        <v/>
      </c>
      <c r="BH134">
        <f>$C134*BH133</f>
        <v/>
      </c>
      <c r="BI134">
        <f>$C134*BI133</f>
        <v/>
      </c>
      <c r="BJ134">
        <f>$C134*BJ133</f>
        <v/>
      </c>
      <c r="BK134">
        <f>$C134*BK133</f>
        <v/>
      </c>
      <c r="BL134">
        <f>$C134*BL133</f>
        <v/>
      </c>
      <c r="BM134">
        <f>$C134*BM133</f>
        <v/>
      </c>
      <c r="BN134">
        <f>$C134*BN133</f>
        <v/>
      </c>
      <c r="BO134">
        <f>$C134*BO133</f>
        <v/>
      </c>
      <c r="BP134">
        <f>$C134*BP133</f>
        <v/>
      </c>
      <c r="BQ134">
        <f>$C134*BQ133</f>
        <v/>
      </c>
      <c r="BR134">
        <f>$C134*BR133</f>
        <v/>
      </c>
      <c r="BS134">
        <f>$C134*BS133</f>
        <v/>
      </c>
      <c r="BT134">
        <f>$C134*BT133</f>
        <v/>
      </c>
      <c r="BU134">
        <f>$C134*BU133</f>
        <v/>
      </c>
      <c r="BV134">
        <f>$C134*BV133</f>
        <v/>
      </c>
      <c r="BW134">
        <f>$C134*BW133</f>
        <v/>
      </c>
      <c r="BX134">
        <f>$C134*BX133</f>
        <v/>
      </c>
      <c r="BY134">
        <f>$C134*BY133</f>
        <v/>
      </c>
      <c r="BZ134">
        <f>$C134*BZ133</f>
        <v/>
      </c>
      <c r="CA134">
        <f>$C134*CA133</f>
        <v/>
      </c>
      <c r="CB134">
        <f>$C134*CB133</f>
        <v/>
      </c>
      <c r="CC134">
        <f>$C134*CC133</f>
        <v/>
      </c>
      <c r="CD134">
        <f>$C134*CD133</f>
        <v/>
      </c>
      <c r="CE134">
        <f>$C134*CE133</f>
        <v/>
      </c>
      <c r="CF134">
        <f>$C134*CF133</f>
        <v/>
      </c>
      <c r="CG134">
        <f>$C134*CG133</f>
        <v/>
      </c>
      <c r="CH134">
        <f>$C134*CH133</f>
        <v/>
      </c>
      <c r="CI134">
        <f>$C134*CI133</f>
        <v/>
      </c>
      <c r="CJ134">
        <f>$C134*CJ133</f>
        <v/>
      </c>
      <c r="CK134">
        <f>$C134*CK133</f>
        <v/>
      </c>
      <c r="CL134">
        <f>$C134*CL133</f>
        <v/>
      </c>
      <c r="CM134">
        <f>$C134*CM133</f>
        <v/>
      </c>
      <c r="CN134">
        <f>$C134*CN133</f>
        <v/>
      </c>
      <c r="CO134">
        <f>$C134*CO133</f>
        <v/>
      </c>
      <c r="CP134">
        <f>$C134*CP133</f>
        <v/>
      </c>
      <c r="CQ134">
        <f>$C134*CQ133</f>
        <v/>
      </c>
      <c r="CR134">
        <f>$C134*CR133</f>
        <v/>
      </c>
      <c r="CS134">
        <f>$C134*CS133</f>
        <v/>
      </c>
      <c r="CT134">
        <f>$C134*CT133</f>
        <v/>
      </c>
      <c r="CU134">
        <f>$C134*CU133</f>
        <v/>
      </c>
      <c r="CV134">
        <f>$C134*CV133</f>
        <v/>
      </c>
      <c r="CW134">
        <f>$C134*CW133</f>
        <v/>
      </c>
      <c r="CX134">
        <f>$C134*CX133</f>
        <v/>
      </c>
      <c r="CY134">
        <f>$C134*CY133</f>
        <v/>
      </c>
      <c r="CZ134">
        <f>$C134*CZ133</f>
        <v/>
      </c>
      <c r="DA134">
        <f>$C134*DA133</f>
        <v/>
      </c>
      <c r="DB134">
        <f>$C134*DB133</f>
        <v/>
      </c>
      <c r="DC134">
        <f>$C134*DC133</f>
        <v/>
      </c>
      <c r="DD134">
        <f>$C134*DD133</f>
        <v/>
      </c>
    </row>
    <row r="135">
      <c r="B135" t="inlineStr">
        <is>
          <t>TPP-825</t>
        </is>
      </c>
      <c r="C135" t="inlineStr">
        <is>
          <t>No. of batches</t>
        </is>
      </c>
      <c r="D135">
        <f>IFERROR(INDEX(E135:DD135,$F$1),"")</f>
        <v/>
      </c>
      <c r="E135">
        <f>IFERROR(INDEX(PP_Grid[#Data],$DE135,2),0)</f>
        <v/>
      </c>
      <c r="F135">
        <f>IFERROR(INDEX(PP_Grid[#Data],$DE135,3),0)</f>
        <v/>
      </c>
      <c r="G135">
        <f>IFERROR(INDEX(PP_Grid[#Data],$DE135,4),0)</f>
        <v/>
      </c>
      <c r="H135">
        <f>IFERROR(INDEX(PP_Grid[#Data],$DE135,5),0)</f>
        <v/>
      </c>
      <c r="I135">
        <f>IFERROR(INDEX(PP_Grid[#Data],$DE135,6),0)</f>
        <v/>
      </c>
      <c r="J135">
        <f>IFERROR(INDEX(PP_Grid[#Data],$DE135,7),0)</f>
        <v/>
      </c>
      <c r="K135">
        <f>IFERROR(INDEX(PP_Grid[#Data],$DE135,8),0)</f>
        <v/>
      </c>
      <c r="L135">
        <f>IFERROR(INDEX(PP_Grid[#Data],$DE135,9),0)</f>
        <v/>
      </c>
      <c r="M135">
        <f>IFERROR(INDEX(PP_Grid[#Data],$DE135,10),0)</f>
        <v/>
      </c>
      <c r="N135">
        <f>IFERROR(INDEX(PP_Grid[#Data],$DE135,11),0)</f>
        <v/>
      </c>
      <c r="O135">
        <f>IFERROR(INDEX(PP_Grid[#Data],$DE135,12),0)</f>
        <v/>
      </c>
      <c r="P135">
        <f>IFERROR(INDEX(PP_Grid[#Data],$DE135,13),0)</f>
        <v/>
      </c>
      <c r="Q135">
        <f>IFERROR(INDEX(PP_Grid[#Data],$DE135,14),0)</f>
        <v/>
      </c>
      <c r="R135">
        <f>IFERROR(INDEX(PP_Grid[#Data],$DE135,15),0)</f>
        <v/>
      </c>
      <c r="S135">
        <f>IFERROR(INDEX(PP_Grid[#Data],$DE135,16),0)</f>
        <v/>
      </c>
      <c r="T135">
        <f>IFERROR(INDEX(PP_Grid[#Data],$DE135,17),0)</f>
        <v/>
      </c>
      <c r="U135">
        <f>IFERROR(INDEX(PP_Grid[#Data],$DE135,18),0)</f>
        <v/>
      </c>
      <c r="V135">
        <f>IFERROR(INDEX(PP_Grid[#Data],$DE135,19),0)</f>
        <v/>
      </c>
      <c r="W135">
        <f>IFERROR(INDEX(PP_Grid[#Data],$DE135,20),0)</f>
        <v/>
      </c>
      <c r="X135">
        <f>IFERROR(INDEX(PP_Grid[#Data],$DE135,21),0)</f>
        <v/>
      </c>
      <c r="Y135">
        <f>IFERROR(INDEX(PP_Grid[#Data],$DE135,22),0)</f>
        <v/>
      </c>
      <c r="Z135">
        <f>IFERROR(INDEX(PP_Grid[#Data],$DE135,23),0)</f>
        <v/>
      </c>
      <c r="AA135">
        <f>IFERROR(INDEX(PP_Grid[#Data],$DE135,24),0)</f>
        <v/>
      </c>
      <c r="AB135">
        <f>IFERROR(INDEX(PP_Grid[#Data],$DE135,25),0)</f>
        <v/>
      </c>
      <c r="AC135">
        <f>IFERROR(INDEX(PP_Grid[#Data],$DE135,26),0)</f>
        <v/>
      </c>
      <c r="AD135">
        <f>IFERROR(INDEX(PP_Grid[#Data],$DE135,27),0)</f>
        <v/>
      </c>
      <c r="AE135">
        <f>IFERROR(INDEX(PP_Grid[#Data],$DE135,28),0)</f>
        <v/>
      </c>
      <c r="AF135">
        <f>IFERROR(INDEX(PP_Grid[#Data],$DE135,29),0)</f>
        <v/>
      </c>
      <c r="AG135">
        <f>IFERROR(INDEX(PP_Grid[#Data],$DE135,30),0)</f>
        <v/>
      </c>
      <c r="AH135">
        <f>IFERROR(INDEX(PP_Grid[#Data],$DE135,31),0)</f>
        <v/>
      </c>
      <c r="AI135">
        <f>IFERROR(INDEX(PP_Grid[#Data],$DE135,32),0)</f>
        <v/>
      </c>
      <c r="AJ135">
        <f>IFERROR(INDEX(PP_Grid[#Data],$DE135,33),0)</f>
        <v/>
      </c>
      <c r="AK135">
        <f>IFERROR(INDEX(PP_Grid[#Data],$DE135,34),0)</f>
        <v/>
      </c>
      <c r="AL135">
        <f>IFERROR(INDEX(PP_Grid[#Data],$DE135,35),0)</f>
        <v/>
      </c>
      <c r="AM135">
        <f>IFERROR(INDEX(PP_Grid[#Data],$DE135,36),0)</f>
        <v/>
      </c>
      <c r="AN135">
        <f>IFERROR(INDEX(PP_Grid[#Data],$DE135,37),0)</f>
        <v/>
      </c>
      <c r="AO135">
        <f>IFERROR(INDEX(PP_Grid[#Data],$DE135,38),0)</f>
        <v/>
      </c>
      <c r="AP135">
        <f>IFERROR(INDEX(PP_Grid[#Data],$DE135,39),0)</f>
        <v/>
      </c>
      <c r="AQ135">
        <f>IFERROR(INDEX(PP_Grid[#Data],$DE135,40),0)</f>
        <v/>
      </c>
      <c r="AR135">
        <f>IFERROR(INDEX(PP_Grid[#Data],$DE135,41),0)</f>
        <v/>
      </c>
      <c r="AS135">
        <f>IFERROR(INDEX(PP_Grid[#Data],$DE135,42),0)</f>
        <v/>
      </c>
      <c r="AT135">
        <f>IFERROR(INDEX(PP_Grid[#Data],$DE135,43),0)</f>
        <v/>
      </c>
      <c r="AU135">
        <f>IFERROR(INDEX(PP_Grid[#Data],$DE135,44),0)</f>
        <v/>
      </c>
      <c r="AV135">
        <f>IFERROR(INDEX(PP_Grid[#Data],$DE135,45),0)</f>
        <v/>
      </c>
      <c r="AW135">
        <f>IFERROR(INDEX(PP_Grid[#Data],$DE135,46),0)</f>
        <v/>
      </c>
      <c r="AX135">
        <f>IFERROR(INDEX(PP_Grid[#Data],$DE135,47),0)</f>
        <v/>
      </c>
      <c r="AY135">
        <f>IFERROR(INDEX(PP_Grid[#Data],$DE135,48),0)</f>
        <v/>
      </c>
      <c r="AZ135">
        <f>IFERROR(INDEX(PP_Grid[#Data],$DE135,49),0)</f>
        <v/>
      </c>
      <c r="BA135">
        <f>IFERROR(INDEX(PP_Grid[#Data],$DE135,50),0)</f>
        <v/>
      </c>
      <c r="BB135">
        <f>IFERROR(INDEX(PP_Grid[#Data],$DE135,51),0)</f>
        <v/>
      </c>
      <c r="BC135">
        <f>IFERROR(INDEX(PP_Grid[#Data],$DE135,52),0)</f>
        <v/>
      </c>
      <c r="BD135">
        <f>IFERROR(INDEX(PP_Grid[#Data],$DE135,53),0)</f>
        <v/>
      </c>
      <c r="BE135">
        <f>IFERROR(INDEX(PP_Grid[#Data],$DE135,54),0)</f>
        <v/>
      </c>
      <c r="BF135">
        <f>IFERROR(INDEX(PP_Grid[#Data],$DE135,55),0)</f>
        <v/>
      </c>
      <c r="BG135">
        <f>IFERROR(INDEX(PP_Grid[#Data],$DE135,56),0)</f>
        <v/>
      </c>
      <c r="BH135">
        <f>IFERROR(INDEX(PP_Grid[#Data],$DE135,57),0)</f>
        <v/>
      </c>
      <c r="BI135">
        <f>IFERROR(INDEX(PP_Grid[#Data],$DE135,58),0)</f>
        <v/>
      </c>
      <c r="BJ135">
        <f>IFERROR(INDEX(PP_Grid[#Data],$DE135,59),0)</f>
        <v/>
      </c>
      <c r="BK135">
        <f>IFERROR(INDEX(PP_Grid[#Data],$DE135,60),0)</f>
        <v/>
      </c>
      <c r="BL135">
        <f>IFERROR(INDEX(PP_Grid[#Data],$DE135,61),0)</f>
        <v/>
      </c>
      <c r="BM135">
        <f>IFERROR(INDEX(PP_Grid[#Data],$DE135,62),0)</f>
        <v/>
      </c>
      <c r="BN135">
        <f>IFERROR(INDEX(PP_Grid[#Data],$DE135,63),0)</f>
        <v/>
      </c>
      <c r="BO135">
        <f>IFERROR(INDEX(PP_Grid[#Data],$DE135,64),0)</f>
        <v/>
      </c>
      <c r="BP135">
        <f>IFERROR(INDEX(PP_Grid[#Data],$DE135,65),0)</f>
        <v/>
      </c>
      <c r="BQ135">
        <f>IFERROR(INDEX(PP_Grid[#Data],$DE135,66),0)</f>
        <v/>
      </c>
      <c r="BR135">
        <f>IFERROR(INDEX(PP_Grid[#Data],$DE135,67),0)</f>
        <v/>
      </c>
      <c r="BS135">
        <f>IFERROR(INDEX(PP_Grid[#Data],$DE135,68),0)</f>
        <v/>
      </c>
      <c r="BT135">
        <f>IFERROR(INDEX(PP_Grid[#Data],$DE135,69),0)</f>
        <v/>
      </c>
      <c r="BU135">
        <f>IFERROR(INDEX(PP_Grid[#Data],$DE135,70),0)</f>
        <v/>
      </c>
      <c r="BV135">
        <f>IFERROR(INDEX(PP_Grid[#Data],$DE135,71),0)</f>
        <v/>
      </c>
      <c r="BW135">
        <f>IFERROR(INDEX(PP_Grid[#Data],$DE135,72),0)</f>
        <v/>
      </c>
      <c r="BX135">
        <f>IFERROR(INDEX(PP_Grid[#Data],$DE135,73),0)</f>
        <v/>
      </c>
      <c r="BY135">
        <f>IFERROR(INDEX(PP_Grid[#Data],$DE135,74),0)</f>
        <v/>
      </c>
      <c r="BZ135">
        <f>IFERROR(INDEX(PP_Grid[#Data],$DE135,75),0)</f>
        <v/>
      </c>
      <c r="CA135">
        <f>IFERROR(INDEX(PP_Grid[#Data],$DE135,76),0)</f>
        <v/>
      </c>
      <c r="CB135">
        <f>IFERROR(INDEX(PP_Grid[#Data],$DE135,77),0)</f>
        <v/>
      </c>
      <c r="CC135">
        <f>IFERROR(INDEX(PP_Grid[#Data],$DE135,78),0)</f>
        <v/>
      </c>
      <c r="CD135">
        <f>IFERROR(INDEX(PP_Grid[#Data],$DE135,79),0)</f>
        <v/>
      </c>
      <c r="CE135">
        <f>IFERROR(INDEX(PP_Grid[#Data],$DE135,80),0)</f>
        <v/>
      </c>
      <c r="CF135">
        <f>IFERROR(INDEX(PP_Grid[#Data],$DE135,81),0)</f>
        <v/>
      </c>
      <c r="CG135">
        <f>IFERROR(INDEX(PP_Grid[#Data],$DE135,82),0)</f>
        <v/>
      </c>
      <c r="CH135">
        <f>IFERROR(INDEX(PP_Grid[#Data],$DE135,83),0)</f>
        <v/>
      </c>
      <c r="CI135">
        <f>IFERROR(INDEX(PP_Grid[#Data],$DE135,84),0)</f>
        <v/>
      </c>
      <c r="CJ135">
        <f>IFERROR(INDEX(PP_Grid[#Data],$DE135,85),0)</f>
        <v/>
      </c>
      <c r="CK135">
        <f>IFERROR(INDEX(PP_Grid[#Data],$DE135,86),0)</f>
        <v/>
      </c>
      <c r="CL135">
        <f>IFERROR(INDEX(PP_Grid[#Data],$DE135,87),0)</f>
        <v/>
      </c>
      <c r="CM135">
        <f>IFERROR(INDEX(PP_Grid[#Data],$DE135,88),0)</f>
        <v/>
      </c>
      <c r="CN135">
        <f>IFERROR(INDEX(PP_Grid[#Data],$DE135,89),0)</f>
        <v/>
      </c>
      <c r="CO135">
        <f>IFERROR(INDEX(PP_Grid[#Data],$DE135,90),0)</f>
        <v/>
      </c>
      <c r="CP135">
        <f>IFERROR(INDEX(PP_Grid[#Data],$DE135,91),0)</f>
        <v/>
      </c>
      <c r="CQ135">
        <f>IFERROR(INDEX(PP_Grid[#Data],$DE135,92),0)</f>
        <v/>
      </c>
      <c r="CR135">
        <f>IFERROR(INDEX(PP_Grid[#Data],$DE135,93),0)</f>
        <v/>
      </c>
      <c r="CS135">
        <f>IFERROR(INDEX(PP_Grid[#Data],$DE135,94),0)</f>
        <v/>
      </c>
      <c r="CT135">
        <f>IFERROR(INDEX(PP_Grid[#Data],$DE135,95),0)</f>
        <v/>
      </c>
      <c r="CU135">
        <f>IFERROR(INDEX(PP_Grid[#Data],$DE135,96),0)</f>
        <v/>
      </c>
      <c r="CV135">
        <f>IFERROR(INDEX(PP_Grid[#Data],$DE135,97),0)</f>
        <v/>
      </c>
      <c r="CW135">
        <f>IFERROR(INDEX(PP_Grid[#Data],$DE135,98),0)</f>
        <v/>
      </c>
      <c r="CX135">
        <f>IFERROR(INDEX(PP_Grid[#Data],$DE135,99),0)</f>
        <v/>
      </c>
      <c r="CY135">
        <f>IFERROR(INDEX(PP_Grid[#Data],$DE135,100),0)</f>
        <v/>
      </c>
      <c r="CZ135">
        <f>IFERROR(INDEX(PP_Grid[#Data],$DE135,101),0)</f>
        <v/>
      </c>
      <c r="DA135">
        <f>IFERROR(INDEX(PP_Grid[#Data],$DE135,102),0)</f>
        <v/>
      </c>
      <c r="DB135">
        <f>IFERROR(INDEX(PP_Grid[#Data],$DE135,103),0)</f>
        <v/>
      </c>
      <c r="DC135">
        <f>IFERROR(INDEX(PP_Grid[#Data],$DE135,104),0)</f>
        <v/>
      </c>
      <c r="DD135">
        <f>IFERROR(INDEX(PP_Grid[#Data],$DE135,105),0)</f>
        <v/>
      </c>
      <c r="DE135" s="7">
        <f>IFERROR(MATCH($B135,PP_Grid[Intermediate],0),99999)</f>
        <v/>
      </c>
    </row>
    <row r="136">
      <c r="B136" t="inlineStr">
        <is>
          <t>使用量(kg)</t>
        </is>
      </c>
      <c r="C136">
        <f>SUMIFS(M_BOM[RM_Qty_Per_Batch],M_BOM[Intermediate],$B135,M_BOM[RM_Code],$A28)</f>
        <v/>
      </c>
      <c r="D136">
        <f>IFERROR(INDEX(E136:DD136,$F$1),"")</f>
        <v/>
      </c>
      <c r="E136">
        <f>$C136*E135</f>
        <v/>
      </c>
      <c r="F136">
        <f>$C136*F135</f>
        <v/>
      </c>
      <c r="G136">
        <f>$C136*G135</f>
        <v/>
      </c>
      <c r="H136">
        <f>$C136*H135</f>
        <v/>
      </c>
      <c r="I136">
        <f>$C136*I135</f>
        <v/>
      </c>
      <c r="J136">
        <f>$C136*J135</f>
        <v/>
      </c>
      <c r="K136">
        <f>$C136*K135</f>
        <v/>
      </c>
      <c r="L136">
        <f>$C136*L135</f>
        <v/>
      </c>
      <c r="M136">
        <f>$C136*M135</f>
        <v/>
      </c>
      <c r="N136">
        <f>$C136*N135</f>
        <v/>
      </c>
      <c r="O136">
        <f>$C136*O135</f>
        <v/>
      </c>
      <c r="P136">
        <f>$C136*P135</f>
        <v/>
      </c>
      <c r="Q136">
        <f>$C136*Q135</f>
        <v/>
      </c>
      <c r="R136">
        <f>$C136*R135</f>
        <v/>
      </c>
      <c r="S136">
        <f>$C136*S135</f>
        <v/>
      </c>
      <c r="T136">
        <f>$C136*T135</f>
        <v/>
      </c>
      <c r="U136">
        <f>$C136*U135</f>
        <v/>
      </c>
      <c r="V136">
        <f>$C136*V135</f>
        <v/>
      </c>
      <c r="W136">
        <f>$C136*W135</f>
        <v/>
      </c>
      <c r="X136">
        <f>$C136*X135</f>
        <v/>
      </c>
      <c r="Y136">
        <f>$C136*Y135</f>
        <v/>
      </c>
      <c r="Z136">
        <f>$C136*Z135</f>
        <v/>
      </c>
      <c r="AA136">
        <f>$C136*AA135</f>
        <v/>
      </c>
      <c r="AB136">
        <f>$C136*AB135</f>
        <v/>
      </c>
      <c r="AC136">
        <f>$C136*AC135</f>
        <v/>
      </c>
      <c r="AD136">
        <f>$C136*AD135</f>
        <v/>
      </c>
      <c r="AE136">
        <f>$C136*AE135</f>
        <v/>
      </c>
      <c r="AF136">
        <f>$C136*AF135</f>
        <v/>
      </c>
      <c r="AG136">
        <f>$C136*AG135</f>
        <v/>
      </c>
      <c r="AH136">
        <f>$C136*AH135</f>
        <v/>
      </c>
      <c r="AI136">
        <f>$C136*AI135</f>
        <v/>
      </c>
      <c r="AJ136">
        <f>$C136*AJ135</f>
        <v/>
      </c>
      <c r="AK136">
        <f>$C136*AK135</f>
        <v/>
      </c>
      <c r="AL136">
        <f>$C136*AL135</f>
        <v/>
      </c>
      <c r="AM136">
        <f>$C136*AM135</f>
        <v/>
      </c>
      <c r="AN136">
        <f>$C136*AN135</f>
        <v/>
      </c>
      <c r="AO136">
        <f>$C136*AO135</f>
        <v/>
      </c>
      <c r="AP136">
        <f>$C136*AP135</f>
        <v/>
      </c>
      <c r="AQ136">
        <f>$C136*AQ135</f>
        <v/>
      </c>
      <c r="AR136">
        <f>$C136*AR135</f>
        <v/>
      </c>
      <c r="AS136">
        <f>$C136*AS135</f>
        <v/>
      </c>
      <c r="AT136">
        <f>$C136*AT135</f>
        <v/>
      </c>
      <c r="AU136">
        <f>$C136*AU135</f>
        <v/>
      </c>
      <c r="AV136">
        <f>$C136*AV135</f>
        <v/>
      </c>
      <c r="AW136">
        <f>$C136*AW135</f>
        <v/>
      </c>
      <c r="AX136">
        <f>$C136*AX135</f>
        <v/>
      </c>
      <c r="AY136">
        <f>$C136*AY135</f>
        <v/>
      </c>
      <c r="AZ136">
        <f>$C136*AZ135</f>
        <v/>
      </c>
      <c r="BA136">
        <f>$C136*BA135</f>
        <v/>
      </c>
      <c r="BB136">
        <f>$C136*BB135</f>
        <v/>
      </c>
      <c r="BC136">
        <f>$C136*BC135</f>
        <v/>
      </c>
      <c r="BD136">
        <f>$C136*BD135</f>
        <v/>
      </c>
      <c r="BE136">
        <f>$C136*BE135</f>
        <v/>
      </c>
      <c r="BF136">
        <f>$C136*BF135</f>
        <v/>
      </c>
      <c r="BG136">
        <f>$C136*BG135</f>
        <v/>
      </c>
      <c r="BH136">
        <f>$C136*BH135</f>
        <v/>
      </c>
      <c r="BI136">
        <f>$C136*BI135</f>
        <v/>
      </c>
      <c r="BJ136">
        <f>$C136*BJ135</f>
        <v/>
      </c>
      <c r="BK136">
        <f>$C136*BK135</f>
        <v/>
      </c>
      <c r="BL136">
        <f>$C136*BL135</f>
        <v/>
      </c>
      <c r="BM136">
        <f>$C136*BM135</f>
        <v/>
      </c>
      <c r="BN136">
        <f>$C136*BN135</f>
        <v/>
      </c>
      <c r="BO136">
        <f>$C136*BO135</f>
        <v/>
      </c>
      <c r="BP136">
        <f>$C136*BP135</f>
        <v/>
      </c>
      <c r="BQ136">
        <f>$C136*BQ135</f>
        <v/>
      </c>
      <c r="BR136">
        <f>$C136*BR135</f>
        <v/>
      </c>
      <c r="BS136">
        <f>$C136*BS135</f>
        <v/>
      </c>
      <c r="BT136">
        <f>$C136*BT135</f>
        <v/>
      </c>
      <c r="BU136">
        <f>$C136*BU135</f>
        <v/>
      </c>
      <c r="BV136">
        <f>$C136*BV135</f>
        <v/>
      </c>
      <c r="BW136">
        <f>$C136*BW135</f>
        <v/>
      </c>
      <c r="BX136">
        <f>$C136*BX135</f>
        <v/>
      </c>
      <c r="BY136">
        <f>$C136*BY135</f>
        <v/>
      </c>
      <c r="BZ136">
        <f>$C136*BZ135</f>
        <v/>
      </c>
      <c r="CA136">
        <f>$C136*CA135</f>
        <v/>
      </c>
      <c r="CB136">
        <f>$C136*CB135</f>
        <v/>
      </c>
      <c r="CC136">
        <f>$C136*CC135</f>
        <v/>
      </c>
      <c r="CD136">
        <f>$C136*CD135</f>
        <v/>
      </c>
      <c r="CE136">
        <f>$C136*CE135</f>
        <v/>
      </c>
      <c r="CF136">
        <f>$C136*CF135</f>
        <v/>
      </c>
      <c r="CG136">
        <f>$C136*CG135</f>
        <v/>
      </c>
      <c r="CH136">
        <f>$C136*CH135</f>
        <v/>
      </c>
      <c r="CI136">
        <f>$C136*CI135</f>
        <v/>
      </c>
      <c r="CJ136">
        <f>$C136*CJ135</f>
        <v/>
      </c>
      <c r="CK136">
        <f>$C136*CK135</f>
        <v/>
      </c>
      <c r="CL136">
        <f>$C136*CL135</f>
        <v/>
      </c>
      <c r="CM136">
        <f>$C136*CM135</f>
        <v/>
      </c>
      <c r="CN136">
        <f>$C136*CN135</f>
        <v/>
      </c>
      <c r="CO136">
        <f>$C136*CO135</f>
        <v/>
      </c>
      <c r="CP136">
        <f>$C136*CP135</f>
        <v/>
      </c>
      <c r="CQ136">
        <f>$C136*CQ135</f>
        <v/>
      </c>
      <c r="CR136">
        <f>$C136*CR135</f>
        <v/>
      </c>
      <c r="CS136">
        <f>$C136*CS135</f>
        <v/>
      </c>
      <c r="CT136">
        <f>$C136*CT135</f>
        <v/>
      </c>
      <c r="CU136">
        <f>$C136*CU135</f>
        <v/>
      </c>
      <c r="CV136">
        <f>$C136*CV135</f>
        <v/>
      </c>
      <c r="CW136">
        <f>$C136*CW135</f>
        <v/>
      </c>
      <c r="CX136">
        <f>$C136*CX135</f>
        <v/>
      </c>
      <c r="CY136">
        <f>$C136*CY135</f>
        <v/>
      </c>
      <c r="CZ136">
        <f>$C136*CZ135</f>
        <v/>
      </c>
      <c r="DA136">
        <f>$C136*DA135</f>
        <v/>
      </c>
      <c r="DB136">
        <f>$C136*DB135</f>
        <v/>
      </c>
      <c r="DC136">
        <f>$C136*DC135</f>
        <v/>
      </c>
      <c r="DD136">
        <f>$C136*DD135</f>
        <v/>
      </c>
    </row>
    <row r="137">
      <c r="B137" t="inlineStr">
        <is>
          <t>No of times used</t>
        </is>
      </c>
      <c r="C137" t="inlineStr">
        <is>
          <t>No. of batches</t>
        </is>
      </c>
      <c r="D137">
        <f>IFERROR(INDEX(E137:DD137,$F$1),"")</f>
        <v/>
      </c>
      <c r="E137">
        <f>IFERROR(INDEX(PP_Grid[#Data],$DE137,2),0)</f>
        <v/>
      </c>
      <c r="F137">
        <f>IFERROR(INDEX(PP_Grid[#Data],$DE137,3),0)</f>
        <v/>
      </c>
      <c r="G137">
        <f>IFERROR(INDEX(PP_Grid[#Data],$DE137,4),0)</f>
        <v/>
      </c>
      <c r="H137">
        <f>IFERROR(INDEX(PP_Grid[#Data],$DE137,5),0)</f>
        <v/>
      </c>
      <c r="I137">
        <f>IFERROR(INDEX(PP_Grid[#Data],$DE137,6),0)</f>
        <v/>
      </c>
      <c r="J137">
        <f>IFERROR(INDEX(PP_Grid[#Data],$DE137,7),0)</f>
        <v/>
      </c>
      <c r="K137">
        <f>IFERROR(INDEX(PP_Grid[#Data],$DE137,8),0)</f>
        <v/>
      </c>
      <c r="L137">
        <f>IFERROR(INDEX(PP_Grid[#Data],$DE137,9),0)</f>
        <v/>
      </c>
      <c r="M137">
        <f>IFERROR(INDEX(PP_Grid[#Data],$DE137,10),0)</f>
        <v/>
      </c>
      <c r="N137">
        <f>IFERROR(INDEX(PP_Grid[#Data],$DE137,11),0)</f>
        <v/>
      </c>
      <c r="O137">
        <f>IFERROR(INDEX(PP_Grid[#Data],$DE137,12),0)</f>
        <v/>
      </c>
      <c r="P137">
        <f>IFERROR(INDEX(PP_Grid[#Data],$DE137,13),0)</f>
        <v/>
      </c>
      <c r="Q137">
        <f>IFERROR(INDEX(PP_Grid[#Data],$DE137,14),0)</f>
        <v/>
      </c>
      <c r="R137">
        <f>IFERROR(INDEX(PP_Grid[#Data],$DE137,15),0)</f>
        <v/>
      </c>
      <c r="S137">
        <f>IFERROR(INDEX(PP_Grid[#Data],$DE137,16),0)</f>
        <v/>
      </c>
      <c r="T137">
        <f>IFERROR(INDEX(PP_Grid[#Data],$DE137,17),0)</f>
        <v/>
      </c>
      <c r="U137">
        <f>IFERROR(INDEX(PP_Grid[#Data],$DE137,18),0)</f>
        <v/>
      </c>
      <c r="V137">
        <f>IFERROR(INDEX(PP_Grid[#Data],$DE137,19),0)</f>
        <v/>
      </c>
      <c r="W137">
        <f>IFERROR(INDEX(PP_Grid[#Data],$DE137,20),0)</f>
        <v/>
      </c>
      <c r="X137">
        <f>IFERROR(INDEX(PP_Grid[#Data],$DE137,21),0)</f>
        <v/>
      </c>
      <c r="Y137">
        <f>IFERROR(INDEX(PP_Grid[#Data],$DE137,22),0)</f>
        <v/>
      </c>
      <c r="Z137">
        <f>IFERROR(INDEX(PP_Grid[#Data],$DE137,23),0)</f>
        <v/>
      </c>
      <c r="AA137">
        <f>IFERROR(INDEX(PP_Grid[#Data],$DE137,24),0)</f>
        <v/>
      </c>
      <c r="AB137">
        <f>IFERROR(INDEX(PP_Grid[#Data],$DE137,25),0)</f>
        <v/>
      </c>
      <c r="AC137">
        <f>IFERROR(INDEX(PP_Grid[#Data],$DE137,26),0)</f>
        <v/>
      </c>
      <c r="AD137">
        <f>IFERROR(INDEX(PP_Grid[#Data],$DE137,27),0)</f>
        <v/>
      </c>
      <c r="AE137">
        <f>IFERROR(INDEX(PP_Grid[#Data],$DE137,28),0)</f>
        <v/>
      </c>
      <c r="AF137">
        <f>IFERROR(INDEX(PP_Grid[#Data],$DE137,29),0)</f>
        <v/>
      </c>
      <c r="AG137">
        <f>IFERROR(INDEX(PP_Grid[#Data],$DE137,30),0)</f>
        <v/>
      </c>
      <c r="AH137">
        <f>IFERROR(INDEX(PP_Grid[#Data],$DE137,31),0)</f>
        <v/>
      </c>
      <c r="AI137">
        <f>IFERROR(INDEX(PP_Grid[#Data],$DE137,32),0)</f>
        <v/>
      </c>
      <c r="AJ137">
        <f>IFERROR(INDEX(PP_Grid[#Data],$DE137,33),0)</f>
        <v/>
      </c>
      <c r="AK137">
        <f>IFERROR(INDEX(PP_Grid[#Data],$DE137,34),0)</f>
        <v/>
      </c>
      <c r="AL137">
        <f>IFERROR(INDEX(PP_Grid[#Data],$DE137,35),0)</f>
        <v/>
      </c>
      <c r="AM137">
        <f>IFERROR(INDEX(PP_Grid[#Data],$DE137,36),0)</f>
        <v/>
      </c>
      <c r="AN137">
        <f>IFERROR(INDEX(PP_Grid[#Data],$DE137,37),0)</f>
        <v/>
      </c>
      <c r="AO137">
        <f>IFERROR(INDEX(PP_Grid[#Data],$DE137,38),0)</f>
        <v/>
      </c>
      <c r="AP137">
        <f>IFERROR(INDEX(PP_Grid[#Data],$DE137,39),0)</f>
        <v/>
      </c>
      <c r="AQ137">
        <f>IFERROR(INDEX(PP_Grid[#Data],$DE137,40),0)</f>
        <v/>
      </c>
      <c r="AR137">
        <f>IFERROR(INDEX(PP_Grid[#Data],$DE137,41),0)</f>
        <v/>
      </c>
      <c r="AS137">
        <f>IFERROR(INDEX(PP_Grid[#Data],$DE137,42),0)</f>
        <v/>
      </c>
      <c r="AT137">
        <f>IFERROR(INDEX(PP_Grid[#Data],$DE137,43),0)</f>
        <v/>
      </c>
      <c r="AU137">
        <f>IFERROR(INDEX(PP_Grid[#Data],$DE137,44),0)</f>
        <v/>
      </c>
      <c r="AV137">
        <f>IFERROR(INDEX(PP_Grid[#Data],$DE137,45),0)</f>
        <v/>
      </c>
      <c r="AW137">
        <f>IFERROR(INDEX(PP_Grid[#Data],$DE137,46),0)</f>
        <v/>
      </c>
      <c r="AX137">
        <f>IFERROR(INDEX(PP_Grid[#Data],$DE137,47),0)</f>
        <v/>
      </c>
      <c r="AY137">
        <f>IFERROR(INDEX(PP_Grid[#Data],$DE137,48),0)</f>
        <v/>
      </c>
      <c r="AZ137">
        <f>IFERROR(INDEX(PP_Grid[#Data],$DE137,49),0)</f>
        <v/>
      </c>
      <c r="BA137">
        <f>IFERROR(INDEX(PP_Grid[#Data],$DE137,50),0)</f>
        <v/>
      </c>
      <c r="BB137">
        <f>IFERROR(INDEX(PP_Grid[#Data],$DE137,51),0)</f>
        <v/>
      </c>
      <c r="BC137">
        <f>IFERROR(INDEX(PP_Grid[#Data],$DE137,52),0)</f>
        <v/>
      </c>
      <c r="BD137">
        <f>IFERROR(INDEX(PP_Grid[#Data],$DE137,53),0)</f>
        <v/>
      </c>
      <c r="BE137">
        <f>IFERROR(INDEX(PP_Grid[#Data],$DE137,54),0)</f>
        <v/>
      </c>
      <c r="BF137">
        <f>IFERROR(INDEX(PP_Grid[#Data],$DE137,55),0)</f>
        <v/>
      </c>
      <c r="BG137">
        <f>IFERROR(INDEX(PP_Grid[#Data],$DE137,56),0)</f>
        <v/>
      </c>
      <c r="BH137">
        <f>IFERROR(INDEX(PP_Grid[#Data],$DE137,57),0)</f>
        <v/>
      </c>
      <c r="BI137">
        <f>IFERROR(INDEX(PP_Grid[#Data],$DE137,58),0)</f>
        <v/>
      </c>
      <c r="BJ137">
        <f>IFERROR(INDEX(PP_Grid[#Data],$DE137,59),0)</f>
        <v/>
      </c>
      <c r="BK137">
        <f>IFERROR(INDEX(PP_Grid[#Data],$DE137,60),0)</f>
        <v/>
      </c>
      <c r="BL137">
        <f>IFERROR(INDEX(PP_Grid[#Data],$DE137,61),0)</f>
        <v/>
      </c>
      <c r="BM137">
        <f>IFERROR(INDEX(PP_Grid[#Data],$DE137,62),0)</f>
        <v/>
      </c>
      <c r="BN137">
        <f>IFERROR(INDEX(PP_Grid[#Data],$DE137,63),0)</f>
        <v/>
      </c>
      <c r="BO137">
        <f>IFERROR(INDEX(PP_Grid[#Data],$DE137,64),0)</f>
        <v/>
      </c>
      <c r="BP137">
        <f>IFERROR(INDEX(PP_Grid[#Data],$DE137,65),0)</f>
        <v/>
      </c>
      <c r="BQ137">
        <f>IFERROR(INDEX(PP_Grid[#Data],$DE137,66),0)</f>
        <v/>
      </c>
      <c r="BR137">
        <f>IFERROR(INDEX(PP_Grid[#Data],$DE137,67),0)</f>
        <v/>
      </c>
      <c r="BS137">
        <f>IFERROR(INDEX(PP_Grid[#Data],$DE137,68),0)</f>
        <v/>
      </c>
      <c r="BT137">
        <f>IFERROR(INDEX(PP_Grid[#Data],$DE137,69),0)</f>
        <v/>
      </c>
      <c r="BU137">
        <f>IFERROR(INDEX(PP_Grid[#Data],$DE137,70),0)</f>
        <v/>
      </c>
      <c r="BV137">
        <f>IFERROR(INDEX(PP_Grid[#Data],$DE137,71),0)</f>
        <v/>
      </c>
      <c r="BW137">
        <f>IFERROR(INDEX(PP_Grid[#Data],$DE137,72),0)</f>
        <v/>
      </c>
      <c r="BX137">
        <f>IFERROR(INDEX(PP_Grid[#Data],$DE137,73),0)</f>
        <v/>
      </c>
      <c r="BY137">
        <f>IFERROR(INDEX(PP_Grid[#Data],$DE137,74),0)</f>
        <v/>
      </c>
      <c r="BZ137">
        <f>IFERROR(INDEX(PP_Grid[#Data],$DE137,75),0)</f>
        <v/>
      </c>
      <c r="CA137">
        <f>IFERROR(INDEX(PP_Grid[#Data],$DE137,76),0)</f>
        <v/>
      </c>
      <c r="CB137">
        <f>IFERROR(INDEX(PP_Grid[#Data],$DE137,77),0)</f>
        <v/>
      </c>
      <c r="CC137">
        <f>IFERROR(INDEX(PP_Grid[#Data],$DE137,78),0)</f>
        <v/>
      </c>
      <c r="CD137">
        <f>IFERROR(INDEX(PP_Grid[#Data],$DE137,79),0)</f>
        <v/>
      </c>
      <c r="CE137">
        <f>IFERROR(INDEX(PP_Grid[#Data],$DE137,80),0)</f>
        <v/>
      </c>
      <c r="CF137">
        <f>IFERROR(INDEX(PP_Grid[#Data],$DE137,81),0)</f>
        <v/>
      </c>
      <c r="CG137">
        <f>IFERROR(INDEX(PP_Grid[#Data],$DE137,82),0)</f>
        <v/>
      </c>
      <c r="CH137">
        <f>IFERROR(INDEX(PP_Grid[#Data],$DE137,83),0)</f>
        <v/>
      </c>
      <c r="CI137">
        <f>IFERROR(INDEX(PP_Grid[#Data],$DE137,84),0)</f>
        <v/>
      </c>
      <c r="CJ137">
        <f>IFERROR(INDEX(PP_Grid[#Data],$DE137,85),0)</f>
        <v/>
      </c>
      <c r="CK137">
        <f>IFERROR(INDEX(PP_Grid[#Data],$DE137,86),0)</f>
        <v/>
      </c>
      <c r="CL137">
        <f>IFERROR(INDEX(PP_Grid[#Data],$DE137,87),0)</f>
        <v/>
      </c>
      <c r="CM137">
        <f>IFERROR(INDEX(PP_Grid[#Data],$DE137,88),0)</f>
        <v/>
      </c>
      <c r="CN137">
        <f>IFERROR(INDEX(PP_Grid[#Data],$DE137,89),0)</f>
        <v/>
      </c>
      <c r="CO137">
        <f>IFERROR(INDEX(PP_Grid[#Data],$DE137,90),0)</f>
        <v/>
      </c>
      <c r="CP137">
        <f>IFERROR(INDEX(PP_Grid[#Data],$DE137,91),0)</f>
        <v/>
      </c>
      <c r="CQ137">
        <f>IFERROR(INDEX(PP_Grid[#Data],$DE137,92),0)</f>
        <v/>
      </c>
      <c r="CR137">
        <f>IFERROR(INDEX(PP_Grid[#Data],$DE137,93),0)</f>
        <v/>
      </c>
      <c r="CS137">
        <f>IFERROR(INDEX(PP_Grid[#Data],$DE137,94),0)</f>
        <v/>
      </c>
      <c r="CT137">
        <f>IFERROR(INDEX(PP_Grid[#Data],$DE137,95),0)</f>
        <v/>
      </c>
      <c r="CU137">
        <f>IFERROR(INDEX(PP_Grid[#Data],$DE137,96),0)</f>
        <v/>
      </c>
      <c r="CV137">
        <f>IFERROR(INDEX(PP_Grid[#Data],$DE137,97),0)</f>
        <v/>
      </c>
      <c r="CW137">
        <f>IFERROR(INDEX(PP_Grid[#Data],$DE137,98),0)</f>
        <v/>
      </c>
      <c r="CX137">
        <f>IFERROR(INDEX(PP_Grid[#Data],$DE137,99),0)</f>
        <v/>
      </c>
      <c r="CY137">
        <f>IFERROR(INDEX(PP_Grid[#Data],$DE137,100),0)</f>
        <v/>
      </c>
      <c r="CZ137">
        <f>IFERROR(INDEX(PP_Grid[#Data],$DE137,101),0)</f>
        <v/>
      </c>
      <c r="DA137">
        <f>IFERROR(INDEX(PP_Grid[#Data],$DE137,102),0)</f>
        <v/>
      </c>
      <c r="DB137">
        <f>IFERROR(INDEX(PP_Grid[#Data],$DE137,103),0)</f>
        <v/>
      </c>
      <c r="DC137">
        <f>IFERROR(INDEX(PP_Grid[#Data],$DE137,104),0)</f>
        <v/>
      </c>
      <c r="DD137">
        <f>IFERROR(INDEX(PP_Grid[#Data],$DE137,105),0)</f>
        <v/>
      </c>
      <c r="DE137" s="7">
        <f>IFERROR(MATCH($B137,PP_Grid[Intermediate],0),99999)</f>
        <v/>
      </c>
    </row>
    <row r="138">
      <c r="B138" t="inlineStr">
        <is>
          <t>使用量(kg)</t>
        </is>
      </c>
      <c r="C138">
        <f>SUMIFS(M_BOM[RM_Qty_Per_Batch],M_BOM[Intermediate],$B137,M_BOM[RM_Code],$A28)</f>
        <v/>
      </c>
      <c r="D138">
        <f>IFERROR(INDEX(E138:DD138,$F$1),"")</f>
        <v/>
      </c>
      <c r="E138">
        <f>$C138*E137</f>
        <v/>
      </c>
      <c r="F138">
        <f>$C138*F137</f>
        <v/>
      </c>
      <c r="G138">
        <f>$C138*G137</f>
        <v/>
      </c>
      <c r="H138">
        <f>$C138*H137</f>
        <v/>
      </c>
      <c r="I138">
        <f>$C138*I137</f>
        <v/>
      </c>
      <c r="J138">
        <f>$C138*J137</f>
        <v/>
      </c>
      <c r="K138">
        <f>$C138*K137</f>
        <v/>
      </c>
      <c r="L138">
        <f>$C138*L137</f>
        <v/>
      </c>
      <c r="M138">
        <f>$C138*M137</f>
        <v/>
      </c>
      <c r="N138">
        <f>$C138*N137</f>
        <v/>
      </c>
      <c r="O138">
        <f>$C138*O137</f>
        <v/>
      </c>
      <c r="P138">
        <f>$C138*P137</f>
        <v/>
      </c>
      <c r="Q138">
        <f>$C138*Q137</f>
        <v/>
      </c>
      <c r="R138">
        <f>$C138*R137</f>
        <v/>
      </c>
      <c r="S138">
        <f>$C138*S137</f>
        <v/>
      </c>
      <c r="T138">
        <f>$C138*T137</f>
        <v/>
      </c>
      <c r="U138">
        <f>$C138*U137</f>
        <v/>
      </c>
      <c r="V138">
        <f>$C138*V137</f>
        <v/>
      </c>
      <c r="W138">
        <f>$C138*W137</f>
        <v/>
      </c>
      <c r="X138">
        <f>$C138*X137</f>
        <v/>
      </c>
      <c r="Y138">
        <f>$C138*Y137</f>
        <v/>
      </c>
      <c r="Z138">
        <f>$C138*Z137</f>
        <v/>
      </c>
      <c r="AA138">
        <f>$C138*AA137</f>
        <v/>
      </c>
      <c r="AB138">
        <f>$C138*AB137</f>
        <v/>
      </c>
      <c r="AC138">
        <f>$C138*AC137</f>
        <v/>
      </c>
      <c r="AD138">
        <f>$C138*AD137</f>
        <v/>
      </c>
      <c r="AE138">
        <f>$C138*AE137</f>
        <v/>
      </c>
      <c r="AF138">
        <f>$C138*AF137</f>
        <v/>
      </c>
      <c r="AG138">
        <f>$C138*AG137</f>
        <v/>
      </c>
      <c r="AH138">
        <f>$C138*AH137</f>
        <v/>
      </c>
      <c r="AI138">
        <f>$C138*AI137</f>
        <v/>
      </c>
      <c r="AJ138">
        <f>$C138*AJ137</f>
        <v/>
      </c>
      <c r="AK138">
        <f>$C138*AK137</f>
        <v/>
      </c>
      <c r="AL138">
        <f>$C138*AL137</f>
        <v/>
      </c>
      <c r="AM138">
        <f>$C138*AM137</f>
        <v/>
      </c>
      <c r="AN138">
        <f>$C138*AN137</f>
        <v/>
      </c>
      <c r="AO138">
        <f>$C138*AO137</f>
        <v/>
      </c>
      <c r="AP138">
        <f>$C138*AP137</f>
        <v/>
      </c>
      <c r="AQ138">
        <f>$C138*AQ137</f>
        <v/>
      </c>
      <c r="AR138">
        <f>$C138*AR137</f>
        <v/>
      </c>
      <c r="AS138">
        <f>$C138*AS137</f>
        <v/>
      </c>
      <c r="AT138">
        <f>$C138*AT137</f>
        <v/>
      </c>
      <c r="AU138">
        <f>$C138*AU137</f>
        <v/>
      </c>
      <c r="AV138">
        <f>$C138*AV137</f>
        <v/>
      </c>
      <c r="AW138">
        <f>$C138*AW137</f>
        <v/>
      </c>
      <c r="AX138">
        <f>$C138*AX137</f>
        <v/>
      </c>
      <c r="AY138">
        <f>$C138*AY137</f>
        <v/>
      </c>
      <c r="AZ138">
        <f>$C138*AZ137</f>
        <v/>
      </c>
      <c r="BA138">
        <f>$C138*BA137</f>
        <v/>
      </c>
      <c r="BB138">
        <f>$C138*BB137</f>
        <v/>
      </c>
      <c r="BC138">
        <f>$C138*BC137</f>
        <v/>
      </c>
      <c r="BD138">
        <f>$C138*BD137</f>
        <v/>
      </c>
      <c r="BE138">
        <f>$C138*BE137</f>
        <v/>
      </c>
      <c r="BF138">
        <f>$C138*BF137</f>
        <v/>
      </c>
      <c r="BG138">
        <f>$C138*BG137</f>
        <v/>
      </c>
      <c r="BH138">
        <f>$C138*BH137</f>
        <v/>
      </c>
      <c r="BI138">
        <f>$C138*BI137</f>
        <v/>
      </c>
      <c r="BJ138">
        <f>$C138*BJ137</f>
        <v/>
      </c>
      <c r="BK138">
        <f>$C138*BK137</f>
        <v/>
      </c>
      <c r="BL138">
        <f>$C138*BL137</f>
        <v/>
      </c>
      <c r="BM138">
        <f>$C138*BM137</f>
        <v/>
      </c>
      <c r="BN138">
        <f>$C138*BN137</f>
        <v/>
      </c>
      <c r="BO138">
        <f>$C138*BO137</f>
        <v/>
      </c>
      <c r="BP138">
        <f>$C138*BP137</f>
        <v/>
      </c>
      <c r="BQ138">
        <f>$C138*BQ137</f>
        <v/>
      </c>
      <c r="BR138">
        <f>$C138*BR137</f>
        <v/>
      </c>
      <c r="BS138">
        <f>$C138*BS137</f>
        <v/>
      </c>
      <c r="BT138">
        <f>$C138*BT137</f>
        <v/>
      </c>
      <c r="BU138">
        <f>$C138*BU137</f>
        <v/>
      </c>
      <c r="BV138">
        <f>$C138*BV137</f>
        <v/>
      </c>
      <c r="BW138">
        <f>$C138*BW137</f>
        <v/>
      </c>
      <c r="BX138">
        <f>$C138*BX137</f>
        <v/>
      </c>
      <c r="BY138">
        <f>$C138*BY137</f>
        <v/>
      </c>
      <c r="BZ138">
        <f>$C138*BZ137</f>
        <v/>
      </c>
      <c r="CA138">
        <f>$C138*CA137</f>
        <v/>
      </c>
      <c r="CB138">
        <f>$C138*CB137</f>
        <v/>
      </c>
      <c r="CC138">
        <f>$C138*CC137</f>
        <v/>
      </c>
      <c r="CD138">
        <f>$C138*CD137</f>
        <v/>
      </c>
      <c r="CE138">
        <f>$C138*CE137</f>
        <v/>
      </c>
      <c r="CF138">
        <f>$C138*CF137</f>
        <v/>
      </c>
      <c r="CG138">
        <f>$C138*CG137</f>
        <v/>
      </c>
      <c r="CH138">
        <f>$C138*CH137</f>
        <v/>
      </c>
      <c r="CI138">
        <f>$C138*CI137</f>
        <v/>
      </c>
      <c r="CJ138">
        <f>$C138*CJ137</f>
        <v/>
      </c>
      <c r="CK138">
        <f>$C138*CK137</f>
        <v/>
      </c>
      <c r="CL138">
        <f>$C138*CL137</f>
        <v/>
      </c>
      <c r="CM138">
        <f>$C138*CM137</f>
        <v/>
      </c>
      <c r="CN138">
        <f>$C138*CN137</f>
        <v/>
      </c>
      <c r="CO138">
        <f>$C138*CO137</f>
        <v/>
      </c>
      <c r="CP138">
        <f>$C138*CP137</f>
        <v/>
      </c>
      <c r="CQ138">
        <f>$C138*CQ137</f>
        <v/>
      </c>
      <c r="CR138">
        <f>$C138*CR137</f>
        <v/>
      </c>
      <c r="CS138">
        <f>$C138*CS137</f>
        <v/>
      </c>
      <c r="CT138">
        <f>$C138*CT137</f>
        <v/>
      </c>
      <c r="CU138">
        <f>$C138*CU137</f>
        <v/>
      </c>
      <c r="CV138">
        <f>$C138*CV137</f>
        <v/>
      </c>
      <c r="CW138">
        <f>$C138*CW137</f>
        <v/>
      </c>
      <c r="CX138">
        <f>$C138*CX137</f>
        <v/>
      </c>
      <c r="CY138">
        <f>$C138*CY137</f>
        <v/>
      </c>
      <c r="CZ138">
        <f>$C138*CZ137</f>
        <v/>
      </c>
      <c r="DA138">
        <f>$C138*DA137</f>
        <v/>
      </c>
      <c r="DB138">
        <f>$C138*DB137</f>
        <v/>
      </c>
      <c r="DC138">
        <f>$C138*DC137</f>
        <v/>
      </c>
      <c r="DD138">
        <f>$C138*DD137</f>
        <v/>
      </c>
    </row>
    <row r="139">
      <c r="B139" s="4" t="inlineStr">
        <is>
          <t>合計使用量(kg)/週</t>
        </is>
      </c>
      <c r="D139" s="23">
        <f>IFERROR(INDEX(E139:DD139,$F$1),"")</f>
        <v/>
      </c>
      <c r="E139">
        <f>'Grid_Requirement'!B46</f>
        <v/>
      </c>
      <c r="F139">
        <f>'Grid_Requirement'!C46</f>
        <v/>
      </c>
      <c r="G139">
        <f>'Grid_Requirement'!D46</f>
        <v/>
      </c>
      <c r="H139">
        <f>'Grid_Requirement'!E46</f>
        <v/>
      </c>
      <c r="I139">
        <f>'Grid_Requirement'!F46</f>
        <v/>
      </c>
      <c r="J139">
        <f>'Grid_Requirement'!G46</f>
        <v/>
      </c>
      <c r="K139">
        <f>'Grid_Requirement'!H46</f>
        <v/>
      </c>
      <c r="L139">
        <f>'Grid_Requirement'!I46</f>
        <v/>
      </c>
      <c r="M139">
        <f>'Grid_Requirement'!J46</f>
        <v/>
      </c>
      <c r="N139">
        <f>'Grid_Requirement'!K46</f>
        <v/>
      </c>
      <c r="O139">
        <f>'Grid_Requirement'!L46</f>
        <v/>
      </c>
      <c r="P139">
        <f>'Grid_Requirement'!M46</f>
        <v/>
      </c>
      <c r="Q139">
        <f>'Grid_Requirement'!N46</f>
        <v/>
      </c>
      <c r="R139">
        <f>'Grid_Requirement'!O46</f>
        <v/>
      </c>
      <c r="S139">
        <f>'Grid_Requirement'!P46</f>
        <v/>
      </c>
      <c r="T139">
        <f>'Grid_Requirement'!Q46</f>
        <v/>
      </c>
      <c r="U139">
        <f>'Grid_Requirement'!R46</f>
        <v/>
      </c>
      <c r="V139">
        <f>'Grid_Requirement'!S46</f>
        <v/>
      </c>
      <c r="W139">
        <f>'Grid_Requirement'!T46</f>
        <v/>
      </c>
      <c r="X139">
        <f>'Grid_Requirement'!U46</f>
        <v/>
      </c>
      <c r="Y139">
        <f>'Grid_Requirement'!V46</f>
        <v/>
      </c>
      <c r="Z139">
        <f>'Grid_Requirement'!W46</f>
        <v/>
      </c>
      <c r="AA139">
        <f>'Grid_Requirement'!X46</f>
        <v/>
      </c>
      <c r="AB139">
        <f>'Grid_Requirement'!Y46</f>
        <v/>
      </c>
      <c r="AC139">
        <f>'Grid_Requirement'!Z46</f>
        <v/>
      </c>
      <c r="AD139">
        <f>'Grid_Requirement'!AA46</f>
        <v/>
      </c>
      <c r="AE139">
        <f>'Grid_Requirement'!AB46</f>
        <v/>
      </c>
      <c r="AF139">
        <f>'Grid_Requirement'!AC46</f>
        <v/>
      </c>
      <c r="AG139">
        <f>'Grid_Requirement'!AD46</f>
        <v/>
      </c>
      <c r="AH139">
        <f>'Grid_Requirement'!AE46</f>
        <v/>
      </c>
      <c r="AI139">
        <f>'Grid_Requirement'!AF46</f>
        <v/>
      </c>
      <c r="AJ139">
        <f>'Grid_Requirement'!AG46</f>
        <v/>
      </c>
      <c r="AK139">
        <f>'Grid_Requirement'!AH46</f>
        <v/>
      </c>
      <c r="AL139">
        <f>'Grid_Requirement'!AI46</f>
        <v/>
      </c>
      <c r="AM139">
        <f>'Grid_Requirement'!AJ46</f>
        <v/>
      </c>
      <c r="AN139">
        <f>'Grid_Requirement'!AK46</f>
        <v/>
      </c>
      <c r="AO139">
        <f>'Grid_Requirement'!AL46</f>
        <v/>
      </c>
      <c r="AP139">
        <f>'Grid_Requirement'!AM46</f>
        <v/>
      </c>
      <c r="AQ139">
        <f>'Grid_Requirement'!AN46</f>
        <v/>
      </c>
      <c r="AR139">
        <f>'Grid_Requirement'!AO46</f>
        <v/>
      </c>
      <c r="AS139">
        <f>'Grid_Requirement'!AP46</f>
        <v/>
      </c>
      <c r="AT139">
        <f>'Grid_Requirement'!AQ46</f>
        <v/>
      </c>
      <c r="AU139">
        <f>'Grid_Requirement'!AR46</f>
        <v/>
      </c>
      <c r="AV139">
        <f>'Grid_Requirement'!AS46</f>
        <v/>
      </c>
      <c r="AW139">
        <f>'Grid_Requirement'!AT46</f>
        <v/>
      </c>
      <c r="AX139">
        <f>'Grid_Requirement'!AU46</f>
        <v/>
      </c>
      <c r="AY139">
        <f>'Grid_Requirement'!AV46</f>
        <v/>
      </c>
      <c r="AZ139">
        <f>'Grid_Requirement'!AW46</f>
        <v/>
      </c>
      <c r="BA139">
        <f>'Grid_Requirement'!AX46</f>
        <v/>
      </c>
      <c r="BB139">
        <f>'Grid_Requirement'!AY46</f>
        <v/>
      </c>
      <c r="BC139">
        <f>'Grid_Requirement'!AZ46</f>
        <v/>
      </c>
      <c r="BD139">
        <f>'Grid_Requirement'!BA46</f>
        <v/>
      </c>
      <c r="BE139">
        <f>'Grid_Requirement'!BB46</f>
        <v/>
      </c>
      <c r="BF139">
        <f>'Grid_Requirement'!BC46</f>
        <v/>
      </c>
      <c r="BG139">
        <f>'Grid_Requirement'!BD46</f>
        <v/>
      </c>
      <c r="BH139">
        <f>'Grid_Requirement'!BE46</f>
        <v/>
      </c>
      <c r="BI139">
        <f>'Grid_Requirement'!BF46</f>
        <v/>
      </c>
      <c r="BJ139">
        <f>'Grid_Requirement'!BG46</f>
        <v/>
      </c>
      <c r="BK139">
        <f>'Grid_Requirement'!BH46</f>
        <v/>
      </c>
      <c r="BL139">
        <f>'Grid_Requirement'!BI46</f>
        <v/>
      </c>
      <c r="BM139">
        <f>'Grid_Requirement'!BJ46</f>
        <v/>
      </c>
      <c r="BN139">
        <f>'Grid_Requirement'!BK46</f>
        <v/>
      </c>
      <c r="BO139">
        <f>'Grid_Requirement'!BL46</f>
        <v/>
      </c>
      <c r="BP139">
        <f>'Grid_Requirement'!BM46</f>
        <v/>
      </c>
      <c r="BQ139">
        <f>'Grid_Requirement'!BN46</f>
        <v/>
      </c>
      <c r="BR139">
        <f>'Grid_Requirement'!BO46</f>
        <v/>
      </c>
      <c r="BS139">
        <f>'Grid_Requirement'!BP46</f>
        <v/>
      </c>
      <c r="BT139">
        <f>'Grid_Requirement'!BQ46</f>
        <v/>
      </c>
      <c r="BU139">
        <f>'Grid_Requirement'!BR46</f>
        <v/>
      </c>
      <c r="BV139">
        <f>'Grid_Requirement'!BS46</f>
        <v/>
      </c>
      <c r="BW139">
        <f>'Grid_Requirement'!BT46</f>
        <v/>
      </c>
      <c r="BX139">
        <f>'Grid_Requirement'!BU46</f>
        <v/>
      </c>
      <c r="BY139">
        <f>'Grid_Requirement'!BV46</f>
        <v/>
      </c>
      <c r="BZ139">
        <f>'Grid_Requirement'!BW46</f>
        <v/>
      </c>
      <c r="CA139">
        <f>'Grid_Requirement'!BX46</f>
        <v/>
      </c>
      <c r="CB139">
        <f>'Grid_Requirement'!BY46</f>
        <v/>
      </c>
      <c r="CC139">
        <f>'Grid_Requirement'!BZ46</f>
        <v/>
      </c>
      <c r="CD139">
        <f>'Grid_Requirement'!CA46</f>
        <v/>
      </c>
      <c r="CE139">
        <f>'Grid_Requirement'!CB46</f>
        <v/>
      </c>
      <c r="CF139">
        <f>'Grid_Requirement'!CC46</f>
        <v/>
      </c>
      <c r="CG139">
        <f>'Grid_Requirement'!CD46</f>
        <v/>
      </c>
      <c r="CH139">
        <f>'Grid_Requirement'!CE46</f>
        <v/>
      </c>
      <c r="CI139">
        <f>'Grid_Requirement'!CF46</f>
        <v/>
      </c>
      <c r="CJ139">
        <f>'Grid_Requirement'!CG46</f>
        <v/>
      </c>
      <c r="CK139">
        <f>'Grid_Requirement'!CH46</f>
        <v/>
      </c>
      <c r="CL139">
        <f>'Grid_Requirement'!CI46</f>
        <v/>
      </c>
      <c r="CM139">
        <f>'Grid_Requirement'!CJ46</f>
        <v/>
      </c>
      <c r="CN139">
        <f>'Grid_Requirement'!CK46</f>
        <v/>
      </c>
      <c r="CO139">
        <f>'Grid_Requirement'!CL46</f>
        <v/>
      </c>
      <c r="CP139">
        <f>'Grid_Requirement'!CM46</f>
        <v/>
      </c>
      <c r="CQ139">
        <f>'Grid_Requirement'!CN46</f>
        <v/>
      </c>
      <c r="CR139">
        <f>'Grid_Requirement'!CO46</f>
        <v/>
      </c>
      <c r="CS139">
        <f>'Grid_Requirement'!CP46</f>
        <v/>
      </c>
      <c r="CT139">
        <f>'Grid_Requirement'!CQ46</f>
        <v/>
      </c>
      <c r="CU139">
        <f>'Grid_Requirement'!CR46</f>
        <v/>
      </c>
      <c r="CV139">
        <f>'Grid_Requirement'!CS46</f>
        <v/>
      </c>
      <c r="CW139">
        <f>'Grid_Requirement'!CT46</f>
        <v/>
      </c>
      <c r="CX139">
        <f>'Grid_Requirement'!CU46</f>
        <v/>
      </c>
      <c r="CY139">
        <f>'Grid_Requirement'!CV46</f>
        <v/>
      </c>
      <c r="CZ139">
        <f>'Grid_Requirement'!CW46</f>
        <v/>
      </c>
      <c r="DA139">
        <f>'Grid_Requirement'!CX46</f>
        <v/>
      </c>
      <c r="DB139">
        <f>'Grid_Requirement'!CY46</f>
        <v/>
      </c>
      <c r="DC139">
        <f>'Grid_Requirement'!CZ46</f>
        <v/>
      </c>
      <c r="DD139">
        <f>'Grid_Requirement'!DA46</f>
        <v/>
      </c>
    </row>
    <row r="140">
      <c r="B140" t="inlineStr">
        <is>
          <t>TTAF在庫(実績,kg)</t>
        </is>
      </c>
      <c r="D140">
        <f>IFERROR(INDEX(E140:DD140,$F$1),"")</f>
        <v/>
      </c>
      <c r="E140">
        <f>IFERROR(SUMIFS(T_TTAFStock[TTAF_Qty],T_TTAFStock[RM_Code],$A28,T_TTAFStock[WeekIndex],1),"")</f>
        <v/>
      </c>
      <c r="F140">
        <f>IFERROR(SUMIFS(T_TTAFStock[TTAF_Qty],T_TTAFStock[RM_Code],$A28,T_TTAFStock[WeekIndex],2),"")</f>
        <v/>
      </c>
      <c r="G140">
        <f>IFERROR(SUMIFS(T_TTAFStock[TTAF_Qty],T_TTAFStock[RM_Code],$A28,T_TTAFStock[WeekIndex],3),"")</f>
        <v/>
      </c>
      <c r="H140">
        <f>IFERROR(SUMIFS(T_TTAFStock[TTAF_Qty],T_TTAFStock[RM_Code],$A28,T_TTAFStock[WeekIndex],4),"")</f>
        <v/>
      </c>
      <c r="I140">
        <f>IFERROR(SUMIFS(T_TTAFStock[TTAF_Qty],T_TTAFStock[RM_Code],$A28,T_TTAFStock[WeekIndex],5),"")</f>
        <v/>
      </c>
      <c r="J140">
        <f>IFERROR(SUMIFS(T_TTAFStock[TTAF_Qty],T_TTAFStock[RM_Code],$A28,T_TTAFStock[WeekIndex],6),"")</f>
        <v/>
      </c>
      <c r="K140">
        <f>IFERROR(SUMIFS(T_TTAFStock[TTAF_Qty],T_TTAFStock[RM_Code],$A28,T_TTAFStock[WeekIndex],7),"")</f>
        <v/>
      </c>
      <c r="L140">
        <f>IFERROR(SUMIFS(T_TTAFStock[TTAF_Qty],T_TTAFStock[RM_Code],$A28,T_TTAFStock[WeekIndex],8),"")</f>
        <v/>
      </c>
      <c r="M140">
        <f>IFERROR(SUMIFS(T_TTAFStock[TTAF_Qty],T_TTAFStock[RM_Code],$A28,T_TTAFStock[WeekIndex],9),"")</f>
        <v/>
      </c>
      <c r="N140">
        <f>IFERROR(SUMIFS(T_TTAFStock[TTAF_Qty],T_TTAFStock[RM_Code],$A28,T_TTAFStock[WeekIndex],10),"")</f>
        <v/>
      </c>
      <c r="O140">
        <f>IFERROR(SUMIFS(T_TTAFStock[TTAF_Qty],T_TTAFStock[RM_Code],$A28,T_TTAFStock[WeekIndex],11),"")</f>
        <v/>
      </c>
      <c r="P140">
        <f>IFERROR(SUMIFS(T_TTAFStock[TTAF_Qty],T_TTAFStock[RM_Code],$A28,T_TTAFStock[WeekIndex],12),"")</f>
        <v/>
      </c>
      <c r="Q140">
        <f>IFERROR(SUMIFS(T_TTAFStock[TTAF_Qty],T_TTAFStock[RM_Code],$A28,T_TTAFStock[WeekIndex],13),"")</f>
        <v/>
      </c>
      <c r="R140">
        <f>IFERROR(SUMIFS(T_TTAFStock[TTAF_Qty],T_TTAFStock[RM_Code],$A28,T_TTAFStock[WeekIndex],14),"")</f>
        <v/>
      </c>
      <c r="S140">
        <f>IFERROR(SUMIFS(T_TTAFStock[TTAF_Qty],T_TTAFStock[RM_Code],$A28,T_TTAFStock[WeekIndex],15),"")</f>
        <v/>
      </c>
      <c r="T140">
        <f>IFERROR(SUMIFS(T_TTAFStock[TTAF_Qty],T_TTAFStock[RM_Code],$A28,T_TTAFStock[WeekIndex],16),"")</f>
        <v/>
      </c>
      <c r="U140">
        <f>IFERROR(SUMIFS(T_TTAFStock[TTAF_Qty],T_TTAFStock[RM_Code],$A28,T_TTAFStock[WeekIndex],17),"")</f>
        <v/>
      </c>
      <c r="V140">
        <f>IFERROR(SUMIFS(T_TTAFStock[TTAF_Qty],T_TTAFStock[RM_Code],$A28,T_TTAFStock[WeekIndex],18),"")</f>
        <v/>
      </c>
      <c r="W140">
        <f>IFERROR(SUMIFS(T_TTAFStock[TTAF_Qty],T_TTAFStock[RM_Code],$A28,T_TTAFStock[WeekIndex],19),"")</f>
        <v/>
      </c>
      <c r="X140">
        <f>IFERROR(SUMIFS(T_TTAFStock[TTAF_Qty],T_TTAFStock[RM_Code],$A28,T_TTAFStock[WeekIndex],20),"")</f>
        <v/>
      </c>
      <c r="Y140">
        <f>IFERROR(SUMIFS(T_TTAFStock[TTAF_Qty],T_TTAFStock[RM_Code],$A28,T_TTAFStock[WeekIndex],21),"")</f>
        <v/>
      </c>
      <c r="Z140">
        <f>IFERROR(SUMIFS(T_TTAFStock[TTAF_Qty],T_TTAFStock[RM_Code],$A28,T_TTAFStock[WeekIndex],22),"")</f>
        <v/>
      </c>
      <c r="AA140">
        <f>IFERROR(SUMIFS(T_TTAFStock[TTAF_Qty],T_TTAFStock[RM_Code],$A28,T_TTAFStock[WeekIndex],23),"")</f>
        <v/>
      </c>
      <c r="AB140">
        <f>IFERROR(SUMIFS(T_TTAFStock[TTAF_Qty],T_TTAFStock[RM_Code],$A28,T_TTAFStock[WeekIndex],24),"")</f>
        <v/>
      </c>
      <c r="AC140">
        <f>IFERROR(SUMIFS(T_TTAFStock[TTAF_Qty],T_TTAFStock[RM_Code],$A28,T_TTAFStock[WeekIndex],25),"")</f>
        <v/>
      </c>
      <c r="AD140">
        <f>IFERROR(SUMIFS(T_TTAFStock[TTAF_Qty],T_TTAFStock[RM_Code],$A28,T_TTAFStock[WeekIndex],26),"")</f>
        <v/>
      </c>
      <c r="AE140">
        <f>IFERROR(SUMIFS(T_TTAFStock[TTAF_Qty],T_TTAFStock[RM_Code],$A28,T_TTAFStock[WeekIndex],27),"")</f>
        <v/>
      </c>
      <c r="AF140">
        <f>IFERROR(SUMIFS(T_TTAFStock[TTAF_Qty],T_TTAFStock[RM_Code],$A28,T_TTAFStock[WeekIndex],28),"")</f>
        <v/>
      </c>
      <c r="AG140">
        <f>IFERROR(SUMIFS(T_TTAFStock[TTAF_Qty],T_TTAFStock[RM_Code],$A28,T_TTAFStock[WeekIndex],29),"")</f>
        <v/>
      </c>
      <c r="AH140">
        <f>IFERROR(SUMIFS(T_TTAFStock[TTAF_Qty],T_TTAFStock[RM_Code],$A28,T_TTAFStock[WeekIndex],30),"")</f>
        <v/>
      </c>
      <c r="AI140">
        <f>IFERROR(SUMIFS(T_TTAFStock[TTAF_Qty],T_TTAFStock[RM_Code],$A28,T_TTAFStock[WeekIndex],31),"")</f>
        <v/>
      </c>
      <c r="AJ140">
        <f>IFERROR(SUMIFS(T_TTAFStock[TTAF_Qty],T_TTAFStock[RM_Code],$A28,T_TTAFStock[WeekIndex],32),"")</f>
        <v/>
      </c>
      <c r="AK140">
        <f>IFERROR(SUMIFS(T_TTAFStock[TTAF_Qty],T_TTAFStock[RM_Code],$A28,T_TTAFStock[WeekIndex],33),"")</f>
        <v/>
      </c>
      <c r="AL140">
        <f>IFERROR(SUMIFS(T_TTAFStock[TTAF_Qty],T_TTAFStock[RM_Code],$A28,T_TTAFStock[WeekIndex],34),"")</f>
        <v/>
      </c>
      <c r="AM140">
        <f>IFERROR(SUMIFS(T_TTAFStock[TTAF_Qty],T_TTAFStock[RM_Code],$A28,T_TTAFStock[WeekIndex],35),"")</f>
        <v/>
      </c>
      <c r="AN140">
        <f>IFERROR(SUMIFS(T_TTAFStock[TTAF_Qty],T_TTAFStock[RM_Code],$A28,T_TTAFStock[WeekIndex],36),"")</f>
        <v/>
      </c>
      <c r="AO140">
        <f>IFERROR(SUMIFS(T_TTAFStock[TTAF_Qty],T_TTAFStock[RM_Code],$A28,T_TTAFStock[WeekIndex],37),"")</f>
        <v/>
      </c>
      <c r="AP140">
        <f>IFERROR(SUMIFS(T_TTAFStock[TTAF_Qty],T_TTAFStock[RM_Code],$A28,T_TTAFStock[WeekIndex],38),"")</f>
        <v/>
      </c>
      <c r="AQ140">
        <f>IFERROR(SUMIFS(T_TTAFStock[TTAF_Qty],T_TTAFStock[RM_Code],$A28,T_TTAFStock[WeekIndex],39),"")</f>
        <v/>
      </c>
      <c r="AR140">
        <f>IFERROR(SUMIFS(T_TTAFStock[TTAF_Qty],T_TTAFStock[RM_Code],$A28,T_TTAFStock[WeekIndex],40),"")</f>
        <v/>
      </c>
      <c r="AS140">
        <f>IFERROR(SUMIFS(T_TTAFStock[TTAF_Qty],T_TTAFStock[RM_Code],$A28,T_TTAFStock[WeekIndex],41),"")</f>
        <v/>
      </c>
      <c r="AT140">
        <f>IFERROR(SUMIFS(T_TTAFStock[TTAF_Qty],T_TTAFStock[RM_Code],$A28,T_TTAFStock[WeekIndex],42),"")</f>
        <v/>
      </c>
      <c r="AU140">
        <f>IFERROR(SUMIFS(T_TTAFStock[TTAF_Qty],T_TTAFStock[RM_Code],$A28,T_TTAFStock[WeekIndex],43),"")</f>
        <v/>
      </c>
      <c r="AV140">
        <f>IFERROR(SUMIFS(T_TTAFStock[TTAF_Qty],T_TTAFStock[RM_Code],$A28,T_TTAFStock[WeekIndex],44),"")</f>
        <v/>
      </c>
      <c r="AW140">
        <f>IFERROR(SUMIFS(T_TTAFStock[TTAF_Qty],T_TTAFStock[RM_Code],$A28,T_TTAFStock[WeekIndex],45),"")</f>
        <v/>
      </c>
      <c r="AX140">
        <f>IFERROR(SUMIFS(T_TTAFStock[TTAF_Qty],T_TTAFStock[RM_Code],$A28,T_TTAFStock[WeekIndex],46),"")</f>
        <v/>
      </c>
      <c r="AY140">
        <f>IFERROR(SUMIFS(T_TTAFStock[TTAF_Qty],T_TTAFStock[RM_Code],$A28,T_TTAFStock[WeekIndex],47),"")</f>
        <v/>
      </c>
      <c r="AZ140">
        <f>IFERROR(SUMIFS(T_TTAFStock[TTAF_Qty],T_TTAFStock[RM_Code],$A28,T_TTAFStock[WeekIndex],48),"")</f>
        <v/>
      </c>
      <c r="BA140">
        <f>IFERROR(SUMIFS(T_TTAFStock[TTAF_Qty],T_TTAFStock[RM_Code],$A28,T_TTAFStock[WeekIndex],49),"")</f>
        <v/>
      </c>
      <c r="BB140">
        <f>IFERROR(SUMIFS(T_TTAFStock[TTAF_Qty],T_TTAFStock[RM_Code],$A28,T_TTAFStock[WeekIndex],50),"")</f>
        <v/>
      </c>
      <c r="BC140">
        <f>IFERROR(SUMIFS(T_TTAFStock[TTAF_Qty],T_TTAFStock[RM_Code],$A28,T_TTAFStock[WeekIndex],51),"")</f>
        <v/>
      </c>
      <c r="BD140">
        <f>IFERROR(SUMIFS(T_TTAFStock[TTAF_Qty],T_TTAFStock[RM_Code],$A28,T_TTAFStock[WeekIndex],52),"")</f>
        <v/>
      </c>
      <c r="BE140">
        <f>IFERROR(SUMIFS(T_TTAFStock[TTAF_Qty],T_TTAFStock[RM_Code],$A28,T_TTAFStock[WeekIndex],53),"")</f>
        <v/>
      </c>
      <c r="BF140">
        <f>IFERROR(SUMIFS(T_TTAFStock[TTAF_Qty],T_TTAFStock[RM_Code],$A28,T_TTAFStock[WeekIndex],54),"")</f>
        <v/>
      </c>
      <c r="BG140">
        <f>IFERROR(SUMIFS(T_TTAFStock[TTAF_Qty],T_TTAFStock[RM_Code],$A28,T_TTAFStock[WeekIndex],55),"")</f>
        <v/>
      </c>
      <c r="BH140">
        <f>IFERROR(SUMIFS(T_TTAFStock[TTAF_Qty],T_TTAFStock[RM_Code],$A28,T_TTAFStock[WeekIndex],56),"")</f>
        <v/>
      </c>
      <c r="BI140">
        <f>IFERROR(SUMIFS(T_TTAFStock[TTAF_Qty],T_TTAFStock[RM_Code],$A28,T_TTAFStock[WeekIndex],57),"")</f>
        <v/>
      </c>
      <c r="BJ140">
        <f>IFERROR(SUMIFS(T_TTAFStock[TTAF_Qty],T_TTAFStock[RM_Code],$A28,T_TTAFStock[WeekIndex],58),"")</f>
        <v/>
      </c>
      <c r="BK140">
        <f>IFERROR(SUMIFS(T_TTAFStock[TTAF_Qty],T_TTAFStock[RM_Code],$A28,T_TTAFStock[WeekIndex],59),"")</f>
        <v/>
      </c>
      <c r="BL140">
        <f>IFERROR(SUMIFS(T_TTAFStock[TTAF_Qty],T_TTAFStock[RM_Code],$A28,T_TTAFStock[WeekIndex],60),"")</f>
        <v/>
      </c>
      <c r="BM140">
        <f>IFERROR(SUMIFS(T_TTAFStock[TTAF_Qty],T_TTAFStock[RM_Code],$A28,T_TTAFStock[WeekIndex],61),"")</f>
        <v/>
      </c>
      <c r="BN140">
        <f>IFERROR(SUMIFS(T_TTAFStock[TTAF_Qty],T_TTAFStock[RM_Code],$A28,T_TTAFStock[WeekIndex],62),"")</f>
        <v/>
      </c>
      <c r="BO140">
        <f>IFERROR(SUMIFS(T_TTAFStock[TTAF_Qty],T_TTAFStock[RM_Code],$A28,T_TTAFStock[WeekIndex],63),"")</f>
        <v/>
      </c>
      <c r="BP140">
        <f>IFERROR(SUMIFS(T_TTAFStock[TTAF_Qty],T_TTAFStock[RM_Code],$A28,T_TTAFStock[WeekIndex],64),"")</f>
        <v/>
      </c>
      <c r="BQ140">
        <f>IFERROR(SUMIFS(T_TTAFStock[TTAF_Qty],T_TTAFStock[RM_Code],$A28,T_TTAFStock[WeekIndex],65),"")</f>
        <v/>
      </c>
      <c r="BR140">
        <f>IFERROR(SUMIFS(T_TTAFStock[TTAF_Qty],T_TTAFStock[RM_Code],$A28,T_TTAFStock[WeekIndex],66),"")</f>
        <v/>
      </c>
      <c r="BS140">
        <f>IFERROR(SUMIFS(T_TTAFStock[TTAF_Qty],T_TTAFStock[RM_Code],$A28,T_TTAFStock[WeekIndex],67),"")</f>
        <v/>
      </c>
      <c r="BT140">
        <f>IFERROR(SUMIFS(T_TTAFStock[TTAF_Qty],T_TTAFStock[RM_Code],$A28,T_TTAFStock[WeekIndex],68),"")</f>
        <v/>
      </c>
      <c r="BU140">
        <f>IFERROR(SUMIFS(T_TTAFStock[TTAF_Qty],T_TTAFStock[RM_Code],$A28,T_TTAFStock[WeekIndex],69),"")</f>
        <v/>
      </c>
      <c r="BV140">
        <f>IFERROR(SUMIFS(T_TTAFStock[TTAF_Qty],T_TTAFStock[RM_Code],$A28,T_TTAFStock[WeekIndex],70),"")</f>
        <v/>
      </c>
      <c r="BW140">
        <f>IFERROR(SUMIFS(T_TTAFStock[TTAF_Qty],T_TTAFStock[RM_Code],$A28,T_TTAFStock[WeekIndex],71),"")</f>
        <v/>
      </c>
      <c r="BX140">
        <f>IFERROR(SUMIFS(T_TTAFStock[TTAF_Qty],T_TTAFStock[RM_Code],$A28,T_TTAFStock[WeekIndex],72),"")</f>
        <v/>
      </c>
      <c r="BY140">
        <f>IFERROR(SUMIFS(T_TTAFStock[TTAF_Qty],T_TTAFStock[RM_Code],$A28,T_TTAFStock[WeekIndex],73),"")</f>
        <v/>
      </c>
      <c r="BZ140">
        <f>IFERROR(SUMIFS(T_TTAFStock[TTAF_Qty],T_TTAFStock[RM_Code],$A28,T_TTAFStock[WeekIndex],74),"")</f>
        <v/>
      </c>
      <c r="CA140">
        <f>IFERROR(SUMIFS(T_TTAFStock[TTAF_Qty],T_TTAFStock[RM_Code],$A28,T_TTAFStock[WeekIndex],75),"")</f>
        <v/>
      </c>
      <c r="CB140">
        <f>IFERROR(SUMIFS(T_TTAFStock[TTAF_Qty],T_TTAFStock[RM_Code],$A28,T_TTAFStock[WeekIndex],76),"")</f>
        <v/>
      </c>
      <c r="CC140">
        <f>IFERROR(SUMIFS(T_TTAFStock[TTAF_Qty],T_TTAFStock[RM_Code],$A28,T_TTAFStock[WeekIndex],77),"")</f>
        <v/>
      </c>
      <c r="CD140">
        <f>IFERROR(SUMIFS(T_TTAFStock[TTAF_Qty],T_TTAFStock[RM_Code],$A28,T_TTAFStock[WeekIndex],78),"")</f>
        <v/>
      </c>
      <c r="CE140">
        <f>IFERROR(SUMIFS(T_TTAFStock[TTAF_Qty],T_TTAFStock[RM_Code],$A28,T_TTAFStock[WeekIndex],79),"")</f>
        <v/>
      </c>
      <c r="CF140">
        <f>IFERROR(SUMIFS(T_TTAFStock[TTAF_Qty],T_TTAFStock[RM_Code],$A28,T_TTAFStock[WeekIndex],80),"")</f>
        <v/>
      </c>
      <c r="CG140">
        <f>IFERROR(SUMIFS(T_TTAFStock[TTAF_Qty],T_TTAFStock[RM_Code],$A28,T_TTAFStock[WeekIndex],81),"")</f>
        <v/>
      </c>
      <c r="CH140">
        <f>IFERROR(SUMIFS(T_TTAFStock[TTAF_Qty],T_TTAFStock[RM_Code],$A28,T_TTAFStock[WeekIndex],82),"")</f>
        <v/>
      </c>
      <c r="CI140">
        <f>IFERROR(SUMIFS(T_TTAFStock[TTAF_Qty],T_TTAFStock[RM_Code],$A28,T_TTAFStock[WeekIndex],83),"")</f>
        <v/>
      </c>
      <c r="CJ140">
        <f>IFERROR(SUMIFS(T_TTAFStock[TTAF_Qty],T_TTAFStock[RM_Code],$A28,T_TTAFStock[WeekIndex],84),"")</f>
        <v/>
      </c>
      <c r="CK140">
        <f>IFERROR(SUMIFS(T_TTAFStock[TTAF_Qty],T_TTAFStock[RM_Code],$A28,T_TTAFStock[WeekIndex],85),"")</f>
        <v/>
      </c>
      <c r="CL140">
        <f>IFERROR(SUMIFS(T_TTAFStock[TTAF_Qty],T_TTAFStock[RM_Code],$A28,T_TTAFStock[WeekIndex],86),"")</f>
        <v/>
      </c>
      <c r="CM140">
        <f>IFERROR(SUMIFS(T_TTAFStock[TTAF_Qty],T_TTAFStock[RM_Code],$A28,T_TTAFStock[WeekIndex],87),"")</f>
        <v/>
      </c>
      <c r="CN140">
        <f>IFERROR(SUMIFS(T_TTAFStock[TTAF_Qty],T_TTAFStock[RM_Code],$A28,T_TTAFStock[WeekIndex],88),"")</f>
        <v/>
      </c>
      <c r="CO140">
        <f>IFERROR(SUMIFS(T_TTAFStock[TTAF_Qty],T_TTAFStock[RM_Code],$A28,T_TTAFStock[WeekIndex],89),"")</f>
        <v/>
      </c>
      <c r="CP140">
        <f>IFERROR(SUMIFS(T_TTAFStock[TTAF_Qty],T_TTAFStock[RM_Code],$A28,T_TTAFStock[WeekIndex],90),"")</f>
        <v/>
      </c>
      <c r="CQ140">
        <f>IFERROR(SUMIFS(T_TTAFStock[TTAF_Qty],T_TTAFStock[RM_Code],$A28,T_TTAFStock[WeekIndex],91),"")</f>
        <v/>
      </c>
      <c r="CR140">
        <f>IFERROR(SUMIFS(T_TTAFStock[TTAF_Qty],T_TTAFStock[RM_Code],$A28,T_TTAFStock[WeekIndex],92),"")</f>
        <v/>
      </c>
      <c r="CS140">
        <f>IFERROR(SUMIFS(T_TTAFStock[TTAF_Qty],T_TTAFStock[RM_Code],$A28,T_TTAFStock[WeekIndex],93),"")</f>
        <v/>
      </c>
      <c r="CT140">
        <f>IFERROR(SUMIFS(T_TTAFStock[TTAF_Qty],T_TTAFStock[RM_Code],$A28,T_TTAFStock[WeekIndex],94),"")</f>
        <v/>
      </c>
      <c r="CU140">
        <f>IFERROR(SUMIFS(T_TTAFStock[TTAF_Qty],T_TTAFStock[RM_Code],$A28,T_TTAFStock[WeekIndex],95),"")</f>
        <v/>
      </c>
      <c r="CV140">
        <f>IFERROR(SUMIFS(T_TTAFStock[TTAF_Qty],T_TTAFStock[RM_Code],$A28,T_TTAFStock[WeekIndex],96),"")</f>
        <v/>
      </c>
      <c r="CW140">
        <f>IFERROR(SUMIFS(T_TTAFStock[TTAF_Qty],T_TTAFStock[RM_Code],$A28,T_TTAFStock[WeekIndex],97),"")</f>
        <v/>
      </c>
      <c r="CX140">
        <f>IFERROR(SUMIFS(T_TTAFStock[TTAF_Qty],T_TTAFStock[RM_Code],$A28,T_TTAFStock[WeekIndex],98),"")</f>
        <v/>
      </c>
      <c r="CY140">
        <f>IFERROR(SUMIFS(T_TTAFStock[TTAF_Qty],T_TTAFStock[RM_Code],$A28,T_TTAFStock[WeekIndex],99),"")</f>
        <v/>
      </c>
      <c r="CZ140">
        <f>IFERROR(SUMIFS(T_TTAFStock[TTAF_Qty],T_TTAFStock[RM_Code],$A28,T_TTAFStock[WeekIndex],100),"")</f>
        <v/>
      </c>
      <c r="DA140">
        <f>IFERROR(SUMIFS(T_TTAFStock[TTAF_Qty],T_TTAFStock[RM_Code],$A28,T_TTAFStock[WeekIndex],101),"")</f>
        <v/>
      </c>
      <c r="DB140">
        <f>IFERROR(SUMIFS(T_TTAFStock[TTAF_Qty],T_TTAFStock[RM_Code],$A28,T_TTAFStock[WeekIndex],102),"")</f>
        <v/>
      </c>
      <c r="DC140">
        <f>IFERROR(SUMIFS(T_TTAFStock[TTAF_Qty],T_TTAFStock[RM_Code],$A28,T_TTAFStock[WeekIndex],103),"")</f>
        <v/>
      </c>
      <c r="DD140">
        <f>IFERROR(SUMIFS(T_TTAFStock[TTAF_Qty],T_TTAFStock[RM_Code],$A28,T_TTAFStock[WeekIndex],104),"")</f>
        <v/>
      </c>
    </row>
    <row r="141">
      <c r="B141" t="inlineStr">
        <is>
          <t>自社在庫(実績,kg)</t>
        </is>
      </c>
      <c r="D141">
        <f>IFERROR(INDEX(E141:DD141,$F$1),"")</f>
        <v/>
      </c>
      <c r="E141">
        <f>IFERROR(SUMIFS(T_SelfStock[Self_Qty],T_SelfStock[RM_Code],$A28,T_SelfStock[WeekIndex],1),"")</f>
        <v/>
      </c>
      <c r="F141">
        <f>IFERROR(SUMIFS(T_SelfStock[Self_Qty],T_SelfStock[RM_Code],$A28,T_SelfStock[WeekIndex],2),"")</f>
        <v/>
      </c>
      <c r="G141">
        <f>IFERROR(SUMIFS(T_SelfStock[Self_Qty],T_SelfStock[RM_Code],$A28,T_SelfStock[WeekIndex],3),"")</f>
        <v/>
      </c>
      <c r="H141">
        <f>IFERROR(SUMIFS(T_SelfStock[Self_Qty],T_SelfStock[RM_Code],$A28,T_SelfStock[WeekIndex],4),"")</f>
        <v/>
      </c>
      <c r="I141">
        <f>IFERROR(SUMIFS(T_SelfStock[Self_Qty],T_SelfStock[RM_Code],$A28,T_SelfStock[WeekIndex],5),"")</f>
        <v/>
      </c>
      <c r="J141">
        <f>IFERROR(SUMIFS(T_SelfStock[Self_Qty],T_SelfStock[RM_Code],$A28,T_SelfStock[WeekIndex],6),"")</f>
        <v/>
      </c>
      <c r="K141">
        <f>IFERROR(SUMIFS(T_SelfStock[Self_Qty],T_SelfStock[RM_Code],$A28,T_SelfStock[WeekIndex],7),"")</f>
        <v/>
      </c>
      <c r="L141">
        <f>IFERROR(SUMIFS(T_SelfStock[Self_Qty],T_SelfStock[RM_Code],$A28,T_SelfStock[WeekIndex],8),"")</f>
        <v/>
      </c>
      <c r="M141">
        <f>IFERROR(SUMIFS(T_SelfStock[Self_Qty],T_SelfStock[RM_Code],$A28,T_SelfStock[WeekIndex],9),"")</f>
        <v/>
      </c>
      <c r="N141">
        <f>IFERROR(SUMIFS(T_SelfStock[Self_Qty],T_SelfStock[RM_Code],$A28,T_SelfStock[WeekIndex],10),"")</f>
        <v/>
      </c>
      <c r="O141">
        <f>IFERROR(SUMIFS(T_SelfStock[Self_Qty],T_SelfStock[RM_Code],$A28,T_SelfStock[WeekIndex],11),"")</f>
        <v/>
      </c>
      <c r="P141">
        <f>IFERROR(SUMIFS(T_SelfStock[Self_Qty],T_SelfStock[RM_Code],$A28,T_SelfStock[WeekIndex],12),"")</f>
        <v/>
      </c>
      <c r="Q141">
        <f>IFERROR(SUMIFS(T_SelfStock[Self_Qty],T_SelfStock[RM_Code],$A28,T_SelfStock[WeekIndex],13),"")</f>
        <v/>
      </c>
      <c r="R141">
        <f>IFERROR(SUMIFS(T_SelfStock[Self_Qty],T_SelfStock[RM_Code],$A28,T_SelfStock[WeekIndex],14),"")</f>
        <v/>
      </c>
      <c r="S141">
        <f>IFERROR(SUMIFS(T_SelfStock[Self_Qty],T_SelfStock[RM_Code],$A28,T_SelfStock[WeekIndex],15),"")</f>
        <v/>
      </c>
      <c r="T141">
        <f>IFERROR(SUMIFS(T_SelfStock[Self_Qty],T_SelfStock[RM_Code],$A28,T_SelfStock[WeekIndex],16),"")</f>
        <v/>
      </c>
      <c r="U141">
        <f>IFERROR(SUMIFS(T_SelfStock[Self_Qty],T_SelfStock[RM_Code],$A28,T_SelfStock[WeekIndex],17),"")</f>
        <v/>
      </c>
      <c r="V141">
        <f>IFERROR(SUMIFS(T_SelfStock[Self_Qty],T_SelfStock[RM_Code],$A28,T_SelfStock[WeekIndex],18),"")</f>
        <v/>
      </c>
      <c r="W141">
        <f>IFERROR(SUMIFS(T_SelfStock[Self_Qty],T_SelfStock[RM_Code],$A28,T_SelfStock[WeekIndex],19),"")</f>
        <v/>
      </c>
      <c r="X141">
        <f>IFERROR(SUMIFS(T_SelfStock[Self_Qty],T_SelfStock[RM_Code],$A28,T_SelfStock[WeekIndex],20),"")</f>
        <v/>
      </c>
      <c r="Y141">
        <f>IFERROR(SUMIFS(T_SelfStock[Self_Qty],T_SelfStock[RM_Code],$A28,T_SelfStock[WeekIndex],21),"")</f>
        <v/>
      </c>
      <c r="Z141">
        <f>IFERROR(SUMIFS(T_SelfStock[Self_Qty],T_SelfStock[RM_Code],$A28,T_SelfStock[WeekIndex],22),"")</f>
        <v/>
      </c>
      <c r="AA141">
        <f>IFERROR(SUMIFS(T_SelfStock[Self_Qty],T_SelfStock[RM_Code],$A28,T_SelfStock[WeekIndex],23),"")</f>
        <v/>
      </c>
      <c r="AB141">
        <f>IFERROR(SUMIFS(T_SelfStock[Self_Qty],T_SelfStock[RM_Code],$A28,T_SelfStock[WeekIndex],24),"")</f>
        <v/>
      </c>
      <c r="AC141">
        <f>IFERROR(SUMIFS(T_SelfStock[Self_Qty],T_SelfStock[RM_Code],$A28,T_SelfStock[WeekIndex],25),"")</f>
        <v/>
      </c>
      <c r="AD141">
        <f>IFERROR(SUMIFS(T_SelfStock[Self_Qty],T_SelfStock[RM_Code],$A28,T_SelfStock[WeekIndex],26),"")</f>
        <v/>
      </c>
      <c r="AE141">
        <f>IFERROR(SUMIFS(T_SelfStock[Self_Qty],T_SelfStock[RM_Code],$A28,T_SelfStock[WeekIndex],27),"")</f>
        <v/>
      </c>
      <c r="AF141">
        <f>IFERROR(SUMIFS(T_SelfStock[Self_Qty],T_SelfStock[RM_Code],$A28,T_SelfStock[WeekIndex],28),"")</f>
        <v/>
      </c>
      <c r="AG141">
        <f>IFERROR(SUMIFS(T_SelfStock[Self_Qty],T_SelfStock[RM_Code],$A28,T_SelfStock[WeekIndex],29),"")</f>
        <v/>
      </c>
      <c r="AH141">
        <f>IFERROR(SUMIFS(T_SelfStock[Self_Qty],T_SelfStock[RM_Code],$A28,T_SelfStock[WeekIndex],30),"")</f>
        <v/>
      </c>
      <c r="AI141">
        <f>IFERROR(SUMIFS(T_SelfStock[Self_Qty],T_SelfStock[RM_Code],$A28,T_SelfStock[WeekIndex],31),"")</f>
        <v/>
      </c>
      <c r="AJ141">
        <f>IFERROR(SUMIFS(T_SelfStock[Self_Qty],T_SelfStock[RM_Code],$A28,T_SelfStock[WeekIndex],32),"")</f>
        <v/>
      </c>
      <c r="AK141">
        <f>IFERROR(SUMIFS(T_SelfStock[Self_Qty],T_SelfStock[RM_Code],$A28,T_SelfStock[WeekIndex],33),"")</f>
        <v/>
      </c>
      <c r="AL141">
        <f>IFERROR(SUMIFS(T_SelfStock[Self_Qty],T_SelfStock[RM_Code],$A28,T_SelfStock[WeekIndex],34),"")</f>
        <v/>
      </c>
      <c r="AM141">
        <f>IFERROR(SUMIFS(T_SelfStock[Self_Qty],T_SelfStock[RM_Code],$A28,T_SelfStock[WeekIndex],35),"")</f>
        <v/>
      </c>
      <c r="AN141">
        <f>IFERROR(SUMIFS(T_SelfStock[Self_Qty],T_SelfStock[RM_Code],$A28,T_SelfStock[WeekIndex],36),"")</f>
        <v/>
      </c>
      <c r="AO141">
        <f>IFERROR(SUMIFS(T_SelfStock[Self_Qty],T_SelfStock[RM_Code],$A28,T_SelfStock[WeekIndex],37),"")</f>
        <v/>
      </c>
      <c r="AP141">
        <f>IFERROR(SUMIFS(T_SelfStock[Self_Qty],T_SelfStock[RM_Code],$A28,T_SelfStock[WeekIndex],38),"")</f>
        <v/>
      </c>
      <c r="AQ141">
        <f>IFERROR(SUMIFS(T_SelfStock[Self_Qty],T_SelfStock[RM_Code],$A28,T_SelfStock[WeekIndex],39),"")</f>
        <v/>
      </c>
      <c r="AR141">
        <f>IFERROR(SUMIFS(T_SelfStock[Self_Qty],T_SelfStock[RM_Code],$A28,T_SelfStock[WeekIndex],40),"")</f>
        <v/>
      </c>
      <c r="AS141">
        <f>IFERROR(SUMIFS(T_SelfStock[Self_Qty],T_SelfStock[RM_Code],$A28,T_SelfStock[WeekIndex],41),"")</f>
        <v/>
      </c>
      <c r="AT141">
        <f>IFERROR(SUMIFS(T_SelfStock[Self_Qty],T_SelfStock[RM_Code],$A28,T_SelfStock[WeekIndex],42),"")</f>
        <v/>
      </c>
      <c r="AU141">
        <f>IFERROR(SUMIFS(T_SelfStock[Self_Qty],T_SelfStock[RM_Code],$A28,T_SelfStock[WeekIndex],43),"")</f>
        <v/>
      </c>
      <c r="AV141">
        <f>IFERROR(SUMIFS(T_SelfStock[Self_Qty],T_SelfStock[RM_Code],$A28,T_SelfStock[WeekIndex],44),"")</f>
        <v/>
      </c>
      <c r="AW141">
        <f>IFERROR(SUMIFS(T_SelfStock[Self_Qty],T_SelfStock[RM_Code],$A28,T_SelfStock[WeekIndex],45),"")</f>
        <v/>
      </c>
      <c r="AX141">
        <f>IFERROR(SUMIFS(T_SelfStock[Self_Qty],T_SelfStock[RM_Code],$A28,T_SelfStock[WeekIndex],46),"")</f>
        <v/>
      </c>
      <c r="AY141">
        <f>IFERROR(SUMIFS(T_SelfStock[Self_Qty],T_SelfStock[RM_Code],$A28,T_SelfStock[WeekIndex],47),"")</f>
        <v/>
      </c>
      <c r="AZ141">
        <f>IFERROR(SUMIFS(T_SelfStock[Self_Qty],T_SelfStock[RM_Code],$A28,T_SelfStock[WeekIndex],48),"")</f>
        <v/>
      </c>
      <c r="BA141">
        <f>IFERROR(SUMIFS(T_SelfStock[Self_Qty],T_SelfStock[RM_Code],$A28,T_SelfStock[WeekIndex],49),"")</f>
        <v/>
      </c>
      <c r="BB141">
        <f>IFERROR(SUMIFS(T_SelfStock[Self_Qty],T_SelfStock[RM_Code],$A28,T_SelfStock[WeekIndex],50),"")</f>
        <v/>
      </c>
      <c r="BC141">
        <f>IFERROR(SUMIFS(T_SelfStock[Self_Qty],T_SelfStock[RM_Code],$A28,T_SelfStock[WeekIndex],51),"")</f>
        <v/>
      </c>
      <c r="BD141">
        <f>IFERROR(SUMIFS(T_SelfStock[Self_Qty],T_SelfStock[RM_Code],$A28,T_SelfStock[WeekIndex],52),"")</f>
        <v/>
      </c>
      <c r="BE141">
        <f>IFERROR(SUMIFS(T_SelfStock[Self_Qty],T_SelfStock[RM_Code],$A28,T_SelfStock[WeekIndex],53),"")</f>
        <v/>
      </c>
      <c r="BF141">
        <f>IFERROR(SUMIFS(T_SelfStock[Self_Qty],T_SelfStock[RM_Code],$A28,T_SelfStock[WeekIndex],54),"")</f>
        <v/>
      </c>
      <c r="BG141">
        <f>IFERROR(SUMIFS(T_SelfStock[Self_Qty],T_SelfStock[RM_Code],$A28,T_SelfStock[WeekIndex],55),"")</f>
        <v/>
      </c>
      <c r="BH141">
        <f>IFERROR(SUMIFS(T_SelfStock[Self_Qty],T_SelfStock[RM_Code],$A28,T_SelfStock[WeekIndex],56),"")</f>
        <v/>
      </c>
      <c r="BI141">
        <f>IFERROR(SUMIFS(T_SelfStock[Self_Qty],T_SelfStock[RM_Code],$A28,T_SelfStock[WeekIndex],57),"")</f>
        <v/>
      </c>
      <c r="BJ141">
        <f>IFERROR(SUMIFS(T_SelfStock[Self_Qty],T_SelfStock[RM_Code],$A28,T_SelfStock[WeekIndex],58),"")</f>
        <v/>
      </c>
      <c r="BK141">
        <f>IFERROR(SUMIFS(T_SelfStock[Self_Qty],T_SelfStock[RM_Code],$A28,T_SelfStock[WeekIndex],59),"")</f>
        <v/>
      </c>
      <c r="BL141">
        <f>IFERROR(SUMIFS(T_SelfStock[Self_Qty],T_SelfStock[RM_Code],$A28,T_SelfStock[WeekIndex],60),"")</f>
        <v/>
      </c>
      <c r="BM141">
        <f>IFERROR(SUMIFS(T_SelfStock[Self_Qty],T_SelfStock[RM_Code],$A28,T_SelfStock[WeekIndex],61),"")</f>
        <v/>
      </c>
      <c r="BN141">
        <f>IFERROR(SUMIFS(T_SelfStock[Self_Qty],T_SelfStock[RM_Code],$A28,T_SelfStock[WeekIndex],62),"")</f>
        <v/>
      </c>
      <c r="BO141">
        <f>IFERROR(SUMIFS(T_SelfStock[Self_Qty],T_SelfStock[RM_Code],$A28,T_SelfStock[WeekIndex],63),"")</f>
        <v/>
      </c>
      <c r="BP141">
        <f>IFERROR(SUMIFS(T_SelfStock[Self_Qty],T_SelfStock[RM_Code],$A28,T_SelfStock[WeekIndex],64),"")</f>
        <v/>
      </c>
      <c r="BQ141">
        <f>IFERROR(SUMIFS(T_SelfStock[Self_Qty],T_SelfStock[RM_Code],$A28,T_SelfStock[WeekIndex],65),"")</f>
        <v/>
      </c>
      <c r="BR141">
        <f>IFERROR(SUMIFS(T_SelfStock[Self_Qty],T_SelfStock[RM_Code],$A28,T_SelfStock[WeekIndex],66),"")</f>
        <v/>
      </c>
      <c r="BS141">
        <f>IFERROR(SUMIFS(T_SelfStock[Self_Qty],T_SelfStock[RM_Code],$A28,T_SelfStock[WeekIndex],67),"")</f>
        <v/>
      </c>
      <c r="BT141">
        <f>IFERROR(SUMIFS(T_SelfStock[Self_Qty],T_SelfStock[RM_Code],$A28,T_SelfStock[WeekIndex],68),"")</f>
        <v/>
      </c>
      <c r="BU141">
        <f>IFERROR(SUMIFS(T_SelfStock[Self_Qty],T_SelfStock[RM_Code],$A28,T_SelfStock[WeekIndex],69),"")</f>
        <v/>
      </c>
      <c r="BV141">
        <f>IFERROR(SUMIFS(T_SelfStock[Self_Qty],T_SelfStock[RM_Code],$A28,T_SelfStock[WeekIndex],70),"")</f>
        <v/>
      </c>
      <c r="BW141">
        <f>IFERROR(SUMIFS(T_SelfStock[Self_Qty],T_SelfStock[RM_Code],$A28,T_SelfStock[WeekIndex],71),"")</f>
        <v/>
      </c>
      <c r="BX141">
        <f>IFERROR(SUMIFS(T_SelfStock[Self_Qty],T_SelfStock[RM_Code],$A28,T_SelfStock[WeekIndex],72),"")</f>
        <v/>
      </c>
      <c r="BY141">
        <f>IFERROR(SUMIFS(T_SelfStock[Self_Qty],T_SelfStock[RM_Code],$A28,T_SelfStock[WeekIndex],73),"")</f>
        <v/>
      </c>
      <c r="BZ141">
        <f>IFERROR(SUMIFS(T_SelfStock[Self_Qty],T_SelfStock[RM_Code],$A28,T_SelfStock[WeekIndex],74),"")</f>
        <v/>
      </c>
      <c r="CA141">
        <f>IFERROR(SUMIFS(T_SelfStock[Self_Qty],T_SelfStock[RM_Code],$A28,T_SelfStock[WeekIndex],75),"")</f>
        <v/>
      </c>
      <c r="CB141">
        <f>IFERROR(SUMIFS(T_SelfStock[Self_Qty],T_SelfStock[RM_Code],$A28,T_SelfStock[WeekIndex],76),"")</f>
        <v/>
      </c>
      <c r="CC141">
        <f>IFERROR(SUMIFS(T_SelfStock[Self_Qty],T_SelfStock[RM_Code],$A28,T_SelfStock[WeekIndex],77),"")</f>
        <v/>
      </c>
      <c r="CD141">
        <f>IFERROR(SUMIFS(T_SelfStock[Self_Qty],T_SelfStock[RM_Code],$A28,T_SelfStock[WeekIndex],78),"")</f>
        <v/>
      </c>
      <c r="CE141">
        <f>IFERROR(SUMIFS(T_SelfStock[Self_Qty],T_SelfStock[RM_Code],$A28,T_SelfStock[WeekIndex],79),"")</f>
        <v/>
      </c>
      <c r="CF141">
        <f>IFERROR(SUMIFS(T_SelfStock[Self_Qty],T_SelfStock[RM_Code],$A28,T_SelfStock[WeekIndex],80),"")</f>
        <v/>
      </c>
      <c r="CG141">
        <f>IFERROR(SUMIFS(T_SelfStock[Self_Qty],T_SelfStock[RM_Code],$A28,T_SelfStock[WeekIndex],81),"")</f>
        <v/>
      </c>
      <c r="CH141">
        <f>IFERROR(SUMIFS(T_SelfStock[Self_Qty],T_SelfStock[RM_Code],$A28,T_SelfStock[WeekIndex],82),"")</f>
        <v/>
      </c>
      <c r="CI141">
        <f>IFERROR(SUMIFS(T_SelfStock[Self_Qty],T_SelfStock[RM_Code],$A28,T_SelfStock[WeekIndex],83),"")</f>
        <v/>
      </c>
      <c r="CJ141">
        <f>IFERROR(SUMIFS(T_SelfStock[Self_Qty],T_SelfStock[RM_Code],$A28,T_SelfStock[WeekIndex],84),"")</f>
        <v/>
      </c>
      <c r="CK141">
        <f>IFERROR(SUMIFS(T_SelfStock[Self_Qty],T_SelfStock[RM_Code],$A28,T_SelfStock[WeekIndex],85),"")</f>
        <v/>
      </c>
      <c r="CL141">
        <f>IFERROR(SUMIFS(T_SelfStock[Self_Qty],T_SelfStock[RM_Code],$A28,T_SelfStock[WeekIndex],86),"")</f>
        <v/>
      </c>
      <c r="CM141">
        <f>IFERROR(SUMIFS(T_SelfStock[Self_Qty],T_SelfStock[RM_Code],$A28,T_SelfStock[WeekIndex],87),"")</f>
        <v/>
      </c>
      <c r="CN141">
        <f>IFERROR(SUMIFS(T_SelfStock[Self_Qty],T_SelfStock[RM_Code],$A28,T_SelfStock[WeekIndex],88),"")</f>
        <v/>
      </c>
      <c r="CO141">
        <f>IFERROR(SUMIFS(T_SelfStock[Self_Qty],T_SelfStock[RM_Code],$A28,T_SelfStock[WeekIndex],89),"")</f>
        <v/>
      </c>
      <c r="CP141">
        <f>IFERROR(SUMIFS(T_SelfStock[Self_Qty],T_SelfStock[RM_Code],$A28,T_SelfStock[WeekIndex],90),"")</f>
        <v/>
      </c>
      <c r="CQ141">
        <f>IFERROR(SUMIFS(T_SelfStock[Self_Qty],T_SelfStock[RM_Code],$A28,T_SelfStock[WeekIndex],91),"")</f>
        <v/>
      </c>
      <c r="CR141">
        <f>IFERROR(SUMIFS(T_SelfStock[Self_Qty],T_SelfStock[RM_Code],$A28,T_SelfStock[WeekIndex],92),"")</f>
        <v/>
      </c>
      <c r="CS141">
        <f>IFERROR(SUMIFS(T_SelfStock[Self_Qty],T_SelfStock[RM_Code],$A28,T_SelfStock[WeekIndex],93),"")</f>
        <v/>
      </c>
      <c r="CT141">
        <f>IFERROR(SUMIFS(T_SelfStock[Self_Qty],T_SelfStock[RM_Code],$A28,T_SelfStock[WeekIndex],94),"")</f>
        <v/>
      </c>
      <c r="CU141">
        <f>IFERROR(SUMIFS(T_SelfStock[Self_Qty],T_SelfStock[RM_Code],$A28,T_SelfStock[WeekIndex],95),"")</f>
        <v/>
      </c>
      <c r="CV141">
        <f>IFERROR(SUMIFS(T_SelfStock[Self_Qty],T_SelfStock[RM_Code],$A28,T_SelfStock[WeekIndex],96),"")</f>
        <v/>
      </c>
      <c r="CW141">
        <f>IFERROR(SUMIFS(T_SelfStock[Self_Qty],T_SelfStock[RM_Code],$A28,T_SelfStock[WeekIndex],97),"")</f>
        <v/>
      </c>
      <c r="CX141">
        <f>IFERROR(SUMIFS(T_SelfStock[Self_Qty],T_SelfStock[RM_Code],$A28,T_SelfStock[WeekIndex],98),"")</f>
        <v/>
      </c>
      <c r="CY141">
        <f>IFERROR(SUMIFS(T_SelfStock[Self_Qty],T_SelfStock[RM_Code],$A28,T_SelfStock[WeekIndex],99),"")</f>
        <v/>
      </c>
      <c r="CZ141">
        <f>IFERROR(SUMIFS(T_SelfStock[Self_Qty],T_SelfStock[RM_Code],$A28,T_SelfStock[WeekIndex],100),"")</f>
        <v/>
      </c>
      <c r="DA141">
        <f>IFERROR(SUMIFS(T_SelfStock[Self_Qty],T_SelfStock[RM_Code],$A28,T_SelfStock[WeekIndex],101),"")</f>
        <v/>
      </c>
      <c r="DB141">
        <f>IFERROR(SUMIFS(T_SelfStock[Self_Qty],T_SelfStock[RM_Code],$A28,T_SelfStock[WeekIndex],102),"")</f>
        <v/>
      </c>
      <c r="DC141">
        <f>IFERROR(SUMIFS(T_SelfStock[Self_Qty],T_SelfStock[RM_Code],$A28,T_SelfStock[WeekIndex],103),"")</f>
        <v/>
      </c>
      <c r="DD141">
        <f>IFERROR(SUMIFS(T_SelfStock[Self_Qty],T_SelfStock[RM_Code],$A28,T_SelfStock[WeekIndex],104),"")</f>
        <v/>
      </c>
    </row>
    <row r="142">
      <c r="B142" s="4" t="inlineStr">
        <is>
          <t>合計在庫(週末時点,kg)</t>
        </is>
      </c>
      <c r="D142" s="24">
        <f>IFERROR(INDEX(E142:DD142,$F$1),"")</f>
        <v/>
      </c>
      <c r="E142">
        <f>'Grid_Stock'!B46</f>
        <v/>
      </c>
      <c r="F142">
        <f>'Grid_Stock'!C46</f>
        <v/>
      </c>
      <c r="G142">
        <f>'Grid_Stock'!D46</f>
        <v/>
      </c>
      <c r="H142">
        <f>'Grid_Stock'!E46</f>
        <v/>
      </c>
      <c r="I142">
        <f>'Grid_Stock'!F46</f>
        <v/>
      </c>
      <c r="J142">
        <f>'Grid_Stock'!G46</f>
        <v/>
      </c>
      <c r="K142">
        <f>'Grid_Stock'!H46</f>
        <v/>
      </c>
      <c r="L142">
        <f>'Grid_Stock'!I46</f>
        <v/>
      </c>
      <c r="M142">
        <f>'Grid_Stock'!J46</f>
        <v/>
      </c>
      <c r="N142">
        <f>'Grid_Stock'!K46</f>
        <v/>
      </c>
      <c r="O142">
        <f>'Grid_Stock'!L46</f>
        <v/>
      </c>
      <c r="P142">
        <f>'Grid_Stock'!M46</f>
        <v/>
      </c>
      <c r="Q142">
        <f>'Grid_Stock'!N46</f>
        <v/>
      </c>
      <c r="R142">
        <f>'Grid_Stock'!O46</f>
        <v/>
      </c>
      <c r="S142">
        <f>'Grid_Stock'!P46</f>
        <v/>
      </c>
      <c r="T142">
        <f>'Grid_Stock'!Q46</f>
        <v/>
      </c>
      <c r="U142">
        <f>'Grid_Stock'!R46</f>
        <v/>
      </c>
      <c r="V142">
        <f>'Grid_Stock'!S46</f>
        <v/>
      </c>
      <c r="W142">
        <f>'Grid_Stock'!T46</f>
        <v/>
      </c>
      <c r="X142">
        <f>'Grid_Stock'!U46</f>
        <v/>
      </c>
      <c r="Y142">
        <f>'Grid_Stock'!V46</f>
        <v/>
      </c>
      <c r="Z142">
        <f>'Grid_Stock'!W46</f>
        <v/>
      </c>
      <c r="AA142">
        <f>'Grid_Stock'!X46</f>
        <v/>
      </c>
      <c r="AB142">
        <f>'Grid_Stock'!Y46</f>
        <v/>
      </c>
      <c r="AC142">
        <f>'Grid_Stock'!Z46</f>
        <v/>
      </c>
      <c r="AD142">
        <f>'Grid_Stock'!AA46</f>
        <v/>
      </c>
      <c r="AE142">
        <f>'Grid_Stock'!AB46</f>
        <v/>
      </c>
      <c r="AF142">
        <f>'Grid_Stock'!AC46</f>
        <v/>
      </c>
      <c r="AG142">
        <f>'Grid_Stock'!AD46</f>
        <v/>
      </c>
      <c r="AH142">
        <f>'Grid_Stock'!AE46</f>
        <v/>
      </c>
      <c r="AI142">
        <f>'Grid_Stock'!AF46</f>
        <v/>
      </c>
      <c r="AJ142">
        <f>'Grid_Stock'!AG46</f>
        <v/>
      </c>
      <c r="AK142">
        <f>'Grid_Stock'!AH46</f>
        <v/>
      </c>
      <c r="AL142">
        <f>'Grid_Stock'!AI46</f>
        <v/>
      </c>
      <c r="AM142">
        <f>'Grid_Stock'!AJ46</f>
        <v/>
      </c>
      <c r="AN142">
        <f>'Grid_Stock'!AK46</f>
        <v/>
      </c>
      <c r="AO142">
        <f>'Grid_Stock'!AL46</f>
        <v/>
      </c>
      <c r="AP142">
        <f>'Grid_Stock'!AM46</f>
        <v/>
      </c>
      <c r="AQ142">
        <f>'Grid_Stock'!AN46</f>
        <v/>
      </c>
      <c r="AR142">
        <f>'Grid_Stock'!AO46</f>
        <v/>
      </c>
      <c r="AS142">
        <f>'Grid_Stock'!AP46</f>
        <v/>
      </c>
      <c r="AT142">
        <f>'Grid_Stock'!AQ46</f>
        <v/>
      </c>
      <c r="AU142">
        <f>'Grid_Stock'!AR46</f>
        <v/>
      </c>
      <c r="AV142">
        <f>'Grid_Stock'!AS46</f>
        <v/>
      </c>
      <c r="AW142">
        <f>'Grid_Stock'!AT46</f>
        <v/>
      </c>
      <c r="AX142">
        <f>'Grid_Stock'!AU46</f>
        <v/>
      </c>
      <c r="AY142">
        <f>'Grid_Stock'!AV46</f>
        <v/>
      </c>
      <c r="AZ142">
        <f>'Grid_Stock'!AW46</f>
        <v/>
      </c>
      <c r="BA142">
        <f>'Grid_Stock'!AX46</f>
        <v/>
      </c>
      <c r="BB142">
        <f>'Grid_Stock'!AY46</f>
        <v/>
      </c>
      <c r="BC142">
        <f>'Grid_Stock'!AZ46</f>
        <v/>
      </c>
      <c r="BD142">
        <f>'Grid_Stock'!BA46</f>
        <v/>
      </c>
      <c r="BE142">
        <f>'Grid_Stock'!BB46</f>
        <v/>
      </c>
      <c r="BF142">
        <f>'Grid_Stock'!BC46</f>
        <v/>
      </c>
      <c r="BG142">
        <f>'Grid_Stock'!BD46</f>
        <v/>
      </c>
      <c r="BH142">
        <f>'Grid_Stock'!BE46</f>
        <v/>
      </c>
      <c r="BI142">
        <f>'Grid_Stock'!BF46</f>
        <v/>
      </c>
      <c r="BJ142">
        <f>'Grid_Stock'!BG46</f>
        <v/>
      </c>
      <c r="BK142">
        <f>'Grid_Stock'!BH46</f>
        <v/>
      </c>
      <c r="BL142">
        <f>'Grid_Stock'!BI46</f>
        <v/>
      </c>
      <c r="BM142">
        <f>'Grid_Stock'!BJ46</f>
        <v/>
      </c>
      <c r="BN142">
        <f>'Grid_Stock'!BK46</f>
        <v/>
      </c>
      <c r="BO142">
        <f>'Grid_Stock'!BL46</f>
        <v/>
      </c>
      <c r="BP142">
        <f>'Grid_Stock'!BM46</f>
        <v/>
      </c>
      <c r="BQ142">
        <f>'Grid_Stock'!BN46</f>
        <v/>
      </c>
      <c r="BR142">
        <f>'Grid_Stock'!BO46</f>
        <v/>
      </c>
      <c r="BS142">
        <f>'Grid_Stock'!BP46</f>
        <v/>
      </c>
      <c r="BT142">
        <f>'Grid_Stock'!BQ46</f>
        <v/>
      </c>
      <c r="BU142">
        <f>'Grid_Stock'!BR46</f>
        <v/>
      </c>
      <c r="BV142">
        <f>'Grid_Stock'!BS46</f>
        <v/>
      </c>
      <c r="BW142">
        <f>'Grid_Stock'!BT46</f>
        <v/>
      </c>
      <c r="BX142">
        <f>'Grid_Stock'!BU46</f>
        <v/>
      </c>
      <c r="BY142">
        <f>'Grid_Stock'!BV46</f>
        <v/>
      </c>
      <c r="BZ142">
        <f>'Grid_Stock'!BW46</f>
        <v/>
      </c>
      <c r="CA142">
        <f>'Grid_Stock'!BX46</f>
        <v/>
      </c>
      <c r="CB142">
        <f>'Grid_Stock'!BY46</f>
        <v/>
      </c>
      <c r="CC142">
        <f>'Grid_Stock'!BZ46</f>
        <v/>
      </c>
      <c r="CD142">
        <f>'Grid_Stock'!CA46</f>
        <v/>
      </c>
      <c r="CE142">
        <f>'Grid_Stock'!CB46</f>
        <v/>
      </c>
      <c r="CF142">
        <f>'Grid_Stock'!CC46</f>
        <v/>
      </c>
      <c r="CG142">
        <f>'Grid_Stock'!CD46</f>
        <v/>
      </c>
      <c r="CH142">
        <f>'Grid_Stock'!CE46</f>
        <v/>
      </c>
      <c r="CI142">
        <f>'Grid_Stock'!CF46</f>
        <v/>
      </c>
      <c r="CJ142">
        <f>'Grid_Stock'!CG46</f>
        <v/>
      </c>
      <c r="CK142">
        <f>'Grid_Stock'!CH46</f>
        <v/>
      </c>
      <c r="CL142">
        <f>'Grid_Stock'!CI46</f>
        <v/>
      </c>
      <c r="CM142">
        <f>'Grid_Stock'!CJ46</f>
        <v/>
      </c>
      <c r="CN142">
        <f>'Grid_Stock'!CK46</f>
        <v/>
      </c>
      <c r="CO142">
        <f>'Grid_Stock'!CL46</f>
        <v/>
      </c>
      <c r="CP142">
        <f>'Grid_Stock'!CM46</f>
        <v/>
      </c>
      <c r="CQ142">
        <f>'Grid_Stock'!CN46</f>
        <v/>
      </c>
      <c r="CR142">
        <f>'Grid_Stock'!CO46</f>
        <v/>
      </c>
      <c r="CS142">
        <f>'Grid_Stock'!CP46</f>
        <v/>
      </c>
      <c r="CT142">
        <f>'Grid_Stock'!CQ46</f>
        <v/>
      </c>
      <c r="CU142">
        <f>'Grid_Stock'!CR46</f>
        <v/>
      </c>
      <c r="CV142">
        <f>'Grid_Stock'!CS46</f>
        <v/>
      </c>
      <c r="CW142">
        <f>'Grid_Stock'!CT46</f>
        <v/>
      </c>
      <c r="CX142">
        <f>'Grid_Stock'!CU46</f>
        <v/>
      </c>
      <c r="CY142">
        <f>'Grid_Stock'!CV46</f>
        <v/>
      </c>
      <c r="CZ142">
        <f>'Grid_Stock'!CW46</f>
        <v/>
      </c>
      <c r="DA142">
        <f>'Grid_Stock'!CX46</f>
        <v/>
      </c>
      <c r="DB142">
        <f>'Grid_Stock'!CY46</f>
        <v/>
      </c>
      <c r="DC142">
        <f>'Grid_Stock'!CZ46</f>
        <v/>
      </c>
      <c r="DD142">
        <f>'Grid_Stock'!DA46</f>
        <v/>
      </c>
    </row>
    <row r="143">
      <c r="B143" s="25" t="inlineStr">
        <is>
          <t>（発注の目安はDashboardの基準在庫[下限/上限]と色分けを参照）</t>
        </is>
      </c>
    </row>
    <row r="145">
      <c r="A145" s="21" t="inlineStr">
        <is>
          <t>CHEM-1250</t>
        </is>
      </c>
      <c r="B145" s="21" t="inlineStr">
        <is>
          <t>Barium Sulfate (B-55)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  <c r="DD145" s="21" t="n"/>
    </row>
    <row r="146">
      <c r="B146" t="inlineStr">
        <is>
          <t>TSP-049</t>
        </is>
      </c>
      <c r="C146" t="inlineStr">
        <is>
          <t>No. of batches</t>
        </is>
      </c>
      <c r="D146">
        <f>IFERROR(INDEX(E146:DD146,$F$1),"")</f>
        <v/>
      </c>
      <c r="E146">
        <f>IFERROR(INDEX(PP_Grid[#Data],$DE146,2),0)</f>
        <v/>
      </c>
      <c r="F146">
        <f>IFERROR(INDEX(PP_Grid[#Data],$DE146,3),0)</f>
        <v/>
      </c>
      <c r="G146">
        <f>IFERROR(INDEX(PP_Grid[#Data],$DE146,4),0)</f>
        <v/>
      </c>
      <c r="H146">
        <f>IFERROR(INDEX(PP_Grid[#Data],$DE146,5),0)</f>
        <v/>
      </c>
      <c r="I146">
        <f>IFERROR(INDEX(PP_Grid[#Data],$DE146,6),0)</f>
        <v/>
      </c>
      <c r="J146">
        <f>IFERROR(INDEX(PP_Grid[#Data],$DE146,7),0)</f>
        <v/>
      </c>
      <c r="K146">
        <f>IFERROR(INDEX(PP_Grid[#Data],$DE146,8),0)</f>
        <v/>
      </c>
      <c r="L146">
        <f>IFERROR(INDEX(PP_Grid[#Data],$DE146,9),0)</f>
        <v/>
      </c>
      <c r="M146">
        <f>IFERROR(INDEX(PP_Grid[#Data],$DE146,10),0)</f>
        <v/>
      </c>
      <c r="N146">
        <f>IFERROR(INDEX(PP_Grid[#Data],$DE146,11),0)</f>
        <v/>
      </c>
      <c r="O146">
        <f>IFERROR(INDEX(PP_Grid[#Data],$DE146,12),0)</f>
        <v/>
      </c>
      <c r="P146">
        <f>IFERROR(INDEX(PP_Grid[#Data],$DE146,13),0)</f>
        <v/>
      </c>
      <c r="Q146">
        <f>IFERROR(INDEX(PP_Grid[#Data],$DE146,14),0)</f>
        <v/>
      </c>
      <c r="R146">
        <f>IFERROR(INDEX(PP_Grid[#Data],$DE146,15),0)</f>
        <v/>
      </c>
      <c r="S146">
        <f>IFERROR(INDEX(PP_Grid[#Data],$DE146,16),0)</f>
        <v/>
      </c>
      <c r="T146">
        <f>IFERROR(INDEX(PP_Grid[#Data],$DE146,17),0)</f>
        <v/>
      </c>
      <c r="U146">
        <f>IFERROR(INDEX(PP_Grid[#Data],$DE146,18),0)</f>
        <v/>
      </c>
      <c r="V146">
        <f>IFERROR(INDEX(PP_Grid[#Data],$DE146,19),0)</f>
        <v/>
      </c>
      <c r="W146">
        <f>IFERROR(INDEX(PP_Grid[#Data],$DE146,20),0)</f>
        <v/>
      </c>
      <c r="X146">
        <f>IFERROR(INDEX(PP_Grid[#Data],$DE146,21),0)</f>
        <v/>
      </c>
      <c r="Y146">
        <f>IFERROR(INDEX(PP_Grid[#Data],$DE146,22),0)</f>
        <v/>
      </c>
      <c r="Z146">
        <f>IFERROR(INDEX(PP_Grid[#Data],$DE146,23),0)</f>
        <v/>
      </c>
      <c r="AA146">
        <f>IFERROR(INDEX(PP_Grid[#Data],$DE146,24),0)</f>
        <v/>
      </c>
      <c r="AB146">
        <f>IFERROR(INDEX(PP_Grid[#Data],$DE146,25),0)</f>
        <v/>
      </c>
      <c r="AC146">
        <f>IFERROR(INDEX(PP_Grid[#Data],$DE146,26),0)</f>
        <v/>
      </c>
      <c r="AD146">
        <f>IFERROR(INDEX(PP_Grid[#Data],$DE146,27),0)</f>
        <v/>
      </c>
      <c r="AE146">
        <f>IFERROR(INDEX(PP_Grid[#Data],$DE146,28),0)</f>
        <v/>
      </c>
      <c r="AF146">
        <f>IFERROR(INDEX(PP_Grid[#Data],$DE146,29),0)</f>
        <v/>
      </c>
      <c r="AG146">
        <f>IFERROR(INDEX(PP_Grid[#Data],$DE146,30),0)</f>
        <v/>
      </c>
      <c r="AH146">
        <f>IFERROR(INDEX(PP_Grid[#Data],$DE146,31),0)</f>
        <v/>
      </c>
      <c r="AI146">
        <f>IFERROR(INDEX(PP_Grid[#Data],$DE146,32),0)</f>
        <v/>
      </c>
      <c r="AJ146">
        <f>IFERROR(INDEX(PP_Grid[#Data],$DE146,33),0)</f>
        <v/>
      </c>
      <c r="AK146">
        <f>IFERROR(INDEX(PP_Grid[#Data],$DE146,34),0)</f>
        <v/>
      </c>
      <c r="AL146">
        <f>IFERROR(INDEX(PP_Grid[#Data],$DE146,35),0)</f>
        <v/>
      </c>
      <c r="AM146">
        <f>IFERROR(INDEX(PP_Grid[#Data],$DE146,36),0)</f>
        <v/>
      </c>
      <c r="AN146">
        <f>IFERROR(INDEX(PP_Grid[#Data],$DE146,37),0)</f>
        <v/>
      </c>
      <c r="AO146">
        <f>IFERROR(INDEX(PP_Grid[#Data],$DE146,38),0)</f>
        <v/>
      </c>
      <c r="AP146">
        <f>IFERROR(INDEX(PP_Grid[#Data],$DE146,39),0)</f>
        <v/>
      </c>
      <c r="AQ146">
        <f>IFERROR(INDEX(PP_Grid[#Data],$DE146,40),0)</f>
        <v/>
      </c>
      <c r="AR146">
        <f>IFERROR(INDEX(PP_Grid[#Data],$DE146,41),0)</f>
        <v/>
      </c>
      <c r="AS146">
        <f>IFERROR(INDEX(PP_Grid[#Data],$DE146,42),0)</f>
        <v/>
      </c>
      <c r="AT146">
        <f>IFERROR(INDEX(PP_Grid[#Data],$DE146,43),0)</f>
        <v/>
      </c>
      <c r="AU146">
        <f>IFERROR(INDEX(PP_Grid[#Data],$DE146,44),0)</f>
        <v/>
      </c>
      <c r="AV146">
        <f>IFERROR(INDEX(PP_Grid[#Data],$DE146,45),0)</f>
        <v/>
      </c>
      <c r="AW146">
        <f>IFERROR(INDEX(PP_Grid[#Data],$DE146,46),0)</f>
        <v/>
      </c>
      <c r="AX146">
        <f>IFERROR(INDEX(PP_Grid[#Data],$DE146,47),0)</f>
        <v/>
      </c>
      <c r="AY146">
        <f>IFERROR(INDEX(PP_Grid[#Data],$DE146,48),0)</f>
        <v/>
      </c>
      <c r="AZ146">
        <f>IFERROR(INDEX(PP_Grid[#Data],$DE146,49),0)</f>
        <v/>
      </c>
      <c r="BA146">
        <f>IFERROR(INDEX(PP_Grid[#Data],$DE146,50),0)</f>
        <v/>
      </c>
      <c r="BB146">
        <f>IFERROR(INDEX(PP_Grid[#Data],$DE146,51),0)</f>
        <v/>
      </c>
      <c r="BC146">
        <f>IFERROR(INDEX(PP_Grid[#Data],$DE146,52),0)</f>
        <v/>
      </c>
      <c r="BD146">
        <f>IFERROR(INDEX(PP_Grid[#Data],$DE146,53),0)</f>
        <v/>
      </c>
      <c r="BE146">
        <f>IFERROR(INDEX(PP_Grid[#Data],$DE146,54),0)</f>
        <v/>
      </c>
      <c r="BF146">
        <f>IFERROR(INDEX(PP_Grid[#Data],$DE146,55),0)</f>
        <v/>
      </c>
      <c r="BG146">
        <f>IFERROR(INDEX(PP_Grid[#Data],$DE146,56),0)</f>
        <v/>
      </c>
      <c r="BH146">
        <f>IFERROR(INDEX(PP_Grid[#Data],$DE146,57),0)</f>
        <v/>
      </c>
      <c r="BI146">
        <f>IFERROR(INDEX(PP_Grid[#Data],$DE146,58),0)</f>
        <v/>
      </c>
      <c r="BJ146">
        <f>IFERROR(INDEX(PP_Grid[#Data],$DE146,59),0)</f>
        <v/>
      </c>
      <c r="BK146">
        <f>IFERROR(INDEX(PP_Grid[#Data],$DE146,60),0)</f>
        <v/>
      </c>
      <c r="BL146">
        <f>IFERROR(INDEX(PP_Grid[#Data],$DE146,61),0)</f>
        <v/>
      </c>
      <c r="BM146">
        <f>IFERROR(INDEX(PP_Grid[#Data],$DE146,62),0)</f>
        <v/>
      </c>
      <c r="BN146">
        <f>IFERROR(INDEX(PP_Grid[#Data],$DE146,63),0)</f>
        <v/>
      </c>
      <c r="BO146">
        <f>IFERROR(INDEX(PP_Grid[#Data],$DE146,64),0)</f>
        <v/>
      </c>
      <c r="BP146">
        <f>IFERROR(INDEX(PP_Grid[#Data],$DE146,65),0)</f>
        <v/>
      </c>
      <c r="BQ146">
        <f>IFERROR(INDEX(PP_Grid[#Data],$DE146,66),0)</f>
        <v/>
      </c>
      <c r="BR146">
        <f>IFERROR(INDEX(PP_Grid[#Data],$DE146,67),0)</f>
        <v/>
      </c>
      <c r="BS146">
        <f>IFERROR(INDEX(PP_Grid[#Data],$DE146,68),0)</f>
        <v/>
      </c>
      <c r="BT146">
        <f>IFERROR(INDEX(PP_Grid[#Data],$DE146,69),0)</f>
        <v/>
      </c>
      <c r="BU146">
        <f>IFERROR(INDEX(PP_Grid[#Data],$DE146,70),0)</f>
        <v/>
      </c>
      <c r="BV146">
        <f>IFERROR(INDEX(PP_Grid[#Data],$DE146,71),0)</f>
        <v/>
      </c>
      <c r="BW146">
        <f>IFERROR(INDEX(PP_Grid[#Data],$DE146,72),0)</f>
        <v/>
      </c>
      <c r="BX146">
        <f>IFERROR(INDEX(PP_Grid[#Data],$DE146,73),0)</f>
        <v/>
      </c>
      <c r="BY146">
        <f>IFERROR(INDEX(PP_Grid[#Data],$DE146,74),0)</f>
        <v/>
      </c>
      <c r="BZ146">
        <f>IFERROR(INDEX(PP_Grid[#Data],$DE146,75),0)</f>
        <v/>
      </c>
      <c r="CA146">
        <f>IFERROR(INDEX(PP_Grid[#Data],$DE146,76),0)</f>
        <v/>
      </c>
      <c r="CB146">
        <f>IFERROR(INDEX(PP_Grid[#Data],$DE146,77),0)</f>
        <v/>
      </c>
      <c r="CC146">
        <f>IFERROR(INDEX(PP_Grid[#Data],$DE146,78),0)</f>
        <v/>
      </c>
      <c r="CD146">
        <f>IFERROR(INDEX(PP_Grid[#Data],$DE146,79),0)</f>
        <v/>
      </c>
      <c r="CE146">
        <f>IFERROR(INDEX(PP_Grid[#Data],$DE146,80),0)</f>
        <v/>
      </c>
      <c r="CF146">
        <f>IFERROR(INDEX(PP_Grid[#Data],$DE146,81),0)</f>
        <v/>
      </c>
      <c r="CG146">
        <f>IFERROR(INDEX(PP_Grid[#Data],$DE146,82),0)</f>
        <v/>
      </c>
      <c r="CH146">
        <f>IFERROR(INDEX(PP_Grid[#Data],$DE146,83),0)</f>
        <v/>
      </c>
      <c r="CI146">
        <f>IFERROR(INDEX(PP_Grid[#Data],$DE146,84),0)</f>
        <v/>
      </c>
      <c r="CJ146">
        <f>IFERROR(INDEX(PP_Grid[#Data],$DE146,85),0)</f>
        <v/>
      </c>
      <c r="CK146">
        <f>IFERROR(INDEX(PP_Grid[#Data],$DE146,86),0)</f>
        <v/>
      </c>
      <c r="CL146">
        <f>IFERROR(INDEX(PP_Grid[#Data],$DE146,87),0)</f>
        <v/>
      </c>
      <c r="CM146">
        <f>IFERROR(INDEX(PP_Grid[#Data],$DE146,88),0)</f>
        <v/>
      </c>
      <c r="CN146">
        <f>IFERROR(INDEX(PP_Grid[#Data],$DE146,89),0)</f>
        <v/>
      </c>
      <c r="CO146">
        <f>IFERROR(INDEX(PP_Grid[#Data],$DE146,90),0)</f>
        <v/>
      </c>
      <c r="CP146">
        <f>IFERROR(INDEX(PP_Grid[#Data],$DE146,91),0)</f>
        <v/>
      </c>
      <c r="CQ146">
        <f>IFERROR(INDEX(PP_Grid[#Data],$DE146,92),0)</f>
        <v/>
      </c>
      <c r="CR146">
        <f>IFERROR(INDEX(PP_Grid[#Data],$DE146,93),0)</f>
        <v/>
      </c>
      <c r="CS146">
        <f>IFERROR(INDEX(PP_Grid[#Data],$DE146,94),0)</f>
        <v/>
      </c>
      <c r="CT146">
        <f>IFERROR(INDEX(PP_Grid[#Data],$DE146,95),0)</f>
        <v/>
      </c>
      <c r="CU146">
        <f>IFERROR(INDEX(PP_Grid[#Data],$DE146,96),0)</f>
        <v/>
      </c>
      <c r="CV146">
        <f>IFERROR(INDEX(PP_Grid[#Data],$DE146,97),0)</f>
        <v/>
      </c>
      <c r="CW146">
        <f>IFERROR(INDEX(PP_Grid[#Data],$DE146,98),0)</f>
        <v/>
      </c>
      <c r="CX146">
        <f>IFERROR(INDEX(PP_Grid[#Data],$DE146,99),0)</f>
        <v/>
      </c>
      <c r="CY146">
        <f>IFERROR(INDEX(PP_Grid[#Data],$DE146,100),0)</f>
        <v/>
      </c>
      <c r="CZ146">
        <f>IFERROR(INDEX(PP_Grid[#Data],$DE146,101),0)</f>
        <v/>
      </c>
      <c r="DA146">
        <f>IFERROR(INDEX(PP_Grid[#Data],$DE146,102),0)</f>
        <v/>
      </c>
      <c r="DB146">
        <f>IFERROR(INDEX(PP_Grid[#Data],$DE146,103),0)</f>
        <v/>
      </c>
      <c r="DC146">
        <f>IFERROR(INDEX(PP_Grid[#Data],$DE146,104),0)</f>
        <v/>
      </c>
      <c r="DD146">
        <f>IFERROR(INDEX(PP_Grid[#Data],$DE146,105),0)</f>
        <v/>
      </c>
      <c r="DE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SUMIFS(M_BOM[RM_Qty_Per_Batch],M_BOM[Intermediate],$B146,M_BOM[RM_Code],$A145)</f>
        <v/>
      </c>
      <c r="D147">
        <f>IFERROR(INDEX(E147:DD147,$F$1),"")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  <c r="DD147">
        <f>$C147*DD146</f>
        <v/>
      </c>
    </row>
    <row r="148">
      <c r="B148" t="inlineStr">
        <is>
          <t>TSP-067</t>
        </is>
      </c>
      <c r="C148" t="inlineStr">
        <is>
          <t>No. of batches</t>
        </is>
      </c>
      <c r="D148">
        <f>IFERROR(INDEX(E148:DD148,$F$1),"")</f>
        <v/>
      </c>
      <c r="E148">
        <f>IFERROR(INDEX(PP_Grid[#Data],$DE148,2),0)</f>
        <v/>
      </c>
      <c r="F148">
        <f>IFERROR(INDEX(PP_Grid[#Data],$DE148,3),0)</f>
        <v/>
      </c>
      <c r="G148">
        <f>IFERROR(INDEX(PP_Grid[#Data],$DE148,4),0)</f>
        <v/>
      </c>
      <c r="H148">
        <f>IFERROR(INDEX(PP_Grid[#Data],$DE148,5),0)</f>
        <v/>
      </c>
      <c r="I148">
        <f>IFERROR(INDEX(PP_Grid[#Data],$DE148,6),0)</f>
        <v/>
      </c>
      <c r="J148">
        <f>IFERROR(INDEX(PP_Grid[#Data],$DE148,7),0)</f>
        <v/>
      </c>
      <c r="K148">
        <f>IFERROR(INDEX(PP_Grid[#Data],$DE148,8),0)</f>
        <v/>
      </c>
      <c r="L148">
        <f>IFERROR(INDEX(PP_Grid[#Data],$DE148,9),0)</f>
        <v/>
      </c>
      <c r="M148">
        <f>IFERROR(INDEX(PP_Grid[#Data],$DE148,10),0)</f>
        <v/>
      </c>
      <c r="N148">
        <f>IFERROR(INDEX(PP_Grid[#Data],$DE148,11),0)</f>
        <v/>
      </c>
      <c r="O148">
        <f>IFERROR(INDEX(PP_Grid[#Data],$DE148,12),0)</f>
        <v/>
      </c>
      <c r="P148">
        <f>IFERROR(INDEX(PP_Grid[#Data],$DE148,13),0)</f>
        <v/>
      </c>
      <c r="Q148">
        <f>IFERROR(INDEX(PP_Grid[#Data],$DE148,14),0)</f>
        <v/>
      </c>
      <c r="R148">
        <f>IFERROR(INDEX(PP_Grid[#Data],$DE148,15),0)</f>
        <v/>
      </c>
      <c r="S148">
        <f>IFERROR(INDEX(PP_Grid[#Data],$DE148,16),0)</f>
        <v/>
      </c>
      <c r="T148">
        <f>IFERROR(INDEX(PP_Grid[#Data],$DE148,17),0)</f>
        <v/>
      </c>
      <c r="U148">
        <f>IFERROR(INDEX(PP_Grid[#Data],$DE148,18),0)</f>
        <v/>
      </c>
      <c r="V148">
        <f>IFERROR(INDEX(PP_Grid[#Data],$DE148,19),0)</f>
        <v/>
      </c>
      <c r="W148">
        <f>IFERROR(INDEX(PP_Grid[#Data],$DE148,20),0)</f>
        <v/>
      </c>
      <c r="X148">
        <f>IFERROR(INDEX(PP_Grid[#Data],$DE148,21),0)</f>
        <v/>
      </c>
      <c r="Y148">
        <f>IFERROR(INDEX(PP_Grid[#Data],$DE148,22),0)</f>
        <v/>
      </c>
      <c r="Z148">
        <f>IFERROR(INDEX(PP_Grid[#Data],$DE148,23),0)</f>
        <v/>
      </c>
      <c r="AA148">
        <f>IFERROR(INDEX(PP_Grid[#Data],$DE148,24),0)</f>
        <v/>
      </c>
      <c r="AB148">
        <f>IFERROR(INDEX(PP_Grid[#Data],$DE148,25),0)</f>
        <v/>
      </c>
      <c r="AC148">
        <f>IFERROR(INDEX(PP_Grid[#Data],$DE148,26),0)</f>
        <v/>
      </c>
      <c r="AD148">
        <f>IFERROR(INDEX(PP_Grid[#Data],$DE148,27),0)</f>
        <v/>
      </c>
      <c r="AE148">
        <f>IFERROR(INDEX(PP_Grid[#Data],$DE148,28),0)</f>
        <v/>
      </c>
      <c r="AF148">
        <f>IFERROR(INDEX(PP_Grid[#Data],$DE148,29),0)</f>
        <v/>
      </c>
      <c r="AG148">
        <f>IFERROR(INDEX(PP_Grid[#Data],$DE148,30),0)</f>
        <v/>
      </c>
      <c r="AH148">
        <f>IFERROR(INDEX(PP_Grid[#Data],$DE148,31),0)</f>
        <v/>
      </c>
      <c r="AI148">
        <f>IFERROR(INDEX(PP_Grid[#Data],$DE148,32),0)</f>
        <v/>
      </c>
      <c r="AJ148">
        <f>IFERROR(INDEX(PP_Grid[#Data],$DE148,33),0)</f>
        <v/>
      </c>
      <c r="AK148">
        <f>IFERROR(INDEX(PP_Grid[#Data],$DE148,34),0)</f>
        <v/>
      </c>
      <c r="AL148">
        <f>IFERROR(INDEX(PP_Grid[#Data],$DE148,35),0)</f>
        <v/>
      </c>
      <c r="AM148">
        <f>IFERROR(INDEX(PP_Grid[#Data],$DE148,36),0)</f>
        <v/>
      </c>
      <c r="AN148">
        <f>IFERROR(INDEX(PP_Grid[#Data],$DE148,37),0)</f>
        <v/>
      </c>
      <c r="AO148">
        <f>IFERROR(INDEX(PP_Grid[#Data],$DE148,38),0)</f>
        <v/>
      </c>
      <c r="AP148">
        <f>IFERROR(INDEX(PP_Grid[#Data],$DE148,39),0)</f>
        <v/>
      </c>
      <c r="AQ148">
        <f>IFERROR(INDEX(PP_Grid[#Data],$DE148,40),0)</f>
        <v/>
      </c>
      <c r="AR148">
        <f>IFERROR(INDEX(PP_Grid[#Data],$DE148,41),0)</f>
        <v/>
      </c>
      <c r="AS148">
        <f>IFERROR(INDEX(PP_Grid[#Data],$DE148,42),0)</f>
        <v/>
      </c>
      <c r="AT148">
        <f>IFERROR(INDEX(PP_Grid[#Data],$DE148,43),0)</f>
        <v/>
      </c>
      <c r="AU148">
        <f>IFERROR(INDEX(PP_Grid[#Data],$DE148,44),0)</f>
        <v/>
      </c>
      <c r="AV148">
        <f>IFERROR(INDEX(PP_Grid[#Data],$DE148,45),0)</f>
        <v/>
      </c>
      <c r="AW148">
        <f>IFERROR(INDEX(PP_Grid[#Data],$DE148,46),0)</f>
        <v/>
      </c>
      <c r="AX148">
        <f>IFERROR(INDEX(PP_Grid[#Data],$DE148,47),0)</f>
        <v/>
      </c>
      <c r="AY148">
        <f>IFERROR(INDEX(PP_Grid[#Data],$DE148,48),0)</f>
        <v/>
      </c>
      <c r="AZ148">
        <f>IFERROR(INDEX(PP_Grid[#Data],$DE148,49),0)</f>
        <v/>
      </c>
      <c r="BA148">
        <f>IFERROR(INDEX(PP_Grid[#Data],$DE148,50),0)</f>
        <v/>
      </c>
      <c r="BB148">
        <f>IFERROR(INDEX(PP_Grid[#Data],$DE148,51),0)</f>
        <v/>
      </c>
      <c r="BC148">
        <f>IFERROR(INDEX(PP_Grid[#Data],$DE148,52),0)</f>
        <v/>
      </c>
      <c r="BD148">
        <f>IFERROR(INDEX(PP_Grid[#Data],$DE148,53),0)</f>
        <v/>
      </c>
      <c r="BE148">
        <f>IFERROR(INDEX(PP_Grid[#Data],$DE148,54),0)</f>
        <v/>
      </c>
      <c r="BF148">
        <f>IFERROR(INDEX(PP_Grid[#Data],$DE148,55),0)</f>
        <v/>
      </c>
      <c r="BG148">
        <f>IFERROR(INDEX(PP_Grid[#Data],$DE148,56),0)</f>
        <v/>
      </c>
      <c r="BH148">
        <f>IFERROR(INDEX(PP_Grid[#Data],$DE148,57),0)</f>
        <v/>
      </c>
      <c r="BI148">
        <f>IFERROR(INDEX(PP_Grid[#Data],$DE148,58),0)</f>
        <v/>
      </c>
      <c r="BJ148">
        <f>IFERROR(INDEX(PP_Grid[#Data],$DE148,59),0)</f>
        <v/>
      </c>
      <c r="BK148">
        <f>IFERROR(INDEX(PP_Grid[#Data],$DE148,60),0)</f>
        <v/>
      </c>
      <c r="BL148">
        <f>IFERROR(INDEX(PP_Grid[#Data],$DE148,61),0)</f>
        <v/>
      </c>
      <c r="BM148">
        <f>IFERROR(INDEX(PP_Grid[#Data],$DE148,62),0)</f>
        <v/>
      </c>
      <c r="BN148">
        <f>IFERROR(INDEX(PP_Grid[#Data],$DE148,63),0)</f>
        <v/>
      </c>
      <c r="BO148">
        <f>IFERROR(INDEX(PP_Grid[#Data],$DE148,64),0)</f>
        <v/>
      </c>
      <c r="BP148">
        <f>IFERROR(INDEX(PP_Grid[#Data],$DE148,65),0)</f>
        <v/>
      </c>
      <c r="BQ148">
        <f>IFERROR(INDEX(PP_Grid[#Data],$DE148,66),0)</f>
        <v/>
      </c>
      <c r="BR148">
        <f>IFERROR(INDEX(PP_Grid[#Data],$DE148,67),0)</f>
        <v/>
      </c>
      <c r="BS148">
        <f>IFERROR(INDEX(PP_Grid[#Data],$DE148,68),0)</f>
        <v/>
      </c>
      <c r="BT148">
        <f>IFERROR(INDEX(PP_Grid[#Data],$DE148,69),0)</f>
        <v/>
      </c>
      <c r="BU148">
        <f>IFERROR(INDEX(PP_Grid[#Data],$DE148,70),0)</f>
        <v/>
      </c>
      <c r="BV148">
        <f>IFERROR(INDEX(PP_Grid[#Data],$DE148,71),0)</f>
        <v/>
      </c>
      <c r="BW148">
        <f>IFERROR(INDEX(PP_Grid[#Data],$DE148,72),0)</f>
        <v/>
      </c>
      <c r="BX148">
        <f>IFERROR(INDEX(PP_Grid[#Data],$DE148,73),0)</f>
        <v/>
      </c>
      <c r="BY148">
        <f>IFERROR(INDEX(PP_Grid[#Data],$DE148,74),0)</f>
        <v/>
      </c>
      <c r="BZ148">
        <f>IFERROR(INDEX(PP_Grid[#Data],$DE148,75),0)</f>
        <v/>
      </c>
      <c r="CA148">
        <f>IFERROR(INDEX(PP_Grid[#Data],$DE148,76),0)</f>
        <v/>
      </c>
      <c r="CB148">
        <f>IFERROR(INDEX(PP_Grid[#Data],$DE148,77),0)</f>
        <v/>
      </c>
      <c r="CC148">
        <f>IFERROR(INDEX(PP_Grid[#Data],$DE148,78),0)</f>
        <v/>
      </c>
      <c r="CD148">
        <f>IFERROR(INDEX(PP_Grid[#Data],$DE148,79),0)</f>
        <v/>
      </c>
      <c r="CE148">
        <f>IFERROR(INDEX(PP_Grid[#Data],$DE148,80),0)</f>
        <v/>
      </c>
      <c r="CF148">
        <f>IFERROR(INDEX(PP_Grid[#Data],$DE148,81),0)</f>
        <v/>
      </c>
      <c r="CG148">
        <f>IFERROR(INDEX(PP_Grid[#Data],$DE148,82),0)</f>
        <v/>
      </c>
      <c r="CH148">
        <f>IFERROR(INDEX(PP_Grid[#Data],$DE148,83),0)</f>
        <v/>
      </c>
      <c r="CI148">
        <f>IFERROR(INDEX(PP_Grid[#Data],$DE148,84),0)</f>
        <v/>
      </c>
      <c r="CJ148">
        <f>IFERROR(INDEX(PP_Grid[#Data],$DE148,85),0)</f>
        <v/>
      </c>
      <c r="CK148">
        <f>IFERROR(INDEX(PP_Grid[#Data],$DE148,86),0)</f>
        <v/>
      </c>
      <c r="CL148">
        <f>IFERROR(INDEX(PP_Grid[#Data],$DE148,87),0)</f>
        <v/>
      </c>
      <c r="CM148">
        <f>IFERROR(INDEX(PP_Grid[#Data],$DE148,88),0)</f>
        <v/>
      </c>
      <c r="CN148">
        <f>IFERROR(INDEX(PP_Grid[#Data],$DE148,89),0)</f>
        <v/>
      </c>
      <c r="CO148">
        <f>IFERROR(INDEX(PP_Grid[#Data],$DE148,90),0)</f>
        <v/>
      </c>
      <c r="CP148">
        <f>IFERROR(INDEX(PP_Grid[#Data],$DE148,91),0)</f>
        <v/>
      </c>
      <c r="CQ148">
        <f>IFERROR(INDEX(PP_Grid[#Data],$DE148,92),0)</f>
        <v/>
      </c>
      <c r="CR148">
        <f>IFERROR(INDEX(PP_Grid[#Data],$DE148,93),0)</f>
        <v/>
      </c>
      <c r="CS148">
        <f>IFERROR(INDEX(PP_Grid[#Data],$DE148,94),0)</f>
        <v/>
      </c>
      <c r="CT148">
        <f>IFERROR(INDEX(PP_Grid[#Data],$DE148,95),0)</f>
        <v/>
      </c>
      <c r="CU148">
        <f>IFERROR(INDEX(PP_Grid[#Data],$DE148,96),0)</f>
        <v/>
      </c>
      <c r="CV148">
        <f>IFERROR(INDEX(PP_Grid[#Data],$DE148,97),0)</f>
        <v/>
      </c>
      <c r="CW148">
        <f>IFERROR(INDEX(PP_Grid[#Data],$DE148,98),0)</f>
        <v/>
      </c>
      <c r="CX148">
        <f>IFERROR(INDEX(PP_Grid[#Data],$DE148,99),0)</f>
        <v/>
      </c>
      <c r="CY148">
        <f>IFERROR(INDEX(PP_Grid[#Data],$DE148,100),0)</f>
        <v/>
      </c>
      <c r="CZ148">
        <f>IFERROR(INDEX(PP_Grid[#Data],$DE148,101),0)</f>
        <v/>
      </c>
      <c r="DA148">
        <f>IFERROR(INDEX(PP_Grid[#Data],$DE148,102),0)</f>
        <v/>
      </c>
      <c r="DB148">
        <f>IFERROR(INDEX(PP_Grid[#Data],$DE148,103),0)</f>
        <v/>
      </c>
      <c r="DC148">
        <f>IFERROR(INDEX(PP_Grid[#Data],$DE148,104),0)</f>
        <v/>
      </c>
      <c r="DD148">
        <f>IFERROR(INDEX(PP_Grid[#Data],$DE148,105),0)</f>
        <v/>
      </c>
      <c r="DE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SUMIFS(M_BOM[RM_Qty_Per_Batch],M_BOM[Intermediate],$B148,M_BOM[RM_Code],$A145)</f>
        <v/>
      </c>
      <c r="D149">
        <f>IFERROR(INDEX(E149:DD149,$F$1),"")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  <c r="DD149">
        <f>$C149*DD148</f>
        <v/>
      </c>
    </row>
    <row r="150">
      <c r="B150" t="inlineStr">
        <is>
          <t>TSP-069</t>
        </is>
      </c>
      <c r="C150" t="inlineStr">
        <is>
          <t>No. of batches</t>
        </is>
      </c>
      <c r="D150">
        <f>IFERROR(INDEX(E150:DD150,$F$1),"")</f>
        <v/>
      </c>
      <c r="E150">
        <f>IFERROR(INDEX(PP_Grid[#Data],$DE150,2),0)</f>
        <v/>
      </c>
      <c r="F150">
        <f>IFERROR(INDEX(PP_Grid[#Data],$DE150,3),0)</f>
        <v/>
      </c>
      <c r="G150">
        <f>IFERROR(INDEX(PP_Grid[#Data],$DE150,4),0)</f>
        <v/>
      </c>
      <c r="H150">
        <f>IFERROR(INDEX(PP_Grid[#Data],$DE150,5),0)</f>
        <v/>
      </c>
      <c r="I150">
        <f>IFERROR(INDEX(PP_Grid[#Data],$DE150,6),0)</f>
        <v/>
      </c>
      <c r="J150">
        <f>IFERROR(INDEX(PP_Grid[#Data],$DE150,7),0)</f>
        <v/>
      </c>
      <c r="K150">
        <f>IFERROR(INDEX(PP_Grid[#Data],$DE150,8),0)</f>
        <v/>
      </c>
      <c r="L150">
        <f>IFERROR(INDEX(PP_Grid[#Data],$DE150,9),0)</f>
        <v/>
      </c>
      <c r="M150">
        <f>IFERROR(INDEX(PP_Grid[#Data],$DE150,10),0)</f>
        <v/>
      </c>
      <c r="N150">
        <f>IFERROR(INDEX(PP_Grid[#Data],$DE150,11),0)</f>
        <v/>
      </c>
      <c r="O150">
        <f>IFERROR(INDEX(PP_Grid[#Data],$DE150,12),0)</f>
        <v/>
      </c>
      <c r="P150">
        <f>IFERROR(INDEX(PP_Grid[#Data],$DE150,13),0)</f>
        <v/>
      </c>
      <c r="Q150">
        <f>IFERROR(INDEX(PP_Grid[#Data],$DE150,14),0)</f>
        <v/>
      </c>
      <c r="R150">
        <f>IFERROR(INDEX(PP_Grid[#Data],$DE150,15),0)</f>
        <v/>
      </c>
      <c r="S150">
        <f>IFERROR(INDEX(PP_Grid[#Data],$DE150,16),0)</f>
        <v/>
      </c>
      <c r="T150">
        <f>IFERROR(INDEX(PP_Grid[#Data],$DE150,17),0)</f>
        <v/>
      </c>
      <c r="U150">
        <f>IFERROR(INDEX(PP_Grid[#Data],$DE150,18),0)</f>
        <v/>
      </c>
      <c r="V150">
        <f>IFERROR(INDEX(PP_Grid[#Data],$DE150,19),0)</f>
        <v/>
      </c>
      <c r="W150">
        <f>IFERROR(INDEX(PP_Grid[#Data],$DE150,20),0)</f>
        <v/>
      </c>
      <c r="X150">
        <f>IFERROR(INDEX(PP_Grid[#Data],$DE150,21),0)</f>
        <v/>
      </c>
      <c r="Y150">
        <f>IFERROR(INDEX(PP_Grid[#Data],$DE150,22),0)</f>
        <v/>
      </c>
      <c r="Z150">
        <f>IFERROR(INDEX(PP_Grid[#Data],$DE150,23),0)</f>
        <v/>
      </c>
      <c r="AA150">
        <f>IFERROR(INDEX(PP_Grid[#Data],$DE150,24),0)</f>
        <v/>
      </c>
      <c r="AB150">
        <f>IFERROR(INDEX(PP_Grid[#Data],$DE150,25),0)</f>
        <v/>
      </c>
      <c r="AC150">
        <f>IFERROR(INDEX(PP_Grid[#Data],$DE150,26),0)</f>
        <v/>
      </c>
      <c r="AD150">
        <f>IFERROR(INDEX(PP_Grid[#Data],$DE150,27),0)</f>
        <v/>
      </c>
      <c r="AE150">
        <f>IFERROR(INDEX(PP_Grid[#Data],$DE150,28),0)</f>
        <v/>
      </c>
      <c r="AF150">
        <f>IFERROR(INDEX(PP_Grid[#Data],$DE150,29),0)</f>
        <v/>
      </c>
      <c r="AG150">
        <f>IFERROR(INDEX(PP_Grid[#Data],$DE150,30),0)</f>
        <v/>
      </c>
      <c r="AH150">
        <f>IFERROR(INDEX(PP_Grid[#Data],$DE150,31),0)</f>
        <v/>
      </c>
      <c r="AI150">
        <f>IFERROR(INDEX(PP_Grid[#Data],$DE150,32),0)</f>
        <v/>
      </c>
      <c r="AJ150">
        <f>IFERROR(INDEX(PP_Grid[#Data],$DE150,33),0)</f>
        <v/>
      </c>
      <c r="AK150">
        <f>IFERROR(INDEX(PP_Grid[#Data],$DE150,34),0)</f>
        <v/>
      </c>
      <c r="AL150">
        <f>IFERROR(INDEX(PP_Grid[#Data],$DE150,35),0)</f>
        <v/>
      </c>
      <c r="AM150">
        <f>IFERROR(INDEX(PP_Grid[#Data],$DE150,36),0)</f>
        <v/>
      </c>
      <c r="AN150">
        <f>IFERROR(INDEX(PP_Grid[#Data],$DE150,37),0)</f>
        <v/>
      </c>
      <c r="AO150">
        <f>IFERROR(INDEX(PP_Grid[#Data],$DE150,38),0)</f>
        <v/>
      </c>
      <c r="AP150">
        <f>IFERROR(INDEX(PP_Grid[#Data],$DE150,39),0)</f>
        <v/>
      </c>
      <c r="AQ150">
        <f>IFERROR(INDEX(PP_Grid[#Data],$DE150,40),0)</f>
        <v/>
      </c>
      <c r="AR150">
        <f>IFERROR(INDEX(PP_Grid[#Data],$DE150,41),0)</f>
        <v/>
      </c>
      <c r="AS150">
        <f>IFERROR(INDEX(PP_Grid[#Data],$DE150,42),0)</f>
        <v/>
      </c>
      <c r="AT150">
        <f>IFERROR(INDEX(PP_Grid[#Data],$DE150,43),0)</f>
        <v/>
      </c>
      <c r="AU150">
        <f>IFERROR(INDEX(PP_Grid[#Data],$DE150,44),0)</f>
        <v/>
      </c>
      <c r="AV150">
        <f>IFERROR(INDEX(PP_Grid[#Data],$DE150,45),0)</f>
        <v/>
      </c>
      <c r="AW150">
        <f>IFERROR(INDEX(PP_Grid[#Data],$DE150,46),0)</f>
        <v/>
      </c>
      <c r="AX150">
        <f>IFERROR(INDEX(PP_Grid[#Data],$DE150,47),0)</f>
        <v/>
      </c>
      <c r="AY150">
        <f>IFERROR(INDEX(PP_Grid[#Data],$DE150,48),0)</f>
        <v/>
      </c>
      <c r="AZ150">
        <f>IFERROR(INDEX(PP_Grid[#Data],$DE150,49),0)</f>
        <v/>
      </c>
      <c r="BA150">
        <f>IFERROR(INDEX(PP_Grid[#Data],$DE150,50),0)</f>
        <v/>
      </c>
      <c r="BB150">
        <f>IFERROR(INDEX(PP_Grid[#Data],$DE150,51),0)</f>
        <v/>
      </c>
      <c r="BC150">
        <f>IFERROR(INDEX(PP_Grid[#Data],$DE150,52),0)</f>
        <v/>
      </c>
      <c r="BD150">
        <f>IFERROR(INDEX(PP_Grid[#Data],$DE150,53),0)</f>
        <v/>
      </c>
      <c r="BE150">
        <f>IFERROR(INDEX(PP_Grid[#Data],$DE150,54),0)</f>
        <v/>
      </c>
      <c r="BF150">
        <f>IFERROR(INDEX(PP_Grid[#Data],$DE150,55),0)</f>
        <v/>
      </c>
      <c r="BG150">
        <f>IFERROR(INDEX(PP_Grid[#Data],$DE150,56),0)</f>
        <v/>
      </c>
      <c r="BH150">
        <f>IFERROR(INDEX(PP_Grid[#Data],$DE150,57),0)</f>
        <v/>
      </c>
      <c r="BI150">
        <f>IFERROR(INDEX(PP_Grid[#Data],$DE150,58),0)</f>
        <v/>
      </c>
      <c r="BJ150">
        <f>IFERROR(INDEX(PP_Grid[#Data],$DE150,59),0)</f>
        <v/>
      </c>
      <c r="BK150">
        <f>IFERROR(INDEX(PP_Grid[#Data],$DE150,60),0)</f>
        <v/>
      </c>
      <c r="BL150">
        <f>IFERROR(INDEX(PP_Grid[#Data],$DE150,61),0)</f>
        <v/>
      </c>
      <c r="BM150">
        <f>IFERROR(INDEX(PP_Grid[#Data],$DE150,62),0)</f>
        <v/>
      </c>
      <c r="BN150">
        <f>IFERROR(INDEX(PP_Grid[#Data],$DE150,63),0)</f>
        <v/>
      </c>
      <c r="BO150">
        <f>IFERROR(INDEX(PP_Grid[#Data],$DE150,64),0)</f>
        <v/>
      </c>
      <c r="BP150">
        <f>IFERROR(INDEX(PP_Grid[#Data],$DE150,65),0)</f>
        <v/>
      </c>
      <c r="BQ150">
        <f>IFERROR(INDEX(PP_Grid[#Data],$DE150,66),0)</f>
        <v/>
      </c>
      <c r="BR150">
        <f>IFERROR(INDEX(PP_Grid[#Data],$DE150,67),0)</f>
        <v/>
      </c>
      <c r="BS150">
        <f>IFERROR(INDEX(PP_Grid[#Data],$DE150,68),0)</f>
        <v/>
      </c>
      <c r="BT150">
        <f>IFERROR(INDEX(PP_Grid[#Data],$DE150,69),0)</f>
        <v/>
      </c>
      <c r="BU150">
        <f>IFERROR(INDEX(PP_Grid[#Data],$DE150,70),0)</f>
        <v/>
      </c>
      <c r="BV150">
        <f>IFERROR(INDEX(PP_Grid[#Data],$DE150,71),0)</f>
        <v/>
      </c>
      <c r="BW150">
        <f>IFERROR(INDEX(PP_Grid[#Data],$DE150,72),0)</f>
        <v/>
      </c>
      <c r="BX150">
        <f>IFERROR(INDEX(PP_Grid[#Data],$DE150,73),0)</f>
        <v/>
      </c>
      <c r="BY150">
        <f>IFERROR(INDEX(PP_Grid[#Data],$DE150,74),0)</f>
        <v/>
      </c>
      <c r="BZ150">
        <f>IFERROR(INDEX(PP_Grid[#Data],$DE150,75),0)</f>
        <v/>
      </c>
      <c r="CA150">
        <f>IFERROR(INDEX(PP_Grid[#Data],$DE150,76),0)</f>
        <v/>
      </c>
      <c r="CB150">
        <f>IFERROR(INDEX(PP_Grid[#Data],$DE150,77),0)</f>
        <v/>
      </c>
      <c r="CC150">
        <f>IFERROR(INDEX(PP_Grid[#Data],$DE150,78),0)</f>
        <v/>
      </c>
      <c r="CD150">
        <f>IFERROR(INDEX(PP_Grid[#Data],$DE150,79),0)</f>
        <v/>
      </c>
      <c r="CE150">
        <f>IFERROR(INDEX(PP_Grid[#Data],$DE150,80),0)</f>
        <v/>
      </c>
      <c r="CF150">
        <f>IFERROR(INDEX(PP_Grid[#Data],$DE150,81),0)</f>
        <v/>
      </c>
      <c r="CG150">
        <f>IFERROR(INDEX(PP_Grid[#Data],$DE150,82),0)</f>
        <v/>
      </c>
      <c r="CH150">
        <f>IFERROR(INDEX(PP_Grid[#Data],$DE150,83),0)</f>
        <v/>
      </c>
      <c r="CI150">
        <f>IFERROR(INDEX(PP_Grid[#Data],$DE150,84),0)</f>
        <v/>
      </c>
      <c r="CJ150">
        <f>IFERROR(INDEX(PP_Grid[#Data],$DE150,85),0)</f>
        <v/>
      </c>
      <c r="CK150">
        <f>IFERROR(INDEX(PP_Grid[#Data],$DE150,86),0)</f>
        <v/>
      </c>
      <c r="CL150">
        <f>IFERROR(INDEX(PP_Grid[#Data],$DE150,87),0)</f>
        <v/>
      </c>
      <c r="CM150">
        <f>IFERROR(INDEX(PP_Grid[#Data],$DE150,88),0)</f>
        <v/>
      </c>
      <c r="CN150">
        <f>IFERROR(INDEX(PP_Grid[#Data],$DE150,89),0)</f>
        <v/>
      </c>
      <c r="CO150">
        <f>IFERROR(INDEX(PP_Grid[#Data],$DE150,90),0)</f>
        <v/>
      </c>
      <c r="CP150">
        <f>IFERROR(INDEX(PP_Grid[#Data],$DE150,91),0)</f>
        <v/>
      </c>
      <c r="CQ150">
        <f>IFERROR(INDEX(PP_Grid[#Data],$DE150,92),0)</f>
        <v/>
      </c>
      <c r="CR150">
        <f>IFERROR(INDEX(PP_Grid[#Data],$DE150,93),0)</f>
        <v/>
      </c>
      <c r="CS150">
        <f>IFERROR(INDEX(PP_Grid[#Data],$DE150,94),0)</f>
        <v/>
      </c>
      <c r="CT150">
        <f>IFERROR(INDEX(PP_Grid[#Data],$DE150,95),0)</f>
        <v/>
      </c>
      <c r="CU150">
        <f>IFERROR(INDEX(PP_Grid[#Data],$DE150,96),0)</f>
        <v/>
      </c>
      <c r="CV150">
        <f>IFERROR(INDEX(PP_Grid[#Data],$DE150,97),0)</f>
        <v/>
      </c>
      <c r="CW150">
        <f>IFERROR(INDEX(PP_Grid[#Data],$DE150,98),0)</f>
        <v/>
      </c>
      <c r="CX150">
        <f>IFERROR(INDEX(PP_Grid[#Data],$DE150,99),0)</f>
        <v/>
      </c>
      <c r="CY150">
        <f>IFERROR(INDEX(PP_Grid[#Data],$DE150,100),0)</f>
        <v/>
      </c>
      <c r="CZ150">
        <f>IFERROR(INDEX(PP_Grid[#Data],$DE150,101),0)</f>
        <v/>
      </c>
      <c r="DA150">
        <f>IFERROR(INDEX(PP_Grid[#Data],$DE150,102),0)</f>
        <v/>
      </c>
      <c r="DB150">
        <f>IFERROR(INDEX(PP_Grid[#Data],$DE150,103),0)</f>
        <v/>
      </c>
      <c r="DC150">
        <f>IFERROR(INDEX(PP_Grid[#Data],$DE150,104),0)</f>
        <v/>
      </c>
      <c r="DD150">
        <f>IFERROR(INDEX(PP_Grid[#Data],$DE150,105),0)</f>
        <v/>
      </c>
      <c r="DE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SUMIFS(M_BOM[RM_Qty_Per_Batch],M_BOM[Intermediate],$B150,M_BOM[RM_Code],$A145)</f>
        <v/>
      </c>
      <c r="D151">
        <f>IFERROR(INDEX(E151:DD151,$F$1),"")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  <c r="DD151">
        <f>$C151*DD150</f>
        <v/>
      </c>
    </row>
    <row r="152">
      <c r="B152" t="inlineStr">
        <is>
          <t>TSP-077</t>
        </is>
      </c>
      <c r="C152" t="inlineStr">
        <is>
          <t>No. of batches</t>
        </is>
      </c>
      <c r="D152">
        <f>IFERROR(INDEX(E152:DD152,$F$1),"")</f>
        <v/>
      </c>
      <c r="E152">
        <f>IFERROR(INDEX(PP_Grid[#Data],$DE152,2),0)</f>
        <v/>
      </c>
      <c r="F152">
        <f>IFERROR(INDEX(PP_Grid[#Data],$DE152,3),0)</f>
        <v/>
      </c>
      <c r="G152">
        <f>IFERROR(INDEX(PP_Grid[#Data],$DE152,4),0)</f>
        <v/>
      </c>
      <c r="H152">
        <f>IFERROR(INDEX(PP_Grid[#Data],$DE152,5),0)</f>
        <v/>
      </c>
      <c r="I152">
        <f>IFERROR(INDEX(PP_Grid[#Data],$DE152,6),0)</f>
        <v/>
      </c>
      <c r="J152">
        <f>IFERROR(INDEX(PP_Grid[#Data],$DE152,7),0)</f>
        <v/>
      </c>
      <c r="K152">
        <f>IFERROR(INDEX(PP_Grid[#Data],$DE152,8),0)</f>
        <v/>
      </c>
      <c r="L152">
        <f>IFERROR(INDEX(PP_Grid[#Data],$DE152,9),0)</f>
        <v/>
      </c>
      <c r="M152">
        <f>IFERROR(INDEX(PP_Grid[#Data],$DE152,10),0)</f>
        <v/>
      </c>
      <c r="N152">
        <f>IFERROR(INDEX(PP_Grid[#Data],$DE152,11),0)</f>
        <v/>
      </c>
      <c r="O152">
        <f>IFERROR(INDEX(PP_Grid[#Data],$DE152,12),0)</f>
        <v/>
      </c>
      <c r="P152">
        <f>IFERROR(INDEX(PP_Grid[#Data],$DE152,13),0)</f>
        <v/>
      </c>
      <c r="Q152">
        <f>IFERROR(INDEX(PP_Grid[#Data],$DE152,14),0)</f>
        <v/>
      </c>
      <c r="R152">
        <f>IFERROR(INDEX(PP_Grid[#Data],$DE152,15),0)</f>
        <v/>
      </c>
      <c r="S152">
        <f>IFERROR(INDEX(PP_Grid[#Data],$DE152,16),0)</f>
        <v/>
      </c>
      <c r="T152">
        <f>IFERROR(INDEX(PP_Grid[#Data],$DE152,17),0)</f>
        <v/>
      </c>
      <c r="U152">
        <f>IFERROR(INDEX(PP_Grid[#Data],$DE152,18),0)</f>
        <v/>
      </c>
      <c r="V152">
        <f>IFERROR(INDEX(PP_Grid[#Data],$DE152,19),0)</f>
        <v/>
      </c>
      <c r="W152">
        <f>IFERROR(INDEX(PP_Grid[#Data],$DE152,20),0)</f>
        <v/>
      </c>
      <c r="X152">
        <f>IFERROR(INDEX(PP_Grid[#Data],$DE152,21),0)</f>
        <v/>
      </c>
      <c r="Y152">
        <f>IFERROR(INDEX(PP_Grid[#Data],$DE152,22),0)</f>
        <v/>
      </c>
      <c r="Z152">
        <f>IFERROR(INDEX(PP_Grid[#Data],$DE152,23),0)</f>
        <v/>
      </c>
      <c r="AA152">
        <f>IFERROR(INDEX(PP_Grid[#Data],$DE152,24),0)</f>
        <v/>
      </c>
      <c r="AB152">
        <f>IFERROR(INDEX(PP_Grid[#Data],$DE152,25),0)</f>
        <v/>
      </c>
      <c r="AC152">
        <f>IFERROR(INDEX(PP_Grid[#Data],$DE152,26),0)</f>
        <v/>
      </c>
      <c r="AD152">
        <f>IFERROR(INDEX(PP_Grid[#Data],$DE152,27),0)</f>
        <v/>
      </c>
      <c r="AE152">
        <f>IFERROR(INDEX(PP_Grid[#Data],$DE152,28),0)</f>
        <v/>
      </c>
      <c r="AF152">
        <f>IFERROR(INDEX(PP_Grid[#Data],$DE152,29),0)</f>
        <v/>
      </c>
      <c r="AG152">
        <f>IFERROR(INDEX(PP_Grid[#Data],$DE152,30),0)</f>
        <v/>
      </c>
      <c r="AH152">
        <f>IFERROR(INDEX(PP_Grid[#Data],$DE152,31),0)</f>
        <v/>
      </c>
      <c r="AI152">
        <f>IFERROR(INDEX(PP_Grid[#Data],$DE152,32),0)</f>
        <v/>
      </c>
      <c r="AJ152">
        <f>IFERROR(INDEX(PP_Grid[#Data],$DE152,33),0)</f>
        <v/>
      </c>
      <c r="AK152">
        <f>IFERROR(INDEX(PP_Grid[#Data],$DE152,34),0)</f>
        <v/>
      </c>
      <c r="AL152">
        <f>IFERROR(INDEX(PP_Grid[#Data],$DE152,35),0)</f>
        <v/>
      </c>
      <c r="AM152">
        <f>IFERROR(INDEX(PP_Grid[#Data],$DE152,36),0)</f>
        <v/>
      </c>
      <c r="AN152">
        <f>IFERROR(INDEX(PP_Grid[#Data],$DE152,37),0)</f>
        <v/>
      </c>
      <c r="AO152">
        <f>IFERROR(INDEX(PP_Grid[#Data],$DE152,38),0)</f>
        <v/>
      </c>
      <c r="AP152">
        <f>IFERROR(INDEX(PP_Grid[#Data],$DE152,39),0)</f>
        <v/>
      </c>
      <c r="AQ152">
        <f>IFERROR(INDEX(PP_Grid[#Data],$DE152,40),0)</f>
        <v/>
      </c>
      <c r="AR152">
        <f>IFERROR(INDEX(PP_Grid[#Data],$DE152,41),0)</f>
        <v/>
      </c>
      <c r="AS152">
        <f>IFERROR(INDEX(PP_Grid[#Data],$DE152,42),0)</f>
        <v/>
      </c>
      <c r="AT152">
        <f>IFERROR(INDEX(PP_Grid[#Data],$DE152,43),0)</f>
        <v/>
      </c>
      <c r="AU152">
        <f>IFERROR(INDEX(PP_Grid[#Data],$DE152,44),0)</f>
        <v/>
      </c>
      <c r="AV152">
        <f>IFERROR(INDEX(PP_Grid[#Data],$DE152,45),0)</f>
        <v/>
      </c>
      <c r="AW152">
        <f>IFERROR(INDEX(PP_Grid[#Data],$DE152,46),0)</f>
        <v/>
      </c>
      <c r="AX152">
        <f>IFERROR(INDEX(PP_Grid[#Data],$DE152,47),0)</f>
        <v/>
      </c>
      <c r="AY152">
        <f>IFERROR(INDEX(PP_Grid[#Data],$DE152,48),0)</f>
        <v/>
      </c>
      <c r="AZ152">
        <f>IFERROR(INDEX(PP_Grid[#Data],$DE152,49),0)</f>
        <v/>
      </c>
      <c r="BA152">
        <f>IFERROR(INDEX(PP_Grid[#Data],$DE152,50),0)</f>
        <v/>
      </c>
      <c r="BB152">
        <f>IFERROR(INDEX(PP_Grid[#Data],$DE152,51),0)</f>
        <v/>
      </c>
      <c r="BC152">
        <f>IFERROR(INDEX(PP_Grid[#Data],$DE152,52),0)</f>
        <v/>
      </c>
      <c r="BD152">
        <f>IFERROR(INDEX(PP_Grid[#Data],$DE152,53),0)</f>
        <v/>
      </c>
      <c r="BE152">
        <f>IFERROR(INDEX(PP_Grid[#Data],$DE152,54),0)</f>
        <v/>
      </c>
      <c r="BF152">
        <f>IFERROR(INDEX(PP_Grid[#Data],$DE152,55),0)</f>
        <v/>
      </c>
      <c r="BG152">
        <f>IFERROR(INDEX(PP_Grid[#Data],$DE152,56),0)</f>
        <v/>
      </c>
      <c r="BH152">
        <f>IFERROR(INDEX(PP_Grid[#Data],$DE152,57),0)</f>
        <v/>
      </c>
      <c r="BI152">
        <f>IFERROR(INDEX(PP_Grid[#Data],$DE152,58),0)</f>
        <v/>
      </c>
      <c r="BJ152">
        <f>IFERROR(INDEX(PP_Grid[#Data],$DE152,59),0)</f>
        <v/>
      </c>
      <c r="BK152">
        <f>IFERROR(INDEX(PP_Grid[#Data],$DE152,60),0)</f>
        <v/>
      </c>
      <c r="BL152">
        <f>IFERROR(INDEX(PP_Grid[#Data],$DE152,61),0)</f>
        <v/>
      </c>
      <c r="BM152">
        <f>IFERROR(INDEX(PP_Grid[#Data],$DE152,62),0)</f>
        <v/>
      </c>
      <c r="BN152">
        <f>IFERROR(INDEX(PP_Grid[#Data],$DE152,63),0)</f>
        <v/>
      </c>
      <c r="BO152">
        <f>IFERROR(INDEX(PP_Grid[#Data],$DE152,64),0)</f>
        <v/>
      </c>
      <c r="BP152">
        <f>IFERROR(INDEX(PP_Grid[#Data],$DE152,65),0)</f>
        <v/>
      </c>
      <c r="BQ152">
        <f>IFERROR(INDEX(PP_Grid[#Data],$DE152,66),0)</f>
        <v/>
      </c>
      <c r="BR152">
        <f>IFERROR(INDEX(PP_Grid[#Data],$DE152,67),0)</f>
        <v/>
      </c>
      <c r="BS152">
        <f>IFERROR(INDEX(PP_Grid[#Data],$DE152,68),0)</f>
        <v/>
      </c>
      <c r="BT152">
        <f>IFERROR(INDEX(PP_Grid[#Data],$DE152,69),0)</f>
        <v/>
      </c>
      <c r="BU152">
        <f>IFERROR(INDEX(PP_Grid[#Data],$DE152,70),0)</f>
        <v/>
      </c>
      <c r="BV152">
        <f>IFERROR(INDEX(PP_Grid[#Data],$DE152,71),0)</f>
        <v/>
      </c>
      <c r="BW152">
        <f>IFERROR(INDEX(PP_Grid[#Data],$DE152,72),0)</f>
        <v/>
      </c>
      <c r="BX152">
        <f>IFERROR(INDEX(PP_Grid[#Data],$DE152,73),0)</f>
        <v/>
      </c>
      <c r="BY152">
        <f>IFERROR(INDEX(PP_Grid[#Data],$DE152,74),0)</f>
        <v/>
      </c>
      <c r="BZ152">
        <f>IFERROR(INDEX(PP_Grid[#Data],$DE152,75),0)</f>
        <v/>
      </c>
      <c r="CA152">
        <f>IFERROR(INDEX(PP_Grid[#Data],$DE152,76),0)</f>
        <v/>
      </c>
      <c r="CB152">
        <f>IFERROR(INDEX(PP_Grid[#Data],$DE152,77),0)</f>
        <v/>
      </c>
      <c r="CC152">
        <f>IFERROR(INDEX(PP_Grid[#Data],$DE152,78),0)</f>
        <v/>
      </c>
      <c r="CD152">
        <f>IFERROR(INDEX(PP_Grid[#Data],$DE152,79),0)</f>
        <v/>
      </c>
      <c r="CE152">
        <f>IFERROR(INDEX(PP_Grid[#Data],$DE152,80),0)</f>
        <v/>
      </c>
      <c r="CF152">
        <f>IFERROR(INDEX(PP_Grid[#Data],$DE152,81),0)</f>
        <v/>
      </c>
      <c r="CG152">
        <f>IFERROR(INDEX(PP_Grid[#Data],$DE152,82),0)</f>
        <v/>
      </c>
      <c r="CH152">
        <f>IFERROR(INDEX(PP_Grid[#Data],$DE152,83),0)</f>
        <v/>
      </c>
      <c r="CI152">
        <f>IFERROR(INDEX(PP_Grid[#Data],$DE152,84),0)</f>
        <v/>
      </c>
      <c r="CJ152">
        <f>IFERROR(INDEX(PP_Grid[#Data],$DE152,85),0)</f>
        <v/>
      </c>
      <c r="CK152">
        <f>IFERROR(INDEX(PP_Grid[#Data],$DE152,86),0)</f>
        <v/>
      </c>
      <c r="CL152">
        <f>IFERROR(INDEX(PP_Grid[#Data],$DE152,87),0)</f>
        <v/>
      </c>
      <c r="CM152">
        <f>IFERROR(INDEX(PP_Grid[#Data],$DE152,88),0)</f>
        <v/>
      </c>
      <c r="CN152">
        <f>IFERROR(INDEX(PP_Grid[#Data],$DE152,89),0)</f>
        <v/>
      </c>
      <c r="CO152">
        <f>IFERROR(INDEX(PP_Grid[#Data],$DE152,90),0)</f>
        <v/>
      </c>
      <c r="CP152">
        <f>IFERROR(INDEX(PP_Grid[#Data],$DE152,91),0)</f>
        <v/>
      </c>
      <c r="CQ152">
        <f>IFERROR(INDEX(PP_Grid[#Data],$DE152,92),0)</f>
        <v/>
      </c>
      <c r="CR152">
        <f>IFERROR(INDEX(PP_Grid[#Data],$DE152,93),0)</f>
        <v/>
      </c>
      <c r="CS152">
        <f>IFERROR(INDEX(PP_Grid[#Data],$DE152,94),0)</f>
        <v/>
      </c>
      <c r="CT152">
        <f>IFERROR(INDEX(PP_Grid[#Data],$DE152,95),0)</f>
        <v/>
      </c>
      <c r="CU152">
        <f>IFERROR(INDEX(PP_Grid[#Data],$DE152,96),0)</f>
        <v/>
      </c>
      <c r="CV152">
        <f>IFERROR(INDEX(PP_Grid[#Data],$DE152,97),0)</f>
        <v/>
      </c>
      <c r="CW152">
        <f>IFERROR(INDEX(PP_Grid[#Data],$DE152,98),0)</f>
        <v/>
      </c>
      <c r="CX152">
        <f>IFERROR(INDEX(PP_Grid[#Data],$DE152,99),0)</f>
        <v/>
      </c>
      <c r="CY152">
        <f>IFERROR(INDEX(PP_Grid[#Data],$DE152,100),0)</f>
        <v/>
      </c>
      <c r="CZ152">
        <f>IFERROR(INDEX(PP_Grid[#Data],$DE152,101),0)</f>
        <v/>
      </c>
      <c r="DA152">
        <f>IFERROR(INDEX(PP_Grid[#Data],$DE152,102),0)</f>
        <v/>
      </c>
      <c r="DB152">
        <f>IFERROR(INDEX(PP_Grid[#Data],$DE152,103),0)</f>
        <v/>
      </c>
      <c r="DC152">
        <f>IFERROR(INDEX(PP_Grid[#Data],$DE152,104),0)</f>
        <v/>
      </c>
      <c r="DD152">
        <f>IFERROR(INDEX(PP_Grid[#Data],$DE152,105),0)</f>
        <v/>
      </c>
      <c r="DE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SUMIFS(M_BOM[RM_Qty_Per_Batch],M_BOM[Intermediate],$B152,M_BOM[RM_Code],$A145)</f>
        <v/>
      </c>
      <c r="D153">
        <f>IFERROR(INDEX(E153:DD153,$F$1),"")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  <c r="DD153">
        <f>$C153*DD152</f>
        <v/>
      </c>
    </row>
    <row r="154">
      <c r="B154" t="inlineStr">
        <is>
          <t>TSP-104</t>
        </is>
      </c>
      <c r="C154" t="inlineStr">
        <is>
          <t>No. of batches</t>
        </is>
      </c>
      <c r="D154">
        <f>IFERROR(INDEX(E154:DD154,$F$1),"")</f>
        <v/>
      </c>
      <c r="E154">
        <f>IFERROR(INDEX(PP_Grid[#Data],$DE154,2),0)</f>
        <v/>
      </c>
      <c r="F154">
        <f>IFERROR(INDEX(PP_Grid[#Data],$DE154,3),0)</f>
        <v/>
      </c>
      <c r="G154">
        <f>IFERROR(INDEX(PP_Grid[#Data],$DE154,4),0)</f>
        <v/>
      </c>
      <c r="H154">
        <f>IFERROR(INDEX(PP_Grid[#Data],$DE154,5),0)</f>
        <v/>
      </c>
      <c r="I154">
        <f>IFERROR(INDEX(PP_Grid[#Data],$DE154,6),0)</f>
        <v/>
      </c>
      <c r="J154">
        <f>IFERROR(INDEX(PP_Grid[#Data],$DE154,7),0)</f>
        <v/>
      </c>
      <c r="K154">
        <f>IFERROR(INDEX(PP_Grid[#Data],$DE154,8),0)</f>
        <v/>
      </c>
      <c r="L154">
        <f>IFERROR(INDEX(PP_Grid[#Data],$DE154,9),0)</f>
        <v/>
      </c>
      <c r="M154">
        <f>IFERROR(INDEX(PP_Grid[#Data],$DE154,10),0)</f>
        <v/>
      </c>
      <c r="N154">
        <f>IFERROR(INDEX(PP_Grid[#Data],$DE154,11),0)</f>
        <v/>
      </c>
      <c r="O154">
        <f>IFERROR(INDEX(PP_Grid[#Data],$DE154,12),0)</f>
        <v/>
      </c>
      <c r="P154">
        <f>IFERROR(INDEX(PP_Grid[#Data],$DE154,13),0)</f>
        <v/>
      </c>
      <c r="Q154">
        <f>IFERROR(INDEX(PP_Grid[#Data],$DE154,14),0)</f>
        <v/>
      </c>
      <c r="R154">
        <f>IFERROR(INDEX(PP_Grid[#Data],$DE154,15),0)</f>
        <v/>
      </c>
      <c r="S154">
        <f>IFERROR(INDEX(PP_Grid[#Data],$DE154,16),0)</f>
        <v/>
      </c>
      <c r="T154">
        <f>IFERROR(INDEX(PP_Grid[#Data],$DE154,17),0)</f>
        <v/>
      </c>
      <c r="U154">
        <f>IFERROR(INDEX(PP_Grid[#Data],$DE154,18),0)</f>
        <v/>
      </c>
      <c r="V154">
        <f>IFERROR(INDEX(PP_Grid[#Data],$DE154,19),0)</f>
        <v/>
      </c>
      <c r="W154">
        <f>IFERROR(INDEX(PP_Grid[#Data],$DE154,20),0)</f>
        <v/>
      </c>
      <c r="X154">
        <f>IFERROR(INDEX(PP_Grid[#Data],$DE154,21),0)</f>
        <v/>
      </c>
      <c r="Y154">
        <f>IFERROR(INDEX(PP_Grid[#Data],$DE154,22),0)</f>
        <v/>
      </c>
      <c r="Z154">
        <f>IFERROR(INDEX(PP_Grid[#Data],$DE154,23),0)</f>
        <v/>
      </c>
      <c r="AA154">
        <f>IFERROR(INDEX(PP_Grid[#Data],$DE154,24),0)</f>
        <v/>
      </c>
      <c r="AB154">
        <f>IFERROR(INDEX(PP_Grid[#Data],$DE154,25),0)</f>
        <v/>
      </c>
      <c r="AC154">
        <f>IFERROR(INDEX(PP_Grid[#Data],$DE154,26),0)</f>
        <v/>
      </c>
      <c r="AD154">
        <f>IFERROR(INDEX(PP_Grid[#Data],$DE154,27),0)</f>
        <v/>
      </c>
      <c r="AE154">
        <f>IFERROR(INDEX(PP_Grid[#Data],$DE154,28),0)</f>
        <v/>
      </c>
      <c r="AF154">
        <f>IFERROR(INDEX(PP_Grid[#Data],$DE154,29),0)</f>
        <v/>
      </c>
      <c r="AG154">
        <f>IFERROR(INDEX(PP_Grid[#Data],$DE154,30),0)</f>
        <v/>
      </c>
      <c r="AH154">
        <f>IFERROR(INDEX(PP_Grid[#Data],$DE154,31),0)</f>
        <v/>
      </c>
      <c r="AI154">
        <f>IFERROR(INDEX(PP_Grid[#Data],$DE154,32),0)</f>
        <v/>
      </c>
      <c r="AJ154">
        <f>IFERROR(INDEX(PP_Grid[#Data],$DE154,33),0)</f>
        <v/>
      </c>
      <c r="AK154">
        <f>IFERROR(INDEX(PP_Grid[#Data],$DE154,34),0)</f>
        <v/>
      </c>
      <c r="AL154">
        <f>IFERROR(INDEX(PP_Grid[#Data],$DE154,35),0)</f>
        <v/>
      </c>
      <c r="AM154">
        <f>IFERROR(INDEX(PP_Grid[#Data],$DE154,36),0)</f>
        <v/>
      </c>
      <c r="AN154">
        <f>IFERROR(INDEX(PP_Grid[#Data],$DE154,37),0)</f>
        <v/>
      </c>
      <c r="AO154">
        <f>IFERROR(INDEX(PP_Grid[#Data],$DE154,38),0)</f>
        <v/>
      </c>
      <c r="AP154">
        <f>IFERROR(INDEX(PP_Grid[#Data],$DE154,39),0)</f>
        <v/>
      </c>
      <c r="AQ154">
        <f>IFERROR(INDEX(PP_Grid[#Data],$DE154,40),0)</f>
        <v/>
      </c>
      <c r="AR154">
        <f>IFERROR(INDEX(PP_Grid[#Data],$DE154,41),0)</f>
        <v/>
      </c>
      <c r="AS154">
        <f>IFERROR(INDEX(PP_Grid[#Data],$DE154,42),0)</f>
        <v/>
      </c>
      <c r="AT154">
        <f>IFERROR(INDEX(PP_Grid[#Data],$DE154,43),0)</f>
        <v/>
      </c>
      <c r="AU154">
        <f>IFERROR(INDEX(PP_Grid[#Data],$DE154,44),0)</f>
        <v/>
      </c>
      <c r="AV154">
        <f>IFERROR(INDEX(PP_Grid[#Data],$DE154,45),0)</f>
        <v/>
      </c>
      <c r="AW154">
        <f>IFERROR(INDEX(PP_Grid[#Data],$DE154,46),0)</f>
        <v/>
      </c>
      <c r="AX154">
        <f>IFERROR(INDEX(PP_Grid[#Data],$DE154,47),0)</f>
        <v/>
      </c>
      <c r="AY154">
        <f>IFERROR(INDEX(PP_Grid[#Data],$DE154,48),0)</f>
        <v/>
      </c>
      <c r="AZ154">
        <f>IFERROR(INDEX(PP_Grid[#Data],$DE154,49),0)</f>
        <v/>
      </c>
      <c r="BA154">
        <f>IFERROR(INDEX(PP_Grid[#Data],$DE154,50),0)</f>
        <v/>
      </c>
      <c r="BB154">
        <f>IFERROR(INDEX(PP_Grid[#Data],$DE154,51),0)</f>
        <v/>
      </c>
      <c r="BC154">
        <f>IFERROR(INDEX(PP_Grid[#Data],$DE154,52),0)</f>
        <v/>
      </c>
      <c r="BD154">
        <f>IFERROR(INDEX(PP_Grid[#Data],$DE154,53),0)</f>
        <v/>
      </c>
      <c r="BE154">
        <f>IFERROR(INDEX(PP_Grid[#Data],$DE154,54),0)</f>
        <v/>
      </c>
      <c r="BF154">
        <f>IFERROR(INDEX(PP_Grid[#Data],$DE154,55),0)</f>
        <v/>
      </c>
      <c r="BG154">
        <f>IFERROR(INDEX(PP_Grid[#Data],$DE154,56),0)</f>
        <v/>
      </c>
      <c r="BH154">
        <f>IFERROR(INDEX(PP_Grid[#Data],$DE154,57),0)</f>
        <v/>
      </c>
      <c r="BI154">
        <f>IFERROR(INDEX(PP_Grid[#Data],$DE154,58),0)</f>
        <v/>
      </c>
      <c r="BJ154">
        <f>IFERROR(INDEX(PP_Grid[#Data],$DE154,59),0)</f>
        <v/>
      </c>
      <c r="BK154">
        <f>IFERROR(INDEX(PP_Grid[#Data],$DE154,60),0)</f>
        <v/>
      </c>
      <c r="BL154">
        <f>IFERROR(INDEX(PP_Grid[#Data],$DE154,61),0)</f>
        <v/>
      </c>
      <c r="BM154">
        <f>IFERROR(INDEX(PP_Grid[#Data],$DE154,62),0)</f>
        <v/>
      </c>
      <c r="BN154">
        <f>IFERROR(INDEX(PP_Grid[#Data],$DE154,63),0)</f>
        <v/>
      </c>
      <c r="BO154">
        <f>IFERROR(INDEX(PP_Grid[#Data],$DE154,64),0)</f>
        <v/>
      </c>
      <c r="BP154">
        <f>IFERROR(INDEX(PP_Grid[#Data],$DE154,65),0)</f>
        <v/>
      </c>
      <c r="BQ154">
        <f>IFERROR(INDEX(PP_Grid[#Data],$DE154,66),0)</f>
        <v/>
      </c>
      <c r="BR154">
        <f>IFERROR(INDEX(PP_Grid[#Data],$DE154,67),0)</f>
        <v/>
      </c>
      <c r="BS154">
        <f>IFERROR(INDEX(PP_Grid[#Data],$DE154,68),0)</f>
        <v/>
      </c>
      <c r="BT154">
        <f>IFERROR(INDEX(PP_Grid[#Data],$DE154,69),0)</f>
        <v/>
      </c>
      <c r="BU154">
        <f>IFERROR(INDEX(PP_Grid[#Data],$DE154,70),0)</f>
        <v/>
      </c>
      <c r="BV154">
        <f>IFERROR(INDEX(PP_Grid[#Data],$DE154,71),0)</f>
        <v/>
      </c>
      <c r="BW154">
        <f>IFERROR(INDEX(PP_Grid[#Data],$DE154,72),0)</f>
        <v/>
      </c>
      <c r="BX154">
        <f>IFERROR(INDEX(PP_Grid[#Data],$DE154,73),0)</f>
        <v/>
      </c>
      <c r="BY154">
        <f>IFERROR(INDEX(PP_Grid[#Data],$DE154,74),0)</f>
        <v/>
      </c>
      <c r="BZ154">
        <f>IFERROR(INDEX(PP_Grid[#Data],$DE154,75),0)</f>
        <v/>
      </c>
      <c r="CA154">
        <f>IFERROR(INDEX(PP_Grid[#Data],$DE154,76),0)</f>
        <v/>
      </c>
      <c r="CB154">
        <f>IFERROR(INDEX(PP_Grid[#Data],$DE154,77),0)</f>
        <v/>
      </c>
      <c r="CC154">
        <f>IFERROR(INDEX(PP_Grid[#Data],$DE154,78),0)</f>
        <v/>
      </c>
      <c r="CD154">
        <f>IFERROR(INDEX(PP_Grid[#Data],$DE154,79),0)</f>
        <v/>
      </c>
      <c r="CE154">
        <f>IFERROR(INDEX(PP_Grid[#Data],$DE154,80),0)</f>
        <v/>
      </c>
      <c r="CF154">
        <f>IFERROR(INDEX(PP_Grid[#Data],$DE154,81),0)</f>
        <v/>
      </c>
      <c r="CG154">
        <f>IFERROR(INDEX(PP_Grid[#Data],$DE154,82),0)</f>
        <v/>
      </c>
      <c r="CH154">
        <f>IFERROR(INDEX(PP_Grid[#Data],$DE154,83),0)</f>
        <v/>
      </c>
      <c r="CI154">
        <f>IFERROR(INDEX(PP_Grid[#Data],$DE154,84),0)</f>
        <v/>
      </c>
      <c r="CJ154">
        <f>IFERROR(INDEX(PP_Grid[#Data],$DE154,85),0)</f>
        <v/>
      </c>
      <c r="CK154">
        <f>IFERROR(INDEX(PP_Grid[#Data],$DE154,86),0)</f>
        <v/>
      </c>
      <c r="CL154">
        <f>IFERROR(INDEX(PP_Grid[#Data],$DE154,87),0)</f>
        <v/>
      </c>
      <c r="CM154">
        <f>IFERROR(INDEX(PP_Grid[#Data],$DE154,88),0)</f>
        <v/>
      </c>
      <c r="CN154">
        <f>IFERROR(INDEX(PP_Grid[#Data],$DE154,89),0)</f>
        <v/>
      </c>
      <c r="CO154">
        <f>IFERROR(INDEX(PP_Grid[#Data],$DE154,90),0)</f>
        <v/>
      </c>
      <c r="CP154">
        <f>IFERROR(INDEX(PP_Grid[#Data],$DE154,91),0)</f>
        <v/>
      </c>
      <c r="CQ154">
        <f>IFERROR(INDEX(PP_Grid[#Data],$DE154,92),0)</f>
        <v/>
      </c>
      <c r="CR154">
        <f>IFERROR(INDEX(PP_Grid[#Data],$DE154,93),0)</f>
        <v/>
      </c>
      <c r="CS154">
        <f>IFERROR(INDEX(PP_Grid[#Data],$DE154,94),0)</f>
        <v/>
      </c>
      <c r="CT154">
        <f>IFERROR(INDEX(PP_Grid[#Data],$DE154,95),0)</f>
        <v/>
      </c>
      <c r="CU154">
        <f>IFERROR(INDEX(PP_Grid[#Data],$DE154,96),0)</f>
        <v/>
      </c>
      <c r="CV154">
        <f>IFERROR(INDEX(PP_Grid[#Data],$DE154,97),0)</f>
        <v/>
      </c>
      <c r="CW154">
        <f>IFERROR(INDEX(PP_Grid[#Data],$DE154,98),0)</f>
        <v/>
      </c>
      <c r="CX154">
        <f>IFERROR(INDEX(PP_Grid[#Data],$DE154,99),0)</f>
        <v/>
      </c>
      <c r="CY154">
        <f>IFERROR(INDEX(PP_Grid[#Data],$DE154,100),0)</f>
        <v/>
      </c>
      <c r="CZ154">
        <f>IFERROR(INDEX(PP_Grid[#Data],$DE154,101),0)</f>
        <v/>
      </c>
      <c r="DA154">
        <f>IFERROR(INDEX(PP_Grid[#Data],$DE154,102),0)</f>
        <v/>
      </c>
      <c r="DB154">
        <f>IFERROR(INDEX(PP_Grid[#Data],$DE154,103),0)</f>
        <v/>
      </c>
      <c r="DC154">
        <f>IFERROR(INDEX(PP_Grid[#Data],$DE154,104),0)</f>
        <v/>
      </c>
      <c r="DD154">
        <f>IFERROR(INDEX(PP_Grid[#Data],$DE154,105),0)</f>
        <v/>
      </c>
      <c r="DE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SUMIFS(M_BOM[RM_Qty_Per_Batch],M_BOM[Intermediate],$B154,M_BOM[RM_Code],$A145)</f>
        <v/>
      </c>
      <c r="D155">
        <f>IFERROR(INDEX(E155:DD155,$F$1),"")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  <c r="DD155">
        <f>$C155*DD154</f>
        <v/>
      </c>
    </row>
    <row r="156">
      <c r="B156" t="inlineStr">
        <is>
          <t>TSP-199</t>
        </is>
      </c>
      <c r="C156" t="inlineStr">
        <is>
          <t>No. of batches</t>
        </is>
      </c>
      <c r="D156">
        <f>IFERROR(INDEX(E156:DD156,$F$1),"")</f>
        <v/>
      </c>
      <c r="E156">
        <f>IFERROR(INDEX(PP_Grid[#Data],$DE156,2),0)</f>
        <v/>
      </c>
      <c r="F156">
        <f>IFERROR(INDEX(PP_Grid[#Data],$DE156,3),0)</f>
        <v/>
      </c>
      <c r="G156">
        <f>IFERROR(INDEX(PP_Grid[#Data],$DE156,4),0)</f>
        <v/>
      </c>
      <c r="H156">
        <f>IFERROR(INDEX(PP_Grid[#Data],$DE156,5),0)</f>
        <v/>
      </c>
      <c r="I156">
        <f>IFERROR(INDEX(PP_Grid[#Data],$DE156,6),0)</f>
        <v/>
      </c>
      <c r="J156">
        <f>IFERROR(INDEX(PP_Grid[#Data],$DE156,7),0)</f>
        <v/>
      </c>
      <c r="K156">
        <f>IFERROR(INDEX(PP_Grid[#Data],$DE156,8),0)</f>
        <v/>
      </c>
      <c r="L156">
        <f>IFERROR(INDEX(PP_Grid[#Data],$DE156,9),0)</f>
        <v/>
      </c>
      <c r="M156">
        <f>IFERROR(INDEX(PP_Grid[#Data],$DE156,10),0)</f>
        <v/>
      </c>
      <c r="N156">
        <f>IFERROR(INDEX(PP_Grid[#Data],$DE156,11),0)</f>
        <v/>
      </c>
      <c r="O156">
        <f>IFERROR(INDEX(PP_Grid[#Data],$DE156,12),0)</f>
        <v/>
      </c>
      <c r="P156">
        <f>IFERROR(INDEX(PP_Grid[#Data],$DE156,13),0)</f>
        <v/>
      </c>
      <c r="Q156">
        <f>IFERROR(INDEX(PP_Grid[#Data],$DE156,14),0)</f>
        <v/>
      </c>
      <c r="R156">
        <f>IFERROR(INDEX(PP_Grid[#Data],$DE156,15),0)</f>
        <v/>
      </c>
      <c r="S156">
        <f>IFERROR(INDEX(PP_Grid[#Data],$DE156,16),0)</f>
        <v/>
      </c>
      <c r="T156">
        <f>IFERROR(INDEX(PP_Grid[#Data],$DE156,17),0)</f>
        <v/>
      </c>
      <c r="U156">
        <f>IFERROR(INDEX(PP_Grid[#Data],$DE156,18),0)</f>
        <v/>
      </c>
      <c r="V156">
        <f>IFERROR(INDEX(PP_Grid[#Data],$DE156,19),0)</f>
        <v/>
      </c>
      <c r="W156">
        <f>IFERROR(INDEX(PP_Grid[#Data],$DE156,20),0)</f>
        <v/>
      </c>
      <c r="X156">
        <f>IFERROR(INDEX(PP_Grid[#Data],$DE156,21),0)</f>
        <v/>
      </c>
      <c r="Y156">
        <f>IFERROR(INDEX(PP_Grid[#Data],$DE156,22),0)</f>
        <v/>
      </c>
      <c r="Z156">
        <f>IFERROR(INDEX(PP_Grid[#Data],$DE156,23),0)</f>
        <v/>
      </c>
      <c r="AA156">
        <f>IFERROR(INDEX(PP_Grid[#Data],$DE156,24),0)</f>
        <v/>
      </c>
      <c r="AB156">
        <f>IFERROR(INDEX(PP_Grid[#Data],$DE156,25),0)</f>
        <v/>
      </c>
      <c r="AC156">
        <f>IFERROR(INDEX(PP_Grid[#Data],$DE156,26),0)</f>
        <v/>
      </c>
      <c r="AD156">
        <f>IFERROR(INDEX(PP_Grid[#Data],$DE156,27),0)</f>
        <v/>
      </c>
      <c r="AE156">
        <f>IFERROR(INDEX(PP_Grid[#Data],$DE156,28),0)</f>
        <v/>
      </c>
      <c r="AF156">
        <f>IFERROR(INDEX(PP_Grid[#Data],$DE156,29),0)</f>
        <v/>
      </c>
      <c r="AG156">
        <f>IFERROR(INDEX(PP_Grid[#Data],$DE156,30),0)</f>
        <v/>
      </c>
      <c r="AH156">
        <f>IFERROR(INDEX(PP_Grid[#Data],$DE156,31),0)</f>
        <v/>
      </c>
      <c r="AI156">
        <f>IFERROR(INDEX(PP_Grid[#Data],$DE156,32),0)</f>
        <v/>
      </c>
      <c r="AJ156">
        <f>IFERROR(INDEX(PP_Grid[#Data],$DE156,33),0)</f>
        <v/>
      </c>
      <c r="AK156">
        <f>IFERROR(INDEX(PP_Grid[#Data],$DE156,34),0)</f>
        <v/>
      </c>
      <c r="AL156">
        <f>IFERROR(INDEX(PP_Grid[#Data],$DE156,35),0)</f>
        <v/>
      </c>
      <c r="AM156">
        <f>IFERROR(INDEX(PP_Grid[#Data],$DE156,36),0)</f>
        <v/>
      </c>
      <c r="AN156">
        <f>IFERROR(INDEX(PP_Grid[#Data],$DE156,37),0)</f>
        <v/>
      </c>
      <c r="AO156">
        <f>IFERROR(INDEX(PP_Grid[#Data],$DE156,38),0)</f>
        <v/>
      </c>
      <c r="AP156">
        <f>IFERROR(INDEX(PP_Grid[#Data],$DE156,39),0)</f>
        <v/>
      </c>
      <c r="AQ156">
        <f>IFERROR(INDEX(PP_Grid[#Data],$DE156,40),0)</f>
        <v/>
      </c>
      <c r="AR156">
        <f>IFERROR(INDEX(PP_Grid[#Data],$DE156,41),0)</f>
        <v/>
      </c>
      <c r="AS156">
        <f>IFERROR(INDEX(PP_Grid[#Data],$DE156,42),0)</f>
        <v/>
      </c>
      <c r="AT156">
        <f>IFERROR(INDEX(PP_Grid[#Data],$DE156,43),0)</f>
        <v/>
      </c>
      <c r="AU156">
        <f>IFERROR(INDEX(PP_Grid[#Data],$DE156,44),0)</f>
        <v/>
      </c>
      <c r="AV156">
        <f>IFERROR(INDEX(PP_Grid[#Data],$DE156,45),0)</f>
        <v/>
      </c>
      <c r="AW156">
        <f>IFERROR(INDEX(PP_Grid[#Data],$DE156,46),0)</f>
        <v/>
      </c>
      <c r="AX156">
        <f>IFERROR(INDEX(PP_Grid[#Data],$DE156,47),0)</f>
        <v/>
      </c>
      <c r="AY156">
        <f>IFERROR(INDEX(PP_Grid[#Data],$DE156,48),0)</f>
        <v/>
      </c>
      <c r="AZ156">
        <f>IFERROR(INDEX(PP_Grid[#Data],$DE156,49),0)</f>
        <v/>
      </c>
      <c r="BA156">
        <f>IFERROR(INDEX(PP_Grid[#Data],$DE156,50),0)</f>
        <v/>
      </c>
      <c r="BB156">
        <f>IFERROR(INDEX(PP_Grid[#Data],$DE156,51),0)</f>
        <v/>
      </c>
      <c r="BC156">
        <f>IFERROR(INDEX(PP_Grid[#Data],$DE156,52),0)</f>
        <v/>
      </c>
      <c r="BD156">
        <f>IFERROR(INDEX(PP_Grid[#Data],$DE156,53),0)</f>
        <v/>
      </c>
      <c r="BE156">
        <f>IFERROR(INDEX(PP_Grid[#Data],$DE156,54),0)</f>
        <v/>
      </c>
      <c r="BF156">
        <f>IFERROR(INDEX(PP_Grid[#Data],$DE156,55),0)</f>
        <v/>
      </c>
      <c r="BG156">
        <f>IFERROR(INDEX(PP_Grid[#Data],$DE156,56),0)</f>
        <v/>
      </c>
      <c r="BH156">
        <f>IFERROR(INDEX(PP_Grid[#Data],$DE156,57),0)</f>
        <v/>
      </c>
      <c r="BI156">
        <f>IFERROR(INDEX(PP_Grid[#Data],$DE156,58),0)</f>
        <v/>
      </c>
      <c r="BJ156">
        <f>IFERROR(INDEX(PP_Grid[#Data],$DE156,59),0)</f>
        <v/>
      </c>
      <c r="BK156">
        <f>IFERROR(INDEX(PP_Grid[#Data],$DE156,60),0)</f>
        <v/>
      </c>
      <c r="BL156">
        <f>IFERROR(INDEX(PP_Grid[#Data],$DE156,61),0)</f>
        <v/>
      </c>
      <c r="BM156">
        <f>IFERROR(INDEX(PP_Grid[#Data],$DE156,62),0)</f>
        <v/>
      </c>
      <c r="BN156">
        <f>IFERROR(INDEX(PP_Grid[#Data],$DE156,63),0)</f>
        <v/>
      </c>
      <c r="BO156">
        <f>IFERROR(INDEX(PP_Grid[#Data],$DE156,64),0)</f>
        <v/>
      </c>
      <c r="BP156">
        <f>IFERROR(INDEX(PP_Grid[#Data],$DE156,65),0)</f>
        <v/>
      </c>
      <c r="BQ156">
        <f>IFERROR(INDEX(PP_Grid[#Data],$DE156,66),0)</f>
        <v/>
      </c>
      <c r="BR156">
        <f>IFERROR(INDEX(PP_Grid[#Data],$DE156,67),0)</f>
        <v/>
      </c>
      <c r="BS156">
        <f>IFERROR(INDEX(PP_Grid[#Data],$DE156,68),0)</f>
        <v/>
      </c>
      <c r="BT156">
        <f>IFERROR(INDEX(PP_Grid[#Data],$DE156,69),0)</f>
        <v/>
      </c>
      <c r="BU156">
        <f>IFERROR(INDEX(PP_Grid[#Data],$DE156,70),0)</f>
        <v/>
      </c>
      <c r="BV156">
        <f>IFERROR(INDEX(PP_Grid[#Data],$DE156,71),0)</f>
        <v/>
      </c>
      <c r="BW156">
        <f>IFERROR(INDEX(PP_Grid[#Data],$DE156,72),0)</f>
        <v/>
      </c>
      <c r="BX156">
        <f>IFERROR(INDEX(PP_Grid[#Data],$DE156,73),0)</f>
        <v/>
      </c>
      <c r="BY156">
        <f>IFERROR(INDEX(PP_Grid[#Data],$DE156,74),0)</f>
        <v/>
      </c>
      <c r="BZ156">
        <f>IFERROR(INDEX(PP_Grid[#Data],$DE156,75),0)</f>
        <v/>
      </c>
      <c r="CA156">
        <f>IFERROR(INDEX(PP_Grid[#Data],$DE156,76),0)</f>
        <v/>
      </c>
      <c r="CB156">
        <f>IFERROR(INDEX(PP_Grid[#Data],$DE156,77),0)</f>
        <v/>
      </c>
      <c r="CC156">
        <f>IFERROR(INDEX(PP_Grid[#Data],$DE156,78),0)</f>
        <v/>
      </c>
      <c r="CD156">
        <f>IFERROR(INDEX(PP_Grid[#Data],$DE156,79),0)</f>
        <v/>
      </c>
      <c r="CE156">
        <f>IFERROR(INDEX(PP_Grid[#Data],$DE156,80),0)</f>
        <v/>
      </c>
      <c r="CF156">
        <f>IFERROR(INDEX(PP_Grid[#Data],$DE156,81),0)</f>
        <v/>
      </c>
      <c r="CG156">
        <f>IFERROR(INDEX(PP_Grid[#Data],$DE156,82),0)</f>
        <v/>
      </c>
      <c r="CH156">
        <f>IFERROR(INDEX(PP_Grid[#Data],$DE156,83),0)</f>
        <v/>
      </c>
      <c r="CI156">
        <f>IFERROR(INDEX(PP_Grid[#Data],$DE156,84),0)</f>
        <v/>
      </c>
      <c r="CJ156">
        <f>IFERROR(INDEX(PP_Grid[#Data],$DE156,85),0)</f>
        <v/>
      </c>
      <c r="CK156">
        <f>IFERROR(INDEX(PP_Grid[#Data],$DE156,86),0)</f>
        <v/>
      </c>
      <c r="CL156">
        <f>IFERROR(INDEX(PP_Grid[#Data],$DE156,87),0)</f>
        <v/>
      </c>
      <c r="CM156">
        <f>IFERROR(INDEX(PP_Grid[#Data],$DE156,88),0)</f>
        <v/>
      </c>
      <c r="CN156">
        <f>IFERROR(INDEX(PP_Grid[#Data],$DE156,89),0)</f>
        <v/>
      </c>
      <c r="CO156">
        <f>IFERROR(INDEX(PP_Grid[#Data],$DE156,90),0)</f>
        <v/>
      </c>
      <c r="CP156">
        <f>IFERROR(INDEX(PP_Grid[#Data],$DE156,91),0)</f>
        <v/>
      </c>
      <c r="CQ156">
        <f>IFERROR(INDEX(PP_Grid[#Data],$DE156,92),0)</f>
        <v/>
      </c>
      <c r="CR156">
        <f>IFERROR(INDEX(PP_Grid[#Data],$DE156,93),0)</f>
        <v/>
      </c>
      <c r="CS156">
        <f>IFERROR(INDEX(PP_Grid[#Data],$DE156,94),0)</f>
        <v/>
      </c>
      <c r="CT156">
        <f>IFERROR(INDEX(PP_Grid[#Data],$DE156,95),0)</f>
        <v/>
      </c>
      <c r="CU156">
        <f>IFERROR(INDEX(PP_Grid[#Data],$DE156,96),0)</f>
        <v/>
      </c>
      <c r="CV156">
        <f>IFERROR(INDEX(PP_Grid[#Data],$DE156,97),0)</f>
        <v/>
      </c>
      <c r="CW156">
        <f>IFERROR(INDEX(PP_Grid[#Data],$DE156,98),0)</f>
        <v/>
      </c>
      <c r="CX156">
        <f>IFERROR(INDEX(PP_Grid[#Data],$DE156,99),0)</f>
        <v/>
      </c>
      <c r="CY156">
        <f>IFERROR(INDEX(PP_Grid[#Data],$DE156,100),0)</f>
        <v/>
      </c>
      <c r="CZ156">
        <f>IFERROR(INDEX(PP_Grid[#Data],$DE156,101),0)</f>
        <v/>
      </c>
      <c r="DA156">
        <f>IFERROR(INDEX(PP_Grid[#Data],$DE156,102),0)</f>
        <v/>
      </c>
      <c r="DB156">
        <f>IFERROR(INDEX(PP_Grid[#Data],$DE156,103),0)</f>
        <v/>
      </c>
      <c r="DC156">
        <f>IFERROR(INDEX(PP_Grid[#Data],$DE156,104),0)</f>
        <v/>
      </c>
      <c r="DD156">
        <f>IFERROR(INDEX(PP_Grid[#Data],$DE156,105),0)</f>
        <v/>
      </c>
      <c r="DE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SUMIFS(M_BOM[RM_Qty_Per_Batch],M_BOM[Intermediate],$B156,M_BOM[RM_Code],$A145)</f>
        <v/>
      </c>
      <c r="D157">
        <f>IFERROR(INDEX(E157:DD157,$F$1),"")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  <c r="DD157">
        <f>$C157*DD156</f>
        <v/>
      </c>
    </row>
    <row r="158">
      <c r="B158" t="inlineStr">
        <is>
          <t>TSP-205</t>
        </is>
      </c>
      <c r="C158" t="inlineStr">
        <is>
          <t>No. of batches</t>
        </is>
      </c>
      <c r="D158">
        <f>IFERROR(INDEX(E158:DD158,$F$1),"")</f>
        <v/>
      </c>
      <c r="E158">
        <f>IFERROR(INDEX(PP_Grid[#Data],$DE158,2),0)</f>
        <v/>
      </c>
      <c r="F158">
        <f>IFERROR(INDEX(PP_Grid[#Data],$DE158,3),0)</f>
        <v/>
      </c>
      <c r="G158">
        <f>IFERROR(INDEX(PP_Grid[#Data],$DE158,4),0)</f>
        <v/>
      </c>
      <c r="H158">
        <f>IFERROR(INDEX(PP_Grid[#Data],$DE158,5),0)</f>
        <v/>
      </c>
      <c r="I158">
        <f>IFERROR(INDEX(PP_Grid[#Data],$DE158,6),0)</f>
        <v/>
      </c>
      <c r="J158">
        <f>IFERROR(INDEX(PP_Grid[#Data],$DE158,7),0)</f>
        <v/>
      </c>
      <c r="K158">
        <f>IFERROR(INDEX(PP_Grid[#Data],$DE158,8),0)</f>
        <v/>
      </c>
      <c r="L158">
        <f>IFERROR(INDEX(PP_Grid[#Data],$DE158,9),0)</f>
        <v/>
      </c>
      <c r="M158">
        <f>IFERROR(INDEX(PP_Grid[#Data],$DE158,10),0)</f>
        <v/>
      </c>
      <c r="N158">
        <f>IFERROR(INDEX(PP_Grid[#Data],$DE158,11),0)</f>
        <v/>
      </c>
      <c r="O158">
        <f>IFERROR(INDEX(PP_Grid[#Data],$DE158,12),0)</f>
        <v/>
      </c>
      <c r="P158">
        <f>IFERROR(INDEX(PP_Grid[#Data],$DE158,13),0)</f>
        <v/>
      </c>
      <c r="Q158">
        <f>IFERROR(INDEX(PP_Grid[#Data],$DE158,14),0)</f>
        <v/>
      </c>
      <c r="R158">
        <f>IFERROR(INDEX(PP_Grid[#Data],$DE158,15),0)</f>
        <v/>
      </c>
      <c r="S158">
        <f>IFERROR(INDEX(PP_Grid[#Data],$DE158,16),0)</f>
        <v/>
      </c>
      <c r="T158">
        <f>IFERROR(INDEX(PP_Grid[#Data],$DE158,17),0)</f>
        <v/>
      </c>
      <c r="U158">
        <f>IFERROR(INDEX(PP_Grid[#Data],$DE158,18),0)</f>
        <v/>
      </c>
      <c r="V158">
        <f>IFERROR(INDEX(PP_Grid[#Data],$DE158,19),0)</f>
        <v/>
      </c>
      <c r="W158">
        <f>IFERROR(INDEX(PP_Grid[#Data],$DE158,20),0)</f>
        <v/>
      </c>
      <c r="X158">
        <f>IFERROR(INDEX(PP_Grid[#Data],$DE158,21),0)</f>
        <v/>
      </c>
      <c r="Y158">
        <f>IFERROR(INDEX(PP_Grid[#Data],$DE158,22),0)</f>
        <v/>
      </c>
      <c r="Z158">
        <f>IFERROR(INDEX(PP_Grid[#Data],$DE158,23),0)</f>
        <v/>
      </c>
      <c r="AA158">
        <f>IFERROR(INDEX(PP_Grid[#Data],$DE158,24),0)</f>
        <v/>
      </c>
      <c r="AB158">
        <f>IFERROR(INDEX(PP_Grid[#Data],$DE158,25),0)</f>
        <v/>
      </c>
      <c r="AC158">
        <f>IFERROR(INDEX(PP_Grid[#Data],$DE158,26),0)</f>
        <v/>
      </c>
      <c r="AD158">
        <f>IFERROR(INDEX(PP_Grid[#Data],$DE158,27),0)</f>
        <v/>
      </c>
      <c r="AE158">
        <f>IFERROR(INDEX(PP_Grid[#Data],$DE158,28),0)</f>
        <v/>
      </c>
      <c r="AF158">
        <f>IFERROR(INDEX(PP_Grid[#Data],$DE158,29),0)</f>
        <v/>
      </c>
      <c r="AG158">
        <f>IFERROR(INDEX(PP_Grid[#Data],$DE158,30),0)</f>
        <v/>
      </c>
      <c r="AH158">
        <f>IFERROR(INDEX(PP_Grid[#Data],$DE158,31),0)</f>
        <v/>
      </c>
      <c r="AI158">
        <f>IFERROR(INDEX(PP_Grid[#Data],$DE158,32),0)</f>
        <v/>
      </c>
      <c r="AJ158">
        <f>IFERROR(INDEX(PP_Grid[#Data],$DE158,33),0)</f>
        <v/>
      </c>
      <c r="AK158">
        <f>IFERROR(INDEX(PP_Grid[#Data],$DE158,34),0)</f>
        <v/>
      </c>
      <c r="AL158">
        <f>IFERROR(INDEX(PP_Grid[#Data],$DE158,35),0)</f>
        <v/>
      </c>
      <c r="AM158">
        <f>IFERROR(INDEX(PP_Grid[#Data],$DE158,36),0)</f>
        <v/>
      </c>
      <c r="AN158">
        <f>IFERROR(INDEX(PP_Grid[#Data],$DE158,37),0)</f>
        <v/>
      </c>
      <c r="AO158">
        <f>IFERROR(INDEX(PP_Grid[#Data],$DE158,38),0)</f>
        <v/>
      </c>
      <c r="AP158">
        <f>IFERROR(INDEX(PP_Grid[#Data],$DE158,39),0)</f>
        <v/>
      </c>
      <c r="AQ158">
        <f>IFERROR(INDEX(PP_Grid[#Data],$DE158,40),0)</f>
        <v/>
      </c>
      <c r="AR158">
        <f>IFERROR(INDEX(PP_Grid[#Data],$DE158,41),0)</f>
        <v/>
      </c>
      <c r="AS158">
        <f>IFERROR(INDEX(PP_Grid[#Data],$DE158,42),0)</f>
        <v/>
      </c>
      <c r="AT158">
        <f>IFERROR(INDEX(PP_Grid[#Data],$DE158,43),0)</f>
        <v/>
      </c>
      <c r="AU158">
        <f>IFERROR(INDEX(PP_Grid[#Data],$DE158,44),0)</f>
        <v/>
      </c>
      <c r="AV158">
        <f>IFERROR(INDEX(PP_Grid[#Data],$DE158,45),0)</f>
        <v/>
      </c>
      <c r="AW158">
        <f>IFERROR(INDEX(PP_Grid[#Data],$DE158,46),0)</f>
        <v/>
      </c>
      <c r="AX158">
        <f>IFERROR(INDEX(PP_Grid[#Data],$DE158,47),0)</f>
        <v/>
      </c>
      <c r="AY158">
        <f>IFERROR(INDEX(PP_Grid[#Data],$DE158,48),0)</f>
        <v/>
      </c>
      <c r="AZ158">
        <f>IFERROR(INDEX(PP_Grid[#Data],$DE158,49),0)</f>
        <v/>
      </c>
      <c r="BA158">
        <f>IFERROR(INDEX(PP_Grid[#Data],$DE158,50),0)</f>
        <v/>
      </c>
      <c r="BB158">
        <f>IFERROR(INDEX(PP_Grid[#Data],$DE158,51),0)</f>
        <v/>
      </c>
      <c r="BC158">
        <f>IFERROR(INDEX(PP_Grid[#Data],$DE158,52),0)</f>
        <v/>
      </c>
      <c r="BD158">
        <f>IFERROR(INDEX(PP_Grid[#Data],$DE158,53),0)</f>
        <v/>
      </c>
      <c r="BE158">
        <f>IFERROR(INDEX(PP_Grid[#Data],$DE158,54),0)</f>
        <v/>
      </c>
      <c r="BF158">
        <f>IFERROR(INDEX(PP_Grid[#Data],$DE158,55),0)</f>
        <v/>
      </c>
      <c r="BG158">
        <f>IFERROR(INDEX(PP_Grid[#Data],$DE158,56),0)</f>
        <v/>
      </c>
      <c r="BH158">
        <f>IFERROR(INDEX(PP_Grid[#Data],$DE158,57),0)</f>
        <v/>
      </c>
      <c r="BI158">
        <f>IFERROR(INDEX(PP_Grid[#Data],$DE158,58),0)</f>
        <v/>
      </c>
      <c r="BJ158">
        <f>IFERROR(INDEX(PP_Grid[#Data],$DE158,59),0)</f>
        <v/>
      </c>
      <c r="BK158">
        <f>IFERROR(INDEX(PP_Grid[#Data],$DE158,60),0)</f>
        <v/>
      </c>
      <c r="BL158">
        <f>IFERROR(INDEX(PP_Grid[#Data],$DE158,61),0)</f>
        <v/>
      </c>
      <c r="BM158">
        <f>IFERROR(INDEX(PP_Grid[#Data],$DE158,62),0)</f>
        <v/>
      </c>
      <c r="BN158">
        <f>IFERROR(INDEX(PP_Grid[#Data],$DE158,63),0)</f>
        <v/>
      </c>
      <c r="BO158">
        <f>IFERROR(INDEX(PP_Grid[#Data],$DE158,64),0)</f>
        <v/>
      </c>
      <c r="BP158">
        <f>IFERROR(INDEX(PP_Grid[#Data],$DE158,65),0)</f>
        <v/>
      </c>
      <c r="BQ158">
        <f>IFERROR(INDEX(PP_Grid[#Data],$DE158,66),0)</f>
        <v/>
      </c>
      <c r="BR158">
        <f>IFERROR(INDEX(PP_Grid[#Data],$DE158,67),0)</f>
        <v/>
      </c>
      <c r="BS158">
        <f>IFERROR(INDEX(PP_Grid[#Data],$DE158,68),0)</f>
        <v/>
      </c>
      <c r="BT158">
        <f>IFERROR(INDEX(PP_Grid[#Data],$DE158,69),0)</f>
        <v/>
      </c>
      <c r="BU158">
        <f>IFERROR(INDEX(PP_Grid[#Data],$DE158,70),0)</f>
        <v/>
      </c>
      <c r="BV158">
        <f>IFERROR(INDEX(PP_Grid[#Data],$DE158,71),0)</f>
        <v/>
      </c>
      <c r="BW158">
        <f>IFERROR(INDEX(PP_Grid[#Data],$DE158,72),0)</f>
        <v/>
      </c>
      <c r="BX158">
        <f>IFERROR(INDEX(PP_Grid[#Data],$DE158,73),0)</f>
        <v/>
      </c>
      <c r="BY158">
        <f>IFERROR(INDEX(PP_Grid[#Data],$DE158,74),0)</f>
        <v/>
      </c>
      <c r="BZ158">
        <f>IFERROR(INDEX(PP_Grid[#Data],$DE158,75),0)</f>
        <v/>
      </c>
      <c r="CA158">
        <f>IFERROR(INDEX(PP_Grid[#Data],$DE158,76),0)</f>
        <v/>
      </c>
      <c r="CB158">
        <f>IFERROR(INDEX(PP_Grid[#Data],$DE158,77),0)</f>
        <v/>
      </c>
      <c r="CC158">
        <f>IFERROR(INDEX(PP_Grid[#Data],$DE158,78),0)</f>
        <v/>
      </c>
      <c r="CD158">
        <f>IFERROR(INDEX(PP_Grid[#Data],$DE158,79),0)</f>
        <v/>
      </c>
      <c r="CE158">
        <f>IFERROR(INDEX(PP_Grid[#Data],$DE158,80),0)</f>
        <v/>
      </c>
      <c r="CF158">
        <f>IFERROR(INDEX(PP_Grid[#Data],$DE158,81),0)</f>
        <v/>
      </c>
      <c r="CG158">
        <f>IFERROR(INDEX(PP_Grid[#Data],$DE158,82),0)</f>
        <v/>
      </c>
      <c r="CH158">
        <f>IFERROR(INDEX(PP_Grid[#Data],$DE158,83),0)</f>
        <v/>
      </c>
      <c r="CI158">
        <f>IFERROR(INDEX(PP_Grid[#Data],$DE158,84),0)</f>
        <v/>
      </c>
      <c r="CJ158">
        <f>IFERROR(INDEX(PP_Grid[#Data],$DE158,85),0)</f>
        <v/>
      </c>
      <c r="CK158">
        <f>IFERROR(INDEX(PP_Grid[#Data],$DE158,86),0)</f>
        <v/>
      </c>
      <c r="CL158">
        <f>IFERROR(INDEX(PP_Grid[#Data],$DE158,87),0)</f>
        <v/>
      </c>
      <c r="CM158">
        <f>IFERROR(INDEX(PP_Grid[#Data],$DE158,88),0)</f>
        <v/>
      </c>
      <c r="CN158">
        <f>IFERROR(INDEX(PP_Grid[#Data],$DE158,89),0)</f>
        <v/>
      </c>
      <c r="CO158">
        <f>IFERROR(INDEX(PP_Grid[#Data],$DE158,90),0)</f>
        <v/>
      </c>
      <c r="CP158">
        <f>IFERROR(INDEX(PP_Grid[#Data],$DE158,91),0)</f>
        <v/>
      </c>
      <c r="CQ158">
        <f>IFERROR(INDEX(PP_Grid[#Data],$DE158,92),0)</f>
        <v/>
      </c>
      <c r="CR158">
        <f>IFERROR(INDEX(PP_Grid[#Data],$DE158,93),0)</f>
        <v/>
      </c>
      <c r="CS158">
        <f>IFERROR(INDEX(PP_Grid[#Data],$DE158,94),0)</f>
        <v/>
      </c>
      <c r="CT158">
        <f>IFERROR(INDEX(PP_Grid[#Data],$DE158,95),0)</f>
        <v/>
      </c>
      <c r="CU158">
        <f>IFERROR(INDEX(PP_Grid[#Data],$DE158,96),0)</f>
        <v/>
      </c>
      <c r="CV158">
        <f>IFERROR(INDEX(PP_Grid[#Data],$DE158,97),0)</f>
        <v/>
      </c>
      <c r="CW158">
        <f>IFERROR(INDEX(PP_Grid[#Data],$DE158,98),0)</f>
        <v/>
      </c>
      <c r="CX158">
        <f>IFERROR(INDEX(PP_Grid[#Data],$DE158,99),0)</f>
        <v/>
      </c>
      <c r="CY158">
        <f>IFERROR(INDEX(PP_Grid[#Data],$DE158,100),0)</f>
        <v/>
      </c>
      <c r="CZ158">
        <f>IFERROR(INDEX(PP_Grid[#Data],$DE158,101),0)</f>
        <v/>
      </c>
      <c r="DA158">
        <f>IFERROR(INDEX(PP_Grid[#Data],$DE158,102),0)</f>
        <v/>
      </c>
      <c r="DB158">
        <f>IFERROR(INDEX(PP_Grid[#Data],$DE158,103),0)</f>
        <v/>
      </c>
      <c r="DC158">
        <f>IFERROR(INDEX(PP_Grid[#Data],$DE158,104),0)</f>
        <v/>
      </c>
      <c r="DD158">
        <f>IFERROR(INDEX(PP_Grid[#Data],$DE158,105),0)</f>
        <v/>
      </c>
      <c r="DE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SUMIFS(M_BOM[RM_Qty_Per_Batch],M_BOM[Intermediate],$B158,M_BOM[RM_Code],$A145)</f>
        <v/>
      </c>
      <c r="D159">
        <f>IFERROR(INDEX(E159:DD159,$F$1),"")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  <c r="DD159">
        <f>$C159*DD158</f>
        <v/>
      </c>
    </row>
    <row r="160">
      <c r="B160" t="inlineStr">
        <is>
          <t>TSP-390</t>
        </is>
      </c>
      <c r="C160" t="inlineStr">
        <is>
          <t>No. of batches</t>
        </is>
      </c>
      <c r="D160">
        <f>IFERROR(INDEX(E160:DD160,$F$1),"")</f>
        <v/>
      </c>
      <c r="E160">
        <f>IFERROR(INDEX(PP_Grid[#Data],$DE160,2),0)</f>
        <v/>
      </c>
      <c r="F160">
        <f>IFERROR(INDEX(PP_Grid[#Data],$DE160,3),0)</f>
        <v/>
      </c>
      <c r="G160">
        <f>IFERROR(INDEX(PP_Grid[#Data],$DE160,4),0)</f>
        <v/>
      </c>
      <c r="H160">
        <f>IFERROR(INDEX(PP_Grid[#Data],$DE160,5),0)</f>
        <v/>
      </c>
      <c r="I160">
        <f>IFERROR(INDEX(PP_Grid[#Data],$DE160,6),0)</f>
        <v/>
      </c>
      <c r="J160">
        <f>IFERROR(INDEX(PP_Grid[#Data],$DE160,7),0)</f>
        <v/>
      </c>
      <c r="K160">
        <f>IFERROR(INDEX(PP_Grid[#Data],$DE160,8),0)</f>
        <v/>
      </c>
      <c r="L160">
        <f>IFERROR(INDEX(PP_Grid[#Data],$DE160,9),0)</f>
        <v/>
      </c>
      <c r="M160">
        <f>IFERROR(INDEX(PP_Grid[#Data],$DE160,10),0)</f>
        <v/>
      </c>
      <c r="N160">
        <f>IFERROR(INDEX(PP_Grid[#Data],$DE160,11),0)</f>
        <v/>
      </c>
      <c r="O160">
        <f>IFERROR(INDEX(PP_Grid[#Data],$DE160,12),0)</f>
        <v/>
      </c>
      <c r="P160">
        <f>IFERROR(INDEX(PP_Grid[#Data],$DE160,13),0)</f>
        <v/>
      </c>
      <c r="Q160">
        <f>IFERROR(INDEX(PP_Grid[#Data],$DE160,14),0)</f>
        <v/>
      </c>
      <c r="R160">
        <f>IFERROR(INDEX(PP_Grid[#Data],$DE160,15),0)</f>
        <v/>
      </c>
      <c r="S160">
        <f>IFERROR(INDEX(PP_Grid[#Data],$DE160,16),0)</f>
        <v/>
      </c>
      <c r="T160">
        <f>IFERROR(INDEX(PP_Grid[#Data],$DE160,17),0)</f>
        <v/>
      </c>
      <c r="U160">
        <f>IFERROR(INDEX(PP_Grid[#Data],$DE160,18),0)</f>
        <v/>
      </c>
      <c r="V160">
        <f>IFERROR(INDEX(PP_Grid[#Data],$DE160,19),0)</f>
        <v/>
      </c>
      <c r="W160">
        <f>IFERROR(INDEX(PP_Grid[#Data],$DE160,20),0)</f>
        <v/>
      </c>
      <c r="X160">
        <f>IFERROR(INDEX(PP_Grid[#Data],$DE160,21),0)</f>
        <v/>
      </c>
      <c r="Y160">
        <f>IFERROR(INDEX(PP_Grid[#Data],$DE160,22),0)</f>
        <v/>
      </c>
      <c r="Z160">
        <f>IFERROR(INDEX(PP_Grid[#Data],$DE160,23),0)</f>
        <v/>
      </c>
      <c r="AA160">
        <f>IFERROR(INDEX(PP_Grid[#Data],$DE160,24),0)</f>
        <v/>
      </c>
      <c r="AB160">
        <f>IFERROR(INDEX(PP_Grid[#Data],$DE160,25),0)</f>
        <v/>
      </c>
      <c r="AC160">
        <f>IFERROR(INDEX(PP_Grid[#Data],$DE160,26),0)</f>
        <v/>
      </c>
      <c r="AD160">
        <f>IFERROR(INDEX(PP_Grid[#Data],$DE160,27),0)</f>
        <v/>
      </c>
      <c r="AE160">
        <f>IFERROR(INDEX(PP_Grid[#Data],$DE160,28),0)</f>
        <v/>
      </c>
      <c r="AF160">
        <f>IFERROR(INDEX(PP_Grid[#Data],$DE160,29),0)</f>
        <v/>
      </c>
      <c r="AG160">
        <f>IFERROR(INDEX(PP_Grid[#Data],$DE160,30),0)</f>
        <v/>
      </c>
      <c r="AH160">
        <f>IFERROR(INDEX(PP_Grid[#Data],$DE160,31),0)</f>
        <v/>
      </c>
      <c r="AI160">
        <f>IFERROR(INDEX(PP_Grid[#Data],$DE160,32),0)</f>
        <v/>
      </c>
      <c r="AJ160">
        <f>IFERROR(INDEX(PP_Grid[#Data],$DE160,33),0)</f>
        <v/>
      </c>
      <c r="AK160">
        <f>IFERROR(INDEX(PP_Grid[#Data],$DE160,34),0)</f>
        <v/>
      </c>
      <c r="AL160">
        <f>IFERROR(INDEX(PP_Grid[#Data],$DE160,35),0)</f>
        <v/>
      </c>
      <c r="AM160">
        <f>IFERROR(INDEX(PP_Grid[#Data],$DE160,36),0)</f>
        <v/>
      </c>
      <c r="AN160">
        <f>IFERROR(INDEX(PP_Grid[#Data],$DE160,37),0)</f>
        <v/>
      </c>
      <c r="AO160">
        <f>IFERROR(INDEX(PP_Grid[#Data],$DE160,38),0)</f>
        <v/>
      </c>
      <c r="AP160">
        <f>IFERROR(INDEX(PP_Grid[#Data],$DE160,39),0)</f>
        <v/>
      </c>
      <c r="AQ160">
        <f>IFERROR(INDEX(PP_Grid[#Data],$DE160,40),0)</f>
        <v/>
      </c>
      <c r="AR160">
        <f>IFERROR(INDEX(PP_Grid[#Data],$DE160,41),0)</f>
        <v/>
      </c>
      <c r="AS160">
        <f>IFERROR(INDEX(PP_Grid[#Data],$DE160,42),0)</f>
        <v/>
      </c>
      <c r="AT160">
        <f>IFERROR(INDEX(PP_Grid[#Data],$DE160,43),0)</f>
        <v/>
      </c>
      <c r="AU160">
        <f>IFERROR(INDEX(PP_Grid[#Data],$DE160,44),0)</f>
        <v/>
      </c>
      <c r="AV160">
        <f>IFERROR(INDEX(PP_Grid[#Data],$DE160,45),0)</f>
        <v/>
      </c>
      <c r="AW160">
        <f>IFERROR(INDEX(PP_Grid[#Data],$DE160,46),0)</f>
        <v/>
      </c>
      <c r="AX160">
        <f>IFERROR(INDEX(PP_Grid[#Data],$DE160,47),0)</f>
        <v/>
      </c>
      <c r="AY160">
        <f>IFERROR(INDEX(PP_Grid[#Data],$DE160,48),0)</f>
        <v/>
      </c>
      <c r="AZ160">
        <f>IFERROR(INDEX(PP_Grid[#Data],$DE160,49),0)</f>
        <v/>
      </c>
      <c r="BA160">
        <f>IFERROR(INDEX(PP_Grid[#Data],$DE160,50),0)</f>
        <v/>
      </c>
      <c r="BB160">
        <f>IFERROR(INDEX(PP_Grid[#Data],$DE160,51),0)</f>
        <v/>
      </c>
      <c r="BC160">
        <f>IFERROR(INDEX(PP_Grid[#Data],$DE160,52),0)</f>
        <v/>
      </c>
      <c r="BD160">
        <f>IFERROR(INDEX(PP_Grid[#Data],$DE160,53),0)</f>
        <v/>
      </c>
      <c r="BE160">
        <f>IFERROR(INDEX(PP_Grid[#Data],$DE160,54),0)</f>
        <v/>
      </c>
      <c r="BF160">
        <f>IFERROR(INDEX(PP_Grid[#Data],$DE160,55),0)</f>
        <v/>
      </c>
      <c r="BG160">
        <f>IFERROR(INDEX(PP_Grid[#Data],$DE160,56),0)</f>
        <v/>
      </c>
      <c r="BH160">
        <f>IFERROR(INDEX(PP_Grid[#Data],$DE160,57),0)</f>
        <v/>
      </c>
      <c r="BI160">
        <f>IFERROR(INDEX(PP_Grid[#Data],$DE160,58),0)</f>
        <v/>
      </c>
      <c r="BJ160">
        <f>IFERROR(INDEX(PP_Grid[#Data],$DE160,59),0)</f>
        <v/>
      </c>
      <c r="BK160">
        <f>IFERROR(INDEX(PP_Grid[#Data],$DE160,60),0)</f>
        <v/>
      </c>
      <c r="BL160">
        <f>IFERROR(INDEX(PP_Grid[#Data],$DE160,61),0)</f>
        <v/>
      </c>
      <c r="BM160">
        <f>IFERROR(INDEX(PP_Grid[#Data],$DE160,62),0)</f>
        <v/>
      </c>
      <c r="BN160">
        <f>IFERROR(INDEX(PP_Grid[#Data],$DE160,63),0)</f>
        <v/>
      </c>
      <c r="BO160">
        <f>IFERROR(INDEX(PP_Grid[#Data],$DE160,64),0)</f>
        <v/>
      </c>
      <c r="BP160">
        <f>IFERROR(INDEX(PP_Grid[#Data],$DE160,65),0)</f>
        <v/>
      </c>
      <c r="BQ160">
        <f>IFERROR(INDEX(PP_Grid[#Data],$DE160,66),0)</f>
        <v/>
      </c>
      <c r="BR160">
        <f>IFERROR(INDEX(PP_Grid[#Data],$DE160,67),0)</f>
        <v/>
      </c>
      <c r="BS160">
        <f>IFERROR(INDEX(PP_Grid[#Data],$DE160,68),0)</f>
        <v/>
      </c>
      <c r="BT160">
        <f>IFERROR(INDEX(PP_Grid[#Data],$DE160,69),0)</f>
        <v/>
      </c>
      <c r="BU160">
        <f>IFERROR(INDEX(PP_Grid[#Data],$DE160,70),0)</f>
        <v/>
      </c>
      <c r="BV160">
        <f>IFERROR(INDEX(PP_Grid[#Data],$DE160,71),0)</f>
        <v/>
      </c>
      <c r="BW160">
        <f>IFERROR(INDEX(PP_Grid[#Data],$DE160,72),0)</f>
        <v/>
      </c>
      <c r="BX160">
        <f>IFERROR(INDEX(PP_Grid[#Data],$DE160,73),0)</f>
        <v/>
      </c>
      <c r="BY160">
        <f>IFERROR(INDEX(PP_Grid[#Data],$DE160,74),0)</f>
        <v/>
      </c>
      <c r="BZ160">
        <f>IFERROR(INDEX(PP_Grid[#Data],$DE160,75),0)</f>
        <v/>
      </c>
      <c r="CA160">
        <f>IFERROR(INDEX(PP_Grid[#Data],$DE160,76),0)</f>
        <v/>
      </c>
      <c r="CB160">
        <f>IFERROR(INDEX(PP_Grid[#Data],$DE160,77),0)</f>
        <v/>
      </c>
      <c r="CC160">
        <f>IFERROR(INDEX(PP_Grid[#Data],$DE160,78),0)</f>
        <v/>
      </c>
      <c r="CD160">
        <f>IFERROR(INDEX(PP_Grid[#Data],$DE160,79),0)</f>
        <v/>
      </c>
      <c r="CE160">
        <f>IFERROR(INDEX(PP_Grid[#Data],$DE160,80),0)</f>
        <v/>
      </c>
      <c r="CF160">
        <f>IFERROR(INDEX(PP_Grid[#Data],$DE160,81),0)</f>
        <v/>
      </c>
      <c r="CG160">
        <f>IFERROR(INDEX(PP_Grid[#Data],$DE160,82),0)</f>
        <v/>
      </c>
      <c r="CH160">
        <f>IFERROR(INDEX(PP_Grid[#Data],$DE160,83),0)</f>
        <v/>
      </c>
      <c r="CI160">
        <f>IFERROR(INDEX(PP_Grid[#Data],$DE160,84),0)</f>
        <v/>
      </c>
      <c r="CJ160">
        <f>IFERROR(INDEX(PP_Grid[#Data],$DE160,85),0)</f>
        <v/>
      </c>
      <c r="CK160">
        <f>IFERROR(INDEX(PP_Grid[#Data],$DE160,86),0)</f>
        <v/>
      </c>
      <c r="CL160">
        <f>IFERROR(INDEX(PP_Grid[#Data],$DE160,87),0)</f>
        <v/>
      </c>
      <c r="CM160">
        <f>IFERROR(INDEX(PP_Grid[#Data],$DE160,88),0)</f>
        <v/>
      </c>
      <c r="CN160">
        <f>IFERROR(INDEX(PP_Grid[#Data],$DE160,89),0)</f>
        <v/>
      </c>
      <c r="CO160">
        <f>IFERROR(INDEX(PP_Grid[#Data],$DE160,90),0)</f>
        <v/>
      </c>
      <c r="CP160">
        <f>IFERROR(INDEX(PP_Grid[#Data],$DE160,91),0)</f>
        <v/>
      </c>
      <c r="CQ160">
        <f>IFERROR(INDEX(PP_Grid[#Data],$DE160,92),0)</f>
        <v/>
      </c>
      <c r="CR160">
        <f>IFERROR(INDEX(PP_Grid[#Data],$DE160,93),0)</f>
        <v/>
      </c>
      <c r="CS160">
        <f>IFERROR(INDEX(PP_Grid[#Data],$DE160,94),0)</f>
        <v/>
      </c>
      <c r="CT160">
        <f>IFERROR(INDEX(PP_Grid[#Data],$DE160,95),0)</f>
        <v/>
      </c>
      <c r="CU160">
        <f>IFERROR(INDEX(PP_Grid[#Data],$DE160,96),0)</f>
        <v/>
      </c>
      <c r="CV160">
        <f>IFERROR(INDEX(PP_Grid[#Data],$DE160,97),0)</f>
        <v/>
      </c>
      <c r="CW160">
        <f>IFERROR(INDEX(PP_Grid[#Data],$DE160,98),0)</f>
        <v/>
      </c>
      <c r="CX160">
        <f>IFERROR(INDEX(PP_Grid[#Data],$DE160,99),0)</f>
        <v/>
      </c>
      <c r="CY160">
        <f>IFERROR(INDEX(PP_Grid[#Data],$DE160,100),0)</f>
        <v/>
      </c>
      <c r="CZ160">
        <f>IFERROR(INDEX(PP_Grid[#Data],$DE160,101),0)</f>
        <v/>
      </c>
      <c r="DA160">
        <f>IFERROR(INDEX(PP_Grid[#Data],$DE160,102),0)</f>
        <v/>
      </c>
      <c r="DB160">
        <f>IFERROR(INDEX(PP_Grid[#Data],$DE160,103),0)</f>
        <v/>
      </c>
      <c r="DC160">
        <f>IFERROR(INDEX(PP_Grid[#Data],$DE160,104),0)</f>
        <v/>
      </c>
      <c r="DD160">
        <f>IFERROR(INDEX(PP_Grid[#Data],$DE160,105),0)</f>
        <v/>
      </c>
      <c r="DE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SUMIFS(M_BOM[RM_Qty_Per_Batch],M_BOM[Intermediate],$B160,M_BOM[RM_Code],$A145)</f>
        <v/>
      </c>
      <c r="D161">
        <f>IFERROR(INDEX(E161:DD161,$F$1),"")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  <c r="DD161">
        <f>$C161*DD160</f>
        <v/>
      </c>
    </row>
    <row r="162">
      <c r="B162" t="inlineStr">
        <is>
          <t>TSP-399</t>
        </is>
      </c>
      <c r="C162" t="inlineStr">
        <is>
          <t>No. of batches</t>
        </is>
      </c>
      <c r="D162">
        <f>IFERROR(INDEX(E162:DD162,$F$1),"")</f>
        <v/>
      </c>
      <c r="E162">
        <f>IFERROR(INDEX(PP_Grid[#Data],$DE162,2),0)</f>
        <v/>
      </c>
      <c r="F162">
        <f>IFERROR(INDEX(PP_Grid[#Data],$DE162,3),0)</f>
        <v/>
      </c>
      <c r="G162">
        <f>IFERROR(INDEX(PP_Grid[#Data],$DE162,4),0)</f>
        <v/>
      </c>
      <c r="H162">
        <f>IFERROR(INDEX(PP_Grid[#Data],$DE162,5),0)</f>
        <v/>
      </c>
      <c r="I162">
        <f>IFERROR(INDEX(PP_Grid[#Data],$DE162,6),0)</f>
        <v/>
      </c>
      <c r="J162">
        <f>IFERROR(INDEX(PP_Grid[#Data],$DE162,7),0)</f>
        <v/>
      </c>
      <c r="K162">
        <f>IFERROR(INDEX(PP_Grid[#Data],$DE162,8),0)</f>
        <v/>
      </c>
      <c r="L162">
        <f>IFERROR(INDEX(PP_Grid[#Data],$DE162,9),0)</f>
        <v/>
      </c>
      <c r="M162">
        <f>IFERROR(INDEX(PP_Grid[#Data],$DE162,10),0)</f>
        <v/>
      </c>
      <c r="N162">
        <f>IFERROR(INDEX(PP_Grid[#Data],$DE162,11),0)</f>
        <v/>
      </c>
      <c r="O162">
        <f>IFERROR(INDEX(PP_Grid[#Data],$DE162,12),0)</f>
        <v/>
      </c>
      <c r="P162">
        <f>IFERROR(INDEX(PP_Grid[#Data],$DE162,13),0)</f>
        <v/>
      </c>
      <c r="Q162">
        <f>IFERROR(INDEX(PP_Grid[#Data],$DE162,14),0)</f>
        <v/>
      </c>
      <c r="R162">
        <f>IFERROR(INDEX(PP_Grid[#Data],$DE162,15),0)</f>
        <v/>
      </c>
      <c r="S162">
        <f>IFERROR(INDEX(PP_Grid[#Data],$DE162,16),0)</f>
        <v/>
      </c>
      <c r="T162">
        <f>IFERROR(INDEX(PP_Grid[#Data],$DE162,17),0)</f>
        <v/>
      </c>
      <c r="U162">
        <f>IFERROR(INDEX(PP_Grid[#Data],$DE162,18),0)</f>
        <v/>
      </c>
      <c r="V162">
        <f>IFERROR(INDEX(PP_Grid[#Data],$DE162,19),0)</f>
        <v/>
      </c>
      <c r="W162">
        <f>IFERROR(INDEX(PP_Grid[#Data],$DE162,20),0)</f>
        <v/>
      </c>
      <c r="X162">
        <f>IFERROR(INDEX(PP_Grid[#Data],$DE162,21),0)</f>
        <v/>
      </c>
      <c r="Y162">
        <f>IFERROR(INDEX(PP_Grid[#Data],$DE162,22),0)</f>
        <v/>
      </c>
      <c r="Z162">
        <f>IFERROR(INDEX(PP_Grid[#Data],$DE162,23),0)</f>
        <v/>
      </c>
      <c r="AA162">
        <f>IFERROR(INDEX(PP_Grid[#Data],$DE162,24),0)</f>
        <v/>
      </c>
      <c r="AB162">
        <f>IFERROR(INDEX(PP_Grid[#Data],$DE162,25),0)</f>
        <v/>
      </c>
      <c r="AC162">
        <f>IFERROR(INDEX(PP_Grid[#Data],$DE162,26),0)</f>
        <v/>
      </c>
      <c r="AD162">
        <f>IFERROR(INDEX(PP_Grid[#Data],$DE162,27),0)</f>
        <v/>
      </c>
      <c r="AE162">
        <f>IFERROR(INDEX(PP_Grid[#Data],$DE162,28),0)</f>
        <v/>
      </c>
      <c r="AF162">
        <f>IFERROR(INDEX(PP_Grid[#Data],$DE162,29),0)</f>
        <v/>
      </c>
      <c r="AG162">
        <f>IFERROR(INDEX(PP_Grid[#Data],$DE162,30),0)</f>
        <v/>
      </c>
      <c r="AH162">
        <f>IFERROR(INDEX(PP_Grid[#Data],$DE162,31),0)</f>
        <v/>
      </c>
      <c r="AI162">
        <f>IFERROR(INDEX(PP_Grid[#Data],$DE162,32),0)</f>
        <v/>
      </c>
      <c r="AJ162">
        <f>IFERROR(INDEX(PP_Grid[#Data],$DE162,33),0)</f>
        <v/>
      </c>
      <c r="AK162">
        <f>IFERROR(INDEX(PP_Grid[#Data],$DE162,34),0)</f>
        <v/>
      </c>
      <c r="AL162">
        <f>IFERROR(INDEX(PP_Grid[#Data],$DE162,35),0)</f>
        <v/>
      </c>
      <c r="AM162">
        <f>IFERROR(INDEX(PP_Grid[#Data],$DE162,36),0)</f>
        <v/>
      </c>
      <c r="AN162">
        <f>IFERROR(INDEX(PP_Grid[#Data],$DE162,37),0)</f>
        <v/>
      </c>
      <c r="AO162">
        <f>IFERROR(INDEX(PP_Grid[#Data],$DE162,38),0)</f>
        <v/>
      </c>
      <c r="AP162">
        <f>IFERROR(INDEX(PP_Grid[#Data],$DE162,39),0)</f>
        <v/>
      </c>
      <c r="AQ162">
        <f>IFERROR(INDEX(PP_Grid[#Data],$DE162,40),0)</f>
        <v/>
      </c>
      <c r="AR162">
        <f>IFERROR(INDEX(PP_Grid[#Data],$DE162,41),0)</f>
        <v/>
      </c>
      <c r="AS162">
        <f>IFERROR(INDEX(PP_Grid[#Data],$DE162,42),0)</f>
        <v/>
      </c>
      <c r="AT162">
        <f>IFERROR(INDEX(PP_Grid[#Data],$DE162,43),0)</f>
        <v/>
      </c>
      <c r="AU162">
        <f>IFERROR(INDEX(PP_Grid[#Data],$DE162,44),0)</f>
        <v/>
      </c>
      <c r="AV162">
        <f>IFERROR(INDEX(PP_Grid[#Data],$DE162,45),0)</f>
        <v/>
      </c>
      <c r="AW162">
        <f>IFERROR(INDEX(PP_Grid[#Data],$DE162,46),0)</f>
        <v/>
      </c>
      <c r="AX162">
        <f>IFERROR(INDEX(PP_Grid[#Data],$DE162,47),0)</f>
        <v/>
      </c>
      <c r="AY162">
        <f>IFERROR(INDEX(PP_Grid[#Data],$DE162,48),0)</f>
        <v/>
      </c>
      <c r="AZ162">
        <f>IFERROR(INDEX(PP_Grid[#Data],$DE162,49),0)</f>
        <v/>
      </c>
      <c r="BA162">
        <f>IFERROR(INDEX(PP_Grid[#Data],$DE162,50),0)</f>
        <v/>
      </c>
      <c r="BB162">
        <f>IFERROR(INDEX(PP_Grid[#Data],$DE162,51),0)</f>
        <v/>
      </c>
      <c r="BC162">
        <f>IFERROR(INDEX(PP_Grid[#Data],$DE162,52),0)</f>
        <v/>
      </c>
      <c r="BD162">
        <f>IFERROR(INDEX(PP_Grid[#Data],$DE162,53),0)</f>
        <v/>
      </c>
      <c r="BE162">
        <f>IFERROR(INDEX(PP_Grid[#Data],$DE162,54),0)</f>
        <v/>
      </c>
      <c r="BF162">
        <f>IFERROR(INDEX(PP_Grid[#Data],$DE162,55),0)</f>
        <v/>
      </c>
      <c r="BG162">
        <f>IFERROR(INDEX(PP_Grid[#Data],$DE162,56),0)</f>
        <v/>
      </c>
      <c r="BH162">
        <f>IFERROR(INDEX(PP_Grid[#Data],$DE162,57),0)</f>
        <v/>
      </c>
      <c r="BI162">
        <f>IFERROR(INDEX(PP_Grid[#Data],$DE162,58),0)</f>
        <v/>
      </c>
      <c r="BJ162">
        <f>IFERROR(INDEX(PP_Grid[#Data],$DE162,59),0)</f>
        <v/>
      </c>
      <c r="BK162">
        <f>IFERROR(INDEX(PP_Grid[#Data],$DE162,60),0)</f>
        <v/>
      </c>
      <c r="BL162">
        <f>IFERROR(INDEX(PP_Grid[#Data],$DE162,61),0)</f>
        <v/>
      </c>
      <c r="BM162">
        <f>IFERROR(INDEX(PP_Grid[#Data],$DE162,62),0)</f>
        <v/>
      </c>
      <c r="BN162">
        <f>IFERROR(INDEX(PP_Grid[#Data],$DE162,63),0)</f>
        <v/>
      </c>
      <c r="BO162">
        <f>IFERROR(INDEX(PP_Grid[#Data],$DE162,64),0)</f>
        <v/>
      </c>
      <c r="BP162">
        <f>IFERROR(INDEX(PP_Grid[#Data],$DE162,65),0)</f>
        <v/>
      </c>
      <c r="BQ162">
        <f>IFERROR(INDEX(PP_Grid[#Data],$DE162,66),0)</f>
        <v/>
      </c>
      <c r="BR162">
        <f>IFERROR(INDEX(PP_Grid[#Data],$DE162,67),0)</f>
        <v/>
      </c>
      <c r="BS162">
        <f>IFERROR(INDEX(PP_Grid[#Data],$DE162,68),0)</f>
        <v/>
      </c>
      <c r="BT162">
        <f>IFERROR(INDEX(PP_Grid[#Data],$DE162,69),0)</f>
        <v/>
      </c>
      <c r="BU162">
        <f>IFERROR(INDEX(PP_Grid[#Data],$DE162,70),0)</f>
        <v/>
      </c>
      <c r="BV162">
        <f>IFERROR(INDEX(PP_Grid[#Data],$DE162,71),0)</f>
        <v/>
      </c>
      <c r="BW162">
        <f>IFERROR(INDEX(PP_Grid[#Data],$DE162,72),0)</f>
        <v/>
      </c>
      <c r="BX162">
        <f>IFERROR(INDEX(PP_Grid[#Data],$DE162,73),0)</f>
        <v/>
      </c>
      <c r="BY162">
        <f>IFERROR(INDEX(PP_Grid[#Data],$DE162,74),0)</f>
        <v/>
      </c>
      <c r="BZ162">
        <f>IFERROR(INDEX(PP_Grid[#Data],$DE162,75),0)</f>
        <v/>
      </c>
      <c r="CA162">
        <f>IFERROR(INDEX(PP_Grid[#Data],$DE162,76),0)</f>
        <v/>
      </c>
      <c r="CB162">
        <f>IFERROR(INDEX(PP_Grid[#Data],$DE162,77),0)</f>
        <v/>
      </c>
      <c r="CC162">
        <f>IFERROR(INDEX(PP_Grid[#Data],$DE162,78),0)</f>
        <v/>
      </c>
      <c r="CD162">
        <f>IFERROR(INDEX(PP_Grid[#Data],$DE162,79),0)</f>
        <v/>
      </c>
      <c r="CE162">
        <f>IFERROR(INDEX(PP_Grid[#Data],$DE162,80),0)</f>
        <v/>
      </c>
      <c r="CF162">
        <f>IFERROR(INDEX(PP_Grid[#Data],$DE162,81),0)</f>
        <v/>
      </c>
      <c r="CG162">
        <f>IFERROR(INDEX(PP_Grid[#Data],$DE162,82),0)</f>
        <v/>
      </c>
      <c r="CH162">
        <f>IFERROR(INDEX(PP_Grid[#Data],$DE162,83),0)</f>
        <v/>
      </c>
      <c r="CI162">
        <f>IFERROR(INDEX(PP_Grid[#Data],$DE162,84),0)</f>
        <v/>
      </c>
      <c r="CJ162">
        <f>IFERROR(INDEX(PP_Grid[#Data],$DE162,85),0)</f>
        <v/>
      </c>
      <c r="CK162">
        <f>IFERROR(INDEX(PP_Grid[#Data],$DE162,86),0)</f>
        <v/>
      </c>
      <c r="CL162">
        <f>IFERROR(INDEX(PP_Grid[#Data],$DE162,87),0)</f>
        <v/>
      </c>
      <c r="CM162">
        <f>IFERROR(INDEX(PP_Grid[#Data],$DE162,88),0)</f>
        <v/>
      </c>
      <c r="CN162">
        <f>IFERROR(INDEX(PP_Grid[#Data],$DE162,89),0)</f>
        <v/>
      </c>
      <c r="CO162">
        <f>IFERROR(INDEX(PP_Grid[#Data],$DE162,90),0)</f>
        <v/>
      </c>
      <c r="CP162">
        <f>IFERROR(INDEX(PP_Grid[#Data],$DE162,91),0)</f>
        <v/>
      </c>
      <c r="CQ162">
        <f>IFERROR(INDEX(PP_Grid[#Data],$DE162,92),0)</f>
        <v/>
      </c>
      <c r="CR162">
        <f>IFERROR(INDEX(PP_Grid[#Data],$DE162,93),0)</f>
        <v/>
      </c>
      <c r="CS162">
        <f>IFERROR(INDEX(PP_Grid[#Data],$DE162,94),0)</f>
        <v/>
      </c>
      <c r="CT162">
        <f>IFERROR(INDEX(PP_Grid[#Data],$DE162,95),0)</f>
        <v/>
      </c>
      <c r="CU162">
        <f>IFERROR(INDEX(PP_Grid[#Data],$DE162,96),0)</f>
        <v/>
      </c>
      <c r="CV162">
        <f>IFERROR(INDEX(PP_Grid[#Data],$DE162,97),0)</f>
        <v/>
      </c>
      <c r="CW162">
        <f>IFERROR(INDEX(PP_Grid[#Data],$DE162,98),0)</f>
        <v/>
      </c>
      <c r="CX162">
        <f>IFERROR(INDEX(PP_Grid[#Data],$DE162,99),0)</f>
        <v/>
      </c>
      <c r="CY162">
        <f>IFERROR(INDEX(PP_Grid[#Data],$DE162,100),0)</f>
        <v/>
      </c>
      <c r="CZ162">
        <f>IFERROR(INDEX(PP_Grid[#Data],$DE162,101),0)</f>
        <v/>
      </c>
      <c r="DA162">
        <f>IFERROR(INDEX(PP_Grid[#Data],$DE162,102),0)</f>
        <v/>
      </c>
      <c r="DB162">
        <f>IFERROR(INDEX(PP_Grid[#Data],$DE162,103),0)</f>
        <v/>
      </c>
      <c r="DC162">
        <f>IFERROR(INDEX(PP_Grid[#Data],$DE162,104),0)</f>
        <v/>
      </c>
      <c r="DD162">
        <f>IFERROR(INDEX(PP_Grid[#Data],$DE162,105),0)</f>
        <v/>
      </c>
      <c r="DE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SUMIFS(M_BOM[RM_Qty_Per_Batch],M_BOM[Intermediate],$B162,M_BOM[RM_Code],$A145)</f>
        <v/>
      </c>
      <c r="D163">
        <f>IFERROR(INDEX(E163:DD163,$F$1),"")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  <c r="DD163">
        <f>$C163*DD162</f>
        <v/>
      </c>
    </row>
    <row r="164">
      <c r="B164" t="inlineStr">
        <is>
          <t>TSP-656</t>
        </is>
      </c>
      <c r="C164" t="inlineStr">
        <is>
          <t>No. of batches</t>
        </is>
      </c>
      <c r="D164">
        <f>IFERROR(INDEX(E164:DD164,$F$1),"")</f>
        <v/>
      </c>
      <c r="E164">
        <f>IFERROR(INDEX(PP_Grid[#Data],$DE164,2),0)</f>
        <v/>
      </c>
      <c r="F164">
        <f>IFERROR(INDEX(PP_Grid[#Data],$DE164,3),0)</f>
        <v/>
      </c>
      <c r="G164">
        <f>IFERROR(INDEX(PP_Grid[#Data],$DE164,4),0)</f>
        <v/>
      </c>
      <c r="H164">
        <f>IFERROR(INDEX(PP_Grid[#Data],$DE164,5),0)</f>
        <v/>
      </c>
      <c r="I164">
        <f>IFERROR(INDEX(PP_Grid[#Data],$DE164,6),0)</f>
        <v/>
      </c>
      <c r="J164">
        <f>IFERROR(INDEX(PP_Grid[#Data],$DE164,7),0)</f>
        <v/>
      </c>
      <c r="K164">
        <f>IFERROR(INDEX(PP_Grid[#Data],$DE164,8),0)</f>
        <v/>
      </c>
      <c r="L164">
        <f>IFERROR(INDEX(PP_Grid[#Data],$DE164,9),0)</f>
        <v/>
      </c>
      <c r="M164">
        <f>IFERROR(INDEX(PP_Grid[#Data],$DE164,10),0)</f>
        <v/>
      </c>
      <c r="N164">
        <f>IFERROR(INDEX(PP_Grid[#Data],$DE164,11),0)</f>
        <v/>
      </c>
      <c r="O164">
        <f>IFERROR(INDEX(PP_Grid[#Data],$DE164,12),0)</f>
        <v/>
      </c>
      <c r="P164">
        <f>IFERROR(INDEX(PP_Grid[#Data],$DE164,13),0)</f>
        <v/>
      </c>
      <c r="Q164">
        <f>IFERROR(INDEX(PP_Grid[#Data],$DE164,14),0)</f>
        <v/>
      </c>
      <c r="R164">
        <f>IFERROR(INDEX(PP_Grid[#Data],$DE164,15),0)</f>
        <v/>
      </c>
      <c r="S164">
        <f>IFERROR(INDEX(PP_Grid[#Data],$DE164,16),0)</f>
        <v/>
      </c>
      <c r="T164">
        <f>IFERROR(INDEX(PP_Grid[#Data],$DE164,17),0)</f>
        <v/>
      </c>
      <c r="U164">
        <f>IFERROR(INDEX(PP_Grid[#Data],$DE164,18),0)</f>
        <v/>
      </c>
      <c r="V164">
        <f>IFERROR(INDEX(PP_Grid[#Data],$DE164,19),0)</f>
        <v/>
      </c>
      <c r="W164">
        <f>IFERROR(INDEX(PP_Grid[#Data],$DE164,20),0)</f>
        <v/>
      </c>
      <c r="X164">
        <f>IFERROR(INDEX(PP_Grid[#Data],$DE164,21),0)</f>
        <v/>
      </c>
      <c r="Y164">
        <f>IFERROR(INDEX(PP_Grid[#Data],$DE164,22),0)</f>
        <v/>
      </c>
      <c r="Z164">
        <f>IFERROR(INDEX(PP_Grid[#Data],$DE164,23),0)</f>
        <v/>
      </c>
      <c r="AA164">
        <f>IFERROR(INDEX(PP_Grid[#Data],$DE164,24),0)</f>
        <v/>
      </c>
      <c r="AB164">
        <f>IFERROR(INDEX(PP_Grid[#Data],$DE164,25),0)</f>
        <v/>
      </c>
      <c r="AC164">
        <f>IFERROR(INDEX(PP_Grid[#Data],$DE164,26),0)</f>
        <v/>
      </c>
      <c r="AD164">
        <f>IFERROR(INDEX(PP_Grid[#Data],$DE164,27),0)</f>
        <v/>
      </c>
      <c r="AE164">
        <f>IFERROR(INDEX(PP_Grid[#Data],$DE164,28),0)</f>
        <v/>
      </c>
      <c r="AF164">
        <f>IFERROR(INDEX(PP_Grid[#Data],$DE164,29),0)</f>
        <v/>
      </c>
      <c r="AG164">
        <f>IFERROR(INDEX(PP_Grid[#Data],$DE164,30),0)</f>
        <v/>
      </c>
      <c r="AH164">
        <f>IFERROR(INDEX(PP_Grid[#Data],$DE164,31),0)</f>
        <v/>
      </c>
      <c r="AI164">
        <f>IFERROR(INDEX(PP_Grid[#Data],$DE164,32),0)</f>
        <v/>
      </c>
      <c r="AJ164">
        <f>IFERROR(INDEX(PP_Grid[#Data],$DE164,33),0)</f>
        <v/>
      </c>
      <c r="AK164">
        <f>IFERROR(INDEX(PP_Grid[#Data],$DE164,34),0)</f>
        <v/>
      </c>
      <c r="AL164">
        <f>IFERROR(INDEX(PP_Grid[#Data],$DE164,35),0)</f>
        <v/>
      </c>
      <c r="AM164">
        <f>IFERROR(INDEX(PP_Grid[#Data],$DE164,36),0)</f>
        <v/>
      </c>
      <c r="AN164">
        <f>IFERROR(INDEX(PP_Grid[#Data],$DE164,37),0)</f>
        <v/>
      </c>
      <c r="AO164">
        <f>IFERROR(INDEX(PP_Grid[#Data],$DE164,38),0)</f>
        <v/>
      </c>
      <c r="AP164">
        <f>IFERROR(INDEX(PP_Grid[#Data],$DE164,39),0)</f>
        <v/>
      </c>
      <c r="AQ164">
        <f>IFERROR(INDEX(PP_Grid[#Data],$DE164,40),0)</f>
        <v/>
      </c>
      <c r="AR164">
        <f>IFERROR(INDEX(PP_Grid[#Data],$DE164,41),0)</f>
        <v/>
      </c>
      <c r="AS164">
        <f>IFERROR(INDEX(PP_Grid[#Data],$DE164,42),0)</f>
        <v/>
      </c>
      <c r="AT164">
        <f>IFERROR(INDEX(PP_Grid[#Data],$DE164,43),0)</f>
        <v/>
      </c>
      <c r="AU164">
        <f>IFERROR(INDEX(PP_Grid[#Data],$DE164,44),0)</f>
        <v/>
      </c>
      <c r="AV164">
        <f>IFERROR(INDEX(PP_Grid[#Data],$DE164,45),0)</f>
        <v/>
      </c>
      <c r="AW164">
        <f>IFERROR(INDEX(PP_Grid[#Data],$DE164,46),0)</f>
        <v/>
      </c>
      <c r="AX164">
        <f>IFERROR(INDEX(PP_Grid[#Data],$DE164,47),0)</f>
        <v/>
      </c>
      <c r="AY164">
        <f>IFERROR(INDEX(PP_Grid[#Data],$DE164,48),0)</f>
        <v/>
      </c>
      <c r="AZ164">
        <f>IFERROR(INDEX(PP_Grid[#Data],$DE164,49),0)</f>
        <v/>
      </c>
      <c r="BA164">
        <f>IFERROR(INDEX(PP_Grid[#Data],$DE164,50),0)</f>
        <v/>
      </c>
      <c r="BB164">
        <f>IFERROR(INDEX(PP_Grid[#Data],$DE164,51),0)</f>
        <v/>
      </c>
      <c r="BC164">
        <f>IFERROR(INDEX(PP_Grid[#Data],$DE164,52),0)</f>
        <v/>
      </c>
      <c r="BD164">
        <f>IFERROR(INDEX(PP_Grid[#Data],$DE164,53),0)</f>
        <v/>
      </c>
      <c r="BE164">
        <f>IFERROR(INDEX(PP_Grid[#Data],$DE164,54),0)</f>
        <v/>
      </c>
      <c r="BF164">
        <f>IFERROR(INDEX(PP_Grid[#Data],$DE164,55),0)</f>
        <v/>
      </c>
      <c r="BG164">
        <f>IFERROR(INDEX(PP_Grid[#Data],$DE164,56),0)</f>
        <v/>
      </c>
      <c r="BH164">
        <f>IFERROR(INDEX(PP_Grid[#Data],$DE164,57),0)</f>
        <v/>
      </c>
      <c r="BI164">
        <f>IFERROR(INDEX(PP_Grid[#Data],$DE164,58),0)</f>
        <v/>
      </c>
      <c r="BJ164">
        <f>IFERROR(INDEX(PP_Grid[#Data],$DE164,59),0)</f>
        <v/>
      </c>
      <c r="BK164">
        <f>IFERROR(INDEX(PP_Grid[#Data],$DE164,60),0)</f>
        <v/>
      </c>
      <c r="BL164">
        <f>IFERROR(INDEX(PP_Grid[#Data],$DE164,61),0)</f>
        <v/>
      </c>
      <c r="BM164">
        <f>IFERROR(INDEX(PP_Grid[#Data],$DE164,62),0)</f>
        <v/>
      </c>
      <c r="BN164">
        <f>IFERROR(INDEX(PP_Grid[#Data],$DE164,63),0)</f>
        <v/>
      </c>
      <c r="BO164">
        <f>IFERROR(INDEX(PP_Grid[#Data],$DE164,64),0)</f>
        <v/>
      </c>
      <c r="BP164">
        <f>IFERROR(INDEX(PP_Grid[#Data],$DE164,65),0)</f>
        <v/>
      </c>
      <c r="BQ164">
        <f>IFERROR(INDEX(PP_Grid[#Data],$DE164,66),0)</f>
        <v/>
      </c>
      <c r="BR164">
        <f>IFERROR(INDEX(PP_Grid[#Data],$DE164,67),0)</f>
        <v/>
      </c>
      <c r="BS164">
        <f>IFERROR(INDEX(PP_Grid[#Data],$DE164,68),0)</f>
        <v/>
      </c>
      <c r="BT164">
        <f>IFERROR(INDEX(PP_Grid[#Data],$DE164,69),0)</f>
        <v/>
      </c>
      <c r="BU164">
        <f>IFERROR(INDEX(PP_Grid[#Data],$DE164,70),0)</f>
        <v/>
      </c>
      <c r="BV164">
        <f>IFERROR(INDEX(PP_Grid[#Data],$DE164,71),0)</f>
        <v/>
      </c>
      <c r="BW164">
        <f>IFERROR(INDEX(PP_Grid[#Data],$DE164,72),0)</f>
        <v/>
      </c>
      <c r="BX164">
        <f>IFERROR(INDEX(PP_Grid[#Data],$DE164,73),0)</f>
        <v/>
      </c>
      <c r="BY164">
        <f>IFERROR(INDEX(PP_Grid[#Data],$DE164,74),0)</f>
        <v/>
      </c>
      <c r="BZ164">
        <f>IFERROR(INDEX(PP_Grid[#Data],$DE164,75),0)</f>
        <v/>
      </c>
      <c r="CA164">
        <f>IFERROR(INDEX(PP_Grid[#Data],$DE164,76),0)</f>
        <v/>
      </c>
      <c r="CB164">
        <f>IFERROR(INDEX(PP_Grid[#Data],$DE164,77),0)</f>
        <v/>
      </c>
      <c r="CC164">
        <f>IFERROR(INDEX(PP_Grid[#Data],$DE164,78),0)</f>
        <v/>
      </c>
      <c r="CD164">
        <f>IFERROR(INDEX(PP_Grid[#Data],$DE164,79),0)</f>
        <v/>
      </c>
      <c r="CE164">
        <f>IFERROR(INDEX(PP_Grid[#Data],$DE164,80),0)</f>
        <v/>
      </c>
      <c r="CF164">
        <f>IFERROR(INDEX(PP_Grid[#Data],$DE164,81),0)</f>
        <v/>
      </c>
      <c r="CG164">
        <f>IFERROR(INDEX(PP_Grid[#Data],$DE164,82),0)</f>
        <v/>
      </c>
      <c r="CH164">
        <f>IFERROR(INDEX(PP_Grid[#Data],$DE164,83),0)</f>
        <v/>
      </c>
      <c r="CI164">
        <f>IFERROR(INDEX(PP_Grid[#Data],$DE164,84),0)</f>
        <v/>
      </c>
      <c r="CJ164">
        <f>IFERROR(INDEX(PP_Grid[#Data],$DE164,85),0)</f>
        <v/>
      </c>
      <c r="CK164">
        <f>IFERROR(INDEX(PP_Grid[#Data],$DE164,86),0)</f>
        <v/>
      </c>
      <c r="CL164">
        <f>IFERROR(INDEX(PP_Grid[#Data],$DE164,87),0)</f>
        <v/>
      </c>
      <c r="CM164">
        <f>IFERROR(INDEX(PP_Grid[#Data],$DE164,88),0)</f>
        <v/>
      </c>
      <c r="CN164">
        <f>IFERROR(INDEX(PP_Grid[#Data],$DE164,89),0)</f>
        <v/>
      </c>
      <c r="CO164">
        <f>IFERROR(INDEX(PP_Grid[#Data],$DE164,90),0)</f>
        <v/>
      </c>
      <c r="CP164">
        <f>IFERROR(INDEX(PP_Grid[#Data],$DE164,91),0)</f>
        <v/>
      </c>
      <c r="CQ164">
        <f>IFERROR(INDEX(PP_Grid[#Data],$DE164,92),0)</f>
        <v/>
      </c>
      <c r="CR164">
        <f>IFERROR(INDEX(PP_Grid[#Data],$DE164,93),0)</f>
        <v/>
      </c>
      <c r="CS164">
        <f>IFERROR(INDEX(PP_Grid[#Data],$DE164,94),0)</f>
        <v/>
      </c>
      <c r="CT164">
        <f>IFERROR(INDEX(PP_Grid[#Data],$DE164,95),0)</f>
        <v/>
      </c>
      <c r="CU164">
        <f>IFERROR(INDEX(PP_Grid[#Data],$DE164,96),0)</f>
        <v/>
      </c>
      <c r="CV164">
        <f>IFERROR(INDEX(PP_Grid[#Data],$DE164,97),0)</f>
        <v/>
      </c>
      <c r="CW164">
        <f>IFERROR(INDEX(PP_Grid[#Data],$DE164,98),0)</f>
        <v/>
      </c>
      <c r="CX164">
        <f>IFERROR(INDEX(PP_Grid[#Data],$DE164,99),0)</f>
        <v/>
      </c>
      <c r="CY164">
        <f>IFERROR(INDEX(PP_Grid[#Data],$DE164,100),0)</f>
        <v/>
      </c>
      <c r="CZ164">
        <f>IFERROR(INDEX(PP_Grid[#Data],$DE164,101),0)</f>
        <v/>
      </c>
      <c r="DA164">
        <f>IFERROR(INDEX(PP_Grid[#Data],$DE164,102),0)</f>
        <v/>
      </c>
      <c r="DB164">
        <f>IFERROR(INDEX(PP_Grid[#Data],$DE164,103),0)</f>
        <v/>
      </c>
      <c r="DC164">
        <f>IFERROR(INDEX(PP_Grid[#Data],$DE164,104),0)</f>
        <v/>
      </c>
      <c r="DD164">
        <f>IFERROR(INDEX(PP_Grid[#Data],$DE164,105),0)</f>
        <v/>
      </c>
      <c r="DE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SUMIFS(M_BOM[RM_Qty_Per_Batch],M_BOM[Intermediate],$B164,M_BOM[RM_Code],$A145)</f>
        <v/>
      </c>
      <c r="D165">
        <f>IFERROR(INDEX(E165:DD165,$F$1),"")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  <c r="DD165">
        <f>$C165*DD164</f>
        <v/>
      </c>
    </row>
    <row r="166">
      <c r="B166" t="inlineStr">
        <is>
          <t>TSP-668</t>
        </is>
      </c>
      <c r="C166" t="inlineStr">
        <is>
          <t>No. of batches</t>
        </is>
      </c>
      <c r="D166">
        <f>IFERROR(INDEX(E166:DD166,$F$1),"")</f>
        <v/>
      </c>
      <c r="E166">
        <f>IFERROR(INDEX(PP_Grid[#Data],$DE166,2),0)</f>
        <v/>
      </c>
      <c r="F166">
        <f>IFERROR(INDEX(PP_Grid[#Data],$DE166,3),0)</f>
        <v/>
      </c>
      <c r="G166">
        <f>IFERROR(INDEX(PP_Grid[#Data],$DE166,4),0)</f>
        <v/>
      </c>
      <c r="H166">
        <f>IFERROR(INDEX(PP_Grid[#Data],$DE166,5),0)</f>
        <v/>
      </c>
      <c r="I166">
        <f>IFERROR(INDEX(PP_Grid[#Data],$DE166,6),0)</f>
        <v/>
      </c>
      <c r="J166">
        <f>IFERROR(INDEX(PP_Grid[#Data],$DE166,7),0)</f>
        <v/>
      </c>
      <c r="K166">
        <f>IFERROR(INDEX(PP_Grid[#Data],$DE166,8),0)</f>
        <v/>
      </c>
      <c r="L166">
        <f>IFERROR(INDEX(PP_Grid[#Data],$DE166,9),0)</f>
        <v/>
      </c>
      <c r="M166">
        <f>IFERROR(INDEX(PP_Grid[#Data],$DE166,10),0)</f>
        <v/>
      </c>
      <c r="N166">
        <f>IFERROR(INDEX(PP_Grid[#Data],$DE166,11),0)</f>
        <v/>
      </c>
      <c r="O166">
        <f>IFERROR(INDEX(PP_Grid[#Data],$DE166,12),0)</f>
        <v/>
      </c>
      <c r="P166">
        <f>IFERROR(INDEX(PP_Grid[#Data],$DE166,13),0)</f>
        <v/>
      </c>
      <c r="Q166">
        <f>IFERROR(INDEX(PP_Grid[#Data],$DE166,14),0)</f>
        <v/>
      </c>
      <c r="R166">
        <f>IFERROR(INDEX(PP_Grid[#Data],$DE166,15),0)</f>
        <v/>
      </c>
      <c r="S166">
        <f>IFERROR(INDEX(PP_Grid[#Data],$DE166,16),0)</f>
        <v/>
      </c>
      <c r="T166">
        <f>IFERROR(INDEX(PP_Grid[#Data],$DE166,17),0)</f>
        <v/>
      </c>
      <c r="U166">
        <f>IFERROR(INDEX(PP_Grid[#Data],$DE166,18),0)</f>
        <v/>
      </c>
      <c r="V166">
        <f>IFERROR(INDEX(PP_Grid[#Data],$DE166,19),0)</f>
        <v/>
      </c>
      <c r="W166">
        <f>IFERROR(INDEX(PP_Grid[#Data],$DE166,20),0)</f>
        <v/>
      </c>
      <c r="X166">
        <f>IFERROR(INDEX(PP_Grid[#Data],$DE166,21),0)</f>
        <v/>
      </c>
      <c r="Y166">
        <f>IFERROR(INDEX(PP_Grid[#Data],$DE166,22),0)</f>
        <v/>
      </c>
      <c r="Z166">
        <f>IFERROR(INDEX(PP_Grid[#Data],$DE166,23),0)</f>
        <v/>
      </c>
      <c r="AA166">
        <f>IFERROR(INDEX(PP_Grid[#Data],$DE166,24),0)</f>
        <v/>
      </c>
      <c r="AB166">
        <f>IFERROR(INDEX(PP_Grid[#Data],$DE166,25),0)</f>
        <v/>
      </c>
      <c r="AC166">
        <f>IFERROR(INDEX(PP_Grid[#Data],$DE166,26),0)</f>
        <v/>
      </c>
      <c r="AD166">
        <f>IFERROR(INDEX(PP_Grid[#Data],$DE166,27),0)</f>
        <v/>
      </c>
      <c r="AE166">
        <f>IFERROR(INDEX(PP_Grid[#Data],$DE166,28),0)</f>
        <v/>
      </c>
      <c r="AF166">
        <f>IFERROR(INDEX(PP_Grid[#Data],$DE166,29),0)</f>
        <v/>
      </c>
      <c r="AG166">
        <f>IFERROR(INDEX(PP_Grid[#Data],$DE166,30),0)</f>
        <v/>
      </c>
      <c r="AH166">
        <f>IFERROR(INDEX(PP_Grid[#Data],$DE166,31),0)</f>
        <v/>
      </c>
      <c r="AI166">
        <f>IFERROR(INDEX(PP_Grid[#Data],$DE166,32),0)</f>
        <v/>
      </c>
      <c r="AJ166">
        <f>IFERROR(INDEX(PP_Grid[#Data],$DE166,33),0)</f>
        <v/>
      </c>
      <c r="AK166">
        <f>IFERROR(INDEX(PP_Grid[#Data],$DE166,34),0)</f>
        <v/>
      </c>
      <c r="AL166">
        <f>IFERROR(INDEX(PP_Grid[#Data],$DE166,35),0)</f>
        <v/>
      </c>
      <c r="AM166">
        <f>IFERROR(INDEX(PP_Grid[#Data],$DE166,36),0)</f>
        <v/>
      </c>
      <c r="AN166">
        <f>IFERROR(INDEX(PP_Grid[#Data],$DE166,37),0)</f>
        <v/>
      </c>
      <c r="AO166">
        <f>IFERROR(INDEX(PP_Grid[#Data],$DE166,38),0)</f>
        <v/>
      </c>
      <c r="AP166">
        <f>IFERROR(INDEX(PP_Grid[#Data],$DE166,39),0)</f>
        <v/>
      </c>
      <c r="AQ166">
        <f>IFERROR(INDEX(PP_Grid[#Data],$DE166,40),0)</f>
        <v/>
      </c>
      <c r="AR166">
        <f>IFERROR(INDEX(PP_Grid[#Data],$DE166,41),0)</f>
        <v/>
      </c>
      <c r="AS166">
        <f>IFERROR(INDEX(PP_Grid[#Data],$DE166,42),0)</f>
        <v/>
      </c>
      <c r="AT166">
        <f>IFERROR(INDEX(PP_Grid[#Data],$DE166,43),0)</f>
        <v/>
      </c>
      <c r="AU166">
        <f>IFERROR(INDEX(PP_Grid[#Data],$DE166,44),0)</f>
        <v/>
      </c>
      <c r="AV166">
        <f>IFERROR(INDEX(PP_Grid[#Data],$DE166,45),0)</f>
        <v/>
      </c>
      <c r="AW166">
        <f>IFERROR(INDEX(PP_Grid[#Data],$DE166,46),0)</f>
        <v/>
      </c>
      <c r="AX166">
        <f>IFERROR(INDEX(PP_Grid[#Data],$DE166,47),0)</f>
        <v/>
      </c>
      <c r="AY166">
        <f>IFERROR(INDEX(PP_Grid[#Data],$DE166,48),0)</f>
        <v/>
      </c>
      <c r="AZ166">
        <f>IFERROR(INDEX(PP_Grid[#Data],$DE166,49),0)</f>
        <v/>
      </c>
      <c r="BA166">
        <f>IFERROR(INDEX(PP_Grid[#Data],$DE166,50),0)</f>
        <v/>
      </c>
      <c r="BB166">
        <f>IFERROR(INDEX(PP_Grid[#Data],$DE166,51),0)</f>
        <v/>
      </c>
      <c r="BC166">
        <f>IFERROR(INDEX(PP_Grid[#Data],$DE166,52),0)</f>
        <v/>
      </c>
      <c r="BD166">
        <f>IFERROR(INDEX(PP_Grid[#Data],$DE166,53),0)</f>
        <v/>
      </c>
      <c r="BE166">
        <f>IFERROR(INDEX(PP_Grid[#Data],$DE166,54),0)</f>
        <v/>
      </c>
      <c r="BF166">
        <f>IFERROR(INDEX(PP_Grid[#Data],$DE166,55),0)</f>
        <v/>
      </c>
      <c r="BG166">
        <f>IFERROR(INDEX(PP_Grid[#Data],$DE166,56),0)</f>
        <v/>
      </c>
      <c r="BH166">
        <f>IFERROR(INDEX(PP_Grid[#Data],$DE166,57),0)</f>
        <v/>
      </c>
      <c r="BI166">
        <f>IFERROR(INDEX(PP_Grid[#Data],$DE166,58),0)</f>
        <v/>
      </c>
      <c r="BJ166">
        <f>IFERROR(INDEX(PP_Grid[#Data],$DE166,59),0)</f>
        <v/>
      </c>
      <c r="BK166">
        <f>IFERROR(INDEX(PP_Grid[#Data],$DE166,60),0)</f>
        <v/>
      </c>
      <c r="BL166">
        <f>IFERROR(INDEX(PP_Grid[#Data],$DE166,61),0)</f>
        <v/>
      </c>
      <c r="BM166">
        <f>IFERROR(INDEX(PP_Grid[#Data],$DE166,62),0)</f>
        <v/>
      </c>
      <c r="BN166">
        <f>IFERROR(INDEX(PP_Grid[#Data],$DE166,63),0)</f>
        <v/>
      </c>
      <c r="BO166">
        <f>IFERROR(INDEX(PP_Grid[#Data],$DE166,64),0)</f>
        <v/>
      </c>
      <c r="BP166">
        <f>IFERROR(INDEX(PP_Grid[#Data],$DE166,65),0)</f>
        <v/>
      </c>
      <c r="BQ166">
        <f>IFERROR(INDEX(PP_Grid[#Data],$DE166,66),0)</f>
        <v/>
      </c>
      <c r="BR166">
        <f>IFERROR(INDEX(PP_Grid[#Data],$DE166,67),0)</f>
        <v/>
      </c>
      <c r="BS166">
        <f>IFERROR(INDEX(PP_Grid[#Data],$DE166,68),0)</f>
        <v/>
      </c>
      <c r="BT166">
        <f>IFERROR(INDEX(PP_Grid[#Data],$DE166,69),0)</f>
        <v/>
      </c>
      <c r="BU166">
        <f>IFERROR(INDEX(PP_Grid[#Data],$DE166,70),0)</f>
        <v/>
      </c>
      <c r="BV166">
        <f>IFERROR(INDEX(PP_Grid[#Data],$DE166,71),0)</f>
        <v/>
      </c>
      <c r="BW166">
        <f>IFERROR(INDEX(PP_Grid[#Data],$DE166,72),0)</f>
        <v/>
      </c>
      <c r="BX166">
        <f>IFERROR(INDEX(PP_Grid[#Data],$DE166,73),0)</f>
        <v/>
      </c>
      <c r="BY166">
        <f>IFERROR(INDEX(PP_Grid[#Data],$DE166,74),0)</f>
        <v/>
      </c>
      <c r="BZ166">
        <f>IFERROR(INDEX(PP_Grid[#Data],$DE166,75),0)</f>
        <v/>
      </c>
      <c r="CA166">
        <f>IFERROR(INDEX(PP_Grid[#Data],$DE166,76),0)</f>
        <v/>
      </c>
      <c r="CB166">
        <f>IFERROR(INDEX(PP_Grid[#Data],$DE166,77),0)</f>
        <v/>
      </c>
      <c r="CC166">
        <f>IFERROR(INDEX(PP_Grid[#Data],$DE166,78),0)</f>
        <v/>
      </c>
      <c r="CD166">
        <f>IFERROR(INDEX(PP_Grid[#Data],$DE166,79),0)</f>
        <v/>
      </c>
      <c r="CE166">
        <f>IFERROR(INDEX(PP_Grid[#Data],$DE166,80),0)</f>
        <v/>
      </c>
      <c r="CF166">
        <f>IFERROR(INDEX(PP_Grid[#Data],$DE166,81),0)</f>
        <v/>
      </c>
      <c r="CG166">
        <f>IFERROR(INDEX(PP_Grid[#Data],$DE166,82),0)</f>
        <v/>
      </c>
      <c r="CH166">
        <f>IFERROR(INDEX(PP_Grid[#Data],$DE166,83),0)</f>
        <v/>
      </c>
      <c r="CI166">
        <f>IFERROR(INDEX(PP_Grid[#Data],$DE166,84),0)</f>
        <v/>
      </c>
      <c r="CJ166">
        <f>IFERROR(INDEX(PP_Grid[#Data],$DE166,85),0)</f>
        <v/>
      </c>
      <c r="CK166">
        <f>IFERROR(INDEX(PP_Grid[#Data],$DE166,86),0)</f>
        <v/>
      </c>
      <c r="CL166">
        <f>IFERROR(INDEX(PP_Grid[#Data],$DE166,87),0)</f>
        <v/>
      </c>
      <c r="CM166">
        <f>IFERROR(INDEX(PP_Grid[#Data],$DE166,88),0)</f>
        <v/>
      </c>
      <c r="CN166">
        <f>IFERROR(INDEX(PP_Grid[#Data],$DE166,89),0)</f>
        <v/>
      </c>
      <c r="CO166">
        <f>IFERROR(INDEX(PP_Grid[#Data],$DE166,90),0)</f>
        <v/>
      </c>
      <c r="CP166">
        <f>IFERROR(INDEX(PP_Grid[#Data],$DE166,91),0)</f>
        <v/>
      </c>
      <c r="CQ166">
        <f>IFERROR(INDEX(PP_Grid[#Data],$DE166,92),0)</f>
        <v/>
      </c>
      <c r="CR166">
        <f>IFERROR(INDEX(PP_Grid[#Data],$DE166,93),0)</f>
        <v/>
      </c>
      <c r="CS166">
        <f>IFERROR(INDEX(PP_Grid[#Data],$DE166,94),0)</f>
        <v/>
      </c>
      <c r="CT166">
        <f>IFERROR(INDEX(PP_Grid[#Data],$DE166,95),0)</f>
        <v/>
      </c>
      <c r="CU166">
        <f>IFERROR(INDEX(PP_Grid[#Data],$DE166,96),0)</f>
        <v/>
      </c>
      <c r="CV166">
        <f>IFERROR(INDEX(PP_Grid[#Data],$DE166,97),0)</f>
        <v/>
      </c>
      <c r="CW166">
        <f>IFERROR(INDEX(PP_Grid[#Data],$DE166,98),0)</f>
        <v/>
      </c>
      <c r="CX166">
        <f>IFERROR(INDEX(PP_Grid[#Data],$DE166,99),0)</f>
        <v/>
      </c>
      <c r="CY166">
        <f>IFERROR(INDEX(PP_Grid[#Data],$DE166,100),0)</f>
        <v/>
      </c>
      <c r="CZ166">
        <f>IFERROR(INDEX(PP_Grid[#Data],$DE166,101),0)</f>
        <v/>
      </c>
      <c r="DA166">
        <f>IFERROR(INDEX(PP_Grid[#Data],$DE166,102),0)</f>
        <v/>
      </c>
      <c r="DB166">
        <f>IFERROR(INDEX(PP_Grid[#Data],$DE166,103),0)</f>
        <v/>
      </c>
      <c r="DC166">
        <f>IFERROR(INDEX(PP_Grid[#Data],$DE166,104),0)</f>
        <v/>
      </c>
      <c r="DD166">
        <f>IFERROR(INDEX(PP_Grid[#Data],$DE166,105),0)</f>
        <v/>
      </c>
      <c r="DE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SUMIFS(M_BOM[RM_Qty_Per_Batch],M_BOM[Intermediate],$B166,M_BOM[RM_Code],$A145)</f>
        <v/>
      </c>
      <c r="D167">
        <f>IFERROR(INDEX(E167:DD167,$F$1),"")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  <c r="DD167">
        <f>$C167*DD166</f>
        <v/>
      </c>
    </row>
    <row r="168">
      <c r="B168" t="inlineStr">
        <is>
          <t>TSP-669</t>
        </is>
      </c>
      <c r="C168" t="inlineStr">
        <is>
          <t>No. of batches</t>
        </is>
      </c>
      <c r="D168">
        <f>IFERROR(INDEX(E168:DD168,$F$1),"")</f>
        <v/>
      </c>
      <c r="E168">
        <f>IFERROR(INDEX(PP_Grid[#Data],$DE168,2),0)</f>
        <v/>
      </c>
      <c r="F168">
        <f>IFERROR(INDEX(PP_Grid[#Data],$DE168,3),0)</f>
        <v/>
      </c>
      <c r="G168">
        <f>IFERROR(INDEX(PP_Grid[#Data],$DE168,4),0)</f>
        <v/>
      </c>
      <c r="H168">
        <f>IFERROR(INDEX(PP_Grid[#Data],$DE168,5),0)</f>
        <v/>
      </c>
      <c r="I168">
        <f>IFERROR(INDEX(PP_Grid[#Data],$DE168,6),0)</f>
        <v/>
      </c>
      <c r="J168">
        <f>IFERROR(INDEX(PP_Grid[#Data],$DE168,7),0)</f>
        <v/>
      </c>
      <c r="K168">
        <f>IFERROR(INDEX(PP_Grid[#Data],$DE168,8),0)</f>
        <v/>
      </c>
      <c r="L168">
        <f>IFERROR(INDEX(PP_Grid[#Data],$DE168,9),0)</f>
        <v/>
      </c>
      <c r="M168">
        <f>IFERROR(INDEX(PP_Grid[#Data],$DE168,10),0)</f>
        <v/>
      </c>
      <c r="N168">
        <f>IFERROR(INDEX(PP_Grid[#Data],$DE168,11),0)</f>
        <v/>
      </c>
      <c r="O168">
        <f>IFERROR(INDEX(PP_Grid[#Data],$DE168,12),0)</f>
        <v/>
      </c>
      <c r="P168">
        <f>IFERROR(INDEX(PP_Grid[#Data],$DE168,13),0)</f>
        <v/>
      </c>
      <c r="Q168">
        <f>IFERROR(INDEX(PP_Grid[#Data],$DE168,14),0)</f>
        <v/>
      </c>
      <c r="R168">
        <f>IFERROR(INDEX(PP_Grid[#Data],$DE168,15),0)</f>
        <v/>
      </c>
      <c r="S168">
        <f>IFERROR(INDEX(PP_Grid[#Data],$DE168,16),0)</f>
        <v/>
      </c>
      <c r="T168">
        <f>IFERROR(INDEX(PP_Grid[#Data],$DE168,17),0)</f>
        <v/>
      </c>
      <c r="U168">
        <f>IFERROR(INDEX(PP_Grid[#Data],$DE168,18),0)</f>
        <v/>
      </c>
      <c r="V168">
        <f>IFERROR(INDEX(PP_Grid[#Data],$DE168,19),0)</f>
        <v/>
      </c>
      <c r="W168">
        <f>IFERROR(INDEX(PP_Grid[#Data],$DE168,20),0)</f>
        <v/>
      </c>
      <c r="X168">
        <f>IFERROR(INDEX(PP_Grid[#Data],$DE168,21),0)</f>
        <v/>
      </c>
      <c r="Y168">
        <f>IFERROR(INDEX(PP_Grid[#Data],$DE168,22),0)</f>
        <v/>
      </c>
      <c r="Z168">
        <f>IFERROR(INDEX(PP_Grid[#Data],$DE168,23),0)</f>
        <v/>
      </c>
      <c r="AA168">
        <f>IFERROR(INDEX(PP_Grid[#Data],$DE168,24),0)</f>
        <v/>
      </c>
      <c r="AB168">
        <f>IFERROR(INDEX(PP_Grid[#Data],$DE168,25),0)</f>
        <v/>
      </c>
      <c r="AC168">
        <f>IFERROR(INDEX(PP_Grid[#Data],$DE168,26),0)</f>
        <v/>
      </c>
      <c r="AD168">
        <f>IFERROR(INDEX(PP_Grid[#Data],$DE168,27),0)</f>
        <v/>
      </c>
      <c r="AE168">
        <f>IFERROR(INDEX(PP_Grid[#Data],$DE168,28),0)</f>
        <v/>
      </c>
      <c r="AF168">
        <f>IFERROR(INDEX(PP_Grid[#Data],$DE168,29),0)</f>
        <v/>
      </c>
      <c r="AG168">
        <f>IFERROR(INDEX(PP_Grid[#Data],$DE168,30),0)</f>
        <v/>
      </c>
      <c r="AH168">
        <f>IFERROR(INDEX(PP_Grid[#Data],$DE168,31),0)</f>
        <v/>
      </c>
      <c r="AI168">
        <f>IFERROR(INDEX(PP_Grid[#Data],$DE168,32),0)</f>
        <v/>
      </c>
      <c r="AJ168">
        <f>IFERROR(INDEX(PP_Grid[#Data],$DE168,33),0)</f>
        <v/>
      </c>
      <c r="AK168">
        <f>IFERROR(INDEX(PP_Grid[#Data],$DE168,34),0)</f>
        <v/>
      </c>
      <c r="AL168">
        <f>IFERROR(INDEX(PP_Grid[#Data],$DE168,35),0)</f>
        <v/>
      </c>
      <c r="AM168">
        <f>IFERROR(INDEX(PP_Grid[#Data],$DE168,36),0)</f>
        <v/>
      </c>
      <c r="AN168">
        <f>IFERROR(INDEX(PP_Grid[#Data],$DE168,37),0)</f>
        <v/>
      </c>
      <c r="AO168">
        <f>IFERROR(INDEX(PP_Grid[#Data],$DE168,38),0)</f>
        <v/>
      </c>
      <c r="AP168">
        <f>IFERROR(INDEX(PP_Grid[#Data],$DE168,39),0)</f>
        <v/>
      </c>
      <c r="AQ168">
        <f>IFERROR(INDEX(PP_Grid[#Data],$DE168,40),0)</f>
        <v/>
      </c>
      <c r="AR168">
        <f>IFERROR(INDEX(PP_Grid[#Data],$DE168,41),0)</f>
        <v/>
      </c>
      <c r="AS168">
        <f>IFERROR(INDEX(PP_Grid[#Data],$DE168,42),0)</f>
        <v/>
      </c>
      <c r="AT168">
        <f>IFERROR(INDEX(PP_Grid[#Data],$DE168,43),0)</f>
        <v/>
      </c>
      <c r="AU168">
        <f>IFERROR(INDEX(PP_Grid[#Data],$DE168,44),0)</f>
        <v/>
      </c>
      <c r="AV168">
        <f>IFERROR(INDEX(PP_Grid[#Data],$DE168,45),0)</f>
        <v/>
      </c>
      <c r="AW168">
        <f>IFERROR(INDEX(PP_Grid[#Data],$DE168,46),0)</f>
        <v/>
      </c>
      <c r="AX168">
        <f>IFERROR(INDEX(PP_Grid[#Data],$DE168,47),0)</f>
        <v/>
      </c>
      <c r="AY168">
        <f>IFERROR(INDEX(PP_Grid[#Data],$DE168,48),0)</f>
        <v/>
      </c>
      <c r="AZ168">
        <f>IFERROR(INDEX(PP_Grid[#Data],$DE168,49),0)</f>
        <v/>
      </c>
      <c r="BA168">
        <f>IFERROR(INDEX(PP_Grid[#Data],$DE168,50),0)</f>
        <v/>
      </c>
      <c r="BB168">
        <f>IFERROR(INDEX(PP_Grid[#Data],$DE168,51),0)</f>
        <v/>
      </c>
      <c r="BC168">
        <f>IFERROR(INDEX(PP_Grid[#Data],$DE168,52),0)</f>
        <v/>
      </c>
      <c r="BD168">
        <f>IFERROR(INDEX(PP_Grid[#Data],$DE168,53),0)</f>
        <v/>
      </c>
      <c r="BE168">
        <f>IFERROR(INDEX(PP_Grid[#Data],$DE168,54),0)</f>
        <v/>
      </c>
      <c r="BF168">
        <f>IFERROR(INDEX(PP_Grid[#Data],$DE168,55),0)</f>
        <v/>
      </c>
      <c r="BG168">
        <f>IFERROR(INDEX(PP_Grid[#Data],$DE168,56),0)</f>
        <v/>
      </c>
      <c r="BH168">
        <f>IFERROR(INDEX(PP_Grid[#Data],$DE168,57),0)</f>
        <v/>
      </c>
      <c r="BI168">
        <f>IFERROR(INDEX(PP_Grid[#Data],$DE168,58),0)</f>
        <v/>
      </c>
      <c r="BJ168">
        <f>IFERROR(INDEX(PP_Grid[#Data],$DE168,59),0)</f>
        <v/>
      </c>
      <c r="BK168">
        <f>IFERROR(INDEX(PP_Grid[#Data],$DE168,60),0)</f>
        <v/>
      </c>
      <c r="BL168">
        <f>IFERROR(INDEX(PP_Grid[#Data],$DE168,61),0)</f>
        <v/>
      </c>
      <c r="BM168">
        <f>IFERROR(INDEX(PP_Grid[#Data],$DE168,62),0)</f>
        <v/>
      </c>
      <c r="BN168">
        <f>IFERROR(INDEX(PP_Grid[#Data],$DE168,63),0)</f>
        <v/>
      </c>
      <c r="BO168">
        <f>IFERROR(INDEX(PP_Grid[#Data],$DE168,64),0)</f>
        <v/>
      </c>
      <c r="BP168">
        <f>IFERROR(INDEX(PP_Grid[#Data],$DE168,65),0)</f>
        <v/>
      </c>
      <c r="BQ168">
        <f>IFERROR(INDEX(PP_Grid[#Data],$DE168,66),0)</f>
        <v/>
      </c>
      <c r="BR168">
        <f>IFERROR(INDEX(PP_Grid[#Data],$DE168,67),0)</f>
        <v/>
      </c>
      <c r="BS168">
        <f>IFERROR(INDEX(PP_Grid[#Data],$DE168,68),0)</f>
        <v/>
      </c>
      <c r="BT168">
        <f>IFERROR(INDEX(PP_Grid[#Data],$DE168,69),0)</f>
        <v/>
      </c>
      <c r="BU168">
        <f>IFERROR(INDEX(PP_Grid[#Data],$DE168,70),0)</f>
        <v/>
      </c>
      <c r="BV168">
        <f>IFERROR(INDEX(PP_Grid[#Data],$DE168,71),0)</f>
        <v/>
      </c>
      <c r="BW168">
        <f>IFERROR(INDEX(PP_Grid[#Data],$DE168,72),0)</f>
        <v/>
      </c>
      <c r="BX168">
        <f>IFERROR(INDEX(PP_Grid[#Data],$DE168,73),0)</f>
        <v/>
      </c>
      <c r="BY168">
        <f>IFERROR(INDEX(PP_Grid[#Data],$DE168,74),0)</f>
        <v/>
      </c>
      <c r="BZ168">
        <f>IFERROR(INDEX(PP_Grid[#Data],$DE168,75),0)</f>
        <v/>
      </c>
      <c r="CA168">
        <f>IFERROR(INDEX(PP_Grid[#Data],$DE168,76),0)</f>
        <v/>
      </c>
      <c r="CB168">
        <f>IFERROR(INDEX(PP_Grid[#Data],$DE168,77),0)</f>
        <v/>
      </c>
      <c r="CC168">
        <f>IFERROR(INDEX(PP_Grid[#Data],$DE168,78),0)</f>
        <v/>
      </c>
      <c r="CD168">
        <f>IFERROR(INDEX(PP_Grid[#Data],$DE168,79),0)</f>
        <v/>
      </c>
      <c r="CE168">
        <f>IFERROR(INDEX(PP_Grid[#Data],$DE168,80),0)</f>
        <v/>
      </c>
      <c r="CF168">
        <f>IFERROR(INDEX(PP_Grid[#Data],$DE168,81),0)</f>
        <v/>
      </c>
      <c r="CG168">
        <f>IFERROR(INDEX(PP_Grid[#Data],$DE168,82),0)</f>
        <v/>
      </c>
      <c r="CH168">
        <f>IFERROR(INDEX(PP_Grid[#Data],$DE168,83),0)</f>
        <v/>
      </c>
      <c r="CI168">
        <f>IFERROR(INDEX(PP_Grid[#Data],$DE168,84),0)</f>
        <v/>
      </c>
      <c r="CJ168">
        <f>IFERROR(INDEX(PP_Grid[#Data],$DE168,85),0)</f>
        <v/>
      </c>
      <c r="CK168">
        <f>IFERROR(INDEX(PP_Grid[#Data],$DE168,86),0)</f>
        <v/>
      </c>
      <c r="CL168">
        <f>IFERROR(INDEX(PP_Grid[#Data],$DE168,87),0)</f>
        <v/>
      </c>
      <c r="CM168">
        <f>IFERROR(INDEX(PP_Grid[#Data],$DE168,88),0)</f>
        <v/>
      </c>
      <c r="CN168">
        <f>IFERROR(INDEX(PP_Grid[#Data],$DE168,89),0)</f>
        <v/>
      </c>
      <c r="CO168">
        <f>IFERROR(INDEX(PP_Grid[#Data],$DE168,90),0)</f>
        <v/>
      </c>
      <c r="CP168">
        <f>IFERROR(INDEX(PP_Grid[#Data],$DE168,91),0)</f>
        <v/>
      </c>
      <c r="CQ168">
        <f>IFERROR(INDEX(PP_Grid[#Data],$DE168,92),0)</f>
        <v/>
      </c>
      <c r="CR168">
        <f>IFERROR(INDEX(PP_Grid[#Data],$DE168,93),0)</f>
        <v/>
      </c>
      <c r="CS168">
        <f>IFERROR(INDEX(PP_Grid[#Data],$DE168,94),0)</f>
        <v/>
      </c>
      <c r="CT168">
        <f>IFERROR(INDEX(PP_Grid[#Data],$DE168,95),0)</f>
        <v/>
      </c>
      <c r="CU168">
        <f>IFERROR(INDEX(PP_Grid[#Data],$DE168,96),0)</f>
        <v/>
      </c>
      <c r="CV168">
        <f>IFERROR(INDEX(PP_Grid[#Data],$DE168,97),0)</f>
        <v/>
      </c>
      <c r="CW168">
        <f>IFERROR(INDEX(PP_Grid[#Data],$DE168,98),0)</f>
        <v/>
      </c>
      <c r="CX168">
        <f>IFERROR(INDEX(PP_Grid[#Data],$DE168,99),0)</f>
        <v/>
      </c>
      <c r="CY168">
        <f>IFERROR(INDEX(PP_Grid[#Data],$DE168,100),0)</f>
        <v/>
      </c>
      <c r="CZ168">
        <f>IFERROR(INDEX(PP_Grid[#Data],$DE168,101),0)</f>
        <v/>
      </c>
      <c r="DA168">
        <f>IFERROR(INDEX(PP_Grid[#Data],$DE168,102),0)</f>
        <v/>
      </c>
      <c r="DB168">
        <f>IFERROR(INDEX(PP_Grid[#Data],$DE168,103),0)</f>
        <v/>
      </c>
      <c r="DC168">
        <f>IFERROR(INDEX(PP_Grid[#Data],$DE168,104),0)</f>
        <v/>
      </c>
      <c r="DD168">
        <f>IFERROR(INDEX(PP_Grid[#Data],$DE168,105),0)</f>
        <v/>
      </c>
      <c r="DE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SUMIFS(M_BOM[RM_Qty_Per_Batch],M_BOM[Intermediate],$B168,M_BOM[RM_Code],$A145)</f>
        <v/>
      </c>
      <c r="D169">
        <f>IFERROR(INDEX(E169:DD169,$F$1),"")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  <c r="DD169">
        <f>$C169*DD168</f>
        <v/>
      </c>
    </row>
    <row r="170">
      <c r="B170" t="inlineStr">
        <is>
          <t>TSP-670</t>
        </is>
      </c>
      <c r="C170" t="inlineStr">
        <is>
          <t>No. of batches</t>
        </is>
      </c>
      <c r="D170">
        <f>IFERROR(INDEX(E170:DD170,$F$1),"")</f>
        <v/>
      </c>
      <c r="E170">
        <f>IFERROR(INDEX(PP_Grid[#Data],$DE170,2),0)</f>
        <v/>
      </c>
      <c r="F170">
        <f>IFERROR(INDEX(PP_Grid[#Data],$DE170,3),0)</f>
        <v/>
      </c>
      <c r="G170">
        <f>IFERROR(INDEX(PP_Grid[#Data],$DE170,4),0)</f>
        <v/>
      </c>
      <c r="H170">
        <f>IFERROR(INDEX(PP_Grid[#Data],$DE170,5),0)</f>
        <v/>
      </c>
      <c r="I170">
        <f>IFERROR(INDEX(PP_Grid[#Data],$DE170,6),0)</f>
        <v/>
      </c>
      <c r="J170">
        <f>IFERROR(INDEX(PP_Grid[#Data],$DE170,7),0)</f>
        <v/>
      </c>
      <c r="K170">
        <f>IFERROR(INDEX(PP_Grid[#Data],$DE170,8),0)</f>
        <v/>
      </c>
      <c r="L170">
        <f>IFERROR(INDEX(PP_Grid[#Data],$DE170,9),0)</f>
        <v/>
      </c>
      <c r="M170">
        <f>IFERROR(INDEX(PP_Grid[#Data],$DE170,10),0)</f>
        <v/>
      </c>
      <c r="N170">
        <f>IFERROR(INDEX(PP_Grid[#Data],$DE170,11),0)</f>
        <v/>
      </c>
      <c r="O170">
        <f>IFERROR(INDEX(PP_Grid[#Data],$DE170,12),0)</f>
        <v/>
      </c>
      <c r="P170">
        <f>IFERROR(INDEX(PP_Grid[#Data],$DE170,13),0)</f>
        <v/>
      </c>
      <c r="Q170">
        <f>IFERROR(INDEX(PP_Grid[#Data],$DE170,14),0)</f>
        <v/>
      </c>
      <c r="R170">
        <f>IFERROR(INDEX(PP_Grid[#Data],$DE170,15),0)</f>
        <v/>
      </c>
      <c r="S170">
        <f>IFERROR(INDEX(PP_Grid[#Data],$DE170,16),0)</f>
        <v/>
      </c>
      <c r="T170">
        <f>IFERROR(INDEX(PP_Grid[#Data],$DE170,17),0)</f>
        <v/>
      </c>
      <c r="U170">
        <f>IFERROR(INDEX(PP_Grid[#Data],$DE170,18),0)</f>
        <v/>
      </c>
      <c r="V170">
        <f>IFERROR(INDEX(PP_Grid[#Data],$DE170,19),0)</f>
        <v/>
      </c>
      <c r="W170">
        <f>IFERROR(INDEX(PP_Grid[#Data],$DE170,20),0)</f>
        <v/>
      </c>
      <c r="X170">
        <f>IFERROR(INDEX(PP_Grid[#Data],$DE170,21),0)</f>
        <v/>
      </c>
      <c r="Y170">
        <f>IFERROR(INDEX(PP_Grid[#Data],$DE170,22),0)</f>
        <v/>
      </c>
      <c r="Z170">
        <f>IFERROR(INDEX(PP_Grid[#Data],$DE170,23),0)</f>
        <v/>
      </c>
      <c r="AA170">
        <f>IFERROR(INDEX(PP_Grid[#Data],$DE170,24),0)</f>
        <v/>
      </c>
      <c r="AB170">
        <f>IFERROR(INDEX(PP_Grid[#Data],$DE170,25),0)</f>
        <v/>
      </c>
      <c r="AC170">
        <f>IFERROR(INDEX(PP_Grid[#Data],$DE170,26),0)</f>
        <v/>
      </c>
      <c r="AD170">
        <f>IFERROR(INDEX(PP_Grid[#Data],$DE170,27),0)</f>
        <v/>
      </c>
      <c r="AE170">
        <f>IFERROR(INDEX(PP_Grid[#Data],$DE170,28),0)</f>
        <v/>
      </c>
      <c r="AF170">
        <f>IFERROR(INDEX(PP_Grid[#Data],$DE170,29),0)</f>
        <v/>
      </c>
      <c r="AG170">
        <f>IFERROR(INDEX(PP_Grid[#Data],$DE170,30),0)</f>
        <v/>
      </c>
      <c r="AH170">
        <f>IFERROR(INDEX(PP_Grid[#Data],$DE170,31),0)</f>
        <v/>
      </c>
      <c r="AI170">
        <f>IFERROR(INDEX(PP_Grid[#Data],$DE170,32),0)</f>
        <v/>
      </c>
      <c r="AJ170">
        <f>IFERROR(INDEX(PP_Grid[#Data],$DE170,33),0)</f>
        <v/>
      </c>
      <c r="AK170">
        <f>IFERROR(INDEX(PP_Grid[#Data],$DE170,34),0)</f>
        <v/>
      </c>
      <c r="AL170">
        <f>IFERROR(INDEX(PP_Grid[#Data],$DE170,35),0)</f>
        <v/>
      </c>
      <c r="AM170">
        <f>IFERROR(INDEX(PP_Grid[#Data],$DE170,36),0)</f>
        <v/>
      </c>
      <c r="AN170">
        <f>IFERROR(INDEX(PP_Grid[#Data],$DE170,37),0)</f>
        <v/>
      </c>
      <c r="AO170">
        <f>IFERROR(INDEX(PP_Grid[#Data],$DE170,38),0)</f>
        <v/>
      </c>
      <c r="AP170">
        <f>IFERROR(INDEX(PP_Grid[#Data],$DE170,39),0)</f>
        <v/>
      </c>
      <c r="AQ170">
        <f>IFERROR(INDEX(PP_Grid[#Data],$DE170,40),0)</f>
        <v/>
      </c>
      <c r="AR170">
        <f>IFERROR(INDEX(PP_Grid[#Data],$DE170,41),0)</f>
        <v/>
      </c>
      <c r="AS170">
        <f>IFERROR(INDEX(PP_Grid[#Data],$DE170,42),0)</f>
        <v/>
      </c>
      <c r="AT170">
        <f>IFERROR(INDEX(PP_Grid[#Data],$DE170,43),0)</f>
        <v/>
      </c>
      <c r="AU170">
        <f>IFERROR(INDEX(PP_Grid[#Data],$DE170,44),0)</f>
        <v/>
      </c>
      <c r="AV170">
        <f>IFERROR(INDEX(PP_Grid[#Data],$DE170,45),0)</f>
        <v/>
      </c>
      <c r="AW170">
        <f>IFERROR(INDEX(PP_Grid[#Data],$DE170,46),0)</f>
        <v/>
      </c>
      <c r="AX170">
        <f>IFERROR(INDEX(PP_Grid[#Data],$DE170,47),0)</f>
        <v/>
      </c>
      <c r="AY170">
        <f>IFERROR(INDEX(PP_Grid[#Data],$DE170,48),0)</f>
        <v/>
      </c>
      <c r="AZ170">
        <f>IFERROR(INDEX(PP_Grid[#Data],$DE170,49),0)</f>
        <v/>
      </c>
      <c r="BA170">
        <f>IFERROR(INDEX(PP_Grid[#Data],$DE170,50),0)</f>
        <v/>
      </c>
      <c r="BB170">
        <f>IFERROR(INDEX(PP_Grid[#Data],$DE170,51),0)</f>
        <v/>
      </c>
      <c r="BC170">
        <f>IFERROR(INDEX(PP_Grid[#Data],$DE170,52),0)</f>
        <v/>
      </c>
      <c r="BD170">
        <f>IFERROR(INDEX(PP_Grid[#Data],$DE170,53),0)</f>
        <v/>
      </c>
      <c r="BE170">
        <f>IFERROR(INDEX(PP_Grid[#Data],$DE170,54),0)</f>
        <v/>
      </c>
      <c r="BF170">
        <f>IFERROR(INDEX(PP_Grid[#Data],$DE170,55),0)</f>
        <v/>
      </c>
      <c r="BG170">
        <f>IFERROR(INDEX(PP_Grid[#Data],$DE170,56),0)</f>
        <v/>
      </c>
      <c r="BH170">
        <f>IFERROR(INDEX(PP_Grid[#Data],$DE170,57),0)</f>
        <v/>
      </c>
      <c r="BI170">
        <f>IFERROR(INDEX(PP_Grid[#Data],$DE170,58),0)</f>
        <v/>
      </c>
      <c r="BJ170">
        <f>IFERROR(INDEX(PP_Grid[#Data],$DE170,59),0)</f>
        <v/>
      </c>
      <c r="BK170">
        <f>IFERROR(INDEX(PP_Grid[#Data],$DE170,60),0)</f>
        <v/>
      </c>
      <c r="BL170">
        <f>IFERROR(INDEX(PP_Grid[#Data],$DE170,61),0)</f>
        <v/>
      </c>
      <c r="BM170">
        <f>IFERROR(INDEX(PP_Grid[#Data],$DE170,62),0)</f>
        <v/>
      </c>
      <c r="BN170">
        <f>IFERROR(INDEX(PP_Grid[#Data],$DE170,63),0)</f>
        <v/>
      </c>
      <c r="BO170">
        <f>IFERROR(INDEX(PP_Grid[#Data],$DE170,64),0)</f>
        <v/>
      </c>
      <c r="BP170">
        <f>IFERROR(INDEX(PP_Grid[#Data],$DE170,65),0)</f>
        <v/>
      </c>
      <c r="BQ170">
        <f>IFERROR(INDEX(PP_Grid[#Data],$DE170,66),0)</f>
        <v/>
      </c>
      <c r="BR170">
        <f>IFERROR(INDEX(PP_Grid[#Data],$DE170,67),0)</f>
        <v/>
      </c>
      <c r="BS170">
        <f>IFERROR(INDEX(PP_Grid[#Data],$DE170,68),0)</f>
        <v/>
      </c>
      <c r="BT170">
        <f>IFERROR(INDEX(PP_Grid[#Data],$DE170,69),0)</f>
        <v/>
      </c>
      <c r="BU170">
        <f>IFERROR(INDEX(PP_Grid[#Data],$DE170,70),0)</f>
        <v/>
      </c>
      <c r="BV170">
        <f>IFERROR(INDEX(PP_Grid[#Data],$DE170,71),0)</f>
        <v/>
      </c>
      <c r="BW170">
        <f>IFERROR(INDEX(PP_Grid[#Data],$DE170,72),0)</f>
        <v/>
      </c>
      <c r="BX170">
        <f>IFERROR(INDEX(PP_Grid[#Data],$DE170,73),0)</f>
        <v/>
      </c>
      <c r="BY170">
        <f>IFERROR(INDEX(PP_Grid[#Data],$DE170,74),0)</f>
        <v/>
      </c>
      <c r="BZ170">
        <f>IFERROR(INDEX(PP_Grid[#Data],$DE170,75),0)</f>
        <v/>
      </c>
      <c r="CA170">
        <f>IFERROR(INDEX(PP_Grid[#Data],$DE170,76),0)</f>
        <v/>
      </c>
      <c r="CB170">
        <f>IFERROR(INDEX(PP_Grid[#Data],$DE170,77),0)</f>
        <v/>
      </c>
      <c r="CC170">
        <f>IFERROR(INDEX(PP_Grid[#Data],$DE170,78),0)</f>
        <v/>
      </c>
      <c r="CD170">
        <f>IFERROR(INDEX(PP_Grid[#Data],$DE170,79),0)</f>
        <v/>
      </c>
      <c r="CE170">
        <f>IFERROR(INDEX(PP_Grid[#Data],$DE170,80),0)</f>
        <v/>
      </c>
      <c r="CF170">
        <f>IFERROR(INDEX(PP_Grid[#Data],$DE170,81),0)</f>
        <v/>
      </c>
      <c r="CG170">
        <f>IFERROR(INDEX(PP_Grid[#Data],$DE170,82),0)</f>
        <v/>
      </c>
      <c r="CH170">
        <f>IFERROR(INDEX(PP_Grid[#Data],$DE170,83),0)</f>
        <v/>
      </c>
      <c r="CI170">
        <f>IFERROR(INDEX(PP_Grid[#Data],$DE170,84),0)</f>
        <v/>
      </c>
      <c r="CJ170">
        <f>IFERROR(INDEX(PP_Grid[#Data],$DE170,85),0)</f>
        <v/>
      </c>
      <c r="CK170">
        <f>IFERROR(INDEX(PP_Grid[#Data],$DE170,86),0)</f>
        <v/>
      </c>
      <c r="CL170">
        <f>IFERROR(INDEX(PP_Grid[#Data],$DE170,87),0)</f>
        <v/>
      </c>
      <c r="CM170">
        <f>IFERROR(INDEX(PP_Grid[#Data],$DE170,88),0)</f>
        <v/>
      </c>
      <c r="CN170">
        <f>IFERROR(INDEX(PP_Grid[#Data],$DE170,89),0)</f>
        <v/>
      </c>
      <c r="CO170">
        <f>IFERROR(INDEX(PP_Grid[#Data],$DE170,90),0)</f>
        <v/>
      </c>
      <c r="CP170">
        <f>IFERROR(INDEX(PP_Grid[#Data],$DE170,91),0)</f>
        <v/>
      </c>
      <c r="CQ170">
        <f>IFERROR(INDEX(PP_Grid[#Data],$DE170,92),0)</f>
        <v/>
      </c>
      <c r="CR170">
        <f>IFERROR(INDEX(PP_Grid[#Data],$DE170,93),0)</f>
        <v/>
      </c>
      <c r="CS170">
        <f>IFERROR(INDEX(PP_Grid[#Data],$DE170,94),0)</f>
        <v/>
      </c>
      <c r="CT170">
        <f>IFERROR(INDEX(PP_Grid[#Data],$DE170,95),0)</f>
        <v/>
      </c>
      <c r="CU170">
        <f>IFERROR(INDEX(PP_Grid[#Data],$DE170,96),0)</f>
        <v/>
      </c>
      <c r="CV170">
        <f>IFERROR(INDEX(PP_Grid[#Data],$DE170,97),0)</f>
        <v/>
      </c>
      <c r="CW170">
        <f>IFERROR(INDEX(PP_Grid[#Data],$DE170,98),0)</f>
        <v/>
      </c>
      <c r="CX170">
        <f>IFERROR(INDEX(PP_Grid[#Data],$DE170,99),0)</f>
        <v/>
      </c>
      <c r="CY170">
        <f>IFERROR(INDEX(PP_Grid[#Data],$DE170,100),0)</f>
        <v/>
      </c>
      <c r="CZ170">
        <f>IFERROR(INDEX(PP_Grid[#Data],$DE170,101),0)</f>
        <v/>
      </c>
      <c r="DA170">
        <f>IFERROR(INDEX(PP_Grid[#Data],$DE170,102),0)</f>
        <v/>
      </c>
      <c r="DB170">
        <f>IFERROR(INDEX(PP_Grid[#Data],$DE170,103),0)</f>
        <v/>
      </c>
      <c r="DC170">
        <f>IFERROR(INDEX(PP_Grid[#Data],$DE170,104),0)</f>
        <v/>
      </c>
      <c r="DD170">
        <f>IFERROR(INDEX(PP_Grid[#Data],$DE170,105),0)</f>
        <v/>
      </c>
      <c r="DE170" s="7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SUMIFS(M_BOM[RM_Qty_Per_Batch],M_BOM[Intermediate],$B170,M_BOM[RM_Code],$A145)</f>
        <v/>
      </c>
      <c r="D171">
        <f>IFERROR(INDEX(E171:DD171,$F$1),"")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  <c r="DD171">
        <f>$C171*DD170</f>
        <v/>
      </c>
    </row>
    <row r="172">
      <c r="B172" t="inlineStr">
        <is>
          <t>TSP-699</t>
        </is>
      </c>
      <c r="C172" t="inlineStr">
        <is>
          <t>No. of batches</t>
        </is>
      </c>
      <c r="D172">
        <f>IFERROR(INDEX(E172:DD172,$F$1),"")</f>
        <v/>
      </c>
      <c r="E172">
        <f>IFERROR(INDEX(PP_Grid[#Data],$DE172,2),0)</f>
        <v/>
      </c>
      <c r="F172">
        <f>IFERROR(INDEX(PP_Grid[#Data],$DE172,3),0)</f>
        <v/>
      </c>
      <c r="G172">
        <f>IFERROR(INDEX(PP_Grid[#Data],$DE172,4),0)</f>
        <v/>
      </c>
      <c r="H172">
        <f>IFERROR(INDEX(PP_Grid[#Data],$DE172,5),0)</f>
        <v/>
      </c>
      <c r="I172">
        <f>IFERROR(INDEX(PP_Grid[#Data],$DE172,6),0)</f>
        <v/>
      </c>
      <c r="J172">
        <f>IFERROR(INDEX(PP_Grid[#Data],$DE172,7),0)</f>
        <v/>
      </c>
      <c r="K172">
        <f>IFERROR(INDEX(PP_Grid[#Data],$DE172,8),0)</f>
        <v/>
      </c>
      <c r="L172">
        <f>IFERROR(INDEX(PP_Grid[#Data],$DE172,9),0)</f>
        <v/>
      </c>
      <c r="M172">
        <f>IFERROR(INDEX(PP_Grid[#Data],$DE172,10),0)</f>
        <v/>
      </c>
      <c r="N172">
        <f>IFERROR(INDEX(PP_Grid[#Data],$DE172,11),0)</f>
        <v/>
      </c>
      <c r="O172">
        <f>IFERROR(INDEX(PP_Grid[#Data],$DE172,12),0)</f>
        <v/>
      </c>
      <c r="P172">
        <f>IFERROR(INDEX(PP_Grid[#Data],$DE172,13),0)</f>
        <v/>
      </c>
      <c r="Q172">
        <f>IFERROR(INDEX(PP_Grid[#Data],$DE172,14),0)</f>
        <v/>
      </c>
      <c r="R172">
        <f>IFERROR(INDEX(PP_Grid[#Data],$DE172,15),0)</f>
        <v/>
      </c>
      <c r="S172">
        <f>IFERROR(INDEX(PP_Grid[#Data],$DE172,16),0)</f>
        <v/>
      </c>
      <c r="T172">
        <f>IFERROR(INDEX(PP_Grid[#Data],$DE172,17),0)</f>
        <v/>
      </c>
      <c r="U172">
        <f>IFERROR(INDEX(PP_Grid[#Data],$DE172,18),0)</f>
        <v/>
      </c>
      <c r="V172">
        <f>IFERROR(INDEX(PP_Grid[#Data],$DE172,19),0)</f>
        <v/>
      </c>
      <c r="W172">
        <f>IFERROR(INDEX(PP_Grid[#Data],$DE172,20),0)</f>
        <v/>
      </c>
      <c r="X172">
        <f>IFERROR(INDEX(PP_Grid[#Data],$DE172,21),0)</f>
        <v/>
      </c>
      <c r="Y172">
        <f>IFERROR(INDEX(PP_Grid[#Data],$DE172,22),0)</f>
        <v/>
      </c>
      <c r="Z172">
        <f>IFERROR(INDEX(PP_Grid[#Data],$DE172,23),0)</f>
        <v/>
      </c>
      <c r="AA172">
        <f>IFERROR(INDEX(PP_Grid[#Data],$DE172,24),0)</f>
        <v/>
      </c>
      <c r="AB172">
        <f>IFERROR(INDEX(PP_Grid[#Data],$DE172,25),0)</f>
        <v/>
      </c>
      <c r="AC172">
        <f>IFERROR(INDEX(PP_Grid[#Data],$DE172,26),0)</f>
        <v/>
      </c>
      <c r="AD172">
        <f>IFERROR(INDEX(PP_Grid[#Data],$DE172,27),0)</f>
        <v/>
      </c>
      <c r="AE172">
        <f>IFERROR(INDEX(PP_Grid[#Data],$DE172,28),0)</f>
        <v/>
      </c>
      <c r="AF172">
        <f>IFERROR(INDEX(PP_Grid[#Data],$DE172,29),0)</f>
        <v/>
      </c>
      <c r="AG172">
        <f>IFERROR(INDEX(PP_Grid[#Data],$DE172,30),0)</f>
        <v/>
      </c>
      <c r="AH172">
        <f>IFERROR(INDEX(PP_Grid[#Data],$DE172,31),0)</f>
        <v/>
      </c>
      <c r="AI172">
        <f>IFERROR(INDEX(PP_Grid[#Data],$DE172,32),0)</f>
        <v/>
      </c>
      <c r="AJ172">
        <f>IFERROR(INDEX(PP_Grid[#Data],$DE172,33),0)</f>
        <v/>
      </c>
      <c r="AK172">
        <f>IFERROR(INDEX(PP_Grid[#Data],$DE172,34),0)</f>
        <v/>
      </c>
      <c r="AL172">
        <f>IFERROR(INDEX(PP_Grid[#Data],$DE172,35),0)</f>
        <v/>
      </c>
      <c r="AM172">
        <f>IFERROR(INDEX(PP_Grid[#Data],$DE172,36),0)</f>
        <v/>
      </c>
      <c r="AN172">
        <f>IFERROR(INDEX(PP_Grid[#Data],$DE172,37),0)</f>
        <v/>
      </c>
      <c r="AO172">
        <f>IFERROR(INDEX(PP_Grid[#Data],$DE172,38),0)</f>
        <v/>
      </c>
      <c r="AP172">
        <f>IFERROR(INDEX(PP_Grid[#Data],$DE172,39),0)</f>
        <v/>
      </c>
      <c r="AQ172">
        <f>IFERROR(INDEX(PP_Grid[#Data],$DE172,40),0)</f>
        <v/>
      </c>
      <c r="AR172">
        <f>IFERROR(INDEX(PP_Grid[#Data],$DE172,41),0)</f>
        <v/>
      </c>
      <c r="AS172">
        <f>IFERROR(INDEX(PP_Grid[#Data],$DE172,42),0)</f>
        <v/>
      </c>
      <c r="AT172">
        <f>IFERROR(INDEX(PP_Grid[#Data],$DE172,43),0)</f>
        <v/>
      </c>
      <c r="AU172">
        <f>IFERROR(INDEX(PP_Grid[#Data],$DE172,44),0)</f>
        <v/>
      </c>
      <c r="AV172">
        <f>IFERROR(INDEX(PP_Grid[#Data],$DE172,45),0)</f>
        <v/>
      </c>
      <c r="AW172">
        <f>IFERROR(INDEX(PP_Grid[#Data],$DE172,46),0)</f>
        <v/>
      </c>
      <c r="AX172">
        <f>IFERROR(INDEX(PP_Grid[#Data],$DE172,47),0)</f>
        <v/>
      </c>
      <c r="AY172">
        <f>IFERROR(INDEX(PP_Grid[#Data],$DE172,48),0)</f>
        <v/>
      </c>
      <c r="AZ172">
        <f>IFERROR(INDEX(PP_Grid[#Data],$DE172,49),0)</f>
        <v/>
      </c>
      <c r="BA172">
        <f>IFERROR(INDEX(PP_Grid[#Data],$DE172,50),0)</f>
        <v/>
      </c>
      <c r="BB172">
        <f>IFERROR(INDEX(PP_Grid[#Data],$DE172,51),0)</f>
        <v/>
      </c>
      <c r="BC172">
        <f>IFERROR(INDEX(PP_Grid[#Data],$DE172,52),0)</f>
        <v/>
      </c>
      <c r="BD172">
        <f>IFERROR(INDEX(PP_Grid[#Data],$DE172,53),0)</f>
        <v/>
      </c>
      <c r="BE172">
        <f>IFERROR(INDEX(PP_Grid[#Data],$DE172,54),0)</f>
        <v/>
      </c>
      <c r="BF172">
        <f>IFERROR(INDEX(PP_Grid[#Data],$DE172,55),0)</f>
        <v/>
      </c>
      <c r="BG172">
        <f>IFERROR(INDEX(PP_Grid[#Data],$DE172,56),0)</f>
        <v/>
      </c>
      <c r="BH172">
        <f>IFERROR(INDEX(PP_Grid[#Data],$DE172,57),0)</f>
        <v/>
      </c>
      <c r="BI172">
        <f>IFERROR(INDEX(PP_Grid[#Data],$DE172,58),0)</f>
        <v/>
      </c>
      <c r="BJ172">
        <f>IFERROR(INDEX(PP_Grid[#Data],$DE172,59),0)</f>
        <v/>
      </c>
      <c r="BK172">
        <f>IFERROR(INDEX(PP_Grid[#Data],$DE172,60),0)</f>
        <v/>
      </c>
      <c r="BL172">
        <f>IFERROR(INDEX(PP_Grid[#Data],$DE172,61),0)</f>
        <v/>
      </c>
      <c r="BM172">
        <f>IFERROR(INDEX(PP_Grid[#Data],$DE172,62),0)</f>
        <v/>
      </c>
      <c r="BN172">
        <f>IFERROR(INDEX(PP_Grid[#Data],$DE172,63),0)</f>
        <v/>
      </c>
      <c r="BO172">
        <f>IFERROR(INDEX(PP_Grid[#Data],$DE172,64),0)</f>
        <v/>
      </c>
      <c r="BP172">
        <f>IFERROR(INDEX(PP_Grid[#Data],$DE172,65),0)</f>
        <v/>
      </c>
      <c r="BQ172">
        <f>IFERROR(INDEX(PP_Grid[#Data],$DE172,66),0)</f>
        <v/>
      </c>
      <c r="BR172">
        <f>IFERROR(INDEX(PP_Grid[#Data],$DE172,67),0)</f>
        <v/>
      </c>
      <c r="BS172">
        <f>IFERROR(INDEX(PP_Grid[#Data],$DE172,68),0)</f>
        <v/>
      </c>
      <c r="BT172">
        <f>IFERROR(INDEX(PP_Grid[#Data],$DE172,69),0)</f>
        <v/>
      </c>
      <c r="BU172">
        <f>IFERROR(INDEX(PP_Grid[#Data],$DE172,70),0)</f>
        <v/>
      </c>
      <c r="BV172">
        <f>IFERROR(INDEX(PP_Grid[#Data],$DE172,71),0)</f>
        <v/>
      </c>
      <c r="BW172">
        <f>IFERROR(INDEX(PP_Grid[#Data],$DE172,72),0)</f>
        <v/>
      </c>
      <c r="BX172">
        <f>IFERROR(INDEX(PP_Grid[#Data],$DE172,73),0)</f>
        <v/>
      </c>
      <c r="BY172">
        <f>IFERROR(INDEX(PP_Grid[#Data],$DE172,74),0)</f>
        <v/>
      </c>
      <c r="BZ172">
        <f>IFERROR(INDEX(PP_Grid[#Data],$DE172,75),0)</f>
        <v/>
      </c>
      <c r="CA172">
        <f>IFERROR(INDEX(PP_Grid[#Data],$DE172,76),0)</f>
        <v/>
      </c>
      <c r="CB172">
        <f>IFERROR(INDEX(PP_Grid[#Data],$DE172,77),0)</f>
        <v/>
      </c>
      <c r="CC172">
        <f>IFERROR(INDEX(PP_Grid[#Data],$DE172,78),0)</f>
        <v/>
      </c>
      <c r="CD172">
        <f>IFERROR(INDEX(PP_Grid[#Data],$DE172,79),0)</f>
        <v/>
      </c>
      <c r="CE172">
        <f>IFERROR(INDEX(PP_Grid[#Data],$DE172,80),0)</f>
        <v/>
      </c>
      <c r="CF172">
        <f>IFERROR(INDEX(PP_Grid[#Data],$DE172,81),0)</f>
        <v/>
      </c>
      <c r="CG172">
        <f>IFERROR(INDEX(PP_Grid[#Data],$DE172,82),0)</f>
        <v/>
      </c>
      <c r="CH172">
        <f>IFERROR(INDEX(PP_Grid[#Data],$DE172,83),0)</f>
        <v/>
      </c>
      <c r="CI172">
        <f>IFERROR(INDEX(PP_Grid[#Data],$DE172,84),0)</f>
        <v/>
      </c>
      <c r="CJ172">
        <f>IFERROR(INDEX(PP_Grid[#Data],$DE172,85),0)</f>
        <v/>
      </c>
      <c r="CK172">
        <f>IFERROR(INDEX(PP_Grid[#Data],$DE172,86),0)</f>
        <v/>
      </c>
      <c r="CL172">
        <f>IFERROR(INDEX(PP_Grid[#Data],$DE172,87),0)</f>
        <v/>
      </c>
      <c r="CM172">
        <f>IFERROR(INDEX(PP_Grid[#Data],$DE172,88),0)</f>
        <v/>
      </c>
      <c r="CN172">
        <f>IFERROR(INDEX(PP_Grid[#Data],$DE172,89),0)</f>
        <v/>
      </c>
      <c r="CO172">
        <f>IFERROR(INDEX(PP_Grid[#Data],$DE172,90),0)</f>
        <v/>
      </c>
      <c r="CP172">
        <f>IFERROR(INDEX(PP_Grid[#Data],$DE172,91),0)</f>
        <v/>
      </c>
      <c r="CQ172">
        <f>IFERROR(INDEX(PP_Grid[#Data],$DE172,92),0)</f>
        <v/>
      </c>
      <c r="CR172">
        <f>IFERROR(INDEX(PP_Grid[#Data],$DE172,93),0)</f>
        <v/>
      </c>
      <c r="CS172">
        <f>IFERROR(INDEX(PP_Grid[#Data],$DE172,94),0)</f>
        <v/>
      </c>
      <c r="CT172">
        <f>IFERROR(INDEX(PP_Grid[#Data],$DE172,95),0)</f>
        <v/>
      </c>
      <c r="CU172">
        <f>IFERROR(INDEX(PP_Grid[#Data],$DE172,96),0)</f>
        <v/>
      </c>
      <c r="CV172">
        <f>IFERROR(INDEX(PP_Grid[#Data],$DE172,97),0)</f>
        <v/>
      </c>
      <c r="CW172">
        <f>IFERROR(INDEX(PP_Grid[#Data],$DE172,98),0)</f>
        <v/>
      </c>
      <c r="CX172">
        <f>IFERROR(INDEX(PP_Grid[#Data],$DE172,99),0)</f>
        <v/>
      </c>
      <c r="CY172">
        <f>IFERROR(INDEX(PP_Grid[#Data],$DE172,100),0)</f>
        <v/>
      </c>
      <c r="CZ172">
        <f>IFERROR(INDEX(PP_Grid[#Data],$DE172,101),0)</f>
        <v/>
      </c>
      <c r="DA172">
        <f>IFERROR(INDEX(PP_Grid[#Data],$DE172,102),0)</f>
        <v/>
      </c>
      <c r="DB172">
        <f>IFERROR(INDEX(PP_Grid[#Data],$DE172,103),0)</f>
        <v/>
      </c>
      <c r="DC172">
        <f>IFERROR(INDEX(PP_Grid[#Data],$DE172,104),0)</f>
        <v/>
      </c>
      <c r="DD172">
        <f>IFERROR(INDEX(PP_Grid[#Data],$DE172,105),0)</f>
        <v/>
      </c>
      <c r="DE172" s="7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SUMIFS(M_BOM[RM_Qty_Per_Batch],M_BOM[Intermediate],$B172,M_BOM[RM_Code],$A145)</f>
        <v/>
      </c>
      <c r="D173">
        <f>IFERROR(INDEX(E173:DD173,$F$1),"")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  <c r="DD173">
        <f>$C173*DD172</f>
        <v/>
      </c>
    </row>
    <row r="174">
      <c r="B174" t="inlineStr">
        <is>
          <t>TSP-966</t>
        </is>
      </c>
      <c r="C174" t="inlineStr">
        <is>
          <t>No. of batches</t>
        </is>
      </c>
      <c r="D174">
        <f>IFERROR(INDEX(E174:DD174,$F$1),"")</f>
        <v/>
      </c>
      <c r="E174">
        <f>IFERROR(INDEX(PP_Grid[#Data],$DE174,2),0)</f>
        <v/>
      </c>
      <c r="F174">
        <f>IFERROR(INDEX(PP_Grid[#Data],$DE174,3),0)</f>
        <v/>
      </c>
      <c r="G174">
        <f>IFERROR(INDEX(PP_Grid[#Data],$DE174,4),0)</f>
        <v/>
      </c>
      <c r="H174">
        <f>IFERROR(INDEX(PP_Grid[#Data],$DE174,5),0)</f>
        <v/>
      </c>
      <c r="I174">
        <f>IFERROR(INDEX(PP_Grid[#Data],$DE174,6),0)</f>
        <v/>
      </c>
      <c r="J174">
        <f>IFERROR(INDEX(PP_Grid[#Data],$DE174,7),0)</f>
        <v/>
      </c>
      <c r="K174">
        <f>IFERROR(INDEX(PP_Grid[#Data],$DE174,8),0)</f>
        <v/>
      </c>
      <c r="L174">
        <f>IFERROR(INDEX(PP_Grid[#Data],$DE174,9),0)</f>
        <v/>
      </c>
      <c r="M174">
        <f>IFERROR(INDEX(PP_Grid[#Data],$DE174,10),0)</f>
        <v/>
      </c>
      <c r="N174">
        <f>IFERROR(INDEX(PP_Grid[#Data],$DE174,11),0)</f>
        <v/>
      </c>
      <c r="O174">
        <f>IFERROR(INDEX(PP_Grid[#Data],$DE174,12),0)</f>
        <v/>
      </c>
      <c r="P174">
        <f>IFERROR(INDEX(PP_Grid[#Data],$DE174,13),0)</f>
        <v/>
      </c>
      <c r="Q174">
        <f>IFERROR(INDEX(PP_Grid[#Data],$DE174,14),0)</f>
        <v/>
      </c>
      <c r="R174">
        <f>IFERROR(INDEX(PP_Grid[#Data],$DE174,15),0)</f>
        <v/>
      </c>
      <c r="S174">
        <f>IFERROR(INDEX(PP_Grid[#Data],$DE174,16),0)</f>
        <v/>
      </c>
      <c r="T174">
        <f>IFERROR(INDEX(PP_Grid[#Data],$DE174,17),0)</f>
        <v/>
      </c>
      <c r="U174">
        <f>IFERROR(INDEX(PP_Grid[#Data],$DE174,18),0)</f>
        <v/>
      </c>
      <c r="V174">
        <f>IFERROR(INDEX(PP_Grid[#Data],$DE174,19),0)</f>
        <v/>
      </c>
      <c r="W174">
        <f>IFERROR(INDEX(PP_Grid[#Data],$DE174,20),0)</f>
        <v/>
      </c>
      <c r="X174">
        <f>IFERROR(INDEX(PP_Grid[#Data],$DE174,21),0)</f>
        <v/>
      </c>
      <c r="Y174">
        <f>IFERROR(INDEX(PP_Grid[#Data],$DE174,22),0)</f>
        <v/>
      </c>
      <c r="Z174">
        <f>IFERROR(INDEX(PP_Grid[#Data],$DE174,23),0)</f>
        <v/>
      </c>
      <c r="AA174">
        <f>IFERROR(INDEX(PP_Grid[#Data],$DE174,24),0)</f>
        <v/>
      </c>
      <c r="AB174">
        <f>IFERROR(INDEX(PP_Grid[#Data],$DE174,25),0)</f>
        <v/>
      </c>
      <c r="AC174">
        <f>IFERROR(INDEX(PP_Grid[#Data],$DE174,26),0)</f>
        <v/>
      </c>
      <c r="AD174">
        <f>IFERROR(INDEX(PP_Grid[#Data],$DE174,27),0)</f>
        <v/>
      </c>
      <c r="AE174">
        <f>IFERROR(INDEX(PP_Grid[#Data],$DE174,28),0)</f>
        <v/>
      </c>
      <c r="AF174">
        <f>IFERROR(INDEX(PP_Grid[#Data],$DE174,29),0)</f>
        <v/>
      </c>
      <c r="AG174">
        <f>IFERROR(INDEX(PP_Grid[#Data],$DE174,30),0)</f>
        <v/>
      </c>
      <c r="AH174">
        <f>IFERROR(INDEX(PP_Grid[#Data],$DE174,31),0)</f>
        <v/>
      </c>
      <c r="AI174">
        <f>IFERROR(INDEX(PP_Grid[#Data],$DE174,32),0)</f>
        <v/>
      </c>
      <c r="AJ174">
        <f>IFERROR(INDEX(PP_Grid[#Data],$DE174,33),0)</f>
        <v/>
      </c>
      <c r="AK174">
        <f>IFERROR(INDEX(PP_Grid[#Data],$DE174,34),0)</f>
        <v/>
      </c>
      <c r="AL174">
        <f>IFERROR(INDEX(PP_Grid[#Data],$DE174,35),0)</f>
        <v/>
      </c>
      <c r="AM174">
        <f>IFERROR(INDEX(PP_Grid[#Data],$DE174,36),0)</f>
        <v/>
      </c>
      <c r="AN174">
        <f>IFERROR(INDEX(PP_Grid[#Data],$DE174,37),0)</f>
        <v/>
      </c>
      <c r="AO174">
        <f>IFERROR(INDEX(PP_Grid[#Data],$DE174,38),0)</f>
        <v/>
      </c>
      <c r="AP174">
        <f>IFERROR(INDEX(PP_Grid[#Data],$DE174,39),0)</f>
        <v/>
      </c>
      <c r="AQ174">
        <f>IFERROR(INDEX(PP_Grid[#Data],$DE174,40),0)</f>
        <v/>
      </c>
      <c r="AR174">
        <f>IFERROR(INDEX(PP_Grid[#Data],$DE174,41),0)</f>
        <v/>
      </c>
      <c r="AS174">
        <f>IFERROR(INDEX(PP_Grid[#Data],$DE174,42),0)</f>
        <v/>
      </c>
      <c r="AT174">
        <f>IFERROR(INDEX(PP_Grid[#Data],$DE174,43),0)</f>
        <v/>
      </c>
      <c r="AU174">
        <f>IFERROR(INDEX(PP_Grid[#Data],$DE174,44),0)</f>
        <v/>
      </c>
      <c r="AV174">
        <f>IFERROR(INDEX(PP_Grid[#Data],$DE174,45),0)</f>
        <v/>
      </c>
      <c r="AW174">
        <f>IFERROR(INDEX(PP_Grid[#Data],$DE174,46),0)</f>
        <v/>
      </c>
      <c r="AX174">
        <f>IFERROR(INDEX(PP_Grid[#Data],$DE174,47),0)</f>
        <v/>
      </c>
      <c r="AY174">
        <f>IFERROR(INDEX(PP_Grid[#Data],$DE174,48),0)</f>
        <v/>
      </c>
      <c r="AZ174">
        <f>IFERROR(INDEX(PP_Grid[#Data],$DE174,49),0)</f>
        <v/>
      </c>
      <c r="BA174">
        <f>IFERROR(INDEX(PP_Grid[#Data],$DE174,50),0)</f>
        <v/>
      </c>
      <c r="BB174">
        <f>IFERROR(INDEX(PP_Grid[#Data],$DE174,51),0)</f>
        <v/>
      </c>
      <c r="BC174">
        <f>IFERROR(INDEX(PP_Grid[#Data],$DE174,52),0)</f>
        <v/>
      </c>
      <c r="BD174">
        <f>IFERROR(INDEX(PP_Grid[#Data],$DE174,53),0)</f>
        <v/>
      </c>
      <c r="BE174">
        <f>IFERROR(INDEX(PP_Grid[#Data],$DE174,54),0)</f>
        <v/>
      </c>
      <c r="BF174">
        <f>IFERROR(INDEX(PP_Grid[#Data],$DE174,55),0)</f>
        <v/>
      </c>
      <c r="BG174">
        <f>IFERROR(INDEX(PP_Grid[#Data],$DE174,56),0)</f>
        <v/>
      </c>
      <c r="BH174">
        <f>IFERROR(INDEX(PP_Grid[#Data],$DE174,57),0)</f>
        <v/>
      </c>
      <c r="BI174">
        <f>IFERROR(INDEX(PP_Grid[#Data],$DE174,58),0)</f>
        <v/>
      </c>
      <c r="BJ174">
        <f>IFERROR(INDEX(PP_Grid[#Data],$DE174,59),0)</f>
        <v/>
      </c>
      <c r="BK174">
        <f>IFERROR(INDEX(PP_Grid[#Data],$DE174,60),0)</f>
        <v/>
      </c>
      <c r="BL174">
        <f>IFERROR(INDEX(PP_Grid[#Data],$DE174,61),0)</f>
        <v/>
      </c>
      <c r="BM174">
        <f>IFERROR(INDEX(PP_Grid[#Data],$DE174,62),0)</f>
        <v/>
      </c>
      <c r="BN174">
        <f>IFERROR(INDEX(PP_Grid[#Data],$DE174,63),0)</f>
        <v/>
      </c>
      <c r="BO174">
        <f>IFERROR(INDEX(PP_Grid[#Data],$DE174,64),0)</f>
        <v/>
      </c>
      <c r="BP174">
        <f>IFERROR(INDEX(PP_Grid[#Data],$DE174,65),0)</f>
        <v/>
      </c>
      <c r="BQ174">
        <f>IFERROR(INDEX(PP_Grid[#Data],$DE174,66),0)</f>
        <v/>
      </c>
      <c r="BR174">
        <f>IFERROR(INDEX(PP_Grid[#Data],$DE174,67),0)</f>
        <v/>
      </c>
      <c r="BS174">
        <f>IFERROR(INDEX(PP_Grid[#Data],$DE174,68),0)</f>
        <v/>
      </c>
      <c r="BT174">
        <f>IFERROR(INDEX(PP_Grid[#Data],$DE174,69),0)</f>
        <v/>
      </c>
      <c r="BU174">
        <f>IFERROR(INDEX(PP_Grid[#Data],$DE174,70),0)</f>
        <v/>
      </c>
      <c r="BV174">
        <f>IFERROR(INDEX(PP_Grid[#Data],$DE174,71),0)</f>
        <v/>
      </c>
      <c r="BW174">
        <f>IFERROR(INDEX(PP_Grid[#Data],$DE174,72),0)</f>
        <v/>
      </c>
      <c r="BX174">
        <f>IFERROR(INDEX(PP_Grid[#Data],$DE174,73),0)</f>
        <v/>
      </c>
      <c r="BY174">
        <f>IFERROR(INDEX(PP_Grid[#Data],$DE174,74),0)</f>
        <v/>
      </c>
      <c r="BZ174">
        <f>IFERROR(INDEX(PP_Grid[#Data],$DE174,75),0)</f>
        <v/>
      </c>
      <c r="CA174">
        <f>IFERROR(INDEX(PP_Grid[#Data],$DE174,76),0)</f>
        <v/>
      </c>
      <c r="CB174">
        <f>IFERROR(INDEX(PP_Grid[#Data],$DE174,77),0)</f>
        <v/>
      </c>
      <c r="CC174">
        <f>IFERROR(INDEX(PP_Grid[#Data],$DE174,78),0)</f>
        <v/>
      </c>
      <c r="CD174">
        <f>IFERROR(INDEX(PP_Grid[#Data],$DE174,79),0)</f>
        <v/>
      </c>
      <c r="CE174">
        <f>IFERROR(INDEX(PP_Grid[#Data],$DE174,80),0)</f>
        <v/>
      </c>
      <c r="CF174">
        <f>IFERROR(INDEX(PP_Grid[#Data],$DE174,81),0)</f>
        <v/>
      </c>
      <c r="CG174">
        <f>IFERROR(INDEX(PP_Grid[#Data],$DE174,82),0)</f>
        <v/>
      </c>
      <c r="CH174">
        <f>IFERROR(INDEX(PP_Grid[#Data],$DE174,83),0)</f>
        <v/>
      </c>
      <c r="CI174">
        <f>IFERROR(INDEX(PP_Grid[#Data],$DE174,84),0)</f>
        <v/>
      </c>
      <c r="CJ174">
        <f>IFERROR(INDEX(PP_Grid[#Data],$DE174,85),0)</f>
        <v/>
      </c>
      <c r="CK174">
        <f>IFERROR(INDEX(PP_Grid[#Data],$DE174,86),0)</f>
        <v/>
      </c>
      <c r="CL174">
        <f>IFERROR(INDEX(PP_Grid[#Data],$DE174,87),0)</f>
        <v/>
      </c>
      <c r="CM174">
        <f>IFERROR(INDEX(PP_Grid[#Data],$DE174,88),0)</f>
        <v/>
      </c>
      <c r="CN174">
        <f>IFERROR(INDEX(PP_Grid[#Data],$DE174,89),0)</f>
        <v/>
      </c>
      <c r="CO174">
        <f>IFERROR(INDEX(PP_Grid[#Data],$DE174,90),0)</f>
        <v/>
      </c>
      <c r="CP174">
        <f>IFERROR(INDEX(PP_Grid[#Data],$DE174,91),0)</f>
        <v/>
      </c>
      <c r="CQ174">
        <f>IFERROR(INDEX(PP_Grid[#Data],$DE174,92),0)</f>
        <v/>
      </c>
      <c r="CR174">
        <f>IFERROR(INDEX(PP_Grid[#Data],$DE174,93),0)</f>
        <v/>
      </c>
      <c r="CS174">
        <f>IFERROR(INDEX(PP_Grid[#Data],$DE174,94),0)</f>
        <v/>
      </c>
      <c r="CT174">
        <f>IFERROR(INDEX(PP_Grid[#Data],$DE174,95),0)</f>
        <v/>
      </c>
      <c r="CU174">
        <f>IFERROR(INDEX(PP_Grid[#Data],$DE174,96),0)</f>
        <v/>
      </c>
      <c r="CV174">
        <f>IFERROR(INDEX(PP_Grid[#Data],$DE174,97),0)</f>
        <v/>
      </c>
      <c r="CW174">
        <f>IFERROR(INDEX(PP_Grid[#Data],$DE174,98),0)</f>
        <v/>
      </c>
      <c r="CX174">
        <f>IFERROR(INDEX(PP_Grid[#Data],$DE174,99),0)</f>
        <v/>
      </c>
      <c r="CY174">
        <f>IFERROR(INDEX(PP_Grid[#Data],$DE174,100),0)</f>
        <v/>
      </c>
      <c r="CZ174">
        <f>IFERROR(INDEX(PP_Grid[#Data],$DE174,101),0)</f>
        <v/>
      </c>
      <c r="DA174">
        <f>IFERROR(INDEX(PP_Grid[#Data],$DE174,102),0)</f>
        <v/>
      </c>
      <c r="DB174">
        <f>IFERROR(INDEX(PP_Grid[#Data],$DE174,103),0)</f>
        <v/>
      </c>
      <c r="DC174">
        <f>IFERROR(INDEX(PP_Grid[#Data],$DE174,104),0)</f>
        <v/>
      </c>
      <c r="DD174">
        <f>IFERROR(INDEX(PP_Grid[#Data],$DE174,105),0)</f>
        <v/>
      </c>
      <c r="DE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SUMIFS(M_BOM[RM_Qty_Per_Batch],M_BOM[Intermediate],$B174,M_BOM[RM_Code],$A145)</f>
        <v/>
      </c>
      <c r="D175">
        <f>IFERROR(INDEX(E175:DD175,$F$1),"")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  <c r="DD175">
        <f>$C175*DD174</f>
        <v/>
      </c>
    </row>
    <row r="176">
      <c r="B176" s="4" t="inlineStr">
        <is>
          <t>合計使用量(kg)/週</t>
        </is>
      </c>
      <c r="D176" s="23">
        <f>IFERROR(INDEX(E176:DD176,$F$1),"")</f>
        <v/>
      </c>
      <c r="E176">
        <f>'Grid_Requirement'!B2</f>
        <v/>
      </c>
      <c r="F176">
        <f>'Grid_Requirement'!C2</f>
        <v/>
      </c>
      <c r="G176">
        <f>'Grid_Requirement'!D2</f>
        <v/>
      </c>
      <c r="H176">
        <f>'Grid_Requirement'!E2</f>
        <v/>
      </c>
      <c r="I176">
        <f>'Grid_Requirement'!F2</f>
        <v/>
      </c>
      <c r="J176">
        <f>'Grid_Requirement'!G2</f>
        <v/>
      </c>
      <c r="K176">
        <f>'Grid_Requirement'!H2</f>
        <v/>
      </c>
      <c r="L176">
        <f>'Grid_Requirement'!I2</f>
        <v/>
      </c>
      <c r="M176">
        <f>'Grid_Requirement'!J2</f>
        <v/>
      </c>
      <c r="N176">
        <f>'Grid_Requirement'!K2</f>
        <v/>
      </c>
      <c r="O176">
        <f>'Grid_Requirement'!L2</f>
        <v/>
      </c>
      <c r="P176">
        <f>'Grid_Requirement'!M2</f>
        <v/>
      </c>
      <c r="Q176">
        <f>'Grid_Requirement'!N2</f>
        <v/>
      </c>
      <c r="R176">
        <f>'Grid_Requirement'!O2</f>
        <v/>
      </c>
      <c r="S176">
        <f>'Grid_Requirement'!P2</f>
        <v/>
      </c>
      <c r="T176">
        <f>'Grid_Requirement'!Q2</f>
        <v/>
      </c>
      <c r="U176">
        <f>'Grid_Requirement'!R2</f>
        <v/>
      </c>
      <c r="V176">
        <f>'Grid_Requirement'!S2</f>
        <v/>
      </c>
      <c r="W176">
        <f>'Grid_Requirement'!T2</f>
        <v/>
      </c>
      <c r="X176">
        <f>'Grid_Requirement'!U2</f>
        <v/>
      </c>
      <c r="Y176">
        <f>'Grid_Requirement'!V2</f>
        <v/>
      </c>
      <c r="Z176">
        <f>'Grid_Requirement'!W2</f>
        <v/>
      </c>
      <c r="AA176">
        <f>'Grid_Requirement'!X2</f>
        <v/>
      </c>
      <c r="AB176">
        <f>'Grid_Requirement'!Y2</f>
        <v/>
      </c>
      <c r="AC176">
        <f>'Grid_Requirement'!Z2</f>
        <v/>
      </c>
      <c r="AD176">
        <f>'Grid_Requirement'!AA2</f>
        <v/>
      </c>
      <c r="AE176">
        <f>'Grid_Requirement'!AB2</f>
        <v/>
      </c>
      <c r="AF176">
        <f>'Grid_Requirement'!AC2</f>
        <v/>
      </c>
      <c r="AG176">
        <f>'Grid_Requirement'!AD2</f>
        <v/>
      </c>
      <c r="AH176">
        <f>'Grid_Requirement'!AE2</f>
        <v/>
      </c>
      <c r="AI176">
        <f>'Grid_Requirement'!AF2</f>
        <v/>
      </c>
      <c r="AJ176">
        <f>'Grid_Requirement'!AG2</f>
        <v/>
      </c>
      <c r="AK176">
        <f>'Grid_Requirement'!AH2</f>
        <v/>
      </c>
      <c r="AL176">
        <f>'Grid_Requirement'!AI2</f>
        <v/>
      </c>
      <c r="AM176">
        <f>'Grid_Requirement'!AJ2</f>
        <v/>
      </c>
      <c r="AN176">
        <f>'Grid_Requirement'!AK2</f>
        <v/>
      </c>
      <c r="AO176">
        <f>'Grid_Requirement'!AL2</f>
        <v/>
      </c>
      <c r="AP176">
        <f>'Grid_Requirement'!AM2</f>
        <v/>
      </c>
      <c r="AQ176">
        <f>'Grid_Requirement'!AN2</f>
        <v/>
      </c>
      <c r="AR176">
        <f>'Grid_Requirement'!AO2</f>
        <v/>
      </c>
      <c r="AS176">
        <f>'Grid_Requirement'!AP2</f>
        <v/>
      </c>
      <c r="AT176">
        <f>'Grid_Requirement'!AQ2</f>
        <v/>
      </c>
      <c r="AU176">
        <f>'Grid_Requirement'!AR2</f>
        <v/>
      </c>
      <c r="AV176">
        <f>'Grid_Requirement'!AS2</f>
        <v/>
      </c>
      <c r="AW176">
        <f>'Grid_Requirement'!AT2</f>
        <v/>
      </c>
      <c r="AX176">
        <f>'Grid_Requirement'!AU2</f>
        <v/>
      </c>
      <c r="AY176">
        <f>'Grid_Requirement'!AV2</f>
        <v/>
      </c>
      <c r="AZ176">
        <f>'Grid_Requirement'!AW2</f>
        <v/>
      </c>
      <c r="BA176">
        <f>'Grid_Requirement'!AX2</f>
        <v/>
      </c>
      <c r="BB176">
        <f>'Grid_Requirement'!AY2</f>
        <v/>
      </c>
      <c r="BC176">
        <f>'Grid_Requirement'!AZ2</f>
        <v/>
      </c>
      <c r="BD176">
        <f>'Grid_Requirement'!BA2</f>
        <v/>
      </c>
      <c r="BE176">
        <f>'Grid_Requirement'!BB2</f>
        <v/>
      </c>
      <c r="BF176">
        <f>'Grid_Requirement'!BC2</f>
        <v/>
      </c>
      <c r="BG176">
        <f>'Grid_Requirement'!BD2</f>
        <v/>
      </c>
      <c r="BH176">
        <f>'Grid_Requirement'!BE2</f>
        <v/>
      </c>
      <c r="BI176">
        <f>'Grid_Requirement'!BF2</f>
        <v/>
      </c>
      <c r="BJ176">
        <f>'Grid_Requirement'!BG2</f>
        <v/>
      </c>
      <c r="BK176">
        <f>'Grid_Requirement'!BH2</f>
        <v/>
      </c>
      <c r="BL176">
        <f>'Grid_Requirement'!BI2</f>
        <v/>
      </c>
      <c r="BM176">
        <f>'Grid_Requirement'!BJ2</f>
        <v/>
      </c>
      <c r="BN176">
        <f>'Grid_Requirement'!BK2</f>
        <v/>
      </c>
      <c r="BO176">
        <f>'Grid_Requirement'!BL2</f>
        <v/>
      </c>
      <c r="BP176">
        <f>'Grid_Requirement'!BM2</f>
        <v/>
      </c>
      <c r="BQ176">
        <f>'Grid_Requirement'!BN2</f>
        <v/>
      </c>
      <c r="BR176">
        <f>'Grid_Requirement'!BO2</f>
        <v/>
      </c>
      <c r="BS176">
        <f>'Grid_Requirement'!BP2</f>
        <v/>
      </c>
      <c r="BT176">
        <f>'Grid_Requirement'!BQ2</f>
        <v/>
      </c>
      <c r="BU176">
        <f>'Grid_Requirement'!BR2</f>
        <v/>
      </c>
      <c r="BV176">
        <f>'Grid_Requirement'!BS2</f>
        <v/>
      </c>
      <c r="BW176">
        <f>'Grid_Requirement'!BT2</f>
        <v/>
      </c>
      <c r="BX176">
        <f>'Grid_Requirement'!BU2</f>
        <v/>
      </c>
      <c r="BY176">
        <f>'Grid_Requirement'!BV2</f>
        <v/>
      </c>
      <c r="BZ176">
        <f>'Grid_Requirement'!BW2</f>
        <v/>
      </c>
      <c r="CA176">
        <f>'Grid_Requirement'!BX2</f>
        <v/>
      </c>
      <c r="CB176">
        <f>'Grid_Requirement'!BY2</f>
        <v/>
      </c>
      <c r="CC176">
        <f>'Grid_Requirement'!BZ2</f>
        <v/>
      </c>
      <c r="CD176">
        <f>'Grid_Requirement'!CA2</f>
        <v/>
      </c>
      <c r="CE176">
        <f>'Grid_Requirement'!CB2</f>
        <v/>
      </c>
      <c r="CF176">
        <f>'Grid_Requirement'!CC2</f>
        <v/>
      </c>
      <c r="CG176">
        <f>'Grid_Requirement'!CD2</f>
        <v/>
      </c>
      <c r="CH176">
        <f>'Grid_Requirement'!CE2</f>
        <v/>
      </c>
      <c r="CI176">
        <f>'Grid_Requirement'!CF2</f>
        <v/>
      </c>
      <c r="CJ176">
        <f>'Grid_Requirement'!CG2</f>
        <v/>
      </c>
      <c r="CK176">
        <f>'Grid_Requirement'!CH2</f>
        <v/>
      </c>
      <c r="CL176">
        <f>'Grid_Requirement'!CI2</f>
        <v/>
      </c>
      <c r="CM176">
        <f>'Grid_Requirement'!CJ2</f>
        <v/>
      </c>
      <c r="CN176">
        <f>'Grid_Requirement'!CK2</f>
        <v/>
      </c>
      <c r="CO176">
        <f>'Grid_Requirement'!CL2</f>
        <v/>
      </c>
      <c r="CP176">
        <f>'Grid_Requirement'!CM2</f>
        <v/>
      </c>
      <c r="CQ176">
        <f>'Grid_Requirement'!CN2</f>
        <v/>
      </c>
      <c r="CR176">
        <f>'Grid_Requirement'!CO2</f>
        <v/>
      </c>
      <c r="CS176">
        <f>'Grid_Requirement'!CP2</f>
        <v/>
      </c>
      <c r="CT176">
        <f>'Grid_Requirement'!CQ2</f>
        <v/>
      </c>
      <c r="CU176">
        <f>'Grid_Requirement'!CR2</f>
        <v/>
      </c>
      <c r="CV176">
        <f>'Grid_Requirement'!CS2</f>
        <v/>
      </c>
      <c r="CW176">
        <f>'Grid_Requirement'!CT2</f>
        <v/>
      </c>
      <c r="CX176">
        <f>'Grid_Requirement'!CU2</f>
        <v/>
      </c>
      <c r="CY176">
        <f>'Grid_Requirement'!CV2</f>
        <v/>
      </c>
      <c r="CZ176">
        <f>'Grid_Requirement'!CW2</f>
        <v/>
      </c>
      <c r="DA176">
        <f>'Grid_Requirement'!CX2</f>
        <v/>
      </c>
      <c r="DB176">
        <f>'Grid_Requirement'!CY2</f>
        <v/>
      </c>
      <c r="DC176">
        <f>'Grid_Requirement'!CZ2</f>
        <v/>
      </c>
      <c r="DD176">
        <f>'Grid_Requirement'!DA2</f>
        <v/>
      </c>
    </row>
    <row r="177">
      <c r="B177" t="inlineStr">
        <is>
          <t>TTAF在庫(実績,kg)</t>
        </is>
      </c>
      <c r="D177">
        <f>IFERROR(INDEX(E177:DD177,$F$1),"")</f>
        <v/>
      </c>
      <c r="E177">
        <f>IFERROR(SUMIFS(T_TTAFStock[TTAF_Qty],T_TTAFStock[RM_Code],$A145,T_TTAFStock[WeekIndex],1),"")</f>
        <v/>
      </c>
      <c r="F177">
        <f>IFERROR(SUMIFS(T_TTAFStock[TTAF_Qty],T_TTAFStock[RM_Code],$A145,T_TTAFStock[WeekIndex],2),"")</f>
        <v/>
      </c>
      <c r="G177">
        <f>IFERROR(SUMIFS(T_TTAFStock[TTAF_Qty],T_TTAFStock[RM_Code],$A145,T_TTAFStock[WeekIndex],3),"")</f>
        <v/>
      </c>
      <c r="H177">
        <f>IFERROR(SUMIFS(T_TTAFStock[TTAF_Qty],T_TTAFStock[RM_Code],$A145,T_TTAFStock[WeekIndex],4),"")</f>
        <v/>
      </c>
      <c r="I177">
        <f>IFERROR(SUMIFS(T_TTAFStock[TTAF_Qty],T_TTAFStock[RM_Code],$A145,T_TTAFStock[WeekIndex],5),"")</f>
        <v/>
      </c>
      <c r="J177">
        <f>IFERROR(SUMIFS(T_TTAFStock[TTAF_Qty],T_TTAFStock[RM_Code],$A145,T_TTAFStock[WeekIndex],6),"")</f>
        <v/>
      </c>
      <c r="K177">
        <f>IFERROR(SUMIFS(T_TTAFStock[TTAF_Qty],T_TTAFStock[RM_Code],$A145,T_TTAFStock[WeekIndex],7),"")</f>
        <v/>
      </c>
      <c r="L177">
        <f>IFERROR(SUMIFS(T_TTAFStock[TTAF_Qty],T_TTAFStock[RM_Code],$A145,T_TTAFStock[WeekIndex],8),"")</f>
        <v/>
      </c>
      <c r="M177">
        <f>IFERROR(SUMIFS(T_TTAFStock[TTAF_Qty],T_TTAFStock[RM_Code],$A145,T_TTAFStock[WeekIndex],9),"")</f>
        <v/>
      </c>
      <c r="N177">
        <f>IFERROR(SUMIFS(T_TTAFStock[TTAF_Qty],T_TTAFStock[RM_Code],$A145,T_TTAFStock[WeekIndex],10),"")</f>
        <v/>
      </c>
      <c r="O177">
        <f>IFERROR(SUMIFS(T_TTAFStock[TTAF_Qty],T_TTAFStock[RM_Code],$A145,T_TTAFStock[WeekIndex],11),"")</f>
        <v/>
      </c>
      <c r="P177">
        <f>IFERROR(SUMIFS(T_TTAFStock[TTAF_Qty],T_TTAFStock[RM_Code],$A145,T_TTAFStock[WeekIndex],12),"")</f>
        <v/>
      </c>
      <c r="Q177">
        <f>IFERROR(SUMIFS(T_TTAFStock[TTAF_Qty],T_TTAFStock[RM_Code],$A145,T_TTAFStock[WeekIndex],13),"")</f>
        <v/>
      </c>
      <c r="R177">
        <f>IFERROR(SUMIFS(T_TTAFStock[TTAF_Qty],T_TTAFStock[RM_Code],$A145,T_TTAFStock[WeekIndex],14),"")</f>
        <v/>
      </c>
      <c r="S177">
        <f>IFERROR(SUMIFS(T_TTAFStock[TTAF_Qty],T_TTAFStock[RM_Code],$A145,T_TTAFStock[WeekIndex],15),"")</f>
        <v/>
      </c>
      <c r="T177">
        <f>IFERROR(SUMIFS(T_TTAFStock[TTAF_Qty],T_TTAFStock[RM_Code],$A145,T_TTAFStock[WeekIndex],16),"")</f>
        <v/>
      </c>
      <c r="U177">
        <f>IFERROR(SUMIFS(T_TTAFStock[TTAF_Qty],T_TTAFStock[RM_Code],$A145,T_TTAFStock[WeekIndex],17),"")</f>
        <v/>
      </c>
      <c r="V177">
        <f>IFERROR(SUMIFS(T_TTAFStock[TTAF_Qty],T_TTAFStock[RM_Code],$A145,T_TTAFStock[WeekIndex],18),"")</f>
        <v/>
      </c>
      <c r="W177">
        <f>IFERROR(SUMIFS(T_TTAFStock[TTAF_Qty],T_TTAFStock[RM_Code],$A145,T_TTAFStock[WeekIndex],19),"")</f>
        <v/>
      </c>
      <c r="X177">
        <f>IFERROR(SUMIFS(T_TTAFStock[TTAF_Qty],T_TTAFStock[RM_Code],$A145,T_TTAFStock[WeekIndex],20),"")</f>
        <v/>
      </c>
      <c r="Y177">
        <f>IFERROR(SUMIFS(T_TTAFStock[TTAF_Qty],T_TTAFStock[RM_Code],$A145,T_TTAFStock[WeekIndex],21),"")</f>
        <v/>
      </c>
      <c r="Z177">
        <f>IFERROR(SUMIFS(T_TTAFStock[TTAF_Qty],T_TTAFStock[RM_Code],$A145,T_TTAFStock[WeekIndex],22),"")</f>
        <v/>
      </c>
      <c r="AA177">
        <f>IFERROR(SUMIFS(T_TTAFStock[TTAF_Qty],T_TTAFStock[RM_Code],$A145,T_TTAFStock[WeekIndex],23),"")</f>
        <v/>
      </c>
      <c r="AB177">
        <f>IFERROR(SUMIFS(T_TTAFStock[TTAF_Qty],T_TTAFStock[RM_Code],$A145,T_TTAFStock[WeekIndex],24),"")</f>
        <v/>
      </c>
      <c r="AC177">
        <f>IFERROR(SUMIFS(T_TTAFStock[TTAF_Qty],T_TTAFStock[RM_Code],$A145,T_TTAFStock[WeekIndex],25),"")</f>
        <v/>
      </c>
      <c r="AD177">
        <f>IFERROR(SUMIFS(T_TTAFStock[TTAF_Qty],T_TTAFStock[RM_Code],$A145,T_TTAFStock[WeekIndex],26),"")</f>
        <v/>
      </c>
      <c r="AE177">
        <f>IFERROR(SUMIFS(T_TTAFStock[TTAF_Qty],T_TTAFStock[RM_Code],$A145,T_TTAFStock[WeekIndex],27),"")</f>
        <v/>
      </c>
      <c r="AF177">
        <f>IFERROR(SUMIFS(T_TTAFStock[TTAF_Qty],T_TTAFStock[RM_Code],$A145,T_TTAFStock[WeekIndex],28),"")</f>
        <v/>
      </c>
      <c r="AG177">
        <f>IFERROR(SUMIFS(T_TTAFStock[TTAF_Qty],T_TTAFStock[RM_Code],$A145,T_TTAFStock[WeekIndex],29),"")</f>
        <v/>
      </c>
      <c r="AH177">
        <f>IFERROR(SUMIFS(T_TTAFStock[TTAF_Qty],T_TTAFStock[RM_Code],$A145,T_TTAFStock[WeekIndex],30),"")</f>
        <v/>
      </c>
      <c r="AI177">
        <f>IFERROR(SUMIFS(T_TTAFStock[TTAF_Qty],T_TTAFStock[RM_Code],$A145,T_TTAFStock[WeekIndex],31),"")</f>
        <v/>
      </c>
      <c r="AJ177">
        <f>IFERROR(SUMIFS(T_TTAFStock[TTAF_Qty],T_TTAFStock[RM_Code],$A145,T_TTAFStock[WeekIndex],32),"")</f>
        <v/>
      </c>
      <c r="AK177">
        <f>IFERROR(SUMIFS(T_TTAFStock[TTAF_Qty],T_TTAFStock[RM_Code],$A145,T_TTAFStock[WeekIndex],33),"")</f>
        <v/>
      </c>
      <c r="AL177">
        <f>IFERROR(SUMIFS(T_TTAFStock[TTAF_Qty],T_TTAFStock[RM_Code],$A145,T_TTAFStock[WeekIndex],34),"")</f>
        <v/>
      </c>
      <c r="AM177">
        <f>IFERROR(SUMIFS(T_TTAFStock[TTAF_Qty],T_TTAFStock[RM_Code],$A145,T_TTAFStock[WeekIndex],35),"")</f>
        <v/>
      </c>
      <c r="AN177">
        <f>IFERROR(SUMIFS(T_TTAFStock[TTAF_Qty],T_TTAFStock[RM_Code],$A145,T_TTAFStock[WeekIndex],36),"")</f>
        <v/>
      </c>
      <c r="AO177">
        <f>IFERROR(SUMIFS(T_TTAFStock[TTAF_Qty],T_TTAFStock[RM_Code],$A145,T_TTAFStock[WeekIndex],37),"")</f>
        <v/>
      </c>
      <c r="AP177">
        <f>IFERROR(SUMIFS(T_TTAFStock[TTAF_Qty],T_TTAFStock[RM_Code],$A145,T_TTAFStock[WeekIndex],38),"")</f>
        <v/>
      </c>
      <c r="AQ177">
        <f>IFERROR(SUMIFS(T_TTAFStock[TTAF_Qty],T_TTAFStock[RM_Code],$A145,T_TTAFStock[WeekIndex],39),"")</f>
        <v/>
      </c>
      <c r="AR177">
        <f>IFERROR(SUMIFS(T_TTAFStock[TTAF_Qty],T_TTAFStock[RM_Code],$A145,T_TTAFStock[WeekIndex],40),"")</f>
        <v/>
      </c>
      <c r="AS177">
        <f>IFERROR(SUMIFS(T_TTAFStock[TTAF_Qty],T_TTAFStock[RM_Code],$A145,T_TTAFStock[WeekIndex],41),"")</f>
        <v/>
      </c>
      <c r="AT177">
        <f>IFERROR(SUMIFS(T_TTAFStock[TTAF_Qty],T_TTAFStock[RM_Code],$A145,T_TTAFStock[WeekIndex],42),"")</f>
        <v/>
      </c>
      <c r="AU177">
        <f>IFERROR(SUMIFS(T_TTAFStock[TTAF_Qty],T_TTAFStock[RM_Code],$A145,T_TTAFStock[WeekIndex],43),"")</f>
        <v/>
      </c>
      <c r="AV177">
        <f>IFERROR(SUMIFS(T_TTAFStock[TTAF_Qty],T_TTAFStock[RM_Code],$A145,T_TTAFStock[WeekIndex],44),"")</f>
        <v/>
      </c>
      <c r="AW177">
        <f>IFERROR(SUMIFS(T_TTAFStock[TTAF_Qty],T_TTAFStock[RM_Code],$A145,T_TTAFStock[WeekIndex],45),"")</f>
        <v/>
      </c>
      <c r="AX177">
        <f>IFERROR(SUMIFS(T_TTAFStock[TTAF_Qty],T_TTAFStock[RM_Code],$A145,T_TTAFStock[WeekIndex],46),"")</f>
        <v/>
      </c>
      <c r="AY177">
        <f>IFERROR(SUMIFS(T_TTAFStock[TTAF_Qty],T_TTAFStock[RM_Code],$A145,T_TTAFStock[WeekIndex],47),"")</f>
        <v/>
      </c>
      <c r="AZ177">
        <f>IFERROR(SUMIFS(T_TTAFStock[TTAF_Qty],T_TTAFStock[RM_Code],$A145,T_TTAFStock[WeekIndex],48),"")</f>
        <v/>
      </c>
      <c r="BA177">
        <f>IFERROR(SUMIFS(T_TTAFStock[TTAF_Qty],T_TTAFStock[RM_Code],$A145,T_TTAFStock[WeekIndex],49),"")</f>
        <v/>
      </c>
      <c r="BB177">
        <f>IFERROR(SUMIFS(T_TTAFStock[TTAF_Qty],T_TTAFStock[RM_Code],$A145,T_TTAFStock[WeekIndex],50),"")</f>
        <v/>
      </c>
      <c r="BC177">
        <f>IFERROR(SUMIFS(T_TTAFStock[TTAF_Qty],T_TTAFStock[RM_Code],$A145,T_TTAFStock[WeekIndex],51),"")</f>
        <v/>
      </c>
      <c r="BD177">
        <f>IFERROR(SUMIFS(T_TTAFStock[TTAF_Qty],T_TTAFStock[RM_Code],$A145,T_TTAFStock[WeekIndex],52),"")</f>
        <v/>
      </c>
      <c r="BE177">
        <f>IFERROR(SUMIFS(T_TTAFStock[TTAF_Qty],T_TTAFStock[RM_Code],$A145,T_TTAFStock[WeekIndex],53),"")</f>
        <v/>
      </c>
      <c r="BF177">
        <f>IFERROR(SUMIFS(T_TTAFStock[TTAF_Qty],T_TTAFStock[RM_Code],$A145,T_TTAFStock[WeekIndex],54),"")</f>
        <v/>
      </c>
      <c r="BG177">
        <f>IFERROR(SUMIFS(T_TTAFStock[TTAF_Qty],T_TTAFStock[RM_Code],$A145,T_TTAFStock[WeekIndex],55),"")</f>
        <v/>
      </c>
      <c r="BH177">
        <f>IFERROR(SUMIFS(T_TTAFStock[TTAF_Qty],T_TTAFStock[RM_Code],$A145,T_TTAFStock[WeekIndex],56),"")</f>
        <v/>
      </c>
      <c r="BI177">
        <f>IFERROR(SUMIFS(T_TTAFStock[TTAF_Qty],T_TTAFStock[RM_Code],$A145,T_TTAFStock[WeekIndex],57),"")</f>
        <v/>
      </c>
      <c r="BJ177">
        <f>IFERROR(SUMIFS(T_TTAFStock[TTAF_Qty],T_TTAFStock[RM_Code],$A145,T_TTAFStock[WeekIndex],58),"")</f>
        <v/>
      </c>
      <c r="BK177">
        <f>IFERROR(SUMIFS(T_TTAFStock[TTAF_Qty],T_TTAFStock[RM_Code],$A145,T_TTAFStock[WeekIndex],59),"")</f>
        <v/>
      </c>
      <c r="BL177">
        <f>IFERROR(SUMIFS(T_TTAFStock[TTAF_Qty],T_TTAFStock[RM_Code],$A145,T_TTAFStock[WeekIndex],60),"")</f>
        <v/>
      </c>
      <c r="BM177">
        <f>IFERROR(SUMIFS(T_TTAFStock[TTAF_Qty],T_TTAFStock[RM_Code],$A145,T_TTAFStock[WeekIndex],61),"")</f>
        <v/>
      </c>
      <c r="BN177">
        <f>IFERROR(SUMIFS(T_TTAFStock[TTAF_Qty],T_TTAFStock[RM_Code],$A145,T_TTAFStock[WeekIndex],62),"")</f>
        <v/>
      </c>
      <c r="BO177">
        <f>IFERROR(SUMIFS(T_TTAFStock[TTAF_Qty],T_TTAFStock[RM_Code],$A145,T_TTAFStock[WeekIndex],63),"")</f>
        <v/>
      </c>
      <c r="BP177">
        <f>IFERROR(SUMIFS(T_TTAFStock[TTAF_Qty],T_TTAFStock[RM_Code],$A145,T_TTAFStock[WeekIndex],64),"")</f>
        <v/>
      </c>
      <c r="BQ177">
        <f>IFERROR(SUMIFS(T_TTAFStock[TTAF_Qty],T_TTAFStock[RM_Code],$A145,T_TTAFStock[WeekIndex],65),"")</f>
        <v/>
      </c>
      <c r="BR177">
        <f>IFERROR(SUMIFS(T_TTAFStock[TTAF_Qty],T_TTAFStock[RM_Code],$A145,T_TTAFStock[WeekIndex],66),"")</f>
        <v/>
      </c>
      <c r="BS177">
        <f>IFERROR(SUMIFS(T_TTAFStock[TTAF_Qty],T_TTAFStock[RM_Code],$A145,T_TTAFStock[WeekIndex],67),"")</f>
        <v/>
      </c>
      <c r="BT177">
        <f>IFERROR(SUMIFS(T_TTAFStock[TTAF_Qty],T_TTAFStock[RM_Code],$A145,T_TTAFStock[WeekIndex],68),"")</f>
        <v/>
      </c>
      <c r="BU177">
        <f>IFERROR(SUMIFS(T_TTAFStock[TTAF_Qty],T_TTAFStock[RM_Code],$A145,T_TTAFStock[WeekIndex],69),"")</f>
        <v/>
      </c>
      <c r="BV177">
        <f>IFERROR(SUMIFS(T_TTAFStock[TTAF_Qty],T_TTAFStock[RM_Code],$A145,T_TTAFStock[WeekIndex],70),"")</f>
        <v/>
      </c>
      <c r="BW177">
        <f>IFERROR(SUMIFS(T_TTAFStock[TTAF_Qty],T_TTAFStock[RM_Code],$A145,T_TTAFStock[WeekIndex],71),"")</f>
        <v/>
      </c>
      <c r="BX177">
        <f>IFERROR(SUMIFS(T_TTAFStock[TTAF_Qty],T_TTAFStock[RM_Code],$A145,T_TTAFStock[WeekIndex],72),"")</f>
        <v/>
      </c>
      <c r="BY177">
        <f>IFERROR(SUMIFS(T_TTAFStock[TTAF_Qty],T_TTAFStock[RM_Code],$A145,T_TTAFStock[WeekIndex],73),"")</f>
        <v/>
      </c>
      <c r="BZ177">
        <f>IFERROR(SUMIFS(T_TTAFStock[TTAF_Qty],T_TTAFStock[RM_Code],$A145,T_TTAFStock[WeekIndex],74),"")</f>
        <v/>
      </c>
      <c r="CA177">
        <f>IFERROR(SUMIFS(T_TTAFStock[TTAF_Qty],T_TTAFStock[RM_Code],$A145,T_TTAFStock[WeekIndex],75),"")</f>
        <v/>
      </c>
      <c r="CB177">
        <f>IFERROR(SUMIFS(T_TTAFStock[TTAF_Qty],T_TTAFStock[RM_Code],$A145,T_TTAFStock[WeekIndex],76),"")</f>
        <v/>
      </c>
      <c r="CC177">
        <f>IFERROR(SUMIFS(T_TTAFStock[TTAF_Qty],T_TTAFStock[RM_Code],$A145,T_TTAFStock[WeekIndex],77),"")</f>
        <v/>
      </c>
      <c r="CD177">
        <f>IFERROR(SUMIFS(T_TTAFStock[TTAF_Qty],T_TTAFStock[RM_Code],$A145,T_TTAFStock[WeekIndex],78),"")</f>
        <v/>
      </c>
      <c r="CE177">
        <f>IFERROR(SUMIFS(T_TTAFStock[TTAF_Qty],T_TTAFStock[RM_Code],$A145,T_TTAFStock[WeekIndex],79),"")</f>
        <v/>
      </c>
      <c r="CF177">
        <f>IFERROR(SUMIFS(T_TTAFStock[TTAF_Qty],T_TTAFStock[RM_Code],$A145,T_TTAFStock[WeekIndex],80),"")</f>
        <v/>
      </c>
      <c r="CG177">
        <f>IFERROR(SUMIFS(T_TTAFStock[TTAF_Qty],T_TTAFStock[RM_Code],$A145,T_TTAFStock[WeekIndex],81),"")</f>
        <v/>
      </c>
      <c r="CH177">
        <f>IFERROR(SUMIFS(T_TTAFStock[TTAF_Qty],T_TTAFStock[RM_Code],$A145,T_TTAFStock[WeekIndex],82),"")</f>
        <v/>
      </c>
      <c r="CI177">
        <f>IFERROR(SUMIFS(T_TTAFStock[TTAF_Qty],T_TTAFStock[RM_Code],$A145,T_TTAFStock[WeekIndex],83),"")</f>
        <v/>
      </c>
      <c r="CJ177">
        <f>IFERROR(SUMIFS(T_TTAFStock[TTAF_Qty],T_TTAFStock[RM_Code],$A145,T_TTAFStock[WeekIndex],84),"")</f>
        <v/>
      </c>
      <c r="CK177">
        <f>IFERROR(SUMIFS(T_TTAFStock[TTAF_Qty],T_TTAFStock[RM_Code],$A145,T_TTAFStock[WeekIndex],85),"")</f>
        <v/>
      </c>
      <c r="CL177">
        <f>IFERROR(SUMIFS(T_TTAFStock[TTAF_Qty],T_TTAFStock[RM_Code],$A145,T_TTAFStock[WeekIndex],86),"")</f>
        <v/>
      </c>
      <c r="CM177">
        <f>IFERROR(SUMIFS(T_TTAFStock[TTAF_Qty],T_TTAFStock[RM_Code],$A145,T_TTAFStock[WeekIndex],87),"")</f>
        <v/>
      </c>
      <c r="CN177">
        <f>IFERROR(SUMIFS(T_TTAFStock[TTAF_Qty],T_TTAFStock[RM_Code],$A145,T_TTAFStock[WeekIndex],88),"")</f>
        <v/>
      </c>
      <c r="CO177">
        <f>IFERROR(SUMIFS(T_TTAFStock[TTAF_Qty],T_TTAFStock[RM_Code],$A145,T_TTAFStock[WeekIndex],89),"")</f>
        <v/>
      </c>
      <c r="CP177">
        <f>IFERROR(SUMIFS(T_TTAFStock[TTAF_Qty],T_TTAFStock[RM_Code],$A145,T_TTAFStock[WeekIndex],90),"")</f>
        <v/>
      </c>
      <c r="CQ177">
        <f>IFERROR(SUMIFS(T_TTAFStock[TTAF_Qty],T_TTAFStock[RM_Code],$A145,T_TTAFStock[WeekIndex],91),"")</f>
        <v/>
      </c>
      <c r="CR177">
        <f>IFERROR(SUMIFS(T_TTAFStock[TTAF_Qty],T_TTAFStock[RM_Code],$A145,T_TTAFStock[WeekIndex],92),"")</f>
        <v/>
      </c>
      <c r="CS177">
        <f>IFERROR(SUMIFS(T_TTAFStock[TTAF_Qty],T_TTAFStock[RM_Code],$A145,T_TTAFStock[WeekIndex],93),"")</f>
        <v/>
      </c>
      <c r="CT177">
        <f>IFERROR(SUMIFS(T_TTAFStock[TTAF_Qty],T_TTAFStock[RM_Code],$A145,T_TTAFStock[WeekIndex],94),"")</f>
        <v/>
      </c>
      <c r="CU177">
        <f>IFERROR(SUMIFS(T_TTAFStock[TTAF_Qty],T_TTAFStock[RM_Code],$A145,T_TTAFStock[WeekIndex],95),"")</f>
        <v/>
      </c>
      <c r="CV177">
        <f>IFERROR(SUMIFS(T_TTAFStock[TTAF_Qty],T_TTAFStock[RM_Code],$A145,T_TTAFStock[WeekIndex],96),"")</f>
        <v/>
      </c>
      <c r="CW177">
        <f>IFERROR(SUMIFS(T_TTAFStock[TTAF_Qty],T_TTAFStock[RM_Code],$A145,T_TTAFStock[WeekIndex],97),"")</f>
        <v/>
      </c>
      <c r="CX177">
        <f>IFERROR(SUMIFS(T_TTAFStock[TTAF_Qty],T_TTAFStock[RM_Code],$A145,T_TTAFStock[WeekIndex],98),"")</f>
        <v/>
      </c>
      <c r="CY177">
        <f>IFERROR(SUMIFS(T_TTAFStock[TTAF_Qty],T_TTAFStock[RM_Code],$A145,T_TTAFStock[WeekIndex],99),"")</f>
        <v/>
      </c>
      <c r="CZ177">
        <f>IFERROR(SUMIFS(T_TTAFStock[TTAF_Qty],T_TTAFStock[RM_Code],$A145,T_TTAFStock[WeekIndex],100),"")</f>
        <v/>
      </c>
      <c r="DA177">
        <f>IFERROR(SUMIFS(T_TTAFStock[TTAF_Qty],T_TTAFStock[RM_Code],$A145,T_TTAFStock[WeekIndex],101),"")</f>
        <v/>
      </c>
      <c r="DB177">
        <f>IFERROR(SUMIFS(T_TTAFStock[TTAF_Qty],T_TTAFStock[RM_Code],$A145,T_TTAFStock[WeekIndex],102),"")</f>
        <v/>
      </c>
      <c r="DC177">
        <f>IFERROR(SUMIFS(T_TTAFStock[TTAF_Qty],T_TTAFStock[RM_Code],$A145,T_TTAFStock[WeekIndex],103),"")</f>
        <v/>
      </c>
      <c r="DD177">
        <f>IFERROR(SUMIFS(T_TTAFStock[TTAF_Qty],T_TTAFStock[RM_Code],$A145,T_TTAFStock[WeekIndex],104),"")</f>
        <v/>
      </c>
    </row>
    <row r="178">
      <c r="B178" t="inlineStr">
        <is>
          <t>自社在庫(実績,kg)</t>
        </is>
      </c>
      <c r="D178">
        <f>IFERROR(INDEX(E178:DD178,$F$1),"")</f>
        <v/>
      </c>
      <c r="E178">
        <f>IFERROR(SUMIFS(T_SelfStock[Self_Qty],T_SelfStock[RM_Code],$A145,T_SelfStock[WeekIndex],1),"")</f>
        <v/>
      </c>
      <c r="F178">
        <f>IFERROR(SUMIFS(T_SelfStock[Self_Qty],T_SelfStock[RM_Code],$A145,T_SelfStock[WeekIndex],2),"")</f>
        <v/>
      </c>
      <c r="G178">
        <f>IFERROR(SUMIFS(T_SelfStock[Self_Qty],T_SelfStock[RM_Code],$A145,T_SelfStock[WeekIndex],3),"")</f>
        <v/>
      </c>
      <c r="H178">
        <f>IFERROR(SUMIFS(T_SelfStock[Self_Qty],T_SelfStock[RM_Code],$A145,T_SelfStock[WeekIndex],4),"")</f>
        <v/>
      </c>
      <c r="I178">
        <f>IFERROR(SUMIFS(T_SelfStock[Self_Qty],T_SelfStock[RM_Code],$A145,T_SelfStock[WeekIndex],5),"")</f>
        <v/>
      </c>
      <c r="J178">
        <f>IFERROR(SUMIFS(T_SelfStock[Self_Qty],T_SelfStock[RM_Code],$A145,T_SelfStock[WeekIndex],6),"")</f>
        <v/>
      </c>
      <c r="K178">
        <f>IFERROR(SUMIFS(T_SelfStock[Self_Qty],T_SelfStock[RM_Code],$A145,T_SelfStock[WeekIndex],7),"")</f>
        <v/>
      </c>
      <c r="L178">
        <f>IFERROR(SUMIFS(T_SelfStock[Self_Qty],T_SelfStock[RM_Code],$A145,T_SelfStock[WeekIndex],8),"")</f>
        <v/>
      </c>
      <c r="M178">
        <f>IFERROR(SUMIFS(T_SelfStock[Self_Qty],T_SelfStock[RM_Code],$A145,T_SelfStock[WeekIndex],9),"")</f>
        <v/>
      </c>
      <c r="N178">
        <f>IFERROR(SUMIFS(T_SelfStock[Self_Qty],T_SelfStock[RM_Code],$A145,T_SelfStock[WeekIndex],10),"")</f>
        <v/>
      </c>
      <c r="O178">
        <f>IFERROR(SUMIFS(T_SelfStock[Self_Qty],T_SelfStock[RM_Code],$A145,T_SelfStock[WeekIndex],11),"")</f>
        <v/>
      </c>
      <c r="P178">
        <f>IFERROR(SUMIFS(T_SelfStock[Self_Qty],T_SelfStock[RM_Code],$A145,T_SelfStock[WeekIndex],12),"")</f>
        <v/>
      </c>
      <c r="Q178">
        <f>IFERROR(SUMIFS(T_SelfStock[Self_Qty],T_SelfStock[RM_Code],$A145,T_SelfStock[WeekIndex],13),"")</f>
        <v/>
      </c>
      <c r="R178">
        <f>IFERROR(SUMIFS(T_SelfStock[Self_Qty],T_SelfStock[RM_Code],$A145,T_SelfStock[WeekIndex],14),"")</f>
        <v/>
      </c>
      <c r="S178">
        <f>IFERROR(SUMIFS(T_SelfStock[Self_Qty],T_SelfStock[RM_Code],$A145,T_SelfStock[WeekIndex],15),"")</f>
        <v/>
      </c>
      <c r="T178">
        <f>IFERROR(SUMIFS(T_SelfStock[Self_Qty],T_SelfStock[RM_Code],$A145,T_SelfStock[WeekIndex],16),"")</f>
        <v/>
      </c>
      <c r="U178">
        <f>IFERROR(SUMIFS(T_SelfStock[Self_Qty],T_SelfStock[RM_Code],$A145,T_SelfStock[WeekIndex],17),"")</f>
        <v/>
      </c>
      <c r="V178">
        <f>IFERROR(SUMIFS(T_SelfStock[Self_Qty],T_SelfStock[RM_Code],$A145,T_SelfStock[WeekIndex],18),"")</f>
        <v/>
      </c>
      <c r="W178">
        <f>IFERROR(SUMIFS(T_SelfStock[Self_Qty],T_SelfStock[RM_Code],$A145,T_SelfStock[WeekIndex],19),"")</f>
        <v/>
      </c>
      <c r="X178">
        <f>IFERROR(SUMIFS(T_SelfStock[Self_Qty],T_SelfStock[RM_Code],$A145,T_SelfStock[WeekIndex],20),"")</f>
        <v/>
      </c>
      <c r="Y178">
        <f>IFERROR(SUMIFS(T_SelfStock[Self_Qty],T_SelfStock[RM_Code],$A145,T_SelfStock[WeekIndex],21),"")</f>
        <v/>
      </c>
      <c r="Z178">
        <f>IFERROR(SUMIFS(T_SelfStock[Self_Qty],T_SelfStock[RM_Code],$A145,T_SelfStock[WeekIndex],22),"")</f>
        <v/>
      </c>
      <c r="AA178">
        <f>IFERROR(SUMIFS(T_SelfStock[Self_Qty],T_SelfStock[RM_Code],$A145,T_SelfStock[WeekIndex],23),"")</f>
        <v/>
      </c>
      <c r="AB178">
        <f>IFERROR(SUMIFS(T_SelfStock[Self_Qty],T_SelfStock[RM_Code],$A145,T_SelfStock[WeekIndex],24),"")</f>
        <v/>
      </c>
      <c r="AC178">
        <f>IFERROR(SUMIFS(T_SelfStock[Self_Qty],T_SelfStock[RM_Code],$A145,T_SelfStock[WeekIndex],25),"")</f>
        <v/>
      </c>
      <c r="AD178">
        <f>IFERROR(SUMIFS(T_SelfStock[Self_Qty],T_SelfStock[RM_Code],$A145,T_SelfStock[WeekIndex],26),"")</f>
        <v/>
      </c>
      <c r="AE178">
        <f>IFERROR(SUMIFS(T_SelfStock[Self_Qty],T_SelfStock[RM_Code],$A145,T_SelfStock[WeekIndex],27),"")</f>
        <v/>
      </c>
      <c r="AF178">
        <f>IFERROR(SUMIFS(T_SelfStock[Self_Qty],T_SelfStock[RM_Code],$A145,T_SelfStock[WeekIndex],28),"")</f>
        <v/>
      </c>
      <c r="AG178">
        <f>IFERROR(SUMIFS(T_SelfStock[Self_Qty],T_SelfStock[RM_Code],$A145,T_SelfStock[WeekIndex],29),"")</f>
        <v/>
      </c>
      <c r="AH178">
        <f>IFERROR(SUMIFS(T_SelfStock[Self_Qty],T_SelfStock[RM_Code],$A145,T_SelfStock[WeekIndex],30),"")</f>
        <v/>
      </c>
      <c r="AI178">
        <f>IFERROR(SUMIFS(T_SelfStock[Self_Qty],T_SelfStock[RM_Code],$A145,T_SelfStock[WeekIndex],31),"")</f>
        <v/>
      </c>
      <c r="AJ178">
        <f>IFERROR(SUMIFS(T_SelfStock[Self_Qty],T_SelfStock[RM_Code],$A145,T_SelfStock[WeekIndex],32),"")</f>
        <v/>
      </c>
      <c r="AK178">
        <f>IFERROR(SUMIFS(T_SelfStock[Self_Qty],T_SelfStock[RM_Code],$A145,T_SelfStock[WeekIndex],33),"")</f>
        <v/>
      </c>
      <c r="AL178">
        <f>IFERROR(SUMIFS(T_SelfStock[Self_Qty],T_SelfStock[RM_Code],$A145,T_SelfStock[WeekIndex],34),"")</f>
        <v/>
      </c>
      <c r="AM178">
        <f>IFERROR(SUMIFS(T_SelfStock[Self_Qty],T_SelfStock[RM_Code],$A145,T_SelfStock[WeekIndex],35),"")</f>
        <v/>
      </c>
      <c r="AN178">
        <f>IFERROR(SUMIFS(T_SelfStock[Self_Qty],T_SelfStock[RM_Code],$A145,T_SelfStock[WeekIndex],36),"")</f>
        <v/>
      </c>
      <c r="AO178">
        <f>IFERROR(SUMIFS(T_SelfStock[Self_Qty],T_SelfStock[RM_Code],$A145,T_SelfStock[WeekIndex],37),"")</f>
        <v/>
      </c>
      <c r="AP178">
        <f>IFERROR(SUMIFS(T_SelfStock[Self_Qty],T_SelfStock[RM_Code],$A145,T_SelfStock[WeekIndex],38),"")</f>
        <v/>
      </c>
      <c r="AQ178">
        <f>IFERROR(SUMIFS(T_SelfStock[Self_Qty],T_SelfStock[RM_Code],$A145,T_SelfStock[WeekIndex],39),"")</f>
        <v/>
      </c>
      <c r="AR178">
        <f>IFERROR(SUMIFS(T_SelfStock[Self_Qty],T_SelfStock[RM_Code],$A145,T_SelfStock[WeekIndex],40),"")</f>
        <v/>
      </c>
      <c r="AS178">
        <f>IFERROR(SUMIFS(T_SelfStock[Self_Qty],T_SelfStock[RM_Code],$A145,T_SelfStock[WeekIndex],41),"")</f>
        <v/>
      </c>
      <c r="AT178">
        <f>IFERROR(SUMIFS(T_SelfStock[Self_Qty],T_SelfStock[RM_Code],$A145,T_SelfStock[WeekIndex],42),"")</f>
        <v/>
      </c>
      <c r="AU178">
        <f>IFERROR(SUMIFS(T_SelfStock[Self_Qty],T_SelfStock[RM_Code],$A145,T_SelfStock[WeekIndex],43),"")</f>
        <v/>
      </c>
      <c r="AV178">
        <f>IFERROR(SUMIFS(T_SelfStock[Self_Qty],T_SelfStock[RM_Code],$A145,T_SelfStock[WeekIndex],44),"")</f>
        <v/>
      </c>
      <c r="AW178">
        <f>IFERROR(SUMIFS(T_SelfStock[Self_Qty],T_SelfStock[RM_Code],$A145,T_SelfStock[WeekIndex],45),"")</f>
        <v/>
      </c>
      <c r="AX178">
        <f>IFERROR(SUMIFS(T_SelfStock[Self_Qty],T_SelfStock[RM_Code],$A145,T_SelfStock[WeekIndex],46),"")</f>
        <v/>
      </c>
      <c r="AY178">
        <f>IFERROR(SUMIFS(T_SelfStock[Self_Qty],T_SelfStock[RM_Code],$A145,T_SelfStock[WeekIndex],47),"")</f>
        <v/>
      </c>
      <c r="AZ178">
        <f>IFERROR(SUMIFS(T_SelfStock[Self_Qty],T_SelfStock[RM_Code],$A145,T_SelfStock[WeekIndex],48),"")</f>
        <v/>
      </c>
      <c r="BA178">
        <f>IFERROR(SUMIFS(T_SelfStock[Self_Qty],T_SelfStock[RM_Code],$A145,T_SelfStock[WeekIndex],49),"")</f>
        <v/>
      </c>
      <c r="BB178">
        <f>IFERROR(SUMIFS(T_SelfStock[Self_Qty],T_SelfStock[RM_Code],$A145,T_SelfStock[WeekIndex],50),"")</f>
        <v/>
      </c>
      <c r="BC178">
        <f>IFERROR(SUMIFS(T_SelfStock[Self_Qty],T_SelfStock[RM_Code],$A145,T_SelfStock[WeekIndex],51),"")</f>
        <v/>
      </c>
      <c r="BD178">
        <f>IFERROR(SUMIFS(T_SelfStock[Self_Qty],T_SelfStock[RM_Code],$A145,T_SelfStock[WeekIndex],52),"")</f>
        <v/>
      </c>
      <c r="BE178">
        <f>IFERROR(SUMIFS(T_SelfStock[Self_Qty],T_SelfStock[RM_Code],$A145,T_SelfStock[WeekIndex],53),"")</f>
        <v/>
      </c>
      <c r="BF178">
        <f>IFERROR(SUMIFS(T_SelfStock[Self_Qty],T_SelfStock[RM_Code],$A145,T_SelfStock[WeekIndex],54),"")</f>
        <v/>
      </c>
      <c r="BG178">
        <f>IFERROR(SUMIFS(T_SelfStock[Self_Qty],T_SelfStock[RM_Code],$A145,T_SelfStock[WeekIndex],55),"")</f>
        <v/>
      </c>
      <c r="BH178">
        <f>IFERROR(SUMIFS(T_SelfStock[Self_Qty],T_SelfStock[RM_Code],$A145,T_SelfStock[WeekIndex],56),"")</f>
        <v/>
      </c>
      <c r="BI178">
        <f>IFERROR(SUMIFS(T_SelfStock[Self_Qty],T_SelfStock[RM_Code],$A145,T_SelfStock[WeekIndex],57),"")</f>
        <v/>
      </c>
      <c r="BJ178">
        <f>IFERROR(SUMIFS(T_SelfStock[Self_Qty],T_SelfStock[RM_Code],$A145,T_SelfStock[WeekIndex],58),"")</f>
        <v/>
      </c>
      <c r="BK178">
        <f>IFERROR(SUMIFS(T_SelfStock[Self_Qty],T_SelfStock[RM_Code],$A145,T_SelfStock[WeekIndex],59),"")</f>
        <v/>
      </c>
      <c r="BL178">
        <f>IFERROR(SUMIFS(T_SelfStock[Self_Qty],T_SelfStock[RM_Code],$A145,T_SelfStock[WeekIndex],60),"")</f>
        <v/>
      </c>
      <c r="BM178">
        <f>IFERROR(SUMIFS(T_SelfStock[Self_Qty],T_SelfStock[RM_Code],$A145,T_SelfStock[WeekIndex],61),"")</f>
        <v/>
      </c>
      <c r="BN178">
        <f>IFERROR(SUMIFS(T_SelfStock[Self_Qty],T_SelfStock[RM_Code],$A145,T_SelfStock[WeekIndex],62),"")</f>
        <v/>
      </c>
      <c r="BO178">
        <f>IFERROR(SUMIFS(T_SelfStock[Self_Qty],T_SelfStock[RM_Code],$A145,T_SelfStock[WeekIndex],63),"")</f>
        <v/>
      </c>
      <c r="BP178">
        <f>IFERROR(SUMIFS(T_SelfStock[Self_Qty],T_SelfStock[RM_Code],$A145,T_SelfStock[WeekIndex],64),"")</f>
        <v/>
      </c>
      <c r="BQ178">
        <f>IFERROR(SUMIFS(T_SelfStock[Self_Qty],T_SelfStock[RM_Code],$A145,T_SelfStock[WeekIndex],65),"")</f>
        <v/>
      </c>
      <c r="BR178">
        <f>IFERROR(SUMIFS(T_SelfStock[Self_Qty],T_SelfStock[RM_Code],$A145,T_SelfStock[WeekIndex],66),"")</f>
        <v/>
      </c>
      <c r="BS178">
        <f>IFERROR(SUMIFS(T_SelfStock[Self_Qty],T_SelfStock[RM_Code],$A145,T_SelfStock[WeekIndex],67),"")</f>
        <v/>
      </c>
      <c r="BT178">
        <f>IFERROR(SUMIFS(T_SelfStock[Self_Qty],T_SelfStock[RM_Code],$A145,T_SelfStock[WeekIndex],68),"")</f>
        <v/>
      </c>
      <c r="BU178">
        <f>IFERROR(SUMIFS(T_SelfStock[Self_Qty],T_SelfStock[RM_Code],$A145,T_SelfStock[WeekIndex],69),"")</f>
        <v/>
      </c>
      <c r="BV178">
        <f>IFERROR(SUMIFS(T_SelfStock[Self_Qty],T_SelfStock[RM_Code],$A145,T_SelfStock[WeekIndex],70),"")</f>
        <v/>
      </c>
      <c r="BW178">
        <f>IFERROR(SUMIFS(T_SelfStock[Self_Qty],T_SelfStock[RM_Code],$A145,T_SelfStock[WeekIndex],71),"")</f>
        <v/>
      </c>
      <c r="BX178">
        <f>IFERROR(SUMIFS(T_SelfStock[Self_Qty],T_SelfStock[RM_Code],$A145,T_SelfStock[WeekIndex],72),"")</f>
        <v/>
      </c>
      <c r="BY178">
        <f>IFERROR(SUMIFS(T_SelfStock[Self_Qty],T_SelfStock[RM_Code],$A145,T_SelfStock[WeekIndex],73),"")</f>
        <v/>
      </c>
      <c r="BZ178">
        <f>IFERROR(SUMIFS(T_SelfStock[Self_Qty],T_SelfStock[RM_Code],$A145,T_SelfStock[WeekIndex],74),"")</f>
        <v/>
      </c>
      <c r="CA178">
        <f>IFERROR(SUMIFS(T_SelfStock[Self_Qty],T_SelfStock[RM_Code],$A145,T_SelfStock[WeekIndex],75),"")</f>
        <v/>
      </c>
      <c r="CB178">
        <f>IFERROR(SUMIFS(T_SelfStock[Self_Qty],T_SelfStock[RM_Code],$A145,T_SelfStock[WeekIndex],76),"")</f>
        <v/>
      </c>
      <c r="CC178">
        <f>IFERROR(SUMIFS(T_SelfStock[Self_Qty],T_SelfStock[RM_Code],$A145,T_SelfStock[WeekIndex],77),"")</f>
        <v/>
      </c>
      <c r="CD178">
        <f>IFERROR(SUMIFS(T_SelfStock[Self_Qty],T_SelfStock[RM_Code],$A145,T_SelfStock[WeekIndex],78),"")</f>
        <v/>
      </c>
      <c r="CE178">
        <f>IFERROR(SUMIFS(T_SelfStock[Self_Qty],T_SelfStock[RM_Code],$A145,T_SelfStock[WeekIndex],79),"")</f>
        <v/>
      </c>
      <c r="CF178">
        <f>IFERROR(SUMIFS(T_SelfStock[Self_Qty],T_SelfStock[RM_Code],$A145,T_SelfStock[WeekIndex],80),"")</f>
        <v/>
      </c>
      <c r="CG178">
        <f>IFERROR(SUMIFS(T_SelfStock[Self_Qty],T_SelfStock[RM_Code],$A145,T_SelfStock[WeekIndex],81),"")</f>
        <v/>
      </c>
      <c r="CH178">
        <f>IFERROR(SUMIFS(T_SelfStock[Self_Qty],T_SelfStock[RM_Code],$A145,T_SelfStock[WeekIndex],82),"")</f>
        <v/>
      </c>
      <c r="CI178">
        <f>IFERROR(SUMIFS(T_SelfStock[Self_Qty],T_SelfStock[RM_Code],$A145,T_SelfStock[WeekIndex],83),"")</f>
        <v/>
      </c>
      <c r="CJ178">
        <f>IFERROR(SUMIFS(T_SelfStock[Self_Qty],T_SelfStock[RM_Code],$A145,T_SelfStock[WeekIndex],84),"")</f>
        <v/>
      </c>
      <c r="CK178">
        <f>IFERROR(SUMIFS(T_SelfStock[Self_Qty],T_SelfStock[RM_Code],$A145,T_SelfStock[WeekIndex],85),"")</f>
        <v/>
      </c>
      <c r="CL178">
        <f>IFERROR(SUMIFS(T_SelfStock[Self_Qty],T_SelfStock[RM_Code],$A145,T_SelfStock[WeekIndex],86),"")</f>
        <v/>
      </c>
      <c r="CM178">
        <f>IFERROR(SUMIFS(T_SelfStock[Self_Qty],T_SelfStock[RM_Code],$A145,T_SelfStock[WeekIndex],87),"")</f>
        <v/>
      </c>
      <c r="CN178">
        <f>IFERROR(SUMIFS(T_SelfStock[Self_Qty],T_SelfStock[RM_Code],$A145,T_SelfStock[WeekIndex],88),"")</f>
        <v/>
      </c>
      <c r="CO178">
        <f>IFERROR(SUMIFS(T_SelfStock[Self_Qty],T_SelfStock[RM_Code],$A145,T_SelfStock[WeekIndex],89),"")</f>
        <v/>
      </c>
      <c r="CP178">
        <f>IFERROR(SUMIFS(T_SelfStock[Self_Qty],T_SelfStock[RM_Code],$A145,T_SelfStock[WeekIndex],90),"")</f>
        <v/>
      </c>
      <c r="CQ178">
        <f>IFERROR(SUMIFS(T_SelfStock[Self_Qty],T_SelfStock[RM_Code],$A145,T_SelfStock[WeekIndex],91),"")</f>
        <v/>
      </c>
      <c r="CR178">
        <f>IFERROR(SUMIFS(T_SelfStock[Self_Qty],T_SelfStock[RM_Code],$A145,T_SelfStock[WeekIndex],92),"")</f>
        <v/>
      </c>
      <c r="CS178">
        <f>IFERROR(SUMIFS(T_SelfStock[Self_Qty],T_SelfStock[RM_Code],$A145,T_SelfStock[WeekIndex],93),"")</f>
        <v/>
      </c>
      <c r="CT178">
        <f>IFERROR(SUMIFS(T_SelfStock[Self_Qty],T_SelfStock[RM_Code],$A145,T_SelfStock[WeekIndex],94),"")</f>
        <v/>
      </c>
      <c r="CU178">
        <f>IFERROR(SUMIFS(T_SelfStock[Self_Qty],T_SelfStock[RM_Code],$A145,T_SelfStock[WeekIndex],95),"")</f>
        <v/>
      </c>
      <c r="CV178">
        <f>IFERROR(SUMIFS(T_SelfStock[Self_Qty],T_SelfStock[RM_Code],$A145,T_SelfStock[WeekIndex],96),"")</f>
        <v/>
      </c>
      <c r="CW178">
        <f>IFERROR(SUMIFS(T_SelfStock[Self_Qty],T_SelfStock[RM_Code],$A145,T_SelfStock[WeekIndex],97),"")</f>
        <v/>
      </c>
      <c r="CX178">
        <f>IFERROR(SUMIFS(T_SelfStock[Self_Qty],T_SelfStock[RM_Code],$A145,T_SelfStock[WeekIndex],98),"")</f>
        <v/>
      </c>
      <c r="CY178">
        <f>IFERROR(SUMIFS(T_SelfStock[Self_Qty],T_SelfStock[RM_Code],$A145,T_SelfStock[WeekIndex],99),"")</f>
        <v/>
      </c>
      <c r="CZ178">
        <f>IFERROR(SUMIFS(T_SelfStock[Self_Qty],T_SelfStock[RM_Code],$A145,T_SelfStock[WeekIndex],100),"")</f>
        <v/>
      </c>
      <c r="DA178">
        <f>IFERROR(SUMIFS(T_SelfStock[Self_Qty],T_SelfStock[RM_Code],$A145,T_SelfStock[WeekIndex],101),"")</f>
        <v/>
      </c>
      <c r="DB178">
        <f>IFERROR(SUMIFS(T_SelfStock[Self_Qty],T_SelfStock[RM_Code],$A145,T_SelfStock[WeekIndex],102),"")</f>
        <v/>
      </c>
      <c r="DC178">
        <f>IFERROR(SUMIFS(T_SelfStock[Self_Qty],T_SelfStock[RM_Code],$A145,T_SelfStock[WeekIndex],103),"")</f>
        <v/>
      </c>
      <c r="DD178">
        <f>IFERROR(SUMIFS(T_SelfStock[Self_Qty],T_SelfStock[RM_Code],$A145,T_SelfStock[WeekIndex],104),"")</f>
        <v/>
      </c>
    </row>
    <row r="179">
      <c r="B179" s="4" t="inlineStr">
        <is>
          <t>合計在庫(週末時点,kg)</t>
        </is>
      </c>
      <c r="D179" s="24">
        <f>IFERROR(INDEX(E179:DD179,$F$1),"")</f>
        <v/>
      </c>
      <c r="E179">
        <f>'Grid_Stock'!B2</f>
        <v/>
      </c>
      <c r="F179">
        <f>'Grid_Stock'!C2</f>
        <v/>
      </c>
      <c r="G179">
        <f>'Grid_Stock'!D2</f>
        <v/>
      </c>
      <c r="H179">
        <f>'Grid_Stock'!E2</f>
        <v/>
      </c>
      <c r="I179">
        <f>'Grid_Stock'!F2</f>
        <v/>
      </c>
      <c r="J179">
        <f>'Grid_Stock'!G2</f>
        <v/>
      </c>
      <c r="K179">
        <f>'Grid_Stock'!H2</f>
        <v/>
      </c>
      <c r="L179">
        <f>'Grid_Stock'!I2</f>
        <v/>
      </c>
      <c r="M179">
        <f>'Grid_Stock'!J2</f>
        <v/>
      </c>
      <c r="N179">
        <f>'Grid_Stock'!K2</f>
        <v/>
      </c>
      <c r="O179">
        <f>'Grid_Stock'!L2</f>
        <v/>
      </c>
      <c r="P179">
        <f>'Grid_Stock'!M2</f>
        <v/>
      </c>
      <c r="Q179">
        <f>'Grid_Stock'!N2</f>
        <v/>
      </c>
      <c r="R179">
        <f>'Grid_Stock'!O2</f>
        <v/>
      </c>
      <c r="S179">
        <f>'Grid_Stock'!P2</f>
        <v/>
      </c>
      <c r="T179">
        <f>'Grid_Stock'!Q2</f>
        <v/>
      </c>
      <c r="U179">
        <f>'Grid_Stock'!R2</f>
        <v/>
      </c>
      <c r="V179">
        <f>'Grid_Stock'!S2</f>
        <v/>
      </c>
      <c r="W179">
        <f>'Grid_Stock'!T2</f>
        <v/>
      </c>
      <c r="X179">
        <f>'Grid_Stock'!U2</f>
        <v/>
      </c>
      <c r="Y179">
        <f>'Grid_Stock'!V2</f>
        <v/>
      </c>
      <c r="Z179">
        <f>'Grid_Stock'!W2</f>
        <v/>
      </c>
      <c r="AA179">
        <f>'Grid_Stock'!X2</f>
        <v/>
      </c>
      <c r="AB179">
        <f>'Grid_Stock'!Y2</f>
        <v/>
      </c>
      <c r="AC179">
        <f>'Grid_Stock'!Z2</f>
        <v/>
      </c>
      <c r="AD179">
        <f>'Grid_Stock'!AA2</f>
        <v/>
      </c>
      <c r="AE179">
        <f>'Grid_Stock'!AB2</f>
        <v/>
      </c>
      <c r="AF179">
        <f>'Grid_Stock'!AC2</f>
        <v/>
      </c>
      <c r="AG179">
        <f>'Grid_Stock'!AD2</f>
        <v/>
      </c>
      <c r="AH179">
        <f>'Grid_Stock'!AE2</f>
        <v/>
      </c>
      <c r="AI179">
        <f>'Grid_Stock'!AF2</f>
        <v/>
      </c>
      <c r="AJ179">
        <f>'Grid_Stock'!AG2</f>
        <v/>
      </c>
      <c r="AK179">
        <f>'Grid_Stock'!AH2</f>
        <v/>
      </c>
      <c r="AL179">
        <f>'Grid_Stock'!AI2</f>
        <v/>
      </c>
      <c r="AM179">
        <f>'Grid_Stock'!AJ2</f>
        <v/>
      </c>
      <c r="AN179">
        <f>'Grid_Stock'!AK2</f>
        <v/>
      </c>
      <c r="AO179">
        <f>'Grid_Stock'!AL2</f>
        <v/>
      </c>
      <c r="AP179">
        <f>'Grid_Stock'!AM2</f>
        <v/>
      </c>
      <c r="AQ179">
        <f>'Grid_Stock'!AN2</f>
        <v/>
      </c>
      <c r="AR179">
        <f>'Grid_Stock'!AO2</f>
        <v/>
      </c>
      <c r="AS179">
        <f>'Grid_Stock'!AP2</f>
        <v/>
      </c>
      <c r="AT179">
        <f>'Grid_Stock'!AQ2</f>
        <v/>
      </c>
      <c r="AU179">
        <f>'Grid_Stock'!AR2</f>
        <v/>
      </c>
      <c r="AV179">
        <f>'Grid_Stock'!AS2</f>
        <v/>
      </c>
      <c r="AW179">
        <f>'Grid_Stock'!AT2</f>
        <v/>
      </c>
      <c r="AX179">
        <f>'Grid_Stock'!AU2</f>
        <v/>
      </c>
      <c r="AY179">
        <f>'Grid_Stock'!AV2</f>
        <v/>
      </c>
      <c r="AZ179">
        <f>'Grid_Stock'!AW2</f>
        <v/>
      </c>
      <c r="BA179">
        <f>'Grid_Stock'!AX2</f>
        <v/>
      </c>
      <c r="BB179">
        <f>'Grid_Stock'!AY2</f>
        <v/>
      </c>
      <c r="BC179">
        <f>'Grid_Stock'!AZ2</f>
        <v/>
      </c>
      <c r="BD179">
        <f>'Grid_Stock'!BA2</f>
        <v/>
      </c>
      <c r="BE179">
        <f>'Grid_Stock'!BB2</f>
        <v/>
      </c>
      <c r="BF179">
        <f>'Grid_Stock'!BC2</f>
        <v/>
      </c>
      <c r="BG179">
        <f>'Grid_Stock'!BD2</f>
        <v/>
      </c>
      <c r="BH179">
        <f>'Grid_Stock'!BE2</f>
        <v/>
      </c>
      <c r="BI179">
        <f>'Grid_Stock'!BF2</f>
        <v/>
      </c>
      <c r="BJ179">
        <f>'Grid_Stock'!BG2</f>
        <v/>
      </c>
      <c r="BK179">
        <f>'Grid_Stock'!BH2</f>
        <v/>
      </c>
      <c r="BL179">
        <f>'Grid_Stock'!BI2</f>
        <v/>
      </c>
      <c r="BM179">
        <f>'Grid_Stock'!BJ2</f>
        <v/>
      </c>
      <c r="BN179">
        <f>'Grid_Stock'!BK2</f>
        <v/>
      </c>
      <c r="BO179">
        <f>'Grid_Stock'!BL2</f>
        <v/>
      </c>
      <c r="BP179">
        <f>'Grid_Stock'!BM2</f>
        <v/>
      </c>
      <c r="BQ179">
        <f>'Grid_Stock'!BN2</f>
        <v/>
      </c>
      <c r="BR179">
        <f>'Grid_Stock'!BO2</f>
        <v/>
      </c>
      <c r="BS179">
        <f>'Grid_Stock'!BP2</f>
        <v/>
      </c>
      <c r="BT179">
        <f>'Grid_Stock'!BQ2</f>
        <v/>
      </c>
      <c r="BU179">
        <f>'Grid_Stock'!BR2</f>
        <v/>
      </c>
      <c r="BV179">
        <f>'Grid_Stock'!BS2</f>
        <v/>
      </c>
      <c r="BW179">
        <f>'Grid_Stock'!BT2</f>
        <v/>
      </c>
      <c r="BX179">
        <f>'Grid_Stock'!BU2</f>
        <v/>
      </c>
      <c r="BY179">
        <f>'Grid_Stock'!BV2</f>
        <v/>
      </c>
      <c r="BZ179">
        <f>'Grid_Stock'!BW2</f>
        <v/>
      </c>
      <c r="CA179">
        <f>'Grid_Stock'!BX2</f>
        <v/>
      </c>
      <c r="CB179">
        <f>'Grid_Stock'!BY2</f>
        <v/>
      </c>
      <c r="CC179">
        <f>'Grid_Stock'!BZ2</f>
        <v/>
      </c>
      <c r="CD179">
        <f>'Grid_Stock'!CA2</f>
        <v/>
      </c>
      <c r="CE179">
        <f>'Grid_Stock'!CB2</f>
        <v/>
      </c>
      <c r="CF179">
        <f>'Grid_Stock'!CC2</f>
        <v/>
      </c>
      <c r="CG179">
        <f>'Grid_Stock'!CD2</f>
        <v/>
      </c>
      <c r="CH179">
        <f>'Grid_Stock'!CE2</f>
        <v/>
      </c>
      <c r="CI179">
        <f>'Grid_Stock'!CF2</f>
        <v/>
      </c>
      <c r="CJ179">
        <f>'Grid_Stock'!CG2</f>
        <v/>
      </c>
      <c r="CK179">
        <f>'Grid_Stock'!CH2</f>
        <v/>
      </c>
      <c r="CL179">
        <f>'Grid_Stock'!CI2</f>
        <v/>
      </c>
      <c r="CM179">
        <f>'Grid_Stock'!CJ2</f>
        <v/>
      </c>
      <c r="CN179">
        <f>'Grid_Stock'!CK2</f>
        <v/>
      </c>
      <c r="CO179">
        <f>'Grid_Stock'!CL2</f>
        <v/>
      </c>
      <c r="CP179">
        <f>'Grid_Stock'!CM2</f>
        <v/>
      </c>
      <c r="CQ179">
        <f>'Grid_Stock'!CN2</f>
        <v/>
      </c>
      <c r="CR179">
        <f>'Grid_Stock'!CO2</f>
        <v/>
      </c>
      <c r="CS179">
        <f>'Grid_Stock'!CP2</f>
        <v/>
      </c>
      <c r="CT179">
        <f>'Grid_Stock'!CQ2</f>
        <v/>
      </c>
      <c r="CU179">
        <f>'Grid_Stock'!CR2</f>
        <v/>
      </c>
      <c r="CV179">
        <f>'Grid_Stock'!CS2</f>
        <v/>
      </c>
      <c r="CW179">
        <f>'Grid_Stock'!CT2</f>
        <v/>
      </c>
      <c r="CX179">
        <f>'Grid_Stock'!CU2</f>
        <v/>
      </c>
      <c r="CY179">
        <f>'Grid_Stock'!CV2</f>
        <v/>
      </c>
      <c r="CZ179">
        <f>'Grid_Stock'!CW2</f>
        <v/>
      </c>
      <c r="DA179">
        <f>'Grid_Stock'!CX2</f>
        <v/>
      </c>
      <c r="DB179">
        <f>'Grid_Stock'!CY2</f>
        <v/>
      </c>
      <c r="DC179">
        <f>'Grid_Stock'!CZ2</f>
        <v/>
      </c>
      <c r="DD179">
        <f>'Grid_Stock'!DA2</f>
        <v/>
      </c>
    </row>
    <row r="180">
      <c r="B180" s="25" t="inlineStr">
        <is>
          <t>（発注の目安はDashboardの基準在庫[下限/上限]と色分けを参照）</t>
        </is>
      </c>
    </row>
    <row r="182">
      <c r="A182" s="21" t="inlineStr">
        <is>
          <t>CHEM-1120</t>
        </is>
      </c>
      <c r="B182" s="21" t="inlineStr">
        <is>
          <t>Catapal D</t>
        </is>
      </c>
      <c r="C182" s="22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21" t="n"/>
      <c r="AJ182" s="21" t="n"/>
      <c r="AK182" s="21" t="n"/>
      <c r="AL182" s="21" t="n"/>
      <c r="AM182" s="21" t="n"/>
      <c r="AN182" s="21" t="n"/>
      <c r="AO182" s="21" t="n"/>
      <c r="AP182" s="21" t="n"/>
      <c r="AQ182" s="21" t="n"/>
      <c r="AR182" s="21" t="n"/>
      <c r="AS182" s="21" t="n"/>
      <c r="AT182" s="21" t="n"/>
      <c r="AU182" s="21" t="n"/>
      <c r="AV182" s="21" t="n"/>
      <c r="AW182" s="21" t="n"/>
      <c r="AX182" s="21" t="n"/>
      <c r="AY182" s="21" t="n"/>
      <c r="AZ182" s="21" t="n"/>
      <c r="BA182" s="21" t="n"/>
      <c r="BB182" s="21" t="n"/>
      <c r="BC182" s="21" t="n"/>
      <c r="BD182" s="21" t="n"/>
      <c r="BE182" s="21" t="n"/>
      <c r="BF182" s="21" t="n"/>
      <c r="BG182" s="21" t="n"/>
      <c r="BH182" s="21" t="n"/>
      <c r="BI182" s="21" t="n"/>
      <c r="BJ182" s="21" t="n"/>
      <c r="BK182" s="21" t="n"/>
      <c r="BL182" s="21" t="n"/>
      <c r="BM182" s="21" t="n"/>
      <c r="BN182" s="21" t="n"/>
      <c r="BO182" s="21" t="n"/>
      <c r="BP182" s="21" t="n"/>
      <c r="BQ182" s="21" t="n"/>
      <c r="BR182" s="21" t="n"/>
      <c r="BS182" s="21" t="n"/>
      <c r="BT182" s="21" t="n"/>
      <c r="BU182" s="21" t="n"/>
      <c r="BV182" s="21" t="n"/>
      <c r="BW182" s="21" t="n"/>
      <c r="BX182" s="21" t="n"/>
      <c r="BY182" s="21" t="n"/>
      <c r="BZ182" s="21" t="n"/>
      <c r="CA182" s="21" t="n"/>
      <c r="CB182" s="21" t="n"/>
      <c r="CC182" s="21" t="n"/>
      <c r="CD182" s="21" t="n"/>
      <c r="CE182" s="21" t="n"/>
      <c r="CF182" s="21" t="n"/>
      <c r="CG182" s="21" t="n"/>
      <c r="CH182" s="21" t="n"/>
      <c r="CI182" s="21" t="n"/>
      <c r="CJ182" s="21" t="n"/>
      <c r="CK182" s="21" t="n"/>
      <c r="CL182" s="21" t="n"/>
      <c r="CM182" s="21" t="n"/>
      <c r="CN182" s="21" t="n"/>
      <c r="CO182" s="21" t="n"/>
      <c r="CP182" s="21" t="n"/>
      <c r="CQ182" s="21" t="n"/>
      <c r="CR182" s="21" t="n"/>
      <c r="CS182" s="21" t="n"/>
      <c r="CT182" s="21" t="n"/>
      <c r="CU182" s="21" t="n"/>
      <c r="CV182" s="21" t="n"/>
      <c r="CW182" s="21" t="n"/>
      <c r="CX182" s="21" t="n"/>
      <c r="CY182" s="21" t="n"/>
      <c r="CZ182" s="21" t="n"/>
      <c r="DA182" s="21" t="n"/>
      <c r="DB182" s="21" t="n"/>
      <c r="DC182" s="21" t="n"/>
      <c r="DD182" s="21" t="n"/>
    </row>
    <row r="183">
      <c r="B183" t="inlineStr">
        <is>
          <t>TSP-049</t>
        </is>
      </c>
      <c r="C183" t="inlineStr">
        <is>
          <t>No. of batches</t>
        </is>
      </c>
      <c r="D183">
        <f>IFERROR(INDEX(E183:DD183,$F$1),"")</f>
        <v/>
      </c>
      <c r="E183">
        <f>IFERROR(INDEX(PP_Grid[#Data],$DE183,2),0)</f>
        <v/>
      </c>
      <c r="F183">
        <f>IFERROR(INDEX(PP_Grid[#Data],$DE183,3),0)</f>
        <v/>
      </c>
      <c r="G183">
        <f>IFERROR(INDEX(PP_Grid[#Data],$DE183,4),0)</f>
        <v/>
      </c>
      <c r="H183">
        <f>IFERROR(INDEX(PP_Grid[#Data],$DE183,5),0)</f>
        <v/>
      </c>
      <c r="I183">
        <f>IFERROR(INDEX(PP_Grid[#Data],$DE183,6),0)</f>
        <v/>
      </c>
      <c r="J183">
        <f>IFERROR(INDEX(PP_Grid[#Data],$DE183,7),0)</f>
        <v/>
      </c>
      <c r="K183">
        <f>IFERROR(INDEX(PP_Grid[#Data],$DE183,8),0)</f>
        <v/>
      </c>
      <c r="L183">
        <f>IFERROR(INDEX(PP_Grid[#Data],$DE183,9),0)</f>
        <v/>
      </c>
      <c r="M183">
        <f>IFERROR(INDEX(PP_Grid[#Data],$DE183,10),0)</f>
        <v/>
      </c>
      <c r="N183">
        <f>IFERROR(INDEX(PP_Grid[#Data],$DE183,11),0)</f>
        <v/>
      </c>
      <c r="O183">
        <f>IFERROR(INDEX(PP_Grid[#Data],$DE183,12),0)</f>
        <v/>
      </c>
      <c r="P183">
        <f>IFERROR(INDEX(PP_Grid[#Data],$DE183,13),0)</f>
        <v/>
      </c>
      <c r="Q183">
        <f>IFERROR(INDEX(PP_Grid[#Data],$DE183,14),0)</f>
        <v/>
      </c>
      <c r="R183">
        <f>IFERROR(INDEX(PP_Grid[#Data],$DE183,15),0)</f>
        <v/>
      </c>
      <c r="S183">
        <f>IFERROR(INDEX(PP_Grid[#Data],$DE183,16),0)</f>
        <v/>
      </c>
      <c r="T183">
        <f>IFERROR(INDEX(PP_Grid[#Data],$DE183,17),0)</f>
        <v/>
      </c>
      <c r="U183">
        <f>IFERROR(INDEX(PP_Grid[#Data],$DE183,18),0)</f>
        <v/>
      </c>
      <c r="V183">
        <f>IFERROR(INDEX(PP_Grid[#Data],$DE183,19),0)</f>
        <v/>
      </c>
      <c r="W183">
        <f>IFERROR(INDEX(PP_Grid[#Data],$DE183,20),0)</f>
        <v/>
      </c>
      <c r="X183">
        <f>IFERROR(INDEX(PP_Grid[#Data],$DE183,21),0)</f>
        <v/>
      </c>
      <c r="Y183">
        <f>IFERROR(INDEX(PP_Grid[#Data],$DE183,22),0)</f>
        <v/>
      </c>
      <c r="Z183">
        <f>IFERROR(INDEX(PP_Grid[#Data],$DE183,23),0)</f>
        <v/>
      </c>
      <c r="AA183">
        <f>IFERROR(INDEX(PP_Grid[#Data],$DE183,24),0)</f>
        <v/>
      </c>
      <c r="AB183">
        <f>IFERROR(INDEX(PP_Grid[#Data],$DE183,25),0)</f>
        <v/>
      </c>
      <c r="AC183">
        <f>IFERROR(INDEX(PP_Grid[#Data],$DE183,26),0)</f>
        <v/>
      </c>
      <c r="AD183">
        <f>IFERROR(INDEX(PP_Grid[#Data],$DE183,27),0)</f>
        <v/>
      </c>
      <c r="AE183">
        <f>IFERROR(INDEX(PP_Grid[#Data],$DE183,28),0)</f>
        <v/>
      </c>
      <c r="AF183">
        <f>IFERROR(INDEX(PP_Grid[#Data],$DE183,29),0)</f>
        <v/>
      </c>
      <c r="AG183">
        <f>IFERROR(INDEX(PP_Grid[#Data],$DE183,30),0)</f>
        <v/>
      </c>
      <c r="AH183">
        <f>IFERROR(INDEX(PP_Grid[#Data],$DE183,31),0)</f>
        <v/>
      </c>
      <c r="AI183">
        <f>IFERROR(INDEX(PP_Grid[#Data],$DE183,32),0)</f>
        <v/>
      </c>
      <c r="AJ183">
        <f>IFERROR(INDEX(PP_Grid[#Data],$DE183,33),0)</f>
        <v/>
      </c>
      <c r="AK183">
        <f>IFERROR(INDEX(PP_Grid[#Data],$DE183,34),0)</f>
        <v/>
      </c>
      <c r="AL183">
        <f>IFERROR(INDEX(PP_Grid[#Data],$DE183,35),0)</f>
        <v/>
      </c>
      <c r="AM183">
        <f>IFERROR(INDEX(PP_Grid[#Data],$DE183,36),0)</f>
        <v/>
      </c>
      <c r="AN183">
        <f>IFERROR(INDEX(PP_Grid[#Data],$DE183,37),0)</f>
        <v/>
      </c>
      <c r="AO183">
        <f>IFERROR(INDEX(PP_Grid[#Data],$DE183,38),0)</f>
        <v/>
      </c>
      <c r="AP183">
        <f>IFERROR(INDEX(PP_Grid[#Data],$DE183,39),0)</f>
        <v/>
      </c>
      <c r="AQ183">
        <f>IFERROR(INDEX(PP_Grid[#Data],$DE183,40),0)</f>
        <v/>
      </c>
      <c r="AR183">
        <f>IFERROR(INDEX(PP_Grid[#Data],$DE183,41),0)</f>
        <v/>
      </c>
      <c r="AS183">
        <f>IFERROR(INDEX(PP_Grid[#Data],$DE183,42),0)</f>
        <v/>
      </c>
      <c r="AT183">
        <f>IFERROR(INDEX(PP_Grid[#Data],$DE183,43),0)</f>
        <v/>
      </c>
      <c r="AU183">
        <f>IFERROR(INDEX(PP_Grid[#Data],$DE183,44),0)</f>
        <v/>
      </c>
      <c r="AV183">
        <f>IFERROR(INDEX(PP_Grid[#Data],$DE183,45),0)</f>
        <v/>
      </c>
      <c r="AW183">
        <f>IFERROR(INDEX(PP_Grid[#Data],$DE183,46),0)</f>
        <v/>
      </c>
      <c r="AX183">
        <f>IFERROR(INDEX(PP_Grid[#Data],$DE183,47),0)</f>
        <v/>
      </c>
      <c r="AY183">
        <f>IFERROR(INDEX(PP_Grid[#Data],$DE183,48),0)</f>
        <v/>
      </c>
      <c r="AZ183">
        <f>IFERROR(INDEX(PP_Grid[#Data],$DE183,49),0)</f>
        <v/>
      </c>
      <c r="BA183">
        <f>IFERROR(INDEX(PP_Grid[#Data],$DE183,50),0)</f>
        <v/>
      </c>
      <c r="BB183">
        <f>IFERROR(INDEX(PP_Grid[#Data],$DE183,51),0)</f>
        <v/>
      </c>
      <c r="BC183">
        <f>IFERROR(INDEX(PP_Grid[#Data],$DE183,52),0)</f>
        <v/>
      </c>
      <c r="BD183">
        <f>IFERROR(INDEX(PP_Grid[#Data],$DE183,53),0)</f>
        <v/>
      </c>
      <c r="BE183">
        <f>IFERROR(INDEX(PP_Grid[#Data],$DE183,54),0)</f>
        <v/>
      </c>
      <c r="BF183">
        <f>IFERROR(INDEX(PP_Grid[#Data],$DE183,55),0)</f>
        <v/>
      </c>
      <c r="BG183">
        <f>IFERROR(INDEX(PP_Grid[#Data],$DE183,56),0)</f>
        <v/>
      </c>
      <c r="BH183">
        <f>IFERROR(INDEX(PP_Grid[#Data],$DE183,57),0)</f>
        <v/>
      </c>
      <c r="BI183">
        <f>IFERROR(INDEX(PP_Grid[#Data],$DE183,58),0)</f>
        <v/>
      </c>
      <c r="BJ183">
        <f>IFERROR(INDEX(PP_Grid[#Data],$DE183,59),0)</f>
        <v/>
      </c>
      <c r="BK183">
        <f>IFERROR(INDEX(PP_Grid[#Data],$DE183,60),0)</f>
        <v/>
      </c>
      <c r="BL183">
        <f>IFERROR(INDEX(PP_Grid[#Data],$DE183,61),0)</f>
        <v/>
      </c>
      <c r="BM183">
        <f>IFERROR(INDEX(PP_Grid[#Data],$DE183,62),0)</f>
        <v/>
      </c>
      <c r="BN183">
        <f>IFERROR(INDEX(PP_Grid[#Data],$DE183,63),0)</f>
        <v/>
      </c>
      <c r="BO183">
        <f>IFERROR(INDEX(PP_Grid[#Data],$DE183,64),0)</f>
        <v/>
      </c>
      <c r="BP183">
        <f>IFERROR(INDEX(PP_Grid[#Data],$DE183,65),0)</f>
        <v/>
      </c>
      <c r="BQ183">
        <f>IFERROR(INDEX(PP_Grid[#Data],$DE183,66),0)</f>
        <v/>
      </c>
      <c r="BR183">
        <f>IFERROR(INDEX(PP_Grid[#Data],$DE183,67),0)</f>
        <v/>
      </c>
      <c r="BS183">
        <f>IFERROR(INDEX(PP_Grid[#Data],$DE183,68),0)</f>
        <v/>
      </c>
      <c r="BT183">
        <f>IFERROR(INDEX(PP_Grid[#Data],$DE183,69),0)</f>
        <v/>
      </c>
      <c r="BU183">
        <f>IFERROR(INDEX(PP_Grid[#Data],$DE183,70),0)</f>
        <v/>
      </c>
      <c r="BV183">
        <f>IFERROR(INDEX(PP_Grid[#Data],$DE183,71),0)</f>
        <v/>
      </c>
      <c r="BW183">
        <f>IFERROR(INDEX(PP_Grid[#Data],$DE183,72),0)</f>
        <v/>
      </c>
      <c r="BX183">
        <f>IFERROR(INDEX(PP_Grid[#Data],$DE183,73),0)</f>
        <v/>
      </c>
      <c r="BY183">
        <f>IFERROR(INDEX(PP_Grid[#Data],$DE183,74),0)</f>
        <v/>
      </c>
      <c r="BZ183">
        <f>IFERROR(INDEX(PP_Grid[#Data],$DE183,75),0)</f>
        <v/>
      </c>
      <c r="CA183">
        <f>IFERROR(INDEX(PP_Grid[#Data],$DE183,76),0)</f>
        <v/>
      </c>
      <c r="CB183">
        <f>IFERROR(INDEX(PP_Grid[#Data],$DE183,77),0)</f>
        <v/>
      </c>
      <c r="CC183">
        <f>IFERROR(INDEX(PP_Grid[#Data],$DE183,78),0)</f>
        <v/>
      </c>
      <c r="CD183">
        <f>IFERROR(INDEX(PP_Grid[#Data],$DE183,79),0)</f>
        <v/>
      </c>
      <c r="CE183">
        <f>IFERROR(INDEX(PP_Grid[#Data],$DE183,80),0)</f>
        <v/>
      </c>
      <c r="CF183">
        <f>IFERROR(INDEX(PP_Grid[#Data],$DE183,81),0)</f>
        <v/>
      </c>
      <c r="CG183">
        <f>IFERROR(INDEX(PP_Grid[#Data],$DE183,82),0)</f>
        <v/>
      </c>
      <c r="CH183">
        <f>IFERROR(INDEX(PP_Grid[#Data],$DE183,83),0)</f>
        <v/>
      </c>
      <c r="CI183">
        <f>IFERROR(INDEX(PP_Grid[#Data],$DE183,84),0)</f>
        <v/>
      </c>
      <c r="CJ183">
        <f>IFERROR(INDEX(PP_Grid[#Data],$DE183,85),0)</f>
        <v/>
      </c>
      <c r="CK183">
        <f>IFERROR(INDEX(PP_Grid[#Data],$DE183,86),0)</f>
        <v/>
      </c>
      <c r="CL183">
        <f>IFERROR(INDEX(PP_Grid[#Data],$DE183,87),0)</f>
        <v/>
      </c>
      <c r="CM183">
        <f>IFERROR(INDEX(PP_Grid[#Data],$DE183,88),0)</f>
        <v/>
      </c>
      <c r="CN183">
        <f>IFERROR(INDEX(PP_Grid[#Data],$DE183,89),0)</f>
        <v/>
      </c>
      <c r="CO183">
        <f>IFERROR(INDEX(PP_Grid[#Data],$DE183,90),0)</f>
        <v/>
      </c>
      <c r="CP183">
        <f>IFERROR(INDEX(PP_Grid[#Data],$DE183,91),0)</f>
        <v/>
      </c>
      <c r="CQ183">
        <f>IFERROR(INDEX(PP_Grid[#Data],$DE183,92),0)</f>
        <v/>
      </c>
      <c r="CR183">
        <f>IFERROR(INDEX(PP_Grid[#Data],$DE183,93),0)</f>
        <v/>
      </c>
      <c r="CS183">
        <f>IFERROR(INDEX(PP_Grid[#Data],$DE183,94),0)</f>
        <v/>
      </c>
      <c r="CT183">
        <f>IFERROR(INDEX(PP_Grid[#Data],$DE183,95),0)</f>
        <v/>
      </c>
      <c r="CU183">
        <f>IFERROR(INDEX(PP_Grid[#Data],$DE183,96),0)</f>
        <v/>
      </c>
      <c r="CV183">
        <f>IFERROR(INDEX(PP_Grid[#Data],$DE183,97),0)</f>
        <v/>
      </c>
      <c r="CW183">
        <f>IFERROR(INDEX(PP_Grid[#Data],$DE183,98),0)</f>
        <v/>
      </c>
      <c r="CX183">
        <f>IFERROR(INDEX(PP_Grid[#Data],$DE183,99),0)</f>
        <v/>
      </c>
      <c r="CY183">
        <f>IFERROR(INDEX(PP_Grid[#Data],$DE183,100),0)</f>
        <v/>
      </c>
      <c r="CZ183">
        <f>IFERROR(INDEX(PP_Grid[#Data],$DE183,101),0)</f>
        <v/>
      </c>
      <c r="DA183">
        <f>IFERROR(INDEX(PP_Grid[#Data],$DE183,102),0)</f>
        <v/>
      </c>
      <c r="DB183">
        <f>IFERROR(INDEX(PP_Grid[#Data],$DE183,103),0)</f>
        <v/>
      </c>
      <c r="DC183">
        <f>IFERROR(INDEX(PP_Grid[#Data],$DE183,104),0)</f>
        <v/>
      </c>
      <c r="DD183">
        <f>IFERROR(INDEX(PP_Grid[#Data],$DE183,105),0)</f>
        <v/>
      </c>
      <c r="DE183" s="7">
        <f>IFERROR(MATCH($B183,PP_Grid[Intermediate],0),99999)</f>
        <v/>
      </c>
    </row>
    <row r="184">
      <c r="B184" t="inlineStr">
        <is>
          <t>使用量(kg)</t>
        </is>
      </c>
      <c r="C184">
        <f>SUMIFS(M_BOM[RM_Qty_Per_Batch],M_BOM[Intermediate],$B183,M_BOM[RM_Code],$A182)</f>
        <v/>
      </c>
      <c r="D184">
        <f>IFERROR(INDEX(E184:DD184,$F$1),"")</f>
        <v/>
      </c>
      <c r="E184">
        <f>$C184*E183</f>
        <v/>
      </c>
      <c r="F184">
        <f>$C184*F183</f>
        <v/>
      </c>
      <c r="G184">
        <f>$C184*G183</f>
        <v/>
      </c>
      <c r="H184">
        <f>$C184*H183</f>
        <v/>
      </c>
      <c r="I184">
        <f>$C184*I183</f>
        <v/>
      </c>
      <c r="J184">
        <f>$C184*J183</f>
        <v/>
      </c>
      <c r="K184">
        <f>$C184*K183</f>
        <v/>
      </c>
      <c r="L184">
        <f>$C184*L183</f>
        <v/>
      </c>
      <c r="M184">
        <f>$C184*M183</f>
        <v/>
      </c>
      <c r="N184">
        <f>$C184*N183</f>
        <v/>
      </c>
      <c r="O184">
        <f>$C184*O183</f>
        <v/>
      </c>
      <c r="P184">
        <f>$C184*P183</f>
        <v/>
      </c>
      <c r="Q184">
        <f>$C184*Q183</f>
        <v/>
      </c>
      <c r="R184">
        <f>$C184*R183</f>
        <v/>
      </c>
      <c r="S184">
        <f>$C184*S183</f>
        <v/>
      </c>
      <c r="T184">
        <f>$C184*T183</f>
        <v/>
      </c>
      <c r="U184">
        <f>$C184*U183</f>
        <v/>
      </c>
      <c r="V184">
        <f>$C184*V183</f>
        <v/>
      </c>
      <c r="W184">
        <f>$C184*W183</f>
        <v/>
      </c>
      <c r="X184">
        <f>$C184*X183</f>
        <v/>
      </c>
      <c r="Y184">
        <f>$C184*Y183</f>
        <v/>
      </c>
      <c r="Z184">
        <f>$C184*Z183</f>
        <v/>
      </c>
      <c r="AA184">
        <f>$C184*AA183</f>
        <v/>
      </c>
      <c r="AB184">
        <f>$C184*AB183</f>
        <v/>
      </c>
      <c r="AC184">
        <f>$C184*AC183</f>
        <v/>
      </c>
      <c r="AD184">
        <f>$C184*AD183</f>
        <v/>
      </c>
      <c r="AE184">
        <f>$C184*AE183</f>
        <v/>
      </c>
      <c r="AF184">
        <f>$C184*AF183</f>
        <v/>
      </c>
      <c r="AG184">
        <f>$C184*AG183</f>
        <v/>
      </c>
      <c r="AH184">
        <f>$C184*AH183</f>
        <v/>
      </c>
      <c r="AI184">
        <f>$C184*AI183</f>
        <v/>
      </c>
      <c r="AJ184">
        <f>$C184*AJ183</f>
        <v/>
      </c>
      <c r="AK184">
        <f>$C184*AK183</f>
        <v/>
      </c>
      <c r="AL184">
        <f>$C184*AL183</f>
        <v/>
      </c>
      <c r="AM184">
        <f>$C184*AM183</f>
        <v/>
      </c>
      <c r="AN184">
        <f>$C184*AN183</f>
        <v/>
      </c>
      <c r="AO184">
        <f>$C184*AO183</f>
        <v/>
      </c>
      <c r="AP184">
        <f>$C184*AP183</f>
        <v/>
      </c>
      <c r="AQ184">
        <f>$C184*AQ183</f>
        <v/>
      </c>
      <c r="AR184">
        <f>$C184*AR183</f>
        <v/>
      </c>
      <c r="AS184">
        <f>$C184*AS183</f>
        <v/>
      </c>
      <c r="AT184">
        <f>$C184*AT183</f>
        <v/>
      </c>
      <c r="AU184">
        <f>$C184*AU183</f>
        <v/>
      </c>
      <c r="AV184">
        <f>$C184*AV183</f>
        <v/>
      </c>
      <c r="AW184">
        <f>$C184*AW183</f>
        <v/>
      </c>
      <c r="AX184">
        <f>$C184*AX183</f>
        <v/>
      </c>
      <c r="AY184">
        <f>$C184*AY183</f>
        <v/>
      </c>
      <c r="AZ184">
        <f>$C184*AZ183</f>
        <v/>
      </c>
      <c r="BA184">
        <f>$C184*BA183</f>
        <v/>
      </c>
      <c r="BB184">
        <f>$C184*BB183</f>
        <v/>
      </c>
      <c r="BC184">
        <f>$C184*BC183</f>
        <v/>
      </c>
      <c r="BD184">
        <f>$C184*BD183</f>
        <v/>
      </c>
      <c r="BE184">
        <f>$C184*BE183</f>
        <v/>
      </c>
      <c r="BF184">
        <f>$C184*BF183</f>
        <v/>
      </c>
      <c r="BG184">
        <f>$C184*BG183</f>
        <v/>
      </c>
      <c r="BH184">
        <f>$C184*BH183</f>
        <v/>
      </c>
      <c r="BI184">
        <f>$C184*BI183</f>
        <v/>
      </c>
      <c r="BJ184">
        <f>$C184*BJ183</f>
        <v/>
      </c>
      <c r="BK184">
        <f>$C184*BK183</f>
        <v/>
      </c>
      <c r="BL184">
        <f>$C184*BL183</f>
        <v/>
      </c>
      <c r="BM184">
        <f>$C184*BM183</f>
        <v/>
      </c>
      <c r="BN184">
        <f>$C184*BN183</f>
        <v/>
      </c>
      <c r="BO184">
        <f>$C184*BO183</f>
        <v/>
      </c>
      <c r="BP184">
        <f>$C184*BP183</f>
        <v/>
      </c>
      <c r="BQ184">
        <f>$C184*BQ183</f>
        <v/>
      </c>
      <c r="BR184">
        <f>$C184*BR183</f>
        <v/>
      </c>
      <c r="BS184">
        <f>$C184*BS183</f>
        <v/>
      </c>
      <c r="BT184">
        <f>$C184*BT183</f>
        <v/>
      </c>
      <c r="BU184">
        <f>$C184*BU183</f>
        <v/>
      </c>
      <c r="BV184">
        <f>$C184*BV183</f>
        <v/>
      </c>
      <c r="BW184">
        <f>$C184*BW183</f>
        <v/>
      </c>
      <c r="BX184">
        <f>$C184*BX183</f>
        <v/>
      </c>
      <c r="BY184">
        <f>$C184*BY183</f>
        <v/>
      </c>
      <c r="BZ184">
        <f>$C184*BZ183</f>
        <v/>
      </c>
      <c r="CA184">
        <f>$C184*CA183</f>
        <v/>
      </c>
      <c r="CB184">
        <f>$C184*CB183</f>
        <v/>
      </c>
      <c r="CC184">
        <f>$C184*CC183</f>
        <v/>
      </c>
      <c r="CD184">
        <f>$C184*CD183</f>
        <v/>
      </c>
      <c r="CE184">
        <f>$C184*CE183</f>
        <v/>
      </c>
      <c r="CF184">
        <f>$C184*CF183</f>
        <v/>
      </c>
      <c r="CG184">
        <f>$C184*CG183</f>
        <v/>
      </c>
      <c r="CH184">
        <f>$C184*CH183</f>
        <v/>
      </c>
      <c r="CI184">
        <f>$C184*CI183</f>
        <v/>
      </c>
      <c r="CJ184">
        <f>$C184*CJ183</f>
        <v/>
      </c>
      <c r="CK184">
        <f>$C184*CK183</f>
        <v/>
      </c>
      <c r="CL184">
        <f>$C184*CL183</f>
        <v/>
      </c>
      <c r="CM184">
        <f>$C184*CM183</f>
        <v/>
      </c>
      <c r="CN184">
        <f>$C184*CN183</f>
        <v/>
      </c>
      <c r="CO184">
        <f>$C184*CO183</f>
        <v/>
      </c>
      <c r="CP184">
        <f>$C184*CP183</f>
        <v/>
      </c>
      <c r="CQ184">
        <f>$C184*CQ183</f>
        <v/>
      </c>
      <c r="CR184">
        <f>$C184*CR183</f>
        <v/>
      </c>
      <c r="CS184">
        <f>$C184*CS183</f>
        <v/>
      </c>
      <c r="CT184">
        <f>$C184*CT183</f>
        <v/>
      </c>
      <c r="CU184">
        <f>$C184*CU183</f>
        <v/>
      </c>
      <c r="CV184">
        <f>$C184*CV183</f>
        <v/>
      </c>
      <c r="CW184">
        <f>$C184*CW183</f>
        <v/>
      </c>
      <c r="CX184">
        <f>$C184*CX183</f>
        <v/>
      </c>
      <c r="CY184">
        <f>$C184*CY183</f>
        <v/>
      </c>
      <c r="CZ184">
        <f>$C184*CZ183</f>
        <v/>
      </c>
      <c r="DA184">
        <f>$C184*DA183</f>
        <v/>
      </c>
      <c r="DB184">
        <f>$C184*DB183</f>
        <v/>
      </c>
      <c r="DC184">
        <f>$C184*DC183</f>
        <v/>
      </c>
      <c r="DD184">
        <f>$C184*DD183</f>
        <v/>
      </c>
    </row>
    <row r="185">
      <c r="B185" t="inlineStr">
        <is>
          <t>TSP-067</t>
        </is>
      </c>
      <c r="C185" t="inlineStr">
        <is>
          <t>No. of batches</t>
        </is>
      </c>
      <c r="D185">
        <f>IFERROR(INDEX(E185:DD185,$F$1),"")</f>
        <v/>
      </c>
      <c r="E185">
        <f>IFERROR(INDEX(PP_Grid[#Data],$DE185,2),0)</f>
        <v/>
      </c>
      <c r="F185">
        <f>IFERROR(INDEX(PP_Grid[#Data],$DE185,3),0)</f>
        <v/>
      </c>
      <c r="G185">
        <f>IFERROR(INDEX(PP_Grid[#Data],$DE185,4),0)</f>
        <v/>
      </c>
      <c r="H185">
        <f>IFERROR(INDEX(PP_Grid[#Data],$DE185,5),0)</f>
        <v/>
      </c>
      <c r="I185">
        <f>IFERROR(INDEX(PP_Grid[#Data],$DE185,6),0)</f>
        <v/>
      </c>
      <c r="J185">
        <f>IFERROR(INDEX(PP_Grid[#Data],$DE185,7),0)</f>
        <v/>
      </c>
      <c r="K185">
        <f>IFERROR(INDEX(PP_Grid[#Data],$DE185,8),0)</f>
        <v/>
      </c>
      <c r="L185">
        <f>IFERROR(INDEX(PP_Grid[#Data],$DE185,9),0)</f>
        <v/>
      </c>
      <c r="M185">
        <f>IFERROR(INDEX(PP_Grid[#Data],$DE185,10),0)</f>
        <v/>
      </c>
      <c r="N185">
        <f>IFERROR(INDEX(PP_Grid[#Data],$DE185,11),0)</f>
        <v/>
      </c>
      <c r="O185">
        <f>IFERROR(INDEX(PP_Grid[#Data],$DE185,12),0)</f>
        <v/>
      </c>
      <c r="P185">
        <f>IFERROR(INDEX(PP_Grid[#Data],$DE185,13),0)</f>
        <v/>
      </c>
      <c r="Q185">
        <f>IFERROR(INDEX(PP_Grid[#Data],$DE185,14),0)</f>
        <v/>
      </c>
      <c r="R185">
        <f>IFERROR(INDEX(PP_Grid[#Data],$DE185,15),0)</f>
        <v/>
      </c>
      <c r="S185">
        <f>IFERROR(INDEX(PP_Grid[#Data],$DE185,16),0)</f>
        <v/>
      </c>
      <c r="T185">
        <f>IFERROR(INDEX(PP_Grid[#Data],$DE185,17),0)</f>
        <v/>
      </c>
      <c r="U185">
        <f>IFERROR(INDEX(PP_Grid[#Data],$DE185,18),0)</f>
        <v/>
      </c>
      <c r="V185">
        <f>IFERROR(INDEX(PP_Grid[#Data],$DE185,19),0)</f>
        <v/>
      </c>
      <c r="W185">
        <f>IFERROR(INDEX(PP_Grid[#Data],$DE185,20),0)</f>
        <v/>
      </c>
      <c r="X185">
        <f>IFERROR(INDEX(PP_Grid[#Data],$DE185,21),0)</f>
        <v/>
      </c>
      <c r="Y185">
        <f>IFERROR(INDEX(PP_Grid[#Data],$DE185,22),0)</f>
        <v/>
      </c>
      <c r="Z185">
        <f>IFERROR(INDEX(PP_Grid[#Data],$DE185,23),0)</f>
        <v/>
      </c>
      <c r="AA185">
        <f>IFERROR(INDEX(PP_Grid[#Data],$DE185,24),0)</f>
        <v/>
      </c>
      <c r="AB185">
        <f>IFERROR(INDEX(PP_Grid[#Data],$DE185,25),0)</f>
        <v/>
      </c>
      <c r="AC185">
        <f>IFERROR(INDEX(PP_Grid[#Data],$DE185,26),0)</f>
        <v/>
      </c>
      <c r="AD185">
        <f>IFERROR(INDEX(PP_Grid[#Data],$DE185,27),0)</f>
        <v/>
      </c>
      <c r="AE185">
        <f>IFERROR(INDEX(PP_Grid[#Data],$DE185,28),0)</f>
        <v/>
      </c>
      <c r="AF185">
        <f>IFERROR(INDEX(PP_Grid[#Data],$DE185,29),0)</f>
        <v/>
      </c>
      <c r="AG185">
        <f>IFERROR(INDEX(PP_Grid[#Data],$DE185,30),0)</f>
        <v/>
      </c>
      <c r="AH185">
        <f>IFERROR(INDEX(PP_Grid[#Data],$DE185,31),0)</f>
        <v/>
      </c>
      <c r="AI185">
        <f>IFERROR(INDEX(PP_Grid[#Data],$DE185,32),0)</f>
        <v/>
      </c>
      <c r="AJ185">
        <f>IFERROR(INDEX(PP_Grid[#Data],$DE185,33),0)</f>
        <v/>
      </c>
      <c r="AK185">
        <f>IFERROR(INDEX(PP_Grid[#Data],$DE185,34),0)</f>
        <v/>
      </c>
      <c r="AL185">
        <f>IFERROR(INDEX(PP_Grid[#Data],$DE185,35),0)</f>
        <v/>
      </c>
      <c r="AM185">
        <f>IFERROR(INDEX(PP_Grid[#Data],$DE185,36),0)</f>
        <v/>
      </c>
      <c r="AN185">
        <f>IFERROR(INDEX(PP_Grid[#Data],$DE185,37),0)</f>
        <v/>
      </c>
      <c r="AO185">
        <f>IFERROR(INDEX(PP_Grid[#Data],$DE185,38),0)</f>
        <v/>
      </c>
      <c r="AP185">
        <f>IFERROR(INDEX(PP_Grid[#Data],$DE185,39),0)</f>
        <v/>
      </c>
      <c r="AQ185">
        <f>IFERROR(INDEX(PP_Grid[#Data],$DE185,40),0)</f>
        <v/>
      </c>
      <c r="AR185">
        <f>IFERROR(INDEX(PP_Grid[#Data],$DE185,41),0)</f>
        <v/>
      </c>
      <c r="AS185">
        <f>IFERROR(INDEX(PP_Grid[#Data],$DE185,42),0)</f>
        <v/>
      </c>
      <c r="AT185">
        <f>IFERROR(INDEX(PP_Grid[#Data],$DE185,43),0)</f>
        <v/>
      </c>
      <c r="AU185">
        <f>IFERROR(INDEX(PP_Grid[#Data],$DE185,44),0)</f>
        <v/>
      </c>
      <c r="AV185">
        <f>IFERROR(INDEX(PP_Grid[#Data],$DE185,45),0)</f>
        <v/>
      </c>
      <c r="AW185">
        <f>IFERROR(INDEX(PP_Grid[#Data],$DE185,46),0)</f>
        <v/>
      </c>
      <c r="AX185">
        <f>IFERROR(INDEX(PP_Grid[#Data],$DE185,47),0)</f>
        <v/>
      </c>
      <c r="AY185">
        <f>IFERROR(INDEX(PP_Grid[#Data],$DE185,48),0)</f>
        <v/>
      </c>
      <c r="AZ185">
        <f>IFERROR(INDEX(PP_Grid[#Data],$DE185,49),0)</f>
        <v/>
      </c>
      <c r="BA185">
        <f>IFERROR(INDEX(PP_Grid[#Data],$DE185,50),0)</f>
        <v/>
      </c>
      <c r="BB185">
        <f>IFERROR(INDEX(PP_Grid[#Data],$DE185,51),0)</f>
        <v/>
      </c>
      <c r="BC185">
        <f>IFERROR(INDEX(PP_Grid[#Data],$DE185,52),0)</f>
        <v/>
      </c>
      <c r="BD185">
        <f>IFERROR(INDEX(PP_Grid[#Data],$DE185,53),0)</f>
        <v/>
      </c>
      <c r="BE185">
        <f>IFERROR(INDEX(PP_Grid[#Data],$DE185,54),0)</f>
        <v/>
      </c>
      <c r="BF185">
        <f>IFERROR(INDEX(PP_Grid[#Data],$DE185,55),0)</f>
        <v/>
      </c>
      <c r="BG185">
        <f>IFERROR(INDEX(PP_Grid[#Data],$DE185,56),0)</f>
        <v/>
      </c>
      <c r="BH185">
        <f>IFERROR(INDEX(PP_Grid[#Data],$DE185,57),0)</f>
        <v/>
      </c>
      <c r="BI185">
        <f>IFERROR(INDEX(PP_Grid[#Data],$DE185,58),0)</f>
        <v/>
      </c>
      <c r="BJ185">
        <f>IFERROR(INDEX(PP_Grid[#Data],$DE185,59),0)</f>
        <v/>
      </c>
      <c r="BK185">
        <f>IFERROR(INDEX(PP_Grid[#Data],$DE185,60),0)</f>
        <v/>
      </c>
      <c r="BL185">
        <f>IFERROR(INDEX(PP_Grid[#Data],$DE185,61),0)</f>
        <v/>
      </c>
      <c r="BM185">
        <f>IFERROR(INDEX(PP_Grid[#Data],$DE185,62),0)</f>
        <v/>
      </c>
      <c r="BN185">
        <f>IFERROR(INDEX(PP_Grid[#Data],$DE185,63),0)</f>
        <v/>
      </c>
      <c r="BO185">
        <f>IFERROR(INDEX(PP_Grid[#Data],$DE185,64),0)</f>
        <v/>
      </c>
      <c r="BP185">
        <f>IFERROR(INDEX(PP_Grid[#Data],$DE185,65),0)</f>
        <v/>
      </c>
      <c r="BQ185">
        <f>IFERROR(INDEX(PP_Grid[#Data],$DE185,66),0)</f>
        <v/>
      </c>
      <c r="BR185">
        <f>IFERROR(INDEX(PP_Grid[#Data],$DE185,67),0)</f>
        <v/>
      </c>
      <c r="BS185">
        <f>IFERROR(INDEX(PP_Grid[#Data],$DE185,68),0)</f>
        <v/>
      </c>
      <c r="BT185">
        <f>IFERROR(INDEX(PP_Grid[#Data],$DE185,69),0)</f>
        <v/>
      </c>
      <c r="BU185">
        <f>IFERROR(INDEX(PP_Grid[#Data],$DE185,70),0)</f>
        <v/>
      </c>
      <c r="BV185">
        <f>IFERROR(INDEX(PP_Grid[#Data],$DE185,71),0)</f>
        <v/>
      </c>
      <c r="BW185">
        <f>IFERROR(INDEX(PP_Grid[#Data],$DE185,72),0)</f>
        <v/>
      </c>
      <c r="BX185">
        <f>IFERROR(INDEX(PP_Grid[#Data],$DE185,73),0)</f>
        <v/>
      </c>
      <c r="BY185">
        <f>IFERROR(INDEX(PP_Grid[#Data],$DE185,74),0)</f>
        <v/>
      </c>
      <c r="BZ185">
        <f>IFERROR(INDEX(PP_Grid[#Data],$DE185,75),0)</f>
        <v/>
      </c>
      <c r="CA185">
        <f>IFERROR(INDEX(PP_Grid[#Data],$DE185,76),0)</f>
        <v/>
      </c>
      <c r="CB185">
        <f>IFERROR(INDEX(PP_Grid[#Data],$DE185,77),0)</f>
        <v/>
      </c>
      <c r="CC185">
        <f>IFERROR(INDEX(PP_Grid[#Data],$DE185,78),0)</f>
        <v/>
      </c>
      <c r="CD185">
        <f>IFERROR(INDEX(PP_Grid[#Data],$DE185,79),0)</f>
        <v/>
      </c>
      <c r="CE185">
        <f>IFERROR(INDEX(PP_Grid[#Data],$DE185,80),0)</f>
        <v/>
      </c>
      <c r="CF185">
        <f>IFERROR(INDEX(PP_Grid[#Data],$DE185,81),0)</f>
        <v/>
      </c>
      <c r="CG185">
        <f>IFERROR(INDEX(PP_Grid[#Data],$DE185,82),0)</f>
        <v/>
      </c>
      <c r="CH185">
        <f>IFERROR(INDEX(PP_Grid[#Data],$DE185,83),0)</f>
        <v/>
      </c>
      <c r="CI185">
        <f>IFERROR(INDEX(PP_Grid[#Data],$DE185,84),0)</f>
        <v/>
      </c>
      <c r="CJ185">
        <f>IFERROR(INDEX(PP_Grid[#Data],$DE185,85),0)</f>
        <v/>
      </c>
      <c r="CK185">
        <f>IFERROR(INDEX(PP_Grid[#Data],$DE185,86),0)</f>
        <v/>
      </c>
      <c r="CL185">
        <f>IFERROR(INDEX(PP_Grid[#Data],$DE185,87),0)</f>
        <v/>
      </c>
      <c r="CM185">
        <f>IFERROR(INDEX(PP_Grid[#Data],$DE185,88),0)</f>
        <v/>
      </c>
      <c r="CN185">
        <f>IFERROR(INDEX(PP_Grid[#Data],$DE185,89),0)</f>
        <v/>
      </c>
      <c r="CO185">
        <f>IFERROR(INDEX(PP_Grid[#Data],$DE185,90),0)</f>
        <v/>
      </c>
      <c r="CP185">
        <f>IFERROR(INDEX(PP_Grid[#Data],$DE185,91),0)</f>
        <v/>
      </c>
      <c r="CQ185">
        <f>IFERROR(INDEX(PP_Grid[#Data],$DE185,92),0)</f>
        <v/>
      </c>
      <c r="CR185">
        <f>IFERROR(INDEX(PP_Grid[#Data],$DE185,93),0)</f>
        <v/>
      </c>
      <c r="CS185">
        <f>IFERROR(INDEX(PP_Grid[#Data],$DE185,94),0)</f>
        <v/>
      </c>
      <c r="CT185">
        <f>IFERROR(INDEX(PP_Grid[#Data],$DE185,95),0)</f>
        <v/>
      </c>
      <c r="CU185">
        <f>IFERROR(INDEX(PP_Grid[#Data],$DE185,96),0)</f>
        <v/>
      </c>
      <c r="CV185">
        <f>IFERROR(INDEX(PP_Grid[#Data],$DE185,97),0)</f>
        <v/>
      </c>
      <c r="CW185">
        <f>IFERROR(INDEX(PP_Grid[#Data],$DE185,98),0)</f>
        <v/>
      </c>
      <c r="CX185">
        <f>IFERROR(INDEX(PP_Grid[#Data],$DE185,99),0)</f>
        <v/>
      </c>
      <c r="CY185">
        <f>IFERROR(INDEX(PP_Grid[#Data],$DE185,100),0)</f>
        <v/>
      </c>
      <c r="CZ185">
        <f>IFERROR(INDEX(PP_Grid[#Data],$DE185,101),0)</f>
        <v/>
      </c>
      <c r="DA185">
        <f>IFERROR(INDEX(PP_Grid[#Data],$DE185,102),0)</f>
        <v/>
      </c>
      <c r="DB185">
        <f>IFERROR(INDEX(PP_Grid[#Data],$DE185,103),0)</f>
        <v/>
      </c>
      <c r="DC185">
        <f>IFERROR(INDEX(PP_Grid[#Data],$DE185,104),0)</f>
        <v/>
      </c>
      <c r="DD185">
        <f>IFERROR(INDEX(PP_Grid[#Data],$DE185,105),0)</f>
        <v/>
      </c>
      <c r="DE185" s="7">
        <f>IFERROR(MATCH($B185,PP_Grid[Intermediate],0),99999)</f>
        <v/>
      </c>
    </row>
    <row r="186">
      <c r="B186" t="inlineStr">
        <is>
          <t>使用量(kg)</t>
        </is>
      </c>
      <c r="C186">
        <f>SUMIFS(M_BOM[RM_Qty_Per_Batch],M_BOM[Intermediate],$B185,M_BOM[RM_Code],$A182)</f>
        <v/>
      </c>
      <c r="D186">
        <f>IFERROR(INDEX(E186:DD186,$F$1),"")</f>
        <v/>
      </c>
      <c r="E186">
        <f>$C186*E185</f>
        <v/>
      </c>
      <c r="F186">
        <f>$C186*F185</f>
        <v/>
      </c>
      <c r="G186">
        <f>$C186*G185</f>
        <v/>
      </c>
      <c r="H186">
        <f>$C186*H185</f>
        <v/>
      </c>
      <c r="I186">
        <f>$C186*I185</f>
        <v/>
      </c>
      <c r="J186">
        <f>$C186*J185</f>
        <v/>
      </c>
      <c r="K186">
        <f>$C186*K185</f>
        <v/>
      </c>
      <c r="L186">
        <f>$C186*L185</f>
        <v/>
      </c>
      <c r="M186">
        <f>$C186*M185</f>
        <v/>
      </c>
      <c r="N186">
        <f>$C186*N185</f>
        <v/>
      </c>
      <c r="O186">
        <f>$C186*O185</f>
        <v/>
      </c>
      <c r="P186">
        <f>$C186*P185</f>
        <v/>
      </c>
      <c r="Q186">
        <f>$C186*Q185</f>
        <v/>
      </c>
      <c r="R186">
        <f>$C186*R185</f>
        <v/>
      </c>
      <c r="S186">
        <f>$C186*S185</f>
        <v/>
      </c>
      <c r="T186">
        <f>$C186*T185</f>
        <v/>
      </c>
      <c r="U186">
        <f>$C186*U185</f>
        <v/>
      </c>
      <c r="V186">
        <f>$C186*V185</f>
        <v/>
      </c>
      <c r="W186">
        <f>$C186*W185</f>
        <v/>
      </c>
      <c r="X186">
        <f>$C186*X185</f>
        <v/>
      </c>
      <c r="Y186">
        <f>$C186*Y185</f>
        <v/>
      </c>
      <c r="Z186">
        <f>$C186*Z185</f>
        <v/>
      </c>
      <c r="AA186">
        <f>$C186*AA185</f>
        <v/>
      </c>
      <c r="AB186">
        <f>$C186*AB185</f>
        <v/>
      </c>
      <c r="AC186">
        <f>$C186*AC185</f>
        <v/>
      </c>
      <c r="AD186">
        <f>$C186*AD185</f>
        <v/>
      </c>
      <c r="AE186">
        <f>$C186*AE185</f>
        <v/>
      </c>
      <c r="AF186">
        <f>$C186*AF185</f>
        <v/>
      </c>
      <c r="AG186">
        <f>$C186*AG185</f>
        <v/>
      </c>
      <c r="AH186">
        <f>$C186*AH185</f>
        <v/>
      </c>
      <c r="AI186">
        <f>$C186*AI185</f>
        <v/>
      </c>
      <c r="AJ186">
        <f>$C186*AJ185</f>
        <v/>
      </c>
      <c r="AK186">
        <f>$C186*AK185</f>
        <v/>
      </c>
      <c r="AL186">
        <f>$C186*AL185</f>
        <v/>
      </c>
      <c r="AM186">
        <f>$C186*AM185</f>
        <v/>
      </c>
      <c r="AN186">
        <f>$C186*AN185</f>
        <v/>
      </c>
      <c r="AO186">
        <f>$C186*AO185</f>
        <v/>
      </c>
      <c r="AP186">
        <f>$C186*AP185</f>
        <v/>
      </c>
      <c r="AQ186">
        <f>$C186*AQ185</f>
        <v/>
      </c>
      <c r="AR186">
        <f>$C186*AR185</f>
        <v/>
      </c>
      <c r="AS186">
        <f>$C186*AS185</f>
        <v/>
      </c>
      <c r="AT186">
        <f>$C186*AT185</f>
        <v/>
      </c>
      <c r="AU186">
        <f>$C186*AU185</f>
        <v/>
      </c>
      <c r="AV186">
        <f>$C186*AV185</f>
        <v/>
      </c>
      <c r="AW186">
        <f>$C186*AW185</f>
        <v/>
      </c>
      <c r="AX186">
        <f>$C186*AX185</f>
        <v/>
      </c>
      <c r="AY186">
        <f>$C186*AY185</f>
        <v/>
      </c>
      <c r="AZ186">
        <f>$C186*AZ185</f>
        <v/>
      </c>
      <c r="BA186">
        <f>$C186*BA185</f>
        <v/>
      </c>
      <c r="BB186">
        <f>$C186*BB185</f>
        <v/>
      </c>
      <c r="BC186">
        <f>$C186*BC185</f>
        <v/>
      </c>
      <c r="BD186">
        <f>$C186*BD185</f>
        <v/>
      </c>
      <c r="BE186">
        <f>$C186*BE185</f>
        <v/>
      </c>
      <c r="BF186">
        <f>$C186*BF185</f>
        <v/>
      </c>
      <c r="BG186">
        <f>$C186*BG185</f>
        <v/>
      </c>
      <c r="BH186">
        <f>$C186*BH185</f>
        <v/>
      </c>
      <c r="BI186">
        <f>$C186*BI185</f>
        <v/>
      </c>
      <c r="BJ186">
        <f>$C186*BJ185</f>
        <v/>
      </c>
      <c r="BK186">
        <f>$C186*BK185</f>
        <v/>
      </c>
      <c r="BL186">
        <f>$C186*BL185</f>
        <v/>
      </c>
      <c r="BM186">
        <f>$C186*BM185</f>
        <v/>
      </c>
      <c r="BN186">
        <f>$C186*BN185</f>
        <v/>
      </c>
      <c r="BO186">
        <f>$C186*BO185</f>
        <v/>
      </c>
      <c r="BP186">
        <f>$C186*BP185</f>
        <v/>
      </c>
      <c r="BQ186">
        <f>$C186*BQ185</f>
        <v/>
      </c>
      <c r="BR186">
        <f>$C186*BR185</f>
        <v/>
      </c>
      <c r="BS186">
        <f>$C186*BS185</f>
        <v/>
      </c>
      <c r="BT186">
        <f>$C186*BT185</f>
        <v/>
      </c>
      <c r="BU186">
        <f>$C186*BU185</f>
        <v/>
      </c>
      <c r="BV186">
        <f>$C186*BV185</f>
        <v/>
      </c>
      <c r="BW186">
        <f>$C186*BW185</f>
        <v/>
      </c>
      <c r="BX186">
        <f>$C186*BX185</f>
        <v/>
      </c>
      <c r="BY186">
        <f>$C186*BY185</f>
        <v/>
      </c>
      <c r="BZ186">
        <f>$C186*BZ185</f>
        <v/>
      </c>
      <c r="CA186">
        <f>$C186*CA185</f>
        <v/>
      </c>
      <c r="CB186">
        <f>$C186*CB185</f>
        <v/>
      </c>
      <c r="CC186">
        <f>$C186*CC185</f>
        <v/>
      </c>
      <c r="CD186">
        <f>$C186*CD185</f>
        <v/>
      </c>
      <c r="CE186">
        <f>$C186*CE185</f>
        <v/>
      </c>
      <c r="CF186">
        <f>$C186*CF185</f>
        <v/>
      </c>
      <c r="CG186">
        <f>$C186*CG185</f>
        <v/>
      </c>
      <c r="CH186">
        <f>$C186*CH185</f>
        <v/>
      </c>
      <c r="CI186">
        <f>$C186*CI185</f>
        <v/>
      </c>
      <c r="CJ186">
        <f>$C186*CJ185</f>
        <v/>
      </c>
      <c r="CK186">
        <f>$C186*CK185</f>
        <v/>
      </c>
      <c r="CL186">
        <f>$C186*CL185</f>
        <v/>
      </c>
      <c r="CM186">
        <f>$C186*CM185</f>
        <v/>
      </c>
      <c r="CN186">
        <f>$C186*CN185</f>
        <v/>
      </c>
      <c r="CO186">
        <f>$C186*CO185</f>
        <v/>
      </c>
      <c r="CP186">
        <f>$C186*CP185</f>
        <v/>
      </c>
      <c r="CQ186">
        <f>$C186*CQ185</f>
        <v/>
      </c>
      <c r="CR186">
        <f>$C186*CR185</f>
        <v/>
      </c>
      <c r="CS186">
        <f>$C186*CS185</f>
        <v/>
      </c>
      <c r="CT186">
        <f>$C186*CT185</f>
        <v/>
      </c>
      <c r="CU186">
        <f>$C186*CU185</f>
        <v/>
      </c>
      <c r="CV186">
        <f>$C186*CV185</f>
        <v/>
      </c>
      <c r="CW186">
        <f>$C186*CW185</f>
        <v/>
      </c>
      <c r="CX186">
        <f>$C186*CX185</f>
        <v/>
      </c>
      <c r="CY186">
        <f>$C186*CY185</f>
        <v/>
      </c>
      <c r="CZ186">
        <f>$C186*CZ185</f>
        <v/>
      </c>
      <c r="DA186">
        <f>$C186*DA185</f>
        <v/>
      </c>
      <c r="DB186">
        <f>$C186*DB185</f>
        <v/>
      </c>
      <c r="DC186">
        <f>$C186*DC185</f>
        <v/>
      </c>
      <c r="DD186">
        <f>$C186*DD185</f>
        <v/>
      </c>
    </row>
    <row r="187">
      <c r="B187" t="inlineStr">
        <is>
          <t>TSP-069</t>
        </is>
      </c>
      <c r="C187" t="inlineStr">
        <is>
          <t>No. of batches</t>
        </is>
      </c>
      <c r="D187">
        <f>IFERROR(INDEX(E187:DD187,$F$1),"")</f>
        <v/>
      </c>
      <c r="E187">
        <f>IFERROR(INDEX(PP_Grid[#Data],$DE187,2),0)</f>
        <v/>
      </c>
      <c r="F187">
        <f>IFERROR(INDEX(PP_Grid[#Data],$DE187,3),0)</f>
        <v/>
      </c>
      <c r="G187">
        <f>IFERROR(INDEX(PP_Grid[#Data],$DE187,4),0)</f>
        <v/>
      </c>
      <c r="H187">
        <f>IFERROR(INDEX(PP_Grid[#Data],$DE187,5),0)</f>
        <v/>
      </c>
      <c r="I187">
        <f>IFERROR(INDEX(PP_Grid[#Data],$DE187,6),0)</f>
        <v/>
      </c>
      <c r="J187">
        <f>IFERROR(INDEX(PP_Grid[#Data],$DE187,7),0)</f>
        <v/>
      </c>
      <c r="K187">
        <f>IFERROR(INDEX(PP_Grid[#Data],$DE187,8),0)</f>
        <v/>
      </c>
      <c r="L187">
        <f>IFERROR(INDEX(PP_Grid[#Data],$DE187,9),0)</f>
        <v/>
      </c>
      <c r="M187">
        <f>IFERROR(INDEX(PP_Grid[#Data],$DE187,10),0)</f>
        <v/>
      </c>
      <c r="N187">
        <f>IFERROR(INDEX(PP_Grid[#Data],$DE187,11),0)</f>
        <v/>
      </c>
      <c r="O187">
        <f>IFERROR(INDEX(PP_Grid[#Data],$DE187,12),0)</f>
        <v/>
      </c>
      <c r="P187">
        <f>IFERROR(INDEX(PP_Grid[#Data],$DE187,13),0)</f>
        <v/>
      </c>
      <c r="Q187">
        <f>IFERROR(INDEX(PP_Grid[#Data],$DE187,14),0)</f>
        <v/>
      </c>
      <c r="R187">
        <f>IFERROR(INDEX(PP_Grid[#Data],$DE187,15),0)</f>
        <v/>
      </c>
      <c r="S187">
        <f>IFERROR(INDEX(PP_Grid[#Data],$DE187,16),0)</f>
        <v/>
      </c>
      <c r="T187">
        <f>IFERROR(INDEX(PP_Grid[#Data],$DE187,17),0)</f>
        <v/>
      </c>
      <c r="U187">
        <f>IFERROR(INDEX(PP_Grid[#Data],$DE187,18),0)</f>
        <v/>
      </c>
      <c r="V187">
        <f>IFERROR(INDEX(PP_Grid[#Data],$DE187,19),0)</f>
        <v/>
      </c>
      <c r="W187">
        <f>IFERROR(INDEX(PP_Grid[#Data],$DE187,20),0)</f>
        <v/>
      </c>
      <c r="X187">
        <f>IFERROR(INDEX(PP_Grid[#Data],$DE187,21),0)</f>
        <v/>
      </c>
      <c r="Y187">
        <f>IFERROR(INDEX(PP_Grid[#Data],$DE187,22),0)</f>
        <v/>
      </c>
      <c r="Z187">
        <f>IFERROR(INDEX(PP_Grid[#Data],$DE187,23),0)</f>
        <v/>
      </c>
      <c r="AA187">
        <f>IFERROR(INDEX(PP_Grid[#Data],$DE187,24),0)</f>
        <v/>
      </c>
      <c r="AB187">
        <f>IFERROR(INDEX(PP_Grid[#Data],$DE187,25),0)</f>
        <v/>
      </c>
      <c r="AC187">
        <f>IFERROR(INDEX(PP_Grid[#Data],$DE187,26),0)</f>
        <v/>
      </c>
      <c r="AD187">
        <f>IFERROR(INDEX(PP_Grid[#Data],$DE187,27),0)</f>
        <v/>
      </c>
      <c r="AE187">
        <f>IFERROR(INDEX(PP_Grid[#Data],$DE187,28),0)</f>
        <v/>
      </c>
      <c r="AF187">
        <f>IFERROR(INDEX(PP_Grid[#Data],$DE187,29),0)</f>
        <v/>
      </c>
      <c r="AG187">
        <f>IFERROR(INDEX(PP_Grid[#Data],$DE187,30),0)</f>
        <v/>
      </c>
      <c r="AH187">
        <f>IFERROR(INDEX(PP_Grid[#Data],$DE187,31),0)</f>
        <v/>
      </c>
      <c r="AI187">
        <f>IFERROR(INDEX(PP_Grid[#Data],$DE187,32),0)</f>
        <v/>
      </c>
      <c r="AJ187">
        <f>IFERROR(INDEX(PP_Grid[#Data],$DE187,33),0)</f>
        <v/>
      </c>
      <c r="AK187">
        <f>IFERROR(INDEX(PP_Grid[#Data],$DE187,34),0)</f>
        <v/>
      </c>
      <c r="AL187">
        <f>IFERROR(INDEX(PP_Grid[#Data],$DE187,35),0)</f>
        <v/>
      </c>
      <c r="AM187">
        <f>IFERROR(INDEX(PP_Grid[#Data],$DE187,36),0)</f>
        <v/>
      </c>
      <c r="AN187">
        <f>IFERROR(INDEX(PP_Grid[#Data],$DE187,37),0)</f>
        <v/>
      </c>
      <c r="AO187">
        <f>IFERROR(INDEX(PP_Grid[#Data],$DE187,38),0)</f>
        <v/>
      </c>
      <c r="AP187">
        <f>IFERROR(INDEX(PP_Grid[#Data],$DE187,39),0)</f>
        <v/>
      </c>
      <c r="AQ187">
        <f>IFERROR(INDEX(PP_Grid[#Data],$DE187,40),0)</f>
        <v/>
      </c>
      <c r="AR187">
        <f>IFERROR(INDEX(PP_Grid[#Data],$DE187,41),0)</f>
        <v/>
      </c>
      <c r="AS187">
        <f>IFERROR(INDEX(PP_Grid[#Data],$DE187,42),0)</f>
        <v/>
      </c>
      <c r="AT187">
        <f>IFERROR(INDEX(PP_Grid[#Data],$DE187,43),0)</f>
        <v/>
      </c>
      <c r="AU187">
        <f>IFERROR(INDEX(PP_Grid[#Data],$DE187,44),0)</f>
        <v/>
      </c>
      <c r="AV187">
        <f>IFERROR(INDEX(PP_Grid[#Data],$DE187,45),0)</f>
        <v/>
      </c>
      <c r="AW187">
        <f>IFERROR(INDEX(PP_Grid[#Data],$DE187,46),0)</f>
        <v/>
      </c>
      <c r="AX187">
        <f>IFERROR(INDEX(PP_Grid[#Data],$DE187,47),0)</f>
        <v/>
      </c>
      <c r="AY187">
        <f>IFERROR(INDEX(PP_Grid[#Data],$DE187,48),0)</f>
        <v/>
      </c>
      <c r="AZ187">
        <f>IFERROR(INDEX(PP_Grid[#Data],$DE187,49),0)</f>
        <v/>
      </c>
      <c r="BA187">
        <f>IFERROR(INDEX(PP_Grid[#Data],$DE187,50),0)</f>
        <v/>
      </c>
      <c r="BB187">
        <f>IFERROR(INDEX(PP_Grid[#Data],$DE187,51),0)</f>
        <v/>
      </c>
      <c r="BC187">
        <f>IFERROR(INDEX(PP_Grid[#Data],$DE187,52),0)</f>
        <v/>
      </c>
      <c r="BD187">
        <f>IFERROR(INDEX(PP_Grid[#Data],$DE187,53),0)</f>
        <v/>
      </c>
      <c r="BE187">
        <f>IFERROR(INDEX(PP_Grid[#Data],$DE187,54),0)</f>
        <v/>
      </c>
      <c r="BF187">
        <f>IFERROR(INDEX(PP_Grid[#Data],$DE187,55),0)</f>
        <v/>
      </c>
      <c r="BG187">
        <f>IFERROR(INDEX(PP_Grid[#Data],$DE187,56),0)</f>
        <v/>
      </c>
      <c r="BH187">
        <f>IFERROR(INDEX(PP_Grid[#Data],$DE187,57),0)</f>
        <v/>
      </c>
      <c r="BI187">
        <f>IFERROR(INDEX(PP_Grid[#Data],$DE187,58),0)</f>
        <v/>
      </c>
      <c r="BJ187">
        <f>IFERROR(INDEX(PP_Grid[#Data],$DE187,59),0)</f>
        <v/>
      </c>
      <c r="BK187">
        <f>IFERROR(INDEX(PP_Grid[#Data],$DE187,60),0)</f>
        <v/>
      </c>
      <c r="BL187">
        <f>IFERROR(INDEX(PP_Grid[#Data],$DE187,61),0)</f>
        <v/>
      </c>
      <c r="BM187">
        <f>IFERROR(INDEX(PP_Grid[#Data],$DE187,62),0)</f>
        <v/>
      </c>
      <c r="BN187">
        <f>IFERROR(INDEX(PP_Grid[#Data],$DE187,63),0)</f>
        <v/>
      </c>
      <c r="BO187">
        <f>IFERROR(INDEX(PP_Grid[#Data],$DE187,64),0)</f>
        <v/>
      </c>
      <c r="BP187">
        <f>IFERROR(INDEX(PP_Grid[#Data],$DE187,65),0)</f>
        <v/>
      </c>
      <c r="BQ187">
        <f>IFERROR(INDEX(PP_Grid[#Data],$DE187,66),0)</f>
        <v/>
      </c>
      <c r="BR187">
        <f>IFERROR(INDEX(PP_Grid[#Data],$DE187,67),0)</f>
        <v/>
      </c>
      <c r="BS187">
        <f>IFERROR(INDEX(PP_Grid[#Data],$DE187,68),0)</f>
        <v/>
      </c>
      <c r="BT187">
        <f>IFERROR(INDEX(PP_Grid[#Data],$DE187,69),0)</f>
        <v/>
      </c>
      <c r="BU187">
        <f>IFERROR(INDEX(PP_Grid[#Data],$DE187,70),0)</f>
        <v/>
      </c>
      <c r="BV187">
        <f>IFERROR(INDEX(PP_Grid[#Data],$DE187,71),0)</f>
        <v/>
      </c>
      <c r="BW187">
        <f>IFERROR(INDEX(PP_Grid[#Data],$DE187,72),0)</f>
        <v/>
      </c>
      <c r="BX187">
        <f>IFERROR(INDEX(PP_Grid[#Data],$DE187,73),0)</f>
        <v/>
      </c>
      <c r="BY187">
        <f>IFERROR(INDEX(PP_Grid[#Data],$DE187,74),0)</f>
        <v/>
      </c>
      <c r="BZ187">
        <f>IFERROR(INDEX(PP_Grid[#Data],$DE187,75),0)</f>
        <v/>
      </c>
      <c r="CA187">
        <f>IFERROR(INDEX(PP_Grid[#Data],$DE187,76),0)</f>
        <v/>
      </c>
      <c r="CB187">
        <f>IFERROR(INDEX(PP_Grid[#Data],$DE187,77),0)</f>
        <v/>
      </c>
      <c r="CC187">
        <f>IFERROR(INDEX(PP_Grid[#Data],$DE187,78),0)</f>
        <v/>
      </c>
      <c r="CD187">
        <f>IFERROR(INDEX(PP_Grid[#Data],$DE187,79),0)</f>
        <v/>
      </c>
      <c r="CE187">
        <f>IFERROR(INDEX(PP_Grid[#Data],$DE187,80),0)</f>
        <v/>
      </c>
      <c r="CF187">
        <f>IFERROR(INDEX(PP_Grid[#Data],$DE187,81),0)</f>
        <v/>
      </c>
      <c r="CG187">
        <f>IFERROR(INDEX(PP_Grid[#Data],$DE187,82),0)</f>
        <v/>
      </c>
      <c r="CH187">
        <f>IFERROR(INDEX(PP_Grid[#Data],$DE187,83),0)</f>
        <v/>
      </c>
      <c r="CI187">
        <f>IFERROR(INDEX(PP_Grid[#Data],$DE187,84),0)</f>
        <v/>
      </c>
      <c r="CJ187">
        <f>IFERROR(INDEX(PP_Grid[#Data],$DE187,85),0)</f>
        <v/>
      </c>
      <c r="CK187">
        <f>IFERROR(INDEX(PP_Grid[#Data],$DE187,86),0)</f>
        <v/>
      </c>
      <c r="CL187">
        <f>IFERROR(INDEX(PP_Grid[#Data],$DE187,87),0)</f>
        <v/>
      </c>
      <c r="CM187">
        <f>IFERROR(INDEX(PP_Grid[#Data],$DE187,88),0)</f>
        <v/>
      </c>
      <c r="CN187">
        <f>IFERROR(INDEX(PP_Grid[#Data],$DE187,89),0)</f>
        <v/>
      </c>
      <c r="CO187">
        <f>IFERROR(INDEX(PP_Grid[#Data],$DE187,90),0)</f>
        <v/>
      </c>
      <c r="CP187">
        <f>IFERROR(INDEX(PP_Grid[#Data],$DE187,91),0)</f>
        <v/>
      </c>
      <c r="CQ187">
        <f>IFERROR(INDEX(PP_Grid[#Data],$DE187,92),0)</f>
        <v/>
      </c>
      <c r="CR187">
        <f>IFERROR(INDEX(PP_Grid[#Data],$DE187,93),0)</f>
        <v/>
      </c>
      <c r="CS187">
        <f>IFERROR(INDEX(PP_Grid[#Data],$DE187,94),0)</f>
        <v/>
      </c>
      <c r="CT187">
        <f>IFERROR(INDEX(PP_Grid[#Data],$DE187,95),0)</f>
        <v/>
      </c>
      <c r="CU187">
        <f>IFERROR(INDEX(PP_Grid[#Data],$DE187,96),0)</f>
        <v/>
      </c>
      <c r="CV187">
        <f>IFERROR(INDEX(PP_Grid[#Data],$DE187,97),0)</f>
        <v/>
      </c>
      <c r="CW187">
        <f>IFERROR(INDEX(PP_Grid[#Data],$DE187,98),0)</f>
        <v/>
      </c>
      <c r="CX187">
        <f>IFERROR(INDEX(PP_Grid[#Data],$DE187,99),0)</f>
        <v/>
      </c>
      <c r="CY187">
        <f>IFERROR(INDEX(PP_Grid[#Data],$DE187,100),0)</f>
        <v/>
      </c>
      <c r="CZ187">
        <f>IFERROR(INDEX(PP_Grid[#Data],$DE187,101),0)</f>
        <v/>
      </c>
      <c r="DA187">
        <f>IFERROR(INDEX(PP_Grid[#Data],$DE187,102),0)</f>
        <v/>
      </c>
      <c r="DB187">
        <f>IFERROR(INDEX(PP_Grid[#Data],$DE187,103),0)</f>
        <v/>
      </c>
      <c r="DC187">
        <f>IFERROR(INDEX(PP_Grid[#Data],$DE187,104),0)</f>
        <v/>
      </c>
      <c r="DD187">
        <f>IFERROR(INDEX(PP_Grid[#Data],$DE187,105),0)</f>
        <v/>
      </c>
      <c r="DE187" s="7">
        <f>IFERROR(MATCH($B187,PP_Grid[Intermediate],0),99999)</f>
        <v/>
      </c>
    </row>
    <row r="188">
      <c r="B188" t="inlineStr">
        <is>
          <t>使用量(kg)</t>
        </is>
      </c>
      <c r="C188">
        <f>SUMIFS(M_BOM[RM_Qty_Per_Batch],M_BOM[Intermediate],$B187,M_BOM[RM_Code],$A182)</f>
        <v/>
      </c>
      <c r="D188">
        <f>IFERROR(INDEX(E188:DD188,$F$1),"")</f>
        <v/>
      </c>
      <c r="E188">
        <f>$C188*E187</f>
        <v/>
      </c>
      <c r="F188">
        <f>$C188*F187</f>
        <v/>
      </c>
      <c r="G188">
        <f>$C188*G187</f>
        <v/>
      </c>
      <c r="H188">
        <f>$C188*H187</f>
        <v/>
      </c>
      <c r="I188">
        <f>$C188*I187</f>
        <v/>
      </c>
      <c r="J188">
        <f>$C188*J187</f>
        <v/>
      </c>
      <c r="K188">
        <f>$C188*K187</f>
        <v/>
      </c>
      <c r="L188">
        <f>$C188*L187</f>
        <v/>
      </c>
      <c r="M188">
        <f>$C188*M187</f>
        <v/>
      </c>
      <c r="N188">
        <f>$C188*N187</f>
        <v/>
      </c>
      <c r="O188">
        <f>$C188*O187</f>
        <v/>
      </c>
      <c r="P188">
        <f>$C188*P187</f>
        <v/>
      </c>
      <c r="Q188">
        <f>$C188*Q187</f>
        <v/>
      </c>
      <c r="R188">
        <f>$C188*R187</f>
        <v/>
      </c>
      <c r="S188">
        <f>$C188*S187</f>
        <v/>
      </c>
      <c r="T188">
        <f>$C188*T187</f>
        <v/>
      </c>
      <c r="U188">
        <f>$C188*U187</f>
        <v/>
      </c>
      <c r="V188">
        <f>$C188*V187</f>
        <v/>
      </c>
      <c r="W188">
        <f>$C188*W187</f>
        <v/>
      </c>
      <c r="X188">
        <f>$C188*X187</f>
        <v/>
      </c>
      <c r="Y188">
        <f>$C188*Y187</f>
        <v/>
      </c>
      <c r="Z188">
        <f>$C188*Z187</f>
        <v/>
      </c>
      <c r="AA188">
        <f>$C188*AA187</f>
        <v/>
      </c>
      <c r="AB188">
        <f>$C188*AB187</f>
        <v/>
      </c>
      <c r="AC188">
        <f>$C188*AC187</f>
        <v/>
      </c>
      <c r="AD188">
        <f>$C188*AD187</f>
        <v/>
      </c>
      <c r="AE188">
        <f>$C188*AE187</f>
        <v/>
      </c>
      <c r="AF188">
        <f>$C188*AF187</f>
        <v/>
      </c>
      <c r="AG188">
        <f>$C188*AG187</f>
        <v/>
      </c>
      <c r="AH188">
        <f>$C188*AH187</f>
        <v/>
      </c>
      <c r="AI188">
        <f>$C188*AI187</f>
        <v/>
      </c>
      <c r="AJ188">
        <f>$C188*AJ187</f>
        <v/>
      </c>
      <c r="AK188">
        <f>$C188*AK187</f>
        <v/>
      </c>
      <c r="AL188">
        <f>$C188*AL187</f>
        <v/>
      </c>
      <c r="AM188">
        <f>$C188*AM187</f>
        <v/>
      </c>
      <c r="AN188">
        <f>$C188*AN187</f>
        <v/>
      </c>
      <c r="AO188">
        <f>$C188*AO187</f>
        <v/>
      </c>
      <c r="AP188">
        <f>$C188*AP187</f>
        <v/>
      </c>
      <c r="AQ188">
        <f>$C188*AQ187</f>
        <v/>
      </c>
      <c r="AR188">
        <f>$C188*AR187</f>
        <v/>
      </c>
      <c r="AS188">
        <f>$C188*AS187</f>
        <v/>
      </c>
      <c r="AT188">
        <f>$C188*AT187</f>
        <v/>
      </c>
      <c r="AU188">
        <f>$C188*AU187</f>
        <v/>
      </c>
      <c r="AV188">
        <f>$C188*AV187</f>
        <v/>
      </c>
      <c r="AW188">
        <f>$C188*AW187</f>
        <v/>
      </c>
      <c r="AX188">
        <f>$C188*AX187</f>
        <v/>
      </c>
      <c r="AY188">
        <f>$C188*AY187</f>
        <v/>
      </c>
      <c r="AZ188">
        <f>$C188*AZ187</f>
        <v/>
      </c>
      <c r="BA188">
        <f>$C188*BA187</f>
        <v/>
      </c>
      <c r="BB188">
        <f>$C188*BB187</f>
        <v/>
      </c>
      <c r="BC188">
        <f>$C188*BC187</f>
        <v/>
      </c>
      <c r="BD188">
        <f>$C188*BD187</f>
        <v/>
      </c>
      <c r="BE188">
        <f>$C188*BE187</f>
        <v/>
      </c>
      <c r="BF188">
        <f>$C188*BF187</f>
        <v/>
      </c>
      <c r="BG188">
        <f>$C188*BG187</f>
        <v/>
      </c>
      <c r="BH188">
        <f>$C188*BH187</f>
        <v/>
      </c>
      <c r="BI188">
        <f>$C188*BI187</f>
        <v/>
      </c>
      <c r="BJ188">
        <f>$C188*BJ187</f>
        <v/>
      </c>
      <c r="BK188">
        <f>$C188*BK187</f>
        <v/>
      </c>
      <c r="BL188">
        <f>$C188*BL187</f>
        <v/>
      </c>
      <c r="BM188">
        <f>$C188*BM187</f>
        <v/>
      </c>
      <c r="BN188">
        <f>$C188*BN187</f>
        <v/>
      </c>
      <c r="BO188">
        <f>$C188*BO187</f>
        <v/>
      </c>
      <c r="BP188">
        <f>$C188*BP187</f>
        <v/>
      </c>
      <c r="BQ188">
        <f>$C188*BQ187</f>
        <v/>
      </c>
      <c r="BR188">
        <f>$C188*BR187</f>
        <v/>
      </c>
      <c r="BS188">
        <f>$C188*BS187</f>
        <v/>
      </c>
      <c r="BT188">
        <f>$C188*BT187</f>
        <v/>
      </c>
      <c r="BU188">
        <f>$C188*BU187</f>
        <v/>
      </c>
      <c r="BV188">
        <f>$C188*BV187</f>
        <v/>
      </c>
      <c r="BW188">
        <f>$C188*BW187</f>
        <v/>
      </c>
      <c r="BX188">
        <f>$C188*BX187</f>
        <v/>
      </c>
      <c r="BY188">
        <f>$C188*BY187</f>
        <v/>
      </c>
      <c r="BZ188">
        <f>$C188*BZ187</f>
        <v/>
      </c>
      <c r="CA188">
        <f>$C188*CA187</f>
        <v/>
      </c>
      <c r="CB188">
        <f>$C188*CB187</f>
        <v/>
      </c>
      <c r="CC188">
        <f>$C188*CC187</f>
        <v/>
      </c>
      <c r="CD188">
        <f>$C188*CD187</f>
        <v/>
      </c>
      <c r="CE188">
        <f>$C188*CE187</f>
        <v/>
      </c>
      <c r="CF188">
        <f>$C188*CF187</f>
        <v/>
      </c>
      <c r="CG188">
        <f>$C188*CG187</f>
        <v/>
      </c>
      <c r="CH188">
        <f>$C188*CH187</f>
        <v/>
      </c>
      <c r="CI188">
        <f>$C188*CI187</f>
        <v/>
      </c>
      <c r="CJ188">
        <f>$C188*CJ187</f>
        <v/>
      </c>
      <c r="CK188">
        <f>$C188*CK187</f>
        <v/>
      </c>
      <c r="CL188">
        <f>$C188*CL187</f>
        <v/>
      </c>
      <c r="CM188">
        <f>$C188*CM187</f>
        <v/>
      </c>
      <c r="CN188">
        <f>$C188*CN187</f>
        <v/>
      </c>
      <c r="CO188">
        <f>$C188*CO187</f>
        <v/>
      </c>
      <c r="CP188">
        <f>$C188*CP187</f>
        <v/>
      </c>
      <c r="CQ188">
        <f>$C188*CQ187</f>
        <v/>
      </c>
      <c r="CR188">
        <f>$C188*CR187</f>
        <v/>
      </c>
      <c r="CS188">
        <f>$C188*CS187</f>
        <v/>
      </c>
      <c r="CT188">
        <f>$C188*CT187</f>
        <v/>
      </c>
      <c r="CU188">
        <f>$C188*CU187</f>
        <v/>
      </c>
      <c r="CV188">
        <f>$C188*CV187</f>
        <v/>
      </c>
      <c r="CW188">
        <f>$C188*CW187</f>
        <v/>
      </c>
      <c r="CX188">
        <f>$C188*CX187</f>
        <v/>
      </c>
      <c r="CY188">
        <f>$C188*CY187</f>
        <v/>
      </c>
      <c r="CZ188">
        <f>$C188*CZ187</f>
        <v/>
      </c>
      <c r="DA188">
        <f>$C188*DA187</f>
        <v/>
      </c>
      <c r="DB188">
        <f>$C188*DB187</f>
        <v/>
      </c>
      <c r="DC188">
        <f>$C188*DC187</f>
        <v/>
      </c>
      <c r="DD188">
        <f>$C188*DD187</f>
        <v/>
      </c>
    </row>
    <row r="189">
      <c r="B189" t="inlineStr">
        <is>
          <t>TSP-077</t>
        </is>
      </c>
      <c r="C189" t="inlineStr">
        <is>
          <t>No. of batches</t>
        </is>
      </c>
      <c r="D189">
        <f>IFERROR(INDEX(E189:DD189,$F$1),"")</f>
        <v/>
      </c>
      <c r="E189">
        <f>IFERROR(INDEX(PP_Grid[#Data],$DE189,2),0)</f>
        <v/>
      </c>
      <c r="F189">
        <f>IFERROR(INDEX(PP_Grid[#Data],$DE189,3),0)</f>
        <v/>
      </c>
      <c r="G189">
        <f>IFERROR(INDEX(PP_Grid[#Data],$DE189,4),0)</f>
        <v/>
      </c>
      <c r="H189">
        <f>IFERROR(INDEX(PP_Grid[#Data],$DE189,5),0)</f>
        <v/>
      </c>
      <c r="I189">
        <f>IFERROR(INDEX(PP_Grid[#Data],$DE189,6),0)</f>
        <v/>
      </c>
      <c r="J189">
        <f>IFERROR(INDEX(PP_Grid[#Data],$DE189,7),0)</f>
        <v/>
      </c>
      <c r="K189">
        <f>IFERROR(INDEX(PP_Grid[#Data],$DE189,8),0)</f>
        <v/>
      </c>
      <c r="L189">
        <f>IFERROR(INDEX(PP_Grid[#Data],$DE189,9),0)</f>
        <v/>
      </c>
      <c r="M189">
        <f>IFERROR(INDEX(PP_Grid[#Data],$DE189,10),0)</f>
        <v/>
      </c>
      <c r="N189">
        <f>IFERROR(INDEX(PP_Grid[#Data],$DE189,11),0)</f>
        <v/>
      </c>
      <c r="O189">
        <f>IFERROR(INDEX(PP_Grid[#Data],$DE189,12),0)</f>
        <v/>
      </c>
      <c r="P189">
        <f>IFERROR(INDEX(PP_Grid[#Data],$DE189,13),0)</f>
        <v/>
      </c>
      <c r="Q189">
        <f>IFERROR(INDEX(PP_Grid[#Data],$DE189,14),0)</f>
        <v/>
      </c>
      <c r="R189">
        <f>IFERROR(INDEX(PP_Grid[#Data],$DE189,15),0)</f>
        <v/>
      </c>
      <c r="S189">
        <f>IFERROR(INDEX(PP_Grid[#Data],$DE189,16),0)</f>
        <v/>
      </c>
      <c r="T189">
        <f>IFERROR(INDEX(PP_Grid[#Data],$DE189,17),0)</f>
        <v/>
      </c>
      <c r="U189">
        <f>IFERROR(INDEX(PP_Grid[#Data],$DE189,18),0)</f>
        <v/>
      </c>
      <c r="V189">
        <f>IFERROR(INDEX(PP_Grid[#Data],$DE189,19),0)</f>
        <v/>
      </c>
      <c r="W189">
        <f>IFERROR(INDEX(PP_Grid[#Data],$DE189,20),0)</f>
        <v/>
      </c>
      <c r="X189">
        <f>IFERROR(INDEX(PP_Grid[#Data],$DE189,21),0)</f>
        <v/>
      </c>
      <c r="Y189">
        <f>IFERROR(INDEX(PP_Grid[#Data],$DE189,22),0)</f>
        <v/>
      </c>
      <c r="Z189">
        <f>IFERROR(INDEX(PP_Grid[#Data],$DE189,23),0)</f>
        <v/>
      </c>
      <c r="AA189">
        <f>IFERROR(INDEX(PP_Grid[#Data],$DE189,24),0)</f>
        <v/>
      </c>
      <c r="AB189">
        <f>IFERROR(INDEX(PP_Grid[#Data],$DE189,25),0)</f>
        <v/>
      </c>
      <c r="AC189">
        <f>IFERROR(INDEX(PP_Grid[#Data],$DE189,26),0)</f>
        <v/>
      </c>
      <c r="AD189">
        <f>IFERROR(INDEX(PP_Grid[#Data],$DE189,27),0)</f>
        <v/>
      </c>
      <c r="AE189">
        <f>IFERROR(INDEX(PP_Grid[#Data],$DE189,28),0)</f>
        <v/>
      </c>
      <c r="AF189">
        <f>IFERROR(INDEX(PP_Grid[#Data],$DE189,29),0)</f>
        <v/>
      </c>
      <c r="AG189">
        <f>IFERROR(INDEX(PP_Grid[#Data],$DE189,30),0)</f>
        <v/>
      </c>
      <c r="AH189">
        <f>IFERROR(INDEX(PP_Grid[#Data],$DE189,31),0)</f>
        <v/>
      </c>
      <c r="AI189">
        <f>IFERROR(INDEX(PP_Grid[#Data],$DE189,32),0)</f>
        <v/>
      </c>
      <c r="AJ189">
        <f>IFERROR(INDEX(PP_Grid[#Data],$DE189,33),0)</f>
        <v/>
      </c>
      <c r="AK189">
        <f>IFERROR(INDEX(PP_Grid[#Data],$DE189,34),0)</f>
        <v/>
      </c>
      <c r="AL189">
        <f>IFERROR(INDEX(PP_Grid[#Data],$DE189,35),0)</f>
        <v/>
      </c>
      <c r="AM189">
        <f>IFERROR(INDEX(PP_Grid[#Data],$DE189,36),0)</f>
        <v/>
      </c>
      <c r="AN189">
        <f>IFERROR(INDEX(PP_Grid[#Data],$DE189,37),0)</f>
        <v/>
      </c>
      <c r="AO189">
        <f>IFERROR(INDEX(PP_Grid[#Data],$DE189,38),0)</f>
        <v/>
      </c>
      <c r="AP189">
        <f>IFERROR(INDEX(PP_Grid[#Data],$DE189,39),0)</f>
        <v/>
      </c>
      <c r="AQ189">
        <f>IFERROR(INDEX(PP_Grid[#Data],$DE189,40),0)</f>
        <v/>
      </c>
      <c r="AR189">
        <f>IFERROR(INDEX(PP_Grid[#Data],$DE189,41),0)</f>
        <v/>
      </c>
      <c r="AS189">
        <f>IFERROR(INDEX(PP_Grid[#Data],$DE189,42),0)</f>
        <v/>
      </c>
      <c r="AT189">
        <f>IFERROR(INDEX(PP_Grid[#Data],$DE189,43),0)</f>
        <v/>
      </c>
      <c r="AU189">
        <f>IFERROR(INDEX(PP_Grid[#Data],$DE189,44),0)</f>
        <v/>
      </c>
      <c r="AV189">
        <f>IFERROR(INDEX(PP_Grid[#Data],$DE189,45),0)</f>
        <v/>
      </c>
      <c r="AW189">
        <f>IFERROR(INDEX(PP_Grid[#Data],$DE189,46),0)</f>
        <v/>
      </c>
      <c r="AX189">
        <f>IFERROR(INDEX(PP_Grid[#Data],$DE189,47),0)</f>
        <v/>
      </c>
      <c r="AY189">
        <f>IFERROR(INDEX(PP_Grid[#Data],$DE189,48),0)</f>
        <v/>
      </c>
      <c r="AZ189">
        <f>IFERROR(INDEX(PP_Grid[#Data],$DE189,49),0)</f>
        <v/>
      </c>
      <c r="BA189">
        <f>IFERROR(INDEX(PP_Grid[#Data],$DE189,50),0)</f>
        <v/>
      </c>
      <c r="BB189">
        <f>IFERROR(INDEX(PP_Grid[#Data],$DE189,51),0)</f>
        <v/>
      </c>
      <c r="BC189">
        <f>IFERROR(INDEX(PP_Grid[#Data],$DE189,52),0)</f>
        <v/>
      </c>
      <c r="BD189">
        <f>IFERROR(INDEX(PP_Grid[#Data],$DE189,53),0)</f>
        <v/>
      </c>
      <c r="BE189">
        <f>IFERROR(INDEX(PP_Grid[#Data],$DE189,54),0)</f>
        <v/>
      </c>
      <c r="BF189">
        <f>IFERROR(INDEX(PP_Grid[#Data],$DE189,55),0)</f>
        <v/>
      </c>
      <c r="BG189">
        <f>IFERROR(INDEX(PP_Grid[#Data],$DE189,56),0)</f>
        <v/>
      </c>
      <c r="BH189">
        <f>IFERROR(INDEX(PP_Grid[#Data],$DE189,57),0)</f>
        <v/>
      </c>
      <c r="BI189">
        <f>IFERROR(INDEX(PP_Grid[#Data],$DE189,58),0)</f>
        <v/>
      </c>
      <c r="BJ189">
        <f>IFERROR(INDEX(PP_Grid[#Data],$DE189,59),0)</f>
        <v/>
      </c>
      <c r="BK189">
        <f>IFERROR(INDEX(PP_Grid[#Data],$DE189,60),0)</f>
        <v/>
      </c>
      <c r="BL189">
        <f>IFERROR(INDEX(PP_Grid[#Data],$DE189,61),0)</f>
        <v/>
      </c>
      <c r="BM189">
        <f>IFERROR(INDEX(PP_Grid[#Data],$DE189,62),0)</f>
        <v/>
      </c>
      <c r="BN189">
        <f>IFERROR(INDEX(PP_Grid[#Data],$DE189,63),0)</f>
        <v/>
      </c>
      <c r="BO189">
        <f>IFERROR(INDEX(PP_Grid[#Data],$DE189,64),0)</f>
        <v/>
      </c>
      <c r="BP189">
        <f>IFERROR(INDEX(PP_Grid[#Data],$DE189,65),0)</f>
        <v/>
      </c>
      <c r="BQ189">
        <f>IFERROR(INDEX(PP_Grid[#Data],$DE189,66),0)</f>
        <v/>
      </c>
      <c r="BR189">
        <f>IFERROR(INDEX(PP_Grid[#Data],$DE189,67),0)</f>
        <v/>
      </c>
      <c r="BS189">
        <f>IFERROR(INDEX(PP_Grid[#Data],$DE189,68),0)</f>
        <v/>
      </c>
      <c r="BT189">
        <f>IFERROR(INDEX(PP_Grid[#Data],$DE189,69),0)</f>
        <v/>
      </c>
      <c r="BU189">
        <f>IFERROR(INDEX(PP_Grid[#Data],$DE189,70),0)</f>
        <v/>
      </c>
      <c r="BV189">
        <f>IFERROR(INDEX(PP_Grid[#Data],$DE189,71),0)</f>
        <v/>
      </c>
      <c r="BW189">
        <f>IFERROR(INDEX(PP_Grid[#Data],$DE189,72),0)</f>
        <v/>
      </c>
      <c r="BX189">
        <f>IFERROR(INDEX(PP_Grid[#Data],$DE189,73),0)</f>
        <v/>
      </c>
      <c r="BY189">
        <f>IFERROR(INDEX(PP_Grid[#Data],$DE189,74),0)</f>
        <v/>
      </c>
      <c r="BZ189">
        <f>IFERROR(INDEX(PP_Grid[#Data],$DE189,75),0)</f>
        <v/>
      </c>
      <c r="CA189">
        <f>IFERROR(INDEX(PP_Grid[#Data],$DE189,76),0)</f>
        <v/>
      </c>
      <c r="CB189">
        <f>IFERROR(INDEX(PP_Grid[#Data],$DE189,77),0)</f>
        <v/>
      </c>
      <c r="CC189">
        <f>IFERROR(INDEX(PP_Grid[#Data],$DE189,78),0)</f>
        <v/>
      </c>
      <c r="CD189">
        <f>IFERROR(INDEX(PP_Grid[#Data],$DE189,79),0)</f>
        <v/>
      </c>
      <c r="CE189">
        <f>IFERROR(INDEX(PP_Grid[#Data],$DE189,80),0)</f>
        <v/>
      </c>
      <c r="CF189">
        <f>IFERROR(INDEX(PP_Grid[#Data],$DE189,81),0)</f>
        <v/>
      </c>
      <c r="CG189">
        <f>IFERROR(INDEX(PP_Grid[#Data],$DE189,82),0)</f>
        <v/>
      </c>
      <c r="CH189">
        <f>IFERROR(INDEX(PP_Grid[#Data],$DE189,83),0)</f>
        <v/>
      </c>
      <c r="CI189">
        <f>IFERROR(INDEX(PP_Grid[#Data],$DE189,84),0)</f>
        <v/>
      </c>
      <c r="CJ189">
        <f>IFERROR(INDEX(PP_Grid[#Data],$DE189,85),0)</f>
        <v/>
      </c>
      <c r="CK189">
        <f>IFERROR(INDEX(PP_Grid[#Data],$DE189,86),0)</f>
        <v/>
      </c>
      <c r="CL189">
        <f>IFERROR(INDEX(PP_Grid[#Data],$DE189,87),0)</f>
        <v/>
      </c>
      <c r="CM189">
        <f>IFERROR(INDEX(PP_Grid[#Data],$DE189,88),0)</f>
        <v/>
      </c>
      <c r="CN189">
        <f>IFERROR(INDEX(PP_Grid[#Data],$DE189,89),0)</f>
        <v/>
      </c>
      <c r="CO189">
        <f>IFERROR(INDEX(PP_Grid[#Data],$DE189,90),0)</f>
        <v/>
      </c>
      <c r="CP189">
        <f>IFERROR(INDEX(PP_Grid[#Data],$DE189,91),0)</f>
        <v/>
      </c>
      <c r="CQ189">
        <f>IFERROR(INDEX(PP_Grid[#Data],$DE189,92),0)</f>
        <v/>
      </c>
      <c r="CR189">
        <f>IFERROR(INDEX(PP_Grid[#Data],$DE189,93),0)</f>
        <v/>
      </c>
      <c r="CS189">
        <f>IFERROR(INDEX(PP_Grid[#Data],$DE189,94),0)</f>
        <v/>
      </c>
      <c r="CT189">
        <f>IFERROR(INDEX(PP_Grid[#Data],$DE189,95),0)</f>
        <v/>
      </c>
      <c r="CU189">
        <f>IFERROR(INDEX(PP_Grid[#Data],$DE189,96),0)</f>
        <v/>
      </c>
      <c r="CV189">
        <f>IFERROR(INDEX(PP_Grid[#Data],$DE189,97),0)</f>
        <v/>
      </c>
      <c r="CW189">
        <f>IFERROR(INDEX(PP_Grid[#Data],$DE189,98),0)</f>
        <v/>
      </c>
      <c r="CX189">
        <f>IFERROR(INDEX(PP_Grid[#Data],$DE189,99),0)</f>
        <v/>
      </c>
      <c r="CY189">
        <f>IFERROR(INDEX(PP_Grid[#Data],$DE189,100),0)</f>
        <v/>
      </c>
      <c r="CZ189">
        <f>IFERROR(INDEX(PP_Grid[#Data],$DE189,101),0)</f>
        <v/>
      </c>
      <c r="DA189">
        <f>IFERROR(INDEX(PP_Grid[#Data],$DE189,102),0)</f>
        <v/>
      </c>
      <c r="DB189">
        <f>IFERROR(INDEX(PP_Grid[#Data],$DE189,103),0)</f>
        <v/>
      </c>
      <c r="DC189">
        <f>IFERROR(INDEX(PP_Grid[#Data],$DE189,104),0)</f>
        <v/>
      </c>
      <c r="DD189">
        <f>IFERROR(INDEX(PP_Grid[#Data],$DE189,105),0)</f>
        <v/>
      </c>
      <c r="DE189" s="7">
        <f>IFERROR(MATCH($B189,PP_Grid[Intermediate],0),99999)</f>
        <v/>
      </c>
    </row>
    <row r="190">
      <c r="B190" t="inlineStr">
        <is>
          <t>使用量(kg)</t>
        </is>
      </c>
      <c r="C190">
        <f>SUMIFS(M_BOM[RM_Qty_Per_Batch],M_BOM[Intermediate],$B189,M_BOM[RM_Code],$A182)</f>
        <v/>
      </c>
      <c r="D190">
        <f>IFERROR(INDEX(E190:DD190,$F$1),"")</f>
        <v/>
      </c>
      <c r="E190">
        <f>$C190*E189</f>
        <v/>
      </c>
      <c r="F190">
        <f>$C190*F189</f>
        <v/>
      </c>
      <c r="G190">
        <f>$C190*G189</f>
        <v/>
      </c>
      <c r="H190">
        <f>$C190*H189</f>
        <v/>
      </c>
      <c r="I190">
        <f>$C190*I189</f>
        <v/>
      </c>
      <c r="J190">
        <f>$C190*J189</f>
        <v/>
      </c>
      <c r="K190">
        <f>$C190*K189</f>
        <v/>
      </c>
      <c r="L190">
        <f>$C190*L189</f>
        <v/>
      </c>
      <c r="M190">
        <f>$C190*M189</f>
        <v/>
      </c>
      <c r="N190">
        <f>$C190*N189</f>
        <v/>
      </c>
      <c r="O190">
        <f>$C190*O189</f>
        <v/>
      </c>
      <c r="P190">
        <f>$C190*P189</f>
        <v/>
      </c>
      <c r="Q190">
        <f>$C190*Q189</f>
        <v/>
      </c>
      <c r="R190">
        <f>$C190*R189</f>
        <v/>
      </c>
      <c r="S190">
        <f>$C190*S189</f>
        <v/>
      </c>
      <c r="T190">
        <f>$C190*T189</f>
        <v/>
      </c>
      <c r="U190">
        <f>$C190*U189</f>
        <v/>
      </c>
      <c r="V190">
        <f>$C190*V189</f>
        <v/>
      </c>
      <c r="W190">
        <f>$C190*W189</f>
        <v/>
      </c>
      <c r="X190">
        <f>$C190*X189</f>
        <v/>
      </c>
      <c r="Y190">
        <f>$C190*Y189</f>
        <v/>
      </c>
      <c r="Z190">
        <f>$C190*Z189</f>
        <v/>
      </c>
      <c r="AA190">
        <f>$C190*AA189</f>
        <v/>
      </c>
      <c r="AB190">
        <f>$C190*AB189</f>
        <v/>
      </c>
      <c r="AC190">
        <f>$C190*AC189</f>
        <v/>
      </c>
      <c r="AD190">
        <f>$C190*AD189</f>
        <v/>
      </c>
      <c r="AE190">
        <f>$C190*AE189</f>
        <v/>
      </c>
      <c r="AF190">
        <f>$C190*AF189</f>
        <v/>
      </c>
      <c r="AG190">
        <f>$C190*AG189</f>
        <v/>
      </c>
      <c r="AH190">
        <f>$C190*AH189</f>
        <v/>
      </c>
      <c r="AI190">
        <f>$C190*AI189</f>
        <v/>
      </c>
      <c r="AJ190">
        <f>$C190*AJ189</f>
        <v/>
      </c>
      <c r="AK190">
        <f>$C190*AK189</f>
        <v/>
      </c>
      <c r="AL190">
        <f>$C190*AL189</f>
        <v/>
      </c>
      <c r="AM190">
        <f>$C190*AM189</f>
        <v/>
      </c>
      <c r="AN190">
        <f>$C190*AN189</f>
        <v/>
      </c>
      <c r="AO190">
        <f>$C190*AO189</f>
        <v/>
      </c>
      <c r="AP190">
        <f>$C190*AP189</f>
        <v/>
      </c>
      <c r="AQ190">
        <f>$C190*AQ189</f>
        <v/>
      </c>
      <c r="AR190">
        <f>$C190*AR189</f>
        <v/>
      </c>
      <c r="AS190">
        <f>$C190*AS189</f>
        <v/>
      </c>
      <c r="AT190">
        <f>$C190*AT189</f>
        <v/>
      </c>
      <c r="AU190">
        <f>$C190*AU189</f>
        <v/>
      </c>
      <c r="AV190">
        <f>$C190*AV189</f>
        <v/>
      </c>
      <c r="AW190">
        <f>$C190*AW189</f>
        <v/>
      </c>
      <c r="AX190">
        <f>$C190*AX189</f>
        <v/>
      </c>
      <c r="AY190">
        <f>$C190*AY189</f>
        <v/>
      </c>
      <c r="AZ190">
        <f>$C190*AZ189</f>
        <v/>
      </c>
      <c r="BA190">
        <f>$C190*BA189</f>
        <v/>
      </c>
      <c r="BB190">
        <f>$C190*BB189</f>
        <v/>
      </c>
      <c r="BC190">
        <f>$C190*BC189</f>
        <v/>
      </c>
      <c r="BD190">
        <f>$C190*BD189</f>
        <v/>
      </c>
      <c r="BE190">
        <f>$C190*BE189</f>
        <v/>
      </c>
      <c r="BF190">
        <f>$C190*BF189</f>
        <v/>
      </c>
      <c r="BG190">
        <f>$C190*BG189</f>
        <v/>
      </c>
      <c r="BH190">
        <f>$C190*BH189</f>
        <v/>
      </c>
      <c r="BI190">
        <f>$C190*BI189</f>
        <v/>
      </c>
      <c r="BJ190">
        <f>$C190*BJ189</f>
        <v/>
      </c>
      <c r="BK190">
        <f>$C190*BK189</f>
        <v/>
      </c>
      <c r="BL190">
        <f>$C190*BL189</f>
        <v/>
      </c>
      <c r="BM190">
        <f>$C190*BM189</f>
        <v/>
      </c>
      <c r="BN190">
        <f>$C190*BN189</f>
        <v/>
      </c>
      <c r="BO190">
        <f>$C190*BO189</f>
        <v/>
      </c>
      <c r="BP190">
        <f>$C190*BP189</f>
        <v/>
      </c>
      <c r="BQ190">
        <f>$C190*BQ189</f>
        <v/>
      </c>
      <c r="BR190">
        <f>$C190*BR189</f>
        <v/>
      </c>
      <c r="BS190">
        <f>$C190*BS189</f>
        <v/>
      </c>
      <c r="BT190">
        <f>$C190*BT189</f>
        <v/>
      </c>
      <c r="BU190">
        <f>$C190*BU189</f>
        <v/>
      </c>
      <c r="BV190">
        <f>$C190*BV189</f>
        <v/>
      </c>
      <c r="BW190">
        <f>$C190*BW189</f>
        <v/>
      </c>
      <c r="BX190">
        <f>$C190*BX189</f>
        <v/>
      </c>
      <c r="BY190">
        <f>$C190*BY189</f>
        <v/>
      </c>
      <c r="BZ190">
        <f>$C190*BZ189</f>
        <v/>
      </c>
      <c r="CA190">
        <f>$C190*CA189</f>
        <v/>
      </c>
      <c r="CB190">
        <f>$C190*CB189</f>
        <v/>
      </c>
      <c r="CC190">
        <f>$C190*CC189</f>
        <v/>
      </c>
      <c r="CD190">
        <f>$C190*CD189</f>
        <v/>
      </c>
      <c r="CE190">
        <f>$C190*CE189</f>
        <v/>
      </c>
      <c r="CF190">
        <f>$C190*CF189</f>
        <v/>
      </c>
      <c r="CG190">
        <f>$C190*CG189</f>
        <v/>
      </c>
      <c r="CH190">
        <f>$C190*CH189</f>
        <v/>
      </c>
      <c r="CI190">
        <f>$C190*CI189</f>
        <v/>
      </c>
      <c r="CJ190">
        <f>$C190*CJ189</f>
        <v/>
      </c>
      <c r="CK190">
        <f>$C190*CK189</f>
        <v/>
      </c>
      <c r="CL190">
        <f>$C190*CL189</f>
        <v/>
      </c>
      <c r="CM190">
        <f>$C190*CM189</f>
        <v/>
      </c>
      <c r="CN190">
        <f>$C190*CN189</f>
        <v/>
      </c>
      <c r="CO190">
        <f>$C190*CO189</f>
        <v/>
      </c>
      <c r="CP190">
        <f>$C190*CP189</f>
        <v/>
      </c>
      <c r="CQ190">
        <f>$C190*CQ189</f>
        <v/>
      </c>
      <c r="CR190">
        <f>$C190*CR189</f>
        <v/>
      </c>
      <c r="CS190">
        <f>$C190*CS189</f>
        <v/>
      </c>
      <c r="CT190">
        <f>$C190*CT189</f>
        <v/>
      </c>
      <c r="CU190">
        <f>$C190*CU189</f>
        <v/>
      </c>
      <c r="CV190">
        <f>$C190*CV189</f>
        <v/>
      </c>
      <c r="CW190">
        <f>$C190*CW189</f>
        <v/>
      </c>
      <c r="CX190">
        <f>$C190*CX189</f>
        <v/>
      </c>
      <c r="CY190">
        <f>$C190*CY189</f>
        <v/>
      </c>
      <c r="CZ190">
        <f>$C190*CZ189</f>
        <v/>
      </c>
      <c r="DA190">
        <f>$C190*DA189</f>
        <v/>
      </c>
      <c r="DB190">
        <f>$C190*DB189</f>
        <v/>
      </c>
      <c r="DC190">
        <f>$C190*DC189</f>
        <v/>
      </c>
      <c r="DD190">
        <f>$C190*DD189</f>
        <v/>
      </c>
    </row>
    <row r="191">
      <c r="B191" t="inlineStr">
        <is>
          <t>TSP-104</t>
        </is>
      </c>
      <c r="C191" t="inlineStr">
        <is>
          <t>No. of batches</t>
        </is>
      </c>
      <c r="D191">
        <f>IFERROR(INDEX(E191:DD191,$F$1),"")</f>
        <v/>
      </c>
      <c r="E191">
        <f>IFERROR(INDEX(PP_Grid[#Data],$DE191,2),0)</f>
        <v/>
      </c>
      <c r="F191">
        <f>IFERROR(INDEX(PP_Grid[#Data],$DE191,3),0)</f>
        <v/>
      </c>
      <c r="G191">
        <f>IFERROR(INDEX(PP_Grid[#Data],$DE191,4),0)</f>
        <v/>
      </c>
      <c r="H191">
        <f>IFERROR(INDEX(PP_Grid[#Data],$DE191,5),0)</f>
        <v/>
      </c>
      <c r="I191">
        <f>IFERROR(INDEX(PP_Grid[#Data],$DE191,6),0)</f>
        <v/>
      </c>
      <c r="J191">
        <f>IFERROR(INDEX(PP_Grid[#Data],$DE191,7),0)</f>
        <v/>
      </c>
      <c r="K191">
        <f>IFERROR(INDEX(PP_Grid[#Data],$DE191,8),0)</f>
        <v/>
      </c>
      <c r="L191">
        <f>IFERROR(INDEX(PP_Grid[#Data],$DE191,9),0)</f>
        <v/>
      </c>
      <c r="M191">
        <f>IFERROR(INDEX(PP_Grid[#Data],$DE191,10),0)</f>
        <v/>
      </c>
      <c r="N191">
        <f>IFERROR(INDEX(PP_Grid[#Data],$DE191,11),0)</f>
        <v/>
      </c>
      <c r="O191">
        <f>IFERROR(INDEX(PP_Grid[#Data],$DE191,12),0)</f>
        <v/>
      </c>
      <c r="P191">
        <f>IFERROR(INDEX(PP_Grid[#Data],$DE191,13),0)</f>
        <v/>
      </c>
      <c r="Q191">
        <f>IFERROR(INDEX(PP_Grid[#Data],$DE191,14),0)</f>
        <v/>
      </c>
      <c r="R191">
        <f>IFERROR(INDEX(PP_Grid[#Data],$DE191,15),0)</f>
        <v/>
      </c>
      <c r="S191">
        <f>IFERROR(INDEX(PP_Grid[#Data],$DE191,16),0)</f>
        <v/>
      </c>
      <c r="T191">
        <f>IFERROR(INDEX(PP_Grid[#Data],$DE191,17),0)</f>
        <v/>
      </c>
      <c r="U191">
        <f>IFERROR(INDEX(PP_Grid[#Data],$DE191,18),0)</f>
        <v/>
      </c>
      <c r="V191">
        <f>IFERROR(INDEX(PP_Grid[#Data],$DE191,19),0)</f>
        <v/>
      </c>
      <c r="W191">
        <f>IFERROR(INDEX(PP_Grid[#Data],$DE191,20),0)</f>
        <v/>
      </c>
      <c r="X191">
        <f>IFERROR(INDEX(PP_Grid[#Data],$DE191,21),0)</f>
        <v/>
      </c>
      <c r="Y191">
        <f>IFERROR(INDEX(PP_Grid[#Data],$DE191,22),0)</f>
        <v/>
      </c>
      <c r="Z191">
        <f>IFERROR(INDEX(PP_Grid[#Data],$DE191,23),0)</f>
        <v/>
      </c>
      <c r="AA191">
        <f>IFERROR(INDEX(PP_Grid[#Data],$DE191,24),0)</f>
        <v/>
      </c>
      <c r="AB191">
        <f>IFERROR(INDEX(PP_Grid[#Data],$DE191,25),0)</f>
        <v/>
      </c>
      <c r="AC191">
        <f>IFERROR(INDEX(PP_Grid[#Data],$DE191,26),0)</f>
        <v/>
      </c>
      <c r="AD191">
        <f>IFERROR(INDEX(PP_Grid[#Data],$DE191,27),0)</f>
        <v/>
      </c>
      <c r="AE191">
        <f>IFERROR(INDEX(PP_Grid[#Data],$DE191,28),0)</f>
        <v/>
      </c>
      <c r="AF191">
        <f>IFERROR(INDEX(PP_Grid[#Data],$DE191,29),0)</f>
        <v/>
      </c>
      <c r="AG191">
        <f>IFERROR(INDEX(PP_Grid[#Data],$DE191,30),0)</f>
        <v/>
      </c>
      <c r="AH191">
        <f>IFERROR(INDEX(PP_Grid[#Data],$DE191,31),0)</f>
        <v/>
      </c>
      <c r="AI191">
        <f>IFERROR(INDEX(PP_Grid[#Data],$DE191,32),0)</f>
        <v/>
      </c>
      <c r="AJ191">
        <f>IFERROR(INDEX(PP_Grid[#Data],$DE191,33),0)</f>
        <v/>
      </c>
      <c r="AK191">
        <f>IFERROR(INDEX(PP_Grid[#Data],$DE191,34),0)</f>
        <v/>
      </c>
      <c r="AL191">
        <f>IFERROR(INDEX(PP_Grid[#Data],$DE191,35),0)</f>
        <v/>
      </c>
      <c r="AM191">
        <f>IFERROR(INDEX(PP_Grid[#Data],$DE191,36),0)</f>
        <v/>
      </c>
      <c r="AN191">
        <f>IFERROR(INDEX(PP_Grid[#Data],$DE191,37),0)</f>
        <v/>
      </c>
      <c r="AO191">
        <f>IFERROR(INDEX(PP_Grid[#Data],$DE191,38),0)</f>
        <v/>
      </c>
      <c r="AP191">
        <f>IFERROR(INDEX(PP_Grid[#Data],$DE191,39),0)</f>
        <v/>
      </c>
      <c r="AQ191">
        <f>IFERROR(INDEX(PP_Grid[#Data],$DE191,40),0)</f>
        <v/>
      </c>
      <c r="AR191">
        <f>IFERROR(INDEX(PP_Grid[#Data],$DE191,41),0)</f>
        <v/>
      </c>
      <c r="AS191">
        <f>IFERROR(INDEX(PP_Grid[#Data],$DE191,42),0)</f>
        <v/>
      </c>
      <c r="AT191">
        <f>IFERROR(INDEX(PP_Grid[#Data],$DE191,43),0)</f>
        <v/>
      </c>
      <c r="AU191">
        <f>IFERROR(INDEX(PP_Grid[#Data],$DE191,44),0)</f>
        <v/>
      </c>
      <c r="AV191">
        <f>IFERROR(INDEX(PP_Grid[#Data],$DE191,45),0)</f>
        <v/>
      </c>
      <c r="AW191">
        <f>IFERROR(INDEX(PP_Grid[#Data],$DE191,46),0)</f>
        <v/>
      </c>
      <c r="AX191">
        <f>IFERROR(INDEX(PP_Grid[#Data],$DE191,47),0)</f>
        <v/>
      </c>
      <c r="AY191">
        <f>IFERROR(INDEX(PP_Grid[#Data],$DE191,48),0)</f>
        <v/>
      </c>
      <c r="AZ191">
        <f>IFERROR(INDEX(PP_Grid[#Data],$DE191,49),0)</f>
        <v/>
      </c>
      <c r="BA191">
        <f>IFERROR(INDEX(PP_Grid[#Data],$DE191,50),0)</f>
        <v/>
      </c>
      <c r="BB191">
        <f>IFERROR(INDEX(PP_Grid[#Data],$DE191,51),0)</f>
        <v/>
      </c>
      <c r="BC191">
        <f>IFERROR(INDEX(PP_Grid[#Data],$DE191,52),0)</f>
        <v/>
      </c>
      <c r="BD191">
        <f>IFERROR(INDEX(PP_Grid[#Data],$DE191,53),0)</f>
        <v/>
      </c>
      <c r="BE191">
        <f>IFERROR(INDEX(PP_Grid[#Data],$DE191,54),0)</f>
        <v/>
      </c>
      <c r="BF191">
        <f>IFERROR(INDEX(PP_Grid[#Data],$DE191,55),0)</f>
        <v/>
      </c>
      <c r="BG191">
        <f>IFERROR(INDEX(PP_Grid[#Data],$DE191,56),0)</f>
        <v/>
      </c>
      <c r="BH191">
        <f>IFERROR(INDEX(PP_Grid[#Data],$DE191,57),0)</f>
        <v/>
      </c>
      <c r="BI191">
        <f>IFERROR(INDEX(PP_Grid[#Data],$DE191,58),0)</f>
        <v/>
      </c>
      <c r="BJ191">
        <f>IFERROR(INDEX(PP_Grid[#Data],$DE191,59),0)</f>
        <v/>
      </c>
      <c r="BK191">
        <f>IFERROR(INDEX(PP_Grid[#Data],$DE191,60),0)</f>
        <v/>
      </c>
      <c r="BL191">
        <f>IFERROR(INDEX(PP_Grid[#Data],$DE191,61),0)</f>
        <v/>
      </c>
      <c r="BM191">
        <f>IFERROR(INDEX(PP_Grid[#Data],$DE191,62),0)</f>
        <v/>
      </c>
      <c r="BN191">
        <f>IFERROR(INDEX(PP_Grid[#Data],$DE191,63),0)</f>
        <v/>
      </c>
      <c r="BO191">
        <f>IFERROR(INDEX(PP_Grid[#Data],$DE191,64),0)</f>
        <v/>
      </c>
      <c r="BP191">
        <f>IFERROR(INDEX(PP_Grid[#Data],$DE191,65),0)</f>
        <v/>
      </c>
      <c r="BQ191">
        <f>IFERROR(INDEX(PP_Grid[#Data],$DE191,66),0)</f>
        <v/>
      </c>
      <c r="BR191">
        <f>IFERROR(INDEX(PP_Grid[#Data],$DE191,67),0)</f>
        <v/>
      </c>
      <c r="BS191">
        <f>IFERROR(INDEX(PP_Grid[#Data],$DE191,68),0)</f>
        <v/>
      </c>
      <c r="BT191">
        <f>IFERROR(INDEX(PP_Grid[#Data],$DE191,69),0)</f>
        <v/>
      </c>
      <c r="BU191">
        <f>IFERROR(INDEX(PP_Grid[#Data],$DE191,70),0)</f>
        <v/>
      </c>
      <c r="BV191">
        <f>IFERROR(INDEX(PP_Grid[#Data],$DE191,71),0)</f>
        <v/>
      </c>
      <c r="BW191">
        <f>IFERROR(INDEX(PP_Grid[#Data],$DE191,72),0)</f>
        <v/>
      </c>
      <c r="BX191">
        <f>IFERROR(INDEX(PP_Grid[#Data],$DE191,73),0)</f>
        <v/>
      </c>
      <c r="BY191">
        <f>IFERROR(INDEX(PP_Grid[#Data],$DE191,74),0)</f>
        <v/>
      </c>
      <c r="BZ191">
        <f>IFERROR(INDEX(PP_Grid[#Data],$DE191,75),0)</f>
        <v/>
      </c>
      <c r="CA191">
        <f>IFERROR(INDEX(PP_Grid[#Data],$DE191,76),0)</f>
        <v/>
      </c>
      <c r="CB191">
        <f>IFERROR(INDEX(PP_Grid[#Data],$DE191,77),0)</f>
        <v/>
      </c>
      <c r="CC191">
        <f>IFERROR(INDEX(PP_Grid[#Data],$DE191,78),0)</f>
        <v/>
      </c>
      <c r="CD191">
        <f>IFERROR(INDEX(PP_Grid[#Data],$DE191,79),0)</f>
        <v/>
      </c>
      <c r="CE191">
        <f>IFERROR(INDEX(PP_Grid[#Data],$DE191,80),0)</f>
        <v/>
      </c>
      <c r="CF191">
        <f>IFERROR(INDEX(PP_Grid[#Data],$DE191,81),0)</f>
        <v/>
      </c>
      <c r="CG191">
        <f>IFERROR(INDEX(PP_Grid[#Data],$DE191,82),0)</f>
        <v/>
      </c>
      <c r="CH191">
        <f>IFERROR(INDEX(PP_Grid[#Data],$DE191,83),0)</f>
        <v/>
      </c>
      <c r="CI191">
        <f>IFERROR(INDEX(PP_Grid[#Data],$DE191,84),0)</f>
        <v/>
      </c>
      <c r="CJ191">
        <f>IFERROR(INDEX(PP_Grid[#Data],$DE191,85),0)</f>
        <v/>
      </c>
      <c r="CK191">
        <f>IFERROR(INDEX(PP_Grid[#Data],$DE191,86),0)</f>
        <v/>
      </c>
      <c r="CL191">
        <f>IFERROR(INDEX(PP_Grid[#Data],$DE191,87),0)</f>
        <v/>
      </c>
      <c r="CM191">
        <f>IFERROR(INDEX(PP_Grid[#Data],$DE191,88),0)</f>
        <v/>
      </c>
      <c r="CN191">
        <f>IFERROR(INDEX(PP_Grid[#Data],$DE191,89),0)</f>
        <v/>
      </c>
      <c r="CO191">
        <f>IFERROR(INDEX(PP_Grid[#Data],$DE191,90),0)</f>
        <v/>
      </c>
      <c r="CP191">
        <f>IFERROR(INDEX(PP_Grid[#Data],$DE191,91),0)</f>
        <v/>
      </c>
      <c r="CQ191">
        <f>IFERROR(INDEX(PP_Grid[#Data],$DE191,92),0)</f>
        <v/>
      </c>
      <c r="CR191">
        <f>IFERROR(INDEX(PP_Grid[#Data],$DE191,93),0)</f>
        <v/>
      </c>
      <c r="CS191">
        <f>IFERROR(INDEX(PP_Grid[#Data],$DE191,94),0)</f>
        <v/>
      </c>
      <c r="CT191">
        <f>IFERROR(INDEX(PP_Grid[#Data],$DE191,95),0)</f>
        <v/>
      </c>
      <c r="CU191">
        <f>IFERROR(INDEX(PP_Grid[#Data],$DE191,96),0)</f>
        <v/>
      </c>
      <c r="CV191">
        <f>IFERROR(INDEX(PP_Grid[#Data],$DE191,97),0)</f>
        <v/>
      </c>
      <c r="CW191">
        <f>IFERROR(INDEX(PP_Grid[#Data],$DE191,98),0)</f>
        <v/>
      </c>
      <c r="CX191">
        <f>IFERROR(INDEX(PP_Grid[#Data],$DE191,99),0)</f>
        <v/>
      </c>
      <c r="CY191">
        <f>IFERROR(INDEX(PP_Grid[#Data],$DE191,100),0)</f>
        <v/>
      </c>
      <c r="CZ191">
        <f>IFERROR(INDEX(PP_Grid[#Data],$DE191,101),0)</f>
        <v/>
      </c>
      <c r="DA191">
        <f>IFERROR(INDEX(PP_Grid[#Data],$DE191,102),0)</f>
        <v/>
      </c>
      <c r="DB191">
        <f>IFERROR(INDEX(PP_Grid[#Data],$DE191,103),0)</f>
        <v/>
      </c>
      <c r="DC191">
        <f>IFERROR(INDEX(PP_Grid[#Data],$DE191,104),0)</f>
        <v/>
      </c>
      <c r="DD191">
        <f>IFERROR(INDEX(PP_Grid[#Data],$DE191,105),0)</f>
        <v/>
      </c>
      <c r="DE191" s="7">
        <f>IFERROR(MATCH($B191,PP_Grid[Intermediate],0),99999)</f>
        <v/>
      </c>
    </row>
    <row r="192">
      <c r="B192" t="inlineStr">
        <is>
          <t>使用量(kg)</t>
        </is>
      </c>
      <c r="C192">
        <f>SUMIFS(M_BOM[RM_Qty_Per_Batch],M_BOM[Intermediate],$B191,M_BOM[RM_Code],$A182)</f>
        <v/>
      </c>
      <c r="D192">
        <f>IFERROR(INDEX(E192:DD192,$F$1),"")</f>
        <v/>
      </c>
      <c r="E192">
        <f>$C192*E191</f>
        <v/>
      </c>
      <c r="F192">
        <f>$C192*F191</f>
        <v/>
      </c>
      <c r="G192">
        <f>$C192*G191</f>
        <v/>
      </c>
      <c r="H192">
        <f>$C192*H191</f>
        <v/>
      </c>
      <c r="I192">
        <f>$C192*I191</f>
        <v/>
      </c>
      <c r="J192">
        <f>$C192*J191</f>
        <v/>
      </c>
      <c r="K192">
        <f>$C192*K191</f>
        <v/>
      </c>
      <c r="L192">
        <f>$C192*L191</f>
        <v/>
      </c>
      <c r="M192">
        <f>$C192*M191</f>
        <v/>
      </c>
      <c r="N192">
        <f>$C192*N191</f>
        <v/>
      </c>
      <c r="O192">
        <f>$C192*O191</f>
        <v/>
      </c>
      <c r="P192">
        <f>$C192*P191</f>
        <v/>
      </c>
      <c r="Q192">
        <f>$C192*Q191</f>
        <v/>
      </c>
      <c r="R192">
        <f>$C192*R191</f>
        <v/>
      </c>
      <c r="S192">
        <f>$C192*S191</f>
        <v/>
      </c>
      <c r="T192">
        <f>$C192*T191</f>
        <v/>
      </c>
      <c r="U192">
        <f>$C192*U191</f>
        <v/>
      </c>
      <c r="V192">
        <f>$C192*V191</f>
        <v/>
      </c>
      <c r="W192">
        <f>$C192*W191</f>
        <v/>
      </c>
      <c r="X192">
        <f>$C192*X191</f>
        <v/>
      </c>
      <c r="Y192">
        <f>$C192*Y191</f>
        <v/>
      </c>
      <c r="Z192">
        <f>$C192*Z191</f>
        <v/>
      </c>
      <c r="AA192">
        <f>$C192*AA191</f>
        <v/>
      </c>
      <c r="AB192">
        <f>$C192*AB191</f>
        <v/>
      </c>
      <c r="AC192">
        <f>$C192*AC191</f>
        <v/>
      </c>
      <c r="AD192">
        <f>$C192*AD191</f>
        <v/>
      </c>
      <c r="AE192">
        <f>$C192*AE191</f>
        <v/>
      </c>
      <c r="AF192">
        <f>$C192*AF191</f>
        <v/>
      </c>
      <c r="AG192">
        <f>$C192*AG191</f>
        <v/>
      </c>
      <c r="AH192">
        <f>$C192*AH191</f>
        <v/>
      </c>
      <c r="AI192">
        <f>$C192*AI191</f>
        <v/>
      </c>
      <c r="AJ192">
        <f>$C192*AJ191</f>
        <v/>
      </c>
      <c r="AK192">
        <f>$C192*AK191</f>
        <v/>
      </c>
      <c r="AL192">
        <f>$C192*AL191</f>
        <v/>
      </c>
      <c r="AM192">
        <f>$C192*AM191</f>
        <v/>
      </c>
      <c r="AN192">
        <f>$C192*AN191</f>
        <v/>
      </c>
      <c r="AO192">
        <f>$C192*AO191</f>
        <v/>
      </c>
      <c r="AP192">
        <f>$C192*AP191</f>
        <v/>
      </c>
      <c r="AQ192">
        <f>$C192*AQ191</f>
        <v/>
      </c>
      <c r="AR192">
        <f>$C192*AR191</f>
        <v/>
      </c>
      <c r="AS192">
        <f>$C192*AS191</f>
        <v/>
      </c>
      <c r="AT192">
        <f>$C192*AT191</f>
        <v/>
      </c>
      <c r="AU192">
        <f>$C192*AU191</f>
        <v/>
      </c>
      <c r="AV192">
        <f>$C192*AV191</f>
        <v/>
      </c>
      <c r="AW192">
        <f>$C192*AW191</f>
        <v/>
      </c>
      <c r="AX192">
        <f>$C192*AX191</f>
        <v/>
      </c>
      <c r="AY192">
        <f>$C192*AY191</f>
        <v/>
      </c>
      <c r="AZ192">
        <f>$C192*AZ191</f>
        <v/>
      </c>
      <c r="BA192">
        <f>$C192*BA191</f>
        <v/>
      </c>
      <c r="BB192">
        <f>$C192*BB191</f>
        <v/>
      </c>
      <c r="BC192">
        <f>$C192*BC191</f>
        <v/>
      </c>
      <c r="BD192">
        <f>$C192*BD191</f>
        <v/>
      </c>
      <c r="BE192">
        <f>$C192*BE191</f>
        <v/>
      </c>
      <c r="BF192">
        <f>$C192*BF191</f>
        <v/>
      </c>
      <c r="BG192">
        <f>$C192*BG191</f>
        <v/>
      </c>
      <c r="BH192">
        <f>$C192*BH191</f>
        <v/>
      </c>
      <c r="BI192">
        <f>$C192*BI191</f>
        <v/>
      </c>
      <c r="BJ192">
        <f>$C192*BJ191</f>
        <v/>
      </c>
      <c r="BK192">
        <f>$C192*BK191</f>
        <v/>
      </c>
      <c r="BL192">
        <f>$C192*BL191</f>
        <v/>
      </c>
      <c r="BM192">
        <f>$C192*BM191</f>
        <v/>
      </c>
      <c r="BN192">
        <f>$C192*BN191</f>
        <v/>
      </c>
      <c r="BO192">
        <f>$C192*BO191</f>
        <v/>
      </c>
      <c r="BP192">
        <f>$C192*BP191</f>
        <v/>
      </c>
      <c r="BQ192">
        <f>$C192*BQ191</f>
        <v/>
      </c>
      <c r="BR192">
        <f>$C192*BR191</f>
        <v/>
      </c>
      <c r="BS192">
        <f>$C192*BS191</f>
        <v/>
      </c>
      <c r="BT192">
        <f>$C192*BT191</f>
        <v/>
      </c>
      <c r="BU192">
        <f>$C192*BU191</f>
        <v/>
      </c>
      <c r="BV192">
        <f>$C192*BV191</f>
        <v/>
      </c>
      <c r="BW192">
        <f>$C192*BW191</f>
        <v/>
      </c>
      <c r="BX192">
        <f>$C192*BX191</f>
        <v/>
      </c>
      <c r="BY192">
        <f>$C192*BY191</f>
        <v/>
      </c>
      <c r="BZ192">
        <f>$C192*BZ191</f>
        <v/>
      </c>
      <c r="CA192">
        <f>$C192*CA191</f>
        <v/>
      </c>
      <c r="CB192">
        <f>$C192*CB191</f>
        <v/>
      </c>
      <c r="CC192">
        <f>$C192*CC191</f>
        <v/>
      </c>
      <c r="CD192">
        <f>$C192*CD191</f>
        <v/>
      </c>
      <c r="CE192">
        <f>$C192*CE191</f>
        <v/>
      </c>
      <c r="CF192">
        <f>$C192*CF191</f>
        <v/>
      </c>
      <c r="CG192">
        <f>$C192*CG191</f>
        <v/>
      </c>
      <c r="CH192">
        <f>$C192*CH191</f>
        <v/>
      </c>
      <c r="CI192">
        <f>$C192*CI191</f>
        <v/>
      </c>
      <c r="CJ192">
        <f>$C192*CJ191</f>
        <v/>
      </c>
      <c r="CK192">
        <f>$C192*CK191</f>
        <v/>
      </c>
      <c r="CL192">
        <f>$C192*CL191</f>
        <v/>
      </c>
      <c r="CM192">
        <f>$C192*CM191</f>
        <v/>
      </c>
      <c r="CN192">
        <f>$C192*CN191</f>
        <v/>
      </c>
      <c r="CO192">
        <f>$C192*CO191</f>
        <v/>
      </c>
      <c r="CP192">
        <f>$C192*CP191</f>
        <v/>
      </c>
      <c r="CQ192">
        <f>$C192*CQ191</f>
        <v/>
      </c>
      <c r="CR192">
        <f>$C192*CR191</f>
        <v/>
      </c>
      <c r="CS192">
        <f>$C192*CS191</f>
        <v/>
      </c>
      <c r="CT192">
        <f>$C192*CT191</f>
        <v/>
      </c>
      <c r="CU192">
        <f>$C192*CU191</f>
        <v/>
      </c>
      <c r="CV192">
        <f>$C192*CV191</f>
        <v/>
      </c>
      <c r="CW192">
        <f>$C192*CW191</f>
        <v/>
      </c>
      <c r="CX192">
        <f>$C192*CX191</f>
        <v/>
      </c>
      <c r="CY192">
        <f>$C192*CY191</f>
        <v/>
      </c>
      <c r="CZ192">
        <f>$C192*CZ191</f>
        <v/>
      </c>
      <c r="DA192">
        <f>$C192*DA191</f>
        <v/>
      </c>
      <c r="DB192">
        <f>$C192*DB191</f>
        <v/>
      </c>
      <c r="DC192">
        <f>$C192*DC191</f>
        <v/>
      </c>
      <c r="DD192">
        <f>$C192*DD191</f>
        <v/>
      </c>
    </row>
    <row r="193">
      <c r="B193" s="4" t="inlineStr">
        <is>
          <t>合計使用量(kg)/週</t>
        </is>
      </c>
      <c r="D193" s="23">
        <f>IFERROR(INDEX(E193:DD193,$F$1),"")</f>
        <v/>
      </c>
      <c r="E193">
        <f>'Grid_Requirement'!B44</f>
        <v/>
      </c>
      <c r="F193">
        <f>'Grid_Requirement'!C44</f>
        <v/>
      </c>
      <c r="G193">
        <f>'Grid_Requirement'!D44</f>
        <v/>
      </c>
      <c r="H193">
        <f>'Grid_Requirement'!E44</f>
        <v/>
      </c>
      <c r="I193">
        <f>'Grid_Requirement'!F44</f>
        <v/>
      </c>
      <c r="J193">
        <f>'Grid_Requirement'!G44</f>
        <v/>
      </c>
      <c r="K193">
        <f>'Grid_Requirement'!H44</f>
        <v/>
      </c>
      <c r="L193">
        <f>'Grid_Requirement'!I44</f>
        <v/>
      </c>
      <c r="M193">
        <f>'Grid_Requirement'!J44</f>
        <v/>
      </c>
      <c r="N193">
        <f>'Grid_Requirement'!K44</f>
        <v/>
      </c>
      <c r="O193">
        <f>'Grid_Requirement'!L44</f>
        <v/>
      </c>
      <c r="P193">
        <f>'Grid_Requirement'!M44</f>
        <v/>
      </c>
      <c r="Q193">
        <f>'Grid_Requirement'!N44</f>
        <v/>
      </c>
      <c r="R193">
        <f>'Grid_Requirement'!O44</f>
        <v/>
      </c>
      <c r="S193">
        <f>'Grid_Requirement'!P44</f>
        <v/>
      </c>
      <c r="T193">
        <f>'Grid_Requirement'!Q44</f>
        <v/>
      </c>
      <c r="U193">
        <f>'Grid_Requirement'!R44</f>
        <v/>
      </c>
      <c r="V193">
        <f>'Grid_Requirement'!S44</f>
        <v/>
      </c>
      <c r="W193">
        <f>'Grid_Requirement'!T44</f>
        <v/>
      </c>
      <c r="X193">
        <f>'Grid_Requirement'!U44</f>
        <v/>
      </c>
      <c r="Y193">
        <f>'Grid_Requirement'!V44</f>
        <v/>
      </c>
      <c r="Z193">
        <f>'Grid_Requirement'!W44</f>
        <v/>
      </c>
      <c r="AA193">
        <f>'Grid_Requirement'!X44</f>
        <v/>
      </c>
      <c r="AB193">
        <f>'Grid_Requirement'!Y44</f>
        <v/>
      </c>
      <c r="AC193">
        <f>'Grid_Requirement'!Z44</f>
        <v/>
      </c>
      <c r="AD193">
        <f>'Grid_Requirement'!AA44</f>
        <v/>
      </c>
      <c r="AE193">
        <f>'Grid_Requirement'!AB44</f>
        <v/>
      </c>
      <c r="AF193">
        <f>'Grid_Requirement'!AC44</f>
        <v/>
      </c>
      <c r="AG193">
        <f>'Grid_Requirement'!AD44</f>
        <v/>
      </c>
      <c r="AH193">
        <f>'Grid_Requirement'!AE44</f>
        <v/>
      </c>
      <c r="AI193">
        <f>'Grid_Requirement'!AF44</f>
        <v/>
      </c>
      <c r="AJ193">
        <f>'Grid_Requirement'!AG44</f>
        <v/>
      </c>
      <c r="AK193">
        <f>'Grid_Requirement'!AH44</f>
        <v/>
      </c>
      <c r="AL193">
        <f>'Grid_Requirement'!AI44</f>
        <v/>
      </c>
      <c r="AM193">
        <f>'Grid_Requirement'!AJ44</f>
        <v/>
      </c>
      <c r="AN193">
        <f>'Grid_Requirement'!AK44</f>
        <v/>
      </c>
      <c r="AO193">
        <f>'Grid_Requirement'!AL44</f>
        <v/>
      </c>
      <c r="AP193">
        <f>'Grid_Requirement'!AM44</f>
        <v/>
      </c>
      <c r="AQ193">
        <f>'Grid_Requirement'!AN44</f>
        <v/>
      </c>
      <c r="AR193">
        <f>'Grid_Requirement'!AO44</f>
        <v/>
      </c>
      <c r="AS193">
        <f>'Grid_Requirement'!AP44</f>
        <v/>
      </c>
      <c r="AT193">
        <f>'Grid_Requirement'!AQ44</f>
        <v/>
      </c>
      <c r="AU193">
        <f>'Grid_Requirement'!AR44</f>
        <v/>
      </c>
      <c r="AV193">
        <f>'Grid_Requirement'!AS44</f>
        <v/>
      </c>
      <c r="AW193">
        <f>'Grid_Requirement'!AT44</f>
        <v/>
      </c>
      <c r="AX193">
        <f>'Grid_Requirement'!AU44</f>
        <v/>
      </c>
      <c r="AY193">
        <f>'Grid_Requirement'!AV44</f>
        <v/>
      </c>
      <c r="AZ193">
        <f>'Grid_Requirement'!AW44</f>
        <v/>
      </c>
      <c r="BA193">
        <f>'Grid_Requirement'!AX44</f>
        <v/>
      </c>
      <c r="BB193">
        <f>'Grid_Requirement'!AY44</f>
        <v/>
      </c>
      <c r="BC193">
        <f>'Grid_Requirement'!AZ44</f>
        <v/>
      </c>
      <c r="BD193">
        <f>'Grid_Requirement'!BA44</f>
        <v/>
      </c>
      <c r="BE193">
        <f>'Grid_Requirement'!BB44</f>
        <v/>
      </c>
      <c r="BF193">
        <f>'Grid_Requirement'!BC44</f>
        <v/>
      </c>
      <c r="BG193">
        <f>'Grid_Requirement'!BD44</f>
        <v/>
      </c>
      <c r="BH193">
        <f>'Grid_Requirement'!BE44</f>
        <v/>
      </c>
      <c r="BI193">
        <f>'Grid_Requirement'!BF44</f>
        <v/>
      </c>
      <c r="BJ193">
        <f>'Grid_Requirement'!BG44</f>
        <v/>
      </c>
      <c r="BK193">
        <f>'Grid_Requirement'!BH44</f>
        <v/>
      </c>
      <c r="BL193">
        <f>'Grid_Requirement'!BI44</f>
        <v/>
      </c>
      <c r="BM193">
        <f>'Grid_Requirement'!BJ44</f>
        <v/>
      </c>
      <c r="BN193">
        <f>'Grid_Requirement'!BK44</f>
        <v/>
      </c>
      <c r="BO193">
        <f>'Grid_Requirement'!BL44</f>
        <v/>
      </c>
      <c r="BP193">
        <f>'Grid_Requirement'!BM44</f>
        <v/>
      </c>
      <c r="BQ193">
        <f>'Grid_Requirement'!BN44</f>
        <v/>
      </c>
      <c r="BR193">
        <f>'Grid_Requirement'!BO44</f>
        <v/>
      </c>
      <c r="BS193">
        <f>'Grid_Requirement'!BP44</f>
        <v/>
      </c>
      <c r="BT193">
        <f>'Grid_Requirement'!BQ44</f>
        <v/>
      </c>
      <c r="BU193">
        <f>'Grid_Requirement'!BR44</f>
        <v/>
      </c>
      <c r="BV193">
        <f>'Grid_Requirement'!BS44</f>
        <v/>
      </c>
      <c r="BW193">
        <f>'Grid_Requirement'!BT44</f>
        <v/>
      </c>
      <c r="BX193">
        <f>'Grid_Requirement'!BU44</f>
        <v/>
      </c>
      <c r="BY193">
        <f>'Grid_Requirement'!BV44</f>
        <v/>
      </c>
      <c r="BZ193">
        <f>'Grid_Requirement'!BW44</f>
        <v/>
      </c>
      <c r="CA193">
        <f>'Grid_Requirement'!BX44</f>
        <v/>
      </c>
      <c r="CB193">
        <f>'Grid_Requirement'!BY44</f>
        <v/>
      </c>
      <c r="CC193">
        <f>'Grid_Requirement'!BZ44</f>
        <v/>
      </c>
      <c r="CD193">
        <f>'Grid_Requirement'!CA44</f>
        <v/>
      </c>
      <c r="CE193">
        <f>'Grid_Requirement'!CB44</f>
        <v/>
      </c>
      <c r="CF193">
        <f>'Grid_Requirement'!CC44</f>
        <v/>
      </c>
      <c r="CG193">
        <f>'Grid_Requirement'!CD44</f>
        <v/>
      </c>
      <c r="CH193">
        <f>'Grid_Requirement'!CE44</f>
        <v/>
      </c>
      <c r="CI193">
        <f>'Grid_Requirement'!CF44</f>
        <v/>
      </c>
      <c r="CJ193">
        <f>'Grid_Requirement'!CG44</f>
        <v/>
      </c>
      <c r="CK193">
        <f>'Grid_Requirement'!CH44</f>
        <v/>
      </c>
      <c r="CL193">
        <f>'Grid_Requirement'!CI44</f>
        <v/>
      </c>
      <c r="CM193">
        <f>'Grid_Requirement'!CJ44</f>
        <v/>
      </c>
      <c r="CN193">
        <f>'Grid_Requirement'!CK44</f>
        <v/>
      </c>
      <c r="CO193">
        <f>'Grid_Requirement'!CL44</f>
        <v/>
      </c>
      <c r="CP193">
        <f>'Grid_Requirement'!CM44</f>
        <v/>
      </c>
      <c r="CQ193">
        <f>'Grid_Requirement'!CN44</f>
        <v/>
      </c>
      <c r="CR193">
        <f>'Grid_Requirement'!CO44</f>
        <v/>
      </c>
      <c r="CS193">
        <f>'Grid_Requirement'!CP44</f>
        <v/>
      </c>
      <c r="CT193">
        <f>'Grid_Requirement'!CQ44</f>
        <v/>
      </c>
      <c r="CU193">
        <f>'Grid_Requirement'!CR44</f>
        <v/>
      </c>
      <c r="CV193">
        <f>'Grid_Requirement'!CS44</f>
        <v/>
      </c>
      <c r="CW193">
        <f>'Grid_Requirement'!CT44</f>
        <v/>
      </c>
      <c r="CX193">
        <f>'Grid_Requirement'!CU44</f>
        <v/>
      </c>
      <c r="CY193">
        <f>'Grid_Requirement'!CV44</f>
        <v/>
      </c>
      <c r="CZ193">
        <f>'Grid_Requirement'!CW44</f>
        <v/>
      </c>
      <c r="DA193">
        <f>'Grid_Requirement'!CX44</f>
        <v/>
      </c>
      <c r="DB193">
        <f>'Grid_Requirement'!CY44</f>
        <v/>
      </c>
      <c r="DC193">
        <f>'Grid_Requirement'!CZ44</f>
        <v/>
      </c>
      <c r="DD193">
        <f>'Grid_Requirement'!DA44</f>
        <v/>
      </c>
    </row>
    <row r="194">
      <c r="B194" t="inlineStr">
        <is>
          <t>TTAF在庫(実績,kg)</t>
        </is>
      </c>
      <c r="D194">
        <f>IFERROR(INDEX(E194:DD194,$F$1),"")</f>
        <v/>
      </c>
      <c r="E194">
        <f>IFERROR(SUMIFS(T_TTAFStock[TTAF_Qty],T_TTAFStock[RM_Code],$A182,T_TTAFStock[WeekIndex],1),"")</f>
        <v/>
      </c>
      <c r="F194">
        <f>IFERROR(SUMIFS(T_TTAFStock[TTAF_Qty],T_TTAFStock[RM_Code],$A182,T_TTAFStock[WeekIndex],2),"")</f>
        <v/>
      </c>
      <c r="G194">
        <f>IFERROR(SUMIFS(T_TTAFStock[TTAF_Qty],T_TTAFStock[RM_Code],$A182,T_TTAFStock[WeekIndex],3),"")</f>
        <v/>
      </c>
      <c r="H194">
        <f>IFERROR(SUMIFS(T_TTAFStock[TTAF_Qty],T_TTAFStock[RM_Code],$A182,T_TTAFStock[WeekIndex],4),"")</f>
        <v/>
      </c>
      <c r="I194">
        <f>IFERROR(SUMIFS(T_TTAFStock[TTAF_Qty],T_TTAFStock[RM_Code],$A182,T_TTAFStock[WeekIndex],5),"")</f>
        <v/>
      </c>
      <c r="J194">
        <f>IFERROR(SUMIFS(T_TTAFStock[TTAF_Qty],T_TTAFStock[RM_Code],$A182,T_TTAFStock[WeekIndex],6),"")</f>
        <v/>
      </c>
      <c r="K194">
        <f>IFERROR(SUMIFS(T_TTAFStock[TTAF_Qty],T_TTAFStock[RM_Code],$A182,T_TTAFStock[WeekIndex],7),"")</f>
        <v/>
      </c>
      <c r="L194">
        <f>IFERROR(SUMIFS(T_TTAFStock[TTAF_Qty],T_TTAFStock[RM_Code],$A182,T_TTAFStock[WeekIndex],8),"")</f>
        <v/>
      </c>
      <c r="M194">
        <f>IFERROR(SUMIFS(T_TTAFStock[TTAF_Qty],T_TTAFStock[RM_Code],$A182,T_TTAFStock[WeekIndex],9),"")</f>
        <v/>
      </c>
      <c r="N194">
        <f>IFERROR(SUMIFS(T_TTAFStock[TTAF_Qty],T_TTAFStock[RM_Code],$A182,T_TTAFStock[WeekIndex],10),"")</f>
        <v/>
      </c>
      <c r="O194">
        <f>IFERROR(SUMIFS(T_TTAFStock[TTAF_Qty],T_TTAFStock[RM_Code],$A182,T_TTAFStock[WeekIndex],11),"")</f>
        <v/>
      </c>
      <c r="P194">
        <f>IFERROR(SUMIFS(T_TTAFStock[TTAF_Qty],T_TTAFStock[RM_Code],$A182,T_TTAFStock[WeekIndex],12),"")</f>
        <v/>
      </c>
      <c r="Q194">
        <f>IFERROR(SUMIFS(T_TTAFStock[TTAF_Qty],T_TTAFStock[RM_Code],$A182,T_TTAFStock[WeekIndex],13),"")</f>
        <v/>
      </c>
      <c r="R194">
        <f>IFERROR(SUMIFS(T_TTAFStock[TTAF_Qty],T_TTAFStock[RM_Code],$A182,T_TTAFStock[WeekIndex],14),"")</f>
        <v/>
      </c>
      <c r="S194">
        <f>IFERROR(SUMIFS(T_TTAFStock[TTAF_Qty],T_TTAFStock[RM_Code],$A182,T_TTAFStock[WeekIndex],15),"")</f>
        <v/>
      </c>
      <c r="T194">
        <f>IFERROR(SUMIFS(T_TTAFStock[TTAF_Qty],T_TTAFStock[RM_Code],$A182,T_TTAFStock[WeekIndex],16),"")</f>
        <v/>
      </c>
      <c r="U194">
        <f>IFERROR(SUMIFS(T_TTAFStock[TTAF_Qty],T_TTAFStock[RM_Code],$A182,T_TTAFStock[WeekIndex],17),"")</f>
        <v/>
      </c>
      <c r="V194">
        <f>IFERROR(SUMIFS(T_TTAFStock[TTAF_Qty],T_TTAFStock[RM_Code],$A182,T_TTAFStock[WeekIndex],18),"")</f>
        <v/>
      </c>
      <c r="W194">
        <f>IFERROR(SUMIFS(T_TTAFStock[TTAF_Qty],T_TTAFStock[RM_Code],$A182,T_TTAFStock[WeekIndex],19),"")</f>
        <v/>
      </c>
      <c r="X194">
        <f>IFERROR(SUMIFS(T_TTAFStock[TTAF_Qty],T_TTAFStock[RM_Code],$A182,T_TTAFStock[WeekIndex],20),"")</f>
        <v/>
      </c>
      <c r="Y194">
        <f>IFERROR(SUMIFS(T_TTAFStock[TTAF_Qty],T_TTAFStock[RM_Code],$A182,T_TTAFStock[WeekIndex],21),"")</f>
        <v/>
      </c>
      <c r="Z194">
        <f>IFERROR(SUMIFS(T_TTAFStock[TTAF_Qty],T_TTAFStock[RM_Code],$A182,T_TTAFStock[WeekIndex],22),"")</f>
        <v/>
      </c>
      <c r="AA194">
        <f>IFERROR(SUMIFS(T_TTAFStock[TTAF_Qty],T_TTAFStock[RM_Code],$A182,T_TTAFStock[WeekIndex],23),"")</f>
        <v/>
      </c>
      <c r="AB194">
        <f>IFERROR(SUMIFS(T_TTAFStock[TTAF_Qty],T_TTAFStock[RM_Code],$A182,T_TTAFStock[WeekIndex],24),"")</f>
        <v/>
      </c>
      <c r="AC194">
        <f>IFERROR(SUMIFS(T_TTAFStock[TTAF_Qty],T_TTAFStock[RM_Code],$A182,T_TTAFStock[WeekIndex],25),"")</f>
        <v/>
      </c>
      <c r="AD194">
        <f>IFERROR(SUMIFS(T_TTAFStock[TTAF_Qty],T_TTAFStock[RM_Code],$A182,T_TTAFStock[WeekIndex],26),"")</f>
        <v/>
      </c>
      <c r="AE194">
        <f>IFERROR(SUMIFS(T_TTAFStock[TTAF_Qty],T_TTAFStock[RM_Code],$A182,T_TTAFStock[WeekIndex],27),"")</f>
        <v/>
      </c>
      <c r="AF194">
        <f>IFERROR(SUMIFS(T_TTAFStock[TTAF_Qty],T_TTAFStock[RM_Code],$A182,T_TTAFStock[WeekIndex],28),"")</f>
        <v/>
      </c>
      <c r="AG194">
        <f>IFERROR(SUMIFS(T_TTAFStock[TTAF_Qty],T_TTAFStock[RM_Code],$A182,T_TTAFStock[WeekIndex],29),"")</f>
        <v/>
      </c>
      <c r="AH194">
        <f>IFERROR(SUMIFS(T_TTAFStock[TTAF_Qty],T_TTAFStock[RM_Code],$A182,T_TTAFStock[WeekIndex],30),"")</f>
        <v/>
      </c>
      <c r="AI194">
        <f>IFERROR(SUMIFS(T_TTAFStock[TTAF_Qty],T_TTAFStock[RM_Code],$A182,T_TTAFStock[WeekIndex],31),"")</f>
        <v/>
      </c>
      <c r="AJ194">
        <f>IFERROR(SUMIFS(T_TTAFStock[TTAF_Qty],T_TTAFStock[RM_Code],$A182,T_TTAFStock[WeekIndex],32),"")</f>
        <v/>
      </c>
      <c r="AK194">
        <f>IFERROR(SUMIFS(T_TTAFStock[TTAF_Qty],T_TTAFStock[RM_Code],$A182,T_TTAFStock[WeekIndex],33),"")</f>
        <v/>
      </c>
      <c r="AL194">
        <f>IFERROR(SUMIFS(T_TTAFStock[TTAF_Qty],T_TTAFStock[RM_Code],$A182,T_TTAFStock[WeekIndex],34),"")</f>
        <v/>
      </c>
      <c r="AM194">
        <f>IFERROR(SUMIFS(T_TTAFStock[TTAF_Qty],T_TTAFStock[RM_Code],$A182,T_TTAFStock[WeekIndex],35),"")</f>
        <v/>
      </c>
      <c r="AN194">
        <f>IFERROR(SUMIFS(T_TTAFStock[TTAF_Qty],T_TTAFStock[RM_Code],$A182,T_TTAFStock[WeekIndex],36),"")</f>
        <v/>
      </c>
      <c r="AO194">
        <f>IFERROR(SUMIFS(T_TTAFStock[TTAF_Qty],T_TTAFStock[RM_Code],$A182,T_TTAFStock[WeekIndex],37),"")</f>
        <v/>
      </c>
      <c r="AP194">
        <f>IFERROR(SUMIFS(T_TTAFStock[TTAF_Qty],T_TTAFStock[RM_Code],$A182,T_TTAFStock[WeekIndex],38),"")</f>
        <v/>
      </c>
      <c r="AQ194">
        <f>IFERROR(SUMIFS(T_TTAFStock[TTAF_Qty],T_TTAFStock[RM_Code],$A182,T_TTAFStock[WeekIndex],39),"")</f>
        <v/>
      </c>
      <c r="AR194">
        <f>IFERROR(SUMIFS(T_TTAFStock[TTAF_Qty],T_TTAFStock[RM_Code],$A182,T_TTAFStock[WeekIndex],40),"")</f>
        <v/>
      </c>
      <c r="AS194">
        <f>IFERROR(SUMIFS(T_TTAFStock[TTAF_Qty],T_TTAFStock[RM_Code],$A182,T_TTAFStock[WeekIndex],41),"")</f>
        <v/>
      </c>
      <c r="AT194">
        <f>IFERROR(SUMIFS(T_TTAFStock[TTAF_Qty],T_TTAFStock[RM_Code],$A182,T_TTAFStock[WeekIndex],42),"")</f>
        <v/>
      </c>
      <c r="AU194">
        <f>IFERROR(SUMIFS(T_TTAFStock[TTAF_Qty],T_TTAFStock[RM_Code],$A182,T_TTAFStock[WeekIndex],43),"")</f>
        <v/>
      </c>
      <c r="AV194">
        <f>IFERROR(SUMIFS(T_TTAFStock[TTAF_Qty],T_TTAFStock[RM_Code],$A182,T_TTAFStock[WeekIndex],44),"")</f>
        <v/>
      </c>
      <c r="AW194">
        <f>IFERROR(SUMIFS(T_TTAFStock[TTAF_Qty],T_TTAFStock[RM_Code],$A182,T_TTAFStock[WeekIndex],45),"")</f>
        <v/>
      </c>
      <c r="AX194">
        <f>IFERROR(SUMIFS(T_TTAFStock[TTAF_Qty],T_TTAFStock[RM_Code],$A182,T_TTAFStock[WeekIndex],46),"")</f>
        <v/>
      </c>
      <c r="AY194">
        <f>IFERROR(SUMIFS(T_TTAFStock[TTAF_Qty],T_TTAFStock[RM_Code],$A182,T_TTAFStock[WeekIndex],47),"")</f>
        <v/>
      </c>
      <c r="AZ194">
        <f>IFERROR(SUMIFS(T_TTAFStock[TTAF_Qty],T_TTAFStock[RM_Code],$A182,T_TTAFStock[WeekIndex],48),"")</f>
        <v/>
      </c>
      <c r="BA194">
        <f>IFERROR(SUMIFS(T_TTAFStock[TTAF_Qty],T_TTAFStock[RM_Code],$A182,T_TTAFStock[WeekIndex],49),"")</f>
        <v/>
      </c>
      <c r="BB194">
        <f>IFERROR(SUMIFS(T_TTAFStock[TTAF_Qty],T_TTAFStock[RM_Code],$A182,T_TTAFStock[WeekIndex],50),"")</f>
        <v/>
      </c>
      <c r="BC194">
        <f>IFERROR(SUMIFS(T_TTAFStock[TTAF_Qty],T_TTAFStock[RM_Code],$A182,T_TTAFStock[WeekIndex],51),"")</f>
        <v/>
      </c>
      <c r="BD194">
        <f>IFERROR(SUMIFS(T_TTAFStock[TTAF_Qty],T_TTAFStock[RM_Code],$A182,T_TTAFStock[WeekIndex],52),"")</f>
        <v/>
      </c>
      <c r="BE194">
        <f>IFERROR(SUMIFS(T_TTAFStock[TTAF_Qty],T_TTAFStock[RM_Code],$A182,T_TTAFStock[WeekIndex],53),"")</f>
        <v/>
      </c>
      <c r="BF194">
        <f>IFERROR(SUMIFS(T_TTAFStock[TTAF_Qty],T_TTAFStock[RM_Code],$A182,T_TTAFStock[WeekIndex],54),"")</f>
        <v/>
      </c>
      <c r="BG194">
        <f>IFERROR(SUMIFS(T_TTAFStock[TTAF_Qty],T_TTAFStock[RM_Code],$A182,T_TTAFStock[WeekIndex],55),"")</f>
        <v/>
      </c>
      <c r="BH194">
        <f>IFERROR(SUMIFS(T_TTAFStock[TTAF_Qty],T_TTAFStock[RM_Code],$A182,T_TTAFStock[WeekIndex],56),"")</f>
        <v/>
      </c>
      <c r="BI194">
        <f>IFERROR(SUMIFS(T_TTAFStock[TTAF_Qty],T_TTAFStock[RM_Code],$A182,T_TTAFStock[WeekIndex],57),"")</f>
        <v/>
      </c>
      <c r="BJ194">
        <f>IFERROR(SUMIFS(T_TTAFStock[TTAF_Qty],T_TTAFStock[RM_Code],$A182,T_TTAFStock[WeekIndex],58),"")</f>
        <v/>
      </c>
      <c r="BK194">
        <f>IFERROR(SUMIFS(T_TTAFStock[TTAF_Qty],T_TTAFStock[RM_Code],$A182,T_TTAFStock[WeekIndex],59),"")</f>
        <v/>
      </c>
      <c r="BL194">
        <f>IFERROR(SUMIFS(T_TTAFStock[TTAF_Qty],T_TTAFStock[RM_Code],$A182,T_TTAFStock[WeekIndex],60),"")</f>
        <v/>
      </c>
      <c r="BM194">
        <f>IFERROR(SUMIFS(T_TTAFStock[TTAF_Qty],T_TTAFStock[RM_Code],$A182,T_TTAFStock[WeekIndex],61),"")</f>
        <v/>
      </c>
      <c r="BN194">
        <f>IFERROR(SUMIFS(T_TTAFStock[TTAF_Qty],T_TTAFStock[RM_Code],$A182,T_TTAFStock[WeekIndex],62),"")</f>
        <v/>
      </c>
      <c r="BO194">
        <f>IFERROR(SUMIFS(T_TTAFStock[TTAF_Qty],T_TTAFStock[RM_Code],$A182,T_TTAFStock[WeekIndex],63),"")</f>
        <v/>
      </c>
      <c r="BP194">
        <f>IFERROR(SUMIFS(T_TTAFStock[TTAF_Qty],T_TTAFStock[RM_Code],$A182,T_TTAFStock[WeekIndex],64),"")</f>
        <v/>
      </c>
      <c r="BQ194">
        <f>IFERROR(SUMIFS(T_TTAFStock[TTAF_Qty],T_TTAFStock[RM_Code],$A182,T_TTAFStock[WeekIndex],65),"")</f>
        <v/>
      </c>
      <c r="BR194">
        <f>IFERROR(SUMIFS(T_TTAFStock[TTAF_Qty],T_TTAFStock[RM_Code],$A182,T_TTAFStock[WeekIndex],66),"")</f>
        <v/>
      </c>
      <c r="BS194">
        <f>IFERROR(SUMIFS(T_TTAFStock[TTAF_Qty],T_TTAFStock[RM_Code],$A182,T_TTAFStock[WeekIndex],67),"")</f>
        <v/>
      </c>
      <c r="BT194">
        <f>IFERROR(SUMIFS(T_TTAFStock[TTAF_Qty],T_TTAFStock[RM_Code],$A182,T_TTAFStock[WeekIndex],68),"")</f>
        <v/>
      </c>
      <c r="BU194">
        <f>IFERROR(SUMIFS(T_TTAFStock[TTAF_Qty],T_TTAFStock[RM_Code],$A182,T_TTAFStock[WeekIndex],69),"")</f>
        <v/>
      </c>
      <c r="BV194">
        <f>IFERROR(SUMIFS(T_TTAFStock[TTAF_Qty],T_TTAFStock[RM_Code],$A182,T_TTAFStock[WeekIndex],70),"")</f>
        <v/>
      </c>
      <c r="BW194">
        <f>IFERROR(SUMIFS(T_TTAFStock[TTAF_Qty],T_TTAFStock[RM_Code],$A182,T_TTAFStock[WeekIndex],71),"")</f>
        <v/>
      </c>
      <c r="BX194">
        <f>IFERROR(SUMIFS(T_TTAFStock[TTAF_Qty],T_TTAFStock[RM_Code],$A182,T_TTAFStock[WeekIndex],72),"")</f>
        <v/>
      </c>
      <c r="BY194">
        <f>IFERROR(SUMIFS(T_TTAFStock[TTAF_Qty],T_TTAFStock[RM_Code],$A182,T_TTAFStock[WeekIndex],73),"")</f>
        <v/>
      </c>
      <c r="BZ194">
        <f>IFERROR(SUMIFS(T_TTAFStock[TTAF_Qty],T_TTAFStock[RM_Code],$A182,T_TTAFStock[WeekIndex],74),"")</f>
        <v/>
      </c>
      <c r="CA194">
        <f>IFERROR(SUMIFS(T_TTAFStock[TTAF_Qty],T_TTAFStock[RM_Code],$A182,T_TTAFStock[WeekIndex],75),"")</f>
        <v/>
      </c>
      <c r="CB194">
        <f>IFERROR(SUMIFS(T_TTAFStock[TTAF_Qty],T_TTAFStock[RM_Code],$A182,T_TTAFStock[WeekIndex],76),"")</f>
        <v/>
      </c>
      <c r="CC194">
        <f>IFERROR(SUMIFS(T_TTAFStock[TTAF_Qty],T_TTAFStock[RM_Code],$A182,T_TTAFStock[WeekIndex],77),"")</f>
        <v/>
      </c>
      <c r="CD194">
        <f>IFERROR(SUMIFS(T_TTAFStock[TTAF_Qty],T_TTAFStock[RM_Code],$A182,T_TTAFStock[WeekIndex],78),"")</f>
        <v/>
      </c>
      <c r="CE194">
        <f>IFERROR(SUMIFS(T_TTAFStock[TTAF_Qty],T_TTAFStock[RM_Code],$A182,T_TTAFStock[WeekIndex],79),"")</f>
        <v/>
      </c>
      <c r="CF194">
        <f>IFERROR(SUMIFS(T_TTAFStock[TTAF_Qty],T_TTAFStock[RM_Code],$A182,T_TTAFStock[WeekIndex],80),"")</f>
        <v/>
      </c>
      <c r="CG194">
        <f>IFERROR(SUMIFS(T_TTAFStock[TTAF_Qty],T_TTAFStock[RM_Code],$A182,T_TTAFStock[WeekIndex],81),"")</f>
        <v/>
      </c>
      <c r="CH194">
        <f>IFERROR(SUMIFS(T_TTAFStock[TTAF_Qty],T_TTAFStock[RM_Code],$A182,T_TTAFStock[WeekIndex],82),"")</f>
        <v/>
      </c>
      <c r="CI194">
        <f>IFERROR(SUMIFS(T_TTAFStock[TTAF_Qty],T_TTAFStock[RM_Code],$A182,T_TTAFStock[WeekIndex],83),"")</f>
        <v/>
      </c>
      <c r="CJ194">
        <f>IFERROR(SUMIFS(T_TTAFStock[TTAF_Qty],T_TTAFStock[RM_Code],$A182,T_TTAFStock[WeekIndex],84),"")</f>
        <v/>
      </c>
      <c r="CK194">
        <f>IFERROR(SUMIFS(T_TTAFStock[TTAF_Qty],T_TTAFStock[RM_Code],$A182,T_TTAFStock[WeekIndex],85),"")</f>
        <v/>
      </c>
      <c r="CL194">
        <f>IFERROR(SUMIFS(T_TTAFStock[TTAF_Qty],T_TTAFStock[RM_Code],$A182,T_TTAFStock[WeekIndex],86),"")</f>
        <v/>
      </c>
      <c r="CM194">
        <f>IFERROR(SUMIFS(T_TTAFStock[TTAF_Qty],T_TTAFStock[RM_Code],$A182,T_TTAFStock[WeekIndex],87),"")</f>
        <v/>
      </c>
      <c r="CN194">
        <f>IFERROR(SUMIFS(T_TTAFStock[TTAF_Qty],T_TTAFStock[RM_Code],$A182,T_TTAFStock[WeekIndex],88),"")</f>
        <v/>
      </c>
      <c r="CO194">
        <f>IFERROR(SUMIFS(T_TTAFStock[TTAF_Qty],T_TTAFStock[RM_Code],$A182,T_TTAFStock[WeekIndex],89),"")</f>
        <v/>
      </c>
      <c r="CP194">
        <f>IFERROR(SUMIFS(T_TTAFStock[TTAF_Qty],T_TTAFStock[RM_Code],$A182,T_TTAFStock[WeekIndex],90),"")</f>
        <v/>
      </c>
      <c r="CQ194">
        <f>IFERROR(SUMIFS(T_TTAFStock[TTAF_Qty],T_TTAFStock[RM_Code],$A182,T_TTAFStock[WeekIndex],91),"")</f>
        <v/>
      </c>
      <c r="CR194">
        <f>IFERROR(SUMIFS(T_TTAFStock[TTAF_Qty],T_TTAFStock[RM_Code],$A182,T_TTAFStock[WeekIndex],92),"")</f>
        <v/>
      </c>
      <c r="CS194">
        <f>IFERROR(SUMIFS(T_TTAFStock[TTAF_Qty],T_TTAFStock[RM_Code],$A182,T_TTAFStock[WeekIndex],93),"")</f>
        <v/>
      </c>
      <c r="CT194">
        <f>IFERROR(SUMIFS(T_TTAFStock[TTAF_Qty],T_TTAFStock[RM_Code],$A182,T_TTAFStock[WeekIndex],94),"")</f>
        <v/>
      </c>
      <c r="CU194">
        <f>IFERROR(SUMIFS(T_TTAFStock[TTAF_Qty],T_TTAFStock[RM_Code],$A182,T_TTAFStock[WeekIndex],95),"")</f>
        <v/>
      </c>
      <c r="CV194">
        <f>IFERROR(SUMIFS(T_TTAFStock[TTAF_Qty],T_TTAFStock[RM_Code],$A182,T_TTAFStock[WeekIndex],96),"")</f>
        <v/>
      </c>
      <c r="CW194">
        <f>IFERROR(SUMIFS(T_TTAFStock[TTAF_Qty],T_TTAFStock[RM_Code],$A182,T_TTAFStock[WeekIndex],97),"")</f>
        <v/>
      </c>
      <c r="CX194">
        <f>IFERROR(SUMIFS(T_TTAFStock[TTAF_Qty],T_TTAFStock[RM_Code],$A182,T_TTAFStock[WeekIndex],98),"")</f>
        <v/>
      </c>
      <c r="CY194">
        <f>IFERROR(SUMIFS(T_TTAFStock[TTAF_Qty],T_TTAFStock[RM_Code],$A182,T_TTAFStock[WeekIndex],99),"")</f>
        <v/>
      </c>
      <c r="CZ194">
        <f>IFERROR(SUMIFS(T_TTAFStock[TTAF_Qty],T_TTAFStock[RM_Code],$A182,T_TTAFStock[WeekIndex],100),"")</f>
        <v/>
      </c>
      <c r="DA194">
        <f>IFERROR(SUMIFS(T_TTAFStock[TTAF_Qty],T_TTAFStock[RM_Code],$A182,T_TTAFStock[WeekIndex],101),"")</f>
        <v/>
      </c>
      <c r="DB194">
        <f>IFERROR(SUMIFS(T_TTAFStock[TTAF_Qty],T_TTAFStock[RM_Code],$A182,T_TTAFStock[WeekIndex],102),"")</f>
        <v/>
      </c>
      <c r="DC194">
        <f>IFERROR(SUMIFS(T_TTAFStock[TTAF_Qty],T_TTAFStock[RM_Code],$A182,T_TTAFStock[WeekIndex],103),"")</f>
        <v/>
      </c>
      <c r="DD194">
        <f>IFERROR(SUMIFS(T_TTAFStock[TTAF_Qty],T_TTAFStock[RM_Code],$A182,T_TTAFStock[WeekIndex],104),"")</f>
        <v/>
      </c>
    </row>
    <row r="195">
      <c r="B195" t="inlineStr">
        <is>
          <t>自社在庫(実績,kg)</t>
        </is>
      </c>
      <c r="D195">
        <f>IFERROR(INDEX(E195:DD195,$F$1),"")</f>
        <v/>
      </c>
      <c r="E195">
        <f>IFERROR(SUMIFS(T_SelfStock[Self_Qty],T_SelfStock[RM_Code],$A182,T_SelfStock[WeekIndex],1),"")</f>
        <v/>
      </c>
      <c r="F195">
        <f>IFERROR(SUMIFS(T_SelfStock[Self_Qty],T_SelfStock[RM_Code],$A182,T_SelfStock[WeekIndex],2),"")</f>
        <v/>
      </c>
      <c r="G195">
        <f>IFERROR(SUMIFS(T_SelfStock[Self_Qty],T_SelfStock[RM_Code],$A182,T_SelfStock[WeekIndex],3),"")</f>
        <v/>
      </c>
      <c r="H195">
        <f>IFERROR(SUMIFS(T_SelfStock[Self_Qty],T_SelfStock[RM_Code],$A182,T_SelfStock[WeekIndex],4),"")</f>
        <v/>
      </c>
      <c r="I195">
        <f>IFERROR(SUMIFS(T_SelfStock[Self_Qty],T_SelfStock[RM_Code],$A182,T_SelfStock[WeekIndex],5),"")</f>
        <v/>
      </c>
      <c r="J195">
        <f>IFERROR(SUMIFS(T_SelfStock[Self_Qty],T_SelfStock[RM_Code],$A182,T_SelfStock[WeekIndex],6),"")</f>
        <v/>
      </c>
      <c r="K195">
        <f>IFERROR(SUMIFS(T_SelfStock[Self_Qty],T_SelfStock[RM_Code],$A182,T_SelfStock[WeekIndex],7),"")</f>
        <v/>
      </c>
      <c r="L195">
        <f>IFERROR(SUMIFS(T_SelfStock[Self_Qty],T_SelfStock[RM_Code],$A182,T_SelfStock[WeekIndex],8),"")</f>
        <v/>
      </c>
      <c r="M195">
        <f>IFERROR(SUMIFS(T_SelfStock[Self_Qty],T_SelfStock[RM_Code],$A182,T_SelfStock[WeekIndex],9),"")</f>
        <v/>
      </c>
      <c r="N195">
        <f>IFERROR(SUMIFS(T_SelfStock[Self_Qty],T_SelfStock[RM_Code],$A182,T_SelfStock[WeekIndex],10),"")</f>
        <v/>
      </c>
      <c r="O195">
        <f>IFERROR(SUMIFS(T_SelfStock[Self_Qty],T_SelfStock[RM_Code],$A182,T_SelfStock[WeekIndex],11),"")</f>
        <v/>
      </c>
      <c r="P195">
        <f>IFERROR(SUMIFS(T_SelfStock[Self_Qty],T_SelfStock[RM_Code],$A182,T_SelfStock[WeekIndex],12),"")</f>
        <v/>
      </c>
      <c r="Q195">
        <f>IFERROR(SUMIFS(T_SelfStock[Self_Qty],T_SelfStock[RM_Code],$A182,T_SelfStock[WeekIndex],13),"")</f>
        <v/>
      </c>
      <c r="R195">
        <f>IFERROR(SUMIFS(T_SelfStock[Self_Qty],T_SelfStock[RM_Code],$A182,T_SelfStock[WeekIndex],14),"")</f>
        <v/>
      </c>
      <c r="S195">
        <f>IFERROR(SUMIFS(T_SelfStock[Self_Qty],T_SelfStock[RM_Code],$A182,T_SelfStock[WeekIndex],15),"")</f>
        <v/>
      </c>
      <c r="T195">
        <f>IFERROR(SUMIFS(T_SelfStock[Self_Qty],T_SelfStock[RM_Code],$A182,T_SelfStock[WeekIndex],16),"")</f>
        <v/>
      </c>
      <c r="U195">
        <f>IFERROR(SUMIFS(T_SelfStock[Self_Qty],T_SelfStock[RM_Code],$A182,T_SelfStock[WeekIndex],17),"")</f>
        <v/>
      </c>
      <c r="V195">
        <f>IFERROR(SUMIFS(T_SelfStock[Self_Qty],T_SelfStock[RM_Code],$A182,T_SelfStock[WeekIndex],18),"")</f>
        <v/>
      </c>
      <c r="W195">
        <f>IFERROR(SUMIFS(T_SelfStock[Self_Qty],T_SelfStock[RM_Code],$A182,T_SelfStock[WeekIndex],19),"")</f>
        <v/>
      </c>
      <c r="X195">
        <f>IFERROR(SUMIFS(T_SelfStock[Self_Qty],T_SelfStock[RM_Code],$A182,T_SelfStock[WeekIndex],20),"")</f>
        <v/>
      </c>
      <c r="Y195">
        <f>IFERROR(SUMIFS(T_SelfStock[Self_Qty],T_SelfStock[RM_Code],$A182,T_SelfStock[WeekIndex],21),"")</f>
        <v/>
      </c>
      <c r="Z195">
        <f>IFERROR(SUMIFS(T_SelfStock[Self_Qty],T_SelfStock[RM_Code],$A182,T_SelfStock[WeekIndex],22),"")</f>
        <v/>
      </c>
      <c r="AA195">
        <f>IFERROR(SUMIFS(T_SelfStock[Self_Qty],T_SelfStock[RM_Code],$A182,T_SelfStock[WeekIndex],23),"")</f>
        <v/>
      </c>
      <c r="AB195">
        <f>IFERROR(SUMIFS(T_SelfStock[Self_Qty],T_SelfStock[RM_Code],$A182,T_SelfStock[WeekIndex],24),"")</f>
        <v/>
      </c>
      <c r="AC195">
        <f>IFERROR(SUMIFS(T_SelfStock[Self_Qty],T_SelfStock[RM_Code],$A182,T_SelfStock[WeekIndex],25),"")</f>
        <v/>
      </c>
      <c r="AD195">
        <f>IFERROR(SUMIFS(T_SelfStock[Self_Qty],T_SelfStock[RM_Code],$A182,T_SelfStock[WeekIndex],26),"")</f>
        <v/>
      </c>
      <c r="AE195">
        <f>IFERROR(SUMIFS(T_SelfStock[Self_Qty],T_SelfStock[RM_Code],$A182,T_SelfStock[WeekIndex],27),"")</f>
        <v/>
      </c>
      <c r="AF195">
        <f>IFERROR(SUMIFS(T_SelfStock[Self_Qty],T_SelfStock[RM_Code],$A182,T_SelfStock[WeekIndex],28),"")</f>
        <v/>
      </c>
      <c r="AG195">
        <f>IFERROR(SUMIFS(T_SelfStock[Self_Qty],T_SelfStock[RM_Code],$A182,T_SelfStock[WeekIndex],29),"")</f>
        <v/>
      </c>
      <c r="AH195">
        <f>IFERROR(SUMIFS(T_SelfStock[Self_Qty],T_SelfStock[RM_Code],$A182,T_SelfStock[WeekIndex],30),"")</f>
        <v/>
      </c>
      <c r="AI195">
        <f>IFERROR(SUMIFS(T_SelfStock[Self_Qty],T_SelfStock[RM_Code],$A182,T_SelfStock[WeekIndex],31),"")</f>
        <v/>
      </c>
      <c r="AJ195">
        <f>IFERROR(SUMIFS(T_SelfStock[Self_Qty],T_SelfStock[RM_Code],$A182,T_SelfStock[WeekIndex],32),"")</f>
        <v/>
      </c>
      <c r="AK195">
        <f>IFERROR(SUMIFS(T_SelfStock[Self_Qty],T_SelfStock[RM_Code],$A182,T_SelfStock[WeekIndex],33),"")</f>
        <v/>
      </c>
      <c r="AL195">
        <f>IFERROR(SUMIFS(T_SelfStock[Self_Qty],T_SelfStock[RM_Code],$A182,T_SelfStock[WeekIndex],34),"")</f>
        <v/>
      </c>
      <c r="AM195">
        <f>IFERROR(SUMIFS(T_SelfStock[Self_Qty],T_SelfStock[RM_Code],$A182,T_SelfStock[WeekIndex],35),"")</f>
        <v/>
      </c>
      <c r="AN195">
        <f>IFERROR(SUMIFS(T_SelfStock[Self_Qty],T_SelfStock[RM_Code],$A182,T_SelfStock[WeekIndex],36),"")</f>
        <v/>
      </c>
      <c r="AO195">
        <f>IFERROR(SUMIFS(T_SelfStock[Self_Qty],T_SelfStock[RM_Code],$A182,T_SelfStock[WeekIndex],37),"")</f>
        <v/>
      </c>
      <c r="AP195">
        <f>IFERROR(SUMIFS(T_SelfStock[Self_Qty],T_SelfStock[RM_Code],$A182,T_SelfStock[WeekIndex],38),"")</f>
        <v/>
      </c>
      <c r="AQ195">
        <f>IFERROR(SUMIFS(T_SelfStock[Self_Qty],T_SelfStock[RM_Code],$A182,T_SelfStock[WeekIndex],39),"")</f>
        <v/>
      </c>
      <c r="AR195">
        <f>IFERROR(SUMIFS(T_SelfStock[Self_Qty],T_SelfStock[RM_Code],$A182,T_SelfStock[WeekIndex],40),"")</f>
        <v/>
      </c>
      <c r="AS195">
        <f>IFERROR(SUMIFS(T_SelfStock[Self_Qty],T_SelfStock[RM_Code],$A182,T_SelfStock[WeekIndex],41),"")</f>
        <v/>
      </c>
      <c r="AT195">
        <f>IFERROR(SUMIFS(T_SelfStock[Self_Qty],T_SelfStock[RM_Code],$A182,T_SelfStock[WeekIndex],42),"")</f>
        <v/>
      </c>
      <c r="AU195">
        <f>IFERROR(SUMIFS(T_SelfStock[Self_Qty],T_SelfStock[RM_Code],$A182,T_SelfStock[WeekIndex],43),"")</f>
        <v/>
      </c>
      <c r="AV195">
        <f>IFERROR(SUMIFS(T_SelfStock[Self_Qty],T_SelfStock[RM_Code],$A182,T_SelfStock[WeekIndex],44),"")</f>
        <v/>
      </c>
      <c r="AW195">
        <f>IFERROR(SUMIFS(T_SelfStock[Self_Qty],T_SelfStock[RM_Code],$A182,T_SelfStock[WeekIndex],45),"")</f>
        <v/>
      </c>
      <c r="AX195">
        <f>IFERROR(SUMIFS(T_SelfStock[Self_Qty],T_SelfStock[RM_Code],$A182,T_SelfStock[WeekIndex],46),"")</f>
        <v/>
      </c>
      <c r="AY195">
        <f>IFERROR(SUMIFS(T_SelfStock[Self_Qty],T_SelfStock[RM_Code],$A182,T_SelfStock[WeekIndex],47),"")</f>
        <v/>
      </c>
      <c r="AZ195">
        <f>IFERROR(SUMIFS(T_SelfStock[Self_Qty],T_SelfStock[RM_Code],$A182,T_SelfStock[WeekIndex],48),"")</f>
        <v/>
      </c>
      <c r="BA195">
        <f>IFERROR(SUMIFS(T_SelfStock[Self_Qty],T_SelfStock[RM_Code],$A182,T_SelfStock[WeekIndex],49),"")</f>
        <v/>
      </c>
      <c r="BB195">
        <f>IFERROR(SUMIFS(T_SelfStock[Self_Qty],T_SelfStock[RM_Code],$A182,T_SelfStock[WeekIndex],50),"")</f>
        <v/>
      </c>
      <c r="BC195">
        <f>IFERROR(SUMIFS(T_SelfStock[Self_Qty],T_SelfStock[RM_Code],$A182,T_SelfStock[WeekIndex],51),"")</f>
        <v/>
      </c>
      <c r="BD195">
        <f>IFERROR(SUMIFS(T_SelfStock[Self_Qty],T_SelfStock[RM_Code],$A182,T_SelfStock[WeekIndex],52),"")</f>
        <v/>
      </c>
      <c r="BE195">
        <f>IFERROR(SUMIFS(T_SelfStock[Self_Qty],T_SelfStock[RM_Code],$A182,T_SelfStock[WeekIndex],53),"")</f>
        <v/>
      </c>
      <c r="BF195">
        <f>IFERROR(SUMIFS(T_SelfStock[Self_Qty],T_SelfStock[RM_Code],$A182,T_SelfStock[WeekIndex],54),"")</f>
        <v/>
      </c>
      <c r="BG195">
        <f>IFERROR(SUMIFS(T_SelfStock[Self_Qty],T_SelfStock[RM_Code],$A182,T_SelfStock[WeekIndex],55),"")</f>
        <v/>
      </c>
      <c r="BH195">
        <f>IFERROR(SUMIFS(T_SelfStock[Self_Qty],T_SelfStock[RM_Code],$A182,T_SelfStock[WeekIndex],56),"")</f>
        <v/>
      </c>
      <c r="BI195">
        <f>IFERROR(SUMIFS(T_SelfStock[Self_Qty],T_SelfStock[RM_Code],$A182,T_SelfStock[WeekIndex],57),"")</f>
        <v/>
      </c>
      <c r="BJ195">
        <f>IFERROR(SUMIFS(T_SelfStock[Self_Qty],T_SelfStock[RM_Code],$A182,T_SelfStock[WeekIndex],58),"")</f>
        <v/>
      </c>
      <c r="BK195">
        <f>IFERROR(SUMIFS(T_SelfStock[Self_Qty],T_SelfStock[RM_Code],$A182,T_SelfStock[WeekIndex],59),"")</f>
        <v/>
      </c>
      <c r="BL195">
        <f>IFERROR(SUMIFS(T_SelfStock[Self_Qty],T_SelfStock[RM_Code],$A182,T_SelfStock[WeekIndex],60),"")</f>
        <v/>
      </c>
      <c r="BM195">
        <f>IFERROR(SUMIFS(T_SelfStock[Self_Qty],T_SelfStock[RM_Code],$A182,T_SelfStock[WeekIndex],61),"")</f>
        <v/>
      </c>
      <c r="BN195">
        <f>IFERROR(SUMIFS(T_SelfStock[Self_Qty],T_SelfStock[RM_Code],$A182,T_SelfStock[WeekIndex],62),"")</f>
        <v/>
      </c>
      <c r="BO195">
        <f>IFERROR(SUMIFS(T_SelfStock[Self_Qty],T_SelfStock[RM_Code],$A182,T_SelfStock[WeekIndex],63),"")</f>
        <v/>
      </c>
      <c r="BP195">
        <f>IFERROR(SUMIFS(T_SelfStock[Self_Qty],T_SelfStock[RM_Code],$A182,T_SelfStock[WeekIndex],64),"")</f>
        <v/>
      </c>
      <c r="BQ195">
        <f>IFERROR(SUMIFS(T_SelfStock[Self_Qty],T_SelfStock[RM_Code],$A182,T_SelfStock[WeekIndex],65),"")</f>
        <v/>
      </c>
      <c r="BR195">
        <f>IFERROR(SUMIFS(T_SelfStock[Self_Qty],T_SelfStock[RM_Code],$A182,T_SelfStock[WeekIndex],66),"")</f>
        <v/>
      </c>
      <c r="BS195">
        <f>IFERROR(SUMIFS(T_SelfStock[Self_Qty],T_SelfStock[RM_Code],$A182,T_SelfStock[WeekIndex],67),"")</f>
        <v/>
      </c>
      <c r="BT195">
        <f>IFERROR(SUMIFS(T_SelfStock[Self_Qty],T_SelfStock[RM_Code],$A182,T_SelfStock[WeekIndex],68),"")</f>
        <v/>
      </c>
      <c r="BU195">
        <f>IFERROR(SUMIFS(T_SelfStock[Self_Qty],T_SelfStock[RM_Code],$A182,T_SelfStock[WeekIndex],69),"")</f>
        <v/>
      </c>
      <c r="BV195">
        <f>IFERROR(SUMIFS(T_SelfStock[Self_Qty],T_SelfStock[RM_Code],$A182,T_SelfStock[WeekIndex],70),"")</f>
        <v/>
      </c>
      <c r="BW195">
        <f>IFERROR(SUMIFS(T_SelfStock[Self_Qty],T_SelfStock[RM_Code],$A182,T_SelfStock[WeekIndex],71),"")</f>
        <v/>
      </c>
      <c r="BX195">
        <f>IFERROR(SUMIFS(T_SelfStock[Self_Qty],T_SelfStock[RM_Code],$A182,T_SelfStock[WeekIndex],72),"")</f>
        <v/>
      </c>
      <c r="BY195">
        <f>IFERROR(SUMIFS(T_SelfStock[Self_Qty],T_SelfStock[RM_Code],$A182,T_SelfStock[WeekIndex],73),"")</f>
        <v/>
      </c>
      <c r="BZ195">
        <f>IFERROR(SUMIFS(T_SelfStock[Self_Qty],T_SelfStock[RM_Code],$A182,T_SelfStock[WeekIndex],74),"")</f>
        <v/>
      </c>
      <c r="CA195">
        <f>IFERROR(SUMIFS(T_SelfStock[Self_Qty],T_SelfStock[RM_Code],$A182,T_SelfStock[WeekIndex],75),"")</f>
        <v/>
      </c>
      <c r="CB195">
        <f>IFERROR(SUMIFS(T_SelfStock[Self_Qty],T_SelfStock[RM_Code],$A182,T_SelfStock[WeekIndex],76),"")</f>
        <v/>
      </c>
      <c r="CC195">
        <f>IFERROR(SUMIFS(T_SelfStock[Self_Qty],T_SelfStock[RM_Code],$A182,T_SelfStock[WeekIndex],77),"")</f>
        <v/>
      </c>
      <c r="CD195">
        <f>IFERROR(SUMIFS(T_SelfStock[Self_Qty],T_SelfStock[RM_Code],$A182,T_SelfStock[WeekIndex],78),"")</f>
        <v/>
      </c>
      <c r="CE195">
        <f>IFERROR(SUMIFS(T_SelfStock[Self_Qty],T_SelfStock[RM_Code],$A182,T_SelfStock[WeekIndex],79),"")</f>
        <v/>
      </c>
      <c r="CF195">
        <f>IFERROR(SUMIFS(T_SelfStock[Self_Qty],T_SelfStock[RM_Code],$A182,T_SelfStock[WeekIndex],80),"")</f>
        <v/>
      </c>
      <c r="CG195">
        <f>IFERROR(SUMIFS(T_SelfStock[Self_Qty],T_SelfStock[RM_Code],$A182,T_SelfStock[WeekIndex],81),"")</f>
        <v/>
      </c>
      <c r="CH195">
        <f>IFERROR(SUMIFS(T_SelfStock[Self_Qty],T_SelfStock[RM_Code],$A182,T_SelfStock[WeekIndex],82),"")</f>
        <v/>
      </c>
      <c r="CI195">
        <f>IFERROR(SUMIFS(T_SelfStock[Self_Qty],T_SelfStock[RM_Code],$A182,T_SelfStock[WeekIndex],83),"")</f>
        <v/>
      </c>
      <c r="CJ195">
        <f>IFERROR(SUMIFS(T_SelfStock[Self_Qty],T_SelfStock[RM_Code],$A182,T_SelfStock[WeekIndex],84),"")</f>
        <v/>
      </c>
      <c r="CK195">
        <f>IFERROR(SUMIFS(T_SelfStock[Self_Qty],T_SelfStock[RM_Code],$A182,T_SelfStock[WeekIndex],85),"")</f>
        <v/>
      </c>
      <c r="CL195">
        <f>IFERROR(SUMIFS(T_SelfStock[Self_Qty],T_SelfStock[RM_Code],$A182,T_SelfStock[WeekIndex],86),"")</f>
        <v/>
      </c>
      <c r="CM195">
        <f>IFERROR(SUMIFS(T_SelfStock[Self_Qty],T_SelfStock[RM_Code],$A182,T_SelfStock[WeekIndex],87),"")</f>
        <v/>
      </c>
      <c r="CN195">
        <f>IFERROR(SUMIFS(T_SelfStock[Self_Qty],T_SelfStock[RM_Code],$A182,T_SelfStock[WeekIndex],88),"")</f>
        <v/>
      </c>
      <c r="CO195">
        <f>IFERROR(SUMIFS(T_SelfStock[Self_Qty],T_SelfStock[RM_Code],$A182,T_SelfStock[WeekIndex],89),"")</f>
        <v/>
      </c>
      <c r="CP195">
        <f>IFERROR(SUMIFS(T_SelfStock[Self_Qty],T_SelfStock[RM_Code],$A182,T_SelfStock[WeekIndex],90),"")</f>
        <v/>
      </c>
      <c r="CQ195">
        <f>IFERROR(SUMIFS(T_SelfStock[Self_Qty],T_SelfStock[RM_Code],$A182,T_SelfStock[WeekIndex],91),"")</f>
        <v/>
      </c>
      <c r="CR195">
        <f>IFERROR(SUMIFS(T_SelfStock[Self_Qty],T_SelfStock[RM_Code],$A182,T_SelfStock[WeekIndex],92),"")</f>
        <v/>
      </c>
      <c r="CS195">
        <f>IFERROR(SUMIFS(T_SelfStock[Self_Qty],T_SelfStock[RM_Code],$A182,T_SelfStock[WeekIndex],93),"")</f>
        <v/>
      </c>
      <c r="CT195">
        <f>IFERROR(SUMIFS(T_SelfStock[Self_Qty],T_SelfStock[RM_Code],$A182,T_SelfStock[WeekIndex],94),"")</f>
        <v/>
      </c>
      <c r="CU195">
        <f>IFERROR(SUMIFS(T_SelfStock[Self_Qty],T_SelfStock[RM_Code],$A182,T_SelfStock[WeekIndex],95),"")</f>
        <v/>
      </c>
      <c r="CV195">
        <f>IFERROR(SUMIFS(T_SelfStock[Self_Qty],T_SelfStock[RM_Code],$A182,T_SelfStock[WeekIndex],96),"")</f>
        <v/>
      </c>
      <c r="CW195">
        <f>IFERROR(SUMIFS(T_SelfStock[Self_Qty],T_SelfStock[RM_Code],$A182,T_SelfStock[WeekIndex],97),"")</f>
        <v/>
      </c>
      <c r="CX195">
        <f>IFERROR(SUMIFS(T_SelfStock[Self_Qty],T_SelfStock[RM_Code],$A182,T_SelfStock[WeekIndex],98),"")</f>
        <v/>
      </c>
      <c r="CY195">
        <f>IFERROR(SUMIFS(T_SelfStock[Self_Qty],T_SelfStock[RM_Code],$A182,T_SelfStock[WeekIndex],99),"")</f>
        <v/>
      </c>
      <c r="CZ195">
        <f>IFERROR(SUMIFS(T_SelfStock[Self_Qty],T_SelfStock[RM_Code],$A182,T_SelfStock[WeekIndex],100),"")</f>
        <v/>
      </c>
      <c r="DA195">
        <f>IFERROR(SUMIFS(T_SelfStock[Self_Qty],T_SelfStock[RM_Code],$A182,T_SelfStock[WeekIndex],101),"")</f>
        <v/>
      </c>
      <c r="DB195">
        <f>IFERROR(SUMIFS(T_SelfStock[Self_Qty],T_SelfStock[RM_Code],$A182,T_SelfStock[WeekIndex],102),"")</f>
        <v/>
      </c>
      <c r="DC195">
        <f>IFERROR(SUMIFS(T_SelfStock[Self_Qty],T_SelfStock[RM_Code],$A182,T_SelfStock[WeekIndex],103),"")</f>
        <v/>
      </c>
      <c r="DD195">
        <f>IFERROR(SUMIFS(T_SelfStock[Self_Qty],T_SelfStock[RM_Code],$A182,T_SelfStock[WeekIndex],104),"")</f>
        <v/>
      </c>
    </row>
    <row r="196">
      <c r="B196" s="4" t="inlineStr">
        <is>
          <t>合計在庫(週末時点,kg)</t>
        </is>
      </c>
      <c r="D196" s="24">
        <f>IFERROR(INDEX(E196:DD196,$F$1),"")</f>
        <v/>
      </c>
      <c r="E196">
        <f>'Grid_Stock'!B44</f>
        <v/>
      </c>
      <c r="F196">
        <f>'Grid_Stock'!C44</f>
        <v/>
      </c>
      <c r="G196">
        <f>'Grid_Stock'!D44</f>
        <v/>
      </c>
      <c r="H196">
        <f>'Grid_Stock'!E44</f>
        <v/>
      </c>
      <c r="I196">
        <f>'Grid_Stock'!F44</f>
        <v/>
      </c>
      <c r="J196">
        <f>'Grid_Stock'!G44</f>
        <v/>
      </c>
      <c r="K196">
        <f>'Grid_Stock'!H44</f>
        <v/>
      </c>
      <c r="L196">
        <f>'Grid_Stock'!I44</f>
        <v/>
      </c>
      <c r="M196">
        <f>'Grid_Stock'!J44</f>
        <v/>
      </c>
      <c r="N196">
        <f>'Grid_Stock'!K44</f>
        <v/>
      </c>
      <c r="O196">
        <f>'Grid_Stock'!L44</f>
        <v/>
      </c>
      <c r="P196">
        <f>'Grid_Stock'!M44</f>
        <v/>
      </c>
      <c r="Q196">
        <f>'Grid_Stock'!N44</f>
        <v/>
      </c>
      <c r="R196">
        <f>'Grid_Stock'!O44</f>
        <v/>
      </c>
      <c r="S196">
        <f>'Grid_Stock'!P44</f>
        <v/>
      </c>
      <c r="T196">
        <f>'Grid_Stock'!Q44</f>
        <v/>
      </c>
      <c r="U196">
        <f>'Grid_Stock'!R44</f>
        <v/>
      </c>
      <c r="V196">
        <f>'Grid_Stock'!S44</f>
        <v/>
      </c>
      <c r="W196">
        <f>'Grid_Stock'!T44</f>
        <v/>
      </c>
      <c r="X196">
        <f>'Grid_Stock'!U44</f>
        <v/>
      </c>
      <c r="Y196">
        <f>'Grid_Stock'!V44</f>
        <v/>
      </c>
      <c r="Z196">
        <f>'Grid_Stock'!W44</f>
        <v/>
      </c>
      <c r="AA196">
        <f>'Grid_Stock'!X44</f>
        <v/>
      </c>
      <c r="AB196">
        <f>'Grid_Stock'!Y44</f>
        <v/>
      </c>
      <c r="AC196">
        <f>'Grid_Stock'!Z44</f>
        <v/>
      </c>
      <c r="AD196">
        <f>'Grid_Stock'!AA44</f>
        <v/>
      </c>
      <c r="AE196">
        <f>'Grid_Stock'!AB44</f>
        <v/>
      </c>
      <c r="AF196">
        <f>'Grid_Stock'!AC44</f>
        <v/>
      </c>
      <c r="AG196">
        <f>'Grid_Stock'!AD44</f>
        <v/>
      </c>
      <c r="AH196">
        <f>'Grid_Stock'!AE44</f>
        <v/>
      </c>
      <c r="AI196">
        <f>'Grid_Stock'!AF44</f>
        <v/>
      </c>
      <c r="AJ196">
        <f>'Grid_Stock'!AG44</f>
        <v/>
      </c>
      <c r="AK196">
        <f>'Grid_Stock'!AH44</f>
        <v/>
      </c>
      <c r="AL196">
        <f>'Grid_Stock'!AI44</f>
        <v/>
      </c>
      <c r="AM196">
        <f>'Grid_Stock'!AJ44</f>
        <v/>
      </c>
      <c r="AN196">
        <f>'Grid_Stock'!AK44</f>
        <v/>
      </c>
      <c r="AO196">
        <f>'Grid_Stock'!AL44</f>
        <v/>
      </c>
      <c r="AP196">
        <f>'Grid_Stock'!AM44</f>
        <v/>
      </c>
      <c r="AQ196">
        <f>'Grid_Stock'!AN44</f>
        <v/>
      </c>
      <c r="AR196">
        <f>'Grid_Stock'!AO44</f>
        <v/>
      </c>
      <c r="AS196">
        <f>'Grid_Stock'!AP44</f>
        <v/>
      </c>
      <c r="AT196">
        <f>'Grid_Stock'!AQ44</f>
        <v/>
      </c>
      <c r="AU196">
        <f>'Grid_Stock'!AR44</f>
        <v/>
      </c>
      <c r="AV196">
        <f>'Grid_Stock'!AS44</f>
        <v/>
      </c>
      <c r="AW196">
        <f>'Grid_Stock'!AT44</f>
        <v/>
      </c>
      <c r="AX196">
        <f>'Grid_Stock'!AU44</f>
        <v/>
      </c>
      <c r="AY196">
        <f>'Grid_Stock'!AV44</f>
        <v/>
      </c>
      <c r="AZ196">
        <f>'Grid_Stock'!AW44</f>
        <v/>
      </c>
      <c r="BA196">
        <f>'Grid_Stock'!AX44</f>
        <v/>
      </c>
      <c r="BB196">
        <f>'Grid_Stock'!AY44</f>
        <v/>
      </c>
      <c r="BC196">
        <f>'Grid_Stock'!AZ44</f>
        <v/>
      </c>
      <c r="BD196">
        <f>'Grid_Stock'!BA44</f>
        <v/>
      </c>
      <c r="BE196">
        <f>'Grid_Stock'!BB44</f>
        <v/>
      </c>
      <c r="BF196">
        <f>'Grid_Stock'!BC44</f>
        <v/>
      </c>
      <c r="BG196">
        <f>'Grid_Stock'!BD44</f>
        <v/>
      </c>
      <c r="BH196">
        <f>'Grid_Stock'!BE44</f>
        <v/>
      </c>
      <c r="BI196">
        <f>'Grid_Stock'!BF44</f>
        <v/>
      </c>
      <c r="BJ196">
        <f>'Grid_Stock'!BG44</f>
        <v/>
      </c>
      <c r="BK196">
        <f>'Grid_Stock'!BH44</f>
        <v/>
      </c>
      <c r="BL196">
        <f>'Grid_Stock'!BI44</f>
        <v/>
      </c>
      <c r="BM196">
        <f>'Grid_Stock'!BJ44</f>
        <v/>
      </c>
      <c r="BN196">
        <f>'Grid_Stock'!BK44</f>
        <v/>
      </c>
      <c r="BO196">
        <f>'Grid_Stock'!BL44</f>
        <v/>
      </c>
      <c r="BP196">
        <f>'Grid_Stock'!BM44</f>
        <v/>
      </c>
      <c r="BQ196">
        <f>'Grid_Stock'!BN44</f>
        <v/>
      </c>
      <c r="BR196">
        <f>'Grid_Stock'!BO44</f>
        <v/>
      </c>
      <c r="BS196">
        <f>'Grid_Stock'!BP44</f>
        <v/>
      </c>
      <c r="BT196">
        <f>'Grid_Stock'!BQ44</f>
        <v/>
      </c>
      <c r="BU196">
        <f>'Grid_Stock'!BR44</f>
        <v/>
      </c>
      <c r="BV196">
        <f>'Grid_Stock'!BS44</f>
        <v/>
      </c>
      <c r="BW196">
        <f>'Grid_Stock'!BT44</f>
        <v/>
      </c>
      <c r="BX196">
        <f>'Grid_Stock'!BU44</f>
        <v/>
      </c>
      <c r="BY196">
        <f>'Grid_Stock'!BV44</f>
        <v/>
      </c>
      <c r="BZ196">
        <f>'Grid_Stock'!BW44</f>
        <v/>
      </c>
      <c r="CA196">
        <f>'Grid_Stock'!BX44</f>
        <v/>
      </c>
      <c r="CB196">
        <f>'Grid_Stock'!BY44</f>
        <v/>
      </c>
      <c r="CC196">
        <f>'Grid_Stock'!BZ44</f>
        <v/>
      </c>
      <c r="CD196">
        <f>'Grid_Stock'!CA44</f>
        <v/>
      </c>
      <c r="CE196">
        <f>'Grid_Stock'!CB44</f>
        <v/>
      </c>
      <c r="CF196">
        <f>'Grid_Stock'!CC44</f>
        <v/>
      </c>
      <c r="CG196">
        <f>'Grid_Stock'!CD44</f>
        <v/>
      </c>
      <c r="CH196">
        <f>'Grid_Stock'!CE44</f>
        <v/>
      </c>
      <c r="CI196">
        <f>'Grid_Stock'!CF44</f>
        <v/>
      </c>
      <c r="CJ196">
        <f>'Grid_Stock'!CG44</f>
        <v/>
      </c>
      <c r="CK196">
        <f>'Grid_Stock'!CH44</f>
        <v/>
      </c>
      <c r="CL196">
        <f>'Grid_Stock'!CI44</f>
        <v/>
      </c>
      <c r="CM196">
        <f>'Grid_Stock'!CJ44</f>
        <v/>
      </c>
      <c r="CN196">
        <f>'Grid_Stock'!CK44</f>
        <v/>
      </c>
      <c r="CO196">
        <f>'Grid_Stock'!CL44</f>
        <v/>
      </c>
      <c r="CP196">
        <f>'Grid_Stock'!CM44</f>
        <v/>
      </c>
      <c r="CQ196">
        <f>'Grid_Stock'!CN44</f>
        <v/>
      </c>
      <c r="CR196">
        <f>'Grid_Stock'!CO44</f>
        <v/>
      </c>
      <c r="CS196">
        <f>'Grid_Stock'!CP44</f>
        <v/>
      </c>
      <c r="CT196">
        <f>'Grid_Stock'!CQ44</f>
        <v/>
      </c>
      <c r="CU196">
        <f>'Grid_Stock'!CR44</f>
        <v/>
      </c>
      <c r="CV196">
        <f>'Grid_Stock'!CS44</f>
        <v/>
      </c>
      <c r="CW196">
        <f>'Grid_Stock'!CT44</f>
        <v/>
      </c>
      <c r="CX196">
        <f>'Grid_Stock'!CU44</f>
        <v/>
      </c>
      <c r="CY196">
        <f>'Grid_Stock'!CV44</f>
        <v/>
      </c>
      <c r="CZ196">
        <f>'Grid_Stock'!CW44</f>
        <v/>
      </c>
      <c r="DA196">
        <f>'Grid_Stock'!CX44</f>
        <v/>
      </c>
      <c r="DB196">
        <f>'Grid_Stock'!CY44</f>
        <v/>
      </c>
      <c r="DC196">
        <f>'Grid_Stock'!CZ44</f>
        <v/>
      </c>
      <c r="DD196">
        <f>'Grid_Stock'!DA44</f>
        <v/>
      </c>
    </row>
    <row r="197">
      <c r="B197" s="25" t="inlineStr">
        <is>
          <t>（発注の目安はDashboardの基準在庫[下限/上限]と色分けを参照）</t>
        </is>
      </c>
    </row>
    <row r="199">
      <c r="A199" s="21" t="inlineStr">
        <is>
          <t>CHEM-1260</t>
        </is>
      </c>
      <c r="B199" s="21" t="inlineStr">
        <is>
          <t>Acetic Acid 90% (25L)</t>
        </is>
      </c>
      <c r="C199" s="22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21" t="n"/>
      <c r="AI199" s="21" t="n"/>
      <c r="AJ199" s="21" t="n"/>
      <c r="AK199" s="21" t="n"/>
      <c r="AL199" s="21" t="n"/>
      <c r="AM199" s="21" t="n"/>
      <c r="AN199" s="21" t="n"/>
      <c r="AO199" s="21" t="n"/>
      <c r="AP199" s="21" t="n"/>
      <c r="AQ199" s="21" t="n"/>
      <c r="AR199" s="21" t="n"/>
      <c r="AS199" s="21" t="n"/>
      <c r="AT199" s="21" t="n"/>
      <c r="AU199" s="21" t="n"/>
      <c r="AV199" s="21" t="n"/>
      <c r="AW199" s="21" t="n"/>
      <c r="AX199" s="21" t="n"/>
      <c r="AY199" s="21" t="n"/>
      <c r="AZ199" s="21" t="n"/>
      <c r="BA199" s="21" t="n"/>
      <c r="BB199" s="21" t="n"/>
      <c r="BC199" s="21" t="n"/>
      <c r="BD199" s="21" t="n"/>
      <c r="BE199" s="21" t="n"/>
      <c r="BF199" s="21" t="n"/>
      <c r="BG199" s="21" t="n"/>
      <c r="BH199" s="21" t="n"/>
      <c r="BI199" s="21" t="n"/>
      <c r="BJ199" s="21" t="n"/>
      <c r="BK199" s="21" t="n"/>
      <c r="BL199" s="21" t="n"/>
      <c r="BM199" s="21" t="n"/>
      <c r="BN199" s="21" t="n"/>
      <c r="BO199" s="21" t="n"/>
      <c r="BP199" s="21" t="n"/>
      <c r="BQ199" s="21" t="n"/>
      <c r="BR199" s="21" t="n"/>
      <c r="BS199" s="21" t="n"/>
      <c r="BT199" s="21" t="n"/>
      <c r="BU199" s="21" t="n"/>
      <c r="BV199" s="21" t="n"/>
      <c r="BW199" s="21" t="n"/>
      <c r="BX199" s="21" t="n"/>
      <c r="BY199" s="21" t="n"/>
      <c r="BZ199" s="21" t="n"/>
      <c r="CA199" s="21" t="n"/>
      <c r="CB199" s="21" t="n"/>
      <c r="CC199" s="21" t="n"/>
      <c r="CD199" s="21" t="n"/>
      <c r="CE199" s="21" t="n"/>
      <c r="CF199" s="21" t="n"/>
      <c r="CG199" s="21" t="n"/>
      <c r="CH199" s="21" t="n"/>
      <c r="CI199" s="21" t="n"/>
      <c r="CJ199" s="21" t="n"/>
      <c r="CK199" s="21" t="n"/>
      <c r="CL199" s="21" t="n"/>
      <c r="CM199" s="21" t="n"/>
      <c r="CN199" s="21" t="n"/>
      <c r="CO199" s="21" t="n"/>
      <c r="CP199" s="21" t="n"/>
      <c r="CQ199" s="21" t="n"/>
      <c r="CR199" s="21" t="n"/>
      <c r="CS199" s="21" t="n"/>
      <c r="CT199" s="21" t="n"/>
      <c r="CU199" s="21" t="n"/>
      <c r="CV199" s="21" t="n"/>
      <c r="CW199" s="21" t="n"/>
      <c r="CX199" s="21" t="n"/>
      <c r="CY199" s="21" t="n"/>
      <c r="CZ199" s="21" t="n"/>
      <c r="DA199" s="21" t="n"/>
      <c r="DB199" s="21" t="n"/>
      <c r="DC199" s="21" t="n"/>
      <c r="DD199" s="21" t="n"/>
    </row>
    <row r="200">
      <c r="B200" t="inlineStr">
        <is>
          <t>TSP-049</t>
        </is>
      </c>
      <c r="C200" t="inlineStr">
        <is>
          <t>No. of batches</t>
        </is>
      </c>
      <c r="D200">
        <f>IFERROR(INDEX(E200:DD200,$F$1),"")</f>
        <v/>
      </c>
      <c r="E200">
        <f>IFERROR(INDEX(PP_Grid[#Data],$DE200,2),0)</f>
        <v/>
      </c>
      <c r="F200">
        <f>IFERROR(INDEX(PP_Grid[#Data],$DE200,3),0)</f>
        <v/>
      </c>
      <c r="G200">
        <f>IFERROR(INDEX(PP_Grid[#Data],$DE200,4),0)</f>
        <v/>
      </c>
      <c r="H200">
        <f>IFERROR(INDEX(PP_Grid[#Data],$DE200,5),0)</f>
        <v/>
      </c>
      <c r="I200">
        <f>IFERROR(INDEX(PP_Grid[#Data],$DE200,6),0)</f>
        <v/>
      </c>
      <c r="J200">
        <f>IFERROR(INDEX(PP_Grid[#Data],$DE200,7),0)</f>
        <v/>
      </c>
      <c r="K200">
        <f>IFERROR(INDEX(PP_Grid[#Data],$DE200,8),0)</f>
        <v/>
      </c>
      <c r="L200">
        <f>IFERROR(INDEX(PP_Grid[#Data],$DE200,9),0)</f>
        <v/>
      </c>
      <c r="M200">
        <f>IFERROR(INDEX(PP_Grid[#Data],$DE200,10),0)</f>
        <v/>
      </c>
      <c r="N200">
        <f>IFERROR(INDEX(PP_Grid[#Data],$DE200,11),0)</f>
        <v/>
      </c>
      <c r="O200">
        <f>IFERROR(INDEX(PP_Grid[#Data],$DE200,12),0)</f>
        <v/>
      </c>
      <c r="P200">
        <f>IFERROR(INDEX(PP_Grid[#Data],$DE200,13),0)</f>
        <v/>
      </c>
      <c r="Q200">
        <f>IFERROR(INDEX(PP_Grid[#Data],$DE200,14),0)</f>
        <v/>
      </c>
      <c r="R200">
        <f>IFERROR(INDEX(PP_Grid[#Data],$DE200,15),0)</f>
        <v/>
      </c>
      <c r="S200">
        <f>IFERROR(INDEX(PP_Grid[#Data],$DE200,16),0)</f>
        <v/>
      </c>
      <c r="T200">
        <f>IFERROR(INDEX(PP_Grid[#Data],$DE200,17),0)</f>
        <v/>
      </c>
      <c r="U200">
        <f>IFERROR(INDEX(PP_Grid[#Data],$DE200,18),0)</f>
        <v/>
      </c>
      <c r="V200">
        <f>IFERROR(INDEX(PP_Grid[#Data],$DE200,19),0)</f>
        <v/>
      </c>
      <c r="W200">
        <f>IFERROR(INDEX(PP_Grid[#Data],$DE200,20),0)</f>
        <v/>
      </c>
      <c r="X200">
        <f>IFERROR(INDEX(PP_Grid[#Data],$DE200,21),0)</f>
        <v/>
      </c>
      <c r="Y200">
        <f>IFERROR(INDEX(PP_Grid[#Data],$DE200,22),0)</f>
        <v/>
      </c>
      <c r="Z200">
        <f>IFERROR(INDEX(PP_Grid[#Data],$DE200,23),0)</f>
        <v/>
      </c>
      <c r="AA200">
        <f>IFERROR(INDEX(PP_Grid[#Data],$DE200,24),0)</f>
        <v/>
      </c>
      <c r="AB200">
        <f>IFERROR(INDEX(PP_Grid[#Data],$DE200,25),0)</f>
        <v/>
      </c>
      <c r="AC200">
        <f>IFERROR(INDEX(PP_Grid[#Data],$DE200,26),0)</f>
        <v/>
      </c>
      <c r="AD200">
        <f>IFERROR(INDEX(PP_Grid[#Data],$DE200,27),0)</f>
        <v/>
      </c>
      <c r="AE200">
        <f>IFERROR(INDEX(PP_Grid[#Data],$DE200,28),0)</f>
        <v/>
      </c>
      <c r="AF200">
        <f>IFERROR(INDEX(PP_Grid[#Data],$DE200,29),0)</f>
        <v/>
      </c>
      <c r="AG200">
        <f>IFERROR(INDEX(PP_Grid[#Data],$DE200,30),0)</f>
        <v/>
      </c>
      <c r="AH200">
        <f>IFERROR(INDEX(PP_Grid[#Data],$DE200,31),0)</f>
        <v/>
      </c>
      <c r="AI200">
        <f>IFERROR(INDEX(PP_Grid[#Data],$DE200,32),0)</f>
        <v/>
      </c>
      <c r="AJ200">
        <f>IFERROR(INDEX(PP_Grid[#Data],$DE200,33),0)</f>
        <v/>
      </c>
      <c r="AK200">
        <f>IFERROR(INDEX(PP_Grid[#Data],$DE200,34),0)</f>
        <v/>
      </c>
      <c r="AL200">
        <f>IFERROR(INDEX(PP_Grid[#Data],$DE200,35),0)</f>
        <v/>
      </c>
      <c r="AM200">
        <f>IFERROR(INDEX(PP_Grid[#Data],$DE200,36),0)</f>
        <v/>
      </c>
      <c r="AN200">
        <f>IFERROR(INDEX(PP_Grid[#Data],$DE200,37),0)</f>
        <v/>
      </c>
      <c r="AO200">
        <f>IFERROR(INDEX(PP_Grid[#Data],$DE200,38),0)</f>
        <v/>
      </c>
      <c r="AP200">
        <f>IFERROR(INDEX(PP_Grid[#Data],$DE200,39),0)</f>
        <v/>
      </c>
      <c r="AQ200">
        <f>IFERROR(INDEX(PP_Grid[#Data],$DE200,40),0)</f>
        <v/>
      </c>
      <c r="AR200">
        <f>IFERROR(INDEX(PP_Grid[#Data],$DE200,41),0)</f>
        <v/>
      </c>
      <c r="AS200">
        <f>IFERROR(INDEX(PP_Grid[#Data],$DE200,42),0)</f>
        <v/>
      </c>
      <c r="AT200">
        <f>IFERROR(INDEX(PP_Grid[#Data],$DE200,43),0)</f>
        <v/>
      </c>
      <c r="AU200">
        <f>IFERROR(INDEX(PP_Grid[#Data],$DE200,44),0)</f>
        <v/>
      </c>
      <c r="AV200">
        <f>IFERROR(INDEX(PP_Grid[#Data],$DE200,45),0)</f>
        <v/>
      </c>
      <c r="AW200">
        <f>IFERROR(INDEX(PP_Grid[#Data],$DE200,46),0)</f>
        <v/>
      </c>
      <c r="AX200">
        <f>IFERROR(INDEX(PP_Grid[#Data],$DE200,47),0)</f>
        <v/>
      </c>
      <c r="AY200">
        <f>IFERROR(INDEX(PP_Grid[#Data],$DE200,48),0)</f>
        <v/>
      </c>
      <c r="AZ200">
        <f>IFERROR(INDEX(PP_Grid[#Data],$DE200,49),0)</f>
        <v/>
      </c>
      <c r="BA200">
        <f>IFERROR(INDEX(PP_Grid[#Data],$DE200,50),0)</f>
        <v/>
      </c>
      <c r="BB200">
        <f>IFERROR(INDEX(PP_Grid[#Data],$DE200,51),0)</f>
        <v/>
      </c>
      <c r="BC200">
        <f>IFERROR(INDEX(PP_Grid[#Data],$DE200,52),0)</f>
        <v/>
      </c>
      <c r="BD200">
        <f>IFERROR(INDEX(PP_Grid[#Data],$DE200,53),0)</f>
        <v/>
      </c>
      <c r="BE200">
        <f>IFERROR(INDEX(PP_Grid[#Data],$DE200,54),0)</f>
        <v/>
      </c>
      <c r="BF200">
        <f>IFERROR(INDEX(PP_Grid[#Data],$DE200,55),0)</f>
        <v/>
      </c>
      <c r="BG200">
        <f>IFERROR(INDEX(PP_Grid[#Data],$DE200,56),0)</f>
        <v/>
      </c>
      <c r="BH200">
        <f>IFERROR(INDEX(PP_Grid[#Data],$DE200,57),0)</f>
        <v/>
      </c>
      <c r="BI200">
        <f>IFERROR(INDEX(PP_Grid[#Data],$DE200,58),0)</f>
        <v/>
      </c>
      <c r="BJ200">
        <f>IFERROR(INDEX(PP_Grid[#Data],$DE200,59),0)</f>
        <v/>
      </c>
      <c r="BK200">
        <f>IFERROR(INDEX(PP_Grid[#Data],$DE200,60),0)</f>
        <v/>
      </c>
      <c r="BL200">
        <f>IFERROR(INDEX(PP_Grid[#Data],$DE200,61),0)</f>
        <v/>
      </c>
      <c r="BM200">
        <f>IFERROR(INDEX(PP_Grid[#Data],$DE200,62),0)</f>
        <v/>
      </c>
      <c r="BN200">
        <f>IFERROR(INDEX(PP_Grid[#Data],$DE200,63),0)</f>
        <v/>
      </c>
      <c r="BO200">
        <f>IFERROR(INDEX(PP_Grid[#Data],$DE200,64),0)</f>
        <v/>
      </c>
      <c r="BP200">
        <f>IFERROR(INDEX(PP_Grid[#Data],$DE200,65),0)</f>
        <v/>
      </c>
      <c r="BQ200">
        <f>IFERROR(INDEX(PP_Grid[#Data],$DE200,66),0)</f>
        <v/>
      </c>
      <c r="BR200">
        <f>IFERROR(INDEX(PP_Grid[#Data],$DE200,67),0)</f>
        <v/>
      </c>
      <c r="BS200">
        <f>IFERROR(INDEX(PP_Grid[#Data],$DE200,68),0)</f>
        <v/>
      </c>
      <c r="BT200">
        <f>IFERROR(INDEX(PP_Grid[#Data],$DE200,69),0)</f>
        <v/>
      </c>
      <c r="BU200">
        <f>IFERROR(INDEX(PP_Grid[#Data],$DE200,70),0)</f>
        <v/>
      </c>
      <c r="BV200">
        <f>IFERROR(INDEX(PP_Grid[#Data],$DE200,71),0)</f>
        <v/>
      </c>
      <c r="BW200">
        <f>IFERROR(INDEX(PP_Grid[#Data],$DE200,72),0)</f>
        <v/>
      </c>
      <c r="BX200">
        <f>IFERROR(INDEX(PP_Grid[#Data],$DE200,73),0)</f>
        <v/>
      </c>
      <c r="BY200">
        <f>IFERROR(INDEX(PP_Grid[#Data],$DE200,74),0)</f>
        <v/>
      </c>
      <c r="BZ200">
        <f>IFERROR(INDEX(PP_Grid[#Data],$DE200,75),0)</f>
        <v/>
      </c>
      <c r="CA200">
        <f>IFERROR(INDEX(PP_Grid[#Data],$DE200,76),0)</f>
        <v/>
      </c>
      <c r="CB200">
        <f>IFERROR(INDEX(PP_Grid[#Data],$DE200,77),0)</f>
        <v/>
      </c>
      <c r="CC200">
        <f>IFERROR(INDEX(PP_Grid[#Data],$DE200,78),0)</f>
        <v/>
      </c>
      <c r="CD200">
        <f>IFERROR(INDEX(PP_Grid[#Data],$DE200,79),0)</f>
        <v/>
      </c>
      <c r="CE200">
        <f>IFERROR(INDEX(PP_Grid[#Data],$DE200,80),0)</f>
        <v/>
      </c>
      <c r="CF200">
        <f>IFERROR(INDEX(PP_Grid[#Data],$DE200,81),0)</f>
        <v/>
      </c>
      <c r="CG200">
        <f>IFERROR(INDEX(PP_Grid[#Data],$DE200,82),0)</f>
        <v/>
      </c>
      <c r="CH200">
        <f>IFERROR(INDEX(PP_Grid[#Data],$DE200,83),0)</f>
        <v/>
      </c>
      <c r="CI200">
        <f>IFERROR(INDEX(PP_Grid[#Data],$DE200,84),0)</f>
        <v/>
      </c>
      <c r="CJ200">
        <f>IFERROR(INDEX(PP_Grid[#Data],$DE200,85),0)</f>
        <v/>
      </c>
      <c r="CK200">
        <f>IFERROR(INDEX(PP_Grid[#Data],$DE200,86),0)</f>
        <v/>
      </c>
      <c r="CL200">
        <f>IFERROR(INDEX(PP_Grid[#Data],$DE200,87),0)</f>
        <v/>
      </c>
      <c r="CM200">
        <f>IFERROR(INDEX(PP_Grid[#Data],$DE200,88),0)</f>
        <v/>
      </c>
      <c r="CN200">
        <f>IFERROR(INDEX(PP_Grid[#Data],$DE200,89),0)</f>
        <v/>
      </c>
      <c r="CO200">
        <f>IFERROR(INDEX(PP_Grid[#Data],$DE200,90),0)</f>
        <v/>
      </c>
      <c r="CP200">
        <f>IFERROR(INDEX(PP_Grid[#Data],$DE200,91),0)</f>
        <v/>
      </c>
      <c r="CQ200">
        <f>IFERROR(INDEX(PP_Grid[#Data],$DE200,92),0)</f>
        <v/>
      </c>
      <c r="CR200">
        <f>IFERROR(INDEX(PP_Grid[#Data],$DE200,93),0)</f>
        <v/>
      </c>
      <c r="CS200">
        <f>IFERROR(INDEX(PP_Grid[#Data],$DE200,94),0)</f>
        <v/>
      </c>
      <c r="CT200">
        <f>IFERROR(INDEX(PP_Grid[#Data],$DE200,95),0)</f>
        <v/>
      </c>
      <c r="CU200">
        <f>IFERROR(INDEX(PP_Grid[#Data],$DE200,96),0)</f>
        <v/>
      </c>
      <c r="CV200">
        <f>IFERROR(INDEX(PP_Grid[#Data],$DE200,97),0)</f>
        <v/>
      </c>
      <c r="CW200">
        <f>IFERROR(INDEX(PP_Grid[#Data],$DE200,98),0)</f>
        <v/>
      </c>
      <c r="CX200">
        <f>IFERROR(INDEX(PP_Grid[#Data],$DE200,99),0)</f>
        <v/>
      </c>
      <c r="CY200">
        <f>IFERROR(INDEX(PP_Grid[#Data],$DE200,100),0)</f>
        <v/>
      </c>
      <c r="CZ200">
        <f>IFERROR(INDEX(PP_Grid[#Data],$DE200,101),0)</f>
        <v/>
      </c>
      <c r="DA200">
        <f>IFERROR(INDEX(PP_Grid[#Data],$DE200,102),0)</f>
        <v/>
      </c>
      <c r="DB200">
        <f>IFERROR(INDEX(PP_Grid[#Data],$DE200,103),0)</f>
        <v/>
      </c>
      <c r="DC200">
        <f>IFERROR(INDEX(PP_Grid[#Data],$DE200,104),0)</f>
        <v/>
      </c>
      <c r="DD200">
        <f>IFERROR(INDEX(PP_Grid[#Data],$DE200,105),0)</f>
        <v/>
      </c>
      <c r="DE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SUMIFS(M_BOM[RM_Qty_Per_Batch],M_BOM[Intermediate],$B200,M_BOM[RM_Code],$A199)</f>
        <v/>
      </c>
      <c r="D201">
        <f>IFERROR(INDEX(E201:DD201,$F$1),"")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  <c r="DD201">
        <f>$C201*DD200</f>
        <v/>
      </c>
    </row>
    <row r="202">
      <c r="B202" t="inlineStr">
        <is>
          <t>TSP-067</t>
        </is>
      </c>
      <c r="C202" t="inlineStr">
        <is>
          <t>No. of batches</t>
        </is>
      </c>
      <c r="D202">
        <f>IFERROR(INDEX(E202:DD202,$F$1),"")</f>
        <v/>
      </c>
      <c r="E202">
        <f>IFERROR(INDEX(PP_Grid[#Data],$DE202,2),0)</f>
        <v/>
      </c>
      <c r="F202">
        <f>IFERROR(INDEX(PP_Grid[#Data],$DE202,3),0)</f>
        <v/>
      </c>
      <c r="G202">
        <f>IFERROR(INDEX(PP_Grid[#Data],$DE202,4),0)</f>
        <v/>
      </c>
      <c r="H202">
        <f>IFERROR(INDEX(PP_Grid[#Data],$DE202,5),0)</f>
        <v/>
      </c>
      <c r="I202">
        <f>IFERROR(INDEX(PP_Grid[#Data],$DE202,6),0)</f>
        <v/>
      </c>
      <c r="J202">
        <f>IFERROR(INDEX(PP_Grid[#Data],$DE202,7),0)</f>
        <v/>
      </c>
      <c r="K202">
        <f>IFERROR(INDEX(PP_Grid[#Data],$DE202,8),0)</f>
        <v/>
      </c>
      <c r="L202">
        <f>IFERROR(INDEX(PP_Grid[#Data],$DE202,9),0)</f>
        <v/>
      </c>
      <c r="M202">
        <f>IFERROR(INDEX(PP_Grid[#Data],$DE202,10),0)</f>
        <v/>
      </c>
      <c r="N202">
        <f>IFERROR(INDEX(PP_Grid[#Data],$DE202,11),0)</f>
        <v/>
      </c>
      <c r="O202">
        <f>IFERROR(INDEX(PP_Grid[#Data],$DE202,12),0)</f>
        <v/>
      </c>
      <c r="P202">
        <f>IFERROR(INDEX(PP_Grid[#Data],$DE202,13),0)</f>
        <v/>
      </c>
      <c r="Q202">
        <f>IFERROR(INDEX(PP_Grid[#Data],$DE202,14),0)</f>
        <v/>
      </c>
      <c r="R202">
        <f>IFERROR(INDEX(PP_Grid[#Data],$DE202,15),0)</f>
        <v/>
      </c>
      <c r="S202">
        <f>IFERROR(INDEX(PP_Grid[#Data],$DE202,16),0)</f>
        <v/>
      </c>
      <c r="T202">
        <f>IFERROR(INDEX(PP_Grid[#Data],$DE202,17),0)</f>
        <v/>
      </c>
      <c r="U202">
        <f>IFERROR(INDEX(PP_Grid[#Data],$DE202,18),0)</f>
        <v/>
      </c>
      <c r="V202">
        <f>IFERROR(INDEX(PP_Grid[#Data],$DE202,19),0)</f>
        <v/>
      </c>
      <c r="W202">
        <f>IFERROR(INDEX(PP_Grid[#Data],$DE202,20),0)</f>
        <v/>
      </c>
      <c r="X202">
        <f>IFERROR(INDEX(PP_Grid[#Data],$DE202,21),0)</f>
        <v/>
      </c>
      <c r="Y202">
        <f>IFERROR(INDEX(PP_Grid[#Data],$DE202,22),0)</f>
        <v/>
      </c>
      <c r="Z202">
        <f>IFERROR(INDEX(PP_Grid[#Data],$DE202,23),0)</f>
        <v/>
      </c>
      <c r="AA202">
        <f>IFERROR(INDEX(PP_Grid[#Data],$DE202,24),0)</f>
        <v/>
      </c>
      <c r="AB202">
        <f>IFERROR(INDEX(PP_Grid[#Data],$DE202,25),0)</f>
        <v/>
      </c>
      <c r="AC202">
        <f>IFERROR(INDEX(PP_Grid[#Data],$DE202,26),0)</f>
        <v/>
      </c>
      <c r="AD202">
        <f>IFERROR(INDEX(PP_Grid[#Data],$DE202,27),0)</f>
        <v/>
      </c>
      <c r="AE202">
        <f>IFERROR(INDEX(PP_Grid[#Data],$DE202,28),0)</f>
        <v/>
      </c>
      <c r="AF202">
        <f>IFERROR(INDEX(PP_Grid[#Data],$DE202,29),0)</f>
        <v/>
      </c>
      <c r="AG202">
        <f>IFERROR(INDEX(PP_Grid[#Data],$DE202,30),0)</f>
        <v/>
      </c>
      <c r="AH202">
        <f>IFERROR(INDEX(PP_Grid[#Data],$DE202,31),0)</f>
        <v/>
      </c>
      <c r="AI202">
        <f>IFERROR(INDEX(PP_Grid[#Data],$DE202,32),0)</f>
        <v/>
      </c>
      <c r="AJ202">
        <f>IFERROR(INDEX(PP_Grid[#Data],$DE202,33),0)</f>
        <v/>
      </c>
      <c r="AK202">
        <f>IFERROR(INDEX(PP_Grid[#Data],$DE202,34),0)</f>
        <v/>
      </c>
      <c r="AL202">
        <f>IFERROR(INDEX(PP_Grid[#Data],$DE202,35),0)</f>
        <v/>
      </c>
      <c r="AM202">
        <f>IFERROR(INDEX(PP_Grid[#Data],$DE202,36),0)</f>
        <v/>
      </c>
      <c r="AN202">
        <f>IFERROR(INDEX(PP_Grid[#Data],$DE202,37),0)</f>
        <v/>
      </c>
      <c r="AO202">
        <f>IFERROR(INDEX(PP_Grid[#Data],$DE202,38),0)</f>
        <v/>
      </c>
      <c r="AP202">
        <f>IFERROR(INDEX(PP_Grid[#Data],$DE202,39),0)</f>
        <v/>
      </c>
      <c r="AQ202">
        <f>IFERROR(INDEX(PP_Grid[#Data],$DE202,40),0)</f>
        <v/>
      </c>
      <c r="AR202">
        <f>IFERROR(INDEX(PP_Grid[#Data],$DE202,41),0)</f>
        <v/>
      </c>
      <c r="AS202">
        <f>IFERROR(INDEX(PP_Grid[#Data],$DE202,42),0)</f>
        <v/>
      </c>
      <c r="AT202">
        <f>IFERROR(INDEX(PP_Grid[#Data],$DE202,43),0)</f>
        <v/>
      </c>
      <c r="AU202">
        <f>IFERROR(INDEX(PP_Grid[#Data],$DE202,44),0)</f>
        <v/>
      </c>
      <c r="AV202">
        <f>IFERROR(INDEX(PP_Grid[#Data],$DE202,45),0)</f>
        <v/>
      </c>
      <c r="AW202">
        <f>IFERROR(INDEX(PP_Grid[#Data],$DE202,46),0)</f>
        <v/>
      </c>
      <c r="AX202">
        <f>IFERROR(INDEX(PP_Grid[#Data],$DE202,47),0)</f>
        <v/>
      </c>
      <c r="AY202">
        <f>IFERROR(INDEX(PP_Grid[#Data],$DE202,48),0)</f>
        <v/>
      </c>
      <c r="AZ202">
        <f>IFERROR(INDEX(PP_Grid[#Data],$DE202,49),0)</f>
        <v/>
      </c>
      <c r="BA202">
        <f>IFERROR(INDEX(PP_Grid[#Data],$DE202,50),0)</f>
        <v/>
      </c>
      <c r="BB202">
        <f>IFERROR(INDEX(PP_Grid[#Data],$DE202,51),0)</f>
        <v/>
      </c>
      <c r="BC202">
        <f>IFERROR(INDEX(PP_Grid[#Data],$DE202,52),0)</f>
        <v/>
      </c>
      <c r="BD202">
        <f>IFERROR(INDEX(PP_Grid[#Data],$DE202,53),0)</f>
        <v/>
      </c>
      <c r="BE202">
        <f>IFERROR(INDEX(PP_Grid[#Data],$DE202,54),0)</f>
        <v/>
      </c>
      <c r="BF202">
        <f>IFERROR(INDEX(PP_Grid[#Data],$DE202,55),0)</f>
        <v/>
      </c>
      <c r="BG202">
        <f>IFERROR(INDEX(PP_Grid[#Data],$DE202,56),0)</f>
        <v/>
      </c>
      <c r="BH202">
        <f>IFERROR(INDEX(PP_Grid[#Data],$DE202,57),0)</f>
        <v/>
      </c>
      <c r="BI202">
        <f>IFERROR(INDEX(PP_Grid[#Data],$DE202,58),0)</f>
        <v/>
      </c>
      <c r="BJ202">
        <f>IFERROR(INDEX(PP_Grid[#Data],$DE202,59),0)</f>
        <v/>
      </c>
      <c r="BK202">
        <f>IFERROR(INDEX(PP_Grid[#Data],$DE202,60),0)</f>
        <v/>
      </c>
      <c r="BL202">
        <f>IFERROR(INDEX(PP_Grid[#Data],$DE202,61),0)</f>
        <v/>
      </c>
      <c r="BM202">
        <f>IFERROR(INDEX(PP_Grid[#Data],$DE202,62),0)</f>
        <v/>
      </c>
      <c r="BN202">
        <f>IFERROR(INDEX(PP_Grid[#Data],$DE202,63),0)</f>
        <v/>
      </c>
      <c r="BO202">
        <f>IFERROR(INDEX(PP_Grid[#Data],$DE202,64),0)</f>
        <v/>
      </c>
      <c r="BP202">
        <f>IFERROR(INDEX(PP_Grid[#Data],$DE202,65),0)</f>
        <v/>
      </c>
      <c r="BQ202">
        <f>IFERROR(INDEX(PP_Grid[#Data],$DE202,66),0)</f>
        <v/>
      </c>
      <c r="BR202">
        <f>IFERROR(INDEX(PP_Grid[#Data],$DE202,67),0)</f>
        <v/>
      </c>
      <c r="BS202">
        <f>IFERROR(INDEX(PP_Grid[#Data],$DE202,68),0)</f>
        <v/>
      </c>
      <c r="BT202">
        <f>IFERROR(INDEX(PP_Grid[#Data],$DE202,69),0)</f>
        <v/>
      </c>
      <c r="BU202">
        <f>IFERROR(INDEX(PP_Grid[#Data],$DE202,70),0)</f>
        <v/>
      </c>
      <c r="BV202">
        <f>IFERROR(INDEX(PP_Grid[#Data],$DE202,71),0)</f>
        <v/>
      </c>
      <c r="BW202">
        <f>IFERROR(INDEX(PP_Grid[#Data],$DE202,72),0)</f>
        <v/>
      </c>
      <c r="BX202">
        <f>IFERROR(INDEX(PP_Grid[#Data],$DE202,73),0)</f>
        <v/>
      </c>
      <c r="BY202">
        <f>IFERROR(INDEX(PP_Grid[#Data],$DE202,74),0)</f>
        <v/>
      </c>
      <c r="BZ202">
        <f>IFERROR(INDEX(PP_Grid[#Data],$DE202,75),0)</f>
        <v/>
      </c>
      <c r="CA202">
        <f>IFERROR(INDEX(PP_Grid[#Data],$DE202,76),0)</f>
        <v/>
      </c>
      <c r="CB202">
        <f>IFERROR(INDEX(PP_Grid[#Data],$DE202,77),0)</f>
        <v/>
      </c>
      <c r="CC202">
        <f>IFERROR(INDEX(PP_Grid[#Data],$DE202,78),0)</f>
        <v/>
      </c>
      <c r="CD202">
        <f>IFERROR(INDEX(PP_Grid[#Data],$DE202,79),0)</f>
        <v/>
      </c>
      <c r="CE202">
        <f>IFERROR(INDEX(PP_Grid[#Data],$DE202,80),0)</f>
        <v/>
      </c>
      <c r="CF202">
        <f>IFERROR(INDEX(PP_Grid[#Data],$DE202,81),0)</f>
        <v/>
      </c>
      <c r="CG202">
        <f>IFERROR(INDEX(PP_Grid[#Data],$DE202,82),0)</f>
        <v/>
      </c>
      <c r="CH202">
        <f>IFERROR(INDEX(PP_Grid[#Data],$DE202,83),0)</f>
        <v/>
      </c>
      <c r="CI202">
        <f>IFERROR(INDEX(PP_Grid[#Data],$DE202,84),0)</f>
        <v/>
      </c>
      <c r="CJ202">
        <f>IFERROR(INDEX(PP_Grid[#Data],$DE202,85),0)</f>
        <v/>
      </c>
      <c r="CK202">
        <f>IFERROR(INDEX(PP_Grid[#Data],$DE202,86),0)</f>
        <v/>
      </c>
      <c r="CL202">
        <f>IFERROR(INDEX(PP_Grid[#Data],$DE202,87),0)</f>
        <v/>
      </c>
      <c r="CM202">
        <f>IFERROR(INDEX(PP_Grid[#Data],$DE202,88),0)</f>
        <v/>
      </c>
      <c r="CN202">
        <f>IFERROR(INDEX(PP_Grid[#Data],$DE202,89),0)</f>
        <v/>
      </c>
      <c r="CO202">
        <f>IFERROR(INDEX(PP_Grid[#Data],$DE202,90),0)</f>
        <v/>
      </c>
      <c r="CP202">
        <f>IFERROR(INDEX(PP_Grid[#Data],$DE202,91),0)</f>
        <v/>
      </c>
      <c r="CQ202">
        <f>IFERROR(INDEX(PP_Grid[#Data],$DE202,92),0)</f>
        <v/>
      </c>
      <c r="CR202">
        <f>IFERROR(INDEX(PP_Grid[#Data],$DE202,93),0)</f>
        <v/>
      </c>
      <c r="CS202">
        <f>IFERROR(INDEX(PP_Grid[#Data],$DE202,94),0)</f>
        <v/>
      </c>
      <c r="CT202">
        <f>IFERROR(INDEX(PP_Grid[#Data],$DE202,95),0)</f>
        <v/>
      </c>
      <c r="CU202">
        <f>IFERROR(INDEX(PP_Grid[#Data],$DE202,96),0)</f>
        <v/>
      </c>
      <c r="CV202">
        <f>IFERROR(INDEX(PP_Grid[#Data],$DE202,97),0)</f>
        <v/>
      </c>
      <c r="CW202">
        <f>IFERROR(INDEX(PP_Grid[#Data],$DE202,98),0)</f>
        <v/>
      </c>
      <c r="CX202">
        <f>IFERROR(INDEX(PP_Grid[#Data],$DE202,99),0)</f>
        <v/>
      </c>
      <c r="CY202">
        <f>IFERROR(INDEX(PP_Grid[#Data],$DE202,100),0)</f>
        <v/>
      </c>
      <c r="CZ202">
        <f>IFERROR(INDEX(PP_Grid[#Data],$DE202,101),0)</f>
        <v/>
      </c>
      <c r="DA202">
        <f>IFERROR(INDEX(PP_Grid[#Data],$DE202,102),0)</f>
        <v/>
      </c>
      <c r="DB202">
        <f>IFERROR(INDEX(PP_Grid[#Data],$DE202,103),0)</f>
        <v/>
      </c>
      <c r="DC202">
        <f>IFERROR(INDEX(PP_Grid[#Data],$DE202,104),0)</f>
        <v/>
      </c>
      <c r="DD202">
        <f>IFERROR(INDEX(PP_Grid[#Data],$DE202,105),0)</f>
        <v/>
      </c>
      <c r="DE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SUMIFS(M_BOM[RM_Qty_Per_Batch],M_BOM[Intermediate],$B202,M_BOM[RM_Code],$A199)</f>
        <v/>
      </c>
      <c r="D203">
        <f>IFERROR(INDEX(E203:DD203,$F$1),"")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  <c r="DD203">
        <f>$C203*DD202</f>
        <v/>
      </c>
    </row>
    <row r="204">
      <c r="B204" t="inlineStr">
        <is>
          <t>TSP-069</t>
        </is>
      </c>
      <c r="C204" t="inlineStr">
        <is>
          <t>No. of batches</t>
        </is>
      </c>
      <c r="D204">
        <f>IFERROR(INDEX(E204:DD204,$F$1),"")</f>
        <v/>
      </c>
      <c r="E204">
        <f>IFERROR(INDEX(PP_Grid[#Data],$DE204,2),0)</f>
        <v/>
      </c>
      <c r="F204">
        <f>IFERROR(INDEX(PP_Grid[#Data],$DE204,3),0)</f>
        <v/>
      </c>
      <c r="G204">
        <f>IFERROR(INDEX(PP_Grid[#Data],$DE204,4),0)</f>
        <v/>
      </c>
      <c r="H204">
        <f>IFERROR(INDEX(PP_Grid[#Data],$DE204,5),0)</f>
        <v/>
      </c>
      <c r="I204">
        <f>IFERROR(INDEX(PP_Grid[#Data],$DE204,6),0)</f>
        <v/>
      </c>
      <c r="J204">
        <f>IFERROR(INDEX(PP_Grid[#Data],$DE204,7),0)</f>
        <v/>
      </c>
      <c r="K204">
        <f>IFERROR(INDEX(PP_Grid[#Data],$DE204,8),0)</f>
        <v/>
      </c>
      <c r="L204">
        <f>IFERROR(INDEX(PP_Grid[#Data],$DE204,9),0)</f>
        <v/>
      </c>
      <c r="M204">
        <f>IFERROR(INDEX(PP_Grid[#Data],$DE204,10),0)</f>
        <v/>
      </c>
      <c r="N204">
        <f>IFERROR(INDEX(PP_Grid[#Data],$DE204,11),0)</f>
        <v/>
      </c>
      <c r="O204">
        <f>IFERROR(INDEX(PP_Grid[#Data],$DE204,12),0)</f>
        <v/>
      </c>
      <c r="P204">
        <f>IFERROR(INDEX(PP_Grid[#Data],$DE204,13),0)</f>
        <v/>
      </c>
      <c r="Q204">
        <f>IFERROR(INDEX(PP_Grid[#Data],$DE204,14),0)</f>
        <v/>
      </c>
      <c r="R204">
        <f>IFERROR(INDEX(PP_Grid[#Data],$DE204,15),0)</f>
        <v/>
      </c>
      <c r="S204">
        <f>IFERROR(INDEX(PP_Grid[#Data],$DE204,16),0)</f>
        <v/>
      </c>
      <c r="T204">
        <f>IFERROR(INDEX(PP_Grid[#Data],$DE204,17),0)</f>
        <v/>
      </c>
      <c r="U204">
        <f>IFERROR(INDEX(PP_Grid[#Data],$DE204,18),0)</f>
        <v/>
      </c>
      <c r="V204">
        <f>IFERROR(INDEX(PP_Grid[#Data],$DE204,19),0)</f>
        <v/>
      </c>
      <c r="W204">
        <f>IFERROR(INDEX(PP_Grid[#Data],$DE204,20),0)</f>
        <v/>
      </c>
      <c r="X204">
        <f>IFERROR(INDEX(PP_Grid[#Data],$DE204,21),0)</f>
        <v/>
      </c>
      <c r="Y204">
        <f>IFERROR(INDEX(PP_Grid[#Data],$DE204,22),0)</f>
        <v/>
      </c>
      <c r="Z204">
        <f>IFERROR(INDEX(PP_Grid[#Data],$DE204,23),0)</f>
        <v/>
      </c>
      <c r="AA204">
        <f>IFERROR(INDEX(PP_Grid[#Data],$DE204,24),0)</f>
        <v/>
      </c>
      <c r="AB204">
        <f>IFERROR(INDEX(PP_Grid[#Data],$DE204,25),0)</f>
        <v/>
      </c>
      <c r="AC204">
        <f>IFERROR(INDEX(PP_Grid[#Data],$DE204,26),0)</f>
        <v/>
      </c>
      <c r="AD204">
        <f>IFERROR(INDEX(PP_Grid[#Data],$DE204,27),0)</f>
        <v/>
      </c>
      <c r="AE204">
        <f>IFERROR(INDEX(PP_Grid[#Data],$DE204,28),0)</f>
        <v/>
      </c>
      <c r="AF204">
        <f>IFERROR(INDEX(PP_Grid[#Data],$DE204,29),0)</f>
        <v/>
      </c>
      <c r="AG204">
        <f>IFERROR(INDEX(PP_Grid[#Data],$DE204,30),0)</f>
        <v/>
      </c>
      <c r="AH204">
        <f>IFERROR(INDEX(PP_Grid[#Data],$DE204,31),0)</f>
        <v/>
      </c>
      <c r="AI204">
        <f>IFERROR(INDEX(PP_Grid[#Data],$DE204,32),0)</f>
        <v/>
      </c>
      <c r="AJ204">
        <f>IFERROR(INDEX(PP_Grid[#Data],$DE204,33),0)</f>
        <v/>
      </c>
      <c r="AK204">
        <f>IFERROR(INDEX(PP_Grid[#Data],$DE204,34),0)</f>
        <v/>
      </c>
      <c r="AL204">
        <f>IFERROR(INDEX(PP_Grid[#Data],$DE204,35),0)</f>
        <v/>
      </c>
      <c r="AM204">
        <f>IFERROR(INDEX(PP_Grid[#Data],$DE204,36),0)</f>
        <v/>
      </c>
      <c r="AN204">
        <f>IFERROR(INDEX(PP_Grid[#Data],$DE204,37),0)</f>
        <v/>
      </c>
      <c r="AO204">
        <f>IFERROR(INDEX(PP_Grid[#Data],$DE204,38),0)</f>
        <v/>
      </c>
      <c r="AP204">
        <f>IFERROR(INDEX(PP_Grid[#Data],$DE204,39),0)</f>
        <v/>
      </c>
      <c r="AQ204">
        <f>IFERROR(INDEX(PP_Grid[#Data],$DE204,40),0)</f>
        <v/>
      </c>
      <c r="AR204">
        <f>IFERROR(INDEX(PP_Grid[#Data],$DE204,41),0)</f>
        <v/>
      </c>
      <c r="AS204">
        <f>IFERROR(INDEX(PP_Grid[#Data],$DE204,42),0)</f>
        <v/>
      </c>
      <c r="AT204">
        <f>IFERROR(INDEX(PP_Grid[#Data],$DE204,43),0)</f>
        <v/>
      </c>
      <c r="AU204">
        <f>IFERROR(INDEX(PP_Grid[#Data],$DE204,44),0)</f>
        <v/>
      </c>
      <c r="AV204">
        <f>IFERROR(INDEX(PP_Grid[#Data],$DE204,45),0)</f>
        <v/>
      </c>
      <c r="AW204">
        <f>IFERROR(INDEX(PP_Grid[#Data],$DE204,46),0)</f>
        <v/>
      </c>
      <c r="AX204">
        <f>IFERROR(INDEX(PP_Grid[#Data],$DE204,47),0)</f>
        <v/>
      </c>
      <c r="AY204">
        <f>IFERROR(INDEX(PP_Grid[#Data],$DE204,48),0)</f>
        <v/>
      </c>
      <c r="AZ204">
        <f>IFERROR(INDEX(PP_Grid[#Data],$DE204,49),0)</f>
        <v/>
      </c>
      <c r="BA204">
        <f>IFERROR(INDEX(PP_Grid[#Data],$DE204,50),0)</f>
        <v/>
      </c>
      <c r="BB204">
        <f>IFERROR(INDEX(PP_Grid[#Data],$DE204,51),0)</f>
        <v/>
      </c>
      <c r="BC204">
        <f>IFERROR(INDEX(PP_Grid[#Data],$DE204,52),0)</f>
        <v/>
      </c>
      <c r="BD204">
        <f>IFERROR(INDEX(PP_Grid[#Data],$DE204,53),0)</f>
        <v/>
      </c>
      <c r="BE204">
        <f>IFERROR(INDEX(PP_Grid[#Data],$DE204,54),0)</f>
        <v/>
      </c>
      <c r="BF204">
        <f>IFERROR(INDEX(PP_Grid[#Data],$DE204,55),0)</f>
        <v/>
      </c>
      <c r="BG204">
        <f>IFERROR(INDEX(PP_Grid[#Data],$DE204,56),0)</f>
        <v/>
      </c>
      <c r="BH204">
        <f>IFERROR(INDEX(PP_Grid[#Data],$DE204,57),0)</f>
        <v/>
      </c>
      <c r="BI204">
        <f>IFERROR(INDEX(PP_Grid[#Data],$DE204,58),0)</f>
        <v/>
      </c>
      <c r="BJ204">
        <f>IFERROR(INDEX(PP_Grid[#Data],$DE204,59),0)</f>
        <v/>
      </c>
      <c r="BK204">
        <f>IFERROR(INDEX(PP_Grid[#Data],$DE204,60),0)</f>
        <v/>
      </c>
      <c r="BL204">
        <f>IFERROR(INDEX(PP_Grid[#Data],$DE204,61),0)</f>
        <v/>
      </c>
      <c r="BM204">
        <f>IFERROR(INDEX(PP_Grid[#Data],$DE204,62),0)</f>
        <v/>
      </c>
      <c r="BN204">
        <f>IFERROR(INDEX(PP_Grid[#Data],$DE204,63),0)</f>
        <v/>
      </c>
      <c r="BO204">
        <f>IFERROR(INDEX(PP_Grid[#Data],$DE204,64),0)</f>
        <v/>
      </c>
      <c r="BP204">
        <f>IFERROR(INDEX(PP_Grid[#Data],$DE204,65),0)</f>
        <v/>
      </c>
      <c r="BQ204">
        <f>IFERROR(INDEX(PP_Grid[#Data],$DE204,66),0)</f>
        <v/>
      </c>
      <c r="BR204">
        <f>IFERROR(INDEX(PP_Grid[#Data],$DE204,67),0)</f>
        <v/>
      </c>
      <c r="BS204">
        <f>IFERROR(INDEX(PP_Grid[#Data],$DE204,68),0)</f>
        <v/>
      </c>
      <c r="BT204">
        <f>IFERROR(INDEX(PP_Grid[#Data],$DE204,69),0)</f>
        <v/>
      </c>
      <c r="BU204">
        <f>IFERROR(INDEX(PP_Grid[#Data],$DE204,70),0)</f>
        <v/>
      </c>
      <c r="BV204">
        <f>IFERROR(INDEX(PP_Grid[#Data],$DE204,71),0)</f>
        <v/>
      </c>
      <c r="BW204">
        <f>IFERROR(INDEX(PP_Grid[#Data],$DE204,72),0)</f>
        <v/>
      </c>
      <c r="BX204">
        <f>IFERROR(INDEX(PP_Grid[#Data],$DE204,73),0)</f>
        <v/>
      </c>
      <c r="BY204">
        <f>IFERROR(INDEX(PP_Grid[#Data],$DE204,74),0)</f>
        <v/>
      </c>
      <c r="BZ204">
        <f>IFERROR(INDEX(PP_Grid[#Data],$DE204,75),0)</f>
        <v/>
      </c>
      <c r="CA204">
        <f>IFERROR(INDEX(PP_Grid[#Data],$DE204,76),0)</f>
        <v/>
      </c>
      <c r="CB204">
        <f>IFERROR(INDEX(PP_Grid[#Data],$DE204,77),0)</f>
        <v/>
      </c>
      <c r="CC204">
        <f>IFERROR(INDEX(PP_Grid[#Data],$DE204,78),0)</f>
        <v/>
      </c>
      <c r="CD204">
        <f>IFERROR(INDEX(PP_Grid[#Data],$DE204,79),0)</f>
        <v/>
      </c>
      <c r="CE204">
        <f>IFERROR(INDEX(PP_Grid[#Data],$DE204,80),0)</f>
        <v/>
      </c>
      <c r="CF204">
        <f>IFERROR(INDEX(PP_Grid[#Data],$DE204,81),0)</f>
        <v/>
      </c>
      <c r="CG204">
        <f>IFERROR(INDEX(PP_Grid[#Data],$DE204,82),0)</f>
        <v/>
      </c>
      <c r="CH204">
        <f>IFERROR(INDEX(PP_Grid[#Data],$DE204,83),0)</f>
        <v/>
      </c>
      <c r="CI204">
        <f>IFERROR(INDEX(PP_Grid[#Data],$DE204,84),0)</f>
        <v/>
      </c>
      <c r="CJ204">
        <f>IFERROR(INDEX(PP_Grid[#Data],$DE204,85),0)</f>
        <v/>
      </c>
      <c r="CK204">
        <f>IFERROR(INDEX(PP_Grid[#Data],$DE204,86),0)</f>
        <v/>
      </c>
      <c r="CL204">
        <f>IFERROR(INDEX(PP_Grid[#Data],$DE204,87),0)</f>
        <v/>
      </c>
      <c r="CM204">
        <f>IFERROR(INDEX(PP_Grid[#Data],$DE204,88),0)</f>
        <v/>
      </c>
      <c r="CN204">
        <f>IFERROR(INDEX(PP_Grid[#Data],$DE204,89),0)</f>
        <v/>
      </c>
      <c r="CO204">
        <f>IFERROR(INDEX(PP_Grid[#Data],$DE204,90),0)</f>
        <v/>
      </c>
      <c r="CP204">
        <f>IFERROR(INDEX(PP_Grid[#Data],$DE204,91),0)</f>
        <v/>
      </c>
      <c r="CQ204">
        <f>IFERROR(INDEX(PP_Grid[#Data],$DE204,92),0)</f>
        <v/>
      </c>
      <c r="CR204">
        <f>IFERROR(INDEX(PP_Grid[#Data],$DE204,93),0)</f>
        <v/>
      </c>
      <c r="CS204">
        <f>IFERROR(INDEX(PP_Grid[#Data],$DE204,94),0)</f>
        <v/>
      </c>
      <c r="CT204">
        <f>IFERROR(INDEX(PP_Grid[#Data],$DE204,95),0)</f>
        <v/>
      </c>
      <c r="CU204">
        <f>IFERROR(INDEX(PP_Grid[#Data],$DE204,96),0)</f>
        <v/>
      </c>
      <c r="CV204">
        <f>IFERROR(INDEX(PP_Grid[#Data],$DE204,97),0)</f>
        <v/>
      </c>
      <c r="CW204">
        <f>IFERROR(INDEX(PP_Grid[#Data],$DE204,98),0)</f>
        <v/>
      </c>
      <c r="CX204">
        <f>IFERROR(INDEX(PP_Grid[#Data],$DE204,99),0)</f>
        <v/>
      </c>
      <c r="CY204">
        <f>IFERROR(INDEX(PP_Grid[#Data],$DE204,100),0)</f>
        <v/>
      </c>
      <c r="CZ204">
        <f>IFERROR(INDEX(PP_Grid[#Data],$DE204,101),0)</f>
        <v/>
      </c>
      <c r="DA204">
        <f>IFERROR(INDEX(PP_Grid[#Data],$DE204,102),0)</f>
        <v/>
      </c>
      <c r="DB204">
        <f>IFERROR(INDEX(PP_Grid[#Data],$DE204,103),0)</f>
        <v/>
      </c>
      <c r="DC204">
        <f>IFERROR(INDEX(PP_Grid[#Data],$DE204,104),0)</f>
        <v/>
      </c>
      <c r="DD204">
        <f>IFERROR(INDEX(PP_Grid[#Data],$DE204,105),0)</f>
        <v/>
      </c>
      <c r="DE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SUMIFS(M_BOM[RM_Qty_Per_Batch],M_BOM[Intermediate],$B204,M_BOM[RM_Code],$A199)</f>
        <v/>
      </c>
      <c r="D205">
        <f>IFERROR(INDEX(E205:DD205,$F$1),"")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  <c r="DD205">
        <f>$C205*DD204</f>
        <v/>
      </c>
    </row>
    <row r="206">
      <c r="B206" t="inlineStr">
        <is>
          <t>TSP-077</t>
        </is>
      </c>
      <c r="C206" t="inlineStr">
        <is>
          <t>No. of batches</t>
        </is>
      </c>
      <c r="D206">
        <f>IFERROR(INDEX(E206:DD206,$F$1),"")</f>
        <v/>
      </c>
      <c r="E206">
        <f>IFERROR(INDEX(PP_Grid[#Data],$DE206,2),0)</f>
        <v/>
      </c>
      <c r="F206">
        <f>IFERROR(INDEX(PP_Grid[#Data],$DE206,3),0)</f>
        <v/>
      </c>
      <c r="G206">
        <f>IFERROR(INDEX(PP_Grid[#Data],$DE206,4),0)</f>
        <v/>
      </c>
      <c r="H206">
        <f>IFERROR(INDEX(PP_Grid[#Data],$DE206,5),0)</f>
        <v/>
      </c>
      <c r="I206">
        <f>IFERROR(INDEX(PP_Grid[#Data],$DE206,6),0)</f>
        <v/>
      </c>
      <c r="J206">
        <f>IFERROR(INDEX(PP_Grid[#Data],$DE206,7),0)</f>
        <v/>
      </c>
      <c r="K206">
        <f>IFERROR(INDEX(PP_Grid[#Data],$DE206,8),0)</f>
        <v/>
      </c>
      <c r="L206">
        <f>IFERROR(INDEX(PP_Grid[#Data],$DE206,9),0)</f>
        <v/>
      </c>
      <c r="M206">
        <f>IFERROR(INDEX(PP_Grid[#Data],$DE206,10),0)</f>
        <v/>
      </c>
      <c r="N206">
        <f>IFERROR(INDEX(PP_Grid[#Data],$DE206,11),0)</f>
        <v/>
      </c>
      <c r="O206">
        <f>IFERROR(INDEX(PP_Grid[#Data],$DE206,12),0)</f>
        <v/>
      </c>
      <c r="P206">
        <f>IFERROR(INDEX(PP_Grid[#Data],$DE206,13),0)</f>
        <v/>
      </c>
      <c r="Q206">
        <f>IFERROR(INDEX(PP_Grid[#Data],$DE206,14),0)</f>
        <v/>
      </c>
      <c r="R206">
        <f>IFERROR(INDEX(PP_Grid[#Data],$DE206,15),0)</f>
        <v/>
      </c>
      <c r="S206">
        <f>IFERROR(INDEX(PP_Grid[#Data],$DE206,16),0)</f>
        <v/>
      </c>
      <c r="T206">
        <f>IFERROR(INDEX(PP_Grid[#Data],$DE206,17),0)</f>
        <v/>
      </c>
      <c r="U206">
        <f>IFERROR(INDEX(PP_Grid[#Data],$DE206,18),0)</f>
        <v/>
      </c>
      <c r="V206">
        <f>IFERROR(INDEX(PP_Grid[#Data],$DE206,19),0)</f>
        <v/>
      </c>
      <c r="W206">
        <f>IFERROR(INDEX(PP_Grid[#Data],$DE206,20),0)</f>
        <v/>
      </c>
      <c r="X206">
        <f>IFERROR(INDEX(PP_Grid[#Data],$DE206,21),0)</f>
        <v/>
      </c>
      <c r="Y206">
        <f>IFERROR(INDEX(PP_Grid[#Data],$DE206,22),0)</f>
        <v/>
      </c>
      <c r="Z206">
        <f>IFERROR(INDEX(PP_Grid[#Data],$DE206,23),0)</f>
        <v/>
      </c>
      <c r="AA206">
        <f>IFERROR(INDEX(PP_Grid[#Data],$DE206,24),0)</f>
        <v/>
      </c>
      <c r="AB206">
        <f>IFERROR(INDEX(PP_Grid[#Data],$DE206,25),0)</f>
        <v/>
      </c>
      <c r="AC206">
        <f>IFERROR(INDEX(PP_Grid[#Data],$DE206,26),0)</f>
        <v/>
      </c>
      <c r="AD206">
        <f>IFERROR(INDEX(PP_Grid[#Data],$DE206,27),0)</f>
        <v/>
      </c>
      <c r="AE206">
        <f>IFERROR(INDEX(PP_Grid[#Data],$DE206,28),0)</f>
        <v/>
      </c>
      <c r="AF206">
        <f>IFERROR(INDEX(PP_Grid[#Data],$DE206,29),0)</f>
        <v/>
      </c>
      <c r="AG206">
        <f>IFERROR(INDEX(PP_Grid[#Data],$DE206,30),0)</f>
        <v/>
      </c>
      <c r="AH206">
        <f>IFERROR(INDEX(PP_Grid[#Data],$DE206,31),0)</f>
        <v/>
      </c>
      <c r="AI206">
        <f>IFERROR(INDEX(PP_Grid[#Data],$DE206,32),0)</f>
        <v/>
      </c>
      <c r="AJ206">
        <f>IFERROR(INDEX(PP_Grid[#Data],$DE206,33),0)</f>
        <v/>
      </c>
      <c r="AK206">
        <f>IFERROR(INDEX(PP_Grid[#Data],$DE206,34),0)</f>
        <v/>
      </c>
      <c r="AL206">
        <f>IFERROR(INDEX(PP_Grid[#Data],$DE206,35),0)</f>
        <v/>
      </c>
      <c r="AM206">
        <f>IFERROR(INDEX(PP_Grid[#Data],$DE206,36),0)</f>
        <v/>
      </c>
      <c r="AN206">
        <f>IFERROR(INDEX(PP_Grid[#Data],$DE206,37),0)</f>
        <v/>
      </c>
      <c r="AO206">
        <f>IFERROR(INDEX(PP_Grid[#Data],$DE206,38),0)</f>
        <v/>
      </c>
      <c r="AP206">
        <f>IFERROR(INDEX(PP_Grid[#Data],$DE206,39),0)</f>
        <v/>
      </c>
      <c r="AQ206">
        <f>IFERROR(INDEX(PP_Grid[#Data],$DE206,40),0)</f>
        <v/>
      </c>
      <c r="AR206">
        <f>IFERROR(INDEX(PP_Grid[#Data],$DE206,41),0)</f>
        <v/>
      </c>
      <c r="AS206">
        <f>IFERROR(INDEX(PP_Grid[#Data],$DE206,42),0)</f>
        <v/>
      </c>
      <c r="AT206">
        <f>IFERROR(INDEX(PP_Grid[#Data],$DE206,43),0)</f>
        <v/>
      </c>
      <c r="AU206">
        <f>IFERROR(INDEX(PP_Grid[#Data],$DE206,44),0)</f>
        <v/>
      </c>
      <c r="AV206">
        <f>IFERROR(INDEX(PP_Grid[#Data],$DE206,45),0)</f>
        <v/>
      </c>
      <c r="AW206">
        <f>IFERROR(INDEX(PP_Grid[#Data],$DE206,46),0)</f>
        <v/>
      </c>
      <c r="AX206">
        <f>IFERROR(INDEX(PP_Grid[#Data],$DE206,47),0)</f>
        <v/>
      </c>
      <c r="AY206">
        <f>IFERROR(INDEX(PP_Grid[#Data],$DE206,48),0)</f>
        <v/>
      </c>
      <c r="AZ206">
        <f>IFERROR(INDEX(PP_Grid[#Data],$DE206,49),0)</f>
        <v/>
      </c>
      <c r="BA206">
        <f>IFERROR(INDEX(PP_Grid[#Data],$DE206,50),0)</f>
        <v/>
      </c>
      <c r="BB206">
        <f>IFERROR(INDEX(PP_Grid[#Data],$DE206,51),0)</f>
        <v/>
      </c>
      <c r="BC206">
        <f>IFERROR(INDEX(PP_Grid[#Data],$DE206,52),0)</f>
        <v/>
      </c>
      <c r="BD206">
        <f>IFERROR(INDEX(PP_Grid[#Data],$DE206,53),0)</f>
        <v/>
      </c>
      <c r="BE206">
        <f>IFERROR(INDEX(PP_Grid[#Data],$DE206,54),0)</f>
        <v/>
      </c>
      <c r="BF206">
        <f>IFERROR(INDEX(PP_Grid[#Data],$DE206,55),0)</f>
        <v/>
      </c>
      <c r="BG206">
        <f>IFERROR(INDEX(PP_Grid[#Data],$DE206,56),0)</f>
        <v/>
      </c>
      <c r="BH206">
        <f>IFERROR(INDEX(PP_Grid[#Data],$DE206,57),0)</f>
        <v/>
      </c>
      <c r="BI206">
        <f>IFERROR(INDEX(PP_Grid[#Data],$DE206,58),0)</f>
        <v/>
      </c>
      <c r="BJ206">
        <f>IFERROR(INDEX(PP_Grid[#Data],$DE206,59),0)</f>
        <v/>
      </c>
      <c r="BK206">
        <f>IFERROR(INDEX(PP_Grid[#Data],$DE206,60),0)</f>
        <v/>
      </c>
      <c r="BL206">
        <f>IFERROR(INDEX(PP_Grid[#Data],$DE206,61),0)</f>
        <v/>
      </c>
      <c r="BM206">
        <f>IFERROR(INDEX(PP_Grid[#Data],$DE206,62),0)</f>
        <v/>
      </c>
      <c r="BN206">
        <f>IFERROR(INDEX(PP_Grid[#Data],$DE206,63),0)</f>
        <v/>
      </c>
      <c r="BO206">
        <f>IFERROR(INDEX(PP_Grid[#Data],$DE206,64),0)</f>
        <v/>
      </c>
      <c r="BP206">
        <f>IFERROR(INDEX(PP_Grid[#Data],$DE206,65),0)</f>
        <v/>
      </c>
      <c r="BQ206">
        <f>IFERROR(INDEX(PP_Grid[#Data],$DE206,66),0)</f>
        <v/>
      </c>
      <c r="BR206">
        <f>IFERROR(INDEX(PP_Grid[#Data],$DE206,67),0)</f>
        <v/>
      </c>
      <c r="BS206">
        <f>IFERROR(INDEX(PP_Grid[#Data],$DE206,68),0)</f>
        <v/>
      </c>
      <c r="BT206">
        <f>IFERROR(INDEX(PP_Grid[#Data],$DE206,69),0)</f>
        <v/>
      </c>
      <c r="BU206">
        <f>IFERROR(INDEX(PP_Grid[#Data],$DE206,70),0)</f>
        <v/>
      </c>
      <c r="BV206">
        <f>IFERROR(INDEX(PP_Grid[#Data],$DE206,71),0)</f>
        <v/>
      </c>
      <c r="BW206">
        <f>IFERROR(INDEX(PP_Grid[#Data],$DE206,72),0)</f>
        <v/>
      </c>
      <c r="BX206">
        <f>IFERROR(INDEX(PP_Grid[#Data],$DE206,73),0)</f>
        <v/>
      </c>
      <c r="BY206">
        <f>IFERROR(INDEX(PP_Grid[#Data],$DE206,74),0)</f>
        <v/>
      </c>
      <c r="BZ206">
        <f>IFERROR(INDEX(PP_Grid[#Data],$DE206,75),0)</f>
        <v/>
      </c>
      <c r="CA206">
        <f>IFERROR(INDEX(PP_Grid[#Data],$DE206,76),0)</f>
        <v/>
      </c>
      <c r="CB206">
        <f>IFERROR(INDEX(PP_Grid[#Data],$DE206,77),0)</f>
        <v/>
      </c>
      <c r="CC206">
        <f>IFERROR(INDEX(PP_Grid[#Data],$DE206,78),0)</f>
        <v/>
      </c>
      <c r="CD206">
        <f>IFERROR(INDEX(PP_Grid[#Data],$DE206,79),0)</f>
        <v/>
      </c>
      <c r="CE206">
        <f>IFERROR(INDEX(PP_Grid[#Data],$DE206,80),0)</f>
        <v/>
      </c>
      <c r="CF206">
        <f>IFERROR(INDEX(PP_Grid[#Data],$DE206,81),0)</f>
        <v/>
      </c>
      <c r="CG206">
        <f>IFERROR(INDEX(PP_Grid[#Data],$DE206,82),0)</f>
        <v/>
      </c>
      <c r="CH206">
        <f>IFERROR(INDEX(PP_Grid[#Data],$DE206,83),0)</f>
        <v/>
      </c>
      <c r="CI206">
        <f>IFERROR(INDEX(PP_Grid[#Data],$DE206,84),0)</f>
        <v/>
      </c>
      <c r="CJ206">
        <f>IFERROR(INDEX(PP_Grid[#Data],$DE206,85),0)</f>
        <v/>
      </c>
      <c r="CK206">
        <f>IFERROR(INDEX(PP_Grid[#Data],$DE206,86),0)</f>
        <v/>
      </c>
      <c r="CL206">
        <f>IFERROR(INDEX(PP_Grid[#Data],$DE206,87),0)</f>
        <v/>
      </c>
      <c r="CM206">
        <f>IFERROR(INDEX(PP_Grid[#Data],$DE206,88),0)</f>
        <v/>
      </c>
      <c r="CN206">
        <f>IFERROR(INDEX(PP_Grid[#Data],$DE206,89),0)</f>
        <v/>
      </c>
      <c r="CO206">
        <f>IFERROR(INDEX(PP_Grid[#Data],$DE206,90),0)</f>
        <v/>
      </c>
      <c r="CP206">
        <f>IFERROR(INDEX(PP_Grid[#Data],$DE206,91),0)</f>
        <v/>
      </c>
      <c r="CQ206">
        <f>IFERROR(INDEX(PP_Grid[#Data],$DE206,92),0)</f>
        <v/>
      </c>
      <c r="CR206">
        <f>IFERROR(INDEX(PP_Grid[#Data],$DE206,93),0)</f>
        <v/>
      </c>
      <c r="CS206">
        <f>IFERROR(INDEX(PP_Grid[#Data],$DE206,94),0)</f>
        <v/>
      </c>
      <c r="CT206">
        <f>IFERROR(INDEX(PP_Grid[#Data],$DE206,95),0)</f>
        <v/>
      </c>
      <c r="CU206">
        <f>IFERROR(INDEX(PP_Grid[#Data],$DE206,96),0)</f>
        <v/>
      </c>
      <c r="CV206">
        <f>IFERROR(INDEX(PP_Grid[#Data],$DE206,97),0)</f>
        <v/>
      </c>
      <c r="CW206">
        <f>IFERROR(INDEX(PP_Grid[#Data],$DE206,98),0)</f>
        <v/>
      </c>
      <c r="CX206">
        <f>IFERROR(INDEX(PP_Grid[#Data],$DE206,99),0)</f>
        <v/>
      </c>
      <c r="CY206">
        <f>IFERROR(INDEX(PP_Grid[#Data],$DE206,100),0)</f>
        <v/>
      </c>
      <c r="CZ206">
        <f>IFERROR(INDEX(PP_Grid[#Data],$DE206,101),0)</f>
        <v/>
      </c>
      <c r="DA206">
        <f>IFERROR(INDEX(PP_Grid[#Data],$DE206,102),0)</f>
        <v/>
      </c>
      <c r="DB206">
        <f>IFERROR(INDEX(PP_Grid[#Data],$DE206,103),0)</f>
        <v/>
      </c>
      <c r="DC206">
        <f>IFERROR(INDEX(PP_Grid[#Data],$DE206,104),0)</f>
        <v/>
      </c>
      <c r="DD206">
        <f>IFERROR(INDEX(PP_Grid[#Data],$DE206,105),0)</f>
        <v/>
      </c>
      <c r="DE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SUMIFS(M_BOM[RM_Qty_Per_Batch],M_BOM[Intermediate],$B206,M_BOM[RM_Code],$A199)</f>
        <v/>
      </c>
      <c r="D207">
        <f>IFERROR(INDEX(E207:DD207,$F$1),"")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  <c r="DD207">
        <f>$C207*DD206</f>
        <v/>
      </c>
    </row>
    <row r="208">
      <c r="B208" t="inlineStr">
        <is>
          <t>TSP-104</t>
        </is>
      </c>
      <c r="C208" t="inlineStr">
        <is>
          <t>No. of batches</t>
        </is>
      </c>
      <c r="D208">
        <f>IFERROR(INDEX(E208:DD208,$F$1),"")</f>
        <v/>
      </c>
      <c r="E208">
        <f>IFERROR(INDEX(PP_Grid[#Data],$DE208,2),0)</f>
        <v/>
      </c>
      <c r="F208">
        <f>IFERROR(INDEX(PP_Grid[#Data],$DE208,3),0)</f>
        <v/>
      </c>
      <c r="G208">
        <f>IFERROR(INDEX(PP_Grid[#Data],$DE208,4),0)</f>
        <v/>
      </c>
      <c r="H208">
        <f>IFERROR(INDEX(PP_Grid[#Data],$DE208,5),0)</f>
        <v/>
      </c>
      <c r="I208">
        <f>IFERROR(INDEX(PP_Grid[#Data],$DE208,6),0)</f>
        <v/>
      </c>
      <c r="J208">
        <f>IFERROR(INDEX(PP_Grid[#Data],$DE208,7),0)</f>
        <v/>
      </c>
      <c r="K208">
        <f>IFERROR(INDEX(PP_Grid[#Data],$DE208,8),0)</f>
        <v/>
      </c>
      <c r="L208">
        <f>IFERROR(INDEX(PP_Grid[#Data],$DE208,9),0)</f>
        <v/>
      </c>
      <c r="M208">
        <f>IFERROR(INDEX(PP_Grid[#Data],$DE208,10),0)</f>
        <v/>
      </c>
      <c r="N208">
        <f>IFERROR(INDEX(PP_Grid[#Data],$DE208,11),0)</f>
        <v/>
      </c>
      <c r="O208">
        <f>IFERROR(INDEX(PP_Grid[#Data],$DE208,12),0)</f>
        <v/>
      </c>
      <c r="P208">
        <f>IFERROR(INDEX(PP_Grid[#Data],$DE208,13),0)</f>
        <v/>
      </c>
      <c r="Q208">
        <f>IFERROR(INDEX(PP_Grid[#Data],$DE208,14),0)</f>
        <v/>
      </c>
      <c r="R208">
        <f>IFERROR(INDEX(PP_Grid[#Data],$DE208,15),0)</f>
        <v/>
      </c>
      <c r="S208">
        <f>IFERROR(INDEX(PP_Grid[#Data],$DE208,16),0)</f>
        <v/>
      </c>
      <c r="T208">
        <f>IFERROR(INDEX(PP_Grid[#Data],$DE208,17),0)</f>
        <v/>
      </c>
      <c r="U208">
        <f>IFERROR(INDEX(PP_Grid[#Data],$DE208,18),0)</f>
        <v/>
      </c>
      <c r="V208">
        <f>IFERROR(INDEX(PP_Grid[#Data],$DE208,19),0)</f>
        <v/>
      </c>
      <c r="W208">
        <f>IFERROR(INDEX(PP_Grid[#Data],$DE208,20),0)</f>
        <v/>
      </c>
      <c r="X208">
        <f>IFERROR(INDEX(PP_Grid[#Data],$DE208,21),0)</f>
        <v/>
      </c>
      <c r="Y208">
        <f>IFERROR(INDEX(PP_Grid[#Data],$DE208,22),0)</f>
        <v/>
      </c>
      <c r="Z208">
        <f>IFERROR(INDEX(PP_Grid[#Data],$DE208,23),0)</f>
        <v/>
      </c>
      <c r="AA208">
        <f>IFERROR(INDEX(PP_Grid[#Data],$DE208,24),0)</f>
        <v/>
      </c>
      <c r="AB208">
        <f>IFERROR(INDEX(PP_Grid[#Data],$DE208,25),0)</f>
        <v/>
      </c>
      <c r="AC208">
        <f>IFERROR(INDEX(PP_Grid[#Data],$DE208,26),0)</f>
        <v/>
      </c>
      <c r="AD208">
        <f>IFERROR(INDEX(PP_Grid[#Data],$DE208,27),0)</f>
        <v/>
      </c>
      <c r="AE208">
        <f>IFERROR(INDEX(PP_Grid[#Data],$DE208,28),0)</f>
        <v/>
      </c>
      <c r="AF208">
        <f>IFERROR(INDEX(PP_Grid[#Data],$DE208,29),0)</f>
        <v/>
      </c>
      <c r="AG208">
        <f>IFERROR(INDEX(PP_Grid[#Data],$DE208,30),0)</f>
        <v/>
      </c>
      <c r="AH208">
        <f>IFERROR(INDEX(PP_Grid[#Data],$DE208,31),0)</f>
        <v/>
      </c>
      <c r="AI208">
        <f>IFERROR(INDEX(PP_Grid[#Data],$DE208,32),0)</f>
        <v/>
      </c>
      <c r="AJ208">
        <f>IFERROR(INDEX(PP_Grid[#Data],$DE208,33),0)</f>
        <v/>
      </c>
      <c r="AK208">
        <f>IFERROR(INDEX(PP_Grid[#Data],$DE208,34),0)</f>
        <v/>
      </c>
      <c r="AL208">
        <f>IFERROR(INDEX(PP_Grid[#Data],$DE208,35),0)</f>
        <v/>
      </c>
      <c r="AM208">
        <f>IFERROR(INDEX(PP_Grid[#Data],$DE208,36),0)</f>
        <v/>
      </c>
      <c r="AN208">
        <f>IFERROR(INDEX(PP_Grid[#Data],$DE208,37),0)</f>
        <v/>
      </c>
      <c r="AO208">
        <f>IFERROR(INDEX(PP_Grid[#Data],$DE208,38),0)</f>
        <v/>
      </c>
      <c r="AP208">
        <f>IFERROR(INDEX(PP_Grid[#Data],$DE208,39),0)</f>
        <v/>
      </c>
      <c r="AQ208">
        <f>IFERROR(INDEX(PP_Grid[#Data],$DE208,40),0)</f>
        <v/>
      </c>
      <c r="AR208">
        <f>IFERROR(INDEX(PP_Grid[#Data],$DE208,41),0)</f>
        <v/>
      </c>
      <c r="AS208">
        <f>IFERROR(INDEX(PP_Grid[#Data],$DE208,42),0)</f>
        <v/>
      </c>
      <c r="AT208">
        <f>IFERROR(INDEX(PP_Grid[#Data],$DE208,43),0)</f>
        <v/>
      </c>
      <c r="AU208">
        <f>IFERROR(INDEX(PP_Grid[#Data],$DE208,44),0)</f>
        <v/>
      </c>
      <c r="AV208">
        <f>IFERROR(INDEX(PP_Grid[#Data],$DE208,45),0)</f>
        <v/>
      </c>
      <c r="AW208">
        <f>IFERROR(INDEX(PP_Grid[#Data],$DE208,46),0)</f>
        <v/>
      </c>
      <c r="AX208">
        <f>IFERROR(INDEX(PP_Grid[#Data],$DE208,47),0)</f>
        <v/>
      </c>
      <c r="AY208">
        <f>IFERROR(INDEX(PP_Grid[#Data],$DE208,48),0)</f>
        <v/>
      </c>
      <c r="AZ208">
        <f>IFERROR(INDEX(PP_Grid[#Data],$DE208,49),0)</f>
        <v/>
      </c>
      <c r="BA208">
        <f>IFERROR(INDEX(PP_Grid[#Data],$DE208,50),0)</f>
        <v/>
      </c>
      <c r="BB208">
        <f>IFERROR(INDEX(PP_Grid[#Data],$DE208,51),0)</f>
        <v/>
      </c>
      <c r="BC208">
        <f>IFERROR(INDEX(PP_Grid[#Data],$DE208,52),0)</f>
        <v/>
      </c>
      <c r="BD208">
        <f>IFERROR(INDEX(PP_Grid[#Data],$DE208,53),0)</f>
        <v/>
      </c>
      <c r="BE208">
        <f>IFERROR(INDEX(PP_Grid[#Data],$DE208,54),0)</f>
        <v/>
      </c>
      <c r="BF208">
        <f>IFERROR(INDEX(PP_Grid[#Data],$DE208,55),0)</f>
        <v/>
      </c>
      <c r="BG208">
        <f>IFERROR(INDEX(PP_Grid[#Data],$DE208,56),0)</f>
        <v/>
      </c>
      <c r="BH208">
        <f>IFERROR(INDEX(PP_Grid[#Data],$DE208,57),0)</f>
        <v/>
      </c>
      <c r="BI208">
        <f>IFERROR(INDEX(PP_Grid[#Data],$DE208,58),0)</f>
        <v/>
      </c>
      <c r="BJ208">
        <f>IFERROR(INDEX(PP_Grid[#Data],$DE208,59),0)</f>
        <v/>
      </c>
      <c r="BK208">
        <f>IFERROR(INDEX(PP_Grid[#Data],$DE208,60),0)</f>
        <v/>
      </c>
      <c r="BL208">
        <f>IFERROR(INDEX(PP_Grid[#Data],$DE208,61),0)</f>
        <v/>
      </c>
      <c r="BM208">
        <f>IFERROR(INDEX(PP_Grid[#Data],$DE208,62),0)</f>
        <v/>
      </c>
      <c r="BN208">
        <f>IFERROR(INDEX(PP_Grid[#Data],$DE208,63),0)</f>
        <v/>
      </c>
      <c r="BO208">
        <f>IFERROR(INDEX(PP_Grid[#Data],$DE208,64),0)</f>
        <v/>
      </c>
      <c r="BP208">
        <f>IFERROR(INDEX(PP_Grid[#Data],$DE208,65),0)</f>
        <v/>
      </c>
      <c r="BQ208">
        <f>IFERROR(INDEX(PP_Grid[#Data],$DE208,66),0)</f>
        <v/>
      </c>
      <c r="BR208">
        <f>IFERROR(INDEX(PP_Grid[#Data],$DE208,67),0)</f>
        <v/>
      </c>
      <c r="BS208">
        <f>IFERROR(INDEX(PP_Grid[#Data],$DE208,68),0)</f>
        <v/>
      </c>
      <c r="BT208">
        <f>IFERROR(INDEX(PP_Grid[#Data],$DE208,69),0)</f>
        <v/>
      </c>
      <c r="BU208">
        <f>IFERROR(INDEX(PP_Grid[#Data],$DE208,70),0)</f>
        <v/>
      </c>
      <c r="BV208">
        <f>IFERROR(INDEX(PP_Grid[#Data],$DE208,71),0)</f>
        <v/>
      </c>
      <c r="BW208">
        <f>IFERROR(INDEX(PP_Grid[#Data],$DE208,72),0)</f>
        <v/>
      </c>
      <c r="BX208">
        <f>IFERROR(INDEX(PP_Grid[#Data],$DE208,73),0)</f>
        <v/>
      </c>
      <c r="BY208">
        <f>IFERROR(INDEX(PP_Grid[#Data],$DE208,74),0)</f>
        <v/>
      </c>
      <c r="BZ208">
        <f>IFERROR(INDEX(PP_Grid[#Data],$DE208,75),0)</f>
        <v/>
      </c>
      <c r="CA208">
        <f>IFERROR(INDEX(PP_Grid[#Data],$DE208,76),0)</f>
        <v/>
      </c>
      <c r="CB208">
        <f>IFERROR(INDEX(PP_Grid[#Data],$DE208,77),0)</f>
        <v/>
      </c>
      <c r="CC208">
        <f>IFERROR(INDEX(PP_Grid[#Data],$DE208,78),0)</f>
        <v/>
      </c>
      <c r="CD208">
        <f>IFERROR(INDEX(PP_Grid[#Data],$DE208,79),0)</f>
        <v/>
      </c>
      <c r="CE208">
        <f>IFERROR(INDEX(PP_Grid[#Data],$DE208,80),0)</f>
        <v/>
      </c>
      <c r="CF208">
        <f>IFERROR(INDEX(PP_Grid[#Data],$DE208,81),0)</f>
        <v/>
      </c>
      <c r="CG208">
        <f>IFERROR(INDEX(PP_Grid[#Data],$DE208,82),0)</f>
        <v/>
      </c>
      <c r="CH208">
        <f>IFERROR(INDEX(PP_Grid[#Data],$DE208,83),0)</f>
        <v/>
      </c>
      <c r="CI208">
        <f>IFERROR(INDEX(PP_Grid[#Data],$DE208,84),0)</f>
        <v/>
      </c>
      <c r="CJ208">
        <f>IFERROR(INDEX(PP_Grid[#Data],$DE208,85),0)</f>
        <v/>
      </c>
      <c r="CK208">
        <f>IFERROR(INDEX(PP_Grid[#Data],$DE208,86),0)</f>
        <v/>
      </c>
      <c r="CL208">
        <f>IFERROR(INDEX(PP_Grid[#Data],$DE208,87),0)</f>
        <v/>
      </c>
      <c r="CM208">
        <f>IFERROR(INDEX(PP_Grid[#Data],$DE208,88),0)</f>
        <v/>
      </c>
      <c r="CN208">
        <f>IFERROR(INDEX(PP_Grid[#Data],$DE208,89),0)</f>
        <v/>
      </c>
      <c r="CO208">
        <f>IFERROR(INDEX(PP_Grid[#Data],$DE208,90),0)</f>
        <v/>
      </c>
      <c r="CP208">
        <f>IFERROR(INDEX(PP_Grid[#Data],$DE208,91),0)</f>
        <v/>
      </c>
      <c r="CQ208">
        <f>IFERROR(INDEX(PP_Grid[#Data],$DE208,92),0)</f>
        <v/>
      </c>
      <c r="CR208">
        <f>IFERROR(INDEX(PP_Grid[#Data],$DE208,93),0)</f>
        <v/>
      </c>
      <c r="CS208">
        <f>IFERROR(INDEX(PP_Grid[#Data],$DE208,94),0)</f>
        <v/>
      </c>
      <c r="CT208">
        <f>IFERROR(INDEX(PP_Grid[#Data],$DE208,95),0)</f>
        <v/>
      </c>
      <c r="CU208">
        <f>IFERROR(INDEX(PP_Grid[#Data],$DE208,96),0)</f>
        <v/>
      </c>
      <c r="CV208">
        <f>IFERROR(INDEX(PP_Grid[#Data],$DE208,97),0)</f>
        <v/>
      </c>
      <c r="CW208">
        <f>IFERROR(INDEX(PP_Grid[#Data],$DE208,98),0)</f>
        <v/>
      </c>
      <c r="CX208">
        <f>IFERROR(INDEX(PP_Grid[#Data],$DE208,99),0)</f>
        <v/>
      </c>
      <c r="CY208">
        <f>IFERROR(INDEX(PP_Grid[#Data],$DE208,100),0)</f>
        <v/>
      </c>
      <c r="CZ208">
        <f>IFERROR(INDEX(PP_Grid[#Data],$DE208,101),0)</f>
        <v/>
      </c>
      <c r="DA208">
        <f>IFERROR(INDEX(PP_Grid[#Data],$DE208,102),0)</f>
        <v/>
      </c>
      <c r="DB208">
        <f>IFERROR(INDEX(PP_Grid[#Data],$DE208,103),0)</f>
        <v/>
      </c>
      <c r="DC208">
        <f>IFERROR(INDEX(PP_Grid[#Data],$DE208,104),0)</f>
        <v/>
      </c>
      <c r="DD208">
        <f>IFERROR(INDEX(PP_Grid[#Data],$DE208,105),0)</f>
        <v/>
      </c>
      <c r="DE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SUMIFS(M_BOM[RM_Qty_Per_Batch],M_BOM[Intermediate],$B208,M_BOM[RM_Code],$A199)</f>
        <v/>
      </c>
      <c r="D209">
        <f>IFERROR(INDEX(E209:DD209,$F$1),"")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  <c r="DD209">
        <f>$C209*DD208</f>
        <v/>
      </c>
    </row>
    <row r="210">
      <c r="B210" t="inlineStr">
        <is>
          <t>TSP-199</t>
        </is>
      </c>
      <c r="C210" t="inlineStr">
        <is>
          <t>No. of batches</t>
        </is>
      </c>
      <c r="D210">
        <f>IFERROR(INDEX(E210:DD210,$F$1),"")</f>
        <v/>
      </c>
      <c r="E210">
        <f>IFERROR(INDEX(PP_Grid[#Data],$DE210,2),0)</f>
        <v/>
      </c>
      <c r="F210">
        <f>IFERROR(INDEX(PP_Grid[#Data],$DE210,3),0)</f>
        <v/>
      </c>
      <c r="G210">
        <f>IFERROR(INDEX(PP_Grid[#Data],$DE210,4),0)</f>
        <v/>
      </c>
      <c r="H210">
        <f>IFERROR(INDEX(PP_Grid[#Data],$DE210,5),0)</f>
        <v/>
      </c>
      <c r="I210">
        <f>IFERROR(INDEX(PP_Grid[#Data],$DE210,6),0)</f>
        <v/>
      </c>
      <c r="J210">
        <f>IFERROR(INDEX(PP_Grid[#Data],$DE210,7),0)</f>
        <v/>
      </c>
      <c r="K210">
        <f>IFERROR(INDEX(PP_Grid[#Data],$DE210,8),0)</f>
        <v/>
      </c>
      <c r="L210">
        <f>IFERROR(INDEX(PP_Grid[#Data],$DE210,9),0)</f>
        <v/>
      </c>
      <c r="M210">
        <f>IFERROR(INDEX(PP_Grid[#Data],$DE210,10),0)</f>
        <v/>
      </c>
      <c r="N210">
        <f>IFERROR(INDEX(PP_Grid[#Data],$DE210,11),0)</f>
        <v/>
      </c>
      <c r="O210">
        <f>IFERROR(INDEX(PP_Grid[#Data],$DE210,12),0)</f>
        <v/>
      </c>
      <c r="P210">
        <f>IFERROR(INDEX(PP_Grid[#Data],$DE210,13),0)</f>
        <v/>
      </c>
      <c r="Q210">
        <f>IFERROR(INDEX(PP_Grid[#Data],$DE210,14),0)</f>
        <v/>
      </c>
      <c r="R210">
        <f>IFERROR(INDEX(PP_Grid[#Data],$DE210,15),0)</f>
        <v/>
      </c>
      <c r="S210">
        <f>IFERROR(INDEX(PP_Grid[#Data],$DE210,16),0)</f>
        <v/>
      </c>
      <c r="T210">
        <f>IFERROR(INDEX(PP_Grid[#Data],$DE210,17),0)</f>
        <v/>
      </c>
      <c r="U210">
        <f>IFERROR(INDEX(PP_Grid[#Data],$DE210,18),0)</f>
        <v/>
      </c>
      <c r="V210">
        <f>IFERROR(INDEX(PP_Grid[#Data],$DE210,19),0)</f>
        <v/>
      </c>
      <c r="W210">
        <f>IFERROR(INDEX(PP_Grid[#Data],$DE210,20),0)</f>
        <v/>
      </c>
      <c r="X210">
        <f>IFERROR(INDEX(PP_Grid[#Data],$DE210,21),0)</f>
        <v/>
      </c>
      <c r="Y210">
        <f>IFERROR(INDEX(PP_Grid[#Data],$DE210,22),0)</f>
        <v/>
      </c>
      <c r="Z210">
        <f>IFERROR(INDEX(PP_Grid[#Data],$DE210,23),0)</f>
        <v/>
      </c>
      <c r="AA210">
        <f>IFERROR(INDEX(PP_Grid[#Data],$DE210,24),0)</f>
        <v/>
      </c>
      <c r="AB210">
        <f>IFERROR(INDEX(PP_Grid[#Data],$DE210,25),0)</f>
        <v/>
      </c>
      <c r="AC210">
        <f>IFERROR(INDEX(PP_Grid[#Data],$DE210,26),0)</f>
        <v/>
      </c>
      <c r="AD210">
        <f>IFERROR(INDEX(PP_Grid[#Data],$DE210,27),0)</f>
        <v/>
      </c>
      <c r="AE210">
        <f>IFERROR(INDEX(PP_Grid[#Data],$DE210,28),0)</f>
        <v/>
      </c>
      <c r="AF210">
        <f>IFERROR(INDEX(PP_Grid[#Data],$DE210,29),0)</f>
        <v/>
      </c>
      <c r="AG210">
        <f>IFERROR(INDEX(PP_Grid[#Data],$DE210,30),0)</f>
        <v/>
      </c>
      <c r="AH210">
        <f>IFERROR(INDEX(PP_Grid[#Data],$DE210,31),0)</f>
        <v/>
      </c>
      <c r="AI210">
        <f>IFERROR(INDEX(PP_Grid[#Data],$DE210,32),0)</f>
        <v/>
      </c>
      <c r="AJ210">
        <f>IFERROR(INDEX(PP_Grid[#Data],$DE210,33),0)</f>
        <v/>
      </c>
      <c r="AK210">
        <f>IFERROR(INDEX(PP_Grid[#Data],$DE210,34),0)</f>
        <v/>
      </c>
      <c r="AL210">
        <f>IFERROR(INDEX(PP_Grid[#Data],$DE210,35),0)</f>
        <v/>
      </c>
      <c r="AM210">
        <f>IFERROR(INDEX(PP_Grid[#Data],$DE210,36),0)</f>
        <v/>
      </c>
      <c r="AN210">
        <f>IFERROR(INDEX(PP_Grid[#Data],$DE210,37),0)</f>
        <v/>
      </c>
      <c r="AO210">
        <f>IFERROR(INDEX(PP_Grid[#Data],$DE210,38),0)</f>
        <v/>
      </c>
      <c r="AP210">
        <f>IFERROR(INDEX(PP_Grid[#Data],$DE210,39),0)</f>
        <v/>
      </c>
      <c r="AQ210">
        <f>IFERROR(INDEX(PP_Grid[#Data],$DE210,40),0)</f>
        <v/>
      </c>
      <c r="AR210">
        <f>IFERROR(INDEX(PP_Grid[#Data],$DE210,41),0)</f>
        <v/>
      </c>
      <c r="AS210">
        <f>IFERROR(INDEX(PP_Grid[#Data],$DE210,42),0)</f>
        <v/>
      </c>
      <c r="AT210">
        <f>IFERROR(INDEX(PP_Grid[#Data],$DE210,43),0)</f>
        <v/>
      </c>
      <c r="AU210">
        <f>IFERROR(INDEX(PP_Grid[#Data],$DE210,44),0)</f>
        <v/>
      </c>
      <c r="AV210">
        <f>IFERROR(INDEX(PP_Grid[#Data],$DE210,45),0)</f>
        <v/>
      </c>
      <c r="AW210">
        <f>IFERROR(INDEX(PP_Grid[#Data],$DE210,46),0)</f>
        <v/>
      </c>
      <c r="AX210">
        <f>IFERROR(INDEX(PP_Grid[#Data],$DE210,47),0)</f>
        <v/>
      </c>
      <c r="AY210">
        <f>IFERROR(INDEX(PP_Grid[#Data],$DE210,48),0)</f>
        <v/>
      </c>
      <c r="AZ210">
        <f>IFERROR(INDEX(PP_Grid[#Data],$DE210,49),0)</f>
        <v/>
      </c>
      <c r="BA210">
        <f>IFERROR(INDEX(PP_Grid[#Data],$DE210,50),0)</f>
        <v/>
      </c>
      <c r="BB210">
        <f>IFERROR(INDEX(PP_Grid[#Data],$DE210,51),0)</f>
        <v/>
      </c>
      <c r="BC210">
        <f>IFERROR(INDEX(PP_Grid[#Data],$DE210,52),0)</f>
        <v/>
      </c>
      <c r="BD210">
        <f>IFERROR(INDEX(PP_Grid[#Data],$DE210,53),0)</f>
        <v/>
      </c>
      <c r="BE210">
        <f>IFERROR(INDEX(PP_Grid[#Data],$DE210,54),0)</f>
        <v/>
      </c>
      <c r="BF210">
        <f>IFERROR(INDEX(PP_Grid[#Data],$DE210,55),0)</f>
        <v/>
      </c>
      <c r="BG210">
        <f>IFERROR(INDEX(PP_Grid[#Data],$DE210,56),0)</f>
        <v/>
      </c>
      <c r="BH210">
        <f>IFERROR(INDEX(PP_Grid[#Data],$DE210,57),0)</f>
        <v/>
      </c>
      <c r="BI210">
        <f>IFERROR(INDEX(PP_Grid[#Data],$DE210,58),0)</f>
        <v/>
      </c>
      <c r="BJ210">
        <f>IFERROR(INDEX(PP_Grid[#Data],$DE210,59),0)</f>
        <v/>
      </c>
      <c r="BK210">
        <f>IFERROR(INDEX(PP_Grid[#Data],$DE210,60),0)</f>
        <v/>
      </c>
      <c r="BL210">
        <f>IFERROR(INDEX(PP_Grid[#Data],$DE210,61),0)</f>
        <v/>
      </c>
      <c r="BM210">
        <f>IFERROR(INDEX(PP_Grid[#Data],$DE210,62),0)</f>
        <v/>
      </c>
      <c r="BN210">
        <f>IFERROR(INDEX(PP_Grid[#Data],$DE210,63),0)</f>
        <v/>
      </c>
      <c r="BO210">
        <f>IFERROR(INDEX(PP_Grid[#Data],$DE210,64),0)</f>
        <v/>
      </c>
      <c r="BP210">
        <f>IFERROR(INDEX(PP_Grid[#Data],$DE210,65),0)</f>
        <v/>
      </c>
      <c r="BQ210">
        <f>IFERROR(INDEX(PP_Grid[#Data],$DE210,66),0)</f>
        <v/>
      </c>
      <c r="BR210">
        <f>IFERROR(INDEX(PP_Grid[#Data],$DE210,67),0)</f>
        <v/>
      </c>
      <c r="BS210">
        <f>IFERROR(INDEX(PP_Grid[#Data],$DE210,68),0)</f>
        <v/>
      </c>
      <c r="BT210">
        <f>IFERROR(INDEX(PP_Grid[#Data],$DE210,69),0)</f>
        <v/>
      </c>
      <c r="BU210">
        <f>IFERROR(INDEX(PP_Grid[#Data],$DE210,70),0)</f>
        <v/>
      </c>
      <c r="BV210">
        <f>IFERROR(INDEX(PP_Grid[#Data],$DE210,71),0)</f>
        <v/>
      </c>
      <c r="BW210">
        <f>IFERROR(INDEX(PP_Grid[#Data],$DE210,72),0)</f>
        <v/>
      </c>
      <c r="BX210">
        <f>IFERROR(INDEX(PP_Grid[#Data],$DE210,73),0)</f>
        <v/>
      </c>
      <c r="BY210">
        <f>IFERROR(INDEX(PP_Grid[#Data],$DE210,74),0)</f>
        <v/>
      </c>
      <c r="BZ210">
        <f>IFERROR(INDEX(PP_Grid[#Data],$DE210,75),0)</f>
        <v/>
      </c>
      <c r="CA210">
        <f>IFERROR(INDEX(PP_Grid[#Data],$DE210,76),0)</f>
        <v/>
      </c>
      <c r="CB210">
        <f>IFERROR(INDEX(PP_Grid[#Data],$DE210,77),0)</f>
        <v/>
      </c>
      <c r="CC210">
        <f>IFERROR(INDEX(PP_Grid[#Data],$DE210,78),0)</f>
        <v/>
      </c>
      <c r="CD210">
        <f>IFERROR(INDEX(PP_Grid[#Data],$DE210,79),0)</f>
        <v/>
      </c>
      <c r="CE210">
        <f>IFERROR(INDEX(PP_Grid[#Data],$DE210,80),0)</f>
        <v/>
      </c>
      <c r="CF210">
        <f>IFERROR(INDEX(PP_Grid[#Data],$DE210,81),0)</f>
        <v/>
      </c>
      <c r="CG210">
        <f>IFERROR(INDEX(PP_Grid[#Data],$DE210,82),0)</f>
        <v/>
      </c>
      <c r="CH210">
        <f>IFERROR(INDEX(PP_Grid[#Data],$DE210,83),0)</f>
        <v/>
      </c>
      <c r="CI210">
        <f>IFERROR(INDEX(PP_Grid[#Data],$DE210,84),0)</f>
        <v/>
      </c>
      <c r="CJ210">
        <f>IFERROR(INDEX(PP_Grid[#Data],$DE210,85),0)</f>
        <v/>
      </c>
      <c r="CK210">
        <f>IFERROR(INDEX(PP_Grid[#Data],$DE210,86),0)</f>
        <v/>
      </c>
      <c r="CL210">
        <f>IFERROR(INDEX(PP_Grid[#Data],$DE210,87),0)</f>
        <v/>
      </c>
      <c r="CM210">
        <f>IFERROR(INDEX(PP_Grid[#Data],$DE210,88),0)</f>
        <v/>
      </c>
      <c r="CN210">
        <f>IFERROR(INDEX(PP_Grid[#Data],$DE210,89),0)</f>
        <v/>
      </c>
      <c r="CO210">
        <f>IFERROR(INDEX(PP_Grid[#Data],$DE210,90),0)</f>
        <v/>
      </c>
      <c r="CP210">
        <f>IFERROR(INDEX(PP_Grid[#Data],$DE210,91),0)</f>
        <v/>
      </c>
      <c r="CQ210">
        <f>IFERROR(INDEX(PP_Grid[#Data],$DE210,92),0)</f>
        <v/>
      </c>
      <c r="CR210">
        <f>IFERROR(INDEX(PP_Grid[#Data],$DE210,93),0)</f>
        <v/>
      </c>
      <c r="CS210">
        <f>IFERROR(INDEX(PP_Grid[#Data],$DE210,94),0)</f>
        <v/>
      </c>
      <c r="CT210">
        <f>IFERROR(INDEX(PP_Grid[#Data],$DE210,95),0)</f>
        <v/>
      </c>
      <c r="CU210">
        <f>IFERROR(INDEX(PP_Grid[#Data],$DE210,96),0)</f>
        <v/>
      </c>
      <c r="CV210">
        <f>IFERROR(INDEX(PP_Grid[#Data],$DE210,97),0)</f>
        <v/>
      </c>
      <c r="CW210">
        <f>IFERROR(INDEX(PP_Grid[#Data],$DE210,98),0)</f>
        <v/>
      </c>
      <c r="CX210">
        <f>IFERROR(INDEX(PP_Grid[#Data],$DE210,99),0)</f>
        <v/>
      </c>
      <c r="CY210">
        <f>IFERROR(INDEX(PP_Grid[#Data],$DE210,100),0)</f>
        <v/>
      </c>
      <c r="CZ210">
        <f>IFERROR(INDEX(PP_Grid[#Data],$DE210,101),0)</f>
        <v/>
      </c>
      <c r="DA210">
        <f>IFERROR(INDEX(PP_Grid[#Data],$DE210,102),0)</f>
        <v/>
      </c>
      <c r="DB210">
        <f>IFERROR(INDEX(PP_Grid[#Data],$DE210,103),0)</f>
        <v/>
      </c>
      <c r="DC210">
        <f>IFERROR(INDEX(PP_Grid[#Data],$DE210,104),0)</f>
        <v/>
      </c>
      <c r="DD210">
        <f>IFERROR(INDEX(PP_Grid[#Data],$DE210,105),0)</f>
        <v/>
      </c>
      <c r="DE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SUMIFS(M_BOM[RM_Qty_Per_Batch],M_BOM[Intermediate],$B210,M_BOM[RM_Code],$A199)</f>
        <v/>
      </c>
      <c r="D211">
        <f>IFERROR(INDEX(E211:DD211,$F$1),"")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  <c r="DD211">
        <f>$C211*DD210</f>
        <v/>
      </c>
    </row>
    <row r="212">
      <c r="B212" t="inlineStr">
        <is>
          <t>TSP-205</t>
        </is>
      </c>
      <c r="C212" t="inlineStr">
        <is>
          <t>No. of batches</t>
        </is>
      </c>
      <c r="D212">
        <f>IFERROR(INDEX(E212:DD212,$F$1),"")</f>
        <v/>
      </c>
      <c r="E212">
        <f>IFERROR(INDEX(PP_Grid[#Data],$DE212,2),0)</f>
        <v/>
      </c>
      <c r="F212">
        <f>IFERROR(INDEX(PP_Grid[#Data],$DE212,3),0)</f>
        <v/>
      </c>
      <c r="G212">
        <f>IFERROR(INDEX(PP_Grid[#Data],$DE212,4),0)</f>
        <v/>
      </c>
      <c r="H212">
        <f>IFERROR(INDEX(PP_Grid[#Data],$DE212,5),0)</f>
        <v/>
      </c>
      <c r="I212">
        <f>IFERROR(INDEX(PP_Grid[#Data],$DE212,6),0)</f>
        <v/>
      </c>
      <c r="J212">
        <f>IFERROR(INDEX(PP_Grid[#Data],$DE212,7),0)</f>
        <v/>
      </c>
      <c r="K212">
        <f>IFERROR(INDEX(PP_Grid[#Data],$DE212,8),0)</f>
        <v/>
      </c>
      <c r="L212">
        <f>IFERROR(INDEX(PP_Grid[#Data],$DE212,9),0)</f>
        <v/>
      </c>
      <c r="M212">
        <f>IFERROR(INDEX(PP_Grid[#Data],$DE212,10),0)</f>
        <v/>
      </c>
      <c r="N212">
        <f>IFERROR(INDEX(PP_Grid[#Data],$DE212,11),0)</f>
        <v/>
      </c>
      <c r="O212">
        <f>IFERROR(INDEX(PP_Grid[#Data],$DE212,12),0)</f>
        <v/>
      </c>
      <c r="P212">
        <f>IFERROR(INDEX(PP_Grid[#Data],$DE212,13),0)</f>
        <v/>
      </c>
      <c r="Q212">
        <f>IFERROR(INDEX(PP_Grid[#Data],$DE212,14),0)</f>
        <v/>
      </c>
      <c r="R212">
        <f>IFERROR(INDEX(PP_Grid[#Data],$DE212,15),0)</f>
        <v/>
      </c>
      <c r="S212">
        <f>IFERROR(INDEX(PP_Grid[#Data],$DE212,16),0)</f>
        <v/>
      </c>
      <c r="T212">
        <f>IFERROR(INDEX(PP_Grid[#Data],$DE212,17),0)</f>
        <v/>
      </c>
      <c r="U212">
        <f>IFERROR(INDEX(PP_Grid[#Data],$DE212,18),0)</f>
        <v/>
      </c>
      <c r="V212">
        <f>IFERROR(INDEX(PP_Grid[#Data],$DE212,19),0)</f>
        <v/>
      </c>
      <c r="W212">
        <f>IFERROR(INDEX(PP_Grid[#Data],$DE212,20),0)</f>
        <v/>
      </c>
      <c r="X212">
        <f>IFERROR(INDEX(PP_Grid[#Data],$DE212,21),0)</f>
        <v/>
      </c>
      <c r="Y212">
        <f>IFERROR(INDEX(PP_Grid[#Data],$DE212,22),0)</f>
        <v/>
      </c>
      <c r="Z212">
        <f>IFERROR(INDEX(PP_Grid[#Data],$DE212,23),0)</f>
        <v/>
      </c>
      <c r="AA212">
        <f>IFERROR(INDEX(PP_Grid[#Data],$DE212,24),0)</f>
        <v/>
      </c>
      <c r="AB212">
        <f>IFERROR(INDEX(PP_Grid[#Data],$DE212,25),0)</f>
        <v/>
      </c>
      <c r="AC212">
        <f>IFERROR(INDEX(PP_Grid[#Data],$DE212,26),0)</f>
        <v/>
      </c>
      <c r="AD212">
        <f>IFERROR(INDEX(PP_Grid[#Data],$DE212,27),0)</f>
        <v/>
      </c>
      <c r="AE212">
        <f>IFERROR(INDEX(PP_Grid[#Data],$DE212,28),0)</f>
        <v/>
      </c>
      <c r="AF212">
        <f>IFERROR(INDEX(PP_Grid[#Data],$DE212,29),0)</f>
        <v/>
      </c>
      <c r="AG212">
        <f>IFERROR(INDEX(PP_Grid[#Data],$DE212,30),0)</f>
        <v/>
      </c>
      <c r="AH212">
        <f>IFERROR(INDEX(PP_Grid[#Data],$DE212,31),0)</f>
        <v/>
      </c>
      <c r="AI212">
        <f>IFERROR(INDEX(PP_Grid[#Data],$DE212,32),0)</f>
        <v/>
      </c>
      <c r="AJ212">
        <f>IFERROR(INDEX(PP_Grid[#Data],$DE212,33),0)</f>
        <v/>
      </c>
      <c r="AK212">
        <f>IFERROR(INDEX(PP_Grid[#Data],$DE212,34),0)</f>
        <v/>
      </c>
      <c r="AL212">
        <f>IFERROR(INDEX(PP_Grid[#Data],$DE212,35),0)</f>
        <v/>
      </c>
      <c r="AM212">
        <f>IFERROR(INDEX(PP_Grid[#Data],$DE212,36),0)</f>
        <v/>
      </c>
      <c r="AN212">
        <f>IFERROR(INDEX(PP_Grid[#Data],$DE212,37),0)</f>
        <v/>
      </c>
      <c r="AO212">
        <f>IFERROR(INDEX(PP_Grid[#Data],$DE212,38),0)</f>
        <v/>
      </c>
      <c r="AP212">
        <f>IFERROR(INDEX(PP_Grid[#Data],$DE212,39),0)</f>
        <v/>
      </c>
      <c r="AQ212">
        <f>IFERROR(INDEX(PP_Grid[#Data],$DE212,40),0)</f>
        <v/>
      </c>
      <c r="AR212">
        <f>IFERROR(INDEX(PP_Grid[#Data],$DE212,41),0)</f>
        <v/>
      </c>
      <c r="AS212">
        <f>IFERROR(INDEX(PP_Grid[#Data],$DE212,42),0)</f>
        <v/>
      </c>
      <c r="AT212">
        <f>IFERROR(INDEX(PP_Grid[#Data],$DE212,43),0)</f>
        <v/>
      </c>
      <c r="AU212">
        <f>IFERROR(INDEX(PP_Grid[#Data],$DE212,44),0)</f>
        <v/>
      </c>
      <c r="AV212">
        <f>IFERROR(INDEX(PP_Grid[#Data],$DE212,45),0)</f>
        <v/>
      </c>
      <c r="AW212">
        <f>IFERROR(INDEX(PP_Grid[#Data],$DE212,46),0)</f>
        <v/>
      </c>
      <c r="AX212">
        <f>IFERROR(INDEX(PP_Grid[#Data],$DE212,47),0)</f>
        <v/>
      </c>
      <c r="AY212">
        <f>IFERROR(INDEX(PP_Grid[#Data],$DE212,48),0)</f>
        <v/>
      </c>
      <c r="AZ212">
        <f>IFERROR(INDEX(PP_Grid[#Data],$DE212,49),0)</f>
        <v/>
      </c>
      <c r="BA212">
        <f>IFERROR(INDEX(PP_Grid[#Data],$DE212,50),0)</f>
        <v/>
      </c>
      <c r="BB212">
        <f>IFERROR(INDEX(PP_Grid[#Data],$DE212,51),0)</f>
        <v/>
      </c>
      <c r="BC212">
        <f>IFERROR(INDEX(PP_Grid[#Data],$DE212,52),0)</f>
        <v/>
      </c>
      <c r="BD212">
        <f>IFERROR(INDEX(PP_Grid[#Data],$DE212,53),0)</f>
        <v/>
      </c>
      <c r="BE212">
        <f>IFERROR(INDEX(PP_Grid[#Data],$DE212,54),0)</f>
        <v/>
      </c>
      <c r="BF212">
        <f>IFERROR(INDEX(PP_Grid[#Data],$DE212,55),0)</f>
        <v/>
      </c>
      <c r="BG212">
        <f>IFERROR(INDEX(PP_Grid[#Data],$DE212,56),0)</f>
        <v/>
      </c>
      <c r="BH212">
        <f>IFERROR(INDEX(PP_Grid[#Data],$DE212,57),0)</f>
        <v/>
      </c>
      <c r="BI212">
        <f>IFERROR(INDEX(PP_Grid[#Data],$DE212,58),0)</f>
        <v/>
      </c>
      <c r="BJ212">
        <f>IFERROR(INDEX(PP_Grid[#Data],$DE212,59),0)</f>
        <v/>
      </c>
      <c r="BK212">
        <f>IFERROR(INDEX(PP_Grid[#Data],$DE212,60),0)</f>
        <v/>
      </c>
      <c r="BL212">
        <f>IFERROR(INDEX(PP_Grid[#Data],$DE212,61),0)</f>
        <v/>
      </c>
      <c r="BM212">
        <f>IFERROR(INDEX(PP_Grid[#Data],$DE212,62),0)</f>
        <v/>
      </c>
      <c r="BN212">
        <f>IFERROR(INDEX(PP_Grid[#Data],$DE212,63),0)</f>
        <v/>
      </c>
      <c r="BO212">
        <f>IFERROR(INDEX(PP_Grid[#Data],$DE212,64),0)</f>
        <v/>
      </c>
      <c r="BP212">
        <f>IFERROR(INDEX(PP_Grid[#Data],$DE212,65),0)</f>
        <v/>
      </c>
      <c r="BQ212">
        <f>IFERROR(INDEX(PP_Grid[#Data],$DE212,66),0)</f>
        <v/>
      </c>
      <c r="BR212">
        <f>IFERROR(INDEX(PP_Grid[#Data],$DE212,67),0)</f>
        <v/>
      </c>
      <c r="BS212">
        <f>IFERROR(INDEX(PP_Grid[#Data],$DE212,68),0)</f>
        <v/>
      </c>
      <c r="BT212">
        <f>IFERROR(INDEX(PP_Grid[#Data],$DE212,69),0)</f>
        <v/>
      </c>
      <c r="BU212">
        <f>IFERROR(INDEX(PP_Grid[#Data],$DE212,70),0)</f>
        <v/>
      </c>
      <c r="BV212">
        <f>IFERROR(INDEX(PP_Grid[#Data],$DE212,71),0)</f>
        <v/>
      </c>
      <c r="BW212">
        <f>IFERROR(INDEX(PP_Grid[#Data],$DE212,72),0)</f>
        <v/>
      </c>
      <c r="BX212">
        <f>IFERROR(INDEX(PP_Grid[#Data],$DE212,73),0)</f>
        <v/>
      </c>
      <c r="BY212">
        <f>IFERROR(INDEX(PP_Grid[#Data],$DE212,74),0)</f>
        <v/>
      </c>
      <c r="BZ212">
        <f>IFERROR(INDEX(PP_Grid[#Data],$DE212,75),0)</f>
        <v/>
      </c>
      <c r="CA212">
        <f>IFERROR(INDEX(PP_Grid[#Data],$DE212,76),0)</f>
        <v/>
      </c>
      <c r="CB212">
        <f>IFERROR(INDEX(PP_Grid[#Data],$DE212,77),0)</f>
        <v/>
      </c>
      <c r="CC212">
        <f>IFERROR(INDEX(PP_Grid[#Data],$DE212,78),0)</f>
        <v/>
      </c>
      <c r="CD212">
        <f>IFERROR(INDEX(PP_Grid[#Data],$DE212,79),0)</f>
        <v/>
      </c>
      <c r="CE212">
        <f>IFERROR(INDEX(PP_Grid[#Data],$DE212,80),0)</f>
        <v/>
      </c>
      <c r="CF212">
        <f>IFERROR(INDEX(PP_Grid[#Data],$DE212,81),0)</f>
        <v/>
      </c>
      <c r="CG212">
        <f>IFERROR(INDEX(PP_Grid[#Data],$DE212,82),0)</f>
        <v/>
      </c>
      <c r="CH212">
        <f>IFERROR(INDEX(PP_Grid[#Data],$DE212,83),0)</f>
        <v/>
      </c>
      <c r="CI212">
        <f>IFERROR(INDEX(PP_Grid[#Data],$DE212,84),0)</f>
        <v/>
      </c>
      <c r="CJ212">
        <f>IFERROR(INDEX(PP_Grid[#Data],$DE212,85),0)</f>
        <v/>
      </c>
      <c r="CK212">
        <f>IFERROR(INDEX(PP_Grid[#Data],$DE212,86),0)</f>
        <v/>
      </c>
      <c r="CL212">
        <f>IFERROR(INDEX(PP_Grid[#Data],$DE212,87),0)</f>
        <v/>
      </c>
      <c r="CM212">
        <f>IFERROR(INDEX(PP_Grid[#Data],$DE212,88),0)</f>
        <v/>
      </c>
      <c r="CN212">
        <f>IFERROR(INDEX(PP_Grid[#Data],$DE212,89),0)</f>
        <v/>
      </c>
      <c r="CO212">
        <f>IFERROR(INDEX(PP_Grid[#Data],$DE212,90),0)</f>
        <v/>
      </c>
      <c r="CP212">
        <f>IFERROR(INDEX(PP_Grid[#Data],$DE212,91),0)</f>
        <v/>
      </c>
      <c r="CQ212">
        <f>IFERROR(INDEX(PP_Grid[#Data],$DE212,92),0)</f>
        <v/>
      </c>
      <c r="CR212">
        <f>IFERROR(INDEX(PP_Grid[#Data],$DE212,93),0)</f>
        <v/>
      </c>
      <c r="CS212">
        <f>IFERROR(INDEX(PP_Grid[#Data],$DE212,94),0)</f>
        <v/>
      </c>
      <c r="CT212">
        <f>IFERROR(INDEX(PP_Grid[#Data],$DE212,95),0)</f>
        <v/>
      </c>
      <c r="CU212">
        <f>IFERROR(INDEX(PP_Grid[#Data],$DE212,96),0)</f>
        <v/>
      </c>
      <c r="CV212">
        <f>IFERROR(INDEX(PP_Grid[#Data],$DE212,97),0)</f>
        <v/>
      </c>
      <c r="CW212">
        <f>IFERROR(INDEX(PP_Grid[#Data],$DE212,98),0)</f>
        <v/>
      </c>
      <c r="CX212">
        <f>IFERROR(INDEX(PP_Grid[#Data],$DE212,99),0)</f>
        <v/>
      </c>
      <c r="CY212">
        <f>IFERROR(INDEX(PP_Grid[#Data],$DE212,100),0)</f>
        <v/>
      </c>
      <c r="CZ212">
        <f>IFERROR(INDEX(PP_Grid[#Data],$DE212,101),0)</f>
        <v/>
      </c>
      <c r="DA212">
        <f>IFERROR(INDEX(PP_Grid[#Data],$DE212,102),0)</f>
        <v/>
      </c>
      <c r="DB212">
        <f>IFERROR(INDEX(PP_Grid[#Data],$DE212,103),0)</f>
        <v/>
      </c>
      <c r="DC212">
        <f>IFERROR(INDEX(PP_Grid[#Data],$DE212,104),0)</f>
        <v/>
      </c>
      <c r="DD212">
        <f>IFERROR(INDEX(PP_Grid[#Data],$DE212,105),0)</f>
        <v/>
      </c>
      <c r="DE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SUMIFS(M_BOM[RM_Qty_Per_Batch],M_BOM[Intermediate],$B212,M_BOM[RM_Code],$A199)</f>
        <v/>
      </c>
      <c r="D213">
        <f>IFERROR(INDEX(E213:DD213,$F$1),"")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  <c r="DD213">
        <f>$C213*DD212</f>
        <v/>
      </c>
    </row>
    <row r="214">
      <c r="B214" t="inlineStr">
        <is>
          <t>TSP-218</t>
        </is>
      </c>
      <c r="C214" t="inlineStr">
        <is>
          <t>No. of batches</t>
        </is>
      </c>
      <c r="D214">
        <f>IFERROR(INDEX(E214:DD214,$F$1),"")</f>
        <v/>
      </c>
      <c r="E214">
        <f>IFERROR(INDEX(PP_Grid[#Data],$DE214,2),0)</f>
        <v/>
      </c>
      <c r="F214">
        <f>IFERROR(INDEX(PP_Grid[#Data],$DE214,3),0)</f>
        <v/>
      </c>
      <c r="G214">
        <f>IFERROR(INDEX(PP_Grid[#Data],$DE214,4),0)</f>
        <v/>
      </c>
      <c r="H214">
        <f>IFERROR(INDEX(PP_Grid[#Data],$DE214,5),0)</f>
        <v/>
      </c>
      <c r="I214">
        <f>IFERROR(INDEX(PP_Grid[#Data],$DE214,6),0)</f>
        <v/>
      </c>
      <c r="J214">
        <f>IFERROR(INDEX(PP_Grid[#Data],$DE214,7),0)</f>
        <v/>
      </c>
      <c r="K214">
        <f>IFERROR(INDEX(PP_Grid[#Data],$DE214,8),0)</f>
        <v/>
      </c>
      <c r="L214">
        <f>IFERROR(INDEX(PP_Grid[#Data],$DE214,9),0)</f>
        <v/>
      </c>
      <c r="M214">
        <f>IFERROR(INDEX(PP_Grid[#Data],$DE214,10),0)</f>
        <v/>
      </c>
      <c r="N214">
        <f>IFERROR(INDEX(PP_Grid[#Data],$DE214,11),0)</f>
        <v/>
      </c>
      <c r="O214">
        <f>IFERROR(INDEX(PP_Grid[#Data],$DE214,12),0)</f>
        <v/>
      </c>
      <c r="P214">
        <f>IFERROR(INDEX(PP_Grid[#Data],$DE214,13),0)</f>
        <v/>
      </c>
      <c r="Q214">
        <f>IFERROR(INDEX(PP_Grid[#Data],$DE214,14),0)</f>
        <v/>
      </c>
      <c r="R214">
        <f>IFERROR(INDEX(PP_Grid[#Data],$DE214,15),0)</f>
        <v/>
      </c>
      <c r="S214">
        <f>IFERROR(INDEX(PP_Grid[#Data],$DE214,16),0)</f>
        <v/>
      </c>
      <c r="T214">
        <f>IFERROR(INDEX(PP_Grid[#Data],$DE214,17),0)</f>
        <v/>
      </c>
      <c r="U214">
        <f>IFERROR(INDEX(PP_Grid[#Data],$DE214,18),0)</f>
        <v/>
      </c>
      <c r="V214">
        <f>IFERROR(INDEX(PP_Grid[#Data],$DE214,19),0)</f>
        <v/>
      </c>
      <c r="W214">
        <f>IFERROR(INDEX(PP_Grid[#Data],$DE214,20),0)</f>
        <v/>
      </c>
      <c r="X214">
        <f>IFERROR(INDEX(PP_Grid[#Data],$DE214,21),0)</f>
        <v/>
      </c>
      <c r="Y214">
        <f>IFERROR(INDEX(PP_Grid[#Data],$DE214,22),0)</f>
        <v/>
      </c>
      <c r="Z214">
        <f>IFERROR(INDEX(PP_Grid[#Data],$DE214,23),0)</f>
        <v/>
      </c>
      <c r="AA214">
        <f>IFERROR(INDEX(PP_Grid[#Data],$DE214,24),0)</f>
        <v/>
      </c>
      <c r="AB214">
        <f>IFERROR(INDEX(PP_Grid[#Data],$DE214,25),0)</f>
        <v/>
      </c>
      <c r="AC214">
        <f>IFERROR(INDEX(PP_Grid[#Data],$DE214,26),0)</f>
        <v/>
      </c>
      <c r="AD214">
        <f>IFERROR(INDEX(PP_Grid[#Data],$DE214,27),0)</f>
        <v/>
      </c>
      <c r="AE214">
        <f>IFERROR(INDEX(PP_Grid[#Data],$DE214,28),0)</f>
        <v/>
      </c>
      <c r="AF214">
        <f>IFERROR(INDEX(PP_Grid[#Data],$DE214,29),0)</f>
        <v/>
      </c>
      <c r="AG214">
        <f>IFERROR(INDEX(PP_Grid[#Data],$DE214,30),0)</f>
        <v/>
      </c>
      <c r="AH214">
        <f>IFERROR(INDEX(PP_Grid[#Data],$DE214,31),0)</f>
        <v/>
      </c>
      <c r="AI214">
        <f>IFERROR(INDEX(PP_Grid[#Data],$DE214,32),0)</f>
        <v/>
      </c>
      <c r="AJ214">
        <f>IFERROR(INDEX(PP_Grid[#Data],$DE214,33),0)</f>
        <v/>
      </c>
      <c r="AK214">
        <f>IFERROR(INDEX(PP_Grid[#Data],$DE214,34),0)</f>
        <v/>
      </c>
      <c r="AL214">
        <f>IFERROR(INDEX(PP_Grid[#Data],$DE214,35),0)</f>
        <v/>
      </c>
      <c r="AM214">
        <f>IFERROR(INDEX(PP_Grid[#Data],$DE214,36),0)</f>
        <v/>
      </c>
      <c r="AN214">
        <f>IFERROR(INDEX(PP_Grid[#Data],$DE214,37),0)</f>
        <v/>
      </c>
      <c r="AO214">
        <f>IFERROR(INDEX(PP_Grid[#Data],$DE214,38),0)</f>
        <v/>
      </c>
      <c r="AP214">
        <f>IFERROR(INDEX(PP_Grid[#Data],$DE214,39),0)</f>
        <v/>
      </c>
      <c r="AQ214">
        <f>IFERROR(INDEX(PP_Grid[#Data],$DE214,40),0)</f>
        <v/>
      </c>
      <c r="AR214">
        <f>IFERROR(INDEX(PP_Grid[#Data],$DE214,41),0)</f>
        <v/>
      </c>
      <c r="AS214">
        <f>IFERROR(INDEX(PP_Grid[#Data],$DE214,42),0)</f>
        <v/>
      </c>
      <c r="AT214">
        <f>IFERROR(INDEX(PP_Grid[#Data],$DE214,43),0)</f>
        <v/>
      </c>
      <c r="AU214">
        <f>IFERROR(INDEX(PP_Grid[#Data],$DE214,44),0)</f>
        <v/>
      </c>
      <c r="AV214">
        <f>IFERROR(INDEX(PP_Grid[#Data],$DE214,45),0)</f>
        <v/>
      </c>
      <c r="AW214">
        <f>IFERROR(INDEX(PP_Grid[#Data],$DE214,46),0)</f>
        <v/>
      </c>
      <c r="AX214">
        <f>IFERROR(INDEX(PP_Grid[#Data],$DE214,47),0)</f>
        <v/>
      </c>
      <c r="AY214">
        <f>IFERROR(INDEX(PP_Grid[#Data],$DE214,48),0)</f>
        <v/>
      </c>
      <c r="AZ214">
        <f>IFERROR(INDEX(PP_Grid[#Data],$DE214,49),0)</f>
        <v/>
      </c>
      <c r="BA214">
        <f>IFERROR(INDEX(PP_Grid[#Data],$DE214,50),0)</f>
        <v/>
      </c>
      <c r="BB214">
        <f>IFERROR(INDEX(PP_Grid[#Data],$DE214,51),0)</f>
        <v/>
      </c>
      <c r="BC214">
        <f>IFERROR(INDEX(PP_Grid[#Data],$DE214,52),0)</f>
        <v/>
      </c>
      <c r="BD214">
        <f>IFERROR(INDEX(PP_Grid[#Data],$DE214,53),0)</f>
        <v/>
      </c>
      <c r="BE214">
        <f>IFERROR(INDEX(PP_Grid[#Data],$DE214,54),0)</f>
        <v/>
      </c>
      <c r="BF214">
        <f>IFERROR(INDEX(PP_Grid[#Data],$DE214,55),0)</f>
        <v/>
      </c>
      <c r="BG214">
        <f>IFERROR(INDEX(PP_Grid[#Data],$DE214,56),0)</f>
        <v/>
      </c>
      <c r="BH214">
        <f>IFERROR(INDEX(PP_Grid[#Data],$DE214,57),0)</f>
        <v/>
      </c>
      <c r="BI214">
        <f>IFERROR(INDEX(PP_Grid[#Data],$DE214,58),0)</f>
        <v/>
      </c>
      <c r="BJ214">
        <f>IFERROR(INDEX(PP_Grid[#Data],$DE214,59),0)</f>
        <v/>
      </c>
      <c r="BK214">
        <f>IFERROR(INDEX(PP_Grid[#Data],$DE214,60),0)</f>
        <v/>
      </c>
      <c r="BL214">
        <f>IFERROR(INDEX(PP_Grid[#Data],$DE214,61),0)</f>
        <v/>
      </c>
      <c r="BM214">
        <f>IFERROR(INDEX(PP_Grid[#Data],$DE214,62),0)</f>
        <v/>
      </c>
      <c r="BN214">
        <f>IFERROR(INDEX(PP_Grid[#Data],$DE214,63),0)</f>
        <v/>
      </c>
      <c r="BO214">
        <f>IFERROR(INDEX(PP_Grid[#Data],$DE214,64),0)</f>
        <v/>
      </c>
      <c r="BP214">
        <f>IFERROR(INDEX(PP_Grid[#Data],$DE214,65),0)</f>
        <v/>
      </c>
      <c r="BQ214">
        <f>IFERROR(INDEX(PP_Grid[#Data],$DE214,66),0)</f>
        <v/>
      </c>
      <c r="BR214">
        <f>IFERROR(INDEX(PP_Grid[#Data],$DE214,67),0)</f>
        <v/>
      </c>
      <c r="BS214">
        <f>IFERROR(INDEX(PP_Grid[#Data],$DE214,68),0)</f>
        <v/>
      </c>
      <c r="BT214">
        <f>IFERROR(INDEX(PP_Grid[#Data],$DE214,69),0)</f>
        <v/>
      </c>
      <c r="BU214">
        <f>IFERROR(INDEX(PP_Grid[#Data],$DE214,70),0)</f>
        <v/>
      </c>
      <c r="BV214">
        <f>IFERROR(INDEX(PP_Grid[#Data],$DE214,71),0)</f>
        <v/>
      </c>
      <c r="BW214">
        <f>IFERROR(INDEX(PP_Grid[#Data],$DE214,72),0)</f>
        <v/>
      </c>
      <c r="BX214">
        <f>IFERROR(INDEX(PP_Grid[#Data],$DE214,73),0)</f>
        <v/>
      </c>
      <c r="BY214">
        <f>IFERROR(INDEX(PP_Grid[#Data],$DE214,74),0)</f>
        <v/>
      </c>
      <c r="BZ214">
        <f>IFERROR(INDEX(PP_Grid[#Data],$DE214,75),0)</f>
        <v/>
      </c>
      <c r="CA214">
        <f>IFERROR(INDEX(PP_Grid[#Data],$DE214,76),0)</f>
        <v/>
      </c>
      <c r="CB214">
        <f>IFERROR(INDEX(PP_Grid[#Data],$DE214,77),0)</f>
        <v/>
      </c>
      <c r="CC214">
        <f>IFERROR(INDEX(PP_Grid[#Data],$DE214,78),0)</f>
        <v/>
      </c>
      <c r="CD214">
        <f>IFERROR(INDEX(PP_Grid[#Data],$DE214,79),0)</f>
        <v/>
      </c>
      <c r="CE214">
        <f>IFERROR(INDEX(PP_Grid[#Data],$DE214,80),0)</f>
        <v/>
      </c>
      <c r="CF214">
        <f>IFERROR(INDEX(PP_Grid[#Data],$DE214,81),0)</f>
        <v/>
      </c>
      <c r="CG214">
        <f>IFERROR(INDEX(PP_Grid[#Data],$DE214,82),0)</f>
        <v/>
      </c>
      <c r="CH214">
        <f>IFERROR(INDEX(PP_Grid[#Data],$DE214,83),0)</f>
        <v/>
      </c>
      <c r="CI214">
        <f>IFERROR(INDEX(PP_Grid[#Data],$DE214,84),0)</f>
        <v/>
      </c>
      <c r="CJ214">
        <f>IFERROR(INDEX(PP_Grid[#Data],$DE214,85),0)</f>
        <v/>
      </c>
      <c r="CK214">
        <f>IFERROR(INDEX(PP_Grid[#Data],$DE214,86),0)</f>
        <v/>
      </c>
      <c r="CL214">
        <f>IFERROR(INDEX(PP_Grid[#Data],$DE214,87),0)</f>
        <v/>
      </c>
      <c r="CM214">
        <f>IFERROR(INDEX(PP_Grid[#Data],$DE214,88),0)</f>
        <v/>
      </c>
      <c r="CN214">
        <f>IFERROR(INDEX(PP_Grid[#Data],$DE214,89),0)</f>
        <v/>
      </c>
      <c r="CO214">
        <f>IFERROR(INDEX(PP_Grid[#Data],$DE214,90),0)</f>
        <v/>
      </c>
      <c r="CP214">
        <f>IFERROR(INDEX(PP_Grid[#Data],$DE214,91),0)</f>
        <v/>
      </c>
      <c r="CQ214">
        <f>IFERROR(INDEX(PP_Grid[#Data],$DE214,92),0)</f>
        <v/>
      </c>
      <c r="CR214">
        <f>IFERROR(INDEX(PP_Grid[#Data],$DE214,93),0)</f>
        <v/>
      </c>
      <c r="CS214">
        <f>IFERROR(INDEX(PP_Grid[#Data],$DE214,94),0)</f>
        <v/>
      </c>
      <c r="CT214">
        <f>IFERROR(INDEX(PP_Grid[#Data],$DE214,95),0)</f>
        <v/>
      </c>
      <c r="CU214">
        <f>IFERROR(INDEX(PP_Grid[#Data],$DE214,96),0)</f>
        <v/>
      </c>
      <c r="CV214">
        <f>IFERROR(INDEX(PP_Grid[#Data],$DE214,97),0)</f>
        <v/>
      </c>
      <c r="CW214">
        <f>IFERROR(INDEX(PP_Grid[#Data],$DE214,98),0)</f>
        <v/>
      </c>
      <c r="CX214">
        <f>IFERROR(INDEX(PP_Grid[#Data],$DE214,99),0)</f>
        <v/>
      </c>
      <c r="CY214">
        <f>IFERROR(INDEX(PP_Grid[#Data],$DE214,100),0)</f>
        <v/>
      </c>
      <c r="CZ214">
        <f>IFERROR(INDEX(PP_Grid[#Data],$DE214,101),0)</f>
        <v/>
      </c>
      <c r="DA214">
        <f>IFERROR(INDEX(PP_Grid[#Data],$DE214,102),0)</f>
        <v/>
      </c>
      <c r="DB214">
        <f>IFERROR(INDEX(PP_Grid[#Data],$DE214,103),0)</f>
        <v/>
      </c>
      <c r="DC214">
        <f>IFERROR(INDEX(PP_Grid[#Data],$DE214,104),0)</f>
        <v/>
      </c>
      <c r="DD214">
        <f>IFERROR(INDEX(PP_Grid[#Data],$DE214,105),0)</f>
        <v/>
      </c>
      <c r="DE214" s="7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SUMIFS(M_BOM[RM_Qty_Per_Batch],M_BOM[Intermediate],$B214,M_BOM[RM_Code],$A199)</f>
        <v/>
      </c>
      <c r="D215">
        <f>IFERROR(INDEX(E215:DD215,$F$1),"")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  <c r="DD215">
        <f>$C215*DD214</f>
        <v/>
      </c>
    </row>
    <row r="216">
      <c r="B216" t="inlineStr">
        <is>
          <t>TSP-224</t>
        </is>
      </c>
      <c r="C216" t="inlineStr">
        <is>
          <t>No. of batches</t>
        </is>
      </c>
      <c r="D216">
        <f>IFERROR(INDEX(E216:DD216,$F$1),"")</f>
        <v/>
      </c>
      <c r="E216">
        <f>IFERROR(INDEX(PP_Grid[#Data],$DE216,2),0)</f>
        <v/>
      </c>
      <c r="F216">
        <f>IFERROR(INDEX(PP_Grid[#Data],$DE216,3),0)</f>
        <v/>
      </c>
      <c r="G216">
        <f>IFERROR(INDEX(PP_Grid[#Data],$DE216,4),0)</f>
        <v/>
      </c>
      <c r="H216">
        <f>IFERROR(INDEX(PP_Grid[#Data],$DE216,5),0)</f>
        <v/>
      </c>
      <c r="I216">
        <f>IFERROR(INDEX(PP_Grid[#Data],$DE216,6),0)</f>
        <v/>
      </c>
      <c r="J216">
        <f>IFERROR(INDEX(PP_Grid[#Data],$DE216,7),0)</f>
        <v/>
      </c>
      <c r="K216">
        <f>IFERROR(INDEX(PP_Grid[#Data],$DE216,8),0)</f>
        <v/>
      </c>
      <c r="L216">
        <f>IFERROR(INDEX(PP_Grid[#Data],$DE216,9),0)</f>
        <v/>
      </c>
      <c r="M216">
        <f>IFERROR(INDEX(PP_Grid[#Data],$DE216,10),0)</f>
        <v/>
      </c>
      <c r="N216">
        <f>IFERROR(INDEX(PP_Grid[#Data],$DE216,11),0)</f>
        <v/>
      </c>
      <c r="O216">
        <f>IFERROR(INDEX(PP_Grid[#Data],$DE216,12),0)</f>
        <v/>
      </c>
      <c r="P216">
        <f>IFERROR(INDEX(PP_Grid[#Data],$DE216,13),0)</f>
        <v/>
      </c>
      <c r="Q216">
        <f>IFERROR(INDEX(PP_Grid[#Data],$DE216,14),0)</f>
        <v/>
      </c>
      <c r="R216">
        <f>IFERROR(INDEX(PP_Grid[#Data],$DE216,15),0)</f>
        <v/>
      </c>
      <c r="S216">
        <f>IFERROR(INDEX(PP_Grid[#Data],$DE216,16),0)</f>
        <v/>
      </c>
      <c r="T216">
        <f>IFERROR(INDEX(PP_Grid[#Data],$DE216,17),0)</f>
        <v/>
      </c>
      <c r="U216">
        <f>IFERROR(INDEX(PP_Grid[#Data],$DE216,18),0)</f>
        <v/>
      </c>
      <c r="V216">
        <f>IFERROR(INDEX(PP_Grid[#Data],$DE216,19),0)</f>
        <v/>
      </c>
      <c r="W216">
        <f>IFERROR(INDEX(PP_Grid[#Data],$DE216,20),0)</f>
        <v/>
      </c>
      <c r="X216">
        <f>IFERROR(INDEX(PP_Grid[#Data],$DE216,21),0)</f>
        <v/>
      </c>
      <c r="Y216">
        <f>IFERROR(INDEX(PP_Grid[#Data],$DE216,22),0)</f>
        <v/>
      </c>
      <c r="Z216">
        <f>IFERROR(INDEX(PP_Grid[#Data],$DE216,23),0)</f>
        <v/>
      </c>
      <c r="AA216">
        <f>IFERROR(INDEX(PP_Grid[#Data],$DE216,24),0)</f>
        <v/>
      </c>
      <c r="AB216">
        <f>IFERROR(INDEX(PP_Grid[#Data],$DE216,25),0)</f>
        <v/>
      </c>
      <c r="AC216">
        <f>IFERROR(INDEX(PP_Grid[#Data],$DE216,26),0)</f>
        <v/>
      </c>
      <c r="AD216">
        <f>IFERROR(INDEX(PP_Grid[#Data],$DE216,27),0)</f>
        <v/>
      </c>
      <c r="AE216">
        <f>IFERROR(INDEX(PP_Grid[#Data],$DE216,28),0)</f>
        <v/>
      </c>
      <c r="AF216">
        <f>IFERROR(INDEX(PP_Grid[#Data],$DE216,29),0)</f>
        <v/>
      </c>
      <c r="AG216">
        <f>IFERROR(INDEX(PP_Grid[#Data],$DE216,30),0)</f>
        <v/>
      </c>
      <c r="AH216">
        <f>IFERROR(INDEX(PP_Grid[#Data],$DE216,31),0)</f>
        <v/>
      </c>
      <c r="AI216">
        <f>IFERROR(INDEX(PP_Grid[#Data],$DE216,32),0)</f>
        <v/>
      </c>
      <c r="AJ216">
        <f>IFERROR(INDEX(PP_Grid[#Data],$DE216,33),0)</f>
        <v/>
      </c>
      <c r="AK216">
        <f>IFERROR(INDEX(PP_Grid[#Data],$DE216,34),0)</f>
        <v/>
      </c>
      <c r="AL216">
        <f>IFERROR(INDEX(PP_Grid[#Data],$DE216,35),0)</f>
        <v/>
      </c>
      <c r="AM216">
        <f>IFERROR(INDEX(PP_Grid[#Data],$DE216,36),0)</f>
        <v/>
      </c>
      <c r="AN216">
        <f>IFERROR(INDEX(PP_Grid[#Data],$DE216,37),0)</f>
        <v/>
      </c>
      <c r="AO216">
        <f>IFERROR(INDEX(PP_Grid[#Data],$DE216,38),0)</f>
        <v/>
      </c>
      <c r="AP216">
        <f>IFERROR(INDEX(PP_Grid[#Data],$DE216,39),0)</f>
        <v/>
      </c>
      <c r="AQ216">
        <f>IFERROR(INDEX(PP_Grid[#Data],$DE216,40),0)</f>
        <v/>
      </c>
      <c r="AR216">
        <f>IFERROR(INDEX(PP_Grid[#Data],$DE216,41),0)</f>
        <v/>
      </c>
      <c r="AS216">
        <f>IFERROR(INDEX(PP_Grid[#Data],$DE216,42),0)</f>
        <v/>
      </c>
      <c r="AT216">
        <f>IFERROR(INDEX(PP_Grid[#Data],$DE216,43),0)</f>
        <v/>
      </c>
      <c r="AU216">
        <f>IFERROR(INDEX(PP_Grid[#Data],$DE216,44),0)</f>
        <v/>
      </c>
      <c r="AV216">
        <f>IFERROR(INDEX(PP_Grid[#Data],$DE216,45),0)</f>
        <v/>
      </c>
      <c r="AW216">
        <f>IFERROR(INDEX(PP_Grid[#Data],$DE216,46),0)</f>
        <v/>
      </c>
      <c r="AX216">
        <f>IFERROR(INDEX(PP_Grid[#Data],$DE216,47),0)</f>
        <v/>
      </c>
      <c r="AY216">
        <f>IFERROR(INDEX(PP_Grid[#Data],$DE216,48),0)</f>
        <v/>
      </c>
      <c r="AZ216">
        <f>IFERROR(INDEX(PP_Grid[#Data],$DE216,49),0)</f>
        <v/>
      </c>
      <c r="BA216">
        <f>IFERROR(INDEX(PP_Grid[#Data],$DE216,50),0)</f>
        <v/>
      </c>
      <c r="BB216">
        <f>IFERROR(INDEX(PP_Grid[#Data],$DE216,51),0)</f>
        <v/>
      </c>
      <c r="BC216">
        <f>IFERROR(INDEX(PP_Grid[#Data],$DE216,52),0)</f>
        <v/>
      </c>
      <c r="BD216">
        <f>IFERROR(INDEX(PP_Grid[#Data],$DE216,53),0)</f>
        <v/>
      </c>
      <c r="BE216">
        <f>IFERROR(INDEX(PP_Grid[#Data],$DE216,54),0)</f>
        <v/>
      </c>
      <c r="BF216">
        <f>IFERROR(INDEX(PP_Grid[#Data],$DE216,55),0)</f>
        <v/>
      </c>
      <c r="BG216">
        <f>IFERROR(INDEX(PP_Grid[#Data],$DE216,56),0)</f>
        <v/>
      </c>
      <c r="BH216">
        <f>IFERROR(INDEX(PP_Grid[#Data],$DE216,57),0)</f>
        <v/>
      </c>
      <c r="BI216">
        <f>IFERROR(INDEX(PP_Grid[#Data],$DE216,58),0)</f>
        <v/>
      </c>
      <c r="BJ216">
        <f>IFERROR(INDEX(PP_Grid[#Data],$DE216,59),0)</f>
        <v/>
      </c>
      <c r="BK216">
        <f>IFERROR(INDEX(PP_Grid[#Data],$DE216,60),0)</f>
        <v/>
      </c>
      <c r="BL216">
        <f>IFERROR(INDEX(PP_Grid[#Data],$DE216,61),0)</f>
        <v/>
      </c>
      <c r="BM216">
        <f>IFERROR(INDEX(PP_Grid[#Data],$DE216,62),0)</f>
        <v/>
      </c>
      <c r="BN216">
        <f>IFERROR(INDEX(PP_Grid[#Data],$DE216,63),0)</f>
        <v/>
      </c>
      <c r="BO216">
        <f>IFERROR(INDEX(PP_Grid[#Data],$DE216,64),0)</f>
        <v/>
      </c>
      <c r="BP216">
        <f>IFERROR(INDEX(PP_Grid[#Data],$DE216,65),0)</f>
        <v/>
      </c>
      <c r="BQ216">
        <f>IFERROR(INDEX(PP_Grid[#Data],$DE216,66),0)</f>
        <v/>
      </c>
      <c r="BR216">
        <f>IFERROR(INDEX(PP_Grid[#Data],$DE216,67),0)</f>
        <v/>
      </c>
      <c r="BS216">
        <f>IFERROR(INDEX(PP_Grid[#Data],$DE216,68),0)</f>
        <v/>
      </c>
      <c r="BT216">
        <f>IFERROR(INDEX(PP_Grid[#Data],$DE216,69),0)</f>
        <v/>
      </c>
      <c r="BU216">
        <f>IFERROR(INDEX(PP_Grid[#Data],$DE216,70),0)</f>
        <v/>
      </c>
      <c r="BV216">
        <f>IFERROR(INDEX(PP_Grid[#Data],$DE216,71),0)</f>
        <v/>
      </c>
      <c r="BW216">
        <f>IFERROR(INDEX(PP_Grid[#Data],$DE216,72),0)</f>
        <v/>
      </c>
      <c r="BX216">
        <f>IFERROR(INDEX(PP_Grid[#Data],$DE216,73),0)</f>
        <v/>
      </c>
      <c r="BY216">
        <f>IFERROR(INDEX(PP_Grid[#Data],$DE216,74),0)</f>
        <v/>
      </c>
      <c r="BZ216">
        <f>IFERROR(INDEX(PP_Grid[#Data],$DE216,75),0)</f>
        <v/>
      </c>
      <c r="CA216">
        <f>IFERROR(INDEX(PP_Grid[#Data],$DE216,76),0)</f>
        <v/>
      </c>
      <c r="CB216">
        <f>IFERROR(INDEX(PP_Grid[#Data],$DE216,77),0)</f>
        <v/>
      </c>
      <c r="CC216">
        <f>IFERROR(INDEX(PP_Grid[#Data],$DE216,78),0)</f>
        <v/>
      </c>
      <c r="CD216">
        <f>IFERROR(INDEX(PP_Grid[#Data],$DE216,79),0)</f>
        <v/>
      </c>
      <c r="CE216">
        <f>IFERROR(INDEX(PP_Grid[#Data],$DE216,80),0)</f>
        <v/>
      </c>
      <c r="CF216">
        <f>IFERROR(INDEX(PP_Grid[#Data],$DE216,81),0)</f>
        <v/>
      </c>
      <c r="CG216">
        <f>IFERROR(INDEX(PP_Grid[#Data],$DE216,82),0)</f>
        <v/>
      </c>
      <c r="CH216">
        <f>IFERROR(INDEX(PP_Grid[#Data],$DE216,83),0)</f>
        <v/>
      </c>
      <c r="CI216">
        <f>IFERROR(INDEX(PP_Grid[#Data],$DE216,84),0)</f>
        <v/>
      </c>
      <c r="CJ216">
        <f>IFERROR(INDEX(PP_Grid[#Data],$DE216,85),0)</f>
        <v/>
      </c>
      <c r="CK216">
        <f>IFERROR(INDEX(PP_Grid[#Data],$DE216,86),0)</f>
        <v/>
      </c>
      <c r="CL216">
        <f>IFERROR(INDEX(PP_Grid[#Data],$DE216,87),0)</f>
        <v/>
      </c>
      <c r="CM216">
        <f>IFERROR(INDEX(PP_Grid[#Data],$DE216,88),0)</f>
        <v/>
      </c>
      <c r="CN216">
        <f>IFERROR(INDEX(PP_Grid[#Data],$DE216,89),0)</f>
        <v/>
      </c>
      <c r="CO216">
        <f>IFERROR(INDEX(PP_Grid[#Data],$DE216,90),0)</f>
        <v/>
      </c>
      <c r="CP216">
        <f>IFERROR(INDEX(PP_Grid[#Data],$DE216,91),0)</f>
        <v/>
      </c>
      <c r="CQ216">
        <f>IFERROR(INDEX(PP_Grid[#Data],$DE216,92),0)</f>
        <v/>
      </c>
      <c r="CR216">
        <f>IFERROR(INDEX(PP_Grid[#Data],$DE216,93),0)</f>
        <v/>
      </c>
      <c r="CS216">
        <f>IFERROR(INDEX(PP_Grid[#Data],$DE216,94),0)</f>
        <v/>
      </c>
      <c r="CT216">
        <f>IFERROR(INDEX(PP_Grid[#Data],$DE216,95),0)</f>
        <v/>
      </c>
      <c r="CU216">
        <f>IFERROR(INDEX(PP_Grid[#Data],$DE216,96),0)</f>
        <v/>
      </c>
      <c r="CV216">
        <f>IFERROR(INDEX(PP_Grid[#Data],$DE216,97),0)</f>
        <v/>
      </c>
      <c r="CW216">
        <f>IFERROR(INDEX(PP_Grid[#Data],$DE216,98),0)</f>
        <v/>
      </c>
      <c r="CX216">
        <f>IFERROR(INDEX(PP_Grid[#Data],$DE216,99),0)</f>
        <v/>
      </c>
      <c r="CY216">
        <f>IFERROR(INDEX(PP_Grid[#Data],$DE216,100),0)</f>
        <v/>
      </c>
      <c r="CZ216">
        <f>IFERROR(INDEX(PP_Grid[#Data],$DE216,101),0)</f>
        <v/>
      </c>
      <c r="DA216">
        <f>IFERROR(INDEX(PP_Grid[#Data],$DE216,102),0)</f>
        <v/>
      </c>
      <c r="DB216">
        <f>IFERROR(INDEX(PP_Grid[#Data],$DE216,103),0)</f>
        <v/>
      </c>
      <c r="DC216">
        <f>IFERROR(INDEX(PP_Grid[#Data],$DE216,104),0)</f>
        <v/>
      </c>
      <c r="DD216">
        <f>IFERROR(INDEX(PP_Grid[#Data],$DE216,105),0)</f>
        <v/>
      </c>
      <c r="DE216" s="7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SUMIFS(M_BOM[RM_Qty_Per_Batch],M_BOM[Intermediate],$B216,M_BOM[RM_Code],$A199)</f>
        <v/>
      </c>
      <c r="D217">
        <f>IFERROR(INDEX(E217:DD217,$F$1),"")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  <c r="DD217">
        <f>$C217*DD216</f>
        <v/>
      </c>
    </row>
    <row r="218">
      <c r="B218" t="inlineStr">
        <is>
          <t>TSP-360</t>
        </is>
      </c>
      <c r="C218" t="inlineStr">
        <is>
          <t>No. of batches</t>
        </is>
      </c>
      <c r="D218">
        <f>IFERROR(INDEX(E218:DD218,$F$1),"")</f>
        <v/>
      </c>
      <c r="E218">
        <f>IFERROR(INDEX(PP_Grid[#Data],$DE218,2),0)</f>
        <v/>
      </c>
      <c r="F218">
        <f>IFERROR(INDEX(PP_Grid[#Data],$DE218,3),0)</f>
        <v/>
      </c>
      <c r="G218">
        <f>IFERROR(INDEX(PP_Grid[#Data],$DE218,4),0)</f>
        <v/>
      </c>
      <c r="H218">
        <f>IFERROR(INDEX(PP_Grid[#Data],$DE218,5),0)</f>
        <v/>
      </c>
      <c r="I218">
        <f>IFERROR(INDEX(PP_Grid[#Data],$DE218,6),0)</f>
        <v/>
      </c>
      <c r="J218">
        <f>IFERROR(INDEX(PP_Grid[#Data],$DE218,7),0)</f>
        <v/>
      </c>
      <c r="K218">
        <f>IFERROR(INDEX(PP_Grid[#Data],$DE218,8),0)</f>
        <v/>
      </c>
      <c r="L218">
        <f>IFERROR(INDEX(PP_Grid[#Data],$DE218,9),0)</f>
        <v/>
      </c>
      <c r="M218">
        <f>IFERROR(INDEX(PP_Grid[#Data],$DE218,10),0)</f>
        <v/>
      </c>
      <c r="N218">
        <f>IFERROR(INDEX(PP_Grid[#Data],$DE218,11),0)</f>
        <v/>
      </c>
      <c r="O218">
        <f>IFERROR(INDEX(PP_Grid[#Data],$DE218,12),0)</f>
        <v/>
      </c>
      <c r="P218">
        <f>IFERROR(INDEX(PP_Grid[#Data],$DE218,13),0)</f>
        <v/>
      </c>
      <c r="Q218">
        <f>IFERROR(INDEX(PP_Grid[#Data],$DE218,14),0)</f>
        <v/>
      </c>
      <c r="R218">
        <f>IFERROR(INDEX(PP_Grid[#Data],$DE218,15),0)</f>
        <v/>
      </c>
      <c r="S218">
        <f>IFERROR(INDEX(PP_Grid[#Data],$DE218,16),0)</f>
        <v/>
      </c>
      <c r="T218">
        <f>IFERROR(INDEX(PP_Grid[#Data],$DE218,17),0)</f>
        <v/>
      </c>
      <c r="U218">
        <f>IFERROR(INDEX(PP_Grid[#Data],$DE218,18),0)</f>
        <v/>
      </c>
      <c r="V218">
        <f>IFERROR(INDEX(PP_Grid[#Data],$DE218,19),0)</f>
        <v/>
      </c>
      <c r="W218">
        <f>IFERROR(INDEX(PP_Grid[#Data],$DE218,20),0)</f>
        <v/>
      </c>
      <c r="X218">
        <f>IFERROR(INDEX(PP_Grid[#Data],$DE218,21),0)</f>
        <v/>
      </c>
      <c r="Y218">
        <f>IFERROR(INDEX(PP_Grid[#Data],$DE218,22),0)</f>
        <v/>
      </c>
      <c r="Z218">
        <f>IFERROR(INDEX(PP_Grid[#Data],$DE218,23),0)</f>
        <v/>
      </c>
      <c r="AA218">
        <f>IFERROR(INDEX(PP_Grid[#Data],$DE218,24),0)</f>
        <v/>
      </c>
      <c r="AB218">
        <f>IFERROR(INDEX(PP_Grid[#Data],$DE218,25),0)</f>
        <v/>
      </c>
      <c r="AC218">
        <f>IFERROR(INDEX(PP_Grid[#Data],$DE218,26),0)</f>
        <v/>
      </c>
      <c r="AD218">
        <f>IFERROR(INDEX(PP_Grid[#Data],$DE218,27),0)</f>
        <v/>
      </c>
      <c r="AE218">
        <f>IFERROR(INDEX(PP_Grid[#Data],$DE218,28),0)</f>
        <v/>
      </c>
      <c r="AF218">
        <f>IFERROR(INDEX(PP_Grid[#Data],$DE218,29),0)</f>
        <v/>
      </c>
      <c r="AG218">
        <f>IFERROR(INDEX(PP_Grid[#Data],$DE218,30),0)</f>
        <v/>
      </c>
      <c r="AH218">
        <f>IFERROR(INDEX(PP_Grid[#Data],$DE218,31),0)</f>
        <v/>
      </c>
      <c r="AI218">
        <f>IFERROR(INDEX(PP_Grid[#Data],$DE218,32),0)</f>
        <v/>
      </c>
      <c r="AJ218">
        <f>IFERROR(INDEX(PP_Grid[#Data],$DE218,33),0)</f>
        <v/>
      </c>
      <c r="AK218">
        <f>IFERROR(INDEX(PP_Grid[#Data],$DE218,34),0)</f>
        <v/>
      </c>
      <c r="AL218">
        <f>IFERROR(INDEX(PP_Grid[#Data],$DE218,35),0)</f>
        <v/>
      </c>
      <c r="AM218">
        <f>IFERROR(INDEX(PP_Grid[#Data],$DE218,36),0)</f>
        <v/>
      </c>
      <c r="AN218">
        <f>IFERROR(INDEX(PP_Grid[#Data],$DE218,37),0)</f>
        <v/>
      </c>
      <c r="AO218">
        <f>IFERROR(INDEX(PP_Grid[#Data],$DE218,38),0)</f>
        <v/>
      </c>
      <c r="AP218">
        <f>IFERROR(INDEX(PP_Grid[#Data],$DE218,39),0)</f>
        <v/>
      </c>
      <c r="AQ218">
        <f>IFERROR(INDEX(PP_Grid[#Data],$DE218,40),0)</f>
        <v/>
      </c>
      <c r="AR218">
        <f>IFERROR(INDEX(PP_Grid[#Data],$DE218,41),0)</f>
        <v/>
      </c>
      <c r="AS218">
        <f>IFERROR(INDEX(PP_Grid[#Data],$DE218,42),0)</f>
        <v/>
      </c>
      <c r="AT218">
        <f>IFERROR(INDEX(PP_Grid[#Data],$DE218,43),0)</f>
        <v/>
      </c>
      <c r="AU218">
        <f>IFERROR(INDEX(PP_Grid[#Data],$DE218,44),0)</f>
        <v/>
      </c>
      <c r="AV218">
        <f>IFERROR(INDEX(PP_Grid[#Data],$DE218,45),0)</f>
        <v/>
      </c>
      <c r="AW218">
        <f>IFERROR(INDEX(PP_Grid[#Data],$DE218,46),0)</f>
        <v/>
      </c>
      <c r="AX218">
        <f>IFERROR(INDEX(PP_Grid[#Data],$DE218,47),0)</f>
        <v/>
      </c>
      <c r="AY218">
        <f>IFERROR(INDEX(PP_Grid[#Data],$DE218,48),0)</f>
        <v/>
      </c>
      <c r="AZ218">
        <f>IFERROR(INDEX(PP_Grid[#Data],$DE218,49),0)</f>
        <v/>
      </c>
      <c r="BA218">
        <f>IFERROR(INDEX(PP_Grid[#Data],$DE218,50),0)</f>
        <v/>
      </c>
      <c r="BB218">
        <f>IFERROR(INDEX(PP_Grid[#Data],$DE218,51),0)</f>
        <v/>
      </c>
      <c r="BC218">
        <f>IFERROR(INDEX(PP_Grid[#Data],$DE218,52),0)</f>
        <v/>
      </c>
      <c r="BD218">
        <f>IFERROR(INDEX(PP_Grid[#Data],$DE218,53),0)</f>
        <v/>
      </c>
      <c r="BE218">
        <f>IFERROR(INDEX(PP_Grid[#Data],$DE218,54),0)</f>
        <v/>
      </c>
      <c r="BF218">
        <f>IFERROR(INDEX(PP_Grid[#Data],$DE218,55),0)</f>
        <v/>
      </c>
      <c r="BG218">
        <f>IFERROR(INDEX(PP_Grid[#Data],$DE218,56),0)</f>
        <v/>
      </c>
      <c r="BH218">
        <f>IFERROR(INDEX(PP_Grid[#Data],$DE218,57),0)</f>
        <v/>
      </c>
      <c r="BI218">
        <f>IFERROR(INDEX(PP_Grid[#Data],$DE218,58),0)</f>
        <v/>
      </c>
      <c r="BJ218">
        <f>IFERROR(INDEX(PP_Grid[#Data],$DE218,59),0)</f>
        <v/>
      </c>
      <c r="BK218">
        <f>IFERROR(INDEX(PP_Grid[#Data],$DE218,60),0)</f>
        <v/>
      </c>
      <c r="BL218">
        <f>IFERROR(INDEX(PP_Grid[#Data],$DE218,61),0)</f>
        <v/>
      </c>
      <c r="BM218">
        <f>IFERROR(INDEX(PP_Grid[#Data],$DE218,62),0)</f>
        <v/>
      </c>
      <c r="BN218">
        <f>IFERROR(INDEX(PP_Grid[#Data],$DE218,63),0)</f>
        <v/>
      </c>
      <c r="BO218">
        <f>IFERROR(INDEX(PP_Grid[#Data],$DE218,64),0)</f>
        <v/>
      </c>
      <c r="BP218">
        <f>IFERROR(INDEX(PP_Grid[#Data],$DE218,65),0)</f>
        <v/>
      </c>
      <c r="BQ218">
        <f>IFERROR(INDEX(PP_Grid[#Data],$DE218,66),0)</f>
        <v/>
      </c>
      <c r="BR218">
        <f>IFERROR(INDEX(PP_Grid[#Data],$DE218,67),0)</f>
        <v/>
      </c>
      <c r="BS218">
        <f>IFERROR(INDEX(PP_Grid[#Data],$DE218,68),0)</f>
        <v/>
      </c>
      <c r="BT218">
        <f>IFERROR(INDEX(PP_Grid[#Data],$DE218,69),0)</f>
        <v/>
      </c>
      <c r="BU218">
        <f>IFERROR(INDEX(PP_Grid[#Data],$DE218,70),0)</f>
        <v/>
      </c>
      <c r="BV218">
        <f>IFERROR(INDEX(PP_Grid[#Data],$DE218,71),0)</f>
        <v/>
      </c>
      <c r="BW218">
        <f>IFERROR(INDEX(PP_Grid[#Data],$DE218,72),0)</f>
        <v/>
      </c>
      <c r="BX218">
        <f>IFERROR(INDEX(PP_Grid[#Data],$DE218,73),0)</f>
        <v/>
      </c>
      <c r="BY218">
        <f>IFERROR(INDEX(PP_Grid[#Data],$DE218,74),0)</f>
        <v/>
      </c>
      <c r="BZ218">
        <f>IFERROR(INDEX(PP_Grid[#Data],$DE218,75),0)</f>
        <v/>
      </c>
      <c r="CA218">
        <f>IFERROR(INDEX(PP_Grid[#Data],$DE218,76),0)</f>
        <v/>
      </c>
      <c r="CB218">
        <f>IFERROR(INDEX(PP_Grid[#Data],$DE218,77),0)</f>
        <v/>
      </c>
      <c r="CC218">
        <f>IFERROR(INDEX(PP_Grid[#Data],$DE218,78),0)</f>
        <v/>
      </c>
      <c r="CD218">
        <f>IFERROR(INDEX(PP_Grid[#Data],$DE218,79),0)</f>
        <v/>
      </c>
      <c r="CE218">
        <f>IFERROR(INDEX(PP_Grid[#Data],$DE218,80),0)</f>
        <v/>
      </c>
      <c r="CF218">
        <f>IFERROR(INDEX(PP_Grid[#Data],$DE218,81),0)</f>
        <v/>
      </c>
      <c r="CG218">
        <f>IFERROR(INDEX(PP_Grid[#Data],$DE218,82),0)</f>
        <v/>
      </c>
      <c r="CH218">
        <f>IFERROR(INDEX(PP_Grid[#Data],$DE218,83),0)</f>
        <v/>
      </c>
      <c r="CI218">
        <f>IFERROR(INDEX(PP_Grid[#Data],$DE218,84),0)</f>
        <v/>
      </c>
      <c r="CJ218">
        <f>IFERROR(INDEX(PP_Grid[#Data],$DE218,85),0)</f>
        <v/>
      </c>
      <c r="CK218">
        <f>IFERROR(INDEX(PP_Grid[#Data],$DE218,86),0)</f>
        <v/>
      </c>
      <c r="CL218">
        <f>IFERROR(INDEX(PP_Grid[#Data],$DE218,87),0)</f>
        <v/>
      </c>
      <c r="CM218">
        <f>IFERROR(INDEX(PP_Grid[#Data],$DE218,88),0)</f>
        <v/>
      </c>
      <c r="CN218">
        <f>IFERROR(INDEX(PP_Grid[#Data],$DE218,89),0)</f>
        <v/>
      </c>
      <c r="CO218">
        <f>IFERROR(INDEX(PP_Grid[#Data],$DE218,90),0)</f>
        <v/>
      </c>
      <c r="CP218">
        <f>IFERROR(INDEX(PP_Grid[#Data],$DE218,91),0)</f>
        <v/>
      </c>
      <c r="CQ218">
        <f>IFERROR(INDEX(PP_Grid[#Data],$DE218,92),0)</f>
        <v/>
      </c>
      <c r="CR218">
        <f>IFERROR(INDEX(PP_Grid[#Data],$DE218,93),0)</f>
        <v/>
      </c>
      <c r="CS218">
        <f>IFERROR(INDEX(PP_Grid[#Data],$DE218,94),0)</f>
        <v/>
      </c>
      <c r="CT218">
        <f>IFERROR(INDEX(PP_Grid[#Data],$DE218,95),0)</f>
        <v/>
      </c>
      <c r="CU218">
        <f>IFERROR(INDEX(PP_Grid[#Data],$DE218,96),0)</f>
        <v/>
      </c>
      <c r="CV218">
        <f>IFERROR(INDEX(PP_Grid[#Data],$DE218,97),0)</f>
        <v/>
      </c>
      <c r="CW218">
        <f>IFERROR(INDEX(PP_Grid[#Data],$DE218,98),0)</f>
        <v/>
      </c>
      <c r="CX218">
        <f>IFERROR(INDEX(PP_Grid[#Data],$DE218,99),0)</f>
        <v/>
      </c>
      <c r="CY218">
        <f>IFERROR(INDEX(PP_Grid[#Data],$DE218,100),0)</f>
        <v/>
      </c>
      <c r="CZ218">
        <f>IFERROR(INDEX(PP_Grid[#Data],$DE218,101),0)</f>
        <v/>
      </c>
      <c r="DA218">
        <f>IFERROR(INDEX(PP_Grid[#Data],$DE218,102),0)</f>
        <v/>
      </c>
      <c r="DB218">
        <f>IFERROR(INDEX(PP_Grid[#Data],$DE218,103),0)</f>
        <v/>
      </c>
      <c r="DC218">
        <f>IFERROR(INDEX(PP_Grid[#Data],$DE218,104),0)</f>
        <v/>
      </c>
      <c r="DD218">
        <f>IFERROR(INDEX(PP_Grid[#Data],$DE218,105),0)</f>
        <v/>
      </c>
      <c r="DE218" s="7">
        <f>IFERROR(MATCH($B218,PP_Grid[Intermediate],0),99999)</f>
        <v/>
      </c>
    </row>
    <row r="219">
      <c r="B219" t="inlineStr">
        <is>
          <t>使用量(kg)</t>
        </is>
      </c>
      <c r="C219">
        <f>SUMIFS(M_BOM[RM_Qty_Per_Batch],M_BOM[Intermediate],$B218,M_BOM[RM_Code],$A199)</f>
        <v/>
      </c>
      <c r="D219">
        <f>IFERROR(INDEX(E219:DD219,$F$1),"")</f>
        <v/>
      </c>
      <c r="E219">
        <f>$C219*E218</f>
        <v/>
      </c>
      <c r="F219">
        <f>$C219*F218</f>
        <v/>
      </c>
      <c r="G219">
        <f>$C219*G218</f>
        <v/>
      </c>
      <c r="H219">
        <f>$C219*H218</f>
        <v/>
      </c>
      <c r="I219">
        <f>$C219*I218</f>
        <v/>
      </c>
      <c r="J219">
        <f>$C219*J218</f>
        <v/>
      </c>
      <c r="K219">
        <f>$C219*K218</f>
        <v/>
      </c>
      <c r="L219">
        <f>$C219*L218</f>
        <v/>
      </c>
      <c r="M219">
        <f>$C219*M218</f>
        <v/>
      </c>
      <c r="N219">
        <f>$C219*N218</f>
        <v/>
      </c>
      <c r="O219">
        <f>$C219*O218</f>
        <v/>
      </c>
      <c r="P219">
        <f>$C219*P218</f>
        <v/>
      </c>
      <c r="Q219">
        <f>$C219*Q218</f>
        <v/>
      </c>
      <c r="R219">
        <f>$C219*R218</f>
        <v/>
      </c>
      <c r="S219">
        <f>$C219*S218</f>
        <v/>
      </c>
      <c r="T219">
        <f>$C219*T218</f>
        <v/>
      </c>
      <c r="U219">
        <f>$C219*U218</f>
        <v/>
      </c>
      <c r="V219">
        <f>$C219*V218</f>
        <v/>
      </c>
      <c r="W219">
        <f>$C219*W218</f>
        <v/>
      </c>
      <c r="X219">
        <f>$C219*X218</f>
        <v/>
      </c>
      <c r="Y219">
        <f>$C219*Y218</f>
        <v/>
      </c>
      <c r="Z219">
        <f>$C219*Z218</f>
        <v/>
      </c>
      <c r="AA219">
        <f>$C219*AA218</f>
        <v/>
      </c>
      <c r="AB219">
        <f>$C219*AB218</f>
        <v/>
      </c>
      <c r="AC219">
        <f>$C219*AC218</f>
        <v/>
      </c>
      <c r="AD219">
        <f>$C219*AD218</f>
        <v/>
      </c>
      <c r="AE219">
        <f>$C219*AE218</f>
        <v/>
      </c>
      <c r="AF219">
        <f>$C219*AF218</f>
        <v/>
      </c>
      <c r="AG219">
        <f>$C219*AG218</f>
        <v/>
      </c>
      <c r="AH219">
        <f>$C219*AH218</f>
        <v/>
      </c>
      <c r="AI219">
        <f>$C219*AI218</f>
        <v/>
      </c>
      <c r="AJ219">
        <f>$C219*AJ218</f>
        <v/>
      </c>
      <c r="AK219">
        <f>$C219*AK218</f>
        <v/>
      </c>
      <c r="AL219">
        <f>$C219*AL218</f>
        <v/>
      </c>
      <c r="AM219">
        <f>$C219*AM218</f>
        <v/>
      </c>
      <c r="AN219">
        <f>$C219*AN218</f>
        <v/>
      </c>
      <c r="AO219">
        <f>$C219*AO218</f>
        <v/>
      </c>
      <c r="AP219">
        <f>$C219*AP218</f>
        <v/>
      </c>
      <c r="AQ219">
        <f>$C219*AQ218</f>
        <v/>
      </c>
      <c r="AR219">
        <f>$C219*AR218</f>
        <v/>
      </c>
      <c r="AS219">
        <f>$C219*AS218</f>
        <v/>
      </c>
      <c r="AT219">
        <f>$C219*AT218</f>
        <v/>
      </c>
      <c r="AU219">
        <f>$C219*AU218</f>
        <v/>
      </c>
      <c r="AV219">
        <f>$C219*AV218</f>
        <v/>
      </c>
      <c r="AW219">
        <f>$C219*AW218</f>
        <v/>
      </c>
      <c r="AX219">
        <f>$C219*AX218</f>
        <v/>
      </c>
      <c r="AY219">
        <f>$C219*AY218</f>
        <v/>
      </c>
      <c r="AZ219">
        <f>$C219*AZ218</f>
        <v/>
      </c>
      <c r="BA219">
        <f>$C219*BA218</f>
        <v/>
      </c>
      <c r="BB219">
        <f>$C219*BB218</f>
        <v/>
      </c>
      <c r="BC219">
        <f>$C219*BC218</f>
        <v/>
      </c>
      <c r="BD219">
        <f>$C219*BD218</f>
        <v/>
      </c>
      <c r="BE219">
        <f>$C219*BE218</f>
        <v/>
      </c>
      <c r="BF219">
        <f>$C219*BF218</f>
        <v/>
      </c>
      <c r="BG219">
        <f>$C219*BG218</f>
        <v/>
      </c>
      <c r="BH219">
        <f>$C219*BH218</f>
        <v/>
      </c>
      <c r="BI219">
        <f>$C219*BI218</f>
        <v/>
      </c>
      <c r="BJ219">
        <f>$C219*BJ218</f>
        <v/>
      </c>
      <c r="BK219">
        <f>$C219*BK218</f>
        <v/>
      </c>
      <c r="BL219">
        <f>$C219*BL218</f>
        <v/>
      </c>
      <c r="BM219">
        <f>$C219*BM218</f>
        <v/>
      </c>
      <c r="BN219">
        <f>$C219*BN218</f>
        <v/>
      </c>
      <c r="BO219">
        <f>$C219*BO218</f>
        <v/>
      </c>
      <c r="BP219">
        <f>$C219*BP218</f>
        <v/>
      </c>
      <c r="BQ219">
        <f>$C219*BQ218</f>
        <v/>
      </c>
      <c r="BR219">
        <f>$C219*BR218</f>
        <v/>
      </c>
      <c r="BS219">
        <f>$C219*BS218</f>
        <v/>
      </c>
      <c r="BT219">
        <f>$C219*BT218</f>
        <v/>
      </c>
      <c r="BU219">
        <f>$C219*BU218</f>
        <v/>
      </c>
      <c r="BV219">
        <f>$C219*BV218</f>
        <v/>
      </c>
      <c r="BW219">
        <f>$C219*BW218</f>
        <v/>
      </c>
      <c r="BX219">
        <f>$C219*BX218</f>
        <v/>
      </c>
      <c r="BY219">
        <f>$C219*BY218</f>
        <v/>
      </c>
      <c r="BZ219">
        <f>$C219*BZ218</f>
        <v/>
      </c>
      <c r="CA219">
        <f>$C219*CA218</f>
        <v/>
      </c>
      <c r="CB219">
        <f>$C219*CB218</f>
        <v/>
      </c>
      <c r="CC219">
        <f>$C219*CC218</f>
        <v/>
      </c>
      <c r="CD219">
        <f>$C219*CD218</f>
        <v/>
      </c>
      <c r="CE219">
        <f>$C219*CE218</f>
        <v/>
      </c>
      <c r="CF219">
        <f>$C219*CF218</f>
        <v/>
      </c>
      <c r="CG219">
        <f>$C219*CG218</f>
        <v/>
      </c>
      <c r="CH219">
        <f>$C219*CH218</f>
        <v/>
      </c>
      <c r="CI219">
        <f>$C219*CI218</f>
        <v/>
      </c>
      <c r="CJ219">
        <f>$C219*CJ218</f>
        <v/>
      </c>
      <c r="CK219">
        <f>$C219*CK218</f>
        <v/>
      </c>
      <c r="CL219">
        <f>$C219*CL218</f>
        <v/>
      </c>
      <c r="CM219">
        <f>$C219*CM218</f>
        <v/>
      </c>
      <c r="CN219">
        <f>$C219*CN218</f>
        <v/>
      </c>
      <c r="CO219">
        <f>$C219*CO218</f>
        <v/>
      </c>
      <c r="CP219">
        <f>$C219*CP218</f>
        <v/>
      </c>
      <c r="CQ219">
        <f>$C219*CQ218</f>
        <v/>
      </c>
      <c r="CR219">
        <f>$C219*CR218</f>
        <v/>
      </c>
      <c r="CS219">
        <f>$C219*CS218</f>
        <v/>
      </c>
      <c r="CT219">
        <f>$C219*CT218</f>
        <v/>
      </c>
      <c r="CU219">
        <f>$C219*CU218</f>
        <v/>
      </c>
      <c r="CV219">
        <f>$C219*CV218</f>
        <v/>
      </c>
      <c r="CW219">
        <f>$C219*CW218</f>
        <v/>
      </c>
      <c r="CX219">
        <f>$C219*CX218</f>
        <v/>
      </c>
      <c r="CY219">
        <f>$C219*CY218</f>
        <v/>
      </c>
      <c r="CZ219">
        <f>$C219*CZ218</f>
        <v/>
      </c>
      <c r="DA219">
        <f>$C219*DA218</f>
        <v/>
      </c>
      <c r="DB219">
        <f>$C219*DB218</f>
        <v/>
      </c>
      <c r="DC219">
        <f>$C219*DC218</f>
        <v/>
      </c>
      <c r="DD219">
        <f>$C219*DD218</f>
        <v/>
      </c>
    </row>
    <row r="220">
      <c r="B220" t="inlineStr">
        <is>
          <t>TSP-367</t>
        </is>
      </c>
      <c r="C220" t="inlineStr">
        <is>
          <t>No. of batches</t>
        </is>
      </c>
      <c r="D220">
        <f>IFERROR(INDEX(E220:DD220,$F$1),"")</f>
        <v/>
      </c>
      <c r="E220">
        <f>IFERROR(INDEX(PP_Grid[#Data],$DE220,2),0)</f>
        <v/>
      </c>
      <c r="F220">
        <f>IFERROR(INDEX(PP_Grid[#Data],$DE220,3),0)</f>
        <v/>
      </c>
      <c r="G220">
        <f>IFERROR(INDEX(PP_Grid[#Data],$DE220,4),0)</f>
        <v/>
      </c>
      <c r="H220">
        <f>IFERROR(INDEX(PP_Grid[#Data],$DE220,5),0)</f>
        <v/>
      </c>
      <c r="I220">
        <f>IFERROR(INDEX(PP_Grid[#Data],$DE220,6),0)</f>
        <v/>
      </c>
      <c r="J220">
        <f>IFERROR(INDEX(PP_Grid[#Data],$DE220,7),0)</f>
        <v/>
      </c>
      <c r="K220">
        <f>IFERROR(INDEX(PP_Grid[#Data],$DE220,8),0)</f>
        <v/>
      </c>
      <c r="L220">
        <f>IFERROR(INDEX(PP_Grid[#Data],$DE220,9),0)</f>
        <v/>
      </c>
      <c r="M220">
        <f>IFERROR(INDEX(PP_Grid[#Data],$DE220,10),0)</f>
        <v/>
      </c>
      <c r="N220">
        <f>IFERROR(INDEX(PP_Grid[#Data],$DE220,11),0)</f>
        <v/>
      </c>
      <c r="O220">
        <f>IFERROR(INDEX(PP_Grid[#Data],$DE220,12),0)</f>
        <v/>
      </c>
      <c r="P220">
        <f>IFERROR(INDEX(PP_Grid[#Data],$DE220,13),0)</f>
        <v/>
      </c>
      <c r="Q220">
        <f>IFERROR(INDEX(PP_Grid[#Data],$DE220,14),0)</f>
        <v/>
      </c>
      <c r="R220">
        <f>IFERROR(INDEX(PP_Grid[#Data],$DE220,15),0)</f>
        <v/>
      </c>
      <c r="S220">
        <f>IFERROR(INDEX(PP_Grid[#Data],$DE220,16),0)</f>
        <v/>
      </c>
      <c r="T220">
        <f>IFERROR(INDEX(PP_Grid[#Data],$DE220,17),0)</f>
        <v/>
      </c>
      <c r="U220">
        <f>IFERROR(INDEX(PP_Grid[#Data],$DE220,18),0)</f>
        <v/>
      </c>
      <c r="V220">
        <f>IFERROR(INDEX(PP_Grid[#Data],$DE220,19),0)</f>
        <v/>
      </c>
      <c r="W220">
        <f>IFERROR(INDEX(PP_Grid[#Data],$DE220,20),0)</f>
        <v/>
      </c>
      <c r="X220">
        <f>IFERROR(INDEX(PP_Grid[#Data],$DE220,21),0)</f>
        <v/>
      </c>
      <c r="Y220">
        <f>IFERROR(INDEX(PP_Grid[#Data],$DE220,22),0)</f>
        <v/>
      </c>
      <c r="Z220">
        <f>IFERROR(INDEX(PP_Grid[#Data],$DE220,23),0)</f>
        <v/>
      </c>
      <c r="AA220">
        <f>IFERROR(INDEX(PP_Grid[#Data],$DE220,24),0)</f>
        <v/>
      </c>
      <c r="AB220">
        <f>IFERROR(INDEX(PP_Grid[#Data],$DE220,25),0)</f>
        <v/>
      </c>
      <c r="AC220">
        <f>IFERROR(INDEX(PP_Grid[#Data],$DE220,26),0)</f>
        <v/>
      </c>
      <c r="AD220">
        <f>IFERROR(INDEX(PP_Grid[#Data],$DE220,27),0)</f>
        <v/>
      </c>
      <c r="AE220">
        <f>IFERROR(INDEX(PP_Grid[#Data],$DE220,28),0)</f>
        <v/>
      </c>
      <c r="AF220">
        <f>IFERROR(INDEX(PP_Grid[#Data],$DE220,29),0)</f>
        <v/>
      </c>
      <c r="AG220">
        <f>IFERROR(INDEX(PP_Grid[#Data],$DE220,30),0)</f>
        <v/>
      </c>
      <c r="AH220">
        <f>IFERROR(INDEX(PP_Grid[#Data],$DE220,31),0)</f>
        <v/>
      </c>
      <c r="AI220">
        <f>IFERROR(INDEX(PP_Grid[#Data],$DE220,32),0)</f>
        <v/>
      </c>
      <c r="AJ220">
        <f>IFERROR(INDEX(PP_Grid[#Data],$DE220,33),0)</f>
        <v/>
      </c>
      <c r="AK220">
        <f>IFERROR(INDEX(PP_Grid[#Data],$DE220,34),0)</f>
        <v/>
      </c>
      <c r="AL220">
        <f>IFERROR(INDEX(PP_Grid[#Data],$DE220,35),0)</f>
        <v/>
      </c>
      <c r="AM220">
        <f>IFERROR(INDEX(PP_Grid[#Data],$DE220,36),0)</f>
        <v/>
      </c>
      <c r="AN220">
        <f>IFERROR(INDEX(PP_Grid[#Data],$DE220,37),0)</f>
        <v/>
      </c>
      <c r="AO220">
        <f>IFERROR(INDEX(PP_Grid[#Data],$DE220,38),0)</f>
        <v/>
      </c>
      <c r="AP220">
        <f>IFERROR(INDEX(PP_Grid[#Data],$DE220,39),0)</f>
        <v/>
      </c>
      <c r="AQ220">
        <f>IFERROR(INDEX(PP_Grid[#Data],$DE220,40),0)</f>
        <v/>
      </c>
      <c r="AR220">
        <f>IFERROR(INDEX(PP_Grid[#Data],$DE220,41),0)</f>
        <v/>
      </c>
      <c r="AS220">
        <f>IFERROR(INDEX(PP_Grid[#Data],$DE220,42),0)</f>
        <v/>
      </c>
      <c r="AT220">
        <f>IFERROR(INDEX(PP_Grid[#Data],$DE220,43),0)</f>
        <v/>
      </c>
      <c r="AU220">
        <f>IFERROR(INDEX(PP_Grid[#Data],$DE220,44),0)</f>
        <v/>
      </c>
      <c r="AV220">
        <f>IFERROR(INDEX(PP_Grid[#Data],$DE220,45),0)</f>
        <v/>
      </c>
      <c r="AW220">
        <f>IFERROR(INDEX(PP_Grid[#Data],$DE220,46),0)</f>
        <v/>
      </c>
      <c r="AX220">
        <f>IFERROR(INDEX(PP_Grid[#Data],$DE220,47),0)</f>
        <v/>
      </c>
      <c r="AY220">
        <f>IFERROR(INDEX(PP_Grid[#Data],$DE220,48),0)</f>
        <v/>
      </c>
      <c r="AZ220">
        <f>IFERROR(INDEX(PP_Grid[#Data],$DE220,49),0)</f>
        <v/>
      </c>
      <c r="BA220">
        <f>IFERROR(INDEX(PP_Grid[#Data],$DE220,50),0)</f>
        <v/>
      </c>
      <c r="BB220">
        <f>IFERROR(INDEX(PP_Grid[#Data],$DE220,51),0)</f>
        <v/>
      </c>
      <c r="BC220">
        <f>IFERROR(INDEX(PP_Grid[#Data],$DE220,52),0)</f>
        <v/>
      </c>
      <c r="BD220">
        <f>IFERROR(INDEX(PP_Grid[#Data],$DE220,53),0)</f>
        <v/>
      </c>
      <c r="BE220">
        <f>IFERROR(INDEX(PP_Grid[#Data],$DE220,54),0)</f>
        <v/>
      </c>
      <c r="BF220">
        <f>IFERROR(INDEX(PP_Grid[#Data],$DE220,55),0)</f>
        <v/>
      </c>
      <c r="BG220">
        <f>IFERROR(INDEX(PP_Grid[#Data],$DE220,56),0)</f>
        <v/>
      </c>
      <c r="BH220">
        <f>IFERROR(INDEX(PP_Grid[#Data],$DE220,57),0)</f>
        <v/>
      </c>
      <c r="BI220">
        <f>IFERROR(INDEX(PP_Grid[#Data],$DE220,58),0)</f>
        <v/>
      </c>
      <c r="BJ220">
        <f>IFERROR(INDEX(PP_Grid[#Data],$DE220,59),0)</f>
        <v/>
      </c>
      <c r="BK220">
        <f>IFERROR(INDEX(PP_Grid[#Data],$DE220,60),0)</f>
        <v/>
      </c>
      <c r="BL220">
        <f>IFERROR(INDEX(PP_Grid[#Data],$DE220,61),0)</f>
        <v/>
      </c>
      <c r="BM220">
        <f>IFERROR(INDEX(PP_Grid[#Data],$DE220,62),0)</f>
        <v/>
      </c>
      <c r="BN220">
        <f>IFERROR(INDEX(PP_Grid[#Data],$DE220,63),0)</f>
        <v/>
      </c>
      <c r="BO220">
        <f>IFERROR(INDEX(PP_Grid[#Data],$DE220,64),0)</f>
        <v/>
      </c>
      <c r="BP220">
        <f>IFERROR(INDEX(PP_Grid[#Data],$DE220,65),0)</f>
        <v/>
      </c>
      <c r="BQ220">
        <f>IFERROR(INDEX(PP_Grid[#Data],$DE220,66),0)</f>
        <v/>
      </c>
      <c r="BR220">
        <f>IFERROR(INDEX(PP_Grid[#Data],$DE220,67),0)</f>
        <v/>
      </c>
      <c r="BS220">
        <f>IFERROR(INDEX(PP_Grid[#Data],$DE220,68),0)</f>
        <v/>
      </c>
      <c r="BT220">
        <f>IFERROR(INDEX(PP_Grid[#Data],$DE220,69),0)</f>
        <v/>
      </c>
      <c r="BU220">
        <f>IFERROR(INDEX(PP_Grid[#Data],$DE220,70),0)</f>
        <v/>
      </c>
      <c r="BV220">
        <f>IFERROR(INDEX(PP_Grid[#Data],$DE220,71),0)</f>
        <v/>
      </c>
      <c r="BW220">
        <f>IFERROR(INDEX(PP_Grid[#Data],$DE220,72),0)</f>
        <v/>
      </c>
      <c r="BX220">
        <f>IFERROR(INDEX(PP_Grid[#Data],$DE220,73),0)</f>
        <v/>
      </c>
      <c r="BY220">
        <f>IFERROR(INDEX(PP_Grid[#Data],$DE220,74),0)</f>
        <v/>
      </c>
      <c r="BZ220">
        <f>IFERROR(INDEX(PP_Grid[#Data],$DE220,75),0)</f>
        <v/>
      </c>
      <c r="CA220">
        <f>IFERROR(INDEX(PP_Grid[#Data],$DE220,76),0)</f>
        <v/>
      </c>
      <c r="CB220">
        <f>IFERROR(INDEX(PP_Grid[#Data],$DE220,77),0)</f>
        <v/>
      </c>
      <c r="CC220">
        <f>IFERROR(INDEX(PP_Grid[#Data],$DE220,78),0)</f>
        <v/>
      </c>
      <c r="CD220">
        <f>IFERROR(INDEX(PP_Grid[#Data],$DE220,79),0)</f>
        <v/>
      </c>
      <c r="CE220">
        <f>IFERROR(INDEX(PP_Grid[#Data],$DE220,80),0)</f>
        <v/>
      </c>
      <c r="CF220">
        <f>IFERROR(INDEX(PP_Grid[#Data],$DE220,81),0)</f>
        <v/>
      </c>
      <c r="CG220">
        <f>IFERROR(INDEX(PP_Grid[#Data],$DE220,82),0)</f>
        <v/>
      </c>
      <c r="CH220">
        <f>IFERROR(INDEX(PP_Grid[#Data],$DE220,83),0)</f>
        <v/>
      </c>
      <c r="CI220">
        <f>IFERROR(INDEX(PP_Grid[#Data],$DE220,84),0)</f>
        <v/>
      </c>
      <c r="CJ220">
        <f>IFERROR(INDEX(PP_Grid[#Data],$DE220,85),0)</f>
        <v/>
      </c>
      <c r="CK220">
        <f>IFERROR(INDEX(PP_Grid[#Data],$DE220,86),0)</f>
        <v/>
      </c>
      <c r="CL220">
        <f>IFERROR(INDEX(PP_Grid[#Data],$DE220,87),0)</f>
        <v/>
      </c>
      <c r="CM220">
        <f>IFERROR(INDEX(PP_Grid[#Data],$DE220,88),0)</f>
        <v/>
      </c>
      <c r="CN220">
        <f>IFERROR(INDEX(PP_Grid[#Data],$DE220,89),0)</f>
        <v/>
      </c>
      <c r="CO220">
        <f>IFERROR(INDEX(PP_Grid[#Data],$DE220,90),0)</f>
        <v/>
      </c>
      <c r="CP220">
        <f>IFERROR(INDEX(PP_Grid[#Data],$DE220,91),0)</f>
        <v/>
      </c>
      <c r="CQ220">
        <f>IFERROR(INDEX(PP_Grid[#Data],$DE220,92),0)</f>
        <v/>
      </c>
      <c r="CR220">
        <f>IFERROR(INDEX(PP_Grid[#Data],$DE220,93),0)</f>
        <v/>
      </c>
      <c r="CS220">
        <f>IFERROR(INDEX(PP_Grid[#Data],$DE220,94),0)</f>
        <v/>
      </c>
      <c r="CT220">
        <f>IFERROR(INDEX(PP_Grid[#Data],$DE220,95),0)</f>
        <v/>
      </c>
      <c r="CU220">
        <f>IFERROR(INDEX(PP_Grid[#Data],$DE220,96),0)</f>
        <v/>
      </c>
      <c r="CV220">
        <f>IFERROR(INDEX(PP_Grid[#Data],$DE220,97),0)</f>
        <v/>
      </c>
      <c r="CW220">
        <f>IFERROR(INDEX(PP_Grid[#Data],$DE220,98),0)</f>
        <v/>
      </c>
      <c r="CX220">
        <f>IFERROR(INDEX(PP_Grid[#Data],$DE220,99),0)</f>
        <v/>
      </c>
      <c r="CY220">
        <f>IFERROR(INDEX(PP_Grid[#Data],$DE220,100),0)</f>
        <v/>
      </c>
      <c r="CZ220">
        <f>IFERROR(INDEX(PP_Grid[#Data],$DE220,101),0)</f>
        <v/>
      </c>
      <c r="DA220">
        <f>IFERROR(INDEX(PP_Grid[#Data],$DE220,102),0)</f>
        <v/>
      </c>
      <c r="DB220">
        <f>IFERROR(INDEX(PP_Grid[#Data],$DE220,103),0)</f>
        <v/>
      </c>
      <c r="DC220">
        <f>IFERROR(INDEX(PP_Grid[#Data],$DE220,104),0)</f>
        <v/>
      </c>
      <c r="DD220">
        <f>IFERROR(INDEX(PP_Grid[#Data],$DE220,105),0)</f>
        <v/>
      </c>
      <c r="DE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SUMIFS(M_BOM[RM_Qty_Per_Batch],M_BOM[Intermediate],$B220,M_BOM[RM_Code],$A199)</f>
        <v/>
      </c>
      <c r="D221">
        <f>IFERROR(INDEX(E221:DD221,$F$1),"")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  <c r="DD221">
        <f>$C221*DD220</f>
        <v/>
      </c>
    </row>
    <row r="222">
      <c r="B222" t="inlineStr">
        <is>
          <t>TSP-369</t>
        </is>
      </c>
      <c r="C222" t="inlineStr">
        <is>
          <t>No. of batches</t>
        </is>
      </c>
      <c r="D222">
        <f>IFERROR(INDEX(E222:DD222,$F$1),"")</f>
        <v/>
      </c>
      <c r="E222">
        <f>IFERROR(INDEX(PP_Grid[#Data],$DE222,2),0)</f>
        <v/>
      </c>
      <c r="F222">
        <f>IFERROR(INDEX(PP_Grid[#Data],$DE222,3),0)</f>
        <v/>
      </c>
      <c r="G222">
        <f>IFERROR(INDEX(PP_Grid[#Data],$DE222,4),0)</f>
        <v/>
      </c>
      <c r="H222">
        <f>IFERROR(INDEX(PP_Grid[#Data],$DE222,5),0)</f>
        <v/>
      </c>
      <c r="I222">
        <f>IFERROR(INDEX(PP_Grid[#Data],$DE222,6),0)</f>
        <v/>
      </c>
      <c r="J222">
        <f>IFERROR(INDEX(PP_Grid[#Data],$DE222,7),0)</f>
        <v/>
      </c>
      <c r="K222">
        <f>IFERROR(INDEX(PP_Grid[#Data],$DE222,8),0)</f>
        <v/>
      </c>
      <c r="L222">
        <f>IFERROR(INDEX(PP_Grid[#Data],$DE222,9),0)</f>
        <v/>
      </c>
      <c r="M222">
        <f>IFERROR(INDEX(PP_Grid[#Data],$DE222,10),0)</f>
        <v/>
      </c>
      <c r="N222">
        <f>IFERROR(INDEX(PP_Grid[#Data],$DE222,11),0)</f>
        <v/>
      </c>
      <c r="O222">
        <f>IFERROR(INDEX(PP_Grid[#Data],$DE222,12),0)</f>
        <v/>
      </c>
      <c r="P222">
        <f>IFERROR(INDEX(PP_Grid[#Data],$DE222,13),0)</f>
        <v/>
      </c>
      <c r="Q222">
        <f>IFERROR(INDEX(PP_Grid[#Data],$DE222,14),0)</f>
        <v/>
      </c>
      <c r="R222">
        <f>IFERROR(INDEX(PP_Grid[#Data],$DE222,15),0)</f>
        <v/>
      </c>
      <c r="S222">
        <f>IFERROR(INDEX(PP_Grid[#Data],$DE222,16),0)</f>
        <v/>
      </c>
      <c r="T222">
        <f>IFERROR(INDEX(PP_Grid[#Data],$DE222,17),0)</f>
        <v/>
      </c>
      <c r="U222">
        <f>IFERROR(INDEX(PP_Grid[#Data],$DE222,18),0)</f>
        <v/>
      </c>
      <c r="V222">
        <f>IFERROR(INDEX(PP_Grid[#Data],$DE222,19),0)</f>
        <v/>
      </c>
      <c r="W222">
        <f>IFERROR(INDEX(PP_Grid[#Data],$DE222,20),0)</f>
        <v/>
      </c>
      <c r="X222">
        <f>IFERROR(INDEX(PP_Grid[#Data],$DE222,21),0)</f>
        <v/>
      </c>
      <c r="Y222">
        <f>IFERROR(INDEX(PP_Grid[#Data],$DE222,22),0)</f>
        <v/>
      </c>
      <c r="Z222">
        <f>IFERROR(INDEX(PP_Grid[#Data],$DE222,23),0)</f>
        <v/>
      </c>
      <c r="AA222">
        <f>IFERROR(INDEX(PP_Grid[#Data],$DE222,24),0)</f>
        <v/>
      </c>
      <c r="AB222">
        <f>IFERROR(INDEX(PP_Grid[#Data],$DE222,25),0)</f>
        <v/>
      </c>
      <c r="AC222">
        <f>IFERROR(INDEX(PP_Grid[#Data],$DE222,26),0)</f>
        <v/>
      </c>
      <c r="AD222">
        <f>IFERROR(INDEX(PP_Grid[#Data],$DE222,27),0)</f>
        <v/>
      </c>
      <c r="AE222">
        <f>IFERROR(INDEX(PP_Grid[#Data],$DE222,28),0)</f>
        <v/>
      </c>
      <c r="AF222">
        <f>IFERROR(INDEX(PP_Grid[#Data],$DE222,29),0)</f>
        <v/>
      </c>
      <c r="AG222">
        <f>IFERROR(INDEX(PP_Grid[#Data],$DE222,30),0)</f>
        <v/>
      </c>
      <c r="AH222">
        <f>IFERROR(INDEX(PP_Grid[#Data],$DE222,31),0)</f>
        <v/>
      </c>
      <c r="AI222">
        <f>IFERROR(INDEX(PP_Grid[#Data],$DE222,32),0)</f>
        <v/>
      </c>
      <c r="AJ222">
        <f>IFERROR(INDEX(PP_Grid[#Data],$DE222,33),0)</f>
        <v/>
      </c>
      <c r="AK222">
        <f>IFERROR(INDEX(PP_Grid[#Data],$DE222,34),0)</f>
        <v/>
      </c>
      <c r="AL222">
        <f>IFERROR(INDEX(PP_Grid[#Data],$DE222,35),0)</f>
        <v/>
      </c>
      <c r="AM222">
        <f>IFERROR(INDEX(PP_Grid[#Data],$DE222,36),0)</f>
        <v/>
      </c>
      <c r="AN222">
        <f>IFERROR(INDEX(PP_Grid[#Data],$DE222,37),0)</f>
        <v/>
      </c>
      <c r="AO222">
        <f>IFERROR(INDEX(PP_Grid[#Data],$DE222,38),0)</f>
        <v/>
      </c>
      <c r="AP222">
        <f>IFERROR(INDEX(PP_Grid[#Data],$DE222,39),0)</f>
        <v/>
      </c>
      <c r="AQ222">
        <f>IFERROR(INDEX(PP_Grid[#Data],$DE222,40),0)</f>
        <v/>
      </c>
      <c r="AR222">
        <f>IFERROR(INDEX(PP_Grid[#Data],$DE222,41),0)</f>
        <v/>
      </c>
      <c r="AS222">
        <f>IFERROR(INDEX(PP_Grid[#Data],$DE222,42),0)</f>
        <v/>
      </c>
      <c r="AT222">
        <f>IFERROR(INDEX(PP_Grid[#Data],$DE222,43),0)</f>
        <v/>
      </c>
      <c r="AU222">
        <f>IFERROR(INDEX(PP_Grid[#Data],$DE222,44),0)</f>
        <v/>
      </c>
      <c r="AV222">
        <f>IFERROR(INDEX(PP_Grid[#Data],$DE222,45),0)</f>
        <v/>
      </c>
      <c r="AW222">
        <f>IFERROR(INDEX(PP_Grid[#Data],$DE222,46),0)</f>
        <v/>
      </c>
      <c r="AX222">
        <f>IFERROR(INDEX(PP_Grid[#Data],$DE222,47),0)</f>
        <v/>
      </c>
      <c r="AY222">
        <f>IFERROR(INDEX(PP_Grid[#Data],$DE222,48),0)</f>
        <v/>
      </c>
      <c r="AZ222">
        <f>IFERROR(INDEX(PP_Grid[#Data],$DE222,49),0)</f>
        <v/>
      </c>
      <c r="BA222">
        <f>IFERROR(INDEX(PP_Grid[#Data],$DE222,50),0)</f>
        <v/>
      </c>
      <c r="BB222">
        <f>IFERROR(INDEX(PP_Grid[#Data],$DE222,51),0)</f>
        <v/>
      </c>
      <c r="BC222">
        <f>IFERROR(INDEX(PP_Grid[#Data],$DE222,52),0)</f>
        <v/>
      </c>
      <c r="BD222">
        <f>IFERROR(INDEX(PP_Grid[#Data],$DE222,53),0)</f>
        <v/>
      </c>
      <c r="BE222">
        <f>IFERROR(INDEX(PP_Grid[#Data],$DE222,54),0)</f>
        <v/>
      </c>
      <c r="BF222">
        <f>IFERROR(INDEX(PP_Grid[#Data],$DE222,55),0)</f>
        <v/>
      </c>
      <c r="BG222">
        <f>IFERROR(INDEX(PP_Grid[#Data],$DE222,56),0)</f>
        <v/>
      </c>
      <c r="BH222">
        <f>IFERROR(INDEX(PP_Grid[#Data],$DE222,57),0)</f>
        <v/>
      </c>
      <c r="BI222">
        <f>IFERROR(INDEX(PP_Grid[#Data],$DE222,58),0)</f>
        <v/>
      </c>
      <c r="BJ222">
        <f>IFERROR(INDEX(PP_Grid[#Data],$DE222,59),0)</f>
        <v/>
      </c>
      <c r="BK222">
        <f>IFERROR(INDEX(PP_Grid[#Data],$DE222,60),0)</f>
        <v/>
      </c>
      <c r="BL222">
        <f>IFERROR(INDEX(PP_Grid[#Data],$DE222,61),0)</f>
        <v/>
      </c>
      <c r="BM222">
        <f>IFERROR(INDEX(PP_Grid[#Data],$DE222,62),0)</f>
        <v/>
      </c>
      <c r="BN222">
        <f>IFERROR(INDEX(PP_Grid[#Data],$DE222,63),0)</f>
        <v/>
      </c>
      <c r="BO222">
        <f>IFERROR(INDEX(PP_Grid[#Data],$DE222,64),0)</f>
        <v/>
      </c>
      <c r="BP222">
        <f>IFERROR(INDEX(PP_Grid[#Data],$DE222,65),0)</f>
        <v/>
      </c>
      <c r="BQ222">
        <f>IFERROR(INDEX(PP_Grid[#Data],$DE222,66),0)</f>
        <v/>
      </c>
      <c r="BR222">
        <f>IFERROR(INDEX(PP_Grid[#Data],$DE222,67),0)</f>
        <v/>
      </c>
      <c r="BS222">
        <f>IFERROR(INDEX(PP_Grid[#Data],$DE222,68),0)</f>
        <v/>
      </c>
      <c r="BT222">
        <f>IFERROR(INDEX(PP_Grid[#Data],$DE222,69),0)</f>
        <v/>
      </c>
      <c r="BU222">
        <f>IFERROR(INDEX(PP_Grid[#Data],$DE222,70),0)</f>
        <v/>
      </c>
      <c r="BV222">
        <f>IFERROR(INDEX(PP_Grid[#Data],$DE222,71),0)</f>
        <v/>
      </c>
      <c r="BW222">
        <f>IFERROR(INDEX(PP_Grid[#Data],$DE222,72),0)</f>
        <v/>
      </c>
      <c r="BX222">
        <f>IFERROR(INDEX(PP_Grid[#Data],$DE222,73),0)</f>
        <v/>
      </c>
      <c r="BY222">
        <f>IFERROR(INDEX(PP_Grid[#Data],$DE222,74),0)</f>
        <v/>
      </c>
      <c r="BZ222">
        <f>IFERROR(INDEX(PP_Grid[#Data],$DE222,75),0)</f>
        <v/>
      </c>
      <c r="CA222">
        <f>IFERROR(INDEX(PP_Grid[#Data],$DE222,76),0)</f>
        <v/>
      </c>
      <c r="CB222">
        <f>IFERROR(INDEX(PP_Grid[#Data],$DE222,77),0)</f>
        <v/>
      </c>
      <c r="CC222">
        <f>IFERROR(INDEX(PP_Grid[#Data],$DE222,78),0)</f>
        <v/>
      </c>
      <c r="CD222">
        <f>IFERROR(INDEX(PP_Grid[#Data],$DE222,79),0)</f>
        <v/>
      </c>
      <c r="CE222">
        <f>IFERROR(INDEX(PP_Grid[#Data],$DE222,80),0)</f>
        <v/>
      </c>
      <c r="CF222">
        <f>IFERROR(INDEX(PP_Grid[#Data],$DE222,81),0)</f>
        <v/>
      </c>
      <c r="CG222">
        <f>IFERROR(INDEX(PP_Grid[#Data],$DE222,82),0)</f>
        <v/>
      </c>
      <c r="CH222">
        <f>IFERROR(INDEX(PP_Grid[#Data],$DE222,83),0)</f>
        <v/>
      </c>
      <c r="CI222">
        <f>IFERROR(INDEX(PP_Grid[#Data],$DE222,84),0)</f>
        <v/>
      </c>
      <c r="CJ222">
        <f>IFERROR(INDEX(PP_Grid[#Data],$DE222,85),0)</f>
        <v/>
      </c>
      <c r="CK222">
        <f>IFERROR(INDEX(PP_Grid[#Data],$DE222,86),0)</f>
        <v/>
      </c>
      <c r="CL222">
        <f>IFERROR(INDEX(PP_Grid[#Data],$DE222,87),0)</f>
        <v/>
      </c>
      <c r="CM222">
        <f>IFERROR(INDEX(PP_Grid[#Data],$DE222,88),0)</f>
        <v/>
      </c>
      <c r="CN222">
        <f>IFERROR(INDEX(PP_Grid[#Data],$DE222,89),0)</f>
        <v/>
      </c>
      <c r="CO222">
        <f>IFERROR(INDEX(PP_Grid[#Data],$DE222,90),0)</f>
        <v/>
      </c>
      <c r="CP222">
        <f>IFERROR(INDEX(PP_Grid[#Data],$DE222,91),0)</f>
        <v/>
      </c>
      <c r="CQ222">
        <f>IFERROR(INDEX(PP_Grid[#Data],$DE222,92),0)</f>
        <v/>
      </c>
      <c r="CR222">
        <f>IFERROR(INDEX(PP_Grid[#Data],$DE222,93),0)</f>
        <v/>
      </c>
      <c r="CS222">
        <f>IFERROR(INDEX(PP_Grid[#Data],$DE222,94),0)</f>
        <v/>
      </c>
      <c r="CT222">
        <f>IFERROR(INDEX(PP_Grid[#Data],$DE222,95),0)</f>
        <v/>
      </c>
      <c r="CU222">
        <f>IFERROR(INDEX(PP_Grid[#Data],$DE222,96),0)</f>
        <v/>
      </c>
      <c r="CV222">
        <f>IFERROR(INDEX(PP_Grid[#Data],$DE222,97),0)</f>
        <v/>
      </c>
      <c r="CW222">
        <f>IFERROR(INDEX(PP_Grid[#Data],$DE222,98),0)</f>
        <v/>
      </c>
      <c r="CX222">
        <f>IFERROR(INDEX(PP_Grid[#Data],$DE222,99),0)</f>
        <v/>
      </c>
      <c r="CY222">
        <f>IFERROR(INDEX(PP_Grid[#Data],$DE222,100),0)</f>
        <v/>
      </c>
      <c r="CZ222">
        <f>IFERROR(INDEX(PP_Grid[#Data],$DE222,101),0)</f>
        <v/>
      </c>
      <c r="DA222">
        <f>IFERROR(INDEX(PP_Grid[#Data],$DE222,102),0)</f>
        <v/>
      </c>
      <c r="DB222">
        <f>IFERROR(INDEX(PP_Grid[#Data],$DE222,103),0)</f>
        <v/>
      </c>
      <c r="DC222">
        <f>IFERROR(INDEX(PP_Grid[#Data],$DE222,104),0)</f>
        <v/>
      </c>
      <c r="DD222">
        <f>IFERROR(INDEX(PP_Grid[#Data],$DE222,105),0)</f>
        <v/>
      </c>
      <c r="DE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SUMIFS(M_BOM[RM_Qty_Per_Batch],M_BOM[Intermediate],$B222,M_BOM[RM_Code],$A199)</f>
        <v/>
      </c>
      <c r="D223">
        <f>IFERROR(INDEX(E223:DD223,$F$1),"")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  <c r="DD223">
        <f>$C223*DD222</f>
        <v/>
      </c>
    </row>
    <row r="224">
      <c r="B224" t="inlineStr">
        <is>
          <t>TSP-390</t>
        </is>
      </c>
      <c r="C224" t="inlineStr">
        <is>
          <t>No. of batches</t>
        </is>
      </c>
      <c r="D224">
        <f>IFERROR(INDEX(E224:DD224,$F$1),"")</f>
        <v/>
      </c>
      <c r="E224">
        <f>IFERROR(INDEX(PP_Grid[#Data],$DE224,2),0)</f>
        <v/>
      </c>
      <c r="F224">
        <f>IFERROR(INDEX(PP_Grid[#Data],$DE224,3),0)</f>
        <v/>
      </c>
      <c r="G224">
        <f>IFERROR(INDEX(PP_Grid[#Data],$DE224,4),0)</f>
        <v/>
      </c>
      <c r="H224">
        <f>IFERROR(INDEX(PP_Grid[#Data],$DE224,5),0)</f>
        <v/>
      </c>
      <c r="I224">
        <f>IFERROR(INDEX(PP_Grid[#Data],$DE224,6),0)</f>
        <v/>
      </c>
      <c r="J224">
        <f>IFERROR(INDEX(PP_Grid[#Data],$DE224,7),0)</f>
        <v/>
      </c>
      <c r="K224">
        <f>IFERROR(INDEX(PP_Grid[#Data],$DE224,8),0)</f>
        <v/>
      </c>
      <c r="L224">
        <f>IFERROR(INDEX(PP_Grid[#Data],$DE224,9),0)</f>
        <v/>
      </c>
      <c r="M224">
        <f>IFERROR(INDEX(PP_Grid[#Data],$DE224,10),0)</f>
        <v/>
      </c>
      <c r="N224">
        <f>IFERROR(INDEX(PP_Grid[#Data],$DE224,11),0)</f>
        <v/>
      </c>
      <c r="O224">
        <f>IFERROR(INDEX(PP_Grid[#Data],$DE224,12),0)</f>
        <v/>
      </c>
      <c r="P224">
        <f>IFERROR(INDEX(PP_Grid[#Data],$DE224,13),0)</f>
        <v/>
      </c>
      <c r="Q224">
        <f>IFERROR(INDEX(PP_Grid[#Data],$DE224,14),0)</f>
        <v/>
      </c>
      <c r="R224">
        <f>IFERROR(INDEX(PP_Grid[#Data],$DE224,15),0)</f>
        <v/>
      </c>
      <c r="S224">
        <f>IFERROR(INDEX(PP_Grid[#Data],$DE224,16),0)</f>
        <v/>
      </c>
      <c r="T224">
        <f>IFERROR(INDEX(PP_Grid[#Data],$DE224,17),0)</f>
        <v/>
      </c>
      <c r="U224">
        <f>IFERROR(INDEX(PP_Grid[#Data],$DE224,18),0)</f>
        <v/>
      </c>
      <c r="V224">
        <f>IFERROR(INDEX(PP_Grid[#Data],$DE224,19),0)</f>
        <v/>
      </c>
      <c r="W224">
        <f>IFERROR(INDEX(PP_Grid[#Data],$DE224,20),0)</f>
        <v/>
      </c>
      <c r="X224">
        <f>IFERROR(INDEX(PP_Grid[#Data],$DE224,21),0)</f>
        <v/>
      </c>
      <c r="Y224">
        <f>IFERROR(INDEX(PP_Grid[#Data],$DE224,22),0)</f>
        <v/>
      </c>
      <c r="Z224">
        <f>IFERROR(INDEX(PP_Grid[#Data],$DE224,23),0)</f>
        <v/>
      </c>
      <c r="AA224">
        <f>IFERROR(INDEX(PP_Grid[#Data],$DE224,24),0)</f>
        <v/>
      </c>
      <c r="AB224">
        <f>IFERROR(INDEX(PP_Grid[#Data],$DE224,25),0)</f>
        <v/>
      </c>
      <c r="AC224">
        <f>IFERROR(INDEX(PP_Grid[#Data],$DE224,26),0)</f>
        <v/>
      </c>
      <c r="AD224">
        <f>IFERROR(INDEX(PP_Grid[#Data],$DE224,27),0)</f>
        <v/>
      </c>
      <c r="AE224">
        <f>IFERROR(INDEX(PP_Grid[#Data],$DE224,28),0)</f>
        <v/>
      </c>
      <c r="AF224">
        <f>IFERROR(INDEX(PP_Grid[#Data],$DE224,29),0)</f>
        <v/>
      </c>
      <c r="AG224">
        <f>IFERROR(INDEX(PP_Grid[#Data],$DE224,30),0)</f>
        <v/>
      </c>
      <c r="AH224">
        <f>IFERROR(INDEX(PP_Grid[#Data],$DE224,31),0)</f>
        <v/>
      </c>
      <c r="AI224">
        <f>IFERROR(INDEX(PP_Grid[#Data],$DE224,32),0)</f>
        <v/>
      </c>
      <c r="AJ224">
        <f>IFERROR(INDEX(PP_Grid[#Data],$DE224,33),0)</f>
        <v/>
      </c>
      <c r="AK224">
        <f>IFERROR(INDEX(PP_Grid[#Data],$DE224,34),0)</f>
        <v/>
      </c>
      <c r="AL224">
        <f>IFERROR(INDEX(PP_Grid[#Data],$DE224,35),0)</f>
        <v/>
      </c>
      <c r="AM224">
        <f>IFERROR(INDEX(PP_Grid[#Data],$DE224,36),0)</f>
        <v/>
      </c>
      <c r="AN224">
        <f>IFERROR(INDEX(PP_Grid[#Data],$DE224,37),0)</f>
        <v/>
      </c>
      <c r="AO224">
        <f>IFERROR(INDEX(PP_Grid[#Data],$DE224,38),0)</f>
        <v/>
      </c>
      <c r="AP224">
        <f>IFERROR(INDEX(PP_Grid[#Data],$DE224,39),0)</f>
        <v/>
      </c>
      <c r="AQ224">
        <f>IFERROR(INDEX(PP_Grid[#Data],$DE224,40),0)</f>
        <v/>
      </c>
      <c r="AR224">
        <f>IFERROR(INDEX(PP_Grid[#Data],$DE224,41),0)</f>
        <v/>
      </c>
      <c r="AS224">
        <f>IFERROR(INDEX(PP_Grid[#Data],$DE224,42),0)</f>
        <v/>
      </c>
      <c r="AT224">
        <f>IFERROR(INDEX(PP_Grid[#Data],$DE224,43),0)</f>
        <v/>
      </c>
      <c r="AU224">
        <f>IFERROR(INDEX(PP_Grid[#Data],$DE224,44),0)</f>
        <v/>
      </c>
      <c r="AV224">
        <f>IFERROR(INDEX(PP_Grid[#Data],$DE224,45),0)</f>
        <v/>
      </c>
      <c r="AW224">
        <f>IFERROR(INDEX(PP_Grid[#Data],$DE224,46),0)</f>
        <v/>
      </c>
      <c r="AX224">
        <f>IFERROR(INDEX(PP_Grid[#Data],$DE224,47),0)</f>
        <v/>
      </c>
      <c r="AY224">
        <f>IFERROR(INDEX(PP_Grid[#Data],$DE224,48),0)</f>
        <v/>
      </c>
      <c r="AZ224">
        <f>IFERROR(INDEX(PP_Grid[#Data],$DE224,49),0)</f>
        <v/>
      </c>
      <c r="BA224">
        <f>IFERROR(INDEX(PP_Grid[#Data],$DE224,50),0)</f>
        <v/>
      </c>
      <c r="BB224">
        <f>IFERROR(INDEX(PP_Grid[#Data],$DE224,51),0)</f>
        <v/>
      </c>
      <c r="BC224">
        <f>IFERROR(INDEX(PP_Grid[#Data],$DE224,52),0)</f>
        <v/>
      </c>
      <c r="BD224">
        <f>IFERROR(INDEX(PP_Grid[#Data],$DE224,53),0)</f>
        <v/>
      </c>
      <c r="BE224">
        <f>IFERROR(INDEX(PP_Grid[#Data],$DE224,54),0)</f>
        <v/>
      </c>
      <c r="BF224">
        <f>IFERROR(INDEX(PP_Grid[#Data],$DE224,55),0)</f>
        <v/>
      </c>
      <c r="BG224">
        <f>IFERROR(INDEX(PP_Grid[#Data],$DE224,56),0)</f>
        <v/>
      </c>
      <c r="BH224">
        <f>IFERROR(INDEX(PP_Grid[#Data],$DE224,57),0)</f>
        <v/>
      </c>
      <c r="BI224">
        <f>IFERROR(INDEX(PP_Grid[#Data],$DE224,58),0)</f>
        <v/>
      </c>
      <c r="BJ224">
        <f>IFERROR(INDEX(PP_Grid[#Data],$DE224,59),0)</f>
        <v/>
      </c>
      <c r="BK224">
        <f>IFERROR(INDEX(PP_Grid[#Data],$DE224,60),0)</f>
        <v/>
      </c>
      <c r="BL224">
        <f>IFERROR(INDEX(PP_Grid[#Data],$DE224,61),0)</f>
        <v/>
      </c>
      <c r="BM224">
        <f>IFERROR(INDEX(PP_Grid[#Data],$DE224,62),0)</f>
        <v/>
      </c>
      <c r="BN224">
        <f>IFERROR(INDEX(PP_Grid[#Data],$DE224,63),0)</f>
        <v/>
      </c>
      <c r="BO224">
        <f>IFERROR(INDEX(PP_Grid[#Data],$DE224,64),0)</f>
        <v/>
      </c>
      <c r="BP224">
        <f>IFERROR(INDEX(PP_Grid[#Data],$DE224,65),0)</f>
        <v/>
      </c>
      <c r="BQ224">
        <f>IFERROR(INDEX(PP_Grid[#Data],$DE224,66),0)</f>
        <v/>
      </c>
      <c r="BR224">
        <f>IFERROR(INDEX(PP_Grid[#Data],$DE224,67),0)</f>
        <v/>
      </c>
      <c r="BS224">
        <f>IFERROR(INDEX(PP_Grid[#Data],$DE224,68),0)</f>
        <v/>
      </c>
      <c r="BT224">
        <f>IFERROR(INDEX(PP_Grid[#Data],$DE224,69),0)</f>
        <v/>
      </c>
      <c r="BU224">
        <f>IFERROR(INDEX(PP_Grid[#Data],$DE224,70),0)</f>
        <v/>
      </c>
      <c r="BV224">
        <f>IFERROR(INDEX(PP_Grid[#Data],$DE224,71),0)</f>
        <v/>
      </c>
      <c r="BW224">
        <f>IFERROR(INDEX(PP_Grid[#Data],$DE224,72),0)</f>
        <v/>
      </c>
      <c r="BX224">
        <f>IFERROR(INDEX(PP_Grid[#Data],$DE224,73),0)</f>
        <v/>
      </c>
      <c r="BY224">
        <f>IFERROR(INDEX(PP_Grid[#Data],$DE224,74),0)</f>
        <v/>
      </c>
      <c r="BZ224">
        <f>IFERROR(INDEX(PP_Grid[#Data],$DE224,75),0)</f>
        <v/>
      </c>
      <c r="CA224">
        <f>IFERROR(INDEX(PP_Grid[#Data],$DE224,76),0)</f>
        <v/>
      </c>
      <c r="CB224">
        <f>IFERROR(INDEX(PP_Grid[#Data],$DE224,77),0)</f>
        <v/>
      </c>
      <c r="CC224">
        <f>IFERROR(INDEX(PP_Grid[#Data],$DE224,78),0)</f>
        <v/>
      </c>
      <c r="CD224">
        <f>IFERROR(INDEX(PP_Grid[#Data],$DE224,79),0)</f>
        <v/>
      </c>
      <c r="CE224">
        <f>IFERROR(INDEX(PP_Grid[#Data],$DE224,80),0)</f>
        <v/>
      </c>
      <c r="CF224">
        <f>IFERROR(INDEX(PP_Grid[#Data],$DE224,81),0)</f>
        <v/>
      </c>
      <c r="CG224">
        <f>IFERROR(INDEX(PP_Grid[#Data],$DE224,82),0)</f>
        <v/>
      </c>
      <c r="CH224">
        <f>IFERROR(INDEX(PP_Grid[#Data],$DE224,83),0)</f>
        <v/>
      </c>
      <c r="CI224">
        <f>IFERROR(INDEX(PP_Grid[#Data],$DE224,84),0)</f>
        <v/>
      </c>
      <c r="CJ224">
        <f>IFERROR(INDEX(PP_Grid[#Data],$DE224,85),0)</f>
        <v/>
      </c>
      <c r="CK224">
        <f>IFERROR(INDEX(PP_Grid[#Data],$DE224,86),0)</f>
        <v/>
      </c>
      <c r="CL224">
        <f>IFERROR(INDEX(PP_Grid[#Data],$DE224,87),0)</f>
        <v/>
      </c>
      <c r="CM224">
        <f>IFERROR(INDEX(PP_Grid[#Data],$DE224,88),0)</f>
        <v/>
      </c>
      <c r="CN224">
        <f>IFERROR(INDEX(PP_Grid[#Data],$DE224,89),0)</f>
        <v/>
      </c>
      <c r="CO224">
        <f>IFERROR(INDEX(PP_Grid[#Data],$DE224,90),0)</f>
        <v/>
      </c>
      <c r="CP224">
        <f>IFERROR(INDEX(PP_Grid[#Data],$DE224,91),0)</f>
        <v/>
      </c>
      <c r="CQ224">
        <f>IFERROR(INDEX(PP_Grid[#Data],$DE224,92),0)</f>
        <v/>
      </c>
      <c r="CR224">
        <f>IFERROR(INDEX(PP_Grid[#Data],$DE224,93),0)</f>
        <v/>
      </c>
      <c r="CS224">
        <f>IFERROR(INDEX(PP_Grid[#Data],$DE224,94),0)</f>
        <v/>
      </c>
      <c r="CT224">
        <f>IFERROR(INDEX(PP_Grid[#Data],$DE224,95),0)</f>
        <v/>
      </c>
      <c r="CU224">
        <f>IFERROR(INDEX(PP_Grid[#Data],$DE224,96),0)</f>
        <v/>
      </c>
      <c r="CV224">
        <f>IFERROR(INDEX(PP_Grid[#Data],$DE224,97),0)</f>
        <v/>
      </c>
      <c r="CW224">
        <f>IFERROR(INDEX(PP_Grid[#Data],$DE224,98),0)</f>
        <v/>
      </c>
      <c r="CX224">
        <f>IFERROR(INDEX(PP_Grid[#Data],$DE224,99),0)</f>
        <v/>
      </c>
      <c r="CY224">
        <f>IFERROR(INDEX(PP_Grid[#Data],$DE224,100),0)</f>
        <v/>
      </c>
      <c r="CZ224">
        <f>IFERROR(INDEX(PP_Grid[#Data],$DE224,101),0)</f>
        <v/>
      </c>
      <c r="DA224">
        <f>IFERROR(INDEX(PP_Grid[#Data],$DE224,102),0)</f>
        <v/>
      </c>
      <c r="DB224">
        <f>IFERROR(INDEX(PP_Grid[#Data],$DE224,103),0)</f>
        <v/>
      </c>
      <c r="DC224">
        <f>IFERROR(INDEX(PP_Grid[#Data],$DE224,104),0)</f>
        <v/>
      </c>
      <c r="DD224">
        <f>IFERROR(INDEX(PP_Grid[#Data],$DE224,105),0)</f>
        <v/>
      </c>
      <c r="DE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SUMIFS(M_BOM[RM_Qty_Per_Batch],M_BOM[Intermediate],$B224,M_BOM[RM_Code],$A199)</f>
        <v/>
      </c>
      <c r="D225">
        <f>IFERROR(INDEX(E225:DD225,$F$1),"")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  <c r="DD225">
        <f>$C225*DD224</f>
        <v/>
      </c>
    </row>
    <row r="226">
      <c r="B226" t="inlineStr">
        <is>
          <t>TSP-399</t>
        </is>
      </c>
      <c r="C226" t="inlineStr">
        <is>
          <t>No. of batches</t>
        </is>
      </c>
      <c r="D226">
        <f>IFERROR(INDEX(E226:DD226,$F$1),"")</f>
        <v/>
      </c>
      <c r="E226">
        <f>IFERROR(INDEX(PP_Grid[#Data],$DE226,2),0)</f>
        <v/>
      </c>
      <c r="F226">
        <f>IFERROR(INDEX(PP_Grid[#Data],$DE226,3),0)</f>
        <v/>
      </c>
      <c r="G226">
        <f>IFERROR(INDEX(PP_Grid[#Data],$DE226,4),0)</f>
        <v/>
      </c>
      <c r="H226">
        <f>IFERROR(INDEX(PP_Grid[#Data],$DE226,5),0)</f>
        <v/>
      </c>
      <c r="I226">
        <f>IFERROR(INDEX(PP_Grid[#Data],$DE226,6),0)</f>
        <v/>
      </c>
      <c r="J226">
        <f>IFERROR(INDEX(PP_Grid[#Data],$DE226,7),0)</f>
        <v/>
      </c>
      <c r="K226">
        <f>IFERROR(INDEX(PP_Grid[#Data],$DE226,8),0)</f>
        <v/>
      </c>
      <c r="L226">
        <f>IFERROR(INDEX(PP_Grid[#Data],$DE226,9),0)</f>
        <v/>
      </c>
      <c r="M226">
        <f>IFERROR(INDEX(PP_Grid[#Data],$DE226,10),0)</f>
        <v/>
      </c>
      <c r="N226">
        <f>IFERROR(INDEX(PP_Grid[#Data],$DE226,11),0)</f>
        <v/>
      </c>
      <c r="O226">
        <f>IFERROR(INDEX(PP_Grid[#Data],$DE226,12),0)</f>
        <v/>
      </c>
      <c r="P226">
        <f>IFERROR(INDEX(PP_Grid[#Data],$DE226,13),0)</f>
        <v/>
      </c>
      <c r="Q226">
        <f>IFERROR(INDEX(PP_Grid[#Data],$DE226,14),0)</f>
        <v/>
      </c>
      <c r="R226">
        <f>IFERROR(INDEX(PP_Grid[#Data],$DE226,15),0)</f>
        <v/>
      </c>
      <c r="S226">
        <f>IFERROR(INDEX(PP_Grid[#Data],$DE226,16),0)</f>
        <v/>
      </c>
      <c r="T226">
        <f>IFERROR(INDEX(PP_Grid[#Data],$DE226,17),0)</f>
        <v/>
      </c>
      <c r="U226">
        <f>IFERROR(INDEX(PP_Grid[#Data],$DE226,18),0)</f>
        <v/>
      </c>
      <c r="V226">
        <f>IFERROR(INDEX(PP_Grid[#Data],$DE226,19),0)</f>
        <v/>
      </c>
      <c r="W226">
        <f>IFERROR(INDEX(PP_Grid[#Data],$DE226,20),0)</f>
        <v/>
      </c>
      <c r="X226">
        <f>IFERROR(INDEX(PP_Grid[#Data],$DE226,21),0)</f>
        <v/>
      </c>
      <c r="Y226">
        <f>IFERROR(INDEX(PP_Grid[#Data],$DE226,22),0)</f>
        <v/>
      </c>
      <c r="Z226">
        <f>IFERROR(INDEX(PP_Grid[#Data],$DE226,23),0)</f>
        <v/>
      </c>
      <c r="AA226">
        <f>IFERROR(INDEX(PP_Grid[#Data],$DE226,24),0)</f>
        <v/>
      </c>
      <c r="AB226">
        <f>IFERROR(INDEX(PP_Grid[#Data],$DE226,25),0)</f>
        <v/>
      </c>
      <c r="AC226">
        <f>IFERROR(INDEX(PP_Grid[#Data],$DE226,26),0)</f>
        <v/>
      </c>
      <c r="AD226">
        <f>IFERROR(INDEX(PP_Grid[#Data],$DE226,27),0)</f>
        <v/>
      </c>
      <c r="AE226">
        <f>IFERROR(INDEX(PP_Grid[#Data],$DE226,28),0)</f>
        <v/>
      </c>
      <c r="AF226">
        <f>IFERROR(INDEX(PP_Grid[#Data],$DE226,29),0)</f>
        <v/>
      </c>
      <c r="AG226">
        <f>IFERROR(INDEX(PP_Grid[#Data],$DE226,30),0)</f>
        <v/>
      </c>
      <c r="AH226">
        <f>IFERROR(INDEX(PP_Grid[#Data],$DE226,31),0)</f>
        <v/>
      </c>
      <c r="AI226">
        <f>IFERROR(INDEX(PP_Grid[#Data],$DE226,32),0)</f>
        <v/>
      </c>
      <c r="AJ226">
        <f>IFERROR(INDEX(PP_Grid[#Data],$DE226,33),0)</f>
        <v/>
      </c>
      <c r="AK226">
        <f>IFERROR(INDEX(PP_Grid[#Data],$DE226,34),0)</f>
        <v/>
      </c>
      <c r="AL226">
        <f>IFERROR(INDEX(PP_Grid[#Data],$DE226,35),0)</f>
        <v/>
      </c>
      <c r="AM226">
        <f>IFERROR(INDEX(PP_Grid[#Data],$DE226,36),0)</f>
        <v/>
      </c>
      <c r="AN226">
        <f>IFERROR(INDEX(PP_Grid[#Data],$DE226,37),0)</f>
        <v/>
      </c>
      <c r="AO226">
        <f>IFERROR(INDEX(PP_Grid[#Data],$DE226,38),0)</f>
        <v/>
      </c>
      <c r="AP226">
        <f>IFERROR(INDEX(PP_Grid[#Data],$DE226,39),0)</f>
        <v/>
      </c>
      <c r="AQ226">
        <f>IFERROR(INDEX(PP_Grid[#Data],$DE226,40),0)</f>
        <v/>
      </c>
      <c r="AR226">
        <f>IFERROR(INDEX(PP_Grid[#Data],$DE226,41),0)</f>
        <v/>
      </c>
      <c r="AS226">
        <f>IFERROR(INDEX(PP_Grid[#Data],$DE226,42),0)</f>
        <v/>
      </c>
      <c r="AT226">
        <f>IFERROR(INDEX(PP_Grid[#Data],$DE226,43),0)</f>
        <v/>
      </c>
      <c r="AU226">
        <f>IFERROR(INDEX(PP_Grid[#Data],$DE226,44),0)</f>
        <v/>
      </c>
      <c r="AV226">
        <f>IFERROR(INDEX(PP_Grid[#Data],$DE226,45),0)</f>
        <v/>
      </c>
      <c r="AW226">
        <f>IFERROR(INDEX(PP_Grid[#Data],$DE226,46),0)</f>
        <v/>
      </c>
      <c r="AX226">
        <f>IFERROR(INDEX(PP_Grid[#Data],$DE226,47),0)</f>
        <v/>
      </c>
      <c r="AY226">
        <f>IFERROR(INDEX(PP_Grid[#Data],$DE226,48),0)</f>
        <v/>
      </c>
      <c r="AZ226">
        <f>IFERROR(INDEX(PP_Grid[#Data],$DE226,49),0)</f>
        <v/>
      </c>
      <c r="BA226">
        <f>IFERROR(INDEX(PP_Grid[#Data],$DE226,50),0)</f>
        <v/>
      </c>
      <c r="BB226">
        <f>IFERROR(INDEX(PP_Grid[#Data],$DE226,51),0)</f>
        <v/>
      </c>
      <c r="BC226">
        <f>IFERROR(INDEX(PP_Grid[#Data],$DE226,52),0)</f>
        <v/>
      </c>
      <c r="BD226">
        <f>IFERROR(INDEX(PP_Grid[#Data],$DE226,53),0)</f>
        <v/>
      </c>
      <c r="BE226">
        <f>IFERROR(INDEX(PP_Grid[#Data],$DE226,54),0)</f>
        <v/>
      </c>
      <c r="BF226">
        <f>IFERROR(INDEX(PP_Grid[#Data],$DE226,55),0)</f>
        <v/>
      </c>
      <c r="BG226">
        <f>IFERROR(INDEX(PP_Grid[#Data],$DE226,56),0)</f>
        <v/>
      </c>
      <c r="BH226">
        <f>IFERROR(INDEX(PP_Grid[#Data],$DE226,57),0)</f>
        <v/>
      </c>
      <c r="BI226">
        <f>IFERROR(INDEX(PP_Grid[#Data],$DE226,58),0)</f>
        <v/>
      </c>
      <c r="BJ226">
        <f>IFERROR(INDEX(PP_Grid[#Data],$DE226,59),0)</f>
        <v/>
      </c>
      <c r="BK226">
        <f>IFERROR(INDEX(PP_Grid[#Data],$DE226,60),0)</f>
        <v/>
      </c>
      <c r="BL226">
        <f>IFERROR(INDEX(PP_Grid[#Data],$DE226,61),0)</f>
        <v/>
      </c>
      <c r="BM226">
        <f>IFERROR(INDEX(PP_Grid[#Data],$DE226,62),0)</f>
        <v/>
      </c>
      <c r="BN226">
        <f>IFERROR(INDEX(PP_Grid[#Data],$DE226,63),0)</f>
        <v/>
      </c>
      <c r="BO226">
        <f>IFERROR(INDEX(PP_Grid[#Data],$DE226,64),0)</f>
        <v/>
      </c>
      <c r="BP226">
        <f>IFERROR(INDEX(PP_Grid[#Data],$DE226,65),0)</f>
        <v/>
      </c>
      <c r="BQ226">
        <f>IFERROR(INDEX(PP_Grid[#Data],$DE226,66),0)</f>
        <v/>
      </c>
      <c r="BR226">
        <f>IFERROR(INDEX(PP_Grid[#Data],$DE226,67),0)</f>
        <v/>
      </c>
      <c r="BS226">
        <f>IFERROR(INDEX(PP_Grid[#Data],$DE226,68),0)</f>
        <v/>
      </c>
      <c r="BT226">
        <f>IFERROR(INDEX(PP_Grid[#Data],$DE226,69),0)</f>
        <v/>
      </c>
      <c r="BU226">
        <f>IFERROR(INDEX(PP_Grid[#Data],$DE226,70),0)</f>
        <v/>
      </c>
      <c r="BV226">
        <f>IFERROR(INDEX(PP_Grid[#Data],$DE226,71),0)</f>
        <v/>
      </c>
      <c r="BW226">
        <f>IFERROR(INDEX(PP_Grid[#Data],$DE226,72),0)</f>
        <v/>
      </c>
      <c r="BX226">
        <f>IFERROR(INDEX(PP_Grid[#Data],$DE226,73),0)</f>
        <v/>
      </c>
      <c r="BY226">
        <f>IFERROR(INDEX(PP_Grid[#Data],$DE226,74),0)</f>
        <v/>
      </c>
      <c r="BZ226">
        <f>IFERROR(INDEX(PP_Grid[#Data],$DE226,75),0)</f>
        <v/>
      </c>
      <c r="CA226">
        <f>IFERROR(INDEX(PP_Grid[#Data],$DE226,76),0)</f>
        <v/>
      </c>
      <c r="CB226">
        <f>IFERROR(INDEX(PP_Grid[#Data],$DE226,77),0)</f>
        <v/>
      </c>
      <c r="CC226">
        <f>IFERROR(INDEX(PP_Grid[#Data],$DE226,78),0)</f>
        <v/>
      </c>
      <c r="CD226">
        <f>IFERROR(INDEX(PP_Grid[#Data],$DE226,79),0)</f>
        <v/>
      </c>
      <c r="CE226">
        <f>IFERROR(INDEX(PP_Grid[#Data],$DE226,80),0)</f>
        <v/>
      </c>
      <c r="CF226">
        <f>IFERROR(INDEX(PP_Grid[#Data],$DE226,81),0)</f>
        <v/>
      </c>
      <c r="CG226">
        <f>IFERROR(INDEX(PP_Grid[#Data],$DE226,82),0)</f>
        <v/>
      </c>
      <c r="CH226">
        <f>IFERROR(INDEX(PP_Grid[#Data],$DE226,83),0)</f>
        <v/>
      </c>
      <c r="CI226">
        <f>IFERROR(INDEX(PP_Grid[#Data],$DE226,84),0)</f>
        <v/>
      </c>
      <c r="CJ226">
        <f>IFERROR(INDEX(PP_Grid[#Data],$DE226,85),0)</f>
        <v/>
      </c>
      <c r="CK226">
        <f>IFERROR(INDEX(PP_Grid[#Data],$DE226,86),0)</f>
        <v/>
      </c>
      <c r="CL226">
        <f>IFERROR(INDEX(PP_Grid[#Data],$DE226,87),0)</f>
        <v/>
      </c>
      <c r="CM226">
        <f>IFERROR(INDEX(PP_Grid[#Data],$DE226,88),0)</f>
        <v/>
      </c>
      <c r="CN226">
        <f>IFERROR(INDEX(PP_Grid[#Data],$DE226,89),0)</f>
        <v/>
      </c>
      <c r="CO226">
        <f>IFERROR(INDEX(PP_Grid[#Data],$DE226,90),0)</f>
        <v/>
      </c>
      <c r="CP226">
        <f>IFERROR(INDEX(PP_Grid[#Data],$DE226,91),0)</f>
        <v/>
      </c>
      <c r="CQ226">
        <f>IFERROR(INDEX(PP_Grid[#Data],$DE226,92),0)</f>
        <v/>
      </c>
      <c r="CR226">
        <f>IFERROR(INDEX(PP_Grid[#Data],$DE226,93),0)</f>
        <v/>
      </c>
      <c r="CS226">
        <f>IFERROR(INDEX(PP_Grid[#Data],$DE226,94),0)</f>
        <v/>
      </c>
      <c r="CT226">
        <f>IFERROR(INDEX(PP_Grid[#Data],$DE226,95),0)</f>
        <v/>
      </c>
      <c r="CU226">
        <f>IFERROR(INDEX(PP_Grid[#Data],$DE226,96),0)</f>
        <v/>
      </c>
      <c r="CV226">
        <f>IFERROR(INDEX(PP_Grid[#Data],$DE226,97),0)</f>
        <v/>
      </c>
      <c r="CW226">
        <f>IFERROR(INDEX(PP_Grid[#Data],$DE226,98),0)</f>
        <v/>
      </c>
      <c r="CX226">
        <f>IFERROR(INDEX(PP_Grid[#Data],$DE226,99),0)</f>
        <v/>
      </c>
      <c r="CY226">
        <f>IFERROR(INDEX(PP_Grid[#Data],$DE226,100),0)</f>
        <v/>
      </c>
      <c r="CZ226">
        <f>IFERROR(INDEX(PP_Grid[#Data],$DE226,101),0)</f>
        <v/>
      </c>
      <c r="DA226">
        <f>IFERROR(INDEX(PP_Grid[#Data],$DE226,102),0)</f>
        <v/>
      </c>
      <c r="DB226">
        <f>IFERROR(INDEX(PP_Grid[#Data],$DE226,103),0)</f>
        <v/>
      </c>
      <c r="DC226">
        <f>IFERROR(INDEX(PP_Grid[#Data],$DE226,104),0)</f>
        <v/>
      </c>
      <c r="DD226">
        <f>IFERROR(INDEX(PP_Grid[#Data],$DE226,105),0)</f>
        <v/>
      </c>
      <c r="DE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SUMIFS(M_BOM[RM_Qty_Per_Batch],M_BOM[Intermediate],$B226,M_BOM[RM_Code],$A199)</f>
        <v/>
      </c>
      <c r="D227">
        <f>IFERROR(INDEX(E227:DD227,$F$1),"")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  <c r="DD227">
        <f>$C227*DD226</f>
        <v/>
      </c>
    </row>
    <row r="228">
      <c r="B228" t="inlineStr">
        <is>
          <t>TSP-402</t>
        </is>
      </c>
      <c r="C228" t="inlineStr">
        <is>
          <t>No. of batches</t>
        </is>
      </c>
      <c r="D228">
        <f>IFERROR(INDEX(E228:DD228,$F$1),"")</f>
        <v/>
      </c>
      <c r="E228">
        <f>IFERROR(INDEX(PP_Grid[#Data],$DE228,2),0)</f>
        <v/>
      </c>
      <c r="F228">
        <f>IFERROR(INDEX(PP_Grid[#Data],$DE228,3),0)</f>
        <v/>
      </c>
      <c r="G228">
        <f>IFERROR(INDEX(PP_Grid[#Data],$DE228,4),0)</f>
        <v/>
      </c>
      <c r="H228">
        <f>IFERROR(INDEX(PP_Grid[#Data],$DE228,5),0)</f>
        <v/>
      </c>
      <c r="I228">
        <f>IFERROR(INDEX(PP_Grid[#Data],$DE228,6),0)</f>
        <v/>
      </c>
      <c r="J228">
        <f>IFERROR(INDEX(PP_Grid[#Data],$DE228,7),0)</f>
        <v/>
      </c>
      <c r="K228">
        <f>IFERROR(INDEX(PP_Grid[#Data],$DE228,8),0)</f>
        <v/>
      </c>
      <c r="L228">
        <f>IFERROR(INDEX(PP_Grid[#Data],$DE228,9),0)</f>
        <v/>
      </c>
      <c r="M228">
        <f>IFERROR(INDEX(PP_Grid[#Data],$DE228,10),0)</f>
        <v/>
      </c>
      <c r="N228">
        <f>IFERROR(INDEX(PP_Grid[#Data],$DE228,11),0)</f>
        <v/>
      </c>
      <c r="O228">
        <f>IFERROR(INDEX(PP_Grid[#Data],$DE228,12),0)</f>
        <v/>
      </c>
      <c r="P228">
        <f>IFERROR(INDEX(PP_Grid[#Data],$DE228,13),0)</f>
        <v/>
      </c>
      <c r="Q228">
        <f>IFERROR(INDEX(PP_Grid[#Data],$DE228,14),0)</f>
        <v/>
      </c>
      <c r="R228">
        <f>IFERROR(INDEX(PP_Grid[#Data],$DE228,15),0)</f>
        <v/>
      </c>
      <c r="S228">
        <f>IFERROR(INDEX(PP_Grid[#Data],$DE228,16),0)</f>
        <v/>
      </c>
      <c r="T228">
        <f>IFERROR(INDEX(PP_Grid[#Data],$DE228,17),0)</f>
        <v/>
      </c>
      <c r="U228">
        <f>IFERROR(INDEX(PP_Grid[#Data],$DE228,18),0)</f>
        <v/>
      </c>
      <c r="V228">
        <f>IFERROR(INDEX(PP_Grid[#Data],$DE228,19),0)</f>
        <v/>
      </c>
      <c r="W228">
        <f>IFERROR(INDEX(PP_Grid[#Data],$DE228,20),0)</f>
        <v/>
      </c>
      <c r="X228">
        <f>IFERROR(INDEX(PP_Grid[#Data],$DE228,21),0)</f>
        <v/>
      </c>
      <c r="Y228">
        <f>IFERROR(INDEX(PP_Grid[#Data],$DE228,22),0)</f>
        <v/>
      </c>
      <c r="Z228">
        <f>IFERROR(INDEX(PP_Grid[#Data],$DE228,23),0)</f>
        <v/>
      </c>
      <c r="AA228">
        <f>IFERROR(INDEX(PP_Grid[#Data],$DE228,24),0)</f>
        <v/>
      </c>
      <c r="AB228">
        <f>IFERROR(INDEX(PP_Grid[#Data],$DE228,25),0)</f>
        <v/>
      </c>
      <c r="AC228">
        <f>IFERROR(INDEX(PP_Grid[#Data],$DE228,26),0)</f>
        <v/>
      </c>
      <c r="AD228">
        <f>IFERROR(INDEX(PP_Grid[#Data],$DE228,27),0)</f>
        <v/>
      </c>
      <c r="AE228">
        <f>IFERROR(INDEX(PP_Grid[#Data],$DE228,28),0)</f>
        <v/>
      </c>
      <c r="AF228">
        <f>IFERROR(INDEX(PP_Grid[#Data],$DE228,29),0)</f>
        <v/>
      </c>
      <c r="AG228">
        <f>IFERROR(INDEX(PP_Grid[#Data],$DE228,30),0)</f>
        <v/>
      </c>
      <c r="AH228">
        <f>IFERROR(INDEX(PP_Grid[#Data],$DE228,31),0)</f>
        <v/>
      </c>
      <c r="AI228">
        <f>IFERROR(INDEX(PP_Grid[#Data],$DE228,32),0)</f>
        <v/>
      </c>
      <c r="AJ228">
        <f>IFERROR(INDEX(PP_Grid[#Data],$DE228,33),0)</f>
        <v/>
      </c>
      <c r="AK228">
        <f>IFERROR(INDEX(PP_Grid[#Data],$DE228,34),0)</f>
        <v/>
      </c>
      <c r="AL228">
        <f>IFERROR(INDEX(PP_Grid[#Data],$DE228,35),0)</f>
        <v/>
      </c>
      <c r="AM228">
        <f>IFERROR(INDEX(PP_Grid[#Data],$DE228,36),0)</f>
        <v/>
      </c>
      <c r="AN228">
        <f>IFERROR(INDEX(PP_Grid[#Data],$DE228,37),0)</f>
        <v/>
      </c>
      <c r="AO228">
        <f>IFERROR(INDEX(PP_Grid[#Data],$DE228,38),0)</f>
        <v/>
      </c>
      <c r="AP228">
        <f>IFERROR(INDEX(PP_Grid[#Data],$DE228,39),0)</f>
        <v/>
      </c>
      <c r="AQ228">
        <f>IFERROR(INDEX(PP_Grid[#Data],$DE228,40),0)</f>
        <v/>
      </c>
      <c r="AR228">
        <f>IFERROR(INDEX(PP_Grid[#Data],$DE228,41),0)</f>
        <v/>
      </c>
      <c r="AS228">
        <f>IFERROR(INDEX(PP_Grid[#Data],$DE228,42),0)</f>
        <v/>
      </c>
      <c r="AT228">
        <f>IFERROR(INDEX(PP_Grid[#Data],$DE228,43),0)</f>
        <v/>
      </c>
      <c r="AU228">
        <f>IFERROR(INDEX(PP_Grid[#Data],$DE228,44),0)</f>
        <v/>
      </c>
      <c r="AV228">
        <f>IFERROR(INDEX(PP_Grid[#Data],$DE228,45),0)</f>
        <v/>
      </c>
      <c r="AW228">
        <f>IFERROR(INDEX(PP_Grid[#Data],$DE228,46),0)</f>
        <v/>
      </c>
      <c r="AX228">
        <f>IFERROR(INDEX(PP_Grid[#Data],$DE228,47),0)</f>
        <v/>
      </c>
      <c r="AY228">
        <f>IFERROR(INDEX(PP_Grid[#Data],$DE228,48),0)</f>
        <v/>
      </c>
      <c r="AZ228">
        <f>IFERROR(INDEX(PP_Grid[#Data],$DE228,49),0)</f>
        <v/>
      </c>
      <c r="BA228">
        <f>IFERROR(INDEX(PP_Grid[#Data],$DE228,50),0)</f>
        <v/>
      </c>
      <c r="BB228">
        <f>IFERROR(INDEX(PP_Grid[#Data],$DE228,51),0)</f>
        <v/>
      </c>
      <c r="BC228">
        <f>IFERROR(INDEX(PP_Grid[#Data],$DE228,52),0)</f>
        <v/>
      </c>
      <c r="BD228">
        <f>IFERROR(INDEX(PP_Grid[#Data],$DE228,53),0)</f>
        <v/>
      </c>
      <c r="BE228">
        <f>IFERROR(INDEX(PP_Grid[#Data],$DE228,54),0)</f>
        <v/>
      </c>
      <c r="BF228">
        <f>IFERROR(INDEX(PP_Grid[#Data],$DE228,55),0)</f>
        <v/>
      </c>
      <c r="BG228">
        <f>IFERROR(INDEX(PP_Grid[#Data],$DE228,56),0)</f>
        <v/>
      </c>
      <c r="BH228">
        <f>IFERROR(INDEX(PP_Grid[#Data],$DE228,57),0)</f>
        <v/>
      </c>
      <c r="BI228">
        <f>IFERROR(INDEX(PP_Grid[#Data],$DE228,58),0)</f>
        <v/>
      </c>
      <c r="BJ228">
        <f>IFERROR(INDEX(PP_Grid[#Data],$DE228,59),0)</f>
        <v/>
      </c>
      <c r="BK228">
        <f>IFERROR(INDEX(PP_Grid[#Data],$DE228,60),0)</f>
        <v/>
      </c>
      <c r="BL228">
        <f>IFERROR(INDEX(PP_Grid[#Data],$DE228,61),0)</f>
        <v/>
      </c>
      <c r="BM228">
        <f>IFERROR(INDEX(PP_Grid[#Data],$DE228,62),0)</f>
        <v/>
      </c>
      <c r="BN228">
        <f>IFERROR(INDEX(PP_Grid[#Data],$DE228,63),0)</f>
        <v/>
      </c>
      <c r="BO228">
        <f>IFERROR(INDEX(PP_Grid[#Data],$DE228,64),0)</f>
        <v/>
      </c>
      <c r="BP228">
        <f>IFERROR(INDEX(PP_Grid[#Data],$DE228,65),0)</f>
        <v/>
      </c>
      <c r="BQ228">
        <f>IFERROR(INDEX(PP_Grid[#Data],$DE228,66),0)</f>
        <v/>
      </c>
      <c r="BR228">
        <f>IFERROR(INDEX(PP_Grid[#Data],$DE228,67),0)</f>
        <v/>
      </c>
      <c r="BS228">
        <f>IFERROR(INDEX(PP_Grid[#Data],$DE228,68),0)</f>
        <v/>
      </c>
      <c r="BT228">
        <f>IFERROR(INDEX(PP_Grid[#Data],$DE228,69),0)</f>
        <v/>
      </c>
      <c r="BU228">
        <f>IFERROR(INDEX(PP_Grid[#Data],$DE228,70),0)</f>
        <v/>
      </c>
      <c r="BV228">
        <f>IFERROR(INDEX(PP_Grid[#Data],$DE228,71),0)</f>
        <v/>
      </c>
      <c r="BW228">
        <f>IFERROR(INDEX(PP_Grid[#Data],$DE228,72),0)</f>
        <v/>
      </c>
      <c r="BX228">
        <f>IFERROR(INDEX(PP_Grid[#Data],$DE228,73),0)</f>
        <v/>
      </c>
      <c r="BY228">
        <f>IFERROR(INDEX(PP_Grid[#Data],$DE228,74),0)</f>
        <v/>
      </c>
      <c r="BZ228">
        <f>IFERROR(INDEX(PP_Grid[#Data],$DE228,75),0)</f>
        <v/>
      </c>
      <c r="CA228">
        <f>IFERROR(INDEX(PP_Grid[#Data],$DE228,76),0)</f>
        <v/>
      </c>
      <c r="CB228">
        <f>IFERROR(INDEX(PP_Grid[#Data],$DE228,77),0)</f>
        <v/>
      </c>
      <c r="CC228">
        <f>IFERROR(INDEX(PP_Grid[#Data],$DE228,78),0)</f>
        <v/>
      </c>
      <c r="CD228">
        <f>IFERROR(INDEX(PP_Grid[#Data],$DE228,79),0)</f>
        <v/>
      </c>
      <c r="CE228">
        <f>IFERROR(INDEX(PP_Grid[#Data],$DE228,80),0)</f>
        <v/>
      </c>
      <c r="CF228">
        <f>IFERROR(INDEX(PP_Grid[#Data],$DE228,81),0)</f>
        <v/>
      </c>
      <c r="CG228">
        <f>IFERROR(INDEX(PP_Grid[#Data],$DE228,82),0)</f>
        <v/>
      </c>
      <c r="CH228">
        <f>IFERROR(INDEX(PP_Grid[#Data],$DE228,83),0)</f>
        <v/>
      </c>
      <c r="CI228">
        <f>IFERROR(INDEX(PP_Grid[#Data],$DE228,84),0)</f>
        <v/>
      </c>
      <c r="CJ228">
        <f>IFERROR(INDEX(PP_Grid[#Data],$DE228,85),0)</f>
        <v/>
      </c>
      <c r="CK228">
        <f>IFERROR(INDEX(PP_Grid[#Data],$DE228,86),0)</f>
        <v/>
      </c>
      <c r="CL228">
        <f>IFERROR(INDEX(PP_Grid[#Data],$DE228,87),0)</f>
        <v/>
      </c>
      <c r="CM228">
        <f>IFERROR(INDEX(PP_Grid[#Data],$DE228,88),0)</f>
        <v/>
      </c>
      <c r="CN228">
        <f>IFERROR(INDEX(PP_Grid[#Data],$DE228,89),0)</f>
        <v/>
      </c>
      <c r="CO228">
        <f>IFERROR(INDEX(PP_Grid[#Data],$DE228,90),0)</f>
        <v/>
      </c>
      <c r="CP228">
        <f>IFERROR(INDEX(PP_Grid[#Data],$DE228,91),0)</f>
        <v/>
      </c>
      <c r="CQ228">
        <f>IFERROR(INDEX(PP_Grid[#Data],$DE228,92),0)</f>
        <v/>
      </c>
      <c r="CR228">
        <f>IFERROR(INDEX(PP_Grid[#Data],$DE228,93),0)</f>
        <v/>
      </c>
      <c r="CS228">
        <f>IFERROR(INDEX(PP_Grid[#Data],$DE228,94),0)</f>
        <v/>
      </c>
      <c r="CT228">
        <f>IFERROR(INDEX(PP_Grid[#Data],$DE228,95),0)</f>
        <v/>
      </c>
      <c r="CU228">
        <f>IFERROR(INDEX(PP_Grid[#Data],$DE228,96),0)</f>
        <v/>
      </c>
      <c r="CV228">
        <f>IFERROR(INDEX(PP_Grid[#Data],$DE228,97),0)</f>
        <v/>
      </c>
      <c r="CW228">
        <f>IFERROR(INDEX(PP_Grid[#Data],$DE228,98),0)</f>
        <v/>
      </c>
      <c r="CX228">
        <f>IFERROR(INDEX(PP_Grid[#Data],$DE228,99),0)</f>
        <v/>
      </c>
      <c r="CY228">
        <f>IFERROR(INDEX(PP_Grid[#Data],$DE228,100),0)</f>
        <v/>
      </c>
      <c r="CZ228">
        <f>IFERROR(INDEX(PP_Grid[#Data],$DE228,101),0)</f>
        <v/>
      </c>
      <c r="DA228">
        <f>IFERROR(INDEX(PP_Grid[#Data],$DE228,102),0)</f>
        <v/>
      </c>
      <c r="DB228">
        <f>IFERROR(INDEX(PP_Grid[#Data],$DE228,103),0)</f>
        <v/>
      </c>
      <c r="DC228">
        <f>IFERROR(INDEX(PP_Grid[#Data],$DE228,104),0)</f>
        <v/>
      </c>
      <c r="DD228">
        <f>IFERROR(INDEX(PP_Grid[#Data],$DE228,105),0)</f>
        <v/>
      </c>
      <c r="DE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SUMIFS(M_BOM[RM_Qty_Per_Batch],M_BOM[Intermediate],$B228,M_BOM[RM_Code],$A199)</f>
        <v/>
      </c>
      <c r="D229">
        <f>IFERROR(INDEX(E229:DD229,$F$1),"")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  <c r="DD229">
        <f>$C229*DD228</f>
        <v/>
      </c>
    </row>
    <row r="230">
      <c r="B230" t="inlineStr">
        <is>
          <t>TSP-403</t>
        </is>
      </c>
      <c r="C230" t="inlineStr">
        <is>
          <t>No. of batches</t>
        </is>
      </c>
      <c r="D230">
        <f>IFERROR(INDEX(E230:DD230,$F$1),"")</f>
        <v/>
      </c>
      <c r="E230">
        <f>IFERROR(INDEX(PP_Grid[#Data],$DE230,2),0)</f>
        <v/>
      </c>
      <c r="F230">
        <f>IFERROR(INDEX(PP_Grid[#Data],$DE230,3),0)</f>
        <v/>
      </c>
      <c r="G230">
        <f>IFERROR(INDEX(PP_Grid[#Data],$DE230,4),0)</f>
        <v/>
      </c>
      <c r="H230">
        <f>IFERROR(INDEX(PP_Grid[#Data],$DE230,5),0)</f>
        <v/>
      </c>
      <c r="I230">
        <f>IFERROR(INDEX(PP_Grid[#Data],$DE230,6),0)</f>
        <v/>
      </c>
      <c r="J230">
        <f>IFERROR(INDEX(PP_Grid[#Data],$DE230,7),0)</f>
        <v/>
      </c>
      <c r="K230">
        <f>IFERROR(INDEX(PP_Grid[#Data],$DE230,8),0)</f>
        <v/>
      </c>
      <c r="L230">
        <f>IFERROR(INDEX(PP_Grid[#Data],$DE230,9),0)</f>
        <v/>
      </c>
      <c r="M230">
        <f>IFERROR(INDEX(PP_Grid[#Data],$DE230,10),0)</f>
        <v/>
      </c>
      <c r="N230">
        <f>IFERROR(INDEX(PP_Grid[#Data],$DE230,11),0)</f>
        <v/>
      </c>
      <c r="O230">
        <f>IFERROR(INDEX(PP_Grid[#Data],$DE230,12),0)</f>
        <v/>
      </c>
      <c r="P230">
        <f>IFERROR(INDEX(PP_Grid[#Data],$DE230,13),0)</f>
        <v/>
      </c>
      <c r="Q230">
        <f>IFERROR(INDEX(PP_Grid[#Data],$DE230,14),0)</f>
        <v/>
      </c>
      <c r="R230">
        <f>IFERROR(INDEX(PP_Grid[#Data],$DE230,15),0)</f>
        <v/>
      </c>
      <c r="S230">
        <f>IFERROR(INDEX(PP_Grid[#Data],$DE230,16),0)</f>
        <v/>
      </c>
      <c r="T230">
        <f>IFERROR(INDEX(PP_Grid[#Data],$DE230,17),0)</f>
        <v/>
      </c>
      <c r="U230">
        <f>IFERROR(INDEX(PP_Grid[#Data],$DE230,18),0)</f>
        <v/>
      </c>
      <c r="V230">
        <f>IFERROR(INDEX(PP_Grid[#Data],$DE230,19),0)</f>
        <v/>
      </c>
      <c r="W230">
        <f>IFERROR(INDEX(PP_Grid[#Data],$DE230,20),0)</f>
        <v/>
      </c>
      <c r="X230">
        <f>IFERROR(INDEX(PP_Grid[#Data],$DE230,21),0)</f>
        <v/>
      </c>
      <c r="Y230">
        <f>IFERROR(INDEX(PP_Grid[#Data],$DE230,22),0)</f>
        <v/>
      </c>
      <c r="Z230">
        <f>IFERROR(INDEX(PP_Grid[#Data],$DE230,23),0)</f>
        <v/>
      </c>
      <c r="AA230">
        <f>IFERROR(INDEX(PP_Grid[#Data],$DE230,24),0)</f>
        <v/>
      </c>
      <c r="AB230">
        <f>IFERROR(INDEX(PP_Grid[#Data],$DE230,25),0)</f>
        <v/>
      </c>
      <c r="AC230">
        <f>IFERROR(INDEX(PP_Grid[#Data],$DE230,26),0)</f>
        <v/>
      </c>
      <c r="AD230">
        <f>IFERROR(INDEX(PP_Grid[#Data],$DE230,27),0)</f>
        <v/>
      </c>
      <c r="AE230">
        <f>IFERROR(INDEX(PP_Grid[#Data],$DE230,28),0)</f>
        <v/>
      </c>
      <c r="AF230">
        <f>IFERROR(INDEX(PP_Grid[#Data],$DE230,29),0)</f>
        <v/>
      </c>
      <c r="AG230">
        <f>IFERROR(INDEX(PP_Grid[#Data],$DE230,30),0)</f>
        <v/>
      </c>
      <c r="AH230">
        <f>IFERROR(INDEX(PP_Grid[#Data],$DE230,31),0)</f>
        <v/>
      </c>
      <c r="AI230">
        <f>IFERROR(INDEX(PP_Grid[#Data],$DE230,32),0)</f>
        <v/>
      </c>
      <c r="AJ230">
        <f>IFERROR(INDEX(PP_Grid[#Data],$DE230,33),0)</f>
        <v/>
      </c>
      <c r="AK230">
        <f>IFERROR(INDEX(PP_Grid[#Data],$DE230,34),0)</f>
        <v/>
      </c>
      <c r="AL230">
        <f>IFERROR(INDEX(PP_Grid[#Data],$DE230,35),0)</f>
        <v/>
      </c>
      <c r="AM230">
        <f>IFERROR(INDEX(PP_Grid[#Data],$DE230,36),0)</f>
        <v/>
      </c>
      <c r="AN230">
        <f>IFERROR(INDEX(PP_Grid[#Data],$DE230,37),0)</f>
        <v/>
      </c>
      <c r="AO230">
        <f>IFERROR(INDEX(PP_Grid[#Data],$DE230,38),0)</f>
        <v/>
      </c>
      <c r="AP230">
        <f>IFERROR(INDEX(PP_Grid[#Data],$DE230,39),0)</f>
        <v/>
      </c>
      <c r="AQ230">
        <f>IFERROR(INDEX(PP_Grid[#Data],$DE230,40),0)</f>
        <v/>
      </c>
      <c r="AR230">
        <f>IFERROR(INDEX(PP_Grid[#Data],$DE230,41),0)</f>
        <v/>
      </c>
      <c r="AS230">
        <f>IFERROR(INDEX(PP_Grid[#Data],$DE230,42),0)</f>
        <v/>
      </c>
      <c r="AT230">
        <f>IFERROR(INDEX(PP_Grid[#Data],$DE230,43),0)</f>
        <v/>
      </c>
      <c r="AU230">
        <f>IFERROR(INDEX(PP_Grid[#Data],$DE230,44),0)</f>
        <v/>
      </c>
      <c r="AV230">
        <f>IFERROR(INDEX(PP_Grid[#Data],$DE230,45),0)</f>
        <v/>
      </c>
      <c r="AW230">
        <f>IFERROR(INDEX(PP_Grid[#Data],$DE230,46),0)</f>
        <v/>
      </c>
      <c r="AX230">
        <f>IFERROR(INDEX(PP_Grid[#Data],$DE230,47),0)</f>
        <v/>
      </c>
      <c r="AY230">
        <f>IFERROR(INDEX(PP_Grid[#Data],$DE230,48),0)</f>
        <v/>
      </c>
      <c r="AZ230">
        <f>IFERROR(INDEX(PP_Grid[#Data],$DE230,49),0)</f>
        <v/>
      </c>
      <c r="BA230">
        <f>IFERROR(INDEX(PP_Grid[#Data],$DE230,50),0)</f>
        <v/>
      </c>
      <c r="BB230">
        <f>IFERROR(INDEX(PP_Grid[#Data],$DE230,51),0)</f>
        <v/>
      </c>
      <c r="BC230">
        <f>IFERROR(INDEX(PP_Grid[#Data],$DE230,52),0)</f>
        <v/>
      </c>
      <c r="BD230">
        <f>IFERROR(INDEX(PP_Grid[#Data],$DE230,53),0)</f>
        <v/>
      </c>
      <c r="BE230">
        <f>IFERROR(INDEX(PP_Grid[#Data],$DE230,54),0)</f>
        <v/>
      </c>
      <c r="BF230">
        <f>IFERROR(INDEX(PP_Grid[#Data],$DE230,55),0)</f>
        <v/>
      </c>
      <c r="BG230">
        <f>IFERROR(INDEX(PP_Grid[#Data],$DE230,56),0)</f>
        <v/>
      </c>
      <c r="BH230">
        <f>IFERROR(INDEX(PP_Grid[#Data],$DE230,57),0)</f>
        <v/>
      </c>
      <c r="BI230">
        <f>IFERROR(INDEX(PP_Grid[#Data],$DE230,58),0)</f>
        <v/>
      </c>
      <c r="BJ230">
        <f>IFERROR(INDEX(PP_Grid[#Data],$DE230,59),0)</f>
        <v/>
      </c>
      <c r="BK230">
        <f>IFERROR(INDEX(PP_Grid[#Data],$DE230,60),0)</f>
        <v/>
      </c>
      <c r="BL230">
        <f>IFERROR(INDEX(PP_Grid[#Data],$DE230,61),0)</f>
        <v/>
      </c>
      <c r="BM230">
        <f>IFERROR(INDEX(PP_Grid[#Data],$DE230,62),0)</f>
        <v/>
      </c>
      <c r="BN230">
        <f>IFERROR(INDEX(PP_Grid[#Data],$DE230,63),0)</f>
        <v/>
      </c>
      <c r="BO230">
        <f>IFERROR(INDEX(PP_Grid[#Data],$DE230,64),0)</f>
        <v/>
      </c>
      <c r="BP230">
        <f>IFERROR(INDEX(PP_Grid[#Data],$DE230,65),0)</f>
        <v/>
      </c>
      <c r="BQ230">
        <f>IFERROR(INDEX(PP_Grid[#Data],$DE230,66),0)</f>
        <v/>
      </c>
      <c r="BR230">
        <f>IFERROR(INDEX(PP_Grid[#Data],$DE230,67),0)</f>
        <v/>
      </c>
      <c r="BS230">
        <f>IFERROR(INDEX(PP_Grid[#Data],$DE230,68),0)</f>
        <v/>
      </c>
      <c r="BT230">
        <f>IFERROR(INDEX(PP_Grid[#Data],$DE230,69),0)</f>
        <v/>
      </c>
      <c r="BU230">
        <f>IFERROR(INDEX(PP_Grid[#Data],$DE230,70),0)</f>
        <v/>
      </c>
      <c r="BV230">
        <f>IFERROR(INDEX(PP_Grid[#Data],$DE230,71),0)</f>
        <v/>
      </c>
      <c r="BW230">
        <f>IFERROR(INDEX(PP_Grid[#Data],$DE230,72),0)</f>
        <v/>
      </c>
      <c r="BX230">
        <f>IFERROR(INDEX(PP_Grid[#Data],$DE230,73),0)</f>
        <v/>
      </c>
      <c r="BY230">
        <f>IFERROR(INDEX(PP_Grid[#Data],$DE230,74),0)</f>
        <v/>
      </c>
      <c r="BZ230">
        <f>IFERROR(INDEX(PP_Grid[#Data],$DE230,75),0)</f>
        <v/>
      </c>
      <c r="CA230">
        <f>IFERROR(INDEX(PP_Grid[#Data],$DE230,76),0)</f>
        <v/>
      </c>
      <c r="CB230">
        <f>IFERROR(INDEX(PP_Grid[#Data],$DE230,77),0)</f>
        <v/>
      </c>
      <c r="CC230">
        <f>IFERROR(INDEX(PP_Grid[#Data],$DE230,78),0)</f>
        <v/>
      </c>
      <c r="CD230">
        <f>IFERROR(INDEX(PP_Grid[#Data],$DE230,79),0)</f>
        <v/>
      </c>
      <c r="CE230">
        <f>IFERROR(INDEX(PP_Grid[#Data],$DE230,80),0)</f>
        <v/>
      </c>
      <c r="CF230">
        <f>IFERROR(INDEX(PP_Grid[#Data],$DE230,81),0)</f>
        <v/>
      </c>
      <c r="CG230">
        <f>IFERROR(INDEX(PP_Grid[#Data],$DE230,82),0)</f>
        <v/>
      </c>
      <c r="CH230">
        <f>IFERROR(INDEX(PP_Grid[#Data],$DE230,83),0)</f>
        <v/>
      </c>
      <c r="CI230">
        <f>IFERROR(INDEX(PP_Grid[#Data],$DE230,84),0)</f>
        <v/>
      </c>
      <c r="CJ230">
        <f>IFERROR(INDEX(PP_Grid[#Data],$DE230,85),0)</f>
        <v/>
      </c>
      <c r="CK230">
        <f>IFERROR(INDEX(PP_Grid[#Data],$DE230,86),0)</f>
        <v/>
      </c>
      <c r="CL230">
        <f>IFERROR(INDEX(PP_Grid[#Data],$DE230,87),0)</f>
        <v/>
      </c>
      <c r="CM230">
        <f>IFERROR(INDEX(PP_Grid[#Data],$DE230,88),0)</f>
        <v/>
      </c>
      <c r="CN230">
        <f>IFERROR(INDEX(PP_Grid[#Data],$DE230,89),0)</f>
        <v/>
      </c>
      <c r="CO230">
        <f>IFERROR(INDEX(PP_Grid[#Data],$DE230,90),0)</f>
        <v/>
      </c>
      <c r="CP230">
        <f>IFERROR(INDEX(PP_Grid[#Data],$DE230,91),0)</f>
        <v/>
      </c>
      <c r="CQ230">
        <f>IFERROR(INDEX(PP_Grid[#Data],$DE230,92),0)</f>
        <v/>
      </c>
      <c r="CR230">
        <f>IFERROR(INDEX(PP_Grid[#Data],$DE230,93),0)</f>
        <v/>
      </c>
      <c r="CS230">
        <f>IFERROR(INDEX(PP_Grid[#Data],$DE230,94),0)</f>
        <v/>
      </c>
      <c r="CT230">
        <f>IFERROR(INDEX(PP_Grid[#Data],$DE230,95),0)</f>
        <v/>
      </c>
      <c r="CU230">
        <f>IFERROR(INDEX(PP_Grid[#Data],$DE230,96),0)</f>
        <v/>
      </c>
      <c r="CV230">
        <f>IFERROR(INDEX(PP_Grid[#Data],$DE230,97),0)</f>
        <v/>
      </c>
      <c r="CW230">
        <f>IFERROR(INDEX(PP_Grid[#Data],$DE230,98),0)</f>
        <v/>
      </c>
      <c r="CX230">
        <f>IFERROR(INDEX(PP_Grid[#Data],$DE230,99),0)</f>
        <v/>
      </c>
      <c r="CY230">
        <f>IFERROR(INDEX(PP_Grid[#Data],$DE230,100),0)</f>
        <v/>
      </c>
      <c r="CZ230">
        <f>IFERROR(INDEX(PP_Grid[#Data],$DE230,101),0)</f>
        <v/>
      </c>
      <c r="DA230">
        <f>IFERROR(INDEX(PP_Grid[#Data],$DE230,102),0)</f>
        <v/>
      </c>
      <c r="DB230">
        <f>IFERROR(INDEX(PP_Grid[#Data],$DE230,103),0)</f>
        <v/>
      </c>
      <c r="DC230">
        <f>IFERROR(INDEX(PP_Grid[#Data],$DE230,104),0)</f>
        <v/>
      </c>
      <c r="DD230">
        <f>IFERROR(INDEX(PP_Grid[#Data],$DE230,105),0)</f>
        <v/>
      </c>
      <c r="DE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SUMIFS(M_BOM[RM_Qty_Per_Batch],M_BOM[Intermediate],$B230,M_BOM[RM_Code],$A199)</f>
        <v/>
      </c>
      <c r="D231">
        <f>IFERROR(INDEX(E231:DD231,$F$1),"")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  <c r="DD231">
        <f>$C231*DD230</f>
        <v/>
      </c>
    </row>
    <row r="232">
      <c r="B232" t="inlineStr">
        <is>
          <t>TSP-404</t>
        </is>
      </c>
      <c r="C232" t="inlineStr">
        <is>
          <t>No. of batches</t>
        </is>
      </c>
      <c r="D232">
        <f>IFERROR(INDEX(E232:DD232,$F$1),"")</f>
        <v/>
      </c>
      <c r="E232">
        <f>IFERROR(INDEX(PP_Grid[#Data],$DE232,2),0)</f>
        <v/>
      </c>
      <c r="F232">
        <f>IFERROR(INDEX(PP_Grid[#Data],$DE232,3),0)</f>
        <v/>
      </c>
      <c r="G232">
        <f>IFERROR(INDEX(PP_Grid[#Data],$DE232,4),0)</f>
        <v/>
      </c>
      <c r="H232">
        <f>IFERROR(INDEX(PP_Grid[#Data],$DE232,5),0)</f>
        <v/>
      </c>
      <c r="I232">
        <f>IFERROR(INDEX(PP_Grid[#Data],$DE232,6),0)</f>
        <v/>
      </c>
      <c r="J232">
        <f>IFERROR(INDEX(PP_Grid[#Data],$DE232,7),0)</f>
        <v/>
      </c>
      <c r="K232">
        <f>IFERROR(INDEX(PP_Grid[#Data],$DE232,8),0)</f>
        <v/>
      </c>
      <c r="L232">
        <f>IFERROR(INDEX(PP_Grid[#Data],$DE232,9),0)</f>
        <v/>
      </c>
      <c r="M232">
        <f>IFERROR(INDEX(PP_Grid[#Data],$DE232,10),0)</f>
        <v/>
      </c>
      <c r="N232">
        <f>IFERROR(INDEX(PP_Grid[#Data],$DE232,11),0)</f>
        <v/>
      </c>
      <c r="O232">
        <f>IFERROR(INDEX(PP_Grid[#Data],$DE232,12),0)</f>
        <v/>
      </c>
      <c r="P232">
        <f>IFERROR(INDEX(PP_Grid[#Data],$DE232,13),0)</f>
        <v/>
      </c>
      <c r="Q232">
        <f>IFERROR(INDEX(PP_Grid[#Data],$DE232,14),0)</f>
        <v/>
      </c>
      <c r="R232">
        <f>IFERROR(INDEX(PP_Grid[#Data],$DE232,15),0)</f>
        <v/>
      </c>
      <c r="S232">
        <f>IFERROR(INDEX(PP_Grid[#Data],$DE232,16),0)</f>
        <v/>
      </c>
      <c r="T232">
        <f>IFERROR(INDEX(PP_Grid[#Data],$DE232,17),0)</f>
        <v/>
      </c>
      <c r="U232">
        <f>IFERROR(INDEX(PP_Grid[#Data],$DE232,18),0)</f>
        <v/>
      </c>
      <c r="V232">
        <f>IFERROR(INDEX(PP_Grid[#Data],$DE232,19),0)</f>
        <v/>
      </c>
      <c r="W232">
        <f>IFERROR(INDEX(PP_Grid[#Data],$DE232,20),0)</f>
        <v/>
      </c>
      <c r="X232">
        <f>IFERROR(INDEX(PP_Grid[#Data],$DE232,21),0)</f>
        <v/>
      </c>
      <c r="Y232">
        <f>IFERROR(INDEX(PP_Grid[#Data],$DE232,22),0)</f>
        <v/>
      </c>
      <c r="Z232">
        <f>IFERROR(INDEX(PP_Grid[#Data],$DE232,23),0)</f>
        <v/>
      </c>
      <c r="AA232">
        <f>IFERROR(INDEX(PP_Grid[#Data],$DE232,24),0)</f>
        <v/>
      </c>
      <c r="AB232">
        <f>IFERROR(INDEX(PP_Grid[#Data],$DE232,25),0)</f>
        <v/>
      </c>
      <c r="AC232">
        <f>IFERROR(INDEX(PP_Grid[#Data],$DE232,26),0)</f>
        <v/>
      </c>
      <c r="AD232">
        <f>IFERROR(INDEX(PP_Grid[#Data],$DE232,27),0)</f>
        <v/>
      </c>
      <c r="AE232">
        <f>IFERROR(INDEX(PP_Grid[#Data],$DE232,28),0)</f>
        <v/>
      </c>
      <c r="AF232">
        <f>IFERROR(INDEX(PP_Grid[#Data],$DE232,29),0)</f>
        <v/>
      </c>
      <c r="AG232">
        <f>IFERROR(INDEX(PP_Grid[#Data],$DE232,30),0)</f>
        <v/>
      </c>
      <c r="AH232">
        <f>IFERROR(INDEX(PP_Grid[#Data],$DE232,31),0)</f>
        <v/>
      </c>
      <c r="AI232">
        <f>IFERROR(INDEX(PP_Grid[#Data],$DE232,32),0)</f>
        <v/>
      </c>
      <c r="AJ232">
        <f>IFERROR(INDEX(PP_Grid[#Data],$DE232,33),0)</f>
        <v/>
      </c>
      <c r="AK232">
        <f>IFERROR(INDEX(PP_Grid[#Data],$DE232,34),0)</f>
        <v/>
      </c>
      <c r="AL232">
        <f>IFERROR(INDEX(PP_Grid[#Data],$DE232,35),0)</f>
        <v/>
      </c>
      <c r="AM232">
        <f>IFERROR(INDEX(PP_Grid[#Data],$DE232,36),0)</f>
        <v/>
      </c>
      <c r="AN232">
        <f>IFERROR(INDEX(PP_Grid[#Data],$DE232,37),0)</f>
        <v/>
      </c>
      <c r="AO232">
        <f>IFERROR(INDEX(PP_Grid[#Data],$DE232,38),0)</f>
        <v/>
      </c>
      <c r="AP232">
        <f>IFERROR(INDEX(PP_Grid[#Data],$DE232,39),0)</f>
        <v/>
      </c>
      <c r="AQ232">
        <f>IFERROR(INDEX(PP_Grid[#Data],$DE232,40),0)</f>
        <v/>
      </c>
      <c r="AR232">
        <f>IFERROR(INDEX(PP_Grid[#Data],$DE232,41),0)</f>
        <v/>
      </c>
      <c r="AS232">
        <f>IFERROR(INDEX(PP_Grid[#Data],$DE232,42),0)</f>
        <v/>
      </c>
      <c r="AT232">
        <f>IFERROR(INDEX(PP_Grid[#Data],$DE232,43),0)</f>
        <v/>
      </c>
      <c r="AU232">
        <f>IFERROR(INDEX(PP_Grid[#Data],$DE232,44),0)</f>
        <v/>
      </c>
      <c r="AV232">
        <f>IFERROR(INDEX(PP_Grid[#Data],$DE232,45),0)</f>
        <v/>
      </c>
      <c r="AW232">
        <f>IFERROR(INDEX(PP_Grid[#Data],$DE232,46),0)</f>
        <v/>
      </c>
      <c r="AX232">
        <f>IFERROR(INDEX(PP_Grid[#Data],$DE232,47),0)</f>
        <v/>
      </c>
      <c r="AY232">
        <f>IFERROR(INDEX(PP_Grid[#Data],$DE232,48),0)</f>
        <v/>
      </c>
      <c r="AZ232">
        <f>IFERROR(INDEX(PP_Grid[#Data],$DE232,49),0)</f>
        <v/>
      </c>
      <c r="BA232">
        <f>IFERROR(INDEX(PP_Grid[#Data],$DE232,50),0)</f>
        <v/>
      </c>
      <c r="BB232">
        <f>IFERROR(INDEX(PP_Grid[#Data],$DE232,51),0)</f>
        <v/>
      </c>
      <c r="BC232">
        <f>IFERROR(INDEX(PP_Grid[#Data],$DE232,52),0)</f>
        <v/>
      </c>
      <c r="BD232">
        <f>IFERROR(INDEX(PP_Grid[#Data],$DE232,53),0)</f>
        <v/>
      </c>
      <c r="BE232">
        <f>IFERROR(INDEX(PP_Grid[#Data],$DE232,54),0)</f>
        <v/>
      </c>
      <c r="BF232">
        <f>IFERROR(INDEX(PP_Grid[#Data],$DE232,55),0)</f>
        <v/>
      </c>
      <c r="BG232">
        <f>IFERROR(INDEX(PP_Grid[#Data],$DE232,56),0)</f>
        <v/>
      </c>
      <c r="BH232">
        <f>IFERROR(INDEX(PP_Grid[#Data],$DE232,57),0)</f>
        <v/>
      </c>
      <c r="BI232">
        <f>IFERROR(INDEX(PP_Grid[#Data],$DE232,58),0)</f>
        <v/>
      </c>
      <c r="BJ232">
        <f>IFERROR(INDEX(PP_Grid[#Data],$DE232,59),0)</f>
        <v/>
      </c>
      <c r="BK232">
        <f>IFERROR(INDEX(PP_Grid[#Data],$DE232,60),0)</f>
        <v/>
      </c>
      <c r="BL232">
        <f>IFERROR(INDEX(PP_Grid[#Data],$DE232,61),0)</f>
        <v/>
      </c>
      <c r="BM232">
        <f>IFERROR(INDEX(PP_Grid[#Data],$DE232,62),0)</f>
        <v/>
      </c>
      <c r="BN232">
        <f>IFERROR(INDEX(PP_Grid[#Data],$DE232,63),0)</f>
        <v/>
      </c>
      <c r="BO232">
        <f>IFERROR(INDEX(PP_Grid[#Data],$DE232,64),0)</f>
        <v/>
      </c>
      <c r="BP232">
        <f>IFERROR(INDEX(PP_Grid[#Data],$DE232,65),0)</f>
        <v/>
      </c>
      <c r="BQ232">
        <f>IFERROR(INDEX(PP_Grid[#Data],$DE232,66),0)</f>
        <v/>
      </c>
      <c r="BR232">
        <f>IFERROR(INDEX(PP_Grid[#Data],$DE232,67),0)</f>
        <v/>
      </c>
      <c r="BS232">
        <f>IFERROR(INDEX(PP_Grid[#Data],$DE232,68),0)</f>
        <v/>
      </c>
      <c r="BT232">
        <f>IFERROR(INDEX(PP_Grid[#Data],$DE232,69),0)</f>
        <v/>
      </c>
      <c r="BU232">
        <f>IFERROR(INDEX(PP_Grid[#Data],$DE232,70),0)</f>
        <v/>
      </c>
      <c r="BV232">
        <f>IFERROR(INDEX(PP_Grid[#Data],$DE232,71),0)</f>
        <v/>
      </c>
      <c r="BW232">
        <f>IFERROR(INDEX(PP_Grid[#Data],$DE232,72),0)</f>
        <v/>
      </c>
      <c r="BX232">
        <f>IFERROR(INDEX(PP_Grid[#Data],$DE232,73),0)</f>
        <v/>
      </c>
      <c r="BY232">
        <f>IFERROR(INDEX(PP_Grid[#Data],$DE232,74),0)</f>
        <v/>
      </c>
      <c r="BZ232">
        <f>IFERROR(INDEX(PP_Grid[#Data],$DE232,75),0)</f>
        <v/>
      </c>
      <c r="CA232">
        <f>IFERROR(INDEX(PP_Grid[#Data],$DE232,76),0)</f>
        <v/>
      </c>
      <c r="CB232">
        <f>IFERROR(INDEX(PP_Grid[#Data],$DE232,77),0)</f>
        <v/>
      </c>
      <c r="CC232">
        <f>IFERROR(INDEX(PP_Grid[#Data],$DE232,78),0)</f>
        <v/>
      </c>
      <c r="CD232">
        <f>IFERROR(INDEX(PP_Grid[#Data],$DE232,79),0)</f>
        <v/>
      </c>
      <c r="CE232">
        <f>IFERROR(INDEX(PP_Grid[#Data],$DE232,80),0)</f>
        <v/>
      </c>
      <c r="CF232">
        <f>IFERROR(INDEX(PP_Grid[#Data],$DE232,81),0)</f>
        <v/>
      </c>
      <c r="CG232">
        <f>IFERROR(INDEX(PP_Grid[#Data],$DE232,82),0)</f>
        <v/>
      </c>
      <c r="CH232">
        <f>IFERROR(INDEX(PP_Grid[#Data],$DE232,83),0)</f>
        <v/>
      </c>
      <c r="CI232">
        <f>IFERROR(INDEX(PP_Grid[#Data],$DE232,84),0)</f>
        <v/>
      </c>
      <c r="CJ232">
        <f>IFERROR(INDEX(PP_Grid[#Data],$DE232,85),0)</f>
        <v/>
      </c>
      <c r="CK232">
        <f>IFERROR(INDEX(PP_Grid[#Data],$DE232,86),0)</f>
        <v/>
      </c>
      <c r="CL232">
        <f>IFERROR(INDEX(PP_Grid[#Data],$DE232,87),0)</f>
        <v/>
      </c>
      <c r="CM232">
        <f>IFERROR(INDEX(PP_Grid[#Data],$DE232,88),0)</f>
        <v/>
      </c>
      <c r="CN232">
        <f>IFERROR(INDEX(PP_Grid[#Data],$DE232,89),0)</f>
        <v/>
      </c>
      <c r="CO232">
        <f>IFERROR(INDEX(PP_Grid[#Data],$DE232,90),0)</f>
        <v/>
      </c>
      <c r="CP232">
        <f>IFERROR(INDEX(PP_Grid[#Data],$DE232,91),0)</f>
        <v/>
      </c>
      <c r="CQ232">
        <f>IFERROR(INDEX(PP_Grid[#Data],$DE232,92),0)</f>
        <v/>
      </c>
      <c r="CR232">
        <f>IFERROR(INDEX(PP_Grid[#Data],$DE232,93),0)</f>
        <v/>
      </c>
      <c r="CS232">
        <f>IFERROR(INDEX(PP_Grid[#Data],$DE232,94),0)</f>
        <v/>
      </c>
      <c r="CT232">
        <f>IFERROR(INDEX(PP_Grid[#Data],$DE232,95),0)</f>
        <v/>
      </c>
      <c r="CU232">
        <f>IFERROR(INDEX(PP_Grid[#Data],$DE232,96),0)</f>
        <v/>
      </c>
      <c r="CV232">
        <f>IFERROR(INDEX(PP_Grid[#Data],$DE232,97),0)</f>
        <v/>
      </c>
      <c r="CW232">
        <f>IFERROR(INDEX(PP_Grid[#Data],$DE232,98),0)</f>
        <v/>
      </c>
      <c r="CX232">
        <f>IFERROR(INDEX(PP_Grid[#Data],$DE232,99),0)</f>
        <v/>
      </c>
      <c r="CY232">
        <f>IFERROR(INDEX(PP_Grid[#Data],$DE232,100),0)</f>
        <v/>
      </c>
      <c r="CZ232">
        <f>IFERROR(INDEX(PP_Grid[#Data],$DE232,101),0)</f>
        <v/>
      </c>
      <c r="DA232">
        <f>IFERROR(INDEX(PP_Grid[#Data],$DE232,102),0)</f>
        <v/>
      </c>
      <c r="DB232">
        <f>IFERROR(INDEX(PP_Grid[#Data],$DE232,103),0)</f>
        <v/>
      </c>
      <c r="DC232">
        <f>IFERROR(INDEX(PP_Grid[#Data],$DE232,104),0)</f>
        <v/>
      </c>
      <c r="DD232">
        <f>IFERROR(INDEX(PP_Grid[#Data],$DE232,105),0)</f>
        <v/>
      </c>
      <c r="DE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SUMIFS(M_BOM[RM_Qty_Per_Batch],M_BOM[Intermediate],$B232,M_BOM[RM_Code],$A199)</f>
        <v/>
      </c>
      <c r="D233">
        <f>IFERROR(INDEX(E233:DD233,$F$1),"")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  <c r="DD233">
        <f>$C233*DD232</f>
        <v/>
      </c>
    </row>
    <row r="234">
      <c r="B234" t="inlineStr">
        <is>
          <t>TSP-405</t>
        </is>
      </c>
      <c r="C234" t="inlineStr">
        <is>
          <t>No. of batches</t>
        </is>
      </c>
      <c r="D234">
        <f>IFERROR(INDEX(E234:DD234,$F$1),"")</f>
        <v/>
      </c>
      <c r="E234">
        <f>IFERROR(INDEX(PP_Grid[#Data],$DE234,2),0)</f>
        <v/>
      </c>
      <c r="F234">
        <f>IFERROR(INDEX(PP_Grid[#Data],$DE234,3),0)</f>
        <v/>
      </c>
      <c r="G234">
        <f>IFERROR(INDEX(PP_Grid[#Data],$DE234,4),0)</f>
        <v/>
      </c>
      <c r="H234">
        <f>IFERROR(INDEX(PP_Grid[#Data],$DE234,5),0)</f>
        <v/>
      </c>
      <c r="I234">
        <f>IFERROR(INDEX(PP_Grid[#Data],$DE234,6),0)</f>
        <v/>
      </c>
      <c r="J234">
        <f>IFERROR(INDEX(PP_Grid[#Data],$DE234,7),0)</f>
        <v/>
      </c>
      <c r="K234">
        <f>IFERROR(INDEX(PP_Grid[#Data],$DE234,8),0)</f>
        <v/>
      </c>
      <c r="L234">
        <f>IFERROR(INDEX(PP_Grid[#Data],$DE234,9),0)</f>
        <v/>
      </c>
      <c r="M234">
        <f>IFERROR(INDEX(PP_Grid[#Data],$DE234,10),0)</f>
        <v/>
      </c>
      <c r="N234">
        <f>IFERROR(INDEX(PP_Grid[#Data],$DE234,11),0)</f>
        <v/>
      </c>
      <c r="O234">
        <f>IFERROR(INDEX(PP_Grid[#Data],$DE234,12),0)</f>
        <v/>
      </c>
      <c r="P234">
        <f>IFERROR(INDEX(PP_Grid[#Data],$DE234,13),0)</f>
        <v/>
      </c>
      <c r="Q234">
        <f>IFERROR(INDEX(PP_Grid[#Data],$DE234,14),0)</f>
        <v/>
      </c>
      <c r="R234">
        <f>IFERROR(INDEX(PP_Grid[#Data],$DE234,15),0)</f>
        <v/>
      </c>
      <c r="S234">
        <f>IFERROR(INDEX(PP_Grid[#Data],$DE234,16),0)</f>
        <v/>
      </c>
      <c r="T234">
        <f>IFERROR(INDEX(PP_Grid[#Data],$DE234,17),0)</f>
        <v/>
      </c>
      <c r="U234">
        <f>IFERROR(INDEX(PP_Grid[#Data],$DE234,18),0)</f>
        <v/>
      </c>
      <c r="V234">
        <f>IFERROR(INDEX(PP_Grid[#Data],$DE234,19),0)</f>
        <v/>
      </c>
      <c r="W234">
        <f>IFERROR(INDEX(PP_Grid[#Data],$DE234,20),0)</f>
        <v/>
      </c>
      <c r="X234">
        <f>IFERROR(INDEX(PP_Grid[#Data],$DE234,21),0)</f>
        <v/>
      </c>
      <c r="Y234">
        <f>IFERROR(INDEX(PP_Grid[#Data],$DE234,22),0)</f>
        <v/>
      </c>
      <c r="Z234">
        <f>IFERROR(INDEX(PP_Grid[#Data],$DE234,23),0)</f>
        <v/>
      </c>
      <c r="AA234">
        <f>IFERROR(INDEX(PP_Grid[#Data],$DE234,24),0)</f>
        <v/>
      </c>
      <c r="AB234">
        <f>IFERROR(INDEX(PP_Grid[#Data],$DE234,25),0)</f>
        <v/>
      </c>
      <c r="AC234">
        <f>IFERROR(INDEX(PP_Grid[#Data],$DE234,26),0)</f>
        <v/>
      </c>
      <c r="AD234">
        <f>IFERROR(INDEX(PP_Grid[#Data],$DE234,27),0)</f>
        <v/>
      </c>
      <c r="AE234">
        <f>IFERROR(INDEX(PP_Grid[#Data],$DE234,28),0)</f>
        <v/>
      </c>
      <c r="AF234">
        <f>IFERROR(INDEX(PP_Grid[#Data],$DE234,29),0)</f>
        <v/>
      </c>
      <c r="AG234">
        <f>IFERROR(INDEX(PP_Grid[#Data],$DE234,30),0)</f>
        <v/>
      </c>
      <c r="AH234">
        <f>IFERROR(INDEX(PP_Grid[#Data],$DE234,31),0)</f>
        <v/>
      </c>
      <c r="AI234">
        <f>IFERROR(INDEX(PP_Grid[#Data],$DE234,32),0)</f>
        <v/>
      </c>
      <c r="AJ234">
        <f>IFERROR(INDEX(PP_Grid[#Data],$DE234,33),0)</f>
        <v/>
      </c>
      <c r="AK234">
        <f>IFERROR(INDEX(PP_Grid[#Data],$DE234,34),0)</f>
        <v/>
      </c>
      <c r="AL234">
        <f>IFERROR(INDEX(PP_Grid[#Data],$DE234,35),0)</f>
        <v/>
      </c>
      <c r="AM234">
        <f>IFERROR(INDEX(PP_Grid[#Data],$DE234,36),0)</f>
        <v/>
      </c>
      <c r="AN234">
        <f>IFERROR(INDEX(PP_Grid[#Data],$DE234,37),0)</f>
        <v/>
      </c>
      <c r="AO234">
        <f>IFERROR(INDEX(PP_Grid[#Data],$DE234,38),0)</f>
        <v/>
      </c>
      <c r="AP234">
        <f>IFERROR(INDEX(PP_Grid[#Data],$DE234,39),0)</f>
        <v/>
      </c>
      <c r="AQ234">
        <f>IFERROR(INDEX(PP_Grid[#Data],$DE234,40),0)</f>
        <v/>
      </c>
      <c r="AR234">
        <f>IFERROR(INDEX(PP_Grid[#Data],$DE234,41),0)</f>
        <v/>
      </c>
      <c r="AS234">
        <f>IFERROR(INDEX(PP_Grid[#Data],$DE234,42),0)</f>
        <v/>
      </c>
      <c r="AT234">
        <f>IFERROR(INDEX(PP_Grid[#Data],$DE234,43),0)</f>
        <v/>
      </c>
      <c r="AU234">
        <f>IFERROR(INDEX(PP_Grid[#Data],$DE234,44),0)</f>
        <v/>
      </c>
      <c r="AV234">
        <f>IFERROR(INDEX(PP_Grid[#Data],$DE234,45),0)</f>
        <v/>
      </c>
      <c r="AW234">
        <f>IFERROR(INDEX(PP_Grid[#Data],$DE234,46),0)</f>
        <v/>
      </c>
      <c r="AX234">
        <f>IFERROR(INDEX(PP_Grid[#Data],$DE234,47),0)</f>
        <v/>
      </c>
      <c r="AY234">
        <f>IFERROR(INDEX(PP_Grid[#Data],$DE234,48),0)</f>
        <v/>
      </c>
      <c r="AZ234">
        <f>IFERROR(INDEX(PP_Grid[#Data],$DE234,49),0)</f>
        <v/>
      </c>
      <c r="BA234">
        <f>IFERROR(INDEX(PP_Grid[#Data],$DE234,50),0)</f>
        <v/>
      </c>
      <c r="BB234">
        <f>IFERROR(INDEX(PP_Grid[#Data],$DE234,51),0)</f>
        <v/>
      </c>
      <c r="BC234">
        <f>IFERROR(INDEX(PP_Grid[#Data],$DE234,52),0)</f>
        <v/>
      </c>
      <c r="BD234">
        <f>IFERROR(INDEX(PP_Grid[#Data],$DE234,53),0)</f>
        <v/>
      </c>
      <c r="BE234">
        <f>IFERROR(INDEX(PP_Grid[#Data],$DE234,54),0)</f>
        <v/>
      </c>
      <c r="BF234">
        <f>IFERROR(INDEX(PP_Grid[#Data],$DE234,55),0)</f>
        <v/>
      </c>
      <c r="BG234">
        <f>IFERROR(INDEX(PP_Grid[#Data],$DE234,56),0)</f>
        <v/>
      </c>
      <c r="BH234">
        <f>IFERROR(INDEX(PP_Grid[#Data],$DE234,57),0)</f>
        <v/>
      </c>
      <c r="BI234">
        <f>IFERROR(INDEX(PP_Grid[#Data],$DE234,58),0)</f>
        <v/>
      </c>
      <c r="BJ234">
        <f>IFERROR(INDEX(PP_Grid[#Data],$DE234,59),0)</f>
        <v/>
      </c>
      <c r="BK234">
        <f>IFERROR(INDEX(PP_Grid[#Data],$DE234,60),0)</f>
        <v/>
      </c>
      <c r="BL234">
        <f>IFERROR(INDEX(PP_Grid[#Data],$DE234,61),0)</f>
        <v/>
      </c>
      <c r="BM234">
        <f>IFERROR(INDEX(PP_Grid[#Data],$DE234,62),0)</f>
        <v/>
      </c>
      <c r="BN234">
        <f>IFERROR(INDEX(PP_Grid[#Data],$DE234,63),0)</f>
        <v/>
      </c>
      <c r="BO234">
        <f>IFERROR(INDEX(PP_Grid[#Data],$DE234,64),0)</f>
        <v/>
      </c>
      <c r="BP234">
        <f>IFERROR(INDEX(PP_Grid[#Data],$DE234,65),0)</f>
        <v/>
      </c>
      <c r="BQ234">
        <f>IFERROR(INDEX(PP_Grid[#Data],$DE234,66),0)</f>
        <v/>
      </c>
      <c r="BR234">
        <f>IFERROR(INDEX(PP_Grid[#Data],$DE234,67),0)</f>
        <v/>
      </c>
      <c r="BS234">
        <f>IFERROR(INDEX(PP_Grid[#Data],$DE234,68),0)</f>
        <v/>
      </c>
      <c r="BT234">
        <f>IFERROR(INDEX(PP_Grid[#Data],$DE234,69),0)</f>
        <v/>
      </c>
      <c r="BU234">
        <f>IFERROR(INDEX(PP_Grid[#Data],$DE234,70),0)</f>
        <v/>
      </c>
      <c r="BV234">
        <f>IFERROR(INDEX(PP_Grid[#Data],$DE234,71),0)</f>
        <v/>
      </c>
      <c r="BW234">
        <f>IFERROR(INDEX(PP_Grid[#Data],$DE234,72),0)</f>
        <v/>
      </c>
      <c r="BX234">
        <f>IFERROR(INDEX(PP_Grid[#Data],$DE234,73),0)</f>
        <v/>
      </c>
      <c r="BY234">
        <f>IFERROR(INDEX(PP_Grid[#Data],$DE234,74),0)</f>
        <v/>
      </c>
      <c r="BZ234">
        <f>IFERROR(INDEX(PP_Grid[#Data],$DE234,75),0)</f>
        <v/>
      </c>
      <c r="CA234">
        <f>IFERROR(INDEX(PP_Grid[#Data],$DE234,76),0)</f>
        <v/>
      </c>
      <c r="CB234">
        <f>IFERROR(INDEX(PP_Grid[#Data],$DE234,77),0)</f>
        <v/>
      </c>
      <c r="CC234">
        <f>IFERROR(INDEX(PP_Grid[#Data],$DE234,78),0)</f>
        <v/>
      </c>
      <c r="CD234">
        <f>IFERROR(INDEX(PP_Grid[#Data],$DE234,79),0)</f>
        <v/>
      </c>
      <c r="CE234">
        <f>IFERROR(INDEX(PP_Grid[#Data],$DE234,80),0)</f>
        <v/>
      </c>
      <c r="CF234">
        <f>IFERROR(INDEX(PP_Grid[#Data],$DE234,81),0)</f>
        <v/>
      </c>
      <c r="CG234">
        <f>IFERROR(INDEX(PP_Grid[#Data],$DE234,82),0)</f>
        <v/>
      </c>
      <c r="CH234">
        <f>IFERROR(INDEX(PP_Grid[#Data],$DE234,83),0)</f>
        <v/>
      </c>
      <c r="CI234">
        <f>IFERROR(INDEX(PP_Grid[#Data],$DE234,84),0)</f>
        <v/>
      </c>
      <c r="CJ234">
        <f>IFERROR(INDEX(PP_Grid[#Data],$DE234,85),0)</f>
        <v/>
      </c>
      <c r="CK234">
        <f>IFERROR(INDEX(PP_Grid[#Data],$DE234,86),0)</f>
        <v/>
      </c>
      <c r="CL234">
        <f>IFERROR(INDEX(PP_Grid[#Data],$DE234,87),0)</f>
        <v/>
      </c>
      <c r="CM234">
        <f>IFERROR(INDEX(PP_Grid[#Data],$DE234,88),0)</f>
        <v/>
      </c>
      <c r="CN234">
        <f>IFERROR(INDEX(PP_Grid[#Data],$DE234,89),0)</f>
        <v/>
      </c>
      <c r="CO234">
        <f>IFERROR(INDEX(PP_Grid[#Data],$DE234,90),0)</f>
        <v/>
      </c>
      <c r="CP234">
        <f>IFERROR(INDEX(PP_Grid[#Data],$DE234,91),0)</f>
        <v/>
      </c>
      <c r="CQ234">
        <f>IFERROR(INDEX(PP_Grid[#Data],$DE234,92),0)</f>
        <v/>
      </c>
      <c r="CR234">
        <f>IFERROR(INDEX(PP_Grid[#Data],$DE234,93),0)</f>
        <v/>
      </c>
      <c r="CS234">
        <f>IFERROR(INDEX(PP_Grid[#Data],$DE234,94),0)</f>
        <v/>
      </c>
      <c r="CT234">
        <f>IFERROR(INDEX(PP_Grid[#Data],$DE234,95),0)</f>
        <v/>
      </c>
      <c r="CU234">
        <f>IFERROR(INDEX(PP_Grid[#Data],$DE234,96),0)</f>
        <v/>
      </c>
      <c r="CV234">
        <f>IFERROR(INDEX(PP_Grid[#Data],$DE234,97),0)</f>
        <v/>
      </c>
      <c r="CW234">
        <f>IFERROR(INDEX(PP_Grid[#Data],$DE234,98),0)</f>
        <v/>
      </c>
      <c r="CX234">
        <f>IFERROR(INDEX(PP_Grid[#Data],$DE234,99),0)</f>
        <v/>
      </c>
      <c r="CY234">
        <f>IFERROR(INDEX(PP_Grid[#Data],$DE234,100),0)</f>
        <v/>
      </c>
      <c r="CZ234">
        <f>IFERROR(INDEX(PP_Grid[#Data],$DE234,101),0)</f>
        <v/>
      </c>
      <c r="DA234">
        <f>IFERROR(INDEX(PP_Grid[#Data],$DE234,102),0)</f>
        <v/>
      </c>
      <c r="DB234">
        <f>IFERROR(INDEX(PP_Grid[#Data],$DE234,103),0)</f>
        <v/>
      </c>
      <c r="DC234">
        <f>IFERROR(INDEX(PP_Grid[#Data],$DE234,104),0)</f>
        <v/>
      </c>
      <c r="DD234">
        <f>IFERROR(INDEX(PP_Grid[#Data],$DE234,105),0)</f>
        <v/>
      </c>
      <c r="DE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SUMIFS(M_BOM[RM_Qty_Per_Batch],M_BOM[Intermediate],$B234,M_BOM[RM_Code],$A199)</f>
        <v/>
      </c>
      <c r="D235">
        <f>IFERROR(INDEX(E235:DD235,$F$1),"")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  <c r="DD235">
        <f>$C235*DD234</f>
        <v/>
      </c>
    </row>
    <row r="236">
      <c r="B236" t="inlineStr">
        <is>
          <t>TSP-544</t>
        </is>
      </c>
      <c r="C236" t="inlineStr">
        <is>
          <t>No. of batches</t>
        </is>
      </c>
      <c r="D236">
        <f>IFERROR(INDEX(E236:DD236,$F$1),"")</f>
        <v/>
      </c>
      <c r="E236">
        <f>IFERROR(INDEX(PP_Grid[#Data],$DE236,2),0)</f>
        <v/>
      </c>
      <c r="F236">
        <f>IFERROR(INDEX(PP_Grid[#Data],$DE236,3),0)</f>
        <v/>
      </c>
      <c r="G236">
        <f>IFERROR(INDEX(PP_Grid[#Data],$DE236,4),0)</f>
        <v/>
      </c>
      <c r="H236">
        <f>IFERROR(INDEX(PP_Grid[#Data],$DE236,5),0)</f>
        <v/>
      </c>
      <c r="I236">
        <f>IFERROR(INDEX(PP_Grid[#Data],$DE236,6),0)</f>
        <v/>
      </c>
      <c r="J236">
        <f>IFERROR(INDEX(PP_Grid[#Data],$DE236,7),0)</f>
        <v/>
      </c>
      <c r="K236">
        <f>IFERROR(INDEX(PP_Grid[#Data],$DE236,8),0)</f>
        <v/>
      </c>
      <c r="L236">
        <f>IFERROR(INDEX(PP_Grid[#Data],$DE236,9),0)</f>
        <v/>
      </c>
      <c r="M236">
        <f>IFERROR(INDEX(PP_Grid[#Data],$DE236,10),0)</f>
        <v/>
      </c>
      <c r="N236">
        <f>IFERROR(INDEX(PP_Grid[#Data],$DE236,11),0)</f>
        <v/>
      </c>
      <c r="O236">
        <f>IFERROR(INDEX(PP_Grid[#Data],$DE236,12),0)</f>
        <v/>
      </c>
      <c r="P236">
        <f>IFERROR(INDEX(PP_Grid[#Data],$DE236,13),0)</f>
        <v/>
      </c>
      <c r="Q236">
        <f>IFERROR(INDEX(PP_Grid[#Data],$DE236,14),0)</f>
        <v/>
      </c>
      <c r="R236">
        <f>IFERROR(INDEX(PP_Grid[#Data],$DE236,15),0)</f>
        <v/>
      </c>
      <c r="S236">
        <f>IFERROR(INDEX(PP_Grid[#Data],$DE236,16),0)</f>
        <v/>
      </c>
      <c r="T236">
        <f>IFERROR(INDEX(PP_Grid[#Data],$DE236,17),0)</f>
        <v/>
      </c>
      <c r="U236">
        <f>IFERROR(INDEX(PP_Grid[#Data],$DE236,18),0)</f>
        <v/>
      </c>
      <c r="V236">
        <f>IFERROR(INDEX(PP_Grid[#Data],$DE236,19),0)</f>
        <v/>
      </c>
      <c r="W236">
        <f>IFERROR(INDEX(PP_Grid[#Data],$DE236,20),0)</f>
        <v/>
      </c>
      <c r="X236">
        <f>IFERROR(INDEX(PP_Grid[#Data],$DE236,21),0)</f>
        <v/>
      </c>
      <c r="Y236">
        <f>IFERROR(INDEX(PP_Grid[#Data],$DE236,22),0)</f>
        <v/>
      </c>
      <c r="Z236">
        <f>IFERROR(INDEX(PP_Grid[#Data],$DE236,23),0)</f>
        <v/>
      </c>
      <c r="AA236">
        <f>IFERROR(INDEX(PP_Grid[#Data],$DE236,24),0)</f>
        <v/>
      </c>
      <c r="AB236">
        <f>IFERROR(INDEX(PP_Grid[#Data],$DE236,25),0)</f>
        <v/>
      </c>
      <c r="AC236">
        <f>IFERROR(INDEX(PP_Grid[#Data],$DE236,26),0)</f>
        <v/>
      </c>
      <c r="AD236">
        <f>IFERROR(INDEX(PP_Grid[#Data],$DE236,27),0)</f>
        <v/>
      </c>
      <c r="AE236">
        <f>IFERROR(INDEX(PP_Grid[#Data],$DE236,28),0)</f>
        <v/>
      </c>
      <c r="AF236">
        <f>IFERROR(INDEX(PP_Grid[#Data],$DE236,29),0)</f>
        <v/>
      </c>
      <c r="AG236">
        <f>IFERROR(INDEX(PP_Grid[#Data],$DE236,30),0)</f>
        <v/>
      </c>
      <c r="AH236">
        <f>IFERROR(INDEX(PP_Grid[#Data],$DE236,31),0)</f>
        <v/>
      </c>
      <c r="AI236">
        <f>IFERROR(INDEX(PP_Grid[#Data],$DE236,32),0)</f>
        <v/>
      </c>
      <c r="AJ236">
        <f>IFERROR(INDEX(PP_Grid[#Data],$DE236,33),0)</f>
        <v/>
      </c>
      <c r="AK236">
        <f>IFERROR(INDEX(PP_Grid[#Data],$DE236,34),0)</f>
        <v/>
      </c>
      <c r="AL236">
        <f>IFERROR(INDEX(PP_Grid[#Data],$DE236,35),0)</f>
        <v/>
      </c>
      <c r="AM236">
        <f>IFERROR(INDEX(PP_Grid[#Data],$DE236,36),0)</f>
        <v/>
      </c>
      <c r="AN236">
        <f>IFERROR(INDEX(PP_Grid[#Data],$DE236,37),0)</f>
        <v/>
      </c>
      <c r="AO236">
        <f>IFERROR(INDEX(PP_Grid[#Data],$DE236,38),0)</f>
        <v/>
      </c>
      <c r="AP236">
        <f>IFERROR(INDEX(PP_Grid[#Data],$DE236,39),0)</f>
        <v/>
      </c>
      <c r="AQ236">
        <f>IFERROR(INDEX(PP_Grid[#Data],$DE236,40),0)</f>
        <v/>
      </c>
      <c r="AR236">
        <f>IFERROR(INDEX(PP_Grid[#Data],$DE236,41),0)</f>
        <v/>
      </c>
      <c r="AS236">
        <f>IFERROR(INDEX(PP_Grid[#Data],$DE236,42),0)</f>
        <v/>
      </c>
      <c r="AT236">
        <f>IFERROR(INDEX(PP_Grid[#Data],$DE236,43),0)</f>
        <v/>
      </c>
      <c r="AU236">
        <f>IFERROR(INDEX(PP_Grid[#Data],$DE236,44),0)</f>
        <v/>
      </c>
      <c r="AV236">
        <f>IFERROR(INDEX(PP_Grid[#Data],$DE236,45),0)</f>
        <v/>
      </c>
      <c r="AW236">
        <f>IFERROR(INDEX(PP_Grid[#Data],$DE236,46),0)</f>
        <v/>
      </c>
      <c r="AX236">
        <f>IFERROR(INDEX(PP_Grid[#Data],$DE236,47),0)</f>
        <v/>
      </c>
      <c r="AY236">
        <f>IFERROR(INDEX(PP_Grid[#Data],$DE236,48),0)</f>
        <v/>
      </c>
      <c r="AZ236">
        <f>IFERROR(INDEX(PP_Grid[#Data],$DE236,49),0)</f>
        <v/>
      </c>
      <c r="BA236">
        <f>IFERROR(INDEX(PP_Grid[#Data],$DE236,50),0)</f>
        <v/>
      </c>
      <c r="BB236">
        <f>IFERROR(INDEX(PP_Grid[#Data],$DE236,51),0)</f>
        <v/>
      </c>
      <c r="BC236">
        <f>IFERROR(INDEX(PP_Grid[#Data],$DE236,52),0)</f>
        <v/>
      </c>
      <c r="BD236">
        <f>IFERROR(INDEX(PP_Grid[#Data],$DE236,53),0)</f>
        <v/>
      </c>
      <c r="BE236">
        <f>IFERROR(INDEX(PP_Grid[#Data],$DE236,54),0)</f>
        <v/>
      </c>
      <c r="BF236">
        <f>IFERROR(INDEX(PP_Grid[#Data],$DE236,55),0)</f>
        <v/>
      </c>
      <c r="BG236">
        <f>IFERROR(INDEX(PP_Grid[#Data],$DE236,56),0)</f>
        <v/>
      </c>
      <c r="BH236">
        <f>IFERROR(INDEX(PP_Grid[#Data],$DE236,57),0)</f>
        <v/>
      </c>
      <c r="BI236">
        <f>IFERROR(INDEX(PP_Grid[#Data],$DE236,58),0)</f>
        <v/>
      </c>
      <c r="BJ236">
        <f>IFERROR(INDEX(PP_Grid[#Data],$DE236,59),0)</f>
        <v/>
      </c>
      <c r="BK236">
        <f>IFERROR(INDEX(PP_Grid[#Data],$DE236,60),0)</f>
        <v/>
      </c>
      <c r="BL236">
        <f>IFERROR(INDEX(PP_Grid[#Data],$DE236,61),0)</f>
        <v/>
      </c>
      <c r="BM236">
        <f>IFERROR(INDEX(PP_Grid[#Data],$DE236,62),0)</f>
        <v/>
      </c>
      <c r="BN236">
        <f>IFERROR(INDEX(PP_Grid[#Data],$DE236,63),0)</f>
        <v/>
      </c>
      <c r="BO236">
        <f>IFERROR(INDEX(PP_Grid[#Data],$DE236,64),0)</f>
        <v/>
      </c>
      <c r="BP236">
        <f>IFERROR(INDEX(PP_Grid[#Data],$DE236,65),0)</f>
        <v/>
      </c>
      <c r="BQ236">
        <f>IFERROR(INDEX(PP_Grid[#Data],$DE236,66),0)</f>
        <v/>
      </c>
      <c r="BR236">
        <f>IFERROR(INDEX(PP_Grid[#Data],$DE236,67),0)</f>
        <v/>
      </c>
      <c r="BS236">
        <f>IFERROR(INDEX(PP_Grid[#Data],$DE236,68),0)</f>
        <v/>
      </c>
      <c r="BT236">
        <f>IFERROR(INDEX(PP_Grid[#Data],$DE236,69),0)</f>
        <v/>
      </c>
      <c r="BU236">
        <f>IFERROR(INDEX(PP_Grid[#Data],$DE236,70),0)</f>
        <v/>
      </c>
      <c r="BV236">
        <f>IFERROR(INDEX(PP_Grid[#Data],$DE236,71),0)</f>
        <v/>
      </c>
      <c r="BW236">
        <f>IFERROR(INDEX(PP_Grid[#Data],$DE236,72),0)</f>
        <v/>
      </c>
      <c r="BX236">
        <f>IFERROR(INDEX(PP_Grid[#Data],$DE236,73),0)</f>
        <v/>
      </c>
      <c r="BY236">
        <f>IFERROR(INDEX(PP_Grid[#Data],$DE236,74),0)</f>
        <v/>
      </c>
      <c r="BZ236">
        <f>IFERROR(INDEX(PP_Grid[#Data],$DE236,75),0)</f>
        <v/>
      </c>
      <c r="CA236">
        <f>IFERROR(INDEX(PP_Grid[#Data],$DE236,76),0)</f>
        <v/>
      </c>
      <c r="CB236">
        <f>IFERROR(INDEX(PP_Grid[#Data],$DE236,77),0)</f>
        <v/>
      </c>
      <c r="CC236">
        <f>IFERROR(INDEX(PP_Grid[#Data],$DE236,78),0)</f>
        <v/>
      </c>
      <c r="CD236">
        <f>IFERROR(INDEX(PP_Grid[#Data],$DE236,79),0)</f>
        <v/>
      </c>
      <c r="CE236">
        <f>IFERROR(INDEX(PP_Grid[#Data],$DE236,80),0)</f>
        <v/>
      </c>
      <c r="CF236">
        <f>IFERROR(INDEX(PP_Grid[#Data],$DE236,81),0)</f>
        <v/>
      </c>
      <c r="CG236">
        <f>IFERROR(INDEX(PP_Grid[#Data],$DE236,82),0)</f>
        <v/>
      </c>
      <c r="CH236">
        <f>IFERROR(INDEX(PP_Grid[#Data],$DE236,83),0)</f>
        <v/>
      </c>
      <c r="CI236">
        <f>IFERROR(INDEX(PP_Grid[#Data],$DE236,84),0)</f>
        <v/>
      </c>
      <c r="CJ236">
        <f>IFERROR(INDEX(PP_Grid[#Data],$DE236,85),0)</f>
        <v/>
      </c>
      <c r="CK236">
        <f>IFERROR(INDEX(PP_Grid[#Data],$DE236,86),0)</f>
        <v/>
      </c>
      <c r="CL236">
        <f>IFERROR(INDEX(PP_Grid[#Data],$DE236,87),0)</f>
        <v/>
      </c>
      <c r="CM236">
        <f>IFERROR(INDEX(PP_Grid[#Data],$DE236,88),0)</f>
        <v/>
      </c>
      <c r="CN236">
        <f>IFERROR(INDEX(PP_Grid[#Data],$DE236,89),0)</f>
        <v/>
      </c>
      <c r="CO236">
        <f>IFERROR(INDEX(PP_Grid[#Data],$DE236,90),0)</f>
        <v/>
      </c>
      <c r="CP236">
        <f>IFERROR(INDEX(PP_Grid[#Data],$DE236,91),0)</f>
        <v/>
      </c>
      <c r="CQ236">
        <f>IFERROR(INDEX(PP_Grid[#Data],$DE236,92),0)</f>
        <v/>
      </c>
      <c r="CR236">
        <f>IFERROR(INDEX(PP_Grid[#Data],$DE236,93),0)</f>
        <v/>
      </c>
      <c r="CS236">
        <f>IFERROR(INDEX(PP_Grid[#Data],$DE236,94),0)</f>
        <v/>
      </c>
      <c r="CT236">
        <f>IFERROR(INDEX(PP_Grid[#Data],$DE236,95),0)</f>
        <v/>
      </c>
      <c r="CU236">
        <f>IFERROR(INDEX(PP_Grid[#Data],$DE236,96),0)</f>
        <v/>
      </c>
      <c r="CV236">
        <f>IFERROR(INDEX(PP_Grid[#Data],$DE236,97),0)</f>
        <v/>
      </c>
      <c r="CW236">
        <f>IFERROR(INDEX(PP_Grid[#Data],$DE236,98),0)</f>
        <v/>
      </c>
      <c r="CX236">
        <f>IFERROR(INDEX(PP_Grid[#Data],$DE236,99),0)</f>
        <v/>
      </c>
      <c r="CY236">
        <f>IFERROR(INDEX(PP_Grid[#Data],$DE236,100),0)</f>
        <v/>
      </c>
      <c r="CZ236">
        <f>IFERROR(INDEX(PP_Grid[#Data],$DE236,101),0)</f>
        <v/>
      </c>
      <c r="DA236">
        <f>IFERROR(INDEX(PP_Grid[#Data],$DE236,102),0)</f>
        <v/>
      </c>
      <c r="DB236">
        <f>IFERROR(INDEX(PP_Grid[#Data],$DE236,103),0)</f>
        <v/>
      </c>
      <c r="DC236">
        <f>IFERROR(INDEX(PP_Grid[#Data],$DE236,104),0)</f>
        <v/>
      </c>
      <c r="DD236">
        <f>IFERROR(INDEX(PP_Grid[#Data],$DE236,105),0)</f>
        <v/>
      </c>
      <c r="DE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SUMIFS(M_BOM[RM_Qty_Per_Batch],M_BOM[Intermediate],$B236,M_BOM[RM_Code],$A199)</f>
        <v/>
      </c>
      <c r="D237">
        <f>IFERROR(INDEX(E237:DD237,$F$1),"")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  <c r="DD237">
        <f>$C237*DD236</f>
        <v/>
      </c>
    </row>
    <row r="238">
      <c r="B238" t="inlineStr">
        <is>
          <t>TSP-558</t>
        </is>
      </c>
      <c r="C238" t="inlineStr">
        <is>
          <t>No. of batches</t>
        </is>
      </c>
      <c r="D238">
        <f>IFERROR(INDEX(E238:DD238,$F$1),"")</f>
        <v/>
      </c>
      <c r="E238">
        <f>IFERROR(INDEX(PP_Grid[#Data],$DE238,2),0)</f>
        <v/>
      </c>
      <c r="F238">
        <f>IFERROR(INDEX(PP_Grid[#Data],$DE238,3),0)</f>
        <v/>
      </c>
      <c r="G238">
        <f>IFERROR(INDEX(PP_Grid[#Data],$DE238,4),0)</f>
        <v/>
      </c>
      <c r="H238">
        <f>IFERROR(INDEX(PP_Grid[#Data],$DE238,5),0)</f>
        <v/>
      </c>
      <c r="I238">
        <f>IFERROR(INDEX(PP_Grid[#Data],$DE238,6),0)</f>
        <v/>
      </c>
      <c r="J238">
        <f>IFERROR(INDEX(PP_Grid[#Data],$DE238,7),0)</f>
        <v/>
      </c>
      <c r="K238">
        <f>IFERROR(INDEX(PP_Grid[#Data],$DE238,8),0)</f>
        <v/>
      </c>
      <c r="L238">
        <f>IFERROR(INDEX(PP_Grid[#Data],$DE238,9),0)</f>
        <v/>
      </c>
      <c r="M238">
        <f>IFERROR(INDEX(PP_Grid[#Data],$DE238,10),0)</f>
        <v/>
      </c>
      <c r="N238">
        <f>IFERROR(INDEX(PP_Grid[#Data],$DE238,11),0)</f>
        <v/>
      </c>
      <c r="O238">
        <f>IFERROR(INDEX(PP_Grid[#Data],$DE238,12),0)</f>
        <v/>
      </c>
      <c r="P238">
        <f>IFERROR(INDEX(PP_Grid[#Data],$DE238,13),0)</f>
        <v/>
      </c>
      <c r="Q238">
        <f>IFERROR(INDEX(PP_Grid[#Data],$DE238,14),0)</f>
        <v/>
      </c>
      <c r="R238">
        <f>IFERROR(INDEX(PP_Grid[#Data],$DE238,15),0)</f>
        <v/>
      </c>
      <c r="S238">
        <f>IFERROR(INDEX(PP_Grid[#Data],$DE238,16),0)</f>
        <v/>
      </c>
      <c r="T238">
        <f>IFERROR(INDEX(PP_Grid[#Data],$DE238,17),0)</f>
        <v/>
      </c>
      <c r="U238">
        <f>IFERROR(INDEX(PP_Grid[#Data],$DE238,18),0)</f>
        <v/>
      </c>
      <c r="V238">
        <f>IFERROR(INDEX(PP_Grid[#Data],$DE238,19),0)</f>
        <v/>
      </c>
      <c r="W238">
        <f>IFERROR(INDEX(PP_Grid[#Data],$DE238,20),0)</f>
        <v/>
      </c>
      <c r="X238">
        <f>IFERROR(INDEX(PP_Grid[#Data],$DE238,21),0)</f>
        <v/>
      </c>
      <c r="Y238">
        <f>IFERROR(INDEX(PP_Grid[#Data],$DE238,22),0)</f>
        <v/>
      </c>
      <c r="Z238">
        <f>IFERROR(INDEX(PP_Grid[#Data],$DE238,23),0)</f>
        <v/>
      </c>
      <c r="AA238">
        <f>IFERROR(INDEX(PP_Grid[#Data],$DE238,24),0)</f>
        <v/>
      </c>
      <c r="AB238">
        <f>IFERROR(INDEX(PP_Grid[#Data],$DE238,25),0)</f>
        <v/>
      </c>
      <c r="AC238">
        <f>IFERROR(INDEX(PP_Grid[#Data],$DE238,26),0)</f>
        <v/>
      </c>
      <c r="AD238">
        <f>IFERROR(INDEX(PP_Grid[#Data],$DE238,27),0)</f>
        <v/>
      </c>
      <c r="AE238">
        <f>IFERROR(INDEX(PP_Grid[#Data],$DE238,28),0)</f>
        <v/>
      </c>
      <c r="AF238">
        <f>IFERROR(INDEX(PP_Grid[#Data],$DE238,29),0)</f>
        <v/>
      </c>
      <c r="AG238">
        <f>IFERROR(INDEX(PP_Grid[#Data],$DE238,30),0)</f>
        <v/>
      </c>
      <c r="AH238">
        <f>IFERROR(INDEX(PP_Grid[#Data],$DE238,31),0)</f>
        <v/>
      </c>
      <c r="AI238">
        <f>IFERROR(INDEX(PP_Grid[#Data],$DE238,32),0)</f>
        <v/>
      </c>
      <c r="AJ238">
        <f>IFERROR(INDEX(PP_Grid[#Data],$DE238,33),0)</f>
        <v/>
      </c>
      <c r="AK238">
        <f>IFERROR(INDEX(PP_Grid[#Data],$DE238,34),0)</f>
        <v/>
      </c>
      <c r="AL238">
        <f>IFERROR(INDEX(PP_Grid[#Data],$DE238,35),0)</f>
        <v/>
      </c>
      <c r="AM238">
        <f>IFERROR(INDEX(PP_Grid[#Data],$DE238,36),0)</f>
        <v/>
      </c>
      <c r="AN238">
        <f>IFERROR(INDEX(PP_Grid[#Data],$DE238,37),0)</f>
        <v/>
      </c>
      <c r="AO238">
        <f>IFERROR(INDEX(PP_Grid[#Data],$DE238,38),0)</f>
        <v/>
      </c>
      <c r="AP238">
        <f>IFERROR(INDEX(PP_Grid[#Data],$DE238,39),0)</f>
        <v/>
      </c>
      <c r="AQ238">
        <f>IFERROR(INDEX(PP_Grid[#Data],$DE238,40),0)</f>
        <v/>
      </c>
      <c r="AR238">
        <f>IFERROR(INDEX(PP_Grid[#Data],$DE238,41),0)</f>
        <v/>
      </c>
      <c r="AS238">
        <f>IFERROR(INDEX(PP_Grid[#Data],$DE238,42),0)</f>
        <v/>
      </c>
      <c r="AT238">
        <f>IFERROR(INDEX(PP_Grid[#Data],$DE238,43),0)</f>
        <v/>
      </c>
      <c r="AU238">
        <f>IFERROR(INDEX(PP_Grid[#Data],$DE238,44),0)</f>
        <v/>
      </c>
      <c r="AV238">
        <f>IFERROR(INDEX(PP_Grid[#Data],$DE238,45),0)</f>
        <v/>
      </c>
      <c r="AW238">
        <f>IFERROR(INDEX(PP_Grid[#Data],$DE238,46),0)</f>
        <v/>
      </c>
      <c r="AX238">
        <f>IFERROR(INDEX(PP_Grid[#Data],$DE238,47),0)</f>
        <v/>
      </c>
      <c r="AY238">
        <f>IFERROR(INDEX(PP_Grid[#Data],$DE238,48),0)</f>
        <v/>
      </c>
      <c r="AZ238">
        <f>IFERROR(INDEX(PP_Grid[#Data],$DE238,49),0)</f>
        <v/>
      </c>
      <c r="BA238">
        <f>IFERROR(INDEX(PP_Grid[#Data],$DE238,50),0)</f>
        <v/>
      </c>
      <c r="BB238">
        <f>IFERROR(INDEX(PP_Grid[#Data],$DE238,51),0)</f>
        <v/>
      </c>
      <c r="BC238">
        <f>IFERROR(INDEX(PP_Grid[#Data],$DE238,52),0)</f>
        <v/>
      </c>
      <c r="BD238">
        <f>IFERROR(INDEX(PP_Grid[#Data],$DE238,53),0)</f>
        <v/>
      </c>
      <c r="BE238">
        <f>IFERROR(INDEX(PP_Grid[#Data],$DE238,54),0)</f>
        <v/>
      </c>
      <c r="BF238">
        <f>IFERROR(INDEX(PP_Grid[#Data],$DE238,55),0)</f>
        <v/>
      </c>
      <c r="BG238">
        <f>IFERROR(INDEX(PP_Grid[#Data],$DE238,56),0)</f>
        <v/>
      </c>
      <c r="BH238">
        <f>IFERROR(INDEX(PP_Grid[#Data],$DE238,57),0)</f>
        <v/>
      </c>
      <c r="BI238">
        <f>IFERROR(INDEX(PP_Grid[#Data],$DE238,58),0)</f>
        <v/>
      </c>
      <c r="BJ238">
        <f>IFERROR(INDEX(PP_Grid[#Data],$DE238,59),0)</f>
        <v/>
      </c>
      <c r="BK238">
        <f>IFERROR(INDEX(PP_Grid[#Data],$DE238,60),0)</f>
        <v/>
      </c>
      <c r="BL238">
        <f>IFERROR(INDEX(PP_Grid[#Data],$DE238,61),0)</f>
        <v/>
      </c>
      <c r="BM238">
        <f>IFERROR(INDEX(PP_Grid[#Data],$DE238,62),0)</f>
        <v/>
      </c>
      <c r="BN238">
        <f>IFERROR(INDEX(PP_Grid[#Data],$DE238,63),0)</f>
        <v/>
      </c>
      <c r="BO238">
        <f>IFERROR(INDEX(PP_Grid[#Data],$DE238,64),0)</f>
        <v/>
      </c>
      <c r="BP238">
        <f>IFERROR(INDEX(PP_Grid[#Data],$DE238,65),0)</f>
        <v/>
      </c>
      <c r="BQ238">
        <f>IFERROR(INDEX(PP_Grid[#Data],$DE238,66),0)</f>
        <v/>
      </c>
      <c r="BR238">
        <f>IFERROR(INDEX(PP_Grid[#Data],$DE238,67),0)</f>
        <v/>
      </c>
      <c r="BS238">
        <f>IFERROR(INDEX(PP_Grid[#Data],$DE238,68),0)</f>
        <v/>
      </c>
      <c r="BT238">
        <f>IFERROR(INDEX(PP_Grid[#Data],$DE238,69),0)</f>
        <v/>
      </c>
      <c r="BU238">
        <f>IFERROR(INDEX(PP_Grid[#Data],$DE238,70),0)</f>
        <v/>
      </c>
      <c r="BV238">
        <f>IFERROR(INDEX(PP_Grid[#Data],$DE238,71),0)</f>
        <v/>
      </c>
      <c r="BW238">
        <f>IFERROR(INDEX(PP_Grid[#Data],$DE238,72),0)</f>
        <v/>
      </c>
      <c r="BX238">
        <f>IFERROR(INDEX(PP_Grid[#Data],$DE238,73),0)</f>
        <v/>
      </c>
      <c r="BY238">
        <f>IFERROR(INDEX(PP_Grid[#Data],$DE238,74),0)</f>
        <v/>
      </c>
      <c r="BZ238">
        <f>IFERROR(INDEX(PP_Grid[#Data],$DE238,75),0)</f>
        <v/>
      </c>
      <c r="CA238">
        <f>IFERROR(INDEX(PP_Grid[#Data],$DE238,76),0)</f>
        <v/>
      </c>
      <c r="CB238">
        <f>IFERROR(INDEX(PP_Grid[#Data],$DE238,77),0)</f>
        <v/>
      </c>
      <c r="CC238">
        <f>IFERROR(INDEX(PP_Grid[#Data],$DE238,78),0)</f>
        <v/>
      </c>
      <c r="CD238">
        <f>IFERROR(INDEX(PP_Grid[#Data],$DE238,79),0)</f>
        <v/>
      </c>
      <c r="CE238">
        <f>IFERROR(INDEX(PP_Grid[#Data],$DE238,80),0)</f>
        <v/>
      </c>
      <c r="CF238">
        <f>IFERROR(INDEX(PP_Grid[#Data],$DE238,81),0)</f>
        <v/>
      </c>
      <c r="CG238">
        <f>IFERROR(INDEX(PP_Grid[#Data],$DE238,82),0)</f>
        <v/>
      </c>
      <c r="CH238">
        <f>IFERROR(INDEX(PP_Grid[#Data],$DE238,83),0)</f>
        <v/>
      </c>
      <c r="CI238">
        <f>IFERROR(INDEX(PP_Grid[#Data],$DE238,84),0)</f>
        <v/>
      </c>
      <c r="CJ238">
        <f>IFERROR(INDEX(PP_Grid[#Data],$DE238,85),0)</f>
        <v/>
      </c>
      <c r="CK238">
        <f>IFERROR(INDEX(PP_Grid[#Data],$DE238,86),0)</f>
        <v/>
      </c>
      <c r="CL238">
        <f>IFERROR(INDEX(PP_Grid[#Data],$DE238,87),0)</f>
        <v/>
      </c>
      <c r="CM238">
        <f>IFERROR(INDEX(PP_Grid[#Data],$DE238,88),0)</f>
        <v/>
      </c>
      <c r="CN238">
        <f>IFERROR(INDEX(PP_Grid[#Data],$DE238,89),0)</f>
        <v/>
      </c>
      <c r="CO238">
        <f>IFERROR(INDEX(PP_Grid[#Data],$DE238,90),0)</f>
        <v/>
      </c>
      <c r="CP238">
        <f>IFERROR(INDEX(PP_Grid[#Data],$DE238,91),0)</f>
        <v/>
      </c>
      <c r="CQ238">
        <f>IFERROR(INDEX(PP_Grid[#Data],$DE238,92),0)</f>
        <v/>
      </c>
      <c r="CR238">
        <f>IFERROR(INDEX(PP_Grid[#Data],$DE238,93),0)</f>
        <v/>
      </c>
      <c r="CS238">
        <f>IFERROR(INDEX(PP_Grid[#Data],$DE238,94),0)</f>
        <v/>
      </c>
      <c r="CT238">
        <f>IFERROR(INDEX(PP_Grid[#Data],$DE238,95),0)</f>
        <v/>
      </c>
      <c r="CU238">
        <f>IFERROR(INDEX(PP_Grid[#Data],$DE238,96),0)</f>
        <v/>
      </c>
      <c r="CV238">
        <f>IFERROR(INDEX(PP_Grid[#Data],$DE238,97),0)</f>
        <v/>
      </c>
      <c r="CW238">
        <f>IFERROR(INDEX(PP_Grid[#Data],$DE238,98),0)</f>
        <v/>
      </c>
      <c r="CX238">
        <f>IFERROR(INDEX(PP_Grid[#Data],$DE238,99),0)</f>
        <v/>
      </c>
      <c r="CY238">
        <f>IFERROR(INDEX(PP_Grid[#Data],$DE238,100),0)</f>
        <v/>
      </c>
      <c r="CZ238">
        <f>IFERROR(INDEX(PP_Grid[#Data],$DE238,101),0)</f>
        <v/>
      </c>
      <c r="DA238">
        <f>IFERROR(INDEX(PP_Grid[#Data],$DE238,102),0)</f>
        <v/>
      </c>
      <c r="DB238">
        <f>IFERROR(INDEX(PP_Grid[#Data],$DE238,103),0)</f>
        <v/>
      </c>
      <c r="DC238">
        <f>IFERROR(INDEX(PP_Grid[#Data],$DE238,104),0)</f>
        <v/>
      </c>
      <c r="DD238">
        <f>IFERROR(INDEX(PP_Grid[#Data],$DE238,105),0)</f>
        <v/>
      </c>
      <c r="DE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SUMIFS(M_BOM[RM_Qty_Per_Batch],M_BOM[Intermediate],$B238,M_BOM[RM_Code],$A199)</f>
        <v/>
      </c>
      <c r="D239">
        <f>IFERROR(INDEX(E239:DD239,$F$1),"")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  <c r="DD239">
        <f>$C239*DD238</f>
        <v/>
      </c>
    </row>
    <row r="240">
      <c r="B240" t="inlineStr">
        <is>
          <t>TSP-618</t>
        </is>
      </c>
      <c r="C240" t="inlineStr">
        <is>
          <t>No. of batches</t>
        </is>
      </c>
      <c r="D240">
        <f>IFERROR(INDEX(E240:DD240,$F$1),"")</f>
        <v/>
      </c>
      <c r="E240">
        <f>IFERROR(INDEX(PP_Grid[#Data],$DE240,2),0)</f>
        <v/>
      </c>
      <c r="F240">
        <f>IFERROR(INDEX(PP_Grid[#Data],$DE240,3),0)</f>
        <v/>
      </c>
      <c r="G240">
        <f>IFERROR(INDEX(PP_Grid[#Data],$DE240,4),0)</f>
        <v/>
      </c>
      <c r="H240">
        <f>IFERROR(INDEX(PP_Grid[#Data],$DE240,5),0)</f>
        <v/>
      </c>
      <c r="I240">
        <f>IFERROR(INDEX(PP_Grid[#Data],$DE240,6),0)</f>
        <v/>
      </c>
      <c r="J240">
        <f>IFERROR(INDEX(PP_Grid[#Data],$DE240,7),0)</f>
        <v/>
      </c>
      <c r="K240">
        <f>IFERROR(INDEX(PP_Grid[#Data],$DE240,8),0)</f>
        <v/>
      </c>
      <c r="L240">
        <f>IFERROR(INDEX(PP_Grid[#Data],$DE240,9),0)</f>
        <v/>
      </c>
      <c r="M240">
        <f>IFERROR(INDEX(PP_Grid[#Data],$DE240,10),0)</f>
        <v/>
      </c>
      <c r="N240">
        <f>IFERROR(INDEX(PP_Grid[#Data],$DE240,11),0)</f>
        <v/>
      </c>
      <c r="O240">
        <f>IFERROR(INDEX(PP_Grid[#Data],$DE240,12),0)</f>
        <v/>
      </c>
      <c r="P240">
        <f>IFERROR(INDEX(PP_Grid[#Data],$DE240,13),0)</f>
        <v/>
      </c>
      <c r="Q240">
        <f>IFERROR(INDEX(PP_Grid[#Data],$DE240,14),0)</f>
        <v/>
      </c>
      <c r="R240">
        <f>IFERROR(INDEX(PP_Grid[#Data],$DE240,15),0)</f>
        <v/>
      </c>
      <c r="S240">
        <f>IFERROR(INDEX(PP_Grid[#Data],$DE240,16),0)</f>
        <v/>
      </c>
      <c r="T240">
        <f>IFERROR(INDEX(PP_Grid[#Data],$DE240,17),0)</f>
        <v/>
      </c>
      <c r="U240">
        <f>IFERROR(INDEX(PP_Grid[#Data],$DE240,18),0)</f>
        <v/>
      </c>
      <c r="V240">
        <f>IFERROR(INDEX(PP_Grid[#Data],$DE240,19),0)</f>
        <v/>
      </c>
      <c r="W240">
        <f>IFERROR(INDEX(PP_Grid[#Data],$DE240,20),0)</f>
        <v/>
      </c>
      <c r="X240">
        <f>IFERROR(INDEX(PP_Grid[#Data],$DE240,21),0)</f>
        <v/>
      </c>
      <c r="Y240">
        <f>IFERROR(INDEX(PP_Grid[#Data],$DE240,22),0)</f>
        <v/>
      </c>
      <c r="Z240">
        <f>IFERROR(INDEX(PP_Grid[#Data],$DE240,23),0)</f>
        <v/>
      </c>
      <c r="AA240">
        <f>IFERROR(INDEX(PP_Grid[#Data],$DE240,24),0)</f>
        <v/>
      </c>
      <c r="AB240">
        <f>IFERROR(INDEX(PP_Grid[#Data],$DE240,25),0)</f>
        <v/>
      </c>
      <c r="AC240">
        <f>IFERROR(INDEX(PP_Grid[#Data],$DE240,26),0)</f>
        <v/>
      </c>
      <c r="AD240">
        <f>IFERROR(INDEX(PP_Grid[#Data],$DE240,27),0)</f>
        <v/>
      </c>
      <c r="AE240">
        <f>IFERROR(INDEX(PP_Grid[#Data],$DE240,28),0)</f>
        <v/>
      </c>
      <c r="AF240">
        <f>IFERROR(INDEX(PP_Grid[#Data],$DE240,29),0)</f>
        <v/>
      </c>
      <c r="AG240">
        <f>IFERROR(INDEX(PP_Grid[#Data],$DE240,30),0)</f>
        <v/>
      </c>
      <c r="AH240">
        <f>IFERROR(INDEX(PP_Grid[#Data],$DE240,31),0)</f>
        <v/>
      </c>
      <c r="AI240">
        <f>IFERROR(INDEX(PP_Grid[#Data],$DE240,32),0)</f>
        <v/>
      </c>
      <c r="AJ240">
        <f>IFERROR(INDEX(PP_Grid[#Data],$DE240,33),0)</f>
        <v/>
      </c>
      <c r="AK240">
        <f>IFERROR(INDEX(PP_Grid[#Data],$DE240,34),0)</f>
        <v/>
      </c>
      <c r="AL240">
        <f>IFERROR(INDEX(PP_Grid[#Data],$DE240,35),0)</f>
        <v/>
      </c>
      <c r="AM240">
        <f>IFERROR(INDEX(PP_Grid[#Data],$DE240,36),0)</f>
        <v/>
      </c>
      <c r="AN240">
        <f>IFERROR(INDEX(PP_Grid[#Data],$DE240,37),0)</f>
        <v/>
      </c>
      <c r="AO240">
        <f>IFERROR(INDEX(PP_Grid[#Data],$DE240,38),0)</f>
        <v/>
      </c>
      <c r="AP240">
        <f>IFERROR(INDEX(PP_Grid[#Data],$DE240,39),0)</f>
        <v/>
      </c>
      <c r="AQ240">
        <f>IFERROR(INDEX(PP_Grid[#Data],$DE240,40),0)</f>
        <v/>
      </c>
      <c r="AR240">
        <f>IFERROR(INDEX(PP_Grid[#Data],$DE240,41),0)</f>
        <v/>
      </c>
      <c r="AS240">
        <f>IFERROR(INDEX(PP_Grid[#Data],$DE240,42),0)</f>
        <v/>
      </c>
      <c r="AT240">
        <f>IFERROR(INDEX(PP_Grid[#Data],$DE240,43),0)</f>
        <v/>
      </c>
      <c r="AU240">
        <f>IFERROR(INDEX(PP_Grid[#Data],$DE240,44),0)</f>
        <v/>
      </c>
      <c r="AV240">
        <f>IFERROR(INDEX(PP_Grid[#Data],$DE240,45),0)</f>
        <v/>
      </c>
      <c r="AW240">
        <f>IFERROR(INDEX(PP_Grid[#Data],$DE240,46),0)</f>
        <v/>
      </c>
      <c r="AX240">
        <f>IFERROR(INDEX(PP_Grid[#Data],$DE240,47),0)</f>
        <v/>
      </c>
      <c r="AY240">
        <f>IFERROR(INDEX(PP_Grid[#Data],$DE240,48),0)</f>
        <v/>
      </c>
      <c r="AZ240">
        <f>IFERROR(INDEX(PP_Grid[#Data],$DE240,49),0)</f>
        <v/>
      </c>
      <c r="BA240">
        <f>IFERROR(INDEX(PP_Grid[#Data],$DE240,50),0)</f>
        <v/>
      </c>
      <c r="BB240">
        <f>IFERROR(INDEX(PP_Grid[#Data],$DE240,51),0)</f>
        <v/>
      </c>
      <c r="BC240">
        <f>IFERROR(INDEX(PP_Grid[#Data],$DE240,52),0)</f>
        <v/>
      </c>
      <c r="BD240">
        <f>IFERROR(INDEX(PP_Grid[#Data],$DE240,53),0)</f>
        <v/>
      </c>
      <c r="BE240">
        <f>IFERROR(INDEX(PP_Grid[#Data],$DE240,54),0)</f>
        <v/>
      </c>
      <c r="BF240">
        <f>IFERROR(INDEX(PP_Grid[#Data],$DE240,55),0)</f>
        <v/>
      </c>
      <c r="BG240">
        <f>IFERROR(INDEX(PP_Grid[#Data],$DE240,56),0)</f>
        <v/>
      </c>
      <c r="BH240">
        <f>IFERROR(INDEX(PP_Grid[#Data],$DE240,57),0)</f>
        <v/>
      </c>
      <c r="BI240">
        <f>IFERROR(INDEX(PP_Grid[#Data],$DE240,58),0)</f>
        <v/>
      </c>
      <c r="BJ240">
        <f>IFERROR(INDEX(PP_Grid[#Data],$DE240,59),0)</f>
        <v/>
      </c>
      <c r="BK240">
        <f>IFERROR(INDEX(PP_Grid[#Data],$DE240,60),0)</f>
        <v/>
      </c>
      <c r="BL240">
        <f>IFERROR(INDEX(PP_Grid[#Data],$DE240,61),0)</f>
        <v/>
      </c>
      <c r="BM240">
        <f>IFERROR(INDEX(PP_Grid[#Data],$DE240,62),0)</f>
        <v/>
      </c>
      <c r="BN240">
        <f>IFERROR(INDEX(PP_Grid[#Data],$DE240,63),0)</f>
        <v/>
      </c>
      <c r="BO240">
        <f>IFERROR(INDEX(PP_Grid[#Data],$DE240,64),0)</f>
        <v/>
      </c>
      <c r="BP240">
        <f>IFERROR(INDEX(PP_Grid[#Data],$DE240,65),0)</f>
        <v/>
      </c>
      <c r="BQ240">
        <f>IFERROR(INDEX(PP_Grid[#Data],$DE240,66),0)</f>
        <v/>
      </c>
      <c r="BR240">
        <f>IFERROR(INDEX(PP_Grid[#Data],$DE240,67),0)</f>
        <v/>
      </c>
      <c r="BS240">
        <f>IFERROR(INDEX(PP_Grid[#Data],$DE240,68),0)</f>
        <v/>
      </c>
      <c r="BT240">
        <f>IFERROR(INDEX(PP_Grid[#Data],$DE240,69),0)</f>
        <v/>
      </c>
      <c r="BU240">
        <f>IFERROR(INDEX(PP_Grid[#Data],$DE240,70),0)</f>
        <v/>
      </c>
      <c r="BV240">
        <f>IFERROR(INDEX(PP_Grid[#Data],$DE240,71),0)</f>
        <v/>
      </c>
      <c r="BW240">
        <f>IFERROR(INDEX(PP_Grid[#Data],$DE240,72),0)</f>
        <v/>
      </c>
      <c r="BX240">
        <f>IFERROR(INDEX(PP_Grid[#Data],$DE240,73),0)</f>
        <v/>
      </c>
      <c r="BY240">
        <f>IFERROR(INDEX(PP_Grid[#Data],$DE240,74),0)</f>
        <v/>
      </c>
      <c r="BZ240">
        <f>IFERROR(INDEX(PP_Grid[#Data],$DE240,75),0)</f>
        <v/>
      </c>
      <c r="CA240">
        <f>IFERROR(INDEX(PP_Grid[#Data],$DE240,76),0)</f>
        <v/>
      </c>
      <c r="CB240">
        <f>IFERROR(INDEX(PP_Grid[#Data],$DE240,77),0)</f>
        <v/>
      </c>
      <c r="CC240">
        <f>IFERROR(INDEX(PP_Grid[#Data],$DE240,78),0)</f>
        <v/>
      </c>
      <c r="CD240">
        <f>IFERROR(INDEX(PP_Grid[#Data],$DE240,79),0)</f>
        <v/>
      </c>
      <c r="CE240">
        <f>IFERROR(INDEX(PP_Grid[#Data],$DE240,80),0)</f>
        <v/>
      </c>
      <c r="CF240">
        <f>IFERROR(INDEX(PP_Grid[#Data],$DE240,81),0)</f>
        <v/>
      </c>
      <c r="CG240">
        <f>IFERROR(INDEX(PP_Grid[#Data],$DE240,82),0)</f>
        <v/>
      </c>
      <c r="CH240">
        <f>IFERROR(INDEX(PP_Grid[#Data],$DE240,83),0)</f>
        <v/>
      </c>
      <c r="CI240">
        <f>IFERROR(INDEX(PP_Grid[#Data],$DE240,84),0)</f>
        <v/>
      </c>
      <c r="CJ240">
        <f>IFERROR(INDEX(PP_Grid[#Data],$DE240,85),0)</f>
        <v/>
      </c>
      <c r="CK240">
        <f>IFERROR(INDEX(PP_Grid[#Data],$DE240,86),0)</f>
        <v/>
      </c>
      <c r="CL240">
        <f>IFERROR(INDEX(PP_Grid[#Data],$DE240,87),0)</f>
        <v/>
      </c>
      <c r="CM240">
        <f>IFERROR(INDEX(PP_Grid[#Data],$DE240,88),0)</f>
        <v/>
      </c>
      <c r="CN240">
        <f>IFERROR(INDEX(PP_Grid[#Data],$DE240,89),0)</f>
        <v/>
      </c>
      <c r="CO240">
        <f>IFERROR(INDEX(PP_Grid[#Data],$DE240,90),0)</f>
        <v/>
      </c>
      <c r="CP240">
        <f>IFERROR(INDEX(PP_Grid[#Data],$DE240,91),0)</f>
        <v/>
      </c>
      <c r="CQ240">
        <f>IFERROR(INDEX(PP_Grid[#Data],$DE240,92),0)</f>
        <v/>
      </c>
      <c r="CR240">
        <f>IFERROR(INDEX(PP_Grid[#Data],$DE240,93),0)</f>
        <v/>
      </c>
      <c r="CS240">
        <f>IFERROR(INDEX(PP_Grid[#Data],$DE240,94),0)</f>
        <v/>
      </c>
      <c r="CT240">
        <f>IFERROR(INDEX(PP_Grid[#Data],$DE240,95),0)</f>
        <v/>
      </c>
      <c r="CU240">
        <f>IFERROR(INDEX(PP_Grid[#Data],$DE240,96),0)</f>
        <v/>
      </c>
      <c r="CV240">
        <f>IFERROR(INDEX(PP_Grid[#Data],$DE240,97),0)</f>
        <v/>
      </c>
      <c r="CW240">
        <f>IFERROR(INDEX(PP_Grid[#Data],$DE240,98),0)</f>
        <v/>
      </c>
      <c r="CX240">
        <f>IFERROR(INDEX(PP_Grid[#Data],$DE240,99),0)</f>
        <v/>
      </c>
      <c r="CY240">
        <f>IFERROR(INDEX(PP_Grid[#Data],$DE240,100),0)</f>
        <v/>
      </c>
      <c r="CZ240">
        <f>IFERROR(INDEX(PP_Grid[#Data],$DE240,101),0)</f>
        <v/>
      </c>
      <c r="DA240">
        <f>IFERROR(INDEX(PP_Grid[#Data],$DE240,102),0)</f>
        <v/>
      </c>
      <c r="DB240">
        <f>IFERROR(INDEX(PP_Grid[#Data],$DE240,103),0)</f>
        <v/>
      </c>
      <c r="DC240">
        <f>IFERROR(INDEX(PP_Grid[#Data],$DE240,104),0)</f>
        <v/>
      </c>
      <c r="DD240">
        <f>IFERROR(INDEX(PP_Grid[#Data],$DE240,105),0)</f>
        <v/>
      </c>
      <c r="DE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SUMIFS(M_BOM[RM_Qty_Per_Batch],M_BOM[Intermediate],$B240,M_BOM[RM_Code],$A199)</f>
        <v/>
      </c>
      <c r="D241">
        <f>IFERROR(INDEX(E241:DD241,$F$1),"")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  <c r="DD241">
        <f>$C241*DD240</f>
        <v/>
      </c>
    </row>
    <row r="242">
      <c r="B242" t="inlineStr">
        <is>
          <t>TSP-620</t>
        </is>
      </c>
      <c r="C242" t="inlineStr">
        <is>
          <t>No. of batches</t>
        </is>
      </c>
      <c r="D242">
        <f>IFERROR(INDEX(E242:DD242,$F$1),"")</f>
        <v/>
      </c>
      <c r="E242">
        <f>IFERROR(INDEX(PP_Grid[#Data],$DE242,2),0)</f>
        <v/>
      </c>
      <c r="F242">
        <f>IFERROR(INDEX(PP_Grid[#Data],$DE242,3),0)</f>
        <v/>
      </c>
      <c r="G242">
        <f>IFERROR(INDEX(PP_Grid[#Data],$DE242,4),0)</f>
        <v/>
      </c>
      <c r="H242">
        <f>IFERROR(INDEX(PP_Grid[#Data],$DE242,5),0)</f>
        <v/>
      </c>
      <c r="I242">
        <f>IFERROR(INDEX(PP_Grid[#Data],$DE242,6),0)</f>
        <v/>
      </c>
      <c r="J242">
        <f>IFERROR(INDEX(PP_Grid[#Data],$DE242,7),0)</f>
        <v/>
      </c>
      <c r="K242">
        <f>IFERROR(INDEX(PP_Grid[#Data],$DE242,8),0)</f>
        <v/>
      </c>
      <c r="L242">
        <f>IFERROR(INDEX(PP_Grid[#Data],$DE242,9),0)</f>
        <v/>
      </c>
      <c r="M242">
        <f>IFERROR(INDEX(PP_Grid[#Data],$DE242,10),0)</f>
        <v/>
      </c>
      <c r="N242">
        <f>IFERROR(INDEX(PP_Grid[#Data],$DE242,11),0)</f>
        <v/>
      </c>
      <c r="O242">
        <f>IFERROR(INDEX(PP_Grid[#Data],$DE242,12),0)</f>
        <v/>
      </c>
      <c r="P242">
        <f>IFERROR(INDEX(PP_Grid[#Data],$DE242,13),0)</f>
        <v/>
      </c>
      <c r="Q242">
        <f>IFERROR(INDEX(PP_Grid[#Data],$DE242,14),0)</f>
        <v/>
      </c>
      <c r="R242">
        <f>IFERROR(INDEX(PP_Grid[#Data],$DE242,15),0)</f>
        <v/>
      </c>
      <c r="S242">
        <f>IFERROR(INDEX(PP_Grid[#Data],$DE242,16),0)</f>
        <v/>
      </c>
      <c r="T242">
        <f>IFERROR(INDEX(PP_Grid[#Data],$DE242,17),0)</f>
        <v/>
      </c>
      <c r="U242">
        <f>IFERROR(INDEX(PP_Grid[#Data],$DE242,18),0)</f>
        <v/>
      </c>
      <c r="V242">
        <f>IFERROR(INDEX(PP_Grid[#Data],$DE242,19),0)</f>
        <v/>
      </c>
      <c r="W242">
        <f>IFERROR(INDEX(PP_Grid[#Data],$DE242,20),0)</f>
        <v/>
      </c>
      <c r="X242">
        <f>IFERROR(INDEX(PP_Grid[#Data],$DE242,21),0)</f>
        <v/>
      </c>
      <c r="Y242">
        <f>IFERROR(INDEX(PP_Grid[#Data],$DE242,22),0)</f>
        <v/>
      </c>
      <c r="Z242">
        <f>IFERROR(INDEX(PP_Grid[#Data],$DE242,23),0)</f>
        <v/>
      </c>
      <c r="AA242">
        <f>IFERROR(INDEX(PP_Grid[#Data],$DE242,24),0)</f>
        <v/>
      </c>
      <c r="AB242">
        <f>IFERROR(INDEX(PP_Grid[#Data],$DE242,25),0)</f>
        <v/>
      </c>
      <c r="AC242">
        <f>IFERROR(INDEX(PP_Grid[#Data],$DE242,26),0)</f>
        <v/>
      </c>
      <c r="AD242">
        <f>IFERROR(INDEX(PP_Grid[#Data],$DE242,27),0)</f>
        <v/>
      </c>
      <c r="AE242">
        <f>IFERROR(INDEX(PP_Grid[#Data],$DE242,28),0)</f>
        <v/>
      </c>
      <c r="AF242">
        <f>IFERROR(INDEX(PP_Grid[#Data],$DE242,29),0)</f>
        <v/>
      </c>
      <c r="AG242">
        <f>IFERROR(INDEX(PP_Grid[#Data],$DE242,30),0)</f>
        <v/>
      </c>
      <c r="AH242">
        <f>IFERROR(INDEX(PP_Grid[#Data],$DE242,31),0)</f>
        <v/>
      </c>
      <c r="AI242">
        <f>IFERROR(INDEX(PP_Grid[#Data],$DE242,32),0)</f>
        <v/>
      </c>
      <c r="AJ242">
        <f>IFERROR(INDEX(PP_Grid[#Data],$DE242,33),0)</f>
        <v/>
      </c>
      <c r="AK242">
        <f>IFERROR(INDEX(PP_Grid[#Data],$DE242,34),0)</f>
        <v/>
      </c>
      <c r="AL242">
        <f>IFERROR(INDEX(PP_Grid[#Data],$DE242,35),0)</f>
        <v/>
      </c>
      <c r="AM242">
        <f>IFERROR(INDEX(PP_Grid[#Data],$DE242,36),0)</f>
        <v/>
      </c>
      <c r="AN242">
        <f>IFERROR(INDEX(PP_Grid[#Data],$DE242,37),0)</f>
        <v/>
      </c>
      <c r="AO242">
        <f>IFERROR(INDEX(PP_Grid[#Data],$DE242,38),0)</f>
        <v/>
      </c>
      <c r="AP242">
        <f>IFERROR(INDEX(PP_Grid[#Data],$DE242,39),0)</f>
        <v/>
      </c>
      <c r="AQ242">
        <f>IFERROR(INDEX(PP_Grid[#Data],$DE242,40),0)</f>
        <v/>
      </c>
      <c r="AR242">
        <f>IFERROR(INDEX(PP_Grid[#Data],$DE242,41),0)</f>
        <v/>
      </c>
      <c r="AS242">
        <f>IFERROR(INDEX(PP_Grid[#Data],$DE242,42),0)</f>
        <v/>
      </c>
      <c r="AT242">
        <f>IFERROR(INDEX(PP_Grid[#Data],$DE242,43),0)</f>
        <v/>
      </c>
      <c r="AU242">
        <f>IFERROR(INDEX(PP_Grid[#Data],$DE242,44),0)</f>
        <v/>
      </c>
      <c r="AV242">
        <f>IFERROR(INDEX(PP_Grid[#Data],$DE242,45),0)</f>
        <v/>
      </c>
      <c r="AW242">
        <f>IFERROR(INDEX(PP_Grid[#Data],$DE242,46),0)</f>
        <v/>
      </c>
      <c r="AX242">
        <f>IFERROR(INDEX(PP_Grid[#Data],$DE242,47),0)</f>
        <v/>
      </c>
      <c r="AY242">
        <f>IFERROR(INDEX(PP_Grid[#Data],$DE242,48),0)</f>
        <v/>
      </c>
      <c r="AZ242">
        <f>IFERROR(INDEX(PP_Grid[#Data],$DE242,49),0)</f>
        <v/>
      </c>
      <c r="BA242">
        <f>IFERROR(INDEX(PP_Grid[#Data],$DE242,50),0)</f>
        <v/>
      </c>
      <c r="BB242">
        <f>IFERROR(INDEX(PP_Grid[#Data],$DE242,51),0)</f>
        <v/>
      </c>
      <c r="BC242">
        <f>IFERROR(INDEX(PP_Grid[#Data],$DE242,52),0)</f>
        <v/>
      </c>
      <c r="BD242">
        <f>IFERROR(INDEX(PP_Grid[#Data],$DE242,53),0)</f>
        <v/>
      </c>
      <c r="BE242">
        <f>IFERROR(INDEX(PP_Grid[#Data],$DE242,54),0)</f>
        <v/>
      </c>
      <c r="BF242">
        <f>IFERROR(INDEX(PP_Grid[#Data],$DE242,55),0)</f>
        <v/>
      </c>
      <c r="BG242">
        <f>IFERROR(INDEX(PP_Grid[#Data],$DE242,56),0)</f>
        <v/>
      </c>
      <c r="BH242">
        <f>IFERROR(INDEX(PP_Grid[#Data],$DE242,57),0)</f>
        <v/>
      </c>
      <c r="BI242">
        <f>IFERROR(INDEX(PP_Grid[#Data],$DE242,58),0)</f>
        <v/>
      </c>
      <c r="BJ242">
        <f>IFERROR(INDEX(PP_Grid[#Data],$DE242,59),0)</f>
        <v/>
      </c>
      <c r="BK242">
        <f>IFERROR(INDEX(PP_Grid[#Data],$DE242,60),0)</f>
        <v/>
      </c>
      <c r="BL242">
        <f>IFERROR(INDEX(PP_Grid[#Data],$DE242,61),0)</f>
        <v/>
      </c>
      <c r="BM242">
        <f>IFERROR(INDEX(PP_Grid[#Data],$DE242,62),0)</f>
        <v/>
      </c>
      <c r="BN242">
        <f>IFERROR(INDEX(PP_Grid[#Data],$DE242,63),0)</f>
        <v/>
      </c>
      <c r="BO242">
        <f>IFERROR(INDEX(PP_Grid[#Data],$DE242,64),0)</f>
        <v/>
      </c>
      <c r="BP242">
        <f>IFERROR(INDEX(PP_Grid[#Data],$DE242,65),0)</f>
        <v/>
      </c>
      <c r="BQ242">
        <f>IFERROR(INDEX(PP_Grid[#Data],$DE242,66),0)</f>
        <v/>
      </c>
      <c r="BR242">
        <f>IFERROR(INDEX(PP_Grid[#Data],$DE242,67),0)</f>
        <v/>
      </c>
      <c r="BS242">
        <f>IFERROR(INDEX(PP_Grid[#Data],$DE242,68),0)</f>
        <v/>
      </c>
      <c r="BT242">
        <f>IFERROR(INDEX(PP_Grid[#Data],$DE242,69),0)</f>
        <v/>
      </c>
      <c r="BU242">
        <f>IFERROR(INDEX(PP_Grid[#Data],$DE242,70),0)</f>
        <v/>
      </c>
      <c r="BV242">
        <f>IFERROR(INDEX(PP_Grid[#Data],$DE242,71),0)</f>
        <v/>
      </c>
      <c r="BW242">
        <f>IFERROR(INDEX(PP_Grid[#Data],$DE242,72),0)</f>
        <v/>
      </c>
      <c r="BX242">
        <f>IFERROR(INDEX(PP_Grid[#Data],$DE242,73),0)</f>
        <v/>
      </c>
      <c r="BY242">
        <f>IFERROR(INDEX(PP_Grid[#Data],$DE242,74),0)</f>
        <v/>
      </c>
      <c r="BZ242">
        <f>IFERROR(INDEX(PP_Grid[#Data],$DE242,75),0)</f>
        <v/>
      </c>
      <c r="CA242">
        <f>IFERROR(INDEX(PP_Grid[#Data],$DE242,76),0)</f>
        <v/>
      </c>
      <c r="CB242">
        <f>IFERROR(INDEX(PP_Grid[#Data],$DE242,77),0)</f>
        <v/>
      </c>
      <c r="CC242">
        <f>IFERROR(INDEX(PP_Grid[#Data],$DE242,78),0)</f>
        <v/>
      </c>
      <c r="CD242">
        <f>IFERROR(INDEX(PP_Grid[#Data],$DE242,79),0)</f>
        <v/>
      </c>
      <c r="CE242">
        <f>IFERROR(INDEX(PP_Grid[#Data],$DE242,80),0)</f>
        <v/>
      </c>
      <c r="CF242">
        <f>IFERROR(INDEX(PP_Grid[#Data],$DE242,81),0)</f>
        <v/>
      </c>
      <c r="CG242">
        <f>IFERROR(INDEX(PP_Grid[#Data],$DE242,82),0)</f>
        <v/>
      </c>
      <c r="CH242">
        <f>IFERROR(INDEX(PP_Grid[#Data],$DE242,83),0)</f>
        <v/>
      </c>
      <c r="CI242">
        <f>IFERROR(INDEX(PP_Grid[#Data],$DE242,84),0)</f>
        <v/>
      </c>
      <c r="CJ242">
        <f>IFERROR(INDEX(PP_Grid[#Data],$DE242,85),0)</f>
        <v/>
      </c>
      <c r="CK242">
        <f>IFERROR(INDEX(PP_Grid[#Data],$DE242,86),0)</f>
        <v/>
      </c>
      <c r="CL242">
        <f>IFERROR(INDEX(PP_Grid[#Data],$DE242,87),0)</f>
        <v/>
      </c>
      <c r="CM242">
        <f>IFERROR(INDEX(PP_Grid[#Data],$DE242,88),0)</f>
        <v/>
      </c>
      <c r="CN242">
        <f>IFERROR(INDEX(PP_Grid[#Data],$DE242,89),0)</f>
        <v/>
      </c>
      <c r="CO242">
        <f>IFERROR(INDEX(PP_Grid[#Data],$DE242,90),0)</f>
        <v/>
      </c>
      <c r="CP242">
        <f>IFERROR(INDEX(PP_Grid[#Data],$DE242,91),0)</f>
        <v/>
      </c>
      <c r="CQ242">
        <f>IFERROR(INDEX(PP_Grid[#Data],$DE242,92),0)</f>
        <v/>
      </c>
      <c r="CR242">
        <f>IFERROR(INDEX(PP_Grid[#Data],$DE242,93),0)</f>
        <v/>
      </c>
      <c r="CS242">
        <f>IFERROR(INDEX(PP_Grid[#Data],$DE242,94),0)</f>
        <v/>
      </c>
      <c r="CT242">
        <f>IFERROR(INDEX(PP_Grid[#Data],$DE242,95),0)</f>
        <v/>
      </c>
      <c r="CU242">
        <f>IFERROR(INDEX(PP_Grid[#Data],$DE242,96),0)</f>
        <v/>
      </c>
      <c r="CV242">
        <f>IFERROR(INDEX(PP_Grid[#Data],$DE242,97),0)</f>
        <v/>
      </c>
      <c r="CW242">
        <f>IFERROR(INDEX(PP_Grid[#Data],$DE242,98),0)</f>
        <v/>
      </c>
      <c r="CX242">
        <f>IFERROR(INDEX(PP_Grid[#Data],$DE242,99),0)</f>
        <v/>
      </c>
      <c r="CY242">
        <f>IFERROR(INDEX(PP_Grid[#Data],$DE242,100),0)</f>
        <v/>
      </c>
      <c r="CZ242">
        <f>IFERROR(INDEX(PP_Grid[#Data],$DE242,101),0)</f>
        <v/>
      </c>
      <c r="DA242">
        <f>IFERROR(INDEX(PP_Grid[#Data],$DE242,102),0)</f>
        <v/>
      </c>
      <c r="DB242">
        <f>IFERROR(INDEX(PP_Grid[#Data],$DE242,103),0)</f>
        <v/>
      </c>
      <c r="DC242">
        <f>IFERROR(INDEX(PP_Grid[#Data],$DE242,104),0)</f>
        <v/>
      </c>
      <c r="DD242">
        <f>IFERROR(INDEX(PP_Grid[#Data],$DE242,105),0)</f>
        <v/>
      </c>
      <c r="DE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SUMIFS(M_BOM[RM_Qty_Per_Batch],M_BOM[Intermediate],$B242,M_BOM[RM_Code],$A199)</f>
        <v/>
      </c>
      <c r="D243">
        <f>IFERROR(INDEX(E243:DD243,$F$1),"")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  <c r="DD243">
        <f>$C243*DD242</f>
        <v/>
      </c>
    </row>
    <row r="244">
      <c r="B244" t="inlineStr">
        <is>
          <t>TSP-623</t>
        </is>
      </c>
      <c r="C244" t="inlineStr">
        <is>
          <t>No. of batches</t>
        </is>
      </c>
      <c r="D244">
        <f>IFERROR(INDEX(E244:DD244,$F$1),"")</f>
        <v/>
      </c>
      <c r="E244">
        <f>IFERROR(INDEX(PP_Grid[#Data],$DE244,2),0)</f>
        <v/>
      </c>
      <c r="F244">
        <f>IFERROR(INDEX(PP_Grid[#Data],$DE244,3),0)</f>
        <v/>
      </c>
      <c r="G244">
        <f>IFERROR(INDEX(PP_Grid[#Data],$DE244,4),0)</f>
        <v/>
      </c>
      <c r="H244">
        <f>IFERROR(INDEX(PP_Grid[#Data],$DE244,5),0)</f>
        <v/>
      </c>
      <c r="I244">
        <f>IFERROR(INDEX(PP_Grid[#Data],$DE244,6),0)</f>
        <v/>
      </c>
      <c r="J244">
        <f>IFERROR(INDEX(PP_Grid[#Data],$DE244,7),0)</f>
        <v/>
      </c>
      <c r="K244">
        <f>IFERROR(INDEX(PP_Grid[#Data],$DE244,8),0)</f>
        <v/>
      </c>
      <c r="L244">
        <f>IFERROR(INDEX(PP_Grid[#Data],$DE244,9),0)</f>
        <v/>
      </c>
      <c r="M244">
        <f>IFERROR(INDEX(PP_Grid[#Data],$DE244,10),0)</f>
        <v/>
      </c>
      <c r="N244">
        <f>IFERROR(INDEX(PP_Grid[#Data],$DE244,11),0)</f>
        <v/>
      </c>
      <c r="O244">
        <f>IFERROR(INDEX(PP_Grid[#Data],$DE244,12),0)</f>
        <v/>
      </c>
      <c r="P244">
        <f>IFERROR(INDEX(PP_Grid[#Data],$DE244,13),0)</f>
        <v/>
      </c>
      <c r="Q244">
        <f>IFERROR(INDEX(PP_Grid[#Data],$DE244,14),0)</f>
        <v/>
      </c>
      <c r="R244">
        <f>IFERROR(INDEX(PP_Grid[#Data],$DE244,15),0)</f>
        <v/>
      </c>
      <c r="S244">
        <f>IFERROR(INDEX(PP_Grid[#Data],$DE244,16),0)</f>
        <v/>
      </c>
      <c r="T244">
        <f>IFERROR(INDEX(PP_Grid[#Data],$DE244,17),0)</f>
        <v/>
      </c>
      <c r="U244">
        <f>IFERROR(INDEX(PP_Grid[#Data],$DE244,18),0)</f>
        <v/>
      </c>
      <c r="V244">
        <f>IFERROR(INDEX(PP_Grid[#Data],$DE244,19),0)</f>
        <v/>
      </c>
      <c r="W244">
        <f>IFERROR(INDEX(PP_Grid[#Data],$DE244,20),0)</f>
        <v/>
      </c>
      <c r="X244">
        <f>IFERROR(INDEX(PP_Grid[#Data],$DE244,21),0)</f>
        <v/>
      </c>
      <c r="Y244">
        <f>IFERROR(INDEX(PP_Grid[#Data],$DE244,22),0)</f>
        <v/>
      </c>
      <c r="Z244">
        <f>IFERROR(INDEX(PP_Grid[#Data],$DE244,23),0)</f>
        <v/>
      </c>
      <c r="AA244">
        <f>IFERROR(INDEX(PP_Grid[#Data],$DE244,24),0)</f>
        <v/>
      </c>
      <c r="AB244">
        <f>IFERROR(INDEX(PP_Grid[#Data],$DE244,25),0)</f>
        <v/>
      </c>
      <c r="AC244">
        <f>IFERROR(INDEX(PP_Grid[#Data],$DE244,26),0)</f>
        <v/>
      </c>
      <c r="AD244">
        <f>IFERROR(INDEX(PP_Grid[#Data],$DE244,27),0)</f>
        <v/>
      </c>
      <c r="AE244">
        <f>IFERROR(INDEX(PP_Grid[#Data],$DE244,28),0)</f>
        <v/>
      </c>
      <c r="AF244">
        <f>IFERROR(INDEX(PP_Grid[#Data],$DE244,29),0)</f>
        <v/>
      </c>
      <c r="AG244">
        <f>IFERROR(INDEX(PP_Grid[#Data],$DE244,30),0)</f>
        <v/>
      </c>
      <c r="AH244">
        <f>IFERROR(INDEX(PP_Grid[#Data],$DE244,31),0)</f>
        <v/>
      </c>
      <c r="AI244">
        <f>IFERROR(INDEX(PP_Grid[#Data],$DE244,32),0)</f>
        <v/>
      </c>
      <c r="AJ244">
        <f>IFERROR(INDEX(PP_Grid[#Data],$DE244,33),0)</f>
        <v/>
      </c>
      <c r="AK244">
        <f>IFERROR(INDEX(PP_Grid[#Data],$DE244,34),0)</f>
        <v/>
      </c>
      <c r="AL244">
        <f>IFERROR(INDEX(PP_Grid[#Data],$DE244,35),0)</f>
        <v/>
      </c>
      <c r="AM244">
        <f>IFERROR(INDEX(PP_Grid[#Data],$DE244,36),0)</f>
        <v/>
      </c>
      <c r="AN244">
        <f>IFERROR(INDEX(PP_Grid[#Data],$DE244,37),0)</f>
        <v/>
      </c>
      <c r="AO244">
        <f>IFERROR(INDEX(PP_Grid[#Data],$DE244,38),0)</f>
        <v/>
      </c>
      <c r="AP244">
        <f>IFERROR(INDEX(PP_Grid[#Data],$DE244,39),0)</f>
        <v/>
      </c>
      <c r="AQ244">
        <f>IFERROR(INDEX(PP_Grid[#Data],$DE244,40),0)</f>
        <v/>
      </c>
      <c r="AR244">
        <f>IFERROR(INDEX(PP_Grid[#Data],$DE244,41),0)</f>
        <v/>
      </c>
      <c r="AS244">
        <f>IFERROR(INDEX(PP_Grid[#Data],$DE244,42),0)</f>
        <v/>
      </c>
      <c r="AT244">
        <f>IFERROR(INDEX(PP_Grid[#Data],$DE244,43),0)</f>
        <v/>
      </c>
      <c r="AU244">
        <f>IFERROR(INDEX(PP_Grid[#Data],$DE244,44),0)</f>
        <v/>
      </c>
      <c r="AV244">
        <f>IFERROR(INDEX(PP_Grid[#Data],$DE244,45),0)</f>
        <v/>
      </c>
      <c r="AW244">
        <f>IFERROR(INDEX(PP_Grid[#Data],$DE244,46),0)</f>
        <v/>
      </c>
      <c r="AX244">
        <f>IFERROR(INDEX(PP_Grid[#Data],$DE244,47),0)</f>
        <v/>
      </c>
      <c r="AY244">
        <f>IFERROR(INDEX(PP_Grid[#Data],$DE244,48),0)</f>
        <v/>
      </c>
      <c r="AZ244">
        <f>IFERROR(INDEX(PP_Grid[#Data],$DE244,49),0)</f>
        <v/>
      </c>
      <c r="BA244">
        <f>IFERROR(INDEX(PP_Grid[#Data],$DE244,50),0)</f>
        <v/>
      </c>
      <c r="BB244">
        <f>IFERROR(INDEX(PP_Grid[#Data],$DE244,51),0)</f>
        <v/>
      </c>
      <c r="BC244">
        <f>IFERROR(INDEX(PP_Grid[#Data],$DE244,52),0)</f>
        <v/>
      </c>
      <c r="BD244">
        <f>IFERROR(INDEX(PP_Grid[#Data],$DE244,53),0)</f>
        <v/>
      </c>
      <c r="BE244">
        <f>IFERROR(INDEX(PP_Grid[#Data],$DE244,54),0)</f>
        <v/>
      </c>
      <c r="BF244">
        <f>IFERROR(INDEX(PP_Grid[#Data],$DE244,55),0)</f>
        <v/>
      </c>
      <c r="BG244">
        <f>IFERROR(INDEX(PP_Grid[#Data],$DE244,56),0)</f>
        <v/>
      </c>
      <c r="BH244">
        <f>IFERROR(INDEX(PP_Grid[#Data],$DE244,57),0)</f>
        <v/>
      </c>
      <c r="BI244">
        <f>IFERROR(INDEX(PP_Grid[#Data],$DE244,58),0)</f>
        <v/>
      </c>
      <c r="BJ244">
        <f>IFERROR(INDEX(PP_Grid[#Data],$DE244,59),0)</f>
        <v/>
      </c>
      <c r="BK244">
        <f>IFERROR(INDEX(PP_Grid[#Data],$DE244,60),0)</f>
        <v/>
      </c>
      <c r="BL244">
        <f>IFERROR(INDEX(PP_Grid[#Data],$DE244,61),0)</f>
        <v/>
      </c>
      <c r="BM244">
        <f>IFERROR(INDEX(PP_Grid[#Data],$DE244,62),0)</f>
        <v/>
      </c>
      <c r="BN244">
        <f>IFERROR(INDEX(PP_Grid[#Data],$DE244,63),0)</f>
        <v/>
      </c>
      <c r="BO244">
        <f>IFERROR(INDEX(PP_Grid[#Data],$DE244,64),0)</f>
        <v/>
      </c>
      <c r="BP244">
        <f>IFERROR(INDEX(PP_Grid[#Data],$DE244,65),0)</f>
        <v/>
      </c>
      <c r="BQ244">
        <f>IFERROR(INDEX(PP_Grid[#Data],$DE244,66),0)</f>
        <v/>
      </c>
      <c r="BR244">
        <f>IFERROR(INDEX(PP_Grid[#Data],$DE244,67),0)</f>
        <v/>
      </c>
      <c r="BS244">
        <f>IFERROR(INDEX(PP_Grid[#Data],$DE244,68),0)</f>
        <v/>
      </c>
      <c r="BT244">
        <f>IFERROR(INDEX(PP_Grid[#Data],$DE244,69),0)</f>
        <v/>
      </c>
      <c r="BU244">
        <f>IFERROR(INDEX(PP_Grid[#Data],$DE244,70),0)</f>
        <v/>
      </c>
      <c r="BV244">
        <f>IFERROR(INDEX(PP_Grid[#Data],$DE244,71),0)</f>
        <v/>
      </c>
      <c r="BW244">
        <f>IFERROR(INDEX(PP_Grid[#Data],$DE244,72),0)</f>
        <v/>
      </c>
      <c r="BX244">
        <f>IFERROR(INDEX(PP_Grid[#Data],$DE244,73),0)</f>
        <v/>
      </c>
      <c r="BY244">
        <f>IFERROR(INDEX(PP_Grid[#Data],$DE244,74),0)</f>
        <v/>
      </c>
      <c r="BZ244">
        <f>IFERROR(INDEX(PP_Grid[#Data],$DE244,75),0)</f>
        <v/>
      </c>
      <c r="CA244">
        <f>IFERROR(INDEX(PP_Grid[#Data],$DE244,76),0)</f>
        <v/>
      </c>
      <c r="CB244">
        <f>IFERROR(INDEX(PP_Grid[#Data],$DE244,77),0)</f>
        <v/>
      </c>
      <c r="CC244">
        <f>IFERROR(INDEX(PP_Grid[#Data],$DE244,78),0)</f>
        <v/>
      </c>
      <c r="CD244">
        <f>IFERROR(INDEX(PP_Grid[#Data],$DE244,79),0)</f>
        <v/>
      </c>
      <c r="CE244">
        <f>IFERROR(INDEX(PP_Grid[#Data],$DE244,80),0)</f>
        <v/>
      </c>
      <c r="CF244">
        <f>IFERROR(INDEX(PP_Grid[#Data],$DE244,81),0)</f>
        <v/>
      </c>
      <c r="CG244">
        <f>IFERROR(INDEX(PP_Grid[#Data],$DE244,82),0)</f>
        <v/>
      </c>
      <c r="CH244">
        <f>IFERROR(INDEX(PP_Grid[#Data],$DE244,83),0)</f>
        <v/>
      </c>
      <c r="CI244">
        <f>IFERROR(INDEX(PP_Grid[#Data],$DE244,84),0)</f>
        <v/>
      </c>
      <c r="CJ244">
        <f>IFERROR(INDEX(PP_Grid[#Data],$DE244,85),0)</f>
        <v/>
      </c>
      <c r="CK244">
        <f>IFERROR(INDEX(PP_Grid[#Data],$DE244,86),0)</f>
        <v/>
      </c>
      <c r="CL244">
        <f>IFERROR(INDEX(PP_Grid[#Data],$DE244,87),0)</f>
        <v/>
      </c>
      <c r="CM244">
        <f>IFERROR(INDEX(PP_Grid[#Data],$DE244,88),0)</f>
        <v/>
      </c>
      <c r="CN244">
        <f>IFERROR(INDEX(PP_Grid[#Data],$DE244,89),0)</f>
        <v/>
      </c>
      <c r="CO244">
        <f>IFERROR(INDEX(PP_Grid[#Data],$DE244,90),0)</f>
        <v/>
      </c>
      <c r="CP244">
        <f>IFERROR(INDEX(PP_Grid[#Data],$DE244,91),0)</f>
        <v/>
      </c>
      <c r="CQ244">
        <f>IFERROR(INDEX(PP_Grid[#Data],$DE244,92),0)</f>
        <v/>
      </c>
      <c r="CR244">
        <f>IFERROR(INDEX(PP_Grid[#Data],$DE244,93),0)</f>
        <v/>
      </c>
      <c r="CS244">
        <f>IFERROR(INDEX(PP_Grid[#Data],$DE244,94),0)</f>
        <v/>
      </c>
      <c r="CT244">
        <f>IFERROR(INDEX(PP_Grid[#Data],$DE244,95),0)</f>
        <v/>
      </c>
      <c r="CU244">
        <f>IFERROR(INDEX(PP_Grid[#Data],$DE244,96),0)</f>
        <v/>
      </c>
      <c r="CV244">
        <f>IFERROR(INDEX(PP_Grid[#Data],$DE244,97),0)</f>
        <v/>
      </c>
      <c r="CW244">
        <f>IFERROR(INDEX(PP_Grid[#Data],$DE244,98),0)</f>
        <v/>
      </c>
      <c r="CX244">
        <f>IFERROR(INDEX(PP_Grid[#Data],$DE244,99),0)</f>
        <v/>
      </c>
      <c r="CY244">
        <f>IFERROR(INDEX(PP_Grid[#Data],$DE244,100),0)</f>
        <v/>
      </c>
      <c r="CZ244">
        <f>IFERROR(INDEX(PP_Grid[#Data],$DE244,101),0)</f>
        <v/>
      </c>
      <c r="DA244">
        <f>IFERROR(INDEX(PP_Grid[#Data],$DE244,102),0)</f>
        <v/>
      </c>
      <c r="DB244">
        <f>IFERROR(INDEX(PP_Grid[#Data],$DE244,103),0)</f>
        <v/>
      </c>
      <c r="DC244">
        <f>IFERROR(INDEX(PP_Grid[#Data],$DE244,104),0)</f>
        <v/>
      </c>
      <c r="DD244">
        <f>IFERROR(INDEX(PP_Grid[#Data],$DE244,105),0)</f>
        <v/>
      </c>
      <c r="DE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SUMIFS(M_BOM[RM_Qty_Per_Batch],M_BOM[Intermediate],$B244,M_BOM[RM_Code],$A199)</f>
        <v/>
      </c>
      <c r="D245">
        <f>IFERROR(INDEX(E245:DD245,$F$1),"")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  <c r="DD245">
        <f>$C245*DD244</f>
        <v/>
      </c>
    </row>
    <row r="246">
      <c r="B246" t="inlineStr">
        <is>
          <t>TSP-655</t>
        </is>
      </c>
      <c r="C246" t="inlineStr">
        <is>
          <t>No. of batches</t>
        </is>
      </c>
      <c r="D246">
        <f>IFERROR(INDEX(E246:DD246,$F$1),"")</f>
        <v/>
      </c>
      <c r="E246">
        <f>IFERROR(INDEX(PP_Grid[#Data],$DE246,2),0)</f>
        <v/>
      </c>
      <c r="F246">
        <f>IFERROR(INDEX(PP_Grid[#Data],$DE246,3),0)</f>
        <v/>
      </c>
      <c r="G246">
        <f>IFERROR(INDEX(PP_Grid[#Data],$DE246,4),0)</f>
        <v/>
      </c>
      <c r="H246">
        <f>IFERROR(INDEX(PP_Grid[#Data],$DE246,5),0)</f>
        <v/>
      </c>
      <c r="I246">
        <f>IFERROR(INDEX(PP_Grid[#Data],$DE246,6),0)</f>
        <v/>
      </c>
      <c r="J246">
        <f>IFERROR(INDEX(PP_Grid[#Data],$DE246,7),0)</f>
        <v/>
      </c>
      <c r="K246">
        <f>IFERROR(INDEX(PP_Grid[#Data],$DE246,8),0)</f>
        <v/>
      </c>
      <c r="L246">
        <f>IFERROR(INDEX(PP_Grid[#Data],$DE246,9),0)</f>
        <v/>
      </c>
      <c r="M246">
        <f>IFERROR(INDEX(PP_Grid[#Data],$DE246,10),0)</f>
        <v/>
      </c>
      <c r="N246">
        <f>IFERROR(INDEX(PP_Grid[#Data],$DE246,11),0)</f>
        <v/>
      </c>
      <c r="O246">
        <f>IFERROR(INDEX(PP_Grid[#Data],$DE246,12),0)</f>
        <v/>
      </c>
      <c r="P246">
        <f>IFERROR(INDEX(PP_Grid[#Data],$DE246,13),0)</f>
        <v/>
      </c>
      <c r="Q246">
        <f>IFERROR(INDEX(PP_Grid[#Data],$DE246,14),0)</f>
        <v/>
      </c>
      <c r="R246">
        <f>IFERROR(INDEX(PP_Grid[#Data],$DE246,15),0)</f>
        <v/>
      </c>
      <c r="S246">
        <f>IFERROR(INDEX(PP_Grid[#Data],$DE246,16),0)</f>
        <v/>
      </c>
      <c r="T246">
        <f>IFERROR(INDEX(PP_Grid[#Data],$DE246,17),0)</f>
        <v/>
      </c>
      <c r="U246">
        <f>IFERROR(INDEX(PP_Grid[#Data],$DE246,18),0)</f>
        <v/>
      </c>
      <c r="V246">
        <f>IFERROR(INDEX(PP_Grid[#Data],$DE246,19),0)</f>
        <v/>
      </c>
      <c r="W246">
        <f>IFERROR(INDEX(PP_Grid[#Data],$DE246,20),0)</f>
        <v/>
      </c>
      <c r="X246">
        <f>IFERROR(INDEX(PP_Grid[#Data],$DE246,21),0)</f>
        <v/>
      </c>
      <c r="Y246">
        <f>IFERROR(INDEX(PP_Grid[#Data],$DE246,22),0)</f>
        <v/>
      </c>
      <c r="Z246">
        <f>IFERROR(INDEX(PP_Grid[#Data],$DE246,23),0)</f>
        <v/>
      </c>
      <c r="AA246">
        <f>IFERROR(INDEX(PP_Grid[#Data],$DE246,24),0)</f>
        <v/>
      </c>
      <c r="AB246">
        <f>IFERROR(INDEX(PP_Grid[#Data],$DE246,25),0)</f>
        <v/>
      </c>
      <c r="AC246">
        <f>IFERROR(INDEX(PP_Grid[#Data],$DE246,26),0)</f>
        <v/>
      </c>
      <c r="AD246">
        <f>IFERROR(INDEX(PP_Grid[#Data],$DE246,27),0)</f>
        <v/>
      </c>
      <c r="AE246">
        <f>IFERROR(INDEX(PP_Grid[#Data],$DE246,28),0)</f>
        <v/>
      </c>
      <c r="AF246">
        <f>IFERROR(INDEX(PP_Grid[#Data],$DE246,29),0)</f>
        <v/>
      </c>
      <c r="AG246">
        <f>IFERROR(INDEX(PP_Grid[#Data],$DE246,30),0)</f>
        <v/>
      </c>
      <c r="AH246">
        <f>IFERROR(INDEX(PP_Grid[#Data],$DE246,31),0)</f>
        <v/>
      </c>
      <c r="AI246">
        <f>IFERROR(INDEX(PP_Grid[#Data],$DE246,32),0)</f>
        <v/>
      </c>
      <c r="AJ246">
        <f>IFERROR(INDEX(PP_Grid[#Data],$DE246,33),0)</f>
        <v/>
      </c>
      <c r="AK246">
        <f>IFERROR(INDEX(PP_Grid[#Data],$DE246,34),0)</f>
        <v/>
      </c>
      <c r="AL246">
        <f>IFERROR(INDEX(PP_Grid[#Data],$DE246,35),0)</f>
        <v/>
      </c>
      <c r="AM246">
        <f>IFERROR(INDEX(PP_Grid[#Data],$DE246,36),0)</f>
        <v/>
      </c>
      <c r="AN246">
        <f>IFERROR(INDEX(PP_Grid[#Data],$DE246,37),0)</f>
        <v/>
      </c>
      <c r="AO246">
        <f>IFERROR(INDEX(PP_Grid[#Data],$DE246,38),0)</f>
        <v/>
      </c>
      <c r="AP246">
        <f>IFERROR(INDEX(PP_Grid[#Data],$DE246,39),0)</f>
        <v/>
      </c>
      <c r="AQ246">
        <f>IFERROR(INDEX(PP_Grid[#Data],$DE246,40),0)</f>
        <v/>
      </c>
      <c r="AR246">
        <f>IFERROR(INDEX(PP_Grid[#Data],$DE246,41),0)</f>
        <v/>
      </c>
      <c r="AS246">
        <f>IFERROR(INDEX(PP_Grid[#Data],$DE246,42),0)</f>
        <v/>
      </c>
      <c r="AT246">
        <f>IFERROR(INDEX(PP_Grid[#Data],$DE246,43),0)</f>
        <v/>
      </c>
      <c r="AU246">
        <f>IFERROR(INDEX(PP_Grid[#Data],$DE246,44),0)</f>
        <v/>
      </c>
      <c r="AV246">
        <f>IFERROR(INDEX(PP_Grid[#Data],$DE246,45),0)</f>
        <v/>
      </c>
      <c r="AW246">
        <f>IFERROR(INDEX(PP_Grid[#Data],$DE246,46),0)</f>
        <v/>
      </c>
      <c r="AX246">
        <f>IFERROR(INDEX(PP_Grid[#Data],$DE246,47),0)</f>
        <v/>
      </c>
      <c r="AY246">
        <f>IFERROR(INDEX(PP_Grid[#Data],$DE246,48),0)</f>
        <v/>
      </c>
      <c r="AZ246">
        <f>IFERROR(INDEX(PP_Grid[#Data],$DE246,49),0)</f>
        <v/>
      </c>
      <c r="BA246">
        <f>IFERROR(INDEX(PP_Grid[#Data],$DE246,50),0)</f>
        <v/>
      </c>
      <c r="BB246">
        <f>IFERROR(INDEX(PP_Grid[#Data],$DE246,51),0)</f>
        <v/>
      </c>
      <c r="BC246">
        <f>IFERROR(INDEX(PP_Grid[#Data],$DE246,52),0)</f>
        <v/>
      </c>
      <c r="BD246">
        <f>IFERROR(INDEX(PP_Grid[#Data],$DE246,53),0)</f>
        <v/>
      </c>
      <c r="BE246">
        <f>IFERROR(INDEX(PP_Grid[#Data],$DE246,54),0)</f>
        <v/>
      </c>
      <c r="BF246">
        <f>IFERROR(INDEX(PP_Grid[#Data],$DE246,55),0)</f>
        <v/>
      </c>
      <c r="BG246">
        <f>IFERROR(INDEX(PP_Grid[#Data],$DE246,56),0)</f>
        <v/>
      </c>
      <c r="BH246">
        <f>IFERROR(INDEX(PP_Grid[#Data],$DE246,57),0)</f>
        <v/>
      </c>
      <c r="BI246">
        <f>IFERROR(INDEX(PP_Grid[#Data],$DE246,58),0)</f>
        <v/>
      </c>
      <c r="BJ246">
        <f>IFERROR(INDEX(PP_Grid[#Data],$DE246,59),0)</f>
        <v/>
      </c>
      <c r="BK246">
        <f>IFERROR(INDEX(PP_Grid[#Data],$DE246,60),0)</f>
        <v/>
      </c>
      <c r="BL246">
        <f>IFERROR(INDEX(PP_Grid[#Data],$DE246,61),0)</f>
        <v/>
      </c>
      <c r="BM246">
        <f>IFERROR(INDEX(PP_Grid[#Data],$DE246,62),0)</f>
        <v/>
      </c>
      <c r="BN246">
        <f>IFERROR(INDEX(PP_Grid[#Data],$DE246,63),0)</f>
        <v/>
      </c>
      <c r="BO246">
        <f>IFERROR(INDEX(PP_Grid[#Data],$DE246,64),0)</f>
        <v/>
      </c>
      <c r="BP246">
        <f>IFERROR(INDEX(PP_Grid[#Data],$DE246,65),0)</f>
        <v/>
      </c>
      <c r="BQ246">
        <f>IFERROR(INDEX(PP_Grid[#Data],$DE246,66),0)</f>
        <v/>
      </c>
      <c r="BR246">
        <f>IFERROR(INDEX(PP_Grid[#Data],$DE246,67),0)</f>
        <v/>
      </c>
      <c r="BS246">
        <f>IFERROR(INDEX(PP_Grid[#Data],$DE246,68),0)</f>
        <v/>
      </c>
      <c r="BT246">
        <f>IFERROR(INDEX(PP_Grid[#Data],$DE246,69),0)</f>
        <v/>
      </c>
      <c r="BU246">
        <f>IFERROR(INDEX(PP_Grid[#Data],$DE246,70),0)</f>
        <v/>
      </c>
      <c r="BV246">
        <f>IFERROR(INDEX(PP_Grid[#Data],$DE246,71),0)</f>
        <v/>
      </c>
      <c r="BW246">
        <f>IFERROR(INDEX(PP_Grid[#Data],$DE246,72),0)</f>
        <v/>
      </c>
      <c r="BX246">
        <f>IFERROR(INDEX(PP_Grid[#Data],$DE246,73),0)</f>
        <v/>
      </c>
      <c r="BY246">
        <f>IFERROR(INDEX(PP_Grid[#Data],$DE246,74),0)</f>
        <v/>
      </c>
      <c r="BZ246">
        <f>IFERROR(INDEX(PP_Grid[#Data],$DE246,75),0)</f>
        <v/>
      </c>
      <c r="CA246">
        <f>IFERROR(INDEX(PP_Grid[#Data],$DE246,76),0)</f>
        <v/>
      </c>
      <c r="CB246">
        <f>IFERROR(INDEX(PP_Grid[#Data],$DE246,77),0)</f>
        <v/>
      </c>
      <c r="CC246">
        <f>IFERROR(INDEX(PP_Grid[#Data],$DE246,78),0)</f>
        <v/>
      </c>
      <c r="CD246">
        <f>IFERROR(INDEX(PP_Grid[#Data],$DE246,79),0)</f>
        <v/>
      </c>
      <c r="CE246">
        <f>IFERROR(INDEX(PP_Grid[#Data],$DE246,80),0)</f>
        <v/>
      </c>
      <c r="CF246">
        <f>IFERROR(INDEX(PP_Grid[#Data],$DE246,81),0)</f>
        <v/>
      </c>
      <c r="CG246">
        <f>IFERROR(INDEX(PP_Grid[#Data],$DE246,82),0)</f>
        <v/>
      </c>
      <c r="CH246">
        <f>IFERROR(INDEX(PP_Grid[#Data],$DE246,83),0)</f>
        <v/>
      </c>
      <c r="CI246">
        <f>IFERROR(INDEX(PP_Grid[#Data],$DE246,84),0)</f>
        <v/>
      </c>
      <c r="CJ246">
        <f>IFERROR(INDEX(PP_Grid[#Data],$DE246,85),0)</f>
        <v/>
      </c>
      <c r="CK246">
        <f>IFERROR(INDEX(PP_Grid[#Data],$DE246,86),0)</f>
        <v/>
      </c>
      <c r="CL246">
        <f>IFERROR(INDEX(PP_Grid[#Data],$DE246,87),0)</f>
        <v/>
      </c>
      <c r="CM246">
        <f>IFERROR(INDEX(PP_Grid[#Data],$DE246,88),0)</f>
        <v/>
      </c>
      <c r="CN246">
        <f>IFERROR(INDEX(PP_Grid[#Data],$DE246,89),0)</f>
        <v/>
      </c>
      <c r="CO246">
        <f>IFERROR(INDEX(PP_Grid[#Data],$DE246,90),0)</f>
        <v/>
      </c>
      <c r="CP246">
        <f>IFERROR(INDEX(PP_Grid[#Data],$DE246,91),0)</f>
        <v/>
      </c>
      <c r="CQ246">
        <f>IFERROR(INDEX(PP_Grid[#Data],$DE246,92),0)</f>
        <v/>
      </c>
      <c r="CR246">
        <f>IFERROR(INDEX(PP_Grid[#Data],$DE246,93),0)</f>
        <v/>
      </c>
      <c r="CS246">
        <f>IFERROR(INDEX(PP_Grid[#Data],$DE246,94),0)</f>
        <v/>
      </c>
      <c r="CT246">
        <f>IFERROR(INDEX(PP_Grid[#Data],$DE246,95),0)</f>
        <v/>
      </c>
      <c r="CU246">
        <f>IFERROR(INDEX(PP_Grid[#Data],$DE246,96),0)</f>
        <v/>
      </c>
      <c r="CV246">
        <f>IFERROR(INDEX(PP_Grid[#Data],$DE246,97),0)</f>
        <v/>
      </c>
      <c r="CW246">
        <f>IFERROR(INDEX(PP_Grid[#Data],$DE246,98),0)</f>
        <v/>
      </c>
      <c r="CX246">
        <f>IFERROR(INDEX(PP_Grid[#Data],$DE246,99),0)</f>
        <v/>
      </c>
      <c r="CY246">
        <f>IFERROR(INDEX(PP_Grid[#Data],$DE246,100),0)</f>
        <v/>
      </c>
      <c r="CZ246">
        <f>IFERROR(INDEX(PP_Grid[#Data],$DE246,101),0)</f>
        <v/>
      </c>
      <c r="DA246">
        <f>IFERROR(INDEX(PP_Grid[#Data],$DE246,102),0)</f>
        <v/>
      </c>
      <c r="DB246">
        <f>IFERROR(INDEX(PP_Grid[#Data],$DE246,103),0)</f>
        <v/>
      </c>
      <c r="DC246">
        <f>IFERROR(INDEX(PP_Grid[#Data],$DE246,104),0)</f>
        <v/>
      </c>
      <c r="DD246">
        <f>IFERROR(INDEX(PP_Grid[#Data],$DE246,105),0)</f>
        <v/>
      </c>
      <c r="DE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SUMIFS(M_BOM[RM_Qty_Per_Batch],M_BOM[Intermediate],$B246,M_BOM[RM_Code],$A199)</f>
        <v/>
      </c>
      <c r="D247">
        <f>IFERROR(INDEX(E247:DD247,$F$1),"")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  <c r="DD247">
        <f>$C247*DD246</f>
        <v/>
      </c>
    </row>
    <row r="248">
      <c r="B248" t="inlineStr">
        <is>
          <t>TSP-656</t>
        </is>
      </c>
      <c r="C248" t="inlineStr">
        <is>
          <t>No. of batches</t>
        </is>
      </c>
      <c r="D248">
        <f>IFERROR(INDEX(E248:DD248,$F$1),"")</f>
        <v/>
      </c>
      <c r="E248">
        <f>IFERROR(INDEX(PP_Grid[#Data],$DE248,2),0)</f>
        <v/>
      </c>
      <c r="F248">
        <f>IFERROR(INDEX(PP_Grid[#Data],$DE248,3),0)</f>
        <v/>
      </c>
      <c r="G248">
        <f>IFERROR(INDEX(PP_Grid[#Data],$DE248,4),0)</f>
        <v/>
      </c>
      <c r="H248">
        <f>IFERROR(INDEX(PP_Grid[#Data],$DE248,5),0)</f>
        <v/>
      </c>
      <c r="I248">
        <f>IFERROR(INDEX(PP_Grid[#Data],$DE248,6),0)</f>
        <v/>
      </c>
      <c r="J248">
        <f>IFERROR(INDEX(PP_Grid[#Data],$DE248,7),0)</f>
        <v/>
      </c>
      <c r="K248">
        <f>IFERROR(INDEX(PP_Grid[#Data],$DE248,8),0)</f>
        <v/>
      </c>
      <c r="L248">
        <f>IFERROR(INDEX(PP_Grid[#Data],$DE248,9),0)</f>
        <v/>
      </c>
      <c r="M248">
        <f>IFERROR(INDEX(PP_Grid[#Data],$DE248,10),0)</f>
        <v/>
      </c>
      <c r="N248">
        <f>IFERROR(INDEX(PP_Grid[#Data],$DE248,11),0)</f>
        <v/>
      </c>
      <c r="O248">
        <f>IFERROR(INDEX(PP_Grid[#Data],$DE248,12),0)</f>
        <v/>
      </c>
      <c r="P248">
        <f>IFERROR(INDEX(PP_Grid[#Data],$DE248,13),0)</f>
        <v/>
      </c>
      <c r="Q248">
        <f>IFERROR(INDEX(PP_Grid[#Data],$DE248,14),0)</f>
        <v/>
      </c>
      <c r="R248">
        <f>IFERROR(INDEX(PP_Grid[#Data],$DE248,15),0)</f>
        <v/>
      </c>
      <c r="S248">
        <f>IFERROR(INDEX(PP_Grid[#Data],$DE248,16),0)</f>
        <v/>
      </c>
      <c r="T248">
        <f>IFERROR(INDEX(PP_Grid[#Data],$DE248,17),0)</f>
        <v/>
      </c>
      <c r="U248">
        <f>IFERROR(INDEX(PP_Grid[#Data],$DE248,18),0)</f>
        <v/>
      </c>
      <c r="V248">
        <f>IFERROR(INDEX(PP_Grid[#Data],$DE248,19),0)</f>
        <v/>
      </c>
      <c r="W248">
        <f>IFERROR(INDEX(PP_Grid[#Data],$DE248,20),0)</f>
        <v/>
      </c>
      <c r="X248">
        <f>IFERROR(INDEX(PP_Grid[#Data],$DE248,21),0)</f>
        <v/>
      </c>
      <c r="Y248">
        <f>IFERROR(INDEX(PP_Grid[#Data],$DE248,22),0)</f>
        <v/>
      </c>
      <c r="Z248">
        <f>IFERROR(INDEX(PP_Grid[#Data],$DE248,23),0)</f>
        <v/>
      </c>
      <c r="AA248">
        <f>IFERROR(INDEX(PP_Grid[#Data],$DE248,24),0)</f>
        <v/>
      </c>
      <c r="AB248">
        <f>IFERROR(INDEX(PP_Grid[#Data],$DE248,25),0)</f>
        <v/>
      </c>
      <c r="AC248">
        <f>IFERROR(INDEX(PP_Grid[#Data],$DE248,26),0)</f>
        <v/>
      </c>
      <c r="AD248">
        <f>IFERROR(INDEX(PP_Grid[#Data],$DE248,27),0)</f>
        <v/>
      </c>
      <c r="AE248">
        <f>IFERROR(INDEX(PP_Grid[#Data],$DE248,28),0)</f>
        <v/>
      </c>
      <c r="AF248">
        <f>IFERROR(INDEX(PP_Grid[#Data],$DE248,29),0)</f>
        <v/>
      </c>
      <c r="AG248">
        <f>IFERROR(INDEX(PP_Grid[#Data],$DE248,30),0)</f>
        <v/>
      </c>
      <c r="AH248">
        <f>IFERROR(INDEX(PP_Grid[#Data],$DE248,31),0)</f>
        <v/>
      </c>
      <c r="AI248">
        <f>IFERROR(INDEX(PP_Grid[#Data],$DE248,32),0)</f>
        <v/>
      </c>
      <c r="AJ248">
        <f>IFERROR(INDEX(PP_Grid[#Data],$DE248,33),0)</f>
        <v/>
      </c>
      <c r="AK248">
        <f>IFERROR(INDEX(PP_Grid[#Data],$DE248,34),0)</f>
        <v/>
      </c>
      <c r="AL248">
        <f>IFERROR(INDEX(PP_Grid[#Data],$DE248,35),0)</f>
        <v/>
      </c>
      <c r="AM248">
        <f>IFERROR(INDEX(PP_Grid[#Data],$DE248,36),0)</f>
        <v/>
      </c>
      <c r="AN248">
        <f>IFERROR(INDEX(PP_Grid[#Data],$DE248,37),0)</f>
        <v/>
      </c>
      <c r="AO248">
        <f>IFERROR(INDEX(PP_Grid[#Data],$DE248,38),0)</f>
        <v/>
      </c>
      <c r="AP248">
        <f>IFERROR(INDEX(PP_Grid[#Data],$DE248,39),0)</f>
        <v/>
      </c>
      <c r="AQ248">
        <f>IFERROR(INDEX(PP_Grid[#Data],$DE248,40),0)</f>
        <v/>
      </c>
      <c r="AR248">
        <f>IFERROR(INDEX(PP_Grid[#Data],$DE248,41),0)</f>
        <v/>
      </c>
      <c r="AS248">
        <f>IFERROR(INDEX(PP_Grid[#Data],$DE248,42),0)</f>
        <v/>
      </c>
      <c r="AT248">
        <f>IFERROR(INDEX(PP_Grid[#Data],$DE248,43),0)</f>
        <v/>
      </c>
      <c r="AU248">
        <f>IFERROR(INDEX(PP_Grid[#Data],$DE248,44),0)</f>
        <v/>
      </c>
      <c r="AV248">
        <f>IFERROR(INDEX(PP_Grid[#Data],$DE248,45),0)</f>
        <v/>
      </c>
      <c r="AW248">
        <f>IFERROR(INDEX(PP_Grid[#Data],$DE248,46),0)</f>
        <v/>
      </c>
      <c r="AX248">
        <f>IFERROR(INDEX(PP_Grid[#Data],$DE248,47),0)</f>
        <v/>
      </c>
      <c r="AY248">
        <f>IFERROR(INDEX(PP_Grid[#Data],$DE248,48),0)</f>
        <v/>
      </c>
      <c r="AZ248">
        <f>IFERROR(INDEX(PP_Grid[#Data],$DE248,49),0)</f>
        <v/>
      </c>
      <c r="BA248">
        <f>IFERROR(INDEX(PP_Grid[#Data],$DE248,50),0)</f>
        <v/>
      </c>
      <c r="BB248">
        <f>IFERROR(INDEX(PP_Grid[#Data],$DE248,51),0)</f>
        <v/>
      </c>
      <c r="BC248">
        <f>IFERROR(INDEX(PP_Grid[#Data],$DE248,52),0)</f>
        <v/>
      </c>
      <c r="BD248">
        <f>IFERROR(INDEX(PP_Grid[#Data],$DE248,53),0)</f>
        <v/>
      </c>
      <c r="BE248">
        <f>IFERROR(INDEX(PP_Grid[#Data],$DE248,54),0)</f>
        <v/>
      </c>
      <c r="BF248">
        <f>IFERROR(INDEX(PP_Grid[#Data],$DE248,55),0)</f>
        <v/>
      </c>
      <c r="BG248">
        <f>IFERROR(INDEX(PP_Grid[#Data],$DE248,56),0)</f>
        <v/>
      </c>
      <c r="BH248">
        <f>IFERROR(INDEX(PP_Grid[#Data],$DE248,57),0)</f>
        <v/>
      </c>
      <c r="BI248">
        <f>IFERROR(INDEX(PP_Grid[#Data],$DE248,58),0)</f>
        <v/>
      </c>
      <c r="BJ248">
        <f>IFERROR(INDEX(PP_Grid[#Data],$DE248,59),0)</f>
        <v/>
      </c>
      <c r="BK248">
        <f>IFERROR(INDEX(PP_Grid[#Data],$DE248,60),0)</f>
        <v/>
      </c>
      <c r="BL248">
        <f>IFERROR(INDEX(PP_Grid[#Data],$DE248,61),0)</f>
        <v/>
      </c>
      <c r="BM248">
        <f>IFERROR(INDEX(PP_Grid[#Data],$DE248,62),0)</f>
        <v/>
      </c>
      <c r="BN248">
        <f>IFERROR(INDEX(PP_Grid[#Data],$DE248,63),0)</f>
        <v/>
      </c>
      <c r="BO248">
        <f>IFERROR(INDEX(PP_Grid[#Data],$DE248,64),0)</f>
        <v/>
      </c>
      <c r="BP248">
        <f>IFERROR(INDEX(PP_Grid[#Data],$DE248,65),0)</f>
        <v/>
      </c>
      <c r="BQ248">
        <f>IFERROR(INDEX(PP_Grid[#Data],$DE248,66),0)</f>
        <v/>
      </c>
      <c r="BR248">
        <f>IFERROR(INDEX(PP_Grid[#Data],$DE248,67),0)</f>
        <v/>
      </c>
      <c r="BS248">
        <f>IFERROR(INDEX(PP_Grid[#Data],$DE248,68),0)</f>
        <v/>
      </c>
      <c r="BT248">
        <f>IFERROR(INDEX(PP_Grid[#Data],$DE248,69),0)</f>
        <v/>
      </c>
      <c r="BU248">
        <f>IFERROR(INDEX(PP_Grid[#Data],$DE248,70),0)</f>
        <v/>
      </c>
      <c r="BV248">
        <f>IFERROR(INDEX(PP_Grid[#Data],$DE248,71),0)</f>
        <v/>
      </c>
      <c r="BW248">
        <f>IFERROR(INDEX(PP_Grid[#Data],$DE248,72),0)</f>
        <v/>
      </c>
      <c r="BX248">
        <f>IFERROR(INDEX(PP_Grid[#Data],$DE248,73),0)</f>
        <v/>
      </c>
      <c r="BY248">
        <f>IFERROR(INDEX(PP_Grid[#Data],$DE248,74),0)</f>
        <v/>
      </c>
      <c r="BZ248">
        <f>IFERROR(INDEX(PP_Grid[#Data],$DE248,75),0)</f>
        <v/>
      </c>
      <c r="CA248">
        <f>IFERROR(INDEX(PP_Grid[#Data],$DE248,76),0)</f>
        <v/>
      </c>
      <c r="CB248">
        <f>IFERROR(INDEX(PP_Grid[#Data],$DE248,77),0)</f>
        <v/>
      </c>
      <c r="CC248">
        <f>IFERROR(INDEX(PP_Grid[#Data],$DE248,78),0)</f>
        <v/>
      </c>
      <c r="CD248">
        <f>IFERROR(INDEX(PP_Grid[#Data],$DE248,79),0)</f>
        <v/>
      </c>
      <c r="CE248">
        <f>IFERROR(INDEX(PP_Grid[#Data],$DE248,80),0)</f>
        <v/>
      </c>
      <c r="CF248">
        <f>IFERROR(INDEX(PP_Grid[#Data],$DE248,81),0)</f>
        <v/>
      </c>
      <c r="CG248">
        <f>IFERROR(INDEX(PP_Grid[#Data],$DE248,82),0)</f>
        <v/>
      </c>
      <c r="CH248">
        <f>IFERROR(INDEX(PP_Grid[#Data],$DE248,83),0)</f>
        <v/>
      </c>
      <c r="CI248">
        <f>IFERROR(INDEX(PP_Grid[#Data],$DE248,84),0)</f>
        <v/>
      </c>
      <c r="CJ248">
        <f>IFERROR(INDEX(PP_Grid[#Data],$DE248,85),0)</f>
        <v/>
      </c>
      <c r="CK248">
        <f>IFERROR(INDEX(PP_Grid[#Data],$DE248,86),0)</f>
        <v/>
      </c>
      <c r="CL248">
        <f>IFERROR(INDEX(PP_Grid[#Data],$DE248,87),0)</f>
        <v/>
      </c>
      <c r="CM248">
        <f>IFERROR(INDEX(PP_Grid[#Data],$DE248,88),0)</f>
        <v/>
      </c>
      <c r="CN248">
        <f>IFERROR(INDEX(PP_Grid[#Data],$DE248,89),0)</f>
        <v/>
      </c>
      <c r="CO248">
        <f>IFERROR(INDEX(PP_Grid[#Data],$DE248,90),0)</f>
        <v/>
      </c>
      <c r="CP248">
        <f>IFERROR(INDEX(PP_Grid[#Data],$DE248,91),0)</f>
        <v/>
      </c>
      <c r="CQ248">
        <f>IFERROR(INDEX(PP_Grid[#Data],$DE248,92),0)</f>
        <v/>
      </c>
      <c r="CR248">
        <f>IFERROR(INDEX(PP_Grid[#Data],$DE248,93),0)</f>
        <v/>
      </c>
      <c r="CS248">
        <f>IFERROR(INDEX(PP_Grid[#Data],$DE248,94),0)</f>
        <v/>
      </c>
      <c r="CT248">
        <f>IFERROR(INDEX(PP_Grid[#Data],$DE248,95),0)</f>
        <v/>
      </c>
      <c r="CU248">
        <f>IFERROR(INDEX(PP_Grid[#Data],$DE248,96),0)</f>
        <v/>
      </c>
      <c r="CV248">
        <f>IFERROR(INDEX(PP_Grid[#Data],$DE248,97),0)</f>
        <v/>
      </c>
      <c r="CW248">
        <f>IFERROR(INDEX(PP_Grid[#Data],$DE248,98),0)</f>
        <v/>
      </c>
      <c r="CX248">
        <f>IFERROR(INDEX(PP_Grid[#Data],$DE248,99),0)</f>
        <v/>
      </c>
      <c r="CY248">
        <f>IFERROR(INDEX(PP_Grid[#Data],$DE248,100),0)</f>
        <v/>
      </c>
      <c r="CZ248">
        <f>IFERROR(INDEX(PP_Grid[#Data],$DE248,101),0)</f>
        <v/>
      </c>
      <c r="DA248">
        <f>IFERROR(INDEX(PP_Grid[#Data],$DE248,102),0)</f>
        <v/>
      </c>
      <c r="DB248">
        <f>IFERROR(INDEX(PP_Grid[#Data],$DE248,103),0)</f>
        <v/>
      </c>
      <c r="DC248">
        <f>IFERROR(INDEX(PP_Grid[#Data],$DE248,104),0)</f>
        <v/>
      </c>
      <c r="DD248">
        <f>IFERROR(INDEX(PP_Grid[#Data],$DE248,105),0)</f>
        <v/>
      </c>
      <c r="DE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SUMIFS(M_BOM[RM_Qty_Per_Batch],M_BOM[Intermediate],$B248,M_BOM[RM_Code],$A199)</f>
        <v/>
      </c>
      <c r="D249">
        <f>IFERROR(INDEX(E249:DD249,$F$1),"")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  <c r="DD249">
        <f>$C249*DD248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IFERROR(INDEX(E250:DD250,$F$1),"")</f>
        <v/>
      </c>
      <c r="E250">
        <f>IFERROR(INDEX(PP_Grid[#Data],$DE250,2),0)</f>
        <v/>
      </c>
      <c r="F250">
        <f>IFERROR(INDEX(PP_Grid[#Data],$DE250,3),0)</f>
        <v/>
      </c>
      <c r="G250">
        <f>IFERROR(INDEX(PP_Grid[#Data],$DE250,4),0)</f>
        <v/>
      </c>
      <c r="H250">
        <f>IFERROR(INDEX(PP_Grid[#Data],$DE250,5),0)</f>
        <v/>
      </c>
      <c r="I250">
        <f>IFERROR(INDEX(PP_Grid[#Data],$DE250,6),0)</f>
        <v/>
      </c>
      <c r="J250">
        <f>IFERROR(INDEX(PP_Grid[#Data],$DE250,7),0)</f>
        <v/>
      </c>
      <c r="K250">
        <f>IFERROR(INDEX(PP_Grid[#Data],$DE250,8),0)</f>
        <v/>
      </c>
      <c r="L250">
        <f>IFERROR(INDEX(PP_Grid[#Data],$DE250,9),0)</f>
        <v/>
      </c>
      <c r="M250">
        <f>IFERROR(INDEX(PP_Grid[#Data],$DE250,10),0)</f>
        <v/>
      </c>
      <c r="N250">
        <f>IFERROR(INDEX(PP_Grid[#Data],$DE250,11),0)</f>
        <v/>
      </c>
      <c r="O250">
        <f>IFERROR(INDEX(PP_Grid[#Data],$DE250,12),0)</f>
        <v/>
      </c>
      <c r="P250">
        <f>IFERROR(INDEX(PP_Grid[#Data],$DE250,13),0)</f>
        <v/>
      </c>
      <c r="Q250">
        <f>IFERROR(INDEX(PP_Grid[#Data],$DE250,14),0)</f>
        <v/>
      </c>
      <c r="R250">
        <f>IFERROR(INDEX(PP_Grid[#Data],$DE250,15),0)</f>
        <v/>
      </c>
      <c r="S250">
        <f>IFERROR(INDEX(PP_Grid[#Data],$DE250,16),0)</f>
        <v/>
      </c>
      <c r="T250">
        <f>IFERROR(INDEX(PP_Grid[#Data],$DE250,17),0)</f>
        <v/>
      </c>
      <c r="U250">
        <f>IFERROR(INDEX(PP_Grid[#Data],$DE250,18),0)</f>
        <v/>
      </c>
      <c r="V250">
        <f>IFERROR(INDEX(PP_Grid[#Data],$DE250,19),0)</f>
        <v/>
      </c>
      <c r="W250">
        <f>IFERROR(INDEX(PP_Grid[#Data],$DE250,20),0)</f>
        <v/>
      </c>
      <c r="X250">
        <f>IFERROR(INDEX(PP_Grid[#Data],$DE250,21),0)</f>
        <v/>
      </c>
      <c r="Y250">
        <f>IFERROR(INDEX(PP_Grid[#Data],$DE250,22),0)</f>
        <v/>
      </c>
      <c r="Z250">
        <f>IFERROR(INDEX(PP_Grid[#Data],$DE250,23),0)</f>
        <v/>
      </c>
      <c r="AA250">
        <f>IFERROR(INDEX(PP_Grid[#Data],$DE250,24),0)</f>
        <v/>
      </c>
      <c r="AB250">
        <f>IFERROR(INDEX(PP_Grid[#Data],$DE250,25),0)</f>
        <v/>
      </c>
      <c r="AC250">
        <f>IFERROR(INDEX(PP_Grid[#Data],$DE250,26),0)</f>
        <v/>
      </c>
      <c r="AD250">
        <f>IFERROR(INDEX(PP_Grid[#Data],$DE250,27),0)</f>
        <v/>
      </c>
      <c r="AE250">
        <f>IFERROR(INDEX(PP_Grid[#Data],$DE250,28),0)</f>
        <v/>
      </c>
      <c r="AF250">
        <f>IFERROR(INDEX(PP_Grid[#Data],$DE250,29),0)</f>
        <v/>
      </c>
      <c r="AG250">
        <f>IFERROR(INDEX(PP_Grid[#Data],$DE250,30),0)</f>
        <v/>
      </c>
      <c r="AH250">
        <f>IFERROR(INDEX(PP_Grid[#Data],$DE250,31),0)</f>
        <v/>
      </c>
      <c r="AI250">
        <f>IFERROR(INDEX(PP_Grid[#Data],$DE250,32),0)</f>
        <v/>
      </c>
      <c r="AJ250">
        <f>IFERROR(INDEX(PP_Grid[#Data],$DE250,33),0)</f>
        <v/>
      </c>
      <c r="AK250">
        <f>IFERROR(INDEX(PP_Grid[#Data],$DE250,34),0)</f>
        <v/>
      </c>
      <c r="AL250">
        <f>IFERROR(INDEX(PP_Grid[#Data],$DE250,35),0)</f>
        <v/>
      </c>
      <c r="AM250">
        <f>IFERROR(INDEX(PP_Grid[#Data],$DE250,36),0)</f>
        <v/>
      </c>
      <c r="AN250">
        <f>IFERROR(INDEX(PP_Grid[#Data],$DE250,37),0)</f>
        <v/>
      </c>
      <c r="AO250">
        <f>IFERROR(INDEX(PP_Grid[#Data],$DE250,38),0)</f>
        <v/>
      </c>
      <c r="AP250">
        <f>IFERROR(INDEX(PP_Grid[#Data],$DE250,39),0)</f>
        <v/>
      </c>
      <c r="AQ250">
        <f>IFERROR(INDEX(PP_Grid[#Data],$DE250,40),0)</f>
        <v/>
      </c>
      <c r="AR250">
        <f>IFERROR(INDEX(PP_Grid[#Data],$DE250,41),0)</f>
        <v/>
      </c>
      <c r="AS250">
        <f>IFERROR(INDEX(PP_Grid[#Data],$DE250,42),0)</f>
        <v/>
      </c>
      <c r="AT250">
        <f>IFERROR(INDEX(PP_Grid[#Data],$DE250,43),0)</f>
        <v/>
      </c>
      <c r="AU250">
        <f>IFERROR(INDEX(PP_Grid[#Data],$DE250,44),0)</f>
        <v/>
      </c>
      <c r="AV250">
        <f>IFERROR(INDEX(PP_Grid[#Data],$DE250,45),0)</f>
        <v/>
      </c>
      <c r="AW250">
        <f>IFERROR(INDEX(PP_Grid[#Data],$DE250,46),0)</f>
        <v/>
      </c>
      <c r="AX250">
        <f>IFERROR(INDEX(PP_Grid[#Data],$DE250,47),0)</f>
        <v/>
      </c>
      <c r="AY250">
        <f>IFERROR(INDEX(PP_Grid[#Data],$DE250,48),0)</f>
        <v/>
      </c>
      <c r="AZ250">
        <f>IFERROR(INDEX(PP_Grid[#Data],$DE250,49),0)</f>
        <v/>
      </c>
      <c r="BA250">
        <f>IFERROR(INDEX(PP_Grid[#Data],$DE250,50),0)</f>
        <v/>
      </c>
      <c r="BB250">
        <f>IFERROR(INDEX(PP_Grid[#Data],$DE250,51),0)</f>
        <v/>
      </c>
      <c r="BC250">
        <f>IFERROR(INDEX(PP_Grid[#Data],$DE250,52),0)</f>
        <v/>
      </c>
      <c r="BD250">
        <f>IFERROR(INDEX(PP_Grid[#Data],$DE250,53),0)</f>
        <v/>
      </c>
      <c r="BE250">
        <f>IFERROR(INDEX(PP_Grid[#Data],$DE250,54),0)</f>
        <v/>
      </c>
      <c r="BF250">
        <f>IFERROR(INDEX(PP_Grid[#Data],$DE250,55),0)</f>
        <v/>
      </c>
      <c r="BG250">
        <f>IFERROR(INDEX(PP_Grid[#Data],$DE250,56),0)</f>
        <v/>
      </c>
      <c r="BH250">
        <f>IFERROR(INDEX(PP_Grid[#Data],$DE250,57),0)</f>
        <v/>
      </c>
      <c r="BI250">
        <f>IFERROR(INDEX(PP_Grid[#Data],$DE250,58),0)</f>
        <v/>
      </c>
      <c r="BJ250">
        <f>IFERROR(INDEX(PP_Grid[#Data],$DE250,59),0)</f>
        <v/>
      </c>
      <c r="BK250">
        <f>IFERROR(INDEX(PP_Grid[#Data],$DE250,60),0)</f>
        <v/>
      </c>
      <c r="BL250">
        <f>IFERROR(INDEX(PP_Grid[#Data],$DE250,61),0)</f>
        <v/>
      </c>
      <c r="BM250">
        <f>IFERROR(INDEX(PP_Grid[#Data],$DE250,62),0)</f>
        <v/>
      </c>
      <c r="BN250">
        <f>IFERROR(INDEX(PP_Grid[#Data],$DE250,63),0)</f>
        <v/>
      </c>
      <c r="BO250">
        <f>IFERROR(INDEX(PP_Grid[#Data],$DE250,64),0)</f>
        <v/>
      </c>
      <c r="BP250">
        <f>IFERROR(INDEX(PP_Grid[#Data],$DE250,65),0)</f>
        <v/>
      </c>
      <c r="BQ250">
        <f>IFERROR(INDEX(PP_Grid[#Data],$DE250,66),0)</f>
        <v/>
      </c>
      <c r="BR250">
        <f>IFERROR(INDEX(PP_Grid[#Data],$DE250,67),0)</f>
        <v/>
      </c>
      <c r="BS250">
        <f>IFERROR(INDEX(PP_Grid[#Data],$DE250,68),0)</f>
        <v/>
      </c>
      <c r="BT250">
        <f>IFERROR(INDEX(PP_Grid[#Data],$DE250,69),0)</f>
        <v/>
      </c>
      <c r="BU250">
        <f>IFERROR(INDEX(PP_Grid[#Data],$DE250,70),0)</f>
        <v/>
      </c>
      <c r="BV250">
        <f>IFERROR(INDEX(PP_Grid[#Data],$DE250,71),0)</f>
        <v/>
      </c>
      <c r="BW250">
        <f>IFERROR(INDEX(PP_Grid[#Data],$DE250,72),0)</f>
        <v/>
      </c>
      <c r="BX250">
        <f>IFERROR(INDEX(PP_Grid[#Data],$DE250,73),0)</f>
        <v/>
      </c>
      <c r="BY250">
        <f>IFERROR(INDEX(PP_Grid[#Data],$DE250,74),0)</f>
        <v/>
      </c>
      <c r="BZ250">
        <f>IFERROR(INDEX(PP_Grid[#Data],$DE250,75),0)</f>
        <v/>
      </c>
      <c r="CA250">
        <f>IFERROR(INDEX(PP_Grid[#Data],$DE250,76),0)</f>
        <v/>
      </c>
      <c r="CB250">
        <f>IFERROR(INDEX(PP_Grid[#Data],$DE250,77),0)</f>
        <v/>
      </c>
      <c r="CC250">
        <f>IFERROR(INDEX(PP_Grid[#Data],$DE250,78),0)</f>
        <v/>
      </c>
      <c r="CD250">
        <f>IFERROR(INDEX(PP_Grid[#Data],$DE250,79),0)</f>
        <v/>
      </c>
      <c r="CE250">
        <f>IFERROR(INDEX(PP_Grid[#Data],$DE250,80),0)</f>
        <v/>
      </c>
      <c r="CF250">
        <f>IFERROR(INDEX(PP_Grid[#Data],$DE250,81),0)</f>
        <v/>
      </c>
      <c r="CG250">
        <f>IFERROR(INDEX(PP_Grid[#Data],$DE250,82),0)</f>
        <v/>
      </c>
      <c r="CH250">
        <f>IFERROR(INDEX(PP_Grid[#Data],$DE250,83),0)</f>
        <v/>
      </c>
      <c r="CI250">
        <f>IFERROR(INDEX(PP_Grid[#Data],$DE250,84),0)</f>
        <v/>
      </c>
      <c r="CJ250">
        <f>IFERROR(INDEX(PP_Grid[#Data],$DE250,85),0)</f>
        <v/>
      </c>
      <c r="CK250">
        <f>IFERROR(INDEX(PP_Grid[#Data],$DE250,86),0)</f>
        <v/>
      </c>
      <c r="CL250">
        <f>IFERROR(INDEX(PP_Grid[#Data],$DE250,87),0)</f>
        <v/>
      </c>
      <c r="CM250">
        <f>IFERROR(INDEX(PP_Grid[#Data],$DE250,88),0)</f>
        <v/>
      </c>
      <c r="CN250">
        <f>IFERROR(INDEX(PP_Grid[#Data],$DE250,89),0)</f>
        <v/>
      </c>
      <c r="CO250">
        <f>IFERROR(INDEX(PP_Grid[#Data],$DE250,90),0)</f>
        <v/>
      </c>
      <c r="CP250">
        <f>IFERROR(INDEX(PP_Grid[#Data],$DE250,91),0)</f>
        <v/>
      </c>
      <c r="CQ250">
        <f>IFERROR(INDEX(PP_Grid[#Data],$DE250,92),0)</f>
        <v/>
      </c>
      <c r="CR250">
        <f>IFERROR(INDEX(PP_Grid[#Data],$DE250,93),0)</f>
        <v/>
      </c>
      <c r="CS250">
        <f>IFERROR(INDEX(PP_Grid[#Data],$DE250,94),0)</f>
        <v/>
      </c>
      <c r="CT250">
        <f>IFERROR(INDEX(PP_Grid[#Data],$DE250,95),0)</f>
        <v/>
      </c>
      <c r="CU250">
        <f>IFERROR(INDEX(PP_Grid[#Data],$DE250,96),0)</f>
        <v/>
      </c>
      <c r="CV250">
        <f>IFERROR(INDEX(PP_Grid[#Data],$DE250,97),0)</f>
        <v/>
      </c>
      <c r="CW250">
        <f>IFERROR(INDEX(PP_Grid[#Data],$DE250,98),0)</f>
        <v/>
      </c>
      <c r="CX250">
        <f>IFERROR(INDEX(PP_Grid[#Data],$DE250,99),0)</f>
        <v/>
      </c>
      <c r="CY250">
        <f>IFERROR(INDEX(PP_Grid[#Data],$DE250,100),0)</f>
        <v/>
      </c>
      <c r="CZ250">
        <f>IFERROR(INDEX(PP_Grid[#Data],$DE250,101),0)</f>
        <v/>
      </c>
      <c r="DA250">
        <f>IFERROR(INDEX(PP_Grid[#Data],$DE250,102),0)</f>
        <v/>
      </c>
      <c r="DB250">
        <f>IFERROR(INDEX(PP_Grid[#Data],$DE250,103),0)</f>
        <v/>
      </c>
      <c r="DC250">
        <f>IFERROR(INDEX(PP_Grid[#Data],$DE250,104),0)</f>
        <v/>
      </c>
      <c r="DD250">
        <f>IFERROR(INDEX(PP_Grid[#Data],$DE250,105),0)</f>
        <v/>
      </c>
      <c r="DE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SUMIFS(M_BOM[RM_Qty_Per_Batch],M_BOM[Intermediate],$B250,M_BOM[RM_Code],$A199)</f>
        <v/>
      </c>
      <c r="D251">
        <f>IFERROR(INDEX(E251:DD251,$F$1),"")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  <c r="DD251">
        <f>$C251*DD250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IFERROR(INDEX(E252:DD252,$F$1),"")</f>
        <v/>
      </c>
      <c r="E252">
        <f>IFERROR(INDEX(PP_Grid[#Data],$DE252,2),0)</f>
        <v/>
      </c>
      <c r="F252">
        <f>IFERROR(INDEX(PP_Grid[#Data],$DE252,3),0)</f>
        <v/>
      </c>
      <c r="G252">
        <f>IFERROR(INDEX(PP_Grid[#Data],$DE252,4),0)</f>
        <v/>
      </c>
      <c r="H252">
        <f>IFERROR(INDEX(PP_Grid[#Data],$DE252,5),0)</f>
        <v/>
      </c>
      <c r="I252">
        <f>IFERROR(INDEX(PP_Grid[#Data],$DE252,6),0)</f>
        <v/>
      </c>
      <c r="J252">
        <f>IFERROR(INDEX(PP_Grid[#Data],$DE252,7),0)</f>
        <v/>
      </c>
      <c r="K252">
        <f>IFERROR(INDEX(PP_Grid[#Data],$DE252,8),0)</f>
        <v/>
      </c>
      <c r="L252">
        <f>IFERROR(INDEX(PP_Grid[#Data],$DE252,9),0)</f>
        <v/>
      </c>
      <c r="M252">
        <f>IFERROR(INDEX(PP_Grid[#Data],$DE252,10),0)</f>
        <v/>
      </c>
      <c r="N252">
        <f>IFERROR(INDEX(PP_Grid[#Data],$DE252,11),0)</f>
        <v/>
      </c>
      <c r="O252">
        <f>IFERROR(INDEX(PP_Grid[#Data],$DE252,12),0)</f>
        <v/>
      </c>
      <c r="P252">
        <f>IFERROR(INDEX(PP_Grid[#Data],$DE252,13),0)</f>
        <v/>
      </c>
      <c r="Q252">
        <f>IFERROR(INDEX(PP_Grid[#Data],$DE252,14),0)</f>
        <v/>
      </c>
      <c r="R252">
        <f>IFERROR(INDEX(PP_Grid[#Data],$DE252,15),0)</f>
        <v/>
      </c>
      <c r="S252">
        <f>IFERROR(INDEX(PP_Grid[#Data],$DE252,16),0)</f>
        <v/>
      </c>
      <c r="T252">
        <f>IFERROR(INDEX(PP_Grid[#Data],$DE252,17),0)</f>
        <v/>
      </c>
      <c r="U252">
        <f>IFERROR(INDEX(PP_Grid[#Data],$DE252,18),0)</f>
        <v/>
      </c>
      <c r="V252">
        <f>IFERROR(INDEX(PP_Grid[#Data],$DE252,19),0)</f>
        <v/>
      </c>
      <c r="W252">
        <f>IFERROR(INDEX(PP_Grid[#Data],$DE252,20),0)</f>
        <v/>
      </c>
      <c r="X252">
        <f>IFERROR(INDEX(PP_Grid[#Data],$DE252,21),0)</f>
        <v/>
      </c>
      <c r="Y252">
        <f>IFERROR(INDEX(PP_Grid[#Data],$DE252,22),0)</f>
        <v/>
      </c>
      <c r="Z252">
        <f>IFERROR(INDEX(PP_Grid[#Data],$DE252,23),0)</f>
        <v/>
      </c>
      <c r="AA252">
        <f>IFERROR(INDEX(PP_Grid[#Data],$DE252,24),0)</f>
        <v/>
      </c>
      <c r="AB252">
        <f>IFERROR(INDEX(PP_Grid[#Data],$DE252,25),0)</f>
        <v/>
      </c>
      <c r="AC252">
        <f>IFERROR(INDEX(PP_Grid[#Data],$DE252,26),0)</f>
        <v/>
      </c>
      <c r="AD252">
        <f>IFERROR(INDEX(PP_Grid[#Data],$DE252,27),0)</f>
        <v/>
      </c>
      <c r="AE252">
        <f>IFERROR(INDEX(PP_Grid[#Data],$DE252,28),0)</f>
        <v/>
      </c>
      <c r="AF252">
        <f>IFERROR(INDEX(PP_Grid[#Data],$DE252,29),0)</f>
        <v/>
      </c>
      <c r="AG252">
        <f>IFERROR(INDEX(PP_Grid[#Data],$DE252,30),0)</f>
        <v/>
      </c>
      <c r="AH252">
        <f>IFERROR(INDEX(PP_Grid[#Data],$DE252,31),0)</f>
        <v/>
      </c>
      <c r="AI252">
        <f>IFERROR(INDEX(PP_Grid[#Data],$DE252,32),0)</f>
        <v/>
      </c>
      <c r="AJ252">
        <f>IFERROR(INDEX(PP_Grid[#Data],$DE252,33),0)</f>
        <v/>
      </c>
      <c r="AK252">
        <f>IFERROR(INDEX(PP_Grid[#Data],$DE252,34),0)</f>
        <v/>
      </c>
      <c r="AL252">
        <f>IFERROR(INDEX(PP_Grid[#Data],$DE252,35),0)</f>
        <v/>
      </c>
      <c r="AM252">
        <f>IFERROR(INDEX(PP_Grid[#Data],$DE252,36),0)</f>
        <v/>
      </c>
      <c r="AN252">
        <f>IFERROR(INDEX(PP_Grid[#Data],$DE252,37),0)</f>
        <v/>
      </c>
      <c r="AO252">
        <f>IFERROR(INDEX(PP_Grid[#Data],$DE252,38),0)</f>
        <v/>
      </c>
      <c r="AP252">
        <f>IFERROR(INDEX(PP_Grid[#Data],$DE252,39),0)</f>
        <v/>
      </c>
      <c r="AQ252">
        <f>IFERROR(INDEX(PP_Grid[#Data],$DE252,40),0)</f>
        <v/>
      </c>
      <c r="AR252">
        <f>IFERROR(INDEX(PP_Grid[#Data],$DE252,41),0)</f>
        <v/>
      </c>
      <c r="AS252">
        <f>IFERROR(INDEX(PP_Grid[#Data],$DE252,42),0)</f>
        <v/>
      </c>
      <c r="AT252">
        <f>IFERROR(INDEX(PP_Grid[#Data],$DE252,43),0)</f>
        <v/>
      </c>
      <c r="AU252">
        <f>IFERROR(INDEX(PP_Grid[#Data],$DE252,44),0)</f>
        <v/>
      </c>
      <c r="AV252">
        <f>IFERROR(INDEX(PP_Grid[#Data],$DE252,45),0)</f>
        <v/>
      </c>
      <c r="AW252">
        <f>IFERROR(INDEX(PP_Grid[#Data],$DE252,46),0)</f>
        <v/>
      </c>
      <c r="AX252">
        <f>IFERROR(INDEX(PP_Grid[#Data],$DE252,47),0)</f>
        <v/>
      </c>
      <c r="AY252">
        <f>IFERROR(INDEX(PP_Grid[#Data],$DE252,48),0)</f>
        <v/>
      </c>
      <c r="AZ252">
        <f>IFERROR(INDEX(PP_Grid[#Data],$DE252,49),0)</f>
        <v/>
      </c>
      <c r="BA252">
        <f>IFERROR(INDEX(PP_Grid[#Data],$DE252,50),0)</f>
        <v/>
      </c>
      <c r="BB252">
        <f>IFERROR(INDEX(PP_Grid[#Data],$DE252,51),0)</f>
        <v/>
      </c>
      <c r="BC252">
        <f>IFERROR(INDEX(PP_Grid[#Data],$DE252,52),0)</f>
        <v/>
      </c>
      <c r="BD252">
        <f>IFERROR(INDEX(PP_Grid[#Data],$DE252,53),0)</f>
        <v/>
      </c>
      <c r="BE252">
        <f>IFERROR(INDEX(PP_Grid[#Data],$DE252,54),0)</f>
        <v/>
      </c>
      <c r="BF252">
        <f>IFERROR(INDEX(PP_Grid[#Data],$DE252,55),0)</f>
        <v/>
      </c>
      <c r="BG252">
        <f>IFERROR(INDEX(PP_Grid[#Data],$DE252,56),0)</f>
        <v/>
      </c>
      <c r="BH252">
        <f>IFERROR(INDEX(PP_Grid[#Data],$DE252,57),0)</f>
        <v/>
      </c>
      <c r="BI252">
        <f>IFERROR(INDEX(PP_Grid[#Data],$DE252,58),0)</f>
        <v/>
      </c>
      <c r="BJ252">
        <f>IFERROR(INDEX(PP_Grid[#Data],$DE252,59),0)</f>
        <v/>
      </c>
      <c r="BK252">
        <f>IFERROR(INDEX(PP_Grid[#Data],$DE252,60),0)</f>
        <v/>
      </c>
      <c r="BL252">
        <f>IFERROR(INDEX(PP_Grid[#Data],$DE252,61),0)</f>
        <v/>
      </c>
      <c r="BM252">
        <f>IFERROR(INDEX(PP_Grid[#Data],$DE252,62),0)</f>
        <v/>
      </c>
      <c r="BN252">
        <f>IFERROR(INDEX(PP_Grid[#Data],$DE252,63),0)</f>
        <v/>
      </c>
      <c r="BO252">
        <f>IFERROR(INDEX(PP_Grid[#Data],$DE252,64),0)</f>
        <v/>
      </c>
      <c r="BP252">
        <f>IFERROR(INDEX(PP_Grid[#Data],$DE252,65),0)</f>
        <v/>
      </c>
      <c r="BQ252">
        <f>IFERROR(INDEX(PP_Grid[#Data],$DE252,66),0)</f>
        <v/>
      </c>
      <c r="BR252">
        <f>IFERROR(INDEX(PP_Grid[#Data],$DE252,67),0)</f>
        <v/>
      </c>
      <c r="BS252">
        <f>IFERROR(INDEX(PP_Grid[#Data],$DE252,68),0)</f>
        <v/>
      </c>
      <c r="BT252">
        <f>IFERROR(INDEX(PP_Grid[#Data],$DE252,69),0)</f>
        <v/>
      </c>
      <c r="BU252">
        <f>IFERROR(INDEX(PP_Grid[#Data],$DE252,70),0)</f>
        <v/>
      </c>
      <c r="BV252">
        <f>IFERROR(INDEX(PP_Grid[#Data],$DE252,71),0)</f>
        <v/>
      </c>
      <c r="BW252">
        <f>IFERROR(INDEX(PP_Grid[#Data],$DE252,72),0)</f>
        <v/>
      </c>
      <c r="BX252">
        <f>IFERROR(INDEX(PP_Grid[#Data],$DE252,73),0)</f>
        <v/>
      </c>
      <c r="BY252">
        <f>IFERROR(INDEX(PP_Grid[#Data],$DE252,74),0)</f>
        <v/>
      </c>
      <c r="BZ252">
        <f>IFERROR(INDEX(PP_Grid[#Data],$DE252,75),0)</f>
        <v/>
      </c>
      <c r="CA252">
        <f>IFERROR(INDEX(PP_Grid[#Data],$DE252,76),0)</f>
        <v/>
      </c>
      <c r="CB252">
        <f>IFERROR(INDEX(PP_Grid[#Data],$DE252,77),0)</f>
        <v/>
      </c>
      <c r="CC252">
        <f>IFERROR(INDEX(PP_Grid[#Data],$DE252,78),0)</f>
        <v/>
      </c>
      <c r="CD252">
        <f>IFERROR(INDEX(PP_Grid[#Data],$DE252,79),0)</f>
        <v/>
      </c>
      <c r="CE252">
        <f>IFERROR(INDEX(PP_Grid[#Data],$DE252,80),0)</f>
        <v/>
      </c>
      <c r="CF252">
        <f>IFERROR(INDEX(PP_Grid[#Data],$DE252,81),0)</f>
        <v/>
      </c>
      <c r="CG252">
        <f>IFERROR(INDEX(PP_Grid[#Data],$DE252,82),0)</f>
        <v/>
      </c>
      <c r="CH252">
        <f>IFERROR(INDEX(PP_Grid[#Data],$DE252,83),0)</f>
        <v/>
      </c>
      <c r="CI252">
        <f>IFERROR(INDEX(PP_Grid[#Data],$DE252,84),0)</f>
        <v/>
      </c>
      <c r="CJ252">
        <f>IFERROR(INDEX(PP_Grid[#Data],$DE252,85),0)</f>
        <v/>
      </c>
      <c r="CK252">
        <f>IFERROR(INDEX(PP_Grid[#Data],$DE252,86),0)</f>
        <v/>
      </c>
      <c r="CL252">
        <f>IFERROR(INDEX(PP_Grid[#Data],$DE252,87),0)</f>
        <v/>
      </c>
      <c r="CM252">
        <f>IFERROR(INDEX(PP_Grid[#Data],$DE252,88),0)</f>
        <v/>
      </c>
      <c r="CN252">
        <f>IFERROR(INDEX(PP_Grid[#Data],$DE252,89),0)</f>
        <v/>
      </c>
      <c r="CO252">
        <f>IFERROR(INDEX(PP_Grid[#Data],$DE252,90),0)</f>
        <v/>
      </c>
      <c r="CP252">
        <f>IFERROR(INDEX(PP_Grid[#Data],$DE252,91),0)</f>
        <v/>
      </c>
      <c r="CQ252">
        <f>IFERROR(INDEX(PP_Grid[#Data],$DE252,92),0)</f>
        <v/>
      </c>
      <c r="CR252">
        <f>IFERROR(INDEX(PP_Grid[#Data],$DE252,93),0)</f>
        <v/>
      </c>
      <c r="CS252">
        <f>IFERROR(INDEX(PP_Grid[#Data],$DE252,94),0)</f>
        <v/>
      </c>
      <c r="CT252">
        <f>IFERROR(INDEX(PP_Grid[#Data],$DE252,95),0)</f>
        <v/>
      </c>
      <c r="CU252">
        <f>IFERROR(INDEX(PP_Grid[#Data],$DE252,96),0)</f>
        <v/>
      </c>
      <c r="CV252">
        <f>IFERROR(INDEX(PP_Grid[#Data],$DE252,97),0)</f>
        <v/>
      </c>
      <c r="CW252">
        <f>IFERROR(INDEX(PP_Grid[#Data],$DE252,98),0)</f>
        <v/>
      </c>
      <c r="CX252">
        <f>IFERROR(INDEX(PP_Grid[#Data],$DE252,99),0)</f>
        <v/>
      </c>
      <c r="CY252">
        <f>IFERROR(INDEX(PP_Grid[#Data],$DE252,100),0)</f>
        <v/>
      </c>
      <c r="CZ252">
        <f>IFERROR(INDEX(PP_Grid[#Data],$DE252,101),0)</f>
        <v/>
      </c>
      <c r="DA252">
        <f>IFERROR(INDEX(PP_Grid[#Data],$DE252,102),0)</f>
        <v/>
      </c>
      <c r="DB252">
        <f>IFERROR(INDEX(PP_Grid[#Data],$DE252,103),0)</f>
        <v/>
      </c>
      <c r="DC252">
        <f>IFERROR(INDEX(PP_Grid[#Data],$DE252,104),0)</f>
        <v/>
      </c>
      <c r="DD252">
        <f>IFERROR(INDEX(PP_Grid[#Data],$DE252,105),0)</f>
        <v/>
      </c>
      <c r="DE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SUMIFS(M_BOM[RM_Qty_Per_Batch],M_BOM[Intermediate],$B252,M_BOM[RM_Code],$A199)</f>
        <v/>
      </c>
      <c r="D253">
        <f>IFERROR(INDEX(E253:DD253,$F$1),"")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  <c r="DD253">
        <f>$C253*DD252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IFERROR(INDEX(E254:DD254,$F$1),"")</f>
        <v/>
      </c>
      <c r="E254">
        <f>IFERROR(INDEX(PP_Grid[#Data],$DE254,2),0)</f>
        <v/>
      </c>
      <c r="F254">
        <f>IFERROR(INDEX(PP_Grid[#Data],$DE254,3),0)</f>
        <v/>
      </c>
      <c r="G254">
        <f>IFERROR(INDEX(PP_Grid[#Data],$DE254,4),0)</f>
        <v/>
      </c>
      <c r="H254">
        <f>IFERROR(INDEX(PP_Grid[#Data],$DE254,5),0)</f>
        <v/>
      </c>
      <c r="I254">
        <f>IFERROR(INDEX(PP_Grid[#Data],$DE254,6),0)</f>
        <v/>
      </c>
      <c r="J254">
        <f>IFERROR(INDEX(PP_Grid[#Data],$DE254,7),0)</f>
        <v/>
      </c>
      <c r="K254">
        <f>IFERROR(INDEX(PP_Grid[#Data],$DE254,8),0)</f>
        <v/>
      </c>
      <c r="L254">
        <f>IFERROR(INDEX(PP_Grid[#Data],$DE254,9),0)</f>
        <v/>
      </c>
      <c r="M254">
        <f>IFERROR(INDEX(PP_Grid[#Data],$DE254,10),0)</f>
        <v/>
      </c>
      <c r="N254">
        <f>IFERROR(INDEX(PP_Grid[#Data],$DE254,11),0)</f>
        <v/>
      </c>
      <c r="O254">
        <f>IFERROR(INDEX(PP_Grid[#Data],$DE254,12),0)</f>
        <v/>
      </c>
      <c r="P254">
        <f>IFERROR(INDEX(PP_Grid[#Data],$DE254,13),0)</f>
        <v/>
      </c>
      <c r="Q254">
        <f>IFERROR(INDEX(PP_Grid[#Data],$DE254,14),0)</f>
        <v/>
      </c>
      <c r="R254">
        <f>IFERROR(INDEX(PP_Grid[#Data],$DE254,15),0)</f>
        <v/>
      </c>
      <c r="S254">
        <f>IFERROR(INDEX(PP_Grid[#Data],$DE254,16),0)</f>
        <v/>
      </c>
      <c r="T254">
        <f>IFERROR(INDEX(PP_Grid[#Data],$DE254,17),0)</f>
        <v/>
      </c>
      <c r="U254">
        <f>IFERROR(INDEX(PP_Grid[#Data],$DE254,18),0)</f>
        <v/>
      </c>
      <c r="V254">
        <f>IFERROR(INDEX(PP_Grid[#Data],$DE254,19),0)</f>
        <v/>
      </c>
      <c r="W254">
        <f>IFERROR(INDEX(PP_Grid[#Data],$DE254,20),0)</f>
        <v/>
      </c>
      <c r="X254">
        <f>IFERROR(INDEX(PP_Grid[#Data],$DE254,21),0)</f>
        <v/>
      </c>
      <c r="Y254">
        <f>IFERROR(INDEX(PP_Grid[#Data],$DE254,22),0)</f>
        <v/>
      </c>
      <c r="Z254">
        <f>IFERROR(INDEX(PP_Grid[#Data],$DE254,23),0)</f>
        <v/>
      </c>
      <c r="AA254">
        <f>IFERROR(INDEX(PP_Grid[#Data],$DE254,24),0)</f>
        <v/>
      </c>
      <c r="AB254">
        <f>IFERROR(INDEX(PP_Grid[#Data],$DE254,25),0)</f>
        <v/>
      </c>
      <c r="AC254">
        <f>IFERROR(INDEX(PP_Grid[#Data],$DE254,26),0)</f>
        <v/>
      </c>
      <c r="AD254">
        <f>IFERROR(INDEX(PP_Grid[#Data],$DE254,27),0)</f>
        <v/>
      </c>
      <c r="AE254">
        <f>IFERROR(INDEX(PP_Grid[#Data],$DE254,28),0)</f>
        <v/>
      </c>
      <c r="AF254">
        <f>IFERROR(INDEX(PP_Grid[#Data],$DE254,29),0)</f>
        <v/>
      </c>
      <c r="AG254">
        <f>IFERROR(INDEX(PP_Grid[#Data],$DE254,30),0)</f>
        <v/>
      </c>
      <c r="AH254">
        <f>IFERROR(INDEX(PP_Grid[#Data],$DE254,31),0)</f>
        <v/>
      </c>
      <c r="AI254">
        <f>IFERROR(INDEX(PP_Grid[#Data],$DE254,32),0)</f>
        <v/>
      </c>
      <c r="AJ254">
        <f>IFERROR(INDEX(PP_Grid[#Data],$DE254,33),0)</f>
        <v/>
      </c>
      <c r="AK254">
        <f>IFERROR(INDEX(PP_Grid[#Data],$DE254,34),0)</f>
        <v/>
      </c>
      <c r="AL254">
        <f>IFERROR(INDEX(PP_Grid[#Data],$DE254,35),0)</f>
        <v/>
      </c>
      <c r="AM254">
        <f>IFERROR(INDEX(PP_Grid[#Data],$DE254,36),0)</f>
        <v/>
      </c>
      <c r="AN254">
        <f>IFERROR(INDEX(PP_Grid[#Data],$DE254,37),0)</f>
        <v/>
      </c>
      <c r="AO254">
        <f>IFERROR(INDEX(PP_Grid[#Data],$DE254,38),0)</f>
        <v/>
      </c>
      <c r="AP254">
        <f>IFERROR(INDEX(PP_Grid[#Data],$DE254,39),0)</f>
        <v/>
      </c>
      <c r="AQ254">
        <f>IFERROR(INDEX(PP_Grid[#Data],$DE254,40),0)</f>
        <v/>
      </c>
      <c r="AR254">
        <f>IFERROR(INDEX(PP_Grid[#Data],$DE254,41),0)</f>
        <v/>
      </c>
      <c r="AS254">
        <f>IFERROR(INDEX(PP_Grid[#Data],$DE254,42),0)</f>
        <v/>
      </c>
      <c r="AT254">
        <f>IFERROR(INDEX(PP_Grid[#Data],$DE254,43),0)</f>
        <v/>
      </c>
      <c r="AU254">
        <f>IFERROR(INDEX(PP_Grid[#Data],$DE254,44),0)</f>
        <v/>
      </c>
      <c r="AV254">
        <f>IFERROR(INDEX(PP_Grid[#Data],$DE254,45),0)</f>
        <v/>
      </c>
      <c r="AW254">
        <f>IFERROR(INDEX(PP_Grid[#Data],$DE254,46),0)</f>
        <v/>
      </c>
      <c r="AX254">
        <f>IFERROR(INDEX(PP_Grid[#Data],$DE254,47),0)</f>
        <v/>
      </c>
      <c r="AY254">
        <f>IFERROR(INDEX(PP_Grid[#Data],$DE254,48),0)</f>
        <v/>
      </c>
      <c r="AZ254">
        <f>IFERROR(INDEX(PP_Grid[#Data],$DE254,49),0)</f>
        <v/>
      </c>
      <c r="BA254">
        <f>IFERROR(INDEX(PP_Grid[#Data],$DE254,50),0)</f>
        <v/>
      </c>
      <c r="BB254">
        <f>IFERROR(INDEX(PP_Grid[#Data],$DE254,51),0)</f>
        <v/>
      </c>
      <c r="BC254">
        <f>IFERROR(INDEX(PP_Grid[#Data],$DE254,52),0)</f>
        <v/>
      </c>
      <c r="BD254">
        <f>IFERROR(INDEX(PP_Grid[#Data],$DE254,53),0)</f>
        <v/>
      </c>
      <c r="BE254">
        <f>IFERROR(INDEX(PP_Grid[#Data],$DE254,54),0)</f>
        <v/>
      </c>
      <c r="BF254">
        <f>IFERROR(INDEX(PP_Grid[#Data],$DE254,55),0)</f>
        <v/>
      </c>
      <c r="BG254">
        <f>IFERROR(INDEX(PP_Grid[#Data],$DE254,56),0)</f>
        <v/>
      </c>
      <c r="BH254">
        <f>IFERROR(INDEX(PP_Grid[#Data],$DE254,57),0)</f>
        <v/>
      </c>
      <c r="BI254">
        <f>IFERROR(INDEX(PP_Grid[#Data],$DE254,58),0)</f>
        <v/>
      </c>
      <c r="BJ254">
        <f>IFERROR(INDEX(PP_Grid[#Data],$DE254,59),0)</f>
        <v/>
      </c>
      <c r="BK254">
        <f>IFERROR(INDEX(PP_Grid[#Data],$DE254,60),0)</f>
        <v/>
      </c>
      <c r="BL254">
        <f>IFERROR(INDEX(PP_Grid[#Data],$DE254,61),0)</f>
        <v/>
      </c>
      <c r="BM254">
        <f>IFERROR(INDEX(PP_Grid[#Data],$DE254,62),0)</f>
        <v/>
      </c>
      <c r="BN254">
        <f>IFERROR(INDEX(PP_Grid[#Data],$DE254,63),0)</f>
        <v/>
      </c>
      <c r="BO254">
        <f>IFERROR(INDEX(PP_Grid[#Data],$DE254,64),0)</f>
        <v/>
      </c>
      <c r="BP254">
        <f>IFERROR(INDEX(PP_Grid[#Data],$DE254,65),0)</f>
        <v/>
      </c>
      <c r="BQ254">
        <f>IFERROR(INDEX(PP_Grid[#Data],$DE254,66),0)</f>
        <v/>
      </c>
      <c r="BR254">
        <f>IFERROR(INDEX(PP_Grid[#Data],$DE254,67),0)</f>
        <v/>
      </c>
      <c r="BS254">
        <f>IFERROR(INDEX(PP_Grid[#Data],$DE254,68),0)</f>
        <v/>
      </c>
      <c r="BT254">
        <f>IFERROR(INDEX(PP_Grid[#Data],$DE254,69),0)</f>
        <v/>
      </c>
      <c r="BU254">
        <f>IFERROR(INDEX(PP_Grid[#Data],$DE254,70),0)</f>
        <v/>
      </c>
      <c r="BV254">
        <f>IFERROR(INDEX(PP_Grid[#Data],$DE254,71),0)</f>
        <v/>
      </c>
      <c r="BW254">
        <f>IFERROR(INDEX(PP_Grid[#Data],$DE254,72),0)</f>
        <v/>
      </c>
      <c r="BX254">
        <f>IFERROR(INDEX(PP_Grid[#Data],$DE254,73),0)</f>
        <v/>
      </c>
      <c r="BY254">
        <f>IFERROR(INDEX(PP_Grid[#Data],$DE254,74),0)</f>
        <v/>
      </c>
      <c r="BZ254">
        <f>IFERROR(INDEX(PP_Grid[#Data],$DE254,75),0)</f>
        <v/>
      </c>
      <c r="CA254">
        <f>IFERROR(INDEX(PP_Grid[#Data],$DE254,76),0)</f>
        <v/>
      </c>
      <c r="CB254">
        <f>IFERROR(INDEX(PP_Grid[#Data],$DE254,77),0)</f>
        <v/>
      </c>
      <c r="CC254">
        <f>IFERROR(INDEX(PP_Grid[#Data],$DE254,78),0)</f>
        <v/>
      </c>
      <c r="CD254">
        <f>IFERROR(INDEX(PP_Grid[#Data],$DE254,79),0)</f>
        <v/>
      </c>
      <c r="CE254">
        <f>IFERROR(INDEX(PP_Grid[#Data],$DE254,80),0)</f>
        <v/>
      </c>
      <c r="CF254">
        <f>IFERROR(INDEX(PP_Grid[#Data],$DE254,81),0)</f>
        <v/>
      </c>
      <c r="CG254">
        <f>IFERROR(INDEX(PP_Grid[#Data],$DE254,82),0)</f>
        <v/>
      </c>
      <c r="CH254">
        <f>IFERROR(INDEX(PP_Grid[#Data],$DE254,83),0)</f>
        <v/>
      </c>
      <c r="CI254">
        <f>IFERROR(INDEX(PP_Grid[#Data],$DE254,84),0)</f>
        <v/>
      </c>
      <c r="CJ254">
        <f>IFERROR(INDEX(PP_Grid[#Data],$DE254,85),0)</f>
        <v/>
      </c>
      <c r="CK254">
        <f>IFERROR(INDEX(PP_Grid[#Data],$DE254,86),0)</f>
        <v/>
      </c>
      <c r="CL254">
        <f>IFERROR(INDEX(PP_Grid[#Data],$DE254,87),0)</f>
        <v/>
      </c>
      <c r="CM254">
        <f>IFERROR(INDEX(PP_Grid[#Data],$DE254,88),0)</f>
        <v/>
      </c>
      <c r="CN254">
        <f>IFERROR(INDEX(PP_Grid[#Data],$DE254,89),0)</f>
        <v/>
      </c>
      <c r="CO254">
        <f>IFERROR(INDEX(PP_Grid[#Data],$DE254,90),0)</f>
        <v/>
      </c>
      <c r="CP254">
        <f>IFERROR(INDEX(PP_Grid[#Data],$DE254,91),0)</f>
        <v/>
      </c>
      <c r="CQ254">
        <f>IFERROR(INDEX(PP_Grid[#Data],$DE254,92),0)</f>
        <v/>
      </c>
      <c r="CR254">
        <f>IFERROR(INDEX(PP_Grid[#Data],$DE254,93),0)</f>
        <v/>
      </c>
      <c r="CS254">
        <f>IFERROR(INDEX(PP_Grid[#Data],$DE254,94),0)</f>
        <v/>
      </c>
      <c r="CT254">
        <f>IFERROR(INDEX(PP_Grid[#Data],$DE254,95),0)</f>
        <v/>
      </c>
      <c r="CU254">
        <f>IFERROR(INDEX(PP_Grid[#Data],$DE254,96),0)</f>
        <v/>
      </c>
      <c r="CV254">
        <f>IFERROR(INDEX(PP_Grid[#Data],$DE254,97),0)</f>
        <v/>
      </c>
      <c r="CW254">
        <f>IFERROR(INDEX(PP_Grid[#Data],$DE254,98),0)</f>
        <v/>
      </c>
      <c r="CX254">
        <f>IFERROR(INDEX(PP_Grid[#Data],$DE254,99),0)</f>
        <v/>
      </c>
      <c r="CY254">
        <f>IFERROR(INDEX(PP_Grid[#Data],$DE254,100),0)</f>
        <v/>
      </c>
      <c r="CZ254">
        <f>IFERROR(INDEX(PP_Grid[#Data],$DE254,101),0)</f>
        <v/>
      </c>
      <c r="DA254">
        <f>IFERROR(INDEX(PP_Grid[#Data],$DE254,102),0)</f>
        <v/>
      </c>
      <c r="DB254">
        <f>IFERROR(INDEX(PP_Grid[#Data],$DE254,103),0)</f>
        <v/>
      </c>
      <c r="DC254">
        <f>IFERROR(INDEX(PP_Grid[#Data],$DE254,104),0)</f>
        <v/>
      </c>
      <c r="DD254">
        <f>IFERROR(INDEX(PP_Grid[#Data],$DE254,105),0)</f>
        <v/>
      </c>
      <c r="DE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SUMIFS(M_BOM[RM_Qty_Per_Batch],M_BOM[Intermediate],$B254,M_BOM[RM_Code],$A199)</f>
        <v/>
      </c>
      <c r="D255">
        <f>IFERROR(INDEX(E255:DD255,$F$1),"")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  <c r="DD255">
        <f>$C255*DD254</f>
        <v/>
      </c>
    </row>
    <row r="256">
      <c r="B256" t="inlineStr">
        <is>
          <t>TSP-699</t>
        </is>
      </c>
      <c r="C256" t="inlineStr">
        <is>
          <t>No. of batches</t>
        </is>
      </c>
      <c r="D256">
        <f>IFERROR(INDEX(E256:DD256,$F$1),"")</f>
        <v/>
      </c>
      <c r="E256">
        <f>IFERROR(INDEX(PP_Grid[#Data],$DE256,2),0)</f>
        <v/>
      </c>
      <c r="F256">
        <f>IFERROR(INDEX(PP_Grid[#Data],$DE256,3),0)</f>
        <v/>
      </c>
      <c r="G256">
        <f>IFERROR(INDEX(PP_Grid[#Data],$DE256,4),0)</f>
        <v/>
      </c>
      <c r="H256">
        <f>IFERROR(INDEX(PP_Grid[#Data],$DE256,5),0)</f>
        <v/>
      </c>
      <c r="I256">
        <f>IFERROR(INDEX(PP_Grid[#Data],$DE256,6),0)</f>
        <v/>
      </c>
      <c r="J256">
        <f>IFERROR(INDEX(PP_Grid[#Data],$DE256,7),0)</f>
        <v/>
      </c>
      <c r="K256">
        <f>IFERROR(INDEX(PP_Grid[#Data],$DE256,8),0)</f>
        <v/>
      </c>
      <c r="L256">
        <f>IFERROR(INDEX(PP_Grid[#Data],$DE256,9),0)</f>
        <v/>
      </c>
      <c r="M256">
        <f>IFERROR(INDEX(PP_Grid[#Data],$DE256,10),0)</f>
        <v/>
      </c>
      <c r="N256">
        <f>IFERROR(INDEX(PP_Grid[#Data],$DE256,11),0)</f>
        <v/>
      </c>
      <c r="O256">
        <f>IFERROR(INDEX(PP_Grid[#Data],$DE256,12),0)</f>
        <v/>
      </c>
      <c r="P256">
        <f>IFERROR(INDEX(PP_Grid[#Data],$DE256,13),0)</f>
        <v/>
      </c>
      <c r="Q256">
        <f>IFERROR(INDEX(PP_Grid[#Data],$DE256,14),0)</f>
        <v/>
      </c>
      <c r="R256">
        <f>IFERROR(INDEX(PP_Grid[#Data],$DE256,15),0)</f>
        <v/>
      </c>
      <c r="S256">
        <f>IFERROR(INDEX(PP_Grid[#Data],$DE256,16),0)</f>
        <v/>
      </c>
      <c r="T256">
        <f>IFERROR(INDEX(PP_Grid[#Data],$DE256,17),0)</f>
        <v/>
      </c>
      <c r="U256">
        <f>IFERROR(INDEX(PP_Grid[#Data],$DE256,18),0)</f>
        <v/>
      </c>
      <c r="V256">
        <f>IFERROR(INDEX(PP_Grid[#Data],$DE256,19),0)</f>
        <v/>
      </c>
      <c r="W256">
        <f>IFERROR(INDEX(PP_Grid[#Data],$DE256,20),0)</f>
        <v/>
      </c>
      <c r="X256">
        <f>IFERROR(INDEX(PP_Grid[#Data],$DE256,21),0)</f>
        <v/>
      </c>
      <c r="Y256">
        <f>IFERROR(INDEX(PP_Grid[#Data],$DE256,22),0)</f>
        <v/>
      </c>
      <c r="Z256">
        <f>IFERROR(INDEX(PP_Grid[#Data],$DE256,23),0)</f>
        <v/>
      </c>
      <c r="AA256">
        <f>IFERROR(INDEX(PP_Grid[#Data],$DE256,24),0)</f>
        <v/>
      </c>
      <c r="AB256">
        <f>IFERROR(INDEX(PP_Grid[#Data],$DE256,25),0)</f>
        <v/>
      </c>
      <c r="AC256">
        <f>IFERROR(INDEX(PP_Grid[#Data],$DE256,26),0)</f>
        <v/>
      </c>
      <c r="AD256">
        <f>IFERROR(INDEX(PP_Grid[#Data],$DE256,27),0)</f>
        <v/>
      </c>
      <c r="AE256">
        <f>IFERROR(INDEX(PP_Grid[#Data],$DE256,28),0)</f>
        <v/>
      </c>
      <c r="AF256">
        <f>IFERROR(INDEX(PP_Grid[#Data],$DE256,29),0)</f>
        <v/>
      </c>
      <c r="AG256">
        <f>IFERROR(INDEX(PP_Grid[#Data],$DE256,30),0)</f>
        <v/>
      </c>
      <c r="AH256">
        <f>IFERROR(INDEX(PP_Grid[#Data],$DE256,31),0)</f>
        <v/>
      </c>
      <c r="AI256">
        <f>IFERROR(INDEX(PP_Grid[#Data],$DE256,32),0)</f>
        <v/>
      </c>
      <c r="AJ256">
        <f>IFERROR(INDEX(PP_Grid[#Data],$DE256,33),0)</f>
        <v/>
      </c>
      <c r="AK256">
        <f>IFERROR(INDEX(PP_Grid[#Data],$DE256,34),0)</f>
        <v/>
      </c>
      <c r="AL256">
        <f>IFERROR(INDEX(PP_Grid[#Data],$DE256,35),0)</f>
        <v/>
      </c>
      <c r="AM256">
        <f>IFERROR(INDEX(PP_Grid[#Data],$DE256,36),0)</f>
        <v/>
      </c>
      <c r="AN256">
        <f>IFERROR(INDEX(PP_Grid[#Data],$DE256,37),0)</f>
        <v/>
      </c>
      <c r="AO256">
        <f>IFERROR(INDEX(PP_Grid[#Data],$DE256,38),0)</f>
        <v/>
      </c>
      <c r="AP256">
        <f>IFERROR(INDEX(PP_Grid[#Data],$DE256,39),0)</f>
        <v/>
      </c>
      <c r="AQ256">
        <f>IFERROR(INDEX(PP_Grid[#Data],$DE256,40),0)</f>
        <v/>
      </c>
      <c r="AR256">
        <f>IFERROR(INDEX(PP_Grid[#Data],$DE256,41),0)</f>
        <v/>
      </c>
      <c r="AS256">
        <f>IFERROR(INDEX(PP_Grid[#Data],$DE256,42),0)</f>
        <v/>
      </c>
      <c r="AT256">
        <f>IFERROR(INDEX(PP_Grid[#Data],$DE256,43),0)</f>
        <v/>
      </c>
      <c r="AU256">
        <f>IFERROR(INDEX(PP_Grid[#Data],$DE256,44),0)</f>
        <v/>
      </c>
      <c r="AV256">
        <f>IFERROR(INDEX(PP_Grid[#Data],$DE256,45),0)</f>
        <v/>
      </c>
      <c r="AW256">
        <f>IFERROR(INDEX(PP_Grid[#Data],$DE256,46),0)</f>
        <v/>
      </c>
      <c r="AX256">
        <f>IFERROR(INDEX(PP_Grid[#Data],$DE256,47),0)</f>
        <v/>
      </c>
      <c r="AY256">
        <f>IFERROR(INDEX(PP_Grid[#Data],$DE256,48),0)</f>
        <v/>
      </c>
      <c r="AZ256">
        <f>IFERROR(INDEX(PP_Grid[#Data],$DE256,49),0)</f>
        <v/>
      </c>
      <c r="BA256">
        <f>IFERROR(INDEX(PP_Grid[#Data],$DE256,50),0)</f>
        <v/>
      </c>
      <c r="BB256">
        <f>IFERROR(INDEX(PP_Grid[#Data],$DE256,51),0)</f>
        <v/>
      </c>
      <c r="BC256">
        <f>IFERROR(INDEX(PP_Grid[#Data],$DE256,52),0)</f>
        <v/>
      </c>
      <c r="BD256">
        <f>IFERROR(INDEX(PP_Grid[#Data],$DE256,53),0)</f>
        <v/>
      </c>
      <c r="BE256">
        <f>IFERROR(INDEX(PP_Grid[#Data],$DE256,54),0)</f>
        <v/>
      </c>
      <c r="BF256">
        <f>IFERROR(INDEX(PP_Grid[#Data],$DE256,55),0)</f>
        <v/>
      </c>
      <c r="BG256">
        <f>IFERROR(INDEX(PP_Grid[#Data],$DE256,56),0)</f>
        <v/>
      </c>
      <c r="BH256">
        <f>IFERROR(INDEX(PP_Grid[#Data],$DE256,57),0)</f>
        <v/>
      </c>
      <c r="BI256">
        <f>IFERROR(INDEX(PP_Grid[#Data],$DE256,58),0)</f>
        <v/>
      </c>
      <c r="BJ256">
        <f>IFERROR(INDEX(PP_Grid[#Data],$DE256,59),0)</f>
        <v/>
      </c>
      <c r="BK256">
        <f>IFERROR(INDEX(PP_Grid[#Data],$DE256,60),0)</f>
        <v/>
      </c>
      <c r="BL256">
        <f>IFERROR(INDEX(PP_Grid[#Data],$DE256,61),0)</f>
        <v/>
      </c>
      <c r="BM256">
        <f>IFERROR(INDEX(PP_Grid[#Data],$DE256,62),0)</f>
        <v/>
      </c>
      <c r="BN256">
        <f>IFERROR(INDEX(PP_Grid[#Data],$DE256,63),0)</f>
        <v/>
      </c>
      <c r="BO256">
        <f>IFERROR(INDEX(PP_Grid[#Data],$DE256,64),0)</f>
        <v/>
      </c>
      <c r="BP256">
        <f>IFERROR(INDEX(PP_Grid[#Data],$DE256,65),0)</f>
        <v/>
      </c>
      <c r="BQ256">
        <f>IFERROR(INDEX(PP_Grid[#Data],$DE256,66),0)</f>
        <v/>
      </c>
      <c r="BR256">
        <f>IFERROR(INDEX(PP_Grid[#Data],$DE256,67),0)</f>
        <v/>
      </c>
      <c r="BS256">
        <f>IFERROR(INDEX(PP_Grid[#Data],$DE256,68),0)</f>
        <v/>
      </c>
      <c r="BT256">
        <f>IFERROR(INDEX(PP_Grid[#Data],$DE256,69),0)</f>
        <v/>
      </c>
      <c r="BU256">
        <f>IFERROR(INDEX(PP_Grid[#Data],$DE256,70),0)</f>
        <v/>
      </c>
      <c r="BV256">
        <f>IFERROR(INDEX(PP_Grid[#Data],$DE256,71),0)</f>
        <v/>
      </c>
      <c r="BW256">
        <f>IFERROR(INDEX(PP_Grid[#Data],$DE256,72),0)</f>
        <v/>
      </c>
      <c r="BX256">
        <f>IFERROR(INDEX(PP_Grid[#Data],$DE256,73),0)</f>
        <v/>
      </c>
      <c r="BY256">
        <f>IFERROR(INDEX(PP_Grid[#Data],$DE256,74),0)</f>
        <v/>
      </c>
      <c r="BZ256">
        <f>IFERROR(INDEX(PP_Grid[#Data],$DE256,75),0)</f>
        <v/>
      </c>
      <c r="CA256">
        <f>IFERROR(INDEX(PP_Grid[#Data],$DE256,76),0)</f>
        <v/>
      </c>
      <c r="CB256">
        <f>IFERROR(INDEX(PP_Grid[#Data],$DE256,77),0)</f>
        <v/>
      </c>
      <c r="CC256">
        <f>IFERROR(INDEX(PP_Grid[#Data],$DE256,78),0)</f>
        <v/>
      </c>
      <c r="CD256">
        <f>IFERROR(INDEX(PP_Grid[#Data],$DE256,79),0)</f>
        <v/>
      </c>
      <c r="CE256">
        <f>IFERROR(INDEX(PP_Grid[#Data],$DE256,80),0)</f>
        <v/>
      </c>
      <c r="CF256">
        <f>IFERROR(INDEX(PP_Grid[#Data],$DE256,81),0)</f>
        <v/>
      </c>
      <c r="CG256">
        <f>IFERROR(INDEX(PP_Grid[#Data],$DE256,82),0)</f>
        <v/>
      </c>
      <c r="CH256">
        <f>IFERROR(INDEX(PP_Grid[#Data],$DE256,83),0)</f>
        <v/>
      </c>
      <c r="CI256">
        <f>IFERROR(INDEX(PP_Grid[#Data],$DE256,84),0)</f>
        <v/>
      </c>
      <c r="CJ256">
        <f>IFERROR(INDEX(PP_Grid[#Data],$DE256,85),0)</f>
        <v/>
      </c>
      <c r="CK256">
        <f>IFERROR(INDEX(PP_Grid[#Data],$DE256,86),0)</f>
        <v/>
      </c>
      <c r="CL256">
        <f>IFERROR(INDEX(PP_Grid[#Data],$DE256,87),0)</f>
        <v/>
      </c>
      <c r="CM256">
        <f>IFERROR(INDEX(PP_Grid[#Data],$DE256,88),0)</f>
        <v/>
      </c>
      <c r="CN256">
        <f>IFERROR(INDEX(PP_Grid[#Data],$DE256,89),0)</f>
        <v/>
      </c>
      <c r="CO256">
        <f>IFERROR(INDEX(PP_Grid[#Data],$DE256,90),0)</f>
        <v/>
      </c>
      <c r="CP256">
        <f>IFERROR(INDEX(PP_Grid[#Data],$DE256,91),0)</f>
        <v/>
      </c>
      <c r="CQ256">
        <f>IFERROR(INDEX(PP_Grid[#Data],$DE256,92),0)</f>
        <v/>
      </c>
      <c r="CR256">
        <f>IFERROR(INDEX(PP_Grid[#Data],$DE256,93),0)</f>
        <v/>
      </c>
      <c r="CS256">
        <f>IFERROR(INDEX(PP_Grid[#Data],$DE256,94),0)</f>
        <v/>
      </c>
      <c r="CT256">
        <f>IFERROR(INDEX(PP_Grid[#Data],$DE256,95),0)</f>
        <v/>
      </c>
      <c r="CU256">
        <f>IFERROR(INDEX(PP_Grid[#Data],$DE256,96),0)</f>
        <v/>
      </c>
      <c r="CV256">
        <f>IFERROR(INDEX(PP_Grid[#Data],$DE256,97),0)</f>
        <v/>
      </c>
      <c r="CW256">
        <f>IFERROR(INDEX(PP_Grid[#Data],$DE256,98),0)</f>
        <v/>
      </c>
      <c r="CX256">
        <f>IFERROR(INDEX(PP_Grid[#Data],$DE256,99),0)</f>
        <v/>
      </c>
      <c r="CY256">
        <f>IFERROR(INDEX(PP_Grid[#Data],$DE256,100),0)</f>
        <v/>
      </c>
      <c r="CZ256">
        <f>IFERROR(INDEX(PP_Grid[#Data],$DE256,101),0)</f>
        <v/>
      </c>
      <c r="DA256">
        <f>IFERROR(INDEX(PP_Grid[#Data],$DE256,102),0)</f>
        <v/>
      </c>
      <c r="DB256">
        <f>IFERROR(INDEX(PP_Grid[#Data],$DE256,103),0)</f>
        <v/>
      </c>
      <c r="DC256">
        <f>IFERROR(INDEX(PP_Grid[#Data],$DE256,104),0)</f>
        <v/>
      </c>
      <c r="DD256">
        <f>IFERROR(INDEX(PP_Grid[#Data],$DE256,105),0)</f>
        <v/>
      </c>
      <c r="DE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SUMIFS(M_BOM[RM_Qty_Per_Batch],M_BOM[Intermediate],$B256,M_BOM[RM_Code],$A199)</f>
        <v/>
      </c>
      <c r="D257">
        <f>IFERROR(INDEX(E257:DD257,$F$1),"")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  <c r="DD257">
        <f>$C257*DD256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IFERROR(INDEX(E258:DD258,$F$1),"")</f>
        <v/>
      </c>
      <c r="E258">
        <f>IFERROR(INDEX(PP_Grid[#Data],$DE258,2),0)</f>
        <v/>
      </c>
      <c r="F258">
        <f>IFERROR(INDEX(PP_Grid[#Data],$DE258,3),0)</f>
        <v/>
      </c>
      <c r="G258">
        <f>IFERROR(INDEX(PP_Grid[#Data],$DE258,4),0)</f>
        <v/>
      </c>
      <c r="H258">
        <f>IFERROR(INDEX(PP_Grid[#Data],$DE258,5),0)</f>
        <v/>
      </c>
      <c r="I258">
        <f>IFERROR(INDEX(PP_Grid[#Data],$DE258,6),0)</f>
        <v/>
      </c>
      <c r="J258">
        <f>IFERROR(INDEX(PP_Grid[#Data],$DE258,7),0)</f>
        <v/>
      </c>
      <c r="K258">
        <f>IFERROR(INDEX(PP_Grid[#Data],$DE258,8),0)</f>
        <v/>
      </c>
      <c r="L258">
        <f>IFERROR(INDEX(PP_Grid[#Data],$DE258,9),0)</f>
        <v/>
      </c>
      <c r="M258">
        <f>IFERROR(INDEX(PP_Grid[#Data],$DE258,10),0)</f>
        <v/>
      </c>
      <c r="N258">
        <f>IFERROR(INDEX(PP_Grid[#Data],$DE258,11),0)</f>
        <v/>
      </c>
      <c r="O258">
        <f>IFERROR(INDEX(PP_Grid[#Data],$DE258,12),0)</f>
        <v/>
      </c>
      <c r="P258">
        <f>IFERROR(INDEX(PP_Grid[#Data],$DE258,13),0)</f>
        <v/>
      </c>
      <c r="Q258">
        <f>IFERROR(INDEX(PP_Grid[#Data],$DE258,14),0)</f>
        <v/>
      </c>
      <c r="R258">
        <f>IFERROR(INDEX(PP_Grid[#Data],$DE258,15),0)</f>
        <v/>
      </c>
      <c r="S258">
        <f>IFERROR(INDEX(PP_Grid[#Data],$DE258,16),0)</f>
        <v/>
      </c>
      <c r="T258">
        <f>IFERROR(INDEX(PP_Grid[#Data],$DE258,17),0)</f>
        <v/>
      </c>
      <c r="U258">
        <f>IFERROR(INDEX(PP_Grid[#Data],$DE258,18),0)</f>
        <v/>
      </c>
      <c r="V258">
        <f>IFERROR(INDEX(PP_Grid[#Data],$DE258,19),0)</f>
        <v/>
      </c>
      <c r="W258">
        <f>IFERROR(INDEX(PP_Grid[#Data],$DE258,20),0)</f>
        <v/>
      </c>
      <c r="X258">
        <f>IFERROR(INDEX(PP_Grid[#Data],$DE258,21),0)</f>
        <v/>
      </c>
      <c r="Y258">
        <f>IFERROR(INDEX(PP_Grid[#Data],$DE258,22),0)</f>
        <v/>
      </c>
      <c r="Z258">
        <f>IFERROR(INDEX(PP_Grid[#Data],$DE258,23),0)</f>
        <v/>
      </c>
      <c r="AA258">
        <f>IFERROR(INDEX(PP_Grid[#Data],$DE258,24),0)</f>
        <v/>
      </c>
      <c r="AB258">
        <f>IFERROR(INDEX(PP_Grid[#Data],$DE258,25),0)</f>
        <v/>
      </c>
      <c r="AC258">
        <f>IFERROR(INDEX(PP_Grid[#Data],$DE258,26),0)</f>
        <v/>
      </c>
      <c r="AD258">
        <f>IFERROR(INDEX(PP_Grid[#Data],$DE258,27),0)</f>
        <v/>
      </c>
      <c r="AE258">
        <f>IFERROR(INDEX(PP_Grid[#Data],$DE258,28),0)</f>
        <v/>
      </c>
      <c r="AF258">
        <f>IFERROR(INDEX(PP_Grid[#Data],$DE258,29),0)</f>
        <v/>
      </c>
      <c r="AG258">
        <f>IFERROR(INDEX(PP_Grid[#Data],$DE258,30),0)</f>
        <v/>
      </c>
      <c r="AH258">
        <f>IFERROR(INDEX(PP_Grid[#Data],$DE258,31),0)</f>
        <v/>
      </c>
      <c r="AI258">
        <f>IFERROR(INDEX(PP_Grid[#Data],$DE258,32),0)</f>
        <v/>
      </c>
      <c r="AJ258">
        <f>IFERROR(INDEX(PP_Grid[#Data],$DE258,33),0)</f>
        <v/>
      </c>
      <c r="AK258">
        <f>IFERROR(INDEX(PP_Grid[#Data],$DE258,34),0)</f>
        <v/>
      </c>
      <c r="AL258">
        <f>IFERROR(INDEX(PP_Grid[#Data],$DE258,35),0)</f>
        <v/>
      </c>
      <c r="AM258">
        <f>IFERROR(INDEX(PP_Grid[#Data],$DE258,36),0)</f>
        <v/>
      </c>
      <c r="AN258">
        <f>IFERROR(INDEX(PP_Grid[#Data],$DE258,37),0)</f>
        <v/>
      </c>
      <c r="AO258">
        <f>IFERROR(INDEX(PP_Grid[#Data],$DE258,38),0)</f>
        <v/>
      </c>
      <c r="AP258">
        <f>IFERROR(INDEX(PP_Grid[#Data],$DE258,39),0)</f>
        <v/>
      </c>
      <c r="AQ258">
        <f>IFERROR(INDEX(PP_Grid[#Data],$DE258,40),0)</f>
        <v/>
      </c>
      <c r="AR258">
        <f>IFERROR(INDEX(PP_Grid[#Data],$DE258,41),0)</f>
        <v/>
      </c>
      <c r="AS258">
        <f>IFERROR(INDEX(PP_Grid[#Data],$DE258,42),0)</f>
        <v/>
      </c>
      <c r="AT258">
        <f>IFERROR(INDEX(PP_Grid[#Data],$DE258,43),0)</f>
        <v/>
      </c>
      <c r="AU258">
        <f>IFERROR(INDEX(PP_Grid[#Data],$DE258,44),0)</f>
        <v/>
      </c>
      <c r="AV258">
        <f>IFERROR(INDEX(PP_Grid[#Data],$DE258,45),0)</f>
        <v/>
      </c>
      <c r="AW258">
        <f>IFERROR(INDEX(PP_Grid[#Data],$DE258,46),0)</f>
        <v/>
      </c>
      <c r="AX258">
        <f>IFERROR(INDEX(PP_Grid[#Data],$DE258,47),0)</f>
        <v/>
      </c>
      <c r="AY258">
        <f>IFERROR(INDEX(PP_Grid[#Data],$DE258,48),0)</f>
        <v/>
      </c>
      <c r="AZ258">
        <f>IFERROR(INDEX(PP_Grid[#Data],$DE258,49),0)</f>
        <v/>
      </c>
      <c r="BA258">
        <f>IFERROR(INDEX(PP_Grid[#Data],$DE258,50),0)</f>
        <v/>
      </c>
      <c r="BB258">
        <f>IFERROR(INDEX(PP_Grid[#Data],$DE258,51),0)</f>
        <v/>
      </c>
      <c r="BC258">
        <f>IFERROR(INDEX(PP_Grid[#Data],$DE258,52),0)</f>
        <v/>
      </c>
      <c r="BD258">
        <f>IFERROR(INDEX(PP_Grid[#Data],$DE258,53),0)</f>
        <v/>
      </c>
      <c r="BE258">
        <f>IFERROR(INDEX(PP_Grid[#Data],$DE258,54),0)</f>
        <v/>
      </c>
      <c r="BF258">
        <f>IFERROR(INDEX(PP_Grid[#Data],$DE258,55),0)</f>
        <v/>
      </c>
      <c r="BG258">
        <f>IFERROR(INDEX(PP_Grid[#Data],$DE258,56),0)</f>
        <v/>
      </c>
      <c r="BH258">
        <f>IFERROR(INDEX(PP_Grid[#Data],$DE258,57),0)</f>
        <v/>
      </c>
      <c r="BI258">
        <f>IFERROR(INDEX(PP_Grid[#Data],$DE258,58),0)</f>
        <v/>
      </c>
      <c r="BJ258">
        <f>IFERROR(INDEX(PP_Grid[#Data],$DE258,59),0)</f>
        <v/>
      </c>
      <c r="BK258">
        <f>IFERROR(INDEX(PP_Grid[#Data],$DE258,60),0)</f>
        <v/>
      </c>
      <c r="BL258">
        <f>IFERROR(INDEX(PP_Grid[#Data],$DE258,61),0)</f>
        <v/>
      </c>
      <c r="BM258">
        <f>IFERROR(INDEX(PP_Grid[#Data],$DE258,62),0)</f>
        <v/>
      </c>
      <c r="BN258">
        <f>IFERROR(INDEX(PP_Grid[#Data],$DE258,63),0)</f>
        <v/>
      </c>
      <c r="BO258">
        <f>IFERROR(INDEX(PP_Grid[#Data],$DE258,64),0)</f>
        <v/>
      </c>
      <c r="BP258">
        <f>IFERROR(INDEX(PP_Grid[#Data],$DE258,65),0)</f>
        <v/>
      </c>
      <c r="BQ258">
        <f>IFERROR(INDEX(PP_Grid[#Data],$DE258,66),0)</f>
        <v/>
      </c>
      <c r="BR258">
        <f>IFERROR(INDEX(PP_Grid[#Data],$DE258,67),0)</f>
        <v/>
      </c>
      <c r="BS258">
        <f>IFERROR(INDEX(PP_Grid[#Data],$DE258,68),0)</f>
        <v/>
      </c>
      <c r="BT258">
        <f>IFERROR(INDEX(PP_Grid[#Data],$DE258,69),0)</f>
        <v/>
      </c>
      <c r="BU258">
        <f>IFERROR(INDEX(PP_Grid[#Data],$DE258,70),0)</f>
        <v/>
      </c>
      <c r="BV258">
        <f>IFERROR(INDEX(PP_Grid[#Data],$DE258,71),0)</f>
        <v/>
      </c>
      <c r="BW258">
        <f>IFERROR(INDEX(PP_Grid[#Data],$DE258,72),0)</f>
        <v/>
      </c>
      <c r="BX258">
        <f>IFERROR(INDEX(PP_Grid[#Data],$DE258,73),0)</f>
        <v/>
      </c>
      <c r="BY258">
        <f>IFERROR(INDEX(PP_Grid[#Data],$DE258,74),0)</f>
        <v/>
      </c>
      <c r="BZ258">
        <f>IFERROR(INDEX(PP_Grid[#Data],$DE258,75),0)</f>
        <v/>
      </c>
      <c r="CA258">
        <f>IFERROR(INDEX(PP_Grid[#Data],$DE258,76),0)</f>
        <v/>
      </c>
      <c r="CB258">
        <f>IFERROR(INDEX(PP_Grid[#Data],$DE258,77),0)</f>
        <v/>
      </c>
      <c r="CC258">
        <f>IFERROR(INDEX(PP_Grid[#Data],$DE258,78),0)</f>
        <v/>
      </c>
      <c r="CD258">
        <f>IFERROR(INDEX(PP_Grid[#Data],$DE258,79),0)</f>
        <v/>
      </c>
      <c r="CE258">
        <f>IFERROR(INDEX(PP_Grid[#Data],$DE258,80),0)</f>
        <v/>
      </c>
      <c r="CF258">
        <f>IFERROR(INDEX(PP_Grid[#Data],$DE258,81),0)</f>
        <v/>
      </c>
      <c r="CG258">
        <f>IFERROR(INDEX(PP_Grid[#Data],$DE258,82),0)</f>
        <v/>
      </c>
      <c r="CH258">
        <f>IFERROR(INDEX(PP_Grid[#Data],$DE258,83),0)</f>
        <v/>
      </c>
      <c r="CI258">
        <f>IFERROR(INDEX(PP_Grid[#Data],$DE258,84),0)</f>
        <v/>
      </c>
      <c r="CJ258">
        <f>IFERROR(INDEX(PP_Grid[#Data],$DE258,85),0)</f>
        <v/>
      </c>
      <c r="CK258">
        <f>IFERROR(INDEX(PP_Grid[#Data],$DE258,86),0)</f>
        <v/>
      </c>
      <c r="CL258">
        <f>IFERROR(INDEX(PP_Grid[#Data],$DE258,87),0)</f>
        <v/>
      </c>
      <c r="CM258">
        <f>IFERROR(INDEX(PP_Grid[#Data],$DE258,88),0)</f>
        <v/>
      </c>
      <c r="CN258">
        <f>IFERROR(INDEX(PP_Grid[#Data],$DE258,89),0)</f>
        <v/>
      </c>
      <c r="CO258">
        <f>IFERROR(INDEX(PP_Grid[#Data],$DE258,90),0)</f>
        <v/>
      </c>
      <c r="CP258">
        <f>IFERROR(INDEX(PP_Grid[#Data],$DE258,91),0)</f>
        <v/>
      </c>
      <c r="CQ258">
        <f>IFERROR(INDEX(PP_Grid[#Data],$DE258,92),0)</f>
        <v/>
      </c>
      <c r="CR258">
        <f>IFERROR(INDEX(PP_Grid[#Data],$DE258,93),0)</f>
        <v/>
      </c>
      <c r="CS258">
        <f>IFERROR(INDEX(PP_Grid[#Data],$DE258,94),0)</f>
        <v/>
      </c>
      <c r="CT258">
        <f>IFERROR(INDEX(PP_Grid[#Data],$DE258,95),0)</f>
        <v/>
      </c>
      <c r="CU258">
        <f>IFERROR(INDEX(PP_Grid[#Data],$DE258,96),0)</f>
        <v/>
      </c>
      <c r="CV258">
        <f>IFERROR(INDEX(PP_Grid[#Data],$DE258,97),0)</f>
        <v/>
      </c>
      <c r="CW258">
        <f>IFERROR(INDEX(PP_Grid[#Data],$DE258,98),0)</f>
        <v/>
      </c>
      <c r="CX258">
        <f>IFERROR(INDEX(PP_Grid[#Data],$DE258,99),0)</f>
        <v/>
      </c>
      <c r="CY258">
        <f>IFERROR(INDEX(PP_Grid[#Data],$DE258,100),0)</f>
        <v/>
      </c>
      <c r="CZ258">
        <f>IFERROR(INDEX(PP_Grid[#Data],$DE258,101),0)</f>
        <v/>
      </c>
      <c r="DA258">
        <f>IFERROR(INDEX(PP_Grid[#Data],$DE258,102),0)</f>
        <v/>
      </c>
      <c r="DB258">
        <f>IFERROR(INDEX(PP_Grid[#Data],$DE258,103),0)</f>
        <v/>
      </c>
      <c r="DC258">
        <f>IFERROR(INDEX(PP_Grid[#Data],$DE258,104),0)</f>
        <v/>
      </c>
      <c r="DD258">
        <f>IFERROR(INDEX(PP_Grid[#Data],$DE258,105),0)</f>
        <v/>
      </c>
      <c r="DE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SUMIFS(M_BOM[RM_Qty_Per_Batch],M_BOM[Intermediate],$B258,M_BOM[RM_Code],$A199)</f>
        <v/>
      </c>
      <c r="D259">
        <f>IFERROR(INDEX(E259:DD259,$F$1),"")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  <c r="DD259">
        <f>$C259*DD258</f>
        <v/>
      </c>
    </row>
    <row r="260">
      <c r="B260" t="inlineStr">
        <is>
          <t>TSP-828</t>
        </is>
      </c>
      <c r="C260" t="inlineStr">
        <is>
          <t>No. of batches</t>
        </is>
      </c>
      <c r="D260">
        <f>IFERROR(INDEX(E260:DD260,$F$1),"")</f>
        <v/>
      </c>
      <c r="E260">
        <f>IFERROR(INDEX(PP_Grid[#Data],$DE260,2),0)</f>
        <v/>
      </c>
      <c r="F260">
        <f>IFERROR(INDEX(PP_Grid[#Data],$DE260,3),0)</f>
        <v/>
      </c>
      <c r="G260">
        <f>IFERROR(INDEX(PP_Grid[#Data],$DE260,4),0)</f>
        <v/>
      </c>
      <c r="H260">
        <f>IFERROR(INDEX(PP_Grid[#Data],$DE260,5),0)</f>
        <v/>
      </c>
      <c r="I260">
        <f>IFERROR(INDEX(PP_Grid[#Data],$DE260,6),0)</f>
        <v/>
      </c>
      <c r="J260">
        <f>IFERROR(INDEX(PP_Grid[#Data],$DE260,7),0)</f>
        <v/>
      </c>
      <c r="K260">
        <f>IFERROR(INDEX(PP_Grid[#Data],$DE260,8),0)</f>
        <v/>
      </c>
      <c r="L260">
        <f>IFERROR(INDEX(PP_Grid[#Data],$DE260,9),0)</f>
        <v/>
      </c>
      <c r="M260">
        <f>IFERROR(INDEX(PP_Grid[#Data],$DE260,10),0)</f>
        <v/>
      </c>
      <c r="N260">
        <f>IFERROR(INDEX(PP_Grid[#Data],$DE260,11),0)</f>
        <v/>
      </c>
      <c r="O260">
        <f>IFERROR(INDEX(PP_Grid[#Data],$DE260,12),0)</f>
        <v/>
      </c>
      <c r="P260">
        <f>IFERROR(INDEX(PP_Grid[#Data],$DE260,13),0)</f>
        <v/>
      </c>
      <c r="Q260">
        <f>IFERROR(INDEX(PP_Grid[#Data],$DE260,14),0)</f>
        <v/>
      </c>
      <c r="R260">
        <f>IFERROR(INDEX(PP_Grid[#Data],$DE260,15),0)</f>
        <v/>
      </c>
      <c r="S260">
        <f>IFERROR(INDEX(PP_Grid[#Data],$DE260,16),0)</f>
        <v/>
      </c>
      <c r="T260">
        <f>IFERROR(INDEX(PP_Grid[#Data],$DE260,17),0)</f>
        <v/>
      </c>
      <c r="U260">
        <f>IFERROR(INDEX(PP_Grid[#Data],$DE260,18),0)</f>
        <v/>
      </c>
      <c r="V260">
        <f>IFERROR(INDEX(PP_Grid[#Data],$DE260,19),0)</f>
        <v/>
      </c>
      <c r="W260">
        <f>IFERROR(INDEX(PP_Grid[#Data],$DE260,20),0)</f>
        <v/>
      </c>
      <c r="X260">
        <f>IFERROR(INDEX(PP_Grid[#Data],$DE260,21),0)</f>
        <v/>
      </c>
      <c r="Y260">
        <f>IFERROR(INDEX(PP_Grid[#Data],$DE260,22),0)</f>
        <v/>
      </c>
      <c r="Z260">
        <f>IFERROR(INDEX(PP_Grid[#Data],$DE260,23),0)</f>
        <v/>
      </c>
      <c r="AA260">
        <f>IFERROR(INDEX(PP_Grid[#Data],$DE260,24),0)</f>
        <v/>
      </c>
      <c r="AB260">
        <f>IFERROR(INDEX(PP_Grid[#Data],$DE260,25),0)</f>
        <v/>
      </c>
      <c r="AC260">
        <f>IFERROR(INDEX(PP_Grid[#Data],$DE260,26),0)</f>
        <v/>
      </c>
      <c r="AD260">
        <f>IFERROR(INDEX(PP_Grid[#Data],$DE260,27),0)</f>
        <v/>
      </c>
      <c r="AE260">
        <f>IFERROR(INDEX(PP_Grid[#Data],$DE260,28),0)</f>
        <v/>
      </c>
      <c r="AF260">
        <f>IFERROR(INDEX(PP_Grid[#Data],$DE260,29),0)</f>
        <v/>
      </c>
      <c r="AG260">
        <f>IFERROR(INDEX(PP_Grid[#Data],$DE260,30),0)</f>
        <v/>
      </c>
      <c r="AH260">
        <f>IFERROR(INDEX(PP_Grid[#Data],$DE260,31),0)</f>
        <v/>
      </c>
      <c r="AI260">
        <f>IFERROR(INDEX(PP_Grid[#Data],$DE260,32),0)</f>
        <v/>
      </c>
      <c r="AJ260">
        <f>IFERROR(INDEX(PP_Grid[#Data],$DE260,33),0)</f>
        <v/>
      </c>
      <c r="AK260">
        <f>IFERROR(INDEX(PP_Grid[#Data],$DE260,34),0)</f>
        <v/>
      </c>
      <c r="AL260">
        <f>IFERROR(INDEX(PP_Grid[#Data],$DE260,35),0)</f>
        <v/>
      </c>
      <c r="AM260">
        <f>IFERROR(INDEX(PP_Grid[#Data],$DE260,36),0)</f>
        <v/>
      </c>
      <c r="AN260">
        <f>IFERROR(INDEX(PP_Grid[#Data],$DE260,37),0)</f>
        <v/>
      </c>
      <c r="AO260">
        <f>IFERROR(INDEX(PP_Grid[#Data],$DE260,38),0)</f>
        <v/>
      </c>
      <c r="AP260">
        <f>IFERROR(INDEX(PP_Grid[#Data],$DE260,39),0)</f>
        <v/>
      </c>
      <c r="AQ260">
        <f>IFERROR(INDEX(PP_Grid[#Data],$DE260,40),0)</f>
        <v/>
      </c>
      <c r="AR260">
        <f>IFERROR(INDEX(PP_Grid[#Data],$DE260,41),0)</f>
        <v/>
      </c>
      <c r="AS260">
        <f>IFERROR(INDEX(PP_Grid[#Data],$DE260,42),0)</f>
        <v/>
      </c>
      <c r="AT260">
        <f>IFERROR(INDEX(PP_Grid[#Data],$DE260,43),0)</f>
        <v/>
      </c>
      <c r="AU260">
        <f>IFERROR(INDEX(PP_Grid[#Data],$DE260,44),0)</f>
        <v/>
      </c>
      <c r="AV260">
        <f>IFERROR(INDEX(PP_Grid[#Data],$DE260,45),0)</f>
        <v/>
      </c>
      <c r="AW260">
        <f>IFERROR(INDEX(PP_Grid[#Data],$DE260,46),0)</f>
        <v/>
      </c>
      <c r="AX260">
        <f>IFERROR(INDEX(PP_Grid[#Data],$DE260,47),0)</f>
        <v/>
      </c>
      <c r="AY260">
        <f>IFERROR(INDEX(PP_Grid[#Data],$DE260,48),0)</f>
        <v/>
      </c>
      <c r="AZ260">
        <f>IFERROR(INDEX(PP_Grid[#Data],$DE260,49),0)</f>
        <v/>
      </c>
      <c r="BA260">
        <f>IFERROR(INDEX(PP_Grid[#Data],$DE260,50),0)</f>
        <v/>
      </c>
      <c r="BB260">
        <f>IFERROR(INDEX(PP_Grid[#Data],$DE260,51),0)</f>
        <v/>
      </c>
      <c r="BC260">
        <f>IFERROR(INDEX(PP_Grid[#Data],$DE260,52),0)</f>
        <v/>
      </c>
      <c r="BD260">
        <f>IFERROR(INDEX(PP_Grid[#Data],$DE260,53),0)</f>
        <v/>
      </c>
      <c r="BE260">
        <f>IFERROR(INDEX(PP_Grid[#Data],$DE260,54),0)</f>
        <v/>
      </c>
      <c r="BF260">
        <f>IFERROR(INDEX(PP_Grid[#Data],$DE260,55),0)</f>
        <v/>
      </c>
      <c r="BG260">
        <f>IFERROR(INDEX(PP_Grid[#Data],$DE260,56),0)</f>
        <v/>
      </c>
      <c r="BH260">
        <f>IFERROR(INDEX(PP_Grid[#Data],$DE260,57),0)</f>
        <v/>
      </c>
      <c r="BI260">
        <f>IFERROR(INDEX(PP_Grid[#Data],$DE260,58),0)</f>
        <v/>
      </c>
      <c r="BJ260">
        <f>IFERROR(INDEX(PP_Grid[#Data],$DE260,59),0)</f>
        <v/>
      </c>
      <c r="BK260">
        <f>IFERROR(INDEX(PP_Grid[#Data],$DE260,60),0)</f>
        <v/>
      </c>
      <c r="BL260">
        <f>IFERROR(INDEX(PP_Grid[#Data],$DE260,61),0)</f>
        <v/>
      </c>
      <c r="BM260">
        <f>IFERROR(INDEX(PP_Grid[#Data],$DE260,62),0)</f>
        <v/>
      </c>
      <c r="BN260">
        <f>IFERROR(INDEX(PP_Grid[#Data],$DE260,63),0)</f>
        <v/>
      </c>
      <c r="BO260">
        <f>IFERROR(INDEX(PP_Grid[#Data],$DE260,64),0)</f>
        <v/>
      </c>
      <c r="BP260">
        <f>IFERROR(INDEX(PP_Grid[#Data],$DE260,65),0)</f>
        <v/>
      </c>
      <c r="BQ260">
        <f>IFERROR(INDEX(PP_Grid[#Data],$DE260,66),0)</f>
        <v/>
      </c>
      <c r="BR260">
        <f>IFERROR(INDEX(PP_Grid[#Data],$DE260,67),0)</f>
        <v/>
      </c>
      <c r="BS260">
        <f>IFERROR(INDEX(PP_Grid[#Data],$DE260,68),0)</f>
        <v/>
      </c>
      <c r="BT260">
        <f>IFERROR(INDEX(PP_Grid[#Data],$DE260,69),0)</f>
        <v/>
      </c>
      <c r="BU260">
        <f>IFERROR(INDEX(PP_Grid[#Data],$DE260,70),0)</f>
        <v/>
      </c>
      <c r="BV260">
        <f>IFERROR(INDEX(PP_Grid[#Data],$DE260,71),0)</f>
        <v/>
      </c>
      <c r="BW260">
        <f>IFERROR(INDEX(PP_Grid[#Data],$DE260,72),0)</f>
        <v/>
      </c>
      <c r="BX260">
        <f>IFERROR(INDEX(PP_Grid[#Data],$DE260,73),0)</f>
        <v/>
      </c>
      <c r="BY260">
        <f>IFERROR(INDEX(PP_Grid[#Data],$DE260,74),0)</f>
        <v/>
      </c>
      <c r="BZ260">
        <f>IFERROR(INDEX(PP_Grid[#Data],$DE260,75),0)</f>
        <v/>
      </c>
      <c r="CA260">
        <f>IFERROR(INDEX(PP_Grid[#Data],$DE260,76),0)</f>
        <v/>
      </c>
      <c r="CB260">
        <f>IFERROR(INDEX(PP_Grid[#Data],$DE260,77),0)</f>
        <v/>
      </c>
      <c r="CC260">
        <f>IFERROR(INDEX(PP_Grid[#Data],$DE260,78),0)</f>
        <v/>
      </c>
      <c r="CD260">
        <f>IFERROR(INDEX(PP_Grid[#Data],$DE260,79),0)</f>
        <v/>
      </c>
      <c r="CE260">
        <f>IFERROR(INDEX(PP_Grid[#Data],$DE260,80),0)</f>
        <v/>
      </c>
      <c r="CF260">
        <f>IFERROR(INDEX(PP_Grid[#Data],$DE260,81),0)</f>
        <v/>
      </c>
      <c r="CG260">
        <f>IFERROR(INDEX(PP_Grid[#Data],$DE260,82),0)</f>
        <v/>
      </c>
      <c r="CH260">
        <f>IFERROR(INDEX(PP_Grid[#Data],$DE260,83),0)</f>
        <v/>
      </c>
      <c r="CI260">
        <f>IFERROR(INDEX(PP_Grid[#Data],$DE260,84),0)</f>
        <v/>
      </c>
      <c r="CJ260">
        <f>IFERROR(INDEX(PP_Grid[#Data],$DE260,85),0)</f>
        <v/>
      </c>
      <c r="CK260">
        <f>IFERROR(INDEX(PP_Grid[#Data],$DE260,86),0)</f>
        <v/>
      </c>
      <c r="CL260">
        <f>IFERROR(INDEX(PP_Grid[#Data],$DE260,87),0)</f>
        <v/>
      </c>
      <c r="CM260">
        <f>IFERROR(INDEX(PP_Grid[#Data],$DE260,88),0)</f>
        <v/>
      </c>
      <c r="CN260">
        <f>IFERROR(INDEX(PP_Grid[#Data],$DE260,89),0)</f>
        <v/>
      </c>
      <c r="CO260">
        <f>IFERROR(INDEX(PP_Grid[#Data],$DE260,90),0)</f>
        <v/>
      </c>
      <c r="CP260">
        <f>IFERROR(INDEX(PP_Grid[#Data],$DE260,91),0)</f>
        <v/>
      </c>
      <c r="CQ260">
        <f>IFERROR(INDEX(PP_Grid[#Data],$DE260,92),0)</f>
        <v/>
      </c>
      <c r="CR260">
        <f>IFERROR(INDEX(PP_Grid[#Data],$DE260,93),0)</f>
        <v/>
      </c>
      <c r="CS260">
        <f>IFERROR(INDEX(PP_Grid[#Data],$DE260,94),0)</f>
        <v/>
      </c>
      <c r="CT260">
        <f>IFERROR(INDEX(PP_Grid[#Data],$DE260,95),0)</f>
        <v/>
      </c>
      <c r="CU260">
        <f>IFERROR(INDEX(PP_Grid[#Data],$DE260,96),0)</f>
        <v/>
      </c>
      <c r="CV260">
        <f>IFERROR(INDEX(PP_Grid[#Data],$DE260,97),0)</f>
        <v/>
      </c>
      <c r="CW260">
        <f>IFERROR(INDEX(PP_Grid[#Data],$DE260,98),0)</f>
        <v/>
      </c>
      <c r="CX260">
        <f>IFERROR(INDEX(PP_Grid[#Data],$DE260,99),0)</f>
        <v/>
      </c>
      <c r="CY260">
        <f>IFERROR(INDEX(PP_Grid[#Data],$DE260,100),0)</f>
        <v/>
      </c>
      <c r="CZ260">
        <f>IFERROR(INDEX(PP_Grid[#Data],$DE260,101),0)</f>
        <v/>
      </c>
      <c r="DA260">
        <f>IFERROR(INDEX(PP_Grid[#Data],$DE260,102),0)</f>
        <v/>
      </c>
      <c r="DB260">
        <f>IFERROR(INDEX(PP_Grid[#Data],$DE260,103),0)</f>
        <v/>
      </c>
      <c r="DC260">
        <f>IFERROR(INDEX(PP_Grid[#Data],$DE260,104),0)</f>
        <v/>
      </c>
      <c r="DD260">
        <f>IFERROR(INDEX(PP_Grid[#Data],$DE260,105),0)</f>
        <v/>
      </c>
      <c r="DE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SUMIFS(M_BOM[RM_Qty_Per_Batch],M_BOM[Intermediate],$B260,M_BOM[RM_Code],$A199)</f>
        <v/>
      </c>
      <c r="D261">
        <f>IFERROR(INDEX(E261:DD261,$F$1),"")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  <c r="DD261">
        <f>$C261*DD260</f>
        <v/>
      </c>
    </row>
    <row r="262">
      <c r="B262" t="inlineStr">
        <is>
          <t>TSP-924</t>
        </is>
      </c>
      <c r="C262" t="inlineStr">
        <is>
          <t>No. of batches</t>
        </is>
      </c>
      <c r="D262">
        <f>IFERROR(INDEX(E262:DD262,$F$1),"")</f>
        <v/>
      </c>
      <c r="E262">
        <f>IFERROR(INDEX(PP_Grid[#Data],$DE262,2),0)</f>
        <v/>
      </c>
      <c r="F262">
        <f>IFERROR(INDEX(PP_Grid[#Data],$DE262,3),0)</f>
        <v/>
      </c>
      <c r="G262">
        <f>IFERROR(INDEX(PP_Grid[#Data],$DE262,4),0)</f>
        <v/>
      </c>
      <c r="H262">
        <f>IFERROR(INDEX(PP_Grid[#Data],$DE262,5),0)</f>
        <v/>
      </c>
      <c r="I262">
        <f>IFERROR(INDEX(PP_Grid[#Data],$DE262,6),0)</f>
        <v/>
      </c>
      <c r="J262">
        <f>IFERROR(INDEX(PP_Grid[#Data],$DE262,7),0)</f>
        <v/>
      </c>
      <c r="K262">
        <f>IFERROR(INDEX(PP_Grid[#Data],$DE262,8),0)</f>
        <v/>
      </c>
      <c r="L262">
        <f>IFERROR(INDEX(PP_Grid[#Data],$DE262,9),0)</f>
        <v/>
      </c>
      <c r="M262">
        <f>IFERROR(INDEX(PP_Grid[#Data],$DE262,10),0)</f>
        <v/>
      </c>
      <c r="N262">
        <f>IFERROR(INDEX(PP_Grid[#Data],$DE262,11),0)</f>
        <v/>
      </c>
      <c r="O262">
        <f>IFERROR(INDEX(PP_Grid[#Data],$DE262,12),0)</f>
        <v/>
      </c>
      <c r="P262">
        <f>IFERROR(INDEX(PP_Grid[#Data],$DE262,13),0)</f>
        <v/>
      </c>
      <c r="Q262">
        <f>IFERROR(INDEX(PP_Grid[#Data],$DE262,14),0)</f>
        <v/>
      </c>
      <c r="R262">
        <f>IFERROR(INDEX(PP_Grid[#Data],$DE262,15),0)</f>
        <v/>
      </c>
      <c r="S262">
        <f>IFERROR(INDEX(PP_Grid[#Data],$DE262,16),0)</f>
        <v/>
      </c>
      <c r="T262">
        <f>IFERROR(INDEX(PP_Grid[#Data],$DE262,17),0)</f>
        <v/>
      </c>
      <c r="U262">
        <f>IFERROR(INDEX(PP_Grid[#Data],$DE262,18),0)</f>
        <v/>
      </c>
      <c r="V262">
        <f>IFERROR(INDEX(PP_Grid[#Data],$DE262,19),0)</f>
        <v/>
      </c>
      <c r="W262">
        <f>IFERROR(INDEX(PP_Grid[#Data],$DE262,20),0)</f>
        <v/>
      </c>
      <c r="X262">
        <f>IFERROR(INDEX(PP_Grid[#Data],$DE262,21),0)</f>
        <v/>
      </c>
      <c r="Y262">
        <f>IFERROR(INDEX(PP_Grid[#Data],$DE262,22),0)</f>
        <v/>
      </c>
      <c r="Z262">
        <f>IFERROR(INDEX(PP_Grid[#Data],$DE262,23),0)</f>
        <v/>
      </c>
      <c r="AA262">
        <f>IFERROR(INDEX(PP_Grid[#Data],$DE262,24),0)</f>
        <v/>
      </c>
      <c r="AB262">
        <f>IFERROR(INDEX(PP_Grid[#Data],$DE262,25),0)</f>
        <v/>
      </c>
      <c r="AC262">
        <f>IFERROR(INDEX(PP_Grid[#Data],$DE262,26),0)</f>
        <v/>
      </c>
      <c r="AD262">
        <f>IFERROR(INDEX(PP_Grid[#Data],$DE262,27),0)</f>
        <v/>
      </c>
      <c r="AE262">
        <f>IFERROR(INDEX(PP_Grid[#Data],$DE262,28),0)</f>
        <v/>
      </c>
      <c r="AF262">
        <f>IFERROR(INDEX(PP_Grid[#Data],$DE262,29),0)</f>
        <v/>
      </c>
      <c r="AG262">
        <f>IFERROR(INDEX(PP_Grid[#Data],$DE262,30),0)</f>
        <v/>
      </c>
      <c r="AH262">
        <f>IFERROR(INDEX(PP_Grid[#Data],$DE262,31),0)</f>
        <v/>
      </c>
      <c r="AI262">
        <f>IFERROR(INDEX(PP_Grid[#Data],$DE262,32),0)</f>
        <v/>
      </c>
      <c r="AJ262">
        <f>IFERROR(INDEX(PP_Grid[#Data],$DE262,33),0)</f>
        <v/>
      </c>
      <c r="AK262">
        <f>IFERROR(INDEX(PP_Grid[#Data],$DE262,34),0)</f>
        <v/>
      </c>
      <c r="AL262">
        <f>IFERROR(INDEX(PP_Grid[#Data],$DE262,35),0)</f>
        <v/>
      </c>
      <c r="AM262">
        <f>IFERROR(INDEX(PP_Grid[#Data],$DE262,36),0)</f>
        <v/>
      </c>
      <c r="AN262">
        <f>IFERROR(INDEX(PP_Grid[#Data],$DE262,37),0)</f>
        <v/>
      </c>
      <c r="AO262">
        <f>IFERROR(INDEX(PP_Grid[#Data],$DE262,38),0)</f>
        <v/>
      </c>
      <c r="AP262">
        <f>IFERROR(INDEX(PP_Grid[#Data],$DE262,39),0)</f>
        <v/>
      </c>
      <c r="AQ262">
        <f>IFERROR(INDEX(PP_Grid[#Data],$DE262,40),0)</f>
        <v/>
      </c>
      <c r="AR262">
        <f>IFERROR(INDEX(PP_Grid[#Data],$DE262,41),0)</f>
        <v/>
      </c>
      <c r="AS262">
        <f>IFERROR(INDEX(PP_Grid[#Data],$DE262,42),0)</f>
        <v/>
      </c>
      <c r="AT262">
        <f>IFERROR(INDEX(PP_Grid[#Data],$DE262,43),0)</f>
        <v/>
      </c>
      <c r="AU262">
        <f>IFERROR(INDEX(PP_Grid[#Data],$DE262,44),0)</f>
        <v/>
      </c>
      <c r="AV262">
        <f>IFERROR(INDEX(PP_Grid[#Data],$DE262,45),0)</f>
        <v/>
      </c>
      <c r="AW262">
        <f>IFERROR(INDEX(PP_Grid[#Data],$DE262,46),0)</f>
        <v/>
      </c>
      <c r="AX262">
        <f>IFERROR(INDEX(PP_Grid[#Data],$DE262,47),0)</f>
        <v/>
      </c>
      <c r="AY262">
        <f>IFERROR(INDEX(PP_Grid[#Data],$DE262,48),0)</f>
        <v/>
      </c>
      <c r="AZ262">
        <f>IFERROR(INDEX(PP_Grid[#Data],$DE262,49),0)</f>
        <v/>
      </c>
      <c r="BA262">
        <f>IFERROR(INDEX(PP_Grid[#Data],$DE262,50),0)</f>
        <v/>
      </c>
      <c r="BB262">
        <f>IFERROR(INDEX(PP_Grid[#Data],$DE262,51),0)</f>
        <v/>
      </c>
      <c r="BC262">
        <f>IFERROR(INDEX(PP_Grid[#Data],$DE262,52),0)</f>
        <v/>
      </c>
      <c r="BD262">
        <f>IFERROR(INDEX(PP_Grid[#Data],$DE262,53),0)</f>
        <v/>
      </c>
      <c r="BE262">
        <f>IFERROR(INDEX(PP_Grid[#Data],$DE262,54),0)</f>
        <v/>
      </c>
      <c r="BF262">
        <f>IFERROR(INDEX(PP_Grid[#Data],$DE262,55),0)</f>
        <v/>
      </c>
      <c r="BG262">
        <f>IFERROR(INDEX(PP_Grid[#Data],$DE262,56),0)</f>
        <v/>
      </c>
      <c r="BH262">
        <f>IFERROR(INDEX(PP_Grid[#Data],$DE262,57),0)</f>
        <v/>
      </c>
      <c r="BI262">
        <f>IFERROR(INDEX(PP_Grid[#Data],$DE262,58),0)</f>
        <v/>
      </c>
      <c r="BJ262">
        <f>IFERROR(INDEX(PP_Grid[#Data],$DE262,59),0)</f>
        <v/>
      </c>
      <c r="BK262">
        <f>IFERROR(INDEX(PP_Grid[#Data],$DE262,60),0)</f>
        <v/>
      </c>
      <c r="BL262">
        <f>IFERROR(INDEX(PP_Grid[#Data],$DE262,61),0)</f>
        <v/>
      </c>
      <c r="BM262">
        <f>IFERROR(INDEX(PP_Grid[#Data],$DE262,62),0)</f>
        <v/>
      </c>
      <c r="BN262">
        <f>IFERROR(INDEX(PP_Grid[#Data],$DE262,63),0)</f>
        <v/>
      </c>
      <c r="BO262">
        <f>IFERROR(INDEX(PP_Grid[#Data],$DE262,64),0)</f>
        <v/>
      </c>
      <c r="BP262">
        <f>IFERROR(INDEX(PP_Grid[#Data],$DE262,65),0)</f>
        <v/>
      </c>
      <c r="BQ262">
        <f>IFERROR(INDEX(PP_Grid[#Data],$DE262,66),0)</f>
        <v/>
      </c>
      <c r="BR262">
        <f>IFERROR(INDEX(PP_Grid[#Data],$DE262,67),0)</f>
        <v/>
      </c>
      <c r="BS262">
        <f>IFERROR(INDEX(PP_Grid[#Data],$DE262,68),0)</f>
        <v/>
      </c>
      <c r="BT262">
        <f>IFERROR(INDEX(PP_Grid[#Data],$DE262,69),0)</f>
        <v/>
      </c>
      <c r="BU262">
        <f>IFERROR(INDEX(PP_Grid[#Data],$DE262,70),0)</f>
        <v/>
      </c>
      <c r="BV262">
        <f>IFERROR(INDEX(PP_Grid[#Data],$DE262,71),0)</f>
        <v/>
      </c>
      <c r="BW262">
        <f>IFERROR(INDEX(PP_Grid[#Data],$DE262,72),0)</f>
        <v/>
      </c>
      <c r="BX262">
        <f>IFERROR(INDEX(PP_Grid[#Data],$DE262,73),0)</f>
        <v/>
      </c>
      <c r="BY262">
        <f>IFERROR(INDEX(PP_Grid[#Data],$DE262,74),0)</f>
        <v/>
      </c>
      <c r="BZ262">
        <f>IFERROR(INDEX(PP_Grid[#Data],$DE262,75),0)</f>
        <v/>
      </c>
      <c r="CA262">
        <f>IFERROR(INDEX(PP_Grid[#Data],$DE262,76),0)</f>
        <v/>
      </c>
      <c r="CB262">
        <f>IFERROR(INDEX(PP_Grid[#Data],$DE262,77),0)</f>
        <v/>
      </c>
      <c r="CC262">
        <f>IFERROR(INDEX(PP_Grid[#Data],$DE262,78),0)</f>
        <v/>
      </c>
      <c r="CD262">
        <f>IFERROR(INDEX(PP_Grid[#Data],$DE262,79),0)</f>
        <v/>
      </c>
      <c r="CE262">
        <f>IFERROR(INDEX(PP_Grid[#Data],$DE262,80),0)</f>
        <v/>
      </c>
      <c r="CF262">
        <f>IFERROR(INDEX(PP_Grid[#Data],$DE262,81),0)</f>
        <v/>
      </c>
      <c r="CG262">
        <f>IFERROR(INDEX(PP_Grid[#Data],$DE262,82),0)</f>
        <v/>
      </c>
      <c r="CH262">
        <f>IFERROR(INDEX(PP_Grid[#Data],$DE262,83),0)</f>
        <v/>
      </c>
      <c r="CI262">
        <f>IFERROR(INDEX(PP_Grid[#Data],$DE262,84),0)</f>
        <v/>
      </c>
      <c r="CJ262">
        <f>IFERROR(INDEX(PP_Grid[#Data],$DE262,85),0)</f>
        <v/>
      </c>
      <c r="CK262">
        <f>IFERROR(INDEX(PP_Grid[#Data],$DE262,86),0)</f>
        <v/>
      </c>
      <c r="CL262">
        <f>IFERROR(INDEX(PP_Grid[#Data],$DE262,87),0)</f>
        <v/>
      </c>
      <c r="CM262">
        <f>IFERROR(INDEX(PP_Grid[#Data],$DE262,88),0)</f>
        <v/>
      </c>
      <c r="CN262">
        <f>IFERROR(INDEX(PP_Grid[#Data],$DE262,89),0)</f>
        <v/>
      </c>
      <c r="CO262">
        <f>IFERROR(INDEX(PP_Grid[#Data],$DE262,90),0)</f>
        <v/>
      </c>
      <c r="CP262">
        <f>IFERROR(INDEX(PP_Grid[#Data],$DE262,91),0)</f>
        <v/>
      </c>
      <c r="CQ262">
        <f>IFERROR(INDEX(PP_Grid[#Data],$DE262,92),0)</f>
        <v/>
      </c>
      <c r="CR262">
        <f>IFERROR(INDEX(PP_Grid[#Data],$DE262,93),0)</f>
        <v/>
      </c>
      <c r="CS262">
        <f>IFERROR(INDEX(PP_Grid[#Data],$DE262,94),0)</f>
        <v/>
      </c>
      <c r="CT262">
        <f>IFERROR(INDEX(PP_Grid[#Data],$DE262,95),0)</f>
        <v/>
      </c>
      <c r="CU262">
        <f>IFERROR(INDEX(PP_Grid[#Data],$DE262,96),0)</f>
        <v/>
      </c>
      <c r="CV262">
        <f>IFERROR(INDEX(PP_Grid[#Data],$DE262,97),0)</f>
        <v/>
      </c>
      <c r="CW262">
        <f>IFERROR(INDEX(PP_Grid[#Data],$DE262,98),0)</f>
        <v/>
      </c>
      <c r="CX262">
        <f>IFERROR(INDEX(PP_Grid[#Data],$DE262,99),0)</f>
        <v/>
      </c>
      <c r="CY262">
        <f>IFERROR(INDEX(PP_Grid[#Data],$DE262,100),0)</f>
        <v/>
      </c>
      <c r="CZ262">
        <f>IFERROR(INDEX(PP_Grid[#Data],$DE262,101),0)</f>
        <v/>
      </c>
      <c r="DA262">
        <f>IFERROR(INDEX(PP_Grid[#Data],$DE262,102),0)</f>
        <v/>
      </c>
      <c r="DB262">
        <f>IFERROR(INDEX(PP_Grid[#Data],$DE262,103),0)</f>
        <v/>
      </c>
      <c r="DC262">
        <f>IFERROR(INDEX(PP_Grid[#Data],$DE262,104),0)</f>
        <v/>
      </c>
      <c r="DD262">
        <f>IFERROR(INDEX(PP_Grid[#Data],$DE262,105),0)</f>
        <v/>
      </c>
      <c r="DE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SUMIFS(M_BOM[RM_Qty_Per_Batch],M_BOM[Intermediate],$B262,M_BOM[RM_Code],$A199)</f>
        <v/>
      </c>
      <c r="D263">
        <f>IFERROR(INDEX(E263:DD263,$F$1),"")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  <c r="DD263">
        <f>$C263*DD262</f>
        <v/>
      </c>
    </row>
    <row r="264">
      <c r="B264" t="inlineStr">
        <is>
          <t>TSP-925</t>
        </is>
      </c>
      <c r="C264" t="inlineStr">
        <is>
          <t>No. of batches</t>
        </is>
      </c>
      <c r="D264">
        <f>IFERROR(INDEX(E264:DD264,$F$1),"")</f>
        <v/>
      </c>
      <c r="E264">
        <f>IFERROR(INDEX(PP_Grid[#Data],$DE264,2),0)</f>
        <v/>
      </c>
      <c r="F264">
        <f>IFERROR(INDEX(PP_Grid[#Data],$DE264,3),0)</f>
        <v/>
      </c>
      <c r="G264">
        <f>IFERROR(INDEX(PP_Grid[#Data],$DE264,4),0)</f>
        <v/>
      </c>
      <c r="H264">
        <f>IFERROR(INDEX(PP_Grid[#Data],$DE264,5),0)</f>
        <v/>
      </c>
      <c r="I264">
        <f>IFERROR(INDEX(PP_Grid[#Data],$DE264,6),0)</f>
        <v/>
      </c>
      <c r="J264">
        <f>IFERROR(INDEX(PP_Grid[#Data],$DE264,7),0)</f>
        <v/>
      </c>
      <c r="K264">
        <f>IFERROR(INDEX(PP_Grid[#Data],$DE264,8),0)</f>
        <v/>
      </c>
      <c r="L264">
        <f>IFERROR(INDEX(PP_Grid[#Data],$DE264,9),0)</f>
        <v/>
      </c>
      <c r="M264">
        <f>IFERROR(INDEX(PP_Grid[#Data],$DE264,10),0)</f>
        <v/>
      </c>
      <c r="N264">
        <f>IFERROR(INDEX(PP_Grid[#Data],$DE264,11),0)</f>
        <v/>
      </c>
      <c r="O264">
        <f>IFERROR(INDEX(PP_Grid[#Data],$DE264,12),0)</f>
        <v/>
      </c>
      <c r="P264">
        <f>IFERROR(INDEX(PP_Grid[#Data],$DE264,13),0)</f>
        <v/>
      </c>
      <c r="Q264">
        <f>IFERROR(INDEX(PP_Grid[#Data],$DE264,14),0)</f>
        <v/>
      </c>
      <c r="R264">
        <f>IFERROR(INDEX(PP_Grid[#Data],$DE264,15),0)</f>
        <v/>
      </c>
      <c r="S264">
        <f>IFERROR(INDEX(PP_Grid[#Data],$DE264,16),0)</f>
        <v/>
      </c>
      <c r="T264">
        <f>IFERROR(INDEX(PP_Grid[#Data],$DE264,17),0)</f>
        <v/>
      </c>
      <c r="U264">
        <f>IFERROR(INDEX(PP_Grid[#Data],$DE264,18),0)</f>
        <v/>
      </c>
      <c r="V264">
        <f>IFERROR(INDEX(PP_Grid[#Data],$DE264,19),0)</f>
        <v/>
      </c>
      <c r="W264">
        <f>IFERROR(INDEX(PP_Grid[#Data],$DE264,20),0)</f>
        <v/>
      </c>
      <c r="X264">
        <f>IFERROR(INDEX(PP_Grid[#Data],$DE264,21),0)</f>
        <v/>
      </c>
      <c r="Y264">
        <f>IFERROR(INDEX(PP_Grid[#Data],$DE264,22),0)</f>
        <v/>
      </c>
      <c r="Z264">
        <f>IFERROR(INDEX(PP_Grid[#Data],$DE264,23),0)</f>
        <v/>
      </c>
      <c r="AA264">
        <f>IFERROR(INDEX(PP_Grid[#Data],$DE264,24),0)</f>
        <v/>
      </c>
      <c r="AB264">
        <f>IFERROR(INDEX(PP_Grid[#Data],$DE264,25),0)</f>
        <v/>
      </c>
      <c r="AC264">
        <f>IFERROR(INDEX(PP_Grid[#Data],$DE264,26),0)</f>
        <v/>
      </c>
      <c r="AD264">
        <f>IFERROR(INDEX(PP_Grid[#Data],$DE264,27),0)</f>
        <v/>
      </c>
      <c r="AE264">
        <f>IFERROR(INDEX(PP_Grid[#Data],$DE264,28),0)</f>
        <v/>
      </c>
      <c r="AF264">
        <f>IFERROR(INDEX(PP_Grid[#Data],$DE264,29),0)</f>
        <v/>
      </c>
      <c r="AG264">
        <f>IFERROR(INDEX(PP_Grid[#Data],$DE264,30),0)</f>
        <v/>
      </c>
      <c r="AH264">
        <f>IFERROR(INDEX(PP_Grid[#Data],$DE264,31),0)</f>
        <v/>
      </c>
      <c r="AI264">
        <f>IFERROR(INDEX(PP_Grid[#Data],$DE264,32),0)</f>
        <v/>
      </c>
      <c r="AJ264">
        <f>IFERROR(INDEX(PP_Grid[#Data],$DE264,33),0)</f>
        <v/>
      </c>
      <c r="AK264">
        <f>IFERROR(INDEX(PP_Grid[#Data],$DE264,34),0)</f>
        <v/>
      </c>
      <c r="AL264">
        <f>IFERROR(INDEX(PP_Grid[#Data],$DE264,35),0)</f>
        <v/>
      </c>
      <c r="AM264">
        <f>IFERROR(INDEX(PP_Grid[#Data],$DE264,36),0)</f>
        <v/>
      </c>
      <c r="AN264">
        <f>IFERROR(INDEX(PP_Grid[#Data],$DE264,37),0)</f>
        <v/>
      </c>
      <c r="AO264">
        <f>IFERROR(INDEX(PP_Grid[#Data],$DE264,38),0)</f>
        <v/>
      </c>
      <c r="AP264">
        <f>IFERROR(INDEX(PP_Grid[#Data],$DE264,39),0)</f>
        <v/>
      </c>
      <c r="AQ264">
        <f>IFERROR(INDEX(PP_Grid[#Data],$DE264,40),0)</f>
        <v/>
      </c>
      <c r="AR264">
        <f>IFERROR(INDEX(PP_Grid[#Data],$DE264,41),0)</f>
        <v/>
      </c>
      <c r="AS264">
        <f>IFERROR(INDEX(PP_Grid[#Data],$DE264,42),0)</f>
        <v/>
      </c>
      <c r="AT264">
        <f>IFERROR(INDEX(PP_Grid[#Data],$DE264,43),0)</f>
        <v/>
      </c>
      <c r="AU264">
        <f>IFERROR(INDEX(PP_Grid[#Data],$DE264,44),0)</f>
        <v/>
      </c>
      <c r="AV264">
        <f>IFERROR(INDEX(PP_Grid[#Data],$DE264,45),0)</f>
        <v/>
      </c>
      <c r="AW264">
        <f>IFERROR(INDEX(PP_Grid[#Data],$DE264,46),0)</f>
        <v/>
      </c>
      <c r="AX264">
        <f>IFERROR(INDEX(PP_Grid[#Data],$DE264,47),0)</f>
        <v/>
      </c>
      <c r="AY264">
        <f>IFERROR(INDEX(PP_Grid[#Data],$DE264,48),0)</f>
        <v/>
      </c>
      <c r="AZ264">
        <f>IFERROR(INDEX(PP_Grid[#Data],$DE264,49),0)</f>
        <v/>
      </c>
      <c r="BA264">
        <f>IFERROR(INDEX(PP_Grid[#Data],$DE264,50),0)</f>
        <v/>
      </c>
      <c r="BB264">
        <f>IFERROR(INDEX(PP_Grid[#Data],$DE264,51),0)</f>
        <v/>
      </c>
      <c r="BC264">
        <f>IFERROR(INDEX(PP_Grid[#Data],$DE264,52),0)</f>
        <v/>
      </c>
      <c r="BD264">
        <f>IFERROR(INDEX(PP_Grid[#Data],$DE264,53),0)</f>
        <v/>
      </c>
      <c r="BE264">
        <f>IFERROR(INDEX(PP_Grid[#Data],$DE264,54),0)</f>
        <v/>
      </c>
      <c r="BF264">
        <f>IFERROR(INDEX(PP_Grid[#Data],$DE264,55),0)</f>
        <v/>
      </c>
      <c r="BG264">
        <f>IFERROR(INDEX(PP_Grid[#Data],$DE264,56),0)</f>
        <v/>
      </c>
      <c r="BH264">
        <f>IFERROR(INDEX(PP_Grid[#Data],$DE264,57),0)</f>
        <v/>
      </c>
      <c r="BI264">
        <f>IFERROR(INDEX(PP_Grid[#Data],$DE264,58),0)</f>
        <v/>
      </c>
      <c r="BJ264">
        <f>IFERROR(INDEX(PP_Grid[#Data],$DE264,59),0)</f>
        <v/>
      </c>
      <c r="BK264">
        <f>IFERROR(INDEX(PP_Grid[#Data],$DE264,60),0)</f>
        <v/>
      </c>
      <c r="BL264">
        <f>IFERROR(INDEX(PP_Grid[#Data],$DE264,61),0)</f>
        <v/>
      </c>
      <c r="BM264">
        <f>IFERROR(INDEX(PP_Grid[#Data],$DE264,62),0)</f>
        <v/>
      </c>
      <c r="BN264">
        <f>IFERROR(INDEX(PP_Grid[#Data],$DE264,63),0)</f>
        <v/>
      </c>
      <c r="BO264">
        <f>IFERROR(INDEX(PP_Grid[#Data],$DE264,64),0)</f>
        <v/>
      </c>
      <c r="BP264">
        <f>IFERROR(INDEX(PP_Grid[#Data],$DE264,65),0)</f>
        <v/>
      </c>
      <c r="BQ264">
        <f>IFERROR(INDEX(PP_Grid[#Data],$DE264,66),0)</f>
        <v/>
      </c>
      <c r="BR264">
        <f>IFERROR(INDEX(PP_Grid[#Data],$DE264,67),0)</f>
        <v/>
      </c>
      <c r="BS264">
        <f>IFERROR(INDEX(PP_Grid[#Data],$DE264,68),0)</f>
        <v/>
      </c>
      <c r="BT264">
        <f>IFERROR(INDEX(PP_Grid[#Data],$DE264,69),0)</f>
        <v/>
      </c>
      <c r="BU264">
        <f>IFERROR(INDEX(PP_Grid[#Data],$DE264,70),0)</f>
        <v/>
      </c>
      <c r="BV264">
        <f>IFERROR(INDEX(PP_Grid[#Data],$DE264,71),0)</f>
        <v/>
      </c>
      <c r="BW264">
        <f>IFERROR(INDEX(PP_Grid[#Data],$DE264,72),0)</f>
        <v/>
      </c>
      <c r="BX264">
        <f>IFERROR(INDEX(PP_Grid[#Data],$DE264,73),0)</f>
        <v/>
      </c>
      <c r="BY264">
        <f>IFERROR(INDEX(PP_Grid[#Data],$DE264,74),0)</f>
        <v/>
      </c>
      <c r="BZ264">
        <f>IFERROR(INDEX(PP_Grid[#Data],$DE264,75),0)</f>
        <v/>
      </c>
      <c r="CA264">
        <f>IFERROR(INDEX(PP_Grid[#Data],$DE264,76),0)</f>
        <v/>
      </c>
      <c r="CB264">
        <f>IFERROR(INDEX(PP_Grid[#Data],$DE264,77),0)</f>
        <v/>
      </c>
      <c r="CC264">
        <f>IFERROR(INDEX(PP_Grid[#Data],$DE264,78),0)</f>
        <v/>
      </c>
      <c r="CD264">
        <f>IFERROR(INDEX(PP_Grid[#Data],$DE264,79),0)</f>
        <v/>
      </c>
      <c r="CE264">
        <f>IFERROR(INDEX(PP_Grid[#Data],$DE264,80),0)</f>
        <v/>
      </c>
      <c r="CF264">
        <f>IFERROR(INDEX(PP_Grid[#Data],$DE264,81),0)</f>
        <v/>
      </c>
      <c r="CG264">
        <f>IFERROR(INDEX(PP_Grid[#Data],$DE264,82),0)</f>
        <v/>
      </c>
      <c r="CH264">
        <f>IFERROR(INDEX(PP_Grid[#Data],$DE264,83),0)</f>
        <v/>
      </c>
      <c r="CI264">
        <f>IFERROR(INDEX(PP_Grid[#Data],$DE264,84),0)</f>
        <v/>
      </c>
      <c r="CJ264">
        <f>IFERROR(INDEX(PP_Grid[#Data],$DE264,85),0)</f>
        <v/>
      </c>
      <c r="CK264">
        <f>IFERROR(INDEX(PP_Grid[#Data],$DE264,86),0)</f>
        <v/>
      </c>
      <c r="CL264">
        <f>IFERROR(INDEX(PP_Grid[#Data],$DE264,87),0)</f>
        <v/>
      </c>
      <c r="CM264">
        <f>IFERROR(INDEX(PP_Grid[#Data],$DE264,88),0)</f>
        <v/>
      </c>
      <c r="CN264">
        <f>IFERROR(INDEX(PP_Grid[#Data],$DE264,89),0)</f>
        <v/>
      </c>
      <c r="CO264">
        <f>IFERROR(INDEX(PP_Grid[#Data],$DE264,90),0)</f>
        <v/>
      </c>
      <c r="CP264">
        <f>IFERROR(INDEX(PP_Grid[#Data],$DE264,91),0)</f>
        <v/>
      </c>
      <c r="CQ264">
        <f>IFERROR(INDEX(PP_Grid[#Data],$DE264,92),0)</f>
        <v/>
      </c>
      <c r="CR264">
        <f>IFERROR(INDEX(PP_Grid[#Data],$DE264,93),0)</f>
        <v/>
      </c>
      <c r="CS264">
        <f>IFERROR(INDEX(PP_Grid[#Data],$DE264,94),0)</f>
        <v/>
      </c>
      <c r="CT264">
        <f>IFERROR(INDEX(PP_Grid[#Data],$DE264,95),0)</f>
        <v/>
      </c>
      <c r="CU264">
        <f>IFERROR(INDEX(PP_Grid[#Data],$DE264,96),0)</f>
        <v/>
      </c>
      <c r="CV264">
        <f>IFERROR(INDEX(PP_Grid[#Data],$DE264,97),0)</f>
        <v/>
      </c>
      <c r="CW264">
        <f>IFERROR(INDEX(PP_Grid[#Data],$DE264,98),0)</f>
        <v/>
      </c>
      <c r="CX264">
        <f>IFERROR(INDEX(PP_Grid[#Data],$DE264,99),0)</f>
        <v/>
      </c>
      <c r="CY264">
        <f>IFERROR(INDEX(PP_Grid[#Data],$DE264,100),0)</f>
        <v/>
      </c>
      <c r="CZ264">
        <f>IFERROR(INDEX(PP_Grid[#Data],$DE264,101),0)</f>
        <v/>
      </c>
      <c r="DA264">
        <f>IFERROR(INDEX(PP_Grid[#Data],$DE264,102),0)</f>
        <v/>
      </c>
      <c r="DB264">
        <f>IFERROR(INDEX(PP_Grid[#Data],$DE264,103),0)</f>
        <v/>
      </c>
      <c r="DC264">
        <f>IFERROR(INDEX(PP_Grid[#Data],$DE264,104),0)</f>
        <v/>
      </c>
      <c r="DD264">
        <f>IFERROR(INDEX(PP_Grid[#Data],$DE264,105),0)</f>
        <v/>
      </c>
      <c r="DE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SUMIFS(M_BOM[RM_Qty_Per_Batch],M_BOM[Intermediate],$B264,M_BOM[RM_Code],$A199)</f>
        <v/>
      </c>
      <c r="D265">
        <f>IFERROR(INDEX(E265:DD265,$F$1),"")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  <c r="DD265">
        <f>$C265*DD264</f>
        <v/>
      </c>
    </row>
    <row r="266">
      <c r="B266" t="inlineStr">
        <is>
          <t>TSP-928</t>
        </is>
      </c>
      <c r="C266" t="inlineStr">
        <is>
          <t>No. of batches</t>
        </is>
      </c>
      <c r="D266">
        <f>IFERROR(INDEX(E266:DD266,$F$1),"")</f>
        <v/>
      </c>
      <c r="E266">
        <f>IFERROR(INDEX(PP_Grid[#Data],$DE266,2),0)</f>
        <v/>
      </c>
      <c r="F266">
        <f>IFERROR(INDEX(PP_Grid[#Data],$DE266,3),0)</f>
        <v/>
      </c>
      <c r="G266">
        <f>IFERROR(INDEX(PP_Grid[#Data],$DE266,4),0)</f>
        <v/>
      </c>
      <c r="H266">
        <f>IFERROR(INDEX(PP_Grid[#Data],$DE266,5),0)</f>
        <v/>
      </c>
      <c r="I266">
        <f>IFERROR(INDEX(PP_Grid[#Data],$DE266,6),0)</f>
        <v/>
      </c>
      <c r="J266">
        <f>IFERROR(INDEX(PP_Grid[#Data],$DE266,7),0)</f>
        <v/>
      </c>
      <c r="K266">
        <f>IFERROR(INDEX(PP_Grid[#Data],$DE266,8),0)</f>
        <v/>
      </c>
      <c r="L266">
        <f>IFERROR(INDEX(PP_Grid[#Data],$DE266,9),0)</f>
        <v/>
      </c>
      <c r="M266">
        <f>IFERROR(INDEX(PP_Grid[#Data],$DE266,10),0)</f>
        <v/>
      </c>
      <c r="N266">
        <f>IFERROR(INDEX(PP_Grid[#Data],$DE266,11),0)</f>
        <v/>
      </c>
      <c r="O266">
        <f>IFERROR(INDEX(PP_Grid[#Data],$DE266,12),0)</f>
        <v/>
      </c>
      <c r="P266">
        <f>IFERROR(INDEX(PP_Grid[#Data],$DE266,13),0)</f>
        <v/>
      </c>
      <c r="Q266">
        <f>IFERROR(INDEX(PP_Grid[#Data],$DE266,14),0)</f>
        <v/>
      </c>
      <c r="R266">
        <f>IFERROR(INDEX(PP_Grid[#Data],$DE266,15),0)</f>
        <v/>
      </c>
      <c r="S266">
        <f>IFERROR(INDEX(PP_Grid[#Data],$DE266,16),0)</f>
        <v/>
      </c>
      <c r="T266">
        <f>IFERROR(INDEX(PP_Grid[#Data],$DE266,17),0)</f>
        <v/>
      </c>
      <c r="U266">
        <f>IFERROR(INDEX(PP_Grid[#Data],$DE266,18),0)</f>
        <v/>
      </c>
      <c r="V266">
        <f>IFERROR(INDEX(PP_Grid[#Data],$DE266,19),0)</f>
        <v/>
      </c>
      <c r="W266">
        <f>IFERROR(INDEX(PP_Grid[#Data],$DE266,20),0)</f>
        <v/>
      </c>
      <c r="X266">
        <f>IFERROR(INDEX(PP_Grid[#Data],$DE266,21),0)</f>
        <v/>
      </c>
      <c r="Y266">
        <f>IFERROR(INDEX(PP_Grid[#Data],$DE266,22),0)</f>
        <v/>
      </c>
      <c r="Z266">
        <f>IFERROR(INDEX(PP_Grid[#Data],$DE266,23),0)</f>
        <v/>
      </c>
      <c r="AA266">
        <f>IFERROR(INDEX(PP_Grid[#Data],$DE266,24),0)</f>
        <v/>
      </c>
      <c r="AB266">
        <f>IFERROR(INDEX(PP_Grid[#Data],$DE266,25),0)</f>
        <v/>
      </c>
      <c r="AC266">
        <f>IFERROR(INDEX(PP_Grid[#Data],$DE266,26),0)</f>
        <v/>
      </c>
      <c r="AD266">
        <f>IFERROR(INDEX(PP_Grid[#Data],$DE266,27),0)</f>
        <v/>
      </c>
      <c r="AE266">
        <f>IFERROR(INDEX(PP_Grid[#Data],$DE266,28),0)</f>
        <v/>
      </c>
      <c r="AF266">
        <f>IFERROR(INDEX(PP_Grid[#Data],$DE266,29),0)</f>
        <v/>
      </c>
      <c r="AG266">
        <f>IFERROR(INDEX(PP_Grid[#Data],$DE266,30),0)</f>
        <v/>
      </c>
      <c r="AH266">
        <f>IFERROR(INDEX(PP_Grid[#Data],$DE266,31),0)</f>
        <v/>
      </c>
      <c r="AI266">
        <f>IFERROR(INDEX(PP_Grid[#Data],$DE266,32),0)</f>
        <v/>
      </c>
      <c r="AJ266">
        <f>IFERROR(INDEX(PP_Grid[#Data],$DE266,33),0)</f>
        <v/>
      </c>
      <c r="AK266">
        <f>IFERROR(INDEX(PP_Grid[#Data],$DE266,34),0)</f>
        <v/>
      </c>
      <c r="AL266">
        <f>IFERROR(INDEX(PP_Grid[#Data],$DE266,35),0)</f>
        <v/>
      </c>
      <c r="AM266">
        <f>IFERROR(INDEX(PP_Grid[#Data],$DE266,36),0)</f>
        <v/>
      </c>
      <c r="AN266">
        <f>IFERROR(INDEX(PP_Grid[#Data],$DE266,37),0)</f>
        <v/>
      </c>
      <c r="AO266">
        <f>IFERROR(INDEX(PP_Grid[#Data],$DE266,38),0)</f>
        <v/>
      </c>
      <c r="AP266">
        <f>IFERROR(INDEX(PP_Grid[#Data],$DE266,39),0)</f>
        <v/>
      </c>
      <c r="AQ266">
        <f>IFERROR(INDEX(PP_Grid[#Data],$DE266,40),0)</f>
        <v/>
      </c>
      <c r="AR266">
        <f>IFERROR(INDEX(PP_Grid[#Data],$DE266,41),0)</f>
        <v/>
      </c>
      <c r="AS266">
        <f>IFERROR(INDEX(PP_Grid[#Data],$DE266,42),0)</f>
        <v/>
      </c>
      <c r="AT266">
        <f>IFERROR(INDEX(PP_Grid[#Data],$DE266,43),0)</f>
        <v/>
      </c>
      <c r="AU266">
        <f>IFERROR(INDEX(PP_Grid[#Data],$DE266,44),0)</f>
        <v/>
      </c>
      <c r="AV266">
        <f>IFERROR(INDEX(PP_Grid[#Data],$DE266,45),0)</f>
        <v/>
      </c>
      <c r="AW266">
        <f>IFERROR(INDEX(PP_Grid[#Data],$DE266,46),0)</f>
        <v/>
      </c>
      <c r="AX266">
        <f>IFERROR(INDEX(PP_Grid[#Data],$DE266,47),0)</f>
        <v/>
      </c>
      <c r="AY266">
        <f>IFERROR(INDEX(PP_Grid[#Data],$DE266,48),0)</f>
        <v/>
      </c>
      <c r="AZ266">
        <f>IFERROR(INDEX(PP_Grid[#Data],$DE266,49),0)</f>
        <v/>
      </c>
      <c r="BA266">
        <f>IFERROR(INDEX(PP_Grid[#Data],$DE266,50),0)</f>
        <v/>
      </c>
      <c r="BB266">
        <f>IFERROR(INDEX(PP_Grid[#Data],$DE266,51),0)</f>
        <v/>
      </c>
      <c r="BC266">
        <f>IFERROR(INDEX(PP_Grid[#Data],$DE266,52),0)</f>
        <v/>
      </c>
      <c r="BD266">
        <f>IFERROR(INDEX(PP_Grid[#Data],$DE266,53),0)</f>
        <v/>
      </c>
      <c r="BE266">
        <f>IFERROR(INDEX(PP_Grid[#Data],$DE266,54),0)</f>
        <v/>
      </c>
      <c r="BF266">
        <f>IFERROR(INDEX(PP_Grid[#Data],$DE266,55),0)</f>
        <v/>
      </c>
      <c r="BG266">
        <f>IFERROR(INDEX(PP_Grid[#Data],$DE266,56),0)</f>
        <v/>
      </c>
      <c r="BH266">
        <f>IFERROR(INDEX(PP_Grid[#Data],$DE266,57),0)</f>
        <v/>
      </c>
      <c r="BI266">
        <f>IFERROR(INDEX(PP_Grid[#Data],$DE266,58),0)</f>
        <v/>
      </c>
      <c r="BJ266">
        <f>IFERROR(INDEX(PP_Grid[#Data],$DE266,59),0)</f>
        <v/>
      </c>
      <c r="BK266">
        <f>IFERROR(INDEX(PP_Grid[#Data],$DE266,60),0)</f>
        <v/>
      </c>
      <c r="BL266">
        <f>IFERROR(INDEX(PP_Grid[#Data],$DE266,61),0)</f>
        <v/>
      </c>
      <c r="BM266">
        <f>IFERROR(INDEX(PP_Grid[#Data],$DE266,62),0)</f>
        <v/>
      </c>
      <c r="BN266">
        <f>IFERROR(INDEX(PP_Grid[#Data],$DE266,63),0)</f>
        <v/>
      </c>
      <c r="BO266">
        <f>IFERROR(INDEX(PP_Grid[#Data],$DE266,64),0)</f>
        <v/>
      </c>
      <c r="BP266">
        <f>IFERROR(INDEX(PP_Grid[#Data],$DE266,65),0)</f>
        <v/>
      </c>
      <c r="BQ266">
        <f>IFERROR(INDEX(PP_Grid[#Data],$DE266,66),0)</f>
        <v/>
      </c>
      <c r="BR266">
        <f>IFERROR(INDEX(PP_Grid[#Data],$DE266,67),0)</f>
        <v/>
      </c>
      <c r="BS266">
        <f>IFERROR(INDEX(PP_Grid[#Data],$DE266,68),0)</f>
        <v/>
      </c>
      <c r="BT266">
        <f>IFERROR(INDEX(PP_Grid[#Data],$DE266,69),0)</f>
        <v/>
      </c>
      <c r="BU266">
        <f>IFERROR(INDEX(PP_Grid[#Data],$DE266,70),0)</f>
        <v/>
      </c>
      <c r="BV266">
        <f>IFERROR(INDEX(PP_Grid[#Data],$DE266,71),0)</f>
        <v/>
      </c>
      <c r="BW266">
        <f>IFERROR(INDEX(PP_Grid[#Data],$DE266,72),0)</f>
        <v/>
      </c>
      <c r="BX266">
        <f>IFERROR(INDEX(PP_Grid[#Data],$DE266,73),0)</f>
        <v/>
      </c>
      <c r="BY266">
        <f>IFERROR(INDEX(PP_Grid[#Data],$DE266,74),0)</f>
        <v/>
      </c>
      <c r="BZ266">
        <f>IFERROR(INDEX(PP_Grid[#Data],$DE266,75),0)</f>
        <v/>
      </c>
      <c r="CA266">
        <f>IFERROR(INDEX(PP_Grid[#Data],$DE266,76),0)</f>
        <v/>
      </c>
      <c r="CB266">
        <f>IFERROR(INDEX(PP_Grid[#Data],$DE266,77),0)</f>
        <v/>
      </c>
      <c r="CC266">
        <f>IFERROR(INDEX(PP_Grid[#Data],$DE266,78),0)</f>
        <v/>
      </c>
      <c r="CD266">
        <f>IFERROR(INDEX(PP_Grid[#Data],$DE266,79),0)</f>
        <v/>
      </c>
      <c r="CE266">
        <f>IFERROR(INDEX(PP_Grid[#Data],$DE266,80),0)</f>
        <v/>
      </c>
      <c r="CF266">
        <f>IFERROR(INDEX(PP_Grid[#Data],$DE266,81),0)</f>
        <v/>
      </c>
      <c r="CG266">
        <f>IFERROR(INDEX(PP_Grid[#Data],$DE266,82),0)</f>
        <v/>
      </c>
      <c r="CH266">
        <f>IFERROR(INDEX(PP_Grid[#Data],$DE266,83),0)</f>
        <v/>
      </c>
      <c r="CI266">
        <f>IFERROR(INDEX(PP_Grid[#Data],$DE266,84),0)</f>
        <v/>
      </c>
      <c r="CJ266">
        <f>IFERROR(INDEX(PP_Grid[#Data],$DE266,85),0)</f>
        <v/>
      </c>
      <c r="CK266">
        <f>IFERROR(INDEX(PP_Grid[#Data],$DE266,86),0)</f>
        <v/>
      </c>
      <c r="CL266">
        <f>IFERROR(INDEX(PP_Grid[#Data],$DE266,87),0)</f>
        <v/>
      </c>
      <c r="CM266">
        <f>IFERROR(INDEX(PP_Grid[#Data],$DE266,88),0)</f>
        <v/>
      </c>
      <c r="CN266">
        <f>IFERROR(INDEX(PP_Grid[#Data],$DE266,89),0)</f>
        <v/>
      </c>
      <c r="CO266">
        <f>IFERROR(INDEX(PP_Grid[#Data],$DE266,90),0)</f>
        <v/>
      </c>
      <c r="CP266">
        <f>IFERROR(INDEX(PP_Grid[#Data],$DE266,91),0)</f>
        <v/>
      </c>
      <c r="CQ266">
        <f>IFERROR(INDEX(PP_Grid[#Data],$DE266,92),0)</f>
        <v/>
      </c>
      <c r="CR266">
        <f>IFERROR(INDEX(PP_Grid[#Data],$DE266,93),0)</f>
        <v/>
      </c>
      <c r="CS266">
        <f>IFERROR(INDEX(PP_Grid[#Data],$DE266,94),0)</f>
        <v/>
      </c>
      <c r="CT266">
        <f>IFERROR(INDEX(PP_Grid[#Data],$DE266,95),0)</f>
        <v/>
      </c>
      <c r="CU266">
        <f>IFERROR(INDEX(PP_Grid[#Data],$DE266,96),0)</f>
        <v/>
      </c>
      <c r="CV266">
        <f>IFERROR(INDEX(PP_Grid[#Data],$DE266,97),0)</f>
        <v/>
      </c>
      <c r="CW266">
        <f>IFERROR(INDEX(PP_Grid[#Data],$DE266,98),0)</f>
        <v/>
      </c>
      <c r="CX266">
        <f>IFERROR(INDEX(PP_Grid[#Data],$DE266,99),0)</f>
        <v/>
      </c>
      <c r="CY266">
        <f>IFERROR(INDEX(PP_Grid[#Data],$DE266,100),0)</f>
        <v/>
      </c>
      <c r="CZ266">
        <f>IFERROR(INDEX(PP_Grid[#Data],$DE266,101),0)</f>
        <v/>
      </c>
      <c r="DA266">
        <f>IFERROR(INDEX(PP_Grid[#Data],$DE266,102),0)</f>
        <v/>
      </c>
      <c r="DB266">
        <f>IFERROR(INDEX(PP_Grid[#Data],$DE266,103),0)</f>
        <v/>
      </c>
      <c r="DC266">
        <f>IFERROR(INDEX(PP_Grid[#Data],$DE266,104),0)</f>
        <v/>
      </c>
      <c r="DD266">
        <f>IFERROR(INDEX(PP_Grid[#Data],$DE266,105),0)</f>
        <v/>
      </c>
      <c r="DE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SUMIFS(M_BOM[RM_Qty_Per_Batch],M_BOM[Intermediate],$B266,M_BOM[RM_Code],$A199)</f>
        <v/>
      </c>
      <c r="D267">
        <f>IFERROR(INDEX(E267:DD267,$F$1),"")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  <c r="DD267">
        <f>$C267*DD266</f>
        <v/>
      </c>
    </row>
    <row r="268">
      <c r="B268" t="inlineStr">
        <is>
          <t>TSP-929</t>
        </is>
      </c>
      <c r="C268" t="inlineStr">
        <is>
          <t>No. of batches</t>
        </is>
      </c>
      <c r="D268">
        <f>IFERROR(INDEX(E268:DD268,$F$1),"")</f>
        <v/>
      </c>
      <c r="E268">
        <f>IFERROR(INDEX(PP_Grid[#Data],$DE268,2),0)</f>
        <v/>
      </c>
      <c r="F268">
        <f>IFERROR(INDEX(PP_Grid[#Data],$DE268,3),0)</f>
        <v/>
      </c>
      <c r="G268">
        <f>IFERROR(INDEX(PP_Grid[#Data],$DE268,4),0)</f>
        <v/>
      </c>
      <c r="H268">
        <f>IFERROR(INDEX(PP_Grid[#Data],$DE268,5),0)</f>
        <v/>
      </c>
      <c r="I268">
        <f>IFERROR(INDEX(PP_Grid[#Data],$DE268,6),0)</f>
        <v/>
      </c>
      <c r="J268">
        <f>IFERROR(INDEX(PP_Grid[#Data],$DE268,7),0)</f>
        <v/>
      </c>
      <c r="K268">
        <f>IFERROR(INDEX(PP_Grid[#Data],$DE268,8),0)</f>
        <v/>
      </c>
      <c r="L268">
        <f>IFERROR(INDEX(PP_Grid[#Data],$DE268,9),0)</f>
        <v/>
      </c>
      <c r="M268">
        <f>IFERROR(INDEX(PP_Grid[#Data],$DE268,10),0)</f>
        <v/>
      </c>
      <c r="N268">
        <f>IFERROR(INDEX(PP_Grid[#Data],$DE268,11),0)</f>
        <v/>
      </c>
      <c r="O268">
        <f>IFERROR(INDEX(PP_Grid[#Data],$DE268,12),0)</f>
        <v/>
      </c>
      <c r="P268">
        <f>IFERROR(INDEX(PP_Grid[#Data],$DE268,13),0)</f>
        <v/>
      </c>
      <c r="Q268">
        <f>IFERROR(INDEX(PP_Grid[#Data],$DE268,14),0)</f>
        <v/>
      </c>
      <c r="R268">
        <f>IFERROR(INDEX(PP_Grid[#Data],$DE268,15),0)</f>
        <v/>
      </c>
      <c r="S268">
        <f>IFERROR(INDEX(PP_Grid[#Data],$DE268,16),0)</f>
        <v/>
      </c>
      <c r="T268">
        <f>IFERROR(INDEX(PP_Grid[#Data],$DE268,17),0)</f>
        <v/>
      </c>
      <c r="U268">
        <f>IFERROR(INDEX(PP_Grid[#Data],$DE268,18),0)</f>
        <v/>
      </c>
      <c r="V268">
        <f>IFERROR(INDEX(PP_Grid[#Data],$DE268,19),0)</f>
        <v/>
      </c>
      <c r="W268">
        <f>IFERROR(INDEX(PP_Grid[#Data],$DE268,20),0)</f>
        <v/>
      </c>
      <c r="X268">
        <f>IFERROR(INDEX(PP_Grid[#Data],$DE268,21),0)</f>
        <v/>
      </c>
      <c r="Y268">
        <f>IFERROR(INDEX(PP_Grid[#Data],$DE268,22),0)</f>
        <v/>
      </c>
      <c r="Z268">
        <f>IFERROR(INDEX(PP_Grid[#Data],$DE268,23),0)</f>
        <v/>
      </c>
      <c r="AA268">
        <f>IFERROR(INDEX(PP_Grid[#Data],$DE268,24),0)</f>
        <v/>
      </c>
      <c r="AB268">
        <f>IFERROR(INDEX(PP_Grid[#Data],$DE268,25),0)</f>
        <v/>
      </c>
      <c r="AC268">
        <f>IFERROR(INDEX(PP_Grid[#Data],$DE268,26),0)</f>
        <v/>
      </c>
      <c r="AD268">
        <f>IFERROR(INDEX(PP_Grid[#Data],$DE268,27),0)</f>
        <v/>
      </c>
      <c r="AE268">
        <f>IFERROR(INDEX(PP_Grid[#Data],$DE268,28),0)</f>
        <v/>
      </c>
      <c r="AF268">
        <f>IFERROR(INDEX(PP_Grid[#Data],$DE268,29),0)</f>
        <v/>
      </c>
      <c r="AG268">
        <f>IFERROR(INDEX(PP_Grid[#Data],$DE268,30),0)</f>
        <v/>
      </c>
      <c r="AH268">
        <f>IFERROR(INDEX(PP_Grid[#Data],$DE268,31),0)</f>
        <v/>
      </c>
      <c r="AI268">
        <f>IFERROR(INDEX(PP_Grid[#Data],$DE268,32),0)</f>
        <v/>
      </c>
      <c r="AJ268">
        <f>IFERROR(INDEX(PP_Grid[#Data],$DE268,33),0)</f>
        <v/>
      </c>
      <c r="AK268">
        <f>IFERROR(INDEX(PP_Grid[#Data],$DE268,34),0)</f>
        <v/>
      </c>
      <c r="AL268">
        <f>IFERROR(INDEX(PP_Grid[#Data],$DE268,35),0)</f>
        <v/>
      </c>
      <c r="AM268">
        <f>IFERROR(INDEX(PP_Grid[#Data],$DE268,36),0)</f>
        <v/>
      </c>
      <c r="AN268">
        <f>IFERROR(INDEX(PP_Grid[#Data],$DE268,37),0)</f>
        <v/>
      </c>
      <c r="AO268">
        <f>IFERROR(INDEX(PP_Grid[#Data],$DE268,38),0)</f>
        <v/>
      </c>
      <c r="AP268">
        <f>IFERROR(INDEX(PP_Grid[#Data],$DE268,39),0)</f>
        <v/>
      </c>
      <c r="AQ268">
        <f>IFERROR(INDEX(PP_Grid[#Data],$DE268,40),0)</f>
        <v/>
      </c>
      <c r="AR268">
        <f>IFERROR(INDEX(PP_Grid[#Data],$DE268,41),0)</f>
        <v/>
      </c>
      <c r="AS268">
        <f>IFERROR(INDEX(PP_Grid[#Data],$DE268,42),0)</f>
        <v/>
      </c>
      <c r="AT268">
        <f>IFERROR(INDEX(PP_Grid[#Data],$DE268,43),0)</f>
        <v/>
      </c>
      <c r="AU268">
        <f>IFERROR(INDEX(PP_Grid[#Data],$DE268,44),0)</f>
        <v/>
      </c>
      <c r="AV268">
        <f>IFERROR(INDEX(PP_Grid[#Data],$DE268,45),0)</f>
        <v/>
      </c>
      <c r="AW268">
        <f>IFERROR(INDEX(PP_Grid[#Data],$DE268,46),0)</f>
        <v/>
      </c>
      <c r="AX268">
        <f>IFERROR(INDEX(PP_Grid[#Data],$DE268,47),0)</f>
        <v/>
      </c>
      <c r="AY268">
        <f>IFERROR(INDEX(PP_Grid[#Data],$DE268,48),0)</f>
        <v/>
      </c>
      <c r="AZ268">
        <f>IFERROR(INDEX(PP_Grid[#Data],$DE268,49),0)</f>
        <v/>
      </c>
      <c r="BA268">
        <f>IFERROR(INDEX(PP_Grid[#Data],$DE268,50),0)</f>
        <v/>
      </c>
      <c r="BB268">
        <f>IFERROR(INDEX(PP_Grid[#Data],$DE268,51),0)</f>
        <v/>
      </c>
      <c r="BC268">
        <f>IFERROR(INDEX(PP_Grid[#Data],$DE268,52),0)</f>
        <v/>
      </c>
      <c r="BD268">
        <f>IFERROR(INDEX(PP_Grid[#Data],$DE268,53),0)</f>
        <v/>
      </c>
      <c r="BE268">
        <f>IFERROR(INDEX(PP_Grid[#Data],$DE268,54),0)</f>
        <v/>
      </c>
      <c r="BF268">
        <f>IFERROR(INDEX(PP_Grid[#Data],$DE268,55),0)</f>
        <v/>
      </c>
      <c r="BG268">
        <f>IFERROR(INDEX(PP_Grid[#Data],$DE268,56),0)</f>
        <v/>
      </c>
      <c r="BH268">
        <f>IFERROR(INDEX(PP_Grid[#Data],$DE268,57),0)</f>
        <v/>
      </c>
      <c r="BI268">
        <f>IFERROR(INDEX(PP_Grid[#Data],$DE268,58),0)</f>
        <v/>
      </c>
      <c r="BJ268">
        <f>IFERROR(INDEX(PP_Grid[#Data],$DE268,59),0)</f>
        <v/>
      </c>
      <c r="BK268">
        <f>IFERROR(INDEX(PP_Grid[#Data],$DE268,60),0)</f>
        <v/>
      </c>
      <c r="BL268">
        <f>IFERROR(INDEX(PP_Grid[#Data],$DE268,61),0)</f>
        <v/>
      </c>
      <c r="BM268">
        <f>IFERROR(INDEX(PP_Grid[#Data],$DE268,62),0)</f>
        <v/>
      </c>
      <c r="BN268">
        <f>IFERROR(INDEX(PP_Grid[#Data],$DE268,63),0)</f>
        <v/>
      </c>
      <c r="BO268">
        <f>IFERROR(INDEX(PP_Grid[#Data],$DE268,64),0)</f>
        <v/>
      </c>
      <c r="BP268">
        <f>IFERROR(INDEX(PP_Grid[#Data],$DE268,65),0)</f>
        <v/>
      </c>
      <c r="BQ268">
        <f>IFERROR(INDEX(PP_Grid[#Data],$DE268,66),0)</f>
        <v/>
      </c>
      <c r="BR268">
        <f>IFERROR(INDEX(PP_Grid[#Data],$DE268,67),0)</f>
        <v/>
      </c>
      <c r="BS268">
        <f>IFERROR(INDEX(PP_Grid[#Data],$DE268,68),0)</f>
        <v/>
      </c>
      <c r="BT268">
        <f>IFERROR(INDEX(PP_Grid[#Data],$DE268,69),0)</f>
        <v/>
      </c>
      <c r="BU268">
        <f>IFERROR(INDEX(PP_Grid[#Data],$DE268,70),0)</f>
        <v/>
      </c>
      <c r="BV268">
        <f>IFERROR(INDEX(PP_Grid[#Data],$DE268,71),0)</f>
        <v/>
      </c>
      <c r="BW268">
        <f>IFERROR(INDEX(PP_Grid[#Data],$DE268,72),0)</f>
        <v/>
      </c>
      <c r="BX268">
        <f>IFERROR(INDEX(PP_Grid[#Data],$DE268,73),0)</f>
        <v/>
      </c>
      <c r="BY268">
        <f>IFERROR(INDEX(PP_Grid[#Data],$DE268,74),0)</f>
        <v/>
      </c>
      <c r="BZ268">
        <f>IFERROR(INDEX(PP_Grid[#Data],$DE268,75),0)</f>
        <v/>
      </c>
      <c r="CA268">
        <f>IFERROR(INDEX(PP_Grid[#Data],$DE268,76),0)</f>
        <v/>
      </c>
      <c r="CB268">
        <f>IFERROR(INDEX(PP_Grid[#Data],$DE268,77),0)</f>
        <v/>
      </c>
      <c r="CC268">
        <f>IFERROR(INDEX(PP_Grid[#Data],$DE268,78),0)</f>
        <v/>
      </c>
      <c r="CD268">
        <f>IFERROR(INDEX(PP_Grid[#Data],$DE268,79),0)</f>
        <v/>
      </c>
      <c r="CE268">
        <f>IFERROR(INDEX(PP_Grid[#Data],$DE268,80),0)</f>
        <v/>
      </c>
      <c r="CF268">
        <f>IFERROR(INDEX(PP_Grid[#Data],$DE268,81),0)</f>
        <v/>
      </c>
      <c r="CG268">
        <f>IFERROR(INDEX(PP_Grid[#Data],$DE268,82),0)</f>
        <v/>
      </c>
      <c r="CH268">
        <f>IFERROR(INDEX(PP_Grid[#Data],$DE268,83),0)</f>
        <v/>
      </c>
      <c r="CI268">
        <f>IFERROR(INDEX(PP_Grid[#Data],$DE268,84),0)</f>
        <v/>
      </c>
      <c r="CJ268">
        <f>IFERROR(INDEX(PP_Grid[#Data],$DE268,85),0)</f>
        <v/>
      </c>
      <c r="CK268">
        <f>IFERROR(INDEX(PP_Grid[#Data],$DE268,86),0)</f>
        <v/>
      </c>
      <c r="CL268">
        <f>IFERROR(INDEX(PP_Grid[#Data],$DE268,87),0)</f>
        <v/>
      </c>
      <c r="CM268">
        <f>IFERROR(INDEX(PP_Grid[#Data],$DE268,88),0)</f>
        <v/>
      </c>
      <c r="CN268">
        <f>IFERROR(INDEX(PP_Grid[#Data],$DE268,89),0)</f>
        <v/>
      </c>
      <c r="CO268">
        <f>IFERROR(INDEX(PP_Grid[#Data],$DE268,90),0)</f>
        <v/>
      </c>
      <c r="CP268">
        <f>IFERROR(INDEX(PP_Grid[#Data],$DE268,91),0)</f>
        <v/>
      </c>
      <c r="CQ268">
        <f>IFERROR(INDEX(PP_Grid[#Data],$DE268,92),0)</f>
        <v/>
      </c>
      <c r="CR268">
        <f>IFERROR(INDEX(PP_Grid[#Data],$DE268,93),0)</f>
        <v/>
      </c>
      <c r="CS268">
        <f>IFERROR(INDEX(PP_Grid[#Data],$DE268,94),0)</f>
        <v/>
      </c>
      <c r="CT268">
        <f>IFERROR(INDEX(PP_Grid[#Data],$DE268,95),0)</f>
        <v/>
      </c>
      <c r="CU268">
        <f>IFERROR(INDEX(PP_Grid[#Data],$DE268,96),0)</f>
        <v/>
      </c>
      <c r="CV268">
        <f>IFERROR(INDEX(PP_Grid[#Data],$DE268,97),0)</f>
        <v/>
      </c>
      <c r="CW268">
        <f>IFERROR(INDEX(PP_Grid[#Data],$DE268,98),0)</f>
        <v/>
      </c>
      <c r="CX268">
        <f>IFERROR(INDEX(PP_Grid[#Data],$DE268,99),0)</f>
        <v/>
      </c>
      <c r="CY268">
        <f>IFERROR(INDEX(PP_Grid[#Data],$DE268,100),0)</f>
        <v/>
      </c>
      <c r="CZ268">
        <f>IFERROR(INDEX(PP_Grid[#Data],$DE268,101),0)</f>
        <v/>
      </c>
      <c r="DA268">
        <f>IFERROR(INDEX(PP_Grid[#Data],$DE268,102),0)</f>
        <v/>
      </c>
      <c r="DB268">
        <f>IFERROR(INDEX(PP_Grid[#Data],$DE268,103),0)</f>
        <v/>
      </c>
      <c r="DC268">
        <f>IFERROR(INDEX(PP_Grid[#Data],$DE268,104),0)</f>
        <v/>
      </c>
      <c r="DD268">
        <f>IFERROR(INDEX(PP_Grid[#Data],$DE268,105),0)</f>
        <v/>
      </c>
      <c r="DE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SUMIFS(M_BOM[RM_Qty_Per_Batch],M_BOM[Intermediate],$B268,M_BOM[RM_Code],$A199)</f>
        <v/>
      </c>
      <c r="D269">
        <f>IFERROR(INDEX(E269:DD269,$F$1),"")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  <c r="DD269">
        <f>$C269*DD268</f>
        <v/>
      </c>
    </row>
    <row r="270">
      <c r="B270" t="inlineStr">
        <is>
          <t>TSP-930</t>
        </is>
      </c>
      <c r="C270" t="inlineStr">
        <is>
          <t>No. of batches</t>
        </is>
      </c>
      <c r="D270">
        <f>IFERROR(INDEX(E270:DD270,$F$1),"")</f>
        <v/>
      </c>
      <c r="E270">
        <f>IFERROR(INDEX(PP_Grid[#Data],$DE270,2),0)</f>
        <v/>
      </c>
      <c r="F270">
        <f>IFERROR(INDEX(PP_Grid[#Data],$DE270,3),0)</f>
        <v/>
      </c>
      <c r="G270">
        <f>IFERROR(INDEX(PP_Grid[#Data],$DE270,4),0)</f>
        <v/>
      </c>
      <c r="H270">
        <f>IFERROR(INDEX(PP_Grid[#Data],$DE270,5),0)</f>
        <v/>
      </c>
      <c r="I270">
        <f>IFERROR(INDEX(PP_Grid[#Data],$DE270,6),0)</f>
        <v/>
      </c>
      <c r="J270">
        <f>IFERROR(INDEX(PP_Grid[#Data],$DE270,7),0)</f>
        <v/>
      </c>
      <c r="K270">
        <f>IFERROR(INDEX(PP_Grid[#Data],$DE270,8),0)</f>
        <v/>
      </c>
      <c r="L270">
        <f>IFERROR(INDEX(PP_Grid[#Data],$DE270,9),0)</f>
        <v/>
      </c>
      <c r="M270">
        <f>IFERROR(INDEX(PP_Grid[#Data],$DE270,10),0)</f>
        <v/>
      </c>
      <c r="N270">
        <f>IFERROR(INDEX(PP_Grid[#Data],$DE270,11),0)</f>
        <v/>
      </c>
      <c r="O270">
        <f>IFERROR(INDEX(PP_Grid[#Data],$DE270,12),0)</f>
        <v/>
      </c>
      <c r="P270">
        <f>IFERROR(INDEX(PP_Grid[#Data],$DE270,13),0)</f>
        <v/>
      </c>
      <c r="Q270">
        <f>IFERROR(INDEX(PP_Grid[#Data],$DE270,14),0)</f>
        <v/>
      </c>
      <c r="R270">
        <f>IFERROR(INDEX(PP_Grid[#Data],$DE270,15),0)</f>
        <v/>
      </c>
      <c r="S270">
        <f>IFERROR(INDEX(PP_Grid[#Data],$DE270,16),0)</f>
        <v/>
      </c>
      <c r="T270">
        <f>IFERROR(INDEX(PP_Grid[#Data],$DE270,17),0)</f>
        <v/>
      </c>
      <c r="U270">
        <f>IFERROR(INDEX(PP_Grid[#Data],$DE270,18),0)</f>
        <v/>
      </c>
      <c r="V270">
        <f>IFERROR(INDEX(PP_Grid[#Data],$DE270,19),0)</f>
        <v/>
      </c>
      <c r="W270">
        <f>IFERROR(INDEX(PP_Grid[#Data],$DE270,20),0)</f>
        <v/>
      </c>
      <c r="X270">
        <f>IFERROR(INDEX(PP_Grid[#Data],$DE270,21),0)</f>
        <v/>
      </c>
      <c r="Y270">
        <f>IFERROR(INDEX(PP_Grid[#Data],$DE270,22),0)</f>
        <v/>
      </c>
      <c r="Z270">
        <f>IFERROR(INDEX(PP_Grid[#Data],$DE270,23),0)</f>
        <v/>
      </c>
      <c r="AA270">
        <f>IFERROR(INDEX(PP_Grid[#Data],$DE270,24),0)</f>
        <v/>
      </c>
      <c r="AB270">
        <f>IFERROR(INDEX(PP_Grid[#Data],$DE270,25),0)</f>
        <v/>
      </c>
      <c r="AC270">
        <f>IFERROR(INDEX(PP_Grid[#Data],$DE270,26),0)</f>
        <v/>
      </c>
      <c r="AD270">
        <f>IFERROR(INDEX(PP_Grid[#Data],$DE270,27),0)</f>
        <v/>
      </c>
      <c r="AE270">
        <f>IFERROR(INDEX(PP_Grid[#Data],$DE270,28),0)</f>
        <v/>
      </c>
      <c r="AF270">
        <f>IFERROR(INDEX(PP_Grid[#Data],$DE270,29),0)</f>
        <v/>
      </c>
      <c r="AG270">
        <f>IFERROR(INDEX(PP_Grid[#Data],$DE270,30),0)</f>
        <v/>
      </c>
      <c r="AH270">
        <f>IFERROR(INDEX(PP_Grid[#Data],$DE270,31),0)</f>
        <v/>
      </c>
      <c r="AI270">
        <f>IFERROR(INDEX(PP_Grid[#Data],$DE270,32),0)</f>
        <v/>
      </c>
      <c r="AJ270">
        <f>IFERROR(INDEX(PP_Grid[#Data],$DE270,33),0)</f>
        <v/>
      </c>
      <c r="AK270">
        <f>IFERROR(INDEX(PP_Grid[#Data],$DE270,34),0)</f>
        <v/>
      </c>
      <c r="AL270">
        <f>IFERROR(INDEX(PP_Grid[#Data],$DE270,35),0)</f>
        <v/>
      </c>
      <c r="AM270">
        <f>IFERROR(INDEX(PP_Grid[#Data],$DE270,36),0)</f>
        <v/>
      </c>
      <c r="AN270">
        <f>IFERROR(INDEX(PP_Grid[#Data],$DE270,37),0)</f>
        <v/>
      </c>
      <c r="AO270">
        <f>IFERROR(INDEX(PP_Grid[#Data],$DE270,38),0)</f>
        <v/>
      </c>
      <c r="AP270">
        <f>IFERROR(INDEX(PP_Grid[#Data],$DE270,39),0)</f>
        <v/>
      </c>
      <c r="AQ270">
        <f>IFERROR(INDEX(PP_Grid[#Data],$DE270,40),0)</f>
        <v/>
      </c>
      <c r="AR270">
        <f>IFERROR(INDEX(PP_Grid[#Data],$DE270,41),0)</f>
        <v/>
      </c>
      <c r="AS270">
        <f>IFERROR(INDEX(PP_Grid[#Data],$DE270,42),0)</f>
        <v/>
      </c>
      <c r="AT270">
        <f>IFERROR(INDEX(PP_Grid[#Data],$DE270,43),0)</f>
        <v/>
      </c>
      <c r="AU270">
        <f>IFERROR(INDEX(PP_Grid[#Data],$DE270,44),0)</f>
        <v/>
      </c>
      <c r="AV270">
        <f>IFERROR(INDEX(PP_Grid[#Data],$DE270,45),0)</f>
        <v/>
      </c>
      <c r="AW270">
        <f>IFERROR(INDEX(PP_Grid[#Data],$DE270,46),0)</f>
        <v/>
      </c>
      <c r="AX270">
        <f>IFERROR(INDEX(PP_Grid[#Data],$DE270,47),0)</f>
        <v/>
      </c>
      <c r="AY270">
        <f>IFERROR(INDEX(PP_Grid[#Data],$DE270,48),0)</f>
        <v/>
      </c>
      <c r="AZ270">
        <f>IFERROR(INDEX(PP_Grid[#Data],$DE270,49),0)</f>
        <v/>
      </c>
      <c r="BA270">
        <f>IFERROR(INDEX(PP_Grid[#Data],$DE270,50),0)</f>
        <v/>
      </c>
      <c r="BB270">
        <f>IFERROR(INDEX(PP_Grid[#Data],$DE270,51),0)</f>
        <v/>
      </c>
      <c r="BC270">
        <f>IFERROR(INDEX(PP_Grid[#Data],$DE270,52),0)</f>
        <v/>
      </c>
      <c r="BD270">
        <f>IFERROR(INDEX(PP_Grid[#Data],$DE270,53),0)</f>
        <v/>
      </c>
      <c r="BE270">
        <f>IFERROR(INDEX(PP_Grid[#Data],$DE270,54),0)</f>
        <v/>
      </c>
      <c r="BF270">
        <f>IFERROR(INDEX(PP_Grid[#Data],$DE270,55),0)</f>
        <v/>
      </c>
      <c r="BG270">
        <f>IFERROR(INDEX(PP_Grid[#Data],$DE270,56),0)</f>
        <v/>
      </c>
      <c r="BH270">
        <f>IFERROR(INDEX(PP_Grid[#Data],$DE270,57),0)</f>
        <v/>
      </c>
      <c r="BI270">
        <f>IFERROR(INDEX(PP_Grid[#Data],$DE270,58),0)</f>
        <v/>
      </c>
      <c r="BJ270">
        <f>IFERROR(INDEX(PP_Grid[#Data],$DE270,59),0)</f>
        <v/>
      </c>
      <c r="BK270">
        <f>IFERROR(INDEX(PP_Grid[#Data],$DE270,60),0)</f>
        <v/>
      </c>
      <c r="BL270">
        <f>IFERROR(INDEX(PP_Grid[#Data],$DE270,61),0)</f>
        <v/>
      </c>
      <c r="BM270">
        <f>IFERROR(INDEX(PP_Grid[#Data],$DE270,62),0)</f>
        <v/>
      </c>
      <c r="BN270">
        <f>IFERROR(INDEX(PP_Grid[#Data],$DE270,63),0)</f>
        <v/>
      </c>
      <c r="BO270">
        <f>IFERROR(INDEX(PP_Grid[#Data],$DE270,64),0)</f>
        <v/>
      </c>
      <c r="BP270">
        <f>IFERROR(INDEX(PP_Grid[#Data],$DE270,65),0)</f>
        <v/>
      </c>
      <c r="BQ270">
        <f>IFERROR(INDEX(PP_Grid[#Data],$DE270,66),0)</f>
        <v/>
      </c>
      <c r="BR270">
        <f>IFERROR(INDEX(PP_Grid[#Data],$DE270,67),0)</f>
        <v/>
      </c>
      <c r="BS270">
        <f>IFERROR(INDEX(PP_Grid[#Data],$DE270,68),0)</f>
        <v/>
      </c>
      <c r="BT270">
        <f>IFERROR(INDEX(PP_Grid[#Data],$DE270,69),0)</f>
        <v/>
      </c>
      <c r="BU270">
        <f>IFERROR(INDEX(PP_Grid[#Data],$DE270,70),0)</f>
        <v/>
      </c>
      <c r="BV270">
        <f>IFERROR(INDEX(PP_Grid[#Data],$DE270,71),0)</f>
        <v/>
      </c>
      <c r="BW270">
        <f>IFERROR(INDEX(PP_Grid[#Data],$DE270,72),0)</f>
        <v/>
      </c>
      <c r="BX270">
        <f>IFERROR(INDEX(PP_Grid[#Data],$DE270,73),0)</f>
        <v/>
      </c>
      <c r="BY270">
        <f>IFERROR(INDEX(PP_Grid[#Data],$DE270,74),0)</f>
        <v/>
      </c>
      <c r="BZ270">
        <f>IFERROR(INDEX(PP_Grid[#Data],$DE270,75),0)</f>
        <v/>
      </c>
      <c r="CA270">
        <f>IFERROR(INDEX(PP_Grid[#Data],$DE270,76),0)</f>
        <v/>
      </c>
      <c r="CB270">
        <f>IFERROR(INDEX(PP_Grid[#Data],$DE270,77),0)</f>
        <v/>
      </c>
      <c r="CC270">
        <f>IFERROR(INDEX(PP_Grid[#Data],$DE270,78),0)</f>
        <v/>
      </c>
      <c r="CD270">
        <f>IFERROR(INDEX(PP_Grid[#Data],$DE270,79),0)</f>
        <v/>
      </c>
      <c r="CE270">
        <f>IFERROR(INDEX(PP_Grid[#Data],$DE270,80),0)</f>
        <v/>
      </c>
      <c r="CF270">
        <f>IFERROR(INDEX(PP_Grid[#Data],$DE270,81),0)</f>
        <v/>
      </c>
      <c r="CG270">
        <f>IFERROR(INDEX(PP_Grid[#Data],$DE270,82),0)</f>
        <v/>
      </c>
      <c r="CH270">
        <f>IFERROR(INDEX(PP_Grid[#Data],$DE270,83),0)</f>
        <v/>
      </c>
      <c r="CI270">
        <f>IFERROR(INDEX(PP_Grid[#Data],$DE270,84),0)</f>
        <v/>
      </c>
      <c r="CJ270">
        <f>IFERROR(INDEX(PP_Grid[#Data],$DE270,85),0)</f>
        <v/>
      </c>
      <c r="CK270">
        <f>IFERROR(INDEX(PP_Grid[#Data],$DE270,86),0)</f>
        <v/>
      </c>
      <c r="CL270">
        <f>IFERROR(INDEX(PP_Grid[#Data],$DE270,87),0)</f>
        <v/>
      </c>
      <c r="CM270">
        <f>IFERROR(INDEX(PP_Grid[#Data],$DE270,88),0)</f>
        <v/>
      </c>
      <c r="CN270">
        <f>IFERROR(INDEX(PP_Grid[#Data],$DE270,89),0)</f>
        <v/>
      </c>
      <c r="CO270">
        <f>IFERROR(INDEX(PP_Grid[#Data],$DE270,90),0)</f>
        <v/>
      </c>
      <c r="CP270">
        <f>IFERROR(INDEX(PP_Grid[#Data],$DE270,91),0)</f>
        <v/>
      </c>
      <c r="CQ270">
        <f>IFERROR(INDEX(PP_Grid[#Data],$DE270,92),0)</f>
        <v/>
      </c>
      <c r="CR270">
        <f>IFERROR(INDEX(PP_Grid[#Data],$DE270,93),0)</f>
        <v/>
      </c>
      <c r="CS270">
        <f>IFERROR(INDEX(PP_Grid[#Data],$DE270,94),0)</f>
        <v/>
      </c>
      <c r="CT270">
        <f>IFERROR(INDEX(PP_Grid[#Data],$DE270,95),0)</f>
        <v/>
      </c>
      <c r="CU270">
        <f>IFERROR(INDEX(PP_Grid[#Data],$DE270,96),0)</f>
        <v/>
      </c>
      <c r="CV270">
        <f>IFERROR(INDEX(PP_Grid[#Data],$DE270,97),0)</f>
        <v/>
      </c>
      <c r="CW270">
        <f>IFERROR(INDEX(PP_Grid[#Data],$DE270,98),0)</f>
        <v/>
      </c>
      <c r="CX270">
        <f>IFERROR(INDEX(PP_Grid[#Data],$DE270,99),0)</f>
        <v/>
      </c>
      <c r="CY270">
        <f>IFERROR(INDEX(PP_Grid[#Data],$DE270,100),0)</f>
        <v/>
      </c>
      <c r="CZ270">
        <f>IFERROR(INDEX(PP_Grid[#Data],$DE270,101),0)</f>
        <v/>
      </c>
      <c r="DA270">
        <f>IFERROR(INDEX(PP_Grid[#Data],$DE270,102),0)</f>
        <v/>
      </c>
      <c r="DB270">
        <f>IFERROR(INDEX(PP_Grid[#Data],$DE270,103),0)</f>
        <v/>
      </c>
      <c r="DC270">
        <f>IFERROR(INDEX(PP_Grid[#Data],$DE270,104),0)</f>
        <v/>
      </c>
      <c r="DD270">
        <f>IFERROR(INDEX(PP_Grid[#Data],$DE270,105),0)</f>
        <v/>
      </c>
      <c r="DE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SUMIFS(M_BOM[RM_Qty_Per_Batch],M_BOM[Intermediate],$B270,M_BOM[RM_Code],$A199)</f>
        <v/>
      </c>
      <c r="D271">
        <f>IFERROR(INDEX(E271:DD271,$F$1),"")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  <c r="DD271">
        <f>$C271*DD270</f>
        <v/>
      </c>
    </row>
    <row r="272">
      <c r="B272" t="inlineStr">
        <is>
          <t>TSP-934</t>
        </is>
      </c>
      <c r="C272" t="inlineStr">
        <is>
          <t>No. of batches</t>
        </is>
      </c>
      <c r="D272">
        <f>IFERROR(INDEX(E272:DD272,$F$1),"")</f>
        <v/>
      </c>
      <c r="E272">
        <f>IFERROR(INDEX(PP_Grid[#Data],$DE272,2),0)</f>
        <v/>
      </c>
      <c r="F272">
        <f>IFERROR(INDEX(PP_Grid[#Data],$DE272,3),0)</f>
        <v/>
      </c>
      <c r="G272">
        <f>IFERROR(INDEX(PP_Grid[#Data],$DE272,4),0)</f>
        <v/>
      </c>
      <c r="H272">
        <f>IFERROR(INDEX(PP_Grid[#Data],$DE272,5),0)</f>
        <v/>
      </c>
      <c r="I272">
        <f>IFERROR(INDEX(PP_Grid[#Data],$DE272,6),0)</f>
        <v/>
      </c>
      <c r="J272">
        <f>IFERROR(INDEX(PP_Grid[#Data],$DE272,7),0)</f>
        <v/>
      </c>
      <c r="K272">
        <f>IFERROR(INDEX(PP_Grid[#Data],$DE272,8),0)</f>
        <v/>
      </c>
      <c r="L272">
        <f>IFERROR(INDEX(PP_Grid[#Data],$DE272,9),0)</f>
        <v/>
      </c>
      <c r="M272">
        <f>IFERROR(INDEX(PP_Grid[#Data],$DE272,10),0)</f>
        <v/>
      </c>
      <c r="N272">
        <f>IFERROR(INDEX(PP_Grid[#Data],$DE272,11),0)</f>
        <v/>
      </c>
      <c r="O272">
        <f>IFERROR(INDEX(PP_Grid[#Data],$DE272,12),0)</f>
        <v/>
      </c>
      <c r="P272">
        <f>IFERROR(INDEX(PP_Grid[#Data],$DE272,13),0)</f>
        <v/>
      </c>
      <c r="Q272">
        <f>IFERROR(INDEX(PP_Grid[#Data],$DE272,14),0)</f>
        <v/>
      </c>
      <c r="R272">
        <f>IFERROR(INDEX(PP_Grid[#Data],$DE272,15),0)</f>
        <v/>
      </c>
      <c r="S272">
        <f>IFERROR(INDEX(PP_Grid[#Data],$DE272,16),0)</f>
        <v/>
      </c>
      <c r="T272">
        <f>IFERROR(INDEX(PP_Grid[#Data],$DE272,17),0)</f>
        <v/>
      </c>
      <c r="U272">
        <f>IFERROR(INDEX(PP_Grid[#Data],$DE272,18),0)</f>
        <v/>
      </c>
      <c r="V272">
        <f>IFERROR(INDEX(PP_Grid[#Data],$DE272,19),0)</f>
        <v/>
      </c>
      <c r="W272">
        <f>IFERROR(INDEX(PP_Grid[#Data],$DE272,20),0)</f>
        <v/>
      </c>
      <c r="X272">
        <f>IFERROR(INDEX(PP_Grid[#Data],$DE272,21),0)</f>
        <v/>
      </c>
      <c r="Y272">
        <f>IFERROR(INDEX(PP_Grid[#Data],$DE272,22),0)</f>
        <v/>
      </c>
      <c r="Z272">
        <f>IFERROR(INDEX(PP_Grid[#Data],$DE272,23),0)</f>
        <v/>
      </c>
      <c r="AA272">
        <f>IFERROR(INDEX(PP_Grid[#Data],$DE272,24),0)</f>
        <v/>
      </c>
      <c r="AB272">
        <f>IFERROR(INDEX(PP_Grid[#Data],$DE272,25),0)</f>
        <v/>
      </c>
      <c r="AC272">
        <f>IFERROR(INDEX(PP_Grid[#Data],$DE272,26),0)</f>
        <v/>
      </c>
      <c r="AD272">
        <f>IFERROR(INDEX(PP_Grid[#Data],$DE272,27),0)</f>
        <v/>
      </c>
      <c r="AE272">
        <f>IFERROR(INDEX(PP_Grid[#Data],$DE272,28),0)</f>
        <v/>
      </c>
      <c r="AF272">
        <f>IFERROR(INDEX(PP_Grid[#Data],$DE272,29),0)</f>
        <v/>
      </c>
      <c r="AG272">
        <f>IFERROR(INDEX(PP_Grid[#Data],$DE272,30),0)</f>
        <v/>
      </c>
      <c r="AH272">
        <f>IFERROR(INDEX(PP_Grid[#Data],$DE272,31),0)</f>
        <v/>
      </c>
      <c r="AI272">
        <f>IFERROR(INDEX(PP_Grid[#Data],$DE272,32),0)</f>
        <v/>
      </c>
      <c r="AJ272">
        <f>IFERROR(INDEX(PP_Grid[#Data],$DE272,33),0)</f>
        <v/>
      </c>
      <c r="AK272">
        <f>IFERROR(INDEX(PP_Grid[#Data],$DE272,34),0)</f>
        <v/>
      </c>
      <c r="AL272">
        <f>IFERROR(INDEX(PP_Grid[#Data],$DE272,35),0)</f>
        <v/>
      </c>
      <c r="AM272">
        <f>IFERROR(INDEX(PP_Grid[#Data],$DE272,36),0)</f>
        <v/>
      </c>
      <c r="AN272">
        <f>IFERROR(INDEX(PP_Grid[#Data],$DE272,37),0)</f>
        <v/>
      </c>
      <c r="AO272">
        <f>IFERROR(INDEX(PP_Grid[#Data],$DE272,38),0)</f>
        <v/>
      </c>
      <c r="AP272">
        <f>IFERROR(INDEX(PP_Grid[#Data],$DE272,39),0)</f>
        <v/>
      </c>
      <c r="AQ272">
        <f>IFERROR(INDEX(PP_Grid[#Data],$DE272,40),0)</f>
        <v/>
      </c>
      <c r="AR272">
        <f>IFERROR(INDEX(PP_Grid[#Data],$DE272,41),0)</f>
        <v/>
      </c>
      <c r="AS272">
        <f>IFERROR(INDEX(PP_Grid[#Data],$DE272,42),0)</f>
        <v/>
      </c>
      <c r="AT272">
        <f>IFERROR(INDEX(PP_Grid[#Data],$DE272,43),0)</f>
        <v/>
      </c>
      <c r="AU272">
        <f>IFERROR(INDEX(PP_Grid[#Data],$DE272,44),0)</f>
        <v/>
      </c>
      <c r="AV272">
        <f>IFERROR(INDEX(PP_Grid[#Data],$DE272,45),0)</f>
        <v/>
      </c>
      <c r="AW272">
        <f>IFERROR(INDEX(PP_Grid[#Data],$DE272,46),0)</f>
        <v/>
      </c>
      <c r="AX272">
        <f>IFERROR(INDEX(PP_Grid[#Data],$DE272,47),0)</f>
        <v/>
      </c>
      <c r="AY272">
        <f>IFERROR(INDEX(PP_Grid[#Data],$DE272,48),0)</f>
        <v/>
      </c>
      <c r="AZ272">
        <f>IFERROR(INDEX(PP_Grid[#Data],$DE272,49),0)</f>
        <v/>
      </c>
      <c r="BA272">
        <f>IFERROR(INDEX(PP_Grid[#Data],$DE272,50),0)</f>
        <v/>
      </c>
      <c r="BB272">
        <f>IFERROR(INDEX(PP_Grid[#Data],$DE272,51),0)</f>
        <v/>
      </c>
      <c r="BC272">
        <f>IFERROR(INDEX(PP_Grid[#Data],$DE272,52),0)</f>
        <v/>
      </c>
      <c r="BD272">
        <f>IFERROR(INDEX(PP_Grid[#Data],$DE272,53),0)</f>
        <v/>
      </c>
      <c r="BE272">
        <f>IFERROR(INDEX(PP_Grid[#Data],$DE272,54),0)</f>
        <v/>
      </c>
      <c r="BF272">
        <f>IFERROR(INDEX(PP_Grid[#Data],$DE272,55),0)</f>
        <v/>
      </c>
      <c r="BG272">
        <f>IFERROR(INDEX(PP_Grid[#Data],$DE272,56),0)</f>
        <v/>
      </c>
      <c r="BH272">
        <f>IFERROR(INDEX(PP_Grid[#Data],$DE272,57),0)</f>
        <v/>
      </c>
      <c r="BI272">
        <f>IFERROR(INDEX(PP_Grid[#Data],$DE272,58),0)</f>
        <v/>
      </c>
      <c r="BJ272">
        <f>IFERROR(INDEX(PP_Grid[#Data],$DE272,59),0)</f>
        <v/>
      </c>
      <c r="BK272">
        <f>IFERROR(INDEX(PP_Grid[#Data],$DE272,60),0)</f>
        <v/>
      </c>
      <c r="BL272">
        <f>IFERROR(INDEX(PP_Grid[#Data],$DE272,61),0)</f>
        <v/>
      </c>
      <c r="BM272">
        <f>IFERROR(INDEX(PP_Grid[#Data],$DE272,62),0)</f>
        <v/>
      </c>
      <c r="BN272">
        <f>IFERROR(INDEX(PP_Grid[#Data],$DE272,63),0)</f>
        <v/>
      </c>
      <c r="BO272">
        <f>IFERROR(INDEX(PP_Grid[#Data],$DE272,64),0)</f>
        <v/>
      </c>
      <c r="BP272">
        <f>IFERROR(INDEX(PP_Grid[#Data],$DE272,65),0)</f>
        <v/>
      </c>
      <c r="BQ272">
        <f>IFERROR(INDEX(PP_Grid[#Data],$DE272,66),0)</f>
        <v/>
      </c>
      <c r="BR272">
        <f>IFERROR(INDEX(PP_Grid[#Data],$DE272,67),0)</f>
        <v/>
      </c>
      <c r="BS272">
        <f>IFERROR(INDEX(PP_Grid[#Data],$DE272,68),0)</f>
        <v/>
      </c>
      <c r="BT272">
        <f>IFERROR(INDEX(PP_Grid[#Data],$DE272,69),0)</f>
        <v/>
      </c>
      <c r="BU272">
        <f>IFERROR(INDEX(PP_Grid[#Data],$DE272,70),0)</f>
        <v/>
      </c>
      <c r="BV272">
        <f>IFERROR(INDEX(PP_Grid[#Data],$DE272,71),0)</f>
        <v/>
      </c>
      <c r="BW272">
        <f>IFERROR(INDEX(PP_Grid[#Data],$DE272,72),0)</f>
        <v/>
      </c>
      <c r="BX272">
        <f>IFERROR(INDEX(PP_Grid[#Data],$DE272,73),0)</f>
        <v/>
      </c>
      <c r="BY272">
        <f>IFERROR(INDEX(PP_Grid[#Data],$DE272,74),0)</f>
        <v/>
      </c>
      <c r="BZ272">
        <f>IFERROR(INDEX(PP_Grid[#Data],$DE272,75),0)</f>
        <v/>
      </c>
      <c r="CA272">
        <f>IFERROR(INDEX(PP_Grid[#Data],$DE272,76),0)</f>
        <v/>
      </c>
      <c r="CB272">
        <f>IFERROR(INDEX(PP_Grid[#Data],$DE272,77),0)</f>
        <v/>
      </c>
      <c r="CC272">
        <f>IFERROR(INDEX(PP_Grid[#Data],$DE272,78),0)</f>
        <v/>
      </c>
      <c r="CD272">
        <f>IFERROR(INDEX(PP_Grid[#Data],$DE272,79),0)</f>
        <v/>
      </c>
      <c r="CE272">
        <f>IFERROR(INDEX(PP_Grid[#Data],$DE272,80),0)</f>
        <v/>
      </c>
      <c r="CF272">
        <f>IFERROR(INDEX(PP_Grid[#Data],$DE272,81),0)</f>
        <v/>
      </c>
      <c r="CG272">
        <f>IFERROR(INDEX(PP_Grid[#Data],$DE272,82),0)</f>
        <v/>
      </c>
      <c r="CH272">
        <f>IFERROR(INDEX(PP_Grid[#Data],$DE272,83),0)</f>
        <v/>
      </c>
      <c r="CI272">
        <f>IFERROR(INDEX(PP_Grid[#Data],$DE272,84),0)</f>
        <v/>
      </c>
      <c r="CJ272">
        <f>IFERROR(INDEX(PP_Grid[#Data],$DE272,85),0)</f>
        <v/>
      </c>
      <c r="CK272">
        <f>IFERROR(INDEX(PP_Grid[#Data],$DE272,86),0)</f>
        <v/>
      </c>
      <c r="CL272">
        <f>IFERROR(INDEX(PP_Grid[#Data],$DE272,87),0)</f>
        <v/>
      </c>
      <c r="CM272">
        <f>IFERROR(INDEX(PP_Grid[#Data],$DE272,88),0)</f>
        <v/>
      </c>
      <c r="CN272">
        <f>IFERROR(INDEX(PP_Grid[#Data],$DE272,89),0)</f>
        <v/>
      </c>
      <c r="CO272">
        <f>IFERROR(INDEX(PP_Grid[#Data],$DE272,90),0)</f>
        <v/>
      </c>
      <c r="CP272">
        <f>IFERROR(INDEX(PP_Grid[#Data],$DE272,91),0)</f>
        <v/>
      </c>
      <c r="CQ272">
        <f>IFERROR(INDEX(PP_Grid[#Data],$DE272,92),0)</f>
        <v/>
      </c>
      <c r="CR272">
        <f>IFERROR(INDEX(PP_Grid[#Data],$DE272,93),0)</f>
        <v/>
      </c>
      <c r="CS272">
        <f>IFERROR(INDEX(PP_Grid[#Data],$DE272,94),0)</f>
        <v/>
      </c>
      <c r="CT272">
        <f>IFERROR(INDEX(PP_Grid[#Data],$DE272,95),0)</f>
        <v/>
      </c>
      <c r="CU272">
        <f>IFERROR(INDEX(PP_Grid[#Data],$DE272,96),0)</f>
        <v/>
      </c>
      <c r="CV272">
        <f>IFERROR(INDEX(PP_Grid[#Data],$DE272,97),0)</f>
        <v/>
      </c>
      <c r="CW272">
        <f>IFERROR(INDEX(PP_Grid[#Data],$DE272,98),0)</f>
        <v/>
      </c>
      <c r="CX272">
        <f>IFERROR(INDEX(PP_Grid[#Data],$DE272,99),0)</f>
        <v/>
      </c>
      <c r="CY272">
        <f>IFERROR(INDEX(PP_Grid[#Data],$DE272,100),0)</f>
        <v/>
      </c>
      <c r="CZ272">
        <f>IFERROR(INDEX(PP_Grid[#Data],$DE272,101),0)</f>
        <v/>
      </c>
      <c r="DA272">
        <f>IFERROR(INDEX(PP_Grid[#Data],$DE272,102),0)</f>
        <v/>
      </c>
      <c r="DB272">
        <f>IFERROR(INDEX(PP_Grid[#Data],$DE272,103),0)</f>
        <v/>
      </c>
      <c r="DC272">
        <f>IFERROR(INDEX(PP_Grid[#Data],$DE272,104),0)</f>
        <v/>
      </c>
      <c r="DD272">
        <f>IFERROR(INDEX(PP_Grid[#Data],$DE272,105),0)</f>
        <v/>
      </c>
      <c r="DE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SUMIFS(M_BOM[RM_Qty_Per_Batch],M_BOM[Intermediate],$B272,M_BOM[RM_Code],$A199)</f>
        <v/>
      </c>
      <c r="D273">
        <f>IFERROR(INDEX(E273:DD273,$F$1),"")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  <c r="DD273">
        <f>$C273*DD272</f>
        <v/>
      </c>
    </row>
    <row r="274">
      <c r="B274" t="inlineStr">
        <is>
          <t>TSP-935</t>
        </is>
      </c>
      <c r="C274" t="inlineStr">
        <is>
          <t>No. of batches</t>
        </is>
      </c>
      <c r="D274">
        <f>IFERROR(INDEX(E274:DD274,$F$1),"")</f>
        <v/>
      </c>
      <c r="E274">
        <f>IFERROR(INDEX(PP_Grid[#Data],$DE274,2),0)</f>
        <v/>
      </c>
      <c r="F274">
        <f>IFERROR(INDEX(PP_Grid[#Data],$DE274,3),0)</f>
        <v/>
      </c>
      <c r="G274">
        <f>IFERROR(INDEX(PP_Grid[#Data],$DE274,4),0)</f>
        <v/>
      </c>
      <c r="H274">
        <f>IFERROR(INDEX(PP_Grid[#Data],$DE274,5),0)</f>
        <v/>
      </c>
      <c r="I274">
        <f>IFERROR(INDEX(PP_Grid[#Data],$DE274,6),0)</f>
        <v/>
      </c>
      <c r="J274">
        <f>IFERROR(INDEX(PP_Grid[#Data],$DE274,7),0)</f>
        <v/>
      </c>
      <c r="K274">
        <f>IFERROR(INDEX(PP_Grid[#Data],$DE274,8),0)</f>
        <v/>
      </c>
      <c r="L274">
        <f>IFERROR(INDEX(PP_Grid[#Data],$DE274,9),0)</f>
        <v/>
      </c>
      <c r="M274">
        <f>IFERROR(INDEX(PP_Grid[#Data],$DE274,10),0)</f>
        <v/>
      </c>
      <c r="N274">
        <f>IFERROR(INDEX(PP_Grid[#Data],$DE274,11),0)</f>
        <v/>
      </c>
      <c r="O274">
        <f>IFERROR(INDEX(PP_Grid[#Data],$DE274,12),0)</f>
        <v/>
      </c>
      <c r="P274">
        <f>IFERROR(INDEX(PP_Grid[#Data],$DE274,13),0)</f>
        <v/>
      </c>
      <c r="Q274">
        <f>IFERROR(INDEX(PP_Grid[#Data],$DE274,14),0)</f>
        <v/>
      </c>
      <c r="R274">
        <f>IFERROR(INDEX(PP_Grid[#Data],$DE274,15),0)</f>
        <v/>
      </c>
      <c r="S274">
        <f>IFERROR(INDEX(PP_Grid[#Data],$DE274,16),0)</f>
        <v/>
      </c>
      <c r="T274">
        <f>IFERROR(INDEX(PP_Grid[#Data],$DE274,17),0)</f>
        <v/>
      </c>
      <c r="U274">
        <f>IFERROR(INDEX(PP_Grid[#Data],$DE274,18),0)</f>
        <v/>
      </c>
      <c r="V274">
        <f>IFERROR(INDEX(PP_Grid[#Data],$DE274,19),0)</f>
        <v/>
      </c>
      <c r="W274">
        <f>IFERROR(INDEX(PP_Grid[#Data],$DE274,20),0)</f>
        <v/>
      </c>
      <c r="X274">
        <f>IFERROR(INDEX(PP_Grid[#Data],$DE274,21),0)</f>
        <v/>
      </c>
      <c r="Y274">
        <f>IFERROR(INDEX(PP_Grid[#Data],$DE274,22),0)</f>
        <v/>
      </c>
      <c r="Z274">
        <f>IFERROR(INDEX(PP_Grid[#Data],$DE274,23),0)</f>
        <v/>
      </c>
      <c r="AA274">
        <f>IFERROR(INDEX(PP_Grid[#Data],$DE274,24),0)</f>
        <v/>
      </c>
      <c r="AB274">
        <f>IFERROR(INDEX(PP_Grid[#Data],$DE274,25),0)</f>
        <v/>
      </c>
      <c r="AC274">
        <f>IFERROR(INDEX(PP_Grid[#Data],$DE274,26),0)</f>
        <v/>
      </c>
      <c r="AD274">
        <f>IFERROR(INDEX(PP_Grid[#Data],$DE274,27),0)</f>
        <v/>
      </c>
      <c r="AE274">
        <f>IFERROR(INDEX(PP_Grid[#Data],$DE274,28),0)</f>
        <v/>
      </c>
      <c r="AF274">
        <f>IFERROR(INDEX(PP_Grid[#Data],$DE274,29),0)</f>
        <v/>
      </c>
      <c r="AG274">
        <f>IFERROR(INDEX(PP_Grid[#Data],$DE274,30),0)</f>
        <v/>
      </c>
      <c r="AH274">
        <f>IFERROR(INDEX(PP_Grid[#Data],$DE274,31),0)</f>
        <v/>
      </c>
      <c r="AI274">
        <f>IFERROR(INDEX(PP_Grid[#Data],$DE274,32),0)</f>
        <v/>
      </c>
      <c r="AJ274">
        <f>IFERROR(INDEX(PP_Grid[#Data],$DE274,33),0)</f>
        <v/>
      </c>
      <c r="AK274">
        <f>IFERROR(INDEX(PP_Grid[#Data],$DE274,34),0)</f>
        <v/>
      </c>
      <c r="AL274">
        <f>IFERROR(INDEX(PP_Grid[#Data],$DE274,35),0)</f>
        <v/>
      </c>
      <c r="AM274">
        <f>IFERROR(INDEX(PP_Grid[#Data],$DE274,36),0)</f>
        <v/>
      </c>
      <c r="AN274">
        <f>IFERROR(INDEX(PP_Grid[#Data],$DE274,37),0)</f>
        <v/>
      </c>
      <c r="AO274">
        <f>IFERROR(INDEX(PP_Grid[#Data],$DE274,38),0)</f>
        <v/>
      </c>
      <c r="AP274">
        <f>IFERROR(INDEX(PP_Grid[#Data],$DE274,39),0)</f>
        <v/>
      </c>
      <c r="AQ274">
        <f>IFERROR(INDEX(PP_Grid[#Data],$DE274,40),0)</f>
        <v/>
      </c>
      <c r="AR274">
        <f>IFERROR(INDEX(PP_Grid[#Data],$DE274,41),0)</f>
        <v/>
      </c>
      <c r="AS274">
        <f>IFERROR(INDEX(PP_Grid[#Data],$DE274,42),0)</f>
        <v/>
      </c>
      <c r="AT274">
        <f>IFERROR(INDEX(PP_Grid[#Data],$DE274,43),0)</f>
        <v/>
      </c>
      <c r="AU274">
        <f>IFERROR(INDEX(PP_Grid[#Data],$DE274,44),0)</f>
        <v/>
      </c>
      <c r="AV274">
        <f>IFERROR(INDEX(PP_Grid[#Data],$DE274,45),0)</f>
        <v/>
      </c>
      <c r="AW274">
        <f>IFERROR(INDEX(PP_Grid[#Data],$DE274,46),0)</f>
        <v/>
      </c>
      <c r="AX274">
        <f>IFERROR(INDEX(PP_Grid[#Data],$DE274,47),0)</f>
        <v/>
      </c>
      <c r="AY274">
        <f>IFERROR(INDEX(PP_Grid[#Data],$DE274,48),0)</f>
        <v/>
      </c>
      <c r="AZ274">
        <f>IFERROR(INDEX(PP_Grid[#Data],$DE274,49),0)</f>
        <v/>
      </c>
      <c r="BA274">
        <f>IFERROR(INDEX(PP_Grid[#Data],$DE274,50),0)</f>
        <v/>
      </c>
      <c r="BB274">
        <f>IFERROR(INDEX(PP_Grid[#Data],$DE274,51),0)</f>
        <v/>
      </c>
      <c r="BC274">
        <f>IFERROR(INDEX(PP_Grid[#Data],$DE274,52),0)</f>
        <v/>
      </c>
      <c r="BD274">
        <f>IFERROR(INDEX(PP_Grid[#Data],$DE274,53),0)</f>
        <v/>
      </c>
      <c r="BE274">
        <f>IFERROR(INDEX(PP_Grid[#Data],$DE274,54),0)</f>
        <v/>
      </c>
      <c r="BF274">
        <f>IFERROR(INDEX(PP_Grid[#Data],$DE274,55),0)</f>
        <v/>
      </c>
      <c r="BG274">
        <f>IFERROR(INDEX(PP_Grid[#Data],$DE274,56),0)</f>
        <v/>
      </c>
      <c r="BH274">
        <f>IFERROR(INDEX(PP_Grid[#Data],$DE274,57),0)</f>
        <v/>
      </c>
      <c r="BI274">
        <f>IFERROR(INDEX(PP_Grid[#Data],$DE274,58),0)</f>
        <v/>
      </c>
      <c r="BJ274">
        <f>IFERROR(INDEX(PP_Grid[#Data],$DE274,59),0)</f>
        <v/>
      </c>
      <c r="BK274">
        <f>IFERROR(INDEX(PP_Grid[#Data],$DE274,60),0)</f>
        <v/>
      </c>
      <c r="BL274">
        <f>IFERROR(INDEX(PP_Grid[#Data],$DE274,61),0)</f>
        <v/>
      </c>
      <c r="BM274">
        <f>IFERROR(INDEX(PP_Grid[#Data],$DE274,62),0)</f>
        <v/>
      </c>
      <c r="BN274">
        <f>IFERROR(INDEX(PP_Grid[#Data],$DE274,63),0)</f>
        <v/>
      </c>
      <c r="BO274">
        <f>IFERROR(INDEX(PP_Grid[#Data],$DE274,64),0)</f>
        <v/>
      </c>
      <c r="BP274">
        <f>IFERROR(INDEX(PP_Grid[#Data],$DE274,65),0)</f>
        <v/>
      </c>
      <c r="BQ274">
        <f>IFERROR(INDEX(PP_Grid[#Data],$DE274,66),0)</f>
        <v/>
      </c>
      <c r="BR274">
        <f>IFERROR(INDEX(PP_Grid[#Data],$DE274,67),0)</f>
        <v/>
      </c>
      <c r="BS274">
        <f>IFERROR(INDEX(PP_Grid[#Data],$DE274,68),0)</f>
        <v/>
      </c>
      <c r="BT274">
        <f>IFERROR(INDEX(PP_Grid[#Data],$DE274,69),0)</f>
        <v/>
      </c>
      <c r="BU274">
        <f>IFERROR(INDEX(PP_Grid[#Data],$DE274,70),0)</f>
        <v/>
      </c>
      <c r="BV274">
        <f>IFERROR(INDEX(PP_Grid[#Data],$DE274,71),0)</f>
        <v/>
      </c>
      <c r="BW274">
        <f>IFERROR(INDEX(PP_Grid[#Data],$DE274,72),0)</f>
        <v/>
      </c>
      <c r="BX274">
        <f>IFERROR(INDEX(PP_Grid[#Data],$DE274,73),0)</f>
        <v/>
      </c>
      <c r="BY274">
        <f>IFERROR(INDEX(PP_Grid[#Data],$DE274,74),0)</f>
        <v/>
      </c>
      <c r="BZ274">
        <f>IFERROR(INDEX(PP_Grid[#Data],$DE274,75),0)</f>
        <v/>
      </c>
      <c r="CA274">
        <f>IFERROR(INDEX(PP_Grid[#Data],$DE274,76),0)</f>
        <v/>
      </c>
      <c r="CB274">
        <f>IFERROR(INDEX(PP_Grid[#Data],$DE274,77),0)</f>
        <v/>
      </c>
      <c r="CC274">
        <f>IFERROR(INDEX(PP_Grid[#Data],$DE274,78),0)</f>
        <v/>
      </c>
      <c r="CD274">
        <f>IFERROR(INDEX(PP_Grid[#Data],$DE274,79),0)</f>
        <v/>
      </c>
      <c r="CE274">
        <f>IFERROR(INDEX(PP_Grid[#Data],$DE274,80),0)</f>
        <v/>
      </c>
      <c r="CF274">
        <f>IFERROR(INDEX(PP_Grid[#Data],$DE274,81),0)</f>
        <v/>
      </c>
      <c r="CG274">
        <f>IFERROR(INDEX(PP_Grid[#Data],$DE274,82),0)</f>
        <v/>
      </c>
      <c r="CH274">
        <f>IFERROR(INDEX(PP_Grid[#Data],$DE274,83),0)</f>
        <v/>
      </c>
      <c r="CI274">
        <f>IFERROR(INDEX(PP_Grid[#Data],$DE274,84),0)</f>
        <v/>
      </c>
      <c r="CJ274">
        <f>IFERROR(INDEX(PP_Grid[#Data],$DE274,85),0)</f>
        <v/>
      </c>
      <c r="CK274">
        <f>IFERROR(INDEX(PP_Grid[#Data],$DE274,86),0)</f>
        <v/>
      </c>
      <c r="CL274">
        <f>IFERROR(INDEX(PP_Grid[#Data],$DE274,87),0)</f>
        <v/>
      </c>
      <c r="CM274">
        <f>IFERROR(INDEX(PP_Grid[#Data],$DE274,88),0)</f>
        <v/>
      </c>
      <c r="CN274">
        <f>IFERROR(INDEX(PP_Grid[#Data],$DE274,89),0)</f>
        <v/>
      </c>
      <c r="CO274">
        <f>IFERROR(INDEX(PP_Grid[#Data],$DE274,90),0)</f>
        <v/>
      </c>
      <c r="CP274">
        <f>IFERROR(INDEX(PP_Grid[#Data],$DE274,91),0)</f>
        <v/>
      </c>
      <c r="CQ274">
        <f>IFERROR(INDEX(PP_Grid[#Data],$DE274,92),0)</f>
        <v/>
      </c>
      <c r="CR274">
        <f>IFERROR(INDEX(PP_Grid[#Data],$DE274,93),0)</f>
        <v/>
      </c>
      <c r="CS274">
        <f>IFERROR(INDEX(PP_Grid[#Data],$DE274,94),0)</f>
        <v/>
      </c>
      <c r="CT274">
        <f>IFERROR(INDEX(PP_Grid[#Data],$DE274,95),0)</f>
        <v/>
      </c>
      <c r="CU274">
        <f>IFERROR(INDEX(PP_Grid[#Data],$DE274,96),0)</f>
        <v/>
      </c>
      <c r="CV274">
        <f>IFERROR(INDEX(PP_Grid[#Data],$DE274,97),0)</f>
        <v/>
      </c>
      <c r="CW274">
        <f>IFERROR(INDEX(PP_Grid[#Data],$DE274,98),0)</f>
        <v/>
      </c>
      <c r="CX274">
        <f>IFERROR(INDEX(PP_Grid[#Data],$DE274,99),0)</f>
        <v/>
      </c>
      <c r="CY274">
        <f>IFERROR(INDEX(PP_Grid[#Data],$DE274,100),0)</f>
        <v/>
      </c>
      <c r="CZ274">
        <f>IFERROR(INDEX(PP_Grid[#Data],$DE274,101),0)</f>
        <v/>
      </c>
      <c r="DA274">
        <f>IFERROR(INDEX(PP_Grid[#Data],$DE274,102),0)</f>
        <v/>
      </c>
      <c r="DB274">
        <f>IFERROR(INDEX(PP_Grid[#Data],$DE274,103),0)</f>
        <v/>
      </c>
      <c r="DC274">
        <f>IFERROR(INDEX(PP_Grid[#Data],$DE274,104),0)</f>
        <v/>
      </c>
      <c r="DD274">
        <f>IFERROR(INDEX(PP_Grid[#Data],$DE274,105),0)</f>
        <v/>
      </c>
      <c r="DE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SUMIFS(M_BOM[RM_Qty_Per_Batch],M_BOM[Intermediate],$B274,M_BOM[RM_Code],$A199)</f>
        <v/>
      </c>
      <c r="D275">
        <f>IFERROR(INDEX(E275:DD275,$F$1),"")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  <c r="DD275">
        <f>$C275*DD274</f>
        <v/>
      </c>
    </row>
    <row r="276">
      <c r="B276" t="inlineStr">
        <is>
          <t>TSP-936</t>
        </is>
      </c>
      <c r="C276" t="inlineStr">
        <is>
          <t>No. of batches</t>
        </is>
      </c>
      <c r="D276">
        <f>IFERROR(INDEX(E276:DD276,$F$1),"")</f>
        <v/>
      </c>
      <c r="E276">
        <f>IFERROR(INDEX(PP_Grid[#Data],$DE276,2),0)</f>
        <v/>
      </c>
      <c r="F276">
        <f>IFERROR(INDEX(PP_Grid[#Data],$DE276,3),0)</f>
        <v/>
      </c>
      <c r="G276">
        <f>IFERROR(INDEX(PP_Grid[#Data],$DE276,4),0)</f>
        <v/>
      </c>
      <c r="H276">
        <f>IFERROR(INDEX(PP_Grid[#Data],$DE276,5),0)</f>
        <v/>
      </c>
      <c r="I276">
        <f>IFERROR(INDEX(PP_Grid[#Data],$DE276,6),0)</f>
        <v/>
      </c>
      <c r="J276">
        <f>IFERROR(INDEX(PP_Grid[#Data],$DE276,7),0)</f>
        <v/>
      </c>
      <c r="K276">
        <f>IFERROR(INDEX(PP_Grid[#Data],$DE276,8),0)</f>
        <v/>
      </c>
      <c r="L276">
        <f>IFERROR(INDEX(PP_Grid[#Data],$DE276,9),0)</f>
        <v/>
      </c>
      <c r="M276">
        <f>IFERROR(INDEX(PP_Grid[#Data],$DE276,10),0)</f>
        <v/>
      </c>
      <c r="N276">
        <f>IFERROR(INDEX(PP_Grid[#Data],$DE276,11),0)</f>
        <v/>
      </c>
      <c r="O276">
        <f>IFERROR(INDEX(PP_Grid[#Data],$DE276,12),0)</f>
        <v/>
      </c>
      <c r="P276">
        <f>IFERROR(INDEX(PP_Grid[#Data],$DE276,13),0)</f>
        <v/>
      </c>
      <c r="Q276">
        <f>IFERROR(INDEX(PP_Grid[#Data],$DE276,14),0)</f>
        <v/>
      </c>
      <c r="R276">
        <f>IFERROR(INDEX(PP_Grid[#Data],$DE276,15),0)</f>
        <v/>
      </c>
      <c r="S276">
        <f>IFERROR(INDEX(PP_Grid[#Data],$DE276,16),0)</f>
        <v/>
      </c>
      <c r="T276">
        <f>IFERROR(INDEX(PP_Grid[#Data],$DE276,17),0)</f>
        <v/>
      </c>
      <c r="U276">
        <f>IFERROR(INDEX(PP_Grid[#Data],$DE276,18),0)</f>
        <v/>
      </c>
      <c r="V276">
        <f>IFERROR(INDEX(PP_Grid[#Data],$DE276,19),0)</f>
        <v/>
      </c>
      <c r="W276">
        <f>IFERROR(INDEX(PP_Grid[#Data],$DE276,20),0)</f>
        <v/>
      </c>
      <c r="X276">
        <f>IFERROR(INDEX(PP_Grid[#Data],$DE276,21),0)</f>
        <v/>
      </c>
      <c r="Y276">
        <f>IFERROR(INDEX(PP_Grid[#Data],$DE276,22),0)</f>
        <v/>
      </c>
      <c r="Z276">
        <f>IFERROR(INDEX(PP_Grid[#Data],$DE276,23),0)</f>
        <v/>
      </c>
      <c r="AA276">
        <f>IFERROR(INDEX(PP_Grid[#Data],$DE276,24),0)</f>
        <v/>
      </c>
      <c r="AB276">
        <f>IFERROR(INDEX(PP_Grid[#Data],$DE276,25),0)</f>
        <v/>
      </c>
      <c r="AC276">
        <f>IFERROR(INDEX(PP_Grid[#Data],$DE276,26),0)</f>
        <v/>
      </c>
      <c r="AD276">
        <f>IFERROR(INDEX(PP_Grid[#Data],$DE276,27),0)</f>
        <v/>
      </c>
      <c r="AE276">
        <f>IFERROR(INDEX(PP_Grid[#Data],$DE276,28),0)</f>
        <v/>
      </c>
      <c r="AF276">
        <f>IFERROR(INDEX(PP_Grid[#Data],$DE276,29),0)</f>
        <v/>
      </c>
      <c r="AG276">
        <f>IFERROR(INDEX(PP_Grid[#Data],$DE276,30),0)</f>
        <v/>
      </c>
      <c r="AH276">
        <f>IFERROR(INDEX(PP_Grid[#Data],$DE276,31),0)</f>
        <v/>
      </c>
      <c r="AI276">
        <f>IFERROR(INDEX(PP_Grid[#Data],$DE276,32),0)</f>
        <v/>
      </c>
      <c r="AJ276">
        <f>IFERROR(INDEX(PP_Grid[#Data],$DE276,33),0)</f>
        <v/>
      </c>
      <c r="AK276">
        <f>IFERROR(INDEX(PP_Grid[#Data],$DE276,34),0)</f>
        <v/>
      </c>
      <c r="AL276">
        <f>IFERROR(INDEX(PP_Grid[#Data],$DE276,35),0)</f>
        <v/>
      </c>
      <c r="AM276">
        <f>IFERROR(INDEX(PP_Grid[#Data],$DE276,36),0)</f>
        <v/>
      </c>
      <c r="AN276">
        <f>IFERROR(INDEX(PP_Grid[#Data],$DE276,37),0)</f>
        <v/>
      </c>
      <c r="AO276">
        <f>IFERROR(INDEX(PP_Grid[#Data],$DE276,38),0)</f>
        <v/>
      </c>
      <c r="AP276">
        <f>IFERROR(INDEX(PP_Grid[#Data],$DE276,39),0)</f>
        <v/>
      </c>
      <c r="AQ276">
        <f>IFERROR(INDEX(PP_Grid[#Data],$DE276,40),0)</f>
        <v/>
      </c>
      <c r="AR276">
        <f>IFERROR(INDEX(PP_Grid[#Data],$DE276,41),0)</f>
        <v/>
      </c>
      <c r="AS276">
        <f>IFERROR(INDEX(PP_Grid[#Data],$DE276,42),0)</f>
        <v/>
      </c>
      <c r="AT276">
        <f>IFERROR(INDEX(PP_Grid[#Data],$DE276,43),0)</f>
        <v/>
      </c>
      <c r="AU276">
        <f>IFERROR(INDEX(PP_Grid[#Data],$DE276,44),0)</f>
        <v/>
      </c>
      <c r="AV276">
        <f>IFERROR(INDEX(PP_Grid[#Data],$DE276,45),0)</f>
        <v/>
      </c>
      <c r="AW276">
        <f>IFERROR(INDEX(PP_Grid[#Data],$DE276,46),0)</f>
        <v/>
      </c>
      <c r="AX276">
        <f>IFERROR(INDEX(PP_Grid[#Data],$DE276,47),0)</f>
        <v/>
      </c>
      <c r="AY276">
        <f>IFERROR(INDEX(PP_Grid[#Data],$DE276,48),0)</f>
        <v/>
      </c>
      <c r="AZ276">
        <f>IFERROR(INDEX(PP_Grid[#Data],$DE276,49),0)</f>
        <v/>
      </c>
      <c r="BA276">
        <f>IFERROR(INDEX(PP_Grid[#Data],$DE276,50),0)</f>
        <v/>
      </c>
      <c r="BB276">
        <f>IFERROR(INDEX(PP_Grid[#Data],$DE276,51),0)</f>
        <v/>
      </c>
      <c r="BC276">
        <f>IFERROR(INDEX(PP_Grid[#Data],$DE276,52),0)</f>
        <v/>
      </c>
      <c r="BD276">
        <f>IFERROR(INDEX(PP_Grid[#Data],$DE276,53),0)</f>
        <v/>
      </c>
      <c r="BE276">
        <f>IFERROR(INDEX(PP_Grid[#Data],$DE276,54),0)</f>
        <v/>
      </c>
      <c r="BF276">
        <f>IFERROR(INDEX(PP_Grid[#Data],$DE276,55),0)</f>
        <v/>
      </c>
      <c r="BG276">
        <f>IFERROR(INDEX(PP_Grid[#Data],$DE276,56),0)</f>
        <v/>
      </c>
      <c r="BH276">
        <f>IFERROR(INDEX(PP_Grid[#Data],$DE276,57),0)</f>
        <v/>
      </c>
      <c r="BI276">
        <f>IFERROR(INDEX(PP_Grid[#Data],$DE276,58),0)</f>
        <v/>
      </c>
      <c r="BJ276">
        <f>IFERROR(INDEX(PP_Grid[#Data],$DE276,59),0)</f>
        <v/>
      </c>
      <c r="BK276">
        <f>IFERROR(INDEX(PP_Grid[#Data],$DE276,60),0)</f>
        <v/>
      </c>
      <c r="BL276">
        <f>IFERROR(INDEX(PP_Grid[#Data],$DE276,61),0)</f>
        <v/>
      </c>
      <c r="BM276">
        <f>IFERROR(INDEX(PP_Grid[#Data],$DE276,62),0)</f>
        <v/>
      </c>
      <c r="BN276">
        <f>IFERROR(INDEX(PP_Grid[#Data],$DE276,63),0)</f>
        <v/>
      </c>
      <c r="BO276">
        <f>IFERROR(INDEX(PP_Grid[#Data],$DE276,64),0)</f>
        <v/>
      </c>
      <c r="BP276">
        <f>IFERROR(INDEX(PP_Grid[#Data],$DE276,65),0)</f>
        <v/>
      </c>
      <c r="BQ276">
        <f>IFERROR(INDEX(PP_Grid[#Data],$DE276,66),0)</f>
        <v/>
      </c>
      <c r="BR276">
        <f>IFERROR(INDEX(PP_Grid[#Data],$DE276,67),0)</f>
        <v/>
      </c>
      <c r="BS276">
        <f>IFERROR(INDEX(PP_Grid[#Data],$DE276,68),0)</f>
        <v/>
      </c>
      <c r="BT276">
        <f>IFERROR(INDEX(PP_Grid[#Data],$DE276,69),0)</f>
        <v/>
      </c>
      <c r="BU276">
        <f>IFERROR(INDEX(PP_Grid[#Data],$DE276,70),0)</f>
        <v/>
      </c>
      <c r="BV276">
        <f>IFERROR(INDEX(PP_Grid[#Data],$DE276,71),0)</f>
        <v/>
      </c>
      <c r="BW276">
        <f>IFERROR(INDEX(PP_Grid[#Data],$DE276,72),0)</f>
        <v/>
      </c>
      <c r="BX276">
        <f>IFERROR(INDEX(PP_Grid[#Data],$DE276,73),0)</f>
        <v/>
      </c>
      <c r="BY276">
        <f>IFERROR(INDEX(PP_Grid[#Data],$DE276,74),0)</f>
        <v/>
      </c>
      <c r="BZ276">
        <f>IFERROR(INDEX(PP_Grid[#Data],$DE276,75),0)</f>
        <v/>
      </c>
      <c r="CA276">
        <f>IFERROR(INDEX(PP_Grid[#Data],$DE276,76),0)</f>
        <v/>
      </c>
      <c r="CB276">
        <f>IFERROR(INDEX(PP_Grid[#Data],$DE276,77),0)</f>
        <v/>
      </c>
      <c r="CC276">
        <f>IFERROR(INDEX(PP_Grid[#Data],$DE276,78),0)</f>
        <v/>
      </c>
      <c r="CD276">
        <f>IFERROR(INDEX(PP_Grid[#Data],$DE276,79),0)</f>
        <v/>
      </c>
      <c r="CE276">
        <f>IFERROR(INDEX(PP_Grid[#Data],$DE276,80),0)</f>
        <v/>
      </c>
      <c r="CF276">
        <f>IFERROR(INDEX(PP_Grid[#Data],$DE276,81),0)</f>
        <v/>
      </c>
      <c r="CG276">
        <f>IFERROR(INDEX(PP_Grid[#Data],$DE276,82),0)</f>
        <v/>
      </c>
      <c r="CH276">
        <f>IFERROR(INDEX(PP_Grid[#Data],$DE276,83),0)</f>
        <v/>
      </c>
      <c r="CI276">
        <f>IFERROR(INDEX(PP_Grid[#Data],$DE276,84),0)</f>
        <v/>
      </c>
      <c r="CJ276">
        <f>IFERROR(INDEX(PP_Grid[#Data],$DE276,85),0)</f>
        <v/>
      </c>
      <c r="CK276">
        <f>IFERROR(INDEX(PP_Grid[#Data],$DE276,86),0)</f>
        <v/>
      </c>
      <c r="CL276">
        <f>IFERROR(INDEX(PP_Grid[#Data],$DE276,87),0)</f>
        <v/>
      </c>
      <c r="CM276">
        <f>IFERROR(INDEX(PP_Grid[#Data],$DE276,88),0)</f>
        <v/>
      </c>
      <c r="CN276">
        <f>IFERROR(INDEX(PP_Grid[#Data],$DE276,89),0)</f>
        <v/>
      </c>
      <c r="CO276">
        <f>IFERROR(INDEX(PP_Grid[#Data],$DE276,90),0)</f>
        <v/>
      </c>
      <c r="CP276">
        <f>IFERROR(INDEX(PP_Grid[#Data],$DE276,91),0)</f>
        <v/>
      </c>
      <c r="CQ276">
        <f>IFERROR(INDEX(PP_Grid[#Data],$DE276,92),0)</f>
        <v/>
      </c>
      <c r="CR276">
        <f>IFERROR(INDEX(PP_Grid[#Data],$DE276,93),0)</f>
        <v/>
      </c>
      <c r="CS276">
        <f>IFERROR(INDEX(PP_Grid[#Data],$DE276,94),0)</f>
        <v/>
      </c>
      <c r="CT276">
        <f>IFERROR(INDEX(PP_Grid[#Data],$DE276,95),0)</f>
        <v/>
      </c>
      <c r="CU276">
        <f>IFERROR(INDEX(PP_Grid[#Data],$DE276,96),0)</f>
        <v/>
      </c>
      <c r="CV276">
        <f>IFERROR(INDEX(PP_Grid[#Data],$DE276,97),0)</f>
        <v/>
      </c>
      <c r="CW276">
        <f>IFERROR(INDEX(PP_Grid[#Data],$DE276,98),0)</f>
        <v/>
      </c>
      <c r="CX276">
        <f>IFERROR(INDEX(PP_Grid[#Data],$DE276,99),0)</f>
        <v/>
      </c>
      <c r="CY276">
        <f>IFERROR(INDEX(PP_Grid[#Data],$DE276,100),0)</f>
        <v/>
      </c>
      <c r="CZ276">
        <f>IFERROR(INDEX(PP_Grid[#Data],$DE276,101),0)</f>
        <v/>
      </c>
      <c r="DA276">
        <f>IFERROR(INDEX(PP_Grid[#Data],$DE276,102),0)</f>
        <v/>
      </c>
      <c r="DB276">
        <f>IFERROR(INDEX(PP_Grid[#Data],$DE276,103),0)</f>
        <v/>
      </c>
      <c r="DC276">
        <f>IFERROR(INDEX(PP_Grid[#Data],$DE276,104),0)</f>
        <v/>
      </c>
      <c r="DD276">
        <f>IFERROR(INDEX(PP_Grid[#Data],$DE276,105),0)</f>
        <v/>
      </c>
      <c r="DE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SUMIFS(M_BOM[RM_Qty_Per_Batch],M_BOM[Intermediate],$B276,M_BOM[RM_Code],$A199)</f>
        <v/>
      </c>
      <c r="D277">
        <f>IFERROR(INDEX(E277:DD277,$F$1),"")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  <c r="DD277">
        <f>$C277*DD276</f>
        <v/>
      </c>
    </row>
    <row r="278">
      <c r="B278" t="inlineStr">
        <is>
          <t>TSP-937</t>
        </is>
      </c>
      <c r="C278" t="inlineStr">
        <is>
          <t>No. of batches</t>
        </is>
      </c>
      <c r="D278">
        <f>IFERROR(INDEX(E278:DD278,$F$1),"")</f>
        <v/>
      </c>
      <c r="E278">
        <f>IFERROR(INDEX(PP_Grid[#Data],$DE278,2),0)</f>
        <v/>
      </c>
      <c r="F278">
        <f>IFERROR(INDEX(PP_Grid[#Data],$DE278,3),0)</f>
        <v/>
      </c>
      <c r="G278">
        <f>IFERROR(INDEX(PP_Grid[#Data],$DE278,4),0)</f>
        <v/>
      </c>
      <c r="H278">
        <f>IFERROR(INDEX(PP_Grid[#Data],$DE278,5),0)</f>
        <v/>
      </c>
      <c r="I278">
        <f>IFERROR(INDEX(PP_Grid[#Data],$DE278,6),0)</f>
        <v/>
      </c>
      <c r="J278">
        <f>IFERROR(INDEX(PP_Grid[#Data],$DE278,7),0)</f>
        <v/>
      </c>
      <c r="K278">
        <f>IFERROR(INDEX(PP_Grid[#Data],$DE278,8),0)</f>
        <v/>
      </c>
      <c r="L278">
        <f>IFERROR(INDEX(PP_Grid[#Data],$DE278,9),0)</f>
        <v/>
      </c>
      <c r="M278">
        <f>IFERROR(INDEX(PP_Grid[#Data],$DE278,10),0)</f>
        <v/>
      </c>
      <c r="N278">
        <f>IFERROR(INDEX(PP_Grid[#Data],$DE278,11),0)</f>
        <v/>
      </c>
      <c r="O278">
        <f>IFERROR(INDEX(PP_Grid[#Data],$DE278,12),0)</f>
        <v/>
      </c>
      <c r="P278">
        <f>IFERROR(INDEX(PP_Grid[#Data],$DE278,13),0)</f>
        <v/>
      </c>
      <c r="Q278">
        <f>IFERROR(INDEX(PP_Grid[#Data],$DE278,14),0)</f>
        <v/>
      </c>
      <c r="R278">
        <f>IFERROR(INDEX(PP_Grid[#Data],$DE278,15),0)</f>
        <v/>
      </c>
      <c r="S278">
        <f>IFERROR(INDEX(PP_Grid[#Data],$DE278,16),0)</f>
        <v/>
      </c>
      <c r="T278">
        <f>IFERROR(INDEX(PP_Grid[#Data],$DE278,17),0)</f>
        <v/>
      </c>
      <c r="U278">
        <f>IFERROR(INDEX(PP_Grid[#Data],$DE278,18),0)</f>
        <v/>
      </c>
      <c r="V278">
        <f>IFERROR(INDEX(PP_Grid[#Data],$DE278,19),0)</f>
        <v/>
      </c>
      <c r="W278">
        <f>IFERROR(INDEX(PP_Grid[#Data],$DE278,20),0)</f>
        <v/>
      </c>
      <c r="X278">
        <f>IFERROR(INDEX(PP_Grid[#Data],$DE278,21),0)</f>
        <v/>
      </c>
      <c r="Y278">
        <f>IFERROR(INDEX(PP_Grid[#Data],$DE278,22),0)</f>
        <v/>
      </c>
      <c r="Z278">
        <f>IFERROR(INDEX(PP_Grid[#Data],$DE278,23),0)</f>
        <v/>
      </c>
      <c r="AA278">
        <f>IFERROR(INDEX(PP_Grid[#Data],$DE278,24),0)</f>
        <v/>
      </c>
      <c r="AB278">
        <f>IFERROR(INDEX(PP_Grid[#Data],$DE278,25),0)</f>
        <v/>
      </c>
      <c r="AC278">
        <f>IFERROR(INDEX(PP_Grid[#Data],$DE278,26),0)</f>
        <v/>
      </c>
      <c r="AD278">
        <f>IFERROR(INDEX(PP_Grid[#Data],$DE278,27),0)</f>
        <v/>
      </c>
      <c r="AE278">
        <f>IFERROR(INDEX(PP_Grid[#Data],$DE278,28),0)</f>
        <v/>
      </c>
      <c r="AF278">
        <f>IFERROR(INDEX(PP_Grid[#Data],$DE278,29),0)</f>
        <v/>
      </c>
      <c r="AG278">
        <f>IFERROR(INDEX(PP_Grid[#Data],$DE278,30),0)</f>
        <v/>
      </c>
      <c r="AH278">
        <f>IFERROR(INDEX(PP_Grid[#Data],$DE278,31),0)</f>
        <v/>
      </c>
      <c r="AI278">
        <f>IFERROR(INDEX(PP_Grid[#Data],$DE278,32),0)</f>
        <v/>
      </c>
      <c r="AJ278">
        <f>IFERROR(INDEX(PP_Grid[#Data],$DE278,33),0)</f>
        <v/>
      </c>
      <c r="AK278">
        <f>IFERROR(INDEX(PP_Grid[#Data],$DE278,34),0)</f>
        <v/>
      </c>
      <c r="AL278">
        <f>IFERROR(INDEX(PP_Grid[#Data],$DE278,35),0)</f>
        <v/>
      </c>
      <c r="AM278">
        <f>IFERROR(INDEX(PP_Grid[#Data],$DE278,36),0)</f>
        <v/>
      </c>
      <c r="AN278">
        <f>IFERROR(INDEX(PP_Grid[#Data],$DE278,37),0)</f>
        <v/>
      </c>
      <c r="AO278">
        <f>IFERROR(INDEX(PP_Grid[#Data],$DE278,38),0)</f>
        <v/>
      </c>
      <c r="AP278">
        <f>IFERROR(INDEX(PP_Grid[#Data],$DE278,39),0)</f>
        <v/>
      </c>
      <c r="AQ278">
        <f>IFERROR(INDEX(PP_Grid[#Data],$DE278,40),0)</f>
        <v/>
      </c>
      <c r="AR278">
        <f>IFERROR(INDEX(PP_Grid[#Data],$DE278,41),0)</f>
        <v/>
      </c>
      <c r="AS278">
        <f>IFERROR(INDEX(PP_Grid[#Data],$DE278,42),0)</f>
        <v/>
      </c>
      <c r="AT278">
        <f>IFERROR(INDEX(PP_Grid[#Data],$DE278,43),0)</f>
        <v/>
      </c>
      <c r="AU278">
        <f>IFERROR(INDEX(PP_Grid[#Data],$DE278,44),0)</f>
        <v/>
      </c>
      <c r="AV278">
        <f>IFERROR(INDEX(PP_Grid[#Data],$DE278,45),0)</f>
        <v/>
      </c>
      <c r="AW278">
        <f>IFERROR(INDEX(PP_Grid[#Data],$DE278,46),0)</f>
        <v/>
      </c>
      <c r="AX278">
        <f>IFERROR(INDEX(PP_Grid[#Data],$DE278,47),0)</f>
        <v/>
      </c>
      <c r="AY278">
        <f>IFERROR(INDEX(PP_Grid[#Data],$DE278,48),0)</f>
        <v/>
      </c>
      <c r="AZ278">
        <f>IFERROR(INDEX(PP_Grid[#Data],$DE278,49),0)</f>
        <v/>
      </c>
      <c r="BA278">
        <f>IFERROR(INDEX(PP_Grid[#Data],$DE278,50),0)</f>
        <v/>
      </c>
      <c r="BB278">
        <f>IFERROR(INDEX(PP_Grid[#Data],$DE278,51),0)</f>
        <v/>
      </c>
      <c r="BC278">
        <f>IFERROR(INDEX(PP_Grid[#Data],$DE278,52),0)</f>
        <v/>
      </c>
      <c r="BD278">
        <f>IFERROR(INDEX(PP_Grid[#Data],$DE278,53),0)</f>
        <v/>
      </c>
      <c r="BE278">
        <f>IFERROR(INDEX(PP_Grid[#Data],$DE278,54),0)</f>
        <v/>
      </c>
      <c r="BF278">
        <f>IFERROR(INDEX(PP_Grid[#Data],$DE278,55),0)</f>
        <v/>
      </c>
      <c r="BG278">
        <f>IFERROR(INDEX(PP_Grid[#Data],$DE278,56),0)</f>
        <v/>
      </c>
      <c r="BH278">
        <f>IFERROR(INDEX(PP_Grid[#Data],$DE278,57),0)</f>
        <v/>
      </c>
      <c r="BI278">
        <f>IFERROR(INDEX(PP_Grid[#Data],$DE278,58),0)</f>
        <v/>
      </c>
      <c r="BJ278">
        <f>IFERROR(INDEX(PP_Grid[#Data],$DE278,59),0)</f>
        <v/>
      </c>
      <c r="BK278">
        <f>IFERROR(INDEX(PP_Grid[#Data],$DE278,60),0)</f>
        <v/>
      </c>
      <c r="BL278">
        <f>IFERROR(INDEX(PP_Grid[#Data],$DE278,61),0)</f>
        <v/>
      </c>
      <c r="BM278">
        <f>IFERROR(INDEX(PP_Grid[#Data],$DE278,62),0)</f>
        <v/>
      </c>
      <c r="BN278">
        <f>IFERROR(INDEX(PP_Grid[#Data],$DE278,63),0)</f>
        <v/>
      </c>
      <c r="BO278">
        <f>IFERROR(INDEX(PP_Grid[#Data],$DE278,64),0)</f>
        <v/>
      </c>
      <c r="BP278">
        <f>IFERROR(INDEX(PP_Grid[#Data],$DE278,65),0)</f>
        <v/>
      </c>
      <c r="BQ278">
        <f>IFERROR(INDEX(PP_Grid[#Data],$DE278,66),0)</f>
        <v/>
      </c>
      <c r="BR278">
        <f>IFERROR(INDEX(PP_Grid[#Data],$DE278,67),0)</f>
        <v/>
      </c>
      <c r="BS278">
        <f>IFERROR(INDEX(PP_Grid[#Data],$DE278,68),0)</f>
        <v/>
      </c>
      <c r="BT278">
        <f>IFERROR(INDEX(PP_Grid[#Data],$DE278,69),0)</f>
        <v/>
      </c>
      <c r="BU278">
        <f>IFERROR(INDEX(PP_Grid[#Data],$DE278,70),0)</f>
        <v/>
      </c>
      <c r="BV278">
        <f>IFERROR(INDEX(PP_Grid[#Data],$DE278,71),0)</f>
        <v/>
      </c>
      <c r="BW278">
        <f>IFERROR(INDEX(PP_Grid[#Data],$DE278,72),0)</f>
        <v/>
      </c>
      <c r="BX278">
        <f>IFERROR(INDEX(PP_Grid[#Data],$DE278,73),0)</f>
        <v/>
      </c>
      <c r="BY278">
        <f>IFERROR(INDEX(PP_Grid[#Data],$DE278,74),0)</f>
        <v/>
      </c>
      <c r="BZ278">
        <f>IFERROR(INDEX(PP_Grid[#Data],$DE278,75),0)</f>
        <v/>
      </c>
      <c r="CA278">
        <f>IFERROR(INDEX(PP_Grid[#Data],$DE278,76),0)</f>
        <v/>
      </c>
      <c r="CB278">
        <f>IFERROR(INDEX(PP_Grid[#Data],$DE278,77),0)</f>
        <v/>
      </c>
      <c r="CC278">
        <f>IFERROR(INDEX(PP_Grid[#Data],$DE278,78),0)</f>
        <v/>
      </c>
      <c r="CD278">
        <f>IFERROR(INDEX(PP_Grid[#Data],$DE278,79),0)</f>
        <v/>
      </c>
      <c r="CE278">
        <f>IFERROR(INDEX(PP_Grid[#Data],$DE278,80),0)</f>
        <v/>
      </c>
      <c r="CF278">
        <f>IFERROR(INDEX(PP_Grid[#Data],$DE278,81),0)</f>
        <v/>
      </c>
      <c r="CG278">
        <f>IFERROR(INDEX(PP_Grid[#Data],$DE278,82),0)</f>
        <v/>
      </c>
      <c r="CH278">
        <f>IFERROR(INDEX(PP_Grid[#Data],$DE278,83),0)</f>
        <v/>
      </c>
      <c r="CI278">
        <f>IFERROR(INDEX(PP_Grid[#Data],$DE278,84),0)</f>
        <v/>
      </c>
      <c r="CJ278">
        <f>IFERROR(INDEX(PP_Grid[#Data],$DE278,85),0)</f>
        <v/>
      </c>
      <c r="CK278">
        <f>IFERROR(INDEX(PP_Grid[#Data],$DE278,86),0)</f>
        <v/>
      </c>
      <c r="CL278">
        <f>IFERROR(INDEX(PP_Grid[#Data],$DE278,87),0)</f>
        <v/>
      </c>
      <c r="CM278">
        <f>IFERROR(INDEX(PP_Grid[#Data],$DE278,88),0)</f>
        <v/>
      </c>
      <c r="CN278">
        <f>IFERROR(INDEX(PP_Grid[#Data],$DE278,89),0)</f>
        <v/>
      </c>
      <c r="CO278">
        <f>IFERROR(INDEX(PP_Grid[#Data],$DE278,90),0)</f>
        <v/>
      </c>
      <c r="CP278">
        <f>IFERROR(INDEX(PP_Grid[#Data],$DE278,91),0)</f>
        <v/>
      </c>
      <c r="CQ278">
        <f>IFERROR(INDEX(PP_Grid[#Data],$DE278,92),0)</f>
        <v/>
      </c>
      <c r="CR278">
        <f>IFERROR(INDEX(PP_Grid[#Data],$DE278,93),0)</f>
        <v/>
      </c>
      <c r="CS278">
        <f>IFERROR(INDEX(PP_Grid[#Data],$DE278,94),0)</f>
        <v/>
      </c>
      <c r="CT278">
        <f>IFERROR(INDEX(PP_Grid[#Data],$DE278,95),0)</f>
        <v/>
      </c>
      <c r="CU278">
        <f>IFERROR(INDEX(PP_Grid[#Data],$DE278,96),0)</f>
        <v/>
      </c>
      <c r="CV278">
        <f>IFERROR(INDEX(PP_Grid[#Data],$DE278,97),0)</f>
        <v/>
      </c>
      <c r="CW278">
        <f>IFERROR(INDEX(PP_Grid[#Data],$DE278,98),0)</f>
        <v/>
      </c>
      <c r="CX278">
        <f>IFERROR(INDEX(PP_Grid[#Data],$DE278,99),0)</f>
        <v/>
      </c>
      <c r="CY278">
        <f>IFERROR(INDEX(PP_Grid[#Data],$DE278,100),0)</f>
        <v/>
      </c>
      <c r="CZ278">
        <f>IFERROR(INDEX(PP_Grid[#Data],$DE278,101),0)</f>
        <v/>
      </c>
      <c r="DA278">
        <f>IFERROR(INDEX(PP_Grid[#Data],$DE278,102),0)</f>
        <v/>
      </c>
      <c r="DB278">
        <f>IFERROR(INDEX(PP_Grid[#Data],$DE278,103),0)</f>
        <v/>
      </c>
      <c r="DC278">
        <f>IFERROR(INDEX(PP_Grid[#Data],$DE278,104),0)</f>
        <v/>
      </c>
      <c r="DD278">
        <f>IFERROR(INDEX(PP_Grid[#Data],$DE278,105),0)</f>
        <v/>
      </c>
      <c r="DE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SUMIFS(M_BOM[RM_Qty_Per_Batch],M_BOM[Intermediate],$B278,M_BOM[RM_Code],$A199)</f>
        <v/>
      </c>
      <c r="D279">
        <f>IFERROR(INDEX(E279:DD279,$F$1),"")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  <c r="DD279">
        <f>$C279*DD278</f>
        <v/>
      </c>
    </row>
    <row r="280">
      <c r="B280" t="inlineStr">
        <is>
          <t>TSP-959</t>
        </is>
      </c>
      <c r="C280" t="inlineStr">
        <is>
          <t>No. of batches</t>
        </is>
      </c>
      <c r="D280">
        <f>IFERROR(INDEX(E280:DD280,$F$1),"")</f>
        <v/>
      </c>
      <c r="E280">
        <f>IFERROR(INDEX(PP_Grid[#Data],$DE280,2),0)</f>
        <v/>
      </c>
      <c r="F280">
        <f>IFERROR(INDEX(PP_Grid[#Data],$DE280,3),0)</f>
        <v/>
      </c>
      <c r="G280">
        <f>IFERROR(INDEX(PP_Grid[#Data],$DE280,4),0)</f>
        <v/>
      </c>
      <c r="H280">
        <f>IFERROR(INDEX(PP_Grid[#Data],$DE280,5),0)</f>
        <v/>
      </c>
      <c r="I280">
        <f>IFERROR(INDEX(PP_Grid[#Data],$DE280,6),0)</f>
        <v/>
      </c>
      <c r="J280">
        <f>IFERROR(INDEX(PP_Grid[#Data],$DE280,7),0)</f>
        <v/>
      </c>
      <c r="K280">
        <f>IFERROR(INDEX(PP_Grid[#Data],$DE280,8),0)</f>
        <v/>
      </c>
      <c r="L280">
        <f>IFERROR(INDEX(PP_Grid[#Data],$DE280,9),0)</f>
        <v/>
      </c>
      <c r="M280">
        <f>IFERROR(INDEX(PP_Grid[#Data],$DE280,10),0)</f>
        <v/>
      </c>
      <c r="N280">
        <f>IFERROR(INDEX(PP_Grid[#Data],$DE280,11),0)</f>
        <v/>
      </c>
      <c r="O280">
        <f>IFERROR(INDEX(PP_Grid[#Data],$DE280,12),0)</f>
        <v/>
      </c>
      <c r="P280">
        <f>IFERROR(INDEX(PP_Grid[#Data],$DE280,13),0)</f>
        <v/>
      </c>
      <c r="Q280">
        <f>IFERROR(INDEX(PP_Grid[#Data],$DE280,14),0)</f>
        <v/>
      </c>
      <c r="R280">
        <f>IFERROR(INDEX(PP_Grid[#Data],$DE280,15),0)</f>
        <v/>
      </c>
      <c r="S280">
        <f>IFERROR(INDEX(PP_Grid[#Data],$DE280,16),0)</f>
        <v/>
      </c>
      <c r="T280">
        <f>IFERROR(INDEX(PP_Grid[#Data],$DE280,17),0)</f>
        <v/>
      </c>
      <c r="U280">
        <f>IFERROR(INDEX(PP_Grid[#Data],$DE280,18),0)</f>
        <v/>
      </c>
      <c r="V280">
        <f>IFERROR(INDEX(PP_Grid[#Data],$DE280,19),0)</f>
        <v/>
      </c>
      <c r="W280">
        <f>IFERROR(INDEX(PP_Grid[#Data],$DE280,20),0)</f>
        <v/>
      </c>
      <c r="X280">
        <f>IFERROR(INDEX(PP_Grid[#Data],$DE280,21),0)</f>
        <v/>
      </c>
      <c r="Y280">
        <f>IFERROR(INDEX(PP_Grid[#Data],$DE280,22),0)</f>
        <v/>
      </c>
      <c r="Z280">
        <f>IFERROR(INDEX(PP_Grid[#Data],$DE280,23),0)</f>
        <v/>
      </c>
      <c r="AA280">
        <f>IFERROR(INDEX(PP_Grid[#Data],$DE280,24),0)</f>
        <v/>
      </c>
      <c r="AB280">
        <f>IFERROR(INDEX(PP_Grid[#Data],$DE280,25),0)</f>
        <v/>
      </c>
      <c r="AC280">
        <f>IFERROR(INDEX(PP_Grid[#Data],$DE280,26),0)</f>
        <v/>
      </c>
      <c r="AD280">
        <f>IFERROR(INDEX(PP_Grid[#Data],$DE280,27),0)</f>
        <v/>
      </c>
      <c r="AE280">
        <f>IFERROR(INDEX(PP_Grid[#Data],$DE280,28),0)</f>
        <v/>
      </c>
      <c r="AF280">
        <f>IFERROR(INDEX(PP_Grid[#Data],$DE280,29),0)</f>
        <v/>
      </c>
      <c r="AG280">
        <f>IFERROR(INDEX(PP_Grid[#Data],$DE280,30),0)</f>
        <v/>
      </c>
      <c r="AH280">
        <f>IFERROR(INDEX(PP_Grid[#Data],$DE280,31),0)</f>
        <v/>
      </c>
      <c r="AI280">
        <f>IFERROR(INDEX(PP_Grid[#Data],$DE280,32),0)</f>
        <v/>
      </c>
      <c r="AJ280">
        <f>IFERROR(INDEX(PP_Grid[#Data],$DE280,33),0)</f>
        <v/>
      </c>
      <c r="AK280">
        <f>IFERROR(INDEX(PP_Grid[#Data],$DE280,34),0)</f>
        <v/>
      </c>
      <c r="AL280">
        <f>IFERROR(INDEX(PP_Grid[#Data],$DE280,35),0)</f>
        <v/>
      </c>
      <c r="AM280">
        <f>IFERROR(INDEX(PP_Grid[#Data],$DE280,36),0)</f>
        <v/>
      </c>
      <c r="AN280">
        <f>IFERROR(INDEX(PP_Grid[#Data],$DE280,37),0)</f>
        <v/>
      </c>
      <c r="AO280">
        <f>IFERROR(INDEX(PP_Grid[#Data],$DE280,38),0)</f>
        <v/>
      </c>
      <c r="AP280">
        <f>IFERROR(INDEX(PP_Grid[#Data],$DE280,39),0)</f>
        <v/>
      </c>
      <c r="AQ280">
        <f>IFERROR(INDEX(PP_Grid[#Data],$DE280,40),0)</f>
        <v/>
      </c>
      <c r="AR280">
        <f>IFERROR(INDEX(PP_Grid[#Data],$DE280,41),0)</f>
        <v/>
      </c>
      <c r="AS280">
        <f>IFERROR(INDEX(PP_Grid[#Data],$DE280,42),0)</f>
        <v/>
      </c>
      <c r="AT280">
        <f>IFERROR(INDEX(PP_Grid[#Data],$DE280,43),0)</f>
        <v/>
      </c>
      <c r="AU280">
        <f>IFERROR(INDEX(PP_Grid[#Data],$DE280,44),0)</f>
        <v/>
      </c>
      <c r="AV280">
        <f>IFERROR(INDEX(PP_Grid[#Data],$DE280,45),0)</f>
        <v/>
      </c>
      <c r="AW280">
        <f>IFERROR(INDEX(PP_Grid[#Data],$DE280,46),0)</f>
        <v/>
      </c>
      <c r="AX280">
        <f>IFERROR(INDEX(PP_Grid[#Data],$DE280,47),0)</f>
        <v/>
      </c>
      <c r="AY280">
        <f>IFERROR(INDEX(PP_Grid[#Data],$DE280,48),0)</f>
        <v/>
      </c>
      <c r="AZ280">
        <f>IFERROR(INDEX(PP_Grid[#Data],$DE280,49),0)</f>
        <v/>
      </c>
      <c r="BA280">
        <f>IFERROR(INDEX(PP_Grid[#Data],$DE280,50),0)</f>
        <v/>
      </c>
      <c r="BB280">
        <f>IFERROR(INDEX(PP_Grid[#Data],$DE280,51),0)</f>
        <v/>
      </c>
      <c r="BC280">
        <f>IFERROR(INDEX(PP_Grid[#Data],$DE280,52),0)</f>
        <v/>
      </c>
      <c r="BD280">
        <f>IFERROR(INDEX(PP_Grid[#Data],$DE280,53),0)</f>
        <v/>
      </c>
      <c r="BE280">
        <f>IFERROR(INDEX(PP_Grid[#Data],$DE280,54),0)</f>
        <v/>
      </c>
      <c r="BF280">
        <f>IFERROR(INDEX(PP_Grid[#Data],$DE280,55),0)</f>
        <v/>
      </c>
      <c r="BG280">
        <f>IFERROR(INDEX(PP_Grid[#Data],$DE280,56),0)</f>
        <v/>
      </c>
      <c r="BH280">
        <f>IFERROR(INDEX(PP_Grid[#Data],$DE280,57),0)</f>
        <v/>
      </c>
      <c r="BI280">
        <f>IFERROR(INDEX(PP_Grid[#Data],$DE280,58),0)</f>
        <v/>
      </c>
      <c r="BJ280">
        <f>IFERROR(INDEX(PP_Grid[#Data],$DE280,59),0)</f>
        <v/>
      </c>
      <c r="BK280">
        <f>IFERROR(INDEX(PP_Grid[#Data],$DE280,60),0)</f>
        <v/>
      </c>
      <c r="BL280">
        <f>IFERROR(INDEX(PP_Grid[#Data],$DE280,61),0)</f>
        <v/>
      </c>
      <c r="BM280">
        <f>IFERROR(INDEX(PP_Grid[#Data],$DE280,62),0)</f>
        <v/>
      </c>
      <c r="BN280">
        <f>IFERROR(INDEX(PP_Grid[#Data],$DE280,63),0)</f>
        <v/>
      </c>
      <c r="BO280">
        <f>IFERROR(INDEX(PP_Grid[#Data],$DE280,64),0)</f>
        <v/>
      </c>
      <c r="BP280">
        <f>IFERROR(INDEX(PP_Grid[#Data],$DE280,65),0)</f>
        <v/>
      </c>
      <c r="BQ280">
        <f>IFERROR(INDEX(PP_Grid[#Data],$DE280,66),0)</f>
        <v/>
      </c>
      <c r="BR280">
        <f>IFERROR(INDEX(PP_Grid[#Data],$DE280,67),0)</f>
        <v/>
      </c>
      <c r="BS280">
        <f>IFERROR(INDEX(PP_Grid[#Data],$DE280,68),0)</f>
        <v/>
      </c>
      <c r="BT280">
        <f>IFERROR(INDEX(PP_Grid[#Data],$DE280,69),0)</f>
        <v/>
      </c>
      <c r="BU280">
        <f>IFERROR(INDEX(PP_Grid[#Data],$DE280,70),0)</f>
        <v/>
      </c>
      <c r="BV280">
        <f>IFERROR(INDEX(PP_Grid[#Data],$DE280,71),0)</f>
        <v/>
      </c>
      <c r="BW280">
        <f>IFERROR(INDEX(PP_Grid[#Data],$DE280,72),0)</f>
        <v/>
      </c>
      <c r="BX280">
        <f>IFERROR(INDEX(PP_Grid[#Data],$DE280,73),0)</f>
        <v/>
      </c>
      <c r="BY280">
        <f>IFERROR(INDEX(PP_Grid[#Data],$DE280,74),0)</f>
        <v/>
      </c>
      <c r="BZ280">
        <f>IFERROR(INDEX(PP_Grid[#Data],$DE280,75),0)</f>
        <v/>
      </c>
      <c r="CA280">
        <f>IFERROR(INDEX(PP_Grid[#Data],$DE280,76),0)</f>
        <v/>
      </c>
      <c r="CB280">
        <f>IFERROR(INDEX(PP_Grid[#Data],$DE280,77),0)</f>
        <v/>
      </c>
      <c r="CC280">
        <f>IFERROR(INDEX(PP_Grid[#Data],$DE280,78),0)</f>
        <v/>
      </c>
      <c r="CD280">
        <f>IFERROR(INDEX(PP_Grid[#Data],$DE280,79),0)</f>
        <v/>
      </c>
      <c r="CE280">
        <f>IFERROR(INDEX(PP_Grid[#Data],$DE280,80),0)</f>
        <v/>
      </c>
      <c r="CF280">
        <f>IFERROR(INDEX(PP_Grid[#Data],$DE280,81),0)</f>
        <v/>
      </c>
      <c r="CG280">
        <f>IFERROR(INDEX(PP_Grid[#Data],$DE280,82),0)</f>
        <v/>
      </c>
      <c r="CH280">
        <f>IFERROR(INDEX(PP_Grid[#Data],$DE280,83),0)</f>
        <v/>
      </c>
      <c r="CI280">
        <f>IFERROR(INDEX(PP_Grid[#Data],$DE280,84),0)</f>
        <v/>
      </c>
      <c r="CJ280">
        <f>IFERROR(INDEX(PP_Grid[#Data],$DE280,85),0)</f>
        <v/>
      </c>
      <c r="CK280">
        <f>IFERROR(INDEX(PP_Grid[#Data],$DE280,86),0)</f>
        <v/>
      </c>
      <c r="CL280">
        <f>IFERROR(INDEX(PP_Grid[#Data],$DE280,87),0)</f>
        <v/>
      </c>
      <c r="CM280">
        <f>IFERROR(INDEX(PP_Grid[#Data],$DE280,88),0)</f>
        <v/>
      </c>
      <c r="CN280">
        <f>IFERROR(INDEX(PP_Grid[#Data],$DE280,89),0)</f>
        <v/>
      </c>
      <c r="CO280">
        <f>IFERROR(INDEX(PP_Grid[#Data],$DE280,90),0)</f>
        <v/>
      </c>
      <c r="CP280">
        <f>IFERROR(INDEX(PP_Grid[#Data],$DE280,91),0)</f>
        <v/>
      </c>
      <c r="CQ280">
        <f>IFERROR(INDEX(PP_Grid[#Data],$DE280,92),0)</f>
        <v/>
      </c>
      <c r="CR280">
        <f>IFERROR(INDEX(PP_Grid[#Data],$DE280,93),0)</f>
        <v/>
      </c>
      <c r="CS280">
        <f>IFERROR(INDEX(PP_Grid[#Data],$DE280,94),0)</f>
        <v/>
      </c>
      <c r="CT280">
        <f>IFERROR(INDEX(PP_Grid[#Data],$DE280,95),0)</f>
        <v/>
      </c>
      <c r="CU280">
        <f>IFERROR(INDEX(PP_Grid[#Data],$DE280,96),0)</f>
        <v/>
      </c>
      <c r="CV280">
        <f>IFERROR(INDEX(PP_Grid[#Data],$DE280,97),0)</f>
        <v/>
      </c>
      <c r="CW280">
        <f>IFERROR(INDEX(PP_Grid[#Data],$DE280,98),0)</f>
        <v/>
      </c>
      <c r="CX280">
        <f>IFERROR(INDEX(PP_Grid[#Data],$DE280,99),0)</f>
        <v/>
      </c>
      <c r="CY280">
        <f>IFERROR(INDEX(PP_Grid[#Data],$DE280,100),0)</f>
        <v/>
      </c>
      <c r="CZ280">
        <f>IFERROR(INDEX(PP_Grid[#Data],$DE280,101),0)</f>
        <v/>
      </c>
      <c r="DA280">
        <f>IFERROR(INDEX(PP_Grid[#Data],$DE280,102),0)</f>
        <v/>
      </c>
      <c r="DB280">
        <f>IFERROR(INDEX(PP_Grid[#Data],$DE280,103),0)</f>
        <v/>
      </c>
      <c r="DC280">
        <f>IFERROR(INDEX(PP_Grid[#Data],$DE280,104),0)</f>
        <v/>
      </c>
      <c r="DD280">
        <f>IFERROR(INDEX(PP_Grid[#Data],$DE280,105),0)</f>
        <v/>
      </c>
      <c r="DE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SUMIFS(M_BOM[RM_Qty_Per_Batch],M_BOM[Intermediate],$B280,M_BOM[RM_Code],$A199)</f>
        <v/>
      </c>
      <c r="D281">
        <f>IFERROR(INDEX(E281:DD281,$F$1),"")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  <c r="DD281">
        <f>$C281*DD280</f>
        <v/>
      </c>
    </row>
    <row r="282">
      <c r="B282" t="inlineStr">
        <is>
          <t>TSP-966</t>
        </is>
      </c>
      <c r="C282" t="inlineStr">
        <is>
          <t>No. of batches</t>
        </is>
      </c>
      <c r="D282">
        <f>IFERROR(INDEX(E282:DD282,$F$1),"")</f>
        <v/>
      </c>
      <c r="E282">
        <f>IFERROR(INDEX(PP_Grid[#Data],$DE282,2),0)</f>
        <v/>
      </c>
      <c r="F282">
        <f>IFERROR(INDEX(PP_Grid[#Data],$DE282,3),0)</f>
        <v/>
      </c>
      <c r="G282">
        <f>IFERROR(INDEX(PP_Grid[#Data],$DE282,4),0)</f>
        <v/>
      </c>
      <c r="H282">
        <f>IFERROR(INDEX(PP_Grid[#Data],$DE282,5),0)</f>
        <v/>
      </c>
      <c r="I282">
        <f>IFERROR(INDEX(PP_Grid[#Data],$DE282,6),0)</f>
        <v/>
      </c>
      <c r="J282">
        <f>IFERROR(INDEX(PP_Grid[#Data],$DE282,7),0)</f>
        <v/>
      </c>
      <c r="K282">
        <f>IFERROR(INDEX(PP_Grid[#Data],$DE282,8),0)</f>
        <v/>
      </c>
      <c r="L282">
        <f>IFERROR(INDEX(PP_Grid[#Data],$DE282,9),0)</f>
        <v/>
      </c>
      <c r="M282">
        <f>IFERROR(INDEX(PP_Grid[#Data],$DE282,10),0)</f>
        <v/>
      </c>
      <c r="N282">
        <f>IFERROR(INDEX(PP_Grid[#Data],$DE282,11),0)</f>
        <v/>
      </c>
      <c r="O282">
        <f>IFERROR(INDEX(PP_Grid[#Data],$DE282,12),0)</f>
        <v/>
      </c>
      <c r="P282">
        <f>IFERROR(INDEX(PP_Grid[#Data],$DE282,13),0)</f>
        <v/>
      </c>
      <c r="Q282">
        <f>IFERROR(INDEX(PP_Grid[#Data],$DE282,14),0)</f>
        <v/>
      </c>
      <c r="R282">
        <f>IFERROR(INDEX(PP_Grid[#Data],$DE282,15),0)</f>
        <v/>
      </c>
      <c r="S282">
        <f>IFERROR(INDEX(PP_Grid[#Data],$DE282,16),0)</f>
        <v/>
      </c>
      <c r="T282">
        <f>IFERROR(INDEX(PP_Grid[#Data],$DE282,17),0)</f>
        <v/>
      </c>
      <c r="U282">
        <f>IFERROR(INDEX(PP_Grid[#Data],$DE282,18),0)</f>
        <v/>
      </c>
      <c r="V282">
        <f>IFERROR(INDEX(PP_Grid[#Data],$DE282,19),0)</f>
        <v/>
      </c>
      <c r="W282">
        <f>IFERROR(INDEX(PP_Grid[#Data],$DE282,20),0)</f>
        <v/>
      </c>
      <c r="X282">
        <f>IFERROR(INDEX(PP_Grid[#Data],$DE282,21),0)</f>
        <v/>
      </c>
      <c r="Y282">
        <f>IFERROR(INDEX(PP_Grid[#Data],$DE282,22),0)</f>
        <v/>
      </c>
      <c r="Z282">
        <f>IFERROR(INDEX(PP_Grid[#Data],$DE282,23),0)</f>
        <v/>
      </c>
      <c r="AA282">
        <f>IFERROR(INDEX(PP_Grid[#Data],$DE282,24),0)</f>
        <v/>
      </c>
      <c r="AB282">
        <f>IFERROR(INDEX(PP_Grid[#Data],$DE282,25),0)</f>
        <v/>
      </c>
      <c r="AC282">
        <f>IFERROR(INDEX(PP_Grid[#Data],$DE282,26),0)</f>
        <v/>
      </c>
      <c r="AD282">
        <f>IFERROR(INDEX(PP_Grid[#Data],$DE282,27),0)</f>
        <v/>
      </c>
      <c r="AE282">
        <f>IFERROR(INDEX(PP_Grid[#Data],$DE282,28),0)</f>
        <v/>
      </c>
      <c r="AF282">
        <f>IFERROR(INDEX(PP_Grid[#Data],$DE282,29),0)</f>
        <v/>
      </c>
      <c r="AG282">
        <f>IFERROR(INDEX(PP_Grid[#Data],$DE282,30),0)</f>
        <v/>
      </c>
      <c r="AH282">
        <f>IFERROR(INDEX(PP_Grid[#Data],$DE282,31),0)</f>
        <v/>
      </c>
      <c r="AI282">
        <f>IFERROR(INDEX(PP_Grid[#Data],$DE282,32),0)</f>
        <v/>
      </c>
      <c r="AJ282">
        <f>IFERROR(INDEX(PP_Grid[#Data],$DE282,33),0)</f>
        <v/>
      </c>
      <c r="AK282">
        <f>IFERROR(INDEX(PP_Grid[#Data],$DE282,34),0)</f>
        <v/>
      </c>
      <c r="AL282">
        <f>IFERROR(INDEX(PP_Grid[#Data],$DE282,35),0)</f>
        <v/>
      </c>
      <c r="AM282">
        <f>IFERROR(INDEX(PP_Grid[#Data],$DE282,36),0)</f>
        <v/>
      </c>
      <c r="AN282">
        <f>IFERROR(INDEX(PP_Grid[#Data],$DE282,37),0)</f>
        <v/>
      </c>
      <c r="AO282">
        <f>IFERROR(INDEX(PP_Grid[#Data],$DE282,38),0)</f>
        <v/>
      </c>
      <c r="AP282">
        <f>IFERROR(INDEX(PP_Grid[#Data],$DE282,39),0)</f>
        <v/>
      </c>
      <c r="AQ282">
        <f>IFERROR(INDEX(PP_Grid[#Data],$DE282,40),0)</f>
        <v/>
      </c>
      <c r="AR282">
        <f>IFERROR(INDEX(PP_Grid[#Data],$DE282,41),0)</f>
        <v/>
      </c>
      <c r="AS282">
        <f>IFERROR(INDEX(PP_Grid[#Data],$DE282,42),0)</f>
        <v/>
      </c>
      <c r="AT282">
        <f>IFERROR(INDEX(PP_Grid[#Data],$DE282,43),0)</f>
        <v/>
      </c>
      <c r="AU282">
        <f>IFERROR(INDEX(PP_Grid[#Data],$DE282,44),0)</f>
        <v/>
      </c>
      <c r="AV282">
        <f>IFERROR(INDEX(PP_Grid[#Data],$DE282,45),0)</f>
        <v/>
      </c>
      <c r="AW282">
        <f>IFERROR(INDEX(PP_Grid[#Data],$DE282,46),0)</f>
        <v/>
      </c>
      <c r="AX282">
        <f>IFERROR(INDEX(PP_Grid[#Data],$DE282,47),0)</f>
        <v/>
      </c>
      <c r="AY282">
        <f>IFERROR(INDEX(PP_Grid[#Data],$DE282,48),0)</f>
        <v/>
      </c>
      <c r="AZ282">
        <f>IFERROR(INDEX(PP_Grid[#Data],$DE282,49),0)</f>
        <v/>
      </c>
      <c r="BA282">
        <f>IFERROR(INDEX(PP_Grid[#Data],$DE282,50),0)</f>
        <v/>
      </c>
      <c r="BB282">
        <f>IFERROR(INDEX(PP_Grid[#Data],$DE282,51),0)</f>
        <v/>
      </c>
      <c r="BC282">
        <f>IFERROR(INDEX(PP_Grid[#Data],$DE282,52),0)</f>
        <v/>
      </c>
      <c r="BD282">
        <f>IFERROR(INDEX(PP_Grid[#Data],$DE282,53),0)</f>
        <v/>
      </c>
      <c r="BE282">
        <f>IFERROR(INDEX(PP_Grid[#Data],$DE282,54),0)</f>
        <v/>
      </c>
      <c r="BF282">
        <f>IFERROR(INDEX(PP_Grid[#Data],$DE282,55),0)</f>
        <v/>
      </c>
      <c r="BG282">
        <f>IFERROR(INDEX(PP_Grid[#Data],$DE282,56),0)</f>
        <v/>
      </c>
      <c r="BH282">
        <f>IFERROR(INDEX(PP_Grid[#Data],$DE282,57),0)</f>
        <v/>
      </c>
      <c r="BI282">
        <f>IFERROR(INDEX(PP_Grid[#Data],$DE282,58),0)</f>
        <v/>
      </c>
      <c r="BJ282">
        <f>IFERROR(INDEX(PP_Grid[#Data],$DE282,59),0)</f>
        <v/>
      </c>
      <c r="BK282">
        <f>IFERROR(INDEX(PP_Grid[#Data],$DE282,60),0)</f>
        <v/>
      </c>
      <c r="BL282">
        <f>IFERROR(INDEX(PP_Grid[#Data],$DE282,61),0)</f>
        <v/>
      </c>
      <c r="BM282">
        <f>IFERROR(INDEX(PP_Grid[#Data],$DE282,62),0)</f>
        <v/>
      </c>
      <c r="BN282">
        <f>IFERROR(INDEX(PP_Grid[#Data],$DE282,63),0)</f>
        <v/>
      </c>
      <c r="BO282">
        <f>IFERROR(INDEX(PP_Grid[#Data],$DE282,64),0)</f>
        <v/>
      </c>
      <c r="BP282">
        <f>IFERROR(INDEX(PP_Grid[#Data],$DE282,65),0)</f>
        <v/>
      </c>
      <c r="BQ282">
        <f>IFERROR(INDEX(PP_Grid[#Data],$DE282,66),0)</f>
        <v/>
      </c>
      <c r="BR282">
        <f>IFERROR(INDEX(PP_Grid[#Data],$DE282,67),0)</f>
        <v/>
      </c>
      <c r="BS282">
        <f>IFERROR(INDEX(PP_Grid[#Data],$DE282,68),0)</f>
        <v/>
      </c>
      <c r="BT282">
        <f>IFERROR(INDEX(PP_Grid[#Data],$DE282,69),0)</f>
        <v/>
      </c>
      <c r="BU282">
        <f>IFERROR(INDEX(PP_Grid[#Data],$DE282,70),0)</f>
        <v/>
      </c>
      <c r="BV282">
        <f>IFERROR(INDEX(PP_Grid[#Data],$DE282,71),0)</f>
        <v/>
      </c>
      <c r="BW282">
        <f>IFERROR(INDEX(PP_Grid[#Data],$DE282,72),0)</f>
        <v/>
      </c>
      <c r="BX282">
        <f>IFERROR(INDEX(PP_Grid[#Data],$DE282,73),0)</f>
        <v/>
      </c>
      <c r="BY282">
        <f>IFERROR(INDEX(PP_Grid[#Data],$DE282,74),0)</f>
        <v/>
      </c>
      <c r="BZ282">
        <f>IFERROR(INDEX(PP_Grid[#Data],$DE282,75),0)</f>
        <v/>
      </c>
      <c r="CA282">
        <f>IFERROR(INDEX(PP_Grid[#Data],$DE282,76),0)</f>
        <v/>
      </c>
      <c r="CB282">
        <f>IFERROR(INDEX(PP_Grid[#Data],$DE282,77),0)</f>
        <v/>
      </c>
      <c r="CC282">
        <f>IFERROR(INDEX(PP_Grid[#Data],$DE282,78),0)</f>
        <v/>
      </c>
      <c r="CD282">
        <f>IFERROR(INDEX(PP_Grid[#Data],$DE282,79),0)</f>
        <v/>
      </c>
      <c r="CE282">
        <f>IFERROR(INDEX(PP_Grid[#Data],$DE282,80),0)</f>
        <v/>
      </c>
      <c r="CF282">
        <f>IFERROR(INDEX(PP_Grid[#Data],$DE282,81),0)</f>
        <v/>
      </c>
      <c r="CG282">
        <f>IFERROR(INDEX(PP_Grid[#Data],$DE282,82),0)</f>
        <v/>
      </c>
      <c r="CH282">
        <f>IFERROR(INDEX(PP_Grid[#Data],$DE282,83),0)</f>
        <v/>
      </c>
      <c r="CI282">
        <f>IFERROR(INDEX(PP_Grid[#Data],$DE282,84),0)</f>
        <v/>
      </c>
      <c r="CJ282">
        <f>IFERROR(INDEX(PP_Grid[#Data],$DE282,85),0)</f>
        <v/>
      </c>
      <c r="CK282">
        <f>IFERROR(INDEX(PP_Grid[#Data],$DE282,86),0)</f>
        <v/>
      </c>
      <c r="CL282">
        <f>IFERROR(INDEX(PP_Grid[#Data],$DE282,87),0)</f>
        <v/>
      </c>
      <c r="CM282">
        <f>IFERROR(INDEX(PP_Grid[#Data],$DE282,88),0)</f>
        <v/>
      </c>
      <c r="CN282">
        <f>IFERROR(INDEX(PP_Grid[#Data],$DE282,89),0)</f>
        <v/>
      </c>
      <c r="CO282">
        <f>IFERROR(INDEX(PP_Grid[#Data],$DE282,90),0)</f>
        <v/>
      </c>
      <c r="CP282">
        <f>IFERROR(INDEX(PP_Grid[#Data],$DE282,91),0)</f>
        <v/>
      </c>
      <c r="CQ282">
        <f>IFERROR(INDEX(PP_Grid[#Data],$DE282,92),0)</f>
        <v/>
      </c>
      <c r="CR282">
        <f>IFERROR(INDEX(PP_Grid[#Data],$DE282,93),0)</f>
        <v/>
      </c>
      <c r="CS282">
        <f>IFERROR(INDEX(PP_Grid[#Data],$DE282,94),0)</f>
        <v/>
      </c>
      <c r="CT282">
        <f>IFERROR(INDEX(PP_Grid[#Data],$DE282,95),0)</f>
        <v/>
      </c>
      <c r="CU282">
        <f>IFERROR(INDEX(PP_Grid[#Data],$DE282,96),0)</f>
        <v/>
      </c>
      <c r="CV282">
        <f>IFERROR(INDEX(PP_Grid[#Data],$DE282,97),0)</f>
        <v/>
      </c>
      <c r="CW282">
        <f>IFERROR(INDEX(PP_Grid[#Data],$DE282,98),0)</f>
        <v/>
      </c>
      <c r="CX282">
        <f>IFERROR(INDEX(PP_Grid[#Data],$DE282,99),0)</f>
        <v/>
      </c>
      <c r="CY282">
        <f>IFERROR(INDEX(PP_Grid[#Data],$DE282,100),0)</f>
        <v/>
      </c>
      <c r="CZ282">
        <f>IFERROR(INDEX(PP_Grid[#Data],$DE282,101),0)</f>
        <v/>
      </c>
      <c r="DA282">
        <f>IFERROR(INDEX(PP_Grid[#Data],$DE282,102),0)</f>
        <v/>
      </c>
      <c r="DB282">
        <f>IFERROR(INDEX(PP_Grid[#Data],$DE282,103),0)</f>
        <v/>
      </c>
      <c r="DC282">
        <f>IFERROR(INDEX(PP_Grid[#Data],$DE282,104),0)</f>
        <v/>
      </c>
      <c r="DD282">
        <f>IFERROR(INDEX(PP_Grid[#Data],$DE282,105),0)</f>
        <v/>
      </c>
      <c r="DE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SUMIFS(M_BOM[RM_Qty_Per_Batch],M_BOM[Intermediate],$B282,M_BOM[RM_Code],$A199)</f>
        <v/>
      </c>
      <c r="D283">
        <f>IFERROR(INDEX(E283:DD283,$F$1),"")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  <c r="DD283">
        <f>$C283*DD282</f>
        <v/>
      </c>
    </row>
    <row r="284">
      <c r="B284" t="inlineStr">
        <is>
          <t>TSZ-938</t>
        </is>
      </c>
      <c r="C284" t="inlineStr">
        <is>
          <t>No. of batches</t>
        </is>
      </c>
      <c r="D284">
        <f>IFERROR(INDEX(E284:DD284,$F$1),"")</f>
        <v/>
      </c>
      <c r="E284">
        <f>IFERROR(INDEX(PP_Grid[#Data],$DE284,2),0)</f>
        <v/>
      </c>
      <c r="F284">
        <f>IFERROR(INDEX(PP_Grid[#Data],$DE284,3),0)</f>
        <v/>
      </c>
      <c r="G284">
        <f>IFERROR(INDEX(PP_Grid[#Data],$DE284,4),0)</f>
        <v/>
      </c>
      <c r="H284">
        <f>IFERROR(INDEX(PP_Grid[#Data],$DE284,5),0)</f>
        <v/>
      </c>
      <c r="I284">
        <f>IFERROR(INDEX(PP_Grid[#Data],$DE284,6),0)</f>
        <v/>
      </c>
      <c r="J284">
        <f>IFERROR(INDEX(PP_Grid[#Data],$DE284,7),0)</f>
        <v/>
      </c>
      <c r="K284">
        <f>IFERROR(INDEX(PP_Grid[#Data],$DE284,8),0)</f>
        <v/>
      </c>
      <c r="L284">
        <f>IFERROR(INDEX(PP_Grid[#Data],$DE284,9),0)</f>
        <v/>
      </c>
      <c r="M284">
        <f>IFERROR(INDEX(PP_Grid[#Data],$DE284,10),0)</f>
        <v/>
      </c>
      <c r="N284">
        <f>IFERROR(INDEX(PP_Grid[#Data],$DE284,11),0)</f>
        <v/>
      </c>
      <c r="O284">
        <f>IFERROR(INDEX(PP_Grid[#Data],$DE284,12),0)</f>
        <v/>
      </c>
      <c r="P284">
        <f>IFERROR(INDEX(PP_Grid[#Data],$DE284,13),0)</f>
        <v/>
      </c>
      <c r="Q284">
        <f>IFERROR(INDEX(PP_Grid[#Data],$DE284,14),0)</f>
        <v/>
      </c>
      <c r="R284">
        <f>IFERROR(INDEX(PP_Grid[#Data],$DE284,15),0)</f>
        <v/>
      </c>
      <c r="S284">
        <f>IFERROR(INDEX(PP_Grid[#Data],$DE284,16),0)</f>
        <v/>
      </c>
      <c r="T284">
        <f>IFERROR(INDEX(PP_Grid[#Data],$DE284,17),0)</f>
        <v/>
      </c>
      <c r="U284">
        <f>IFERROR(INDEX(PP_Grid[#Data],$DE284,18),0)</f>
        <v/>
      </c>
      <c r="V284">
        <f>IFERROR(INDEX(PP_Grid[#Data],$DE284,19),0)</f>
        <v/>
      </c>
      <c r="W284">
        <f>IFERROR(INDEX(PP_Grid[#Data],$DE284,20),0)</f>
        <v/>
      </c>
      <c r="X284">
        <f>IFERROR(INDEX(PP_Grid[#Data],$DE284,21),0)</f>
        <v/>
      </c>
      <c r="Y284">
        <f>IFERROR(INDEX(PP_Grid[#Data],$DE284,22),0)</f>
        <v/>
      </c>
      <c r="Z284">
        <f>IFERROR(INDEX(PP_Grid[#Data],$DE284,23),0)</f>
        <v/>
      </c>
      <c r="AA284">
        <f>IFERROR(INDEX(PP_Grid[#Data],$DE284,24),0)</f>
        <v/>
      </c>
      <c r="AB284">
        <f>IFERROR(INDEX(PP_Grid[#Data],$DE284,25),0)</f>
        <v/>
      </c>
      <c r="AC284">
        <f>IFERROR(INDEX(PP_Grid[#Data],$DE284,26),0)</f>
        <v/>
      </c>
      <c r="AD284">
        <f>IFERROR(INDEX(PP_Grid[#Data],$DE284,27),0)</f>
        <v/>
      </c>
      <c r="AE284">
        <f>IFERROR(INDEX(PP_Grid[#Data],$DE284,28),0)</f>
        <v/>
      </c>
      <c r="AF284">
        <f>IFERROR(INDEX(PP_Grid[#Data],$DE284,29),0)</f>
        <v/>
      </c>
      <c r="AG284">
        <f>IFERROR(INDEX(PP_Grid[#Data],$DE284,30),0)</f>
        <v/>
      </c>
      <c r="AH284">
        <f>IFERROR(INDEX(PP_Grid[#Data],$DE284,31),0)</f>
        <v/>
      </c>
      <c r="AI284">
        <f>IFERROR(INDEX(PP_Grid[#Data],$DE284,32),0)</f>
        <v/>
      </c>
      <c r="AJ284">
        <f>IFERROR(INDEX(PP_Grid[#Data],$DE284,33),0)</f>
        <v/>
      </c>
      <c r="AK284">
        <f>IFERROR(INDEX(PP_Grid[#Data],$DE284,34),0)</f>
        <v/>
      </c>
      <c r="AL284">
        <f>IFERROR(INDEX(PP_Grid[#Data],$DE284,35),0)</f>
        <v/>
      </c>
      <c r="AM284">
        <f>IFERROR(INDEX(PP_Grid[#Data],$DE284,36),0)</f>
        <v/>
      </c>
      <c r="AN284">
        <f>IFERROR(INDEX(PP_Grid[#Data],$DE284,37),0)</f>
        <v/>
      </c>
      <c r="AO284">
        <f>IFERROR(INDEX(PP_Grid[#Data],$DE284,38),0)</f>
        <v/>
      </c>
      <c r="AP284">
        <f>IFERROR(INDEX(PP_Grid[#Data],$DE284,39),0)</f>
        <v/>
      </c>
      <c r="AQ284">
        <f>IFERROR(INDEX(PP_Grid[#Data],$DE284,40),0)</f>
        <v/>
      </c>
      <c r="AR284">
        <f>IFERROR(INDEX(PP_Grid[#Data],$DE284,41),0)</f>
        <v/>
      </c>
      <c r="AS284">
        <f>IFERROR(INDEX(PP_Grid[#Data],$DE284,42),0)</f>
        <v/>
      </c>
      <c r="AT284">
        <f>IFERROR(INDEX(PP_Grid[#Data],$DE284,43),0)</f>
        <v/>
      </c>
      <c r="AU284">
        <f>IFERROR(INDEX(PP_Grid[#Data],$DE284,44),0)</f>
        <v/>
      </c>
      <c r="AV284">
        <f>IFERROR(INDEX(PP_Grid[#Data],$DE284,45),0)</f>
        <v/>
      </c>
      <c r="AW284">
        <f>IFERROR(INDEX(PP_Grid[#Data],$DE284,46),0)</f>
        <v/>
      </c>
      <c r="AX284">
        <f>IFERROR(INDEX(PP_Grid[#Data],$DE284,47),0)</f>
        <v/>
      </c>
      <c r="AY284">
        <f>IFERROR(INDEX(PP_Grid[#Data],$DE284,48),0)</f>
        <v/>
      </c>
      <c r="AZ284">
        <f>IFERROR(INDEX(PP_Grid[#Data],$DE284,49),0)</f>
        <v/>
      </c>
      <c r="BA284">
        <f>IFERROR(INDEX(PP_Grid[#Data],$DE284,50),0)</f>
        <v/>
      </c>
      <c r="BB284">
        <f>IFERROR(INDEX(PP_Grid[#Data],$DE284,51),0)</f>
        <v/>
      </c>
      <c r="BC284">
        <f>IFERROR(INDEX(PP_Grid[#Data],$DE284,52),0)</f>
        <v/>
      </c>
      <c r="BD284">
        <f>IFERROR(INDEX(PP_Grid[#Data],$DE284,53),0)</f>
        <v/>
      </c>
      <c r="BE284">
        <f>IFERROR(INDEX(PP_Grid[#Data],$DE284,54),0)</f>
        <v/>
      </c>
      <c r="BF284">
        <f>IFERROR(INDEX(PP_Grid[#Data],$DE284,55),0)</f>
        <v/>
      </c>
      <c r="BG284">
        <f>IFERROR(INDEX(PP_Grid[#Data],$DE284,56),0)</f>
        <v/>
      </c>
      <c r="BH284">
        <f>IFERROR(INDEX(PP_Grid[#Data],$DE284,57),0)</f>
        <v/>
      </c>
      <c r="BI284">
        <f>IFERROR(INDEX(PP_Grid[#Data],$DE284,58),0)</f>
        <v/>
      </c>
      <c r="BJ284">
        <f>IFERROR(INDEX(PP_Grid[#Data],$DE284,59),0)</f>
        <v/>
      </c>
      <c r="BK284">
        <f>IFERROR(INDEX(PP_Grid[#Data],$DE284,60),0)</f>
        <v/>
      </c>
      <c r="BL284">
        <f>IFERROR(INDEX(PP_Grid[#Data],$DE284,61),0)</f>
        <v/>
      </c>
      <c r="BM284">
        <f>IFERROR(INDEX(PP_Grid[#Data],$DE284,62),0)</f>
        <v/>
      </c>
      <c r="BN284">
        <f>IFERROR(INDEX(PP_Grid[#Data],$DE284,63),0)</f>
        <v/>
      </c>
      <c r="BO284">
        <f>IFERROR(INDEX(PP_Grid[#Data],$DE284,64),0)</f>
        <v/>
      </c>
      <c r="BP284">
        <f>IFERROR(INDEX(PP_Grid[#Data],$DE284,65),0)</f>
        <v/>
      </c>
      <c r="BQ284">
        <f>IFERROR(INDEX(PP_Grid[#Data],$DE284,66),0)</f>
        <v/>
      </c>
      <c r="BR284">
        <f>IFERROR(INDEX(PP_Grid[#Data],$DE284,67),0)</f>
        <v/>
      </c>
      <c r="BS284">
        <f>IFERROR(INDEX(PP_Grid[#Data],$DE284,68),0)</f>
        <v/>
      </c>
      <c r="BT284">
        <f>IFERROR(INDEX(PP_Grid[#Data],$DE284,69),0)</f>
        <v/>
      </c>
      <c r="BU284">
        <f>IFERROR(INDEX(PP_Grid[#Data],$DE284,70),0)</f>
        <v/>
      </c>
      <c r="BV284">
        <f>IFERROR(INDEX(PP_Grid[#Data],$DE284,71),0)</f>
        <v/>
      </c>
      <c r="BW284">
        <f>IFERROR(INDEX(PP_Grid[#Data],$DE284,72),0)</f>
        <v/>
      </c>
      <c r="BX284">
        <f>IFERROR(INDEX(PP_Grid[#Data],$DE284,73),0)</f>
        <v/>
      </c>
      <c r="BY284">
        <f>IFERROR(INDEX(PP_Grid[#Data],$DE284,74),0)</f>
        <v/>
      </c>
      <c r="BZ284">
        <f>IFERROR(INDEX(PP_Grid[#Data],$DE284,75),0)</f>
        <v/>
      </c>
      <c r="CA284">
        <f>IFERROR(INDEX(PP_Grid[#Data],$DE284,76),0)</f>
        <v/>
      </c>
      <c r="CB284">
        <f>IFERROR(INDEX(PP_Grid[#Data],$DE284,77),0)</f>
        <v/>
      </c>
      <c r="CC284">
        <f>IFERROR(INDEX(PP_Grid[#Data],$DE284,78),0)</f>
        <v/>
      </c>
      <c r="CD284">
        <f>IFERROR(INDEX(PP_Grid[#Data],$DE284,79),0)</f>
        <v/>
      </c>
      <c r="CE284">
        <f>IFERROR(INDEX(PP_Grid[#Data],$DE284,80),0)</f>
        <v/>
      </c>
      <c r="CF284">
        <f>IFERROR(INDEX(PP_Grid[#Data],$DE284,81),0)</f>
        <v/>
      </c>
      <c r="CG284">
        <f>IFERROR(INDEX(PP_Grid[#Data],$DE284,82),0)</f>
        <v/>
      </c>
      <c r="CH284">
        <f>IFERROR(INDEX(PP_Grid[#Data],$DE284,83),0)</f>
        <v/>
      </c>
      <c r="CI284">
        <f>IFERROR(INDEX(PP_Grid[#Data],$DE284,84),0)</f>
        <v/>
      </c>
      <c r="CJ284">
        <f>IFERROR(INDEX(PP_Grid[#Data],$DE284,85),0)</f>
        <v/>
      </c>
      <c r="CK284">
        <f>IFERROR(INDEX(PP_Grid[#Data],$DE284,86),0)</f>
        <v/>
      </c>
      <c r="CL284">
        <f>IFERROR(INDEX(PP_Grid[#Data],$DE284,87),0)</f>
        <v/>
      </c>
      <c r="CM284">
        <f>IFERROR(INDEX(PP_Grid[#Data],$DE284,88),0)</f>
        <v/>
      </c>
      <c r="CN284">
        <f>IFERROR(INDEX(PP_Grid[#Data],$DE284,89),0)</f>
        <v/>
      </c>
      <c r="CO284">
        <f>IFERROR(INDEX(PP_Grid[#Data],$DE284,90),0)</f>
        <v/>
      </c>
      <c r="CP284">
        <f>IFERROR(INDEX(PP_Grid[#Data],$DE284,91),0)</f>
        <v/>
      </c>
      <c r="CQ284">
        <f>IFERROR(INDEX(PP_Grid[#Data],$DE284,92),0)</f>
        <v/>
      </c>
      <c r="CR284">
        <f>IFERROR(INDEX(PP_Grid[#Data],$DE284,93),0)</f>
        <v/>
      </c>
      <c r="CS284">
        <f>IFERROR(INDEX(PP_Grid[#Data],$DE284,94),0)</f>
        <v/>
      </c>
      <c r="CT284">
        <f>IFERROR(INDEX(PP_Grid[#Data],$DE284,95),0)</f>
        <v/>
      </c>
      <c r="CU284">
        <f>IFERROR(INDEX(PP_Grid[#Data],$DE284,96),0)</f>
        <v/>
      </c>
      <c r="CV284">
        <f>IFERROR(INDEX(PP_Grid[#Data],$DE284,97),0)</f>
        <v/>
      </c>
      <c r="CW284">
        <f>IFERROR(INDEX(PP_Grid[#Data],$DE284,98),0)</f>
        <v/>
      </c>
      <c r="CX284">
        <f>IFERROR(INDEX(PP_Grid[#Data],$DE284,99),0)</f>
        <v/>
      </c>
      <c r="CY284">
        <f>IFERROR(INDEX(PP_Grid[#Data],$DE284,100),0)</f>
        <v/>
      </c>
      <c r="CZ284">
        <f>IFERROR(INDEX(PP_Grid[#Data],$DE284,101),0)</f>
        <v/>
      </c>
      <c r="DA284">
        <f>IFERROR(INDEX(PP_Grid[#Data],$DE284,102),0)</f>
        <v/>
      </c>
      <c r="DB284">
        <f>IFERROR(INDEX(PP_Grid[#Data],$DE284,103),0)</f>
        <v/>
      </c>
      <c r="DC284">
        <f>IFERROR(INDEX(PP_Grid[#Data],$DE284,104),0)</f>
        <v/>
      </c>
      <c r="DD284">
        <f>IFERROR(INDEX(PP_Grid[#Data],$DE284,105),0)</f>
        <v/>
      </c>
      <c r="DE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SUMIFS(M_BOM[RM_Qty_Per_Batch],M_BOM[Intermediate],$B284,M_BOM[RM_Code],$A199)</f>
        <v/>
      </c>
      <c r="D285">
        <f>IFERROR(INDEX(E285:DD285,$F$1),"")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  <c r="DD285">
        <f>$C285*DD284</f>
        <v/>
      </c>
    </row>
    <row r="286">
      <c r="B286" t="inlineStr">
        <is>
          <t>TSP-1388</t>
        </is>
      </c>
      <c r="C286" t="inlineStr">
        <is>
          <t>No. of batches</t>
        </is>
      </c>
      <c r="D286">
        <f>IFERROR(INDEX(E286:DD286,$F$1),"")</f>
        <v/>
      </c>
      <c r="E286">
        <f>IFERROR(INDEX(PP_Grid[#Data],$DE286,2),0)</f>
        <v/>
      </c>
      <c r="F286">
        <f>IFERROR(INDEX(PP_Grid[#Data],$DE286,3),0)</f>
        <v/>
      </c>
      <c r="G286">
        <f>IFERROR(INDEX(PP_Grid[#Data],$DE286,4),0)</f>
        <v/>
      </c>
      <c r="H286">
        <f>IFERROR(INDEX(PP_Grid[#Data],$DE286,5),0)</f>
        <v/>
      </c>
      <c r="I286">
        <f>IFERROR(INDEX(PP_Grid[#Data],$DE286,6),0)</f>
        <v/>
      </c>
      <c r="J286">
        <f>IFERROR(INDEX(PP_Grid[#Data],$DE286,7),0)</f>
        <v/>
      </c>
      <c r="K286">
        <f>IFERROR(INDEX(PP_Grid[#Data],$DE286,8),0)</f>
        <v/>
      </c>
      <c r="L286">
        <f>IFERROR(INDEX(PP_Grid[#Data],$DE286,9),0)</f>
        <v/>
      </c>
      <c r="M286">
        <f>IFERROR(INDEX(PP_Grid[#Data],$DE286,10),0)</f>
        <v/>
      </c>
      <c r="N286">
        <f>IFERROR(INDEX(PP_Grid[#Data],$DE286,11),0)</f>
        <v/>
      </c>
      <c r="O286">
        <f>IFERROR(INDEX(PP_Grid[#Data],$DE286,12),0)</f>
        <v/>
      </c>
      <c r="P286">
        <f>IFERROR(INDEX(PP_Grid[#Data],$DE286,13),0)</f>
        <v/>
      </c>
      <c r="Q286">
        <f>IFERROR(INDEX(PP_Grid[#Data],$DE286,14),0)</f>
        <v/>
      </c>
      <c r="R286">
        <f>IFERROR(INDEX(PP_Grid[#Data],$DE286,15),0)</f>
        <v/>
      </c>
      <c r="S286">
        <f>IFERROR(INDEX(PP_Grid[#Data],$DE286,16),0)</f>
        <v/>
      </c>
      <c r="T286">
        <f>IFERROR(INDEX(PP_Grid[#Data],$DE286,17),0)</f>
        <v/>
      </c>
      <c r="U286">
        <f>IFERROR(INDEX(PP_Grid[#Data],$DE286,18),0)</f>
        <v/>
      </c>
      <c r="V286">
        <f>IFERROR(INDEX(PP_Grid[#Data],$DE286,19),0)</f>
        <v/>
      </c>
      <c r="W286">
        <f>IFERROR(INDEX(PP_Grid[#Data],$DE286,20),0)</f>
        <v/>
      </c>
      <c r="X286">
        <f>IFERROR(INDEX(PP_Grid[#Data],$DE286,21),0)</f>
        <v/>
      </c>
      <c r="Y286">
        <f>IFERROR(INDEX(PP_Grid[#Data],$DE286,22),0)</f>
        <v/>
      </c>
      <c r="Z286">
        <f>IFERROR(INDEX(PP_Grid[#Data],$DE286,23),0)</f>
        <v/>
      </c>
      <c r="AA286">
        <f>IFERROR(INDEX(PP_Grid[#Data],$DE286,24),0)</f>
        <v/>
      </c>
      <c r="AB286">
        <f>IFERROR(INDEX(PP_Grid[#Data],$DE286,25),0)</f>
        <v/>
      </c>
      <c r="AC286">
        <f>IFERROR(INDEX(PP_Grid[#Data],$DE286,26),0)</f>
        <v/>
      </c>
      <c r="AD286">
        <f>IFERROR(INDEX(PP_Grid[#Data],$DE286,27),0)</f>
        <v/>
      </c>
      <c r="AE286">
        <f>IFERROR(INDEX(PP_Grid[#Data],$DE286,28),0)</f>
        <v/>
      </c>
      <c r="AF286">
        <f>IFERROR(INDEX(PP_Grid[#Data],$DE286,29),0)</f>
        <v/>
      </c>
      <c r="AG286">
        <f>IFERROR(INDEX(PP_Grid[#Data],$DE286,30),0)</f>
        <v/>
      </c>
      <c r="AH286">
        <f>IFERROR(INDEX(PP_Grid[#Data],$DE286,31),0)</f>
        <v/>
      </c>
      <c r="AI286">
        <f>IFERROR(INDEX(PP_Grid[#Data],$DE286,32),0)</f>
        <v/>
      </c>
      <c r="AJ286">
        <f>IFERROR(INDEX(PP_Grid[#Data],$DE286,33),0)</f>
        <v/>
      </c>
      <c r="AK286">
        <f>IFERROR(INDEX(PP_Grid[#Data],$DE286,34),0)</f>
        <v/>
      </c>
      <c r="AL286">
        <f>IFERROR(INDEX(PP_Grid[#Data],$DE286,35),0)</f>
        <v/>
      </c>
      <c r="AM286">
        <f>IFERROR(INDEX(PP_Grid[#Data],$DE286,36),0)</f>
        <v/>
      </c>
      <c r="AN286">
        <f>IFERROR(INDEX(PP_Grid[#Data],$DE286,37),0)</f>
        <v/>
      </c>
      <c r="AO286">
        <f>IFERROR(INDEX(PP_Grid[#Data],$DE286,38),0)</f>
        <v/>
      </c>
      <c r="AP286">
        <f>IFERROR(INDEX(PP_Grid[#Data],$DE286,39),0)</f>
        <v/>
      </c>
      <c r="AQ286">
        <f>IFERROR(INDEX(PP_Grid[#Data],$DE286,40),0)</f>
        <v/>
      </c>
      <c r="AR286">
        <f>IFERROR(INDEX(PP_Grid[#Data],$DE286,41),0)</f>
        <v/>
      </c>
      <c r="AS286">
        <f>IFERROR(INDEX(PP_Grid[#Data],$DE286,42),0)</f>
        <v/>
      </c>
      <c r="AT286">
        <f>IFERROR(INDEX(PP_Grid[#Data],$DE286,43),0)</f>
        <v/>
      </c>
      <c r="AU286">
        <f>IFERROR(INDEX(PP_Grid[#Data],$DE286,44),0)</f>
        <v/>
      </c>
      <c r="AV286">
        <f>IFERROR(INDEX(PP_Grid[#Data],$DE286,45),0)</f>
        <v/>
      </c>
      <c r="AW286">
        <f>IFERROR(INDEX(PP_Grid[#Data],$DE286,46),0)</f>
        <v/>
      </c>
      <c r="AX286">
        <f>IFERROR(INDEX(PP_Grid[#Data],$DE286,47),0)</f>
        <v/>
      </c>
      <c r="AY286">
        <f>IFERROR(INDEX(PP_Grid[#Data],$DE286,48),0)</f>
        <v/>
      </c>
      <c r="AZ286">
        <f>IFERROR(INDEX(PP_Grid[#Data],$DE286,49),0)</f>
        <v/>
      </c>
      <c r="BA286">
        <f>IFERROR(INDEX(PP_Grid[#Data],$DE286,50),0)</f>
        <v/>
      </c>
      <c r="BB286">
        <f>IFERROR(INDEX(PP_Grid[#Data],$DE286,51),0)</f>
        <v/>
      </c>
      <c r="BC286">
        <f>IFERROR(INDEX(PP_Grid[#Data],$DE286,52),0)</f>
        <v/>
      </c>
      <c r="BD286">
        <f>IFERROR(INDEX(PP_Grid[#Data],$DE286,53),0)</f>
        <v/>
      </c>
      <c r="BE286">
        <f>IFERROR(INDEX(PP_Grid[#Data],$DE286,54),0)</f>
        <v/>
      </c>
      <c r="BF286">
        <f>IFERROR(INDEX(PP_Grid[#Data],$DE286,55),0)</f>
        <v/>
      </c>
      <c r="BG286">
        <f>IFERROR(INDEX(PP_Grid[#Data],$DE286,56),0)</f>
        <v/>
      </c>
      <c r="BH286">
        <f>IFERROR(INDEX(PP_Grid[#Data],$DE286,57),0)</f>
        <v/>
      </c>
      <c r="BI286">
        <f>IFERROR(INDEX(PP_Grid[#Data],$DE286,58),0)</f>
        <v/>
      </c>
      <c r="BJ286">
        <f>IFERROR(INDEX(PP_Grid[#Data],$DE286,59),0)</f>
        <v/>
      </c>
      <c r="BK286">
        <f>IFERROR(INDEX(PP_Grid[#Data],$DE286,60),0)</f>
        <v/>
      </c>
      <c r="BL286">
        <f>IFERROR(INDEX(PP_Grid[#Data],$DE286,61),0)</f>
        <v/>
      </c>
      <c r="BM286">
        <f>IFERROR(INDEX(PP_Grid[#Data],$DE286,62),0)</f>
        <v/>
      </c>
      <c r="BN286">
        <f>IFERROR(INDEX(PP_Grid[#Data],$DE286,63),0)</f>
        <v/>
      </c>
      <c r="BO286">
        <f>IFERROR(INDEX(PP_Grid[#Data],$DE286,64),0)</f>
        <v/>
      </c>
      <c r="BP286">
        <f>IFERROR(INDEX(PP_Grid[#Data],$DE286,65),0)</f>
        <v/>
      </c>
      <c r="BQ286">
        <f>IFERROR(INDEX(PP_Grid[#Data],$DE286,66),0)</f>
        <v/>
      </c>
      <c r="BR286">
        <f>IFERROR(INDEX(PP_Grid[#Data],$DE286,67),0)</f>
        <v/>
      </c>
      <c r="BS286">
        <f>IFERROR(INDEX(PP_Grid[#Data],$DE286,68),0)</f>
        <v/>
      </c>
      <c r="BT286">
        <f>IFERROR(INDEX(PP_Grid[#Data],$DE286,69),0)</f>
        <v/>
      </c>
      <c r="BU286">
        <f>IFERROR(INDEX(PP_Grid[#Data],$DE286,70),0)</f>
        <v/>
      </c>
      <c r="BV286">
        <f>IFERROR(INDEX(PP_Grid[#Data],$DE286,71),0)</f>
        <v/>
      </c>
      <c r="BW286">
        <f>IFERROR(INDEX(PP_Grid[#Data],$DE286,72),0)</f>
        <v/>
      </c>
      <c r="BX286">
        <f>IFERROR(INDEX(PP_Grid[#Data],$DE286,73),0)</f>
        <v/>
      </c>
      <c r="BY286">
        <f>IFERROR(INDEX(PP_Grid[#Data],$DE286,74),0)</f>
        <v/>
      </c>
      <c r="BZ286">
        <f>IFERROR(INDEX(PP_Grid[#Data],$DE286,75),0)</f>
        <v/>
      </c>
      <c r="CA286">
        <f>IFERROR(INDEX(PP_Grid[#Data],$DE286,76),0)</f>
        <v/>
      </c>
      <c r="CB286">
        <f>IFERROR(INDEX(PP_Grid[#Data],$DE286,77),0)</f>
        <v/>
      </c>
      <c r="CC286">
        <f>IFERROR(INDEX(PP_Grid[#Data],$DE286,78),0)</f>
        <v/>
      </c>
      <c r="CD286">
        <f>IFERROR(INDEX(PP_Grid[#Data],$DE286,79),0)</f>
        <v/>
      </c>
      <c r="CE286">
        <f>IFERROR(INDEX(PP_Grid[#Data],$DE286,80),0)</f>
        <v/>
      </c>
      <c r="CF286">
        <f>IFERROR(INDEX(PP_Grid[#Data],$DE286,81),0)</f>
        <v/>
      </c>
      <c r="CG286">
        <f>IFERROR(INDEX(PP_Grid[#Data],$DE286,82),0)</f>
        <v/>
      </c>
      <c r="CH286">
        <f>IFERROR(INDEX(PP_Grid[#Data],$DE286,83),0)</f>
        <v/>
      </c>
      <c r="CI286">
        <f>IFERROR(INDEX(PP_Grid[#Data],$DE286,84),0)</f>
        <v/>
      </c>
      <c r="CJ286">
        <f>IFERROR(INDEX(PP_Grid[#Data],$DE286,85),0)</f>
        <v/>
      </c>
      <c r="CK286">
        <f>IFERROR(INDEX(PP_Grid[#Data],$DE286,86),0)</f>
        <v/>
      </c>
      <c r="CL286">
        <f>IFERROR(INDEX(PP_Grid[#Data],$DE286,87),0)</f>
        <v/>
      </c>
      <c r="CM286">
        <f>IFERROR(INDEX(PP_Grid[#Data],$DE286,88),0)</f>
        <v/>
      </c>
      <c r="CN286">
        <f>IFERROR(INDEX(PP_Grid[#Data],$DE286,89),0)</f>
        <v/>
      </c>
      <c r="CO286">
        <f>IFERROR(INDEX(PP_Grid[#Data],$DE286,90),0)</f>
        <v/>
      </c>
      <c r="CP286">
        <f>IFERROR(INDEX(PP_Grid[#Data],$DE286,91),0)</f>
        <v/>
      </c>
      <c r="CQ286">
        <f>IFERROR(INDEX(PP_Grid[#Data],$DE286,92),0)</f>
        <v/>
      </c>
      <c r="CR286">
        <f>IFERROR(INDEX(PP_Grid[#Data],$DE286,93),0)</f>
        <v/>
      </c>
      <c r="CS286">
        <f>IFERROR(INDEX(PP_Grid[#Data],$DE286,94),0)</f>
        <v/>
      </c>
      <c r="CT286">
        <f>IFERROR(INDEX(PP_Grid[#Data],$DE286,95),0)</f>
        <v/>
      </c>
      <c r="CU286">
        <f>IFERROR(INDEX(PP_Grid[#Data],$DE286,96),0)</f>
        <v/>
      </c>
      <c r="CV286">
        <f>IFERROR(INDEX(PP_Grid[#Data],$DE286,97),0)</f>
        <v/>
      </c>
      <c r="CW286">
        <f>IFERROR(INDEX(PP_Grid[#Data],$DE286,98),0)</f>
        <v/>
      </c>
      <c r="CX286">
        <f>IFERROR(INDEX(PP_Grid[#Data],$DE286,99),0)</f>
        <v/>
      </c>
      <c r="CY286">
        <f>IFERROR(INDEX(PP_Grid[#Data],$DE286,100),0)</f>
        <v/>
      </c>
      <c r="CZ286">
        <f>IFERROR(INDEX(PP_Grid[#Data],$DE286,101),0)</f>
        <v/>
      </c>
      <c r="DA286">
        <f>IFERROR(INDEX(PP_Grid[#Data],$DE286,102),0)</f>
        <v/>
      </c>
      <c r="DB286">
        <f>IFERROR(INDEX(PP_Grid[#Data],$DE286,103),0)</f>
        <v/>
      </c>
      <c r="DC286">
        <f>IFERROR(INDEX(PP_Grid[#Data],$DE286,104),0)</f>
        <v/>
      </c>
      <c r="DD286">
        <f>IFERROR(INDEX(PP_Grid[#Data],$DE286,105),0)</f>
        <v/>
      </c>
      <c r="DE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SUMIFS(M_BOM[RM_Qty_Per_Batch],M_BOM[Intermediate],$B286,M_BOM[RM_Code],$A199)</f>
        <v/>
      </c>
      <c r="D287">
        <f>IFERROR(INDEX(E287:DD287,$F$1),"")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  <c r="DD287">
        <f>$C287*DD286</f>
        <v/>
      </c>
    </row>
    <row r="288">
      <c r="B288" t="inlineStr">
        <is>
          <t>TSP-1444</t>
        </is>
      </c>
      <c r="C288" t="inlineStr">
        <is>
          <t>No. of batches</t>
        </is>
      </c>
      <c r="D288">
        <f>IFERROR(INDEX(E288:DD288,$F$1),"")</f>
        <v/>
      </c>
      <c r="E288">
        <f>IFERROR(INDEX(PP_Grid[#Data],$DE288,2),0)</f>
        <v/>
      </c>
      <c r="F288">
        <f>IFERROR(INDEX(PP_Grid[#Data],$DE288,3),0)</f>
        <v/>
      </c>
      <c r="G288">
        <f>IFERROR(INDEX(PP_Grid[#Data],$DE288,4),0)</f>
        <v/>
      </c>
      <c r="H288">
        <f>IFERROR(INDEX(PP_Grid[#Data],$DE288,5),0)</f>
        <v/>
      </c>
      <c r="I288">
        <f>IFERROR(INDEX(PP_Grid[#Data],$DE288,6),0)</f>
        <v/>
      </c>
      <c r="J288">
        <f>IFERROR(INDEX(PP_Grid[#Data],$DE288,7),0)</f>
        <v/>
      </c>
      <c r="K288">
        <f>IFERROR(INDEX(PP_Grid[#Data],$DE288,8),0)</f>
        <v/>
      </c>
      <c r="L288">
        <f>IFERROR(INDEX(PP_Grid[#Data],$DE288,9),0)</f>
        <v/>
      </c>
      <c r="M288">
        <f>IFERROR(INDEX(PP_Grid[#Data],$DE288,10),0)</f>
        <v/>
      </c>
      <c r="N288">
        <f>IFERROR(INDEX(PP_Grid[#Data],$DE288,11),0)</f>
        <v/>
      </c>
      <c r="O288">
        <f>IFERROR(INDEX(PP_Grid[#Data],$DE288,12),0)</f>
        <v/>
      </c>
      <c r="P288">
        <f>IFERROR(INDEX(PP_Grid[#Data],$DE288,13),0)</f>
        <v/>
      </c>
      <c r="Q288">
        <f>IFERROR(INDEX(PP_Grid[#Data],$DE288,14),0)</f>
        <v/>
      </c>
      <c r="R288">
        <f>IFERROR(INDEX(PP_Grid[#Data],$DE288,15),0)</f>
        <v/>
      </c>
      <c r="S288">
        <f>IFERROR(INDEX(PP_Grid[#Data],$DE288,16),0)</f>
        <v/>
      </c>
      <c r="T288">
        <f>IFERROR(INDEX(PP_Grid[#Data],$DE288,17),0)</f>
        <v/>
      </c>
      <c r="U288">
        <f>IFERROR(INDEX(PP_Grid[#Data],$DE288,18),0)</f>
        <v/>
      </c>
      <c r="V288">
        <f>IFERROR(INDEX(PP_Grid[#Data],$DE288,19),0)</f>
        <v/>
      </c>
      <c r="W288">
        <f>IFERROR(INDEX(PP_Grid[#Data],$DE288,20),0)</f>
        <v/>
      </c>
      <c r="X288">
        <f>IFERROR(INDEX(PP_Grid[#Data],$DE288,21),0)</f>
        <v/>
      </c>
      <c r="Y288">
        <f>IFERROR(INDEX(PP_Grid[#Data],$DE288,22),0)</f>
        <v/>
      </c>
      <c r="Z288">
        <f>IFERROR(INDEX(PP_Grid[#Data],$DE288,23),0)</f>
        <v/>
      </c>
      <c r="AA288">
        <f>IFERROR(INDEX(PP_Grid[#Data],$DE288,24),0)</f>
        <v/>
      </c>
      <c r="AB288">
        <f>IFERROR(INDEX(PP_Grid[#Data],$DE288,25),0)</f>
        <v/>
      </c>
      <c r="AC288">
        <f>IFERROR(INDEX(PP_Grid[#Data],$DE288,26),0)</f>
        <v/>
      </c>
      <c r="AD288">
        <f>IFERROR(INDEX(PP_Grid[#Data],$DE288,27),0)</f>
        <v/>
      </c>
      <c r="AE288">
        <f>IFERROR(INDEX(PP_Grid[#Data],$DE288,28),0)</f>
        <v/>
      </c>
      <c r="AF288">
        <f>IFERROR(INDEX(PP_Grid[#Data],$DE288,29),0)</f>
        <v/>
      </c>
      <c r="AG288">
        <f>IFERROR(INDEX(PP_Grid[#Data],$DE288,30),0)</f>
        <v/>
      </c>
      <c r="AH288">
        <f>IFERROR(INDEX(PP_Grid[#Data],$DE288,31),0)</f>
        <v/>
      </c>
      <c r="AI288">
        <f>IFERROR(INDEX(PP_Grid[#Data],$DE288,32),0)</f>
        <v/>
      </c>
      <c r="AJ288">
        <f>IFERROR(INDEX(PP_Grid[#Data],$DE288,33),0)</f>
        <v/>
      </c>
      <c r="AK288">
        <f>IFERROR(INDEX(PP_Grid[#Data],$DE288,34),0)</f>
        <v/>
      </c>
      <c r="AL288">
        <f>IFERROR(INDEX(PP_Grid[#Data],$DE288,35),0)</f>
        <v/>
      </c>
      <c r="AM288">
        <f>IFERROR(INDEX(PP_Grid[#Data],$DE288,36),0)</f>
        <v/>
      </c>
      <c r="AN288">
        <f>IFERROR(INDEX(PP_Grid[#Data],$DE288,37),0)</f>
        <v/>
      </c>
      <c r="AO288">
        <f>IFERROR(INDEX(PP_Grid[#Data],$DE288,38),0)</f>
        <v/>
      </c>
      <c r="AP288">
        <f>IFERROR(INDEX(PP_Grid[#Data],$DE288,39),0)</f>
        <v/>
      </c>
      <c r="AQ288">
        <f>IFERROR(INDEX(PP_Grid[#Data],$DE288,40),0)</f>
        <v/>
      </c>
      <c r="AR288">
        <f>IFERROR(INDEX(PP_Grid[#Data],$DE288,41),0)</f>
        <v/>
      </c>
      <c r="AS288">
        <f>IFERROR(INDEX(PP_Grid[#Data],$DE288,42),0)</f>
        <v/>
      </c>
      <c r="AT288">
        <f>IFERROR(INDEX(PP_Grid[#Data],$DE288,43),0)</f>
        <v/>
      </c>
      <c r="AU288">
        <f>IFERROR(INDEX(PP_Grid[#Data],$DE288,44),0)</f>
        <v/>
      </c>
      <c r="AV288">
        <f>IFERROR(INDEX(PP_Grid[#Data],$DE288,45),0)</f>
        <v/>
      </c>
      <c r="AW288">
        <f>IFERROR(INDEX(PP_Grid[#Data],$DE288,46),0)</f>
        <v/>
      </c>
      <c r="AX288">
        <f>IFERROR(INDEX(PP_Grid[#Data],$DE288,47),0)</f>
        <v/>
      </c>
      <c r="AY288">
        <f>IFERROR(INDEX(PP_Grid[#Data],$DE288,48),0)</f>
        <v/>
      </c>
      <c r="AZ288">
        <f>IFERROR(INDEX(PP_Grid[#Data],$DE288,49),0)</f>
        <v/>
      </c>
      <c r="BA288">
        <f>IFERROR(INDEX(PP_Grid[#Data],$DE288,50),0)</f>
        <v/>
      </c>
      <c r="BB288">
        <f>IFERROR(INDEX(PP_Grid[#Data],$DE288,51),0)</f>
        <v/>
      </c>
      <c r="BC288">
        <f>IFERROR(INDEX(PP_Grid[#Data],$DE288,52),0)</f>
        <v/>
      </c>
      <c r="BD288">
        <f>IFERROR(INDEX(PP_Grid[#Data],$DE288,53),0)</f>
        <v/>
      </c>
      <c r="BE288">
        <f>IFERROR(INDEX(PP_Grid[#Data],$DE288,54),0)</f>
        <v/>
      </c>
      <c r="BF288">
        <f>IFERROR(INDEX(PP_Grid[#Data],$DE288,55),0)</f>
        <v/>
      </c>
      <c r="BG288">
        <f>IFERROR(INDEX(PP_Grid[#Data],$DE288,56),0)</f>
        <v/>
      </c>
      <c r="BH288">
        <f>IFERROR(INDEX(PP_Grid[#Data],$DE288,57),0)</f>
        <v/>
      </c>
      <c r="BI288">
        <f>IFERROR(INDEX(PP_Grid[#Data],$DE288,58),0)</f>
        <v/>
      </c>
      <c r="BJ288">
        <f>IFERROR(INDEX(PP_Grid[#Data],$DE288,59),0)</f>
        <v/>
      </c>
      <c r="BK288">
        <f>IFERROR(INDEX(PP_Grid[#Data],$DE288,60),0)</f>
        <v/>
      </c>
      <c r="BL288">
        <f>IFERROR(INDEX(PP_Grid[#Data],$DE288,61),0)</f>
        <v/>
      </c>
      <c r="BM288">
        <f>IFERROR(INDEX(PP_Grid[#Data],$DE288,62),0)</f>
        <v/>
      </c>
      <c r="BN288">
        <f>IFERROR(INDEX(PP_Grid[#Data],$DE288,63),0)</f>
        <v/>
      </c>
      <c r="BO288">
        <f>IFERROR(INDEX(PP_Grid[#Data],$DE288,64),0)</f>
        <v/>
      </c>
      <c r="BP288">
        <f>IFERROR(INDEX(PP_Grid[#Data],$DE288,65),0)</f>
        <v/>
      </c>
      <c r="BQ288">
        <f>IFERROR(INDEX(PP_Grid[#Data],$DE288,66),0)</f>
        <v/>
      </c>
      <c r="BR288">
        <f>IFERROR(INDEX(PP_Grid[#Data],$DE288,67),0)</f>
        <v/>
      </c>
      <c r="BS288">
        <f>IFERROR(INDEX(PP_Grid[#Data],$DE288,68),0)</f>
        <v/>
      </c>
      <c r="BT288">
        <f>IFERROR(INDEX(PP_Grid[#Data],$DE288,69),0)</f>
        <v/>
      </c>
      <c r="BU288">
        <f>IFERROR(INDEX(PP_Grid[#Data],$DE288,70),0)</f>
        <v/>
      </c>
      <c r="BV288">
        <f>IFERROR(INDEX(PP_Grid[#Data],$DE288,71),0)</f>
        <v/>
      </c>
      <c r="BW288">
        <f>IFERROR(INDEX(PP_Grid[#Data],$DE288,72),0)</f>
        <v/>
      </c>
      <c r="BX288">
        <f>IFERROR(INDEX(PP_Grid[#Data],$DE288,73),0)</f>
        <v/>
      </c>
      <c r="BY288">
        <f>IFERROR(INDEX(PP_Grid[#Data],$DE288,74),0)</f>
        <v/>
      </c>
      <c r="BZ288">
        <f>IFERROR(INDEX(PP_Grid[#Data],$DE288,75),0)</f>
        <v/>
      </c>
      <c r="CA288">
        <f>IFERROR(INDEX(PP_Grid[#Data],$DE288,76),0)</f>
        <v/>
      </c>
      <c r="CB288">
        <f>IFERROR(INDEX(PP_Grid[#Data],$DE288,77),0)</f>
        <v/>
      </c>
      <c r="CC288">
        <f>IFERROR(INDEX(PP_Grid[#Data],$DE288,78),0)</f>
        <v/>
      </c>
      <c r="CD288">
        <f>IFERROR(INDEX(PP_Grid[#Data],$DE288,79),0)</f>
        <v/>
      </c>
      <c r="CE288">
        <f>IFERROR(INDEX(PP_Grid[#Data],$DE288,80),0)</f>
        <v/>
      </c>
      <c r="CF288">
        <f>IFERROR(INDEX(PP_Grid[#Data],$DE288,81),0)</f>
        <v/>
      </c>
      <c r="CG288">
        <f>IFERROR(INDEX(PP_Grid[#Data],$DE288,82),0)</f>
        <v/>
      </c>
      <c r="CH288">
        <f>IFERROR(INDEX(PP_Grid[#Data],$DE288,83),0)</f>
        <v/>
      </c>
      <c r="CI288">
        <f>IFERROR(INDEX(PP_Grid[#Data],$DE288,84),0)</f>
        <v/>
      </c>
      <c r="CJ288">
        <f>IFERROR(INDEX(PP_Grid[#Data],$DE288,85),0)</f>
        <v/>
      </c>
      <c r="CK288">
        <f>IFERROR(INDEX(PP_Grid[#Data],$DE288,86),0)</f>
        <v/>
      </c>
      <c r="CL288">
        <f>IFERROR(INDEX(PP_Grid[#Data],$DE288,87),0)</f>
        <v/>
      </c>
      <c r="CM288">
        <f>IFERROR(INDEX(PP_Grid[#Data],$DE288,88),0)</f>
        <v/>
      </c>
      <c r="CN288">
        <f>IFERROR(INDEX(PP_Grid[#Data],$DE288,89),0)</f>
        <v/>
      </c>
      <c r="CO288">
        <f>IFERROR(INDEX(PP_Grid[#Data],$DE288,90),0)</f>
        <v/>
      </c>
      <c r="CP288">
        <f>IFERROR(INDEX(PP_Grid[#Data],$DE288,91),0)</f>
        <v/>
      </c>
      <c r="CQ288">
        <f>IFERROR(INDEX(PP_Grid[#Data],$DE288,92),0)</f>
        <v/>
      </c>
      <c r="CR288">
        <f>IFERROR(INDEX(PP_Grid[#Data],$DE288,93),0)</f>
        <v/>
      </c>
      <c r="CS288">
        <f>IFERROR(INDEX(PP_Grid[#Data],$DE288,94),0)</f>
        <v/>
      </c>
      <c r="CT288">
        <f>IFERROR(INDEX(PP_Grid[#Data],$DE288,95),0)</f>
        <v/>
      </c>
      <c r="CU288">
        <f>IFERROR(INDEX(PP_Grid[#Data],$DE288,96),0)</f>
        <v/>
      </c>
      <c r="CV288">
        <f>IFERROR(INDEX(PP_Grid[#Data],$DE288,97),0)</f>
        <v/>
      </c>
      <c r="CW288">
        <f>IFERROR(INDEX(PP_Grid[#Data],$DE288,98),0)</f>
        <v/>
      </c>
      <c r="CX288">
        <f>IFERROR(INDEX(PP_Grid[#Data],$DE288,99),0)</f>
        <v/>
      </c>
      <c r="CY288">
        <f>IFERROR(INDEX(PP_Grid[#Data],$DE288,100),0)</f>
        <v/>
      </c>
      <c r="CZ288">
        <f>IFERROR(INDEX(PP_Grid[#Data],$DE288,101),0)</f>
        <v/>
      </c>
      <c r="DA288">
        <f>IFERROR(INDEX(PP_Grid[#Data],$DE288,102),0)</f>
        <v/>
      </c>
      <c r="DB288">
        <f>IFERROR(INDEX(PP_Grid[#Data],$DE288,103),0)</f>
        <v/>
      </c>
      <c r="DC288">
        <f>IFERROR(INDEX(PP_Grid[#Data],$DE288,104),0)</f>
        <v/>
      </c>
      <c r="DD288">
        <f>IFERROR(INDEX(PP_Grid[#Data],$DE288,105),0)</f>
        <v/>
      </c>
      <c r="DE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SUMIFS(M_BOM[RM_Qty_Per_Batch],M_BOM[Intermediate],$B288,M_BOM[RM_Code],$A199)</f>
        <v/>
      </c>
      <c r="D289">
        <f>IFERROR(INDEX(E289:DD289,$F$1),"")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  <c r="DD289">
        <f>$C289*DD288</f>
        <v/>
      </c>
    </row>
    <row r="290">
      <c r="B290" t="inlineStr">
        <is>
          <t>TSP-1448</t>
        </is>
      </c>
      <c r="C290" t="inlineStr">
        <is>
          <t>No. of batches</t>
        </is>
      </c>
      <c r="D290">
        <f>IFERROR(INDEX(E290:DD290,$F$1),"")</f>
        <v/>
      </c>
      <c r="E290">
        <f>IFERROR(INDEX(PP_Grid[#Data],$DE290,2),0)</f>
        <v/>
      </c>
      <c r="F290">
        <f>IFERROR(INDEX(PP_Grid[#Data],$DE290,3),0)</f>
        <v/>
      </c>
      <c r="G290">
        <f>IFERROR(INDEX(PP_Grid[#Data],$DE290,4),0)</f>
        <v/>
      </c>
      <c r="H290">
        <f>IFERROR(INDEX(PP_Grid[#Data],$DE290,5),0)</f>
        <v/>
      </c>
      <c r="I290">
        <f>IFERROR(INDEX(PP_Grid[#Data],$DE290,6),0)</f>
        <v/>
      </c>
      <c r="J290">
        <f>IFERROR(INDEX(PP_Grid[#Data],$DE290,7),0)</f>
        <v/>
      </c>
      <c r="K290">
        <f>IFERROR(INDEX(PP_Grid[#Data],$DE290,8),0)</f>
        <v/>
      </c>
      <c r="L290">
        <f>IFERROR(INDEX(PP_Grid[#Data],$DE290,9),0)</f>
        <v/>
      </c>
      <c r="M290">
        <f>IFERROR(INDEX(PP_Grid[#Data],$DE290,10),0)</f>
        <v/>
      </c>
      <c r="N290">
        <f>IFERROR(INDEX(PP_Grid[#Data],$DE290,11),0)</f>
        <v/>
      </c>
      <c r="O290">
        <f>IFERROR(INDEX(PP_Grid[#Data],$DE290,12),0)</f>
        <v/>
      </c>
      <c r="P290">
        <f>IFERROR(INDEX(PP_Grid[#Data],$DE290,13),0)</f>
        <v/>
      </c>
      <c r="Q290">
        <f>IFERROR(INDEX(PP_Grid[#Data],$DE290,14),0)</f>
        <v/>
      </c>
      <c r="R290">
        <f>IFERROR(INDEX(PP_Grid[#Data],$DE290,15),0)</f>
        <v/>
      </c>
      <c r="S290">
        <f>IFERROR(INDEX(PP_Grid[#Data],$DE290,16),0)</f>
        <v/>
      </c>
      <c r="T290">
        <f>IFERROR(INDEX(PP_Grid[#Data],$DE290,17),0)</f>
        <v/>
      </c>
      <c r="U290">
        <f>IFERROR(INDEX(PP_Grid[#Data],$DE290,18),0)</f>
        <v/>
      </c>
      <c r="V290">
        <f>IFERROR(INDEX(PP_Grid[#Data],$DE290,19),0)</f>
        <v/>
      </c>
      <c r="W290">
        <f>IFERROR(INDEX(PP_Grid[#Data],$DE290,20),0)</f>
        <v/>
      </c>
      <c r="X290">
        <f>IFERROR(INDEX(PP_Grid[#Data],$DE290,21),0)</f>
        <v/>
      </c>
      <c r="Y290">
        <f>IFERROR(INDEX(PP_Grid[#Data],$DE290,22),0)</f>
        <v/>
      </c>
      <c r="Z290">
        <f>IFERROR(INDEX(PP_Grid[#Data],$DE290,23),0)</f>
        <v/>
      </c>
      <c r="AA290">
        <f>IFERROR(INDEX(PP_Grid[#Data],$DE290,24),0)</f>
        <v/>
      </c>
      <c r="AB290">
        <f>IFERROR(INDEX(PP_Grid[#Data],$DE290,25),0)</f>
        <v/>
      </c>
      <c r="AC290">
        <f>IFERROR(INDEX(PP_Grid[#Data],$DE290,26),0)</f>
        <v/>
      </c>
      <c r="AD290">
        <f>IFERROR(INDEX(PP_Grid[#Data],$DE290,27),0)</f>
        <v/>
      </c>
      <c r="AE290">
        <f>IFERROR(INDEX(PP_Grid[#Data],$DE290,28),0)</f>
        <v/>
      </c>
      <c r="AF290">
        <f>IFERROR(INDEX(PP_Grid[#Data],$DE290,29),0)</f>
        <v/>
      </c>
      <c r="AG290">
        <f>IFERROR(INDEX(PP_Grid[#Data],$DE290,30),0)</f>
        <v/>
      </c>
      <c r="AH290">
        <f>IFERROR(INDEX(PP_Grid[#Data],$DE290,31),0)</f>
        <v/>
      </c>
      <c r="AI290">
        <f>IFERROR(INDEX(PP_Grid[#Data],$DE290,32),0)</f>
        <v/>
      </c>
      <c r="AJ290">
        <f>IFERROR(INDEX(PP_Grid[#Data],$DE290,33),0)</f>
        <v/>
      </c>
      <c r="AK290">
        <f>IFERROR(INDEX(PP_Grid[#Data],$DE290,34),0)</f>
        <v/>
      </c>
      <c r="AL290">
        <f>IFERROR(INDEX(PP_Grid[#Data],$DE290,35),0)</f>
        <v/>
      </c>
      <c r="AM290">
        <f>IFERROR(INDEX(PP_Grid[#Data],$DE290,36),0)</f>
        <v/>
      </c>
      <c r="AN290">
        <f>IFERROR(INDEX(PP_Grid[#Data],$DE290,37),0)</f>
        <v/>
      </c>
      <c r="AO290">
        <f>IFERROR(INDEX(PP_Grid[#Data],$DE290,38),0)</f>
        <v/>
      </c>
      <c r="AP290">
        <f>IFERROR(INDEX(PP_Grid[#Data],$DE290,39),0)</f>
        <v/>
      </c>
      <c r="AQ290">
        <f>IFERROR(INDEX(PP_Grid[#Data],$DE290,40),0)</f>
        <v/>
      </c>
      <c r="AR290">
        <f>IFERROR(INDEX(PP_Grid[#Data],$DE290,41),0)</f>
        <v/>
      </c>
      <c r="AS290">
        <f>IFERROR(INDEX(PP_Grid[#Data],$DE290,42),0)</f>
        <v/>
      </c>
      <c r="AT290">
        <f>IFERROR(INDEX(PP_Grid[#Data],$DE290,43),0)</f>
        <v/>
      </c>
      <c r="AU290">
        <f>IFERROR(INDEX(PP_Grid[#Data],$DE290,44),0)</f>
        <v/>
      </c>
      <c r="AV290">
        <f>IFERROR(INDEX(PP_Grid[#Data],$DE290,45),0)</f>
        <v/>
      </c>
      <c r="AW290">
        <f>IFERROR(INDEX(PP_Grid[#Data],$DE290,46),0)</f>
        <v/>
      </c>
      <c r="AX290">
        <f>IFERROR(INDEX(PP_Grid[#Data],$DE290,47),0)</f>
        <v/>
      </c>
      <c r="AY290">
        <f>IFERROR(INDEX(PP_Grid[#Data],$DE290,48),0)</f>
        <v/>
      </c>
      <c r="AZ290">
        <f>IFERROR(INDEX(PP_Grid[#Data],$DE290,49),0)</f>
        <v/>
      </c>
      <c r="BA290">
        <f>IFERROR(INDEX(PP_Grid[#Data],$DE290,50),0)</f>
        <v/>
      </c>
      <c r="BB290">
        <f>IFERROR(INDEX(PP_Grid[#Data],$DE290,51),0)</f>
        <v/>
      </c>
      <c r="BC290">
        <f>IFERROR(INDEX(PP_Grid[#Data],$DE290,52),0)</f>
        <v/>
      </c>
      <c r="BD290">
        <f>IFERROR(INDEX(PP_Grid[#Data],$DE290,53),0)</f>
        <v/>
      </c>
      <c r="BE290">
        <f>IFERROR(INDEX(PP_Grid[#Data],$DE290,54),0)</f>
        <v/>
      </c>
      <c r="BF290">
        <f>IFERROR(INDEX(PP_Grid[#Data],$DE290,55),0)</f>
        <v/>
      </c>
      <c r="BG290">
        <f>IFERROR(INDEX(PP_Grid[#Data],$DE290,56),0)</f>
        <v/>
      </c>
      <c r="BH290">
        <f>IFERROR(INDEX(PP_Grid[#Data],$DE290,57),0)</f>
        <v/>
      </c>
      <c r="BI290">
        <f>IFERROR(INDEX(PP_Grid[#Data],$DE290,58),0)</f>
        <v/>
      </c>
      <c r="BJ290">
        <f>IFERROR(INDEX(PP_Grid[#Data],$DE290,59),0)</f>
        <v/>
      </c>
      <c r="BK290">
        <f>IFERROR(INDEX(PP_Grid[#Data],$DE290,60),0)</f>
        <v/>
      </c>
      <c r="BL290">
        <f>IFERROR(INDEX(PP_Grid[#Data],$DE290,61),0)</f>
        <v/>
      </c>
      <c r="BM290">
        <f>IFERROR(INDEX(PP_Grid[#Data],$DE290,62),0)</f>
        <v/>
      </c>
      <c r="BN290">
        <f>IFERROR(INDEX(PP_Grid[#Data],$DE290,63),0)</f>
        <v/>
      </c>
      <c r="BO290">
        <f>IFERROR(INDEX(PP_Grid[#Data],$DE290,64),0)</f>
        <v/>
      </c>
      <c r="BP290">
        <f>IFERROR(INDEX(PP_Grid[#Data],$DE290,65),0)</f>
        <v/>
      </c>
      <c r="BQ290">
        <f>IFERROR(INDEX(PP_Grid[#Data],$DE290,66),0)</f>
        <v/>
      </c>
      <c r="BR290">
        <f>IFERROR(INDEX(PP_Grid[#Data],$DE290,67),0)</f>
        <v/>
      </c>
      <c r="BS290">
        <f>IFERROR(INDEX(PP_Grid[#Data],$DE290,68),0)</f>
        <v/>
      </c>
      <c r="BT290">
        <f>IFERROR(INDEX(PP_Grid[#Data],$DE290,69),0)</f>
        <v/>
      </c>
      <c r="BU290">
        <f>IFERROR(INDEX(PP_Grid[#Data],$DE290,70),0)</f>
        <v/>
      </c>
      <c r="BV290">
        <f>IFERROR(INDEX(PP_Grid[#Data],$DE290,71),0)</f>
        <v/>
      </c>
      <c r="BW290">
        <f>IFERROR(INDEX(PP_Grid[#Data],$DE290,72),0)</f>
        <v/>
      </c>
      <c r="BX290">
        <f>IFERROR(INDEX(PP_Grid[#Data],$DE290,73),0)</f>
        <v/>
      </c>
      <c r="BY290">
        <f>IFERROR(INDEX(PP_Grid[#Data],$DE290,74),0)</f>
        <v/>
      </c>
      <c r="BZ290">
        <f>IFERROR(INDEX(PP_Grid[#Data],$DE290,75),0)</f>
        <v/>
      </c>
      <c r="CA290">
        <f>IFERROR(INDEX(PP_Grid[#Data],$DE290,76),0)</f>
        <v/>
      </c>
      <c r="CB290">
        <f>IFERROR(INDEX(PP_Grid[#Data],$DE290,77),0)</f>
        <v/>
      </c>
      <c r="CC290">
        <f>IFERROR(INDEX(PP_Grid[#Data],$DE290,78),0)</f>
        <v/>
      </c>
      <c r="CD290">
        <f>IFERROR(INDEX(PP_Grid[#Data],$DE290,79),0)</f>
        <v/>
      </c>
      <c r="CE290">
        <f>IFERROR(INDEX(PP_Grid[#Data],$DE290,80),0)</f>
        <v/>
      </c>
      <c r="CF290">
        <f>IFERROR(INDEX(PP_Grid[#Data],$DE290,81),0)</f>
        <v/>
      </c>
      <c r="CG290">
        <f>IFERROR(INDEX(PP_Grid[#Data],$DE290,82),0)</f>
        <v/>
      </c>
      <c r="CH290">
        <f>IFERROR(INDEX(PP_Grid[#Data],$DE290,83),0)</f>
        <v/>
      </c>
      <c r="CI290">
        <f>IFERROR(INDEX(PP_Grid[#Data],$DE290,84),0)</f>
        <v/>
      </c>
      <c r="CJ290">
        <f>IFERROR(INDEX(PP_Grid[#Data],$DE290,85),0)</f>
        <v/>
      </c>
      <c r="CK290">
        <f>IFERROR(INDEX(PP_Grid[#Data],$DE290,86),0)</f>
        <v/>
      </c>
      <c r="CL290">
        <f>IFERROR(INDEX(PP_Grid[#Data],$DE290,87),0)</f>
        <v/>
      </c>
      <c r="CM290">
        <f>IFERROR(INDEX(PP_Grid[#Data],$DE290,88),0)</f>
        <v/>
      </c>
      <c r="CN290">
        <f>IFERROR(INDEX(PP_Grid[#Data],$DE290,89),0)</f>
        <v/>
      </c>
      <c r="CO290">
        <f>IFERROR(INDEX(PP_Grid[#Data],$DE290,90),0)</f>
        <v/>
      </c>
      <c r="CP290">
        <f>IFERROR(INDEX(PP_Grid[#Data],$DE290,91),0)</f>
        <v/>
      </c>
      <c r="CQ290">
        <f>IFERROR(INDEX(PP_Grid[#Data],$DE290,92),0)</f>
        <v/>
      </c>
      <c r="CR290">
        <f>IFERROR(INDEX(PP_Grid[#Data],$DE290,93),0)</f>
        <v/>
      </c>
      <c r="CS290">
        <f>IFERROR(INDEX(PP_Grid[#Data],$DE290,94),0)</f>
        <v/>
      </c>
      <c r="CT290">
        <f>IFERROR(INDEX(PP_Grid[#Data],$DE290,95),0)</f>
        <v/>
      </c>
      <c r="CU290">
        <f>IFERROR(INDEX(PP_Grid[#Data],$DE290,96),0)</f>
        <v/>
      </c>
      <c r="CV290">
        <f>IFERROR(INDEX(PP_Grid[#Data],$DE290,97),0)</f>
        <v/>
      </c>
      <c r="CW290">
        <f>IFERROR(INDEX(PP_Grid[#Data],$DE290,98),0)</f>
        <v/>
      </c>
      <c r="CX290">
        <f>IFERROR(INDEX(PP_Grid[#Data],$DE290,99),0)</f>
        <v/>
      </c>
      <c r="CY290">
        <f>IFERROR(INDEX(PP_Grid[#Data],$DE290,100),0)</f>
        <v/>
      </c>
      <c r="CZ290">
        <f>IFERROR(INDEX(PP_Grid[#Data],$DE290,101),0)</f>
        <v/>
      </c>
      <c r="DA290">
        <f>IFERROR(INDEX(PP_Grid[#Data],$DE290,102),0)</f>
        <v/>
      </c>
      <c r="DB290">
        <f>IFERROR(INDEX(PP_Grid[#Data],$DE290,103),0)</f>
        <v/>
      </c>
      <c r="DC290">
        <f>IFERROR(INDEX(PP_Grid[#Data],$DE290,104),0)</f>
        <v/>
      </c>
      <c r="DD290">
        <f>IFERROR(INDEX(PP_Grid[#Data],$DE290,105),0)</f>
        <v/>
      </c>
      <c r="DE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SUMIFS(M_BOM[RM_Qty_Per_Batch],M_BOM[Intermediate],$B290,M_BOM[RM_Code],$A199)</f>
        <v/>
      </c>
      <c r="D291">
        <f>IFERROR(INDEX(E291:DD291,$F$1),"")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  <c r="DD291">
        <f>$C291*DD290</f>
        <v/>
      </c>
    </row>
    <row r="292">
      <c r="B292" t="inlineStr">
        <is>
          <t>TSP-1445</t>
        </is>
      </c>
      <c r="C292" t="inlineStr">
        <is>
          <t>No. of batches</t>
        </is>
      </c>
      <c r="D292">
        <f>IFERROR(INDEX(E292:DD292,$F$1),"")</f>
        <v/>
      </c>
      <c r="E292">
        <f>IFERROR(INDEX(PP_Grid[#Data],$DE292,2),0)</f>
        <v/>
      </c>
      <c r="F292">
        <f>IFERROR(INDEX(PP_Grid[#Data],$DE292,3),0)</f>
        <v/>
      </c>
      <c r="G292">
        <f>IFERROR(INDEX(PP_Grid[#Data],$DE292,4),0)</f>
        <v/>
      </c>
      <c r="H292">
        <f>IFERROR(INDEX(PP_Grid[#Data],$DE292,5),0)</f>
        <v/>
      </c>
      <c r="I292">
        <f>IFERROR(INDEX(PP_Grid[#Data],$DE292,6),0)</f>
        <v/>
      </c>
      <c r="J292">
        <f>IFERROR(INDEX(PP_Grid[#Data],$DE292,7),0)</f>
        <v/>
      </c>
      <c r="K292">
        <f>IFERROR(INDEX(PP_Grid[#Data],$DE292,8),0)</f>
        <v/>
      </c>
      <c r="L292">
        <f>IFERROR(INDEX(PP_Grid[#Data],$DE292,9),0)</f>
        <v/>
      </c>
      <c r="M292">
        <f>IFERROR(INDEX(PP_Grid[#Data],$DE292,10),0)</f>
        <v/>
      </c>
      <c r="N292">
        <f>IFERROR(INDEX(PP_Grid[#Data],$DE292,11),0)</f>
        <v/>
      </c>
      <c r="O292">
        <f>IFERROR(INDEX(PP_Grid[#Data],$DE292,12),0)</f>
        <v/>
      </c>
      <c r="P292">
        <f>IFERROR(INDEX(PP_Grid[#Data],$DE292,13),0)</f>
        <v/>
      </c>
      <c r="Q292">
        <f>IFERROR(INDEX(PP_Grid[#Data],$DE292,14),0)</f>
        <v/>
      </c>
      <c r="R292">
        <f>IFERROR(INDEX(PP_Grid[#Data],$DE292,15),0)</f>
        <v/>
      </c>
      <c r="S292">
        <f>IFERROR(INDEX(PP_Grid[#Data],$DE292,16),0)</f>
        <v/>
      </c>
      <c r="T292">
        <f>IFERROR(INDEX(PP_Grid[#Data],$DE292,17),0)</f>
        <v/>
      </c>
      <c r="U292">
        <f>IFERROR(INDEX(PP_Grid[#Data],$DE292,18),0)</f>
        <v/>
      </c>
      <c r="V292">
        <f>IFERROR(INDEX(PP_Grid[#Data],$DE292,19),0)</f>
        <v/>
      </c>
      <c r="W292">
        <f>IFERROR(INDEX(PP_Grid[#Data],$DE292,20),0)</f>
        <v/>
      </c>
      <c r="X292">
        <f>IFERROR(INDEX(PP_Grid[#Data],$DE292,21),0)</f>
        <v/>
      </c>
      <c r="Y292">
        <f>IFERROR(INDEX(PP_Grid[#Data],$DE292,22),0)</f>
        <v/>
      </c>
      <c r="Z292">
        <f>IFERROR(INDEX(PP_Grid[#Data],$DE292,23),0)</f>
        <v/>
      </c>
      <c r="AA292">
        <f>IFERROR(INDEX(PP_Grid[#Data],$DE292,24),0)</f>
        <v/>
      </c>
      <c r="AB292">
        <f>IFERROR(INDEX(PP_Grid[#Data],$DE292,25),0)</f>
        <v/>
      </c>
      <c r="AC292">
        <f>IFERROR(INDEX(PP_Grid[#Data],$DE292,26),0)</f>
        <v/>
      </c>
      <c r="AD292">
        <f>IFERROR(INDEX(PP_Grid[#Data],$DE292,27),0)</f>
        <v/>
      </c>
      <c r="AE292">
        <f>IFERROR(INDEX(PP_Grid[#Data],$DE292,28),0)</f>
        <v/>
      </c>
      <c r="AF292">
        <f>IFERROR(INDEX(PP_Grid[#Data],$DE292,29),0)</f>
        <v/>
      </c>
      <c r="AG292">
        <f>IFERROR(INDEX(PP_Grid[#Data],$DE292,30),0)</f>
        <v/>
      </c>
      <c r="AH292">
        <f>IFERROR(INDEX(PP_Grid[#Data],$DE292,31),0)</f>
        <v/>
      </c>
      <c r="AI292">
        <f>IFERROR(INDEX(PP_Grid[#Data],$DE292,32),0)</f>
        <v/>
      </c>
      <c r="AJ292">
        <f>IFERROR(INDEX(PP_Grid[#Data],$DE292,33),0)</f>
        <v/>
      </c>
      <c r="AK292">
        <f>IFERROR(INDEX(PP_Grid[#Data],$DE292,34),0)</f>
        <v/>
      </c>
      <c r="AL292">
        <f>IFERROR(INDEX(PP_Grid[#Data],$DE292,35),0)</f>
        <v/>
      </c>
      <c r="AM292">
        <f>IFERROR(INDEX(PP_Grid[#Data],$DE292,36),0)</f>
        <v/>
      </c>
      <c r="AN292">
        <f>IFERROR(INDEX(PP_Grid[#Data],$DE292,37),0)</f>
        <v/>
      </c>
      <c r="AO292">
        <f>IFERROR(INDEX(PP_Grid[#Data],$DE292,38),0)</f>
        <v/>
      </c>
      <c r="AP292">
        <f>IFERROR(INDEX(PP_Grid[#Data],$DE292,39),0)</f>
        <v/>
      </c>
      <c r="AQ292">
        <f>IFERROR(INDEX(PP_Grid[#Data],$DE292,40),0)</f>
        <v/>
      </c>
      <c r="AR292">
        <f>IFERROR(INDEX(PP_Grid[#Data],$DE292,41),0)</f>
        <v/>
      </c>
      <c r="AS292">
        <f>IFERROR(INDEX(PP_Grid[#Data],$DE292,42),0)</f>
        <v/>
      </c>
      <c r="AT292">
        <f>IFERROR(INDEX(PP_Grid[#Data],$DE292,43),0)</f>
        <v/>
      </c>
      <c r="AU292">
        <f>IFERROR(INDEX(PP_Grid[#Data],$DE292,44),0)</f>
        <v/>
      </c>
      <c r="AV292">
        <f>IFERROR(INDEX(PP_Grid[#Data],$DE292,45),0)</f>
        <v/>
      </c>
      <c r="AW292">
        <f>IFERROR(INDEX(PP_Grid[#Data],$DE292,46),0)</f>
        <v/>
      </c>
      <c r="AX292">
        <f>IFERROR(INDEX(PP_Grid[#Data],$DE292,47),0)</f>
        <v/>
      </c>
      <c r="AY292">
        <f>IFERROR(INDEX(PP_Grid[#Data],$DE292,48),0)</f>
        <v/>
      </c>
      <c r="AZ292">
        <f>IFERROR(INDEX(PP_Grid[#Data],$DE292,49),0)</f>
        <v/>
      </c>
      <c r="BA292">
        <f>IFERROR(INDEX(PP_Grid[#Data],$DE292,50),0)</f>
        <v/>
      </c>
      <c r="BB292">
        <f>IFERROR(INDEX(PP_Grid[#Data],$DE292,51),0)</f>
        <v/>
      </c>
      <c r="BC292">
        <f>IFERROR(INDEX(PP_Grid[#Data],$DE292,52),0)</f>
        <v/>
      </c>
      <c r="BD292">
        <f>IFERROR(INDEX(PP_Grid[#Data],$DE292,53),0)</f>
        <v/>
      </c>
      <c r="BE292">
        <f>IFERROR(INDEX(PP_Grid[#Data],$DE292,54),0)</f>
        <v/>
      </c>
      <c r="BF292">
        <f>IFERROR(INDEX(PP_Grid[#Data],$DE292,55),0)</f>
        <v/>
      </c>
      <c r="BG292">
        <f>IFERROR(INDEX(PP_Grid[#Data],$DE292,56),0)</f>
        <v/>
      </c>
      <c r="BH292">
        <f>IFERROR(INDEX(PP_Grid[#Data],$DE292,57),0)</f>
        <v/>
      </c>
      <c r="BI292">
        <f>IFERROR(INDEX(PP_Grid[#Data],$DE292,58),0)</f>
        <v/>
      </c>
      <c r="BJ292">
        <f>IFERROR(INDEX(PP_Grid[#Data],$DE292,59),0)</f>
        <v/>
      </c>
      <c r="BK292">
        <f>IFERROR(INDEX(PP_Grid[#Data],$DE292,60),0)</f>
        <v/>
      </c>
      <c r="BL292">
        <f>IFERROR(INDEX(PP_Grid[#Data],$DE292,61),0)</f>
        <v/>
      </c>
      <c r="BM292">
        <f>IFERROR(INDEX(PP_Grid[#Data],$DE292,62),0)</f>
        <v/>
      </c>
      <c r="BN292">
        <f>IFERROR(INDEX(PP_Grid[#Data],$DE292,63),0)</f>
        <v/>
      </c>
      <c r="BO292">
        <f>IFERROR(INDEX(PP_Grid[#Data],$DE292,64),0)</f>
        <v/>
      </c>
      <c r="BP292">
        <f>IFERROR(INDEX(PP_Grid[#Data],$DE292,65),0)</f>
        <v/>
      </c>
      <c r="BQ292">
        <f>IFERROR(INDEX(PP_Grid[#Data],$DE292,66),0)</f>
        <v/>
      </c>
      <c r="BR292">
        <f>IFERROR(INDEX(PP_Grid[#Data],$DE292,67),0)</f>
        <v/>
      </c>
      <c r="BS292">
        <f>IFERROR(INDEX(PP_Grid[#Data],$DE292,68),0)</f>
        <v/>
      </c>
      <c r="BT292">
        <f>IFERROR(INDEX(PP_Grid[#Data],$DE292,69),0)</f>
        <v/>
      </c>
      <c r="BU292">
        <f>IFERROR(INDEX(PP_Grid[#Data],$DE292,70),0)</f>
        <v/>
      </c>
      <c r="BV292">
        <f>IFERROR(INDEX(PP_Grid[#Data],$DE292,71),0)</f>
        <v/>
      </c>
      <c r="BW292">
        <f>IFERROR(INDEX(PP_Grid[#Data],$DE292,72),0)</f>
        <v/>
      </c>
      <c r="BX292">
        <f>IFERROR(INDEX(PP_Grid[#Data],$DE292,73),0)</f>
        <v/>
      </c>
      <c r="BY292">
        <f>IFERROR(INDEX(PP_Grid[#Data],$DE292,74),0)</f>
        <v/>
      </c>
      <c r="BZ292">
        <f>IFERROR(INDEX(PP_Grid[#Data],$DE292,75),0)</f>
        <v/>
      </c>
      <c r="CA292">
        <f>IFERROR(INDEX(PP_Grid[#Data],$DE292,76),0)</f>
        <v/>
      </c>
      <c r="CB292">
        <f>IFERROR(INDEX(PP_Grid[#Data],$DE292,77),0)</f>
        <v/>
      </c>
      <c r="CC292">
        <f>IFERROR(INDEX(PP_Grid[#Data],$DE292,78),0)</f>
        <v/>
      </c>
      <c r="CD292">
        <f>IFERROR(INDEX(PP_Grid[#Data],$DE292,79),0)</f>
        <v/>
      </c>
      <c r="CE292">
        <f>IFERROR(INDEX(PP_Grid[#Data],$DE292,80),0)</f>
        <v/>
      </c>
      <c r="CF292">
        <f>IFERROR(INDEX(PP_Grid[#Data],$DE292,81),0)</f>
        <v/>
      </c>
      <c r="CG292">
        <f>IFERROR(INDEX(PP_Grid[#Data],$DE292,82),0)</f>
        <v/>
      </c>
      <c r="CH292">
        <f>IFERROR(INDEX(PP_Grid[#Data],$DE292,83),0)</f>
        <v/>
      </c>
      <c r="CI292">
        <f>IFERROR(INDEX(PP_Grid[#Data],$DE292,84),0)</f>
        <v/>
      </c>
      <c r="CJ292">
        <f>IFERROR(INDEX(PP_Grid[#Data],$DE292,85),0)</f>
        <v/>
      </c>
      <c r="CK292">
        <f>IFERROR(INDEX(PP_Grid[#Data],$DE292,86),0)</f>
        <v/>
      </c>
      <c r="CL292">
        <f>IFERROR(INDEX(PP_Grid[#Data],$DE292,87),0)</f>
        <v/>
      </c>
      <c r="CM292">
        <f>IFERROR(INDEX(PP_Grid[#Data],$DE292,88),0)</f>
        <v/>
      </c>
      <c r="CN292">
        <f>IFERROR(INDEX(PP_Grid[#Data],$DE292,89),0)</f>
        <v/>
      </c>
      <c r="CO292">
        <f>IFERROR(INDEX(PP_Grid[#Data],$DE292,90),0)</f>
        <v/>
      </c>
      <c r="CP292">
        <f>IFERROR(INDEX(PP_Grid[#Data],$DE292,91),0)</f>
        <v/>
      </c>
      <c r="CQ292">
        <f>IFERROR(INDEX(PP_Grid[#Data],$DE292,92),0)</f>
        <v/>
      </c>
      <c r="CR292">
        <f>IFERROR(INDEX(PP_Grid[#Data],$DE292,93),0)</f>
        <v/>
      </c>
      <c r="CS292">
        <f>IFERROR(INDEX(PP_Grid[#Data],$DE292,94),0)</f>
        <v/>
      </c>
      <c r="CT292">
        <f>IFERROR(INDEX(PP_Grid[#Data],$DE292,95),0)</f>
        <v/>
      </c>
      <c r="CU292">
        <f>IFERROR(INDEX(PP_Grid[#Data],$DE292,96),0)</f>
        <v/>
      </c>
      <c r="CV292">
        <f>IFERROR(INDEX(PP_Grid[#Data],$DE292,97),0)</f>
        <v/>
      </c>
      <c r="CW292">
        <f>IFERROR(INDEX(PP_Grid[#Data],$DE292,98),0)</f>
        <v/>
      </c>
      <c r="CX292">
        <f>IFERROR(INDEX(PP_Grid[#Data],$DE292,99),0)</f>
        <v/>
      </c>
      <c r="CY292">
        <f>IFERROR(INDEX(PP_Grid[#Data],$DE292,100),0)</f>
        <v/>
      </c>
      <c r="CZ292">
        <f>IFERROR(INDEX(PP_Grid[#Data],$DE292,101),0)</f>
        <v/>
      </c>
      <c r="DA292">
        <f>IFERROR(INDEX(PP_Grid[#Data],$DE292,102),0)</f>
        <v/>
      </c>
      <c r="DB292">
        <f>IFERROR(INDEX(PP_Grid[#Data],$DE292,103),0)</f>
        <v/>
      </c>
      <c r="DC292">
        <f>IFERROR(INDEX(PP_Grid[#Data],$DE292,104),0)</f>
        <v/>
      </c>
      <c r="DD292">
        <f>IFERROR(INDEX(PP_Grid[#Data],$DE292,105),0)</f>
        <v/>
      </c>
      <c r="DE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SUMIFS(M_BOM[RM_Qty_Per_Batch],M_BOM[Intermediate],$B292,M_BOM[RM_Code],$A199)</f>
        <v/>
      </c>
      <c r="D293">
        <f>IFERROR(INDEX(E293:DD293,$F$1),"")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  <c r="DD293">
        <f>$C293*DD292</f>
        <v/>
      </c>
    </row>
    <row r="294">
      <c r="B294" t="inlineStr">
        <is>
          <t>TSP-1446</t>
        </is>
      </c>
      <c r="C294" t="inlineStr">
        <is>
          <t>No. of batches</t>
        </is>
      </c>
      <c r="D294">
        <f>IFERROR(INDEX(E294:DD294,$F$1),"")</f>
        <v/>
      </c>
      <c r="E294">
        <f>IFERROR(INDEX(PP_Grid[#Data],$DE294,2),0)</f>
        <v/>
      </c>
      <c r="F294">
        <f>IFERROR(INDEX(PP_Grid[#Data],$DE294,3),0)</f>
        <v/>
      </c>
      <c r="G294">
        <f>IFERROR(INDEX(PP_Grid[#Data],$DE294,4),0)</f>
        <v/>
      </c>
      <c r="H294">
        <f>IFERROR(INDEX(PP_Grid[#Data],$DE294,5),0)</f>
        <v/>
      </c>
      <c r="I294">
        <f>IFERROR(INDEX(PP_Grid[#Data],$DE294,6),0)</f>
        <v/>
      </c>
      <c r="J294">
        <f>IFERROR(INDEX(PP_Grid[#Data],$DE294,7),0)</f>
        <v/>
      </c>
      <c r="K294">
        <f>IFERROR(INDEX(PP_Grid[#Data],$DE294,8),0)</f>
        <v/>
      </c>
      <c r="L294">
        <f>IFERROR(INDEX(PP_Grid[#Data],$DE294,9),0)</f>
        <v/>
      </c>
      <c r="M294">
        <f>IFERROR(INDEX(PP_Grid[#Data],$DE294,10),0)</f>
        <v/>
      </c>
      <c r="N294">
        <f>IFERROR(INDEX(PP_Grid[#Data],$DE294,11),0)</f>
        <v/>
      </c>
      <c r="O294">
        <f>IFERROR(INDEX(PP_Grid[#Data],$DE294,12),0)</f>
        <v/>
      </c>
      <c r="P294">
        <f>IFERROR(INDEX(PP_Grid[#Data],$DE294,13),0)</f>
        <v/>
      </c>
      <c r="Q294">
        <f>IFERROR(INDEX(PP_Grid[#Data],$DE294,14),0)</f>
        <v/>
      </c>
      <c r="R294">
        <f>IFERROR(INDEX(PP_Grid[#Data],$DE294,15),0)</f>
        <v/>
      </c>
      <c r="S294">
        <f>IFERROR(INDEX(PP_Grid[#Data],$DE294,16),0)</f>
        <v/>
      </c>
      <c r="T294">
        <f>IFERROR(INDEX(PP_Grid[#Data],$DE294,17),0)</f>
        <v/>
      </c>
      <c r="U294">
        <f>IFERROR(INDEX(PP_Grid[#Data],$DE294,18),0)</f>
        <v/>
      </c>
      <c r="V294">
        <f>IFERROR(INDEX(PP_Grid[#Data],$DE294,19),0)</f>
        <v/>
      </c>
      <c r="W294">
        <f>IFERROR(INDEX(PP_Grid[#Data],$DE294,20),0)</f>
        <v/>
      </c>
      <c r="X294">
        <f>IFERROR(INDEX(PP_Grid[#Data],$DE294,21),0)</f>
        <v/>
      </c>
      <c r="Y294">
        <f>IFERROR(INDEX(PP_Grid[#Data],$DE294,22),0)</f>
        <v/>
      </c>
      <c r="Z294">
        <f>IFERROR(INDEX(PP_Grid[#Data],$DE294,23),0)</f>
        <v/>
      </c>
      <c r="AA294">
        <f>IFERROR(INDEX(PP_Grid[#Data],$DE294,24),0)</f>
        <v/>
      </c>
      <c r="AB294">
        <f>IFERROR(INDEX(PP_Grid[#Data],$DE294,25),0)</f>
        <v/>
      </c>
      <c r="AC294">
        <f>IFERROR(INDEX(PP_Grid[#Data],$DE294,26),0)</f>
        <v/>
      </c>
      <c r="AD294">
        <f>IFERROR(INDEX(PP_Grid[#Data],$DE294,27),0)</f>
        <v/>
      </c>
      <c r="AE294">
        <f>IFERROR(INDEX(PP_Grid[#Data],$DE294,28),0)</f>
        <v/>
      </c>
      <c r="AF294">
        <f>IFERROR(INDEX(PP_Grid[#Data],$DE294,29),0)</f>
        <v/>
      </c>
      <c r="AG294">
        <f>IFERROR(INDEX(PP_Grid[#Data],$DE294,30),0)</f>
        <v/>
      </c>
      <c r="AH294">
        <f>IFERROR(INDEX(PP_Grid[#Data],$DE294,31),0)</f>
        <v/>
      </c>
      <c r="AI294">
        <f>IFERROR(INDEX(PP_Grid[#Data],$DE294,32),0)</f>
        <v/>
      </c>
      <c r="AJ294">
        <f>IFERROR(INDEX(PP_Grid[#Data],$DE294,33),0)</f>
        <v/>
      </c>
      <c r="AK294">
        <f>IFERROR(INDEX(PP_Grid[#Data],$DE294,34),0)</f>
        <v/>
      </c>
      <c r="AL294">
        <f>IFERROR(INDEX(PP_Grid[#Data],$DE294,35),0)</f>
        <v/>
      </c>
      <c r="AM294">
        <f>IFERROR(INDEX(PP_Grid[#Data],$DE294,36),0)</f>
        <v/>
      </c>
      <c r="AN294">
        <f>IFERROR(INDEX(PP_Grid[#Data],$DE294,37),0)</f>
        <v/>
      </c>
      <c r="AO294">
        <f>IFERROR(INDEX(PP_Grid[#Data],$DE294,38),0)</f>
        <v/>
      </c>
      <c r="AP294">
        <f>IFERROR(INDEX(PP_Grid[#Data],$DE294,39),0)</f>
        <v/>
      </c>
      <c r="AQ294">
        <f>IFERROR(INDEX(PP_Grid[#Data],$DE294,40),0)</f>
        <v/>
      </c>
      <c r="AR294">
        <f>IFERROR(INDEX(PP_Grid[#Data],$DE294,41),0)</f>
        <v/>
      </c>
      <c r="AS294">
        <f>IFERROR(INDEX(PP_Grid[#Data],$DE294,42),0)</f>
        <v/>
      </c>
      <c r="AT294">
        <f>IFERROR(INDEX(PP_Grid[#Data],$DE294,43),0)</f>
        <v/>
      </c>
      <c r="AU294">
        <f>IFERROR(INDEX(PP_Grid[#Data],$DE294,44),0)</f>
        <v/>
      </c>
      <c r="AV294">
        <f>IFERROR(INDEX(PP_Grid[#Data],$DE294,45),0)</f>
        <v/>
      </c>
      <c r="AW294">
        <f>IFERROR(INDEX(PP_Grid[#Data],$DE294,46),0)</f>
        <v/>
      </c>
      <c r="AX294">
        <f>IFERROR(INDEX(PP_Grid[#Data],$DE294,47),0)</f>
        <v/>
      </c>
      <c r="AY294">
        <f>IFERROR(INDEX(PP_Grid[#Data],$DE294,48),0)</f>
        <v/>
      </c>
      <c r="AZ294">
        <f>IFERROR(INDEX(PP_Grid[#Data],$DE294,49),0)</f>
        <v/>
      </c>
      <c r="BA294">
        <f>IFERROR(INDEX(PP_Grid[#Data],$DE294,50),0)</f>
        <v/>
      </c>
      <c r="BB294">
        <f>IFERROR(INDEX(PP_Grid[#Data],$DE294,51),0)</f>
        <v/>
      </c>
      <c r="BC294">
        <f>IFERROR(INDEX(PP_Grid[#Data],$DE294,52),0)</f>
        <v/>
      </c>
      <c r="BD294">
        <f>IFERROR(INDEX(PP_Grid[#Data],$DE294,53),0)</f>
        <v/>
      </c>
      <c r="BE294">
        <f>IFERROR(INDEX(PP_Grid[#Data],$DE294,54),0)</f>
        <v/>
      </c>
      <c r="BF294">
        <f>IFERROR(INDEX(PP_Grid[#Data],$DE294,55),0)</f>
        <v/>
      </c>
      <c r="BG294">
        <f>IFERROR(INDEX(PP_Grid[#Data],$DE294,56),0)</f>
        <v/>
      </c>
      <c r="BH294">
        <f>IFERROR(INDEX(PP_Grid[#Data],$DE294,57),0)</f>
        <v/>
      </c>
      <c r="BI294">
        <f>IFERROR(INDEX(PP_Grid[#Data],$DE294,58),0)</f>
        <v/>
      </c>
      <c r="BJ294">
        <f>IFERROR(INDEX(PP_Grid[#Data],$DE294,59),0)</f>
        <v/>
      </c>
      <c r="BK294">
        <f>IFERROR(INDEX(PP_Grid[#Data],$DE294,60),0)</f>
        <v/>
      </c>
      <c r="BL294">
        <f>IFERROR(INDEX(PP_Grid[#Data],$DE294,61),0)</f>
        <v/>
      </c>
      <c r="BM294">
        <f>IFERROR(INDEX(PP_Grid[#Data],$DE294,62),0)</f>
        <v/>
      </c>
      <c r="BN294">
        <f>IFERROR(INDEX(PP_Grid[#Data],$DE294,63),0)</f>
        <v/>
      </c>
      <c r="BO294">
        <f>IFERROR(INDEX(PP_Grid[#Data],$DE294,64),0)</f>
        <v/>
      </c>
      <c r="BP294">
        <f>IFERROR(INDEX(PP_Grid[#Data],$DE294,65),0)</f>
        <v/>
      </c>
      <c r="BQ294">
        <f>IFERROR(INDEX(PP_Grid[#Data],$DE294,66),0)</f>
        <v/>
      </c>
      <c r="BR294">
        <f>IFERROR(INDEX(PP_Grid[#Data],$DE294,67),0)</f>
        <v/>
      </c>
      <c r="BS294">
        <f>IFERROR(INDEX(PP_Grid[#Data],$DE294,68),0)</f>
        <v/>
      </c>
      <c r="BT294">
        <f>IFERROR(INDEX(PP_Grid[#Data],$DE294,69),0)</f>
        <v/>
      </c>
      <c r="BU294">
        <f>IFERROR(INDEX(PP_Grid[#Data],$DE294,70),0)</f>
        <v/>
      </c>
      <c r="BV294">
        <f>IFERROR(INDEX(PP_Grid[#Data],$DE294,71),0)</f>
        <v/>
      </c>
      <c r="BW294">
        <f>IFERROR(INDEX(PP_Grid[#Data],$DE294,72),0)</f>
        <v/>
      </c>
      <c r="BX294">
        <f>IFERROR(INDEX(PP_Grid[#Data],$DE294,73),0)</f>
        <v/>
      </c>
      <c r="BY294">
        <f>IFERROR(INDEX(PP_Grid[#Data],$DE294,74),0)</f>
        <v/>
      </c>
      <c r="BZ294">
        <f>IFERROR(INDEX(PP_Grid[#Data],$DE294,75),0)</f>
        <v/>
      </c>
      <c r="CA294">
        <f>IFERROR(INDEX(PP_Grid[#Data],$DE294,76),0)</f>
        <v/>
      </c>
      <c r="CB294">
        <f>IFERROR(INDEX(PP_Grid[#Data],$DE294,77),0)</f>
        <v/>
      </c>
      <c r="CC294">
        <f>IFERROR(INDEX(PP_Grid[#Data],$DE294,78),0)</f>
        <v/>
      </c>
      <c r="CD294">
        <f>IFERROR(INDEX(PP_Grid[#Data],$DE294,79),0)</f>
        <v/>
      </c>
      <c r="CE294">
        <f>IFERROR(INDEX(PP_Grid[#Data],$DE294,80),0)</f>
        <v/>
      </c>
      <c r="CF294">
        <f>IFERROR(INDEX(PP_Grid[#Data],$DE294,81),0)</f>
        <v/>
      </c>
      <c r="CG294">
        <f>IFERROR(INDEX(PP_Grid[#Data],$DE294,82),0)</f>
        <v/>
      </c>
      <c r="CH294">
        <f>IFERROR(INDEX(PP_Grid[#Data],$DE294,83),0)</f>
        <v/>
      </c>
      <c r="CI294">
        <f>IFERROR(INDEX(PP_Grid[#Data],$DE294,84),0)</f>
        <v/>
      </c>
      <c r="CJ294">
        <f>IFERROR(INDEX(PP_Grid[#Data],$DE294,85),0)</f>
        <v/>
      </c>
      <c r="CK294">
        <f>IFERROR(INDEX(PP_Grid[#Data],$DE294,86),0)</f>
        <v/>
      </c>
      <c r="CL294">
        <f>IFERROR(INDEX(PP_Grid[#Data],$DE294,87),0)</f>
        <v/>
      </c>
      <c r="CM294">
        <f>IFERROR(INDEX(PP_Grid[#Data],$DE294,88),0)</f>
        <v/>
      </c>
      <c r="CN294">
        <f>IFERROR(INDEX(PP_Grid[#Data],$DE294,89),0)</f>
        <v/>
      </c>
      <c r="CO294">
        <f>IFERROR(INDEX(PP_Grid[#Data],$DE294,90),0)</f>
        <v/>
      </c>
      <c r="CP294">
        <f>IFERROR(INDEX(PP_Grid[#Data],$DE294,91),0)</f>
        <v/>
      </c>
      <c r="CQ294">
        <f>IFERROR(INDEX(PP_Grid[#Data],$DE294,92),0)</f>
        <v/>
      </c>
      <c r="CR294">
        <f>IFERROR(INDEX(PP_Grid[#Data],$DE294,93),0)</f>
        <v/>
      </c>
      <c r="CS294">
        <f>IFERROR(INDEX(PP_Grid[#Data],$DE294,94),0)</f>
        <v/>
      </c>
      <c r="CT294">
        <f>IFERROR(INDEX(PP_Grid[#Data],$DE294,95),0)</f>
        <v/>
      </c>
      <c r="CU294">
        <f>IFERROR(INDEX(PP_Grid[#Data],$DE294,96),0)</f>
        <v/>
      </c>
      <c r="CV294">
        <f>IFERROR(INDEX(PP_Grid[#Data],$DE294,97),0)</f>
        <v/>
      </c>
      <c r="CW294">
        <f>IFERROR(INDEX(PP_Grid[#Data],$DE294,98),0)</f>
        <v/>
      </c>
      <c r="CX294">
        <f>IFERROR(INDEX(PP_Grid[#Data],$DE294,99),0)</f>
        <v/>
      </c>
      <c r="CY294">
        <f>IFERROR(INDEX(PP_Grid[#Data],$DE294,100),0)</f>
        <v/>
      </c>
      <c r="CZ294">
        <f>IFERROR(INDEX(PP_Grid[#Data],$DE294,101),0)</f>
        <v/>
      </c>
      <c r="DA294">
        <f>IFERROR(INDEX(PP_Grid[#Data],$DE294,102),0)</f>
        <v/>
      </c>
      <c r="DB294">
        <f>IFERROR(INDEX(PP_Grid[#Data],$DE294,103),0)</f>
        <v/>
      </c>
      <c r="DC294">
        <f>IFERROR(INDEX(PP_Grid[#Data],$DE294,104),0)</f>
        <v/>
      </c>
      <c r="DD294">
        <f>IFERROR(INDEX(PP_Grid[#Data],$DE294,105),0)</f>
        <v/>
      </c>
      <c r="DE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SUMIFS(M_BOM[RM_Qty_Per_Batch],M_BOM[Intermediate],$B294,M_BOM[RM_Code],$A199)</f>
        <v/>
      </c>
      <c r="D295">
        <f>IFERROR(INDEX(E295:DD295,$F$1),"")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  <c r="DD295">
        <f>$C295*DD294</f>
        <v/>
      </c>
    </row>
    <row r="296">
      <c r="B296" t="inlineStr">
        <is>
          <t>TSP-1449</t>
        </is>
      </c>
      <c r="C296" t="inlineStr">
        <is>
          <t>No. of batches</t>
        </is>
      </c>
      <c r="D296">
        <f>IFERROR(INDEX(E296:DD296,$F$1),"")</f>
        <v/>
      </c>
      <c r="E296">
        <f>IFERROR(INDEX(PP_Grid[#Data],$DE296,2),0)</f>
        <v/>
      </c>
      <c r="F296">
        <f>IFERROR(INDEX(PP_Grid[#Data],$DE296,3),0)</f>
        <v/>
      </c>
      <c r="G296">
        <f>IFERROR(INDEX(PP_Grid[#Data],$DE296,4),0)</f>
        <v/>
      </c>
      <c r="H296">
        <f>IFERROR(INDEX(PP_Grid[#Data],$DE296,5),0)</f>
        <v/>
      </c>
      <c r="I296">
        <f>IFERROR(INDEX(PP_Grid[#Data],$DE296,6),0)</f>
        <v/>
      </c>
      <c r="J296">
        <f>IFERROR(INDEX(PP_Grid[#Data],$DE296,7),0)</f>
        <v/>
      </c>
      <c r="K296">
        <f>IFERROR(INDEX(PP_Grid[#Data],$DE296,8),0)</f>
        <v/>
      </c>
      <c r="L296">
        <f>IFERROR(INDEX(PP_Grid[#Data],$DE296,9),0)</f>
        <v/>
      </c>
      <c r="M296">
        <f>IFERROR(INDEX(PP_Grid[#Data],$DE296,10),0)</f>
        <v/>
      </c>
      <c r="N296">
        <f>IFERROR(INDEX(PP_Grid[#Data],$DE296,11),0)</f>
        <v/>
      </c>
      <c r="O296">
        <f>IFERROR(INDEX(PP_Grid[#Data],$DE296,12),0)</f>
        <v/>
      </c>
      <c r="P296">
        <f>IFERROR(INDEX(PP_Grid[#Data],$DE296,13),0)</f>
        <v/>
      </c>
      <c r="Q296">
        <f>IFERROR(INDEX(PP_Grid[#Data],$DE296,14),0)</f>
        <v/>
      </c>
      <c r="R296">
        <f>IFERROR(INDEX(PP_Grid[#Data],$DE296,15),0)</f>
        <v/>
      </c>
      <c r="S296">
        <f>IFERROR(INDEX(PP_Grid[#Data],$DE296,16),0)</f>
        <v/>
      </c>
      <c r="T296">
        <f>IFERROR(INDEX(PP_Grid[#Data],$DE296,17),0)</f>
        <v/>
      </c>
      <c r="U296">
        <f>IFERROR(INDEX(PP_Grid[#Data],$DE296,18),0)</f>
        <v/>
      </c>
      <c r="V296">
        <f>IFERROR(INDEX(PP_Grid[#Data],$DE296,19),0)</f>
        <v/>
      </c>
      <c r="W296">
        <f>IFERROR(INDEX(PP_Grid[#Data],$DE296,20),0)</f>
        <v/>
      </c>
      <c r="X296">
        <f>IFERROR(INDEX(PP_Grid[#Data],$DE296,21),0)</f>
        <v/>
      </c>
      <c r="Y296">
        <f>IFERROR(INDEX(PP_Grid[#Data],$DE296,22),0)</f>
        <v/>
      </c>
      <c r="Z296">
        <f>IFERROR(INDEX(PP_Grid[#Data],$DE296,23),0)</f>
        <v/>
      </c>
      <c r="AA296">
        <f>IFERROR(INDEX(PP_Grid[#Data],$DE296,24),0)</f>
        <v/>
      </c>
      <c r="AB296">
        <f>IFERROR(INDEX(PP_Grid[#Data],$DE296,25),0)</f>
        <v/>
      </c>
      <c r="AC296">
        <f>IFERROR(INDEX(PP_Grid[#Data],$DE296,26),0)</f>
        <v/>
      </c>
      <c r="AD296">
        <f>IFERROR(INDEX(PP_Grid[#Data],$DE296,27),0)</f>
        <v/>
      </c>
      <c r="AE296">
        <f>IFERROR(INDEX(PP_Grid[#Data],$DE296,28),0)</f>
        <v/>
      </c>
      <c r="AF296">
        <f>IFERROR(INDEX(PP_Grid[#Data],$DE296,29),0)</f>
        <v/>
      </c>
      <c r="AG296">
        <f>IFERROR(INDEX(PP_Grid[#Data],$DE296,30),0)</f>
        <v/>
      </c>
      <c r="AH296">
        <f>IFERROR(INDEX(PP_Grid[#Data],$DE296,31),0)</f>
        <v/>
      </c>
      <c r="AI296">
        <f>IFERROR(INDEX(PP_Grid[#Data],$DE296,32),0)</f>
        <v/>
      </c>
      <c r="AJ296">
        <f>IFERROR(INDEX(PP_Grid[#Data],$DE296,33),0)</f>
        <v/>
      </c>
      <c r="AK296">
        <f>IFERROR(INDEX(PP_Grid[#Data],$DE296,34),0)</f>
        <v/>
      </c>
      <c r="AL296">
        <f>IFERROR(INDEX(PP_Grid[#Data],$DE296,35),0)</f>
        <v/>
      </c>
      <c r="AM296">
        <f>IFERROR(INDEX(PP_Grid[#Data],$DE296,36),0)</f>
        <v/>
      </c>
      <c r="AN296">
        <f>IFERROR(INDEX(PP_Grid[#Data],$DE296,37),0)</f>
        <v/>
      </c>
      <c r="AO296">
        <f>IFERROR(INDEX(PP_Grid[#Data],$DE296,38),0)</f>
        <v/>
      </c>
      <c r="AP296">
        <f>IFERROR(INDEX(PP_Grid[#Data],$DE296,39),0)</f>
        <v/>
      </c>
      <c r="AQ296">
        <f>IFERROR(INDEX(PP_Grid[#Data],$DE296,40),0)</f>
        <v/>
      </c>
      <c r="AR296">
        <f>IFERROR(INDEX(PP_Grid[#Data],$DE296,41),0)</f>
        <v/>
      </c>
      <c r="AS296">
        <f>IFERROR(INDEX(PP_Grid[#Data],$DE296,42),0)</f>
        <v/>
      </c>
      <c r="AT296">
        <f>IFERROR(INDEX(PP_Grid[#Data],$DE296,43),0)</f>
        <v/>
      </c>
      <c r="AU296">
        <f>IFERROR(INDEX(PP_Grid[#Data],$DE296,44),0)</f>
        <v/>
      </c>
      <c r="AV296">
        <f>IFERROR(INDEX(PP_Grid[#Data],$DE296,45),0)</f>
        <v/>
      </c>
      <c r="AW296">
        <f>IFERROR(INDEX(PP_Grid[#Data],$DE296,46),0)</f>
        <v/>
      </c>
      <c r="AX296">
        <f>IFERROR(INDEX(PP_Grid[#Data],$DE296,47),0)</f>
        <v/>
      </c>
      <c r="AY296">
        <f>IFERROR(INDEX(PP_Grid[#Data],$DE296,48),0)</f>
        <v/>
      </c>
      <c r="AZ296">
        <f>IFERROR(INDEX(PP_Grid[#Data],$DE296,49),0)</f>
        <v/>
      </c>
      <c r="BA296">
        <f>IFERROR(INDEX(PP_Grid[#Data],$DE296,50),0)</f>
        <v/>
      </c>
      <c r="BB296">
        <f>IFERROR(INDEX(PP_Grid[#Data],$DE296,51),0)</f>
        <v/>
      </c>
      <c r="BC296">
        <f>IFERROR(INDEX(PP_Grid[#Data],$DE296,52),0)</f>
        <v/>
      </c>
      <c r="BD296">
        <f>IFERROR(INDEX(PP_Grid[#Data],$DE296,53),0)</f>
        <v/>
      </c>
      <c r="BE296">
        <f>IFERROR(INDEX(PP_Grid[#Data],$DE296,54),0)</f>
        <v/>
      </c>
      <c r="BF296">
        <f>IFERROR(INDEX(PP_Grid[#Data],$DE296,55),0)</f>
        <v/>
      </c>
      <c r="BG296">
        <f>IFERROR(INDEX(PP_Grid[#Data],$DE296,56),0)</f>
        <v/>
      </c>
      <c r="BH296">
        <f>IFERROR(INDEX(PP_Grid[#Data],$DE296,57),0)</f>
        <v/>
      </c>
      <c r="BI296">
        <f>IFERROR(INDEX(PP_Grid[#Data],$DE296,58),0)</f>
        <v/>
      </c>
      <c r="BJ296">
        <f>IFERROR(INDEX(PP_Grid[#Data],$DE296,59),0)</f>
        <v/>
      </c>
      <c r="BK296">
        <f>IFERROR(INDEX(PP_Grid[#Data],$DE296,60),0)</f>
        <v/>
      </c>
      <c r="BL296">
        <f>IFERROR(INDEX(PP_Grid[#Data],$DE296,61),0)</f>
        <v/>
      </c>
      <c r="BM296">
        <f>IFERROR(INDEX(PP_Grid[#Data],$DE296,62),0)</f>
        <v/>
      </c>
      <c r="BN296">
        <f>IFERROR(INDEX(PP_Grid[#Data],$DE296,63),0)</f>
        <v/>
      </c>
      <c r="BO296">
        <f>IFERROR(INDEX(PP_Grid[#Data],$DE296,64),0)</f>
        <v/>
      </c>
      <c r="BP296">
        <f>IFERROR(INDEX(PP_Grid[#Data],$DE296,65),0)</f>
        <v/>
      </c>
      <c r="BQ296">
        <f>IFERROR(INDEX(PP_Grid[#Data],$DE296,66),0)</f>
        <v/>
      </c>
      <c r="BR296">
        <f>IFERROR(INDEX(PP_Grid[#Data],$DE296,67),0)</f>
        <v/>
      </c>
      <c r="BS296">
        <f>IFERROR(INDEX(PP_Grid[#Data],$DE296,68),0)</f>
        <v/>
      </c>
      <c r="BT296">
        <f>IFERROR(INDEX(PP_Grid[#Data],$DE296,69),0)</f>
        <v/>
      </c>
      <c r="BU296">
        <f>IFERROR(INDEX(PP_Grid[#Data],$DE296,70),0)</f>
        <v/>
      </c>
      <c r="BV296">
        <f>IFERROR(INDEX(PP_Grid[#Data],$DE296,71),0)</f>
        <v/>
      </c>
      <c r="BW296">
        <f>IFERROR(INDEX(PP_Grid[#Data],$DE296,72),0)</f>
        <v/>
      </c>
      <c r="BX296">
        <f>IFERROR(INDEX(PP_Grid[#Data],$DE296,73),0)</f>
        <v/>
      </c>
      <c r="BY296">
        <f>IFERROR(INDEX(PP_Grid[#Data],$DE296,74),0)</f>
        <v/>
      </c>
      <c r="BZ296">
        <f>IFERROR(INDEX(PP_Grid[#Data],$DE296,75),0)</f>
        <v/>
      </c>
      <c r="CA296">
        <f>IFERROR(INDEX(PP_Grid[#Data],$DE296,76),0)</f>
        <v/>
      </c>
      <c r="CB296">
        <f>IFERROR(INDEX(PP_Grid[#Data],$DE296,77),0)</f>
        <v/>
      </c>
      <c r="CC296">
        <f>IFERROR(INDEX(PP_Grid[#Data],$DE296,78),0)</f>
        <v/>
      </c>
      <c r="CD296">
        <f>IFERROR(INDEX(PP_Grid[#Data],$DE296,79),0)</f>
        <v/>
      </c>
      <c r="CE296">
        <f>IFERROR(INDEX(PP_Grid[#Data],$DE296,80),0)</f>
        <v/>
      </c>
      <c r="CF296">
        <f>IFERROR(INDEX(PP_Grid[#Data],$DE296,81),0)</f>
        <v/>
      </c>
      <c r="CG296">
        <f>IFERROR(INDEX(PP_Grid[#Data],$DE296,82),0)</f>
        <v/>
      </c>
      <c r="CH296">
        <f>IFERROR(INDEX(PP_Grid[#Data],$DE296,83),0)</f>
        <v/>
      </c>
      <c r="CI296">
        <f>IFERROR(INDEX(PP_Grid[#Data],$DE296,84),0)</f>
        <v/>
      </c>
      <c r="CJ296">
        <f>IFERROR(INDEX(PP_Grid[#Data],$DE296,85),0)</f>
        <v/>
      </c>
      <c r="CK296">
        <f>IFERROR(INDEX(PP_Grid[#Data],$DE296,86),0)</f>
        <v/>
      </c>
      <c r="CL296">
        <f>IFERROR(INDEX(PP_Grid[#Data],$DE296,87),0)</f>
        <v/>
      </c>
      <c r="CM296">
        <f>IFERROR(INDEX(PP_Grid[#Data],$DE296,88),0)</f>
        <v/>
      </c>
      <c r="CN296">
        <f>IFERROR(INDEX(PP_Grid[#Data],$DE296,89),0)</f>
        <v/>
      </c>
      <c r="CO296">
        <f>IFERROR(INDEX(PP_Grid[#Data],$DE296,90),0)</f>
        <v/>
      </c>
      <c r="CP296">
        <f>IFERROR(INDEX(PP_Grid[#Data],$DE296,91),0)</f>
        <v/>
      </c>
      <c r="CQ296">
        <f>IFERROR(INDEX(PP_Grid[#Data],$DE296,92),0)</f>
        <v/>
      </c>
      <c r="CR296">
        <f>IFERROR(INDEX(PP_Grid[#Data],$DE296,93),0)</f>
        <v/>
      </c>
      <c r="CS296">
        <f>IFERROR(INDEX(PP_Grid[#Data],$DE296,94),0)</f>
        <v/>
      </c>
      <c r="CT296">
        <f>IFERROR(INDEX(PP_Grid[#Data],$DE296,95),0)</f>
        <v/>
      </c>
      <c r="CU296">
        <f>IFERROR(INDEX(PP_Grid[#Data],$DE296,96),0)</f>
        <v/>
      </c>
      <c r="CV296">
        <f>IFERROR(INDEX(PP_Grid[#Data],$DE296,97),0)</f>
        <v/>
      </c>
      <c r="CW296">
        <f>IFERROR(INDEX(PP_Grid[#Data],$DE296,98),0)</f>
        <v/>
      </c>
      <c r="CX296">
        <f>IFERROR(INDEX(PP_Grid[#Data],$DE296,99),0)</f>
        <v/>
      </c>
      <c r="CY296">
        <f>IFERROR(INDEX(PP_Grid[#Data],$DE296,100),0)</f>
        <v/>
      </c>
      <c r="CZ296">
        <f>IFERROR(INDEX(PP_Grid[#Data],$DE296,101),0)</f>
        <v/>
      </c>
      <c r="DA296">
        <f>IFERROR(INDEX(PP_Grid[#Data],$DE296,102),0)</f>
        <v/>
      </c>
      <c r="DB296">
        <f>IFERROR(INDEX(PP_Grid[#Data],$DE296,103),0)</f>
        <v/>
      </c>
      <c r="DC296">
        <f>IFERROR(INDEX(PP_Grid[#Data],$DE296,104),0)</f>
        <v/>
      </c>
      <c r="DD296">
        <f>IFERROR(INDEX(PP_Grid[#Data],$DE296,105),0)</f>
        <v/>
      </c>
      <c r="DE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SUMIFS(M_BOM[RM_Qty_Per_Batch],M_BOM[Intermediate],$B296,M_BOM[RM_Code],$A199)</f>
        <v/>
      </c>
      <c r="D297">
        <f>IFERROR(INDEX(E297:DD297,$F$1),"")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  <c r="DD297">
        <f>$C297*DD296</f>
        <v/>
      </c>
    </row>
    <row r="298">
      <c r="B298" t="inlineStr">
        <is>
          <t>VSP-567</t>
        </is>
      </c>
      <c r="C298" t="inlineStr">
        <is>
          <t>No. of batches</t>
        </is>
      </c>
      <c r="D298">
        <f>IFERROR(INDEX(E298:DD298,$F$1),"")</f>
        <v/>
      </c>
      <c r="E298">
        <f>IFERROR(INDEX(PP_Grid[#Data],$DE298,2),0)</f>
        <v/>
      </c>
      <c r="F298">
        <f>IFERROR(INDEX(PP_Grid[#Data],$DE298,3),0)</f>
        <v/>
      </c>
      <c r="G298">
        <f>IFERROR(INDEX(PP_Grid[#Data],$DE298,4),0)</f>
        <v/>
      </c>
      <c r="H298">
        <f>IFERROR(INDEX(PP_Grid[#Data],$DE298,5),0)</f>
        <v/>
      </c>
      <c r="I298">
        <f>IFERROR(INDEX(PP_Grid[#Data],$DE298,6),0)</f>
        <v/>
      </c>
      <c r="J298">
        <f>IFERROR(INDEX(PP_Grid[#Data],$DE298,7),0)</f>
        <v/>
      </c>
      <c r="K298">
        <f>IFERROR(INDEX(PP_Grid[#Data],$DE298,8),0)</f>
        <v/>
      </c>
      <c r="L298">
        <f>IFERROR(INDEX(PP_Grid[#Data],$DE298,9),0)</f>
        <v/>
      </c>
      <c r="M298">
        <f>IFERROR(INDEX(PP_Grid[#Data],$DE298,10),0)</f>
        <v/>
      </c>
      <c r="N298">
        <f>IFERROR(INDEX(PP_Grid[#Data],$DE298,11),0)</f>
        <v/>
      </c>
      <c r="O298">
        <f>IFERROR(INDEX(PP_Grid[#Data],$DE298,12),0)</f>
        <v/>
      </c>
      <c r="P298">
        <f>IFERROR(INDEX(PP_Grid[#Data],$DE298,13),0)</f>
        <v/>
      </c>
      <c r="Q298">
        <f>IFERROR(INDEX(PP_Grid[#Data],$DE298,14),0)</f>
        <v/>
      </c>
      <c r="R298">
        <f>IFERROR(INDEX(PP_Grid[#Data],$DE298,15),0)</f>
        <v/>
      </c>
      <c r="S298">
        <f>IFERROR(INDEX(PP_Grid[#Data],$DE298,16),0)</f>
        <v/>
      </c>
      <c r="T298">
        <f>IFERROR(INDEX(PP_Grid[#Data],$DE298,17),0)</f>
        <v/>
      </c>
      <c r="U298">
        <f>IFERROR(INDEX(PP_Grid[#Data],$DE298,18),0)</f>
        <v/>
      </c>
      <c r="V298">
        <f>IFERROR(INDEX(PP_Grid[#Data],$DE298,19),0)</f>
        <v/>
      </c>
      <c r="W298">
        <f>IFERROR(INDEX(PP_Grid[#Data],$DE298,20),0)</f>
        <v/>
      </c>
      <c r="X298">
        <f>IFERROR(INDEX(PP_Grid[#Data],$DE298,21),0)</f>
        <v/>
      </c>
      <c r="Y298">
        <f>IFERROR(INDEX(PP_Grid[#Data],$DE298,22),0)</f>
        <v/>
      </c>
      <c r="Z298">
        <f>IFERROR(INDEX(PP_Grid[#Data],$DE298,23),0)</f>
        <v/>
      </c>
      <c r="AA298">
        <f>IFERROR(INDEX(PP_Grid[#Data],$DE298,24),0)</f>
        <v/>
      </c>
      <c r="AB298">
        <f>IFERROR(INDEX(PP_Grid[#Data],$DE298,25),0)</f>
        <v/>
      </c>
      <c r="AC298">
        <f>IFERROR(INDEX(PP_Grid[#Data],$DE298,26),0)</f>
        <v/>
      </c>
      <c r="AD298">
        <f>IFERROR(INDEX(PP_Grid[#Data],$DE298,27),0)</f>
        <v/>
      </c>
      <c r="AE298">
        <f>IFERROR(INDEX(PP_Grid[#Data],$DE298,28),0)</f>
        <v/>
      </c>
      <c r="AF298">
        <f>IFERROR(INDEX(PP_Grid[#Data],$DE298,29),0)</f>
        <v/>
      </c>
      <c r="AG298">
        <f>IFERROR(INDEX(PP_Grid[#Data],$DE298,30),0)</f>
        <v/>
      </c>
      <c r="AH298">
        <f>IFERROR(INDEX(PP_Grid[#Data],$DE298,31),0)</f>
        <v/>
      </c>
      <c r="AI298">
        <f>IFERROR(INDEX(PP_Grid[#Data],$DE298,32),0)</f>
        <v/>
      </c>
      <c r="AJ298">
        <f>IFERROR(INDEX(PP_Grid[#Data],$DE298,33),0)</f>
        <v/>
      </c>
      <c r="AK298">
        <f>IFERROR(INDEX(PP_Grid[#Data],$DE298,34),0)</f>
        <v/>
      </c>
      <c r="AL298">
        <f>IFERROR(INDEX(PP_Grid[#Data],$DE298,35),0)</f>
        <v/>
      </c>
      <c r="AM298">
        <f>IFERROR(INDEX(PP_Grid[#Data],$DE298,36),0)</f>
        <v/>
      </c>
      <c r="AN298">
        <f>IFERROR(INDEX(PP_Grid[#Data],$DE298,37),0)</f>
        <v/>
      </c>
      <c r="AO298">
        <f>IFERROR(INDEX(PP_Grid[#Data],$DE298,38),0)</f>
        <v/>
      </c>
      <c r="AP298">
        <f>IFERROR(INDEX(PP_Grid[#Data],$DE298,39),0)</f>
        <v/>
      </c>
      <c r="AQ298">
        <f>IFERROR(INDEX(PP_Grid[#Data],$DE298,40),0)</f>
        <v/>
      </c>
      <c r="AR298">
        <f>IFERROR(INDEX(PP_Grid[#Data],$DE298,41),0)</f>
        <v/>
      </c>
      <c r="AS298">
        <f>IFERROR(INDEX(PP_Grid[#Data],$DE298,42),0)</f>
        <v/>
      </c>
      <c r="AT298">
        <f>IFERROR(INDEX(PP_Grid[#Data],$DE298,43),0)</f>
        <v/>
      </c>
      <c r="AU298">
        <f>IFERROR(INDEX(PP_Grid[#Data],$DE298,44),0)</f>
        <v/>
      </c>
      <c r="AV298">
        <f>IFERROR(INDEX(PP_Grid[#Data],$DE298,45),0)</f>
        <v/>
      </c>
      <c r="AW298">
        <f>IFERROR(INDEX(PP_Grid[#Data],$DE298,46),0)</f>
        <v/>
      </c>
      <c r="AX298">
        <f>IFERROR(INDEX(PP_Grid[#Data],$DE298,47),0)</f>
        <v/>
      </c>
      <c r="AY298">
        <f>IFERROR(INDEX(PP_Grid[#Data],$DE298,48),0)</f>
        <v/>
      </c>
      <c r="AZ298">
        <f>IFERROR(INDEX(PP_Grid[#Data],$DE298,49),0)</f>
        <v/>
      </c>
      <c r="BA298">
        <f>IFERROR(INDEX(PP_Grid[#Data],$DE298,50),0)</f>
        <v/>
      </c>
      <c r="BB298">
        <f>IFERROR(INDEX(PP_Grid[#Data],$DE298,51),0)</f>
        <v/>
      </c>
      <c r="BC298">
        <f>IFERROR(INDEX(PP_Grid[#Data],$DE298,52),0)</f>
        <v/>
      </c>
      <c r="BD298">
        <f>IFERROR(INDEX(PP_Grid[#Data],$DE298,53),0)</f>
        <v/>
      </c>
      <c r="BE298">
        <f>IFERROR(INDEX(PP_Grid[#Data],$DE298,54),0)</f>
        <v/>
      </c>
      <c r="BF298">
        <f>IFERROR(INDEX(PP_Grid[#Data],$DE298,55),0)</f>
        <v/>
      </c>
      <c r="BG298">
        <f>IFERROR(INDEX(PP_Grid[#Data],$DE298,56),0)</f>
        <v/>
      </c>
      <c r="BH298">
        <f>IFERROR(INDEX(PP_Grid[#Data],$DE298,57),0)</f>
        <v/>
      </c>
      <c r="BI298">
        <f>IFERROR(INDEX(PP_Grid[#Data],$DE298,58),0)</f>
        <v/>
      </c>
      <c r="BJ298">
        <f>IFERROR(INDEX(PP_Grid[#Data],$DE298,59),0)</f>
        <v/>
      </c>
      <c r="BK298">
        <f>IFERROR(INDEX(PP_Grid[#Data],$DE298,60),0)</f>
        <v/>
      </c>
      <c r="BL298">
        <f>IFERROR(INDEX(PP_Grid[#Data],$DE298,61),0)</f>
        <v/>
      </c>
      <c r="BM298">
        <f>IFERROR(INDEX(PP_Grid[#Data],$DE298,62),0)</f>
        <v/>
      </c>
      <c r="BN298">
        <f>IFERROR(INDEX(PP_Grid[#Data],$DE298,63),0)</f>
        <v/>
      </c>
      <c r="BO298">
        <f>IFERROR(INDEX(PP_Grid[#Data],$DE298,64),0)</f>
        <v/>
      </c>
      <c r="BP298">
        <f>IFERROR(INDEX(PP_Grid[#Data],$DE298,65),0)</f>
        <v/>
      </c>
      <c r="BQ298">
        <f>IFERROR(INDEX(PP_Grid[#Data],$DE298,66),0)</f>
        <v/>
      </c>
      <c r="BR298">
        <f>IFERROR(INDEX(PP_Grid[#Data],$DE298,67),0)</f>
        <v/>
      </c>
      <c r="BS298">
        <f>IFERROR(INDEX(PP_Grid[#Data],$DE298,68),0)</f>
        <v/>
      </c>
      <c r="BT298">
        <f>IFERROR(INDEX(PP_Grid[#Data],$DE298,69),0)</f>
        <v/>
      </c>
      <c r="BU298">
        <f>IFERROR(INDEX(PP_Grid[#Data],$DE298,70),0)</f>
        <v/>
      </c>
      <c r="BV298">
        <f>IFERROR(INDEX(PP_Grid[#Data],$DE298,71),0)</f>
        <v/>
      </c>
      <c r="BW298">
        <f>IFERROR(INDEX(PP_Grid[#Data],$DE298,72),0)</f>
        <v/>
      </c>
      <c r="BX298">
        <f>IFERROR(INDEX(PP_Grid[#Data],$DE298,73),0)</f>
        <v/>
      </c>
      <c r="BY298">
        <f>IFERROR(INDEX(PP_Grid[#Data],$DE298,74),0)</f>
        <v/>
      </c>
      <c r="BZ298">
        <f>IFERROR(INDEX(PP_Grid[#Data],$DE298,75),0)</f>
        <v/>
      </c>
      <c r="CA298">
        <f>IFERROR(INDEX(PP_Grid[#Data],$DE298,76),0)</f>
        <v/>
      </c>
      <c r="CB298">
        <f>IFERROR(INDEX(PP_Grid[#Data],$DE298,77),0)</f>
        <v/>
      </c>
      <c r="CC298">
        <f>IFERROR(INDEX(PP_Grid[#Data],$DE298,78),0)</f>
        <v/>
      </c>
      <c r="CD298">
        <f>IFERROR(INDEX(PP_Grid[#Data],$DE298,79),0)</f>
        <v/>
      </c>
      <c r="CE298">
        <f>IFERROR(INDEX(PP_Grid[#Data],$DE298,80),0)</f>
        <v/>
      </c>
      <c r="CF298">
        <f>IFERROR(INDEX(PP_Grid[#Data],$DE298,81),0)</f>
        <v/>
      </c>
      <c r="CG298">
        <f>IFERROR(INDEX(PP_Grid[#Data],$DE298,82),0)</f>
        <v/>
      </c>
      <c r="CH298">
        <f>IFERROR(INDEX(PP_Grid[#Data],$DE298,83),0)</f>
        <v/>
      </c>
      <c r="CI298">
        <f>IFERROR(INDEX(PP_Grid[#Data],$DE298,84),0)</f>
        <v/>
      </c>
      <c r="CJ298">
        <f>IFERROR(INDEX(PP_Grid[#Data],$DE298,85),0)</f>
        <v/>
      </c>
      <c r="CK298">
        <f>IFERROR(INDEX(PP_Grid[#Data],$DE298,86),0)</f>
        <v/>
      </c>
      <c r="CL298">
        <f>IFERROR(INDEX(PP_Grid[#Data],$DE298,87),0)</f>
        <v/>
      </c>
      <c r="CM298">
        <f>IFERROR(INDEX(PP_Grid[#Data],$DE298,88),0)</f>
        <v/>
      </c>
      <c r="CN298">
        <f>IFERROR(INDEX(PP_Grid[#Data],$DE298,89),0)</f>
        <v/>
      </c>
      <c r="CO298">
        <f>IFERROR(INDEX(PP_Grid[#Data],$DE298,90),0)</f>
        <v/>
      </c>
      <c r="CP298">
        <f>IFERROR(INDEX(PP_Grid[#Data],$DE298,91),0)</f>
        <v/>
      </c>
      <c r="CQ298">
        <f>IFERROR(INDEX(PP_Grid[#Data],$DE298,92),0)</f>
        <v/>
      </c>
      <c r="CR298">
        <f>IFERROR(INDEX(PP_Grid[#Data],$DE298,93),0)</f>
        <v/>
      </c>
      <c r="CS298">
        <f>IFERROR(INDEX(PP_Grid[#Data],$DE298,94),0)</f>
        <v/>
      </c>
      <c r="CT298">
        <f>IFERROR(INDEX(PP_Grid[#Data],$DE298,95),0)</f>
        <v/>
      </c>
      <c r="CU298">
        <f>IFERROR(INDEX(PP_Grid[#Data],$DE298,96),0)</f>
        <v/>
      </c>
      <c r="CV298">
        <f>IFERROR(INDEX(PP_Grid[#Data],$DE298,97),0)</f>
        <v/>
      </c>
      <c r="CW298">
        <f>IFERROR(INDEX(PP_Grid[#Data],$DE298,98),0)</f>
        <v/>
      </c>
      <c r="CX298">
        <f>IFERROR(INDEX(PP_Grid[#Data],$DE298,99),0)</f>
        <v/>
      </c>
      <c r="CY298">
        <f>IFERROR(INDEX(PP_Grid[#Data],$DE298,100),0)</f>
        <v/>
      </c>
      <c r="CZ298">
        <f>IFERROR(INDEX(PP_Grid[#Data],$DE298,101),0)</f>
        <v/>
      </c>
      <c r="DA298">
        <f>IFERROR(INDEX(PP_Grid[#Data],$DE298,102),0)</f>
        <v/>
      </c>
      <c r="DB298">
        <f>IFERROR(INDEX(PP_Grid[#Data],$DE298,103),0)</f>
        <v/>
      </c>
      <c r="DC298">
        <f>IFERROR(INDEX(PP_Grid[#Data],$DE298,104),0)</f>
        <v/>
      </c>
      <c r="DD298">
        <f>IFERROR(INDEX(PP_Grid[#Data],$DE298,105),0)</f>
        <v/>
      </c>
      <c r="DE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SUMIFS(M_BOM[RM_Qty_Per_Batch],M_BOM[Intermediate],$B298,M_BOM[RM_Code],$A199)</f>
        <v/>
      </c>
      <c r="D299">
        <f>IFERROR(INDEX(E299:DD299,$F$1),"")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  <c r="DD299">
        <f>$C299*DD298</f>
        <v/>
      </c>
    </row>
    <row r="300">
      <c r="B300" t="inlineStr">
        <is>
          <t>VSP-600</t>
        </is>
      </c>
      <c r="C300" t="inlineStr">
        <is>
          <t>No. of batches</t>
        </is>
      </c>
      <c r="D300">
        <f>IFERROR(INDEX(E300:DD300,$F$1),"")</f>
        <v/>
      </c>
      <c r="E300">
        <f>IFERROR(INDEX(PP_Grid[#Data],$DE300,2),0)</f>
        <v/>
      </c>
      <c r="F300">
        <f>IFERROR(INDEX(PP_Grid[#Data],$DE300,3),0)</f>
        <v/>
      </c>
      <c r="G300">
        <f>IFERROR(INDEX(PP_Grid[#Data],$DE300,4),0)</f>
        <v/>
      </c>
      <c r="H300">
        <f>IFERROR(INDEX(PP_Grid[#Data],$DE300,5),0)</f>
        <v/>
      </c>
      <c r="I300">
        <f>IFERROR(INDEX(PP_Grid[#Data],$DE300,6),0)</f>
        <v/>
      </c>
      <c r="J300">
        <f>IFERROR(INDEX(PP_Grid[#Data],$DE300,7),0)</f>
        <v/>
      </c>
      <c r="K300">
        <f>IFERROR(INDEX(PP_Grid[#Data],$DE300,8),0)</f>
        <v/>
      </c>
      <c r="L300">
        <f>IFERROR(INDEX(PP_Grid[#Data],$DE300,9),0)</f>
        <v/>
      </c>
      <c r="M300">
        <f>IFERROR(INDEX(PP_Grid[#Data],$DE300,10),0)</f>
        <v/>
      </c>
      <c r="N300">
        <f>IFERROR(INDEX(PP_Grid[#Data],$DE300,11),0)</f>
        <v/>
      </c>
      <c r="O300">
        <f>IFERROR(INDEX(PP_Grid[#Data],$DE300,12),0)</f>
        <v/>
      </c>
      <c r="P300">
        <f>IFERROR(INDEX(PP_Grid[#Data],$DE300,13),0)</f>
        <v/>
      </c>
      <c r="Q300">
        <f>IFERROR(INDEX(PP_Grid[#Data],$DE300,14),0)</f>
        <v/>
      </c>
      <c r="R300">
        <f>IFERROR(INDEX(PP_Grid[#Data],$DE300,15),0)</f>
        <v/>
      </c>
      <c r="S300">
        <f>IFERROR(INDEX(PP_Grid[#Data],$DE300,16),0)</f>
        <v/>
      </c>
      <c r="T300">
        <f>IFERROR(INDEX(PP_Grid[#Data],$DE300,17),0)</f>
        <v/>
      </c>
      <c r="U300">
        <f>IFERROR(INDEX(PP_Grid[#Data],$DE300,18),0)</f>
        <v/>
      </c>
      <c r="V300">
        <f>IFERROR(INDEX(PP_Grid[#Data],$DE300,19),0)</f>
        <v/>
      </c>
      <c r="W300">
        <f>IFERROR(INDEX(PP_Grid[#Data],$DE300,20),0)</f>
        <v/>
      </c>
      <c r="X300">
        <f>IFERROR(INDEX(PP_Grid[#Data],$DE300,21),0)</f>
        <v/>
      </c>
      <c r="Y300">
        <f>IFERROR(INDEX(PP_Grid[#Data],$DE300,22),0)</f>
        <v/>
      </c>
      <c r="Z300">
        <f>IFERROR(INDEX(PP_Grid[#Data],$DE300,23),0)</f>
        <v/>
      </c>
      <c r="AA300">
        <f>IFERROR(INDEX(PP_Grid[#Data],$DE300,24),0)</f>
        <v/>
      </c>
      <c r="AB300">
        <f>IFERROR(INDEX(PP_Grid[#Data],$DE300,25),0)</f>
        <v/>
      </c>
      <c r="AC300">
        <f>IFERROR(INDEX(PP_Grid[#Data],$DE300,26),0)</f>
        <v/>
      </c>
      <c r="AD300">
        <f>IFERROR(INDEX(PP_Grid[#Data],$DE300,27),0)</f>
        <v/>
      </c>
      <c r="AE300">
        <f>IFERROR(INDEX(PP_Grid[#Data],$DE300,28),0)</f>
        <v/>
      </c>
      <c r="AF300">
        <f>IFERROR(INDEX(PP_Grid[#Data],$DE300,29),0)</f>
        <v/>
      </c>
      <c r="AG300">
        <f>IFERROR(INDEX(PP_Grid[#Data],$DE300,30),0)</f>
        <v/>
      </c>
      <c r="AH300">
        <f>IFERROR(INDEX(PP_Grid[#Data],$DE300,31),0)</f>
        <v/>
      </c>
      <c r="AI300">
        <f>IFERROR(INDEX(PP_Grid[#Data],$DE300,32),0)</f>
        <v/>
      </c>
      <c r="AJ300">
        <f>IFERROR(INDEX(PP_Grid[#Data],$DE300,33),0)</f>
        <v/>
      </c>
      <c r="AK300">
        <f>IFERROR(INDEX(PP_Grid[#Data],$DE300,34),0)</f>
        <v/>
      </c>
      <c r="AL300">
        <f>IFERROR(INDEX(PP_Grid[#Data],$DE300,35),0)</f>
        <v/>
      </c>
      <c r="AM300">
        <f>IFERROR(INDEX(PP_Grid[#Data],$DE300,36),0)</f>
        <v/>
      </c>
      <c r="AN300">
        <f>IFERROR(INDEX(PP_Grid[#Data],$DE300,37),0)</f>
        <v/>
      </c>
      <c r="AO300">
        <f>IFERROR(INDEX(PP_Grid[#Data],$DE300,38),0)</f>
        <v/>
      </c>
      <c r="AP300">
        <f>IFERROR(INDEX(PP_Grid[#Data],$DE300,39),0)</f>
        <v/>
      </c>
      <c r="AQ300">
        <f>IFERROR(INDEX(PP_Grid[#Data],$DE300,40),0)</f>
        <v/>
      </c>
      <c r="AR300">
        <f>IFERROR(INDEX(PP_Grid[#Data],$DE300,41),0)</f>
        <v/>
      </c>
      <c r="AS300">
        <f>IFERROR(INDEX(PP_Grid[#Data],$DE300,42),0)</f>
        <v/>
      </c>
      <c r="AT300">
        <f>IFERROR(INDEX(PP_Grid[#Data],$DE300,43),0)</f>
        <v/>
      </c>
      <c r="AU300">
        <f>IFERROR(INDEX(PP_Grid[#Data],$DE300,44),0)</f>
        <v/>
      </c>
      <c r="AV300">
        <f>IFERROR(INDEX(PP_Grid[#Data],$DE300,45),0)</f>
        <v/>
      </c>
      <c r="AW300">
        <f>IFERROR(INDEX(PP_Grid[#Data],$DE300,46),0)</f>
        <v/>
      </c>
      <c r="AX300">
        <f>IFERROR(INDEX(PP_Grid[#Data],$DE300,47),0)</f>
        <v/>
      </c>
      <c r="AY300">
        <f>IFERROR(INDEX(PP_Grid[#Data],$DE300,48),0)</f>
        <v/>
      </c>
      <c r="AZ300">
        <f>IFERROR(INDEX(PP_Grid[#Data],$DE300,49),0)</f>
        <v/>
      </c>
      <c r="BA300">
        <f>IFERROR(INDEX(PP_Grid[#Data],$DE300,50),0)</f>
        <v/>
      </c>
      <c r="BB300">
        <f>IFERROR(INDEX(PP_Grid[#Data],$DE300,51),0)</f>
        <v/>
      </c>
      <c r="BC300">
        <f>IFERROR(INDEX(PP_Grid[#Data],$DE300,52),0)</f>
        <v/>
      </c>
      <c r="BD300">
        <f>IFERROR(INDEX(PP_Grid[#Data],$DE300,53),0)</f>
        <v/>
      </c>
      <c r="BE300">
        <f>IFERROR(INDEX(PP_Grid[#Data],$DE300,54),0)</f>
        <v/>
      </c>
      <c r="BF300">
        <f>IFERROR(INDEX(PP_Grid[#Data],$DE300,55),0)</f>
        <v/>
      </c>
      <c r="BG300">
        <f>IFERROR(INDEX(PP_Grid[#Data],$DE300,56),0)</f>
        <v/>
      </c>
      <c r="BH300">
        <f>IFERROR(INDEX(PP_Grid[#Data],$DE300,57),0)</f>
        <v/>
      </c>
      <c r="BI300">
        <f>IFERROR(INDEX(PP_Grid[#Data],$DE300,58),0)</f>
        <v/>
      </c>
      <c r="BJ300">
        <f>IFERROR(INDEX(PP_Grid[#Data],$DE300,59),0)</f>
        <v/>
      </c>
      <c r="BK300">
        <f>IFERROR(INDEX(PP_Grid[#Data],$DE300,60),0)</f>
        <v/>
      </c>
      <c r="BL300">
        <f>IFERROR(INDEX(PP_Grid[#Data],$DE300,61),0)</f>
        <v/>
      </c>
      <c r="BM300">
        <f>IFERROR(INDEX(PP_Grid[#Data],$DE300,62),0)</f>
        <v/>
      </c>
      <c r="BN300">
        <f>IFERROR(INDEX(PP_Grid[#Data],$DE300,63),0)</f>
        <v/>
      </c>
      <c r="BO300">
        <f>IFERROR(INDEX(PP_Grid[#Data],$DE300,64),0)</f>
        <v/>
      </c>
      <c r="BP300">
        <f>IFERROR(INDEX(PP_Grid[#Data],$DE300,65),0)</f>
        <v/>
      </c>
      <c r="BQ300">
        <f>IFERROR(INDEX(PP_Grid[#Data],$DE300,66),0)</f>
        <v/>
      </c>
      <c r="BR300">
        <f>IFERROR(INDEX(PP_Grid[#Data],$DE300,67),0)</f>
        <v/>
      </c>
      <c r="BS300">
        <f>IFERROR(INDEX(PP_Grid[#Data],$DE300,68),0)</f>
        <v/>
      </c>
      <c r="BT300">
        <f>IFERROR(INDEX(PP_Grid[#Data],$DE300,69),0)</f>
        <v/>
      </c>
      <c r="BU300">
        <f>IFERROR(INDEX(PP_Grid[#Data],$DE300,70),0)</f>
        <v/>
      </c>
      <c r="BV300">
        <f>IFERROR(INDEX(PP_Grid[#Data],$DE300,71),0)</f>
        <v/>
      </c>
      <c r="BW300">
        <f>IFERROR(INDEX(PP_Grid[#Data],$DE300,72),0)</f>
        <v/>
      </c>
      <c r="BX300">
        <f>IFERROR(INDEX(PP_Grid[#Data],$DE300,73),0)</f>
        <v/>
      </c>
      <c r="BY300">
        <f>IFERROR(INDEX(PP_Grid[#Data],$DE300,74),0)</f>
        <v/>
      </c>
      <c r="BZ300">
        <f>IFERROR(INDEX(PP_Grid[#Data],$DE300,75),0)</f>
        <v/>
      </c>
      <c r="CA300">
        <f>IFERROR(INDEX(PP_Grid[#Data],$DE300,76),0)</f>
        <v/>
      </c>
      <c r="CB300">
        <f>IFERROR(INDEX(PP_Grid[#Data],$DE300,77),0)</f>
        <v/>
      </c>
      <c r="CC300">
        <f>IFERROR(INDEX(PP_Grid[#Data],$DE300,78),0)</f>
        <v/>
      </c>
      <c r="CD300">
        <f>IFERROR(INDEX(PP_Grid[#Data],$DE300,79),0)</f>
        <v/>
      </c>
      <c r="CE300">
        <f>IFERROR(INDEX(PP_Grid[#Data],$DE300,80),0)</f>
        <v/>
      </c>
      <c r="CF300">
        <f>IFERROR(INDEX(PP_Grid[#Data],$DE300,81),0)</f>
        <v/>
      </c>
      <c r="CG300">
        <f>IFERROR(INDEX(PP_Grid[#Data],$DE300,82),0)</f>
        <v/>
      </c>
      <c r="CH300">
        <f>IFERROR(INDEX(PP_Grid[#Data],$DE300,83),0)</f>
        <v/>
      </c>
      <c r="CI300">
        <f>IFERROR(INDEX(PP_Grid[#Data],$DE300,84),0)</f>
        <v/>
      </c>
      <c r="CJ300">
        <f>IFERROR(INDEX(PP_Grid[#Data],$DE300,85),0)</f>
        <v/>
      </c>
      <c r="CK300">
        <f>IFERROR(INDEX(PP_Grid[#Data],$DE300,86),0)</f>
        <v/>
      </c>
      <c r="CL300">
        <f>IFERROR(INDEX(PP_Grid[#Data],$DE300,87),0)</f>
        <v/>
      </c>
      <c r="CM300">
        <f>IFERROR(INDEX(PP_Grid[#Data],$DE300,88),0)</f>
        <v/>
      </c>
      <c r="CN300">
        <f>IFERROR(INDEX(PP_Grid[#Data],$DE300,89),0)</f>
        <v/>
      </c>
      <c r="CO300">
        <f>IFERROR(INDEX(PP_Grid[#Data],$DE300,90),0)</f>
        <v/>
      </c>
      <c r="CP300">
        <f>IFERROR(INDEX(PP_Grid[#Data],$DE300,91),0)</f>
        <v/>
      </c>
      <c r="CQ300">
        <f>IFERROR(INDEX(PP_Grid[#Data],$DE300,92),0)</f>
        <v/>
      </c>
      <c r="CR300">
        <f>IFERROR(INDEX(PP_Grid[#Data],$DE300,93),0)</f>
        <v/>
      </c>
      <c r="CS300">
        <f>IFERROR(INDEX(PP_Grid[#Data],$DE300,94),0)</f>
        <v/>
      </c>
      <c r="CT300">
        <f>IFERROR(INDEX(PP_Grid[#Data],$DE300,95),0)</f>
        <v/>
      </c>
      <c r="CU300">
        <f>IFERROR(INDEX(PP_Grid[#Data],$DE300,96),0)</f>
        <v/>
      </c>
      <c r="CV300">
        <f>IFERROR(INDEX(PP_Grid[#Data],$DE300,97),0)</f>
        <v/>
      </c>
      <c r="CW300">
        <f>IFERROR(INDEX(PP_Grid[#Data],$DE300,98),0)</f>
        <v/>
      </c>
      <c r="CX300">
        <f>IFERROR(INDEX(PP_Grid[#Data],$DE300,99),0)</f>
        <v/>
      </c>
      <c r="CY300">
        <f>IFERROR(INDEX(PP_Grid[#Data],$DE300,100),0)</f>
        <v/>
      </c>
      <c r="CZ300">
        <f>IFERROR(INDEX(PP_Grid[#Data],$DE300,101),0)</f>
        <v/>
      </c>
      <c r="DA300">
        <f>IFERROR(INDEX(PP_Grid[#Data],$DE300,102),0)</f>
        <v/>
      </c>
      <c r="DB300">
        <f>IFERROR(INDEX(PP_Grid[#Data],$DE300,103),0)</f>
        <v/>
      </c>
      <c r="DC300">
        <f>IFERROR(INDEX(PP_Grid[#Data],$DE300,104),0)</f>
        <v/>
      </c>
      <c r="DD300">
        <f>IFERROR(INDEX(PP_Grid[#Data],$DE300,105),0)</f>
        <v/>
      </c>
      <c r="DE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SUMIFS(M_BOM[RM_Qty_Per_Batch],M_BOM[Intermediate],$B300,M_BOM[RM_Code],$A199)</f>
        <v/>
      </c>
      <c r="D301">
        <f>IFERROR(INDEX(E301:DD301,$F$1),"")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  <c r="DD301">
        <f>$C301*DD300</f>
        <v/>
      </c>
    </row>
    <row r="302">
      <c r="B302" t="inlineStr">
        <is>
          <t>VSP-601</t>
        </is>
      </c>
      <c r="C302" t="inlineStr">
        <is>
          <t>No. of batches</t>
        </is>
      </c>
      <c r="D302">
        <f>IFERROR(INDEX(E302:DD302,$F$1),"")</f>
        <v/>
      </c>
      <c r="E302">
        <f>IFERROR(INDEX(PP_Grid[#Data],$DE302,2),0)</f>
        <v/>
      </c>
      <c r="F302">
        <f>IFERROR(INDEX(PP_Grid[#Data],$DE302,3),0)</f>
        <v/>
      </c>
      <c r="G302">
        <f>IFERROR(INDEX(PP_Grid[#Data],$DE302,4),0)</f>
        <v/>
      </c>
      <c r="H302">
        <f>IFERROR(INDEX(PP_Grid[#Data],$DE302,5),0)</f>
        <v/>
      </c>
      <c r="I302">
        <f>IFERROR(INDEX(PP_Grid[#Data],$DE302,6),0)</f>
        <v/>
      </c>
      <c r="J302">
        <f>IFERROR(INDEX(PP_Grid[#Data],$DE302,7),0)</f>
        <v/>
      </c>
      <c r="K302">
        <f>IFERROR(INDEX(PP_Grid[#Data],$DE302,8),0)</f>
        <v/>
      </c>
      <c r="L302">
        <f>IFERROR(INDEX(PP_Grid[#Data],$DE302,9),0)</f>
        <v/>
      </c>
      <c r="M302">
        <f>IFERROR(INDEX(PP_Grid[#Data],$DE302,10),0)</f>
        <v/>
      </c>
      <c r="N302">
        <f>IFERROR(INDEX(PP_Grid[#Data],$DE302,11),0)</f>
        <v/>
      </c>
      <c r="O302">
        <f>IFERROR(INDEX(PP_Grid[#Data],$DE302,12),0)</f>
        <v/>
      </c>
      <c r="P302">
        <f>IFERROR(INDEX(PP_Grid[#Data],$DE302,13),0)</f>
        <v/>
      </c>
      <c r="Q302">
        <f>IFERROR(INDEX(PP_Grid[#Data],$DE302,14),0)</f>
        <v/>
      </c>
      <c r="R302">
        <f>IFERROR(INDEX(PP_Grid[#Data],$DE302,15),0)</f>
        <v/>
      </c>
      <c r="S302">
        <f>IFERROR(INDEX(PP_Grid[#Data],$DE302,16),0)</f>
        <v/>
      </c>
      <c r="T302">
        <f>IFERROR(INDEX(PP_Grid[#Data],$DE302,17),0)</f>
        <v/>
      </c>
      <c r="U302">
        <f>IFERROR(INDEX(PP_Grid[#Data],$DE302,18),0)</f>
        <v/>
      </c>
      <c r="V302">
        <f>IFERROR(INDEX(PP_Grid[#Data],$DE302,19),0)</f>
        <v/>
      </c>
      <c r="W302">
        <f>IFERROR(INDEX(PP_Grid[#Data],$DE302,20),0)</f>
        <v/>
      </c>
      <c r="X302">
        <f>IFERROR(INDEX(PP_Grid[#Data],$DE302,21),0)</f>
        <v/>
      </c>
      <c r="Y302">
        <f>IFERROR(INDEX(PP_Grid[#Data],$DE302,22),0)</f>
        <v/>
      </c>
      <c r="Z302">
        <f>IFERROR(INDEX(PP_Grid[#Data],$DE302,23),0)</f>
        <v/>
      </c>
      <c r="AA302">
        <f>IFERROR(INDEX(PP_Grid[#Data],$DE302,24),0)</f>
        <v/>
      </c>
      <c r="AB302">
        <f>IFERROR(INDEX(PP_Grid[#Data],$DE302,25),0)</f>
        <v/>
      </c>
      <c r="AC302">
        <f>IFERROR(INDEX(PP_Grid[#Data],$DE302,26),0)</f>
        <v/>
      </c>
      <c r="AD302">
        <f>IFERROR(INDEX(PP_Grid[#Data],$DE302,27),0)</f>
        <v/>
      </c>
      <c r="AE302">
        <f>IFERROR(INDEX(PP_Grid[#Data],$DE302,28),0)</f>
        <v/>
      </c>
      <c r="AF302">
        <f>IFERROR(INDEX(PP_Grid[#Data],$DE302,29),0)</f>
        <v/>
      </c>
      <c r="AG302">
        <f>IFERROR(INDEX(PP_Grid[#Data],$DE302,30),0)</f>
        <v/>
      </c>
      <c r="AH302">
        <f>IFERROR(INDEX(PP_Grid[#Data],$DE302,31),0)</f>
        <v/>
      </c>
      <c r="AI302">
        <f>IFERROR(INDEX(PP_Grid[#Data],$DE302,32),0)</f>
        <v/>
      </c>
      <c r="AJ302">
        <f>IFERROR(INDEX(PP_Grid[#Data],$DE302,33),0)</f>
        <v/>
      </c>
      <c r="AK302">
        <f>IFERROR(INDEX(PP_Grid[#Data],$DE302,34),0)</f>
        <v/>
      </c>
      <c r="AL302">
        <f>IFERROR(INDEX(PP_Grid[#Data],$DE302,35),0)</f>
        <v/>
      </c>
      <c r="AM302">
        <f>IFERROR(INDEX(PP_Grid[#Data],$DE302,36),0)</f>
        <v/>
      </c>
      <c r="AN302">
        <f>IFERROR(INDEX(PP_Grid[#Data],$DE302,37),0)</f>
        <v/>
      </c>
      <c r="AO302">
        <f>IFERROR(INDEX(PP_Grid[#Data],$DE302,38),0)</f>
        <v/>
      </c>
      <c r="AP302">
        <f>IFERROR(INDEX(PP_Grid[#Data],$DE302,39),0)</f>
        <v/>
      </c>
      <c r="AQ302">
        <f>IFERROR(INDEX(PP_Grid[#Data],$DE302,40),0)</f>
        <v/>
      </c>
      <c r="AR302">
        <f>IFERROR(INDEX(PP_Grid[#Data],$DE302,41),0)</f>
        <v/>
      </c>
      <c r="AS302">
        <f>IFERROR(INDEX(PP_Grid[#Data],$DE302,42),0)</f>
        <v/>
      </c>
      <c r="AT302">
        <f>IFERROR(INDEX(PP_Grid[#Data],$DE302,43),0)</f>
        <v/>
      </c>
      <c r="AU302">
        <f>IFERROR(INDEX(PP_Grid[#Data],$DE302,44),0)</f>
        <v/>
      </c>
      <c r="AV302">
        <f>IFERROR(INDEX(PP_Grid[#Data],$DE302,45),0)</f>
        <v/>
      </c>
      <c r="AW302">
        <f>IFERROR(INDEX(PP_Grid[#Data],$DE302,46),0)</f>
        <v/>
      </c>
      <c r="AX302">
        <f>IFERROR(INDEX(PP_Grid[#Data],$DE302,47),0)</f>
        <v/>
      </c>
      <c r="AY302">
        <f>IFERROR(INDEX(PP_Grid[#Data],$DE302,48),0)</f>
        <v/>
      </c>
      <c r="AZ302">
        <f>IFERROR(INDEX(PP_Grid[#Data],$DE302,49),0)</f>
        <v/>
      </c>
      <c r="BA302">
        <f>IFERROR(INDEX(PP_Grid[#Data],$DE302,50),0)</f>
        <v/>
      </c>
      <c r="BB302">
        <f>IFERROR(INDEX(PP_Grid[#Data],$DE302,51),0)</f>
        <v/>
      </c>
      <c r="BC302">
        <f>IFERROR(INDEX(PP_Grid[#Data],$DE302,52),0)</f>
        <v/>
      </c>
      <c r="BD302">
        <f>IFERROR(INDEX(PP_Grid[#Data],$DE302,53),0)</f>
        <v/>
      </c>
      <c r="BE302">
        <f>IFERROR(INDEX(PP_Grid[#Data],$DE302,54),0)</f>
        <v/>
      </c>
      <c r="BF302">
        <f>IFERROR(INDEX(PP_Grid[#Data],$DE302,55),0)</f>
        <v/>
      </c>
      <c r="BG302">
        <f>IFERROR(INDEX(PP_Grid[#Data],$DE302,56),0)</f>
        <v/>
      </c>
      <c r="BH302">
        <f>IFERROR(INDEX(PP_Grid[#Data],$DE302,57),0)</f>
        <v/>
      </c>
      <c r="BI302">
        <f>IFERROR(INDEX(PP_Grid[#Data],$DE302,58),0)</f>
        <v/>
      </c>
      <c r="BJ302">
        <f>IFERROR(INDEX(PP_Grid[#Data],$DE302,59),0)</f>
        <v/>
      </c>
      <c r="BK302">
        <f>IFERROR(INDEX(PP_Grid[#Data],$DE302,60),0)</f>
        <v/>
      </c>
      <c r="BL302">
        <f>IFERROR(INDEX(PP_Grid[#Data],$DE302,61),0)</f>
        <v/>
      </c>
      <c r="BM302">
        <f>IFERROR(INDEX(PP_Grid[#Data],$DE302,62),0)</f>
        <v/>
      </c>
      <c r="BN302">
        <f>IFERROR(INDEX(PP_Grid[#Data],$DE302,63),0)</f>
        <v/>
      </c>
      <c r="BO302">
        <f>IFERROR(INDEX(PP_Grid[#Data],$DE302,64),0)</f>
        <v/>
      </c>
      <c r="BP302">
        <f>IFERROR(INDEX(PP_Grid[#Data],$DE302,65),0)</f>
        <v/>
      </c>
      <c r="BQ302">
        <f>IFERROR(INDEX(PP_Grid[#Data],$DE302,66),0)</f>
        <v/>
      </c>
      <c r="BR302">
        <f>IFERROR(INDEX(PP_Grid[#Data],$DE302,67),0)</f>
        <v/>
      </c>
      <c r="BS302">
        <f>IFERROR(INDEX(PP_Grid[#Data],$DE302,68),0)</f>
        <v/>
      </c>
      <c r="BT302">
        <f>IFERROR(INDEX(PP_Grid[#Data],$DE302,69),0)</f>
        <v/>
      </c>
      <c r="BU302">
        <f>IFERROR(INDEX(PP_Grid[#Data],$DE302,70),0)</f>
        <v/>
      </c>
      <c r="BV302">
        <f>IFERROR(INDEX(PP_Grid[#Data],$DE302,71),0)</f>
        <v/>
      </c>
      <c r="BW302">
        <f>IFERROR(INDEX(PP_Grid[#Data],$DE302,72),0)</f>
        <v/>
      </c>
      <c r="BX302">
        <f>IFERROR(INDEX(PP_Grid[#Data],$DE302,73),0)</f>
        <v/>
      </c>
      <c r="BY302">
        <f>IFERROR(INDEX(PP_Grid[#Data],$DE302,74),0)</f>
        <v/>
      </c>
      <c r="BZ302">
        <f>IFERROR(INDEX(PP_Grid[#Data],$DE302,75),0)</f>
        <v/>
      </c>
      <c r="CA302">
        <f>IFERROR(INDEX(PP_Grid[#Data],$DE302,76),0)</f>
        <v/>
      </c>
      <c r="CB302">
        <f>IFERROR(INDEX(PP_Grid[#Data],$DE302,77),0)</f>
        <v/>
      </c>
      <c r="CC302">
        <f>IFERROR(INDEX(PP_Grid[#Data],$DE302,78),0)</f>
        <v/>
      </c>
      <c r="CD302">
        <f>IFERROR(INDEX(PP_Grid[#Data],$DE302,79),0)</f>
        <v/>
      </c>
      <c r="CE302">
        <f>IFERROR(INDEX(PP_Grid[#Data],$DE302,80),0)</f>
        <v/>
      </c>
      <c r="CF302">
        <f>IFERROR(INDEX(PP_Grid[#Data],$DE302,81),0)</f>
        <v/>
      </c>
      <c r="CG302">
        <f>IFERROR(INDEX(PP_Grid[#Data],$DE302,82),0)</f>
        <v/>
      </c>
      <c r="CH302">
        <f>IFERROR(INDEX(PP_Grid[#Data],$DE302,83),0)</f>
        <v/>
      </c>
      <c r="CI302">
        <f>IFERROR(INDEX(PP_Grid[#Data],$DE302,84),0)</f>
        <v/>
      </c>
      <c r="CJ302">
        <f>IFERROR(INDEX(PP_Grid[#Data],$DE302,85),0)</f>
        <v/>
      </c>
      <c r="CK302">
        <f>IFERROR(INDEX(PP_Grid[#Data],$DE302,86),0)</f>
        <v/>
      </c>
      <c r="CL302">
        <f>IFERROR(INDEX(PP_Grid[#Data],$DE302,87),0)</f>
        <v/>
      </c>
      <c r="CM302">
        <f>IFERROR(INDEX(PP_Grid[#Data],$DE302,88),0)</f>
        <v/>
      </c>
      <c r="CN302">
        <f>IFERROR(INDEX(PP_Grid[#Data],$DE302,89),0)</f>
        <v/>
      </c>
      <c r="CO302">
        <f>IFERROR(INDEX(PP_Grid[#Data],$DE302,90),0)</f>
        <v/>
      </c>
      <c r="CP302">
        <f>IFERROR(INDEX(PP_Grid[#Data],$DE302,91),0)</f>
        <v/>
      </c>
      <c r="CQ302">
        <f>IFERROR(INDEX(PP_Grid[#Data],$DE302,92),0)</f>
        <v/>
      </c>
      <c r="CR302">
        <f>IFERROR(INDEX(PP_Grid[#Data],$DE302,93),0)</f>
        <v/>
      </c>
      <c r="CS302">
        <f>IFERROR(INDEX(PP_Grid[#Data],$DE302,94),0)</f>
        <v/>
      </c>
      <c r="CT302">
        <f>IFERROR(INDEX(PP_Grid[#Data],$DE302,95),0)</f>
        <v/>
      </c>
      <c r="CU302">
        <f>IFERROR(INDEX(PP_Grid[#Data],$DE302,96),0)</f>
        <v/>
      </c>
      <c r="CV302">
        <f>IFERROR(INDEX(PP_Grid[#Data],$DE302,97),0)</f>
        <v/>
      </c>
      <c r="CW302">
        <f>IFERROR(INDEX(PP_Grid[#Data],$DE302,98),0)</f>
        <v/>
      </c>
      <c r="CX302">
        <f>IFERROR(INDEX(PP_Grid[#Data],$DE302,99),0)</f>
        <v/>
      </c>
      <c r="CY302">
        <f>IFERROR(INDEX(PP_Grid[#Data],$DE302,100),0)</f>
        <v/>
      </c>
      <c r="CZ302">
        <f>IFERROR(INDEX(PP_Grid[#Data],$DE302,101),0)</f>
        <v/>
      </c>
      <c r="DA302">
        <f>IFERROR(INDEX(PP_Grid[#Data],$DE302,102),0)</f>
        <v/>
      </c>
      <c r="DB302">
        <f>IFERROR(INDEX(PP_Grid[#Data],$DE302,103),0)</f>
        <v/>
      </c>
      <c r="DC302">
        <f>IFERROR(INDEX(PP_Grid[#Data],$DE302,104),0)</f>
        <v/>
      </c>
      <c r="DD302">
        <f>IFERROR(INDEX(PP_Grid[#Data],$DE302,105),0)</f>
        <v/>
      </c>
      <c r="DE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SUMIFS(M_BOM[RM_Qty_Per_Batch],M_BOM[Intermediate],$B302,M_BOM[RM_Code],$A199)</f>
        <v/>
      </c>
      <c r="D303">
        <f>IFERROR(INDEX(E303:DD303,$F$1),"")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  <c r="DD303">
        <f>$C303*DD302</f>
        <v/>
      </c>
    </row>
    <row r="304">
      <c r="B304" t="inlineStr">
        <is>
          <t>VSP-602</t>
        </is>
      </c>
      <c r="C304" t="inlineStr">
        <is>
          <t>No. of batches</t>
        </is>
      </c>
      <c r="D304">
        <f>IFERROR(INDEX(E304:DD304,$F$1),"")</f>
        <v/>
      </c>
      <c r="E304">
        <f>IFERROR(INDEX(PP_Grid[#Data],$DE304,2),0)</f>
        <v/>
      </c>
      <c r="F304">
        <f>IFERROR(INDEX(PP_Grid[#Data],$DE304,3),0)</f>
        <v/>
      </c>
      <c r="G304">
        <f>IFERROR(INDEX(PP_Grid[#Data],$DE304,4),0)</f>
        <v/>
      </c>
      <c r="H304">
        <f>IFERROR(INDEX(PP_Grid[#Data],$DE304,5),0)</f>
        <v/>
      </c>
      <c r="I304">
        <f>IFERROR(INDEX(PP_Grid[#Data],$DE304,6),0)</f>
        <v/>
      </c>
      <c r="J304">
        <f>IFERROR(INDEX(PP_Grid[#Data],$DE304,7),0)</f>
        <v/>
      </c>
      <c r="K304">
        <f>IFERROR(INDEX(PP_Grid[#Data],$DE304,8),0)</f>
        <v/>
      </c>
      <c r="L304">
        <f>IFERROR(INDEX(PP_Grid[#Data],$DE304,9),0)</f>
        <v/>
      </c>
      <c r="M304">
        <f>IFERROR(INDEX(PP_Grid[#Data],$DE304,10),0)</f>
        <v/>
      </c>
      <c r="N304">
        <f>IFERROR(INDEX(PP_Grid[#Data],$DE304,11),0)</f>
        <v/>
      </c>
      <c r="O304">
        <f>IFERROR(INDEX(PP_Grid[#Data],$DE304,12),0)</f>
        <v/>
      </c>
      <c r="P304">
        <f>IFERROR(INDEX(PP_Grid[#Data],$DE304,13),0)</f>
        <v/>
      </c>
      <c r="Q304">
        <f>IFERROR(INDEX(PP_Grid[#Data],$DE304,14),0)</f>
        <v/>
      </c>
      <c r="R304">
        <f>IFERROR(INDEX(PP_Grid[#Data],$DE304,15),0)</f>
        <v/>
      </c>
      <c r="S304">
        <f>IFERROR(INDEX(PP_Grid[#Data],$DE304,16),0)</f>
        <v/>
      </c>
      <c r="T304">
        <f>IFERROR(INDEX(PP_Grid[#Data],$DE304,17),0)</f>
        <v/>
      </c>
      <c r="U304">
        <f>IFERROR(INDEX(PP_Grid[#Data],$DE304,18),0)</f>
        <v/>
      </c>
      <c r="V304">
        <f>IFERROR(INDEX(PP_Grid[#Data],$DE304,19),0)</f>
        <v/>
      </c>
      <c r="W304">
        <f>IFERROR(INDEX(PP_Grid[#Data],$DE304,20),0)</f>
        <v/>
      </c>
      <c r="X304">
        <f>IFERROR(INDEX(PP_Grid[#Data],$DE304,21),0)</f>
        <v/>
      </c>
      <c r="Y304">
        <f>IFERROR(INDEX(PP_Grid[#Data],$DE304,22),0)</f>
        <v/>
      </c>
      <c r="Z304">
        <f>IFERROR(INDEX(PP_Grid[#Data],$DE304,23),0)</f>
        <v/>
      </c>
      <c r="AA304">
        <f>IFERROR(INDEX(PP_Grid[#Data],$DE304,24),0)</f>
        <v/>
      </c>
      <c r="AB304">
        <f>IFERROR(INDEX(PP_Grid[#Data],$DE304,25),0)</f>
        <v/>
      </c>
      <c r="AC304">
        <f>IFERROR(INDEX(PP_Grid[#Data],$DE304,26),0)</f>
        <v/>
      </c>
      <c r="AD304">
        <f>IFERROR(INDEX(PP_Grid[#Data],$DE304,27),0)</f>
        <v/>
      </c>
      <c r="AE304">
        <f>IFERROR(INDEX(PP_Grid[#Data],$DE304,28),0)</f>
        <v/>
      </c>
      <c r="AF304">
        <f>IFERROR(INDEX(PP_Grid[#Data],$DE304,29),0)</f>
        <v/>
      </c>
      <c r="AG304">
        <f>IFERROR(INDEX(PP_Grid[#Data],$DE304,30),0)</f>
        <v/>
      </c>
      <c r="AH304">
        <f>IFERROR(INDEX(PP_Grid[#Data],$DE304,31),0)</f>
        <v/>
      </c>
      <c r="AI304">
        <f>IFERROR(INDEX(PP_Grid[#Data],$DE304,32),0)</f>
        <v/>
      </c>
      <c r="AJ304">
        <f>IFERROR(INDEX(PP_Grid[#Data],$DE304,33),0)</f>
        <v/>
      </c>
      <c r="AK304">
        <f>IFERROR(INDEX(PP_Grid[#Data],$DE304,34),0)</f>
        <v/>
      </c>
      <c r="AL304">
        <f>IFERROR(INDEX(PP_Grid[#Data],$DE304,35),0)</f>
        <v/>
      </c>
      <c r="AM304">
        <f>IFERROR(INDEX(PP_Grid[#Data],$DE304,36),0)</f>
        <v/>
      </c>
      <c r="AN304">
        <f>IFERROR(INDEX(PP_Grid[#Data],$DE304,37),0)</f>
        <v/>
      </c>
      <c r="AO304">
        <f>IFERROR(INDEX(PP_Grid[#Data],$DE304,38),0)</f>
        <v/>
      </c>
      <c r="AP304">
        <f>IFERROR(INDEX(PP_Grid[#Data],$DE304,39),0)</f>
        <v/>
      </c>
      <c r="AQ304">
        <f>IFERROR(INDEX(PP_Grid[#Data],$DE304,40),0)</f>
        <v/>
      </c>
      <c r="AR304">
        <f>IFERROR(INDEX(PP_Grid[#Data],$DE304,41),0)</f>
        <v/>
      </c>
      <c r="AS304">
        <f>IFERROR(INDEX(PP_Grid[#Data],$DE304,42),0)</f>
        <v/>
      </c>
      <c r="AT304">
        <f>IFERROR(INDEX(PP_Grid[#Data],$DE304,43),0)</f>
        <v/>
      </c>
      <c r="AU304">
        <f>IFERROR(INDEX(PP_Grid[#Data],$DE304,44),0)</f>
        <v/>
      </c>
      <c r="AV304">
        <f>IFERROR(INDEX(PP_Grid[#Data],$DE304,45),0)</f>
        <v/>
      </c>
      <c r="AW304">
        <f>IFERROR(INDEX(PP_Grid[#Data],$DE304,46),0)</f>
        <v/>
      </c>
      <c r="AX304">
        <f>IFERROR(INDEX(PP_Grid[#Data],$DE304,47),0)</f>
        <v/>
      </c>
      <c r="AY304">
        <f>IFERROR(INDEX(PP_Grid[#Data],$DE304,48),0)</f>
        <v/>
      </c>
      <c r="AZ304">
        <f>IFERROR(INDEX(PP_Grid[#Data],$DE304,49),0)</f>
        <v/>
      </c>
      <c r="BA304">
        <f>IFERROR(INDEX(PP_Grid[#Data],$DE304,50),0)</f>
        <v/>
      </c>
      <c r="BB304">
        <f>IFERROR(INDEX(PP_Grid[#Data],$DE304,51),0)</f>
        <v/>
      </c>
      <c r="BC304">
        <f>IFERROR(INDEX(PP_Grid[#Data],$DE304,52),0)</f>
        <v/>
      </c>
      <c r="BD304">
        <f>IFERROR(INDEX(PP_Grid[#Data],$DE304,53),0)</f>
        <v/>
      </c>
      <c r="BE304">
        <f>IFERROR(INDEX(PP_Grid[#Data],$DE304,54),0)</f>
        <v/>
      </c>
      <c r="BF304">
        <f>IFERROR(INDEX(PP_Grid[#Data],$DE304,55),0)</f>
        <v/>
      </c>
      <c r="BG304">
        <f>IFERROR(INDEX(PP_Grid[#Data],$DE304,56),0)</f>
        <v/>
      </c>
      <c r="BH304">
        <f>IFERROR(INDEX(PP_Grid[#Data],$DE304,57),0)</f>
        <v/>
      </c>
      <c r="BI304">
        <f>IFERROR(INDEX(PP_Grid[#Data],$DE304,58),0)</f>
        <v/>
      </c>
      <c r="BJ304">
        <f>IFERROR(INDEX(PP_Grid[#Data],$DE304,59),0)</f>
        <v/>
      </c>
      <c r="BK304">
        <f>IFERROR(INDEX(PP_Grid[#Data],$DE304,60),0)</f>
        <v/>
      </c>
      <c r="BL304">
        <f>IFERROR(INDEX(PP_Grid[#Data],$DE304,61),0)</f>
        <v/>
      </c>
      <c r="BM304">
        <f>IFERROR(INDEX(PP_Grid[#Data],$DE304,62),0)</f>
        <v/>
      </c>
      <c r="BN304">
        <f>IFERROR(INDEX(PP_Grid[#Data],$DE304,63),0)</f>
        <v/>
      </c>
      <c r="BO304">
        <f>IFERROR(INDEX(PP_Grid[#Data],$DE304,64),0)</f>
        <v/>
      </c>
      <c r="BP304">
        <f>IFERROR(INDEX(PP_Grid[#Data],$DE304,65),0)</f>
        <v/>
      </c>
      <c r="BQ304">
        <f>IFERROR(INDEX(PP_Grid[#Data],$DE304,66),0)</f>
        <v/>
      </c>
      <c r="BR304">
        <f>IFERROR(INDEX(PP_Grid[#Data],$DE304,67),0)</f>
        <v/>
      </c>
      <c r="BS304">
        <f>IFERROR(INDEX(PP_Grid[#Data],$DE304,68),0)</f>
        <v/>
      </c>
      <c r="BT304">
        <f>IFERROR(INDEX(PP_Grid[#Data],$DE304,69),0)</f>
        <v/>
      </c>
      <c r="BU304">
        <f>IFERROR(INDEX(PP_Grid[#Data],$DE304,70),0)</f>
        <v/>
      </c>
      <c r="BV304">
        <f>IFERROR(INDEX(PP_Grid[#Data],$DE304,71),0)</f>
        <v/>
      </c>
      <c r="BW304">
        <f>IFERROR(INDEX(PP_Grid[#Data],$DE304,72),0)</f>
        <v/>
      </c>
      <c r="BX304">
        <f>IFERROR(INDEX(PP_Grid[#Data],$DE304,73),0)</f>
        <v/>
      </c>
      <c r="BY304">
        <f>IFERROR(INDEX(PP_Grid[#Data],$DE304,74),0)</f>
        <v/>
      </c>
      <c r="BZ304">
        <f>IFERROR(INDEX(PP_Grid[#Data],$DE304,75),0)</f>
        <v/>
      </c>
      <c r="CA304">
        <f>IFERROR(INDEX(PP_Grid[#Data],$DE304,76),0)</f>
        <v/>
      </c>
      <c r="CB304">
        <f>IFERROR(INDEX(PP_Grid[#Data],$DE304,77),0)</f>
        <v/>
      </c>
      <c r="CC304">
        <f>IFERROR(INDEX(PP_Grid[#Data],$DE304,78),0)</f>
        <v/>
      </c>
      <c r="CD304">
        <f>IFERROR(INDEX(PP_Grid[#Data],$DE304,79),0)</f>
        <v/>
      </c>
      <c r="CE304">
        <f>IFERROR(INDEX(PP_Grid[#Data],$DE304,80),0)</f>
        <v/>
      </c>
      <c r="CF304">
        <f>IFERROR(INDEX(PP_Grid[#Data],$DE304,81),0)</f>
        <v/>
      </c>
      <c r="CG304">
        <f>IFERROR(INDEX(PP_Grid[#Data],$DE304,82),0)</f>
        <v/>
      </c>
      <c r="CH304">
        <f>IFERROR(INDEX(PP_Grid[#Data],$DE304,83),0)</f>
        <v/>
      </c>
      <c r="CI304">
        <f>IFERROR(INDEX(PP_Grid[#Data],$DE304,84),0)</f>
        <v/>
      </c>
      <c r="CJ304">
        <f>IFERROR(INDEX(PP_Grid[#Data],$DE304,85),0)</f>
        <v/>
      </c>
      <c r="CK304">
        <f>IFERROR(INDEX(PP_Grid[#Data],$DE304,86),0)</f>
        <v/>
      </c>
      <c r="CL304">
        <f>IFERROR(INDEX(PP_Grid[#Data],$DE304,87),0)</f>
        <v/>
      </c>
      <c r="CM304">
        <f>IFERROR(INDEX(PP_Grid[#Data],$DE304,88),0)</f>
        <v/>
      </c>
      <c r="CN304">
        <f>IFERROR(INDEX(PP_Grid[#Data],$DE304,89),0)</f>
        <v/>
      </c>
      <c r="CO304">
        <f>IFERROR(INDEX(PP_Grid[#Data],$DE304,90),0)</f>
        <v/>
      </c>
      <c r="CP304">
        <f>IFERROR(INDEX(PP_Grid[#Data],$DE304,91),0)</f>
        <v/>
      </c>
      <c r="CQ304">
        <f>IFERROR(INDEX(PP_Grid[#Data],$DE304,92),0)</f>
        <v/>
      </c>
      <c r="CR304">
        <f>IFERROR(INDEX(PP_Grid[#Data],$DE304,93),0)</f>
        <v/>
      </c>
      <c r="CS304">
        <f>IFERROR(INDEX(PP_Grid[#Data],$DE304,94),0)</f>
        <v/>
      </c>
      <c r="CT304">
        <f>IFERROR(INDEX(PP_Grid[#Data],$DE304,95),0)</f>
        <v/>
      </c>
      <c r="CU304">
        <f>IFERROR(INDEX(PP_Grid[#Data],$DE304,96),0)</f>
        <v/>
      </c>
      <c r="CV304">
        <f>IFERROR(INDEX(PP_Grid[#Data],$DE304,97),0)</f>
        <v/>
      </c>
      <c r="CW304">
        <f>IFERROR(INDEX(PP_Grid[#Data],$DE304,98),0)</f>
        <v/>
      </c>
      <c r="CX304">
        <f>IFERROR(INDEX(PP_Grid[#Data],$DE304,99),0)</f>
        <v/>
      </c>
      <c r="CY304">
        <f>IFERROR(INDEX(PP_Grid[#Data],$DE304,100),0)</f>
        <v/>
      </c>
      <c r="CZ304">
        <f>IFERROR(INDEX(PP_Grid[#Data],$DE304,101),0)</f>
        <v/>
      </c>
      <c r="DA304">
        <f>IFERROR(INDEX(PP_Grid[#Data],$DE304,102),0)</f>
        <v/>
      </c>
      <c r="DB304">
        <f>IFERROR(INDEX(PP_Grid[#Data],$DE304,103),0)</f>
        <v/>
      </c>
      <c r="DC304">
        <f>IFERROR(INDEX(PP_Grid[#Data],$DE304,104),0)</f>
        <v/>
      </c>
      <c r="DD304">
        <f>IFERROR(INDEX(PP_Grid[#Data],$DE304,105),0)</f>
        <v/>
      </c>
      <c r="DE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SUMIFS(M_BOM[RM_Qty_Per_Batch],M_BOM[Intermediate],$B304,M_BOM[RM_Code],$A199)</f>
        <v/>
      </c>
      <c r="D305">
        <f>IFERROR(INDEX(E305:DD305,$F$1),"")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  <c r="DD305">
        <f>$C305*DD304</f>
        <v/>
      </c>
    </row>
    <row r="306">
      <c r="B306" t="inlineStr">
        <is>
          <t>VSP-603</t>
        </is>
      </c>
      <c r="C306" t="inlineStr">
        <is>
          <t>No. of batches</t>
        </is>
      </c>
      <c r="D306">
        <f>IFERROR(INDEX(E306:DD306,$F$1),"")</f>
        <v/>
      </c>
      <c r="E306">
        <f>IFERROR(INDEX(PP_Grid[#Data],$DE306,2),0)</f>
        <v/>
      </c>
      <c r="F306">
        <f>IFERROR(INDEX(PP_Grid[#Data],$DE306,3),0)</f>
        <v/>
      </c>
      <c r="G306">
        <f>IFERROR(INDEX(PP_Grid[#Data],$DE306,4),0)</f>
        <v/>
      </c>
      <c r="H306">
        <f>IFERROR(INDEX(PP_Grid[#Data],$DE306,5),0)</f>
        <v/>
      </c>
      <c r="I306">
        <f>IFERROR(INDEX(PP_Grid[#Data],$DE306,6),0)</f>
        <v/>
      </c>
      <c r="J306">
        <f>IFERROR(INDEX(PP_Grid[#Data],$DE306,7),0)</f>
        <v/>
      </c>
      <c r="K306">
        <f>IFERROR(INDEX(PP_Grid[#Data],$DE306,8),0)</f>
        <v/>
      </c>
      <c r="L306">
        <f>IFERROR(INDEX(PP_Grid[#Data],$DE306,9),0)</f>
        <v/>
      </c>
      <c r="M306">
        <f>IFERROR(INDEX(PP_Grid[#Data],$DE306,10),0)</f>
        <v/>
      </c>
      <c r="N306">
        <f>IFERROR(INDEX(PP_Grid[#Data],$DE306,11),0)</f>
        <v/>
      </c>
      <c r="O306">
        <f>IFERROR(INDEX(PP_Grid[#Data],$DE306,12),0)</f>
        <v/>
      </c>
      <c r="P306">
        <f>IFERROR(INDEX(PP_Grid[#Data],$DE306,13),0)</f>
        <v/>
      </c>
      <c r="Q306">
        <f>IFERROR(INDEX(PP_Grid[#Data],$DE306,14),0)</f>
        <v/>
      </c>
      <c r="R306">
        <f>IFERROR(INDEX(PP_Grid[#Data],$DE306,15),0)</f>
        <v/>
      </c>
      <c r="S306">
        <f>IFERROR(INDEX(PP_Grid[#Data],$DE306,16),0)</f>
        <v/>
      </c>
      <c r="T306">
        <f>IFERROR(INDEX(PP_Grid[#Data],$DE306,17),0)</f>
        <v/>
      </c>
      <c r="U306">
        <f>IFERROR(INDEX(PP_Grid[#Data],$DE306,18),0)</f>
        <v/>
      </c>
      <c r="V306">
        <f>IFERROR(INDEX(PP_Grid[#Data],$DE306,19),0)</f>
        <v/>
      </c>
      <c r="W306">
        <f>IFERROR(INDEX(PP_Grid[#Data],$DE306,20),0)</f>
        <v/>
      </c>
      <c r="X306">
        <f>IFERROR(INDEX(PP_Grid[#Data],$DE306,21),0)</f>
        <v/>
      </c>
      <c r="Y306">
        <f>IFERROR(INDEX(PP_Grid[#Data],$DE306,22),0)</f>
        <v/>
      </c>
      <c r="Z306">
        <f>IFERROR(INDEX(PP_Grid[#Data],$DE306,23),0)</f>
        <v/>
      </c>
      <c r="AA306">
        <f>IFERROR(INDEX(PP_Grid[#Data],$DE306,24),0)</f>
        <v/>
      </c>
      <c r="AB306">
        <f>IFERROR(INDEX(PP_Grid[#Data],$DE306,25),0)</f>
        <v/>
      </c>
      <c r="AC306">
        <f>IFERROR(INDEX(PP_Grid[#Data],$DE306,26),0)</f>
        <v/>
      </c>
      <c r="AD306">
        <f>IFERROR(INDEX(PP_Grid[#Data],$DE306,27),0)</f>
        <v/>
      </c>
      <c r="AE306">
        <f>IFERROR(INDEX(PP_Grid[#Data],$DE306,28),0)</f>
        <v/>
      </c>
      <c r="AF306">
        <f>IFERROR(INDEX(PP_Grid[#Data],$DE306,29),0)</f>
        <v/>
      </c>
      <c r="AG306">
        <f>IFERROR(INDEX(PP_Grid[#Data],$DE306,30),0)</f>
        <v/>
      </c>
      <c r="AH306">
        <f>IFERROR(INDEX(PP_Grid[#Data],$DE306,31),0)</f>
        <v/>
      </c>
      <c r="AI306">
        <f>IFERROR(INDEX(PP_Grid[#Data],$DE306,32),0)</f>
        <v/>
      </c>
      <c r="AJ306">
        <f>IFERROR(INDEX(PP_Grid[#Data],$DE306,33),0)</f>
        <v/>
      </c>
      <c r="AK306">
        <f>IFERROR(INDEX(PP_Grid[#Data],$DE306,34),0)</f>
        <v/>
      </c>
      <c r="AL306">
        <f>IFERROR(INDEX(PP_Grid[#Data],$DE306,35),0)</f>
        <v/>
      </c>
      <c r="AM306">
        <f>IFERROR(INDEX(PP_Grid[#Data],$DE306,36),0)</f>
        <v/>
      </c>
      <c r="AN306">
        <f>IFERROR(INDEX(PP_Grid[#Data],$DE306,37),0)</f>
        <v/>
      </c>
      <c r="AO306">
        <f>IFERROR(INDEX(PP_Grid[#Data],$DE306,38),0)</f>
        <v/>
      </c>
      <c r="AP306">
        <f>IFERROR(INDEX(PP_Grid[#Data],$DE306,39),0)</f>
        <v/>
      </c>
      <c r="AQ306">
        <f>IFERROR(INDEX(PP_Grid[#Data],$DE306,40),0)</f>
        <v/>
      </c>
      <c r="AR306">
        <f>IFERROR(INDEX(PP_Grid[#Data],$DE306,41),0)</f>
        <v/>
      </c>
      <c r="AS306">
        <f>IFERROR(INDEX(PP_Grid[#Data],$DE306,42),0)</f>
        <v/>
      </c>
      <c r="AT306">
        <f>IFERROR(INDEX(PP_Grid[#Data],$DE306,43),0)</f>
        <v/>
      </c>
      <c r="AU306">
        <f>IFERROR(INDEX(PP_Grid[#Data],$DE306,44),0)</f>
        <v/>
      </c>
      <c r="AV306">
        <f>IFERROR(INDEX(PP_Grid[#Data],$DE306,45),0)</f>
        <v/>
      </c>
      <c r="AW306">
        <f>IFERROR(INDEX(PP_Grid[#Data],$DE306,46),0)</f>
        <v/>
      </c>
      <c r="AX306">
        <f>IFERROR(INDEX(PP_Grid[#Data],$DE306,47),0)</f>
        <v/>
      </c>
      <c r="AY306">
        <f>IFERROR(INDEX(PP_Grid[#Data],$DE306,48),0)</f>
        <v/>
      </c>
      <c r="AZ306">
        <f>IFERROR(INDEX(PP_Grid[#Data],$DE306,49),0)</f>
        <v/>
      </c>
      <c r="BA306">
        <f>IFERROR(INDEX(PP_Grid[#Data],$DE306,50),0)</f>
        <v/>
      </c>
      <c r="BB306">
        <f>IFERROR(INDEX(PP_Grid[#Data],$DE306,51),0)</f>
        <v/>
      </c>
      <c r="BC306">
        <f>IFERROR(INDEX(PP_Grid[#Data],$DE306,52),0)</f>
        <v/>
      </c>
      <c r="BD306">
        <f>IFERROR(INDEX(PP_Grid[#Data],$DE306,53),0)</f>
        <v/>
      </c>
      <c r="BE306">
        <f>IFERROR(INDEX(PP_Grid[#Data],$DE306,54),0)</f>
        <v/>
      </c>
      <c r="BF306">
        <f>IFERROR(INDEX(PP_Grid[#Data],$DE306,55),0)</f>
        <v/>
      </c>
      <c r="BG306">
        <f>IFERROR(INDEX(PP_Grid[#Data],$DE306,56),0)</f>
        <v/>
      </c>
      <c r="BH306">
        <f>IFERROR(INDEX(PP_Grid[#Data],$DE306,57),0)</f>
        <v/>
      </c>
      <c r="BI306">
        <f>IFERROR(INDEX(PP_Grid[#Data],$DE306,58),0)</f>
        <v/>
      </c>
      <c r="BJ306">
        <f>IFERROR(INDEX(PP_Grid[#Data],$DE306,59),0)</f>
        <v/>
      </c>
      <c r="BK306">
        <f>IFERROR(INDEX(PP_Grid[#Data],$DE306,60),0)</f>
        <v/>
      </c>
      <c r="BL306">
        <f>IFERROR(INDEX(PP_Grid[#Data],$DE306,61),0)</f>
        <v/>
      </c>
      <c r="BM306">
        <f>IFERROR(INDEX(PP_Grid[#Data],$DE306,62),0)</f>
        <v/>
      </c>
      <c r="BN306">
        <f>IFERROR(INDEX(PP_Grid[#Data],$DE306,63),0)</f>
        <v/>
      </c>
      <c r="BO306">
        <f>IFERROR(INDEX(PP_Grid[#Data],$DE306,64),0)</f>
        <v/>
      </c>
      <c r="BP306">
        <f>IFERROR(INDEX(PP_Grid[#Data],$DE306,65),0)</f>
        <v/>
      </c>
      <c r="BQ306">
        <f>IFERROR(INDEX(PP_Grid[#Data],$DE306,66),0)</f>
        <v/>
      </c>
      <c r="BR306">
        <f>IFERROR(INDEX(PP_Grid[#Data],$DE306,67),0)</f>
        <v/>
      </c>
      <c r="BS306">
        <f>IFERROR(INDEX(PP_Grid[#Data],$DE306,68),0)</f>
        <v/>
      </c>
      <c r="BT306">
        <f>IFERROR(INDEX(PP_Grid[#Data],$DE306,69),0)</f>
        <v/>
      </c>
      <c r="BU306">
        <f>IFERROR(INDEX(PP_Grid[#Data],$DE306,70),0)</f>
        <v/>
      </c>
      <c r="BV306">
        <f>IFERROR(INDEX(PP_Grid[#Data],$DE306,71),0)</f>
        <v/>
      </c>
      <c r="BW306">
        <f>IFERROR(INDEX(PP_Grid[#Data],$DE306,72),0)</f>
        <v/>
      </c>
      <c r="BX306">
        <f>IFERROR(INDEX(PP_Grid[#Data],$DE306,73),0)</f>
        <v/>
      </c>
      <c r="BY306">
        <f>IFERROR(INDEX(PP_Grid[#Data],$DE306,74),0)</f>
        <v/>
      </c>
      <c r="BZ306">
        <f>IFERROR(INDEX(PP_Grid[#Data],$DE306,75),0)</f>
        <v/>
      </c>
      <c r="CA306">
        <f>IFERROR(INDEX(PP_Grid[#Data],$DE306,76),0)</f>
        <v/>
      </c>
      <c r="CB306">
        <f>IFERROR(INDEX(PP_Grid[#Data],$DE306,77),0)</f>
        <v/>
      </c>
      <c r="CC306">
        <f>IFERROR(INDEX(PP_Grid[#Data],$DE306,78),0)</f>
        <v/>
      </c>
      <c r="CD306">
        <f>IFERROR(INDEX(PP_Grid[#Data],$DE306,79),0)</f>
        <v/>
      </c>
      <c r="CE306">
        <f>IFERROR(INDEX(PP_Grid[#Data],$DE306,80),0)</f>
        <v/>
      </c>
      <c r="CF306">
        <f>IFERROR(INDEX(PP_Grid[#Data],$DE306,81),0)</f>
        <v/>
      </c>
      <c r="CG306">
        <f>IFERROR(INDEX(PP_Grid[#Data],$DE306,82),0)</f>
        <v/>
      </c>
      <c r="CH306">
        <f>IFERROR(INDEX(PP_Grid[#Data],$DE306,83),0)</f>
        <v/>
      </c>
      <c r="CI306">
        <f>IFERROR(INDEX(PP_Grid[#Data],$DE306,84),0)</f>
        <v/>
      </c>
      <c r="CJ306">
        <f>IFERROR(INDEX(PP_Grid[#Data],$DE306,85),0)</f>
        <v/>
      </c>
      <c r="CK306">
        <f>IFERROR(INDEX(PP_Grid[#Data],$DE306,86),0)</f>
        <v/>
      </c>
      <c r="CL306">
        <f>IFERROR(INDEX(PP_Grid[#Data],$DE306,87),0)</f>
        <v/>
      </c>
      <c r="CM306">
        <f>IFERROR(INDEX(PP_Grid[#Data],$DE306,88),0)</f>
        <v/>
      </c>
      <c r="CN306">
        <f>IFERROR(INDEX(PP_Grid[#Data],$DE306,89),0)</f>
        <v/>
      </c>
      <c r="CO306">
        <f>IFERROR(INDEX(PP_Grid[#Data],$DE306,90),0)</f>
        <v/>
      </c>
      <c r="CP306">
        <f>IFERROR(INDEX(PP_Grid[#Data],$DE306,91),0)</f>
        <v/>
      </c>
      <c r="CQ306">
        <f>IFERROR(INDEX(PP_Grid[#Data],$DE306,92),0)</f>
        <v/>
      </c>
      <c r="CR306">
        <f>IFERROR(INDEX(PP_Grid[#Data],$DE306,93),0)</f>
        <v/>
      </c>
      <c r="CS306">
        <f>IFERROR(INDEX(PP_Grid[#Data],$DE306,94),0)</f>
        <v/>
      </c>
      <c r="CT306">
        <f>IFERROR(INDEX(PP_Grid[#Data],$DE306,95),0)</f>
        <v/>
      </c>
      <c r="CU306">
        <f>IFERROR(INDEX(PP_Grid[#Data],$DE306,96),0)</f>
        <v/>
      </c>
      <c r="CV306">
        <f>IFERROR(INDEX(PP_Grid[#Data],$DE306,97),0)</f>
        <v/>
      </c>
      <c r="CW306">
        <f>IFERROR(INDEX(PP_Grid[#Data],$DE306,98),0)</f>
        <v/>
      </c>
      <c r="CX306">
        <f>IFERROR(INDEX(PP_Grid[#Data],$DE306,99),0)</f>
        <v/>
      </c>
      <c r="CY306">
        <f>IFERROR(INDEX(PP_Grid[#Data],$DE306,100),0)</f>
        <v/>
      </c>
      <c r="CZ306">
        <f>IFERROR(INDEX(PP_Grid[#Data],$DE306,101),0)</f>
        <v/>
      </c>
      <c r="DA306">
        <f>IFERROR(INDEX(PP_Grid[#Data],$DE306,102),0)</f>
        <v/>
      </c>
      <c r="DB306">
        <f>IFERROR(INDEX(PP_Grid[#Data],$DE306,103),0)</f>
        <v/>
      </c>
      <c r="DC306">
        <f>IFERROR(INDEX(PP_Grid[#Data],$DE306,104),0)</f>
        <v/>
      </c>
      <c r="DD306">
        <f>IFERROR(INDEX(PP_Grid[#Data],$DE306,105),0)</f>
        <v/>
      </c>
      <c r="DE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SUMIFS(M_BOM[RM_Qty_Per_Batch],M_BOM[Intermediate],$B306,M_BOM[RM_Code],$A199)</f>
        <v/>
      </c>
      <c r="D307">
        <f>IFERROR(INDEX(E307:DD307,$F$1),"")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  <c r="DD307">
        <f>$C307*DD306</f>
        <v/>
      </c>
    </row>
    <row r="308">
      <c r="B308" t="inlineStr">
        <is>
          <t>VSP-604</t>
        </is>
      </c>
      <c r="C308" t="inlineStr">
        <is>
          <t>No. of batches</t>
        </is>
      </c>
      <c r="D308">
        <f>IFERROR(INDEX(E308:DD308,$F$1),"")</f>
        <v/>
      </c>
      <c r="E308">
        <f>IFERROR(INDEX(PP_Grid[#Data],$DE308,2),0)</f>
        <v/>
      </c>
      <c r="F308">
        <f>IFERROR(INDEX(PP_Grid[#Data],$DE308,3),0)</f>
        <v/>
      </c>
      <c r="G308">
        <f>IFERROR(INDEX(PP_Grid[#Data],$DE308,4),0)</f>
        <v/>
      </c>
      <c r="H308">
        <f>IFERROR(INDEX(PP_Grid[#Data],$DE308,5),0)</f>
        <v/>
      </c>
      <c r="I308">
        <f>IFERROR(INDEX(PP_Grid[#Data],$DE308,6),0)</f>
        <v/>
      </c>
      <c r="J308">
        <f>IFERROR(INDEX(PP_Grid[#Data],$DE308,7),0)</f>
        <v/>
      </c>
      <c r="K308">
        <f>IFERROR(INDEX(PP_Grid[#Data],$DE308,8),0)</f>
        <v/>
      </c>
      <c r="L308">
        <f>IFERROR(INDEX(PP_Grid[#Data],$DE308,9),0)</f>
        <v/>
      </c>
      <c r="M308">
        <f>IFERROR(INDEX(PP_Grid[#Data],$DE308,10),0)</f>
        <v/>
      </c>
      <c r="N308">
        <f>IFERROR(INDEX(PP_Grid[#Data],$DE308,11),0)</f>
        <v/>
      </c>
      <c r="O308">
        <f>IFERROR(INDEX(PP_Grid[#Data],$DE308,12),0)</f>
        <v/>
      </c>
      <c r="P308">
        <f>IFERROR(INDEX(PP_Grid[#Data],$DE308,13),0)</f>
        <v/>
      </c>
      <c r="Q308">
        <f>IFERROR(INDEX(PP_Grid[#Data],$DE308,14),0)</f>
        <v/>
      </c>
      <c r="R308">
        <f>IFERROR(INDEX(PP_Grid[#Data],$DE308,15),0)</f>
        <v/>
      </c>
      <c r="S308">
        <f>IFERROR(INDEX(PP_Grid[#Data],$DE308,16),0)</f>
        <v/>
      </c>
      <c r="T308">
        <f>IFERROR(INDEX(PP_Grid[#Data],$DE308,17),0)</f>
        <v/>
      </c>
      <c r="U308">
        <f>IFERROR(INDEX(PP_Grid[#Data],$DE308,18),0)</f>
        <v/>
      </c>
      <c r="V308">
        <f>IFERROR(INDEX(PP_Grid[#Data],$DE308,19),0)</f>
        <v/>
      </c>
      <c r="W308">
        <f>IFERROR(INDEX(PP_Grid[#Data],$DE308,20),0)</f>
        <v/>
      </c>
      <c r="X308">
        <f>IFERROR(INDEX(PP_Grid[#Data],$DE308,21),0)</f>
        <v/>
      </c>
      <c r="Y308">
        <f>IFERROR(INDEX(PP_Grid[#Data],$DE308,22),0)</f>
        <v/>
      </c>
      <c r="Z308">
        <f>IFERROR(INDEX(PP_Grid[#Data],$DE308,23),0)</f>
        <v/>
      </c>
      <c r="AA308">
        <f>IFERROR(INDEX(PP_Grid[#Data],$DE308,24),0)</f>
        <v/>
      </c>
      <c r="AB308">
        <f>IFERROR(INDEX(PP_Grid[#Data],$DE308,25),0)</f>
        <v/>
      </c>
      <c r="AC308">
        <f>IFERROR(INDEX(PP_Grid[#Data],$DE308,26),0)</f>
        <v/>
      </c>
      <c r="AD308">
        <f>IFERROR(INDEX(PP_Grid[#Data],$DE308,27),0)</f>
        <v/>
      </c>
      <c r="AE308">
        <f>IFERROR(INDEX(PP_Grid[#Data],$DE308,28),0)</f>
        <v/>
      </c>
      <c r="AF308">
        <f>IFERROR(INDEX(PP_Grid[#Data],$DE308,29),0)</f>
        <v/>
      </c>
      <c r="AG308">
        <f>IFERROR(INDEX(PP_Grid[#Data],$DE308,30),0)</f>
        <v/>
      </c>
      <c r="AH308">
        <f>IFERROR(INDEX(PP_Grid[#Data],$DE308,31),0)</f>
        <v/>
      </c>
      <c r="AI308">
        <f>IFERROR(INDEX(PP_Grid[#Data],$DE308,32),0)</f>
        <v/>
      </c>
      <c r="AJ308">
        <f>IFERROR(INDEX(PP_Grid[#Data],$DE308,33),0)</f>
        <v/>
      </c>
      <c r="AK308">
        <f>IFERROR(INDEX(PP_Grid[#Data],$DE308,34),0)</f>
        <v/>
      </c>
      <c r="AL308">
        <f>IFERROR(INDEX(PP_Grid[#Data],$DE308,35),0)</f>
        <v/>
      </c>
      <c r="AM308">
        <f>IFERROR(INDEX(PP_Grid[#Data],$DE308,36),0)</f>
        <v/>
      </c>
      <c r="AN308">
        <f>IFERROR(INDEX(PP_Grid[#Data],$DE308,37),0)</f>
        <v/>
      </c>
      <c r="AO308">
        <f>IFERROR(INDEX(PP_Grid[#Data],$DE308,38),0)</f>
        <v/>
      </c>
      <c r="AP308">
        <f>IFERROR(INDEX(PP_Grid[#Data],$DE308,39),0)</f>
        <v/>
      </c>
      <c r="AQ308">
        <f>IFERROR(INDEX(PP_Grid[#Data],$DE308,40),0)</f>
        <v/>
      </c>
      <c r="AR308">
        <f>IFERROR(INDEX(PP_Grid[#Data],$DE308,41),0)</f>
        <v/>
      </c>
      <c r="AS308">
        <f>IFERROR(INDEX(PP_Grid[#Data],$DE308,42),0)</f>
        <v/>
      </c>
      <c r="AT308">
        <f>IFERROR(INDEX(PP_Grid[#Data],$DE308,43),0)</f>
        <v/>
      </c>
      <c r="AU308">
        <f>IFERROR(INDEX(PP_Grid[#Data],$DE308,44),0)</f>
        <v/>
      </c>
      <c r="AV308">
        <f>IFERROR(INDEX(PP_Grid[#Data],$DE308,45),0)</f>
        <v/>
      </c>
      <c r="AW308">
        <f>IFERROR(INDEX(PP_Grid[#Data],$DE308,46),0)</f>
        <v/>
      </c>
      <c r="AX308">
        <f>IFERROR(INDEX(PP_Grid[#Data],$DE308,47),0)</f>
        <v/>
      </c>
      <c r="AY308">
        <f>IFERROR(INDEX(PP_Grid[#Data],$DE308,48),0)</f>
        <v/>
      </c>
      <c r="AZ308">
        <f>IFERROR(INDEX(PP_Grid[#Data],$DE308,49),0)</f>
        <v/>
      </c>
      <c r="BA308">
        <f>IFERROR(INDEX(PP_Grid[#Data],$DE308,50),0)</f>
        <v/>
      </c>
      <c r="BB308">
        <f>IFERROR(INDEX(PP_Grid[#Data],$DE308,51),0)</f>
        <v/>
      </c>
      <c r="BC308">
        <f>IFERROR(INDEX(PP_Grid[#Data],$DE308,52),0)</f>
        <v/>
      </c>
      <c r="BD308">
        <f>IFERROR(INDEX(PP_Grid[#Data],$DE308,53),0)</f>
        <v/>
      </c>
      <c r="BE308">
        <f>IFERROR(INDEX(PP_Grid[#Data],$DE308,54),0)</f>
        <v/>
      </c>
      <c r="BF308">
        <f>IFERROR(INDEX(PP_Grid[#Data],$DE308,55),0)</f>
        <v/>
      </c>
      <c r="BG308">
        <f>IFERROR(INDEX(PP_Grid[#Data],$DE308,56),0)</f>
        <v/>
      </c>
      <c r="BH308">
        <f>IFERROR(INDEX(PP_Grid[#Data],$DE308,57),0)</f>
        <v/>
      </c>
      <c r="BI308">
        <f>IFERROR(INDEX(PP_Grid[#Data],$DE308,58),0)</f>
        <v/>
      </c>
      <c r="BJ308">
        <f>IFERROR(INDEX(PP_Grid[#Data],$DE308,59),0)</f>
        <v/>
      </c>
      <c r="BK308">
        <f>IFERROR(INDEX(PP_Grid[#Data],$DE308,60),0)</f>
        <v/>
      </c>
      <c r="BL308">
        <f>IFERROR(INDEX(PP_Grid[#Data],$DE308,61),0)</f>
        <v/>
      </c>
      <c r="BM308">
        <f>IFERROR(INDEX(PP_Grid[#Data],$DE308,62),0)</f>
        <v/>
      </c>
      <c r="BN308">
        <f>IFERROR(INDEX(PP_Grid[#Data],$DE308,63),0)</f>
        <v/>
      </c>
      <c r="BO308">
        <f>IFERROR(INDEX(PP_Grid[#Data],$DE308,64),0)</f>
        <v/>
      </c>
      <c r="BP308">
        <f>IFERROR(INDEX(PP_Grid[#Data],$DE308,65),0)</f>
        <v/>
      </c>
      <c r="BQ308">
        <f>IFERROR(INDEX(PP_Grid[#Data],$DE308,66),0)</f>
        <v/>
      </c>
      <c r="BR308">
        <f>IFERROR(INDEX(PP_Grid[#Data],$DE308,67),0)</f>
        <v/>
      </c>
      <c r="BS308">
        <f>IFERROR(INDEX(PP_Grid[#Data],$DE308,68),0)</f>
        <v/>
      </c>
      <c r="BT308">
        <f>IFERROR(INDEX(PP_Grid[#Data],$DE308,69),0)</f>
        <v/>
      </c>
      <c r="BU308">
        <f>IFERROR(INDEX(PP_Grid[#Data],$DE308,70),0)</f>
        <v/>
      </c>
      <c r="BV308">
        <f>IFERROR(INDEX(PP_Grid[#Data],$DE308,71),0)</f>
        <v/>
      </c>
      <c r="BW308">
        <f>IFERROR(INDEX(PP_Grid[#Data],$DE308,72),0)</f>
        <v/>
      </c>
      <c r="BX308">
        <f>IFERROR(INDEX(PP_Grid[#Data],$DE308,73),0)</f>
        <v/>
      </c>
      <c r="BY308">
        <f>IFERROR(INDEX(PP_Grid[#Data],$DE308,74),0)</f>
        <v/>
      </c>
      <c r="BZ308">
        <f>IFERROR(INDEX(PP_Grid[#Data],$DE308,75),0)</f>
        <v/>
      </c>
      <c r="CA308">
        <f>IFERROR(INDEX(PP_Grid[#Data],$DE308,76),0)</f>
        <v/>
      </c>
      <c r="CB308">
        <f>IFERROR(INDEX(PP_Grid[#Data],$DE308,77),0)</f>
        <v/>
      </c>
      <c r="CC308">
        <f>IFERROR(INDEX(PP_Grid[#Data],$DE308,78),0)</f>
        <v/>
      </c>
      <c r="CD308">
        <f>IFERROR(INDEX(PP_Grid[#Data],$DE308,79),0)</f>
        <v/>
      </c>
      <c r="CE308">
        <f>IFERROR(INDEX(PP_Grid[#Data],$DE308,80),0)</f>
        <v/>
      </c>
      <c r="CF308">
        <f>IFERROR(INDEX(PP_Grid[#Data],$DE308,81),0)</f>
        <v/>
      </c>
      <c r="CG308">
        <f>IFERROR(INDEX(PP_Grid[#Data],$DE308,82),0)</f>
        <v/>
      </c>
      <c r="CH308">
        <f>IFERROR(INDEX(PP_Grid[#Data],$DE308,83),0)</f>
        <v/>
      </c>
      <c r="CI308">
        <f>IFERROR(INDEX(PP_Grid[#Data],$DE308,84),0)</f>
        <v/>
      </c>
      <c r="CJ308">
        <f>IFERROR(INDEX(PP_Grid[#Data],$DE308,85),0)</f>
        <v/>
      </c>
      <c r="CK308">
        <f>IFERROR(INDEX(PP_Grid[#Data],$DE308,86),0)</f>
        <v/>
      </c>
      <c r="CL308">
        <f>IFERROR(INDEX(PP_Grid[#Data],$DE308,87),0)</f>
        <v/>
      </c>
      <c r="CM308">
        <f>IFERROR(INDEX(PP_Grid[#Data],$DE308,88),0)</f>
        <v/>
      </c>
      <c r="CN308">
        <f>IFERROR(INDEX(PP_Grid[#Data],$DE308,89),0)</f>
        <v/>
      </c>
      <c r="CO308">
        <f>IFERROR(INDEX(PP_Grid[#Data],$DE308,90),0)</f>
        <v/>
      </c>
      <c r="CP308">
        <f>IFERROR(INDEX(PP_Grid[#Data],$DE308,91),0)</f>
        <v/>
      </c>
      <c r="CQ308">
        <f>IFERROR(INDEX(PP_Grid[#Data],$DE308,92),0)</f>
        <v/>
      </c>
      <c r="CR308">
        <f>IFERROR(INDEX(PP_Grid[#Data],$DE308,93),0)</f>
        <v/>
      </c>
      <c r="CS308">
        <f>IFERROR(INDEX(PP_Grid[#Data],$DE308,94),0)</f>
        <v/>
      </c>
      <c r="CT308">
        <f>IFERROR(INDEX(PP_Grid[#Data],$DE308,95),0)</f>
        <v/>
      </c>
      <c r="CU308">
        <f>IFERROR(INDEX(PP_Grid[#Data],$DE308,96),0)</f>
        <v/>
      </c>
      <c r="CV308">
        <f>IFERROR(INDEX(PP_Grid[#Data],$DE308,97),0)</f>
        <v/>
      </c>
      <c r="CW308">
        <f>IFERROR(INDEX(PP_Grid[#Data],$DE308,98),0)</f>
        <v/>
      </c>
      <c r="CX308">
        <f>IFERROR(INDEX(PP_Grid[#Data],$DE308,99),0)</f>
        <v/>
      </c>
      <c r="CY308">
        <f>IFERROR(INDEX(PP_Grid[#Data],$DE308,100),0)</f>
        <v/>
      </c>
      <c r="CZ308">
        <f>IFERROR(INDEX(PP_Grid[#Data],$DE308,101),0)</f>
        <v/>
      </c>
      <c r="DA308">
        <f>IFERROR(INDEX(PP_Grid[#Data],$DE308,102),0)</f>
        <v/>
      </c>
      <c r="DB308">
        <f>IFERROR(INDEX(PP_Grid[#Data],$DE308,103),0)</f>
        <v/>
      </c>
      <c r="DC308">
        <f>IFERROR(INDEX(PP_Grid[#Data],$DE308,104),0)</f>
        <v/>
      </c>
      <c r="DD308">
        <f>IFERROR(INDEX(PP_Grid[#Data],$DE308,105),0)</f>
        <v/>
      </c>
      <c r="DE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SUMIFS(M_BOM[RM_Qty_Per_Batch],M_BOM[Intermediate],$B308,M_BOM[RM_Code],$A199)</f>
        <v/>
      </c>
      <c r="D309">
        <f>IFERROR(INDEX(E309:DD309,$F$1),"")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  <c r="DD309">
        <f>$C309*DD308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IFERROR(INDEX(E310:DD310,$F$1),"")</f>
        <v/>
      </c>
      <c r="E310">
        <f>IFERROR(INDEX(PP_Grid[#Data],$DE310,2),0)</f>
        <v/>
      </c>
      <c r="F310">
        <f>IFERROR(INDEX(PP_Grid[#Data],$DE310,3),0)</f>
        <v/>
      </c>
      <c r="G310">
        <f>IFERROR(INDEX(PP_Grid[#Data],$DE310,4),0)</f>
        <v/>
      </c>
      <c r="H310">
        <f>IFERROR(INDEX(PP_Grid[#Data],$DE310,5),0)</f>
        <v/>
      </c>
      <c r="I310">
        <f>IFERROR(INDEX(PP_Grid[#Data],$DE310,6),0)</f>
        <v/>
      </c>
      <c r="J310">
        <f>IFERROR(INDEX(PP_Grid[#Data],$DE310,7),0)</f>
        <v/>
      </c>
      <c r="K310">
        <f>IFERROR(INDEX(PP_Grid[#Data],$DE310,8),0)</f>
        <v/>
      </c>
      <c r="L310">
        <f>IFERROR(INDEX(PP_Grid[#Data],$DE310,9),0)</f>
        <v/>
      </c>
      <c r="M310">
        <f>IFERROR(INDEX(PP_Grid[#Data],$DE310,10),0)</f>
        <v/>
      </c>
      <c r="N310">
        <f>IFERROR(INDEX(PP_Grid[#Data],$DE310,11),0)</f>
        <v/>
      </c>
      <c r="O310">
        <f>IFERROR(INDEX(PP_Grid[#Data],$DE310,12),0)</f>
        <v/>
      </c>
      <c r="P310">
        <f>IFERROR(INDEX(PP_Grid[#Data],$DE310,13),0)</f>
        <v/>
      </c>
      <c r="Q310">
        <f>IFERROR(INDEX(PP_Grid[#Data],$DE310,14),0)</f>
        <v/>
      </c>
      <c r="R310">
        <f>IFERROR(INDEX(PP_Grid[#Data],$DE310,15),0)</f>
        <v/>
      </c>
      <c r="S310">
        <f>IFERROR(INDEX(PP_Grid[#Data],$DE310,16),0)</f>
        <v/>
      </c>
      <c r="T310">
        <f>IFERROR(INDEX(PP_Grid[#Data],$DE310,17),0)</f>
        <v/>
      </c>
      <c r="U310">
        <f>IFERROR(INDEX(PP_Grid[#Data],$DE310,18),0)</f>
        <v/>
      </c>
      <c r="V310">
        <f>IFERROR(INDEX(PP_Grid[#Data],$DE310,19),0)</f>
        <v/>
      </c>
      <c r="W310">
        <f>IFERROR(INDEX(PP_Grid[#Data],$DE310,20),0)</f>
        <v/>
      </c>
      <c r="X310">
        <f>IFERROR(INDEX(PP_Grid[#Data],$DE310,21),0)</f>
        <v/>
      </c>
      <c r="Y310">
        <f>IFERROR(INDEX(PP_Grid[#Data],$DE310,22),0)</f>
        <v/>
      </c>
      <c r="Z310">
        <f>IFERROR(INDEX(PP_Grid[#Data],$DE310,23),0)</f>
        <v/>
      </c>
      <c r="AA310">
        <f>IFERROR(INDEX(PP_Grid[#Data],$DE310,24),0)</f>
        <v/>
      </c>
      <c r="AB310">
        <f>IFERROR(INDEX(PP_Grid[#Data],$DE310,25),0)</f>
        <v/>
      </c>
      <c r="AC310">
        <f>IFERROR(INDEX(PP_Grid[#Data],$DE310,26),0)</f>
        <v/>
      </c>
      <c r="AD310">
        <f>IFERROR(INDEX(PP_Grid[#Data],$DE310,27),0)</f>
        <v/>
      </c>
      <c r="AE310">
        <f>IFERROR(INDEX(PP_Grid[#Data],$DE310,28),0)</f>
        <v/>
      </c>
      <c r="AF310">
        <f>IFERROR(INDEX(PP_Grid[#Data],$DE310,29),0)</f>
        <v/>
      </c>
      <c r="AG310">
        <f>IFERROR(INDEX(PP_Grid[#Data],$DE310,30),0)</f>
        <v/>
      </c>
      <c r="AH310">
        <f>IFERROR(INDEX(PP_Grid[#Data],$DE310,31),0)</f>
        <v/>
      </c>
      <c r="AI310">
        <f>IFERROR(INDEX(PP_Grid[#Data],$DE310,32),0)</f>
        <v/>
      </c>
      <c r="AJ310">
        <f>IFERROR(INDEX(PP_Grid[#Data],$DE310,33),0)</f>
        <v/>
      </c>
      <c r="AK310">
        <f>IFERROR(INDEX(PP_Grid[#Data],$DE310,34),0)</f>
        <v/>
      </c>
      <c r="AL310">
        <f>IFERROR(INDEX(PP_Grid[#Data],$DE310,35),0)</f>
        <v/>
      </c>
      <c r="AM310">
        <f>IFERROR(INDEX(PP_Grid[#Data],$DE310,36),0)</f>
        <v/>
      </c>
      <c r="AN310">
        <f>IFERROR(INDEX(PP_Grid[#Data],$DE310,37),0)</f>
        <v/>
      </c>
      <c r="AO310">
        <f>IFERROR(INDEX(PP_Grid[#Data],$DE310,38),0)</f>
        <v/>
      </c>
      <c r="AP310">
        <f>IFERROR(INDEX(PP_Grid[#Data],$DE310,39),0)</f>
        <v/>
      </c>
      <c r="AQ310">
        <f>IFERROR(INDEX(PP_Grid[#Data],$DE310,40),0)</f>
        <v/>
      </c>
      <c r="AR310">
        <f>IFERROR(INDEX(PP_Grid[#Data],$DE310,41),0)</f>
        <v/>
      </c>
      <c r="AS310">
        <f>IFERROR(INDEX(PP_Grid[#Data],$DE310,42),0)</f>
        <v/>
      </c>
      <c r="AT310">
        <f>IFERROR(INDEX(PP_Grid[#Data],$DE310,43),0)</f>
        <v/>
      </c>
      <c r="AU310">
        <f>IFERROR(INDEX(PP_Grid[#Data],$DE310,44),0)</f>
        <v/>
      </c>
      <c r="AV310">
        <f>IFERROR(INDEX(PP_Grid[#Data],$DE310,45),0)</f>
        <v/>
      </c>
      <c r="AW310">
        <f>IFERROR(INDEX(PP_Grid[#Data],$DE310,46),0)</f>
        <v/>
      </c>
      <c r="AX310">
        <f>IFERROR(INDEX(PP_Grid[#Data],$DE310,47),0)</f>
        <v/>
      </c>
      <c r="AY310">
        <f>IFERROR(INDEX(PP_Grid[#Data],$DE310,48),0)</f>
        <v/>
      </c>
      <c r="AZ310">
        <f>IFERROR(INDEX(PP_Grid[#Data],$DE310,49),0)</f>
        <v/>
      </c>
      <c r="BA310">
        <f>IFERROR(INDEX(PP_Grid[#Data],$DE310,50),0)</f>
        <v/>
      </c>
      <c r="BB310">
        <f>IFERROR(INDEX(PP_Grid[#Data],$DE310,51),0)</f>
        <v/>
      </c>
      <c r="BC310">
        <f>IFERROR(INDEX(PP_Grid[#Data],$DE310,52),0)</f>
        <v/>
      </c>
      <c r="BD310">
        <f>IFERROR(INDEX(PP_Grid[#Data],$DE310,53),0)</f>
        <v/>
      </c>
      <c r="BE310">
        <f>IFERROR(INDEX(PP_Grid[#Data],$DE310,54),0)</f>
        <v/>
      </c>
      <c r="BF310">
        <f>IFERROR(INDEX(PP_Grid[#Data],$DE310,55),0)</f>
        <v/>
      </c>
      <c r="BG310">
        <f>IFERROR(INDEX(PP_Grid[#Data],$DE310,56),0)</f>
        <v/>
      </c>
      <c r="BH310">
        <f>IFERROR(INDEX(PP_Grid[#Data],$DE310,57),0)</f>
        <v/>
      </c>
      <c r="BI310">
        <f>IFERROR(INDEX(PP_Grid[#Data],$DE310,58),0)</f>
        <v/>
      </c>
      <c r="BJ310">
        <f>IFERROR(INDEX(PP_Grid[#Data],$DE310,59),0)</f>
        <v/>
      </c>
      <c r="BK310">
        <f>IFERROR(INDEX(PP_Grid[#Data],$DE310,60),0)</f>
        <v/>
      </c>
      <c r="BL310">
        <f>IFERROR(INDEX(PP_Grid[#Data],$DE310,61),0)</f>
        <v/>
      </c>
      <c r="BM310">
        <f>IFERROR(INDEX(PP_Grid[#Data],$DE310,62),0)</f>
        <v/>
      </c>
      <c r="BN310">
        <f>IFERROR(INDEX(PP_Grid[#Data],$DE310,63),0)</f>
        <v/>
      </c>
      <c r="BO310">
        <f>IFERROR(INDEX(PP_Grid[#Data],$DE310,64),0)</f>
        <v/>
      </c>
      <c r="BP310">
        <f>IFERROR(INDEX(PP_Grid[#Data],$DE310,65),0)</f>
        <v/>
      </c>
      <c r="BQ310">
        <f>IFERROR(INDEX(PP_Grid[#Data],$DE310,66),0)</f>
        <v/>
      </c>
      <c r="BR310">
        <f>IFERROR(INDEX(PP_Grid[#Data],$DE310,67),0)</f>
        <v/>
      </c>
      <c r="BS310">
        <f>IFERROR(INDEX(PP_Grid[#Data],$DE310,68),0)</f>
        <v/>
      </c>
      <c r="BT310">
        <f>IFERROR(INDEX(PP_Grid[#Data],$DE310,69),0)</f>
        <v/>
      </c>
      <c r="BU310">
        <f>IFERROR(INDEX(PP_Grid[#Data],$DE310,70),0)</f>
        <v/>
      </c>
      <c r="BV310">
        <f>IFERROR(INDEX(PP_Grid[#Data],$DE310,71),0)</f>
        <v/>
      </c>
      <c r="BW310">
        <f>IFERROR(INDEX(PP_Grid[#Data],$DE310,72),0)</f>
        <v/>
      </c>
      <c r="BX310">
        <f>IFERROR(INDEX(PP_Grid[#Data],$DE310,73),0)</f>
        <v/>
      </c>
      <c r="BY310">
        <f>IFERROR(INDEX(PP_Grid[#Data],$DE310,74),0)</f>
        <v/>
      </c>
      <c r="BZ310">
        <f>IFERROR(INDEX(PP_Grid[#Data],$DE310,75),0)</f>
        <v/>
      </c>
      <c r="CA310">
        <f>IFERROR(INDEX(PP_Grid[#Data],$DE310,76),0)</f>
        <v/>
      </c>
      <c r="CB310">
        <f>IFERROR(INDEX(PP_Grid[#Data],$DE310,77),0)</f>
        <v/>
      </c>
      <c r="CC310">
        <f>IFERROR(INDEX(PP_Grid[#Data],$DE310,78),0)</f>
        <v/>
      </c>
      <c r="CD310">
        <f>IFERROR(INDEX(PP_Grid[#Data],$DE310,79),0)</f>
        <v/>
      </c>
      <c r="CE310">
        <f>IFERROR(INDEX(PP_Grid[#Data],$DE310,80),0)</f>
        <v/>
      </c>
      <c r="CF310">
        <f>IFERROR(INDEX(PP_Grid[#Data],$DE310,81),0)</f>
        <v/>
      </c>
      <c r="CG310">
        <f>IFERROR(INDEX(PP_Grid[#Data],$DE310,82),0)</f>
        <v/>
      </c>
      <c r="CH310">
        <f>IFERROR(INDEX(PP_Grid[#Data],$DE310,83),0)</f>
        <v/>
      </c>
      <c r="CI310">
        <f>IFERROR(INDEX(PP_Grid[#Data],$DE310,84),0)</f>
        <v/>
      </c>
      <c r="CJ310">
        <f>IFERROR(INDEX(PP_Grid[#Data],$DE310,85),0)</f>
        <v/>
      </c>
      <c r="CK310">
        <f>IFERROR(INDEX(PP_Grid[#Data],$DE310,86),0)</f>
        <v/>
      </c>
      <c r="CL310">
        <f>IFERROR(INDEX(PP_Grid[#Data],$DE310,87),0)</f>
        <v/>
      </c>
      <c r="CM310">
        <f>IFERROR(INDEX(PP_Grid[#Data],$DE310,88),0)</f>
        <v/>
      </c>
      <c r="CN310">
        <f>IFERROR(INDEX(PP_Grid[#Data],$DE310,89),0)</f>
        <v/>
      </c>
      <c r="CO310">
        <f>IFERROR(INDEX(PP_Grid[#Data],$DE310,90),0)</f>
        <v/>
      </c>
      <c r="CP310">
        <f>IFERROR(INDEX(PP_Grid[#Data],$DE310,91),0)</f>
        <v/>
      </c>
      <c r="CQ310">
        <f>IFERROR(INDEX(PP_Grid[#Data],$DE310,92),0)</f>
        <v/>
      </c>
      <c r="CR310">
        <f>IFERROR(INDEX(PP_Grid[#Data],$DE310,93),0)</f>
        <v/>
      </c>
      <c r="CS310">
        <f>IFERROR(INDEX(PP_Grid[#Data],$DE310,94),0)</f>
        <v/>
      </c>
      <c r="CT310">
        <f>IFERROR(INDEX(PP_Grid[#Data],$DE310,95),0)</f>
        <v/>
      </c>
      <c r="CU310">
        <f>IFERROR(INDEX(PP_Grid[#Data],$DE310,96),0)</f>
        <v/>
      </c>
      <c r="CV310">
        <f>IFERROR(INDEX(PP_Grid[#Data],$DE310,97),0)</f>
        <v/>
      </c>
      <c r="CW310">
        <f>IFERROR(INDEX(PP_Grid[#Data],$DE310,98),0)</f>
        <v/>
      </c>
      <c r="CX310">
        <f>IFERROR(INDEX(PP_Grid[#Data],$DE310,99),0)</f>
        <v/>
      </c>
      <c r="CY310">
        <f>IFERROR(INDEX(PP_Grid[#Data],$DE310,100),0)</f>
        <v/>
      </c>
      <c r="CZ310">
        <f>IFERROR(INDEX(PP_Grid[#Data],$DE310,101),0)</f>
        <v/>
      </c>
      <c r="DA310">
        <f>IFERROR(INDEX(PP_Grid[#Data],$DE310,102),0)</f>
        <v/>
      </c>
      <c r="DB310">
        <f>IFERROR(INDEX(PP_Grid[#Data],$DE310,103),0)</f>
        <v/>
      </c>
      <c r="DC310">
        <f>IFERROR(INDEX(PP_Grid[#Data],$DE310,104),0)</f>
        <v/>
      </c>
      <c r="DD310">
        <f>IFERROR(INDEX(PP_Grid[#Data],$DE310,105),0)</f>
        <v/>
      </c>
      <c r="DE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SUMIFS(M_BOM[RM_Qty_Per_Batch],M_BOM[Intermediate],$B310,M_BOM[RM_Code],$A199)</f>
        <v/>
      </c>
      <c r="D311">
        <f>IFERROR(INDEX(E311:DD311,$F$1),"")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  <c r="DD311">
        <f>$C311*DD310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IFERROR(INDEX(E312:DD312,$F$1),"")</f>
        <v/>
      </c>
      <c r="E312">
        <f>IFERROR(INDEX(PP_Grid[#Data],$DE312,2),0)</f>
        <v/>
      </c>
      <c r="F312">
        <f>IFERROR(INDEX(PP_Grid[#Data],$DE312,3),0)</f>
        <v/>
      </c>
      <c r="G312">
        <f>IFERROR(INDEX(PP_Grid[#Data],$DE312,4),0)</f>
        <v/>
      </c>
      <c r="H312">
        <f>IFERROR(INDEX(PP_Grid[#Data],$DE312,5),0)</f>
        <v/>
      </c>
      <c r="I312">
        <f>IFERROR(INDEX(PP_Grid[#Data],$DE312,6),0)</f>
        <v/>
      </c>
      <c r="J312">
        <f>IFERROR(INDEX(PP_Grid[#Data],$DE312,7),0)</f>
        <v/>
      </c>
      <c r="K312">
        <f>IFERROR(INDEX(PP_Grid[#Data],$DE312,8),0)</f>
        <v/>
      </c>
      <c r="L312">
        <f>IFERROR(INDEX(PP_Grid[#Data],$DE312,9),0)</f>
        <v/>
      </c>
      <c r="M312">
        <f>IFERROR(INDEX(PP_Grid[#Data],$DE312,10),0)</f>
        <v/>
      </c>
      <c r="N312">
        <f>IFERROR(INDEX(PP_Grid[#Data],$DE312,11),0)</f>
        <v/>
      </c>
      <c r="O312">
        <f>IFERROR(INDEX(PP_Grid[#Data],$DE312,12),0)</f>
        <v/>
      </c>
      <c r="P312">
        <f>IFERROR(INDEX(PP_Grid[#Data],$DE312,13),0)</f>
        <v/>
      </c>
      <c r="Q312">
        <f>IFERROR(INDEX(PP_Grid[#Data],$DE312,14),0)</f>
        <v/>
      </c>
      <c r="R312">
        <f>IFERROR(INDEX(PP_Grid[#Data],$DE312,15),0)</f>
        <v/>
      </c>
      <c r="S312">
        <f>IFERROR(INDEX(PP_Grid[#Data],$DE312,16),0)</f>
        <v/>
      </c>
      <c r="T312">
        <f>IFERROR(INDEX(PP_Grid[#Data],$DE312,17),0)</f>
        <v/>
      </c>
      <c r="U312">
        <f>IFERROR(INDEX(PP_Grid[#Data],$DE312,18),0)</f>
        <v/>
      </c>
      <c r="V312">
        <f>IFERROR(INDEX(PP_Grid[#Data],$DE312,19),0)</f>
        <v/>
      </c>
      <c r="W312">
        <f>IFERROR(INDEX(PP_Grid[#Data],$DE312,20),0)</f>
        <v/>
      </c>
      <c r="X312">
        <f>IFERROR(INDEX(PP_Grid[#Data],$DE312,21),0)</f>
        <v/>
      </c>
      <c r="Y312">
        <f>IFERROR(INDEX(PP_Grid[#Data],$DE312,22),0)</f>
        <v/>
      </c>
      <c r="Z312">
        <f>IFERROR(INDEX(PP_Grid[#Data],$DE312,23),0)</f>
        <v/>
      </c>
      <c r="AA312">
        <f>IFERROR(INDEX(PP_Grid[#Data],$DE312,24),0)</f>
        <v/>
      </c>
      <c r="AB312">
        <f>IFERROR(INDEX(PP_Grid[#Data],$DE312,25),0)</f>
        <v/>
      </c>
      <c r="AC312">
        <f>IFERROR(INDEX(PP_Grid[#Data],$DE312,26),0)</f>
        <v/>
      </c>
      <c r="AD312">
        <f>IFERROR(INDEX(PP_Grid[#Data],$DE312,27),0)</f>
        <v/>
      </c>
      <c r="AE312">
        <f>IFERROR(INDEX(PP_Grid[#Data],$DE312,28),0)</f>
        <v/>
      </c>
      <c r="AF312">
        <f>IFERROR(INDEX(PP_Grid[#Data],$DE312,29),0)</f>
        <v/>
      </c>
      <c r="AG312">
        <f>IFERROR(INDEX(PP_Grid[#Data],$DE312,30),0)</f>
        <v/>
      </c>
      <c r="AH312">
        <f>IFERROR(INDEX(PP_Grid[#Data],$DE312,31),0)</f>
        <v/>
      </c>
      <c r="AI312">
        <f>IFERROR(INDEX(PP_Grid[#Data],$DE312,32),0)</f>
        <v/>
      </c>
      <c r="AJ312">
        <f>IFERROR(INDEX(PP_Grid[#Data],$DE312,33),0)</f>
        <v/>
      </c>
      <c r="AK312">
        <f>IFERROR(INDEX(PP_Grid[#Data],$DE312,34),0)</f>
        <v/>
      </c>
      <c r="AL312">
        <f>IFERROR(INDEX(PP_Grid[#Data],$DE312,35),0)</f>
        <v/>
      </c>
      <c r="AM312">
        <f>IFERROR(INDEX(PP_Grid[#Data],$DE312,36),0)</f>
        <v/>
      </c>
      <c r="AN312">
        <f>IFERROR(INDEX(PP_Grid[#Data],$DE312,37),0)</f>
        <v/>
      </c>
      <c r="AO312">
        <f>IFERROR(INDEX(PP_Grid[#Data],$DE312,38),0)</f>
        <v/>
      </c>
      <c r="AP312">
        <f>IFERROR(INDEX(PP_Grid[#Data],$DE312,39),0)</f>
        <v/>
      </c>
      <c r="AQ312">
        <f>IFERROR(INDEX(PP_Grid[#Data],$DE312,40),0)</f>
        <v/>
      </c>
      <c r="AR312">
        <f>IFERROR(INDEX(PP_Grid[#Data],$DE312,41),0)</f>
        <v/>
      </c>
      <c r="AS312">
        <f>IFERROR(INDEX(PP_Grid[#Data],$DE312,42),0)</f>
        <v/>
      </c>
      <c r="AT312">
        <f>IFERROR(INDEX(PP_Grid[#Data],$DE312,43),0)</f>
        <v/>
      </c>
      <c r="AU312">
        <f>IFERROR(INDEX(PP_Grid[#Data],$DE312,44),0)</f>
        <v/>
      </c>
      <c r="AV312">
        <f>IFERROR(INDEX(PP_Grid[#Data],$DE312,45),0)</f>
        <v/>
      </c>
      <c r="AW312">
        <f>IFERROR(INDEX(PP_Grid[#Data],$DE312,46),0)</f>
        <v/>
      </c>
      <c r="AX312">
        <f>IFERROR(INDEX(PP_Grid[#Data],$DE312,47),0)</f>
        <v/>
      </c>
      <c r="AY312">
        <f>IFERROR(INDEX(PP_Grid[#Data],$DE312,48),0)</f>
        <v/>
      </c>
      <c r="AZ312">
        <f>IFERROR(INDEX(PP_Grid[#Data],$DE312,49),0)</f>
        <v/>
      </c>
      <c r="BA312">
        <f>IFERROR(INDEX(PP_Grid[#Data],$DE312,50),0)</f>
        <v/>
      </c>
      <c r="BB312">
        <f>IFERROR(INDEX(PP_Grid[#Data],$DE312,51),0)</f>
        <v/>
      </c>
      <c r="BC312">
        <f>IFERROR(INDEX(PP_Grid[#Data],$DE312,52),0)</f>
        <v/>
      </c>
      <c r="BD312">
        <f>IFERROR(INDEX(PP_Grid[#Data],$DE312,53),0)</f>
        <v/>
      </c>
      <c r="BE312">
        <f>IFERROR(INDEX(PP_Grid[#Data],$DE312,54),0)</f>
        <v/>
      </c>
      <c r="BF312">
        <f>IFERROR(INDEX(PP_Grid[#Data],$DE312,55),0)</f>
        <v/>
      </c>
      <c r="BG312">
        <f>IFERROR(INDEX(PP_Grid[#Data],$DE312,56),0)</f>
        <v/>
      </c>
      <c r="BH312">
        <f>IFERROR(INDEX(PP_Grid[#Data],$DE312,57),0)</f>
        <v/>
      </c>
      <c r="BI312">
        <f>IFERROR(INDEX(PP_Grid[#Data],$DE312,58),0)</f>
        <v/>
      </c>
      <c r="BJ312">
        <f>IFERROR(INDEX(PP_Grid[#Data],$DE312,59),0)</f>
        <v/>
      </c>
      <c r="BK312">
        <f>IFERROR(INDEX(PP_Grid[#Data],$DE312,60),0)</f>
        <v/>
      </c>
      <c r="BL312">
        <f>IFERROR(INDEX(PP_Grid[#Data],$DE312,61),0)</f>
        <v/>
      </c>
      <c r="BM312">
        <f>IFERROR(INDEX(PP_Grid[#Data],$DE312,62),0)</f>
        <v/>
      </c>
      <c r="BN312">
        <f>IFERROR(INDEX(PP_Grid[#Data],$DE312,63),0)</f>
        <v/>
      </c>
      <c r="BO312">
        <f>IFERROR(INDEX(PP_Grid[#Data],$DE312,64),0)</f>
        <v/>
      </c>
      <c r="BP312">
        <f>IFERROR(INDEX(PP_Grid[#Data],$DE312,65),0)</f>
        <v/>
      </c>
      <c r="BQ312">
        <f>IFERROR(INDEX(PP_Grid[#Data],$DE312,66),0)</f>
        <v/>
      </c>
      <c r="BR312">
        <f>IFERROR(INDEX(PP_Grid[#Data],$DE312,67),0)</f>
        <v/>
      </c>
      <c r="BS312">
        <f>IFERROR(INDEX(PP_Grid[#Data],$DE312,68),0)</f>
        <v/>
      </c>
      <c r="BT312">
        <f>IFERROR(INDEX(PP_Grid[#Data],$DE312,69),0)</f>
        <v/>
      </c>
      <c r="BU312">
        <f>IFERROR(INDEX(PP_Grid[#Data],$DE312,70),0)</f>
        <v/>
      </c>
      <c r="BV312">
        <f>IFERROR(INDEX(PP_Grid[#Data],$DE312,71),0)</f>
        <v/>
      </c>
      <c r="BW312">
        <f>IFERROR(INDEX(PP_Grid[#Data],$DE312,72),0)</f>
        <v/>
      </c>
      <c r="BX312">
        <f>IFERROR(INDEX(PP_Grid[#Data],$DE312,73),0)</f>
        <v/>
      </c>
      <c r="BY312">
        <f>IFERROR(INDEX(PP_Grid[#Data],$DE312,74),0)</f>
        <v/>
      </c>
      <c r="BZ312">
        <f>IFERROR(INDEX(PP_Grid[#Data],$DE312,75),0)</f>
        <v/>
      </c>
      <c r="CA312">
        <f>IFERROR(INDEX(PP_Grid[#Data],$DE312,76),0)</f>
        <v/>
      </c>
      <c r="CB312">
        <f>IFERROR(INDEX(PP_Grid[#Data],$DE312,77),0)</f>
        <v/>
      </c>
      <c r="CC312">
        <f>IFERROR(INDEX(PP_Grid[#Data],$DE312,78),0)</f>
        <v/>
      </c>
      <c r="CD312">
        <f>IFERROR(INDEX(PP_Grid[#Data],$DE312,79),0)</f>
        <v/>
      </c>
      <c r="CE312">
        <f>IFERROR(INDEX(PP_Grid[#Data],$DE312,80),0)</f>
        <v/>
      </c>
      <c r="CF312">
        <f>IFERROR(INDEX(PP_Grid[#Data],$DE312,81),0)</f>
        <v/>
      </c>
      <c r="CG312">
        <f>IFERROR(INDEX(PP_Grid[#Data],$DE312,82),0)</f>
        <v/>
      </c>
      <c r="CH312">
        <f>IFERROR(INDEX(PP_Grid[#Data],$DE312,83),0)</f>
        <v/>
      </c>
      <c r="CI312">
        <f>IFERROR(INDEX(PP_Grid[#Data],$DE312,84),0)</f>
        <v/>
      </c>
      <c r="CJ312">
        <f>IFERROR(INDEX(PP_Grid[#Data],$DE312,85),0)</f>
        <v/>
      </c>
      <c r="CK312">
        <f>IFERROR(INDEX(PP_Grid[#Data],$DE312,86),0)</f>
        <v/>
      </c>
      <c r="CL312">
        <f>IFERROR(INDEX(PP_Grid[#Data],$DE312,87),0)</f>
        <v/>
      </c>
      <c r="CM312">
        <f>IFERROR(INDEX(PP_Grid[#Data],$DE312,88),0)</f>
        <v/>
      </c>
      <c r="CN312">
        <f>IFERROR(INDEX(PP_Grid[#Data],$DE312,89),0)</f>
        <v/>
      </c>
      <c r="CO312">
        <f>IFERROR(INDEX(PP_Grid[#Data],$DE312,90),0)</f>
        <v/>
      </c>
      <c r="CP312">
        <f>IFERROR(INDEX(PP_Grid[#Data],$DE312,91),0)</f>
        <v/>
      </c>
      <c r="CQ312">
        <f>IFERROR(INDEX(PP_Grid[#Data],$DE312,92),0)</f>
        <v/>
      </c>
      <c r="CR312">
        <f>IFERROR(INDEX(PP_Grid[#Data],$DE312,93),0)</f>
        <v/>
      </c>
      <c r="CS312">
        <f>IFERROR(INDEX(PP_Grid[#Data],$DE312,94),0)</f>
        <v/>
      </c>
      <c r="CT312">
        <f>IFERROR(INDEX(PP_Grid[#Data],$DE312,95),0)</f>
        <v/>
      </c>
      <c r="CU312">
        <f>IFERROR(INDEX(PP_Grid[#Data],$DE312,96),0)</f>
        <v/>
      </c>
      <c r="CV312">
        <f>IFERROR(INDEX(PP_Grid[#Data],$DE312,97),0)</f>
        <v/>
      </c>
      <c r="CW312">
        <f>IFERROR(INDEX(PP_Grid[#Data],$DE312,98),0)</f>
        <v/>
      </c>
      <c r="CX312">
        <f>IFERROR(INDEX(PP_Grid[#Data],$DE312,99),0)</f>
        <v/>
      </c>
      <c r="CY312">
        <f>IFERROR(INDEX(PP_Grid[#Data],$DE312,100),0)</f>
        <v/>
      </c>
      <c r="CZ312">
        <f>IFERROR(INDEX(PP_Grid[#Data],$DE312,101),0)</f>
        <v/>
      </c>
      <c r="DA312">
        <f>IFERROR(INDEX(PP_Grid[#Data],$DE312,102),0)</f>
        <v/>
      </c>
      <c r="DB312">
        <f>IFERROR(INDEX(PP_Grid[#Data],$DE312,103),0)</f>
        <v/>
      </c>
      <c r="DC312">
        <f>IFERROR(INDEX(PP_Grid[#Data],$DE312,104),0)</f>
        <v/>
      </c>
      <c r="DD312">
        <f>IFERROR(INDEX(PP_Grid[#Data],$DE312,105),0)</f>
        <v/>
      </c>
      <c r="DE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SUMIFS(M_BOM[RM_Qty_Per_Batch],M_BOM[Intermediate],$B312,M_BOM[RM_Code],$A199)</f>
        <v/>
      </c>
      <c r="D313">
        <f>IFERROR(INDEX(E313:DD313,$F$1),"")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  <c r="DD313">
        <f>$C313*DD312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IFERROR(INDEX(E314:DD314,$F$1),"")</f>
        <v/>
      </c>
      <c r="E314">
        <f>IFERROR(INDEX(PP_Grid[#Data],$DE314,2),0)</f>
        <v/>
      </c>
      <c r="F314">
        <f>IFERROR(INDEX(PP_Grid[#Data],$DE314,3),0)</f>
        <v/>
      </c>
      <c r="G314">
        <f>IFERROR(INDEX(PP_Grid[#Data],$DE314,4),0)</f>
        <v/>
      </c>
      <c r="H314">
        <f>IFERROR(INDEX(PP_Grid[#Data],$DE314,5),0)</f>
        <v/>
      </c>
      <c r="I314">
        <f>IFERROR(INDEX(PP_Grid[#Data],$DE314,6),0)</f>
        <v/>
      </c>
      <c r="J314">
        <f>IFERROR(INDEX(PP_Grid[#Data],$DE314,7),0)</f>
        <v/>
      </c>
      <c r="K314">
        <f>IFERROR(INDEX(PP_Grid[#Data],$DE314,8),0)</f>
        <v/>
      </c>
      <c r="L314">
        <f>IFERROR(INDEX(PP_Grid[#Data],$DE314,9),0)</f>
        <v/>
      </c>
      <c r="M314">
        <f>IFERROR(INDEX(PP_Grid[#Data],$DE314,10),0)</f>
        <v/>
      </c>
      <c r="N314">
        <f>IFERROR(INDEX(PP_Grid[#Data],$DE314,11),0)</f>
        <v/>
      </c>
      <c r="O314">
        <f>IFERROR(INDEX(PP_Grid[#Data],$DE314,12),0)</f>
        <v/>
      </c>
      <c r="P314">
        <f>IFERROR(INDEX(PP_Grid[#Data],$DE314,13),0)</f>
        <v/>
      </c>
      <c r="Q314">
        <f>IFERROR(INDEX(PP_Grid[#Data],$DE314,14),0)</f>
        <v/>
      </c>
      <c r="R314">
        <f>IFERROR(INDEX(PP_Grid[#Data],$DE314,15),0)</f>
        <v/>
      </c>
      <c r="S314">
        <f>IFERROR(INDEX(PP_Grid[#Data],$DE314,16),0)</f>
        <v/>
      </c>
      <c r="T314">
        <f>IFERROR(INDEX(PP_Grid[#Data],$DE314,17),0)</f>
        <v/>
      </c>
      <c r="U314">
        <f>IFERROR(INDEX(PP_Grid[#Data],$DE314,18),0)</f>
        <v/>
      </c>
      <c r="V314">
        <f>IFERROR(INDEX(PP_Grid[#Data],$DE314,19),0)</f>
        <v/>
      </c>
      <c r="W314">
        <f>IFERROR(INDEX(PP_Grid[#Data],$DE314,20),0)</f>
        <v/>
      </c>
      <c r="X314">
        <f>IFERROR(INDEX(PP_Grid[#Data],$DE314,21),0)</f>
        <v/>
      </c>
      <c r="Y314">
        <f>IFERROR(INDEX(PP_Grid[#Data],$DE314,22),0)</f>
        <v/>
      </c>
      <c r="Z314">
        <f>IFERROR(INDEX(PP_Grid[#Data],$DE314,23),0)</f>
        <v/>
      </c>
      <c r="AA314">
        <f>IFERROR(INDEX(PP_Grid[#Data],$DE314,24),0)</f>
        <v/>
      </c>
      <c r="AB314">
        <f>IFERROR(INDEX(PP_Grid[#Data],$DE314,25),0)</f>
        <v/>
      </c>
      <c r="AC314">
        <f>IFERROR(INDEX(PP_Grid[#Data],$DE314,26),0)</f>
        <v/>
      </c>
      <c r="AD314">
        <f>IFERROR(INDEX(PP_Grid[#Data],$DE314,27),0)</f>
        <v/>
      </c>
      <c r="AE314">
        <f>IFERROR(INDEX(PP_Grid[#Data],$DE314,28),0)</f>
        <v/>
      </c>
      <c r="AF314">
        <f>IFERROR(INDEX(PP_Grid[#Data],$DE314,29),0)</f>
        <v/>
      </c>
      <c r="AG314">
        <f>IFERROR(INDEX(PP_Grid[#Data],$DE314,30),0)</f>
        <v/>
      </c>
      <c r="AH314">
        <f>IFERROR(INDEX(PP_Grid[#Data],$DE314,31),0)</f>
        <v/>
      </c>
      <c r="AI314">
        <f>IFERROR(INDEX(PP_Grid[#Data],$DE314,32),0)</f>
        <v/>
      </c>
      <c r="AJ314">
        <f>IFERROR(INDEX(PP_Grid[#Data],$DE314,33),0)</f>
        <v/>
      </c>
      <c r="AK314">
        <f>IFERROR(INDEX(PP_Grid[#Data],$DE314,34),0)</f>
        <v/>
      </c>
      <c r="AL314">
        <f>IFERROR(INDEX(PP_Grid[#Data],$DE314,35),0)</f>
        <v/>
      </c>
      <c r="AM314">
        <f>IFERROR(INDEX(PP_Grid[#Data],$DE314,36),0)</f>
        <v/>
      </c>
      <c r="AN314">
        <f>IFERROR(INDEX(PP_Grid[#Data],$DE314,37),0)</f>
        <v/>
      </c>
      <c r="AO314">
        <f>IFERROR(INDEX(PP_Grid[#Data],$DE314,38),0)</f>
        <v/>
      </c>
      <c r="AP314">
        <f>IFERROR(INDEX(PP_Grid[#Data],$DE314,39),0)</f>
        <v/>
      </c>
      <c r="AQ314">
        <f>IFERROR(INDEX(PP_Grid[#Data],$DE314,40),0)</f>
        <v/>
      </c>
      <c r="AR314">
        <f>IFERROR(INDEX(PP_Grid[#Data],$DE314,41),0)</f>
        <v/>
      </c>
      <c r="AS314">
        <f>IFERROR(INDEX(PP_Grid[#Data],$DE314,42),0)</f>
        <v/>
      </c>
      <c r="AT314">
        <f>IFERROR(INDEX(PP_Grid[#Data],$DE314,43),0)</f>
        <v/>
      </c>
      <c r="AU314">
        <f>IFERROR(INDEX(PP_Grid[#Data],$DE314,44),0)</f>
        <v/>
      </c>
      <c r="AV314">
        <f>IFERROR(INDEX(PP_Grid[#Data],$DE314,45),0)</f>
        <v/>
      </c>
      <c r="AW314">
        <f>IFERROR(INDEX(PP_Grid[#Data],$DE314,46),0)</f>
        <v/>
      </c>
      <c r="AX314">
        <f>IFERROR(INDEX(PP_Grid[#Data],$DE314,47),0)</f>
        <v/>
      </c>
      <c r="AY314">
        <f>IFERROR(INDEX(PP_Grid[#Data],$DE314,48),0)</f>
        <v/>
      </c>
      <c r="AZ314">
        <f>IFERROR(INDEX(PP_Grid[#Data],$DE314,49),0)</f>
        <v/>
      </c>
      <c r="BA314">
        <f>IFERROR(INDEX(PP_Grid[#Data],$DE314,50),0)</f>
        <v/>
      </c>
      <c r="BB314">
        <f>IFERROR(INDEX(PP_Grid[#Data],$DE314,51),0)</f>
        <v/>
      </c>
      <c r="BC314">
        <f>IFERROR(INDEX(PP_Grid[#Data],$DE314,52),0)</f>
        <v/>
      </c>
      <c r="BD314">
        <f>IFERROR(INDEX(PP_Grid[#Data],$DE314,53),0)</f>
        <v/>
      </c>
      <c r="BE314">
        <f>IFERROR(INDEX(PP_Grid[#Data],$DE314,54),0)</f>
        <v/>
      </c>
      <c r="BF314">
        <f>IFERROR(INDEX(PP_Grid[#Data],$DE314,55),0)</f>
        <v/>
      </c>
      <c r="BG314">
        <f>IFERROR(INDEX(PP_Grid[#Data],$DE314,56),0)</f>
        <v/>
      </c>
      <c r="BH314">
        <f>IFERROR(INDEX(PP_Grid[#Data],$DE314,57),0)</f>
        <v/>
      </c>
      <c r="BI314">
        <f>IFERROR(INDEX(PP_Grid[#Data],$DE314,58),0)</f>
        <v/>
      </c>
      <c r="BJ314">
        <f>IFERROR(INDEX(PP_Grid[#Data],$DE314,59),0)</f>
        <v/>
      </c>
      <c r="BK314">
        <f>IFERROR(INDEX(PP_Grid[#Data],$DE314,60),0)</f>
        <v/>
      </c>
      <c r="BL314">
        <f>IFERROR(INDEX(PP_Grid[#Data],$DE314,61),0)</f>
        <v/>
      </c>
      <c r="BM314">
        <f>IFERROR(INDEX(PP_Grid[#Data],$DE314,62),0)</f>
        <v/>
      </c>
      <c r="BN314">
        <f>IFERROR(INDEX(PP_Grid[#Data],$DE314,63),0)</f>
        <v/>
      </c>
      <c r="BO314">
        <f>IFERROR(INDEX(PP_Grid[#Data],$DE314,64),0)</f>
        <v/>
      </c>
      <c r="BP314">
        <f>IFERROR(INDEX(PP_Grid[#Data],$DE314,65),0)</f>
        <v/>
      </c>
      <c r="BQ314">
        <f>IFERROR(INDEX(PP_Grid[#Data],$DE314,66),0)</f>
        <v/>
      </c>
      <c r="BR314">
        <f>IFERROR(INDEX(PP_Grid[#Data],$DE314,67),0)</f>
        <v/>
      </c>
      <c r="BS314">
        <f>IFERROR(INDEX(PP_Grid[#Data],$DE314,68),0)</f>
        <v/>
      </c>
      <c r="BT314">
        <f>IFERROR(INDEX(PP_Grid[#Data],$DE314,69),0)</f>
        <v/>
      </c>
      <c r="BU314">
        <f>IFERROR(INDEX(PP_Grid[#Data],$DE314,70),0)</f>
        <v/>
      </c>
      <c r="BV314">
        <f>IFERROR(INDEX(PP_Grid[#Data],$DE314,71),0)</f>
        <v/>
      </c>
      <c r="BW314">
        <f>IFERROR(INDEX(PP_Grid[#Data],$DE314,72),0)</f>
        <v/>
      </c>
      <c r="BX314">
        <f>IFERROR(INDEX(PP_Grid[#Data],$DE314,73),0)</f>
        <v/>
      </c>
      <c r="BY314">
        <f>IFERROR(INDEX(PP_Grid[#Data],$DE314,74),0)</f>
        <v/>
      </c>
      <c r="BZ314">
        <f>IFERROR(INDEX(PP_Grid[#Data],$DE314,75),0)</f>
        <v/>
      </c>
      <c r="CA314">
        <f>IFERROR(INDEX(PP_Grid[#Data],$DE314,76),0)</f>
        <v/>
      </c>
      <c r="CB314">
        <f>IFERROR(INDEX(PP_Grid[#Data],$DE314,77),0)</f>
        <v/>
      </c>
      <c r="CC314">
        <f>IFERROR(INDEX(PP_Grid[#Data],$DE314,78),0)</f>
        <v/>
      </c>
      <c r="CD314">
        <f>IFERROR(INDEX(PP_Grid[#Data],$DE314,79),0)</f>
        <v/>
      </c>
      <c r="CE314">
        <f>IFERROR(INDEX(PP_Grid[#Data],$DE314,80),0)</f>
        <v/>
      </c>
      <c r="CF314">
        <f>IFERROR(INDEX(PP_Grid[#Data],$DE314,81),0)</f>
        <v/>
      </c>
      <c r="CG314">
        <f>IFERROR(INDEX(PP_Grid[#Data],$DE314,82),0)</f>
        <v/>
      </c>
      <c r="CH314">
        <f>IFERROR(INDEX(PP_Grid[#Data],$DE314,83),0)</f>
        <v/>
      </c>
      <c r="CI314">
        <f>IFERROR(INDEX(PP_Grid[#Data],$DE314,84),0)</f>
        <v/>
      </c>
      <c r="CJ314">
        <f>IFERROR(INDEX(PP_Grid[#Data],$DE314,85),0)</f>
        <v/>
      </c>
      <c r="CK314">
        <f>IFERROR(INDEX(PP_Grid[#Data],$DE314,86),0)</f>
        <v/>
      </c>
      <c r="CL314">
        <f>IFERROR(INDEX(PP_Grid[#Data],$DE314,87),0)</f>
        <v/>
      </c>
      <c r="CM314">
        <f>IFERROR(INDEX(PP_Grid[#Data],$DE314,88),0)</f>
        <v/>
      </c>
      <c r="CN314">
        <f>IFERROR(INDEX(PP_Grid[#Data],$DE314,89),0)</f>
        <v/>
      </c>
      <c r="CO314">
        <f>IFERROR(INDEX(PP_Grid[#Data],$DE314,90),0)</f>
        <v/>
      </c>
      <c r="CP314">
        <f>IFERROR(INDEX(PP_Grid[#Data],$DE314,91),0)</f>
        <v/>
      </c>
      <c r="CQ314">
        <f>IFERROR(INDEX(PP_Grid[#Data],$DE314,92),0)</f>
        <v/>
      </c>
      <c r="CR314">
        <f>IFERROR(INDEX(PP_Grid[#Data],$DE314,93),0)</f>
        <v/>
      </c>
      <c r="CS314">
        <f>IFERROR(INDEX(PP_Grid[#Data],$DE314,94),0)</f>
        <v/>
      </c>
      <c r="CT314">
        <f>IFERROR(INDEX(PP_Grid[#Data],$DE314,95),0)</f>
        <v/>
      </c>
      <c r="CU314">
        <f>IFERROR(INDEX(PP_Grid[#Data],$DE314,96),0)</f>
        <v/>
      </c>
      <c r="CV314">
        <f>IFERROR(INDEX(PP_Grid[#Data],$DE314,97),0)</f>
        <v/>
      </c>
      <c r="CW314">
        <f>IFERROR(INDEX(PP_Grid[#Data],$DE314,98),0)</f>
        <v/>
      </c>
      <c r="CX314">
        <f>IFERROR(INDEX(PP_Grid[#Data],$DE314,99),0)</f>
        <v/>
      </c>
      <c r="CY314">
        <f>IFERROR(INDEX(PP_Grid[#Data],$DE314,100),0)</f>
        <v/>
      </c>
      <c r="CZ314">
        <f>IFERROR(INDEX(PP_Grid[#Data],$DE314,101),0)</f>
        <v/>
      </c>
      <c r="DA314">
        <f>IFERROR(INDEX(PP_Grid[#Data],$DE314,102),0)</f>
        <v/>
      </c>
      <c r="DB314">
        <f>IFERROR(INDEX(PP_Grid[#Data],$DE314,103),0)</f>
        <v/>
      </c>
      <c r="DC314">
        <f>IFERROR(INDEX(PP_Grid[#Data],$DE314,104),0)</f>
        <v/>
      </c>
      <c r="DD314">
        <f>IFERROR(INDEX(PP_Grid[#Data],$DE314,105),0)</f>
        <v/>
      </c>
      <c r="DE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SUMIFS(M_BOM[RM_Qty_Per_Batch],M_BOM[Intermediate],$B314,M_BOM[RM_Code],$A199)</f>
        <v/>
      </c>
      <c r="D315">
        <f>IFERROR(INDEX(E315:DD315,$F$1),"")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  <c r="DD315">
        <f>$C315*DD314</f>
        <v/>
      </c>
    </row>
    <row r="316">
      <c r="B316" t="inlineStr">
        <is>
          <t>VSP-738</t>
        </is>
      </c>
      <c r="C316" t="inlineStr">
        <is>
          <t>No. of batches</t>
        </is>
      </c>
      <c r="D316">
        <f>IFERROR(INDEX(E316:DD316,$F$1),"")</f>
        <v/>
      </c>
      <c r="E316">
        <f>IFERROR(INDEX(PP_Grid[#Data],$DE316,2),0)</f>
        <v/>
      </c>
      <c r="F316">
        <f>IFERROR(INDEX(PP_Grid[#Data],$DE316,3),0)</f>
        <v/>
      </c>
      <c r="G316">
        <f>IFERROR(INDEX(PP_Grid[#Data],$DE316,4),0)</f>
        <v/>
      </c>
      <c r="H316">
        <f>IFERROR(INDEX(PP_Grid[#Data],$DE316,5),0)</f>
        <v/>
      </c>
      <c r="I316">
        <f>IFERROR(INDEX(PP_Grid[#Data],$DE316,6),0)</f>
        <v/>
      </c>
      <c r="J316">
        <f>IFERROR(INDEX(PP_Grid[#Data],$DE316,7),0)</f>
        <v/>
      </c>
      <c r="K316">
        <f>IFERROR(INDEX(PP_Grid[#Data],$DE316,8),0)</f>
        <v/>
      </c>
      <c r="L316">
        <f>IFERROR(INDEX(PP_Grid[#Data],$DE316,9),0)</f>
        <v/>
      </c>
      <c r="M316">
        <f>IFERROR(INDEX(PP_Grid[#Data],$DE316,10),0)</f>
        <v/>
      </c>
      <c r="N316">
        <f>IFERROR(INDEX(PP_Grid[#Data],$DE316,11),0)</f>
        <v/>
      </c>
      <c r="O316">
        <f>IFERROR(INDEX(PP_Grid[#Data],$DE316,12),0)</f>
        <v/>
      </c>
      <c r="P316">
        <f>IFERROR(INDEX(PP_Grid[#Data],$DE316,13),0)</f>
        <v/>
      </c>
      <c r="Q316">
        <f>IFERROR(INDEX(PP_Grid[#Data],$DE316,14),0)</f>
        <v/>
      </c>
      <c r="R316">
        <f>IFERROR(INDEX(PP_Grid[#Data],$DE316,15),0)</f>
        <v/>
      </c>
      <c r="S316">
        <f>IFERROR(INDEX(PP_Grid[#Data],$DE316,16),0)</f>
        <v/>
      </c>
      <c r="T316">
        <f>IFERROR(INDEX(PP_Grid[#Data],$DE316,17),0)</f>
        <v/>
      </c>
      <c r="U316">
        <f>IFERROR(INDEX(PP_Grid[#Data],$DE316,18),0)</f>
        <v/>
      </c>
      <c r="V316">
        <f>IFERROR(INDEX(PP_Grid[#Data],$DE316,19),0)</f>
        <v/>
      </c>
      <c r="W316">
        <f>IFERROR(INDEX(PP_Grid[#Data],$DE316,20),0)</f>
        <v/>
      </c>
      <c r="X316">
        <f>IFERROR(INDEX(PP_Grid[#Data],$DE316,21),0)</f>
        <v/>
      </c>
      <c r="Y316">
        <f>IFERROR(INDEX(PP_Grid[#Data],$DE316,22),0)</f>
        <v/>
      </c>
      <c r="Z316">
        <f>IFERROR(INDEX(PP_Grid[#Data],$DE316,23),0)</f>
        <v/>
      </c>
      <c r="AA316">
        <f>IFERROR(INDEX(PP_Grid[#Data],$DE316,24),0)</f>
        <v/>
      </c>
      <c r="AB316">
        <f>IFERROR(INDEX(PP_Grid[#Data],$DE316,25),0)</f>
        <v/>
      </c>
      <c r="AC316">
        <f>IFERROR(INDEX(PP_Grid[#Data],$DE316,26),0)</f>
        <v/>
      </c>
      <c r="AD316">
        <f>IFERROR(INDEX(PP_Grid[#Data],$DE316,27),0)</f>
        <v/>
      </c>
      <c r="AE316">
        <f>IFERROR(INDEX(PP_Grid[#Data],$DE316,28),0)</f>
        <v/>
      </c>
      <c r="AF316">
        <f>IFERROR(INDEX(PP_Grid[#Data],$DE316,29),0)</f>
        <v/>
      </c>
      <c r="AG316">
        <f>IFERROR(INDEX(PP_Grid[#Data],$DE316,30),0)</f>
        <v/>
      </c>
      <c r="AH316">
        <f>IFERROR(INDEX(PP_Grid[#Data],$DE316,31),0)</f>
        <v/>
      </c>
      <c r="AI316">
        <f>IFERROR(INDEX(PP_Grid[#Data],$DE316,32),0)</f>
        <v/>
      </c>
      <c r="AJ316">
        <f>IFERROR(INDEX(PP_Grid[#Data],$DE316,33),0)</f>
        <v/>
      </c>
      <c r="AK316">
        <f>IFERROR(INDEX(PP_Grid[#Data],$DE316,34),0)</f>
        <v/>
      </c>
      <c r="AL316">
        <f>IFERROR(INDEX(PP_Grid[#Data],$DE316,35),0)</f>
        <v/>
      </c>
      <c r="AM316">
        <f>IFERROR(INDEX(PP_Grid[#Data],$DE316,36),0)</f>
        <v/>
      </c>
      <c r="AN316">
        <f>IFERROR(INDEX(PP_Grid[#Data],$DE316,37),0)</f>
        <v/>
      </c>
      <c r="AO316">
        <f>IFERROR(INDEX(PP_Grid[#Data],$DE316,38),0)</f>
        <v/>
      </c>
      <c r="AP316">
        <f>IFERROR(INDEX(PP_Grid[#Data],$DE316,39),0)</f>
        <v/>
      </c>
      <c r="AQ316">
        <f>IFERROR(INDEX(PP_Grid[#Data],$DE316,40),0)</f>
        <v/>
      </c>
      <c r="AR316">
        <f>IFERROR(INDEX(PP_Grid[#Data],$DE316,41),0)</f>
        <v/>
      </c>
      <c r="AS316">
        <f>IFERROR(INDEX(PP_Grid[#Data],$DE316,42),0)</f>
        <v/>
      </c>
      <c r="AT316">
        <f>IFERROR(INDEX(PP_Grid[#Data],$DE316,43),0)</f>
        <v/>
      </c>
      <c r="AU316">
        <f>IFERROR(INDEX(PP_Grid[#Data],$DE316,44),0)</f>
        <v/>
      </c>
      <c r="AV316">
        <f>IFERROR(INDEX(PP_Grid[#Data],$DE316,45),0)</f>
        <v/>
      </c>
      <c r="AW316">
        <f>IFERROR(INDEX(PP_Grid[#Data],$DE316,46),0)</f>
        <v/>
      </c>
      <c r="AX316">
        <f>IFERROR(INDEX(PP_Grid[#Data],$DE316,47),0)</f>
        <v/>
      </c>
      <c r="AY316">
        <f>IFERROR(INDEX(PP_Grid[#Data],$DE316,48),0)</f>
        <v/>
      </c>
      <c r="AZ316">
        <f>IFERROR(INDEX(PP_Grid[#Data],$DE316,49),0)</f>
        <v/>
      </c>
      <c r="BA316">
        <f>IFERROR(INDEX(PP_Grid[#Data],$DE316,50),0)</f>
        <v/>
      </c>
      <c r="BB316">
        <f>IFERROR(INDEX(PP_Grid[#Data],$DE316,51),0)</f>
        <v/>
      </c>
      <c r="BC316">
        <f>IFERROR(INDEX(PP_Grid[#Data],$DE316,52),0)</f>
        <v/>
      </c>
      <c r="BD316">
        <f>IFERROR(INDEX(PP_Grid[#Data],$DE316,53),0)</f>
        <v/>
      </c>
      <c r="BE316">
        <f>IFERROR(INDEX(PP_Grid[#Data],$DE316,54),0)</f>
        <v/>
      </c>
      <c r="BF316">
        <f>IFERROR(INDEX(PP_Grid[#Data],$DE316,55),0)</f>
        <v/>
      </c>
      <c r="BG316">
        <f>IFERROR(INDEX(PP_Grid[#Data],$DE316,56),0)</f>
        <v/>
      </c>
      <c r="BH316">
        <f>IFERROR(INDEX(PP_Grid[#Data],$DE316,57),0)</f>
        <v/>
      </c>
      <c r="BI316">
        <f>IFERROR(INDEX(PP_Grid[#Data],$DE316,58),0)</f>
        <v/>
      </c>
      <c r="BJ316">
        <f>IFERROR(INDEX(PP_Grid[#Data],$DE316,59),0)</f>
        <v/>
      </c>
      <c r="BK316">
        <f>IFERROR(INDEX(PP_Grid[#Data],$DE316,60),0)</f>
        <v/>
      </c>
      <c r="BL316">
        <f>IFERROR(INDEX(PP_Grid[#Data],$DE316,61),0)</f>
        <v/>
      </c>
      <c r="BM316">
        <f>IFERROR(INDEX(PP_Grid[#Data],$DE316,62),0)</f>
        <v/>
      </c>
      <c r="BN316">
        <f>IFERROR(INDEX(PP_Grid[#Data],$DE316,63),0)</f>
        <v/>
      </c>
      <c r="BO316">
        <f>IFERROR(INDEX(PP_Grid[#Data],$DE316,64),0)</f>
        <v/>
      </c>
      <c r="BP316">
        <f>IFERROR(INDEX(PP_Grid[#Data],$DE316,65),0)</f>
        <v/>
      </c>
      <c r="BQ316">
        <f>IFERROR(INDEX(PP_Grid[#Data],$DE316,66),0)</f>
        <v/>
      </c>
      <c r="BR316">
        <f>IFERROR(INDEX(PP_Grid[#Data],$DE316,67),0)</f>
        <v/>
      </c>
      <c r="BS316">
        <f>IFERROR(INDEX(PP_Grid[#Data],$DE316,68),0)</f>
        <v/>
      </c>
      <c r="BT316">
        <f>IFERROR(INDEX(PP_Grid[#Data],$DE316,69),0)</f>
        <v/>
      </c>
      <c r="BU316">
        <f>IFERROR(INDEX(PP_Grid[#Data],$DE316,70),0)</f>
        <v/>
      </c>
      <c r="BV316">
        <f>IFERROR(INDEX(PP_Grid[#Data],$DE316,71),0)</f>
        <v/>
      </c>
      <c r="BW316">
        <f>IFERROR(INDEX(PP_Grid[#Data],$DE316,72),0)</f>
        <v/>
      </c>
      <c r="BX316">
        <f>IFERROR(INDEX(PP_Grid[#Data],$DE316,73),0)</f>
        <v/>
      </c>
      <c r="BY316">
        <f>IFERROR(INDEX(PP_Grid[#Data],$DE316,74),0)</f>
        <v/>
      </c>
      <c r="BZ316">
        <f>IFERROR(INDEX(PP_Grid[#Data],$DE316,75),0)</f>
        <v/>
      </c>
      <c r="CA316">
        <f>IFERROR(INDEX(PP_Grid[#Data],$DE316,76),0)</f>
        <v/>
      </c>
      <c r="CB316">
        <f>IFERROR(INDEX(PP_Grid[#Data],$DE316,77),0)</f>
        <v/>
      </c>
      <c r="CC316">
        <f>IFERROR(INDEX(PP_Grid[#Data],$DE316,78),0)</f>
        <v/>
      </c>
      <c r="CD316">
        <f>IFERROR(INDEX(PP_Grid[#Data],$DE316,79),0)</f>
        <v/>
      </c>
      <c r="CE316">
        <f>IFERROR(INDEX(PP_Grid[#Data],$DE316,80),0)</f>
        <v/>
      </c>
      <c r="CF316">
        <f>IFERROR(INDEX(PP_Grid[#Data],$DE316,81),0)</f>
        <v/>
      </c>
      <c r="CG316">
        <f>IFERROR(INDEX(PP_Grid[#Data],$DE316,82),0)</f>
        <v/>
      </c>
      <c r="CH316">
        <f>IFERROR(INDEX(PP_Grid[#Data],$DE316,83),0)</f>
        <v/>
      </c>
      <c r="CI316">
        <f>IFERROR(INDEX(PP_Grid[#Data],$DE316,84),0)</f>
        <v/>
      </c>
      <c r="CJ316">
        <f>IFERROR(INDEX(PP_Grid[#Data],$DE316,85),0)</f>
        <v/>
      </c>
      <c r="CK316">
        <f>IFERROR(INDEX(PP_Grid[#Data],$DE316,86),0)</f>
        <v/>
      </c>
      <c r="CL316">
        <f>IFERROR(INDEX(PP_Grid[#Data],$DE316,87),0)</f>
        <v/>
      </c>
      <c r="CM316">
        <f>IFERROR(INDEX(PP_Grid[#Data],$DE316,88),0)</f>
        <v/>
      </c>
      <c r="CN316">
        <f>IFERROR(INDEX(PP_Grid[#Data],$DE316,89),0)</f>
        <v/>
      </c>
      <c r="CO316">
        <f>IFERROR(INDEX(PP_Grid[#Data],$DE316,90),0)</f>
        <v/>
      </c>
      <c r="CP316">
        <f>IFERROR(INDEX(PP_Grid[#Data],$DE316,91),0)</f>
        <v/>
      </c>
      <c r="CQ316">
        <f>IFERROR(INDEX(PP_Grid[#Data],$DE316,92),0)</f>
        <v/>
      </c>
      <c r="CR316">
        <f>IFERROR(INDEX(PP_Grid[#Data],$DE316,93),0)</f>
        <v/>
      </c>
      <c r="CS316">
        <f>IFERROR(INDEX(PP_Grid[#Data],$DE316,94),0)</f>
        <v/>
      </c>
      <c r="CT316">
        <f>IFERROR(INDEX(PP_Grid[#Data],$DE316,95),0)</f>
        <v/>
      </c>
      <c r="CU316">
        <f>IFERROR(INDEX(PP_Grid[#Data],$DE316,96),0)</f>
        <v/>
      </c>
      <c r="CV316">
        <f>IFERROR(INDEX(PP_Grid[#Data],$DE316,97),0)</f>
        <v/>
      </c>
      <c r="CW316">
        <f>IFERROR(INDEX(PP_Grid[#Data],$DE316,98),0)</f>
        <v/>
      </c>
      <c r="CX316">
        <f>IFERROR(INDEX(PP_Grid[#Data],$DE316,99),0)</f>
        <v/>
      </c>
      <c r="CY316">
        <f>IFERROR(INDEX(PP_Grid[#Data],$DE316,100),0)</f>
        <v/>
      </c>
      <c r="CZ316">
        <f>IFERROR(INDEX(PP_Grid[#Data],$DE316,101),0)</f>
        <v/>
      </c>
      <c r="DA316">
        <f>IFERROR(INDEX(PP_Grid[#Data],$DE316,102),0)</f>
        <v/>
      </c>
      <c r="DB316">
        <f>IFERROR(INDEX(PP_Grid[#Data],$DE316,103),0)</f>
        <v/>
      </c>
      <c r="DC316">
        <f>IFERROR(INDEX(PP_Grid[#Data],$DE316,104),0)</f>
        <v/>
      </c>
      <c r="DD316">
        <f>IFERROR(INDEX(PP_Grid[#Data],$DE316,105),0)</f>
        <v/>
      </c>
      <c r="DE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SUMIFS(M_BOM[RM_Qty_Per_Batch],M_BOM[Intermediate],$B316,M_BOM[RM_Code],$A199)</f>
        <v/>
      </c>
      <c r="D317">
        <f>IFERROR(INDEX(E317:DD317,$F$1),"")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  <c r="DD317">
        <f>$C317*DD316</f>
        <v/>
      </c>
    </row>
    <row r="318">
      <c r="B318" t="inlineStr">
        <is>
          <t>VSP-739</t>
        </is>
      </c>
      <c r="C318" t="inlineStr">
        <is>
          <t>No. of batches</t>
        </is>
      </c>
      <c r="D318">
        <f>IFERROR(INDEX(E318:DD318,$F$1),"")</f>
        <v/>
      </c>
      <c r="E318">
        <f>IFERROR(INDEX(PP_Grid[#Data],$DE318,2),0)</f>
        <v/>
      </c>
      <c r="F318">
        <f>IFERROR(INDEX(PP_Grid[#Data],$DE318,3),0)</f>
        <v/>
      </c>
      <c r="G318">
        <f>IFERROR(INDEX(PP_Grid[#Data],$DE318,4),0)</f>
        <v/>
      </c>
      <c r="H318">
        <f>IFERROR(INDEX(PP_Grid[#Data],$DE318,5),0)</f>
        <v/>
      </c>
      <c r="I318">
        <f>IFERROR(INDEX(PP_Grid[#Data],$DE318,6),0)</f>
        <v/>
      </c>
      <c r="J318">
        <f>IFERROR(INDEX(PP_Grid[#Data],$DE318,7),0)</f>
        <v/>
      </c>
      <c r="K318">
        <f>IFERROR(INDEX(PP_Grid[#Data],$DE318,8),0)</f>
        <v/>
      </c>
      <c r="L318">
        <f>IFERROR(INDEX(PP_Grid[#Data],$DE318,9),0)</f>
        <v/>
      </c>
      <c r="M318">
        <f>IFERROR(INDEX(PP_Grid[#Data],$DE318,10),0)</f>
        <v/>
      </c>
      <c r="N318">
        <f>IFERROR(INDEX(PP_Grid[#Data],$DE318,11),0)</f>
        <v/>
      </c>
      <c r="O318">
        <f>IFERROR(INDEX(PP_Grid[#Data],$DE318,12),0)</f>
        <v/>
      </c>
      <c r="P318">
        <f>IFERROR(INDEX(PP_Grid[#Data],$DE318,13),0)</f>
        <v/>
      </c>
      <c r="Q318">
        <f>IFERROR(INDEX(PP_Grid[#Data],$DE318,14),0)</f>
        <v/>
      </c>
      <c r="R318">
        <f>IFERROR(INDEX(PP_Grid[#Data],$DE318,15),0)</f>
        <v/>
      </c>
      <c r="S318">
        <f>IFERROR(INDEX(PP_Grid[#Data],$DE318,16),0)</f>
        <v/>
      </c>
      <c r="T318">
        <f>IFERROR(INDEX(PP_Grid[#Data],$DE318,17),0)</f>
        <v/>
      </c>
      <c r="U318">
        <f>IFERROR(INDEX(PP_Grid[#Data],$DE318,18),0)</f>
        <v/>
      </c>
      <c r="V318">
        <f>IFERROR(INDEX(PP_Grid[#Data],$DE318,19),0)</f>
        <v/>
      </c>
      <c r="W318">
        <f>IFERROR(INDEX(PP_Grid[#Data],$DE318,20),0)</f>
        <v/>
      </c>
      <c r="X318">
        <f>IFERROR(INDEX(PP_Grid[#Data],$DE318,21),0)</f>
        <v/>
      </c>
      <c r="Y318">
        <f>IFERROR(INDEX(PP_Grid[#Data],$DE318,22),0)</f>
        <v/>
      </c>
      <c r="Z318">
        <f>IFERROR(INDEX(PP_Grid[#Data],$DE318,23),0)</f>
        <v/>
      </c>
      <c r="AA318">
        <f>IFERROR(INDEX(PP_Grid[#Data],$DE318,24),0)</f>
        <v/>
      </c>
      <c r="AB318">
        <f>IFERROR(INDEX(PP_Grid[#Data],$DE318,25),0)</f>
        <v/>
      </c>
      <c r="AC318">
        <f>IFERROR(INDEX(PP_Grid[#Data],$DE318,26),0)</f>
        <v/>
      </c>
      <c r="AD318">
        <f>IFERROR(INDEX(PP_Grid[#Data],$DE318,27),0)</f>
        <v/>
      </c>
      <c r="AE318">
        <f>IFERROR(INDEX(PP_Grid[#Data],$DE318,28),0)</f>
        <v/>
      </c>
      <c r="AF318">
        <f>IFERROR(INDEX(PP_Grid[#Data],$DE318,29),0)</f>
        <v/>
      </c>
      <c r="AG318">
        <f>IFERROR(INDEX(PP_Grid[#Data],$DE318,30),0)</f>
        <v/>
      </c>
      <c r="AH318">
        <f>IFERROR(INDEX(PP_Grid[#Data],$DE318,31),0)</f>
        <v/>
      </c>
      <c r="AI318">
        <f>IFERROR(INDEX(PP_Grid[#Data],$DE318,32),0)</f>
        <v/>
      </c>
      <c r="AJ318">
        <f>IFERROR(INDEX(PP_Grid[#Data],$DE318,33),0)</f>
        <v/>
      </c>
      <c r="AK318">
        <f>IFERROR(INDEX(PP_Grid[#Data],$DE318,34),0)</f>
        <v/>
      </c>
      <c r="AL318">
        <f>IFERROR(INDEX(PP_Grid[#Data],$DE318,35),0)</f>
        <v/>
      </c>
      <c r="AM318">
        <f>IFERROR(INDEX(PP_Grid[#Data],$DE318,36),0)</f>
        <v/>
      </c>
      <c r="AN318">
        <f>IFERROR(INDEX(PP_Grid[#Data],$DE318,37),0)</f>
        <v/>
      </c>
      <c r="AO318">
        <f>IFERROR(INDEX(PP_Grid[#Data],$DE318,38),0)</f>
        <v/>
      </c>
      <c r="AP318">
        <f>IFERROR(INDEX(PP_Grid[#Data],$DE318,39),0)</f>
        <v/>
      </c>
      <c r="AQ318">
        <f>IFERROR(INDEX(PP_Grid[#Data],$DE318,40),0)</f>
        <v/>
      </c>
      <c r="AR318">
        <f>IFERROR(INDEX(PP_Grid[#Data],$DE318,41),0)</f>
        <v/>
      </c>
      <c r="AS318">
        <f>IFERROR(INDEX(PP_Grid[#Data],$DE318,42),0)</f>
        <v/>
      </c>
      <c r="AT318">
        <f>IFERROR(INDEX(PP_Grid[#Data],$DE318,43),0)</f>
        <v/>
      </c>
      <c r="AU318">
        <f>IFERROR(INDEX(PP_Grid[#Data],$DE318,44),0)</f>
        <v/>
      </c>
      <c r="AV318">
        <f>IFERROR(INDEX(PP_Grid[#Data],$DE318,45),0)</f>
        <v/>
      </c>
      <c r="AW318">
        <f>IFERROR(INDEX(PP_Grid[#Data],$DE318,46),0)</f>
        <v/>
      </c>
      <c r="AX318">
        <f>IFERROR(INDEX(PP_Grid[#Data],$DE318,47),0)</f>
        <v/>
      </c>
      <c r="AY318">
        <f>IFERROR(INDEX(PP_Grid[#Data],$DE318,48),0)</f>
        <v/>
      </c>
      <c r="AZ318">
        <f>IFERROR(INDEX(PP_Grid[#Data],$DE318,49),0)</f>
        <v/>
      </c>
      <c r="BA318">
        <f>IFERROR(INDEX(PP_Grid[#Data],$DE318,50),0)</f>
        <v/>
      </c>
      <c r="BB318">
        <f>IFERROR(INDEX(PP_Grid[#Data],$DE318,51),0)</f>
        <v/>
      </c>
      <c r="BC318">
        <f>IFERROR(INDEX(PP_Grid[#Data],$DE318,52),0)</f>
        <v/>
      </c>
      <c r="BD318">
        <f>IFERROR(INDEX(PP_Grid[#Data],$DE318,53),0)</f>
        <v/>
      </c>
      <c r="BE318">
        <f>IFERROR(INDEX(PP_Grid[#Data],$DE318,54),0)</f>
        <v/>
      </c>
      <c r="BF318">
        <f>IFERROR(INDEX(PP_Grid[#Data],$DE318,55),0)</f>
        <v/>
      </c>
      <c r="BG318">
        <f>IFERROR(INDEX(PP_Grid[#Data],$DE318,56),0)</f>
        <v/>
      </c>
      <c r="BH318">
        <f>IFERROR(INDEX(PP_Grid[#Data],$DE318,57),0)</f>
        <v/>
      </c>
      <c r="BI318">
        <f>IFERROR(INDEX(PP_Grid[#Data],$DE318,58),0)</f>
        <v/>
      </c>
      <c r="BJ318">
        <f>IFERROR(INDEX(PP_Grid[#Data],$DE318,59),0)</f>
        <v/>
      </c>
      <c r="BK318">
        <f>IFERROR(INDEX(PP_Grid[#Data],$DE318,60),0)</f>
        <v/>
      </c>
      <c r="BL318">
        <f>IFERROR(INDEX(PP_Grid[#Data],$DE318,61),0)</f>
        <v/>
      </c>
      <c r="BM318">
        <f>IFERROR(INDEX(PP_Grid[#Data],$DE318,62),0)</f>
        <v/>
      </c>
      <c r="BN318">
        <f>IFERROR(INDEX(PP_Grid[#Data],$DE318,63),0)</f>
        <v/>
      </c>
      <c r="BO318">
        <f>IFERROR(INDEX(PP_Grid[#Data],$DE318,64),0)</f>
        <v/>
      </c>
      <c r="BP318">
        <f>IFERROR(INDEX(PP_Grid[#Data],$DE318,65),0)</f>
        <v/>
      </c>
      <c r="BQ318">
        <f>IFERROR(INDEX(PP_Grid[#Data],$DE318,66),0)</f>
        <v/>
      </c>
      <c r="BR318">
        <f>IFERROR(INDEX(PP_Grid[#Data],$DE318,67),0)</f>
        <v/>
      </c>
      <c r="BS318">
        <f>IFERROR(INDEX(PP_Grid[#Data],$DE318,68),0)</f>
        <v/>
      </c>
      <c r="BT318">
        <f>IFERROR(INDEX(PP_Grid[#Data],$DE318,69),0)</f>
        <v/>
      </c>
      <c r="BU318">
        <f>IFERROR(INDEX(PP_Grid[#Data],$DE318,70),0)</f>
        <v/>
      </c>
      <c r="BV318">
        <f>IFERROR(INDEX(PP_Grid[#Data],$DE318,71),0)</f>
        <v/>
      </c>
      <c r="BW318">
        <f>IFERROR(INDEX(PP_Grid[#Data],$DE318,72),0)</f>
        <v/>
      </c>
      <c r="BX318">
        <f>IFERROR(INDEX(PP_Grid[#Data],$DE318,73),0)</f>
        <v/>
      </c>
      <c r="BY318">
        <f>IFERROR(INDEX(PP_Grid[#Data],$DE318,74),0)</f>
        <v/>
      </c>
      <c r="BZ318">
        <f>IFERROR(INDEX(PP_Grid[#Data],$DE318,75),0)</f>
        <v/>
      </c>
      <c r="CA318">
        <f>IFERROR(INDEX(PP_Grid[#Data],$DE318,76),0)</f>
        <v/>
      </c>
      <c r="CB318">
        <f>IFERROR(INDEX(PP_Grid[#Data],$DE318,77),0)</f>
        <v/>
      </c>
      <c r="CC318">
        <f>IFERROR(INDEX(PP_Grid[#Data],$DE318,78),0)</f>
        <v/>
      </c>
      <c r="CD318">
        <f>IFERROR(INDEX(PP_Grid[#Data],$DE318,79),0)</f>
        <v/>
      </c>
      <c r="CE318">
        <f>IFERROR(INDEX(PP_Grid[#Data],$DE318,80),0)</f>
        <v/>
      </c>
      <c r="CF318">
        <f>IFERROR(INDEX(PP_Grid[#Data],$DE318,81),0)</f>
        <v/>
      </c>
      <c r="CG318">
        <f>IFERROR(INDEX(PP_Grid[#Data],$DE318,82),0)</f>
        <v/>
      </c>
      <c r="CH318">
        <f>IFERROR(INDEX(PP_Grid[#Data],$DE318,83),0)</f>
        <v/>
      </c>
      <c r="CI318">
        <f>IFERROR(INDEX(PP_Grid[#Data],$DE318,84),0)</f>
        <v/>
      </c>
      <c r="CJ318">
        <f>IFERROR(INDEX(PP_Grid[#Data],$DE318,85),0)</f>
        <v/>
      </c>
      <c r="CK318">
        <f>IFERROR(INDEX(PP_Grid[#Data],$DE318,86),0)</f>
        <v/>
      </c>
      <c r="CL318">
        <f>IFERROR(INDEX(PP_Grid[#Data],$DE318,87),0)</f>
        <v/>
      </c>
      <c r="CM318">
        <f>IFERROR(INDEX(PP_Grid[#Data],$DE318,88),0)</f>
        <v/>
      </c>
      <c r="CN318">
        <f>IFERROR(INDEX(PP_Grid[#Data],$DE318,89),0)</f>
        <v/>
      </c>
      <c r="CO318">
        <f>IFERROR(INDEX(PP_Grid[#Data],$DE318,90),0)</f>
        <v/>
      </c>
      <c r="CP318">
        <f>IFERROR(INDEX(PP_Grid[#Data],$DE318,91),0)</f>
        <v/>
      </c>
      <c r="CQ318">
        <f>IFERROR(INDEX(PP_Grid[#Data],$DE318,92),0)</f>
        <v/>
      </c>
      <c r="CR318">
        <f>IFERROR(INDEX(PP_Grid[#Data],$DE318,93),0)</f>
        <v/>
      </c>
      <c r="CS318">
        <f>IFERROR(INDEX(PP_Grid[#Data],$DE318,94),0)</f>
        <v/>
      </c>
      <c r="CT318">
        <f>IFERROR(INDEX(PP_Grid[#Data],$DE318,95),0)</f>
        <v/>
      </c>
      <c r="CU318">
        <f>IFERROR(INDEX(PP_Grid[#Data],$DE318,96),0)</f>
        <v/>
      </c>
      <c r="CV318">
        <f>IFERROR(INDEX(PP_Grid[#Data],$DE318,97),0)</f>
        <v/>
      </c>
      <c r="CW318">
        <f>IFERROR(INDEX(PP_Grid[#Data],$DE318,98),0)</f>
        <v/>
      </c>
      <c r="CX318">
        <f>IFERROR(INDEX(PP_Grid[#Data],$DE318,99),0)</f>
        <v/>
      </c>
      <c r="CY318">
        <f>IFERROR(INDEX(PP_Grid[#Data],$DE318,100),0)</f>
        <v/>
      </c>
      <c r="CZ318">
        <f>IFERROR(INDEX(PP_Grid[#Data],$DE318,101),0)</f>
        <v/>
      </c>
      <c r="DA318">
        <f>IFERROR(INDEX(PP_Grid[#Data],$DE318,102),0)</f>
        <v/>
      </c>
      <c r="DB318">
        <f>IFERROR(INDEX(PP_Grid[#Data],$DE318,103),0)</f>
        <v/>
      </c>
      <c r="DC318">
        <f>IFERROR(INDEX(PP_Grid[#Data],$DE318,104),0)</f>
        <v/>
      </c>
      <c r="DD318">
        <f>IFERROR(INDEX(PP_Grid[#Data],$DE318,105),0)</f>
        <v/>
      </c>
      <c r="DE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SUMIFS(M_BOM[RM_Qty_Per_Batch],M_BOM[Intermediate],$B318,M_BOM[RM_Code],$A199)</f>
        <v/>
      </c>
      <c r="D319">
        <f>IFERROR(INDEX(E319:DD319,$F$1),"")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  <c r="DD319">
        <f>$C319*DD318</f>
        <v/>
      </c>
    </row>
    <row r="320">
      <c r="B320" t="inlineStr">
        <is>
          <t>VSP-740</t>
        </is>
      </c>
      <c r="C320" t="inlineStr">
        <is>
          <t>No. of batches</t>
        </is>
      </c>
      <c r="D320">
        <f>IFERROR(INDEX(E320:DD320,$F$1),"")</f>
        <v/>
      </c>
      <c r="E320">
        <f>IFERROR(INDEX(PP_Grid[#Data],$DE320,2),0)</f>
        <v/>
      </c>
      <c r="F320">
        <f>IFERROR(INDEX(PP_Grid[#Data],$DE320,3),0)</f>
        <v/>
      </c>
      <c r="G320">
        <f>IFERROR(INDEX(PP_Grid[#Data],$DE320,4),0)</f>
        <v/>
      </c>
      <c r="H320">
        <f>IFERROR(INDEX(PP_Grid[#Data],$DE320,5),0)</f>
        <v/>
      </c>
      <c r="I320">
        <f>IFERROR(INDEX(PP_Grid[#Data],$DE320,6),0)</f>
        <v/>
      </c>
      <c r="J320">
        <f>IFERROR(INDEX(PP_Grid[#Data],$DE320,7),0)</f>
        <v/>
      </c>
      <c r="K320">
        <f>IFERROR(INDEX(PP_Grid[#Data],$DE320,8),0)</f>
        <v/>
      </c>
      <c r="L320">
        <f>IFERROR(INDEX(PP_Grid[#Data],$DE320,9),0)</f>
        <v/>
      </c>
      <c r="M320">
        <f>IFERROR(INDEX(PP_Grid[#Data],$DE320,10),0)</f>
        <v/>
      </c>
      <c r="N320">
        <f>IFERROR(INDEX(PP_Grid[#Data],$DE320,11),0)</f>
        <v/>
      </c>
      <c r="O320">
        <f>IFERROR(INDEX(PP_Grid[#Data],$DE320,12),0)</f>
        <v/>
      </c>
      <c r="P320">
        <f>IFERROR(INDEX(PP_Grid[#Data],$DE320,13),0)</f>
        <v/>
      </c>
      <c r="Q320">
        <f>IFERROR(INDEX(PP_Grid[#Data],$DE320,14),0)</f>
        <v/>
      </c>
      <c r="R320">
        <f>IFERROR(INDEX(PP_Grid[#Data],$DE320,15),0)</f>
        <v/>
      </c>
      <c r="S320">
        <f>IFERROR(INDEX(PP_Grid[#Data],$DE320,16),0)</f>
        <v/>
      </c>
      <c r="T320">
        <f>IFERROR(INDEX(PP_Grid[#Data],$DE320,17),0)</f>
        <v/>
      </c>
      <c r="U320">
        <f>IFERROR(INDEX(PP_Grid[#Data],$DE320,18),0)</f>
        <v/>
      </c>
      <c r="V320">
        <f>IFERROR(INDEX(PP_Grid[#Data],$DE320,19),0)</f>
        <v/>
      </c>
      <c r="W320">
        <f>IFERROR(INDEX(PP_Grid[#Data],$DE320,20),0)</f>
        <v/>
      </c>
      <c r="X320">
        <f>IFERROR(INDEX(PP_Grid[#Data],$DE320,21),0)</f>
        <v/>
      </c>
      <c r="Y320">
        <f>IFERROR(INDEX(PP_Grid[#Data],$DE320,22),0)</f>
        <v/>
      </c>
      <c r="Z320">
        <f>IFERROR(INDEX(PP_Grid[#Data],$DE320,23),0)</f>
        <v/>
      </c>
      <c r="AA320">
        <f>IFERROR(INDEX(PP_Grid[#Data],$DE320,24),0)</f>
        <v/>
      </c>
      <c r="AB320">
        <f>IFERROR(INDEX(PP_Grid[#Data],$DE320,25),0)</f>
        <v/>
      </c>
      <c r="AC320">
        <f>IFERROR(INDEX(PP_Grid[#Data],$DE320,26),0)</f>
        <v/>
      </c>
      <c r="AD320">
        <f>IFERROR(INDEX(PP_Grid[#Data],$DE320,27),0)</f>
        <v/>
      </c>
      <c r="AE320">
        <f>IFERROR(INDEX(PP_Grid[#Data],$DE320,28),0)</f>
        <v/>
      </c>
      <c r="AF320">
        <f>IFERROR(INDEX(PP_Grid[#Data],$DE320,29),0)</f>
        <v/>
      </c>
      <c r="AG320">
        <f>IFERROR(INDEX(PP_Grid[#Data],$DE320,30),0)</f>
        <v/>
      </c>
      <c r="AH320">
        <f>IFERROR(INDEX(PP_Grid[#Data],$DE320,31),0)</f>
        <v/>
      </c>
      <c r="AI320">
        <f>IFERROR(INDEX(PP_Grid[#Data],$DE320,32),0)</f>
        <v/>
      </c>
      <c r="AJ320">
        <f>IFERROR(INDEX(PP_Grid[#Data],$DE320,33),0)</f>
        <v/>
      </c>
      <c r="AK320">
        <f>IFERROR(INDEX(PP_Grid[#Data],$DE320,34),0)</f>
        <v/>
      </c>
      <c r="AL320">
        <f>IFERROR(INDEX(PP_Grid[#Data],$DE320,35),0)</f>
        <v/>
      </c>
      <c r="AM320">
        <f>IFERROR(INDEX(PP_Grid[#Data],$DE320,36),0)</f>
        <v/>
      </c>
      <c r="AN320">
        <f>IFERROR(INDEX(PP_Grid[#Data],$DE320,37),0)</f>
        <v/>
      </c>
      <c r="AO320">
        <f>IFERROR(INDEX(PP_Grid[#Data],$DE320,38),0)</f>
        <v/>
      </c>
      <c r="AP320">
        <f>IFERROR(INDEX(PP_Grid[#Data],$DE320,39),0)</f>
        <v/>
      </c>
      <c r="AQ320">
        <f>IFERROR(INDEX(PP_Grid[#Data],$DE320,40),0)</f>
        <v/>
      </c>
      <c r="AR320">
        <f>IFERROR(INDEX(PP_Grid[#Data],$DE320,41),0)</f>
        <v/>
      </c>
      <c r="AS320">
        <f>IFERROR(INDEX(PP_Grid[#Data],$DE320,42),0)</f>
        <v/>
      </c>
      <c r="AT320">
        <f>IFERROR(INDEX(PP_Grid[#Data],$DE320,43),0)</f>
        <v/>
      </c>
      <c r="AU320">
        <f>IFERROR(INDEX(PP_Grid[#Data],$DE320,44),0)</f>
        <v/>
      </c>
      <c r="AV320">
        <f>IFERROR(INDEX(PP_Grid[#Data],$DE320,45),0)</f>
        <v/>
      </c>
      <c r="AW320">
        <f>IFERROR(INDEX(PP_Grid[#Data],$DE320,46),0)</f>
        <v/>
      </c>
      <c r="AX320">
        <f>IFERROR(INDEX(PP_Grid[#Data],$DE320,47),0)</f>
        <v/>
      </c>
      <c r="AY320">
        <f>IFERROR(INDEX(PP_Grid[#Data],$DE320,48),0)</f>
        <v/>
      </c>
      <c r="AZ320">
        <f>IFERROR(INDEX(PP_Grid[#Data],$DE320,49),0)</f>
        <v/>
      </c>
      <c r="BA320">
        <f>IFERROR(INDEX(PP_Grid[#Data],$DE320,50),0)</f>
        <v/>
      </c>
      <c r="BB320">
        <f>IFERROR(INDEX(PP_Grid[#Data],$DE320,51),0)</f>
        <v/>
      </c>
      <c r="BC320">
        <f>IFERROR(INDEX(PP_Grid[#Data],$DE320,52),0)</f>
        <v/>
      </c>
      <c r="BD320">
        <f>IFERROR(INDEX(PP_Grid[#Data],$DE320,53),0)</f>
        <v/>
      </c>
      <c r="BE320">
        <f>IFERROR(INDEX(PP_Grid[#Data],$DE320,54),0)</f>
        <v/>
      </c>
      <c r="BF320">
        <f>IFERROR(INDEX(PP_Grid[#Data],$DE320,55),0)</f>
        <v/>
      </c>
      <c r="BG320">
        <f>IFERROR(INDEX(PP_Grid[#Data],$DE320,56),0)</f>
        <v/>
      </c>
      <c r="BH320">
        <f>IFERROR(INDEX(PP_Grid[#Data],$DE320,57),0)</f>
        <v/>
      </c>
      <c r="BI320">
        <f>IFERROR(INDEX(PP_Grid[#Data],$DE320,58),0)</f>
        <v/>
      </c>
      <c r="BJ320">
        <f>IFERROR(INDEX(PP_Grid[#Data],$DE320,59),0)</f>
        <v/>
      </c>
      <c r="BK320">
        <f>IFERROR(INDEX(PP_Grid[#Data],$DE320,60),0)</f>
        <v/>
      </c>
      <c r="BL320">
        <f>IFERROR(INDEX(PP_Grid[#Data],$DE320,61),0)</f>
        <v/>
      </c>
      <c r="BM320">
        <f>IFERROR(INDEX(PP_Grid[#Data],$DE320,62),0)</f>
        <v/>
      </c>
      <c r="BN320">
        <f>IFERROR(INDEX(PP_Grid[#Data],$DE320,63),0)</f>
        <v/>
      </c>
      <c r="BO320">
        <f>IFERROR(INDEX(PP_Grid[#Data],$DE320,64),0)</f>
        <v/>
      </c>
      <c r="BP320">
        <f>IFERROR(INDEX(PP_Grid[#Data],$DE320,65),0)</f>
        <v/>
      </c>
      <c r="BQ320">
        <f>IFERROR(INDEX(PP_Grid[#Data],$DE320,66),0)</f>
        <v/>
      </c>
      <c r="BR320">
        <f>IFERROR(INDEX(PP_Grid[#Data],$DE320,67),0)</f>
        <v/>
      </c>
      <c r="BS320">
        <f>IFERROR(INDEX(PP_Grid[#Data],$DE320,68),0)</f>
        <v/>
      </c>
      <c r="BT320">
        <f>IFERROR(INDEX(PP_Grid[#Data],$DE320,69),0)</f>
        <v/>
      </c>
      <c r="BU320">
        <f>IFERROR(INDEX(PP_Grid[#Data],$DE320,70),0)</f>
        <v/>
      </c>
      <c r="BV320">
        <f>IFERROR(INDEX(PP_Grid[#Data],$DE320,71),0)</f>
        <v/>
      </c>
      <c r="BW320">
        <f>IFERROR(INDEX(PP_Grid[#Data],$DE320,72),0)</f>
        <v/>
      </c>
      <c r="BX320">
        <f>IFERROR(INDEX(PP_Grid[#Data],$DE320,73),0)</f>
        <v/>
      </c>
      <c r="BY320">
        <f>IFERROR(INDEX(PP_Grid[#Data],$DE320,74),0)</f>
        <v/>
      </c>
      <c r="BZ320">
        <f>IFERROR(INDEX(PP_Grid[#Data],$DE320,75),0)</f>
        <v/>
      </c>
      <c r="CA320">
        <f>IFERROR(INDEX(PP_Grid[#Data],$DE320,76),0)</f>
        <v/>
      </c>
      <c r="CB320">
        <f>IFERROR(INDEX(PP_Grid[#Data],$DE320,77),0)</f>
        <v/>
      </c>
      <c r="CC320">
        <f>IFERROR(INDEX(PP_Grid[#Data],$DE320,78),0)</f>
        <v/>
      </c>
      <c r="CD320">
        <f>IFERROR(INDEX(PP_Grid[#Data],$DE320,79),0)</f>
        <v/>
      </c>
      <c r="CE320">
        <f>IFERROR(INDEX(PP_Grid[#Data],$DE320,80),0)</f>
        <v/>
      </c>
      <c r="CF320">
        <f>IFERROR(INDEX(PP_Grid[#Data],$DE320,81),0)</f>
        <v/>
      </c>
      <c r="CG320">
        <f>IFERROR(INDEX(PP_Grid[#Data],$DE320,82),0)</f>
        <v/>
      </c>
      <c r="CH320">
        <f>IFERROR(INDEX(PP_Grid[#Data],$DE320,83),0)</f>
        <v/>
      </c>
      <c r="CI320">
        <f>IFERROR(INDEX(PP_Grid[#Data],$DE320,84),0)</f>
        <v/>
      </c>
      <c r="CJ320">
        <f>IFERROR(INDEX(PP_Grid[#Data],$DE320,85),0)</f>
        <v/>
      </c>
      <c r="CK320">
        <f>IFERROR(INDEX(PP_Grid[#Data],$DE320,86),0)</f>
        <v/>
      </c>
      <c r="CL320">
        <f>IFERROR(INDEX(PP_Grid[#Data],$DE320,87),0)</f>
        <v/>
      </c>
      <c r="CM320">
        <f>IFERROR(INDEX(PP_Grid[#Data],$DE320,88),0)</f>
        <v/>
      </c>
      <c r="CN320">
        <f>IFERROR(INDEX(PP_Grid[#Data],$DE320,89),0)</f>
        <v/>
      </c>
      <c r="CO320">
        <f>IFERROR(INDEX(PP_Grid[#Data],$DE320,90),0)</f>
        <v/>
      </c>
      <c r="CP320">
        <f>IFERROR(INDEX(PP_Grid[#Data],$DE320,91),0)</f>
        <v/>
      </c>
      <c r="CQ320">
        <f>IFERROR(INDEX(PP_Grid[#Data],$DE320,92),0)</f>
        <v/>
      </c>
      <c r="CR320">
        <f>IFERROR(INDEX(PP_Grid[#Data],$DE320,93),0)</f>
        <v/>
      </c>
      <c r="CS320">
        <f>IFERROR(INDEX(PP_Grid[#Data],$DE320,94),0)</f>
        <v/>
      </c>
      <c r="CT320">
        <f>IFERROR(INDEX(PP_Grid[#Data],$DE320,95),0)</f>
        <v/>
      </c>
      <c r="CU320">
        <f>IFERROR(INDEX(PP_Grid[#Data],$DE320,96),0)</f>
        <v/>
      </c>
      <c r="CV320">
        <f>IFERROR(INDEX(PP_Grid[#Data],$DE320,97),0)</f>
        <v/>
      </c>
      <c r="CW320">
        <f>IFERROR(INDEX(PP_Grid[#Data],$DE320,98),0)</f>
        <v/>
      </c>
      <c r="CX320">
        <f>IFERROR(INDEX(PP_Grid[#Data],$DE320,99),0)</f>
        <v/>
      </c>
      <c r="CY320">
        <f>IFERROR(INDEX(PP_Grid[#Data],$DE320,100),0)</f>
        <v/>
      </c>
      <c r="CZ320">
        <f>IFERROR(INDEX(PP_Grid[#Data],$DE320,101),0)</f>
        <v/>
      </c>
      <c r="DA320">
        <f>IFERROR(INDEX(PP_Grid[#Data],$DE320,102),0)</f>
        <v/>
      </c>
      <c r="DB320">
        <f>IFERROR(INDEX(PP_Grid[#Data],$DE320,103),0)</f>
        <v/>
      </c>
      <c r="DC320">
        <f>IFERROR(INDEX(PP_Grid[#Data],$DE320,104),0)</f>
        <v/>
      </c>
      <c r="DD320">
        <f>IFERROR(INDEX(PP_Grid[#Data],$DE320,105),0)</f>
        <v/>
      </c>
      <c r="DE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SUMIFS(M_BOM[RM_Qty_Per_Batch],M_BOM[Intermediate],$B320,M_BOM[RM_Code],$A199)</f>
        <v/>
      </c>
      <c r="D321">
        <f>IFERROR(INDEX(E321:DD321,$F$1),"")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  <c r="DD321">
        <f>$C321*DD320</f>
        <v/>
      </c>
    </row>
    <row r="322">
      <c r="B322" t="inlineStr">
        <is>
          <t>VSP-746</t>
        </is>
      </c>
      <c r="C322" t="inlineStr">
        <is>
          <t>No. of batches</t>
        </is>
      </c>
      <c r="D322">
        <f>IFERROR(INDEX(E322:DD322,$F$1),"")</f>
        <v/>
      </c>
      <c r="E322">
        <f>IFERROR(INDEX(PP_Grid[#Data],$DE322,2),0)</f>
        <v/>
      </c>
      <c r="F322">
        <f>IFERROR(INDEX(PP_Grid[#Data],$DE322,3),0)</f>
        <v/>
      </c>
      <c r="G322">
        <f>IFERROR(INDEX(PP_Grid[#Data],$DE322,4),0)</f>
        <v/>
      </c>
      <c r="H322">
        <f>IFERROR(INDEX(PP_Grid[#Data],$DE322,5),0)</f>
        <v/>
      </c>
      <c r="I322">
        <f>IFERROR(INDEX(PP_Grid[#Data],$DE322,6),0)</f>
        <v/>
      </c>
      <c r="J322">
        <f>IFERROR(INDEX(PP_Grid[#Data],$DE322,7),0)</f>
        <v/>
      </c>
      <c r="K322">
        <f>IFERROR(INDEX(PP_Grid[#Data],$DE322,8),0)</f>
        <v/>
      </c>
      <c r="L322">
        <f>IFERROR(INDEX(PP_Grid[#Data],$DE322,9),0)</f>
        <v/>
      </c>
      <c r="M322">
        <f>IFERROR(INDEX(PP_Grid[#Data],$DE322,10),0)</f>
        <v/>
      </c>
      <c r="N322">
        <f>IFERROR(INDEX(PP_Grid[#Data],$DE322,11),0)</f>
        <v/>
      </c>
      <c r="O322">
        <f>IFERROR(INDEX(PP_Grid[#Data],$DE322,12),0)</f>
        <v/>
      </c>
      <c r="P322">
        <f>IFERROR(INDEX(PP_Grid[#Data],$DE322,13),0)</f>
        <v/>
      </c>
      <c r="Q322">
        <f>IFERROR(INDEX(PP_Grid[#Data],$DE322,14),0)</f>
        <v/>
      </c>
      <c r="R322">
        <f>IFERROR(INDEX(PP_Grid[#Data],$DE322,15),0)</f>
        <v/>
      </c>
      <c r="S322">
        <f>IFERROR(INDEX(PP_Grid[#Data],$DE322,16),0)</f>
        <v/>
      </c>
      <c r="T322">
        <f>IFERROR(INDEX(PP_Grid[#Data],$DE322,17),0)</f>
        <v/>
      </c>
      <c r="U322">
        <f>IFERROR(INDEX(PP_Grid[#Data],$DE322,18),0)</f>
        <v/>
      </c>
      <c r="V322">
        <f>IFERROR(INDEX(PP_Grid[#Data],$DE322,19),0)</f>
        <v/>
      </c>
      <c r="W322">
        <f>IFERROR(INDEX(PP_Grid[#Data],$DE322,20),0)</f>
        <v/>
      </c>
      <c r="X322">
        <f>IFERROR(INDEX(PP_Grid[#Data],$DE322,21),0)</f>
        <v/>
      </c>
      <c r="Y322">
        <f>IFERROR(INDEX(PP_Grid[#Data],$DE322,22),0)</f>
        <v/>
      </c>
      <c r="Z322">
        <f>IFERROR(INDEX(PP_Grid[#Data],$DE322,23),0)</f>
        <v/>
      </c>
      <c r="AA322">
        <f>IFERROR(INDEX(PP_Grid[#Data],$DE322,24),0)</f>
        <v/>
      </c>
      <c r="AB322">
        <f>IFERROR(INDEX(PP_Grid[#Data],$DE322,25),0)</f>
        <v/>
      </c>
      <c r="AC322">
        <f>IFERROR(INDEX(PP_Grid[#Data],$DE322,26),0)</f>
        <v/>
      </c>
      <c r="AD322">
        <f>IFERROR(INDEX(PP_Grid[#Data],$DE322,27),0)</f>
        <v/>
      </c>
      <c r="AE322">
        <f>IFERROR(INDEX(PP_Grid[#Data],$DE322,28),0)</f>
        <v/>
      </c>
      <c r="AF322">
        <f>IFERROR(INDEX(PP_Grid[#Data],$DE322,29),0)</f>
        <v/>
      </c>
      <c r="AG322">
        <f>IFERROR(INDEX(PP_Grid[#Data],$DE322,30),0)</f>
        <v/>
      </c>
      <c r="AH322">
        <f>IFERROR(INDEX(PP_Grid[#Data],$DE322,31),0)</f>
        <v/>
      </c>
      <c r="AI322">
        <f>IFERROR(INDEX(PP_Grid[#Data],$DE322,32),0)</f>
        <v/>
      </c>
      <c r="AJ322">
        <f>IFERROR(INDEX(PP_Grid[#Data],$DE322,33),0)</f>
        <v/>
      </c>
      <c r="AK322">
        <f>IFERROR(INDEX(PP_Grid[#Data],$DE322,34),0)</f>
        <v/>
      </c>
      <c r="AL322">
        <f>IFERROR(INDEX(PP_Grid[#Data],$DE322,35),0)</f>
        <v/>
      </c>
      <c r="AM322">
        <f>IFERROR(INDEX(PP_Grid[#Data],$DE322,36),0)</f>
        <v/>
      </c>
      <c r="AN322">
        <f>IFERROR(INDEX(PP_Grid[#Data],$DE322,37),0)</f>
        <v/>
      </c>
      <c r="AO322">
        <f>IFERROR(INDEX(PP_Grid[#Data],$DE322,38),0)</f>
        <v/>
      </c>
      <c r="AP322">
        <f>IFERROR(INDEX(PP_Grid[#Data],$DE322,39),0)</f>
        <v/>
      </c>
      <c r="AQ322">
        <f>IFERROR(INDEX(PP_Grid[#Data],$DE322,40),0)</f>
        <v/>
      </c>
      <c r="AR322">
        <f>IFERROR(INDEX(PP_Grid[#Data],$DE322,41),0)</f>
        <v/>
      </c>
      <c r="AS322">
        <f>IFERROR(INDEX(PP_Grid[#Data],$DE322,42),0)</f>
        <v/>
      </c>
      <c r="AT322">
        <f>IFERROR(INDEX(PP_Grid[#Data],$DE322,43),0)</f>
        <v/>
      </c>
      <c r="AU322">
        <f>IFERROR(INDEX(PP_Grid[#Data],$DE322,44),0)</f>
        <v/>
      </c>
      <c r="AV322">
        <f>IFERROR(INDEX(PP_Grid[#Data],$DE322,45),0)</f>
        <v/>
      </c>
      <c r="AW322">
        <f>IFERROR(INDEX(PP_Grid[#Data],$DE322,46),0)</f>
        <v/>
      </c>
      <c r="AX322">
        <f>IFERROR(INDEX(PP_Grid[#Data],$DE322,47),0)</f>
        <v/>
      </c>
      <c r="AY322">
        <f>IFERROR(INDEX(PP_Grid[#Data],$DE322,48),0)</f>
        <v/>
      </c>
      <c r="AZ322">
        <f>IFERROR(INDEX(PP_Grid[#Data],$DE322,49),0)</f>
        <v/>
      </c>
      <c r="BA322">
        <f>IFERROR(INDEX(PP_Grid[#Data],$DE322,50),0)</f>
        <v/>
      </c>
      <c r="BB322">
        <f>IFERROR(INDEX(PP_Grid[#Data],$DE322,51),0)</f>
        <v/>
      </c>
      <c r="BC322">
        <f>IFERROR(INDEX(PP_Grid[#Data],$DE322,52),0)</f>
        <v/>
      </c>
      <c r="BD322">
        <f>IFERROR(INDEX(PP_Grid[#Data],$DE322,53),0)</f>
        <v/>
      </c>
      <c r="BE322">
        <f>IFERROR(INDEX(PP_Grid[#Data],$DE322,54),0)</f>
        <v/>
      </c>
      <c r="BF322">
        <f>IFERROR(INDEX(PP_Grid[#Data],$DE322,55),0)</f>
        <v/>
      </c>
      <c r="BG322">
        <f>IFERROR(INDEX(PP_Grid[#Data],$DE322,56),0)</f>
        <v/>
      </c>
      <c r="BH322">
        <f>IFERROR(INDEX(PP_Grid[#Data],$DE322,57),0)</f>
        <v/>
      </c>
      <c r="BI322">
        <f>IFERROR(INDEX(PP_Grid[#Data],$DE322,58),0)</f>
        <v/>
      </c>
      <c r="BJ322">
        <f>IFERROR(INDEX(PP_Grid[#Data],$DE322,59),0)</f>
        <v/>
      </c>
      <c r="BK322">
        <f>IFERROR(INDEX(PP_Grid[#Data],$DE322,60),0)</f>
        <v/>
      </c>
      <c r="BL322">
        <f>IFERROR(INDEX(PP_Grid[#Data],$DE322,61),0)</f>
        <v/>
      </c>
      <c r="BM322">
        <f>IFERROR(INDEX(PP_Grid[#Data],$DE322,62),0)</f>
        <v/>
      </c>
      <c r="BN322">
        <f>IFERROR(INDEX(PP_Grid[#Data],$DE322,63),0)</f>
        <v/>
      </c>
      <c r="BO322">
        <f>IFERROR(INDEX(PP_Grid[#Data],$DE322,64),0)</f>
        <v/>
      </c>
      <c r="BP322">
        <f>IFERROR(INDEX(PP_Grid[#Data],$DE322,65),0)</f>
        <v/>
      </c>
      <c r="BQ322">
        <f>IFERROR(INDEX(PP_Grid[#Data],$DE322,66),0)</f>
        <v/>
      </c>
      <c r="BR322">
        <f>IFERROR(INDEX(PP_Grid[#Data],$DE322,67),0)</f>
        <v/>
      </c>
      <c r="BS322">
        <f>IFERROR(INDEX(PP_Grid[#Data],$DE322,68),0)</f>
        <v/>
      </c>
      <c r="BT322">
        <f>IFERROR(INDEX(PP_Grid[#Data],$DE322,69),0)</f>
        <v/>
      </c>
      <c r="BU322">
        <f>IFERROR(INDEX(PP_Grid[#Data],$DE322,70),0)</f>
        <v/>
      </c>
      <c r="BV322">
        <f>IFERROR(INDEX(PP_Grid[#Data],$DE322,71),0)</f>
        <v/>
      </c>
      <c r="BW322">
        <f>IFERROR(INDEX(PP_Grid[#Data],$DE322,72),0)</f>
        <v/>
      </c>
      <c r="BX322">
        <f>IFERROR(INDEX(PP_Grid[#Data],$DE322,73),0)</f>
        <v/>
      </c>
      <c r="BY322">
        <f>IFERROR(INDEX(PP_Grid[#Data],$DE322,74),0)</f>
        <v/>
      </c>
      <c r="BZ322">
        <f>IFERROR(INDEX(PP_Grid[#Data],$DE322,75),0)</f>
        <v/>
      </c>
      <c r="CA322">
        <f>IFERROR(INDEX(PP_Grid[#Data],$DE322,76),0)</f>
        <v/>
      </c>
      <c r="CB322">
        <f>IFERROR(INDEX(PP_Grid[#Data],$DE322,77),0)</f>
        <v/>
      </c>
      <c r="CC322">
        <f>IFERROR(INDEX(PP_Grid[#Data],$DE322,78),0)</f>
        <v/>
      </c>
      <c r="CD322">
        <f>IFERROR(INDEX(PP_Grid[#Data],$DE322,79),0)</f>
        <v/>
      </c>
      <c r="CE322">
        <f>IFERROR(INDEX(PP_Grid[#Data],$DE322,80),0)</f>
        <v/>
      </c>
      <c r="CF322">
        <f>IFERROR(INDEX(PP_Grid[#Data],$DE322,81),0)</f>
        <v/>
      </c>
      <c r="CG322">
        <f>IFERROR(INDEX(PP_Grid[#Data],$DE322,82),0)</f>
        <v/>
      </c>
      <c r="CH322">
        <f>IFERROR(INDEX(PP_Grid[#Data],$DE322,83),0)</f>
        <v/>
      </c>
      <c r="CI322">
        <f>IFERROR(INDEX(PP_Grid[#Data],$DE322,84),0)</f>
        <v/>
      </c>
      <c r="CJ322">
        <f>IFERROR(INDEX(PP_Grid[#Data],$DE322,85),0)</f>
        <v/>
      </c>
      <c r="CK322">
        <f>IFERROR(INDEX(PP_Grid[#Data],$DE322,86),0)</f>
        <v/>
      </c>
      <c r="CL322">
        <f>IFERROR(INDEX(PP_Grid[#Data],$DE322,87),0)</f>
        <v/>
      </c>
      <c r="CM322">
        <f>IFERROR(INDEX(PP_Grid[#Data],$DE322,88),0)</f>
        <v/>
      </c>
      <c r="CN322">
        <f>IFERROR(INDEX(PP_Grid[#Data],$DE322,89),0)</f>
        <v/>
      </c>
      <c r="CO322">
        <f>IFERROR(INDEX(PP_Grid[#Data],$DE322,90),0)</f>
        <v/>
      </c>
      <c r="CP322">
        <f>IFERROR(INDEX(PP_Grid[#Data],$DE322,91),0)</f>
        <v/>
      </c>
      <c r="CQ322">
        <f>IFERROR(INDEX(PP_Grid[#Data],$DE322,92),0)</f>
        <v/>
      </c>
      <c r="CR322">
        <f>IFERROR(INDEX(PP_Grid[#Data],$DE322,93),0)</f>
        <v/>
      </c>
      <c r="CS322">
        <f>IFERROR(INDEX(PP_Grid[#Data],$DE322,94),0)</f>
        <v/>
      </c>
      <c r="CT322">
        <f>IFERROR(INDEX(PP_Grid[#Data],$DE322,95),0)</f>
        <v/>
      </c>
      <c r="CU322">
        <f>IFERROR(INDEX(PP_Grid[#Data],$DE322,96),0)</f>
        <v/>
      </c>
      <c r="CV322">
        <f>IFERROR(INDEX(PP_Grid[#Data],$DE322,97),0)</f>
        <v/>
      </c>
      <c r="CW322">
        <f>IFERROR(INDEX(PP_Grid[#Data],$DE322,98),0)</f>
        <v/>
      </c>
      <c r="CX322">
        <f>IFERROR(INDEX(PP_Grid[#Data],$DE322,99),0)</f>
        <v/>
      </c>
      <c r="CY322">
        <f>IFERROR(INDEX(PP_Grid[#Data],$DE322,100),0)</f>
        <v/>
      </c>
      <c r="CZ322">
        <f>IFERROR(INDEX(PP_Grid[#Data],$DE322,101),0)</f>
        <v/>
      </c>
      <c r="DA322">
        <f>IFERROR(INDEX(PP_Grid[#Data],$DE322,102),0)</f>
        <v/>
      </c>
      <c r="DB322">
        <f>IFERROR(INDEX(PP_Grid[#Data],$DE322,103),0)</f>
        <v/>
      </c>
      <c r="DC322">
        <f>IFERROR(INDEX(PP_Grid[#Data],$DE322,104),0)</f>
        <v/>
      </c>
      <c r="DD322">
        <f>IFERROR(INDEX(PP_Grid[#Data],$DE322,105),0)</f>
        <v/>
      </c>
      <c r="DE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SUMIFS(M_BOM[RM_Qty_Per_Batch],M_BOM[Intermediate],$B322,M_BOM[RM_Code],$A199)</f>
        <v/>
      </c>
      <c r="D323">
        <f>IFERROR(INDEX(E323:DD323,$F$1),"")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  <c r="DD323">
        <f>$C323*DD322</f>
        <v/>
      </c>
    </row>
    <row r="324">
      <c r="B324" t="inlineStr">
        <is>
          <t>VSP-822</t>
        </is>
      </c>
      <c r="C324" t="inlineStr">
        <is>
          <t>No. of batches</t>
        </is>
      </c>
      <c r="D324">
        <f>IFERROR(INDEX(E324:DD324,$F$1),"")</f>
        <v/>
      </c>
      <c r="E324">
        <f>IFERROR(INDEX(PP_Grid[#Data],$DE324,2),0)</f>
        <v/>
      </c>
      <c r="F324">
        <f>IFERROR(INDEX(PP_Grid[#Data],$DE324,3),0)</f>
        <v/>
      </c>
      <c r="G324">
        <f>IFERROR(INDEX(PP_Grid[#Data],$DE324,4),0)</f>
        <v/>
      </c>
      <c r="H324">
        <f>IFERROR(INDEX(PP_Grid[#Data],$DE324,5),0)</f>
        <v/>
      </c>
      <c r="I324">
        <f>IFERROR(INDEX(PP_Grid[#Data],$DE324,6),0)</f>
        <v/>
      </c>
      <c r="J324">
        <f>IFERROR(INDEX(PP_Grid[#Data],$DE324,7),0)</f>
        <v/>
      </c>
      <c r="K324">
        <f>IFERROR(INDEX(PP_Grid[#Data],$DE324,8),0)</f>
        <v/>
      </c>
      <c r="L324">
        <f>IFERROR(INDEX(PP_Grid[#Data],$DE324,9),0)</f>
        <v/>
      </c>
      <c r="M324">
        <f>IFERROR(INDEX(PP_Grid[#Data],$DE324,10),0)</f>
        <v/>
      </c>
      <c r="N324">
        <f>IFERROR(INDEX(PP_Grid[#Data],$DE324,11),0)</f>
        <v/>
      </c>
      <c r="O324">
        <f>IFERROR(INDEX(PP_Grid[#Data],$DE324,12),0)</f>
        <v/>
      </c>
      <c r="P324">
        <f>IFERROR(INDEX(PP_Grid[#Data],$DE324,13),0)</f>
        <v/>
      </c>
      <c r="Q324">
        <f>IFERROR(INDEX(PP_Grid[#Data],$DE324,14),0)</f>
        <v/>
      </c>
      <c r="R324">
        <f>IFERROR(INDEX(PP_Grid[#Data],$DE324,15),0)</f>
        <v/>
      </c>
      <c r="S324">
        <f>IFERROR(INDEX(PP_Grid[#Data],$DE324,16),0)</f>
        <v/>
      </c>
      <c r="T324">
        <f>IFERROR(INDEX(PP_Grid[#Data],$DE324,17),0)</f>
        <v/>
      </c>
      <c r="U324">
        <f>IFERROR(INDEX(PP_Grid[#Data],$DE324,18),0)</f>
        <v/>
      </c>
      <c r="V324">
        <f>IFERROR(INDEX(PP_Grid[#Data],$DE324,19),0)</f>
        <v/>
      </c>
      <c r="W324">
        <f>IFERROR(INDEX(PP_Grid[#Data],$DE324,20),0)</f>
        <v/>
      </c>
      <c r="X324">
        <f>IFERROR(INDEX(PP_Grid[#Data],$DE324,21),0)</f>
        <v/>
      </c>
      <c r="Y324">
        <f>IFERROR(INDEX(PP_Grid[#Data],$DE324,22),0)</f>
        <v/>
      </c>
      <c r="Z324">
        <f>IFERROR(INDEX(PP_Grid[#Data],$DE324,23),0)</f>
        <v/>
      </c>
      <c r="AA324">
        <f>IFERROR(INDEX(PP_Grid[#Data],$DE324,24),0)</f>
        <v/>
      </c>
      <c r="AB324">
        <f>IFERROR(INDEX(PP_Grid[#Data],$DE324,25),0)</f>
        <v/>
      </c>
      <c r="AC324">
        <f>IFERROR(INDEX(PP_Grid[#Data],$DE324,26),0)</f>
        <v/>
      </c>
      <c r="AD324">
        <f>IFERROR(INDEX(PP_Grid[#Data],$DE324,27),0)</f>
        <v/>
      </c>
      <c r="AE324">
        <f>IFERROR(INDEX(PP_Grid[#Data],$DE324,28),0)</f>
        <v/>
      </c>
      <c r="AF324">
        <f>IFERROR(INDEX(PP_Grid[#Data],$DE324,29),0)</f>
        <v/>
      </c>
      <c r="AG324">
        <f>IFERROR(INDEX(PP_Grid[#Data],$DE324,30),0)</f>
        <v/>
      </c>
      <c r="AH324">
        <f>IFERROR(INDEX(PP_Grid[#Data],$DE324,31),0)</f>
        <v/>
      </c>
      <c r="AI324">
        <f>IFERROR(INDEX(PP_Grid[#Data],$DE324,32),0)</f>
        <v/>
      </c>
      <c r="AJ324">
        <f>IFERROR(INDEX(PP_Grid[#Data],$DE324,33),0)</f>
        <v/>
      </c>
      <c r="AK324">
        <f>IFERROR(INDEX(PP_Grid[#Data],$DE324,34),0)</f>
        <v/>
      </c>
      <c r="AL324">
        <f>IFERROR(INDEX(PP_Grid[#Data],$DE324,35),0)</f>
        <v/>
      </c>
      <c r="AM324">
        <f>IFERROR(INDEX(PP_Grid[#Data],$DE324,36),0)</f>
        <v/>
      </c>
      <c r="AN324">
        <f>IFERROR(INDEX(PP_Grid[#Data],$DE324,37),0)</f>
        <v/>
      </c>
      <c r="AO324">
        <f>IFERROR(INDEX(PP_Grid[#Data],$DE324,38),0)</f>
        <v/>
      </c>
      <c r="AP324">
        <f>IFERROR(INDEX(PP_Grid[#Data],$DE324,39),0)</f>
        <v/>
      </c>
      <c r="AQ324">
        <f>IFERROR(INDEX(PP_Grid[#Data],$DE324,40),0)</f>
        <v/>
      </c>
      <c r="AR324">
        <f>IFERROR(INDEX(PP_Grid[#Data],$DE324,41),0)</f>
        <v/>
      </c>
      <c r="AS324">
        <f>IFERROR(INDEX(PP_Grid[#Data],$DE324,42),0)</f>
        <v/>
      </c>
      <c r="AT324">
        <f>IFERROR(INDEX(PP_Grid[#Data],$DE324,43),0)</f>
        <v/>
      </c>
      <c r="AU324">
        <f>IFERROR(INDEX(PP_Grid[#Data],$DE324,44),0)</f>
        <v/>
      </c>
      <c r="AV324">
        <f>IFERROR(INDEX(PP_Grid[#Data],$DE324,45),0)</f>
        <v/>
      </c>
      <c r="AW324">
        <f>IFERROR(INDEX(PP_Grid[#Data],$DE324,46),0)</f>
        <v/>
      </c>
      <c r="AX324">
        <f>IFERROR(INDEX(PP_Grid[#Data],$DE324,47),0)</f>
        <v/>
      </c>
      <c r="AY324">
        <f>IFERROR(INDEX(PP_Grid[#Data],$DE324,48),0)</f>
        <v/>
      </c>
      <c r="AZ324">
        <f>IFERROR(INDEX(PP_Grid[#Data],$DE324,49),0)</f>
        <v/>
      </c>
      <c r="BA324">
        <f>IFERROR(INDEX(PP_Grid[#Data],$DE324,50),0)</f>
        <v/>
      </c>
      <c r="BB324">
        <f>IFERROR(INDEX(PP_Grid[#Data],$DE324,51),0)</f>
        <v/>
      </c>
      <c r="BC324">
        <f>IFERROR(INDEX(PP_Grid[#Data],$DE324,52),0)</f>
        <v/>
      </c>
      <c r="BD324">
        <f>IFERROR(INDEX(PP_Grid[#Data],$DE324,53),0)</f>
        <v/>
      </c>
      <c r="BE324">
        <f>IFERROR(INDEX(PP_Grid[#Data],$DE324,54),0)</f>
        <v/>
      </c>
      <c r="BF324">
        <f>IFERROR(INDEX(PP_Grid[#Data],$DE324,55),0)</f>
        <v/>
      </c>
      <c r="BG324">
        <f>IFERROR(INDEX(PP_Grid[#Data],$DE324,56),0)</f>
        <v/>
      </c>
      <c r="BH324">
        <f>IFERROR(INDEX(PP_Grid[#Data],$DE324,57),0)</f>
        <v/>
      </c>
      <c r="BI324">
        <f>IFERROR(INDEX(PP_Grid[#Data],$DE324,58),0)</f>
        <v/>
      </c>
      <c r="BJ324">
        <f>IFERROR(INDEX(PP_Grid[#Data],$DE324,59),0)</f>
        <v/>
      </c>
      <c r="BK324">
        <f>IFERROR(INDEX(PP_Grid[#Data],$DE324,60),0)</f>
        <v/>
      </c>
      <c r="BL324">
        <f>IFERROR(INDEX(PP_Grid[#Data],$DE324,61),0)</f>
        <v/>
      </c>
      <c r="BM324">
        <f>IFERROR(INDEX(PP_Grid[#Data],$DE324,62),0)</f>
        <v/>
      </c>
      <c r="BN324">
        <f>IFERROR(INDEX(PP_Grid[#Data],$DE324,63),0)</f>
        <v/>
      </c>
      <c r="BO324">
        <f>IFERROR(INDEX(PP_Grid[#Data],$DE324,64),0)</f>
        <v/>
      </c>
      <c r="BP324">
        <f>IFERROR(INDEX(PP_Grid[#Data],$DE324,65),0)</f>
        <v/>
      </c>
      <c r="BQ324">
        <f>IFERROR(INDEX(PP_Grid[#Data],$DE324,66),0)</f>
        <v/>
      </c>
      <c r="BR324">
        <f>IFERROR(INDEX(PP_Grid[#Data],$DE324,67),0)</f>
        <v/>
      </c>
      <c r="BS324">
        <f>IFERROR(INDEX(PP_Grid[#Data],$DE324,68),0)</f>
        <v/>
      </c>
      <c r="BT324">
        <f>IFERROR(INDEX(PP_Grid[#Data],$DE324,69),0)</f>
        <v/>
      </c>
      <c r="BU324">
        <f>IFERROR(INDEX(PP_Grid[#Data],$DE324,70),0)</f>
        <v/>
      </c>
      <c r="BV324">
        <f>IFERROR(INDEX(PP_Grid[#Data],$DE324,71),0)</f>
        <v/>
      </c>
      <c r="BW324">
        <f>IFERROR(INDEX(PP_Grid[#Data],$DE324,72),0)</f>
        <v/>
      </c>
      <c r="BX324">
        <f>IFERROR(INDEX(PP_Grid[#Data],$DE324,73),0)</f>
        <v/>
      </c>
      <c r="BY324">
        <f>IFERROR(INDEX(PP_Grid[#Data],$DE324,74),0)</f>
        <v/>
      </c>
      <c r="BZ324">
        <f>IFERROR(INDEX(PP_Grid[#Data],$DE324,75),0)</f>
        <v/>
      </c>
      <c r="CA324">
        <f>IFERROR(INDEX(PP_Grid[#Data],$DE324,76),0)</f>
        <v/>
      </c>
      <c r="CB324">
        <f>IFERROR(INDEX(PP_Grid[#Data],$DE324,77),0)</f>
        <v/>
      </c>
      <c r="CC324">
        <f>IFERROR(INDEX(PP_Grid[#Data],$DE324,78),0)</f>
        <v/>
      </c>
      <c r="CD324">
        <f>IFERROR(INDEX(PP_Grid[#Data],$DE324,79),0)</f>
        <v/>
      </c>
      <c r="CE324">
        <f>IFERROR(INDEX(PP_Grid[#Data],$DE324,80),0)</f>
        <v/>
      </c>
      <c r="CF324">
        <f>IFERROR(INDEX(PP_Grid[#Data],$DE324,81),0)</f>
        <v/>
      </c>
      <c r="CG324">
        <f>IFERROR(INDEX(PP_Grid[#Data],$DE324,82),0)</f>
        <v/>
      </c>
      <c r="CH324">
        <f>IFERROR(INDEX(PP_Grid[#Data],$DE324,83),0)</f>
        <v/>
      </c>
      <c r="CI324">
        <f>IFERROR(INDEX(PP_Grid[#Data],$DE324,84),0)</f>
        <v/>
      </c>
      <c r="CJ324">
        <f>IFERROR(INDEX(PP_Grid[#Data],$DE324,85),0)</f>
        <v/>
      </c>
      <c r="CK324">
        <f>IFERROR(INDEX(PP_Grid[#Data],$DE324,86),0)</f>
        <v/>
      </c>
      <c r="CL324">
        <f>IFERROR(INDEX(PP_Grid[#Data],$DE324,87),0)</f>
        <v/>
      </c>
      <c r="CM324">
        <f>IFERROR(INDEX(PP_Grid[#Data],$DE324,88),0)</f>
        <v/>
      </c>
      <c r="CN324">
        <f>IFERROR(INDEX(PP_Grid[#Data],$DE324,89),0)</f>
        <v/>
      </c>
      <c r="CO324">
        <f>IFERROR(INDEX(PP_Grid[#Data],$DE324,90),0)</f>
        <v/>
      </c>
      <c r="CP324">
        <f>IFERROR(INDEX(PP_Grid[#Data],$DE324,91),0)</f>
        <v/>
      </c>
      <c r="CQ324">
        <f>IFERROR(INDEX(PP_Grid[#Data],$DE324,92),0)</f>
        <v/>
      </c>
      <c r="CR324">
        <f>IFERROR(INDEX(PP_Grid[#Data],$DE324,93),0)</f>
        <v/>
      </c>
      <c r="CS324">
        <f>IFERROR(INDEX(PP_Grid[#Data],$DE324,94),0)</f>
        <v/>
      </c>
      <c r="CT324">
        <f>IFERROR(INDEX(PP_Grid[#Data],$DE324,95),0)</f>
        <v/>
      </c>
      <c r="CU324">
        <f>IFERROR(INDEX(PP_Grid[#Data],$DE324,96),0)</f>
        <v/>
      </c>
      <c r="CV324">
        <f>IFERROR(INDEX(PP_Grid[#Data],$DE324,97),0)</f>
        <v/>
      </c>
      <c r="CW324">
        <f>IFERROR(INDEX(PP_Grid[#Data],$DE324,98),0)</f>
        <v/>
      </c>
      <c r="CX324">
        <f>IFERROR(INDEX(PP_Grid[#Data],$DE324,99),0)</f>
        <v/>
      </c>
      <c r="CY324">
        <f>IFERROR(INDEX(PP_Grid[#Data],$DE324,100),0)</f>
        <v/>
      </c>
      <c r="CZ324">
        <f>IFERROR(INDEX(PP_Grid[#Data],$DE324,101),0)</f>
        <v/>
      </c>
      <c r="DA324">
        <f>IFERROR(INDEX(PP_Grid[#Data],$DE324,102),0)</f>
        <v/>
      </c>
      <c r="DB324">
        <f>IFERROR(INDEX(PP_Grid[#Data],$DE324,103),0)</f>
        <v/>
      </c>
      <c r="DC324">
        <f>IFERROR(INDEX(PP_Grid[#Data],$DE324,104),0)</f>
        <v/>
      </c>
      <c r="DD324">
        <f>IFERROR(INDEX(PP_Grid[#Data],$DE324,105),0)</f>
        <v/>
      </c>
      <c r="DE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SUMIFS(M_BOM[RM_Qty_Per_Batch],M_BOM[Intermediate],$B324,M_BOM[RM_Code],$A199)</f>
        <v/>
      </c>
      <c r="D325">
        <f>IFERROR(INDEX(E325:DD325,$F$1),"")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  <c r="DD325">
        <f>$C325*DD324</f>
        <v/>
      </c>
    </row>
    <row r="326">
      <c r="B326" t="inlineStr">
        <is>
          <t>VSP-870</t>
        </is>
      </c>
      <c r="C326" t="inlineStr">
        <is>
          <t>No. of batches</t>
        </is>
      </c>
      <c r="D326">
        <f>IFERROR(INDEX(E326:DD326,$F$1),"")</f>
        <v/>
      </c>
      <c r="E326">
        <f>IFERROR(INDEX(PP_Grid[#Data],$DE326,2),0)</f>
        <v/>
      </c>
      <c r="F326">
        <f>IFERROR(INDEX(PP_Grid[#Data],$DE326,3),0)</f>
        <v/>
      </c>
      <c r="G326">
        <f>IFERROR(INDEX(PP_Grid[#Data],$DE326,4),0)</f>
        <v/>
      </c>
      <c r="H326">
        <f>IFERROR(INDEX(PP_Grid[#Data],$DE326,5),0)</f>
        <v/>
      </c>
      <c r="I326">
        <f>IFERROR(INDEX(PP_Grid[#Data],$DE326,6),0)</f>
        <v/>
      </c>
      <c r="J326">
        <f>IFERROR(INDEX(PP_Grid[#Data],$DE326,7),0)</f>
        <v/>
      </c>
      <c r="K326">
        <f>IFERROR(INDEX(PP_Grid[#Data],$DE326,8),0)</f>
        <v/>
      </c>
      <c r="L326">
        <f>IFERROR(INDEX(PP_Grid[#Data],$DE326,9),0)</f>
        <v/>
      </c>
      <c r="M326">
        <f>IFERROR(INDEX(PP_Grid[#Data],$DE326,10),0)</f>
        <v/>
      </c>
      <c r="N326">
        <f>IFERROR(INDEX(PP_Grid[#Data],$DE326,11),0)</f>
        <v/>
      </c>
      <c r="O326">
        <f>IFERROR(INDEX(PP_Grid[#Data],$DE326,12),0)</f>
        <v/>
      </c>
      <c r="P326">
        <f>IFERROR(INDEX(PP_Grid[#Data],$DE326,13),0)</f>
        <v/>
      </c>
      <c r="Q326">
        <f>IFERROR(INDEX(PP_Grid[#Data],$DE326,14),0)</f>
        <v/>
      </c>
      <c r="R326">
        <f>IFERROR(INDEX(PP_Grid[#Data],$DE326,15),0)</f>
        <v/>
      </c>
      <c r="S326">
        <f>IFERROR(INDEX(PP_Grid[#Data],$DE326,16),0)</f>
        <v/>
      </c>
      <c r="T326">
        <f>IFERROR(INDEX(PP_Grid[#Data],$DE326,17),0)</f>
        <v/>
      </c>
      <c r="U326">
        <f>IFERROR(INDEX(PP_Grid[#Data],$DE326,18),0)</f>
        <v/>
      </c>
      <c r="V326">
        <f>IFERROR(INDEX(PP_Grid[#Data],$DE326,19),0)</f>
        <v/>
      </c>
      <c r="W326">
        <f>IFERROR(INDEX(PP_Grid[#Data],$DE326,20),0)</f>
        <v/>
      </c>
      <c r="X326">
        <f>IFERROR(INDEX(PP_Grid[#Data],$DE326,21),0)</f>
        <v/>
      </c>
      <c r="Y326">
        <f>IFERROR(INDEX(PP_Grid[#Data],$DE326,22),0)</f>
        <v/>
      </c>
      <c r="Z326">
        <f>IFERROR(INDEX(PP_Grid[#Data],$DE326,23),0)</f>
        <v/>
      </c>
      <c r="AA326">
        <f>IFERROR(INDEX(PP_Grid[#Data],$DE326,24),0)</f>
        <v/>
      </c>
      <c r="AB326">
        <f>IFERROR(INDEX(PP_Grid[#Data],$DE326,25),0)</f>
        <v/>
      </c>
      <c r="AC326">
        <f>IFERROR(INDEX(PP_Grid[#Data],$DE326,26),0)</f>
        <v/>
      </c>
      <c r="AD326">
        <f>IFERROR(INDEX(PP_Grid[#Data],$DE326,27),0)</f>
        <v/>
      </c>
      <c r="AE326">
        <f>IFERROR(INDEX(PP_Grid[#Data],$DE326,28),0)</f>
        <v/>
      </c>
      <c r="AF326">
        <f>IFERROR(INDEX(PP_Grid[#Data],$DE326,29),0)</f>
        <v/>
      </c>
      <c r="AG326">
        <f>IFERROR(INDEX(PP_Grid[#Data],$DE326,30),0)</f>
        <v/>
      </c>
      <c r="AH326">
        <f>IFERROR(INDEX(PP_Grid[#Data],$DE326,31),0)</f>
        <v/>
      </c>
      <c r="AI326">
        <f>IFERROR(INDEX(PP_Grid[#Data],$DE326,32),0)</f>
        <v/>
      </c>
      <c r="AJ326">
        <f>IFERROR(INDEX(PP_Grid[#Data],$DE326,33),0)</f>
        <v/>
      </c>
      <c r="AK326">
        <f>IFERROR(INDEX(PP_Grid[#Data],$DE326,34),0)</f>
        <v/>
      </c>
      <c r="AL326">
        <f>IFERROR(INDEX(PP_Grid[#Data],$DE326,35),0)</f>
        <v/>
      </c>
      <c r="AM326">
        <f>IFERROR(INDEX(PP_Grid[#Data],$DE326,36),0)</f>
        <v/>
      </c>
      <c r="AN326">
        <f>IFERROR(INDEX(PP_Grid[#Data],$DE326,37),0)</f>
        <v/>
      </c>
      <c r="AO326">
        <f>IFERROR(INDEX(PP_Grid[#Data],$DE326,38),0)</f>
        <v/>
      </c>
      <c r="AP326">
        <f>IFERROR(INDEX(PP_Grid[#Data],$DE326,39),0)</f>
        <v/>
      </c>
      <c r="AQ326">
        <f>IFERROR(INDEX(PP_Grid[#Data],$DE326,40),0)</f>
        <v/>
      </c>
      <c r="AR326">
        <f>IFERROR(INDEX(PP_Grid[#Data],$DE326,41),0)</f>
        <v/>
      </c>
      <c r="AS326">
        <f>IFERROR(INDEX(PP_Grid[#Data],$DE326,42),0)</f>
        <v/>
      </c>
      <c r="AT326">
        <f>IFERROR(INDEX(PP_Grid[#Data],$DE326,43),0)</f>
        <v/>
      </c>
      <c r="AU326">
        <f>IFERROR(INDEX(PP_Grid[#Data],$DE326,44),0)</f>
        <v/>
      </c>
      <c r="AV326">
        <f>IFERROR(INDEX(PP_Grid[#Data],$DE326,45),0)</f>
        <v/>
      </c>
      <c r="AW326">
        <f>IFERROR(INDEX(PP_Grid[#Data],$DE326,46),0)</f>
        <v/>
      </c>
      <c r="AX326">
        <f>IFERROR(INDEX(PP_Grid[#Data],$DE326,47),0)</f>
        <v/>
      </c>
      <c r="AY326">
        <f>IFERROR(INDEX(PP_Grid[#Data],$DE326,48),0)</f>
        <v/>
      </c>
      <c r="AZ326">
        <f>IFERROR(INDEX(PP_Grid[#Data],$DE326,49),0)</f>
        <v/>
      </c>
      <c r="BA326">
        <f>IFERROR(INDEX(PP_Grid[#Data],$DE326,50),0)</f>
        <v/>
      </c>
      <c r="BB326">
        <f>IFERROR(INDEX(PP_Grid[#Data],$DE326,51),0)</f>
        <v/>
      </c>
      <c r="BC326">
        <f>IFERROR(INDEX(PP_Grid[#Data],$DE326,52),0)</f>
        <v/>
      </c>
      <c r="BD326">
        <f>IFERROR(INDEX(PP_Grid[#Data],$DE326,53),0)</f>
        <v/>
      </c>
      <c r="BE326">
        <f>IFERROR(INDEX(PP_Grid[#Data],$DE326,54),0)</f>
        <v/>
      </c>
      <c r="BF326">
        <f>IFERROR(INDEX(PP_Grid[#Data],$DE326,55),0)</f>
        <v/>
      </c>
      <c r="BG326">
        <f>IFERROR(INDEX(PP_Grid[#Data],$DE326,56),0)</f>
        <v/>
      </c>
      <c r="BH326">
        <f>IFERROR(INDEX(PP_Grid[#Data],$DE326,57),0)</f>
        <v/>
      </c>
      <c r="BI326">
        <f>IFERROR(INDEX(PP_Grid[#Data],$DE326,58),0)</f>
        <v/>
      </c>
      <c r="BJ326">
        <f>IFERROR(INDEX(PP_Grid[#Data],$DE326,59),0)</f>
        <v/>
      </c>
      <c r="BK326">
        <f>IFERROR(INDEX(PP_Grid[#Data],$DE326,60),0)</f>
        <v/>
      </c>
      <c r="BL326">
        <f>IFERROR(INDEX(PP_Grid[#Data],$DE326,61),0)</f>
        <v/>
      </c>
      <c r="BM326">
        <f>IFERROR(INDEX(PP_Grid[#Data],$DE326,62),0)</f>
        <v/>
      </c>
      <c r="BN326">
        <f>IFERROR(INDEX(PP_Grid[#Data],$DE326,63),0)</f>
        <v/>
      </c>
      <c r="BO326">
        <f>IFERROR(INDEX(PP_Grid[#Data],$DE326,64),0)</f>
        <v/>
      </c>
      <c r="BP326">
        <f>IFERROR(INDEX(PP_Grid[#Data],$DE326,65),0)</f>
        <v/>
      </c>
      <c r="BQ326">
        <f>IFERROR(INDEX(PP_Grid[#Data],$DE326,66),0)</f>
        <v/>
      </c>
      <c r="BR326">
        <f>IFERROR(INDEX(PP_Grid[#Data],$DE326,67),0)</f>
        <v/>
      </c>
      <c r="BS326">
        <f>IFERROR(INDEX(PP_Grid[#Data],$DE326,68),0)</f>
        <v/>
      </c>
      <c r="BT326">
        <f>IFERROR(INDEX(PP_Grid[#Data],$DE326,69),0)</f>
        <v/>
      </c>
      <c r="BU326">
        <f>IFERROR(INDEX(PP_Grid[#Data],$DE326,70),0)</f>
        <v/>
      </c>
      <c r="BV326">
        <f>IFERROR(INDEX(PP_Grid[#Data],$DE326,71),0)</f>
        <v/>
      </c>
      <c r="BW326">
        <f>IFERROR(INDEX(PP_Grid[#Data],$DE326,72),0)</f>
        <v/>
      </c>
      <c r="BX326">
        <f>IFERROR(INDEX(PP_Grid[#Data],$DE326,73),0)</f>
        <v/>
      </c>
      <c r="BY326">
        <f>IFERROR(INDEX(PP_Grid[#Data],$DE326,74),0)</f>
        <v/>
      </c>
      <c r="BZ326">
        <f>IFERROR(INDEX(PP_Grid[#Data],$DE326,75),0)</f>
        <v/>
      </c>
      <c r="CA326">
        <f>IFERROR(INDEX(PP_Grid[#Data],$DE326,76),0)</f>
        <v/>
      </c>
      <c r="CB326">
        <f>IFERROR(INDEX(PP_Grid[#Data],$DE326,77),0)</f>
        <v/>
      </c>
      <c r="CC326">
        <f>IFERROR(INDEX(PP_Grid[#Data],$DE326,78),0)</f>
        <v/>
      </c>
      <c r="CD326">
        <f>IFERROR(INDEX(PP_Grid[#Data],$DE326,79),0)</f>
        <v/>
      </c>
      <c r="CE326">
        <f>IFERROR(INDEX(PP_Grid[#Data],$DE326,80),0)</f>
        <v/>
      </c>
      <c r="CF326">
        <f>IFERROR(INDEX(PP_Grid[#Data],$DE326,81),0)</f>
        <v/>
      </c>
      <c r="CG326">
        <f>IFERROR(INDEX(PP_Grid[#Data],$DE326,82),0)</f>
        <v/>
      </c>
      <c r="CH326">
        <f>IFERROR(INDEX(PP_Grid[#Data],$DE326,83),0)</f>
        <v/>
      </c>
      <c r="CI326">
        <f>IFERROR(INDEX(PP_Grid[#Data],$DE326,84),0)</f>
        <v/>
      </c>
      <c r="CJ326">
        <f>IFERROR(INDEX(PP_Grid[#Data],$DE326,85),0)</f>
        <v/>
      </c>
      <c r="CK326">
        <f>IFERROR(INDEX(PP_Grid[#Data],$DE326,86),0)</f>
        <v/>
      </c>
      <c r="CL326">
        <f>IFERROR(INDEX(PP_Grid[#Data],$DE326,87),0)</f>
        <v/>
      </c>
      <c r="CM326">
        <f>IFERROR(INDEX(PP_Grid[#Data],$DE326,88),0)</f>
        <v/>
      </c>
      <c r="CN326">
        <f>IFERROR(INDEX(PP_Grid[#Data],$DE326,89),0)</f>
        <v/>
      </c>
      <c r="CO326">
        <f>IFERROR(INDEX(PP_Grid[#Data],$DE326,90),0)</f>
        <v/>
      </c>
      <c r="CP326">
        <f>IFERROR(INDEX(PP_Grid[#Data],$DE326,91),0)</f>
        <v/>
      </c>
      <c r="CQ326">
        <f>IFERROR(INDEX(PP_Grid[#Data],$DE326,92),0)</f>
        <v/>
      </c>
      <c r="CR326">
        <f>IFERROR(INDEX(PP_Grid[#Data],$DE326,93),0)</f>
        <v/>
      </c>
      <c r="CS326">
        <f>IFERROR(INDEX(PP_Grid[#Data],$DE326,94),0)</f>
        <v/>
      </c>
      <c r="CT326">
        <f>IFERROR(INDEX(PP_Grid[#Data],$DE326,95),0)</f>
        <v/>
      </c>
      <c r="CU326">
        <f>IFERROR(INDEX(PP_Grid[#Data],$DE326,96),0)</f>
        <v/>
      </c>
      <c r="CV326">
        <f>IFERROR(INDEX(PP_Grid[#Data],$DE326,97),0)</f>
        <v/>
      </c>
      <c r="CW326">
        <f>IFERROR(INDEX(PP_Grid[#Data],$DE326,98),0)</f>
        <v/>
      </c>
      <c r="CX326">
        <f>IFERROR(INDEX(PP_Grid[#Data],$DE326,99),0)</f>
        <v/>
      </c>
      <c r="CY326">
        <f>IFERROR(INDEX(PP_Grid[#Data],$DE326,100),0)</f>
        <v/>
      </c>
      <c r="CZ326">
        <f>IFERROR(INDEX(PP_Grid[#Data],$DE326,101),0)</f>
        <v/>
      </c>
      <c r="DA326">
        <f>IFERROR(INDEX(PP_Grid[#Data],$DE326,102),0)</f>
        <v/>
      </c>
      <c r="DB326">
        <f>IFERROR(INDEX(PP_Grid[#Data],$DE326,103),0)</f>
        <v/>
      </c>
      <c r="DC326">
        <f>IFERROR(INDEX(PP_Grid[#Data],$DE326,104),0)</f>
        <v/>
      </c>
      <c r="DD326">
        <f>IFERROR(INDEX(PP_Grid[#Data],$DE326,105),0)</f>
        <v/>
      </c>
      <c r="DE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SUMIFS(M_BOM[RM_Qty_Per_Batch],M_BOM[Intermediate],$B326,M_BOM[RM_Code],$A199)</f>
        <v/>
      </c>
      <c r="D327">
        <f>IFERROR(INDEX(E327:DD327,$F$1),"")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  <c r="DD327">
        <f>$C327*DD326</f>
        <v/>
      </c>
    </row>
    <row r="328">
      <c r="B328" t="inlineStr">
        <is>
          <t>VSP-910</t>
        </is>
      </c>
      <c r="C328" t="inlineStr">
        <is>
          <t>No. of batches</t>
        </is>
      </c>
      <c r="D328">
        <f>IFERROR(INDEX(E328:DD328,$F$1),"")</f>
        <v/>
      </c>
      <c r="E328">
        <f>IFERROR(INDEX(PP_Grid[#Data],$DE328,2),0)</f>
        <v/>
      </c>
      <c r="F328">
        <f>IFERROR(INDEX(PP_Grid[#Data],$DE328,3),0)</f>
        <v/>
      </c>
      <c r="G328">
        <f>IFERROR(INDEX(PP_Grid[#Data],$DE328,4),0)</f>
        <v/>
      </c>
      <c r="H328">
        <f>IFERROR(INDEX(PP_Grid[#Data],$DE328,5),0)</f>
        <v/>
      </c>
      <c r="I328">
        <f>IFERROR(INDEX(PP_Grid[#Data],$DE328,6),0)</f>
        <v/>
      </c>
      <c r="J328">
        <f>IFERROR(INDEX(PP_Grid[#Data],$DE328,7),0)</f>
        <v/>
      </c>
      <c r="K328">
        <f>IFERROR(INDEX(PP_Grid[#Data],$DE328,8),0)</f>
        <v/>
      </c>
      <c r="L328">
        <f>IFERROR(INDEX(PP_Grid[#Data],$DE328,9),0)</f>
        <v/>
      </c>
      <c r="M328">
        <f>IFERROR(INDEX(PP_Grid[#Data],$DE328,10),0)</f>
        <v/>
      </c>
      <c r="N328">
        <f>IFERROR(INDEX(PP_Grid[#Data],$DE328,11),0)</f>
        <v/>
      </c>
      <c r="O328">
        <f>IFERROR(INDEX(PP_Grid[#Data],$DE328,12),0)</f>
        <v/>
      </c>
      <c r="P328">
        <f>IFERROR(INDEX(PP_Grid[#Data],$DE328,13),0)</f>
        <v/>
      </c>
      <c r="Q328">
        <f>IFERROR(INDEX(PP_Grid[#Data],$DE328,14),0)</f>
        <v/>
      </c>
      <c r="R328">
        <f>IFERROR(INDEX(PP_Grid[#Data],$DE328,15),0)</f>
        <v/>
      </c>
      <c r="S328">
        <f>IFERROR(INDEX(PP_Grid[#Data],$DE328,16),0)</f>
        <v/>
      </c>
      <c r="T328">
        <f>IFERROR(INDEX(PP_Grid[#Data],$DE328,17),0)</f>
        <v/>
      </c>
      <c r="U328">
        <f>IFERROR(INDEX(PP_Grid[#Data],$DE328,18),0)</f>
        <v/>
      </c>
      <c r="V328">
        <f>IFERROR(INDEX(PP_Grid[#Data],$DE328,19),0)</f>
        <v/>
      </c>
      <c r="W328">
        <f>IFERROR(INDEX(PP_Grid[#Data],$DE328,20),0)</f>
        <v/>
      </c>
      <c r="X328">
        <f>IFERROR(INDEX(PP_Grid[#Data],$DE328,21),0)</f>
        <v/>
      </c>
      <c r="Y328">
        <f>IFERROR(INDEX(PP_Grid[#Data],$DE328,22),0)</f>
        <v/>
      </c>
      <c r="Z328">
        <f>IFERROR(INDEX(PP_Grid[#Data],$DE328,23),0)</f>
        <v/>
      </c>
      <c r="AA328">
        <f>IFERROR(INDEX(PP_Grid[#Data],$DE328,24),0)</f>
        <v/>
      </c>
      <c r="AB328">
        <f>IFERROR(INDEX(PP_Grid[#Data],$DE328,25),0)</f>
        <v/>
      </c>
      <c r="AC328">
        <f>IFERROR(INDEX(PP_Grid[#Data],$DE328,26),0)</f>
        <v/>
      </c>
      <c r="AD328">
        <f>IFERROR(INDEX(PP_Grid[#Data],$DE328,27),0)</f>
        <v/>
      </c>
      <c r="AE328">
        <f>IFERROR(INDEX(PP_Grid[#Data],$DE328,28),0)</f>
        <v/>
      </c>
      <c r="AF328">
        <f>IFERROR(INDEX(PP_Grid[#Data],$DE328,29),0)</f>
        <v/>
      </c>
      <c r="AG328">
        <f>IFERROR(INDEX(PP_Grid[#Data],$DE328,30),0)</f>
        <v/>
      </c>
      <c r="AH328">
        <f>IFERROR(INDEX(PP_Grid[#Data],$DE328,31),0)</f>
        <v/>
      </c>
      <c r="AI328">
        <f>IFERROR(INDEX(PP_Grid[#Data],$DE328,32),0)</f>
        <v/>
      </c>
      <c r="AJ328">
        <f>IFERROR(INDEX(PP_Grid[#Data],$DE328,33),0)</f>
        <v/>
      </c>
      <c r="AK328">
        <f>IFERROR(INDEX(PP_Grid[#Data],$DE328,34),0)</f>
        <v/>
      </c>
      <c r="AL328">
        <f>IFERROR(INDEX(PP_Grid[#Data],$DE328,35),0)</f>
        <v/>
      </c>
      <c r="AM328">
        <f>IFERROR(INDEX(PP_Grid[#Data],$DE328,36),0)</f>
        <v/>
      </c>
      <c r="AN328">
        <f>IFERROR(INDEX(PP_Grid[#Data],$DE328,37),0)</f>
        <v/>
      </c>
      <c r="AO328">
        <f>IFERROR(INDEX(PP_Grid[#Data],$DE328,38),0)</f>
        <v/>
      </c>
      <c r="AP328">
        <f>IFERROR(INDEX(PP_Grid[#Data],$DE328,39),0)</f>
        <v/>
      </c>
      <c r="AQ328">
        <f>IFERROR(INDEX(PP_Grid[#Data],$DE328,40),0)</f>
        <v/>
      </c>
      <c r="AR328">
        <f>IFERROR(INDEX(PP_Grid[#Data],$DE328,41),0)</f>
        <v/>
      </c>
      <c r="AS328">
        <f>IFERROR(INDEX(PP_Grid[#Data],$DE328,42),0)</f>
        <v/>
      </c>
      <c r="AT328">
        <f>IFERROR(INDEX(PP_Grid[#Data],$DE328,43),0)</f>
        <v/>
      </c>
      <c r="AU328">
        <f>IFERROR(INDEX(PP_Grid[#Data],$DE328,44),0)</f>
        <v/>
      </c>
      <c r="AV328">
        <f>IFERROR(INDEX(PP_Grid[#Data],$DE328,45),0)</f>
        <v/>
      </c>
      <c r="AW328">
        <f>IFERROR(INDEX(PP_Grid[#Data],$DE328,46),0)</f>
        <v/>
      </c>
      <c r="AX328">
        <f>IFERROR(INDEX(PP_Grid[#Data],$DE328,47),0)</f>
        <v/>
      </c>
      <c r="AY328">
        <f>IFERROR(INDEX(PP_Grid[#Data],$DE328,48),0)</f>
        <v/>
      </c>
      <c r="AZ328">
        <f>IFERROR(INDEX(PP_Grid[#Data],$DE328,49),0)</f>
        <v/>
      </c>
      <c r="BA328">
        <f>IFERROR(INDEX(PP_Grid[#Data],$DE328,50),0)</f>
        <v/>
      </c>
      <c r="BB328">
        <f>IFERROR(INDEX(PP_Grid[#Data],$DE328,51),0)</f>
        <v/>
      </c>
      <c r="BC328">
        <f>IFERROR(INDEX(PP_Grid[#Data],$DE328,52),0)</f>
        <v/>
      </c>
      <c r="BD328">
        <f>IFERROR(INDEX(PP_Grid[#Data],$DE328,53),0)</f>
        <v/>
      </c>
      <c r="BE328">
        <f>IFERROR(INDEX(PP_Grid[#Data],$DE328,54),0)</f>
        <v/>
      </c>
      <c r="BF328">
        <f>IFERROR(INDEX(PP_Grid[#Data],$DE328,55),0)</f>
        <v/>
      </c>
      <c r="BG328">
        <f>IFERROR(INDEX(PP_Grid[#Data],$DE328,56),0)</f>
        <v/>
      </c>
      <c r="BH328">
        <f>IFERROR(INDEX(PP_Grid[#Data],$DE328,57),0)</f>
        <v/>
      </c>
      <c r="BI328">
        <f>IFERROR(INDEX(PP_Grid[#Data],$DE328,58),0)</f>
        <v/>
      </c>
      <c r="BJ328">
        <f>IFERROR(INDEX(PP_Grid[#Data],$DE328,59),0)</f>
        <v/>
      </c>
      <c r="BK328">
        <f>IFERROR(INDEX(PP_Grid[#Data],$DE328,60),0)</f>
        <v/>
      </c>
      <c r="BL328">
        <f>IFERROR(INDEX(PP_Grid[#Data],$DE328,61),0)</f>
        <v/>
      </c>
      <c r="BM328">
        <f>IFERROR(INDEX(PP_Grid[#Data],$DE328,62),0)</f>
        <v/>
      </c>
      <c r="BN328">
        <f>IFERROR(INDEX(PP_Grid[#Data],$DE328,63),0)</f>
        <v/>
      </c>
      <c r="BO328">
        <f>IFERROR(INDEX(PP_Grid[#Data],$DE328,64),0)</f>
        <v/>
      </c>
      <c r="BP328">
        <f>IFERROR(INDEX(PP_Grid[#Data],$DE328,65),0)</f>
        <v/>
      </c>
      <c r="BQ328">
        <f>IFERROR(INDEX(PP_Grid[#Data],$DE328,66),0)</f>
        <v/>
      </c>
      <c r="BR328">
        <f>IFERROR(INDEX(PP_Grid[#Data],$DE328,67),0)</f>
        <v/>
      </c>
      <c r="BS328">
        <f>IFERROR(INDEX(PP_Grid[#Data],$DE328,68),0)</f>
        <v/>
      </c>
      <c r="BT328">
        <f>IFERROR(INDEX(PP_Grid[#Data],$DE328,69),0)</f>
        <v/>
      </c>
      <c r="BU328">
        <f>IFERROR(INDEX(PP_Grid[#Data],$DE328,70),0)</f>
        <v/>
      </c>
      <c r="BV328">
        <f>IFERROR(INDEX(PP_Grid[#Data],$DE328,71),0)</f>
        <v/>
      </c>
      <c r="BW328">
        <f>IFERROR(INDEX(PP_Grid[#Data],$DE328,72),0)</f>
        <v/>
      </c>
      <c r="BX328">
        <f>IFERROR(INDEX(PP_Grid[#Data],$DE328,73),0)</f>
        <v/>
      </c>
      <c r="BY328">
        <f>IFERROR(INDEX(PP_Grid[#Data],$DE328,74),0)</f>
        <v/>
      </c>
      <c r="BZ328">
        <f>IFERROR(INDEX(PP_Grid[#Data],$DE328,75),0)</f>
        <v/>
      </c>
      <c r="CA328">
        <f>IFERROR(INDEX(PP_Grid[#Data],$DE328,76),0)</f>
        <v/>
      </c>
      <c r="CB328">
        <f>IFERROR(INDEX(PP_Grid[#Data],$DE328,77),0)</f>
        <v/>
      </c>
      <c r="CC328">
        <f>IFERROR(INDEX(PP_Grid[#Data],$DE328,78),0)</f>
        <v/>
      </c>
      <c r="CD328">
        <f>IFERROR(INDEX(PP_Grid[#Data],$DE328,79),0)</f>
        <v/>
      </c>
      <c r="CE328">
        <f>IFERROR(INDEX(PP_Grid[#Data],$DE328,80),0)</f>
        <v/>
      </c>
      <c r="CF328">
        <f>IFERROR(INDEX(PP_Grid[#Data],$DE328,81),0)</f>
        <v/>
      </c>
      <c r="CG328">
        <f>IFERROR(INDEX(PP_Grid[#Data],$DE328,82),0)</f>
        <v/>
      </c>
      <c r="CH328">
        <f>IFERROR(INDEX(PP_Grid[#Data],$DE328,83),0)</f>
        <v/>
      </c>
      <c r="CI328">
        <f>IFERROR(INDEX(PP_Grid[#Data],$DE328,84),0)</f>
        <v/>
      </c>
      <c r="CJ328">
        <f>IFERROR(INDEX(PP_Grid[#Data],$DE328,85),0)</f>
        <v/>
      </c>
      <c r="CK328">
        <f>IFERROR(INDEX(PP_Grid[#Data],$DE328,86),0)</f>
        <v/>
      </c>
      <c r="CL328">
        <f>IFERROR(INDEX(PP_Grid[#Data],$DE328,87),0)</f>
        <v/>
      </c>
      <c r="CM328">
        <f>IFERROR(INDEX(PP_Grid[#Data],$DE328,88),0)</f>
        <v/>
      </c>
      <c r="CN328">
        <f>IFERROR(INDEX(PP_Grid[#Data],$DE328,89),0)</f>
        <v/>
      </c>
      <c r="CO328">
        <f>IFERROR(INDEX(PP_Grid[#Data],$DE328,90),0)</f>
        <v/>
      </c>
      <c r="CP328">
        <f>IFERROR(INDEX(PP_Grid[#Data],$DE328,91),0)</f>
        <v/>
      </c>
      <c r="CQ328">
        <f>IFERROR(INDEX(PP_Grid[#Data],$DE328,92),0)</f>
        <v/>
      </c>
      <c r="CR328">
        <f>IFERROR(INDEX(PP_Grid[#Data],$DE328,93),0)</f>
        <v/>
      </c>
      <c r="CS328">
        <f>IFERROR(INDEX(PP_Grid[#Data],$DE328,94),0)</f>
        <v/>
      </c>
      <c r="CT328">
        <f>IFERROR(INDEX(PP_Grid[#Data],$DE328,95),0)</f>
        <v/>
      </c>
      <c r="CU328">
        <f>IFERROR(INDEX(PP_Grid[#Data],$DE328,96),0)</f>
        <v/>
      </c>
      <c r="CV328">
        <f>IFERROR(INDEX(PP_Grid[#Data],$DE328,97),0)</f>
        <v/>
      </c>
      <c r="CW328">
        <f>IFERROR(INDEX(PP_Grid[#Data],$DE328,98),0)</f>
        <v/>
      </c>
      <c r="CX328">
        <f>IFERROR(INDEX(PP_Grid[#Data],$DE328,99),0)</f>
        <v/>
      </c>
      <c r="CY328">
        <f>IFERROR(INDEX(PP_Grid[#Data],$DE328,100),0)</f>
        <v/>
      </c>
      <c r="CZ328">
        <f>IFERROR(INDEX(PP_Grid[#Data],$DE328,101),0)</f>
        <v/>
      </c>
      <c r="DA328">
        <f>IFERROR(INDEX(PP_Grid[#Data],$DE328,102),0)</f>
        <v/>
      </c>
      <c r="DB328">
        <f>IFERROR(INDEX(PP_Grid[#Data],$DE328,103),0)</f>
        <v/>
      </c>
      <c r="DC328">
        <f>IFERROR(INDEX(PP_Grid[#Data],$DE328,104),0)</f>
        <v/>
      </c>
      <c r="DD328">
        <f>IFERROR(INDEX(PP_Grid[#Data],$DE328,105),0)</f>
        <v/>
      </c>
      <c r="DE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SUMIFS(M_BOM[RM_Qty_Per_Batch],M_BOM[Intermediate],$B328,M_BOM[RM_Code],$A199)</f>
        <v/>
      </c>
      <c r="D329">
        <f>IFERROR(INDEX(E329:DD329,$F$1),"")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  <c r="DD329">
        <f>$C329*DD328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IFERROR(INDEX(E330:DD330,$F$1),"")</f>
        <v/>
      </c>
      <c r="E330">
        <f>IFERROR(INDEX(PP_Grid[#Data],$DE330,2),0)</f>
        <v/>
      </c>
      <c r="F330">
        <f>IFERROR(INDEX(PP_Grid[#Data],$DE330,3),0)</f>
        <v/>
      </c>
      <c r="G330">
        <f>IFERROR(INDEX(PP_Grid[#Data],$DE330,4),0)</f>
        <v/>
      </c>
      <c r="H330">
        <f>IFERROR(INDEX(PP_Grid[#Data],$DE330,5),0)</f>
        <v/>
      </c>
      <c r="I330">
        <f>IFERROR(INDEX(PP_Grid[#Data],$DE330,6),0)</f>
        <v/>
      </c>
      <c r="J330">
        <f>IFERROR(INDEX(PP_Grid[#Data],$DE330,7),0)</f>
        <v/>
      </c>
      <c r="K330">
        <f>IFERROR(INDEX(PP_Grid[#Data],$DE330,8),0)</f>
        <v/>
      </c>
      <c r="L330">
        <f>IFERROR(INDEX(PP_Grid[#Data],$DE330,9),0)</f>
        <v/>
      </c>
      <c r="M330">
        <f>IFERROR(INDEX(PP_Grid[#Data],$DE330,10),0)</f>
        <v/>
      </c>
      <c r="N330">
        <f>IFERROR(INDEX(PP_Grid[#Data],$DE330,11),0)</f>
        <v/>
      </c>
      <c r="O330">
        <f>IFERROR(INDEX(PP_Grid[#Data],$DE330,12),0)</f>
        <v/>
      </c>
      <c r="P330">
        <f>IFERROR(INDEX(PP_Grid[#Data],$DE330,13),0)</f>
        <v/>
      </c>
      <c r="Q330">
        <f>IFERROR(INDEX(PP_Grid[#Data],$DE330,14),0)</f>
        <v/>
      </c>
      <c r="R330">
        <f>IFERROR(INDEX(PP_Grid[#Data],$DE330,15),0)</f>
        <v/>
      </c>
      <c r="S330">
        <f>IFERROR(INDEX(PP_Grid[#Data],$DE330,16),0)</f>
        <v/>
      </c>
      <c r="T330">
        <f>IFERROR(INDEX(PP_Grid[#Data],$DE330,17),0)</f>
        <v/>
      </c>
      <c r="U330">
        <f>IFERROR(INDEX(PP_Grid[#Data],$DE330,18),0)</f>
        <v/>
      </c>
      <c r="V330">
        <f>IFERROR(INDEX(PP_Grid[#Data],$DE330,19),0)</f>
        <v/>
      </c>
      <c r="W330">
        <f>IFERROR(INDEX(PP_Grid[#Data],$DE330,20),0)</f>
        <v/>
      </c>
      <c r="X330">
        <f>IFERROR(INDEX(PP_Grid[#Data],$DE330,21),0)</f>
        <v/>
      </c>
      <c r="Y330">
        <f>IFERROR(INDEX(PP_Grid[#Data],$DE330,22),0)</f>
        <v/>
      </c>
      <c r="Z330">
        <f>IFERROR(INDEX(PP_Grid[#Data],$DE330,23),0)</f>
        <v/>
      </c>
      <c r="AA330">
        <f>IFERROR(INDEX(PP_Grid[#Data],$DE330,24),0)</f>
        <v/>
      </c>
      <c r="AB330">
        <f>IFERROR(INDEX(PP_Grid[#Data],$DE330,25),0)</f>
        <v/>
      </c>
      <c r="AC330">
        <f>IFERROR(INDEX(PP_Grid[#Data],$DE330,26),0)</f>
        <v/>
      </c>
      <c r="AD330">
        <f>IFERROR(INDEX(PP_Grid[#Data],$DE330,27),0)</f>
        <v/>
      </c>
      <c r="AE330">
        <f>IFERROR(INDEX(PP_Grid[#Data],$DE330,28),0)</f>
        <v/>
      </c>
      <c r="AF330">
        <f>IFERROR(INDEX(PP_Grid[#Data],$DE330,29),0)</f>
        <v/>
      </c>
      <c r="AG330">
        <f>IFERROR(INDEX(PP_Grid[#Data],$DE330,30),0)</f>
        <v/>
      </c>
      <c r="AH330">
        <f>IFERROR(INDEX(PP_Grid[#Data],$DE330,31),0)</f>
        <v/>
      </c>
      <c r="AI330">
        <f>IFERROR(INDEX(PP_Grid[#Data],$DE330,32),0)</f>
        <v/>
      </c>
      <c r="AJ330">
        <f>IFERROR(INDEX(PP_Grid[#Data],$DE330,33),0)</f>
        <v/>
      </c>
      <c r="AK330">
        <f>IFERROR(INDEX(PP_Grid[#Data],$DE330,34),0)</f>
        <v/>
      </c>
      <c r="AL330">
        <f>IFERROR(INDEX(PP_Grid[#Data],$DE330,35),0)</f>
        <v/>
      </c>
      <c r="AM330">
        <f>IFERROR(INDEX(PP_Grid[#Data],$DE330,36),0)</f>
        <v/>
      </c>
      <c r="AN330">
        <f>IFERROR(INDEX(PP_Grid[#Data],$DE330,37),0)</f>
        <v/>
      </c>
      <c r="AO330">
        <f>IFERROR(INDEX(PP_Grid[#Data],$DE330,38),0)</f>
        <v/>
      </c>
      <c r="AP330">
        <f>IFERROR(INDEX(PP_Grid[#Data],$DE330,39),0)</f>
        <v/>
      </c>
      <c r="AQ330">
        <f>IFERROR(INDEX(PP_Grid[#Data],$DE330,40),0)</f>
        <v/>
      </c>
      <c r="AR330">
        <f>IFERROR(INDEX(PP_Grid[#Data],$DE330,41),0)</f>
        <v/>
      </c>
      <c r="AS330">
        <f>IFERROR(INDEX(PP_Grid[#Data],$DE330,42),0)</f>
        <v/>
      </c>
      <c r="AT330">
        <f>IFERROR(INDEX(PP_Grid[#Data],$DE330,43),0)</f>
        <v/>
      </c>
      <c r="AU330">
        <f>IFERROR(INDEX(PP_Grid[#Data],$DE330,44),0)</f>
        <v/>
      </c>
      <c r="AV330">
        <f>IFERROR(INDEX(PP_Grid[#Data],$DE330,45),0)</f>
        <v/>
      </c>
      <c r="AW330">
        <f>IFERROR(INDEX(PP_Grid[#Data],$DE330,46),0)</f>
        <v/>
      </c>
      <c r="AX330">
        <f>IFERROR(INDEX(PP_Grid[#Data],$DE330,47),0)</f>
        <v/>
      </c>
      <c r="AY330">
        <f>IFERROR(INDEX(PP_Grid[#Data],$DE330,48),0)</f>
        <v/>
      </c>
      <c r="AZ330">
        <f>IFERROR(INDEX(PP_Grid[#Data],$DE330,49),0)</f>
        <v/>
      </c>
      <c r="BA330">
        <f>IFERROR(INDEX(PP_Grid[#Data],$DE330,50),0)</f>
        <v/>
      </c>
      <c r="BB330">
        <f>IFERROR(INDEX(PP_Grid[#Data],$DE330,51),0)</f>
        <v/>
      </c>
      <c r="BC330">
        <f>IFERROR(INDEX(PP_Grid[#Data],$DE330,52),0)</f>
        <v/>
      </c>
      <c r="BD330">
        <f>IFERROR(INDEX(PP_Grid[#Data],$DE330,53),0)</f>
        <v/>
      </c>
      <c r="BE330">
        <f>IFERROR(INDEX(PP_Grid[#Data],$DE330,54),0)</f>
        <v/>
      </c>
      <c r="BF330">
        <f>IFERROR(INDEX(PP_Grid[#Data],$DE330,55),0)</f>
        <v/>
      </c>
      <c r="BG330">
        <f>IFERROR(INDEX(PP_Grid[#Data],$DE330,56),0)</f>
        <v/>
      </c>
      <c r="BH330">
        <f>IFERROR(INDEX(PP_Grid[#Data],$DE330,57),0)</f>
        <v/>
      </c>
      <c r="BI330">
        <f>IFERROR(INDEX(PP_Grid[#Data],$DE330,58),0)</f>
        <v/>
      </c>
      <c r="BJ330">
        <f>IFERROR(INDEX(PP_Grid[#Data],$DE330,59),0)</f>
        <v/>
      </c>
      <c r="BK330">
        <f>IFERROR(INDEX(PP_Grid[#Data],$DE330,60),0)</f>
        <v/>
      </c>
      <c r="BL330">
        <f>IFERROR(INDEX(PP_Grid[#Data],$DE330,61),0)</f>
        <v/>
      </c>
      <c r="BM330">
        <f>IFERROR(INDEX(PP_Grid[#Data],$DE330,62),0)</f>
        <v/>
      </c>
      <c r="BN330">
        <f>IFERROR(INDEX(PP_Grid[#Data],$DE330,63),0)</f>
        <v/>
      </c>
      <c r="BO330">
        <f>IFERROR(INDEX(PP_Grid[#Data],$DE330,64),0)</f>
        <v/>
      </c>
      <c r="BP330">
        <f>IFERROR(INDEX(PP_Grid[#Data],$DE330,65),0)</f>
        <v/>
      </c>
      <c r="BQ330">
        <f>IFERROR(INDEX(PP_Grid[#Data],$DE330,66),0)</f>
        <v/>
      </c>
      <c r="BR330">
        <f>IFERROR(INDEX(PP_Grid[#Data],$DE330,67),0)</f>
        <v/>
      </c>
      <c r="BS330">
        <f>IFERROR(INDEX(PP_Grid[#Data],$DE330,68),0)</f>
        <v/>
      </c>
      <c r="BT330">
        <f>IFERROR(INDEX(PP_Grid[#Data],$DE330,69),0)</f>
        <v/>
      </c>
      <c r="BU330">
        <f>IFERROR(INDEX(PP_Grid[#Data],$DE330,70),0)</f>
        <v/>
      </c>
      <c r="BV330">
        <f>IFERROR(INDEX(PP_Grid[#Data],$DE330,71),0)</f>
        <v/>
      </c>
      <c r="BW330">
        <f>IFERROR(INDEX(PP_Grid[#Data],$DE330,72),0)</f>
        <v/>
      </c>
      <c r="BX330">
        <f>IFERROR(INDEX(PP_Grid[#Data],$DE330,73),0)</f>
        <v/>
      </c>
      <c r="BY330">
        <f>IFERROR(INDEX(PP_Grid[#Data],$DE330,74),0)</f>
        <v/>
      </c>
      <c r="BZ330">
        <f>IFERROR(INDEX(PP_Grid[#Data],$DE330,75),0)</f>
        <v/>
      </c>
      <c r="CA330">
        <f>IFERROR(INDEX(PP_Grid[#Data],$DE330,76),0)</f>
        <v/>
      </c>
      <c r="CB330">
        <f>IFERROR(INDEX(PP_Grid[#Data],$DE330,77),0)</f>
        <v/>
      </c>
      <c r="CC330">
        <f>IFERROR(INDEX(PP_Grid[#Data],$DE330,78),0)</f>
        <v/>
      </c>
      <c r="CD330">
        <f>IFERROR(INDEX(PP_Grid[#Data],$DE330,79),0)</f>
        <v/>
      </c>
      <c r="CE330">
        <f>IFERROR(INDEX(PP_Grid[#Data],$DE330,80),0)</f>
        <v/>
      </c>
      <c r="CF330">
        <f>IFERROR(INDEX(PP_Grid[#Data],$DE330,81),0)</f>
        <v/>
      </c>
      <c r="CG330">
        <f>IFERROR(INDEX(PP_Grid[#Data],$DE330,82),0)</f>
        <v/>
      </c>
      <c r="CH330">
        <f>IFERROR(INDEX(PP_Grid[#Data],$DE330,83),0)</f>
        <v/>
      </c>
      <c r="CI330">
        <f>IFERROR(INDEX(PP_Grid[#Data],$DE330,84),0)</f>
        <v/>
      </c>
      <c r="CJ330">
        <f>IFERROR(INDEX(PP_Grid[#Data],$DE330,85),0)</f>
        <v/>
      </c>
      <c r="CK330">
        <f>IFERROR(INDEX(PP_Grid[#Data],$DE330,86),0)</f>
        <v/>
      </c>
      <c r="CL330">
        <f>IFERROR(INDEX(PP_Grid[#Data],$DE330,87),0)</f>
        <v/>
      </c>
      <c r="CM330">
        <f>IFERROR(INDEX(PP_Grid[#Data],$DE330,88),0)</f>
        <v/>
      </c>
      <c r="CN330">
        <f>IFERROR(INDEX(PP_Grid[#Data],$DE330,89),0)</f>
        <v/>
      </c>
      <c r="CO330">
        <f>IFERROR(INDEX(PP_Grid[#Data],$DE330,90),0)</f>
        <v/>
      </c>
      <c r="CP330">
        <f>IFERROR(INDEX(PP_Grid[#Data],$DE330,91),0)</f>
        <v/>
      </c>
      <c r="CQ330">
        <f>IFERROR(INDEX(PP_Grid[#Data],$DE330,92),0)</f>
        <v/>
      </c>
      <c r="CR330">
        <f>IFERROR(INDEX(PP_Grid[#Data],$DE330,93),0)</f>
        <v/>
      </c>
      <c r="CS330">
        <f>IFERROR(INDEX(PP_Grid[#Data],$DE330,94),0)</f>
        <v/>
      </c>
      <c r="CT330">
        <f>IFERROR(INDEX(PP_Grid[#Data],$DE330,95),0)</f>
        <v/>
      </c>
      <c r="CU330">
        <f>IFERROR(INDEX(PP_Grid[#Data],$DE330,96),0)</f>
        <v/>
      </c>
      <c r="CV330">
        <f>IFERROR(INDEX(PP_Grid[#Data],$DE330,97),0)</f>
        <v/>
      </c>
      <c r="CW330">
        <f>IFERROR(INDEX(PP_Grid[#Data],$DE330,98),0)</f>
        <v/>
      </c>
      <c r="CX330">
        <f>IFERROR(INDEX(PP_Grid[#Data],$DE330,99),0)</f>
        <v/>
      </c>
      <c r="CY330">
        <f>IFERROR(INDEX(PP_Grid[#Data],$DE330,100),0)</f>
        <v/>
      </c>
      <c r="CZ330">
        <f>IFERROR(INDEX(PP_Grid[#Data],$DE330,101),0)</f>
        <v/>
      </c>
      <c r="DA330">
        <f>IFERROR(INDEX(PP_Grid[#Data],$DE330,102),0)</f>
        <v/>
      </c>
      <c r="DB330">
        <f>IFERROR(INDEX(PP_Grid[#Data],$DE330,103),0)</f>
        <v/>
      </c>
      <c r="DC330">
        <f>IFERROR(INDEX(PP_Grid[#Data],$DE330,104),0)</f>
        <v/>
      </c>
      <c r="DD330">
        <f>IFERROR(INDEX(PP_Grid[#Data],$DE330,105),0)</f>
        <v/>
      </c>
      <c r="DE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SUMIFS(M_BOM[RM_Qty_Per_Batch],M_BOM[Intermediate],$B330,M_BOM[RM_Code],$A199)</f>
        <v/>
      </c>
      <c r="D331">
        <f>IFERROR(INDEX(E331:DD331,$F$1),"")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  <c r="DD331">
        <f>$C331*DD330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IFERROR(INDEX(E332:DD332,$F$1),"")</f>
        <v/>
      </c>
      <c r="E332">
        <f>IFERROR(INDEX(PP_Grid[#Data],$DE332,2),0)</f>
        <v/>
      </c>
      <c r="F332">
        <f>IFERROR(INDEX(PP_Grid[#Data],$DE332,3),0)</f>
        <v/>
      </c>
      <c r="G332">
        <f>IFERROR(INDEX(PP_Grid[#Data],$DE332,4),0)</f>
        <v/>
      </c>
      <c r="H332">
        <f>IFERROR(INDEX(PP_Grid[#Data],$DE332,5),0)</f>
        <v/>
      </c>
      <c r="I332">
        <f>IFERROR(INDEX(PP_Grid[#Data],$DE332,6),0)</f>
        <v/>
      </c>
      <c r="J332">
        <f>IFERROR(INDEX(PP_Grid[#Data],$DE332,7),0)</f>
        <v/>
      </c>
      <c r="K332">
        <f>IFERROR(INDEX(PP_Grid[#Data],$DE332,8),0)</f>
        <v/>
      </c>
      <c r="L332">
        <f>IFERROR(INDEX(PP_Grid[#Data],$DE332,9),0)</f>
        <v/>
      </c>
      <c r="M332">
        <f>IFERROR(INDEX(PP_Grid[#Data],$DE332,10),0)</f>
        <v/>
      </c>
      <c r="N332">
        <f>IFERROR(INDEX(PP_Grid[#Data],$DE332,11),0)</f>
        <v/>
      </c>
      <c r="O332">
        <f>IFERROR(INDEX(PP_Grid[#Data],$DE332,12),0)</f>
        <v/>
      </c>
      <c r="P332">
        <f>IFERROR(INDEX(PP_Grid[#Data],$DE332,13),0)</f>
        <v/>
      </c>
      <c r="Q332">
        <f>IFERROR(INDEX(PP_Grid[#Data],$DE332,14),0)</f>
        <v/>
      </c>
      <c r="R332">
        <f>IFERROR(INDEX(PP_Grid[#Data],$DE332,15),0)</f>
        <v/>
      </c>
      <c r="S332">
        <f>IFERROR(INDEX(PP_Grid[#Data],$DE332,16),0)</f>
        <v/>
      </c>
      <c r="T332">
        <f>IFERROR(INDEX(PP_Grid[#Data],$DE332,17),0)</f>
        <v/>
      </c>
      <c r="U332">
        <f>IFERROR(INDEX(PP_Grid[#Data],$DE332,18),0)</f>
        <v/>
      </c>
      <c r="V332">
        <f>IFERROR(INDEX(PP_Grid[#Data],$DE332,19),0)</f>
        <v/>
      </c>
      <c r="W332">
        <f>IFERROR(INDEX(PP_Grid[#Data],$DE332,20),0)</f>
        <v/>
      </c>
      <c r="X332">
        <f>IFERROR(INDEX(PP_Grid[#Data],$DE332,21),0)</f>
        <v/>
      </c>
      <c r="Y332">
        <f>IFERROR(INDEX(PP_Grid[#Data],$DE332,22),0)</f>
        <v/>
      </c>
      <c r="Z332">
        <f>IFERROR(INDEX(PP_Grid[#Data],$DE332,23),0)</f>
        <v/>
      </c>
      <c r="AA332">
        <f>IFERROR(INDEX(PP_Grid[#Data],$DE332,24),0)</f>
        <v/>
      </c>
      <c r="AB332">
        <f>IFERROR(INDEX(PP_Grid[#Data],$DE332,25),0)</f>
        <v/>
      </c>
      <c r="AC332">
        <f>IFERROR(INDEX(PP_Grid[#Data],$DE332,26),0)</f>
        <v/>
      </c>
      <c r="AD332">
        <f>IFERROR(INDEX(PP_Grid[#Data],$DE332,27),0)</f>
        <v/>
      </c>
      <c r="AE332">
        <f>IFERROR(INDEX(PP_Grid[#Data],$DE332,28),0)</f>
        <v/>
      </c>
      <c r="AF332">
        <f>IFERROR(INDEX(PP_Grid[#Data],$DE332,29),0)</f>
        <v/>
      </c>
      <c r="AG332">
        <f>IFERROR(INDEX(PP_Grid[#Data],$DE332,30),0)</f>
        <v/>
      </c>
      <c r="AH332">
        <f>IFERROR(INDEX(PP_Grid[#Data],$DE332,31),0)</f>
        <v/>
      </c>
      <c r="AI332">
        <f>IFERROR(INDEX(PP_Grid[#Data],$DE332,32),0)</f>
        <v/>
      </c>
      <c r="AJ332">
        <f>IFERROR(INDEX(PP_Grid[#Data],$DE332,33),0)</f>
        <v/>
      </c>
      <c r="AK332">
        <f>IFERROR(INDEX(PP_Grid[#Data],$DE332,34),0)</f>
        <v/>
      </c>
      <c r="AL332">
        <f>IFERROR(INDEX(PP_Grid[#Data],$DE332,35),0)</f>
        <v/>
      </c>
      <c r="AM332">
        <f>IFERROR(INDEX(PP_Grid[#Data],$DE332,36),0)</f>
        <v/>
      </c>
      <c r="AN332">
        <f>IFERROR(INDEX(PP_Grid[#Data],$DE332,37),0)</f>
        <v/>
      </c>
      <c r="AO332">
        <f>IFERROR(INDEX(PP_Grid[#Data],$DE332,38),0)</f>
        <v/>
      </c>
      <c r="AP332">
        <f>IFERROR(INDEX(PP_Grid[#Data],$DE332,39),0)</f>
        <v/>
      </c>
      <c r="AQ332">
        <f>IFERROR(INDEX(PP_Grid[#Data],$DE332,40),0)</f>
        <v/>
      </c>
      <c r="AR332">
        <f>IFERROR(INDEX(PP_Grid[#Data],$DE332,41),0)</f>
        <v/>
      </c>
      <c r="AS332">
        <f>IFERROR(INDEX(PP_Grid[#Data],$DE332,42),0)</f>
        <v/>
      </c>
      <c r="AT332">
        <f>IFERROR(INDEX(PP_Grid[#Data],$DE332,43),0)</f>
        <v/>
      </c>
      <c r="AU332">
        <f>IFERROR(INDEX(PP_Grid[#Data],$DE332,44),0)</f>
        <v/>
      </c>
      <c r="AV332">
        <f>IFERROR(INDEX(PP_Grid[#Data],$DE332,45),0)</f>
        <v/>
      </c>
      <c r="AW332">
        <f>IFERROR(INDEX(PP_Grid[#Data],$DE332,46),0)</f>
        <v/>
      </c>
      <c r="AX332">
        <f>IFERROR(INDEX(PP_Grid[#Data],$DE332,47),0)</f>
        <v/>
      </c>
      <c r="AY332">
        <f>IFERROR(INDEX(PP_Grid[#Data],$DE332,48),0)</f>
        <v/>
      </c>
      <c r="AZ332">
        <f>IFERROR(INDEX(PP_Grid[#Data],$DE332,49),0)</f>
        <v/>
      </c>
      <c r="BA332">
        <f>IFERROR(INDEX(PP_Grid[#Data],$DE332,50),0)</f>
        <v/>
      </c>
      <c r="BB332">
        <f>IFERROR(INDEX(PP_Grid[#Data],$DE332,51),0)</f>
        <v/>
      </c>
      <c r="BC332">
        <f>IFERROR(INDEX(PP_Grid[#Data],$DE332,52),0)</f>
        <v/>
      </c>
      <c r="BD332">
        <f>IFERROR(INDEX(PP_Grid[#Data],$DE332,53),0)</f>
        <v/>
      </c>
      <c r="BE332">
        <f>IFERROR(INDEX(PP_Grid[#Data],$DE332,54),0)</f>
        <v/>
      </c>
      <c r="BF332">
        <f>IFERROR(INDEX(PP_Grid[#Data],$DE332,55),0)</f>
        <v/>
      </c>
      <c r="BG332">
        <f>IFERROR(INDEX(PP_Grid[#Data],$DE332,56),0)</f>
        <v/>
      </c>
      <c r="BH332">
        <f>IFERROR(INDEX(PP_Grid[#Data],$DE332,57),0)</f>
        <v/>
      </c>
      <c r="BI332">
        <f>IFERROR(INDEX(PP_Grid[#Data],$DE332,58),0)</f>
        <v/>
      </c>
      <c r="BJ332">
        <f>IFERROR(INDEX(PP_Grid[#Data],$DE332,59),0)</f>
        <v/>
      </c>
      <c r="BK332">
        <f>IFERROR(INDEX(PP_Grid[#Data],$DE332,60),0)</f>
        <v/>
      </c>
      <c r="BL332">
        <f>IFERROR(INDEX(PP_Grid[#Data],$DE332,61),0)</f>
        <v/>
      </c>
      <c r="BM332">
        <f>IFERROR(INDEX(PP_Grid[#Data],$DE332,62),0)</f>
        <v/>
      </c>
      <c r="BN332">
        <f>IFERROR(INDEX(PP_Grid[#Data],$DE332,63),0)</f>
        <v/>
      </c>
      <c r="BO332">
        <f>IFERROR(INDEX(PP_Grid[#Data],$DE332,64),0)</f>
        <v/>
      </c>
      <c r="BP332">
        <f>IFERROR(INDEX(PP_Grid[#Data],$DE332,65),0)</f>
        <v/>
      </c>
      <c r="BQ332">
        <f>IFERROR(INDEX(PP_Grid[#Data],$DE332,66),0)</f>
        <v/>
      </c>
      <c r="BR332">
        <f>IFERROR(INDEX(PP_Grid[#Data],$DE332,67),0)</f>
        <v/>
      </c>
      <c r="BS332">
        <f>IFERROR(INDEX(PP_Grid[#Data],$DE332,68),0)</f>
        <v/>
      </c>
      <c r="BT332">
        <f>IFERROR(INDEX(PP_Grid[#Data],$DE332,69),0)</f>
        <v/>
      </c>
      <c r="BU332">
        <f>IFERROR(INDEX(PP_Grid[#Data],$DE332,70),0)</f>
        <v/>
      </c>
      <c r="BV332">
        <f>IFERROR(INDEX(PP_Grid[#Data],$DE332,71),0)</f>
        <v/>
      </c>
      <c r="BW332">
        <f>IFERROR(INDEX(PP_Grid[#Data],$DE332,72),0)</f>
        <v/>
      </c>
      <c r="BX332">
        <f>IFERROR(INDEX(PP_Grid[#Data],$DE332,73),0)</f>
        <v/>
      </c>
      <c r="BY332">
        <f>IFERROR(INDEX(PP_Grid[#Data],$DE332,74),0)</f>
        <v/>
      </c>
      <c r="BZ332">
        <f>IFERROR(INDEX(PP_Grid[#Data],$DE332,75),0)</f>
        <v/>
      </c>
      <c r="CA332">
        <f>IFERROR(INDEX(PP_Grid[#Data],$DE332,76),0)</f>
        <v/>
      </c>
      <c r="CB332">
        <f>IFERROR(INDEX(PP_Grid[#Data],$DE332,77),0)</f>
        <v/>
      </c>
      <c r="CC332">
        <f>IFERROR(INDEX(PP_Grid[#Data],$DE332,78),0)</f>
        <v/>
      </c>
      <c r="CD332">
        <f>IFERROR(INDEX(PP_Grid[#Data],$DE332,79),0)</f>
        <v/>
      </c>
      <c r="CE332">
        <f>IFERROR(INDEX(PP_Grid[#Data],$DE332,80),0)</f>
        <v/>
      </c>
      <c r="CF332">
        <f>IFERROR(INDEX(PP_Grid[#Data],$DE332,81),0)</f>
        <v/>
      </c>
      <c r="CG332">
        <f>IFERROR(INDEX(PP_Grid[#Data],$DE332,82),0)</f>
        <v/>
      </c>
      <c r="CH332">
        <f>IFERROR(INDEX(PP_Grid[#Data],$DE332,83),0)</f>
        <v/>
      </c>
      <c r="CI332">
        <f>IFERROR(INDEX(PP_Grid[#Data],$DE332,84),0)</f>
        <v/>
      </c>
      <c r="CJ332">
        <f>IFERROR(INDEX(PP_Grid[#Data],$DE332,85),0)</f>
        <v/>
      </c>
      <c r="CK332">
        <f>IFERROR(INDEX(PP_Grid[#Data],$DE332,86),0)</f>
        <v/>
      </c>
      <c r="CL332">
        <f>IFERROR(INDEX(PP_Grid[#Data],$DE332,87),0)</f>
        <v/>
      </c>
      <c r="CM332">
        <f>IFERROR(INDEX(PP_Grid[#Data],$DE332,88),0)</f>
        <v/>
      </c>
      <c r="CN332">
        <f>IFERROR(INDEX(PP_Grid[#Data],$DE332,89),0)</f>
        <v/>
      </c>
      <c r="CO332">
        <f>IFERROR(INDEX(PP_Grid[#Data],$DE332,90),0)</f>
        <v/>
      </c>
      <c r="CP332">
        <f>IFERROR(INDEX(PP_Grid[#Data],$DE332,91),0)</f>
        <v/>
      </c>
      <c r="CQ332">
        <f>IFERROR(INDEX(PP_Grid[#Data],$DE332,92),0)</f>
        <v/>
      </c>
      <c r="CR332">
        <f>IFERROR(INDEX(PP_Grid[#Data],$DE332,93),0)</f>
        <v/>
      </c>
      <c r="CS332">
        <f>IFERROR(INDEX(PP_Grid[#Data],$DE332,94),0)</f>
        <v/>
      </c>
      <c r="CT332">
        <f>IFERROR(INDEX(PP_Grid[#Data],$DE332,95),0)</f>
        <v/>
      </c>
      <c r="CU332">
        <f>IFERROR(INDEX(PP_Grid[#Data],$DE332,96),0)</f>
        <v/>
      </c>
      <c r="CV332">
        <f>IFERROR(INDEX(PP_Grid[#Data],$DE332,97),0)</f>
        <v/>
      </c>
      <c r="CW332">
        <f>IFERROR(INDEX(PP_Grid[#Data],$DE332,98),0)</f>
        <v/>
      </c>
      <c r="CX332">
        <f>IFERROR(INDEX(PP_Grid[#Data],$DE332,99),0)</f>
        <v/>
      </c>
      <c r="CY332">
        <f>IFERROR(INDEX(PP_Grid[#Data],$DE332,100),0)</f>
        <v/>
      </c>
      <c r="CZ332">
        <f>IFERROR(INDEX(PP_Grid[#Data],$DE332,101),0)</f>
        <v/>
      </c>
      <c r="DA332">
        <f>IFERROR(INDEX(PP_Grid[#Data],$DE332,102),0)</f>
        <v/>
      </c>
      <c r="DB332">
        <f>IFERROR(INDEX(PP_Grid[#Data],$DE332,103),0)</f>
        <v/>
      </c>
      <c r="DC332">
        <f>IFERROR(INDEX(PP_Grid[#Data],$DE332,104),0)</f>
        <v/>
      </c>
      <c r="DD332">
        <f>IFERROR(INDEX(PP_Grid[#Data],$DE332,105),0)</f>
        <v/>
      </c>
      <c r="DE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SUMIFS(M_BOM[RM_Qty_Per_Batch],M_BOM[Intermediate],$B332,M_BOM[RM_Code],$A199)</f>
        <v/>
      </c>
      <c r="D333">
        <f>IFERROR(INDEX(E333:DD333,$F$1),"")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  <c r="DD333">
        <f>$C333*DD332</f>
        <v/>
      </c>
    </row>
    <row r="334">
      <c r="B334" s="4" t="inlineStr">
        <is>
          <t>合計使用量(kg)/週</t>
        </is>
      </c>
      <c r="D334" s="23">
        <f>IFERROR(INDEX(E334:DD334,$F$1),"")</f>
        <v/>
      </c>
      <c r="E334">
        <f>'Grid_Requirement'!B84</f>
        <v/>
      </c>
      <c r="F334">
        <f>'Grid_Requirement'!C84</f>
        <v/>
      </c>
      <c r="G334">
        <f>'Grid_Requirement'!D84</f>
        <v/>
      </c>
      <c r="H334">
        <f>'Grid_Requirement'!E84</f>
        <v/>
      </c>
      <c r="I334">
        <f>'Grid_Requirement'!F84</f>
        <v/>
      </c>
      <c r="J334">
        <f>'Grid_Requirement'!G84</f>
        <v/>
      </c>
      <c r="K334">
        <f>'Grid_Requirement'!H84</f>
        <v/>
      </c>
      <c r="L334">
        <f>'Grid_Requirement'!I84</f>
        <v/>
      </c>
      <c r="M334">
        <f>'Grid_Requirement'!J84</f>
        <v/>
      </c>
      <c r="N334">
        <f>'Grid_Requirement'!K84</f>
        <v/>
      </c>
      <c r="O334">
        <f>'Grid_Requirement'!L84</f>
        <v/>
      </c>
      <c r="P334">
        <f>'Grid_Requirement'!M84</f>
        <v/>
      </c>
      <c r="Q334">
        <f>'Grid_Requirement'!N84</f>
        <v/>
      </c>
      <c r="R334">
        <f>'Grid_Requirement'!O84</f>
        <v/>
      </c>
      <c r="S334">
        <f>'Grid_Requirement'!P84</f>
        <v/>
      </c>
      <c r="T334">
        <f>'Grid_Requirement'!Q84</f>
        <v/>
      </c>
      <c r="U334">
        <f>'Grid_Requirement'!R84</f>
        <v/>
      </c>
      <c r="V334">
        <f>'Grid_Requirement'!S84</f>
        <v/>
      </c>
      <c r="W334">
        <f>'Grid_Requirement'!T84</f>
        <v/>
      </c>
      <c r="X334">
        <f>'Grid_Requirement'!U84</f>
        <v/>
      </c>
      <c r="Y334">
        <f>'Grid_Requirement'!V84</f>
        <v/>
      </c>
      <c r="Z334">
        <f>'Grid_Requirement'!W84</f>
        <v/>
      </c>
      <c r="AA334">
        <f>'Grid_Requirement'!X84</f>
        <v/>
      </c>
      <c r="AB334">
        <f>'Grid_Requirement'!Y84</f>
        <v/>
      </c>
      <c r="AC334">
        <f>'Grid_Requirement'!Z84</f>
        <v/>
      </c>
      <c r="AD334">
        <f>'Grid_Requirement'!AA84</f>
        <v/>
      </c>
      <c r="AE334">
        <f>'Grid_Requirement'!AB84</f>
        <v/>
      </c>
      <c r="AF334">
        <f>'Grid_Requirement'!AC84</f>
        <v/>
      </c>
      <c r="AG334">
        <f>'Grid_Requirement'!AD84</f>
        <v/>
      </c>
      <c r="AH334">
        <f>'Grid_Requirement'!AE84</f>
        <v/>
      </c>
      <c r="AI334">
        <f>'Grid_Requirement'!AF84</f>
        <v/>
      </c>
      <c r="AJ334">
        <f>'Grid_Requirement'!AG84</f>
        <v/>
      </c>
      <c r="AK334">
        <f>'Grid_Requirement'!AH84</f>
        <v/>
      </c>
      <c r="AL334">
        <f>'Grid_Requirement'!AI84</f>
        <v/>
      </c>
      <c r="AM334">
        <f>'Grid_Requirement'!AJ84</f>
        <v/>
      </c>
      <c r="AN334">
        <f>'Grid_Requirement'!AK84</f>
        <v/>
      </c>
      <c r="AO334">
        <f>'Grid_Requirement'!AL84</f>
        <v/>
      </c>
      <c r="AP334">
        <f>'Grid_Requirement'!AM84</f>
        <v/>
      </c>
      <c r="AQ334">
        <f>'Grid_Requirement'!AN84</f>
        <v/>
      </c>
      <c r="AR334">
        <f>'Grid_Requirement'!AO84</f>
        <v/>
      </c>
      <c r="AS334">
        <f>'Grid_Requirement'!AP84</f>
        <v/>
      </c>
      <c r="AT334">
        <f>'Grid_Requirement'!AQ84</f>
        <v/>
      </c>
      <c r="AU334">
        <f>'Grid_Requirement'!AR84</f>
        <v/>
      </c>
      <c r="AV334">
        <f>'Grid_Requirement'!AS84</f>
        <v/>
      </c>
      <c r="AW334">
        <f>'Grid_Requirement'!AT84</f>
        <v/>
      </c>
      <c r="AX334">
        <f>'Grid_Requirement'!AU84</f>
        <v/>
      </c>
      <c r="AY334">
        <f>'Grid_Requirement'!AV84</f>
        <v/>
      </c>
      <c r="AZ334">
        <f>'Grid_Requirement'!AW84</f>
        <v/>
      </c>
      <c r="BA334">
        <f>'Grid_Requirement'!AX84</f>
        <v/>
      </c>
      <c r="BB334">
        <f>'Grid_Requirement'!AY84</f>
        <v/>
      </c>
      <c r="BC334">
        <f>'Grid_Requirement'!AZ84</f>
        <v/>
      </c>
      <c r="BD334">
        <f>'Grid_Requirement'!BA84</f>
        <v/>
      </c>
      <c r="BE334">
        <f>'Grid_Requirement'!BB84</f>
        <v/>
      </c>
      <c r="BF334">
        <f>'Grid_Requirement'!BC84</f>
        <v/>
      </c>
      <c r="BG334">
        <f>'Grid_Requirement'!BD84</f>
        <v/>
      </c>
      <c r="BH334">
        <f>'Grid_Requirement'!BE84</f>
        <v/>
      </c>
      <c r="BI334">
        <f>'Grid_Requirement'!BF84</f>
        <v/>
      </c>
      <c r="BJ334">
        <f>'Grid_Requirement'!BG84</f>
        <v/>
      </c>
      <c r="BK334">
        <f>'Grid_Requirement'!BH84</f>
        <v/>
      </c>
      <c r="BL334">
        <f>'Grid_Requirement'!BI84</f>
        <v/>
      </c>
      <c r="BM334">
        <f>'Grid_Requirement'!BJ84</f>
        <v/>
      </c>
      <c r="BN334">
        <f>'Grid_Requirement'!BK84</f>
        <v/>
      </c>
      <c r="BO334">
        <f>'Grid_Requirement'!BL84</f>
        <v/>
      </c>
      <c r="BP334">
        <f>'Grid_Requirement'!BM84</f>
        <v/>
      </c>
      <c r="BQ334">
        <f>'Grid_Requirement'!BN84</f>
        <v/>
      </c>
      <c r="BR334">
        <f>'Grid_Requirement'!BO84</f>
        <v/>
      </c>
      <c r="BS334">
        <f>'Grid_Requirement'!BP84</f>
        <v/>
      </c>
      <c r="BT334">
        <f>'Grid_Requirement'!BQ84</f>
        <v/>
      </c>
      <c r="BU334">
        <f>'Grid_Requirement'!BR84</f>
        <v/>
      </c>
      <c r="BV334">
        <f>'Grid_Requirement'!BS84</f>
        <v/>
      </c>
      <c r="BW334">
        <f>'Grid_Requirement'!BT84</f>
        <v/>
      </c>
      <c r="BX334">
        <f>'Grid_Requirement'!BU84</f>
        <v/>
      </c>
      <c r="BY334">
        <f>'Grid_Requirement'!BV84</f>
        <v/>
      </c>
      <c r="BZ334">
        <f>'Grid_Requirement'!BW84</f>
        <v/>
      </c>
      <c r="CA334">
        <f>'Grid_Requirement'!BX84</f>
        <v/>
      </c>
      <c r="CB334">
        <f>'Grid_Requirement'!BY84</f>
        <v/>
      </c>
      <c r="CC334">
        <f>'Grid_Requirement'!BZ84</f>
        <v/>
      </c>
      <c r="CD334">
        <f>'Grid_Requirement'!CA84</f>
        <v/>
      </c>
      <c r="CE334">
        <f>'Grid_Requirement'!CB84</f>
        <v/>
      </c>
      <c r="CF334">
        <f>'Grid_Requirement'!CC84</f>
        <v/>
      </c>
      <c r="CG334">
        <f>'Grid_Requirement'!CD84</f>
        <v/>
      </c>
      <c r="CH334">
        <f>'Grid_Requirement'!CE84</f>
        <v/>
      </c>
      <c r="CI334">
        <f>'Grid_Requirement'!CF84</f>
        <v/>
      </c>
      <c r="CJ334">
        <f>'Grid_Requirement'!CG84</f>
        <v/>
      </c>
      <c r="CK334">
        <f>'Grid_Requirement'!CH84</f>
        <v/>
      </c>
      <c r="CL334">
        <f>'Grid_Requirement'!CI84</f>
        <v/>
      </c>
      <c r="CM334">
        <f>'Grid_Requirement'!CJ84</f>
        <v/>
      </c>
      <c r="CN334">
        <f>'Grid_Requirement'!CK84</f>
        <v/>
      </c>
      <c r="CO334">
        <f>'Grid_Requirement'!CL84</f>
        <v/>
      </c>
      <c r="CP334">
        <f>'Grid_Requirement'!CM84</f>
        <v/>
      </c>
      <c r="CQ334">
        <f>'Grid_Requirement'!CN84</f>
        <v/>
      </c>
      <c r="CR334">
        <f>'Grid_Requirement'!CO84</f>
        <v/>
      </c>
      <c r="CS334">
        <f>'Grid_Requirement'!CP84</f>
        <v/>
      </c>
      <c r="CT334">
        <f>'Grid_Requirement'!CQ84</f>
        <v/>
      </c>
      <c r="CU334">
        <f>'Grid_Requirement'!CR84</f>
        <v/>
      </c>
      <c r="CV334">
        <f>'Grid_Requirement'!CS84</f>
        <v/>
      </c>
      <c r="CW334">
        <f>'Grid_Requirement'!CT84</f>
        <v/>
      </c>
      <c r="CX334">
        <f>'Grid_Requirement'!CU84</f>
        <v/>
      </c>
      <c r="CY334">
        <f>'Grid_Requirement'!CV84</f>
        <v/>
      </c>
      <c r="CZ334">
        <f>'Grid_Requirement'!CW84</f>
        <v/>
      </c>
      <c r="DA334">
        <f>'Grid_Requirement'!CX84</f>
        <v/>
      </c>
      <c r="DB334">
        <f>'Grid_Requirement'!CY84</f>
        <v/>
      </c>
      <c r="DC334">
        <f>'Grid_Requirement'!CZ84</f>
        <v/>
      </c>
      <c r="DD334">
        <f>'Grid_Requirement'!DA84</f>
        <v/>
      </c>
    </row>
    <row r="335">
      <c r="B335" t="inlineStr">
        <is>
          <t>TTAF在庫(実績,kg)</t>
        </is>
      </c>
      <c r="D335">
        <f>IFERROR(INDEX(E335:DD335,$F$1),"")</f>
        <v/>
      </c>
      <c r="E335">
        <f>IFERROR(SUMIFS(T_TTAFStock[TTAF_Qty],T_TTAFStock[RM_Code],$A199,T_TTAFStock[WeekIndex],1),"")</f>
        <v/>
      </c>
      <c r="F335">
        <f>IFERROR(SUMIFS(T_TTAFStock[TTAF_Qty],T_TTAFStock[RM_Code],$A199,T_TTAFStock[WeekIndex],2),"")</f>
        <v/>
      </c>
      <c r="G335">
        <f>IFERROR(SUMIFS(T_TTAFStock[TTAF_Qty],T_TTAFStock[RM_Code],$A199,T_TTAFStock[WeekIndex],3),"")</f>
        <v/>
      </c>
      <c r="H335">
        <f>IFERROR(SUMIFS(T_TTAFStock[TTAF_Qty],T_TTAFStock[RM_Code],$A199,T_TTAFStock[WeekIndex],4),"")</f>
        <v/>
      </c>
      <c r="I335">
        <f>IFERROR(SUMIFS(T_TTAFStock[TTAF_Qty],T_TTAFStock[RM_Code],$A199,T_TTAFStock[WeekIndex],5),"")</f>
        <v/>
      </c>
      <c r="J335">
        <f>IFERROR(SUMIFS(T_TTAFStock[TTAF_Qty],T_TTAFStock[RM_Code],$A199,T_TTAFStock[WeekIndex],6),"")</f>
        <v/>
      </c>
      <c r="K335">
        <f>IFERROR(SUMIFS(T_TTAFStock[TTAF_Qty],T_TTAFStock[RM_Code],$A199,T_TTAFStock[WeekIndex],7),"")</f>
        <v/>
      </c>
      <c r="L335">
        <f>IFERROR(SUMIFS(T_TTAFStock[TTAF_Qty],T_TTAFStock[RM_Code],$A199,T_TTAFStock[WeekIndex],8),"")</f>
        <v/>
      </c>
      <c r="M335">
        <f>IFERROR(SUMIFS(T_TTAFStock[TTAF_Qty],T_TTAFStock[RM_Code],$A199,T_TTAFStock[WeekIndex],9),"")</f>
        <v/>
      </c>
      <c r="N335">
        <f>IFERROR(SUMIFS(T_TTAFStock[TTAF_Qty],T_TTAFStock[RM_Code],$A199,T_TTAFStock[WeekIndex],10),"")</f>
        <v/>
      </c>
      <c r="O335">
        <f>IFERROR(SUMIFS(T_TTAFStock[TTAF_Qty],T_TTAFStock[RM_Code],$A199,T_TTAFStock[WeekIndex],11),"")</f>
        <v/>
      </c>
      <c r="P335">
        <f>IFERROR(SUMIFS(T_TTAFStock[TTAF_Qty],T_TTAFStock[RM_Code],$A199,T_TTAFStock[WeekIndex],12),"")</f>
        <v/>
      </c>
      <c r="Q335">
        <f>IFERROR(SUMIFS(T_TTAFStock[TTAF_Qty],T_TTAFStock[RM_Code],$A199,T_TTAFStock[WeekIndex],13),"")</f>
        <v/>
      </c>
      <c r="R335">
        <f>IFERROR(SUMIFS(T_TTAFStock[TTAF_Qty],T_TTAFStock[RM_Code],$A199,T_TTAFStock[WeekIndex],14),"")</f>
        <v/>
      </c>
      <c r="S335">
        <f>IFERROR(SUMIFS(T_TTAFStock[TTAF_Qty],T_TTAFStock[RM_Code],$A199,T_TTAFStock[WeekIndex],15),"")</f>
        <v/>
      </c>
      <c r="T335">
        <f>IFERROR(SUMIFS(T_TTAFStock[TTAF_Qty],T_TTAFStock[RM_Code],$A199,T_TTAFStock[WeekIndex],16),"")</f>
        <v/>
      </c>
      <c r="U335">
        <f>IFERROR(SUMIFS(T_TTAFStock[TTAF_Qty],T_TTAFStock[RM_Code],$A199,T_TTAFStock[WeekIndex],17),"")</f>
        <v/>
      </c>
      <c r="V335">
        <f>IFERROR(SUMIFS(T_TTAFStock[TTAF_Qty],T_TTAFStock[RM_Code],$A199,T_TTAFStock[WeekIndex],18),"")</f>
        <v/>
      </c>
      <c r="W335">
        <f>IFERROR(SUMIFS(T_TTAFStock[TTAF_Qty],T_TTAFStock[RM_Code],$A199,T_TTAFStock[WeekIndex],19),"")</f>
        <v/>
      </c>
      <c r="X335">
        <f>IFERROR(SUMIFS(T_TTAFStock[TTAF_Qty],T_TTAFStock[RM_Code],$A199,T_TTAFStock[WeekIndex],20),"")</f>
        <v/>
      </c>
      <c r="Y335">
        <f>IFERROR(SUMIFS(T_TTAFStock[TTAF_Qty],T_TTAFStock[RM_Code],$A199,T_TTAFStock[WeekIndex],21),"")</f>
        <v/>
      </c>
      <c r="Z335">
        <f>IFERROR(SUMIFS(T_TTAFStock[TTAF_Qty],T_TTAFStock[RM_Code],$A199,T_TTAFStock[WeekIndex],22),"")</f>
        <v/>
      </c>
      <c r="AA335">
        <f>IFERROR(SUMIFS(T_TTAFStock[TTAF_Qty],T_TTAFStock[RM_Code],$A199,T_TTAFStock[WeekIndex],23),"")</f>
        <v/>
      </c>
      <c r="AB335">
        <f>IFERROR(SUMIFS(T_TTAFStock[TTAF_Qty],T_TTAFStock[RM_Code],$A199,T_TTAFStock[WeekIndex],24),"")</f>
        <v/>
      </c>
      <c r="AC335">
        <f>IFERROR(SUMIFS(T_TTAFStock[TTAF_Qty],T_TTAFStock[RM_Code],$A199,T_TTAFStock[WeekIndex],25),"")</f>
        <v/>
      </c>
      <c r="AD335">
        <f>IFERROR(SUMIFS(T_TTAFStock[TTAF_Qty],T_TTAFStock[RM_Code],$A199,T_TTAFStock[WeekIndex],26),"")</f>
        <v/>
      </c>
      <c r="AE335">
        <f>IFERROR(SUMIFS(T_TTAFStock[TTAF_Qty],T_TTAFStock[RM_Code],$A199,T_TTAFStock[WeekIndex],27),"")</f>
        <v/>
      </c>
      <c r="AF335">
        <f>IFERROR(SUMIFS(T_TTAFStock[TTAF_Qty],T_TTAFStock[RM_Code],$A199,T_TTAFStock[WeekIndex],28),"")</f>
        <v/>
      </c>
      <c r="AG335">
        <f>IFERROR(SUMIFS(T_TTAFStock[TTAF_Qty],T_TTAFStock[RM_Code],$A199,T_TTAFStock[WeekIndex],29),"")</f>
        <v/>
      </c>
      <c r="AH335">
        <f>IFERROR(SUMIFS(T_TTAFStock[TTAF_Qty],T_TTAFStock[RM_Code],$A199,T_TTAFStock[WeekIndex],30),"")</f>
        <v/>
      </c>
      <c r="AI335">
        <f>IFERROR(SUMIFS(T_TTAFStock[TTAF_Qty],T_TTAFStock[RM_Code],$A199,T_TTAFStock[WeekIndex],31),"")</f>
        <v/>
      </c>
      <c r="AJ335">
        <f>IFERROR(SUMIFS(T_TTAFStock[TTAF_Qty],T_TTAFStock[RM_Code],$A199,T_TTAFStock[WeekIndex],32),"")</f>
        <v/>
      </c>
      <c r="AK335">
        <f>IFERROR(SUMIFS(T_TTAFStock[TTAF_Qty],T_TTAFStock[RM_Code],$A199,T_TTAFStock[WeekIndex],33),"")</f>
        <v/>
      </c>
      <c r="AL335">
        <f>IFERROR(SUMIFS(T_TTAFStock[TTAF_Qty],T_TTAFStock[RM_Code],$A199,T_TTAFStock[WeekIndex],34),"")</f>
        <v/>
      </c>
      <c r="AM335">
        <f>IFERROR(SUMIFS(T_TTAFStock[TTAF_Qty],T_TTAFStock[RM_Code],$A199,T_TTAFStock[WeekIndex],35),"")</f>
        <v/>
      </c>
      <c r="AN335">
        <f>IFERROR(SUMIFS(T_TTAFStock[TTAF_Qty],T_TTAFStock[RM_Code],$A199,T_TTAFStock[WeekIndex],36),"")</f>
        <v/>
      </c>
      <c r="AO335">
        <f>IFERROR(SUMIFS(T_TTAFStock[TTAF_Qty],T_TTAFStock[RM_Code],$A199,T_TTAFStock[WeekIndex],37),"")</f>
        <v/>
      </c>
      <c r="AP335">
        <f>IFERROR(SUMIFS(T_TTAFStock[TTAF_Qty],T_TTAFStock[RM_Code],$A199,T_TTAFStock[WeekIndex],38),"")</f>
        <v/>
      </c>
      <c r="AQ335">
        <f>IFERROR(SUMIFS(T_TTAFStock[TTAF_Qty],T_TTAFStock[RM_Code],$A199,T_TTAFStock[WeekIndex],39),"")</f>
        <v/>
      </c>
      <c r="AR335">
        <f>IFERROR(SUMIFS(T_TTAFStock[TTAF_Qty],T_TTAFStock[RM_Code],$A199,T_TTAFStock[WeekIndex],40),"")</f>
        <v/>
      </c>
      <c r="AS335">
        <f>IFERROR(SUMIFS(T_TTAFStock[TTAF_Qty],T_TTAFStock[RM_Code],$A199,T_TTAFStock[WeekIndex],41),"")</f>
        <v/>
      </c>
      <c r="AT335">
        <f>IFERROR(SUMIFS(T_TTAFStock[TTAF_Qty],T_TTAFStock[RM_Code],$A199,T_TTAFStock[WeekIndex],42),"")</f>
        <v/>
      </c>
      <c r="AU335">
        <f>IFERROR(SUMIFS(T_TTAFStock[TTAF_Qty],T_TTAFStock[RM_Code],$A199,T_TTAFStock[WeekIndex],43),"")</f>
        <v/>
      </c>
      <c r="AV335">
        <f>IFERROR(SUMIFS(T_TTAFStock[TTAF_Qty],T_TTAFStock[RM_Code],$A199,T_TTAFStock[WeekIndex],44),"")</f>
        <v/>
      </c>
      <c r="AW335">
        <f>IFERROR(SUMIFS(T_TTAFStock[TTAF_Qty],T_TTAFStock[RM_Code],$A199,T_TTAFStock[WeekIndex],45),"")</f>
        <v/>
      </c>
      <c r="AX335">
        <f>IFERROR(SUMIFS(T_TTAFStock[TTAF_Qty],T_TTAFStock[RM_Code],$A199,T_TTAFStock[WeekIndex],46),"")</f>
        <v/>
      </c>
      <c r="AY335">
        <f>IFERROR(SUMIFS(T_TTAFStock[TTAF_Qty],T_TTAFStock[RM_Code],$A199,T_TTAFStock[WeekIndex],47),"")</f>
        <v/>
      </c>
      <c r="AZ335">
        <f>IFERROR(SUMIFS(T_TTAFStock[TTAF_Qty],T_TTAFStock[RM_Code],$A199,T_TTAFStock[WeekIndex],48),"")</f>
        <v/>
      </c>
      <c r="BA335">
        <f>IFERROR(SUMIFS(T_TTAFStock[TTAF_Qty],T_TTAFStock[RM_Code],$A199,T_TTAFStock[WeekIndex],49),"")</f>
        <v/>
      </c>
      <c r="BB335">
        <f>IFERROR(SUMIFS(T_TTAFStock[TTAF_Qty],T_TTAFStock[RM_Code],$A199,T_TTAFStock[WeekIndex],50),"")</f>
        <v/>
      </c>
      <c r="BC335">
        <f>IFERROR(SUMIFS(T_TTAFStock[TTAF_Qty],T_TTAFStock[RM_Code],$A199,T_TTAFStock[WeekIndex],51),"")</f>
        <v/>
      </c>
      <c r="BD335">
        <f>IFERROR(SUMIFS(T_TTAFStock[TTAF_Qty],T_TTAFStock[RM_Code],$A199,T_TTAFStock[WeekIndex],52),"")</f>
        <v/>
      </c>
      <c r="BE335">
        <f>IFERROR(SUMIFS(T_TTAFStock[TTAF_Qty],T_TTAFStock[RM_Code],$A199,T_TTAFStock[WeekIndex],53),"")</f>
        <v/>
      </c>
      <c r="BF335">
        <f>IFERROR(SUMIFS(T_TTAFStock[TTAF_Qty],T_TTAFStock[RM_Code],$A199,T_TTAFStock[WeekIndex],54),"")</f>
        <v/>
      </c>
      <c r="BG335">
        <f>IFERROR(SUMIFS(T_TTAFStock[TTAF_Qty],T_TTAFStock[RM_Code],$A199,T_TTAFStock[WeekIndex],55),"")</f>
        <v/>
      </c>
      <c r="BH335">
        <f>IFERROR(SUMIFS(T_TTAFStock[TTAF_Qty],T_TTAFStock[RM_Code],$A199,T_TTAFStock[WeekIndex],56),"")</f>
        <v/>
      </c>
      <c r="BI335">
        <f>IFERROR(SUMIFS(T_TTAFStock[TTAF_Qty],T_TTAFStock[RM_Code],$A199,T_TTAFStock[WeekIndex],57),"")</f>
        <v/>
      </c>
      <c r="BJ335">
        <f>IFERROR(SUMIFS(T_TTAFStock[TTAF_Qty],T_TTAFStock[RM_Code],$A199,T_TTAFStock[WeekIndex],58),"")</f>
        <v/>
      </c>
      <c r="BK335">
        <f>IFERROR(SUMIFS(T_TTAFStock[TTAF_Qty],T_TTAFStock[RM_Code],$A199,T_TTAFStock[WeekIndex],59),"")</f>
        <v/>
      </c>
      <c r="BL335">
        <f>IFERROR(SUMIFS(T_TTAFStock[TTAF_Qty],T_TTAFStock[RM_Code],$A199,T_TTAFStock[WeekIndex],60),"")</f>
        <v/>
      </c>
      <c r="BM335">
        <f>IFERROR(SUMIFS(T_TTAFStock[TTAF_Qty],T_TTAFStock[RM_Code],$A199,T_TTAFStock[WeekIndex],61),"")</f>
        <v/>
      </c>
      <c r="BN335">
        <f>IFERROR(SUMIFS(T_TTAFStock[TTAF_Qty],T_TTAFStock[RM_Code],$A199,T_TTAFStock[WeekIndex],62),"")</f>
        <v/>
      </c>
      <c r="BO335">
        <f>IFERROR(SUMIFS(T_TTAFStock[TTAF_Qty],T_TTAFStock[RM_Code],$A199,T_TTAFStock[WeekIndex],63),"")</f>
        <v/>
      </c>
      <c r="BP335">
        <f>IFERROR(SUMIFS(T_TTAFStock[TTAF_Qty],T_TTAFStock[RM_Code],$A199,T_TTAFStock[WeekIndex],64),"")</f>
        <v/>
      </c>
      <c r="BQ335">
        <f>IFERROR(SUMIFS(T_TTAFStock[TTAF_Qty],T_TTAFStock[RM_Code],$A199,T_TTAFStock[WeekIndex],65),"")</f>
        <v/>
      </c>
      <c r="BR335">
        <f>IFERROR(SUMIFS(T_TTAFStock[TTAF_Qty],T_TTAFStock[RM_Code],$A199,T_TTAFStock[WeekIndex],66),"")</f>
        <v/>
      </c>
      <c r="BS335">
        <f>IFERROR(SUMIFS(T_TTAFStock[TTAF_Qty],T_TTAFStock[RM_Code],$A199,T_TTAFStock[WeekIndex],67),"")</f>
        <v/>
      </c>
      <c r="BT335">
        <f>IFERROR(SUMIFS(T_TTAFStock[TTAF_Qty],T_TTAFStock[RM_Code],$A199,T_TTAFStock[WeekIndex],68),"")</f>
        <v/>
      </c>
      <c r="BU335">
        <f>IFERROR(SUMIFS(T_TTAFStock[TTAF_Qty],T_TTAFStock[RM_Code],$A199,T_TTAFStock[WeekIndex],69),"")</f>
        <v/>
      </c>
      <c r="BV335">
        <f>IFERROR(SUMIFS(T_TTAFStock[TTAF_Qty],T_TTAFStock[RM_Code],$A199,T_TTAFStock[WeekIndex],70),"")</f>
        <v/>
      </c>
      <c r="BW335">
        <f>IFERROR(SUMIFS(T_TTAFStock[TTAF_Qty],T_TTAFStock[RM_Code],$A199,T_TTAFStock[WeekIndex],71),"")</f>
        <v/>
      </c>
      <c r="BX335">
        <f>IFERROR(SUMIFS(T_TTAFStock[TTAF_Qty],T_TTAFStock[RM_Code],$A199,T_TTAFStock[WeekIndex],72),"")</f>
        <v/>
      </c>
      <c r="BY335">
        <f>IFERROR(SUMIFS(T_TTAFStock[TTAF_Qty],T_TTAFStock[RM_Code],$A199,T_TTAFStock[WeekIndex],73),"")</f>
        <v/>
      </c>
      <c r="BZ335">
        <f>IFERROR(SUMIFS(T_TTAFStock[TTAF_Qty],T_TTAFStock[RM_Code],$A199,T_TTAFStock[WeekIndex],74),"")</f>
        <v/>
      </c>
      <c r="CA335">
        <f>IFERROR(SUMIFS(T_TTAFStock[TTAF_Qty],T_TTAFStock[RM_Code],$A199,T_TTAFStock[WeekIndex],75),"")</f>
        <v/>
      </c>
      <c r="CB335">
        <f>IFERROR(SUMIFS(T_TTAFStock[TTAF_Qty],T_TTAFStock[RM_Code],$A199,T_TTAFStock[WeekIndex],76),"")</f>
        <v/>
      </c>
      <c r="CC335">
        <f>IFERROR(SUMIFS(T_TTAFStock[TTAF_Qty],T_TTAFStock[RM_Code],$A199,T_TTAFStock[WeekIndex],77),"")</f>
        <v/>
      </c>
      <c r="CD335">
        <f>IFERROR(SUMIFS(T_TTAFStock[TTAF_Qty],T_TTAFStock[RM_Code],$A199,T_TTAFStock[WeekIndex],78),"")</f>
        <v/>
      </c>
      <c r="CE335">
        <f>IFERROR(SUMIFS(T_TTAFStock[TTAF_Qty],T_TTAFStock[RM_Code],$A199,T_TTAFStock[WeekIndex],79),"")</f>
        <v/>
      </c>
      <c r="CF335">
        <f>IFERROR(SUMIFS(T_TTAFStock[TTAF_Qty],T_TTAFStock[RM_Code],$A199,T_TTAFStock[WeekIndex],80),"")</f>
        <v/>
      </c>
      <c r="CG335">
        <f>IFERROR(SUMIFS(T_TTAFStock[TTAF_Qty],T_TTAFStock[RM_Code],$A199,T_TTAFStock[WeekIndex],81),"")</f>
        <v/>
      </c>
      <c r="CH335">
        <f>IFERROR(SUMIFS(T_TTAFStock[TTAF_Qty],T_TTAFStock[RM_Code],$A199,T_TTAFStock[WeekIndex],82),"")</f>
        <v/>
      </c>
      <c r="CI335">
        <f>IFERROR(SUMIFS(T_TTAFStock[TTAF_Qty],T_TTAFStock[RM_Code],$A199,T_TTAFStock[WeekIndex],83),"")</f>
        <v/>
      </c>
      <c r="CJ335">
        <f>IFERROR(SUMIFS(T_TTAFStock[TTAF_Qty],T_TTAFStock[RM_Code],$A199,T_TTAFStock[WeekIndex],84),"")</f>
        <v/>
      </c>
      <c r="CK335">
        <f>IFERROR(SUMIFS(T_TTAFStock[TTAF_Qty],T_TTAFStock[RM_Code],$A199,T_TTAFStock[WeekIndex],85),"")</f>
        <v/>
      </c>
      <c r="CL335">
        <f>IFERROR(SUMIFS(T_TTAFStock[TTAF_Qty],T_TTAFStock[RM_Code],$A199,T_TTAFStock[WeekIndex],86),"")</f>
        <v/>
      </c>
      <c r="CM335">
        <f>IFERROR(SUMIFS(T_TTAFStock[TTAF_Qty],T_TTAFStock[RM_Code],$A199,T_TTAFStock[WeekIndex],87),"")</f>
        <v/>
      </c>
      <c r="CN335">
        <f>IFERROR(SUMIFS(T_TTAFStock[TTAF_Qty],T_TTAFStock[RM_Code],$A199,T_TTAFStock[WeekIndex],88),"")</f>
        <v/>
      </c>
      <c r="CO335">
        <f>IFERROR(SUMIFS(T_TTAFStock[TTAF_Qty],T_TTAFStock[RM_Code],$A199,T_TTAFStock[WeekIndex],89),"")</f>
        <v/>
      </c>
      <c r="CP335">
        <f>IFERROR(SUMIFS(T_TTAFStock[TTAF_Qty],T_TTAFStock[RM_Code],$A199,T_TTAFStock[WeekIndex],90),"")</f>
        <v/>
      </c>
      <c r="CQ335">
        <f>IFERROR(SUMIFS(T_TTAFStock[TTAF_Qty],T_TTAFStock[RM_Code],$A199,T_TTAFStock[WeekIndex],91),"")</f>
        <v/>
      </c>
      <c r="CR335">
        <f>IFERROR(SUMIFS(T_TTAFStock[TTAF_Qty],T_TTAFStock[RM_Code],$A199,T_TTAFStock[WeekIndex],92),"")</f>
        <v/>
      </c>
      <c r="CS335">
        <f>IFERROR(SUMIFS(T_TTAFStock[TTAF_Qty],T_TTAFStock[RM_Code],$A199,T_TTAFStock[WeekIndex],93),"")</f>
        <v/>
      </c>
      <c r="CT335">
        <f>IFERROR(SUMIFS(T_TTAFStock[TTAF_Qty],T_TTAFStock[RM_Code],$A199,T_TTAFStock[WeekIndex],94),"")</f>
        <v/>
      </c>
      <c r="CU335">
        <f>IFERROR(SUMIFS(T_TTAFStock[TTAF_Qty],T_TTAFStock[RM_Code],$A199,T_TTAFStock[WeekIndex],95),"")</f>
        <v/>
      </c>
      <c r="CV335">
        <f>IFERROR(SUMIFS(T_TTAFStock[TTAF_Qty],T_TTAFStock[RM_Code],$A199,T_TTAFStock[WeekIndex],96),"")</f>
        <v/>
      </c>
      <c r="CW335">
        <f>IFERROR(SUMIFS(T_TTAFStock[TTAF_Qty],T_TTAFStock[RM_Code],$A199,T_TTAFStock[WeekIndex],97),"")</f>
        <v/>
      </c>
      <c r="CX335">
        <f>IFERROR(SUMIFS(T_TTAFStock[TTAF_Qty],T_TTAFStock[RM_Code],$A199,T_TTAFStock[WeekIndex],98),"")</f>
        <v/>
      </c>
      <c r="CY335">
        <f>IFERROR(SUMIFS(T_TTAFStock[TTAF_Qty],T_TTAFStock[RM_Code],$A199,T_TTAFStock[WeekIndex],99),"")</f>
        <v/>
      </c>
      <c r="CZ335">
        <f>IFERROR(SUMIFS(T_TTAFStock[TTAF_Qty],T_TTAFStock[RM_Code],$A199,T_TTAFStock[WeekIndex],100),"")</f>
        <v/>
      </c>
      <c r="DA335">
        <f>IFERROR(SUMIFS(T_TTAFStock[TTAF_Qty],T_TTAFStock[RM_Code],$A199,T_TTAFStock[WeekIndex],101),"")</f>
        <v/>
      </c>
      <c r="DB335">
        <f>IFERROR(SUMIFS(T_TTAFStock[TTAF_Qty],T_TTAFStock[RM_Code],$A199,T_TTAFStock[WeekIndex],102),"")</f>
        <v/>
      </c>
      <c r="DC335">
        <f>IFERROR(SUMIFS(T_TTAFStock[TTAF_Qty],T_TTAFStock[RM_Code],$A199,T_TTAFStock[WeekIndex],103),"")</f>
        <v/>
      </c>
      <c r="DD335">
        <f>IFERROR(SUMIFS(T_TTAFStock[TTAF_Qty],T_TTAFStock[RM_Code],$A199,T_TTAFStock[WeekIndex],104),"")</f>
        <v/>
      </c>
    </row>
    <row r="336">
      <c r="B336" t="inlineStr">
        <is>
          <t>自社在庫(実績,kg)</t>
        </is>
      </c>
      <c r="D336">
        <f>IFERROR(INDEX(E336:DD336,$F$1),"")</f>
        <v/>
      </c>
      <c r="E336">
        <f>IFERROR(SUMIFS(T_SelfStock[Self_Qty],T_SelfStock[RM_Code],$A199,T_SelfStock[WeekIndex],1),"")</f>
        <v/>
      </c>
      <c r="F336">
        <f>IFERROR(SUMIFS(T_SelfStock[Self_Qty],T_SelfStock[RM_Code],$A199,T_SelfStock[WeekIndex],2),"")</f>
        <v/>
      </c>
      <c r="G336">
        <f>IFERROR(SUMIFS(T_SelfStock[Self_Qty],T_SelfStock[RM_Code],$A199,T_SelfStock[WeekIndex],3),"")</f>
        <v/>
      </c>
      <c r="H336">
        <f>IFERROR(SUMIFS(T_SelfStock[Self_Qty],T_SelfStock[RM_Code],$A199,T_SelfStock[WeekIndex],4),"")</f>
        <v/>
      </c>
      <c r="I336">
        <f>IFERROR(SUMIFS(T_SelfStock[Self_Qty],T_SelfStock[RM_Code],$A199,T_SelfStock[WeekIndex],5),"")</f>
        <v/>
      </c>
      <c r="J336">
        <f>IFERROR(SUMIFS(T_SelfStock[Self_Qty],T_SelfStock[RM_Code],$A199,T_SelfStock[WeekIndex],6),"")</f>
        <v/>
      </c>
      <c r="K336">
        <f>IFERROR(SUMIFS(T_SelfStock[Self_Qty],T_SelfStock[RM_Code],$A199,T_SelfStock[WeekIndex],7),"")</f>
        <v/>
      </c>
      <c r="L336">
        <f>IFERROR(SUMIFS(T_SelfStock[Self_Qty],T_SelfStock[RM_Code],$A199,T_SelfStock[WeekIndex],8),"")</f>
        <v/>
      </c>
      <c r="M336">
        <f>IFERROR(SUMIFS(T_SelfStock[Self_Qty],T_SelfStock[RM_Code],$A199,T_SelfStock[WeekIndex],9),"")</f>
        <v/>
      </c>
      <c r="N336">
        <f>IFERROR(SUMIFS(T_SelfStock[Self_Qty],T_SelfStock[RM_Code],$A199,T_SelfStock[WeekIndex],10),"")</f>
        <v/>
      </c>
      <c r="O336">
        <f>IFERROR(SUMIFS(T_SelfStock[Self_Qty],T_SelfStock[RM_Code],$A199,T_SelfStock[WeekIndex],11),"")</f>
        <v/>
      </c>
      <c r="P336">
        <f>IFERROR(SUMIFS(T_SelfStock[Self_Qty],T_SelfStock[RM_Code],$A199,T_SelfStock[WeekIndex],12),"")</f>
        <v/>
      </c>
      <c r="Q336">
        <f>IFERROR(SUMIFS(T_SelfStock[Self_Qty],T_SelfStock[RM_Code],$A199,T_SelfStock[WeekIndex],13),"")</f>
        <v/>
      </c>
      <c r="R336">
        <f>IFERROR(SUMIFS(T_SelfStock[Self_Qty],T_SelfStock[RM_Code],$A199,T_SelfStock[WeekIndex],14),"")</f>
        <v/>
      </c>
      <c r="S336">
        <f>IFERROR(SUMIFS(T_SelfStock[Self_Qty],T_SelfStock[RM_Code],$A199,T_SelfStock[WeekIndex],15),"")</f>
        <v/>
      </c>
      <c r="T336">
        <f>IFERROR(SUMIFS(T_SelfStock[Self_Qty],T_SelfStock[RM_Code],$A199,T_SelfStock[WeekIndex],16),"")</f>
        <v/>
      </c>
      <c r="U336">
        <f>IFERROR(SUMIFS(T_SelfStock[Self_Qty],T_SelfStock[RM_Code],$A199,T_SelfStock[WeekIndex],17),"")</f>
        <v/>
      </c>
      <c r="V336">
        <f>IFERROR(SUMIFS(T_SelfStock[Self_Qty],T_SelfStock[RM_Code],$A199,T_SelfStock[WeekIndex],18),"")</f>
        <v/>
      </c>
      <c r="W336">
        <f>IFERROR(SUMIFS(T_SelfStock[Self_Qty],T_SelfStock[RM_Code],$A199,T_SelfStock[WeekIndex],19),"")</f>
        <v/>
      </c>
      <c r="X336">
        <f>IFERROR(SUMIFS(T_SelfStock[Self_Qty],T_SelfStock[RM_Code],$A199,T_SelfStock[WeekIndex],20),"")</f>
        <v/>
      </c>
      <c r="Y336">
        <f>IFERROR(SUMIFS(T_SelfStock[Self_Qty],T_SelfStock[RM_Code],$A199,T_SelfStock[WeekIndex],21),"")</f>
        <v/>
      </c>
      <c r="Z336">
        <f>IFERROR(SUMIFS(T_SelfStock[Self_Qty],T_SelfStock[RM_Code],$A199,T_SelfStock[WeekIndex],22),"")</f>
        <v/>
      </c>
      <c r="AA336">
        <f>IFERROR(SUMIFS(T_SelfStock[Self_Qty],T_SelfStock[RM_Code],$A199,T_SelfStock[WeekIndex],23),"")</f>
        <v/>
      </c>
      <c r="AB336">
        <f>IFERROR(SUMIFS(T_SelfStock[Self_Qty],T_SelfStock[RM_Code],$A199,T_SelfStock[WeekIndex],24),"")</f>
        <v/>
      </c>
      <c r="AC336">
        <f>IFERROR(SUMIFS(T_SelfStock[Self_Qty],T_SelfStock[RM_Code],$A199,T_SelfStock[WeekIndex],25),"")</f>
        <v/>
      </c>
      <c r="AD336">
        <f>IFERROR(SUMIFS(T_SelfStock[Self_Qty],T_SelfStock[RM_Code],$A199,T_SelfStock[WeekIndex],26),"")</f>
        <v/>
      </c>
      <c r="AE336">
        <f>IFERROR(SUMIFS(T_SelfStock[Self_Qty],T_SelfStock[RM_Code],$A199,T_SelfStock[WeekIndex],27),"")</f>
        <v/>
      </c>
      <c r="AF336">
        <f>IFERROR(SUMIFS(T_SelfStock[Self_Qty],T_SelfStock[RM_Code],$A199,T_SelfStock[WeekIndex],28),"")</f>
        <v/>
      </c>
      <c r="AG336">
        <f>IFERROR(SUMIFS(T_SelfStock[Self_Qty],T_SelfStock[RM_Code],$A199,T_SelfStock[WeekIndex],29),"")</f>
        <v/>
      </c>
      <c r="AH336">
        <f>IFERROR(SUMIFS(T_SelfStock[Self_Qty],T_SelfStock[RM_Code],$A199,T_SelfStock[WeekIndex],30),"")</f>
        <v/>
      </c>
      <c r="AI336">
        <f>IFERROR(SUMIFS(T_SelfStock[Self_Qty],T_SelfStock[RM_Code],$A199,T_SelfStock[WeekIndex],31),"")</f>
        <v/>
      </c>
      <c r="AJ336">
        <f>IFERROR(SUMIFS(T_SelfStock[Self_Qty],T_SelfStock[RM_Code],$A199,T_SelfStock[WeekIndex],32),"")</f>
        <v/>
      </c>
      <c r="AK336">
        <f>IFERROR(SUMIFS(T_SelfStock[Self_Qty],T_SelfStock[RM_Code],$A199,T_SelfStock[WeekIndex],33),"")</f>
        <v/>
      </c>
      <c r="AL336">
        <f>IFERROR(SUMIFS(T_SelfStock[Self_Qty],T_SelfStock[RM_Code],$A199,T_SelfStock[WeekIndex],34),"")</f>
        <v/>
      </c>
      <c r="AM336">
        <f>IFERROR(SUMIFS(T_SelfStock[Self_Qty],T_SelfStock[RM_Code],$A199,T_SelfStock[WeekIndex],35),"")</f>
        <v/>
      </c>
      <c r="AN336">
        <f>IFERROR(SUMIFS(T_SelfStock[Self_Qty],T_SelfStock[RM_Code],$A199,T_SelfStock[WeekIndex],36),"")</f>
        <v/>
      </c>
      <c r="AO336">
        <f>IFERROR(SUMIFS(T_SelfStock[Self_Qty],T_SelfStock[RM_Code],$A199,T_SelfStock[WeekIndex],37),"")</f>
        <v/>
      </c>
      <c r="AP336">
        <f>IFERROR(SUMIFS(T_SelfStock[Self_Qty],T_SelfStock[RM_Code],$A199,T_SelfStock[WeekIndex],38),"")</f>
        <v/>
      </c>
      <c r="AQ336">
        <f>IFERROR(SUMIFS(T_SelfStock[Self_Qty],T_SelfStock[RM_Code],$A199,T_SelfStock[WeekIndex],39),"")</f>
        <v/>
      </c>
      <c r="AR336">
        <f>IFERROR(SUMIFS(T_SelfStock[Self_Qty],T_SelfStock[RM_Code],$A199,T_SelfStock[WeekIndex],40),"")</f>
        <v/>
      </c>
      <c r="AS336">
        <f>IFERROR(SUMIFS(T_SelfStock[Self_Qty],T_SelfStock[RM_Code],$A199,T_SelfStock[WeekIndex],41),"")</f>
        <v/>
      </c>
      <c r="AT336">
        <f>IFERROR(SUMIFS(T_SelfStock[Self_Qty],T_SelfStock[RM_Code],$A199,T_SelfStock[WeekIndex],42),"")</f>
        <v/>
      </c>
      <c r="AU336">
        <f>IFERROR(SUMIFS(T_SelfStock[Self_Qty],T_SelfStock[RM_Code],$A199,T_SelfStock[WeekIndex],43),"")</f>
        <v/>
      </c>
      <c r="AV336">
        <f>IFERROR(SUMIFS(T_SelfStock[Self_Qty],T_SelfStock[RM_Code],$A199,T_SelfStock[WeekIndex],44),"")</f>
        <v/>
      </c>
      <c r="AW336">
        <f>IFERROR(SUMIFS(T_SelfStock[Self_Qty],T_SelfStock[RM_Code],$A199,T_SelfStock[WeekIndex],45),"")</f>
        <v/>
      </c>
      <c r="AX336">
        <f>IFERROR(SUMIFS(T_SelfStock[Self_Qty],T_SelfStock[RM_Code],$A199,T_SelfStock[WeekIndex],46),"")</f>
        <v/>
      </c>
      <c r="AY336">
        <f>IFERROR(SUMIFS(T_SelfStock[Self_Qty],T_SelfStock[RM_Code],$A199,T_SelfStock[WeekIndex],47),"")</f>
        <v/>
      </c>
      <c r="AZ336">
        <f>IFERROR(SUMIFS(T_SelfStock[Self_Qty],T_SelfStock[RM_Code],$A199,T_SelfStock[WeekIndex],48),"")</f>
        <v/>
      </c>
      <c r="BA336">
        <f>IFERROR(SUMIFS(T_SelfStock[Self_Qty],T_SelfStock[RM_Code],$A199,T_SelfStock[WeekIndex],49),"")</f>
        <v/>
      </c>
      <c r="BB336">
        <f>IFERROR(SUMIFS(T_SelfStock[Self_Qty],T_SelfStock[RM_Code],$A199,T_SelfStock[WeekIndex],50),"")</f>
        <v/>
      </c>
      <c r="BC336">
        <f>IFERROR(SUMIFS(T_SelfStock[Self_Qty],T_SelfStock[RM_Code],$A199,T_SelfStock[WeekIndex],51),"")</f>
        <v/>
      </c>
      <c r="BD336">
        <f>IFERROR(SUMIFS(T_SelfStock[Self_Qty],T_SelfStock[RM_Code],$A199,T_SelfStock[WeekIndex],52),"")</f>
        <v/>
      </c>
      <c r="BE336">
        <f>IFERROR(SUMIFS(T_SelfStock[Self_Qty],T_SelfStock[RM_Code],$A199,T_SelfStock[WeekIndex],53),"")</f>
        <v/>
      </c>
      <c r="BF336">
        <f>IFERROR(SUMIFS(T_SelfStock[Self_Qty],T_SelfStock[RM_Code],$A199,T_SelfStock[WeekIndex],54),"")</f>
        <v/>
      </c>
      <c r="BG336">
        <f>IFERROR(SUMIFS(T_SelfStock[Self_Qty],T_SelfStock[RM_Code],$A199,T_SelfStock[WeekIndex],55),"")</f>
        <v/>
      </c>
      <c r="BH336">
        <f>IFERROR(SUMIFS(T_SelfStock[Self_Qty],T_SelfStock[RM_Code],$A199,T_SelfStock[WeekIndex],56),"")</f>
        <v/>
      </c>
      <c r="BI336">
        <f>IFERROR(SUMIFS(T_SelfStock[Self_Qty],T_SelfStock[RM_Code],$A199,T_SelfStock[WeekIndex],57),"")</f>
        <v/>
      </c>
      <c r="BJ336">
        <f>IFERROR(SUMIFS(T_SelfStock[Self_Qty],T_SelfStock[RM_Code],$A199,T_SelfStock[WeekIndex],58),"")</f>
        <v/>
      </c>
      <c r="BK336">
        <f>IFERROR(SUMIFS(T_SelfStock[Self_Qty],T_SelfStock[RM_Code],$A199,T_SelfStock[WeekIndex],59),"")</f>
        <v/>
      </c>
      <c r="BL336">
        <f>IFERROR(SUMIFS(T_SelfStock[Self_Qty],T_SelfStock[RM_Code],$A199,T_SelfStock[WeekIndex],60),"")</f>
        <v/>
      </c>
      <c r="BM336">
        <f>IFERROR(SUMIFS(T_SelfStock[Self_Qty],T_SelfStock[RM_Code],$A199,T_SelfStock[WeekIndex],61),"")</f>
        <v/>
      </c>
      <c r="BN336">
        <f>IFERROR(SUMIFS(T_SelfStock[Self_Qty],T_SelfStock[RM_Code],$A199,T_SelfStock[WeekIndex],62),"")</f>
        <v/>
      </c>
      <c r="BO336">
        <f>IFERROR(SUMIFS(T_SelfStock[Self_Qty],T_SelfStock[RM_Code],$A199,T_SelfStock[WeekIndex],63),"")</f>
        <v/>
      </c>
      <c r="BP336">
        <f>IFERROR(SUMIFS(T_SelfStock[Self_Qty],T_SelfStock[RM_Code],$A199,T_SelfStock[WeekIndex],64),"")</f>
        <v/>
      </c>
      <c r="BQ336">
        <f>IFERROR(SUMIFS(T_SelfStock[Self_Qty],T_SelfStock[RM_Code],$A199,T_SelfStock[WeekIndex],65),"")</f>
        <v/>
      </c>
      <c r="BR336">
        <f>IFERROR(SUMIFS(T_SelfStock[Self_Qty],T_SelfStock[RM_Code],$A199,T_SelfStock[WeekIndex],66),"")</f>
        <v/>
      </c>
      <c r="BS336">
        <f>IFERROR(SUMIFS(T_SelfStock[Self_Qty],T_SelfStock[RM_Code],$A199,T_SelfStock[WeekIndex],67),"")</f>
        <v/>
      </c>
      <c r="BT336">
        <f>IFERROR(SUMIFS(T_SelfStock[Self_Qty],T_SelfStock[RM_Code],$A199,T_SelfStock[WeekIndex],68),"")</f>
        <v/>
      </c>
      <c r="BU336">
        <f>IFERROR(SUMIFS(T_SelfStock[Self_Qty],T_SelfStock[RM_Code],$A199,T_SelfStock[WeekIndex],69),"")</f>
        <v/>
      </c>
      <c r="BV336">
        <f>IFERROR(SUMIFS(T_SelfStock[Self_Qty],T_SelfStock[RM_Code],$A199,T_SelfStock[WeekIndex],70),"")</f>
        <v/>
      </c>
      <c r="BW336">
        <f>IFERROR(SUMIFS(T_SelfStock[Self_Qty],T_SelfStock[RM_Code],$A199,T_SelfStock[WeekIndex],71),"")</f>
        <v/>
      </c>
      <c r="BX336">
        <f>IFERROR(SUMIFS(T_SelfStock[Self_Qty],T_SelfStock[RM_Code],$A199,T_SelfStock[WeekIndex],72),"")</f>
        <v/>
      </c>
      <c r="BY336">
        <f>IFERROR(SUMIFS(T_SelfStock[Self_Qty],T_SelfStock[RM_Code],$A199,T_SelfStock[WeekIndex],73),"")</f>
        <v/>
      </c>
      <c r="BZ336">
        <f>IFERROR(SUMIFS(T_SelfStock[Self_Qty],T_SelfStock[RM_Code],$A199,T_SelfStock[WeekIndex],74),"")</f>
        <v/>
      </c>
      <c r="CA336">
        <f>IFERROR(SUMIFS(T_SelfStock[Self_Qty],T_SelfStock[RM_Code],$A199,T_SelfStock[WeekIndex],75),"")</f>
        <v/>
      </c>
      <c r="CB336">
        <f>IFERROR(SUMIFS(T_SelfStock[Self_Qty],T_SelfStock[RM_Code],$A199,T_SelfStock[WeekIndex],76),"")</f>
        <v/>
      </c>
      <c r="CC336">
        <f>IFERROR(SUMIFS(T_SelfStock[Self_Qty],T_SelfStock[RM_Code],$A199,T_SelfStock[WeekIndex],77),"")</f>
        <v/>
      </c>
      <c r="CD336">
        <f>IFERROR(SUMIFS(T_SelfStock[Self_Qty],T_SelfStock[RM_Code],$A199,T_SelfStock[WeekIndex],78),"")</f>
        <v/>
      </c>
      <c r="CE336">
        <f>IFERROR(SUMIFS(T_SelfStock[Self_Qty],T_SelfStock[RM_Code],$A199,T_SelfStock[WeekIndex],79),"")</f>
        <v/>
      </c>
      <c r="CF336">
        <f>IFERROR(SUMIFS(T_SelfStock[Self_Qty],T_SelfStock[RM_Code],$A199,T_SelfStock[WeekIndex],80),"")</f>
        <v/>
      </c>
      <c r="CG336">
        <f>IFERROR(SUMIFS(T_SelfStock[Self_Qty],T_SelfStock[RM_Code],$A199,T_SelfStock[WeekIndex],81),"")</f>
        <v/>
      </c>
      <c r="CH336">
        <f>IFERROR(SUMIFS(T_SelfStock[Self_Qty],T_SelfStock[RM_Code],$A199,T_SelfStock[WeekIndex],82),"")</f>
        <v/>
      </c>
      <c r="CI336">
        <f>IFERROR(SUMIFS(T_SelfStock[Self_Qty],T_SelfStock[RM_Code],$A199,T_SelfStock[WeekIndex],83),"")</f>
        <v/>
      </c>
      <c r="CJ336">
        <f>IFERROR(SUMIFS(T_SelfStock[Self_Qty],T_SelfStock[RM_Code],$A199,T_SelfStock[WeekIndex],84),"")</f>
        <v/>
      </c>
      <c r="CK336">
        <f>IFERROR(SUMIFS(T_SelfStock[Self_Qty],T_SelfStock[RM_Code],$A199,T_SelfStock[WeekIndex],85),"")</f>
        <v/>
      </c>
      <c r="CL336">
        <f>IFERROR(SUMIFS(T_SelfStock[Self_Qty],T_SelfStock[RM_Code],$A199,T_SelfStock[WeekIndex],86),"")</f>
        <v/>
      </c>
      <c r="CM336">
        <f>IFERROR(SUMIFS(T_SelfStock[Self_Qty],T_SelfStock[RM_Code],$A199,T_SelfStock[WeekIndex],87),"")</f>
        <v/>
      </c>
      <c r="CN336">
        <f>IFERROR(SUMIFS(T_SelfStock[Self_Qty],T_SelfStock[RM_Code],$A199,T_SelfStock[WeekIndex],88),"")</f>
        <v/>
      </c>
      <c r="CO336">
        <f>IFERROR(SUMIFS(T_SelfStock[Self_Qty],T_SelfStock[RM_Code],$A199,T_SelfStock[WeekIndex],89),"")</f>
        <v/>
      </c>
      <c r="CP336">
        <f>IFERROR(SUMIFS(T_SelfStock[Self_Qty],T_SelfStock[RM_Code],$A199,T_SelfStock[WeekIndex],90),"")</f>
        <v/>
      </c>
      <c r="CQ336">
        <f>IFERROR(SUMIFS(T_SelfStock[Self_Qty],T_SelfStock[RM_Code],$A199,T_SelfStock[WeekIndex],91),"")</f>
        <v/>
      </c>
      <c r="CR336">
        <f>IFERROR(SUMIFS(T_SelfStock[Self_Qty],T_SelfStock[RM_Code],$A199,T_SelfStock[WeekIndex],92),"")</f>
        <v/>
      </c>
      <c r="CS336">
        <f>IFERROR(SUMIFS(T_SelfStock[Self_Qty],T_SelfStock[RM_Code],$A199,T_SelfStock[WeekIndex],93),"")</f>
        <v/>
      </c>
      <c r="CT336">
        <f>IFERROR(SUMIFS(T_SelfStock[Self_Qty],T_SelfStock[RM_Code],$A199,T_SelfStock[WeekIndex],94),"")</f>
        <v/>
      </c>
      <c r="CU336">
        <f>IFERROR(SUMIFS(T_SelfStock[Self_Qty],T_SelfStock[RM_Code],$A199,T_SelfStock[WeekIndex],95),"")</f>
        <v/>
      </c>
      <c r="CV336">
        <f>IFERROR(SUMIFS(T_SelfStock[Self_Qty],T_SelfStock[RM_Code],$A199,T_SelfStock[WeekIndex],96),"")</f>
        <v/>
      </c>
      <c r="CW336">
        <f>IFERROR(SUMIFS(T_SelfStock[Self_Qty],T_SelfStock[RM_Code],$A199,T_SelfStock[WeekIndex],97),"")</f>
        <v/>
      </c>
      <c r="CX336">
        <f>IFERROR(SUMIFS(T_SelfStock[Self_Qty],T_SelfStock[RM_Code],$A199,T_SelfStock[WeekIndex],98),"")</f>
        <v/>
      </c>
      <c r="CY336">
        <f>IFERROR(SUMIFS(T_SelfStock[Self_Qty],T_SelfStock[RM_Code],$A199,T_SelfStock[WeekIndex],99),"")</f>
        <v/>
      </c>
      <c r="CZ336">
        <f>IFERROR(SUMIFS(T_SelfStock[Self_Qty],T_SelfStock[RM_Code],$A199,T_SelfStock[WeekIndex],100),"")</f>
        <v/>
      </c>
      <c r="DA336">
        <f>IFERROR(SUMIFS(T_SelfStock[Self_Qty],T_SelfStock[RM_Code],$A199,T_SelfStock[WeekIndex],101),"")</f>
        <v/>
      </c>
      <c r="DB336">
        <f>IFERROR(SUMIFS(T_SelfStock[Self_Qty],T_SelfStock[RM_Code],$A199,T_SelfStock[WeekIndex],102),"")</f>
        <v/>
      </c>
      <c r="DC336">
        <f>IFERROR(SUMIFS(T_SelfStock[Self_Qty],T_SelfStock[RM_Code],$A199,T_SelfStock[WeekIndex],103),"")</f>
        <v/>
      </c>
      <c r="DD336">
        <f>IFERROR(SUMIFS(T_SelfStock[Self_Qty],T_SelfStock[RM_Code],$A199,T_SelfStock[WeekIndex],104),"")</f>
        <v/>
      </c>
    </row>
    <row r="337">
      <c r="B337" s="4" t="inlineStr">
        <is>
          <t>合計在庫(週末時点,kg)</t>
        </is>
      </c>
      <c r="D337" s="24">
        <f>IFERROR(INDEX(E337:DD337,$F$1),"")</f>
        <v/>
      </c>
      <c r="E337">
        <f>'Grid_Stock'!B84</f>
        <v/>
      </c>
      <c r="F337">
        <f>'Grid_Stock'!C84</f>
        <v/>
      </c>
      <c r="G337">
        <f>'Grid_Stock'!D84</f>
        <v/>
      </c>
      <c r="H337">
        <f>'Grid_Stock'!E84</f>
        <v/>
      </c>
      <c r="I337">
        <f>'Grid_Stock'!F84</f>
        <v/>
      </c>
      <c r="J337">
        <f>'Grid_Stock'!G84</f>
        <v/>
      </c>
      <c r="K337">
        <f>'Grid_Stock'!H84</f>
        <v/>
      </c>
      <c r="L337">
        <f>'Grid_Stock'!I84</f>
        <v/>
      </c>
      <c r="M337">
        <f>'Grid_Stock'!J84</f>
        <v/>
      </c>
      <c r="N337">
        <f>'Grid_Stock'!K84</f>
        <v/>
      </c>
      <c r="O337">
        <f>'Grid_Stock'!L84</f>
        <v/>
      </c>
      <c r="P337">
        <f>'Grid_Stock'!M84</f>
        <v/>
      </c>
      <c r="Q337">
        <f>'Grid_Stock'!N84</f>
        <v/>
      </c>
      <c r="R337">
        <f>'Grid_Stock'!O84</f>
        <v/>
      </c>
      <c r="S337">
        <f>'Grid_Stock'!P84</f>
        <v/>
      </c>
      <c r="T337">
        <f>'Grid_Stock'!Q84</f>
        <v/>
      </c>
      <c r="U337">
        <f>'Grid_Stock'!R84</f>
        <v/>
      </c>
      <c r="V337">
        <f>'Grid_Stock'!S84</f>
        <v/>
      </c>
      <c r="W337">
        <f>'Grid_Stock'!T84</f>
        <v/>
      </c>
      <c r="X337">
        <f>'Grid_Stock'!U84</f>
        <v/>
      </c>
      <c r="Y337">
        <f>'Grid_Stock'!V84</f>
        <v/>
      </c>
      <c r="Z337">
        <f>'Grid_Stock'!W84</f>
        <v/>
      </c>
      <c r="AA337">
        <f>'Grid_Stock'!X84</f>
        <v/>
      </c>
      <c r="AB337">
        <f>'Grid_Stock'!Y84</f>
        <v/>
      </c>
      <c r="AC337">
        <f>'Grid_Stock'!Z84</f>
        <v/>
      </c>
      <c r="AD337">
        <f>'Grid_Stock'!AA84</f>
        <v/>
      </c>
      <c r="AE337">
        <f>'Grid_Stock'!AB84</f>
        <v/>
      </c>
      <c r="AF337">
        <f>'Grid_Stock'!AC84</f>
        <v/>
      </c>
      <c r="AG337">
        <f>'Grid_Stock'!AD84</f>
        <v/>
      </c>
      <c r="AH337">
        <f>'Grid_Stock'!AE84</f>
        <v/>
      </c>
      <c r="AI337">
        <f>'Grid_Stock'!AF84</f>
        <v/>
      </c>
      <c r="AJ337">
        <f>'Grid_Stock'!AG84</f>
        <v/>
      </c>
      <c r="AK337">
        <f>'Grid_Stock'!AH84</f>
        <v/>
      </c>
      <c r="AL337">
        <f>'Grid_Stock'!AI84</f>
        <v/>
      </c>
      <c r="AM337">
        <f>'Grid_Stock'!AJ84</f>
        <v/>
      </c>
      <c r="AN337">
        <f>'Grid_Stock'!AK84</f>
        <v/>
      </c>
      <c r="AO337">
        <f>'Grid_Stock'!AL84</f>
        <v/>
      </c>
      <c r="AP337">
        <f>'Grid_Stock'!AM84</f>
        <v/>
      </c>
      <c r="AQ337">
        <f>'Grid_Stock'!AN84</f>
        <v/>
      </c>
      <c r="AR337">
        <f>'Grid_Stock'!AO84</f>
        <v/>
      </c>
      <c r="AS337">
        <f>'Grid_Stock'!AP84</f>
        <v/>
      </c>
      <c r="AT337">
        <f>'Grid_Stock'!AQ84</f>
        <v/>
      </c>
      <c r="AU337">
        <f>'Grid_Stock'!AR84</f>
        <v/>
      </c>
      <c r="AV337">
        <f>'Grid_Stock'!AS84</f>
        <v/>
      </c>
      <c r="AW337">
        <f>'Grid_Stock'!AT84</f>
        <v/>
      </c>
      <c r="AX337">
        <f>'Grid_Stock'!AU84</f>
        <v/>
      </c>
      <c r="AY337">
        <f>'Grid_Stock'!AV84</f>
        <v/>
      </c>
      <c r="AZ337">
        <f>'Grid_Stock'!AW84</f>
        <v/>
      </c>
      <c r="BA337">
        <f>'Grid_Stock'!AX84</f>
        <v/>
      </c>
      <c r="BB337">
        <f>'Grid_Stock'!AY84</f>
        <v/>
      </c>
      <c r="BC337">
        <f>'Grid_Stock'!AZ84</f>
        <v/>
      </c>
      <c r="BD337">
        <f>'Grid_Stock'!BA84</f>
        <v/>
      </c>
      <c r="BE337">
        <f>'Grid_Stock'!BB84</f>
        <v/>
      </c>
      <c r="BF337">
        <f>'Grid_Stock'!BC84</f>
        <v/>
      </c>
      <c r="BG337">
        <f>'Grid_Stock'!BD84</f>
        <v/>
      </c>
      <c r="BH337">
        <f>'Grid_Stock'!BE84</f>
        <v/>
      </c>
      <c r="BI337">
        <f>'Grid_Stock'!BF84</f>
        <v/>
      </c>
      <c r="BJ337">
        <f>'Grid_Stock'!BG84</f>
        <v/>
      </c>
      <c r="BK337">
        <f>'Grid_Stock'!BH84</f>
        <v/>
      </c>
      <c r="BL337">
        <f>'Grid_Stock'!BI84</f>
        <v/>
      </c>
      <c r="BM337">
        <f>'Grid_Stock'!BJ84</f>
        <v/>
      </c>
      <c r="BN337">
        <f>'Grid_Stock'!BK84</f>
        <v/>
      </c>
      <c r="BO337">
        <f>'Grid_Stock'!BL84</f>
        <v/>
      </c>
      <c r="BP337">
        <f>'Grid_Stock'!BM84</f>
        <v/>
      </c>
      <c r="BQ337">
        <f>'Grid_Stock'!BN84</f>
        <v/>
      </c>
      <c r="BR337">
        <f>'Grid_Stock'!BO84</f>
        <v/>
      </c>
      <c r="BS337">
        <f>'Grid_Stock'!BP84</f>
        <v/>
      </c>
      <c r="BT337">
        <f>'Grid_Stock'!BQ84</f>
        <v/>
      </c>
      <c r="BU337">
        <f>'Grid_Stock'!BR84</f>
        <v/>
      </c>
      <c r="BV337">
        <f>'Grid_Stock'!BS84</f>
        <v/>
      </c>
      <c r="BW337">
        <f>'Grid_Stock'!BT84</f>
        <v/>
      </c>
      <c r="BX337">
        <f>'Grid_Stock'!BU84</f>
        <v/>
      </c>
      <c r="BY337">
        <f>'Grid_Stock'!BV84</f>
        <v/>
      </c>
      <c r="BZ337">
        <f>'Grid_Stock'!BW84</f>
        <v/>
      </c>
      <c r="CA337">
        <f>'Grid_Stock'!BX84</f>
        <v/>
      </c>
      <c r="CB337">
        <f>'Grid_Stock'!BY84</f>
        <v/>
      </c>
      <c r="CC337">
        <f>'Grid_Stock'!BZ84</f>
        <v/>
      </c>
      <c r="CD337">
        <f>'Grid_Stock'!CA84</f>
        <v/>
      </c>
      <c r="CE337">
        <f>'Grid_Stock'!CB84</f>
        <v/>
      </c>
      <c r="CF337">
        <f>'Grid_Stock'!CC84</f>
        <v/>
      </c>
      <c r="CG337">
        <f>'Grid_Stock'!CD84</f>
        <v/>
      </c>
      <c r="CH337">
        <f>'Grid_Stock'!CE84</f>
        <v/>
      </c>
      <c r="CI337">
        <f>'Grid_Stock'!CF84</f>
        <v/>
      </c>
      <c r="CJ337">
        <f>'Grid_Stock'!CG84</f>
        <v/>
      </c>
      <c r="CK337">
        <f>'Grid_Stock'!CH84</f>
        <v/>
      </c>
      <c r="CL337">
        <f>'Grid_Stock'!CI84</f>
        <v/>
      </c>
      <c r="CM337">
        <f>'Grid_Stock'!CJ84</f>
        <v/>
      </c>
      <c r="CN337">
        <f>'Grid_Stock'!CK84</f>
        <v/>
      </c>
      <c r="CO337">
        <f>'Grid_Stock'!CL84</f>
        <v/>
      </c>
      <c r="CP337">
        <f>'Grid_Stock'!CM84</f>
        <v/>
      </c>
      <c r="CQ337">
        <f>'Grid_Stock'!CN84</f>
        <v/>
      </c>
      <c r="CR337">
        <f>'Grid_Stock'!CO84</f>
        <v/>
      </c>
      <c r="CS337">
        <f>'Grid_Stock'!CP84</f>
        <v/>
      </c>
      <c r="CT337">
        <f>'Grid_Stock'!CQ84</f>
        <v/>
      </c>
      <c r="CU337">
        <f>'Grid_Stock'!CR84</f>
        <v/>
      </c>
      <c r="CV337">
        <f>'Grid_Stock'!CS84</f>
        <v/>
      </c>
      <c r="CW337">
        <f>'Grid_Stock'!CT84</f>
        <v/>
      </c>
      <c r="CX337">
        <f>'Grid_Stock'!CU84</f>
        <v/>
      </c>
      <c r="CY337">
        <f>'Grid_Stock'!CV84</f>
        <v/>
      </c>
      <c r="CZ337">
        <f>'Grid_Stock'!CW84</f>
        <v/>
      </c>
      <c r="DA337">
        <f>'Grid_Stock'!CX84</f>
        <v/>
      </c>
      <c r="DB337">
        <f>'Grid_Stock'!CY84</f>
        <v/>
      </c>
      <c r="DC337">
        <f>'Grid_Stock'!CZ84</f>
        <v/>
      </c>
      <c r="DD337">
        <f>'Grid_Stock'!DA84</f>
        <v/>
      </c>
    </row>
    <row r="338">
      <c r="B338" s="25" t="inlineStr">
        <is>
          <t>（発注の目安はDashboardの基準在庫[下限/上限]と色分けを参照）</t>
        </is>
      </c>
    </row>
    <row r="340">
      <c r="A340" s="21" t="inlineStr">
        <is>
          <t>CHEM-1420</t>
        </is>
      </c>
      <c r="B340" s="21" t="inlineStr">
        <is>
          <t>HEC SE900</t>
        </is>
      </c>
      <c r="C340" s="22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21" t="n"/>
      <c r="AI340" s="21" t="n"/>
      <c r="AJ340" s="21" t="n"/>
      <c r="AK340" s="21" t="n"/>
      <c r="AL340" s="21" t="n"/>
      <c r="AM340" s="21" t="n"/>
      <c r="AN340" s="21" t="n"/>
      <c r="AO340" s="21" t="n"/>
      <c r="AP340" s="21" t="n"/>
      <c r="AQ340" s="21" t="n"/>
      <c r="AR340" s="21" t="n"/>
      <c r="AS340" s="21" t="n"/>
      <c r="AT340" s="21" t="n"/>
      <c r="AU340" s="21" t="n"/>
      <c r="AV340" s="21" t="n"/>
      <c r="AW340" s="21" t="n"/>
      <c r="AX340" s="21" t="n"/>
      <c r="AY340" s="21" t="n"/>
      <c r="AZ340" s="21" t="n"/>
      <c r="BA340" s="21" t="n"/>
      <c r="BB340" s="21" t="n"/>
      <c r="BC340" s="21" t="n"/>
      <c r="BD340" s="21" t="n"/>
      <c r="BE340" s="21" t="n"/>
      <c r="BF340" s="21" t="n"/>
      <c r="BG340" s="21" t="n"/>
      <c r="BH340" s="21" t="n"/>
      <c r="BI340" s="21" t="n"/>
      <c r="BJ340" s="21" t="n"/>
      <c r="BK340" s="21" t="n"/>
      <c r="BL340" s="21" t="n"/>
      <c r="BM340" s="21" t="n"/>
      <c r="BN340" s="21" t="n"/>
      <c r="BO340" s="21" t="n"/>
      <c r="BP340" s="21" t="n"/>
      <c r="BQ340" s="21" t="n"/>
      <c r="BR340" s="21" t="n"/>
      <c r="BS340" s="21" t="n"/>
      <c r="BT340" s="21" t="n"/>
      <c r="BU340" s="21" t="n"/>
      <c r="BV340" s="21" t="n"/>
      <c r="BW340" s="21" t="n"/>
      <c r="BX340" s="21" t="n"/>
      <c r="BY340" s="21" t="n"/>
      <c r="BZ340" s="21" t="n"/>
      <c r="CA340" s="21" t="n"/>
      <c r="CB340" s="21" t="n"/>
      <c r="CC340" s="21" t="n"/>
      <c r="CD340" s="21" t="n"/>
      <c r="CE340" s="21" t="n"/>
      <c r="CF340" s="21" t="n"/>
      <c r="CG340" s="21" t="n"/>
      <c r="CH340" s="21" t="n"/>
      <c r="CI340" s="21" t="n"/>
      <c r="CJ340" s="21" t="n"/>
      <c r="CK340" s="21" t="n"/>
      <c r="CL340" s="21" t="n"/>
      <c r="CM340" s="21" t="n"/>
      <c r="CN340" s="21" t="n"/>
      <c r="CO340" s="21" t="n"/>
      <c r="CP340" s="21" t="n"/>
      <c r="CQ340" s="21" t="n"/>
      <c r="CR340" s="21" t="n"/>
      <c r="CS340" s="21" t="n"/>
      <c r="CT340" s="21" t="n"/>
      <c r="CU340" s="21" t="n"/>
      <c r="CV340" s="21" t="n"/>
      <c r="CW340" s="21" t="n"/>
      <c r="CX340" s="21" t="n"/>
      <c r="CY340" s="21" t="n"/>
      <c r="CZ340" s="21" t="n"/>
      <c r="DA340" s="21" t="n"/>
      <c r="DB340" s="21" t="n"/>
      <c r="DC340" s="21" t="n"/>
      <c r="DD340" s="21" t="n"/>
    </row>
    <row r="341">
      <c r="B341" t="inlineStr">
        <is>
          <t>TSP-049</t>
        </is>
      </c>
      <c r="C341" t="inlineStr">
        <is>
          <t>No. of batches</t>
        </is>
      </c>
      <c r="D341">
        <f>IFERROR(INDEX(E341:DD341,$F$1),"")</f>
        <v/>
      </c>
      <c r="E341">
        <f>IFERROR(INDEX(PP_Grid[#Data],$DE341,2),0)</f>
        <v/>
      </c>
      <c r="F341">
        <f>IFERROR(INDEX(PP_Grid[#Data],$DE341,3),0)</f>
        <v/>
      </c>
      <c r="G341">
        <f>IFERROR(INDEX(PP_Grid[#Data],$DE341,4),0)</f>
        <v/>
      </c>
      <c r="H341">
        <f>IFERROR(INDEX(PP_Grid[#Data],$DE341,5),0)</f>
        <v/>
      </c>
      <c r="I341">
        <f>IFERROR(INDEX(PP_Grid[#Data],$DE341,6),0)</f>
        <v/>
      </c>
      <c r="J341">
        <f>IFERROR(INDEX(PP_Grid[#Data],$DE341,7),0)</f>
        <v/>
      </c>
      <c r="K341">
        <f>IFERROR(INDEX(PP_Grid[#Data],$DE341,8),0)</f>
        <v/>
      </c>
      <c r="L341">
        <f>IFERROR(INDEX(PP_Grid[#Data],$DE341,9),0)</f>
        <v/>
      </c>
      <c r="M341">
        <f>IFERROR(INDEX(PP_Grid[#Data],$DE341,10),0)</f>
        <v/>
      </c>
      <c r="N341">
        <f>IFERROR(INDEX(PP_Grid[#Data],$DE341,11),0)</f>
        <v/>
      </c>
      <c r="O341">
        <f>IFERROR(INDEX(PP_Grid[#Data],$DE341,12),0)</f>
        <v/>
      </c>
      <c r="P341">
        <f>IFERROR(INDEX(PP_Grid[#Data],$DE341,13),0)</f>
        <v/>
      </c>
      <c r="Q341">
        <f>IFERROR(INDEX(PP_Grid[#Data],$DE341,14),0)</f>
        <v/>
      </c>
      <c r="R341">
        <f>IFERROR(INDEX(PP_Grid[#Data],$DE341,15),0)</f>
        <v/>
      </c>
      <c r="S341">
        <f>IFERROR(INDEX(PP_Grid[#Data],$DE341,16),0)</f>
        <v/>
      </c>
      <c r="T341">
        <f>IFERROR(INDEX(PP_Grid[#Data],$DE341,17),0)</f>
        <v/>
      </c>
      <c r="U341">
        <f>IFERROR(INDEX(PP_Grid[#Data],$DE341,18),0)</f>
        <v/>
      </c>
      <c r="V341">
        <f>IFERROR(INDEX(PP_Grid[#Data],$DE341,19),0)</f>
        <v/>
      </c>
      <c r="W341">
        <f>IFERROR(INDEX(PP_Grid[#Data],$DE341,20),0)</f>
        <v/>
      </c>
      <c r="X341">
        <f>IFERROR(INDEX(PP_Grid[#Data],$DE341,21),0)</f>
        <v/>
      </c>
      <c r="Y341">
        <f>IFERROR(INDEX(PP_Grid[#Data],$DE341,22),0)</f>
        <v/>
      </c>
      <c r="Z341">
        <f>IFERROR(INDEX(PP_Grid[#Data],$DE341,23),0)</f>
        <v/>
      </c>
      <c r="AA341">
        <f>IFERROR(INDEX(PP_Grid[#Data],$DE341,24),0)</f>
        <v/>
      </c>
      <c r="AB341">
        <f>IFERROR(INDEX(PP_Grid[#Data],$DE341,25),0)</f>
        <v/>
      </c>
      <c r="AC341">
        <f>IFERROR(INDEX(PP_Grid[#Data],$DE341,26),0)</f>
        <v/>
      </c>
      <c r="AD341">
        <f>IFERROR(INDEX(PP_Grid[#Data],$DE341,27),0)</f>
        <v/>
      </c>
      <c r="AE341">
        <f>IFERROR(INDEX(PP_Grid[#Data],$DE341,28),0)</f>
        <v/>
      </c>
      <c r="AF341">
        <f>IFERROR(INDEX(PP_Grid[#Data],$DE341,29),0)</f>
        <v/>
      </c>
      <c r="AG341">
        <f>IFERROR(INDEX(PP_Grid[#Data],$DE341,30),0)</f>
        <v/>
      </c>
      <c r="AH341">
        <f>IFERROR(INDEX(PP_Grid[#Data],$DE341,31),0)</f>
        <v/>
      </c>
      <c r="AI341">
        <f>IFERROR(INDEX(PP_Grid[#Data],$DE341,32),0)</f>
        <v/>
      </c>
      <c r="AJ341">
        <f>IFERROR(INDEX(PP_Grid[#Data],$DE341,33),0)</f>
        <v/>
      </c>
      <c r="AK341">
        <f>IFERROR(INDEX(PP_Grid[#Data],$DE341,34),0)</f>
        <v/>
      </c>
      <c r="AL341">
        <f>IFERROR(INDEX(PP_Grid[#Data],$DE341,35),0)</f>
        <v/>
      </c>
      <c r="AM341">
        <f>IFERROR(INDEX(PP_Grid[#Data],$DE341,36),0)</f>
        <v/>
      </c>
      <c r="AN341">
        <f>IFERROR(INDEX(PP_Grid[#Data],$DE341,37),0)</f>
        <v/>
      </c>
      <c r="AO341">
        <f>IFERROR(INDEX(PP_Grid[#Data],$DE341,38),0)</f>
        <v/>
      </c>
      <c r="AP341">
        <f>IFERROR(INDEX(PP_Grid[#Data],$DE341,39),0)</f>
        <v/>
      </c>
      <c r="AQ341">
        <f>IFERROR(INDEX(PP_Grid[#Data],$DE341,40),0)</f>
        <v/>
      </c>
      <c r="AR341">
        <f>IFERROR(INDEX(PP_Grid[#Data],$DE341,41),0)</f>
        <v/>
      </c>
      <c r="AS341">
        <f>IFERROR(INDEX(PP_Grid[#Data],$DE341,42),0)</f>
        <v/>
      </c>
      <c r="AT341">
        <f>IFERROR(INDEX(PP_Grid[#Data],$DE341,43),0)</f>
        <v/>
      </c>
      <c r="AU341">
        <f>IFERROR(INDEX(PP_Grid[#Data],$DE341,44),0)</f>
        <v/>
      </c>
      <c r="AV341">
        <f>IFERROR(INDEX(PP_Grid[#Data],$DE341,45),0)</f>
        <v/>
      </c>
      <c r="AW341">
        <f>IFERROR(INDEX(PP_Grid[#Data],$DE341,46),0)</f>
        <v/>
      </c>
      <c r="AX341">
        <f>IFERROR(INDEX(PP_Grid[#Data],$DE341,47),0)</f>
        <v/>
      </c>
      <c r="AY341">
        <f>IFERROR(INDEX(PP_Grid[#Data],$DE341,48),0)</f>
        <v/>
      </c>
      <c r="AZ341">
        <f>IFERROR(INDEX(PP_Grid[#Data],$DE341,49),0)</f>
        <v/>
      </c>
      <c r="BA341">
        <f>IFERROR(INDEX(PP_Grid[#Data],$DE341,50),0)</f>
        <v/>
      </c>
      <c r="BB341">
        <f>IFERROR(INDEX(PP_Grid[#Data],$DE341,51),0)</f>
        <v/>
      </c>
      <c r="BC341">
        <f>IFERROR(INDEX(PP_Grid[#Data],$DE341,52),0)</f>
        <v/>
      </c>
      <c r="BD341">
        <f>IFERROR(INDEX(PP_Grid[#Data],$DE341,53),0)</f>
        <v/>
      </c>
      <c r="BE341">
        <f>IFERROR(INDEX(PP_Grid[#Data],$DE341,54),0)</f>
        <v/>
      </c>
      <c r="BF341">
        <f>IFERROR(INDEX(PP_Grid[#Data],$DE341,55),0)</f>
        <v/>
      </c>
      <c r="BG341">
        <f>IFERROR(INDEX(PP_Grid[#Data],$DE341,56),0)</f>
        <v/>
      </c>
      <c r="BH341">
        <f>IFERROR(INDEX(PP_Grid[#Data],$DE341,57),0)</f>
        <v/>
      </c>
      <c r="BI341">
        <f>IFERROR(INDEX(PP_Grid[#Data],$DE341,58),0)</f>
        <v/>
      </c>
      <c r="BJ341">
        <f>IFERROR(INDEX(PP_Grid[#Data],$DE341,59),0)</f>
        <v/>
      </c>
      <c r="BK341">
        <f>IFERROR(INDEX(PP_Grid[#Data],$DE341,60),0)</f>
        <v/>
      </c>
      <c r="BL341">
        <f>IFERROR(INDEX(PP_Grid[#Data],$DE341,61),0)</f>
        <v/>
      </c>
      <c r="BM341">
        <f>IFERROR(INDEX(PP_Grid[#Data],$DE341,62),0)</f>
        <v/>
      </c>
      <c r="BN341">
        <f>IFERROR(INDEX(PP_Grid[#Data],$DE341,63),0)</f>
        <v/>
      </c>
      <c r="BO341">
        <f>IFERROR(INDEX(PP_Grid[#Data],$DE341,64),0)</f>
        <v/>
      </c>
      <c r="BP341">
        <f>IFERROR(INDEX(PP_Grid[#Data],$DE341,65),0)</f>
        <v/>
      </c>
      <c r="BQ341">
        <f>IFERROR(INDEX(PP_Grid[#Data],$DE341,66),0)</f>
        <v/>
      </c>
      <c r="BR341">
        <f>IFERROR(INDEX(PP_Grid[#Data],$DE341,67),0)</f>
        <v/>
      </c>
      <c r="BS341">
        <f>IFERROR(INDEX(PP_Grid[#Data],$DE341,68),0)</f>
        <v/>
      </c>
      <c r="BT341">
        <f>IFERROR(INDEX(PP_Grid[#Data],$DE341,69),0)</f>
        <v/>
      </c>
      <c r="BU341">
        <f>IFERROR(INDEX(PP_Grid[#Data],$DE341,70),0)</f>
        <v/>
      </c>
      <c r="BV341">
        <f>IFERROR(INDEX(PP_Grid[#Data],$DE341,71),0)</f>
        <v/>
      </c>
      <c r="BW341">
        <f>IFERROR(INDEX(PP_Grid[#Data],$DE341,72),0)</f>
        <v/>
      </c>
      <c r="BX341">
        <f>IFERROR(INDEX(PP_Grid[#Data],$DE341,73),0)</f>
        <v/>
      </c>
      <c r="BY341">
        <f>IFERROR(INDEX(PP_Grid[#Data],$DE341,74),0)</f>
        <v/>
      </c>
      <c r="BZ341">
        <f>IFERROR(INDEX(PP_Grid[#Data],$DE341,75),0)</f>
        <v/>
      </c>
      <c r="CA341">
        <f>IFERROR(INDEX(PP_Grid[#Data],$DE341,76),0)</f>
        <v/>
      </c>
      <c r="CB341">
        <f>IFERROR(INDEX(PP_Grid[#Data],$DE341,77),0)</f>
        <v/>
      </c>
      <c r="CC341">
        <f>IFERROR(INDEX(PP_Grid[#Data],$DE341,78),0)</f>
        <v/>
      </c>
      <c r="CD341">
        <f>IFERROR(INDEX(PP_Grid[#Data],$DE341,79),0)</f>
        <v/>
      </c>
      <c r="CE341">
        <f>IFERROR(INDEX(PP_Grid[#Data],$DE341,80),0)</f>
        <v/>
      </c>
      <c r="CF341">
        <f>IFERROR(INDEX(PP_Grid[#Data],$DE341,81),0)</f>
        <v/>
      </c>
      <c r="CG341">
        <f>IFERROR(INDEX(PP_Grid[#Data],$DE341,82),0)</f>
        <v/>
      </c>
      <c r="CH341">
        <f>IFERROR(INDEX(PP_Grid[#Data],$DE341,83),0)</f>
        <v/>
      </c>
      <c r="CI341">
        <f>IFERROR(INDEX(PP_Grid[#Data],$DE341,84),0)</f>
        <v/>
      </c>
      <c r="CJ341">
        <f>IFERROR(INDEX(PP_Grid[#Data],$DE341,85),0)</f>
        <v/>
      </c>
      <c r="CK341">
        <f>IFERROR(INDEX(PP_Grid[#Data],$DE341,86),0)</f>
        <v/>
      </c>
      <c r="CL341">
        <f>IFERROR(INDEX(PP_Grid[#Data],$DE341,87),0)</f>
        <v/>
      </c>
      <c r="CM341">
        <f>IFERROR(INDEX(PP_Grid[#Data],$DE341,88),0)</f>
        <v/>
      </c>
      <c r="CN341">
        <f>IFERROR(INDEX(PP_Grid[#Data],$DE341,89),0)</f>
        <v/>
      </c>
      <c r="CO341">
        <f>IFERROR(INDEX(PP_Grid[#Data],$DE341,90),0)</f>
        <v/>
      </c>
      <c r="CP341">
        <f>IFERROR(INDEX(PP_Grid[#Data],$DE341,91),0)</f>
        <v/>
      </c>
      <c r="CQ341">
        <f>IFERROR(INDEX(PP_Grid[#Data],$DE341,92),0)</f>
        <v/>
      </c>
      <c r="CR341">
        <f>IFERROR(INDEX(PP_Grid[#Data],$DE341,93),0)</f>
        <v/>
      </c>
      <c r="CS341">
        <f>IFERROR(INDEX(PP_Grid[#Data],$DE341,94),0)</f>
        <v/>
      </c>
      <c r="CT341">
        <f>IFERROR(INDEX(PP_Grid[#Data],$DE341,95),0)</f>
        <v/>
      </c>
      <c r="CU341">
        <f>IFERROR(INDEX(PP_Grid[#Data],$DE341,96),0)</f>
        <v/>
      </c>
      <c r="CV341">
        <f>IFERROR(INDEX(PP_Grid[#Data],$DE341,97),0)</f>
        <v/>
      </c>
      <c r="CW341">
        <f>IFERROR(INDEX(PP_Grid[#Data],$DE341,98),0)</f>
        <v/>
      </c>
      <c r="CX341">
        <f>IFERROR(INDEX(PP_Grid[#Data],$DE341,99),0)</f>
        <v/>
      </c>
      <c r="CY341">
        <f>IFERROR(INDEX(PP_Grid[#Data],$DE341,100),0)</f>
        <v/>
      </c>
      <c r="CZ341">
        <f>IFERROR(INDEX(PP_Grid[#Data],$DE341,101),0)</f>
        <v/>
      </c>
      <c r="DA341">
        <f>IFERROR(INDEX(PP_Grid[#Data],$DE341,102),0)</f>
        <v/>
      </c>
      <c r="DB341">
        <f>IFERROR(INDEX(PP_Grid[#Data],$DE341,103),0)</f>
        <v/>
      </c>
      <c r="DC341">
        <f>IFERROR(INDEX(PP_Grid[#Data],$DE341,104),0)</f>
        <v/>
      </c>
      <c r="DD341">
        <f>IFERROR(INDEX(PP_Grid[#Data],$DE341,105),0)</f>
        <v/>
      </c>
      <c r="DE341" s="7">
        <f>IFERROR(MATCH($B341,PP_Grid[Intermediate],0),99999)</f>
        <v/>
      </c>
    </row>
    <row r="342">
      <c r="B342" t="inlineStr">
        <is>
          <t>使用量(kg)</t>
        </is>
      </c>
      <c r="C342">
        <f>SUMIFS(M_BOM[RM_Qty_Per_Batch],M_BOM[Intermediate],$B341,M_BOM[RM_Code],$A340)</f>
        <v/>
      </c>
      <c r="D342">
        <f>IFERROR(INDEX(E342:DD342,$F$1),"")</f>
        <v/>
      </c>
      <c r="E342">
        <f>$C342*E341</f>
        <v/>
      </c>
      <c r="F342">
        <f>$C342*F341</f>
        <v/>
      </c>
      <c r="G342">
        <f>$C342*G341</f>
        <v/>
      </c>
      <c r="H342">
        <f>$C342*H341</f>
        <v/>
      </c>
      <c r="I342">
        <f>$C342*I341</f>
        <v/>
      </c>
      <c r="J342">
        <f>$C342*J341</f>
        <v/>
      </c>
      <c r="K342">
        <f>$C342*K341</f>
        <v/>
      </c>
      <c r="L342">
        <f>$C342*L341</f>
        <v/>
      </c>
      <c r="M342">
        <f>$C342*M341</f>
        <v/>
      </c>
      <c r="N342">
        <f>$C342*N341</f>
        <v/>
      </c>
      <c r="O342">
        <f>$C342*O341</f>
        <v/>
      </c>
      <c r="P342">
        <f>$C342*P341</f>
        <v/>
      </c>
      <c r="Q342">
        <f>$C342*Q341</f>
        <v/>
      </c>
      <c r="R342">
        <f>$C342*R341</f>
        <v/>
      </c>
      <c r="S342">
        <f>$C342*S341</f>
        <v/>
      </c>
      <c r="T342">
        <f>$C342*T341</f>
        <v/>
      </c>
      <c r="U342">
        <f>$C342*U341</f>
        <v/>
      </c>
      <c r="V342">
        <f>$C342*V341</f>
        <v/>
      </c>
      <c r="W342">
        <f>$C342*W341</f>
        <v/>
      </c>
      <c r="X342">
        <f>$C342*X341</f>
        <v/>
      </c>
      <c r="Y342">
        <f>$C342*Y341</f>
        <v/>
      </c>
      <c r="Z342">
        <f>$C342*Z341</f>
        <v/>
      </c>
      <c r="AA342">
        <f>$C342*AA341</f>
        <v/>
      </c>
      <c r="AB342">
        <f>$C342*AB341</f>
        <v/>
      </c>
      <c r="AC342">
        <f>$C342*AC341</f>
        <v/>
      </c>
      <c r="AD342">
        <f>$C342*AD341</f>
        <v/>
      </c>
      <c r="AE342">
        <f>$C342*AE341</f>
        <v/>
      </c>
      <c r="AF342">
        <f>$C342*AF341</f>
        <v/>
      </c>
      <c r="AG342">
        <f>$C342*AG341</f>
        <v/>
      </c>
      <c r="AH342">
        <f>$C342*AH341</f>
        <v/>
      </c>
      <c r="AI342">
        <f>$C342*AI341</f>
        <v/>
      </c>
      <c r="AJ342">
        <f>$C342*AJ341</f>
        <v/>
      </c>
      <c r="AK342">
        <f>$C342*AK341</f>
        <v/>
      </c>
      <c r="AL342">
        <f>$C342*AL341</f>
        <v/>
      </c>
      <c r="AM342">
        <f>$C342*AM341</f>
        <v/>
      </c>
      <c r="AN342">
        <f>$C342*AN341</f>
        <v/>
      </c>
      <c r="AO342">
        <f>$C342*AO341</f>
        <v/>
      </c>
      <c r="AP342">
        <f>$C342*AP341</f>
        <v/>
      </c>
      <c r="AQ342">
        <f>$C342*AQ341</f>
        <v/>
      </c>
      <c r="AR342">
        <f>$C342*AR341</f>
        <v/>
      </c>
      <c r="AS342">
        <f>$C342*AS341</f>
        <v/>
      </c>
      <c r="AT342">
        <f>$C342*AT341</f>
        <v/>
      </c>
      <c r="AU342">
        <f>$C342*AU341</f>
        <v/>
      </c>
      <c r="AV342">
        <f>$C342*AV341</f>
        <v/>
      </c>
      <c r="AW342">
        <f>$C342*AW341</f>
        <v/>
      </c>
      <c r="AX342">
        <f>$C342*AX341</f>
        <v/>
      </c>
      <c r="AY342">
        <f>$C342*AY341</f>
        <v/>
      </c>
      <c r="AZ342">
        <f>$C342*AZ341</f>
        <v/>
      </c>
      <c r="BA342">
        <f>$C342*BA341</f>
        <v/>
      </c>
      <c r="BB342">
        <f>$C342*BB341</f>
        <v/>
      </c>
      <c r="BC342">
        <f>$C342*BC341</f>
        <v/>
      </c>
      <c r="BD342">
        <f>$C342*BD341</f>
        <v/>
      </c>
      <c r="BE342">
        <f>$C342*BE341</f>
        <v/>
      </c>
      <c r="BF342">
        <f>$C342*BF341</f>
        <v/>
      </c>
      <c r="BG342">
        <f>$C342*BG341</f>
        <v/>
      </c>
      <c r="BH342">
        <f>$C342*BH341</f>
        <v/>
      </c>
      <c r="BI342">
        <f>$C342*BI341</f>
        <v/>
      </c>
      <c r="BJ342">
        <f>$C342*BJ341</f>
        <v/>
      </c>
      <c r="BK342">
        <f>$C342*BK341</f>
        <v/>
      </c>
      <c r="BL342">
        <f>$C342*BL341</f>
        <v/>
      </c>
      <c r="BM342">
        <f>$C342*BM341</f>
        <v/>
      </c>
      <c r="BN342">
        <f>$C342*BN341</f>
        <v/>
      </c>
      <c r="BO342">
        <f>$C342*BO341</f>
        <v/>
      </c>
      <c r="BP342">
        <f>$C342*BP341</f>
        <v/>
      </c>
      <c r="BQ342">
        <f>$C342*BQ341</f>
        <v/>
      </c>
      <c r="BR342">
        <f>$C342*BR341</f>
        <v/>
      </c>
      <c r="BS342">
        <f>$C342*BS341</f>
        <v/>
      </c>
      <c r="BT342">
        <f>$C342*BT341</f>
        <v/>
      </c>
      <c r="BU342">
        <f>$C342*BU341</f>
        <v/>
      </c>
      <c r="BV342">
        <f>$C342*BV341</f>
        <v/>
      </c>
      <c r="BW342">
        <f>$C342*BW341</f>
        <v/>
      </c>
      <c r="BX342">
        <f>$C342*BX341</f>
        <v/>
      </c>
      <c r="BY342">
        <f>$C342*BY341</f>
        <v/>
      </c>
      <c r="BZ342">
        <f>$C342*BZ341</f>
        <v/>
      </c>
      <c r="CA342">
        <f>$C342*CA341</f>
        <v/>
      </c>
      <c r="CB342">
        <f>$C342*CB341</f>
        <v/>
      </c>
      <c r="CC342">
        <f>$C342*CC341</f>
        <v/>
      </c>
      <c r="CD342">
        <f>$C342*CD341</f>
        <v/>
      </c>
      <c r="CE342">
        <f>$C342*CE341</f>
        <v/>
      </c>
      <c r="CF342">
        <f>$C342*CF341</f>
        <v/>
      </c>
      <c r="CG342">
        <f>$C342*CG341</f>
        <v/>
      </c>
      <c r="CH342">
        <f>$C342*CH341</f>
        <v/>
      </c>
      <c r="CI342">
        <f>$C342*CI341</f>
        <v/>
      </c>
      <c r="CJ342">
        <f>$C342*CJ341</f>
        <v/>
      </c>
      <c r="CK342">
        <f>$C342*CK341</f>
        <v/>
      </c>
      <c r="CL342">
        <f>$C342*CL341</f>
        <v/>
      </c>
      <c r="CM342">
        <f>$C342*CM341</f>
        <v/>
      </c>
      <c r="CN342">
        <f>$C342*CN341</f>
        <v/>
      </c>
      <c r="CO342">
        <f>$C342*CO341</f>
        <v/>
      </c>
      <c r="CP342">
        <f>$C342*CP341</f>
        <v/>
      </c>
      <c r="CQ342">
        <f>$C342*CQ341</f>
        <v/>
      </c>
      <c r="CR342">
        <f>$C342*CR341</f>
        <v/>
      </c>
      <c r="CS342">
        <f>$C342*CS341</f>
        <v/>
      </c>
      <c r="CT342">
        <f>$C342*CT341</f>
        <v/>
      </c>
      <c r="CU342">
        <f>$C342*CU341</f>
        <v/>
      </c>
      <c r="CV342">
        <f>$C342*CV341</f>
        <v/>
      </c>
      <c r="CW342">
        <f>$C342*CW341</f>
        <v/>
      </c>
      <c r="CX342">
        <f>$C342*CX341</f>
        <v/>
      </c>
      <c r="CY342">
        <f>$C342*CY341</f>
        <v/>
      </c>
      <c r="CZ342">
        <f>$C342*CZ341</f>
        <v/>
      </c>
      <c r="DA342">
        <f>$C342*DA341</f>
        <v/>
      </c>
      <c r="DB342">
        <f>$C342*DB341</f>
        <v/>
      </c>
      <c r="DC342">
        <f>$C342*DC341</f>
        <v/>
      </c>
      <c r="DD342">
        <f>$C342*DD341</f>
        <v/>
      </c>
    </row>
    <row r="343">
      <c r="B343" t="inlineStr">
        <is>
          <t>TSP-050</t>
        </is>
      </c>
      <c r="C343" t="inlineStr">
        <is>
          <t>No. of batches</t>
        </is>
      </c>
      <c r="D343">
        <f>IFERROR(INDEX(E343:DD343,$F$1),"")</f>
        <v/>
      </c>
      <c r="E343">
        <f>IFERROR(INDEX(PP_Grid[#Data],$DE343,2),0)</f>
        <v/>
      </c>
      <c r="F343">
        <f>IFERROR(INDEX(PP_Grid[#Data],$DE343,3),0)</f>
        <v/>
      </c>
      <c r="G343">
        <f>IFERROR(INDEX(PP_Grid[#Data],$DE343,4),0)</f>
        <v/>
      </c>
      <c r="H343">
        <f>IFERROR(INDEX(PP_Grid[#Data],$DE343,5),0)</f>
        <v/>
      </c>
      <c r="I343">
        <f>IFERROR(INDEX(PP_Grid[#Data],$DE343,6),0)</f>
        <v/>
      </c>
      <c r="J343">
        <f>IFERROR(INDEX(PP_Grid[#Data],$DE343,7),0)</f>
        <v/>
      </c>
      <c r="K343">
        <f>IFERROR(INDEX(PP_Grid[#Data],$DE343,8),0)</f>
        <v/>
      </c>
      <c r="L343">
        <f>IFERROR(INDEX(PP_Grid[#Data],$DE343,9),0)</f>
        <v/>
      </c>
      <c r="M343">
        <f>IFERROR(INDEX(PP_Grid[#Data],$DE343,10),0)</f>
        <v/>
      </c>
      <c r="N343">
        <f>IFERROR(INDEX(PP_Grid[#Data],$DE343,11),0)</f>
        <v/>
      </c>
      <c r="O343">
        <f>IFERROR(INDEX(PP_Grid[#Data],$DE343,12),0)</f>
        <v/>
      </c>
      <c r="P343">
        <f>IFERROR(INDEX(PP_Grid[#Data],$DE343,13),0)</f>
        <v/>
      </c>
      <c r="Q343">
        <f>IFERROR(INDEX(PP_Grid[#Data],$DE343,14),0)</f>
        <v/>
      </c>
      <c r="R343">
        <f>IFERROR(INDEX(PP_Grid[#Data],$DE343,15),0)</f>
        <v/>
      </c>
      <c r="S343">
        <f>IFERROR(INDEX(PP_Grid[#Data],$DE343,16),0)</f>
        <v/>
      </c>
      <c r="T343">
        <f>IFERROR(INDEX(PP_Grid[#Data],$DE343,17),0)</f>
        <v/>
      </c>
      <c r="U343">
        <f>IFERROR(INDEX(PP_Grid[#Data],$DE343,18),0)</f>
        <v/>
      </c>
      <c r="V343">
        <f>IFERROR(INDEX(PP_Grid[#Data],$DE343,19),0)</f>
        <v/>
      </c>
      <c r="W343">
        <f>IFERROR(INDEX(PP_Grid[#Data],$DE343,20),0)</f>
        <v/>
      </c>
      <c r="X343">
        <f>IFERROR(INDEX(PP_Grid[#Data],$DE343,21),0)</f>
        <v/>
      </c>
      <c r="Y343">
        <f>IFERROR(INDEX(PP_Grid[#Data],$DE343,22),0)</f>
        <v/>
      </c>
      <c r="Z343">
        <f>IFERROR(INDEX(PP_Grid[#Data],$DE343,23),0)</f>
        <v/>
      </c>
      <c r="AA343">
        <f>IFERROR(INDEX(PP_Grid[#Data],$DE343,24),0)</f>
        <v/>
      </c>
      <c r="AB343">
        <f>IFERROR(INDEX(PP_Grid[#Data],$DE343,25),0)</f>
        <v/>
      </c>
      <c r="AC343">
        <f>IFERROR(INDEX(PP_Grid[#Data],$DE343,26),0)</f>
        <v/>
      </c>
      <c r="AD343">
        <f>IFERROR(INDEX(PP_Grid[#Data],$DE343,27),0)</f>
        <v/>
      </c>
      <c r="AE343">
        <f>IFERROR(INDEX(PP_Grid[#Data],$DE343,28),0)</f>
        <v/>
      </c>
      <c r="AF343">
        <f>IFERROR(INDEX(PP_Grid[#Data],$DE343,29),0)</f>
        <v/>
      </c>
      <c r="AG343">
        <f>IFERROR(INDEX(PP_Grid[#Data],$DE343,30),0)</f>
        <v/>
      </c>
      <c r="AH343">
        <f>IFERROR(INDEX(PP_Grid[#Data],$DE343,31),0)</f>
        <v/>
      </c>
      <c r="AI343">
        <f>IFERROR(INDEX(PP_Grid[#Data],$DE343,32),0)</f>
        <v/>
      </c>
      <c r="AJ343">
        <f>IFERROR(INDEX(PP_Grid[#Data],$DE343,33),0)</f>
        <v/>
      </c>
      <c r="AK343">
        <f>IFERROR(INDEX(PP_Grid[#Data],$DE343,34),0)</f>
        <v/>
      </c>
      <c r="AL343">
        <f>IFERROR(INDEX(PP_Grid[#Data],$DE343,35),0)</f>
        <v/>
      </c>
      <c r="AM343">
        <f>IFERROR(INDEX(PP_Grid[#Data],$DE343,36),0)</f>
        <v/>
      </c>
      <c r="AN343">
        <f>IFERROR(INDEX(PP_Grid[#Data],$DE343,37),0)</f>
        <v/>
      </c>
      <c r="AO343">
        <f>IFERROR(INDEX(PP_Grid[#Data],$DE343,38),0)</f>
        <v/>
      </c>
      <c r="AP343">
        <f>IFERROR(INDEX(PP_Grid[#Data],$DE343,39),0)</f>
        <v/>
      </c>
      <c r="AQ343">
        <f>IFERROR(INDEX(PP_Grid[#Data],$DE343,40),0)</f>
        <v/>
      </c>
      <c r="AR343">
        <f>IFERROR(INDEX(PP_Grid[#Data],$DE343,41),0)</f>
        <v/>
      </c>
      <c r="AS343">
        <f>IFERROR(INDEX(PP_Grid[#Data],$DE343,42),0)</f>
        <v/>
      </c>
      <c r="AT343">
        <f>IFERROR(INDEX(PP_Grid[#Data],$DE343,43),0)</f>
        <v/>
      </c>
      <c r="AU343">
        <f>IFERROR(INDEX(PP_Grid[#Data],$DE343,44),0)</f>
        <v/>
      </c>
      <c r="AV343">
        <f>IFERROR(INDEX(PP_Grid[#Data],$DE343,45),0)</f>
        <v/>
      </c>
      <c r="AW343">
        <f>IFERROR(INDEX(PP_Grid[#Data],$DE343,46),0)</f>
        <v/>
      </c>
      <c r="AX343">
        <f>IFERROR(INDEX(PP_Grid[#Data],$DE343,47),0)</f>
        <v/>
      </c>
      <c r="AY343">
        <f>IFERROR(INDEX(PP_Grid[#Data],$DE343,48),0)</f>
        <v/>
      </c>
      <c r="AZ343">
        <f>IFERROR(INDEX(PP_Grid[#Data],$DE343,49),0)</f>
        <v/>
      </c>
      <c r="BA343">
        <f>IFERROR(INDEX(PP_Grid[#Data],$DE343,50),0)</f>
        <v/>
      </c>
      <c r="BB343">
        <f>IFERROR(INDEX(PP_Grid[#Data],$DE343,51),0)</f>
        <v/>
      </c>
      <c r="BC343">
        <f>IFERROR(INDEX(PP_Grid[#Data],$DE343,52),0)</f>
        <v/>
      </c>
      <c r="BD343">
        <f>IFERROR(INDEX(PP_Grid[#Data],$DE343,53),0)</f>
        <v/>
      </c>
      <c r="BE343">
        <f>IFERROR(INDEX(PP_Grid[#Data],$DE343,54),0)</f>
        <v/>
      </c>
      <c r="BF343">
        <f>IFERROR(INDEX(PP_Grid[#Data],$DE343,55),0)</f>
        <v/>
      </c>
      <c r="BG343">
        <f>IFERROR(INDEX(PP_Grid[#Data],$DE343,56),0)</f>
        <v/>
      </c>
      <c r="BH343">
        <f>IFERROR(INDEX(PP_Grid[#Data],$DE343,57),0)</f>
        <v/>
      </c>
      <c r="BI343">
        <f>IFERROR(INDEX(PP_Grid[#Data],$DE343,58),0)</f>
        <v/>
      </c>
      <c r="BJ343">
        <f>IFERROR(INDEX(PP_Grid[#Data],$DE343,59),0)</f>
        <v/>
      </c>
      <c r="BK343">
        <f>IFERROR(INDEX(PP_Grid[#Data],$DE343,60),0)</f>
        <v/>
      </c>
      <c r="BL343">
        <f>IFERROR(INDEX(PP_Grid[#Data],$DE343,61),0)</f>
        <v/>
      </c>
      <c r="BM343">
        <f>IFERROR(INDEX(PP_Grid[#Data],$DE343,62),0)</f>
        <v/>
      </c>
      <c r="BN343">
        <f>IFERROR(INDEX(PP_Grid[#Data],$DE343,63),0)</f>
        <v/>
      </c>
      <c r="BO343">
        <f>IFERROR(INDEX(PP_Grid[#Data],$DE343,64),0)</f>
        <v/>
      </c>
      <c r="BP343">
        <f>IFERROR(INDEX(PP_Grid[#Data],$DE343,65),0)</f>
        <v/>
      </c>
      <c r="BQ343">
        <f>IFERROR(INDEX(PP_Grid[#Data],$DE343,66),0)</f>
        <v/>
      </c>
      <c r="BR343">
        <f>IFERROR(INDEX(PP_Grid[#Data],$DE343,67),0)</f>
        <v/>
      </c>
      <c r="BS343">
        <f>IFERROR(INDEX(PP_Grid[#Data],$DE343,68),0)</f>
        <v/>
      </c>
      <c r="BT343">
        <f>IFERROR(INDEX(PP_Grid[#Data],$DE343,69),0)</f>
        <v/>
      </c>
      <c r="BU343">
        <f>IFERROR(INDEX(PP_Grid[#Data],$DE343,70),0)</f>
        <v/>
      </c>
      <c r="BV343">
        <f>IFERROR(INDEX(PP_Grid[#Data],$DE343,71),0)</f>
        <v/>
      </c>
      <c r="BW343">
        <f>IFERROR(INDEX(PP_Grid[#Data],$DE343,72),0)</f>
        <v/>
      </c>
      <c r="BX343">
        <f>IFERROR(INDEX(PP_Grid[#Data],$DE343,73),0)</f>
        <v/>
      </c>
      <c r="BY343">
        <f>IFERROR(INDEX(PP_Grid[#Data],$DE343,74),0)</f>
        <v/>
      </c>
      <c r="BZ343">
        <f>IFERROR(INDEX(PP_Grid[#Data],$DE343,75),0)</f>
        <v/>
      </c>
      <c r="CA343">
        <f>IFERROR(INDEX(PP_Grid[#Data],$DE343,76),0)</f>
        <v/>
      </c>
      <c r="CB343">
        <f>IFERROR(INDEX(PP_Grid[#Data],$DE343,77),0)</f>
        <v/>
      </c>
      <c r="CC343">
        <f>IFERROR(INDEX(PP_Grid[#Data],$DE343,78),0)</f>
        <v/>
      </c>
      <c r="CD343">
        <f>IFERROR(INDEX(PP_Grid[#Data],$DE343,79),0)</f>
        <v/>
      </c>
      <c r="CE343">
        <f>IFERROR(INDEX(PP_Grid[#Data],$DE343,80),0)</f>
        <v/>
      </c>
      <c r="CF343">
        <f>IFERROR(INDEX(PP_Grid[#Data],$DE343,81),0)</f>
        <v/>
      </c>
      <c r="CG343">
        <f>IFERROR(INDEX(PP_Grid[#Data],$DE343,82),0)</f>
        <v/>
      </c>
      <c r="CH343">
        <f>IFERROR(INDEX(PP_Grid[#Data],$DE343,83),0)</f>
        <v/>
      </c>
      <c r="CI343">
        <f>IFERROR(INDEX(PP_Grid[#Data],$DE343,84),0)</f>
        <v/>
      </c>
      <c r="CJ343">
        <f>IFERROR(INDEX(PP_Grid[#Data],$DE343,85),0)</f>
        <v/>
      </c>
      <c r="CK343">
        <f>IFERROR(INDEX(PP_Grid[#Data],$DE343,86),0)</f>
        <v/>
      </c>
      <c r="CL343">
        <f>IFERROR(INDEX(PP_Grid[#Data],$DE343,87),0)</f>
        <v/>
      </c>
      <c r="CM343">
        <f>IFERROR(INDEX(PP_Grid[#Data],$DE343,88),0)</f>
        <v/>
      </c>
      <c r="CN343">
        <f>IFERROR(INDEX(PP_Grid[#Data],$DE343,89),0)</f>
        <v/>
      </c>
      <c r="CO343">
        <f>IFERROR(INDEX(PP_Grid[#Data],$DE343,90),0)</f>
        <v/>
      </c>
      <c r="CP343">
        <f>IFERROR(INDEX(PP_Grid[#Data],$DE343,91),0)</f>
        <v/>
      </c>
      <c r="CQ343">
        <f>IFERROR(INDEX(PP_Grid[#Data],$DE343,92),0)</f>
        <v/>
      </c>
      <c r="CR343">
        <f>IFERROR(INDEX(PP_Grid[#Data],$DE343,93),0)</f>
        <v/>
      </c>
      <c r="CS343">
        <f>IFERROR(INDEX(PP_Grid[#Data],$DE343,94),0)</f>
        <v/>
      </c>
      <c r="CT343">
        <f>IFERROR(INDEX(PP_Grid[#Data],$DE343,95),0)</f>
        <v/>
      </c>
      <c r="CU343">
        <f>IFERROR(INDEX(PP_Grid[#Data],$DE343,96),0)</f>
        <v/>
      </c>
      <c r="CV343">
        <f>IFERROR(INDEX(PP_Grid[#Data],$DE343,97),0)</f>
        <v/>
      </c>
      <c r="CW343">
        <f>IFERROR(INDEX(PP_Grid[#Data],$DE343,98),0)</f>
        <v/>
      </c>
      <c r="CX343">
        <f>IFERROR(INDEX(PP_Grid[#Data],$DE343,99),0)</f>
        <v/>
      </c>
      <c r="CY343">
        <f>IFERROR(INDEX(PP_Grid[#Data],$DE343,100),0)</f>
        <v/>
      </c>
      <c r="CZ343">
        <f>IFERROR(INDEX(PP_Grid[#Data],$DE343,101),0)</f>
        <v/>
      </c>
      <c r="DA343">
        <f>IFERROR(INDEX(PP_Grid[#Data],$DE343,102),0)</f>
        <v/>
      </c>
      <c r="DB343">
        <f>IFERROR(INDEX(PP_Grid[#Data],$DE343,103),0)</f>
        <v/>
      </c>
      <c r="DC343">
        <f>IFERROR(INDEX(PP_Grid[#Data],$DE343,104),0)</f>
        <v/>
      </c>
      <c r="DD343">
        <f>IFERROR(INDEX(PP_Grid[#Data],$DE343,105),0)</f>
        <v/>
      </c>
      <c r="DE343" s="7">
        <f>IFERROR(MATCH($B343,PP_Grid[Intermediate],0),99999)</f>
        <v/>
      </c>
    </row>
    <row r="344">
      <c r="B344" t="inlineStr">
        <is>
          <t>使用量(kg)</t>
        </is>
      </c>
      <c r="C344">
        <f>SUMIFS(M_BOM[RM_Qty_Per_Batch],M_BOM[Intermediate],$B343,M_BOM[RM_Code],$A340)</f>
        <v/>
      </c>
      <c r="D344">
        <f>IFERROR(INDEX(E344:DD344,$F$1),"")</f>
        <v/>
      </c>
      <c r="E344">
        <f>$C344*E343</f>
        <v/>
      </c>
      <c r="F344">
        <f>$C344*F343</f>
        <v/>
      </c>
      <c r="G344">
        <f>$C344*G343</f>
        <v/>
      </c>
      <c r="H344">
        <f>$C344*H343</f>
        <v/>
      </c>
      <c r="I344">
        <f>$C344*I343</f>
        <v/>
      </c>
      <c r="J344">
        <f>$C344*J343</f>
        <v/>
      </c>
      <c r="K344">
        <f>$C344*K343</f>
        <v/>
      </c>
      <c r="L344">
        <f>$C344*L343</f>
        <v/>
      </c>
      <c r="M344">
        <f>$C344*M343</f>
        <v/>
      </c>
      <c r="N344">
        <f>$C344*N343</f>
        <v/>
      </c>
      <c r="O344">
        <f>$C344*O343</f>
        <v/>
      </c>
      <c r="P344">
        <f>$C344*P343</f>
        <v/>
      </c>
      <c r="Q344">
        <f>$C344*Q343</f>
        <v/>
      </c>
      <c r="R344">
        <f>$C344*R343</f>
        <v/>
      </c>
      <c r="S344">
        <f>$C344*S343</f>
        <v/>
      </c>
      <c r="T344">
        <f>$C344*T343</f>
        <v/>
      </c>
      <c r="U344">
        <f>$C344*U343</f>
        <v/>
      </c>
      <c r="V344">
        <f>$C344*V343</f>
        <v/>
      </c>
      <c r="W344">
        <f>$C344*W343</f>
        <v/>
      </c>
      <c r="X344">
        <f>$C344*X343</f>
        <v/>
      </c>
      <c r="Y344">
        <f>$C344*Y343</f>
        <v/>
      </c>
      <c r="Z344">
        <f>$C344*Z343</f>
        <v/>
      </c>
      <c r="AA344">
        <f>$C344*AA343</f>
        <v/>
      </c>
      <c r="AB344">
        <f>$C344*AB343</f>
        <v/>
      </c>
      <c r="AC344">
        <f>$C344*AC343</f>
        <v/>
      </c>
      <c r="AD344">
        <f>$C344*AD343</f>
        <v/>
      </c>
      <c r="AE344">
        <f>$C344*AE343</f>
        <v/>
      </c>
      <c r="AF344">
        <f>$C344*AF343</f>
        <v/>
      </c>
      <c r="AG344">
        <f>$C344*AG343</f>
        <v/>
      </c>
      <c r="AH344">
        <f>$C344*AH343</f>
        <v/>
      </c>
      <c r="AI344">
        <f>$C344*AI343</f>
        <v/>
      </c>
      <c r="AJ344">
        <f>$C344*AJ343</f>
        <v/>
      </c>
      <c r="AK344">
        <f>$C344*AK343</f>
        <v/>
      </c>
      <c r="AL344">
        <f>$C344*AL343</f>
        <v/>
      </c>
      <c r="AM344">
        <f>$C344*AM343</f>
        <v/>
      </c>
      <c r="AN344">
        <f>$C344*AN343</f>
        <v/>
      </c>
      <c r="AO344">
        <f>$C344*AO343</f>
        <v/>
      </c>
      <c r="AP344">
        <f>$C344*AP343</f>
        <v/>
      </c>
      <c r="AQ344">
        <f>$C344*AQ343</f>
        <v/>
      </c>
      <c r="AR344">
        <f>$C344*AR343</f>
        <v/>
      </c>
      <c r="AS344">
        <f>$C344*AS343</f>
        <v/>
      </c>
      <c r="AT344">
        <f>$C344*AT343</f>
        <v/>
      </c>
      <c r="AU344">
        <f>$C344*AU343</f>
        <v/>
      </c>
      <c r="AV344">
        <f>$C344*AV343</f>
        <v/>
      </c>
      <c r="AW344">
        <f>$C344*AW343</f>
        <v/>
      </c>
      <c r="AX344">
        <f>$C344*AX343</f>
        <v/>
      </c>
      <c r="AY344">
        <f>$C344*AY343</f>
        <v/>
      </c>
      <c r="AZ344">
        <f>$C344*AZ343</f>
        <v/>
      </c>
      <c r="BA344">
        <f>$C344*BA343</f>
        <v/>
      </c>
      <c r="BB344">
        <f>$C344*BB343</f>
        <v/>
      </c>
      <c r="BC344">
        <f>$C344*BC343</f>
        <v/>
      </c>
      <c r="BD344">
        <f>$C344*BD343</f>
        <v/>
      </c>
      <c r="BE344">
        <f>$C344*BE343</f>
        <v/>
      </c>
      <c r="BF344">
        <f>$C344*BF343</f>
        <v/>
      </c>
      <c r="BG344">
        <f>$C344*BG343</f>
        <v/>
      </c>
      <c r="BH344">
        <f>$C344*BH343</f>
        <v/>
      </c>
      <c r="BI344">
        <f>$C344*BI343</f>
        <v/>
      </c>
      <c r="BJ344">
        <f>$C344*BJ343</f>
        <v/>
      </c>
      <c r="BK344">
        <f>$C344*BK343</f>
        <v/>
      </c>
      <c r="BL344">
        <f>$C344*BL343</f>
        <v/>
      </c>
      <c r="BM344">
        <f>$C344*BM343</f>
        <v/>
      </c>
      <c r="BN344">
        <f>$C344*BN343</f>
        <v/>
      </c>
      <c r="BO344">
        <f>$C344*BO343</f>
        <v/>
      </c>
      <c r="BP344">
        <f>$C344*BP343</f>
        <v/>
      </c>
      <c r="BQ344">
        <f>$C344*BQ343</f>
        <v/>
      </c>
      <c r="BR344">
        <f>$C344*BR343</f>
        <v/>
      </c>
      <c r="BS344">
        <f>$C344*BS343</f>
        <v/>
      </c>
      <c r="BT344">
        <f>$C344*BT343</f>
        <v/>
      </c>
      <c r="BU344">
        <f>$C344*BU343</f>
        <v/>
      </c>
      <c r="BV344">
        <f>$C344*BV343</f>
        <v/>
      </c>
      <c r="BW344">
        <f>$C344*BW343</f>
        <v/>
      </c>
      <c r="BX344">
        <f>$C344*BX343</f>
        <v/>
      </c>
      <c r="BY344">
        <f>$C344*BY343</f>
        <v/>
      </c>
      <c r="BZ344">
        <f>$C344*BZ343</f>
        <v/>
      </c>
      <c r="CA344">
        <f>$C344*CA343</f>
        <v/>
      </c>
      <c r="CB344">
        <f>$C344*CB343</f>
        <v/>
      </c>
      <c r="CC344">
        <f>$C344*CC343</f>
        <v/>
      </c>
      <c r="CD344">
        <f>$C344*CD343</f>
        <v/>
      </c>
      <c r="CE344">
        <f>$C344*CE343</f>
        <v/>
      </c>
      <c r="CF344">
        <f>$C344*CF343</f>
        <v/>
      </c>
      <c r="CG344">
        <f>$C344*CG343</f>
        <v/>
      </c>
      <c r="CH344">
        <f>$C344*CH343</f>
        <v/>
      </c>
      <c r="CI344">
        <f>$C344*CI343</f>
        <v/>
      </c>
      <c r="CJ344">
        <f>$C344*CJ343</f>
        <v/>
      </c>
      <c r="CK344">
        <f>$C344*CK343</f>
        <v/>
      </c>
      <c r="CL344">
        <f>$C344*CL343</f>
        <v/>
      </c>
      <c r="CM344">
        <f>$C344*CM343</f>
        <v/>
      </c>
      <c r="CN344">
        <f>$C344*CN343</f>
        <v/>
      </c>
      <c r="CO344">
        <f>$C344*CO343</f>
        <v/>
      </c>
      <c r="CP344">
        <f>$C344*CP343</f>
        <v/>
      </c>
      <c r="CQ344">
        <f>$C344*CQ343</f>
        <v/>
      </c>
      <c r="CR344">
        <f>$C344*CR343</f>
        <v/>
      </c>
      <c r="CS344">
        <f>$C344*CS343</f>
        <v/>
      </c>
      <c r="CT344">
        <f>$C344*CT343</f>
        <v/>
      </c>
      <c r="CU344">
        <f>$C344*CU343</f>
        <v/>
      </c>
      <c r="CV344">
        <f>$C344*CV343</f>
        <v/>
      </c>
      <c r="CW344">
        <f>$C344*CW343</f>
        <v/>
      </c>
      <c r="CX344">
        <f>$C344*CX343</f>
        <v/>
      </c>
      <c r="CY344">
        <f>$C344*CY343</f>
        <v/>
      </c>
      <c r="CZ344">
        <f>$C344*CZ343</f>
        <v/>
      </c>
      <c r="DA344">
        <f>$C344*DA343</f>
        <v/>
      </c>
      <c r="DB344">
        <f>$C344*DB343</f>
        <v/>
      </c>
      <c r="DC344">
        <f>$C344*DC343</f>
        <v/>
      </c>
      <c r="DD344">
        <f>$C344*DD343</f>
        <v/>
      </c>
    </row>
    <row r="345">
      <c r="B345" t="inlineStr">
        <is>
          <t>TSP-067</t>
        </is>
      </c>
      <c r="C345" t="inlineStr">
        <is>
          <t>No. of batches</t>
        </is>
      </c>
      <c r="D345">
        <f>IFERROR(INDEX(E345:DD345,$F$1),"")</f>
        <v/>
      </c>
      <c r="E345">
        <f>IFERROR(INDEX(PP_Grid[#Data],$DE345,2),0)</f>
        <v/>
      </c>
      <c r="F345">
        <f>IFERROR(INDEX(PP_Grid[#Data],$DE345,3),0)</f>
        <v/>
      </c>
      <c r="G345">
        <f>IFERROR(INDEX(PP_Grid[#Data],$DE345,4),0)</f>
        <v/>
      </c>
      <c r="H345">
        <f>IFERROR(INDEX(PP_Grid[#Data],$DE345,5),0)</f>
        <v/>
      </c>
      <c r="I345">
        <f>IFERROR(INDEX(PP_Grid[#Data],$DE345,6),0)</f>
        <v/>
      </c>
      <c r="J345">
        <f>IFERROR(INDEX(PP_Grid[#Data],$DE345,7),0)</f>
        <v/>
      </c>
      <c r="K345">
        <f>IFERROR(INDEX(PP_Grid[#Data],$DE345,8),0)</f>
        <v/>
      </c>
      <c r="L345">
        <f>IFERROR(INDEX(PP_Grid[#Data],$DE345,9),0)</f>
        <v/>
      </c>
      <c r="M345">
        <f>IFERROR(INDEX(PP_Grid[#Data],$DE345,10),0)</f>
        <v/>
      </c>
      <c r="N345">
        <f>IFERROR(INDEX(PP_Grid[#Data],$DE345,11),0)</f>
        <v/>
      </c>
      <c r="O345">
        <f>IFERROR(INDEX(PP_Grid[#Data],$DE345,12),0)</f>
        <v/>
      </c>
      <c r="P345">
        <f>IFERROR(INDEX(PP_Grid[#Data],$DE345,13),0)</f>
        <v/>
      </c>
      <c r="Q345">
        <f>IFERROR(INDEX(PP_Grid[#Data],$DE345,14),0)</f>
        <v/>
      </c>
      <c r="R345">
        <f>IFERROR(INDEX(PP_Grid[#Data],$DE345,15),0)</f>
        <v/>
      </c>
      <c r="S345">
        <f>IFERROR(INDEX(PP_Grid[#Data],$DE345,16),0)</f>
        <v/>
      </c>
      <c r="T345">
        <f>IFERROR(INDEX(PP_Grid[#Data],$DE345,17),0)</f>
        <v/>
      </c>
      <c r="U345">
        <f>IFERROR(INDEX(PP_Grid[#Data],$DE345,18),0)</f>
        <v/>
      </c>
      <c r="V345">
        <f>IFERROR(INDEX(PP_Grid[#Data],$DE345,19),0)</f>
        <v/>
      </c>
      <c r="W345">
        <f>IFERROR(INDEX(PP_Grid[#Data],$DE345,20),0)</f>
        <v/>
      </c>
      <c r="X345">
        <f>IFERROR(INDEX(PP_Grid[#Data],$DE345,21),0)</f>
        <v/>
      </c>
      <c r="Y345">
        <f>IFERROR(INDEX(PP_Grid[#Data],$DE345,22),0)</f>
        <v/>
      </c>
      <c r="Z345">
        <f>IFERROR(INDEX(PP_Grid[#Data],$DE345,23),0)</f>
        <v/>
      </c>
      <c r="AA345">
        <f>IFERROR(INDEX(PP_Grid[#Data],$DE345,24),0)</f>
        <v/>
      </c>
      <c r="AB345">
        <f>IFERROR(INDEX(PP_Grid[#Data],$DE345,25),0)</f>
        <v/>
      </c>
      <c r="AC345">
        <f>IFERROR(INDEX(PP_Grid[#Data],$DE345,26),0)</f>
        <v/>
      </c>
      <c r="AD345">
        <f>IFERROR(INDEX(PP_Grid[#Data],$DE345,27),0)</f>
        <v/>
      </c>
      <c r="AE345">
        <f>IFERROR(INDEX(PP_Grid[#Data],$DE345,28),0)</f>
        <v/>
      </c>
      <c r="AF345">
        <f>IFERROR(INDEX(PP_Grid[#Data],$DE345,29),0)</f>
        <v/>
      </c>
      <c r="AG345">
        <f>IFERROR(INDEX(PP_Grid[#Data],$DE345,30),0)</f>
        <v/>
      </c>
      <c r="AH345">
        <f>IFERROR(INDEX(PP_Grid[#Data],$DE345,31),0)</f>
        <v/>
      </c>
      <c r="AI345">
        <f>IFERROR(INDEX(PP_Grid[#Data],$DE345,32),0)</f>
        <v/>
      </c>
      <c r="AJ345">
        <f>IFERROR(INDEX(PP_Grid[#Data],$DE345,33),0)</f>
        <v/>
      </c>
      <c r="AK345">
        <f>IFERROR(INDEX(PP_Grid[#Data],$DE345,34),0)</f>
        <v/>
      </c>
      <c r="AL345">
        <f>IFERROR(INDEX(PP_Grid[#Data],$DE345,35),0)</f>
        <v/>
      </c>
      <c r="AM345">
        <f>IFERROR(INDEX(PP_Grid[#Data],$DE345,36),0)</f>
        <v/>
      </c>
      <c r="AN345">
        <f>IFERROR(INDEX(PP_Grid[#Data],$DE345,37),0)</f>
        <v/>
      </c>
      <c r="AO345">
        <f>IFERROR(INDEX(PP_Grid[#Data],$DE345,38),0)</f>
        <v/>
      </c>
      <c r="AP345">
        <f>IFERROR(INDEX(PP_Grid[#Data],$DE345,39),0)</f>
        <v/>
      </c>
      <c r="AQ345">
        <f>IFERROR(INDEX(PP_Grid[#Data],$DE345,40),0)</f>
        <v/>
      </c>
      <c r="AR345">
        <f>IFERROR(INDEX(PP_Grid[#Data],$DE345,41),0)</f>
        <v/>
      </c>
      <c r="AS345">
        <f>IFERROR(INDEX(PP_Grid[#Data],$DE345,42),0)</f>
        <v/>
      </c>
      <c r="AT345">
        <f>IFERROR(INDEX(PP_Grid[#Data],$DE345,43),0)</f>
        <v/>
      </c>
      <c r="AU345">
        <f>IFERROR(INDEX(PP_Grid[#Data],$DE345,44),0)</f>
        <v/>
      </c>
      <c r="AV345">
        <f>IFERROR(INDEX(PP_Grid[#Data],$DE345,45),0)</f>
        <v/>
      </c>
      <c r="AW345">
        <f>IFERROR(INDEX(PP_Grid[#Data],$DE345,46),0)</f>
        <v/>
      </c>
      <c r="AX345">
        <f>IFERROR(INDEX(PP_Grid[#Data],$DE345,47),0)</f>
        <v/>
      </c>
      <c r="AY345">
        <f>IFERROR(INDEX(PP_Grid[#Data],$DE345,48),0)</f>
        <v/>
      </c>
      <c r="AZ345">
        <f>IFERROR(INDEX(PP_Grid[#Data],$DE345,49),0)</f>
        <v/>
      </c>
      <c r="BA345">
        <f>IFERROR(INDEX(PP_Grid[#Data],$DE345,50),0)</f>
        <v/>
      </c>
      <c r="BB345">
        <f>IFERROR(INDEX(PP_Grid[#Data],$DE345,51),0)</f>
        <v/>
      </c>
      <c r="BC345">
        <f>IFERROR(INDEX(PP_Grid[#Data],$DE345,52),0)</f>
        <v/>
      </c>
      <c r="BD345">
        <f>IFERROR(INDEX(PP_Grid[#Data],$DE345,53),0)</f>
        <v/>
      </c>
      <c r="BE345">
        <f>IFERROR(INDEX(PP_Grid[#Data],$DE345,54),0)</f>
        <v/>
      </c>
      <c r="BF345">
        <f>IFERROR(INDEX(PP_Grid[#Data],$DE345,55),0)</f>
        <v/>
      </c>
      <c r="BG345">
        <f>IFERROR(INDEX(PP_Grid[#Data],$DE345,56),0)</f>
        <v/>
      </c>
      <c r="BH345">
        <f>IFERROR(INDEX(PP_Grid[#Data],$DE345,57),0)</f>
        <v/>
      </c>
      <c r="BI345">
        <f>IFERROR(INDEX(PP_Grid[#Data],$DE345,58),0)</f>
        <v/>
      </c>
      <c r="BJ345">
        <f>IFERROR(INDEX(PP_Grid[#Data],$DE345,59),0)</f>
        <v/>
      </c>
      <c r="BK345">
        <f>IFERROR(INDEX(PP_Grid[#Data],$DE345,60),0)</f>
        <v/>
      </c>
      <c r="BL345">
        <f>IFERROR(INDEX(PP_Grid[#Data],$DE345,61),0)</f>
        <v/>
      </c>
      <c r="BM345">
        <f>IFERROR(INDEX(PP_Grid[#Data],$DE345,62),0)</f>
        <v/>
      </c>
      <c r="BN345">
        <f>IFERROR(INDEX(PP_Grid[#Data],$DE345,63),0)</f>
        <v/>
      </c>
      <c r="BO345">
        <f>IFERROR(INDEX(PP_Grid[#Data],$DE345,64),0)</f>
        <v/>
      </c>
      <c r="BP345">
        <f>IFERROR(INDEX(PP_Grid[#Data],$DE345,65),0)</f>
        <v/>
      </c>
      <c r="BQ345">
        <f>IFERROR(INDEX(PP_Grid[#Data],$DE345,66),0)</f>
        <v/>
      </c>
      <c r="BR345">
        <f>IFERROR(INDEX(PP_Grid[#Data],$DE345,67),0)</f>
        <v/>
      </c>
      <c r="BS345">
        <f>IFERROR(INDEX(PP_Grid[#Data],$DE345,68),0)</f>
        <v/>
      </c>
      <c r="BT345">
        <f>IFERROR(INDEX(PP_Grid[#Data],$DE345,69),0)</f>
        <v/>
      </c>
      <c r="BU345">
        <f>IFERROR(INDEX(PP_Grid[#Data],$DE345,70),0)</f>
        <v/>
      </c>
      <c r="BV345">
        <f>IFERROR(INDEX(PP_Grid[#Data],$DE345,71),0)</f>
        <v/>
      </c>
      <c r="BW345">
        <f>IFERROR(INDEX(PP_Grid[#Data],$DE345,72),0)</f>
        <v/>
      </c>
      <c r="BX345">
        <f>IFERROR(INDEX(PP_Grid[#Data],$DE345,73),0)</f>
        <v/>
      </c>
      <c r="BY345">
        <f>IFERROR(INDEX(PP_Grid[#Data],$DE345,74),0)</f>
        <v/>
      </c>
      <c r="BZ345">
        <f>IFERROR(INDEX(PP_Grid[#Data],$DE345,75),0)</f>
        <v/>
      </c>
      <c r="CA345">
        <f>IFERROR(INDEX(PP_Grid[#Data],$DE345,76),0)</f>
        <v/>
      </c>
      <c r="CB345">
        <f>IFERROR(INDEX(PP_Grid[#Data],$DE345,77),0)</f>
        <v/>
      </c>
      <c r="CC345">
        <f>IFERROR(INDEX(PP_Grid[#Data],$DE345,78),0)</f>
        <v/>
      </c>
      <c r="CD345">
        <f>IFERROR(INDEX(PP_Grid[#Data],$DE345,79),0)</f>
        <v/>
      </c>
      <c r="CE345">
        <f>IFERROR(INDEX(PP_Grid[#Data],$DE345,80),0)</f>
        <v/>
      </c>
      <c r="CF345">
        <f>IFERROR(INDEX(PP_Grid[#Data],$DE345,81),0)</f>
        <v/>
      </c>
      <c r="CG345">
        <f>IFERROR(INDEX(PP_Grid[#Data],$DE345,82),0)</f>
        <v/>
      </c>
      <c r="CH345">
        <f>IFERROR(INDEX(PP_Grid[#Data],$DE345,83),0)</f>
        <v/>
      </c>
      <c r="CI345">
        <f>IFERROR(INDEX(PP_Grid[#Data],$DE345,84),0)</f>
        <v/>
      </c>
      <c r="CJ345">
        <f>IFERROR(INDEX(PP_Grid[#Data],$DE345,85),0)</f>
        <v/>
      </c>
      <c r="CK345">
        <f>IFERROR(INDEX(PP_Grid[#Data],$DE345,86),0)</f>
        <v/>
      </c>
      <c r="CL345">
        <f>IFERROR(INDEX(PP_Grid[#Data],$DE345,87),0)</f>
        <v/>
      </c>
      <c r="CM345">
        <f>IFERROR(INDEX(PP_Grid[#Data],$DE345,88),0)</f>
        <v/>
      </c>
      <c r="CN345">
        <f>IFERROR(INDEX(PP_Grid[#Data],$DE345,89),0)</f>
        <v/>
      </c>
      <c r="CO345">
        <f>IFERROR(INDEX(PP_Grid[#Data],$DE345,90),0)</f>
        <v/>
      </c>
      <c r="CP345">
        <f>IFERROR(INDEX(PP_Grid[#Data],$DE345,91),0)</f>
        <v/>
      </c>
      <c r="CQ345">
        <f>IFERROR(INDEX(PP_Grid[#Data],$DE345,92),0)</f>
        <v/>
      </c>
      <c r="CR345">
        <f>IFERROR(INDEX(PP_Grid[#Data],$DE345,93),0)</f>
        <v/>
      </c>
      <c r="CS345">
        <f>IFERROR(INDEX(PP_Grid[#Data],$DE345,94),0)</f>
        <v/>
      </c>
      <c r="CT345">
        <f>IFERROR(INDEX(PP_Grid[#Data],$DE345,95),0)</f>
        <v/>
      </c>
      <c r="CU345">
        <f>IFERROR(INDEX(PP_Grid[#Data],$DE345,96),0)</f>
        <v/>
      </c>
      <c r="CV345">
        <f>IFERROR(INDEX(PP_Grid[#Data],$DE345,97),0)</f>
        <v/>
      </c>
      <c r="CW345">
        <f>IFERROR(INDEX(PP_Grid[#Data],$DE345,98),0)</f>
        <v/>
      </c>
      <c r="CX345">
        <f>IFERROR(INDEX(PP_Grid[#Data],$DE345,99),0)</f>
        <v/>
      </c>
      <c r="CY345">
        <f>IFERROR(INDEX(PP_Grid[#Data],$DE345,100),0)</f>
        <v/>
      </c>
      <c r="CZ345">
        <f>IFERROR(INDEX(PP_Grid[#Data],$DE345,101),0)</f>
        <v/>
      </c>
      <c r="DA345">
        <f>IFERROR(INDEX(PP_Grid[#Data],$DE345,102),0)</f>
        <v/>
      </c>
      <c r="DB345">
        <f>IFERROR(INDEX(PP_Grid[#Data],$DE345,103),0)</f>
        <v/>
      </c>
      <c r="DC345">
        <f>IFERROR(INDEX(PP_Grid[#Data],$DE345,104),0)</f>
        <v/>
      </c>
      <c r="DD345">
        <f>IFERROR(INDEX(PP_Grid[#Data],$DE345,105),0)</f>
        <v/>
      </c>
      <c r="DE345" s="7">
        <f>IFERROR(MATCH($B345,PP_Grid[Intermediate],0),99999)</f>
        <v/>
      </c>
    </row>
    <row r="346">
      <c r="B346" t="inlineStr">
        <is>
          <t>使用量(kg)</t>
        </is>
      </c>
      <c r="C346">
        <f>SUMIFS(M_BOM[RM_Qty_Per_Batch],M_BOM[Intermediate],$B345,M_BOM[RM_Code],$A340)</f>
        <v/>
      </c>
      <c r="D346">
        <f>IFERROR(INDEX(E346:DD346,$F$1),"")</f>
        <v/>
      </c>
      <c r="E346">
        <f>$C346*E345</f>
        <v/>
      </c>
      <c r="F346">
        <f>$C346*F345</f>
        <v/>
      </c>
      <c r="G346">
        <f>$C346*G345</f>
        <v/>
      </c>
      <c r="H346">
        <f>$C346*H345</f>
        <v/>
      </c>
      <c r="I346">
        <f>$C346*I345</f>
        <v/>
      </c>
      <c r="J346">
        <f>$C346*J345</f>
        <v/>
      </c>
      <c r="K346">
        <f>$C346*K345</f>
        <v/>
      </c>
      <c r="L346">
        <f>$C346*L345</f>
        <v/>
      </c>
      <c r="M346">
        <f>$C346*M345</f>
        <v/>
      </c>
      <c r="N346">
        <f>$C346*N345</f>
        <v/>
      </c>
      <c r="O346">
        <f>$C346*O345</f>
        <v/>
      </c>
      <c r="P346">
        <f>$C346*P345</f>
        <v/>
      </c>
      <c r="Q346">
        <f>$C346*Q345</f>
        <v/>
      </c>
      <c r="R346">
        <f>$C346*R345</f>
        <v/>
      </c>
      <c r="S346">
        <f>$C346*S345</f>
        <v/>
      </c>
      <c r="T346">
        <f>$C346*T345</f>
        <v/>
      </c>
      <c r="U346">
        <f>$C346*U345</f>
        <v/>
      </c>
      <c r="V346">
        <f>$C346*V345</f>
        <v/>
      </c>
      <c r="W346">
        <f>$C346*W345</f>
        <v/>
      </c>
      <c r="X346">
        <f>$C346*X345</f>
        <v/>
      </c>
      <c r="Y346">
        <f>$C346*Y345</f>
        <v/>
      </c>
      <c r="Z346">
        <f>$C346*Z345</f>
        <v/>
      </c>
      <c r="AA346">
        <f>$C346*AA345</f>
        <v/>
      </c>
      <c r="AB346">
        <f>$C346*AB345</f>
        <v/>
      </c>
      <c r="AC346">
        <f>$C346*AC345</f>
        <v/>
      </c>
      <c r="AD346">
        <f>$C346*AD345</f>
        <v/>
      </c>
      <c r="AE346">
        <f>$C346*AE345</f>
        <v/>
      </c>
      <c r="AF346">
        <f>$C346*AF345</f>
        <v/>
      </c>
      <c r="AG346">
        <f>$C346*AG345</f>
        <v/>
      </c>
      <c r="AH346">
        <f>$C346*AH345</f>
        <v/>
      </c>
      <c r="AI346">
        <f>$C346*AI345</f>
        <v/>
      </c>
      <c r="AJ346">
        <f>$C346*AJ345</f>
        <v/>
      </c>
      <c r="AK346">
        <f>$C346*AK345</f>
        <v/>
      </c>
      <c r="AL346">
        <f>$C346*AL345</f>
        <v/>
      </c>
      <c r="AM346">
        <f>$C346*AM345</f>
        <v/>
      </c>
      <c r="AN346">
        <f>$C346*AN345</f>
        <v/>
      </c>
      <c r="AO346">
        <f>$C346*AO345</f>
        <v/>
      </c>
      <c r="AP346">
        <f>$C346*AP345</f>
        <v/>
      </c>
      <c r="AQ346">
        <f>$C346*AQ345</f>
        <v/>
      </c>
      <c r="AR346">
        <f>$C346*AR345</f>
        <v/>
      </c>
      <c r="AS346">
        <f>$C346*AS345</f>
        <v/>
      </c>
      <c r="AT346">
        <f>$C346*AT345</f>
        <v/>
      </c>
      <c r="AU346">
        <f>$C346*AU345</f>
        <v/>
      </c>
      <c r="AV346">
        <f>$C346*AV345</f>
        <v/>
      </c>
      <c r="AW346">
        <f>$C346*AW345</f>
        <v/>
      </c>
      <c r="AX346">
        <f>$C346*AX345</f>
        <v/>
      </c>
      <c r="AY346">
        <f>$C346*AY345</f>
        <v/>
      </c>
      <c r="AZ346">
        <f>$C346*AZ345</f>
        <v/>
      </c>
      <c r="BA346">
        <f>$C346*BA345</f>
        <v/>
      </c>
      <c r="BB346">
        <f>$C346*BB345</f>
        <v/>
      </c>
      <c r="BC346">
        <f>$C346*BC345</f>
        <v/>
      </c>
      <c r="BD346">
        <f>$C346*BD345</f>
        <v/>
      </c>
      <c r="BE346">
        <f>$C346*BE345</f>
        <v/>
      </c>
      <c r="BF346">
        <f>$C346*BF345</f>
        <v/>
      </c>
      <c r="BG346">
        <f>$C346*BG345</f>
        <v/>
      </c>
      <c r="BH346">
        <f>$C346*BH345</f>
        <v/>
      </c>
      <c r="BI346">
        <f>$C346*BI345</f>
        <v/>
      </c>
      <c r="BJ346">
        <f>$C346*BJ345</f>
        <v/>
      </c>
      <c r="BK346">
        <f>$C346*BK345</f>
        <v/>
      </c>
      <c r="BL346">
        <f>$C346*BL345</f>
        <v/>
      </c>
      <c r="BM346">
        <f>$C346*BM345</f>
        <v/>
      </c>
      <c r="BN346">
        <f>$C346*BN345</f>
        <v/>
      </c>
      <c r="BO346">
        <f>$C346*BO345</f>
        <v/>
      </c>
      <c r="BP346">
        <f>$C346*BP345</f>
        <v/>
      </c>
      <c r="BQ346">
        <f>$C346*BQ345</f>
        <v/>
      </c>
      <c r="BR346">
        <f>$C346*BR345</f>
        <v/>
      </c>
      <c r="BS346">
        <f>$C346*BS345</f>
        <v/>
      </c>
      <c r="BT346">
        <f>$C346*BT345</f>
        <v/>
      </c>
      <c r="BU346">
        <f>$C346*BU345</f>
        <v/>
      </c>
      <c r="BV346">
        <f>$C346*BV345</f>
        <v/>
      </c>
      <c r="BW346">
        <f>$C346*BW345</f>
        <v/>
      </c>
      <c r="BX346">
        <f>$C346*BX345</f>
        <v/>
      </c>
      <c r="BY346">
        <f>$C346*BY345</f>
        <v/>
      </c>
      <c r="BZ346">
        <f>$C346*BZ345</f>
        <v/>
      </c>
      <c r="CA346">
        <f>$C346*CA345</f>
        <v/>
      </c>
      <c r="CB346">
        <f>$C346*CB345</f>
        <v/>
      </c>
      <c r="CC346">
        <f>$C346*CC345</f>
        <v/>
      </c>
      <c r="CD346">
        <f>$C346*CD345</f>
        <v/>
      </c>
      <c r="CE346">
        <f>$C346*CE345</f>
        <v/>
      </c>
      <c r="CF346">
        <f>$C346*CF345</f>
        <v/>
      </c>
      <c r="CG346">
        <f>$C346*CG345</f>
        <v/>
      </c>
      <c r="CH346">
        <f>$C346*CH345</f>
        <v/>
      </c>
      <c r="CI346">
        <f>$C346*CI345</f>
        <v/>
      </c>
      <c r="CJ346">
        <f>$C346*CJ345</f>
        <v/>
      </c>
      <c r="CK346">
        <f>$C346*CK345</f>
        <v/>
      </c>
      <c r="CL346">
        <f>$C346*CL345</f>
        <v/>
      </c>
      <c r="CM346">
        <f>$C346*CM345</f>
        <v/>
      </c>
      <c r="CN346">
        <f>$C346*CN345</f>
        <v/>
      </c>
      <c r="CO346">
        <f>$C346*CO345</f>
        <v/>
      </c>
      <c r="CP346">
        <f>$C346*CP345</f>
        <v/>
      </c>
      <c r="CQ346">
        <f>$C346*CQ345</f>
        <v/>
      </c>
      <c r="CR346">
        <f>$C346*CR345</f>
        <v/>
      </c>
      <c r="CS346">
        <f>$C346*CS345</f>
        <v/>
      </c>
      <c r="CT346">
        <f>$C346*CT345</f>
        <v/>
      </c>
      <c r="CU346">
        <f>$C346*CU345</f>
        <v/>
      </c>
      <c r="CV346">
        <f>$C346*CV345</f>
        <v/>
      </c>
      <c r="CW346">
        <f>$C346*CW345</f>
        <v/>
      </c>
      <c r="CX346">
        <f>$C346*CX345</f>
        <v/>
      </c>
      <c r="CY346">
        <f>$C346*CY345</f>
        <v/>
      </c>
      <c r="CZ346">
        <f>$C346*CZ345</f>
        <v/>
      </c>
      <c r="DA346">
        <f>$C346*DA345</f>
        <v/>
      </c>
      <c r="DB346">
        <f>$C346*DB345</f>
        <v/>
      </c>
      <c r="DC346">
        <f>$C346*DC345</f>
        <v/>
      </c>
      <c r="DD346">
        <f>$C346*DD345</f>
        <v/>
      </c>
    </row>
    <row r="347">
      <c r="B347" t="inlineStr">
        <is>
          <t>TSP-069</t>
        </is>
      </c>
      <c r="C347" t="inlineStr">
        <is>
          <t>No. of batches</t>
        </is>
      </c>
      <c r="D347">
        <f>IFERROR(INDEX(E347:DD347,$F$1),"")</f>
        <v/>
      </c>
      <c r="E347">
        <f>IFERROR(INDEX(PP_Grid[#Data],$DE347,2),0)</f>
        <v/>
      </c>
      <c r="F347">
        <f>IFERROR(INDEX(PP_Grid[#Data],$DE347,3),0)</f>
        <v/>
      </c>
      <c r="G347">
        <f>IFERROR(INDEX(PP_Grid[#Data],$DE347,4),0)</f>
        <v/>
      </c>
      <c r="H347">
        <f>IFERROR(INDEX(PP_Grid[#Data],$DE347,5),0)</f>
        <v/>
      </c>
      <c r="I347">
        <f>IFERROR(INDEX(PP_Grid[#Data],$DE347,6),0)</f>
        <v/>
      </c>
      <c r="J347">
        <f>IFERROR(INDEX(PP_Grid[#Data],$DE347,7),0)</f>
        <v/>
      </c>
      <c r="K347">
        <f>IFERROR(INDEX(PP_Grid[#Data],$DE347,8),0)</f>
        <v/>
      </c>
      <c r="L347">
        <f>IFERROR(INDEX(PP_Grid[#Data],$DE347,9),0)</f>
        <v/>
      </c>
      <c r="M347">
        <f>IFERROR(INDEX(PP_Grid[#Data],$DE347,10),0)</f>
        <v/>
      </c>
      <c r="N347">
        <f>IFERROR(INDEX(PP_Grid[#Data],$DE347,11),0)</f>
        <v/>
      </c>
      <c r="O347">
        <f>IFERROR(INDEX(PP_Grid[#Data],$DE347,12),0)</f>
        <v/>
      </c>
      <c r="P347">
        <f>IFERROR(INDEX(PP_Grid[#Data],$DE347,13),0)</f>
        <v/>
      </c>
      <c r="Q347">
        <f>IFERROR(INDEX(PP_Grid[#Data],$DE347,14),0)</f>
        <v/>
      </c>
      <c r="R347">
        <f>IFERROR(INDEX(PP_Grid[#Data],$DE347,15),0)</f>
        <v/>
      </c>
      <c r="S347">
        <f>IFERROR(INDEX(PP_Grid[#Data],$DE347,16),0)</f>
        <v/>
      </c>
      <c r="T347">
        <f>IFERROR(INDEX(PP_Grid[#Data],$DE347,17),0)</f>
        <v/>
      </c>
      <c r="U347">
        <f>IFERROR(INDEX(PP_Grid[#Data],$DE347,18),0)</f>
        <v/>
      </c>
      <c r="V347">
        <f>IFERROR(INDEX(PP_Grid[#Data],$DE347,19),0)</f>
        <v/>
      </c>
      <c r="W347">
        <f>IFERROR(INDEX(PP_Grid[#Data],$DE347,20),0)</f>
        <v/>
      </c>
      <c r="X347">
        <f>IFERROR(INDEX(PP_Grid[#Data],$DE347,21),0)</f>
        <v/>
      </c>
      <c r="Y347">
        <f>IFERROR(INDEX(PP_Grid[#Data],$DE347,22),0)</f>
        <v/>
      </c>
      <c r="Z347">
        <f>IFERROR(INDEX(PP_Grid[#Data],$DE347,23),0)</f>
        <v/>
      </c>
      <c r="AA347">
        <f>IFERROR(INDEX(PP_Grid[#Data],$DE347,24),0)</f>
        <v/>
      </c>
      <c r="AB347">
        <f>IFERROR(INDEX(PP_Grid[#Data],$DE347,25),0)</f>
        <v/>
      </c>
      <c r="AC347">
        <f>IFERROR(INDEX(PP_Grid[#Data],$DE347,26),0)</f>
        <v/>
      </c>
      <c r="AD347">
        <f>IFERROR(INDEX(PP_Grid[#Data],$DE347,27),0)</f>
        <v/>
      </c>
      <c r="AE347">
        <f>IFERROR(INDEX(PP_Grid[#Data],$DE347,28),0)</f>
        <v/>
      </c>
      <c r="AF347">
        <f>IFERROR(INDEX(PP_Grid[#Data],$DE347,29),0)</f>
        <v/>
      </c>
      <c r="AG347">
        <f>IFERROR(INDEX(PP_Grid[#Data],$DE347,30),0)</f>
        <v/>
      </c>
      <c r="AH347">
        <f>IFERROR(INDEX(PP_Grid[#Data],$DE347,31),0)</f>
        <v/>
      </c>
      <c r="AI347">
        <f>IFERROR(INDEX(PP_Grid[#Data],$DE347,32),0)</f>
        <v/>
      </c>
      <c r="AJ347">
        <f>IFERROR(INDEX(PP_Grid[#Data],$DE347,33),0)</f>
        <v/>
      </c>
      <c r="AK347">
        <f>IFERROR(INDEX(PP_Grid[#Data],$DE347,34),0)</f>
        <v/>
      </c>
      <c r="AL347">
        <f>IFERROR(INDEX(PP_Grid[#Data],$DE347,35),0)</f>
        <v/>
      </c>
      <c r="AM347">
        <f>IFERROR(INDEX(PP_Grid[#Data],$DE347,36),0)</f>
        <v/>
      </c>
      <c r="AN347">
        <f>IFERROR(INDEX(PP_Grid[#Data],$DE347,37),0)</f>
        <v/>
      </c>
      <c r="AO347">
        <f>IFERROR(INDEX(PP_Grid[#Data],$DE347,38),0)</f>
        <v/>
      </c>
      <c r="AP347">
        <f>IFERROR(INDEX(PP_Grid[#Data],$DE347,39),0)</f>
        <v/>
      </c>
      <c r="AQ347">
        <f>IFERROR(INDEX(PP_Grid[#Data],$DE347,40),0)</f>
        <v/>
      </c>
      <c r="AR347">
        <f>IFERROR(INDEX(PP_Grid[#Data],$DE347,41),0)</f>
        <v/>
      </c>
      <c r="AS347">
        <f>IFERROR(INDEX(PP_Grid[#Data],$DE347,42),0)</f>
        <v/>
      </c>
      <c r="AT347">
        <f>IFERROR(INDEX(PP_Grid[#Data],$DE347,43),0)</f>
        <v/>
      </c>
      <c r="AU347">
        <f>IFERROR(INDEX(PP_Grid[#Data],$DE347,44),0)</f>
        <v/>
      </c>
      <c r="AV347">
        <f>IFERROR(INDEX(PP_Grid[#Data],$DE347,45),0)</f>
        <v/>
      </c>
      <c r="AW347">
        <f>IFERROR(INDEX(PP_Grid[#Data],$DE347,46),0)</f>
        <v/>
      </c>
      <c r="AX347">
        <f>IFERROR(INDEX(PP_Grid[#Data],$DE347,47),0)</f>
        <v/>
      </c>
      <c r="AY347">
        <f>IFERROR(INDEX(PP_Grid[#Data],$DE347,48),0)</f>
        <v/>
      </c>
      <c r="AZ347">
        <f>IFERROR(INDEX(PP_Grid[#Data],$DE347,49),0)</f>
        <v/>
      </c>
      <c r="BA347">
        <f>IFERROR(INDEX(PP_Grid[#Data],$DE347,50),0)</f>
        <v/>
      </c>
      <c r="BB347">
        <f>IFERROR(INDEX(PP_Grid[#Data],$DE347,51),0)</f>
        <v/>
      </c>
      <c r="BC347">
        <f>IFERROR(INDEX(PP_Grid[#Data],$DE347,52),0)</f>
        <v/>
      </c>
      <c r="BD347">
        <f>IFERROR(INDEX(PP_Grid[#Data],$DE347,53),0)</f>
        <v/>
      </c>
      <c r="BE347">
        <f>IFERROR(INDEX(PP_Grid[#Data],$DE347,54),0)</f>
        <v/>
      </c>
      <c r="BF347">
        <f>IFERROR(INDEX(PP_Grid[#Data],$DE347,55),0)</f>
        <v/>
      </c>
      <c r="BG347">
        <f>IFERROR(INDEX(PP_Grid[#Data],$DE347,56),0)</f>
        <v/>
      </c>
      <c r="BH347">
        <f>IFERROR(INDEX(PP_Grid[#Data],$DE347,57),0)</f>
        <v/>
      </c>
      <c r="BI347">
        <f>IFERROR(INDEX(PP_Grid[#Data],$DE347,58),0)</f>
        <v/>
      </c>
      <c r="BJ347">
        <f>IFERROR(INDEX(PP_Grid[#Data],$DE347,59),0)</f>
        <v/>
      </c>
      <c r="BK347">
        <f>IFERROR(INDEX(PP_Grid[#Data],$DE347,60),0)</f>
        <v/>
      </c>
      <c r="BL347">
        <f>IFERROR(INDEX(PP_Grid[#Data],$DE347,61),0)</f>
        <v/>
      </c>
      <c r="BM347">
        <f>IFERROR(INDEX(PP_Grid[#Data],$DE347,62),0)</f>
        <v/>
      </c>
      <c r="BN347">
        <f>IFERROR(INDEX(PP_Grid[#Data],$DE347,63),0)</f>
        <v/>
      </c>
      <c r="BO347">
        <f>IFERROR(INDEX(PP_Grid[#Data],$DE347,64),0)</f>
        <v/>
      </c>
      <c r="BP347">
        <f>IFERROR(INDEX(PP_Grid[#Data],$DE347,65),0)</f>
        <v/>
      </c>
      <c r="BQ347">
        <f>IFERROR(INDEX(PP_Grid[#Data],$DE347,66),0)</f>
        <v/>
      </c>
      <c r="BR347">
        <f>IFERROR(INDEX(PP_Grid[#Data],$DE347,67),0)</f>
        <v/>
      </c>
      <c r="BS347">
        <f>IFERROR(INDEX(PP_Grid[#Data],$DE347,68),0)</f>
        <v/>
      </c>
      <c r="BT347">
        <f>IFERROR(INDEX(PP_Grid[#Data],$DE347,69),0)</f>
        <v/>
      </c>
      <c r="BU347">
        <f>IFERROR(INDEX(PP_Grid[#Data],$DE347,70),0)</f>
        <v/>
      </c>
      <c r="BV347">
        <f>IFERROR(INDEX(PP_Grid[#Data],$DE347,71),0)</f>
        <v/>
      </c>
      <c r="BW347">
        <f>IFERROR(INDEX(PP_Grid[#Data],$DE347,72),0)</f>
        <v/>
      </c>
      <c r="BX347">
        <f>IFERROR(INDEX(PP_Grid[#Data],$DE347,73),0)</f>
        <v/>
      </c>
      <c r="BY347">
        <f>IFERROR(INDEX(PP_Grid[#Data],$DE347,74),0)</f>
        <v/>
      </c>
      <c r="BZ347">
        <f>IFERROR(INDEX(PP_Grid[#Data],$DE347,75),0)</f>
        <v/>
      </c>
      <c r="CA347">
        <f>IFERROR(INDEX(PP_Grid[#Data],$DE347,76),0)</f>
        <v/>
      </c>
      <c r="CB347">
        <f>IFERROR(INDEX(PP_Grid[#Data],$DE347,77),0)</f>
        <v/>
      </c>
      <c r="CC347">
        <f>IFERROR(INDEX(PP_Grid[#Data],$DE347,78),0)</f>
        <v/>
      </c>
      <c r="CD347">
        <f>IFERROR(INDEX(PP_Grid[#Data],$DE347,79),0)</f>
        <v/>
      </c>
      <c r="CE347">
        <f>IFERROR(INDEX(PP_Grid[#Data],$DE347,80),0)</f>
        <v/>
      </c>
      <c r="CF347">
        <f>IFERROR(INDEX(PP_Grid[#Data],$DE347,81),0)</f>
        <v/>
      </c>
      <c r="CG347">
        <f>IFERROR(INDEX(PP_Grid[#Data],$DE347,82),0)</f>
        <v/>
      </c>
      <c r="CH347">
        <f>IFERROR(INDEX(PP_Grid[#Data],$DE347,83),0)</f>
        <v/>
      </c>
      <c r="CI347">
        <f>IFERROR(INDEX(PP_Grid[#Data],$DE347,84),0)</f>
        <v/>
      </c>
      <c r="CJ347">
        <f>IFERROR(INDEX(PP_Grid[#Data],$DE347,85),0)</f>
        <v/>
      </c>
      <c r="CK347">
        <f>IFERROR(INDEX(PP_Grid[#Data],$DE347,86),0)</f>
        <v/>
      </c>
      <c r="CL347">
        <f>IFERROR(INDEX(PP_Grid[#Data],$DE347,87),0)</f>
        <v/>
      </c>
      <c r="CM347">
        <f>IFERROR(INDEX(PP_Grid[#Data],$DE347,88),0)</f>
        <v/>
      </c>
      <c r="CN347">
        <f>IFERROR(INDEX(PP_Grid[#Data],$DE347,89),0)</f>
        <v/>
      </c>
      <c r="CO347">
        <f>IFERROR(INDEX(PP_Grid[#Data],$DE347,90),0)</f>
        <v/>
      </c>
      <c r="CP347">
        <f>IFERROR(INDEX(PP_Grid[#Data],$DE347,91),0)</f>
        <v/>
      </c>
      <c r="CQ347">
        <f>IFERROR(INDEX(PP_Grid[#Data],$DE347,92),0)</f>
        <v/>
      </c>
      <c r="CR347">
        <f>IFERROR(INDEX(PP_Grid[#Data],$DE347,93),0)</f>
        <v/>
      </c>
      <c r="CS347">
        <f>IFERROR(INDEX(PP_Grid[#Data],$DE347,94),0)</f>
        <v/>
      </c>
      <c r="CT347">
        <f>IFERROR(INDEX(PP_Grid[#Data],$DE347,95),0)</f>
        <v/>
      </c>
      <c r="CU347">
        <f>IFERROR(INDEX(PP_Grid[#Data],$DE347,96),0)</f>
        <v/>
      </c>
      <c r="CV347">
        <f>IFERROR(INDEX(PP_Grid[#Data],$DE347,97),0)</f>
        <v/>
      </c>
      <c r="CW347">
        <f>IFERROR(INDEX(PP_Grid[#Data],$DE347,98),0)</f>
        <v/>
      </c>
      <c r="CX347">
        <f>IFERROR(INDEX(PP_Grid[#Data],$DE347,99),0)</f>
        <v/>
      </c>
      <c r="CY347">
        <f>IFERROR(INDEX(PP_Grid[#Data],$DE347,100),0)</f>
        <v/>
      </c>
      <c r="CZ347">
        <f>IFERROR(INDEX(PP_Grid[#Data],$DE347,101),0)</f>
        <v/>
      </c>
      <c r="DA347">
        <f>IFERROR(INDEX(PP_Grid[#Data],$DE347,102),0)</f>
        <v/>
      </c>
      <c r="DB347">
        <f>IFERROR(INDEX(PP_Grid[#Data],$DE347,103),0)</f>
        <v/>
      </c>
      <c r="DC347">
        <f>IFERROR(INDEX(PP_Grid[#Data],$DE347,104),0)</f>
        <v/>
      </c>
      <c r="DD347">
        <f>IFERROR(INDEX(PP_Grid[#Data],$DE347,105),0)</f>
        <v/>
      </c>
      <c r="DE347" s="7">
        <f>IFERROR(MATCH($B347,PP_Grid[Intermediate],0),99999)</f>
        <v/>
      </c>
    </row>
    <row r="348">
      <c r="B348" t="inlineStr">
        <is>
          <t>使用量(kg)</t>
        </is>
      </c>
      <c r="C348">
        <f>SUMIFS(M_BOM[RM_Qty_Per_Batch],M_BOM[Intermediate],$B347,M_BOM[RM_Code],$A340)</f>
        <v/>
      </c>
      <c r="D348">
        <f>IFERROR(INDEX(E348:DD348,$F$1),"")</f>
        <v/>
      </c>
      <c r="E348">
        <f>$C348*E347</f>
        <v/>
      </c>
      <c r="F348">
        <f>$C348*F347</f>
        <v/>
      </c>
      <c r="G348">
        <f>$C348*G347</f>
        <v/>
      </c>
      <c r="H348">
        <f>$C348*H347</f>
        <v/>
      </c>
      <c r="I348">
        <f>$C348*I347</f>
        <v/>
      </c>
      <c r="J348">
        <f>$C348*J347</f>
        <v/>
      </c>
      <c r="K348">
        <f>$C348*K347</f>
        <v/>
      </c>
      <c r="L348">
        <f>$C348*L347</f>
        <v/>
      </c>
      <c r="M348">
        <f>$C348*M347</f>
        <v/>
      </c>
      <c r="N348">
        <f>$C348*N347</f>
        <v/>
      </c>
      <c r="O348">
        <f>$C348*O347</f>
        <v/>
      </c>
      <c r="P348">
        <f>$C348*P347</f>
        <v/>
      </c>
      <c r="Q348">
        <f>$C348*Q347</f>
        <v/>
      </c>
      <c r="R348">
        <f>$C348*R347</f>
        <v/>
      </c>
      <c r="S348">
        <f>$C348*S347</f>
        <v/>
      </c>
      <c r="T348">
        <f>$C348*T347</f>
        <v/>
      </c>
      <c r="U348">
        <f>$C348*U347</f>
        <v/>
      </c>
      <c r="V348">
        <f>$C348*V347</f>
        <v/>
      </c>
      <c r="W348">
        <f>$C348*W347</f>
        <v/>
      </c>
      <c r="X348">
        <f>$C348*X347</f>
        <v/>
      </c>
      <c r="Y348">
        <f>$C348*Y347</f>
        <v/>
      </c>
      <c r="Z348">
        <f>$C348*Z347</f>
        <v/>
      </c>
      <c r="AA348">
        <f>$C348*AA347</f>
        <v/>
      </c>
      <c r="AB348">
        <f>$C348*AB347</f>
        <v/>
      </c>
      <c r="AC348">
        <f>$C348*AC347</f>
        <v/>
      </c>
      <c r="AD348">
        <f>$C348*AD347</f>
        <v/>
      </c>
      <c r="AE348">
        <f>$C348*AE347</f>
        <v/>
      </c>
      <c r="AF348">
        <f>$C348*AF347</f>
        <v/>
      </c>
      <c r="AG348">
        <f>$C348*AG347</f>
        <v/>
      </c>
      <c r="AH348">
        <f>$C348*AH347</f>
        <v/>
      </c>
      <c r="AI348">
        <f>$C348*AI347</f>
        <v/>
      </c>
      <c r="AJ348">
        <f>$C348*AJ347</f>
        <v/>
      </c>
      <c r="AK348">
        <f>$C348*AK347</f>
        <v/>
      </c>
      <c r="AL348">
        <f>$C348*AL347</f>
        <v/>
      </c>
      <c r="AM348">
        <f>$C348*AM347</f>
        <v/>
      </c>
      <c r="AN348">
        <f>$C348*AN347</f>
        <v/>
      </c>
      <c r="AO348">
        <f>$C348*AO347</f>
        <v/>
      </c>
      <c r="AP348">
        <f>$C348*AP347</f>
        <v/>
      </c>
      <c r="AQ348">
        <f>$C348*AQ347</f>
        <v/>
      </c>
      <c r="AR348">
        <f>$C348*AR347</f>
        <v/>
      </c>
      <c r="AS348">
        <f>$C348*AS347</f>
        <v/>
      </c>
      <c r="AT348">
        <f>$C348*AT347</f>
        <v/>
      </c>
      <c r="AU348">
        <f>$C348*AU347</f>
        <v/>
      </c>
      <c r="AV348">
        <f>$C348*AV347</f>
        <v/>
      </c>
      <c r="AW348">
        <f>$C348*AW347</f>
        <v/>
      </c>
      <c r="AX348">
        <f>$C348*AX347</f>
        <v/>
      </c>
      <c r="AY348">
        <f>$C348*AY347</f>
        <v/>
      </c>
      <c r="AZ348">
        <f>$C348*AZ347</f>
        <v/>
      </c>
      <c r="BA348">
        <f>$C348*BA347</f>
        <v/>
      </c>
      <c r="BB348">
        <f>$C348*BB347</f>
        <v/>
      </c>
      <c r="BC348">
        <f>$C348*BC347</f>
        <v/>
      </c>
      <c r="BD348">
        <f>$C348*BD347</f>
        <v/>
      </c>
      <c r="BE348">
        <f>$C348*BE347</f>
        <v/>
      </c>
      <c r="BF348">
        <f>$C348*BF347</f>
        <v/>
      </c>
      <c r="BG348">
        <f>$C348*BG347</f>
        <v/>
      </c>
      <c r="BH348">
        <f>$C348*BH347</f>
        <v/>
      </c>
      <c r="BI348">
        <f>$C348*BI347</f>
        <v/>
      </c>
      <c r="BJ348">
        <f>$C348*BJ347</f>
        <v/>
      </c>
      <c r="BK348">
        <f>$C348*BK347</f>
        <v/>
      </c>
      <c r="BL348">
        <f>$C348*BL347</f>
        <v/>
      </c>
      <c r="BM348">
        <f>$C348*BM347</f>
        <v/>
      </c>
      <c r="BN348">
        <f>$C348*BN347</f>
        <v/>
      </c>
      <c r="BO348">
        <f>$C348*BO347</f>
        <v/>
      </c>
      <c r="BP348">
        <f>$C348*BP347</f>
        <v/>
      </c>
      <c r="BQ348">
        <f>$C348*BQ347</f>
        <v/>
      </c>
      <c r="BR348">
        <f>$C348*BR347</f>
        <v/>
      </c>
      <c r="BS348">
        <f>$C348*BS347</f>
        <v/>
      </c>
      <c r="BT348">
        <f>$C348*BT347</f>
        <v/>
      </c>
      <c r="BU348">
        <f>$C348*BU347</f>
        <v/>
      </c>
      <c r="BV348">
        <f>$C348*BV347</f>
        <v/>
      </c>
      <c r="BW348">
        <f>$C348*BW347</f>
        <v/>
      </c>
      <c r="BX348">
        <f>$C348*BX347</f>
        <v/>
      </c>
      <c r="BY348">
        <f>$C348*BY347</f>
        <v/>
      </c>
      <c r="BZ348">
        <f>$C348*BZ347</f>
        <v/>
      </c>
      <c r="CA348">
        <f>$C348*CA347</f>
        <v/>
      </c>
      <c r="CB348">
        <f>$C348*CB347</f>
        <v/>
      </c>
      <c r="CC348">
        <f>$C348*CC347</f>
        <v/>
      </c>
      <c r="CD348">
        <f>$C348*CD347</f>
        <v/>
      </c>
      <c r="CE348">
        <f>$C348*CE347</f>
        <v/>
      </c>
      <c r="CF348">
        <f>$C348*CF347</f>
        <v/>
      </c>
      <c r="CG348">
        <f>$C348*CG347</f>
        <v/>
      </c>
      <c r="CH348">
        <f>$C348*CH347</f>
        <v/>
      </c>
      <c r="CI348">
        <f>$C348*CI347</f>
        <v/>
      </c>
      <c r="CJ348">
        <f>$C348*CJ347</f>
        <v/>
      </c>
      <c r="CK348">
        <f>$C348*CK347</f>
        <v/>
      </c>
      <c r="CL348">
        <f>$C348*CL347</f>
        <v/>
      </c>
      <c r="CM348">
        <f>$C348*CM347</f>
        <v/>
      </c>
      <c r="CN348">
        <f>$C348*CN347</f>
        <v/>
      </c>
      <c r="CO348">
        <f>$C348*CO347</f>
        <v/>
      </c>
      <c r="CP348">
        <f>$C348*CP347</f>
        <v/>
      </c>
      <c r="CQ348">
        <f>$C348*CQ347</f>
        <v/>
      </c>
      <c r="CR348">
        <f>$C348*CR347</f>
        <v/>
      </c>
      <c r="CS348">
        <f>$C348*CS347</f>
        <v/>
      </c>
      <c r="CT348">
        <f>$C348*CT347</f>
        <v/>
      </c>
      <c r="CU348">
        <f>$C348*CU347</f>
        <v/>
      </c>
      <c r="CV348">
        <f>$C348*CV347</f>
        <v/>
      </c>
      <c r="CW348">
        <f>$C348*CW347</f>
        <v/>
      </c>
      <c r="CX348">
        <f>$C348*CX347</f>
        <v/>
      </c>
      <c r="CY348">
        <f>$C348*CY347</f>
        <v/>
      </c>
      <c r="CZ348">
        <f>$C348*CZ347</f>
        <v/>
      </c>
      <c r="DA348">
        <f>$C348*DA347</f>
        <v/>
      </c>
      <c r="DB348">
        <f>$C348*DB347</f>
        <v/>
      </c>
      <c r="DC348">
        <f>$C348*DC347</f>
        <v/>
      </c>
      <c r="DD348">
        <f>$C348*DD347</f>
        <v/>
      </c>
    </row>
    <row r="349">
      <c r="B349" t="inlineStr">
        <is>
          <t>TSP-077</t>
        </is>
      </c>
      <c r="C349" t="inlineStr">
        <is>
          <t>No. of batches</t>
        </is>
      </c>
      <c r="D349">
        <f>IFERROR(INDEX(E349:DD349,$F$1),"")</f>
        <v/>
      </c>
      <c r="E349">
        <f>IFERROR(INDEX(PP_Grid[#Data],$DE349,2),0)</f>
        <v/>
      </c>
      <c r="F349">
        <f>IFERROR(INDEX(PP_Grid[#Data],$DE349,3),0)</f>
        <v/>
      </c>
      <c r="G349">
        <f>IFERROR(INDEX(PP_Grid[#Data],$DE349,4),0)</f>
        <v/>
      </c>
      <c r="H349">
        <f>IFERROR(INDEX(PP_Grid[#Data],$DE349,5),0)</f>
        <v/>
      </c>
      <c r="I349">
        <f>IFERROR(INDEX(PP_Grid[#Data],$DE349,6),0)</f>
        <v/>
      </c>
      <c r="J349">
        <f>IFERROR(INDEX(PP_Grid[#Data],$DE349,7),0)</f>
        <v/>
      </c>
      <c r="K349">
        <f>IFERROR(INDEX(PP_Grid[#Data],$DE349,8),0)</f>
        <v/>
      </c>
      <c r="L349">
        <f>IFERROR(INDEX(PP_Grid[#Data],$DE349,9),0)</f>
        <v/>
      </c>
      <c r="M349">
        <f>IFERROR(INDEX(PP_Grid[#Data],$DE349,10),0)</f>
        <v/>
      </c>
      <c r="N349">
        <f>IFERROR(INDEX(PP_Grid[#Data],$DE349,11),0)</f>
        <v/>
      </c>
      <c r="O349">
        <f>IFERROR(INDEX(PP_Grid[#Data],$DE349,12),0)</f>
        <v/>
      </c>
      <c r="P349">
        <f>IFERROR(INDEX(PP_Grid[#Data],$DE349,13),0)</f>
        <v/>
      </c>
      <c r="Q349">
        <f>IFERROR(INDEX(PP_Grid[#Data],$DE349,14),0)</f>
        <v/>
      </c>
      <c r="R349">
        <f>IFERROR(INDEX(PP_Grid[#Data],$DE349,15),0)</f>
        <v/>
      </c>
      <c r="S349">
        <f>IFERROR(INDEX(PP_Grid[#Data],$DE349,16),0)</f>
        <v/>
      </c>
      <c r="T349">
        <f>IFERROR(INDEX(PP_Grid[#Data],$DE349,17),0)</f>
        <v/>
      </c>
      <c r="U349">
        <f>IFERROR(INDEX(PP_Grid[#Data],$DE349,18),0)</f>
        <v/>
      </c>
      <c r="V349">
        <f>IFERROR(INDEX(PP_Grid[#Data],$DE349,19),0)</f>
        <v/>
      </c>
      <c r="W349">
        <f>IFERROR(INDEX(PP_Grid[#Data],$DE349,20),0)</f>
        <v/>
      </c>
      <c r="X349">
        <f>IFERROR(INDEX(PP_Grid[#Data],$DE349,21),0)</f>
        <v/>
      </c>
      <c r="Y349">
        <f>IFERROR(INDEX(PP_Grid[#Data],$DE349,22),0)</f>
        <v/>
      </c>
      <c r="Z349">
        <f>IFERROR(INDEX(PP_Grid[#Data],$DE349,23),0)</f>
        <v/>
      </c>
      <c r="AA349">
        <f>IFERROR(INDEX(PP_Grid[#Data],$DE349,24),0)</f>
        <v/>
      </c>
      <c r="AB349">
        <f>IFERROR(INDEX(PP_Grid[#Data],$DE349,25),0)</f>
        <v/>
      </c>
      <c r="AC349">
        <f>IFERROR(INDEX(PP_Grid[#Data],$DE349,26),0)</f>
        <v/>
      </c>
      <c r="AD349">
        <f>IFERROR(INDEX(PP_Grid[#Data],$DE349,27),0)</f>
        <v/>
      </c>
      <c r="AE349">
        <f>IFERROR(INDEX(PP_Grid[#Data],$DE349,28),0)</f>
        <v/>
      </c>
      <c r="AF349">
        <f>IFERROR(INDEX(PP_Grid[#Data],$DE349,29),0)</f>
        <v/>
      </c>
      <c r="AG349">
        <f>IFERROR(INDEX(PP_Grid[#Data],$DE349,30),0)</f>
        <v/>
      </c>
      <c r="AH349">
        <f>IFERROR(INDEX(PP_Grid[#Data],$DE349,31),0)</f>
        <v/>
      </c>
      <c r="AI349">
        <f>IFERROR(INDEX(PP_Grid[#Data],$DE349,32),0)</f>
        <v/>
      </c>
      <c r="AJ349">
        <f>IFERROR(INDEX(PP_Grid[#Data],$DE349,33),0)</f>
        <v/>
      </c>
      <c r="AK349">
        <f>IFERROR(INDEX(PP_Grid[#Data],$DE349,34),0)</f>
        <v/>
      </c>
      <c r="AL349">
        <f>IFERROR(INDEX(PP_Grid[#Data],$DE349,35),0)</f>
        <v/>
      </c>
      <c r="AM349">
        <f>IFERROR(INDEX(PP_Grid[#Data],$DE349,36),0)</f>
        <v/>
      </c>
      <c r="AN349">
        <f>IFERROR(INDEX(PP_Grid[#Data],$DE349,37),0)</f>
        <v/>
      </c>
      <c r="AO349">
        <f>IFERROR(INDEX(PP_Grid[#Data],$DE349,38),0)</f>
        <v/>
      </c>
      <c r="AP349">
        <f>IFERROR(INDEX(PP_Grid[#Data],$DE349,39),0)</f>
        <v/>
      </c>
      <c r="AQ349">
        <f>IFERROR(INDEX(PP_Grid[#Data],$DE349,40),0)</f>
        <v/>
      </c>
      <c r="AR349">
        <f>IFERROR(INDEX(PP_Grid[#Data],$DE349,41),0)</f>
        <v/>
      </c>
      <c r="AS349">
        <f>IFERROR(INDEX(PP_Grid[#Data],$DE349,42),0)</f>
        <v/>
      </c>
      <c r="AT349">
        <f>IFERROR(INDEX(PP_Grid[#Data],$DE349,43),0)</f>
        <v/>
      </c>
      <c r="AU349">
        <f>IFERROR(INDEX(PP_Grid[#Data],$DE349,44),0)</f>
        <v/>
      </c>
      <c r="AV349">
        <f>IFERROR(INDEX(PP_Grid[#Data],$DE349,45),0)</f>
        <v/>
      </c>
      <c r="AW349">
        <f>IFERROR(INDEX(PP_Grid[#Data],$DE349,46),0)</f>
        <v/>
      </c>
      <c r="AX349">
        <f>IFERROR(INDEX(PP_Grid[#Data],$DE349,47),0)</f>
        <v/>
      </c>
      <c r="AY349">
        <f>IFERROR(INDEX(PP_Grid[#Data],$DE349,48),0)</f>
        <v/>
      </c>
      <c r="AZ349">
        <f>IFERROR(INDEX(PP_Grid[#Data],$DE349,49),0)</f>
        <v/>
      </c>
      <c r="BA349">
        <f>IFERROR(INDEX(PP_Grid[#Data],$DE349,50),0)</f>
        <v/>
      </c>
      <c r="BB349">
        <f>IFERROR(INDEX(PP_Grid[#Data],$DE349,51),0)</f>
        <v/>
      </c>
      <c r="BC349">
        <f>IFERROR(INDEX(PP_Grid[#Data],$DE349,52),0)</f>
        <v/>
      </c>
      <c r="BD349">
        <f>IFERROR(INDEX(PP_Grid[#Data],$DE349,53),0)</f>
        <v/>
      </c>
      <c r="BE349">
        <f>IFERROR(INDEX(PP_Grid[#Data],$DE349,54),0)</f>
        <v/>
      </c>
      <c r="BF349">
        <f>IFERROR(INDEX(PP_Grid[#Data],$DE349,55),0)</f>
        <v/>
      </c>
      <c r="BG349">
        <f>IFERROR(INDEX(PP_Grid[#Data],$DE349,56),0)</f>
        <v/>
      </c>
      <c r="BH349">
        <f>IFERROR(INDEX(PP_Grid[#Data],$DE349,57),0)</f>
        <v/>
      </c>
      <c r="BI349">
        <f>IFERROR(INDEX(PP_Grid[#Data],$DE349,58),0)</f>
        <v/>
      </c>
      <c r="BJ349">
        <f>IFERROR(INDEX(PP_Grid[#Data],$DE349,59),0)</f>
        <v/>
      </c>
      <c r="BK349">
        <f>IFERROR(INDEX(PP_Grid[#Data],$DE349,60),0)</f>
        <v/>
      </c>
      <c r="BL349">
        <f>IFERROR(INDEX(PP_Grid[#Data],$DE349,61),0)</f>
        <v/>
      </c>
      <c r="BM349">
        <f>IFERROR(INDEX(PP_Grid[#Data],$DE349,62),0)</f>
        <v/>
      </c>
      <c r="BN349">
        <f>IFERROR(INDEX(PP_Grid[#Data],$DE349,63),0)</f>
        <v/>
      </c>
      <c r="BO349">
        <f>IFERROR(INDEX(PP_Grid[#Data],$DE349,64),0)</f>
        <v/>
      </c>
      <c r="BP349">
        <f>IFERROR(INDEX(PP_Grid[#Data],$DE349,65),0)</f>
        <v/>
      </c>
      <c r="BQ349">
        <f>IFERROR(INDEX(PP_Grid[#Data],$DE349,66),0)</f>
        <v/>
      </c>
      <c r="BR349">
        <f>IFERROR(INDEX(PP_Grid[#Data],$DE349,67),0)</f>
        <v/>
      </c>
      <c r="BS349">
        <f>IFERROR(INDEX(PP_Grid[#Data],$DE349,68),0)</f>
        <v/>
      </c>
      <c r="BT349">
        <f>IFERROR(INDEX(PP_Grid[#Data],$DE349,69),0)</f>
        <v/>
      </c>
      <c r="BU349">
        <f>IFERROR(INDEX(PP_Grid[#Data],$DE349,70),0)</f>
        <v/>
      </c>
      <c r="BV349">
        <f>IFERROR(INDEX(PP_Grid[#Data],$DE349,71),0)</f>
        <v/>
      </c>
      <c r="BW349">
        <f>IFERROR(INDEX(PP_Grid[#Data],$DE349,72),0)</f>
        <v/>
      </c>
      <c r="BX349">
        <f>IFERROR(INDEX(PP_Grid[#Data],$DE349,73),0)</f>
        <v/>
      </c>
      <c r="BY349">
        <f>IFERROR(INDEX(PP_Grid[#Data],$DE349,74),0)</f>
        <v/>
      </c>
      <c r="BZ349">
        <f>IFERROR(INDEX(PP_Grid[#Data],$DE349,75),0)</f>
        <v/>
      </c>
      <c r="CA349">
        <f>IFERROR(INDEX(PP_Grid[#Data],$DE349,76),0)</f>
        <v/>
      </c>
      <c r="CB349">
        <f>IFERROR(INDEX(PP_Grid[#Data],$DE349,77),0)</f>
        <v/>
      </c>
      <c r="CC349">
        <f>IFERROR(INDEX(PP_Grid[#Data],$DE349,78),0)</f>
        <v/>
      </c>
      <c r="CD349">
        <f>IFERROR(INDEX(PP_Grid[#Data],$DE349,79),0)</f>
        <v/>
      </c>
      <c r="CE349">
        <f>IFERROR(INDEX(PP_Grid[#Data],$DE349,80),0)</f>
        <v/>
      </c>
      <c r="CF349">
        <f>IFERROR(INDEX(PP_Grid[#Data],$DE349,81),0)</f>
        <v/>
      </c>
      <c r="CG349">
        <f>IFERROR(INDEX(PP_Grid[#Data],$DE349,82),0)</f>
        <v/>
      </c>
      <c r="CH349">
        <f>IFERROR(INDEX(PP_Grid[#Data],$DE349,83),0)</f>
        <v/>
      </c>
      <c r="CI349">
        <f>IFERROR(INDEX(PP_Grid[#Data],$DE349,84),0)</f>
        <v/>
      </c>
      <c r="CJ349">
        <f>IFERROR(INDEX(PP_Grid[#Data],$DE349,85),0)</f>
        <v/>
      </c>
      <c r="CK349">
        <f>IFERROR(INDEX(PP_Grid[#Data],$DE349,86),0)</f>
        <v/>
      </c>
      <c r="CL349">
        <f>IFERROR(INDEX(PP_Grid[#Data],$DE349,87),0)</f>
        <v/>
      </c>
      <c r="CM349">
        <f>IFERROR(INDEX(PP_Grid[#Data],$DE349,88),0)</f>
        <v/>
      </c>
      <c r="CN349">
        <f>IFERROR(INDEX(PP_Grid[#Data],$DE349,89),0)</f>
        <v/>
      </c>
      <c r="CO349">
        <f>IFERROR(INDEX(PP_Grid[#Data],$DE349,90),0)</f>
        <v/>
      </c>
      <c r="CP349">
        <f>IFERROR(INDEX(PP_Grid[#Data],$DE349,91),0)</f>
        <v/>
      </c>
      <c r="CQ349">
        <f>IFERROR(INDEX(PP_Grid[#Data],$DE349,92),0)</f>
        <v/>
      </c>
      <c r="CR349">
        <f>IFERROR(INDEX(PP_Grid[#Data],$DE349,93),0)</f>
        <v/>
      </c>
      <c r="CS349">
        <f>IFERROR(INDEX(PP_Grid[#Data],$DE349,94),0)</f>
        <v/>
      </c>
      <c r="CT349">
        <f>IFERROR(INDEX(PP_Grid[#Data],$DE349,95),0)</f>
        <v/>
      </c>
      <c r="CU349">
        <f>IFERROR(INDEX(PP_Grid[#Data],$DE349,96),0)</f>
        <v/>
      </c>
      <c r="CV349">
        <f>IFERROR(INDEX(PP_Grid[#Data],$DE349,97),0)</f>
        <v/>
      </c>
      <c r="CW349">
        <f>IFERROR(INDEX(PP_Grid[#Data],$DE349,98),0)</f>
        <v/>
      </c>
      <c r="CX349">
        <f>IFERROR(INDEX(PP_Grid[#Data],$DE349,99),0)</f>
        <v/>
      </c>
      <c r="CY349">
        <f>IFERROR(INDEX(PP_Grid[#Data],$DE349,100),0)</f>
        <v/>
      </c>
      <c r="CZ349">
        <f>IFERROR(INDEX(PP_Grid[#Data],$DE349,101),0)</f>
        <v/>
      </c>
      <c r="DA349">
        <f>IFERROR(INDEX(PP_Grid[#Data],$DE349,102),0)</f>
        <v/>
      </c>
      <c r="DB349">
        <f>IFERROR(INDEX(PP_Grid[#Data],$DE349,103),0)</f>
        <v/>
      </c>
      <c r="DC349">
        <f>IFERROR(INDEX(PP_Grid[#Data],$DE349,104),0)</f>
        <v/>
      </c>
      <c r="DD349">
        <f>IFERROR(INDEX(PP_Grid[#Data],$DE349,105),0)</f>
        <v/>
      </c>
      <c r="DE349" s="7">
        <f>IFERROR(MATCH($B349,PP_Grid[Intermediate],0),99999)</f>
        <v/>
      </c>
    </row>
    <row r="350">
      <c r="B350" t="inlineStr">
        <is>
          <t>使用量(kg)</t>
        </is>
      </c>
      <c r="C350">
        <f>SUMIFS(M_BOM[RM_Qty_Per_Batch],M_BOM[Intermediate],$B349,M_BOM[RM_Code],$A340)</f>
        <v/>
      </c>
      <c r="D350">
        <f>IFERROR(INDEX(E350:DD350,$F$1),"")</f>
        <v/>
      </c>
      <c r="E350">
        <f>$C350*E349</f>
        <v/>
      </c>
      <c r="F350">
        <f>$C350*F349</f>
        <v/>
      </c>
      <c r="G350">
        <f>$C350*G349</f>
        <v/>
      </c>
      <c r="H350">
        <f>$C350*H349</f>
        <v/>
      </c>
      <c r="I350">
        <f>$C350*I349</f>
        <v/>
      </c>
      <c r="J350">
        <f>$C350*J349</f>
        <v/>
      </c>
      <c r="K350">
        <f>$C350*K349</f>
        <v/>
      </c>
      <c r="L350">
        <f>$C350*L349</f>
        <v/>
      </c>
      <c r="M350">
        <f>$C350*M349</f>
        <v/>
      </c>
      <c r="N350">
        <f>$C350*N349</f>
        <v/>
      </c>
      <c r="O350">
        <f>$C350*O349</f>
        <v/>
      </c>
      <c r="P350">
        <f>$C350*P349</f>
        <v/>
      </c>
      <c r="Q350">
        <f>$C350*Q349</f>
        <v/>
      </c>
      <c r="R350">
        <f>$C350*R349</f>
        <v/>
      </c>
      <c r="S350">
        <f>$C350*S349</f>
        <v/>
      </c>
      <c r="T350">
        <f>$C350*T349</f>
        <v/>
      </c>
      <c r="U350">
        <f>$C350*U349</f>
        <v/>
      </c>
      <c r="V350">
        <f>$C350*V349</f>
        <v/>
      </c>
      <c r="W350">
        <f>$C350*W349</f>
        <v/>
      </c>
      <c r="X350">
        <f>$C350*X349</f>
        <v/>
      </c>
      <c r="Y350">
        <f>$C350*Y349</f>
        <v/>
      </c>
      <c r="Z350">
        <f>$C350*Z349</f>
        <v/>
      </c>
      <c r="AA350">
        <f>$C350*AA349</f>
        <v/>
      </c>
      <c r="AB350">
        <f>$C350*AB349</f>
        <v/>
      </c>
      <c r="AC350">
        <f>$C350*AC349</f>
        <v/>
      </c>
      <c r="AD350">
        <f>$C350*AD349</f>
        <v/>
      </c>
      <c r="AE350">
        <f>$C350*AE349</f>
        <v/>
      </c>
      <c r="AF350">
        <f>$C350*AF349</f>
        <v/>
      </c>
      <c r="AG350">
        <f>$C350*AG349</f>
        <v/>
      </c>
      <c r="AH350">
        <f>$C350*AH349</f>
        <v/>
      </c>
      <c r="AI350">
        <f>$C350*AI349</f>
        <v/>
      </c>
      <c r="AJ350">
        <f>$C350*AJ349</f>
        <v/>
      </c>
      <c r="AK350">
        <f>$C350*AK349</f>
        <v/>
      </c>
      <c r="AL350">
        <f>$C350*AL349</f>
        <v/>
      </c>
      <c r="AM350">
        <f>$C350*AM349</f>
        <v/>
      </c>
      <c r="AN350">
        <f>$C350*AN349</f>
        <v/>
      </c>
      <c r="AO350">
        <f>$C350*AO349</f>
        <v/>
      </c>
      <c r="AP350">
        <f>$C350*AP349</f>
        <v/>
      </c>
      <c r="AQ350">
        <f>$C350*AQ349</f>
        <v/>
      </c>
      <c r="AR350">
        <f>$C350*AR349</f>
        <v/>
      </c>
      <c r="AS350">
        <f>$C350*AS349</f>
        <v/>
      </c>
      <c r="AT350">
        <f>$C350*AT349</f>
        <v/>
      </c>
      <c r="AU350">
        <f>$C350*AU349</f>
        <v/>
      </c>
      <c r="AV350">
        <f>$C350*AV349</f>
        <v/>
      </c>
      <c r="AW350">
        <f>$C350*AW349</f>
        <v/>
      </c>
      <c r="AX350">
        <f>$C350*AX349</f>
        <v/>
      </c>
      <c r="AY350">
        <f>$C350*AY349</f>
        <v/>
      </c>
      <c r="AZ350">
        <f>$C350*AZ349</f>
        <v/>
      </c>
      <c r="BA350">
        <f>$C350*BA349</f>
        <v/>
      </c>
      <c r="BB350">
        <f>$C350*BB349</f>
        <v/>
      </c>
      <c r="BC350">
        <f>$C350*BC349</f>
        <v/>
      </c>
      <c r="BD350">
        <f>$C350*BD349</f>
        <v/>
      </c>
      <c r="BE350">
        <f>$C350*BE349</f>
        <v/>
      </c>
      <c r="BF350">
        <f>$C350*BF349</f>
        <v/>
      </c>
      <c r="BG350">
        <f>$C350*BG349</f>
        <v/>
      </c>
      <c r="BH350">
        <f>$C350*BH349</f>
        <v/>
      </c>
      <c r="BI350">
        <f>$C350*BI349</f>
        <v/>
      </c>
      <c r="BJ350">
        <f>$C350*BJ349</f>
        <v/>
      </c>
      <c r="BK350">
        <f>$C350*BK349</f>
        <v/>
      </c>
      <c r="BL350">
        <f>$C350*BL349</f>
        <v/>
      </c>
      <c r="BM350">
        <f>$C350*BM349</f>
        <v/>
      </c>
      <c r="BN350">
        <f>$C350*BN349</f>
        <v/>
      </c>
      <c r="BO350">
        <f>$C350*BO349</f>
        <v/>
      </c>
      <c r="BP350">
        <f>$C350*BP349</f>
        <v/>
      </c>
      <c r="BQ350">
        <f>$C350*BQ349</f>
        <v/>
      </c>
      <c r="BR350">
        <f>$C350*BR349</f>
        <v/>
      </c>
      <c r="BS350">
        <f>$C350*BS349</f>
        <v/>
      </c>
      <c r="BT350">
        <f>$C350*BT349</f>
        <v/>
      </c>
      <c r="BU350">
        <f>$C350*BU349</f>
        <v/>
      </c>
      <c r="BV350">
        <f>$C350*BV349</f>
        <v/>
      </c>
      <c r="BW350">
        <f>$C350*BW349</f>
        <v/>
      </c>
      <c r="BX350">
        <f>$C350*BX349</f>
        <v/>
      </c>
      <c r="BY350">
        <f>$C350*BY349</f>
        <v/>
      </c>
      <c r="BZ350">
        <f>$C350*BZ349</f>
        <v/>
      </c>
      <c r="CA350">
        <f>$C350*CA349</f>
        <v/>
      </c>
      <c r="CB350">
        <f>$C350*CB349</f>
        <v/>
      </c>
      <c r="CC350">
        <f>$C350*CC349</f>
        <v/>
      </c>
      <c r="CD350">
        <f>$C350*CD349</f>
        <v/>
      </c>
      <c r="CE350">
        <f>$C350*CE349</f>
        <v/>
      </c>
      <c r="CF350">
        <f>$C350*CF349</f>
        <v/>
      </c>
      <c r="CG350">
        <f>$C350*CG349</f>
        <v/>
      </c>
      <c r="CH350">
        <f>$C350*CH349</f>
        <v/>
      </c>
      <c r="CI350">
        <f>$C350*CI349</f>
        <v/>
      </c>
      <c r="CJ350">
        <f>$C350*CJ349</f>
        <v/>
      </c>
      <c r="CK350">
        <f>$C350*CK349</f>
        <v/>
      </c>
      <c r="CL350">
        <f>$C350*CL349</f>
        <v/>
      </c>
      <c r="CM350">
        <f>$C350*CM349</f>
        <v/>
      </c>
      <c r="CN350">
        <f>$C350*CN349</f>
        <v/>
      </c>
      <c r="CO350">
        <f>$C350*CO349</f>
        <v/>
      </c>
      <c r="CP350">
        <f>$C350*CP349</f>
        <v/>
      </c>
      <c r="CQ350">
        <f>$C350*CQ349</f>
        <v/>
      </c>
      <c r="CR350">
        <f>$C350*CR349</f>
        <v/>
      </c>
      <c r="CS350">
        <f>$C350*CS349</f>
        <v/>
      </c>
      <c r="CT350">
        <f>$C350*CT349</f>
        <v/>
      </c>
      <c r="CU350">
        <f>$C350*CU349</f>
        <v/>
      </c>
      <c r="CV350">
        <f>$C350*CV349</f>
        <v/>
      </c>
      <c r="CW350">
        <f>$C350*CW349</f>
        <v/>
      </c>
      <c r="CX350">
        <f>$C350*CX349</f>
        <v/>
      </c>
      <c r="CY350">
        <f>$C350*CY349</f>
        <v/>
      </c>
      <c r="CZ350">
        <f>$C350*CZ349</f>
        <v/>
      </c>
      <c r="DA350">
        <f>$C350*DA349</f>
        <v/>
      </c>
      <c r="DB350">
        <f>$C350*DB349</f>
        <v/>
      </c>
      <c r="DC350">
        <f>$C350*DC349</f>
        <v/>
      </c>
      <c r="DD350">
        <f>$C350*DD349</f>
        <v/>
      </c>
    </row>
    <row r="351">
      <c r="B351" t="inlineStr">
        <is>
          <t>TSP-078</t>
        </is>
      </c>
      <c r="C351" t="inlineStr">
        <is>
          <t>No. of batches</t>
        </is>
      </c>
      <c r="D351">
        <f>IFERROR(INDEX(E351:DD351,$F$1),"")</f>
        <v/>
      </c>
      <c r="E351">
        <f>IFERROR(INDEX(PP_Grid[#Data],$DE351,2),0)</f>
        <v/>
      </c>
      <c r="F351">
        <f>IFERROR(INDEX(PP_Grid[#Data],$DE351,3),0)</f>
        <v/>
      </c>
      <c r="G351">
        <f>IFERROR(INDEX(PP_Grid[#Data],$DE351,4),0)</f>
        <v/>
      </c>
      <c r="H351">
        <f>IFERROR(INDEX(PP_Grid[#Data],$DE351,5),0)</f>
        <v/>
      </c>
      <c r="I351">
        <f>IFERROR(INDEX(PP_Grid[#Data],$DE351,6),0)</f>
        <v/>
      </c>
      <c r="J351">
        <f>IFERROR(INDEX(PP_Grid[#Data],$DE351,7),0)</f>
        <v/>
      </c>
      <c r="K351">
        <f>IFERROR(INDEX(PP_Grid[#Data],$DE351,8),0)</f>
        <v/>
      </c>
      <c r="L351">
        <f>IFERROR(INDEX(PP_Grid[#Data],$DE351,9),0)</f>
        <v/>
      </c>
      <c r="M351">
        <f>IFERROR(INDEX(PP_Grid[#Data],$DE351,10),0)</f>
        <v/>
      </c>
      <c r="N351">
        <f>IFERROR(INDEX(PP_Grid[#Data],$DE351,11),0)</f>
        <v/>
      </c>
      <c r="O351">
        <f>IFERROR(INDEX(PP_Grid[#Data],$DE351,12),0)</f>
        <v/>
      </c>
      <c r="P351">
        <f>IFERROR(INDEX(PP_Grid[#Data],$DE351,13),0)</f>
        <v/>
      </c>
      <c r="Q351">
        <f>IFERROR(INDEX(PP_Grid[#Data],$DE351,14),0)</f>
        <v/>
      </c>
      <c r="R351">
        <f>IFERROR(INDEX(PP_Grid[#Data],$DE351,15),0)</f>
        <v/>
      </c>
      <c r="S351">
        <f>IFERROR(INDEX(PP_Grid[#Data],$DE351,16),0)</f>
        <v/>
      </c>
      <c r="T351">
        <f>IFERROR(INDEX(PP_Grid[#Data],$DE351,17),0)</f>
        <v/>
      </c>
      <c r="U351">
        <f>IFERROR(INDEX(PP_Grid[#Data],$DE351,18),0)</f>
        <v/>
      </c>
      <c r="V351">
        <f>IFERROR(INDEX(PP_Grid[#Data],$DE351,19),0)</f>
        <v/>
      </c>
      <c r="W351">
        <f>IFERROR(INDEX(PP_Grid[#Data],$DE351,20),0)</f>
        <v/>
      </c>
      <c r="X351">
        <f>IFERROR(INDEX(PP_Grid[#Data],$DE351,21),0)</f>
        <v/>
      </c>
      <c r="Y351">
        <f>IFERROR(INDEX(PP_Grid[#Data],$DE351,22),0)</f>
        <v/>
      </c>
      <c r="Z351">
        <f>IFERROR(INDEX(PP_Grid[#Data],$DE351,23),0)</f>
        <v/>
      </c>
      <c r="AA351">
        <f>IFERROR(INDEX(PP_Grid[#Data],$DE351,24),0)</f>
        <v/>
      </c>
      <c r="AB351">
        <f>IFERROR(INDEX(PP_Grid[#Data],$DE351,25),0)</f>
        <v/>
      </c>
      <c r="AC351">
        <f>IFERROR(INDEX(PP_Grid[#Data],$DE351,26),0)</f>
        <v/>
      </c>
      <c r="AD351">
        <f>IFERROR(INDEX(PP_Grid[#Data],$DE351,27),0)</f>
        <v/>
      </c>
      <c r="AE351">
        <f>IFERROR(INDEX(PP_Grid[#Data],$DE351,28),0)</f>
        <v/>
      </c>
      <c r="AF351">
        <f>IFERROR(INDEX(PP_Grid[#Data],$DE351,29),0)</f>
        <v/>
      </c>
      <c r="AG351">
        <f>IFERROR(INDEX(PP_Grid[#Data],$DE351,30),0)</f>
        <v/>
      </c>
      <c r="AH351">
        <f>IFERROR(INDEX(PP_Grid[#Data],$DE351,31),0)</f>
        <v/>
      </c>
      <c r="AI351">
        <f>IFERROR(INDEX(PP_Grid[#Data],$DE351,32),0)</f>
        <v/>
      </c>
      <c r="AJ351">
        <f>IFERROR(INDEX(PP_Grid[#Data],$DE351,33),0)</f>
        <v/>
      </c>
      <c r="AK351">
        <f>IFERROR(INDEX(PP_Grid[#Data],$DE351,34),0)</f>
        <v/>
      </c>
      <c r="AL351">
        <f>IFERROR(INDEX(PP_Grid[#Data],$DE351,35),0)</f>
        <v/>
      </c>
      <c r="AM351">
        <f>IFERROR(INDEX(PP_Grid[#Data],$DE351,36),0)</f>
        <v/>
      </c>
      <c r="AN351">
        <f>IFERROR(INDEX(PP_Grid[#Data],$DE351,37),0)</f>
        <v/>
      </c>
      <c r="AO351">
        <f>IFERROR(INDEX(PP_Grid[#Data],$DE351,38),0)</f>
        <v/>
      </c>
      <c r="AP351">
        <f>IFERROR(INDEX(PP_Grid[#Data],$DE351,39),0)</f>
        <v/>
      </c>
      <c r="AQ351">
        <f>IFERROR(INDEX(PP_Grid[#Data],$DE351,40),0)</f>
        <v/>
      </c>
      <c r="AR351">
        <f>IFERROR(INDEX(PP_Grid[#Data],$DE351,41),0)</f>
        <v/>
      </c>
      <c r="AS351">
        <f>IFERROR(INDEX(PP_Grid[#Data],$DE351,42),0)</f>
        <v/>
      </c>
      <c r="AT351">
        <f>IFERROR(INDEX(PP_Grid[#Data],$DE351,43),0)</f>
        <v/>
      </c>
      <c r="AU351">
        <f>IFERROR(INDEX(PP_Grid[#Data],$DE351,44),0)</f>
        <v/>
      </c>
      <c r="AV351">
        <f>IFERROR(INDEX(PP_Grid[#Data],$DE351,45),0)</f>
        <v/>
      </c>
      <c r="AW351">
        <f>IFERROR(INDEX(PP_Grid[#Data],$DE351,46),0)</f>
        <v/>
      </c>
      <c r="AX351">
        <f>IFERROR(INDEX(PP_Grid[#Data],$DE351,47),0)</f>
        <v/>
      </c>
      <c r="AY351">
        <f>IFERROR(INDEX(PP_Grid[#Data],$DE351,48),0)</f>
        <v/>
      </c>
      <c r="AZ351">
        <f>IFERROR(INDEX(PP_Grid[#Data],$DE351,49),0)</f>
        <v/>
      </c>
      <c r="BA351">
        <f>IFERROR(INDEX(PP_Grid[#Data],$DE351,50),0)</f>
        <v/>
      </c>
      <c r="BB351">
        <f>IFERROR(INDEX(PP_Grid[#Data],$DE351,51),0)</f>
        <v/>
      </c>
      <c r="BC351">
        <f>IFERROR(INDEX(PP_Grid[#Data],$DE351,52),0)</f>
        <v/>
      </c>
      <c r="BD351">
        <f>IFERROR(INDEX(PP_Grid[#Data],$DE351,53),0)</f>
        <v/>
      </c>
      <c r="BE351">
        <f>IFERROR(INDEX(PP_Grid[#Data],$DE351,54),0)</f>
        <v/>
      </c>
      <c r="BF351">
        <f>IFERROR(INDEX(PP_Grid[#Data],$DE351,55),0)</f>
        <v/>
      </c>
      <c r="BG351">
        <f>IFERROR(INDEX(PP_Grid[#Data],$DE351,56),0)</f>
        <v/>
      </c>
      <c r="BH351">
        <f>IFERROR(INDEX(PP_Grid[#Data],$DE351,57),0)</f>
        <v/>
      </c>
      <c r="BI351">
        <f>IFERROR(INDEX(PP_Grid[#Data],$DE351,58),0)</f>
        <v/>
      </c>
      <c r="BJ351">
        <f>IFERROR(INDEX(PP_Grid[#Data],$DE351,59),0)</f>
        <v/>
      </c>
      <c r="BK351">
        <f>IFERROR(INDEX(PP_Grid[#Data],$DE351,60),0)</f>
        <v/>
      </c>
      <c r="BL351">
        <f>IFERROR(INDEX(PP_Grid[#Data],$DE351,61),0)</f>
        <v/>
      </c>
      <c r="BM351">
        <f>IFERROR(INDEX(PP_Grid[#Data],$DE351,62),0)</f>
        <v/>
      </c>
      <c r="BN351">
        <f>IFERROR(INDEX(PP_Grid[#Data],$DE351,63),0)</f>
        <v/>
      </c>
      <c r="BO351">
        <f>IFERROR(INDEX(PP_Grid[#Data],$DE351,64),0)</f>
        <v/>
      </c>
      <c r="BP351">
        <f>IFERROR(INDEX(PP_Grid[#Data],$DE351,65),0)</f>
        <v/>
      </c>
      <c r="BQ351">
        <f>IFERROR(INDEX(PP_Grid[#Data],$DE351,66),0)</f>
        <v/>
      </c>
      <c r="BR351">
        <f>IFERROR(INDEX(PP_Grid[#Data],$DE351,67),0)</f>
        <v/>
      </c>
      <c r="BS351">
        <f>IFERROR(INDEX(PP_Grid[#Data],$DE351,68),0)</f>
        <v/>
      </c>
      <c r="BT351">
        <f>IFERROR(INDEX(PP_Grid[#Data],$DE351,69),0)</f>
        <v/>
      </c>
      <c r="BU351">
        <f>IFERROR(INDEX(PP_Grid[#Data],$DE351,70),0)</f>
        <v/>
      </c>
      <c r="BV351">
        <f>IFERROR(INDEX(PP_Grid[#Data],$DE351,71),0)</f>
        <v/>
      </c>
      <c r="BW351">
        <f>IFERROR(INDEX(PP_Grid[#Data],$DE351,72),0)</f>
        <v/>
      </c>
      <c r="BX351">
        <f>IFERROR(INDEX(PP_Grid[#Data],$DE351,73),0)</f>
        <v/>
      </c>
      <c r="BY351">
        <f>IFERROR(INDEX(PP_Grid[#Data],$DE351,74),0)</f>
        <v/>
      </c>
      <c r="BZ351">
        <f>IFERROR(INDEX(PP_Grid[#Data],$DE351,75),0)</f>
        <v/>
      </c>
      <c r="CA351">
        <f>IFERROR(INDEX(PP_Grid[#Data],$DE351,76),0)</f>
        <v/>
      </c>
      <c r="CB351">
        <f>IFERROR(INDEX(PP_Grid[#Data],$DE351,77),0)</f>
        <v/>
      </c>
      <c r="CC351">
        <f>IFERROR(INDEX(PP_Grid[#Data],$DE351,78),0)</f>
        <v/>
      </c>
      <c r="CD351">
        <f>IFERROR(INDEX(PP_Grid[#Data],$DE351,79),0)</f>
        <v/>
      </c>
      <c r="CE351">
        <f>IFERROR(INDEX(PP_Grid[#Data],$DE351,80),0)</f>
        <v/>
      </c>
      <c r="CF351">
        <f>IFERROR(INDEX(PP_Grid[#Data],$DE351,81),0)</f>
        <v/>
      </c>
      <c r="CG351">
        <f>IFERROR(INDEX(PP_Grid[#Data],$DE351,82),0)</f>
        <v/>
      </c>
      <c r="CH351">
        <f>IFERROR(INDEX(PP_Grid[#Data],$DE351,83),0)</f>
        <v/>
      </c>
      <c r="CI351">
        <f>IFERROR(INDEX(PP_Grid[#Data],$DE351,84),0)</f>
        <v/>
      </c>
      <c r="CJ351">
        <f>IFERROR(INDEX(PP_Grid[#Data],$DE351,85),0)</f>
        <v/>
      </c>
      <c r="CK351">
        <f>IFERROR(INDEX(PP_Grid[#Data],$DE351,86),0)</f>
        <v/>
      </c>
      <c r="CL351">
        <f>IFERROR(INDEX(PP_Grid[#Data],$DE351,87),0)</f>
        <v/>
      </c>
      <c r="CM351">
        <f>IFERROR(INDEX(PP_Grid[#Data],$DE351,88),0)</f>
        <v/>
      </c>
      <c r="CN351">
        <f>IFERROR(INDEX(PP_Grid[#Data],$DE351,89),0)</f>
        <v/>
      </c>
      <c r="CO351">
        <f>IFERROR(INDEX(PP_Grid[#Data],$DE351,90),0)</f>
        <v/>
      </c>
      <c r="CP351">
        <f>IFERROR(INDEX(PP_Grid[#Data],$DE351,91),0)</f>
        <v/>
      </c>
      <c r="CQ351">
        <f>IFERROR(INDEX(PP_Grid[#Data],$DE351,92),0)</f>
        <v/>
      </c>
      <c r="CR351">
        <f>IFERROR(INDEX(PP_Grid[#Data],$DE351,93),0)</f>
        <v/>
      </c>
      <c r="CS351">
        <f>IFERROR(INDEX(PP_Grid[#Data],$DE351,94),0)</f>
        <v/>
      </c>
      <c r="CT351">
        <f>IFERROR(INDEX(PP_Grid[#Data],$DE351,95),0)</f>
        <v/>
      </c>
      <c r="CU351">
        <f>IFERROR(INDEX(PP_Grid[#Data],$DE351,96),0)</f>
        <v/>
      </c>
      <c r="CV351">
        <f>IFERROR(INDEX(PP_Grid[#Data],$DE351,97),0)</f>
        <v/>
      </c>
      <c r="CW351">
        <f>IFERROR(INDEX(PP_Grid[#Data],$DE351,98),0)</f>
        <v/>
      </c>
      <c r="CX351">
        <f>IFERROR(INDEX(PP_Grid[#Data],$DE351,99),0)</f>
        <v/>
      </c>
      <c r="CY351">
        <f>IFERROR(INDEX(PP_Grid[#Data],$DE351,100),0)</f>
        <v/>
      </c>
      <c r="CZ351">
        <f>IFERROR(INDEX(PP_Grid[#Data],$DE351,101),0)</f>
        <v/>
      </c>
      <c r="DA351">
        <f>IFERROR(INDEX(PP_Grid[#Data],$DE351,102),0)</f>
        <v/>
      </c>
      <c r="DB351">
        <f>IFERROR(INDEX(PP_Grid[#Data],$DE351,103),0)</f>
        <v/>
      </c>
      <c r="DC351">
        <f>IFERROR(INDEX(PP_Grid[#Data],$DE351,104),0)</f>
        <v/>
      </c>
      <c r="DD351">
        <f>IFERROR(INDEX(PP_Grid[#Data],$DE351,105),0)</f>
        <v/>
      </c>
      <c r="DE351" s="7">
        <f>IFERROR(MATCH($B351,PP_Grid[Intermediate],0),99999)</f>
        <v/>
      </c>
    </row>
    <row r="352">
      <c r="B352" t="inlineStr">
        <is>
          <t>使用量(kg)</t>
        </is>
      </c>
      <c r="C352">
        <f>SUMIFS(M_BOM[RM_Qty_Per_Batch],M_BOM[Intermediate],$B351,M_BOM[RM_Code],$A340)</f>
        <v/>
      </c>
      <c r="D352">
        <f>IFERROR(INDEX(E352:DD352,$F$1),"")</f>
        <v/>
      </c>
      <c r="E352">
        <f>$C352*E351</f>
        <v/>
      </c>
      <c r="F352">
        <f>$C352*F351</f>
        <v/>
      </c>
      <c r="G352">
        <f>$C352*G351</f>
        <v/>
      </c>
      <c r="H352">
        <f>$C352*H351</f>
        <v/>
      </c>
      <c r="I352">
        <f>$C352*I351</f>
        <v/>
      </c>
      <c r="J352">
        <f>$C352*J351</f>
        <v/>
      </c>
      <c r="K352">
        <f>$C352*K351</f>
        <v/>
      </c>
      <c r="L352">
        <f>$C352*L351</f>
        <v/>
      </c>
      <c r="M352">
        <f>$C352*M351</f>
        <v/>
      </c>
      <c r="N352">
        <f>$C352*N351</f>
        <v/>
      </c>
      <c r="O352">
        <f>$C352*O351</f>
        <v/>
      </c>
      <c r="P352">
        <f>$C352*P351</f>
        <v/>
      </c>
      <c r="Q352">
        <f>$C352*Q351</f>
        <v/>
      </c>
      <c r="R352">
        <f>$C352*R351</f>
        <v/>
      </c>
      <c r="S352">
        <f>$C352*S351</f>
        <v/>
      </c>
      <c r="T352">
        <f>$C352*T351</f>
        <v/>
      </c>
      <c r="U352">
        <f>$C352*U351</f>
        <v/>
      </c>
      <c r="V352">
        <f>$C352*V351</f>
        <v/>
      </c>
      <c r="W352">
        <f>$C352*W351</f>
        <v/>
      </c>
      <c r="X352">
        <f>$C352*X351</f>
        <v/>
      </c>
      <c r="Y352">
        <f>$C352*Y351</f>
        <v/>
      </c>
      <c r="Z352">
        <f>$C352*Z351</f>
        <v/>
      </c>
      <c r="AA352">
        <f>$C352*AA351</f>
        <v/>
      </c>
      <c r="AB352">
        <f>$C352*AB351</f>
        <v/>
      </c>
      <c r="AC352">
        <f>$C352*AC351</f>
        <v/>
      </c>
      <c r="AD352">
        <f>$C352*AD351</f>
        <v/>
      </c>
      <c r="AE352">
        <f>$C352*AE351</f>
        <v/>
      </c>
      <c r="AF352">
        <f>$C352*AF351</f>
        <v/>
      </c>
      <c r="AG352">
        <f>$C352*AG351</f>
        <v/>
      </c>
      <c r="AH352">
        <f>$C352*AH351</f>
        <v/>
      </c>
      <c r="AI352">
        <f>$C352*AI351</f>
        <v/>
      </c>
      <c r="AJ352">
        <f>$C352*AJ351</f>
        <v/>
      </c>
      <c r="AK352">
        <f>$C352*AK351</f>
        <v/>
      </c>
      <c r="AL352">
        <f>$C352*AL351</f>
        <v/>
      </c>
      <c r="AM352">
        <f>$C352*AM351</f>
        <v/>
      </c>
      <c r="AN352">
        <f>$C352*AN351</f>
        <v/>
      </c>
      <c r="AO352">
        <f>$C352*AO351</f>
        <v/>
      </c>
      <c r="AP352">
        <f>$C352*AP351</f>
        <v/>
      </c>
      <c r="AQ352">
        <f>$C352*AQ351</f>
        <v/>
      </c>
      <c r="AR352">
        <f>$C352*AR351</f>
        <v/>
      </c>
      <c r="AS352">
        <f>$C352*AS351</f>
        <v/>
      </c>
      <c r="AT352">
        <f>$C352*AT351</f>
        <v/>
      </c>
      <c r="AU352">
        <f>$C352*AU351</f>
        <v/>
      </c>
      <c r="AV352">
        <f>$C352*AV351</f>
        <v/>
      </c>
      <c r="AW352">
        <f>$C352*AW351</f>
        <v/>
      </c>
      <c r="AX352">
        <f>$C352*AX351</f>
        <v/>
      </c>
      <c r="AY352">
        <f>$C352*AY351</f>
        <v/>
      </c>
      <c r="AZ352">
        <f>$C352*AZ351</f>
        <v/>
      </c>
      <c r="BA352">
        <f>$C352*BA351</f>
        <v/>
      </c>
      <c r="BB352">
        <f>$C352*BB351</f>
        <v/>
      </c>
      <c r="BC352">
        <f>$C352*BC351</f>
        <v/>
      </c>
      <c r="BD352">
        <f>$C352*BD351</f>
        <v/>
      </c>
      <c r="BE352">
        <f>$C352*BE351</f>
        <v/>
      </c>
      <c r="BF352">
        <f>$C352*BF351</f>
        <v/>
      </c>
      <c r="BG352">
        <f>$C352*BG351</f>
        <v/>
      </c>
      <c r="BH352">
        <f>$C352*BH351</f>
        <v/>
      </c>
      <c r="BI352">
        <f>$C352*BI351</f>
        <v/>
      </c>
      <c r="BJ352">
        <f>$C352*BJ351</f>
        <v/>
      </c>
      <c r="BK352">
        <f>$C352*BK351</f>
        <v/>
      </c>
      <c r="BL352">
        <f>$C352*BL351</f>
        <v/>
      </c>
      <c r="BM352">
        <f>$C352*BM351</f>
        <v/>
      </c>
      <c r="BN352">
        <f>$C352*BN351</f>
        <v/>
      </c>
      <c r="BO352">
        <f>$C352*BO351</f>
        <v/>
      </c>
      <c r="BP352">
        <f>$C352*BP351</f>
        <v/>
      </c>
      <c r="BQ352">
        <f>$C352*BQ351</f>
        <v/>
      </c>
      <c r="BR352">
        <f>$C352*BR351</f>
        <v/>
      </c>
      <c r="BS352">
        <f>$C352*BS351</f>
        <v/>
      </c>
      <c r="BT352">
        <f>$C352*BT351</f>
        <v/>
      </c>
      <c r="BU352">
        <f>$C352*BU351</f>
        <v/>
      </c>
      <c r="BV352">
        <f>$C352*BV351</f>
        <v/>
      </c>
      <c r="BW352">
        <f>$C352*BW351</f>
        <v/>
      </c>
      <c r="BX352">
        <f>$C352*BX351</f>
        <v/>
      </c>
      <c r="BY352">
        <f>$C352*BY351</f>
        <v/>
      </c>
      <c r="BZ352">
        <f>$C352*BZ351</f>
        <v/>
      </c>
      <c r="CA352">
        <f>$C352*CA351</f>
        <v/>
      </c>
      <c r="CB352">
        <f>$C352*CB351</f>
        <v/>
      </c>
      <c r="CC352">
        <f>$C352*CC351</f>
        <v/>
      </c>
      <c r="CD352">
        <f>$C352*CD351</f>
        <v/>
      </c>
      <c r="CE352">
        <f>$C352*CE351</f>
        <v/>
      </c>
      <c r="CF352">
        <f>$C352*CF351</f>
        <v/>
      </c>
      <c r="CG352">
        <f>$C352*CG351</f>
        <v/>
      </c>
      <c r="CH352">
        <f>$C352*CH351</f>
        <v/>
      </c>
      <c r="CI352">
        <f>$C352*CI351</f>
        <v/>
      </c>
      <c r="CJ352">
        <f>$C352*CJ351</f>
        <v/>
      </c>
      <c r="CK352">
        <f>$C352*CK351</f>
        <v/>
      </c>
      <c r="CL352">
        <f>$C352*CL351</f>
        <v/>
      </c>
      <c r="CM352">
        <f>$C352*CM351</f>
        <v/>
      </c>
      <c r="CN352">
        <f>$C352*CN351</f>
        <v/>
      </c>
      <c r="CO352">
        <f>$C352*CO351</f>
        <v/>
      </c>
      <c r="CP352">
        <f>$C352*CP351</f>
        <v/>
      </c>
      <c r="CQ352">
        <f>$C352*CQ351</f>
        <v/>
      </c>
      <c r="CR352">
        <f>$C352*CR351</f>
        <v/>
      </c>
      <c r="CS352">
        <f>$C352*CS351</f>
        <v/>
      </c>
      <c r="CT352">
        <f>$C352*CT351</f>
        <v/>
      </c>
      <c r="CU352">
        <f>$C352*CU351</f>
        <v/>
      </c>
      <c r="CV352">
        <f>$C352*CV351</f>
        <v/>
      </c>
      <c r="CW352">
        <f>$C352*CW351</f>
        <v/>
      </c>
      <c r="CX352">
        <f>$C352*CX351</f>
        <v/>
      </c>
      <c r="CY352">
        <f>$C352*CY351</f>
        <v/>
      </c>
      <c r="CZ352">
        <f>$C352*CZ351</f>
        <v/>
      </c>
      <c r="DA352">
        <f>$C352*DA351</f>
        <v/>
      </c>
      <c r="DB352">
        <f>$C352*DB351</f>
        <v/>
      </c>
      <c r="DC352">
        <f>$C352*DC351</f>
        <v/>
      </c>
      <c r="DD352">
        <f>$C352*DD351</f>
        <v/>
      </c>
    </row>
    <row r="353">
      <c r="B353" t="inlineStr">
        <is>
          <t>TSP-080</t>
        </is>
      </c>
      <c r="C353" t="inlineStr">
        <is>
          <t>No. of batches</t>
        </is>
      </c>
      <c r="D353">
        <f>IFERROR(INDEX(E353:DD353,$F$1),"")</f>
        <v/>
      </c>
      <c r="E353">
        <f>IFERROR(INDEX(PP_Grid[#Data],$DE353,2),0)</f>
        <v/>
      </c>
      <c r="F353">
        <f>IFERROR(INDEX(PP_Grid[#Data],$DE353,3),0)</f>
        <v/>
      </c>
      <c r="G353">
        <f>IFERROR(INDEX(PP_Grid[#Data],$DE353,4),0)</f>
        <v/>
      </c>
      <c r="H353">
        <f>IFERROR(INDEX(PP_Grid[#Data],$DE353,5),0)</f>
        <v/>
      </c>
      <c r="I353">
        <f>IFERROR(INDEX(PP_Grid[#Data],$DE353,6),0)</f>
        <v/>
      </c>
      <c r="J353">
        <f>IFERROR(INDEX(PP_Grid[#Data],$DE353,7),0)</f>
        <v/>
      </c>
      <c r="K353">
        <f>IFERROR(INDEX(PP_Grid[#Data],$DE353,8),0)</f>
        <v/>
      </c>
      <c r="L353">
        <f>IFERROR(INDEX(PP_Grid[#Data],$DE353,9),0)</f>
        <v/>
      </c>
      <c r="M353">
        <f>IFERROR(INDEX(PP_Grid[#Data],$DE353,10),0)</f>
        <v/>
      </c>
      <c r="N353">
        <f>IFERROR(INDEX(PP_Grid[#Data],$DE353,11),0)</f>
        <v/>
      </c>
      <c r="O353">
        <f>IFERROR(INDEX(PP_Grid[#Data],$DE353,12),0)</f>
        <v/>
      </c>
      <c r="P353">
        <f>IFERROR(INDEX(PP_Grid[#Data],$DE353,13),0)</f>
        <v/>
      </c>
      <c r="Q353">
        <f>IFERROR(INDEX(PP_Grid[#Data],$DE353,14),0)</f>
        <v/>
      </c>
      <c r="R353">
        <f>IFERROR(INDEX(PP_Grid[#Data],$DE353,15),0)</f>
        <v/>
      </c>
      <c r="S353">
        <f>IFERROR(INDEX(PP_Grid[#Data],$DE353,16),0)</f>
        <v/>
      </c>
      <c r="T353">
        <f>IFERROR(INDEX(PP_Grid[#Data],$DE353,17),0)</f>
        <v/>
      </c>
      <c r="U353">
        <f>IFERROR(INDEX(PP_Grid[#Data],$DE353,18),0)</f>
        <v/>
      </c>
      <c r="V353">
        <f>IFERROR(INDEX(PP_Grid[#Data],$DE353,19),0)</f>
        <v/>
      </c>
      <c r="W353">
        <f>IFERROR(INDEX(PP_Grid[#Data],$DE353,20),0)</f>
        <v/>
      </c>
      <c r="X353">
        <f>IFERROR(INDEX(PP_Grid[#Data],$DE353,21),0)</f>
        <v/>
      </c>
      <c r="Y353">
        <f>IFERROR(INDEX(PP_Grid[#Data],$DE353,22),0)</f>
        <v/>
      </c>
      <c r="Z353">
        <f>IFERROR(INDEX(PP_Grid[#Data],$DE353,23),0)</f>
        <v/>
      </c>
      <c r="AA353">
        <f>IFERROR(INDEX(PP_Grid[#Data],$DE353,24),0)</f>
        <v/>
      </c>
      <c r="AB353">
        <f>IFERROR(INDEX(PP_Grid[#Data],$DE353,25),0)</f>
        <v/>
      </c>
      <c r="AC353">
        <f>IFERROR(INDEX(PP_Grid[#Data],$DE353,26),0)</f>
        <v/>
      </c>
      <c r="AD353">
        <f>IFERROR(INDEX(PP_Grid[#Data],$DE353,27),0)</f>
        <v/>
      </c>
      <c r="AE353">
        <f>IFERROR(INDEX(PP_Grid[#Data],$DE353,28),0)</f>
        <v/>
      </c>
      <c r="AF353">
        <f>IFERROR(INDEX(PP_Grid[#Data],$DE353,29),0)</f>
        <v/>
      </c>
      <c r="AG353">
        <f>IFERROR(INDEX(PP_Grid[#Data],$DE353,30),0)</f>
        <v/>
      </c>
      <c r="AH353">
        <f>IFERROR(INDEX(PP_Grid[#Data],$DE353,31),0)</f>
        <v/>
      </c>
      <c r="AI353">
        <f>IFERROR(INDEX(PP_Grid[#Data],$DE353,32),0)</f>
        <v/>
      </c>
      <c r="AJ353">
        <f>IFERROR(INDEX(PP_Grid[#Data],$DE353,33),0)</f>
        <v/>
      </c>
      <c r="AK353">
        <f>IFERROR(INDEX(PP_Grid[#Data],$DE353,34),0)</f>
        <v/>
      </c>
      <c r="AL353">
        <f>IFERROR(INDEX(PP_Grid[#Data],$DE353,35),0)</f>
        <v/>
      </c>
      <c r="AM353">
        <f>IFERROR(INDEX(PP_Grid[#Data],$DE353,36),0)</f>
        <v/>
      </c>
      <c r="AN353">
        <f>IFERROR(INDEX(PP_Grid[#Data],$DE353,37),0)</f>
        <v/>
      </c>
      <c r="AO353">
        <f>IFERROR(INDEX(PP_Grid[#Data],$DE353,38),0)</f>
        <v/>
      </c>
      <c r="AP353">
        <f>IFERROR(INDEX(PP_Grid[#Data],$DE353,39),0)</f>
        <v/>
      </c>
      <c r="AQ353">
        <f>IFERROR(INDEX(PP_Grid[#Data],$DE353,40),0)</f>
        <v/>
      </c>
      <c r="AR353">
        <f>IFERROR(INDEX(PP_Grid[#Data],$DE353,41),0)</f>
        <v/>
      </c>
      <c r="AS353">
        <f>IFERROR(INDEX(PP_Grid[#Data],$DE353,42),0)</f>
        <v/>
      </c>
      <c r="AT353">
        <f>IFERROR(INDEX(PP_Grid[#Data],$DE353,43),0)</f>
        <v/>
      </c>
      <c r="AU353">
        <f>IFERROR(INDEX(PP_Grid[#Data],$DE353,44),0)</f>
        <v/>
      </c>
      <c r="AV353">
        <f>IFERROR(INDEX(PP_Grid[#Data],$DE353,45),0)</f>
        <v/>
      </c>
      <c r="AW353">
        <f>IFERROR(INDEX(PP_Grid[#Data],$DE353,46),0)</f>
        <v/>
      </c>
      <c r="AX353">
        <f>IFERROR(INDEX(PP_Grid[#Data],$DE353,47),0)</f>
        <v/>
      </c>
      <c r="AY353">
        <f>IFERROR(INDEX(PP_Grid[#Data],$DE353,48),0)</f>
        <v/>
      </c>
      <c r="AZ353">
        <f>IFERROR(INDEX(PP_Grid[#Data],$DE353,49),0)</f>
        <v/>
      </c>
      <c r="BA353">
        <f>IFERROR(INDEX(PP_Grid[#Data],$DE353,50),0)</f>
        <v/>
      </c>
      <c r="BB353">
        <f>IFERROR(INDEX(PP_Grid[#Data],$DE353,51),0)</f>
        <v/>
      </c>
      <c r="BC353">
        <f>IFERROR(INDEX(PP_Grid[#Data],$DE353,52),0)</f>
        <v/>
      </c>
      <c r="BD353">
        <f>IFERROR(INDEX(PP_Grid[#Data],$DE353,53),0)</f>
        <v/>
      </c>
      <c r="BE353">
        <f>IFERROR(INDEX(PP_Grid[#Data],$DE353,54),0)</f>
        <v/>
      </c>
      <c r="BF353">
        <f>IFERROR(INDEX(PP_Grid[#Data],$DE353,55),0)</f>
        <v/>
      </c>
      <c r="BG353">
        <f>IFERROR(INDEX(PP_Grid[#Data],$DE353,56),0)</f>
        <v/>
      </c>
      <c r="BH353">
        <f>IFERROR(INDEX(PP_Grid[#Data],$DE353,57),0)</f>
        <v/>
      </c>
      <c r="BI353">
        <f>IFERROR(INDEX(PP_Grid[#Data],$DE353,58),0)</f>
        <v/>
      </c>
      <c r="BJ353">
        <f>IFERROR(INDEX(PP_Grid[#Data],$DE353,59),0)</f>
        <v/>
      </c>
      <c r="BK353">
        <f>IFERROR(INDEX(PP_Grid[#Data],$DE353,60),0)</f>
        <v/>
      </c>
      <c r="BL353">
        <f>IFERROR(INDEX(PP_Grid[#Data],$DE353,61),0)</f>
        <v/>
      </c>
      <c r="BM353">
        <f>IFERROR(INDEX(PP_Grid[#Data],$DE353,62),0)</f>
        <v/>
      </c>
      <c r="BN353">
        <f>IFERROR(INDEX(PP_Grid[#Data],$DE353,63),0)</f>
        <v/>
      </c>
      <c r="BO353">
        <f>IFERROR(INDEX(PP_Grid[#Data],$DE353,64),0)</f>
        <v/>
      </c>
      <c r="BP353">
        <f>IFERROR(INDEX(PP_Grid[#Data],$DE353,65),0)</f>
        <v/>
      </c>
      <c r="BQ353">
        <f>IFERROR(INDEX(PP_Grid[#Data],$DE353,66),0)</f>
        <v/>
      </c>
      <c r="BR353">
        <f>IFERROR(INDEX(PP_Grid[#Data],$DE353,67),0)</f>
        <v/>
      </c>
      <c r="BS353">
        <f>IFERROR(INDEX(PP_Grid[#Data],$DE353,68),0)</f>
        <v/>
      </c>
      <c r="BT353">
        <f>IFERROR(INDEX(PP_Grid[#Data],$DE353,69),0)</f>
        <v/>
      </c>
      <c r="BU353">
        <f>IFERROR(INDEX(PP_Grid[#Data],$DE353,70),0)</f>
        <v/>
      </c>
      <c r="BV353">
        <f>IFERROR(INDEX(PP_Grid[#Data],$DE353,71),0)</f>
        <v/>
      </c>
      <c r="BW353">
        <f>IFERROR(INDEX(PP_Grid[#Data],$DE353,72),0)</f>
        <v/>
      </c>
      <c r="BX353">
        <f>IFERROR(INDEX(PP_Grid[#Data],$DE353,73),0)</f>
        <v/>
      </c>
      <c r="BY353">
        <f>IFERROR(INDEX(PP_Grid[#Data],$DE353,74),0)</f>
        <v/>
      </c>
      <c r="BZ353">
        <f>IFERROR(INDEX(PP_Grid[#Data],$DE353,75),0)</f>
        <v/>
      </c>
      <c r="CA353">
        <f>IFERROR(INDEX(PP_Grid[#Data],$DE353,76),0)</f>
        <v/>
      </c>
      <c r="CB353">
        <f>IFERROR(INDEX(PP_Grid[#Data],$DE353,77),0)</f>
        <v/>
      </c>
      <c r="CC353">
        <f>IFERROR(INDEX(PP_Grid[#Data],$DE353,78),0)</f>
        <v/>
      </c>
      <c r="CD353">
        <f>IFERROR(INDEX(PP_Grid[#Data],$DE353,79),0)</f>
        <v/>
      </c>
      <c r="CE353">
        <f>IFERROR(INDEX(PP_Grid[#Data],$DE353,80),0)</f>
        <v/>
      </c>
      <c r="CF353">
        <f>IFERROR(INDEX(PP_Grid[#Data],$DE353,81),0)</f>
        <v/>
      </c>
      <c r="CG353">
        <f>IFERROR(INDEX(PP_Grid[#Data],$DE353,82),0)</f>
        <v/>
      </c>
      <c r="CH353">
        <f>IFERROR(INDEX(PP_Grid[#Data],$DE353,83),0)</f>
        <v/>
      </c>
      <c r="CI353">
        <f>IFERROR(INDEX(PP_Grid[#Data],$DE353,84),0)</f>
        <v/>
      </c>
      <c r="CJ353">
        <f>IFERROR(INDEX(PP_Grid[#Data],$DE353,85),0)</f>
        <v/>
      </c>
      <c r="CK353">
        <f>IFERROR(INDEX(PP_Grid[#Data],$DE353,86),0)</f>
        <v/>
      </c>
      <c r="CL353">
        <f>IFERROR(INDEX(PP_Grid[#Data],$DE353,87),0)</f>
        <v/>
      </c>
      <c r="CM353">
        <f>IFERROR(INDEX(PP_Grid[#Data],$DE353,88),0)</f>
        <v/>
      </c>
      <c r="CN353">
        <f>IFERROR(INDEX(PP_Grid[#Data],$DE353,89),0)</f>
        <v/>
      </c>
      <c r="CO353">
        <f>IFERROR(INDEX(PP_Grid[#Data],$DE353,90),0)</f>
        <v/>
      </c>
      <c r="CP353">
        <f>IFERROR(INDEX(PP_Grid[#Data],$DE353,91),0)</f>
        <v/>
      </c>
      <c r="CQ353">
        <f>IFERROR(INDEX(PP_Grid[#Data],$DE353,92),0)</f>
        <v/>
      </c>
      <c r="CR353">
        <f>IFERROR(INDEX(PP_Grid[#Data],$DE353,93),0)</f>
        <v/>
      </c>
      <c r="CS353">
        <f>IFERROR(INDEX(PP_Grid[#Data],$DE353,94),0)</f>
        <v/>
      </c>
      <c r="CT353">
        <f>IFERROR(INDEX(PP_Grid[#Data],$DE353,95),0)</f>
        <v/>
      </c>
      <c r="CU353">
        <f>IFERROR(INDEX(PP_Grid[#Data],$DE353,96),0)</f>
        <v/>
      </c>
      <c r="CV353">
        <f>IFERROR(INDEX(PP_Grid[#Data],$DE353,97),0)</f>
        <v/>
      </c>
      <c r="CW353">
        <f>IFERROR(INDEX(PP_Grid[#Data],$DE353,98),0)</f>
        <v/>
      </c>
      <c r="CX353">
        <f>IFERROR(INDEX(PP_Grid[#Data],$DE353,99),0)</f>
        <v/>
      </c>
      <c r="CY353">
        <f>IFERROR(INDEX(PP_Grid[#Data],$DE353,100),0)</f>
        <v/>
      </c>
      <c r="CZ353">
        <f>IFERROR(INDEX(PP_Grid[#Data],$DE353,101),0)</f>
        <v/>
      </c>
      <c r="DA353">
        <f>IFERROR(INDEX(PP_Grid[#Data],$DE353,102),0)</f>
        <v/>
      </c>
      <c r="DB353">
        <f>IFERROR(INDEX(PP_Grid[#Data],$DE353,103),0)</f>
        <v/>
      </c>
      <c r="DC353">
        <f>IFERROR(INDEX(PP_Grid[#Data],$DE353,104),0)</f>
        <v/>
      </c>
      <c r="DD353">
        <f>IFERROR(INDEX(PP_Grid[#Data],$DE353,105),0)</f>
        <v/>
      </c>
      <c r="DE353" s="7">
        <f>IFERROR(MATCH($B353,PP_Grid[Intermediate],0),99999)</f>
        <v/>
      </c>
    </row>
    <row r="354">
      <c r="B354" t="inlineStr">
        <is>
          <t>使用量(kg)</t>
        </is>
      </c>
      <c r="C354">
        <f>SUMIFS(M_BOM[RM_Qty_Per_Batch],M_BOM[Intermediate],$B353,M_BOM[RM_Code],$A340)</f>
        <v/>
      </c>
      <c r="D354">
        <f>IFERROR(INDEX(E354:DD354,$F$1),"")</f>
        <v/>
      </c>
      <c r="E354">
        <f>$C354*E353</f>
        <v/>
      </c>
      <c r="F354">
        <f>$C354*F353</f>
        <v/>
      </c>
      <c r="G354">
        <f>$C354*G353</f>
        <v/>
      </c>
      <c r="H354">
        <f>$C354*H353</f>
        <v/>
      </c>
      <c r="I354">
        <f>$C354*I353</f>
        <v/>
      </c>
      <c r="J354">
        <f>$C354*J353</f>
        <v/>
      </c>
      <c r="K354">
        <f>$C354*K353</f>
        <v/>
      </c>
      <c r="L354">
        <f>$C354*L353</f>
        <v/>
      </c>
      <c r="M354">
        <f>$C354*M353</f>
        <v/>
      </c>
      <c r="N354">
        <f>$C354*N353</f>
        <v/>
      </c>
      <c r="O354">
        <f>$C354*O353</f>
        <v/>
      </c>
      <c r="P354">
        <f>$C354*P353</f>
        <v/>
      </c>
      <c r="Q354">
        <f>$C354*Q353</f>
        <v/>
      </c>
      <c r="R354">
        <f>$C354*R353</f>
        <v/>
      </c>
      <c r="S354">
        <f>$C354*S353</f>
        <v/>
      </c>
      <c r="T354">
        <f>$C354*T353</f>
        <v/>
      </c>
      <c r="U354">
        <f>$C354*U353</f>
        <v/>
      </c>
      <c r="V354">
        <f>$C354*V353</f>
        <v/>
      </c>
      <c r="W354">
        <f>$C354*W353</f>
        <v/>
      </c>
      <c r="X354">
        <f>$C354*X353</f>
        <v/>
      </c>
      <c r="Y354">
        <f>$C354*Y353</f>
        <v/>
      </c>
      <c r="Z354">
        <f>$C354*Z353</f>
        <v/>
      </c>
      <c r="AA354">
        <f>$C354*AA353</f>
        <v/>
      </c>
      <c r="AB354">
        <f>$C354*AB353</f>
        <v/>
      </c>
      <c r="AC354">
        <f>$C354*AC353</f>
        <v/>
      </c>
      <c r="AD354">
        <f>$C354*AD353</f>
        <v/>
      </c>
      <c r="AE354">
        <f>$C354*AE353</f>
        <v/>
      </c>
      <c r="AF354">
        <f>$C354*AF353</f>
        <v/>
      </c>
      <c r="AG354">
        <f>$C354*AG353</f>
        <v/>
      </c>
      <c r="AH354">
        <f>$C354*AH353</f>
        <v/>
      </c>
      <c r="AI354">
        <f>$C354*AI353</f>
        <v/>
      </c>
      <c r="AJ354">
        <f>$C354*AJ353</f>
        <v/>
      </c>
      <c r="AK354">
        <f>$C354*AK353</f>
        <v/>
      </c>
      <c r="AL354">
        <f>$C354*AL353</f>
        <v/>
      </c>
      <c r="AM354">
        <f>$C354*AM353</f>
        <v/>
      </c>
      <c r="AN354">
        <f>$C354*AN353</f>
        <v/>
      </c>
      <c r="AO354">
        <f>$C354*AO353</f>
        <v/>
      </c>
      <c r="AP354">
        <f>$C354*AP353</f>
        <v/>
      </c>
      <c r="AQ354">
        <f>$C354*AQ353</f>
        <v/>
      </c>
      <c r="AR354">
        <f>$C354*AR353</f>
        <v/>
      </c>
      <c r="AS354">
        <f>$C354*AS353</f>
        <v/>
      </c>
      <c r="AT354">
        <f>$C354*AT353</f>
        <v/>
      </c>
      <c r="AU354">
        <f>$C354*AU353</f>
        <v/>
      </c>
      <c r="AV354">
        <f>$C354*AV353</f>
        <v/>
      </c>
      <c r="AW354">
        <f>$C354*AW353</f>
        <v/>
      </c>
      <c r="AX354">
        <f>$C354*AX353</f>
        <v/>
      </c>
      <c r="AY354">
        <f>$C354*AY353</f>
        <v/>
      </c>
      <c r="AZ354">
        <f>$C354*AZ353</f>
        <v/>
      </c>
      <c r="BA354">
        <f>$C354*BA353</f>
        <v/>
      </c>
      <c r="BB354">
        <f>$C354*BB353</f>
        <v/>
      </c>
      <c r="BC354">
        <f>$C354*BC353</f>
        <v/>
      </c>
      <c r="BD354">
        <f>$C354*BD353</f>
        <v/>
      </c>
      <c r="BE354">
        <f>$C354*BE353</f>
        <v/>
      </c>
      <c r="BF354">
        <f>$C354*BF353</f>
        <v/>
      </c>
      <c r="BG354">
        <f>$C354*BG353</f>
        <v/>
      </c>
      <c r="BH354">
        <f>$C354*BH353</f>
        <v/>
      </c>
      <c r="BI354">
        <f>$C354*BI353</f>
        <v/>
      </c>
      <c r="BJ354">
        <f>$C354*BJ353</f>
        <v/>
      </c>
      <c r="BK354">
        <f>$C354*BK353</f>
        <v/>
      </c>
      <c r="BL354">
        <f>$C354*BL353</f>
        <v/>
      </c>
      <c r="BM354">
        <f>$C354*BM353</f>
        <v/>
      </c>
      <c r="BN354">
        <f>$C354*BN353</f>
        <v/>
      </c>
      <c r="BO354">
        <f>$C354*BO353</f>
        <v/>
      </c>
      <c r="BP354">
        <f>$C354*BP353</f>
        <v/>
      </c>
      <c r="BQ354">
        <f>$C354*BQ353</f>
        <v/>
      </c>
      <c r="BR354">
        <f>$C354*BR353</f>
        <v/>
      </c>
      <c r="BS354">
        <f>$C354*BS353</f>
        <v/>
      </c>
      <c r="BT354">
        <f>$C354*BT353</f>
        <v/>
      </c>
      <c r="BU354">
        <f>$C354*BU353</f>
        <v/>
      </c>
      <c r="BV354">
        <f>$C354*BV353</f>
        <v/>
      </c>
      <c r="BW354">
        <f>$C354*BW353</f>
        <v/>
      </c>
      <c r="BX354">
        <f>$C354*BX353</f>
        <v/>
      </c>
      <c r="BY354">
        <f>$C354*BY353</f>
        <v/>
      </c>
      <c r="BZ354">
        <f>$C354*BZ353</f>
        <v/>
      </c>
      <c r="CA354">
        <f>$C354*CA353</f>
        <v/>
      </c>
      <c r="CB354">
        <f>$C354*CB353</f>
        <v/>
      </c>
      <c r="CC354">
        <f>$C354*CC353</f>
        <v/>
      </c>
      <c r="CD354">
        <f>$C354*CD353</f>
        <v/>
      </c>
      <c r="CE354">
        <f>$C354*CE353</f>
        <v/>
      </c>
      <c r="CF354">
        <f>$C354*CF353</f>
        <v/>
      </c>
      <c r="CG354">
        <f>$C354*CG353</f>
        <v/>
      </c>
      <c r="CH354">
        <f>$C354*CH353</f>
        <v/>
      </c>
      <c r="CI354">
        <f>$C354*CI353</f>
        <v/>
      </c>
      <c r="CJ354">
        <f>$C354*CJ353</f>
        <v/>
      </c>
      <c r="CK354">
        <f>$C354*CK353</f>
        <v/>
      </c>
      <c r="CL354">
        <f>$C354*CL353</f>
        <v/>
      </c>
      <c r="CM354">
        <f>$C354*CM353</f>
        <v/>
      </c>
      <c r="CN354">
        <f>$C354*CN353</f>
        <v/>
      </c>
      <c r="CO354">
        <f>$C354*CO353</f>
        <v/>
      </c>
      <c r="CP354">
        <f>$C354*CP353</f>
        <v/>
      </c>
      <c r="CQ354">
        <f>$C354*CQ353</f>
        <v/>
      </c>
      <c r="CR354">
        <f>$C354*CR353</f>
        <v/>
      </c>
      <c r="CS354">
        <f>$C354*CS353</f>
        <v/>
      </c>
      <c r="CT354">
        <f>$C354*CT353</f>
        <v/>
      </c>
      <c r="CU354">
        <f>$C354*CU353</f>
        <v/>
      </c>
      <c r="CV354">
        <f>$C354*CV353</f>
        <v/>
      </c>
      <c r="CW354">
        <f>$C354*CW353</f>
        <v/>
      </c>
      <c r="CX354">
        <f>$C354*CX353</f>
        <v/>
      </c>
      <c r="CY354">
        <f>$C354*CY353</f>
        <v/>
      </c>
      <c r="CZ354">
        <f>$C354*CZ353</f>
        <v/>
      </c>
      <c r="DA354">
        <f>$C354*DA353</f>
        <v/>
      </c>
      <c r="DB354">
        <f>$C354*DB353</f>
        <v/>
      </c>
      <c r="DC354">
        <f>$C354*DC353</f>
        <v/>
      </c>
      <c r="DD354">
        <f>$C354*DD353</f>
        <v/>
      </c>
    </row>
    <row r="355">
      <c r="B355" t="inlineStr">
        <is>
          <t>TSP-089</t>
        </is>
      </c>
      <c r="C355" t="inlineStr">
        <is>
          <t>No. of batches</t>
        </is>
      </c>
      <c r="D355">
        <f>IFERROR(INDEX(E355:DD355,$F$1),"")</f>
        <v/>
      </c>
      <c r="E355">
        <f>IFERROR(INDEX(PP_Grid[#Data],$DE355,2),0)</f>
        <v/>
      </c>
      <c r="F355">
        <f>IFERROR(INDEX(PP_Grid[#Data],$DE355,3),0)</f>
        <v/>
      </c>
      <c r="G355">
        <f>IFERROR(INDEX(PP_Grid[#Data],$DE355,4),0)</f>
        <v/>
      </c>
      <c r="H355">
        <f>IFERROR(INDEX(PP_Grid[#Data],$DE355,5),0)</f>
        <v/>
      </c>
      <c r="I355">
        <f>IFERROR(INDEX(PP_Grid[#Data],$DE355,6),0)</f>
        <v/>
      </c>
      <c r="J355">
        <f>IFERROR(INDEX(PP_Grid[#Data],$DE355,7),0)</f>
        <v/>
      </c>
      <c r="K355">
        <f>IFERROR(INDEX(PP_Grid[#Data],$DE355,8),0)</f>
        <v/>
      </c>
      <c r="L355">
        <f>IFERROR(INDEX(PP_Grid[#Data],$DE355,9),0)</f>
        <v/>
      </c>
      <c r="M355">
        <f>IFERROR(INDEX(PP_Grid[#Data],$DE355,10),0)</f>
        <v/>
      </c>
      <c r="N355">
        <f>IFERROR(INDEX(PP_Grid[#Data],$DE355,11),0)</f>
        <v/>
      </c>
      <c r="O355">
        <f>IFERROR(INDEX(PP_Grid[#Data],$DE355,12),0)</f>
        <v/>
      </c>
      <c r="P355">
        <f>IFERROR(INDEX(PP_Grid[#Data],$DE355,13),0)</f>
        <v/>
      </c>
      <c r="Q355">
        <f>IFERROR(INDEX(PP_Grid[#Data],$DE355,14),0)</f>
        <v/>
      </c>
      <c r="R355">
        <f>IFERROR(INDEX(PP_Grid[#Data],$DE355,15),0)</f>
        <v/>
      </c>
      <c r="S355">
        <f>IFERROR(INDEX(PP_Grid[#Data],$DE355,16),0)</f>
        <v/>
      </c>
      <c r="T355">
        <f>IFERROR(INDEX(PP_Grid[#Data],$DE355,17),0)</f>
        <v/>
      </c>
      <c r="U355">
        <f>IFERROR(INDEX(PP_Grid[#Data],$DE355,18),0)</f>
        <v/>
      </c>
      <c r="V355">
        <f>IFERROR(INDEX(PP_Grid[#Data],$DE355,19),0)</f>
        <v/>
      </c>
      <c r="W355">
        <f>IFERROR(INDEX(PP_Grid[#Data],$DE355,20),0)</f>
        <v/>
      </c>
      <c r="X355">
        <f>IFERROR(INDEX(PP_Grid[#Data],$DE355,21),0)</f>
        <v/>
      </c>
      <c r="Y355">
        <f>IFERROR(INDEX(PP_Grid[#Data],$DE355,22),0)</f>
        <v/>
      </c>
      <c r="Z355">
        <f>IFERROR(INDEX(PP_Grid[#Data],$DE355,23),0)</f>
        <v/>
      </c>
      <c r="AA355">
        <f>IFERROR(INDEX(PP_Grid[#Data],$DE355,24),0)</f>
        <v/>
      </c>
      <c r="AB355">
        <f>IFERROR(INDEX(PP_Grid[#Data],$DE355,25),0)</f>
        <v/>
      </c>
      <c r="AC355">
        <f>IFERROR(INDEX(PP_Grid[#Data],$DE355,26),0)</f>
        <v/>
      </c>
      <c r="AD355">
        <f>IFERROR(INDEX(PP_Grid[#Data],$DE355,27),0)</f>
        <v/>
      </c>
      <c r="AE355">
        <f>IFERROR(INDEX(PP_Grid[#Data],$DE355,28),0)</f>
        <v/>
      </c>
      <c r="AF355">
        <f>IFERROR(INDEX(PP_Grid[#Data],$DE355,29),0)</f>
        <v/>
      </c>
      <c r="AG355">
        <f>IFERROR(INDEX(PP_Grid[#Data],$DE355,30),0)</f>
        <v/>
      </c>
      <c r="AH355">
        <f>IFERROR(INDEX(PP_Grid[#Data],$DE355,31),0)</f>
        <v/>
      </c>
      <c r="AI355">
        <f>IFERROR(INDEX(PP_Grid[#Data],$DE355,32),0)</f>
        <v/>
      </c>
      <c r="AJ355">
        <f>IFERROR(INDEX(PP_Grid[#Data],$DE355,33),0)</f>
        <v/>
      </c>
      <c r="AK355">
        <f>IFERROR(INDEX(PP_Grid[#Data],$DE355,34),0)</f>
        <v/>
      </c>
      <c r="AL355">
        <f>IFERROR(INDEX(PP_Grid[#Data],$DE355,35),0)</f>
        <v/>
      </c>
      <c r="AM355">
        <f>IFERROR(INDEX(PP_Grid[#Data],$DE355,36),0)</f>
        <v/>
      </c>
      <c r="AN355">
        <f>IFERROR(INDEX(PP_Grid[#Data],$DE355,37),0)</f>
        <v/>
      </c>
      <c r="AO355">
        <f>IFERROR(INDEX(PP_Grid[#Data],$DE355,38),0)</f>
        <v/>
      </c>
      <c r="AP355">
        <f>IFERROR(INDEX(PP_Grid[#Data],$DE355,39),0)</f>
        <v/>
      </c>
      <c r="AQ355">
        <f>IFERROR(INDEX(PP_Grid[#Data],$DE355,40),0)</f>
        <v/>
      </c>
      <c r="AR355">
        <f>IFERROR(INDEX(PP_Grid[#Data],$DE355,41),0)</f>
        <v/>
      </c>
      <c r="AS355">
        <f>IFERROR(INDEX(PP_Grid[#Data],$DE355,42),0)</f>
        <v/>
      </c>
      <c r="AT355">
        <f>IFERROR(INDEX(PP_Grid[#Data],$DE355,43),0)</f>
        <v/>
      </c>
      <c r="AU355">
        <f>IFERROR(INDEX(PP_Grid[#Data],$DE355,44),0)</f>
        <v/>
      </c>
      <c r="AV355">
        <f>IFERROR(INDEX(PP_Grid[#Data],$DE355,45),0)</f>
        <v/>
      </c>
      <c r="AW355">
        <f>IFERROR(INDEX(PP_Grid[#Data],$DE355,46),0)</f>
        <v/>
      </c>
      <c r="AX355">
        <f>IFERROR(INDEX(PP_Grid[#Data],$DE355,47),0)</f>
        <v/>
      </c>
      <c r="AY355">
        <f>IFERROR(INDEX(PP_Grid[#Data],$DE355,48),0)</f>
        <v/>
      </c>
      <c r="AZ355">
        <f>IFERROR(INDEX(PP_Grid[#Data],$DE355,49),0)</f>
        <v/>
      </c>
      <c r="BA355">
        <f>IFERROR(INDEX(PP_Grid[#Data],$DE355,50),0)</f>
        <v/>
      </c>
      <c r="BB355">
        <f>IFERROR(INDEX(PP_Grid[#Data],$DE355,51),0)</f>
        <v/>
      </c>
      <c r="BC355">
        <f>IFERROR(INDEX(PP_Grid[#Data],$DE355,52),0)</f>
        <v/>
      </c>
      <c r="BD355">
        <f>IFERROR(INDEX(PP_Grid[#Data],$DE355,53),0)</f>
        <v/>
      </c>
      <c r="BE355">
        <f>IFERROR(INDEX(PP_Grid[#Data],$DE355,54),0)</f>
        <v/>
      </c>
      <c r="BF355">
        <f>IFERROR(INDEX(PP_Grid[#Data],$DE355,55),0)</f>
        <v/>
      </c>
      <c r="BG355">
        <f>IFERROR(INDEX(PP_Grid[#Data],$DE355,56),0)</f>
        <v/>
      </c>
      <c r="BH355">
        <f>IFERROR(INDEX(PP_Grid[#Data],$DE355,57),0)</f>
        <v/>
      </c>
      <c r="BI355">
        <f>IFERROR(INDEX(PP_Grid[#Data],$DE355,58),0)</f>
        <v/>
      </c>
      <c r="BJ355">
        <f>IFERROR(INDEX(PP_Grid[#Data],$DE355,59),0)</f>
        <v/>
      </c>
      <c r="BK355">
        <f>IFERROR(INDEX(PP_Grid[#Data],$DE355,60),0)</f>
        <v/>
      </c>
      <c r="BL355">
        <f>IFERROR(INDEX(PP_Grid[#Data],$DE355,61),0)</f>
        <v/>
      </c>
      <c r="BM355">
        <f>IFERROR(INDEX(PP_Grid[#Data],$DE355,62),0)</f>
        <v/>
      </c>
      <c r="BN355">
        <f>IFERROR(INDEX(PP_Grid[#Data],$DE355,63),0)</f>
        <v/>
      </c>
      <c r="BO355">
        <f>IFERROR(INDEX(PP_Grid[#Data],$DE355,64),0)</f>
        <v/>
      </c>
      <c r="BP355">
        <f>IFERROR(INDEX(PP_Grid[#Data],$DE355,65),0)</f>
        <v/>
      </c>
      <c r="BQ355">
        <f>IFERROR(INDEX(PP_Grid[#Data],$DE355,66),0)</f>
        <v/>
      </c>
      <c r="BR355">
        <f>IFERROR(INDEX(PP_Grid[#Data],$DE355,67),0)</f>
        <v/>
      </c>
      <c r="BS355">
        <f>IFERROR(INDEX(PP_Grid[#Data],$DE355,68),0)</f>
        <v/>
      </c>
      <c r="BT355">
        <f>IFERROR(INDEX(PP_Grid[#Data],$DE355,69),0)</f>
        <v/>
      </c>
      <c r="BU355">
        <f>IFERROR(INDEX(PP_Grid[#Data],$DE355,70),0)</f>
        <v/>
      </c>
      <c r="BV355">
        <f>IFERROR(INDEX(PP_Grid[#Data],$DE355,71),0)</f>
        <v/>
      </c>
      <c r="BW355">
        <f>IFERROR(INDEX(PP_Grid[#Data],$DE355,72),0)</f>
        <v/>
      </c>
      <c r="BX355">
        <f>IFERROR(INDEX(PP_Grid[#Data],$DE355,73),0)</f>
        <v/>
      </c>
      <c r="BY355">
        <f>IFERROR(INDEX(PP_Grid[#Data],$DE355,74),0)</f>
        <v/>
      </c>
      <c r="BZ355">
        <f>IFERROR(INDEX(PP_Grid[#Data],$DE355,75),0)</f>
        <v/>
      </c>
      <c r="CA355">
        <f>IFERROR(INDEX(PP_Grid[#Data],$DE355,76),0)</f>
        <v/>
      </c>
      <c r="CB355">
        <f>IFERROR(INDEX(PP_Grid[#Data],$DE355,77),0)</f>
        <v/>
      </c>
      <c r="CC355">
        <f>IFERROR(INDEX(PP_Grid[#Data],$DE355,78),0)</f>
        <v/>
      </c>
      <c r="CD355">
        <f>IFERROR(INDEX(PP_Grid[#Data],$DE355,79),0)</f>
        <v/>
      </c>
      <c r="CE355">
        <f>IFERROR(INDEX(PP_Grid[#Data],$DE355,80),0)</f>
        <v/>
      </c>
      <c r="CF355">
        <f>IFERROR(INDEX(PP_Grid[#Data],$DE355,81),0)</f>
        <v/>
      </c>
      <c r="CG355">
        <f>IFERROR(INDEX(PP_Grid[#Data],$DE355,82),0)</f>
        <v/>
      </c>
      <c r="CH355">
        <f>IFERROR(INDEX(PP_Grid[#Data],$DE355,83),0)</f>
        <v/>
      </c>
      <c r="CI355">
        <f>IFERROR(INDEX(PP_Grid[#Data],$DE355,84),0)</f>
        <v/>
      </c>
      <c r="CJ355">
        <f>IFERROR(INDEX(PP_Grid[#Data],$DE355,85),0)</f>
        <v/>
      </c>
      <c r="CK355">
        <f>IFERROR(INDEX(PP_Grid[#Data],$DE355,86),0)</f>
        <v/>
      </c>
      <c r="CL355">
        <f>IFERROR(INDEX(PP_Grid[#Data],$DE355,87),0)</f>
        <v/>
      </c>
      <c r="CM355">
        <f>IFERROR(INDEX(PP_Grid[#Data],$DE355,88),0)</f>
        <v/>
      </c>
      <c r="CN355">
        <f>IFERROR(INDEX(PP_Grid[#Data],$DE355,89),0)</f>
        <v/>
      </c>
      <c r="CO355">
        <f>IFERROR(INDEX(PP_Grid[#Data],$DE355,90),0)</f>
        <v/>
      </c>
      <c r="CP355">
        <f>IFERROR(INDEX(PP_Grid[#Data],$DE355,91),0)</f>
        <v/>
      </c>
      <c r="CQ355">
        <f>IFERROR(INDEX(PP_Grid[#Data],$DE355,92),0)</f>
        <v/>
      </c>
      <c r="CR355">
        <f>IFERROR(INDEX(PP_Grid[#Data],$DE355,93),0)</f>
        <v/>
      </c>
      <c r="CS355">
        <f>IFERROR(INDEX(PP_Grid[#Data],$DE355,94),0)</f>
        <v/>
      </c>
      <c r="CT355">
        <f>IFERROR(INDEX(PP_Grid[#Data],$DE355,95),0)</f>
        <v/>
      </c>
      <c r="CU355">
        <f>IFERROR(INDEX(PP_Grid[#Data],$DE355,96),0)</f>
        <v/>
      </c>
      <c r="CV355">
        <f>IFERROR(INDEX(PP_Grid[#Data],$DE355,97),0)</f>
        <v/>
      </c>
      <c r="CW355">
        <f>IFERROR(INDEX(PP_Grid[#Data],$DE355,98),0)</f>
        <v/>
      </c>
      <c r="CX355">
        <f>IFERROR(INDEX(PP_Grid[#Data],$DE355,99),0)</f>
        <v/>
      </c>
      <c r="CY355">
        <f>IFERROR(INDEX(PP_Grid[#Data],$DE355,100),0)</f>
        <v/>
      </c>
      <c r="CZ355">
        <f>IFERROR(INDEX(PP_Grid[#Data],$DE355,101),0)</f>
        <v/>
      </c>
      <c r="DA355">
        <f>IFERROR(INDEX(PP_Grid[#Data],$DE355,102),0)</f>
        <v/>
      </c>
      <c r="DB355">
        <f>IFERROR(INDEX(PP_Grid[#Data],$DE355,103),0)</f>
        <v/>
      </c>
      <c r="DC355">
        <f>IFERROR(INDEX(PP_Grid[#Data],$DE355,104),0)</f>
        <v/>
      </c>
      <c r="DD355">
        <f>IFERROR(INDEX(PP_Grid[#Data],$DE355,105),0)</f>
        <v/>
      </c>
      <c r="DE355" s="7">
        <f>IFERROR(MATCH($B355,PP_Grid[Intermediate],0),99999)</f>
        <v/>
      </c>
    </row>
    <row r="356">
      <c r="B356" t="inlineStr">
        <is>
          <t>使用量(kg)</t>
        </is>
      </c>
      <c r="C356">
        <f>SUMIFS(M_BOM[RM_Qty_Per_Batch],M_BOM[Intermediate],$B355,M_BOM[RM_Code],$A340)</f>
        <v/>
      </c>
      <c r="D356">
        <f>IFERROR(INDEX(E356:DD356,$F$1),"")</f>
        <v/>
      </c>
      <c r="E356">
        <f>$C356*E355</f>
        <v/>
      </c>
      <c r="F356">
        <f>$C356*F355</f>
        <v/>
      </c>
      <c r="G356">
        <f>$C356*G355</f>
        <v/>
      </c>
      <c r="H356">
        <f>$C356*H355</f>
        <v/>
      </c>
      <c r="I356">
        <f>$C356*I355</f>
        <v/>
      </c>
      <c r="J356">
        <f>$C356*J355</f>
        <v/>
      </c>
      <c r="K356">
        <f>$C356*K355</f>
        <v/>
      </c>
      <c r="L356">
        <f>$C356*L355</f>
        <v/>
      </c>
      <c r="M356">
        <f>$C356*M355</f>
        <v/>
      </c>
      <c r="N356">
        <f>$C356*N355</f>
        <v/>
      </c>
      <c r="O356">
        <f>$C356*O355</f>
        <v/>
      </c>
      <c r="P356">
        <f>$C356*P355</f>
        <v/>
      </c>
      <c r="Q356">
        <f>$C356*Q355</f>
        <v/>
      </c>
      <c r="R356">
        <f>$C356*R355</f>
        <v/>
      </c>
      <c r="S356">
        <f>$C356*S355</f>
        <v/>
      </c>
      <c r="T356">
        <f>$C356*T355</f>
        <v/>
      </c>
      <c r="U356">
        <f>$C356*U355</f>
        <v/>
      </c>
      <c r="V356">
        <f>$C356*V355</f>
        <v/>
      </c>
      <c r="W356">
        <f>$C356*W355</f>
        <v/>
      </c>
      <c r="X356">
        <f>$C356*X355</f>
        <v/>
      </c>
      <c r="Y356">
        <f>$C356*Y355</f>
        <v/>
      </c>
      <c r="Z356">
        <f>$C356*Z355</f>
        <v/>
      </c>
      <c r="AA356">
        <f>$C356*AA355</f>
        <v/>
      </c>
      <c r="AB356">
        <f>$C356*AB355</f>
        <v/>
      </c>
      <c r="AC356">
        <f>$C356*AC355</f>
        <v/>
      </c>
      <c r="AD356">
        <f>$C356*AD355</f>
        <v/>
      </c>
      <c r="AE356">
        <f>$C356*AE355</f>
        <v/>
      </c>
      <c r="AF356">
        <f>$C356*AF355</f>
        <v/>
      </c>
      <c r="AG356">
        <f>$C356*AG355</f>
        <v/>
      </c>
      <c r="AH356">
        <f>$C356*AH355</f>
        <v/>
      </c>
      <c r="AI356">
        <f>$C356*AI355</f>
        <v/>
      </c>
      <c r="AJ356">
        <f>$C356*AJ355</f>
        <v/>
      </c>
      <c r="AK356">
        <f>$C356*AK355</f>
        <v/>
      </c>
      <c r="AL356">
        <f>$C356*AL355</f>
        <v/>
      </c>
      <c r="AM356">
        <f>$C356*AM355</f>
        <v/>
      </c>
      <c r="AN356">
        <f>$C356*AN355</f>
        <v/>
      </c>
      <c r="AO356">
        <f>$C356*AO355</f>
        <v/>
      </c>
      <c r="AP356">
        <f>$C356*AP355</f>
        <v/>
      </c>
      <c r="AQ356">
        <f>$C356*AQ355</f>
        <v/>
      </c>
      <c r="AR356">
        <f>$C356*AR355</f>
        <v/>
      </c>
      <c r="AS356">
        <f>$C356*AS355</f>
        <v/>
      </c>
      <c r="AT356">
        <f>$C356*AT355</f>
        <v/>
      </c>
      <c r="AU356">
        <f>$C356*AU355</f>
        <v/>
      </c>
      <c r="AV356">
        <f>$C356*AV355</f>
        <v/>
      </c>
      <c r="AW356">
        <f>$C356*AW355</f>
        <v/>
      </c>
      <c r="AX356">
        <f>$C356*AX355</f>
        <v/>
      </c>
      <c r="AY356">
        <f>$C356*AY355</f>
        <v/>
      </c>
      <c r="AZ356">
        <f>$C356*AZ355</f>
        <v/>
      </c>
      <c r="BA356">
        <f>$C356*BA355</f>
        <v/>
      </c>
      <c r="BB356">
        <f>$C356*BB355</f>
        <v/>
      </c>
      <c r="BC356">
        <f>$C356*BC355</f>
        <v/>
      </c>
      <c r="BD356">
        <f>$C356*BD355</f>
        <v/>
      </c>
      <c r="BE356">
        <f>$C356*BE355</f>
        <v/>
      </c>
      <c r="BF356">
        <f>$C356*BF355</f>
        <v/>
      </c>
      <c r="BG356">
        <f>$C356*BG355</f>
        <v/>
      </c>
      <c r="BH356">
        <f>$C356*BH355</f>
        <v/>
      </c>
      <c r="BI356">
        <f>$C356*BI355</f>
        <v/>
      </c>
      <c r="BJ356">
        <f>$C356*BJ355</f>
        <v/>
      </c>
      <c r="BK356">
        <f>$C356*BK355</f>
        <v/>
      </c>
      <c r="BL356">
        <f>$C356*BL355</f>
        <v/>
      </c>
      <c r="BM356">
        <f>$C356*BM355</f>
        <v/>
      </c>
      <c r="BN356">
        <f>$C356*BN355</f>
        <v/>
      </c>
      <c r="BO356">
        <f>$C356*BO355</f>
        <v/>
      </c>
      <c r="BP356">
        <f>$C356*BP355</f>
        <v/>
      </c>
      <c r="BQ356">
        <f>$C356*BQ355</f>
        <v/>
      </c>
      <c r="BR356">
        <f>$C356*BR355</f>
        <v/>
      </c>
      <c r="BS356">
        <f>$C356*BS355</f>
        <v/>
      </c>
      <c r="BT356">
        <f>$C356*BT355</f>
        <v/>
      </c>
      <c r="BU356">
        <f>$C356*BU355</f>
        <v/>
      </c>
      <c r="BV356">
        <f>$C356*BV355</f>
        <v/>
      </c>
      <c r="BW356">
        <f>$C356*BW355</f>
        <v/>
      </c>
      <c r="BX356">
        <f>$C356*BX355</f>
        <v/>
      </c>
      <c r="BY356">
        <f>$C356*BY355</f>
        <v/>
      </c>
      <c r="BZ356">
        <f>$C356*BZ355</f>
        <v/>
      </c>
      <c r="CA356">
        <f>$C356*CA355</f>
        <v/>
      </c>
      <c r="CB356">
        <f>$C356*CB355</f>
        <v/>
      </c>
      <c r="CC356">
        <f>$C356*CC355</f>
        <v/>
      </c>
      <c r="CD356">
        <f>$C356*CD355</f>
        <v/>
      </c>
      <c r="CE356">
        <f>$C356*CE355</f>
        <v/>
      </c>
      <c r="CF356">
        <f>$C356*CF355</f>
        <v/>
      </c>
      <c r="CG356">
        <f>$C356*CG355</f>
        <v/>
      </c>
      <c r="CH356">
        <f>$C356*CH355</f>
        <v/>
      </c>
      <c r="CI356">
        <f>$C356*CI355</f>
        <v/>
      </c>
      <c r="CJ356">
        <f>$C356*CJ355</f>
        <v/>
      </c>
      <c r="CK356">
        <f>$C356*CK355</f>
        <v/>
      </c>
      <c r="CL356">
        <f>$C356*CL355</f>
        <v/>
      </c>
      <c r="CM356">
        <f>$C356*CM355</f>
        <v/>
      </c>
      <c r="CN356">
        <f>$C356*CN355</f>
        <v/>
      </c>
      <c r="CO356">
        <f>$C356*CO355</f>
        <v/>
      </c>
      <c r="CP356">
        <f>$C356*CP355</f>
        <v/>
      </c>
      <c r="CQ356">
        <f>$C356*CQ355</f>
        <v/>
      </c>
      <c r="CR356">
        <f>$C356*CR355</f>
        <v/>
      </c>
      <c r="CS356">
        <f>$C356*CS355</f>
        <v/>
      </c>
      <c r="CT356">
        <f>$C356*CT355</f>
        <v/>
      </c>
      <c r="CU356">
        <f>$C356*CU355</f>
        <v/>
      </c>
      <c r="CV356">
        <f>$C356*CV355</f>
        <v/>
      </c>
      <c r="CW356">
        <f>$C356*CW355</f>
        <v/>
      </c>
      <c r="CX356">
        <f>$C356*CX355</f>
        <v/>
      </c>
      <c r="CY356">
        <f>$C356*CY355</f>
        <v/>
      </c>
      <c r="CZ356">
        <f>$C356*CZ355</f>
        <v/>
      </c>
      <c r="DA356">
        <f>$C356*DA355</f>
        <v/>
      </c>
      <c r="DB356">
        <f>$C356*DB355</f>
        <v/>
      </c>
      <c r="DC356">
        <f>$C356*DC355</f>
        <v/>
      </c>
      <c r="DD356">
        <f>$C356*DD355</f>
        <v/>
      </c>
    </row>
    <row r="357">
      <c r="B357" t="inlineStr">
        <is>
          <t>TSP-104</t>
        </is>
      </c>
      <c r="C357" t="inlineStr">
        <is>
          <t>No. of batches</t>
        </is>
      </c>
      <c r="D357">
        <f>IFERROR(INDEX(E357:DD357,$F$1),"")</f>
        <v/>
      </c>
      <c r="E357">
        <f>IFERROR(INDEX(PP_Grid[#Data],$DE357,2),0)</f>
        <v/>
      </c>
      <c r="F357">
        <f>IFERROR(INDEX(PP_Grid[#Data],$DE357,3),0)</f>
        <v/>
      </c>
      <c r="G357">
        <f>IFERROR(INDEX(PP_Grid[#Data],$DE357,4),0)</f>
        <v/>
      </c>
      <c r="H357">
        <f>IFERROR(INDEX(PP_Grid[#Data],$DE357,5),0)</f>
        <v/>
      </c>
      <c r="I357">
        <f>IFERROR(INDEX(PP_Grid[#Data],$DE357,6),0)</f>
        <v/>
      </c>
      <c r="J357">
        <f>IFERROR(INDEX(PP_Grid[#Data],$DE357,7),0)</f>
        <v/>
      </c>
      <c r="K357">
        <f>IFERROR(INDEX(PP_Grid[#Data],$DE357,8),0)</f>
        <v/>
      </c>
      <c r="L357">
        <f>IFERROR(INDEX(PP_Grid[#Data],$DE357,9),0)</f>
        <v/>
      </c>
      <c r="M357">
        <f>IFERROR(INDEX(PP_Grid[#Data],$DE357,10),0)</f>
        <v/>
      </c>
      <c r="N357">
        <f>IFERROR(INDEX(PP_Grid[#Data],$DE357,11),0)</f>
        <v/>
      </c>
      <c r="O357">
        <f>IFERROR(INDEX(PP_Grid[#Data],$DE357,12),0)</f>
        <v/>
      </c>
      <c r="P357">
        <f>IFERROR(INDEX(PP_Grid[#Data],$DE357,13),0)</f>
        <v/>
      </c>
      <c r="Q357">
        <f>IFERROR(INDEX(PP_Grid[#Data],$DE357,14),0)</f>
        <v/>
      </c>
      <c r="R357">
        <f>IFERROR(INDEX(PP_Grid[#Data],$DE357,15),0)</f>
        <v/>
      </c>
      <c r="S357">
        <f>IFERROR(INDEX(PP_Grid[#Data],$DE357,16),0)</f>
        <v/>
      </c>
      <c r="T357">
        <f>IFERROR(INDEX(PP_Grid[#Data],$DE357,17),0)</f>
        <v/>
      </c>
      <c r="U357">
        <f>IFERROR(INDEX(PP_Grid[#Data],$DE357,18),0)</f>
        <v/>
      </c>
      <c r="V357">
        <f>IFERROR(INDEX(PP_Grid[#Data],$DE357,19),0)</f>
        <v/>
      </c>
      <c r="W357">
        <f>IFERROR(INDEX(PP_Grid[#Data],$DE357,20),0)</f>
        <v/>
      </c>
      <c r="X357">
        <f>IFERROR(INDEX(PP_Grid[#Data],$DE357,21),0)</f>
        <v/>
      </c>
      <c r="Y357">
        <f>IFERROR(INDEX(PP_Grid[#Data],$DE357,22),0)</f>
        <v/>
      </c>
      <c r="Z357">
        <f>IFERROR(INDEX(PP_Grid[#Data],$DE357,23),0)</f>
        <v/>
      </c>
      <c r="AA357">
        <f>IFERROR(INDEX(PP_Grid[#Data],$DE357,24),0)</f>
        <v/>
      </c>
      <c r="AB357">
        <f>IFERROR(INDEX(PP_Grid[#Data],$DE357,25),0)</f>
        <v/>
      </c>
      <c r="AC357">
        <f>IFERROR(INDEX(PP_Grid[#Data],$DE357,26),0)</f>
        <v/>
      </c>
      <c r="AD357">
        <f>IFERROR(INDEX(PP_Grid[#Data],$DE357,27),0)</f>
        <v/>
      </c>
      <c r="AE357">
        <f>IFERROR(INDEX(PP_Grid[#Data],$DE357,28),0)</f>
        <v/>
      </c>
      <c r="AF357">
        <f>IFERROR(INDEX(PP_Grid[#Data],$DE357,29),0)</f>
        <v/>
      </c>
      <c r="AG357">
        <f>IFERROR(INDEX(PP_Grid[#Data],$DE357,30),0)</f>
        <v/>
      </c>
      <c r="AH357">
        <f>IFERROR(INDEX(PP_Grid[#Data],$DE357,31),0)</f>
        <v/>
      </c>
      <c r="AI357">
        <f>IFERROR(INDEX(PP_Grid[#Data],$DE357,32),0)</f>
        <v/>
      </c>
      <c r="AJ357">
        <f>IFERROR(INDEX(PP_Grid[#Data],$DE357,33),0)</f>
        <v/>
      </c>
      <c r="AK357">
        <f>IFERROR(INDEX(PP_Grid[#Data],$DE357,34),0)</f>
        <v/>
      </c>
      <c r="AL357">
        <f>IFERROR(INDEX(PP_Grid[#Data],$DE357,35),0)</f>
        <v/>
      </c>
      <c r="AM357">
        <f>IFERROR(INDEX(PP_Grid[#Data],$DE357,36),0)</f>
        <v/>
      </c>
      <c r="AN357">
        <f>IFERROR(INDEX(PP_Grid[#Data],$DE357,37),0)</f>
        <v/>
      </c>
      <c r="AO357">
        <f>IFERROR(INDEX(PP_Grid[#Data],$DE357,38),0)</f>
        <v/>
      </c>
      <c r="AP357">
        <f>IFERROR(INDEX(PP_Grid[#Data],$DE357,39),0)</f>
        <v/>
      </c>
      <c r="AQ357">
        <f>IFERROR(INDEX(PP_Grid[#Data],$DE357,40),0)</f>
        <v/>
      </c>
      <c r="AR357">
        <f>IFERROR(INDEX(PP_Grid[#Data],$DE357,41),0)</f>
        <v/>
      </c>
      <c r="AS357">
        <f>IFERROR(INDEX(PP_Grid[#Data],$DE357,42),0)</f>
        <v/>
      </c>
      <c r="AT357">
        <f>IFERROR(INDEX(PP_Grid[#Data],$DE357,43),0)</f>
        <v/>
      </c>
      <c r="AU357">
        <f>IFERROR(INDEX(PP_Grid[#Data],$DE357,44),0)</f>
        <v/>
      </c>
      <c r="AV357">
        <f>IFERROR(INDEX(PP_Grid[#Data],$DE357,45),0)</f>
        <v/>
      </c>
      <c r="AW357">
        <f>IFERROR(INDEX(PP_Grid[#Data],$DE357,46),0)</f>
        <v/>
      </c>
      <c r="AX357">
        <f>IFERROR(INDEX(PP_Grid[#Data],$DE357,47),0)</f>
        <v/>
      </c>
      <c r="AY357">
        <f>IFERROR(INDEX(PP_Grid[#Data],$DE357,48),0)</f>
        <v/>
      </c>
      <c r="AZ357">
        <f>IFERROR(INDEX(PP_Grid[#Data],$DE357,49),0)</f>
        <v/>
      </c>
      <c r="BA357">
        <f>IFERROR(INDEX(PP_Grid[#Data],$DE357,50),0)</f>
        <v/>
      </c>
      <c r="BB357">
        <f>IFERROR(INDEX(PP_Grid[#Data],$DE357,51),0)</f>
        <v/>
      </c>
      <c r="BC357">
        <f>IFERROR(INDEX(PP_Grid[#Data],$DE357,52),0)</f>
        <v/>
      </c>
      <c r="BD357">
        <f>IFERROR(INDEX(PP_Grid[#Data],$DE357,53),0)</f>
        <v/>
      </c>
      <c r="BE357">
        <f>IFERROR(INDEX(PP_Grid[#Data],$DE357,54),0)</f>
        <v/>
      </c>
      <c r="BF357">
        <f>IFERROR(INDEX(PP_Grid[#Data],$DE357,55),0)</f>
        <v/>
      </c>
      <c r="BG357">
        <f>IFERROR(INDEX(PP_Grid[#Data],$DE357,56),0)</f>
        <v/>
      </c>
      <c r="BH357">
        <f>IFERROR(INDEX(PP_Grid[#Data],$DE357,57),0)</f>
        <v/>
      </c>
      <c r="BI357">
        <f>IFERROR(INDEX(PP_Grid[#Data],$DE357,58),0)</f>
        <v/>
      </c>
      <c r="BJ357">
        <f>IFERROR(INDEX(PP_Grid[#Data],$DE357,59),0)</f>
        <v/>
      </c>
      <c r="BK357">
        <f>IFERROR(INDEX(PP_Grid[#Data],$DE357,60),0)</f>
        <v/>
      </c>
      <c r="BL357">
        <f>IFERROR(INDEX(PP_Grid[#Data],$DE357,61),0)</f>
        <v/>
      </c>
      <c r="BM357">
        <f>IFERROR(INDEX(PP_Grid[#Data],$DE357,62),0)</f>
        <v/>
      </c>
      <c r="BN357">
        <f>IFERROR(INDEX(PP_Grid[#Data],$DE357,63),0)</f>
        <v/>
      </c>
      <c r="BO357">
        <f>IFERROR(INDEX(PP_Grid[#Data],$DE357,64),0)</f>
        <v/>
      </c>
      <c r="BP357">
        <f>IFERROR(INDEX(PP_Grid[#Data],$DE357,65),0)</f>
        <v/>
      </c>
      <c r="BQ357">
        <f>IFERROR(INDEX(PP_Grid[#Data],$DE357,66),0)</f>
        <v/>
      </c>
      <c r="BR357">
        <f>IFERROR(INDEX(PP_Grid[#Data],$DE357,67),0)</f>
        <v/>
      </c>
      <c r="BS357">
        <f>IFERROR(INDEX(PP_Grid[#Data],$DE357,68),0)</f>
        <v/>
      </c>
      <c r="BT357">
        <f>IFERROR(INDEX(PP_Grid[#Data],$DE357,69),0)</f>
        <v/>
      </c>
      <c r="BU357">
        <f>IFERROR(INDEX(PP_Grid[#Data],$DE357,70),0)</f>
        <v/>
      </c>
      <c r="BV357">
        <f>IFERROR(INDEX(PP_Grid[#Data],$DE357,71),0)</f>
        <v/>
      </c>
      <c r="BW357">
        <f>IFERROR(INDEX(PP_Grid[#Data],$DE357,72),0)</f>
        <v/>
      </c>
      <c r="BX357">
        <f>IFERROR(INDEX(PP_Grid[#Data],$DE357,73),0)</f>
        <v/>
      </c>
      <c r="BY357">
        <f>IFERROR(INDEX(PP_Grid[#Data],$DE357,74),0)</f>
        <v/>
      </c>
      <c r="BZ357">
        <f>IFERROR(INDEX(PP_Grid[#Data],$DE357,75),0)</f>
        <v/>
      </c>
      <c r="CA357">
        <f>IFERROR(INDEX(PP_Grid[#Data],$DE357,76),0)</f>
        <v/>
      </c>
      <c r="CB357">
        <f>IFERROR(INDEX(PP_Grid[#Data],$DE357,77),0)</f>
        <v/>
      </c>
      <c r="CC357">
        <f>IFERROR(INDEX(PP_Grid[#Data],$DE357,78),0)</f>
        <v/>
      </c>
      <c r="CD357">
        <f>IFERROR(INDEX(PP_Grid[#Data],$DE357,79),0)</f>
        <v/>
      </c>
      <c r="CE357">
        <f>IFERROR(INDEX(PP_Grid[#Data],$DE357,80),0)</f>
        <v/>
      </c>
      <c r="CF357">
        <f>IFERROR(INDEX(PP_Grid[#Data],$DE357,81),0)</f>
        <v/>
      </c>
      <c r="CG357">
        <f>IFERROR(INDEX(PP_Grid[#Data],$DE357,82),0)</f>
        <v/>
      </c>
      <c r="CH357">
        <f>IFERROR(INDEX(PP_Grid[#Data],$DE357,83),0)</f>
        <v/>
      </c>
      <c r="CI357">
        <f>IFERROR(INDEX(PP_Grid[#Data],$DE357,84),0)</f>
        <v/>
      </c>
      <c r="CJ357">
        <f>IFERROR(INDEX(PP_Grid[#Data],$DE357,85),0)</f>
        <v/>
      </c>
      <c r="CK357">
        <f>IFERROR(INDEX(PP_Grid[#Data],$DE357,86),0)</f>
        <v/>
      </c>
      <c r="CL357">
        <f>IFERROR(INDEX(PP_Grid[#Data],$DE357,87),0)</f>
        <v/>
      </c>
      <c r="CM357">
        <f>IFERROR(INDEX(PP_Grid[#Data],$DE357,88),0)</f>
        <v/>
      </c>
      <c r="CN357">
        <f>IFERROR(INDEX(PP_Grid[#Data],$DE357,89),0)</f>
        <v/>
      </c>
      <c r="CO357">
        <f>IFERROR(INDEX(PP_Grid[#Data],$DE357,90),0)</f>
        <v/>
      </c>
      <c r="CP357">
        <f>IFERROR(INDEX(PP_Grid[#Data],$DE357,91),0)</f>
        <v/>
      </c>
      <c r="CQ357">
        <f>IFERROR(INDEX(PP_Grid[#Data],$DE357,92),0)</f>
        <v/>
      </c>
      <c r="CR357">
        <f>IFERROR(INDEX(PP_Grid[#Data],$DE357,93),0)</f>
        <v/>
      </c>
      <c r="CS357">
        <f>IFERROR(INDEX(PP_Grid[#Data],$DE357,94),0)</f>
        <v/>
      </c>
      <c r="CT357">
        <f>IFERROR(INDEX(PP_Grid[#Data],$DE357,95),0)</f>
        <v/>
      </c>
      <c r="CU357">
        <f>IFERROR(INDEX(PP_Grid[#Data],$DE357,96),0)</f>
        <v/>
      </c>
      <c r="CV357">
        <f>IFERROR(INDEX(PP_Grid[#Data],$DE357,97),0)</f>
        <v/>
      </c>
      <c r="CW357">
        <f>IFERROR(INDEX(PP_Grid[#Data],$DE357,98),0)</f>
        <v/>
      </c>
      <c r="CX357">
        <f>IFERROR(INDEX(PP_Grid[#Data],$DE357,99),0)</f>
        <v/>
      </c>
      <c r="CY357">
        <f>IFERROR(INDEX(PP_Grid[#Data],$DE357,100),0)</f>
        <v/>
      </c>
      <c r="CZ357">
        <f>IFERROR(INDEX(PP_Grid[#Data],$DE357,101),0)</f>
        <v/>
      </c>
      <c r="DA357">
        <f>IFERROR(INDEX(PP_Grid[#Data],$DE357,102),0)</f>
        <v/>
      </c>
      <c r="DB357">
        <f>IFERROR(INDEX(PP_Grid[#Data],$DE357,103),0)</f>
        <v/>
      </c>
      <c r="DC357">
        <f>IFERROR(INDEX(PP_Grid[#Data],$DE357,104),0)</f>
        <v/>
      </c>
      <c r="DD357">
        <f>IFERROR(INDEX(PP_Grid[#Data],$DE357,105),0)</f>
        <v/>
      </c>
      <c r="DE357" s="7">
        <f>IFERROR(MATCH($B357,PP_Grid[Intermediate],0),99999)</f>
        <v/>
      </c>
    </row>
    <row r="358">
      <c r="B358" t="inlineStr">
        <is>
          <t>使用量(kg)</t>
        </is>
      </c>
      <c r="C358">
        <f>SUMIFS(M_BOM[RM_Qty_Per_Batch],M_BOM[Intermediate],$B357,M_BOM[RM_Code],$A340)</f>
        <v/>
      </c>
      <c r="D358">
        <f>IFERROR(INDEX(E358:DD358,$F$1),"")</f>
        <v/>
      </c>
      <c r="E358">
        <f>$C358*E357</f>
        <v/>
      </c>
      <c r="F358">
        <f>$C358*F357</f>
        <v/>
      </c>
      <c r="G358">
        <f>$C358*G357</f>
        <v/>
      </c>
      <c r="H358">
        <f>$C358*H357</f>
        <v/>
      </c>
      <c r="I358">
        <f>$C358*I357</f>
        <v/>
      </c>
      <c r="J358">
        <f>$C358*J357</f>
        <v/>
      </c>
      <c r="K358">
        <f>$C358*K357</f>
        <v/>
      </c>
      <c r="L358">
        <f>$C358*L357</f>
        <v/>
      </c>
      <c r="M358">
        <f>$C358*M357</f>
        <v/>
      </c>
      <c r="N358">
        <f>$C358*N357</f>
        <v/>
      </c>
      <c r="O358">
        <f>$C358*O357</f>
        <v/>
      </c>
      <c r="P358">
        <f>$C358*P357</f>
        <v/>
      </c>
      <c r="Q358">
        <f>$C358*Q357</f>
        <v/>
      </c>
      <c r="R358">
        <f>$C358*R357</f>
        <v/>
      </c>
      <c r="S358">
        <f>$C358*S357</f>
        <v/>
      </c>
      <c r="T358">
        <f>$C358*T357</f>
        <v/>
      </c>
      <c r="U358">
        <f>$C358*U357</f>
        <v/>
      </c>
      <c r="V358">
        <f>$C358*V357</f>
        <v/>
      </c>
      <c r="W358">
        <f>$C358*W357</f>
        <v/>
      </c>
      <c r="X358">
        <f>$C358*X357</f>
        <v/>
      </c>
      <c r="Y358">
        <f>$C358*Y357</f>
        <v/>
      </c>
      <c r="Z358">
        <f>$C358*Z357</f>
        <v/>
      </c>
      <c r="AA358">
        <f>$C358*AA357</f>
        <v/>
      </c>
      <c r="AB358">
        <f>$C358*AB357</f>
        <v/>
      </c>
      <c r="AC358">
        <f>$C358*AC357</f>
        <v/>
      </c>
      <c r="AD358">
        <f>$C358*AD357</f>
        <v/>
      </c>
      <c r="AE358">
        <f>$C358*AE357</f>
        <v/>
      </c>
      <c r="AF358">
        <f>$C358*AF357</f>
        <v/>
      </c>
      <c r="AG358">
        <f>$C358*AG357</f>
        <v/>
      </c>
      <c r="AH358">
        <f>$C358*AH357</f>
        <v/>
      </c>
      <c r="AI358">
        <f>$C358*AI357</f>
        <v/>
      </c>
      <c r="AJ358">
        <f>$C358*AJ357</f>
        <v/>
      </c>
      <c r="AK358">
        <f>$C358*AK357</f>
        <v/>
      </c>
      <c r="AL358">
        <f>$C358*AL357</f>
        <v/>
      </c>
      <c r="AM358">
        <f>$C358*AM357</f>
        <v/>
      </c>
      <c r="AN358">
        <f>$C358*AN357</f>
        <v/>
      </c>
      <c r="AO358">
        <f>$C358*AO357</f>
        <v/>
      </c>
      <c r="AP358">
        <f>$C358*AP357</f>
        <v/>
      </c>
      <c r="AQ358">
        <f>$C358*AQ357</f>
        <v/>
      </c>
      <c r="AR358">
        <f>$C358*AR357</f>
        <v/>
      </c>
      <c r="AS358">
        <f>$C358*AS357</f>
        <v/>
      </c>
      <c r="AT358">
        <f>$C358*AT357</f>
        <v/>
      </c>
      <c r="AU358">
        <f>$C358*AU357</f>
        <v/>
      </c>
      <c r="AV358">
        <f>$C358*AV357</f>
        <v/>
      </c>
      <c r="AW358">
        <f>$C358*AW357</f>
        <v/>
      </c>
      <c r="AX358">
        <f>$C358*AX357</f>
        <v/>
      </c>
      <c r="AY358">
        <f>$C358*AY357</f>
        <v/>
      </c>
      <c r="AZ358">
        <f>$C358*AZ357</f>
        <v/>
      </c>
      <c r="BA358">
        <f>$C358*BA357</f>
        <v/>
      </c>
      <c r="BB358">
        <f>$C358*BB357</f>
        <v/>
      </c>
      <c r="BC358">
        <f>$C358*BC357</f>
        <v/>
      </c>
      <c r="BD358">
        <f>$C358*BD357</f>
        <v/>
      </c>
      <c r="BE358">
        <f>$C358*BE357</f>
        <v/>
      </c>
      <c r="BF358">
        <f>$C358*BF357</f>
        <v/>
      </c>
      <c r="BG358">
        <f>$C358*BG357</f>
        <v/>
      </c>
      <c r="BH358">
        <f>$C358*BH357</f>
        <v/>
      </c>
      <c r="BI358">
        <f>$C358*BI357</f>
        <v/>
      </c>
      <c r="BJ358">
        <f>$C358*BJ357</f>
        <v/>
      </c>
      <c r="BK358">
        <f>$C358*BK357</f>
        <v/>
      </c>
      <c r="BL358">
        <f>$C358*BL357</f>
        <v/>
      </c>
      <c r="BM358">
        <f>$C358*BM357</f>
        <v/>
      </c>
      <c r="BN358">
        <f>$C358*BN357</f>
        <v/>
      </c>
      <c r="BO358">
        <f>$C358*BO357</f>
        <v/>
      </c>
      <c r="BP358">
        <f>$C358*BP357</f>
        <v/>
      </c>
      <c r="BQ358">
        <f>$C358*BQ357</f>
        <v/>
      </c>
      <c r="BR358">
        <f>$C358*BR357</f>
        <v/>
      </c>
      <c r="BS358">
        <f>$C358*BS357</f>
        <v/>
      </c>
      <c r="BT358">
        <f>$C358*BT357</f>
        <v/>
      </c>
      <c r="BU358">
        <f>$C358*BU357</f>
        <v/>
      </c>
      <c r="BV358">
        <f>$C358*BV357</f>
        <v/>
      </c>
      <c r="BW358">
        <f>$C358*BW357</f>
        <v/>
      </c>
      <c r="BX358">
        <f>$C358*BX357</f>
        <v/>
      </c>
      <c r="BY358">
        <f>$C358*BY357</f>
        <v/>
      </c>
      <c r="BZ358">
        <f>$C358*BZ357</f>
        <v/>
      </c>
      <c r="CA358">
        <f>$C358*CA357</f>
        <v/>
      </c>
      <c r="CB358">
        <f>$C358*CB357</f>
        <v/>
      </c>
      <c r="CC358">
        <f>$C358*CC357</f>
        <v/>
      </c>
      <c r="CD358">
        <f>$C358*CD357</f>
        <v/>
      </c>
      <c r="CE358">
        <f>$C358*CE357</f>
        <v/>
      </c>
      <c r="CF358">
        <f>$C358*CF357</f>
        <v/>
      </c>
      <c r="CG358">
        <f>$C358*CG357</f>
        <v/>
      </c>
      <c r="CH358">
        <f>$C358*CH357</f>
        <v/>
      </c>
      <c r="CI358">
        <f>$C358*CI357</f>
        <v/>
      </c>
      <c r="CJ358">
        <f>$C358*CJ357</f>
        <v/>
      </c>
      <c r="CK358">
        <f>$C358*CK357</f>
        <v/>
      </c>
      <c r="CL358">
        <f>$C358*CL357</f>
        <v/>
      </c>
      <c r="CM358">
        <f>$C358*CM357</f>
        <v/>
      </c>
      <c r="CN358">
        <f>$C358*CN357</f>
        <v/>
      </c>
      <c r="CO358">
        <f>$C358*CO357</f>
        <v/>
      </c>
      <c r="CP358">
        <f>$C358*CP357</f>
        <v/>
      </c>
      <c r="CQ358">
        <f>$C358*CQ357</f>
        <v/>
      </c>
      <c r="CR358">
        <f>$C358*CR357</f>
        <v/>
      </c>
      <c r="CS358">
        <f>$C358*CS357</f>
        <v/>
      </c>
      <c r="CT358">
        <f>$C358*CT357</f>
        <v/>
      </c>
      <c r="CU358">
        <f>$C358*CU357</f>
        <v/>
      </c>
      <c r="CV358">
        <f>$C358*CV357</f>
        <v/>
      </c>
      <c r="CW358">
        <f>$C358*CW357</f>
        <v/>
      </c>
      <c r="CX358">
        <f>$C358*CX357</f>
        <v/>
      </c>
      <c r="CY358">
        <f>$C358*CY357</f>
        <v/>
      </c>
      <c r="CZ358">
        <f>$C358*CZ357</f>
        <v/>
      </c>
      <c r="DA358">
        <f>$C358*DA357</f>
        <v/>
      </c>
      <c r="DB358">
        <f>$C358*DB357</f>
        <v/>
      </c>
      <c r="DC358">
        <f>$C358*DC357</f>
        <v/>
      </c>
      <c r="DD358">
        <f>$C358*DD357</f>
        <v/>
      </c>
    </row>
    <row r="359">
      <c r="B359" t="inlineStr">
        <is>
          <t>TSP-105</t>
        </is>
      </c>
      <c r="C359" t="inlineStr">
        <is>
          <t>No. of batches</t>
        </is>
      </c>
      <c r="D359">
        <f>IFERROR(INDEX(E359:DD359,$F$1),"")</f>
        <v/>
      </c>
      <c r="E359">
        <f>IFERROR(INDEX(PP_Grid[#Data],$DE359,2),0)</f>
        <v/>
      </c>
      <c r="F359">
        <f>IFERROR(INDEX(PP_Grid[#Data],$DE359,3),0)</f>
        <v/>
      </c>
      <c r="G359">
        <f>IFERROR(INDEX(PP_Grid[#Data],$DE359,4),0)</f>
        <v/>
      </c>
      <c r="H359">
        <f>IFERROR(INDEX(PP_Grid[#Data],$DE359,5),0)</f>
        <v/>
      </c>
      <c r="I359">
        <f>IFERROR(INDEX(PP_Grid[#Data],$DE359,6),0)</f>
        <v/>
      </c>
      <c r="J359">
        <f>IFERROR(INDEX(PP_Grid[#Data],$DE359,7),0)</f>
        <v/>
      </c>
      <c r="K359">
        <f>IFERROR(INDEX(PP_Grid[#Data],$DE359,8),0)</f>
        <v/>
      </c>
      <c r="L359">
        <f>IFERROR(INDEX(PP_Grid[#Data],$DE359,9),0)</f>
        <v/>
      </c>
      <c r="M359">
        <f>IFERROR(INDEX(PP_Grid[#Data],$DE359,10),0)</f>
        <v/>
      </c>
      <c r="N359">
        <f>IFERROR(INDEX(PP_Grid[#Data],$DE359,11),0)</f>
        <v/>
      </c>
      <c r="O359">
        <f>IFERROR(INDEX(PP_Grid[#Data],$DE359,12),0)</f>
        <v/>
      </c>
      <c r="P359">
        <f>IFERROR(INDEX(PP_Grid[#Data],$DE359,13),0)</f>
        <v/>
      </c>
      <c r="Q359">
        <f>IFERROR(INDEX(PP_Grid[#Data],$DE359,14),0)</f>
        <v/>
      </c>
      <c r="R359">
        <f>IFERROR(INDEX(PP_Grid[#Data],$DE359,15),0)</f>
        <v/>
      </c>
      <c r="S359">
        <f>IFERROR(INDEX(PP_Grid[#Data],$DE359,16),0)</f>
        <v/>
      </c>
      <c r="T359">
        <f>IFERROR(INDEX(PP_Grid[#Data],$DE359,17),0)</f>
        <v/>
      </c>
      <c r="U359">
        <f>IFERROR(INDEX(PP_Grid[#Data],$DE359,18),0)</f>
        <v/>
      </c>
      <c r="V359">
        <f>IFERROR(INDEX(PP_Grid[#Data],$DE359,19),0)</f>
        <v/>
      </c>
      <c r="W359">
        <f>IFERROR(INDEX(PP_Grid[#Data],$DE359,20),0)</f>
        <v/>
      </c>
      <c r="X359">
        <f>IFERROR(INDEX(PP_Grid[#Data],$DE359,21),0)</f>
        <v/>
      </c>
      <c r="Y359">
        <f>IFERROR(INDEX(PP_Grid[#Data],$DE359,22),0)</f>
        <v/>
      </c>
      <c r="Z359">
        <f>IFERROR(INDEX(PP_Grid[#Data],$DE359,23),0)</f>
        <v/>
      </c>
      <c r="AA359">
        <f>IFERROR(INDEX(PP_Grid[#Data],$DE359,24),0)</f>
        <v/>
      </c>
      <c r="AB359">
        <f>IFERROR(INDEX(PP_Grid[#Data],$DE359,25),0)</f>
        <v/>
      </c>
      <c r="AC359">
        <f>IFERROR(INDEX(PP_Grid[#Data],$DE359,26),0)</f>
        <v/>
      </c>
      <c r="AD359">
        <f>IFERROR(INDEX(PP_Grid[#Data],$DE359,27),0)</f>
        <v/>
      </c>
      <c r="AE359">
        <f>IFERROR(INDEX(PP_Grid[#Data],$DE359,28),0)</f>
        <v/>
      </c>
      <c r="AF359">
        <f>IFERROR(INDEX(PP_Grid[#Data],$DE359,29),0)</f>
        <v/>
      </c>
      <c r="AG359">
        <f>IFERROR(INDEX(PP_Grid[#Data],$DE359,30),0)</f>
        <v/>
      </c>
      <c r="AH359">
        <f>IFERROR(INDEX(PP_Grid[#Data],$DE359,31),0)</f>
        <v/>
      </c>
      <c r="AI359">
        <f>IFERROR(INDEX(PP_Grid[#Data],$DE359,32),0)</f>
        <v/>
      </c>
      <c r="AJ359">
        <f>IFERROR(INDEX(PP_Grid[#Data],$DE359,33),0)</f>
        <v/>
      </c>
      <c r="AK359">
        <f>IFERROR(INDEX(PP_Grid[#Data],$DE359,34),0)</f>
        <v/>
      </c>
      <c r="AL359">
        <f>IFERROR(INDEX(PP_Grid[#Data],$DE359,35),0)</f>
        <v/>
      </c>
      <c r="AM359">
        <f>IFERROR(INDEX(PP_Grid[#Data],$DE359,36),0)</f>
        <v/>
      </c>
      <c r="AN359">
        <f>IFERROR(INDEX(PP_Grid[#Data],$DE359,37),0)</f>
        <v/>
      </c>
      <c r="AO359">
        <f>IFERROR(INDEX(PP_Grid[#Data],$DE359,38),0)</f>
        <v/>
      </c>
      <c r="AP359">
        <f>IFERROR(INDEX(PP_Grid[#Data],$DE359,39),0)</f>
        <v/>
      </c>
      <c r="AQ359">
        <f>IFERROR(INDEX(PP_Grid[#Data],$DE359,40),0)</f>
        <v/>
      </c>
      <c r="AR359">
        <f>IFERROR(INDEX(PP_Grid[#Data],$DE359,41),0)</f>
        <v/>
      </c>
      <c r="AS359">
        <f>IFERROR(INDEX(PP_Grid[#Data],$DE359,42),0)</f>
        <v/>
      </c>
      <c r="AT359">
        <f>IFERROR(INDEX(PP_Grid[#Data],$DE359,43),0)</f>
        <v/>
      </c>
      <c r="AU359">
        <f>IFERROR(INDEX(PP_Grid[#Data],$DE359,44),0)</f>
        <v/>
      </c>
      <c r="AV359">
        <f>IFERROR(INDEX(PP_Grid[#Data],$DE359,45),0)</f>
        <v/>
      </c>
      <c r="AW359">
        <f>IFERROR(INDEX(PP_Grid[#Data],$DE359,46),0)</f>
        <v/>
      </c>
      <c r="AX359">
        <f>IFERROR(INDEX(PP_Grid[#Data],$DE359,47),0)</f>
        <v/>
      </c>
      <c r="AY359">
        <f>IFERROR(INDEX(PP_Grid[#Data],$DE359,48),0)</f>
        <v/>
      </c>
      <c r="AZ359">
        <f>IFERROR(INDEX(PP_Grid[#Data],$DE359,49),0)</f>
        <v/>
      </c>
      <c r="BA359">
        <f>IFERROR(INDEX(PP_Grid[#Data],$DE359,50),0)</f>
        <v/>
      </c>
      <c r="BB359">
        <f>IFERROR(INDEX(PP_Grid[#Data],$DE359,51),0)</f>
        <v/>
      </c>
      <c r="BC359">
        <f>IFERROR(INDEX(PP_Grid[#Data],$DE359,52),0)</f>
        <v/>
      </c>
      <c r="BD359">
        <f>IFERROR(INDEX(PP_Grid[#Data],$DE359,53),0)</f>
        <v/>
      </c>
      <c r="BE359">
        <f>IFERROR(INDEX(PP_Grid[#Data],$DE359,54),0)</f>
        <v/>
      </c>
      <c r="BF359">
        <f>IFERROR(INDEX(PP_Grid[#Data],$DE359,55),0)</f>
        <v/>
      </c>
      <c r="BG359">
        <f>IFERROR(INDEX(PP_Grid[#Data],$DE359,56),0)</f>
        <v/>
      </c>
      <c r="BH359">
        <f>IFERROR(INDEX(PP_Grid[#Data],$DE359,57),0)</f>
        <v/>
      </c>
      <c r="BI359">
        <f>IFERROR(INDEX(PP_Grid[#Data],$DE359,58),0)</f>
        <v/>
      </c>
      <c r="BJ359">
        <f>IFERROR(INDEX(PP_Grid[#Data],$DE359,59),0)</f>
        <v/>
      </c>
      <c r="BK359">
        <f>IFERROR(INDEX(PP_Grid[#Data],$DE359,60),0)</f>
        <v/>
      </c>
      <c r="BL359">
        <f>IFERROR(INDEX(PP_Grid[#Data],$DE359,61),0)</f>
        <v/>
      </c>
      <c r="BM359">
        <f>IFERROR(INDEX(PP_Grid[#Data],$DE359,62),0)</f>
        <v/>
      </c>
      <c r="BN359">
        <f>IFERROR(INDEX(PP_Grid[#Data],$DE359,63),0)</f>
        <v/>
      </c>
      <c r="BO359">
        <f>IFERROR(INDEX(PP_Grid[#Data],$DE359,64),0)</f>
        <v/>
      </c>
      <c r="BP359">
        <f>IFERROR(INDEX(PP_Grid[#Data],$DE359,65),0)</f>
        <v/>
      </c>
      <c r="BQ359">
        <f>IFERROR(INDEX(PP_Grid[#Data],$DE359,66),0)</f>
        <v/>
      </c>
      <c r="BR359">
        <f>IFERROR(INDEX(PP_Grid[#Data],$DE359,67),0)</f>
        <v/>
      </c>
      <c r="BS359">
        <f>IFERROR(INDEX(PP_Grid[#Data],$DE359,68),0)</f>
        <v/>
      </c>
      <c r="BT359">
        <f>IFERROR(INDEX(PP_Grid[#Data],$DE359,69),0)</f>
        <v/>
      </c>
      <c r="BU359">
        <f>IFERROR(INDEX(PP_Grid[#Data],$DE359,70),0)</f>
        <v/>
      </c>
      <c r="BV359">
        <f>IFERROR(INDEX(PP_Grid[#Data],$DE359,71),0)</f>
        <v/>
      </c>
      <c r="BW359">
        <f>IFERROR(INDEX(PP_Grid[#Data],$DE359,72),0)</f>
        <v/>
      </c>
      <c r="BX359">
        <f>IFERROR(INDEX(PP_Grid[#Data],$DE359,73),0)</f>
        <v/>
      </c>
      <c r="BY359">
        <f>IFERROR(INDEX(PP_Grid[#Data],$DE359,74),0)</f>
        <v/>
      </c>
      <c r="BZ359">
        <f>IFERROR(INDEX(PP_Grid[#Data],$DE359,75),0)</f>
        <v/>
      </c>
      <c r="CA359">
        <f>IFERROR(INDEX(PP_Grid[#Data],$DE359,76),0)</f>
        <v/>
      </c>
      <c r="CB359">
        <f>IFERROR(INDEX(PP_Grid[#Data],$DE359,77),0)</f>
        <v/>
      </c>
      <c r="CC359">
        <f>IFERROR(INDEX(PP_Grid[#Data],$DE359,78),0)</f>
        <v/>
      </c>
      <c r="CD359">
        <f>IFERROR(INDEX(PP_Grid[#Data],$DE359,79),0)</f>
        <v/>
      </c>
      <c r="CE359">
        <f>IFERROR(INDEX(PP_Grid[#Data],$DE359,80),0)</f>
        <v/>
      </c>
      <c r="CF359">
        <f>IFERROR(INDEX(PP_Grid[#Data],$DE359,81),0)</f>
        <v/>
      </c>
      <c r="CG359">
        <f>IFERROR(INDEX(PP_Grid[#Data],$DE359,82),0)</f>
        <v/>
      </c>
      <c r="CH359">
        <f>IFERROR(INDEX(PP_Grid[#Data],$DE359,83),0)</f>
        <v/>
      </c>
      <c r="CI359">
        <f>IFERROR(INDEX(PP_Grid[#Data],$DE359,84),0)</f>
        <v/>
      </c>
      <c r="CJ359">
        <f>IFERROR(INDEX(PP_Grid[#Data],$DE359,85),0)</f>
        <v/>
      </c>
      <c r="CK359">
        <f>IFERROR(INDEX(PP_Grid[#Data],$DE359,86),0)</f>
        <v/>
      </c>
      <c r="CL359">
        <f>IFERROR(INDEX(PP_Grid[#Data],$DE359,87),0)</f>
        <v/>
      </c>
      <c r="CM359">
        <f>IFERROR(INDEX(PP_Grid[#Data],$DE359,88),0)</f>
        <v/>
      </c>
      <c r="CN359">
        <f>IFERROR(INDEX(PP_Grid[#Data],$DE359,89),0)</f>
        <v/>
      </c>
      <c r="CO359">
        <f>IFERROR(INDEX(PP_Grid[#Data],$DE359,90),0)</f>
        <v/>
      </c>
      <c r="CP359">
        <f>IFERROR(INDEX(PP_Grid[#Data],$DE359,91),0)</f>
        <v/>
      </c>
      <c r="CQ359">
        <f>IFERROR(INDEX(PP_Grid[#Data],$DE359,92),0)</f>
        <v/>
      </c>
      <c r="CR359">
        <f>IFERROR(INDEX(PP_Grid[#Data],$DE359,93),0)</f>
        <v/>
      </c>
      <c r="CS359">
        <f>IFERROR(INDEX(PP_Grid[#Data],$DE359,94),0)</f>
        <v/>
      </c>
      <c r="CT359">
        <f>IFERROR(INDEX(PP_Grid[#Data],$DE359,95),0)</f>
        <v/>
      </c>
      <c r="CU359">
        <f>IFERROR(INDEX(PP_Grid[#Data],$DE359,96),0)</f>
        <v/>
      </c>
      <c r="CV359">
        <f>IFERROR(INDEX(PP_Grid[#Data],$DE359,97),0)</f>
        <v/>
      </c>
      <c r="CW359">
        <f>IFERROR(INDEX(PP_Grid[#Data],$DE359,98),0)</f>
        <v/>
      </c>
      <c r="CX359">
        <f>IFERROR(INDEX(PP_Grid[#Data],$DE359,99),0)</f>
        <v/>
      </c>
      <c r="CY359">
        <f>IFERROR(INDEX(PP_Grid[#Data],$DE359,100),0)</f>
        <v/>
      </c>
      <c r="CZ359">
        <f>IFERROR(INDEX(PP_Grid[#Data],$DE359,101),0)</f>
        <v/>
      </c>
      <c r="DA359">
        <f>IFERROR(INDEX(PP_Grid[#Data],$DE359,102),0)</f>
        <v/>
      </c>
      <c r="DB359">
        <f>IFERROR(INDEX(PP_Grid[#Data],$DE359,103),0)</f>
        <v/>
      </c>
      <c r="DC359">
        <f>IFERROR(INDEX(PP_Grid[#Data],$DE359,104),0)</f>
        <v/>
      </c>
      <c r="DD359">
        <f>IFERROR(INDEX(PP_Grid[#Data],$DE359,105),0)</f>
        <v/>
      </c>
      <c r="DE359" s="7">
        <f>IFERROR(MATCH($B359,PP_Grid[Intermediate],0),99999)</f>
        <v/>
      </c>
    </row>
    <row r="360">
      <c r="B360" t="inlineStr">
        <is>
          <t>使用量(kg)</t>
        </is>
      </c>
      <c r="C360">
        <f>SUMIFS(M_BOM[RM_Qty_Per_Batch],M_BOM[Intermediate],$B359,M_BOM[RM_Code],$A340)</f>
        <v/>
      </c>
      <c r="D360">
        <f>IFERROR(INDEX(E360:DD360,$F$1),"")</f>
        <v/>
      </c>
      <c r="E360">
        <f>$C360*E359</f>
        <v/>
      </c>
      <c r="F360">
        <f>$C360*F359</f>
        <v/>
      </c>
      <c r="G360">
        <f>$C360*G359</f>
        <v/>
      </c>
      <c r="H360">
        <f>$C360*H359</f>
        <v/>
      </c>
      <c r="I360">
        <f>$C360*I359</f>
        <v/>
      </c>
      <c r="J360">
        <f>$C360*J359</f>
        <v/>
      </c>
      <c r="K360">
        <f>$C360*K359</f>
        <v/>
      </c>
      <c r="L360">
        <f>$C360*L359</f>
        <v/>
      </c>
      <c r="M360">
        <f>$C360*M359</f>
        <v/>
      </c>
      <c r="N360">
        <f>$C360*N359</f>
        <v/>
      </c>
      <c r="O360">
        <f>$C360*O359</f>
        <v/>
      </c>
      <c r="P360">
        <f>$C360*P359</f>
        <v/>
      </c>
      <c r="Q360">
        <f>$C360*Q359</f>
        <v/>
      </c>
      <c r="R360">
        <f>$C360*R359</f>
        <v/>
      </c>
      <c r="S360">
        <f>$C360*S359</f>
        <v/>
      </c>
      <c r="T360">
        <f>$C360*T359</f>
        <v/>
      </c>
      <c r="U360">
        <f>$C360*U359</f>
        <v/>
      </c>
      <c r="V360">
        <f>$C360*V359</f>
        <v/>
      </c>
      <c r="W360">
        <f>$C360*W359</f>
        <v/>
      </c>
      <c r="X360">
        <f>$C360*X359</f>
        <v/>
      </c>
      <c r="Y360">
        <f>$C360*Y359</f>
        <v/>
      </c>
      <c r="Z360">
        <f>$C360*Z359</f>
        <v/>
      </c>
      <c r="AA360">
        <f>$C360*AA359</f>
        <v/>
      </c>
      <c r="AB360">
        <f>$C360*AB359</f>
        <v/>
      </c>
      <c r="AC360">
        <f>$C360*AC359</f>
        <v/>
      </c>
      <c r="AD360">
        <f>$C360*AD359</f>
        <v/>
      </c>
      <c r="AE360">
        <f>$C360*AE359</f>
        <v/>
      </c>
      <c r="AF360">
        <f>$C360*AF359</f>
        <v/>
      </c>
      <c r="AG360">
        <f>$C360*AG359</f>
        <v/>
      </c>
      <c r="AH360">
        <f>$C360*AH359</f>
        <v/>
      </c>
      <c r="AI360">
        <f>$C360*AI359</f>
        <v/>
      </c>
      <c r="AJ360">
        <f>$C360*AJ359</f>
        <v/>
      </c>
      <c r="AK360">
        <f>$C360*AK359</f>
        <v/>
      </c>
      <c r="AL360">
        <f>$C360*AL359</f>
        <v/>
      </c>
      <c r="AM360">
        <f>$C360*AM359</f>
        <v/>
      </c>
      <c r="AN360">
        <f>$C360*AN359</f>
        <v/>
      </c>
      <c r="AO360">
        <f>$C360*AO359</f>
        <v/>
      </c>
      <c r="AP360">
        <f>$C360*AP359</f>
        <v/>
      </c>
      <c r="AQ360">
        <f>$C360*AQ359</f>
        <v/>
      </c>
      <c r="AR360">
        <f>$C360*AR359</f>
        <v/>
      </c>
      <c r="AS360">
        <f>$C360*AS359</f>
        <v/>
      </c>
      <c r="AT360">
        <f>$C360*AT359</f>
        <v/>
      </c>
      <c r="AU360">
        <f>$C360*AU359</f>
        <v/>
      </c>
      <c r="AV360">
        <f>$C360*AV359</f>
        <v/>
      </c>
      <c r="AW360">
        <f>$C360*AW359</f>
        <v/>
      </c>
      <c r="AX360">
        <f>$C360*AX359</f>
        <v/>
      </c>
      <c r="AY360">
        <f>$C360*AY359</f>
        <v/>
      </c>
      <c r="AZ360">
        <f>$C360*AZ359</f>
        <v/>
      </c>
      <c r="BA360">
        <f>$C360*BA359</f>
        <v/>
      </c>
      <c r="BB360">
        <f>$C360*BB359</f>
        <v/>
      </c>
      <c r="BC360">
        <f>$C360*BC359</f>
        <v/>
      </c>
      <c r="BD360">
        <f>$C360*BD359</f>
        <v/>
      </c>
      <c r="BE360">
        <f>$C360*BE359</f>
        <v/>
      </c>
      <c r="BF360">
        <f>$C360*BF359</f>
        <v/>
      </c>
      <c r="BG360">
        <f>$C360*BG359</f>
        <v/>
      </c>
      <c r="BH360">
        <f>$C360*BH359</f>
        <v/>
      </c>
      <c r="BI360">
        <f>$C360*BI359</f>
        <v/>
      </c>
      <c r="BJ360">
        <f>$C360*BJ359</f>
        <v/>
      </c>
      <c r="BK360">
        <f>$C360*BK359</f>
        <v/>
      </c>
      <c r="BL360">
        <f>$C360*BL359</f>
        <v/>
      </c>
      <c r="BM360">
        <f>$C360*BM359</f>
        <v/>
      </c>
      <c r="BN360">
        <f>$C360*BN359</f>
        <v/>
      </c>
      <c r="BO360">
        <f>$C360*BO359</f>
        <v/>
      </c>
      <c r="BP360">
        <f>$C360*BP359</f>
        <v/>
      </c>
      <c r="BQ360">
        <f>$C360*BQ359</f>
        <v/>
      </c>
      <c r="BR360">
        <f>$C360*BR359</f>
        <v/>
      </c>
      <c r="BS360">
        <f>$C360*BS359</f>
        <v/>
      </c>
      <c r="BT360">
        <f>$C360*BT359</f>
        <v/>
      </c>
      <c r="BU360">
        <f>$C360*BU359</f>
        <v/>
      </c>
      <c r="BV360">
        <f>$C360*BV359</f>
        <v/>
      </c>
      <c r="BW360">
        <f>$C360*BW359</f>
        <v/>
      </c>
      <c r="BX360">
        <f>$C360*BX359</f>
        <v/>
      </c>
      <c r="BY360">
        <f>$C360*BY359</f>
        <v/>
      </c>
      <c r="BZ360">
        <f>$C360*BZ359</f>
        <v/>
      </c>
      <c r="CA360">
        <f>$C360*CA359</f>
        <v/>
      </c>
      <c r="CB360">
        <f>$C360*CB359</f>
        <v/>
      </c>
      <c r="CC360">
        <f>$C360*CC359</f>
        <v/>
      </c>
      <c r="CD360">
        <f>$C360*CD359</f>
        <v/>
      </c>
      <c r="CE360">
        <f>$C360*CE359</f>
        <v/>
      </c>
      <c r="CF360">
        <f>$C360*CF359</f>
        <v/>
      </c>
      <c r="CG360">
        <f>$C360*CG359</f>
        <v/>
      </c>
      <c r="CH360">
        <f>$C360*CH359</f>
        <v/>
      </c>
      <c r="CI360">
        <f>$C360*CI359</f>
        <v/>
      </c>
      <c r="CJ360">
        <f>$C360*CJ359</f>
        <v/>
      </c>
      <c r="CK360">
        <f>$C360*CK359</f>
        <v/>
      </c>
      <c r="CL360">
        <f>$C360*CL359</f>
        <v/>
      </c>
      <c r="CM360">
        <f>$C360*CM359</f>
        <v/>
      </c>
      <c r="CN360">
        <f>$C360*CN359</f>
        <v/>
      </c>
      <c r="CO360">
        <f>$C360*CO359</f>
        <v/>
      </c>
      <c r="CP360">
        <f>$C360*CP359</f>
        <v/>
      </c>
      <c r="CQ360">
        <f>$C360*CQ359</f>
        <v/>
      </c>
      <c r="CR360">
        <f>$C360*CR359</f>
        <v/>
      </c>
      <c r="CS360">
        <f>$C360*CS359</f>
        <v/>
      </c>
      <c r="CT360">
        <f>$C360*CT359</f>
        <v/>
      </c>
      <c r="CU360">
        <f>$C360*CU359</f>
        <v/>
      </c>
      <c r="CV360">
        <f>$C360*CV359</f>
        <v/>
      </c>
      <c r="CW360">
        <f>$C360*CW359</f>
        <v/>
      </c>
      <c r="CX360">
        <f>$C360*CX359</f>
        <v/>
      </c>
      <c r="CY360">
        <f>$C360*CY359</f>
        <v/>
      </c>
      <c r="CZ360">
        <f>$C360*CZ359</f>
        <v/>
      </c>
      <c r="DA360">
        <f>$C360*DA359</f>
        <v/>
      </c>
      <c r="DB360">
        <f>$C360*DB359</f>
        <v/>
      </c>
      <c r="DC360">
        <f>$C360*DC359</f>
        <v/>
      </c>
      <c r="DD360">
        <f>$C360*DD359</f>
        <v/>
      </c>
    </row>
    <row r="361">
      <c r="B361" t="inlineStr">
        <is>
          <t>TSP-199</t>
        </is>
      </c>
      <c r="C361" t="inlineStr">
        <is>
          <t>No. of batches</t>
        </is>
      </c>
      <c r="D361">
        <f>IFERROR(INDEX(E361:DD361,$F$1),"")</f>
        <v/>
      </c>
      <c r="E361">
        <f>IFERROR(INDEX(PP_Grid[#Data],$DE361,2),0)</f>
        <v/>
      </c>
      <c r="F361">
        <f>IFERROR(INDEX(PP_Grid[#Data],$DE361,3),0)</f>
        <v/>
      </c>
      <c r="G361">
        <f>IFERROR(INDEX(PP_Grid[#Data],$DE361,4),0)</f>
        <v/>
      </c>
      <c r="H361">
        <f>IFERROR(INDEX(PP_Grid[#Data],$DE361,5),0)</f>
        <v/>
      </c>
      <c r="I361">
        <f>IFERROR(INDEX(PP_Grid[#Data],$DE361,6),0)</f>
        <v/>
      </c>
      <c r="J361">
        <f>IFERROR(INDEX(PP_Grid[#Data],$DE361,7),0)</f>
        <v/>
      </c>
      <c r="K361">
        <f>IFERROR(INDEX(PP_Grid[#Data],$DE361,8),0)</f>
        <v/>
      </c>
      <c r="L361">
        <f>IFERROR(INDEX(PP_Grid[#Data],$DE361,9),0)</f>
        <v/>
      </c>
      <c r="M361">
        <f>IFERROR(INDEX(PP_Grid[#Data],$DE361,10),0)</f>
        <v/>
      </c>
      <c r="N361">
        <f>IFERROR(INDEX(PP_Grid[#Data],$DE361,11),0)</f>
        <v/>
      </c>
      <c r="O361">
        <f>IFERROR(INDEX(PP_Grid[#Data],$DE361,12),0)</f>
        <v/>
      </c>
      <c r="P361">
        <f>IFERROR(INDEX(PP_Grid[#Data],$DE361,13),0)</f>
        <v/>
      </c>
      <c r="Q361">
        <f>IFERROR(INDEX(PP_Grid[#Data],$DE361,14),0)</f>
        <v/>
      </c>
      <c r="R361">
        <f>IFERROR(INDEX(PP_Grid[#Data],$DE361,15),0)</f>
        <v/>
      </c>
      <c r="S361">
        <f>IFERROR(INDEX(PP_Grid[#Data],$DE361,16),0)</f>
        <v/>
      </c>
      <c r="T361">
        <f>IFERROR(INDEX(PP_Grid[#Data],$DE361,17),0)</f>
        <v/>
      </c>
      <c r="U361">
        <f>IFERROR(INDEX(PP_Grid[#Data],$DE361,18),0)</f>
        <v/>
      </c>
      <c r="V361">
        <f>IFERROR(INDEX(PP_Grid[#Data],$DE361,19),0)</f>
        <v/>
      </c>
      <c r="W361">
        <f>IFERROR(INDEX(PP_Grid[#Data],$DE361,20),0)</f>
        <v/>
      </c>
      <c r="X361">
        <f>IFERROR(INDEX(PP_Grid[#Data],$DE361,21),0)</f>
        <v/>
      </c>
      <c r="Y361">
        <f>IFERROR(INDEX(PP_Grid[#Data],$DE361,22),0)</f>
        <v/>
      </c>
      <c r="Z361">
        <f>IFERROR(INDEX(PP_Grid[#Data],$DE361,23),0)</f>
        <v/>
      </c>
      <c r="AA361">
        <f>IFERROR(INDEX(PP_Grid[#Data],$DE361,24),0)</f>
        <v/>
      </c>
      <c r="AB361">
        <f>IFERROR(INDEX(PP_Grid[#Data],$DE361,25),0)</f>
        <v/>
      </c>
      <c r="AC361">
        <f>IFERROR(INDEX(PP_Grid[#Data],$DE361,26),0)</f>
        <v/>
      </c>
      <c r="AD361">
        <f>IFERROR(INDEX(PP_Grid[#Data],$DE361,27),0)</f>
        <v/>
      </c>
      <c r="AE361">
        <f>IFERROR(INDEX(PP_Grid[#Data],$DE361,28),0)</f>
        <v/>
      </c>
      <c r="AF361">
        <f>IFERROR(INDEX(PP_Grid[#Data],$DE361,29),0)</f>
        <v/>
      </c>
      <c r="AG361">
        <f>IFERROR(INDEX(PP_Grid[#Data],$DE361,30),0)</f>
        <v/>
      </c>
      <c r="AH361">
        <f>IFERROR(INDEX(PP_Grid[#Data],$DE361,31),0)</f>
        <v/>
      </c>
      <c r="AI361">
        <f>IFERROR(INDEX(PP_Grid[#Data],$DE361,32),0)</f>
        <v/>
      </c>
      <c r="AJ361">
        <f>IFERROR(INDEX(PP_Grid[#Data],$DE361,33),0)</f>
        <v/>
      </c>
      <c r="AK361">
        <f>IFERROR(INDEX(PP_Grid[#Data],$DE361,34),0)</f>
        <v/>
      </c>
      <c r="AL361">
        <f>IFERROR(INDEX(PP_Grid[#Data],$DE361,35),0)</f>
        <v/>
      </c>
      <c r="AM361">
        <f>IFERROR(INDEX(PP_Grid[#Data],$DE361,36),0)</f>
        <v/>
      </c>
      <c r="AN361">
        <f>IFERROR(INDEX(PP_Grid[#Data],$DE361,37),0)</f>
        <v/>
      </c>
      <c r="AO361">
        <f>IFERROR(INDEX(PP_Grid[#Data],$DE361,38),0)</f>
        <v/>
      </c>
      <c r="AP361">
        <f>IFERROR(INDEX(PP_Grid[#Data],$DE361,39),0)</f>
        <v/>
      </c>
      <c r="AQ361">
        <f>IFERROR(INDEX(PP_Grid[#Data],$DE361,40),0)</f>
        <v/>
      </c>
      <c r="AR361">
        <f>IFERROR(INDEX(PP_Grid[#Data],$DE361,41),0)</f>
        <v/>
      </c>
      <c r="AS361">
        <f>IFERROR(INDEX(PP_Grid[#Data],$DE361,42),0)</f>
        <v/>
      </c>
      <c r="AT361">
        <f>IFERROR(INDEX(PP_Grid[#Data],$DE361,43),0)</f>
        <v/>
      </c>
      <c r="AU361">
        <f>IFERROR(INDEX(PP_Grid[#Data],$DE361,44),0)</f>
        <v/>
      </c>
      <c r="AV361">
        <f>IFERROR(INDEX(PP_Grid[#Data],$DE361,45),0)</f>
        <v/>
      </c>
      <c r="AW361">
        <f>IFERROR(INDEX(PP_Grid[#Data],$DE361,46),0)</f>
        <v/>
      </c>
      <c r="AX361">
        <f>IFERROR(INDEX(PP_Grid[#Data],$DE361,47),0)</f>
        <v/>
      </c>
      <c r="AY361">
        <f>IFERROR(INDEX(PP_Grid[#Data],$DE361,48),0)</f>
        <v/>
      </c>
      <c r="AZ361">
        <f>IFERROR(INDEX(PP_Grid[#Data],$DE361,49),0)</f>
        <v/>
      </c>
      <c r="BA361">
        <f>IFERROR(INDEX(PP_Grid[#Data],$DE361,50),0)</f>
        <v/>
      </c>
      <c r="BB361">
        <f>IFERROR(INDEX(PP_Grid[#Data],$DE361,51),0)</f>
        <v/>
      </c>
      <c r="BC361">
        <f>IFERROR(INDEX(PP_Grid[#Data],$DE361,52),0)</f>
        <v/>
      </c>
      <c r="BD361">
        <f>IFERROR(INDEX(PP_Grid[#Data],$DE361,53),0)</f>
        <v/>
      </c>
      <c r="BE361">
        <f>IFERROR(INDEX(PP_Grid[#Data],$DE361,54),0)</f>
        <v/>
      </c>
      <c r="BF361">
        <f>IFERROR(INDEX(PP_Grid[#Data],$DE361,55),0)</f>
        <v/>
      </c>
      <c r="BG361">
        <f>IFERROR(INDEX(PP_Grid[#Data],$DE361,56),0)</f>
        <v/>
      </c>
      <c r="BH361">
        <f>IFERROR(INDEX(PP_Grid[#Data],$DE361,57),0)</f>
        <v/>
      </c>
      <c r="BI361">
        <f>IFERROR(INDEX(PP_Grid[#Data],$DE361,58),0)</f>
        <v/>
      </c>
      <c r="BJ361">
        <f>IFERROR(INDEX(PP_Grid[#Data],$DE361,59),0)</f>
        <v/>
      </c>
      <c r="BK361">
        <f>IFERROR(INDEX(PP_Grid[#Data],$DE361,60),0)</f>
        <v/>
      </c>
      <c r="BL361">
        <f>IFERROR(INDEX(PP_Grid[#Data],$DE361,61),0)</f>
        <v/>
      </c>
      <c r="BM361">
        <f>IFERROR(INDEX(PP_Grid[#Data],$DE361,62),0)</f>
        <v/>
      </c>
      <c r="BN361">
        <f>IFERROR(INDEX(PP_Grid[#Data],$DE361,63),0)</f>
        <v/>
      </c>
      <c r="BO361">
        <f>IFERROR(INDEX(PP_Grid[#Data],$DE361,64),0)</f>
        <v/>
      </c>
      <c r="BP361">
        <f>IFERROR(INDEX(PP_Grid[#Data],$DE361,65),0)</f>
        <v/>
      </c>
      <c r="BQ361">
        <f>IFERROR(INDEX(PP_Grid[#Data],$DE361,66),0)</f>
        <v/>
      </c>
      <c r="BR361">
        <f>IFERROR(INDEX(PP_Grid[#Data],$DE361,67),0)</f>
        <v/>
      </c>
      <c r="BS361">
        <f>IFERROR(INDEX(PP_Grid[#Data],$DE361,68),0)</f>
        <v/>
      </c>
      <c r="BT361">
        <f>IFERROR(INDEX(PP_Grid[#Data],$DE361,69),0)</f>
        <v/>
      </c>
      <c r="BU361">
        <f>IFERROR(INDEX(PP_Grid[#Data],$DE361,70),0)</f>
        <v/>
      </c>
      <c r="BV361">
        <f>IFERROR(INDEX(PP_Grid[#Data],$DE361,71),0)</f>
        <v/>
      </c>
      <c r="BW361">
        <f>IFERROR(INDEX(PP_Grid[#Data],$DE361,72),0)</f>
        <v/>
      </c>
      <c r="BX361">
        <f>IFERROR(INDEX(PP_Grid[#Data],$DE361,73),0)</f>
        <v/>
      </c>
      <c r="BY361">
        <f>IFERROR(INDEX(PP_Grid[#Data],$DE361,74),0)</f>
        <v/>
      </c>
      <c r="BZ361">
        <f>IFERROR(INDEX(PP_Grid[#Data],$DE361,75),0)</f>
        <v/>
      </c>
      <c r="CA361">
        <f>IFERROR(INDEX(PP_Grid[#Data],$DE361,76),0)</f>
        <v/>
      </c>
      <c r="CB361">
        <f>IFERROR(INDEX(PP_Grid[#Data],$DE361,77),0)</f>
        <v/>
      </c>
      <c r="CC361">
        <f>IFERROR(INDEX(PP_Grid[#Data],$DE361,78),0)</f>
        <v/>
      </c>
      <c r="CD361">
        <f>IFERROR(INDEX(PP_Grid[#Data],$DE361,79),0)</f>
        <v/>
      </c>
      <c r="CE361">
        <f>IFERROR(INDEX(PP_Grid[#Data],$DE361,80),0)</f>
        <v/>
      </c>
      <c r="CF361">
        <f>IFERROR(INDEX(PP_Grid[#Data],$DE361,81),0)</f>
        <v/>
      </c>
      <c r="CG361">
        <f>IFERROR(INDEX(PP_Grid[#Data],$DE361,82),0)</f>
        <v/>
      </c>
      <c r="CH361">
        <f>IFERROR(INDEX(PP_Grid[#Data],$DE361,83),0)</f>
        <v/>
      </c>
      <c r="CI361">
        <f>IFERROR(INDEX(PP_Grid[#Data],$DE361,84),0)</f>
        <v/>
      </c>
      <c r="CJ361">
        <f>IFERROR(INDEX(PP_Grid[#Data],$DE361,85),0)</f>
        <v/>
      </c>
      <c r="CK361">
        <f>IFERROR(INDEX(PP_Grid[#Data],$DE361,86),0)</f>
        <v/>
      </c>
      <c r="CL361">
        <f>IFERROR(INDEX(PP_Grid[#Data],$DE361,87),0)</f>
        <v/>
      </c>
      <c r="CM361">
        <f>IFERROR(INDEX(PP_Grid[#Data],$DE361,88),0)</f>
        <v/>
      </c>
      <c r="CN361">
        <f>IFERROR(INDEX(PP_Grid[#Data],$DE361,89),0)</f>
        <v/>
      </c>
      <c r="CO361">
        <f>IFERROR(INDEX(PP_Grid[#Data],$DE361,90),0)</f>
        <v/>
      </c>
      <c r="CP361">
        <f>IFERROR(INDEX(PP_Grid[#Data],$DE361,91),0)</f>
        <v/>
      </c>
      <c r="CQ361">
        <f>IFERROR(INDEX(PP_Grid[#Data],$DE361,92),0)</f>
        <v/>
      </c>
      <c r="CR361">
        <f>IFERROR(INDEX(PP_Grid[#Data],$DE361,93),0)</f>
        <v/>
      </c>
      <c r="CS361">
        <f>IFERROR(INDEX(PP_Grid[#Data],$DE361,94),0)</f>
        <v/>
      </c>
      <c r="CT361">
        <f>IFERROR(INDEX(PP_Grid[#Data],$DE361,95),0)</f>
        <v/>
      </c>
      <c r="CU361">
        <f>IFERROR(INDEX(PP_Grid[#Data],$DE361,96),0)</f>
        <v/>
      </c>
      <c r="CV361">
        <f>IFERROR(INDEX(PP_Grid[#Data],$DE361,97),0)</f>
        <v/>
      </c>
      <c r="CW361">
        <f>IFERROR(INDEX(PP_Grid[#Data],$DE361,98),0)</f>
        <v/>
      </c>
      <c r="CX361">
        <f>IFERROR(INDEX(PP_Grid[#Data],$DE361,99),0)</f>
        <v/>
      </c>
      <c r="CY361">
        <f>IFERROR(INDEX(PP_Grid[#Data],$DE361,100),0)</f>
        <v/>
      </c>
      <c r="CZ361">
        <f>IFERROR(INDEX(PP_Grid[#Data],$DE361,101),0)</f>
        <v/>
      </c>
      <c r="DA361">
        <f>IFERROR(INDEX(PP_Grid[#Data],$DE361,102),0)</f>
        <v/>
      </c>
      <c r="DB361">
        <f>IFERROR(INDEX(PP_Grid[#Data],$DE361,103),0)</f>
        <v/>
      </c>
      <c r="DC361">
        <f>IFERROR(INDEX(PP_Grid[#Data],$DE361,104),0)</f>
        <v/>
      </c>
      <c r="DD361">
        <f>IFERROR(INDEX(PP_Grid[#Data],$DE361,105),0)</f>
        <v/>
      </c>
      <c r="DE361" s="7">
        <f>IFERROR(MATCH($B361,PP_Grid[Intermediate],0),99999)</f>
        <v/>
      </c>
    </row>
    <row r="362">
      <c r="B362" t="inlineStr">
        <is>
          <t>使用量(kg)</t>
        </is>
      </c>
      <c r="C362">
        <f>SUMIFS(M_BOM[RM_Qty_Per_Batch],M_BOM[Intermediate],$B361,M_BOM[RM_Code],$A340)</f>
        <v/>
      </c>
      <c r="D362">
        <f>IFERROR(INDEX(E362:DD362,$F$1),"")</f>
        <v/>
      </c>
      <c r="E362">
        <f>$C362*E361</f>
        <v/>
      </c>
      <c r="F362">
        <f>$C362*F361</f>
        <v/>
      </c>
      <c r="G362">
        <f>$C362*G361</f>
        <v/>
      </c>
      <c r="H362">
        <f>$C362*H361</f>
        <v/>
      </c>
      <c r="I362">
        <f>$C362*I361</f>
        <v/>
      </c>
      <c r="J362">
        <f>$C362*J361</f>
        <v/>
      </c>
      <c r="K362">
        <f>$C362*K361</f>
        <v/>
      </c>
      <c r="L362">
        <f>$C362*L361</f>
        <v/>
      </c>
      <c r="M362">
        <f>$C362*M361</f>
        <v/>
      </c>
      <c r="N362">
        <f>$C362*N361</f>
        <v/>
      </c>
      <c r="O362">
        <f>$C362*O361</f>
        <v/>
      </c>
      <c r="P362">
        <f>$C362*P361</f>
        <v/>
      </c>
      <c r="Q362">
        <f>$C362*Q361</f>
        <v/>
      </c>
      <c r="R362">
        <f>$C362*R361</f>
        <v/>
      </c>
      <c r="S362">
        <f>$C362*S361</f>
        <v/>
      </c>
      <c r="T362">
        <f>$C362*T361</f>
        <v/>
      </c>
      <c r="U362">
        <f>$C362*U361</f>
        <v/>
      </c>
      <c r="V362">
        <f>$C362*V361</f>
        <v/>
      </c>
      <c r="W362">
        <f>$C362*W361</f>
        <v/>
      </c>
      <c r="X362">
        <f>$C362*X361</f>
        <v/>
      </c>
      <c r="Y362">
        <f>$C362*Y361</f>
        <v/>
      </c>
      <c r="Z362">
        <f>$C362*Z361</f>
        <v/>
      </c>
      <c r="AA362">
        <f>$C362*AA361</f>
        <v/>
      </c>
      <c r="AB362">
        <f>$C362*AB361</f>
        <v/>
      </c>
      <c r="AC362">
        <f>$C362*AC361</f>
        <v/>
      </c>
      <c r="AD362">
        <f>$C362*AD361</f>
        <v/>
      </c>
      <c r="AE362">
        <f>$C362*AE361</f>
        <v/>
      </c>
      <c r="AF362">
        <f>$C362*AF361</f>
        <v/>
      </c>
      <c r="AG362">
        <f>$C362*AG361</f>
        <v/>
      </c>
      <c r="AH362">
        <f>$C362*AH361</f>
        <v/>
      </c>
      <c r="AI362">
        <f>$C362*AI361</f>
        <v/>
      </c>
      <c r="AJ362">
        <f>$C362*AJ361</f>
        <v/>
      </c>
      <c r="AK362">
        <f>$C362*AK361</f>
        <v/>
      </c>
      <c r="AL362">
        <f>$C362*AL361</f>
        <v/>
      </c>
      <c r="AM362">
        <f>$C362*AM361</f>
        <v/>
      </c>
      <c r="AN362">
        <f>$C362*AN361</f>
        <v/>
      </c>
      <c r="AO362">
        <f>$C362*AO361</f>
        <v/>
      </c>
      <c r="AP362">
        <f>$C362*AP361</f>
        <v/>
      </c>
      <c r="AQ362">
        <f>$C362*AQ361</f>
        <v/>
      </c>
      <c r="AR362">
        <f>$C362*AR361</f>
        <v/>
      </c>
      <c r="AS362">
        <f>$C362*AS361</f>
        <v/>
      </c>
      <c r="AT362">
        <f>$C362*AT361</f>
        <v/>
      </c>
      <c r="AU362">
        <f>$C362*AU361</f>
        <v/>
      </c>
      <c r="AV362">
        <f>$C362*AV361</f>
        <v/>
      </c>
      <c r="AW362">
        <f>$C362*AW361</f>
        <v/>
      </c>
      <c r="AX362">
        <f>$C362*AX361</f>
        <v/>
      </c>
      <c r="AY362">
        <f>$C362*AY361</f>
        <v/>
      </c>
      <c r="AZ362">
        <f>$C362*AZ361</f>
        <v/>
      </c>
      <c r="BA362">
        <f>$C362*BA361</f>
        <v/>
      </c>
      <c r="BB362">
        <f>$C362*BB361</f>
        <v/>
      </c>
      <c r="BC362">
        <f>$C362*BC361</f>
        <v/>
      </c>
      <c r="BD362">
        <f>$C362*BD361</f>
        <v/>
      </c>
      <c r="BE362">
        <f>$C362*BE361</f>
        <v/>
      </c>
      <c r="BF362">
        <f>$C362*BF361</f>
        <v/>
      </c>
      <c r="BG362">
        <f>$C362*BG361</f>
        <v/>
      </c>
      <c r="BH362">
        <f>$C362*BH361</f>
        <v/>
      </c>
      <c r="BI362">
        <f>$C362*BI361</f>
        <v/>
      </c>
      <c r="BJ362">
        <f>$C362*BJ361</f>
        <v/>
      </c>
      <c r="BK362">
        <f>$C362*BK361</f>
        <v/>
      </c>
      <c r="BL362">
        <f>$C362*BL361</f>
        <v/>
      </c>
      <c r="BM362">
        <f>$C362*BM361</f>
        <v/>
      </c>
      <c r="BN362">
        <f>$C362*BN361</f>
        <v/>
      </c>
      <c r="BO362">
        <f>$C362*BO361</f>
        <v/>
      </c>
      <c r="BP362">
        <f>$C362*BP361</f>
        <v/>
      </c>
      <c r="BQ362">
        <f>$C362*BQ361</f>
        <v/>
      </c>
      <c r="BR362">
        <f>$C362*BR361</f>
        <v/>
      </c>
      <c r="BS362">
        <f>$C362*BS361</f>
        <v/>
      </c>
      <c r="BT362">
        <f>$C362*BT361</f>
        <v/>
      </c>
      <c r="BU362">
        <f>$C362*BU361</f>
        <v/>
      </c>
      <c r="BV362">
        <f>$C362*BV361</f>
        <v/>
      </c>
      <c r="BW362">
        <f>$C362*BW361</f>
        <v/>
      </c>
      <c r="BX362">
        <f>$C362*BX361</f>
        <v/>
      </c>
      <c r="BY362">
        <f>$C362*BY361</f>
        <v/>
      </c>
      <c r="BZ362">
        <f>$C362*BZ361</f>
        <v/>
      </c>
      <c r="CA362">
        <f>$C362*CA361</f>
        <v/>
      </c>
      <c r="CB362">
        <f>$C362*CB361</f>
        <v/>
      </c>
      <c r="CC362">
        <f>$C362*CC361</f>
        <v/>
      </c>
      <c r="CD362">
        <f>$C362*CD361</f>
        <v/>
      </c>
      <c r="CE362">
        <f>$C362*CE361</f>
        <v/>
      </c>
      <c r="CF362">
        <f>$C362*CF361</f>
        <v/>
      </c>
      <c r="CG362">
        <f>$C362*CG361</f>
        <v/>
      </c>
      <c r="CH362">
        <f>$C362*CH361</f>
        <v/>
      </c>
      <c r="CI362">
        <f>$C362*CI361</f>
        <v/>
      </c>
      <c r="CJ362">
        <f>$C362*CJ361</f>
        <v/>
      </c>
      <c r="CK362">
        <f>$C362*CK361</f>
        <v/>
      </c>
      <c r="CL362">
        <f>$C362*CL361</f>
        <v/>
      </c>
      <c r="CM362">
        <f>$C362*CM361</f>
        <v/>
      </c>
      <c r="CN362">
        <f>$C362*CN361</f>
        <v/>
      </c>
      <c r="CO362">
        <f>$C362*CO361</f>
        <v/>
      </c>
      <c r="CP362">
        <f>$C362*CP361</f>
        <v/>
      </c>
      <c r="CQ362">
        <f>$C362*CQ361</f>
        <v/>
      </c>
      <c r="CR362">
        <f>$C362*CR361</f>
        <v/>
      </c>
      <c r="CS362">
        <f>$C362*CS361</f>
        <v/>
      </c>
      <c r="CT362">
        <f>$C362*CT361</f>
        <v/>
      </c>
      <c r="CU362">
        <f>$C362*CU361</f>
        <v/>
      </c>
      <c r="CV362">
        <f>$C362*CV361</f>
        <v/>
      </c>
      <c r="CW362">
        <f>$C362*CW361</f>
        <v/>
      </c>
      <c r="CX362">
        <f>$C362*CX361</f>
        <v/>
      </c>
      <c r="CY362">
        <f>$C362*CY361</f>
        <v/>
      </c>
      <c r="CZ362">
        <f>$C362*CZ361</f>
        <v/>
      </c>
      <c r="DA362">
        <f>$C362*DA361</f>
        <v/>
      </c>
      <c r="DB362">
        <f>$C362*DB361</f>
        <v/>
      </c>
      <c r="DC362">
        <f>$C362*DC361</f>
        <v/>
      </c>
      <c r="DD362">
        <f>$C362*DD361</f>
        <v/>
      </c>
    </row>
    <row r="363">
      <c r="B363" t="inlineStr">
        <is>
          <t>TSP-205</t>
        </is>
      </c>
      <c r="C363" t="inlineStr">
        <is>
          <t>No. of batches</t>
        </is>
      </c>
      <c r="D363">
        <f>IFERROR(INDEX(E363:DD363,$F$1),"")</f>
        <v/>
      </c>
      <c r="E363">
        <f>IFERROR(INDEX(PP_Grid[#Data],$DE363,2),0)</f>
        <v/>
      </c>
      <c r="F363">
        <f>IFERROR(INDEX(PP_Grid[#Data],$DE363,3),0)</f>
        <v/>
      </c>
      <c r="G363">
        <f>IFERROR(INDEX(PP_Grid[#Data],$DE363,4),0)</f>
        <v/>
      </c>
      <c r="H363">
        <f>IFERROR(INDEX(PP_Grid[#Data],$DE363,5),0)</f>
        <v/>
      </c>
      <c r="I363">
        <f>IFERROR(INDEX(PP_Grid[#Data],$DE363,6),0)</f>
        <v/>
      </c>
      <c r="J363">
        <f>IFERROR(INDEX(PP_Grid[#Data],$DE363,7),0)</f>
        <v/>
      </c>
      <c r="K363">
        <f>IFERROR(INDEX(PP_Grid[#Data],$DE363,8),0)</f>
        <v/>
      </c>
      <c r="L363">
        <f>IFERROR(INDEX(PP_Grid[#Data],$DE363,9),0)</f>
        <v/>
      </c>
      <c r="M363">
        <f>IFERROR(INDEX(PP_Grid[#Data],$DE363,10),0)</f>
        <v/>
      </c>
      <c r="N363">
        <f>IFERROR(INDEX(PP_Grid[#Data],$DE363,11),0)</f>
        <v/>
      </c>
      <c r="O363">
        <f>IFERROR(INDEX(PP_Grid[#Data],$DE363,12),0)</f>
        <v/>
      </c>
      <c r="P363">
        <f>IFERROR(INDEX(PP_Grid[#Data],$DE363,13),0)</f>
        <v/>
      </c>
      <c r="Q363">
        <f>IFERROR(INDEX(PP_Grid[#Data],$DE363,14),0)</f>
        <v/>
      </c>
      <c r="R363">
        <f>IFERROR(INDEX(PP_Grid[#Data],$DE363,15),0)</f>
        <v/>
      </c>
      <c r="S363">
        <f>IFERROR(INDEX(PP_Grid[#Data],$DE363,16),0)</f>
        <v/>
      </c>
      <c r="T363">
        <f>IFERROR(INDEX(PP_Grid[#Data],$DE363,17),0)</f>
        <v/>
      </c>
      <c r="U363">
        <f>IFERROR(INDEX(PP_Grid[#Data],$DE363,18),0)</f>
        <v/>
      </c>
      <c r="V363">
        <f>IFERROR(INDEX(PP_Grid[#Data],$DE363,19),0)</f>
        <v/>
      </c>
      <c r="W363">
        <f>IFERROR(INDEX(PP_Grid[#Data],$DE363,20),0)</f>
        <v/>
      </c>
      <c r="X363">
        <f>IFERROR(INDEX(PP_Grid[#Data],$DE363,21),0)</f>
        <v/>
      </c>
      <c r="Y363">
        <f>IFERROR(INDEX(PP_Grid[#Data],$DE363,22),0)</f>
        <v/>
      </c>
      <c r="Z363">
        <f>IFERROR(INDEX(PP_Grid[#Data],$DE363,23),0)</f>
        <v/>
      </c>
      <c r="AA363">
        <f>IFERROR(INDEX(PP_Grid[#Data],$DE363,24),0)</f>
        <v/>
      </c>
      <c r="AB363">
        <f>IFERROR(INDEX(PP_Grid[#Data],$DE363,25),0)</f>
        <v/>
      </c>
      <c r="AC363">
        <f>IFERROR(INDEX(PP_Grid[#Data],$DE363,26),0)</f>
        <v/>
      </c>
      <c r="AD363">
        <f>IFERROR(INDEX(PP_Grid[#Data],$DE363,27),0)</f>
        <v/>
      </c>
      <c r="AE363">
        <f>IFERROR(INDEX(PP_Grid[#Data],$DE363,28),0)</f>
        <v/>
      </c>
      <c r="AF363">
        <f>IFERROR(INDEX(PP_Grid[#Data],$DE363,29),0)</f>
        <v/>
      </c>
      <c r="AG363">
        <f>IFERROR(INDEX(PP_Grid[#Data],$DE363,30),0)</f>
        <v/>
      </c>
      <c r="AH363">
        <f>IFERROR(INDEX(PP_Grid[#Data],$DE363,31),0)</f>
        <v/>
      </c>
      <c r="AI363">
        <f>IFERROR(INDEX(PP_Grid[#Data],$DE363,32),0)</f>
        <v/>
      </c>
      <c r="AJ363">
        <f>IFERROR(INDEX(PP_Grid[#Data],$DE363,33),0)</f>
        <v/>
      </c>
      <c r="AK363">
        <f>IFERROR(INDEX(PP_Grid[#Data],$DE363,34),0)</f>
        <v/>
      </c>
      <c r="AL363">
        <f>IFERROR(INDEX(PP_Grid[#Data],$DE363,35),0)</f>
        <v/>
      </c>
      <c r="AM363">
        <f>IFERROR(INDEX(PP_Grid[#Data],$DE363,36),0)</f>
        <v/>
      </c>
      <c r="AN363">
        <f>IFERROR(INDEX(PP_Grid[#Data],$DE363,37),0)</f>
        <v/>
      </c>
      <c r="AO363">
        <f>IFERROR(INDEX(PP_Grid[#Data],$DE363,38),0)</f>
        <v/>
      </c>
      <c r="AP363">
        <f>IFERROR(INDEX(PP_Grid[#Data],$DE363,39),0)</f>
        <v/>
      </c>
      <c r="AQ363">
        <f>IFERROR(INDEX(PP_Grid[#Data],$DE363,40),0)</f>
        <v/>
      </c>
      <c r="AR363">
        <f>IFERROR(INDEX(PP_Grid[#Data],$DE363,41),0)</f>
        <v/>
      </c>
      <c r="AS363">
        <f>IFERROR(INDEX(PP_Grid[#Data],$DE363,42),0)</f>
        <v/>
      </c>
      <c r="AT363">
        <f>IFERROR(INDEX(PP_Grid[#Data],$DE363,43),0)</f>
        <v/>
      </c>
      <c r="AU363">
        <f>IFERROR(INDEX(PP_Grid[#Data],$DE363,44),0)</f>
        <v/>
      </c>
      <c r="AV363">
        <f>IFERROR(INDEX(PP_Grid[#Data],$DE363,45),0)</f>
        <v/>
      </c>
      <c r="AW363">
        <f>IFERROR(INDEX(PP_Grid[#Data],$DE363,46),0)</f>
        <v/>
      </c>
      <c r="AX363">
        <f>IFERROR(INDEX(PP_Grid[#Data],$DE363,47),0)</f>
        <v/>
      </c>
      <c r="AY363">
        <f>IFERROR(INDEX(PP_Grid[#Data],$DE363,48),0)</f>
        <v/>
      </c>
      <c r="AZ363">
        <f>IFERROR(INDEX(PP_Grid[#Data],$DE363,49),0)</f>
        <v/>
      </c>
      <c r="BA363">
        <f>IFERROR(INDEX(PP_Grid[#Data],$DE363,50),0)</f>
        <v/>
      </c>
      <c r="BB363">
        <f>IFERROR(INDEX(PP_Grid[#Data],$DE363,51),0)</f>
        <v/>
      </c>
      <c r="BC363">
        <f>IFERROR(INDEX(PP_Grid[#Data],$DE363,52),0)</f>
        <v/>
      </c>
      <c r="BD363">
        <f>IFERROR(INDEX(PP_Grid[#Data],$DE363,53),0)</f>
        <v/>
      </c>
      <c r="BE363">
        <f>IFERROR(INDEX(PP_Grid[#Data],$DE363,54),0)</f>
        <v/>
      </c>
      <c r="BF363">
        <f>IFERROR(INDEX(PP_Grid[#Data],$DE363,55),0)</f>
        <v/>
      </c>
      <c r="BG363">
        <f>IFERROR(INDEX(PP_Grid[#Data],$DE363,56),0)</f>
        <v/>
      </c>
      <c r="BH363">
        <f>IFERROR(INDEX(PP_Grid[#Data],$DE363,57),0)</f>
        <v/>
      </c>
      <c r="BI363">
        <f>IFERROR(INDEX(PP_Grid[#Data],$DE363,58),0)</f>
        <v/>
      </c>
      <c r="BJ363">
        <f>IFERROR(INDEX(PP_Grid[#Data],$DE363,59),0)</f>
        <v/>
      </c>
      <c r="BK363">
        <f>IFERROR(INDEX(PP_Grid[#Data],$DE363,60),0)</f>
        <v/>
      </c>
      <c r="BL363">
        <f>IFERROR(INDEX(PP_Grid[#Data],$DE363,61),0)</f>
        <v/>
      </c>
      <c r="BM363">
        <f>IFERROR(INDEX(PP_Grid[#Data],$DE363,62),0)</f>
        <v/>
      </c>
      <c r="BN363">
        <f>IFERROR(INDEX(PP_Grid[#Data],$DE363,63),0)</f>
        <v/>
      </c>
      <c r="BO363">
        <f>IFERROR(INDEX(PP_Grid[#Data],$DE363,64),0)</f>
        <v/>
      </c>
      <c r="BP363">
        <f>IFERROR(INDEX(PP_Grid[#Data],$DE363,65),0)</f>
        <v/>
      </c>
      <c r="BQ363">
        <f>IFERROR(INDEX(PP_Grid[#Data],$DE363,66),0)</f>
        <v/>
      </c>
      <c r="BR363">
        <f>IFERROR(INDEX(PP_Grid[#Data],$DE363,67),0)</f>
        <v/>
      </c>
      <c r="BS363">
        <f>IFERROR(INDEX(PP_Grid[#Data],$DE363,68),0)</f>
        <v/>
      </c>
      <c r="BT363">
        <f>IFERROR(INDEX(PP_Grid[#Data],$DE363,69),0)</f>
        <v/>
      </c>
      <c r="BU363">
        <f>IFERROR(INDEX(PP_Grid[#Data],$DE363,70),0)</f>
        <v/>
      </c>
      <c r="BV363">
        <f>IFERROR(INDEX(PP_Grid[#Data],$DE363,71),0)</f>
        <v/>
      </c>
      <c r="BW363">
        <f>IFERROR(INDEX(PP_Grid[#Data],$DE363,72),0)</f>
        <v/>
      </c>
      <c r="BX363">
        <f>IFERROR(INDEX(PP_Grid[#Data],$DE363,73),0)</f>
        <v/>
      </c>
      <c r="BY363">
        <f>IFERROR(INDEX(PP_Grid[#Data],$DE363,74),0)</f>
        <v/>
      </c>
      <c r="BZ363">
        <f>IFERROR(INDEX(PP_Grid[#Data],$DE363,75),0)</f>
        <v/>
      </c>
      <c r="CA363">
        <f>IFERROR(INDEX(PP_Grid[#Data],$DE363,76),0)</f>
        <v/>
      </c>
      <c r="CB363">
        <f>IFERROR(INDEX(PP_Grid[#Data],$DE363,77),0)</f>
        <v/>
      </c>
      <c r="CC363">
        <f>IFERROR(INDEX(PP_Grid[#Data],$DE363,78),0)</f>
        <v/>
      </c>
      <c r="CD363">
        <f>IFERROR(INDEX(PP_Grid[#Data],$DE363,79),0)</f>
        <v/>
      </c>
      <c r="CE363">
        <f>IFERROR(INDEX(PP_Grid[#Data],$DE363,80),0)</f>
        <v/>
      </c>
      <c r="CF363">
        <f>IFERROR(INDEX(PP_Grid[#Data],$DE363,81),0)</f>
        <v/>
      </c>
      <c r="CG363">
        <f>IFERROR(INDEX(PP_Grid[#Data],$DE363,82),0)</f>
        <v/>
      </c>
      <c r="CH363">
        <f>IFERROR(INDEX(PP_Grid[#Data],$DE363,83),0)</f>
        <v/>
      </c>
      <c r="CI363">
        <f>IFERROR(INDEX(PP_Grid[#Data],$DE363,84),0)</f>
        <v/>
      </c>
      <c r="CJ363">
        <f>IFERROR(INDEX(PP_Grid[#Data],$DE363,85),0)</f>
        <v/>
      </c>
      <c r="CK363">
        <f>IFERROR(INDEX(PP_Grid[#Data],$DE363,86),0)</f>
        <v/>
      </c>
      <c r="CL363">
        <f>IFERROR(INDEX(PP_Grid[#Data],$DE363,87),0)</f>
        <v/>
      </c>
      <c r="CM363">
        <f>IFERROR(INDEX(PP_Grid[#Data],$DE363,88),0)</f>
        <v/>
      </c>
      <c r="CN363">
        <f>IFERROR(INDEX(PP_Grid[#Data],$DE363,89),0)</f>
        <v/>
      </c>
      <c r="CO363">
        <f>IFERROR(INDEX(PP_Grid[#Data],$DE363,90),0)</f>
        <v/>
      </c>
      <c r="CP363">
        <f>IFERROR(INDEX(PP_Grid[#Data],$DE363,91),0)</f>
        <v/>
      </c>
      <c r="CQ363">
        <f>IFERROR(INDEX(PP_Grid[#Data],$DE363,92),0)</f>
        <v/>
      </c>
      <c r="CR363">
        <f>IFERROR(INDEX(PP_Grid[#Data],$DE363,93),0)</f>
        <v/>
      </c>
      <c r="CS363">
        <f>IFERROR(INDEX(PP_Grid[#Data],$DE363,94),0)</f>
        <v/>
      </c>
      <c r="CT363">
        <f>IFERROR(INDEX(PP_Grid[#Data],$DE363,95),0)</f>
        <v/>
      </c>
      <c r="CU363">
        <f>IFERROR(INDEX(PP_Grid[#Data],$DE363,96),0)</f>
        <v/>
      </c>
      <c r="CV363">
        <f>IFERROR(INDEX(PP_Grid[#Data],$DE363,97),0)</f>
        <v/>
      </c>
      <c r="CW363">
        <f>IFERROR(INDEX(PP_Grid[#Data],$DE363,98),0)</f>
        <v/>
      </c>
      <c r="CX363">
        <f>IFERROR(INDEX(PP_Grid[#Data],$DE363,99),0)</f>
        <v/>
      </c>
      <c r="CY363">
        <f>IFERROR(INDEX(PP_Grid[#Data],$DE363,100),0)</f>
        <v/>
      </c>
      <c r="CZ363">
        <f>IFERROR(INDEX(PP_Grid[#Data],$DE363,101),0)</f>
        <v/>
      </c>
      <c r="DA363">
        <f>IFERROR(INDEX(PP_Grid[#Data],$DE363,102),0)</f>
        <v/>
      </c>
      <c r="DB363">
        <f>IFERROR(INDEX(PP_Grid[#Data],$DE363,103),0)</f>
        <v/>
      </c>
      <c r="DC363">
        <f>IFERROR(INDEX(PP_Grid[#Data],$DE363,104),0)</f>
        <v/>
      </c>
      <c r="DD363">
        <f>IFERROR(INDEX(PP_Grid[#Data],$DE363,105),0)</f>
        <v/>
      </c>
      <c r="DE363" s="7">
        <f>IFERROR(MATCH($B363,PP_Grid[Intermediate],0),99999)</f>
        <v/>
      </c>
    </row>
    <row r="364">
      <c r="B364" t="inlineStr">
        <is>
          <t>使用量(kg)</t>
        </is>
      </c>
      <c r="C364">
        <f>SUMIFS(M_BOM[RM_Qty_Per_Batch],M_BOM[Intermediate],$B363,M_BOM[RM_Code],$A340)</f>
        <v/>
      </c>
      <c r="D364">
        <f>IFERROR(INDEX(E364:DD364,$F$1),"")</f>
        <v/>
      </c>
      <c r="E364">
        <f>$C364*E363</f>
        <v/>
      </c>
      <c r="F364">
        <f>$C364*F363</f>
        <v/>
      </c>
      <c r="G364">
        <f>$C364*G363</f>
        <v/>
      </c>
      <c r="H364">
        <f>$C364*H363</f>
        <v/>
      </c>
      <c r="I364">
        <f>$C364*I363</f>
        <v/>
      </c>
      <c r="J364">
        <f>$C364*J363</f>
        <v/>
      </c>
      <c r="K364">
        <f>$C364*K363</f>
        <v/>
      </c>
      <c r="L364">
        <f>$C364*L363</f>
        <v/>
      </c>
      <c r="M364">
        <f>$C364*M363</f>
        <v/>
      </c>
      <c r="N364">
        <f>$C364*N363</f>
        <v/>
      </c>
      <c r="O364">
        <f>$C364*O363</f>
        <v/>
      </c>
      <c r="P364">
        <f>$C364*P363</f>
        <v/>
      </c>
      <c r="Q364">
        <f>$C364*Q363</f>
        <v/>
      </c>
      <c r="R364">
        <f>$C364*R363</f>
        <v/>
      </c>
      <c r="S364">
        <f>$C364*S363</f>
        <v/>
      </c>
      <c r="T364">
        <f>$C364*T363</f>
        <v/>
      </c>
      <c r="U364">
        <f>$C364*U363</f>
        <v/>
      </c>
      <c r="V364">
        <f>$C364*V363</f>
        <v/>
      </c>
      <c r="W364">
        <f>$C364*W363</f>
        <v/>
      </c>
      <c r="X364">
        <f>$C364*X363</f>
        <v/>
      </c>
      <c r="Y364">
        <f>$C364*Y363</f>
        <v/>
      </c>
      <c r="Z364">
        <f>$C364*Z363</f>
        <v/>
      </c>
      <c r="AA364">
        <f>$C364*AA363</f>
        <v/>
      </c>
      <c r="AB364">
        <f>$C364*AB363</f>
        <v/>
      </c>
      <c r="AC364">
        <f>$C364*AC363</f>
        <v/>
      </c>
      <c r="AD364">
        <f>$C364*AD363</f>
        <v/>
      </c>
      <c r="AE364">
        <f>$C364*AE363</f>
        <v/>
      </c>
      <c r="AF364">
        <f>$C364*AF363</f>
        <v/>
      </c>
      <c r="AG364">
        <f>$C364*AG363</f>
        <v/>
      </c>
      <c r="AH364">
        <f>$C364*AH363</f>
        <v/>
      </c>
      <c r="AI364">
        <f>$C364*AI363</f>
        <v/>
      </c>
      <c r="AJ364">
        <f>$C364*AJ363</f>
        <v/>
      </c>
      <c r="AK364">
        <f>$C364*AK363</f>
        <v/>
      </c>
      <c r="AL364">
        <f>$C364*AL363</f>
        <v/>
      </c>
      <c r="AM364">
        <f>$C364*AM363</f>
        <v/>
      </c>
      <c r="AN364">
        <f>$C364*AN363</f>
        <v/>
      </c>
      <c r="AO364">
        <f>$C364*AO363</f>
        <v/>
      </c>
      <c r="AP364">
        <f>$C364*AP363</f>
        <v/>
      </c>
      <c r="AQ364">
        <f>$C364*AQ363</f>
        <v/>
      </c>
      <c r="AR364">
        <f>$C364*AR363</f>
        <v/>
      </c>
      <c r="AS364">
        <f>$C364*AS363</f>
        <v/>
      </c>
      <c r="AT364">
        <f>$C364*AT363</f>
        <v/>
      </c>
      <c r="AU364">
        <f>$C364*AU363</f>
        <v/>
      </c>
      <c r="AV364">
        <f>$C364*AV363</f>
        <v/>
      </c>
      <c r="AW364">
        <f>$C364*AW363</f>
        <v/>
      </c>
      <c r="AX364">
        <f>$C364*AX363</f>
        <v/>
      </c>
      <c r="AY364">
        <f>$C364*AY363</f>
        <v/>
      </c>
      <c r="AZ364">
        <f>$C364*AZ363</f>
        <v/>
      </c>
      <c r="BA364">
        <f>$C364*BA363</f>
        <v/>
      </c>
      <c r="BB364">
        <f>$C364*BB363</f>
        <v/>
      </c>
      <c r="BC364">
        <f>$C364*BC363</f>
        <v/>
      </c>
      <c r="BD364">
        <f>$C364*BD363</f>
        <v/>
      </c>
      <c r="BE364">
        <f>$C364*BE363</f>
        <v/>
      </c>
      <c r="BF364">
        <f>$C364*BF363</f>
        <v/>
      </c>
      <c r="BG364">
        <f>$C364*BG363</f>
        <v/>
      </c>
      <c r="BH364">
        <f>$C364*BH363</f>
        <v/>
      </c>
      <c r="BI364">
        <f>$C364*BI363</f>
        <v/>
      </c>
      <c r="BJ364">
        <f>$C364*BJ363</f>
        <v/>
      </c>
      <c r="BK364">
        <f>$C364*BK363</f>
        <v/>
      </c>
      <c r="BL364">
        <f>$C364*BL363</f>
        <v/>
      </c>
      <c r="BM364">
        <f>$C364*BM363</f>
        <v/>
      </c>
      <c r="BN364">
        <f>$C364*BN363</f>
        <v/>
      </c>
      <c r="BO364">
        <f>$C364*BO363</f>
        <v/>
      </c>
      <c r="BP364">
        <f>$C364*BP363</f>
        <v/>
      </c>
      <c r="BQ364">
        <f>$C364*BQ363</f>
        <v/>
      </c>
      <c r="BR364">
        <f>$C364*BR363</f>
        <v/>
      </c>
      <c r="BS364">
        <f>$C364*BS363</f>
        <v/>
      </c>
      <c r="BT364">
        <f>$C364*BT363</f>
        <v/>
      </c>
      <c r="BU364">
        <f>$C364*BU363</f>
        <v/>
      </c>
      <c r="BV364">
        <f>$C364*BV363</f>
        <v/>
      </c>
      <c r="BW364">
        <f>$C364*BW363</f>
        <v/>
      </c>
      <c r="BX364">
        <f>$C364*BX363</f>
        <v/>
      </c>
      <c r="BY364">
        <f>$C364*BY363</f>
        <v/>
      </c>
      <c r="BZ364">
        <f>$C364*BZ363</f>
        <v/>
      </c>
      <c r="CA364">
        <f>$C364*CA363</f>
        <v/>
      </c>
      <c r="CB364">
        <f>$C364*CB363</f>
        <v/>
      </c>
      <c r="CC364">
        <f>$C364*CC363</f>
        <v/>
      </c>
      <c r="CD364">
        <f>$C364*CD363</f>
        <v/>
      </c>
      <c r="CE364">
        <f>$C364*CE363</f>
        <v/>
      </c>
      <c r="CF364">
        <f>$C364*CF363</f>
        <v/>
      </c>
      <c r="CG364">
        <f>$C364*CG363</f>
        <v/>
      </c>
      <c r="CH364">
        <f>$C364*CH363</f>
        <v/>
      </c>
      <c r="CI364">
        <f>$C364*CI363</f>
        <v/>
      </c>
      <c r="CJ364">
        <f>$C364*CJ363</f>
        <v/>
      </c>
      <c r="CK364">
        <f>$C364*CK363</f>
        <v/>
      </c>
      <c r="CL364">
        <f>$C364*CL363</f>
        <v/>
      </c>
      <c r="CM364">
        <f>$C364*CM363</f>
        <v/>
      </c>
      <c r="CN364">
        <f>$C364*CN363</f>
        <v/>
      </c>
      <c r="CO364">
        <f>$C364*CO363</f>
        <v/>
      </c>
      <c r="CP364">
        <f>$C364*CP363</f>
        <v/>
      </c>
      <c r="CQ364">
        <f>$C364*CQ363</f>
        <v/>
      </c>
      <c r="CR364">
        <f>$C364*CR363</f>
        <v/>
      </c>
      <c r="CS364">
        <f>$C364*CS363</f>
        <v/>
      </c>
      <c r="CT364">
        <f>$C364*CT363</f>
        <v/>
      </c>
      <c r="CU364">
        <f>$C364*CU363</f>
        <v/>
      </c>
      <c r="CV364">
        <f>$C364*CV363</f>
        <v/>
      </c>
      <c r="CW364">
        <f>$C364*CW363</f>
        <v/>
      </c>
      <c r="CX364">
        <f>$C364*CX363</f>
        <v/>
      </c>
      <c r="CY364">
        <f>$C364*CY363</f>
        <v/>
      </c>
      <c r="CZ364">
        <f>$C364*CZ363</f>
        <v/>
      </c>
      <c r="DA364">
        <f>$C364*DA363</f>
        <v/>
      </c>
      <c r="DB364">
        <f>$C364*DB363</f>
        <v/>
      </c>
      <c r="DC364">
        <f>$C364*DC363</f>
        <v/>
      </c>
      <c r="DD364">
        <f>$C364*DD363</f>
        <v/>
      </c>
    </row>
    <row r="365">
      <c r="B365" t="inlineStr">
        <is>
          <t>TSP-206</t>
        </is>
      </c>
      <c r="C365" t="inlineStr">
        <is>
          <t>No. of batches</t>
        </is>
      </c>
      <c r="D365">
        <f>IFERROR(INDEX(E365:DD365,$F$1),"")</f>
        <v/>
      </c>
      <c r="E365">
        <f>IFERROR(INDEX(PP_Grid[#Data],$DE365,2),0)</f>
        <v/>
      </c>
      <c r="F365">
        <f>IFERROR(INDEX(PP_Grid[#Data],$DE365,3),0)</f>
        <v/>
      </c>
      <c r="G365">
        <f>IFERROR(INDEX(PP_Grid[#Data],$DE365,4),0)</f>
        <v/>
      </c>
      <c r="H365">
        <f>IFERROR(INDEX(PP_Grid[#Data],$DE365,5),0)</f>
        <v/>
      </c>
      <c r="I365">
        <f>IFERROR(INDEX(PP_Grid[#Data],$DE365,6),0)</f>
        <v/>
      </c>
      <c r="J365">
        <f>IFERROR(INDEX(PP_Grid[#Data],$DE365,7),0)</f>
        <v/>
      </c>
      <c r="K365">
        <f>IFERROR(INDEX(PP_Grid[#Data],$DE365,8),0)</f>
        <v/>
      </c>
      <c r="L365">
        <f>IFERROR(INDEX(PP_Grid[#Data],$DE365,9),0)</f>
        <v/>
      </c>
      <c r="M365">
        <f>IFERROR(INDEX(PP_Grid[#Data],$DE365,10),0)</f>
        <v/>
      </c>
      <c r="N365">
        <f>IFERROR(INDEX(PP_Grid[#Data],$DE365,11),0)</f>
        <v/>
      </c>
      <c r="O365">
        <f>IFERROR(INDEX(PP_Grid[#Data],$DE365,12),0)</f>
        <v/>
      </c>
      <c r="P365">
        <f>IFERROR(INDEX(PP_Grid[#Data],$DE365,13),0)</f>
        <v/>
      </c>
      <c r="Q365">
        <f>IFERROR(INDEX(PP_Grid[#Data],$DE365,14),0)</f>
        <v/>
      </c>
      <c r="R365">
        <f>IFERROR(INDEX(PP_Grid[#Data],$DE365,15),0)</f>
        <v/>
      </c>
      <c r="S365">
        <f>IFERROR(INDEX(PP_Grid[#Data],$DE365,16),0)</f>
        <v/>
      </c>
      <c r="T365">
        <f>IFERROR(INDEX(PP_Grid[#Data],$DE365,17),0)</f>
        <v/>
      </c>
      <c r="U365">
        <f>IFERROR(INDEX(PP_Grid[#Data],$DE365,18),0)</f>
        <v/>
      </c>
      <c r="V365">
        <f>IFERROR(INDEX(PP_Grid[#Data],$DE365,19),0)</f>
        <v/>
      </c>
      <c r="W365">
        <f>IFERROR(INDEX(PP_Grid[#Data],$DE365,20),0)</f>
        <v/>
      </c>
      <c r="X365">
        <f>IFERROR(INDEX(PP_Grid[#Data],$DE365,21),0)</f>
        <v/>
      </c>
      <c r="Y365">
        <f>IFERROR(INDEX(PP_Grid[#Data],$DE365,22),0)</f>
        <v/>
      </c>
      <c r="Z365">
        <f>IFERROR(INDEX(PP_Grid[#Data],$DE365,23),0)</f>
        <v/>
      </c>
      <c r="AA365">
        <f>IFERROR(INDEX(PP_Grid[#Data],$DE365,24),0)</f>
        <v/>
      </c>
      <c r="AB365">
        <f>IFERROR(INDEX(PP_Grid[#Data],$DE365,25),0)</f>
        <v/>
      </c>
      <c r="AC365">
        <f>IFERROR(INDEX(PP_Grid[#Data],$DE365,26),0)</f>
        <v/>
      </c>
      <c r="AD365">
        <f>IFERROR(INDEX(PP_Grid[#Data],$DE365,27),0)</f>
        <v/>
      </c>
      <c r="AE365">
        <f>IFERROR(INDEX(PP_Grid[#Data],$DE365,28),0)</f>
        <v/>
      </c>
      <c r="AF365">
        <f>IFERROR(INDEX(PP_Grid[#Data],$DE365,29),0)</f>
        <v/>
      </c>
      <c r="AG365">
        <f>IFERROR(INDEX(PP_Grid[#Data],$DE365,30),0)</f>
        <v/>
      </c>
      <c r="AH365">
        <f>IFERROR(INDEX(PP_Grid[#Data],$DE365,31),0)</f>
        <v/>
      </c>
      <c r="AI365">
        <f>IFERROR(INDEX(PP_Grid[#Data],$DE365,32),0)</f>
        <v/>
      </c>
      <c r="AJ365">
        <f>IFERROR(INDEX(PP_Grid[#Data],$DE365,33),0)</f>
        <v/>
      </c>
      <c r="AK365">
        <f>IFERROR(INDEX(PP_Grid[#Data],$DE365,34),0)</f>
        <v/>
      </c>
      <c r="AL365">
        <f>IFERROR(INDEX(PP_Grid[#Data],$DE365,35),0)</f>
        <v/>
      </c>
      <c r="AM365">
        <f>IFERROR(INDEX(PP_Grid[#Data],$DE365,36),0)</f>
        <v/>
      </c>
      <c r="AN365">
        <f>IFERROR(INDEX(PP_Grid[#Data],$DE365,37),0)</f>
        <v/>
      </c>
      <c r="AO365">
        <f>IFERROR(INDEX(PP_Grid[#Data],$DE365,38),0)</f>
        <v/>
      </c>
      <c r="AP365">
        <f>IFERROR(INDEX(PP_Grid[#Data],$DE365,39),0)</f>
        <v/>
      </c>
      <c r="AQ365">
        <f>IFERROR(INDEX(PP_Grid[#Data],$DE365,40),0)</f>
        <v/>
      </c>
      <c r="AR365">
        <f>IFERROR(INDEX(PP_Grid[#Data],$DE365,41),0)</f>
        <v/>
      </c>
      <c r="AS365">
        <f>IFERROR(INDEX(PP_Grid[#Data],$DE365,42),0)</f>
        <v/>
      </c>
      <c r="AT365">
        <f>IFERROR(INDEX(PP_Grid[#Data],$DE365,43),0)</f>
        <v/>
      </c>
      <c r="AU365">
        <f>IFERROR(INDEX(PP_Grid[#Data],$DE365,44),0)</f>
        <v/>
      </c>
      <c r="AV365">
        <f>IFERROR(INDEX(PP_Grid[#Data],$DE365,45),0)</f>
        <v/>
      </c>
      <c r="AW365">
        <f>IFERROR(INDEX(PP_Grid[#Data],$DE365,46),0)</f>
        <v/>
      </c>
      <c r="AX365">
        <f>IFERROR(INDEX(PP_Grid[#Data],$DE365,47),0)</f>
        <v/>
      </c>
      <c r="AY365">
        <f>IFERROR(INDEX(PP_Grid[#Data],$DE365,48),0)</f>
        <v/>
      </c>
      <c r="AZ365">
        <f>IFERROR(INDEX(PP_Grid[#Data],$DE365,49),0)</f>
        <v/>
      </c>
      <c r="BA365">
        <f>IFERROR(INDEX(PP_Grid[#Data],$DE365,50),0)</f>
        <v/>
      </c>
      <c r="BB365">
        <f>IFERROR(INDEX(PP_Grid[#Data],$DE365,51),0)</f>
        <v/>
      </c>
      <c r="BC365">
        <f>IFERROR(INDEX(PP_Grid[#Data],$DE365,52),0)</f>
        <v/>
      </c>
      <c r="BD365">
        <f>IFERROR(INDEX(PP_Grid[#Data],$DE365,53),0)</f>
        <v/>
      </c>
      <c r="BE365">
        <f>IFERROR(INDEX(PP_Grid[#Data],$DE365,54),0)</f>
        <v/>
      </c>
      <c r="BF365">
        <f>IFERROR(INDEX(PP_Grid[#Data],$DE365,55),0)</f>
        <v/>
      </c>
      <c r="BG365">
        <f>IFERROR(INDEX(PP_Grid[#Data],$DE365,56),0)</f>
        <v/>
      </c>
      <c r="BH365">
        <f>IFERROR(INDEX(PP_Grid[#Data],$DE365,57),0)</f>
        <v/>
      </c>
      <c r="BI365">
        <f>IFERROR(INDEX(PP_Grid[#Data],$DE365,58),0)</f>
        <v/>
      </c>
      <c r="BJ365">
        <f>IFERROR(INDEX(PP_Grid[#Data],$DE365,59),0)</f>
        <v/>
      </c>
      <c r="BK365">
        <f>IFERROR(INDEX(PP_Grid[#Data],$DE365,60),0)</f>
        <v/>
      </c>
      <c r="BL365">
        <f>IFERROR(INDEX(PP_Grid[#Data],$DE365,61),0)</f>
        <v/>
      </c>
      <c r="BM365">
        <f>IFERROR(INDEX(PP_Grid[#Data],$DE365,62),0)</f>
        <v/>
      </c>
      <c r="BN365">
        <f>IFERROR(INDEX(PP_Grid[#Data],$DE365,63),0)</f>
        <v/>
      </c>
      <c r="BO365">
        <f>IFERROR(INDEX(PP_Grid[#Data],$DE365,64),0)</f>
        <v/>
      </c>
      <c r="BP365">
        <f>IFERROR(INDEX(PP_Grid[#Data],$DE365,65),0)</f>
        <v/>
      </c>
      <c r="BQ365">
        <f>IFERROR(INDEX(PP_Grid[#Data],$DE365,66),0)</f>
        <v/>
      </c>
      <c r="BR365">
        <f>IFERROR(INDEX(PP_Grid[#Data],$DE365,67),0)</f>
        <v/>
      </c>
      <c r="BS365">
        <f>IFERROR(INDEX(PP_Grid[#Data],$DE365,68),0)</f>
        <v/>
      </c>
      <c r="BT365">
        <f>IFERROR(INDEX(PP_Grid[#Data],$DE365,69),0)</f>
        <v/>
      </c>
      <c r="BU365">
        <f>IFERROR(INDEX(PP_Grid[#Data],$DE365,70),0)</f>
        <v/>
      </c>
      <c r="BV365">
        <f>IFERROR(INDEX(PP_Grid[#Data],$DE365,71),0)</f>
        <v/>
      </c>
      <c r="BW365">
        <f>IFERROR(INDEX(PP_Grid[#Data],$DE365,72),0)</f>
        <v/>
      </c>
      <c r="BX365">
        <f>IFERROR(INDEX(PP_Grid[#Data],$DE365,73),0)</f>
        <v/>
      </c>
      <c r="BY365">
        <f>IFERROR(INDEX(PP_Grid[#Data],$DE365,74),0)</f>
        <v/>
      </c>
      <c r="BZ365">
        <f>IFERROR(INDEX(PP_Grid[#Data],$DE365,75),0)</f>
        <v/>
      </c>
      <c r="CA365">
        <f>IFERROR(INDEX(PP_Grid[#Data],$DE365,76),0)</f>
        <v/>
      </c>
      <c r="CB365">
        <f>IFERROR(INDEX(PP_Grid[#Data],$DE365,77),0)</f>
        <v/>
      </c>
      <c r="CC365">
        <f>IFERROR(INDEX(PP_Grid[#Data],$DE365,78),0)</f>
        <v/>
      </c>
      <c r="CD365">
        <f>IFERROR(INDEX(PP_Grid[#Data],$DE365,79),0)</f>
        <v/>
      </c>
      <c r="CE365">
        <f>IFERROR(INDEX(PP_Grid[#Data],$DE365,80),0)</f>
        <v/>
      </c>
      <c r="CF365">
        <f>IFERROR(INDEX(PP_Grid[#Data],$DE365,81),0)</f>
        <v/>
      </c>
      <c r="CG365">
        <f>IFERROR(INDEX(PP_Grid[#Data],$DE365,82),0)</f>
        <v/>
      </c>
      <c r="CH365">
        <f>IFERROR(INDEX(PP_Grid[#Data],$DE365,83),0)</f>
        <v/>
      </c>
      <c r="CI365">
        <f>IFERROR(INDEX(PP_Grid[#Data],$DE365,84),0)</f>
        <v/>
      </c>
      <c r="CJ365">
        <f>IFERROR(INDEX(PP_Grid[#Data],$DE365,85),0)</f>
        <v/>
      </c>
      <c r="CK365">
        <f>IFERROR(INDEX(PP_Grid[#Data],$DE365,86),0)</f>
        <v/>
      </c>
      <c r="CL365">
        <f>IFERROR(INDEX(PP_Grid[#Data],$DE365,87),0)</f>
        <v/>
      </c>
      <c r="CM365">
        <f>IFERROR(INDEX(PP_Grid[#Data],$DE365,88),0)</f>
        <v/>
      </c>
      <c r="CN365">
        <f>IFERROR(INDEX(PP_Grid[#Data],$DE365,89),0)</f>
        <v/>
      </c>
      <c r="CO365">
        <f>IFERROR(INDEX(PP_Grid[#Data],$DE365,90),0)</f>
        <v/>
      </c>
      <c r="CP365">
        <f>IFERROR(INDEX(PP_Grid[#Data],$DE365,91),0)</f>
        <v/>
      </c>
      <c r="CQ365">
        <f>IFERROR(INDEX(PP_Grid[#Data],$DE365,92),0)</f>
        <v/>
      </c>
      <c r="CR365">
        <f>IFERROR(INDEX(PP_Grid[#Data],$DE365,93),0)</f>
        <v/>
      </c>
      <c r="CS365">
        <f>IFERROR(INDEX(PP_Grid[#Data],$DE365,94),0)</f>
        <v/>
      </c>
      <c r="CT365">
        <f>IFERROR(INDEX(PP_Grid[#Data],$DE365,95),0)</f>
        <v/>
      </c>
      <c r="CU365">
        <f>IFERROR(INDEX(PP_Grid[#Data],$DE365,96),0)</f>
        <v/>
      </c>
      <c r="CV365">
        <f>IFERROR(INDEX(PP_Grid[#Data],$DE365,97),0)</f>
        <v/>
      </c>
      <c r="CW365">
        <f>IFERROR(INDEX(PP_Grid[#Data],$DE365,98),0)</f>
        <v/>
      </c>
      <c r="CX365">
        <f>IFERROR(INDEX(PP_Grid[#Data],$DE365,99),0)</f>
        <v/>
      </c>
      <c r="CY365">
        <f>IFERROR(INDEX(PP_Grid[#Data],$DE365,100),0)</f>
        <v/>
      </c>
      <c r="CZ365">
        <f>IFERROR(INDEX(PP_Grid[#Data],$DE365,101),0)</f>
        <v/>
      </c>
      <c r="DA365">
        <f>IFERROR(INDEX(PP_Grid[#Data],$DE365,102),0)</f>
        <v/>
      </c>
      <c r="DB365">
        <f>IFERROR(INDEX(PP_Grid[#Data],$DE365,103),0)</f>
        <v/>
      </c>
      <c r="DC365">
        <f>IFERROR(INDEX(PP_Grid[#Data],$DE365,104),0)</f>
        <v/>
      </c>
      <c r="DD365">
        <f>IFERROR(INDEX(PP_Grid[#Data],$DE365,105),0)</f>
        <v/>
      </c>
      <c r="DE365" s="7">
        <f>IFERROR(MATCH($B365,PP_Grid[Intermediate],0),99999)</f>
        <v/>
      </c>
    </row>
    <row r="366">
      <c r="B366" t="inlineStr">
        <is>
          <t>使用量(kg)</t>
        </is>
      </c>
      <c r="C366">
        <f>SUMIFS(M_BOM[RM_Qty_Per_Batch],M_BOM[Intermediate],$B365,M_BOM[RM_Code],$A340)</f>
        <v/>
      </c>
      <c r="D366">
        <f>IFERROR(INDEX(E366:DD366,$F$1),"")</f>
        <v/>
      </c>
      <c r="E366">
        <f>$C366*E365</f>
        <v/>
      </c>
      <c r="F366">
        <f>$C366*F365</f>
        <v/>
      </c>
      <c r="G366">
        <f>$C366*G365</f>
        <v/>
      </c>
      <c r="H366">
        <f>$C366*H365</f>
        <v/>
      </c>
      <c r="I366">
        <f>$C366*I365</f>
        <v/>
      </c>
      <c r="J366">
        <f>$C366*J365</f>
        <v/>
      </c>
      <c r="K366">
        <f>$C366*K365</f>
        <v/>
      </c>
      <c r="L366">
        <f>$C366*L365</f>
        <v/>
      </c>
      <c r="M366">
        <f>$C366*M365</f>
        <v/>
      </c>
      <c r="N366">
        <f>$C366*N365</f>
        <v/>
      </c>
      <c r="O366">
        <f>$C366*O365</f>
        <v/>
      </c>
      <c r="P366">
        <f>$C366*P365</f>
        <v/>
      </c>
      <c r="Q366">
        <f>$C366*Q365</f>
        <v/>
      </c>
      <c r="R366">
        <f>$C366*R365</f>
        <v/>
      </c>
      <c r="S366">
        <f>$C366*S365</f>
        <v/>
      </c>
      <c r="T366">
        <f>$C366*T365</f>
        <v/>
      </c>
      <c r="U366">
        <f>$C366*U365</f>
        <v/>
      </c>
      <c r="V366">
        <f>$C366*V365</f>
        <v/>
      </c>
      <c r="W366">
        <f>$C366*W365</f>
        <v/>
      </c>
      <c r="X366">
        <f>$C366*X365</f>
        <v/>
      </c>
      <c r="Y366">
        <f>$C366*Y365</f>
        <v/>
      </c>
      <c r="Z366">
        <f>$C366*Z365</f>
        <v/>
      </c>
      <c r="AA366">
        <f>$C366*AA365</f>
        <v/>
      </c>
      <c r="AB366">
        <f>$C366*AB365</f>
        <v/>
      </c>
      <c r="AC366">
        <f>$C366*AC365</f>
        <v/>
      </c>
      <c r="AD366">
        <f>$C366*AD365</f>
        <v/>
      </c>
      <c r="AE366">
        <f>$C366*AE365</f>
        <v/>
      </c>
      <c r="AF366">
        <f>$C366*AF365</f>
        <v/>
      </c>
      <c r="AG366">
        <f>$C366*AG365</f>
        <v/>
      </c>
      <c r="AH366">
        <f>$C366*AH365</f>
        <v/>
      </c>
      <c r="AI366">
        <f>$C366*AI365</f>
        <v/>
      </c>
      <c r="AJ366">
        <f>$C366*AJ365</f>
        <v/>
      </c>
      <c r="AK366">
        <f>$C366*AK365</f>
        <v/>
      </c>
      <c r="AL366">
        <f>$C366*AL365</f>
        <v/>
      </c>
      <c r="AM366">
        <f>$C366*AM365</f>
        <v/>
      </c>
      <c r="AN366">
        <f>$C366*AN365</f>
        <v/>
      </c>
      <c r="AO366">
        <f>$C366*AO365</f>
        <v/>
      </c>
      <c r="AP366">
        <f>$C366*AP365</f>
        <v/>
      </c>
      <c r="AQ366">
        <f>$C366*AQ365</f>
        <v/>
      </c>
      <c r="AR366">
        <f>$C366*AR365</f>
        <v/>
      </c>
      <c r="AS366">
        <f>$C366*AS365</f>
        <v/>
      </c>
      <c r="AT366">
        <f>$C366*AT365</f>
        <v/>
      </c>
      <c r="AU366">
        <f>$C366*AU365</f>
        <v/>
      </c>
      <c r="AV366">
        <f>$C366*AV365</f>
        <v/>
      </c>
      <c r="AW366">
        <f>$C366*AW365</f>
        <v/>
      </c>
      <c r="AX366">
        <f>$C366*AX365</f>
        <v/>
      </c>
      <c r="AY366">
        <f>$C366*AY365</f>
        <v/>
      </c>
      <c r="AZ366">
        <f>$C366*AZ365</f>
        <v/>
      </c>
      <c r="BA366">
        <f>$C366*BA365</f>
        <v/>
      </c>
      <c r="BB366">
        <f>$C366*BB365</f>
        <v/>
      </c>
      <c r="BC366">
        <f>$C366*BC365</f>
        <v/>
      </c>
      <c r="BD366">
        <f>$C366*BD365</f>
        <v/>
      </c>
      <c r="BE366">
        <f>$C366*BE365</f>
        <v/>
      </c>
      <c r="BF366">
        <f>$C366*BF365</f>
        <v/>
      </c>
      <c r="BG366">
        <f>$C366*BG365</f>
        <v/>
      </c>
      <c r="BH366">
        <f>$C366*BH365</f>
        <v/>
      </c>
      <c r="BI366">
        <f>$C366*BI365</f>
        <v/>
      </c>
      <c r="BJ366">
        <f>$C366*BJ365</f>
        <v/>
      </c>
      <c r="BK366">
        <f>$C366*BK365</f>
        <v/>
      </c>
      <c r="BL366">
        <f>$C366*BL365</f>
        <v/>
      </c>
      <c r="BM366">
        <f>$C366*BM365</f>
        <v/>
      </c>
      <c r="BN366">
        <f>$C366*BN365</f>
        <v/>
      </c>
      <c r="BO366">
        <f>$C366*BO365</f>
        <v/>
      </c>
      <c r="BP366">
        <f>$C366*BP365</f>
        <v/>
      </c>
      <c r="BQ366">
        <f>$C366*BQ365</f>
        <v/>
      </c>
      <c r="BR366">
        <f>$C366*BR365</f>
        <v/>
      </c>
      <c r="BS366">
        <f>$C366*BS365</f>
        <v/>
      </c>
      <c r="BT366">
        <f>$C366*BT365</f>
        <v/>
      </c>
      <c r="BU366">
        <f>$C366*BU365</f>
        <v/>
      </c>
      <c r="BV366">
        <f>$C366*BV365</f>
        <v/>
      </c>
      <c r="BW366">
        <f>$C366*BW365</f>
        <v/>
      </c>
      <c r="BX366">
        <f>$C366*BX365</f>
        <v/>
      </c>
      <c r="BY366">
        <f>$C366*BY365</f>
        <v/>
      </c>
      <c r="BZ366">
        <f>$C366*BZ365</f>
        <v/>
      </c>
      <c r="CA366">
        <f>$C366*CA365</f>
        <v/>
      </c>
      <c r="CB366">
        <f>$C366*CB365</f>
        <v/>
      </c>
      <c r="CC366">
        <f>$C366*CC365</f>
        <v/>
      </c>
      <c r="CD366">
        <f>$C366*CD365</f>
        <v/>
      </c>
      <c r="CE366">
        <f>$C366*CE365</f>
        <v/>
      </c>
      <c r="CF366">
        <f>$C366*CF365</f>
        <v/>
      </c>
      <c r="CG366">
        <f>$C366*CG365</f>
        <v/>
      </c>
      <c r="CH366">
        <f>$C366*CH365</f>
        <v/>
      </c>
      <c r="CI366">
        <f>$C366*CI365</f>
        <v/>
      </c>
      <c r="CJ366">
        <f>$C366*CJ365</f>
        <v/>
      </c>
      <c r="CK366">
        <f>$C366*CK365</f>
        <v/>
      </c>
      <c r="CL366">
        <f>$C366*CL365</f>
        <v/>
      </c>
      <c r="CM366">
        <f>$C366*CM365</f>
        <v/>
      </c>
      <c r="CN366">
        <f>$C366*CN365</f>
        <v/>
      </c>
      <c r="CO366">
        <f>$C366*CO365</f>
        <v/>
      </c>
      <c r="CP366">
        <f>$C366*CP365</f>
        <v/>
      </c>
      <c r="CQ366">
        <f>$C366*CQ365</f>
        <v/>
      </c>
      <c r="CR366">
        <f>$C366*CR365</f>
        <v/>
      </c>
      <c r="CS366">
        <f>$C366*CS365</f>
        <v/>
      </c>
      <c r="CT366">
        <f>$C366*CT365</f>
        <v/>
      </c>
      <c r="CU366">
        <f>$C366*CU365</f>
        <v/>
      </c>
      <c r="CV366">
        <f>$C366*CV365</f>
        <v/>
      </c>
      <c r="CW366">
        <f>$C366*CW365</f>
        <v/>
      </c>
      <c r="CX366">
        <f>$C366*CX365</f>
        <v/>
      </c>
      <c r="CY366">
        <f>$C366*CY365</f>
        <v/>
      </c>
      <c r="CZ366">
        <f>$C366*CZ365</f>
        <v/>
      </c>
      <c r="DA366">
        <f>$C366*DA365</f>
        <v/>
      </c>
      <c r="DB366">
        <f>$C366*DB365</f>
        <v/>
      </c>
      <c r="DC366">
        <f>$C366*DC365</f>
        <v/>
      </c>
      <c r="DD366">
        <f>$C366*DD365</f>
        <v/>
      </c>
    </row>
    <row r="367">
      <c r="B367" t="inlineStr">
        <is>
          <t>TSP-218</t>
        </is>
      </c>
      <c r="C367" t="inlineStr">
        <is>
          <t>No. of batches</t>
        </is>
      </c>
      <c r="D367">
        <f>IFERROR(INDEX(E367:DD367,$F$1),"")</f>
        <v/>
      </c>
      <c r="E367">
        <f>IFERROR(INDEX(PP_Grid[#Data],$DE367,2),0)</f>
        <v/>
      </c>
      <c r="F367">
        <f>IFERROR(INDEX(PP_Grid[#Data],$DE367,3),0)</f>
        <v/>
      </c>
      <c r="G367">
        <f>IFERROR(INDEX(PP_Grid[#Data],$DE367,4),0)</f>
        <v/>
      </c>
      <c r="H367">
        <f>IFERROR(INDEX(PP_Grid[#Data],$DE367,5),0)</f>
        <v/>
      </c>
      <c r="I367">
        <f>IFERROR(INDEX(PP_Grid[#Data],$DE367,6),0)</f>
        <v/>
      </c>
      <c r="J367">
        <f>IFERROR(INDEX(PP_Grid[#Data],$DE367,7),0)</f>
        <v/>
      </c>
      <c r="K367">
        <f>IFERROR(INDEX(PP_Grid[#Data],$DE367,8),0)</f>
        <v/>
      </c>
      <c r="L367">
        <f>IFERROR(INDEX(PP_Grid[#Data],$DE367,9),0)</f>
        <v/>
      </c>
      <c r="M367">
        <f>IFERROR(INDEX(PP_Grid[#Data],$DE367,10),0)</f>
        <v/>
      </c>
      <c r="N367">
        <f>IFERROR(INDEX(PP_Grid[#Data],$DE367,11),0)</f>
        <v/>
      </c>
      <c r="O367">
        <f>IFERROR(INDEX(PP_Grid[#Data],$DE367,12),0)</f>
        <v/>
      </c>
      <c r="P367">
        <f>IFERROR(INDEX(PP_Grid[#Data],$DE367,13),0)</f>
        <v/>
      </c>
      <c r="Q367">
        <f>IFERROR(INDEX(PP_Grid[#Data],$DE367,14),0)</f>
        <v/>
      </c>
      <c r="R367">
        <f>IFERROR(INDEX(PP_Grid[#Data],$DE367,15),0)</f>
        <v/>
      </c>
      <c r="S367">
        <f>IFERROR(INDEX(PP_Grid[#Data],$DE367,16),0)</f>
        <v/>
      </c>
      <c r="T367">
        <f>IFERROR(INDEX(PP_Grid[#Data],$DE367,17),0)</f>
        <v/>
      </c>
      <c r="U367">
        <f>IFERROR(INDEX(PP_Grid[#Data],$DE367,18),0)</f>
        <v/>
      </c>
      <c r="V367">
        <f>IFERROR(INDEX(PP_Grid[#Data],$DE367,19),0)</f>
        <v/>
      </c>
      <c r="W367">
        <f>IFERROR(INDEX(PP_Grid[#Data],$DE367,20),0)</f>
        <v/>
      </c>
      <c r="X367">
        <f>IFERROR(INDEX(PP_Grid[#Data],$DE367,21),0)</f>
        <v/>
      </c>
      <c r="Y367">
        <f>IFERROR(INDEX(PP_Grid[#Data],$DE367,22),0)</f>
        <v/>
      </c>
      <c r="Z367">
        <f>IFERROR(INDEX(PP_Grid[#Data],$DE367,23),0)</f>
        <v/>
      </c>
      <c r="AA367">
        <f>IFERROR(INDEX(PP_Grid[#Data],$DE367,24),0)</f>
        <v/>
      </c>
      <c r="AB367">
        <f>IFERROR(INDEX(PP_Grid[#Data],$DE367,25),0)</f>
        <v/>
      </c>
      <c r="AC367">
        <f>IFERROR(INDEX(PP_Grid[#Data],$DE367,26),0)</f>
        <v/>
      </c>
      <c r="AD367">
        <f>IFERROR(INDEX(PP_Grid[#Data],$DE367,27),0)</f>
        <v/>
      </c>
      <c r="AE367">
        <f>IFERROR(INDEX(PP_Grid[#Data],$DE367,28),0)</f>
        <v/>
      </c>
      <c r="AF367">
        <f>IFERROR(INDEX(PP_Grid[#Data],$DE367,29),0)</f>
        <v/>
      </c>
      <c r="AG367">
        <f>IFERROR(INDEX(PP_Grid[#Data],$DE367,30),0)</f>
        <v/>
      </c>
      <c r="AH367">
        <f>IFERROR(INDEX(PP_Grid[#Data],$DE367,31),0)</f>
        <v/>
      </c>
      <c r="AI367">
        <f>IFERROR(INDEX(PP_Grid[#Data],$DE367,32),0)</f>
        <v/>
      </c>
      <c r="AJ367">
        <f>IFERROR(INDEX(PP_Grid[#Data],$DE367,33),0)</f>
        <v/>
      </c>
      <c r="AK367">
        <f>IFERROR(INDEX(PP_Grid[#Data],$DE367,34),0)</f>
        <v/>
      </c>
      <c r="AL367">
        <f>IFERROR(INDEX(PP_Grid[#Data],$DE367,35),0)</f>
        <v/>
      </c>
      <c r="AM367">
        <f>IFERROR(INDEX(PP_Grid[#Data],$DE367,36),0)</f>
        <v/>
      </c>
      <c r="AN367">
        <f>IFERROR(INDEX(PP_Grid[#Data],$DE367,37),0)</f>
        <v/>
      </c>
      <c r="AO367">
        <f>IFERROR(INDEX(PP_Grid[#Data],$DE367,38),0)</f>
        <v/>
      </c>
      <c r="AP367">
        <f>IFERROR(INDEX(PP_Grid[#Data],$DE367,39),0)</f>
        <v/>
      </c>
      <c r="AQ367">
        <f>IFERROR(INDEX(PP_Grid[#Data],$DE367,40),0)</f>
        <v/>
      </c>
      <c r="AR367">
        <f>IFERROR(INDEX(PP_Grid[#Data],$DE367,41),0)</f>
        <v/>
      </c>
      <c r="AS367">
        <f>IFERROR(INDEX(PP_Grid[#Data],$DE367,42),0)</f>
        <v/>
      </c>
      <c r="AT367">
        <f>IFERROR(INDEX(PP_Grid[#Data],$DE367,43),0)</f>
        <v/>
      </c>
      <c r="AU367">
        <f>IFERROR(INDEX(PP_Grid[#Data],$DE367,44),0)</f>
        <v/>
      </c>
      <c r="AV367">
        <f>IFERROR(INDEX(PP_Grid[#Data],$DE367,45),0)</f>
        <v/>
      </c>
      <c r="AW367">
        <f>IFERROR(INDEX(PP_Grid[#Data],$DE367,46),0)</f>
        <v/>
      </c>
      <c r="AX367">
        <f>IFERROR(INDEX(PP_Grid[#Data],$DE367,47),0)</f>
        <v/>
      </c>
      <c r="AY367">
        <f>IFERROR(INDEX(PP_Grid[#Data],$DE367,48),0)</f>
        <v/>
      </c>
      <c r="AZ367">
        <f>IFERROR(INDEX(PP_Grid[#Data],$DE367,49),0)</f>
        <v/>
      </c>
      <c r="BA367">
        <f>IFERROR(INDEX(PP_Grid[#Data],$DE367,50),0)</f>
        <v/>
      </c>
      <c r="BB367">
        <f>IFERROR(INDEX(PP_Grid[#Data],$DE367,51),0)</f>
        <v/>
      </c>
      <c r="BC367">
        <f>IFERROR(INDEX(PP_Grid[#Data],$DE367,52),0)</f>
        <v/>
      </c>
      <c r="BD367">
        <f>IFERROR(INDEX(PP_Grid[#Data],$DE367,53),0)</f>
        <v/>
      </c>
      <c r="BE367">
        <f>IFERROR(INDEX(PP_Grid[#Data],$DE367,54),0)</f>
        <v/>
      </c>
      <c r="BF367">
        <f>IFERROR(INDEX(PP_Grid[#Data],$DE367,55),0)</f>
        <v/>
      </c>
      <c r="BG367">
        <f>IFERROR(INDEX(PP_Grid[#Data],$DE367,56),0)</f>
        <v/>
      </c>
      <c r="BH367">
        <f>IFERROR(INDEX(PP_Grid[#Data],$DE367,57),0)</f>
        <v/>
      </c>
      <c r="BI367">
        <f>IFERROR(INDEX(PP_Grid[#Data],$DE367,58),0)</f>
        <v/>
      </c>
      <c r="BJ367">
        <f>IFERROR(INDEX(PP_Grid[#Data],$DE367,59),0)</f>
        <v/>
      </c>
      <c r="BK367">
        <f>IFERROR(INDEX(PP_Grid[#Data],$DE367,60),0)</f>
        <v/>
      </c>
      <c r="BL367">
        <f>IFERROR(INDEX(PP_Grid[#Data],$DE367,61),0)</f>
        <v/>
      </c>
      <c r="BM367">
        <f>IFERROR(INDEX(PP_Grid[#Data],$DE367,62),0)</f>
        <v/>
      </c>
      <c r="BN367">
        <f>IFERROR(INDEX(PP_Grid[#Data],$DE367,63),0)</f>
        <v/>
      </c>
      <c r="BO367">
        <f>IFERROR(INDEX(PP_Grid[#Data],$DE367,64),0)</f>
        <v/>
      </c>
      <c r="BP367">
        <f>IFERROR(INDEX(PP_Grid[#Data],$DE367,65),0)</f>
        <v/>
      </c>
      <c r="BQ367">
        <f>IFERROR(INDEX(PP_Grid[#Data],$DE367,66),0)</f>
        <v/>
      </c>
      <c r="BR367">
        <f>IFERROR(INDEX(PP_Grid[#Data],$DE367,67),0)</f>
        <v/>
      </c>
      <c r="BS367">
        <f>IFERROR(INDEX(PP_Grid[#Data],$DE367,68),0)</f>
        <v/>
      </c>
      <c r="BT367">
        <f>IFERROR(INDEX(PP_Grid[#Data],$DE367,69),0)</f>
        <v/>
      </c>
      <c r="BU367">
        <f>IFERROR(INDEX(PP_Grid[#Data],$DE367,70),0)</f>
        <v/>
      </c>
      <c r="BV367">
        <f>IFERROR(INDEX(PP_Grid[#Data],$DE367,71),0)</f>
        <v/>
      </c>
      <c r="BW367">
        <f>IFERROR(INDEX(PP_Grid[#Data],$DE367,72),0)</f>
        <v/>
      </c>
      <c r="BX367">
        <f>IFERROR(INDEX(PP_Grid[#Data],$DE367,73),0)</f>
        <v/>
      </c>
      <c r="BY367">
        <f>IFERROR(INDEX(PP_Grid[#Data],$DE367,74),0)</f>
        <v/>
      </c>
      <c r="BZ367">
        <f>IFERROR(INDEX(PP_Grid[#Data],$DE367,75),0)</f>
        <v/>
      </c>
      <c r="CA367">
        <f>IFERROR(INDEX(PP_Grid[#Data],$DE367,76),0)</f>
        <v/>
      </c>
      <c r="CB367">
        <f>IFERROR(INDEX(PP_Grid[#Data],$DE367,77),0)</f>
        <v/>
      </c>
      <c r="CC367">
        <f>IFERROR(INDEX(PP_Grid[#Data],$DE367,78),0)</f>
        <v/>
      </c>
      <c r="CD367">
        <f>IFERROR(INDEX(PP_Grid[#Data],$DE367,79),0)</f>
        <v/>
      </c>
      <c r="CE367">
        <f>IFERROR(INDEX(PP_Grid[#Data],$DE367,80),0)</f>
        <v/>
      </c>
      <c r="CF367">
        <f>IFERROR(INDEX(PP_Grid[#Data],$DE367,81),0)</f>
        <v/>
      </c>
      <c r="CG367">
        <f>IFERROR(INDEX(PP_Grid[#Data],$DE367,82),0)</f>
        <v/>
      </c>
      <c r="CH367">
        <f>IFERROR(INDEX(PP_Grid[#Data],$DE367,83),0)</f>
        <v/>
      </c>
      <c r="CI367">
        <f>IFERROR(INDEX(PP_Grid[#Data],$DE367,84),0)</f>
        <v/>
      </c>
      <c r="CJ367">
        <f>IFERROR(INDEX(PP_Grid[#Data],$DE367,85),0)</f>
        <v/>
      </c>
      <c r="CK367">
        <f>IFERROR(INDEX(PP_Grid[#Data],$DE367,86),0)</f>
        <v/>
      </c>
      <c r="CL367">
        <f>IFERROR(INDEX(PP_Grid[#Data],$DE367,87),0)</f>
        <v/>
      </c>
      <c r="CM367">
        <f>IFERROR(INDEX(PP_Grid[#Data],$DE367,88),0)</f>
        <v/>
      </c>
      <c r="CN367">
        <f>IFERROR(INDEX(PP_Grid[#Data],$DE367,89),0)</f>
        <v/>
      </c>
      <c r="CO367">
        <f>IFERROR(INDEX(PP_Grid[#Data],$DE367,90),0)</f>
        <v/>
      </c>
      <c r="CP367">
        <f>IFERROR(INDEX(PP_Grid[#Data],$DE367,91),0)</f>
        <v/>
      </c>
      <c r="CQ367">
        <f>IFERROR(INDEX(PP_Grid[#Data],$DE367,92),0)</f>
        <v/>
      </c>
      <c r="CR367">
        <f>IFERROR(INDEX(PP_Grid[#Data],$DE367,93),0)</f>
        <v/>
      </c>
      <c r="CS367">
        <f>IFERROR(INDEX(PP_Grid[#Data],$DE367,94),0)</f>
        <v/>
      </c>
      <c r="CT367">
        <f>IFERROR(INDEX(PP_Grid[#Data],$DE367,95),0)</f>
        <v/>
      </c>
      <c r="CU367">
        <f>IFERROR(INDEX(PP_Grid[#Data],$DE367,96),0)</f>
        <v/>
      </c>
      <c r="CV367">
        <f>IFERROR(INDEX(PP_Grid[#Data],$DE367,97),0)</f>
        <v/>
      </c>
      <c r="CW367">
        <f>IFERROR(INDEX(PP_Grid[#Data],$DE367,98),0)</f>
        <v/>
      </c>
      <c r="CX367">
        <f>IFERROR(INDEX(PP_Grid[#Data],$DE367,99),0)</f>
        <v/>
      </c>
      <c r="CY367">
        <f>IFERROR(INDEX(PP_Grid[#Data],$DE367,100),0)</f>
        <v/>
      </c>
      <c r="CZ367">
        <f>IFERROR(INDEX(PP_Grid[#Data],$DE367,101),0)</f>
        <v/>
      </c>
      <c r="DA367">
        <f>IFERROR(INDEX(PP_Grid[#Data],$DE367,102),0)</f>
        <v/>
      </c>
      <c r="DB367">
        <f>IFERROR(INDEX(PP_Grid[#Data],$DE367,103),0)</f>
        <v/>
      </c>
      <c r="DC367">
        <f>IFERROR(INDEX(PP_Grid[#Data],$DE367,104),0)</f>
        <v/>
      </c>
      <c r="DD367">
        <f>IFERROR(INDEX(PP_Grid[#Data],$DE367,105),0)</f>
        <v/>
      </c>
      <c r="DE367" s="7">
        <f>IFERROR(MATCH($B367,PP_Grid[Intermediate],0),99999)</f>
        <v/>
      </c>
    </row>
    <row r="368">
      <c r="B368" t="inlineStr">
        <is>
          <t>使用量(kg)</t>
        </is>
      </c>
      <c r="C368">
        <f>SUMIFS(M_BOM[RM_Qty_Per_Batch],M_BOM[Intermediate],$B367,M_BOM[RM_Code],$A340)</f>
        <v/>
      </c>
      <c r="D368">
        <f>IFERROR(INDEX(E368:DD368,$F$1),"")</f>
        <v/>
      </c>
      <c r="E368">
        <f>$C368*E367</f>
        <v/>
      </c>
      <c r="F368">
        <f>$C368*F367</f>
        <v/>
      </c>
      <c r="G368">
        <f>$C368*G367</f>
        <v/>
      </c>
      <c r="H368">
        <f>$C368*H367</f>
        <v/>
      </c>
      <c r="I368">
        <f>$C368*I367</f>
        <v/>
      </c>
      <c r="J368">
        <f>$C368*J367</f>
        <v/>
      </c>
      <c r="K368">
        <f>$C368*K367</f>
        <v/>
      </c>
      <c r="L368">
        <f>$C368*L367</f>
        <v/>
      </c>
      <c r="M368">
        <f>$C368*M367</f>
        <v/>
      </c>
      <c r="N368">
        <f>$C368*N367</f>
        <v/>
      </c>
      <c r="O368">
        <f>$C368*O367</f>
        <v/>
      </c>
      <c r="P368">
        <f>$C368*P367</f>
        <v/>
      </c>
      <c r="Q368">
        <f>$C368*Q367</f>
        <v/>
      </c>
      <c r="R368">
        <f>$C368*R367</f>
        <v/>
      </c>
      <c r="S368">
        <f>$C368*S367</f>
        <v/>
      </c>
      <c r="T368">
        <f>$C368*T367</f>
        <v/>
      </c>
      <c r="U368">
        <f>$C368*U367</f>
        <v/>
      </c>
      <c r="V368">
        <f>$C368*V367</f>
        <v/>
      </c>
      <c r="W368">
        <f>$C368*W367</f>
        <v/>
      </c>
      <c r="X368">
        <f>$C368*X367</f>
        <v/>
      </c>
      <c r="Y368">
        <f>$C368*Y367</f>
        <v/>
      </c>
      <c r="Z368">
        <f>$C368*Z367</f>
        <v/>
      </c>
      <c r="AA368">
        <f>$C368*AA367</f>
        <v/>
      </c>
      <c r="AB368">
        <f>$C368*AB367</f>
        <v/>
      </c>
      <c r="AC368">
        <f>$C368*AC367</f>
        <v/>
      </c>
      <c r="AD368">
        <f>$C368*AD367</f>
        <v/>
      </c>
      <c r="AE368">
        <f>$C368*AE367</f>
        <v/>
      </c>
      <c r="AF368">
        <f>$C368*AF367</f>
        <v/>
      </c>
      <c r="AG368">
        <f>$C368*AG367</f>
        <v/>
      </c>
      <c r="AH368">
        <f>$C368*AH367</f>
        <v/>
      </c>
      <c r="AI368">
        <f>$C368*AI367</f>
        <v/>
      </c>
      <c r="AJ368">
        <f>$C368*AJ367</f>
        <v/>
      </c>
      <c r="AK368">
        <f>$C368*AK367</f>
        <v/>
      </c>
      <c r="AL368">
        <f>$C368*AL367</f>
        <v/>
      </c>
      <c r="AM368">
        <f>$C368*AM367</f>
        <v/>
      </c>
      <c r="AN368">
        <f>$C368*AN367</f>
        <v/>
      </c>
      <c r="AO368">
        <f>$C368*AO367</f>
        <v/>
      </c>
      <c r="AP368">
        <f>$C368*AP367</f>
        <v/>
      </c>
      <c r="AQ368">
        <f>$C368*AQ367</f>
        <v/>
      </c>
      <c r="AR368">
        <f>$C368*AR367</f>
        <v/>
      </c>
      <c r="AS368">
        <f>$C368*AS367</f>
        <v/>
      </c>
      <c r="AT368">
        <f>$C368*AT367</f>
        <v/>
      </c>
      <c r="AU368">
        <f>$C368*AU367</f>
        <v/>
      </c>
      <c r="AV368">
        <f>$C368*AV367</f>
        <v/>
      </c>
      <c r="AW368">
        <f>$C368*AW367</f>
        <v/>
      </c>
      <c r="AX368">
        <f>$C368*AX367</f>
        <v/>
      </c>
      <c r="AY368">
        <f>$C368*AY367</f>
        <v/>
      </c>
      <c r="AZ368">
        <f>$C368*AZ367</f>
        <v/>
      </c>
      <c r="BA368">
        <f>$C368*BA367</f>
        <v/>
      </c>
      <c r="BB368">
        <f>$C368*BB367</f>
        <v/>
      </c>
      <c r="BC368">
        <f>$C368*BC367</f>
        <v/>
      </c>
      <c r="BD368">
        <f>$C368*BD367</f>
        <v/>
      </c>
      <c r="BE368">
        <f>$C368*BE367</f>
        <v/>
      </c>
      <c r="BF368">
        <f>$C368*BF367</f>
        <v/>
      </c>
      <c r="BG368">
        <f>$C368*BG367</f>
        <v/>
      </c>
      <c r="BH368">
        <f>$C368*BH367</f>
        <v/>
      </c>
      <c r="BI368">
        <f>$C368*BI367</f>
        <v/>
      </c>
      <c r="BJ368">
        <f>$C368*BJ367</f>
        <v/>
      </c>
      <c r="BK368">
        <f>$C368*BK367</f>
        <v/>
      </c>
      <c r="BL368">
        <f>$C368*BL367</f>
        <v/>
      </c>
      <c r="BM368">
        <f>$C368*BM367</f>
        <v/>
      </c>
      <c r="BN368">
        <f>$C368*BN367</f>
        <v/>
      </c>
      <c r="BO368">
        <f>$C368*BO367</f>
        <v/>
      </c>
      <c r="BP368">
        <f>$C368*BP367</f>
        <v/>
      </c>
      <c r="BQ368">
        <f>$C368*BQ367</f>
        <v/>
      </c>
      <c r="BR368">
        <f>$C368*BR367</f>
        <v/>
      </c>
      <c r="BS368">
        <f>$C368*BS367</f>
        <v/>
      </c>
      <c r="BT368">
        <f>$C368*BT367</f>
        <v/>
      </c>
      <c r="BU368">
        <f>$C368*BU367</f>
        <v/>
      </c>
      <c r="BV368">
        <f>$C368*BV367</f>
        <v/>
      </c>
      <c r="BW368">
        <f>$C368*BW367</f>
        <v/>
      </c>
      <c r="BX368">
        <f>$C368*BX367</f>
        <v/>
      </c>
      <c r="BY368">
        <f>$C368*BY367</f>
        <v/>
      </c>
      <c r="BZ368">
        <f>$C368*BZ367</f>
        <v/>
      </c>
      <c r="CA368">
        <f>$C368*CA367</f>
        <v/>
      </c>
      <c r="CB368">
        <f>$C368*CB367</f>
        <v/>
      </c>
      <c r="CC368">
        <f>$C368*CC367</f>
        <v/>
      </c>
      <c r="CD368">
        <f>$C368*CD367</f>
        <v/>
      </c>
      <c r="CE368">
        <f>$C368*CE367</f>
        <v/>
      </c>
      <c r="CF368">
        <f>$C368*CF367</f>
        <v/>
      </c>
      <c r="CG368">
        <f>$C368*CG367</f>
        <v/>
      </c>
      <c r="CH368">
        <f>$C368*CH367</f>
        <v/>
      </c>
      <c r="CI368">
        <f>$C368*CI367</f>
        <v/>
      </c>
      <c r="CJ368">
        <f>$C368*CJ367</f>
        <v/>
      </c>
      <c r="CK368">
        <f>$C368*CK367</f>
        <v/>
      </c>
      <c r="CL368">
        <f>$C368*CL367</f>
        <v/>
      </c>
      <c r="CM368">
        <f>$C368*CM367</f>
        <v/>
      </c>
      <c r="CN368">
        <f>$C368*CN367</f>
        <v/>
      </c>
      <c r="CO368">
        <f>$C368*CO367</f>
        <v/>
      </c>
      <c r="CP368">
        <f>$C368*CP367</f>
        <v/>
      </c>
      <c r="CQ368">
        <f>$C368*CQ367</f>
        <v/>
      </c>
      <c r="CR368">
        <f>$C368*CR367</f>
        <v/>
      </c>
      <c r="CS368">
        <f>$C368*CS367</f>
        <v/>
      </c>
      <c r="CT368">
        <f>$C368*CT367</f>
        <v/>
      </c>
      <c r="CU368">
        <f>$C368*CU367</f>
        <v/>
      </c>
      <c r="CV368">
        <f>$C368*CV367</f>
        <v/>
      </c>
      <c r="CW368">
        <f>$C368*CW367</f>
        <v/>
      </c>
      <c r="CX368">
        <f>$C368*CX367</f>
        <v/>
      </c>
      <c r="CY368">
        <f>$C368*CY367</f>
        <v/>
      </c>
      <c r="CZ368">
        <f>$C368*CZ367</f>
        <v/>
      </c>
      <c r="DA368">
        <f>$C368*DA367</f>
        <v/>
      </c>
      <c r="DB368">
        <f>$C368*DB367</f>
        <v/>
      </c>
      <c r="DC368">
        <f>$C368*DC367</f>
        <v/>
      </c>
      <c r="DD368">
        <f>$C368*DD367</f>
        <v/>
      </c>
    </row>
    <row r="369">
      <c r="B369" t="inlineStr">
        <is>
          <t>TSP-219</t>
        </is>
      </c>
      <c r="C369" t="inlineStr">
        <is>
          <t>No. of batches</t>
        </is>
      </c>
      <c r="D369">
        <f>IFERROR(INDEX(E369:DD369,$F$1),"")</f>
        <v/>
      </c>
      <c r="E369">
        <f>IFERROR(INDEX(PP_Grid[#Data],$DE369,2),0)</f>
        <v/>
      </c>
      <c r="F369">
        <f>IFERROR(INDEX(PP_Grid[#Data],$DE369,3),0)</f>
        <v/>
      </c>
      <c r="G369">
        <f>IFERROR(INDEX(PP_Grid[#Data],$DE369,4),0)</f>
        <v/>
      </c>
      <c r="H369">
        <f>IFERROR(INDEX(PP_Grid[#Data],$DE369,5),0)</f>
        <v/>
      </c>
      <c r="I369">
        <f>IFERROR(INDEX(PP_Grid[#Data],$DE369,6),0)</f>
        <v/>
      </c>
      <c r="J369">
        <f>IFERROR(INDEX(PP_Grid[#Data],$DE369,7),0)</f>
        <v/>
      </c>
      <c r="K369">
        <f>IFERROR(INDEX(PP_Grid[#Data],$DE369,8),0)</f>
        <v/>
      </c>
      <c r="L369">
        <f>IFERROR(INDEX(PP_Grid[#Data],$DE369,9),0)</f>
        <v/>
      </c>
      <c r="M369">
        <f>IFERROR(INDEX(PP_Grid[#Data],$DE369,10),0)</f>
        <v/>
      </c>
      <c r="N369">
        <f>IFERROR(INDEX(PP_Grid[#Data],$DE369,11),0)</f>
        <v/>
      </c>
      <c r="O369">
        <f>IFERROR(INDEX(PP_Grid[#Data],$DE369,12),0)</f>
        <v/>
      </c>
      <c r="P369">
        <f>IFERROR(INDEX(PP_Grid[#Data],$DE369,13),0)</f>
        <v/>
      </c>
      <c r="Q369">
        <f>IFERROR(INDEX(PP_Grid[#Data],$DE369,14),0)</f>
        <v/>
      </c>
      <c r="R369">
        <f>IFERROR(INDEX(PP_Grid[#Data],$DE369,15),0)</f>
        <v/>
      </c>
      <c r="S369">
        <f>IFERROR(INDEX(PP_Grid[#Data],$DE369,16),0)</f>
        <v/>
      </c>
      <c r="T369">
        <f>IFERROR(INDEX(PP_Grid[#Data],$DE369,17),0)</f>
        <v/>
      </c>
      <c r="U369">
        <f>IFERROR(INDEX(PP_Grid[#Data],$DE369,18),0)</f>
        <v/>
      </c>
      <c r="V369">
        <f>IFERROR(INDEX(PP_Grid[#Data],$DE369,19),0)</f>
        <v/>
      </c>
      <c r="W369">
        <f>IFERROR(INDEX(PP_Grid[#Data],$DE369,20),0)</f>
        <v/>
      </c>
      <c r="X369">
        <f>IFERROR(INDEX(PP_Grid[#Data],$DE369,21),0)</f>
        <v/>
      </c>
      <c r="Y369">
        <f>IFERROR(INDEX(PP_Grid[#Data],$DE369,22),0)</f>
        <v/>
      </c>
      <c r="Z369">
        <f>IFERROR(INDEX(PP_Grid[#Data],$DE369,23),0)</f>
        <v/>
      </c>
      <c r="AA369">
        <f>IFERROR(INDEX(PP_Grid[#Data],$DE369,24),0)</f>
        <v/>
      </c>
      <c r="AB369">
        <f>IFERROR(INDEX(PP_Grid[#Data],$DE369,25),0)</f>
        <v/>
      </c>
      <c r="AC369">
        <f>IFERROR(INDEX(PP_Grid[#Data],$DE369,26),0)</f>
        <v/>
      </c>
      <c r="AD369">
        <f>IFERROR(INDEX(PP_Grid[#Data],$DE369,27),0)</f>
        <v/>
      </c>
      <c r="AE369">
        <f>IFERROR(INDEX(PP_Grid[#Data],$DE369,28),0)</f>
        <v/>
      </c>
      <c r="AF369">
        <f>IFERROR(INDEX(PP_Grid[#Data],$DE369,29),0)</f>
        <v/>
      </c>
      <c r="AG369">
        <f>IFERROR(INDEX(PP_Grid[#Data],$DE369,30),0)</f>
        <v/>
      </c>
      <c r="AH369">
        <f>IFERROR(INDEX(PP_Grid[#Data],$DE369,31),0)</f>
        <v/>
      </c>
      <c r="AI369">
        <f>IFERROR(INDEX(PP_Grid[#Data],$DE369,32),0)</f>
        <v/>
      </c>
      <c r="AJ369">
        <f>IFERROR(INDEX(PP_Grid[#Data],$DE369,33),0)</f>
        <v/>
      </c>
      <c r="AK369">
        <f>IFERROR(INDEX(PP_Grid[#Data],$DE369,34),0)</f>
        <v/>
      </c>
      <c r="AL369">
        <f>IFERROR(INDEX(PP_Grid[#Data],$DE369,35),0)</f>
        <v/>
      </c>
      <c r="AM369">
        <f>IFERROR(INDEX(PP_Grid[#Data],$DE369,36),0)</f>
        <v/>
      </c>
      <c r="AN369">
        <f>IFERROR(INDEX(PP_Grid[#Data],$DE369,37),0)</f>
        <v/>
      </c>
      <c r="AO369">
        <f>IFERROR(INDEX(PP_Grid[#Data],$DE369,38),0)</f>
        <v/>
      </c>
      <c r="AP369">
        <f>IFERROR(INDEX(PP_Grid[#Data],$DE369,39),0)</f>
        <v/>
      </c>
      <c r="AQ369">
        <f>IFERROR(INDEX(PP_Grid[#Data],$DE369,40),0)</f>
        <v/>
      </c>
      <c r="AR369">
        <f>IFERROR(INDEX(PP_Grid[#Data],$DE369,41),0)</f>
        <v/>
      </c>
      <c r="AS369">
        <f>IFERROR(INDEX(PP_Grid[#Data],$DE369,42),0)</f>
        <v/>
      </c>
      <c r="AT369">
        <f>IFERROR(INDEX(PP_Grid[#Data],$DE369,43),0)</f>
        <v/>
      </c>
      <c r="AU369">
        <f>IFERROR(INDEX(PP_Grid[#Data],$DE369,44),0)</f>
        <v/>
      </c>
      <c r="AV369">
        <f>IFERROR(INDEX(PP_Grid[#Data],$DE369,45),0)</f>
        <v/>
      </c>
      <c r="AW369">
        <f>IFERROR(INDEX(PP_Grid[#Data],$DE369,46),0)</f>
        <v/>
      </c>
      <c r="AX369">
        <f>IFERROR(INDEX(PP_Grid[#Data],$DE369,47),0)</f>
        <v/>
      </c>
      <c r="AY369">
        <f>IFERROR(INDEX(PP_Grid[#Data],$DE369,48),0)</f>
        <v/>
      </c>
      <c r="AZ369">
        <f>IFERROR(INDEX(PP_Grid[#Data],$DE369,49),0)</f>
        <v/>
      </c>
      <c r="BA369">
        <f>IFERROR(INDEX(PP_Grid[#Data],$DE369,50),0)</f>
        <v/>
      </c>
      <c r="BB369">
        <f>IFERROR(INDEX(PP_Grid[#Data],$DE369,51),0)</f>
        <v/>
      </c>
      <c r="BC369">
        <f>IFERROR(INDEX(PP_Grid[#Data],$DE369,52),0)</f>
        <v/>
      </c>
      <c r="BD369">
        <f>IFERROR(INDEX(PP_Grid[#Data],$DE369,53),0)</f>
        <v/>
      </c>
      <c r="BE369">
        <f>IFERROR(INDEX(PP_Grid[#Data],$DE369,54),0)</f>
        <v/>
      </c>
      <c r="BF369">
        <f>IFERROR(INDEX(PP_Grid[#Data],$DE369,55),0)</f>
        <v/>
      </c>
      <c r="BG369">
        <f>IFERROR(INDEX(PP_Grid[#Data],$DE369,56),0)</f>
        <v/>
      </c>
      <c r="BH369">
        <f>IFERROR(INDEX(PP_Grid[#Data],$DE369,57),0)</f>
        <v/>
      </c>
      <c r="BI369">
        <f>IFERROR(INDEX(PP_Grid[#Data],$DE369,58),0)</f>
        <v/>
      </c>
      <c r="BJ369">
        <f>IFERROR(INDEX(PP_Grid[#Data],$DE369,59),0)</f>
        <v/>
      </c>
      <c r="BK369">
        <f>IFERROR(INDEX(PP_Grid[#Data],$DE369,60),0)</f>
        <v/>
      </c>
      <c r="BL369">
        <f>IFERROR(INDEX(PP_Grid[#Data],$DE369,61),0)</f>
        <v/>
      </c>
      <c r="BM369">
        <f>IFERROR(INDEX(PP_Grid[#Data],$DE369,62),0)</f>
        <v/>
      </c>
      <c r="BN369">
        <f>IFERROR(INDEX(PP_Grid[#Data],$DE369,63),0)</f>
        <v/>
      </c>
      <c r="BO369">
        <f>IFERROR(INDEX(PP_Grid[#Data],$DE369,64),0)</f>
        <v/>
      </c>
      <c r="BP369">
        <f>IFERROR(INDEX(PP_Grid[#Data],$DE369,65),0)</f>
        <v/>
      </c>
      <c r="BQ369">
        <f>IFERROR(INDEX(PP_Grid[#Data],$DE369,66),0)</f>
        <v/>
      </c>
      <c r="BR369">
        <f>IFERROR(INDEX(PP_Grid[#Data],$DE369,67),0)</f>
        <v/>
      </c>
      <c r="BS369">
        <f>IFERROR(INDEX(PP_Grid[#Data],$DE369,68),0)</f>
        <v/>
      </c>
      <c r="BT369">
        <f>IFERROR(INDEX(PP_Grid[#Data],$DE369,69),0)</f>
        <v/>
      </c>
      <c r="BU369">
        <f>IFERROR(INDEX(PP_Grid[#Data],$DE369,70),0)</f>
        <v/>
      </c>
      <c r="BV369">
        <f>IFERROR(INDEX(PP_Grid[#Data],$DE369,71),0)</f>
        <v/>
      </c>
      <c r="BW369">
        <f>IFERROR(INDEX(PP_Grid[#Data],$DE369,72),0)</f>
        <v/>
      </c>
      <c r="BX369">
        <f>IFERROR(INDEX(PP_Grid[#Data],$DE369,73),0)</f>
        <v/>
      </c>
      <c r="BY369">
        <f>IFERROR(INDEX(PP_Grid[#Data],$DE369,74),0)</f>
        <v/>
      </c>
      <c r="BZ369">
        <f>IFERROR(INDEX(PP_Grid[#Data],$DE369,75),0)</f>
        <v/>
      </c>
      <c r="CA369">
        <f>IFERROR(INDEX(PP_Grid[#Data],$DE369,76),0)</f>
        <v/>
      </c>
      <c r="CB369">
        <f>IFERROR(INDEX(PP_Grid[#Data],$DE369,77),0)</f>
        <v/>
      </c>
      <c r="CC369">
        <f>IFERROR(INDEX(PP_Grid[#Data],$DE369,78),0)</f>
        <v/>
      </c>
      <c r="CD369">
        <f>IFERROR(INDEX(PP_Grid[#Data],$DE369,79),0)</f>
        <v/>
      </c>
      <c r="CE369">
        <f>IFERROR(INDEX(PP_Grid[#Data],$DE369,80),0)</f>
        <v/>
      </c>
      <c r="CF369">
        <f>IFERROR(INDEX(PP_Grid[#Data],$DE369,81),0)</f>
        <v/>
      </c>
      <c r="CG369">
        <f>IFERROR(INDEX(PP_Grid[#Data],$DE369,82),0)</f>
        <v/>
      </c>
      <c r="CH369">
        <f>IFERROR(INDEX(PP_Grid[#Data],$DE369,83),0)</f>
        <v/>
      </c>
      <c r="CI369">
        <f>IFERROR(INDEX(PP_Grid[#Data],$DE369,84),0)</f>
        <v/>
      </c>
      <c r="CJ369">
        <f>IFERROR(INDEX(PP_Grid[#Data],$DE369,85),0)</f>
        <v/>
      </c>
      <c r="CK369">
        <f>IFERROR(INDEX(PP_Grid[#Data],$DE369,86),0)</f>
        <v/>
      </c>
      <c r="CL369">
        <f>IFERROR(INDEX(PP_Grid[#Data],$DE369,87),0)</f>
        <v/>
      </c>
      <c r="CM369">
        <f>IFERROR(INDEX(PP_Grid[#Data],$DE369,88),0)</f>
        <v/>
      </c>
      <c r="CN369">
        <f>IFERROR(INDEX(PP_Grid[#Data],$DE369,89),0)</f>
        <v/>
      </c>
      <c r="CO369">
        <f>IFERROR(INDEX(PP_Grid[#Data],$DE369,90),0)</f>
        <v/>
      </c>
      <c r="CP369">
        <f>IFERROR(INDEX(PP_Grid[#Data],$DE369,91),0)</f>
        <v/>
      </c>
      <c r="CQ369">
        <f>IFERROR(INDEX(PP_Grid[#Data],$DE369,92),0)</f>
        <v/>
      </c>
      <c r="CR369">
        <f>IFERROR(INDEX(PP_Grid[#Data],$DE369,93),0)</f>
        <v/>
      </c>
      <c r="CS369">
        <f>IFERROR(INDEX(PP_Grid[#Data],$DE369,94),0)</f>
        <v/>
      </c>
      <c r="CT369">
        <f>IFERROR(INDEX(PP_Grid[#Data],$DE369,95),0)</f>
        <v/>
      </c>
      <c r="CU369">
        <f>IFERROR(INDEX(PP_Grid[#Data],$DE369,96),0)</f>
        <v/>
      </c>
      <c r="CV369">
        <f>IFERROR(INDEX(PP_Grid[#Data],$DE369,97),0)</f>
        <v/>
      </c>
      <c r="CW369">
        <f>IFERROR(INDEX(PP_Grid[#Data],$DE369,98),0)</f>
        <v/>
      </c>
      <c r="CX369">
        <f>IFERROR(INDEX(PP_Grid[#Data],$DE369,99),0)</f>
        <v/>
      </c>
      <c r="CY369">
        <f>IFERROR(INDEX(PP_Grid[#Data],$DE369,100),0)</f>
        <v/>
      </c>
      <c r="CZ369">
        <f>IFERROR(INDEX(PP_Grid[#Data],$DE369,101),0)</f>
        <v/>
      </c>
      <c r="DA369">
        <f>IFERROR(INDEX(PP_Grid[#Data],$DE369,102),0)</f>
        <v/>
      </c>
      <c r="DB369">
        <f>IFERROR(INDEX(PP_Grid[#Data],$DE369,103),0)</f>
        <v/>
      </c>
      <c r="DC369">
        <f>IFERROR(INDEX(PP_Grid[#Data],$DE369,104),0)</f>
        <v/>
      </c>
      <c r="DD369">
        <f>IFERROR(INDEX(PP_Grid[#Data],$DE369,105),0)</f>
        <v/>
      </c>
      <c r="DE369" s="7">
        <f>IFERROR(MATCH($B369,PP_Grid[Intermediate],0),99999)</f>
        <v/>
      </c>
    </row>
    <row r="370">
      <c r="B370" t="inlineStr">
        <is>
          <t>使用量(kg)</t>
        </is>
      </c>
      <c r="C370">
        <f>SUMIFS(M_BOM[RM_Qty_Per_Batch],M_BOM[Intermediate],$B369,M_BOM[RM_Code],$A340)</f>
        <v/>
      </c>
      <c r="D370">
        <f>IFERROR(INDEX(E370:DD370,$F$1),"")</f>
        <v/>
      </c>
      <c r="E370">
        <f>$C370*E369</f>
        <v/>
      </c>
      <c r="F370">
        <f>$C370*F369</f>
        <v/>
      </c>
      <c r="G370">
        <f>$C370*G369</f>
        <v/>
      </c>
      <c r="H370">
        <f>$C370*H369</f>
        <v/>
      </c>
      <c r="I370">
        <f>$C370*I369</f>
        <v/>
      </c>
      <c r="J370">
        <f>$C370*J369</f>
        <v/>
      </c>
      <c r="K370">
        <f>$C370*K369</f>
        <v/>
      </c>
      <c r="L370">
        <f>$C370*L369</f>
        <v/>
      </c>
      <c r="M370">
        <f>$C370*M369</f>
        <v/>
      </c>
      <c r="N370">
        <f>$C370*N369</f>
        <v/>
      </c>
      <c r="O370">
        <f>$C370*O369</f>
        <v/>
      </c>
      <c r="P370">
        <f>$C370*P369</f>
        <v/>
      </c>
      <c r="Q370">
        <f>$C370*Q369</f>
        <v/>
      </c>
      <c r="R370">
        <f>$C370*R369</f>
        <v/>
      </c>
      <c r="S370">
        <f>$C370*S369</f>
        <v/>
      </c>
      <c r="T370">
        <f>$C370*T369</f>
        <v/>
      </c>
      <c r="U370">
        <f>$C370*U369</f>
        <v/>
      </c>
      <c r="V370">
        <f>$C370*V369</f>
        <v/>
      </c>
      <c r="W370">
        <f>$C370*W369</f>
        <v/>
      </c>
      <c r="X370">
        <f>$C370*X369</f>
        <v/>
      </c>
      <c r="Y370">
        <f>$C370*Y369</f>
        <v/>
      </c>
      <c r="Z370">
        <f>$C370*Z369</f>
        <v/>
      </c>
      <c r="AA370">
        <f>$C370*AA369</f>
        <v/>
      </c>
      <c r="AB370">
        <f>$C370*AB369</f>
        <v/>
      </c>
      <c r="AC370">
        <f>$C370*AC369</f>
        <v/>
      </c>
      <c r="AD370">
        <f>$C370*AD369</f>
        <v/>
      </c>
      <c r="AE370">
        <f>$C370*AE369</f>
        <v/>
      </c>
      <c r="AF370">
        <f>$C370*AF369</f>
        <v/>
      </c>
      <c r="AG370">
        <f>$C370*AG369</f>
        <v/>
      </c>
      <c r="AH370">
        <f>$C370*AH369</f>
        <v/>
      </c>
      <c r="AI370">
        <f>$C370*AI369</f>
        <v/>
      </c>
      <c r="AJ370">
        <f>$C370*AJ369</f>
        <v/>
      </c>
      <c r="AK370">
        <f>$C370*AK369</f>
        <v/>
      </c>
      <c r="AL370">
        <f>$C370*AL369</f>
        <v/>
      </c>
      <c r="AM370">
        <f>$C370*AM369</f>
        <v/>
      </c>
      <c r="AN370">
        <f>$C370*AN369</f>
        <v/>
      </c>
      <c r="AO370">
        <f>$C370*AO369</f>
        <v/>
      </c>
      <c r="AP370">
        <f>$C370*AP369</f>
        <v/>
      </c>
      <c r="AQ370">
        <f>$C370*AQ369</f>
        <v/>
      </c>
      <c r="AR370">
        <f>$C370*AR369</f>
        <v/>
      </c>
      <c r="AS370">
        <f>$C370*AS369</f>
        <v/>
      </c>
      <c r="AT370">
        <f>$C370*AT369</f>
        <v/>
      </c>
      <c r="AU370">
        <f>$C370*AU369</f>
        <v/>
      </c>
      <c r="AV370">
        <f>$C370*AV369</f>
        <v/>
      </c>
      <c r="AW370">
        <f>$C370*AW369</f>
        <v/>
      </c>
      <c r="AX370">
        <f>$C370*AX369</f>
        <v/>
      </c>
      <c r="AY370">
        <f>$C370*AY369</f>
        <v/>
      </c>
      <c r="AZ370">
        <f>$C370*AZ369</f>
        <v/>
      </c>
      <c r="BA370">
        <f>$C370*BA369</f>
        <v/>
      </c>
      <c r="BB370">
        <f>$C370*BB369</f>
        <v/>
      </c>
      <c r="BC370">
        <f>$C370*BC369</f>
        <v/>
      </c>
      <c r="BD370">
        <f>$C370*BD369</f>
        <v/>
      </c>
      <c r="BE370">
        <f>$C370*BE369</f>
        <v/>
      </c>
      <c r="BF370">
        <f>$C370*BF369</f>
        <v/>
      </c>
      <c r="BG370">
        <f>$C370*BG369</f>
        <v/>
      </c>
      <c r="BH370">
        <f>$C370*BH369</f>
        <v/>
      </c>
      <c r="BI370">
        <f>$C370*BI369</f>
        <v/>
      </c>
      <c r="BJ370">
        <f>$C370*BJ369</f>
        <v/>
      </c>
      <c r="BK370">
        <f>$C370*BK369</f>
        <v/>
      </c>
      <c r="BL370">
        <f>$C370*BL369</f>
        <v/>
      </c>
      <c r="BM370">
        <f>$C370*BM369</f>
        <v/>
      </c>
      <c r="BN370">
        <f>$C370*BN369</f>
        <v/>
      </c>
      <c r="BO370">
        <f>$C370*BO369</f>
        <v/>
      </c>
      <c r="BP370">
        <f>$C370*BP369</f>
        <v/>
      </c>
      <c r="BQ370">
        <f>$C370*BQ369</f>
        <v/>
      </c>
      <c r="BR370">
        <f>$C370*BR369</f>
        <v/>
      </c>
      <c r="BS370">
        <f>$C370*BS369</f>
        <v/>
      </c>
      <c r="BT370">
        <f>$C370*BT369</f>
        <v/>
      </c>
      <c r="BU370">
        <f>$C370*BU369</f>
        <v/>
      </c>
      <c r="BV370">
        <f>$C370*BV369</f>
        <v/>
      </c>
      <c r="BW370">
        <f>$C370*BW369</f>
        <v/>
      </c>
      <c r="BX370">
        <f>$C370*BX369</f>
        <v/>
      </c>
      <c r="BY370">
        <f>$C370*BY369</f>
        <v/>
      </c>
      <c r="BZ370">
        <f>$C370*BZ369</f>
        <v/>
      </c>
      <c r="CA370">
        <f>$C370*CA369</f>
        <v/>
      </c>
      <c r="CB370">
        <f>$C370*CB369</f>
        <v/>
      </c>
      <c r="CC370">
        <f>$C370*CC369</f>
        <v/>
      </c>
      <c r="CD370">
        <f>$C370*CD369</f>
        <v/>
      </c>
      <c r="CE370">
        <f>$C370*CE369</f>
        <v/>
      </c>
      <c r="CF370">
        <f>$C370*CF369</f>
        <v/>
      </c>
      <c r="CG370">
        <f>$C370*CG369</f>
        <v/>
      </c>
      <c r="CH370">
        <f>$C370*CH369</f>
        <v/>
      </c>
      <c r="CI370">
        <f>$C370*CI369</f>
        <v/>
      </c>
      <c r="CJ370">
        <f>$C370*CJ369</f>
        <v/>
      </c>
      <c r="CK370">
        <f>$C370*CK369</f>
        <v/>
      </c>
      <c r="CL370">
        <f>$C370*CL369</f>
        <v/>
      </c>
      <c r="CM370">
        <f>$C370*CM369</f>
        <v/>
      </c>
      <c r="CN370">
        <f>$C370*CN369</f>
        <v/>
      </c>
      <c r="CO370">
        <f>$C370*CO369</f>
        <v/>
      </c>
      <c r="CP370">
        <f>$C370*CP369</f>
        <v/>
      </c>
      <c r="CQ370">
        <f>$C370*CQ369</f>
        <v/>
      </c>
      <c r="CR370">
        <f>$C370*CR369</f>
        <v/>
      </c>
      <c r="CS370">
        <f>$C370*CS369</f>
        <v/>
      </c>
      <c r="CT370">
        <f>$C370*CT369</f>
        <v/>
      </c>
      <c r="CU370">
        <f>$C370*CU369</f>
        <v/>
      </c>
      <c r="CV370">
        <f>$C370*CV369</f>
        <v/>
      </c>
      <c r="CW370">
        <f>$C370*CW369</f>
        <v/>
      </c>
      <c r="CX370">
        <f>$C370*CX369</f>
        <v/>
      </c>
      <c r="CY370">
        <f>$C370*CY369</f>
        <v/>
      </c>
      <c r="CZ370">
        <f>$C370*CZ369</f>
        <v/>
      </c>
      <c r="DA370">
        <f>$C370*DA369</f>
        <v/>
      </c>
      <c r="DB370">
        <f>$C370*DB369</f>
        <v/>
      </c>
      <c r="DC370">
        <f>$C370*DC369</f>
        <v/>
      </c>
      <c r="DD370">
        <f>$C370*DD369</f>
        <v/>
      </c>
    </row>
    <row r="371">
      <c r="B371" t="inlineStr">
        <is>
          <t>TSP-224</t>
        </is>
      </c>
      <c r="C371" t="inlineStr">
        <is>
          <t>No. of batches</t>
        </is>
      </c>
      <c r="D371">
        <f>IFERROR(INDEX(E371:DD371,$F$1),"")</f>
        <v/>
      </c>
      <c r="E371">
        <f>IFERROR(INDEX(PP_Grid[#Data],$DE371,2),0)</f>
        <v/>
      </c>
      <c r="F371">
        <f>IFERROR(INDEX(PP_Grid[#Data],$DE371,3),0)</f>
        <v/>
      </c>
      <c r="G371">
        <f>IFERROR(INDEX(PP_Grid[#Data],$DE371,4),0)</f>
        <v/>
      </c>
      <c r="H371">
        <f>IFERROR(INDEX(PP_Grid[#Data],$DE371,5),0)</f>
        <v/>
      </c>
      <c r="I371">
        <f>IFERROR(INDEX(PP_Grid[#Data],$DE371,6),0)</f>
        <v/>
      </c>
      <c r="J371">
        <f>IFERROR(INDEX(PP_Grid[#Data],$DE371,7),0)</f>
        <v/>
      </c>
      <c r="K371">
        <f>IFERROR(INDEX(PP_Grid[#Data],$DE371,8),0)</f>
        <v/>
      </c>
      <c r="L371">
        <f>IFERROR(INDEX(PP_Grid[#Data],$DE371,9),0)</f>
        <v/>
      </c>
      <c r="M371">
        <f>IFERROR(INDEX(PP_Grid[#Data],$DE371,10),0)</f>
        <v/>
      </c>
      <c r="N371">
        <f>IFERROR(INDEX(PP_Grid[#Data],$DE371,11),0)</f>
        <v/>
      </c>
      <c r="O371">
        <f>IFERROR(INDEX(PP_Grid[#Data],$DE371,12),0)</f>
        <v/>
      </c>
      <c r="P371">
        <f>IFERROR(INDEX(PP_Grid[#Data],$DE371,13),0)</f>
        <v/>
      </c>
      <c r="Q371">
        <f>IFERROR(INDEX(PP_Grid[#Data],$DE371,14),0)</f>
        <v/>
      </c>
      <c r="R371">
        <f>IFERROR(INDEX(PP_Grid[#Data],$DE371,15),0)</f>
        <v/>
      </c>
      <c r="S371">
        <f>IFERROR(INDEX(PP_Grid[#Data],$DE371,16),0)</f>
        <v/>
      </c>
      <c r="T371">
        <f>IFERROR(INDEX(PP_Grid[#Data],$DE371,17),0)</f>
        <v/>
      </c>
      <c r="U371">
        <f>IFERROR(INDEX(PP_Grid[#Data],$DE371,18),0)</f>
        <v/>
      </c>
      <c r="V371">
        <f>IFERROR(INDEX(PP_Grid[#Data],$DE371,19),0)</f>
        <v/>
      </c>
      <c r="W371">
        <f>IFERROR(INDEX(PP_Grid[#Data],$DE371,20),0)</f>
        <v/>
      </c>
      <c r="X371">
        <f>IFERROR(INDEX(PP_Grid[#Data],$DE371,21),0)</f>
        <v/>
      </c>
      <c r="Y371">
        <f>IFERROR(INDEX(PP_Grid[#Data],$DE371,22),0)</f>
        <v/>
      </c>
      <c r="Z371">
        <f>IFERROR(INDEX(PP_Grid[#Data],$DE371,23),0)</f>
        <v/>
      </c>
      <c r="AA371">
        <f>IFERROR(INDEX(PP_Grid[#Data],$DE371,24),0)</f>
        <v/>
      </c>
      <c r="AB371">
        <f>IFERROR(INDEX(PP_Grid[#Data],$DE371,25),0)</f>
        <v/>
      </c>
      <c r="AC371">
        <f>IFERROR(INDEX(PP_Grid[#Data],$DE371,26),0)</f>
        <v/>
      </c>
      <c r="AD371">
        <f>IFERROR(INDEX(PP_Grid[#Data],$DE371,27),0)</f>
        <v/>
      </c>
      <c r="AE371">
        <f>IFERROR(INDEX(PP_Grid[#Data],$DE371,28),0)</f>
        <v/>
      </c>
      <c r="AF371">
        <f>IFERROR(INDEX(PP_Grid[#Data],$DE371,29),0)</f>
        <v/>
      </c>
      <c r="AG371">
        <f>IFERROR(INDEX(PP_Grid[#Data],$DE371,30),0)</f>
        <v/>
      </c>
      <c r="AH371">
        <f>IFERROR(INDEX(PP_Grid[#Data],$DE371,31),0)</f>
        <v/>
      </c>
      <c r="AI371">
        <f>IFERROR(INDEX(PP_Grid[#Data],$DE371,32),0)</f>
        <v/>
      </c>
      <c r="AJ371">
        <f>IFERROR(INDEX(PP_Grid[#Data],$DE371,33),0)</f>
        <v/>
      </c>
      <c r="AK371">
        <f>IFERROR(INDEX(PP_Grid[#Data],$DE371,34),0)</f>
        <v/>
      </c>
      <c r="AL371">
        <f>IFERROR(INDEX(PP_Grid[#Data],$DE371,35),0)</f>
        <v/>
      </c>
      <c r="AM371">
        <f>IFERROR(INDEX(PP_Grid[#Data],$DE371,36),0)</f>
        <v/>
      </c>
      <c r="AN371">
        <f>IFERROR(INDEX(PP_Grid[#Data],$DE371,37),0)</f>
        <v/>
      </c>
      <c r="AO371">
        <f>IFERROR(INDEX(PP_Grid[#Data],$DE371,38),0)</f>
        <v/>
      </c>
      <c r="AP371">
        <f>IFERROR(INDEX(PP_Grid[#Data],$DE371,39),0)</f>
        <v/>
      </c>
      <c r="AQ371">
        <f>IFERROR(INDEX(PP_Grid[#Data],$DE371,40),0)</f>
        <v/>
      </c>
      <c r="AR371">
        <f>IFERROR(INDEX(PP_Grid[#Data],$DE371,41),0)</f>
        <v/>
      </c>
      <c r="AS371">
        <f>IFERROR(INDEX(PP_Grid[#Data],$DE371,42),0)</f>
        <v/>
      </c>
      <c r="AT371">
        <f>IFERROR(INDEX(PP_Grid[#Data],$DE371,43),0)</f>
        <v/>
      </c>
      <c r="AU371">
        <f>IFERROR(INDEX(PP_Grid[#Data],$DE371,44),0)</f>
        <v/>
      </c>
      <c r="AV371">
        <f>IFERROR(INDEX(PP_Grid[#Data],$DE371,45),0)</f>
        <v/>
      </c>
      <c r="AW371">
        <f>IFERROR(INDEX(PP_Grid[#Data],$DE371,46),0)</f>
        <v/>
      </c>
      <c r="AX371">
        <f>IFERROR(INDEX(PP_Grid[#Data],$DE371,47),0)</f>
        <v/>
      </c>
      <c r="AY371">
        <f>IFERROR(INDEX(PP_Grid[#Data],$DE371,48),0)</f>
        <v/>
      </c>
      <c r="AZ371">
        <f>IFERROR(INDEX(PP_Grid[#Data],$DE371,49),0)</f>
        <v/>
      </c>
      <c r="BA371">
        <f>IFERROR(INDEX(PP_Grid[#Data],$DE371,50),0)</f>
        <v/>
      </c>
      <c r="BB371">
        <f>IFERROR(INDEX(PP_Grid[#Data],$DE371,51),0)</f>
        <v/>
      </c>
      <c r="BC371">
        <f>IFERROR(INDEX(PP_Grid[#Data],$DE371,52),0)</f>
        <v/>
      </c>
      <c r="BD371">
        <f>IFERROR(INDEX(PP_Grid[#Data],$DE371,53),0)</f>
        <v/>
      </c>
      <c r="BE371">
        <f>IFERROR(INDEX(PP_Grid[#Data],$DE371,54),0)</f>
        <v/>
      </c>
      <c r="BF371">
        <f>IFERROR(INDEX(PP_Grid[#Data],$DE371,55),0)</f>
        <v/>
      </c>
      <c r="BG371">
        <f>IFERROR(INDEX(PP_Grid[#Data],$DE371,56),0)</f>
        <v/>
      </c>
      <c r="BH371">
        <f>IFERROR(INDEX(PP_Grid[#Data],$DE371,57),0)</f>
        <v/>
      </c>
      <c r="BI371">
        <f>IFERROR(INDEX(PP_Grid[#Data],$DE371,58),0)</f>
        <v/>
      </c>
      <c r="BJ371">
        <f>IFERROR(INDEX(PP_Grid[#Data],$DE371,59),0)</f>
        <v/>
      </c>
      <c r="BK371">
        <f>IFERROR(INDEX(PP_Grid[#Data],$DE371,60),0)</f>
        <v/>
      </c>
      <c r="BL371">
        <f>IFERROR(INDEX(PP_Grid[#Data],$DE371,61),0)</f>
        <v/>
      </c>
      <c r="BM371">
        <f>IFERROR(INDEX(PP_Grid[#Data],$DE371,62),0)</f>
        <v/>
      </c>
      <c r="BN371">
        <f>IFERROR(INDEX(PP_Grid[#Data],$DE371,63),0)</f>
        <v/>
      </c>
      <c r="BO371">
        <f>IFERROR(INDEX(PP_Grid[#Data],$DE371,64),0)</f>
        <v/>
      </c>
      <c r="BP371">
        <f>IFERROR(INDEX(PP_Grid[#Data],$DE371,65),0)</f>
        <v/>
      </c>
      <c r="BQ371">
        <f>IFERROR(INDEX(PP_Grid[#Data],$DE371,66),0)</f>
        <v/>
      </c>
      <c r="BR371">
        <f>IFERROR(INDEX(PP_Grid[#Data],$DE371,67),0)</f>
        <v/>
      </c>
      <c r="BS371">
        <f>IFERROR(INDEX(PP_Grid[#Data],$DE371,68),0)</f>
        <v/>
      </c>
      <c r="BT371">
        <f>IFERROR(INDEX(PP_Grid[#Data],$DE371,69),0)</f>
        <v/>
      </c>
      <c r="BU371">
        <f>IFERROR(INDEX(PP_Grid[#Data],$DE371,70),0)</f>
        <v/>
      </c>
      <c r="BV371">
        <f>IFERROR(INDEX(PP_Grid[#Data],$DE371,71),0)</f>
        <v/>
      </c>
      <c r="BW371">
        <f>IFERROR(INDEX(PP_Grid[#Data],$DE371,72),0)</f>
        <v/>
      </c>
      <c r="BX371">
        <f>IFERROR(INDEX(PP_Grid[#Data],$DE371,73),0)</f>
        <v/>
      </c>
      <c r="BY371">
        <f>IFERROR(INDEX(PP_Grid[#Data],$DE371,74),0)</f>
        <v/>
      </c>
      <c r="BZ371">
        <f>IFERROR(INDEX(PP_Grid[#Data],$DE371,75),0)</f>
        <v/>
      </c>
      <c r="CA371">
        <f>IFERROR(INDEX(PP_Grid[#Data],$DE371,76),0)</f>
        <v/>
      </c>
      <c r="CB371">
        <f>IFERROR(INDEX(PP_Grid[#Data],$DE371,77),0)</f>
        <v/>
      </c>
      <c r="CC371">
        <f>IFERROR(INDEX(PP_Grid[#Data],$DE371,78),0)</f>
        <v/>
      </c>
      <c r="CD371">
        <f>IFERROR(INDEX(PP_Grid[#Data],$DE371,79),0)</f>
        <v/>
      </c>
      <c r="CE371">
        <f>IFERROR(INDEX(PP_Grid[#Data],$DE371,80),0)</f>
        <v/>
      </c>
      <c r="CF371">
        <f>IFERROR(INDEX(PP_Grid[#Data],$DE371,81),0)</f>
        <v/>
      </c>
      <c r="CG371">
        <f>IFERROR(INDEX(PP_Grid[#Data],$DE371,82),0)</f>
        <v/>
      </c>
      <c r="CH371">
        <f>IFERROR(INDEX(PP_Grid[#Data],$DE371,83),0)</f>
        <v/>
      </c>
      <c r="CI371">
        <f>IFERROR(INDEX(PP_Grid[#Data],$DE371,84),0)</f>
        <v/>
      </c>
      <c r="CJ371">
        <f>IFERROR(INDEX(PP_Grid[#Data],$DE371,85),0)</f>
        <v/>
      </c>
      <c r="CK371">
        <f>IFERROR(INDEX(PP_Grid[#Data],$DE371,86),0)</f>
        <v/>
      </c>
      <c r="CL371">
        <f>IFERROR(INDEX(PP_Grid[#Data],$DE371,87),0)</f>
        <v/>
      </c>
      <c r="CM371">
        <f>IFERROR(INDEX(PP_Grid[#Data],$DE371,88),0)</f>
        <v/>
      </c>
      <c r="CN371">
        <f>IFERROR(INDEX(PP_Grid[#Data],$DE371,89),0)</f>
        <v/>
      </c>
      <c r="CO371">
        <f>IFERROR(INDEX(PP_Grid[#Data],$DE371,90),0)</f>
        <v/>
      </c>
      <c r="CP371">
        <f>IFERROR(INDEX(PP_Grid[#Data],$DE371,91),0)</f>
        <v/>
      </c>
      <c r="CQ371">
        <f>IFERROR(INDEX(PP_Grid[#Data],$DE371,92),0)</f>
        <v/>
      </c>
      <c r="CR371">
        <f>IFERROR(INDEX(PP_Grid[#Data],$DE371,93),0)</f>
        <v/>
      </c>
      <c r="CS371">
        <f>IFERROR(INDEX(PP_Grid[#Data],$DE371,94),0)</f>
        <v/>
      </c>
      <c r="CT371">
        <f>IFERROR(INDEX(PP_Grid[#Data],$DE371,95),0)</f>
        <v/>
      </c>
      <c r="CU371">
        <f>IFERROR(INDEX(PP_Grid[#Data],$DE371,96),0)</f>
        <v/>
      </c>
      <c r="CV371">
        <f>IFERROR(INDEX(PP_Grid[#Data],$DE371,97),0)</f>
        <v/>
      </c>
      <c r="CW371">
        <f>IFERROR(INDEX(PP_Grid[#Data],$DE371,98),0)</f>
        <v/>
      </c>
      <c r="CX371">
        <f>IFERROR(INDEX(PP_Grid[#Data],$DE371,99),0)</f>
        <v/>
      </c>
      <c r="CY371">
        <f>IFERROR(INDEX(PP_Grid[#Data],$DE371,100),0)</f>
        <v/>
      </c>
      <c r="CZ371">
        <f>IFERROR(INDEX(PP_Grid[#Data],$DE371,101),0)</f>
        <v/>
      </c>
      <c r="DA371">
        <f>IFERROR(INDEX(PP_Grid[#Data],$DE371,102),0)</f>
        <v/>
      </c>
      <c r="DB371">
        <f>IFERROR(INDEX(PP_Grid[#Data],$DE371,103),0)</f>
        <v/>
      </c>
      <c r="DC371">
        <f>IFERROR(INDEX(PP_Grid[#Data],$DE371,104),0)</f>
        <v/>
      </c>
      <c r="DD371">
        <f>IFERROR(INDEX(PP_Grid[#Data],$DE371,105),0)</f>
        <v/>
      </c>
      <c r="DE371" s="7">
        <f>IFERROR(MATCH($B371,PP_Grid[Intermediate],0),99999)</f>
        <v/>
      </c>
    </row>
    <row r="372">
      <c r="B372" t="inlineStr">
        <is>
          <t>使用量(kg)</t>
        </is>
      </c>
      <c r="C372">
        <f>SUMIFS(M_BOM[RM_Qty_Per_Batch],M_BOM[Intermediate],$B371,M_BOM[RM_Code],$A340)</f>
        <v/>
      </c>
      <c r="D372">
        <f>IFERROR(INDEX(E372:DD372,$F$1),"")</f>
        <v/>
      </c>
      <c r="E372">
        <f>$C372*E371</f>
        <v/>
      </c>
      <c r="F372">
        <f>$C372*F371</f>
        <v/>
      </c>
      <c r="G372">
        <f>$C372*G371</f>
        <v/>
      </c>
      <c r="H372">
        <f>$C372*H371</f>
        <v/>
      </c>
      <c r="I372">
        <f>$C372*I371</f>
        <v/>
      </c>
      <c r="J372">
        <f>$C372*J371</f>
        <v/>
      </c>
      <c r="K372">
        <f>$C372*K371</f>
        <v/>
      </c>
      <c r="L372">
        <f>$C372*L371</f>
        <v/>
      </c>
      <c r="M372">
        <f>$C372*M371</f>
        <v/>
      </c>
      <c r="N372">
        <f>$C372*N371</f>
        <v/>
      </c>
      <c r="O372">
        <f>$C372*O371</f>
        <v/>
      </c>
      <c r="P372">
        <f>$C372*P371</f>
        <v/>
      </c>
      <c r="Q372">
        <f>$C372*Q371</f>
        <v/>
      </c>
      <c r="R372">
        <f>$C372*R371</f>
        <v/>
      </c>
      <c r="S372">
        <f>$C372*S371</f>
        <v/>
      </c>
      <c r="T372">
        <f>$C372*T371</f>
        <v/>
      </c>
      <c r="U372">
        <f>$C372*U371</f>
        <v/>
      </c>
      <c r="V372">
        <f>$C372*V371</f>
        <v/>
      </c>
      <c r="W372">
        <f>$C372*W371</f>
        <v/>
      </c>
      <c r="X372">
        <f>$C372*X371</f>
        <v/>
      </c>
      <c r="Y372">
        <f>$C372*Y371</f>
        <v/>
      </c>
      <c r="Z372">
        <f>$C372*Z371</f>
        <v/>
      </c>
      <c r="AA372">
        <f>$C372*AA371</f>
        <v/>
      </c>
      <c r="AB372">
        <f>$C372*AB371</f>
        <v/>
      </c>
      <c r="AC372">
        <f>$C372*AC371</f>
        <v/>
      </c>
      <c r="AD372">
        <f>$C372*AD371</f>
        <v/>
      </c>
      <c r="AE372">
        <f>$C372*AE371</f>
        <v/>
      </c>
      <c r="AF372">
        <f>$C372*AF371</f>
        <v/>
      </c>
      <c r="AG372">
        <f>$C372*AG371</f>
        <v/>
      </c>
      <c r="AH372">
        <f>$C372*AH371</f>
        <v/>
      </c>
      <c r="AI372">
        <f>$C372*AI371</f>
        <v/>
      </c>
      <c r="AJ372">
        <f>$C372*AJ371</f>
        <v/>
      </c>
      <c r="AK372">
        <f>$C372*AK371</f>
        <v/>
      </c>
      <c r="AL372">
        <f>$C372*AL371</f>
        <v/>
      </c>
      <c r="AM372">
        <f>$C372*AM371</f>
        <v/>
      </c>
      <c r="AN372">
        <f>$C372*AN371</f>
        <v/>
      </c>
      <c r="AO372">
        <f>$C372*AO371</f>
        <v/>
      </c>
      <c r="AP372">
        <f>$C372*AP371</f>
        <v/>
      </c>
      <c r="AQ372">
        <f>$C372*AQ371</f>
        <v/>
      </c>
      <c r="AR372">
        <f>$C372*AR371</f>
        <v/>
      </c>
      <c r="AS372">
        <f>$C372*AS371</f>
        <v/>
      </c>
      <c r="AT372">
        <f>$C372*AT371</f>
        <v/>
      </c>
      <c r="AU372">
        <f>$C372*AU371</f>
        <v/>
      </c>
      <c r="AV372">
        <f>$C372*AV371</f>
        <v/>
      </c>
      <c r="AW372">
        <f>$C372*AW371</f>
        <v/>
      </c>
      <c r="AX372">
        <f>$C372*AX371</f>
        <v/>
      </c>
      <c r="AY372">
        <f>$C372*AY371</f>
        <v/>
      </c>
      <c r="AZ372">
        <f>$C372*AZ371</f>
        <v/>
      </c>
      <c r="BA372">
        <f>$C372*BA371</f>
        <v/>
      </c>
      <c r="BB372">
        <f>$C372*BB371</f>
        <v/>
      </c>
      <c r="BC372">
        <f>$C372*BC371</f>
        <v/>
      </c>
      <c r="BD372">
        <f>$C372*BD371</f>
        <v/>
      </c>
      <c r="BE372">
        <f>$C372*BE371</f>
        <v/>
      </c>
      <c r="BF372">
        <f>$C372*BF371</f>
        <v/>
      </c>
      <c r="BG372">
        <f>$C372*BG371</f>
        <v/>
      </c>
      <c r="BH372">
        <f>$C372*BH371</f>
        <v/>
      </c>
      <c r="BI372">
        <f>$C372*BI371</f>
        <v/>
      </c>
      <c r="BJ372">
        <f>$C372*BJ371</f>
        <v/>
      </c>
      <c r="BK372">
        <f>$C372*BK371</f>
        <v/>
      </c>
      <c r="BL372">
        <f>$C372*BL371</f>
        <v/>
      </c>
      <c r="BM372">
        <f>$C372*BM371</f>
        <v/>
      </c>
      <c r="BN372">
        <f>$C372*BN371</f>
        <v/>
      </c>
      <c r="BO372">
        <f>$C372*BO371</f>
        <v/>
      </c>
      <c r="BP372">
        <f>$C372*BP371</f>
        <v/>
      </c>
      <c r="BQ372">
        <f>$C372*BQ371</f>
        <v/>
      </c>
      <c r="BR372">
        <f>$C372*BR371</f>
        <v/>
      </c>
      <c r="BS372">
        <f>$C372*BS371</f>
        <v/>
      </c>
      <c r="BT372">
        <f>$C372*BT371</f>
        <v/>
      </c>
      <c r="BU372">
        <f>$C372*BU371</f>
        <v/>
      </c>
      <c r="BV372">
        <f>$C372*BV371</f>
        <v/>
      </c>
      <c r="BW372">
        <f>$C372*BW371</f>
        <v/>
      </c>
      <c r="BX372">
        <f>$C372*BX371</f>
        <v/>
      </c>
      <c r="BY372">
        <f>$C372*BY371</f>
        <v/>
      </c>
      <c r="BZ372">
        <f>$C372*BZ371</f>
        <v/>
      </c>
      <c r="CA372">
        <f>$C372*CA371</f>
        <v/>
      </c>
      <c r="CB372">
        <f>$C372*CB371</f>
        <v/>
      </c>
      <c r="CC372">
        <f>$C372*CC371</f>
        <v/>
      </c>
      <c r="CD372">
        <f>$C372*CD371</f>
        <v/>
      </c>
      <c r="CE372">
        <f>$C372*CE371</f>
        <v/>
      </c>
      <c r="CF372">
        <f>$C372*CF371</f>
        <v/>
      </c>
      <c r="CG372">
        <f>$C372*CG371</f>
        <v/>
      </c>
      <c r="CH372">
        <f>$C372*CH371</f>
        <v/>
      </c>
      <c r="CI372">
        <f>$C372*CI371</f>
        <v/>
      </c>
      <c r="CJ372">
        <f>$C372*CJ371</f>
        <v/>
      </c>
      <c r="CK372">
        <f>$C372*CK371</f>
        <v/>
      </c>
      <c r="CL372">
        <f>$C372*CL371</f>
        <v/>
      </c>
      <c r="CM372">
        <f>$C372*CM371</f>
        <v/>
      </c>
      <c r="CN372">
        <f>$C372*CN371</f>
        <v/>
      </c>
      <c r="CO372">
        <f>$C372*CO371</f>
        <v/>
      </c>
      <c r="CP372">
        <f>$C372*CP371</f>
        <v/>
      </c>
      <c r="CQ372">
        <f>$C372*CQ371</f>
        <v/>
      </c>
      <c r="CR372">
        <f>$C372*CR371</f>
        <v/>
      </c>
      <c r="CS372">
        <f>$C372*CS371</f>
        <v/>
      </c>
      <c r="CT372">
        <f>$C372*CT371</f>
        <v/>
      </c>
      <c r="CU372">
        <f>$C372*CU371</f>
        <v/>
      </c>
      <c r="CV372">
        <f>$C372*CV371</f>
        <v/>
      </c>
      <c r="CW372">
        <f>$C372*CW371</f>
        <v/>
      </c>
      <c r="CX372">
        <f>$C372*CX371</f>
        <v/>
      </c>
      <c r="CY372">
        <f>$C372*CY371</f>
        <v/>
      </c>
      <c r="CZ372">
        <f>$C372*CZ371</f>
        <v/>
      </c>
      <c r="DA372">
        <f>$C372*DA371</f>
        <v/>
      </c>
      <c r="DB372">
        <f>$C372*DB371</f>
        <v/>
      </c>
      <c r="DC372">
        <f>$C372*DC371</f>
        <v/>
      </c>
      <c r="DD372">
        <f>$C372*DD371</f>
        <v/>
      </c>
    </row>
    <row r="373">
      <c r="B373" t="inlineStr">
        <is>
          <t>TSP-225</t>
        </is>
      </c>
      <c r="C373" t="inlineStr">
        <is>
          <t>No. of batches</t>
        </is>
      </c>
      <c r="D373">
        <f>IFERROR(INDEX(E373:DD373,$F$1),"")</f>
        <v/>
      </c>
      <c r="E373">
        <f>IFERROR(INDEX(PP_Grid[#Data],$DE373,2),0)</f>
        <v/>
      </c>
      <c r="F373">
        <f>IFERROR(INDEX(PP_Grid[#Data],$DE373,3),0)</f>
        <v/>
      </c>
      <c r="G373">
        <f>IFERROR(INDEX(PP_Grid[#Data],$DE373,4),0)</f>
        <v/>
      </c>
      <c r="H373">
        <f>IFERROR(INDEX(PP_Grid[#Data],$DE373,5),0)</f>
        <v/>
      </c>
      <c r="I373">
        <f>IFERROR(INDEX(PP_Grid[#Data],$DE373,6),0)</f>
        <v/>
      </c>
      <c r="J373">
        <f>IFERROR(INDEX(PP_Grid[#Data],$DE373,7),0)</f>
        <v/>
      </c>
      <c r="K373">
        <f>IFERROR(INDEX(PP_Grid[#Data],$DE373,8),0)</f>
        <v/>
      </c>
      <c r="L373">
        <f>IFERROR(INDEX(PP_Grid[#Data],$DE373,9),0)</f>
        <v/>
      </c>
      <c r="M373">
        <f>IFERROR(INDEX(PP_Grid[#Data],$DE373,10),0)</f>
        <v/>
      </c>
      <c r="N373">
        <f>IFERROR(INDEX(PP_Grid[#Data],$DE373,11),0)</f>
        <v/>
      </c>
      <c r="O373">
        <f>IFERROR(INDEX(PP_Grid[#Data],$DE373,12),0)</f>
        <v/>
      </c>
      <c r="P373">
        <f>IFERROR(INDEX(PP_Grid[#Data],$DE373,13),0)</f>
        <v/>
      </c>
      <c r="Q373">
        <f>IFERROR(INDEX(PP_Grid[#Data],$DE373,14),0)</f>
        <v/>
      </c>
      <c r="R373">
        <f>IFERROR(INDEX(PP_Grid[#Data],$DE373,15),0)</f>
        <v/>
      </c>
      <c r="S373">
        <f>IFERROR(INDEX(PP_Grid[#Data],$DE373,16),0)</f>
        <v/>
      </c>
      <c r="T373">
        <f>IFERROR(INDEX(PP_Grid[#Data],$DE373,17),0)</f>
        <v/>
      </c>
      <c r="U373">
        <f>IFERROR(INDEX(PP_Grid[#Data],$DE373,18),0)</f>
        <v/>
      </c>
      <c r="V373">
        <f>IFERROR(INDEX(PP_Grid[#Data],$DE373,19),0)</f>
        <v/>
      </c>
      <c r="W373">
        <f>IFERROR(INDEX(PP_Grid[#Data],$DE373,20),0)</f>
        <v/>
      </c>
      <c r="X373">
        <f>IFERROR(INDEX(PP_Grid[#Data],$DE373,21),0)</f>
        <v/>
      </c>
      <c r="Y373">
        <f>IFERROR(INDEX(PP_Grid[#Data],$DE373,22),0)</f>
        <v/>
      </c>
      <c r="Z373">
        <f>IFERROR(INDEX(PP_Grid[#Data],$DE373,23),0)</f>
        <v/>
      </c>
      <c r="AA373">
        <f>IFERROR(INDEX(PP_Grid[#Data],$DE373,24),0)</f>
        <v/>
      </c>
      <c r="AB373">
        <f>IFERROR(INDEX(PP_Grid[#Data],$DE373,25),0)</f>
        <v/>
      </c>
      <c r="AC373">
        <f>IFERROR(INDEX(PP_Grid[#Data],$DE373,26),0)</f>
        <v/>
      </c>
      <c r="AD373">
        <f>IFERROR(INDEX(PP_Grid[#Data],$DE373,27),0)</f>
        <v/>
      </c>
      <c r="AE373">
        <f>IFERROR(INDEX(PP_Grid[#Data],$DE373,28),0)</f>
        <v/>
      </c>
      <c r="AF373">
        <f>IFERROR(INDEX(PP_Grid[#Data],$DE373,29),0)</f>
        <v/>
      </c>
      <c r="AG373">
        <f>IFERROR(INDEX(PP_Grid[#Data],$DE373,30),0)</f>
        <v/>
      </c>
      <c r="AH373">
        <f>IFERROR(INDEX(PP_Grid[#Data],$DE373,31),0)</f>
        <v/>
      </c>
      <c r="AI373">
        <f>IFERROR(INDEX(PP_Grid[#Data],$DE373,32),0)</f>
        <v/>
      </c>
      <c r="AJ373">
        <f>IFERROR(INDEX(PP_Grid[#Data],$DE373,33),0)</f>
        <v/>
      </c>
      <c r="AK373">
        <f>IFERROR(INDEX(PP_Grid[#Data],$DE373,34),0)</f>
        <v/>
      </c>
      <c r="AL373">
        <f>IFERROR(INDEX(PP_Grid[#Data],$DE373,35),0)</f>
        <v/>
      </c>
      <c r="AM373">
        <f>IFERROR(INDEX(PP_Grid[#Data],$DE373,36),0)</f>
        <v/>
      </c>
      <c r="AN373">
        <f>IFERROR(INDEX(PP_Grid[#Data],$DE373,37),0)</f>
        <v/>
      </c>
      <c r="AO373">
        <f>IFERROR(INDEX(PP_Grid[#Data],$DE373,38),0)</f>
        <v/>
      </c>
      <c r="AP373">
        <f>IFERROR(INDEX(PP_Grid[#Data],$DE373,39),0)</f>
        <v/>
      </c>
      <c r="AQ373">
        <f>IFERROR(INDEX(PP_Grid[#Data],$DE373,40),0)</f>
        <v/>
      </c>
      <c r="AR373">
        <f>IFERROR(INDEX(PP_Grid[#Data],$DE373,41),0)</f>
        <v/>
      </c>
      <c r="AS373">
        <f>IFERROR(INDEX(PP_Grid[#Data],$DE373,42),0)</f>
        <v/>
      </c>
      <c r="AT373">
        <f>IFERROR(INDEX(PP_Grid[#Data],$DE373,43),0)</f>
        <v/>
      </c>
      <c r="AU373">
        <f>IFERROR(INDEX(PP_Grid[#Data],$DE373,44),0)</f>
        <v/>
      </c>
      <c r="AV373">
        <f>IFERROR(INDEX(PP_Grid[#Data],$DE373,45),0)</f>
        <v/>
      </c>
      <c r="AW373">
        <f>IFERROR(INDEX(PP_Grid[#Data],$DE373,46),0)</f>
        <v/>
      </c>
      <c r="AX373">
        <f>IFERROR(INDEX(PP_Grid[#Data],$DE373,47),0)</f>
        <v/>
      </c>
      <c r="AY373">
        <f>IFERROR(INDEX(PP_Grid[#Data],$DE373,48),0)</f>
        <v/>
      </c>
      <c r="AZ373">
        <f>IFERROR(INDEX(PP_Grid[#Data],$DE373,49),0)</f>
        <v/>
      </c>
      <c r="BA373">
        <f>IFERROR(INDEX(PP_Grid[#Data],$DE373,50),0)</f>
        <v/>
      </c>
      <c r="BB373">
        <f>IFERROR(INDEX(PP_Grid[#Data],$DE373,51),0)</f>
        <v/>
      </c>
      <c r="BC373">
        <f>IFERROR(INDEX(PP_Grid[#Data],$DE373,52),0)</f>
        <v/>
      </c>
      <c r="BD373">
        <f>IFERROR(INDEX(PP_Grid[#Data],$DE373,53),0)</f>
        <v/>
      </c>
      <c r="BE373">
        <f>IFERROR(INDEX(PP_Grid[#Data],$DE373,54),0)</f>
        <v/>
      </c>
      <c r="BF373">
        <f>IFERROR(INDEX(PP_Grid[#Data],$DE373,55),0)</f>
        <v/>
      </c>
      <c r="BG373">
        <f>IFERROR(INDEX(PP_Grid[#Data],$DE373,56),0)</f>
        <v/>
      </c>
      <c r="BH373">
        <f>IFERROR(INDEX(PP_Grid[#Data],$DE373,57),0)</f>
        <v/>
      </c>
      <c r="BI373">
        <f>IFERROR(INDEX(PP_Grid[#Data],$DE373,58),0)</f>
        <v/>
      </c>
      <c r="BJ373">
        <f>IFERROR(INDEX(PP_Grid[#Data],$DE373,59),0)</f>
        <v/>
      </c>
      <c r="BK373">
        <f>IFERROR(INDEX(PP_Grid[#Data],$DE373,60),0)</f>
        <v/>
      </c>
      <c r="BL373">
        <f>IFERROR(INDEX(PP_Grid[#Data],$DE373,61),0)</f>
        <v/>
      </c>
      <c r="BM373">
        <f>IFERROR(INDEX(PP_Grid[#Data],$DE373,62),0)</f>
        <v/>
      </c>
      <c r="BN373">
        <f>IFERROR(INDEX(PP_Grid[#Data],$DE373,63),0)</f>
        <v/>
      </c>
      <c r="BO373">
        <f>IFERROR(INDEX(PP_Grid[#Data],$DE373,64),0)</f>
        <v/>
      </c>
      <c r="BP373">
        <f>IFERROR(INDEX(PP_Grid[#Data],$DE373,65),0)</f>
        <v/>
      </c>
      <c r="BQ373">
        <f>IFERROR(INDEX(PP_Grid[#Data],$DE373,66),0)</f>
        <v/>
      </c>
      <c r="BR373">
        <f>IFERROR(INDEX(PP_Grid[#Data],$DE373,67),0)</f>
        <v/>
      </c>
      <c r="BS373">
        <f>IFERROR(INDEX(PP_Grid[#Data],$DE373,68),0)</f>
        <v/>
      </c>
      <c r="BT373">
        <f>IFERROR(INDEX(PP_Grid[#Data],$DE373,69),0)</f>
        <v/>
      </c>
      <c r="BU373">
        <f>IFERROR(INDEX(PP_Grid[#Data],$DE373,70),0)</f>
        <v/>
      </c>
      <c r="BV373">
        <f>IFERROR(INDEX(PP_Grid[#Data],$DE373,71),0)</f>
        <v/>
      </c>
      <c r="BW373">
        <f>IFERROR(INDEX(PP_Grid[#Data],$DE373,72),0)</f>
        <v/>
      </c>
      <c r="BX373">
        <f>IFERROR(INDEX(PP_Grid[#Data],$DE373,73),0)</f>
        <v/>
      </c>
      <c r="BY373">
        <f>IFERROR(INDEX(PP_Grid[#Data],$DE373,74),0)</f>
        <v/>
      </c>
      <c r="BZ373">
        <f>IFERROR(INDEX(PP_Grid[#Data],$DE373,75),0)</f>
        <v/>
      </c>
      <c r="CA373">
        <f>IFERROR(INDEX(PP_Grid[#Data],$DE373,76),0)</f>
        <v/>
      </c>
      <c r="CB373">
        <f>IFERROR(INDEX(PP_Grid[#Data],$DE373,77),0)</f>
        <v/>
      </c>
      <c r="CC373">
        <f>IFERROR(INDEX(PP_Grid[#Data],$DE373,78),0)</f>
        <v/>
      </c>
      <c r="CD373">
        <f>IFERROR(INDEX(PP_Grid[#Data],$DE373,79),0)</f>
        <v/>
      </c>
      <c r="CE373">
        <f>IFERROR(INDEX(PP_Grid[#Data],$DE373,80),0)</f>
        <v/>
      </c>
      <c r="CF373">
        <f>IFERROR(INDEX(PP_Grid[#Data],$DE373,81),0)</f>
        <v/>
      </c>
      <c r="CG373">
        <f>IFERROR(INDEX(PP_Grid[#Data],$DE373,82),0)</f>
        <v/>
      </c>
      <c r="CH373">
        <f>IFERROR(INDEX(PP_Grid[#Data],$DE373,83),0)</f>
        <v/>
      </c>
      <c r="CI373">
        <f>IFERROR(INDEX(PP_Grid[#Data],$DE373,84),0)</f>
        <v/>
      </c>
      <c r="CJ373">
        <f>IFERROR(INDEX(PP_Grid[#Data],$DE373,85),0)</f>
        <v/>
      </c>
      <c r="CK373">
        <f>IFERROR(INDEX(PP_Grid[#Data],$DE373,86),0)</f>
        <v/>
      </c>
      <c r="CL373">
        <f>IFERROR(INDEX(PP_Grid[#Data],$DE373,87),0)</f>
        <v/>
      </c>
      <c r="CM373">
        <f>IFERROR(INDEX(PP_Grid[#Data],$DE373,88),0)</f>
        <v/>
      </c>
      <c r="CN373">
        <f>IFERROR(INDEX(PP_Grid[#Data],$DE373,89),0)</f>
        <v/>
      </c>
      <c r="CO373">
        <f>IFERROR(INDEX(PP_Grid[#Data],$DE373,90),0)</f>
        <v/>
      </c>
      <c r="CP373">
        <f>IFERROR(INDEX(PP_Grid[#Data],$DE373,91),0)</f>
        <v/>
      </c>
      <c r="CQ373">
        <f>IFERROR(INDEX(PP_Grid[#Data],$DE373,92),0)</f>
        <v/>
      </c>
      <c r="CR373">
        <f>IFERROR(INDEX(PP_Grid[#Data],$DE373,93),0)</f>
        <v/>
      </c>
      <c r="CS373">
        <f>IFERROR(INDEX(PP_Grid[#Data],$DE373,94),0)</f>
        <v/>
      </c>
      <c r="CT373">
        <f>IFERROR(INDEX(PP_Grid[#Data],$DE373,95),0)</f>
        <v/>
      </c>
      <c r="CU373">
        <f>IFERROR(INDEX(PP_Grid[#Data],$DE373,96),0)</f>
        <v/>
      </c>
      <c r="CV373">
        <f>IFERROR(INDEX(PP_Grid[#Data],$DE373,97),0)</f>
        <v/>
      </c>
      <c r="CW373">
        <f>IFERROR(INDEX(PP_Grid[#Data],$DE373,98),0)</f>
        <v/>
      </c>
      <c r="CX373">
        <f>IFERROR(INDEX(PP_Grid[#Data],$DE373,99),0)</f>
        <v/>
      </c>
      <c r="CY373">
        <f>IFERROR(INDEX(PP_Grid[#Data],$DE373,100),0)</f>
        <v/>
      </c>
      <c r="CZ373">
        <f>IFERROR(INDEX(PP_Grid[#Data],$DE373,101),0)</f>
        <v/>
      </c>
      <c r="DA373">
        <f>IFERROR(INDEX(PP_Grid[#Data],$DE373,102),0)</f>
        <v/>
      </c>
      <c r="DB373">
        <f>IFERROR(INDEX(PP_Grid[#Data],$DE373,103),0)</f>
        <v/>
      </c>
      <c r="DC373">
        <f>IFERROR(INDEX(PP_Grid[#Data],$DE373,104),0)</f>
        <v/>
      </c>
      <c r="DD373">
        <f>IFERROR(INDEX(PP_Grid[#Data],$DE373,105),0)</f>
        <v/>
      </c>
      <c r="DE373" s="7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SUMIFS(M_BOM[RM_Qty_Per_Batch],M_BOM[Intermediate],$B373,M_BOM[RM_Code],$A340)</f>
        <v/>
      </c>
      <c r="D374">
        <f>IFERROR(INDEX(E374:DD374,$F$1),"")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  <c r="DD374">
        <f>$C374*DD373</f>
        <v/>
      </c>
    </row>
    <row r="375">
      <c r="B375" t="inlineStr">
        <is>
          <t>TSP-360</t>
        </is>
      </c>
      <c r="C375" t="inlineStr">
        <is>
          <t>No. of batches</t>
        </is>
      </c>
      <c r="D375">
        <f>IFERROR(INDEX(E375:DD375,$F$1),"")</f>
        <v/>
      </c>
      <c r="E375">
        <f>IFERROR(INDEX(PP_Grid[#Data],$DE375,2),0)</f>
        <v/>
      </c>
      <c r="F375">
        <f>IFERROR(INDEX(PP_Grid[#Data],$DE375,3),0)</f>
        <v/>
      </c>
      <c r="G375">
        <f>IFERROR(INDEX(PP_Grid[#Data],$DE375,4),0)</f>
        <v/>
      </c>
      <c r="H375">
        <f>IFERROR(INDEX(PP_Grid[#Data],$DE375,5),0)</f>
        <v/>
      </c>
      <c r="I375">
        <f>IFERROR(INDEX(PP_Grid[#Data],$DE375,6),0)</f>
        <v/>
      </c>
      <c r="J375">
        <f>IFERROR(INDEX(PP_Grid[#Data],$DE375,7),0)</f>
        <v/>
      </c>
      <c r="K375">
        <f>IFERROR(INDEX(PP_Grid[#Data],$DE375,8),0)</f>
        <v/>
      </c>
      <c r="L375">
        <f>IFERROR(INDEX(PP_Grid[#Data],$DE375,9),0)</f>
        <v/>
      </c>
      <c r="M375">
        <f>IFERROR(INDEX(PP_Grid[#Data],$DE375,10),0)</f>
        <v/>
      </c>
      <c r="N375">
        <f>IFERROR(INDEX(PP_Grid[#Data],$DE375,11),0)</f>
        <v/>
      </c>
      <c r="O375">
        <f>IFERROR(INDEX(PP_Grid[#Data],$DE375,12),0)</f>
        <v/>
      </c>
      <c r="P375">
        <f>IFERROR(INDEX(PP_Grid[#Data],$DE375,13),0)</f>
        <v/>
      </c>
      <c r="Q375">
        <f>IFERROR(INDEX(PP_Grid[#Data],$DE375,14),0)</f>
        <v/>
      </c>
      <c r="R375">
        <f>IFERROR(INDEX(PP_Grid[#Data],$DE375,15),0)</f>
        <v/>
      </c>
      <c r="S375">
        <f>IFERROR(INDEX(PP_Grid[#Data],$DE375,16),0)</f>
        <v/>
      </c>
      <c r="T375">
        <f>IFERROR(INDEX(PP_Grid[#Data],$DE375,17),0)</f>
        <v/>
      </c>
      <c r="U375">
        <f>IFERROR(INDEX(PP_Grid[#Data],$DE375,18),0)</f>
        <v/>
      </c>
      <c r="V375">
        <f>IFERROR(INDEX(PP_Grid[#Data],$DE375,19),0)</f>
        <v/>
      </c>
      <c r="W375">
        <f>IFERROR(INDEX(PP_Grid[#Data],$DE375,20),0)</f>
        <v/>
      </c>
      <c r="X375">
        <f>IFERROR(INDEX(PP_Grid[#Data],$DE375,21),0)</f>
        <v/>
      </c>
      <c r="Y375">
        <f>IFERROR(INDEX(PP_Grid[#Data],$DE375,22),0)</f>
        <v/>
      </c>
      <c r="Z375">
        <f>IFERROR(INDEX(PP_Grid[#Data],$DE375,23),0)</f>
        <v/>
      </c>
      <c r="AA375">
        <f>IFERROR(INDEX(PP_Grid[#Data],$DE375,24),0)</f>
        <v/>
      </c>
      <c r="AB375">
        <f>IFERROR(INDEX(PP_Grid[#Data],$DE375,25),0)</f>
        <v/>
      </c>
      <c r="AC375">
        <f>IFERROR(INDEX(PP_Grid[#Data],$DE375,26),0)</f>
        <v/>
      </c>
      <c r="AD375">
        <f>IFERROR(INDEX(PP_Grid[#Data],$DE375,27),0)</f>
        <v/>
      </c>
      <c r="AE375">
        <f>IFERROR(INDEX(PP_Grid[#Data],$DE375,28),0)</f>
        <v/>
      </c>
      <c r="AF375">
        <f>IFERROR(INDEX(PP_Grid[#Data],$DE375,29),0)</f>
        <v/>
      </c>
      <c r="AG375">
        <f>IFERROR(INDEX(PP_Grid[#Data],$DE375,30),0)</f>
        <v/>
      </c>
      <c r="AH375">
        <f>IFERROR(INDEX(PP_Grid[#Data],$DE375,31),0)</f>
        <v/>
      </c>
      <c r="AI375">
        <f>IFERROR(INDEX(PP_Grid[#Data],$DE375,32),0)</f>
        <v/>
      </c>
      <c r="AJ375">
        <f>IFERROR(INDEX(PP_Grid[#Data],$DE375,33),0)</f>
        <v/>
      </c>
      <c r="AK375">
        <f>IFERROR(INDEX(PP_Grid[#Data],$DE375,34),0)</f>
        <v/>
      </c>
      <c r="AL375">
        <f>IFERROR(INDEX(PP_Grid[#Data],$DE375,35),0)</f>
        <v/>
      </c>
      <c r="AM375">
        <f>IFERROR(INDEX(PP_Grid[#Data],$DE375,36),0)</f>
        <v/>
      </c>
      <c r="AN375">
        <f>IFERROR(INDEX(PP_Grid[#Data],$DE375,37),0)</f>
        <v/>
      </c>
      <c r="AO375">
        <f>IFERROR(INDEX(PP_Grid[#Data],$DE375,38),0)</f>
        <v/>
      </c>
      <c r="AP375">
        <f>IFERROR(INDEX(PP_Grid[#Data],$DE375,39),0)</f>
        <v/>
      </c>
      <c r="AQ375">
        <f>IFERROR(INDEX(PP_Grid[#Data],$DE375,40),0)</f>
        <v/>
      </c>
      <c r="AR375">
        <f>IFERROR(INDEX(PP_Grid[#Data],$DE375,41),0)</f>
        <v/>
      </c>
      <c r="AS375">
        <f>IFERROR(INDEX(PP_Grid[#Data],$DE375,42),0)</f>
        <v/>
      </c>
      <c r="AT375">
        <f>IFERROR(INDEX(PP_Grid[#Data],$DE375,43),0)</f>
        <v/>
      </c>
      <c r="AU375">
        <f>IFERROR(INDEX(PP_Grid[#Data],$DE375,44),0)</f>
        <v/>
      </c>
      <c r="AV375">
        <f>IFERROR(INDEX(PP_Grid[#Data],$DE375,45),0)</f>
        <v/>
      </c>
      <c r="AW375">
        <f>IFERROR(INDEX(PP_Grid[#Data],$DE375,46),0)</f>
        <v/>
      </c>
      <c r="AX375">
        <f>IFERROR(INDEX(PP_Grid[#Data],$DE375,47),0)</f>
        <v/>
      </c>
      <c r="AY375">
        <f>IFERROR(INDEX(PP_Grid[#Data],$DE375,48),0)</f>
        <v/>
      </c>
      <c r="AZ375">
        <f>IFERROR(INDEX(PP_Grid[#Data],$DE375,49),0)</f>
        <v/>
      </c>
      <c r="BA375">
        <f>IFERROR(INDEX(PP_Grid[#Data],$DE375,50),0)</f>
        <v/>
      </c>
      <c r="BB375">
        <f>IFERROR(INDEX(PP_Grid[#Data],$DE375,51),0)</f>
        <v/>
      </c>
      <c r="BC375">
        <f>IFERROR(INDEX(PP_Grid[#Data],$DE375,52),0)</f>
        <v/>
      </c>
      <c r="BD375">
        <f>IFERROR(INDEX(PP_Grid[#Data],$DE375,53),0)</f>
        <v/>
      </c>
      <c r="BE375">
        <f>IFERROR(INDEX(PP_Grid[#Data],$DE375,54),0)</f>
        <v/>
      </c>
      <c r="BF375">
        <f>IFERROR(INDEX(PP_Grid[#Data],$DE375,55),0)</f>
        <v/>
      </c>
      <c r="BG375">
        <f>IFERROR(INDEX(PP_Grid[#Data],$DE375,56),0)</f>
        <v/>
      </c>
      <c r="BH375">
        <f>IFERROR(INDEX(PP_Grid[#Data],$DE375,57),0)</f>
        <v/>
      </c>
      <c r="BI375">
        <f>IFERROR(INDEX(PP_Grid[#Data],$DE375,58),0)</f>
        <v/>
      </c>
      <c r="BJ375">
        <f>IFERROR(INDEX(PP_Grid[#Data],$DE375,59),0)</f>
        <v/>
      </c>
      <c r="BK375">
        <f>IFERROR(INDEX(PP_Grid[#Data],$DE375,60),0)</f>
        <v/>
      </c>
      <c r="BL375">
        <f>IFERROR(INDEX(PP_Grid[#Data],$DE375,61),0)</f>
        <v/>
      </c>
      <c r="BM375">
        <f>IFERROR(INDEX(PP_Grid[#Data],$DE375,62),0)</f>
        <v/>
      </c>
      <c r="BN375">
        <f>IFERROR(INDEX(PP_Grid[#Data],$DE375,63),0)</f>
        <v/>
      </c>
      <c r="BO375">
        <f>IFERROR(INDEX(PP_Grid[#Data],$DE375,64),0)</f>
        <v/>
      </c>
      <c r="BP375">
        <f>IFERROR(INDEX(PP_Grid[#Data],$DE375,65),0)</f>
        <v/>
      </c>
      <c r="BQ375">
        <f>IFERROR(INDEX(PP_Grid[#Data],$DE375,66),0)</f>
        <v/>
      </c>
      <c r="BR375">
        <f>IFERROR(INDEX(PP_Grid[#Data],$DE375,67),0)</f>
        <v/>
      </c>
      <c r="BS375">
        <f>IFERROR(INDEX(PP_Grid[#Data],$DE375,68),0)</f>
        <v/>
      </c>
      <c r="BT375">
        <f>IFERROR(INDEX(PP_Grid[#Data],$DE375,69),0)</f>
        <v/>
      </c>
      <c r="BU375">
        <f>IFERROR(INDEX(PP_Grid[#Data],$DE375,70),0)</f>
        <v/>
      </c>
      <c r="BV375">
        <f>IFERROR(INDEX(PP_Grid[#Data],$DE375,71),0)</f>
        <v/>
      </c>
      <c r="BW375">
        <f>IFERROR(INDEX(PP_Grid[#Data],$DE375,72),0)</f>
        <v/>
      </c>
      <c r="BX375">
        <f>IFERROR(INDEX(PP_Grid[#Data],$DE375,73),0)</f>
        <v/>
      </c>
      <c r="BY375">
        <f>IFERROR(INDEX(PP_Grid[#Data],$DE375,74),0)</f>
        <v/>
      </c>
      <c r="BZ375">
        <f>IFERROR(INDEX(PP_Grid[#Data],$DE375,75),0)</f>
        <v/>
      </c>
      <c r="CA375">
        <f>IFERROR(INDEX(PP_Grid[#Data],$DE375,76),0)</f>
        <v/>
      </c>
      <c r="CB375">
        <f>IFERROR(INDEX(PP_Grid[#Data],$DE375,77),0)</f>
        <v/>
      </c>
      <c r="CC375">
        <f>IFERROR(INDEX(PP_Grid[#Data],$DE375,78),0)</f>
        <v/>
      </c>
      <c r="CD375">
        <f>IFERROR(INDEX(PP_Grid[#Data],$DE375,79),0)</f>
        <v/>
      </c>
      <c r="CE375">
        <f>IFERROR(INDEX(PP_Grid[#Data],$DE375,80),0)</f>
        <v/>
      </c>
      <c r="CF375">
        <f>IFERROR(INDEX(PP_Grid[#Data],$DE375,81),0)</f>
        <v/>
      </c>
      <c r="CG375">
        <f>IFERROR(INDEX(PP_Grid[#Data],$DE375,82),0)</f>
        <v/>
      </c>
      <c r="CH375">
        <f>IFERROR(INDEX(PP_Grid[#Data],$DE375,83),0)</f>
        <v/>
      </c>
      <c r="CI375">
        <f>IFERROR(INDEX(PP_Grid[#Data],$DE375,84),0)</f>
        <v/>
      </c>
      <c r="CJ375">
        <f>IFERROR(INDEX(PP_Grid[#Data],$DE375,85),0)</f>
        <v/>
      </c>
      <c r="CK375">
        <f>IFERROR(INDEX(PP_Grid[#Data],$DE375,86),0)</f>
        <v/>
      </c>
      <c r="CL375">
        <f>IFERROR(INDEX(PP_Grid[#Data],$DE375,87),0)</f>
        <v/>
      </c>
      <c r="CM375">
        <f>IFERROR(INDEX(PP_Grid[#Data],$DE375,88),0)</f>
        <v/>
      </c>
      <c r="CN375">
        <f>IFERROR(INDEX(PP_Grid[#Data],$DE375,89),0)</f>
        <v/>
      </c>
      <c r="CO375">
        <f>IFERROR(INDEX(PP_Grid[#Data],$DE375,90),0)</f>
        <v/>
      </c>
      <c r="CP375">
        <f>IFERROR(INDEX(PP_Grid[#Data],$DE375,91),0)</f>
        <v/>
      </c>
      <c r="CQ375">
        <f>IFERROR(INDEX(PP_Grid[#Data],$DE375,92),0)</f>
        <v/>
      </c>
      <c r="CR375">
        <f>IFERROR(INDEX(PP_Grid[#Data],$DE375,93),0)</f>
        <v/>
      </c>
      <c r="CS375">
        <f>IFERROR(INDEX(PP_Grid[#Data],$DE375,94),0)</f>
        <v/>
      </c>
      <c r="CT375">
        <f>IFERROR(INDEX(PP_Grid[#Data],$DE375,95),0)</f>
        <v/>
      </c>
      <c r="CU375">
        <f>IFERROR(INDEX(PP_Grid[#Data],$DE375,96),0)</f>
        <v/>
      </c>
      <c r="CV375">
        <f>IFERROR(INDEX(PP_Grid[#Data],$DE375,97),0)</f>
        <v/>
      </c>
      <c r="CW375">
        <f>IFERROR(INDEX(PP_Grid[#Data],$DE375,98),0)</f>
        <v/>
      </c>
      <c r="CX375">
        <f>IFERROR(INDEX(PP_Grid[#Data],$DE375,99),0)</f>
        <v/>
      </c>
      <c r="CY375">
        <f>IFERROR(INDEX(PP_Grid[#Data],$DE375,100),0)</f>
        <v/>
      </c>
      <c r="CZ375">
        <f>IFERROR(INDEX(PP_Grid[#Data],$DE375,101),0)</f>
        <v/>
      </c>
      <c r="DA375">
        <f>IFERROR(INDEX(PP_Grid[#Data],$DE375,102),0)</f>
        <v/>
      </c>
      <c r="DB375">
        <f>IFERROR(INDEX(PP_Grid[#Data],$DE375,103),0)</f>
        <v/>
      </c>
      <c r="DC375">
        <f>IFERROR(INDEX(PP_Grid[#Data],$DE375,104),0)</f>
        <v/>
      </c>
      <c r="DD375">
        <f>IFERROR(INDEX(PP_Grid[#Data],$DE375,105),0)</f>
        <v/>
      </c>
      <c r="DE375" s="7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SUMIFS(M_BOM[RM_Qty_Per_Batch],M_BOM[Intermediate],$B375,M_BOM[RM_Code],$A340)</f>
        <v/>
      </c>
      <c r="D376">
        <f>IFERROR(INDEX(E376:DD376,$F$1),"")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  <c r="DD376">
        <f>$C376*DD375</f>
        <v/>
      </c>
    </row>
    <row r="377">
      <c r="B377" t="inlineStr">
        <is>
          <t>TSP-367</t>
        </is>
      </c>
      <c r="C377" t="inlineStr">
        <is>
          <t>No. of batches</t>
        </is>
      </c>
      <c r="D377">
        <f>IFERROR(INDEX(E377:DD377,$F$1),"")</f>
        <v/>
      </c>
      <c r="E377">
        <f>IFERROR(INDEX(PP_Grid[#Data],$DE377,2),0)</f>
        <v/>
      </c>
      <c r="F377">
        <f>IFERROR(INDEX(PP_Grid[#Data],$DE377,3),0)</f>
        <v/>
      </c>
      <c r="G377">
        <f>IFERROR(INDEX(PP_Grid[#Data],$DE377,4),0)</f>
        <v/>
      </c>
      <c r="H377">
        <f>IFERROR(INDEX(PP_Grid[#Data],$DE377,5),0)</f>
        <v/>
      </c>
      <c r="I377">
        <f>IFERROR(INDEX(PP_Grid[#Data],$DE377,6),0)</f>
        <v/>
      </c>
      <c r="J377">
        <f>IFERROR(INDEX(PP_Grid[#Data],$DE377,7),0)</f>
        <v/>
      </c>
      <c r="K377">
        <f>IFERROR(INDEX(PP_Grid[#Data],$DE377,8),0)</f>
        <v/>
      </c>
      <c r="L377">
        <f>IFERROR(INDEX(PP_Grid[#Data],$DE377,9),0)</f>
        <v/>
      </c>
      <c r="M377">
        <f>IFERROR(INDEX(PP_Grid[#Data],$DE377,10),0)</f>
        <v/>
      </c>
      <c r="N377">
        <f>IFERROR(INDEX(PP_Grid[#Data],$DE377,11),0)</f>
        <v/>
      </c>
      <c r="O377">
        <f>IFERROR(INDEX(PP_Grid[#Data],$DE377,12),0)</f>
        <v/>
      </c>
      <c r="P377">
        <f>IFERROR(INDEX(PP_Grid[#Data],$DE377,13),0)</f>
        <v/>
      </c>
      <c r="Q377">
        <f>IFERROR(INDEX(PP_Grid[#Data],$DE377,14),0)</f>
        <v/>
      </c>
      <c r="R377">
        <f>IFERROR(INDEX(PP_Grid[#Data],$DE377,15),0)</f>
        <v/>
      </c>
      <c r="S377">
        <f>IFERROR(INDEX(PP_Grid[#Data],$DE377,16),0)</f>
        <v/>
      </c>
      <c r="T377">
        <f>IFERROR(INDEX(PP_Grid[#Data],$DE377,17),0)</f>
        <v/>
      </c>
      <c r="U377">
        <f>IFERROR(INDEX(PP_Grid[#Data],$DE377,18),0)</f>
        <v/>
      </c>
      <c r="V377">
        <f>IFERROR(INDEX(PP_Grid[#Data],$DE377,19),0)</f>
        <v/>
      </c>
      <c r="W377">
        <f>IFERROR(INDEX(PP_Grid[#Data],$DE377,20),0)</f>
        <v/>
      </c>
      <c r="X377">
        <f>IFERROR(INDEX(PP_Grid[#Data],$DE377,21),0)</f>
        <v/>
      </c>
      <c r="Y377">
        <f>IFERROR(INDEX(PP_Grid[#Data],$DE377,22),0)</f>
        <v/>
      </c>
      <c r="Z377">
        <f>IFERROR(INDEX(PP_Grid[#Data],$DE377,23),0)</f>
        <v/>
      </c>
      <c r="AA377">
        <f>IFERROR(INDEX(PP_Grid[#Data],$DE377,24),0)</f>
        <v/>
      </c>
      <c r="AB377">
        <f>IFERROR(INDEX(PP_Grid[#Data],$DE377,25),0)</f>
        <v/>
      </c>
      <c r="AC377">
        <f>IFERROR(INDEX(PP_Grid[#Data],$DE377,26),0)</f>
        <v/>
      </c>
      <c r="AD377">
        <f>IFERROR(INDEX(PP_Grid[#Data],$DE377,27),0)</f>
        <v/>
      </c>
      <c r="AE377">
        <f>IFERROR(INDEX(PP_Grid[#Data],$DE377,28),0)</f>
        <v/>
      </c>
      <c r="AF377">
        <f>IFERROR(INDEX(PP_Grid[#Data],$DE377,29),0)</f>
        <v/>
      </c>
      <c r="AG377">
        <f>IFERROR(INDEX(PP_Grid[#Data],$DE377,30),0)</f>
        <v/>
      </c>
      <c r="AH377">
        <f>IFERROR(INDEX(PP_Grid[#Data],$DE377,31),0)</f>
        <v/>
      </c>
      <c r="AI377">
        <f>IFERROR(INDEX(PP_Grid[#Data],$DE377,32),0)</f>
        <v/>
      </c>
      <c r="AJ377">
        <f>IFERROR(INDEX(PP_Grid[#Data],$DE377,33),0)</f>
        <v/>
      </c>
      <c r="AK377">
        <f>IFERROR(INDEX(PP_Grid[#Data],$DE377,34),0)</f>
        <v/>
      </c>
      <c r="AL377">
        <f>IFERROR(INDEX(PP_Grid[#Data],$DE377,35),0)</f>
        <v/>
      </c>
      <c r="AM377">
        <f>IFERROR(INDEX(PP_Grid[#Data],$DE377,36),0)</f>
        <v/>
      </c>
      <c r="AN377">
        <f>IFERROR(INDEX(PP_Grid[#Data],$DE377,37),0)</f>
        <v/>
      </c>
      <c r="AO377">
        <f>IFERROR(INDEX(PP_Grid[#Data],$DE377,38),0)</f>
        <v/>
      </c>
      <c r="AP377">
        <f>IFERROR(INDEX(PP_Grid[#Data],$DE377,39),0)</f>
        <v/>
      </c>
      <c r="AQ377">
        <f>IFERROR(INDEX(PP_Grid[#Data],$DE377,40),0)</f>
        <v/>
      </c>
      <c r="AR377">
        <f>IFERROR(INDEX(PP_Grid[#Data],$DE377,41),0)</f>
        <v/>
      </c>
      <c r="AS377">
        <f>IFERROR(INDEX(PP_Grid[#Data],$DE377,42),0)</f>
        <v/>
      </c>
      <c r="AT377">
        <f>IFERROR(INDEX(PP_Grid[#Data],$DE377,43),0)</f>
        <v/>
      </c>
      <c r="AU377">
        <f>IFERROR(INDEX(PP_Grid[#Data],$DE377,44),0)</f>
        <v/>
      </c>
      <c r="AV377">
        <f>IFERROR(INDEX(PP_Grid[#Data],$DE377,45),0)</f>
        <v/>
      </c>
      <c r="AW377">
        <f>IFERROR(INDEX(PP_Grid[#Data],$DE377,46),0)</f>
        <v/>
      </c>
      <c r="AX377">
        <f>IFERROR(INDEX(PP_Grid[#Data],$DE377,47),0)</f>
        <v/>
      </c>
      <c r="AY377">
        <f>IFERROR(INDEX(PP_Grid[#Data],$DE377,48),0)</f>
        <v/>
      </c>
      <c r="AZ377">
        <f>IFERROR(INDEX(PP_Grid[#Data],$DE377,49),0)</f>
        <v/>
      </c>
      <c r="BA377">
        <f>IFERROR(INDEX(PP_Grid[#Data],$DE377,50),0)</f>
        <v/>
      </c>
      <c r="BB377">
        <f>IFERROR(INDEX(PP_Grid[#Data],$DE377,51),0)</f>
        <v/>
      </c>
      <c r="BC377">
        <f>IFERROR(INDEX(PP_Grid[#Data],$DE377,52),0)</f>
        <v/>
      </c>
      <c r="BD377">
        <f>IFERROR(INDEX(PP_Grid[#Data],$DE377,53),0)</f>
        <v/>
      </c>
      <c r="BE377">
        <f>IFERROR(INDEX(PP_Grid[#Data],$DE377,54),0)</f>
        <v/>
      </c>
      <c r="BF377">
        <f>IFERROR(INDEX(PP_Grid[#Data],$DE377,55),0)</f>
        <v/>
      </c>
      <c r="BG377">
        <f>IFERROR(INDEX(PP_Grid[#Data],$DE377,56),0)</f>
        <v/>
      </c>
      <c r="BH377">
        <f>IFERROR(INDEX(PP_Grid[#Data],$DE377,57),0)</f>
        <v/>
      </c>
      <c r="BI377">
        <f>IFERROR(INDEX(PP_Grid[#Data],$DE377,58),0)</f>
        <v/>
      </c>
      <c r="BJ377">
        <f>IFERROR(INDEX(PP_Grid[#Data],$DE377,59),0)</f>
        <v/>
      </c>
      <c r="BK377">
        <f>IFERROR(INDEX(PP_Grid[#Data],$DE377,60),0)</f>
        <v/>
      </c>
      <c r="BL377">
        <f>IFERROR(INDEX(PP_Grid[#Data],$DE377,61),0)</f>
        <v/>
      </c>
      <c r="BM377">
        <f>IFERROR(INDEX(PP_Grid[#Data],$DE377,62),0)</f>
        <v/>
      </c>
      <c r="BN377">
        <f>IFERROR(INDEX(PP_Grid[#Data],$DE377,63),0)</f>
        <v/>
      </c>
      <c r="BO377">
        <f>IFERROR(INDEX(PP_Grid[#Data],$DE377,64),0)</f>
        <v/>
      </c>
      <c r="BP377">
        <f>IFERROR(INDEX(PP_Grid[#Data],$DE377,65),0)</f>
        <v/>
      </c>
      <c r="BQ377">
        <f>IFERROR(INDEX(PP_Grid[#Data],$DE377,66),0)</f>
        <v/>
      </c>
      <c r="BR377">
        <f>IFERROR(INDEX(PP_Grid[#Data],$DE377,67),0)</f>
        <v/>
      </c>
      <c r="BS377">
        <f>IFERROR(INDEX(PP_Grid[#Data],$DE377,68),0)</f>
        <v/>
      </c>
      <c r="BT377">
        <f>IFERROR(INDEX(PP_Grid[#Data],$DE377,69),0)</f>
        <v/>
      </c>
      <c r="BU377">
        <f>IFERROR(INDEX(PP_Grid[#Data],$DE377,70),0)</f>
        <v/>
      </c>
      <c r="BV377">
        <f>IFERROR(INDEX(PP_Grid[#Data],$DE377,71),0)</f>
        <v/>
      </c>
      <c r="BW377">
        <f>IFERROR(INDEX(PP_Grid[#Data],$DE377,72),0)</f>
        <v/>
      </c>
      <c r="BX377">
        <f>IFERROR(INDEX(PP_Grid[#Data],$DE377,73),0)</f>
        <v/>
      </c>
      <c r="BY377">
        <f>IFERROR(INDEX(PP_Grid[#Data],$DE377,74),0)</f>
        <v/>
      </c>
      <c r="BZ377">
        <f>IFERROR(INDEX(PP_Grid[#Data],$DE377,75),0)</f>
        <v/>
      </c>
      <c r="CA377">
        <f>IFERROR(INDEX(PP_Grid[#Data],$DE377,76),0)</f>
        <v/>
      </c>
      <c r="CB377">
        <f>IFERROR(INDEX(PP_Grid[#Data],$DE377,77),0)</f>
        <v/>
      </c>
      <c r="CC377">
        <f>IFERROR(INDEX(PP_Grid[#Data],$DE377,78),0)</f>
        <v/>
      </c>
      <c r="CD377">
        <f>IFERROR(INDEX(PP_Grid[#Data],$DE377,79),0)</f>
        <v/>
      </c>
      <c r="CE377">
        <f>IFERROR(INDEX(PP_Grid[#Data],$DE377,80),0)</f>
        <v/>
      </c>
      <c r="CF377">
        <f>IFERROR(INDEX(PP_Grid[#Data],$DE377,81),0)</f>
        <v/>
      </c>
      <c r="CG377">
        <f>IFERROR(INDEX(PP_Grid[#Data],$DE377,82),0)</f>
        <v/>
      </c>
      <c r="CH377">
        <f>IFERROR(INDEX(PP_Grid[#Data],$DE377,83),0)</f>
        <v/>
      </c>
      <c r="CI377">
        <f>IFERROR(INDEX(PP_Grid[#Data],$DE377,84),0)</f>
        <v/>
      </c>
      <c r="CJ377">
        <f>IFERROR(INDEX(PP_Grid[#Data],$DE377,85),0)</f>
        <v/>
      </c>
      <c r="CK377">
        <f>IFERROR(INDEX(PP_Grid[#Data],$DE377,86),0)</f>
        <v/>
      </c>
      <c r="CL377">
        <f>IFERROR(INDEX(PP_Grid[#Data],$DE377,87),0)</f>
        <v/>
      </c>
      <c r="CM377">
        <f>IFERROR(INDEX(PP_Grid[#Data],$DE377,88),0)</f>
        <v/>
      </c>
      <c r="CN377">
        <f>IFERROR(INDEX(PP_Grid[#Data],$DE377,89),0)</f>
        <v/>
      </c>
      <c r="CO377">
        <f>IFERROR(INDEX(PP_Grid[#Data],$DE377,90),0)</f>
        <v/>
      </c>
      <c r="CP377">
        <f>IFERROR(INDEX(PP_Grid[#Data],$DE377,91),0)</f>
        <v/>
      </c>
      <c r="CQ377">
        <f>IFERROR(INDEX(PP_Grid[#Data],$DE377,92),0)</f>
        <v/>
      </c>
      <c r="CR377">
        <f>IFERROR(INDEX(PP_Grid[#Data],$DE377,93),0)</f>
        <v/>
      </c>
      <c r="CS377">
        <f>IFERROR(INDEX(PP_Grid[#Data],$DE377,94),0)</f>
        <v/>
      </c>
      <c r="CT377">
        <f>IFERROR(INDEX(PP_Grid[#Data],$DE377,95),0)</f>
        <v/>
      </c>
      <c r="CU377">
        <f>IFERROR(INDEX(PP_Grid[#Data],$DE377,96),0)</f>
        <v/>
      </c>
      <c r="CV377">
        <f>IFERROR(INDEX(PP_Grid[#Data],$DE377,97),0)</f>
        <v/>
      </c>
      <c r="CW377">
        <f>IFERROR(INDEX(PP_Grid[#Data],$DE377,98),0)</f>
        <v/>
      </c>
      <c r="CX377">
        <f>IFERROR(INDEX(PP_Grid[#Data],$DE377,99),0)</f>
        <v/>
      </c>
      <c r="CY377">
        <f>IFERROR(INDEX(PP_Grid[#Data],$DE377,100),0)</f>
        <v/>
      </c>
      <c r="CZ377">
        <f>IFERROR(INDEX(PP_Grid[#Data],$DE377,101),0)</f>
        <v/>
      </c>
      <c r="DA377">
        <f>IFERROR(INDEX(PP_Grid[#Data],$DE377,102),0)</f>
        <v/>
      </c>
      <c r="DB377">
        <f>IFERROR(INDEX(PP_Grid[#Data],$DE377,103),0)</f>
        <v/>
      </c>
      <c r="DC377">
        <f>IFERROR(INDEX(PP_Grid[#Data],$DE377,104),0)</f>
        <v/>
      </c>
      <c r="DD377">
        <f>IFERROR(INDEX(PP_Grid[#Data],$DE377,105),0)</f>
        <v/>
      </c>
      <c r="DE377" s="7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SUMIFS(M_BOM[RM_Qty_Per_Batch],M_BOM[Intermediate],$B377,M_BOM[RM_Code],$A340)</f>
        <v/>
      </c>
      <c r="D378">
        <f>IFERROR(INDEX(E378:DD378,$F$1),"")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  <c r="DD378">
        <f>$C378*DD377</f>
        <v/>
      </c>
    </row>
    <row r="379">
      <c r="B379" t="inlineStr">
        <is>
          <t>TSP-369</t>
        </is>
      </c>
      <c r="C379" t="inlineStr">
        <is>
          <t>No. of batches</t>
        </is>
      </c>
      <c r="D379">
        <f>IFERROR(INDEX(E379:DD379,$F$1),"")</f>
        <v/>
      </c>
      <c r="E379">
        <f>IFERROR(INDEX(PP_Grid[#Data],$DE379,2),0)</f>
        <v/>
      </c>
      <c r="F379">
        <f>IFERROR(INDEX(PP_Grid[#Data],$DE379,3),0)</f>
        <v/>
      </c>
      <c r="G379">
        <f>IFERROR(INDEX(PP_Grid[#Data],$DE379,4),0)</f>
        <v/>
      </c>
      <c r="H379">
        <f>IFERROR(INDEX(PP_Grid[#Data],$DE379,5),0)</f>
        <v/>
      </c>
      <c r="I379">
        <f>IFERROR(INDEX(PP_Grid[#Data],$DE379,6),0)</f>
        <v/>
      </c>
      <c r="J379">
        <f>IFERROR(INDEX(PP_Grid[#Data],$DE379,7),0)</f>
        <v/>
      </c>
      <c r="K379">
        <f>IFERROR(INDEX(PP_Grid[#Data],$DE379,8),0)</f>
        <v/>
      </c>
      <c r="L379">
        <f>IFERROR(INDEX(PP_Grid[#Data],$DE379,9),0)</f>
        <v/>
      </c>
      <c r="M379">
        <f>IFERROR(INDEX(PP_Grid[#Data],$DE379,10),0)</f>
        <v/>
      </c>
      <c r="N379">
        <f>IFERROR(INDEX(PP_Grid[#Data],$DE379,11),0)</f>
        <v/>
      </c>
      <c r="O379">
        <f>IFERROR(INDEX(PP_Grid[#Data],$DE379,12),0)</f>
        <v/>
      </c>
      <c r="P379">
        <f>IFERROR(INDEX(PP_Grid[#Data],$DE379,13),0)</f>
        <v/>
      </c>
      <c r="Q379">
        <f>IFERROR(INDEX(PP_Grid[#Data],$DE379,14),0)</f>
        <v/>
      </c>
      <c r="R379">
        <f>IFERROR(INDEX(PP_Grid[#Data],$DE379,15),0)</f>
        <v/>
      </c>
      <c r="S379">
        <f>IFERROR(INDEX(PP_Grid[#Data],$DE379,16),0)</f>
        <v/>
      </c>
      <c r="T379">
        <f>IFERROR(INDEX(PP_Grid[#Data],$DE379,17),0)</f>
        <v/>
      </c>
      <c r="U379">
        <f>IFERROR(INDEX(PP_Grid[#Data],$DE379,18),0)</f>
        <v/>
      </c>
      <c r="V379">
        <f>IFERROR(INDEX(PP_Grid[#Data],$DE379,19),0)</f>
        <v/>
      </c>
      <c r="W379">
        <f>IFERROR(INDEX(PP_Grid[#Data],$DE379,20),0)</f>
        <v/>
      </c>
      <c r="X379">
        <f>IFERROR(INDEX(PP_Grid[#Data],$DE379,21),0)</f>
        <v/>
      </c>
      <c r="Y379">
        <f>IFERROR(INDEX(PP_Grid[#Data],$DE379,22),0)</f>
        <v/>
      </c>
      <c r="Z379">
        <f>IFERROR(INDEX(PP_Grid[#Data],$DE379,23),0)</f>
        <v/>
      </c>
      <c r="AA379">
        <f>IFERROR(INDEX(PP_Grid[#Data],$DE379,24),0)</f>
        <v/>
      </c>
      <c r="AB379">
        <f>IFERROR(INDEX(PP_Grid[#Data],$DE379,25),0)</f>
        <v/>
      </c>
      <c r="AC379">
        <f>IFERROR(INDEX(PP_Grid[#Data],$DE379,26),0)</f>
        <v/>
      </c>
      <c r="AD379">
        <f>IFERROR(INDEX(PP_Grid[#Data],$DE379,27),0)</f>
        <v/>
      </c>
      <c r="AE379">
        <f>IFERROR(INDEX(PP_Grid[#Data],$DE379,28),0)</f>
        <v/>
      </c>
      <c r="AF379">
        <f>IFERROR(INDEX(PP_Grid[#Data],$DE379,29),0)</f>
        <v/>
      </c>
      <c r="AG379">
        <f>IFERROR(INDEX(PP_Grid[#Data],$DE379,30),0)</f>
        <v/>
      </c>
      <c r="AH379">
        <f>IFERROR(INDEX(PP_Grid[#Data],$DE379,31),0)</f>
        <v/>
      </c>
      <c r="AI379">
        <f>IFERROR(INDEX(PP_Grid[#Data],$DE379,32),0)</f>
        <v/>
      </c>
      <c r="AJ379">
        <f>IFERROR(INDEX(PP_Grid[#Data],$DE379,33),0)</f>
        <v/>
      </c>
      <c r="AK379">
        <f>IFERROR(INDEX(PP_Grid[#Data],$DE379,34),0)</f>
        <v/>
      </c>
      <c r="AL379">
        <f>IFERROR(INDEX(PP_Grid[#Data],$DE379,35),0)</f>
        <v/>
      </c>
      <c r="AM379">
        <f>IFERROR(INDEX(PP_Grid[#Data],$DE379,36),0)</f>
        <v/>
      </c>
      <c r="AN379">
        <f>IFERROR(INDEX(PP_Grid[#Data],$DE379,37),0)</f>
        <v/>
      </c>
      <c r="AO379">
        <f>IFERROR(INDEX(PP_Grid[#Data],$DE379,38),0)</f>
        <v/>
      </c>
      <c r="AP379">
        <f>IFERROR(INDEX(PP_Grid[#Data],$DE379,39),0)</f>
        <v/>
      </c>
      <c r="AQ379">
        <f>IFERROR(INDEX(PP_Grid[#Data],$DE379,40),0)</f>
        <v/>
      </c>
      <c r="AR379">
        <f>IFERROR(INDEX(PP_Grid[#Data],$DE379,41),0)</f>
        <v/>
      </c>
      <c r="AS379">
        <f>IFERROR(INDEX(PP_Grid[#Data],$DE379,42),0)</f>
        <v/>
      </c>
      <c r="AT379">
        <f>IFERROR(INDEX(PP_Grid[#Data],$DE379,43),0)</f>
        <v/>
      </c>
      <c r="AU379">
        <f>IFERROR(INDEX(PP_Grid[#Data],$DE379,44),0)</f>
        <v/>
      </c>
      <c r="AV379">
        <f>IFERROR(INDEX(PP_Grid[#Data],$DE379,45),0)</f>
        <v/>
      </c>
      <c r="AW379">
        <f>IFERROR(INDEX(PP_Grid[#Data],$DE379,46),0)</f>
        <v/>
      </c>
      <c r="AX379">
        <f>IFERROR(INDEX(PP_Grid[#Data],$DE379,47),0)</f>
        <v/>
      </c>
      <c r="AY379">
        <f>IFERROR(INDEX(PP_Grid[#Data],$DE379,48),0)</f>
        <v/>
      </c>
      <c r="AZ379">
        <f>IFERROR(INDEX(PP_Grid[#Data],$DE379,49),0)</f>
        <v/>
      </c>
      <c r="BA379">
        <f>IFERROR(INDEX(PP_Grid[#Data],$DE379,50),0)</f>
        <v/>
      </c>
      <c r="BB379">
        <f>IFERROR(INDEX(PP_Grid[#Data],$DE379,51),0)</f>
        <v/>
      </c>
      <c r="BC379">
        <f>IFERROR(INDEX(PP_Grid[#Data],$DE379,52),0)</f>
        <v/>
      </c>
      <c r="BD379">
        <f>IFERROR(INDEX(PP_Grid[#Data],$DE379,53),0)</f>
        <v/>
      </c>
      <c r="BE379">
        <f>IFERROR(INDEX(PP_Grid[#Data],$DE379,54),0)</f>
        <v/>
      </c>
      <c r="BF379">
        <f>IFERROR(INDEX(PP_Grid[#Data],$DE379,55),0)</f>
        <v/>
      </c>
      <c r="BG379">
        <f>IFERROR(INDEX(PP_Grid[#Data],$DE379,56),0)</f>
        <v/>
      </c>
      <c r="BH379">
        <f>IFERROR(INDEX(PP_Grid[#Data],$DE379,57),0)</f>
        <v/>
      </c>
      <c r="BI379">
        <f>IFERROR(INDEX(PP_Grid[#Data],$DE379,58),0)</f>
        <v/>
      </c>
      <c r="BJ379">
        <f>IFERROR(INDEX(PP_Grid[#Data],$DE379,59),0)</f>
        <v/>
      </c>
      <c r="BK379">
        <f>IFERROR(INDEX(PP_Grid[#Data],$DE379,60),0)</f>
        <v/>
      </c>
      <c r="BL379">
        <f>IFERROR(INDEX(PP_Grid[#Data],$DE379,61),0)</f>
        <v/>
      </c>
      <c r="BM379">
        <f>IFERROR(INDEX(PP_Grid[#Data],$DE379,62),0)</f>
        <v/>
      </c>
      <c r="BN379">
        <f>IFERROR(INDEX(PP_Grid[#Data],$DE379,63),0)</f>
        <v/>
      </c>
      <c r="BO379">
        <f>IFERROR(INDEX(PP_Grid[#Data],$DE379,64),0)</f>
        <v/>
      </c>
      <c r="BP379">
        <f>IFERROR(INDEX(PP_Grid[#Data],$DE379,65),0)</f>
        <v/>
      </c>
      <c r="BQ379">
        <f>IFERROR(INDEX(PP_Grid[#Data],$DE379,66),0)</f>
        <v/>
      </c>
      <c r="BR379">
        <f>IFERROR(INDEX(PP_Grid[#Data],$DE379,67),0)</f>
        <v/>
      </c>
      <c r="BS379">
        <f>IFERROR(INDEX(PP_Grid[#Data],$DE379,68),0)</f>
        <v/>
      </c>
      <c r="BT379">
        <f>IFERROR(INDEX(PP_Grid[#Data],$DE379,69),0)</f>
        <v/>
      </c>
      <c r="BU379">
        <f>IFERROR(INDEX(PP_Grid[#Data],$DE379,70),0)</f>
        <v/>
      </c>
      <c r="BV379">
        <f>IFERROR(INDEX(PP_Grid[#Data],$DE379,71),0)</f>
        <v/>
      </c>
      <c r="BW379">
        <f>IFERROR(INDEX(PP_Grid[#Data],$DE379,72),0)</f>
        <v/>
      </c>
      <c r="BX379">
        <f>IFERROR(INDEX(PP_Grid[#Data],$DE379,73),0)</f>
        <v/>
      </c>
      <c r="BY379">
        <f>IFERROR(INDEX(PP_Grid[#Data],$DE379,74),0)</f>
        <v/>
      </c>
      <c r="BZ379">
        <f>IFERROR(INDEX(PP_Grid[#Data],$DE379,75),0)</f>
        <v/>
      </c>
      <c r="CA379">
        <f>IFERROR(INDEX(PP_Grid[#Data],$DE379,76),0)</f>
        <v/>
      </c>
      <c r="CB379">
        <f>IFERROR(INDEX(PP_Grid[#Data],$DE379,77),0)</f>
        <v/>
      </c>
      <c r="CC379">
        <f>IFERROR(INDEX(PP_Grid[#Data],$DE379,78),0)</f>
        <v/>
      </c>
      <c r="CD379">
        <f>IFERROR(INDEX(PP_Grid[#Data],$DE379,79),0)</f>
        <v/>
      </c>
      <c r="CE379">
        <f>IFERROR(INDEX(PP_Grid[#Data],$DE379,80),0)</f>
        <v/>
      </c>
      <c r="CF379">
        <f>IFERROR(INDEX(PP_Grid[#Data],$DE379,81),0)</f>
        <v/>
      </c>
      <c r="CG379">
        <f>IFERROR(INDEX(PP_Grid[#Data],$DE379,82),0)</f>
        <v/>
      </c>
      <c r="CH379">
        <f>IFERROR(INDEX(PP_Grid[#Data],$DE379,83),0)</f>
        <v/>
      </c>
      <c r="CI379">
        <f>IFERROR(INDEX(PP_Grid[#Data],$DE379,84),0)</f>
        <v/>
      </c>
      <c r="CJ379">
        <f>IFERROR(INDEX(PP_Grid[#Data],$DE379,85),0)</f>
        <v/>
      </c>
      <c r="CK379">
        <f>IFERROR(INDEX(PP_Grid[#Data],$DE379,86),0)</f>
        <v/>
      </c>
      <c r="CL379">
        <f>IFERROR(INDEX(PP_Grid[#Data],$DE379,87),0)</f>
        <v/>
      </c>
      <c r="CM379">
        <f>IFERROR(INDEX(PP_Grid[#Data],$DE379,88),0)</f>
        <v/>
      </c>
      <c r="CN379">
        <f>IFERROR(INDEX(PP_Grid[#Data],$DE379,89),0)</f>
        <v/>
      </c>
      <c r="CO379">
        <f>IFERROR(INDEX(PP_Grid[#Data],$DE379,90),0)</f>
        <v/>
      </c>
      <c r="CP379">
        <f>IFERROR(INDEX(PP_Grid[#Data],$DE379,91),0)</f>
        <v/>
      </c>
      <c r="CQ379">
        <f>IFERROR(INDEX(PP_Grid[#Data],$DE379,92),0)</f>
        <v/>
      </c>
      <c r="CR379">
        <f>IFERROR(INDEX(PP_Grid[#Data],$DE379,93),0)</f>
        <v/>
      </c>
      <c r="CS379">
        <f>IFERROR(INDEX(PP_Grid[#Data],$DE379,94),0)</f>
        <v/>
      </c>
      <c r="CT379">
        <f>IFERROR(INDEX(PP_Grid[#Data],$DE379,95),0)</f>
        <v/>
      </c>
      <c r="CU379">
        <f>IFERROR(INDEX(PP_Grid[#Data],$DE379,96),0)</f>
        <v/>
      </c>
      <c r="CV379">
        <f>IFERROR(INDEX(PP_Grid[#Data],$DE379,97),0)</f>
        <v/>
      </c>
      <c r="CW379">
        <f>IFERROR(INDEX(PP_Grid[#Data],$DE379,98),0)</f>
        <v/>
      </c>
      <c r="CX379">
        <f>IFERROR(INDEX(PP_Grid[#Data],$DE379,99),0)</f>
        <v/>
      </c>
      <c r="CY379">
        <f>IFERROR(INDEX(PP_Grid[#Data],$DE379,100),0)</f>
        <v/>
      </c>
      <c r="CZ379">
        <f>IFERROR(INDEX(PP_Grid[#Data],$DE379,101),0)</f>
        <v/>
      </c>
      <c r="DA379">
        <f>IFERROR(INDEX(PP_Grid[#Data],$DE379,102),0)</f>
        <v/>
      </c>
      <c r="DB379">
        <f>IFERROR(INDEX(PP_Grid[#Data],$DE379,103),0)</f>
        <v/>
      </c>
      <c r="DC379">
        <f>IFERROR(INDEX(PP_Grid[#Data],$DE379,104),0)</f>
        <v/>
      </c>
      <c r="DD379">
        <f>IFERROR(INDEX(PP_Grid[#Data],$DE379,105),0)</f>
        <v/>
      </c>
      <c r="DE379" s="7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SUMIFS(M_BOM[RM_Qty_Per_Batch],M_BOM[Intermediate],$B379,M_BOM[RM_Code],$A340)</f>
        <v/>
      </c>
      <c r="D380">
        <f>IFERROR(INDEX(E380:DD380,$F$1),"")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  <c r="DD380">
        <f>$C380*DD379</f>
        <v/>
      </c>
    </row>
    <row r="381">
      <c r="B381" t="inlineStr">
        <is>
          <t>TSP-390</t>
        </is>
      </c>
      <c r="C381" t="inlineStr">
        <is>
          <t>No. of batches</t>
        </is>
      </c>
      <c r="D381">
        <f>IFERROR(INDEX(E381:DD381,$F$1),"")</f>
        <v/>
      </c>
      <c r="E381">
        <f>IFERROR(INDEX(PP_Grid[#Data],$DE381,2),0)</f>
        <v/>
      </c>
      <c r="F381">
        <f>IFERROR(INDEX(PP_Grid[#Data],$DE381,3),0)</f>
        <v/>
      </c>
      <c r="G381">
        <f>IFERROR(INDEX(PP_Grid[#Data],$DE381,4),0)</f>
        <v/>
      </c>
      <c r="H381">
        <f>IFERROR(INDEX(PP_Grid[#Data],$DE381,5),0)</f>
        <v/>
      </c>
      <c r="I381">
        <f>IFERROR(INDEX(PP_Grid[#Data],$DE381,6),0)</f>
        <v/>
      </c>
      <c r="J381">
        <f>IFERROR(INDEX(PP_Grid[#Data],$DE381,7),0)</f>
        <v/>
      </c>
      <c r="K381">
        <f>IFERROR(INDEX(PP_Grid[#Data],$DE381,8),0)</f>
        <v/>
      </c>
      <c r="L381">
        <f>IFERROR(INDEX(PP_Grid[#Data],$DE381,9),0)</f>
        <v/>
      </c>
      <c r="M381">
        <f>IFERROR(INDEX(PP_Grid[#Data],$DE381,10),0)</f>
        <v/>
      </c>
      <c r="N381">
        <f>IFERROR(INDEX(PP_Grid[#Data],$DE381,11),0)</f>
        <v/>
      </c>
      <c r="O381">
        <f>IFERROR(INDEX(PP_Grid[#Data],$DE381,12),0)</f>
        <v/>
      </c>
      <c r="P381">
        <f>IFERROR(INDEX(PP_Grid[#Data],$DE381,13),0)</f>
        <v/>
      </c>
      <c r="Q381">
        <f>IFERROR(INDEX(PP_Grid[#Data],$DE381,14),0)</f>
        <v/>
      </c>
      <c r="R381">
        <f>IFERROR(INDEX(PP_Grid[#Data],$DE381,15),0)</f>
        <v/>
      </c>
      <c r="S381">
        <f>IFERROR(INDEX(PP_Grid[#Data],$DE381,16),0)</f>
        <v/>
      </c>
      <c r="T381">
        <f>IFERROR(INDEX(PP_Grid[#Data],$DE381,17),0)</f>
        <v/>
      </c>
      <c r="U381">
        <f>IFERROR(INDEX(PP_Grid[#Data],$DE381,18),0)</f>
        <v/>
      </c>
      <c r="V381">
        <f>IFERROR(INDEX(PP_Grid[#Data],$DE381,19),0)</f>
        <v/>
      </c>
      <c r="W381">
        <f>IFERROR(INDEX(PP_Grid[#Data],$DE381,20),0)</f>
        <v/>
      </c>
      <c r="X381">
        <f>IFERROR(INDEX(PP_Grid[#Data],$DE381,21),0)</f>
        <v/>
      </c>
      <c r="Y381">
        <f>IFERROR(INDEX(PP_Grid[#Data],$DE381,22),0)</f>
        <v/>
      </c>
      <c r="Z381">
        <f>IFERROR(INDEX(PP_Grid[#Data],$DE381,23),0)</f>
        <v/>
      </c>
      <c r="AA381">
        <f>IFERROR(INDEX(PP_Grid[#Data],$DE381,24),0)</f>
        <v/>
      </c>
      <c r="AB381">
        <f>IFERROR(INDEX(PP_Grid[#Data],$DE381,25),0)</f>
        <v/>
      </c>
      <c r="AC381">
        <f>IFERROR(INDEX(PP_Grid[#Data],$DE381,26),0)</f>
        <v/>
      </c>
      <c r="AD381">
        <f>IFERROR(INDEX(PP_Grid[#Data],$DE381,27),0)</f>
        <v/>
      </c>
      <c r="AE381">
        <f>IFERROR(INDEX(PP_Grid[#Data],$DE381,28),0)</f>
        <v/>
      </c>
      <c r="AF381">
        <f>IFERROR(INDEX(PP_Grid[#Data],$DE381,29),0)</f>
        <v/>
      </c>
      <c r="AG381">
        <f>IFERROR(INDEX(PP_Grid[#Data],$DE381,30),0)</f>
        <v/>
      </c>
      <c r="AH381">
        <f>IFERROR(INDEX(PP_Grid[#Data],$DE381,31),0)</f>
        <v/>
      </c>
      <c r="AI381">
        <f>IFERROR(INDEX(PP_Grid[#Data],$DE381,32),0)</f>
        <v/>
      </c>
      <c r="AJ381">
        <f>IFERROR(INDEX(PP_Grid[#Data],$DE381,33),0)</f>
        <v/>
      </c>
      <c r="AK381">
        <f>IFERROR(INDEX(PP_Grid[#Data],$DE381,34),0)</f>
        <v/>
      </c>
      <c r="AL381">
        <f>IFERROR(INDEX(PP_Grid[#Data],$DE381,35),0)</f>
        <v/>
      </c>
      <c r="AM381">
        <f>IFERROR(INDEX(PP_Grid[#Data],$DE381,36),0)</f>
        <v/>
      </c>
      <c r="AN381">
        <f>IFERROR(INDEX(PP_Grid[#Data],$DE381,37),0)</f>
        <v/>
      </c>
      <c r="AO381">
        <f>IFERROR(INDEX(PP_Grid[#Data],$DE381,38),0)</f>
        <v/>
      </c>
      <c r="AP381">
        <f>IFERROR(INDEX(PP_Grid[#Data],$DE381,39),0)</f>
        <v/>
      </c>
      <c r="AQ381">
        <f>IFERROR(INDEX(PP_Grid[#Data],$DE381,40),0)</f>
        <v/>
      </c>
      <c r="AR381">
        <f>IFERROR(INDEX(PP_Grid[#Data],$DE381,41),0)</f>
        <v/>
      </c>
      <c r="AS381">
        <f>IFERROR(INDEX(PP_Grid[#Data],$DE381,42),0)</f>
        <v/>
      </c>
      <c r="AT381">
        <f>IFERROR(INDEX(PP_Grid[#Data],$DE381,43),0)</f>
        <v/>
      </c>
      <c r="AU381">
        <f>IFERROR(INDEX(PP_Grid[#Data],$DE381,44),0)</f>
        <v/>
      </c>
      <c r="AV381">
        <f>IFERROR(INDEX(PP_Grid[#Data],$DE381,45),0)</f>
        <v/>
      </c>
      <c r="AW381">
        <f>IFERROR(INDEX(PP_Grid[#Data],$DE381,46),0)</f>
        <v/>
      </c>
      <c r="AX381">
        <f>IFERROR(INDEX(PP_Grid[#Data],$DE381,47),0)</f>
        <v/>
      </c>
      <c r="AY381">
        <f>IFERROR(INDEX(PP_Grid[#Data],$DE381,48),0)</f>
        <v/>
      </c>
      <c r="AZ381">
        <f>IFERROR(INDEX(PP_Grid[#Data],$DE381,49),0)</f>
        <v/>
      </c>
      <c r="BA381">
        <f>IFERROR(INDEX(PP_Grid[#Data],$DE381,50),0)</f>
        <v/>
      </c>
      <c r="BB381">
        <f>IFERROR(INDEX(PP_Grid[#Data],$DE381,51),0)</f>
        <v/>
      </c>
      <c r="BC381">
        <f>IFERROR(INDEX(PP_Grid[#Data],$DE381,52),0)</f>
        <v/>
      </c>
      <c r="BD381">
        <f>IFERROR(INDEX(PP_Grid[#Data],$DE381,53),0)</f>
        <v/>
      </c>
      <c r="BE381">
        <f>IFERROR(INDEX(PP_Grid[#Data],$DE381,54),0)</f>
        <v/>
      </c>
      <c r="BF381">
        <f>IFERROR(INDEX(PP_Grid[#Data],$DE381,55),0)</f>
        <v/>
      </c>
      <c r="BG381">
        <f>IFERROR(INDEX(PP_Grid[#Data],$DE381,56),0)</f>
        <v/>
      </c>
      <c r="BH381">
        <f>IFERROR(INDEX(PP_Grid[#Data],$DE381,57),0)</f>
        <v/>
      </c>
      <c r="BI381">
        <f>IFERROR(INDEX(PP_Grid[#Data],$DE381,58),0)</f>
        <v/>
      </c>
      <c r="BJ381">
        <f>IFERROR(INDEX(PP_Grid[#Data],$DE381,59),0)</f>
        <v/>
      </c>
      <c r="BK381">
        <f>IFERROR(INDEX(PP_Grid[#Data],$DE381,60),0)</f>
        <v/>
      </c>
      <c r="BL381">
        <f>IFERROR(INDEX(PP_Grid[#Data],$DE381,61),0)</f>
        <v/>
      </c>
      <c r="BM381">
        <f>IFERROR(INDEX(PP_Grid[#Data],$DE381,62),0)</f>
        <v/>
      </c>
      <c r="BN381">
        <f>IFERROR(INDEX(PP_Grid[#Data],$DE381,63),0)</f>
        <v/>
      </c>
      <c r="BO381">
        <f>IFERROR(INDEX(PP_Grid[#Data],$DE381,64),0)</f>
        <v/>
      </c>
      <c r="BP381">
        <f>IFERROR(INDEX(PP_Grid[#Data],$DE381,65),0)</f>
        <v/>
      </c>
      <c r="BQ381">
        <f>IFERROR(INDEX(PP_Grid[#Data],$DE381,66),0)</f>
        <v/>
      </c>
      <c r="BR381">
        <f>IFERROR(INDEX(PP_Grid[#Data],$DE381,67),0)</f>
        <v/>
      </c>
      <c r="BS381">
        <f>IFERROR(INDEX(PP_Grid[#Data],$DE381,68),0)</f>
        <v/>
      </c>
      <c r="BT381">
        <f>IFERROR(INDEX(PP_Grid[#Data],$DE381,69),0)</f>
        <v/>
      </c>
      <c r="BU381">
        <f>IFERROR(INDEX(PP_Grid[#Data],$DE381,70),0)</f>
        <v/>
      </c>
      <c r="BV381">
        <f>IFERROR(INDEX(PP_Grid[#Data],$DE381,71),0)</f>
        <v/>
      </c>
      <c r="BW381">
        <f>IFERROR(INDEX(PP_Grid[#Data],$DE381,72),0)</f>
        <v/>
      </c>
      <c r="BX381">
        <f>IFERROR(INDEX(PP_Grid[#Data],$DE381,73),0)</f>
        <v/>
      </c>
      <c r="BY381">
        <f>IFERROR(INDEX(PP_Grid[#Data],$DE381,74),0)</f>
        <v/>
      </c>
      <c r="BZ381">
        <f>IFERROR(INDEX(PP_Grid[#Data],$DE381,75),0)</f>
        <v/>
      </c>
      <c r="CA381">
        <f>IFERROR(INDEX(PP_Grid[#Data],$DE381,76),0)</f>
        <v/>
      </c>
      <c r="CB381">
        <f>IFERROR(INDEX(PP_Grid[#Data],$DE381,77),0)</f>
        <v/>
      </c>
      <c r="CC381">
        <f>IFERROR(INDEX(PP_Grid[#Data],$DE381,78),0)</f>
        <v/>
      </c>
      <c r="CD381">
        <f>IFERROR(INDEX(PP_Grid[#Data],$DE381,79),0)</f>
        <v/>
      </c>
      <c r="CE381">
        <f>IFERROR(INDEX(PP_Grid[#Data],$DE381,80),0)</f>
        <v/>
      </c>
      <c r="CF381">
        <f>IFERROR(INDEX(PP_Grid[#Data],$DE381,81),0)</f>
        <v/>
      </c>
      <c r="CG381">
        <f>IFERROR(INDEX(PP_Grid[#Data],$DE381,82),0)</f>
        <v/>
      </c>
      <c r="CH381">
        <f>IFERROR(INDEX(PP_Grid[#Data],$DE381,83),0)</f>
        <v/>
      </c>
      <c r="CI381">
        <f>IFERROR(INDEX(PP_Grid[#Data],$DE381,84),0)</f>
        <v/>
      </c>
      <c r="CJ381">
        <f>IFERROR(INDEX(PP_Grid[#Data],$DE381,85),0)</f>
        <v/>
      </c>
      <c r="CK381">
        <f>IFERROR(INDEX(PP_Grid[#Data],$DE381,86),0)</f>
        <v/>
      </c>
      <c r="CL381">
        <f>IFERROR(INDEX(PP_Grid[#Data],$DE381,87),0)</f>
        <v/>
      </c>
      <c r="CM381">
        <f>IFERROR(INDEX(PP_Grid[#Data],$DE381,88),0)</f>
        <v/>
      </c>
      <c r="CN381">
        <f>IFERROR(INDEX(PP_Grid[#Data],$DE381,89),0)</f>
        <v/>
      </c>
      <c r="CO381">
        <f>IFERROR(INDEX(PP_Grid[#Data],$DE381,90),0)</f>
        <v/>
      </c>
      <c r="CP381">
        <f>IFERROR(INDEX(PP_Grid[#Data],$DE381,91),0)</f>
        <v/>
      </c>
      <c r="CQ381">
        <f>IFERROR(INDEX(PP_Grid[#Data],$DE381,92),0)</f>
        <v/>
      </c>
      <c r="CR381">
        <f>IFERROR(INDEX(PP_Grid[#Data],$DE381,93),0)</f>
        <v/>
      </c>
      <c r="CS381">
        <f>IFERROR(INDEX(PP_Grid[#Data],$DE381,94),0)</f>
        <v/>
      </c>
      <c r="CT381">
        <f>IFERROR(INDEX(PP_Grid[#Data],$DE381,95),0)</f>
        <v/>
      </c>
      <c r="CU381">
        <f>IFERROR(INDEX(PP_Grid[#Data],$DE381,96),0)</f>
        <v/>
      </c>
      <c r="CV381">
        <f>IFERROR(INDEX(PP_Grid[#Data],$DE381,97),0)</f>
        <v/>
      </c>
      <c r="CW381">
        <f>IFERROR(INDEX(PP_Grid[#Data],$DE381,98),0)</f>
        <v/>
      </c>
      <c r="CX381">
        <f>IFERROR(INDEX(PP_Grid[#Data],$DE381,99),0)</f>
        <v/>
      </c>
      <c r="CY381">
        <f>IFERROR(INDEX(PP_Grid[#Data],$DE381,100),0)</f>
        <v/>
      </c>
      <c r="CZ381">
        <f>IFERROR(INDEX(PP_Grid[#Data],$DE381,101),0)</f>
        <v/>
      </c>
      <c r="DA381">
        <f>IFERROR(INDEX(PP_Grid[#Data],$DE381,102),0)</f>
        <v/>
      </c>
      <c r="DB381">
        <f>IFERROR(INDEX(PP_Grid[#Data],$DE381,103),0)</f>
        <v/>
      </c>
      <c r="DC381">
        <f>IFERROR(INDEX(PP_Grid[#Data],$DE381,104),0)</f>
        <v/>
      </c>
      <c r="DD381">
        <f>IFERROR(INDEX(PP_Grid[#Data],$DE381,105),0)</f>
        <v/>
      </c>
      <c r="DE381" s="7">
        <f>IFERROR(MATCH($B381,PP_Grid[Intermediate],0),99999)</f>
        <v/>
      </c>
    </row>
    <row r="382">
      <c r="B382" t="inlineStr">
        <is>
          <t>使用量(kg)</t>
        </is>
      </c>
      <c r="C382">
        <f>SUMIFS(M_BOM[RM_Qty_Per_Batch],M_BOM[Intermediate],$B381,M_BOM[RM_Code],$A340)</f>
        <v/>
      </c>
      <c r="D382">
        <f>IFERROR(INDEX(E382:DD382,$F$1),"")</f>
        <v/>
      </c>
      <c r="E382">
        <f>$C382*E381</f>
        <v/>
      </c>
      <c r="F382">
        <f>$C382*F381</f>
        <v/>
      </c>
      <c r="G382">
        <f>$C382*G381</f>
        <v/>
      </c>
      <c r="H382">
        <f>$C382*H381</f>
        <v/>
      </c>
      <c r="I382">
        <f>$C382*I381</f>
        <v/>
      </c>
      <c r="J382">
        <f>$C382*J381</f>
        <v/>
      </c>
      <c r="K382">
        <f>$C382*K381</f>
        <v/>
      </c>
      <c r="L382">
        <f>$C382*L381</f>
        <v/>
      </c>
      <c r="M382">
        <f>$C382*M381</f>
        <v/>
      </c>
      <c r="N382">
        <f>$C382*N381</f>
        <v/>
      </c>
      <c r="O382">
        <f>$C382*O381</f>
        <v/>
      </c>
      <c r="P382">
        <f>$C382*P381</f>
        <v/>
      </c>
      <c r="Q382">
        <f>$C382*Q381</f>
        <v/>
      </c>
      <c r="R382">
        <f>$C382*R381</f>
        <v/>
      </c>
      <c r="S382">
        <f>$C382*S381</f>
        <v/>
      </c>
      <c r="T382">
        <f>$C382*T381</f>
        <v/>
      </c>
      <c r="U382">
        <f>$C382*U381</f>
        <v/>
      </c>
      <c r="V382">
        <f>$C382*V381</f>
        <v/>
      </c>
      <c r="W382">
        <f>$C382*W381</f>
        <v/>
      </c>
      <c r="X382">
        <f>$C382*X381</f>
        <v/>
      </c>
      <c r="Y382">
        <f>$C382*Y381</f>
        <v/>
      </c>
      <c r="Z382">
        <f>$C382*Z381</f>
        <v/>
      </c>
      <c r="AA382">
        <f>$C382*AA381</f>
        <v/>
      </c>
      <c r="AB382">
        <f>$C382*AB381</f>
        <v/>
      </c>
      <c r="AC382">
        <f>$C382*AC381</f>
        <v/>
      </c>
      <c r="AD382">
        <f>$C382*AD381</f>
        <v/>
      </c>
      <c r="AE382">
        <f>$C382*AE381</f>
        <v/>
      </c>
      <c r="AF382">
        <f>$C382*AF381</f>
        <v/>
      </c>
      <c r="AG382">
        <f>$C382*AG381</f>
        <v/>
      </c>
      <c r="AH382">
        <f>$C382*AH381</f>
        <v/>
      </c>
      <c r="AI382">
        <f>$C382*AI381</f>
        <v/>
      </c>
      <c r="AJ382">
        <f>$C382*AJ381</f>
        <v/>
      </c>
      <c r="AK382">
        <f>$C382*AK381</f>
        <v/>
      </c>
      <c r="AL382">
        <f>$C382*AL381</f>
        <v/>
      </c>
      <c r="AM382">
        <f>$C382*AM381</f>
        <v/>
      </c>
      <c r="AN382">
        <f>$C382*AN381</f>
        <v/>
      </c>
      <c r="AO382">
        <f>$C382*AO381</f>
        <v/>
      </c>
      <c r="AP382">
        <f>$C382*AP381</f>
        <v/>
      </c>
      <c r="AQ382">
        <f>$C382*AQ381</f>
        <v/>
      </c>
      <c r="AR382">
        <f>$C382*AR381</f>
        <v/>
      </c>
      <c r="AS382">
        <f>$C382*AS381</f>
        <v/>
      </c>
      <c r="AT382">
        <f>$C382*AT381</f>
        <v/>
      </c>
      <c r="AU382">
        <f>$C382*AU381</f>
        <v/>
      </c>
      <c r="AV382">
        <f>$C382*AV381</f>
        <v/>
      </c>
      <c r="AW382">
        <f>$C382*AW381</f>
        <v/>
      </c>
      <c r="AX382">
        <f>$C382*AX381</f>
        <v/>
      </c>
      <c r="AY382">
        <f>$C382*AY381</f>
        <v/>
      </c>
      <c r="AZ382">
        <f>$C382*AZ381</f>
        <v/>
      </c>
      <c r="BA382">
        <f>$C382*BA381</f>
        <v/>
      </c>
      <c r="BB382">
        <f>$C382*BB381</f>
        <v/>
      </c>
      <c r="BC382">
        <f>$C382*BC381</f>
        <v/>
      </c>
      <c r="BD382">
        <f>$C382*BD381</f>
        <v/>
      </c>
      <c r="BE382">
        <f>$C382*BE381</f>
        <v/>
      </c>
      <c r="BF382">
        <f>$C382*BF381</f>
        <v/>
      </c>
      <c r="BG382">
        <f>$C382*BG381</f>
        <v/>
      </c>
      <c r="BH382">
        <f>$C382*BH381</f>
        <v/>
      </c>
      <c r="BI382">
        <f>$C382*BI381</f>
        <v/>
      </c>
      <c r="BJ382">
        <f>$C382*BJ381</f>
        <v/>
      </c>
      <c r="BK382">
        <f>$C382*BK381</f>
        <v/>
      </c>
      <c r="BL382">
        <f>$C382*BL381</f>
        <v/>
      </c>
      <c r="BM382">
        <f>$C382*BM381</f>
        <v/>
      </c>
      <c r="BN382">
        <f>$C382*BN381</f>
        <v/>
      </c>
      <c r="BO382">
        <f>$C382*BO381</f>
        <v/>
      </c>
      <c r="BP382">
        <f>$C382*BP381</f>
        <v/>
      </c>
      <c r="BQ382">
        <f>$C382*BQ381</f>
        <v/>
      </c>
      <c r="BR382">
        <f>$C382*BR381</f>
        <v/>
      </c>
      <c r="BS382">
        <f>$C382*BS381</f>
        <v/>
      </c>
      <c r="BT382">
        <f>$C382*BT381</f>
        <v/>
      </c>
      <c r="BU382">
        <f>$C382*BU381</f>
        <v/>
      </c>
      <c r="BV382">
        <f>$C382*BV381</f>
        <v/>
      </c>
      <c r="BW382">
        <f>$C382*BW381</f>
        <v/>
      </c>
      <c r="BX382">
        <f>$C382*BX381</f>
        <v/>
      </c>
      <c r="BY382">
        <f>$C382*BY381</f>
        <v/>
      </c>
      <c r="BZ382">
        <f>$C382*BZ381</f>
        <v/>
      </c>
      <c r="CA382">
        <f>$C382*CA381</f>
        <v/>
      </c>
      <c r="CB382">
        <f>$C382*CB381</f>
        <v/>
      </c>
      <c r="CC382">
        <f>$C382*CC381</f>
        <v/>
      </c>
      <c r="CD382">
        <f>$C382*CD381</f>
        <v/>
      </c>
      <c r="CE382">
        <f>$C382*CE381</f>
        <v/>
      </c>
      <c r="CF382">
        <f>$C382*CF381</f>
        <v/>
      </c>
      <c r="CG382">
        <f>$C382*CG381</f>
        <v/>
      </c>
      <c r="CH382">
        <f>$C382*CH381</f>
        <v/>
      </c>
      <c r="CI382">
        <f>$C382*CI381</f>
        <v/>
      </c>
      <c r="CJ382">
        <f>$C382*CJ381</f>
        <v/>
      </c>
      <c r="CK382">
        <f>$C382*CK381</f>
        <v/>
      </c>
      <c r="CL382">
        <f>$C382*CL381</f>
        <v/>
      </c>
      <c r="CM382">
        <f>$C382*CM381</f>
        <v/>
      </c>
      <c r="CN382">
        <f>$C382*CN381</f>
        <v/>
      </c>
      <c r="CO382">
        <f>$C382*CO381</f>
        <v/>
      </c>
      <c r="CP382">
        <f>$C382*CP381</f>
        <v/>
      </c>
      <c r="CQ382">
        <f>$C382*CQ381</f>
        <v/>
      </c>
      <c r="CR382">
        <f>$C382*CR381</f>
        <v/>
      </c>
      <c r="CS382">
        <f>$C382*CS381</f>
        <v/>
      </c>
      <c r="CT382">
        <f>$C382*CT381</f>
        <v/>
      </c>
      <c r="CU382">
        <f>$C382*CU381</f>
        <v/>
      </c>
      <c r="CV382">
        <f>$C382*CV381</f>
        <v/>
      </c>
      <c r="CW382">
        <f>$C382*CW381</f>
        <v/>
      </c>
      <c r="CX382">
        <f>$C382*CX381</f>
        <v/>
      </c>
      <c r="CY382">
        <f>$C382*CY381</f>
        <v/>
      </c>
      <c r="CZ382">
        <f>$C382*CZ381</f>
        <v/>
      </c>
      <c r="DA382">
        <f>$C382*DA381</f>
        <v/>
      </c>
      <c r="DB382">
        <f>$C382*DB381</f>
        <v/>
      </c>
      <c r="DC382">
        <f>$C382*DC381</f>
        <v/>
      </c>
      <c r="DD382">
        <f>$C382*DD381</f>
        <v/>
      </c>
    </row>
    <row r="383">
      <c r="B383" t="inlineStr">
        <is>
          <t>TSP-399</t>
        </is>
      </c>
      <c r="C383" t="inlineStr">
        <is>
          <t>No. of batches</t>
        </is>
      </c>
      <c r="D383">
        <f>IFERROR(INDEX(E383:DD383,$F$1),"")</f>
        <v/>
      </c>
      <c r="E383">
        <f>IFERROR(INDEX(PP_Grid[#Data],$DE383,2),0)</f>
        <v/>
      </c>
      <c r="F383">
        <f>IFERROR(INDEX(PP_Grid[#Data],$DE383,3),0)</f>
        <v/>
      </c>
      <c r="G383">
        <f>IFERROR(INDEX(PP_Grid[#Data],$DE383,4),0)</f>
        <v/>
      </c>
      <c r="H383">
        <f>IFERROR(INDEX(PP_Grid[#Data],$DE383,5),0)</f>
        <v/>
      </c>
      <c r="I383">
        <f>IFERROR(INDEX(PP_Grid[#Data],$DE383,6),0)</f>
        <v/>
      </c>
      <c r="J383">
        <f>IFERROR(INDEX(PP_Grid[#Data],$DE383,7),0)</f>
        <v/>
      </c>
      <c r="K383">
        <f>IFERROR(INDEX(PP_Grid[#Data],$DE383,8),0)</f>
        <v/>
      </c>
      <c r="L383">
        <f>IFERROR(INDEX(PP_Grid[#Data],$DE383,9),0)</f>
        <v/>
      </c>
      <c r="M383">
        <f>IFERROR(INDEX(PP_Grid[#Data],$DE383,10),0)</f>
        <v/>
      </c>
      <c r="N383">
        <f>IFERROR(INDEX(PP_Grid[#Data],$DE383,11),0)</f>
        <v/>
      </c>
      <c r="O383">
        <f>IFERROR(INDEX(PP_Grid[#Data],$DE383,12),0)</f>
        <v/>
      </c>
      <c r="P383">
        <f>IFERROR(INDEX(PP_Grid[#Data],$DE383,13),0)</f>
        <v/>
      </c>
      <c r="Q383">
        <f>IFERROR(INDEX(PP_Grid[#Data],$DE383,14),0)</f>
        <v/>
      </c>
      <c r="R383">
        <f>IFERROR(INDEX(PP_Grid[#Data],$DE383,15),0)</f>
        <v/>
      </c>
      <c r="S383">
        <f>IFERROR(INDEX(PP_Grid[#Data],$DE383,16),0)</f>
        <v/>
      </c>
      <c r="T383">
        <f>IFERROR(INDEX(PP_Grid[#Data],$DE383,17),0)</f>
        <v/>
      </c>
      <c r="U383">
        <f>IFERROR(INDEX(PP_Grid[#Data],$DE383,18),0)</f>
        <v/>
      </c>
      <c r="V383">
        <f>IFERROR(INDEX(PP_Grid[#Data],$DE383,19),0)</f>
        <v/>
      </c>
      <c r="W383">
        <f>IFERROR(INDEX(PP_Grid[#Data],$DE383,20),0)</f>
        <v/>
      </c>
      <c r="X383">
        <f>IFERROR(INDEX(PP_Grid[#Data],$DE383,21),0)</f>
        <v/>
      </c>
      <c r="Y383">
        <f>IFERROR(INDEX(PP_Grid[#Data],$DE383,22),0)</f>
        <v/>
      </c>
      <c r="Z383">
        <f>IFERROR(INDEX(PP_Grid[#Data],$DE383,23),0)</f>
        <v/>
      </c>
      <c r="AA383">
        <f>IFERROR(INDEX(PP_Grid[#Data],$DE383,24),0)</f>
        <v/>
      </c>
      <c r="AB383">
        <f>IFERROR(INDEX(PP_Grid[#Data],$DE383,25),0)</f>
        <v/>
      </c>
      <c r="AC383">
        <f>IFERROR(INDEX(PP_Grid[#Data],$DE383,26),0)</f>
        <v/>
      </c>
      <c r="AD383">
        <f>IFERROR(INDEX(PP_Grid[#Data],$DE383,27),0)</f>
        <v/>
      </c>
      <c r="AE383">
        <f>IFERROR(INDEX(PP_Grid[#Data],$DE383,28),0)</f>
        <v/>
      </c>
      <c r="AF383">
        <f>IFERROR(INDEX(PP_Grid[#Data],$DE383,29),0)</f>
        <v/>
      </c>
      <c r="AG383">
        <f>IFERROR(INDEX(PP_Grid[#Data],$DE383,30),0)</f>
        <v/>
      </c>
      <c r="AH383">
        <f>IFERROR(INDEX(PP_Grid[#Data],$DE383,31),0)</f>
        <v/>
      </c>
      <c r="AI383">
        <f>IFERROR(INDEX(PP_Grid[#Data],$DE383,32),0)</f>
        <v/>
      </c>
      <c r="AJ383">
        <f>IFERROR(INDEX(PP_Grid[#Data],$DE383,33),0)</f>
        <v/>
      </c>
      <c r="AK383">
        <f>IFERROR(INDEX(PP_Grid[#Data],$DE383,34),0)</f>
        <v/>
      </c>
      <c r="AL383">
        <f>IFERROR(INDEX(PP_Grid[#Data],$DE383,35),0)</f>
        <v/>
      </c>
      <c r="AM383">
        <f>IFERROR(INDEX(PP_Grid[#Data],$DE383,36),0)</f>
        <v/>
      </c>
      <c r="AN383">
        <f>IFERROR(INDEX(PP_Grid[#Data],$DE383,37),0)</f>
        <v/>
      </c>
      <c r="AO383">
        <f>IFERROR(INDEX(PP_Grid[#Data],$DE383,38),0)</f>
        <v/>
      </c>
      <c r="AP383">
        <f>IFERROR(INDEX(PP_Grid[#Data],$DE383,39),0)</f>
        <v/>
      </c>
      <c r="AQ383">
        <f>IFERROR(INDEX(PP_Grid[#Data],$DE383,40),0)</f>
        <v/>
      </c>
      <c r="AR383">
        <f>IFERROR(INDEX(PP_Grid[#Data],$DE383,41),0)</f>
        <v/>
      </c>
      <c r="AS383">
        <f>IFERROR(INDEX(PP_Grid[#Data],$DE383,42),0)</f>
        <v/>
      </c>
      <c r="AT383">
        <f>IFERROR(INDEX(PP_Grid[#Data],$DE383,43),0)</f>
        <v/>
      </c>
      <c r="AU383">
        <f>IFERROR(INDEX(PP_Grid[#Data],$DE383,44),0)</f>
        <v/>
      </c>
      <c r="AV383">
        <f>IFERROR(INDEX(PP_Grid[#Data],$DE383,45),0)</f>
        <v/>
      </c>
      <c r="AW383">
        <f>IFERROR(INDEX(PP_Grid[#Data],$DE383,46),0)</f>
        <v/>
      </c>
      <c r="AX383">
        <f>IFERROR(INDEX(PP_Grid[#Data],$DE383,47),0)</f>
        <v/>
      </c>
      <c r="AY383">
        <f>IFERROR(INDEX(PP_Grid[#Data],$DE383,48),0)</f>
        <v/>
      </c>
      <c r="AZ383">
        <f>IFERROR(INDEX(PP_Grid[#Data],$DE383,49),0)</f>
        <v/>
      </c>
      <c r="BA383">
        <f>IFERROR(INDEX(PP_Grid[#Data],$DE383,50),0)</f>
        <v/>
      </c>
      <c r="BB383">
        <f>IFERROR(INDEX(PP_Grid[#Data],$DE383,51),0)</f>
        <v/>
      </c>
      <c r="BC383">
        <f>IFERROR(INDEX(PP_Grid[#Data],$DE383,52),0)</f>
        <v/>
      </c>
      <c r="BD383">
        <f>IFERROR(INDEX(PP_Grid[#Data],$DE383,53),0)</f>
        <v/>
      </c>
      <c r="BE383">
        <f>IFERROR(INDEX(PP_Grid[#Data],$DE383,54),0)</f>
        <v/>
      </c>
      <c r="BF383">
        <f>IFERROR(INDEX(PP_Grid[#Data],$DE383,55),0)</f>
        <v/>
      </c>
      <c r="BG383">
        <f>IFERROR(INDEX(PP_Grid[#Data],$DE383,56),0)</f>
        <v/>
      </c>
      <c r="BH383">
        <f>IFERROR(INDEX(PP_Grid[#Data],$DE383,57),0)</f>
        <v/>
      </c>
      <c r="BI383">
        <f>IFERROR(INDEX(PP_Grid[#Data],$DE383,58),0)</f>
        <v/>
      </c>
      <c r="BJ383">
        <f>IFERROR(INDEX(PP_Grid[#Data],$DE383,59),0)</f>
        <v/>
      </c>
      <c r="BK383">
        <f>IFERROR(INDEX(PP_Grid[#Data],$DE383,60),0)</f>
        <v/>
      </c>
      <c r="BL383">
        <f>IFERROR(INDEX(PP_Grid[#Data],$DE383,61),0)</f>
        <v/>
      </c>
      <c r="BM383">
        <f>IFERROR(INDEX(PP_Grid[#Data],$DE383,62),0)</f>
        <v/>
      </c>
      <c r="BN383">
        <f>IFERROR(INDEX(PP_Grid[#Data],$DE383,63),0)</f>
        <v/>
      </c>
      <c r="BO383">
        <f>IFERROR(INDEX(PP_Grid[#Data],$DE383,64),0)</f>
        <v/>
      </c>
      <c r="BP383">
        <f>IFERROR(INDEX(PP_Grid[#Data],$DE383,65),0)</f>
        <v/>
      </c>
      <c r="BQ383">
        <f>IFERROR(INDEX(PP_Grid[#Data],$DE383,66),0)</f>
        <v/>
      </c>
      <c r="BR383">
        <f>IFERROR(INDEX(PP_Grid[#Data],$DE383,67),0)</f>
        <v/>
      </c>
      <c r="BS383">
        <f>IFERROR(INDEX(PP_Grid[#Data],$DE383,68),0)</f>
        <v/>
      </c>
      <c r="BT383">
        <f>IFERROR(INDEX(PP_Grid[#Data],$DE383,69),0)</f>
        <v/>
      </c>
      <c r="BU383">
        <f>IFERROR(INDEX(PP_Grid[#Data],$DE383,70),0)</f>
        <v/>
      </c>
      <c r="BV383">
        <f>IFERROR(INDEX(PP_Grid[#Data],$DE383,71),0)</f>
        <v/>
      </c>
      <c r="BW383">
        <f>IFERROR(INDEX(PP_Grid[#Data],$DE383,72),0)</f>
        <v/>
      </c>
      <c r="BX383">
        <f>IFERROR(INDEX(PP_Grid[#Data],$DE383,73),0)</f>
        <v/>
      </c>
      <c r="BY383">
        <f>IFERROR(INDEX(PP_Grid[#Data],$DE383,74),0)</f>
        <v/>
      </c>
      <c r="BZ383">
        <f>IFERROR(INDEX(PP_Grid[#Data],$DE383,75),0)</f>
        <v/>
      </c>
      <c r="CA383">
        <f>IFERROR(INDEX(PP_Grid[#Data],$DE383,76),0)</f>
        <v/>
      </c>
      <c r="CB383">
        <f>IFERROR(INDEX(PP_Grid[#Data],$DE383,77),0)</f>
        <v/>
      </c>
      <c r="CC383">
        <f>IFERROR(INDEX(PP_Grid[#Data],$DE383,78),0)</f>
        <v/>
      </c>
      <c r="CD383">
        <f>IFERROR(INDEX(PP_Grid[#Data],$DE383,79),0)</f>
        <v/>
      </c>
      <c r="CE383">
        <f>IFERROR(INDEX(PP_Grid[#Data],$DE383,80),0)</f>
        <v/>
      </c>
      <c r="CF383">
        <f>IFERROR(INDEX(PP_Grid[#Data],$DE383,81),0)</f>
        <v/>
      </c>
      <c r="CG383">
        <f>IFERROR(INDEX(PP_Grid[#Data],$DE383,82),0)</f>
        <v/>
      </c>
      <c r="CH383">
        <f>IFERROR(INDEX(PP_Grid[#Data],$DE383,83),0)</f>
        <v/>
      </c>
      <c r="CI383">
        <f>IFERROR(INDEX(PP_Grid[#Data],$DE383,84),0)</f>
        <v/>
      </c>
      <c r="CJ383">
        <f>IFERROR(INDEX(PP_Grid[#Data],$DE383,85),0)</f>
        <v/>
      </c>
      <c r="CK383">
        <f>IFERROR(INDEX(PP_Grid[#Data],$DE383,86),0)</f>
        <v/>
      </c>
      <c r="CL383">
        <f>IFERROR(INDEX(PP_Grid[#Data],$DE383,87),0)</f>
        <v/>
      </c>
      <c r="CM383">
        <f>IFERROR(INDEX(PP_Grid[#Data],$DE383,88),0)</f>
        <v/>
      </c>
      <c r="CN383">
        <f>IFERROR(INDEX(PP_Grid[#Data],$DE383,89),0)</f>
        <v/>
      </c>
      <c r="CO383">
        <f>IFERROR(INDEX(PP_Grid[#Data],$DE383,90),0)</f>
        <v/>
      </c>
      <c r="CP383">
        <f>IFERROR(INDEX(PP_Grid[#Data],$DE383,91),0)</f>
        <v/>
      </c>
      <c r="CQ383">
        <f>IFERROR(INDEX(PP_Grid[#Data],$DE383,92),0)</f>
        <v/>
      </c>
      <c r="CR383">
        <f>IFERROR(INDEX(PP_Grid[#Data],$DE383,93),0)</f>
        <v/>
      </c>
      <c r="CS383">
        <f>IFERROR(INDEX(PP_Grid[#Data],$DE383,94),0)</f>
        <v/>
      </c>
      <c r="CT383">
        <f>IFERROR(INDEX(PP_Grid[#Data],$DE383,95),0)</f>
        <v/>
      </c>
      <c r="CU383">
        <f>IFERROR(INDEX(PP_Grid[#Data],$DE383,96),0)</f>
        <v/>
      </c>
      <c r="CV383">
        <f>IFERROR(INDEX(PP_Grid[#Data],$DE383,97),0)</f>
        <v/>
      </c>
      <c r="CW383">
        <f>IFERROR(INDEX(PP_Grid[#Data],$DE383,98),0)</f>
        <v/>
      </c>
      <c r="CX383">
        <f>IFERROR(INDEX(PP_Grid[#Data],$DE383,99),0)</f>
        <v/>
      </c>
      <c r="CY383">
        <f>IFERROR(INDEX(PP_Grid[#Data],$DE383,100),0)</f>
        <v/>
      </c>
      <c r="CZ383">
        <f>IFERROR(INDEX(PP_Grid[#Data],$DE383,101),0)</f>
        <v/>
      </c>
      <c r="DA383">
        <f>IFERROR(INDEX(PP_Grid[#Data],$DE383,102),0)</f>
        <v/>
      </c>
      <c r="DB383">
        <f>IFERROR(INDEX(PP_Grid[#Data],$DE383,103),0)</f>
        <v/>
      </c>
      <c r="DC383">
        <f>IFERROR(INDEX(PP_Grid[#Data],$DE383,104),0)</f>
        <v/>
      </c>
      <c r="DD383">
        <f>IFERROR(INDEX(PP_Grid[#Data],$DE383,105),0)</f>
        <v/>
      </c>
      <c r="DE383" s="7">
        <f>IFERROR(MATCH($B383,PP_Grid[Intermediate],0),99999)</f>
        <v/>
      </c>
    </row>
    <row r="384">
      <c r="B384" t="inlineStr">
        <is>
          <t>使用量(kg)</t>
        </is>
      </c>
      <c r="C384">
        <f>SUMIFS(M_BOM[RM_Qty_Per_Batch],M_BOM[Intermediate],$B383,M_BOM[RM_Code],$A340)</f>
        <v/>
      </c>
      <c r="D384">
        <f>IFERROR(INDEX(E384:DD384,$F$1),"")</f>
        <v/>
      </c>
      <c r="E384">
        <f>$C384*E383</f>
        <v/>
      </c>
      <c r="F384">
        <f>$C384*F383</f>
        <v/>
      </c>
      <c r="G384">
        <f>$C384*G383</f>
        <v/>
      </c>
      <c r="H384">
        <f>$C384*H383</f>
        <v/>
      </c>
      <c r="I384">
        <f>$C384*I383</f>
        <v/>
      </c>
      <c r="J384">
        <f>$C384*J383</f>
        <v/>
      </c>
      <c r="K384">
        <f>$C384*K383</f>
        <v/>
      </c>
      <c r="L384">
        <f>$C384*L383</f>
        <v/>
      </c>
      <c r="M384">
        <f>$C384*M383</f>
        <v/>
      </c>
      <c r="N384">
        <f>$C384*N383</f>
        <v/>
      </c>
      <c r="O384">
        <f>$C384*O383</f>
        <v/>
      </c>
      <c r="P384">
        <f>$C384*P383</f>
        <v/>
      </c>
      <c r="Q384">
        <f>$C384*Q383</f>
        <v/>
      </c>
      <c r="R384">
        <f>$C384*R383</f>
        <v/>
      </c>
      <c r="S384">
        <f>$C384*S383</f>
        <v/>
      </c>
      <c r="T384">
        <f>$C384*T383</f>
        <v/>
      </c>
      <c r="U384">
        <f>$C384*U383</f>
        <v/>
      </c>
      <c r="V384">
        <f>$C384*V383</f>
        <v/>
      </c>
      <c r="W384">
        <f>$C384*W383</f>
        <v/>
      </c>
      <c r="X384">
        <f>$C384*X383</f>
        <v/>
      </c>
      <c r="Y384">
        <f>$C384*Y383</f>
        <v/>
      </c>
      <c r="Z384">
        <f>$C384*Z383</f>
        <v/>
      </c>
      <c r="AA384">
        <f>$C384*AA383</f>
        <v/>
      </c>
      <c r="AB384">
        <f>$C384*AB383</f>
        <v/>
      </c>
      <c r="AC384">
        <f>$C384*AC383</f>
        <v/>
      </c>
      <c r="AD384">
        <f>$C384*AD383</f>
        <v/>
      </c>
      <c r="AE384">
        <f>$C384*AE383</f>
        <v/>
      </c>
      <c r="AF384">
        <f>$C384*AF383</f>
        <v/>
      </c>
      <c r="AG384">
        <f>$C384*AG383</f>
        <v/>
      </c>
      <c r="AH384">
        <f>$C384*AH383</f>
        <v/>
      </c>
      <c r="AI384">
        <f>$C384*AI383</f>
        <v/>
      </c>
      <c r="AJ384">
        <f>$C384*AJ383</f>
        <v/>
      </c>
      <c r="AK384">
        <f>$C384*AK383</f>
        <v/>
      </c>
      <c r="AL384">
        <f>$C384*AL383</f>
        <v/>
      </c>
      <c r="AM384">
        <f>$C384*AM383</f>
        <v/>
      </c>
      <c r="AN384">
        <f>$C384*AN383</f>
        <v/>
      </c>
      <c r="AO384">
        <f>$C384*AO383</f>
        <v/>
      </c>
      <c r="AP384">
        <f>$C384*AP383</f>
        <v/>
      </c>
      <c r="AQ384">
        <f>$C384*AQ383</f>
        <v/>
      </c>
      <c r="AR384">
        <f>$C384*AR383</f>
        <v/>
      </c>
      <c r="AS384">
        <f>$C384*AS383</f>
        <v/>
      </c>
      <c r="AT384">
        <f>$C384*AT383</f>
        <v/>
      </c>
      <c r="AU384">
        <f>$C384*AU383</f>
        <v/>
      </c>
      <c r="AV384">
        <f>$C384*AV383</f>
        <v/>
      </c>
      <c r="AW384">
        <f>$C384*AW383</f>
        <v/>
      </c>
      <c r="AX384">
        <f>$C384*AX383</f>
        <v/>
      </c>
      <c r="AY384">
        <f>$C384*AY383</f>
        <v/>
      </c>
      <c r="AZ384">
        <f>$C384*AZ383</f>
        <v/>
      </c>
      <c r="BA384">
        <f>$C384*BA383</f>
        <v/>
      </c>
      <c r="BB384">
        <f>$C384*BB383</f>
        <v/>
      </c>
      <c r="BC384">
        <f>$C384*BC383</f>
        <v/>
      </c>
      <c r="BD384">
        <f>$C384*BD383</f>
        <v/>
      </c>
      <c r="BE384">
        <f>$C384*BE383</f>
        <v/>
      </c>
      <c r="BF384">
        <f>$C384*BF383</f>
        <v/>
      </c>
      <c r="BG384">
        <f>$C384*BG383</f>
        <v/>
      </c>
      <c r="BH384">
        <f>$C384*BH383</f>
        <v/>
      </c>
      <c r="BI384">
        <f>$C384*BI383</f>
        <v/>
      </c>
      <c r="BJ384">
        <f>$C384*BJ383</f>
        <v/>
      </c>
      <c r="BK384">
        <f>$C384*BK383</f>
        <v/>
      </c>
      <c r="BL384">
        <f>$C384*BL383</f>
        <v/>
      </c>
      <c r="BM384">
        <f>$C384*BM383</f>
        <v/>
      </c>
      <c r="BN384">
        <f>$C384*BN383</f>
        <v/>
      </c>
      <c r="BO384">
        <f>$C384*BO383</f>
        <v/>
      </c>
      <c r="BP384">
        <f>$C384*BP383</f>
        <v/>
      </c>
      <c r="BQ384">
        <f>$C384*BQ383</f>
        <v/>
      </c>
      <c r="BR384">
        <f>$C384*BR383</f>
        <v/>
      </c>
      <c r="BS384">
        <f>$C384*BS383</f>
        <v/>
      </c>
      <c r="BT384">
        <f>$C384*BT383</f>
        <v/>
      </c>
      <c r="BU384">
        <f>$C384*BU383</f>
        <v/>
      </c>
      <c r="BV384">
        <f>$C384*BV383</f>
        <v/>
      </c>
      <c r="BW384">
        <f>$C384*BW383</f>
        <v/>
      </c>
      <c r="BX384">
        <f>$C384*BX383</f>
        <v/>
      </c>
      <c r="BY384">
        <f>$C384*BY383</f>
        <v/>
      </c>
      <c r="BZ384">
        <f>$C384*BZ383</f>
        <v/>
      </c>
      <c r="CA384">
        <f>$C384*CA383</f>
        <v/>
      </c>
      <c r="CB384">
        <f>$C384*CB383</f>
        <v/>
      </c>
      <c r="CC384">
        <f>$C384*CC383</f>
        <v/>
      </c>
      <c r="CD384">
        <f>$C384*CD383</f>
        <v/>
      </c>
      <c r="CE384">
        <f>$C384*CE383</f>
        <v/>
      </c>
      <c r="CF384">
        <f>$C384*CF383</f>
        <v/>
      </c>
      <c r="CG384">
        <f>$C384*CG383</f>
        <v/>
      </c>
      <c r="CH384">
        <f>$C384*CH383</f>
        <v/>
      </c>
      <c r="CI384">
        <f>$C384*CI383</f>
        <v/>
      </c>
      <c r="CJ384">
        <f>$C384*CJ383</f>
        <v/>
      </c>
      <c r="CK384">
        <f>$C384*CK383</f>
        <v/>
      </c>
      <c r="CL384">
        <f>$C384*CL383</f>
        <v/>
      </c>
      <c r="CM384">
        <f>$C384*CM383</f>
        <v/>
      </c>
      <c r="CN384">
        <f>$C384*CN383</f>
        <v/>
      </c>
      <c r="CO384">
        <f>$C384*CO383</f>
        <v/>
      </c>
      <c r="CP384">
        <f>$C384*CP383</f>
        <v/>
      </c>
      <c r="CQ384">
        <f>$C384*CQ383</f>
        <v/>
      </c>
      <c r="CR384">
        <f>$C384*CR383</f>
        <v/>
      </c>
      <c r="CS384">
        <f>$C384*CS383</f>
        <v/>
      </c>
      <c r="CT384">
        <f>$C384*CT383</f>
        <v/>
      </c>
      <c r="CU384">
        <f>$C384*CU383</f>
        <v/>
      </c>
      <c r="CV384">
        <f>$C384*CV383</f>
        <v/>
      </c>
      <c r="CW384">
        <f>$C384*CW383</f>
        <v/>
      </c>
      <c r="CX384">
        <f>$C384*CX383</f>
        <v/>
      </c>
      <c r="CY384">
        <f>$C384*CY383</f>
        <v/>
      </c>
      <c r="CZ384">
        <f>$C384*CZ383</f>
        <v/>
      </c>
      <c r="DA384">
        <f>$C384*DA383</f>
        <v/>
      </c>
      <c r="DB384">
        <f>$C384*DB383</f>
        <v/>
      </c>
      <c r="DC384">
        <f>$C384*DC383</f>
        <v/>
      </c>
      <c r="DD384">
        <f>$C384*DD383</f>
        <v/>
      </c>
    </row>
    <row r="385">
      <c r="B385" t="inlineStr">
        <is>
          <t>TSP-402</t>
        </is>
      </c>
      <c r="C385" t="inlineStr">
        <is>
          <t>No. of batches</t>
        </is>
      </c>
      <c r="D385">
        <f>IFERROR(INDEX(E385:DD385,$F$1),"")</f>
        <v/>
      </c>
      <c r="E385">
        <f>IFERROR(INDEX(PP_Grid[#Data],$DE385,2),0)</f>
        <v/>
      </c>
      <c r="F385">
        <f>IFERROR(INDEX(PP_Grid[#Data],$DE385,3),0)</f>
        <v/>
      </c>
      <c r="G385">
        <f>IFERROR(INDEX(PP_Grid[#Data],$DE385,4),0)</f>
        <v/>
      </c>
      <c r="H385">
        <f>IFERROR(INDEX(PP_Grid[#Data],$DE385,5),0)</f>
        <v/>
      </c>
      <c r="I385">
        <f>IFERROR(INDEX(PP_Grid[#Data],$DE385,6),0)</f>
        <v/>
      </c>
      <c r="J385">
        <f>IFERROR(INDEX(PP_Grid[#Data],$DE385,7),0)</f>
        <v/>
      </c>
      <c r="K385">
        <f>IFERROR(INDEX(PP_Grid[#Data],$DE385,8),0)</f>
        <v/>
      </c>
      <c r="L385">
        <f>IFERROR(INDEX(PP_Grid[#Data],$DE385,9),0)</f>
        <v/>
      </c>
      <c r="M385">
        <f>IFERROR(INDEX(PP_Grid[#Data],$DE385,10),0)</f>
        <v/>
      </c>
      <c r="N385">
        <f>IFERROR(INDEX(PP_Grid[#Data],$DE385,11),0)</f>
        <v/>
      </c>
      <c r="O385">
        <f>IFERROR(INDEX(PP_Grid[#Data],$DE385,12),0)</f>
        <v/>
      </c>
      <c r="P385">
        <f>IFERROR(INDEX(PP_Grid[#Data],$DE385,13),0)</f>
        <v/>
      </c>
      <c r="Q385">
        <f>IFERROR(INDEX(PP_Grid[#Data],$DE385,14),0)</f>
        <v/>
      </c>
      <c r="R385">
        <f>IFERROR(INDEX(PP_Grid[#Data],$DE385,15),0)</f>
        <v/>
      </c>
      <c r="S385">
        <f>IFERROR(INDEX(PP_Grid[#Data],$DE385,16),0)</f>
        <v/>
      </c>
      <c r="T385">
        <f>IFERROR(INDEX(PP_Grid[#Data],$DE385,17),0)</f>
        <v/>
      </c>
      <c r="U385">
        <f>IFERROR(INDEX(PP_Grid[#Data],$DE385,18),0)</f>
        <v/>
      </c>
      <c r="V385">
        <f>IFERROR(INDEX(PP_Grid[#Data],$DE385,19),0)</f>
        <v/>
      </c>
      <c r="W385">
        <f>IFERROR(INDEX(PP_Grid[#Data],$DE385,20),0)</f>
        <v/>
      </c>
      <c r="X385">
        <f>IFERROR(INDEX(PP_Grid[#Data],$DE385,21),0)</f>
        <v/>
      </c>
      <c r="Y385">
        <f>IFERROR(INDEX(PP_Grid[#Data],$DE385,22),0)</f>
        <v/>
      </c>
      <c r="Z385">
        <f>IFERROR(INDEX(PP_Grid[#Data],$DE385,23),0)</f>
        <v/>
      </c>
      <c r="AA385">
        <f>IFERROR(INDEX(PP_Grid[#Data],$DE385,24),0)</f>
        <v/>
      </c>
      <c r="AB385">
        <f>IFERROR(INDEX(PP_Grid[#Data],$DE385,25),0)</f>
        <v/>
      </c>
      <c r="AC385">
        <f>IFERROR(INDEX(PP_Grid[#Data],$DE385,26),0)</f>
        <v/>
      </c>
      <c r="AD385">
        <f>IFERROR(INDEX(PP_Grid[#Data],$DE385,27),0)</f>
        <v/>
      </c>
      <c r="AE385">
        <f>IFERROR(INDEX(PP_Grid[#Data],$DE385,28),0)</f>
        <v/>
      </c>
      <c r="AF385">
        <f>IFERROR(INDEX(PP_Grid[#Data],$DE385,29),0)</f>
        <v/>
      </c>
      <c r="AG385">
        <f>IFERROR(INDEX(PP_Grid[#Data],$DE385,30),0)</f>
        <v/>
      </c>
      <c r="AH385">
        <f>IFERROR(INDEX(PP_Grid[#Data],$DE385,31),0)</f>
        <v/>
      </c>
      <c r="AI385">
        <f>IFERROR(INDEX(PP_Grid[#Data],$DE385,32),0)</f>
        <v/>
      </c>
      <c r="AJ385">
        <f>IFERROR(INDEX(PP_Grid[#Data],$DE385,33),0)</f>
        <v/>
      </c>
      <c r="AK385">
        <f>IFERROR(INDEX(PP_Grid[#Data],$DE385,34),0)</f>
        <v/>
      </c>
      <c r="AL385">
        <f>IFERROR(INDEX(PP_Grid[#Data],$DE385,35),0)</f>
        <v/>
      </c>
      <c r="AM385">
        <f>IFERROR(INDEX(PP_Grid[#Data],$DE385,36),0)</f>
        <v/>
      </c>
      <c r="AN385">
        <f>IFERROR(INDEX(PP_Grid[#Data],$DE385,37),0)</f>
        <v/>
      </c>
      <c r="AO385">
        <f>IFERROR(INDEX(PP_Grid[#Data],$DE385,38),0)</f>
        <v/>
      </c>
      <c r="AP385">
        <f>IFERROR(INDEX(PP_Grid[#Data],$DE385,39),0)</f>
        <v/>
      </c>
      <c r="AQ385">
        <f>IFERROR(INDEX(PP_Grid[#Data],$DE385,40),0)</f>
        <v/>
      </c>
      <c r="AR385">
        <f>IFERROR(INDEX(PP_Grid[#Data],$DE385,41),0)</f>
        <v/>
      </c>
      <c r="AS385">
        <f>IFERROR(INDEX(PP_Grid[#Data],$DE385,42),0)</f>
        <v/>
      </c>
      <c r="AT385">
        <f>IFERROR(INDEX(PP_Grid[#Data],$DE385,43),0)</f>
        <v/>
      </c>
      <c r="AU385">
        <f>IFERROR(INDEX(PP_Grid[#Data],$DE385,44),0)</f>
        <v/>
      </c>
      <c r="AV385">
        <f>IFERROR(INDEX(PP_Grid[#Data],$DE385,45),0)</f>
        <v/>
      </c>
      <c r="AW385">
        <f>IFERROR(INDEX(PP_Grid[#Data],$DE385,46),0)</f>
        <v/>
      </c>
      <c r="AX385">
        <f>IFERROR(INDEX(PP_Grid[#Data],$DE385,47),0)</f>
        <v/>
      </c>
      <c r="AY385">
        <f>IFERROR(INDEX(PP_Grid[#Data],$DE385,48),0)</f>
        <v/>
      </c>
      <c r="AZ385">
        <f>IFERROR(INDEX(PP_Grid[#Data],$DE385,49),0)</f>
        <v/>
      </c>
      <c r="BA385">
        <f>IFERROR(INDEX(PP_Grid[#Data],$DE385,50),0)</f>
        <v/>
      </c>
      <c r="BB385">
        <f>IFERROR(INDEX(PP_Grid[#Data],$DE385,51),0)</f>
        <v/>
      </c>
      <c r="BC385">
        <f>IFERROR(INDEX(PP_Grid[#Data],$DE385,52),0)</f>
        <v/>
      </c>
      <c r="BD385">
        <f>IFERROR(INDEX(PP_Grid[#Data],$DE385,53),0)</f>
        <v/>
      </c>
      <c r="BE385">
        <f>IFERROR(INDEX(PP_Grid[#Data],$DE385,54),0)</f>
        <v/>
      </c>
      <c r="BF385">
        <f>IFERROR(INDEX(PP_Grid[#Data],$DE385,55),0)</f>
        <v/>
      </c>
      <c r="BG385">
        <f>IFERROR(INDEX(PP_Grid[#Data],$DE385,56),0)</f>
        <v/>
      </c>
      <c r="BH385">
        <f>IFERROR(INDEX(PP_Grid[#Data],$DE385,57),0)</f>
        <v/>
      </c>
      <c r="BI385">
        <f>IFERROR(INDEX(PP_Grid[#Data],$DE385,58),0)</f>
        <v/>
      </c>
      <c r="BJ385">
        <f>IFERROR(INDEX(PP_Grid[#Data],$DE385,59),0)</f>
        <v/>
      </c>
      <c r="BK385">
        <f>IFERROR(INDEX(PP_Grid[#Data],$DE385,60),0)</f>
        <v/>
      </c>
      <c r="BL385">
        <f>IFERROR(INDEX(PP_Grid[#Data],$DE385,61),0)</f>
        <v/>
      </c>
      <c r="BM385">
        <f>IFERROR(INDEX(PP_Grid[#Data],$DE385,62),0)</f>
        <v/>
      </c>
      <c r="BN385">
        <f>IFERROR(INDEX(PP_Grid[#Data],$DE385,63),0)</f>
        <v/>
      </c>
      <c r="BO385">
        <f>IFERROR(INDEX(PP_Grid[#Data],$DE385,64),0)</f>
        <v/>
      </c>
      <c r="BP385">
        <f>IFERROR(INDEX(PP_Grid[#Data],$DE385,65),0)</f>
        <v/>
      </c>
      <c r="BQ385">
        <f>IFERROR(INDEX(PP_Grid[#Data],$DE385,66),0)</f>
        <v/>
      </c>
      <c r="BR385">
        <f>IFERROR(INDEX(PP_Grid[#Data],$DE385,67),0)</f>
        <v/>
      </c>
      <c r="BS385">
        <f>IFERROR(INDEX(PP_Grid[#Data],$DE385,68),0)</f>
        <v/>
      </c>
      <c r="BT385">
        <f>IFERROR(INDEX(PP_Grid[#Data],$DE385,69),0)</f>
        <v/>
      </c>
      <c r="BU385">
        <f>IFERROR(INDEX(PP_Grid[#Data],$DE385,70),0)</f>
        <v/>
      </c>
      <c r="BV385">
        <f>IFERROR(INDEX(PP_Grid[#Data],$DE385,71),0)</f>
        <v/>
      </c>
      <c r="BW385">
        <f>IFERROR(INDEX(PP_Grid[#Data],$DE385,72),0)</f>
        <v/>
      </c>
      <c r="BX385">
        <f>IFERROR(INDEX(PP_Grid[#Data],$DE385,73),0)</f>
        <v/>
      </c>
      <c r="BY385">
        <f>IFERROR(INDEX(PP_Grid[#Data],$DE385,74),0)</f>
        <v/>
      </c>
      <c r="BZ385">
        <f>IFERROR(INDEX(PP_Grid[#Data],$DE385,75),0)</f>
        <v/>
      </c>
      <c r="CA385">
        <f>IFERROR(INDEX(PP_Grid[#Data],$DE385,76),0)</f>
        <v/>
      </c>
      <c r="CB385">
        <f>IFERROR(INDEX(PP_Grid[#Data],$DE385,77),0)</f>
        <v/>
      </c>
      <c r="CC385">
        <f>IFERROR(INDEX(PP_Grid[#Data],$DE385,78),0)</f>
        <v/>
      </c>
      <c r="CD385">
        <f>IFERROR(INDEX(PP_Grid[#Data],$DE385,79),0)</f>
        <v/>
      </c>
      <c r="CE385">
        <f>IFERROR(INDEX(PP_Grid[#Data],$DE385,80),0)</f>
        <v/>
      </c>
      <c r="CF385">
        <f>IFERROR(INDEX(PP_Grid[#Data],$DE385,81),0)</f>
        <v/>
      </c>
      <c r="CG385">
        <f>IFERROR(INDEX(PP_Grid[#Data],$DE385,82),0)</f>
        <v/>
      </c>
      <c r="CH385">
        <f>IFERROR(INDEX(PP_Grid[#Data],$DE385,83),0)</f>
        <v/>
      </c>
      <c r="CI385">
        <f>IFERROR(INDEX(PP_Grid[#Data],$DE385,84),0)</f>
        <v/>
      </c>
      <c r="CJ385">
        <f>IFERROR(INDEX(PP_Grid[#Data],$DE385,85),0)</f>
        <v/>
      </c>
      <c r="CK385">
        <f>IFERROR(INDEX(PP_Grid[#Data],$DE385,86),0)</f>
        <v/>
      </c>
      <c r="CL385">
        <f>IFERROR(INDEX(PP_Grid[#Data],$DE385,87),0)</f>
        <v/>
      </c>
      <c r="CM385">
        <f>IFERROR(INDEX(PP_Grid[#Data],$DE385,88),0)</f>
        <v/>
      </c>
      <c r="CN385">
        <f>IFERROR(INDEX(PP_Grid[#Data],$DE385,89),0)</f>
        <v/>
      </c>
      <c r="CO385">
        <f>IFERROR(INDEX(PP_Grid[#Data],$DE385,90),0)</f>
        <v/>
      </c>
      <c r="CP385">
        <f>IFERROR(INDEX(PP_Grid[#Data],$DE385,91),0)</f>
        <v/>
      </c>
      <c r="CQ385">
        <f>IFERROR(INDEX(PP_Grid[#Data],$DE385,92),0)</f>
        <v/>
      </c>
      <c r="CR385">
        <f>IFERROR(INDEX(PP_Grid[#Data],$DE385,93),0)</f>
        <v/>
      </c>
      <c r="CS385">
        <f>IFERROR(INDEX(PP_Grid[#Data],$DE385,94),0)</f>
        <v/>
      </c>
      <c r="CT385">
        <f>IFERROR(INDEX(PP_Grid[#Data],$DE385,95),0)</f>
        <v/>
      </c>
      <c r="CU385">
        <f>IFERROR(INDEX(PP_Grid[#Data],$DE385,96),0)</f>
        <v/>
      </c>
      <c r="CV385">
        <f>IFERROR(INDEX(PP_Grid[#Data],$DE385,97),0)</f>
        <v/>
      </c>
      <c r="CW385">
        <f>IFERROR(INDEX(PP_Grid[#Data],$DE385,98),0)</f>
        <v/>
      </c>
      <c r="CX385">
        <f>IFERROR(INDEX(PP_Grid[#Data],$DE385,99),0)</f>
        <v/>
      </c>
      <c r="CY385">
        <f>IFERROR(INDEX(PP_Grid[#Data],$DE385,100),0)</f>
        <v/>
      </c>
      <c r="CZ385">
        <f>IFERROR(INDEX(PP_Grid[#Data],$DE385,101),0)</f>
        <v/>
      </c>
      <c r="DA385">
        <f>IFERROR(INDEX(PP_Grid[#Data],$DE385,102),0)</f>
        <v/>
      </c>
      <c r="DB385">
        <f>IFERROR(INDEX(PP_Grid[#Data],$DE385,103),0)</f>
        <v/>
      </c>
      <c r="DC385">
        <f>IFERROR(INDEX(PP_Grid[#Data],$DE385,104),0)</f>
        <v/>
      </c>
      <c r="DD385">
        <f>IFERROR(INDEX(PP_Grid[#Data],$DE385,105),0)</f>
        <v/>
      </c>
      <c r="DE385" s="7">
        <f>IFERROR(MATCH($B385,PP_Grid[Intermediate],0),99999)</f>
        <v/>
      </c>
    </row>
    <row r="386">
      <c r="B386" t="inlineStr">
        <is>
          <t>使用量(kg)</t>
        </is>
      </c>
      <c r="C386">
        <f>SUMIFS(M_BOM[RM_Qty_Per_Batch],M_BOM[Intermediate],$B385,M_BOM[RM_Code],$A340)</f>
        <v/>
      </c>
      <c r="D386">
        <f>IFERROR(INDEX(E386:DD386,$F$1),"")</f>
        <v/>
      </c>
      <c r="E386">
        <f>$C386*E385</f>
        <v/>
      </c>
      <c r="F386">
        <f>$C386*F385</f>
        <v/>
      </c>
      <c r="G386">
        <f>$C386*G385</f>
        <v/>
      </c>
      <c r="H386">
        <f>$C386*H385</f>
        <v/>
      </c>
      <c r="I386">
        <f>$C386*I385</f>
        <v/>
      </c>
      <c r="J386">
        <f>$C386*J385</f>
        <v/>
      </c>
      <c r="K386">
        <f>$C386*K385</f>
        <v/>
      </c>
      <c r="L386">
        <f>$C386*L385</f>
        <v/>
      </c>
      <c r="M386">
        <f>$C386*M385</f>
        <v/>
      </c>
      <c r="N386">
        <f>$C386*N385</f>
        <v/>
      </c>
      <c r="O386">
        <f>$C386*O385</f>
        <v/>
      </c>
      <c r="P386">
        <f>$C386*P385</f>
        <v/>
      </c>
      <c r="Q386">
        <f>$C386*Q385</f>
        <v/>
      </c>
      <c r="R386">
        <f>$C386*R385</f>
        <v/>
      </c>
      <c r="S386">
        <f>$C386*S385</f>
        <v/>
      </c>
      <c r="T386">
        <f>$C386*T385</f>
        <v/>
      </c>
      <c r="U386">
        <f>$C386*U385</f>
        <v/>
      </c>
      <c r="V386">
        <f>$C386*V385</f>
        <v/>
      </c>
      <c r="W386">
        <f>$C386*W385</f>
        <v/>
      </c>
      <c r="X386">
        <f>$C386*X385</f>
        <v/>
      </c>
      <c r="Y386">
        <f>$C386*Y385</f>
        <v/>
      </c>
      <c r="Z386">
        <f>$C386*Z385</f>
        <v/>
      </c>
      <c r="AA386">
        <f>$C386*AA385</f>
        <v/>
      </c>
      <c r="AB386">
        <f>$C386*AB385</f>
        <v/>
      </c>
      <c r="AC386">
        <f>$C386*AC385</f>
        <v/>
      </c>
      <c r="AD386">
        <f>$C386*AD385</f>
        <v/>
      </c>
      <c r="AE386">
        <f>$C386*AE385</f>
        <v/>
      </c>
      <c r="AF386">
        <f>$C386*AF385</f>
        <v/>
      </c>
      <c r="AG386">
        <f>$C386*AG385</f>
        <v/>
      </c>
      <c r="AH386">
        <f>$C386*AH385</f>
        <v/>
      </c>
      <c r="AI386">
        <f>$C386*AI385</f>
        <v/>
      </c>
      <c r="AJ386">
        <f>$C386*AJ385</f>
        <v/>
      </c>
      <c r="AK386">
        <f>$C386*AK385</f>
        <v/>
      </c>
      <c r="AL386">
        <f>$C386*AL385</f>
        <v/>
      </c>
      <c r="AM386">
        <f>$C386*AM385</f>
        <v/>
      </c>
      <c r="AN386">
        <f>$C386*AN385</f>
        <v/>
      </c>
      <c r="AO386">
        <f>$C386*AO385</f>
        <v/>
      </c>
      <c r="AP386">
        <f>$C386*AP385</f>
        <v/>
      </c>
      <c r="AQ386">
        <f>$C386*AQ385</f>
        <v/>
      </c>
      <c r="AR386">
        <f>$C386*AR385</f>
        <v/>
      </c>
      <c r="AS386">
        <f>$C386*AS385</f>
        <v/>
      </c>
      <c r="AT386">
        <f>$C386*AT385</f>
        <v/>
      </c>
      <c r="AU386">
        <f>$C386*AU385</f>
        <v/>
      </c>
      <c r="AV386">
        <f>$C386*AV385</f>
        <v/>
      </c>
      <c r="AW386">
        <f>$C386*AW385</f>
        <v/>
      </c>
      <c r="AX386">
        <f>$C386*AX385</f>
        <v/>
      </c>
      <c r="AY386">
        <f>$C386*AY385</f>
        <v/>
      </c>
      <c r="AZ386">
        <f>$C386*AZ385</f>
        <v/>
      </c>
      <c r="BA386">
        <f>$C386*BA385</f>
        <v/>
      </c>
      <c r="BB386">
        <f>$C386*BB385</f>
        <v/>
      </c>
      <c r="BC386">
        <f>$C386*BC385</f>
        <v/>
      </c>
      <c r="BD386">
        <f>$C386*BD385</f>
        <v/>
      </c>
      <c r="BE386">
        <f>$C386*BE385</f>
        <v/>
      </c>
      <c r="BF386">
        <f>$C386*BF385</f>
        <v/>
      </c>
      <c r="BG386">
        <f>$C386*BG385</f>
        <v/>
      </c>
      <c r="BH386">
        <f>$C386*BH385</f>
        <v/>
      </c>
      <c r="BI386">
        <f>$C386*BI385</f>
        <v/>
      </c>
      <c r="BJ386">
        <f>$C386*BJ385</f>
        <v/>
      </c>
      <c r="BK386">
        <f>$C386*BK385</f>
        <v/>
      </c>
      <c r="BL386">
        <f>$C386*BL385</f>
        <v/>
      </c>
      <c r="BM386">
        <f>$C386*BM385</f>
        <v/>
      </c>
      <c r="BN386">
        <f>$C386*BN385</f>
        <v/>
      </c>
      <c r="BO386">
        <f>$C386*BO385</f>
        <v/>
      </c>
      <c r="BP386">
        <f>$C386*BP385</f>
        <v/>
      </c>
      <c r="BQ386">
        <f>$C386*BQ385</f>
        <v/>
      </c>
      <c r="BR386">
        <f>$C386*BR385</f>
        <v/>
      </c>
      <c r="BS386">
        <f>$C386*BS385</f>
        <v/>
      </c>
      <c r="BT386">
        <f>$C386*BT385</f>
        <v/>
      </c>
      <c r="BU386">
        <f>$C386*BU385</f>
        <v/>
      </c>
      <c r="BV386">
        <f>$C386*BV385</f>
        <v/>
      </c>
      <c r="BW386">
        <f>$C386*BW385</f>
        <v/>
      </c>
      <c r="BX386">
        <f>$C386*BX385</f>
        <v/>
      </c>
      <c r="BY386">
        <f>$C386*BY385</f>
        <v/>
      </c>
      <c r="BZ386">
        <f>$C386*BZ385</f>
        <v/>
      </c>
      <c r="CA386">
        <f>$C386*CA385</f>
        <v/>
      </c>
      <c r="CB386">
        <f>$C386*CB385</f>
        <v/>
      </c>
      <c r="CC386">
        <f>$C386*CC385</f>
        <v/>
      </c>
      <c r="CD386">
        <f>$C386*CD385</f>
        <v/>
      </c>
      <c r="CE386">
        <f>$C386*CE385</f>
        <v/>
      </c>
      <c r="CF386">
        <f>$C386*CF385</f>
        <v/>
      </c>
      <c r="CG386">
        <f>$C386*CG385</f>
        <v/>
      </c>
      <c r="CH386">
        <f>$C386*CH385</f>
        <v/>
      </c>
      <c r="CI386">
        <f>$C386*CI385</f>
        <v/>
      </c>
      <c r="CJ386">
        <f>$C386*CJ385</f>
        <v/>
      </c>
      <c r="CK386">
        <f>$C386*CK385</f>
        <v/>
      </c>
      <c r="CL386">
        <f>$C386*CL385</f>
        <v/>
      </c>
      <c r="CM386">
        <f>$C386*CM385</f>
        <v/>
      </c>
      <c r="CN386">
        <f>$C386*CN385</f>
        <v/>
      </c>
      <c r="CO386">
        <f>$C386*CO385</f>
        <v/>
      </c>
      <c r="CP386">
        <f>$C386*CP385</f>
        <v/>
      </c>
      <c r="CQ386">
        <f>$C386*CQ385</f>
        <v/>
      </c>
      <c r="CR386">
        <f>$C386*CR385</f>
        <v/>
      </c>
      <c r="CS386">
        <f>$C386*CS385</f>
        <v/>
      </c>
      <c r="CT386">
        <f>$C386*CT385</f>
        <v/>
      </c>
      <c r="CU386">
        <f>$C386*CU385</f>
        <v/>
      </c>
      <c r="CV386">
        <f>$C386*CV385</f>
        <v/>
      </c>
      <c r="CW386">
        <f>$C386*CW385</f>
        <v/>
      </c>
      <c r="CX386">
        <f>$C386*CX385</f>
        <v/>
      </c>
      <c r="CY386">
        <f>$C386*CY385</f>
        <v/>
      </c>
      <c r="CZ386">
        <f>$C386*CZ385</f>
        <v/>
      </c>
      <c r="DA386">
        <f>$C386*DA385</f>
        <v/>
      </c>
      <c r="DB386">
        <f>$C386*DB385</f>
        <v/>
      </c>
      <c r="DC386">
        <f>$C386*DC385</f>
        <v/>
      </c>
      <c r="DD386">
        <f>$C386*DD385</f>
        <v/>
      </c>
    </row>
    <row r="387">
      <c r="B387" t="inlineStr">
        <is>
          <t>TSP-403</t>
        </is>
      </c>
      <c r="C387" t="inlineStr">
        <is>
          <t>No. of batches</t>
        </is>
      </c>
      <c r="D387">
        <f>IFERROR(INDEX(E387:DD387,$F$1),"")</f>
        <v/>
      </c>
      <c r="E387">
        <f>IFERROR(INDEX(PP_Grid[#Data],$DE387,2),0)</f>
        <v/>
      </c>
      <c r="F387">
        <f>IFERROR(INDEX(PP_Grid[#Data],$DE387,3),0)</f>
        <v/>
      </c>
      <c r="G387">
        <f>IFERROR(INDEX(PP_Grid[#Data],$DE387,4),0)</f>
        <v/>
      </c>
      <c r="H387">
        <f>IFERROR(INDEX(PP_Grid[#Data],$DE387,5),0)</f>
        <v/>
      </c>
      <c r="I387">
        <f>IFERROR(INDEX(PP_Grid[#Data],$DE387,6),0)</f>
        <v/>
      </c>
      <c r="J387">
        <f>IFERROR(INDEX(PP_Grid[#Data],$DE387,7),0)</f>
        <v/>
      </c>
      <c r="K387">
        <f>IFERROR(INDEX(PP_Grid[#Data],$DE387,8),0)</f>
        <v/>
      </c>
      <c r="L387">
        <f>IFERROR(INDEX(PP_Grid[#Data],$DE387,9),0)</f>
        <v/>
      </c>
      <c r="M387">
        <f>IFERROR(INDEX(PP_Grid[#Data],$DE387,10),0)</f>
        <v/>
      </c>
      <c r="N387">
        <f>IFERROR(INDEX(PP_Grid[#Data],$DE387,11),0)</f>
        <v/>
      </c>
      <c r="O387">
        <f>IFERROR(INDEX(PP_Grid[#Data],$DE387,12),0)</f>
        <v/>
      </c>
      <c r="P387">
        <f>IFERROR(INDEX(PP_Grid[#Data],$DE387,13),0)</f>
        <v/>
      </c>
      <c r="Q387">
        <f>IFERROR(INDEX(PP_Grid[#Data],$DE387,14),0)</f>
        <v/>
      </c>
      <c r="R387">
        <f>IFERROR(INDEX(PP_Grid[#Data],$DE387,15),0)</f>
        <v/>
      </c>
      <c r="S387">
        <f>IFERROR(INDEX(PP_Grid[#Data],$DE387,16),0)</f>
        <v/>
      </c>
      <c r="T387">
        <f>IFERROR(INDEX(PP_Grid[#Data],$DE387,17),0)</f>
        <v/>
      </c>
      <c r="U387">
        <f>IFERROR(INDEX(PP_Grid[#Data],$DE387,18),0)</f>
        <v/>
      </c>
      <c r="V387">
        <f>IFERROR(INDEX(PP_Grid[#Data],$DE387,19),0)</f>
        <v/>
      </c>
      <c r="W387">
        <f>IFERROR(INDEX(PP_Grid[#Data],$DE387,20),0)</f>
        <v/>
      </c>
      <c r="X387">
        <f>IFERROR(INDEX(PP_Grid[#Data],$DE387,21),0)</f>
        <v/>
      </c>
      <c r="Y387">
        <f>IFERROR(INDEX(PP_Grid[#Data],$DE387,22),0)</f>
        <v/>
      </c>
      <c r="Z387">
        <f>IFERROR(INDEX(PP_Grid[#Data],$DE387,23),0)</f>
        <v/>
      </c>
      <c r="AA387">
        <f>IFERROR(INDEX(PP_Grid[#Data],$DE387,24),0)</f>
        <v/>
      </c>
      <c r="AB387">
        <f>IFERROR(INDEX(PP_Grid[#Data],$DE387,25),0)</f>
        <v/>
      </c>
      <c r="AC387">
        <f>IFERROR(INDEX(PP_Grid[#Data],$DE387,26),0)</f>
        <v/>
      </c>
      <c r="AD387">
        <f>IFERROR(INDEX(PP_Grid[#Data],$DE387,27),0)</f>
        <v/>
      </c>
      <c r="AE387">
        <f>IFERROR(INDEX(PP_Grid[#Data],$DE387,28),0)</f>
        <v/>
      </c>
      <c r="AF387">
        <f>IFERROR(INDEX(PP_Grid[#Data],$DE387,29),0)</f>
        <v/>
      </c>
      <c r="AG387">
        <f>IFERROR(INDEX(PP_Grid[#Data],$DE387,30),0)</f>
        <v/>
      </c>
      <c r="AH387">
        <f>IFERROR(INDEX(PP_Grid[#Data],$DE387,31),0)</f>
        <v/>
      </c>
      <c r="AI387">
        <f>IFERROR(INDEX(PP_Grid[#Data],$DE387,32),0)</f>
        <v/>
      </c>
      <c r="AJ387">
        <f>IFERROR(INDEX(PP_Grid[#Data],$DE387,33),0)</f>
        <v/>
      </c>
      <c r="AK387">
        <f>IFERROR(INDEX(PP_Grid[#Data],$DE387,34),0)</f>
        <v/>
      </c>
      <c r="AL387">
        <f>IFERROR(INDEX(PP_Grid[#Data],$DE387,35),0)</f>
        <v/>
      </c>
      <c r="AM387">
        <f>IFERROR(INDEX(PP_Grid[#Data],$DE387,36),0)</f>
        <v/>
      </c>
      <c r="AN387">
        <f>IFERROR(INDEX(PP_Grid[#Data],$DE387,37),0)</f>
        <v/>
      </c>
      <c r="AO387">
        <f>IFERROR(INDEX(PP_Grid[#Data],$DE387,38),0)</f>
        <v/>
      </c>
      <c r="AP387">
        <f>IFERROR(INDEX(PP_Grid[#Data],$DE387,39),0)</f>
        <v/>
      </c>
      <c r="AQ387">
        <f>IFERROR(INDEX(PP_Grid[#Data],$DE387,40),0)</f>
        <v/>
      </c>
      <c r="AR387">
        <f>IFERROR(INDEX(PP_Grid[#Data],$DE387,41),0)</f>
        <v/>
      </c>
      <c r="AS387">
        <f>IFERROR(INDEX(PP_Grid[#Data],$DE387,42),0)</f>
        <v/>
      </c>
      <c r="AT387">
        <f>IFERROR(INDEX(PP_Grid[#Data],$DE387,43),0)</f>
        <v/>
      </c>
      <c r="AU387">
        <f>IFERROR(INDEX(PP_Grid[#Data],$DE387,44),0)</f>
        <v/>
      </c>
      <c r="AV387">
        <f>IFERROR(INDEX(PP_Grid[#Data],$DE387,45),0)</f>
        <v/>
      </c>
      <c r="AW387">
        <f>IFERROR(INDEX(PP_Grid[#Data],$DE387,46),0)</f>
        <v/>
      </c>
      <c r="AX387">
        <f>IFERROR(INDEX(PP_Grid[#Data],$DE387,47),0)</f>
        <v/>
      </c>
      <c r="AY387">
        <f>IFERROR(INDEX(PP_Grid[#Data],$DE387,48),0)</f>
        <v/>
      </c>
      <c r="AZ387">
        <f>IFERROR(INDEX(PP_Grid[#Data],$DE387,49),0)</f>
        <v/>
      </c>
      <c r="BA387">
        <f>IFERROR(INDEX(PP_Grid[#Data],$DE387,50),0)</f>
        <v/>
      </c>
      <c r="BB387">
        <f>IFERROR(INDEX(PP_Grid[#Data],$DE387,51),0)</f>
        <v/>
      </c>
      <c r="BC387">
        <f>IFERROR(INDEX(PP_Grid[#Data],$DE387,52),0)</f>
        <v/>
      </c>
      <c r="BD387">
        <f>IFERROR(INDEX(PP_Grid[#Data],$DE387,53),0)</f>
        <v/>
      </c>
      <c r="BE387">
        <f>IFERROR(INDEX(PP_Grid[#Data],$DE387,54),0)</f>
        <v/>
      </c>
      <c r="BF387">
        <f>IFERROR(INDEX(PP_Grid[#Data],$DE387,55),0)</f>
        <v/>
      </c>
      <c r="BG387">
        <f>IFERROR(INDEX(PP_Grid[#Data],$DE387,56),0)</f>
        <v/>
      </c>
      <c r="BH387">
        <f>IFERROR(INDEX(PP_Grid[#Data],$DE387,57),0)</f>
        <v/>
      </c>
      <c r="BI387">
        <f>IFERROR(INDEX(PP_Grid[#Data],$DE387,58),0)</f>
        <v/>
      </c>
      <c r="BJ387">
        <f>IFERROR(INDEX(PP_Grid[#Data],$DE387,59),0)</f>
        <v/>
      </c>
      <c r="BK387">
        <f>IFERROR(INDEX(PP_Grid[#Data],$DE387,60),0)</f>
        <v/>
      </c>
      <c r="BL387">
        <f>IFERROR(INDEX(PP_Grid[#Data],$DE387,61),0)</f>
        <v/>
      </c>
      <c r="BM387">
        <f>IFERROR(INDEX(PP_Grid[#Data],$DE387,62),0)</f>
        <v/>
      </c>
      <c r="BN387">
        <f>IFERROR(INDEX(PP_Grid[#Data],$DE387,63),0)</f>
        <v/>
      </c>
      <c r="BO387">
        <f>IFERROR(INDEX(PP_Grid[#Data],$DE387,64),0)</f>
        <v/>
      </c>
      <c r="BP387">
        <f>IFERROR(INDEX(PP_Grid[#Data],$DE387,65),0)</f>
        <v/>
      </c>
      <c r="BQ387">
        <f>IFERROR(INDEX(PP_Grid[#Data],$DE387,66),0)</f>
        <v/>
      </c>
      <c r="BR387">
        <f>IFERROR(INDEX(PP_Grid[#Data],$DE387,67),0)</f>
        <v/>
      </c>
      <c r="BS387">
        <f>IFERROR(INDEX(PP_Grid[#Data],$DE387,68),0)</f>
        <v/>
      </c>
      <c r="BT387">
        <f>IFERROR(INDEX(PP_Grid[#Data],$DE387,69),0)</f>
        <v/>
      </c>
      <c r="BU387">
        <f>IFERROR(INDEX(PP_Grid[#Data],$DE387,70),0)</f>
        <v/>
      </c>
      <c r="BV387">
        <f>IFERROR(INDEX(PP_Grid[#Data],$DE387,71),0)</f>
        <v/>
      </c>
      <c r="BW387">
        <f>IFERROR(INDEX(PP_Grid[#Data],$DE387,72),0)</f>
        <v/>
      </c>
      <c r="BX387">
        <f>IFERROR(INDEX(PP_Grid[#Data],$DE387,73),0)</f>
        <v/>
      </c>
      <c r="BY387">
        <f>IFERROR(INDEX(PP_Grid[#Data],$DE387,74),0)</f>
        <v/>
      </c>
      <c r="BZ387">
        <f>IFERROR(INDEX(PP_Grid[#Data],$DE387,75),0)</f>
        <v/>
      </c>
      <c r="CA387">
        <f>IFERROR(INDEX(PP_Grid[#Data],$DE387,76),0)</f>
        <v/>
      </c>
      <c r="CB387">
        <f>IFERROR(INDEX(PP_Grid[#Data],$DE387,77),0)</f>
        <v/>
      </c>
      <c r="CC387">
        <f>IFERROR(INDEX(PP_Grid[#Data],$DE387,78),0)</f>
        <v/>
      </c>
      <c r="CD387">
        <f>IFERROR(INDEX(PP_Grid[#Data],$DE387,79),0)</f>
        <v/>
      </c>
      <c r="CE387">
        <f>IFERROR(INDEX(PP_Grid[#Data],$DE387,80),0)</f>
        <v/>
      </c>
      <c r="CF387">
        <f>IFERROR(INDEX(PP_Grid[#Data],$DE387,81),0)</f>
        <v/>
      </c>
      <c r="CG387">
        <f>IFERROR(INDEX(PP_Grid[#Data],$DE387,82),0)</f>
        <v/>
      </c>
      <c r="CH387">
        <f>IFERROR(INDEX(PP_Grid[#Data],$DE387,83),0)</f>
        <v/>
      </c>
      <c r="CI387">
        <f>IFERROR(INDEX(PP_Grid[#Data],$DE387,84),0)</f>
        <v/>
      </c>
      <c r="CJ387">
        <f>IFERROR(INDEX(PP_Grid[#Data],$DE387,85),0)</f>
        <v/>
      </c>
      <c r="CK387">
        <f>IFERROR(INDEX(PP_Grid[#Data],$DE387,86),0)</f>
        <v/>
      </c>
      <c r="CL387">
        <f>IFERROR(INDEX(PP_Grid[#Data],$DE387,87),0)</f>
        <v/>
      </c>
      <c r="CM387">
        <f>IFERROR(INDEX(PP_Grid[#Data],$DE387,88),0)</f>
        <v/>
      </c>
      <c r="CN387">
        <f>IFERROR(INDEX(PP_Grid[#Data],$DE387,89),0)</f>
        <v/>
      </c>
      <c r="CO387">
        <f>IFERROR(INDEX(PP_Grid[#Data],$DE387,90),0)</f>
        <v/>
      </c>
      <c r="CP387">
        <f>IFERROR(INDEX(PP_Grid[#Data],$DE387,91),0)</f>
        <v/>
      </c>
      <c r="CQ387">
        <f>IFERROR(INDEX(PP_Grid[#Data],$DE387,92),0)</f>
        <v/>
      </c>
      <c r="CR387">
        <f>IFERROR(INDEX(PP_Grid[#Data],$DE387,93),0)</f>
        <v/>
      </c>
      <c r="CS387">
        <f>IFERROR(INDEX(PP_Grid[#Data],$DE387,94),0)</f>
        <v/>
      </c>
      <c r="CT387">
        <f>IFERROR(INDEX(PP_Grid[#Data],$DE387,95),0)</f>
        <v/>
      </c>
      <c r="CU387">
        <f>IFERROR(INDEX(PP_Grid[#Data],$DE387,96),0)</f>
        <v/>
      </c>
      <c r="CV387">
        <f>IFERROR(INDEX(PP_Grid[#Data],$DE387,97),0)</f>
        <v/>
      </c>
      <c r="CW387">
        <f>IFERROR(INDEX(PP_Grid[#Data],$DE387,98),0)</f>
        <v/>
      </c>
      <c r="CX387">
        <f>IFERROR(INDEX(PP_Grid[#Data],$DE387,99),0)</f>
        <v/>
      </c>
      <c r="CY387">
        <f>IFERROR(INDEX(PP_Grid[#Data],$DE387,100),0)</f>
        <v/>
      </c>
      <c r="CZ387">
        <f>IFERROR(INDEX(PP_Grid[#Data],$DE387,101),0)</f>
        <v/>
      </c>
      <c r="DA387">
        <f>IFERROR(INDEX(PP_Grid[#Data],$DE387,102),0)</f>
        <v/>
      </c>
      <c r="DB387">
        <f>IFERROR(INDEX(PP_Grid[#Data],$DE387,103),0)</f>
        <v/>
      </c>
      <c r="DC387">
        <f>IFERROR(INDEX(PP_Grid[#Data],$DE387,104),0)</f>
        <v/>
      </c>
      <c r="DD387">
        <f>IFERROR(INDEX(PP_Grid[#Data],$DE387,105),0)</f>
        <v/>
      </c>
      <c r="DE387" s="7">
        <f>IFERROR(MATCH($B387,PP_Grid[Intermediate],0),99999)</f>
        <v/>
      </c>
    </row>
    <row r="388">
      <c r="B388" t="inlineStr">
        <is>
          <t>使用量(kg)</t>
        </is>
      </c>
      <c r="C388">
        <f>SUMIFS(M_BOM[RM_Qty_Per_Batch],M_BOM[Intermediate],$B387,M_BOM[RM_Code],$A340)</f>
        <v/>
      </c>
      <c r="D388">
        <f>IFERROR(INDEX(E388:DD388,$F$1),"")</f>
        <v/>
      </c>
      <c r="E388">
        <f>$C388*E387</f>
        <v/>
      </c>
      <c r="F388">
        <f>$C388*F387</f>
        <v/>
      </c>
      <c r="G388">
        <f>$C388*G387</f>
        <v/>
      </c>
      <c r="H388">
        <f>$C388*H387</f>
        <v/>
      </c>
      <c r="I388">
        <f>$C388*I387</f>
        <v/>
      </c>
      <c r="J388">
        <f>$C388*J387</f>
        <v/>
      </c>
      <c r="K388">
        <f>$C388*K387</f>
        <v/>
      </c>
      <c r="L388">
        <f>$C388*L387</f>
        <v/>
      </c>
      <c r="M388">
        <f>$C388*M387</f>
        <v/>
      </c>
      <c r="N388">
        <f>$C388*N387</f>
        <v/>
      </c>
      <c r="O388">
        <f>$C388*O387</f>
        <v/>
      </c>
      <c r="P388">
        <f>$C388*P387</f>
        <v/>
      </c>
      <c r="Q388">
        <f>$C388*Q387</f>
        <v/>
      </c>
      <c r="R388">
        <f>$C388*R387</f>
        <v/>
      </c>
      <c r="S388">
        <f>$C388*S387</f>
        <v/>
      </c>
      <c r="T388">
        <f>$C388*T387</f>
        <v/>
      </c>
      <c r="U388">
        <f>$C388*U387</f>
        <v/>
      </c>
      <c r="V388">
        <f>$C388*V387</f>
        <v/>
      </c>
      <c r="W388">
        <f>$C388*W387</f>
        <v/>
      </c>
      <c r="X388">
        <f>$C388*X387</f>
        <v/>
      </c>
      <c r="Y388">
        <f>$C388*Y387</f>
        <v/>
      </c>
      <c r="Z388">
        <f>$C388*Z387</f>
        <v/>
      </c>
      <c r="AA388">
        <f>$C388*AA387</f>
        <v/>
      </c>
      <c r="AB388">
        <f>$C388*AB387</f>
        <v/>
      </c>
      <c r="AC388">
        <f>$C388*AC387</f>
        <v/>
      </c>
      <c r="AD388">
        <f>$C388*AD387</f>
        <v/>
      </c>
      <c r="AE388">
        <f>$C388*AE387</f>
        <v/>
      </c>
      <c r="AF388">
        <f>$C388*AF387</f>
        <v/>
      </c>
      <c r="AG388">
        <f>$C388*AG387</f>
        <v/>
      </c>
      <c r="AH388">
        <f>$C388*AH387</f>
        <v/>
      </c>
      <c r="AI388">
        <f>$C388*AI387</f>
        <v/>
      </c>
      <c r="AJ388">
        <f>$C388*AJ387</f>
        <v/>
      </c>
      <c r="AK388">
        <f>$C388*AK387</f>
        <v/>
      </c>
      <c r="AL388">
        <f>$C388*AL387</f>
        <v/>
      </c>
      <c r="AM388">
        <f>$C388*AM387</f>
        <v/>
      </c>
      <c r="AN388">
        <f>$C388*AN387</f>
        <v/>
      </c>
      <c r="AO388">
        <f>$C388*AO387</f>
        <v/>
      </c>
      <c r="AP388">
        <f>$C388*AP387</f>
        <v/>
      </c>
      <c r="AQ388">
        <f>$C388*AQ387</f>
        <v/>
      </c>
      <c r="AR388">
        <f>$C388*AR387</f>
        <v/>
      </c>
      <c r="AS388">
        <f>$C388*AS387</f>
        <v/>
      </c>
      <c r="AT388">
        <f>$C388*AT387</f>
        <v/>
      </c>
      <c r="AU388">
        <f>$C388*AU387</f>
        <v/>
      </c>
      <c r="AV388">
        <f>$C388*AV387</f>
        <v/>
      </c>
      <c r="AW388">
        <f>$C388*AW387</f>
        <v/>
      </c>
      <c r="AX388">
        <f>$C388*AX387</f>
        <v/>
      </c>
      <c r="AY388">
        <f>$C388*AY387</f>
        <v/>
      </c>
      <c r="AZ388">
        <f>$C388*AZ387</f>
        <v/>
      </c>
      <c r="BA388">
        <f>$C388*BA387</f>
        <v/>
      </c>
      <c r="BB388">
        <f>$C388*BB387</f>
        <v/>
      </c>
      <c r="BC388">
        <f>$C388*BC387</f>
        <v/>
      </c>
      <c r="BD388">
        <f>$C388*BD387</f>
        <v/>
      </c>
      <c r="BE388">
        <f>$C388*BE387</f>
        <v/>
      </c>
      <c r="BF388">
        <f>$C388*BF387</f>
        <v/>
      </c>
      <c r="BG388">
        <f>$C388*BG387</f>
        <v/>
      </c>
      <c r="BH388">
        <f>$C388*BH387</f>
        <v/>
      </c>
      <c r="BI388">
        <f>$C388*BI387</f>
        <v/>
      </c>
      <c r="BJ388">
        <f>$C388*BJ387</f>
        <v/>
      </c>
      <c r="BK388">
        <f>$C388*BK387</f>
        <v/>
      </c>
      <c r="BL388">
        <f>$C388*BL387</f>
        <v/>
      </c>
      <c r="BM388">
        <f>$C388*BM387</f>
        <v/>
      </c>
      <c r="BN388">
        <f>$C388*BN387</f>
        <v/>
      </c>
      <c r="BO388">
        <f>$C388*BO387</f>
        <v/>
      </c>
      <c r="BP388">
        <f>$C388*BP387</f>
        <v/>
      </c>
      <c r="BQ388">
        <f>$C388*BQ387</f>
        <v/>
      </c>
      <c r="BR388">
        <f>$C388*BR387</f>
        <v/>
      </c>
      <c r="BS388">
        <f>$C388*BS387</f>
        <v/>
      </c>
      <c r="BT388">
        <f>$C388*BT387</f>
        <v/>
      </c>
      <c r="BU388">
        <f>$C388*BU387</f>
        <v/>
      </c>
      <c r="BV388">
        <f>$C388*BV387</f>
        <v/>
      </c>
      <c r="BW388">
        <f>$C388*BW387</f>
        <v/>
      </c>
      <c r="BX388">
        <f>$C388*BX387</f>
        <v/>
      </c>
      <c r="BY388">
        <f>$C388*BY387</f>
        <v/>
      </c>
      <c r="BZ388">
        <f>$C388*BZ387</f>
        <v/>
      </c>
      <c r="CA388">
        <f>$C388*CA387</f>
        <v/>
      </c>
      <c r="CB388">
        <f>$C388*CB387</f>
        <v/>
      </c>
      <c r="CC388">
        <f>$C388*CC387</f>
        <v/>
      </c>
      <c r="CD388">
        <f>$C388*CD387</f>
        <v/>
      </c>
      <c r="CE388">
        <f>$C388*CE387</f>
        <v/>
      </c>
      <c r="CF388">
        <f>$C388*CF387</f>
        <v/>
      </c>
      <c r="CG388">
        <f>$C388*CG387</f>
        <v/>
      </c>
      <c r="CH388">
        <f>$C388*CH387</f>
        <v/>
      </c>
      <c r="CI388">
        <f>$C388*CI387</f>
        <v/>
      </c>
      <c r="CJ388">
        <f>$C388*CJ387</f>
        <v/>
      </c>
      <c r="CK388">
        <f>$C388*CK387</f>
        <v/>
      </c>
      <c r="CL388">
        <f>$C388*CL387</f>
        <v/>
      </c>
      <c r="CM388">
        <f>$C388*CM387</f>
        <v/>
      </c>
      <c r="CN388">
        <f>$C388*CN387</f>
        <v/>
      </c>
      <c r="CO388">
        <f>$C388*CO387</f>
        <v/>
      </c>
      <c r="CP388">
        <f>$C388*CP387</f>
        <v/>
      </c>
      <c r="CQ388">
        <f>$C388*CQ387</f>
        <v/>
      </c>
      <c r="CR388">
        <f>$C388*CR387</f>
        <v/>
      </c>
      <c r="CS388">
        <f>$C388*CS387</f>
        <v/>
      </c>
      <c r="CT388">
        <f>$C388*CT387</f>
        <v/>
      </c>
      <c r="CU388">
        <f>$C388*CU387</f>
        <v/>
      </c>
      <c r="CV388">
        <f>$C388*CV387</f>
        <v/>
      </c>
      <c r="CW388">
        <f>$C388*CW387</f>
        <v/>
      </c>
      <c r="CX388">
        <f>$C388*CX387</f>
        <v/>
      </c>
      <c r="CY388">
        <f>$C388*CY387</f>
        <v/>
      </c>
      <c r="CZ388">
        <f>$C388*CZ387</f>
        <v/>
      </c>
      <c r="DA388">
        <f>$C388*DA387</f>
        <v/>
      </c>
      <c r="DB388">
        <f>$C388*DB387</f>
        <v/>
      </c>
      <c r="DC388">
        <f>$C388*DC387</f>
        <v/>
      </c>
      <c r="DD388">
        <f>$C388*DD387</f>
        <v/>
      </c>
    </row>
    <row r="389">
      <c r="B389" t="inlineStr">
        <is>
          <t>TSP-404</t>
        </is>
      </c>
      <c r="C389" t="inlineStr">
        <is>
          <t>No. of batches</t>
        </is>
      </c>
      <c r="D389">
        <f>IFERROR(INDEX(E389:DD389,$F$1),"")</f>
        <v/>
      </c>
      <c r="E389">
        <f>IFERROR(INDEX(PP_Grid[#Data],$DE389,2),0)</f>
        <v/>
      </c>
      <c r="F389">
        <f>IFERROR(INDEX(PP_Grid[#Data],$DE389,3),0)</f>
        <v/>
      </c>
      <c r="G389">
        <f>IFERROR(INDEX(PP_Grid[#Data],$DE389,4),0)</f>
        <v/>
      </c>
      <c r="H389">
        <f>IFERROR(INDEX(PP_Grid[#Data],$DE389,5),0)</f>
        <v/>
      </c>
      <c r="I389">
        <f>IFERROR(INDEX(PP_Grid[#Data],$DE389,6),0)</f>
        <v/>
      </c>
      <c r="J389">
        <f>IFERROR(INDEX(PP_Grid[#Data],$DE389,7),0)</f>
        <v/>
      </c>
      <c r="K389">
        <f>IFERROR(INDEX(PP_Grid[#Data],$DE389,8),0)</f>
        <v/>
      </c>
      <c r="L389">
        <f>IFERROR(INDEX(PP_Grid[#Data],$DE389,9),0)</f>
        <v/>
      </c>
      <c r="M389">
        <f>IFERROR(INDEX(PP_Grid[#Data],$DE389,10),0)</f>
        <v/>
      </c>
      <c r="N389">
        <f>IFERROR(INDEX(PP_Grid[#Data],$DE389,11),0)</f>
        <v/>
      </c>
      <c r="O389">
        <f>IFERROR(INDEX(PP_Grid[#Data],$DE389,12),0)</f>
        <v/>
      </c>
      <c r="P389">
        <f>IFERROR(INDEX(PP_Grid[#Data],$DE389,13),0)</f>
        <v/>
      </c>
      <c r="Q389">
        <f>IFERROR(INDEX(PP_Grid[#Data],$DE389,14),0)</f>
        <v/>
      </c>
      <c r="R389">
        <f>IFERROR(INDEX(PP_Grid[#Data],$DE389,15),0)</f>
        <v/>
      </c>
      <c r="S389">
        <f>IFERROR(INDEX(PP_Grid[#Data],$DE389,16),0)</f>
        <v/>
      </c>
      <c r="T389">
        <f>IFERROR(INDEX(PP_Grid[#Data],$DE389,17),0)</f>
        <v/>
      </c>
      <c r="U389">
        <f>IFERROR(INDEX(PP_Grid[#Data],$DE389,18),0)</f>
        <v/>
      </c>
      <c r="V389">
        <f>IFERROR(INDEX(PP_Grid[#Data],$DE389,19),0)</f>
        <v/>
      </c>
      <c r="W389">
        <f>IFERROR(INDEX(PP_Grid[#Data],$DE389,20),0)</f>
        <v/>
      </c>
      <c r="X389">
        <f>IFERROR(INDEX(PP_Grid[#Data],$DE389,21),0)</f>
        <v/>
      </c>
      <c r="Y389">
        <f>IFERROR(INDEX(PP_Grid[#Data],$DE389,22),0)</f>
        <v/>
      </c>
      <c r="Z389">
        <f>IFERROR(INDEX(PP_Grid[#Data],$DE389,23),0)</f>
        <v/>
      </c>
      <c r="AA389">
        <f>IFERROR(INDEX(PP_Grid[#Data],$DE389,24),0)</f>
        <v/>
      </c>
      <c r="AB389">
        <f>IFERROR(INDEX(PP_Grid[#Data],$DE389,25),0)</f>
        <v/>
      </c>
      <c r="AC389">
        <f>IFERROR(INDEX(PP_Grid[#Data],$DE389,26),0)</f>
        <v/>
      </c>
      <c r="AD389">
        <f>IFERROR(INDEX(PP_Grid[#Data],$DE389,27),0)</f>
        <v/>
      </c>
      <c r="AE389">
        <f>IFERROR(INDEX(PP_Grid[#Data],$DE389,28),0)</f>
        <v/>
      </c>
      <c r="AF389">
        <f>IFERROR(INDEX(PP_Grid[#Data],$DE389,29),0)</f>
        <v/>
      </c>
      <c r="AG389">
        <f>IFERROR(INDEX(PP_Grid[#Data],$DE389,30),0)</f>
        <v/>
      </c>
      <c r="AH389">
        <f>IFERROR(INDEX(PP_Grid[#Data],$DE389,31),0)</f>
        <v/>
      </c>
      <c r="AI389">
        <f>IFERROR(INDEX(PP_Grid[#Data],$DE389,32),0)</f>
        <v/>
      </c>
      <c r="AJ389">
        <f>IFERROR(INDEX(PP_Grid[#Data],$DE389,33),0)</f>
        <v/>
      </c>
      <c r="AK389">
        <f>IFERROR(INDEX(PP_Grid[#Data],$DE389,34),0)</f>
        <v/>
      </c>
      <c r="AL389">
        <f>IFERROR(INDEX(PP_Grid[#Data],$DE389,35),0)</f>
        <v/>
      </c>
      <c r="AM389">
        <f>IFERROR(INDEX(PP_Grid[#Data],$DE389,36),0)</f>
        <v/>
      </c>
      <c r="AN389">
        <f>IFERROR(INDEX(PP_Grid[#Data],$DE389,37),0)</f>
        <v/>
      </c>
      <c r="AO389">
        <f>IFERROR(INDEX(PP_Grid[#Data],$DE389,38),0)</f>
        <v/>
      </c>
      <c r="AP389">
        <f>IFERROR(INDEX(PP_Grid[#Data],$DE389,39),0)</f>
        <v/>
      </c>
      <c r="AQ389">
        <f>IFERROR(INDEX(PP_Grid[#Data],$DE389,40),0)</f>
        <v/>
      </c>
      <c r="AR389">
        <f>IFERROR(INDEX(PP_Grid[#Data],$DE389,41),0)</f>
        <v/>
      </c>
      <c r="AS389">
        <f>IFERROR(INDEX(PP_Grid[#Data],$DE389,42),0)</f>
        <v/>
      </c>
      <c r="AT389">
        <f>IFERROR(INDEX(PP_Grid[#Data],$DE389,43),0)</f>
        <v/>
      </c>
      <c r="AU389">
        <f>IFERROR(INDEX(PP_Grid[#Data],$DE389,44),0)</f>
        <v/>
      </c>
      <c r="AV389">
        <f>IFERROR(INDEX(PP_Grid[#Data],$DE389,45),0)</f>
        <v/>
      </c>
      <c r="AW389">
        <f>IFERROR(INDEX(PP_Grid[#Data],$DE389,46),0)</f>
        <v/>
      </c>
      <c r="AX389">
        <f>IFERROR(INDEX(PP_Grid[#Data],$DE389,47),0)</f>
        <v/>
      </c>
      <c r="AY389">
        <f>IFERROR(INDEX(PP_Grid[#Data],$DE389,48),0)</f>
        <v/>
      </c>
      <c r="AZ389">
        <f>IFERROR(INDEX(PP_Grid[#Data],$DE389,49),0)</f>
        <v/>
      </c>
      <c r="BA389">
        <f>IFERROR(INDEX(PP_Grid[#Data],$DE389,50),0)</f>
        <v/>
      </c>
      <c r="BB389">
        <f>IFERROR(INDEX(PP_Grid[#Data],$DE389,51),0)</f>
        <v/>
      </c>
      <c r="BC389">
        <f>IFERROR(INDEX(PP_Grid[#Data],$DE389,52),0)</f>
        <v/>
      </c>
      <c r="BD389">
        <f>IFERROR(INDEX(PP_Grid[#Data],$DE389,53),0)</f>
        <v/>
      </c>
      <c r="BE389">
        <f>IFERROR(INDEX(PP_Grid[#Data],$DE389,54),0)</f>
        <v/>
      </c>
      <c r="BF389">
        <f>IFERROR(INDEX(PP_Grid[#Data],$DE389,55),0)</f>
        <v/>
      </c>
      <c r="BG389">
        <f>IFERROR(INDEX(PP_Grid[#Data],$DE389,56),0)</f>
        <v/>
      </c>
      <c r="BH389">
        <f>IFERROR(INDEX(PP_Grid[#Data],$DE389,57),0)</f>
        <v/>
      </c>
      <c r="BI389">
        <f>IFERROR(INDEX(PP_Grid[#Data],$DE389,58),0)</f>
        <v/>
      </c>
      <c r="BJ389">
        <f>IFERROR(INDEX(PP_Grid[#Data],$DE389,59),0)</f>
        <v/>
      </c>
      <c r="BK389">
        <f>IFERROR(INDEX(PP_Grid[#Data],$DE389,60),0)</f>
        <v/>
      </c>
      <c r="BL389">
        <f>IFERROR(INDEX(PP_Grid[#Data],$DE389,61),0)</f>
        <v/>
      </c>
      <c r="BM389">
        <f>IFERROR(INDEX(PP_Grid[#Data],$DE389,62),0)</f>
        <v/>
      </c>
      <c r="BN389">
        <f>IFERROR(INDEX(PP_Grid[#Data],$DE389,63),0)</f>
        <v/>
      </c>
      <c r="BO389">
        <f>IFERROR(INDEX(PP_Grid[#Data],$DE389,64),0)</f>
        <v/>
      </c>
      <c r="BP389">
        <f>IFERROR(INDEX(PP_Grid[#Data],$DE389,65),0)</f>
        <v/>
      </c>
      <c r="BQ389">
        <f>IFERROR(INDEX(PP_Grid[#Data],$DE389,66),0)</f>
        <v/>
      </c>
      <c r="BR389">
        <f>IFERROR(INDEX(PP_Grid[#Data],$DE389,67),0)</f>
        <v/>
      </c>
      <c r="BS389">
        <f>IFERROR(INDEX(PP_Grid[#Data],$DE389,68),0)</f>
        <v/>
      </c>
      <c r="BT389">
        <f>IFERROR(INDEX(PP_Grid[#Data],$DE389,69),0)</f>
        <v/>
      </c>
      <c r="BU389">
        <f>IFERROR(INDEX(PP_Grid[#Data],$DE389,70),0)</f>
        <v/>
      </c>
      <c r="BV389">
        <f>IFERROR(INDEX(PP_Grid[#Data],$DE389,71),0)</f>
        <v/>
      </c>
      <c r="BW389">
        <f>IFERROR(INDEX(PP_Grid[#Data],$DE389,72),0)</f>
        <v/>
      </c>
      <c r="BX389">
        <f>IFERROR(INDEX(PP_Grid[#Data],$DE389,73),0)</f>
        <v/>
      </c>
      <c r="BY389">
        <f>IFERROR(INDEX(PP_Grid[#Data],$DE389,74),0)</f>
        <v/>
      </c>
      <c r="BZ389">
        <f>IFERROR(INDEX(PP_Grid[#Data],$DE389,75),0)</f>
        <v/>
      </c>
      <c r="CA389">
        <f>IFERROR(INDEX(PP_Grid[#Data],$DE389,76),0)</f>
        <v/>
      </c>
      <c r="CB389">
        <f>IFERROR(INDEX(PP_Grid[#Data],$DE389,77),0)</f>
        <v/>
      </c>
      <c r="CC389">
        <f>IFERROR(INDEX(PP_Grid[#Data],$DE389,78),0)</f>
        <v/>
      </c>
      <c r="CD389">
        <f>IFERROR(INDEX(PP_Grid[#Data],$DE389,79),0)</f>
        <v/>
      </c>
      <c r="CE389">
        <f>IFERROR(INDEX(PP_Grid[#Data],$DE389,80),0)</f>
        <v/>
      </c>
      <c r="CF389">
        <f>IFERROR(INDEX(PP_Grid[#Data],$DE389,81),0)</f>
        <v/>
      </c>
      <c r="CG389">
        <f>IFERROR(INDEX(PP_Grid[#Data],$DE389,82),0)</f>
        <v/>
      </c>
      <c r="CH389">
        <f>IFERROR(INDEX(PP_Grid[#Data],$DE389,83),0)</f>
        <v/>
      </c>
      <c r="CI389">
        <f>IFERROR(INDEX(PP_Grid[#Data],$DE389,84),0)</f>
        <v/>
      </c>
      <c r="CJ389">
        <f>IFERROR(INDEX(PP_Grid[#Data],$DE389,85),0)</f>
        <v/>
      </c>
      <c r="CK389">
        <f>IFERROR(INDEX(PP_Grid[#Data],$DE389,86),0)</f>
        <v/>
      </c>
      <c r="CL389">
        <f>IFERROR(INDEX(PP_Grid[#Data],$DE389,87),0)</f>
        <v/>
      </c>
      <c r="CM389">
        <f>IFERROR(INDEX(PP_Grid[#Data],$DE389,88),0)</f>
        <v/>
      </c>
      <c r="CN389">
        <f>IFERROR(INDEX(PP_Grid[#Data],$DE389,89),0)</f>
        <v/>
      </c>
      <c r="CO389">
        <f>IFERROR(INDEX(PP_Grid[#Data],$DE389,90),0)</f>
        <v/>
      </c>
      <c r="CP389">
        <f>IFERROR(INDEX(PP_Grid[#Data],$DE389,91),0)</f>
        <v/>
      </c>
      <c r="CQ389">
        <f>IFERROR(INDEX(PP_Grid[#Data],$DE389,92),0)</f>
        <v/>
      </c>
      <c r="CR389">
        <f>IFERROR(INDEX(PP_Grid[#Data],$DE389,93),0)</f>
        <v/>
      </c>
      <c r="CS389">
        <f>IFERROR(INDEX(PP_Grid[#Data],$DE389,94),0)</f>
        <v/>
      </c>
      <c r="CT389">
        <f>IFERROR(INDEX(PP_Grid[#Data],$DE389,95),0)</f>
        <v/>
      </c>
      <c r="CU389">
        <f>IFERROR(INDEX(PP_Grid[#Data],$DE389,96),0)</f>
        <v/>
      </c>
      <c r="CV389">
        <f>IFERROR(INDEX(PP_Grid[#Data],$DE389,97),0)</f>
        <v/>
      </c>
      <c r="CW389">
        <f>IFERROR(INDEX(PP_Grid[#Data],$DE389,98),0)</f>
        <v/>
      </c>
      <c r="CX389">
        <f>IFERROR(INDEX(PP_Grid[#Data],$DE389,99),0)</f>
        <v/>
      </c>
      <c r="CY389">
        <f>IFERROR(INDEX(PP_Grid[#Data],$DE389,100),0)</f>
        <v/>
      </c>
      <c r="CZ389">
        <f>IFERROR(INDEX(PP_Grid[#Data],$DE389,101),0)</f>
        <v/>
      </c>
      <c r="DA389">
        <f>IFERROR(INDEX(PP_Grid[#Data],$DE389,102),0)</f>
        <v/>
      </c>
      <c r="DB389">
        <f>IFERROR(INDEX(PP_Grid[#Data],$DE389,103),0)</f>
        <v/>
      </c>
      <c r="DC389">
        <f>IFERROR(INDEX(PP_Grid[#Data],$DE389,104),0)</f>
        <v/>
      </c>
      <c r="DD389">
        <f>IFERROR(INDEX(PP_Grid[#Data],$DE389,105),0)</f>
        <v/>
      </c>
      <c r="DE389" s="7">
        <f>IFERROR(MATCH($B389,PP_Grid[Intermediate],0),99999)</f>
        <v/>
      </c>
    </row>
    <row r="390">
      <c r="B390" t="inlineStr">
        <is>
          <t>使用量(kg)</t>
        </is>
      </c>
      <c r="C390">
        <f>SUMIFS(M_BOM[RM_Qty_Per_Batch],M_BOM[Intermediate],$B389,M_BOM[RM_Code],$A340)</f>
        <v/>
      </c>
      <c r="D390">
        <f>IFERROR(INDEX(E390:DD390,$F$1),"")</f>
        <v/>
      </c>
      <c r="E390">
        <f>$C390*E389</f>
        <v/>
      </c>
      <c r="F390">
        <f>$C390*F389</f>
        <v/>
      </c>
      <c r="G390">
        <f>$C390*G389</f>
        <v/>
      </c>
      <c r="H390">
        <f>$C390*H389</f>
        <v/>
      </c>
      <c r="I390">
        <f>$C390*I389</f>
        <v/>
      </c>
      <c r="J390">
        <f>$C390*J389</f>
        <v/>
      </c>
      <c r="K390">
        <f>$C390*K389</f>
        <v/>
      </c>
      <c r="L390">
        <f>$C390*L389</f>
        <v/>
      </c>
      <c r="M390">
        <f>$C390*M389</f>
        <v/>
      </c>
      <c r="N390">
        <f>$C390*N389</f>
        <v/>
      </c>
      <c r="O390">
        <f>$C390*O389</f>
        <v/>
      </c>
      <c r="P390">
        <f>$C390*P389</f>
        <v/>
      </c>
      <c r="Q390">
        <f>$C390*Q389</f>
        <v/>
      </c>
      <c r="R390">
        <f>$C390*R389</f>
        <v/>
      </c>
      <c r="S390">
        <f>$C390*S389</f>
        <v/>
      </c>
      <c r="T390">
        <f>$C390*T389</f>
        <v/>
      </c>
      <c r="U390">
        <f>$C390*U389</f>
        <v/>
      </c>
      <c r="V390">
        <f>$C390*V389</f>
        <v/>
      </c>
      <c r="W390">
        <f>$C390*W389</f>
        <v/>
      </c>
      <c r="X390">
        <f>$C390*X389</f>
        <v/>
      </c>
      <c r="Y390">
        <f>$C390*Y389</f>
        <v/>
      </c>
      <c r="Z390">
        <f>$C390*Z389</f>
        <v/>
      </c>
      <c r="AA390">
        <f>$C390*AA389</f>
        <v/>
      </c>
      <c r="AB390">
        <f>$C390*AB389</f>
        <v/>
      </c>
      <c r="AC390">
        <f>$C390*AC389</f>
        <v/>
      </c>
      <c r="AD390">
        <f>$C390*AD389</f>
        <v/>
      </c>
      <c r="AE390">
        <f>$C390*AE389</f>
        <v/>
      </c>
      <c r="AF390">
        <f>$C390*AF389</f>
        <v/>
      </c>
      <c r="AG390">
        <f>$C390*AG389</f>
        <v/>
      </c>
      <c r="AH390">
        <f>$C390*AH389</f>
        <v/>
      </c>
      <c r="AI390">
        <f>$C390*AI389</f>
        <v/>
      </c>
      <c r="AJ390">
        <f>$C390*AJ389</f>
        <v/>
      </c>
      <c r="AK390">
        <f>$C390*AK389</f>
        <v/>
      </c>
      <c r="AL390">
        <f>$C390*AL389</f>
        <v/>
      </c>
      <c r="AM390">
        <f>$C390*AM389</f>
        <v/>
      </c>
      <c r="AN390">
        <f>$C390*AN389</f>
        <v/>
      </c>
      <c r="AO390">
        <f>$C390*AO389</f>
        <v/>
      </c>
      <c r="AP390">
        <f>$C390*AP389</f>
        <v/>
      </c>
      <c r="AQ390">
        <f>$C390*AQ389</f>
        <v/>
      </c>
      <c r="AR390">
        <f>$C390*AR389</f>
        <v/>
      </c>
      <c r="AS390">
        <f>$C390*AS389</f>
        <v/>
      </c>
      <c r="AT390">
        <f>$C390*AT389</f>
        <v/>
      </c>
      <c r="AU390">
        <f>$C390*AU389</f>
        <v/>
      </c>
      <c r="AV390">
        <f>$C390*AV389</f>
        <v/>
      </c>
      <c r="AW390">
        <f>$C390*AW389</f>
        <v/>
      </c>
      <c r="AX390">
        <f>$C390*AX389</f>
        <v/>
      </c>
      <c r="AY390">
        <f>$C390*AY389</f>
        <v/>
      </c>
      <c r="AZ390">
        <f>$C390*AZ389</f>
        <v/>
      </c>
      <c r="BA390">
        <f>$C390*BA389</f>
        <v/>
      </c>
      <c r="BB390">
        <f>$C390*BB389</f>
        <v/>
      </c>
      <c r="BC390">
        <f>$C390*BC389</f>
        <v/>
      </c>
      <c r="BD390">
        <f>$C390*BD389</f>
        <v/>
      </c>
      <c r="BE390">
        <f>$C390*BE389</f>
        <v/>
      </c>
      <c r="BF390">
        <f>$C390*BF389</f>
        <v/>
      </c>
      <c r="BG390">
        <f>$C390*BG389</f>
        <v/>
      </c>
      <c r="BH390">
        <f>$C390*BH389</f>
        <v/>
      </c>
      <c r="BI390">
        <f>$C390*BI389</f>
        <v/>
      </c>
      <c r="BJ390">
        <f>$C390*BJ389</f>
        <v/>
      </c>
      <c r="BK390">
        <f>$C390*BK389</f>
        <v/>
      </c>
      <c r="BL390">
        <f>$C390*BL389</f>
        <v/>
      </c>
      <c r="BM390">
        <f>$C390*BM389</f>
        <v/>
      </c>
      <c r="BN390">
        <f>$C390*BN389</f>
        <v/>
      </c>
      <c r="BO390">
        <f>$C390*BO389</f>
        <v/>
      </c>
      <c r="BP390">
        <f>$C390*BP389</f>
        <v/>
      </c>
      <c r="BQ390">
        <f>$C390*BQ389</f>
        <v/>
      </c>
      <c r="BR390">
        <f>$C390*BR389</f>
        <v/>
      </c>
      <c r="BS390">
        <f>$C390*BS389</f>
        <v/>
      </c>
      <c r="BT390">
        <f>$C390*BT389</f>
        <v/>
      </c>
      <c r="BU390">
        <f>$C390*BU389</f>
        <v/>
      </c>
      <c r="BV390">
        <f>$C390*BV389</f>
        <v/>
      </c>
      <c r="BW390">
        <f>$C390*BW389</f>
        <v/>
      </c>
      <c r="BX390">
        <f>$C390*BX389</f>
        <v/>
      </c>
      <c r="BY390">
        <f>$C390*BY389</f>
        <v/>
      </c>
      <c r="BZ390">
        <f>$C390*BZ389</f>
        <v/>
      </c>
      <c r="CA390">
        <f>$C390*CA389</f>
        <v/>
      </c>
      <c r="CB390">
        <f>$C390*CB389</f>
        <v/>
      </c>
      <c r="CC390">
        <f>$C390*CC389</f>
        <v/>
      </c>
      <c r="CD390">
        <f>$C390*CD389</f>
        <v/>
      </c>
      <c r="CE390">
        <f>$C390*CE389</f>
        <v/>
      </c>
      <c r="CF390">
        <f>$C390*CF389</f>
        <v/>
      </c>
      <c r="CG390">
        <f>$C390*CG389</f>
        <v/>
      </c>
      <c r="CH390">
        <f>$C390*CH389</f>
        <v/>
      </c>
      <c r="CI390">
        <f>$C390*CI389</f>
        <v/>
      </c>
      <c r="CJ390">
        <f>$C390*CJ389</f>
        <v/>
      </c>
      <c r="CK390">
        <f>$C390*CK389</f>
        <v/>
      </c>
      <c r="CL390">
        <f>$C390*CL389</f>
        <v/>
      </c>
      <c r="CM390">
        <f>$C390*CM389</f>
        <v/>
      </c>
      <c r="CN390">
        <f>$C390*CN389</f>
        <v/>
      </c>
      <c r="CO390">
        <f>$C390*CO389</f>
        <v/>
      </c>
      <c r="CP390">
        <f>$C390*CP389</f>
        <v/>
      </c>
      <c r="CQ390">
        <f>$C390*CQ389</f>
        <v/>
      </c>
      <c r="CR390">
        <f>$C390*CR389</f>
        <v/>
      </c>
      <c r="CS390">
        <f>$C390*CS389</f>
        <v/>
      </c>
      <c r="CT390">
        <f>$C390*CT389</f>
        <v/>
      </c>
      <c r="CU390">
        <f>$C390*CU389</f>
        <v/>
      </c>
      <c r="CV390">
        <f>$C390*CV389</f>
        <v/>
      </c>
      <c r="CW390">
        <f>$C390*CW389</f>
        <v/>
      </c>
      <c r="CX390">
        <f>$C390*CX389</f>
        <v/>
      </c>
      <c r="CY390">
        <f>$C390*CY389</f>
        <v/>
      </c>
      <c r="CZ390">
        <f>$C390*CZ389</f>
        <v/>
      </c>
      <c r="DA390">
        <f>$C390*DA389</f>
        <v/>
      </c>
      <c r="DB390">
        <f>$C390*DB389</f>
        <v/>
      </c>
      <c r="DC390">
        <f>$C390*DC389</f>
        <v/>
      </c>
      <c r="DD390">
        <f>$C390*DD389</f>
        <v/>
      </c>
    </row>
    <row r="391">
      <c r="B391" t="inlineStr">
        <is>
          <t>TSP-405</t>
        </is>
      </c>
      <c r="C391" t="inlineStr">
        <is>
          <t>No. of batches</t>
        </is>
      </c>
      <c r="D391">
        <f>IFERROR(INDEX(E391:DD391,$F$1),"")</f>
        <v/>
      </c>
      <c r="E391">
        <f>IFERROR(INDEX(PP_Grid[#Data],$DE391,2),0)</f>
        <v/>
      </c>
      <c r="F391">
        <f>IFERROR(INDEX(PP_Grid[#Data],$DE391,3),0)</f>
        <v/>
      </c>
      <c r="G391">
        <f>IFERROR(INDEX(PP_Grid[#Data],$DE391,4),0)</f>
        <v/>
      </c>
      <c r="H391">
        <f>IFERROR(INDEX(PP_Grid[#Data],$DE391,5),0)</f>
        <v/>
      </c>
      <c r="I391">
        <f>IFERROR(INDEX(PP_Grid[#Data],$DE391,6),0)</f>
        <v/>
      </c>
      <c r="J391">
        <f>IFERROR(INDEX(PP_Grid[#Data],$DE391,7),0)</f>
        <v/>
      </c>
      <c r="K391">
        <f>IFERROR(INDEX(PP_Grid[#Data],$DE391,8),0)</f>
        <v/>
      </c>
      <c r="L391">
        <f>IFERROR(INDEX(PP_Grid[#Data],$DE391,9),0)</f>
        <v/>
      </c>
      <c r="M391">
        <f>IFERROR(INDEX(PP_Grid[#Data],$DE391,10),0)</f>
        <v/>
      </c>
      <c r="N391">
        <f>IFERROR(INDEX(PP_Grid[#Data],$DE391,11),0)</f>
        <v/>
      </c>
      <c r="O391">
        <f>IFERROR(INDEX(PP_Grid[#Data],$DE391,12),0)</f>
        <v/>
      </c>
      <c r="P391">
        <f>IFERROR(INDEX(PP_Grid[#Data],$DE391,13),0)</f>
        <v/>
      </c>
      <c r="Q391">
        <f>IFERROR(INDEX(PP_Grid[#Data],$DE391,14),0)</f>
        <v/>
      </c>
      <c r="R391">
        <f>IFERROR(INDEX(PP_Grid[#Data],$DE391,15),0)</f>
        <v/>
      </c>
      <c r="S391">
        <f>IFERROR(INDEX(PP_Grid[#Data],$DE391,16),0)</f>
        <v/>
      </c>
      <c r="T391">
        <f>IFERROR(INDEX(PP_Grid[#Data],$DE391,17),0)</f>
        <v/>
      </c>
      <c r="U391">
        <f>IFERROR(INDEX(PP_Grid[#Data],$DE391,18),0)</f>
        <v/>
      </c>
      <c r="V391">
        <f>IFERROR(INDEX(PP_Grid[#Data],$DE391,19),0)</f>
        <v/>
      </c>
      <c r="W391">
        <f>IFERROR(INDEX(PP_Grid[#Data],$DE391,20),0)</f>
        <v/>
      </c>
      <c r="X391">
        <f>IFERROR(INDEX(PP_Grid[#Data],$DE391,21),0)</f>
        <v/>
      </c>
      <c r="Y391">
        <f>IFERROR(INDEX(PP_Grid[#Data],$DE391,22),0)</f>
        <v/>
      </c>
      <c r="Z391">
        <f>IFERROR(INDEX(PP_Grid[#Data],$DE391,23),0)</f>
        <v/>
      </c>
      <c r="AA391">
        <f>IFERROR(INDEX(PP_Grid[#Data],$DE391,24),0)</f>
        <v/>
      </c>
      <c r="AB391">
        <f>IFERROR(INDEX(PP_Grid[#Data],$DE391,25),0)</f>
        <v/>
      </c>
      <c r="AC391">
        <f>IFERROR(INDEX(PP_Grid[#Data],$DE391,26),0)</f>
        <v/>
      </c>
      <c r="AD391">
        <f>IFERROR(INDEX(PP_Grid[#Data],$DE391,27),0)</f>
        <v/>
      </c>
      <c r="AE391">
        <f>IFERROR(INDEX(PP_Grid[#Data],$DE391,28),0)</f>
        <v/>
      </c>
      <c r="AF391">
        <f>IFERROR(INDEX(PP_Grid[#Data],$DE391,29),0)</f>
        <v/>
      </c>
      <c r="AG391">
        <f>IFERROR(INDEX(PP_Grid[#Data],$DE391,30),0)</f>
        <v/>
      </c>
      <c r="AH391">
        <f>IFERROR(INDEX(PP_Grid[#Data],$DE391,31),0)</f>
        <v/>
      </c>
      <c r="AI391">
        <f>IFERROR(INDEX(PP_Grid[#Data],$DE391,32),0)</f>
        <v/>
      </c>
      <c r="AJ391">
        <f>IFERROR(INDEX(PP_Grid[#Data],$DE391,33),0)</f>
        <v/>
      </c>
      <c r="AK391">
        <f>IFERROR(INDEX(PP_Grid[#Data],$DE391,34),0)</f>
        <v/>
      </c>
      <c r="AL391">
        <f>IFERROR(INDEX(PP_Grid[#Data],$DE391,35),0)</f>
        <v/>
      </c>
      <c r="AM391">
        <f>IFERROR(INDEX(PP_Grid[#Data],$DE391,36),0)</f>
        <v/>
      </c>
      <c r="AN391">
        <f>IFERROR(INDEX(PP_Grid[#Data],$DE391,37),0)</f>
        <v/>
      </c>
      <c r="AO391">
        <f>IFERROR(INDEX(PP_Grid[#Data],$DE391,38),0)</f>
        <v/>
      </c>
      <c r="AP391">
        <f>IFERROR(INDEX(PP_Grid[#Data],$DE391,39),0)</f>
        <v/>
      </c>
      <c r="AQ391">
        <f>IFERROR(INDEX(PP_Grid[#Data],$DE391,40),0)</f>
        <v/>
      </c>
      <c r="AR391">
        <f>IFERROR(INDEX(PP_Grid[#Data],$DE391,41),0)</f>
        <v/>
      </c>
      <c r="AS391">
        <f>IFERROR(INDEX(PP_Grid[#Data],$DE391,42),0)</f>
        <v/>
      </c>
      <c r="AT391">
        <f>IFERROR(INDEX(PP_Grid[#Data],$DE391,43),0)</f>
        <v/>
      </c>
      <c r="AU391">
        <f>IFERROR(INDEX(PP_Grid[#Data],$DE391,44),0)</f>
        <v/>
      </c>
      <c r="AV391">
        <f>IFERROR(INDEX(PP_Grid[#Data],$DE391,45),0)</f>
        <v/>
      </c>
      <c r="AW391">
        <f>IFERROR(INDEX(PP_Grid[#Data],$DE391,46),0)</f>
        <v/>
      </c>
      <c r="AX391">
        <f>IFERROR(INDEX(PP_Grid[#Data],$DE391,47),0)</f>
        <v/>
      </c>
      <c r="AY391">
        <f>IFERROR(INDEX(PP_Grid[#Data],$DE391,48),0)</f>
        <v/>
      </c>
      <c r="AZ391">
        <f>IFERROR(INDEX(PP_Grid[#Data],$DE391,49),0)</f>
        <v/>
      </c>
      <c r="BA391">
        <f>IFERROR(INDEX(PP_Grid[#Data],$DE391,50),0)</f>
        <v/>
      </c>
      <c r="BB391">
        <f>IFERROR(INDEX(PP_Grid[#Data],$DE391,51),0)</f>
        <v/>
      </c>
      <c r="BC391">
        <f>IFERROR(INDEX(PP_Grid[#Data],$DE391,52),0)</f>
        <v/>
      </c>
      <c r="BD391">
        <f>IFERROR(INDEX(PP_Grid[#Data],$DE391,53),0)</f>
        <v/>
      </c>
      <c r="BE391">
        <f>IFERROR(INDEX(PP_Grid[#Data],$DE391,54),0)</f>
        <v/>
      </c>
      <c r="BF391">
        <f>IFERROR(INDEX(PP_Grid[#Data],$DE391,55),0)</f>
        <v/>
      </c>
      <c r="BG391">
        <f>IFERROR(INDEX(PP_Grid[#Data],$DE391,56),0)</f>
        <v/>
      </c>
      <c r="BH391">
        <f>IFERROR(INDEX(PP_Grid[#Data],$DE391,57),0)</f>
        <v/>
      </c>
      <c r="BI391">
        <f>IFERROR(INDEX(PP_Grid[#Data],$DE391,58),0)</f>
        <v/>
      </c>
      <c r="BJ391">
        <f>IFERROR(INDEX(PP_Grid[#Data],$DE391,59),0)</f>
        <v/>
      </c>
      <c r="BK391">
        <f>IFERROR(INDEX(PP_Grid[#Data],$DE391,60),0)</f>
        <v/>
      </c>
      <c r="BL391">
        <f>IFERROR(INDEX(PP_Grid[#Data],$DE391,61),0)</f>
        <v/>
      </c>
      <c r="BM391">
        <f>IFERROR(INDEX(PP_Grid[#Data],$DE391,62),0)</f>
        <v/>
      </c>
      <c r="BN391">
        <f>IFERROR(INDEX(PP_Grid[#Data],$DE391,63),0)</f>
        <v/>
      </c>
      <c r="BO391">
        <f>IFERROR(INDEX(PP_Grid[#Data],$DE391,64),0)</f>
        <v/>
      </c>
      <c r="BP391">
        <f>IFERROR(INDEX(PP_Grid[#Data],$DE391,65),0)</f>
        <v/>
      </c>
      <c r="BQ391">
        <f>IFERROR(INDEX(PP_Grid[#Data],$DE391,66),0)</f>
        <v/>
      </c>
      <c r="BR391">
        <f>IFERROR(INDEX(PP_Grid[#Data],$DE391,67),0)</f>
        <v/>
      </c>
      <c r="BS391">
        <f>IFERROR(INDEX(PP_Grid[#Data],$DE391,68),0)</f>
        <v/>
      </c>
      <c r="BT391">
        <f>IFERROR(INDEX(PP_Grid[#Data],$DE391,69),0)</f>
        <v/>
      </c>
      <c r="BU391">
        <f>IFERROR(INDEX(PP_Grid[#Data],$DE391,70),0)</f>
        <v/>
      </c>
      <c r="BV391">
        <f>IFERROR(INDEX(PP_Grid[#Data],$DE391,71),0)</f>
        <v/>
      </c>
      <c r="BW391">
        <f>IFERROR(INDEX(PP_Grid[#Data],$DE391,72),0)</f>
        <v/>
      </c>
      <c r="BX391">
        <f>IFERROR(INDEX(PP_Grid[#Data],$DE391,73),0)</f>
        <v/>
      </c>
      <c r="BY391">
        <f>IFERROR(INDEX(PP_Grid[#Data],$DE391,74),0)</f>
        <v/>
      </c>
      <c r="BZ391">
        <f>IFERROR(INDEX(PP_Grid[#Data],$DE391,75),0)</f>
        <v/>
      </c>
      <c r="CA391">
        <f>IFERROR(INDEX(PP_Grid[#Data],$DE391,76),0)</f>
        <v/>
      </c>
      <c r="CB391">
        <f>IFERROR(INDEX(PP_Grid[#Data],$DE391,77),0)</f>
        <v/>
      </c>
      <c r="CC391">
        <f>IFERROR(INDEX(PP_Grid[#Data],$DE391,78),0)</f>
        <v/>
      </c>
      <c r="CD391">
        <f>IFERROR(INDEX(PP_Grid[#Data],$DE391,79),0)</f>
        <v/>
      </c>
      <c r="CE391">
        <f>IFERROR(INDEX(PP_Grid[#Data],$DE391,80),0)</f>
        <v/>
      </c>
      <c r="CF391">
        <f>IFERROR(INDEX(PP_Grid[#Data],$DE391,81),0)</f>
        <v/>
      </c>
      <c r="CG391">
        <f>IFERROR(INDEX(PP_Grid[#Data],$DE391,82),0)</f>
        <v/>
      </c>
      <c r="CH391">
        <f>IFERROR(INDEX(PP_Grid[#Data],$DE391,83),0)</f>
        <v/>
      </c>
      <c r="CI391">
        <f>IFERROR(INDEX(PP_Grid[#Data],$DE391,84),0)</f>
        <v/>
      </c>
      <c r="CJ391">
        <f>IFERROR(INDEX(PP_Grid[#Data],$DE391,85),0)</f>
        <v/>
      </c>
      <c r="CK391">
        <f>IFERROR(INDEX(PP_Grid[#Data],$DE391,86),0)</f>
        <v/>
      </c>
      <c r="CL391">
        <f>IFERROR(INDEX(PP_Grid[#Data],$DE391,87),0)</f>
        <v/>
      </c>
      <c r="CM391">
        <f>IFERROR(INDEX(PP_Grid[#Data],$DE391,88),0)</f>
        <v/>
      </c>
      <c r="CN391">
        <f>IFERROR(INDEX(PP_Grid[#Data],$DE391,89),0)</f>
        <v/>
      </c>
      <c r="CO391">
        <f>IFERROR(INDEX(PP_Grid[#Data],$DE391,90),0)</f>
        <v/>
      </c>
      <c r="CP391">
        <f>IFERROR(INDEX(PP_Grid[#Data],$DE391,91),0)</f>
        <v/>
      </c>
      <c r="CQ391">
        <f>IFERROR(INDEX(PP_Grid[#Data],$DE391,92),0)</f>
        <v/>
      </c>
      <c r="CR391">
        <f>IFERROR(INDEX(PP_Grid[#Data],$DE391,93),0)</f>
        <v/>
      </c>
      <c r="CS391">
        <f>IFERROR(INDEX(PP_Grid[#Data],$DE391,94),0)</f>
        <v/>
      </c>
      <c r="CT391">
        <f>IFERROR(INDEX(PP_Grid[#Data],$DE391,95),0)</f>
        <v/>
      </c>
      <c r="CU391">
        <f>IFERROR(INDEX(PP_Grid[#Data],$DE391,96),0)</f>
        <v/>
      </c>
      <c r="CV391">
        <f>IFERROR(INDEX(PP_Grid[#Data],$DE391,97),0)</f>
        <v/>
      </c>
      <c r="CW391">
        <f>IFERROR(INDEX(PP_Grid[#Data],$DE391,98),0)</f>
        <v/>
      </c>
      <c r="CX391">
        <f>IFERROR(INDEX(PP_Grid[#Data],$DE391,99),0)</f>
        <v/>
      </c>
      <c r="CY391">
        <f>IFERROR(INDEX(PP_Grid[#Data],$DE391,100),0)</f>
        <v/>
      </c>
      <c r="CZ391">
        <f>IFERROR(INDEX(PP_Grid[#Data],$DE391,101),0)</f>
        <v/>
      </c>
      <c r="DA391">
        <f>IFERROR(INDEX(PP_Grid[#Data],$DE391,102),0)</f>
        <v/>
      </c>
      <c r="DB391">
        <f>IFERROR(INDEX(PP_Grid[#Data],$DE391,103),0)</f>
        <v/>
      </c>
      <c r="DC391">
        <f>IFERROR(INDEX(PP_Grid[#Data],$DE391,104),0)</f>
        <v/>
      </c>
      <c r="DD391">
        <f>IFERROR(INDEX(PP_Grid[#Data],$DE391,105),0)</f>
        <v/>
      </c>
      <c r="DE391" s="7">
        <f>IFERROR(MATCH($B391,PP_Grid[Intermediate],0),99999)</f>
        <v/>
      </c>
    </row>
    <row r="392">
      <c r="B392" t="inlineStr">
        <is>
          <t>使用量(kg)</t>
        </is>
      </c>
      <c r="C392">
        <f>SUMIFS(M_BOM[RM_Qty_Per_Batch],M_BOM[Intermediate],$B391,M_BOM[RM_Code],$A340)</f>
        <v/>
      </c>
      <c r="D392">
        <f>IFERROR(INDEX(E392:DD392,$F$1),"")</f>
        <v/>
      </c>
      <c r="E392">
        <f>$C392*E391</f>
        <v/>
      </c>
      <c r="F392">
        <f>$C392*F391</f>
        <v/>
      </c>
      <c r="G392">
        <f>$C392*G391</f>
        <v/>
      </c>
      <c r="H392">
        <f>$C392*H391</f>
        <v/>
      </c>
      <c r="I392">
        <f>$C392*I391</f>
        <v/>
      </c>
      <c r="J392">
        <f>$C392*J391</f>
        <v/>
      </c>
      <c r="K392">
        <f>$C392*K391</f>
        <v/>
      </c>
      <c r="L392">
        <f>$C392*L391</f>
        <v/>
      </c>
      <c r="M392">
        <f>$C392*M391</f>
        <v/>
      </c>
      <c r="N392">
        <f>$C392*N391</f>
        <v/>
      </c>
      <c r="O392">
        <f>$C392*O391</f>
        <v/>
      </c>
      <c r="P392">
        <f>$C392*P391</f>
        <v/>
      </c>
      <c r="Q392">
        <f>$C392*Q391</f>
        <v/>
      </c>
      <c r="R392">
        <f>$C392*R391</f>
        <v/>
      </c>
      <c r="S392">
        <f>$C392*S391</f>
        <v/>
      </c>
      <c r="T392">
        <f>$C392*T391</f>
        <v/>
      </c>
      <c r="U392">
        <f>$C392*U391</f>
        <v/>
      </c>
      <c r="V392">
        <f>$C392*V391</f>
        <v/>
      </c>
      <c r="W392">
        <f>$C392*W391</f>
        <v/>
      </c>
      <c r="X392">
        <f>$C392*X391</f>
        <v/>
      </c>
      <c r="Y392">
        <f>$C392*Y391</f>
        <v/>
      </c>
      <c r="Z392">
        <f>$C392*Z391</f>
        <v/>
      </c>
      <c r="AA392">
        <f>$C392*AA391</f>
        <v/>
      </c>
      <c r="AB392">
        <f>$C392*AB391</f>
        <v/>
      </c>
      <c r="AC392">
        <f>$C392*AC391</f>
        <v/>
      </c>
      <c r="AD392">
        <f>$C392*AD391</f>
        <v/>
      </c>
      <c r="AE392">
        <f>$C392*AE391</f>
        <v/>
      </c>
      <c r="AF392">
        <f>$C392*AF391</f>
        <v/>
      </c>
      <c r="AG392">
        <f>$C392*AG391</f>
        <v/>
      </c>
      <c r="AH392">
        <f>$C392*AH391</f>
        <v/>
      </c>
      <c r="AI392">
        <f>$C392*AI391</f>
        <v/>
      </c>
      <c r="AJ392">
        <f>$C392*AJ391</f>
        <v/>
      </c>
      <c r="AK392">
        <f>$C392*AK391</f>
        <v/>
      </c>
      <c r="AL392">
        <f>$C392*AL391</f>
        <v/>
      </c>
      <c r="AM392">
        <f>$C392*AM391</f>
        <v/>
      </c>
      <c r="AN392">
        <f>$C392*AN391</f>
        <v/>
      </c>
      <c r="AO392">
        <f>$C392*AO391</f>
        <v/>
      </c>
      <c r="AP392">
        <f>$C392*AP391</f>
        <v/>
      </c>
      <c r="AQ392">
        <f>$C392*AQ391</f>
        <v/>
      </c>
      <c r="AR392">
        <f>$C392*AR391</f>
        <v/>
      </c>
      <c r="AS392">
        <f>$C392*AS391</f>
        <v/>
      </c>
      <c r="AT392">
        <f>$C392*AT391</f>
        <v/>
      </c>
      <c r="AU392">
        <f>$C392*AU391</f>
        <v/>
      </c>
      <c r="AV392">
        <f>$C392*AV391</f>
        <v/>
      </c>
      <c r="AW392">
        <f>$C392*AW391</f>
        <v/>
      </c>
      <c r="AX392">
        <f>$C392*AX391</f>
        <v/>
      </c>
      <c r="AY392">
        <f>$C392*AY391</f>
        <v/>
      </c>
      <c r="AZ392">
        <f>$C392*AZ391</f>
        <v/>
      </c>
      <c r="BA392">
        <f>$C392*BA391</f>
        <v/>
      </c>
      <c r="BB392">
        <f>$C392*BB391</f>
        <v/>
      </c>
      <c r="BC392">
        <f>$C392*BC391</f>
        <v/>
      </c>
      <c r="BD392">
        <f>$C392*BD391</f>
        <v/>
      </c>
      <c r="BE392">
        <f>$C392*BE391</f>
        <v/>
      </c>
      <c r="BF392">
        <f>$C392*BF391</f>
        <v/>
      </c>
      <c r="BG392">
        <f>$C392*BG391</f>
        <v/>
      </c>
      <c r="BH392">
        <f>$C392*BH391</f>
        <v/>
      </c>
      <c r="BI392">
        <f>$C392*BI391</f>
        <v/>
      </c>
      <c r="BJ392">
        <f>$C392*BJ391</f>
        <v/>
      </c>
      <c r="BK392">
        <f>$C392*BK391</f>
        <v/>
      </c>
      <c r="BL392">
        <f>$C392*BL391</f>
        <v/>
      </c>
      <c r="BM392">
        <f>$C392*BM391</f>
        <v/>
      </c>
      <c r="BN392">
        <f>$C392*BN391</f>
        <v/>
      </c>
      <c r="BO392">
        <f>$C392*BO391</f>
        <v/>
      </c>
      <c r="BP392">
        <f>$C392*BP391</f>
        <v/>
      </c>
      <c r="BQ392">
        <f>$C392*BQ391</f>
        <v/>
      </c>
      <c r="BR392">
        <f>$C392*BR391</f>
        <v/>
      </c>
      <c r="BS392">
        <f>$C392*BS391</f>
        <v/>
      </c>
      <c r="BT392">
        <f>$C392*BT391</f>
        <v/>
      </c>
      <c r="BU392">
        <f>$C392*BU391</f>
        <v/>
      </c>
      <c r="BV392">
        <f>$C392*BV391</f>
        <v/>
      </c>
      <c r="BW392">
        <f>$C392*BW391</f>
        <v/>
      </c>
      <c r="BX392">
        <f>$C392*BX391</f>
        <v/>
      </c>
      <c r="BY392">
        <f>$C392*BY391</f>
        <v/>
      </c>
      <c r="BZ392">
        <f>$C392*BZ391</f>
        <v/>
      </c>
      <c r="CA392">
        <f>$C392*CA391</f>
        <v/>
      </c>
      <c r="CB392">
        <f>$C392*CB391</f>
        <v/>
      </c>
      <c r="CC392">
        <f>$C392*CC391</f>
        <v/>
      </c>
      <c r="CD392">
        <f>$C392*CD391</f>
        <v/>
      </c>
      <c r="CE392">
        <f>$C392*CE391</f>
        <v/>
      </c>
      <c r="CF392">
        <f>$C392*CF391</f>
        <v/>
      </c>
      <c r="CG392">
        <f>$C392*CG391</f>
        <v/>
      </c>
      <c r="CH392">
        <f>$C392*CH391</f>
        <v/>
      </c>
      <c r="CI392">
        <f>$C392*CI391</f>
        <v/>
      </c>
      <c r="CJ392">
        <f>$C392*CJ391</f>
        <v/>
      </c>
      <c r="CK392">
        <f>$C392*CK391</f>
        <v/>
      </c>
      <c r="CL392">
        <f>$C392*CL391</f>
        <v/>
      </c>
      <c r="CM392">
        <f>$C392*CM391</f>
        <v/>
      </c>
      <c r="CN392">
        <f>$C392*CN391</f>
        <v/>
      </c>
      <c r="CO392">
        <f>$C392*CO391</f>
        <v/>
      </c>
      <c r="CP392">
        <f>$C392*CP391</f>
        <v/>
      </c>
      <c r="CQ392">
        <f>$C392*CQ391</f>
        <v/>
      </c>
      <c r="CR392">
        <f>$C392*CR391</f>
        <v/>
      </c>
      <c r="CS392">
        <f>$C392*CS391</f>
        <v/>
      </c>
      <c r="CT392">
        <f>$C392*CT391</f>
        <v/>
      </c>
      <c r="CU392">
        <f>$C392*CU391</f>
        <v/>
      </c>
      <c r="CV392">
        <f>$C392*CV391</f>
        <v/>
      </c>
      <c r="CW392">
        <f>$C392*CW391</f>
        <v/>
      </c>
      <c r="CX392">
        <f>$C392*CX391</f>
        <v/>
      </c>
      <c r="CY392">
        <f>$C392*CY391</f>
        <v/>
      </c>
      <c r="CZ392">
        <f>$C392*CZ391</f>
        <v/>
      </c>
      <c r="DA392">
        <f>$C392*DA391</f>
        <v/>
      </c>
      <c r="DB392">
        <f>$C392*DB391</f>
        <v/>
      </c>
      <c r="DC392">
        <f>$C392*DC391</f>
        <v/>
      </c>
      <c r="DD392">
        <f>$C392*DD391</f>
        <v/>
      </c>
    </row>
    <row r="393">
      <c r="B393" t="inlineStr">
        <is>
          <t>TSP-544</t>
        </is>
      </c>
      <c r="C393" t="inlineStr">
        <is>
          <t>No. of batches</t>
        </is>
      </c>
      <c r="D393">
        <f>IFERROR(INDEX(E393:DD393,$F$1),"")</f>
        <v/>
      </c>
      <c r="E393">
        <f>IFERROR(INDEX(PP_Grid[#Data],$DE393,2),0)</f>
        <v/>
      </c>
      <c r="F393">
        <f>IFERROR(INDEX(PP_Grid[#Data],$DE393,3),0)</f>
        <v/>
      </c>
      <c r="G393">
        <f>IFERROR(INDEX(PP_Grid[#Data],$DE393,4),0)</f>
        <v/>
      </c>
      <c r="H393">
        <f>IFERROR(INDEX(PP_Grid[#Data],$DE393,5),0)</f>
        <v/>
      </c>
      <c r="I393">
        <f>IFERROR(INDEX(PP_Grid[#Data],$DE393,6),0)</f>
        <v/>
      </c>
      <c r="J393">
        <f>IFERROR(INDEX(PP_Grid[#Data],$DE393,7),0)</f>
        <v/>
      </c>
      <c r="K393">
        <f>IFERROR(INDEX(PP_Grid[#Data],$DE393,8),0)</f>
        <v/>
      </c>
      <c r="L393">
        <f>IFERROR(INDEX(PP_Grid[#Data],$DE393,9),0)</f>
        <v/>
      </c>
      <c r="M393">
        <f>IFERROR(INDEX(PP_Grid[#Data],$DE393,10),0)</f>
        <v/>
      </c>
      <c r="N393">
        <f>IFERROR(INDEX(PP_Grid[#Data],$DE393,11),0)</f>
        <v/>
      </c>
      <c r="O393">
        <f>IFERROR(INDEX(PP_Grid[#Data],$DE393,12),0)</f>
        <v/>
      </c>
      <c r="P393">
        <f>IFERROR(INDEX(PP_Grid[#Data],$DE393,13),0)</f>
        <v/>
      </c>
      <c r="Q393">
        <f>IFERROR(INDEX(PP_Grid[#Data],$DE393,14),0)</f>
        <v/>
      </c>
      <c r="R393">
        <f>IFERROR(INDEX(PP_Grid[#Data],$DE393,15),0)</f>
        <v/>
      </c>
      <c r="S393">
        <f>IFERROR(INDEX(PP_Grid[#Data],$DE393,16),0)</f>
        <v/>
      </c>
      <c r="T393">
        <f>IFERROR(INDEX(PP_Grid[#Data],$DE393,17),0)</f>
        <v/>
      </c>
      <c r="U393">
        <f>IFERROR(INDEX(PP_Grid[#Data],$DE393,18),0)</f>
        <v/>
      </c>
      <c r="V393">
        <f>IFERROR(INDEX(PP_Grid[#Data],$DE393,19),0)</f>
        <v/>
      </c>
      <c r="W393">
        <f>IFERROR(INDEX(PP_Grid[#Data],$DE393,20),0)</f>
        <v/>
      </c>
      <c r="X393">
        <f>IFERROR(INDEX(PP_Grid[#Data],$DE393,21),0)</f>
        <v/>
      </c>
      <c r="Y393">
        <f>IFERROR(INDEX(PP_Grid[#Data],$DE393,22),0)</f>
        <v/>
      </c>
      <c r="Z393">
        <f>IFERROR(INDEX(PP_Grid[#Data],$DE393,23),0)</f>
        <v/>
      </c>
      <c r="AA393">
        <f>IFERROR(INDEX(PP_Grid[#Data],$DE393,24),0)</f>
        <v/>
      </c>
      <c r="AB393">
        <f>IFERROR(INDEX(PP_Grid[#Data],$DE393,25),0)</f>
        <v/>
      </c>
      <c r="AC393">
        <f>IFERROR(INDEX(PP_Grid[#Data],$DE393,26),0)</f>
        <v/>
      </c>
      <c r="AD393">
        <f>IFERROR(INDEX(PP_Grid[#Data],$DE393,27),0)</f>
        <v/>
      </c>
      <c r="AE393">
        <f>IFERROR(INDEX(PP_Grid[#Data],$DE393,28),0)</f>
        <v/>
      </c>
      <c r="AF393">
        <f>IFERROR(INDEX(PP_Grid[#Data],$DE393,29),0)</f>
        <v/>
      </c>
      <c r="AG393">
        <f>IFERROR(INDEX(PP_Grid[#Data],$DE393,30),0)</f>
        <v/>
      </c>
      <c r="AH393">
        <f>IFERROR(INDEX(PP_Grid[#Data],$DE393,31),0)</f>
        <v/>
      </c>
      <c r="AI393">
        <f>IFERROR(INDEX(PP_Grid[#Data],$DE393,32),0)</f>
        <v/>
      </c>
      <c r="AJ393">
        <f>IFERROR(INDEX(PP_Grid[#Data],$DE393,33),0)</f>
        <v/>
      </c>
      <c r="AK393">
        <f>IFERROR(INDEX(PP_Grid[#Data],$DE393,34),0)</f>
        <v/>
      </c>
      <c r="AL393">
        <f>IFERROR(INDEX(PP_Grid[#Data],$DE393,35),0)</f>
        <v/>
      </c>
      <c r="AM393">
        <f>IFERROR(INDEX(PP_Grid[#Data],$DE393,36),0)</f>
        <v/>
      </c>
      <c r="AN393">
        <f>IFERROR(INDEX(PP_Grid[#Data],$DE393,37),0)</f>
        <v/>
      </c>
      <c r="AO393">
        <f>IFERROR(INDEX(PP_Grid[#Data],$DE393,38),0)</f>
        <v/>
      </c>
      <c r="AP393">
        <f>IFERROR(INDEX(PP_Grid[#Data],$DE393,39),0)</f>
        <v/>
      </c>
      <c r="AQ393">
        <f>IFERROR(INDEX(PP_Grid[#Data],$DE393,40),0)</f>
        <v/>
      </c>
      <c r="AR393">
        <f>IFERROR(INDEX(PP_Grid[#Data],$DE393,41),0)</f>
        <v/>
      </c>
      <c r="AS393">
        <f>IFERROR(INDEX(PP_Grid[#Data],$DE393,42),0)</f>
        <v/>
      </c>
      <c r="AT393">
        <f>IFERROR(INDEX(PP_Grid[#Data],$DE393,43),0)</f>
        <v/>
      </c>
      <c r="AU393">
        <f>IFERROR(INDEX(PP_Grid[#Data],$DE393,44),0)</f>
        <v/>
      </c>
      <c r="AV393">
        <f>IFERROR(INDEX(PP_Grid[#Data],$DE393,45),0)</f>
        <v/>
      </c>
      <c r="AW393">
        <f>IFERROR(INDEX(PP_Grid[#Data],$DE393,46),0)</f>
        <v/>
      </c>
      <c r="AX393">
        <f>IFERROR(INDEX(PP_Grid[#Data],$DE393,47),0)</f>
        <v/>
      </c>
      <c r="AY393">
        <f>IFERROR(INDEX(PP_Grid[#Data],$DE393,48),0)</f>
        <v/>
      </c>
      <c r="AZ393">
        <f>IFERROR(INDEX(PP_Grid[#Data],$DE393,49),0)</f>
        <v/>
      </c>
      <c r="BA393">
        <f>IFERROR(INDEX(PP_Grid[#Data],$DE393,50),0)</f>
        <v/>
      </c>
      <c r="BB393">
        <f>IFERROR(INDEX(PP_Grid[#Data],$DE393,51),0)</f>
        <v/>
      </c>
      <c r="BC393">
        <f>IFERROR(INDEX(PP_Grid[#Data],$DE393,52),0)</f>
        <v/>
      </c>
      <c r="BD393">
        <f>IFERROR(INDEX(PP_Grid[#Data],$DE393,53),0)</f>
        <v/>
      </c>
      <c r="BE393">
        <f>IFERROR(INDEX(PP_Grid[#Data],$DE393,54),0)</f>
        <v/>
      </c>
      <c r="BF393">
        <f>IFERROR(INDEX(PP_Grid[#Data],$DE393,55),0)</f>
        <v/>
      </c>
      <c r="BG393">
        <f>IFERROR(INDEX(PP_Grid[#Data],$DE393,56),0)</f>
        <v/>
      </c>
      <c r="BH393">
        <f>IFERROR(INDEX(PP_Grid[#Data],$DE393,57),0)</f>
        <v/>
      </c>
      <c r="BI393">
        <f>IFERROR(INDEX(PP_Grid[#Data],$DE393,58),0)</f>
        <v/>
      </c>
      <c r="BJ393">
        <f>IFERROR(INDEX(PP_Grid[#Data],$DE393,59),0)</f>
        <v/>
      </c>
      <c r="BK393">
        <f>IFERROR(INDEX(PP_Grid[#Data],$DE393,60),0)</f>
        <v/>
      </c>
      <c r="BL393">
        <f>IFERROR(INDEX(PP_Grid[#Data],$DE393,61),0)</f>
        <v/>
      </c>
      <c r="BM393">
        <f>IFERROR(INDEX(PP_Grid[#Data],$DE393,62),0)</f>
        <v/>
      </c>
      <c r="BN393">
        <f>IFERROR(INDEX(PP_Grid[#Data],$DE393,63),0)</f>
        <v/>
      </c>
      <c r="BO393">
        <f>IFERROR(INDEX(PP_Grid[#Data],$DE393,64),0)</f>
        <v/>
      </c>
      <c r="BP393">
        <f>IFERROR(INDEX(PP_Grid[#Data],$DE393,65),0)</f>
        <v/>
      </c>
      <c r="BQ393">
        <f>IFERROR(INDEX(PP_Grid[#Data],$DE393,66),0)</f>
        <v/>
      </c>
      <c r="BR393">
        <f>IFERROR(INDEX(PP_Grid[#Data],$DE393,67),0)</f>
        <v/>
      </c>
      <c r="BS393">
        <f>IFERROR(INDEX(PP_Grid[#Data],$DE393,68),0)</f>
        <v/>
      </c>
      <c r="BT393">
        <f>IFERROR(INDEX(PP_Grid[#Data],$DE393,69),0)</f>
        <v/>
      </c>
      <c r="BU393">
        <f>IFERROR(INDEX(PP_Grid[#Data],$DE393,70),0)</f>
        <v/>
      </c>
      <c r="BV393">
        <f>IFERROR(INDEX(PP_Grid[#Data],$DE393,71),0)</f>
        <v/>
      </c>
      <c r="BW393">
        <f>IFERROR(INDEX(PP_Grid[#Data],$DE393,72),0)</f>
        <v/>
      </c>
      <c r="BX393">
        <f>IFERROR(INDEX(PP_Grid[#Data],$DE393,73),0)</f>
        <v/>
      </c>
      <c r="BY393">
        <f>IFERROR(INDEX(PP_Grid[#Data],$DE393,74),0)</f>
        <v/>
      </c>
      <c r="BZ393">
        <f>IFERROR(INDEX(PP_Grid[#Data],$DE393,75),0)</f>
        <v/>
      </c>
      <c r="CA393">
        <f>IFERROR(INDEX(PP_Grid[#Data],$DE393,76),0)</f>
        <v/>
      </c>
      <c r="CB393">
        <f>IFERROR(INDEX(PP_Grid[#Data],$DE393,77),0)</f>
        <v/>
      </c>
      <c r="CC393">
        <f>IFERROR(INDEX(PP_Grid[#Data],$DE393,78),0)</f>
        <v/>
      </c>
      <c r="CD393">
        <f>IFERROR(INDEX(PP_Grid[#Data],$DE393,79),0)</f>
        <v/>
      </c>
      <c r="CE393">
        <f>IFERROR(INDEX(PP_Grid[#Data],$DE393,80),0)</f>
        <v/>
      </c>
      <c r="CF393">
        <f>IFERROR(INDEX(PP_Grid[#Data],$DE393,81),0)</f>
        <v/>
      </c>
      <c r="CG393">
        <f>IFERROR(INDEX(PP_Grid[#Data],$DE393,82),0)</f>
        <v/>
      </c>
      <c r="CH393">
        <f>IFERROR(INDEX(PP_Grid[#Data],$DE393,83),0)</f>
        <v/>
      </c>
      <c r="CI393">
        <f>IFERROR(INDEX(PP_Grid[#Data],$DE393,84),0)</f>
        <v/>
      </c>
      <c r="CJ393">
        <f>IFERROR(INDEX(PP_Grid[#Data],$DE393,85),0)</f>
        <v/>
      </c>
      <c r="CK393">
        <f>IFERROR(INDEX(PP_Grid[#Data],$DE393,86),0)</f>
        <v/>
      </c>
      <c r="CL393">
        <f>IFERROR(INDEX(PP_Grid[#Data],$DE393,87),0)</f>
        <v/>
      </c>
      <c r="CM393">
        <f>IFERROR(INDEX(PP_Grid[#Data],$DE393,88),0)</f>
        <v/>
      </c>
      <c r="CN393">
        <f>IFERROR(INDEX(PP_Grid[#Data],$DE393,89),0)</f>
        <v/>
      </c>
      <c r="CO393">
        <f>IFERROR(INDEX(PP_Grid[#Data],$DE393,90),0)</f>
        <v/>
      </c>
      <c r="CP393">
        <f>IFERROR(INDEX(PP_Grid[#Data],$DE393,91),0)</f>
        <v/>
      </c>
      <c r="CQ393">
        <f>IFERROR(INDEX(PP_Grid[#Data],$DE393,92),0)</f>
        <v/>
      </c>
      <c r="CR393">
        <f>IFERROR(INDEX(PP_Grid[#Data],$DE393,93),0)</f>
        <v/>
      </c>
      <c r="CS393">
        <f>IFERROR(INDEX(PP_Grid[#Data],$DE393,94),0)</f>
        <v/>
      </c>
      <c r="CT393">
        <f>IFERROR(INDEX(PP_Grid[#Data],$DE393,95),0)</f>
        <v/>
      </c>
      <c r="CU393">
        <f>IFERROR(INDEX(PP_Grid[#Data],$DE393,96),0)</f>
        <v/>
      </c>
      <c r="CV393">
        <f>IFERROR(INDEX(PP_Grid[#Data],$DE393,97),0)</f>
        <v/>
      </c>
      <c r="CW393">
        <f>IFERROR(INDEX(PP_Grid[#Data],$DE393,98),0)</f>
        <v/>
      </c>
      <c r="CX393">
        <f>IFERROR(INDEX(PP_Grid[#Data],$DE393,99),0)</f>
        <v/>
      </c>
      <c r="CY393">
        <f>IFERROR(INDEX(PP_Grid[#Data],$DE393,100),0)</f>
        <v/>
      </c>
      <c r="CZ393">
        <f>IFERROR(INDEX(PP_Grid[#Data],$DE393,101),0)</f>
        <v/>
      </c>
      <c r="DA393">
        <f>IFERROR(INDEX(PP_Grid[#Data],$DE393,102),0)</f>
        <v/>
      </c>
      <c r="DB393">
        <f>IFERROR(INDEX(PP_Grid[#Data],$DE393,103),0)</f>
        <v/>
      </c>
      <c r="DC393">
        <f>IFERROR(INDEX(PP_Grid[#Data],$DE393,104),0)</f>
        <v/>
      </c>
      <c r="DD393">
        <f>IFERROR(INDEX(PP_Grid[#Data],$DE393,105),0)</f>
        <v/>
      </c>
      <c r="DE393" s="7">
        <f>IFERROR(MATCH($B393,PP_Grid[Intermediate],0),99999)</f>
        <v/>
      </c>
    </row>
    <row r="394">
      <c r="B394" t="inlineStr">
        <is>
          <t>使用量(kg)</t>
        </is>
      </c>
      <c r="C394">
        <f>SUMIFS(M_BOM[RM_Qty_Per_Batch],M_BOM[Intermediate],$B393,M_BOM[RM_Code],$A340)</f>
        <v/>
      </c>
      <c r="D394">
        <f>IFERROR(INDEX(E394:DD394,$F$1),"")</f>
        <v/>
      </c>
      <c r="E394">
        <f>$C394*E393</f>
        <v/>
      </c>
      <c r="F394">
        <f>$C394*F393</f>
        <v/>
      </c>
      <c r="G394">
        <f>$C394*G393</f>
        <v/>
      </c>
      <c r="H394">
        <f>$C394*H393</f>
        <v/>
      </c>
      <c r="I394">
        <f>$C394*I393</f>
        <v/>
      </c>
      <c r="J394">
        <f>$C394*J393</f>
        <v/>
      </c>
      <c r="K394">
        <f>$C394*K393</f>
        <v/>
      </c>
      <c r="L394">
        <f>$C394*L393</f>
        <v/>
      </c>
      <c r="M394">
        <f>$C394*M393</f>
        <v/>
      </c>
      <c r="N394">
        <f>$C394*N393</f>
        <v/>
      </c>
      <c r="O394">
        <f>$C394*O393</f>
        <v/>
      </c>
      <c r="P394">
        <f>$C394*P393</f>
        <v/>
      </c>
      <c r="Q394">
        <f>$C394*Q393</f>
        <v/>
      </c>
      <c r="R394">
        <f>$C394*R393</f>
        <v/>
      </c>
      <c r="S394">
        <f>$C394*S393</f>
        <v/>
      </c>
      <c r="T394">
        <f>$C394*T393</f>
        <v/>
      </c>
      <c r="U394">
        <f>$C394*U393</f>
        <v/>
      </c>
      <c r="V394">
        <f>$C394*V393</f>
        <v/>
      </c>
      <c r="W394">
        <f>$C394*W393</f>
        <v/>
      </c>
      <c r="X394">
        <f>$C394*X393</f>
        <v/>
      </c>
      <c r="Y394">
        <f>$C394*Y393</f>
        <v/>
      </c>
      <c r="Z394">
        <f>$C394*Z393</f>
        <v/>
      </c>
      <c r="AA394">
        <f>$C394*AA393</f>
        <v/>
      </c>
      <c r="AB394">
        <f>$C394*AB393</f>
        <v/>
      </c>
      <c r="AC394">
        <f>$C394*AC393</f>
        <v/>
      </c>
      <c r="AD394">
        <f>$C394*AD393</f>
        <v/>
      </c>
      <c r="AE394">
        <f>$C394*AE393</f>
        <v/>
      </c>
      <c r="AF394">
        <f>$C394*AF393</f>
        <v/>
      </c>
      <c r="AG394">
        <f>$C394*AG393</f>
        <v/>
      </c>
      <c r="AH394">
        <f>$C394*AH393</f>
        <v/>
      </c>
      <c r="AI394">
        <f>$C394*AI393</f>
        <v/>
      </c>
      <c r="AJ394">
        <f>$C394*AJ393</f>
        <v/>
      </c>
      <c r="AK394">
        <f>$C394*AK393</f>
        <v/>
      </c>
      <c r="AL394">
        <f>$C394*AL393</f>
        <v/>
      </c>
      <c r="AM394">
        <f>$C394*AM393</f>
        <v/>
      </c>
      <c r="AN394">
        <f>$C394*AN393</f>
        <v/>
      </c>
      <c r="AO394">
        <f>$C394*AO393</f>
        <v/>
      </c>
      <c r="AP394">
        <f>$C394*AP393</f>
        <v/>
      </c>
      <c r="AQ394">
        <f>$C394*AQ393</f>
        <v/>
      </c>
      <c r="AR394">
        <f>$C394*AR393</f>
        <v/>
      </c>
      <c r="AS394">
        <f>$C394*AS393</f>
        <v/>
      </c>
      <c r="AT394">
        <f>$C394*AT393</f>
        <v/>
      </c>
      <c r="AU394">
        <f>$C394*AU393</f>
        <v/>
      </c>
      <c r="AV394">
        <f>$C394*AV393</f>
        <v/>
      </c>
      <c r="AW394">
        <f>$C394*AW393</f>
        <v/>
      </c>
      <c r="AX394">
        <f>$C394*AX393</f>
        <v/>
      </c>
      <c r="AY394">
        <f>$C394*AY393</f>
        <v/>
      </c>
      <c r="AZ394">
        <f>$C394*AZ393</f>
        <v/>
      </c>
      <c r="BA394">
        <f>$C394*BA393</f>
        <v/>
      </c>
      <c r="BB394">
        <f>$C394*BB393</f>
        <v/>
      </c>
      <c r="BC394">
        <f>$C394*BC393</f>
        <v/>
      </c>
      <c r="BD394">
        <f>$C394*BD393</f>
        <v/>
      </c>
      <c r="BE394">
        <f>$C394*BE393</f>
        <v/>
      </c>
      <c r="BF394">
        <f>$C394*BF393</f>
        <v/>
      </c>
      <c r="BG394">
        <f>$C394*BG393</f>
        <v/>
      </c>
      <c r="BH394">
        <f>$C394*BH393</f>
        <v/>
      </c>
      <c r="BI394">
        <f>$C394*BI393</f>
        <v/>
      </c>
      <c r="BJ394">
        <f>$C394*BJ393</f>
        <v/>
      </c>
      <c r="BK394">
        <f>$C394*BK393</f>
        <v/>
      </c>
      <c r="BL394">
        <f>$C394*BL393</f>
        <v/>
      </c>
      <c r="BM394">
        <f>$C394*BM393</f>
        <v/>
      </c>
      <c r="BN394">
        <f>$C394*BN393</f>
        <v/>
      </c>
      <c r="BO394">
        <f>$C394*BO393</f>
        <v/>
      </c>
      <c r="BP394">
        <f>$C394*BP393</f>
        <v/>
      </c>
      <c r="BQ394">
        <f>$C394*BQ393</f>
        <v/>
      </c>
      <c r="BR394">
        <f>$C394*BR393</f>
        <v/>
      </c>
      <c r="BS394">
        <f>$C394*BS393</f>
        <v/>
      </c>
      <c r="BT394">
        <f>$C394*BT393</f>
        <v/>
      </c>
      <c r="BU394">
        <f>$C394*BU393</f>
        <v/>
      </c>
      <c r="BV394">
        <f>$C394*BV393</f>
        <v/>
      </c>
      <c r="BW394">
        <f>$C394*BW393</f>
        <v/>
      </c>
      <c r="BX394">
        <f>$C394*BX393</f>
        <v/>
      </c>
      <c r="BY394">
        <f>$C394*BY393</f>
        <v/>
      </c>
      <c r="BZ394">
        <f>$C394*BZ393</f>
        <v/>
      </c>
      <c r="CA394">
        <f>$C394*CA393</f>
        <v/>
      </c>
      <c r="CB394">
        <f>$C394*CB393</f>
        <v/>
      </c>
      <c r="CC394">
        <f>$C394*CC393</f>
        <v/>
      </c>
      <c r="CD394">
        <f>$C394*CD393</f>
        <v/>
      </c>
      <c r="CE394">
        <f>$C394*CE393</f>
        <v/>
      </c>
      <c r="CF394">
        <f>$C394*CF393</f>
        <v/>
      </c>
      <c r="CG394">
        <f>$C394*CG393</f>
        <v/>
      </c>
      <c r="CH394">
        <f>$C394*CH393</f>
        <v/>
      </c>
      <c r="CI394">
        <f>$C394*CI393</f>
        <v/>
      </c>
      <c r="CJ394">
        <f>$C394*CJ393</f>
        <v/>
      </c>
      <c r="CK394">
        <f>$C394*CK393</f>
        <v/>
      </c>
      <c r="CL394">
        <f>$C394*CL393</f>
        <v/>
      </c>
      <c r="CM394">
        <f>$C394*CM393</f>
        <v/>
      </c>
      <c r="CN394">
        <f>$C394*CN393</f>
        <v/>
      </c>
      <c r="CO394">
        <f>$C394*CO393</f>
        <v/>
      </c>
      <c r="CP394">
        <f>$C394*CP393</f>
        <v/>
      </c>
      <c r="CQ394">
        <f>$C394*CQ393</f>
        <v/>
      </c>
      <c r="CR394">
        <f>$C394*CR393</f>
        <v/>
      </c>
      <c r="CS394">
        <f>$C394*CS393</f>
        <v/>
      </c>
      <c r="CT394">
        <f>$C394*CT393</f>
        <v/>
      </c>
      <c r="CU394">
        <f>$C394*CU393</f>
        <v/>
      </c>
      <c r="CV394">
        <f>$C394*CV393</f>
        <v/>
      </c>
      <c r="CW394">
        <f>$C394*CW393</f>
        <v/>
      </c>
      <c r="CX394">
        <f>$C394*CX393</f>
        <v/>
      </c>
      <c r="CY394">
        <f>$C394*CY393</f>
        <v/>
      </c>
      <c r="CZ394">
        <f>$C394*CZ393</f>
        <v/>
      </c>
      <c r="DA394">
        <f>$C394*DA393</f>
        <v/>
      </c>
      <c r="DB394">
        <f>$C394*DB393</f>
        <v/>
      </c>
      <c r="DC394">
        <f>$C394*DC393</f>
        <v/>
      </c>
      <c r="DD394">
        <f>$C394*DD393</f>
        <v/>
      </c>
    </row>
    <row r="395">
      <c r="B395" t="inlineStr">
        <is>
          <t>TSP-558</t>
        </is>
      </c>
      <c r="C395" t="inlineStr">
        <is>
          <t>No. of batches</t>
        </is>
      </c>
      <c r="D395">
        <f>IFERROR(INDEX(E395:DD395,$F$1),"")</f>
        <v/>
      </c>
      <c r="E395">
        <f>IFERROR(INDEX(PP_Grid[#Data],$DE395,2),0)</f>
        <v/>
      </c>
      <c r="F395">
        <f>IFERROR(INDEX(PP_Grid[#Data],$DE395,3),0)</f>
        <v/>
      </c>
      <c r="G395">
        <f>IFERROR(INDEX(PP_Grid[#Data],$DE395,4),0)</f>
        <v/>
      </c>
      <c r="H395">
        <f>IFERROR(INDEX(PP_Grid[#Data],$DE395,5),0)</f>
        <v/>
      </c>
      <c r="I395">
        <f>IFERROR(INDEX(PP_Grid[#Data],$DE395,6),0)</f>
        <v/>
      </c>
      <c r="J395">
        <f>IFERROR(INDEX(PP_Grid[#Data],$DE395,7),0)</f>
        <v/>
      </c>
      <c r="K395">
        <f>IFERROR(INDEX(PP_Grid[#Data],$DE395,8),0)</f>
        <v/>
      </c>
      <c r="L395">
        <f>IFERROR(INDEX(PP_Grid[#Data],$DE395,9),0)</f>
        <v/>
      </c>
      <c r="M395">
        <f>IFERROR(INDEX(PP_Grid[#Data],$DE395,10),0)</f>
        <v/>
      </c>
      <c r="N395">
        <f>IFERROR(INDEX(PP_Grid[#Data],$DE395,11),0)</f>
        <v/>
      </c>
      <c r="O395">
        <f>IFERROR(INDEX(PP_Grid[#Data],$DE395,12),0)</f>
        <v/>
      </c>
      <c r="P395">
        <f>IFERROR(INDEX(PP_Grid[#Data],$DE395,13),0)</f>
        <v/>
      </c>
      <c r="Q395">
        <f>IFERROR(INDEX(PP_Grid[#Data],$DE395,14),0)</f>
        <v/>
      </c>
      <c r="R395">
        <f>IFERROR(INDEX(PP_Grid[#Data],$DE395,15),0)</f>
        <v/>
      </c>
      <c r="S395">
        <f>IFERROR(INDEX(PP_Grid[#Data],$DE395,16),0)</f>
        <v/>
      </c>
      <c r="T395">
        <f>IFERROR(INDEX(PP_Grid[#Data],$DE395,17),0)</f>
        <v/>
      </c>
      <c r="U395">
        <f>IFERROR(INDEX(PP_Grid[#Data],$DE395,18),0)</f>
        <v/>
      </c>
      <c r="V395">
        <f>IFERROR(INDEX(PP_Grid[#Data],$DE395,19),0)</f>
        <v/>
      </c>
      <c r="W395">
        <f>IFERROR(INDEX(PP_Grid[#Data],$DE395,20),0)</f>
        <v/>
      </c>
      <c r="X395">
        <f>IFERROR(INDEX(PP_Grid[#Data],$DE395,21),0)</f>
        <v/>
      </c>
      <c r="Y395">
        <f>IFERROR(INDEX(PP_Grid[#Data],$DE395,22),0)</f>
        <v/>
      </c>
      <c r="Z395">
        <f>IFERROR(INDEX(PP_Grid[#Data],$DE395,23),0)</f>
        <v/>
      </c>
      <c r="AA395">
        <f>IFERROR(INDEX(PP_Grid[#Data],$DE395,24),0)</f>
        <v/>
      </c>
      <c r="AB395">
        <f>IFERROR(INDEX(PP_Grid[#Data],$DE395,25),0)</f>
        <v/>
      </c>
      <c r="AC395">
        <f>IFERROR(INDEX(PP_Grid[#Data],$DE395,26),0)</f>
        <v/>
      </c>
      <c r="AD395">
        <f>IFERROR(INDEX(PP_Grid[#Data],$DE395,27),0)</f>
        <v/>
      </c>
      <c r="AE395">
        <f>IFERROR(INDEX(PP_Grid[#Data],$DE395,28),0)</f>
        <v/>
      </c>
      <c r="AF395">
        <f>IFERROR(INDEX(PP_Grid[#Data],$DE395,29),0)</f>
        <v/>
      </c>
      <c r="AG395">
        <f>IFERROR(INDEX(PP_Grid[#Data],$DE395,30),0)</f>
        <v/>
      </c>
      <c r="AH395">
        <f>IFERROR(INDEX(PP_Grid[#Data],$DE395,31),0)</f>
        <v/>
      </c>
      <c r="AI395">
        <f>IFERROR(INDEX(PP_Grid[#Data],$DE395,32),0)</f>
        <v/>
      </c>
      <c r="AJ395">
        <f>IFERROR(INDEX(PP_Grid[#Data],$DE395,33),0)</f>
        <v/>
      </c>
      <c r="AK395">
        <f>IFERROR(INDEX(PP_Grid[#Data],$DE395,34),0)</f>
        <v/>
      </c>
      <c r="AL395">
        <f>IFERROR(INDEX(PP_Grid[#Data],$DE395,35),0)</f>
        <v/>
      </c>
      <c r="AM395">
        <f>IFERROR(INDEX(PP_Grid[#Data],$DE395,36),0)</f>
        <v/>
      </c>
      <c r="AN395">
        <f>IFERROR(INDEX(PP_Grid[#Data],$DE395,37),0)</f>
        <v/>
      </c>
      <c r="AO395">
        <f>IFERROR(INDEX(PP_Grid[#Data],$DE395,38),0)</f>
        <v/>
      </c>
      <c r="AP395">
        <f>IFERROR(INDEX(PP_Grid[#Data],$DE395,39),0)</f>
        <v/>
      </c>
      <c r="AQ395">
        <f>IFERROR(INDEX(PP_Grid[#Data],$DE395,40),0)</f>
        <v/>
      </c>
      <c r="AR395">
        <f>IFERROR(INDEX(PP_Grid[#Data],$DE395,41),0)</f>
        <v/>
      </c>
      <c r="AS395">
        <f>IFERROR(INDEX(PP_Grid[#Data],$DE395,42),0)</f>
        <v/>
      </c>
      <c r="AT395">
        <f>IFERROR(INDEX(PP_Grid[#Data],$DE395,43),0)</f>
        <v/>
      </c>
      <c r="AU395">
        <f>IFERROR(INDEX(PP_Grid[#Data],$DE395,44),0)</f>
        <v/>
      </c>
      <c r="AV395">
        <f>IFERROR(INDEX(PP_Grid[#Data],$DE395,45),0)</f>
        <v/>
      </c>
      <c r="AW395">
        <f>IFERROR(INDEX(PP_Grid[#Data],$DE395,46),0)</f>
        <v/>
      </c>
      <c r="AX395">
        <f>IFERROR(INDEX(PP_Grid[#Data],$DE395,47),0)</f>
        <v/>
      </c>
      <c r="AY395">
        <f>IFERROR(INDEX(PP_Grid[#Data],$DE395,48),0)</f>
        <v/>
      </c>
      <c r="AZ395">
        <f>IFERROR(INDEX(PP_Grid[#Data],$DE395,49),0)</f>
        <v/>
      </c>
      <c r="BA395">
        <f>IFERROR(INDEX(PP_Grid[#Data],$DE395,50),0)</f>
        <v/>
      </c>
      <c r="BB395">
        <f>IFERROR(INDEX(PP_Grid[#Data],$DE395,51),0)</f>
        <v/>
      </c>
      <c r="BC395">
        <f>IFERROR(INDEX(PP_Grid[#Data],$DE395,52),0)</f>
        <v/>
      </c>
      <c r="BD395">
        <f>IFERROR(INDEX(PP_Grid[#Data],$DE395,53),0)</f>
        <v/>
      </c>
      <c r="BE395">
        <f>IFERROR(INDEX(PP_Grid[#Data],$DE395,54),0)</f>
        <v/>
      </c>
      <c r="BF395">
        <f>IFERROR(INDEX(PP_Grid[#Data],$DE395,55),0)</f>
        <v/>
      </c>
      <c r="BG395">
        <f>IFERROR(INDEX(PP_Grid[#Data],$DE395,56),0)</f>
        <v/>
      </c>
      <c r="BH395">
        <f>IFERROR(INDEX(PP_Grid[#Data],$DE395,57),0)</f>
        <v/>
      </c>
      <c r="BI395">
        <f>IFERROR(INDEX(PP_Grid[#Data],$DE395,58),0)</f>
        <v/>
      </c>
      <c r="BJ395">
        <f>IFERROR(INDEX(PP_Grid[#Data],$DE395,59),0)</f>
        <v/>
      </c>
      <c r="BK395">
        <f>IFERROR(INDEX(PP_Grid[#Data],$DE395,60),0)</f>
        <v/>
      </c>
      <c r="BL395">
        <f>IFERROR(INDEX(PP_Grid[#Data],$DE395,61),0)</f>
        <v/>
      </c>
      <c r="BM395">
        <f>IFERROR(INDEX(PP_Grid[#Data],$DE395,62),0)</f>
        <v/>
      </c>
      <c r="BN395">
        <f>IFERROR(INDEX(PP_Grid[#Data],$DE395,63),0)</f>
        <v/>
      </c>
      <c r="BO395">
        <f>IFERROR(INDEX(PP_Grid[#Data],$DE395,64),0)</f>
        <v/>
      </c>
      <c r="BP395">
        <f>IFERROR(INDEX(PP_Grid[#Data],$DE395,65),0)</f>
        <v/>
      </c>
      <c r="BQ395">
        <f>IFERROR(INDEX(PP_Grid[#Data],$DE395,66),0)</f>
        <v/>
      </c>
      <c r="BR395">
        <f>IFERROR(INDEX(PP_Grid[#Data],$DE395,67),0)</f>
        <v/>
      </c>
      <c r="BS395">
        <f>IFERROR(INDEX(PP_Grid[#Data],$DE395,68),0)</f>
        <v/>
      </c>
      <c r="BT395">
        <f>IFERROR(INDEX(PP_Grid[#Data],$DE395,69),0)</f>
        <v/>
      </c>
      <c r="BU395">
        <f>IFERROR(INDEX(PP_Grid[#Data],$DE395,70),0)</f>
        <v/>
      </c>
      <c r="BV395">
        <f>IFERROR(INDEX(PP_Grid[#Data],$DE395,71),0)</f>
        <v/>
      </c>
      <c r="BW395">
        <f>IFERROR(INDEX(PP_Grid[#Data],$DE395,72),0)</f>
        <v/>
      </c>
      <c r="BX395">
        <f>IFERROR(INDEX(PP_Grid[#Data],$DE395,73),0)</f>
        <v/>
      </c>
      <c r="BY395">
        <f>IFERROR(INDEX(PP_Grid[#Data],$DE395,74),0)</f>
        <v/>
      </c>
      <c r="BZ395">
        <f>IFERROR(INDEX(PP_Grid[#Data],$DE395,75),0)</f>
        <v/>
      </c>
      <c r="CA395">
        <f>IFERROR(INDEX(PP_Grid[#Data],$DE395,76),0)</f>
        <v/>
      </c>
      <c r="CB395">
        <f>IFERROR(INDEX(PP_Grid[#Data],$DE395,77),0)</f>
        <v/>
      </c>
      <c r="CC395">
        <f>IFERROR(INDEX(PP_Grid[#Data],$DE395,78),0)</f>
        <v/>
      </c>
      <c r="CD395">
        <f>IFERROR(INDEX(PP_Grid[#Data],$DE395,79),0)</f>
        <v/>
      </c>
      <c r="CE395">
        <f>IFERROR(INDEX(PP_Grid[#Data],$DE395,80),0)</f>
        <v/>
      </c>
      <c r="CF395">
        <f>IFERROR(INDEX(PP_Grid[#Data],$DE395,81),0)</f>
        <v/>
      </c>
      <c r="CG395">
        <f>IFERROR(INDEX(PP_Grid[#Data],$DE395,82),0)</f>
        <v/>
      </c>
      <c r="CH395">
        <f>IFERROR(INDEX(PP_Grid[#Data],$DE395,83),0)</f>
        <v/>
      </c>
      <c r="CI395">
        <f>IFERROR(INDEX(PP_Grid[#Data],$DE395,84),0)</f>
        <v/>
      </c>
      <c r="CJ395">
        <f>IFERROR(INDEX(PP_Grid[#Data],$DE395,85),0)</f>
        <v/>
      </c>
      <c r="CK395">
        <f>IFERROR(INDEX(PP_Grid[#Data],$DE395,86),0)</f>
        <v/>
      </c>
      <c r="CL395">
        <f>IFERROR(INDEX(PP_Grid[#Data],$DE395,87),0)</f>
        <v/>
      </c>
      <c r="CM395">
        <f>IFERROR(INDEX(PP_Grid[#Data],$DE395,88),0)</f>
        <v/>
      </c>
      <c r="CN395">
        <f>IFERROR(INDEX(PP_Grid[#Data],$DE395,89),0)</f>
        <v/>
      </c>
      <c r="CO395">
        <f>IFERROR(INDEX(PP_Grid[#Data],$DE395,90),0)</f>
        <v/>
      </c>
      <c r="CP395">
        <f>IFERROR(INDEX(PP_Grid[#Data],$DE395,91),0)</f>
        <v/>
      </c>
      <c r="CQ395">
        <f>IFERROR(INDEX(PP_Grid[#Data],$DE395,92),0)</f>
        <v/>
      </c>
      <c r="CR395">
        <f>IFERROR(INDEX(PP_Grid[#Data],$DE395,93),0)</f>
        <v/>
      </c>
      <c r="CS395">
        <f>IFERROR(INDEX(PP_Grid[#Data],$DE395,94),0)</f>
        <v/>
      </c>
      <c r="CT395">
        <f>IFERROR(INDEX(PP_Grid[#Data],$DE395,95),0)</f>
        <v/>
      </c>
      <c r="CU395">
        <f>IFERROR(INDEX(PP_Grid[#Data],$DE395,96),0)</f>
        <v/>
      </c>
      <c r="CV395">
        <f>IFERROR(INDEX(PP_Grid[#Data],$DE395,97),0)</f>
        <v/>
      </c>
      <c r="CW395">
        <f>IFERROR(INDEX(PP_Grid[#Data],$DE395,98),0)</f>
        <v/>
      </c>
      <c r="CX395">
        <f>IFERROR(INDEX(PP_Grid[#Data],$DE395,99),0)</f>
        <v/>
      </c>
      <c r="CY395">
        <f>IFERROR(INDEX(PP_Grid[#Data],$DE395,100),0)</f>
        <v/>
      </c>
      <c r="CZ395">
        <f>IFERROR(INDEX(PP_Grid[#Data],$DE395,101),0)</f>
        <v/>
      </c>
      <c r="DA395">
        <f>IFERROR(INDEX(PP_Grid[#Data],$DE395,102),0)</f>
        <v/>
      </c>
      <c r="DB395">
        <f>IFERROR(INDEX(PP_Grid[#Data],$DE395,103),0)</f>
        <v/>
      </c>
      <c r="DC395">
        <f>IFERROR(INDEX(PP_Grid[#Data],$DE395,104),0)</f>
        <v/>
      </c>
      <c r="DD395">
        <f>IFERROR(INDEX(PP_Grid[#Data],$DE395,105),0)</f>
        <v/>
      </c>
      <c r="DE395" s="7">
        <f>IFERROR(MATCH($B395,PP_Grid[Intermediate],0),99999)</f>
        <v/>
      </c>
    </row>
    <row r="396">
      <c r="B396" t="inlineStr">
        <is>
          <t>使用量(kg)</t>
        </is>
      </c>
      <c r="C396">
        <f>SUMIFS(M_BOM[RM_Qty_Per_Batch],M_BOM[Intermediate],$B395,M_BOM[RM_Code],$A340)</f>
        <v/>
      </c>
      <c r="D396">
        <f>IFERROR(INDEX(E396:DD396,$F$1),"")</f>
        <v/>
      </c>
      <c r="E396">
        <f>$C396*E395</f>
        <v/>
      </c>
      <c r="F396">
        <f>$C396*F395</f>
        <v/>
      </c>
      <c r="G396">
        <f>$C396*G395</f>
        <v/>
      </c>
      <c r="H396">
        <f>$C396*H395</f>
        <v/>
      </c>
      <c r="I396">
        <f>$C396*I395</f>
        <v/>
      </c>
      <c r="J396">
        <f>$C396*J395</f>
        <v/>
      </c>
      <c r="K396">
        <f>$C396*K395</f>
        <v/>
      </c>
      <c r="L396">
        <f>$C396*L395</f>
        <v/>
      </c>
      <c r="M396">
        <f>$C396*M395</f>
        <v/>
      </c>
      <c r="N396">
        <f>$C396*N395</f>
        <v/>
      </c>
      <c r="O396">
        <f>$C396*O395</f>
        <v/>
      </c>
      <c r="P396">
        <f>$C396*P395</f>
        <v/>
      </c>
      <c r="Q396">
        <f>$C396*Q395</f>
        <v/>
      </c>
      <c r="R396">
        <f>$C396*R395</f>
        <v/>
      </c>
      <c r="S396">
        <f>$C396*S395</f>
        <v/>
      </c>
      <c r="T396">
        <f>$C396*T395</f>
        <v/>
      </c>
      <c r="U396">
        <f>$C396*U395</f>
        <v/>
      </c>
      <c r="V396">
        <f>$C396*V395</f>
        <v/>
      </c>
      <c r="W396">
        <f>$C396*W395</f>
        <v/>
      </c>
      <c r="X396">
        <f>$C396*X395</f>
        <v/>
      </c>
      <c r="Y396">
        <f>$C396*Y395</f>
        <v/>
      </c>
      <c r="Z396">
        <f>$C396*Z395</f>
        <v/>
      </c>
      <c r="AA396">
        <f>$C396*AA395</f>
        <v/>
      </c>
      <c r="AB396">
        <f>$C396*AB395</f>
        <v/>
      </c>
      <c r="AC396">
        <f>$C396*AC395</f>
        <v/>
      </c>
      <c r="AD396">
        <f>$C396*AD395</f>
        <v/>
      </c>
      <c r="AE396">
        <f>$C396*AE395</f>
        <v/>
      </c>
      <c r="AF396">
        <f>$C396*AF395</f>
        <v/>
      </c>
      <c r="AG396">
        <f>$C396*AG395</f>
        <v/>
      </c>
      <c r="AH396">
        <f>$C396*AH395</f>
        <v/>
      </c>
      <c r="AI396">
        <f>$C396*AI395</f>
        <v/>
      </c>
      <c r="AJ396">
        <f>$C396*AJ395</f>
        <v/>
      </c>
      <c r="AK396">
        <f>$C396*AK395</f>
        <v/>
      </c>
      <c r="AL396">
        <f>$C396*AL395</f>
        <v/>
      </c>
      <c r="AM396">
        <f>$C396*AM395</f>
        <v/>
      </c>
      <c r="AN396">
        <f>$C396*AN395</f>
        <v/>
      </c>
      <c r="AO396">
        <f>$C396*AO395</f>
        <v/>
      </c>
      <c r="AP396">
        <f>$C396*AP395</f>
        <v/>
      </c>
      <c r="AQ396">
        <f>$C396*AQ395</f>
        <v/>
      </c>
      <c r="AR396">
        <f>$C396*AR395</f>
        <v/>
      </c>
      <c r="AS396">
        <f>$C396*AS395</f>
        <v/>
      </c>
      <c r="AT396">
        <f>$C396*AT395</f>
        <v/>
      </c>
      <c r="AU396">
        <f>$C396*AU395</f>
        <v/>
      </c>
      <c r="AV396">
        <f>$C396*AV395</f>
        <v/>
      </c>
      <c r="AW396">
        <f>$C396*AW395</f>
        <v/>
      </c>
      <c r="AX396">
        <f>$C396*AX395</f>
        <v/>
      </c>
      <c r="AY396">
        <f>$C396*AY395</f>
        <v/>
      </c>
      <c r="AZ396">
        <f>$C396*AZ395</f>
        <v/>
      </c>
      <c r="BA396">
        <f>$C396*BA395</f>
        <v/>
      </c>
      <c r="BB396">
        <f>$C396*BB395</f>
        <v/>
      </c>
      <c r="BC396">
        <f>$C396*BC395</f>
        <v/>
      </c>
      <c r="BD396">
        <f>$C396*BD395</f>
        <v/>
      </c>
      <c r="BE396">
        <f>$C396*BE395</f>
        <v/>
      </c>
      <c r="BF396">
        <f>$C396*BF395</f>
        <v/>
      </c>
      <c r="BG396">
        <f>$C396*BG395</f>
        <v/>
      </c>
      <c r="BH396">
        <f>$C396*BH395</f>
        <v/>
      </c>
      <c r="BI396">
        <f>$C396*BI395</f>
        <v/>
      </c>
      <c r="BJ396">
        <f>$C396*BJ395</f>
        <v/>
      </c>
      <c r="BK396">
        <f>$C396*BK395</f>
        <v/>
      </c>
      <c r="BL396">
        <f>$C396*BL395</f>
        <v/>
      </c>
      <c r="BM396">
        <f>$C396*BM395</f>
        <v/>
      </c>
      <c r="BN396">
        <f>$C396*BN395</f>
        <v/>
      </c>
      <c r="BO396">
        <f>$C396*BO395</f>
        <v/>
      </c>
      <c r="BP396">
        <f>$C396*BP395</f>
        <v/>
      </c>
      <c r="BQ396">
        <f>$C396*BQ395</f>
        <v/>
      </c>
      <c r="BR396">
        <f>$C396*BR395</f>
        <v/>
      </c>
      <c r="BS396">
        <f>$C396*BS395</f>
        <v/>
      </c>
      <c r="BT396">
        <f>$C396*BT395</f>
        <v/>
      </c>
      <c r="BU396">
        <f>$C396*BU395</f>
        <v/>
      </c>
      <c r="BV396">
        <f>$C396*BV395</f>
        <v/>
      </c>
      <c r="BW396">
        <f>$C396*BW395</f>
        <v/>
      </c>
      <c r="BX396">
        <f>$C396*BX395</f>
        <v/>
      </c>
      <c r="BY396">
        <f>$C396*BY395</f>
        <v/>
      </c>
      <c r="BZ396">
        <f>$C396*BZ395</f>
        <v/>
      </c>
      <c r="CA396">
        <f>$C396*CA395</f>
        <v/>
      </c>
      <c r="CB396">
        <f>$C396*CB395</f>
        <v/>
      </c>
      <c r="CC396">
        <f>$C396*CC395</f>
        <v/>
      </c>
      <c r="CD396">
        <f>$C396*CD395</f>
        <v/>
      </c>
      <c r="CE396">
        <f>$C396*CE395</f>
        <v/>
      </c>
      <c r="CF396">
        <f>$C396*CF395</f>
        <v/>
      </c>
      <c r="CG396">
        <f>$C396*CG395</f>
        <v/>
      </c>
      <c r="CH396">
        <f>$C396*CH395</f>
        <v/>
      </c>
      <c r="CI396">
        <f>$C396*CI395</f>
        <v/>
      </c>
      <c r="CJ396">
        <f>$C396*CJ395</f>
        <v/>
      </c>
      <c r="CK396">
        <f>$C396*CK395</f>
        <v/>
      </c>
      <c r="CL396">
        <f>$C396*CL395</f>
        <v/>
      </c>
      <c r="CM396">
        <f>$C396*CM395</f>
        <v/>
      </c>
      <c r="CN396">
        <f>$C396*CN395</f>
        <v/>
      </c>
      <c r="CO396">
        <f>$C396*CO395</f>
        <v/>
      </c>
      <c r="CP396">
        <f>$C396*CP395</f>
        <v/>
      </c>
      <c r="CQ396">
        <f>$C396*CQ395</f>
        <v/>
      </c>
      <c r="CR396">
        <f>$C396*CR395</f>
        <v/>
      </c>
      <c r="CS396">
        <f>$C396*CS395</f>
        <v/>
      </c>
      <c r="CT396">
        <f>$C396*CT395</f>
        <v/>
      </c>
      <c r="CU396">
        <f>$C396*CU395</f>
        <v/>
      </c>
      <c r="CV396">
        <f>$C396*CV395</f>
        <v/>
      </c>
      <c r="CW396">
        <f>$C396*CW395</f>
        <v/>
      </c>
      <c r="CX396">
        <f>$C396*CX395</f>
        <v/>
      </c>
      <c r="CY396">
        <f>$C396*CY395</f>
        <v/>
      </c>
      <c r="CZ396">
        <f>$C396*CZ395</f>
        <v/>
      </c>
      <c r="DA396">
        <f>$C396*DA395</f>
        <v/>
      </c>
      <c r="DB396">
        <f>$C396*DB395</f>
        <v/>
      </c>
      <c r="DC396">
        <f>$C396*DC395</f>
        <v/>
      </c>
      <c r="DD396">
        <f>$C396*DD395</f>
        <v/>
      </c>
    </row>
    <row r="397">
      <c r="B397" t="inlineStr">
        <is>
          <t>TSP-618</t>
        </is>
      </c>
      <c r="C397" t="inlineStr">
        <is>
          <t>No. of batches</t>
        </is>
      </c>
      <c r="D397">
        <f>IFERROR(INDEX(E397:DD397,$F$1),"")</f>
        <v/>
      </c>
      <c r="E397">
        <f>IFERROR(INDEX(PP_Grid[#Data],$DE397,2),0)</f>
        <v/>
      </c>
      <c r="F397">
        <f>IFERROR(INDEX(PP_Grid[#Data],$DE397,3),0)</f>
        <v/>
      </c>
      <c r="G397">
        <f>IFERROR(INDEX(PP_Grid[#Data],$DE397,4),0)</f>
        <v/>
      </c>
      <c r="H397">
        <f>IFERROR(INDEX(PP_Grid[#Data],$DE397,5),0)</f>
        <v/>
      </c>
      <c r="I397">
        <f>IFERROR(INDEX(PP_Grid[#Data],$DE397,6),0)</f>
        <v/>
      </c>
      <c r="J397">
        <f>IFERROR(INDEX(PP_Grid[#Data],$DE397,7),0)</f>
        <v/>
      </c>
      <c r="K397">
        <f>IFERROR(INDEX(PP_Grid[#Data],$DE397,8),0)</f>
        <v/>
      </c>
      <c r="L397">
        <f>IFERROR(INDEX(PP_Grid[#Data],$DE397,9),0)</f>
        <v/>
      </c>
      <c r="M397">
        <f>IFERROR(INDEX(PP_Grid[#Data],$DE397,10),0)</f>
        <v/>
      </c>
      <c r="N397">
        <f>IFERROR(INDEX(PP_Grid[#Data],$DE397,11),0)</f>
        <v/>
      </c>
      <c r="O397">
        <f>IFERROR(INDEX(PP_Grid[#Data],$DE397,12),0)</f>
        <v/>
      </c>
      <c r="P397">
        <f>IFERROR(INDEX(PP_Grid[#Data],$DE397,13),0)</f>
        <v/>
      </c>
      <c r="Q397">
        <f>IFERROR(INDEX(PP_Grid[#Data],$DE397,14),0)</f>
        <v/>
      </c>
      <c r="R397">
        <f>IFERROR(INDEX(PP_Grid[#Data],$DE397,15),0)</f>
        <v/>
      </c>
      <c r="S397">
        <f>IFERROR(INDEX(PP_Grid[#Data],$DE397,16),0)</f>
        <v/>
      </c>
      <c r="T397">
        <f>IFERROR(INDEX(PP_Grid[#Data],$DE397,17),0)</f>
        <v/>
      </c>
      <c r="U397">
        <f>IFERROR(INDEX(PP_Grid[#Data],$DE397,18),0)</f>
        <v/>
      </c>
      <c r="V397">
        <f>IFERROR(INDEX(PP_Grid[#Data],$DE397,19),0)</f>
        <v/>
      </c>
      <c r="W397">
        <f>IFERROR(INDEX(PP_Grid[#Data],$DE397,20),0)</f>
        <v/>
      </c>
      <c r="X397">
        <f>IFERROR(INDEX(PP_Grid[#Data],$DE397,21),0)</f>
        <v/>
      </c>
      <c r="Y397">
        <f>IFERROR(INDEX(PP_Grid[#Data],$DE397,22),0)</f>
        <v/>
      </c>
      <c r="Z397">
        <f>IFERROR(INDEX(PP_Grid[#Data],$DE397,23),0)</f>
        <v/>
      </c>
      <c r="AA397">
        <f>IFERROR(INDEX(PP_Grid[#Data],$DE397,24),0)</f>
        <v/>
      </c>
      <c r="AB397">
        <f>IFERROR(INDEX(PP_Grid[#Data],$DE397,25),0)</f>
        <v/>
      </c>
      <c r="AC397">
        <f>IFERROR(INDEX(PP_Grid[#Data],$DE397,26),0)</f>
        <v/>
      </c>
      <c r="AD397">
        <f>IFERROR(INDEX(PP_Grid[#Data],$DE397,27),0)</f>
        <v/>
      </c>
      <c r="AE397">
        <f>IFERROR(INDEX(PP_Grid[#Data],$DE397,28),0)</f>
        <v/>
      </c>
      <c r="AF397">
        <f>IFERROR(INDEX(PP_Grid[#Data],$DE397,29),0)</f>
        <v/>
      </c>
      <c r="AG397">
        <f>IFERROR(INDEX(PP_Grid[#Data],$DE397,30),0)</f>
        <v/>
      </c>
      <c r="AH397">
        <f>IFERROR(INDEX(PP_Grid[#Data],$DE397,31),0)</f>
        <v/>
      </c>
      <c r="AI397">
        <f>IFERROR(INDEX(PP_Grid[#Data],$DE397,32),0)</f>
        <v/>
      </c>
      <c r="AJ397">
        <f>IFERROR(INDEX(PP_Grid[#Data],$DE397,33),0)</f>
        <v/>
      </c>
      <c r="AK397">
        <f>IFERROR(INDEX(PP_Grid[#Data],$DE397,34),0)</f>
        <v/>
      </c>
      <c r="AL397">
        <f>IFERROR(INDEX(PP_Grid[#Data],$DE397,35),0)</f>
        <v/>
      </c>
      <c r="AM397">
        <f>IFERROR(INDEX(PP_Grid[#Data],$DE397,36),0)</f>
        <v/>
      </c>
      <c r="AN397">
        <f>IFERROR(INDEX(PP_Grid[#Data],$DE397,37),0)</f>
        <v/>
      </c>
      <c r="AO397">
        <f>IFERROR(INDEX(PP_Grid[#Data],$DE397,38),0)</f>
        <v/>
      </c>
      <c r="AP397">
        <f>IFERROR(INDEX(PP_Grid[#Data],$DE397,39),0)</f>
        <v/>
      </c>
      <c r="AQ397">
        <f>IFERROR(INDEX(PP_Grid[#Data],$DE397,40),0)</f>
        <v/>
      </c>
      <c r="AR397">
        <f>IFERROR(INDEX(PP_Grid[#Data],$DE397,41),0)</f>
        <v/>
      </c>
      <c r="AS397">
        <f>IFERROR(INDEX(PP_Grid[#Data],$DE397,42),0)</f>
        <v/>
      </c>
      <c r="AT397">
        <f>IFERROR(INDEX(PP_Grid[#Data],$DE397,43),0)</f>
        <v/>
      </c>
      <c r="AU397">
        <f>IFERROR(INDEX(PP_Grid[#Data],$DE397,44),0)</f>
        <v/>
      </c>
      <c r="AV397">
        <f>IFERROR(INDEX(PP_Grid[#Data],$DE397,45),0)</f>
        <v/>
      </c>
      <c r="AW397">
        <f>IFERROR(INDEX(PP_Grid[#Data],$DE397,46),0)</f>
        <v/>
      </c>
      <c r="AX397">
        <f>IFERROR(INDEX(PP_Grid[#Data],$DE397,47),0)</f>
        <v/>
      </c>
      <c r="AY397">
        <f>IFERROR(INDEX(PP_Grid[#Data],$DE397,48),0)</f>
        <v/>
      </c>
      <c r="AZ397">
        <f>IFERROR(INDEX(PP_Grid[#Data],$DE397,49),0)</f>
        <v/>
      </c>
      <c r="BA397">
        <f>IFERROR(INDEX(PP_Grid[#Data],$DE397,50),0)</f>
        <v/>
      </c>
      <c r="BB397">
        <f>IFERROR(INDEX(PP_Grid[#Data],$DE397,51),0)</f>
        <v/>
      </c>
      <c r="BC397">
        <f>IFERROR(INDEX(PP_Grid[#Data],$DE397,52),0)</f>
        <v/>
      </c>
      <c r="BD397">
        <f>IFERROR(INDEX(PP_Grid[#Data],$DE397,53),0)</f>
        <v/>
      </c>
      <c r="BE397">
        <f>IFERROR(INDEX(PP_Grid[#Data],$DE397,54),0)</f>
        <v/>
      </c>
      <c r="BF397">
        <f>IFERROR(INDEX(PP_Grid[#Data],$DE397,55),0)</f>
        <v/>
      </c>
      <c r="BG397">
        <f>IFERROR(INDEX(PP_Grid[#Data],$DE397,56),0)</f>
        <v/>
      </c>
      <c r="BH397">
        <f>IFERROR(INDEX(PP_Grid[#Data],$DE397,57),0)</f>
        <v/>
      </c>
      <c r="BI397">
        <f>IFERROR(INDEX(PP_Grid[#Data],$DE397,58),0)</f>
        <v/>
      </c>
      <c r="BJ397">
        <f>IFERROR(INDEX(PP_Grid[#Data],$DE397,59),0)</f>
        <v/>
      </c>
      <c r="BK397">
        <f>IFERROR(INDEX(PP_Grid[#Data],$DE397,60),0)</f>
        <v/>
      </c>
      <c r="BL397">
        <f>IFERROR(INDEX(PP_Grid[#Data],$DE397,61),0)</f>
        <v/>
      </c>
      <c r="BM397">
        <f>IFERROR(INDEX(PP_Grid[#Data],$DE397,62),0)</f>
        <v/>
      </c>
      <c r="BN397">
        <f>IFERROR(INDEX(PP_Grid[#Data],$DE397,63),0)</f>
        <v/>
      </c>
      <c r="BO397">
        <f>IFERROR(INDEX(PP_Grid[#Data],$DE397,64),0)</f>
        <v/>
      </c>
      <c r="BP397">
        <f>IFERROR(INDEX(PP_Grid[#Data],$DE397,65),0)</f>
        <v/>
      </c>
      <c r="BQ397">
        <f>IFERROR(INDEX(PP_Grid[#Data],$DE397,66),0)</f>
        <v/>
      </c>
      <c r="BR397">
        <f>IFERROR(INDEX(PP_Grid[#Data],$DE397,67),0)</f>
        <v/>
      </c>
      <c r="BS397">
        <f>IFERROR(INDEX(PP_Grid[#Data],$DE397,68),0)</f>
        <v/>
      </c>
      <c r="BT397">
        <f>IFERROR(INDEX(PP_Grid[#Data],$DE397,69),0)</f>
        <v/>
      </c>
      <c r="BU397">
        <f>IFERROR(INDEX(PP_Grid[#Data],$DE397,70),0)</f>
        <v/>
      </c>
      <c r="BV397">
        <f>IFERROR(INDEX(PP_Grid[#Data],$DE397,71),0)</f>
        <v/>
      </c>
      <c r="BW397">
        <f>IFERROR(INDEX(PP_Grid[#Data],$DE397,72),0)</f>
        <v/>
      </c>
      <c r="BX397">
        <f>IFERROR(INDEX(PP_Grid[#Data],$DE397,73),0)</f>
        <v/>
      </c>
      <c r="BY397">
        <f>IFERROR(INDEX(PP_Grid[#Data],$DE397,74),0)</f>
        <v/>
      </c>
      <c r="BZ397">
        <f>IFERROR(INDEX(PP_Grid[#Data],$DE397,75),0)</f>
        <v/>
      </c>
      <c r="CA397">
        <f>IFERROR(INDEX(PP_Grid[#Data],$DE397,76),0)</f>
        <v/>
      </c>
      <c r="CB397">
        <f>IFERROR(INDEX(PP_Grid[#Data],$DE397,77),0)</f>
        <v/>
      </c>
      <c r="CC397">
        <f>IFERROR(INDEX(PP_Grid[#Data],$DE397,78),0)</f>
        <v/>
      </c>
      <c r="CD397">
        <f>IFERROR(INDEX(PP_Grid[#Data],$DE397,79),0)</f>
        <v/>
      </c>
      <c r="CE397">
        <f>IFERROR(INDEX(PP_Grid[#Data],$DE397,80),0)</f>
        <v/>
      </c>
      <c r="CF397">
        <f>IFERROR(INDEX(PP_Grid[#Data],$DE397,81),0)</f>
        <v/>
      </c>
      <c r="CG397">
        <f>IFERROR(INDEX(PP_Grid[#Data],$DE397,82),0)</f>
        <v/>
      </c>
      <c r="CH397">
        <f>IFERROR(INDEX(PP_Grid[#Data],$DE397,83),0)</f>
        <v/>
      </c>
      <c r="CI397">
        <f>IFERROR(INDEX(PP_Grid[#Data],$DE397,84),0)</f>
        <v/>
      </c>
      <c r="CJ397">
        <f>IFERROR(INDEX(PP_Grid[#Data],$DE397,85),0)</f>
        <v/>
      </c>
      <c r="CK397">
        <f>IFERROR(INDEX(PP_Grid[#Data],$DE397,86),0)</f>
        <v/>
      </c>
      <c r="CL397">
        <f>IFERROR(INDEX(PP_Grid[#Data],$DE397,87),0)</f>
        <v/>
      </c>
      <c r="CM397">
        <f>IFERROR(INDEX(PP_Grid[#Data],$DE397,88),0)</f>
        <v/>
      </c>
      <c r="CN397">
        <f>IFERROR(INDEX(PP_Grid[#Data],$DE397,89),0)</f>
        <v/>
      </c>
      <c r="CO397">
        <f>IFERROR(INDEX(PP_Grid[#Data],$DE397,90),0)</f>
        <v/>
      </c>
      <c r="CP397">
        <f>IFERROR(INDEX(PP_Grid[#Data],$DE397,91),0)</f>
        <v/>
      </c>
      <c r="CQ397">
        <f>IFERROR(INDEX(PP_Grid[#Data],$DE397,92),0)</f>
        <v/>
      </c>
      <c r="CR397">
        <f>IFERROR(INDEX(PP_Grid[#Data],$DE397,93),0)</f>
        <v/>
      </c>
      <c r="CS397">
        <f>IFERROR(INDEX(PP_Grid[#Data],$DE397,94),0)</f>
        <v/>
      </c>
      <c r="CT397">
        <f>IFERROR(INDEX(PP_Grid[#Data],$DE397,95),0)</f>
        <v/>
      </c>
      <c r="CU397">
        <f>IFERROR(INDEX(PP_Grid[#Data],$DE397,96),0)</f>
        <v/>
      </c>
      <c r="CV397">
        <f>IFERROR(INDEX(PP_Grid[#Data],$DE397,97),0)</f>
        <v/>
      </c>
      <c r="CW397">
        <f>IFERROR(INDEX(PP_Grid[#Data],$DE397,98),0)</f>
        <v/>
      </c>
      <c r="CX397">
        <f>IFERROR(INDEX(PP_Grid[#Data],$DE397,99),0)</f>
        <v/>
      </c>
      <c r="CY397">
        <f>IFERROR(INDEX(PP_Grid[#Data],$DE397,100),0)</f>
        <v/>
      </c>
      <c r="CZ397">
        <f>IFERROR(INDEX(PP_Grid[#Data],$DE397,101),0)</f>
        <v/>
      </c>
      <c r="DA397">
        <f>IFERROR(INDEX(PP_Grid[#Data],$DE397,102),0)</f>
        <v/>
      </c>
      <c r="DB397">
        <f>IFERROR(INDEX(PP_Grid[#Data],$DE397,103),0)</f>
        <v/>
      </c>
      <c r="DC397">
        <f>IFERROR(INDEX(PP_Grid[#Data],$DE397,104),0)</f>
        <v/>
      </c>
      <c r="DD397">
        <f>IFERROR(INDEX(PP_Grid[#Data],$DE397,105),0)</f>
        <v/>
      </c>
      <c r="DE397" s="7">
        <f>IFERROR(MATCH($B397,PP_Grid[Intermediate],0),99999)</f>
        <v/>
      </c>
    </row>
    <row r="398">
      <c r="B398" t="inlineStr">
        <is>
          <t>使用量(kg)</t>
        </is>
      </c>
      <c r="C398">
        <f>SUMIFS(M_BOM[RM_Qty_Per_Batch],M_BOM[Intermediate],$B397,M_BOM[RM_Code],$A340)</f>
        <v/>
      </c>
      <c r="D398">
        <f>IFERROR(INDEX(E398:DD398,$F$1),"")</f>
        <v/>
      </c>
      <c r="E398">
        <f>$C398*E397</f>
        <v/>
      </c>
      <c r="F398">
        <f>$C398*F397</f>
        <v/>
      </c>
      <c r="G398">
        <f>$C398*G397</f>
        <v/>
      </c>
      <c r="H398">
        <f>$C398*H397</f>
        <v/>
      </c>
      <c r="I398">
        <f>$C398*I397</f>
        <v/>
      </c>
      <c r="J398">
        <f>$C398*J397</f>
        <v/>
      </c>
      <c r="K398">
        <f>$C398*K397</f>
        <v/>
      </c>
      <c r="L398">
        <f>$C398*L397</f>
        <v/>
      </c>
      <c r="M398">
        <f>$C398*M397</f>
        <v/>
      </c>
      <c r="N398">
        <f>$C398*N397</f>
        <v/>
      </c>
      <c r="O398">
        <f>$C398*O397</f>
        <v/>
      </c>
      <c r="P398">
        <f>$C398*P397</f>
        <v/>
      </c>
      <c r="Q398">
        <f>$C398*Q397</f>
        <v/>
      </c>
      <c r="R398">
        <f>$C398*R397</f>
        <v/>
      </c>
      <c r="S398">
        <f>$C398*S397</f>
        <v/>
      </c>
      <c r="T398">
        <f>$C398*T397</f>
        <v/>
      </c>
      <c r="U398">
        <f>$C398*U397</f>
        <v/>
      </c>
      <c r="V398">
        <f>$C398*V397</f>
        <v/>
      </c>
      <c r="W398">
        <f>$C398*W397</f>
        <v/>
      </c>
      <c r="X398">
        <f>$C398*X397</f>
        <v/>
      </c>
      <c r="Y398">
        <f>$C398*Y397</f>
        <v/>
      </c>
      <c r="Z398">
        <f>$C398*Z397</f>
        <v/>
      </c>
      <c r="AA398">
        <f>$C398*AA397</f>
        <v/>
      </c>
      <c r="AB398">
        <f>$C398*AB397</f>
        <v/>
      </c>
      <c r="AC398">
        <f>$C398*AC397</f>
        <v/>
      </c>
      <c r="AD398">
        <f>$C398*AD397</f>
        <v/>
      </c>
      <c r="AE398">
        <f>$C398*AE397</f>
        <v/>
      </c>
      <c r="AF398">
        <f>$C398*AF397</f>
        <v/>
      </c>
      <c r="AG398">
        <f>$C398*AG397</f>
        <v/>
      </c>
      <c r="AH398">
        <f>$C398*AH397</f>
        <v/>
      </c>
      <c r="AI398">
        <f>$C398*AI397</f>
        <v/>
      </c>
      <c r="AJ398">
        <f>$C398*AJ397</f>
        <v/>
      </c>
      <c r="AK398">
        <f>$C398*AK397</f>
        <v/>
      </c>
      <c r="AL398">
        <f>$C398*AL397</f>
        <v/>
      </c>
      <c r="AM398">
        <f>$C398*AM397</f>
        <v/>
      </c>
      <c r="AN398">
        <f>$C398*AN397</f>
        <v/>
      </c>
      <c r="AO398">
        <f>$C398*AO397</f>
        <v/>
      </c>
      <c r="AP398">
        <f>$C398*AP397</f>
        <v/>
      </c>
      <c r="AQ398">
        <f>$C398*AQ397</f>
        <v/>
      </c>
      <c r="AR398">
        <f>$C398*AR397</f>
        <v/>
      </c>
      <c r="AS398">
        <f>$C398*AS397</f>
        <v/>
      </c>
      <c r="AT398">
        <f>$C398*AT397</f>
        <v/>
      </c>
      <c r="AU398">
        <f>$C398*AU397</f>
        <v/>
      </c>
      <c r="AV398">
        <f>$C398*AV397</f>
        <v/>
      </c>
      <c r="AW398">
        <f>$C398*AW397</f>
        <v/>
      </c>
      <c r="AX398">
        <f>$C398*AX397</f>
        <v/>
      </c>
      <c r="AY398">
        <f>$C398*AY397</f>
        <v/>
      </c>
      <c r="AZ398">
        <f>$C398*AZ397</f>
        <v/>
      </c>
      <c r="BA398">
        <f>$C398*BA397</f>
        <v/>
      </c>
      <c r="BB398">
        <f>$C398*BB397</f>
        <v/>
      </c>
      <c r="BC398">
        <f>$C398*BC397</f>
        <v/>
      </c>
      <c r="BD398">
        <f>$C398*BD397</f>
        <v/>
      </c>
      <c r="BE398">
        <f>$C398*BE397</f>
        <v/>
      </c>
      <c r="BF398">
        <f>$C398*BF397</f>
        <v/>
      </c>
      <c r="BG398">
        <f>$C398*BG397</f>
        <v/>
      </c>
      <c r="BH398">
        <f>$C398*BH397</f>
        <v/>
      </c>
      <c r="BI398">
        <f>$C398*BI397</f>
        <v/>
      </c>
      <c r="BJ398">
        <f>$C398*BJ397</f>
        <v/>
      </c>
      <c r="BK398">
        <f>$C398*BK397</f>
        <v/>
      </c>
      <c r="BL398">
        <f>$C398*BL397</f>
        <v/>
      </c>
      <c r="BM398">
        <f>$C398*BM397</f>
        <v/>
      </c>
      <c r="BN398">
        <f>$C398*BN397</f>
        <v/>
      </c>
      <c r="BO398">
        <f>$C398*BO397</f>
        <v/>
      </c>
      <c r="BP398">
        <f>$C398*BP397</f>
        <v/>
      </c>
      <c r="BQ398">
        <f>$C398*BQ397</f>
        <v/>
      </c>
      <c r="BR398">
        <f>$C398*BR397</f>
        <v/>
      </c>
      <c r="BS398">
        <f>$C398*BS397</f>
        <v/>
      </c>
      <c r="BT398">
        <f>$C398*BT397</f>
        <v/>
      </c>
      <c r="BU398">
        <f>$C398*BU397</f>
        <v/>
      </c>
      <c r="BV398">
        <f>$C398*BV397</f>
        <v/>
      </c>
      <c r="BW398">
        <f>$C398*BW397</f>
        <v/>
      </c>
      <c r="BX398">
        <f>$C398*BX397</f>
        <v/>
      </c>
      <c r="BY398">
        <f>$C398*BY397</f>
        <v/>
      </c>
      <c r="BZ398">
        <f>$C398*BZ397</f>
        <v/>
      </c>
      <c r="CA398">
        <f>$C398*CA397</f>
        <v/>
      </c>
      <c r="CB398">
        <f>$C398*CB397</f>
        <v/>
      </c>
      <c r="CC398">
        <f>$C398*CC397</f>
        <v/>
      </c>
      <c r="CD398">
        <f>$C398*CD397</f>
        <v/>
      </c>
      <c r="CE398">
        <f>$C398*CE397</f>
        <v/>
      </c>
      <c r="CF398">
        <f>$C398*CF397</f>
        <v/>
      </c>
      <c r="CG398">
        <f>$C398*CG397</f>
        <v/>
      </c>
      <c r="CH398">
        <f>$C398*CH397</f>
        <v/>
      </c>
      <c r="CI398">
        <f>$C398*CI397</f>
        <v/>
      </c>
      <c r="CJ398">
        <f>$C398*CJ397</f>
        <v/>
      </c>
      <c r="CK398">
        <f>$C398*CK397</f>
        <v/>
      </c>
      <c r="CL398">
        <f>$C398*CL397</f>
        <v/>
      </c>
      <c r="CM398">
        <f>$C398*CM397</f>
        <v/>
      </c>
      <c r="CN398">
        <f>$C398*CN397</f>
        <v/>
      </c>
      <c r="CO398">
        <f>$C398*CO397</f>
        <v/>
      </c>
      <c r="CP398">
        <f>$C398*CP397</f>
        <v/>
      </c>
      <c r="CQ398">
        <f>$C398*CQ397</f>
        <v/>
      </c>
      <c r="CR398">
        <f>$C398*CR397</f>
        <v/>
      </c>
      <c r="CS398">
        <f>$C398*CS397</f>
        <v/>
      </c>
      <c r="CT398">
        <f>$C398*CT397</f>
        <v/>
      </c>
      <c r="CU398">
        <f>$C398*CU397</f>
        <v/>
      </c>
      <c r="CV398">
        <f>$C398*CV397</f>
        <v/>
      </c>
      <c r="CW398">
        <f>$C398*CW397</f>
        <v/>
      </c>
      <c r="CX398">
        <f>$C398*CX397</f>
        <v/>
      </c>
      <c r="CY398">
        <f>$C398*CY397</f>
        <v/>
      </c>
      <c r="CZ398">
        <f>$C398*CZ397</f>
        <v/>
      </c>
      <c r="DA398">
        <f>$C398*DA397</f>
        <v/>
      </c>
      <c r="DB398">
        <f>$C398*DB397</f>
        <v/>
      </c>
      <c r="DC398">
        <f>$C398*DC397</f>
        <v/>
      </c>
      <c r="DD398">
        <f>$C398*DD397</f>
        <v/>
      </c>
    </row>
    <row r="399">
      <c r="B399" t="inlineStr">
        <is>
          <t>TSP-620</t>
        </is>
      </c>
      <c r="C399" t="inlineStr">
        <is>
          <t>No. of batches</t>
        </is>
      </c>
      <c r="D399">
        <f>IFERROR(INDEX(E399:DD399,$F$1),"")</f>
        <v/>
      </c>
      <c r="E399">
        <f>IFERROR(INDEX(PP_Grid[#Data],$DE399,2),0)</f>
        <v/>
      </c>
      <c r="F399">
        <f>IFERROR(INDEX(PP_Grid[#Data],$DE399,3),0)</f>
        <v/>
      </c>
      <c r="G399">
        <f>IFERROR(INDEX(PP_Grid[#Data],$DE399,4),0)</f>
        <v/>
      </c>
      <c r="H399">
        <f>IFERROR(INDEX(PP_Grid[#Data],$DE399,5),0)</f>
        <v/>
      </c>
      <c r="I399">
        <f>IFERROR(INDEX(PP_Grid[#Data],$DE399,6),0)</f>
        <v/>
      </c>
      <c r="J399">
        <f>IFERROR(INDEX(PP_Grid[#Data],$DE399,7),0)</f>
        <v/>
      </c>
      <c r="K399">
        <f>IFERROR(INDEX(PP_Grid[#Data],$DE399,8),0)</f>
        <v/>
      </c>
      <c r="L399">
        <f>IFERROR(INDEX(PP_Grid[#Data],$DE399,9),0)</f>
        <v/>
      </c>
      <c r="M399">
        <f>IFERROR(INDEX(PP_Grid[#Data],$DE399,10),0)</f>
        <v/>
      </c>
      <c r="N399">
        <f>IFERROR(INDEX(PP_Grid[#Data],$DE399,11),0)</f>
        <v/>
      </c>
      <c r="O399">
        <f>IFERROR(INDEX(PP_Grid[#Data],$DE399,12),0)</f>
        <v/>
      </c>
      <c r="P399">
        <f>IFERROR(INDEX(PP_Grid[#Data],$DE399,13),0)</f>
        <v/>
      </c>
      <c r="Q399">
        <f>IFERROR(INDEX(PP_Grid[#Data],$DE399,14),0)</f>
        <v/>
      </c>
      <c r="R399">
        <f>IFERROR(INDEX(PP_Grid[#Data],$DE399,15),0)</f>
        <v/>
      </c>
      <c r="S399">
        <f>IFERROR(INDEX(PP_Grid[#Data],$DE399,16),0)</f>
        <v/>
      </c>
      <c r="T399">
        <f>IFERROR(INDEX(PP_Grid[#Data],$DE399,17),0)</f>
        <v/>
      </c>
      <c r="U399">
        <f>IFERROR(INDEX(PP_Grid[#Data],$DE399,18),0)</f>
        <v/>
      </c>
      <c r="V399">
        <f>IFERROR(INDEX(PP_Grid[#Data],$DE399,19),0)</f>
        <v/>
      </c>
      <c r="W399">
        <f>IFERROR(INDEX(PP_Grid[#Data],$DE399,20),0)</f>
        <v/>
      </c>
      <c r="X399">
        <f>IFERROR(INDEX(PP_Grid[#Data],$DE399,21),0)</f>
        <v/>
      </c>
      <c r="Y399">
        <f>IFERROR(INDEX(PP_Grid[#Data],$DE399,22),0)</f>
        <v/>
      </c>
      <c r="Z399">
        <f>IFERROR(INDEX(PP_Grid[#Data],$DE399,23),0)</f>
        <v/>
      </c>
      <c r="AA399">
        <f>IFERROR(INDEX(PP_Grid[#Data],$DE399,24),0)</f>
        <v/>
      </c>
      <c r="AB399">
        <f>IFERROR(INDEX(PP_Grid[#Data],$DE399,25),0)</f>
        <v/>
      </c>
      <c r="AC399">
        <f>IFERROR(INDEX(PP_Grid[#Data],$DE399,26),0)</f>
        <v/>
      </c>
      <c r="AD399">
        <f>IFERROR(INDEX(PP_Grid[#Data],$DE399,27),0)</f>
        <v/>
      </c>
      <c r="AE399">
        <f>IFERROR(INDEX(PP_Grid[#Data],$DE399,28),0)</f>
        <v/>
      </c>
      <c r="AF399">
        <f>IFERROR(INDEX(PP_Grid[#Data],$DE399,29),0)</f>
        <v/>
      </c>
      <c r="AG399">
        <f>IFERROR(INDEX(PP_Grid[#Data],$DE399,30),0)</f>
        <v/>
      </c>
      <c r="AH399">
        <f>IFERROR(INDEX(PP_Grid[#Data],$DE399,31),0)</f>
        <v/>
      </c>
      <c r="AI399">
        <f>IFERROR(INDEX(PP_Grid[#Data],$DE399,32),0)</f>
        <v/>
      </c>
      <c r="AJ399">
        <f>IFERROR(INDEX(PP_Grid[#Data],$DE399,33),0)</f>
        <v/>
      </c>
      <c r="AK399">
        <f>IFERROR(INDEX(PP_Grid[#Data],$DE399,34),0)</f>
        <v/>
      </c>
      <c r="AL399">
        <f>IFERROR(INDEX(PP_Grid[#Data],$DE399,35),0)</f>
        <v/>
      </c>
      <c r="AM399">
        <f>IFERROR(INDEX(PP_Grid[#Data],$DE399,36),0)</f>
        <v/>
      </c>
      <c r="AN399">
        <f>IFERROR(INDEX(PP_Grid[#Data],$DE399,37),0)</f>
        <v/>
      </c>
      <c r="AO399">
        <f>IFERROR(INDEX(PP_Grid[#Data],$DE399,38),0)</f>
        <v/>
      </c>
      <c r="AP399">
        <f>IFERROR(INDEX(PP_Grid[#Data],$DE399,39),0)</f>
        <v/>
      </c>
      <c r="AQ399">
        <f>IFERROR(INDEX(PP_Grid[#Data],$DE399,40),0)</f>
        <v/>
      </c>
      <c r="AR399">
        <f>IFERROR(INDEX(PP_Grid[#Data],$DE399,41),0)</f>
        <v/>
      </c>
      <c r="AS399">
        <f>IFERROR(INDEX(PP_Grid[#Data],$DE399,42),0)</f>
        <v/>
      </c>
      <c r="AT399">
        <f>IFERROR(INDEX(PP_Grid[#Data],$DE399,43),0)</f>
        <v/>
      </c>
      <c r="AU399">
        <f>IFERROR(INDEX(PP_Grid[#Data],$DE399,44),0)</f>
        <v/>
      </c>
      <c r="AV399">
        <f>IFERROR(INDEX(PP_Grid[#Data],$DE399,45),0)</f>
        <v/>
      </c>
      <c r="AW399">
        <f>IFERROR(INDEX(PP_Grid[#Data],$DE399,46),0)</f>
        <v/>
      </c>
      <c r="AX399">
        <f>IFERROR(INDEX(PP_Grid[#Data],$DE399,47),0)</f>
        <v/>
      </c>
      <c r="AY399">
        <f>IFERROR(INDEX(PP_Grid[#Data],$DE399,48),0)</f>
        <v/>
      </c>
      <c r="AZ399">
        <f>IFERROR(INDEX(PP_Grid[#Data],$DE399,49),0)</f>
        <v/>
      </c>
      <c r="BA399">
        <f>IFERROR(INDEX(PP_Grid[#Data],$DE399,50),0)</f>
        <v/>
      </c>
      <c r="BB399">
        <f>IFERROR(INDEX(PP_Grid[#Data],$DE399,51),0)</f>
        <v/>
      </c>
      <c r="BC399">
        <f>IFERROR(INDEX(PP_Grid[#Data],$DE399,52),0)</f>
        <v/>
      </c>
      <c r="BD399">
        <f>IFERROR(INDEX(PP_Grid[#Data],$DE399,53),0)</f>
        <v/>
      </c>
      <c r="BE399">
        <f>IFERROR(INDEX(PP_Grid[#Data],$DE399,54),0)</f>
        <v/>
      </c>
      <c r="BF399">
        <f>IFERROR(INDEX(PP_Grid[#Data],$DE399,55),0)</f>
        <v/>
      </c>
      <c r="BG399">
        <f>IFERROR(INDEX(PP_Grid[#Data],$DE399,56),0)</f>
        <v/>
      </c>
      <c r="BH399">
        <f>IFERROR(INDEX(PP_Grid[#Data],$DE399,57),0)</f>
        <v/>
      </c>
      <c r="BI399">
        <f>IFERROR(INDEX(PP_Grid[#Data],$DE399,58),0)</f>
        <v/>
      </c>
      <c r="BJ399">
        <f>IFERROR(INDEX(PP_Grid[#Data],$DE399,59),0)</f>
        <v/>
      </c>
      <c r="BK399">
        <f>IFERROR(INDEX(PP_Grid[#Data],$DE399,60),0)</f>
        <v/>
      </c>
      <c r="BL399">
        <f>IFERROR(INDEX(PP_Grid[#Data],$DE399,61),0)</f>
        <v/>
      </c>
      <c r="BM399">
        <f>IFERROR(INDEX(PP_Grid[#Data],$DE399,62),0)</f>
        <v/>
      </c>
      <c r="BN399">
        <f>IFERROR(INDEX(PP_Grid[#Data],$DE399,63),0)</f>
        <v/>
      </c>
      <c r="BO399">
        <f>IFERROR(INDEX(PP_Grid[#Data],$DE399,64),0)</f>
        <v/>
      </c>
      <c r="BP399">
        <f>IFERROR(INDEX(PP_Grid[#Data],$DE399,65),0)</f>
        <v/>
      </c>
      <c r="BQ399">
        <f>IFERROR(INDEX(PP_Grid[#Data],$DE399,66),0)</f>
        <v/>
      </c>
      <c r="BR399">
        <f>IFERROR(INDEX(PP_Grid[#Data],$DE399,67),0)</f>
        <v/>
      </c>
      <c r="BS399">
        <f>IFERROR(INDEX(PP_Grid[#Data],$DE399,68),0)</f>
        <v/>
      </c>
      <c r="BT399">
        <f>IFERROR(INDEX(PP_Grid[#Data],$DE399,69),0)</f>
        <v/>
      </c>
      <c r="BU399">
        <f>IFERROR(INDEX(PP_Grid[#Data],$DE399,70),0)</f>
        <v/>
      </c>
      <c r="BV399">
        <f>IFERROR(INDEX(PP_Grid[#Data],$DE399,71),0)</f>
        <v/>
      </c>
      <c r="BW399">
        <f>IFERROR(INDEX(PP_Grid[#Data],$DE399,72),0)</f>
        <v/>
      </c>
      <c r="BX399">
        <f>IFERROR(INDEX(PP_Grid[#Data],$DE399,73),0)</f>
        <v/>
      </c>
      <c r="BY399">
        <f>IFERROR(INDEX(PP_Grid[#Data],$DE399,74),0)</f>
        <v/>
      </c>
      <c r="BZ399">
        <f>IFERROR(INDEX(PP_Grid[#Data],$DE399,75),0)</f>
        <v/>
      </c>
      <c r="CA399">
        <f>IFERROR(INDEX(PP_Grid[#Data],$DE399,76),0)</f>
        <v/>
      </c>
      <c r="CB399">
        <f>IFERROR(INDEX(PP_Grid[#Data],$DE399,77),0)</f>
        <v/>
      </c>
      <c r="CC399">
        <f>IFERROR(INDEX(PP_Grid[#Data],$DE399,78),0)</f>
        <v/>
      </c>
      <c r="CD399">
        <f>IFERROR(INDEX(PP_Grid[#Data],$DE399,79),0)</f>
        <v/>
      </c>
      <c r="CE399">
        <f>IFERROR(INDEX(PP_Grid[#Data],$DE399,80),0)</f>
        <v/>
      </c>
      <c r="CF399">
        <f>IFERROR(INDEX(PP_Grid[#Data],$DE399,81),0)</f>
        <v/>
      </c>
      <c r="CG399">
        <f>IFERROR(INDEX(PP_Grid[#Data],$DE399,82),0)</f>
        <v/>
      </c>
      <c r="CH399">
        <f>IFERROR(INDEX(PP_Grid[#Data],$DE399,83),0)</f>
        <v/>
      </c>
      <c r="CI399">
        <f>IFERROR(INDEX(PP_Grid[#Data],$DE399,84),0)</f>
        <v/>
      </c>
      <c r="CJ399">
        <f>IFERROR(INDEX(PP_Grid[#Data],$DE399,85),0)</f>
        <v/>
      </c>
      <c r="CK399">
        <f>IFERROR(INDEX(PP_Grid[#Data],$DE399,86),0)</f>
        <v/>
      </c>
      <c r="CL399">
        <f>IFERROR(INDEX(PP_Grid[#Data],$DE399,87),0)</f>
        <v/>
      </c>
      <c r="CM399">
        <f>IFERROR(INDEX(PP_Grid[#Data],$DE399,88),0)</f>
        <v/>
      </c>
      <c r="CN399">
        <f>IFERROR(INDEX(PP_Grid[#Data],$DE399,89),0)</f>
        <v/>
      </c>
      <c r="CO399">
        <f>IFERROR(INDEX(PP_Grid[#Data],$DE399,90),0)</f>
        <v/>
      </c>
      <c r="CP399">
        <f>IFERROR(INDEX(PP_Grid[#Data],$DE399,91),0)</f>
        <v/>
      </c>
      <c r="CQ399">
        <f>IFERROR(INDEX(PP_Grid[#Data],$DE399,92),0)</f>
        <v/>
      </c>
      <c r="CR399">
        <f>IFERROR(INDEX(PP_Grid[#Data],$DE399,93),0)</f>
        <v/>
      </c>
      <c r="CS399">
        <f>IFERROR(INDEX(PP_Grid[#Data],$DE399,94),0)</f>
        <v/>
      </c>
      <c r="CT399">
        <f>IFERROR(INDEX(PP_Grid[#Data],$DE399,95),0)</f>
        <v/>
      </c>
      <c r="CU399">
        <f>IFERROR(INDEX(PP_Grid[#Data],$DE399,96),0)</f>
        <v/>
      </c>
      <c r="CV399">
        <f>IFERROR(INDEX(PP_Grid[#Data],$DE399,97),0)</f>
        <v/>
      </c>
      <c r="CW399">
        <f>IFERROR(INDEX(PP_Grid[#Data],$DE399,98),0)</f>
        <v/>
      </c>
      <c r="CX399">
        <f>IFERROR(INDEX(PP_Grid[#Data],$DE399,99),0)</f>
        <v/>
      </c>
      <c r="CY399">
        <f>IFERROR(INDEX(PP_Grid[#Data],$DE399,100),0)</f>
        <v/>
      </c>
      <c r="CZ399">
        <f>IFERROR(INDEX(PP_Grid[#Data],$DE399,101),0)</f>
        <v/>
      </c>
      <c r="DA399">
        <f>IFERROR(INDEX(PP_Grid[#Data],$DE399,102),0)</f>
        <v/>
      </c>
      <c r="DB399">
        <f>IFERROR(INDEX(PP_Grid[#Data],$DE399,103),0)</f>
        <v/>
      </c>
      <c r="DC399">
        <f>IFERROR(INDEX(PP_Grid[#Data],$DE399,104),0)</f>
        <v/>
      </c>
      <c r="DD399">
        <f>IFERROR(INDEX(PP_Grid[#Data],$DE399,105),0)</f>
        <v/>
      </c>
      <c r="DE399" s="7">
        <f>IFERROR(MATCH($B399,PP_Grid[Intermediate],0),99999)</f>
        <v/>
      </c>
    </row>
    <row r="400">
      <c r="B400" t="inlineStr">
        <is>
          <t>使用量(kg)</t>
        </is>
      </c>
      <c r="C400">
        <f>SUMIFS(M_BOM[RM_Qty_Per_Batch],M_BOM[Intermediate],$B399,M_BOM[RM_Code],$A340)</f>
        <v/>
      </c>
      <c r="D400">
        <f>IFERROR(INDEX(E400:DD400,$F$1),"")</f>
        <v/>
      </c>
      <c r="E400">
        <f>$C400*E399</f>
        <v/>
      </c>
      <c r="F400">
        <f>$C400*F399</f>
        <v/>
      </c>
      <c r="G400">
        <f>$C400*G399</f>
        <v/>
      </c>
      <c r="H400">
        <f>$C400*H399</f>
        <v/>
      </c>
      <c r="I400">
        <f>$C400*I399</f>
        <v/>
      </c>
      <c r="J400">
        <f>$C400*J399</f>
        <v/>
      </c>
      <c r="K400">
        <f>$C400*K399</f>
        <v/>
      </c>
      <c r="L400">
        <f>$C400*L399</f>
        <v/>
      </c>
      <c r="M400">
        <f>$C400*M399</f>
        <v/>
      </c>
      <c r="N400">
        <f>$C400*N399</f>
        <v/>
      </c>
      <c r="O400">
        <f>$C400*O399</f>
        <v/>
      </c>
      <c r="P400">
        <f>$C400*P399</f>
        <v/>
      </c>
      <c r="Q400">
        <f>$C400*Q399</f>
        <v/>
      </c>
      <c r="R400">
        <f>$C400*R399</f>
        <v/>
      </c>
      <c r="S400">
        <f>$C400*S399</f>
        <v/>
      </c>
      <c r="T400">
        <f>$C400*T399</f>
        <v/>
      </c>
      <c r="U400">
        <f>$C400*U399</f>
        <v/>
      </c>
      <c r="V400">
        <f>$C400*V399</f>
        <v/>
      </c>
      <c r="W400">
        <f>$C400*W399</f>
        <v/>
      </c>
      <c r="X400">
        <f>$C400*X399</f>
        <v/>
      </c>
      <c r="Y400">
        <f>$C400*Y399</f>
        <v/>
      </c>
      <c r="Z400">
        <f>$C400*Z399</f>
        <v/>
      </c>
      <c r="AA400">
        <f>$C400*AA399</f>
        <v/>
      </c>
      <c r="AB400">
        <f>$C400*AB399</f>
        <v/>
      </c>
      <c r="AC400">
        <f>$C400*AC399</f>
        <v/>
      </c>
      <c r="AD400">
        <f>$C400*AD399</f>
        <v/>
      </c>
      <c r="AE400">
        <f>$C400*AE399</f>
        <v/>
      </c>
      <c r="AF400">
        <f>$C400*AF399</f>
        <v/>
      </c>
      <c r="AG400">
        <f>$C400*AG399</f>
        <v/>
      </c>
      <c r="AH400">
        <f>$C400*AH399</f>
        <v/>
      </c>
      <c r="AI400">
        <f>$C400*AI399</f>
        <v/>
      </c>
      <c r="AJ400">
        <f>$C400*AJ399</f>
        <v/>
      </c>
      <c r="AK400">
        <f>$C400*AK399</f>
        <v/>
      </c>
      <c r="AL400">
        <f>$C400*AL399</f>
        <v/>
      </c>
      <c r="AM400">
        <f>$C400*AM399</f>
        <v/>
      </c>
      <c r="AN400">
        <f>$C400*AN399</f>
        <v/>
      </c>
      <c r="AO400">
        <f>$C400*AO399</f>
        <v/>
      </c>
      <c r="AP400">
        <f>$C400*AP399</f>
        <v/>
      </c>
      <c r="AQ400">
        <f>$C400*AQ399</f>
        <v/>
      </c>
      <c r="AR400">
        <f>$C400*AR399</f>
        <v/>
      </c>
      <c r="AS400">
        <f>$C400*AS399</f>
        <v/>
      </c>
      <c r="AT400">
        <f>$C400*AT399</f>
        <v/>
      </c>
      <c r="AU400">
        <f>$C400*AU399</f>
        <v/>
      </c>
      <c r="AV400">
        <f>$C400*AV399</f>
        <v/>
      </c>
      <c r="AW400">
        <f>$C400*AW399</f>
        <v/>
      </c>
      <c r="AX400">
        <f>$C400*AX399</f>
        <v/>
      </c>
      <c r="AY400">
        <f>$C400*AY399</f>
        <v/>
      </c>
      <c r="AZ400">
        <f>$C400*AZ399</f>
        <v/>
      </c>
      <c r="BA400">
        <f>$C400*BA399</f>
        <v/>
      </c>
      <c r="BB400">
        <f>$C400*BB399</f>
        <v/>
      </c>
      <c r="BC400">
        <f>$C400*BC399</f>
        <v/>
      </c>
      <c r="BD400">
        <f>$C400*BD399</f>
        <v/>
      </c>
      <c r="BE400">
        <f>$C400*BE399</f>
        <v/>
      </c>
      <c r="BF400">
        <f>$C400*BF399</f>
        <v/>
      </c>
      <c r="BG400">
        <f>$C400*BG399</f>
        <v/>
      </c>
      <c r="BH400">
        <f>$C400*BH399</f>
        <v/>
      </c>
      <c r="BI400">
        <f>$C400*BI399</f>
        <v/>
      </c>
      <c r="BJ400">
        <f>$C400*BJ399</f>
        <v/>
      </c>
      <c r="BK400">
        <f>$C400*BK399</f>
        <v/>
      </c>
      <c r="BL400">
        <f>$C400*BL399</f>
        <v/>
      </c>
      <c r="BM400">
        <f>$C400*BM399</f>
        <v/>
      </c>
      <c r="BN400">
        <f>$C400*BN399</f>
        <v/>
      </c>
      <c r="BO400">
        <f>$C400*BO399</f>
        <v/>
      </c>
      <c r="BP400">
        <f>$C400*BP399</f>
        <v/>
      </c>
      <c r="BQ400">
        <f>$C400*BQ399</f>
        <v/>
      </c>
      <c r="BR400">
        <f>$C400*BR399</f>
        <v/>
      </c>
      <c r="BS400">
        <f>$C400*BS399</f>
        <v/>
      </c>
      <c r="BT400">
        <f>$C400*BT399</f>
        <v/>
      </c>
      <c r="BU400">
        <f>$C400*BU399</f>
        <v/>
      </c>
      <c r="BV400">
        <f>$C400*BV399</f>
        <v/>
      </c>
      <c r="BW400">
        <f>$C400*BW399</f>
        <v/>
      </c>
      <c r="BX400">
        <f>$C400*BX399</f>
        <v/>
      </c>
      <c r="BY400">
        <f>$C400*BY399</f>
        <v/>
      </c>
      <c r="BZ400">
        <f>$C400*BZ399</f>
        <v/>
      </c>
      <c r="CA400">
        <f>$C400*CA399</f>
        <v/>
      </c>
      <c r="CB400">
        <f>$C400*CB399</f>
        <v/>
      </c>
      <c r="CC400">
        <f>$C400*CC399</f>
        <v/>
      </c>
      <c r="CD400">
        <f>$C400*CD399</f>
        <v/>
      </c>
      <c r="CE400">
        <f>$C400*CE399</f>
        <v/>
      </c>
      <c r="CF400">
        <f>$C400*CF399</f>
        <v/>
      </c>
      <c r="CG400">
        <f>$C400*CG399</f>
        <v/>
      </c>
      <c r="CH400">
        <f>$C400*CH399</f>
        <v/>
      </c>
      <c r="CI400">
        <f>$C400*CI399</f>
        <v/>
      </c>
      <c r="CJ400">
        <f>$C400*CJ399</f>
        <v/>
      </c>
      <c r="CK400">
        <f>$C400*CK399</f>
        <v/>
      </c>
      <c r="CL400">
        <f>$C400*CL399</f>
        <v/>
      </c>
      <c r="CM400">
        <f>$C400*CM399</f>
        <v/>
      </c>
      <c r="CN400">
        <f>$C400*CN399</f>
        <v/>
      </c>
      <c r="CO400">
        <f>$C400*CO399</f>
        <v/>
      </c>
      <c r="CP400">
        <f>$C400*CP399</f>
        <v/>
      </c>
      <c r="CQ400">
        <f>$C400*CQ399</f>
        <v/>
      </c>
      <c r="CR400">
        <f>$C400*CR399</f>
        <v/>
      </c>
      <c r="CS400">
        <f>$C400*CS399</f>
        <v/>
      </c>
      <c r="CT400">
        <f>$C400*CT399</f>
        <v/>
      </c>
      <c r="CU400">
        <f>$C400*CU399</f>
        <v/>
      </c>
      <c r="CV400">
        <f>$C400*CV399</f>
        <v/>
      </c>
      <c r="CW400">
        <f>$C400*CW399</f>
        <v/>
      </c>
      <c r="CX400">
        <f>$C400*CX399</f>
        <v/>
      </c>
      <c r="CY400">
        <f>$C400*CY399</f>
        <v/>
      </c>
      <c r="CZ400">
        <f>$C400*CZ399</f>
        <v/>
      </c>
      <c r="DA400">
        <f>$C400*DA399</f>
        <v/>
      </c>
      <c r="DB400">
        <f>$C400*DB399</f>
        <v/>
      </c>
      <c r="DC400">
        <f>$C400*DC399</f>
        <v/>
      </c>
      <c r="DD400">
        <f>$C400*DD399</f>
        <v/>
      </c>
    </row>
    <row r="401">
      <c r="B401" t="inlineStr">
        <is>
          <t>TSP-623</t>
        </is>
      </c>
      <c r="C401" t="inlineStr">
        <is>
          <t>No. of batches</t>
        </is>
      </c>
      <c r="D401">
        <f>IFERROR(INDEX(E401:DD401,$F$1),"")</f>
        <v/>
      </c>
      <c r="E401">
        <f>IFERROR(INDEX(PP_Grid[#Data],$DE401,2),0)</f>
        <v/>
      </c>
      <c r="F401">
        <f>IFERROR(INDEX(PP_Grid[#Data],$DE401,3),0)</f>
        <v/>
      </c>
      <c r="G401">
        <f>IFERROR(INDEX(PP_Grid[#Data],$DE401,4),0)</f>
        <v/>
      </c>
      <c r="H401">
        <f>IFERROR(INDEX(PP_Grid[#Data],$DE401,5),0)</f>
        <v/>
      </c>
      <c r="I401">
        <f>IFERROR(INDEX(PP_Grid[#Data],$DE401,6),0)</f>
        <v/>
      </c>
      <c r="J401">
        <f>IFERROR(INDEX(PP_Grid[#Data],$DE401,7),0)</f>
        <v/>
      </c>
      <c r="K401">
        <f>IFERROR(INDEX(PP_Grid[#Data],$DE401,8),0)</f>
        <v/>
      </c>
      <c r="L401">
        <f>IFERROR(INDEX(PP_Grid[#Data],$DE401,9),0)</f>
        <v/>
      </c>
      <c r="M401">
        <f>IFERROR(INDEX(PP_Grid[#Data],$DE401,10),0)</f>
        <v/>
      </c>
      <c r="N401">
        <f>IFERROR(INDEX(PP_Grid[#Data],$DE401,11),0)</f>
        <v/>
      </c>
      <c r="O401">
        <f>IFERROR(INDEX(PP_Grid[#Data],$DE401,12),0)</f>
        <v/>
      </c>
      <c r="P401">
        <f>IFERROR(INDEX(PP_Grid[#Data],$DE401,13),0)</f>
        <v/>
      </c>
      <c r="Q401">
        <f>IFERROR(INDEX(PP_Grid[#Data],$DE401,14),0)</f>
        <v/>
      </c>
      <c r="R401">
        <f>IFERROR(INDEX(PP_Grid[#Data],$DE401,15),0)</f>
        <v/>
      </c>
      <c r="S401">
        <f>IFERROR(INDEX(PP_Grid[#Data],$DE401,16),0)</f>
        <v/>
      </c>
      <c r="T401">
        <f>IFERROR(INDEX(PP_Grid[#Data],$DE401,17),0)</f>
        <v/>
      </c>
      <c r="U401">
        <f>IFERROR(INDEX(PP_Grid[#Data],$DE401,18),0)</f>
        <v/>
      </c>
      <c r="V401">
        <f>IFERROR(INDEX(PP_Grid[#Data],$DE401,19),0)</f>
        <v/>
      </c>
      <c r="W401">
        <f>IFERROR(INDEX(PP_Grid[#Data],$DE401,20),0)</f>
        <v/>
      </c>
      <c r="X401">
        <f>IFERROR(INDEX(PP_Grid[#Data],$DE401,21),0)</f>
        <v/>
      </c>
      <c r="Y401">
        <f>IFERROR(INDEX(PP_Grid[#Data],$DE401,22),0)</f>
        <v/>
      </c>
      <c r="Z401">
        <f>IFERROR(INDEX(PP_Grid[#Data],$DE401,23),0)</f>
        <v/>
      </c>
      <c r="AA401">
        <f>IFERROR(INDEX(PP_Grid[#Data],$DE401,24),0)</f>
        <v/>
      </c>
      <c r="AB401">
        <f>IFERROR(INDEX(PP_Grid[#Data],$DE401,25),0)</f>
        <v/>
      </c>
      <c r="AC401">
        <f>IFERROR(INDEX(PP_Grid[#Data],$DE401,26),0)</f>
        <v/>
      </c>
      <c r="AD401">
        <f>IFERROR(INDEX(PP_Grid[#Data],$DE401,27),0)</f>
        <v/>
      </c>
      <c r="AE401">
        <f>IFERROR(INDEX(PP_Grid[#Data],$DE401,28),0)</f>
        <v/>
      </c>
      <c r="AF401">
        <f>IFERROR(INDEX(PP_Grid[#Data],$DE401,29),0)</f>
        <v/>
      </c>
      <c r="AG401">
        <f>IFERROR(INDEX(PP_Grid[#Data],$DE401,30),0)</f>
        <v/>
      </c>
      <c r="AH401">
        <f>IFERROR(INDEX(PP_Grid[#Data],$DE401,31),0)</f>
        <v/>
      </c>
      <c r="AI401">
        <f>IFERROR(INDEX(PP_Grid[#Data],$DE401,32),0)</f>
        <v/>
      </c>
      <c r="AJ401">
        <f>IFERROR(INDEX(PP_Grid[#Data],$DE401,33),0)</f>
        <v/>
      </c>
      <c r="AK401">
        <f>IFERROR(INDEX(PP_Grid[#Data],$DE401,34),0)</f>
        <v/>
      </c>
      <c r="AL401">
        <f>IFERROR(INDEX(PP_Grid[#Data],$DE401,35),0)</f>
        <v/>
      </c>
      <c r="AM401">
        <f>IFERROR(INDEX(PP_Grid[#Data],$DE401,36),0)</f>
        <v/>
      </c>
      <c r="AN401">
        <f>IFERROR(INDEX(PP_Grid[#Data],$DE401,37),0)</f>
        <v/>
      </c>
      <c r="AO401">
        <f>IFERROR(INDEX(PP_Grid[#Data],$DE401,38),0)</f>
        <v/>
      </c>
      <c r="AP401">
        <f>IFERROR(INDEX(PP_Grid[#Data],$DE401,39),0)</f>
        <v/>
      </c>
      <c r="AQ401">
        <f>IFERROR(INDEX(PP_Grid[#Data],$DE401,40),0)</f>
        <v/>
      </c>
      <c r="AR401">
        <f>IFERROR(INDEX(PP_Grid[#Data],$DE401,41),0)</f>
        <v/>
      </c>
      <c r="AS401">
        <f>IFERROR(INDEX(PP_Grid[#Data],$DE401,42),0)</f>
        <v/>
      </c>
      <c r="AT401">
        <f>IFERROR(INDEX(PP_Grid[#Data],$DE401,43),0)</f>
        <v/>
      </c>
      <c r="AU401">
        <f>IFERROR(INDEX(PP_Grid[#Data],$DE401,44),0)</f>
        <v/>
      </c>
      <c r="AV401">
        <f>IFERROR(INDEX(PP_Grid[#Data],$DE401,45),0)</f>
        <v/>
      </c>
      <c r="AW401">
        <f>IFERROR(INDEX(PP_Grid[#Data],$DE401,46),0)</f>
        <v/>
      </c>
      <c r="AX401">
        <f>IFERROR(INDEX(PP_Grid[#Data],$DE401,47),0)</f>
        <v/>
      </c>
      <c r="AY401">
        <f>IFERROR(INDEX(PP_Grid[#Data],$DE401,48),0)</f>
        <v/>
      </c>
      <c r="AZ401">
        <f>IFERROR(INDEX(PP_Grid[#Data],$DE401,49),0)</f>
        <v/>
      </c>
      <c r="BA401">
        <f>IFERROR(INDEX(PP_Grid[#Data],$DE401,50),0)</f>
        <v/>
      </c>
      <c r="BB401">
        <f>IFERROR(INDEX(PP_Grid[#Data],$DE401,51),0)</f>
        <v/>
      </c>
      <c r="BC401">
        <f>IFERROR(INDEX(PP_Grid[#Data],$DE401,52),0)</f>
        <v/>
      </c>
      <c r="BD401">
        <f>IFERROR(INDEX(PP_Grid[#Data],$DE401,53),0)</f>
        <v/>
      </c>
      <c r="BE401">
        <f>IFERROR(INDEX(PP_Grid[#Data],$DE401,54),0)</f>
        <v/>
      </c>
      <c r="BF401">
        <f>IFERROR(INDEX(PP_Grid[#Data],$DE401,55),0)</f>
        <v/>
      </c>
      <c r="BG401">
        <f>IFERROR(INDEX(PP_Grid[#Data],$DE401,56),0)</f>
        <v/>
      </c>
      <c r="BH401">
        <f>IFERROR(INDEX(PP_Grid[#Data],$DE401,57),0)</f>
        <v/>
      </c>
      <c r="BI401">
        <f>IFERROR(INDEX(PP_Grid[#Data],$DE401,58),0)</f>
        <v/>
      </c>
      <c r="BJ401">
        <f>IFERROR(INDEX(PP_Grid[#Data],$DE401,59),0)</f>
        <v/>
      </c>
      <c r="BK401">
        <f>IFERROR(INDEX(PP_Grid[#Data],$DE401,60),0)</f>
        <v/>
      </c>
      <c r="BL401">
        <f>IFERROR(INDEX(PP_Grid[#Data],$DE401,61),0)</f>
        <v/>
      </c>
      <c r="BM401">
        <f>IFERROR(INDEX(PP_Grid[#Data],$DE401,62),0)</f>
        <v/>
      </c>
      <c r="BN401">
        <f>IFERROR(INDEX(PP_Grid[#Data],$DE401,63),0)</f>
        <v/>
      </c>
      <c r="BO401">
        <f>IFERROR(INDEX(PP_Grid[#Data],$DE401,64),0)</f>
        <v/>
      </c>
      <c r="BP401">
        <f>IFERROR(INDEX(PP_Grid[#Data],$DE401,65),0)</f>
        <v/>
      </c>
      <c r="BQ401">
        <f>IFERROR(INDEX(PP_Grid[#Data],$DE401,66),0)</f>
        <v/>
      </c>
      <c r="BR401">
        <f>IFERROR(INDEX(PP_Grid[#Data],$DE401,67),0)</f>
        <v/>
      </c>
      <c r="BS401">
        <f>IFERROR(INDEX(PP_Grid[#Data],$DE401,68),0)</f>
        <v/>
      </c>
      <c r="BT401">
        <f>IFERROR(INDEX(PP_Grid[#Data],$DE401,69),0)</f>
        <v/>
      </c>
      <c r="BU401">
        <f>IFERROR(INDEX(PP_Grid[#Data],$DE401,70),0)</f>
        <v/>
      </c>
      <c r="BV401">
        <f>IFERROR(INDEX(PP_Grid[#Data],$DE401,71),0)</f>
        <v/>
      </c>
      <c r="BW401">
        <f>IFERROR(INDEX(PP_Grid[#Data],$DE401,72),0)</f>
        <v/>
      </c>
      <c r="BX401">
        <f>IFERROR(INDEX(PP_Grid[#Data],$DE401,73),0)</f>
        <v/>
      </c>
      <c r="BY401">
        <f>IFERROR(INDEX(PP_Grid[#Data],$DE401,74),0)</f>
        <v/>
      </c>
      <c r="BZ401">
        <f>IFERROR(INDEX(PP_Grid[#Data],$DE401,75),0)</f>
        <v/>
      </c>
      <c r="CA401">
        <f>IFERROR(INDEX(PP_Grid[#Data],$DE401,76),0)</f>
        <v/>
      </c>
      <c r="CB401">
        <f>IFERROR(INDEX(PP_Grid[#Data],$DE401,77),0)</f>
        <v/>
      </c>
      <c r="CC401">
        <f>IFERROR(INDEX(PP_Grid[#Data],$DE401,78),0)</f>
        <v/>
      </c>
      <c r="CD401">
        <f>IFERROR(INDEX(PP_Grid[#Data],$DE401,79),0)</f>
        <v/>
      </c>
      <c r="CE401">
        <f>IFERROR(INDEX(PP_Grid[#Data],$DE401,80),0)</f>
        <v/>
      </c>
      <c r="CF401">
        <f>IFERROR(INDEX(PP_Grid[#Data],$DE401,81),0)</f>
        <v/>
      </c>
      <c r="CG401">
        <f>IFERROR(INDEX(PP_Grid[#Data],$DE401,82),0)</f>
        <v/>
      </c>
      <c r="CH401">
        <f>IFERROR(INDEX(PP_Grid[#Data],$DE401,83),0)</f>
        <v/>
      </c>
      <c r="CI401">
        <f>IFERROR(INDEX(PP_Grid[#Data],$DE401,84),0)</f>
        <v/>
      </c>
      <c r="CJ401">
        <f>IFERROR(INDEX(PP_Grid[#Data],$DE401,85),0)</f>
        <v/>
      </c>
      <c r="CK401">
        <f>IFERROR(INDEX(PP_Grid[#Data],$DE401,86),0)</f>
        <v/>
      </c>
      <c r="CL401">
        <f>IFERROR(INDEX(PP_Grid[#Data],$DE401,87),0)</f>
        <v/>
      </c>
      <c r="CM401">
        <f>IFERROR(INDEX(PP_Grid[#Data],$DE401,88),0)</f>
        <v/>
      </c>
      <c r="CN401">
        <f>IFERROR(INDEX(PP_Grid[#Data],$DE401,89),0)</f>
        <v/>
      </c>
      <c r="CO401">
        <f>IFERROR(INDEX(PP_Grid[#Data],$DE401,90),0)</f>
        <v/>
      </c>
      <c r="CP401">
        <f>IFERROR(INDEX(PP_Grid[#Data],$DE401,91),0)</f>
        <v/>
      </c>
      <c r="CQ401">
        <f>IFERROR(INDEX(PP_Grid[#Data],$DE401,92),0)</f>
        <v/>
      </c>
      <c r="CR401">
        <f>IFERROR(INDEX(PP_Grid[#Data],$DE401,93),0)</f>
        <v/>
      </c>
      <c r="CS401">
        <f>IFERROR(INDEX(PP_Grid[#Data],$DE401,94),0)</f>
        <v/>
      </c>
      <c r="CT401">
        <f>IFERROR(INDEX(PP_Grid[#Data],$DE401,95),0)</f>
        <v/>
      </c>
      <c r="CU401">
        <f>IFERROR(INDEX(PP_Grid[#Data],$DE401,96),0)</f>
        <v/>
      </c>
      <c r="CV401">
        <f>IFERROR(INDEX(PP_Grid[#Data],$DE401,97),0)</f>
        <v/>
      </c>
      <c r="CW401">
        <f>IFERROR(INDEX(PP_Grid[#Data],$DE401,98),0)</f>
        <v/>
      </c>
      <c r="CX401">
        <f>IFERROR(INDEX(PP_Grid[#Data],$DE401,99),0)</f>
        <v/>
      </c>
      <c r="CY401">
        <f>IFERROR(INDEX(PP_Grid[#Data],$DE401,100),0)</f>
        <v/>
      </c>
      <c r="CZ401">
        <f>IFERROR(INDEX(PP_Grid[#Data],$DE401,101),0)</f>
        <v/>
      </c>
      <c r="DA401">
        <f>IFERROR(INDEX(PP_Grid[#Data],$DE401,102),0)</f>
        <v/>
      </c>
      <c r="DB401">
        <f>IFERROR(INDEX(PP_Grid[#Data],$DE401,103),0)</f>
        <v/>
      </c>
      <c r="DC401">
        <f>IFERROR(INDEX(PP_Grid[#Data],$DE401,104),0)</f>
        <v/>
      </c>
      <c r="DD401">
        <f>IFERROR(INDEX(PP_Grid[#Data],$DE401,105),0)</f>
        <v/>
      </c>
      <c r="DE401" s="7">
        <f>IFERROR(MATCH($B401,PP_Grid[Intermediate],0),99999)</f>
        <v/>
      </c>
    </row>
    <row r="402">
      <c r="B402" t="inlineStr">
        <is>
          <t>使用量(kg)</t>
        </is>
      </c>
      <c r="C402">
        <f>SUMIFS(M_BOM[RM_Qty_Per_Batch],M_BOM[Intermediate],$B401,M_BOM[RM_Code],$A340)</f>
        <v/>
      </c>
      <c r="D402">
        <f>IFERROR(INDEX(E402:DD402,$F$1),"")</f>
        <v/>
      </c>
      <c r="E402">
        <f>$C402*E401</f>
        <v/>
      </c>
      <c r="F402">
        <f>$C402*F401</f>
        <v/>
      </c>
      <c r="G402">
        <f>$C402*G401</f>
        <v/>
      </c>
      <c r="H402">
        <f>$C402*H401</f>
        <v/>
      </c>
      <c r="I402">
        <f>$C402*I401</f>
        <v/>
      </c>
      <c r="J402">
        <f>$C402*J401</f>
        <v/>
      </c>
      <c r="K402">
        <f>$C402*K401</f>
        <v/>
      </c>
      <c r="L402">
        <f>$C402*L401</f>
        <v/>
      </c>
      <c r="M402">
        <f>$C402*M401</f>
        <v/>
      </c>
      <c r="N402">
        <f>$C402*N401</f>
        <v/>
      </c>
      <c r="O402">
        <f>$C402*O401</f>
        <v/>
      </c>
      <c r="P402">
        <f>$C402*P401</f>
        <v/>
      </c>
      <c r="Q402">
        <f>$C402*Q401</f>
        <v/>
      </c>
      <c r="R402">
        <f>$C402*R401</f>
        <v/>
      </c>
      <c r="S402">
        <f>$C402*S401</f>
        <v/>
      </c>
      <c r="T402">
        <f>$C402*T401</f>
        <v/>
      </c>
      <c r="U402">
        <f>$C402*U401</f>
        <v/>
      </c>
      <c r="V402">
        <f>$C402*V401</f>
        <v/>
      </c>
      <c r="W402">
        <f>$C402*W401</f>
        <v/>
      </c>
      <c r="X402">
        <f>$C402*X401</f>
        <v/>
      </c>
      <c r="Y402">
        <f>$C402*Y401</f>
        <v/>
      </c>
      <c r="Z402">
        <f>$C402*Z401</f>
        <v/>
      </c>
      <c r="AA402">
        <f>$C402*AA401</f>
        <v/>
      </c>
      <c r="AB402">
        <f>$C402*AB401</f>
        <v/>
      </c>
      <c r="AC402">
        <f>$C402*AC401</f>
        <v/>
      </c>
      <c r="AD402">
        <f>$C402*AD401</f>
        <v/>
      </c>
      <c r="AE402">
        <f>$C402*AE401</f>
        <v/>
      </c>
      <c r="AF402">
        <f>$C402*AF401</f>
        <v/>
      </c>
      <c r="AG402">
        <f>$C402*AG401</f>
        <v/>
      </c>
      <c r="AH402">
        <f>$C402*AH401</f>
        <v/>
      </c>
      <c r="AI402">
        <f>$C402*AI401</f>
        <v/>
      </c>
      <c r="AJ402">
        <f>$C402*AJ401</f>
        <v/>
      </c>
      <c r="AK402">
        <f>$C402*AK401</f>
        <v/>
      </c>
      <c r="AL402">
        <f>$C402*AL401</f>
        <v/>
      </c>
      <c r="AM402">
        <f>$C402*AM401</f>
        <v/>
      </c>
      <c r="AN402">
        <f>$C402*AN401</f>
        <v/>
      </c>
      <c r="AO402">
        <f>$C402*AO401</f>
        <v/>
      </c>
      <c r="AP402">
        <f>$C402*AP401</f>
        <v/>
      </c>
      <c r="AQ402">
        <f>$C402*AQ401</f>
        <v/>
      </c>
      <c r="AR402">
        <f>$C402*AR401</f>
        <v/>
      </c>
      <c r="AS402">
        <f>$C402*AS401</f>
        <v/>
      </c>
      <c r="AT402">
        <f>$C402*AT401</f>
        <v/>
      </c>
      <c r="AU402">
        <f>$C402*AU401</f>
        <v/>
      </c>
      <c r="AV402">
        <f>$C402*AV401</f>
        <v/>
      </c>
      <c r="AW402">
        <f>$C402*AW401</f>
        <v/>
      </c>
      <c r="AX402">
        <f>$C402*AX401</f>
        <v/>
      </c>
      <c r="AY402">
        <f>$C402*AY401</f>
        <v/>
      </c>
      <c r="AZ402">
        <f>$C402*AZ401</f>
        <v/>
      </c>
      <c r="BA402">
        <f>$C402*BA401</f>
        <v/>
      </c>
      <c r="BB402">
        <f>$C402*BB401</f>
        <v/>
      </c>
      <c r="BC402">
        <f>$C402*BC401</f>
        <v/>
      </c>
      <c r="BD402">
        <f>$C402*BD401</f>
        <v/>
      </c>
      <c r="BE402">
        <f>$C402*BE401</f>
        <v/>
      </c>
      <c r="BF402">
        <f>$C402*BF401</f>
        <v/>
      </c>
      <c r="BG402">
        <f>$C402*BG401</f>
        <v/>
      </c>
      <c r="BH402">
        <f>$C402*BH401</f>
        <v/>
      </c>
      <c r="BI402">
        <f>$C402*BI401</f>
        <v/>
      </c>
      <c r="BJ402">
        <f>$C402*BJ401</f>
        <v/>
      </c>
      <c r="BK402">
        <f>$C402*BK401</f>
        <v/>
      </c>
      <c r="BL402">
        <f>$C402*BL401</f>
        <v/>
      </c>
      <c r="BM402">
        <f>$C402*BM401</f>
        <v/>
      </c>
      <c r="BN402">
        <f>$C402*BN401</f>
        <v/>
      </c>
      <c r="BO402">
        <f>$C402*BO401</f>
        <v/>
      </c>
      <c r="BP402">
        <f>$C402*BP401</f>
        <v/>
      </c>
      <c r="BQ402">
        <f>$C402*BQ401</f>
        <v/>
      </c>
      <c r="BR402">
        <f>$C402*BR401</f>
        <v/>
      </c>
      <c r="BS402">
        <f>$C402*BS401</f>
        <v/>
      </c>
      <c r="BT402">
        <f>$C402*BT401</f>
        <v/>
      </c>
      <c r="BU402">
        <f>$C402*BU401</f>
        <v/>
      </c>
      <c r="BV402">
        <f>$C402*BV401</f>
        <v/>
      </c>
      <c r="BW402">
        <f>$C402*BW401</f>
        <v/>
      </c>
      <c r="BX402">
        <f>$C402*BX401</f>
        <v/>
      </c>
      <c r="BY402">
        <f>$C402*BY401</f>
        <v/>
      </c>
      <c r="BZ402">
        <f>$C402*BZ401</f>
        <v/>
      </c>
      <c r="CA402">
        <f>$C402*CA401</f>
        <v/>
      </c>
      <c r="CB402">
        <f>$C402*CB401</f>
        <v/>
      </c>
      <c r="CC402">
        <f>$C402*CC401</f>
        <v/>
      </c>
      <c r="CD402">
        <f>$C402*CD401</f>
        <v/>
      </c>
      <c r="CE402">
        <f>$C402*CE401</f>
        <v/>
      </c>
      <c r="CF402">
        <f>$C402*CF401</f>
        <v/>
      </c>
      <c r="CG402">
        <f>$C402*CG401</f>
        <v/>
      </c>
      <c r="CH402">
        <f>$C402*CH401</f>
        <v/>
      </c>
      <c r="CI402">
        <f>$C402*CI401</f>
        <v/>
      </c>
      <c r="CJ402">
        <f>$C402*CJ401</f>
        <v/>
      </c>
      <c r="CK402">
        <f>$C402*CK401</f>
        <v/>
      </c>
      <c r="CL402">
        <f>$C402*CL401</f>
        <v/>
      </c>
      <c r="CM402">
        <f>$C402*CM401</f>
        <v/>
      </c>
      <c r="CN402">
        <f>$C402*CN401</f>
        <v/>
      </c>
      <c r="CO402">
        <f>$C402*CO401</f>
        <v/>
      </c>
      <c r="CP402">
        <f>$C402*CP401</f>
        <v/>
      </c>
      <c r="CQ402">
        <f>$C402*CQ401</f>
        <v/>
      </c>
      <c r="CR402">
        <f>$C402*CR401</f>
        <v/>
      </c>
      <c r="CS402">
        <f>$C402*CS401</f>
        <v/>
      </c>
      <c r="CT402">
        <f>$C402*CT401</f>
        <v/>
      </c>
      <c r="CU402">
        <f>$C402*CU401</f>
        <v/>
      </c>
      <c r="CV402">
        <f>$C402*CV401</f>
        <v/>
      </c>
      <c r="CW402">
        <f>$C402*CW401</f>
        <v/>
      </c>
      <c r="CX402">
        <f>$C402*CX401</f>
        <v/>
      </c>
      <c r="CY402">
        <f>$C402*CY401</f>
        <v/>
      </c>
      <c r="CZ402">
        <f>$C402*CZ401</f>
        <v/>
      </c>
      <c r="DA402">
        <f>$C402*DA401</f>
        <v/>
      </c>
      <c r="DB402">
        <f>$C402*DB401</f>
        <v/>
      </c>
      <c r="DC402">
        <f>$C402*DC401</f>
        <v/>
      </c>
      <c r="DD402">
        <f>$C402*DD401</f>
        <v/>
      </c>
    </row>
    <row r="403">
      <c r="B403" t="inlineStr">
        <is>
          <t>TSP-655</t>
        </is>
      </c>
      <c r="C403" t="inlineStr">
        <is>
          <t>No. of batches</t>
        </is>
      </c>
      <c r="D403">
        <f>IFERROR(INDEX(E403:DD403,$F$1),"")</f>
        <v/>
      </c>
      <c r="E403">
        <f>IFERROR(INDEX(PP_Grid[#Data],$DE403,2),0)</f>
        <v/>
      </c>
      <c r="F403">
        <f>IFERROR(INDEX(PP_Grid[#Data],$DE403,3),0)</f>
        <v/>
      </c>
      <c r="G403">
        <f>IFERROR(INDEX(PP_Grid[#Data],$DE403,4),0)</f>
        <v/>
      </c>
      <c r="H403">
        <f>IFERROR(INDEX(PP_Grid[#Data],$DE403,5),0)</f>
        <v/>
      </c>
      <c r="I403">
        <f>IFERROR(INDEX(PP_Grid[#Data],$DE403,6),0)</f>
        <v/>
      </c>
      <c r="J403">
        <f>IFERROR(INDEX(PP_Grid[#Data],$DE403,7),0)</f>
        <v/>
      </c>
      <c r="K403">
        <f>IFERROR(INDEX(PP_Grid[#Data],$DE403,8),0)</f>
        <v/>
      </c>
      <c r="L403">
        <f>IFERROR(INDEX(PP_Grid[#Data],$DE403,9),0)</f>
        <v/>
      </c>
      <c r="M403">
        <f>IFERROR(INDEX(PP_Grid[#Data],$DE403,10),0)</f>
        <v/>
      </c>
      <c r="N403">
        <f>IFERROR(INDEX(PP_Grid[#Data],$DE403,11),0)</f>
        <v/>
      </c>
      <c r="O403">
        <f>IFERROR(INDEX(PP_Grid[#Data],$DE403,12),0)</f>
        <v/>
      </c>
      <c r="P403">
        <f>IFERROR(INDEX(PP_Grid[#Data],$DE403,13),0)</f>
        <v/>
      </c>
      <c r="Q403">
        <f>IFERROR(INDEX(PP_Grid[#Data],$DE403,14),0)</f>
        <v/>
      </c>
      <c r="R403">
        <f>IFERROR(INDEX(PP_Grid[#Data],$DE403,15),0)</f>
        <v/>
      </c>
      <c r="S403">
        <f>IFERROR(INDEX(PP_Grid[#Data],$DE403,16),0)</f>
        <v/>
      </c>
      <c r="T403">
        <f>IFERROR(INDEX(PP_Grid[#Data],$DE403,17),0)</f>
        <v/>
      </c>
      <c r="U403">
        <f>IFERROR(INDEX(PP_Grid[#Data],$DE403,18),0)</f>
        <v/>
      </c>
      <c r="V403">
        <f>IFERROR(INDEX(PP_Grid[#Data],$DE403,19),0)</f>
        <v/>
      </c>
      <c r="W403">
        <f>IFERROR(INDEX(PP_Grid[#Data],$DE403,20),0)</f>
        <v/>
      </c>
      <c r="X403">
        <f>IFERROR(INDEX(PP_Grid[#Data],$DE403,21),0)</f>
        <v/>
      </c>
      <c r="Y403">
        <f>IFERROR(INDEX(PP_Grid[#Data],$DE403,22),0)</f>
        <v/>
      </c>
      <c r="Z403">
        <f>IFERROR(INDEX(PP_Grid[#Data],$DE403,23),0)</f>
        <v/>
      </c>
      <c r="AA403">
        <f>IFERROR(INDEX(PP_Grid[#Data],$DE403,24),0)</f>
        <v/>
      </c>
      <c r="AB403">
        <f>IFERROR(INDEX(PP_Grid[#Data],$DE403,25),0)</f>
        <v/>
      </c>
      <c r="AC403">
        <f>IFERROR(INDEX(PP_Grid[#Data],$DE403,26),0)</f>
        <v/>
      </c>
      <c r="AD403">
        <f>IFERROR(INDEX(PP_Grid[#Data],$DE403,27),0)</f>
        <v/>
      </c>
      <c r="AE403">
        <f>IFERROR(INDEX(PP_Grid[#Data],$DE403,28),0)</f>
        <v/>
      </c>
      <c r="AF403">
        <f>IFERROR(INDEX(PP_Grid[#Data],$DE403,29),0)</f>
        <v/>
      </c>
      <c r="AG403">
        <f>IFERROR(INDEX(PP_Grid[#Data],$DE403,30),0)</f>
        <v/>
      </c>
      <c r="AH403">
        <f>IFERROR(INDEX(PP_Grid[#Data],$DE403,31),0)</f>
        <v/>
      </c>
      <c r="AI403">
        <f>IFERROR(INDEX(PP_Grid[#Data],$DE403,32),0)</f>
        <v/>
      </c>
      <c r="AJ403">
        <f>IFERROR(INDEX(PP_Grid[#Data],$DE403,33),0)</f>
        <v/>
      </c>
      <c r="AK403">
        <f>IFERROR(INDEX(PP_Grid[#Data],$DE403,34),0)</f>
        <v/>
      </c>
      <c r="AL403">
        <f>IFERROR(INDEX(PP_Grid[#Data],$DE403,35),0)</f>
        <v/>
      </c>
      <c r="AM403">
        <f>IFERROR(INDEX(PP_Grid[#Data],$DE403,36),0)</f>
        <v/>
      </c>
      <c r="AN403">
        <f>IFERROR(INDEX(PP_Grid[#Data],$DE403,37),0)</f>
        <v/>
      </c>
      <c r="AO403">
        <f>IFERROR(INDEX(PP_Grid[#Data],$DE403,38),0)</f>
        <v/>
      </c>
      <c r="AP403">
        <f>IFERROR(INDEX(PP_Grid[#Data],$DE403,39),0)</f>
        <v/>
      </c>
      <c r="AQ403">
        <f>IFERROR(INDEX(PP_Grid[#Data],$DE403,40),0)</f>
        <v/>
      </c>
      <c r="AR403">
        <f>IFERROR(INDEX(PP_Grid[#Data],$DE403,41),0)</f>
        <v/>
      </c>
      <c r="AS403">
        <f>IFERROR(INDEX(PP_Grid[#Data],$DE403,42),0)</f>
        <v/>
      </c>
      <c r="AT403">
        <f>IFERROR(INDEX(PP_Grid[#Data],$DE403,43),0)</f>
        <v/>
      </c>
      <c r="AU403">
        <f>IFERROR(INDEX(PP_Grid[#Data],$DE403,44),0)</f>
        <v/>
      </c>
      <c r="AV403">
        <f>IFERROR(INDEX(PP_Grid[#Data],$DE403,45),0)</f>
        <v/>
      </c>
      <c r="AW403">
        <f>IFERROR(INDEX(PP_Grid[#Data],$DE403,46),0)</f>
        <v/>
      </c>
      <c r="AX403">
        <f>IFERROR(INDEX(PP_Grid[#Data],$DE403,47),0)</f>
        <v/>
      </c>
      <c r="AY403">
        <f>IFERROR(INDEX(PP_Grid[#Data],$DE403,48),0)</f>
        <v/>
      </c>
      <c r="AZ403">
        <f>IFERROR(INDEX(PP_Grid[#Data],$DE403,49),0)</f>
        <v/>
      </c>
      <c r="BA403">
        <f>IFERROR(INDEX(PP_Grid[#Data],$DE403,50),0)</f>
        <v/>
      </c>
      <c r="BB403">
        <f>IFERROR(INDEX(PP_Grid[#Data],$DE403,51),0)</f>
        <v/>
      </c>
      <c r="BC403">
        <f>IFERROR(INDEX(PP_Grid[#Data],$DE403,52),0)</f>
        <v/>
      </c>
      <c r="BD403">
        <f>IFERROR(INDEX(PP_Grid[#Data],$DE403,53),0)</f>
        <v/>
      </c>
      <c r="BE403">
        <f>IFERROR(INDEX(PP_Grid[#Data],$DE403,54),0)</f>
        <v/>
      </c>
      <c r="BF403">
        <f>IFERROR(INDEX(PP_Grid[#Data],$DE403,55),0)</f>
        <v/>
      </c>
      <c r="BG403">
        <f>IFERROR(INDEX(PP_Grid[#Data],$DE403,56),0)</f>
        <v/>
      </c>
      <c r="BH403">
        <f>IFERROR(INDEX(PP_Grid[#Data],$DE403,57),0)</f>
        <v/>
      </c>
      <c r="BI403">
        <f>IFERROR(INDEX(PP_Grid[#Data],$DE403,58),0)</f>
        <v/>
      </c>
      <c r="BJ403">
        <f>IFERROR(INDEX(PP_Grid[#Data],$DE403,59),0)</f>
        <v/>
      </c>
      <c r="BK403">
        <f>IFERROR(INDEX(PP_Grid[#Data],$DE403,60),0)</f>
        <v/>
      </c>
      <c r="BL403">
        <f>IFERROR(INDEX(PP_Grid[#Data],$DE403,61),0)</f>
        <v/>
      </c>
      <c r="BM403">
        <f>IFERROR(INDEX(PP_Grid[#Data],$DE403,62),0)</f>
        <v/>
      </c>
      <c r="BN403">
        <f>IFERROR(INDEX(PP_Grid[#Data],$DE403,63),0)</f>
        <v/>
      </c>
      <c r="BO403">
        <f>IFERROR(INDEX(PP_Grid[#Data],$DE403,64),0)</f>
        <v/>
      </c>
      <c r="BP403">
        <f>IFERROR(INDEX(PP_Grid[#Data],$DE403,65),0)</f>
        <v/>
      </c>
      <c r="BQ403">
        <f>IFERROR(INDEX(PP_Grid[#Data],$DE403,66),0)</f>
        <v/>
      </c>
      <c r="BR403">
        <f>IFERROR(INDEX(PP_Grid[#Data],$DE403,67),0)</f>
        <v/>
      </c>
      <c r="BS403">
        <f>IFERROR(INDEX(PP_Grid[#Data],$DE403,68),0)</f>
        <v/>
      </c>
      <c r="BT403">
        <f>IFERROR(INDEX(PP_Grid[#Data],$DE403,69),0)</f>
        <v/>
      </c>
      <c r="BU403">
        <f>IFERROR(INDEX(PP_Grid[#Data],$DE403,70),0)</f>
        <v/>
      </c>
      <c r="BV403">
        <f>IFERROR(INDEX(PP_Grid[#Data],$DE403,71),0)</f>
        <v/>
      </c>
      <c r="BW403">
        <f>IFERROR(INDEX(PP_Grid[#Data],$DE403,72),0)</f>
        <v/>
      </c>
      <c r="BX403">
        <f>IFERROR(INDEX(PP_Grid[#Data],$DE403,73),0)</f>
        <v/>
      </c>
      <c r="BY403">
        <f>IFERROR(INDEX(PP_Grid[#Data],$DE403,74),0)</f>
        <v/>
      </c>
      <c r="BZ403">
        <f>IFERROR(INDEX(PP_Grid[#Data],$DE403,75),0)</f>
        <v/>
      </c>
      <c r="CA403">
        <f>IFERROR(INDEX(PP_Grid[#Data],$DE403,76),0)</f>
        <v/>
      </c>
      <c r="CB403">
        <f>IFERROR(INDEX(PP_Grid[#Data],$DE403,77),0)</f>
        <v/>
      </c>
      <c r="CC403">
        <f>IFERROR(INDEX(PP_Grid[#Data],$DE403,78),0)</f>
        <v/>
      </c>
      <c r="CD403">
        <f>IFERROR(INDEX(PP_Grid[#Data],$DE403,79),0)</f>
        <v/>
      </c>
      <c r="CE403">
        <f>IFERROR(INDEX(PP_Grid[#Data],$DE403,80),0)</f>
        <v/>
      </c>
      <c r="CF403">
        <f>IFERROR(INDEX(PP_Grid[#Data],$DE403,81),0)</f>
        <v/>
      </c>
      <c r="CG403">
        <f>IFERROR(INDEX(PP_Grid[#Data],$DE403,82),0)</f>
        <v/>
      </c>
      <c r="CH403">
        <f>IFERROR(INDEX(PP_Grid[#Data],$DE403,83),0)</f>
        <v/>
      </c>
      <c r="CI403">
        <f>IFERROR(INDEX(PP_Grid[#Data],$DE403,84),0)</f>
        <v/>
      </c>
      <c r="CJ403">
        <f>IFERROR(INDEX(PP_Grid[#Data],$DE403,85),0)</f>
        <v/>
      </c>
      <c r="CK403">
        <f>IFERROR(INDEX(PP_Grid[#Data],$DE403,86),0)</f>
        <v/>
      </c>
      <c r="CL403">
        <f>IFERROR(INDEX(PP_Grid[#Data],$DE403,87),0)</f>
        <v/>
      </c>
      <c r="CM403">
        <f>IFERROR(INDEX(PP_Grid[#Data],$DE403,88),0)</f>
        <v/>
      </c>
      <c r="CN403">
        <f>IFERROR(INDEX(PP_Grid[#Data],$DE403,89),0)</f>
        <v/>
      </c>
      <c r="CO403">
        <f>IFERROR(INDEX(PP_Grid[#Data],$DE403,90),0)</f>
        <v/>
      </c>
      <c r="CP403">
        <f>IFERROR(INDEX(PP_Grid[#Data],$DE403,91),0)</f>
        <v/>
      </c>
      <c r="CQ403">
        <f>IFERROR(INDEX(PP_Grid[#Data],$DE403,92),0)</f>
        <v/>
      </c>
      <c r="CR403">
        <f>IFERROR(INDEX(PP_Grid[#Data],$DE403,93),0)</f>
        <v/>
      </c>
      <c r="CS403">
        <f>IFERROR(INDEX(PP_Grid[#Data],$DE403,94),0)</f>
        <v/>
      </c>
      <c r="CT403">
        <f>IFERROR(INDEX(PP_Grid[#Data],$DE403,95),0)</f>
        <v/>
      </c>
      <c r="CU403">
        <f>IFERROR(INDEX(PP_Grid[#Data],$DE403,96),0)</f>
        <v/>
      </c>
      <c r="CV403">
        <f>IFERROR(INDEX(PP_Grid[#Data],$DE403,97),0)</f>
        <v/>
      </c>
      <c r="CW403">
        <f>IFERROR(INDEX(PP_Grid[#Data],$DE403,98),0)</f>
        <v/>
      </c>
      <c r="CX403">
        <f>IFERROR(INDEX(PP_Grid[#Data],$DE403,99),0)</f>
        <v/>
      </c>
      <c r="CY403">
        <f>IFERROR(INDEX(PP_Grid[#Data],$DE403,100),0)</f>
        <v/>
      </c>
      <c r="CZ403">
        <f>IFERROR(INDEX(PP_Grid[#Data],$DE403,101),0)</f>
        <v/>
      </c>
      <c r="DA403">
        <f>IFERROR(INDEX(PP_Grid[#Data],$DE403,102),0)</f>
        <v/>
      </c>
      <c r="DB403">
        <f>IFERROR(INDEX(PP_Grid[#Data],$DE403,103),0)</f>
        <v/>
      </c>
      <c r="DC403">
        <f>IFERROR(INDEX(PP_Grid[#Data],$DE403,104),0)</f>
        <v/>
      </c>
      <c r="DD403">
        <f>IFERROR(INDEX(PP_Grid[#Data],$DE403,105),0)</f>
        <v/>
      </c>
      <c r="DE403" s="7">
        <f>IFERROR(MATCH($B403,PP_Grid[Intermediate],0),99999)</f>
        <v/>
      </c>
    </row>
    <row r="404">
      <c r="B404" t="inlineStr">
        <is>
          <t>使用量(kg)</t>
        </is>
      </c>
      <c r="C404">
        <f>SUMIFS(M_BOM[RM_Qty_Per_Batch],M_BOM[Intermediate],$B403,M_BOM[RM_Code],$A340)</f>
        <v/>
      </c>
      <c r="D404">
        <f>IFERROR(INDEX(E404:DD404,$F$1),"")</f>
        <v/>
      </c>
      <c r="E404">
        <f>$C404*E403</f>
        <v/>
      </c>
      <c r="F404">
        <f>$C404*F403</f>
        <v/>
      </c>
      <c r="G404">
        <f>$C404*G403</f>
        <v/>
      </c>
      <c r="H404">
        <f>$C404*H403</f>
        <v/>
      </c>
      <c r="I404">
        <f>$C404*I403</f>
        <v/>
      </c>
      <c r="J404">
        <f>$C404*J403</f>
        <v/>
      </c>
      <c r="K404">
        <f>$C404*K403</f>
        <v/>
      </c>
      <c r="L404">
        <f>$C404*L403</f>
        <v/>
      </c>
      <c r="M404">
        <f>$C404*M403</f>
        <v/>
      </c>
      <c r="N404">
        <f>$C404*N403</f>
        <v/>
      </c>
      <c r="O404">
        <f>$C404*O403</f>
        <v/>
      </c>
      <c r="P404">
        <f>$C404*P403</f>
        <v/>
      </c>
      <c r="Q404">
        <f>$C404*Q403</f>
        <v/>
      </c>
      <c r="R404">
        <f>$C404*R403</f>
        <v/>
      </c>
      <c r="S404">
        <f>$C404*S403</f>
        <v/>
      </c>
      <c r="T404">
        <f>$C404*T403</f>
        <v/>
      </c>
      <c r="U404">
        <f>$C404*U403</f>
        <v/>
      </c>
      <c r="V404">
        <f>$C404*V403</f>
        <v/>
      </c>
      <c r="W404">
        <f>$C404*W403</f>
        <v/>
      </c>
      <c r="X404">
        <f>$C404*X403</f>
        <v/>
      </c>
      <c r="Y404">
        <f>$C404*Y403</f>
        <v/>
      </c>
      <c r="Z404">
        <f>$C404*Z403</f>
        <v/>
      </c>
      <c r="AA404">
        <f>$C404*AA403</f>
        <v/>
      </c>
      <c r="AB404">
        <f>$C404*AB403</f>
        <v/>
      </c>
      <c r="AC404">
        <f>$C404*AC403</f>
        <v/>
      </c>
      <c r="AD404">
        <f>$C404*AD403</f>
        <v/>
      </c>
      <c r="AE404">
        <f>$C404*AE403</f>
        <v/>
      </c>
      <c r="AF404">
        <f>$C404*AF403</f>
        <v/>
      </c>
      <c r="AG404">
        <f>$C404*AG403</f>
        <v/>
      </c>
      <c r="AH404">
        <f>$C404*AH403</f>
        <v/>
      </c>
      <c r="AI404">
        <f>$C404*AI403</f>
        <v/>
      </c>
      <c r="AJ404">
        <f>$C404*AJ403</f>
        <v/>
      </c>
      <c r="AK404">
        <f>$C404*AK403</f>
        <v/>
      </c>
      <c r="AL404">
        <f>$C404*AL403</f>
        <v/>
      </c>
      <c r="AM404">
        <f>$C404*AM403</f>
        <v/>
      </c>
      <c r="AN404">
        <f>$C404*AN403</f>
        <v/>
      </c>
      <c r="AO404">
        <f>$C404*AO403</f>
        <v/>
      </c>
      <c r="AP404">
        <f>$C404*AP403</f>
        <v/>
      </c>
      <c r="AQ404">
        <f>$C404*AQ403</f>
        <v/>
      </c>
      <c r="AR404">
        <f>$C404*AR403</f>
        <v/>
      </c>
      <c r="AS404">
        <f>$C404*AS403</f>
        <v/>
      </c>
      <c r="AT404">
        <f>$C404*AT403</f>
        <v/>
      </c>
      <c r="AU404">
        <f>$C404*AU403</f>
        <v/>
      </c>
      <c r="AV404">
        <f>$C404*AV403</f>
        <v/>
      </c>
      <c r="AW404">
        <f>$C404*AW403</f>
        <v/>
      </c>
      <c r="AX404">
        <f>$C404*AX403</f>
        <v/>
      </c>
      <c r="AY404">
        <f>$C404*AY403</f>
        <v/>
      </c>
      <c r="AZ404">
        <f>$C404*AZ403</f>
        <v/>
      </c>
      <c r="BA404">
        <f>$C404*BA403</f>
        <v/>
      </c>
      <c r="BB404">
        <f>$C404*BB403</f>
        <v/>
      </c>
      <c r="BC404">
        <f>$C404*BC403</f>
        <v/>
      </c>
      <c r="BD404">
        <f>$C404*BD403</f>
        <v/>
      </c>
      <c r="BE404">
        <f>$C404*BE403</f>
        <v/>
      </c>
      <c r="BF404">
        <f>$C404*BF403</f>
        <v/>
      </c>
      <c r="BG404">
        <f>$C404*BG403</f>
        <v/>
      </c>
      <c r="BH404">
        <f>$C404*BH403</f>
        <v/>
      </c>
      <c r="BI404">
        <f>$C404*BI403</f>
        <v/>
      </c>
      <c r="BJ404">
        <f>$C404*BJ403</f>
        <v/>
      </c>
      <c r="BK404">
        <f>$C404*BK403</f>
        <v/>
      </c>
      <c r="BL404">
        <f>$C404*BL403</f>
        <v/>
      </c>
      <c r="BM404">
        <f>$C404*BM403</f>
        <v/>
      </c>
      <c r="BN404">
        <f>$C404*BN403</f>
        <v/>
      </c>
      <c r="BO404">
        <f>$C404*BO403</f>
        <v/>
      </c>
      <c r="BP404">
        <f>$C404*BP403</f>
        <v/>
      </c>
      <c r="BQ404">
        <f>$C404*BQ403</f>
        <v/>
      </c>
      <c r="BR404">
        <f>$C404*BR403</f>
        <v/>
      </c>
      <c r="BS404">
        <f>$C404*BS403</f>
        <v/>
      </c>
      <c r="BT404">
        <f>$C404*BT403</f>
        <v/>
      </c>
      <c r="BU404">
        <f>$C404*BU403</f>
        <v/>
      </c>
      <c r="BV404">
        <f>$C404*BV403</f>
        <v/>
      </c>
      <c r="BW404">
        <f>$C404*BW403</f>
        <v/>
      </c>
      <c r="BX404">
        <f>$C404*BX403</f>
        <v/>
      </c>
      <c r="BY404">
        <f>$C404*BY403</f>
        <v/>
      </c>
      <c r="BZ404">
        <f>$C404*BZ403</f>
        <v/>
      </c>
      <c r="CA404">
        <f>$C404*CA403</f>
        <v/>
      </c>
      <c r="CB404">
        <f>$C404*CB403</f>
        <v/>
      </c>
      <c r="CC404">
        <f>$C404*CC403</f>
        <v/>
      </c>
      <c r="CD404">
        <f>$C404*CD403</f>
        <v/>
      </c>
      <c r="CE404">
        <f>$C404*CE403</f>
        <v/>
      </c>
      <c r="CF404">
        <f>$C404*CF403</f>
        <v/>
      </c>
      <c r="CG404">
        <f>$C404*CG403</f>
        <v/>
      </c>
      <c r="CH404">
        <f>$C404*CH403</f>
        <v/>
      </c>
      <c r="CI404">
        <f>$C404*CI403</f>
        <v/>
      </c>
      <c r="CJ404">
        <f>$C404*CJ403</f>
        <v/>
      </c>
      <c r="CK404">
        <f>$C404*CK403</f>
        <v/>
      </c>
      <c r="CL404">
        <f>$C404*CL403</f>
        <v/>
      </c>
      <c r="CM404">
        <f>$C404*CM403</f>
        <v/>
      </c>
      <c r="CN404">
        <f>$C404*CN403</f>
        <v/>
      </c>
      <c r="CO404">
        <f>$C404*CO403</f>
        <v/>
      </c>
      <c r="CP404">
        <f>$C404*CP403</f>
        <v/>
      </c>
      <c r="CQ404">
        <f>$C404*CQ403</f>
        <v/>
      </c>
      <c r="CR404">
        <f>$C404*CR403</f>
        <v/>
      </c>
      <c r="CS404">
        <f>$C404*CS403</f>
        <v/>
      </c>
      <c r="CT404">
        <f>$C404*CT403</f>
        <v/>
      </c>
      <c r="CU404">
        <f>$C404*CU403</f>
        <v/>
      </c>
      <c r="CV404">
        <f>$C404*CV403</f>
        <v/>
      </c>
      <c r="CW404">
        <f>$C404*CW403</f>
        <v/>
      </c>
      <c r="CX404">
        <f>$C404*CX403</f>
        <v/>
      </c>
      <c r="CY404">
        <f>$C404*CY403</f>
        <v/>
      </c>
      <c r="CZ404">
        <f>$C404*CZ403</f>
        <v/>
      </c>
      <c r="DA404">
        <f>$C404*DA403</f>
        <v/>
      </c>
      <c r="DB404">
        <f>$C404*DB403</f>
        <v/>
      </c>
      <c r="DC404">
        <f>$C404*DC403</f>
        <v/>
      </c>
      <c r="DD404">
        <f>$C404*DD403</f>
        <v/>
      </c>
    </row>
    <row r="405">
      <c r="B405" t="inlineStr">
        <is>
          <t>TSP-656</t>
        </is>
      </c>
      <c r="C405" t="inlineStr">
        <is>
          <t>No. of batches</t>
        </is>
      </c>
      <c r="D405">
        <f>IFERROR(INDEX(E405:DD405,$F$1),"")</f>
        <v/>
      </c>
      <c r="E405">
        <f>IFERROR(INDEX(PP_Grid[#Data],$DE405,2),0)</f>
        <v/>
      </c>
      <c r="F405">
        <f>IFERROR(INDEX(PP_Grid[#Data],$DE405,3),0)</f>
        <v/>
      </c>
      <c r="G405">
        <f>IFERROR(INDEX(PP_Grid[#Data],$DE405,4),0)</f>
        <v/>
      </c>
      <c r="H405">
        <f>IFERROR(INDEX(PP_Grid[#Data],$DE405,5),0)</f>
        <v/>
      </c>
      <c r="I405">
        <f>IFERROR(INDEX(PP_Grid[#Data],$DE405,6),0)</f>
        <v/>
      </c>
      <c r="J405">
        <f>IFERROR(INDEX(PP_Grid[#Data],$DE405,7),0)</f>
        <v/>
      </c>
      <c r="K405">
        <f>IFERROR(INDEX(PP_Grid[#Data],$DE405,8),0)</f>
        <v/>
      </c>
      <c r="L405">
        <f>IFERROR(INDEX(PP_Grid[#Data],$DE405,9),0)</f>
        <v/>
      </c>
      <c r="M405">
        <f>IFERROR(INDEX(PP_Grid[#Data],$DE405,10),0)</f>
        <v/>
      </c>
      <c r="N405">
        <f>IFERROR(INDEX(PP_Grid[#Data],$DE405,11),0)</f>
        <v/>
      </c>
      <c r="O405">
        <f>IFERROR(INDEX(PP_Grid[#Data],$DE405,12),0)</f>
        <v/>
      </c>
      <c r="P405">
        <f>IFERROR(INDEX(PP_Grid[#Data],$DE405,13),0)</f>
        <v/>
      </c>
      <c r="Q405">
        <f>IFERROR(INDEX(PP_Grid[#Data],$DE405,14),0)</f>
        <v/>
      </c>
      <c r="R405">
        <f>IFERROR(INDEX(PP_Grid[#Data],$DE405,15),0)</f>
        <v/>
      </c>
      <c r="S405">
        <f>IFERROR(INDEX(PP_Grid[#Data],$DE405,16),0)</f>
        <v/>
      </c>
      <c r="T405">
        <f>IFERROR(INDEX(PP_Grid[#Data],$DE405,17),0)</f>
        <v/>
      </c>
      <c r="U405">
        <f>IFERROR(INDEX(PP_Grid[#Data],$DE405,18),0)</f>
        <v/>
      </c>
      <c r="V405">
        <f>IFERROR(INDEX(PP_Grid[#Data],$DE405,19),0)</f>
        <v/>
      </c>
      <c r="W405">
        <f>IFERROR(INDEX(PP_Grid[#Data],$DE405,20),0)</f>
        <v/>
      </c>
      <c r="X405">
        <f>IFERROR(INDEX(PP_Grid[#Data],$DE405,21),0)</f>
        <v/>
      </c>
      <c r="Y405">
        <f>IFERROR(INDEX(PP_Grid[#Data],$DE405,22),0)</f>
        <v/>
      </c>
      <c r="Z405">
        <f>IFERROR(INDEX(PP_Grid[#Data],$DE405,23),0)</f>
        <v/>
      </c>
      <c r="AA405">
        <f>IFERROR(INDEX(PP_Grid[#Data],$DE405,24),0)</f>
        <v/>
      </c>
      <c r="AB405">
        <f>IFERROR(INDEX(PP_Grid[#Data],$DE405,25),0)</f>
        <v/>
      </c>
      <c r="AC405">
        <f>IFERROR(INDEX(PP_Grid[#Data],$DE405,26),0)</f>
        <v/>
      </c>
      <c r="AD405">
        <f>IFERROR(INDEX(PP_Grid[#Data],$DE405,27),0)</f>
        <v/>
      </c>
      <c r="AE405">
        <f>IFERROR(INDEX(PP_Grid[#Data],$DE405,28),0)</f>
        <v/>
      </c>
      <c r="AF405">
        <f>IFERROR(INDEX(PP_Grid[#Data],$DE405,29),0)</f>
        <v/>
      </c>
      <c r="AG405">
        <f>IFERROR(INDEX(PP_Grid[#Data],$DE405,30),0)</f>
        <v/>
      </c>
      <c r="AH405">
        <f>IFERROR(INDEX(PP_Grid[#Data],$DE405,31),0)</f>
        <v/>
      </c>
      <c r="AI405">
        <f>IFERROR(INDEX(PP_Grid[#Data],$DE405,32),0)</f>
        <v/>
      </c>
      <c r="AJ405">
        <f>IFERROR(INDEX(PP_Grid[#Data],$DE405,33),0)</f>
        <v/>
      </c>
      <c r="AK405">
        <f>IFERROR(INDEX(PP_Grid[#Data],$DE405,34),0)</f>
        <v/>
      </c>
      <c r="AL405">
        <f>IFERROR(INDEX(PP_Grid[#Data],$DE405,35),0)</f>
        <v/>
      </c>
      <c r="AM405">
        <f>IFERROR(INDEX(PP_Grid[#Data],$DE405,36),0)</f>
        <v/>
      </c>
      <c r="AN405">
        <f>IFERROR(INDEX(PP_Grid[#Data],$DE405,37),0)</f>
        <v/>
      </c>
      <c r="AO405">
        <f>IFERROR(INDEX(PP_Grid[#Data],$DE405,38),0)</f>
        <v/>
      </c>
      <c r="AP405">
        <f>IFERROR(INDEX(PP_Grid[#Data],$DE405,39),0)</f>
        <v/>
      </c>
      <c r="AQ405">
        <f>IFERROR(INDEX(PP_Grid[#Data],$DE405,40),0)</f>
        <v/>
      </c>
      <c r="AR405">
        <f>IFERROR(INDEX(PP_Grid[#Data],$DE405,41),0)</f>
        <v/>
      </c>
      <c r="AS405">
        <f>IFERROR(INDEX(PP_Grid[#Data],$DE405,42),0)</f>
        <v/>
      </c>
      <c r="AT405">
        <f>IFERROR(INDEX(PP_Grid[#Data],$DE405,43),0)</f>
        <v/>
      </c>
      <c r="AU405">
        <f>IFERROR(INDEX(PP_Grid[#Data],$DE405,44),0)</f>
        <v/>
      </c>
      <c r="AV405">
        <f>IFERROR(INDEX(PP_Grid[#Data],$DE405,45),0)</f>
        <v/>
      </c>
      <c r="AW405">
        <f>IFERROR(INDEX(PP_Grid[#Data],$DE405,46),0)</f>
        <v/>
      </c>
      <c r="AX405">
        <f>IFERROR(INDEX(PP_Grid[#Data],$DE405,47),0)</f>
        <v/>
      </c>
      <c r="AY405">
        <f>IFERROR(INDEX(PP_Grid[#Data],$DE405,48),0)</f>
        <v/>
      </c>
      <c r="AZ405">
        <f>IFERROR(INDEX(PP_Grid[#Data],$DE405,49),0)</f>
        <v/>
      </c>
      <c r="BA405">
        <f>IFERROR(INDEX(PP_Grid[#Data],$DE405,50),0)</f>
        <v/>
      </c>
      <c r="BB405">
        <f>IFERROR(INDEX(PP_Grid[#Data],$DE405,51),0)</f>
        <v/>
      </c>
      <c r="BC405">
        <f>IFERROR(INDEX(PP_Grid[#Data],$DE405,52),0)</f>
        <v/>
      </c>
      <c r="BD405">
        <f>IFERROR(INDEX(PP_Grid[#Data],$DE405,53),0)</f>
        <v/>
      </c>
      <c r="BE405">
        <f>IFERROR(INDEX(PP_Grid[#Data],$DE405,54),0)</f>
        <v/>
      </c>
      <c r="BF405">
        <f>IFERROR(INDEX(PP_Grid[#Data],$DE405,55),0)</f>
        <v/>
      </c>
      <c r="BG405">
        <f>IFERROR(INDEX(PP_Grid[#Data],$DE405,56),0)</f>
        <v/>
      </c>
      <c r="BH405">
        <f>IFERROR(INDEX(PP_Grid[#Data],$DE405,57),0)</f>
        <v/>
      </c>
      <c r="BI405">
        <f>IFERROR(INDEX(PP_Grid[#Data],$DE405,58),0)</f>
        <v/>
      </c>
      <c r="BJ405">
        <f>IFERROR(INDEX(PP_Grid[#Data],$DE405,59),0)</f>
        <v/>
      </c>
      <c r="BK405">
        <f>IFERROR(INDEX(PP_Grid[#Data],$DE405,60),0)</f>
        <v/>
      </c>
      <c r="BL405">
        <f>IFERROR(INDEX(PP_Grid[#Data],$DE405,61),0)</f>
        <v/>
      </c>
      <c r="BM405">
        <f>IFERROR(INDEX(PP_Grid[#Data],$DE405,62),0)</f>
        <v/>
      </c>
      <c r="BN405">
        <f>IFERROR(INDEX(PP_Grid[#Data],$DE405,63),0)</f>
        <v/>
      </c>
      <c r="BO405">
        <f>IFERROR(INDEX(PP_Grid[#Data],$DE405,64),0)</f>
        <v/>
      </c>
      <c r="BP405">
        <f>IFERROR(INDEX(PP_Grid[#Data],$DE405,65),0)</f>
        <v/>
      </c>
      <c r="BQ405">
        <f>IFERROR(INDEX(PP_Grid[#Data],$DE405,66),0)</f>
        <v/>
      </c>
      <c r="BR405">
        <f>IFERROR(INDEX(PP_Grid[#Data],$DE405,67),0)</f>
        <v/>
      </c>
      <c r="BS405">
        <f>IFERROR(INDEX(PP_Grid[#Data],$DE405,68),0)</f>
        <v/>
      </c>
      <c r="BT405">
        <f>IFERROR(INDEX(PP_Grid[#Data],$DE405,69),0)</f>
        <v/>
      </c>
      <c r="BU405">
        <f>IFERROR(INDEX(PP_Grid[#Data],$DE405,70),0)</f>
        <v/>
      </c>
      <c r="BV405">
        <f>IFERROR(INDEX(PP_Grid[#Data],$DE405,71),0)</f>
        <v/>
      </c>
      <c r="BW405">
        <f>IFERROR(INDEX(PP_Grid[#Data],$DE405,72),0)</f>
        <v/>
      </c>
      <c r="BX405">
        <f>IFERROR(INDEX(PP_Grid[#Data],$DE405,73),0)</f>
        <v/>
      </c>
      <c r="BY405">
        <f>IFERROR(INDEX(PP_Grid[#Data],$DE405,74),0)</f>
        <v/>
      </c>
      <c r="BZ405">
        <f>IFERROR(INDEX(PP_Grid[#Data],$DE405,75),0)</f>
        <v/>
      </c>
      <c r="CA405">
        <f>IFERROR(INDEX(PP_Grid[#Data],$DE405,76),0)</f>
        <v/>
      </c>
      <c r="CB405">
        <f>IFERROR(INDEX(PP_Grid[#Data],$DE405,77),0)</f>
        <v/>
      </c>
      <c r="CC405">
        <f>IFERROR(INDEX(PP_Grid[#Data],$DE405,78),0)</f>
        <v/>
      </c>
      <c r="CD405">
        <f>IFERROR(INDEX(PP_Grid[#Data],$DE405,79),0)</f>
        <v/>
      </c>
      <c r="CE405">
        <f>IFERROR(INDEX(PP_Grid[#Data],$DE405,80),0)</f>
        <v/>
      </c>
      <c r="CF405">
        <f>IFERROR(INDEX(PP_Grid[#Data],$DE405,81),0)</f>
        <v/>
      </c>
      <c r="CG405">
        <f>IFERROR(INDEX(PP_Grid[#Data],$DE405,82),0)</f>
        <v/>
      </c>
      <c r="CH405">
        <f>IFERROR(INDEX(PP_Grid[#Data],$DE405,83),0)</f>
        <v/>
      </c>
      <c r="CI405">
        <f>IFERROR(INDEX(PP_Grid[#Data],$DE405,84),0)</f>
        <v/>
      </c>
      <c r="CJ405">
        <f>IFERROR(INDEX(PP_Grid[#Data],$DE405,85),0)</f>
        <v/>
      </c>
      <c r="CK405">
        <f>IFERROR(INDEX(PP_Grid[#Data],$DE405,86),0)</f>
        <v/>
      </c>
      <c r="CL405">
        <f>IFERROR(INDEX(PP_Grid[#Data],$DE405,87),0)</f>
        <v/>
      </c>
      <c r="CM405">
        <f>IFERROR(INDEX(PP_Grid[#Data],$DE405,88),0)</f>
        <v/>
      </c>
      <c r="CN405">
        <f>IFERROR(INDEX(PP_Grid[#Data],$DE405,89),0)</f>
        <v/>
      </c>
      <c r="CO405">
        <f>IFERROR(INDEX(PP_Grid[#Data],$DE405,90),0)</f>
        <v/>
      </c>
      <c r="CP405">
        <f>IFERROR(INDEX(PP_Grid[#Data],$DE405,91),0)</f>
        <v/>
      </c>
      <c r="CQ405">
        <f>IFERROR(INDEX(PP_Grid[#Data],$DE405,92),0)</f>
        <v/>
      </c>
      <c r="CR405">
        <f>IFERROR(INDEX(PP_Grid[#Data],$DE405,93),0)</f>
        <v/>
      </c>
      <c r="CS405">
        <f>IFERROR(INDEX(PP_Grid[#Data],$DE405,94),0)</f>
        <v/>
      </c>
      <c r="CT405">
        <f>IFERROR(INDEX(PP_Grid[#Data],$DE405,95),0)</f>
        <v/>
      </c>
      <c r="CU405">
        <f>IFERROR(INDEX(PP_Grid[#Data],$DE405,96),0)</f>
        <v/>
      </c>
      <c r="CV405">
        <f>IFERROR(INDEX(PP_Grid[#Data],$DE405,97),0)</f>
        <v/>
      </c>
      <c r="CW405">
        <f>IFERROR(INDEX(PP_Grid[#Data],$DE405,98),0)</f>
        <v/>
      </c>
      <c r="CX405">
        <f>IFERROR(INDEX(PP_Grid[#Data],$DE405,99),0)</f>
        <v/>
      </c>
      <c r="CY405">
        <f>IFERROR(INDEX(PP_Grid[#Data],$DE405,100),0)</f>
        <v/>
      </c>
      <c r="CZ405">
        <f>IFERROR(INDEX(PP_Grid[#Data],$DE405,101),0)</f>
        <v/>
      </c>
      <c r="DA405">
        <f>IFERROR(INDEX(PP_Grid[#Data],$DE405,102),0)</f>
        <v/>
      </c>
      <c r="DB405">
        <f>IFERROR(INDEX(PP_Grid[#Data],$DE405,103),0)</f>
        <v/>
      </c>
      <c r="DC405">
        <f>IFERROR(INDEX(PP_Grid[#Data],$DE405,104),0)</f>
        <v/>
      </c>
      <c r="DD405">
        <f>IFERROR(INDEX(PP_Grid[#Data],$DE405,105),0)</f>
        <v/>
      </c>
      <c r="DE405" s="7">
        <f>IFERROR(MATCH($B405,PP_Grid[Intermediate],0),99999)</f>
        <v/>
      </c>
    </row>
    <row r="406">
      <c r="B406" t="inlineStr">
        <is>
          <t>使用量(kg)</t>
        </is>
      </c>
      <c r="C406">
        <f>SUMIFS(M_BOM[RM_Qty_Per_Batch],M_BOM[Intermediate],$B405,M_BOM[RM_Code],$A340)</f>
        <v/>
      </c>
      <c r="D406">
        <f>IFERROR(INDEX(E406:DD406,$F$1),"")</f>
        <v/>
      </c>
      <c r="E406">
        <f>$C406*E405</f>
        <v/>
      </c>
      <c r="F406">
        <f>$C406*F405</f>
        <v/>
      </c>
      <c r="G406">
        <f>$C406*G405</f>
        <v/>
      </c>
      <c r="H406">
        <f>$C406*H405</f>
        <v/>
      </c>
      <c r="I406">
        <f>$C406*I405</f>
        <v/>
      </c>
      <c r="J406">
        <f>$C406*J405</f>
        <v/>
      </c>
      <c r="K406">
        <f>$C406*K405</f>
        <v/>
      </c>
      <c r="L406">
        <f>$C406*L405</f>
        <v/>
      </c>
      <c r="M406">
        <f>$C406*M405</f>
        <v/>
      </c>
      <c r="N406">
        <f>$C406*N405</f>
        <v/>
      </c>
      <c r="O406">
        <f>$C406*O405</f>
        <v/>
      </c>
      <c r="P406">
        <f>$C406*P405</f>
        <v/>
      </c>
      <c r="Q406">
        <f>$C406*Q405</f>
        <v/>
      </c>
      <c r="R406">
        <f>$C406*R405</f>
        <v/>
      </c>
      <c r="S406">
        <f>$C406*S405</f>
        <v/>
      </c>
      <c r="T406">
        <f>$C406*T405</f>
        <v/>
      </c>
      <c r="U406">
        <f>$C406*U405</f>
        <v/>
      </c>
      <c r="V406">
        <f>$C406*V405</f>
        <v/>
      </c>
      <c r="W406">
        <f>$C406*W405</f>
        <v/>
      </c>
      <c r="X406">
        <f>$C406*X405</f>
        <v/>
      </c>
      <c r="Y406">
        <f>$C406*Y405</f>
        <v/>
      </c>
      <c r="Z406">
        <f>$C406*Z405</f>
        <v/>
      </c>
      <c r="AA406">
        <f>$C406*AA405</f>
        <v/>
      </c>
      <c r="AB406">
        <f>$C406*AB405</f>
        <v/>
      </c>
      <c r="AC406">
        <f>$C406*AC405</f>
        <v/>
      </c>
      <c r="AD406">
        <f>$C406*AD405</f>
        <v/>
      </c>
      <c r="AE406">
        <f>$C406*AE405</f>
        <v/>
      </c>
      <c r="AF406">
        <f>$C406*AF405</f>
        <v/>
      </c>
      <c r="AG406">
        <f>$C406*AG405</f>
        <v/>
      </c>
      <c r="AH406">
        <f>$C406*AH405</f>
        <v/>
      </c>
      <c r="AI406">
        <f>$C406*AI405</f>
        <v/>
      </c>
      <c r="AJ406">
        <f>$C406*AJ405</f>
        <v/>
      </c>
      <c r="AK406">
        <f>$C406*AK405</f>
        <v/>
      </c>
      <c r="AL406">
        <f>$C406*AL405</f>
        <v/>
      </c>
      <c r="AM406">
        <f>$C406*AM405</f>
        <v/>
      </c>
      <c r="AN406">
        <f>$C406*AN405</f>
        <v/>
      </c>
      <c r="AO406">
        <f>$C406*AO405</f>
        <v/>
      </c>
      <c r="AP406">
        <f>$C406*AP405</f>
        <v/>
      </c>
      <c r="AQ406">
        <f>$C406*AQ405</f>
        <v/>
      </c>
      <c r="AR406">
        <f>$C406*AR405</f>
        <v/>
      </c>
      <c r="AS406">
        <f>$C406*AS405</f>
        <v/>
      </c>
      <c r="AT406">
        <f>$C406*AT405</f>
        <v/>
      </c>
      <c r="AU406">
        <f>$C406*AU405</f>
        <v/>
      </c>
      <c r="AV406">
        <f>$C406*AV405</f>
        <v/>
      </c>
      <c r="AW406">
        <f>$C406*AW405</f>
        <v/>
      </c>
      <c r="AX406">
        <f>$C406*AX405</f>
        <v/>
      </c>
      <c r="AY406">
        <f>$C406*AY405</f>
        <v/>
      </c>
      <c r="AZ406">
        <f>$C406*AZ405</f>
        <v/>
      </c>
      <c r="BA406">
        <f>$C406*BA405</f>
        <v/>
      </c>
      <c r="BB406">
        <f>$C406*BB405</f>
        <v/>
      </c>
      <c r="BC406">
        <f>$C406*BC405</f>
        <v/>
      </c>
      <c r="BD406">
        <f>$C406*BD405</f>
        <v/>
      </c>
      <c r="BE406">
        <f>$C406*BE405</f>
        <v/>
      </c>
      <c r="BF406">
        <f>$C406*BF405</f>
        <v/>
      </c>
      <c r="BG406">
        <f>$C406*BG405</f>
        <v/>
      </c>
      <c r="BH406">
        <f>$C406*BH405</f>
        <v/>
      </c>
      <c r="BI406">
        <f>$C406*BI405</f>
        <v/>
      </c>
      <c r="BJ406">
        <f>$C406*BJ405</f>
        <v/>
      </c>
      <c r="BK406">
        <f>$C406*BK405</f>
        <v/>
      </c>
      <c r="BL406">
        <f>$C406*BL405</f>
        <v/>
      </c>
      <c r="BM406">
        <f>$C406*BM405</f>
        <v/>
      </c>
      <c r="BN406">
        <f>$C406*BN405</f>
        <v/>
      </c>
      <c r="BO406">
        <f>$C406*BO405</f>
        <v/>
      </c>
      <c r="BP406">
        <f>$C406*BP405</f>
        <v/>
      </c>
      <c r="BQ406">
        <f>$C406*BQ405</f>
        <v/>
      </c>
      <c r="BR406">
        <f>$C406*BR405</f>
        <v/>
      </c>
      <c r="BS406">
        <f>$C406*BS405</f>
        <v/>
      </c>
      <c r="BT406">
        <f>$C406*BT405</f>
        <v/>
      </c>
      <c r="BU406">
        <f>$C406*BU405</f>
        <v/>
      </c>
      <c r="BV406">
        <f>$C406*BV405</f>
        <v/>
      </c>
      <c r="BW406">
        <f>$C406*BW405</f>
        <v/>
      </c>
      <c r="BX406">
        <f>$C406*BX405</f>
        <v/>
      </c>
      <c r="BY406">
        <f>$C406*BY405</f>
        <v/>
      </c>
      <c r="BZ406">
        <f>$C406*BZ405</f>
        <v/>
      </c>
      <c r="CA406">
        <f>$C406*CA405</f>
        <v/>
      </c>
      <c r="CB406">
        <f>$C406*CB405</f>
        <v/>
      </c>
      <c r="CC406">
        <f>$C406*CC405</f>
        <v/>
      </c>
      <c r="CD406">
        <f>$C406*CD405</f>
        <v/>
      </c>
      <c r="CE406">
        <f>$C406*CE405</f>
        <v/>
      </c>
      <c r="CF406">
        <f>$C406*CF405</f>
        <v/>
      </c>
      <c r="CG406">
        <f>$C406*CG405</f>
        <v/>
      </c>
      <c r="CH406">
        <f>$C406*CH405</f>
        <v/>
      </c>
      <c r="CI406">
        <f>$C406*CI405</f>
        <v/>
      </c>
      <c r="CJ406">
        <f>$C406*CJ405</f>
        <v/>
      </c>
      <c r="CK406">
        <f>$C406*CK405</f>
        <v/>
      </c>
      <c r="CL406">
        <f>$C406*CL405</f>
        <v/>
      </c>
      <c r="CM406">
        <f>$C406*CM405</f>
        <v/>
      </c>
      <c r="CN406">
        <f>$C406*CN405</f>
        <v/>
      </c>
      <c r="CO406">
        <f>$C406*CO405</f>
        <v/>
      </c>
      <c r="CP406">
        <f>$C406*CP405</f>
        <v/>
      </c>
      <c r="CQ406">
        <f>$C406*CQ405</f>
        <v/>
      </c>
      <c r="CR406">
        <f>$C406*CR405</f>
        <v/>
      </c>
      <c r="CS406">
        <f>$C406*CS405</f>
        <v/>
      </c>
      <c r="CT406">
        <f>$C406*CT405</f>
        <v/>
      </c>
      <c r="CU406">
        <f>$C406*CU405</f>
        <v/>
      </c>
      <c r="CV406">
        <f>$C406*CV405</f>
        <v/>
      </c>
      <c r="CW406">
        <f>$C406*CW405</f>
        <v/>
      </c>
      <c r="CX406">
        <f>$C406*CX405</f>
        <v/>
      </c>
      <c r="CY406">
        <f>$C406*CY405</f>
        <v/>
      </c>
      <c r="CZ406">
        <f>$C406*CZ405</f>
        <v/>
      </c>
      <c r="DA406">
        <f>$C406*DA405</f>
        <v/>
      </c>
      <c r="DB406">
        <f>$C406*DB405</f>
        <v/>
      </c>
      <c r="DC406">
        <f>$C406*DC405</f>
        <v/>
      </c>
      <c r="DD406">
        <f>$C406*DD405</f>
        <v/>
      </c>
    </row>
    <row r="407">
      <c r="B407" t="inlineStr">
        <is>
          <t>TSP-668</t>
        </is>
      </c>
      <c r="C407" t="inlineStr">
        <is>
          <t>No. of batches</t>
        </is>
      </c>
      <c r="D407">
        <f>IFERROR(INDEX(E407:DD407,$F$1),"")</f>
        <v/>
      </c>
      <c r="E407">
        <f>IFERROR(INDEX(PP_Grid[#Data],$DE407,2),0)</f>
        <v/>
      </c>
      <c r="F407">
        <f>IFERROR(INDEX(PP_Grid[#Data],$DE407,3),0)</f>
        <v/>
      </c>
      <c r="G407">
        <f>IFERROR(INDEX(PP_Grid[#Data],$DE407,4),0)</f>
        <v/>
      </c>
      <c r="H407">
        <f>IFERROR(INDEX(PP_Grid[#Data],$DE407,5),0)</f>
        <v/>
      </c>
      <c r="I407">
        <f>IFERROR(INDEX(PP_Grid[#Data],$DE407,6),0)</f>
        <v/>
      </c>
      <c r="J407">
        <f>IFERROR(INDEX(PP_Grid[#Data],$DE407,7),0)</f>
        <v/>
      </c>
      <c r="K407">
        <f>IFERROR(INDEX(PP_Grid[#Data],$DE407,8),0)</f>
        <v/>
      </c>
      <c r="L407">
        <f>IFERROR(INDEX(PP_Grid[#Data],$DE407,9),0)</f>
        <v/>
      </c>
      <c r="M407">
        <f>IFERROR(INDEX(PP_Grid[#Data],$DE407,10),0)</f>
        <v/>
      </c>
      <c r="N407">
        <f>IFERROR(INDEX(PP_Grid[#Data],$DE407,11),0)</f>
        <v/>
      </c>
      <c r="O407">
        <f>IFERROR(INDEX(PP_Grid[#Data],$DE407,12),0)</f>
        <v/>
      </c>
      <c r="P407">
        <f>IFERROR(INDEX(PP_Grid[#Data],$DE407,13),0)</f>
        <v/>
      </c>
      <c r="Q407">
        <f>IFERROR(INDEX(PP_Grid[#Data],$DE407,14),0)</f>
        <v/>
      </c>
      <c r="R407">
        <f>IFERROR(INDEX(PP_Grid[#Data],$DE407,15),0)</f>
        <v/>
      </c>
      <c r="S407">
        <f>IFERROR(INDEX(PP_Grid[#Data],$DE407,16),0)</f>
        <v/>
      </c>
      <c r="T407">
        <f>IFERROR(INDEX(PP_Grid[#Data],$DE407,17),0)</f>
        <v/>
      </c>
      <c r="U407">
        <f>IFERROR(INDEX(PP_Grid[#Data],$DE407,18),0)</f>
        <v/>
      </c>
      <c r="V407">
        <f>IFERROR(INDEX(PP_Grid[#Data],$DE407,19),0)</f>
        <v/>
      </c>
      <c r="W407">
        <f>IFERROR(INDEX(PP_Grid[#Data],$DE407,20),0)</f>
        <v/>
      </c>
      <c r="X407">
        <f>IFERROR(INDEX(PP_Grid[#Data],$DE407,21),0)</f>
        <v/>
      </c>
      <c r="Y407">
        <f>IFERROR(INDEX(PP_Grid[#Data],$DE407,22),0)</f>
        <v/>
      </c>
      <c r="Z407">
        <f>IFERROR(INDEX(PP_Grid[#Data],$DE407,23),0)</f>
        <v/>
      </c>
      <c r="AA407">
        <f>IFERROR(INDEX(PP_Grid[#Data],$DE407,24),0)</f>
        <v/>
      </c>
      <c r="AB407">
        <f>IFERROR(INDEX(PP_Grid[#Data],$DE407,25),0)</f>
        <v/>
      </c>
      <c r="AC407">
        <f>IFERROR(INDEX(PP_Grid[#Data],$DE407,26),0)</f>
        <v/>
      </c>
      <c r="AD407">
        <f>IFERROR(INDEX(PP_Grid[#Data],$DE407,27),0)</f>
        <v/>
      </c>
      <c r="AE407">
        <f>IFERROR(INDEX(PP_Grid[#Data],$DE407,28),0)</f>
        <v/>
      </c>
      <c r="AF407">
        <f>IFERROR(INDEX(PP_Grid[#Data],$DE407,29),0)</f>
        <v/>
      </c>
      <c r="AG407">
        <f>IFERROR(INDEX(PP_Grid[#Data],$DE407,30),0)</f>
        <v/>
      </c>
      <c r="AH407">
        <f>IFERROR(INDEX(PP_Grid[#Data],$DE407,31),0)</f>
        <v/>
      </c>
      <c r="AI407">
        <f>IFERROR(INDEX(PP_Grid[#Data],$DE407,32),0)</f>
        <v/>
      </c>
      <c r="AJ407">
        <f>IFERROR(INDEX(PP_Grid[#Data],$DE407,33),0)</f>
        <v/>
      </c>
      <c r="AK407">
        <f>IFERROR(INDEX(PP_Grid[#Data],$DE407,34),0)</f>
        <v/>
      </c>
      <c r="AL407">
        <f>IFERROR(INDEX(PP_Grid[#Data],$DE407,35),0)</f>
        <v/>
      </c>
      <c r="AM407">
        <f>IFERROR(INDEX(PP_Grid[#Data],$DE407,36),0)</f>
        <v/>
      </c>
      <c r="AN407">
        <f>IFERROR(INDEX(PP_Grid[#Data],$DE407,37),0)</f>
        <v/>
      </c>
      <c r="AO407">
        <f>IFERROR(INDEX(PP_Grid[#Data],$DE407,38),0)</f>
        <v/>
      </c>
      <c r="AP407">
        <f>IFERROR(INDEX(PP_Grid[#Data],$DE407,39),0)</f>
        <v/>
      </c>
      <c r="AQ407">
        <f>IFERROR(INDEX(PP_Grid[#Data],$DE407,40),0)</f>
        <v/>
      </c>
      <c r="AR407">
        <f>IFERROR(INDEX(PP_Grid[#Data],$DE407,41),0)</f>
        <v/>
      </c>
      <c r="AS407">
        <f>IFERROR(INDEX(PP_Grid[#Data],$DE407,42),0)</f>
        <v/>
      </c>
      <c r="AT407">
        <f>IFERROR(INDEX(PP_Grid[#Data],$DE407,43),0)</f>
        <v/>
      </c>
      <c r="AU407">
        <f>IFERROR(INDEX(PP_Grid[#Data],$DE407,44),0)</f>
        <v/>
      </c>
      <c r="AV407">
        <f>IFERROR(INDEX(PP_Grid[#Data],$DE407,45),0)</f>
        <v/>
      </c>
      <c r="AW407">
        <f>IFERROR(INDEX(PP_Grid[#Data],$DE407,46),0)</f>
        <v/>
      </c>
      <c r="AX407">
        <f>IFERROR(INDEX(PP_Grid[#Data],$DE407,47),0)</f>
        <v/>
      </c>
      <c r="AY407">
        <f>IFERROR(INDEX(PP_Grid[#Data],$DE407,48),0)</f>
        <v/>
      </c>
      <c r="AZ407">
        <f>IFERROR(INDEX(PP_Grid[#Data],$DE407,49),0)</f>
        <v/>
      </c>
      <c r="BA407">
        <f>IFERROR(INDEX(PP_Grid[#Data],$DE407,50),0)</f>
        <v/>
      </c>
      <c r="BB407">
        <f>IFERROR(INDEX(PP_Grid[#Data],$DE407,51),0)</f>
        <v/>
      </c>
      <c r="BC407">
        <f>IFERROR(INDEX(PP_Grid[#Data],$DE407,52),0)</f>
        <v/>
      </c>
      <c r="BD407">
        <f>IFERROR(INDEX(PP_Grid[#Data],$DE407,53),0)</f>
        <v/>
      </c>
      <c r="BE407">
        <f>IFERROR(INDEX(PP_Grid[#Data],$DE407,54),0)</f>
        <v/>
      </c>
      <c r="BF407">
        <f>IFERROR(INDEX(PP_Grid[#Data],$DE407,55),0)</f>
        <v/>
      </c>
      <c r="BG407">
        <f>IFERROR(INDEX(PP_Grid[#Data],$DE407,56),0)</f>
        <v/>
      </c>
      <c r="BH407">
        <f>IFERROR(INDEX(PP_Grid[#Data],$DE407,57),0)</f>
        <v/>
      </c>
      <c r="BI407">
        <f>IFERROR(INDEX(PP_Grid[#Data],$DE407,58),0)</f>
        <v/>
      </c>
      <c r="BJ407">
        <f>IFERROR(INDEX(PP_Grid[#Data],$DE407,59),0)</f>
        <v/>
      </c>
      <c r="BK407">
        <f>IFERROR(INDEX(PP_Grid[#Data],$DE407,60),0)</f>
        <v/>
      </c>
      <c r="BL407">
        <f>IFERROR(INDEX(PP_Grid[#Data],$DE407,61),0)</f>
        <v/>
      </c>
      <c r="BM407">
        <f>IFERROR(INDEX(PP_Grid[#Data],$DE407,62),0)</f>
        <v/>
      </c>
      <c r="BN407">
        <f>IFERROR(INDEX(PP_Grid[#Data],$DE407,63),0)</f>
        <v/>
      </c>
      <c r="BO407">
        <f>IFERROR(INDEX(PP_Grid[#Data],$DE407,64),0)</f>
        <v/>
      </c>
      <c r="BP407">
        <f>IFERROR(INDEX(PP_Grid[#Data],$DE407,65),0)</f>
        <v/>
      </c>
      <c r="BQ407">
        <f>IFERROR(INDEX(PP_Grid[#Data],$DE407,66),0)</f>
        <v/>
      </c>
      <c r="BR407">
        <f>IFERROR(INDEX(PP_Grid[#Data],$DE407,67),0)</f>
        <v/>
      </c>
      <c r="BS407">
        <f>IFERROR(INDEX(PP_Grid[#Data],$DE407,68),0)</f>
        <v/>
      </c>
      <c r="BT407">
        <f>IFERROR(INDEX(PP_Grid[#Data],$DE407,69),0)</f>
        <v/>
      </c>
      <c r="BU407">
        <f>IFERROR(INDEX(PP_Grid[#Data],$DE407,70),0)</f>
        <v/>
      </c>
      <c r="BV407">
        <f>IFERROR(INDEX(PP_Grid[#Data],$DE407,71),0)</f>
        <v/>
      </c>
      <c r="BW407">
        <f>IFERROR(INDEX(PP_Grid[#Data],$DE407,72),0)</f>
        <v/>
      </c>
      <c r="BX407">
        <f>IFERROR(INDEX(PP_Grid[#Data],$DE407,73),0)</f>
        <v/>
      </c>
      <c r="BY407">
        <f>IFERROR(INDEX(PP_Grid[#Data],$DE407,74),0)</f>
        <v/>
      </c>
      <c r="BZ407">
        <f>IFERROR(INDEX(PP_Grid[#Data],$DE407,75),0)</f>
        <v/>
      </c>
      <c r="CA407">
        <f>IFERROR(INDEX(PP_Grid[#Data],$DE407,76),0)</f>
        <v/>
      </c>
      <c r="CB407">
        <f>IFERROR(INDEX(PP_Grid[#Data],$DE407,77),0)</f>
        <v/>
      </c>
      <c r="CC407">
        <f>IFERROR(INDEX(PP_Grid[#Data],$DE407,78),0)</f>
        <v/>
      </c>
      <c r="CD407">
        <f>IFERROR(INDEX(PP_Grid[#Data],$DE407,79),0)</f>
        <v/>
      </c>
      <c r="CE407">
        <f>IFERROR(INDEX(PP_Grid[#Data],$DE407,80),0)</f>
        <v/>
      </c>
      <c r="CF407">
        <f>IFERROR(INDEX(PP_Grid[#Data],$DE407,81),0)</f>
        <v/>
      </c>
      <c r="CG407">
        <f>IFERROR(INDEX(PP_Grid[#Data],$DE407,82),0)</f>
        <v/>
      </c>
      <c r="CH407">
        <f>IFERROR(INDEX(PP_Grid[#Data],$DE407,83),0)</f>
        <v/>
      </c>
      <c r="CI407">
        <f>IFERROR(INDEX(PP_Grid[#Data],$DE407,84),0)</f>
        <v/>
      </c>
      <c r="CJ407">
        <f>IFERROR(INDEX(PP_Grid[#Data],$DE407,85),0)</f>
        <v/>
      </c>
      <c r="CK407">
        <f>IFERROR(INDEX(PP_Grid[#Data],$DE407,86),0)</f>
        <v/>
      </c>
      <c r="CL407">
        <f>IFERROR(INDEX(PP_Grid[#Data],$DE407,87),0)</f>
        <v/>
      </c>
      <c r="CM407">
        <f>IFERROR(INDEX(PP_Grid[#Data],$DE407,88),0)</f>
        <v/>
      </c>
      <c r="CN407">
        <f>IFERROR(INDEX(PP_Grid[#Data],$DE407,89),0)</f>
        <v/>
      </c>
      <c r="CO407">
        <f>IFERROR(INDEX(PP_Grid[#Data],$DE407,90),0)</f>
        <v/>
      </c>
      <c r="CP407">
        <f>IFERROR(INDEX(PP_Grid[#Data],$DE407,91),0)</f>
        <v/>
      </c>
      <c r="CQ407">
        <f>IFERROR(INDEX(PP_Grid[#Data],$DE407,92),0)</f>
        <v/>
      </c>
      <c r="CR407">
        <f>IFERROR(INDEX(PP_Grid[#Data],$DE407,93),0)</f>
        <v/>
      </c>
      <c r="CS407">
        <f>IFERROR(INDEX(PP_Grid[#Data],$DE407,94),0)</f>
        <v/>
      </c>
      <c r="CT407">
        <f>IFERROR(INDEX(PP_Grid[#Data],$DE407,95),0)</f>
        <v/>
      </c>
      <c r="CU407">
        <f>IFERROR(INDEX(PP_Grid[#Data],$DE407,96),0)</f>
        <v/>
      </c>
      <c r="CV407">
        <f>IFERROR(INDEX(PP_Grid[#Data],$DE407,97),0)</f>
        <v/>
      </c>
      <c r="CW407">
        <f>IFERROR(INDEX(PP_Grid[#Data],$DE407,98),0)</f>
        <v/>
      </c>
      <c r="CX407">
        <f>IFERROR(INDEX(PP_Grid[#Data],$DE407,99),0)</f>
        <v/>
      </c>
      <c r="CY407">
        <f>IFERROR(INDEX(PP_Grid[#Data],$DE407,100),0)</f>
        <v/>
      </c>
      <c r="CZ407">
        <f>IFERROR(INDEX(PP_Grid[#Data],$DE407,101),0)</f>
        <v/>
      </c>
      <c r="DA407">
        <f>IFERROR(INDEX(PP_Grid[#Data],$DE407,102),0)</f>
        <v/>
      </c>
      <c r="DB407">
        <f>IFERROR(INDEX(PP_Grid[#Data],$DE407,103),0)</f>
        <v/>
      </c>
      <c r="DC407">
        <f>IFERROR(INDEX(PP_Grid[#Data],$DE407,104),0)</f>
        <v/>
      </c>
      <c r="DD407">
        <f>IFERROR(INDEX(PP_Grid[#Data],$DE407,105),0)</f>
        <v/>
      </c>
      <c r="DE407" s="7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SUMIFS(M_BOM[RM_Qty_Per_Batch],M_BOM[Intermediate],$B407,M_BOM[RM_Code],$A340)</f>
        <v/>
      </c>
      <c r="D408">
        <f>IFERROR(INDEX(E408:DD408,$F$1),"")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  <c r="DD408">
        <f>$C408*DD407</f>
        <v/>
      </c>
    </row>
    <row r="409">
      <c r="B409" t="inlineStr">
        <is>
          <t>TSP-669</t>
        </is>
      </c>
      <c r="C409" t="inlineStr">
        <is>
          <t>No. of batches</t>
        </is>
      </c>
      <c r="D409">
        <f>IFERROR(INDEX(E409:DD409,$F$1),"")</f>
        <v/>
      </c>
      <c r="E409">
        <f>IFERROR(INDEX(PP_Grid[#Data],$DE409,2),0)</f>
        <v/>
      </c>
      <c r="F409">
        <f>IFERROR(INDEX(PP_Grid[#Data],$DE409,3),0)</f>
        <v/>
      </c>
      <c r="G409">
        <f>IFERROR(INDEX(PP_Grid[#Data],$DE409,4),0)</f>
        <v/>
      </c>
      <c r="H409">
        <f>IFERROR(INDEX(PP_Grid[#Data],$DE409,5),0)</f>
        <v/>
      </c>
      <c r="I409">
        <f>IFERROR(INDEX(PP_Grid[#Data],$DE409,6),0)</f>
        <v/>
      </c>
      <c r="J409">
        <f>IFERROR(INDEX(PP_Grid[#Data],$DE409,7),0)</f>
        <v/>
      </c>
      <c r="K409">
        <f>IFERROR(INDEX(PP_Grid[#Data],$DE409,8),0)</f>
        <v/>
      </c>
      <c r="L409">
        <f>IFERROR(INDEX(PP_Grid[#Data],$DE409,9),0)</f>
        <v/>
      </c>
      <c r="M409">
        <f>IFERROR(INDEX(PP_Grid[#Data],$DE409,10),0)</f>
        <v/>
      </c>
      <c r="N409">
        <f>IFERROR(INDEX(PP_Grid[#Data],$DE409,11),0)</f>
        <v/>
      </c>
      <c r="O409">
        <f>IFERROR(INDEX(PP_Grid[#Data],$DE409,12),0)</f>
        <v/>
      </c>
      <c r="P409">
        <f>IFERROR(INDEX(PP_Grid[#Data],$DE409,13),0)</f>
        <v/>
      </c>
      <c r="Q409">
        <f>IFERROR(INDEX(PP_Grid[#Data],$DE409,14),0)</f>
        <v/>
      </c>
      <c r="R409">
        <f>IFERROR(INDEX(PP_Grid[#Data],$DE409,15),0)</f>
        <v/>
      </c>
      <c r="S409">
        <f>IFERROR(INDEX(PP_Grid[#Data],$DE409,16),0)</f>
        <v/>
      </c>
      <c r="T409">
        <f>IFERROR(INDEX(PP_Grid[#Data],$DE409,17),0)</f>
        <v/>
      </c>
      <c r="U409">
        <f>IFERROR(INDEX(PP_Grid[#Data],$DE409,18),0)</f>
        <v/>
      </c>
      <c r="V409">
        <f>IFERROR(INDEX(PP_Grid[#Data],$DE409,19),0)</f>
        <v/>
      </c>
      <c r="W409">
        <f>IFERROR(INDEX(PP_Grid[#Data],$DE409,20),0)</f>
        <v/>
      </c>
      <c r="X409">
        <f>IFERROR(INDEX(PP_Grid[#Data],$DE409,21),0)</f>
        <v/>
      </c>
      <c r="Y409">
        <f>IFERROR(INDEX(PP_Grid[#Data],$DE409,22),0)</f>
        <v/>
      </c>
      <c r="Z409">
        <f>IFERROR(INDEX(PP_Grid[#Data],$DE409,23),0)</f>
        <v/>
      </c>
      <c r="AA409">
        <f>IFERROR(INDEX(PP_Grid[#Data],$DE409,24),0)</f>
        <v/>
      </c>
      <c r="AB409">
        <f>IFERROR(INDEX(PP_Grid[#Data],$DE409,25),0)</f>
        <v/>
      </c>
      <c r="AC409">
        <f>IFERROR(INDEX(PP_Grid[#Data],$DE409,26),0)</f>
        <v/>
      </c>
      <c r="AD409">
        <f>IFERROR(INDEX(PP_Grid[#Data],$DE409,27),0)</f>
        <v/>
      </c>
      <c r="AE409">
        <f>IFERROR(INDEX(PP_Grid[#Data],$DE409,28),0)</f>
        <v/>
      </c>
      <c r="AF409">
        <f>IFERROR(INDEX(PP_Grid[#Data],$DE409,29),0)</f>
        <v/>
      </c>
      <c r="AG409">
        <f>IFERROR(INDEX(PP_Grid[#Data],$DE409,30),0)</f>
        <v/>
      </c>
      <c r="AH409">
        <f>IFERROR(INDEX(PP_Grid[#Data],$DE409,31),0)</f>
        <v/>
      </c>
      <c r="AI409">
        <f>IFERROR(INDEX(PP_Grid[#Data],$DE409,32),0)</f>
        <v/>
      </c>
      <c r="AJ409">
        <f>IFERROR(INDEX(PP_Grid[#Data],$DE409,33),0)</f>
        <v/>
      </c>
      <c r="AK409">
        <f>IFERROR(INDEX(PP_Grid[#Data],$DE409,34),0)</f>
        <v/>
      </c>
      <c r="AL409">
        <f>IFERROR(INDEX(PP_Grid[#Data],$DE409,35),0)</f>
        <v/>
      </c>
      <c r="AM409">
        <f>IFERROR(INDEX(PP_Grid[#Data],$DE409,36),0)</f>
        <v/>
      </c>
      <c r="AN409">
        <f>IFERROR(INDEX(PP_Grid[#Data],$DE409,37),0)</f>
        <v/>
      </c>
      <c r="AO409">
        <f>IFERROR(INDEX(PP_Grid[#Data],$DE409,38),0)</f>
        <v/>
      </c>
      <c r="AP409">
        <f>IFERROR(INDEX(PP_Grid[#Data],$DE409,39),0)</f>
        <v/>
      </c>
      <c r="AQ409">
        <f>IFERROR(INDEX(PP_Grid[#Data],$DE409,40),0)</f>
        <v/>
      </c>
      <c r="AR409">
        <f>IFERROR(INDEX(PP_Grid[#Data],$DE409,41),0)</f>
        <v/>
      </c>
      <c r="AS409">
        <f>IFERROR(INDEX(PP_Grid[#Data],$DE409,42),0)</f>
        <v/>
      </c>
      <c r="AT409">
        <f>IFERROR(INDEX(PP_Grid[#Data],$DE409,43),0)</f>
        <v/>
      </c>
      <c r="AU409">
        <f>IFERROR(INDEX(PP_Grid[#Data],$DE409,44),0)</f>
        <v/>
      </c>
      <c r="AV409">
        <f>IFERROR(INDEX(PP_Grid[#Data],$DE409,45),0)</f>
        <v/>
      </c>
      <c r="AW409">
        <f>IFERROR(INDEX(PP_Grid[#Data],$DE409,46),0)</f>
        <v/>
      </c>
      <c r="AX409">
        <f>IFERROR(INDEX(PP_Grid[#Data],$DE409,47),0)</f>
        <v/>
      </c>
      <c r="AY409">
        <f>IFERROR(INDEX(PP_Grid[#Data],$DE409,48),0)</f>
        <v/>
      </c>
      <c r="AZ409">
        <f>IFERROR(INDEX(PP_Grid[#Data],$DE409,49),0)</f>
        <v/>
      </c>
      <c r="BA409">
        <f>IFERROR(INDEX(PP_Grid[#Data],$DE409,50),0)</f>
        <v/>
      </c>
      <c r="BB409">
        <f>IFERROR(INDEX(PP_Grid[#Data],$DE409,51),0)</f>
        <v/>
      </c>
      <c r="BC409">
        <f>IFERROR(INDEX(PP_Grid[#Data],$DE409,52),0)</f>
        <v/>
      </c>
      <c r="BD409">
        <f>IFERROR(INDEX(PP_Grid[#Data],$DE409,53),0)</f>
        <v/>
      </c>
      <c r="BE409">
        <f>IFERROR(INDEX(PP_Grid[#Data],$DE409,54),0)</f>
        <v/>
      </c>
      <c r="BF409">
        <f>IFERROR(INDEX(PP_Grid[#Data],$DE409,55),0)</f>
        <v/>
      </c>
      <c r="BG409">
        <f>IFERROR(INDEX(PP_Grid[#Data],$DE409,56),0)</f>
        <v/>
      </c>
      <c r="BH409">
        <f>IFERROR(INDEX(PP_Grid[#Data],$DE409,57),0)</f>
        <v/>
      </c>
      <c r="BI409">
        <f>IFERROR(INDEX(PP_Grid[#Data],$DE409,58),0)</f>
        <v/>
      </c>
      <c r="BJ409">
        <f>IFERROR(INDEX(PP_Grid[#Data],$DE409,59),0)</f>
        <v/>
      </c>
      <c r="BK409">
        <f>IFERROR(INDEX(PP_Grid[#Data],$DE409,60),0)</f>
        <v/>
      </c>
      <c r="BL409">
        <f>IFERROR(INDEX(PP_Grid[#Data],$DE409,61),0)</f>
        <v/>
      </c>
      <c r="BM409">
        <f>IFERROR(INDEX(PP_Grid[#Data],$DE409,62),0)</f>
        <v/>
      </c>
      <c r="BN409">
        <f>IFERROR(INDEX(PP_Grid[#Data],$DE409,63),0)</f>
        <v/>
      </c>
      <c r="BO409">
        <f>IFERROR(INDEX(PP_Grid[#Data],$DE409,64),0)</f>
        <v/>
      </c>
      <c r="BP409">
        <f>IFERROR(INDEX(PP_Grid[#Data],$DE409,65),0)</f>
        <v/>
      </c>
      <c r="BQ409">
        <f>IFERROR(INDEX(PP_Grid[#Data],$DE409,66),0)</f>
        <v/>
      </c>
      <c r="BR409">
        <f>IFERROR(INDEX(PP_Grid[#Data],$DE409,67),0)</f>
        <v/>
      </c>
      <c r="BS409">
        <f>IFERROR(INDEX(PP_Grid[#Data],$DE409,68),0)</f>
        <v/>
      </c>
      <c r="BT409">
        <f>IFERROR(INDEX(PP_Grid[#Data],$DE409,69),0)</f>
        <v/>
      </c>
      <c r="BU409">
        <f>IFERROR(INDEX(PP_Grid[#Data],$DE409,70),0)</f>
        <v/>
      </c>
      <c r="BV409">
        <f>IFERROR(INDEX(PP_Grid[#Data],$DE409,71),0)</f>
        <v/>
      </c>
      <c r="BW409">
        <f>IFERROR(INDEX(PP_Grid[#Data],$DE409,72),0)</f>
        <v/>
      </c>
      <c r="BX409">
        <f>IFERROR(INDEX(PP_Grid[#Data],$DE409,73),0)</f>
        <v/>
      </c>
      <c r="BY409">
        <f>IFERROR(INDEX(PP_Grid[#Data],$DE409,74),0)</f>
        <v/>
      </c>
      <c r="BZ409">
        <f>IFERROR(INDEX(PP_Grid[#Data],$DE409,75),0)</f>
        <v/>
      </c>
      <c r="CA409">
        <f>IFERROR(INDEX(PP_Grid[#Data],$DE409,76),0)</f>
        <v/>
      </c>
      <c r="CB409">
        <f>IFERROR(INDEX(PP_Grid[#Data],$DE409,77),0)</f>
        <v/>
      </c>
      <c r="CC409">
        <f>IFERROR(INDEX(PP_Grid[#Data],$DE409,78),0)</f>
        <v/>
      </c>
      <c r="CD409">
        <f>IFERROR(INDEX(PP_Grid[#Data],$DE409,79),0)</f>
        <v/>
      </c>
      <c r="CE409">
        <f>IFERROR(INDEX(PP_Grid[#Data],$DE409,80),0)</f>
        <v/>
      </c>
      <c r="CF409">
        <f>IFERROR(INDEX(PP_Grid[#Data],$DE409,81),0)</f>
        <v/>
      </c>
      <c r="CG409">
        <f>IFERROR(INDEX(PP_Grid[#Data],$DE409,82),0)</f>
        <v/>
      </c>
      <c r="CH409">
        <f>IFERROR(INDEX(PP_Grid[#Data],$DE409,83),0)</f>
        <v/>
      </c>
      <c r="CI409">
        <f>IFERROR(INDEX(PP_Grid[#Data],$DE409,84),0)</f>
        <v/>
      </c>
      <c r="CJ409">
        <f>IFERROR(INDEX(PP_Grid[#Data],$DE409,85),0)</f>
        <v/>
      </c>
      <c r="CK409">
        <f>IFERROR(INDEX(PP_Grid[#Data],$DE409,86),0)</f>
        <v/>
      </c>
      <c r="CL409">
        <f>IFERROR(INDEX(PP_Grid[#Data],$DE409,87),0)</f>
        <v/>
      </c>
      <c r="CM409">
        <f>IFERROR(INDEX(PP_Grid[#Data],$DE409,88),0)</f>
        <v/>
      </c>
      <c r="CN409">
        <f>IFERROR(INDEX(PP_Grid[#Data],$DE409,89),0)</f>
        <v/>
      </c>
      <c r="CO409">
        <f>IFERROR(INDEX(PP_Grid[#Data],$DE409,90),0)</f>
        <v/>
      </c>
      <c r="CP409">
        <f>IFERROR(INDEX(PP_Grid[#Data],$DE409,91),0)</f>
        <v/>
      </c>
      <c r="CQ409">
        <f>IFERROR(INDEX(PP_Grid[#Data],$DE409,92),0)</f>
        <v/>
      </c>
      <c r="CR409">
        <f>IFERROR(INDEX(PP_Grid[#Data],$DE409,93),0)</f>
        <v/>
      </c>
      <c r="CS409">
        <f>IFERROR(INDEX(PP_Grid[#Data],$DE409,94),0)</f>
        <v/>
      </c>
      <c r="CT409">
        <f>IFERROR(INDEX(PP_Grid[#Data],$DE409,95),0)</f>
        <v/>
      </c>
      <c r="CU409">
        <f>IFERROR(INDEX(PP_Grid[#Data],$DE409,96),0)</f>
        <v/>
      </c>
      <c r="CV409">
        <f>IFERROR(INDEX(PP_Grid[#Data],$DE409,97),0)</f>
        <v/>
      </c>
      <c r="CW409">
        <f>IFERROR(INDEX(PP_Grid[#Data],$DE409,98),0)</f>
        <v/>
      </c>
      <c r="CX409">
        <f>IFERROR(INDEX(PP_Grid[#Data],$DE409,99),0)</f>
        <v/>
      </c>
      <c r="CY409">
        <f>IFERROR(INDEX(PP_Grid[#Data],$DE409,100),0)</f>
        <v/>
      </c>
      <c r="CZ409">
        <f>IFERROR(INDEX(PP_Grid[#Data],$DE409,101),0)</f>
        <v/>
      </c>
      <c r="DA409">
        <f>IFERROR(INDEX(PP_Grid[#Data],$DE409,102),0)</f>
        <v/>
      </c>
      <c r="DB409">
        <f>IFERROR(INDEX(PP_Grid[#Data],$DE409,103),0)</f>
        <v/>
      </c>
      <c r="DC409">
        <f>IFERROR(INDEX(PP_Grid[#Data],$DE409,104),0)</f>
        <v/>
      </c>
      <c r="DD409">
        <f>IFERROR(INDEX(PP_Grid[#Data],$DE409,105),0)</f>
        <v/>
      </c>
      <c r="DE409" s="7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SUMIFS(M_BOM[RM_Qty_Per_Batch],M_BOM[Intermediate],$B409,M_BOM[RM_Code],$A340)</f>
        <v/>
      </c>
      <c r="D410">
        <f>IFERROR(INDEX(E410:DD410,$F$1),"")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  <c r="DD410">
        <f>$C410*DD409</f>
        <v/>
      </c>
    </row>
    <row r="411">
      <c r="B411" t="inlineStr">
        <is>
          <t>TSP-670</t>
        </is>
      </c>
      <c r="C411" t="inlineStr">
        <is>
          <t>No. of batches</t>
        </is>
      </c>
      <c r="D411">
        <f>IFERROR(INDEX(E411:DD411,$F$1),"")</f>
        <v/>
      </c>
      <c r="E411">
        <f>IFERROR(INDEX(PP_Grid[#Data],$DE411,2),0)</f>
        <v/>
      </c>
      <c r="F411">
        <f>IFERROR(INDEX(PP_Grid[#Data],$DE411,3),0)</f>
        <v/>
      </c>
      <c r="G411">
        <f>IFERROR(INDEX(PP_Grid[#Data],$DE411,4),0)</f>
        <v/>
      </c>
      <c r="H411">
        <f>IFERROR(INDEX(PP_Grid[#Data],$DE411,5),0)</f>
        <v/>
      </c>
      <c r="I411">
        <f>IFERROR(INDEX(PP_Grid[#Data],$DE411,6),0)</f>
        <v/>
      </c>
      <c r="J411">
        <f>IFERROR(INDEX(PP_Grid[#Data],$DE411,7),0)</f>
        <v/>
      </c>
      <c r="K411">
        <f>IFERROR(INDEX(PP_Grid[#Data],$DE411,8),0)</f>
        <v/>
      </c>
      <c r="L411">
        <f>IFERROR(INDEX(PP_Grid[#Data],$DE411,9),0)</f>
        <v/>
      </c>
      <c r="M411">
        <f>IFERROR(INDEX(PP_Grid[#Data],$DE411,10),0)</f>
        <v/>
      </c>
      <c r="N411">
        <f>IFERROR(INDEX(PP_Grid[#Data],$DE411,11),0)</f>
        <v/>
      </c>
      <c r="O411">
        <f>IFERROR(INDEX(PP_Grid[#Data],$DE411,12),0)</f>
        <v/>
      </c>
      <c r="P411">
        <f>IFERROR(INDEX(PP_Grid[#Data],$DE411,13),0)</f>
        <v/>
      </c>
      <c r="Q411">
        <f>IFERROR(INDEX(PP_Grid[#Data],$DE411,14),0)</f>
        <v/>
      </c>
      <c r="R411">
        <f>IFERROR(INDEX(PP_Grid[#Data],$DE411,15),0)</f>
        <v/>
      </c>
      <c r="S411">
        <f>IFERROR(INDEX(PP_Grid[#Data],$DE411,16),0)</f>
        <v/>
      </c>
      <c r="T411">
        <f>IFERROR(INDEX(PP_Grid[#Data],$DE411,17),0)</f>
        <v/>
      </c>
      <c r="U411">
        <f>IFERROR(INDEX(PP_Grid[#Data],$DE411,18),0)</f>
        <v/>
      </c>
      <c r="V411">
        <f>IFERROR(INDEX(PP_Grid[#Data],$DE411,19),0)</f>
        <v/>
      </c>
      <c r="W411">
        <f>IFERROR(INDEX(PP_Grid[#Data],$DE411,20),0)</f>
        <v/>
      </c>
      <c r="X411">
        <f>IFERROR(INDEX(PP_Grid[#Data],$DE411,21),0)</f>
        <v/>
      </c>
      <c r="Y411">
        <f>IFERROR(INDEX(PP_Grid[#Data],$DE411,22),0)</f>
        <v/>
      </c>
      <c r="Z411">
        <f>IFERROR(INDEX(PP_Grid[#Data],$DE411,23),0)</f>
        <v/>
      </c>
      <c r="AA411">
        <f>IFERROR(INDEX(PP_Grid[#Data],$DE411,24),0)</f>
        <v/>
      </c>
      <c r="AB411">
        <f>IFERROR(INDEX(PP_Grid[#Data],$DE411,25),0)</f>
        <v/>
      </c>
      <c r="AC411">
        <f>IFERROR(INDEX(PP_Grid[#Data],$DE411,26),0)</f>
        <v/>
      </c>
      <c r="AD411">
        <f>IFERROR(INDEX(PP_Grid[#Data],$DE411,27),0)</f>
        <v/>
      </c>
      <c r="AE411">
        <f>IFERROR(INDEX(PP_Grid[#Data],$DE411,28),0)</f>
        <v/>
      </c>
      <c r="AF411">
        <f>IFERROR(INDEX(PP_Grid[#Data],$DE411,29),0)</f>
        <v/>
      </c>
      <c r="AG411">
        <f>IFERROR(INDEX(PP_Grid[#Data],$DE411,30),0)</f>
        <v/>
      </c>
      <c r="AH411">
        <f>IFERROR(INDEX(PP_Grid[#Data],$DE411,31),0)</f>
        <v/>
      </c>
      <c r="AI411">
        <f>IFERROR(INDEX(PP_Grid[#Data],$DE411,32),0)</f>
        <v/>
      </c>
      <c r="AJ411">
        <f>IFERROR(INDEX(PP_Grid[#Data],$DE411,33),0)</f>
        <v/>
      </c>
      <c r="AK411">
        <f>IFERROR(INDEX(PP_Grid[#Data],$DE411,34),0)</f>
        <v/>
      </c>
      <c r="AL411">
        <f>IFERROR(INDEX(PP_Grid[#Data],$DE411,35),0)</f>
        <v/>
      </c>
      <c r="AM411">
        <f>IFERROR(INDEX(PP_Grid[#Data],$DE411,36),0)</f>
        <v/>
      </c>
      <c r="AN411">
        <f>IFERROR(INDEX(PP_Grid[#Data],$DE411,37),0)</f>
        <v/>
      </c>
      <c r="AO411">
        <f>IFERROR(INDEX(PP_Grid[#Data],$DE411,38),0)</f>
        <v/>
      </c>
      <c r="AP411">
        <f>IFERROR(INDEX(PP_Grid[#Data],$DE411,39),0)</f>
        <v/>
      </c>
      <c r="AQ411">
        <f>IFERROR(INDEX(PP_Grid[#Data],$DE411,40),0)</f>
        <v/>
      </c>
      <c r="AR411">
        <f>IFERROR(INDEX(PP_Grid[#Data],$DE411,41),0)</f>
        <v/>
      </c>
      <c r="AS411">
        <f>IFERROR(INDEX(PP_Grid[#Data],$DE411,42),0)</f>
        <v/>
      </c>
      <c r="AT411">
        <f>IFERROR(INDEX(PP_Grid[#Data],$DE411,43),0)</f>
        <v/>
      </c>
      <c r="AU411">
        <f>IFERROR(INDEX(PP_Grid[#Data],$DE411,44),0)</f>
        <v/>
      </c>
      <c r="AV411">
        <f>IFERROR(INDEX(PP_Grid[#Data],$DE411,45),0)</f>
        <v/>
      </c>
      <c r="AW411">
        <f>IFERROR(INDEX(PP_Grid[#Data],$DE411,46),0)</f>
        <v/>
      </c>
      <c r="AX411">
        <f>IFERROR(INDEX(PP_Grid[#Data],$DE411,47),0)</f>
        <v/>
      </c>
      <c r="AY411">
        <f>IFERROR(INDEX(PP_Grid[#Data],$DE411,48),0)</f>
        <v/>
      </c>
      <c r="AZ411">
        <f>IFERROR(INDEX(PP_Grid[#Data],$DE411,49),0)</f>
        <v/>
      </c>
      <c r="BA411">
        <f>IFERROR(INDEX(PP_Grid[#Data],$DE411,50),0)</f>
        <v/>
      </c>
      <c r="BB411">
        <f>IFERROR(INDEX(PP_Grid[#Data],$DE411,51),0)</f>
        <v/>
      </c>
      <c r="BC411">
        <f>IFERROR(INDEX(PP_Grid[#Data],$DE411,52),0)</f>
        <v/>
      </c>
      <c r="BD411">
        <f>IFERROR(INDEX(PP_Grid[#Data],$DE411,53),0)</f>
        <v/>
      </c>
      <c r="BE411">
        <f>IFERROR(INDEX(PP_Grid[#Data],$DE411,54),0)</f>
        <v/>
      </c>
      <c r="BF411">
        <f>IFERROR(INDEX(PP_Grid[#Data],$DE411,55),0)</f>
        <v/>
      </c>
      <c r="BG411">
        <f>IFERROR(INDEX(PP_Grid[#Data],$DE411,56),0)</f>
        <v/>
      </c>
      <c r="BH411">
        <f>IFERROR(INDEX(PP_Grid[#Data],$DE411,57),0)</f>
        <v/>
      </c>
      <c r="BI411">
        <f>IFERROR(INDEX(PP_Grid[#Data],$DE411,58),0)</f>
        <v/>
      </c>
      <c r="BJ411">
        <f>IFERROR(INDEX(PP_Grid[#Data],$DE411,59),0)</f>
        <v/>
      </c>
      <c r="BK411">
        <f>IFERROR(INDEX(PP_Grid[#Data],$DE411,60),0)</f>
        <v/>
      </c>
      <c r="BL411">
        <f>IFERROR(INDEX(PP_Grid[#Data],$DE411,61),0)</f>
        <v/>
      </c>
      <c r="BM411">
        <f>IFERROR(INDEX(PP_Grid[#Data],$DE411,62),0)</f>
        <v/>
      </c>
      <c r="BN411">
        <f>IFERROR(INDEX(PP_Grid[#Data],$DE411,63),0)</f>
        <v/>
      </c>
      <c r="BO411">
        <f>IFERROR(INDEX(PP_Grid[#Data],$DE411,64),0)</f>
        <v/>
      </c>
      <c r="BP411">
        <f>IFERROR(INDEX(PP_Grid[#Data],$DE411,65),0)</f>
        <v/>
      </c>
      <c r="BQ411">
        <f>IFERROR(INDEX(PP_Grid[#Data],$DE411,66),0)</f>
        <v/>
      </c>
      <c r="BR411">
        <f>IFERROR(INDEX(PP_Grid[#Data],$DE411,67),0)</f>
        <v/>
      </c>
      <c r="BS411">
        <f>IFERROR(INDEX(PP_Grid[#Data],$DE411,68),0)</f>
        <v/>
      </c>
      <c r="BT411">
        <f>IFERROR(INDEX(PP_Grid[#Data],$DE411,69),0)</f>
        <v/>
      </c>
      <c r="BU411">
        <f>IFERROR(INDEX(PP_Grid[#Data],$DE411,70),0)</f>
        <v/>
      </c>
      <c r="BV411">
        <f>IFERROR(INDEX(PP_Grid[#Data],$DE411,71),0)</f>
        <v/>
      </c>
      <c r="BW411">
        <f>IFERROR(INDEX(PP_Grid[#Data],$DE411,72),0)</f>
        <v/>
      </c>
      <c r="BX411">
        <f>IFERROR(INDEX(PP_Grid[#Data],$DE411,73),0)</f>
        <v/>
      </c>
      <c r="BY411">
        <f>IFERROR(INDEX(PP_Grid[#Data],$DE411,74),0)</f>
        <v/>
      </c>
      <c r="BZ411">
        <f>IFERROR(INDEX(PP_Grid[#Data],$DE411,75),0)</f>
        <v/>
      </c>
      <c r="CA411">
        <f>IFERROR(INDEX(PP_Grid[#Data],$DE411,76),0)</f>
        <v/>
      </c>
      <c r="CB411">
        <f>IFERROR(INDEX(PP_Grid[#Data],$DE411,77),0)</f>
        <v/>
      </c>
      <c r="CC411">
        <f>IFERROR(INDEX(PP_Grid[#Data],$DE411,78),0)</f>
        <v/>
      </c>
      <c r="CD411">
        <f>IFERROR(INDEX(PP_Grid[#Data],$DE411,79),0)</f>
        <v/>
      </c>
      <c r="CE411">
        <f>IFERROR(INDEX(PP_Grid[#Data],$DE411,80),0)</f>
        <v/>
      </c>
      <c r="CF411">
        <f>IFERROR(INDEX(PP_Grid[#Data],$DE411,81),0)</f>
        <v/>
      </c>
      <c r="CG411">
        <f>IFERROR(INDEX(PP_Grid[#Data],$DE411,82),0)</f>
        <v/>
      </c>
      <c r="CH411">
        <f>IFERROR(INDEX(PP_Grid[#Data],$DE411,83),0)</f>
        <v/>
      </c>
      <c r="CI411">
        <f>IFERROR(INDEX(PP_Grid[#Data],$DE411,84),0)</f>
        <v/>
      </c>
      <c r="CJ411">
        <f>IFERROR(INDEX(PP_Grid[#Data],$DE411,85),0)</f>
        <v/>
      </c>
      <c r="CK411">
        <f>IFERROR(INDEX(PP_Grid[#Data],$DE411,86),0)</f>
        <v/>
      </c>
      <c r="CL411">
        <f>IFERROR(INDEX(PP_Grid[#Data],$DE411,87),0)</f>
        <v/>
      </c>
      <c r="CM411">
        <f>IFERROR(INDEX(PP_Grid[#Data],$DE411,88),0)</f>
        <v/>
      </c>
      <c r="CN411">
        <f>IFERROR(INDEX(PP_Grid[#Data],$DE411,89),0)</f>
        <v/>
      </c>
      <c r="CO411">
        <f>IFERROR(INDEX(PP_Grid[#Data],$DE411,90),0)</f>
        <v/>
      </c>
      <c r="CP411">
        <f>IFERROR(INDEX(PP_Grid[#Data],$DE411,91),0)</f>
        <v/>
      </c>
      <c r="CQ411">
        <f>IFERROR(INDEX(PP_Grid[#Data],$DE411,92),0)</f>
        <v/>
      </c>
      <c r="CR411">
        <f>IFERROR(INDEX(PP_Grid[#Data],$DE411,93),0)</f>
        <v/>
      </c>
      <c r="CS411">
        <f>IFERROR(INDEX(PP_Grid[#Data],$DE411,94),0)</f>
        <v/>
      </c>
      <c r="CT411">
        <f>IFERROR(INDEX(PP_Grid[#Data],$DE411,95),0)</f>
        <v/>
      </c>
      <c r="CU411">
        <f>IFERROR(INDEX(PP_Grid[#Data],$DE411,96),0)</f>
        <v/>
      </c>
      <c r="CV411">
        <f>IFERROR(INDEX(PP_Grid[#Data],$DE411,97),0)</f>
        <v/>
      </c>
      <c r="CW411">
        <f>IFERROR(INDEX(PP_Grid[#Data],$DE411,98),0)</f>
        <v/>
      </c>
      <c r="CX411">
        <f>IFERROR(INDEX(PP_Grid[#Data],$DE411,99),0)</f>
        <v/>
      </c>
      <c r="CY411">
        <f>IFERROR(INDEX(PP_Grid[#Data],$DE411,100),0)</f>
        <v/>
      </c>
      <c r="CZ411">
        <f>IFERROR(INDEX(PP_Grid[#Data],$DE411,101),0)</f>
        <v/>
      </c>
      <c r="DA411">
        <f>IFERROR(INDEX(PP_Grid[#Data],$DE411,102),0)</f>
        <v/>
      </c>
      <c r="DB411">
        <f>IFERROR(INDEX(PP_Grid[#Data],$DE411,103),0)</f>
        <v/>
      </c>
      <c r="DC411">
        <f>IFERROR(INDEX(PP_Grid[#Data],$DE411,104),0)</f>
        <v/>
      </c>
      <c r="DD411">
        <f>IFERROR(INDEX(PP_Grid[#Data],$DE411,105),0)</f>
        <v/>
      </c>
      <c r="DE411" s="7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SUMIFS(M_BOM[RM_Qty_Per_Batch],M_BOM[Intermediate],$B411,M_BOM[RM_Code],$A340)</f>
        <v/>
      </c>
      <c r="D412">
        <f>IFERROR(INDEX(E412:DD412,$F$1),"")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  <c r="DD412">
        <f>$C412*DD411</f>
        <v/>
      </c>
    </row>
    <row r="413">
      <c r="B413" t="inlineStr">
        <is>
          <t>TSP-699</t>
        </is>
      </c>
      <c r="C413" t="inlineStr">
        <is>
          <t>No. of batches</t>
        </is>
      </c>
      <c r="D413">
        <f>IFERROR(INDEX(E413:DD413,$F$1),"")</f>
        <v/>
      </c>
      <c r="E413">
        <f>IFERROR(INDEX(PP_Grid[#Data],$DE413,2),0)</f>
        <v/>
      </c>
      <c r="F413">
        <f>IFERROR(INDEX(PP_Grid[#Data],$DE413,3),0)</f>
        <v/>
      </c>
      <c r="G413">
        <f>IFERROR(INDEX(PP_Grid[#Data],$DE413,4),0)</f>
        <v/>
      </c>
      <c r="H413">
        <f>IFERROR(INDEX(PP_Grid[#Data],$DE413,5),0)</f>
        <v/>
      </c>
      <c r="I413">
        <f>IFERROR(INDEX(PP_Grid[#Data],$DE413,6),0)</f>
        <v/>
      </c>
      <c r="J413">
        <f>IFERROR(INDEX(PP_Grid[#Data],$DE413,7),0)</f>
        <v/>
      </c>
      <c r="K413">
        <f>IFERROR(INDEX(PP_Grid[#Data],$DE413,8),0)</f>
        <v/>
      </c>
      <c r="L413">
        <f>IFERROR(INDEX(PP_Grid[#Data],$DE413,9),0)</f>
        <v/>
      </c>
      <c r="M413">
        <f>IFERROR(INDEX(PP_Grid[#Data],$DE413,10),0)</f>
        <v/>
      </c>
      <c r="N413">
        <f>IFERROR(INDEX(PP_Grid[#Data],$DE413,11),0)</f>
        <v/>
      </c>
      <c r="O413">
        <f>IFERROR(INDEX(PP_Grid[#Data],$DE413,12),0)</f>
        <v/>
      </c>
      <c r="P413">
        <f>IFERROR(INDEX(PP_Grid[#Data],$DE413,13),0)</f>
        <v/>
      </c>
      <c r="Q413">
        <f>IFERROR(INDEX(PP_Grid[#Data],$DE413,14),0)</f>
        <v/>
      </c>
      <c r="R413">
        <f>IFERROR(INDEX(PP_Grid[#Data],$DE413,15),0)</f>
        <v/>
      </c>
      <c r="S413">
        <f>IFERROR(INDEX(PP_Grid[#Data],$DE413,16),0)</f>
        <v/>
      </c>
      <c r="T413">
        <f>IFERROR(INDEX(PP_Grid[#Data],$DE413,17),0)</f>
        <v/>
      </c>
      <c r="U413">
        <f>IFERROR(INDEX(PP_Grid[#Data],$DE413,18),0)</f>
        <v/>
      </c>
      <c r="V413">
        <f>IFERROR(INDEX(PP_Grid[#Data],$DE413,19),0)</f>
        <v/>
      </c>
      <c r="W413">
        <f>IFERROR(INDEX(PP_Grid[#Data],$DE413,20),0)</f>
        <v/>
      </c>
      <c r="X413">
        <f>IFERROR(INDEX(PP_Grid[#Data],$DE413,21),0)</f>
        <v/>
      </c>
      <c r="Y413">
        <f>IFERROR(INDEX(PP_Grid[#Data],$DE413,22),0)</f>
        <v/>
      </c>
      <c r="Z413">
        <f>IFERROR(INDEX(PP_Grid[#Data],$DE413,23),0)</f>
        <v/>
      </c>
      <c r="AA413">
        <f>IFERROR(INDEX(PP_Grid[#Data],$DE413,24),0)</f>
        <v/>
      </c>
      <c r="AB413">
        <f>IFERROR(INDEX(PP_Grid[#Data],$DE413,25),0)</f>
        <v/>
      </c>
      <c r="AC413">
        <f>IFERROR(INDEX(PP_Grid[#Data],$DE413,26),0)</f>
        <v/>
      </c>
      <c r="AD413">
        <f>IFERROR(INDEX(PP_Grid[#Data],$DE413,27),0)</f>
        <v/>
      </c>
      <c r="AE413">
        <f>IFERROR(INDEX(PP_Grid[#Data],$DE413,28),0)</f>
        <v/>
      </c>
      <c r="AF413">
        <f>IFERROR(INDEX(PP_Grid[#Data],$DE413,29),0)</f>
        <v/>
      </c>
      <c r="AG413">
        <f>IFERROR(INDEX(PP_Grid[#Data],$DE413,30),0)</f>
        <v/>
      </c>
      <c r="AH413">
        <f>IFERROR(INDEX(PP_Grid[#Data],$DE413,31),0)</f>
        <v/>
      </c>
      <c r="AI413">
        <f>IFERROR(INDEX(PP_Grid[#Data],$DE413,32),0)</f>
        <v/>
      </c>
      <c r="AJ413">
        <f>IFERROR(INDEX(PP_Grid[#Data],$DE413,33),0)</f>
        <v/>
      </c>
      <c r="AK413">
        <f>IFERROR(INDEX(PP_Grid[#Data],$DE413,34),0)</f>
        <v/>
      </c>
      <c r="AL413">
        <f>IFERROR(INDEX(PP_Grid[#Data],$DE413,35),0)</f>
        <v/>
      </c>
      <c r="AM413">
        <f>IFERROR(INDEX(PP_Grid[#Data],$DE413,36),0)</f>
        <v/>
      </c>
      <c r="AN413">
        <f>IFERROR(INDEX(PP_Grid[#Data],$DE413,37),0)</f>
        <v/>
      </c>
      <c r="AO413">
        <f>IFERROR(INDEX(PP_Grid[#Data],$DE413,38),0)</f>
        <v/>
      </c>
      <c r="AP413">
        <f>IFERROR(INDEX(PP_Grid[#Data],$DE413,39),0)</f>
        <v/>
      </c>
      <c r="AQ413">
        <f>IFERROR(INDEX(PP_Grid[#Data],$DE413,40),0)</f>
        <v/>
      </c>
      <c r="AR413">
        <f>IFERROR(INDEX(PP_Grid[#Data],$DE413,41),0)</f>
        <v/>
      </c>
      <c r="AS413">
        <f>IFERROR(INDEX(PP_Grid[#Data],$DE413,42),0)</f>
        <v/>
      </c>
      <c r="AT413">
        <f>IFERROR(INDEX(PP_Grid[#Data],$DE413,43),0)</f>
        <v/>
      </c>
      <c r="AU413">
        <f>IFERROR(INDEX(PP_Grid[#Data],$DE413,44),0)</f>
        <v/>
      </c>
      <c r="AV413">
        <f>IFERROR(INDEX(PP_Grid[#Data],$DE413,45),0)</f>
        <v/>
      </c>
      <c r="AW413">
        <f>IFERROR(INDEX(PP_Grid[#Data],$DE413,46),0)</f>
        <v/>
      </c>
      <c r="AX413">
        <f>IFERROR(INDEX(PP_Grid[#Data],$DE413,47),0)</f>
        <v/>
      </c>
      <c r="AY413">
        <f>IFERROR(INDEX(PP_Grid[#Data],$DE413,48),0)</f>
        <v/>
      </c>
      <c r="AZ413">
        <f>IFERROR(INDEX(PP_Grid[#Data],$DE413,49),0)</f>
        <v/>
      </c>
      <c r="BA413">
        <f>IFERROR(INDEX(PP_Grid[#Data],$DE413,50),0)</f>
        <v/>
      </c>
      <c r="BB413">
        <f>IFERROR(INDEX(PP_Grid[#Data],$DE413,51),0)</f>
        <v/>
      </c>
      <c r="BC413">
        <f>IFERROR(INDEX(PP_Grid[#Data],$DE413,52),0)</f>
        <v/>
      </c>
      <c r="BD413">
        <f>IFERROR(INDEX(PP_Grid[#Data],$DE413,53),0)</f>
        <v/>
      </c>
      <c r="BE413">
        <f>IFERROR(INDEX(PP_Grid[#Data],$DE413,54),0)</f>
        <v/>
      </c>
      <c r="BF413">
        <f>IFERROR(INDEX(PP_Grid[#Data],$DE413,55),0)</f>
        <v/>
      </c>
      <c r="BG413">
        <f>IFERROR(INDEX(PP_Grid[#Data],$DE413,56),0)</f>
        <v/>
      </c>
      <c r="BH413">
        <f>IFERROR(INDEX(PP_Grid[#Data],$DE413,57),0)</f>
        <v/>
      </c>
      <c r="BI413">
        <f>IFERROR(INDEX(PP_Grid[#Data],$DE413,58),0)</f>
        <v/>
      </c>
      <c r="BJ413">
        <f>IFERROR(INDEX(PP_Grid[#Data],$DE413,59),0)</f>
        <v/>
      </c>
      <c r="BK413">
        <f>IFERROR(INDEX(PP_Grid[#Data],$DE413,60),0)</f>
        <v/>
      </c>
      <c r="BL413">
        <f>IFERROR(INDEX(PP_Grid[#Data],$DE413,61),0)</f>
        <v/>
      </c>
      <c r="BM413">
        <f>IFERROR(INDEX(PP_Grid[#Data],$DE413,62),0)</f>
        <v/>
      </c>
      <c r="BN413">
        <f>IFERROR(INDEX(PP_Grid[#Data],$DE413,63),0)</f>
        <v/>
      </c>
      <c r="BO413">
        <f>IFERROR(INDEX(PP_Grid[#Data],$DE413,64),0)</f>
        <v/>
      </c>
      <c r="BP413">
        <f>IFERROR(INDEX(PP_Grid[#Data],$DE413,65),0)</f>
        <v/>
      </c>
      <c r="BQ413">
        <f>IFERROR(INDEX(PP_Grid[#Data],$DE413,66),0)</f>
        <v/>
      </c>
      <c r="BR413">
        <f>IFERROR(INDEX(PP_Grid[#Data],$DE413,67),0)</f>
        <v/>
      </c>
      <c r="BS413">
        <f>IFERROR(INDEX(PP_Grid[#Data],$DE413,68),0)</f>
        <v/>
      </c>
      <c r="BT413">
        <f>IFERROR(INDEX(PP_Grid[#Data],$DE413,69),0)</f>
        <v/>
      </c>
      <c r="BU413">
        <f>IFERROR(INDEX(PP_Grid[#Data],$DE413,70),0)</f>
        <v/>
      </c>
      <c r="BV413">
        <f>IFERROR(INDEX(PP_Grid[#Data],$DE413,71),0)</f>
        <v/>
      </c>
      <c r="BW413">
        <f>IFERROR(INDEX(PP_Grid[#Data],$DE413,72),0)</f>
        <v/>
      </c>
      <c r="BX413">
        <f>IFERROR(INDEX(PP_Grid[#Data],$DE413,73),0)</f>
        <v/>
      </c>
      <c r="BY413">
        <f>IFERROR(INDEX(PP_Grid[#Data],$DE413,74),0)</f>
        <v/>
      </c>
      <c r="BZ413">
        <f>IFERROR(INDEX(PP_Grid[#Data],$DE413,75),0)</f>
        <v/>
      </c>
      <c r="CA413">
        <f>IFERROR(INDEX(PP_Grid[#Data],$DE413,76),0)</f>
        <v/>
      </c>
      <c r="CB413">
        <f>IFERROR(INDEX(PP_Grid[#Data],$DE413,77),0)</f>
        <v/>
      </c>
      <c r="CC413">
        <f>IFERROR(INDEX(PP_Grid[#Data],$DE413,78),0)</f>
        <v/>
      </c>
      <c r="CD413">
        <f>IFERROR(INDEX(PP_Grid[#Data],$DE413,79),0)</f>
        <v/>
      </c>
      <c r="CE413">
        <f>IFERROR(INDEX(PP_Grid[#Data],$DE413,80),0)</f>
        <v/>
      </c>
      <c r="CF413">
        <f>IFERROR(INDEX(PP_Grid[#Data],$DE413,81),0)</f>
        <v/>
      </c>
      <c r="CG413">
        <f>IFERROR(INDEX(PP_Grid[#Data],$DE413,82),0)</f>
        <v/>
      </c>
      <c r="CH413">
        <f>IFERROR(INDEX(PP_Grid[#Data],$DE413,83),0)</f>
        <v/>
      </c>
      <c r="CI413">
        <f>IFERROR(INDEX(PP_Grid[#Data],$DE413,84),0)</f>
        <v/>
      </c>
      <c r="CJ413">
        <f>IFERROR(INDEX(PP_Grid[#Data],$DE413,85),0)</f>
        <v/>
      </c>
      <c r="CK413">
        <f>IFERROR(INDEX(PP_Grid[#Data],$DE413,86),0)</f>
        <v/>
      </c>
      <c r="CL413">
        <f>IFERROR(INDEX(PP_Grid[#Data],$DE413,87),0)</f>
        <v/>
      </c>
      <c r="CM413">
        <f>IFERROR(INDEX(PP_Grid[#Data],$DE413,88),0)</f>
        <v/>
      </c>
      <c r="CN413">
        <f>IFERROR(INDEX(PP_Grid[#Data],$DE413,89),0)</f>
        <v/>
      </c>
      <c r="CO413">
        <f>IFERROR(INDEX(PP_Grid[#Data],$DE413,90),0)</f>
        <v/>
      </c>
      <c r="CP413">
        <f>IFERROR(INDEX(PP_Grid[#Data],$DE413,91),0)</f>
        <v/>
      </c>
      <c r="CQ413">
        <f>IFERROR(INDEX(PP_Grid[#Data],$DE413,92),0)</f>
        <v/>
      </c>
      <c r="CR413">
        <f>IFERROR(INDEX(PP_Grid[#Data],$DE413,93),0)</f>
        <v/>
      </c>
      <c r="CS413">
        <f>IFERROR(INDEX(PP_Grid[#Data],$DE413,94),0)</f>
        <v/>
      </c>
      <c r="CT413">
        <f>IFERROR(INDEX(PP_Grid[#Data],$DE413,95),0)</f>
        <v/>
      </c>
      <c r="CU413">
        <f>IFERROR(INDEX(PP_Grid[#Data],$DE413,96),0)</f>
        <v/>
      </c>
      <c r="CV413">
        <f>IFERROR(INDEX(PP_Grid[#Data],$DE413,97),0)</f>
        <v/>
      </c>
      <c r="CW413">
        <f>IFERROR(INDEX(PP_Grid[#Data],$DE413,98),0)</f>
        <v/>
      </c>
      <c r="CX413">
        <f>IFERROR(INDEX(PP_Grid[#Data],$DE413,99),0)</f>
        <v/>
      </c>
      <c r="CY413">
        <f>IFERROR(INDEX(PP_Grid[#Data],$DE413,100),0)</f>
        <v/>
      </c>
      <c r="CZ413">
        <f>IFERROR(INDEX(PP_Grid[#Data],$DE413,101),0)</f>
        <v/>
      </c>
      <c r="DA413">
        <f>IFERROR(INDEX(PP_Grid[#Data],$DE413,102),0)</f>
        <v/>
      </c>
      <c r="DB413">
        <f>IFERROR(INDEX(PP_Grid[#Data],$DE413,103),0)</f>
        <v/>
      </c>
      <c r="DC413">
        <f>IFERROR(INDEX(PP_Grid[#Data],$DE413,104),0)</f>
        <v/>
      </c>
      <c r="DD413">
        <f>IFERROR(INDEX(PP_Grid[#Data],$DE413,105),0)</f>
        <v/>
      </c>
      <c r="DE413" s="7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SUMIFS(M_BOM[RM_Qty_Per_Batch],M_BOM[Intermediate],$B413,M_BOM[RM_Code],$A340)</f>
        <v/>
      </c>
      <c r="D414">
        <f>IFERROR(INDEX(E414:DD414,$F$1),"")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  <c r="DD414">
        <f>$C414*DD413</f>
        <v/>
      </c>
    </row>
    <row r="415">
      <c r="B415" t="inlineStr">
        <is>
          <t>TSP-710</t>
        </is>
      </c>
      <c r="C415" t="inlineStr">
        <is>
          <t>No. of batches</t>
        </is>
      </c>
      <c r="D415">
        <f>IFERROR(INDEX(E415:DD415,$F$1),"")</f>
        <v/>
      </c>
      <c r="E415">
        <f>IFERROR(INDEX(PP_Grid[#Data],$DE415,2),0)</f>
        <v/>
      </c>
      <c r="F415">
        <f>IFERROR(INDEX(PP_Grid[#Data],$DE415,3),0)</f>
        <v/>
      </c>
      <c r="G415">
        <f>IFERROR(INDEX(PP_Grid[#Data],$DE415,4),0)</f>
        <v/>
      </c>
      <c r="H415">
        <f>IFERROR(INDEX(PP_Grid[#Data],$DE415,5),0)</f>
        <v/>
      </c>
      <c r="I415">
        <f>IFERROR(INDEX(PP_Grid[#Data],$DE415,6),0)</f>
        <v/>
      </c>
      <c r="J415">
        <f>IFERROR(INDEX(PP_Grid[#Data],$DE415,7),0)</f>
        <v/>
      </c>
      <c r="K415">
        <f>IFERROR(INDEX(PP_Grid[#Data],$DE415,8),0)</f>
        <v/>
      </c>
      <c r="L415">
        <f>IFERROR(INDEX(PP_Grid[#Data],$DE415,9),0)</f>
        <v/>
      </c>
      <c r="M415">
        <f>IFERROR(INDEX(PP_Grid[#Data],$DE415,10),0)</f>
        <v/>
      </c>
      <c r="N415">
        <f>IFERROR(INDEX(PP_Grid[#Data],$DE415,11),0)</f>
        <v/>
      </c>
      <c r="O415">
        <f>IFERROR(INDEX(PP_Grid[#Data],$DE415,12),0)</f>
        <v/>
      </c>
      <c r="P415">
        <f>IFERROR(INDEX(PP_Grid[#Data],$DE415,13),0)</f>
        <v/>
      </c>
      <c r="Q415">
        <f>IFERROR(INDEX(PP_Grid[#Data],$DE415,14),0)</f>
        <v/>
      </c>
      <c r="R415">
        <f>IFERROR(INDEX(PP_Grid[#Data],$DE415,15),0)</f>
        <v/>
      </c>
      <c r="S415">
        <f>IFERROR(INDEX(PP_Grid[#Data],$DE415,16),0)</f>
        <v/>
      </c>
      <c r="T415">
        <f>IFERROR(INDEX(PP_Grid[#Data],$DE415,17),0)</f>
        <v/>
      </c>
      <c r="U415">
        <f>IFERROR(INDEX(PP_Grid[#Data],$DE415,18),0)</f>
        <v/>
      </c>
      <c r="V415">
        <f>IFERROR(INDEX(PP_Grid[#Data],$DE415,19),0)</f>
        <v/>
      </c>
      <c r="W415">
        <f>IFERROR(INDEX(PP_Grid[#Data],$DE415,20),0)</f>
        <v/>
      </c>
      <c r="X415">
        <f>IFERROR(INDEX(PP_Grid[#Data],$DE415,21),0)</f>
        <v/>
      </c>
      <c r="Y415">
        <f>IFERROR(INDEX(PP_Grid[#Data],$DE415,22),0)</f>
        <v/>
      </c>
      <c r="Z415">
        <f>IFERROR(INDEX(PP_Grid[#Data],$DE415,23),0)</f>
        <v/>
      </c>
      <c r="AA415">
        <f>IFERROR(INDEX(PP_Grid[#Data],$DE415,24),0)</f>
        <v/>
      </c>
      <c r="AB415">
        <f>IFERROR(INDEX(PP_Grid[#Data],$DE415,25),0)</f>
        <v/>
      </c>
      <c r="AC415">
        <f>IFERROR(INDEX(PP_Grid[#Data],$DE415,26),0)</f>
        <v/>
      </c>
      <c r="AD415">
        <f>IFERROR(INDEX(PP_Grid[#Data],$DE415,27),0)</f>
        <v/>
      </c>
      <c r="AE415">
        <f>IFERROR(INDEX(PP_Grid[#Data],$DE415,28),0)</f>
        <v/>
      </c>
      <c r="AF415">
        <f>IFERROR(INDEX(PP_Grid[#Data],$DE415,29),0)</f>
        <v/>
      </c>
      <c r="AG415">
        <f>IFERROR(INDEX(PP_Grid[#Data],$DE415,30),0)</f>
        <v/>
      </c>
      <c r="AH415">
        <f>IFERROR(INDEX(PP_Grid[#Data],$DE415,31),0)</f>
        <v/>
      </c>
      <c r="AI415">
        <f>IFERROR(INDEX(PP_Grid[#Data],$DE415,32),0)</f>
        <v/>
      </c>
      <c r="AJ415">
        <f>IFERROR(INDEX(PP_Grid[#Data],$DE415,33),0)</f>
        <v/>
      </c>
      <c r="AK415">
        <f>IFERROR(INDEX(PP_Grid[#Data],$DE415,34),0)</f>
        <v/>
      </c>
      <c r="AL415">
        <f>IFERROR(INDEX(PP_Grid[#Data],$DE415,35),0)</f>
        <v/>
      </c>
      <c r="AM415">
        <f>IFERROR(INDEX(PP_Grid[#Data],$DE415,36),0)</f>
        <v/>
      </c>
      <c r="AN415">
        <f>IFERROR(INDEX(PP_Grid[#Data],$DE415,37),0)</f>
        <v/>
      </c>
      <c r="AO415">
        <f>IFERROR(INDEX(PP_Grid[#Data],$DE415,38),0)</f>
        <v/>
      </c>
      <c r="AP415">
        <f>IFERROR(INDEX(PP_Grid[#Data],$DE415,39),0)</f>
        <v/>
      </c>
      <c r="AQ415">
        <f>IFERROR(INDEX(PP_Grid[#Data],$DE415,40),0)</f>
        <v/>
      </c>
      <c r="AR415">
        <f>IFERROR(INDEX(PP_Grid[#Data],$DE415,41),0)</f>
        <v/>
      </c>
      <c r="AS415">
        <f>IFERROR(INDEX(PP_Grid[#Data],$DE415,42),0)</f>
        <v/>
      </c>
      <c r="AT415">
        <f>IFERROR(INDEX(PP_Grid[#Data],$DE415,43),0)</f>
        <v/>
      </c>
      <c r="AU415">
        <f>IFERROR(INDEX(PP_Grid[#Data],$DE415,44),0)</f>
        <v/>
      </c>
      <c r="AV415">
        <f>IFERROR(INDEX(PP_Grid[#Data],$DE415,45),0)</f>
        <v/>
      </c>
      <c r="AW415">
        <f>IFERROR(INDEX(PP_Grid[#Data],$DE415,46),0)</f>
        <v/>
      </c>
      <c r="AX415">
        <f>IFERROR(INDEX(PP_Grid[#Data],$DE415,47),0)</f>
        <v/>
      </c>
      <c r="AY415">
        <f>IFERROR(INDEX(PP_Grid[#Data],$DE415,48),0)</f>
        <v/>
      </c>
      <c r="AZ415">
        <f>IFERROR(INDEX(PP_Grid[#Data],$DE415,49),0)</f>
        <v/>
      </c>
      <c r="BA415">
        <f>IFERROR(INDEX(PP_Grid[#Data],$DE415,50),0)</f>
        <v/>
      </c>
      <c r="BB415">
        <f>IFERROR(INDEX(PP_Grid[#Data],$DE415,51),0)</f>
        <v/>
      </c>
      <c r="BC415">
        <f>IFERROR(INDEX(PP_Grid[#Data],$DE415,52),0)</f>
        <v/>
      </c>
      <c r="BD415">
        <f>IFERROR(INDEX(PP_Grid[#Data],$DE415,53),0)</f>
        <v/>
      </c>
      <c r="BE415">
        <f>IFERROR(INDEX(PP_Grid[#Data],$DE415,54),0)</f>
        <v/>
      </c>
      <c r="BF415">
        <f>IFERROR(INDEX(PP_Grid[#Data],$DE415,55),0)</f>
        <v/>
      </c>
      <c r="BG415">
        <f>IFERROR(INDEX(PP_Grid[#Data],$DE415,56),0)</f>
        <v/>
      </c>
      <c r="BH415">
        <f>IFERROR(INDEX(PP_Grid[#Data],$DE415,57),0)</f>
        <v/>
      </c>
      <c r="BI415">
        <f>IFERROR(INDEX(PP_Grid[#Data],$DE415,58),0)</f>
        <v/>
      </c>
      <c r="BJ415">
        <f>IFERROR(INDEX(PP_Grid[#Data],$DE415,59),0)</f>
        <v/>
      </c>
      <c r="BK415">
        <f>IFERROR(INDEX(PP_Grid[#Data],$DE415,60),0)</f>
        <v/>
      </c>
      <c r="BL415">
        <f>IFERROR(INDEX(PP_Grid[#Data],$DE415,61),0)</f>
        <v/>
      </c>
      <c r="BM415">
        <f>IFERROR(INDEX(PP_Grid[#Data],$DE415,62),0)</f>
        <v/>
      </c>
      <c r="BN415">
        <f>IFERROR(INDEX(PP_Grid[#Data],$DE415,63),0)</f>
        <v/>
      </c>
      <c r="BO415">
        <f>IFERROR(INDEX(PP_Grid[#Data],$DE415,64),0)</f>
        <v/>
      </c>
      <c r="BP415">
        <f>IFERROR(INDEX(PP_Grid[#Data],$DE415,65),0)</f>
        <v/>
      </c>
      <c r="BQ415">
        <f>IFERROR(INDEX(PP_Grid[#Data],$DE415,66),0)</f>
        <v/>
      </c>
      <c r="BR415">
        <f>IFERROR(INDEX(PP_Grid[#Data],$DE415,67),0)</f>
        <v/>
      </c>
      <c r="BS415">
        <f>IFERROR(INDEX(PP_Grid[#Data],$DE415,68),0)</f>
        <v/>
      </c>
      <c r="BT415">
        <f>IFERROR(INDEX(PP_Grid[#Data],$DE415,69),0)</f>
        <v/>
      </c>
      <c r="BU415">
        <f>IFERROR(INDEX(PP_Grid[#Data],$DE415,70),0)</f>
        <v/>
      </c>
      <c r="BV415">
        <f>IFERROR(INDEX(PP_Grid[#Data],$DE415,71),0)</f>
        <v/>
      </c>
      <c r="BW415">
        <f>IFERROR(INDEX(PP_Grid[#Data],$DE415,72),0)</f>
        <v/>
      </c>
      <c r="BX415">
        <f>IFERROR(INDEX(PP_Grid[#Data],$DE415,73),0)</f>
        <v/>
      </c>
      <c r="BY415">
        <f>IFERROR(INDEX(PP_Grid[#Data],$DE415,74),0)</f>
        <v/>
      </c>
      <c r="BZ415">
        <f>IFERROR(INDEX(PP_Grid[#Data],$DE415,75),0)</f>
        <v/>
      </c>
      <c r="CA415">
        <f>IFERROR(INDEX(PP_Grid[#Data],$DE415,76),0)</f>
        <v/>
      </c>
      <c r="CB415">
        <f>IFERROR(INDEX(PP_Grid[#Data],$DE415,77),0)</f>
        <v/>
      </c>
      <c r="CC415">
        <f>IFERROR(INDEX(PP_Grid[#Data],$DE415,78),0)</f>
        <v/>
      </c>
      <c r="CD415">
        <f>IFERROR(INDEX(PP_Grid[#Data],$DE415,79),0)</f>
        <v/>
      </c>
      <c r="CE415">
        <f>IFERROR(INDEX(PP_Grid[#Data],$DE415,80),0)</f>
        <v/>
      </c>
      <c r="CF415">
        <f>IFERROR(INDEX(PP_Grid[#Data],$DE415,81),0)</f>
        <v/>
      </c>
      <c r="CG415">
        <f>IFERROR(INDEX(PP_Grid[#Data],$DE415,82),0)</f>
        <v/>
      </c>
      <c r="CH415">
        <f>IFERROR(INDEX(PP_Grid[#Data],$DE415,83),0)</f>
        <v/>
      </c>
      <c r="CI415">
        <f>IFERROR(INDEX(PP_Grid[#Data],$DE415,84),0)</f>
        <v/>
      </c>
      <c r="CJ415">
        <f>IFERROR(INDEX(PP_Grid[#Data],$DE415,85),0)</f>
        <v/>
      </c>
      <c r="CK415">
        <f>IFERROR(INDEX(PP_Grid[#Data],$DE415,86),0)</f>
        <v/>
      </c>
      <c r="CL415">
        <f>IFERROR(INDEX(PP_Grid[#Data],$DE415,87),0)</f>
        <v/>
      </c>
      <c r="CM415">
        <f>IFERROR(INDEX(PP_Grid[#Data],$DE415,88),0)</f>
        <v/>
      </c>
      <c r="CN415">
        <f>IFERROR(INDEX(PP_Grid[#Data],$DE415,89),0)</f>
        <v/>
      </c>
      <c r="CO415">
        <f>IFERROR(INDEX(PP_Grid[#Data],$DE415,90),0)</f>
        <v/>
      </c>
      <c r="CP415">
        <f>IFERROR(INDEX(PP_Grid[#Data],$DE415,91),0)</f>
        <v/>
      </c>
      <c r="CQ415">
        <f>IFERROR(INDEX(PP_Grid[#Data],$DE415,92),0)</f>
        <v/>
      </c>
      <c r="CR415">
        <f>IFERROR(INDEX(PP_Grid[#Data],$DE415,93),0)</f>
        <v/>
      </c>
      <c r="CS415">
        <f>IFERROR(INDEX(PP_Grid[#Data],$DE415,94),0)</f>
        <v/>
      </c>
      <c r="CT415">
        <f>IFERROR(INDEX(PP_Grid[#Data],$DE415,95),0)</f>
        <v/>
      </c>
      <c r="CU415">
        <f>IFERROR(INDEX(PP_Grid[#Data],$DE415,96),0)</f>
        <v/>
      </c>
      <c r="CV415">
        <f>IFERROR(INDEX(PP_Grid[#Data],$DE415,97),0)</f>
        <v/>
      </c>
      <c r="CW415">
        <f>IFERROR(INDEX(PP_Grid[#Data],$DE415,98),0)</f>
        <v/>
      </c>
      <c r="CX415">
        <f>IFERROR(INDEX(PP_Grid[#Data],$DE415,99),0)</f>
        <v/>
      </c>
      <c r="CY415">
        <f>IFERROR(INDEX(PP_Grid[#Data],$DE415,100),0)</f>
        <v/>
      </c>
      <c r="CZ415">
        <f>IFERROR(INDEX(PP_Grid[#Data],$DE415,101),0)</f>
        <v/>
      </c>
      <c r="DA415">
        <f>IFERROR(INDEX(PP_Grid[#Data],$DE415,102),0)</f>
        <v/>
      </c>
      <c r="DB415">
        <f>IFERROR(INDEX(PP_Grid[#Data],$DE415,103),0)</f>
        <v/>
      </c>
      <c r="DC415">
        <f>IFERROR(INDEX(PP_Grid[#Data],$DE415,104),0)</f>
        <v/>
      </c>
      <c r="DD415">
        <f>IFERROR(INDEX(PP_Grid[#Data],$DE415,105),0)</f>
        <v/>
      </c>
      <c r="DE415" s="7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SUMIFS(M_BOM[RM_Qty_Per_Batch],M_BOM[Intermediate],$B415,M_BOM[RM_Code],$A340)</f>
        <v/>
      </c>
      <c r="D416">
        <f>IFERROR(INDEX(E416:DD416,$F$1),"")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  <c r="DD416">
        <f>$C416*DD415</f>
        <v/>
      </c>
    </row>
    <row r="417">
      <c r="B417" t="inlineStr">
        <is>
          <t>TSP-828</t>
        </is>
      </c>
      <c r="C417" t="inlineStr">
        <is>
          <t>No. of batches</t>
        </is>
      </c>
      <c r="D417">
        <f>IFERROR(INDEX(E417:DD417,$F$1),"")</f>
        <v/>
      </c>
      <c r="E417">
        <f>IFERROR(INDEX(PP_Grid[#Data],$DE417,2),0)</f>
        <v/>
      </c>
      <c r="F417">
        <f>IFERROR(INDEX(PP_Grid[#Data],$DE417,3),0)</f>
        <v/>
      </c>
      <c r="G417">
        <f>IFERROR(INDEX(PP_Grid[#Data],$DE417,4),0)</f>
        <v/>
      </c>
      <c r="H417">
        <f>IFERROR(INDEX(PP_Grid[#Data],$DE417,5),0)</f>
        <v/>
      </c>
      <c r="I417">
        <f>IFERROR(INDEX(PP_Grid[#Data],$DE417,6),0)</f>
        <v/>
      </c>
      <c r="J417">
        <f>IFERROR(INDEX(PP_Grid[#Data],$DE417,7),0)</f>
        <v/>
      </c>
      <c r="K417">
        <f>IFERROR(INDEX(PP_Grid[#Data],$DE417,8),0)</f>
        <v/>
      </c>
      <c r="L417">
        <f>IFERROR(INDEX(PP_Grid[#Data],$DE417,9),0)</f>
        <v/>
      </c>
      <c r="M417">
        <f>IFERROR(INDEX(PP_Grid[#Data],$DE417,10),0)</f>
        <v/>
      </c>
      <c r="N417">
        <f>IFERROR(INDEX(PP_Grid[#Data],$DE417,11),0)</f>
        <v/>
      </c>
      <c r="O417">
        <f>IFERROR(INDEX(PP_Grid[#Data],$DE417,12),0)</f>
        <v/>
      </c>
      <c r="P417">
        <f>IFERROR(INDEX(PP_Grid[#Data],$DE417,13),0)</f>
        <v/>
      </c>
      <c r="Q417">
        <f>IFERROR(INDEX(PP_Grid[#Data],$DE417,14),0)</f>
        <v/>
      </c>
      <c r="R417">
        <f>IFERROR(INDEX(PP_Grid[#Data],$DE417,15),0)</f>
        <v/>
      </c>
      <c r="S417">
        <f>IFERROR(INDEX(PP_Grid[#Data],$DE417,16),0)</f>
        <v/>
      </c>
      <c r="T417">
        <f>IFERROR(INDEX(PP_Grid[#Data],$DE417,17),0)</f>
        <v/>
      </c>
      <c r="U417">
        <f>IFERROR(INDEX(PP_Grid[#Data],$DE417,18),0)</f>
        <v/>
      </c>
      <c r="V417">
        <f>IFERROR(INDEX(PP_Grid[#Data],$DE417,19),0)</f>
        <v/>
      </c>
      <c r="W417">
        <f>IFERROR(INDEX(PP_Grid[#Data],$DE417,20),0)</f>
        <v/>
      </c>
      <c r="X417">
        <f>IFERROR(INDEX(PP_Grid[#Data],$DE417,21),0)</f>
        <v/>
      </c>
      <c r="Y417">
        <f>IFERROR(INDEX(PP_Grid[#Data],$DE417,22),0)</f>
        <v/>
      </c>
      <c r="Z417">
        <f>IFERROR(INDEX(PP_Grid[#Data],$DE417,23),0)</f>
        <v/>
      </c>
      <c r="AA417">
        <f>IFERROR(INDEX(PP_Grid[#Data],$DE417,24),0)</f>
        <v/>
      </c>
      <c r="AB417">
        <f>IFERROR(INDEX(PP_Grid[#Data],$DE417,25),0)</f>
        <v/>
      </c>
      <c r="AC417">
        <f>IFERROR(INDEX(PP_Grid[#Data],$DE417,26),0)</f>
        <v/>
      </c>
      <c r="AD417">
        <f>IFERROR(INDEX(PP_Grid[#Data],$DE417,27),0)</f>
        <v/>
      </c>
      <c r="AE417">
        <f>IFERROR(INDEX(PP_Grid[#Data],$DE417,28),0)</f>
        <v/>
      </c>
      <c r="AF417">
        <f>IFERROR(INDEX(PP_Grid[#Data],$DE417,29),0)</f>
        <v/>
      </c>
      <c r="AG417">
        <f>IFERROR(INDEX(PP_Grid[#Data],$DE417,30),0)</f>
        <v/>
      </c>
      <c r="AH417">
        <f>IFERROR(INDEX(PP_Grid[#Data],$DE417,31),0)</f>
        <v/>
      </c>
      <c r="AI417">
        <f>IFERROR(INDEX(PP_Grid[#Data],$DE417,32),0)</f>
        <v/>
      </c>
      <c r="AJ417">
        <f>IFERROR(INDEX(PP_Grid[#Data],$DE417,33),0)</f>
        <v/>
      </c>
      <c r="AK417">
        <f>IFERROR(INDEX(PP_Grid[#Data],$DE417,34),0)</f>
        <v/>
      </c>
      <c r="AL417">
        <f>IFERROR(INDEX(PP_Grid[#Data],$DE417,35),0)</f>
        <v/>
      </c>
      <c r="AM417">
        <f>IFERROR(INDEX(PP_Grid[#Data],$DE417,36),0)</f>
        <v/>
      </c>
      <c r="AN417">
        <f>IFERROR(INDEX(PP_Grid[#Data],$DE417,37),0)</f>
        <v/>
      </c>
      <c r="AO417">
        <f>IFERROR(INDEX(PP_Grid[#Data],$DE417,38),0)</f>
        <v/>
      </c>
      <c r="AP417">
        <f>IFERROR(INDEX(PP_Grid[#Data],$DE417,39),0)</f>
        <v/>
      </c>
      <c r="AQ417">
        <f>IFERROR(INDEX(PP_Grid[#Data],$DE417,40),0)</f>
        <v/>
      </c>
      <c r="AR417">
        <f>IFERROR(INDEX(PP_Grid[#Data],$DE417,41),0)</f>
        <v/>
      </c>
      <c r="AS417">
        <f>IFERROR(INDEX(PP_Grid[#Data],$DE417,42),0)</f>
        <v/>
      </c>
      <c r="AT417">
        <f>IFERROR(INDEX(PP_Grid[#Data],$DE417,43),0)</f>
        <v/>
      </c>
      <c r="AU417">
        <f>IFERROR(INDEX(PP_Grid[#Data],$DE417,44),0)</f>
        <v/>
      </c>
      <c r="AV417">
        <f>IFERROR(INDEX(PP_Grid[#Data],$DE417,45),0)</f>
        <v/>
      </c>
      <c r="AW417">
        <f>IFERROR(INDEX(PP_Grid[#Data],$DE417,46),0)</f>
        <v/>
      </c>
      <c r="AX417">
        <f>IFERROR(INDEX(PP_Grid[#Data],$DE417,47),0)</f>
        <v/>
      </c>
      <c r="AY417">
        <f>IFERROR(INDEX(PP_Grid[#Data],$DE417,48),0)</f>
        <v/>
      </c>
      <c r="AZ417">
        <f>IFERROR(INDEX(PP_Grid[#Data],$DE417,49),0)</f>
        <v/>
      </c>
      <c r="BA417">
        <f>IFERROR(INDEX(PP_Grid[#Data],$DE417,50),0)</f>
        <v/>
      </c>
      <c r="BB417">
        <f>IFERROR(INDEX(PP_Grid[#Data],$DE417,51),0)</f>
        <v/>
      </c>
      <c r="BC417">
        <f>IFERROR(INDEX(PP_Grid[#Data],$DE417,52),0)</f>
        <v/>
      </c>
      <c r="BD417">
        <f>IFERROR(INDEX(PP_Grid[#Data],$DE417,53),0)</f>
        <v/>
      </c>
      <c r="BE417">
        <f>IFERROR(INDEX(PP_Grid[#Data],$DE417,54),0)</f>
        <v/>
      </c>
      <c r="BF417">
        <f>IFERROR(INDEX(PP_Grid[#Data],$DE417,55),0)</f>
        <v/>
      </c>
      <c r="BG417">
        <f>IFERROR(INDEX(PP_Grid[#Data],$DE417,56),0)</f>
        <v/>
      </c>
      <c r="BH417">
        <f>IFERROR(INDEX(PP_Grid[#Data],$DE417,57),0)</f>
        <v/>
      </c>
      <c r="BI417">
        <f>IFERROR(INDEX(PP_Grid[#Data],$DE417,58),0)</f>
        <v/>
      </c>
      <c r="BJ417">
        <f>IFERROR(INDEX(PP_Grid[#Data],$DE417,59),0)</f>
        <v/>
      </c>
      <c r="BK417">
        <f>IFERROR(INDEX(PP_Grid[#Data],$DE417,60),0)</f>
        <v/>
      </c>
      <c r="BL417">
        <f>IFERROR(INDEX(PP_Grid[#Data],$DE417,61),0)</f>
        <v/>
      </c>
      <c r="BM417">
        <f>IFERROR(INDEX(PP_Grid[#Data],$DE417,62),0)</f>
        <v/>
      </c>
      <c r="BN417">
        <f>IFERROR(INDEX(PP_Grid[#Data],$DE417,63),0)</f>
        <v/>
      </c>
      <c r="BO417">
        <f>IFERROR(INDEX(PP_Grid[#Data],$DE417,64),0)</f>
        <v/>
      </c>
      <c r="BP417">
        <f>IFERROR(INDEX(PP_Grid[#Data],$DE417,65),0)</f>
        <v/>
      </c>
      <c r="BQ417">
        <f>IFERROR(INDEX(PP_Grid[#Data],$DE417,66),0)</f>
        <v/>
      </c>
      <c r="BR417">
        <f>IFERROR(INDEX(PP_Grid[#Data],$DE417,67),0)</f>
        <v/>
      </c>
      <c r="BS417">
        <f>IFERROR(INDEX(PP_Grid[#Data],$DE417,68),0)</f>
        <v/>
      </c>
      <c r="BT417">
        <f>IFERROR(INDEX(PP_Grid[#Data],$DE417,69),0)</f>
        <v/>
      </c>
      <c r="BU417">
        <f>IFERROR(INDEX(PP_Grid[#Data],$DE417,70),0)</f>
        <v/>
      </c>
      <c r="BV417">
        <f>IFERROR(INDEX(PP_Grid[#Data],$DE417,71),0)</f>
        <v/>
      </c>
      <c r="BW417">
        <f>IFERROR(INDEX(PP_Grid[#Data],$DE417,72),0)</f>
        <v/>
      </c>
      <c r="BX417">
        <f>IFERROR(INDEX(PP_Grid[#Data],$DE417,73),0)</f>
        <v/>
      </c>
      <c r="BY417">
        <f>IFERROR(INDEX(PP_Grid[#Data],$DE417,74),0)</f>
        <v/>
      </c>
      <c r="BZ417">
        <f>IFERROR(INDEX(PP_Grid[#Data],$DE417,75),0)</f>
        <v/>
      </c>
      <c r="CA417">
        <f>IFERROR(INDEX(PP_Grid[#Data],$DE417,76),0)</f>
        <v/>
      </c>
      <c r="CB417">
        <f>IFERROR(INDEX(PP_Grid[#Data],$DE417,77),0)</f>
        <v/>
      </c>
      <c r="CC417">
        <f>IFERROR(INDEX(PP_Grid[#Data],$DE417,78),0)</f>
        <v/>
      </c>
      <c r="CD417">
        <f>IFERROR(INDEX(PP_Grid[#Data],$DE417,79),0)</f>
        <v/>
      </c>
      <c r="CE417">
        <f>IFERROR(INDEX(PP_Grid[#Data],$DE417,80),0)</f>
        <v/>
      </c>
      <c r="CF417">
        <f>IFERROR(INDEX(PP_Grid[#Data],$DE417,81),0)</f>
        <v/>
      </c>
      <c r="CG417">
        <f>IFERROR(INDEX(PP_Grid[#Data],$DE417,82),0)</f>
        <v/>
      </c>
      <c r="CH417">
        <f>IFERROR(INDEX(PP_Grid[#Data],$DE417,83),0)</f>
        <v/>
      </c>
      <c r="CI417">
        <f>IFERROR(INDEX(PP_Grid[#Data],$DE417,84),0)</f>
        <v/>
      </c>
      <c r="CJ417">
        <f>IFERROR(INDEX(PP_Grid[#Data],$DE417,85),0)</f>
        <v/>
      </c>
      <c r="CK417">
        <f>IFERROR(INDEX(PP_Grid[#Data],$DE417,86),0)</f>
        <v/>
      </c>
      <c r="CL417">
        <f>IFERROR(INDEX(PP_Grid[#Data],$DE417,87),0)</f>
        <v/>
      </c>
      <c r="CM417">
        <f>IFERROR(INDEX(PP_Grid[#Data],$DE417,88),0)</f>
        <v/>
      </c>
      <c r="CN417">
        <f>IFERROR(INDEX(PP_Grid[#Data],$DE417,89),0)</f>
        <v/>
      </c>
      <c r="CO417">
        <f>IFERROR(INDEX(PP_Grid[#Data],$DE417,90),0)</f>
        <v/>
      </c>
      <c r="CP417">
        <f>IFERROR(INDEX(PP_Grid[#Data],$DE417,91),0)</f>
        <v/>
      </c>
      <c r="CQ417">
        <f>IFERROR(INDEX(PP_Grid[#Data],$DE417,92),0)</f>
        <v/>
      </c>
      <c r="CR417">
        <f>IFERROR(INDEX(PP_Grid[#Data],$DE417,93),0)</f>
        <v/>
      </c>
      <c r="CS417">
        <f>IFERROR(INDEX(PP_Grid[#Data],$DE417,94),0)</f>
        <v/>
      </c>
      <c r="CT417">
        <f>IFERROR(INDEX(PP_Grid[#Data],$DE417,95),0)</f>
        <v/>
      </c>
      <c r="CU417">
        <f>IFERROR(INDEX(PP_Grid[#Data],$DE417,96),0)</f>
        <v/>
      </c>
      <c r="CV417">
        <f>IFERROR(INDEX(PP_Grid[#Data],$DE417,97),0)</f>
        <v/>
      </c>
      <c r="CW417">
        <f>IFERROR(INDEX(PP_Grid[#Data],$DE417,98),0)</f>
        <v/>
      </c>
      <c r="CX417">
        <f>IFERROR(INDEX(PP_Grid[#Data],$DE417,99),0)</f>
        <v/>
      </c>
      <c r="CY417">
        <f>IFERROR(INDEX(PP_Grid[#Data],$DE417,100),0)</f>
        <v/>
      </c>
      <c r="CZ417">
        <f>IFERROR(INDEX(PP_Grid[#Data],$DE417,101),0)</f>
        <v/>
      </c>
      <c r="DA417">
        <f>IFERROR(INDEX(PP_Grid[#Data],$DE417,102),0)</f>
        <v/>
      </c>
      <c r="DB417">
        <f>IFERROR(INDEX(PP_Grid[#Data],$DE417,103),0)</f>
        <v/>
      </c>
      <c r="DC417">
        <f>IFERROR(INDEX(PP_Grid[#Data],$DE417,104),0)</f>
        <v/>
      </c>
      <c r="DD417">
        <f>IFERROR(INDEX(PP_Grid[#Data],$DE417,105),0)</f>
        <v/>
      </c>
      <c r="DE417" s="7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SUMIFS(M_BOM[RM_Qty_Per_Batch],M_BOM[Intermediate],$B417,M_BOM[RM_Code],$A340)</f>
        <v/>
      </c>
      <c r="D418">
        <f>IFERROR(INDEX(E418:DD418,$F$1),"")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  <c r="DD418">
        <f>$C418*DD417</f>
        <v/>
      </c>
    </row>
    <row r="419">
      <c r="B419" t="inlineStr">
        <is>
          <t>TSP-903</t>
        </is>
      </c>
      <c r="C419" t="inlineStr">
        <is>
          <t>No. of batches</t>
        </is>
      </c>
      <c r="D419">
        <f>IFERROR(INDEX(E419:DD419,$F$1),"")</f>
        <v/>
      </c>
      <c r="E419">
        <f>IFERROR(INDEX(PP_Grid[#Data],$DE419,2),0)</f>
        <v/>
      </c>
      <c r="F419">
        <f>IFERROR(INDEX(PP_Grid[#Data],$DE419,3),0)</f>
        <v/>
      </c>
      <c r="G419">
        <f>IFERROR(INDEX(PP_Grid[#Data],$DE419,4),0)</f>
        <v/>
      </c>
      <c r="H419">
        <f>IFERROR(INDEX(PP_Grid[#Data],$DE419,5),0)</f>
        <v/>
      </c>
      <c r="I419">
        <f>IFERROR(INDEX(PP_Grid[#Data],$DE419,6),0)</f>
        <v/>
      </c>
      <c r="J419">
        <f>IFERROR(INDEX(PP_Grid[#Data],$DE419,7),0)</f>
        <v/>
      </c>
      <c r="K419">
        <f>IFERROR(INDEX(PP_Grid[#Data],$DE419,8),0)</f>
        <v/>
      </c>
      <c r="L419">
        <f>IFERROR(INDEX(PP_Grid[#Data],$DE419,9),0)</f>
        <v/>
      </c>
      <c r="M419">
        <f>IFERROR(INDEX(PP_Grid[#Data],$DE419,10),0)</f>
        <v/>
      </c>
      <c r="N419">
        <f>IFERROR(INDEX(PP_Grid[#Data],$DE419,11),0)</f>
        <v/>
      </c>
      <c r="O419">
        <f>IFERROR(INDEX(PP_Grid[#Data],$DE419,12),0)</f>
        <v/>
      </c>
      <c r="P419">
        <f>IFERROR(INDEX(PP_Grid[#Data],$DE419,13),0)</f>
        <v/>
      </c>
      <c r="Q419">
        <f>IFERROR(INDEX(PP_Grid[#Data],$DE419,14),0)</f>
        <v/>
      </c>
      <c r="R419">
        <f>IFERROR(INDEX(PP_Grid[#Data],$DE419,15),0)</f>
        <v/>
      </c>
      <c r="S419">
        <f>IFERROR(INDEX(PP_Grid[#Data],$DE419,16),0)</f>
        <v/>
      </c>
      <c r="T419">
        <f>IFERROR(INDEX(PP_Grid[#Data],$DE419,17),0)</f>
        <v/>
      </c>
      <c r="U419">
        <f>IFERROR(INDEX(PP_Grid[#Data],$DE419,18),0)</f>
        <v/>
      </c>
      <c r="V419">
        <f>IFERROR(INDEX(PP_Grid[#Data],$DE419,19),0)</f>
        <v/>
      </c>
      <c r="W419">
        <f>IFERROR(INDEX(PP_Grid[#Data],$DE419,20),0)</f>
        <v/>
      </c>
      <c r="X419">
        <f>IFERROR(INDEX(PP_Grid[#Data],$DE419,21),0)</f>
        <v/>
      </c>
      <c r="Y419">
        <f>IFERROR(INDEX(PP_Grid[#Data],$DE419,22),0)</f>
        <v/>
      </c>
      <c r="Z419">
        <f>IFERROR(INDEX(PP_Grid[#Data],$DE419,23),0)</f>
        <v/>
      </c>
      <c r="AA419">
        <f>IFERROR(INDEX(PP_Grid[#Data],$DE419,24),0)</f>
        <v/>
      </c>
      <c r="AB419">
        <f>IFERROR(INDEX(PP_Grid[#Data],$DE419,25),0)</f>
        <v/>
      </c>
      <c r="AC419">
        <f>IFERROR(INDEX(PP_Grid[#Data],$DE419,26),0)</f>
        <v/>
      </c>
      <c r="AD419">
        <f>IFERROR(INDEX(PP_Grid[#Data],$DE419,27),0)</f>
        <v/>
      </c>
      <c r="AE419">
        <f>IFERROR(INDEX(PP_Grid[#Data],$DE419,28),0)</f>
        <v/>
      </c>
      <c r="AF419">
        <f>IFERROR(INDEX(PP_Grid[#Data],$DE419,29),0)</f>
        <v/>
      </c>
      <c r="AG419">
        <f>IFERROR(INDEX(PP_Grid[#Data],$DE419,30),0)</f>
        <v/>
      </c>
      <c r="AH419">
        <f>IFERROR(INDEX(PP_Grid[#Data],$DE419,31),0)</f>
        <v/>
      </c>
      <c r="AI419">
        <f>IFERROR(INDEX(PP_Grid[#Data],$DE419,32),0)</f>
        <v/>
      </c>
      <c r="AJ419">
        <f>IFERROR(INDEX(PP_Grid[#Data],$DE419,33),0)</f>
        <v/>
      </c>
      <c r="AK419">
        <f>IFERROR(INDEX(PP_Grid[#Data],$DE419,34),0)</f>
        <v/>
      </c>
      <c r="AL419">
        <f>IFERROR(INDEX(PP_Grid[#Data],$DE419,35),0)</f>
        <v/>
      </c>
      <c r="AM419">
        <f>IFERROR(INDEX(PP_Grid[#Data],$DE419,36),0)</f>
        <v/>
      </c>
      <c r="AN419">
        <f>IFERROR(INDEX(PP_Grid[#Data],$DE419,37),0)</f>
        <v/>
      </c>
      <c r="AO419">
        <f>IFERROR(INDEX(PP_Grid[#Data],$DE419,38),0)</f>
        <v/>
      </c>
      <c r="AP419">
        <f>IFERROR(INDEX(PP_Grid[#Data],$DE419,39),0)</f>
        <v/>
      </c>
      <c r="AQ419">
        <f>IFERROR(INDEX(PP_Grid[#Data],$DE419,40),0)</f>
        <v/>
      </c>
      <c r="AR419">
        <f>IFERROR(INDEX(PP_Grid[#Data],$DE419,41),0)</f>
        <v/>
      </c>
      <c r="AS419">
        <f>IFERROR(INDEX(PP_Grid[#Data],$DE419,42),0)</f>
        <v/>
      </c>
      <c r="AT419">
        <f>IFERROR(INDEX(PP_Grid[#Data],$DE419,43),0)</f>
        <v/>
      </c>
      <c r="AU419">
        <f>IFERROR(INDEX(PP_Grid[#Data],$DE419,44),0)</f>
        <v/>
      </c>
      <c r="AV419">
        <f>IFERROR(INDEX(PP_Grid[#Data],$DE419,45),0)</f>
        <v/>
      </c>
      <c r="AW419">
        <f>IFERROR(INDEX(PP_Grid[#Data],$DE419,46),0)</f>
        <v/>
      </c>
      <c r="AX419">
        <f>IFERROR(INDEX(PP_Grid[#Data],$DE419,47),0)</f>
        <v/>
      </c>
      <c r="AY419">
        <f>IFERROR(INDEX(PP_Grid[#Data],$DE419,48),0)</f>
        <v/>
      </c>
      <c r="AZ419">
        <f>IFERROR(INDEX(PP_Grid[#Data],$DE419,49),0)</f>
        <v/>
      </c>
      <c r="BA419">
        <f>IFERROR(INDEX(PP_Grid[#Data],$DE419,50),0)</f>
        <v/>
      </c>
      <c r="BB419">
        <f>IFERROR(INDEX(PP_Grid[#Data],$DE419,51),0)</f>
        <v/>
      </c>
      <c r="BC419">
        <f>IFERROR(INDEX(PP_Grid[#Data],$DE419,52),0)</f>
        <v/>
      </c>
      <c r="BD419">
        <f>IFERROR(INDEX(PP_Grid[#Data],$DE419,53),0)</f>
        <v/>
      </c>
      <c r="BE419">
        <f>IFERROR(INDEX(PP_Grid[#Data],$DE419,54),0)</f>
        <v/>
      </c>
      <c r="BF419">
        <f>IFERROR(INDEX(PP_Grid[#Data],$DE419,55),0)</f>
        <v/>
      </c>
      <c r="BG419">
        <f>IFERROR(INDEX(PP_Grid[#Data],$DE419,56),0)</f>
        <v/>
      </c>
      <c r="BH419">
        <f>IFERROR(INDEX(PP_Grid[#Data],$DE419,57),0)</f>
        <v/>
      </c>
      <c r="BI419">
        <f>IFERROR(INDEX(PP_Grid[#Data],$DE419,58),0)</f>
        <v/>
      </c>
      <c r="BJ419">
        <f>IFERROR(INDEX(PP_Grid[#Data],$DE419,59),0)</f>
        <v/>
      </c>
      <c r="BK419">
        <f>IFERROR(INDEX(PP_Grid[#Data],$DE419,60),0)</f>
        <v/>
      </c>
      <c r="BL419">
        <f>IFERROR(INDEX(PP_Grid[#Data],$DE419,61),0)</f>
        <v/>
      </c>
      <c r="BM419">
        <f>IFERROR(INDEX(PP_Grid[#Data],$DE419,62),0)</f>
        <v/>
      </c>
      <c r="BN419">
        <f>IFERROR(INDEX(PP_Grid[#Data],$DE419,63),0)</f>
        <v/>
      </c>
      <c r="BO419">
        <f>IFERROR(INDEX(PP_Grid[#Data],$DE419,64),0)</f>
        <v/>
      </c>
      <c r="BP419">
        <f>IFERROR(INDEX(PP_Grid[#Data],$DE419,65),0)</f>
        <v/>
      </c>
      <c r="BQ419">
        <f>IFERROR(INDEX(PP_Grid[#Data],$DE419,66),0)</f>
        <v/>
      </c>
      <c r="BR419">
        <f>IFERROR(INDEX(PP_Grid[#Data],$DE419,67),0)</f>
        <v/>
      </c>
      <c r="BS419">
        <f>IFERROR(INDEX(PP_Grid[#Data],$DE419,68),0)</f>
        <v/>
      </c>
      <c r="BT419">
        <f>IFERROR(INDEX(PP_Grid[#Data],$DE419,69),0)</f>
        <v/>
      </c>
      <c r="BU419">
        <f>IFERROR(INDEX(PP_Grid[#Data],$DE419,70),0)</f>
        <v/>
      </c>
      <c r="BV419">
        <f>IFERROR(INDEX(PP_Grid[#Data],$DE419,71),0)</f>
        <v/>
      </c>
      <c r="BW419">
        <f>IFERROR(INDEX(PP_Grid[#Data],$DE419,72),0)</f>
        <v/>
      </c>
      <c r="BX419">
        <f>IFERROR(INDEX(PP_Grid[#Data],$DE419,73),0)</f>
        <v/>
      </c>
      <c r="BY419">
        <f>IFERROR(INDEX(PP_Grid[#Data],$DE419,74),0)</f>
        <v/>
      </c>
      <c r="BZ419">
        <f>IFERROR(INDEX(PP_Grid[#Data],$DE419,75),0)</f>
        <v/>
      </c>
      <c r="CA419">
        <f>IFERROR(INDEX(PP_Grid[#Data],$DE419,76),0)</f>
        <v/>
      </c>
      <c r="CB419">
        <f>IFERROR(INDEX(PP_Grid[#Data],$DE419,77),0)</f>
        <v/>
      </c>
      <c r="CC419">
        <f>IFERROR(INDEX(PP_Grid[#Data],$DE419,78),0)</f>
        <v/>
      </c>
      <c r="CD419">
        <f>IFERROR(INDEX(PP_Grid[#Data],$DE419,79),0)</f>
        <v/>
      </c>
      <c r="CE419">
        <f>IFERROR(INDEX(PP_Grid[#Data],$DE419,80),0)</f>
        <v/>
      </c>
      <c r="CF419">
        <f>IFERROR(INDEX(PP_Grid[#Data],$DE419,81),0)</f>
        <v/>
      </c>
      <c r="CG419">
        <f>IFERROR(INDEX(PP_Grid[#Data],$DE419,82),0)</f>
        <v/>
      </c>
      <c r="CH419">
        <f>IFERROR(INDEX(PP_Grid[#Data],$DE419,83),0)</f>
        <v/>
      </c>
      <c r="CI419">
        <f>IFERROR(INDEX(PP_Grid[#Data],$DE419,84),0)</f>
        <v/>
      </c>
      <c r="CJ419">
        <f>IFERROR(INDEX(PP_Grid[#Data],$DE419,85),0)</f>
        <v/>
      </c>
      <c r="CK419">
        <f>IFERROR(INDEX(PP_Grid[#Data],$DE419,86),0)</f>
        <v/>
      </c>
      <c r="CL419">
        <f>IFERROR(INDEX(PP_Grid[#Data],$DE419,87),0)</f>
        <v/>
      </c>
      <c r="CM419">
        <f>IFERROR(INDEX(PP_Grid[#Data],$DE419,88),0)</f>
        <v/>
      </c>
      <c r="CN419">
        <f>IFERROR(INDEX(PP_Grid[#Data],$DE419,89),0)</f>
        <v/>
      </c>
      <c r="CO419">
        <f>IFERROR(INDEX(PP_Grid[#Data],$DE419,90),0)</f>
        <v/>
      </c>
      <c r="CP419">
        <f>IFERROR(INDEX(PP_Grid[#Data],$DE419,91),0)</f>
        <v/>
      </c>
      <c r="CQ419">
        <f>IFERROR(INDEX(PP_Grid[#Data],$DE419,92),0)</f>
        <v/>
      </c>
      <c r="CR419">
        <f>IFERROR(INDEX(PP_Grid[#Data],$DE419,93),0)</f>
        <v/>
      </c>
      <c r="CS419">
        <f>IFERROR(INDEX(PP_Grid[#Data],$DE419,94),0)</f>
        <v/>
      </c>
      <c r="CT419">
        <f>IFERROR(INDEX(PP_Grid[#Data],$DE419,95),0)</f>
        <v/>
      </c>
      <c r="CU419">
        <f>IFERROR(INDEX(PP_Grid[#Data],$DE419,96),0)</f>
        <v/>
      </c>
      <c r="CV419">
        <f>IFERROR(INDEX(PP_Grid[#Data],$DE419,97),0)</f>
        <v/>
      </c>
      <c r="CW419">
        <f>IFERROR(INDEX(PP_Grid[#Data],$DE419,98),0)</f>
        <v/>
      </c>
      <c r="CX419">
        <f>IFERROR(INDEX(PP_Grid[#Data],$DE419,99),0)</f>
        <v/>
      </c>
      <c r="CY419">
        <f>IFERROR(INDEX(PP_Grid[#Data],$DE419,100),0)</f>
        <v/>
      </c>
      <c r="CZ419">
        <f>IFERROR(INDEX(PP_Grid[#Data],$DE419,101),0)</f>
        <v/>
      </c>
      <c r="DA419">
        <f>IFERROR(INDEX(PP_Grid[#Data],$DE419,102),0)</f>
        <v/>
      </c>
      <c r="DB419">
        <f>IFERROR(INDEX(PP_Grid[#Data],$DE419,103),0)</f>
        <v/>
      </c>
      <c r="DC419">
        <f>IFERROR(INDEX(PP_Grid[#Data],$DE419,104),0)</f>
        <v/>
      </c>
      <c r="DD419">
        <f>IFERROR(INDEX(PP_Grid[#Data],$DE419,105),0)</f>
        <v/>
      </c>
      <c r="DE419" s="7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SUMIFS(M_BOM[RM_Qty_Per_Batch],M_BOM[Intermediate],$B419,M_BOM[RM_Code],$A340)</f>
        <v/>
      </c>
      <c r="D420">
        <f>IFERROR(INDEX(E420:DD420,$F$1),"")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  <c r="DD420">
        <f>$C420*DD419</f>
        <v/>
      </c>
    </row>
    <row r="421">
      <c r="B421" t="inlineStr">
        <is>
          <t>TSP-924</t>
        </is>
      </c>
      <c r="C421" t="inlineStr">
        <is>
          <t>No. of batches</t>
        </is>
      </c>
      <c r="D421">
        <f>IFERROR(INDEX(E421:DD421,$F$1),"")</f>
        <v/>
      </c>
      <c r="E421">
        <f>IFERROR(INDEX(PP_Grid[#Data],$DE421,2),0)</f>
        <v/>
      </c>
      <c r="F421">
        <f>IFERROR(INDEX(PP_Grid[#Data],$DE421,3),0)</f>
        <v/>
      </c>
      <c r="G421">
        <f>IFERROR(INDEX(PP_Grid[#Data],$DE421,4),0)</f>
        <v/>
      </c>
      <c r="H421">
        <f>IFERROR(INDEX(PP_Grid[#Data],$DE421,5),0)</f>
        <v/>
      </c>
      <c r="I421">
        <f>IFERROR(INDEX(PP_Grid[#Data],$DE421,6),0)</f>
        <v/>
      </c>
      <c r="J421">
        <f>IFERROR(INDEX(PP_Grid[#Data],$DE421,7),0)</f>
        <v/>
      </c>
      <c r="K421">
        <f>IFERROR(INDEX(PP_Grid[#Data],$DE421,8),0)</f>
        <v/>
      </c>
      <c r="L421">
        <f>IFERROR(INDEX(PP_Grid[#Data],$DE421,9),0)</f>
        <v/>
      </c>
      <c r="M421">
        <f>IFERROR(INDEX(PP_Grid[#Data],$DE421,10),0)</f>
        <v/>
      </c>
      <c r="N421">
        <f>IFERROR(INDEX(PP_Grid[#Data],$DE421,11),0)</f>
        <v/>
      </c>
      <c r="O421">
        <f>IFERROR(INDEX(PP_Grid[#Data],$DE421,12),0)</f>
        <v/>
      </c>
      <c r="P421">
        <f>IFERROR(INDEX(PP_Grid[#Data],$DE421,13),0)</f>
        <v/>
      </c>
      <c r="Q421">
        <f>IFERROR(INDEX(PP_Grid[#Data],$DE421,14),0)</f>
        <v/>
      </c>
      <c r="R421">
        <f>IFERROR(INDEX(PP_Grid[#Data],$DE421,15),0)</f>
        <v/>
      </c>
      <c r="S421">
        <f>IFERROR(INDEX(PP_Grid[#Data],$DE421,16),0)</f>
        <v/>
      </c>
      <c r="T421">
        <f>IFERROR(INDEX(PP_Grid[#Data],$DE421,17),0)</f>
        <v/>
      </c>
      <c r="U421">
        <f>IFERROR(INDEX(PP_Grid[#Data],$DE421,18),0)</f>
        <v/>
      </c>
      <c r="V421">
        <f>IFERROR(INDEX(PP_Grid[#Data],$DE421,19),0)</f>
        <v/>
      </c>
      <c r="W421">
        <f>IFERROR(INDEX(PP_Grid[#Data],$DE421,20),0)</f>
        <v/>
      </c>
      <c r="X421">
        <f>IFERROR(INDEX(PP_Grid[#Data],$DE421,21),0)</f>
        <v/>
      </c>
      <c r="Y421">
        <f>IFERROR(INDEX(PP_Grid[#Data],$DE421,22),0)</f>
        <v/>
      </c>
      <c r="Z421">
        <f>IFERROR(INDEX(PP_Grid[#Data],$DE421,23),0)</f>
        <v/>
      </c>
      <c r="AA421">
        <f>IFERROR(INDEX(PP_Grid[#Data],$DE421,24),0)</f>
        <v/>
      </c>
      <c r="AB421">
        <f>IFERROR(INDEX(PP_Grid[#Data],$DE421,25),0)</f>
        <v/>
      </c>
      <c r="AC421">
        <f>IFERROR(INDEX(PP_Grid[#Data],$DE421,26),0)</f>
        <v/>
      </c>
      <c r="AD421">
        <f>IFERROR(INDEX(PP_Grid[#Data],$DE421,27),0)</f>
        <v/>
      </c>
      <c r="AE421">
        <f>IFERROR(INDEX(PP_Grid[#Data],$DE421,28),0)</f>
        <v/>
      </c>
      <c r="AF421">
        <f>IFERROR(INDEX(PP_Grid[#Data],$DE421,29),0)</f>
        <v/>
      </c>
      <c r="AG421">
        <f>IFERROR(INDEX(PP_Grid[#Data],$DE421,30),0)</f>
        <v/>
      </c>
      <c r="AH421">
        <f>IFERROR(INDEX(PP_Grid[#Data],$DE421,31),0)</f>
        <v/>
      </c>
      <c r="AI421">
        <f>IFERROR(INDEX(PP_Grid[#Data],$DE421,32),0)</f>
        <v/>
      </c>
      <c r="AJ421">
        <f>IFERROR(INDEX(PP_Grid[#Data],$DE421,33),0)</f>
        <v/>
      </c>
      <c r="AK421">
        <f>IFERROR(INDEX(PP_Grid[#Data],$DE421,34),0)</f>
        <v/>
      </c>
      <c r="AL421">
        <f>IFERROR(INDEX(PP_Grid[#Data],$DE421,35),0)</f>
        <v/>
      </c>
      <c r="AM421">
        <f>IFERROR(INDEX(PP_Grid[#Data],$DE421,36),0)</f>
        <v/>
      </c>
      <c r="AN421">
        <f>IFERROR(INDEX(PP_Grid[#Data],$DE421,37),0)</f>
        <v/>
      </c>
      <c r="AO421">
        <f>IFERROR(INDEX(PP_Grid[#Data],$DE421,38),0)</f>
        <v/>
      </c>
      <c r="AP421">
        <f>IFERROR(INDEX(PP_Grid[#Data],$DE421,39),0)</f>
        <v/>
      </c>
      <c r="AQ421">
        <f>IFERROR(INDEX(PP_Grid[#Data],$DE421,40),0)</f>
        <v/>
      </c>
      <c r="AR421">
        <f>IFERROR(INDEX(PP_Grid[#Data],$DE421,41),0)</f>
        <v/>
      </c>
      <c r="AS421">
        <f>IFERROR(INDEX(PP_Grid[#Data],$DE421,42),0)</f>
        <v/>
      </c>
      <c r="AT421">
        <f>IFERROR(INDEX(PP_Grid[#Data],$DE421,43),0)</f>
        <v/>
      </c>
      <c r="AU421">
        <f>IFERROR(INDEX(PP_Grid[#Data],$DE421,44),0)</f>
        <v/>
      </c>
      <c r="AV421">
        <f>IFERROR(INDEX(PP_Grid[#Data],$DE421,45),0)</f>
        <v/>
      </c>
      <c r="AW421">
        <f>IFERROR(INDEX(PP_Grid[#Data],$DE421,46),0)</f>
        <v/>
      </c>
      <c r="AX421">
        <f>IFERROR(INDEX(PP_Grid[#Data],$DE421,47),0)</f>
        <v/>
      </c>
      <c r="AY421">
        <f>IFERROR(INDEX(PP_Grid[#Data],$DE421,48),0)</f>
        <v/>
      </c>
      <c r="AZ421">
        <f>IFERROR(INDEX(PP_Grid[#Data],$DE421,49),0)</f>
        <v/>
      </c>
      <c r="BA421">
        <f>IFERROR(INDEX(PP_Grid[#Data],$DE421,50),0)</f>
        <v/>
      </c>
      <c r="BB421">
        <f>IFERROR(INDEX(PP_Grid[#Data],$DE421,51),0)</f>
        <v/>
      </c>
      <c r="BC421">
        <f>IFERROR(INDEX(PP_Grid[#Data],$DE421,52),0)</f>
        <v/>
      </c>
      <c r="BD421">
        <f>IFERROR(INDEX(PP_Grid[#Data],$DE421,53),0)</f>
        <v/>
      </c>
      <c r="BE421">
        <f>IFERROR(INDEX(PP_Grid[#Data],$DE421,54),0)</f>
        <v/>
      </c>
      <c r="BF421">
        <f>IFERROR(INDEX(PP_Grid[#Data],$DE421,55),0)</f>
        <v/>
      </c>
      <c r="BG421">
        <f>IFERROR(INDEX(PP_Grid[#Data],$DE421,56),0)</f>
        <v/>
      </c>
      <c r="BH421">
        <f>IFERROR(INDEX(PP_Grid[#Data],$DE421,57),0)</f>
        <v/>
      </c>
      <c r="BI421">
        <f>IFERROR(INDEX(PP_Grid[#Data],$DE421,58),0)</f>
        <v/>
      </c>
      <c r="BJ421">
        <f>IFERROR(INDEX(PP_Grid[#Data],$DE421,59),0)</f>
        <v/>
      </c>
      <c r="BK421">
        <f>IFERROR(INDEX(PP_Grid[#Data],$DE421,60),0)</f>
        <v/>
      </c>
      <c r="BL421">
        <f>IFERROR(INDEX(PP_Grid[#Data],$DE421,61),0)</f>
        <v/>
      </c>
      <c r="BM421">
        <f>IFERROR(INDEX(PP_Grid[#Data],$DE421,62),0)</f>
        <v/>
      </c>
      <c r="BN421">
        <f>IFERROR(INDEX(PP_Grid[#Data],$DE421,63),0)</f>
        <v/>
      </c>
      <c r="BO421">
        <f>IFERROR(INDEX(PP_Grid[#Data],$DE421,64),0)</f>
        <v/>
      </c>
      <c r="BP421">
        <f>IFERROR(INDEX(PP_Grid[#Data],$DE421,65),0)</f>
        <v/>
      </c>
      <c r="BQ421">
        <f>IFERROR(INDEX(PP_Grid[#Data],$DE421,66),0)</f>
        <v/>
      </c>
      <c r="BR421">
        <f>IFERROR(INDEX(PP_Grid[#Data],$DE421,67),0)</f>
        <v/>
      </c>
      <c r="BS421">
        <f>IFERROR(INDEX(PP_Grid[#Data],$DE421,68),0)</f>
        <v/>
      </c>
      <c r="BT421">
        <f>IFERROR(INDEX(PP_Grid[#Data],$DE421,69),0)</f>
        <v/>
      </c>
      <c r="BU421">
        <f>IFERROR(INDEX(PP_Grid[#Data],$DE421,70),0)</f>
        <v/>
      </c>
      <c r="BV421">
        <f>IFERROR(INDEX(PP_Grid[#Data],$DE421,71),0)</f>
        <v/>
      </c>
      <c r="BW421">
        <f>IFERROR(INDEX(PP_Grid[#Data],$DE421,72),0)</f>
        <v/>
      </c>
      <c r="BX421">
        <f>IFERROR(INDEX(PP_Grid[#Data],$DE421,73),0)</f>
        <v/>
      </c>
      <c r="BY421">
        <f>IFERROR(INDEX(PP_Grid[#Data],$DE421,74),0)</f>
        <v/>
      </c>
      <c r="BZ421">
        <f>IFERROR(INDEX(PP_Grid[#Data],$DE421,75),0)</f>
        <v/>
      </c>
      <c r="CA421">
        <f>IFERROR(INDEX(PP_Grid[#Data],$DE421,76),0)</f>
        <v/>
      </c>
      <c r="CB421">
        <f>IFERROR(INDEX(PP_Grid[#Data],$DE421,77),0)</f>
        <v/>
      </c>
      <c r="CC421">
        <f>IFERROR(INDEX(PP_Grid[#Data],$DE421,78),0)</f>
        <v/>
      </c>
      <c r="CD421">
        <f>IFERROR(INDEX(PP_Grid[#Data],$DE421,79),0)</f>
        <v/>
      </c>
      <c r="CE421">
        <f>IFERROR(INDEX(PP_Grid[#Data],$DE421,80),0)</f>
        <v/>
      </c>
      <c r="CF421">
        <f>IFERROR(INDEX(PP_Grid[#Data],$DE421,81),0)</f>
        <v/>
      </c>
      <c r="CG421">
        <f>IFERROR(INDEX(PP_Grid[#Data],$DE421,82),0)</f>
        <v/>
      </c>
      <c r="CH421">
        <f>IFERROR(INDEX(PP_Grid[#Data],$DE421,83),0)</f>
        <v/>
      </c>
      <c r="CI421">
        <f>IFERROR(INDEX(PP_Grid[#Data],$DE421,84),0)</f>
        <v/>
      </c>
      <c r="CJ421">
        <f>IFERROR(INDEX(PP_Grid[#Data],$DE421,85),0)</f>
        <v/>
      </c>
      <c r="CK421">
        <f>IFERROR(INDEX(PP_Grid[#Data],$DE421,86),0)</f>
        <v/>
      </c>
      <c r="CL421">
        <f>IFERROR(INDEX(PP_Grid[#Data],$DE421,87),0)</f>
        <v/>
      </c>
      <c r="CM421">
        <f>IFERROR(INDEX(PP_Grid[#Data],$DE421,88),0)</f>
        <v/>
      </c>
      <c r="CN421">
        <f>IFERROR(INDEX(PP_Grid[#Data],$DE421,89),0)</f>
        <v/>
      </c>
      <c r="CO421">
        <f>IFERROR(INDEX(PP_Grid[#Data],$DE421,90),0)</f>
        <v/>
      </c>
      <c r="CP421">
        <f>IFERROR(INDEX(PP_Grid[#Data],$DE421,91),0)</f>
        <v/>
      </c>
      <c r="CQ421">
        <f>IFERROR(INDEX(PP_Grid[#Data],$DE421,92),0)</f>
        <v/>
      </c>
      <c r="CR421">
        <f>IFERROR(INDEX(PP_Grid[#Data],$DE421,93),0)</f>
        <v/>
      </c>
      <c r="CS421">
        <f>IFERROR(INDEX(PP_Grid[#Data],$DE421,94),0)</f>
        <v/>
      </c>
      <c r="CT421">
        <f>IFERROR(INDEX(PP_Grid[#Data],$DE421,95),0)</f>
        <v/>
      </c>
      <c r="CU421">
        <f>IFERROR(INDEX(PP_Grid[#Data],$DE421,96),0)</f>
        <v/>
      </c>
      <c r="CV421">
        <f>IFERROR(INDEX(PP_Grid[#Data],$DE421,97),0)</f>
        <v/>
      </c>
      <c r="CW421">
        <f>IFERROR(INDEX(PP_Grid[#Data],$DE421,98),0)</f>
        <v/>
      </c>
      <c r="CX421">
        <f>IFERROR(INDEX(PP_Grid[#Data],$DE421,99),0)</f>
        <v/>
      </c>
      <c r="CY421">
        <f>IFERROR(INDEX(PP_Grid[#Data],$DE421,100),0)</f>
        <v/>
      </c>
      <c r="CZ421">
        <f>IFERROR(INDEX(PP_Grid[#Data],$DE421,101),0)</f>
        <v/>
      </c>
      <c r="DA421">
        <f>IFERROR(INDEX(PP_Grid[#Data],$DE421,102),0)</f>
        <v/>
      </c>
      <c r="DB421">
        <f>IFERROR(INDEX(PP_Grid[#Data],$DE421,103),0)</f>
        <v/>
      </c>
      <c r="DC421">
        <f>IFERROR(INDEX(PP_Grid[#Data],$DE421,104),0)</f>
        <v/>
      </c>
      <c r="DD421">
        <f>IFERROR(INDEX(PP_Grid[#Data],$DE421,105),0)</f>
        <v/>
      </c>
      <c r="DE421" s="7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SUMIFS(M_BOM[RM_Qty_Per_Batch],M_BOM[Intermediate],$B421,M_BOM[RM_Code],$A340)</f>
        <v/>
      </c>
      <c r="D422">
        <f>IFERROR(INDEX(E422:DD422,$F$1),"")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  <c r="DD422">
        <f>$C422*DD421</f>
        <v/>
      </c>
    </row>
    <row r="423">
      <c r="B423" t="inlineStr">
        <is>
          <t>TSP-925</t>
        </is>
      </c>
      <c r="C423" t="inlineStr">
        <is>
          <t>No. of batches</t>
        </is>
      </c>
      <c r="D423">
        <f>IFERROR(INDEX(E423:DD423,$F$1),"")</f>
        <v/>
      </c>
      <c r="E423">
        <f>IFERROR(INDEX(PP_Grid[#Data],$DE423,2),0)</f>
        <v/>
      </c>
      <c r="F423">
        <f>IFERROR(INDEX(PP_Grid[#Data],$DE423,3),0)</f>
        <v/>
      </c>
      <c r="G423">
        <f>IFERROR(INDEX(PP_Grid[#Data],$DE423,4),0)</f>
        <v/>
      </c>
      <c r="H423">
        <f>IFERROR(INDEX(PP_Grid[#Data],$DE423,5),0)</f>
        <v/>
      </c>
      <c r="I423">
        <f>IFERROR(INDEX(PP_Grid[#Data],$DE423,6),0)</f>
        <v/>
      </c>
      <c r="J423">
        <f>IFERROR(INDEX(PP_Grid[#Data],$DE423,7),0)</f>
        <v/>
      </c>
      <c r="K423">
        <f>IFERROR(INDEX(PP_Grid[#Data],$DE423,8),0)</f>
        <v/>
      </c>
      <c r="L423">
        <f>IFERROR(INDEX(PP_Grid[#Data],$DE423,9),0)</f>
        <v/>
      </c>
      <c r="M423">
        <f>IFERROR(INDEX(PP_Grid[#Data],$DE423,10),0)</f>
        <v/>
      </c>
      <c r="N423">
        <f>IFERROR(INDEX(PP_Grid[#Data],$DE423,11),0)</f>
        <v/>
      </c>
      <c r="O423">
        <f>IFERROR(INDEX(PP_Grid[#Data],$DE423,12),0)</f>
        <v/>
      </c>
      <c r="P423">
        <f>IFERROR(INDEX(PP_Grid[#Data],$DE423,13),0)</f>
        <v/>
      </c>
      <c r="Q423">
        <f>IFERROR(INDEX(PP_Grid[#Data],$DE423,14),0)</f>
        <v/>
      </c>
      <c r="R423">
        <f>IFERROR(INDEX(PP_Grid[#Data],$DE423,15),0)</f>
        <v/>
      </c>
      <c r="S423">
        <f>IFERROR(INDEX(PP_Grid[#Data],$DE423,16),0)</f>
        <v/>
      </c>
      <c r="T423">
        <f>IFERROR(INDEX(PP_Grid[#Data],$DE423,17),0)</f>
        <v/>
      </c>
      <c r="U423">
        <f>IFERROR(INDEX(PP_Grid[#Data],$DE423,18),0)</f>
        <v/>
      </c>
      <c r="V423">
        <f>IFERROR(INDEX(PP_Grid[#Data],$DE423,19),0)</f>
        <v/>
      </c>
      <c r="W423">
        <f>IFERROR(INDEX(PP_Grid[#Data],$DE423,20),0)</f>
        <v/>
      </c>
      <c r="X423">
        <f>IFERROR(INDEX(PP_Grid[#Data],$DE423,21),0)</f>
        <v/>
      </c>
      <c r="Y423">
        <f>IFERROR(INDEX(PP_Grid[#Data],$DE423,22),0)</f>
        <v/>
      </c>
      <c r="Z423">
        <f>IFERROR(INDEX(PP_Grid[#Data],$DE423,23),0)</f>
        <v/>
      </c>
      <c r="AA423">
        <f>IFERROR(INDEX(PP_Grid[#Data],$DE423,24),0)</f>
        <v/>
      </c>
      <c r="AB423">
        <f>IFERROR(INDEX(PP_Grid[#Data],$DE423,25),0)</f>
        <v/>
      </c>
      <c r="AC423">
        <f>IFERROR(INDEX(PP_Grid[#Data],$DE423,26),0)</f>
        <v/>
      </c>
      <c r="AD423">
        <f>IFERROR(INDEX(PP_Grid[#Data],$DE423,27),0)</f>
        <v/>
      </c>
      <c r="AE423">
        <f>IFERROR(INDEX(PP_Grid[#Data],$DE423,28),0)</f>
        <v/>
      </c>
      <c r="AF423">
        <f>IFERROR(INDEX(PP_Grid[#Data],$DE423,29),0)</f>
        <v/>
      </c>
      <c r="AG423">
        <f>IFERROR(INDEX(PP_Grid[#Data],$DE423,30),0)</f>
        <v/>
      </c>
      <c r="AH423">
        <f>IFERROR(INDEX(PP_Grid[#Data],$DE423,31),0)</f>
        <v/>
      </c>
      <c r="AI423">
        <f>IFERROR(INDEX(PP_Grid[#Data],$DE423,32),0)</f>
        <v/>
      </c>
      <c r="AJ423">
        <f>IFERROR(INDEX(PP_Grid[#Data],$DE423,33),0)</f>
        <v/>
      </c>
      <c r="AK423">
        <f>IFERROR(INDEX(PP_Grid[#Data],$DE423,34),0)</f>
        <v/>
      </c>
      <c r="AL423">
        <f>IFERROR(INDEX(PP_Grid[#Data],$DE423,35),0)</f>
        <v/>
      </c>
      <c r="AM423">
        <f>IFERROR(INDEX(PP_Grid[#Data],$DE423,36),0)</f>
        <v/>
      </c>
      <c r="AN423">
        <f>IFERROR(INDEX(PP_Grid[#Data],$DE423,37),0)</f>
        <v/>
      </c>
      <c r="AO423">
        <f>IFERROR(INDEX(PP_Grid[#Data],$DE423,38),0)</f>
        <v/>
      </c>
      <c r="AP423">
        <f>IFERROR(INDEX(PP_Grid[#Data],$DE423,39),0)</f>
        <v/>
      </c>
      <c r="AQ423">
        <f>IFERROR(INDEX(PP_Grid[#Data],$DE423,40),0)</f>
        <v/>
      </c>
      <c r="AR423">
        <f>IFERROR(INDEX(PP_Grid[#Data],$DE423,41),0)</f>
        <v/>
      </c>
      <c r="AS423">
        <f>IFERROR(INDEX(PP_Grid[#Data],$DE423,42),0)</f>
        <v/>
      </c>
      <c r="AT423">
        <f>IFERROR(INDEX(PP_Grid[#Data],$DE423,43),0)</f>
        <v/>
      </c>
      <c r="AU423">
        <f>IFERROR(INDEX(PP_Grid[#Data],$DE423,44),0)</f>
        <v/>
      </c>
      <c r="AV423">
        <f>IFERROR(INDEX(PP_Grid[#Data],$DE423,45),0)</f>
        <v/>
      </c>
      <c r="AW423">
        <f>IFERROR(INDEX(PP_Grid[#Data],$DE423,46),0)</f>
        <v/>
      </c>
      <c r="AX423">
        <f>IFERROR(INDEX(PP_Grid[#Data],$DE423,47),0)</f>
        <v/>
      </c>
      <c r="AY423">
        <f>IFERROR(INDEX(PP_Grid[#Data],$DE423,48),0)</f>
        <v/>
      </c>
      <c r="AZ423">
        <f>IFERROR(INDEX(PP_Grid[#Data],$DE423,49),0)</f>
        <v/>
      </c>
      <c r="BA423">
        <f>IFERROR(INDEX(PP_Grid[#Data],$DE423,50),0)</f>
        <v/>
      </c>
      <c r="BB423">
        <f>IFERROR(INDEX(PP_Grid[#Data],$DE423,51),0)</f>
        <v/>
      </c>
      <c r="BC423">
        <f>IFERROR(INDEX(PP_Grid[#Data],$DE423,52),0)</f>
        <v/>
      </c>
      <c r="BD423">
        <f>IFERROR(INDEX(PP_Grid[#Data],$DE423,53),0)</f>
        <v/>
      </c>
      <c r="BE423">
        <f>IFERROR(INDEX(PP_Grid[#Data],$DE423,54),0)</f>
        <v/>
      </c>
      <c r="BF423">
        <f>IFERROR(INDEX(PP_Grid[#Data],$DE423,55),0)</f>
        <v/>
      </c>
      <c r="BG423">
        <f>IFERROR(INDEX(PP_Grid[#Data],$DE423,56),0)</f>
        <v/>
      </c>
      <c r="BH423">
        <f>IFERROR(INDEX(PP_Grid[#Data],$DE423,57),0)</f>
        <v/>
      </c>
      <c r="BI423">
        <f>IFERROR(INDEX(PP_Grid[#Data],$DE423,58),0)</f>
        <v/>
      </c>
      <c r="BJ423">
        <f>IFERROR(INDEX(PP_Grid[#Data],$DE423,59),0)</f>
        <v/>
      </c>
      <c r="BK423">
        <f>IFERROR(INDEX(PP_Grid[#Data],$DE423,60),0)</f>
        <v/>
      </c>
      <c r="BL423">
        <f>IFERROR(INDEX(PP_Grid[#Data],$DE423,61),0)</f>
        <v/>
      </c>
      <c r="BM423">
        <f>IFERROR(INDEX(PP_Grid[#Data],$DE423,62),0)</f>
        <v/>
      </c>
      <c r="BN423">
        <f>IFERROR(INDEX(PP_Grid[#Data],$DE423,63),0)</f>
        <v/>
      </c>
      <c r="BO423">
        <f>IFERROR(INDEX(PP_Grid[#Data],$DE423,64),0)</f>
        <v/>
      </c>
      <c r="BP423">
        <f>IFERROR(INDEX(PP_Grid[#Data],$DE423,65),0)</f>
        <v/>
      </c>
      <c r="BQ423">
        <f>IFERROR(INDEX(PP_Grid[#Data],$DE423,66),0)</f>
        <v/>
      </c>
      <c r="BR423">
        <f>IFERROR(INDEX(PP_Grid[#Data],$DE423,67),0)</f>
        <v/>
      </c>
      <c r="BS423">
        <f>IFERROR(INDEX(PP_Grid[#Data],$DE423,68),0)</f>
        <v/>
      </c>
      <c r="BT423">
        <f>IFERROR(INDEX(PP_Grid[#Data],$DE423,69),0)</f>
        <v/>
      </c>
      <c r="BU423">
        <f>IFERROR(INDEX(PP_Grid[#Data],$DE423,70),0)</f>
        <v/>
      </c>
      <c r="BV423">
        <f>IFERROR(INDEX(PP_Grid[#Data],$DE423,71),0)</f>
        <v/>
      </c>
      <c r="BW423">
        <f>IFERROR(INDEX(PP_Grid[#Data],$DE423,72),0)</f>
        <v/>
      </c>
      <c r="BX423">
        <f>IFERROR(INDEX(PP_Grid[#Data],$DE423,73),0)</f>
        <v/>
      </c>
      <c r="BY423">
        <f>IFERROR(INDEX(PP_Grid[#Data],$DE423,74),0)</f>
        <v/>
      </c>
      <c r="BZ423">
        <f>IFERROR(INDEX(PP_Grid[#Data],$DE423,75),0)</f>
        <v/>
      </c>
      <c r="CA423">
        <f>IFERROR(INDEX(PP_Grid[#Data],$DE423,76),0)</f>
        <v/>
      </c>
      <c r="CB423">
        <f>IFERROR(INDEX(PP_Grid[#Data],$DE423,77),0)</f>
        <v/>
      </c>
      <c r="CC423">
        <f>IFERROR(INDEX(PP_Grid[#Data],$DE423,78),0)</f>
        <v/>
      </c>
      <c r="CD423">
        <f>IFERROR(INDEX(PP_Grid[#Data],$DE423,79),0)</f>
        <v/>
      </c>
      <c r="CE423">
        <f>IFERROR(INDEX(PP_Grid[#Data],$DE423,80),0)</f>
        <v/>
      </c>
      <c r="CF423">
        <f>IFERROR(INDEX(PP_Grid[#Data],$DE423,81),0)</f>
        <v/>
      </c>
      <c r="CG423">
        <f>IFERROR(INDEX(PP_Grid[#Data],$DE423,82),0)</f>
        <v/>
      </c>
      <c r="CH423">
        <f>IFERROR(INDEX(PP_Grid[#Data],$DE423,83),0)</f>
        <v/>
      </c>
      <c r="CI423">
        <f>IFERROR(INDEX(PP_Grid[#Data],$DE423,84),0)</f>
        <v/>
      </c>
      <c r="CJ423">
        <f>IFERROR(INDEX(PP_Grid[#Data],$DE423,85),0)</f>
        <v/>
      </c>
      <c r="CK423">
        <f>IFERROR(INDEX(PP_Grid[#Data],$DE423,86),0)</f>
        <v/>
      </c>
      <c r="CL423">
        <f>IFERROR(INDEX(PP_Grid[#Data],$DE423,87),0)</f>
        <v/>
      </c>
      <c r="CM423">
        <f>IFERROR(INDEX(PP_Grid[#Data],$DE423,88),0)</f>
        <v/>
      </c>
      <c r="CN423">
        <f>IFERROR(INDEX(PP_Grid[#Data],$DE423,89),0)</f>
        <v/>
      </c>
      <c r="CO423">
        <f>IFERROR(INDEX(PP_Grid[#Data],$DE423,90),0)</f>
        <v/>
      </c>
      <c r="CP423">
        <f>IFERROR(INDEX(PP_Grid[#Data],$DE423,91),0)</f>
        <v/>
      </c>
      <c r="CQ423">
        <f>IFERROR(INDEX(PP_Grid[#Data],$DE423,92),0)</f>
        <v/>
      </c>
      <c r="CR423">
        <f>IFERROR(INDEX(PP_Grid[#Data],$DE423,93),0)</f>
        <v/>
      </c>
      <c r="CS423">
        <f>IFERROR(INDEX(PP_Grid[#Data],$DE423,94),0)</f>
        <v/>
      </c>
      <c r="CT423">
        <f>IFERROR(INDEX(PP_Grid[#Data],$DE423,95),0)</f>
        <v/>
      </c>
      <c r="CU423">
        <f>IFERROR(INDEX(PP_Grid[#Data],$DE423,96),0)</f>
        <v/>
      </c>
      <c r="CV423">
        <f>IFERROR(INDEX(PP_Grid[#Data],$DE423,97),0)</f>
        <v/>
      </c>
      <c r="CW423">
        <f>IFERROR(INDEX(PP_Grid[#Data],$DE423,98),0)</f>
        <v/>
      </c>
      <c r="CX423">
        <f>IFERROR(INDEX(PP_Grid[#Data],$DE423,99),0)</f>
        <v/>
      </c>
      <c r="CY423">
        <f>IFERROR(INDEX(PP_Grid[#Data],$DE423,100),0)</f>
        <v/>
      </c>
      <c r="CZ423">
        <f>IFERROR(INDEX(PP_Grid[#Data],$DE423,101),0)</f>
        <v/>
      </c>
      <c r="DA423">
        <f>IFERROR(INDEX(PP_Grid[#Data],$DE423,102),0)</f>
        <v/>
      </c>
      <c r="DB423">
        <f>IFERROR(INDEX(PP_Grid[#Data],$DE423,103),0)</f>
        <v/>
      </c>
      <c r="DC423">
        <f>IFERROR(INDEX(PP_Grid[#Data],$DE423,104),0)</f>
        <v/>
      </c>
      <c r="DD423">
        <f>IFERROR(INDEX(PP_Grid[#Data],$DE423,105),0)</f>
        <v/>
      </c>
      <c r="DE423" s="7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SUMIFS(M_BOM[RM_Qty_Per_Batch],M_BOM[Intermediate],$B423,M_BOM[RM_Code],$A340)</f>
        <v/>
      </c>
      <c r="D424">
        <f>IFERROR(INDEX(E424:DD424,$F$1),"")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  <c r="DD424">
        <f>$C424*DD423</f>
        <v/>
      </c>
    </row>
    <row r="425">
      <c r="B425" t="inlineStr">
        <is>
          <t>TSP-927</t>
        </is>
      </c>
      <c r="C425" t="inlineStr">
        <is>
          <t>No. of batches</t>
        </is>
      </c>
      <c r="D425">
        <f>IFERROR(INDEX(E425:DD425,$F$1),"")</f>
        <v/>
      </c>
      <c r="E425">
        <f>IFERROR(INDEX(PP_Grid[#Data],$DE425,2),0)</f>
        <v/>
      </c>
      <c r="F425">
        <f>IFERROR(INDEX(PP_Grid[#Data],$DE425,3),0)</f>
        <v/>
      </c>
      <c r="G425">
        <f>IFERROR(INDEX(PP_Grid[#Data],$DE425,4),0)</f>
        <v/>
      </c>
      <c r="H425">
        <f>IFERROR(INDEX(PP_Grid[#Data],$DE425,5),0)</f>
        <v/>
      </c>
      <c r="I425">
        <f>IFERROR(INDEX(PP_Grid[#Data],$DE425,6),0)</f>
        <v/>
      </c>
      <c r="J425">
        <f>IFERROR(INDEX(PP_Grid[#Data],$DE425,7),0)</f>
        <v/>
      </c>
      <c r="K425">
        <f>IFERROR(INDEX(PP_Grid[#Data],$DE425,8),0)</f>
        <v/>
      </c>
      <c r="L425">
        <f>IFERROR(INDEX(PP_Grid[#Data],$DE425,9),0)</f>
        <v/>
      </c>
      <c r="M425">
        <f>IFERROR(INDEX(PP_Grid[#Data],$DE425,10),0)</f>
        <v/>
      </c>
      <c r="N425">
        <f>IFERROR(INDEX(PP_Grid[#Data],$DE425,11),0)</f>
        <v/>
      </c>
      <c r="O425">
        <f>IFERROR(INDEX(PP_Grid[#Data],$DE425,12),0)</f>
        <v/>
      </c>
      <c r="P425">
        <f>IFERROR(INDEX(PP_Grid[#Data],$DE425,13),0)</f>
        <v/>
      </c>
      <c r="Q425">
        <f>IFERROR(INDEX(PP_Grid[#Data],$DE425,14),0)</f>
        <v/>
      </c>
      <c r="R425">
        <f>IFERROR(INDEX(PP_Grid[#Data],$DE425,15),0)</f>
        <v/>
      </c>
      <c r="S425">
        <f>IFERROR(INDEX(PP_Grid[#Data],$DE425,16),0)</f>
        <v/>
      </c>
      <c r="T425">
        <f>IFERROR(INDEX(PP_Grid[#Data],$DE425,17),0)</f>
        <v/>
      </c>
      <c r="U425">
        <f>IFERROR(INDEX(PP_Grid[#Data],$DE425,18),0)</f>
        <v/>
      </c>
      <c r="V425">
        <f>IFERROR(INDEX(PP_Grid[#Data],$DE425,19),0)</f>
        <v/>
      </c>
      <c r="W425">
        <f>IFERROR(INDEX(PP_Grid[#Data],$DE425,20),0)</f>
        <v/>
      </c>
      <c r="X425">
        <f>IFERROR(INDEX(PP_Grid[#Data],$DE425,21),0)</f>
        <v/>
      </c>
      <c r="Y425">
        <f>IFERROR(INDEX(PP_Grid[#Data],$DE425,22),0)</f>
        <v/>
      </c>
      <c r="Z425">
        <f>IFERROR(INDEX(PP_Grid[#Data],$DE425,23),0)</f>
        <v/>
      </c>
      <c r="AA425">
        <f>IFERROR(INDEX(PP_Grid[#Data],$DE425,24),0)</f>
        <v/>
      </c>
      <c r="AB425">
        <f>IFERROR(INDEX(PP_Grid[#Data],$DE425,25),0)</f>
        <v/>
      </c>
      <c r="AC425">
        <f>IFERROR(INDEX(PP_Grid[#Data],$DE425,26),0)</f>
        <v/>
      </c>
      <c r="AD425">
        <f>IFERROR(INDEX(PP_Grid[#Data],$DE425,27),0)</f>
        <v/>
      </c>
      <c r="AE425">
        <f>IFERROR(INDEX(PP_Grid[#Data],$DE425,28),0)</f>
        <v/>
      </c>
      <c r="AF425">
        <f>IFERROR(INDEX(PP_Grid[#Data],$DE425,29),0)</f>
        <v/>
      </c>
      <c r="AG425">
        <f>IFERROR(INDEX(PP_Grid[#Data],$DE425,30),0)</f>
        <v/>
      </c>
      <c r="AH425">
        <f>IFERROR(INDEX(PP_Grid[#Data],$DE425,31),0)</f>
        <v/>
      </c>
      <c r="AI425">
        <f>IFERROR(INDEX(PP_Grid[#Data],$DE425,32),0)</f>
        <v/>
      </c>
      <c r="AJ425">
        <f>IFERROR(INDEX(PP_Grid[#Data],$DE425,33),0)</f>
        <v/>
      </c>
      <c r="AK425">
        <f>IFERROR(INDEX(PP_Grid[#Data],$DE425,34),0)</f>
        <v/>
      </c>
      <c r="AL425">
        <f>IFERROR(INDEX(PP_Grid[#Data],$DE425,35),0)</f>
        <v/>
      </c>
      <c r="AM425">
        <f>IFERROR(INDEX(PP_Grid[#Data],$DE425,36),0)</f>
        <v/>
      </c>
      <c r="AN425">
        <f>IFERROR(INDEX(PP_Grid[#Data],$DE425,37),0)</f>
        <v/>
      </c>
      <c r="AO425">
        <f>IFERROR(INDEX(PP_Grid[#Data],$DE425,38),0)</f>
        <v/>
      </c>
      <c r="AP425">
        <f>IFERROR(INDEX(PP_Grid[#Data],$DE425,39),0)</f>
        <v/>
      </c>
      <c r="AQ425">
        <f>IFERROR(INDEX(PP_Grid[#Data],$DE425,40),0)</f>
        <v/>
      </c>
      <c r="AR425">
        <f>IFERROR(INDEX(PP_Grid[#Data],$DE425,41),0)</f>
        <v/>
      </c>
      <c r="AS425">
        <f>IFERROR(INDEX(PP_Grid[#Data],$DE425,42),0)</f>
        <v/>
      </c>
      <c r="AT425">
        <f>IFERROR(INDEX(PP_Grid[#Data],$DE425,43),0)</f>
        <v/>
      </c>
      <c r="AU425">
        <f>IFERROR(INDEX(PP_Grid[#Data],$DE425,44),0)</f>
        <v/>
      </c>
      <c r="AV425">
        <f>IFERROR(INDEX(PP_Grid[#Data],$DE425,45),0)</f>
        <v/>
      </c>
      <c r="AW425">
        <f>IFERROR(INDEX(PP_Grid[#Data],$DE425,46),0)</f>
        <v/>
      </c>
      <c r="AX425">
        <f>IFERROR(INDEX(PP_Grid[#Data],$DE425,47),0)</f>
        <v/>
      </c>
      <c r="AY425">
        <f>IFERROR(INDEX(PP_Grid[#Data],$DE425,48),0)</f>
        <v/>
      </c>
      <c r="AZ425">
        <f>IFERROR(INDEX(PP_Grid[#Data],$DE425,49),0)</f>
        <v/>
      </c>
      <c r="BA425">
        <f>IFERROR(INDEX(PP_Grid[#Data],$DE425,50),0)</f>
        <v/>
      </c>
      <c r="BB425">
        <f>IFERROR(INDEX(PP_Grid[#Data],$DE425,51),0)</f>
        <v/>
      </c>
      <c r="BC425">
        <f>IFERROR(INDEX(PP_Grid[#Data],$DE425,52),0)</f>
        <v/>
      </c>
      <c r="BD425">
        <f>IFERROR(INDEX(PP_Grid[#Data],$DE425,53),0)</f>
        <v/>
      </c>
      <c r="BE425">
        <f>IFERROR(INDEX(PP_Grid[#Data],$DE425,54),0)</f>
        <v/>
      </c>
      <c r="BF425">
        <f>IFERROR(INDEX(PP_Grid[#Data],$DE425,55),0)</f>
        <v/>
      </c>
      <c r="BG425">
        <f>IFERROR(INDEX(PP_Grid[#Data],$DE425,56),0)</f>
        <v/>
      </c>
      <c r="BH425">
        <f>IFERROR(INDEX(PP_Grid[#Data],$DE425,57),0)</f>
        <v/>
      </c>
      <c r="BI425">
        <f>IFERROR(INDEX(PP_Grid[#Data],$DE425,58),0)</f>
        <v/>
      </c>
      <c r="BJ425">
        <f>IFERROR(INDEX(PP_Grid[#Data],$DE425,59),0)</f>
        <v/>
      </c>
      <c r="BK425">
        <f>IFERROR(INDEX(PP_Grid[#Data],$DE425,60),0)</f>
        <v/>
      </c>
      <c r="BL425">
        <f>IFERROR(INDEX(PP_Grid[#Data],$DE425,61),0)</f>
        <v/>
      </c>
      <c r="BM425">
        <f>IFERROR(INDEX(PP_Grid[#Data],$DE425,62),0)</f>
        <v/>
      </c>
      <c r="BN425">
        <f>IFERROR(INDEX(PP_Grid[#Data],$DE425,63),0)</f>
        <v/>
      </c>
      <c r="BO425">
        <f>IFERROR(INDEX(PP_Grid[#Data],$DE425,64),0)</f>
        <v/>
      </c>
      <c r="BP425">
        <f>IFERROR(INDEX(PP_Grid[#Data],$DE425,65),0)</f>
        <v/>
      </c>
      <c r="BQ425">
        <f>IFERROR(INDEX(PP_Grid[#Data],$DE425,66),0)</f>
        <v/>
      </c>
      <c r="BR425">
        <f>IFERROR(INDEX(PP_Grid[#Data],$DE425,67),0)</f>
        <v/>
      </c>
      <c r="BS425">
        <f>IFERROR(INDEX(PP_Grid[#Data],$DE425,68),0)</f>
        <v/>
      </c>
      <c r="BT425">
        <f>IFERROR(INDEX(PP_Grid[#Data],$DE425,69),0)</f>
        <v/>
      </c>
      <c r="BU425">
        <f>IFERROR(INDEX(PP_Grid[#Data],$DE425,70),0)</f>
        <v/>
      </c>
      <c r="BV425">
        <f>IFERROR(INDEX(PP_Grid[#Data],$DE425,71),0)</f>
        <v/>
      </c>
      <c r="BW425">
        <f>IFERROR(INDEX(PP_Grid[#Data],$DE425,72),0)</f>
        <v/>
      </c>
      <c r="BX425">
        <f>IFERROR(INDEX(PP_Grid[#Data],$DE425,73),0)</f>
        <v/>
      </c>
      <c r="BY425">
        <f>IFERROR(INDEX(PP_Grid[#Data],$DE425,74),0)</f>
        <v/>
      </c>
      <c r="BZ425">
        <f>IFERROR(INDEX(PP_Grid[#Data],$DE425,75),0)</f>
        <v/>
      </c>
      <c r="CA425">
        <f>IFERROR(INDEX(PP_Grid[#Data],$DE425,76),0)</f>
        <v/>
      </c>
      <c r="CB425">
        <f>IFERROR(INDEX(PP_Grid[#Data],$DE425,77),0)</f>
        <v/>
      </c>
      <c r="CC425">
        <f>IFERROR(INDEX(PP_Grid[#Data],$DE425,78),0)</f>
        <v/>
      </c>
      <c r="CD425">
        <f>IFERROR(INDEX(PP_Grid[#Data],$DE425,79),0)</f>
        <v/>
      </c>
      <c r="CE425">
        <f>IFERROR(INDEX(PP_Grid[#Data],$DE425,80),0)</f>
        <v/>
      </c>
      <c r="CF425">
        <f>IFERROR(INDEX(PP_Grid[#Data],$DE425,81),0)</f>
        <v/>
      </c>
      <c r="CG425">
        <f>IFERROR(INDEX(PP_Grid[#Data],$DE425,82),0)</f>
        <v/>
      </c>
      <c r="CH425">
        <f>IFERROR(INDEX(PP_Grid[#Data],$DE425,83),0)</f>
        <v/>
      </c>
      <c r="CI425">
        <f>IFERROR(INDEX(PP_Grid[#Data],$DE425,84),0)</f>
        <v/>
      </c>
      <c r="CJ425">
        <f>IFERROR(INDEX(PP_Grid[#Data],$DE425,85),0)</f>
        <v/>
      </c>
      <c r="CK425">
        <f>IFERROR(INDEX(PP_Grid[#Data],$DE425,86),0)</f>
        <v/>
      </c>
      <c r="CL425">
        <f>IFERROR(INDEX(PP_Grid[#Data],$DE425,87),0)</f>
        <v/>
      </c>
      <c r="CM425">
        <f>IFERROR(INDEX(PP_Grid[#Data],$DE425,88),0)</f>
        <v/>
      </c>
      <c r="CN425">
        <f>IFERROR(INDEX(PP_Grid[#Data],$DE425,89),0)</f>
        <v/>
      </c>
      <c r="CO425">
        <f>IFERROR(INDEX(PP_Grid[#Data],$DE425,90),0)</f>
        <v/>
      </c>
      <c r="CP425">
        <f>IFERROR(INDEX(PP_Grid[#Data],$DE425,91),0)</f>
        <v/>
      </c>
      <c r="CQ425">
        <f>IFERROR(INDEX(PP_Grid[#Data],$DE425,92),0)</f>
        <v/>
      </c>
      <c r="CR425">
        <f>IFERROR(INDEX(PP_Grid[#Data],$DE425,93),0)</f>
        <v/>
      </c>
      <c r="CS425">
        <f>IFERROR(INDEX(PP_Grid[#Data],$DE425,94),0)</f>
        <v/>
      </c>
      <c r="CT425">
        <f>IFERROR(INDEX(PP_Grid[#Data],$DE425,95),0)</f>
        <v/>
      </c>
      <c r="CU425">
        <f>IFERROR(INDEX(PP_Grid[#Data],$DE425,96),0)</f>
        <v/>
      </c>
      <c r="CV425">
        <f>IFERROR(INDEX(PP_Grid[#Data],$DE425,97),0)</f>
        <v/>
      </c>
      <c r="CW425">
        <f>IFERROR(INDEX(PP_Grid[#Data],$DE425,98),0)</f>
        <v/>
      </c>
      <c r="CX425">
        <f>IFERROR(INDEX(PP_Grid[#Data],$DE425,99),0)</f>
        <v/>
      </c>
      <c r="CY425">
        <f>IFERROR(INDEX(PP_Grid[#Data],$DE425,100),0)</f>
        <v/>
      </c>
      <c r="CZ425">
        <f>IFERROR(INDEX(PP_Grid[#Data],$DE425,101),0)</f>
        <v/>
      </c>
      <c r="DA425">
        <f>IFERROR(INDEX(PP_Grid[#Data],$DE425,102),0)</f>
        <v/>
      </c>
      <c r="DB425">
        <f>IFERROR(INDEX(PP_Grid[#Data],$DE425,103),0)</f>
        <v/>
      </c>
      <c r="DC425">
        <f>IFERROR(INDEX(PP_Grid[#Data],$DE425,104),0)</f>
        <v/>
      </c>
      <c r="DD425">
        <f>IFERROR(INDEX(PP_Grid[#Data],$DE425,105),0)</f>
        <v/>
      </c>
      <c r="DE425" s="7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SUMIFS(M_BOM[RM_Qty_Per_Batch],M_BOM[Intermediate],$B425,M_BOM[RM_Code],$A340)</f>
        <v/>
      </c>
      <c r="D426">
        <f>IFERROR(INDEX(E426:DD426,$F$1),"")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  <c r="DD426">
        <f>$C426*DD425</f>
        <v/>
      </c>
    </row>
    <row r="427">
      <c r="B427" t="inlineStr">
        <is>
          <t>TSP-928</t>
        </is>
      </c>
      <c r="C427" t="inlineStr">
        <is>
          <t>No. of batches</t>
        </is>
      </c>
      <c r="D427">
        <f>IFERROR(INDEX(E427:DD427,$F$1),"")</f>
        <v/>
      </c>
      <c r="E427">
        <f>IFERROR(INDEX(PP_Grid[#Data],$DE427,2),0)</f>
        <v/>
      </c>
      <c r="F427">
        <f>IFERROR(INDEX(PP_Grid[#Data],$DE427,3),0)</f>
        <v/>
      </c>
      <c r="G427">
        <f>IFERROR(INDEX(PP_Grid[#Data],$DE427,4),0)</f>
        <v/>
      </c>
      <c r="H427">
        <f>IFERROR(INDEX(PP_Grid[#Data],$DE427,5),0)</f>
        <v/>
      </c>
      <c r="I427">
        <f>IFERROR(INDEX(PP_Grid[#Data],$DE427,6),0)</f>
        <v/>
      </c>
      <c r="J427">
        <f>IFERROR(INDEX(PP_Grid[#Data],$DE427,7),0)</f>
        <v/>
      </c>
      <c r="K427">
        <f>IFERROR(INDEX(PP_Grid[#Data],$DE427,8),0)</f>
        <v/>
      </c>
      <c r="L427">
        <f>IFERROR(INDEX(PP_Grid[#Data],$DE427,9),0)</f>
        <v/>
      </c>
      <c r="M427">
        <f>IFERROR(INDEX(PP_Grid[#Data],$DE427,10),0)</f>
        <v/>
      </c>
      <c r="N427">
        <f>IFERROR(INDEX(PP_Grid[#Data],$DE427,11),0)</f>
        <v/>
      </c>
      <c r="O427">
        <f>IFERROR(INDEX(PP_Grid[#Data],$DE427,12),0)</f>
        <v/>
      </c>
      <c r="P427">
        <f>IFERROR(INDEX(PP_Grid[#Data],$DE427,13),0)</f>
        <v/>
      </c>
      <c r="Q427">
        <f>IFERROR(INDEX(PP_Grid[#Data],$DE427,14),0)</f>
        <v/>
      </c>
      <c r="R427">
        <f>IFERROR(INDEX(PP_Grid[#Data],$DE427,15),0)</f>
        <v/>
      </c>
      <c r="S427">
        <f>IFERROR(INDEX(PP_Grid[#Data],$DE427,16),0)</f>
        <v/>
      </c>
      <c r="T427">
        <f>IFERROR(INDEX(PP_Grid[#Data],$DE427,17),0)</f>
        <v/>
      </c>
      <c r="U427">
        <f>IFERROR(INDEX(PP_Grid[#Data],$DE427,18),0)</f>
        <v/>
      </c>
      <c r="V427">
        <f>IFERROR(INDEX(PP_Grid[#Data],$DE427,19),0)</f>
        <v/>
      </c>
      <c r="W427">
        <f>IFERROR(INDEX(PP_Grid[#Data],$DE427,20),0)</f>
        <v/>
      </c>
      <c r="X427">
        <f>IFERROR(INDEX(PP_Grid[#Data],$DE427,21),0)</f>
        <v/>
      </c>
      <c r="Y427">
        <f>IFERROR(INDEX(PP_Grid[#Data],$DE427,22),0)</f>
        <v/>
      </c>
      <c r="Z427">
        <f>IFERROR(INDEX(PP_Grid[#Data],$DE427,23),0)</f>
        <v/>
      </c>
      <c r="AA427">
        <f>IFERROR(INDEX(PP_Grid[#Data],$DE427,24),0)</f>
        <v/>
      </c>
      <c r="AB427">
        <f>IFERROR(INDEX(PP_Grid[#Data],$DE427,25),0)</f>
        <v/>
      </c>
      <c r="AC427">
        <f>IFERROR(INDEX(PP_Grid[#Data],$DE427,26),0)</f>
        <v/>
      </c>
      <c r="AD427">
        <f>IFERROR(INDEX(PP_Grid[#Data],$DE427,27),0)</f>
        <v/>
      </c>
      <c r="AE427">
        <f>IFERROR(INDEX(PP_Grid[#Data],$DE427,28),0)</f>
        <v/>
      </c>
      <c r="AF427">
        <f>IFERROR(INDEX(PP_Grid[#Data],$DE427,29),0)</f>
        <v/>
      </c>
      <c r="AG427">
        <f>IFERROR(INDEX(PP_Grid[#Data],$DE427,30),0)</f>
        <v/>
      </c>
      <c r="AH427">
        <f>IFERROR(INDEX(PP_Grid[#Data],$DE427,31),0)</f>
        <v/>
      </c>
      <c r="AI427">
        <f>IFERROR(INDEX(PP_Grid[#Data],$DE427,32),0)</f>
        <v/>
      </c>
      <c r="AJ427">
        <f>IFERROR(INDEX(PP_Grid[#Data],$DE427,33),0)</f>
        <v/>
      </c>
      <c r="AK427">
        <f>IFERROR(INDEX(PP_Grid[#Data],$DE427,34),0)</f>
        <v/>
      </c>
      <c r="AL427">
        <f>IFERROR(INDEX(PP_Grid[#Data],$DE427,35),0)</f>
        <v/>
      </c>
      <c r="AM427">
        <f>IFERROR(INDEX(PP_Grid[#Data],$DE427,36),0)</f>
        <v/>
      </c>
      <c r="AN427">
        <f>IFERROR(INDEX(PP_Grid[#Data],$DE427,37),0)</f>
        <v/>
      </c>
      <c r="AO427">
        <f>IFERROR(INDEX(PP_Grid[#Data],$DE427,38),0)</f>
        <v/>
      </c>
      <c r="AP427">
        <f>IFERROR(INDEX(PP_Grid[#Data],$DE427,39),0)</f>
        <v/>
      </c>
      <c r="AQ427">
        <f>IFERROR(INDEX(PP_Grid[#Data],$DE427,40),0)</f>
        <v/>
      </c>
      <c r="AR427">
        <f>IFERROR(INDEX(PP_Grid[#Data],$DE427,41),0)</f>
        <v/>
      </c>
      <c r="AS427">
        <f>IFERROR(INDEX(PP_Grid[#Data],$DE427,42),0)</f>
        <v/>
      </c>
      <c r="AT427">
        <f>IFERROR(INDEX(PP_Grid[#Data],$DE427,43),0)</f>
        <v/>
      </c>
      <c r="AU427">
        <f>IFERROR(INDEX(PP_Grid[#Data],$DE427,44),0)</f>
        <v/>
      </c>
      <c r="AV427">
        <f>IFERROR(INDEX(PP_Grid[#Data],$DE427,45),0)</f>
        <v/>
      </c>
      <c r="AW427">
        <f>IFERROR(INDEX(PP_Grid[#Data],$DE427,46),0)</f>
        <v/>
      </c>
      <c r="AX427">
        <f>IFERROR(INDEX(PP_Grid[#Data],$DE427,47),0)</f>
        <v/>
      </c>
      <c r="AY427">
        <f>IFERROR(INDEX(PP_Grid[#Data],$DE427,48),0)</f>
        <v/>
      </c>
      <c r="AZ427">
        <f>IFERROR(INDEX(PP_Grid[#Data],$DE427,49),0)</f>
        <v/>
      </c>
      <c r="BA427">
        <f>IFERROR(INDEX(PP_Grid[#Data],$DE427,50),0)</f>
        <v/>
      </c>
      <c r="BB427">
        <f>IFERROR(INDEX(PP_Grid[#Data],$DE427,51),0)</f>
        <v/>
      </c>
      <c r="BC427">
        <f>IFERROR(INDEX(PP_Grid[#Data],$DE427,52),0)</f>
        <v/>
      </c>
      <c r="BD427">
        <f>IFERROR(INDEX(PP_Grid[#Data],$DE427,53),0)</f>
        <v/>
      </c>
      <c r="BE427">
        <f>IFERROR(INDEX(PP_Grid[#Data],$DE427,54),0)</f>
        <v/>
      </c>
      <c r="BF427">
        <f>IFERROR(INDEX(PP_Grid[#Data],$DE427,55),0)</f>
        <v/>
      </c>
      <c r="BG427">
        <f>IFERROR(INDEX(PP_Grid[#Data],$DE427,56),0)</f>
        <v/>
      </c>
      <c r="BH427">
        <f>IFERROR(INDEX(PP_Grid[#Data],$DE427,57),0)</f>
        <v/>
      </c>
      <c r="BI427">
        <f>IFERROR(INDEX(PP_Grid[#Data],$DE427,58),0)</f>
        <v/>
      </c>
      <c r="BJ427">
        <f>IFERROR(INDEX(PP_Grid[#Data],$DE427,59),0)</f>
        <v/>
      </c>
      <c r="BK427">
        <f>IFERROR(INDEX(PP_Grid[#Data],$DE427,60),0)</f>
        <v/>
      </c>
      <c r="BL427">
        <f>IFERROR(INDEX(PP_Grid[#Data],$DE427,61),0)</f>
        <v/>
      </c>
      <c r="BM427">
        <f>IFERROR(INDEX(PP_Grid[#Data],$DE427,62),0)</f>
        <v/>
      </c>
      <c r="BN427">
        <f>IFERROR(INDEX(PP_Grid[#Data],$DE427,63),0)</f>
        <v/>
      </c>
      <c r="BO427">
        <f>IFERROR(INDEX(PP_Grid[#Data],$DE427,64),0)</f>
        <v/>
      </c>
      <c r="BP427">
        <f>IFERROR(INDEX(PP_Grid[#Data],$DE427,65),0)</f>
        <v/>
      </c>
      <c r="BQ427">
        <f>IFERROR(INDEX(PP_Grid[#Data],$DE427,66),0)</f>
        <v/>
      </c>
      <c r="BR427">
        <f>IFERROR(INDEX(PP_Grid[#Data],$DE427,67),0)</f>
        <v/>
      </c>
      <c r="BS427">
        <f>IFERROR(INDEX(PP_Grid[#Data],$DE427,68),0)</f>
        <v/>
      </c>
      <c r="BT427">
        <f>IFERROR(INDEX(PP_Grid[#Data],$DE427,69),0)</f>
        <v/>
      </c>
      <c r="BU427">
        <f>IFERROR(INDEX(PP_Grid[#Data],$DE427,70),0)</f>
        <v/>
      </c>
      <c r="BV427">
        <f>IFERROR(INDEX(PP_Grid[#Data],$DE427,71),0)</f>
        <v/>
      </c>
      <c r="BW427">
        <f>IFERROR(INDEX(PP_Grid[#Data],$DE427,72),0)</f>
        <v/>
      </c>
      <c r="BX427">
        <f>IFERROR(INDEX(PP_Grid[#Data],$DE427,73),0)</f>
        <v/>
      </c>
      <c r="BY427">
        <f>IFERROR(INDEX(PP_Grid[#Data],$DE427,74),0)</f>
        <v/>
      </c>
      <c r="BZ427">
        <f>IFERROR(INDEX(PP_Grid[#Data],$DE427,75),0)</f>
        <v/>
      </c>
      <c r="CA427">
        <f>IFERROR(INDEX(PP_Grid[#Data],$DE427,76),0)</f>
        <v/>
      </c>
      <c r="CB427">
        <f>IFERROR(INDEX(PP_Grid[#Data],$DE427,77),0)</f>
        <v/>
      </c>
      <c r="CC427">
        <f>IFERROR(INDEX(PP_Grid[#Data],$DE427,78),0)</f>
        <v/>
      </c>
      <c r="CD427">
        <f>IFERROR(INDEX(PP_Grid[#Data],$DE427,79),0)</f>
        <v/>
      </c>
      <c r="CE427">
        <f>IFERROR(INDEX(PP_Grid[#Data],$DE427,80),0)</f>
        <v/>
      </c>
      <c r="CF427">
        <f>IFERROR(INDEX(PP_Grid[#Data],$DE427,81),0)</f>
        <v/>
      </c>
      <c r="CG427">
        <f>IFERROR(INDEX(PP_Grid[#Data],$DE427,82),0)</f>
        <v/>
      </c>
      <c r="CH427">
        <f>IFERROR(INDEX(PP_Grid[#Data],$DE427,83),0)</f>
        <v/>
      </c>
      <c r="CI427">
        <f>IFERROR(INDEX(PP_Grid[#Data],$DE427,84),0)</f>
        <v/>
      </c>
      <c r="CJ427">
        <f>IFERROR(INDEX(PP_Grid[#Data],$DE427,85),0)</f>
        <v/>
      </c>
      <c r="CK427">
        <f>IFERROR(INDEX(PP_Grid[#Data],$DE427,86),0)</f>
        <v/>
      </c>
      <c r="CL427">
        <f>IFERROR(INDEX(PP_Grid[#Data],$DE427,87),0)</f>
        <v/>
      </c>
      <c r="CM427">
        <f>IFERROR(INDEX(PP_Grid[#Data],$DE427,88),0)</f>
        <v/>
      </c>
      <c r="CN427">
        <f>IFERROR(INDEX(PP_Grid[#Data],$DE427,89),0)</f>
        <v/>
      </c>
      <c r="CO427">
        <f>IFERROR(INDEX(PP_Grid[#Data],$DE427,90),0)</f>
        <v/>
      </c>
      <c r="CP427">
        <f>IFERROR(INDEX(PP_Grid[#Data],$DE427,91),0)</f>
        <v/>
      </c>
      <c r="CQ427">
        <f>IFERROR(INDEX(PP_Grid[#Data],$DE427,92),0)</f>
        <v/>
      </c>
      <c r="CR427">
        <f>IFERROR(INDEX(PP_Grid[#Data],$DE427,93),0)</f>
        <v/>
      </c>
      <c r="CS427">
        <f>IFERROR(INDEX(PP_Grid[#Data],$DE427,94),0)</f>
        <v/>
      </c>
      <c r="CT427">
        <f>IFERROR(INDEX(PP_Grid[#Data],$DE427,95),0)</f>
        <v/>
      </c>
      <c r="CU427">
        <f>IFERROR(INDEX(PP_Grid[#Data],$DE427,96),0)</f>
        <v/>
      </c>
      <c r="CV427">
        <f>IFERROR(INDEX(PP_Grid[#Data],$DE427,97),0)</f>
        <v/>
      </c>
      <c r="CW427">
        <f>IFERROR(INDEX(PP_Grid[#Data],$DE427,98),0)</f>
        <v/>
      </c>
      <c r="CX427">
        <f>IFERROR(INDEX(PP_Grid[#Data],$DE427,99),0)</f>
        <v/>
      </c>
      <c r="CY427">
        <f>IFERROR(INDEX(PP_Grid[#Data],$DE427,100),0)</f>
        <v/>
      </c>
      <c r="CZ427">
        <f>IFERROR(INDEX(PP_Grid[#Data],$DE427,101),0)</f>
        <v/>
      </c>
      <c r="DA427">
        <f>IFERROR(INDEX(PP_Grid[#Data],$DE427,102),0)</f>
        <v/>
      </c>
      <c r="DB427">
        <f>IFERROR(INDEX(PP_Grid[#Data],$DE427,103),0)</f>
        <v/>
      </c>
      <c r="DC427">
        <f>IFERROR(INDEX(PP_Grid[#Data],$DE427,104),0)</f>
        <v/>
      </c>
      <c r="DD427">
        <f>IFERROR(INDEX(PP_Grid[#Data],$DE427,105),0)</f>
        <v/>
      </c>
      <c r="DE427" s="7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SUMIFS(M_BOM[RM_Qty_Per_Batch],M_BOM[Intermediate],$B427,M_BOM[RM_Code],$A340)</f>
        <v/>
      </c>
      <c r="D428">
        <f>IFERROR(INDEX(E428:DD428,$F$1),"")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  <c r="DD428">
        <f>$C428*DD427</f>
        <v/>
      </c>
    </row>
    <row r="429">
      <c r="B429" t="inlineStr">
        <is>
          <t>TSP-929</t>
        </is>
      </c>
      <c r="C429" t="inlineStr">
        <is>
          <t>No. of batches</t>
        </is>
      </c>
      <c r="D429">
        <f>IFERROR(INDEX(E429:DD429,$F$1),"")</f>
        <v/>
      </c>
      <c r="E429">
        <f>IFERROR(INDEX(PP_Grid[#Data],$DE429,2),0)</f>
        <v/>
      </c>
      <c r="F429">
        <f>IFERROR(INDEX(PP_Grid[#Data],$DE429,3),0)</f>
        <v/>
      </c>
      <c r="G429">
        <f>IFERROR(INDEX(PP_Grid[#Data],$DE429,4),0)</f>
        <v/>
      </c>
      <c r="H429">
        <f>IFERROR(INDEX(PP_Grid[#Data],$DE429,5),0)</f>
        <v/>
      </c>
      <c r="I429">
        <f>IFERROR(INDEX(PP_Grid[#Data],$DE429,6),0)</f>
        <v/>
      </c>
      <c r="J429">
        <f>IFERROR(INDEX(PP_Grid[#Data],$DE429,7),0)</f>
        <v/>
      </c>
      <c r="K429">
        <f>IFERROR(INDEX(PP_Grid[#Data],$DE429,8),0)</f>
        <v/>
      </c>
      <c r="L429">
        <f>IFERROR(INDEX(PP_Grid[#Data],$DE429,9),0)</f>
        <v/>
      </c>
      <c r="M429">
        <f>IFERROR(INDEX(PP_Grid[#Data],$DE429,10),0)</f>
        <v/>
      </c>
      <c r="N429">
        <f>IFERROR(INDEX(PP_Grid[#Data],$DE429,11),0)</f>
        <v/>
      </c>
      <c r="O429">
        <f>IFERROR(INDEX(PP_Grid[#Data],$DE429,12),0)</f>
        <v/>
      </c>
      <c r="P429">
        <f>IFERROR(INDEX(PP_Grid[#Data],$DE429,13),0)</f>
        <v/>
      </c>
      <c r="Q429">
        <f>IFERROR(INDEX(PP_Grid[#Data],$DE429,14),0)</f>
        <v/>
      </c>
      <c r="R429">
        <f>IFERROR(INDEX(PP_Grid[#Data],$DE429,15),0)</f>
        <v/>
      </c>
      <c r="S429">
        <f>IFERROR(INDEX(PP_Grid[#Data],$DE429,16),0)</f>
        <v/>
      </c>
      <c r="T429">
        <f>IFERROR(INDEX(PP_Grid[#Data],$DE429,17),0)</f>
        <v/>
      </c>
      <c r="U429">
        <f>IFERROR(INDEX(PP_Grid[#Data],$DE429,18),0)</f>
        <v/>
      </c>
      <c r="V429">
        <f>IFERROR(INDEX(PP_Grid[#Data],$DE429,19),0)</f>
        <v/>
      </c>
      <c r="W429">
        <f>IFERROR(INDEX(PP_Grid[#Data],$DE429,20),0)</f>
        <v/>
      </c>
      <c r="X429">
        <f>IFERROR(INDEX(PP_Grid[#Data],$DE429,21),0)</f>
        <v/>
      </c>
      <c r="Y429">
        <f>IFERROR(INDEX(PP_Grid[#Data],$DE429,22),0)</f>
        <v/>
      </c>
      <c r="Z429">
        <f>IFERROR(INDEX(PP_Grid[#Data],$DE429,23),0)</f>
        <v/>
      </c>
      <c r="AA429">
        <f>IFERROR(INDEX(PP_Grid[#Data],$DE429,24),0)</f>
        <v/>
      </c>
      <c r="AB429">
        <f>IFERROR(INDEX(PP_Grid[#Data],$DE429,25),0)</f>
        <v/>
      </c>
      <c r="AC429">
        <f>IFERROR(INDEX(PP_Grid[#Data],$DE429,26),0)</f>
        <v/>
      </c>
      <c r="AD429">
        <f>IFERROR(INDEX(PP_Grid[#Data],$DE429,27),0)</f>
        <v/>
      </c>
      <c r="AE429">
        <f>IFERROR(INDEX(PP_Grid[#Data],$DE429,28),0)</f>
        <v/>
      </c>
      <c r="AF429">
        <f>IFERROR(INDEX(PP_Grid[#Data],$DE429,29),0)</f>
        <v/>
      </c>
      <c r="AG429">
        <f>IFERROR(INDEX(PP_Grid[#Data],$DE429,30),0)</f>
        <v/>
      </c>
      <c r="AH429">
        <f>IFERROR(INDEX(PP_Grid[#Data],$DE429,31),0)</f>
        <v/>
      </c>
      <c r="AI429">
        <f>IFERROR(INDEX(PP_Grid[#Data],$DE429,32),0)</f>
        <v/>
      </c>
      <c r="AJ429">
        <f>IFERROR(INDEX(PP_Grid[#Data],$DE429,33),0)</f>
        <v/>
      </c>
      <c r="AK429">
        <f>IFERROR(INDEX(PP_Grid[#Data],$DE429,34),0)</f>
        <v/>
      </c>
      <c r="AL429">
        <f>IFERROR(INDEX(PP_Grid[#Data],$DE429,35),0)</f>
        <v/>
      </c>
      <c r="AM429">
        <f>IFERROR(INDEX(PP_Grid[#Data],$DE429,36),0)</f>
        <v/>
      </c>
      <c r="AN429">
        <f>IFERROR(INDEX(PP_Grid[#Data],$DE429,37),0)</f>
        <v/>
      </c>
      <c r="AO429">
        <f>IFERROR(INDEX(PP_Grid[#Data],$DE429,38),0)</f>
        <v/>
      </c>
      <c r="AP429">
        <f>IFERROR(INDEX(PP_Grid[#Data],$DE429,39),0)</f>
        <v/>
      </c>
      <c r="AQ429">
        <f>IFERROR(INDEX(PP_Grid[#Data],$DE429,40),0)</f>
        <v/>
      </c>
      <c r="AR429">
        <f>IFERROR(INDEX(PP_Grid[#Data],$DE429,41),0)</f>
        <v/>
      </c>
      <c r="AS429">
        <f>IFERROR(INDEX(PP_Grid[#Data],$DE429,42),0)</f>
        <v/>
      </c>
      <c r="AT429">
        <f>IFERROR(INDEX(PP_Grid[#Data],$DE429,43),0)</f>
        <v/>
      </c>
      <c r="AU429">
        <f>IFERROR(INDEX(PP_Grid[#Data],$DE429,44),0)</f>
        <v/>
      </c>
      <c r="AV429">
        <f>IFERROR(INDEX(PP_Grid[#Data],$DE429,45),0)</f>
        <v/>
      </c>
      <c r="AW429">
        <f>IFERROR(INDEX(PP_Grid[#Data],$DE429,46),0)</f>
        <v/>
      </c>
      <c r="AX429">
        <f>IFERROR(INDEX(PP_Grid[#Data],$DE429,47),0)</f>
        <v/>
      </c>
      <c r="AY429">
        <f>IFERROR(INDEX(PP_Grid[#Data],$DE429,48),0)</f>
        <v/>
      </c>
      <c r="AZ429">
        <f>IFERROR(INDEX(PP_Grid[#Data],$DE429,49),0)</f>
        <v/>
      </c>
      <c r="BA429">
        <f>IFERROR(INDEX(PP_Grid[#Data],$DE429,50),0)</f>
        <v/>
      </c>
      <c r="BB429">
        <f>IFERROR(INDEX(PP_Grid[#Data],$DE429,51),0)</f>
        <v/>
      </c>
      <c r="BC429">
        <f>IFERROR(INDEX(PP_Grid[#Data],$DE429,52),0)</f>
        <v/>
      </c>
      <c r="BD429">
        <f>IFERROR(INDEX(PP_Grid[#Data],$DE429,53),0)</f>
        <v/>
      </c>
      <c r="BE429">
        <f>IFERROR(INDEX(PP_Grid[#Data],$DE429,54),0)</f>
        <v/>
      </c>
      <c r="BF429">
        <f>IFERROR(INDEX(PP_Grid[#Data],$DE429,55),0)</f>
        <v/>
      </c>
      <c r="BG429">
        <f>IFERROR(INDEX(PP_Grid[#Data],$DE429,56),0)</f>
        <v/>
      </c>
      <c r="BH429">
        <f>IFERROR(INDEX(PP_Grid[#Data],$DE429,57),0)</f>
        <v/>
      </c>
      <c r="BI429">
        <f>IFERROR(INDEX(PP_Grid[#Data],$DE429,58),0)</f>
        <v/>
      </c>
      <c r="BJ429">
        <f>IFERROR(INDEX(PP_Grid[#Data],$DE429,59),0)</f>
        <v/>
      </c>
      <c r="BK429">
        <f>IFERROR(INDEX(PP_Grid[#Data],$DE429,60),0)</f>
        <v/>
      </c>
      <c r="BL429">
        <f>IFERROR(INDEX(PP_Grid[#Data],$DE429,61),0)</f>
        <v/>
      </c>
      <c r="BM429">
        <f>IFERROR(INDEX(PP_Grid[#Data],$DE429,62),0)</f>
        <v/>
      </c>
      <c r="BN429">
        <f>IFERROR(INDEX(PP_Grid[#Data],$DE429,63),0)</f>
        <v/>
      </c>
      <c r="BO429">
        <f>IFERROR(INDEX(PP_Grid[#Data],$DE429,64),0)</f>
        <v/>
      </c>
      <c r="BP429">
        <f>IFERROR(INDEX(PP_Grid[#Data],$DE429,65),0)</f>
        <v/>
      </c>
      <c r="BQ429">
        <f>IFERROR(INDEX(PP_Grid[#Data],$DE429,66),0)</f>
        <v/>
      </c>
      <c r="BR429">
        <f>IFERROR(INDEX(PP_Grid[#Data],$DE429,67),0)</f>
        <v/>
      </c>
      <c r="BS429">
        <f>IFERROR(INDEX(PP_Grid[#Data],$DE429,68),0)</f>
        <v/>
      </c>
      <c r="BT429">
        <f>IFERROR(INDEX(PP_Grid[#Data],$DE429,69),0)</f>
        <v/>
      </c>
      <c r="BU429">
        <f>IFERROR(INDEX(PP_Grid[#Data],$DE429,70),0)</f>
        <v/>
      </c>
      <c r="BV429">
        <f>IFERROR(INDEX(PP_Grid[#Data],$DE429,71),0)</f>
        <v/>
      </c>
      <c r="BW429">
        <f>IFERROR(INDEX(PP_Grid[#Data],$DE429,72),0)</f>
        <v/>
      </c>
      <c r="BX429">
        <f>IFERROR(INDEX(PP_Grid[#Data],$DE429,73),0)</f>
        <v/>
      </c>
      <c r="BY429">
        <f>IFERROR(INDEX(PP_Grid[#Data],$DE429,74),0)</f>
        <v/>
      </c>
      <c r="BZ429">
        <f>IFERROR(INDEX(PP_Grid[#Data],$DE429,75),0)</f>
        <v/>
      </c>
      <c r="CA429">
        <f>IFERROR(INDEX(PP_Grid[#Data],$DE429,76),0)</f>
        <v/>
      </c>
      <c r="CB429">
        <f>IFERROR(INDEX(PP_Grid[#Data],$DE429,77),0)</f>
        <v/>
      </c>
      <c r="CC429">
        <f>IFERROR(INDEX(PP_Grid[#Data],$DE429,78),0)</f>
        <v/>
      </c>
      <c r="CD429">
        <f>IFERROR(INDEX(PP_Grid[#Data],$DE429,79),0)</f>
        <v/>
      </c>
      <c r="CE429">
        <f>IFERROR(INDEX(PP_Grid[#Data],$DE429,80),0)</f>
        <v/>
      </c>
      <c r="CF429">
        <f>IFERROR(INDEX(PP_Grid[#Data],$DE429,81),0)</f>
        <v/>
      </c>
      <c r="CG429">
        <f>IFERROR(INDEX(PP_Grid[#Data],$DE429,82),0)</f>
        <v/>
      </c>
      <c r="CH429">
        <f>IFERROR(INDEX(PP_Grid[#Data],$DE429,83),0)</f>
        <v/>
      </c>
      <c r="CI429">
        <f>IFERROR(INDEX(PP_Grid[#Data],$DE429,84),0)</f>
        <v/>
      </c>
      <c r="CJ429">
        <f>IFERROR(INDEX(PP_Grid[#Data],$DE429,85),0)</f>
        <v/>
      </c>
      <c r="CK429">
        <f>IFERROR(INDEX(PP_Grid[#Data],$DE429,86),0)</f>
        <v/>
      </c>
      <c r="CL429">
        <f>IFERROR(INDEX(PP_Grid[#Data],$DE429,87),0)</f>
        <v/>
      </c>
      <c r="CM429">
        <f>IFERROR(INDEX(PP_Grid[#Data],$DE429,88),0)</f>
        <v/>
      </c>
      <c r="CN429">
        <f>IFERROR(INDEX(PP_Grid[#Data],$DE429,89),0)</f>
        <v/>
      </c>
      <c r="CO429">
        <f>IFERROR(INDEX(PP_Grid[#Data],$DE429,90),0)</f>
        <v/>
      </c>
      <c r="CP429">
        <f>IFERROR(INDEX(PP_Grid[#Data],$DE429,91),0)</f>
        <v/>
      </c>
      <c r="CQ429">
        <f>IFERROR(INDEX(PP_Grid[#Data],$DE429,92),0)</f>
        <v/>
      </c>
      <c r="CR429">
        <f>IFERROR(INDEX(PP_Grid[#Data],$DE429,93),0)</f>
        <v/>
      </c>
      <c r="CS429">
        <f>IFERROR(INDEX(PP_Grid[#Data],$DE429,94),0)</f>
        <v/>
      </c>
      <c r="CT429">
        <f>IFERROR(INDEX(PP_Grid[#Data],$DE429,95),0)</f>
        <v/>
      </c>
      <c r="CU429">
        <f>IFERROR(INDEX(PP_Grid[#Data],$DE429,96),0)</f>
        <v/>
      </c>
      <c r="CV429">
        <f>IFERROR(INDEX(PP_Grid[#Data],$DE429,97),0)</f>
        <v/>
      </c>
      <c r="CW429">
        <f>IFERROR(INDEX(PP_Grid[#Data],$DE429,98),0)</f>
        <v/>
      </c>
      <c r="CX429">
        <f>IFERROR(INDEX(PP_Grid[#Data],$DE429,99),0)</f>
        <v/>
      </c>
      <c r="CY429">
        <f>IFERROR(INDEX(PP_Grid[#Data],$DE429,100),0)</f>
        <v/>
      </c>
      <c r="CZ429">
        <f>IFERROR(INDEX(PP_Grid[#Data],$DE429,101),0)</f>
        <v/>
      </c>
      <c r="DA429">
        <f>IFERROR(INDEX(PP_Grid[#Data],$DE429,102),0)</f>
        <v/>
      </c>
      <c r="DB429">
        <f>IFERROR(INDEX(PP_Grid[#Data],$DE429,103),0)</f>
        <v/>
      </c>
      <c r="DC429">
        <f>IFERROR(INDEX(PP_Grid[#Data],$DE429,104),0)</f>
        <v/>
      </c>
      <c r="DD429">
        <f>IFERROR(INDEX(PP_Grid[#Data],$DE429,105),0)</f>
        <v/>
      </c>
      <c r="DE429" s="7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SUMIFS(M_BOM[RM_Qty_Per_Batch],M_BOM[Intermediate],$B429,M_BOM[RM_Code],$A340)</f>
        <v/>
      </c>
      <c r="D430">
        <f>IFERROR(INDEX(E430:DD430,$F$1),"")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  <c r="DD430">
        <f>$C430*DD429</f>
        <v/>
      </c>
    </row>
    <row r="431">
      <c r="B431" t="inlineStr">
        <is>
          <t>TSP-930</t>
        </is>
      </c>
      <c r="C431" t="inlineStr">
        <is>
          <t>No. of batches</t>
        </is>
      </c>
      <c r="D431">
        <f>IFERROR(INDEX(E431:DD431,$F$1),"")</f>
        <v/>
      </c>
      <c r="E431">
        <f>IFERROR(INDEX(PP_Grid[#Data],$DE431,2),0)</f>
        <v/>
      </c>
      <c r="F431">
        <f>IFERROR(INDEX(PP_Grid[#Data],$DE431,3),0)</f>
        <v/>
      </c>
      <c r="G431">
        <f>IFERROR(INDEX(PP_Grid[#Data],$DE431,4),0)</f>
        <v/>
      </c>
      <c r="H431">
        <f>IFERROR(INDEX(PP_Grid[#Data],$DE431,5),0)</f>
        <v/>
      </c>
      <c r="I431">
        <f>IFERROR(INDEX(PP_Grid[#Data],$DE431,6),0)</f>
        <v/>
      </c>
      <c r="J431">
        <f>IFERROR(INDEX(PP_Grid[#Data],$DE431,7),0)</f>
        <v/>
      </c>
      <c r="K431">
        <f>IFERROR(INDEX(PP_Grid[#Data],$DE431,8),0)</f>
        <v/>
      </c>
      <c r="L431">
        <f>IFERROR(INDEX(PP_Grid[#Data],$DE431,9),0)</f>
        <v/>
      </c>
      <c r="M431">
        <f>IFERROR(INDEX(PP_Grid[#Data],$DE431,10),0)</f>
        <v/>
      </c>
      <c r="N431">
        <f>IFERROR(INDEX(PP_Grid[#Data],$DE431,11),0)</f>
        <v/>
      </c>
      <c r="O431">
        <f>IFERROR(INDEX(PP_Grid[#Data],$DE431,12),0)</f>
        <v/>
      </c>
      <c r="P431">
        <f>IFERROR(INDEX(PP_Grid[#Data],$DE431,13),0)</f>
        <v/>
      </c>
      <c r="Q431">
        <f>IFERROR(INDEX(PP_Grid[#Data],$DE431,14),0)</f>
        <v/>
      </c>
      <c r="R431">
        <f>IFERROR(INDEX(PP_Grid[#Data],$DE431,15),0)</f>
        <v/>
      </c>
      <c r="S431">
        <f>IFERROR(INDEX(PP_Grid[#Data],$DE431,16),0)</f>
        <v/>
      </c>
      <c r="T431">
        <f>IFERROR(INDEX(PP_Grid[#Data],$DE431,17),0)</f>
        <v/>
      </c>
      <c r="U431">
        <f>IFERROR(INDEX(PP_Grid[#Data],$DE431,18),0)</f>
        <v/>
      </c>
      <c r="V431">
        <f>IFERROR(INDEX(PP_Grid[#Data],$DE431,19),0)</f>
        <v/>
      </c>
      <c r="W431">
        <f>IFERROR(INDEX(PP_Grid[#Data],$DE431,20),0)</f>
        <v/>
      </c>
      <c r="X431">
        <f>IFERROR(INDEX(PP_Grid[#Data],$DE431,21),0)</f>
        <v/>
      </c>
      <c r="Y431">
        <f>IFERROR(INDEX(PP_Grid[#Data],$DE431,22),0)</f>
        <v/>
      </c>
      <c r="Z431">
        <f>IFERROR(INDEX(PP_Grid[#Data],$DE431,23),0)</f>
        <v/>
      </c>
      <c r="AA431">
        <f>IFERROR(INDEX(PP_Grid[#Data],$DE431,24),0)</f>
        <v/>
      </c>
      <c r="AB431">
        <f>IFERROR(INDEX(PP_Grid[#Data],$DE431,25),0)</f>
        <v/>
      </c>
      <c r="AC431">
        <f>IFERROR(INDEX(PP_Grid[#Data],$DE431,26),0)</f>
        <v/>
      </c>
      <c r="AD431">
        <f>IFERROR(INDEX(PP_Grid[#Data],$DE431,27),0)</f>
        <v/>
      </c>
      <c r="AE431">
        <f>IFERROR(INDEX(PP_Grid[#Data],$DE431,28),0)</f>
        <v/>
      </c>
      <c r="AF431">
        <f>IFERROR(INDEX(PP_Grid[#Data],$DE431,29),0)</f>
        <v/>
      </c>
      <c r="AG431">
        <f>IFERROR(INDEX(PP_Grid[#Data],$DE431,30),0)</f>
        <v/>
      </c>
      <c r="AH431">
        <f>IFERROR(INDEX(PP_Grid[#Data],$DE431,31),0)</f>
        <v/>
      </c>
      <c r="AI431">
        <f>IFERROR(INDEX(PP_Grid[#Data],$DE431,32),0)</f>
        <v/>
      </c>
      <c r="AJ431">
        <f>IFERROR(INDEX(PP_Grid[#Data],$DE431,33),0)</f>
        <v/>
      </c>
      <c r="AK431">
        <f>IFERROR(INDEX(PP_Grid[#Data],$DE431,34),0)</f>
        <v/>
      </c>
      <c r="AL431">
        <f>IFERROR(INDEX(PP_Grid[#Data],$DE431,35),0)</f>
        <v/>
      </c>
      <c r="AM431">
        <f>IFERROR(INDEX(PP_Grid[#Data],$DE431,36),0)</f>
        <v/>
      </c>
      <c r="AN431">
        <f>IFERROR(INDEX(PP_Grid[#Data],$DE431,37),0)</f>
        <v/>
      </c>
      <c r="AO431">
        <f>IFERROR(INDEX(PP_Grid[#Data],$DE431,38),0)</f>
        <v/>
      </c>
      <c r="AP431">
        <f>IFERROR(INDEX(PP_Grid[#Data],$DE431,39),0)</f>
        <v/>
      </c>
      <c r="AQ431">
        <f>IFERROR(INDEX(PP_Grid[#Data],$DE431,40),0)</f>
        <v/>
      </c>
      <c r="AR431">
        <f>IFERROR(INDEX(PP_Grid[#Data],$DE431,41),0)</f>
        <v/>
      </c>
      <c r="AS431">
        <f>IFERROR(INDEX(PP_Grid[#Data],$DE431,42),0)</f>
        <v/>
      </c>
      <c r="AT431">
        <f>IFERROR(INDEX(PP_Grid[#Data],$DE431,43),0)</f>
        <v/>
      </c>
      <c r="AU431">
        <f>IFERROR(INDEX(PP_Grid[#Data],$DE431,44),0)</f>
        <v/>
      </c>
      <c r="AV431">
        <f>IFERROR(INDEX(PP_Grid[#Data],$DE431,45),0)</f>
        <v/>
      </c>
      <c r="AW431">
        <f>IFERROR(INDEX(PP_Grid[#Data],$DE431,46),0)</f>
        <v/>
      </c>
      <c r="AX431">
        <f>IFERROR(INDEX(PP_Grid[#Data],$DE431,47),0)</f>
        <v/>
      </c>
      <c r="AY431">
        <f>IFERROR(INDEX(PP_Grid[#Data],$DE431,48),0)</f>
        <v/>
      </c>
      <c r="AZ431">
        <f>IFERROR(INDEX(PP_Grid[#Data],$DE431,49),0)</f>
        <v/>
      </c>
      <c r="BA431">
        <f>IFERROR(INDEX(PP_Grid[#Data],$DE431,50),0)</f>
        <v/>
      </c>
      <c r="BB431">
        <f>IFERROR(INDEX(PP_Grid[#Data],$DE431,51),0)</f>
        <v/>
      </c>
      <c r="BC431">
        <f>IFERROR(INDEX(PP_Grid[#Data],$DE431,52),0)</f>
        <v/>
      </c>
      <c r="BD431">
        <f>IFERROR(INDEX(PP_Grid[#Data],$DE431,53),0)</f>
        <v/>
      </c>
      <c r="BE431">
        <f>IFERROR(INDEX(PP_Grid[#Data],$DE431,54),0)</f>
        <v/>
      </c>
      <c r="BF431">
        <f>IFERROR(INDEX(PP_Grid[#Data],$DE431,55),0)</f>
        <v/>
      </c>
      <c r="BG431">
        <f>IFERROR(INDEX(PP_Grid[#Data],$DE431,56),0)</f>
        <v/>
      </c>
      <c r="BH431">
        <f>IFERROR(INDEX(PP_Grid[#Data],$DE431,57),0)</f>
        <v/>
      </c>
      <c r="BI431">
        <f>IFERROR(INDEX(PP_Grid[#Data],$DE431,58),0)</f>
        <v/>
      </c>
      <c r="BJ431">
        <f>IFERROR(INDEX(PP_Grid[#Data],$DE431,59),0)</f>
        <v/>
      </c>
      <c r="BK431">
        <f>IFERROR(INDEX(PP_Grid[#Data],$DE431,60),0)</f>
        <v/>
      </c>
      <c r="BL431">
        <f>IFERROR(INDEX(PP_Grid[#Data],$DE431,61),0)</f>
        <v/>
      </c>
      <c r="BM431">
        <f>IFERROR(INDEX(PP_Grid[#Data],$DE431,62),0)</f>
        <v/>
      </c>
      <c r="BN431">
        <f>IFERROR(INDEX(PP_Grid[#Data],$DE431,63),0)</f>
        <v/>
      </c>
      <c r="BO431">
        <f>IFERROR(INDEX(PP_Grid[#Data],$DE431,64),0)</f>
        <v/>
      </c>
      <c r="BP431">
        <f>IFERROR(INDEX(PP_Grid[#Data],$DE431,65),0)</f>
        <v/>
      </c>
      <c r="BQ431">
        <f>IFERROR(INDEX(PP_Grid[#Data],$DE431,66),0)</f>
        <v/>
      </c>
      <c r="BR431">
        <f>IFERROR(INDEX(PP_Grid[#Data],$DE431,67),0)</f>
        <v/>
      </c>
      <c r="BS431">
        <f>IFERROR(INDEX(PP_Grid[#Data],$DE431,68),0)</f>
        <v/>
      </c>
      <c r="BT431">
        <f>IFERROR(INDEX(PP_Grid[#Data],$DE431,69),0)</f>
        <v/>
      </c>
      <c r="BU431">
        <f>IFERROR(INDEX(PP_Grid[#Data],$DE431,70),0)</f>
        <v/>
      </c>
      <c r="BV431">
        <f>IFERROR(INDEX(PP_Grid[#Data],$DE431,71),0)</f>
        <v/>
      </c>
      <c r="BW431">
        <f>IFERROR(INDEX(PP_Grid[#Data],$DE431,72),0)</f>
        <v/>
      </c>
      <c r="BX431">
        <f>IFERROR(INDEX(PP_Grid[#Data],$DE431,73),0)</f>
        <v/>
      </c>
      <c r="BY431">
        <f>IFERROR(INDEX(PP_Grid[#Data],$DE431,74),0)</f>
        <v/>
      </c>
      <c r="BZ431">
        <f>IFERROR(INDEX(PP_Grid[#Data],$DE431,75),0)</f>
        <v/>
      </c>
      <c r="CA431">
        <f>IFERROR(INDEX(PP_Grid[#Data],$DE431,76),0)</f>
        <v/>
      </c>
      <c r="CB431">
        <f>IFERROR(INDEX(PP_Grid[#Data],$DE431,77),0)</f>
        <v/>
      </c>
      <c r="CC431">
        <f>IFERROR(INDEX(PP_Grid[#Data],$DE431,78),0)</f>
        <v/>
      </c>
      <c r="CD431">
        <f>IFERROR(INDEX(PP_Grid[#Data],$DE431,79),0)</f>
        <v/>
      </c>
      <c r="CE431">
        <f>IFERROR(INDEX(PP_Grid[#Data],$DE431,80),0)</f>
        <v/>
      </c>
      <c r="CF431">
        <f>IFERROR(INDEX(PP_Grid[#Data],$DE431,81),0)</f>
        <v/>
      </c>
      <c r="CG431">
        <f>IFERROR(INDEX(PP_Grid[#Data],$DE431,82),0)</f>
        <v/>
      </c>
      <c r="CH431">
        <f>IFERROR(INDEX(PP_Grid[#Data],$DE431,83),0)</f>
        <v/>
      </c>
      <c r="CI431">
        <f>IFERROR(INDEX(PP_Grid[#Data],$DE431,84),0)</f>
        <v/>
      </c>
      <c r="CJ431">
        <f>IFERROR(INDEX(PP_Grid[#Data],$DE431,85),0)</f>
        <v/>
      </c>
      <c r="CK431">
        <f>IFERROR(INDEX(PP_Grid[#Data],$DE431,86),0)</f>
        <v/>
      </c>
      <c r="CL431">
        <f>IFERROR(INDEX(PP_Grid[#Data],$DE431,87),0)</f>
        <v/>
      </c>
      <c r="CM431">
        <f>IFERROR(INDEX(PP_Grid[#Data],$DE431,88),0)</f>
        <v/>
      </c>
      <c r="CN431">
        <f>IFERROR(INDEX(PP_Grid[#Data],$DE431,89),0)</f>
        <v/>
      </c>
      <c r="CO431">
        <f>IFERROR(INDEX(PP_Grid[#Data],$DE431,90),0)</f>
        <v/>
      </c>
      <c r="CP431">
        <f>IFERROR(INDEX(PP_Grid[#Data],$DE431,91),0)</f>
        <v/>
      </c>
      <c r="CQ431">
        <f>IFERROR(INDEX(PP_Grid[#Data],$DE431,92),0)</f>
        <v/>
      </c>
      <c r="CR431">
        <f>IFERROR(INDEX(PP_Grid[#Data],$DE431,93),0)</f>
        <v/>
      </c>
      <c r="CS431">
        <f>IFERROR(INDEX(PP_Grid[#Data],$DE431,94),0)</f>
        <v/>
      </c>
      <c r="CT431">
        <f>IFERROR(INDEX(PP_Grid[#Data],$DE431,95),0)</f>
        <v/>
      </c>
      <c r="CU431">
        <f>IFERROR(INDEX(PP_Grid[#Data],$DE431,96),0)</f>
        <v/>
      </c>
      <c r="CV431">
        <f>IFERROR(INDEX(PP_Grid[#Data],$DE431,97),0)</f>
        <v/>
      </c>
      <c r="CW431">
        <f>IFERROR(INDEX(PP_Grid[#Data],$DE431,98),0)</f>
        <v/>
      </c>
      <c r="CX431">
        <f>IFERROR(INDEX(PP_Grid[#Data],$DE431,99),0)</f>
        <v/>
      </c>
      <c r="CY431">
        <f>IFERROR(INDEX(PP_Grid[#Data],$DE431,100),0)</f>
        <v/>
      </c>
      <c r="CZ431">
        <f>IFERROR(INDEX(PP_Grid[#Data],$DE431,101),0)</f>
        <v/>
      </c>
      <c r="DA431">
        <f>IFERROR(INDEX(PP_Grid[#Data],$DE431,102),0)</f>
        <v/>
      </c>
      <c r="DB431">
        <f>IFERROR(INDEX(PP_Grid[#Data],$DE431,103),0)</f>
        <v/>
      </c>
      <c r="DC431">
        <f>IFERROR(INDEX(PP_Grid[#Data],$DE431,104),0)</f>
        <v/>
      </c>
      <c r="DD431">
        <f>IFERROR(INDEX(PP_Grid[#Data],$DE431,105),0)</f>
        <v/>
      </c>
      <c r="DE431" s="7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SUMIFS(M_BOM[RM_Qty_Per_Batch],M_BOM[Intermediate],$B431,M_BOM[RM_Code],$A340)</f>
        <v/>
      </c>
      <c r="D432">
        <f>IFERROR(INDEX(E432:DD432,$F$1),"")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  <c r="DD432">
        <f>$C432*DD431</f>
        <v/>
      </c>
    </row>
    <row r="433">
      <c r="B433" t="inlineStr">
        <is>
          <t>TSP-934</t>
        </is>
      </c>
      <c r="C433" t="inlineStr">
        <is>
          <t>No. of batches</t>
        </is>
      </c>
      <c r="D433">
        <f>IFERROR(INDEX(E433:DD433,$F$1),"")</f>
        <v/>
      </c>
      <c r="E433">
        <f>IFERROR(INDEX(PP_Grid[#Data],$DE433,2),0)</f>
        <v/>
      </c>
      <c r="F433">
        <f>IFERROR(INDEX(PP_Grid[#Data],$DE433,3),0)</f>
        <v/>
      </c>
      <c r="G433">
        <f>IFERROR(INDEX(PP_Grid[#Data],$DE433,4),0)</f>
        <v/>
      </c>
      <c r="H433">
        <f>IFERROR(INDEX(PP_Grid[#Data],$DE433,5),0)</f>
        <v/>
      </c>
      <c r="I433">
        <f>IFERROR(INDEX(PP_Grid[#Data],$DE433,6),0)</f>
        <v/>
      </c>
      <c r="J433">
        <f>IFERROR(INDEX(PP_Grid[#Data],$DE433,7),0)</f>
        <v/>
      </c>
      <c r="K433">
        <f>IFERROR(INDEX(PP_Grid[#Data],$DE433,8),0)</f>
        <v/>
      </c>
      <c r="L433">
        <f>IFERROR(INDEX(PP_Grid[#Data],$DE433,9),0)</f>
        <v/>
      </c>
      <c r="M433">
        <f>IFERROR(INDEX(PP_Grid[#Data],$DE433,10),0)</f>
        <v/>
      </c>
      <c r="N433">
        <f>IFERROR(INDEX(PP_Grid[#Data],$DE433,11),0)</f>
        <v/>
      </c>
      <c r="O433">
        <f>IFERROR(INDEX(PP_Grid[#Data],$DE433,12),0)</f>
        <v/>
      </c>
      <c r="P433">
        <f>IFERROR(INDEX(PP_Grid[#Data],$DE433,13),0)</f>
        <v/>
      </c>
      <c r="Q433">
        <f>IFERROR(INDEX(PP_Grid[#Data],$DE433,14),0)</f>
        <v/>
      </c>
      <c r="R433">
        <f>IFERROR(INDEX(PP_Grid[#Data],$DE433,15),0)</f>
        <v/>
      </c>
      <c r="S433">
        <f>IFERROR(INDEX(PP_Grid[#Data],$DE433,16),0)</f>
        <v/>
      </c>
      <c r="T433">
        <f>IFERROR(INDEX(PP_Grid[#Data],$DE433,17),0)</f>
        <v/>
      </c>
      <c r="U433">
        <f>IFERROR(INDEX(PP_Grid[#Data],$DE433,18),0)</f>
        <v/>
      </c>
      <c r="V433">
        <f>IFERROR(INDEX(PP_Grid[#Data],$DE433,19),0)</f>
        <v/>
      </c>
      <c r="W433">
        <f>IFERROR(INDEX(PP_Grid[#Data],$DE433,20),0)</f>
        <v/>
      </c>
      <c r="X433">
        <f>IFERROR(INDEX(PP_Grid[#Data],$DE433,21),0)</f>
        <v/>
      </c>
      <c r="Y433">
        <f>IFERROR(INDEX(PP_Grid[#Data],$DE433,22),0)</f>
        <v/>
      </c>
      <c r="Z433">
        <f>IFERROR(INDEX(PP_Grid[#Data],$DE433,23),0)</f>
        <v/>
      </c>
      <c r="AA433">
        <f>IFERROR(INDEX(PP_Grid[#Data],$DE433,24),0)</f>
        <v/>
      </c>
      <c r="AB433">
        <f>IFERROR(INDEX(PP_Grid[#Data],$DE433,25),0)</f>
        <v/>
      </c>
      <c r="AC433">
        <f>IFERROR(INDEX(PP_Grid[#Data],$DE433,26),0)</f>
        <v/>
      </c>
      <c r="AD433">
        <f>IFERROR(INDEX(PP_Grid[#Data],$DE433,27),0)</f>
        <v/>
      </c>
      <c r="AE433">
        <f>IFERROR(INDEX(PP_Grid[#Data],$DE433,28),0)</f>
        <v/>
      </c>
      <c r="AF433">
        <f>IFERROR(INDEX(PP_Grid[#Data],$DE433,29),0)</f>
        <v/>
      </c>
      <c r="AG433">
        <f>IFERROR(INDEX(PP_Grid[#Data],$DE433,30),0)</f>
        <v/>
      </c>
      <c r="AH433">
        <f>IFERROR(INDEX(PP_Grid[#Data],$DE433,31),0)</f>
        <v/>
      </c>
      <c r="AI433">
        <f>IFERROR(INDEX(PP_Grid[#Data],$DE433,32),0)</f>
        <v/>
      </c>
      <c r="AJ433">
        <f>IFERROR(INDEX(PP_Grid[#Data],$DE433,33),0)</f>
        <v/>
      </c>
      <c r="AK433">
        <f>IFERROR(INDEX(PP_Grid[#Data],$DE433,34),0)</f>
        <v/>
      </c>
      <c r="AL433">
        <f>IFERROR(INDEX(PP_Grid[#Data],$DE433,35),0)</f>
        <v/>
      </c>
      <c r="AM433">
        <f>IFERROR(INDEX(PP_Grid[#Data],$DE433,36),0)</f>
        <v/>
      </c>
      <c r="AN433">
        <f>IFERROR(INDEX(PP_Grid[#Data],$DE433,37),0)</f>
        <v/>
      </c>
      <c r="AO433">
        <f>IFERROR(INDEX(PP_Grid[#Data],$DE433,38),0)</f>
        <v/>
      </c>
      <c r="AP433">
        <f>IFERROR(INDEX(PP_Grid[#Data],$DE433,39),0)</f>
        <v/>
      </c>
      <c r="AQ433">
        <f>IFERROR(INDEX(PP_Grid[#Data],$DE433,40),0)</f>
        <v/>
      </c>
      <c r="AR433">
        <f>IFERROR(INDEX(PP_Grid[#Data],$DE433,41),0)</f>
        <v/>
      </c>
      <c r="AS433">
        <f>IFERROR(INDEX(PP_Grid[#Data],$DE433,42),0)</f>
        <v/>
      </c>
      <c r="AT433">
        <f>IFERROR(INDEX(PP_Grid[#Data],$DE433,43),0)</f>
        <v/>
      </c>
      <c r="AU433">
        <f>IFERROR(INDEX(PP_Grid[#Data],$DE433,44),0)</f>
        <v/>
      </c>
      <c r="AV433">
        <f>IFERROR(INDEX(PP_Grid[#Data],$DE433,45),0)</f>
        <v/>
      </c>
      <c r="AW433">
        <f>IFERROR(INDEX(PP_Grid[#Data],$DE433,46),0)</f>
        <v/>
      </c>
      <c r="AX433">
        <f>IFERROR(INDEX(PP_Grid[#Data],$DE433,47),0)</f>
        <v/>
      </c>
      <c r="AY433">
        <f>IFERROR(INDEX(PP_Grid[#Data],$DE433,48),0)</f>
        <v/>
      </c>
      <c r="AZ433">
        <f>IFERROR(INDEX(PP_Grid[#Data],$DE433,49),0)</f>
        <v/>
      </c>
      <c r="BA433">
        <f>IFERROR(INDEX(PP_Grid[#Data],$DE433,50),0)</f>
        <v/>
      </c>
      <c r="BB433">
        <f>IFERROR(INDEX(PP_Grid[#Data],$DE433,51),0)</f>
        <v/>
      </c>
      <c r="BC433">
        <f>IFERROR(INDEX(PP_Grid[#Data],$DE433,52),0)</f>
        <v/>
      </c>
      <c r="BD433">
        <f>IFERROR(INDEX(PP_Grid[#Data],$DE433,53),0)</f>
        <v/>
      </c>
      <c r="BE433">
        <f>IFERROR(INDEX(PP_Grid[#Data],$DE433,54),0)</f>
        <v/>
      </c>
      <c r="BF433">
        <f>IFERROR(INDEX(PP_Grid[#Data],$DE433,55),0)</f>
        <v/>
      </c>
      <c r="BG433">
        <f>IFERROR(INDEX(PP_Grid[#Data],$DE433,56),0)</f>
        <v/>
      </c>
      <c r="BH433">
        <f>IFERROR(INDEX(PP_Grid[#Data],$DE433,57),0)</f>
        <v/>
      </c>
      <c r="BI433">
        <f>IFERROR(INDEX(PP_Grid[#Data],$DE433,58),0)</f>
        <v/>
      </c>
      <c r="BJ433">
        <f>IFERROR(INDEX(PP_Grid[#Data],$DE433,59),0)</f>
        <v/>
      </c>
      <c r="BK433">
        <f>IFERROR(INDEX(PP_Grid[#Data],$DE433,60),0)</f>
        <v/>
      </c>
      <c r="BL433">
        <f>IFERROR(INDEX(PP_Grid[#Data],$DE433,61),0)</f>
        <v/>
      </c>
      <c r="BM433">
        <f>IFERROR(INDEX(PP_Grid[#Data],$DE433,62),0)</f>
        <v/>
      </c>
      <c r="BN433">
        <f>IFERROR(INDEX(PP_Grid[#Data],$DE433,63),0)</f>
        <v/>
      </c>
      <c r="BO433">
        <f>IFERROR(INDEX(PP_Grid[#Data],$DE433,64),0)</f>
        <v/>
      </c>
      <c r="BP433">
        <f>IFERROR(INDEX(PP_Grid[#Data],$DE433,65),0)</f>
        <v/>
      </c>
      <c r="BQ433">
        <f>IFERROR(INDEX(PP_Grid[#Data],$DE433,66),0)</f>
        <v/>
      </c>
      <c r="BR433">
        <f>IFERROR(INDEX(PP_Grid[#Data],$DE433,67),0)</f>
        <v/>
      </c>
      <c r="BS433">
        <f>IFERROR(INDEX(PP_Grid[#Data],$DE433,68),0)</f>
        <v/>
      </c>
      <c r="BT433">
        <f>IFERROR(INDEX(PP_Grid[#Data],$DE433,69),0)</f>
        <v/>
      </c>
      <c r="BU433">
        <f>IFERROR(INDEX(PP_Grid[#Data],$DE433,70),0)</f>
        <v/>
      </c>
      <c r="BV433">
        <f>IFERROR(INDEX(PP_Grid[#Data],$DE433,71),0)</f>
        <v/>
      </c>
      <c r="BW433">
        <f>IFERROR(INDEX(PP_Grid[#Data],$DE433,72),0)</f>
        <v/>
      </c>
      <c r="BX433">
        <f>IFERROR(INDEX(PP_Grid[#Data],$DE433,73),0)</f>
        <v/>
      </c>
      <c r="BY433">
        <f>IFERROR(INDEX(PP_Grid[#Data],$DE433,74),0)</f>
        <v/>
      </c>
      <c r="BZ433">
        <f>IFERROR(INDEX(PP_Grid[#Data],$DE433,75),0)</f>
        <v/>
      </c>
      <c r="CA433">
        <f>IFERROR(INDEX(PP_Grid[#Data],$DE433,76),0)</f>
        <v/>
      </c>
      <c r="CB433">
        <f>IFERROR(INDEX(PP_Grid[#Data],$DE433,77),0)</f>
        <v/>
      </c>
      <c r="CC433">
        <f>IFERROR(INDEX(PP_Grid[#Data],$DE433,78),0)</f>
        <v/>
      </c>
      <c r="CD433">
        <f>IFERROR(INDEX(PP_Grid[#Data],$DE433,79),0)</f>
        <v/>
      </c>
      <c r="CE433">
        <f>IFERROR(INDEX(PP_Grid[#Data],$DE433,80),0)</f>
        <v/>
      </c>
      <c r="CF433">
        <f>IFERROR(INDEX(PP_Grid[#Data],$DE433,81),0)</f>
        <v/>
      </c>
      <c r="CG433">
        <f>IFERROR(INDEX(PP_Grid[#Data],$DE433,82),0)</f>
        <v/>
      </c>
      <c r="CH433">
        <f>IFERROR(INDEX(PP_Grid[#Data],$DE433,83),0)</f>
        <v/>
      </c>
      <c r="CI433">
        <f>IFERROR(INDEX(PP_Grid[#Data],$DE433,84),0)</f>
        <v/>
      </c>
      <c r="CJ433">
        <f>IFERROR(INDEX(PP_Grid[#Data],$DE433,85),0)</f>
        <v/>
      </c>
      <c r="CK433">
        <f>IFERROR(INDEX(PP_Grid[#Data],$DE433,86),0)</f>
        <v/>
      </c>
      <c r="CL433">
        <f>IFERROR(INDEX(PP_Grid[#Data],$DE433,87),0)</f>
        <v/>
      </c>
      <c r="CM433">
        <f>IFERROR(INDEX(PP_Grid[#Data],$DE433,88),0)</f>
        <v/>
      </c>
      <c r="CN433">
        <f>IFERROR(INDEX(PP_Grid[#Data],$DE433,89),0)</f>
        <v/>
      </c>
      <c r="CO433">
        <f>IFERROR(INDEX(PP_Grid[#Data],$DE433,90),0)</f>
        <v/>
      </c>
      <c r="CP433">
        <f>IFERROR(INDEX(PP_Grid[#Data],$DE433,91),0)</f>
        <v/>
      </c>
      <c r="CQ433">
        <f>IFERROR(INDEX(PP_Grid[#Data],$DE433,92),0)</f>
        <v/>
      </c>
      <c r="CR433">
        <f>IFERROR(INDEX(PP_Grid[#Data],$DE433,93),0)</f>
        <v/>
      </c>
      <c r="CS433">
        <f>IFERROR(INDEX(PP_Grid[#Data],$DE433,94),0)</f>
        <v/>
      </c>
      <c r="CT433">
        <f>IFERROR(INDEX(PP_Grid[#Data],$DE433,95),0)</f>
        <v/>
      </c>
      <c r="CU433">
        <f>IFERROR(INDEX(PP_Grid[#Data],$DE433,96),0)</f>
        <v/>
      </c>
      <c r="CV433">
        <f>IFERROR(INDEX(PP_Grid[#Data],$DE433,97),0)</f>
        <v/>
      </c>
      <c r="CW433">
        <f>IFERROR(INDEX(PP_Grid[#Data],$DE433,98),0)</f>
        <v/>
      </c>
      <c r="CX433">
        <f>IFERROR(INDEX(PP_Grid[#Data],$DE433,99),0)</f>
        <v/>
      </c>
      <c r="CY433">
        <f>IFERROR(INDEX(PP_Grid[#Data],$DE433,100),0)</f>
        <v/>
      </c>
      <c r="CZ433">
        <f>IFERROR(INDEX(PP_Grid[#Data],$DE433,101),0)</f>
        <v/>
      </c>
      <c r="DA433">
        <f>IFERROR(INDEX(PP_Grid[#Data],$DE433,102),0)</f>
        <v/>
      </c>
      <c r="DB433">
        <f>IFERROR(INDEX(PP_Grid[#Data],$DE433,103),0)</f>
        <v/>
      </c>
      <c r="DC433">
        <f>IFERROR(INDEX(PP_Grid[#Data],$DE433,104),0)</f>
        <v/>
      </c>
      <c r="DD433">
        <f>IFERROR(INDEX(PP_Grid[#Data],$DE433,105),0)</f>
        <v/>
      </c>
      <c r="DE433" s="7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SUMIFS(M_BOM[RM_Qty_Per_Batch],M_BOM[Intermediate],$B433,M_BOM[RM_Code],$A340)</f>
        <v/>
      </c>
      <c r="D434">
        <f>IFERROR(INDEX(E434:DD434,$F$1),"")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  <c r="DD434">
        <f>$C434*DD433</f>
        <v/>
      </c>
    </row>
    <row r="435">
      <c r="B435" t="inlineStr">
        <is>
          <t>TSP-935</t>
        </is>
      </c>
      <c r="C435" t="inlineStr">
        <is>
          <t>No. of batches</t>
        </is>
      </c>
      <c r="D435">
        <f>IFERROR(INDEX(E435:DD435,$F$1),"")</f>
        <v/>
      </c>
      <c r="E435">
        <f>IFERROR(INDEX(PP_Grid[#Data],$DE435,2),0)</f>
        <v/>
      </c>
      <c r="F435">
        <f>IFERROR(INDEX(PP_Grid[#Data],$DE435,3),0)</f>
        <v/>
      </c>
      <c r="G435">
        <f>IFERROR(INDEX(PP_Grid[#Data],$DE435,4),0)</f>
        <v/>
      </c>
      <c r="H435">
        <f>IFERROR(INDEX(PP_Grid[#Data],$DE435,5),0)</f>
        <v/>
      </c>
      <c r="I435">
        <f>IFERROR(INDEX(PP_Grid[#Data],$DE435,6),0)</f>
        <v/>
      </c>
      <c r="J435">
        <f>IFERROR(INDEX(PP_Grid[#Data],$DE435,7),0)</f>
        <v/>
      </c>
      <c r="K435">
        <f>IFERROR(INDEX(PP_Grid[#Data],$DE435,8),0)</f>
        <v/>
      </c>
      <c r="L435">
        <f>IFERROR(INDEX(PP_Grid[#Data],$DE435,9),0)</f>
        <v/>
      </c>
      <c r="M435">
        <f>IFERROR(INDEX(PP_Grid[#Data],$DE435,10),0)</f>
        <v/>
      </c>
      <c r="N435">
        <f>IFERROR(INDEX(PP_Grid[#Data],$DE435,11),0)</f>
        <v/>
      </c>
      <c r="O435">
        <f>IFERROR(INDEX(PP_Grid[#Data],$DE435,12),0)</f>
        <v/>
      </c>
      <c r="P435">
        <f>IFERROR(INDEX(PP_Grid[#Data],$DE435,13),0)</f>
        <v/>
      </c>
      <c r="Q435">
        <f>IFERROR(INDEX(PP_Grid[#Data],$DE435,14),0)</f>
        <v/>
      </c>
      <c r="R435">
        <f>IFERROR(INDEX(PP_Grid[#Data],$DE435,15),0)</f>
        <v/>
      </c>
      <c r="S435">
        <f>IFERROR(INDEX(PP_Grid[#Data],$DE435,16),0)</f>
        <v/>
      </c>
      <c r="T435">
        <f>IFERROR(INDEX(PP_Grid[#Data],$DE435,17),0)</f>
        <v/>
      </c>
      <c r="U435">
        <f>IFERROR(INDEX(PP_Grid[#Data],$DE435,18),0)</f>
        <v/>
      </c>
      <c r="V435">
        <f>IFERROR(INDEX(PP_Grid[#Data],$DE435,19),0)</f>
        <v/>
      </c>
      <c r="W435">
        <f>IFERROR(INDEX(PP_Grid[#Data],$DE435,20),0)</f>
        <v/>
      </c>
      <c r="X435">
        <f>IFERROR(INDEX(PP_Grid[#Data],$DE435,21),0)</f>
        <v/>
      </c>
      <c r="Y435">
        <f>IFERROR(INDEX(PP_Grid[#Data],$DE435,22),0)</f>
        <v/>
      </c>
      <c r="Z435">
        <f>IFERROR(INDEX(PP_Grid[#Data],$DE435,23),0)</f>
        <v/>
      </c>
      <c r="AA435">
        <f>IFERROR(INDEX(PP_Grid[#Data],$DE435,24),0)</f>
        <v/>
      </c>
      <c r="AB435">
        <f>IFERROR(INDEX(PP_Grid[#Data],$DE435,25),0)</f>
        <v/>
      </c>
      <c r="AC435">
        <f>IFERROR(INDEX(PP_Grid[#Data],$DE435,26),0)</f>
        <v/>
      </c>
      <c r="AD435">
        <f>IFERROR(INDEX(PP_Grid[#Data],$DE435,27),0)</f>
        <v/>
      </c>
      <c r="AE435">
        <f>IFERROR(INDEX(PP_Grid[#Data],$DE435,28),0)</f>
        <v/>
      </c>
      <c r="AF435">
        <f>IFERROR(INDEX(PP_Grid[#Data],$DE435,29),0)</f>
        <v/>
      </c>
      <c r="AG435">
        <f>IFERROR(INDEX(PP_Grid[#Data],$DE435,30),0)</f>
        <v/>
      </c>
      <c r="AH435">
        <f>IFERROR(INDEX(PP_Grid[#Data],$DE435,31),0)</f>
        <v/>
      </c>
      <c r="AI435">
        <f>IFERROR(INDEX(PP_Grid[#Data],$DE435,32),0)</f>
        <v/>
      </c>
      <c r="AJ435">
        <f>IFERROR(INDEX(PP_Grid[#Data],$DE435,33),0)</f>
        <v/>
      </c>
      <c r="AK435">
        <f>IFERROR(INDEX(PP_Grid[#Data],$DE435,34),0)</f>
        <v/>
      </c>
      <c r="AL435">
        <f>IFERROR(INDEX(PP_Grid[#Data],$DE435,35),0)</f>
        <v/>
      </c>
      <c r="AM435">
        <f>IFERROR(INDEX(PP_Grid[#Data],$DE435,36),0)</f>
        <v/>
      </c>
      <c r="AN435">
        <f>IFERROR(INDEX(PP_Grid[#Data],$DE435,37),0)</f>
        <v/>
      </c>
      <c r="AO435">
        <f>IFERROR(INDEX(PP_Grid[#Data],$DE435,38),0)</f>
        <v/>
      </c>
      <c r="AP435">
        <f>IFERROR(INDEX(PP_Grid[#Data],$DE435,39),0)</f>
        <v/>
      </c>
      <c r="AQ435">
        <f>IFERROR(INDEX(PP_Grid[#Data],$DE435,40),0)</f>
        <v/>
      </c>
      <c r="AR435">
        <f>IFERROR(INDEX(PP_Grid[#Data],$DE435,41),0)</f>
        <v/>
      </c>
      <c r="AS435">
        <f>IFERROR(INDEX(PP_Grid[#Data],$DE435,42),0)</f>
        <v/>
      </c>
      <c r="AT435">
        <f>IFERROR(INDEX(PP_Grid[#Data],$DE435,43),0)</f>
        <v/>
      </c>
      <c r="AU435">
        <f>IFERROR(INDEX(PP_Grid[#Data],$DE435,44),0)</f>
        <v/>
      </c>
      <c r="AV435">
        <f>IFERROR(INDEX(PP_Grid[#Data],$DE435,45),0)</f>
        <v/>
      </c>
      <c r="AW435">
        <f>IFERROR(INDEX(PP_Grid[#Data],$DE435,46),0)</f>
        <v/>
      </c>
      <c r="AX435">
        <f>IFERROR(INDEX(PP_Grid[#Data],$DE435,47),0)</f>
        <v/>
      </c>
      <c r="AY435">
        <f>IFERROR(INDEX(PP_Grid[#Data],$DE435,48),0)</f>
        <v/>
      </c>
      <c r="AZ435">
        <f>IFERROR(INDEX(PP_Grid[#Data],$DE435,49),0)</f>
        <v/>
      </c>
      <c r="BA435">
        <f>IFERROR(INDEX(PP_Grid[#Data],$DE435,50),0)</f>
        <v/>
      </c>
      <c r="BB435">
        <f>IFERROR(INDEX(PP_Grid[#Data],$DE435,51),0)</f>
        <v/>
      </c>
      <c r="BC435">
        <f>IFERROR(INDEX(PP_Grid[#Data],$DE435,52),0)</f>
        <v/>
      </c>
      <c r="BD435">
        <f>IFERROR(INDEX(PP_Grid[#Data],$DE435,53),0)</f>
        <v/>
      </c>
      <c r="BE435">
        <f>IFERROR(INDEX(PP_Grid[#Data],$DE435,54),0)</f>
        <v/>
      </c>
      <c r="BF435">
        <f>IFERROR(INDEX(PP_Grid[#Data],$DE435,55),0)</f>
        <v/>
      </c>
      <c r="BG435">
        <f>IFERROR(INDEX(PP_Grid[#Data],$DE435,56),0)</f>
        <v/>
      </c>
      <c r="BH435">
        <f>IFERROR(INDEX(PP_Grid[#Data],$DE435,57),0)</f>
        <v/>
      </c>
      <c r="BI435">
        <f>IFERROR(INDEX(PP_Grid[#Data],$DE435,58),0)</f>
        <v/>
      </c>
      <c r="BJ435">
        <f>IFERROR(INDEX(PP_Grid[#Data],$DE435,59),0)</f>
        <v/>
      </c>
      <c r="BK435">
        <f>IFERROR(INDEX(PP_Grid[#Data],$DE435,60),0)</f>
        <v/>
      </c>
      <c r="BL435">
        <f>IFERROR(INDEX(PP_Grid[#Data],$DE435,61),0)</f>
        <v/>
      </c>
      <c r="BM435">
        <f>IFERROR(INDEX(PP_Grid[#Data],$DE435,62),0)</f>
        <v/>
      </c>
      <c r="BN435">
        <f>IFERROR(INDEX(PP_Grid[#Data],$DE435,63),0)</f>
        <v/>
      </c>
      <c r="BO435">
        <f>IFERROR(INDEX(PP_Grid[#Data],$DE435,64),0)</f>
        <v/>
      </c>
      <c r="BP435">
        <f>IFERROR(INDEX(PP_Grid[#Data],$DE435,65),0)</f>
        <v/>
      </c>
      <c r="BQ435">
        <f>IFERROR(INDEX(PP_Grid[#Data],$DE435,66),0)</f>
        <v/>
      </c>
      <c r="BR435">
        <f>IFERROR(INDEX(PP_Grid[#Data],$DE435,67),0)</f>
        <v/>
      </c>
      <c r="BS435">
        <f>IFERROR(INDEX(PP_Grid[#Data],$DE435,68),0)</f>
        <v/>
      </c>
      <c r="BT435">
        <f>IFERROR(INDEX(PP_Grid[#Data],$DE435,69),0)</f>
        <v/>
      </c>
      <c r="BU435">
        <f>IFERROR(INDEX(PP_Grid[#Data],$DE435,70),0)</f>
        <v/>
      </c>
      <c r="BV435">
        <f>IFERROR(INDEX(PP_Grid[#Data],$DE435,71),0)</f>
        <v/>
      </c>
      <c r="BW435">
        <f>IFERROR(INDEX(PP_Grid[#Data],$DE435,72),0)</f>
        <v/>
      </c>
      <c r="BX435">
        <f>IFERROR(INDEX(PP_Grid[#Data],$DE435,73),0)</f>
        <v/>
      </c>
      <c r="BY435">
        <f>IFERROR(INDEX(PP_Grid[#Data],$DE435,74),0)</f>
        <v/>
      </c>
      <c r="BZ435">
        <f>IFERROR(INDEX(PP_Grid[#Data],$DE435,75),0)</f>
        <v/>
      </c>
      <c r="CA435">
        <f>IFERROR(INDEX(PP_Grid[#Data],$DE435,76),0)</f>
        <v/>
      </c>
      <c r="CB435">
        <f>IFERROR(INDEX(PP_Grid[#Data],$DE435,77),0)</f>
        <v/>
      </c>
      <c r="CC435">
        <f>IFERROR(INDEX(PP_Grid[#Data],$DE435,78),0)</f>
        <v/>
      </c>
      <c r="CD435">
        <f>IFERROR(INDEX(PP_Grid[#Data],$DE435,79),0)</f>
        <v/>
      </c>
      <c r="CE435">
        <f>IFERROR(INDEX(PP_Grid[#Data],$DE435,80),0)</f>
        <v/>
      </c>
      <c r="CF435">
        <f>IFERROR(INDEX(PP_Grid[#Data],$DE435,81),0)</f>
        <v/>
      </c>
      <c r="CG435">
        <f>IFERROR(INDEX(PP_Grid[#Data],$DE435,82),0)</f>
        <v/>
      </c>
      <c r="CH435">
        <f>IFERROR(INDEX(PP_Grid[#Data],$DE435,83),0)</f>
        <v/>
      </c>
      <c r="CI435">
        <f>IFERROR(INDEX(PP_Grid[#Data],$DE435,84),0)</f>
        <v/>
      </c>
      <c r="CJ435">
        <f>IFERROR(INDEX(PP_Grid[#Data],$DE435,85),0)</f>
        <v/>
      </c>
      <c r="CK435">
        <f>IFERROR(INDEX(PP_Grid[#Data],$DE435,86),0)</f>
        <v/>
      </c>
      <c r="CL435">
        <f>IFERROR(INDEX(PP_Grid[#Data],$DE435,87),0)</f>
        <v/>
      </c>
      <c r="CM435">
        <f>IFERROR(INDEX(PP_Grid[#Data],$DE435,88),0)</f>
        <v/>
      </c>
      <c r="CN435">
        <f>IFERROR(INDEX(PP_Grid[#Data],$DE435,89),0)</f>
        <v/>
      </c>
      <c r="CO435">
        <f>IFERROR(INDEX(PP_Grid[#Data],$DE435,90),0)</f>
        <v/>
      </c>
      <c r="CP435">
        <f>IFERROR(INDEX(PP_Grid[#Data],$DE435,91),0)</f>
        <v/>
      </c>
      <c r="CQ435">
        <f>IFERROR(INDEX(PP_Grid[#Data],$DE435,92),0)</f>
        <v/>
      </c>
      <c r="CR435">
        <f>IFERROR(INDEX(PP_Grid[#Data],$DE435,93),0)</f>
        <v/>
      </c>
      <c r="CS435">
        <f>IFERROR(INDEX(PP_Grid[#Data],$DE435,94),0)</f>
        <v/>
      </c>
      <c r="CT435">
        <f>IFERROR(INDEX(PP_Grid[#Data],$DE435,95),0)</f>
        <v/>
      </c>
      <c r="CU435">
        <f>IFERROR(INDEX(PP_Grid[#Data],$DE435,96),0)</f>
        <v/>
      </c>
      <c r="CV435">
        <f>IFERROR(INDEX(PP_Grid[#Data],$DE435,97),0)</f>
        <v/>
      </c>
      <c r="CW435">
        <f>IFERROR(INDEX(PP_Grid[#Data],$DE435,98),0)</f>
        <v/>
      </c>
      <c r="CX435">
        <f>IFERROR(INDEX(PP_Grid[#Data],$DE435,99),0)</f>
        <v/>
      </c>
      <c r="CY435">
        <f>IFERROR(INDEX(PP_Grid[#Data],$DE435,100),0)</f>
        <v/>
      </c>
      <c r="CZ435">
        <f>IFERROR(INDEX(PP_Grid[#Data],$DE435,101),0)</f>
        <v/>
      </c>
      <c r="DA435">
        <f>IFERROR(INDEX(PP_Grid[#Data],$DE435,102),0)</f>
        <v/>
      </c>
      <c r="DB435">
        <f>IFERROR(INDEX(PP_Grid[#Data],$DE435,103),0)</f>
        <v/>
      </c>
      <c r="DC435">
        <f>IFERROR(INDEX(PP_Grid[#Data],$DE435,104),0)</f>
        <v/>
      </c>
      <c r="DD435">
        <f>IFERROR(INDEX(PP_Grid[#Data],$DE435,105),0)</f>
        <v/>
      </c>
      <c r="DE435" s="7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SUMIFS(M_BOM[RM_Qty_Per_Batch],M_BOM[Intermediate],$B435,M_BOM[RM_Code],$A340)</f>
        <v/>
      </c>
      <c r="D436">
        <f>IFERROR(INDEX(E436:DD436,$F$1),"")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  <c r="DD436">
        <f>$C436*DD435</f>
        <v/>
      </c>
    </row>
    <row r="437">
      <c r="B437" t="inlineStr">
        <is>
          <t>TSP-936</t>
        </is>
      </c>
      <c r="C437" t="inlineStr">
        <is>
          <t>No. of batches</t>
        </is>
      </c>
      <c r="D437">
        <f>IFERROR(INDEX(E437:DD437,$F$1),"")</f>
        <v/>
      </c>
      <c r="E437">
        <f>IFERROR(INDEX(PP_Grid[#Data],$DE437,2),0)</f>
        <v/>
      </c>
      <c r="F437">
        <f>IFERROR(INDEX(PP_Grid[#Data],$DE437,3),0)</f>
        <v/>
      </c>
      <c r="G437">
        <f>IFERROR(INDEX(PP_Grid[#Data],$DE437,4),0)</f>
        <v/>
      </c>
      <c r="H437">
        <f>IFERROR(INDEX(PP_Grid[#Data],$DE437,5),0)</f>
        <v/>
      </c>
      <c r="I437">
        <f>IFERROR(INDEX(PP_Grid[#Data],$DE437,6),0)</f>
        <v/>
      </c>
      <c r="J437">
        <f>IFERROR(INDEX(PP_Grid[#Data],$DE437,7),0)</f>
        <v/>
      </c>
      <c r="K437">
        <f>IFERROR(INDEX(PP_Grid[#Data],$DE437,8),0)</f>
        <v/>
      </c>
      <c r="L437">
        <f>IFERROR(INDEX(PP_Grid[#Data],$DE437,9),0)</f>
        <v/>
      </c>
      <c r="M437">
        <f>IFERROR(INDEX(PP_Grid[#Data],$DE437,10),0)</f>
        <v/>
      </c>
      <c r="N437">
        <f>IFERROR(INDEX(PP_Grid[#Data],$DE437,11),0)</f>
        <v/>
      </c>
      <c r="O437">
        <f>IFERROR(INDEX(PP_Grid[#Data],$DE437,12),0)</f>
        <v/>
      </c>
      <c r="P437">
        <f>IFERROR(INDEX(PP_Grid[#Data],$DE437,13),0)</f>
        <v/>
      </c>
      <c r="Q437">
        <f>IFERROR(INDEX(PP_Grid[#Data],$DE437,14),0)</f>
        <v/>
      </c>
      <c r="R437">
        <f>IFERROR(INDEX(PP_Grid[#Data],$DE437,15),0)</f>
        <v/>
      </c>
      <c r="S437">
        <f>IFERROR(INDEX(PP_Grid[#Data],$DE437,16),0)</f>
        <v/>
      </c>
      <c r="T437">
        <f>IFERROR(INDEX(PP_Grid[#Data],$DE437,17),0)</f>
        <v/>
      </c>
      <c r="U437">
        <f>IFERROR(INDEX(PP_Grid[#Data],$DE437,18),0)</f>
        <v/>
      </c>
      <c r="V437">
        <f>IFERROR(INDEX(PP_Grid[#Data],$DE437,19),0)</f>
        <v/>
      </c>
      <c r="W437">
        <f>IFERROR(INDEX(PP_Grid[#Data],$DE437,20),0)</f>
        <v/>
      </c>
      <c r="X437">
        <f>IFERROR(INDEX(PP_Grid[#Data],$DE437,21),0)</f>
        <v/>
      </c>
      <c r="Y437">
        <f>IFERROR(INDEX(PP_Grid[#Data],$DE437,22),0)</f>
        <v/>
      </c>
      <c r="Z437">
        <f>IFERROR(INDEX(PP_Grid[#Data],$DE437,23),0)</f>
        <v/>
      </c>
      <c r="AA437">
        <f>IFERROR(INDEX(PP_Grid[#Data],$DE437,24),0)</f>
        <v/>
      </c>
      <c r="AB437">
        <f>IFERROR(INDEX(PP_Grid[#Data],$DE437,25),0)</f>
        <v/>
      </c>
      <c r="AC437">
        <f>IFERROR(INDEX(PP_Grid[#Data],$DE437,26),0)</f>
        <v/>
      </c>
      <c r="AD437">
        <f>IFERROR(INDEX(PP_Grid[#Data],$DE437,27),0)</f>
        <v/>
      </c>
      <c r="AE437">
        <f>IFERROR(INDEX(PP_Grid[#Data],$DE437,28),0)</f>
        <v/>
      </c>
      <c r="AF437">
        <f>IFERROR(INDEX(PP_Grid[#Data],$DE437,29),0)</f>
        <v/>
      </c>
      <c r="AG437">
        <f>IFERROR(INDEX(PP_Grid[#Data],$DE437,30),0)</f>
        <v/>
      </c>
      <c r="AH437">
        <f>IFERROR(INDEX(PP_Grid[#Data],$DE437,31),0)</f>
        <v/>
      </c>
      <c r="AI437">
        <f>IFERROR(INDEX(PP_Grid[#Data],$DE437,32),0)</f>
        <v/>
      </c>
      <c r="AJ437">
        <f>IFERROR(INDEX(PP_Grid[#Data],$DE437,33),0)</f>
        <v/>
      </c>
      <c r="AK437">
        <f>IFERROR(INDEX(PP_Grid[#Data],$DE437,34),0)</f>
        <v/>
      </c>
      <c r="AL437">
        <f>IFERROR(INDEX(PP_Grid[#Data],$DE437,35),0)</f>
        <v/>
      </c>
      <c r="AM437">
        <f>IFERROR(INDEX(PP_Grid[#Data],$DE437,36),0)</f>
        <v/>
      </c>
      <c r="AN437">
        <f>IFERROR(INDEX(PP_Grid[#Data],$DE437,37),0)</f>
        <v/>
      </c>
      <c r="AO437">
        <f>IFERROR(INDEX(PP_Grid[#Data],$DE437,38),0)</f>
        <v/>
      </c>
      <c r="AP437">
        <f>IFERROR(INDEX(PP_Grid[#Data],$DE437,39),0)</f>
        <v/>
      </c>
      <c r="AQ437">
        <f>IFERROR(INDEX(PP_Grid[#Data],$DE437,40),0)</f>
        <v/>
      </c>
      <c r="AR437">
        <f>IFERROR(INDEX(PP_Grid[#Data],$DE437,41),0)</f>
        <v/>
      </c>
      <c r="AS437">
        <f>IFERROR(INDEX(PP_Grid[#Data],$DE437,42),0)</f>
        <v/>
      </c>
      <c r="AT437">
        <f>IFERROR(INDEX(PP_Grid[#Data],$DE437,43),0)</f>
        <v/>
      </c>
      <c r="AU437">
        <f>IFERROR(INDEX(PP_Grid[#Data],$DE437,44),0)</f>
        <v/>
      </c>
      <c r="AV437">
        <f>IFERROR(INDEX(PP_Grid[#Data],$DE437,45),0)</f>
        <v/>
      </c>
      <c r="AW437">
        <f>IFERROR(INDEX(PP_Grid[#Data],$DE437,46),0)</f>
        <v/>
      </c>
      <c r="AX437">
        <f>IFERROR(INDEX(PP_Grid[#Data],$DE437,47),0)</f>
        <v/>
      </c>
      <c r="AY437">
        <f>IFERROR(INDEX(PP_Grid[#Data],$DE437,48),0)</f>
        <v/>
      </c>
      <c r="AZ437">
        <f>IFERROR(INDEX(PP_Grid[#Data],$DE437,49),0)</f>
        <v/>
      </c>
      <c r="BA437">
        <f>IFERROR(INDEX(PP_Grid[#Data],$DE437,50),0)</f>
        <v/>
      </c>
      <c r="BB437">
        <f>IFERROR(INDEX(PP_Grid[#Data],$DE437,51),0)</f>
        <v/>
      </c>
      <c r="BC437">
        <f>IFERROR(INDEX(PP_Grid[#Data],$DE437,52),0)</f>
        <v/>
      </c>
      <c r="BD437">
        <f>IFERROR(INDEX(PP_Grid[#Data],$DE437,53),0)</f>
        <v/>
      </c>
      <c r="BE437">
        <f>IFERROR(INDEX(PP_Grid[#Data],$DE437,54),0)</f>
        <v/>
      </c>
      <c r="BF437">
        <f>IFERROR(INDEX(PP_Grid[#Data],$DE437,55),0)</f>
        <v/>
      </c>
      <c r="BG437">
        <f>IFERROR(INDEX(PP_Grid[#Data],$DE437,56),0)</f>
        <v/>
      </c>
      <c r="BH437">
        <f>IFERROR(INDEX(PP_Grid[#Data],$DE437,57),0)</f>
        <v/>
      </c>
      <c r="BI437">
        <f>IFERROR(INDEX(PP_Grid[#Data],$DE437,58),0)</f>
        <v/>
      </c>
      <c r="BJ437">
        <f>IFERROR(INDEX(PP_Grid[#Data],$DE437,59),0)</f>
        <v/>
      </c>
      <c r="BK437">
        <f>IFERROR(INDEX(PP_Grid[#Data],$DE437,60),0)</f>
        <v/>
      </c>
      <c r="BL437">
        <f>IFERROR(INDEX(PP_Grid[#Data],$DE437,61),0)</f>
        <v/>
      </c>
      <c r="BM437">
        <f>IFERROR(INDEX(PP_Grid[#Data],$DE437,62),0)</f>
        <v/>
      </c>
      <c r="BN437">
        <f>IFERROR(INDEX(PP_Grid[#Data],$DE437,63),0)</f>
        <v/>
      </c>
      <c r="BO437">
        <f>IFERROR(INDEX(PP_Grid[#Data],$DE437,64),0)</f>
        <v/>
      </c>
      <c r="BP437">
        <f>IFERROR(INDEX(PP_Grid[#Data],$DE437,65),0)</f>
        <v/>
      </c>
      <c r="BQ437">
        <f>IFERROR(INDEX(PP_Grid[#Data],$DE437,66),0)</f>
        <v/>
      </c>
      <c r="BR437">
        <f>IFERROR(INDEX(PP_Grid[#Data],$DE437,67),0)</f>
        <v/>
      </c>
      <c r="BS437">
        <f>IFERROR(INDEX(PP_Grid[#Data],$DE437,68),0)</f>
        <v/>
      </c>
      <c r="BT437">
        <f>IFERROR(INDEX(PP_Grid[#Data],$DE437,69),0)</f>
        <v/>
      </c>
      <c r="BU437">
        <f>IFERROR(INDEX(PP_Grid[#Data],$DE437,70),0)</f>
        <v/>
      </c>
      <c r="BV437">
        <f>IFERROR(INDEX(PP_Grid[#Data],$DE437,71),0)</f>
        <v/>
      </c>
      <c r="BW437">
        <f>IFERROR(INDEX(PP_Grid[#Data],$DE437,72),0)</f>
        <v/>
      </c>
      <c r="BX437">
        <f>IFERROR(INDEX(PP_Grid[#Data],$DE437,73),0)</f>
        <v/>
      </c>
      <c r="BY437">
        <f>IFERROR(INDEX(PP_Grid[#Data],$DE437,74),0)</f>
        <v/>
      </c>
      <c r="BZ437">
        <f>IFERROR(INDEX(PP_Grid[#Data],$DE437,75),0)</f>
        <v/>
      </c>
      <c r="CA437">
        <f>IFERROR(INDEX(PP_Grid[#Data],$DE437,76),0)</f>
        <v/>
      </c>
      <c r="CB437">
        <f>IFERROR(INDEX(PP_Grid[#Data],$DE437,77),0)</f>
        <v/>
      </c>
      <c r="CC437">
        <f>IFERROR(INDEX(PP_Grid[#Data],$DE437,78),0)</f>
        <v/>
      </c>
      <c r="CD437">
        <f>IFERROR(INDEX(PP_Grid[#Data],$DE437,79),0)</f>
        <v/>
      </c>
      <c r="CE437">
        <f>IFERROR(INDEX(PP_Grid[#Data],$DE437,80),0)</f>
        <v/>
      </c>
      <c r="CF437">
        <f>IFERROR(INDEX(PP_Grid[#Data],$DE437,81),0)</f>
        <v/>
      </c>
      <c r="CG437">
        <f>IFERROR(INDEX(PP_Grid[#Data],$DE437,82),0)</f>
        <v/>
      </c>
      <c r="CH437">
        <f>IFERROR(INDEX(PP_Grid[#Data],$DE437,83),0)</f>
        <v/>
      </c>
      <c r="CI437">
        <f>IFERROR(INDEX(PP_Grid[#Data],$DE437,84),0)</f>
        <v/>
      </c>
      <c r="CJ437">
        <f>IFERROR(INDEX(PP_Grid[#Data],$DE437,85),0)</f>
        <v/>
      </c>
      <c r="CK437">
        <f>IFERROR(INDEX(PP_Grid[#Data],$DE437,86),0)</f>
        <v/>
      </c>
      <c r="CL437">
        <f>IFERROR(INDEX(PP_Grid[#Data],$DE437,87),0)</f>
        <v/>
      </c>
      <c r="CM437">
        <f>IFERROR(INDEX(PP_Grid[#Data],$DE437,88),0)</f>
        <v/>
      </c>
      <c r="CN437">
        <f>IFERROR(INDEX(PP_Grid[#Data],$DE437,89),0)</f>
        <v/>
      </c>
      <c r="CO437">
        <f>IFERROR(INDEX(PP_Grid[#Data],$DE437,90),0)</f>
        <v/>
      </c>
      <c r="CP437">
        <f>IFERROR(INDEX(PP_Grid[#Data],$DE437,91),0)</f>
        <v/>
      </c>
      <c r="CQ437">
        <f>IFERROR(INDEX(PP_Grid[#Data],$DE437,92),0)</f>
        <v/>
      </c>
      <c r="CR437">
        <f>IFERROR(INDEX(PP_Grid[#Data],$DE437,93),0)</f>
        <v/>
      </c>
      <c r="CS437">
        <f>IFERROR(INDEX(PP_Grid[#Data],$DE437,94),0)</f>
        <v/>
      </c>
      <c r="CT437">
        <f>IFERROR(INDEX(PP_Grid[#Data],$DE437,95),0)</f>
        <v/>
      </c>
      <c r="CU437">
        <f>IFERROR(INDEX(PP_Grid[#Data],$DE437,96),0)</f>
        <v/>
      </c>
      <c r="CV437">
        <f>IFERROR(INDEX(PP_Grid[#Data],$DE437,97),0)</f>
        <v/>
      </c>
      <c r="CW437">
        <f>IFERROR(INDEX(PP_Grid[#Data],$DE437,98),0)</f>
        <v/>
      </c>
      <c r="CX437">
        <f>IFERROR(INDEX(PP_Grid[#Data],$DE437,99),0)</f>
        <v/>
      </c>
      <c r="CY437">
        <f>IFERROR(INDEX(PP_Grid[#Data],$DE437,100),0)</f>
        <v/>
      </c>
      <c r="CZ437">
        <f>IFERROR(INDEX(PP_Grid[#Data],$DE437,101),0)</f>
        <v/>
      </c>
      <c r="DA437">
        <f>IFERROR(INDEX(PP_Grid[#Data],$DE437,102),0)</f>
        <v/>
      </c>
      <c r="DB437">
        <f>IFERROR(INDEX(PP_Grid[#Data],$DE437,103),0)</f>
        <v/>
      </c>
      <c r="DC437">
        <f>IFERROR(INDEX(PP_Grid[#Data],$DE437,104),0)</f>
        <v/>
      </c>
      <c r="DD437">
        <f>IFERROR(INDEX(PP_Grid[#Data],$DE437,105),0)</f>
        <v/>
      </c>
      <c r="DE437" s="7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SUMIFS(M_BOM[RM_Qty_Per_Batch],M_BOM[Intermediate],$B437,M_BOM[RM_Code],$A340)</f>
        <v/>
      </c>
      <c r="D438">
        <f>IFERROR(INDEX(E438:DD438,$F$1),"")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  <c r="DD438">
        <f>$C438*DD437</f>
        <v/>
      </c>
    </row>
    <row r="439">
      <c r="B439" t="inlineStr">
        <is>
          <t>TSP-937</t>
        </is>
      </c>
      <c r="C439" t="inlineStr">
        <is>
          <t>No. of batches</t>
        </is>
      </c>
      <c r="D439">
        <f>IFERROR(INDEX(E439:DD439,$F$1),"")</f>
        <v/>
      </c>
      <c r="E439">
        <f>IFERROR(INDEX(PP_Grid[#Data],$DE439,2),0)</f>
        <v/>
      </c>
      <c r="F439">
        <f>IFERROR(INDEX(PP_Grid[#Data],$DE439,3),0)</f>
        <v/>
      </c>
      <c r="G439">
        <f>IFERROR(INDEX(PP_Grid[#Data],$DE439,4),0)</f>
        <v/>
      </c>
      <c r="H439">
        <f>IFERROR(INDEX(PP_Grid[#Data],$DE439,5),0)</f>
        <v/>
      </c>
      <c r="I439">
        <f>IFERROR(INDEX(PP_Grid[#Data],$DE439,6),0)</f>
        <v/>
      </c>
      <c r="J439">
        <f>IFERROR(INDEX(PP_Grid[#Data],$DE439,7),0)</f>
        <v/>
      </c>
      <c r="K439">
        <f>IFERROR(INDEX(PP_Grid[#Data],$DE439,8),0)</f>
        <v/>
      </c>
      <c r="L439">
        <f>IFERROR(INDEX(PP_Grid[#Data],$DE439,9),0)</f>
        <v/>
      </c>
      <c r="M439">
        <f>IFERROR(INDEX(PP_Grid[#Data],$DE439,10),0)</f>
        <v/>
      </c>
      <c r="N439">
        <f>IFERROR(INDEX(PP_Grid[#Data],$DE439,11),0)</f>
        <v/>
      </c>
      <c r="O439">
        <f>IFERROR(INDEX(PP_Grid[#Data],$DE439,12),0)</f>
        <v/>
      </c>
      <c r="P439">
        <f>IFERROR(INDEX(PP_Grid[#Data],$DE439,13),0)</f>
        <v/>
      </c>
      <c r="Q439">
        <f>IFERROR(INDEX(PP_Grid[#Data],$DE439,14),0)</f>
        <v/>
      </c>
      <c r="R439">
        <f>IFERROR(INDEX(PP_Grid[#Data],$DE439,15),0)</f>
        <v/>
      </c>
      <c r="S439">
        <f>IFERROR(INDEX(PP_Grid[#Data],$DE439,16),0)</f>
        <v/>
      </c>
      <c r="T439">
        <f>IFERROR(INDEX(PP_Grid[#Data],$DE439,17),0)</f>
        <v/>
      </c>
      <c r="U439">
        <f>IFERROR(INDEX(PP_Grid[#Data],$DE439,18),0)</f>
        <v/>
      </c>
      <c r="V439">
        <f>IFERROR(INDEX(PP_Grid[#Data],$DE439,19),0)</f>
        <v/>
      </c>
      <c r="W439">
        <f>IFERROR(INDEX(PP_Grid[#Data],$DE439,20),0)</f>
        <v/>
      </c>
      <c r="X439">
        <f>IFERROR(INDEX(PP_Grid[#Data],$DE439,21),0)</f>
        <v/>
      </c>
      <c r="Y439">
        <f>IFERROR(INDEX(PP_Grid[#Data],$DE439,22),0)</f>
        <v/>
      </c>
      <c r="Z439">
        <f>IFERROR(INDEX(PP_Grid[#Data],$DE439,23),0)</f>
        <v/>
      </c>
      <c r="AA439">
        <f>IFERROR(INDEX(PP_Grid[#Data],$DE439,24),0)</f>
        <v/>
      </c>
      <c r="AB439">
        <f>IFERROR(INDEX(PP_Grid[#Data],$DE439,25),0)</f>
        <v/>
      </c>
      <c r="AC439">
        <f>IFERROR(INDEX(PP_Grid[#Data],$DE439,26),0)</f>
        <v/>
      </c>
      <c r="AD439">
        <f>IFERROR(INDEX(PP_Grid[#Data],$DE439,27),0)</f>
        <v/>
      </c>
      <c r="AE439">
        <f>IFERROR(INDEX(PP_Grid[#Data],$DE439,28),0)</f>
        <v/>
      </c>
      <c r="AF439">
        <f>IFERROR(INDEX(PP_Grid[#Data],$DE439,29),0)</f>
        <v/>
      </c>
      <c r="AG439">
        <f>IFERROR(INDEX(PP_Grid[#Data],$DE439,30),0)</f>
        <v/>
      </c>
      <c r="AH439">
        <f>IFERROR(INDEX(PP_Grid[#Data],$DE439,31),0)</f>
        <v/>
      </c>
      <c r="AI439">
        <f>IFERROR(INDEX(PP_Grid[#Data],$DE439,32),0)</f>
        <v/>
      </c>
      <c r="AJ439">
        <f>IFERROR(INDEX(PP_Grid[#Data],$DE439,33),0)</f>
        <v/>
      </c>
      <c r="AK439">
        <f>IFERROR(INDEX(PP_Grid[#Data],$DE439,34),0)</f>
        <v/>
      </c>
      <c r="AL439">
        <f>IFERROR(INDEX(PP_Grid[#Data],$DE439,35),0)</f>
        <v/>
      </c>
      <c r="AM439">
        <f>IFERROR(INDEX(PP_Grid[#Data],$DE439,36),0)</f>
        <v/>
      </c>
      <c r="AN439">
        <f>IFERROR(INDEX(PP_Grid[#Data],$DE439,37),0)</f>
        <v/>
      </c>
      <c r="AO439">
        <f>IFERROR(INDEX(PP_Grid[#Data],$DE439,38),0)</f>
        <v/>
      </c>
      <c r="AP439">
        <f>IFERROR(INDEX(PP_Grid[#Data],$DE439,39),0)</f>
        <v/>
      </c>
      <c r="AQ439">
        <f>IFERROR(INDEX(PP_Grid[#Data],$DE439,40),0)</f>
        <v/>
      </c>
      <c r="AR439">
        <f>IFERROR(INDEX(PP_Grid[#Data],$DE439,41),0)</f>
        <v/>
      </c>
      <c r="AS439">
        <f>IFERROR(INDEX(PP_Grid[#Data],$DE439,42),0)</f>
        <v/>
      </c>
      <c r="AT439">
        <f>IFERROR(INDEX(PP_Grid[#Data],$DE439,43),0)</f>
        <v/>
      </c>
      <c r="AU439">
        <f>IFERROR(INDEX(PP_Grid[#Data],$DE439,44),0)</f>
        <v/>
      </c>
      <c r="AV439">
        <f>IFERROR(INDEX(PP_Grid[#Data],$DE439,45),0)</f>
        <v/>
      </c>
      <c r="AW439">
        <f>IFERROR(INDEX(PP_Grid[#Data],$DE439,46),0)</f>
        <v/>
      </c>
      <c r="AX439">
        <f>IFERROR(INDEX(PP_Grid[#Data],$DE439,47),0)</f>
        <v/>
      </c>
      <c r="AY439">
        <f>IFERROR(INDEX(PP_Grid[#Data],$DE439,48),0)</f>
        <v/>
      </c>
      <c r="AZ439">
        <f>IFERROR(INDEX(PP_Grid[#Data],$DE439,49),0)</f>
        <v/>
      </c>
      <c r="BA439">
        <f>IFERROR(INDEX(PP_Grid[#Data],$DE439,50),0)</f>
        <v/>
      </c>
      <c r="BB439">
        <f>IFERROR(INDEX(PP_Grid[#Data],$DE439,51),0)</f>
        <v/>
      </c>
      <c r="BC439">
        <f>IFERROR(INDEX(PP_Grid[#Data],$DE439,52),0)</f>
        <v/>
      </c>
      <c r="BD439">
        <f>IFERROR(INDEX(PP_Grid[#Data],$DE439,53),0)</f>
        <v/>
      </c>
      <c r="BE439">
        <f>IFERROR(INDEX(PP_Grid[#Data],$DE439,54),0)</f>
        <v/>
      </c>
      <c r="BF439">
        <f>IFERROR(INDEX(PP_Grid[#Data],$DE439,55),0)</f>
        <v/>
      </c>
      <c r="BG439">
        <f>IFERROR(INDEX(PP_Grid[#Data],$DE439,56),0)</f>
        <v/>
      </c>
      <c r="BH439">
        <f>IFERROR(INDEX(PP_Grid[#Data],$DE439,57),0)</f>
        <v/>
      </c>
      <c r="BI439">
        <f>IFERROR(INDEX(PP_Grid[#Data],$DE439,58),0)</f>
        <v/>
      </c>
      <c r="BJ439">
        <f>IFERROR(INDEX(PP_Grid[#Data],$DE439,59),0)</f>
        <v/>
      </c>
      <c r="BK439">
        <f>IFERROR(INDEX(PP_Grid[#Data],$DE439,60),0)</f>
        <v/>
      </c>
      <c r="BL439">
        <f>IFERROR(INDEX(PP_Grid[#Data],$DE439,61),0)</f>
        <v/>
      </c>
      <c r="BM439">
        <f>IFERROR(INDEX(PP_Grid[#Data],$DE439,62),0)</f>
        <v/>
      </c>
      <c r="BN439">
        <f>IFERROR(INDEX(PP_Grid[#Data],$DE439,63),0)</f>
        <v/>
      </c>
      <c r="BO439">
        <f>IFERROR(INDEX(PP_Grid[#Data],$DE439,64),0)</f>
        <v/>
      </c>
      <c r="BP439">
        <f>IFERROR(INDEX(PP_Grid[#Data],$DE439,65),0)</f>
        <v/>
      </c>
      <c r="BQ439">
        <f>IFERROR(INDEX(PP_Grid[#Data],$DE439,66),0)</f>
        <v/>
      </c>
      <c r="BR439">
        <f>IFERROR(INDEX(PP_Grid[#Data],$DE439,67),0)</f>
        <v/>
      </c>
      <c r="BS439">
        <f>IFERROR(INDEX(PP_Grid[#Data],$DE439,68),0)</f>
        <v/>
      </c>
      <c r="BT439">
        <f>IFERROR(INDEX(PP_Grid[#Data],$DE439,69),0)</f>
        <v/>
      </c>
      <c r="BU439">
        <f>IFERROR(INDEX(PP_Grid[#Data],$DE439,70),0)</f>
        <v/>
      </c>
      <c r="BV439">
        <f>IFERROR(INDEX(PP_Grid[#Data],$DE439,71),0)</f>
        <v/>
      </c>
      <c r="BW439">
        <f>IFERROR(INDEX(PP_Grid[#Data],$DE439,72),0)</f>
        <v/>
      </c>
      <c r="BX439">
        <f>IFERROR(INDEX(PP_Grid[#Data],$DE439,73),0)</f>
        <v/>
      </c>
      <c r="BY439">
        <f>IFERROR(INDEX(PP_Grid[#Data],$DE439,74),0)</f>
        <v/>
      </c>
      <c r="BZ439">
        <f>IFERROR(INDEX(PP_Grid[#Data],$DE439,75),0)</f>
        <v/>
      </c>
      <c r="CA439">
        <f>IFERROR(INDEX(PP_Grid[#Data],$DE439,76),0)</f>
        <v/>
      </c>
      <c r="CB439">
        <f>IFERROR(INDEX(PP_Grid[#Data],$DE439,77),0)</f>
        <v/>
      </c>
      <c r="CC439">
        <f>IFERROR(INDEX(PP_Grid[#Data],$DE439,78),0)</f>
        <v/>
      </c>
      <c r="CD439">
        <f>IFERROR(INDEX(PP_Grid[#Data],$DE439,79),0)</f>
        <v/>
      </c>
      <c r="CE439">
        <f>IFERROR(INDEX(PP_Grid[#Data],$DE439,80),0)</f>
        <v/>
      </c>
      <c r="CF439">
        <f>IFERROR(INDEX(PP_Grid[#Data],$DE439,81),0)</f>
        <v/>
      </c>
      <c r="CG439">
        <f>IFERROR(INDEX(PP_Grid[#Data],$DE439,82),0)</f>
        <v/>
      </c>
      <c r="CH439">
        <f>IFERROR(INDEX(PP_Grid[#Data],$DE439,83),0)</f>
        <v/>
      </c>
      <c r="CI439">
        <f>IFERROR(INDEX(PP_Grid[#Data],$DE439,84),0)</f>
        <v/>
      </c>
      <c r="CJ439">
        <f>IFERROR(INDEX(PP_Grid[#Data],$DE439,85),0)</f>
        <v/>
      </c>
      <c r="CK439">
        <f>IFERROR(INDEX(PP_Grid[#Data],$DE439,86),0)</f>
        <v/>
      </c>
      <c r="CL439">
        <f>IFERROR(INDEX(PP_Grid[#Data],$DE439,87),0)</f>
        <v/>
      </c>
      <c r="CM439">
        <f>IFERROR(INDEX(PP_Grid[#Data],$DE439,88),0)</f>
        <v/>
      </c>
      <c r="CN439">
        <f>IFERROR(INDEX(PP_Grid[#Data],$DE439,89),0)</f>
        <v/>
      </c>
      <c r="CO439">
        <f>IFERROR(INDEX(PP_Grid[#Data],$DE439,90),0)</f>
        <v/>
      </c>
      <c r="CP439">
        <f>IFERROR(INDEX(PP_Grid[#Data],$DE439,91),0)</f>
        <v/>
      </c>
      <c r="CQ439">
        <f>IFERROR(INDEX(PP_Grid[#Data],$DE439,92),0)</f>
        <v/>
      </c>
      <c r="CR439">
        <f>IFERROR(INDEX(PP_Grid[#Data],$DE439,93),0)</f>
        <v/>
      </c>
      <c r="CS439">
        <f>IFERROR(INDEX(PP_Grid[#Data],$DE439,94),0)</f>
        <v/>
      </c>
      <c r="CT439">
        <f>IFERROR(INDEX(PP_Grid[#Data],$DE439,95),0)</f>
        <v/>
      </c>
      <c r="CU439">
        <f>IFERROR(INDEX(PP_Grid[#Data],$DE439,96),0)</f>
        <v/>
      </c>
      <c r="CV439">
        <f>IFERROR(INDEX(PP_Grid[#Data],$DE439,97),0)</f>
        <v/>
      </c>
      <c r="CW439">
        <f>IFERROR(INDEX(PP_Grid[#Data],$DE439,98),0)</f>
        <v/>
      </c>
      <c r="CX439">
        <f>IFERROR(INDEX(PP_Grid[#Data],$DE439,99),0)</f>
        <v/>
      </c>
      <c r="CY439">
        <f>IFERROR(INDEX(PP_Grid[#Data],$DE439,100),0)</f>
        <v/>
      </c>
      <c r="CZ439">
        <f>IFERROR(INDEX(PP_Grid[#Data],$DE439,101),0)</f>
        <v/>
      </c>
      <c r="DA439">
        <f>IFERROR(INDEX(PP_Grid[#Data],$DE439,102),0)</f>
        <v/>
      </c>
      <c r="DB439">
        <f>IFERROR(INDEX(PP_Grid[#Data],$DE439,103),0)</f>
        <v/>
      </c>
      <c r="DC439">
        <f>IFERROR(INDEX(PP_Grid[#Data],$DE439,104),0)</f>
        <v/>
      </c>
      <c r="DD439">
        <f>IFERROR(INDEX(PP_Grid[#Data],$DE439,105),0)</f>
        <v/>
      </c>
      <c r="DE439" s="7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SUMIFS(M_BOM[RM_Qty_Per_Batch],M_BOM[Intermediate],$B439,M_BOM[RM_Code],$A340)</f>
        <v/>
      </c>
      <c r="D440">
        <f>IFERROR(INDEX(E440:DD440,$F$1),"")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  <c r="DD440">
        <f>$C440*DD439</f>
        <v/>
      </c>
    </row>
    <row r="441">
      <c r="B441" t="inlineStr">
        <is>
          <t>TSP-959</t>
        </is>
      </c>
      <c r="C441" t="inlineStr">
        <is>
          <t>No. of batches</t>
        </is>
      </c>
      <c r="D441">
        <f>IFERROR(INDEX(E441:DD441,$F$1),"")</f>
        <v/>
      </c>
      <c r="E441">
        <f>IFERROR(INDEX(PP_Grid[#Data],$DE441,2),0)</f>
        <v/>
      </c>
      <c r="F441">
        <f>IFERROR(INDEX(PP_Grid[#Data],$DE441,3),0)</f>
        <v/>
      </c>
      <c r="G441">
        <f>IFERROR(INDEX(PP_Grid[#Data],$DE441,4),0)</f>
        <v/>
      </c>
      <c r="H441">
        <f>IFERROR(INDEX(PP_Grid[#Data],$DE441,5),0)</f>
        <v/>
      </c>
      <c r="I441">
        <f>IFERROR(INDEX(PP_Grid[#Data],$DE441,6),0)</f>
        <v/>
      </c>
      <c r="J441">
        <f>IFERROR(INDEX(PP_Grid[#Data],$DE441,7),0)</f>
        <v/>
      </c>
      <c r="K441">
        <f>IFERROR(INDEX(PP_Grid[#Data],$DE441,8),0)</f>
        <v/>
      </c>
      <c r="L441">
        <f>IFERROR(INDEX(PP_Grid[#Data],$DE441,9),0)</f>
        <v/>
      </c>
      <c r="M441">
        <f>IFERROR(INDEX(PP_Grid[#Data],$DE441,10),0)</f>
        <v/>
      </c>
      <c r="N441">
        <f>IFERROR(INDEX(PP_Grid[#Data],$DE441,11),0)</f>
        <v/>
      </c>
      <c r="O441">
        <f>IFERROR(INDEX(PP_Grid[#Data],$DE441,12),0)</f>
        <v/>
      </c>
      <c r="P441">
        <f>IFERROR(INDEX(PP_Grid[#Data],$DE441,13),0)</f>
        <v/>
      </c>
      <c r="Q441">
        <f>IFERROR(INDEX(PP_Grid[#Data],$DE441,14),0)</f>
        <v/>
      </c>
      <c r="R441">
        <f>IFERROR(INDEX(PP_Grid[#Data],$DE441,15),0)</f>
        <v/>
      </c>
      <c r="S441">
        <f>IFERROR(INDEX(PP_Grid[#Data],$DE441,16),0)</f>
        <v/>
      </c>
      <c r="T441">
        <f>IFERROR(INDEX(PP_Grid[#Data],$DE441,17),0)</f>
        <v/>
      </c>
      <c r="U441">
        <f>IFERROR(INDEX(PP_Grid[#Data],$DE441,18),0)</f>
        <v/>
      </c>
      <c r="V441">
        <f>IFERROR(INDEX(PP_Grid[#Data],$DE441,19),0)</f>
        <v/>
      </c>
      <c r="W441">
        <f>IFERROR(INDEX(PP_Grid[#Data],$DE441,20),0)</f>
        <v/>
      </c>
      <c r="X441">
        <f>IFERROR(INDEX(PP_Grid[#Data],$DE441,21),0)</f>
        <v/>
      </c>
      <c r="Y441">
        <f>IFERROR(INDEX(PP_Grid[#Data],$DE441,22),0)</f>
        <v/>
      </c>
      <c r="Z441">
        <f>IFERROR(INDEX(PP_Grid[#Data],$DE441,23),0)</f>
        <v/>
      </c>
      <c r="AA441">
        <f>IFERROR(INDEX(PP_Grid[#Data],$DE441,24),0)</f>
        <v/>
      </c>
      <c r="AB441">
        <f>IFERROR(INDEX(PP_Grid[#Data],$DE441,25),0)</f>
        <v/>
      </c>
      <c r="AC441">
        <f>IFERROR(INDEX(PP_Grid[#Data],$DE441,26),0)</f>
        <v/>
      </c>
      <c r="AD441">
        <f>IFERROR(INDEX(PP_Grid[#Data],$DE441,27),0)</f>
        <v/>
      </c>
      <c r="AE441">
        <f>IFERROR(INDEX(PP_Grid[#Data],$DE441,28),0)</f>
        <v/>
      </c>
      <c r="AF441">
        <f>IFERROR(INDEX(PP_Grid[#Data],$DE441,29),0)</f>
        <v/>
      </c>
      <c r="AG441">
        <f>IFERROR(INDEX(PP_Grid[#Data],$DE441,30),0)</f>
        <v/>
      </c>
      <c r="AH441">
        <f>IFERROR(INDEX(PP_Grid[#Data],$DE441,31),0)</f>
        <v/>
      </c>
      <c r="AI441">
        <f>IFERROR(INDEX(PP_Grid[#Data],$DE441,32),0)</f>
        <v/>
      </c>
      <c r="AJ441">
        <f>IFERROR(INDEX(PP_Grid[#Data],$DE441,33),0)</f>
        <v/>
      </c>
      <c r="AK441">
        <f>IFERROR(INDEX(PP_Grid[#Data],$DE441,34),0)</f>
        <v/>
      </c>
      <c r="AL441">
        <f>IFERROR(INDEX(PP_Grid[#Data],$DE441,35),0)</f>
        <v/>
      </c>
      <c r="AM441">
        <f>IFERROR(INDEX(PP_Grid[#Data],$DE441,36),0)</f>
        <v/>
      </c>
      <c r="AN441">
        <f>IFERROR(INDEX(PP_Grid[#Data],$DE441,37),0)</f>
        <v/>
      </c>
      <c r="AO441">
        <f>IFERROR(INDEX(PP_Grid[#Data],$DE441,38),0)</f>
        <v/>
      </c>
      <c r="AP441">
        <f>IFERROR(INDEX(PP_Grid[#Data],$DE441,39),0)</f>
        <v/>
      </c>
      <c r="AQ441">
        <f>IFERROR(INDEX(PP_Grid[#Data],$DE441,40),0)</f>
        <v/>
      </c>
      <c r="AR441">
        <f>IFERROR(INDEX(PP_Grid[#Data],$DE441,41),0)</f>
        <v/>
      </c>
      <c r="AS441">
        <f>IFERROR(INDEX(PP_Grid[#Data],$DE441,42),0)</f>
        <v/>
      </c>
      <c r="AT441">
        <f>IFERROR(INDEX(PP_Grid[#Data],$DE441,43),0)</f>
        <v/>
      </c>
      <c r="AU441">
        <f>IFERROR(INDEX(PP_Grid[#Data],$DE441,44),0)</f>
        <v/>
      </c>
      <c r="AV441">
        <f>IFERROR(INDEX(PP_Grid[#Data],$DE441,45),0)</f>
        <v/>
      </c>
      <c r="AW441">
        <f>IFERROR(INDEX(PP_Grid[#Data],$DE441,46),0)</f>
        <v/>
      </c>
      <c r="AX441">
        <f>IFERROR(INDEX(PP_Grid[#Data],$DE441,47),0)</f>
        <v/>
      </c>
      <c r="AY441">
        <f>IFERROR(INDEX(PP_Grid[#Data],$DE441,48),0)</f>
        <v/>
      </c>
      <c r="AZ441">
        <f>IFERROR(INDEX(PP_Grid[#Data],$DE441,49),0)</f>
        <v/>
      </c>
      <c r="BA441">
        <f>IFERROR(INDEX(PP_Grid[#Data],$DE441,50),0)</f>
        <v/>
      </c>
      <c r="BB441">
        <f>IFERROR(INDEX(PP_Grid[#Data],$DE441,51),0)</f>
        <v/>
      </c>
      <c r="BC441">
        <f>IFERROR(INDEX(PP_Grid[#Data],$DE441,52),0)</f>
        <v/>
      </c>
      <c r="BD441">
        <f>IFERROR(INDEX(PP_Grid[#Data],$DE441,53),0)</f>
        <v/>
      </c>
      <c r="BE441">
        <f>IFERROR(INDEX(PP_Grid[#Data],$DE441,54),0)</f>
        <v/>
      </c>
      <c r="BF441">
        <f>IFERROR(INDEX(PP_Grid[#Data],$DE441,55),0)</f>
        <v/>
      </c>
      <c r="BG441">
        <f>IFERROR(INDEX(PP_Grid[#Data],$DE441,56),0)</f>
        <v/>
      </c>
      <c r="BH441">
        <f>IFERROR(INDEX(PP_Grid[#Data],$DE441,57),0)</f>
        <v/>
      </c>
      <c r="BI441">
        <f>IFERROR(INDEX(PP_Grid[#Data],$DE441,58),0)</f>
        <v/>
      </c>
      <c r="BJ441">
        <f>IFERROR(INDEX(PP_Grid[#Data],$DE441,59),0)</f>
        <v/>
      </c>
      <c r="BK441">
        <f>IFERROR(INDEX(PP_Grid[#Data],$DE441,60),0)</f>
        <v/>
      </c>
      <c r="BL441">
        <f>IFERROR(INDEX(PP_Grid[#Data],$DE441,61),0)</f>
        <v/>
      </c>
      <c r="BM441">
        <f>IFERROR(INDEX(PP_Grid[#Data],$DE441,62),0)</f>
        <v/>
      </c>
      <c r="BN441">
        <f>IFERROR(INDEX(PP_Grid[#Data],$DE441,63),0)</f>
        <v/>
      </c>
      <c r="BO441">
        <f>IFERROR(INDEX(PP_Grid[#Data],$DE441,64),0)</f>
        <v/>
      </c>
      <c r="BP441">
        <f>IFERROR(INDEX(PP_Grid[#Data],$DE441,65),0)</f>
        <v/>
      </c>
      <c r="BQ441">
        <f>IFERROR(INDEX(PP_Grid[#Data],$DE441,66),0)</f>
        <v/>
      </c>
      <c r="BR441">
        <f>IFERROR(INDEX(PP_Grid[#Data],$DE441,67),0)</f>
        <v/>
      </c>
      <c r="BS441">
        <f>IFERROR(INDEX(PP_Grid[#Data],$DE441,68),0)</f>
        <v/>
      </c>
      <c r="BT441">
        <f>IFERROR(INDEX(PP_Grid[#Data],$DE441,69),0)</f>
        <v/>
      </c>
      <c r="BU441">
        <f>IFERROR(INDEX(PP_Grid[#Data],$DE441,70),0)</f>
        <v/>
      </c>
      <c r="BV441">
        <f>IFERROR(INDEX(PP_Grid[#Data],$DE441,71),0)</f>
        <v/>
      </c>
      <c r="BW441">
        <f>IFERROR(INDEX(PP_Grid[#Data],$DE441,72),0)</f>
        <v/>
      </c>
      <c r="BX441">
        <f>IFERROR(INDEX(PP_Grid[#Data],$DE441,73),0)</f>
        <v/>
      </c>
      <c r="BY441">
        <f>IFERROR(INDEX(PP_Grid[#Data],$DE441,74),0)</f>
        <v/>
      </c>
      <c r="BZ441">
        <f>IFERROR(INDEX(PP_Grid[#Data],$DE441,75),0)</f>
        <v/>
      </c>
      <c r="CA441">
        <f>IFERROR(INDEX(PP_Grid[#Data],$DE441,76),0)</f>
        <v/>
      </c>
      <c r="CB441">
        <f>IFERROR(INDEX(PP_Grid[#Data],$DE441,77),0)</f>
        <v/>
      </c>
      <c r="CC441">
        <f>IFERROR(INDEX(PP_Grid[#Data],$DE441,78),0)</f>
        <v/>
      </c>
      <c r="CD441">
        <f>IFERROR(INDEX(PP_Grid[#Data],$DE441,79),0)</f>
        <v/>
      </c>
      <c r="CE441">
        <f>IFERROR(INDEX(PP_Grid[#Data],$DE441,80),0)</f>
        <v/>
      </c>
      <c r="CF441">
        <f>IFERROR(INDEX(PP_Grid[#Data],$DE441,81),0)</f>
        <v/>
      </c>
      <c r="CG441">
        <f>IFERROR(INDEX(PP_Grid[#Data],$DE441,82),0)</f>
        <v/>
      </c>
      <c r="CH441">
        <f>IFERROR(INDEX(PP_Grid[#Data],$DE441,83),0)</f>
        <v/>
      </c>
      <c r="CI441">
        <f>IFERROR(INDEX(PP_Grid[#Data],$DE441,84),0)</f>
        <v/>
      </c>
      <c r="CJ441">
        <f>IFERROR(INDEX(PP_Grid[#Data],$DE441,85),0)</f>
        <v/>
      </c>
      <c r="CK441">
        <f>IFERROR(INDEX(PP_Grid[#Data],$DE441,86),0)</f>
        <v/>
      </c>
      <c r="CL441">
        <f>IFERROR(INDEX(PP_Grid[#Data],$DE441,87),0)</f>
        <v/>
      </c>
      <c r="CM441">
        <f>IFERROR(INDEX(PP_Grid[#Data],$DE441,88),0)</f>
        <v/>
      </c>
      <c r="CN441">
        <f>IFERROR(INDEX(PP_Grid[#Data],$DE441,89),0)</f>
        <v/>
      </c>
      <c r="CO441">
        <f>IFERROR(INDEX(PP_Grid[#Data],$DE441,90),0)</f>
        <v/>
      </c>
      <c r="CP441">
        <f>IFERROR(INDEX(PP_Grid[#Data],$DE441,91),0)</f>
        <v/>
      </c>
      <c r="CQ441">
        <f>IFERROR(INDEX(PP_Grid[#Data],$DE441,92),0)</f>
        <v/>
      </c>
      <c r="CR441">
        <f>IFERROR(INDEX(PP_Grid[#Data],$DE441,93),0)</f>
        <v/>
      </c>
      <c r="CS441">
        <f>IFERROR(INDEX(PP_Grid[#Data],$DE441,94),0)</f>
        <v/>
      </c>
      <c r="CT441">
        <f>IFERROR(INDEX(PP_Grid[#Data],$DE441,95),0)</f>
        <v/>
      </c>
      <c r="CU441">
        <f>IFERROR(INDEX(PP_Grid[#Data],$DE441,96),0)</f>
        <v/>
      </c>
      <c r="CV441">
        <f>IFERROR(INDEX(PP_Grid[#Data],$DE441,97),0)</f>
        <v/>
      </c>
      <c r="CW441">
        <f>IFERROR(INDEX(PP_Grid[#Data],$DE441,98),0)</f>
        <v/>
      </c>
      <c r="CX441">
        <f>IFERROR(INDEX(PP_Grid[#Data],$DE441,99),0)</f>
        <v/>
      </c>
      <c r="CY441">
        <f>IFERROR(INDEX(PP_Grid[#Data],$DE441,100),0)</f>
        <v/>
      </c>
      <c r="CZ441">
        <f>IFERROR(INDEX(PP_Grid[#Data],$DE441,101),0)</f>
        <v/>
      </c>
      <c r="DA441">
        <f>IFERROR(INDEX(PP_Grid[#Data],$DE441,102),0)</f>
        <v/>
      </c>
      <c r="DB441">
        <f>IFERROR(INDEX(PP_Grid[#Data],$DE441,103),0)</f>
        <v/>
      </c>
      <c r="DC441">
        <f>IFERROR(INDEX(PP_Grid[#Data],$DE441,104),0)</f>
        <v/>
      </c>
      <c r="DD441">
        <f>IFERROR(INDEX(PP_Grid[#Data],$DE441,105),0)</f>
        <v/>
      </c>
      <c r="DE441" s="7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SUMIFS(M_BOM[RM_Qty_Per_Batch],M_BOM[Intermediate],$B441,M_BOM[RM_Code],$A340)</f>
        <v/>
      </c>
      <c r="D442">
        <f>IFERROR(INDEX(E442:DD442,$F$1),"")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  <c r="DD442">
        <f>$C442*DD441</f>
        <v/>
      </c>
    </row>
    <row r="443">
      <c r="B443" t="inlineStr">
        <is>
          <t>TSP-966</t>
        </is>
      </c>
      <c r="C443" t="inlineStr">
        <is>
          <t>No. of batches</t>
        </is>
      </c>
      <c r="D443">
        <f>IFERROR(INDEX(E443:DD443,$F$1),"")</f>
        <v/>
      </c>
      <c r="E443">
        <f>IFERROR(INDEX(PP_Grid[#Data],$DE443,2),0)</f>
        <v/>
      </c>
      <c r="F443">
        <f>IFERROR(INDEX(PP_Grid[#Data],$DE443,3),0)</f>
        <v/>
      </c>
      <c r="G443">
        <f>IFERROR(INDEX(PP_Grid[#Data],$DE443,4),0)</f>
        <v/>
      </c>
      <c r="H443">
        <f>IFERROR(INDEX(PP_Grid[#Data],$DE443,5),0)</f>
        <v/>
      </c>
      <c r="I443">
        <f>IFERROR(INDEX(PP_Grid[#Data],$DE443,6),0)</f>
        <v/>
      </c>
      <c r="J443">
        <f>IFERROR(INDEX(PP_Grid[#Data],$DE443,7),0)</f>
        <v/>
      </c>
      <c r="K443">
        <f>IFERROR(INDEX(PP_Grid[#Data],$DE443,8),0)</f>
        <v/>
      </c>
      <c r="L443">
        <f>IFERROR(INDEX(PP_Grid[#Data],$DE443,9),0)</f>
        <v/>
      </c>
      <c r="M443">
        <f>IFERROR(INDEX(PP_Grid[#Data],$DE443,10),0)</f>
        <v/>
      </c>
      <c r="N443">
        <f>IFERROR(INDEX(PP_Grid[#Data],$DE443,11),0)</f>
        <v/>
      </c>
      <c r="O443">
        <f>IFERROR(INDEX(PP_Grid[#Data],$DE443,12),0)</f>
        <v/>
      </c>
      <c r="P443">
        <f>IFERROR(INDEX(PP_Grid[#Data],$DE443,13),0)</f>
        <v/>
      </c>
      <c r="Q443">
        <f>IFERROR(INDEX(PP_Grid[#Data],$DE443,14),0)</f>
        <v/>
      </c>
      <c r="R443">
        <f>IFERROR(INDEX(PP_Grid[#Data],$DE443,15),0)</f>
        <v/>
      </c>
      <c r="S443">
        <f>IFERROR(INDEX(PP_Grid[#Data],$DE443,16),0)</f>
        <v/>
      </c>
      <c r="T443">
        <f>IFERROR(INDEX(PP_Grid[#Data],$DE443,17),0)</f>
        <v/>
      </c>
      <c r="U443">
        <f>IFERROR(INDEX(PP_Grid[#Data],$DE443,18),0)</f>
        <v/>
      </c>
      <c r="V443">
        <f>IFERROR(INDEX(PP_Grid[#Data],$DE443,19),0)</f>
        <v/>
      </c>
      <c r="W443">
        <f>IFERROR(INDEX(PP_Grid[#Data],$DE443,20),0)</f>
        <v/>
      </c>
      <c r="X443">
        <f>IFERROR(INDEX(PP_Grid[#Data],$DE443,21),0)</f>
        <v/>
      </c>
      <c r="Y443">
        <f>IFERROR(INDEX(PP_Grid[#Data],$DE443,22),0)</f>
        <v/>
      </c>
      <c r="Z443">
        <f>IFERROR(INDEX(PP_Grid[#Data],$DE443,23),0)</f>
        <v/>
      </c>
      <c r="AA443">
        <f>IFERROR(INDEX(PP_Grid[#Data],$DE443,24),0)</f>
        <v/>
      </c>
      <c r="AB443">
        <f>IFERROR(INDEX(PP_Grid[#Data],$DE443,25),0)</f>
        <v/>
      </c>
      <c r="AC443">
        <f>IFERROR(INDEX(PP_Grid[#Data],$DE443,26),0)</f>
        <v/>
      </c>
      <c r="AD443">
        <f>IFERROR(INDEX(PP_Grid[#Data],$DE443,27),0)</f>
        <v/>
      </c>
      <c r="AE443">
        <f>IFERROR(INDEX(PP_Grid[#Data],$DE443,28),0)</f>
        <v/>
      </c>
      <c r="AF443">
        <f>IFERROR(INDEX(PP_Grid[#Data],$DE443,29),0)</f>
        <v/>
      </c>
      <c r="AG443">
        <f>IFERROR(INDEX(PP_Grid[#Data],$DE443,30),0)</f>
        <v/>
      </c>
      <c r="AH443">
        <f>IFERROR(INDEX(PP_Grid[#Data],$DE443,31),0)</f>
        <v/>
      </c>
      <c r="AI443">
        <f>IFERROR(INDEX(PP_Grid[#Data],$DE443,32),0)</f>
        <v/>
      </c>
      <c r="AJ443">
        <f>IFERROR(INDEX(PP_Grid[#Data],$DE443,33),0)</f>
        <v/>
      </c>
      <c r="AK443">
        <f>IFERROR(INDEX(PP_Grid[#Data],$DE443,34),0)</f>
        <v/>
      </c>
      <c r="AL443">
        <f>IFERROR(INDEX(PP_Grid[#Data],$DE443,35),0)</f>
        <v/>
      </c>
      <c r="AM443">
        <f>IFERROR(INDEX(PP_Grid[#Data],$DE443,36),0)</f>
        <v/>
      </c>
      <c r="AN443">
        <f>IFERROR(INDEX(PP_Grid[#Data],$DE443,37),0)</f>
        <v/>
      </c>
      <c r="AO443">
        <f>IFERROR(INDEX(PP_Grid[#Data],$DE443,38),0)</f>
        <v/>
      </c>
      <c r="AP443">
        <f>IFERROR(INDEX(PP_Grid[#Data],$DE443,39),0)</f>
        <v/>
      </c>
      <c r="AQ443">
        <f>IFERROR(INDEX(PP_Grid[#Data],$DE443,40),0)</f>
        <v/>
      </c>
      <c r="AR443">
        <f>IFERROR(INDEX(PP_Grid[#Data],$DE443,41),0)</f>
        <v/>
      </c>
      <c r="AS443">
        <f>IFERROR(INDEX(PP_Grid[#Data],$DE443,42),0)</f>
        <v/>
      </c>
      <c r="AT443">
        <f>IFERROR(INDEX(PP_Grid[#Data],$DE443,43),0)</f>
        <v/>
      </c>
      <c r="AU443">
        <f>IFERROR(INDEX(PP_Grid[#Data],$DE443,44),0)</f>
        <v/>
      </c>
      <c r="AV443">
        <f>IFERROR(INDEX(PP_Grid[#Data],$DE443,45),0)</f>
        <v/>
      </c>
      <c r="AW443">
        <f>IFERROR(INDEX(PP_Grid[#Data],$DE443,46),0)</f>
        <v/>
      </c>
      <c r="AX443">
        <f>IFERROR(INDEX(PP_Grid[#Data],$DE443,47),0)</f>
        <v/>
      </c>
      <c r="AY443">
        <f>IFERROR(INDEX(PP_Grid[#Data],$DE443,48),0)</f>
        <v/>
      </c>
      <c r="AZ443">
        <f>IFERROR(INDEX(PP_Grid[#Data],$DE443,49),0)</f>
        <v/>
      </c>
      <c r="BA443">
        <f>IFERROR(INDEX(PP_Grid[#Data],$DE443,50),0)</f>
        <v/>
      </c>
      <c r="BB443">
        <f>IFERROR(INDEX(PP_Grid[#Data],$DE443,51),0)</f>
        <v/>
      </c>
      <c r="BC443">
        <f>IFERROR(INDEX(PP_Grid[#Data],$DE443,52),0)</f>
        <v/>
      </c>
      <c r="BD443">
        <f>IFERROR(INDEX(PP_Grid[#Data],$DE443,53),0)</f>
        <v/>
      </c>
      <c r="BE443">
        <f>IFERROR(INDEX(PP_Grid[#Data],$DE443,54),0)</f>
        <v/>
      </c>
      <c r="BF443">
        <f>IFERROR(INDEX(PP_Grid[#Data],$DE443,55),0)</f>
        <v/>
      </c>
      <c r="BG443">
        <f>IFERROR(INDEX(PP_Grid[#Data],$DE443,56),0)</f>
        <v/>
      </c>
      <c r="BH443">
        <f>IFERROR(INDEX(PP_Grid[#Data],$DE443,57),0)</f>
        <v/>
      </c>
      <c r="BI443">
        <f>IFERROR(INDEX(PP_Grid[#Data],$DE443,58),0)</f>
        <v/>
      </c>
      <c r="BJ443">
        <f>IFERROR(INDEX(PP_Grid[#Data],$DE443,59),0)</f>
        <v/>
      </c>
      <c r="BK443">
        <f>IFERROR(INDEX(PP_Grid[#Data],$DE443,60),0)</f>
        <v/>
      </c>
      <c r="BL443">
        <f>IFERROR(INDEX(PP_Grid[#Data],$DE443,61),0)</f>
        <v/>
      </c>
      <c r="BM443">
        <f>IFERROR(INDEX(PP_Grid[#Data],$DE443,62),0)</f>
        <v/>
      </c>
      <c r="BN443">
        <f>IFERROR(INDEX(PP_Grid[#Data],$DE443,63),0)</f>
        <v/>
      </c>
      <c r="BO443">
        <f>IFERROR(INDEX(PP_Grid[#Data],$DE443,64),0)</f>
        <v/>
      </c>
      <c r="BP443">
        <f>IFERROR(INDEX(PP_Grid[#Data],$DE443,65),0)</f>
        <v/>
      </c>
      <c r="BQ443">
        <f>IFERROR(INDEX(PP_Grid[#Data],$DE443,66),0)</f>
        <v/>
      </c>
      <c r="BR443">
        <f>IFERROR(INDEX(PP_Grid[#Data],$DE443,67),0)</f>
        <v/>
      </c>
      <c r="BS443">
        <f>IFERROR(INDEX(PP_Grid[#Data],$DE443,68),0)</f>
        <v/>
      </c>
      <c r="BT443">
        <f>IFERROR(INDEX(PP_Grid[#Data],$DE443,69),0)</f>
        <v/>
      </c>
      <c r="BU443">
        <f>IFERROR(INDEX(PP_Grid[#Data],$DE443,70),0)</f>
        <v/>
      </c>
      <c r="BV443">
        <f>IFERROR(INDEX(PP_Grid[#Data],$DE443,71),0)</f>
        <v/>
      </c>
      <c r="BW443">
        <f>IFERROR(INDEX(PP_Grid[#Data],$DE443,72),0)</f>
        <v/>
      </c>
      <c r="BX443">
        <f>IFERROR(INDEX(PP_Grid[#Data],$DE443,73),0)</f>
        <v/>
      </c>
      <c r="BY443">
        <f>IFERROR(INDEX(PP_Grid[#Data],$DE443,74),0)</f>
        <v/>
      </c>
      <c r="BZ443">
        <f>IFERROR(INDEX(PP_Grid[#Data],$DE443,75),0)</f>
        <v/>
      </c>
      <c r="CA443">
        <f>IFERROR(INDEX(PP_Grid[#Data],$DE443,76),0)</f>
        <v/>
      </c>
      <c r="CB443">
        <f>IFERROR(INDEX(PP_Grid[#Data],$DE443,77),0)</f>
        <v/>
      </c>
      <c r="CC443">
        <f>IFERROR(INDEX(PP_Grid[#Data],$DE443,78),0)</f>
        <v/>
      </c>
      <c r="CD443">
        <f>IFERROR(INDEX(PP_Grid[#Data],$DE443,79),0)</f>
        <v/>
      </c>
      <c r="CE443">
        <f>IFERROR(INDEX(PP_Grid[#Data],$DE443,80),0)</f>
        <v/>
      </c>
      <c r="CF443">
        <f>IFERROR(INDEX(PP_Grid[#Data],$DE443,81),0)</f>
        <v/>
      </c>
      <c r="CG443">
        <f>IFERROR(INDEX(PP_Grid[#Data],$DE443,82),0)</f>
        <v/>
      </c>
      <c r="CH443">
        <f>IFERROR(INDEX(PP_Grid[#Data],$DE443,83),0)</f>
        <v/>
      </c>
      <c r="CI443">
        <f>IFERROR(INDEX(PP_Grid[#Data],$DE443,84),0)</f>
        <v/>
      </c>
      <c r="CJ443">
        <f>IFERROR(INDEX(PP_Grid[#Data],$DE443,85),0)</f>
        <v/>
      </c>
      <c r="CK443">
        <f>IFERROR(INDEX(PP_Grid[#Data],$DE443,86),0)</f>
        <v/>
      </c>
      <c r="CL443">
        <f>IFERROR(INDEX(PP_Grid[#Data],$DE443,87),0)</f>
        <v/>
      </c>
      <c r="CM443">
        <f>IFERROR(INDEX(PP_Grid[#Data],$DE443,88),0)</f>
        <v/>
      </c>
      <c r="CN443">
        <f>IFERROR(INDEX(PP_Grid[#Data],$DE443,89),0)</f>
        <v/>
      </c>
      <c r="CO443">
        <f>IFERROR(INDEX(PP_Grid[#Data],$DE443,90),0)</f>
        <v/>
      </c>
      <c r="CP443">
        <f>IFERROR(INDEX(PP_Grid[#Data],$DE443,91),0)</f>
        <v/>
      </c>
      <c r="CQ443">
        <f>IFERROR(INDEX(PP_Grid[#Data],$DE443,92),0)</f>
        <v/>
      </c>
      <c r="CR443">
        <f>IFERROR(INDEX(PP_Grid[#Data],$DE443,93),0)</f>
        <v/>
      </c>
      <c r="CS443">
        <f>IFERROR(INDEX(PP_Grid[#Data],$DE443,94),0)</f>
        <v/>
      </c>
      <c r="CT443">
        <f>IFERROR(INDEX(PP_Grid[#Data],$DE443,95),0)</f>
        <v/>
      </c>
      <c r="CU443">
        <f>IFERROR(INDEX(PP_Grid[#Data],$DE443,96),0)</f>
        <v/>
      </c>
      <c r="CV443">
        <f>IFERROR(INDEX(PP_Grid[#Data],$DE443,97),0)</f>
        <v/>
      </c>
      <c r="CW443">
        <f>IFERROR(INDEX(PP_Grid[#Data],$DE443,98),0)</f>
        <v/>
      </c>
      <c r="CX443">
        <f>IFERROR(INDEX(PP_Grid[#Data],$DE443,99),0)</f>
        <v/>
      </c>
      <c r="CY443">
        <f>IFERROR(INDEX(PP_Grid[#Data],$DE443,100),0)</f>
        <v/>
      </c>
      <c r="CZ443">
        <f>IFERROR(INDEX(PP_Grid[#Data],$DE443,101),0)</f>
        <v/>
      </c>
      <c r="DA443">
        <f>IFERROR(INDEX(PP_Grid[#Data],$DE443,102),0)</f>
        <v/>
      </c>
      <c r="DB443">
        <f>IFERROR(INDEX(PP_Grid[#Data],$DE443,103),0)</f>
        <v/>
      </c>
      <c r="DC443">
        <f>IFERROR(INDEX(PP_Grid[#Data],$DE443,104),0)</f>
        <v/>
      </c>
      <c r="DD443">
        <f>IFERROR(INDEX(PP_Grid[#Data],$DE443,105),0)</f>
        <v/>
      </c>
      <c r="DE443" s="7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SUMIFS(M_BOM[RM_Qty_Per_Batch],M_BOM[Intermediate],$B443,M_BOM[RM_Code],$A340)</f>
        <v/>
      </c>
      <c r="D444">
        <f>IFERROR(INDEX(E444:DD444,$F$1),"")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  <c r="DD444">
        <f>$C444*DD443</f>
        <v/>
      </c>
    </row>
    <row r="445">
      <c r="B445" t="inlineStr">
        <is>
          <t>TVS-833</t>
        </is>
      </c>
      <c r="C445" t="inlineStr">
        <is>
          <t>No. of batches</t>
        </is>
      </c>
      <c r="D445">
        <f>IFERROR(INDEX(E445:DD445,$F$1),"")</f>
        <v/>
      </c>
      <c r="E445">
        <f>IFERROR(INDEX(PP_Grid[#Data],$DE445,2),0)</f>
        <v/>
      </c>
      <c r="F445">
        <f>IFERROR(INDEX(PP_Grid[#Data],$DE445,3),0)</f>
        <v/>
      </c>
      <c r="G445">
        <f>IFERROR(INDEX(PP_Grid[#Data],$DE445,4),0)</f>
        <v/>
      </c>
      <c r="H445">
        <f>IFERROR(INDEX(PP_Grid[#Data],$DE445,5),0)</f>
        <v/>
      </c>
      <c r="I445">
        <f>IFERROR(INDEX(PP_Grid[#Data],$DE445,6),0)</f>
        <v/>
      </c>
      <c r="J445">
        <f>IFERROR(INDEX(PP_Grid[#Data],$DE445,7),0)</f>
        <v/>
      </c>
      <c r="K445">
        <f>IFERROR(INDEX(PP_Grid[#Data],$DE445,8),0)</f>
        <v/>
      </c>
      <c r="L445">
        <f>IFERROR(INDEX(PP_Grid[#Data],$DE445,9),0)</f>
        <v/>
      </c>
      <c r="M445">
        <f>IFERROR(INDEX(PP_Grid[#Data],$DE445,10),0)</f>
        <v/>
      </c>
      <c r="N445">
        <f>IFERROR(INDEX(PP_Grid[#Data],$DE445,11),0)</f>
        <v/>
      </c>
      <c r="O445">
        <f>IFERROR(INDEX(PP_Grid[#Data],$DE445,12),0)</f>
        <v/>
      </c>
      <c r="P445">
        <f>IFERROR(INDEX(PP_Grid[#Data],$DE445,13),0)</f>
        <v/>
      </c>
      <c r="Q445">
        <f>IFERROR(INDEX(PP_Grid[#Data],$DE445,14),0)</f>
        <v/>
      </c>
      <c r="R445">
        <f>IFERROR(INDEX(PP_Grid[#Data],$DE445,15),0)</f>
        <v/>
      </c>
      <c r="S445">
        <f>IFERROR(INDEX(PP_Grid[#Data],$DE445,16),0)</f>
        <v/>
      </c>
      <c r="T445">
        <f>IFERROR(INDEX(PP_Grid[#Data],$DE445,17),0)</f>
        <v/>
      </c>
      <c r="U445">
        <f>IFERROR(INDEX(PP_Grid[#Data],$DE445,18),0)</f>
        <v/>
      </c>
      <c r="V445">
        <f>IFERROR(INDEX(PP_Grid[#Data],$DE445,19),0)</f>
        <v/>
      </c>
      <c r="W445">
        <f>IFERROR(INDEX(PP_Grid[#Data],$DE445,20),0)</f>
        <v/>
      </c>
      <c r="X445">
        <f>IFERROR(INDEX(PP_Grid[#Data],$DE445,21),0)</f>
        <v/>
      </c>
      <c r="Y445">
        <f>IFERROR(INDEX(PP_Grid[#Data],$DE445,22),0)</f>
        <v/>
      </c>
      <c r="Z445">
        <f>IFERROR(INDEX(PP_Grid[#Data],$DE445,23),0)</f>
        <v/>
      </c>
      <c r="AA445">
        <f>IFERROR(INDEX(PP_Grid[#Data],$DE445,24),0)</f>
        <v/>
      </c>
      <c r="AB445">
        <f>IFERROR(INDEX(PP_Grid[#Data],$DE445,25),0)</f>
        <v/>
      </c>
      <c r="AC445">
        <f>IFERROR(INDEX(PP_Grid[#Data],$DE445,26),0)</f>
        <v/>
      </c>
      <c r="AD445">
        <f>IFERROR(INDEX(PP_Grid[#Data],$DE445,27),0)</f>
        <v/>
      </c>
      <c r="AE445">
        <f>IFERROR(INDEX(PP_Grid[#Data],$DE445,28),0)</f>
        <v/>
      </c>
      <c r="AF445">
        <f>IFERROR(INDEX(PP_Grid[#Data],$DE445,29),0)</f>
        <v/>
      </c>
      <c r="AG445">
        <f>IFERROR(INDEX(PP_Grid[#Data],$DE445,30),0)</f>
        <v/>
      </c>
      <c r="AH445">
        <f>IFERROR(INDEX(PP_Grid[#Data],$DE445,31),0)</f>
        <v/>
      </c>
      <c r="AI445">
        <f>IFERROR(INDEX(PP_Grid[#Data],$DE445,32),0)</f>
        <v/>
      </c>
      <c r="AJ445">
        <f>IFERROR(INDEX(PP_Grid[#Data],$DE445,33),0)</f>
        <v/>
      </c>
      <c r="AK445">
        <f>IFERROR(INDEX(PP_Grid[#Data],$DE445,34),0)</f>
        <v/>
      </c>
      <c r="AL445">
        <f>IFERROR(INDEX(PP_Grid[#Data],$DE445,35),0)</f>
        <v/>
      </c>
      <c r="AM445">
        <f>IFERROR(INDEX(PP_Grid[#Data],$DE445,36),0)</f>
        <v/>
      </c>
      <c r="AN445">
        <f>IFERROR(INDEX(PP_Grid[#Data],$DE445,37),0)</f>
        <v/>
      </c>
      <c r="AO445">
        <f>IFERROR(INDEX(PP_Grid[#Data],$DE445,38),0)</f>
        <v/>
      </c>
      <c r="AP445">
        <f>IFERROR(INDEX(PP_Grid[#Data],$DE445,39),0)</f>
        <v/>
      </c>
      <c r="AQ445">
        <f>IFERROR(INDEX(PP_Grid[#Data],$DE445,40),0)</f>
        <v/>
      </c>
      <c r="AR445">
        <f>IFERROR(INDEX(PP_Grid[#Data],$DE445,41),0)</f>
        <v/>
      </c>
      <c r="AS445">
        <f>IFERROR(INDEX(PP_Grid[#Data],$DE445,42),0)</f>
        <v/>
      </c>
      <c r="AT445">
        <f>IFERROR(INDEX(PP_Grid[#Data],$DE445,43),0)</f>
        <v/>
      </c>
      <c r="AU445">
        <f>IFERROR(INDEX(PP_Grid[#Data],$DE445,44),0)</f>
        <v/>
      </c>
      <c r="AV445">
        <f>IFERROR(INDEX(PP_Grid[#Data],$DE445,45),0)</f>
        <v/>
      </c>
      <c r="AW445">
        <f>IFERROR(INDEX(PP_Grid[#Data],$DE445,46),0)</f>
        <v/>
      </c>
      <c r="AX445">
        <f>IFERROR(INDEX(PP_Grid[#Data],$DE445,47),0)</f>
        <v/>
      </c>
      <c r="AY445">
        <f>IFERROR(INDEX(PP_Grid[#Data],$DE445,48),0)</f>
        <v/>
      </c>
      <c r="AZ445">
        <f>IFERROR(INDEX(PP_Grid[#Data],$DE445,49),0)</f>
        <v/>
      </c>
      <c r="BA445">
        <f>IFERROR(INDEX(PP_Grid[#Data],$DE445,50),0)</f>
        <v/>
      </c>
      <c r="BB445">
        <f>IFERROR(INDEX(PP_Grid[#Data],$DE445,51),0)</f>
        <v/>
      </c>
      <c r="BC445">
        <f>IFERROR(INDEX(PP_Grid[#Data],$DE445,52),0)</f>
        <v/>
      </c>
      <c r="BD445">
        <f>IFERROR(INDEX(PP_Grid[#Data],$DE445,53),0)</f>
        <v/>
      </c>
      <c r="BE445">
        <f>IFERROR(INDEX(PP_Grid[#Data],$DE445,54),0)</f>
        <v/>
      </c>
      <c r="BF445">
        <f>IFERROR(INDEX(PP_Grid[#Data],$DE445,55),0)</f>
        <v/>
      </c>
      <c r="BG445">
        <f>IFERROR(INDEX(PP_Grid[#Data],$DE445,56),0)</f>
        <v/>
      </c>
      <c r="BH445">
        <f>IFERROR(INDEX(PP_Grid[#Data],$DE445,57),0)</f>
        <v/>
      </c>
      <c r="BI445">
        <f>IFERROR(INDEX(PP_Grid[#Data],$DE445,58),0)</f>
        <v/>
      </c>
      <c r="BJ445">
        <f>IFERROR(INDEX(PP_Grid[#Data],$DE445,59),0)</f>
        <v/>
      </c>
      <c r="BK445">
        <f>IFERROR(INDEX(PP_Grid[#Data],$DE445,60),0)</f>
        <v/>
      </c>
      <c r="BL445">
        <f>IFERROR(INDEX(PP_Grid[#Data],$DE445,61),0)</f>
        <v/>
      </c>
      <c r="BM445">
        <f>IFERROR(INDEX(PP_Grid[#Data],$DE445,62),0)</f>
        <v/>
      </c>
      <c r="BN445">
        <f>IFERROR(INDEX(PP_Grid[#Data],$DE445,63),0)</f>
        <v/>
      </c>
      <c r="BO445">
        <f>IFERROR(INDEX(PP_Grid[#Data],$DE445,64),0)</f>
        <v/>
      </c>
      <c r="BP445">
        <f>IFERROR(INDEX(PP_Grid[#Data],$DE445,65),0)</f>
        <v/>
      </c>
      <c r="BQ445">
        <f>IFERROR(INDEX(PP_Grid[#Data],$DE445,66),0)</f>
        <v/>
      </c>
      <c r="BR445">
        <f>IFERROR(INDEX(PP_Grid[#Data],$DE445,67),0)</f>
        <v/>
      </c>
      <c r="BS445">
        <f>IFERROR(INDEX(PP_Grid[#Data],$DE445,68),0)</f>
        <v/>
      </c>
      <c r="BT445">
        <f>IFERROR(INDEX(PP_Grid[#Data],$DE445,69),0)</f>
        <v/>
      </c>
      <c r="BU445">
        <f>IFERROR(INDEX(PP_Grid[#Data],$DE445,70),0)</f>
        <v/>
      </c>
      <c r="BV445">
        <f>IFERROR(INDEX(PP_Grid[#Data],$DE445,71),0)</f>
        <v/>
      </c>
      <c r="BW445">
        <f>IFERROR(INDEX(PP_Grid[#Data],$DE445,72),0)</f>
        <v/>
      </c>
      <c r="BX445">
        <f>IFERROR(INDEX(PP_Grid[#Data],$DE445,73),0)</f>
        <v/>
      </c>
      <c r="BY445">
        <f>IFERROR(INDEX(PP_Grid[#Data],$DE445,74),0)</f>
        <v/>
      </c>
      <c r="BZ445">
        <f>IFERROR(INDEX(PP_Grid[#Data],$DE445,75),0)</f>
        <v/>
      </c>
      <c r="CA445">
        <f>IFERROR(INDEX(PP_Grid[#Data],$DE445,76),0)</f>
        <v/>
      </c>
      <c r="CB445">
        <f>IFERROR(INDEX(PP_Grid[#Data],$DE445,77),0)</f>
        <v/>
      </c>
      <c r="CC445">
        <f>IFERROR(INDEX(PP_Grid[#Data],$DE445,78),0)</f>
        <v/>
      </c>
      <c r="CD445">
        <f>IFERROR(INDEX(PP_Grid[#Data],$DE445,79),0)</f>
        <v/>
      </c>
      <c r="CE445">
        <f>IFERROR(INDEX(PP_Grid[#Data],$DE445,80),0)</f>
        <v/>
      </c>
      <c r="CF445">
        <f>IFERROR(INDEX(PP_Grid[#Data],$DE445,81),0)</f>
        <v/>
      </c>
      <c r="CG445">
        <f>IFERROR(INDEX(PP_Grid[#Data],$DE445,82),0)</f>
        <v/>
      </c>
      <c r="CH445">
        <f>IFERROR(INDEX(PP_Grid[#Data],$DE445,83),0)</f>
        <v/>
      </c>
      <c r="CI445">
        <f>IFERROR(INDEX(PP_Grid[#Data],$DE445,84),0)</f>
        <v/>
      </c>
      <c r="CJ445">
        <f>IFERROR(INDEX(PP_Grid[#Data],$DE445,85),0)</f>
        <v/>
      </c>
      <c r="CK445">
        <f>IFERROR(INDEX(PP_Grid[#Data],$DE445,86),0)</f>
        <v/>
      </c>
      <c r="CL445">
        <f>IFERROR(INDEX(PP_Grid[#Data],$DE445,87),0)</f>
        <v/>
      </c>
      <c r="CM445">
        <f>IFERROR(INDEX(PP_Grid[#Data],$DE445,88),0)</f>
        <v/>
      </c>
      <c r="CN445">
        <f>IFERROR(INDEX(PP_Grid[#Data],$DE445,89),0)</f>
        <v/>
      </c>
      <c r="CO445">
        <f>IFERROR(INDEX(PP_Grid[#Data],$DE445,90),0)</f>
        <v/>
      </c>
      <c r="CP445">
        <f>IFERROR(INDEX(PP_Grid[#Data],$DE445,91),0)</f>
        <v/>
      </c>
      <c r="CQ445">
        <f>IFERROR(INDEX(PP_Grid[#Data],$DE445,92),0)</f>
        <v/>
      </c>
      <c r="CR445">
        <f>IFERROR(INDEX(PP_Grid[#Data],$DE445,93),0)</f>
        <v/>
      </c>
      <c r="CS445">
        <f>IFERROR(INDEX(PP_Grid[#Data],$DE445,94),0)</f>
        <v/>
      </c>
      <c r="CT445">
        <f>IFERROR(INDEX(PP_Grid[#Data],$DE445,95),0)</f>
        <v/>
      </c>
      <c r="CU445">
        <f>IFERROR(INDEX(PP_Grid[#Data],$DE445,96),0)</f>
        <v/>
      </c>
      <c r="CV445">
        <f>IFERROR(INDEX(PP_Grid[#Data],$DE445,97),0)</f>
        <v/>
      </c>
      <c r="CW445">
        <f>IFERROR(INDEX(PP_Grid[#Data],$DE445,98),0)</f>
        <v/>
      </c>
      <c r="CX445">
        <f>IFERROR(INDEX(PP_Grid[#Data],$DE445,99),0)</f>
        <v/>
      </c>
      <c r="CY445">
        <f>IFERROR(INDEX(PP_Grid[#Data],$DE445,100),0)</f>
        <v/>
      </c>
      <c r="CZ445">
        <f>IFERROR(INDEX(PP_Grid[#Data],$DE445,101),0)</f>
        <v/>
      </c>
      <c r="DA445">
        <f>IFERROR(INDEX(PP_Grid[#Data],$DE445,102),0)</f>
        <v/>
      </c>
      <c r="DB445">
        <f>IFERROR(INDEX(PP_Grid[#Data],$DE445,103),0)</f>
        <v/>
      </c>
      <c r="DC445">
        <f>IFERROR(INDEX(PP_Grid[#Data],$DE445,104),0)</f>
        <v/>
      </c>
      <c r="DD445">
        <f>IFERROR(INDEX(PP_Grid[#Data],$DE445,105),0)</f>
        <v/>
      </c>
      <c r="DE445" s="7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SUMIFS(M_BOM[RM_Qty_Per_Batch],M_BOM[Intermediate],$B445,M_BOM[RM_Code],$A340)</f>
        <v/>
      </c>
      <c r="D446">
        <f>IFERROR(INDEX(E446:DD446,$F$1),"")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  <c r="DD446">
        <f>$C446*DD445</f>
        <v/>
      </c>
    </row>
    <row r="447">
      <c r="B447" t="inlineStr">
        <is>
          <t>TSP-1388</t>
        </is>
      </c>
      <c r="C447" t="inlineStr">
        <is>
          <t>No. of batches</t>
        </is>
      </c>
      <c r="D447">
        <f>IFERROR(INDEX(E447:DD447,$F$1),"")</f>
        <v/>
      </c>
      <c r="E447">
        <f>IFERROR(INDEX(PP_Grid[#Data],$DE447,2),0)</f>
        <v/>
      </c>
      <c r="F447">
        <f>IFERROR(INDEX(PP_Grid[#Data],$DE447,3),0)</f>
        <v/>
      </c>
      <c r="G447">
        <f>IFERROR(INDEX(PP_Grid[#Data],$DE447,4),0)</f>
        <v/>
      </c>
      <c r="H447">
        <f>IFERROR(INDEX(PP_Grid[#Data],$DE447,5),0)</f>
        <v/>
      </c>
      <c r="I447">
        <f>IFERROR(INDEX(PP_Grid[#Data],$DE447,6),0)</f>
        <v/>
      </c>
      <c r="J447">
        <f>IFERROR(INDEX(PP_Grid[#Data],$DE447,7),0)</f>
        <v/>
      </c>
      <c r="K447">
        <f>IFERROR(INDEX(PP_Grid[#Data],$DE447,8),0)</f>
        <v/>
      </c>
      <c r="L447">
        <f>IFERROR(INDEX(PP_Grid[#Data],$DE447,9),0)</f>
        <v/>
      </c>
      <c r="M447">
        <f>IFERROR(INDEX(PP_Grid[#Data],$DE447,10),0)</f>
        <v/>
      </c>
      <c r="N447">
        <f>IFERROR(INDEX(PP_Grid[#Data],$DE447,11),0)</f>
        <v/>
      </c>
      <c r="O447">
        <f>IFERROR(INDEX(PP_Grid[#Data],$DE447,12),0)</f>
        <v/>
      </c>
      <c r="P447">
        <f>IFERROR(INDEX(PP_Grid[#Data],$DE447,13),0)</f>
        <v/>
      </c>
      <c r="Q447">
        <f>IFERROR(INDEX(PP_Grid[#Data],$DE447,14),0)</f>
        <v/>
      </c>
      <c r="R447">
        <f>IFERROR(INDEX(PP_Grid[#Data],$DE447,15),0)</f>
        <v/>
      </c>
      <c r="S447">
        <f>IFERROR(INDEX(PP_Grid[#Data],$DE447,16),0)</f>
        <v/>
      </c>
      <c r="T447">
        <f>IFERROR(INDEX(PP_Grid[#Data],$DE447,17),0)</f>
        <v/>
      </c>
      <c r="U447">
        <f>IFERROR(INDEX(PP_Grid[#Data],$DE447,18),0)</f>
        <v/>
      </c>
      <c r="V447">
        <f>IFERROR(INDEX(PP_Grid[#Data],$DE447,19),0)</f>
        <v/>
      </c>
      <c r="W447">
        <f>IFERROR(INDEX(PP_Grid[#Data],$DE447,20),0)</f>
        <v/>
      </c>
      <c r="X447">
        <f>IFERROR(INDEX(PP_Grid[#Data],$DE447,21),0)</f>
        <v/>
      </c>
      <c r="Y447">
        <f>IFERROR(INDEX(PP_Grid[#Data],$DE447,22),0)</f>
        <v/>
      </c>
      <c r="Z447">
        <f>IFERROR(INDEX(PP_Grid[#Data],$DE447,23),0)</f>
        <v/>
      </c>
      <c r="AA447">
        <f>IFERROR(INDEX(PP_Grid[#Data],$DE447,24),0)</f>
        <v/>
      </c>
      <c r="AB447">
        <f>IFERROR(INDEX(PP_Grid[#Data],$DE447,25),0)</f>
        <v/>
      </c>
      <c r="AC447">
        <f>IFERROR(INDEX(PP_Grid[#Data],$DE447,26),0)</f>
        <v/>
      </c>
      <c r="AD447">
        <f>IFERROR(INDEX(PP_Grid[#Data],$DE447,27),0)</f>
        <v/>
      </c>
      <c r="AE447">
        <f>IFERROR(INDEX(PP_Grid[#Data],$DE447,28),0)</f>
        <v/>
      </c>
      <c r="AF447">
        <f>IFERROR(INDEX(PP_Grid[#Data],$DE447,29),0)</f>
        <v/>
      </c>
      <c r="AG447">
        <f>IFERROR(INDEX(PP_Grid[#Data],$DE447,30),0)</f>
        <v/>
      </c>
      <c r="AH447">
        <f>IFERROR(INDEX(PP_Grid[#Data],$DE447,31),0)</f>
        <v/>
      </c>
      <c r="AI447">
        <f>IFERROR(INDEX(PP_Grid[#Data],$DE447,32),0)</f>
        <v/>
      </c>
      <c r="AJ447">
        <f>IFERROR(INDEX(PP_Grid[#Data],$DE447,33),0)</f>
        <v/>
      </c>
      <c r="AK447">
        <f>IFERROR(INDEX(PP_Grid[#Data],$DE447,34),0)</f>
        <v/>
      </c>
      <c r="AL447">
        <f>IFERROR(INDEX(PP_Grid[#Data],$DE447,35),0)</f>
        <v/>
      </c>
      <c r="AM447">
        <f>IFERROR(INDEX(PP_Grid[#Data],$DE447,36),0)</f>
        <v/>
      </c>
      <c r="AN447">
        <f>IFERROR(INDEX(PP_Grid[#Data],$DE447,37),0)</f>
        <v/>
      </c>
      <c r="AO447">
        <f>IFERROR(INDEX(PP_Grid[#Data],$DE447,38),0)</f>
        <v/>
      </c>
      <c r="AP447">
        <f>IFERROR(INDEX(PP_Grid[#Data],$DE447,39),0)</f>
        <v/>
      </c>
      <c r="AQ447">
        <f>IFERROR(INDEX(PP_Grid[#Data],$DE447,40),0)</f>
        <v/>
      </c>
      <c r="AR447">
        <f>IFERROR(INDEX(PP_Grid[#Data],$DE447,41),0)</f>
        <v/>
      </c>
      <c r="AS447">
        <f>IFERROR(INDEX(PP_Grid[#Data],$DE447,42),0)</f>
        <v/>
      </c>
      <c r="AT447">
        <f>IFERROR(INDEX(PP_Grid[#Data],$DE447,43),0)</f>
        <v/>
      </c>
      <c r="AU447">
        <f>IFERROR(INDEX(PP_Grid[#Data],$DE447,44),0)</f>
        <v/>
      </c>
      <c r="AV447">
        <f>IFERROR(INDEX(PP_Grid[#Data],$DE447,45),0)</f>
        <v/>
      </c>
      <c r="AW447">
        <f>IFERROR(INDEX(PP_Grid[#Data],$DE447,46),0)</f>
        <v/>
      </c>
      <c r="AX447">
        <f>IFERROR(INDEX(PP_Grid[#Data],$DE447,47),0)</f>
        <v/>
      </c>
      <c r="AY447">
        <f>IFERROR(INDEX(PP_Grid[#Data],$DE447,48),0)</f>
        <v/>
      </c>
      <c r="AZ447">
        <f>IFERROR(INDEX(PP_Grid[#Data],$DE447,49),0)</f>
        <v/>
      </c>
      <c r="BA447">
        <f>IFERROR(INDEX(PP_Grid[#Data],$DE447,50),0)</f>
        <v/>
      </c>
      <c r="BB447">
        <f>IFERROR(INDEX(PP_Grid[#Data],$DE447,51),0)</f>
        <v/>
      </c>
      <c r="BC447">
        <f>IFERROR(INDEX(PP_Grid[#Data],$DE447,52),0)</f>
        <v/>
      </c>
      <c r="BD447">
        <f>IFERROR(INDEX(PP_Grid[#Data],$DE447,53),0)</f>
        <v/>
      </c>
      <c r="BE447">
        <f>IFERROR(INDEX(PP_Grid[#Data],$DE447,54),0)</f>
        <v/>
      </c>
      <c r="BF447">
        <f>IFERROR(INDEX(PP_Grid[#Data],$DE447,55),0)</f>
        <v/>
      </c>
      <c r="BG447">
        <f>IFERROR(INDEX(PP_Grid[#Data],$DE447,56),0)</f>
        <v/>
      </c>
      <c r="BH447">
        <f>IFERROR(INDEX(PP_Grid[#Data],$DE447,57),0)</f>
        <v/>
      </c>
      <c r="BI447">
        <f>IFERROR(INDEX(PP_Grid[#Data],$DE447,58),0)</f>
        <v/>
      </c>
      <c r="BJ447">
        <f>IFERROR(INDEX(PP_Grid[#Data],$DE447,59),0)</f>
        <v/>
      </c>
      <c r="BK447">
        <f>IFERROR(INDEX(PP_Grid[#Data],$DE447,60),0)</f>
        <v/>
      </c>
      <c r="BL447">
        <f>IFERROR(INDEX(PP_Grid[#Data],$DE447,61),0)</f>
        <v/>
      </c>
      <c r="BM447">
        <f>IFERROR(INDEX(PP_Grid[#Data],$DE447,62),0)</f>
        <v/>
      </c>
      <c r="BN447">
        <f>IFERROR(INDEX(PP_Grid[#Data],$DE447,63),0)</f>
        <v/>
      </c>
      <c r="BO447">
        <f>IFERROR(INDEX(PP_Grid[#Data],$DE447,64),0)</f>
        <v/>
      </c>
      <c r="BP447">
        <f>IFERROR(INDEX(PP_Grid[#Data],$DE447,65),0)</f>
        <v/>
      </c>
      <c r="BQ447">
        <f>IFERROR(INDEX(PP_Grid[#Data],$DE447,66),0)</f>
        <v/>
      </c>
      <c r="BR447">
        <f>IFERROR(INDEX(PP_Grid[#Data],$DE447,67),0)</f>
        <v/>
      </c>
      <c r="BS447">
        <f>IFERROR(INDEX(PP_Grid[#Data],$DE447,68),0)</f>
        <v/>
      </c>
      <c r="BT447">
        <f>IFERROR(INDEX(PP_Grid[#Data],$DE447,69),0)</f>
        <v/>
      </c>
      <c r="BU447">
        <f>IFERROR(INDEX(PP_Grid[#Data],$DE447,70),0)</f>
        <v/>
      </c>
      <c r="BV447">
        <f>IFERROR(INDEX(PP_Grid[#Data],$DE447,71),0)</f>
        <v/>
      </c>
      <c r="BW447">
        <f>IFERROR(INDEX(PP_Grid[#Data],$DE447,72),0)</f>
        <v/>
      </c>
      <c r="BX447">
        <f>IFERROR(INDEX(PP_Grid[#Data],$DE447,73),0)</f>
        <v/>
      </c>
      <c r="BY447">
        <f>IFERROR(INDEX(PP_Grid[#Data],$DE447,74),0)</f>
        <v/>
      </c>
      <c r="BZ447">
        <f>IFERROR(INDEX(PP_Grid[#Data],$DE447,75),0)</f>
        <v/>
      </c>
      <c r="CA447">
        <f>IFERROR(INDEX(PP_Grid[#Data],$DE447,76),0)</f>
        <v/>
      </c>
      <c r="CB447">
        <f>IFERROR(INDEX(PP_Grid[#Data],$DE447,77),0)</f>
        <v/>
      </c>
      <c r="CC447">
        <f>IFERROR(INDEX(PP_Grid[#Data],$DE447,78),0)</f>
        <v/>
      </c>
      <c r="CD447">
        <f>IFERROR(INDEX(PP_Grid[#Data],$DE447,79),0)</f>
        <v/>
      </c>
      <c r="CE447">
        <f>IFERROR(INDEX(PP_Grid[#Data],$DE447,80),0)</f>
        <v/>
      </c>
      <c r="CF447">
        <f>IFERROR(INDEX(PP_Grid[#Data],$DE447,81),0)</f>
        <v/>
      </c>
      <c r="CG447">
        <f>IFERROR(INDEX(PP_Grid[#Data],$DE447,82),0)</f>
        <v/>
      </c>
      <c r="CH447">
        <f>IFERROR(INDEX(PP_Grid[#Data],$DE447,83),0)</f>
        <v/>
      </c>
      <c r="CI447">
        <f>IFERROR(INDEX(PP_Grid[#Data],$DE447,84),0)</f>
        <v/>
      </c>
      <c r="CJ447">
        <f>IFERROR(INDEX(PP_Grid[#Data],$DE447,85),0)</f>
        <v/>
      </c>
      <c r="CK447">
        <f>IFERROR(INDEX(PP_Grid[#Data],$DE447,86),0)</f>
        <v/>
      </c>
      <c r="CL447">
        <f>IFERROR(INDEX(PP_Grid[#Data],$DE447,87),0)</f>
        <v/>
      </c>
      <c r="CM447">
        <f>IFERROR(INDEX(PP_Grid[#Data],$DE447,88),0)</f>
        <v/>
      </c>
      <c r="CN447">
        <f>IFERROR(INDEX(PP_Grid[#Data],$DE447,89),0)</f>
        <v/>
      </c>
      <c r="CO447">
        <f>IFERROR(INDEX(PP_Grid[#Data],$DE447,90),0)</f>
        <v/>
      </c>
      <c r="CP447">
        <f>IFERROR(INDEX(PP_Grid[#Data],$DE447,91),0)</f>
        <v/>
      </c>
      <c r="CQ447">
        <f>IFERROR(INDEX(PP_Grid[#Data],$DE447,92),0)</f>
        <v/>
      </c>
      <c r="CR447">
        <f>IFERROR(INDEX(PP_Grid[#Data],$DE447,93),0)</f>
        <v/>
      </c>
      <c r="CS447">
        <f>IFERROR(INDEX(PP_Grid[#Data],$DE447,94),0)</f>
        <v/>
      </c>
      <c r="CT447">
        <f>IFERROR(INDEX(PP_Grid[#Data],$DE447,95),0)</f>
        <v/>
      </c>
      <c r="CU447">
        <f>IFERROR(INDEX(PP_Grid[#Data],$DE447,96),0)</f>
        <v/>
      </c>
      <c r="CV447">
        <f>IFERROR(INDEX(PP_Grid[#Data],$DE447,97),0)</f>
        <v/>
      </c>
      <c r="CW447">
        <f>IFERROR(INDEX(PP_Grid[#Data],$DE447,98),0)</f>
        <v/>
      </c>
      <c r="CX447">
        <f>IFERROR(INDEX(PP_Grid[#Data],$DE447,99),0)</f>
        <v/>
      </c>
      <c r="CY447">
        <f>IFERROR(INDEX(PP_Grid[#Data],$DE447,100),0)</f>
        <v/>
      </c>
      <c r="CZ447">
        <f>IFERROR(INDEX(PP_Grid[#Data],$DE447,101),0)</f>
        <v/>
      </c>
      <c r="DA447">
        <f>IFERROR(INDEX(PP_Grid[#Data],$DE447,102),0)</f>
        <v/>
      </c>
      <c r="DB447">
        <f>IFERROR(INDEX(PP_Grid[#Data],$DE447,103),0)</f>
        <v/>
      </c>
      <c r="DC447">
        <f>IFERROR(INDEX(PP_Grid[#Data],$DE447,104),0)</f>
        <v/>
      </c>
      <c r="DD447">
        <f>IFERROR(INDEX(PP_Grid[#Data],$DE447,105),0)</f>
        <v/>
      </c>
      <c r="DE447" s="7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SUMIFS(M_BOM[RM_Qty_Per_Batch],M_BOM[Intermediate],$B447,M_BOM[RM_Code],$A340)</f>
        <v/>
      </c>
      <c r="D448">
        <f>IFERROR(INDEX(E448:DD448,$F$1),"")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  <c r="DD448">
        <f>$C448*DD447</f>
        <v/>
      </c>
    </row>
    <row r="449">
      <c r="B449" t="inlineStr">
        <is>
          <t>TSP-1444</t>
        </is>
      </c>
      <c r="C449" t="inlineStr">
        <is>
          <t>No. of batches</t>
        </is>
      </c>
      <c r="D449">
        <f>IFERROR(INDEX(E449:DD449,$F$1),"")</f>
        <v/>
      </c>
      <c r="E449">
        <f>IFERROR(INDEX(PP_Grid[#Data],$DE449,2),0)</f>
        <v/>
      </c>
      <c r="F449">
        <f>IFERROR(INDEX(PP_Grid[#Data],$DE449,3),0)</f>
        <v/>
      </c>
      <c r="G449">
        <f>IFERROR(INDEX(PP_Grid[#Data],$DE449,4),0)</f>
        <v/>
      </c>
      <c r="H449">
        <f>IFERROR(INDEX(PP_Grid[#Data],$DE449,5),0)</f>
        <v/>
      </c>
      <c r="I449">
        <f>IFERROR(INDEX(PP_Grid[#Data],$DE449,6),0)</f>
        <v/>
      </c>
      <c r="J449">
        <f>IFERROR(INDEX(PP_Grid[#Data],$DE449,7),0)</f>
        <v/>
      </c>
      <c r="K449">
        <f>IFERROR(INDEX(PP_Grid[#Data],$DE449,8),0)</f>
        <v/>
      </c>
      <c r="L449">
        <f>IFERROR(INDEX(PP_Grid[#Data],$DE449,9),0)</f>
        <v/>
      </c>
      <c r="M449">
        <f>IFERROR(INDEX(PP_Grid[#Data],$DE449,10),0)</f>
        <v/>
      </c>
      <c r="N449">
        <f>IFERROR(INDEX(PP_Grid[#Data],$DE449,11),0)</f>
        <v/>
      </c>
      <c r="O449">
        <f>IFERROR(INDEX(PP_Grid[#Data],$DE449,12),0)</f>
        <v/>
      </c>
      <c r="P449">
        <f>IFERROR(INDEX(PP_Grid[#Data],$DE449,13),0)</f>
        <v/>
      </c>
      <c r="Q449">
        <f>IFERROR(INDEX(PP_Grid[#Data],$DE449,14),0)</f>
        <v/>
      </c>
      <c r="R449">
        <f>IFERROR(INDEX(PP_Grid[#Data],$DE449,15),0)</f>
        <v/>
      </c>
      <c r="S449">
        <f>IFERROR(INDEX(PP_Grid[#Data],$DE449,16),0)</f>
        <v/>
      </c>
      <c r="T449">
        <f>IFERROR(INDEX(PP_Grid[#Data],$DE449,17),0)</f>
        <v/>
      </c>
      <c r="U449">
        <f>IFERROR(INDEX(PP_Grid[#Data],$DE449,18),0)</f>
        <v/>
      </c>
      <c r="V449">
        <f>IFERROR(INDEX(PP_Grid[#Data],$DE449,19),0)</f>
        <v/>
      </c>
      <c r="W449">
        <f>IFERROR(INDEX(PP_Grid[#Data],$DE449,20),0)</f>
        <v/>
      </c>
      <c r="X449">
        <f>IFERROR(INDEX(PP_Grid[#Data],$DE449,21),0)</f>
        <v/>
      </c>
      <c r="Y449">
        <f>IFERROR(INDEX(PP_Grid[#Data],$DE449,22),0)</f>
        <v/>
      </c>
      <c r="Z449">
        <f>IFERROR(INDEX(PP_Grid[#Data],$DE449,23),0)</f>
        <v/>
      </c>
      <c r="AA449">
        <f>IFERROR(INDEX(PP_Grid[#Data],$DE449,24),0)</f>
        <v/>
      </c>
      <c r="AB449">
        <f>IFERROR(INDEX(PP_Grid[#Data],$DE449,25),0)</f>
        <v/>
      </c>
      <c r="AC449">
        <f>IFERROR(INDEX(PP_Grid[#Data],$DE449,26),0)</f>
        <v/>
      </c>
      <c r="AD449">
        <f>IFERROR(INDEX(PP_Grid[#Data],$DE449,27),0)</f>
        <v/>
      </c>
      <c r="AE449">
        <f>IFERROR(INDEX(PP_Grid[#Data],$DE449,28),0)</f>
        <v/>
      </c>
      <c r="AF449">
        <f>IFERROR(INDEX(PP_Grid[#Data],$DE449,29),0)</f>
        <v/>
      </c>
      <c r="AG449">
        <f>IFERROR(INDEX(PP_Grid[#Data],$DE449,30),0)</f>
        <v/>
      </c>
      <c r="AH449">
        <f>IFERROR(INDEX(PP_Grid[#Data],$DE449,31),0)</f>
        <v/>
      </c>
      <c r="AI449">
        <f>IFERROR(INDEX(PP_Grid[#Data],$DE449,32),0)</f>
        <v/>
      </c>
      <c r="AJ449">
        <f>IFERROR(INDEX(PP_Grid[#Data],$DE449,33),0)</f>
        <v/>
      </c>
      <c r="AK449">
        <f>IFERROR(INDEX(PP_Grid[#Data],$DE449,34),0)</f>
        <v/>
      </c>
      <c r="AL449">
        <f>IFERROR(INDEX(PP_Grid[#Data],$DE449,35),0)</f>
        <v/>
      </c>
      <c r="AM449">
        <f>IFERROR(INDEX(PP_Grid[#Data],$DE449,36),0)</f>
        <v/>
      </c>
      <c r="AN449">
        <f>IFERROR(INDEX(PP_Grid[#Data],$DE449,37),0)</f>
        <v/>
      </c>
      <c r="AO449">
        <f>IFERROR(INDEX(PP_Grid[#Data],$DE449,38),0)</f>
        <v/>
      </c>
      <c r="AP449">
        <f>IFERROR(INDEX(PP_Grid[#Data],$DE449,39),0)</f>
        <v/>
      </c>
      <c r="AQ449">
        <f>IFERROR(INDEX(PP_Grid[#Data],$DE449,40),0)</f>
        <v/>
      </c>
      <c r="AR449">
        <f>IFERROR(INDEX(PP_Grid[#Data],$DE449,41),0)</f>
        <v/>
      </c>
      <c r="AS449">
        <f>IFERROR(INDEX(PP_Grid[#Data],$DE449,42),0)</f>
        <v/>
      </c>
      <c r="AT449">
        <f>IFERROR(INDEX(PP_Grid[#Data],$DE449,43),0)</f>
        <v/>
      </c>
      <c r="AU449">
        <f>IFERROR(INDEX(PP_Grid[#Data],$DE449,44),0)</f>
        <v/>
      </c>
      <c r="AV449">
        <f>IFERROR(INDEX(PP_Grid[#Data],$DE449,45),0)</f>
        <v/>
      </c>
      <c r="AW449">
        <f>IFERROR(INDEX(PP_Grid[#Data],$DE449,46),0)</f>
        <v/>
      </c>
      <c r="AX449">
        <f>IFERROR(INDEX(PP_Grid[#Data],$DE449,47),0)</f>
        <v/>
      </c>
      <c r="AY449">
        <f>IFERROR(INDEX(PP_Grid[#Data],$DE449,48),0)</f>
        <v/>
      </c>
      <c r="AZ449">
        <f>IFERROR(INDEX(PP_Grid[#Data],$DE449,49),0)</f>
        <v/>
      </c>
      <c r="BA449">
        <f>IFERROR(INDEX(PP_Grid[#Data],$DE449,50),0)</f>
        <v/>
      </c>
      <c r="BB449">
        <f>IFERROR(INDEX(PP_Grid[#Data],$DE449,51),0)</f>
        <v/>
      </c>
      <c r="BC449">
        <f>IFERROR(INDEX(PP_Grid[#Data],$DE449,52),0)</f>
        <v/>
      </c>
      <c r="BD449">
        <f>IFERROR(INDEX(PP_Grid[#Data],$DE449,53),0)</f>
        <v/>
      </c>
      <c r="BE449">
        <f>IFERROR(INDEX(PP_Grid[#Data],$DE449,54),0)</f>
        <v/>
      </c>
      <c r="BF449">
        <f>IFERROR(INDEX(PP_Grid[#Data],$DE449,55),0)</f>
        <v/>
      </c>
      <c r="BG449">
        <f>IFERROR(INDEX(PP_Grid[#Data],$DE449,56),0)</f>
        <v/>
      </c>
      <c r="BH449">
        <f>IFERROR(INDEX(PP_Grid[#Data],$DE449,57),0)</f>
        <v/>
      </c>
      <c r="BI449">
        <f>IFERROR(INDEX(PP_Grid[#Data],$DE449,58),0)</f>
        <v/>
      </c>
      <c r="BJ449">
        <f>IFERROR(INDEX(PP_Grid[#Data],$DE449,59),0)</f>
        <v/>
      </c>
      <c r="BK449">
        <f>IFERROR(INDEX(PP_Grid[#Data],$DE449,60),0)</f>
        <v/>
      </c>
      <c r="BL449">
        <f>IFERROR(INDEX(PP_Grid[#Data],$DE449,61),0)</f>
        <v/>
      </c>
      <c r="BM449">
        <f>IFERROR(INDEX(PP_Grid[#Data],$DE449,62),0)</f>
        <v/>
      </c>
      <c r="BN449">
        <f>IFERROR(INDEX(PP_Grid[#Data],$DE449,63),0)</f>
        <v/>
      </c>
      <c r="BO449">
        <f>IFERROR(INDEX(PP_Grid[#Data],$DE449,64),0)</f>
        <v/>
      </c>
      <c r="BP449">
        <f>IFERROR(INDEX(PP_Grid[#Data],$DE449,65),0)</f>
        <v/>
      </c>
      <c r="BQ449">
        <f>IFERROR(INDEX(PP_Grid[#Data],$DE449,66),0)</f>
        <v/>
      </c>
      <c r="BR449">
        <f>IFERROR(INDEX(PP_Grid[#Data],$DE449,67),0)</f>
        <v/>
      </c>
      <c r="BS449">
        <f>IFERROR(INDEX(PP_Grid[#Data],$DE449,68),0)</f>
        <v/>
      </c>
      <c r="BT449">
        <f>IFERROR(INDEX(PP_Grid[#Data],$DE449,69),0)</f>
        <v/>
      </c>
      <c r="BU449">
        <f>IFERROR(INDEX(PP_Grid[#Data],$DE449,70),0)</f>
        <v/>
      </c>
      <c r="BV449">
        <f>IFERROR(INDEX(PP_Grid[#Data],$DE449,71),0)</f>
        <v/>
      </c>
      <c r="BW449">
        <f>IFERROR(INDEX(PP_Grid[#Data],$DE449,72),0)</f>
        <v/>
      </c>
      <c r="BX449">
        <f>IFERROR(INDEX(PP_Grid[#Data],$DE449,73),0)</f>
        <v/>
      </c>
      <c r="BY449">
        <f>IFERROR(INDEX(PP_Grid[#Data],$DE449,74),0)</f>
        <v/>
      </c>
      <c r="BZ449">
        <f>IFERROR(INDEX(PP_Grid[#Data],$DE449,75),0)</f>
        <v/>
      </c>
      <c r="CA449">
        <f>IFERROR(INDEX(PP_Grid[#Data],$DE449,76),0)</f>
        <v/>
      </c>
      <c r="CB449">
        <f>IFERROR(INDEX(PP_Grid[#Data],$DE449,77),0)</f>
        <v/>
      </c>
      <c r="CC449">
        <f>IFERROR(INDEX(PP_Grid[#Data],$DE449,78),0)</f>
        <v/>
      </c>
      <c r="CD449">
        <f>IFERROR(INDEX(PP_Grid[#Data],$DE449,79),0)</f>
        <v/>
      </c>
      <c r="CE449">
        <f>IFERROR(INDEX(PP_Grid[#Data],$DE449,80),0)</f>
        <v/>
      </c>
      <c r="CF449">
        <f>IFERROR(INDEX(PP_Grid[#Data],$DE449,81),0)</f>
        <v/>
      </c>
      <c r="CG449">
        <f>IFERROR(INDEX(PP_Grid[#Data],$DE449,82),0)</f>
        <v/>
      </c>
      <c r="CH449">
        <f>IFERROR(INDEX(PP_Grid[#Data],$DE449,83),0)</f>
        <v/>
      </c>
      <c r="CI449">
        <f>IFERROR(INDEX(PP_Grid[#Data],$DE449,84),0)</f>
        <v/>
      </c>
      <c r="CJ449">
        <f>IFERROR(INDEX(PP_Grid[#Data],$DE449,85),0)</f>
        <v/>
      </c>
      <c r="CK449">
        <f>IFERROR(INDEX(PP_Grid[#Data],$DE449,86),0)</f>
        <v/>
      </c>
      <c r="CL449">
        <f>IFERROR(INDEX(PP_Grid[#Data],$DE449,87),0)</f>
        <v/>
      </c>
      <c r="CM449">
        <f>IFERROR(INDEX(PP_Grid[#Data],$DE449,88),0)</f>
        <v/>
      </c>
      <c r="CN449">
        <f>IFERROR(INDEX(PP_Grid[#Data],$DE449,89),0)</f>
        <v/>
      </c>
      <c r="CO449">
        <f>IFERROR(INDEX(PP_Grid[#Data],$DE449,90),0)</f>
        <v/>
      </c>
      <c r="CP449">
        <f>IFERROR(INDEX(PP_Grid[#Data],$DE449,91),0)</f>
        <v/>
      </c>
      <c r="CQ449">
        <f>IFERROR(INDEX(PP_Grid[#Data],$DE449,92),0)</f>
        <v/>
      </c>
      <c r="CR449">
        <f>IFERROR(INDEX(PP_Grid[#Data],$DE449,93),0)</f>
        <v/>
      </c>
      <c r="CS449">
        <f>IFERROR(INDEX(PP_Grid[#Data],$DE449,94),0)</f>
        <v/>
      </c>
      <c r="CT449">
        <f>IFERROR(INDEX(PP_Grid[#Data],$DE449,95),0)</f>
        <v/>
      </c>
      <c r="CU449">
        <f>IFERROR(INDEX(PP_Grid[#Data],$DE449,96),0)</f>
        <v/>
      </c>
      <c r="CV449">
        <f>IFERROR(INDEX(PP_Grid[#Data],$DE449,97),0)</f>
        <v/>
      </c>
      <c r="CW449">
        <f>IFERROR(INDEX(PP_Grid[#Data],$DE449,98),0)</f>
        <v/>
      </c>
      <c r="CX449">
        <f>IFERROR(INDEX(PP_Grid[#Data],$DE449,99),0)</f>
        <v/>
      </c>
      <c r="CY449">
        <f>IFERROR(INDEX(PP_Grid[#Data],$DE449,100),0)</f>
        <v/>
      </c>
      <c r="CZ449">
        <f>IFERROR(INDEX(PP_Grid[#Data],$DE449,101),0)</f>
        <v/>
      </c>
      <c r="DA449">
        <f>IFERROR(INDEX(PP_Grid[#Data],$DE449,102),0)</f>
        <v/>
      </c>
      <c r="DB449">
        <f>IFERROR(INDEX(PP_Grid[#Data],$DE449,103),0)</f>
        <v/>
      </c>
      <c r="DC449">
        <f>IFERROR(INDEX(PP_Grid[#Data],$DE449,104),0)</f>
        <v/>
      </c>
      <c r="DD449">
        <f>IFERROR(INDEX(PP_Grid[#Data],$DE449,105),0)</f>
        <v/>
      </c>
      <c r="DE449" s="7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SUMIFS(M_BOM[RM_Qty_Per_Batch],M_BOM[Intermediate],$B449,M_BOM[RM_Code],$A340)</f>
        <v/>
      </c>
      <c r="D450">
        <f>IFERROR(INDEX(E450:DD450,$F$1),"")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  <c r="DD450">
        <f>$C450*DD449</f>
        <v/>
      </c>
    </row>
    <row r="451">
      <c r="B451" t="inlineStr">
        <is>
          <t>TSP-1448</t>
        </is>
      </c>
      <c r="C451" t="inlineStr">
        <is>
          <t>No. of batches</t>
        </is>
      </c>
      <c r="D451">
        <f>IFERROR(INDEX(E451:DD451,$F$1),"")</f>
        <v/>
      </c>
      <c r="E451">
        <f>IFERROR(INDEX(PP_Grid[#Data],$DE451,2),0)</f>
        <v/>
      </c>
      <c r="F451">
        <f>IFERROR(INDEX(PP_Grid[#Data],$DE451,3),0)</f>
        <v/>
      </c>
      <c r="G451">
        <f>IFERROR(INDEX(PP_Grid[#Data],$DE451,4),0)</f>
        <v/>
      </c>
      <c r="H451">
        <f>IFERROR(INDEX(PP_Grid[#Data],$DE451,5),0)</f>
        <v/>
      </c>
      <c r="I451">
        <f>IFERROR(INDEX(PP_Grid[#Data],$DE451,6),0)</f>
        <v/>
      </c>
      <c r="J451">
        <f>IFERROR(INDEX(PP_Grid[#Data],$DE451,7),0)</f>
        <v/>
      </c>
      <c r="K451">
        <f>IFERROR(INDEX(PP_Grid[#Data],$DE451,8),0)</f>
        <v/>
      </c>
      <c r="L451">
        <f>IFERROR(INDEX(PP_Grid[#Data],$DE451,9),0)</f>
        <v/>
      </c>
      <c r="M451">
        <f>IFERROR(INDEX(PP_Grid[#Data],$DE451,10),0)</f>
        <v/>
      </c>
      <c r="N451">
        <f>IFERROR(INDEX(PP_Grid[#Data],$DE451,11),0)</f>
        <v/>
      </c>
      <c r="O451">
        <f>IFERROR(INDEX(PP_Grid[#Data],$DE451,12),0)</f>
        <v/>
      </c>
      <c r="P451">
        <f>IFERROR(INDEX(PP_Grid[#Data],$DE451,13),0)</f>
        <v/>
      </c>
      <c r="Q451">
        <f>IFERROR(INDEX(PP_Grid[#Data],$DE451,14),0)</f>
        <v/>
      </c>
      <c r="R451">
        <f>IFERROR(INDEX(PP_Grid[#Data],$DE451,15),0)</f>
        <v/>
      </c>
      <c r="S451">
        <f>IFERROR(INDEX(PP_Grid[#Data],$DE451,16),0)</f>
        <v/>
      </c>
      <c r="T451">
        <f>IFERROR(INDEX(PP_Grid[#Data],$DE451,17),0)</f>
        <v/>
      </c>
      <c r="U451">
        <f>IFERROR(INDEX(PP_Grid[#Data],$DE451,18),0)</f>
        <v/>
      </c>
      <c r="V451">
        <f>IFERROR(INDEX(PP_Grid[#Data],$DE451,19),0)</f>
        <v/>
      </c>
      <c r="W451">
        <f>IFERROR(INDEX(PP_Grid[#Data],$DE451,20),0)</f>
        <v/>
      </c>
      <c r="X451">
        <f>IFERROR(INDEX(PP_Grid[#Data],$DE451,21),0)</f>
        <v/>
      </c>
      <c r="Y451">
        <f>IFERROR(INDEX(PP_Grid[#Data],$DE451,22),0)</f>
        <v/>
      </c>
      <c r="Z451">
        <f>IFERROR(INDEX(PP_Grid[#Data],$DE451,23),0)</f>
        <v/>
      </c>
      <c r="AA451">
        <f>IFERROR(INDEX(PP_Grid[#Data],$DE451,24),0)</f>
        <v/>
      </c>
      <c r="AB451">
        <f>IFERROR(INDEX(PP_Grid[#Data],$DE451,25),0)</f>
        <v/>
      </c>
      <c r="AC451">
        <f>IFERROR(INDEX(PP_Grid[#Data],$DE451,26),0)</f>
        <v/>
      </c>
      <c r="AD451">
        <f>IFERROR(INDEX(PP_Grid[#Data],$DE451,27),0)</f>
        <v/>
      </c>
      <c r="AE451">
        <f>IFERROR(INDEX(PP_Grid[#Data],$DE451,28),0)</f>
        <v/>
      </c>
      <c r="AF451">
        <f>IFERROR(INDEX(PP_Grid[#Data],$DE451,29),0)</f>
        <v/>
      </c>
      <c r="AG451">
        <f>IFERROR(INDEX(PP_Grid[#Data],$DE451,30),0)</f>
        <v/>
      </c>
      <c r="AH451">
        <f>IFERROR(INDEX(PP_Grid[#Data],$DE451,31),0)</f>
        <v/>
      </c>
      <c r="AI451">
        <f>IFERROR(INDEX(PP_Grid[#Data],$DE451,32),0)</f>
        <v/>
      </c>
      <c r="AJ451">
        <f>IFERROR(INDEX(PP_Grid[#Data],$DE451,33),0)</f>
        <v/>
      </c>
      <c r="AK451">
        <f>IFERROR(INDEX(PP_Grid[#Data],$DE451,34),0)</f>
        <v/>
      </c>
      <c r="AL451">
        <f>IFERROR(INDEX(PP_Grid[#Data],$DE451,35),0)</f>
        <v/>
      </c>
      <c r="AM451">
        <f>IFERROR(INDEX(PP_Grid[#Data],$DE451,36),0)</f>
        <v/>
      </c>
      <c r="AN451">
        <f>IFERROR(INDEX(PP_Grid[#Data],$DE451,37),0)</f>
        <v/>
      </c>
      <c r="AO451">
        <f>IFERROR(INDEX(PP_Grid[#Data],$DE451,38),0)</f>
        <v/>
      </c>
      <c r="AP451">
        <f>IFERROR(INDEX(PP_Grid[#Data],$DE451,39),0)</f>
        <v/>
      </c>
      <c r="AQ451">
        <f>IFERROR(INDEX(PP_Grid[#Data],$DE451,40),0)</f>
        <v/>
      </c>
      <c r="AR451">
        <f>IFERROR(INDEX(PP_Grid[#Data],$DE451,41),0)</f>
        <v/>
      </c>
      <c r="AS451">
        <f>IFERROR(INDEX(PP_Grid[#Data],$DE451,42),0)</f>
        <v/>
      </c>
      <c r="AT451">
        <f>IFERROR(INDEX(PP_Grid[#Data],$DE451,43),0)</f>
        <v/>
      </c>
      <c r="AU451">
        <f>IFERROR(INDEX(PP_Grid[#Data],$DE451,44),0)</f>
        <v/>
      </c>
      <c r="AV451">
        <f>IFERROR(INDEX(PP_Grid[#Data],$DE451,45),0)</f>
        <v/>
      </c>
      <c r="AW451">
        <f>IFERROR(INDEX(PP_Grid[#Data],$DE451,46),0)</f>
        <v/>
      </c>
      <c r="AX451">
        <f>IFERROR(INDEX(PP_Grid[#Data],$DE451,47),0)</f>
        <v/>
      </c>
      <c r="AY451">
        <f>IFERROR(INDEX(PP_Grid[#Data],$DE451,48),0)</f>
        <v/>
      </c>
      <c r="AZ451">
        <f>IFERROR(INDEX(PP_Grid[#Data],$DE451,49),0)</f>
        <v/>
      </c>
      <c r="BA451">
        <f>IFERROR(INDEX(PP_Grid[#Data],$DE451,50),0)</f>
        <v/>
      </c>
      <c r="BB451">
        <f>IFERROR(INDEX(PP_Grid[#Data],$DE451,51),0)</f>
        <v/>
      </c>
      <c r="BC451">
        <f>IFERROR(INDEX(PP_Grid[#Data],$DE451,52),0)</f>
        <v/>
      </c>
      <c r="BD451">
        <f>IFERROR(INDEX(PP_Grid[#Data],$DE451,53),0)</f>
        <v/>
      </c>
      <c r="BE451">
        <f>IFERROR(INDEX(PP_Grid[#Data],$DE451,54),0)</f>
        <v/>
      </c>
      <c r="BF451">
        <f>IFERROR(INDEX(PP_Grid[#Data],$DE451,55),0)</f>
        <v/>
      </c>
      <c r="BG451">
        <f>IFERROR(INDEX(PP_Grid[#Data],$DE451,56),0)</f>
        <v/>
      </c>
      <c r="BH451">
        <f>IFERROR(INDEX(PP_Grid[#Data],$DE451,57),0)</f>
        <v/>
      </c>
      <c r="BI451">
        <f>IFERROR(INDEX(PP_Grid[#Data],$DE451,58),0)</f>
        <v/>
      </c>
      <c r="BJ451">
        <f>IFERROR(INDEX(PP_Grid[#Data],$DE451,59),0)</f>
        <v/>
      </c>
      <c r="BK451">
        <f>IFERROR(INDEX(PP_Grid[#Data],$DE451,60),0)</f>
        <v/>
      </c>
      <c r="BL451">
        <f>IFERROR(INDEX(PP_Grid[#Data],$DE451,61),0)</f>
        <v/>
      </c>
      <c r="BM451">
        <f>IFERROR(INDEX(PP_Grid[#Data],$DE451,62),0)</f>
        <v/>
      </c>
      <c r="BN451">
        <f>IFERROR(INDEX(PP_Grid[#Data],$DE451,63),0)</f>
        <v/>
      </c>
      <c r="BO451">
        <f>IFERROR(INDEX(PP_Grid[#Data],$DE451,64),0)</f>
        <v/>
      </c>
      <c r="BP451">
        <f>IFERROR(INDEX(PP_Grid[#Data],$DE451,65),0)</f>
        <v/>
      </c>
      <c r="BQ451">
        <f>IFERROR(INDEX(PP_Grid[#Data],$DE451,66),0)</f>
        <v/>
      </c>
      <c r="BR451">
        <f>IFERROR(INDEX(PP_Grid[#Data],$DE451,67),0)</f>
        <v/>
      </c>
      <c r="BS451">
        <f>IFERROR(INDEX(PP_Grid[#Data],$DE451,68),0)</f>
        <v/>
      </c>
      <c r="BT451">
        <f>IFERROR(INDEX(PP_Grid[#Data],$DE451,69),0)</f>
        <v/>
      </c>
      <c r="BU451">
        <f>IFERROR(INDEX(PP_Grid[#Data],$DE451,70),0)</f>
        <v/>
      </c>
      <c r="BV451">
        <f>IFERROR(INDEX(PP_Grid[#Data],$DE451,71),0)</f>
        <v/>
      </c>
      <c r="BW451">
        <f>IFERROR(INDEX(PP_Grid[#Data],$DE451,72),0)</f>
        <v/>
      </c>
      <c r="BX451">
        <f>IFERROR(INDEX(PP_Grid[#Data],$DE451,73),0)</f>
        <v/>
      </c>
      <c r="BY451">
        <f>IFERROR(INDEX(PP_Grid[#Data],$DE451,74),0)</f>
        <v/>
      </c>
      <c r="BZ451">
        <f>IFERROR(INDEX(PP_Grid[#Data],$DE451,75),0)</f>
        <v/>
      </c>
      <c r="CA451">
        <f>IFERROR(INDEX(PP_Grid[#Data],$DE451,76),0)</f>
        <v/>
      </c>
      <c r="CB451">
        <f>IFERROR(INDEX(PP_Grid[#Data],$DE451,77),0)</f>
        <v/>
      </c>
      <c r="CC451">
        <f>IFERROR(INDEX(PP_Grid[#Data],$DE451,78),0)</f>
        <v/>
      </c>
      <c r="CD451">
        <f>IFERROR(INDEX(PP_Grid[#Data],$DE451,79),0)</f>
        <v/>
      </c>
      <c r="CE451">
        <f>IFERROR(INDEX(PP_Grid[#Data],$DE451,80),0)</f>
        <v/>
      </c>
      <c r="CF451">
        <f>IFERROR(INDEX(PP_Grid[#Data],$DE451,81),0)</f>
        <v/>
      </c>
      <c r="CG451">
        <f>IFERROR(INDEX(PP_Grid[#Data],$DE451,82),0)</f>
        <v/>
      </c>
      <c r="CH451">
        <f>IFERROR(INDEX(PP_Grid[#Data],$DE451,83),0)</f>
        <v/>
      </c>
      <c r="CI451">
        <f>IFERROR(INDEX(PP_Grid[#Data],$DE451,84),0)</f>
        <v/>
      </c>
      <c r="CJ451">
        <f>IFERROR(INDEX(PP_Grid[#Data],$DE451,85),0)</f>
        <v/>
      </c>
      <c r="CK451">
        <f>IFERROR(INDEX(PP_Grid[#Data],$DE451,86),0)</f>
        <v/>
      </c>
      <c r="CL451">
        <f>IFERROR(INDEX(PP_Grid[#Data],$DE451,87),0)</f>
        <v/>
      </c>
      <c r="CM451">
        <f>IFERROR(INDEX(PP_Grid[#Data],$DE451,88),0)</f>
        <v/>
      </c>
      <c r="CN451">
        <f>IFERROR(INDEX(PP_Grid[#Data],$DE451,89),0)</f>
        <v/>
      </c>
      <c r="CO451">
        <f>IFERROR(INDEX(PP_Grid[#Data],$DE451,90),0)</f>
        <v/>
      </c>
      <c r="CP451">
        <f>IFERROR(INDEX(PP_Grid[#Data],$DE451,91),0)</f>
        <v/>
      </c>
      <c r="CQ451">
        <f>IFERROR(INDEX(PP_Grid[#Data],$DE451,92),0)</f>
        <v/>
      </c>
      <c r="CR451">
        <f>IFERROR(INDEX(PP_Grid[#Data],$DE451,93),0)</f>
        <v/>
      </c>
      <c r="CS451">
        <f>IFERROR(INDEX(PP_Grid[#Data],$DE451,94),0)</f>
        <v/>
      </c>
      <c r="CT451">
        <f>IFERROR(INDEX(PP_Grid[#Data],$DE451,95),0)</f>
        <v/>
      </c>
      <c r="CU451">
        <f>IFERROR(INDEX(PP_Grid[#Data],$DE451,96),0)</f>
        <v/>
      </c>
      <c r="CV451">
        <f>IFERROR(INDEX(PP_Grid[#Data],$DE451,97),0)</f>
        <v/>
      </c>
      <c r="CW451">
        <f>IFERROR(INDEX(PP_Grid[#Data],$DE451,98),0)</f>
        <v/>
      </c>
      <c r="CX451">
        <f>IFERROR(INDEX(PP_Grid[#Data],$DE451,99),0)</f>
        <v/>
      </c>
      <c r="CY451">
        <f>IFERROR(INDEX(PP_Grid[#Data],$DE451,100),0)</f>
        <v/>
      </c>
      <c r="CZ451">
        <f>IFERROR(INDEX(PP_Grid[#Data],$DE451,101),0)</f>
        <v/>
      </c>
      <c r="DA451">
        <f>IFERROR(INDEX(PP_Grid[#Data],$DE451,102),0)</f>
        <v/>
      </c>
      <c r="DB451">
        <f>IFERROR(INDEX(PP_Grid[#Data],$DE451,103),0)</f>
        <v/>
      </c>
      <c r="DC451">
        <f>IFERROR(INDEX(PP_Grid[#Data],$DE451,104),0)</f>
        <v/>
      </c>
      <c r="DD451">
        <f>IFERROR(INDEX(PP_Grid[#Data],$DE451,105),0)</f>
        <v/>
      </c>
      <c r="DE451" s="7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SUMIFS(M_BOM[RM_Qty_Per_Batch],M_BOM[Intermediate],$B451,M_BOM[RM_Code],$A340)</f>
        <v/>
      </c>
      <c r="D452">
        <f>IFERROR(INDEX(E452:DD452,$F$1),"")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  <c r="DD452">
        <f>$C452*DD451</f>
        <v/>
      </c>
    </row>
    <row r="453">
      <c r="B453" t="inlineStr">
        <is>
          <t>TSP-1445</t>
        </is>
      </c>
      <c r="C453" t="inlineStr">
        <is>
          <t>No. of batches</t>
        </is>
      </c>
      <c r="D453">
        <f>IFERROR(INDEX(E453:DD453,$F$1),"")</f>
        <v/>
      </c>
      <c r="E453">
        <f>IFERROR(INDEX(PP_Grid[#Data],$DE453,2),0)</f>
        <v/>
      </c>
      <c r="F453">
        <f>IFERROR(INDEX(PP_Grid[#Data],$DE453,3),0)</f>
        <v/>
      </c>
      <c r="G453">
        <f>IFERROR(INDEX(PP_Grid[#Data],$DE453,4),0)</f>
        <v/>
      </c>
      <c r="H453">
        <f>IFERROR(INDEX(PP_Grid[#Data],$DE453,5),0)</f>
        <v/>
      </c>
      <c r="I453">
        <f>IFERROR(INDEX(PP_Grid[#Data],$DE453,6),0)</f>
        <v/>
      </c>
      <c r="J453">
        <f>IFERROR(INDEX(PP_Grid[#Data],$DE453,7),0)</f>
        <v/>
      </c>
      <c r="K453">
        <f>IFERROR(INDEX(PP_Grid[#Data],$DE453,8),0)</f>
        <v/>
      </c>
      <c r="L453">
        <f>IFERROR(INDEX(PP_Grid[#Data],$DE453,9),0)</f>
        <v/>
      </c>
      <c r="M453">
        <f>IFERROR(INDEX(PP_Grid[#Data],$DE453,10),0)</f>
        <v/>
      </c>
      <c r="N453">
        <f>IFERROR(INDEX(PP_Grid[#Data],$DE453,11),0)</f>
        <v/>
      </c>
      <c r="O453">
        <f>IFERROR(INDEX(PP_Grid[#Data],$DE453,12),0)</f>
        <v/>
      </c>
      <c r="P453">
        <f>IFERROR(INDEX(PP_Grid[#Data],$DE453,13),0)</f>
        <v/>
      </c>
      <c r="Q453">
        <f>IFERROR(INDEX(PP_Grid[#Data],$DE453,14),0)</f>
        <v/>
      </c>
      <c r="R453">
        <f>IFERROR(INDEX(PP_Grid[#Data],$DE453,15),0)</f>
        <v/>
      </c>
      <c r="S453">
        <f>IFERROR(INDEX(PP_Grid[#Data],$DE453,16),0)</f>
        <v/>
      </c>
      <c r="T453">
        <f>IFERROR(INDEX(PP_Grid[#Data],$DE453,17),0)</f>
        <v/>
      </c>
      <c r="U453">
        <f>IFERROR(INDEX(PP_Grid[#Data],$DE453,18),0)</f>
        <v/>
      </c>
      <c r="V453">
        <f>IFERROR(INDEX(PP_Grid[#Data],$DE453,19),0)</f>
        <v/>
      </c>
      <c r="W453">
        <f>IFERROR(INDEX(PP_Grid[#Data],$DE453,20),0)</f>
        <v/>
      </c>
      <c r="X453">
        <f>IFERROR(INDEX(PP_Grid[#Data],$DE453,21),0)</f>
        <v/>
      </c>
      <c r="Y453">
        <f>IFERROR(INDEX(PP_Grid[#Data],$DE453,22),0)</f>
        <v/>
      </c>
      <c r="Z453">
        <f>IFERROR(INDEX(PP_Grid[#Data],$DE453,23),0)</f>
        <v/>
      </c>
      <c r="AA453">
        <f>IFERROR(INDEX(PP_Grid[#Data],$DE453,24),0)</f>
        <v/>
      </c>
      <c r="AB453">
        <f>IFERROR(INDEX(PP_Grid[#Data],$DE453,25),0)</f>
        <v/>
      </c>
      <c r="AC453">
        <f>IFERROR(INDEX(PP_Grid[#Data],$DE453,26),0)</f>
        <v/>
      </c>
      <c r="AD453">
        <f>IFERROR(INDEX(PP_Grid[#Data],$DE453,27),0)</f>
        <v/>
      </c>
      <c r="AE453">
        <f>IFERROR(INDEX(PP_Grid[#Data],$DE453,28),0)</f>
        <v/>
      </c>
      <c r="AF453">
        <f>IFERROR(INDEX(PP_Grid[#Data],$DE453,29),0)</f>
        <v/>
      </c>
      <c r="AG453">
        <f>IFERROR(INDEX(PP_Grid[#Data],$DE453,30),0)</f>
        <v/>
      </c>
      <c r="AH453">
        <f>IFERROR(INDEX(PP_Grid[#Data],$DE453,31),0)</f>
        <v/>
      </c>
      <c r="AI453">
        <f>IFERROR(INDEX(PP_Grid[#Data],$DE453,32),0)</f>
        <v/>
      </c>
      <c r="AJ453">
        <f>IFERROR(INDEX(PP_Grid[#Data],$DE453,33),0)</f>
        <v/>
      </c>
      <c r="AK453">
        <f>IFERROR(INDEX(PP_Grid[#Data],$DE453,34),0)</f>
        <v/>
      </c>
      <c r="AL453">
        <f>IFERROR(INDEX(PP_Grid[#Data],$DE453,35),0)</f>
        <v/>
      </c>
      <c r="AM453">
        <f>IFERROR(INDEX(PP_Grid[#Data],$DE453,36),0)</f>
        <v/>
      </c>
      <c r="AN453">
        <f>IFERROR(INDEX(PP_Grid[#Data],$DE453,37),0)</f>
        <v/>
      </c>
      <c r="AO453">
        <f>IFERROR(INDEX(PP_Grid[#Data],$DE453,38),0)</f>
        <v/>
      </c>
      <c r="AP453">
        <f>IFERROR(INDEX(PP_Grid[#Data],$DE453,39),0)</f>
        <v/>
      </c>
      <c r="AQ453">
        <f>IFERROR(INDEX(PP_Grid[#Data],$DE453,40),0)</f>
        <v/>
      </c>
      <c r="AR453">
        <f>IFERROR(INDEX(PP_Grid[#Data],$DE453,41),0)</f>
        <v/>
      </c>
      <c r="AS453">
        <f>IFERROR(INDEX(PP_Grid[#Data],$DE453,42),0)</f>
        <v/>
      </c>
      <c r="AT453">
        <f>IFERROR(INDEX(PP_Grid[#Data],$DE453,43),0)</f>
        <v/>
      </c>
      <c r="AU453">
        <f>IFERROR(INDEX(PP_Grid[#Data],$DE453,44),0)</f>
        <v/>
      </c>
      <c r="AV453">
        <f>IFERROR(INDEX(PP_Grid[#Data],$DE453,45),0)</f>
        <v/>
      </c>
      <c r="AW453">
        <f>IFERROR(INDEX(PP_Grid[#Data],$DE453,46),0)</f>
        <v/>
      </c>
      <c r="AX453">
        <f>IFERROR(INDEX(PP_Grid[#Data],$DE453,47),0)</f>
        <v/>
      </c>
      <c r="AY453">
        <f>IFERROR(INDEX(PP_Grid[#Data],$DE453,48),0)</f>
        <v/>
      </c>
      <c r="AZ453">
        <f>IFERROR(INDEX(PP_Grid[#Data],$DE453,49),0)</f>
        <v/>
      </c>
      <c r="BA453">
        <f>IFERROR(INDEX(PP_Grid[#Data],$DE453,50),0)</f>
        <v/>
      </c>
      <c r="BB453">
        <f>IFERROR(INDEX(PP_Grid[#Data],$DE453,51),0)</f>
        <v/>
      </c>
      <c r="BC453">
        <f>IFERROR(INDEX(PP_Grid[#Data],$DE453,52),0)</f>
        <v/>
      </c>
      <c r="BD453">
        <f>IFERROR(INDEX(PP_Grid[#Data],$DE453,53),0)</f>
        <v/>
      </c>
      <c r="BE453">
        <f>IFERROR(INDEX(PP_Grid[#Data],$DE453,54),0)</f>
        <v/>
      </c>
      <c r="BF453">
        <f>IFERROR(INDEX(PP_Grid[#Data],$DE453,55),0)</f>
        <v/>
      </c>
      <c r="BG453">
        <f>IFERROR(INDEX(PP_Grid[#Data],$DE453,56),0)</f>
        <v/>
      </c>
      <c r="BH453">
        <f>IFERROR(INDEX(PP_Grid[#Data],$DE453,57),0)</f>
        <v/>
      </c>
      <c r="BI453">
        <f>IFERROR(INDEX(PP_Grid[#Data],$DE453,58),0)</f>
        <v/>
      </c>
      <c r="BJ453">
        <f>IFERROR(INDEX(PP_Grid[#Data],$DE453,59),0)</f>
        <v/>
      </c>
      <c r="BK453">
        <f>IFERROR(INDEX(PP_Grid[#Data],$DE453,60),0)</f>
        <v/>
      </c>
      <c r="BL453">
        <f>IFERROR(INDEX(PP_Grid[#Data],$DE453,61),0)</f>
        <v/>
      </c>
      <c r="BM453">
        <f>IFERROR(INDEX(PP_Grid[#Data],$DE453,62),0)</f>
        <v/>
      </c>
      <c r="BN453">
        <f>IFERROR(INDEX(PP_Grid[#Data],$DE453,63),0)</f>
        <v/>
      </c>
      <c r="BO453">
        <f>IFERROR(INDEX(PP_Grid[#Data],$DE453,64),0)</f>
        <v/>
      </c>
      <c r="BP453">
        <f>IFERROR(INDEX(PP_Grid[#Data],$DE453,65),0)</f>
        <v/>
      </c>
      <c r="BQ453">
        <f>IFERROR(INDEX(PP_Grid[#Data],$DE453,66),0)</f>
        <v/>
      </c>
      <c r="BR453">
        <f>IFERROR(INDEX(PP_Grid[#Data],$DE453,67),0)</f>
        <v/>
      </c>
      <c r="BS453">
        <f>IFERROR(INDEX(PP_Grid[#Data],$DE453,68),0)</f>
        <v/>
      </c>
      <c r="BT453">
        <f>IFERROR(INDEX(PP_Grid[#Data],$DE453,69),0)</f>
        <v/>
      </c>
      <c r="BU453">
        <f>IFERROR(INDEX(PP_Grid[#Data],$DE453,70),0)</f>
        <v/>
      </c>
      <c r="BV453">
        <f>IFERROR(INDEX(PP_Grid[#Data],$DE453,71),0)</f>
        <v/>
      </c>
      <c r="BW453">
        <f>IFERROR(INDEX(PP_Grid[#Data],$DE453,72),0)</f>
        <v/>
      </c>
      <c r="BX453">
        <f>IFERROR(INDEX(PP_Grid[#Data],$DE453,73),0)</f>
        <v/>
      </c>
      <c r="BY453">
        <f>IFERROR(INDEX(PP_Grid[#Data],$DE453,74),0)</f>
        <v/>
      </c>
      <c r="BZ453">
        <f>IFERROR(INDEX(PP_Grid[#Data],$DE453,75),0)</f>
        <v/>
      </c>
      <c r="CA453">
        <f>IFERROR(INDEX(PP_Grid[#Data],$DE453,76),0)</f>
        <v/>
      </c>
      <c r="CB453">
        <f>IFERROR(INDEX(PP_Grid[#Data],$DE453,77),0)</f>
        <v/>
      </c>
      <c r="CC453">
        <f>IFERROR(INDEX(PP_Grid[#Data],$DE453,78),0)</f>
        <v/>
      </c>
      <c r="CD453">
        <f>IFERROR(INDEX(PP_Grid[#Data],$DE453,79),0)</f>
        <v/>
      </c>
      <c r="CE453">
        <f>IFERROR(INDEX(PP_Grid[#Data],$DE453,80),0)</f>
        <v/>
      </c>
      <c r="CF453">
        <f>IFERROR(INDEX(PP_Grid[#Data],$DE453,81),0)</f>
        <v/>
      </c>
      <c r="CG453">
        <f>IFERROR(INDEX(PP_Grid[#Data],$DE453,82),0)</f>
        <v/>
      </c>
      <c r="CH453">
        <f>IFERROR(INDEX(PP_Grid[#Data],$DE453,83),0)</f>
        <v/>
      </c>
      <c r="CI453">
        <f>IFERROR(INDEX(PP_Grid[#Data],$DE453,84),0)</f>
        <v/>
      </c>
      <c r="CJ453">
        <f>IFERROR(INDEX(PP_Grid[#Data],$DE453,85),0)</f>
        <v/>
      </c>
      <c r="CK453">
        <f>IFERROR(INDEX(PP_Grid[#Data],$DE453,86),0)</f>
        <v/>
      </c>
      <c r="CL453">
        <f>IFERROR(INDEX(PP_Grid[#Data],$DE453,87),0)</f>
        <v/>
      </c>
      <c r="CM453">
        <f>IFERROR(INDEX(PP_Grid[#Data],$DE453,88),0)</f>
        <v/>
      </c>
      <c r="CN453">
        <f>IFERROR(INDEX(PP_Grid[#Data],$DE453,89),0)</f>
        <v/>
      </c>
      <c r="CO453">
        <f>IFERROR(INDEX(PP_Grid[#Data],$DE453,90),0)</f>
        <v/>
      </c>
      <c r="CP453">
        <f>IFERROR(INDEX(PP_Grid[#Data],$DE453,91),0)</f>
        <v/>
      </c>
      <c r="CQ453">
        <f>IFERROR(INDEX(PP_Grid[#Data],$DE453,92),0)</f>
        <v/>
      </c>
      <c r="CR453">
        <f>IFERROR(INDEX(PP_Grid[#Data],$DE453,93),0)</f>
        <v/>
      </c>
      <c r="CS453">
        <f>IFERROR(INDEX(PP_Grid[#Data],$DE453,94),0)</f>
        <v/>
      </c>
      <c r="CT453">
        <f>IFERROR(INDEX(PP_Grid[#Data],$DE453,95),0)</f>
        <v/>
      </c>
      <c r="CU453">
        <f>IFERROR(INDEX(PP_Grid[#Data],$DE453,96),0)</f>
        <v/>
      </c>
      <c r="CV453">
        <f>IFERROR(INDEX(PP_Grid[#Data],$DE453,97),0)</f>
        <v/>
      </c>
      <c r="CW453">
        <f>IFERROR(INDEX(PP_Grid[#Data],$DE453,98),0)</f>
        <v/>
      </c>
      <c r="CX453">
        <f>IFERROR(INDEX(PP_Grid[#Data],$DE453,99),0)</f>
        <v/>
      </c>
      <c r="CY453">
        <f>IFERROR(INDEX(PP_Grid[#Data],$DE453,100),0)</f>
        <v/>
      </c>
      <c r="CZ453">
        <f>IFERROR(INDEX(PP_Grid[#Data],$DE453,101),0)</f>
        <v/>
      </c>
      <c r="DA453">
        <f>IFERROR(INDEX(PP_Grid[#Data],$DE453,102),0)</f>
        <v/>
      </c>
      <c r="DB453">
        <f>IFERROR(INDEX(PP_Grid[#Data],$DE453,103),0)</f>
        <v/>
      </c>
      <c r="DC453">
        <f>IFERROR(INDEX(PP_Grid[#Data],$DE453,104),0)</f>
        <v/>
      </c>
      <c r="DD453">
        <f>IFERROR(INDEX(PP_Grid[#Data],$DE453,105),0)</f>
        <v/>
      </c>
      <c r="DE453" s="7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SUMIFS(M_BOM[RM_Qty_Per_Batch],M_BOM[Intermediate],$B453,M_BOM[RM_Code],$A340)</f>
        <v/>
      </c>
      <c r="D454">
        <f>IFERROR(INDEX(E454:DD454,$F$1),"")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  <c r="DD454">
        <f>$C454*DD453</f>
        <v/>
      </c>
    </row>
    <row r="455">
      <c r="B455" t="inlineStr">
        <is>
          <t>TSP-1446</t>
        </is>
      </c>
      <c r="C455" t="inlineStr">
        <is>
          <t>No. of batches</t>
        </is>
      </c>
      <c r="D455">
        <f>IFERROR(INDEX(E455:DD455,$F$1),"")</f>
        <v/>
      </c>
      <c r="E455">
        <f>IFERROR(INDEX(PP_Grid[#Data],$DE455,2),0)</f>
        <v/>
      </c>
      <c r="F455">
        <f>IFERROR(INDEX(PP_Grid[#Data],$DE455,3),0)</f>
        <v/>
      </c>
      <c r="G455">
        <f>IFERROR(INDEX(PP_Grid[#Data],$DE455,4),0)</f>
        <v/>
      </c>
      <c r="H455">
        <f>IFERROR(INDEX(PP_Grid[#Data],$DE455,5),0)</f>
        <v/>
      </c>
      <c r="I455">
        <f>IFERROR(INDEX(PP_Grid[#Data],$DE455,6),0)</f>
        <v/>
      </c>
      <c r="J455">
        <f>IFERROR(INDEX(PP_Grid[#Data],$DE455,7),0)</f>
        <v/>
      </c>
      <c r="K455">
        <f>IFERROR(INDEX(PP_Grid[#Data],$DE455,8),0)</f>
        <v/>
      </c>
      <c r="L455">
        <f>IFERROR(INDEX(PP_Grid[#Data],$DE455,9),0)</f>
        <v/>
      </c>
      <c r="M455">
        <f>IFERROR(INDEX(PP_Grid[#Data],$DE455,10),0)</f>
        <v/>
      </c>
      <c r="N455">
        <f>IFERROR(INDEX(PP_Grid[#Data],$DE455,11),0)</f>
        <v/>
      </c>
      <c r="O455">
        <f>IFERROR(INDEX(PP_Grid[#Data],$DE455,12),0)</f>
        <v/>
      </c>
      <c r="P455">
        <f>IFERROR(INDEX(PP_Grid[#Data],$DE455,13),0)</f>
        <v/>
      </c>
      <c r="Q455">
        <f>IFERROR(INDEX(PP_Grid[#Data],$DE455,14),0)</f>
        <v/>
      </c>
      <c r="R455">
        <f>IFERROR(INDEX(PP_Grid[#Data],$DE455,15),0)</f>
        <v/>
      </c>
      <c r="S455">
        <f>IFERROR(INDEX(PP_Grid[#Data],$DE455,16),0)</f>
        <v/>
      </c>
      <c r="T455">
        <f>IFERROR(INDEX(PP_Grid[#Data],$DE455,17),0)</f>
        <v/>
      </c>
      <c r="U455">
        <f>IFERROR(INDEX(PP_Grid[#Data],$DE455,18),0)</f>
        <v/>
      </c>
      <c r="V455">
        <f>IFERROR(INDEX(PP_Grid[#Data],$DE455,19),0)</f>
        <v/>
      </c>
      <c r="W455">
        <f>IFERROR(INDEX(PP_Grid[#Data],$DE455,20),0)</f>
        <v/>
      </c>
      <c r="X455">
        <f>IFERROR(INDEX(PP_Grid[#Data],$DE455,21),0)</f>
        <v/>
      </c>
      <c r="Y455">
        <f>IFERROR(INDEX(PP_Grid[#Data],$DE455,22),0)</f>
        <v/>
      </c>
      <c r="Z455">
        <f>IFERROR(INDEX(PP_Grid[#Data],$DE455,23),0)</f>
        <v/>
      </c>
      <c r="AA455">
        <f>IFERROR(INDEX(PP_Grid[#Data],$DE455,24),0)</f>
        <v/>
      </c>
      <c r="AB455">
        <f>IFERROR(INDEX(PP_Grid[#Data],$DE455,25),0)</f>
        <v/>
      </c>
      <c r="AC455">
        <f>IFERROR(INDEX(PP_Grid[#Data],$DE455,26),0)</f>
        <v/>
      </c>
      <c r="AD455">
        <f>IFERROR(INDEX(PP_Grid[#Data],$DE455,27),0)</f>
        <v/>
      </c>
      <c r="AE455">
        <f>IFERROR(INDEX(PP_Grid[#Data],$DE455,28),0)</f>
        <v/>
      </c>
      <c r="AF455">
        <f>IFERROR(INDEX(PP_Grid[#Data],$DE455,29),0)</f>
        <v/>
      </c>
      <c r="AG455">
        <f>IFERROR(INDEX(PP_Grid[#Data],$DE455,30),0)</f>
        <v/>
      </c>
      <c r="AH455">
        <f>IFERROR(INDEX(PP_Grid[#Data],$DE455,31),0)</f>
        <v/>
      </c>
      <c r="AI455">
        <f>IFERROR(INDEX(PP_Grid[#Data],$DE455,32),0)</f>
        <v/>
      </c>
      <c r="AJ455">
        <f>IFERROR(INDEX(PP_Grid[#Data],$DE455,33),0)</f>
        <v/>
      </c>
      <c r="AK455">
        <f>IFERROR(INDEX(PP_Grid[#Data],$DE455,34),0)</f>
        <v/>
      </c>
      <c r="AL455">
        <f>IFERROR(INDEX(PP_Grid[#Data],$DE455,35),0)</f>
        <v/>
      </c>
      <c r="AM455">
        <f>IFERROR(INDEX(PP_Grid[#Data],$DE455,36),0)</f>
        <v/>
      </c>
      <c r="AN455">
        <f>IFERROR(INDEX(PP_Grid[#Data],$DE455,37),0)</f>
        <v/>
      </c>
      <c r="AO455">
        <f>IFERROR(INDEX(PP_Grid[#Data],$DE455,38),0)</f>
        <v/>
      </c>
      <c r="AP455">
        <f>IFERROR(INDEX(PP_Grid[#Data],$DE455,39),0)</f>
        <v/>
      </c>
      <c r="AQ455">
        <f>IFERROR(INDEX(PP_Grid[#Data],$DE455,40),0)</f>
        <v/>
      </c>
      <c r="AR455">
        <f>IFERROR(INDEX(PP_Grid[#Data],$DE455,41),0)</f>
        <v/>
      </c>
      <c r="AS455">
        <f>IFERROR(INDEX(PP_Grid[#Data],$DE455,42),0)</f>
        <v/>
      </c>
      <c r="AT455">
        <f>IFERROR(INDEX(PP_Grid[#Data],$DE455,43),0)</f>
        <v/>
      </c>
      <c r="AU455">
        <f>IFERROR(INDEX(PP_Grid[#Data],$DE455,44),0)</f>
        <v/>
      </c>
      <c r="AV455">
        <f>IFERROR(INDEX(PP_Grid[#Data],$DE455,45),0)</f>
        <v/>
      </c>
      <c r="AW455">
        <f>IFERROR(INDEX(PP_Grid[#Data],$DE455,46),0)</f>
        <v/>
      </c>
      <c r="AX455">
        <f>IFERROR(INDEX(PP_Grid[#Data],$DE455,47),0)</f>
        <v/>
      </c>
      <c r="AY455">
        <f>IFERROR(INDEX(PP_Grid[#Data],$DE455,48),0)</f>
        <v/>
      </c>
      <c r="AZ455">
        <f>IFERROR(INDEX(PP_Grid[#Data],$DE455,49),0)</f>
        <v/>
      </c>
      <c r="BA455">
        <f>IFERROR(INDEX(PP_Grid[#Data],$DE455,50),0)</f>
        <v/>
      </c>
      <c r="BB455">
        <f>IFERROR(INDEX(PP_Grid[#Data],$DE455,51),0)</f>
        <v/>
      </c>
      <c r="BC455">
        <f>IFERROR(INDEX(PP_Grid[#Data],$DE455,52),0)</f>
        <v/>
      </c>
      <c r="BD455">
        <f>IFERROR(INDEX(PP_Grid[#Data],$DE455,53),0)</f>
        <v/>
      </c>
      <c r="BE455">
        <f>IFERROR(INDEX(PP_Grid[#Data],$DE455,54),0)</f>
        <v/>
      </c>
      <c r="BF455">
        <f>IFERROR(INDEX(PP_Grid[#Data],$DE455,55),0)</f>
        <v/>
      </c>
      <c r="BG455">
        <f>IFERROR(INDEX(PP_Grid[#Data],$DE455,56),0)</f>
        <v/>
      </c>
      <c r="BH455">
        <f>IFERROR(INDEX(PP_Grid[#Data],$DE455,57),0)</f>
        <v/>
      </c>
      <c r="BI455">
        <f>IFERROR(INDEX(PP_Grid[#Data],$DE455,58),0)</f>
        <v/>
      </c>
      <c r="BJ455">
        <f>IFERROR(INDEX(PP_Grid[#Data],$DE455,59),0)</f>
        <v/>
      </c>
      <c r="BK455">
        <f>IFERROR(INDEX(PP_Grid[#Data],$DE455,60),0)</f>
        <v/>
      </c>
      <c r="BL455">
        <f>IFERROR(INDEX(PP_Grid[#Data],$DE455,61),0)</f>
        <v/>
      </c>
      <c r="BM455">
        <f>IFERROR(INDEX(PP_Grid[#Data],$DE455,62),0)</f>
        <v/>
      </c>
      <c r="BN455">
        <f>IFERROR(INDEX(PP_Grid[#Data],$DE455,63),0)</f>
        <v/>
      </c>
      <c r="BO455">
        <f>IFERROR(INDEX(PP_Grid[#Data],$DE455,64),0)</f>
        <v/>
      </c>
      <c r="BP455">
        <f>IFERROR(INDEX(PP_Grid[#Data],$DE455,65),0)</f>
        <v/>
      </c>
      <c r="BQ455">
        <f>IFERROR(INDEX(PP_Grid[#Data],$DE455,66),0)</f>
        <v/>
      </c>
      <c r="BR455">
        <f>IFERROR(INDEX(PP_Grid[#Data],$DE455,67),0)</f>
        <v/>
      </c>
      <c r="BS455">
        <f>IFERROR(INDEX(PP_Grid[#Data],$DE455,68),0)</f>
        <v/>
      </c>
      <c r="BT455">
        <f>IFERROR(INDEX(PP_Grid[#Data],$DE455,69),0)</f>
        <v/>
      </c>
      <c r="BU455">
        <f>IFERROR(INDEX(PP_Grid[#Data],$DE455,70),0)</f>
        <v/>
      </c>
      <c r="BV455">
        <f>IFERROR(INDEX(PP_Grid[#Data],$DE455,71),0)</f>
        <v/>
      </c>
      <c r="BW455">
        <f>IFERROR(INDEX(PP_Grid[#Data],$DE455,72),0)</f>
        <v/>
      </c>
      <c r="BX455">
        <f>IFERROR(INDEX(PP_Grid[#Data],$DE455,73),0)</f>
        <v/>
      </c>
      <c r="BY455">
        <f>IFERROR(INDEX(PP_Grid[#Data],$DE455,74),0)</f>
        <v/>
      </c>
      <c r="BZ455">
        <f>IFERROR(INDEX(PP_Grid[#Data],$DE455,75),0)</f>
        <v/>
      </c>
      <c r="CA455">
        <f>IFERROR(INDEX(PP_Grid[#Data],$DE455,76),0)</f>
        <v/>
      </c>
      <c r="CB455">
        <f>IFERROR(INDEX(PP_Grid[#Data],$DE455,77),0)</f>
        <v/>
      </c>
      <c r="CC455">
        <f>IFERROR(INDEX(PP_Grid[#Data],$DE455,78),0)</f>
        <v/>
      </c>
      <c r="CD455">
        <f>IFERROR(INDEX(PP_Grid[#Data],$DE455,79),0)</f>
        <v/>
      </c>
      <c r="CE455">
        <f>IFERROR(INDEX(PP_Grid[#Data],$DE455,80),0)</f>
        <v/>
      </c>
      <c r="CF455">
        <f>IFERROR(INDEX(PP_Grid[#Data],$DE455,81),0)</f>
        <v/>
      </c>
      <c r="CG455">
        <f>IFERROR(INDEX(PP_Grid[#Data],$DE455,82),0)</f>
        <v/>
      </c>
      <c r="CH455">
        <f>IFERROR(INDEX(PP_Grid[#Data],$DE455,83),0)</f>
        <v/>
      </c>
      <c r="CI455">
        <f>IFERROR(INDEX(PP_Grid[#Data],$DE455,84),0)</f>
        <v/>
      </c>
      <c r="CJ455">
        <f>IFERROR(INDEX(PP_Grid[#Data],$DE455,85),0)</f>
        <v/>
      </c>
      <c r="CK455">
        <f>IFERROR(INDEX(PP_Grid[#Data],$DE455,86),0)</f>
        <v/>
      </c>
      <c r="CL455">
        <f>IFERROR(INDEX(PP_Grid[#Data],$DE455,87),0)</f>
        <v/>
      </c>
      <c r="CM455">
        <f>IFERROR(INDEX(PP_Grid[#Data],$DE455,88),0)</f>
        <v/>
      </c>
      <c r="CN455">
        <f>IFERROR(INDEX(PP_Grid[#Data],$DE455,89),0)</f>
        <v/>
      </c>
      <c r="CO455">
        <f>IFERROR(INDEX(PP_Grid[#Data],$DE455,90),0)</f>
        <v/>
      </c>
      <c r="CP455">
        <f>IFERROR(INDEX(PP_Grid[#Data],$DE455,91),0)</f>
        <v/>
      </c>
      <c r="CQ455">
        <f>IFERROR(INDEX(PP_Grid[#Data],$DE455,92),0)</f>
        <v/>
      </c>
      <c r="CR455">
        <f>IFERROR(INDEX(PP_Grid[#Data],$DE455,93),0)</f>
        <v/>
      </c>
      <c r="CS455">
        <f>IFERROR(INDEX(PP_Grid[#Data],$DE455,94),0)</f>
        <v/>
      </c>
      <c r="CT455">
        <f>IFERROR(INDEX(PP_Grid[#Data],$DE455,95),0)</f>
        <v/>
      </c>
      <c r="CU455">
        <f>IFERROR(INDEX(PP_Grid[#Data],$DE455,96),0)</f>
        <v/>
      </c>
      <c r="CV455">
        <f>IFERROR(INDEX(PP_Grid[#Data],$DE455,97),0)</f>
        <v/>
      </c>
      <c r="CW455">
        <f>IFERROR(INDEX(PP_Grid[#Data],$DE455,98),0)</f>
        <v/>
      </c>
      <c r="CX455">
        <f>IFERROR(INDEX(PP_Grid[#Data],$DE455,99),0)</f>
        <v/>
      </c>
      <c r="CY455">
        <f>IFERROR(INDEX(PP_Grid[#Data],$DE455,100),0)</f>
        <v/>
      </c>
      <c r="CZ455">
        <f>IFERROR(INDEX(PP_Grid[#Data],$DE455,101),0)</f>
        <v/>
      </c>
      <c r="DA455">
        <f>IFERROR(INDEX(PP_Grid[#Data],$DE455,102),0)</f>
        <v/>
      </c>
      <c r="DB455">
        <f>IFERROR(INDEX(PP_Grid[#Data],$DE455,103),0)</f>
        <v/>
      </c>
      <c r="DC455">
        <f>IFERROR(INDEX(PP_Grid[#Data],$DE455,104),0)</f>
        <v/>
      </c>
      <c r="DD455">
        <f>IFERROR(INDEX(PP_Grid[#Data],$DE455,105),0)</f>
        <v/>
      </c>
      <c r="DE455" s="7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SUMIFS(M_BOM[RM_Qty_Per_Batch],M_BOM[Intermediate],$B455,M_BOM[RM_Code],$A340)</f>
        <v/>
      </c>
      <c r="D456">
        <f>IFERROR(INDEX(E456:DD456,$F$1),"")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  <c r="DD456">
        <f>$C456*DD455</f>
        <v/>
      </c>
    </row>
    <row r="457">
      <c r="B457" t="inlineStr">
        <is>
          <t>TSP-1449</t>
        </is>
      </c>
      <c r="C457" t="inlineStr">
        <is>
          <t>No. of batches</t>
        </is>
      </c>
      <c r="D457">
        <f>IFERROR(INDEX(E457:DD457,$F$1),"")</f>
        <v/>
      </c>
      <c r="E457">
        <f>IFERROR(INDEX(PP_Grid[#Data],$DE457,2),0)</f>
        <v/>
      </c>
      <c r="F457">
        <f>IFERROR(INDEX(PP_Grid[#Data],$DE457,3),0)</f>
        <v/>
      </c>
      <c r="G457">
        <f>IFERROR(INDEX(PP_Grid[#Data],$DE457,4),0)</f>
        <v/>
      </c>
      <c r="H457">
        <f>IFERROR(INDEX(PP_Grid[#Data],$DE457,5),0)</f>
        <v/>
      </c>
      <c r="I457">
        <f>IFERROR(INDEX(PP_Grid[#Data],$DE457,6),0)</f>
        <v/>
      </c>
      <c r="J457">
        <f>IFERROR(INDEX(PP_Grid[#Data],$DE457,7),0)</f>
        <v/>
      </c>
      <c r="K457">
        <f>IFERROR(INDEX(PP_Grid[#Data],$DE457,8),0)</f>
        <v/>
      </c>
      <c r="L457">
        <f>IFERROR(INDEX(PP_Grid[#Data],$DE457,9),0)</f>
        <v/>
      </c>
      <c r="M457">
        <f>IFERROR(INDEX(PP_Grid[#Data],$DE457,10),0)</f>
        <v/>
      </c>
      <c r="N457">
        <f>IFERROR(INDEX(PP_Grid[#Data],$DE457,11),0)</f>
        <v/>
      </c>
      <c r="O457">
        <f>IFERROR(INDEX(PP_Grid[#Data],$DE457,12),0)</f>
        <v/>
      </c>
      <c r="P457">
        <f>IFERROR(INDEX(PP_Grid[#Data],$DE457,13),0)</f>
        <v/>
      </c>
      <c r="Q457">
        <f>IFERROR(INDEX(PP_Grid[#Data],$DE457,14),0)</f>
        <v/>
      </c>
      <c r="R457">
        <f>IFERROR(INDEX(PP_Grid[#Data],$DE457,15),0)</f>
        <v/>
      </c>
      <c r="S457">
        <f>IFERROR(INDEX(PP_Grid[#Data],$DE457,16),0)</f>
        <v/>
      </c>
      <c r="T457">
        <f>IFERROR(INDEX(PP_Grid[#Data],$DE457,17),0)</f>
        <v/>
      </c>
      <c r="U457">
        <f>IFERROR(INDEX(PP_Grid[#Data],$DE457,18),0)</f>
        <v/>
      </c>
      <c r="V457">
        <f>IFERROR(INDEX(PP_Grid[#Data],$DE457,19),0)</f>
        <v/>
      </c>
      <c r="W457">
        <f>IFERROR(INDEX(PP_Grid[#Data],$DE457,20),0)</f>
        <v/>
      </c>
      <c r="X457">
        <f>IFERROR(INDEX(PP_Grid[#Data],$DE457,21),0)</f>
        <v/>
      </c>
      <c r="Y457">
        <f>IFERROR(INDEX(PP_Grid[#Data],$DE457,22),0)</f>
        <v/>
      </c>
      <c r="Z457">
        <f>IFERROR(INDEX(PP_Grid[#Data],$DE457,23),0)</f>
        <v/>
      </c>
      <c r="AA457">
        <f>IFERROR(INDEX(PP_Grid[#Data],$DE457,24),0)</f>
        <v/>
      </c>
      <c r="AB457">
        <f>IFERROR(INDEX(PP_Grid[#Data],$DE457,25),0)</f>
        <v/>
      </c>
      <c r="AC457">
        <f>IFERROR(INDEX(PP_Grid[#Data],$DE457,26),0)</f>
        <v/>
      </c>
      <c r="AD457">
        <f>IFERROR(INDEX(PP_Grid[#Data],$DE457,27),0)</f>
        <v/>
      </c>
      <c r="AE457">
        <f>IFERROR(INDEX(PP_Grid[#Data],$DE457,28),0)</f>
        <v/>
      </c>
      <c r="AF457">
        <f>IFERROR(INDEX(PP_Grid[#Data],$DE457,29),0)</f>
        <v/>
      </c>
      <c r="AG457">
        <f>IFERROR(INDEX(PP_Grid[#Data],$DE457,30),0)</f>
        <v/>
      </c>
      <c r="AH457">
        <f>IFERROR(INDEX(PP_Grid[#Data],$DE457,31),0)</f>
        <v/>
      </c>
      <c r="AI457">
        <f>IFERROR(INDEX(PP_Grid[#Data],$DE457,32),0)</f>
        <v/>
      </c>
      <c r="AJ457">
        <f>IFERROR(INDEX(PP_Grid[#Data],$DE457,33),0)</f>
        <v/>
      </c>
      <c r="AK457">
        <f>IFERROR(INDEX(PP_Grid[#Data],$DE457,34),0)</f>
        <v/>
      </c>
      <c r="AL457">
        <f>IFERROR(INDEX(PP_Grid[#Data],$DE457,35),0)</f>
        <v/>
      </c>
      <c r="AM457">
        <f>IFERROR(INDEX(PP_Grid[#Data],$DE457,36),0)</f>
        <v/>
      </c>
      <c r="AN457">
        <f>IFERROR(INDEX(PP_Grid[#Data],$DE457,37),0)</f>
        <v/>
      </c>
      <c r="AO457">
        <f>IFERROR(INDEX(PP_Grid[#Data],$DE457,38),0)</f>
        <v/>
      </c>
      <c r="AP457">
        <f>IFERROR(INDEX(PP_Grid[#Data],$DE457,39),0)</f>
        <v/>
      </c>
      <c r="AQ457">
        <f>IFERROR(INDEX(PP_Grid[#Data],$DE457,40),0)</f>
        <v/>
      </c>
      <c r="AR457">
        <f>IFERROR(INDEX(PP_Grid[#Data],$DE457,41),0)</f>
        <v/>
      </c>
      <c r="AS457">
        <f>IFERROR(INDEX(PP_Grid[#Data],$DE457,42),0)</f>
        <v/>
      </c>
      <c r="AT457">
        <f>IFERROR(INDEX(PP_Grid[#Data],$DE457,43),0)</f>
        <v/>
      </c>
      <c r="AU457">
        <f>IFERROR(INDEX(PP_Grid[#Data],$DE457,44),0)</f>
        <v/>
      </c>
      <c r="AV457">
        <f>IFERROR(INDEX(PP_Grid[#Data],$DE457,45),0)</f>
        <v/>
      </c>
      <c r="AW457">
        <f>IFERROR(INDEX(PP_Grid[#Data],$DE457,46),0)</f>
        <v/>
      </c>
      <c r="AX457">
        <f>IFERROR(INDEX(PP_Grid[#Data],$DE457,47),0)</f>
        <v/>
      </c>
      <c r="AY457">
        <f>IFERROR(INDEX(PP_Grid[#Data],$DE457,48),0)</f>
        <v/>
      </c>
      <c r="AZ457">
        <f>IFERROR(INDEX(PP_Grid[#Data],$DE457,49),0)</f>
        <v/>
      </c>
      <c r="BA457">
        <f>IFERROR(INDEX(PP_Grid[#Data],$DE457,50),0)</f>
        <v/>
      </c>
      <c r="BB457">
        <f>IFERROR(INDEX(PP_Grid[#Data],$DE457,51),0)</f>
        <v/>
      </c>
      <c r="BC457">
        <f>IFERROR(INDEX(PP_Grid[#Data],$DE457,52),0)</f>
        <v/>
      </c>
      <c r="BD457">
        <f>IFERROR(INDEX(PP_Grid[#Data],$DE457,53),0)</f>
        <v/>
      </c>
      <c r="BE457">
        <f>IFERROR(INDEX(PP_Grid[#Data],$DE457,54),0)</f>
        <v/>
      </c>
      <c r="BF457">
        <f>IFERROR(INDEX(PP_Grid[#Data],$DE457,55),0)</f>
        <v/>
      </c>
      <c r="BG457">
        <f>IFERROR(INDEX(PP_Grid[#Data],$DE457,56),0)</f>
        <v/>
      </c>
      <c r="BH457">
        <f>IFERROR(INDEX(PP_Grid[#Data],$DE457,57),0)</f>
        <v/>
      </c>
      <c r="BI457">
        <f>IFERROR(INDEX(PP_Grid[#Data],$DE457,58),0)</f>
        <v/>
      </c>
      <c r="BJ457">
        <f>IFERROR(INDEX(PP_Grid[#Data],$DE457,59),0)</f>
        <v/>
      </c>
      <c r="BK457">
        <f>IFERROR(INDEX(PP_Grid[#Data],$DE457,60),0)</f>
        <v/>
      </c>
      <c r="BL457">
        <f>IFERROR(INDEX(PP_Grid[#Data],$DE457,61),0)</f>
        <v/>
      </c>
      <c r="BM457">
        <f>IFERROR(INDEX(PP_Grid[#Data],$DE457,62),0)</f>
        <v/>
      </c>
      <c r="BN457">
        <f>IFERROR(INDEX(PP_Grid[#Data],$DE457,63),0)</f>
        <v/>
      </c>
      <c r="BO457">
        <f>IFERROR(INDEX(PP_Grid[#Data],$DE457,64),0)</f>
        <v/>
      </c>
      <c r="BP457">
        <f>IFERROR(INDEX(PP_Grid[#Data],$DE457,65),0)</f>
        <v/>
      </c>
      <c r="BQ457">
        <f>IFERROR(INDEX(PP_Grid[#Data],$DE457,66),0)</f>
        <v/>
      </c>
      <c r="BR457">
        <f>IFERROR(INDEX(PP_Grid[#Data],$DE457,67),0)</f>
        <v/>
      </c>
      <c r="BS457">
        <f>IFERROR(INDEX(PP_Grid[#Data],$DE457,68),0)</f>
        <v/>
      </c>
      <c r="BT457">
        <f>IFERROR(INDEX(PP_Grid[#Data],$DE457,69),0)</f>
        <v/>
      </c>
      <c r="BU457">
        <f>IFERROR(INDEX(PP_Grid[#Data],$DE457,70),0)</f>
        <v/>
      </c>
      <c r="BV457">
        <f>IFERROR(INDEX(PP_Grid[#Data],$DE457,71),0)</f>
        <v/>
      </c>
      <c r="BW457">
        <f>IFERROR(INDEX(PP_Grid[#Data],$DE457,72),0)</f>
        <v/>
      </c>
      <c r="BX457">
        <f>IFERROR(INDEX(PP_Grid[#Data],$DE457,73),0)</f>
        <v/>
      </c>
      <c r="BY457">
        <f>IFERROR(INDEX(PP_Grid[#Data],$DE457,74),0)</f>
        <v/>
      </c>
      <c r="BZ457">
        <f>IFERROR(INDEX(PP_Grid[#Data],$DE457,75),0)</f>
        <v/>
      </c>
      <c r="CA457">
        <f>IFERROR(INDEX(PP_Grid[#Data],$DE457,76),0)</f>
        <v/>
      </c>
      <c r="CB457">
        <f>IFERROR(INDEX(PP_Grid[#Data],$DE457,77),0)</f>
        <v/>
      </c>
      <c r="CC457">
        <f>IFERROR(INDEX(PP_Grid[#Data],$DE457,78),0)</f>
        <v/>
      </c>
      <c r="CD457">
        <f>IFERROR(INDEX(PP_Grid[#Data],$DE457,79),0)</f>
        <v/>
      </c>
      <c r="CE457">
        <f>IFERROR(INDEX(PP_Grid[#Data],$DE457,80),0)</f>
        <v/>
      </c>
      <c r="CF457">
        <f>IFERROR(INDEX(PP_Grid[#Data],$DE457,81),0)</f>
        <v/>
      </c>
      <c r="CG457">
        <f>IFERROR(INDEX(PP_Grid[#Data],$DE457,82),0)</f>
        <v/>
      </c>
      <c r="CH457">
        <f>IFERROR(INDEX(PP_Grid[#Data],$DE457,83),0)</f>
        <v/>
      </c>
      <c r="CI457">
        <f>IFERROR(INDEX(PP_Grid[#Data],$DE457,84),0)</f>
        <v/>
      </c>
      <c r="CJ457">
        <f>IFERROR(INDEX(PP_Grid[#Data],$DE457,85),0)</f>
        <v/>
      </c>
      <c r="CK457">
        <f>IFERROR(INDEX(PP_Grid[#Data],$DE457,86),0)</f>
        <v/>
      </c>
      <c r="CL457">
        <f>IFERROR(INDEX(PP_Grid[#Data],$DE457,87),0)</f>
        <v/>
      </c>
      <c r="CM457">
        <f>IFERROR(INDEX(PP_Grid[#Data],$DE457,88),0)</f>
        <v/>
      </c>
      <c r="CN457">
        <f>IFERROR(INDEX(PP_Grid[#Data],$DE457,89),0)</f>
        <v/>
      </c>
      <c r="CO457">
        <f>IFERROR(INDEX(PP_Grid[#Data],$DE457,90),0)</f>
        <v/>
      </c>
      <c r="CP457">
        <f>IFERROR(INDEX(PP_Grid[#Data],$DE457,91),0)</f>
        <v/>
      </c>
      <c r="CQ457">
        <f>IFERROR(INDEX(PP_Grid[#Data],$DE457,92),0)</f>
        <v/>
      </c>
      <c r="CR457">
        <f>IFERROR(INDEX(PP_Grid[#Data],$DE457,93),0)</f>
        <v/>
      </c>
      <c r="CS457">
        <f>IFERROR(INDEX(PP_Grid[#Data],$DE457,94),0)</f>
        <v/>
      </c>
      <c r="CT457">
        <f>IFERROR(INDEX(PP_Grid[#Data],$DE457,95),0)</f>
        <v/>
      </c>
      <c r="CU457">
        <f>IFERROR(INDEX(PP_Grid[#Data],$DE457,96),0)</f>
        <v/>
      </c>
      <c r="CV457">
        <f>IFERROR(INDEX(PP_Grid[#Data],$DE457,97),0)</f>
        <v/>
      </c>
      <c r="CW457">
        <f>IFERROR(INDEX(PP_Grid[#Data],$DE457,98),0)</f>
        <v/>
      </c>
      <c r="CX457">
        <f>IFERROR(INDEX(PP_Grid[#Data],$DE457,99),0)</f>
        <v/>
      </c>
      <c r="CY457">
        <f>IFERROR(INDEX(PP_Grid[#Data],$DE457,100),0)</f>
        <v/>
      </c>
      <c r="CZ457">
        <f>IFERROR(INDEX(PP_Grid[#Data],$DE457,101),0)</f>
        <v/>
      </c>
      <c r="DA457">
        <f>IFERROR(INDEX(PP_Grid[#Data],$DE457,102),0)</f>
        <v/>
      </c>
      <c r="DB457">
        <f>IFERROR(INDEX(PP_Grid[#Data],$DE457,103),0)</f>
        <v/>
      </c>
      <c r="DC457">
        <f>IFERROR(INDEX(PP_Grid[#Data],$DE457,104),0)</f>
        <v/>
      </c>
      <c r="DD457">
        <f>IFERROR(INDEX(PP_Grid[#Data],$DE457,105),0)</f>
        <v/>
      </c>
      <c r="DE457" s="7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SUMIFS(M_BOM[RM_Qty_Per_Batch],M_BOM[Intermediate],$B457,M_BOM[RM_Code],$A340)</f>
        <v/>
      </c>
      <c r="D458">
        <f>IFERROR(INDEX(E458:DD458,$F$1),"")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  <c r="DD458">
        <f>$C458*DD457</f>
        <v/>
      </c>
    </row>
    <row r="459">
      <c r="B459" t="inlineStr">
        <is>
          <t>VSP-567</t>
        </is>
      </c>
      <c r="C459" t="inlineStr">
        <is>
          <t>No. of batches</t>
        </is>
      </c>
      <c r="D459">
        <f>IFERROR(INDEX(E459:DD459,$F$1),"")</f>
        <v/>
      </c>
      <c r="E459">
        <f>IFERROR(INDEX(PP_Grid[#Data],$DE459,2),0)</f>
        <v/>
      </c>
      <c r="F459">
        <f>IFERROR(INDEX(PP_Grid[#Data],$DE459,3),0)</f>
        <v/>
      </c>
      <c r="G459">
        <f>IFERROR(INDEX(PP_Grid[#Data],$DE459,4),0)</f>
        <v/>
      </c>
      <c r="H459">
        <f>IFERROR(INDEX(PP_Grid[#Data],$DE459,5),0)</f>
        <v/>
      </c>
      <c r="I459">
        <f>IFERROR(INDEX(PP_Grid[#Data],$DE459,6),0)</f>
        <v/>
      </c>
      <c r="J459">
        <f>IFERROR(INDEX(PP_Grid[#Data],$DE459,7),0)</f>
        <v/>
      </c>
      <c r="K459">
        <f>IFERROR(INDEX(PP_Grid[#Data],$DE459,8),0)</f>
        <v/>
      </c>
      <c r="L459">
        <f>IFERROR(INDEX(PP_Grid[#Data],$DE459,9),0)</f>
        <v/>
      </c>
      <c r="M459">
        <f>IFERROR(INDEX(PP_Grid[#Data],$DE459,10),0)</f>
        <v/>
      </c>
      <c r="N459">
        <f>IFERROR(INDEX(PP_Grid[#Data],$DE459,11),0)</f>
        <v/>
      </c>
      <c r="O459">
        <f>IFERROR(INDEX(PP_Grid[#Data],$DE459,12),0)</f>
        <v/>
      </c>
      <c r="P459">
        <f>IFERROR(INDEX(PP_Grid[#Data],$DE459,13),0)</f>
        <v/>
      </c>
      <c r="Q459">
        <f>IFERROR(INDEX(PP_Grid[#Data],$DE459,14),0)</f>
        <v/>
      </c>
      <c r="R459">
        <f>IFERROR(INDEX(PP_Grid[#Data],$DE459,15),0)</f>
        <v/>
      </c>
      <c r="S459">
        <f>IFERROR(INDEX(PP_Grid[#Data],$DE459,16),0)</f>
        <v/>
      </c>
      <c r="T459">
        <f>IFERROR(INDEX(PP_Grid[#Data],$DE459,17),0)</f>
        <v/>
      </c>
      <c r="U459">
        <f>IFERROR(INDEX(PP_Grid[#Data],$DE459,18),0)</f>
        <v/>
      </c>
      <c r="V459">
        <f>IFERROR(INDEX(PP_Grid[#Data],$DE459,19),0)</f>
        <v/>
      </c>
      <c r="W459">
        <f>IFERROR(INDEX(PP_Grid[#Data],$DE459,20),0)</f>
        <v/>
      </c>
      <c r="X459">
        <f>IFERROR(INDEX(PP_Grid[#Data],$DE459,21),0)</f>
        <v/>
      </c>
      <c r="Y459">
        <f>IFERROR(INDEX(PP_Grid[#Data],$DE459,22),0)</f>
        <v/>
      </c>
      <c r="Z459">
        <f>IFERROR(INDEX(PP_Grid[#Data],$DE459,23),0)</f>
        <v/>
      </c>
      <c r="AA459">
        <f>IFERROR(INDEX(PP_Grid[#Data],$DE459,24),0)</f>
        <v/>
      </c>
      <c r="AB459">
        <f>IFERROR(INDEX(PP_Grid[#Data],$DE459,25),0)</f>
        <v/>
      </c>
      <c r="AC459">
        <f>IFERROR(INDEX(PP_Grid[#Data],$DE459,26),0)</f>
        <v/>
      </c>
      <c r="AD459">
        <f>IFERROR(INDEX(PP_Grid[#Data],$DE459,27),0)</f>
        <v/>
      </c>
      <c r="AE459">
        <f>IFERROR(INDEX(PP_Grid[#Data],$DE459,28),0)</f>
        <v/>
      </c>
      <c r="AF459">
        <f>IFERROR(INDEX(PP_Grid[#Data],$DE459,29),0)</f>
        <v/>
      </c>
      <c r="AG459">
        <f>IFERROR(INDEX(PP_Grid[#Data],$DE459,30),0)</f>
        <v/>
      </c>
      <c r="AH459">
        <f>IFERROR(INDEX(PP_Grid[#Data],$DE459,31),0)</f>
        <v/>
      </c>
      <c r="AI459">
        <f>IFERROR(INDEX(PP_Grid[#Data],$DE459,32),0)</f>
        <v/>
      </c>
      <c r="AJ459">
        <f>IFERROR(INDEX(PP_Grid[#Data],$DE459,33),0)</f>
        <v/>
      </c>
      <c r="AK459">
        <f>IFERROR(INDEX(PP_Grid[#Data],$DE459,34),0)</f>
        <v/>
      </c>
      <c r="AL459">
        <f>IFERROR(INDEX(PP_Grid[#Data],$DE459,35),0)</f>
        <v/>
      </c>
      <c r="AM459">
        <f>IFERROR(INDEX(PP_Grid[#Data],$DE459,36),0)</f>
        <v/>
      </c>
      <c r="AN459">
        <f>IFERROR(INDEX(PP_Grid[#Data],$DE459,37),0)</f>
        <v/>
      </c>
      <c r="AO459">
        <f>IFERROR(INDEX(PP_Grid[#Data],$DE459,38),0)</f>
        <v/>
      </c>
      <c r="AP459">
        <f>IFERROR(INDEX(PP_Grid[#Data],$DE459,39),0)</f>
        <v/>
      </c>
      <c r="AQ459">
        <f>IFERROR(INDEX(PP_Grid[#Data],$DE459,40),0)</f>
        <v/>
      </c>
      <c r="AR459">
        <f>IFERROR(INDEX(PP_Grid[#Data],$DE459,41),0)</f>
        <v/>
      </c>
      <c r="AS459">
        <f>IFERROR(INDEX(PP_Grid[#Data],$DE459,42),0)</f>
        <v/>
      </c>
      <c r="AT459">
        <f>IFERROR(INDEX(PP_Grid[#Data],$DE459,43),0)</f>
        <v/>
      </c>
      <c r="AU459">
        <f>IFERROR(INDEX(PP_Grid[#Data],$DE459,44),0)</f>
        <v/>
      </c>
      <c r="AV459">
        <f>IFERROR(INDEX(PP_Grid[#Data],$DE459,45),0)</f>
        <v/>
      </c>
      <c r="AW459">
        <f>IFERROR(INDEX(PP_Grid[#Data],$DE459,46),0)</f>
        <v/>
      </c>
      <c r="AX459">
        <f>IFERROR(INDEX(PP_Grid[#Data],$DE459,47),0)</f>
        <v/>
      </c>
      <c r="AY459">
        <f>IFERROR(INDEX(PP_Grid[#Data],$DE459,48),0)</f>
        <v/>
      </c>
      <c r="AZ459">
        <f>IFERROR(INDEX(PP_Grid[#Data],$DE459,49),0)</f>
        <v/>
      </c>
      <c r="BA459">
        <f>IFERROR(INDEX(PP_Grid[#Data],$DE459,50),0)</f>
        <v/>
      </c>
      <c r="BB459">
        <f>IFERROR(INDEX(PP_Grid[#Data],$DE459,51),0)</f>
        <v/>
      </c>
      <c r="BC459">
        <f>IFERROR(INDEX(PP_Grid[#Data],$DE459,52),0)</f>
        <v/>
      </c>
      <c r="BD459">
        <f>IFERROR(INDEX(PP_Grid[#Data],$DE459,53),0)</f>
        <v/>
      </c>
      <c r="BE459">
        <f>IFERROR(INDEX(PP_Grid[#Data],$DE459,54),0)</f>
        <v/>
      </c>
      <c r="BF459">
        <f>IFERROR(INDEX(PP_Grid[#Data],$DE459,55),0)</f>
        <v/>
      </c>
      <c r="BG459">
        <f>IFERROR(INDEX(PP_Grid[#Data],$DE459,56),0)</f>
        <v/>
      </c>
      <c r="BH459">
        <f>IFERROR(INDEX(PP_Grid[#Data],$DE459,57),0)</f>
        <v/>
      </c>
      <c r="BI459">
        <f>IFERROR(INDEX(PP_Grid[#Data],$DE459,58),0)</f>
        <v/>
      </c>
      <c r="BJ459">
        <f>IFERROR(INDEX(PP_Grid[#Data],$DE459,59),0)</f>
        <v/>
      </c>
      <c r="BK459">
        <f>IFERROR(INDEX(PP_Grid[#Data],$DE459,60),0)</f>
        <v/>
      </c>
      <c r="BL459">
        <f>IFERROR(INDEX(PP_Grid[#Data],$DE459,61),0)</f>
        <v/>
      </c>
      <c r="BM459">
        <f>IFERROR(INDEX(PP_Grid[#Data],$DE459,62),0)</f>
        <v/>
      </c>
      <c r="BN459">
        <f>IFERROR(INDEX(PP_Grid[#Data],$DE459,63),0)</f>
        <v/>
      </c>
      <c r="BO459">
        <f>IFERROR(INDEX(PP_Grid[#Data],$DE459,64),0)</f>
        <v/>
      </c>
      <c r="BP459">
        <f>IFERROR(INDEX(PP_Grid[#Data],$DE459,65),0)</f>
        <v/>
      </c>
      <c r="BQ459">
        <f>IFERROR(INDEX(PP_Grid[#Data],$DE459,66),0)</f>
        <v/>
      </c>
      <c r="BR459">
        <f>IFERROR(INDEX(PP_Grid[#Data],$DE459,67),0)</f>
        <v/>
      </c>
      <c r="BS459">
        <f>IFERROR(INDEX(PP_Grid[#Data],$DE459,68),0)</f>
        <v/>
      </c>
      <c r="BT459">
        <f>IFERROR(INDEX(PP_Grid[#Data],$DE459,69),0)</f>
        <v/>
      </c>
      <c r="BU459">
        <f>IFERROR(INDEX(PP_Grid[#Data],$DE459,70),0)</f>
        <v/>
      </c>
      <c r="BV459">
        <f>IFERROR(INDEX(PP_Grid[#Data],$DE459,71),0)</f>
        <v/>
      </c>
      <c r="BW459">
        <f>IFERROR(INDEX(PP_Grid[#Data],$DE459,72),0)</f>
        <v/>
      </c>
      <c r="BX459">
        <f>IFERROR(INDEX(PP_Grid[#Data],$DE459,73),0)</f>
        <v/>
      </c>
      <c r="BY459">
        <f>IFERROR(INDEX(PP_Grid[#Data],$DE459,74),0)</f>
        <v/>
      </c>
      <c r="BZ459">
        <f>IFERROR(INDEX(PP_Grid[#Data],$DE459,75),0)</f>
        <v/>
      </c>
      <c r="CA459">
        <f>IFERROR(INDEX(PP_Grid[#Data],$DE459,76),0)</f>
        <v/>
      </c>
      <c r="CB459">
        <f>IFERROR(INDEX(PP_Grid[#Data],$DE459,77),0)</f>
        <v/>
      </c>
      <c r="CC459">
        <f>IFERROR(INDEX(PP_Grid[#Data],$DE459,78),0)</f>
        <v/>
      </c>
      <c r="CD459">
        <f>IFERROR(INDEX(PP_Grid[#Data],$DE459,79),0)</f>
        <v/>
      </c>
      <c r="CE459">
        <f>IFERROR(INDEX(PP_Grid[#Data],$DE459,80),0)</f>
        <v/>
      </c>
      <c r="CF459">
        <f>IFERROR(INDEX(PP_Grid[#Data],$DE459,81),0)</f>
        <v/>
      </c>
      <c r="CG459">
        <f>IFERROR(INDEX(PP_Grid[#Data],$DE459,82),0)</f>
        <v/>
      </c>
      <c r="CH459">
        <f>IFERROR(INDEX(PP_Grid[#Data],$DE459,83),0)</f>
        <v/>
      </c>
      <c r="CI459">
        <f>IFERROR(INDEX(PP_Grid[#Data],$DE459,84),0)</f>
        <v/>
      </c>
      <c r="CJ459">
        <f>IFERROR(INDEX(PP_Grid[#Data],$DE459,85),0)</f>
        <v/>
      </c>
      <c r="CK459">
        <f>IFERROR(INDEX(PP_Grid[#Data],$DE459,86),0)</f>
        <v/>
      </c>
      <c r="CL459">
        <f>IFERROR(INDEX(PP_Grid[#Data],$DE459,87),0)</f>
        <v/>
      </c>
      <c r="CM459">
        <f>IFERROR(INDEX(PP_Grid[#Data],$DE459,88),0)</f>
        <v/>
      </c>
      <c r="CN459">
        <f>IFERROR(INDEX(PP_Grid[#Data],$DE459,89),0)</f>
        <v/>
      </c>
      <c r="CO459">
        <f>IFERROR(INDEX(PP_Grid[#Data],$DE459,90),0)</f>
        <v/>
      </c>
      <c r="CP459">
        <f>IFERROR(INDEX(PP_Grid[#Data],$DE459,91),0)</f>
        <v/>
      </c>
      <c r="CQ459">
        <f>IFERROR(INDEX(PP_Grid[#Data],$DE459,92),0)</f>
        <v/>
      </c>
      <c r="CR459">
        <f>IFERROR(INDEX(PP_Grid[#Data],$DE459,93),0)</f>
        <v/>
      </c>
      <c r="CS459">
        <f>IFERROR(INDEX(PP_Grid[#Data],$DE459,94),0)</f>
        <v/>
      </c>
      <c r="CT459">
        <f>IFERROR(INDEX(PP_Grid[#Data],$DE459,95),0)</f>
        <v/>
      </c>
      <c r="CU459">
        <f>IFERROR(INDEX(PP_Grid[#Data],$DE459,96),0)</f>
        <v/>
      </c>
      <c r="CV459">
        <f>IFERROR(INDEX(PP_Grid[#Data],$DE459,97),0)</f>
        <v/>
      </c>
      <c r="CW459">
        <f>IFERROR(INDEX(PP_Grid[#Data],$DE459,98),0)</f>
        <v/>
      </c>
      <c r="CX459">
        <f>IFERROR(INDEX(PP_Grid[#Data],$DE459,99),0)</f>
        <v/>
      </c>
      <c r="CY459">
        <f>IFERROR(INDEX(PP_Grid[#Data],$DE459,100),0)</f>
        <v/>
      </c>
      <c r="CZ459">
        <f>IFERROR(INDEX(PP_Grid[#Data],$DE459,101),0)</f>
        <v/>
      </c>
      <c r="DA459">
        <f>IFERROR(INDEX(PP_Grid[#Data],$DE459,102),0)</f>
        <v/>
      </c>
      <c r="DB459">
        <f>IFERROR(INDEX(PP_Grid[#Data],$DE459,103),0)</f>
        <v/>
      </c>
      <c r="DC459">
        <f>IFERROR(INDEX(PP_Grid[#Data],$DE459,104),0)</f>
        <v/>
      </c>
      <c r="DD459">
        <f>IFERROR(INDEX(PP_Grid[#Data],$DE459,105),0)</f>
        <v/>
      </c>
      <c r="DE459" s="7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SUMIFS(M_BOM[RM_Qty_Per_Batch],M_BOM[Intermediate],$B459,M_BOM[RM_Code],$A340)</f>
        <v/>
      </c>
      <c r="D460">
        <f>IFERROR(INDEX(E460:DD460,$F$1),"")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  <c r="DD460">
        <f>$C460*DD459</f>
        <v/>
      </c>
    </row>
    <row r="461">
      <c r="B461" t="inlineStr">
        <is>
          <t>VSP-600</t>
        </is>
      </c>
      <c r="C461" t="inlineStr">
        <is>
          <t>No. of batches</t>
        </is>
      </c>
      <c r="D461">
        <f>IFERROR(INDEX(E461:DD461,$F$1),"")</f>
        <v/>
      </c>
      <c r="E461">
        <f>IFERROR(INDEX(PP_Grid[#Data],$DE461,2),0)</f>
        <v/>
      </c>
      <c r="F461">
        <f>IFERROR(INDEX(PP_Grid[#Data],$DE461,3),0)</f>
        <v/>
      </c>
      <c r="G461">
        <f>IFERROR(INDEX(PP_Grid[#Data],$DE461,4),0)</f>
        <v/>
      </c>
      <c r="H461">
        <f>IFERROR(INDEX(PP_Grid[#Data],$DE461,5),0)</f>
        <v/>
      </c>
      <c r="I461">
        <f>IFERROR(INDEX(PP_Grid[#Data],$DE461,6),0)</f>
        <v/>
      </c>
      <c r="J461">
        <f>IFERROR(INDEX(PP_Grid[#Data],$DE461,7),0)</f>
        <v/>
      </c>
      <c r="K461">
        <f>IFERROR(INDEX(PP_Grid[#Data],$DE461,8),0)</f>
        <v/>
      </c>
      <c r="L461">
        <f>IFERROR(INDEX(PP_Grid[#Data],$DE461,9),0)</f>
        <v/>
      </c>
      <c r="M461">
        <f>IFERROR(INDEX(PP_Grid[#Data],$DE461,10),0)</f>
        <v/>
      </c>
      <c r="N461">
        <f>IFERROR(INDEX(PP_Grid[#Data],$DE461,11),0)</f>
        <v/>
      </c>
      <c r="O461">
        <f>IFERROR(INDEX(PP_Grid[#Data],$DE461,12),0)</f>
        <v/>
      </c>
      <c r="P461">
        <f>IFERROR(INDEX(PP_Grid[#Data],$DE461,13),0)</f>
        <v/>
      </c>
      <c r="Q461">
        <f>IFERROR(INDEX(PP_Grid[#Data],$DE461,14),0)</f>
        <v/>
      </c>
      <c r="R461">
        <f>IFERROR(INDEX(PP_Grid[#Data],$DE461,15),0)</f>
        <v/>
      </c>
      <c r="S461">
        <f>IFERROR(INDEX(PP_Grid[#Data],$DE461,16),0)</f>
        <v/>
      </c>
      <c r="T461">
        <f>IFERROR(INDEX(PP_Grid[#Data],$DE461,17),0)</f>
        <v/>
      </c>
      <c r="U461">
        <f>IFERROR(INDEX(PP_Grid[#Data],$DE461,18),0)</f>
        <v/>
      </c>
      <c r="V461">
        <f>IFERROR(INDEX(PP_Grid[#Data],$DE461,19),0)</f>
        <v/>
      </c>
      <c r="W461">
        <f>IFERROR(INDEX(PP_Grid[#Data],$DE461,20),0)</f>
        <v/>
      </c>
      <c r="X461">
        <f>IFERROR(INDEX(PP_Grid[#Data],$DE461,21),0)</f>
        <v/>
      </c>
      <c r="Y461">
        <f>IFERROR(INDEX(PP_Grid[#Data],$DE461,22),0)</f>
        <v/>
      </c>
      <c r="Z461">
        <f>IFERROR(INDEX(PP_Grid[#Data],$DE461,23),0)</f>
        <v/>
      </c>
      <c r="AA461">
        <f>IFERROR(INDEX(PP_Grid[#Data],$DE461,24),0)</f>
        <v/>
      </c>
      <c r="AB461">
        <f>IFERROR(INDEX(PP_Grid[#Data],$DE461,25),0)</f>
        <v/>
      </c>
      <c r="AC461">
        <f>IFERROR(INDEX(PP_Grid[#Data],$DE461,26),0)</f>
        <v/>
      </c>
      <c r="AD461">
        <f>IFERROR(INDEX(PP_Grid[#Data],$DE461,27),0)</f>
        <v/>
      </c>
      <c r="AE461">
        <f>IFERROR(INDEX(PP_Grid[#Data],$DE461,28),0)</f>
        <v/>
      </c>
      <c r="AF461">
        <f>IFERROR(INDEX(PP_Grid[#Data],$DE461,29),0)</f>
        <v/>
      </c>
      <c r="AG461">
        <f>IFERROR(INDEX(PP_Grid[#Data],$DE461,30),0)</f>
        <v/>
      </c>
      <c r="AH461">
        <f>IFERROR(INDEX(PP_Grid[#Data],$DE461,31),0)</f>
        <v/>
      </c>
      <c r="AI461">
        <f>IFERROR(INDEX(PP_Grid[#Data],$DE461,32),0)</f>
        <v/>
      </c>
      <c r="AJ461">
        <f>IFERROR(INDEX(PP_Grid[#Data],$DE461,33),0)</f>
        <v/>
      </c>
      <c r="AK461">
        <f>IFERROR(INDEX(PP_Grid[#Data],$DE461,34),0)</f>
        <v/>
      </c>
      <c r="AL461">
        <f>IFERROR(INDEX(PP_Grid[#Data],$DE461,35),0)</f>
        <v/>
      </c>
      <c r="AM461">
        <f>IFERROR(INDEX(PP_Grid[#Data],$DE461,36),0)</f>
        <v/>
      </c>
      <c r="AN461">
        <f>IFERROR(INDEX(PP_Grid[#Data],$DE461,37),0)</f>
        <v/>
      </c>
      <c r="AO461">
        <f>IFERROR(INDEX(PP_Grid[#Data],$DE461,38),0)</f>
        <v/>
      </c>
      <c r="AP461">
        <f>IFERROR(INDEX(PP_Grid[#Data],$DE461,39),0)</f>
        <v/>
      </c>
      <c r="AQ461">
        <f>IFERROR(INDEX(PP_Grid[#Data],$DE461,40),0)</f>
        <v/>
      </c>
      <c r="AR461">
        <f>IFERROR(INDEX(PP_Grid[#Data],$DE461,41),0)</f>
        <v/>
      </c>
      <c r="AS461">
        <f>IFERROR(INDEX(PP_Grid[#Data],$DE461,42),0)</f>
        <v/>
      </c>
      <c r="AT461">
        <f>IFERROR(INDEX(PP_Grid[#Data],$DE461,43),0)</f>
        <v/>
      </c>
      <c r="AU461">
        <f>IFERROR(INDEX(PP_Grid[#Data],$DE461,44),0)</f>
        <v/>
      </c>
      <c r="AV461">
        <f>IFERROR(INDEX(PP_Grid[#Data],$DE461,45),0)</f>
        <v/>
      </c>
      <c r="AW461">
        <f>IFERROR(INDEX(PP_Grid[#Data],$DE461,46),0)</f>
        <v/>
      </c>
      <c r="AX461">
        <f>IFERROR(INDEX(PP_Grid[#Data],$DE461,47),0)</f>
        <v/>
      </c>
      <c r="AY461">
        <f>IFERROR(INDEX(PP_Grid[#Data],$DE461,48),0)</f>
        <v/>
      </c>
      <c r="AZ461">
        <f>IFERROR(INDEX(PP_Grid[#Data],$DE461,49),0)</f>
        <v/>
      </c>
      <c r="BA461">
        <f>IFERROR(INDEX(PP_Grid[#Data],$DE461,50),0)</f>
        <v/>
      </c>
      <c r="BB461">
        <f>IFERROR(INDEX(PP_Grid[#Data],$DE461,51),0)</f>
        <v/>
      </c>
      <c r="BC461">
        <f>IFERROR(INDEX(PP_Grid[#Data],$DE461,52),0)</f>
        <v/>
      </c>
      <c r="BD461">
        <f>IFERROR(INDEX(PP_Grid[#Data],$DE461,53),0)</f>
        <v/>
      </c>
      <c r="BE461">
        <f>IFERROR(INDEX(PP_Grid[#Data],$DE461,54),0)</f>
        <v/>
      </c>
      <c r="BF461">
        <f>IFERROR(INDEX(PP_Grid[#Data],$DE461,55),0)</f>
        <v/>
      </c>
      <c r="BG461">
        <f>IFERROR(INDEX(PP_Grid[#Data],$DE461,56),0)</f>
        <v/>
      </c>
      <c r="BH461">
        <f>IFERROR(INDEX(PP_Grid[#Data],$DE461,57),0)</f>
        <v/>
      </c>
      <c r="BI461">
        <f>IFERROR(INDEX(PP_Grid[#Data],$DE461,58),0)</f>
        <v/>
      </c>
      <c r="BJ461">
        <f>IFERROR(INDEX(PP_Grid[#Data],$DE461,59),0)</f>
        <v/>
      </c>
      <c r="BK461">
        <f>IFERROR(INDEX(PP_Grid[#Data],$DE461,60),0)</f>
        <v/>
      </c>
      <c r="BL461">
        <f>IFERROR(INDEX(PP_Grid[#Data],$DE461,61),0)</f>
        <v/>
      </c>
      <c r="BM461">
        <f>IFERROR(INDEX(PP_Grid[#Data],$DE461,62),0)</f>
        <v/>
      </c>
      <c r="BN461">
        <f>IFERROR(INDEX(PP_Grid[#Data],$DE461,63),0)</f>
        <v/>
      </c>
      <c r="BO461">
        <f>IFERROR(INDEX(PP_Grid[#Data],$DE461,64),0)</f>
        <v/>
      </c>
      <c r="BP461">
        <f>IFERROR(INDEX(PP_Grid[#Data],$DE461,65),0)</f>
        <v/>
      </c>
      <c r="BQ461">
        <f>IFERROR(INDEX(PP_Grid[#Data],$DE461,66),0)</f>
        <v/>
      </c>
      <c r="BR461">
        <f>IFERROR(INDEX(PP_Grid[#Data],$DE461,67),0)</f>
        <v/>
      </c>
      <c r="BS461">
        <f>IFERROR(INDEX(PP_Grid[#Data],$DE461,68),0)</f>
        <v/>
      </c>
      <c r="BT461">
        <f>IFERROR(INDEX(PP_Grid[#Data],$DE461,69),0)</f>
        <v/>
      </c>
      <c r="BU461">
        <f>IFERROR(INDEX(PP_Grid[#Data],$DE461,70),0)</f>
        <v/>
      </c>
      <c r="BV461">
        <f>IFERROR(INDEX(PP_Grid[#Data],$DE461,71),0)</f>
        <v/>
      </c>
      <c r="BW461">
        <f>IFERROR(INDEX(PP_Grid[#Data],$DE461,72),0)</f>
        <v/>
      </c>
      <c r="BX461">
        <f>IFERROR(INDEX(PP_Grid[#Data],$DE461,73),0)</f>
        <v/>
      </c>
      <c r="BY461">
        <f>IFERROR(INDEX(PP_Grid[#Data],$DE461,74),0)</f>
        <v/>
      </c>
      <c r="BZ461">
        <f>IFERROR(INDEX(PP_Grid[#Data],$DE461,75),0)</f>
        <v/>
      </c>
      <c r="CA461">
        <f>IFERROR(INDEX(PP_Grid[#Data],$DE461,76),0)</f>
        <v/>
      </c>
      <c r="CB461">
        <f>IFERROR(INDEX(PP_Grid[#Data],$DE461,77),0)</f>
        <v/>
      </c>
      <c r="CC461">
        <f>IFERROR(INDEX(PP_Grid[#Data],$DE461,78),0)</f>
        <v/>
      </c>
      <c r="CD461">
        <f>IFERROR(INDEX(PP_Grid[#Data],$DE461,79),0)</f>
        <v/>
      </c>
      <c r="CE461">
        <f>IFERROR(INDEX(PP_Grid[#Data],$DE461,80),0)</f>
        <v/>
      </c>
      <c r="CF461">
        <f>IFERROR(INDEX(PP_Grid[#Data],$DE461,81),0)</f>
        <v/>
      </c>
      <c r="CG461">
        <f>IFERROR(INDEX(PP_Grid[#Data],$DE461,82),0)</f>
        <v/>
      </c>
      <c r="CH461">
        <f>IFERROR(INDEX(PP_Grid[#Data],$DE461,83),0)</f>
        <v/>
      </c>
      <c r="CI461">
        <f>IFERROR(INDEX(PP_Grid[#Data],$DE461,84),0)</f>
        <v/>
      </c>
      <c r="CJ461">
        <f>IFERROR(INDEX(PP_Grid[#Data],$DE461,85),0)</f>
        <v/>
      </c>
      <c r="CK461">
        <f>IFERROR(INDEX(PP_Grid[#Data],$DE461,86),0)</f>
        <v/>
      </c>
      <c r="CL461">
        <f>IFERROR(INDEX(PP_Grid[#Data],$DE461,87),0)</f>
        <v/>
      </c>
      <c r="CM461">
        <f>IFERROR(INDEX(PP_Grid[#Data],$DE461,88),0)</f>
        <v/>
      </c>
      <c r="CN461">
        <f>IFERROR(INDEX(PP_Grid[#Data],$DE461,89),0)</f>
        <v/>
      </c>
      <c r="CO461">
        <f>IFERROR(INDEX(PP_Grid[#Data],$DE461,90),0)</f>
        <v/>
      </c>
      <c r="CP461">
        <f>IFERROR(INDEX(PP_Grid[#Data],$DE461,91),0)</f>
        <v/>
      </c>
      <c r="CQ461">
        <f>IFERROR(INDEX(PP_Grid[#Data],$DE461,92),0)</f>
        <v/>
      </c>
      <c r="CR461">
        <f>IFERROR(INDEX(PP_Grid[#Data],$DE461,93),0)</f>
        <v/>
      </c>
      <c r="CS461">
        <f>IFERROR(INDEX(PP_Grid[#Data],$DE461,94),0)</f>
        <v/>
      </c>
      <c r="CT461">
        <f>IFERROR(INDEX(PP_Grid[#Data],$DE461,95),0)</f>
        <v/>
      </c>
      <c r="CU461">
        <f>IFERROR(INDEX(PP_Grid[#Data],$DE461,96),0)</f>
        <v/>
      </c>
      <c r="CV461">
        <f>IFERROR(INDEX(PP_Grid[#Data],$DE461,97),0)</f>
        <v/>
      </c>
      <c r="CW461">
        <f>IFERROR(INDEX(PP_Grid[#Data],$DE461,98),0)</f>
        <v/>
      </c>
      <c r="CX461">
        <f>IFERROR(INDEX(PP_Grid[#Data],$DE461,99),0)</f>
        <v/>
      </c>
      <c r="CY461">
        <f>IFERROR(INDEX(PP_Grid[#Data],$DE461,100),0)</f>
        <v/>
      </c>
      <c r="CZ461">
        <f>IFERROR(INDEX(PP_Grid[#Data],$DE461,101),0)</f>
        <v/>
      </c>
      <c r="DA461">
        <f>IFERROR(INDEX(PP_Grid[#Data],$DE461,102),0)</f>
        <v/>
      </c>
      <c r="DB461">
        <f>IFERROR(INDEX(PP_Grid[#Data],$DE461,103),0)</f>
        <v/>
      </c>
      <c r="DC461">
        <f>IFERROR(INDEX(PP_Grid[#Data],$DE461,104),0)</f>
        <v/>
      </c>
      <c r="DD461">
        <f>IFERROR(INDEX(PP_Grid[#Data],$DE461,105),0)</f>
        <v/>
      </c>
      <c r="DE461" s="7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SUMIFS(M_BOM[RM_Qty_Per_Batch],M_BOM[Intermediate],$B461,M_BOM[RM_Code],$A340)</f>
        <v/>
      </c>
      <c r="D462">
        <f>IFERROR(INDEX(E462:DD462,$F$1),"")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  <c r="DD462">
        <f>$C462*DD461</f>
        <v/>
      </c>
    </row>
    <row r="463">
      <c r="B463" t="inlineStr">
        <is>
          <t>VSP-601</t>
        </is>
      </c>
      <c r="C463" t="inlineStr">
        <is>
          <t>No. of batches</t>
        </is>
      </c>
      <c r="D463">
        <f>IFERROR(INDEX(E463:DD463,$F$1),"")</f>
        <v/>
      </c>
      <c r="E463">
        <f>IFERROR(INDEX(PP_Grid[#Data],$DE463,2),0)</f>
        <v/>
      </c>
      <c r="F463">
        <f>IFERROR(INDEX(PP_Grid[#Data],$DE463,3),0)</f>
        <v/>
      </c>
      <c r="G463">
        <f>IFERROR(INDEX(PP_Grid[#Data],$DE463,4),0)</f>
        <v/>
      </c>
      <c r="H463">
        <f>IFERROR(INDEX(PP_Grid[#Data],$DE463,5),0)</f>
        <v/>
      </c>
      <c r="I463">
        <f>IFERROR(INDEX(PP_Grid[#Data],$DE463,6),0)</f>
        <v/>
      </c>
      <c r="J463">
        <f>IFERROR(INDEX(PP_Grid[#Data],$DE463,7),0)</f>
        <v/>
      </c>
      <c r="K463">
        <f>IFERROR(INDEX(PP_Grid[#Data],$DE463,8),0)</f>
        <v/>
      </c>
      <c r="L463">
        <f>IFERROR(INDEX(PP_Grid[#Data],$DE463,9),0)</f>
        <v/>
      </c>
      <c r="M463">
        <f>IFERROR(INDEX(PP_Grid[#Data],$DE463,10),0)</f>
        <v/>
      </c>
      <c r="N463">
        <f>IFERROR(INDEX(PP_Grid[#Data],$DE463,11),0)</f>
        <v/>
      </c>
      <c r="O463">
        <f>IFERROR(INDEX(PP_Grid[#Data],$DE463,12),0)</f>
        <v/>
      </c>
      <c r="P463">
        <f>IFERROR(INDEX(PP_Grid[#Data],$DE463,13),0)</f>
        <v/>
      </c>
      <c r="Q463">
        <f>IFERROR(INDEX(PP_Grid[#Data],$DE463,14),0)</f>
        <v/>
      </c>
      <c r="R463">
        <f>IFERROR(INDEX(PP_Grid[#Data],$DE463,15),0)</f>
        <v/>
      </c>
      <c r="S463">
        <f>IFERROR(INDEX(PP_Grid[#Data],$DE463,16),0)</f>
        <v/>
      </c>
      <c r="T463">
        <f>IFERROR(INDEX(PP_Grid[#Data],$DE463,17),0)</f>
        <v/>
      </c>
      <c r="U463">
        <f>IFERROR(INDEX(PP_Grid[#Data],$DE463,18),0)</f>
        <v/>
      </c>
      <c r="V463">
        <f>IFERROR(INDEX(PP_Grid[#Data],$DE463,19),0)</f>
        <v/>
      </c>
      <c r="W463">
        <f>IFERROR(INDEX(PP_Grid[#Data],$DE463,20),0)</f>
        <v/>
      </c>
      <c r="X463">
        <f>IFERROR(INDEX(PP_Grid[#Data],$DE463,21),0)</f>
        <v/>
      </c>
      <c r="Y463">
        <f>IFERROR(INDEX(PP_Grid[#Data],$DE463,22),0)</f>
        <v/>
      </c>
      <c r="Z463">
        <f>IFERROR(INDEX(PP_Grid[#Data],$DE463,23),0)</f>
        <v/>
      </c>
      <c r="AA463">
        <f>IFERROR(INDEX(PP_Grid[#Data],$DE463,24),0)</f>
        <v/>
      </c>
      <c r="AB463">
        <f>IFERROR(INDEX(PP_Grid[#Data],$DE463,25),0)</f>
        <v/>
      </c>
      <c r="AC463">
        <f>IFERROR(INDEX(PP_Grid[#Data],$DE463,26),0)</f>
        <v/>
      </c>
      <c r="AD463">
        <f>IFERROR(INDEX(PP_Grid[#Data],$DE463,27),0)</f>
        <v/>
      </c>
      <c r="AE463">
        <f>IFERROR(INDEX(PP_Grid[#Data],$DE463,28),0)</f>
        <v/>
      </c>
      <c r="AF463">
        <f>IFERROR(INDEX(PP_Grid[#Data],$DE463,29),0)</f>
        <v/>
      </c>
      <c r="AG463">
        <f>IFERROR(INDEX(PP_Grid[#Data],$DE463,30),0)</f>
        <v/>
      </c>
      <c r="AH463">
        <f>IFERROR(INDEX(PP_Grid[#Data],$DE463,31),0)</f>
        <v/>
      </c>
      <c r="AI463">
        <f>IFERROR(INDEX(PP_Grid[#Data],$DE463,32),0)</f>
        <v/>
      </c>
      <c r="AJ463">
        <f>IFERROR(INDEX(PP_Grid[#Data],$DE463,33),0)</f>
        <v/>
      </c>
      <c r="AK463">
        <f>IFERROR(INDEX(PP_Grid[#Data],$DE463,34),0)</f>
        <v/>
      </c>
      <c r="AL463">
        <f>IFERROR(INDEX(PP_Grid[#Data],$DE463,35),0)</f>
        <v/>
      </c>
      <c r="AM463">
        <f>IFERROR(INDEX(PP_Grid[#Data],$DE463,36),0)</f>
        <v/>
      </c>
      <c r="AN463">
        <f>IFERROR(INDEX(PP_Grid[#Data],$DE463,37),0)</f>
        <v/>
      </c>
      <c r="AO463">
        <f>IFERROR(INDEX(PP_Grid[#Data],$DE463,38),0)</f>
        <v/>
      </c>
      <c r="AP463">
        <f>IFERROR(INDEX(PP_Grid[#Data],$DE463,39),0)</f>
        <v/>
      </c>
      <c r="AQ463">
        <f>IFERROR(INDEX(PP_Grid[#Data],$DE463,40),0)</f>
        <v/>
      </c>
      <c r="AR463">
        <f>IFERROR(INDEX(PP_Grid[#Data],$DE463,41),0)</f>
        <v/>
      </c>
      <c r="AS463">
        <f>IFERROR(INDEX(PP_Grid[#Data],$DE463,42),0)</f>
        <v/>
      </c>
      <c r="AT463">
        <f>IFERROR(INDEX(PP_Grid[#Data],$DE463,43),0)</f>
        <v/>
      </c>
      <c r="AU463">
        <f>IFERROR(INDEX(PP_Grid[#Data],$DE463,44),0)</f>
        <v/>
      </c>
      <c r="AV463">
        <f>IFERROR(INDEX(PP_Grid[#Data],$DE463,45),0)</f>
        <v/>
      </c>
      <c r="AW463">
        <f>IFERROR(INDEX(PP_Grid[#Data],$DE463,46),0)</f>
        <v/>
      </c>
      <c r="AX463">
        <f>IFERROR(INDEX(PP_Grid[#Data],$DE463,47),0)</f>
        <v/>
      </c>
      <c r="AY463">
        <f>IFERROR(INDEX(PP_Grid[#Data],$DE463,48),0)</f>
        <v/>
      </c>
      <c r="AZ463">
        <f>IFERROR(INDEX(PP_Grid[#Data],$DE463,49),0)</f>
        <v/>
      </c>
      <c r="BA463">
        <f>IFERROR(INDEX(PP_Grid[#Data],$DE463,50),0)</f>
        <v/>
      </c>
      <c r="BB463">
        <f>IFERROR(INDEX(PP_Grid[#Data],$DE463,51),0)</f>
        <v/>
      </c>
      <c r="BC463">
        <f>IFERROR(INDEX(PP_Grid[#Data],$DE463,52),0)</f>
        <v/>
      </c>
      <c r="BD463">
        <f>IFERROR(INDEX(PP_Grid[#Data],$DE463,53),0)</f>
        <v/>
      </c>
      <c r="BE463">
        <f>IFERROR(INDEX(PP_Grid[#Data],$DE463,54),0)</f>
        <v/>
      </c>
      <c r="BF463">
        <f>IFERROR(INDEX(PP_Grid[#Data],$DE463,55),0)</f>
        <v/>
      </c>
      <c r="BG463">
        <f>IFERROR(INDEX(PP_Grid[#Data],$DE463,56),0)</f>
        <v/>
      </c>
      <c r="BH463">
        <f>IFERROR(INDEX(PP_Grid[#Data],$DE463,57),0)</f>
        <v/>
      </c>
      <c r="BI463">
        <f>IFERROR(INDEX(PP_Grid[#Data],$DE463,58),0)</f>
        <v/>
      </c>
      <c r="BJ463">
        <f>IFERROR(INDEX(PP_Grid[#Data],$DE463,59),0)</f>
        <v/>
      </c>
      <c r="BK463">
        <f>IFERROR(INDEX(PP_Grid[#Data],$DE463,60),0)</f>
        <v/>
      </c>
      <c r="BL463">
        <f>IFERROR(INDEX(PP_Grid[#Data],$DE463,61),0)</f>
        <v/>
      </c>
      <c r="BM463">
        <f>IFERROR(INDEX(PP_Grid[#Data],$DE463,62),0)</f>
        <v/>
      </c>
      <c r="BN463">
        <f>IFERROR(INDEX(PP_Grid[#Data],$DE463,63),0)</f>
        <v/>
      </c>
      <c r="BO463">
        <f>IFERROR(INDEX(PP_Grid[#Data],$DE463,64),0)</f>
        <v/>
      </c>
      <c r="BP463">
        <f>IFERROR(INDEX(PP_Grid[#Data],$DE463,65),0)</f>
        <v/>
      </c>
      <c r="BQ463">
        <f>IFERROR(INDEX(PP_Grid[#Data],$DE463,66),0)</f>
        <v/>
      </c>
      <c r="BR463">
        <f>IFERROR(INDEX(PP_Grid[#Data],$DE463,67),0)</f>
        <v/>
      </c>
      <c r="BS463">
        <f>IFERROR(INDEX(PP_Grid[#Data],$DE463,68),0)</f>
        <v/>
      </c>
      <c r="BT463">
        <f>IFERROR(INDEX(PP_Grid[#Data],$DE463,69),0)</f>
        <v/>
      </c>
      <c r="BU463">
        <f>IFERROR(INDEX(PP_Grid[#Data],$DE463,70),0)</f>
        <v/>
      </c>
      <c r="BV463">
        <f>IFERROR(INDEX(PP_Grid[#Data],$DE463,71),0)</f>
        <v/>
      </c>
      <c r="BW463">
        <f>IFERROR(INDEX(PP_Grid[#Data],$DE463,72),0)</f>
        <v/>
      </c>
      <c r="BX463">
        <f>IFERROR(INDEX(PP_Grid[#Data],$DE463,73),0)</f>
        <v/>
      </c>
      <c r="BY463">
        <f>IFERROR(INDEX(PP_Grid[#Data],$DE463,74),0)</f>
        <v/>
      </c>
      <c r="BZ463">
        <f>IFERROR(INDEX(PP_Grid[#Data],$DE463,75),0)</f>
        <v/>
      </c>
      <c r="CA463">
        <f>IFERROR(INDEX(PP_Grid[#Data],$DE463,76),0)</f>
        <v/>
      </c>
      <c r="CB463">
        <f>IFERROR(INDEX(PP_Grid[#Data],$DE463,77),0)</f>
        <v/>
      </c>
      <c r="CC463">
        <f>IFERROR(INDEX(PP_Grid[#Data],$DE463,78),0)</f>
        <v/>
      </c>
      <c r="CD463">
        <f>IFERROR(INDEX(PP_Grid[#Data],$DE463,79),0)</f>
        <v/>
      </c>
      <c r="CE463">
        <f>IFERROR(INDEX(PP_Grid[#Data],$DE463,80),0)</f>
        <v/>
      </c>
      <c r="CF463">
        <f>IFERROR(INDEX(PP_Grid[#Data],$DE463,81),0)</f>
        <v/>
      </c>
      <c r="CG463">
        <f>IFERROR(INDEX(PP_Grid[#Data],$DE463,82),0)</f>
        <v/>
      </c>
      <c r="CH463">
        <f>IFERROR(INDEX(PP_Grid[#Data],$DE463,83),0)</f>
        <v/>
      </c>
      <c r="CI463">
        <f>IFERROR(INDEX(PP_Grid[#Data],$DE463,84),0)</f>
        <v/>
      </c>
      <c r="CJ463">
        <f>IFERROR(INDEX(PP_Grid[#Data],$DE463,85),0)</f>
        <v/>
      </c>
      <c r="CK463">
        <f>IFERROR(INDEX(PP_Grid[#Data],$DE463,86),0)</f>
        <v/>
      </c>
      <c r="CL463">
        <f>IFERROR(INDEX(PP_Grid[#Data],$DE463,87),0)</f>
        <v/>
      </c>
      <c r="CM463">
        <f>IFERROR(INDEX(PP_Grid[#Data],$DE463,88),0)</f>
        <v/>
      </c>
      <c r="CN463">
        <f>IFERROR(INDEX(PP_Grid[#Data],$DE463,89),0)</f>
        <v/>
      </c>
      <c r="CO463">
        <f>IFERROR(INDEX(PP_Grid[#Data],$DE463,90),0)</f>
        <v/>
      </c>
      <c r="CP463">
        <f>IFERROR(INDEX(PP_Grid[#Data],$DE463,91),0)</f>
        <v/>
      </c>
      <c r="CQ463">
        <f>IFERROR(INDEX(PP_Grid[#Data],$DE463,92),0)</f>
        <v/>
      </c>
      <c r="CR463">
        <f>IFERROR(INDEX(PP_Grid[#Data],$DE463,93),0)</f>
        <v/>
      </c>
      <c r="CS463">
        <f>IFERROR(INDEX(PP_Grid[#Data],$DE463,94),0)</f>
        <v/>
      </c>
      <c r="CT463">
        <f>IFERROR(INDEX(PP_Grid[#Data],$DE463,95),0)</f>
        <v/>
      </c>
      <c r="CU463">
        <f>IFERROR(INDEX(PP_Grid[#Data],$DE463,96),0)</f>
        <v/>
      </c>
      <c r="CV463">
        <f>IFERROR(INDEX(PP_Grid[#Data],$DE463,97),0)</f>
        <v/>
      </c>
      <c r="CW463">
        <f>IFERROR(INDEX(PP_Grid[#Data],$DE463,98),0)</f>
        <v/>
      </c>
      <c r="CX463">
        <f>IFERROR(INDEX(PP_Grid[#Data],$DE463,99),0)</f>
        <v/>
      </c>
      <c r="CY463">
        <f>IFERROR(INDEX(PP_Grid[#Data],$DE463,100),0)</f>
        <v/>
      </c>
      <c r="CZ463">
        <f>IFERROR(INDEX(PP_Grid[#Data],$DE463,101),0)</f>
        <v/>
      </c>
      <c r="DA463">
        <f>IFERROR(INDEX(PP_Grid[#Data],$DE463,102),0)</f>
        <v/>
      </c>
      <c r="DB463">
        <f>IFERROR(INDEX(PP_Grid[#Data],$DE463,103),0)</f>
        <v/>
      </c>
      <c r="DC463">
        <f>IFERROR(INDEX(PP_Grid[#Data],$DE463,104),0)</f>
        <v/>
      </c>
      <c r="DD463">
        <f>IFERROR(INDEX(PP_Grid[#Data],$DE463,105),0)</f>
        <v/>
      </c>
      <c r="DE463" s="7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SUMIFS(M_BOM[RM_Qty_Per_Batch],M_BOM[Intermediate],$B463,M_BOM[RM_Code],$A340)</f>
        <v/>
      </c>
      <c r="D464">
        <f>IFERROR(INDEX(E464:DD464,$F$1),"")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  <c r="DD464">
        <f>$C464*DD463</f>
        <v/>
      </c>
    </row>
    <row r="465">
      <c r="B465" t="inlineStr">
        <is>
          <t>VSP-602</t>
        </is>
      </c>
      <c r="C465" t="inlineStr">
        <is>
          <t>No. of batches</t>
        </is>
      </c>
      <c r="D465">
        <f>IFERROR(INDEX(E465:DD465,$F$1),"")</f>
        <v/>
      </c>
      <c r="E465">
        <f>IFERROR(INDEX(PP_Grid[#Data],$DE465,2),0)</f>
        <v/>
      </c>
      <c r="F465">
        <f>IFERROR(INDEX(PP_Grid[#Data],$DE465,3),0)</f>
        <v/>
      </c>
      <c r="G465">
        <f>IFERROR(INDEX(PP_Grid[#Data],$DE465,4),0)</f>
        <v/>
      </c>
      <c r="H465">
        <f>IFERROR(INDEX(PP_Grid[#Data],$DE465,5),0)</f>
        <v/>
      </c>
      <c r="I465">
        <f>IFERROR(INDEX(PP_Grid[#Data],$DE465,6),0)</f>
        <v/>
      </c>
      <c r="J465">
        <f>IFERROR(INDEX(PP_Grid[#Data],$DE465,7),0)</f>
        <v/>
      </c>
      <c r="K465">
        <f>IFERROR(INDEX(PP_Grid[#Data],$DE465,8),0)</f>
        <v/>
      </c>
      <c r="L465">
        <f>IFERROR(INDEX(PP_Grid[#Data],$DE465,9),0)</f>
        <v/>
      </c>
      <c r="M465">
        <f>IFERROR(INDEX(PP_Grid[#Data],$DE465,10),0)</f>
        <v/>
      </c>
      <c r="N465">
        <f>IFERROR(INDEX(PP_Grid[#Data],$DE465,11),0)</f>
        <v/>
      </c>
      <c r="O465">
        <f>IFERROR(INDEX(PP_Grid[#Data],$DE465,12),0)</f>
        <v/>
      </c>
      <c r="P465">
        <f>IFERROR(INDEX(PP_Grid[#Data],$DE465,13),0)</f>
        <v/>
      </c>
      <c r="Q465">
        <f>IFERROR(INDEX(PP_Grid[#Data],$DE465,14),0)</f>
        <v/>
      </c>
      <c r="R465">
        <f>IFERROR(INDEX(PP_Grid[#Data],$DE465,15),0)</f>
        <v/>
      </c>
      <c r="S465">
        <f>IFERROR(INDEX(PP_Grid[#Data],$DE465,16),0)</f>
        <v/>
      </c>
      <c r="T465">
        <f>IFERROR(INDEX(PP_Grid[#Data],$DE465,17),0)</f>
        <v/>
      </c>
      <c r="U465">
        <f>IFERROR(INDEX(PP_Grid[#Data],$DE465,18),0)</f>
        <v/>
      </c>
      <c r="V465">
        <f>IFERROR(INDEX(PP_Grid[#Data],$DE465,19),0)</f>
        <v/>
      </c>
      <c r="W465">
        <f>IFERROR(INDEX(PP_Grid[#Data],$DE465,20),0)</f>
        <v/>
      </c>
      <c r="X465">
        <f>IFERROR(INDEX(PP_Grid[#Data],$DE465,21),0)</f>
        <v/>
      </c>
      <c r="Y465">
        <f>IFERROR(INDEX(PP_Grid[#Data],$DE465,22),0)</f>
        <v/>
      </c>
      <c r="Z465">
        <f>IFERROR(INDEX(PP_Grid[#Data],$DE465,23),0)</f>
        <v/>
      </c>
      <c r="AA465">
        <f>IFERROR(INDEX(PP_Grid[#Data],$DE465,24),0)</f>
        <v/>
      </c>
      <c r="AB465">
        <f>IFERROR(INDEX(PP_Grid[#Data],$DE465,25),0)</f>
        <v/>
      </c>
      <c r="AC465">
        <f>IFERROR(INDEX(PP_Grid[#Data],$DE465,26),0)</f>
        <v/>
      </c>
      <c r="AD465">
        <f>IFERROR(INDEX(PP_Grid[#Data],$DE465,27),0)</f>
        <v/>
      </c>
      <c r="AE465">
        <f>IFERROR(INDEX(PP_Grid[#Data],$DE465,28),0)</f>
        <v/>
      </c>
      <c r="AF465">
        <f>IFERROR(INDEX(PP_Grid[#Data],$DE465,29),0)</f>
        <v/>
      </c>
      <c r="AG465">
        <f>IFERROR(INDEX(PP_Grid[#Data],$DE465,30),0)</f>
        <v/>
      </c>
      <c r="AH465">
        <f>IFERROR(INDEX(PP_Grid[#Data],$DE465,31),0)</f>
        <v/>
      </c>
      <c r="AI465">
        <f>IFERROR(INDEX(PP_Grid[#Data],$DE465,32),0)</f>
        <v/>
      </c>
      <c r="AJ465">
        <f>IFERROR(INDEX(PP_Grid[#Data],$DE465,33),0)</f>
        <v/>
      </c>
      <c r="AK465">
        <f>IFERROR(INDEX(PP_Grid[#Data],$DE465,34),0)</f>
        <v/>
      </c>
      <c r="AL465">
        <f>IFERROR(INDEX(PP_Grid[#Data],$DE465,35),0)</f>
        <v/>
      </c>
      <c r="AM465">
        <f>IFERROR(INDEX(PP_Grid[#Data],$DE465,36),0)</f>
        <v/>
      </c>
      <c r="AN465">
        <f>IFERROR(INDEX(PP_Grid[#Data],$DE465,37),0)</f>
        <v/>
      </c>
      <c r="AO465">
        <f>IFERROR(INDEX(PP_Grid[#Data],$DE465,38),0)</f>
        <v/>
      </c>
      <c r="AP465">
        <f>IFERROR(INDEX(PP_Grid[#Data],$DE465,39),0)</f>
        <v/>
      </c>
      <c r="AQ465">
        <f>IFERROR(INDEX(PP_Grid[#Data],$DE465,40),0)</f>
        <v/>
      </c>
      <c r="AR465">
        <f>IFERROR(INDEX(PP_Grid[#Data],$DE465,41),0)</f>
        <v/>
      </c>
      <c r="AS465">
        <f>IFERROR(INDEX(PP_Grid[#Data],$DE465,42),0)</f>
        <v/>
      </c>
      <c r="AT465">
        <f>IFERROR(INDEX(PP_Grid[#Data],$DE465,43),0)</f>
        <v/>
      </c>
      <c r="AU465">
        <f>IFERROR(INDEX(PP_Grid[#Data],$DE465,44),0)</f>
        <v/>
      </c>
      <c r="AV465">
        <f>IFERROR(INDEX(PP_Grid[#Data],$DE465,45),0)</f>
        <v/>
      </c>
      <c r="AW465">
        <f>IFERROR(INDEX(PP_Grid[#Data],$DE465,46),0)</f>
        <v/>
      </c>
      <c r="AX465">
        <f>IFERROR(INDEX(PP_Grid[#Data],$DE465,47),0)</f>
        <v/>
      </c>
      <c r="AY465">
        <f>IFERROR(INDEX(PP_Grid[#Data],$DE465,48),0)</f>
        <v/>
      </c>
      <c r="AZ465">
        <f>IFERROR(INDEX(PP_Grid[#Data],$DE465,49),0)</f>
        <v/>
      </c>
      <c r="BA465">
        <f>IFERROR(INDEX(PP_Grid[#Data],$DE465,50),0)</f>
        <v/>
      </c>
      <c r="BB465">
        <f>IFERROR(INDEX(PP_Grid[#Data],$DE465,51),0)</f>
        <v/>
      </c>
      <c r="BC465">
        <f>IFERROR(INDEX(PP_Grid[#Data],$DE465,52),0)</f>
        <v/>
      </c>
      <c r="BD465">
        <f>IFERROR(INDEX(PP_Grid[#Data],$DE465,53),0)</f>
        <v/>
      </c>
      <c r="BE465">
        <f>IFERROR(INDEX(PP_Grid[#Data],$DE465,54),0)</f>
        <v/>
      </c>
      <c r="BF465">
        <f>IFERROR(INDEX(PP_Grid[#Data],$DE465,55),0)</f>
        <v/>
      </c>
      <c r="BG465">
        <f>IFERROR(INDEX(PP_Grid[#Data],$DE465,56),0)</f>
        <v/>
      </c>
      <c r="BH465">
        <f>IFERROR(INDEX(PP_Grid[#Data],$DE465,57),0)</f>
        <v/>
      </c>
      <c r="BI465">
        <f>IFERROR(INDEX(PP_Grid[#Data],$DE465,58),0)</f>
        <v/>
      </c>
      <c r="BJ465">
        <f>IFERROR(INDEX(PP_Grid[#Data],$DE465,59),0)</f>
        <v/>
      </c>
      <c r="BK465">
        <f>IFERROR(INDEX(PP_Grid[#Data],$DE465,60),0)</f>
        <v/>
      </c>
      <c r="BL465">
        <f>IFERROR(INDEX(PP_Grid[#Data],$DE465,61),0)</f>
        <v/>
      </c>
      <c r="BM465">
        <f>IFERROR(INDEX(PP_Grid[#Data],$DE465,62),0)</f>
        <v/>
      </c>
      <c r="BN465">
        <f>IFERROR(INDEX(PP_Grid[#Data],$DE465,63),0)</f>
        <v/>
      </c>
      <c r="BO465">
        <f>IFERROR(INDEX(PP_Grid[#Data],$DE465,64),0)</f>
        <v/>
      </c>
      <c r="BP465">
        <f>IFERROR(INDEX(PP_Grid[#Data],$DE465,65),0)</f>
        <v/>
      </c>
      <c r="BQ465">
        <f>IFERROR(INDEX(PP_Grid[#Data],$DE465,66),0)</f>
        <v/>
      </c>
      <c r="BR465">
        <f>IFERROR(INDEX(PP_Grid[#Data],$DE465,67),0)</f>
        <v/>
      </c>
      <c r="BS465">
        <f>IFERROR(INDEX(PP_Grid[#Data],$DE465,68),0)</f>
        <v/>
      </c>
      <c r="BT465">
        <f>IFERROR(INDEX(PP_Grid[#Data],$DE465,69),0)</f>
        <v/>
      </c>
      <c r="BU465">
        <f>IFERROR(INDEX(PP_Grid[#Data],$DE465,70),0)</f>
        <v/>
      </c>
      <c r="BV465">
        <f>IFERROR(INDEX(PP_Grid[#Data],$DE465,71),0)</f>
        <v/>
      </c>
      <c r="BW465">
        <f>IFERROR(INDEX(PP_Grid[#Data],$DE465,72),0)</f>
        <v/>
      </c>
      <c r="BX465">
        <f>IFERROR(INDEX(PP_Grid[#Data],$DE465,73),0)</f>
        <v/>
      </c>
      <c r="BY465">
        <f>IFERROR(INDEX(PP_Grid[#Data],$DE465,74),0)</f>
        <v/>
      </c>
      <c r="BZ465">
        <f>IFERROR(INDEX(PP_Grid[#Data],$DE465,75),0)</f>
        <v/>
      </c>
      <c r="CA465">
        <f>IFERROR(INDEX(PP_Grid[#Data],$DE465,76),0)</f>
        <v/>
      </c>
      <c r="CB465">
        <f>IFERROR(INDEX(PP_Grid[#Data],$DE465,77),0)</f>
        <v/>
      </c>
      <c r="CC465">
        <f>IFERROR(INDEX(PP_Grid[#Data],$DE465,78),0)</f>
        <v/>
      </c>
      <c r="CD465">
        <f>IFERROR(INDEX(PP_Grid[#Data],$DE465,79),0)</f>
        <v/>
      </c>
      <c r="CE465">
        <f>IFERROR(INDEX(PP_Grid[#Data],$DE465,80),0)</f>
        <v/>
      </c>
      <c r="CF465">
        <f>IFERROR(INDEX(PP_Grid[#Data],$DE465,81),0)</f>
        <v/>
      </c>
      <c r="CG465">
        <f>IFERROR(INDEX(PP_Grid[#Data],$DE465,82),0)</f>
        <v/>
      </c>
      <c r="CH465">
        <f>IFERROR(INDEX(PP_Grid[#Data],$DE465,83),0)</f>
        <v/>
      </c>
      <c r="CI465">
        <f>IFERROR(INDEX(PP_Grid[#Data],$DE465,84),0)</f>
        <v/>
      </c>
      <c r="CJ465">
        <f>IFERROR(INDEX(PP_Grid[#Data],$DE465,85),0)</f>
        <v/>
      </c>
      <c r="CK465">
        <f>IFERROR(INDEX(PP_Grid[#Data],$DE465,86),0)</f>
        <v/>
      </c>
      <c r="CL465">
        <f>IFERROR(INDEX(PP_Grid[#Data],$DE465,87),0)</f>
        <v/>
      </c>
      <c r="CM465">
        <f>IFERROR(INDEX(PP_Grid[#Data],$DE465,88),0)</f>
        <v/>
      </c>
      <c r="CN465">
        <f>IFERROR(INDEX(PP_Grid[#Data],$DE465,89),0)</f>
        <v/>
      </c>
      <c r="CO465">
        <f>IFERROR(INDEX(PP_Grid[#Data],$DE465,90),0)</f>
        <v/>
      </c>
      <c r="CP465">
        <f>IFERROR(INDEX(PP_Grid[#Data],$DE465,91),0)</f>
        <v/>
      </c>
      <c r="CQ465">
        <f>IFERROR(INDEX(PP_Grid[#Data],$DE465,92),0)</f>
        <v/>
      </c>
      <c r="CR465">
        <f>IFERROR(INDEX(PP_Grid[#Data],$DE465,93),0)</f>
        <v/>
      </c>
      <c r="CS465">
        <f>IFERROR(INDEX(PP_Grid[#Data],$DE465,94),0)</f>
        <v/>
      </c>
      <c r="CT465">
        <f>IFERROR(INDEX(PP_Grid[#Data],$DE465,95),0)</f>
        <v/>
      </c>
      <c r="CU465">
        <f>IFERROR(INDEX(PP_Grid[#Data],$DE465,96),0)</f>
        <v/>
      </c>
      <c r="CV465">
        <f>IFERROR(INDEX(PP_Grid[#Data],$DE465,97),0)</f>
        <v/>
      </c>
      <c r="CW465">
        <f>IFERROR(INDEX(PP_Grid[#Data],$DE465,98),0)</f>
        <v/>
      </c>
      <c r="CX465">
        <f>IFERROR(INDEX(PP_Grid[#Data],$DE465,99),0)</f>
        <v/>
      </c>
      <c r="CY465">
        <f>IFERROR(INDEX(PP_Grid[#Data],$DE465,100),0)</f>
        <v/>
      </c>
      <c r="CZ465">
        <f>IFERROR(INDEX(PP_Grid[#Data],$DE465,101),0)</f>
        <v/>
      </c>
      <c r="DA465">
        <f>IFERROR(INDEX(PP_Grid[#Data],$DE465,102),0)</f>
        <v/>
      </c>
      <c r="DB465">
        <f>IFERROR(INDEX(PP_Grid[#Data],$DE465,103),0)</f>
        <v/>
      </c>
      <c r="DC465">
        <f>IFERROR(INDEX(PP_Grid[#Data],$DE465,104),0)</f>
        <v/>
      </c>
      <c r="DD465">
        <f>IFERROR(INDEX(PP_Grid[#Data],$DE465,105),0)</f>
        <v/>
      </c>
      <c r="DE465" s="7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SUMIFS(M_BOM[RM_Qty_Per_Batch],M_BOM[Intermediate],$B465,M_BOM[RM_Code],$A340)</f>
        <v/>
      </c>
      <c r="D466">
        <f>IFERROR(INDEX(E466:DD466,$F$1),"")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  <c r="DD466">
        <f>$C466*DD465</f>
        <v/>
      </c>
    </row>
    <row r="467">
      <c r="B467" t="inlineStr">
        <is>
          <t>VSP-603</t>
        </is>
      </c>
      <c r="C467" t="inlineStr">
        <is>
          <t>No. of batches</t>
        </is>
      </c>
      <c r="D467">
        <f>IFERROR(INDEX(E467:DD467,$F$1),"")</f>
        <v/>
      </c>
      <c r="E467">
        <f>IFERROR(INDEX(PP_Grid[#Data],$DE467,2),0)</f>
        <v/>
      </c>
      <c r="F467">
        <f>IFERROR(INDEX(PP_Grid[#Data],$DE467,3),0)</f>
        <v/>
      </c>
      <c r="G467">
        <f>IFERROR(INDEX(PP_Grid[#Data],$DE467,4),0)</f>
        <v/>
      </c>
      <c r="H467">
        <f>IFERROR(INDEX(PP_Grid[#Data],$DE467,5),0)</f>
        <v/>
      </c>
      <c r="I467">
        <f>IFERROR(INDEX(PP_Grid[#Data],$DE467,6),0)</f>
        <v/>
      </c>
      <c r="J467">
        <f>IFERROR(INDEX(PP_Grid[#Data],$DE467,7),0)</f>
        <v/>
      </c>
      <c r="K467">
        <f>IFERROR(INDEX(PP_Grid[#Data],$DE467,8),0)</f>
        <v/>
      </c>
      <c r="L467">
        <f>IFERROR(INDEX(PP_Grid[#Data],$DE467,9),0)</f>
        <v/>
      </c>
      <c r="M467">
        <f>IFERROR(INDEX(PP_Grid[#Data],$DE467,10),0)</f>
        <v/>
      </c>
      <c r="N467">
        <f>IFERROR(INDEX(PP_Grid[#Data],$DE467,11),0)</f>
        <v/>
      </c>
      <c r="O467">
        <f>IFERROR(INDEX(PP_Grid[#Data],$DE467,12),0)</f>
        <v/>
      </c>
      <c r="P467">
        <f>IFERROR(INDEX(PP_Grid[#Data],$DE467,13),0)</f>
        <v/>
      </c>
      <c r="Q467">
        <f>IFERROR(INDEX(PP_Grid[#Data],$DE467,14),0)</f>
        <v/>
      </c>
      <c r="R467">
        <f>IFERROR(INDEX(PP_Grid[#Data],$DE467,15),0)</f>
        <v/>
      </c>
      <c r="S467">
        <f>IFERROR(INDEX(PP_Grid[#Data],$DE467,16),0)</f>
        <v/>
      </c>
      <c r="T467">
        <f>IFERROR(INDEX(PP_Grid[#Data],$DE467,17),0)</f>
        <v/>
      </c>
      <c r="U467">
        <f>IFERROR(INDEX(PP_Grid[#Data],$DE467,18),0)</f>
        <v/>
      </c>
      <c r="V467">
        <f>IFERROR(INDEX(PP_Grid[#Data],$DE467,19),0)</f>
        <v/>
      </c>
      <c r="W467">
        <f>IFERROR(INDEX(PP_Grid[#Data],$DE467,20),0)</f>
        <v/>
      </c>
      <c r="X467">
        <f>IFERROR(INDEX(PP_Grid[#Data],$DE467,21),0)</f>
        <v/>
      </c>
      <c r="Y467">
        <f>IFERROR(INDEX(PP_Grid[#Data],$DE467,22),0)</f>
        <v/>
      </c>
      <c r="Z467">
        <f>IFERROR(INDEX(PP_Grid[#Data],$DE467,23),0)</f>
        <v/>
      </c>
      <c r="AA467">
        <f>IFERROR(INDEX(PP_Grid[#Data],$DE467,24),0)</f>
        <v/>
      </c>
      <c r="AB467">
        <f>IFERROR(INDEX(PP_Grid[#Data],$DE467,25),0)</f>
        <v/>
      </c>
      <c r="AC467">
        <f>IFERROR(INDEX(PP_Grid[#Data],$DE467,26),0)</f>
        <v/>
      </c>
      <c r="AD467">
        <f>IFERROR(INDEX(PP_Grid[#Data],$DE467,27),0)</f>
        <v/>
      </c>
      <c r="AE467">
        <f>IFERROR(INDEX(PP_Grid[#Data],$DE467,28),0)</f>
        <v/>
      </c>
      <c r="AF467">
        <f>IFERROR(INDEX(PP_Grid[#Data],$DE467,29),0)</f>
        <v/>
      </c>
      <c r="AG467">
        <f>IFERROR(INDEX(PP_Grid[#Data],$DE467,30),0)</f>
        <v/>
      </c>
      <c r="AH467">
        <f>IFERROR(INDEX(PP_Grid[#Data],$DE467,31),0)</f>
        <v/>
      </c>
      <c r="AI467">
        <f>IFERROR(INDEX(PP_Grid[#Data],$DE467,32),0)</f>
        <v/>
      </c>
      <c r="AJ467">
        <f>IFERROR(INDEX(PP_Grid[#Data],$DE467,33),0)</f>
        <v/>
      </c>
      <c r="AK467">
        <f>IFERROR(INDEX(PP_Grid[#Data],$DE467,34),0)</f>
        <v/>
      </c>
      <c r="AL467">
        <f>IFERROR(INDEX(PP_Grid[#Data],$DE467,35),0)</f>
        <v/>
      </c>
      <c r="AM467">
        <f>IFERROR(INDEX(PP_Grid[#Data],$DE467,36),0)</f>
        <v/>
      </c>
      <c r="AN467">
        <f>IFERROR(INDEX(PP_Grid[#Data],$DE467,37),0)</f>
        <v/>
      </c>
      <c r="AO467">
        <f>IFERROR(INDEX(PP_Grid[#Data],$DE467,38),0)</f>
        <v/>
      </c>
      <c r="AP467">
        <f>IFERROR(INDEX(PP_Grid[#Data],$DE467,39),0)</f>
        <v/>
      </c>
      <c r="AQ467">
        <f>IFERROR(INDEX(PP_Grid[#Data],$DE467,40),0)</f>
        <v/>
      </c>
      <c r="AR467">
        <f>IFERROR(INDEX(PP_Grid[#Data],$DE467,41),0)</f>
        <v/>
      </c>
      <c r="AS467">
        <f>IFERROR(INDEX(PP_Grid[#Data],$DE467,42),0)</f>
        <v/>
      </c>
      <c r="AT467">
        <f>IFERROR(INDEX(PP_Grid[#Data],$DE467,43),0)</f>
        <v/>
      </c>
      <c r="AU467">
        <f>IFERROR(INDEX(PP_Grid[#Data],$DE467,44),0)</f>
        <v/>
      </c>
      <c r="AV467">
        <f>IFERROR(INDEX(PP_Grid[#Data],$DE467,45),0)</f>
        <v/>
      </c>
      <c r="AW467">
        <f>IFERROR(INDEX(PP_Grid[#Data],$DE467,46),0)</f>
        <v/>
      </c>
      <c r="AX467">
        <f>IFERROR(INDEX(PP_Grid[#Data],$DE467,47),0)</f>
        <v/>
      </c>
      <c r="AY467">
        <f>IFERROR(INDEX(PP_Grid[#Data],$DE467,48),0)</f>
        <v/>
      </c>
      <c r="AZ467">
        <f>IFERROR(INDEX(PP_Grid[#Data],$DE467,49),0)</f>
        <v/>
      </c>
      <c r="BA467">
        <f>IFERROR(INDEX(PP_Grid[#Data],$DE467,50),0)</f>
        <v/>
      </c>
      <c r="BB467">
        <f>IFERROR(INDEX(PP_Grid[#Data],$DE467,51),0)</f>
        <v/>
      </c>
      <c r="BC467">
        <f>IFERROR(INDEX(PP_Grid[#Data],$DE467,52),0)</f>
        <v/>
      </c>
      <c r="BD467">
        <f>IFERROR(INDEX(PP_Grid[#Data],$DE467,53),0)</f>
        <v/>
      </c>
      <c r="BE467">
        <f>IFERROR(INDEX(PP_Grid[#Data],$DE467,54),0)</f>
        <v/>
      </c>
      <c r="BF467">
        <f>IFERROR(INDEX(PP_Grid[#Data],$DE467,55),0)</f>
        <v/>
      </c>
      <c r="BG467">
        <f>IFERROR(INDEX(PP_Grid[#Data],$DE467,56),0)</f>
        <v/>
      </c>
      <c r="BH467">
        <f>IFERROR(INDEX(PP_Grid[#Data],$DE467,57),0)</f>
        <v/>
      </c>
      <c r="BI467">
        <f>IFERROR(INDEX(PP_Grid[#Data],$DE467,58),0)</f>
        <v/>
      </c>
      <c r="BJ467">
        <f>IFERROR(INDEX(PP_Grid[#Data],$DE467,59),0)</f>
        <v/>
      </c>
      <c r="BK467">
        <f>IFERROR(INDEX(PP_Grid[#Data],$DE467,60),0)</f>
        <v/>
      </c>
      <c r="BL467">
        <f>IFERROR(INDEX(PP_Grid[#Data],$DE467,61),0)</f>
        <v/>
      </c>
      <c r="BM467">
        <f>IFERROR(INDEX(PP_Grid[#Data],$DE467,62),0)</f>
        <v/>
      </c>
      <c r="BN467">
        <f>IFERROR(INDEX(PP_Grid[#Data],$DE467,63),0)</f>
        <v/>
      </c>
      <c r="BO467">
        <f>IFERROR(INDEX(PP_Grid[#Data],$DE467,64),0)</f>
        <v/>
      </c>
      <c r="BP467">
        <f>IFERROR(INDEX(PP_Grid[#Data],$DE467,65),0)</f>
        <v/>
      </c>
      <c r="BQ467">
        <f>IFERROR(INDEX(PP_Grid[#Data],$DE467,66),0)</f>
        <v/>
      </c>
      <c r="BR467">
        <f>IFERROR(INDEX(PP_Grid[#Data],$DE467,67),0)</f>
        <v/>
      </c>
      <c r="BS467">
        <f>IFERROR(INDEX(PP_Grid[#Data],$DE467,68),0)</f>
        <v/>
      </c>
      <c r="BT467">
        <f>IFERROR(INDEX(PP_Grid[#Data],$DE467,69),0)</f>
        <v/>
      </c>
      <c r="BU467">
        <f>IFERROR(INDEX(PP_Grid[#Data],$DE467,70),0)</f>
        <v/>
      </c>
      <c r="BV467">
        <f>IFERROR(INDEX(PP_Grid[#Data],$DE467,71),0)</f>
        <v/>
      </c>
      <c r="BW467">
        <f>IFERROR(INDEX(PP_Grid[#Data],$DE467,72),0)</f>
        <v/>
      </c>
      <c r="BX467">
        <f>IFERROR(INDEX(PP_Grid[#Data],$DE467,73),0)</f>
        <v/>
      </c>
      <c r="BY467">
        <f>IFERROR(INDEX(PP_Grid[#Data],$DE467,74),0)</f>
        <v/>
      </c>
      <c r="BZ467">
        <f>IFERROR(INDEX(PP_Grid[#Data],$DE467,75),0)</f>
        <v/>
      </c>
      <c r="CA467">
        <f>IFERROR(INDEX(PP_Grid[#Data],$DE467,76),0)</f>
        <v/>
      </c>
      <c r="CB467">
        <f>IFERROR(INDEX(PP_Grid[#Data],$DE467,77),0)</f>
        <v/>
      </c>
      <c r="CC467">
        <f>IFERROR(INDEX(PP_Grid[#Data],$DE467,78),0)</f>
        <v/>
      </c>
      <c r="CD467">
        <f>IFERROR(INDEX(PP_Grid[#Data],$DE467,79),0)</f>
        <v/>
      </c>
      <c r="CE467">
        <f>IFERROR(INDEX(PP_Grid[#Data],$DE467,80),0)</f>
        <v/>
      </c>
      <c r="CF467">
        <f>IFERROR(INDEX(PP_Grid[#Data],$DE467,81),0)</f>
        <v/>
      </c>
      <c r="CG467">
        <f>IFERROR(INDEX(PP_Grid[#Data],$DE467,82),0)</f>
        <v/>
      </c>
      <c r="CH467">
        <f>IFERROR(INDEX(PP_Grid[#Data],$DE467,83),0)</f>
        <v/>
      </c>
      <c r="CI467">
        <f>IFERROR(INDEX(PP_Grid[#Data],$DE467,84),0)</f>
        <v/>
      </c>
      <c r="CJ467">
        <f>IFERROR(INDEX(PP_Grid[#Data],$DE467,85),0)</f>
        <v/>
      </c>
      <c r="CK467">
        <f>IFERROR(INDEX(PP_Grid[#Data],$DE467,86),0)</f>
        <v/>
      </c>
      <c r="CL467">
        <f>IFERROR(INDEX(PP_Grid[#Data],$DE467,87),0)</f>
        <v/>
      </c>
      <c r="CM467">
        <f>IFERROR(INDEX(PP_Grid[#Data],$DE467,88),0)</f>
        <v/>
      </c>
      <c r="CN467">
        <f>IFERROR(INDEX(PP_Grid[#Data],$DE467,89),0)</f>
        <v/>
      </c>
      <c r="CO467">
        <f>IFERROR(INDEX(PP_Grid[#Data],$DE467,90),0)</f>
        <v/>
      </c>
      <c r="CP467">
        <f>IFERROR(INDEX(PP_Grid[#Data],$DE467,91),0)</f>
        <v/>
      </c>
      <c r="CQ467">
        <f>IFERROR(INDEX(PP_Grid[#Data],$DE467,92),0)</f>
        <v/>
      </c>
      <c r="CR467">
        <f>IFERROR(INDEX(PP_Grid[#Data],$DE467,93),0)</f>
        <v/>
      </c>
      <c r="CS467">
        <f>IFERROR(INDEX(PP_Grid[#Data],$DE467,94),0)</f>
        <v/>
      </c>
      <c r="CT467">
        <f>IFERROR(INDEX(PP_Grid[#Data],$DE467,95),0)</f>
        <v/>
      </c>
      <c r="CU467">
        <f>IFERROR(INDEX(PP_Grid[#Data],$DE467,96),0)</f>
        <v/>
      </c>
      <c r="CV467">
        <f>IFERROR(INDEX(PP_Grid[#Data],$DE467,97),0)</f>
        <v/>
      </c>
      <c r="CW467">
        <f>IFERROR(INDEX(PP_Grid[#Data],$DE467,98),0)</f>
        <v/>
      </c>
      <c r="CX467">
        <f>IFERROR(INDEX(PP_Grid[#Data],$DE467,99),0)</f>
        <v/>
      </c>
      <c r="CY467">
        <f>IFERROR(INDEX(PP_Grid[#Data],$DE467,100),0)</f>
        <v/>
      </c>
      <c r="CZ467">
        <f>IFERROR(INDEX(PP_Grid[#Data],$DE467,101),0)</f>
        <v/>
      </c>
      <c r="DA467">
        <f>IFERROR(INDEX(PP_Grid[#Data],$DE467,102),0)</f>
        <v/>
      </c>
      <c r="DB467">
        <f>IFERROR(INDEX(PP_Grid[#Data],$DE467,103),0)</f>
        <v/>
      </c>
      <c r="DC467">
        <f>IFERROR(INDEX(PP_Grid[#Data],$DE467,104),0)</f>
        <v/>
      </c>
      <c r="DD467">
        <f>IFERROR(INDEX(PP_Grid[#Data],$DE467,105),0)</f>
        <v/>
      </c>
      <c r="DE467" s="7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SUMIFS(M_BOM[RM_Qty_Per_Batch],M_BOM[Intermediate],$B467,M_BOM[RM_Code],$A340)</f>
        <v/>
      </c>
      <c r="D468">
        <f>IFERROR(INDEX(E468:DD468,$F$1),"")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  <c r="DD468">
        <f>$C468*DD467</f>
        <v/>
      </c>
    </row>
    <row r="469">
      <c r="B469" t="inlineStr">
        <is>
          <t>VSP-604</t>
        </is>
      </c>
      <c r="C469" t="inlineStr">
        <is>
          <t>No. of batches</t>
        </is>
      </c>
      <c r="D469">
        <f>IFERROR(INDEX(E469:DD469,$F$1),"")</f>
        <v/>
      </c>
      <c r="E469">
        <f>IFERROR(INDEX(PP_Grid[#Data],$DE469,2),0)</f>
        <v/>
      </c>
      <c r="F469">
        <f>IFERROR(INDEX(PP_Grid[#Data],$DE469,3),0)</f>
        <v/>
      </c>
      <c r="G469">
        <f>IFERROR(INDEX(PP_Grid[#Data],$DE469,4),0)</f>
        <v/>
      </c>
      <c r="H469">
        <f>IFERROR(INDEX(PP_Grid[#Data],$DE469,5),0)</f>
        <v/>
      </c>
      <c r="I469">
        <f>IFERROR(INDEX(PP_Grid[#Data],$DE469,6),0)</f>
        <v/>
      </c>
      <c r="J469">
        <f>IFERROR(INDEX(PP_Grid[#Data],$DE469,7),0)</f>
        <v/>
      </c>
      <c r="K469">
        <f>IFERROR(INDEX(PP_Grid[#Data],$DE469,8),0)</f>
        <v/>
      </c>
      <c r="L469">
        <f>IFERROR(INDEX(PP_Grid[#Data],$DE469,9),0)</f>
        <v/>
      </c>
      <c r="M469">
        <f>IFERROR(INDEX(PP_Grid[#Data],$DE469,10),0)</f>
        <v/>
      </c>
      <c r="N469">
        <f>IFERROR(INDEX(PP_Grid[#Data],$DE469,11),0)</f>
        <v/>
      </c>
      <c r="O469">
        <f>IFERROR(INDEX(PP_Grid[#Data],$DE469,12),0)</f>
        <v/>
      </c>
      <c r="P469">
        <f>IFERROR(INDEX(PP_Grid[#Data],$DE469,13),0)</f>
        <v/>
      </c>
      <c r="Q469">
        <f>IFERROR(INDEX(PP_Grid[#Data],$DE469,14),0)</f>
        <v/>
      </c>
      <c r="R469">
        <f>IFERROR(INDEX(PP_Grid[#Data],$DE469,15),0)</f>
        <v/>
      </c>
      <c r="S469">
        <f>IFERROR(INDEX(PP_Grid[#Data],$DE469,16),0)</f>
        <v/>
      </c>
      <c r="T469">
        <f>IFERROR(INDEX(PP_Grid[#Data],$DE469,17),0)</f>
        <v/>
      </c>
      <c r="U469">
        <f>IFERROR(INDEX(PP_Grid[#Data],$DE469,18),0)</f>
        <v/>
      </c>
      <c r="V469">
        <f>IFERROR(INDEX(PP_Grid[#Data],$DE469,19),0)</f>
        <v/>
      </c>
      <c r="W469">
        <f>IFERROR(INDEX(PP_Grid[#Data],$DE469,20),0)</f>
        <v/>
      </c>
      <c r="X469">
        <f>IFERROR(INDEX(PP_Grid[#Data],$DE469,21),0)</f>
        <v/>
      </c>
      <c r="Y469">
        <f>IFERROR(INDEX(PP_Grid[#Data],$DE469,22),0)</f>
        <v/>
      </c>
      <c r="Z469">
        <f>IFERROR(INDEX(PP_Grid[#Data],$DE469,23),0)</f>
        <v/>
      </c>
      <c r="AA469">
        <f>IFERROR(INDEX(PP_Grid[#Data],$DE469,24),0)</f>
        <v/>
      </c>
      <c r="AB469">
        <f>IFERROR(INDEX(PP_Grid[#Data],$DE469,25),0)</f>
        <v/>
      </c>
      <c r="AC469">
        <f>IFERROR(INDEX(PP_Grid[#Data],$DE469,26),0)</f>
        <v/>
      </c>
      <c r="AD469">
        <f>IFERROR(INDEX(PP_Grid[#Data],$DE469,27),0)</f>
        <v/>
      </c>
      <c r="AE469">
        <f>IFERROR(INDEX(PP_Grid[#Data],$DE469,28),0)</f>
        <v/>
      </c>
      <c r="AF469">
        <f>IFERROR(INDEX(PP_Grid[#Data],$DE469,29),0)</f>
        <v/>
      </c>
      <c r="AG469">
        <f>IFERROR(INDEX(PP_Grid[#Data],$DE469,30),0)</f>
        <v/>
      </c>
      <c r="AH469">
        <f>IFERROR(INDEX(PP_Grid[#Data],$DE469,31),0)</f>
        <v/>
      </c>
      <c r="AI469">
        <f>IFERROR(INDEX(PP_Grid[#Data],$DE469,32),0)</f>
        <v/>
      </c>
      <c r="AJ469">
        <f>IFERROR(INDEX(PP_Grid[#Data],$DE469,33),0)</f>
        <v/>
      </c>
      <c r="AK469">
        <f>IFERROR(INDEX(PP_Grid[#Data],$DE469,34),0)</f>
        <v/>
      </c>
      <c r="AL469">
        <f>IFERROR(INDEX(PP_Grid[#Data],$DE469,35),0)</f>
        <v/>
      </c>
      <c r="AM469">
        <f>IFERROR(INDEX(PP_Grid[#Data],$DE469,36),0)</f>
        <v/>
      </c>
      <c r="AN469">
        <f>IFERROR(INDEX(PP_Grid[#Data],$DE469,37),0)</f>
        <v/>
      </c>
      <c r="AO469">
        <f>IFERROR(INDEX(PP_Grid[#Data],$DE469,38),0)</f>
        <v/>
      </c>
      <c r="AP469">
        <f>IFERROR(INDEX(PP_Grid[#Data],$DE469,39),0)</f>
        <v/>
      </c>
      <c r="AQ469">
        <f>IFERROR(INDEX(PP_Grid[#Data],$DE469,40),0)</f>
        <v/>
      </c>
      <c r="AR469">
        <f>IFERROR(INDEX(PP_Grid[#Data],$DE469,41),0)</f>
        <v/>
      </c>
      <c r="AS469">
        <f>IFERROR(INDEX(PP_Grid[#Data],$DE469,42),0)</f>
        <v/>
      </c>
      <c r="AT469">
        <f>IFERROR(INDEX(PP_Grid[#Data],$DE469,43),0)</f>
        <v/>
      </c>
      <c r="AU469">
        <f>IFERROR(INDEX(PP_Grid[#Data],$DE469,44),0)</f>
        <v/>
      </c>
      <c r="AV469">
        <f>IFERROR(INDEX(PP_Grid[#Data],$DE469,45),0)</f>
        <v/>
      </c>
      <c r="AW469">
        <f>IFERROR(INDEX(PP_Grid[#Data],$DE469,46),0)</f>
        <v/>
      </c>
      <c r="AX469">
        <f>IFERROR(INDEX(PP_Grid[#Data],$DE469,47),0)</f>
        <v/>
      </c>
      <c r="AY469">
        <f>IFERROR(INDEX(PP_Grid[#Data],$DE469,48),0)</f>
        <v/>
      </c>
      <c r="AZ469">
        <f>IFERROR(INDEX(PP_Grid[#Data],$DE469,49),0)</f>
        <v/>
      </c>
      <c r="BA469">
        <f>IFERROR(INDEX(PP_Grid[#Data],$DE469,50),0)</f>
        <v/>
      </c>
      <c r="BB469">
        <f>IFERROR(INDEX(PP_Grid[#Data],$DE469,51),0)</f>
        <v/>
      </c>
      <c r="BC469">
        <f>IFERROR(INDEX(PP_Grid[#Data],$DE469,52),0)</f>
        <v/>
      </c>
      <c r="BD469">
        <f>IFERROR(INDEX(PP_Grid[#Data],$DE469,53),0)</f>
        <v/>
      </c>
      <c r="BE469">
        <f>IFERROR(INDEX(PP_Grid[#Data],$DE469,54),0)</f>
        <v/>
      </c>
      <c r="BF469">
        <f>IFERROR(INDEX(PP_Grid[#Data],$DE469,55),0)</f>
        <v/>
      </c>
      <c r="BG469">
        <f>IFERROR(INDEX(PP_Grid[#Data],$DE469,56),0)</f>
        <v/>
      </c>
      <c r="BH469">
        <f>IFERROR(INDEX(PP_Grid[#Data],$DE469,57),0)</f>
        <v/>
      </c>
      <c r="BI469">
        <f>IFERROR(INDEX(PP_Grid[#Data],$DE469,58),0)</f>
        <v/>
      </c>
      <c r="BJ469">
        <f>IFERROR(INDEX(PP_Grid[#Data],$DE469,59),0)</f>
        <v/>
      </c>
      <c r="BK469">
        <f>IFERROR(INDEX(PP_Grid[#Data],$DE469,60),0)</f>
        <v/>
      </c>
      <c r="BL469">
        <f>IFERROR(INDEX(PP_Grid[#Data],$DE469,61),0)</f>
        <v/>
      </c>
      <c r="BM469">
        <f>IFERROR(INDEX(PP_Grid[#Data],$DE469,62),0)</f>
        <v/>
      </c>
      <c r="BN469">
        <f>IFERROR(INDEX(PP_Grid[#Data],$DE469,63),0)</f>
        <v/>
      </c>
      <c r="BO469">
        <f>IFERROR(INDEX(PP_Grid[#Data],$DE469,64),0)</f>
        <v/>
      </c>
      <c r="BP469">
        <f>IFERROR(INDEX(PP_Grid[#Data],$DE469,65),0)</f>
        <v/>
      </c>
      <c r="BQ469">
        <f>IFERROR(INDEX(PP_Grid[#Data],$DE469,66),0)</f>
        <v/>
      </c>
      <c r="BR469">
        <f>IFERROR(INDEX(PP_Grid[#Data],$DE469,67),0)</f>
        <v/>
      </c>
      <c r="BS469">
        <f>IFERROR(INDEX(PP_Grid[#Data],$DE469,68),0)</f>
        <v/>
      </c>
      <c r="BT469">
        <f>IFERROR(INDEX(PP_Grid[#Data],$DE469,69),0)</f>
        <v/>
      </c>
      <c r="BU469">
        <f>IFERROR(INDEX(PP_Grid[#Data],$DE469,70),0)</f>
        <v/>
      </c>
      <c r="BV469">
        <f>IFERROR(INDEX(PP_Grid[#Data],$DE469,71),0)</f>
        <v/>
      </c>
      <c r="BW469">
        <f>IFERROR(INDEX(PP_Grid[#Data],$DE469,72),0)</f>
        <v/>
      </c>
      <c r="BX469">
        <f>IFERROR(INDEX(PP_Grid[#Data],$DE469,73),0)</f>
        <v/>
      </c>
      <c r="BY469">
        <f>IFERROR(INDEX(PP_Grid[#Data],$DE469,74),0)</f>
        <v/>
      </c>
      <c r="BZ469">
        <f>IFERROR(INDEX(PP_Grid[#Data],$DE469,75),0)</f>
        <v/>
      </c>
      <c r="CA469">
        <f>IFERROR(INDEX(PP_Grid[#Data],$DE469,76),0)</f>
        <v/>
      </c>
      <c r="CB469">
        <f>IFERROR(INDEX(PP_Grid[#Data],$DE469,77),0)</f>
        <v/>
      </c>
      <c r="CC469">
        <f>IFERROR(INDEX(PP_Grid[#Data],$DE469,78),0)</f>
        <v/>
      </c>
      <c r="CD469">
        <f>IFERROR(INDEX(PP_Grid[#Data],$DE469,79),0)</f>
        <v/>
      </c>
      <c r="CE469">
        <f>IFERROR(INDEX(PP_Grid[#Data],$DE469,80),0)</f>
        <v/>
      </c>
      <c r="CF469">
        <f>IFERROR(INDEX(PP_Grid[#Data],$DE469,81),0)</f>
        <v/>
      </c>
      <c r="CG469">
        <f>IFERROR(INDEX(PP_Grid[#Data],$DE469,82),0)</f>
        <v/>
      </c>
      <c r="CH469">
        <f>IFERROR(INDEX(PP_Grid[#Data],$DE469,83),0)</f>
        <v/>
      </c>
      <c r="CI469">
        <f>IFERROR(INDEX(PP_Grid[#Data],$DE469,84),0)</f>
        <v/>
      </c>
      <c r="CJ469">
        <f>IFERROR(INDEX(PP_Grid[#Data],$DE469,85),0)</f>
        <v/>
      </c>
      <c r="CK469">
        <f>IFERROR(INDEX(PP_Grid[#Data],$DE469,86),0)</f>
        <v/>
      </c>
      <c r="CL469">
        <f>IFERROR(INDEX(PP_Grid[#Data],$DE469,87),0)</f>
        <v/>
      </c>
      <c r="CM469">
        <f>IFERROR(INDEX(PP_Grid[#Data],$DE469,88),0)</f>
        <v/>
      </c>
      <c r="CN469">
        <f>IFERROR(INDEX(PP_Grid[#Data],$DE469,89),0)</f>
        <v/>
      </c>
      <c r="CO469">
        <f>IFERROR(INDEX(PP_Grid[#Data],$DE469,90),0)</f>
        <v/>
      </c>
      <c r="CP469">
        <f>IFERROR(INDEX(PP_Grid[#Data],$DE469,91),0)</f>
        <v/>
      </c>
      <c r="CQ469">
        <f>IFERROR(INDEX(PP_Grid[#Data],$DE469,92),0)</f>
        <v/>
      </c>
      <c r="CR469">
        <f>IFERROR(INDEX(PP_Grid[#Data],$DE469,93),0)</f>
        <v/>
      </c>
      <c r="CS469">
        <f>IFERROR(INDEX(PP_Grid[#Data],$DE469,94),0)</f>
        <v/>
      </c>
      <c r="CT469">
        <f>IFERROR(INDEX(PP_Grid[#Data],$DE469,95),0)</f>
        <v/>
      </c>
      <c r="CU469">
        <f>IFERROR(INDEX(PP_Grid[#Data],$DE469,96),0)</f>
        <v/>
      </c>
      <c r="CV469">
        <f>IFERROR(INDEX(PP_Grid[#Data],$DE469,97),0)</f>
        <v/>
      </c>
      <c r="CW469">
        <f>IFERROR(INDEX(PP_Grid[#Data],$DE469,98),0)</f>
        <v/>
      </c>
      <c r="CX469">
        <f>IFERROR(INDEX(PP_Grid[#Data],$DE469,99),0)</f>
        <v/>
      </c>
      <c r="CY469">
        <f>IFERROR(INDEX(PP_Grid[#Data],$DE469,100),0)</f>
        <v/>
      </c>
      <c r="CZ469">
        <f>IFERROR(INDEX(PP_Grid[#Data],$DE469,101),0)</f>
        <v/>
      </c>
      <c r="DA469">
        <f>IFERROR(INDEX(PP_Grid[#Data],$DE469,102),0)</f>
        <v/>
      </c>
      <c r="DB469">
        <f>IFERROR(INDEX(PP_Grid[#Data],$DE469,103),0)</f>
        <v/>
      </c>
      <c r="DC469">
        <f>IFERROR(INDEX(PP_Grid[#Data],$DE469,104),0)</f>
        <v/>
      </c>
      <c r="DD469">
        <f>IFERROR(INDEX(PP_Grid[#Data],$DE469,105),0)</f>
        <v/>
      </c>
      <c r="DE469" s="7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SUMIFS(M_BOM[RM_Qty_Per_Batch],M_BOM[Intermediate],$B469,M_BOM[RM_Code],$A340)</f>
        <v/>
      </c>
      <c r="D470">
        <f>IFERROR(INDEX(E470:DD470,$F$1),"")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  <c r="DD470">
        <f>$C470*DD469</f>
        <v/>
      </c>
    </row>
    <row r="471">
      <c r="B471" t="inlineStr">
        <is>
          <t>VSP-605</t>
        </is>
      </c>
      <c r="C471" t="inlineStr">
        <is>
          <t>No. of batches</t>
        </is>
      </c>
      <c r="D471">
        <f>IFERROR(INDEX(E471:DD471,$F$1),"")</f>
        <v/>
      </c>
      <c r="E471">
        <f>IFERROR(INDEX(PP_Grid[#Data],$DE471,2),0)</f>
        <v/>
      </c>
      <c r="F471">
        <f>IFERROR(INDEX(PP_Grid[#Data],$DE471,3),0)</f>
        <v/>
      </c>
      <c r="G471">
        <f>IFERROR(INDEX(PP_Grid[#Data],$DE471,4),0)</f>
        <v/>
      </c>
      <c r="H471">
        <f>IFERROR(INDEX(PP_Grid[#Data],$DE471,5),0)</f>
        <v/>
      </c>
      <c r="I471">
        <f>IFERROR(INDEX(PP_Grid[#Data],$DE471,6),0)</f>
        <v/>
      </c>
      <c r="J471">
        <f>IFERROR(INDEX(PP_Grid[#Data],$DE471,7),0)</f>
        <v/>
      </c>
      <c r="K471">
        <f>IFERROR(INDEX(PP_Grid[#Data],$DE471,8),0)</f>
        <v/>
      </c>
      <c r="L471">
        <f>IFERROR(INDEX(PP_Grid[#Data],$DE471,9),0)</f>
        <v/>
      </c>
      <c r="M471">
        <f>IFERROR(INDEX(PP_Grid[#Data],$DE471,10),0)</f>
        <v/>
      </c>
      <c r="N471">
        <f>IFERROR(INDEX(PP_Grid[#Data],$DE471,11),0)</f>
        <v/>
      </c>
      <c r="O471">
        <f>IFERROR(INDEX(PP_Grid[#Data],$DE471,12),0)</f>
        <v/>
      </c>
      <c r="P471">
        <f>IFERROR(INDEX(PP_Grid[#Data],$DE471,13),0)</f>
        <v/>
      </c>
      <c r="Q471">
        <f>IFERROR(INDEX(PP_Grid[#Data],$DE471,14),0)</f>
        <v/>
      </c>
      <c r="R471">
        <f>IFERROR(INDEX(PP_Grid[#Data],$DE471,15),0)</f>
        <v/>
      </c>
      <c r="S471">
        <f>IFERROR(INDEX(PP_Grid[#Data],$DE471,16),0)</f>
        <v/>
      </c>
      <c r="T471">
        <f>IFERROR(INDEX(PP_Grid[#Data],$DE471,17),0)</f>
        <v/>
      </c>
      <c r="U471">
        <f>IFERROR(INDEX(PP_Grid[#Data],$DE471,18),0)</f>
        <v/>
      </c>
      <c r="V471">
        <f>IFERROR(INDEX(PP_Grid[#Data],$DE471,19),0)</f>
        <v/>
      </c>
      <c r="W471">
        <f>IFERROR(INDEX(PP_Grid[#Data],$DE471,20),0)</f>
        <v/>
      </c>
      <c r="X471">
        <f>IFERROR(INDEX(PP_Grid[#Data],$DE471,21),0)</f>
        <v/>
      </c>
      <c r="Y471">
        <f>IFERROR(INDEX(PP_Grid[#Data],$DE471,22),0)</f>
        <v/>
      </c>
      <c r="Z471">
        <f>IFERROR(INDEX(PP_Grid[#Data],$DE471,23),0)</f>
        <v/>
      </c>
      <c r="AA471">
        <f>IFERROR(INDEX(PP_Grid[#Data],$DE471,24),0)</f>
        <v/>
      </c>
      <c r="AB471">
        <f>IFERROR(INDEX(PP_Grid[#Data],$DE471,25),0)</f>
        <v/>
      </c>
      <c r="AC471">
        <f>IFERROR(INDEX(PP_Grid[#Data],$DE471,26),0)</f>
        <v/>
      </c>
      <c r="AD471">
        <f>IFERROR(INDEX(PP_Grid[#Data],$DE471,27),0)</f>
        <v/>
      </c>
      <c r="AE471">
        <f>IFERROR(INDEX(PP_Grid[#Data],$DE471,28),0)</f>
        <v/>
      </c>
      <c r="AF471">
        <f>IFERROR(INDEX(PP_Grid[#Data],$DE471,29),0)</f>
        <v/>
      </c>
      <c r="AG471">
        <f>IFERROR(INDEX(PP_Grid[#Data],$DE471,30),0)</f>
        <v/>
      </c>
      <c r="AH471">
        <f>IFERROR(INDEX(PP_Grid[#Data],$DE471,31),0)</f>
        <v/>
      </c>
      <c r="AI471">
        <f>IFERROR(INDEX(PP_Grid[#Data],$DE471,32),0)</f>
        <v/>
      </c>
      <c r="AJ471">
        <f>IFERROR(INDEX(PP_Grid[#Data],$DE471,33),0)</f>
        <v/>
      </c>
      <c r="AK471">
        <f>IFERROR(INDEX(PP_Grid[#Data],$DE471,34),0)</f>
        <v/>
      </c>
      <c r="AL471">
        <f>IFERROR(INDEX(PP_Grid[#Data],$DE471,35),0)</f>
        <v/>
      </c>
      <c r="AM471">
        <f>IFERROR(INDEX(PP_Grid[#Data],$DE471,36),0)</f>
        <v/>
      </c>
      <c r="AN471">
        <f>IFERROR(INDEX(PP_Grid[#Data],$DE471,37),0)</f>
        <v/>
      </c>
      <c r="AO471">
        <f>IFERROR(INDEX(PP_Grid[#Data],$DE471,38),0)</f>
        <v/>
      </c>
      <c r="AP471">
        <f>IFERROR(INDEX(PP_Grid[#Data],$DE471,39),0)</f>
        <v/>
      </c>
      <c r="AQ471">
        <f>IFERROR(INDEX(PP_Grid[#Data],$DE471,40),0)</f>
        <v/>
      </c>
      <c r="AR471">
        <f>IFERROR(INDEX(PP_Grid[#Data],$DE471,41),0)</f>
        <v/>
      </c>
      <c r="AS471">
        <f>IFERROR(INDEX(PP_Grid[#Data],$DE471,42),0)</f>
        <v/>
      </c>
      <c r="AT471">
        <f>IFERROR(INDEX(PP_Grid[#Data],$DE471,43),0)</f>
        <v/>
      </c>
      <c r="AU471">
        <f>IFERROR(INDEX(PP_Grid[#Data],$DE471,44),0)</f>
        <v/>
      </c>
      <c r="AV471">
        <f>IFERROR(INDEX(PP_Grid[#Data],$DE471,45),0)</f>
        <v/>
      </c>
      <c r="AW471">
        <f>IFERROR(INDEX(PP_Grid[#Data],$DE471,46),0)</f>
        <v/>
      </c>
      <c r="AX471">
        <f>IFERROR(INDEX(PP_Grid[#Data],$DE471,47),0)</f>
        <v/>
      </c>
      <c r="AY471">
        <f>IFERROR(INDEX(PP_Grid[#Data],$DE471,48),0)</f>
        <v/>
      </c>
      <c r="AZ471">
        <f>IFERROR(INDEX(PP_Grid[#Data],$DE471,49),0)</f>
        <v/>
      </c>
      <c r="BA471">
        <f>IFERROR(INDEX(PP_Grid[#Data],$DE471,50),0)</f>
        <v/>
      </c>
      <c r="BB471">
        <f>IFERROR(INDEX(PP_Grid[#Data],$DE471,51),0)</f>
        <v/>
      </c>
      <c r="BC471">
        <f>IFERROR(INDEX(PP_Grid[#Data],$DE471,52),0)</f>
        <v/>
      </c>
      <c r="BD471">
        <f>IFERROR(INDEX(PP_Grid[#Data],$DE471,53),0)</f>
        <v/>
      </c>
      <c r="BE471">
        <f>IFERROR(INDEX(PP_Grid[#Data],$DE471,54),0)</f>
        <v/>
      </c>
      <c r="BF471">
        <f>IFERROR(INDEX(PP_Grid[#Data],$DE471,55),0)</f>
        <v/>
      </c>
      <c r="BG471">
        <f>IFERROR(INDEX(PP_Grid[#Data],$DE471,56),0)</f>
        <v/>
      </c>
      <c r="BH471">
        <f>IFERROR(INDEX(PP_Grid[#Data],$DE471,57),0)</f>
        <v/>
      </c>
      <c r="BI471">
        <f>IFERROR(INDEX(PP_Grid[#Data],$DE471,58),0)</f>
        <v/>
      </c>
      <c r="BJ471">
        <f>IFERROR(INDEX(PP_Grid[#Data],$DE471,59),0)</f>
        <v/>
      </c>
      <c r="BK471">
        <f>IFERROR(INDEX(PP_Grid[#Data],$DE471,60),0)</f>
        <v/>
      </c>
      <c r="BL471">
        <f>IFERROR(INDEX(PP_Grid[#Data],$DE471,61),0)</f>
        <v/>
      </c>
      <c r="BM471">
        <f>IFERROR(INDEX(PP_Grid[#Data],$DE471,62),0)</f>
        <v/>
      </c>
      <c r="BN471">
        <f>IFERROR(INDEX(PP_Grid[#Data],$DE471,63),0)</f>
        <v/>
      </c>
      <c r="BO471">
        <f>IFERROR(INDEX(PP_Grid[#Data],$DE471,64),0)</f>
        <v/>
      </c>
      <c r="BP471">
        <f>IFERROR(INDEX(PP_Grid[#Data],$DE471,65),0)</f>
        <v/>
      </c>
      <c r="BQ471">
        <f>IFERROR(INDEX(PP_Grid[#Data],$DE471,66),0)</f>
        <v/>
      </c>
      <c r="BR471">
        <f>IFERROR(INDEX(PP_Grid[#Data],$DE471,67),0)</f>
        <v/>
      </c>
      <c r="BS471">
        <f>IFERROR(INDEX(PP_Grid[#Data],$DE471,68),0)</f>
        <v/>
      </c>
      <c r="BT471">
        <f>IFERROR(INDEX(PP_Grid[#Data],$DE471,69),0)</f>
        <v/>
      </c>
      <c r="BU471">
        <f>IFERROR(INDEX(PP_Grid[#Data],$DE471,70),0)</f>
        <v/>
      </c>
      <c r="BV471">
        <f>IFERROR(INDEX(PP_Grid[#Data],$DE471,71),0)</f>
        <v/>
      </c>
      <c r="BW471">
        <f>IFERROR(INDEX(PP_Grid[#Data],$DE471,72),0)</f>
        <v/>
      </c>
      <c r="BX471">
        <f>IFERROR(INDEX(PP_Grid[#Data],$DE471,73),0)</f>
        <v/>
      </c>
      <c r="BY471">
        <f>IFERROR(INDEX(PP_Grid[#Data],$DE471,74),0)</f>
        <v/>
      </c>
      <c r="BZ471">
        <f>IFERROR(INDEX(PP_Grid[#Data],$DE471,75),0)</f>
        <v/>
      </c>
      <c r="CA471">
        <f>IFERROR(INDEX(PP_Grid[#Data],$DE471,76),0)</f>
        <v/>
      </c>
      <c r="CB471">
        <f>IFERROR(INDEX(PP_Grid[#Data],$DE471,77),0)</f>
        <v/>
      </c>
      <c r="CC471">
        <f>IFERROR(INDEX(PP_Grid[#Data],$DE471,78),0)</f>
        <v/>
      </c>
      <c r="CD471">
        <f>IFERROR(INDEX(PP_Grid[#Data],$DE471,79),0)</f>
        <v/>
      </c>
      <c r="CE471">
        <f>IFERROR(INDEX(PP_Grid[#Data],$DE471,80),0)</f>
        <v/>
      </c>
      <c r="CF471">
        <f>IFERROR(INDEX(PP_Grid[#Data],$DE471,81),0)</f>
        <v/>
      </c>
      <c r="CG471">
        <f>IFERROR(INDEX(PP_Grid[#Data],$DE471,82),0)</f>
        <v/>
      </c>
      <c r="CH471">
        <f>IFERROR(INDEX(PP_Grid[#Data],$DE471,83),0)</f>
        <v/>
      </c>
      <c r="CI471">
        <f>IFERROR(INDEX(PP_Grid[#Data],$DE471,84),0)</f>
        <v/>
      </c>
      <c r="CJ471">
        <f>IFERROR(INDEX(PP_Grid[#Data],$DE471,85),0)</f>
        <v/>
      </c>
      <c r="CK471">
        <f>IFERROR(INDEX(PP_Grid[#Data],$DE471,86),0)</f>
        <v/>
      </c>
      <c r="CL471">
        <f>IFERROR(INDEX(PP_Grid[#Data],$DE471,87),0)</f>
        <v/>
      </c>
      <c r="CM471">
        <f>IFERROR(INDEX(PP_Grid[#Data],$DE471,88),0)</f>
        <v/>
      </c>
      <c r="CN471">
        <f>IFERROR(INDEX(PP_Grid[#Data],$DE471,89),0)</f>
        <v/>
      </c>
      <c r="CO471">
        <f>IFERROR(INDEX(PP_Grid[#Data],$DE471,90),0)</f>
        <v/>
      </c>
      <c r="CP471">
        <f>IFERROR(INDEX(PP_Grid[#Data],$DE471,91),0)</f>
        <v/>
      </c>
      <c r="CQ471">
        <f>IFERROR(INDEX(PP_Grid[#Data],$DE471,92),0)</f>
        <v/>
      </c>
      <c r="CR471">
        <f>IFERROR(INDEX(PP_Grid[#Data],$DE471,93),0)</f>
        <v/>
      </c>
      <c r="CS471">
        <f>IFERROR(INDEX(PP_Grid[#Data],$DE471,94),0)</f>
        <v/>
      </c>
      <c r="CT471">
        <f>IFERROR(INDEX(PP_Grid[#Data],$DE471,95),0)</f>
        <v/>
      </c>
      <c r="CU471">
        <f>IFERROR(INDEX(PP_Grid[#Data],$DE471,96),0)</f>
        <v/>
      </c>
      <c r="CV471">
        <f>IFERROR(INDEX(PP_Grid[#Data],$DE471,97),0)</f>
        <v/>
      </c>
      <c r="CW471">
        <f>IFERROR(INDEX(PP_Grid[#Data],$DE471,98),0)</f>
        <v/>
      </c>
      <c r="CX471">
        <f>IFERROR(INDEX(PP_Grid[#Data],$DE471,99),0)</f>
        <v/>
      </c>
      <c r="CY471">
        <f>IFERROR(INDEX(PP_Grid[#Data],$DE471,100),0)</f>
        <v/>
      </c>
      <c r="CZ471">
        <f>IFERROR(INDEX(PP_Grid[#Data],$DE471,101),0)</f>
        <v/>
      </c>
      <c r="DA471">
        <f>IFERROR(INDEX(PP_Grid[#Data],$DE471,102),0)</f>
        <v/>
      </c>
      <c r="DB471">
        <f>IFERROR(INDEX(PP_Grid[#Data],$DE471,103),0)</f>
        <v/>
      </c>
      <c r="DC471">
        <f>IFERROR(INDEX(PP_Grid[#Data],$DE471,104),0)</f>
        <v/>
      </c>
      <c r="DD471">
        <f>IFERROR(INDEX(PP_Grid[#Data],$DE471,105),0)</f>
        <v/>
      </c>
      <c r="DE471" s="7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SUMIFS(M_BOM[RM_Qty_Per_Batch],M_BOM[Intermediate],$B471,M_BOM[RM_Code],$A340)</f>
        <v/>
      </c>
      <c r="D472">
        <f>IFERROR(INDEX(E472:DD472,$F$1),"")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  <c r="DD472">
        <f>$C472*DD471</f>
        <v/>
      </c>
    </row>
    <row r="473">
      <c r="B473" t="inlineStr">
        <is>
          <t>VSP-606</t>
        </is>
      </c>
      <c r="C473" t="inlineStr">
        <is>
          <t>No. of batches</t>
        </is>
      </c>
      <c r="D473">
        <f>IFERROR(INDEX(E473:DD473,$F$1),"")</f>
        <v/>
      </c>
      <c r="E473">
        <f>IFERROR(INDEX(PP_Grid[#Data],$DE473,2),0)</f>
        <v/>
      </c>
      <c r="F473">
        <f>IFERROR(INDEX(PP_Grid[#Data],$DE473,3),0)</f>
        <v/>
      </c>
      <c r="G473">
        <f>IFERROR(INDEX(PP_Grid[#Data],$DE473,4),0)</f>
        <v/>
      </c>
      <c r="H473">
        <f>IFERROR(INDEX(PP_Grid[#Data],$DE473,5),0)</f>
        <v/>
      </c>
      <c r="I473">
        <f>IFERROR(INDEX(PP_Grid[#Data],$DE473,6),0)</f>
        <v/>
      </c>
      <c r="J473">
        <f>IFERROR(INDEX(PP_Grid[#Data],$DE473,7),0)</f>
        <v/>
      </c>
      <c r="K473">
        <f>IFERROR(INDEX(PP_Grid[#Data],$DE473,8),0)</f>
        <v/>
      </c>
      <c r="L473">
        <f>IFERROR(INDEX(PP_Grid[#Data],$DE473,9),0)</f>
        <v/>
      </c>
      <c r="M473">
        <f>IFERROR(INDEX(PP_Grid[#Data],$DE473,10),0)</f>
        <v/>
      </c>
      <c r="N473">
        <f>IFERROR(INDEX(PP_Grid[#Data],$DE473,11),0)</f>
        <v/>
      </c>
      <c r="O473">
        <f>IFERROR(INDEX(PP_Grid[#Data],$DE473,12),0)</f>
        <v/>
      </c>
      <c r="P473">
        <f>IFERROR(INDEX(PP_Grid[#Data],$DE473,13),0)</f>
        <v/>
      </c>
      <c r="Q473">
        <f>IFERROR(INDEX(PP_Grid[#Data],$DE473,14),0)</f>
        <v/>
      </c>
      <c r="R473">
        <f>IFERROR(INDEX(PP_Grid[#Data],$DE473,15),0)</f>
        <v/>
      </c>
      <c r="S473">
        <f>IFERROR(INDEX(PP_Grid[#Data],$DE473,16),0)</f>
        <v/>
      </c>
      <c r="T473">
        <f>IFERROR(INDEX(PP_Grid[#Data],$DE473,17),0)</f>
        <v/>
      </c>
      <c r="U473">
        <f>IFERROR(INDEX(PP_Grid[#Data],$DE473,18),0)</f>
        <v/>
      </c>
      <c r="V473">
        <f>IFERROR(INDEX(PP_Grid[#Data],$DE473,19),0)</f>
        <v/>
      </c>
      <c r="W473">
        <f>IFERROR(INDEX(PP_Grid[#Data],$DE473,20),0)</f>
        <v/>
      </c>
      <c r="X473">
        <f>IFERROR(INDEX(PP_Grid[#Data],$DE473,21),0)</f>
        <v/>
      </c>
      <c r="Y473">
        <f>IFERROR(INDEX(PP_Grid[#Data],$DE473,22),0)</f>
        <v/>
      </c>
      <c r="Z473">
        <f>IFERROR(INDEX(PP_Grid[#Data],$DE473,23),0)</f>
        <v/>
      </c>
      <c r="AA473">
        <f>IFERROR(INDEX(PP_Grid[#Data],$DE473,24),0)</f>
        <v/>
      </c>
      <c r="AB473">
        <f>IFERROR(INDEX(PP_Grid[#Data],$DE473,25),0)</f>
        <v/>
      </c>
      <c r="AC473">
        <f>IFERROR(INDEX(PP_Grid[#Data],$DE473,26),0)</f>
        <v/>
      </c>
      <c r="AD473">
        <f>IFERROR(INDEX(PP_Grid[#Data],$DE473,27),0)</f>
        <v/>
      </c>
      <c r="AE473">
        <f>IFERROR(INDEX(PP_Grid[#Data],$DE473,28),0)</f>
        <v/>
      </c>
      <c r="AF473">
        <f>IFERROR(INDEX(PP_Grid[#Data],$DE473,29),0)</f>
        <v/>
      </c>
      <c r="AG473">
        <f>IFERROR(INDEX(PP_Grid[#Data],$DE473,30),0)</f>
        <v/>
      </c>
      <c r="AH473">
        <f>IFERROR(INDEX(PP_Grid[#Data],$DE473,31),0)</f>
        <v/>
      </c>
      <c r="AI473">
        <f>IFERROR(INDEX(PP_Grid[#Data],$DE473,32),0)</f>
        <v/>
      </c>
      <c r="AJ473">
        <f>IFERROR(INDEX(PP_Grid[#Data],$DE473,33),0)</f>
        <v/>
      </c>
      <c r="AK473">
        <f>IFERROR(INDEX(PP_Grid[#Data],$DE473,34),0)</f>
        <v/>
      </c>
      <c r="AL473">
        <f>IFERROR(INDEX(PP_Grid[#Data],$DE473,35),0)</f>
        <v/>
      </c>
      <c r="AM473">
        <f>IFERROR(INDEX(PP_Grid[#Data],$DE473,36),0)</f>
        <v/>
      </c>
      <c r="AN473">
        <f>IFERROR(INDEX(PP_Grid[#Data],$DE473,37),0)</f>
        <v/>
      </c>
      <c r="AO473">
        <f>IFERROR(INDEX(PP_Grid[#Data],$DE473,38),0)</f>
        <v/>
      </c>
      <c r="AP473">
        <f>IFERROR(INDEX(PP_Grid[#Data],$DE473,39),0)</f>
        <v/>
      </c>
      <c r="AQ473">
        <f>IFERROR(INDEX(PP_Grid[#Data],$DE473,40),0)</f>
        <v/>
      </c>
      <c r="AR473">
        <f>IFERROR(INDEX(PP_Grid[#Data],$DE473,41),0)</f>
        <v/>
      </c>
      <c r="AS473">
        <f>IFERROR(INDEX(PP_Grid[#Data],$DE473,42),0)</f>
        <v/>
      </c>
      <c r="AT473">
        <f>IFERROR(INDEX(PP_Grid[#Data],$DE473,43),0)</f>
        <v/>
      </c>
      <c r="AU473">
        <f>IFERROR(INDEX(PP_Grid[#Data],$DE473,44),0)</f>
        <v/>
      </c>
      <c r="AV473">
        <f>IFERROR(INDEX(PP_Grid[#Data],$DE473,45),0)</f>
        <v/>
      </c>
      <c r="AW473">
        <f>IFERROR(INDEX(PP_Grid[#Data],$DE473,46),0)</f>
        <v/>
      </c>
      <c r="AX473">
        <f>IFERROR(INDEX(PP_Grid[#Data],$DE473,47),0)</f>
        <v/>
      </c>
      <c r="AY473">
        <f>IFERROR(INDEX(PP_Grid[#Data],$DE473,48),0)</f>
        <v/>
      </c>
      <c r="AZ473">
        <f>IFERROR(INDEX(PP_Grid[#Data],$DE473,49),0)</f>
        <v/>
      </c>
      <c r="BA473">
        <f>IFERROR(INDEX(PP_Grid[#Data],$DE473,50),0)</f>
        <v/>
      </c>
      <c r="BB473">
        <f>IFERROR(INDEX(PP_Grid[#Data],$DE473,51),0)</f>
        <v/>
      </c>
      <c r="BC473">
        <f>IFERROR(INDEX(PP_Grid[#Data],$DE473,52),0)</f>
        <v/>
      </c>
      <c r="BD473">
        <f>IFERROR(INDEX(PP_Grid[#Data],$DE473,53),0)</f>
        <v/>
      </c>
      <c r="BE473">
        <f>IFERROR(INDEX(PP_Grid[#Data],$DE473,54),0)</f>
        <v/>
      </c>
      <c r="BF473">
        <f>IFERROR(INDEX(PP_Grid[#Data],$DE473,55),0)</f>
        <v/>
      </c>
      <c r="BG473">
        <f>IFERROR(INDEX(PP_Grid[#Data],$DE473,56),0)</f>
        <v/>
      </c>
      <c r="BH473">
        <f>IFERROR(INDEX(PP_Grid[#Data],$DE473,57),0)</f>
        <v/>
      </c>
      <c r="BI473">
        <f>IFERROR(INDEX(PP_Grid[#Data],$DE473,58),0)</f>
        <v/>
      </c>
      <c r="BJ473">
        <f>IFERROR(INDEX(PP_Grid[#Data],$DE473,59),0)</f>
        <v/>
      </c>
      <c r="BK473">
        <f>IFERROR(INDEX(PP_Grid[#Data],$DE473,60),0)</f>
        <v/>
      </c>
      <c r="BL473">
        <f>IFERROR(INDEX(PP_Grid[#Data],$DE473,61),0)</f>
        <v/>
      </c>
      <c r="BM473">
        <f>IFERROR(INDEX(PP_Grid[#Data],$DE473,62),0)</f>
        <v/>
      </c>
      <c r="BN473">
        <f>IFERROR(INDEX(PP_Grid[#Data],$DE473,63),0)</f>
        <v/>
      </c>
      <c r="BO473">
        <f>IFERROR(INDEX(PP_Grid[#Data],$DE473,64),0)</f>
        <v/>
      </c>
      <c r="BP473">
        <f>IFERROR(INDEX(PP_Grid[#Data],$DE473,65),0)</f>
        <v/>
      </c>
      <c r="BQ473">
        <f>IFERROR(INDEX(PP_Grid[#Data],$DE473,66),0)</f>
        <v/>
      </c>
      <c r="BR473">
        <f>IFERROR(INDEX(PP_Grid[#Data],$DE473,67),0)</f>
        <v/>
      </c>
      <c r="BS473">
        <f>IFERROR(INDEX(PP_Grid[#Data],$DE473,68),0)</f>
        <v/>
      </c>
      <c r="BT473">
        <f>IFERROR(INDEX(PP_Grid[#Data],$DE473,69),0)</f>
        <v/>
      </c>
      <c r="BU473">
        <f>IFERROR(INDEX(PP_Grid[#Data],$DE473,70),0)</f>
        <v/>
      </c>
      <c r="BV473">
        <f>IFERROR(INDEX(PP_Grid[#Data],$DE473,71),0)</f>
        <v/>
      </c>
      <c r="BW473">
        <f>IFERROR(INDEX(PP_Grid[#Data],$DE473,72),0)</f>
        <v/>
      </c>
      <c r="BX473">
        <f>IFERROR(INDEX(PP_Grid[#Data],$DE473,73),0)</f>
        <v/>
      </c>
      <c r="BY473">
        <f>IFERROR(INDEX(PP_Grid[#Data],$DE473,74),0)</f>
        <v/>
      </c>
      <c r="BZ473">
        <f>IFERROR(INDEX(PP_Grid[#Data],$DE473,75),0)</f>
        <v/>
      </c>
      <c r="CA473">
        <f>IFERROR(INDEX(PP_Grid[#Data],$DE473,76),0)</f>
        <v/>
      </c>
      <c r="CB473">
        <f>IFERROR(INDEX(PP_Grid[#Data],$DE473,77),0)</f>
        <v/>
      </c>
      <c r="CC473">
        <f>IFERROR(INDEX(PP_Grid[#Data],$DE473,78),0)</f>
        <v/>
      </c>
      <c r="CD473">
        <f>IFERROR(INDEX(PP_Grid[#Data],$DE473,79),0)</f>
        <v/>
      </c>
      <c r="CE473">
        <f>IFERROR(INDEX(PP_Grid[#Data],$DE473,80),0)</f>
        <v/>
      </c>
      <c r="CF473">
        <f>IFERROR(INDEX(PP_Grid[#Data],$DE473,81),0)</f>
        <v/>
      </c>
      <c r="CG473">
        <f>IFERROR(INDEX(PP_Grid[#Data],$DE473,82),0)</f>
        <v/>
      </c>
      <c r="CH473">
        <f>IFERROR(INDEX(PP_Grid[#Data],$DE473,83),0)</f>
        <v/>
      </c>
      <c r="CI473">
        <f>IFERROR(INDEX(PP_Grid[#Data],$DE473,84),0)</f>
        <v/>
      </c>
      <c r="CJ473">
        <f>IFERROR(INDEX(PP_Grid[#Data],$DE473,85),0)</f>
        <v/>
      </c>
      <c r="CK473">
        <f>IFERROR(INDEX(PP_Grid[#Data],$DE473,86),0)</f>
        <v/>
      </c>
      <c r="CL473">
        <f>IFERROR(INDEX(PP_Grid[#Data],$DE473,87),0)</f>
        <v/>
      </c>
      <c r="CM473">
        <f>IFERROR(INDEX(PP_Grid[#Data],$DE473,88),0)</f>
        <v/>
      </c>
      <c r="CN473">
        <f>IFERROR(INDEX(PP_Grid[#Data],$DE473,89),0)</f>
        <v/>
      </c>
      <c r="CO473">
        <f>IFERROR(INDEX(PP_Grid[#Data],$DE473,90),0)</f>
        <v/>
      </c>
      <c r="CP473">
        <f>IFERROR(INDEX(PP_Grid[#Data],$DE473,91),0)</f>
        <v/>
      </c>
      <c r="CQ473">
        <f>IFERROR(INDEX(PP_Grid[#Data],$DE473,92),0)</f>
        <v/>
      </c>
      <c r="CR473">
        <f>IFERROR(INDEX(PP_Grid[#Data],$DE473,93),0)</f>
        <v/>
      </c>
      <c r="CS473">
        <f>IFERROR(INDEX(PP_Grid[#Data],$DE473,94),0)</f>
        <v/>
      </c>
      <c r="CT473">
        <f>IFERROR(INDEX(PP_Grid[#Data],$DE473,95),0)</f>
        <v/>
      </c>
      <c r="CU473">
        <f>IFERROR(INDEX(PP_Grid[#Data],$DE473,96),0)</f>
        <v/>
      </c>
      <c r="CV473">
        <f>IFERROR(INDEX(PP_Grid[#Data],$DE473,97),0)</f>
        <v/>
      </c>
      <c r="CW473">
        <f>IFERROR(INDEX(PP_Grid[#Data],$DE473,98),0)</f>
        <v/>
      </c>
      <c r="CX473">
        <f>IFERROR(INDEX(PP_Grid[#Data],$DE473,99),0)</f>
        <v/>
      </c>
      <c r="CY473">
        <f>IFERROR(INDEX(PP_Grid[#Data],$DE473,100),0)</f>
        <v/>
      </c>
      <c r="CZ473">
        <f>IFERROR(INDEX(PP_Grid[#Data],$DE473,101),0)</f>
        <v/>
      </c>
      <c r="DA473">
        <f>IFERROR(INDEX(PP_Grid[#Data],$DE473,102),0)</f>
        <v/>
      </c>
      <c r="DB473">
        <f>IFERROR(INDEX(PP_Grid[#Data],$DE473,103),0)</f>
        <v/>
      </c>
      <c r="DC473">
        <f>IFERROR(INDEX(PP_Grid[#Data],$DE473,104),0)</f>
        <v/>
      </c>
      <c r="DD473">
        <f>IFERROR(INDEX(PP_Grid[#Data],$DE473,105),0)</f>
        <v/>
      </c>
      <c r="DE473" s="7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SUMIFS(M_BOM[RM_Qty_Per_Batch],M_BOM[Intermediate],$B473,M_BOM[RM_Code],$A340)</f>
        <v/>
      </c>
      <c r="D474">
        <f>IFERROR(INDEX(E474:DD474,$F$1),"")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  <c r="DD474">
        <f>$C474*DD473</f>
        <v/>
      </c>
    </row>
    <row r="475">
      <c r="B475" t="inlineStr">
        <is>
          <t>VSP-607</t>
        </is>
      </c>
      <c r="C475" t="inlineStr">
        <is>
          <t>No. of batches</t>
        </is>
      </c>
      <c r="D475">
        <f>IFERROR(INDEX(E475:DD475,$F$1),"")</f>
        <v/>
      </c>
      <c r="E475">
        <f>IFERROR(INDEX(PP_Grid[#Data],$DE475,2),0)</f>
        <v/>
      </c>
      <c r="F475">
        <f>IFERROR(INDEX(PP_Grid[#Data],$DE475,3),0)</f>
        <v/>
      </c>
      <c r="G475">
        <f>IFERROR(INDEX(PP_Grid[#Data],$DE475,4),0)</f>
        <v/>
      </c>
      <c r="H475">
        <f>IFERROR(INDEX(PP_Grid[#Data],$DE475,5),0)</f>
        <v/>
      </c>
      <c r="I475">
        <f>IFERROR(INDEX(PP_Grid[#Data],$DE475,6),0)</f>
        <v/>
      </c>
      <c r="J475">
        <f>IFERROR(INDEX(PP_Grid[#Data],$DE475,7),0)</f>
        <v/>
      </c>
      <c r="K475">
        <f>IFERROR(INDEX(PP_Grid[#Data],$DE475,8),0)</f>
        <v/>
      </c>
      <c r="L475">
        <f>IFERROR(INDEX(PP_Grid[#Data],$DE475,9),0)</f>
        <v/>
      </c>
      <c r="M475">
        <f>IFERROR(INDEX(PP_Grid[#Data],$DE475,10),0)</f>
        <v/>
      </c>
      <c r="N475">
        <f>IFERROR(INDEX(PP_Grid[#Data],$DE475,11),0)</f>
        <v/>
      </c>
      <c r="O475">
        <f>IFERROR(INDEX(PP_Grid[#Data],$DE475,12),0)</f>
        <v/>
      </c>
      <c r="P475">
        <f>IFERROR(INDEX(PP_Grid[#Data],$DE475,13),0)</f>
        <v/>
      </c>
      <c r="Q475">
        <f>IFERROR(INDEX(PP_Grid[#Data],$DE475,14),0)</f>
        <v/>
      </c>
      <c r="R475">
        <f>IFERROR(INDEX(PP_Grid[#Data],$DE475,15),0)</f>
        <v/>
      </c>
      <c r="S475">
        <f>IFERROR(INDEX(PP_Grid[#Data],$DE475,16),0)</f>
        <v/>
      </c>
      <c r="T475">
        <f>IFERROR(INDEX(PP_Grid[#Data],$DE475,17),0)</f>
        <v/>
      </c>
      <c r="U475">
        <f>IFERROR(INDEX(PP_Grid[#Data],$DE475,18),0)</f>
        <v/>
      </c>
      <c r="V475">
        <f>IFERROR(INDEX(PP_Grid[#Data],$DE475,19),0)</f>
        <v/>
      </c>
      <c r="W475">
        <f>IFERROR(INDEX(PP_Grid[#Data],$DE475,20),0)</f>
        <v/>
      </c>
      <c r="X475">
        <f>IFERROR(INDEX(PP_Grid[#Data],$DE475,21),0)</f>
        <v/>
      </c>
      <c r="Y475">
        <f>IFERROR(INDEX(PP_Grid[#Data],$DE475,22),0)</f>
        <v/>
      </c>
      <c r="Z475">
        <f>IFERROR(INDEX(PP_Grid[#Data],$DE475,23),0)</f>
        <v/>
      </c>
      <c r="AA475">
        <f>IFERROR(INDEX(PP_Grid[#Data],$DE475,24),0)</f>
        <v/>
      </c>
      <c r="AB475">
        <f>IFERROR(INDEX(PP_Grid[#Data],$DE475,25),0)</f>
        <v/>
      </c>
      <c r="AC475">
        <f>IFERROR(INDEX(PP_Grid[#Data],$DE475,26),0)</f>
        <v/>
      </c>
      <c r="AD475">
        <f>IFERROR(INDEX(PP_Grid[#Data],$DE475,27),0)</f>
        <v/>
      </c>
      <c r="AE475">
        <f>IFERROR(INDEX(PP_Grid[#Data],$DE475,28),0)</f>
        <v/>
      </c>
      <c r="AF475">
        <f>IFERROR(INDEX(PP_Grid[#Data],$DE475,29),0)</f>
        <v/>
      </c>
      <c r="AG475">
        <f>IFERROR(INDEX(PP_Grid[#Data],$DE475,30),0)</f>
        <v/>
      </c>
      <c r="AH475">
        <f>IFERROR(INDEX(PP_Grid[#Data],$DE475,31),0)</f>
        <v/>
      </c>
      <c r="AI475">
        <f>IFERROR(INDEX(PP_Grid[#Data],$DE475,32),0)</f>
        <v/>
      </c>
      <c r="AJ475">
        <f>IFERROR(INDEX(PP_Grid[#Data],$DE475,33),0)</f>
        <v/>
      </c>
      <c r="AK475">
        <f>IFERROR(INDEX(PP_Grid[#Data],$DE475,34),0)</f>
        <v/>
      </c>
      <c r="AL475">
        <f>IFERROR(INDEX(PP_Grid[#Data],$DE475,35),0)</f>
        <v/>
      </c>
      <c r="AM475">
        <f>IFERROR(INDEX(PP_Grid[#Data],$DE475,36),0)</f>
        <v/>
      </c>
      <c r="AN475">
        <f>IFERROR(INDEX(PP_Grid[#Data],$DE475,37),0)</f>
        <v/>
      </c>
      <c r="AO475">
        <f>IFERROR(INDEX(PP_Grid[#Data],$DE475,38),0)</f>
        <v/>
      </c>
      <c r="AP475">
        <f>IFERROR(INDEX(PP_Grid[#Data],$DE475,39),0)</f>
        <v/>
      </c>
      <c r="AQ475">
        <f>IFERROR(INDEX(PP_Grid[#Data],$DE475,40),0)</f>
        <v/>
      </c>
      <c r="AR475">
        <f>IFERROR(INDEX(PP_Grid[#Data],$DE475,41),0)</f>
        <v/>
      </c>
      <c r="AS475">
        <f>IFERROR(INDEX(PP_Grid[#Data],$DE475,42),0)</f>
        <v/>
      </c>
      <c r="AT475">
        <f>IFERROR(INDEX(PP_Grid[#Data],$DE475,43),0)</f>
        <v/>
      </c>
      <c r="AU475">
        <f>IFERROR(INDEX(PP_Grid[#Data],$DE475,44),0)</f>
        <v/>
      </c>
      <c r="AV475">
        <f>IFERROR(INDEX(PP_Grid[#Data],$DE475,45),0)</f>
        <v/>
      </c>
      <c r="AW475">
        <f>IFERROR(INDEX(PP_Grid[#Data],$DE475,46),0)</f>
        <v/>
      </c>
      <c r="AX475">
        <f>IFERROR(INDEX(PP_Grid[#Data],$DE475,47),0)</f>
        <v/>
      </c>
      <c r="AY475">
        <f>IFERROR(INDEX(PP_Grid[#Data],$DE475,48),0)</f>
        <v/>
      </c>
      <c r="AZ475">
        <f>IFERROR(INDEX(PP_Grid[#Data],$DE475,49),0)</f>
        <v/>
      </c>
      <c r="BA475">
        <f>IFERROR(INDEX(PP_Grid[#Data],$DE475,50),0)</f>
        <v/>
      </c>
      <c r="BB475">
        <f>IFERROR(INDEX(PP_Grid[#Data],$DE475,51),0)</f>
        <v/>
      </c>
      <c r="BC475">
        <f>IFERROR(INDEX(PP_Grid[#Data],$DE475,52),0)</f>
        <v/>
      </c>
      <c r="BD475">
        <f>IFERROR(INDEX(PP_Grid[#Data],$DE475,53),0)</f>
        <v/>
      </c>
      <c r="BE475">
        <f>IFERROR(INDEX(PP_Grid[#Data],$DE475,54),0)</f>
        <v/>
      </c>
      <c r="BF475">
        <f>IFERROR(INDEX(PP_Grid[#Data],$DE475,55),0)</f>
        <v/>
      </c>
      <c r="BG475">
        <f>IFERROR(INDEX(PP_Grid[#Data],$DE475,56),0)</f>
        <v/>
      </c>
      <c r="BH475">
        <f>IFERROR(INDEX(PP_Grid[#Data],$DE475,57),0)</f>
        <v/>
      </c>
      <c r="BI475">
        <f>IFERROR(INDEX(PP_Grid[#Data],$DE475,58),0)</f>
        <v/>
      </c>
      <c r="BJ475">
        <f>IFERROR(INDEX(PP_Grid[#Data],$DE475,59),0)</f>
        <v/>
      </c>
      <c r="BK475">
        <f>IFERROR(INDEX(PP_Grid[#Data],$DE475,60),0)</f>
        <v/>
      </c>
      <c r="BL475">
        <f>IFERROR(INDEX(PP_Grid[#Data],$DE475,61),0)</f>
        <v/>
      </c>
      <c r="BM475">
        <f>IFERROR(INDEX(PP_Grid[#Data],$DE475,62),0)</f>
        <v/>
      </c>
      <c r="BN475">
        <f>IFERROR(INDEX(PP_Grid[#Data],$DE475,63),0)</f>
        <v/>
      </c>
      <c r="BO475">
        <f>IFERROR(INDEX(PP_Grid[#Data],$DE475,64),0)</f>
        <v/>
      </c>
      <c r="BP475">
        <f>IFERROR(INDEX(PP_Grid[#Data],$DE475,65),0)</f>
        <v/>
      </c>
      <c r="BQ475">
        <f>IFERROR(INDEX(PP_Grid[#Data],$DE475,66),0)</f>
        <v/>
      </c>
      <c r="BR475">
        <f>IFERROR(INDEX(PP_Grid[#Data],$DE475,67),0)</f>
        <v/>
      </c>
      <c r="BS475">
        <f>IFERROR(INDEX(PP_Grid[#Data],$DE475,68),0)</f>
        <v/>
      </c>
      <c r="BT475">
        <f>IFERROR(INDEX(PP_Grid[#Data],$DE475,69),0)</f>
        <v/>
      </c>
      <c r="BU475">
        <f>IFERROR(INDEX(PP_Grid[#Data],$DE475,70),0)</f>
        <v/>
      </c>
      <c r="BV475">
        <f>IFERROR(INDEX(PP_Grid[#Data],$DE475,71),0)</f>
        <v/>
      </c>
      <c r="BW475">
        <f>IFERROR(INDEX(PP_Grid[#Data],$DE475,72),0)</f>
        <v/>
      </c>
      <c r="BX475">
        <f>IFERROR(INDEX(PP_Grid[#Data],$DE475,73),0)</f>
        <v/>
      </c>
      <c r="BY475">
        <f>IFERROR(INDEX(PP_Grid[#Data],$DE475,74),0)</f>
        <v/>
      </c>
      <c r="BZ475">
        <f>IFERROR(INDEX(PP_Grid[#Data],$DE475,75),0)</f>
        <v/>
      </c>
      <c r="CA475">
        <f>IFERROR(INDEX(PP_Grid[#Data],$DE475,76),0)</f>
        <v/>
      </c>
      <c r="CB475">
        <f>IFERROR(INDEX(PP_Grid[#Data],$DE475,77),0)</f>
        <v/>
      </c>
      <c r="CC475">
        <f>IFERROR(INDEX(PP_Grid[#Data],$DE475,78),0)</f>
        <v/>
      </c>
      <c r="CD475">
        <f>IFERROR(INDEX(PP_Grid[#Data],$DE475,79),0)</f>
        <v/>
      </c>
      <c r="CE475">
        <f>IFERROR(INDEX(PP_Grid[#Data],$DE475,80),0)</f>
        <v/>
      </c>
      <c r="CF475">
        <f>IFERROR(INDEX(PP_Grid[#Data],$DE475,81),0)</f>
        <v/>
      </c>
      <c r="CG475">
        <f>IFERROR(INDEX(PP_Grid[#Data],$DE475,82),0)</f>
        <v/>
      </c>
      <c r="CH475">
        <f>IFERROR(INDEX(PP_Grid[#Data],$DE475,83),0)</f>
        <v/>
      </c>
      <c r="CI475">
        <f>IFERROR(INDEX(PP_Grid[#Data],$DE475,84),0)</f>
        <v/>
      </c>
      <c r="CJ475">
        <f>IFERROR(INDEX(PP_Grid[#Data],$DE475,85),0)</f>
        <v/>
      </c>
      <c r="CK475">
        <f>IFERROR(INDEX(PP_Grid[#Data],$DE475,86),0)</f>
        <v/>
      </c>
      <c r="CL475">
        <f>IFERROR(INDEX(PP_Grid[#Data],$DE475,87),0)</f>
        <v/>
      </c>
      <c r="CM475">
        <f>IFERROR(INDEX(PP_Grid[#Data],$DE475,88),0)</f>
        <v/>
      </c>
      <c r="CN475">
        <f>IFERROR(INDEX(PP_Grid[#Data],$DE475,89),0)</f>
        <v/>
      </c>
      <c r="CO475">
        <f>IFERROR(INDEX(PP_Grid[#Data],$DE475,90),0)</f>
        <v/>
      </c>
      <c r="CP475">
        <f>IFERROR(INDEX(PP_Grid[#Data],$DE475,91),0)</f>
        <v/>
      </c>
      <c r="CQ475">
        <f>IFERROR(INDEX(PP_Grid[#Data],$DE475,92),0)</f>
        <v/>
      </c>
      <c r="CR475">
        <f>IFERROR(INDEX(PP_Grid[#Data],$DE475,93),0)</f>
        <v/>
      </c>
      <c r="CS475">
        <f>IFERROR(INDEX(PP_Grid[#Data],$DE475,94),0)</f>
        <v/>
      </c>
      <c r="CT475">
        <f>IFERROR(INDEX(PP_Grid[#Data],$DE475,95),0)</f>
        <v/>
      </c>
      <c r="CU475">
        <f>IFERROR(INDEX(PP_Grid[#Data],$DE475,96),0)</f>
        <v/>
      </c>
      <c r="CV475">
        <f>IFERROR(INDEX(PP_Grid[#Data],$DE475,97),0)</f>
        <v/>
      </c>
      <c r="CW475">
        <f>IFERROR(INDEX(PP_Grid[#Data],$DE475,98),0)</f>
        <v/>
      </c>
      <c r="CX475">
        <f>IFERROR(INDEX(PP_Grid[#Data],$DE475,99),0)</f>
        <v/>
      </c>
      <c r="CY475">
        <f>IFERROR(INDEX(PP_Grid[#Data],$DE475,100),0)</f>
        <v/>
      </c>
      <c r="CZ475">
        <f>IFERROR(INDEX(PP_Grid[#Data],$DE475,101),0)</f>
        <v/>
      </c>
      <c r="DA475">
        <f>IFERROR(INDEX(PP_Grid[#Data],$DE475,102),0)</f>
        <v/>
      </c>
      <c r="DB475">
        <f>IFERROR(INDEX(PP_Grid[#Data],$DE475,103),0)</f>
        <v/>
      </c>
      <c r="DC475">
        <f>IFERROR(INDEX(PP_Grid[#Data],$DE475,104),0)</f>
        <v/>
      </c>
      <c r="DD475">
        <f>IFERROR(INDEX(PP_Grid[#Data],$DE475,105),0)</f>
        <v/>
      </c>
      <c r="DE475" s="7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SUMIFS(M_BOM[RM_Qty_Per_Batch],M_BOM[Intermediate],$B475,M_BOM[RM_Code],$A340)</f>
        <v/>
      </c>
      <c r="D476">
        <f>IFERROR(INDEX(E476:DD476,$F$1),"")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  <c r="DD476">
        <f>$C476*DD475</f>
        <v/>
      </c>
    </row>
    <row r="477">
      <c r="B477" t="inlineStr">
        <is>
          <t>VSP-738</t>
        </is>
      </c>
      <c r="C477" t="inlineStr">
        <is>
          <t>No. of batches</t>
        </is>
      </c>
      <c r="D477">
        <f>IFERROR(INDEX(E477:DD477,$F$1),"")</f>
        <v/>
      </c>
      <c r="E477">
        <f>IFERROR(INDEX(PP_Grid[#Data],$DE477,2),0)</f>
        <v/>
      </c>
      <c r="F477">
        <f>IFERROR(INDEX(PP_Grid[#Data],$DE477,3),0)</f>
        <v/>
      </c>
      <c r="G477">
        <f>IFERROR(INDEX(PP_Grid[#Data],$DE477,4),0)</f>
        <v/>
      </c>
      <c r="H477">
        <f>IFERROR(INDEX(PP_Grid[#Data],$DE477,5),0)</f>
        <v/>
      </c>
      <c r="I477">
        <f>IFERROR(INDEX(PP_Grid[#Data],$DE477,6),0)</f>
        <v/>
      </c>
      <c r="J477">
        <f>IFERROR(INDEX(PP_Grid[#Data],$DE477,7),0)</f>
        <v/>
      </c>
      <c r="K477">
        <f>IFERROR(INDEX(PP_Grid[#Data],$DE477,8),0)</f>
        <v/>
      </c>
      <c r="L477">
        <f>IFERROR(INDEX(PP_Grid[#Data],$DE477,9),0)</f>
        <v/>
      </c>
      <c r="M477">
        <f>IFERROR(INDEX(PP_Grid[#Data],$DE477,10),0)</f>
        <v/>
      </c>
      <c r="N477">
        <f>IFERROR(INDEX(PP_Grid[#Data],$DE477,11),0)</f>
        <v/>
      </c>
      <c r="O477">
        <f>IFERROR(INDEX(PP_Grid[#Data],$DE477,12),0)</f>
        <v/>
      </c>
      <c r="P477">
        <f>IFERROR(INDEX(PP_Grid[#Data],$DE477,13),0)</f>
        <v/>
      </c>
      <c r="Q477">
        <f>IFERROR(INDEX(PP_Grid[#Data],$DE477,14),0)</f>
        <v/>
      </c>
      <c r="R477">
        <f>IFERROR(INDEX(PP_Grid[#Data],$DE477,15),0)</f>
        <v/>
      </c>
      <c r="S477">
        <f>IFERROR(INDEX(PP_Grid[#Data],$DE477,16),0)</f>
        <v/>
      </c>
      <c r="T477">
        <f>IFERROR(INDEX(PP_Grid[#Data],$DE477,17),0)</f>
        <v/>
      </c>
      <c r="U477">
        <f>IFERROR(INDEX(PP_Grid[#Data],$DE477,18),0)</f>
        <v/>
      </c>
      <c r="V477">
        <f>IFERROR(INDEX(PP_Grid[#Data],$DE477,19),0)</f>
        <v/>
      </c>
      <c r="W477">
        <f>IFERROR(INDEX(PP_Grid[#Data],$DE477,20),0)</f>
        <v/>
      </c>
      <c r="X477">
        <f>IFERROR(INDEX(PP_Grid[#Data],$DE477,21),0)</f>
        <v/>
      </c>
      <c r="Y477">
        <f>IFERROR(INDEX(PP_Grid[#Data],$DE477,22),0)</f>
        <v/>
      </c>
      <c r="Z477">
        <f>IFERROR(INDEX(PP_Grid[#Data],$DE477,23),0)</f>
        <v/>
      </c>
      <c r="AA477">
        <f>IFERROR(INDEX(PP_Grid[#Data],$DE477,24),0)</f>
        <v/>
      </c>
      <c r="AB477">
        <f>IFERROR(INDEX(PP_Grid[#Data],$DE477,25),0)</f>
        <v/>
      </c>
      <c r="AC477">
        <f>IFERROR(INDEX(PP_Grid[#Data],$DE477,26),0)</f>
        <v/>
      </c>
      <c r="AD477">
        <f>IFERROR(INDEX(PP_Grid[#Data],$DE477,27),0)</f>
        <v/>
      </c>
      <c r="AE477">
        <f>IFERROR(INDEX(PP_Grid[#Data],$DE477,28),0)</f>
        <v/>
      </c>
      <c r="AF477">
        <f>IFERROR(INDEX(PP_Grid[#Data],$DE477,29),0)</f>
        <v/>
      </c>
      <c r="AG477">
        <f>IFERROR(INDEX(PP_Grid[#Data],$DE477,30),0)</f>
        <v/>
      </c>
      <c r="AH477">
        <f>IFERROR(INDEX(PP_Grid[#Data],$DE477,31),0)</f>
        <v/>
      </c>
      <c r="AI477">
        <f>IFERROR(INDEX(PP_Grid[#Data],$DE477,32),0)</f>
        <v/>
      </c>
      <c r="AJ477">
        <f>IFERROR(INDEX(PP_Grid[#Data],$DE477,33),0)</f>
        <v/>
      </c>
      <c r="AK477">
        <f>IFERROR(INDEX(PP_Grid[#Data],$DE477,34),0)</f>
        <v/>
      </c>
      <c r="AL477">
        <f>IFERROR(INDEX(PP_Grid[#Data],$DE477,35),0)</f>
        <v/>
      </c>
      <c r="AM477">
        <f>IFERROR(INDEX(PP_Grid[#Data],$DE477,36),0)</f>
        <v/>
      </c>
      <c r="AN477">
        <f>IFERROR(INDEX(PP_Grid[#Data],$DE477,37),0)</f>
        <v/>
      </c>
      <c r="AO477">
        <f>IFERROR(INDEX(PP_Grid[#Data],$DE477,38),0)</f>
        <v/>
      </c>
      <c r="AP477">
        <f>IFERROR(INDEX(PP_Grid[#Data],$DE477,39),0)</f>
        <v/>
      </c>
      <c r="AQ477">
        <f>IFERROR(INDEX(PP_Grid[#Data],$DE477,40),0)</f>
        <v/>
      </c>
      <c r="AR477">
        <f>IFERROR(INDEX(PP_Grid[#Data],$DE477,41),0)</f>
        <v/>
      </c>
      <c r="AS477">
        <f>IFERROR(INDEX(PP_Grid[#Data],$DE477,42),0)</f>
        <v/>
      </c>
      <c r="AT477">
        <f>IFERROR(INDEX(PP_Grid[#Data],$DE477,43),0)</f>
        <v/>
      </c>
      <c r="AU477">
        <f>IFERROR(INDEX(PP_Grid[#Data],$DE477,44),0)</f>
        <v/>
      </c>
      <c r="AV477">
        <f>IFERROR(INDEX(PP_Grid[#Data],$DE477,45),0)</f>
        <v/>
      </c>
      <c r="AW477">
        <f>IFERROR(INDEX(PP_Grid[#Data],$DE477,46),0)</f>
        <v/>
      </c>
      <c r="AX477">
        <f>IFERROR(INDEX(PP_Grid[#Data],$DE477,47),0)</f>
        <v/>
      </c>
      <c r="AY477">
        <f>IFERROR(INDEX(PP_Grid[#Data],$DE477,48),0)</f>
        <v/>
      </c>
      <c r="AZ477">
        <f>IFERROR(INDEX(PP_Grid[#Data],$DE477,49),0)</f>
        <v/>
      </c>
      <c r="BA477">
        <f>IFERROR(INDEX(PP_Grid[#Data],$DE477,50),0)</f>
        <v/>
      </c>
      <c r="BB477">
        <f>IFERROR(INDEX(PP_Grid[#Data],$DE477,51),0)</f>
        <v/>
      </c>
      <c r="BC477">
        <f>IFERROR(INDEX(PP_Grid[#Data],$DE477,52),0)</f>
        <v/>
      </c>
      <c r="BD477">
        <f>IFERROR(INDEX(PP_Grid[#Data],$DE477,53),0)</f>
        <v/>
      </c>
      <c r="BE477">
        <f>IFERROR(INDEX(PP_Grid[#Data],$DE477,54),0)</f>
        <v/>
      </c>
      <c r="BF477">
        <f>IFERROR(INDEX(PP_Grid[#Data],$DE477,55),0)</f>
        <v/>
      </c>
      <c r="BG477">
        <f>IFERROR(INDEX(PP_Grid[#Data],$DE477,56),0)</f>
        <v/>
      </c>
      <c r="BH477">
        <f>IFERROR(INDEX(PP_Grid[#Data],$DE477,57),0)</f>
        <v/>
      </c>
      <c r="BI477">
        <f>IFERROR(INDEX(PP_Grid[#Data],$DE477,58),0)</f>
        <v/>
      </c>
      <c r="BJ477">
        <f>IFERROR(INDEX(PP_Grid[#Data],$DE477,59),0)</f>
        <v/>
      </c>
      <c r="BK477">
        <f>IFERROR(INDEX(PP_Grid[#Data],$DE477,60),0)</f>
        <v/>
      </c>
      <c r="BL477">
        <f>IFERROR(INDEX(PP_Grid[#Data],$DE477,61),0)</f>
        <v/>
      </c>
      <c r="BM477">
        <f>IFERROR(INDEX(PP_Grid[#Data],$DE477,62),0)</f>
        <v/>
      </c>
      <c r="BN477">
        <f>IFERROR(INDEX(PP_Grid[#Data],$DE477,63),0)</f>
        <v/>
      </c>
      <c r="BO477">
        <f>IFERROR(INDEX(PP_Grid[#Data],$DE477,64),0)</f>
        <v/>
      </c>
      <c r="BP477">
        <f>IFERROR(INDEX(PP_Grid[#Data],$DE477,65),0)</f>
        <v/>
      </c>
      <c r="BQ477">
        <f>IFERROR(INDEX(PP_Grid[#Data],$DE477,66),0)</f>
        <v/>
      </c>
      <c r="BR477">
        <f>IFERROR(INDEX(PP_Grid[#Data],$DE477,67),0)</f>
        <v/>
      </c>
      <c r="BS477">
        <f>IFERROR(INDEX(PP_Grid[#Data],$DE477,68),0)</f>
        <v/>
      </c>
      <c r="BT477">
        <f>IFERROR(INDEX(PP_Grid[#Data],$DE477,69),0)</f>
        <v/>
      </c>
      <c r="BU477">
        <f>IFERROR(INDEX(PP_Grid[#Data],$DE477,70),0)</f>
        <v/>
      </c>
      <c r="BV477">
        <f>IFERROR(INDEX(PP_Grid[#Data],$DE477,71),0)</f>
        <v/>
      </c>
      <c r="BW477">
        <f>IFERROR(INDEX(PP_Grid[#Data],$DE477,72),0)</f>
        <v/>
      </c>
      <c r="BX477">
        <f>IFERROR(INDEX(PP_Grid[#Data],$DE477,73),0)</f>
        <v/>
      </c>
      <c r="BY477">
        <f>IFERROR(INDEX(PP_Grid[#Data],$DE477,74),0)</f>
        <v/>
      </c>
      <c r="BZ477">
        <f>IFERROR(INDEX(PP_Grid[#Data],$DE477,75),0)</f>
        <v/>
      </c>
      <c r="CA477">
        <f>IFERROR(INDEX(PP_Grid[#Data],$DE477,76),0)</f>
        <v/>
      </c>
      <c r="CB477">
        <f>IFERROR(INDEX(PP_Grid[#Data],$DE477,77),0)</f>
        <v/>
      </c>
      <c r="CC477">
        <f>IFERROR(INDEX(PP_Grid[#Data],$DE477,78),0)</f>
        <v/>
      </c>
      <c r="CD477">
        <f>IFERROR(INDEX(PP_Grid[#Data],$DE477,79),0)</f>
        <v/>
      </c>
      <c r="CE477">
        <f>IFERROR(INDEX(PP_Grid[#Data],$DE477,80),0)</f>
        <v/>
      </c>
      <c r="CF477">
        <f>IFERROR(INDEX(PP_Grid[#Data],$DE477,81),0)</f>
        <v/>
      </c>
      <c r="CG477">
        <f>IFERROR(INDEX(PP_Grid[#Data],$DE477,82),0)</f>
        <v/>
      </c>
      <c r="CH477">
        <f>IFERROR(INDEX(PP_Grid[#Data],$DE477,83),0)</f>
        <v/>
      </c>
      <c r="CI477">
        <f>IFERROR(INDEX(PP_Grid[#Data],$DE477,84),0)</f>
        <v/>
      </c>
      <c r="CJ477">
        <f>IFERROR(INDEX(PP_Grid[#Data],$DE477,85),0)</f>
        <v/>
      </c>
      <c r="CK477">
        <f>IFERROR(INDEX(PP_Grid[#Data],$DE477,86),0)</f>
        <v/>
      </c>
      <c r="CL477">
        <f>IFERROR(INDEX(PP_Grid[#Data],$DE477,87),0)</f>
        <v/>
      </c>
      <c r="CM477">
        <f>IFERROR(INDEX(PP_Grid[#Data],$DE477,88),0)</f>
        <v/>
      </c>
      <c r="CN477">
        <f>IFERROR(INDEX(PP_Grid[#Data],$DE477,89),0)</f>
        <v/>
      </c>
      <c r="CO477">
        <f>IFERROR(INDEX(PP_Grid[#Data],$DE477,90),0)</f>
        <v/>
      </c>
      <c r="CP477">
        <f>IFERROR(INDEX(PP_Grid[#Data],$DE477,91),0)</f>
        <v/>
      </c>
      <c r="CQ477">
        <f>IFERROR(INDEX(PP_Grid[#Data],$DE477,92),0)</f>
        <v/>
      </c>
      <c r="CR477">
        <f>IFERROR(INDEX(PP_Grid[#Data],$DE477,93),0)</f>
        <v/>
      </c>
      <c r="CS477">
        <f>IFERROR(INDEX(PP_Grid[#Data],$DE477,94),0)</f>
        <v/>
      </c>
      <c r="CT477">
        <f>IFERROR(INDEX(PP_Grid[#Data],$DE477,95),0)</f>
        <v/>
      </c>
      <c r="CU477">
        <f>IFERROR(INDEX(PP_Grid[#Data],$DE477,96),0)</f>
        <v/>
      </c>
      <c r="CV477">
        <f>IFERROR(INDEX(PP_Grid[#Data],$DE477,97),0)</f>
        <v/>
      </c>
      <c r="CW477">
        <f>IFERROR(INDEX(PP_Grid[#Data],$DE477,98),0)</f>
        <v/>
      </c>
      <c r="CX477">
        <f>IFERROR(INDEX(PP_Grid[#Data],$DE477,99),0)</f>
        <v/>
      </c>
      <c r="CY477">
        <f>IFERROR(INDEX(PP_Grid[#Data],$DE477,100),0)</f>
        <v/>
      </c>
      <c r="CZ477">
        <f>IFERROR(INDEX(PP_Grid[#Data],$DE477,101),0)</f>
        <v/>
      </c>
      <c r="DA477">
        <f>IFERROR(INDEX(PP_Grid[#Data],$DE477,102),0)</f>
        <v/>
      </c>
      <c r="DB477">
        <f>IFERROR(INDEX(PP_Grid[#Data],$DE477,103),0)</f>
        <v/>
      </c>
      <c r="DC477">
        <f>IFERROR(INDEX(PP_Grid[#Data],$DE477,104),0)</f>
        <v/>
      </c>
      <c r="DD477">
        <f>IFERROR(INDEX(PP_Grid[#Data],$DE477,105),0)</f>
        <v/>
      </c>
      <c r="DE477" s="7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SUMIFS(M_BOM[RM_Qty_Per_Batch],M_BOM[Intermediate],$B477,M_BOM[RM_Code],$A340)</f>
        <v/>
      </c>
      <c r="D478">
        <f>IFERROR(INDEX(E478:DD478,$F$1),"")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  <c r="DD478">
        <f>$C478*DD477</f>
        <v/>
      </c>
    </row>
    <row r="479">
      <c r="B479" t="inlineStr">
        <is>
          <t>VSP-739</t>
        </is>
      </c>
      <c r="C479" t="inlineStr">
        <is>
          <t>No. of batches</t>
        </is>
      </c>
      <c r="D479">
        <f>IFERROR(INDEX(E479:DD479,$F$1),"")</f>
        <v/>
      </c>
      <c r="E479">
        <f>IFERROR(INDEX(PP_Grid[#Data],$DE479,2),0)</f>
        <v/>
      </c>
      <c r="F479">
        <f>IFERROR(INDEX(PP_Grid[#Data],$DE479,3),0)</f>
        <v/>
      </c>
      <c r="G479">
        <f>IFERROR(INDEX(PP_Grid[#Data],$DE479,4),0)</f>
        <v/>
      </c>
      <c r="H479">
        <f>IFERROR(INDEX(PP_Grid[#Data],$DE479,5),0)</f>
        <v/>
      </c>
      <c r="I479">
        <f>IFERROR(INDEX(PP_Grid[#Data],$DE479,6),0)</f>
        <v/>
      </c>
      <c r="J479">
        <f>IFERROR(INDEX(PP_Grid[#Data],$DE479,7),0)</f>
        <v/>
      </c>
      <c r="K479">
        <f>IFERROR(INDEX(PP_Grid[#Data],$DE479,8),0)</f>
        <v/>
      </c>
      <c r="L479">
        <f>IFERROR(INDEX(PP_Grid[#Data],$DE479,9),0)</f>
        <v/>
      </c>
      <c r="M479">
        <f>IFERROR(INDEX(PP_Grid[#Data],$DE479,10),0)</f>
        <v/>
      </c>
      <c r="N479">
        <f>IFERROR(INDEX(PP_Grid[#Data],$DE479,11),0)</f>
        <v/>
      </c>
      <c r="O479">
        <f>IFERROR(INDEX(PP_Grid[#Data],$DE479,12),0)</f>
        <v/>
      </c>
      <c r="P479">
        <f>IFERROR(INDEX(PP_Grid[#Data],$DE479,13),0)</f>
        <v/>
      </c>
      <c r="Q479">
        <f>IFERROR(INDEX(PP_Grid[#Data],$DE479,14),0)</f>
        <v/>
      </c>
      <c r="R479">
        <f>IFERROR(INDEX(PP_Grid[#Data],$DE479,15),0)</f>
        <v/>
      </c>
      <c r="S479">
        <f>IFERROR(INDEX(PP_Grid[#Data],$DE479,16),0)</f>
        <v/>
      </c>
      <c r="T479">
        <f>IFERROR(INDEX(PP_Grid[#Data],$DE479,17),0)</f>
        <v/>
      </c>
      <c r="U479">
        <f>IFERROR(INDEX(PP_Grid[#Data],$DE479,18),0)</f>
        <v/>
      </c>
      <c r="V479">
        <f>IFERROR(INDEX(PP_Grid[#Data],$DE479,19),0)</f>
        <v/>
      </c>
      <c r="W479">
        <f>IFERROR(INDEX(PP_Grid[#Data],$DE479,20),0)</f>
        <v/>
      </c>
      <c r="X479">
        <f>IFERROR(INDEX(PP_Grid[#Data],$DE479,21),0)</f>
        <v/>
      </c>
      <c r="Y479">
        <f>IFERROR(INDEX(PP_Grid[#Data],$DE479,22),0)</f>
        <v/>
      </c>
      <c r="Z479">
        <f>IFERROR(INDEX(PP_Grid[#Data],$DE479,23),0)</f>
        <v/>
      </c>
      <c r="AA479">
        <f>IFERROR(INDEX(PP_Grid[#Data],$DE479,24),0)</f>
        <v/>
      </c>
      <c r="AB479">
        <f>IFERROR(INDEX(PP_Grid[#Data],$DE479,25),0)</f>
        <v/>
      </c>
      <c r="AC479">
        <f>IFERROR(INDEX(PP_Grid[#Data],$DE479,26),0)</f>
        <v/>
      </c>
      <c r="AD479">
        <f>IFERROR(INDEX(PP_Grid[#Data],$DE479,27),0)</f>
        <v/>
      </c>
      <c r="AE479">
        <f>IFERROR(INDEX(PP_Grid[#Data],$DE479,28),0)</f>
        <v/>
      </c>
      <c r="AF479">
        <f>IFERROR(INDEX(PP_Grid[#Data],$DE479,29),0)</f>
        <v/>
      </c>
      <c r="AG479">
        <f>IFERROR(INDEX(PP_Grid[#Data],$DE479,30),0)</f>
        <v/>
      </c>
      <c r="AH479">
        <f>IFERROR(INDEX(PP_Grid[#Data],$DE479,31),0)</f>
        <v/>
      </c>
      <c r="AI479">
        <f>IFERROR(INDEX(PP_Grid[#Data],$DE479,32),0)</f>
        <v/>
      </c>
      <c r="AJ479">
        <f>IFERROR(INDEX(PP_Grid[#Data],$DE479,33),0)</f>
        <v/>
      </c>
      <c r="AK479">
        <f>IFERROR(INDEX(PP_Grid[#Data],$DE479,34),0)</f>
        <v/>
      </c>
      <c r="AL479">
        <f>IFERROR(INDEX(PP_Grid[#Data],$DE479,35),0)</f>
        <v/>
      </c>
      <c r="AM479">
        <f>IFERROR(INDEX(PP_Grid[#Data],$DE479,36),0)</f>
        <v/>
      </c>
      <c r="AN479">
        <f>IFERROR(INDEX(PP_Grid[#Data],$DE479,37),0)</f>
        <v/>
      </c>
      <c r="AO479">
        <f>IFERROR(INDEX(PP_Grid[#Data],$DE479,38),0)</f>
        <v/>
      </c>
      <c r="AP479">
        <f>IFERROR(INDEX(PP_Grid[#Data],$DE479,39),0)</f>
        <v/>
      </c>
      <c r="AQ479">
        <f>IFERROR(INDEX(PP_Grid[#Data],$DE479,40),0)</f>
        <v/>
      </c>
      <c r="AR479">
        <f>IFERROR(INDEX(PP_Grid[#Data],$DE479,41),0)</f>
        <v/>
      </c>
      <c r="AS479">
        <f>IFERROR(INDEX(PP_Grid[#Data],$DE479,42),0)</f>
        <v/>
      </c>
      <c r="AT479">
        <f>IFERROR(INDEX(PP_Grid[#Data],$DE479,43),0)</f>
        <v/>
      </c>
      <c r="AU479">
        <f>IFERROR(INDEX(PP_Grid[#Data],$DE479,44),0)</f>
        <v/>
      </c>
      <c r="AV479">
        <f>IFERROR(INDEX(PP_Grid[#Data],$DE479,45),0)</f>
        <v/>
      </c>
      <c r="AW479">
        <f>IFERROR(INDEX(PP_Grid[#Data],$DE479,46),0)</f>
        <v/>
      </c>
      <c r="AX479">
        <f>IFERROR(INDEX(PP_Grid[#Data],$DE479,47),0)</f>
        <v/>
      </c>
      <c r="AY479">
        <f>IFERROR(INDEX(PP_Grid[#Data],$DE479,48),0)</f>
        <v/>
      </c>
      <c r="AZ479">
        <f>IFERROR(INDEX(PP_Grid[#Data],$DE479,49),0)</f>
        <v/>
      </c>
      <c r="BA479">
        <f>IFERROR(INDEX(PP_Grid[#Data],$DE479,50),0)</f>
        <v/>
      </c>
      <c r="BB479">
        <f>IFERROR(INDEX(PP_Grid[#Data],$DE479,51),0)</f>
        <v/>
      </c>
      <c r="BC479">
        <f>IFERROR(INDEX(PP_Grid[#Data],$DE479,52),0)</f>
        <v/>
      </c>
      <c r="BD479">
        <f>IFERROR(INDEX(PP_Grid[#Data],$DE479,53),0)</f>
        <v/>
      </c>
      <c r="BE479">
        <f>IFERROR(INDEX(PP_Grid[#Data],$DE479,54),0)</f>
        <v/>
      </c>
      <c r="BF479">
        <f>IFERROR(INDEX(PP_Grid[#Data],$DE479,55),0)</f>
        <v/>
      </c>
      <c r="BG479">
        <f>IFERROR(INDEX(PP_Grid[#Data],$DE479,56),0)</f>
        <v/>
      </c>
      <c r="BH479">
        <f>IFERROR(INDEX(PP_Grid[#Data],$DE479,57),0)</f>
        <v/>
      </c>
      <c r="BI479">
        <f>IFERROR(INDEX(PP_Grid[#Data],$DE479,58),0)</f>
        <v/>
      </c>
      <c r="BJ479">
        <f>IFERROR(INDEX(PP_Grid[#Data],$DE479,59),0)</f>
        <v/>
      </c>
      <c r="BK479">
        <f>IFERROR(INDEX(PP_Grid[#Data],$DE479,60),0)</f>
        <v/>
      </c>
      <c r="BL479">
        <f>IFERROR(INDEX(PP_Grid[#Data],$DE479,61),0)</f>
        <v/>
      </c>
      <c r="BM479">
        <f>IFERROR(INDEX(PP_Grid[#Data],$DE479,62),0)</f>
        <v/>
      </c>
      <c r="BN479">
        <f>IFERROR(INDEX(PP_Grid[#Data],$DE479,63),0)</f>
        <v/>
      </c>
      <c r="BO479">
        <f>IFERROR(INDEX(PP_Grid[#Data],$DE479,64),0)</f>
        <v/>
      </c>
      <c r="BP479">
        <f>IFERROR(INDEX(PP_Grid[#Data],$DE479,65),0)</f>
        <v/>
      </c>
      <c r="BQ479">
        <f>IFERROR(INDEX(PP_Grid[#Data],$DE479,66),0)</f>
        <v/>
      </c>
      <c r="BR479">
        <f>IFERROR(INDEX(PP_Grid[#Data],$DE479,67),0)</f>
        <v/>
      </c>
      <c r="BS479">
        <f>IFERROR(INDEX(PP_Grid[#Data],$DE479,68),0)</f>
        <v/>
      </c>
      <c r="BT479">
        <f>IFERROR(INDEX(PP_Grid[#Data],$DE479,69),0)</f>
        <v/>
      </c>
      <c r="BU479">
        <f>IFERROR(INDEX(PP_Grid[#Data],$DE479,70),0)</f>
        <v/>
      </c>
      <c r="BV479">
        <f>IFERROR(INDEX(PP_Grid[#Data],$DE479,71),0)</f>
        <v/>
      </c>
      <c r="BW479">
        <f>IFERROR(INDEX(PP_Grid[#Data],$DE479,72),0)</f>
        <v/>
      </c>
      <c r="BX479">
        <f>IFERROR(INDEX(PP_Grid[#Data],$DE479,73),0)</f>
        <v/>
      </c>
      <c r="BY479">
        <f>IFERROR(INDEX(PP_Grid[#Data],$DE479,74),0)</f>
        <v/>
      </c>
      <c r="BZ479">
        <f>IFERROR(INDEX(PP_Grid[#Data],$DE479,75),0)</f>
        <v/>
      </c>
      <c r="CA479">
        <f>IFERROR(INDEX(PP_Grid[#Data],$DE479,76),0)</f>
        <v/>
      </c>
      <c r="CB479">
        <f>IFERROR(INDEX(PP_Grid[#Data],$DE479,77),0)</f>
        <v/>
      </c>
      <c r="CC479">
        <f>IFERROR(INDEX(PP_Grid[#Data],$DE479,78),0)</f>
        <v/>
      </c>
      <c r="CD479">
        <f>IFERROR(INDEX(PP_Grid[#Data],$DE479,79),0)</f>
        <v/>
      </c>
      <c r="CE479">
        <f>IFERROR(INDEX(PP_Grid[#Data],$DE479,80),0)</f>
        <v/>
      </c>
      <c r="CF479">
        <f>IFERROR(INDEX(PP_Grid[#Data],$DE479,81),0)</f>
        <v/>
      </c>
      <c r="CG479">
        <f>IFERROR(INDEX(PP_Grid[#Data],$DE479,82),0)</f>
        <v/>
      </c>
      <c r="CH479">
        <f>IFERROR(INDEX(PP_Grid[#Data],$DE479,83),0)</f>
        <v/>
      </c>
      <c r="CI479">
        <f>IFERROR(INDEX(PP_Grid[#Data],$DE479,84),0)</f>
        <v/>
      </c>
      <c r="CJ479">
        <f>IFERROR(INDEX(PP_Grid[#Data],$DE479,85),0)</f>
        <v/>
      </c>
      <c r="CK479">
        <f>IFERROR(INDEX(PP_Grid[#Data],$DE479,86),0)</f>
        <v/>
      </c>
      <c r="CL479">
        <f>IFERROR(INDEX(PP_Grid[#Data],$DE479,87),0)</f>
        <v/>
      </c>
      <c r="CM479">
        <f>IFERROR(INDEX(PP_Grid[#Data],$DE479,88),0)</f>
        <v/>
      </c>
      <c r="CN479">
        <f>IFERROR(INDEX(PP_Grid[#Data],$DE479,89),0)</f>
        <v/>
      </c>
      <c r="CO479">
        <f>IFERROR(INDEX(PP_Grid[#Data],$DE479,90),0)</f>
        <v/>
      </c>
      <c r="CP479">
        <f>IFERROR(INDEX(PP_Grid[#Data],$DE479,91),0)</f>
        <v/>
      </c>
      <c r="CQ479">
        <f>IFERROR(INDEX(PP_Grid[#Data],$DE479,92),0)</f>
        <v/>
      </c>
      <c r="CR479">
        <f>IFERROR(INDEX(PP_Grid[#Data],$DE479,93),0)</f>
        <v/>
      </c>
      <c r="CS479">
        <f>IFERROR(INDEX(PP_Grid[#Data],$DE479,94),0)</f>
        <v/>
      </c>
      <c r="CT479">
        <f>IFERROR(INDEX(PP_Grid[#Data],$DE479,95),0)</f>
        <v/>
      </c>
      <c r="CU479">
        <f>IFERROR(INDEX(PP_Grid[#Data],$DE479,96),0)</f>
        <v/>
      </c>
      <c r="CV479">
        <f>IFERROR(INDEX(PP_Grid[#Data],$DE479,97),0)</f>
        <v/>
      </c>
      <c r="CW479">
        <f>IFERROR(INDEX(PP_Grid[#Data],$DE479,98),0)</f>
        <v/>
      </c>
      <c r="CX479">
        <f>IFERROR(INDEX(PP_Grid[#Data],$DE479,99),0)</f>
        <v/>
      </c>
      <c r="CY479">
        <f>IFERROR(INDEX(PP_Grid[#Data],$DE479,100),0)</f>
        <v/>
      </c>
      <c r="CZ479">
        <f>IFERROR(INDEX(PP_Grid[#Data],$DE479,101),0)</f>
        <v/>
      </c>
      <c r="DA479">
        <f>IFERROR(INDEX(PP_Grid[#Data],$DE479,102),0)</f>
        <v/>
      </c>
      <c r="DB479">
        <f>IFERROR(INDEX(PP_Grid[#Data],$DE479,103),0)</f>
        <v/>
      </c>
      <c r="DC479">
        <f>IFERROR(INDEX(PP_Grid[#Data],$DE479,104),0)</f>
        <v/>
      </c>
      <c r="DD479">
        <f>IFERROR(INDEX(PP_Grid[#Data],$DE479,105),0)</f>
        <v/>
      </c>
      <c r="DE479" s="7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SUMIFS(M_BOM[RM_Qty_Per_Batch],M_BOM[Intermediate],$B479,M_BOM[RM_Code],$A340)</f>
        <v/>
      </c>
      <c r="D480">
        <f>IFERROR(INDEX(E480:DD480,$F$1),"")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  <c r="DD480">
        <f>$C480*DD479</f>
        <v/>
      </c>
    </row>
    <row r="481">
      <c r="B481" t="inlineStr">
        <is>
          <t>VSP-740</t>
        </is>
      </c>
      <c r="C481" t="inlineStr">
        <is>
          <t>No. of batches</t>
        </is>
      </c>
      <c r="D481">
        <f>IFERROR(INDEX(E481:DD481,$F$1),"")</f>
        <v/>
      </c>
      <c r="E481">
        <f>IFERROR(INDEX(PP_Grid[#Data],$DE481,2),0)</f>
        <v/>
      </c>
      <c r="F481">
        <f>IFERROR(INDEX(PP_Grid[#Data],$DE481,3),0)</f>
        <v/>
      </c>
      <c r="G481">
        <f>IFERROR(INDEX(PP_Grid[#Data],$DE481,4),0)</f>
        <v/>
      </c>
      <c r="H481">
        <f>IFERROR(INDEX(PP_Grid[#Data],$DE481,5),0)</f>
        <v/>
      </c>
      <c r="I481">
        <f>IFERROR(INDEX(PP_Grid[#Data],$DE481,6),0)</f>
        <v/>
      </c>
      <c r="J481">
        <f>IFERROR(INDEX(PP_Grid[#Data],$DE481,7),0)</f>
        <v/>
      </c>
      <c r="K481">
        <f>IFERROR(INDEX(PP_Grid[#Data],$DE481,8),0)</f>
        <v/>
      </c>
      <c r="L481">
        <f>IFERROR(INDEX(PP_Grid[#Data],$DE481,9),0)</f>
        <v/>
      </c>
      <c r="M481">
        <f>IFERROR(INDEX(PP_Grid[#Data],$DE481,10),0)</f>
        <v/>
      </c>
      <c r="N481">
        <f>IFERROR(INDEX(PP_Grid[#Data],$DE481,11),0)</f>
        <v/>
      </c>
      <c r="O481">
        <f>IFERROR(INDEX(PP_Grid[#Data],$DE481,12),0)</f>
        <v/>
      </c>
      <c r="P481">
        <f>IFERROR(INDEX(PP_Grid[#Data],$DE481,13),0)</f>
        <v/>
      </c>
      <c r="Q481">
        <f>IFERROR(INDEX(PP_Grid[#Data],$DE481,14),0)</f>
        <v/>
      </c>
      <c r="R481">
        <f>IFERROR(INDEX(PP_Grid[#Data],$DE481,15),0)</f>
        <v/>
      </c>
      <c r="S481">
        <f>IFERROR(INDEX(PP_Grid[#Data],$DE481,16),0)</f>
        <v/>
      </c>
      <c r="T481">
        <f>IFERROR(INDEX(PP_Grid[#Data],$DE481,17),0)</f>
        <v/>
      </c>
      <c r="U481">
        <f>IFERROR(INDEX(PP_Grid[#Data],$DE481,18),0)</f>
        <v/>
      </c>
      <c r="V481">
        <f>IFERROR(INDEX(PP_Grid[#Data],$DE481,19),0)</f>
        <v/>
      </c>
      <c r="W481">
        <f>IFERROR(INDEX(PP_Grid[#Data],$DE481,20),0)</f>
        <v/>
      </c>
      <c r="X481">
        <f>IFERROR(INDEX(PP_Grid[#Data],$DE481,21),0)</f>
        <v/>
      </c>
      <c r="Y481">
        <f>IFERROR(INDEX(PP_Grid[#Data],$DE481,22),0)</f>
        <v/>
      </c>
      <c r="Z481">
        <f>IFERROR(INDEX(PP_Grid[#Data],$DE481,23),0)</f>
        <v/>
      </c>
      <c r="AA481">
        <f>IFERROR(INDEX(PP_Grid[#Data],$DE481,24),0)</f>
        <v/>
      </c>
      <c r="AB481">
        <f>IFERROR(INDEX(PP_Grid[#Data],$DE481,25),0)</f>
        <v/>
      </c>
      <c r="AC481">
        <f>IFERROR(INDEX(PP_Grid[#Data],$DE481,26),0)</f>
        <v/>
      </c>
      <c r="AD481">
        <f>IFERROR(INDEX(PP_Grid[#Data],$DE481,27),0)</f>
        <v/>
      </c>
      <c r="AE481">
        <f>IFERROR(INDEX(PP_Grid[#Data],$DE481,28),0)</f>
        <v/>
      </c>
      <c r="AF481">
        <f>IFERROR(INDEX(PP_Grid[#Data],$DE481,29),0)</f>
        <v/>
      </c>
      <c r="AG481">
        <f>IFERROR(INDEX(PP_Grid[#Data],$DE481,30),0)</f>
        <v/>
      </c>
      <c r="AH481">
        <f>IFERROR(INDEX(PP_Grid[#Data],$DE481,31),0)</f>
        <v/>
      </c>
      <c r="AI481">
        <f>IFERROR(INDEX(PP_Grid[#Data],$DE481,32),0)</f>
        <v/>
      </c>
      <c r="AJ481">
        <f>IFERROR(INDEX(PP_Grid[#Data],$DE481,33),0)</f>
        <v/>
      </c>
      <c r="AK481">
        <f>IFERROR(INDEX(PP_Grid[#Data],$DE481,34),0)</f>
        <v/>
      </c>
      <c r="AL481">
        <f>IFERROR(INDEX(PP_Grid[#Data],$DE481,35),0)</f>
        <v/>
      </c>
      <c r="AM481">
        <f>IFERROR(INDEX(PP_Grid[#Data],$DE481,36),0)</f>
        <v/>
      </c>
      <c r="AN481">
        <f>IFERROR(INDEX(PP_Grid[#Data],$DE481,37),0)</f>
        <v/>
      </c>
      <c r="AO481">
        <f>IFERROR(INDEX(PP_Grid[#Data],$DE481,38),0)</f>
        <v/>
      </c>
      <c r="AP481">
        <f>IFERROR(INDEX(PP_Grid[#Data],$DE481,39),0)</f>
        <v/>
      </c>
      <c r="AQ481">
        <f>IFERROR(INDEX(PP_Grid[#Data],$DE481,40),0)</f>
        <v/>
      </c>
      <c r="AR481">
        <f>IFERROR(INDEX(PP_Grid[#Data],$DE481,41),0)</f>
        <v/>
      </c>
      <c r="AS481">
        <f>IFERROR(INDEX(PP_Grid[#Data],$DE481,42),0)</f>
        <v/>
      </c>
      <c r="AT481">
        <f>IFERROR(INDEX(PP_Grid[#Data],$DE481,43),0)</f>
        <v/>
      </c>
      <c r="AU481">
        <f>IFERROR(INDEX(PP_Grid[#Data],$DE481,44),0)</f>
        <v/>
      </c>
      <c r="AV481">
        <f>IFERROR(INDEX(PP_Grid[#Data],$DE481,45),0)</f>
        <v/>
      </c>
      <c r="AW481">
        <f>IFERROR(INDEX(PP_Grid[#Data],$DE481,46),0)</f>
        <v/>
      </c>
      <c r="AX481">
        <f>IFERROR(INDEX(PP_Grid[#Data],$DE481,47),0)</f>
        <v/>
      </c>
      <c r="AY481">
        <f>IFERROR(INDEX(PP_Grid[#Data],$DE481,48),0)</f>
        <v/>
      </c>
      <c r="AZ481">
        <f>IFERROR(INDEX(PP_Grid[#Data],$DE481,49),0)</f>
        <v/>
      </c>
      <c r="BA481">
        <f>IFERROR(INDEX(PP_Grid[#Data],$DE481,50),0)</f>
        <v/>
      </c>
      <c r="BB481">
        <f>IFERROR(INDEX(PP_Grid[#Data],$DE481,51),0)</f>
        <v/>
      </c>
      <c r="BC481">
        <f>IFERROR(INDEX(PP_Grid[#Data],$DE481,52),0)</f>
        <v/>
      </c>
      <c r="BD481">
        <f>IFERROR(INDEX(PP_Grid[#Data],$DE481,53),0)</f>
        <v/>
      </c>
      <c r="BE481">
        <f>IFERROR(INDEX(PP_Grid[#Data],$DE481,54),0)</f>
        <v/>
      </c>
      <c r="BF481">
        <f>IFERROR(INDEX(PP_Grid[#Data],$DE481,55),0)</f>
        <v/>
      </c>
      <c r="BG481">
        <f>IFERROR(INDEX(PP_Grid[#Data],$DE481,56),0)</f>
        <v/>
      </c>
      <c r="BH481">
        <f>IFERROR(INDEX(PP_Grid[#Data],$DE481,57),0)</f>
        <v/>
      </c>
      <c r="BI481">
        <f>IFERROR(INDEX(PP_Grid[#Data],$DE481,58),0)</f>
        <v/>
      </c>
      <c r="BJ481">
        <f>IFERROR(INDEX(PP_Grid[#Data],$DE481,59),0)</f>
        <v/>
      </c>
      <c r="BK481">
        <f>IFERROR(INDEX(PP_Grid[#Data],$DE481,60),0)</f>
        <v/>
      </c>
      <c r="BL481">
        <f>IFERROR(INDEX(PP_Grid[#Data],$DE481,61),0)</f>
        <v/>
      </c>
      <c r="BM481">
        <f>IFERROR(INDEX(PP_Grid[#Data],$DE481,62),0)</f>
        <v/>
      </c>
      <c r="BN481">
        <f>IFERROR(INDEX(PP_Grid[#Data],$DE481,63),0)</f>
        <v/>
      </c>
      <c r="BO481">
        <f>IFERROR(INDEX(PP_Grid[#Data],$DE481,64),0)</f>
        <v/>
      </c>
      <c r="BP481">
        <f>IFERROR(INDEX(PP_Grid[#Data],$DE481,65),0)</f>
        <v/>
      </c>
      <c r="BQ481">
        <f>IFERROR(INDEX(PP_Grid[#Data],$DE481,66),0)</f>
        <v/>
      </c>
      <c r="BR481">
        <f>IFERROR(INDEX(PP_Grid[#Data],$DE481,67),0)</f>
        <v/>
      </c>
      <c r="BS481">
        <f>IFERROR(INDEX(PP_Grid[#Data],$DE481,68),0)</f>
        <v/>
      </c>
      <c r="BT481">
        <f>IFERROR(INDEX(PP_Grid[#Data],$DE481,69),0)</f>
        <v/>
      </c>
      <c r="BU481">
        <f>IFERROR(INDEX(PP_Grid[#Data],$DE481,70),0)</f>
        <v/>
      </c>
      <c r="BV481">
        <f>IFERROR(INDEX(PP_Grid[#Data],$DE481,71),0)</f>
        <v/>
      </c>
      <c r="BW481">
        <f>IFERROR(INDEX(PP_Grid[#Data],$DE481,72),0)</f>
        <v/>
      </c>
      <c r="BX481">
        <f>IFERROR(INDEX(PP_Grid[#Data],$DE481,73),0)</f>
        <v/>
      </c>
      <c r="BY481">
        <f>IFERROR(INDEX(PP_Grid[#Data],$DE481,74),0)</f>
        <v/>
      </c>
      <c r="BZ481">
        <f>IFERROR(INDEX(PP_Grid[#Data],$DE481,75),0)</f>
        <v/>
      </c>
      <c r="CA481">
        <f>IFERROR(INDEX(PP_Grid[#Data],$DE481,76),0)</f>
        <v/>
      </c>
      <c r="CB481">
        <f>IFERROR(INDEX(PP_Grid[#Data],$DE481,77),0)</f>
        <v/>
      </c>
      <c r="CC481">
        <f>IFERROR(INDEX(PP_Grid[#Data],$DE481,78),0)</f>
        <v/>
      </c>
      <c r="CD481">
        <f>IFERROR(INDEX(PP_Grid[#Data],$DE481,79),0)</f>
        <v/>
      </c>
      <c r="CE481">
        <f>IFERROR(INDEX(PP_Grid[#Data],$DE481,80),0)</f>
        <v/>
      </c>
      <c r="CF481">
        <f>IFERROR(INDEX(PP_Grid[#Data],$DE481,81),0)</f>
        <v/>
      </c>
      <c r="CG481">
        <f>IFERROR(INDEX(PP_Grid[#Data],$DE481,82),0)</f>
        <v/>
      </c>
      <c r="CH481">
        <f>IFERROR(INDEX(PP_Grid[#Data],$DE481,83),0)</f>
        <v/>
      </c>
      <c r="CI481">
        <f>IFERROR(INDEX(PP_Grid[#Data],$DE481,84),0)</f>
        <v/>
      </c>
      <c r="CJ481">
        <f>IFERROR(INDEX(PP_Grid[#Data],$DE481,85),0)</f>
        <v/>
      </c>
      <c r="CK481">
        <f>IFERROR(INDEX(PP_Grid[#Data],$DE481,86),0)</f>
        <v/>
      </c>
      <c r="CL481">
        <f>IFERROR(INDEX(PP_Grid[#Data],$DE481,87),0)</f>
        <v/>
      </c>
      <c r="CM481">
        <f>IFERROR(INDEX(PP_Grid[#Data],$DE481,88),0)</f>
        <v/>
      </c>
      <c r="CN481">
        <f>IFERROR(INDEX(PP_Grid[#Data],$DE481,89),0)</f>
        <v/>
      </c>
      <c r="CO481">
        <f>IFERROR(INDEX(PP_Grid[#Data],$DE481,90),0)</f>
        <v/>
      </c>
      <c r="CP481">
        <f>IFERROR(INDEX(PP_Grid[#Data],$DE481,91),0)</f>
        <v/>
      </c>
      <c r="CQ481">
        <f>IFERROR(INDEX(PP_Grid[#Data],$DE481,92),0)</f>
        <v/>
      </c>
      <c r="CR481">
        <f>IFERROR(INDEX(PP_Grid[#Data],$DE481,93),0)</f>
        <v/>
      </c>
      <c r="CS481">
        <f>IFERROR(INDEX(PP_Grid[#Data],$DE481,94),0)</f>
        <v/>
      </c>
      <c r="CT481">
        <f>IFERROR(INDEX(PP_Grid[#Data],$DE481,95),0)</f>
        <v/>
      </c>
      <c r="CU481">
        <f>IFERROR(INDEX(PP_Grid[#Data],$DE481,96),0)</f>
        <v/>
      </c>
      <c r="CV481">
        <f>IFERROR(INDEX(PP_Grid[#Data],$DE481,97),0)</f>
        <v/>
      </c>
      <c r="CW481">
        <f>IFERROR(INDEX(PP_Grid[#Data],$DE481,98),0)</f>
        <v/>
      </c>
      <c r="CX481">
        <f>IFERROR(INDEX(PP_Grid[#Data],$DE481,99),0)</f>
        <v/>
      </c>
      <c r="CY481">
        <f>IFERROR(INDEX(PP_Grid[#Data],$DE481,100),0)</f>
        <v/>
      </c>
      <c r="CZ481">
        <f>IFERROR(INDEX(PP_Grid[#Data],$DE481,101),0)</f>
        <v/>
      </c>
      <c r="DA481">
        <f>IFERROR(INDEX(PP_Grid[#Data],$DE481,102),0)</f>
        <v/>
      </c>
      <c r="DB481">
        <f>IFERROR(INDEX(PP_Grid[#Data],$DE481,103),0)</f>
        <v/>
      </c>
      <c r="DC481">
        <f>IFERROR(INDEX(PP_Grid[#Data],$DE481,104),0)</f>
        <v/>
      </c>
      <c r="DD481">
        <f>IFERROR(INDEX(PP_Grid[#Data],$DE481,105),0)</f>
        <v/>
      </c>
      <c r="DE481" s="7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SUMIFS(M_BOM[RM_Qty_Per_Batch],M_BOM[Intermediate],$B481,M_BOM[RM_Code],$A340)</f>
        <v/>
      </c>
      <c r="D482">
        <f>IFERROR(INDEX(E482:DD482,$F$1),"")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  <c r="DD482">
        <f>$C482*DD481</f>
        <v/>
      </c>
    </row>
    <row r="483">
      <c r="B483" t="inlineStr">
        <is>
          <t>VSP-746</t>
        </is>
      </c>
      <c r="C483" t="inlineStr">
        <is>
          <t>No. of batches</t>
        </is>
      </c>
      <c r="D483">
        <f>IFERROR(INDEX(E483:DD483,$F$1),"")</f>
        <v/>
      </c>
      <c r="E483">
        <f>IFERROR(INDEX(PP_Grid[#Data],$DE483,2),0)</f>
        <v/>
      </c>
      <c r="F483">
        <f>IFERROR(INDEX(PP_Grid[#Data],$DE483,3),0)</f>
        <v/>
      </c>
      <c r="G483">
        <f>IFERROR(INDEX(PP_Grid[#Data],$DE483,4),0)</f>
        <v/>
      </c>
      <c r="H483">
        <f>IFERROR(INDEX(PP_Grid[#Data],$DE483,5),0)</f>
        <v/>
      </c>
      <c r="I483">
        <f>IFERROR(INDEX(PP_Grid[#Data],$DE483,6),0)</f>
        <v/>
      </c>
      <c r="J483">
        <f>IFERROR(INDEX(PP_Grid[#Data],$DE483,7),0)</f>
        <v/>
      </c>
      <c r="K483">
        <f>IFERROR(INDEX(PP_Grid[#Data],$DE483,8),0)</f>
        <v/>
      </c>
      <c r="L483">
        <f>IFERROR(INDEX(PP_Grid[#Data],$DE483,9),0)</f>
        <v/>
      </c>
      <c r="M483">
        <f>IFERROR(INDEX(PP_Grid[#Data],$DE483,10),0)</f>
        <v/>
      </c>
      <c r="N483">
        <f>IFERROR(INDEX(PP_Grid[#Data],$DE483,11),0)</f>
        <v/>
      </c>
      <c r="O483">
        <f>IFERROR(INDEX(PP_Grid[#Data],$DE483,12),0)</f>
        <v/>
      </c>
      <c r="P483">
        <f>IFERROR(INDEX(PP_Grid[#Data],$DE483,13),0)</f>
        <v/>
      </c>
      <c r="Q483">
        <f>IFERROR(INDEX(PP_Grid[#Data],$DE483,14),0)</f>
        <v/>
      </c>
      <c r="R483">
        <f>IFERROR(INDEX(PP_Grid[#Data],$DE483,15),0)</f>
        <v/>
      </c>
      <c r="S483">
        <f>IFERROR(INDEX(PP_Grid[#Data],$DE483,16),0)</f>
        <v/>
      </c>
      <c r="T483">
        <f>IFERROR(INDEX(PP_Grid[#Data],$DE483,17),0)</f>
        <v/>
      </c>
      <c r="U483">
        <f>IFERROR(INDEX(PP_Grid[#Data],$DE483,18),0)</f>
        <v/>
      </c>
      <c r="V483">
        <f>IFERROR(INDEX(PP_Grid[#Data],$DE483,19),0)</f>
        <v/>
      </c>
      <c r="W483">
        <f>IFERROR(INDEX(PP_Grid[#Data],$DE483,20),0)</f>
        <v/>
      </c>
      <c r="X483">
        <f>IFERROR(INDEX(PP_Grid[#Data],$DE483,21),0)</f>
        <v/>
      </c>
      <c r="Y483">
        <f>IFERROR(INDEX(PP_Grid[#Data],$DE483,22),0)</f>
        <v/>
      </c>
      <c r="Z483">
        <f>IFERROR(INDEX(PP_Grid[#Data],$DE483,23),0)</f>
        <v/>
      </c>
      <c r="AA483">
        <f>IFERROR(INDEX(PP_Grid[#Data],$DE483,24),0)</f>
        <v/>
      </c>
      <c r="AB483">
        <f>IFERROR(INDEX(PP_Grid[#Data],$DE483,25),0)</f>
        <v/>
      </c>
      <c r="AC483">
        <f>IFERROR(INDEX(PP_Grid[#Data],$DE483,26),0)</f>
        <v/>
      </c>
      <c r="AD483">
        <f>IFERROR(INDEX(PP_Grid[#Data],$DE483,27),0)</f>
        <v/>
      </c>
      <c r="AE483">
        <f>IFERROR(INDEX(PP_Grid[#Data],$DE483,28),0)</f>
        <v/>
      </c>
      <c r="AF483">
        <f>IFERROR(INDEX(PP_Grid[#Data],$DE483,29),0)</f>
        <v/>
      </c>
      <c r="AG483">
        <f>IFERROR(INDEX(PP_Grid[#Data],$DE483,30),0)</f>
        <v/>
      </c>
      <c r="AH483">
        <f>IFERROR(INDEX(PP_Grid[#Data],$DE483,31),0)</f>
        <v/>
      </c>
      <c r="AI483">
        <f>IFERROR(INDEX(PP_Grid[#Data],$DE483,32),0)</f>
        <v/>
      </c>
      <c r="AJ483">
        <f>IFERROR(INDEX(PP_Grid[#Data],$DE483,33),0)</f>
        <v/>
      </c>
      <c r="AK483">
        <f>IFERROR(INDEX(PP_Grid[#Data],$DE483,34),0)</f>
        <v/>
      </c>
      <c r="AL483">
        <f>IFERROR(INDEX(PP_Grid[#Data],$DE483,35),0)</f>
        <v/>
      </c>
      <c r="AM483">
        <f>IFERROR(INDEX(PP_Grid[#Data],$DE483,36),0)</f>
        <v/>
      </c>
      <c r="AN483">
        <f>IFERROR(INDEX(PP_Grid[#Data],$DE483,37),0)</f>
        <v/>
      </c>
      <c r="AO483">
        <f>IFERROR(INDEX(PP_Grid[#Data],$DE483,38),0)</f>
        <v/>
      </c>
      <c r="AP483">
        <f>IFERROR(INDEX(PP_Grid[#Data],$DE483,39),0)</f>
        <v/>
      </c>
      <c r="AQ483">
        <f>IFERROR(INDEX(PP_Grid[#Data],$DE483,40),0)</f>
        <v/>
      </c>
      <c r="AR483">
        <f>IFERROR(INDEX(PP_Grid[#Data],$DE483,41),0)</f>
        <v/>
      </c>
      <c r="AS483">
        <f>IFERROR(INDEX(PP_Grid[#Data],$DE483,42),0)</f>
        <v/>
      </c>
      <c r="AT483">
        <f>IFERROR(INDEX(PP_Grid[#Data],$DE483,43),0)</f>
        <v/>
      </c>
      <c r="AU483">
        <f>IFERROR(INDEX(PP_Grid[#Data],$DE483,44),0)</f>
        <v/>
      </c>
      <c r="AV483">
        <f>IFERROR(INDEX(PP_Grid[#Data],$DE483,45),0)</f>
        <v/>
      </c>
      <c r="AW483">
        <f>IFERROR(INDEX(PP_Grid[#Data],$DE483,46),0)</f>
        <v/>
      </c>
      <c r="AX483">
        <f>IFERROR(INDEX(PP_Grid[#Data],$DE483,47),0)</f>
        <v/>
      </c>
      <c r="AY483">
        <f>IFERROR(INDEX(PP_Grid[#Data],$DE483,48),0)</f>
        <v/>
      </c>
      <c r="AZ483">
        <f>IFERROR(INDEX(PP_Grid[#Data],$DE483,49),0)</f>
        <v/>
      </c>
      <c r="BA483">
        <f>IFERROR(INDEX(PP_Grid[#Data],$DE483,50),0)</f>
        <v/>
      </c>
      <c r="BB483">
        <f>IFERROR(INDEX(PP_Grid[#Data],$DE483,51),0)</f>
        <v/>
      </c>
      <c r="BC483">
        <f>IFERROR(INDEX(PP_Grid[#Data],$DE483,52),0)</f>
        <v/>
      </c>
      <c r="BD483">
        <f>IFERROR(INDEX(PP_Grid[#Data],$DE483,53),0)</f>
        <v/>
      </c>
      <c r="BE483">
        <f>IFERROR(INDEX(PP_Grid[#Data],$DE483,54),0)</f>
        <v/>
      </c>
      <c r="BF483">
        <f>IFERROR(INDEX(PP_Grid[#Data],$DE483,55),0)</f>
        <v/>
      </c>
      <c r="BG483">
        <f>IFERROR(INDEX(PP_Grid[#Data],$DE483,56),0)</f>
        <v/>
      </c>
      <c r="BH483">
        <f>IFERROR(INDEX(PP_Grid[#Data],$DE483,57),0)</f>
        <v/>
      </c>
      <c r="BI483">
        <f>IFERROR(INDEX(PP_Grid[#Data],$DE483,58),0)</f>
        <v/>
      </c>
      <c r="BJ483">
        <f>IFERROR(INDEX(PP_Grid[#Data],$DE483,59),0)</f>
        <v/>
      </c>
      <c r="BK483">
        <f>IFERROR(INDEX(PP_Grid[#Data],$DE483,60),0)</f>
        <v/>
      </c>
      <c r="BL483">
        <f>IFERROR(INDEX(PP_Grid[#Data],$DE483,61),0)</f>
        <v/>
      </c>
      <c r="BM483">
        <f>IFERROR(INDEX(PP_Grid[#Data],$DE483,62),0)</f>
        <v/>
      </c>
      <c r="BN483">
        <f>IFERROR(INDEX(PP_Grid[#Data],$DE483,63),0)</f>
        <v/>
      </c>
      <c r="BO483">
        <f>IFERROR(INDEX(PP_Grid[#Data],$DE483,64),0)</f>
        <v/>
      </c>
      <c r="BP483">
        <f>IFERROR(INDEX(PP_Grid[#Data],$DE483,65),0)</f>
        <v/>
      </c>
      <c r="BQ483">
        <f>IFERROR(INDEX(PP_Grid[#Data],$DE483,66),0)</f>
        <v/>
      </c>
      <c r="BR483">
        <f>IFERROR(INDEX(PP_Grid[#Data],$DE483,67),0)</f>
        <v/>
      </c>
      <c r="BS483">
        <f>IFERROR(INDEX(PP_Grid[#Data],$DE483,68),0)</f>
        <v/>
      </c>
      <c r="BT483">
        <f>IFERROR(INDEX(PP_Grid[#Data],$DE483,69),0)</f>
        <v/>
      </c>
      <c r="BU483">
        <f>IFERROR(INDEX(PP_Grid[#Data],$DE483,70),0)</f>
        <v/>
      </c>
      <c r="BV483">
        <f>IFERROR(INDEX(PP_Grid[#Data],$DE483,71),0)</f>
        <v/>
      </c>
      <c r="BW483">
        <f>IFERROR(INDEX(PP_Grid[#Data],$DE483,72),0)</f>
        <v/>
      </c>
      <c r="BX483">
        <f>IFERROR(INDEX(PP_Grid[#Data],$DE483,73),0)</f>
        <v/>
      </c>
      <c r="BY483">
        <f>IFERROR(INDEX(PP_Grid[#Data],$DE483,74),0)</f>
        <v/>
      </c>
      <c r="BZ483">
        <f>IFERROR(INDEX(PP_Grid[#Data],$DE483,75),0)</f>
        <v/>
      </c>
      <c r="CA483">
        <f>IFERROR(INDEX(PP_Grid[#Data],$DE483,76),0)</f>
        <v/>
      </c>
      <c r="CB483">
        <f>IFERROR(INDEX(PP_Grid[#Data],$DE483,77),0)</f>
        <v/>
      </c>
      <c r="CC483">
        <f>IFERROR(INDEX(PP_Grid[#Data],$DE483,78),0)</f>
        <v/>
      </c>
      <c r="CD483">
        <f>IFERROR(INDEX(PP_Grid[#Data],$DE483,79),0)</f>
        <v/>
      </c>
      <c r="CE483">
        <f>IFERROR(INDEX(PP_Grid[#Data],$DE483,80),0)</f>
        <v/>
      </c>
      <c r="CF483">
        <f>IFERROR(INDEX(PP_Grid[#Data],$DE483,81),0)</f>
        <v/>
      </c>
      <c r="CG483">
        <f>IFERROR(INDEX(PP_Grid[#Data],$DE483,82),0)</f>
        <v/>
      </c>
      <c r="CH483">
        <f>IFERROR(INDEX(PP_Grid[#Data],$DE483,83),0)</f>
        <v/>
      </c>
      <c r="CI483">
        <f>IFERROR(INDEX(PP_Grid[#Data],$DE483,84),0)</f>
        <v/>
      </c>
      <c r="CJ483">
        <f>IFERROR(INDEX(PP_Grid[#Data],$DE483,85),0)</f>
        <v/>
      </c>
      <c r="CK483">
        <f>IFERROR(INDEX(PP_Grid[#Data],$DE483,86),0)</f>
        <v/>
      </c>
      <c r="CL483">
        <f>IFERROR(INDEX(PP_Grid[#Data],$DE483,87),0)</f>
        <v/>
      </c>
      <c r="CM483">
        <f>IFERROR(INDEX(PP_Grid[#Data],$DE483,88),0)</f>
        <v/>
      </c>
      <c r="CN483">
        <f>IFERROR(INDEX(PP_Grid[#Data],$DE483,89),0)</f>
        <v/>
      </c>
      <c r="CO483">
        <f>IFERROR(INDEX(PP_Grid[#Data],$DE483,90),0)</f>
        <v/>
      </c>
      <c r="CP483">
        <f>IFERROR(INDEX(PP_Grid[#Data],$DE483,91),0)</f>
        <v/>
      </c>
      <c r="CQ483">
        <f>IFERROR(INDEX(PP_Grid[#Data],$DE483,92),0)</f>
        <v/>
      </c>
      <c r="CR483">
        <f>IFERROR(INDEX(PP_Grid[#Data],$DE483,93),0)</f>
        <v/>
      </c>
      <c r="CS483">
        <f>IFERROR(INDEX(PP_Grid[#Data],$DE483,94),0)</f>
        <v/>
      </c>
      <c r="CT483">
        <f>IFERROR(INDEX(PP_Grid[#Data],$DE483,95),0)</f>
        <v/>
      </c>
      <c r="CU483">
        <f>IFERROR(INDEX(PP_Grid[#Data],$DE483,96),0)</f>
        <v/>
      </c>
      <c r="CV483">
        <f>IFERROR(INDEX(PP_Grid[#Data],$DE483,97),0)</f>
        <v/>
      </c>
      <c r="CW483">
        <f>IFERROR(INDEX(PP_Grid[#Data],$DE483,98),0)</f>
        <v/>
      </c>
      <c r="CX483">
        <f>IFERROR(INDEX(PP_Grid[#Data],$DE483,99),0)</f>
        <v/>
      </c>
      <c r="CY483">
        <f>IFERROR(INDEX(PP_Grid[#Data],$DE483,100),0)</f>
        <v/>
      </c>
      <c r="CZ483">
        <f>IFERROR(INDEX(PP_Grid[#Data],$DE483,101),0)</f>
        <v/>
      </c>
      <c r="DA483">
        <f>IFERROR(INDEX(PP_Grid[#Data],$DE483,102),0)</f>
        <v/>
      </c>
      <c r="DB483">
        <f>IFERROR(INDEX(PP_Grid[#Data],$DE483,103),0)</f>
        <v/>
      </c>
      <c r="DC483">
        <f>IFERROR(INDEX(PP_Grid[#Data],$DE483,104),0)</f>
        <v/>
      </c>
      <c r="DD483">
        <f>IFERROR(INDEX(PP_Grid[#Data],$DE483,105),0)</f>
        <v/>
      </c>
      <c r="DE483" s="7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SUMIFS(M_BOM[RM_Qty_Per_Batch],M_BOM[Intermediate],$B483,M_BOM[RM_Code],$A340)</f>
        <v/>
      </c>
      <c r="D484">
        <f>IFERROR(INDEX(E484:DD484,$F$1),"")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  <c r="DD484">
        <f>$C484*DD483</f>
        <v/>
      </c>
    </row>
    <row r="485">
      <c r="B485" t="inlineStr">
        <is>
          <t>VSP-820</t>
        </is>
      </c>
      <c r="C485" t="inlineStr">
        <is>
          <t>No. of batches</t>
        </is>
      </c>
      <c r="D485">
        <f>IFERROR(INDEX(E485:DD485,$F$1),"")</f>
        <v/>
      </c>
      <c r="E485">
        <f>IFERROR(INDEX(PP_Grid[#Data],$DE485,2),0)</f>
        <v/>
      </c>
      <c r="F485">
        <f>IFERROR(INDEX(PP_Grid[#Data],$DE485,3),0)</f>
        <v/>
      </c>
      <c r="G485">
        <f>IFERROR(INDEX(PP_Grid[#Data],$DE485,4),0)</f>
        <v/>
      </c>
      <c r="H485">
        <f>IFERROR(INDEX(PP_Grid[#Data],$DE485,5),0)</f>
        <v/>
      </c>
      <c r="I485">
        <f>IFERROR(INDEX(PP_Grid[#Data],$DE485,6),0)</f>
        <v/>
      </c>
      <c r="J485">
        <f>IFERROR(INDEX(PP_Grid[#Data],$DE485,7),0)</f>
        <v/>
      </c>
      <c r="K485">
        <f>IFERROR(INDEX(PP_Grid[#Data],$DE485,8),0)</f>
        <v/>
      </c>
      <c r="L485">
        <f>IFERROR(INDEX(PP_Grid[#Data],$DE485,9),0)</f>
        <v/>
      </c>
      <c r="M485">
        <f>IFERROR(INDEX(PP_Grid[#Data],$DE485,10),0)</f>
        <v/>
      </c>
      <c r="N485">
        <f>IFERROR(INDEX(PP_Grid[#Data],$DE485,11),0)</f>
        <v/>
      </c>
      <c r="O485">
        <f>IFERROR(INDEX(PP_Grid[#Data],$DE485,12),0)</f>
        <v/>
      </c>
      <c r="P485">
        <f>IFERROR(INDEX(PP_Grid[#Data],$DE485,13),0)</f>
        <v/>
      </c>
      <c r="Q485">
        <f>IFERROR(INDEX(PP_Grid[#Data],$DE485,14),0)</f>
        <v/>
      </c>
      <c r="R485">
        <f>IFERROR(INDEX(PP_Grid[#Data],$DE485,15),0)</f>
        <v/>
      </c>
      <c r="S485">
        <f>IFERROR(INDEX(PP_Grid[#Data],$DE485,16),0)</f>
        <v/>
      </c>
      <c r="T485">
        <f>IFERROR(INDEX(PP_Grid[#Data],$DE485,17),0)</f>
        <v/>
      </c>
      <c r="U485">
        <f>IFERROR(INDEX(PP_Grid[#Data],$DE485,18),0)</f>
        <v/>
      </c>
      <c r="V485">
        <f>IFERROR(INDEX(PP_Grid[#Data],$DE485,19),0)</f>
        <v/>
      </c>
      <c r="W485">
        <f>IFERROR(INDEX(PP_Grid[#Data],$DE485,20),0)</f>
        <v/>
      </c>
      <c r="X485">
        <f>IFERROR(INDEX(PP_Grid[#Data],$DE485,21),0)</f>
        <v/>
      </c>
      <c r="Y485">
        <f>IFERROR(INDEX(PP_Grid[#Data],$DE485,22),0)</f>
        <v/>
      </c>
      <c r="Z485">
        <f>IFERROR(INDEX(PP_Grid[#Data],$DE485,23),0)</f>
        <v/>
      </c>
      <c r="AA485">
        <f>IFERROR(INDEX(PP_Grid[#Data],$DE485,24),0)</f>
        <v/>
      </c>
      <c r="AB485">
        <f>IFERROR(INDEX(PP_Grid[#Data],$DE485,25),0)</f>
        <v/>
      </c>
      <c r="AC485">
        <f>IFERROR(INDEX(PP_Grid[#Data],$DE485,26),0)</f>
        <v/>
      </c>
      <c r="AD485">
        <f>IFERROR(INDEX(PP_Grid[#Data],$DE485,27),0)</f>
        <v/>
      </c>
      <c r="AE485">
        <f>IFERROR(INDEX(PP_Grid[#Data],$DE485,28),0)</f>
        <v/>
      </c>
      <c r="AF485">
        <f>IFERROR(INDEX(PP_Grid[#Data],$DE485,29),0)</f>
        <v/>
      </c>
      <c r="AG485">
        <f>IFERROR(INDEX(PP_Grid[#Data],$DE485,30),0)</f>
        <v/>
      </c>
      <c r="AH485">
        <f>IFERROR(INDEX(PP_Grid[#Data],$DE485,31),0)</f>
        <v/>
      </c>
      <c r="AI485">
        <f>IFERROR(INDEX(PP_Grid[#Data],$DE485,32),0)</f>
        <v/>
      </c>
      <c r="AJ485">
        <f>IFERROR(INDEX(PP_Grid[#Data],$DE485,33),0)</f>
        <v/>
      </c>
      <c r="AK485">
        <f>IFERROR(INDEX(PP_Grid[#Data],$DE485,34),0)</f>
        <v/>
      </c>
      <c r="AL485">
        <f>IFERROR(INDEX(PP_Grid[#Data],$DE485,35),0)</f>
        <v/>
      </c>
      <c r="AM485">
        <f>IFERROR(INDEX(PP_Grid[#Data],$DE485,36),0)</f>
        <v/>
      </c>
      <c r="AN485">
        <f>IFERROR(INDEX(PP_Grid[#Data],$DE485,37),0)</f>
        <v/>
      </c>
      <c r="AO485">
        <f>IFERROR(INDEX(PP_Grid[#Data],$DE485,38),0)</f>
        <v/>
      </c>
      <c r="AP485">
        <f>IFERROR(INDEX(PP_Grid[#Data],$DE485,39),0)</f>
        <v/>
      </c>
      <c r="AQ485">
        <f>IFERROR(INDEX(PP_Grid[#Data],$DE485,40),0)</f>
        <v/>
      </c>
      <c r="AR485">
        <f>IFERROR(INDEX(PP_Grid[#Data],$DE485,41),0)</f>
        <v/>
      </c>
      <c r="AS485">
        <f>IFERROR(INDEX(PP_Grid[#Data],$DE485,42),0)</f>
        <v/>
      </c>
      <c r="AT485">
        <f>IFERROR(INDEX(PP_Grid[#Data],$DE485,43),0)</f>
        <v/>
      </c>
      <c r="AU485">
        <f>IFERROR(INDEX(PP_Grid[#Data],$DE485,44),0)</f>
        <v/>
      </c>
      <c r="AV485">
        <f>IFERROR(INDEX(PP_Grid[#Data],$DE485,45),0)</f>
        <v/>
      </c>
      <c r="AW485">
        <f>IFERROR(INDEX(PP_Grid[#Data],$DE485,46),0)</f>
        <v/>
      </c>
      <c r="AX485">
        <f>IFERROR(INDEX(PP_Grid[#Data],$DE485,47),0)</f>
        <v/>
      </c>
      <c r="AY485">
        <f>IFERROR(INDEX(PP_Grid[#Data],$DE485,48),0)</f>
        <v/>
      </c>
      <c r="AZ485">
        <f>IFERROR(INDEX(PP_Grid[#Data],$DE485,49),0)</f>
        <v/>
      </c>
      <c r="BA485">
        <f>IFERROR(INDEX(PP_Grid[#Data],$DE485,50),0)</f>
        <v/>
      </c>
      <c r="BB485">
        <f>IFERROR(INDEX(PP_Grid[#Data],$DE485,51),0)</f>
        <v/>
      </c>
      <c r="BC485">
        <f>IFERROR(INDEX(PP_Grid[#Data],$DE485,52),0)</f>
        <v/>
      </c>
      <c r="BD485">
        <f>IFERROR(INDEX(PP_Grid[#Data],$DE485,53),0)</f>
        <v/>
      </c>
      <c r="BE485">
        <f>IFERROR(INDEX(PP_Grid[#Data],$DE485,54),0)</f>
        <v/>
      </c>
      <c r="BF485">
        <f>IFERROR(INDEX(PP_Grid[#Data],$DE485,55),0)</f>
        <v/>
      </c>
      <c r="BG485">
        <f>IFERROR(INDEX(PP_Grid[#Data],$DE485,56),0)</f>
        <v/>
      </c>
      <c r="BH485">
        <f>IFERROR(INDEX(PP_Grid[#Data],$DE485,57),0)</f>
        <v/>
      </c>
      <c r="BI485">
        <f>IFERROR(INDEX(PP_Grid[#Data],$DE485,58),0)</f>
        <v/>
      </c>
      <c r="BJ485">
        <f>IFERROR(INDEX(PP_Grid[#Data],$DE485,59),0)</f>
        <v/>
      </c>
      <c r="BK485">
        <f>IFERROR(INDEX(PP_Grid[#Data],$DE485,60),0)</f>
        <v/>
      </c>
      <c r="BL485">
        <f>IFERROR(INDEX(PP_Grid[#Data],$DE485,61),0)</f>
        <v/>
      </c>
      <c r="BM485">
        <f>IFERROR(INDEX(PP_Grid[#Data],$DE485,62),0)</f>
        <v/>
      </c>
      <c r="BN485">
        <f>IFERROR(INDEX(PP_Grid[#Data],$DE485,63),0)</f>
        <v/>
      </c>
      <c r="BO485">
        <f>IFERROR(INDEX(PP_Grid[#Data],$DE485,64),0)</f>
        <v/>
      </c>
      <c r="BP485">
        <f>IFERROR(INDEX(PP_Grid[#Data],$DE485,65),0)</f>
        <v/>
      </c>
      <c r="BQ485">
        <f>IFERROR(INDEX(PP_Grid[#Data],$DE485,66),0)</f>
        <v/>
      </c>
      <c r="BR485">
        <f>IFERROR(INDEX(PP_Grid[#Data],$DE485,67),0)</f>
        <v/>
      </c>
      <c r="BS485">
        <f>IFERROR(INDEX(PP_Grid[#Data],$DE485,68),0)</f>
        <v/>
      </c>
      <c r="BT485">
        <f>IFERROR(INDEX(PP_Grid[#Data],$DE485,69),0)</f>
        <v/>
      </c>
      <c r="BU485">
        <f>IFERROR(INDEX(PP_Grid[#Data],$DE485,70),0)</f>
        <v/>
      </c>
      <c r="BV485">
        <f>IFERROR(INDEX(PP_Grid[#Data],$DE485,71),0)</f>
        <v/>
      </c>
      <c r="BW485">
        <f>IFERROR(INDEX(PP_Grid[#Data],$DE485,72),0)</f>
        <v/>
      </c>
      <c r="BX485">
        <f>IFERROR(INDEX(PP_Grid[#Data],$DE485,73),0)</f>
        <v/>
      </c>
      <c r="BY485">
        <f>IFERROR(INDEX(PP_Grid[#Data],$DE485,74),0)</f>
        <v/>
      </c>
      <c r="BZ485">
        <f>IFERROR(INDEX(PP_Grid[#Data],$DE485,75),0)</f>
        <v/>
      </c>
      <c r="CA485">
        <f>IFERROR(INDEX(PP_Grid[#Data],$DE485,76),0)</f>
        <v/>
      </c>
      <c r="CB485">
        <f>IFERROR(INDEX(PP_Grid[#Data],$DE485,77),0)</f>
        <v/>
      </c>
      <c r="CC485">
        <f>IFERROR(INDEX(PP_Grid[#Data],$DE485,78),0)</f>
        <v/>
      </c>
      <c r="CD485">
        <f>IFERROR(INDEX(PP_Grid[#Data],$DE485,79),0)</f>
        <v/>
      </c>
      <c r="CE485">
        <f>IFERROR(INDEX(PP_Grid[#Data],$DE485,80),0)</f>
        <v/>
      </c>
      <c r="CF485">
        <f>IFERROR(INDEX(PP_Grid[#Data],$DE485,81),0)</f>
        <v/>
      </c>
      <c r="CG485">
        <f>IFERROR(INDEX(PP_Grid[#Data],$DE485,82),0)</f>
        <v/>
      </c>
      <c r="CH485">
        <f>IFERROR(INDEX(PP_Grid[#Data],$DE485,83),0)</f>
        <v/>
      </c>
      <c r="CI485">
        <f>IFERROR(INDEX(PP_Grid[#Data],$DE485,84),0)</f>
        <v/>
      </c>
      <c r="CJ485">
        <f>IFERROR(INDEX(PP_Grid[#Data],$DE485,85),0)</f>
        <v/>
      </c>
      <c r="CK485">
        <f>IFERROR(INDEX(PP_Grid[#Data],$DE485,86),0)</f>
        <v/>
      </c>
      <c r="CL485">
        <f>IFERROR(INDEX(PP_Grid[#Data],$DE485,87),0)</f>
        <v/>
      </c>
      <c r="CM485">
        <f>IFERROR(INDEX(PP_Grid[#Data],$DE485,88),0)</f>
        <v/>
      </c>
      <c r="CN485">
        <f>IFERROR(INDEX(PP_Grid[#Data],$DE485,89),0)</f>
        <v/>
      </c>
      <c r="CO485">
        <f>IFERROR(INDEX(PP_Grid[#Data],$DE485,90),0)</f>
        <v/>
      </c>
      <c r="CP485">
        <f>IFERROR(INDEX(PP_Grid[#Data],$DE485,91),0)</f>
        <v/>
      </c>
      <c r="CQ485">
        <f>IFERROR(INDEX(PP_Grid[#Data],$DE485,92),0)</f>
        <v/>
      </c>
      <c r="CR485">
        <f>IFERROR(INDEX(PP_Grid[#Data],$DE485,93),0)</f>
        <v/>
      </c>
      <c r="CS485">
        <f>IFERROR(INDEX(PP_Grid[#Data],$DE485,94),0)</f>
        <v/>
      </c>
      <c r="CT485">
        <f>IFERROR(INDEX(PP_Grid[#Data],$DE485,95),0)</f>
        <v/>
      </c>
      <c r="CU485">
        <f>IFERROR(INDEX(PP_Grid[#Data],$DE485,96),0)</f>
        <v/>
      </c>
      <c r="CV485">
        <f>IFERROR(INDEX(PP_Grid[#Data],$DE485,97),0)</f>
        <v/>
      </c>
      <c r="CW485">
        <f>IFERROR(INDEX(PP_Grid[#Data],$DE485,98),0)</f>
        <v/>
      </c>
      <c r="CX485">
        <f>IFERROR(INDEX(PP_Grid[#Data],$DE485,99),0)</f>
        <v/>
      </c>
      <c r="CY485">
        <f>IFERROR(INDEX(PP_Grid[#Data],$DE485,100),0)</f>
        <v/>
      </c>
      <c r="CZ485">
        <f>IFERROR(INDEX(PP_Grid[#Data],$DE485,101),0)</f>
        <v/>
      </c>
      <c r="DA485">
        <f>IFERROR(INDEX(PP_Grid[#Data],$DE485,102),0)</f>
        <v/>
      </c>
      <c r="DB485">
        <f>IFERROR(INDEX(PP_Grid[#Data],$DE485,103),0)</f>
        <v/>
      </c>
      <c r="DC485">
        <f>IFERROR(INDEX(PP_Grid[#Data],$DE485,104),0)</f>
        <v/>
      </c>
      <c r="DD485">
        <f>IFERROR(INDEX(PP_Grid[#Data],$DE485,105),0)</f>
        <v/>
      </c>
      <c r="DE485" s="7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SUMIFS(M_BOM[RM_Qty_Per_Batch],M_BOM[Intermediate],$B485,M_BOM[RM_Code],$A340)</f>
        <v/>
      </c>
      <c r="D486">
        <f>IFERROR(INDEX(E486:DD486,$F$1),"")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  <c r="DD486">
        <f>$C486*DD485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IFERROR(INDEX(E487:DD487,$F$1),"")</f>
        <v/>
      </c>
      <c r="E487">
        <f>IFERROR(INDEX(PP_Grid[#Data],$DE487,2),0)</f>
        <v/>
      </c>
      <c r="F487">
        <f>IFERROR(INDEX(PP_Grid[#Data],$DE487,3),0)</f>
        <v/>
      </c>
      <c r="G487">
        <f>IFERROR(INDEX(PP_Grid[#Data],$DE487,4),0)</f>
        <v/>
      </c>
      <c r="H487">
        <f>IFERROR(INDEX(PP_Grid[#Data],$DE487,5),0)</f>
        <v/>
      </c>
      <c r="I487">
        <f>IFERROR(INDEX(PP_Grid[#Data],$DE487,6),0)</f>
        <v/>
      </c>
      <c r="J487">
        <f>IFERROR(INDEX(PP_Grid[#Data],$DE487,7),0)</f>
        <v/>
      </c>
      <c r="K487">
        <f>IFERROR(INDEX(PP_Grid[#Data],$DE487,8),0)</f>
        <v/>
      </c>
      <c r="L487">
        <f>IFERROR(INDEX(PP_Grid[#Data],$DE487,9),0)</f>
        <v/>
      </c>
      <c r="M487">
        <f>IFERROR(INDEX(PP_Grid[#Data],$DE487,10),0)</f>
        <v/>
      </c>
      <c r="N487">
        <f>IFERROR(INDEX(PP_Grid[#Data],$DE487,11),0)</f>
        <v/>
      </c>
      <c r="O487">
        <f>IFERROR(INDEX(PP_Grid[#Data],$DE487,12),0)</f>
        <v/>
      </c>
      <c r="P487">
        <f>IFERROR(INDEX(PP_Grid[#Data],$DE487,13),0)</f>
        <v/>
      </c>
      <c r="Q487">
        <f>IFERROR(INDEX(PP_Grid[#Data],$DE487,14),0)</f>
        <v/>
      </c>
      <c r="R487">
        <f>IFERROR(INDEX(PP_Grid[#Data],$DE487,15),0)</f>
        <v/>
      </c>
      <c r="S487">
        <f>IFERROR(INDEX(PP_Grid[#Data],$DE487,16),0)</f>
        <v/>
      </c>
      <c r="T487">
        <f>IFERROR(INDEX(PP_Grid[#Data],$DE487,17),0)</f>
        <v/>
      </c>
      <c r="U487">
        <f>IFERROR(INDEX(PP_Grid[#Data],$DE487,18),0)</f>
        <v/>
      </c>
      <c r="V487">
        <f>IFERROR(INDEX(PP_Grid[#Data],$DE487,19),0)</f>
        <v/>
      </c>
      <c r="W487">
        <f>IFERROR(INDEX(PP_Grid[#Data],$DE487,20),0)</f>
        <v/>
      </c>
      <c r="X487">
        <f>IFERROR(INDEX(PP_Grid[#Data],$DE487,21),0)</f>
        <v/>
      </c>
      <c r="Y487">
        <f>IFERROR(INDEX(PP_Grid[#Data],$DE487,22),0)</f>
        <v/>
      </c>
      <c r="Z487">
        <f>IFERROR(INDEX(PP_Grid[#Data],$DE487,23),0)</f>
        <v/>
      </c>
      <c r="AA487">
        <f>IFERROR(INDEX(PP_Grid[#Data],$DE487,24),0)</f>
        <v/>
      </c>
      <c r="AB487">
        <f>IFERROR(INDEX(PP_Grid[#Data],$DE487,25),0)</f>
        <v/>
      </c>
      <c r="AC487">
        <f>IFERROR(INDEX(PP_Grid[#Data],$DE487,26),0)</f>
        <v/>
      </c>
      <c r="AD487">
        <f>IFERROR(INDEX(PP_Grid[#Data],$DE487,27),0)</f>
        <v/>
      </c>
      <c r="AE487">
        <f>IFERROR(INDEX(PP_Grid[#Data],$DE487,28),0)</f>
        <v/>
      </c>
      <c r="AF487">
        <f>IFERROR(INDEX(PP_Grid[#Data],$DE487,29),0)</f>
        <v/>
      </c>
      <c r="AG487">
        <f>IFERROR(INDEX(PP_Grid[#Data],$DE487,30),0)</f>
        <v/>
      </c>
      <c r="AH487">
        <f>IFERROR(INDEX(PP_Grid[#Data],$DE487,31),0)</f>
        <v/>
      </c>
      <c r="AI487">
        <f>IFERROR(INDEX(PP_Grid[#Data],$DE487,32),0)</f>
        <v/>
      </c>
      <c r="AJ487">
        <f>IFERROR(INDEX(PP_Grid[#Data],$DE487,33),0)</f>
        <v/>
      </c>
      <c r="AK487">
        <f>IFERROR(INDEX(PP_Grid[#Data],$DE487,34),0)</f>
        <v/>
      </c>
      <c r="AL487">
        <f>IFERROR(INDEX(PP_Grid[#Data],$DE487,35),0)</f>
        <v/>
      </c>
      <c r="AM487">
        <f>IFERROR(INDEX(PP_Grid[#Data],$DE487,36),0)</f>
        <v/>
      </c>
      <c r="AN487">
        <f>IFERROR(INDEX(PP_Grid[#Data],$DE487,37),0)</f>
        <v/>
      </c>
      <c r="AO487">
        <f>IFERROR(INDEX(PP_Grid[#Data],$DE487,38),0)</f>
        <v/>
      </c>
      <c r="AP487">
        <f>IFERROR(INDEX(PP_Grid[#Data],$DE487,39),0)</f>
        <v/>
      </c>
      <c r="AQ487">
        <f>IFERROR(INDEX(PP_Grid[#Data],$DE487,40),0)</f>
        <v/>
      </c>
      <c r="AR487">
        <f>IFERROR(INDEX(PP_Grid[#Data],$DE487,41),0)</f>
        <v/>
      </c>
      <c r="AS487">
        <f>IFERROR(INDEX(PP_Grid[#Data],$DE487,42),0)</f>
        <v/>
      </c>
      <c r="AT487">
        <f>IFERROR(INDEX(PP_Grid[#Data],$DE487,43),0)</f>
        <v/>
      </c>
      <c r="AU487">
        <f>IFERROR(INDEX(PP_Grid[#Data],$DE487,44),0)</f>
        <v/>
      </c>
      <c r="AV487">
        <f>IFERROR(INDEX(PP_Grid[#Data],$DE487,45),0)</f>
        <v/>
      </c>
      <c r="AW487">
        <f>IFERROR(INDEX(PP_Grid[#Data],$DE487,46),0)</f>
        <v/>
      </c>
      <c r="AX487">
        <f>IFERROR(INDEX(PP_Grid[#Data],$DE487,47),0)</f>
        <v/>
      </c>
      <c r="AY487">
        <f>IFERROR(INDEX(PP_Grid[#Data],$DE487,48),0)</f>
        <v/>
      </c>
      <c r="AZ487">
        <f>IFERROR(INDEX(PP_Grid[#Data],$DE487,49),0)</f>
        <v/>
      </c>
      <c r="BA487">
        <f>IFERROR(INDEX(PP_Grid[#Data],$DE487,50),0)</f>
        <v/>
      </c>
      <c r="BB487">
        <f>IFERROR(INDEX(PP_Grid[#Data],$DE487,51),0)</f>
        <v/>
      </c>
      <c r="BC487">
        <f>IFERROR(INDEX(PP_Grid[#Data],$DE487,52),0)</f>
        <v/>
      </c>
      <c r="BD487">
        <f>IFERROR(INDEX(PP_Grid[#Data],$DE487,53),0)</f>
        <v/>
      </c>
      <c r="BE487">
        <f>IFERROR(INDEX(PP_Grid[#Data],$DE487,54),0)</f>
        <v/>
      </c>
      <c r="BF487">
        <f>IFERROR(INDEX(PP_Grid[#Data],$DE487,55),0)</f>
        <v/>
      </c>
      <c r="BG487">
        <f>IFERROR(INDEX(PP_Grid[#Data],$DE487,56),0)</f>
        <v/>
      </c>
      <c r="BH487">
        <f>IFERROR(INDEX(PP_Grid[#Data],$DE487,57),0)</f>
        <v/>
      </c>
      <c r="BI487">
        <f>IFERROR(INDEX(PP_Grid[#Data],$DE487,58),0)</f>
        <v/>
      </c>
      <c r="BJ487">
        <f>IFERROR(INDEX(PP_Grid[#Data],$DE487,59),0)</f>
        <v/>
      </c>
      <c r="BK487">
        <f>IFERROR(INDEX(PP_Grid[#Data],$DE487,60),0)</f>
        <v/>
      </c>
      <c r="BL487">
        <f>IFERROR(INDEX(PP_Grid[#Data],$DE487,61),0)</f>
        <v/>
      </c>
      <c r="BM487">
        <f>IFERROR(INDEX(PP_Grid[#Data],$DE487,62),0)</f>
        <v/>
      </c>
      <c r="BN487">
        <f>IFERROR(INDEX(PP_Grid[#Data],$DE487,63),0)</f>
        <v/>
      </c>
      <c r="BO487">
        <f>IFERROR(INDEX(PP_Grid[#Data],$DE487,64),0)</f>
        <v/>
      </c>
      <c r="BP487">
        <f>IFERROR(INDEX(PP_Grid[#Data],$DE487,65),0)</f>
        <v/>
      </c>
      <c r="BQ487">
        <f>IFERROR(INDEX(PP_Grid[#Data],$DE487,66),0)</f>
        <v/>
      </c>
      <c r="BR487">
        <f>IFERROR(INDEX(PP_Grid[#Data],$DE487,67),0)</f>
        <v/>
      </c>
      <c r="BS487">
        <f>IFERROR(INDEX(PP_Grid[#Data],$DE487,68),0)</f>
        <v/>
      </c>
      <c r="BT487">
        <f>IFERROR(INDEX(PP_Grid[#Data],$DE487,69),0)</f>
        <v/>
      </c>
      <c r="BU487">
        <f>IFERROR(INDEX(PP_Grid[#Data],$DE487,70),0)</f>
        <v/>
      </c>
      <c r="BV487">
        <f>IFERROR(INDEX(PP_Grid[#Data],$DE487,71),0)</f>
        <v/>
      </c>
      <c r="BW487">
        <f>IFERROR(INDEX(PP_Grid[#Data],$DE487,72),0)</f>
        <v/>
      </c>
      <c r="BX487">
        <f>IFERROR(INDEX(PP_Grid[#Data],$DE487,73),0)</f>
        <v/>
      </c>
      <c r="BY487">
        <f>IFERROR(INDEX(PP_Grid[#Data],$DE487,74),0)</f>
        <v/>
      </c>
      <c r="BZ487">
        <f>IFERROR(INDEX(PP_Grid[#Data],$DE487,75),0)</f>
        <v/>
      </c>
      <c r="CA487">
        <f>IFERROR(INDEX(PP_Grid[#Data],$DE487,76),0)</f>
        <v/>
      </c>
      <c r="CB487">
        <f>IFERROR(INDEX(PP_Grid[#Data],$DE487,77),0)</f>
        <v/>
      </c>
      <c r="CC487">
        <f>IFERROR(INDEX(PP_Grid[#Data],$DE487,78),0)</f>
        <v/>
      </c>
      <c r="CD487">
        <f>IFERROR(INDEX(PP_Grid[#Data],$DE487,79),0)</f>
        <v/>
      </c>
      <c r="CE487">
        <f>IFERROR(INDEX(PP_Grid[#Data],$DE487,80),0)</f>
        <v/>
      </c>
      <c r="CF487">
        <f>IFERROR(INDEX(PP_Grid[#Data],$DE487,81),0)</f>
        <v/>
      </c>
      <c r="CG487">
        <f>IFERROR(INDEX(PP_Grid[#Data],$DE487,82),0)</f>
        <v/>
      </c>
      <c r="CH487">
        <f>IFERROR(INDEX(PP_Grid[#Data],$DE487,83),0)</f>
        <v/>
      </c>
      <c r="CI487">
        <f>IFERROR(INDEX(PP_Grid[#Data],$DE487,84),0)</f>
        <v/>
      </c>
      <c r="CJ487">
        <f>IFERROR(INDEX(PP_Grid[#Data],$DE487,85),0)</f>
        <v/>
      </c>
      <c r="CK487">
        <f>IFERROR(INDEX(PP_Grid[#Data],$DE487,86),0)</f>
        <v/>
      </c>
      <c r="CL487">
        <f>IFERROR(INDEX(PP_Grid[#Data],$DE487,87),0)</f>
        <v/>
      </c>
      <c r="CM487">
        <f>IFERROR(INDEX(PP_Grid[#Data],$DE487,88),0)</f>
        <v/>
      </c>
      <c r="CN487">
        <f>IFERROR(INDEX(PP_Grid[#Data],$DE487,89),0)</f>
        <v/>
      </c>
      <c r="CO487">
        <f>IFERROR(INDEX(PP_Grid[#Data],$DE487,90),0)</f>
        <v/>
      </c>
      <c r="CP487">
        <f>IFERROR(INDEX(PP_Grid[#Data],$DE487,91),0)</f>
        <v/>
      </c>
      <c r="CQ487">
        <f>IFERROR(INDEX(PP_Grid[#Data],$DE487,92),0)</f>
        <v/>
      </c>
      <c r="CR487">
        <f>IFERROR(INDEX(PP_Grid[#Data],$DE487,93),0)</f>
        <v/>
      </c>
      <c r="CS487">
        <f>IFERROR(INDEX(PP_Grid[#Data],$DE487,94),0)</f>
        <v/>
      </c>
      <c r="CT487">
        <f>IFERROR(INDEX(PP_Grid[#Data],$DE487,95),0)</f>
        <v/>
      </c>
      <c r="CU487">
        <f>IFERROR(INDEX(PP_Grid[#Data],$DE487,96),0)</f>
        <v/>
      </c>
      <c r="CV487">
        <f>IFERROR(INDEX(PP_Grid[#Data],$DE487,97),0)</f>
        <v/>
      </c>
      <c r="CW487">
        <f>IFERROR(INDEX(PP_Grid[#Data],$DE487,98),0)</f>
        <v/>
      </c>
      <c r="CX487">
        <f>IFERROR(INDEX(PP_Grid[#Data],$DE487,99),0)</f>
        <v/>
      </c>
      <c r="CY487">
        <f>IFERROR(INDEX(PP_Grid[#Data],$DE487,100),0)</f>
        <v/>
      </c>
      <c r="CZ487">
        <f>IFERROR(INDEX(PP_Grid[#Data],$DE487,101),0)</f>
        <v/>
      </c>
      <c r="DA487">
        <f>IFERROR(INDEX(PP_Grid[#Data],$DE487,102),0)</f>
        <v/>
      </c>
      <c r="DB487">
        <f>IFERROR(INDEX(PP_Grid[#Data],$DE487,103),0)</f>
        <v/>
      </c>
      <c r="DC487">
        <f>IFERROR(INDEX(PP_Grid[#Data],$DE487,104),0)</f>
        <v/>
      </c>
      <c r="DD487">
        <f>IFERROR(INDEX(PP_Grid[#Data],$DE487,105),0)</f>
        <v/>
      </c>
      <c r="DE487" s="7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SUMIFS(M_BOM[RM_Qty_Per_Batch],M_BOM[Intermediate],$B487,M_BOM[RM_Code],$A340)</f>
        <v/>
      </c>
      <c r="D488">
        <f>IFERROR(INDEX(E488:DD488,$F$1),"")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  <c r="DD488">
        <f>$C488*DD487</f>
        <v/>
      </c>
    </row>
    <row r="489">
      <c r="B489" t="inlineStr">
        <is>
          <t>VSP-869</t>
        </is>
      </c>
      <c r="C489" t="inlineStr">
        <is>
          <t>No. of batches</t>
        </is>
      </c>
      <c r="D489">
        <f>IFERROR(INDEX(E489:DD489,$F$1),"")</f>
        <v/>
      </c>
      <c r="E489">
        <f>IFERROR(INDEX(PP_Grid[#Data],$DE489,2),0)</f>
        <v/>
      </c>
      <c r="F489">
        <f>IFERROR(INDEX(PP_Grid[#Data],$DE489,3),0)</f>
        <v/>
      </c>
      <c r="G489">
        <f>IFERROR(INDEX(PP_Grid[#Data],$DE489,4),0)</f>
        <v/>
      </c>
      <c r="H489">
        <f>IFERROR(INDEX(PP_Grid[#Data],$DE489,5),0)</f>
        <v/>
      </c>
      <c r="I489">
        <f>IFERROR(INDEX(PP_Grid[#Data],$DE489,6),0)</f>
        <v/>
      </c>
      <c r="J489">
        <f>IFERROR(INDEX(PP_Grid[#Data],$DE489,7),0)</f>
        <v/>
      </c>
      <c r="K489">
        <f>IFERROR(INDEX(PP_Grid[#Data],$DE489,8),0)</f>
        <v/>
      </c>
      <c r="L489">
        <f>IFERROR(INDEX(PP_Grid[#Data],$DE489,9),0)</f>
        <v/>
      </c>
      <c r="M489">
        <f>IFERROR(INDEX(PP_Grid[#Data],$DE489,10),0)</f>
        <v/>
      </c>
      <c r="N489">
        <f>IFERROR(INDEX(PP_Grid[#Data],$DE489,11),0)</f>
        <v/>
      </c>
      <c r="O489">
        <f>IFERROR(INDEX(PP_Grid[#Data],$DE489,12),0)</f>
        <v/>
      </c>
      <c r="P489">
        <f>IFERROR(INDEX(PP_Grid[#Data],$DE489,13),0)</f>
        <v/>
      </c>
      <c r="Q489">
        <f>IFERROR(INDEX(PP_Grid[#Data],$DE489,14),0)</f>
        <v/>
      </c>
      <c r="R489">
        <f>IFERROR(INDEX(PP_Grid[#Data],$DE489,15),0)</f>
        <v/>
      </c>
      <c r="S489">
        <f>IFERROR(INDEX(PP_Grid[#Data],$DE489,16),0)</f>
        <v/>
      </c>
      <c r="T489">
        <f>IFERROR(INDEX(PP_Grid[#Data],$DE489,17),0)</f>
        <v/>
      </c>
      <c r="U489">
        <f>IFERROR(INDEX(PP_Grid[#Data],$DE489,18),0)</f>
        <v/>
      </c>
      <c r="V489">
        <f>IFERROR(INDEX(PP_Grid[#Data],$DE489,19),0)</f>
        <v/>
      </c>
      <c r="W489">
        <f>IFERROR(INDEX(PP_Grid[#Data],$DE489,20),0)</f>
        <v/>
      </c>
      <c r="X489">
        <f>IFERROR(INDEX(PP_Grid[#Data],$DE489,21),0)</f>
        <v/>
      </c>
      <c r="Y489">
        <f>IFERROR(INDEX(PP_Grid[#Data],$DE489,22),0)</f>
        <v/>
      </c>
      <c r="Z489">
        <f>IFERROR(INDEX(PP_Grid[#Data],$DE489,23),0)</f>
        <v/>
      </c>
      <c r="AA489">
        <f>IFERROR(INDEX(PP_Grid[#Data],$DE489,24),0)</f>
        <v/>
      </c>
      <c r="AB489">
        <f>IFERROR(INDEX(PP_Grid[#Data],$DE489,25),0)</f>
        <v/>
      </c>
      <c r="AC489">
        <f>IFERROR(INDEX(PP_Grid[#Data],$DE489,26),0)</f>
        <v/>
      </c>
      <c r="AD489">
        <f>IFERROR(INDEX(PP_Grid[#Data],$DE489,27),0)</f>
        <v/>
      </c>
      <c r="AE489">
        <f>IFERROR(INDEX(PP_Grid[#Data],$DE489,28),0)</f>
        <v/>
      </c>
      <c r="AF489">
        <f>IFERROR(INDEX(PP_Grid[#Data],$DE489,29),0)</f>
        <v/>
      </c>
      <c r="AG489">
        <f>IFERROR(INDEX(PP_Grid[#Data],$DE489,30),0)</f>
        <v/>
      </c>
      <c r="AH489">
        <f>IFERROR(INDEX(PP_Grid[#Data],$DE489,31),0)</f>
        <v/>
      </c>
      <c r="AI489">
        <f>IFERROR(INDEX(PP_Grid[#Data],$DE489,32),0)</f>
        <v/>
      </c>
      <c r="AJ489">
        <f>IFERROR(INDEX(PP_Grid[#Data],$DE489,33),0)</f>
        <v/>
      </c>
      <c r="AK489">
        <f>IFERROR(INDEX(PP_Grid[#Data],$DE489,34),0)</f>
        <v/>
      </c>
      <c r="AL489">
        <f>IFERROR(INDEX(PP_Grid[#Data],$DE489,35),0)</f>
        <v/>
      </c>
      <c r="AM489">
        <f>IFERROR(INDEX(PP_Grid[#Data],$DE489,36),0)</f>
        <v/>
      </c>
      <c r="AN489">
        <f>IFERROR(INDEX(PP_Grid[#Data],$DE489,37),0)</f>
        <v/>
      </c>
      <c r="AO489">
        <f>IFERROR(INDEX(PP_Grid[#Data],$DE489,38),0)</f>
        <v/>
      </c>
      <c r="AP489">
        <f>IFERROR(INDEX(PP_Grid[#Data],$DE489,39),0)</f>
        <v/>
      </c>
      <c r="AQ489">
        <f>IFERROR(INDEX(PP_Grid[#Data],$DE489,40),0)</f>
        <v/>
      </c>
      <c r="AR489">
        <f>IFERROR(INDEX(PP_Grid[#Data],$DE489,41),0)</f>
        <v/>
      </c>
      <c r="AS489">
        <f>IFERROR(INDEX(PP_Grid[#Data],$DE489,42),0)</f>
        <v/>
      </c>
      <c r="AT489">
        <f>IFERROR(INDEX(PP_Grid[#Data],$DE489,43),0)</f>
        <v/>
      </c>
      <c r="AU489">
        <f>IFERROR(INDEX(PP_Grid[#Data],$DE489,44),0)</f>
        <v/>
      </c>
      <c r="AV489">
        <f>IFERROR(INDEX(PP_Grid[#Data],$DE489,45),0)</f>
        <v/>
      </c>
      <c r="AW489">
        <f>IFERROR(INDEX(PP_Grid[#Data],$DE489,46),0)</f>
        <v/>
      </c>
      <c r="AX489">
        <f>IFERROR(INDEX(PP_Grid[#Data],$DE489,47),0)</f>
        <v/>
      </c>
      <c r="AY489">
        <f>IFERROR(INDEX(PP_Grid[#Data],$DE489,48),0)</f>
        <v/>
      </c>
      <c r="AZ489">
        <f>IFERROR(INDEX(PP_Grid[#Data],$DE489,49),0)</f>
        <v/>
      </c>
      <c r="BA489">
        <f>IFERROR(INDEX(PP_Grid[#Data],$DE489,50),0)</f>
        <v/>
      </c>
      <c r="BB489">
        <f>IFERROR(INDEX(PP_Grid[#Data],$DE489,51),0)</f>
        <v/>
      </c>
      <c r="BC489">
        <f>IFERROR(INDEX(PP_Grid[#Data],$DE489,52),0)</f>
        <v/>
      </c>
      <c r="BD489">
        <f>IFERROR(INDEX(PP_Grid[#Data],$DE489,53),0)</f>
        <v/>
      </c>
      <c r="BE489">
        <f>IFERROR(INDEX(PP_Grid[#Data],$DE489,54),0)</f>
        <v/>
      </c>
      <c r="BF489">
        <f>IFERROR(INDEX(PP_Grid[#Data],$DE489,55),0)</f>
        <v/>
      </c>
      <c r="BG489">
        <f>IFERROR(INDEX(PP_Grid[#Data],$DE489,56),0)</f>
        <v/>
      </c>
      <c r="BH489">
        <f>IFERROR(INDEX(PP_Grid[#Data],$DE489,57),0)</f>
        <v/>
      </c>
      <c r="BI489">
        <f>IFERROR(INDEX(PP_Grid[#Data],$DE489,58),0)</f>
        <v/>
      </c>
      <c r="BJ489">
        <f>IFERROR(INDEX(PP_Grid[#Data],$DE489,59),0)</f>
        <v/>
      </c>
      <c r="BK489">
        <f>IFERROR(INDEX(PP_Grid[#Data],$DE489,60),0)</f>
        <v/>
      </c>
      <c r="BL489">
        <f>IFERROR(INDEX(PP_Grid[#Data],$DE489,61),0)</f>
        <v/>
      </c>
      <c r="BM489">
        <f>IFERROR(INDEX(PP_Grid[#Data],$DE489,62),0)</f>
        <v/>
      </c>
      <c r="BN489">
        <f>IFERROR(INDEX(PP_Grid[#Data],$DE489,63),0)</f>
        <v/>
      </c>
      <c r="BO489">
        <f>IFERROR(INDEX(PP_Grid[#Data],$DE489,64),0)</f>
        <v/>
      </c>
      <c r="BP489">
        <f>IFERROR(INDEX(PP_Grid[#Data],$DE489,65),0)</f>
        <v/>
      </c>
      <c r="BQ489">
        <f>IFERROR(INDEX(PP_Grid[#Data],$DE489,66),0)</f>
        <v/>
      </c>
      <c r="BR489">
        <f>IFERROR(INDEX(PP_Grid[#Data],$DE489,67),0)</f>
        <v/>
      </c>
      <c r="BS489">
        <f>IFERROR(INDEX(PP_Grid[#Data],$DE489,68),0)</f>
        <v/>
      </c>
      <c r="BT489">
        <f>IFERROR(INDEX(PP_Grid[#Data],$DE489,69),0)</f>
        <v/>
      </c>
      <c r="BU489">
        <f>IFERROR(INDEX(PP_Grid[#Data],$DE489,70),0)</f>
        <v/>
      </c>
      <c r="BV489">
        <f>IFERROR(INDEX(PP_Grid[#Data],$DE489,71),0)</f>
        <v/>
      </c>
      <c r="BW489">
        <f>IFERROR(INDEX(PP_Grid[#Data],$DE489,72),0)</f>
        <v/>
      </c>
      <c r="BX489">
        <f>IFERROR(INDEX(PP_Grid[#Data],$DE489,73),0)</f>
        <v/>
      </c>
      <c r="BY489">
        <f>IFERROR(INDEX(PP_Grid[#Data],$DE489,74),0)</f>
        <v/>
      </c>
      <c r="BZ489">
        <f>IFERROR(INDEX(PP_Grid[#Data],$DE489,75),0)</f>
        <v/>
      </c>
      <c r="CA489">
        <f>IFERROR(INDEX(PP_Grid[#Data],$DE489,76),0)</f>
        <v/>
      </c>
      <c r="CB489">
        <f>IFERROR(INDEX(PP_Grid[#Data],$DE489,77),0)</f>
        <v/>
      </c>
      <c r="CC489">
        <f>IFERROR(INDEX(PP_Grid[#Data],$DE489,78),0)</f>
        <v/>
      </c>
      <c r="CD489">
        <f>IFERROR(INDEX(PP_Grid[#Data],$DE489,79),0)</f>
        <v/>
      </c>
      <c r="CE489">
        <f>IFERROR(INDEX(PP_Grid[#Data],$DE489,80),0)</f>
        <v/>
      </c>
      <c r="CF489">
        <f>IFERROR(INDEX(PP_Grid[#Data],$DE489,81),0)</f>
        <v/>
      </c>
      <c r="CG489">
        <f>IFERROR(INDEX(PP_Grid[#Data],$DE489,82),0)</f>
        <v/>
      </c>
      <c r="CH489">
        <f>IFERROR(INDEX(PP_Grid[#Data],$DE489,83),0)</f>
        <v/>
      </c>
      <c r="CI489">
        <f>IFERROR(INDEX(PP_Grid[#Data],$DE489,84),0)</f>
        <v/>
      </c>
      <c r="CJ489">
        <f>IFERROR(INDEX(PP_Grid[#Data],$DE489,85),0)</f>
        <v/>
      </c>
      <c r="CK489">
        <f>IFERROR(INDEX(PP_Grid[#Data],$DE489,86),0)</f>
        <v/>
      </c>
      <c r="CL489">
        <f>IFERROR(INDEX(PP_Grid[#Data],$DE489,87),0)</f>
        <v/>
      </c>
      <c r="CM489">
        <f>IFERROR(INDEX(PP_Grid[#Data],$DE489,88),0)</f>
        <v/>
      </c>
      <c r="CN489">
        <f>IFERROR(INDEX(PP_Grid[#Data],$DE489,89),0)</f>
        <v/>
      </c>
      <c r="CO489">
        <f>IFERROR(INDEX(PP_Grid[#Data],$DE489,90),0)</f>
        <v/>
      </c>
      <c r="CP489">
        <f>IFERROR(INDEX(PP_Grid[#Data],$DE489,91),0)</f>
        <v/>
      </c>
      <c r="CQ489">
        <f>IFERROR(INDEX(PP_Grid[#Data],$DE489,92),0)</f>
        <v/>
      </c>
      <c r="CR489">
        <f>IFERROR(INDEX(PP_Grid[#Data],$DE489,93),0)</f>
        <v/>
      </c>
      <c r="CS489">
        <f>IFERROR(INDEX(PP_Grid[#Data],$DE489,94),0)</f>
        <v/>
      </c>
      <c r="CT489">
        <f>IFERROR(INDEX(PP_Grid[#Data],$DE489,95),0)</f>
        <v/>
      </c>
      <c r="CU489">
        <f>IFERROR(INDEX(PP_Grid[#Data],$DE489,96),0)</f>
        <v/>
      </c>
      <c r="CV489">
        <f>IFERROR(INDEX(PP_Grid[#Data],$DE489,97),0)</f>
        <v/>
      </c>
      <c r="CW489">
        <f>IFERROR(INDEX(PP_Grid[#Data],$DE489,98),0)</f>
        <v/>
      </c>
      <c r="CX489">
        <f>IFERROR(INDEX(PP_Grid[#Data],$DE489,99),0)</f>
        <v/>
      </c>
      <c r="CY489">
        <f>IFERROR(INDEX(PP_Grid[#Data],$DE489,100),0)</f>
        <v/>
      </c>
      <c r="CZ489">
        <f>IFERROR(INDEX(PP_Grid[#Data],$DE489,101),0)</f>
        <v/>
      </c>
      <c r="DA489">
        <f>IFERROR(INDEX(PP_Grid[#Data],$DE489,102),0)</f>
        <v/>
      </c>
      <c r="DB489">
        <f>IFERROR(INDEX(PP_Grid[#Data],$DE489,103),0)</f>
        <v/>
      </c>
      <c r="DC489">
        <f>IFERROR(INDEX(PP_Grid[#Data],$DE489,104),0)</f>
        <v/>
      </c>
      <c r="DD489">
        <f>IFERROR(INDEX(PP_Grid[#Data],$DE489,105),0)</f>
        <v/>
      </c>
      <c r="DE489" s="7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SUMIFS(M_BOM[RM_Qty_Per_Batch],M_BOM[Intermediate],$B489,M_BOM[RM_Code],$A340)</f>
        <v/>
      </c>
      <c r="D490">
        <f>IFERROR(INDEX(E490:DD490,$F$1),"")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  <c r="DD490">
        <f>$C490*DD489</f>
        <v/>
      </c>
    </row>
    <row r="491">
      <c r="B491" t="inlineStr">
        <is>
          <t>VSP-870</t>
        </is>
      </c>
      <c r="C491" t="inlineStr">
        <is>
          <t>No. of batches</t>
        </is>
      </c>
      <c r="D491">
        <f>IFERROR(INDEX(E491:DD491,$F$1),"")</f>
        <v/>
      </c>
      <c r="E491">
        <f>IFERROR(INDEX(PP_Grid[#Data],$DE491,2),0)</f>
        <v/>
      </c>
      <c r="F491">
        <f>IFERROR(INDEX(PP_Grid[#Data],$DE491,3),0)</f>
        <v/>
      </c>
      <c r="G491">
        <f>IFERROR(INDEX(PP_Grid[#Data],$DE491,4),0)</f>
        <v/>
      </c>
      <c r="H491">
        <f>IFERROR(INDEX(PP_Grid[#Data],$DE491,5),0)</f>
        <v/>
      </c>
      <c r="I491">
        <f>IFERROR(INDEX(PP_Grid[#Data],$DE491,6),0)</f>
        <v/>
      </c>
      <c r="J491">
        <f>IFERROR(INDEX(PP_Grid[#Data],$DE491,7),0)</f>
        <v/>
      </c>
      <c r="K491">
        <f>IFERROR(INDEX(PP_Grid[#Data],$DE491,8),0)</f>
        <v/>
      </c>
      <c r="L491">
        <f>IFERROR(INDEX(PP_Grid[#Data],$DE491,9),0)</f>
        <v/>
      </c>
      <c r="M491">
        <f>IFERROR(INDEX(PP_Grid[#Data],$DE491,10),0)</f>
        <v/>
      </c>
      <c r="N491">
        <f>IFERROR(INDEX(PP_Grid[#Data],$DE491,11),0)</f>
        <v/>
      </c>
      <c r="O491">
        <f>IFERROR(INDEX(PP_Grid[#Data],$DE491,12),0)</f>
        <v/>
      </c>
      <c r="P491">
        <f>IFERROR(INDEX(PP_Grid[#Data],$DE491,13),0)</f>
        <v/>
      </c>
      <c r="Q491">
        <f>IFERROR(INDEX(PP_Grid[#Data],$DE491,14),0)</f>
        <v/>
      </c>
      <c r="R491">
        <f>IFERROR(INDEX(PP_Grid[#Data],$DE491,15),0)</f>
        <v/>
      </c>
      <c r="S491">
        <f>IFERROR(INDEX(PP_Grid[#Data],$DE491,16),0)</f>
        <v/>
      </c>
      <c r="T491">
        <f>IFERROR(INDEX(PP_Grid[#Data],$DE491,17),0)</f>
        <v/>
      </c>
      <c r="U491">
        <f>IFERROR(INDEX(PP_Grid[#Data],$DE491,18),0)</f>
        <v/>
      </c>
      <c r="V491">
        <f>IFERROR(INDEX(PP_Grid[#Data],$DE491,19),0)</f>
        <v/>
      </c>
      <c r="W491">
        <f>IFERROR(INDEX(PP_Grid[#Data],$DE491,20),0)</f>
        <v/>
      </c>
      <c r="X491">
        <f>IFERROR(INDEX(PP_Grid[#Data],$DE491,21),0)</f>
        <v/>
      </c>
      <c r="Y491">
        <f>IFERROR(INDEX(PP_Grid[#Data],$DE491,22),0)</f>
        <v/>
      </c>
      <c r="Z491">
        <f>IFERROR(INDEX(PP_Grid[#Data],$DE491,23),0)</f>
        <v/>
      </c>
      <c r="AA491">
        <f>IFERROR(INDEX(PP_Grid[#Data],$DE491,24),0)</f>
        <v/>
      </c>
      <c r="AB491">
        <f>IFERROR(INDEX(PP_Grid[#Data],$DE491,25),0)</f>
        <v/>
      </c>
      <c r="AC491">
        <f>IFERROR(INDEX(PP_Grid[#Data],$DE491,26),0)</f>
        <v/>
      </c>
      <c r="AD491">
        <f>IFERROR(INDEX(PP_Grid[#Data],$DE491,27),0)</f>
        <v/>
      </c>
      <c r="AE491">
        <f>IFERROR(INDEX(PP_Grid[#Data],$DE491,28),0)</f>
        <v/>
      </c>
      <c r="AF491">
        <f>IFERROR(INDEX(PP_Grid[#Data],$DE491,29),0)</f>
        <v/>
      </c>
      <c r="AG491">
        <f>IFERROR(INDEX(PP_Grid[#Data],$DE491,30),0)</f>
        <v/>
      </c>
      <c r="AH491">
        <f>IFERROR(INDEX(PP_Grid[#Data],$DE491,31),0)</f>
        <v/>
      </c>
      <c r="AI491">
        <f>IFERROR(INDEX(PP_Grid[#Data],$DE491,32),0)</f>
        <v/>
      </c>
      <c r="AJ491">
        <f>IFERROR(INDEX(PP_Grid[#Data],$DE491,33),0)</f>
        <v/>
      </c>
      <c r="AK491">
        <f>IFERROR(INDEX(PP_Grid[#Data],$DE491,34),0)</f>
        <v/>
      </c>
      <c r="AL491">
        <f>IFERROR(INDEX(PP_Grid[#Data],$DE491,35),0)</f>
        <v/>
      </c>
      <c r="AM491">
        <f>IFERROR(INDEX(PP_Grid[#Data],$DE491,36),0)</f>
        <v/>
      </c>
      <c r="AN491">
        <f>IFERROR(INDEX(PP_Grid[#Data],$DE491,37),0)</f>
        <v/>
      </c>
      <c r="AO491">
        <f>IFERROR(INDEX(PP_Grid[#Data],$DE491,38),0)</f>
        <v/>
      </c>
      <c r="AP491">
        <f>IFERROR(INDEX(PP_Grid[#Data],$DE491,39),0)</f>
        <v/>
      </c>
      <c r="AQ491">
        <f>IFERROR(INDEX(PP_Grid[#Data],$DE491,40),0)</f>
        <v/>
      </c>
      <c r="AR491">
        <f>IFERROR(INDEX(PP_Grid[#Data],$DE491,41),0)</f>
        <v/>
      </c>
      <c r="AS491">
        <f>IFERROR(INDEX(PP_Grid[#Data],$DE491,42),0)</f>
        <v/>
      </c>
      <c r="AT491">
        <f>IFERROR(INDEX(PP_Grid[#Data],$DE491,43),0)</f>
        <v/>
      </c>
      <c r="AU491">
        <f>IFERROR(INDEX(PP_Grid[#Data],$DE491,44),0)</f>
        <v/>
      </c>
      <c r="AV491">
        <f>IFERROR(INDEX(PP_Grid[#Data],$DE491,45),0)</f>
        <v/>
      </c>
      <c r="AW491">
        <f>IFERROR(INDEX(PP_Grid[#Data],$DE491,46),0)</f>
        <v/>
      </c>
      <c r="AX491">
        <f>IFERROR(INDEX(PP_Grid[#Data],$DE491,47),0)</f>
        <v/>
      </c>
      <c r="AY491">
        <f>IFERROR(INDEX(PP_Grid[#Data],$DE491,48),0)</f>
        <v/>
      </c>
      <c r="AZ491">
        <f>IFERROR(INDEX(PP_Grid[#Data],$DE491,49),0)</f>
        <v/>
      </c>
      <c r="BA491">
        <f>IFERROR(INDEX(PP_Grid[#Data],$DE491,50),0)</f>
        <v/>
      </c>
      <c r="BB491">
        <f>IFERROR(INDEX(PP_Grid[#Data],$DE491,51),0)</f>
        <v/>
      </c>
      <c r="BC491">
        <f>IFERROR(INDEX(PP_Grid[#Data],$DE491,52),0)</f>
        <v/>
      </c>
      <c r="BD491">
        <f>IFERROR(INDEX(PP_Grid[#Data],$DE491,53),0)</f>
        <v/>
      </c>
      <c r="BE491">
        <f>IFERROR(INDEX(PP_Grid[#Data],$DE491,54),0)</f>
        <v/>
      </c>
      <c r="BF491">
        <f>IFERROR(INDEX(PP_Grid[#Data],$DE491,55),0)</f>
        <v/>
      </c>
      <c r="BG491">
        <f>IFERROR(INDEX(PP_Grid[#Data],$DE491,56),0)</f>
        <v/>
      </c>
      <c r="BH491">
        <f>IFERROR(INDEX(PP_Grid[#Data],$DE491,57),0)</f>
        <v/>
      </c>
      <c r="BI491">
        <f>IFERROR(INDEX(PP_Grid[#Data],$DE491,58),0)</f>
        <v/>
      </c>
      <c r="BJ491">
        <f>IFERROR(INDEX(PP_Grid[#Data],$DE491,59),0)</f>
        <v/>
      </c>
      <c r="BK491">
        <f>IFERROR(INDEX(PP_Grid[#Data],$DE491,60),0)</f>
        <v/>
      </c>
      <c r="BL491">
        <f>IFERROR(INDEX(PP_Grid[#Data],$DE491,61),0)</f>
        <v/>
      </c>
      <c r="BM491">
        <f>IFERROR(INDEX(PP_Grid[#Data],$DE491,62),0)</f>
        <v/>
      </c>
      <c r="BN491">
        <f>IFERROR(INDEX(PP_Grid[#Data],$DE491,63),0)</f>
        <v/>
      </c>
      <c r="BO491">
        <f>IFERROR(INDEX(PP_Grid[#Data],$DE491,64),0)</f>
        <v/>
      </c>
      <c r="BP491">
        <f>IFERROR(INDEX(PP_Grid[#Data],$DE491,65),0)</f>
        <v/>
      </c>
      <c r="BQ491">
        <f>IFERROR(INDEX(PP_Grid[#Data],$DE491,66),0)</f>
        <v/>
      </c>
      <c r="BR491">
        <f>IFERROR(INDEX(PP_Grid[#Data],$DE491,67),0)</f>
        <v/>
      </c>
      <c r="BS491">
        <f>IFERROR(INDEX(PP_Grid[#Data],$DE491,68),0)</f>
        <v/>
      </c>
      <c r="BT491">
        <f>IFERROR(INDEX(PP_Grid[#Data],$DE491,69),0)</f>
        <v/>
      </c>
      <c r="BU491">
        <f>IFERROR(INDEX(PP_Grid[#Data],$DE491,70),0)</f>
        <v/>
      </c>
      <c r="BV491">
        <f>IFERROR(INDEX(PP_Grid[#Data],$DE491,71),0)</f>
        <v/>
      </c>
      <c r="BW491">
        <f>IFERROR(INDEX(PP_Grid[#Data],$DE491,72),0)</f>
        <v/>
      </c>
      <c r="BX491">
        <f>IFERROR(INDEX(PP_Grid[#Data],$DE491,73),0)</f>
        <v/>
      </c>
      <c r="BY491">
        <f>IFERROR(INDEX(PP_Grid[#Data],$DE491,74),0)</f>
        <v/>
      </c>
      <c r="BZ491">
        <f>IFERROR(INDEX(PP_Grid[#Data],$DE491,75),0)</f>
        <v/>
      </c>
      <c r="CA491">
        <f>IFERROR(INDEX(PP_Grid[#Data],$DE491,76),0)</f>
        <v/>
      </c>
      <c r="CB491">
        <f>IFERROR(INDEX(PP_Grid[#Data],$DE491,77),0)</f>
        <v/>
      </c>
      <c r="CC491">
        <f>IFERROR(INDEX(PP_Grid[#Data],$DE491,78),0)</f>
        <v/>
      </c>
      <c r="CD491">
        <f>IFERROR(INDEX(PP_Grid[#Data],$DE491,79),0)</f>
        <v/>
      </c>
      <c r="CE491">
        <f>IFERROR(INDEX(PP_Grid[#Data],$DE491,80),0)</f>
        <v/>
      </c>
      <c r="CF491">
        <f>IFERROR(INDEX(PP_Grid[#Data],$DE491,81),0)</f>
        <v/>
      </c>
      <c r="CG491">
        <f>IFERROR(INDEX(PP_Grid[#Data],$DE491,82),0)</f>
        <v/>
      </c>
      <c r="CH491">
        <f>IFERROR(INDEX(PP_Grid[#Data],$DE491,83),0)</f>
        <v/>
      </c>
      <c r="CI491">
        <f>IFERROR(INDEX(PP_Grid[#Data],$DE491,84),0)</f>
        <v/>
      </c>
      <c r="CJ491">
        <f>IFERROR(INDEX(PP_Grid[#Data],$DE491,85),0)</f>
        <v/>
      </c>
      <c r="CK491">
        <f>IFERROR(INDEX(PP_Grid[#Data],$DE491,86),0)</f>
        <v/>
      </c>
      <c r="CL491">
        <f>IFERROR(INDEX(PP_Grid[#Data],$DE491,87),0)</f>
        <v/>
      </c>
      <c r="CM491">
        <f>IFERROR(INDEX(PP_Grid[#Data],$DE491,88),0)</f>
        <v/>
      </c>
      <c r="CN491">
        <f>IFERROR(INDEX(PP_Grid[#Data],$DE491,89),0)</f>
        <v/>
      </c>
      <c r="CO491">
        <f>IFERROR(INDEX(PP_Grid[#Data],$DE491,90),0)</f>
        <v/>
      </c>
      <c r="CP491">
        <f>IFERROR(INDEX(PP_Grid[#Data],$DE491,91),0)</f>
        <v/>
      </c>
      <c r="CQ491">
        <f>IFERROR(INDEX(PP_Grid[#Data],$DE491,92),0)</f>
        <v/>
      </c>
      <c r="CR491">
        <f>IFERROR(INDEX(PP_Grid[#Data],$DE491,93),0)</f>
        <v/>
      </c>
      <c r="CS491">
        <f>IFERROR(INDEX(PP_Grid[#Data],$DE491,94),0)</f>
        <v/>
      </c>
      <c r="CT491">
        <f>IFERROR(INDEX(PP_Grid[#Data],$DE491,95),0)</f>
        <v/>
      </c>
      <c r="CU491">
        <f>IFERROR(INDEX(PP_Grid[#Data],$DE491,96),0)</f>
        <v/>
      </c>
      <c r="CV491">
        <f>IFERROR(INDEX(PP_Grid[#Data],$DE491,97),0)</f>
        <v/>
      </c>
      <c r="CW491">
        <f>IFERROR(INDEX(PP_Grid[#Data],$DE491,98),0)</f>
        <v/>
      </c>
      <c r="CX491">
        <f>IFERROR(INDEX(PP_Grid[#Data],$DE491,99),0)</f>
        <v/>
      </c>
      <c r="CY491">
        <f>IFERROR(INDEX(PP_Grid[#Data],$DE491,100),0)</f>
        <v/>
      </c>
      <c r="CZ491">
        <f>IFERROR(INDEX(PP_Grid[#Data],$DE491,101),0)</f>
        <v/>
      </c>
      <c r="DA491">
        <f>IFERROR(INDEX(PP_Grid[#Data],$DE491,102),0)</f>
        <v/>
      </c>
      <c r="DB491">
        <f>IFERROR(INDEX(PP_Grid[#Data],$DE491,103),0)</f>
        <v/>
      </c>
      <c r="DC491">
        <f>IFERROR(INDEX(PP_Grid[#Data],$DE491,104),0)</f>
        <v/>
      </c>
      <c r="DD491">
        <f>IFERROR(INDEX(PP_Grid[#Data],$DE491,105),0)</f>
        <v/>
      </c>
      <c r="DE491" s="7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SUMIFS(M_BOM[RM_Qty_Per_Batch],M_BOM[Intermediate],$B491,M_BOM[RM_Code],$A340)</f>
        <v/>
      </c>
      <c r="D492">
        <f>IFERROR(INDEX(E492:DD492,$F$1),"")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  <c r="DD492">
        <f>$C492*DD491</f>
        <v/>
      </c>
    </row>
    <row r="493">
      <c r="B493" t="inlineStr">
        <is>
          <t>VSP-910</t>
        </is>
      </c>
      <c r="C493" t="inlineStr">
        <is>
          <t>No. of batches</t>
        </is>
      </c>
      <c r="D493">
        <f>IFERROR(INDEX(E493:DD493,$F$1),"")</f>
        <v/>
      </c>
      <c r="E493">
        <f>IFERROR(INDEX(PP_Grid[#Data],$DE493,2),0)</f>
        <v/>
      </c>
      <c r="F493">
        <f>IFERROR(INDEX(PP_Grid[#Data],$DE493,3),0)</f>
        <v/>
      </c>
      <c r="G493">
        <f>IFERROR(INDEX(PP_Grid[#Data],$DE493,4),0)</f>
        <v/>
      </c>
      <c r="H493">
        <f>IFERROR(INDEX(PP_Grid[#Data],$DE493,5),0)</f>
        <v/>
      </c>
      <c r="I493">
        <f>IFERROR(INDEX(PP_Grid[#Data],$DE493,6),0)</f>
        <v/>
      </c>
      <c r="J493">
        <f>IFERROR(INDEX(PP_Grid[#Data],$DE493,7),0)</f>
        <v/>
      </c>
      <c r="K493">
        <f>IFERROR(INDEX(PP_Grid[#Data],$DE493,8),0)</f>
        <v/>
      </c>
      <c r="L493">
        <f>IFERROR(INDEX(PP_Grid[#Data],$DE493,9),0)</f>
        <v/>
      </c>
      <c r="M493">
        <f>IFERROR(INDEX(PP_Grid[#Data],$DE493,10),0)</f>
        <v/>
      </c>
      <c r="N493">
        <f>IFERROR(INDEX(PP_Grid[#Data],$DE493,11),0)</f>
        <v/>
      </c>
      <c r="O493">
        <f>IFERROR(INDEX(PP_Grid[#Data],$DE493,12),0)</f>
        <v/>
      </c>
      <c r="P493">
        <f>IFERROR(INDEX(PP_Grid[#Data],$DE493,13),0)</f>
        <v/>
      </c>
      <c r="Q493">
        <f>IFERROR(INDEX(PP_Grid[#Data],$DE493,14),0)</f>
        <v/>
      </c>
      <c r="R493">
        <f>IFERROR(INDEX(PP_Grid[#Data],$DE493,15),0)</f>
        <v/>
      </c>
      <c r="S493">
        <f>IFERROR(INDEX(PP_Grid[#Data],$DE493,16),0)</f>
        <v/>
      </c>
      <c r="T493">
        <f>IFERROR(INDEX(PP_Grid[#Data],$DE493,17),0)</f>
        <v/>
      </c>
      <c r="U493">
        <f>IFERROR(INDEX(PP_Grid[#Data],$DE493,18),0)</f>
        <v/>
      </c>
      <c r="V493">
        <f>IFERROR(INDEX(PP_Grid[#Data],$DE493,19),0)</f>
        <v/>
      </c>
      <c r="W493">
        <f>IFERROR(INDEX(PP_Grid[#Data],$DE493,20),0)</f>
        <v/>
      </c>
      <c r="X493">
        <f>IFERROR(INDEX(PP_Grid[#Data],$DE493,21),0)</f>
        <v/>
      </c>
      <c r="Y493">
        <f>IFERROR(INDEX(PP_Grid[#Data],$DE493,22),0)</f>
        <v/>
      </c>
      <c r="Z493">
        <f>IFERROR(INDEX(PP_Grid[#Data],$DE493,23),0)</f>
        <v/>
      </c>
      <c r="AA493">
        <f>IFERROR(INDEX(PP_Grid[#Data],$DE493,24),0)</f>
        <v/>
      </c>
      <c r="AB493">
        <f>IFERROR(INDEX(PP_Grid[#Data],$DE493,25),0)</f>
        <v/>
      </c>
      <c r="AC493">
        <f>IFERROR(INDEX(PP_Grid[#Data],$DE493,26),0)</f>
        <v/>
      </c>
      <c r="AD493">
        <f>IFERROR(INDEX(PP_Grid[#Data],$DE493,27),0)</f>
        <v/>
      </c>
      <c r="AE493">
        <f>IFERROR(INDEX(PP_Grid[#Data],$DE493,28),0)</f>
        <v/>
      </c>
      <c r="AF493">
        <f>IFERROR(INDEX(PP_Grid[#Data],$DE493,29),0)</f>
        <v/>
      </c>
      <c r="AG493">
        <f>IFERROR(INDEX(PP_Grid[#Data],$DE493,30),0)</f>
        <v/>
      </c>
      <c r="AH493">
        <f>IFERROR(INDEX(PP_Grid[#Data],$DE493,31),0)</f>
        <v/>
      </c>
      <c r="AI493">
        <f>IFERROR(INDEX(PP_Grid[#Data],$DE493,32),0)</f>
        <v/>
      </c>
      <c r="AJ493">
        <f>IFERROR(INDEX(PP_Grid[#Data],$DE493,33),0)</f>
        <v/>
      </c>
      <c r="AK493">
        <f>IFERROR(INDEX(PP_Grid[#Data],$DE493,34),0)</f>
        <v/>
      </c>
      <c r="AL493">
        <f>IFERROR(INDEX(PP_Grid[#Data],$DE493,35),0)</f>
        <v/>
      </c>
      <c r="AM493">
        <f>IFERROR(INDEX(PP_Grid[#Data],$DE493,36),0)</f>
        <v/>
      </c>
      <c r="AN493">
        <f>IFERROR(INDEX(PP_Grid[#Data],$DE493,37),0)</f>
        <v/>
      </c>
      <c r="AO493">
        <f>IFERROR(INDEX(PP_Grid[#Data],$DE493,38),0)</f>
        <v/>
      </c>
      <c r="AP493">
        <f>IFERROR(INDEX(PP_Grid[#Data],$DE493,39),0)</f>
        <v/>
      </c>
      <c r="AQ493">
        <f>IFERROR(INDEX(PP_Grid[#Data],$DE493,40),0)</f>
        <v/>
      </c>
      <c r="AR493">
        <f>IFERROR(INDEX(PP_Grid[#Data],$DE493,41),0)</f>
        <v/>
      </c>
      <c r="AS493">
        <f>IFERROR(INDEX(PP_Grid[#Data],$DE493,42),0)</f>
        <v/>
      </c>
      <c r="AT493">
        <f>IFERROR(INDEX(PP_Grid[#Data],$DE493,43),0)</f>
        <v/>
      </c>
      <c r="AU493">
        <f>IFERROR(INDEX(PP_Grid[#Data],$DE493,44),0)</f>
        <v/>
      </c>
      <c r="AV493">
        <f>IFERROR(INDEX(PP_Grid[#Data],$DE493,45),0)</f>
        <v/>
      </c>
      <c r="AW493">
        <f>IFERROR(INDEX(PP_Grid[#Data],$DE493,46),0)</f>
        <v/>
      </c>
      <c r="AX493">
        <f>IFERROR(INDEX(PP_Grid[#Data],$DE493,47),0)</f>
        <v/>
      </c>
      <c r="AY493">
        <f>IFERROR(INDEX(PP_Grid[#Data],$DE493,48),0)</f>
        <v/>
      </c>
      <c r="AZ493">
        <f>IFERROR(INDEX(PP_Grid[#Data],$DE493,49),0)</f>
        <v/>
      </c>
      <c r="BA493">
        <f>IFERROR(INDEX(PP_Grid[#Data],$DE493,50),0)</f>
        <v/>
      </c>
      <c r="BB493">
        <f>IFERROR(INDEX(PP_Grid[#Data],$DE493,51),0)</f>
        <v/>
      </c>
      <c r="BC493">
        <f>IFERROR(INDEX(PP_Grid[#Data],$DE493,52),0)</f>
        <v/>
      </c>
      <c r="BD493">
        <f>IFERROR(INDEX(PP_Grid[#Data],$DE493,53),0)</f>
        <v/>
      </c>
      <c r="BE493">
        <f>IFERROR(INDEX(PP_Grid[#Data],$DE493,54),0)</f>
        <v/>
      </c>
      <c r="BF493">
        <f>IFERROR(INDEX(PP_Grid[#Data],$DE493,55),0)</f>
        <v/>
      </c>
      <c r="BG493">
        <f>IFERROR(INDEX(PP_Grid[#Data],$DE493,56),0)</f>
        <v/>
      </c>
      <c r="BH493">
        <f>IFERROR(INDEX(PP_Grid[#Data],$DE493,57),0)</f>
        <v/>
      </c>
      <c r="BI493">
        <f>IFERROR(INDEX(PP_Grid[#Data],$DE493,58),0)</f>
        <v/>
      </c>
      <c r="BJ493">
        <f>IFERROR(INDEX(PP_Grid[#Data],$DE493,59),0)</f>
        <v/>
      </c>
      <c r="BK493">
        <f>IFERROR(INDEX(PP_Grid[#Data],$DE493,60),0)</f>
        <v/>
      </c>
      <c r="BL493">
        <f>IFERROR(INDEX(PP_Grid[#Data],$DE493,61),0)</f>
        <v/>
      </c>
      <c r="BM493">
        <f>IFERROR(INDEX(PP_Grid[#Data],$DE493,62),0)</f>
        <v/>
      </c>
      <c r="BN493">
        <f>IFERROR(INDEX(PP_Grid[#Data],$DE493,63),0)</f>
        <v/>
      </c>
      <c r="BO493">
        <f>IFERROR(INDEX(PP_Grid[#Data],$DE493,64),0)</f>
        <v/>
      </c>
      <c r="BP493">
        <f>IFERROR(INDEX(PP_Grid[#Data],$DE493,65),0)</f>
        <v/>
      </c>
      <c r="BQ493">
        <f>IFERROR(INDEX(PP_Grid[#Data],$DE493,66),0)</f>
        <v/>
      </c>
      <c r="BR493">
        <f>IFERROR(INDEX(PP_Grid[#Data],$DE493,67),0)</f>
        <v/>
      </c>
      <c r="BS493">
        <f>IFERROR(INDEX(PP_Grid[#Data],$DE493,68),0)</f>
        <v/>
      </c>
      <c r="BT493">
        <f>IFERROR(INDEX(PP_Grid[#Data],$DE493,69),0)</f>
        <v/>
      </c>
      <c r="BU493">
        <f>IFERROR(INDEX(PP_Grid[#Data],$DE493,70),0)</f>
        <v/>
      </c>
      <c r="BV493">
        <f>IFERROR(INDEX(PP_Grid[#Data],$DE493,71),0)</f>
        <v/>
      </c>
      <c r="BW493">
        <f>IFERROR(INDEX(PP_Grid[#Data],$DE493,72),0)</f>
        <v/>
      </c>
      <c r="BX493">
        <f>IFERROR(INDEX(PP_Grid[#Data],$DE493,73),0)</f>
        <v/>
      </c>
      <c r="BY493">
        <f>IFERROR(INDEX(PP_Grid[#Data],$DE493,74),0)</f>
        <v/>
      </c>
      <c r="BZ493">
        <f>IFERROR(INDEX(PP_Grid[#Data],$DE493,75),0)</f>
        <v/>
      </c>
      <c r="CA493">
        <f>IFERROR(INDEX(PP_Grid[#Data],$DE493,76),0)</f>
        <v/>
      </c>
      <c r="CB493">
        <f>IFERROR(INDEX(PP_Grid[#Data],$DE493,77),0)</f>
        <v/>
      </c>
      <c r="CC493">
        <f>IFERROR(INDEX(PP_Grid[#Data],$DE493,78),0)</f>
        <v/>
      </c>
      <c r="CD493">
        <f>IFERROR(INDEX(PP_Grid[#Data],$DE493,79),0)</f>
        <v/>
      </c>
      <c r="CE493">
        <f>IFERROR(INDEX(PP_Grid[#Data],$DE493,80),0)</f>
        <v/>
      </c>
      <c r="CF493">
        <f>IFERROR(INDEX(PP_Grid[#Data],$DE493,81),0)</f>
        <v/>
      </c>
      <c r="CG493">
        <f>IFERROR(INDEX(PP_Grid[#Data],$DE493,82),0)</f>
        <v/>
      </c>
      <c r="CH493">
        <f>IFERROR(INDEX(PP_Grid[#Data],$DE493,83),0)</f>
        <v/>
      </c>
      <c r="CI493">
        <f>IFERROR(INDEX(PP_Grid[#Data],$DE493,84),0)</f>
        <v/>
      </c>
      <c r="CJ493">
        <f>IFERROR(INDEX(PP_Grid[#Data],$DE493,85),0)</f>
        <v/>
      </c>
      <c r="CK493">
        <f>IFERROR(INDEX(PP_Grid[#Data],$DE493,86),0)</f>
        <v/>
      </c>
      <c r="CL493">
        <f>IFERROR(INDEX(PP_Grid[#Data],$DE493,87),0)</f>
        <v/>
      </c>
      <c r="CM493">
        <f>IFERROR(INDEX(PP_Grid[#Data],$DE493,88),0)</f>
        <v/>
      </c>
      <c r="CN493">
        <f>IFERROR(INDEX(PP_Grid[#Data],$DE493,89),0)</f>
        <v/>
      </c>
      <c r="CO493">
        <f>IFERROR(INDEX(PP_Grid[#Data],$DE493,90),0)</f>
        <v/>
      </c>
      <c r="CP493">
        <f>IFERROR(INDEX(PP_Grid[#Data],$DE493,91),0)</f>
        <v/>
      </c>
      <c r="CQ493">
        <f>IFERROR(INDEX(PP_Grid[#Data],$DE493,92),0)</f>
        <v/>
      </c>
      <c r="CR493">
        <f>IFERROR(INDEX(PP_Grid[#Data],$DE493,93),0)</f>
        <v/>
      </c>
      <c r="CS493">
        <f>IFERROR(INDEX(PP_Grid[#Data],$DE493,94),0)</f>
        <v/>
      </c>
      <c r="CT493">
        <f>IFERROR(INDEX(PP_Grid[#Data],$DE493,95),0)</f>
        <v/>
      </c>
      <c r="CU493">
        <f>IFERROR(INDEX(PP_Grid[#Data],$DE493,96),0)</f>
        <v/>
      </c>
      <c r="CV493">
        <f>IFERROR(INDEX(PP_Grid[#Data],$DE493,97),0)</f>
        <v/>
      </c>
      <c r="CW493">
        <f>IFERROR(INDEX(PP_Grid[#Data],$DE493,98),0)</f>
        <v/>
      </c>
      <c r="CX493">
        <f>IFERROR(INDEX(PP_Grid[#Data],$DE493,99),0)</f>
        <v/>
      </c>
      <c r="CY493">
        <f>IFERROR(INDEX(PP_Grid[#Data],$DE493,100),0)</f>
        <v/>
      </c>
      <c r="CZ493">
        <f>IFERROR(INDEX(PP_Grid[#Data],$DE493,101),0)</f>
        <v/>
      </c>
      <c r="DA493">
        <f>IFERROR(INDEX(PP_Grid[#Data],$DE493,102),0)</f>
        <v/>
      </c>
      <c r="DB493">
        <f>IFERROR(INDEX(PP_Grid[#Data],$DE493,103),0)</f>
        <v/>
      </c>
      <c r="DC493">
        <f>IFERROR(INDEX(PP_Grid[#Data],$DE493,104),0)</f>
        <v/>
      </c>
      <c r="DD493">
        <f>IFERROR(INDEX(PP_Grid[#Data],$DE493,105),0)</f>
        <v/>
      </c>
      <c r="DE493" s="7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SUMIFS(M_BOM[RM_Qty_Per_Batch],M_BOM[Intermediate],$B493,M_BOM[RM_Code],$A340)</f>
        <v/>
      </c>
      <c r="D494">
        <f>IFERROR(INDEX(E494:DD494,$F$1),"")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  <c r="DD494">
        <f>$C494*DD493</f>
        <v/>
      </c>
    </row>
    <row r="495">
      <c r="B495" t="inlineStr">
        <is>
          <t>VSP-989</t>
        </is>
      </c>
      <c r="C495" t="inlineStr">
        <is>
          <t>No. of batches</t>
        </is>
      </c>
      <c r="D495">
        <f>IFERROR(INDEX(E495:DD495,$F$1),"")</f>
        <v/>
      </c>
      <c r="E495">
        <f>IFERROR(INDEX(PP_Grid[#Data],$DE495,2),0)</f>
        <v/>
      </c>
      <c r="F495">
        <f>IFERROR(INDEX(PP_Grid[#Data],$DE495,3),0)</f>
        <v/>
      </c>
      <c r="G495">
        <f>IFERROR(INDEX(PP_Grid[#Data],$DE495,4),0)</f>
        <v/>
      </c>
      <c r="H495">
        <f>IFERROR(INDEX(PP_Grid[#Data],$DE495,5),0)</f>
        <v/>
      </c>
      <c r="I495">
        <f>IFERROR(INDEX(PP_Grid[#Data],$DE495,6),0)</f>
        <v/>
      </c>
      <c r="J495">
        <f>IFERROR(INDEX(PP_Grid[#Data],$DE495,7),0)</f>
        <v/>
      </c>
      <c r="K495">
        <f>IFERROR(INDEX(PP_Grid[#Data],$DE495,8),0)</f>
        <v/>
      </c>
      <c r="L495">
        <f>IFERROR(INDEX(PP_Grid[#Data],$DE495,9),0)</f>
        <v/>
      </c>
      <c r="M495">
        <f>IFERROR(INDEX(PP_Grid[#Data],$DE495,10),0)</f>
        <v/>
      </c>
      <c r="N495">
        <f>IFERROR(INDEX(PP_Grid[#Data],$DE495,11),0)</f>
        <v/>
      </c>
      <c r="O495">
        <f>IFERROR(INDEX(PP_Grid[#Data],$DE495,12),0)</f>
        <v/>
      </c>
      <c r="P495">
        <f>IFERROR(INDEX(PP_Grid[#Data],$DE495,13),0)</f>
        <v/>
      </c>
      <c r="Q495">
        <f>IFERROR(INDEX(PP_Grid[#Data],$DE495,14),0)</f>
        <v/>
      </c>
      <c r="R495">
        <f>IFERROR(INDEX(PP_Grid[#Data],$DE495,15),0)</f>
        <v/>
      </c>
      <c r="S495">
        <f>IFERROR(INDEX(PP_Grid[#Data],$DE495,16),0)</f>
        <v/>
      </c>
      <c r="T495">
        <f>IFERROR(INDEX(PP_Grid[#Data],$DE495,17),0)</f>
        <v/>
      </c>
      <c r="U495">
        <f>IFERROR(INDEX(PP_Grid[#Data],$DE495,18),0)</f>
        <v/>
      </c>
      <c r="V495">
        <f>IFERROR(INDEX(PP_Grid[#Data],$DE495,19),0)</f>
        <v/>
      </c>
      <c r="W495">
        <f>IFERROR(INDEX(PP_Grid[#Data],$DE495,20),0)</f>
        <v/>
      </c>
      <c r="X495">
        <f>IFERROR(INDEX(PP_Grid[#Data],$DE495,21),0)</f>
        <v/>
      </c>
      <c r="Y495">
        <f>IFERROR(INDEX(PP_Grid[#Data],$DE495,22),0)</f>
        <v/>
      </c>
      <c r="Z495">
        <f>IFERROR(INDEX(PP_Grid[#Data],$DE495,23),0)</f>
        <v/>
      </c>
      <c r="AA495">
        <f>IFERROR(INDEX(PP_Grid[#Data],$DE495,24),0)</f>
        <v/>
      </c>
      <c r="AB495">
        <f>IFERROR(INDEX(PP_Grid[#Data],$DE495,25),0)</f>
        <v/>
      </c>
      <c r="AC495">
        <f>IFERROR(INDEX(PP_Grid[#Data],$DE495,26),0)</f>
        <v/>
      </c>
      <c r="AD495">
        <f>IFERROR(INDEX(PP_Grid[#Data],$DE495,27),0)</f>
        <v/>
      </c>
      <c r="AE495">
        <f>IFERROR(INDEX(PP_Grid[#Data],$DE495,28),0)</f>
        <v/>
      </c>
      <c r="AF495">
        <f>IFERROR(INDEX(PP_Grid[#Data],$DE495,29),0)</f>
        <v/>
      </c>
      <c r="AG495">
        <f>IFERROR(INDEX(PP_Grid[#Data],$DE495,30),0)</f>
        <v/>
      </c>
      <c r="AH495">
        <f>IFERROR(INDEX(PP_Grid[#Data],$DE495,31),0)</f>
        <v/>
      </c>
      <c r="AI495">
        <f>IFERROR(INDEX(PP_Grid[#Data],$DE495,32),0)</f>
        <v/>
      </c>
      <c r="AJ495">
        <f>IFERROR(INDEX(PP_Grid[#Data],$DE495,33),0)</f>
        <v/>
      </c>
      <c r="AK495">
        <f>IFERROR(INDEX(PP_Grid[#Data],$DE495,34),0)</f>
        <v/>
      </c>
      <c r="AL495">
        <f>IFERROR(INDEX(PP_Grid[#Data],$DE495,35),0)</f>
        <v/>
      </c>
      <c r="AM495">
        <f>IFERROR(INDEX(PP_Grid[#Data],$DE495,36),0)</f>
        <v/>
      </c>
      <c r="AN495">
        <f>IFERROR(INDEX(PP_Grid[#Data],$DE495,37),0)</f>
        <v/>
      </c>
      <c r="AO495">
        <f>IFERROR(INDEX(PP_Grid[#Data],$DE495,38),0)</f>
        <v/>
      </c>
      <c r="AP495">
        <f>IFERROR(INDEX(PP_Grid[#Data],$DE495,39),0)</f>
        <v/>
      </c>
      <c r="AQ495">
        <f>IFERROR(INDEX(PP_Grid[#Data],$DE495,40),0)</f>
        <v/>
      </c>
      <c r="AR495">
        <f>IFERROR(INDEX(PP_Grid[#Data],$DE495,41),0)</f>
        <v/>
      </c>
      <c r="AS495">
        <f>IFERROR(INDEX(PP_Grid[#Data],$DE495,42),0)</f>
        <v/>
      </c>
      <c r="AT495">
        <f>IFERROR(INDEX(PP_Grid[#Data],$DE495,43),0)</f>
        <v/>
      </c>
      <c r="AU495">
        <f>IFERROR(INDEX(PP_Grid[#Data],$DE495,44),0)</f>
        <v/>
      </c>
      <c r="AV495">
        <f>IFERROR(INDEX(PP_Grid[#Data],$DE495,45),0)</f>
        <v/>
      </c>
      <c r="AW495">
        <f>IFERROR(INDEX(PP_Grid[#Data],$DE495,46),0)</f>
        <v/>
      </c>
      <c r="AX495">
        <f>IFERROR(INDEX(PP_Grid[#Data],$DE495,47),0)</f>
        <v/>
      </c>
      <c r="AY495">
        <f>IFERROR(INDEX(PP_Grid[#Data],$DE495,48),0)</f>
        <v/>
      </c>
      <c r="AZ495">
        <f>IFERROR(INDEX(PP_Grid[#Data],$DE495,49),0)</f>
        <v/>
      </c>
      <c r="BA495">
        <f>IFERROR(INDEX(PP_Grid[#Data],$DE495,50),0)</f>
        <v/>
      </c>
      <c r="BB495">
        <f>IFERROR(INDEX(PP_Grid[#Data],$DE495,51),0)</f>
        <v/>
      </c>
      <c r="BC495">
        <f>IFERROR(INDEX(PP_Grid[#Data],$DE495,52),0)</f>
        <v/>
      </c>
      <c r="BD495">
        <f>IFERROR(INDEX(PP_Grid[#Data],$DE495,53),0)</f>
        <v/>
      </c>
      <c r="BE495">
        <f>IFERROR(INDEX(PP_Grid[#Data],$DE495,54),0)</f>
        <v/>
      </c>
      <c r="BF495">
        <f>IFERROR(INDEX(PP_Grid[#Data],$DE495,55),0)</f>
        <v/>
      </c>
      <c r="BG495">
        <f>IFERROR(INDEX(PP_Grid[#Data],$DE495,56),0)</f>
        <v/>
      </c>
      <c r="BH495">
        <f>IFERROR(INDEX(PP_Grid[#Data],$DE495,57),0)</f>
        <v/>
      </c>
      <c r="BI495">
        <f>IFERROR(INDEX(PP_Grid[#Data],$DE495,58),0)</f>
        <v/>
      </c>
      <c r="BJ495">
        <f>IFERROR(INDEX(PP_Grid[#Data],$DE495,59),0)</f>
        <v/>
      </c>
      <c r="BK495">
        <f>IFERROR(INDEX(PP_Grid[#Data],$DE495,60),0)</f>
        <v/>
      </c>
      <c r="BL495">
        <f>IFERROR(INDEX(PP_Grid[#Data],$DE495,61),0)</f>
        <v/>
      </c>
      <c r="BM495">
        <f>IFERROR(INDEX(PP_Grid[#Data],$DE495,62),0)</f>
        <v/>
      </c>
      <c r="BN495">
        <f>IFERROR(INDEX(PP_Grid[#Data],$DE495,63),0)</f>
        <v/>
      </c>
      <c r="BO495">
        <f>IFERROR(INDEX(PP_Grid[#Data],$DE495,64),0)</f>
        <v/>
      </c>
      <c r="BP495">
        <f>IFERROR(INDEX(PP_Grid[#Data],$DE495,65),0)</f>
        <v/>
      </c>
      <c r="BQ495">
        <f>IFERROR(INDEX(PP_Grid[#Data],$DE495,66),0)</f>
        <v/>
      </c>
      <c r="BR495">
        <f>IFERROR(INDEX(PP_Grid[#Data],$DE495,67),0)</f>
        <v/>
      </c>
      <c r="BS495">
        <f>IFERROR(INDEX(PP_Grid[#Data],$DE495,68),0)</f>
        <v/>
      </c>
      <c r="BT495">
        <f>IFERROR(INDEX(PP_Grid[#Data],$DE495,69),0)</f>
        <v/>
      </c>
      <c r="BU495">
        <f>IFERROR(INDEX(PP_Grid[#Data],$DE495,70),0)</f>
        <v/>
      </c>
      <c r="BV495">
        <f>IFERROR(INDEX(PP_Grid[#Data],$DE495,71),0)</f>
        <v/>
      </c>
      <c r="BW495">
        <f>IFERROR(INDEX(PP_Grid[#Data],$DE495,72),0)</f>
        <v/>
      </c>
      <c r="BX495">
        <f>IFERROR(INDEX(PP_Grid[#Data],$DE495,73),0)</f>
        <v/>
      </c>
      <c r="BY495">
        <f>IFERROR(INDEX(PP_Grid[#Data],$DE495,74),0)</f>
        <v/>
      </c>
      <c r="BZ495">
        <f>IFERROR(INDEX(PP_Grid[#Data],$DE495,75),0)</f>
        <v/>
      </c>
      <c r="CA495">
        <f>IFERROR(INDEX(PP_Grid[#Data],$DE495,76),0)</f>
        <v/>
      </c>
      <c r="CB495">
        <f>IFERROR(INDEX(PP_Grid[#Data],$DE495,77),0)</f>
        <v/>
      </c>
      <c r="CC495">
        <f>IFERROR(INDEX(PP_Grid[#Data],$DE495,78),0)</f>
        <v/>
      </c>
      <c r="CD495">
        <f>IFERROR(INDEX(PP_Grid[#Data],$DE495,79),0)</f>
        <v/>
      </c>
      <c r="CE495">
        <f>IFERROR(INDEX(PP_Grid[#Data],$DE495,80),0)</f>
        <v/>
      </c>
      <c r="CF495">
        <f>IFERROR(INDEX(PP_Grid[#Data],$DE495,81),0)</f>
        <v/>
      </c>
      <c r="CG495">
        <f>IFERROR(INDEX(PP_Grid[#Data],$DE495,82),0)</f>
        <v/>
      </c>
      <c r="CH495">
        <f>IFERROR(INDEX(PP_Grid[#Data],$DE495,83),0)</f>
        <v/>
      </c>
      <c r="CI495">
        <f>IFERROR(INDEX(PP_Grid[#Data],$DE495,84),0)</f>
        <v/>
      </c>
      <c r="CJ495">
        <f>IFERROR(INDEX(PP_Grid[#Data],$DE495,85),0)</f>
        <v/>
      </c>
      <c r="CK495">
        <f>IFERROR(INDEX(PP_Grid[#Data],$DE495,86),0)</f>
        <v/>
      </c>
      <c r="CL495">
        <f>IFERROR(INDEX(PP_Grid[#Data],$DE495,87),0)</f>
        <v/>
      </c>
      <c r="CM495">
        <f>IFERROR(INDEX(PP_Grid[#Data],$DE495,88),0)</f>
        <v/>
      </c>
      <c r="CN495">
        <f>IFERROR(INDEX(PP_Grid[#Data],$DE495,89),0)</f>
        <v/>
      </c>
      <c r="CO495">
        <f>IFERROR(INDEX(PP_Grid[#Data],$DE495,90),0)</f>
        <v/>
      </c>
      <c r="CP495">
        <f>IFERROR(INDEX(PP_Grid[#Data],$DE495,91),0)</f>
        <v/>
      </c>
      <c r="CQ495">
        <f>IFERROR(INDEX(PP_Grid[#Data],$DE495,92),0)</f>
        <v/>
      </c>
      <c r="CR495">
        <f>IFERROR(INDEX(PP_Grid[#Data],$DE495,93),0)</f>
        <v/>
      </c>
      <c r="CS495">
        <f>IFERROR(INDEX(PP_Grid[#Data],$DE495,94),0)</f>
        <v/>
      </c>
      <c r="CT495">
        <f>IFERROR(INDEX(PP_Grid[#Data],$DE495,95),0)</f>
        <v/>
      </c>
      <c r="CU495">
        <f>IFERROR(INDEX(PP_Grid[#Data],$DE495,96),0)</f>
        <v/>
      </c>
      <c r="CV495">
        <f>IFERROR(INDEX(PP_Grid[#Data],$DE495,97),0)</f>
        <v/>
      </c>
      <c r="CW495">
        <f>IFERROR(INDEX(PP_Grid[#Data],$DE495,98),0)</f>
        <v/>
      </c>
      <c r="CX495">
        <f>IFERROR(INDEX(PP_Grid[#Data],$DE495,99),0)</f>
        <v/>
      </c>
      <c r="CY495">
        <f>IFERROR(INDEX(PP_Grid[#Data],$DE495,100),0)</f>
        <v/>
      </c>
      <c r="CZ495">
        <f>IFERROR(INDEX(PP_Grid[#Data],$DE495,101),0)</f>
        <v/>
      </c>
      <c r="DA495">
        <f>IFERROR(INDEX(PP_Grid[#Data],$DE495,102),0)</f>
        <v/>
      </c>
      <c r="DB495">
        <f>IFERROR(INDEX(PP_Grid[#Data],$DE495,103),0)</f>
        <v/>
      </c>
      <c r="DC495">
        <f>IFERROR(INDEX(PP_Grid[#Data],$DE495,104),0)</f>
        <v/>
      </c>
      <c r="DD495">
        <f>IFERROR(INDEX(PP_Grid[#Data],$DE495,105),0)</f>
        <v/>
      </c>
      <c r="DE495" s="7">
        <f>IFERROR(MATCH($B495,PP_Grid[Intermediate],0),99999)</f>
        <v/>
      </c>
    </row>
    <row r="496">
      <c r="B496" t="inlineStr">
        <is>
          <t>使用量(kg)</t>
        </is>
      </c>
      <c r="C496">
        <f>SUMIFS(M_BOM[RM_Qty_Per_Batch],M_BOM[Intermediate],$B495,M_BOM[RM_Code],$A340)</f>
        <v/>
      </c>
      <c r="D496">
        <f>IFERROR(INDEX(E496:DD496,$F$1),"")</f>
        <v/>
      </c>
      <c r="E496">
        <f>$C496*E495</f>
        <v/>
      </c>
      <c r="F496">
        <f>$C496*F495</f>
        <v/>
      </c>
      <c r="G496">
        <f>$C496*G495</f>
        <v/>
      </c>
      <c r="H496">
        <f>$C496*H495</f>
        <v/>
      </c>
      <c r="I496">
        <f>$C496*I495</f>
        <v/>
      </c>
      <c r="J496">
        <f>$C496*J495</f>
        <v/>
      </c>
      <c r="K496">
        <f>$C496*K495</f>
        <v/>
      </c>
      <c r="L496">
        <f>$C496*L495</f>
        <v/>
      </c>
      <c r="M496">
        <f>$C496*M495</f>
        <v/>
      </c>
      <c r="N496">
        <f>$C496*N495</f>
        <v/>
      </c>
      <c r="O496">
        <f>$C496*O495</f>
        <v/>
      </c>
      <c r="P496">
        <f>$C496*P495</f>
        <v/>
      </c>
      <c r="Q496">
        <f>$C496*Q495</f>
        <v/>
      </c>
      <c r="R496">
        <f>$C496*R495</f>
        <v/>
      </c>
      <c r="S496">
        <f>$C496*S495</f>
        <v/>
      </c>
      <c r="T496">
        <f>$C496*T495</f>
        <v/>
      </c>
      <c r="U496">
        <f>$C496*U495</f>
        <v/>
      </c>
      <c r="V496">
        <f>$C496*V495</f>
        <v/>
      </c>
      <c r="W496">
        <f>$C496*W495</f>
        <v/>
      </c>
      <c r="X496">
        <f>$C496*X495</f>
        <v/>
      </c>
      <c r="Y496">
        <f>$C496*Y495</f>
        <v/>
      </c>
      <c r="Z496">
        <f>$C496*Z495</f>
        <v/>
      </c>
      <c r="AA496">
        <f>$C496*AA495</f>
        <v/>
      </c>
      <c r="AB496">
        <f>$C496*AB495</f>
        <v/>
      </c>
      <c r="AC496">
        <f>$C496*AC495</f>
        <v/>
      </c>
      <c r="AD496">
        <f>$C496*AD495</f>
        <v/>
      </c>
      <c r="AE496">
        <f>$C496*AE495</f>
        <v/>
      </c>
      <c r="AF496">
        <f>$C496*AF495</f>
        <v/>
      </c>
      <c r="AG496">
        <f>$C496*AG495</f>
        <v/>
      </c>
      <c r="AH496">
        <f>$C496*AH495</f>
        <v/>
      </c>
      <c r="AI496">
        <f>$C496*AI495</f>
        <v/>
      </c>
      <c r="AJ496">
        <f>$C496*AJ495</f>
        <v/>
      </c>
      <c r="AK496">
        <f>$C496*AK495</f>
        <v/>
      </c>
      <c r="AL496">
        <f>$C496*AL495</f>
        <v/>
      </c>
      <c r="AM496">
        <f>$C496*AM495</f>
        <v/>
      </c>
      <c r="AN496">
        <f>$C496*AN495</f>
        <v/>
      </c>
      <c r="AO496">
        <f>$C496*AO495</f>
        <v/>
      </c>
      <c r="AP496">
        <f>$C496*AP495</f>
        <v/>
      </c>
      <c r="AQ496">
        <f>$C496*AQ495</f>
        <v/>
      </c>
      <c r="AR496">
        <f>$C496*AR495</f>
        <v/>
      </c>
      <c r="AS496">
        <f>$C496*AS495</f>
        <v/>
      </c>
      <c r="AT496">
        <f>$C496*AT495</f>
        <v/>
      </c>
      <c r="AU496">
        <f>$C496*AU495</f>
        <v/>
      </c>
      <c r="AV496">
        <f>$C496*AV495</f>
        <v/>
      </c>
      <c r="AW496">
        <f>$C496*AW495</f>
        <v/>
      </c>
      <c r="AX496">
        <f>$C496*AX495</f>
        <v/>
      </c>
      <c r="AY496">
        <f>$C496*AY495</f>
        <v/>
      </c>
      <c r="AZ496">
        <f>$C496*AZ495</f>
        <v/>
      </c>
      <c r="BA496">
        <f>$C496*BA495</f>
        <v/>
      </c>
      <c r="BB496">
        <f>$C496*BB495</f>
        <v/>
      </c>
      <c r="BC496">
        <f>$C496*BC495</f>
        <v/>
      </c>
      <c r="BD496">
        <f>$C496*BD495</f>
        <v/>
      </c>
      <c r="BE496">
        <f>$C496*BE495</f>
        <v/>
      </c>
      <c r="BF496">
        <f>$C496*BF495</f>
        <v/>
      </c>
      <c r="BG496">
        <f>$C496*BG495</f>
        <v/>
      </c>
      <c r="BH496">
        <f>$C496*BH495</f>
        <v/>
      </c>
      <c r="BI496">
        <f>$C496*BI495</f>
        <v/>
      </c>
      <c r="BJ496">
        <f>$C496*BJ495</f>
        <v/>
      </c>
      <c r="BK496">
        <f>$C496*BK495</f>
        <v/>
      </c>
      <c r="BL496">
        <f>$C496*BL495</f>
        <v/>
      </c>
      <c r="BM496">
        <f>$C496*BM495</f>
        <v/>
      </c>
      <c r="BN496">
        <f>$C496*BN495</f>
        <v/>
      </c>
      <c r="BO496">
        <f>$C496*BO495</f>
        <v/>
      </c>
      <c r="BP496">
        <f>$C496*BP495</f>
        <v/>
      </c>
      <c r="BQ496">
        <f>$C496*BQ495</f>
        <v/>
      </c>
      <c r="BR496">
        <f>$C496*BR495</f>
        <v/>
      </c>
      <c r="BS496">
        <f>$C496*BS495</f>
        <v/>
      </c>
      <c r="BT496">
        <f>$C496*BT495</f>
        <v/>
      </c>
      <c r="BU496">
        <f>$C496*BU495</f>
        <v/>
      </c>
      <c r="BV496">
        <f>$C496*BV495</f>
        <v/>
      </c>
      <c r="BW496">
        <f>$C496*BW495</f>
        <v/>
      </c>
      <c r="BX496">
        <f>$C496*BX495</f>
        <v/>
      </c>
      <c r="BY496">
        <f>$C496*BY495</f>
        <v/>
      </c>
      <c r="BZ496">
        <f>$C496*BZ495</f>
        <v/>
      </c>
      <c r="CA496">
        <f>$C496*CA495</f>
        <v/>
      </c>
      <c r="CB496">
        <f>$C496*CB495</f>
        <v/>
      </c>
      <c r="CC496">
        <f>$C496*CC495</f>
        <v/>
      </c>
      <c r="CD496">
        <f>$C496*CD495</f>
        <v/>
      </c>
      <c r="CE496">
        <f>$C496*CE495</f>
        <v/>
      </c>
      <c r="CF496">
        <f>$C496*CF495</f>
        <v/>
      </c>
      <c r="CG496">
        <f>$C496*CG495</f>
        <v/>
      </c>
      <c r="CH496">
        <f>$C496*CH495</f>
        <v/>
      </c>
      <c r="CI496">
        <f>$C496*CI495</f>
        <v/>
      </c>
      <c r="CJ496">
        <f>$C496*CJ495</f>
        <v/>
      </c>
      <c r="CK496">
        <f>$C496*CK495</f>
        <v/>
      </c>
      <c r="CL496">
        <f>$C496*CL495</f>
        <v/>
      </c>
      <c r="CM496">
        <f>$C496*CM495</f>
        <v/>
      </c>
      <c r="CN496">
        <f>$C496*CN495</f>
        <v/>
      </c>
      <c r="CO496">
        <f>$C496*CO495</f>
        <v/>
      </c>
      <c r="CP496">
        <f>$C496*CP495</f>
        <v/>
      </c>
      <c r="CQ496">
        <f>$C496*CQ495</f>
        <v/>
      </c>
      <c r="CR496">
        <f>$C496*CR495</f>
        <v/>
      </c>
      <c r="CS496">
        <f>$C496*CS495</f>
        <v/>
      </c>
      <c r="CT496">
        <f>$C496*CT495</f>
        <v/>
      </c>
      <c r="CU496">
        <f>$C496*CU495</f>
        <v/>
      </c>
      <c r="CV496">
        <f>$C496*CV495</f>
        <v/>
      </c>
      <c r="CW496">
        <f>$C496*CW495</f>
        <v/>
      </c>
      <c r="CX496">
        <f>$C496*CX495</f>
        <v/>
      </c>
      <c r="CY496">
        <f>$C496*CY495</f>
        <v/>
      </c>
      <c r="CZ496">
        <f>$C496*CZ495</f>
        <v/>
      </c>
      <c r="DA496">
        <f>$C496*DA495</f>
        <v/>
      </c>
      <c r="DB496">
        <f>$C496*DB495</f>
        <v/>
      </c>
      <c r="DC496">
        <f>$C496*DC495</f>
        <v/>
      </c>
      <c r="DD496">
        <f>$C496*DD495</f>
        <v/>
      </c>
    </row>
    <row r="497">
      <c r="B497" t="inlineStr">
        <is>
          <t>VSP-990</t>
        </is>
      </c>
      <c r="C497" t="inlineStr">
        <is>
          <t>No. of batches</t>
        </is>
      </c>
      <c r="D497">
        <f>IFERROR(INDEX(E497:DD497,$F$1),"")</f>
        <v/>
      </c>
      <c r="E497">
        <f>IFERROR(INDEX(PP_Grid[#Data],$DE497,2),0)</f>
        <v/>
      </c>
      <c r="F497">
        <f>IFERROR(INDEX(PP_Grid[#Data],$DE497,3),0)</f>
        <v/>
      </c>
      <c r="G497">
        <f>IFERROR(INDEX(PP_Grid[#Data],$DE497,4),0)</f>
        <v/>
      </c>
      <c r="H497">
        <f>IFERROR(INDEX(PP_Grid[#Data],$DE497,5),0)</f>
        <v/>
      </c>
      <c r="I497">
        <f>IFERROR(INDEX(PP_Grid[#Data],$DE497,6),0)</f>
        <v/>
      </c>
      <c r="J497">
        <f>IFERROR(INDEX(PP_Grid[#Data],$DE497,7),0)</f>
        <v/>
      </c>
      <c r="K497">
        <f>IFERROR(INDEX(PP_Grid[#Data],$DE497,8),0)</f>
        <v/>
      </c>
      <c r="L497">
        <f>IFERROR(INDEX(PP_Grid[#Data],$DE497,9),0)</f>
        <v/>
      </c>
      <c r="M497">
        <f>IFERROR(INDEX(PP_Grid[#Data],$DE497,10),0)</f>
        <v/>
      </c>
      <c r="N497">
        <f>IFERROR(INDEX(PP_Grid[#Data],$DE497,11),0)</f>
        <v/>
      </c>
      <c r="O497">
        <f>IFERROR(INDEX(PP_Grid[#Data],$DE497,12),0)</f>
        <v/>
      </c>
      <c r="P497">
        <f>IFERROR(INDEX(PP_Grid[#Data],$DE497,13),0)</f>
        <v/>
      </c>
      <c r="Q497">
        <f>IFERROR(INDEX(PP_Grid[#Data],$DE497,14),0)</f>
        <v/>
      </c>
      <c r="R497">
        <f>IFERROR(INDEX(PP_Grid[#Data],$DE497,15),0)</f>
        <v/>
      </c>
      <c r="S497">
        <f>IFERROR(INDEX(PP_Grid[#Data],$DE497,16),0)</f>
        <v/>
      </c>
      <c r="T497">
        <f>IFERROR(INDEX(PP_Grid[#Data],$DE497,17),0)</f>
        <v/>
      </c>
      <c r="U497">
        <f>IFERROR(INDEX(PP_Grid[#Data],$DE497,18),0)</f>
        <v/>
      </c>
      <c r="V497">
        <f>IFERROR(INDEX(PP_Grid[#Data],$DE497,19),0)</f>
        <v/>
      </c>
      <c r="W497">
        <f>IFERROR(INDEX(PP_Grid[#Data],$DE497,20),0)</f>
        <v/>
      </c>
      <c r="X497">
        <f>IFERROR(INDEX(PP_Grid[#Data],$DE497,21),0)</f>
        <v/>
      </c>
      <c r="Y497">
        <f>IFERROR(INDEX(PP_Grid[#Data],$DE497,22),0)</f>
        <v/>
      </c>
      <c r="Z497">
        <f>IFERROR(INDEX(PP_Grid[#Data],$DE497,23),0)</f>
        <v/>
      </c>
      <c r="AA497">
        <f>IFERROR(INDEX(PP_Grid[#Data],$DE497,24),0)</f>
        <v/>
      </c>
      <c r="AB497">
        <f>IFERROR(INDEX(PP_Grid[#Data],$DE497,25),0)</f>
        <v/>
      </c>
      <c r="AC497">
        <f>IFERROR(INDEX(PP_Grid[#Data],$DE497,26),0)</f>
        <v/>
      </c>
      <c r="AD497">
        <f>IFERROR(INDEX(PP_Grid[#Data],$DE497,27),0)</f>
        <v/>
      </c>
      <c r="AE497">
        <f>IFERROR(INDEX(PP_Grid[#Data],$DE497,28),0)</f>
        <v/>
      </c>
      <c r="AF497">
        <f>IFERROR(INDEX(PP_Grid[#Data],$DE497,29),0)</f>
        <v/>
      </c>
      <c r="AG497">
        <f>IFERROR(INDEX(PP_Grid[#Data],$DE497,30),0)</f>
        <v/>
      </c>
      <c r="AH497">
        <f>IFERROR(INDEX(PP_Grid[#Data],$DE497,31),0)</f>
        <v/>
      </c>
      <c r="AI497">
        <f>IFERROR(INDEX(PP_Grid[#Data],$DE497,32),0)</f>
        <v/>
      </c>
      <c r="AJ497">
        <f>IFERROR(INDEX(PP_Grid[#Data],$DE497,33),0)</f>
        <v/>
      </c>
      <c r="AK497">
        <f>IFERROR(INDEX(PP_Grid[#Data],$DE497,34),0)</f>
        <v/>
      </c>
      <c r="AL497">
        <f>IFERROR(INDEX(PP_Grid[#Data],$DE497,35),0)</f>
        <v/>
      </c>
      <c r="AM497">
        <f>IFERROR(INDEX(PP_Grid[#Data],$DE497,36),0)</f>
        <v/>
      </c>
      <c r="AN497">
        <f>IFERROR(INDEX(PP_Grid[#Data],$DE497,37),0)</f>
        <v/>
      </c>
      <c r="AO497">
        <f>IFERROR(INDEX(PP_Grid[#Data],$DE497,38),0)</f>
        <v/>
      </c>
      <c r="AP497">
        <f>IFERROR(INDEX(PP_Grid[#Data],$DE497,39),0)</f>
        <v/>
      </c>
      <c r="AQ497">
        <f>IFERROR(INDEX(PP_Grid[#Data],$DE497,40),0)</f>
        <v/>
      </c>
      <c r="AR497">
        <f>IFERROR(INDEX(PP_Grid[#Data],$DE497,41),0)</f>
        <v/>
      </c>
      <c r="AS497">
        <f>IFERROR(INDEX(PP_Grid[#Data],$DE497,42),0)</f>
        <v/>
      </c>
      <c r="AT497">
        <f>IFERROR(INDEX(PP_Grid[#Data],$DE497,43),0)</f>
        <v/>
      </c>
      <c r="AU497">
        <f>IFERROR(INDEX(PP_Grid[#Data],$DE497,44),0)</f>
        <v/>
      </c>
      <c r="AV497">
        <f>IFERROR(INDEX(PP_Grid[#Data],$DE497,45),0)</f>
        <v/>
      </c>
      <c r="AW497">
        <f>IFERROR(INDEX(PP_Grid[#Data],$DE497,46),0)</f>
        <v/>
      </c>
      <c r="AX497">
        <f>IFERROR(INDEX(PP_Grid[#Data],$DE497,47),0)</f>
        <v/>
      </c>
      <c r="AY497">
        <f>IFERROR(INDEX(PP_Grid[#Data],$DE497,48),0)</f>
        <v/>
      </c>
      <c r="AZ497">
        <f>IFERROR(INDEX(PP_Grid[#Data],$DE497,49),0)</f>
        <v/>
      </c>
      <c r="BA497">
        <f>IFERROR(INDEX(PP_Grid[#Data],$DE497,50),0)</f>
        <v/>
      </c>
      <c r="BB497">
        <f>IFERROR(INDEX(PP_Grid[#Data],$DE497,51),0)</f>
        <v/>
      </c>
      <c r="BC497">
        <f>IFERROR(INDEX(PP_Grid[#Data],$DE497,52),0)</f>
        <v/>
      </c>
      <c r="BD497">
        <f>IFERROR(INDEX(PP_Grid[#Data],$DE497,53),0)</f>
        <v/>
      </c>
      <c r="BE497">
        <f>IFERROR(INDEX(PP_Grid[#Data],$DE497,54),0)</f>
        <v/>
      </c>
      <c r="BF497">
        <f>IFERROR(INDEX(PP_Grid[#Data],$DE497,55),0)</f>
        <v/>
      </c>
      <c r="BG497">
        <f>IFERROR(INDEX(PP_Grid[#Data],$DE497,56),0)</f>
        <v/>
      </c>
      <c r="BH497">
        <f>IFERROR(INDEX(PP_Grid[#Data],$DE497,57),0)</f>
        <v/>
      </c>
      <c r="BI497">
        <f>IFERROR(INDEX(PP_Grid[#Data],$DE497,58),0)</f>
        <v/>
      </c>
      <c r="BJ497">
        <f>IFERROR(INDEX(PP_Grid[#Data],$DE497,59),0)</f>
        <v/>
      </c>
      <c r="BK497">
        <f>IFERROR(INDEX(PP_Grid[#Data],$DE497,60),0)</f>
        <v/>
      </c>
      <c r="BL497">
        <f>IFERROR(INDEX(PP_Grid[#Data],$DE497,61),0)</f>
        <v/>
      </c>
      <c r="BM497">
        <f>IFERROR(INDEX(PP_Grid[#Data],$DE497,62),0)</f>
        <v/>
      </c>
      <c r="BN497">
        <f>IFERROR(INDEX(PP_Grid[#Data],$DE497,63),0)</f>
        <v/>
      </c>
      <c r="BO497">
        <f>IFERROR(INDEX(PP_Grid[#Data],$DE497,64),0)</f>
        <v/>
      </c>
      <c r="BP497">
        <f>IFERROR(INDEX(PP_Grid[#Data],$DE497,65),0)</f>
        <v/>
      </c>
      <c r="BQ497">
        <f>IFERROR(INDEX(PP_Grid[#Data],$DE497,66),0)</f>
        <v/>
      </c>
      <c r="BR497">
        <f>IFERROR(INDEX(PP_Grid[#Data],$DE497,67),0)</f>
        <v/>
      </c>
      <c r="BS497">
        <f>IFERROR(INDEX(PP_Grid[#Data],$DE497,68),0)</f>
        <v/>
      </c>
      <c r="BT497">
        <f>IFERROR(INDEX(PP_Grid[#Data],$DE497,69),0)</f>
        <v/>
      </c>
      <c r="BU497">
        <f>IFERROR(INDEX(PP_Grid[#Data],$DE497,70),0)</f>
        <v/>
      </c>
      <c r="BV497">
        <f>IFERROR(INDEX(PP_Grid[#Data],$DE497,71),0)</f>
        <v/>
      </c>
      <c r="BW497">
        <f>IFERROR(INDEX(PP_Grid[#Data],$DE497,72),0)</f>
        <v/>
      </c>
      <c r="BX497">
        <f>IFERROR(INDEX(PP_Grid[#Data],$DE497,73),0)</f>
        <v/>
      </c>
      <c r="BY497">
        <f>IFERROR(INDEX(PP_Grid[#Data],$DE497,74),0)</f>
        <v/>
      </c>
      <c r="BZ497">
        <f>IFERROR(INDEX(PP_Grid[#Data],$DE497,75),0)</f>
        <v/>
      </c>
      <c r="CA497">
        <f>IFERROR(INDEX(PP_Grid[#Data],$DE497,76),0)</f>
        <v/>
      </c>
      <c r="CB497">
        <f>IFERROR(INDEX(PP_Grid[#Data],$DE497,77),0)</f>
        <v/>
      </c>
      <c r="CC497">
        <f>IFERROR(INDEX(PP_Grid[#Data],$DE497,78),0)</f>
        <v/>
      </c>
      <c r="CD497">
        <f>IFERROR(INDEX(PP_Grid[#Data],$DE497,79),0)</f>
        <v/>
      </c>
      <c r="CE497">
        <f>IFERROR(INDEX(PP_Grid[#Data],$DE497,80),0)</f>
        <v/>
      </c>
      <c r="CF497">
        <f>IFERROR(INDEX(PP_Grid[#Data],$DE497,81),0)</f>
        <v/>
      </c>
      <c r="CG497">
        <f>IFERROR(INDEX(PP_Grid[#Data],$DE497,82),0)</f>
        <v/>
      </c>
      <c r="CH497">
        <f>IFERROR(INDEX(PP_Grid[#Data],$DE497,83),0)</f>
        <v/>
      </c>
      <c r="CI497">
        <f>IFERROR(INDEX(PP_Grid[#Data],$DE497,84),0)</f>
        <v/>
      </c>
      <c r="CJ497">
        <f>IFERROR(INDEX(PP_Grid[#Data],$DE497,85),0)</f>
        <v/>
      </c>
      <c r="CK497">
        <f>IFERROR(INDEX(PP_Grid[#Data],$DE497,86),0)</f>
        <v/>
      </c>
      <c r="CL497">
        <f>IFERROR(INDEX(PP_Grid[#Data],$DE497,87),0)</f>
        <v/>
      </c>
      <c r="CM497">
        <f>IFERROR(INDEX(PP_Grid[#Data],$DE497,88),0)</f>
        <v/>
      </c>
      <c r="CN497">
        <f>IFERROR(INDEX(PP_Grid[#Data],$DE497,89),0)</f>
        <v/>
      </c>
      <c r="CO497">
        <f>IFERROR(INDEX(PP_Grid[#Data],$DE497,90),0)</f>
        <v/>
      </c>
      <c r="CP497">
        <f>IFERROR(INDEX(PP_Grid[#Data],$DE497,91),0)</f>
        <v/>
      </c>
      <c r="CQ497">
        <f>IFERROR(INDEX(PP_Grid[#Data],$DE497,92),0)</f>
        <v/>
      </c>
      <c r="CR497">
        <f>IFERROR(INDEX(PP_Grid[#Data],$DE497,93),0)</f>
        <v/>
      </c>
      <c r="CS497">
        <f>IFERROR(INDEX(PP_Grid[#Data],$DE497,94),0)</f>
        <v/>
      </c>
      <c r="CT497">
        <f>IFERROR(INDEX(PP_Grid[#Data],$DE497,95),0)</f>
        <v/>
      </c>
      <c r="CU497">
        <f>IFERROR(INDEX(PP_Grid[#Data],$DE497,96),0)</f>
        <v/>
      </c>
      <c r="CV497">
        <f>IFERROR(INDEX(PP_Grid[#Data],$DE497,97),0)</f>
        <v/>
      </c>
      <c r="CW497">
        <f>IFERROR(INDEX(PP_Grid[#Data],$DE497,98),0)</f>
        <v/>
      </c>
      <c r="CX497">
        <f>IFERROR(INDEX(PP_Grid[#Data],$DE497,99),0)</f>
        <v/>
      </c>
      <c r="CY497">
        <f>IFERROR(INDEX(PP_Grid[#Data],$DE497,100),0)</f>
        <v/>
      </c>
      <c r="CZ497">
        <f>IFERROR(INDEX(PP_Grid[#Data],$DE497,101),0)</f>
        <v/>
      </c>
      <c r="DA497">
        <f>IFERROR(INDEX(PP_Grid[#Data],$DE497,102),0)</f>
        <v/>
      </c>
      <c r="DB497">
        <f>IFERROR(INDEX(PP_Grid[#Data],$DE497,103),0)</f>
        <v/>
      </c>
      <c r="DC497">
        <f>IFERROR(INDEX(PP_Grid[#Data],$DE497,104),0)</f>
        <v/>
      </c>
      <c r="DD497">
        <f>IFERROR(INDEX(PP_Grid[#Data],$DE497,105),0)</f>
        <v/>
      </c>
      <c r="DE497" s="7">
        <f>IFERROR(MATCH($B497,PP_Grid[Intermediate],0),99999)</f>
        <v/>
      </c>
    </row>
    <row r="498">
      <c r="B498" t="inlineStr">
        <is>
          <t>使用量(kg)</t>
        </is>
      </c>
      <c r="C498">
        <f>SUMIFS(M_BOM[RM_Qty_Per_Batch],M_BOM[Intermediate],$B497,M_BOM[RM_Code],$A340)</f>
        <v/>
      </c>
      <c r="D498">
        <f>IFERROR(INDEX(E498:DD498,$F$1),"")</f>
        <v/>
      </c>
      <c r="E498">
        <f>$C498*E497</f>
        <v/>
      </c>
      <c r="F498">
        <f>$C498*F497</f>
        <v/>
      </c>
      <c r="G498">
        <f>$C498*G497</f>
        <v/>
      </c>
      <c r="H498">
        <f>$C498*H497</f>
        <v/>
      </c>
      <c r="I498">
        <f>$C498*I497</f>
        <v/>
      </c>
      <c r="J498">
        <f>$C498*J497</f>
        <v/>
      </c>
      <c r="K498">
        <f>$C498*K497</f>
        <v/>
      </c>
      <c r="L498">
        <f>$C498*L497</f>
        <v/>
      </c>
      <c r="M498">
        <f>$C498*M497</f>
        <v/>
      </c>
      <c r="N498">
        <f>$C498*N497</f>
        <v/>
      </c>
      <c r="O498">
        <f>$C498*O497</f>
        <v/>
      </c>
      <c r="P498">
        <f>$C498*P497</f>
        <v/>
      </c>
      <c r="Q498">
        <f>$C498*Q497</f>
        <v/>
      </c>
      <c r="R498">
        <f>$C498*R497</f>
        <v/>
      </c>
      <c r="S498">
        <f>$C498*S497</f>
        <v/>
      </c>
      <c r="T498">
        <f>$C498*T497</f>
        <v/>
      </c>
      <c r="U498">
        <f>$C498*U497</f>
        <v/>
      </c>
      <c r="V498">
        <f>$C498*V497</f>
        <v/>
      </c>
      <c r="W498">
        <f>$C498*W497</f>
        <v/>
      </c>
      <c r="X498">
        <f>$C498*X497</f>
        <v/>
      </c>
      <c r="Y498">
        <f>$C498*Y497</f>
        <v/>
      </c>
      <c r="Z498">
        <f>$C498*Z497</f>
        <v/>
      </c>
      <c r="AA498">
        <f>$C498*AA497</f>
        <v/>
      </c>
      <c r="AB498">
        <f>$C498*AB497</f>
        <v/>
      </c>
      <c r="AC498">
        <f>$C498*AC497</f>
        <v/>
      </c>
      <c r="AD498">
        <f>$C498*AD497</f>
        <v/>
      </c>
      <c r="AE498">
        <f>$C498*AE497</f>
        <v/>
      </c>
      <c r="AF498">
        <f>$C498*AF497</f>
        <v/>
      </c>
      <c r="AG498">
        <f>$C498*AG497</f>
        <v/>
      </c>
      <c r="AH498">
        <f>$C498*AH497</f>
        <v/>
      </c>
      <c r="AI498">
        <f>$C498*AI497</f>
        <v/>
      </c>
      <c r="AJ498">
        <f>$C498*AJ497</f>
        <v/>
      </c>
      <c r="AK498">
        <f>$C498*AK497</f>
        <v/>
      </c>
      <c r="AL498">
        <f>$C498*AL497</f>
        <v/>
      </c>
      <c r="AM498">
        <f>$C498*AM497</f>
        <v/>
      </c>
      <c r="AN498">
        <f>$C498*AN497</f>
        <v/>
      </c>
      <c r="AO498">
        <f>$C498*AO497</f>
        <v/>
      </c>
      <c r="AP498">
        <f>$C498*AP497</f>
        <v/>
      </c>
      <c r="AQ498">
        <f>$C498*AQ497</f>
        <v/>
      </c>
      <c r="AR498">
        <f>$C498*AR497</f>
        <v/>
      </c>
      <c r="AS498">
        <f>$C498*AS497</f>
        <v/>
      </c>
      <c r="AT498">
        <f>$C498*AT497</f>
        <v/>
      </c>
      <c r="AU498">
        <f>$C498*AU497</f>
        <v/>
      </c>
      <c r="AV498">
        <f>$C498*AV497</f>
        <v/>
      </c>
      <c r="AW498">
        <f>$C498*AW497</f>
        <v/>
      </c>
      <c r="AX498">
        <f>$C498*AX497</f>
        <v/>
      </c>
      <c r="AY498">
        <f>$C498*AY497</f>
        <v/>
      </c>
      <c r="AZ498">
        <f>$C498*AZ497</f>
        <v/>
      </c>
      <c r="BA498">
        <f>$C498*BA497</f>
        <v/>
      </c>
      <c r="BB498">
        <f>$C498*BB497</f>
        <v/>
      </c>
      <c r="BC498">
        <f>$C498*BC497</f>
        <v/>
      </c>
      <c r="BD498">
        <f>$C498*BD497</f>
        <v/>
      </c>
      <c r="BE498">
        <f>$C498*BE497</f>
        <v/>
      </c>
      <c r="BF498">
        <f>$C498*BF497</f>
        <v/>
      </c>
      <c r="BG498">
        <f>$C498*BG497</f>
        <v/>
      </c>
      <c r="BH498">
        <f>$C498*BH497</f>
        <v/>
      </c>
      <c r="BI498">
        <f>$C498*BI497</f>
        <v/>
      </c>
      <c r="BJ498">
        <f>$C498*BJ497</f>
        <v/>
      </c>
      <c r="BK498">
        <f>$C498*BK497</f>
        <v/>
      </c>
      <c r="BL498">
        <f>$C498*BL497</f>
        <v/>
      </c>
      <c r="BM498">
        <f>$C498*BM497</f>
        <v/>
      </c>
      <c r="BN498">
        <f>$C498*BN497</f>
        <v/>
      </c>
      <c r="BO498">
        <f>$C498*BO497</f>
        <v/>
      </c>
      <c r="BP498">
        <f>$C498*BP497</f>
        <v/>
      </c>
      <c r="BQ498">
        <f>$C498*BQ497</f>
        <v/>
      </c>
      <c r="BR498">
        <f>$C498*BR497</f>
        <v/>
      </c>
      <c r="BS498">
        <f>$C498*BS497</f>
        <v/>
      </c>
      <c r="BT498">
        <f>$C498*BT497</f>
        <v/>
      </c>
      <c r="BU498">
        <f>$C498*BU497</f>
        <v/>
      </c>
      <c r="BV498">
        <f>$C498*BV497</f>
        <v/>
      </c>
      <c r="BW498">
        <f>$C498*BW497</f>
        <v/>
      </c>
      <c r="BX498">
        <f>$C498*BX497</f>
        <v/>
      </c>
      <c r="BY498">
        <f>$C498*BY497</f>
        <v/>
      </c>
      <c r="BZ498">
        <f>$C498*BZ497</f>
        <v/>
      </c>
      <c r="CA498">
        <f>$C498*CA497</f>
        <v/>
      </c>
      <c r="CB498">
        <f>$C498*CB497</f>
        <v/>
      </c>
      <c r="CC498">
        <f>$C498*CC497</f>
        <v/>
      </c>
      <c r="CD498">
        <f>$C498*CD497</f>
        <v/>
      </c>
      <c r="CE498">
        <f>$C498*CE497</f>
        <v/>
      </c>
      <c r="CF498">
        <f>$C498*CF497</f>
        <v/>
      </c>
      <c r="CG498">
        <f>$C498*CG497</f>
        <v/>
      </c>
      <c r="CH498">
        <f>$C498*CH497</f>
        <v/>
      </c>
      <c r="CI498">
        <f>$C498*CI497</f>
        <v/>
      </c>
      <c r="CJ498">
        <f>$C498*CJ497</f>
        <v/>
      </c>
      <c r="CK498">
        <f>$C498*CK497</f>
        <v/>
      </c>
      <c r="CL498">
        <f>$C498*CL497</f>
        <v/>
      </c>
      <c r="CM498">
        <f>$C498*CM497</f>
        <v/>
      </c>
      <c r="CN498">
        <f>$C498*CN497</f>
        <v/>
      </c>
      <c r="CO498">
        <f>$C498*CO497</f>
        <v/>
      </c>
      <c r="CP498">
        <f>$C498*CP497</f>
        <v/>
      </c>
      <c r="CQ498">
        <f>$C498*CQ497</f>
        <v/>
      </c>
      <c r="CR498">
        <f>$C498*CR497</f>
        <v/>
      </c>
      <c r="CS498">
        <f>$C498*CS497</f>
        <v/>
      </c>
      <c r="CT498">
        <f>$C498*CT497</f>
        <v/>
      </c>
      <c r="CU498">
        <f>$C498*CU497</f>
        <v/>
      </c>
      <c r="CV498">
        <f>$C498*CV497</f>
        <v/>
      </c>
      <c r="CW498">
        <f>$C498*CW497</f>
        <v/>
      </c>
      <c r="CX498">
        <f>$C498*CX497</f>
        <v/>
      </c>
      <c r="CY498">
        <f>$C498*CY497</f>
        <v/>
      </c>
      <c r="CZ498">
        <f>$C498*CZ497</f>
        <v/>
      </c>
      <c r="DA498">
        <f>$C498*DA497</f>
        <v/>
      </c>
      <c r="DB498">
        <f>$C498*DB497</f>
        <v/>
      </c>
      <c r="DC498">
        <f>$C498*DC497</f>
        <v/>
      </c>
      <c r="DD498">
        <f>$C498*DD497</f>
        <v/>
      </c>
    </row>
    <row r="499">
      <c r="B499" t="inlineStr">
        <is>
          <t>VSZ-745</t>
        </is>
      </c>
      <c r="C499" t="inlineStr">
        <is>
          <t>No. of batches</t>
        </is>
      </c>
      <c r="D499">
        <f>IFERROR(INDEX(E499:DD499,$F$1),"")</f>
        <v/>
      </c>
      <c r="E499">
        <f>IFERROR(INDEX(PP_Grid[#Data],$DE499,2),0)</f>
        <v/>
      </c>
      <c r="F499">
        <f>IFERROR(INDEX(PP_Grid[#Data],$DE499,3),0)</f>
        <v/>
      </c>
      <c r="G499">
        <f>IFERROR(INDEX(PP_Grid[#Data],$DE499,4),0)</f>
        <v/>
      </c>
      <c r="H499">
        <f>IFERROR(INDEX(PP_Grid[#Data],$DE499,5),0)</f>
        <v/>
      </c>
      <c r="I499">
        <f>IFERROR(INDEX(PP_Grid[#Data],$DE499,6),0)</f>
        <v/>
      </c>
      <c r="J499">
        <f>IFERROR(INDEX(PP_Grid[#Data],$DE499,7),0)</f>
        <v/>
      </c>
      <c r="K499">
        <f>IFERROR(INDEX(PP_Grid[#Data],$DE499,8),0)</f>
        <v/>
      </c>
      <c r="L499">
        <f>IFERROR(INDEX(PP_Grid[#Data],$DE499,9),0)</f>
        <v/>
      </c>
      <c r="M499">
        <f>IFERROR(INDEX(PP_Grid[#Data],$DE499,10),0)</f>
        <v/>
      </c>
      <c r="N499">
        <f>IFERROR(INDEX(PP_Grid[#Data],$DE499,11),0)</f>
        <v/>
      </c>
      <c r="O499">
        <f>IFERROR(INDEX(PP_Grid[#Data],$DE499,12),0)</f>
        <v/>
      </c>
      <c r="P499">
        <f>IFERROR(INDEX(PP_Grid[#Data],$DE499,13),0)</f>
        <v/>
      </c>
      <c r="Q499">
        <f>IFERROR(INDEX(PP_Grid[#Data],$DE499,14),0)</f>
        <v/>
      </c>
      <c r="R499">
        <f>IFERROR(INDEX(PP_Grid[#Data],$DE499,15),0)</f>
        <v/>
      </c>
      <c r="S499">
        <f>IFERROR(INDEX(PP_Grid[#Data],$DE499,16),0)</f>
        <v/>
      </c>
      <c r="T499">
        <f>IFERROR(INDEX(PP_Grid[#Data],$DE499,17),0)</f>
        <v/>
      </c>
      <c r="U499">
        <f>IFERROR(INDEX(PP_Grid[#Data],$DE499,18),0)</f>
        <v/>
      </c>
      <c r="V499">
        <f>IFERROR(INDEX(PP_Grid[#Data],$DE499,19),0)</f>
        <v/>
      </c>
      <c r="W499">
        <f>IFERROR(INDEX(PP_Grid[#Data],$DE499,20),0)</f>
        <v/>
      </c>
      <c r="X499">
        <f>IFERROR(INDEX(PP_Grid[#Data],$DE499,21),0)</f>
        <v/>
      </c>
      <c r="Y499">
        <f>IFERROR(INDEX(PP_Grid[#Data],$DE499,22),0)</f>
        <v/>
      </c>
      <c r="Z499">
        <f>IFERROR(INDEX(PP_Grid[#Data],$DE499,23),0)</f>
        <v/>
      </c>
      <c r="AA499">
        <f>IFERROR(INDEX(PP_Grid[#Data],$DE499,24),0)</f>
        <v/>
      </c>
      <c r="AB499">
        <f>IFERROR(INDEX(PP_Grid[#Data],$DE499,25),0)</f>
        <v/>
      </c>
      <c r="AC499">
        <f>IFERROR(INDEX(PP_Grid[#Data],$DE499,26),0)</f>
        <v/>
      </c>
      <c r="AD499">
        <f>IFERROR(INDEX(PP_Grid[#Data],$DE499,27),0)</f>
        <v/>
      </c>
      <c r="AE499">
        <f>IFERROR(INDEX(PP_Grid[#Data],$DE499,28),0)</f>
        <v/>
      </c>
      <c r="AF499">
        <f>IFERROR(INDEX(PP_Grid[#Data],$DE499,29),0)</f>
        <v/>
      </c>
      <c r="AG499">
        <f>IFERROR(INDEX(PP_Grid[#Data],$DE499,30),0)</f>
        <v/>
      </c>
      <c r="AH499">
        <f>IFERROR(INDEX(PP_Grid[#Data],$DE499,31),0)</f>
        <v/>
      </c>
      <c r="AI499">
        <f>IFERROR(INDEX(PP_Grid[#Data],$DE499,32),0)</f>
        <v/>
      </c>
      <c r="AJ499">
        <f>IFERROR(INDEX(PP_Grid[#Data],$DE499,33),0)</f>
        <v/>
      </c>
      <c r="AK499">
        <f>IFERROR(INDEX(PP_Grid[#Data],$DE499,34),0)</f>
        <v/>
      </c>
      <c r="AL499">
        <f>IFERROR(INDEX(PP_Grid[#Data],$DE499,35),0)</f>
        <v/>
      </c>
      <c r="AM499">
        <f>IFERROR(INDEX(PP_Grid[#Data],$DE499,36),0)</f>
        <v/>
      </c>
      <c r="AN499">
        <f>IFERROR(INDEX(PP_Grid[#Data],$DE499,37),0)</f>
        <v/>
      </c>
      <c r="AO499">
        <f>IFERROR(INDEX(PP_Grid[#Data],$DE499,38),0)</f>
        <v/>
      </c>
      <c r="AP499">
        <f>IFERROR(INDEX(PP_Grid[#Data],$DE499,39),0)</f>
        <v/>
      </c>
      <c r="AQ499">
        <f>IFERROR(INDEX(PP_Grid[#Data],$DE499,40),0)</f>
        <v/>
      </c>
      <c r="AR499">
        <f>IFERROR(INDEX(PP_Grid[#Data],$DE499,41),0)</f>
        <v/>
      </c>
      <c r="AS499">
        <f>IFERROR(INDEX(PP_Grid[#Data],$DE499,42),0)</f>
        <v/>
      </c>
      <c r="AT499">
        <f>IFERROR(INDEX(PP_Grid[#Data],$DE499,43),0)</f>
        <v/>
      </c>
      <c r="AU499">
        <f>IFERROR(INDEX(PP_Grid[#Data],$DE499,44),0)</f>
        <v/>
      </c>
      <c r="AV499">
        <f>IFERROR(INDEX(PP_Grid[#Data],$DE499,45),0)</f>
        <v/>
      </c>
      <c r="AW499">
        <f>IFERROR(INDEX(PP_Grid[#Data],$DE499,46),0)</f>
        <v/>
      </c>
      <c r="AX499">
        <f>IFERROR(INDEX(PP_Grid[#Data],$DE499,47),0)</f>
        <v/>
      </c>
      <c r="AY499">
        <f>IFERROR(INDEX(PP_Grid[#Data],$DE499,48),0)</f>
        <v/>
      </c>
      <c r="AZ499">
        <f>IFERROR(INDEX(PP_Grid[#Data],$DE499,49),0)</f>
        <v/>
      </c>
      <c r="BA499">
        <f>IFERROR(INDEX(PP_Grid[#Data],$DE499,50),0)</f>
        <v/>
      </c>
      <c r="BB499">
        <f>IFERROR(INDEX(PP_Grid[#Data],$DE499,51),0)</f>
        <v/>
      </c>
      <c r="BC499">
        <f>IFERROR(INDEX(PP_Grid[#Data],$DE499,52),0)</f>
        <v/>
      </c>
      <c r="BD499">
        <f>IFERROR(INDEX(PP_Grid[#Data],$DE499,53),0)</f>
        <v/>
      </c>
      <c r="BE499">
        <f>IFERROR(INDEX(PP_Grid[#Data],$DE499,54),0)</f>
        <v/>
      </c>
      <c r="BF499">
        <f>IFERROR(INDEX(PP_Grid[#Data],$DE499,55),0)</f>
        <v/>
      </c>
      <c r="BG499">
        <f>IFERROR(INDEX(PP_Grid[#Data],$DE499,56),0)</f>
        <v/>
      </c>
      <c r="BH499">
        <f>IFERROR(INDEX(PP_Grid[#Data],$DE499,57),0)</f>
        <v/>
      </c>
      <c r="BI499">
        <f>IFERROR(INDEX(PP_Grid[#Data],$DE499,58),0)</f>
        <v/>
      </c>
      <c r="BJ499">
        <f>IFERROR(INDEX(PP_Grid[#Data],$DE499,59),0)</f>
        <v/>
      </c>
      <c r="BK499">
        <f>IFERROR(INDEX(PP_Grid[#Data],$DE499,60),0)</f>
        <v/>
      </c>
      <c r="BL499">
        <f>IFERROR(INDEX(PP_Grid[#Data],$DE499,61),0)</f>
        <v/>
      </c>
      <c r="BM499">
        <f>IFERROR(INDEX(PP_Grid[#Data],$DE499,62),0)</f>
        <v/>
      </c>
      <c r="BN499">
        <f>IFERROR(INDEX(PP_Grid[#Data],$DE499,63),0)</f>
        <v/>
      </c>
      <c r="BO499">
        <f>IFERROR(INDEX(PP_Grid[#Data],$DE499,64),0)</f>
        <v/>
      </c>
      <c r="BP499">
        <f>IFERROR(INDEX(PP_Grid[#Data],$DE499,65),0)</f>
        <v/>
      </c>
      <c r="BQ499">
        <f>IFERROR(INDEX(PP_Grid[#Data],$DE499,66),0)</f>
        <v/>
      </c>
      <c r="BR499">
        <f>IFERROR(INDEX(PP_Grid[#Data],$DE499,67),0)</f>
        <v/>
      </c>
      <c r="BS499">
        <f>IFERROR(INDEX(PP_Grid[#Data],$DE499,68),0)</f>
        <v/>
      </c>
      <c r="BT499">
        <f>IFERROR(INDEX(PP_Grid[#Data],$DE499,69),0)</f>
        <v/>
      </c>
      <c r="BU499">
        <f>IFERROR(INDEX(PP_Grid[#Data],$DE499,70),0)</f>
        <v/>
      </c>
      <c r="BV499">
        <f>IFERROR(INDEX(PP_Grid[#Data],$DE499,71),0)</f>
        <v/>
      </c>
      <c r="BW499">
        <f>IFERROR(INDEX(PP_Grid[#Data],$DE499,72),0)</f>
        <v/>
      </c>
      <c r="BX499">
        <f>IFERROR(INDEX(PP_Grid[#Data],$DE499,73),0)</f>
        <v/>
      </c>
      <c r="BY499">
        <f>IFERROR(INDEX(PP_Grid[#Data],$DE499,74),0)</f>
        <v/>
      </c>
      <c r="BZ499">
        <f>IFERROR(INDEX(PP_Grid[#Data],$DE499,75),0)</f>
        <v/>
      </c>
      <c r="CA499">
        <f>IFERROR(INDEX(PP_Grid[#Data],$DE499,76),0)</f>
        <v/>
      </c>
      <c r="CB499">
        <f>IFERROR(INDEX(PP_Grid[#Data],$DE499,77),0)</f>
        <v/>
      </c>
      <c r="CC499">
        <f>IFERROR(INDEX(PP_Grid[#Data],$DE499,78),0)</f>
        <v/>
      </c>
      <c r="CD499">
        <f>IFERROR(INDEX(PP_Grid[#Data],$DE499,79),0)</f>
        <v/>
      </c>
      <c r="CE499">
        <f>IFERROR(INDEX(PP_Grid[#Data],$DE499,80),0)</f>
        <v/>
      </c>
      <c r="CF499">
        <f>IFERROR(INDEX(PP_Grid[#Data],$DE499,81),0)</f>
        <v/>
      </c>
      <c r="CG499">
        <f>IFERROR(INDEX(PP_Grid[#Data],$DE499,82),0)</f>
        <v/>
      </c>
      <c r="CH499">
        <f>IFERROR(INDEX(PP_Grid[#Data],$DE499,83),0)</f>
        <v/>
      </c>
      <c r="CI499">
        <f>IFERROR(INDEX(PP_Grid[#Data],$DE499,84),0)</f>
        <v/>
      </c>
      <c r="CJ499">
        <f>IFERROR(INDEX(PP_Grid[#Data],$DE499,85),0)</f>
        <v/>
      </c>
      <c r="CK499">
        <f>IFERROR(INDEX(PP_Grid[#Data],$DE499,86),0)</f>
        <v/>
      </c>
      <c r="CL499">
        <f>IFERROR(INDEX(PP_Grid[#Data],$DE499,87),0)</f>
        <v/>
      </c>
      <c r="CM499">
        <f>IFERROR(INDEX(PP_Grid[#Data],$DE499,88),0)</f>
        <v/>
      </c>
      <c r="CN499">
        <f>IFERROR(INDEX(PP_Grid[#Data],$DE499,89),0)</f>
        <v/>
      </c>
      <c r="CO499">
        <f>IFERROR(INDEX(PP_Grid[#Data],$DE499,90),0)</f>
        <v/>
      </c>
      <c r="CP499">
        <f>IFERROR(INDEX(PP_Grid[#Data],$DE499,91),0)</f>
        <v/>
      </c>
      <c r="CQ499">
        <f>IFERROR(INDEX(PP_Grid[#Data],$DE499,92),0)</f>
        <v/>
      </c>
      <c r="CR499">
        <f>IFERROR(INDEX(PP_Grid[#Data],$DE499,93),0)</f>
        <v/>
      </c>
      <c r="CS499">
        <f>IFERROR(INDEX(PP_Grid[#Data],$DE499,94),0)</f>
        <v/>
      </c>
      <c r="CT499">
        <f>IFERROR(INDEX(PP_Grid[#Data],$DE499,95),0)</f>
        <v/>
      </c>
      <c r="CU499">
        <f>IFERROR(INDEX(PP_Grid[#Data],$DE499,96),0)</f>
        <v/>
      </c>
      <c r="CV499">
        <f>IFERROR(INDEX(PP_Grid[#Data],$DE499,97),0)</f>
        <v/>
      </c>
      <c r="CW499">
        <f>IFERROR(INDEX(PP_Grid[#Data],$DE499,98),0)</f>
        <v/>
      </c>
      <c r="CX499">
        <f>IFERROR(INDEX(PP_Grid[#Data],$DE499,99),0)</f>
        <v/>
      </c>
      <c r="CY499">
        <f>IFERROR(INDEX(PP_Grid[#Data],$DE499,100),0)</f>
        <v/>
      </c>
      <c r="CZ499">
        <f>IFERROR(INDEX(PP_Grid[#Data],$DE499,101),0)</f>
        <v/>
      </c>
      <c r="DA499">
        <f>IFERROR(INDEX(PP_Grid[#Data],$DE499,102),0)</f>
        <v/>
      </c>
      <c r="DB499">
        <f>IFERROR(INDEX(PP_Grid[#Data],$DE499,103),0)</f>
        <v/>
      </c>
      <c r="DC499">
        <f>IFERROR(INDEX(PP_Grid[#Data],$DE499,104),0)</f>
        <v/>
      </c>
      <c r="DD499">
        <f>IFERROR(INDEX(PP_Grid[#Data],$DE499,105),0)</f>
        <v/>
      </c>
      <c r="DE499" s="7">
        <f>IFERROR(MATCH($B499,PP_Grid[Intermediate],0),99999)</f>
        <v/>
      </c>
    </row>
    <row r="500">
      <c r="B500" t="inlineStr">
        <is>
          <t>使用量(kg)</t>
        </is>
      </c>
      <c r="C500">
        <f>SUMIFS(M_BOM[RM_Qty_Per_Batch],M_BOM[Intermediate],$B499,M_BOM[RM_Code],$A340)</f>
        <v/>
      </c>
      <c r="D500">
        <f>IFERROR(INDEX(E500:DD500,$F$1),"")</f>
        <v/>
      </c>
      <c r="E500">
        <f>$C500*E499</f>
        <v/>
      </c>
      <c r="F500">
        <f>$C500*F499</f>
        <v/>
      </c>
      <c r="G500">
        <f>$C500*G499</f>
        <v/>
      </c>
      <c r="H500">
        <f>$C500*H499</f>
        <v/>
      </c>
      <c r="I500">
        <f>$C500*I499</f>
        <v/>
      </c>
      <c r="J500">
        <f>$C500*J499</f>
        <v/>
      </c>
      <c r="K500">
        <f>$C500*K499</f>
        <v/>
      </c>
      <c r="L500">
        <f>$C500*L499</f>
        <v/>
      </c>
      <c r="M500">
        <f>$C500*M499</f>
        <v/>
      </c>
      <c r="N500">
        <f>$C500*N499</f>
        <v/>
      </c>
      <c r="O500">
        <f>$C500*O499</f>
        <v/>
      </c>
      <c r="P500">
        <f>$C500*P499</f>
        <v/>
      </c>
      <c r="Q500">
        <f>$C500*Q499</f>
        <v/>
      </c>
      <c r="R500">
        <f>$C500*R499</f>
        <v/>
      </c>
      <c r="S500">
        <f>$C500*S499</f>
        <v/>
      </c>
      <c r="T500">
        <f>$C500*T499</f>
        <v/>
      </c>
      <c r="U500">
        <f>$C500*U499</f>
        <v/>
      </c>
      <c r="V500">
        <f>$C500*V499</f>
        <v/>
      </c>
      <c r="W500">
        <f>$C500*W499</f>
        <v/>
      </c>
      <c r="X500">
        <f>$C500*X499</f>
        <v/>
      </c>
      <c r="Y500">
        <f>$C500*Y499</f>
        <v/>
      </c>
      <c r="Z500">
        <f>$C500*Z499</f>
        <v/>
      </c>
      <c r="AA500">
        <f>$C500*AA499</f>
        <v/>
      </c>
      <c r="AB500">
        <f>$C500*AB499</f>
        <v/>
      </c>
      <c r="AC500">
        <f>$C500*AC499</f>
        <v/>
      </c>
      <c r="AD500">
        <f>$C500*AD499</f>
        <v/>
      </c>
      <c r="AE500">
        <f>$C500*AE499</f>
        <v/>
      </c>
      <c r="AF500">
        <f>$C500*AF499</f>
        <v/>
      </c>
      <c r="AG500">
        <f>$C500*AG499</f>
        <v/>
      </c>
      <c r="AH500">
        <f>$C500*AH499</f>
        <v/>
      </c>
      <c r="AI500">
        <f>$C500*AI499</f>
        <v/>
      </c>
      <c r="AJ500">
        <f>$C500*AJ499</f>
        <v/>
      </c>
      <c r="AK500">
        <f>$C500*AK499</f>
        <v/>
      </c>
      <c r="AL500">
        <f>$C500*AL499</f>
        <v/>
      </c>
      <c r="AM500">
        <f>$C500*AM499</f>
        <v/>
      </c>
      <c r="AN500">
        <f>$C500*AN499</f>
        <v/>
      </c>
      <c r="AO500">
        <f>$C500*AO499</f>
        <v/>
      </c>
      <c r="AP500">
        <f>$C500*AP499</f>
        <v/>
      </c>
      <c r="AQ500">
        <f>$C500*AQ499</f>
        <v/>
      </c>
      <c r="AR500">
        <f>$C500*AR499</f>
        <v/>
      </c>
      <c r="AS500">
        <f>$C500*AS499</f>
        <v/>
      </c>
      <c r="AT500">
        <f>$C500*AT499</f>
        <v/>
      </c>
      <c r="AU500">
        <f>$C500*AU499</f>
        <v/>
      </c>
      <c r="AV500">
        <f>$C500*AV499</f>
        <v/>
      </c>
      <c r="AW500">
        <f>$C500*AW499</f>
        <v/>
      </c>
      <c r="AX500">
        <f>$C500*AX499</f>
        <v/>
      </c>
      <c r="AY500">
        <f>$C500*AY499</f>
        <v/>
      </c>
      <c r="AZ500">
        <f>$C500*AZ499</f>
        <v/>
      </c>
      <c r="BA500">
        <f>$C500*BA499</f>
        <v/>
      </c>
      <c r="BB500">
        <f>$C500*BB499</f>
        <v/>
      </c>
      <c r="BC500">
        <f>$C500*BC499</f>
        <v/>
      </c>
      <c r="BD500">
        <f>$C500*BD499</f>
        <v/>
      </c>
      <c r="BE500">
        <f>$C500*BE499</f>
        <v/>
      </c>
      <c r="BF500">
        <f>$C500*BF499</f>
        <v/>
      </c>
      <c r="BG500">
        <f>$C500*BG499</f>
        <v/>
      </c>
      <c r="BH500">
        <f>$C500*BH499</f>
        <v/>
      </c>
      <c r="BI500">
        <f>$C500*BI499</f>
        <v/>
      </c>
      <c r="BJ500">
        <f>$C500*BJ499</f>
        <v/>
      </c>
      <c r="BK500">
        <f>$C500*BK499</f>
        <v/>
      </c>
      <c r="BL500">
        <f>$C500*BL499</f>
        <v/>
      </c>
      <c r="BM500">
        <f>$C500*BM499</f>
        <v/>
      </c>
      <c r="BN500">
        <f>$C500*BN499</f>
        <v/>
      </c>
      <c r="BO500">
        <f>$C500*BO499</f>
        <v/>
      </c>
      <c r="BP500">
        <f>$C500*BP499</f>
        <v/>
      </c>
      <c r="BQ500">
        <f>$C500*BQ499</f>
        <v/>
      </c>
      <c r="BR500">
        <f>$C500*BR499</f>
        <v/>
      </c>
      <c r="BS500">
        <f>$C500*BS499</f>
        <v/>
      </c>
      <c r="BT500">
        <f>$C500*BT499</f>
        <v/>
      </c>
      <c r="BU500">
        <f>$C500*BU499</f>
        <v/>
      </c>
      <c r="BV500">
        <f>$C500*BV499</f>
        <v/>
      </c>
      <c r="BW500">
        <f>$C500*BW499</f>
        <v/>
      </c>
      <c r="BX500">
        <f>$C500*BX499</f>
        <v/>
      </c>
      <c r="BY500">
        <f>$C500*BY499</f>
        <v/>
      </c>
      <c r="BZ500">
        <f>$C500*BZ499</f>
        <v/>
      </c>
      <c r="CA500">
        <f>$C500*CA499</f>
        <v/>
      </c>
      <c r="CB500">
        <f>$C500*CB499</f>
        <v/>
      </c>
      <c r="CC500">
        <f>$C500*CC499</f>
        <v/>
      </c>
      <c r="CD500">
        <f>$C500*CD499</f>
        <v/>
      </c>
      <c r="CE500">
        <f>$C500*CE499</f>
        <v/>
      </c>
      <c r="CF500">
        <f>$C500*CF499</f>
        <v/>
      </c>
      <c r="CG500">
        <f>$C500*CG499</f>
        <v/>
      </c>
      <c r="CH500">
        <f>$C500*CH499</f>
        <v/>
      </c>
      <c r="CI500">
        <f>$C500*CI499</f>
        <v/>
      </c>
      <c r="CJ500">
        <f>$C500*CJ499</f>
        <v/>
      </c>
      <c r="CK500">
        <f>$C500*CK499</f>
        <v/>
      </c>
      <c r="CL500">
        <f>$C500*CL499</f>
        <v/>
      </c>
      <c r="CM500">
        <f>$C500*CM499</f>
        <v/>
      </c>
      <c r="CN500">
        <f>$C500*CN499</f>
        <v/>
      </c>
      <c r="CO500">
        <f>$C500*CO499</f>
        <v/>
      </c>
      <c r="CP500">
        <f>$C500*CP499</f>
        <v/>
      </c>
      <c r="CQ500">
        <f>$C500*CQ499</f>
        <v/>
      </c>
      <c r="CR500">
        <f>$C500*CR499</f>
        <v/>
      </c>
      <c r="CS500">
        <f>$C500*CS499</f>
        <v/>
      </c>
      <c r="CT500">
        <f>$C500*CT499</f>
        <v/>
      </c>
      <c r="CU500">
        <f>$C500*CU499</f>
        <v/>
      </c>
      <c r="CV500">
        <f>$C500*CV499</f>
        <v/>
      </c>
      <c r="CW500">
        <f>$C500*CW499</f>
        <v/>
      </c>
      <c r="CX500">
        <f>$C500*CX499</f>
        <v/>
      </c>
      <c r="CY500">
        <f>$C500*CY499</f>
        <v/>
      </c>
      <c r="CZ500">
        <f>$C500*CZ499</f>
        <v/>
      </c>
      <c r="DA500">
        <f>$C500*DA499</f>
        <v/>
      </c>
      <c r="DB500">
        <f>$C500*DB499</f>
        <v/>
      </c>
      <c r="DC500">
        <f>$C500*DC499</f>
        <v/>
      </c>
      <c r="DD500">
        <f>$C500*DD499</f>
        <v/>
      </c>
    </row>
    <row r="501">
      <c r="B501" t="inlineStr">
        <is>
          <t>TVS-267</t>
        </is>
      </c>
      <c r="C501" t="inlineStr">
        <is>
          <t>No. of batches</t>
        </is>
      </c>
      <c r="D501">
        <f>IFERROR(INDEX(E501:DD501,$F$1),"")</f>
        <v/>
      </c>
      <c r="E501">
        <f>IFERROR(INDEX(PP_Grid[#Data],$DE501,2),0)</f>
        <v/>
      </c>
      <c r="F501">
        <f>IFERROR(INDEX(PP_Grid[#Data],$DE501,3),0)</f>
        <v/>
      </c>
      <c r="G501">
        <f>IFERROR(INDEX(PP_Grid[#Data],$DE501,4),0)</f>
        <v/>
      </c>
      <c r="H501">
        <f>IFERROR(INDEX(PP_Grid[#Data],$DE501,5),0)</f>
        <v/>
      </c>
      <c r="I501">
        <f>IFERROR(INDEX(PP_Grid[#Data],$DE501,6),0)</f>
        <v/>
      </c>
      <c r="J501">
        <f>IFERROR(INDEX(PP_Grid[#Data],$DE501,7),0)</f>
        <v/>
      </c>
      <c r="K501">
        <f>IFERROR(INDEX(PP_Grid[#Data],$DE501,8),0)</f>
        <v/>
      </c>
      <c r="L501">
        <f>IFERROR(INDEX(PP_Grid[#Data],$DE501,9),0)</f>
        <v/>
      </c>
      <c r="M501">
        <f>IFERROR(INDEX(PP_Grid[#Data],$DE501,10),0)</f>
        <v/>
      </c>
      <c r="N501">
        <f>IFERROR(INDEX(PP_Grid[#Data],$DE501,11),0)</f>
        <v/>
      </c>
      <c r="O501">
        <f>IFERROR(INDEX(PP_Grid[#Data],$DE501,12),0)</f>
        <v/>
      </c>
      <c r="P501">
        <f>IFERROR(INDEX(PP_Grid[#Data],$DE501,13),0)</f>
        <v/>
      </c>
      <c r="Q501">
        <f>IFERROR(INDEX(PP_Grid[#Data],$DE501,14),0)</f>
        <v/>
      </c>
      <c r="R501">
        <f>IFERROR(INDEX(PP_Grid[#Data],$DE501,15),0)</f>
        <v/>
      </c>
      <c r="S501">
        <f>IFERROR(INDEX(PP_Grid[#Data],$DE501,16),0)</f>
        <v/>
      </c>
      <c r="T501">
        <f>IFERROR(INDEX(PP_Grid[#Data],$DE501,17),0)</f>
        <v/>
      </c>
      <c r="U501">
        <f>IFERROR(INDEX(PP_Grid[#Data],$DE501,18),0)</f>
        <v/>
      </c>
      <c r="V501">
        <f>IFERROR(INDEX(PP_Grid[#Data],$DE501,19),0)</f>
        <v/>
      </c>
      <c r="W501">
        <f>IFERROR(INDEX(PP_Grid[#Data],$DE501,20),0)</f>
        <v/>
      </c>
      <c r="X501">
        <f>IFERROR(INDEX(PP_Grid[#Data],$DE501,21),0)</f>
        <v/>
      </c>
      <c r="Y501">
        <f>IFERROR(INDEX(PP_Grid[#Data],$DE501,22),0)</f>
        <v/>
      </c>
      <c r="Z501">
        <f>IFERROR(INDEX(PP_Grid[#Data],$DE501,23),0)</f>
        <v/>
      </c>
      <c r="AA501">
        <f>IFERROR(INDEX(PP_Grid[#Data],$DE501,24),0)</f>
        <v/>
      </c>
      <c r="AB501">
        <f>IFERROR(INDEX(PP_Grid[#Data],$DE501,25),0)</f>
        <v/>
      </c>
      <c r="AC501">
        <f>IFERROR(INDEX(PP_Grid[#Data],$DE501,26),0)</f>
        <v/>
      </c>
      <c r="AD501">
        <f>IFERROR(INDEX(PP_Grid[#Data],$DE501,27),0)</f>
        <v/>
      </c>
      <c r="AE501">
        <f>IFERROR(INDEX(PP_Grid[#Data],$DE501,28),0)</f>
        <v/>
      </c>
      <c r="AF501">
        <f>IFERROR(INDEX(PP_Grid[#Data],$DE501,29),0)</f>
        <v/>
      </c>
      <c r="AG501">
        <f>IFERROR(INDEX(PP_Grid[#Data],$DE501,30),0)</f>
        <v/>
      </c>
      <c r="AH501">
        <f>IFERROR(INDEX(PP_Grid[#Data],$DE501,31),0)</f>
        <v/>
      </c>
      <c r="AI501">
        <f>IFERROR(INDEX(PP_Grid[#Data],$DE501,32),0)</f>
        <v/>
      </c>
      <c r="AJ501">
        <f>IFERROR(INDEX(PP_Grid[#Data],$DE501,33),0)</f>
        <v/>
      </c>
      <c r="AK501">
        <f>IFERROR(INDEX(PP_Grid[#Data],$DE501,34),0)</f>
        <v/>
      </c>
      <c r="AL501">
        <f>IFERROR(INDEX(PP_Grid[#Data],$DE501,35),0)</f>
        <v/>
      </c>
      <c r="AM501">
        <f>IFERROR(INDEX(PP_Grid[#Data],$DE501,36),0)</f>
        <v/>
      </c>
      <c r="AN501">
        <f>IFERROR(INDEX(PP_Grid[#Data],$DE501,37),0)</f>
        <v/>
      </c>
      <c r="AO501">
        <f>IFERROR(INDEX(PP_Grid[#Data],$DE501,38),0)</f>
        <v/>
      </c>
      <c r="AP501">
        <f>IFERROR(INDEX(PP_Grid[#Data],$DE501,39),0)</f>
        <v/>
      </c>
      <c r="AQ501">
        <f>IFERROR(INDEX(PP_Grid[#Data],$DE501,40),0)</f>
        <v/>
      </c>
      <c r="AR501">
        <f>IFERROR(INDEX(PP_Grid[#Data],$DE501,41),0)</f>
        <v/>
      </c>
      <c r="AS501">
        <f>IFERROR(INDEX(PP_Grid[#Data],$DE501,42),0)</f>
        <v/>
      </c>
      <c r="AT501">
        <f>IFERROR(INDEX(PP_Grid[#Data],$DE501,43),0)</f>
        <v/>
      </c>
      <c r="AU501">
        <f>IFERROR(INDEX(PP_Grid[#Data],$DE501,44),0)</f>
        <v/>
      </c>
      <c r="AV501">
        <f>IFERROR(INDEX(PP_Grid[#Data],$DE501,45),0)</f>
        <v/>
      </c>
      <c r="AW501">
        <f>IFERROR(INDEX(PP_Grid[#Data],$DE501,46),0)</f>
        <v/>
      </c>
      <c r="AX501">
        <f>IFERROR(INDEX(PP_Grid[#Data],$DE501,47),0)</f>
        <v/>
      </c>
      <c r="AY501">
        <f>IFERROR(INDEX(PP_Grid[#Data],$DE501,48),0)</f>
        <v/>
      </c>
      <c r="AZ501">
        <f>IFERROR(INDEX(PP_Grid[#Data],$DE501,49),0)</f>
        <v/>
      </c>
      <c r="BA501">
        <f>IFERROR(INDEX(PP_Grid[#Data],$DE501,50),0)</f>
        <v/>
      </c>
      <c r="BB501">
        <f>IFERROR(INDEX(PP_Grid[#Data],$DE501,51),0)</f>
        <v/>
      </c>
      <c r="BC501">
        <f>IFERROR(INDEX(PP_Grid[#Data],$DE501,52),0)</f>
        <v/>
      </c>
      <c r="BD501">
        <f>IFERROR(INDEX(PP_Grid[#Data],$DE501,53),0)</f>
        <v/>
      </c>
      <c r="BE501">
        <f>IFERROR(INDEX(PP_Grid[#Data],$DE501,54),0)</f>
        <v/>
      </c>
      <c r="BF501">
        <f>IFERROR(INDEX(PP_Grid[#Data],$DE501,55),0)</f>
        <v/>
      </c>
      <c r="BG501">
        <f>IFERROR(INDEX(PP_Grid[#Data],$DE501,56),0)</f>
        <v/>
      </c>
      <c r="BH501">
        <f>IFERROR(INDEX(PP_Grid[#Data],$DE501,57),0)</f>
        <v/>
      </c>
      <c r="BI501">
        <f>IFERROR(INDEX(PP_Grid[#Data],$DE501,58),0)</f>
        <v/>
      </c>
      <c r="BJ501">
        <f>IFERROR(INDEX(PP_Grid[#Data],$DE501,59),0)</f>
        <v/>
      </c>
      <c r="BK501">
        <f>IFERROR(INDEX(PP_Grid[#Data],$DE501,60),0)</f>
        <v/>
      </c>
      <c r="BL501">
        <f>IFERROR(INDEX(PP_Grid[#Data],$DE501,61),0)</f>
        <v/>
      </c>
      <c r="BM501">
        <f>IFERROR(INDEX(PP_Grid[#Data],$DE501,62),0)</f>
        <v/>
      </c>
      <c r="BN501">
        <f>IFERROR(INDEX(PP_Grid[#Data],$DE501,63),0)</f>
        <v/>
      </c>
      <c r="BO501">
        <f>IFERROR(INDEX(PP_Grid[#Data],$DE501,64),0)</f>
        <v/>
      </c>
      <c r="BP501">
        <f>IFERROR(INDEX(PP_Grid[#Data],$DE501,65),0)</f>
        <v/>
      </c>
      <c r="BQ501">
        <f>IFERROR(INDEX(PP_Grid[#Data],$DE501,66),0)</f>
        <v/>
      </c>
      <c r="BR501">
        <f>IFERROR(INDEX(PP_Grid[#Data],$DE501,67),0)</f>
        <v/>
      </c>
      <c r="BS501">
        <f>IFERROR(INDEX(PP_Grid[#Data],$DE501,68),0)</f>
        <v/>
      </c>
      <c r="BT501">
        <f>IFERROR(INDEX(PP_Grid[#Data],$DE501,69),0)</f>
        <v/>
      </c>
      <c r="BU501">
        <f>IFERROR(INDEX(PP_Grid[#Data],$DE501,70),0)</f>
        <v/>
      </c>
      <c r="BV501">
        <f>IFERROR(INDEX(PP_Grid[#Data],$DE501,71),0)</f>
        <v/>
      </c>
      <c r="BW501">
        <f>IFERROR(INDEX(PP_Grid[#Data],$DE501,72),0)</f>
        <v/>
      </c>
      <c r="BX501">
        <f>IFERROR(INDEX(PP_Grid[#Data],$DE501,73),0)</f>
        <v/>
      </c>
      <c r="BY501">
        <f>IFERROR(INDEX(PP_Grid[#Data],$DE501,74),0)</f>
        <v/>
      </c>
      <c r="BZ501">
        <f>IFERROR(INDEX(PP_Grid[#Data],$DE501,75),0)</f>
        <v/>
      </c>
      <c r="CA501">
        <f>IFERROR(INDEX(PP_Grid[#Data],$DE501,76),0)</f>
        <v/>
      </c>
      <c r="CB501">
        <f>IFERROR(INDEX(PP_Grid[#Data],$DE501,77),0)</f>
        <v/>
      </c>
      <c r="CC501">
        <f>IFERROR(INDEX(PP_Grid[#Data],$DE501,78),0)</f>
        <v/>
      </c>
      <c r="CD501">
        <f>IFERROR(INDEX(PP_Grid[#Data],$DE501,79),0)</f>
        <v/>
      </c>
      <c r="CE501">
        <f>IFERROR(INDEX(PP_Grid[#Data],$DE501,80),0)</f>
        <v/>
      </c>
      <c r="CF501">
        <f>IFERROR(INDEX(PP_Grid[#Data],$DE501,81),0)</f>
        <v/>
      </c>
      <c r="CG501">
        <f>IFERROR(INDEX(PP_Grid[#Data],$DE501,82),0)</f>
        <v/>
      </c>
      <c r="CH501">
        <f>IFERROR(INDEX(PP_Grid[#Data],$DE501,83),0)</f>
        <v/>
      </c>
      <c r="CI501">
        <f>IFERROR(INDEX(PP_Grid[#Data],$DE501,84),0)</f>
        <v/>
      </c>
      <c r="CJ501">
        <f>IFERROR(INDEX(PP_Grid[#Data],$DE501,85),0)</f>
        <v/>
      </c>
      <c r="CK501">
        <f>IFERROR(INDEX(PP_Grid[#Data],$DE501,86),0)</f>
        <v/>
      </c>
      <c r="CL501">
        <f>IFERROR(INDEX(PP_Grid[#Data],$DE501,87),0)</f>
        <v/>
      </c>
      <c r="CM501">
        <f>IFERROR(INDEX(PP_Grid[#Data],$DE501,88),0)</f>
        <v/>
      </c>
      <c r="CN501">
        <f>IFERROR(INDEX(PP_Grid[#Data],$DE501,89),0)</f>
        <v/>
      </c>
      <c r="CO501">
        <f>IFERROR(INDEX(PP_Grid[#Data],$DE501,90),0)</f>
        <v/>
      </c>
      <c r="CP501">
        <f>IFERROR(INDEX(PP_Grid[#Data],$DE501,91),0)</f>
        <v/>
      </c>
      <c r="CQ501">
        <f>IFERROR(INDEX(PP_Grid[#Data],$DE501,92),0)</f>
        <v/>
      </c>
      <c r="CR501">
        <f>IFERROR(INDEX(PP_Grid[#Data],$DE501,93),0)</f>
        <v/>
      </c>
      <c r="CS501">
        <f>IFERROR(INDEX(PP_Grid[#Data],$DE501,94),0)</f>
        <v/>
      </c>
      <c r="CT501">
        <f>IFERROR(INDEX(PP_Grid[#Data],$DE501,95),0)</f>
        <v/>
      </c>
      <c r="CU501">
        <f>IFERROR(INDEX(PP_Grid[#Data],$DE501,96),0)</f>
        <v/>
      </c>
      <c r="CV501">
        <f>IFERROR(INDEX(PP_Grid[#Data],$DE501,97),0)</f>
        <v/>
      </c>
      <c r="CW501">
        <f>IFERROR(INDEX(PP_Grid[#Data],$DE501,98),0)</f>
        <v/>
      </c>
      <c r="CX501">
        <f>IFERROR(INDEX(PP_Grid[#Data],$DE501,99),0)</f>
        <v/>
      </c>
      <c r="CY501">
        <f>IFERROR(INDEX(PP_Grid[#Data],$DE501,100),0)</f>
        <v/>
      </c>
      <c r="CZ501">
        <f>IFERROR(INDEX(PP_Grid[#Data],$DE501,101),0)</f>
        <v/>
      </c>
      <c r="DA501">
        <f>IFERROR(INDEX(PP_Grid[#Data],$DE501,102),0)</f>
        <v/>
      </c>
      <c r="DB501">
        <f>IFERROR(INDEX(PP_Grid[#Data],$DE501,103),0)</f>
        <v/>
      </c>
      <c r="DC501">
        <f>IFERROR(INDEX(PP_Grid[#Data],$DE501,104),0)</f>
        <v/>
      </c>
      <c r="DD501">
        <f>IFERROR(INDEX(PP_Grid[#Data],$DE501,105),0)</f>
        <v/>
      </c>
      <c r="DE501" s="7">
        <f>IFERROR(MATCH($B501,PP_Grid[Intermediate],0),99999)</f>
        <v/>
      </c>
    </row>
    <row r="502">
      <c r="B502" t="inlineStr">
        <is>
          <t>使用量(kg)</t>
        </is>
      </c>
      <c r="C502">
        <f>SUMIFS(M_BOM[RM_Qty_Per_Batch],M_BOM[Intermediate],$B501,M_BOM[RM_Code],$A340)</f>
        <v/>
      </c>
      <c r="D502">
        <f>IFERROR(INDEX(E502:DD502,$F$1),"")</f>
        <v/>
      </c>
      <c r="E502">
        <f>$C502*E501</f>
        <v/>
      </c>
      <c r="F502">
        <f>$C502*F501</f>
        <v/>
      </c>
      <c r="G502">
        <f>$C502*G501</f>
        <v/>
      </c>
      <c r="H502">
        <f>$C502*H501</f>
        <v/>
      </c>
      <c r="I502">
        <f>$C502*I501</f>
        <v/>
      </c>
      <c r="J502">
        <f>$C502*J501</f>
        <v/>
      </c>
      <c r="K502">
        <f>$C502*K501</f>
        <v/>
      </c>
      <c r="L502">
        <f>$C502*L501</f>
        <v/>
      </c>
      <c r="M502">
        <f>$C502*M501</f>
        <v/>
      </c>
      <c r="N502">
        <f>$C502*N501</f>
        <v/>
      </c>
      <c r="O502">
        <f>$C502*O501</f>
        <v/>
      </c>
      <c r="P502">
        <f>$C502*P501</f>
        <v/>
      </c>
      <c r="Q502">
        <f>$C502*Q501</f>
        <v/>
      </c>
      <c r="R502">
        <f>$C502*R501</f>
        <v/>
      </c>
      <c r="S502">
        <f>$C502*S501</f>
        <v/>
      </c>
      <c r="T502">
        <f>$C502*T501</f>
        <v/>
      </c>
      <c r="U502">
        <f>$C502*U501</f>
        <v/>
      </c>
      <c r="V502">
        <f>$C502*V501</f>
        <v/>
      </c>
      <c r="W502">
        <f>$C502*W501</f>
        <v/>
      </c>
      <c r="X502">
        <f>$C502*X501</f>
        <v/>
      </c>
      <c r="Y502">
        <f>$C502*Y501</f>
        <v/>
      </c>
      <c r="Z502">
        <f>$C502*Z501</f>
        <v/>
      </c>
      <c r="AA502">
        <f>$C502*AA501</f>
        <v/>
      </c>
      <c r="AB502">
        <f>$C502*AB501</f>
        <v/>
      </c>
      <c r="AC502">
        <f>$C502*AC501</f>
        <v/>
      </c>
      <c r="AD502">
        <f>$C502*AD501</f>
        <v/>
      </c>
      <c r="AE502">
        <f>$C502*AE501</f>
        <v/>
      </c>
      <c r="AF502">
        <f>$C502*AF501</f>
        <v/>
      </c>
      <c r="AG502">
        <f>$C502*AG501</f>
        <v/>
      </c>
      <c r="AH502">
        <f>$C502*AH501</f>
        <v/>
      </c>
      <c r="AI502">
        <f>$C502*AI501</f>
        <v/>
      </c>
      <c r="AJ502">
        <f>$C502*AJ501</f>
        <v/>
      </c>
      <c r="AK502">
        <f>$C502*AK501</f>
        <v/>
      </c>
      <c r="AL502">
        <f>$C502*AL501</f>
        <v/>
      </c>
      <c r="AM502">
        <f>$C502*AM501</f>
        <v/>
      </c>
      <c r="AN502">
        <f>$C502*AN501</f>
        <v/>
      </c>
      <c r="AO502">
        <f>$C502*AO501</f>
        <v/>
      </c>
      <c r="AP502">
        <f>$C502*AP501</f>
        <v/>
      </c>
      <c r="AQ502">
        <f>$C502*AQ501</f>
        <v/>
      </c>
      <c r="AR502">
        <f>$C502*AR501</f>
        <v/>
      </c>
      <c r="AS502">
        <f>$C502*AS501</f>
        <v/>
      </c>
      <c r="AT502">
        <f>$C502*AT501</f>
        <v/>
      </c>
      <c r="AU502">
        <f>$C502*AU501</f>
        <v/>
      </c>
      <c r="AV502">
        <f>$C502*AV501</f>
        <v/>
      </c>
      <c r="AW502">
        <f>$C502*AW501</f>
        <v/>
      </c>
      <c r="AX502">
        <f>$C502*AX501</f>
        <v/>
      </c>
      <c r="AY502">
        <f>$C502*AY501</f>
        <v/>
      </c>
      <c r="AZ502">
        <f>$C502*AZ501</f>
        <v/>
      </c>
      <c r="BA502">
        <f>$C502*BA501</f>
        <v/>
      </c>
      <c r="BB502">
        <f>$C502*BB501</f>
        <v/>
      </c>
      <c r="BC502">
        <f>$C502*BC501</f>
        <v/>
      </c>
      <c r="BD502">
        <f>$C502*BD501</f>
        <v/>
      </c>
      <c r="BE502">
        <f>$C502*BE501</f>
        <v/>
      </c>
      <c r="BF502">
        <f>$C502*BF501</f>
        <v/>
      </c>
      <c r="BG502">
        <f>$C502*BG501</f>
        <v/>
      </c>
      <c r="BH502">
        <f>$C502*BH501</f>
        <v/>
      </c>
      <c r="BI502">
        <f>$C502*BI501</f>
        <v/>
      </c>
      <c r="BJ502">
        <f>$C502*BJ501</f>
        <v/>
      </c>
      <c r="BK502">
        <f>$C502*BK501</f>
        <v/>
      </c>
      <c r="BL502">
        <f>$C502*BL501</f>
        <v/>
      </c>
      <c r="BM502">
        <f>$C502*BM501</f>
        <v/>
      </c>
      <c r="BN502">
        <f>$C502*BN501</f>
        <v/>
      </c>
      <c r="BO502">
        <f>$C502*BO501</f>
        <v/>
      </c>
      <c r="BP502">
        <f>$C502*BP501</f>
        <v/>
      </c>
      <c r="BQ502">
        <f>$C502*BQ501</f>
        <v/>
      </c>
      <c r="BR502">
        <f>$C502*BR501</f>
        <v/>
      </c>
      <c r="BS502">
        <f>$C502*BS501</f>
        <v/>
      </c>
      <c r="BT502">
        <f>$C502*BT501</f>
        <v/>
      </c>
      <c r="BU502">
        <f>$C502*BU501</f>
        <v/>
      </c>
      <c r="BV502">
        <f>$C502*BV501</f>
        <v/>
      </c>
      <c r="BW502">
        <f>$C502*BW501</f>
        <v/>
      </c>
      <c r="BX502">
        <f>$C502*BX501</f>
        <v/>
      </c>
      <c r="BY502">
        <f>$C502*BY501</f>
        <v/>
      </c>
      <c r="BZ502">
        <f>$C502*BZ501</f>
        <v/>
      </c>
      <c r="CA502">
        <f>$C502*CA501</f>
        <v/>
      </c>
      <c r="CB502">
        <f>$C502*CB501</f>
        <v/>
      </c>
      <c r="CC502">
        <f>$C502*CC501</f>
        <v/>
      </c>
      <c r="CD502">
        <f>$C502*CD501</f>
        <v/>
      </c>
      <c r="CE502">
        <f>$C502*CE501</f>
        <v/>
      </c>
      <c r="CF502">
        <f>$C502*CF501</f>
        <v/>
      </c>
      <c r="CG502">
        <f>$C502*CG501</f>
        <v/>
      </c>
      <c r="CH502">
        <f>$C502*CH501</f>
        <v/>
      </c>
      <c r="CI502">
        <f>$C502*CI501</f>
        <v/>
      </c>
      <c r="CJ502">
        <f>$C502*CJ501</f>
        <v/>
      </c>
      <c r="CK502">
        <f>$C502*CK501</f>
        <v/>
      </c>
      <c r="CL502">
        <f>$C502*CL501</f>
        <v/>
      </c>
      <c r="CM502">
        <f>$C502*CM501</f>
        <v/>
      </c>
      <c r="CN502">
        <f>$C502*CN501</f>
        <v/>
      </c>
      <c r="CO502">
        <f>$C502*CO501</f>
        <v/>
      </c>
      <c r="CP502">
        <f>$C502*CP501</f>
        <v/>
      </c>
      <c r="CQ502">
        <f>$C502*CQ501</f>
        <v/>
      </c>
      <c r="CR502">
        <f>$C502*CR501</f>
        <v/>
      </c>
      <c r="CS502">
        <f>$C502*CS501</f>
        <v/>
      </c>
      <c r="CT502">
        <f>$C502*CT501</f>
        <v/>
      </c>
      <c r="CU502">
        <f>$C502*CU501</f>
        <v/>
      </c>
      <c r="CV502">
        <f>$C502*CV501</f>
        <v/>
      </c>
      <c r="CW502">
        <f>$C502*CW501</f>
        <v/>
      </c>
      <c r="CX502">
        <f>$C502*CX501</f>
        <v/>
      </c>
      <c r="CY502">
        <f>$C502*CY501</f>
        <v/>
      </c>
      <c r="CZ502">
        <f>$C502*CZ501</f>
        <v/>
      </c>
      <c r="DA502">
        <f>$C502*DA501</f>
        <v/>
      </c>
      <c r="DB502">
        <f>$C502*DB501</f>
        <v/>
      </c>
      <c r="DC502">
        <f>$C502*DC501</f>
        <v/>
      </c>
      <c r="DD502">
        <f>$C502*DD501</f>
        <v/>
      </c>
    </row>
    <row r="503">
      <c r="B503" t="inlineStr">
        <is>
          <t>TVS-500</t>
        </is>
      </c>
      <c r="C503" t="inlineStr">
        <is>
          <t>No. of batches</t>
        </is>
      </c>
      <c r="D503">
        <f>IFERROR(INDEX(E503:DD503,$F$1),"")</f>
        <v/>
      </c>
      <c r="E503">
        <f>IFERROR(INDEX(PP_Grid[#Data],$DE503,2),0)</f>
        <v/>
      </c>
      <c r="F503">
        <f>IFERROR(INDEX(PP_Grid[#Data],$DE503,3),0)</f>
        <v/>
      </c>
      <c r="G503">
        <f>IFERROR(INDEX(PP_Grid[#Data],$DE503,4),0)</f>
        <v/>
      </c>
      <c r="H503">
        <f>IFERROR(INDEX(PP_Grid[#Data],$DE503,5),0)</f>
        <v/>
      </c>
      <c r="I503">
        <f>IFERROR(INDEX(PP_Grid[#Data],$DE503,6),0)</f>
        <v/>
      </c>
      <c r="J503">
        <f>IFERROR(INDEX(PP_Grid[#Data],$DE503,7),0)</f>
        <v/>
      </c>
      <c r="K503">
        <f>IFERROR(INDEX(PP_Grid[#Data],$DE503,8),0)</f>
        <v/>
      </c>
      <c r="L503">
        <f>IFERROR(INDEX(PP_Grid[#Data],$DE503,9),0)</f>
        <v/>
      </c>
      <c r="M503">
        <f>IFERROR(INDEX(PP_Grid[#Data],$DE503,10),0)</f>
        <v/>
      </c>
      <c r="N503">
        <f>IFERROR(INDEX(PP_Grid[#Data],$DE503,11),0)</f>
        <v/>
      </c>
      <c r="O503">
        <f>IFERROR(INDEX(PP_Grid[#Data],$DE503,12),0)</f>
        <v/>
      </c>
      <c r="P503">
        <f>IFERROR(INDEX(PP_Grid[#Data],$DE503,13),0)</f>
        <v/>
      </c>
      <c r="Q503">
        <f>IFERROR(INDEX(PP_Grid[#Data],$DE503,14),0)</f>
        <v/>
      </c>
      <c r="R503">
        <f>IFERROR(INDEX(PP_Grid[#Data],$DE503,15),0)</f>
        <v/>
      </c>
      <c r="S503">
        <f>IFERROR(INDEX(PP_Grid[#Data],$DE503,16),0)</f>
        <v/>
      </c>
      <c r="T503">
        <f>IFERROR(INDEX(PP_Grid[#Data],$DE503,17),0)</f>
        <v/>
      </c>
      <c r="U503">
        <f>IFERROR(INDEX(PP_Grid[#Data],$DE503,18),0)</f>
        <v/>
      </c>
      <c r="V503">
        <f>IFERROR(INDEX(PP_Grid[#Data],$DE503,19),0)</f>
        <v/>
      </c>
      <c r="W503">
        <f>IFERROR(INDEX(PP_Grid[#Data],$DE503,20),0)</f>
        <v/>
      </c>
      <c r="X503">
        <f>IFERROR(INDEX(PP_Grid[#Data],$DE503,21),0)</f>
        <v/>
      </c>
      <c r="Y503">
        <f>IFERROR(INDEX(PP_Grid[#Data],$DE503,22),0)</f>
        <v/>
      </c>
      <c r="Z503">
        <f>IFERROR(INDEX(PP_Grid[#Data],$DE503,23),0)</f>
        <v/>
      </c>
      <c r="AA503">
        <f>IFERROR(INDEX(PP_Grid[#Data],$DE503,24),0)</f>
        <v/>
      </c>
      <c r="AB503">
        <f>IFERROR(INDEX(PP_Grid[#Data],$DE503,25),0)</f>
        <v/>
      </c>
      <c r="AC503">
        <f>IFERROR(INDEX(PP_Grid[#Data],$DE503,26),0)</f>
        <v/>
      </c>
      <c r="AD503">
        <f>IFERROR(INDEX(PP_Grid[#Data],$DE503,27),0)</f>
        <v/>
      </c>
      <c r="AE503">
        <f>IFERROR(INDEX(PP_Grid[#Data],$DE503,28),0)</f>
        <v/>
      </c>
      <c r="AF503">
        <f>IFERROR(INDEX(PP_Grid[#Data],$DE503,29),0)</f>
        <v/>
      </c>
      <c r="AG503">
        <f>IFERROR(INDEX(PP_Grid[#Data],$DE503,30),0)</f>
        <v/>
      </c>
      <c r="AH503">
        <f>IFERROR(INDEX(PP_Grid[#Data],$DE503,31),0)</f>
        <v/>
      </c>
      <c r="AI503">
        <f>IFERROR(INDEX(PP_Grid[#Data],$DE503,32),0)</f>
        <v/>
      </c>
      <c r="AJ503">
        <f>IFERROR(INDEX(PP_Grid[#Data],$DE503,33),0)</f>
        <v/>
      </c>
      <c r="AK503">
        <f>IFERROR(INDEX(PP_Grid[#Data],$DE503,34),0)</f>
        <v/>
      </c>
      <c r="AL503">
        <f>IFERROR(INDEX(PP_Grid[#Data],$DE503,35),0)</f>
        <v/>
      </c>
      <c r="AM503">
        <f>IFERROR(INDEX(PP_Grid[#Data],$DE503,36),0)</f>
        <v/>
      </c>
      <c r="AN503">
        <f>IFERROR(INDEX(PP_Grid[#Data],$DE503,37),0)</f>
        <v/>
      </c>
      <c r="AO503">
        <f>IFERROR(INDEX(PP_Grid[#Data],$DE503,38),0)</f>
        <v/>
      </c>
      <c r="AP503">
        <f>IFERROR(INDEX(PP_Grid[#Data],$DE503,39),0)</f>
        <v/>
      </c>
      <c r="AQ503">
        <f>IFERROR(INDEX(PP_Grid[#Data],$DE503,40),0)</f>
        <v/>
      </c>
      <c r="AR503">
        <f>IFERROR(INDEX(PP_Grid[#Data],$DE503,41),0)</f>
        <v/>
      </c>
      <c r="AS503">
        <f>IFERROR(INDEX(PP_Grid[#Data],$DE503,42),0)</f>
        <v/>
      </c>
      <c r="AT503">
        <f>IFERROR(INDEX(PP_Grid[#Data],$DE503,43),0)</f>
        <v/>
      </c>
      <c r="AU503">
        <f>IFERROR(INDEX(PP_Grid[#Data],$DE503,44),0)</f>
        <v/>
      </c>
      <c r="AV503">
        <f>IFERROR(INDEX(PP_Grid[#Data],$DE503,45),0)</f>
        <v/>
      </c>
      <c r="AW503">
        <f>IFERROR(INDEX(PP_Grid[#Data],$DE503,46),0)</f>
        <v/>
      </c>
      <c r="AX503">
        <f>IFERROR(INDEX(PP_Grid[#Data],$DE503,47),0)</f>
        <v/>
      </c>
      <c r="AY503">
        <f>IFERROR(INDEX(PP_Grid[#Data],$DE503,48),0)</f>
        <v/>
      </c>
      <c r="AZ503">
        <f>IFERROR(INDEX(PP_Grid[#Data],$DE503,49),0)</f>
        <v/>
      </c>
      <c r="BA503">
        <f>IFERROR(INDEX(PP_Grid[#Data],$DE503,50),0)</f>
        <v/>
      </c>
      <c r="BB503">
        <f>IFERROR(INDEX(PP_Grid[#Data],$DE503,51),0)</f>
        <v/>
      </c>
      <c r="BC503">
        <f>IFERROR(INDEX(PP_Grid[#Data],$DE503,52),0)</f>
        <v/>
      </c>
      <c r="BD503">
        <f>IFERROR(INDEX(PP_Grid[#Data],$DE503,53),0)</f>
        <v/>
      </c>
      <c r="BE503">
        <f>IFERROR(INDEX(PP_Grid[#Data],$DE503,54),0)</f>
        <v/>
      </c>
      <c r="BF503">
        <f>IFERROR(INDEX(PP_Grid[#Data],$DE503,55),0)</f>
        <v/>
      </c>
      <c r="BG503">
        <f>IFERROR(INDEX(PP_Grid[#Data],$DE503,56),0)</f>
        <v/>
      </c>
      <c r="BH503">
        <f>IFERROR(INDEX(PP_Grid[#Data],$DE503,57),0)</f>
        <v/>
      </c>
      <c r="BI503">
        <f>IFERROR(INDEX(PP_Grid[#Data],$DE503,58),0)</f>
        <v/>
      </c>
      <c r="BJ503">
        <f>IFERROR(INDEX(PP_Grid[#Data],$DE503,59),0)</f>
        <v/>
      </c>
      <c r="BK503">
        <f>IFERROR(INDEX(PP_Grid[#Data],$DE503,60),0)</f>
        <v/>
      </c>
      <c r="BL503">
        <f>IFERROR(INDEX(PP_Grid[#Data],$DE503,61),0)</f>
        <v/>
      </c>
      <c r="BM503">
        <f>IFERROR(INDEX(PP_Grid[#Data],$DE503,62),0)</f>
        <v/>
      </c>
      <c r="BN503">
        <f>IFERROR(INDEX(PP_Grid[#Data],$DE503,63),0)</f>
        <v/>
      </c>
      <c r="BO503">
        <f>IFERROR(INDEX(PP_Grid[#Data],$DE503,64),0)</f>
        <v/>
      </c>
      <c r="BP503">
        <f>IFERROR(INDEX(PP_Grid[#Data],$DE503,65),0)</f>
        <v/>
      </c>
      <c r="BQ503">
        <f>IFERROR(INDEX(PP_Grid[#Data],$DE503,66),0)</f>
        <v/>
      </c>
      <c r="BR503">
        <f>IFERROR(INDEX(PP_Grid[#Data],$DE503,67),0)</f>
        <v/>
      </c>
      <c r="BS503">
        <f>IFERROR(INDEX(PP_Grid[#Data],$DE503,68),0)</f>
        <v/>
      </c>
      <c r="BT503">
        <f>IFERROR(INDEX(PP_Grid[#Data],$DE503,69),0)</f>
        <v/>
      </c>
      <c r="BU503">
        <f>IFERROR(INDEX(PP_Grid[#Data],$DE503,70),0)</f>
        <v/>
      </c>
      <c r="BV503">
        <f>IFERROR(INDEX(PP_Grid[#Data],$DE503,71),0)</f>
        <v/>
      </c>
      <c r="BW503">
        <f>IFERROR(INDEX(PP_Grid[#Data],$DE503,72),0)</f>
        <v/>
      </c>
      <c r="BX503">
        <f>IFERROR(INDEX(PP_Grid[#Data],$DE503,73),0)</f>
        <v/>
      </c>
      <c r="BY503">
        <f>IFERROR(INDEX(PP_Grid[#Data],$DE503,74),0)</f>
        <v/>
      </c>
      <c r="BZ503">
        <f>IFERROR(INDEX(PP_Grid[#Data],$DE503,75),0)</f>
        <v/>
      </c>
      <c r="CA503">
        <f>IFERROR(INDEX(PP_Grid[#Data],$DE503,76),0)</f>
        <v/>
      </c>
      <c r="CB503">
        <f>IFERROR(INDEX(PP_Grid[#Data],$DE503,77),0)</f>
        <v/>
      </c>
      <c r="CC503">
        <f>IFERROR(INDEX(PP_Grid[#Data],$DE503,78),0)</f>
        <v/>
      </c>
      <c r="CD503">
        <f>IFERROR(INDEX(PP_Grid[#Data],$DE503,79),0)</f>
        <v/>
      </c>
      <c r="CE503">
        <f>IFERROR(INDEX(PP_Grid[#Data],$DE503,80),0)</f>
        <v/>
      </c>
      <c r="CF503">
        <f>IFERROR(INDEX(PP_Grid[#Data],$DE503,81),0)</f>
        <v/>
      </c>
      <c r="CG503">
        <f>IFERROR(INDEX(PP_Grid[#Data],$DE503,82),0)</f>
        <v/>
      </c>
      <c r="CH503">
        <f>IFERROR(INDEX(PP_Grid[#Data],$DE503,83),0)</f>
        <v/>
      </c>
      <c r="CI503">
        <f>IFERROR(INDEX(PP_Grid[#Data],$DE503,84),0)</f>
        <v/>
      </c>
      <c r="CJ503">
        <f>IFERROR(INDEX(PP_Grid[#Data],$DE503,85),0)</f>
        <v/>
      </c>
      <c r="CK503">
        <f>IFERROR(INDEX(PP_Grid[#Data],$DE503,86),0)</f>
        <v/>
      </c>
      <c r="CL503">
        <f>IFERROR(INDEX(PP_Grid[#Data],$DE503,87),0)</f>
        <v/>
      </c>
      <c r="CM503">
        <f>IFERROR(INDEX(PP_Grid[#Data],$DE503,88),0)</f>
        <v/>
      </c>
      <c r="CN503">
        <f>IFERROR(INDEX(PP_Grid[#Data],$DE503,89),0)</f>
        <v/>
      </c>
      <c r="CO503">
        <f>IFERROR(INDEX(PP_Grid[#Data],$DE503,90),0)</f>
        <v/>
      </c>
      <c r="CP503">
        <f>IFERROR(INDEX(PP_Grid[#Data],$DE503,91),0)</f>
        <v/>
      </c>
      <c r="CQ503">
        <f>IFERROR(INDEX(PP_Grid[#Data],$DE503,92),0)</f>
        <v/>
      </c>
      <c r="CR503">
        <f>IFERROR(INDEX(PP_Grid[#Data],$DE503,93),0)</f>
        <v/>
      </c>
      <c r="CS503">
        <f>IFERROR(INDEX(PP_Grid[#Data],$DE503,94),0)</f>
        <v/>
      </c>
      <c r="CT503">
        <f>IFERROR(INDEX(PP_Grid[#Data],$DE503,95),0)</f>
        <v/>
      </c>
      <c r="CU503">
        <f>IFERROR(INDEX(PP_Grid[#Data],$DE503,96),0)</f>
        <v/>
      </c>
      <c r="CV503">
        <f>IFERROR(INDEX(PP_Grid[#Data],$DE503,97),0)</f>
        <v/>
      </c>
      <c r="CW503">
        <f>IFERROR(INDEX(PP_Grid[#Data],$DE503,98),0)</f>
        <v/>
      </c>
      <c r="CX503">
        <f>IFERROR(INDEX(PP_Grid[#Data],$DE503,99),0)</f>
        <v/>
      </c>
      <c r="CY503">
        <f>IFERROR(INDEX(PP_Grid[#Data],$DE503,100),0)</f>
        <v/>
      </c>
      <c r="CZ503">
        <f>IFERROR(INDEX(PP_Grid[#Data],$DE503,101),0)</f>
        <v/>
      </c>
      <c r="DA503">
        <f>IFERROR(INDEX(PP_Grid[#Data],$DE503,102),0)</f>
        <v/>
      </c>
      <c r="DB503">
        <f>IFERROR(INDEX(PP_Grid[#Data],$DE503,103),0)</f>
        <v/>
      </c>
      <c r="DC503">
        <f>IFERROR(INDEX(PP_Grid[#Data],$DE503,104),0)</f>
        <v/>
      </c>
      <c r="DD503">
        <f>IFERROR(INDEX(PP_Grid[#Data],$DE503,105),0)</f>
        <v/>
      </c>
      <c r="DE503" s="7">
        <f>IFERROR(MATCH($B503,PP_Grid[Intermediate],0),99999)</f>
        <v/>
      </c>
    </row>
    <row r="504">
      <c r="B504" t="inlineStr">
        <is>
          <t>使用量(kg)</t>
        </is>
      </c>
      <c r="C504">
        <f>SUMIFS(M_BOM[RM_Qty_Per_Batch],M_BOM[Intermediate],$B503,M_BOM[RM_Code],$A340)</f>
        <v/>
      </c>
      <c r="D504">
        <f>IFERROR(INDEX(E504:DD504,$F$1),"")</f>
        <v/>
      </c>
      <c r="E504">
        <f>$C504*E503</f>
        <v/>
      </c>
      <c r="F504">
        <f>$C504*F503</f>
        <v/>
      </c>
      <c r="G504">
        <f>$C504*G503</f>
        <v/>
      </c>
      <c r="H504">
        <f>$C504*H503</f>
        <v/>
      </c>
      <c r="I504">
        <f>$C504*I503</f>
        <v/>
      </c>
      <c r="J504">
        <f>$C504*J503</f>
        <v/>
      </c>
      <c r="K504">
        <f>$C504*K503</f>
        <v/>
      </c>
      <c r="L504">
        <f>$C504*L503</f>
        <v/>
      </c>
      <c r="M504">
        <f>$C504*M503</f>
        <v/>
      </c>
      <c r="N504">
        <f>$C504*N503</f>
        <v/>
      </c>
      <c r="O504">
        <f>$C504*O503</f>
        <v/>
      </c>
      <c r="P504">
        <f>$C504*P503</f>
        <v/>
      </c>
      <c r="Q504">
        <f>$C504*Q503</f>
        <v/>
      </c>
      <c r="R504">
        <f>$C504*R503</f>
        <v/>
      </c>
      <c r="S504">
        <f>$C504*S503</f>
        <v/>
      </c>
      <c r="T504">
        <f>$C504*T503</f>
        <v/>
      </c>
      <c r="U504">
        <f>$C504*U503</f>
        <v/>
      </c>
      <c r="V504">
        <f>$C504*V503</f>
        <v/>
      </c>
      <c r="W504">
        <f>$C504*W503</f>
        <v/>
      </c>
      <c r="X504">
        <f>$C504*X503</f>
        <v/>
      </c>
      <c r="Y504">
        <f>$C504*Y503</f>
        <v/>
      </c>
      <c r="Z504">
        <f>$C504*Z503</f>
        <v/>
      </c>
      <c r="AA504">
        <f>$C504*AA503</f>
        <v/>
      </c>
      <c r="AB504">
        <f>$C504*AB503</f>
        <v/>
      </c>
      <c r="AC504">
        <f>$C504*AC503</f>
        <v/>
      </c>
      <c r="AD504">
        <f>$C504*AD503</f>
        <v/>
      </c>
      <c r="AE504">
        <f>$C504*AE503</f>
        <v/>
      </c>
      <c r="AF504">
        <f>$C504*AF503</f>
        <v/>
      </c>
      <c r="AG504">
        <f>$C504*AG503</f>
        <v/>
      </c>
      <c r="AH504">
        <f>$C504*AH503</f>
        <v/>
      </c>
      <c r="AI504">
        <f>$C504*AI503</f>
        <v/>
      </c>
      <c r="AJ504">
        <f>$C504*AJ503</f>
        <v/>
      </c>
      <c r="AK504">
        <f>$C504*AK503</f>
        <v/>
      </c>
      <c r="AL504">
        <f>$C504*AL503</f>
        <v/>
      </c>
      <c r="AM504">
        <f>$C504*AM503</f>
        <v/>
      </c>
      <c r="AN504">
        <f>$C504*AN503</f>
        <v/>
      </c>
      <c r="AO504">
        <f>$C504*AO503</f>
        <v/>
      </c>
      <c r="AP504">
        <f>$C504*AP503</f>
        <v/>
      </c>
      <c r="AQ504">
        <f>$C504*AQ503</f>
        <v/>
      </c>
      <c r="AR504">
        <f>$C504*AR503</f>
        <v/>
      </c>
      <c r="AS504">
        <f>$C504*AS503</f>
        <v/>
      </c>
      <c r="AT504">
        <f>$C504*AT503</f>
        <v/>
      </c>
      <c r="AU504">
        <f>$C504*AU503</f>
        <v/>
      </c>
      <c r="AV504">
        <f>$C504*AV503</f>
        <v/>
      </c>
      <c r="AW504">
        <f>$C504*AW503</f>
        <v/>
      </c>
      <c r="AX504">
        <f>$C504*AX503</f>
        <v/>
      </c>
      <c r="AY504">
        <f>$C504*AY503</f>
        <v/>
      </c>
      <c r="AZ504">
        <f>$C504*AZ503</f>
        <v/>
      </c>
      <c r="BA504">
        <f>$C504*BA503</f>
        <v/>
      </c>
      <c r="BB504">
        <f>$C504*BB503</f>
        <v/>
      </c>
      <c r="BC504">
        <f>$C504*BC503</f>
        <v/>
      </c>
      <c r="BD504">
        <f>$C504*BD503</f>
        <v/>
      </c>
      <c r="BE504">
        <f>$C504*BE503</f>
        <v/>
      </c>
      <c r="BF504">
        <f>$C504*BF503</f>
        <v/>
      </c>
      <c r="BG504">
        <f>$C504*BG503</f>
        <v/>
      </c>
      <c r="BH504">
        <f>$C504*BH503</f>
        <v/>
      </c>
      <c r="BI504">
        <f>$C504*BI503</f>
        <v/>
      </c>
      <c r="BJ504">
        <f>$C504*BJ503</f>
        <v/>
      </c>
      <c r="BK504">
        <f>$C504*BK503</f>
        <v/>
      </c>
      <c r="BL504">
        <f>$C504*BL503</f>
        <v/>
      </c>
      <c r="BM504">
        <f>$C504*BM503</f>
        <v/>
      </c>
      <c r="BN504">
        <f>$C504*BN503</f>
        <v/>
      </c>
      <c r="BO504">
        <f>$C504*BO503</f>
        <v/>
      </c>
      <c r="BP504">
        <f>$C504*BP503</f>
        <v/>
      </c>
      <c r="BQ504">
        <f>$C504*BQ503</f>
        <v/>
      </c>
      <c r="BR504">
        <f>$C504*BR503</f>
        <v/>
      </c>
      <c r="BS504">
        <f>$C504*BS503</f>
        <v/>
      </c>
      <c r="BT504">
        <f>$C504*BT503</f>
        <v/>
      </c>
      <c r="BU504">
        <f>$C504*BU503</f>
        <v/>
      </c>
      <c r="BV504">
        <f>$C504*BV503</f>
        <v/>
      </c>
      <c r="BW504">
        <f>$C504*BW503</f>
        <v/>
      </c>
      <c r="BX504">
        <f>$C504*BX503</f>
        <v/>
      </c>
      <c r="BY504">
        <f>$C504*BY503</f>
        <v/>
      </c>
      <c r="BZ504">
        <f>$C504*BZ503</f>
        <v/>
      </c>
      <c r="CA504">
        <f>$C504*CA503</f>
        <v/>
      </c>
      <c r="CB504">
        <f>$C504*CB503</f>
        <v/>
      </c>
      <c r="CC504">
        <f>$C504*CC503</f>
        <v/>
      </c>
      <c r="CD504">
        <f>$C504*CD503</f>
        <v/>
      </c>
      <c r="CE504">
        <f>$C504*CE503</f>
        <v/>
      </c>
      <c r="CF504">
        <f>$C504*CF503</f>
        <v/>
      </c>
      <c r="CG504">
        <f>$C504*CG503</f>
        <v/>
      </c>
      <c r="CH504">
        <f>$C504*CH503</f>
        <v/>
      </c>
      <c r="CI504">
        <f>$C504*CI503</f>
        <v/>
      </c>
      <c r="CJ504">
        <f>$C504*CJ503</f>
        <v/>
      </c>
      <c r="CK504">
        <f>$C504*CK503</f>
        <v/>
      </c>
      <c r="CL504">
        <f>$C504*CL503</f>
        <v/>
      </c>
      <c r="CM504">
        <f>$C504*CM503</f>
        <v/>
      </c>
      <c r="CN504">
        <f>$C504*CN503</f>
        <v/>
      </c>
      <c r="CO504">
        <f>$C504*CO503</f>
        <v/>
      </c>
      <c r="CP504">
        <f>$C504*CP503</f>
        <v/>
      </c>
      <c r="CQ504">
        <f>$C504*CQ503</f>
        <v/>
      </c>
      <c r="CR504">
        <f>$C504*CR503</f>
        <v/>
      </c>
      <c r="CS504">
        <f>$C504*CS503</f>
        <v/>
      </c>
      <c r="CT504">
        <f>$C504*CT503</f>
        <v/>
      </c>
      <c r="CU504">
        <f>$C504*CU503</f>
        <v/>
      </c>
      <c r="CV504">
        <f>$C504*CV503</f>
        <v/>
      </c>
      <c r="CW504">
        <f>$C504*CW503</f>
        <v/>
      </c>
      <c r="CX504">
        <f>$C504*CX503</f>
        <v/>
      </c>
      <c r="CY504">
        <f>$C504*CY503</f>
        <v/>
      </c>
      <c r="CZ504">
        <f>$C504*CZ503</f>
        <v/>
      </c>
      <c r="DA504">
        <f>$C504*DA503</f>
        <v/>
      </c>
      <c r="DB504">
        <f>$C504*DB503</f>
        <v/>
      </c>
      <c r="DC504">
        <f>$C504*DC503</f>
        <v/>
      </c>
      <c r="DD504">
        <f>$C504*DD503</f>
        <v/>
      </c>
    </row>
    <row r="505">
      <c r="B505" t="inlineStr">
        <is>
          <t>TSP-1499</t>
        </is>
      </c>
      <c r="C505" t="inlineStr">
        <is>
          <t>No. of batches</t>
        </is>
      </c>
      <c r="D505">
        <f>IFERROR(INDEX(E505:DD505,$F$1),"")</f>
        <v/>
      </c>
      <c r="E505">
        <f>IFERROR(INDEX(PP_Grid[#Data],$DE505,2),0)</f>
        <v/>
      </c>
      <c r="F505">
        <f>IFERROR(INDEX(PP_Grid[#Data],$DE505,3),0)</f>
        <v/>
      </c>
      <c r="G505">
        <f>IFERROR(INDEX(PP_Grid[#Data],$DE505,4),0)</f>
        <v/>
      </c>
      <c r="H505">
        <f>IFERROR(INDEX(PP_Grid[#Data],$DE505,5),0)</f>
        <v/>
      </c>
      <c r="I505">
        <f>IFERROR(INDEX(PP_Grid[#Data],$DE505,6),0)</f>
        <v/>
      </c>
      <c r="J505">
        <f>IFERROR(INDEX(PP_Grid[#Data],$DE505,7),0)</f>
        <v/>
      </c>
      <c r="K505">
        <f>IFERROR(INDEX(PP_Grid[#Data],$DE505,8),0)</f>
        <v/>
      </c>
      <c r="L505">
        <f>IFERROR(INDEX(PP_Grid[#Data],$DE505,9),0)</f>
        <v/>
      </c>
      <c r="M505">
        <f>IFERROR(INDEX(PP_Grid[#Data],$DE505,10),0)</f>
        <v/>
      </c>
      <c r="N505">
        <f>IFERROR(INDEX(PP_Grid[#Data],$DE505,11),0)</f>
        <v/>
      </c>
      <c r="O505">
        <f>IFERROR(INDEX(PP_Grid[#Data],$DE505,12),0)</f>
        <v/>
      </c>
      <c r="P505">
        <f>IFERROR(INDEX(PP_Grid[#Data],$DE505,13),0)</f>
        <v/>
      </c>
      <c r="Q505">
        <f>IFERROR(INDEX(PP_Grid[#Data],$DE505,14),0)</f>
        <v/>
      </c>
      <c r="R505">
        <f>IFERROR(INDEX(PP_Grid[#Data],$DE505,15),0)</f>
        <v/>
      </c>
      <c r="S505">
        <f>IFERROR(INDEX(PP_Grid[#Data],$DE505,16),0)</f>
        <v/>
      </c>
      <c r="T505">
        <f>IFERROR(INDEX(PP_Grid[#Data],$DE505,17),0)</f>
        <v/>
      </c>
      <c r="U505">
        <f>IFERROR(INDEX(PP_Grid[#Data],$DE505,18),0)</f>
        <v/>
      </c>
      <c r="V505">
        <f>IFERROR(INDEX(PP_Grid[#Data],$DE505,19),0)</f>
        <v/>
      </c>
      <c r="W505">
        <f>IFERROR(INDEX(PP_Grid[#Data],$DE505,20),0)</f>
        <v/>
      </c>
      <c r="X505">
        <f>IFERROR(INDEX(PP_Grid[#Data],$DE505,21),0)</f>
        <v/>
      </c>
      <c r="Y505">
        <f>IFERROR(INDEX(PP_Grid[#Data],$DE505,22),0)</f>
        <v/>
      </c>
      <c r="Z505">
        <f>IFERROR(INDEX(PP_Grid[#Data],$DE505,23),0)</f>
        <v/>
      </c>
      <c r="AA505">
        <f>IFERROR(INDEX(PP_Grid[#Data],$DE505,24),0)</f>
        <v/>
      </c>
      <c r="AB505">
        <f>IFERROR(INDEX(PP_Grid[#Data],$DE505,25),0)</f>
        <v/>
      </c>
      <c r="AC505">
        <f>IFERROR(INDEX(PP_Grid[#Data],$DE505,26),0)</f>
        <v/>
      </c>
      <c r="AD505">
        <f>IFERROR(INDEX(PP_Grid[#Data],$DE505,27),0)</f>
        <v/>
      </c>
      <c r="AE505">
        <f>IFERROR(INDEX(PP_Grid[#Data],$DE505,28),0)</f>
        <v/>
      </c>
      <c r="AF505">
        <f>IFERROR(INDEX(PP_Grid[#Data],$DE505,29),0)</f>
        <v/>
      </c>
      <c r="AG505">
        <f>IFERROR(INDEX(PP_Grid[#Data],$DE505,30),0)</f>
        <v/>
      </c>
      <c r="AH505">
        <f>IFERROR(INDEX(PP_Grid[#Data],$DE505,31),0)</f>
        <v/>
      </c>
      <c r="AI505">
        <f>IFERROR(INDEX(PP_Grid[#Data],$DE505,32),0)</f>
        <v/>
      </c>
      <c r="AJ505">
        <f>IFERROR(INDEX(PP_Grid[#Data],$DE505,33),0)</f>
        <v/>
      </c>
      <c r="AK505">
        <f>IFERROR(INDEX(PP_Grid[#Data],$DE505,34),0)</f>
        <v/>
      </c>
      <c r="AL505">
        <f>IFERROR(INDEX(PP_Grid[#Data],$DE505,35),0)</f>
        <v/>
      </c>
      <c r="AM505">
        <f>IFERROR(INDEX(PP_Grid[#Data],$DE505,36),0)</f>
        <v/>
      </c>
      <c r="AN505">
        <f>IFERROR(INDEX(PP_Grid[#Data],$DE505,37),0)</f>
        <v/>
      </c>
      <c r="AO505">
        <f>IFERROR(INDEX(PP_Grid[#Data],$DE505,38),0)</f>
        <v/>
      </c>
      <c r="AP505">
        <f>IFERROR(INDEX(PP_Grid[#Data],$DE505,39),0)</f>
        <v/>
      </c>
      <c r="AQ505">
        <f>IFERROR(INDEX(PP_Grid[#Data],$DE505,40),0)</f>
        <v/>
      </c>
      <c r="AR505">
        <f>IFERROR(INDEX(PP_Grid[#Data],$DE505,41),0)</f>
        <v/>
      </c>
      <c r="AS505">
        <f>IFERROR(INDEX(PP_Grid[#Data],$DE505,42),0)</f>
        <v/>
      </c>
      <c r="AT505">
        <f>IFERROR(INDEX(PP_Grid[#Data],$DE505,43),0)</f>
        <v/>
      </c>
      <c r="AU505">
        <f>IFERROR(INDEX(PP_Grid[#Data],$DE505,44),0)</f>
        <v/>
      </c>
      <c r="AV505">
        <f>IFERROR(INDEX(PP_Grid[#Data],$DE505,45),0)</f>
        <v/>
      </c>
      <c r="AW505">
        <f>IFERROR(INDEX(PP_Grid[#Data],$DE505,46),0)</f>
        <v/>
      </c>
      <c r="AX505">
        <f>IFERROR(INDEX(PP_Grid[#Data],$DE505,47),0)</f>
        <v/>
      </c>
      <c r="AY505">
        <f>IFERROR(INDEX(PP_Grid[#Data],$DE505,48),0)</f>
        <v/>
      </c>
      <c r="AZ505">
        <f>IFERROR(INDEX(PP_Grid[#Data],$DE505,49),0)</f>
        <v/>
      </c>
      <c r="BA505">
        <f>IFERROR(INDEX(PP_Grid[#Data],$DE505,50),0)</f>
        <v/>
      </c>
      <c r="BB505">
        <f>IFERROR(INDEX(PP_Grid[#Data],$DE505,51),0)</f>
        <v/>
      </c>
      <c r="BC505">
        <f>IFERROR(INDEX(PP_Grid[#Data],$DE505,52),0)</f>
        <v/>
      </c>
      <c r="BD505">
        <f>IFERROR(INDEX(PP_Grid[#Data],$DE505,53),0)</f>
        <v/>
      </c>
      <c r="BE505">
        <f>IFERROR(INDEX(PP_Grid[#Data],$DE505,54),0)</f>
        <v/>
      </c>
      <c r="BF505">
        <f>IFERROR(INDEX(PP_Grid[#Data],$DE505,55),0)</f>
        <v/>
      </c>
      <c r="BG505">
        <f>IFERROR(INDEX(PP_Grid[#Data],$DE505,56),0)</f>
        <v/>
      </c>
      <c r="BH505">
        <f>IFERROR(INDEX(PP_Grid[#Data],$DE505,57),0)</f>
        <v/>
      </c>
      <c r="BI505">
        <f>IFERROR(INDEX(PP_Grid[#Data],$DE505,58),0)</f>
        <v/>
      </c>
      <c r="BJ505">
        <f>IFERROR(INDEX(PP_Grid[#Data],$DE505,59),0)</f>
        <v/>
      </c>
      <c r="BK505">
        <f>IFERROR(INDEX(PP_Grid[#Data],$DE505,60),0)</f>
        <v/>
      </c>
      <c r="BL505">
        <f>IFERROR(INDEX(PP_Grid[#Data],$DE505,61),0)</f>
        <v/>
      </c>
      <c r="BM505">
        <f>IFERROR(INDEX(PP_Grid[#Data],$DE505,62),0)</f>
        <v/>
      </c>
      <c r="BN505">
        <f>IFERROR(INDEX(PP_Grid[#Data],$DE505,63),0)</f>
        <v/>
      </c>
      <c r="BO505">
        <f>IFERROR(INDEX(PP_Grid[#Data],$DE505,64),0)</f>
        <v/>
      </c>
      <c r="BP505">
        <f>IFERROR(INDEX(PP_Grid[#Data],$DE505,65),0)</f>
        <v/>
      </c>
      <c r="BQ505">
        <f>IFERROR(INDEX(PP_Grid[#Data],$DE505,66),0)</f>
        <v/>
      </c>
      <c r="BR505">
        <f>IFERROR(INDEX(PP_Grid[#Data],$DE505,67),0)</f>
        <v/>
      </c>
      <c r="BS505">
        <f>IFERROR(INDEX(PP_Grid[#Data],$DE505,68),0)</f>
        <v/>
      </c>
      <c r="BT505">
        <f>IFERROR(INDEX(PP_Grid[#Data],$DE505,69),0)</f>
        <v/>
      </c>
      <c r="BU505">
        <f>IFERROR(INDEX(PP_Grid[#Data],$DE505,70),0)</f>
        <v/>
      </c>
      <c r="BV505">
        <f>IFERROR(INDEX(PP_Grid[#Data],$DE505,71),0)</f>
        <v/>
      </c>
      <c r="BW505">
        <f>IFERROR(INDEX(PP_Grid[#Data],$DE505,72),0)</f>
        <v/>
      </c>
      <c r="BX505">
        <f>IFERROR(INDEX(PP_Grid[#Data],$DE505,73),0)</f>
        <v/>
      </c>
      <c r="BY505">
        <f>IFERROR(INDEX(PP_Grid[#Data],$DE505,74),0)</f>
        <v/>
      </c>
      <c r="BZ505">
        <f>IFERROR(INDEX(PP_Grid[#Data],$DE505,75),0)</f>
        <v/>
      </c>
      <c r="CA505">
        <f>IFERROR(INDEX(PP_Grid[#Data],$DE505,76),0)</f>
        <v/>
      </c>
      <c r="CB505">
        <f>IFERROR(INDEX(PP_Grid[#Data],$DE505,77),0)</f>
        <v/>
      </c>
      <c r="CC505">
        <f>IFERROR(INDEX(PP_Grid[#Data],$DE505,78),0)</f>
        <v/>
      </c>
      <c r="CD505">
        <f>IFERROR(INDEX(PP_Grid[#Data],$DE505,79),0)</f>
        <v/>
      </c>
      <c r="CE505">
        <f>IFERROR(INDEX(PP_Grid[#Data],$DE505,80),0)</f>
        <v/>
      </c>
      <c r="CF505">
        <f>IFERROR(INDEX(PP_Grid[#Data],$DE505,81),0)</f>
        <v/>
      </c>
      <c r="CG505">
        <f>IFERROR(INDEX(PP_Grid[#Data],$DE505,82),0)</f>
        <v/>
      </c>
      <c r="CH505">
        <f>IFERROR(INDEX(PP_Grid[#Data],$DE505,83),0)</f>
        <v/>
      </c>
      <c r="CI505">
        <f>IFERROR(INDEX(PP_Grid[#Data],$DE505,84),0)</f>
        <v/>
      </c>
      <c r="CJ505">
        <f>IFERROR(INDEX(PP_Grid[#Data],$DE505,85),0)</f>
        <v/>
      </c>
      <c r="CK505">
        <f>IFERROR(INDEX(PP_Grid[#Data],$DE505,86),0)</f>
        <v/>
      </c>
      <c r="CL505">
        <f>IFERROR(INDEX(PP_Grid[#Data],$DE505,87),0)</f>
        <v/>
      </c>
      <c r="CM505">
        <f>IFERROR(INDEX(PP_Grid[#Data],$DE505,88),0)</f>
        <v/>
      </c>
      <c r="CN505">
        <f>IFERROR(INDEX(PP_Grid[#Data],$DE505,89),0)</f>
        <v/>
      </c>
      <c r="CO505">
        <f>IFERROR(INDEX(PP_Grid[#Data],$DE505,90),0)</f>
        <v/>
      </c>
      <c r="CP505">
        <f>IFERROR(INDEX(PP_Grid[#Data],$DE505,91),0)</f>
        <v/>
      </c>
      <c r="CQ505">
        <f>IFERROR(INDEX(PP_Grid[#Data],$DE505,92),0)</f>
        <v/>
      </c>
      <c r="CR505">
        <f>IFERROR(INDEX(PP_Grid[#Data],$DE505,93),0)</f>
        <v/>
      </c>
      <c r="CS505">
        <f>IFERROR(INDEX(PP_Grid[#Data],$DE505,94),0)</f>
        <v/>
      </c>
      <c r="CT505">
        <f>IFERROR(INDEX(PP_Grid[#Data],$DE505,95),0)</f>
        <v/>
      </c>
      <c r="CU505">
        <f>IFERROR(INDEX(PP_Grid[#Data],$DE505,96),0)</f>
        <v/>
      </c>
      <c r="CV505">
        <f>IFERROR(INDEX(PP_Grid[#Data],$DE505,97),0)</f>
        <v/>
      </c>
      <c r="CW505">
        <f>IFERROR(INDEX(PP_Grid[#Data],$DE505,98),0)</f>
        <v/>
      </c>
      <c r="CX505">
        <f>IFERROR(INDEX(PP_Grid[#Data],$DE505,99),0)</f>
        <v/>
      </c>
      <c r="CY505">
        <f>IFERROR(INDEX(PP_Grid[#Data],$DE505,100),0)</f>
        <v/>
      </c>
      <c r="CZ505">
        <f>IFERROR(INDEX(PP_Grid[#Data],$DE505,101),0)</f>
        <v/>
      </c>
      <c r="DA505">
        <f>IFERROR(INDEX(PP_Grid[#Data],$DE505,102),0)</f>
        <v/>
      </c>
      <c r="DB505">
        <f>IFERROR(INDEX(PP_Grid[#Data],$DE505,103),0)</f>
        <v/>
      </c>
      <c r="DC505">
        <f>IFERROR(INDEX(PP_Grid[#Data],$DE505,104),0)</f>
        <v/>
      </c>
      <c r="DD505">
        <f>IFERROR(INDEX(PP_Grid[#Data],$DE505,105),0)</f>
        <v/>
      </c>
      <c r="DE505" s="7">
        <f>IFERROR(MATCH($B505,PP_Grid[Intermediate],0),99999)</f>
        <v/>
      </c>
    </row>
    <row r="506">
      <c r="B506" t="inlineStr">
        <is>
          <t>使用量(kg)</t>
        </is>
      </c>
      <c r="C506">
        <f>SUMIFS(M_BOM[RM_Qty_Per_Batch],M_BOM[Intermediate],$B505,M_BOM[RM_Code],$A340)</f>
        <v/>
      </c>
      <c r="D506">
        <f>IFERROR(INDEX(E506:DD506,$F$1),"")</f>
        <v/>
      </c>
      <c r="E506">
        <f>$C506*E505</f>
        <v/>
      </c>
      <c r="F506">
        <f>$C506*F505</f>
        <v/>
      </c>
      <c r="G506">
        <f>$C506*G505</f>
        <v/>
      </c>
      <c r="H506">
        <f>$C506*H505</f>
        <v/>
      </c>
      <c r="I506">
        <f>$C506*I505</f>
        <v/>
      </c>
      <c r="J506">
        <f>$C506*J505</f>
        <v/>
      </c>
      <c r="K506">
        <f>$C506*K505</f>
        <v/>
      </c>
      <c r="L506">
        <f>$C506*L505</f>
        <v/>
      </c>
      <c r="M506">
        <f>$C506*M505</f>
        <v/>
      </c>
      <c r="N506">
        <f>$C506*N505</f>
        <v/>
      </c>
      <c r="O506">
        <f>$C506*O505</f>
        <v/>
      </c>
      <c r="P506">
        <f>$C506*P505</f>
        <v/>
      </c>
      <c r="Q506">
        <f>$C506*Q505</f>
        <v/>
      </c>
      <c r="R506">
        <f>$C506*R505</f>
        <v/>
      </c>
      <c r="S506">
        <f>$C506*S505</f>
        <v/>
      </c>
      <c r="T506">
        <f>$C506*T505</f>
        <v/>
      </c>
      <c r="U506">
        <f>$C506*U505</f>
        <v/>
      </c>
      <c r="V506">
        <f>$C506*V505</f>
        <v/>
      </c>
      <c r="W506">
        <f>$C506*W505</f>
        <v/>
      </c>
      <c r="X506">
        <f>$C506*X505</f>
        <v/>
      </c>
      <c r="Y506">
        <f>$C506*Y505</f>
        <v/>
      </c>
      <c r="Z506">
        <f>$C506*Z505</f>
        <v/>
      </c>
      <c r="AA506">
        <f>$C506*AA505</f>
        <v/>
      </c>
      <c r="AB506">
        <f>$C506*AB505</f>
        <v/>
      </c>
      <c r="AC506">
        <f>$C506*AC505</f>
        <v/>
      </c>
      <c r="AD506">
        <f>$C506*AD505</f>
        <v/>
      </c>
      <c r="AE506">
        <f>$C506*AE505</f>
        <v/>
      </c>
      <c r="AF506">
        <f>$C506*AF505</f>
        <v/>
      </c>
      <c r="AG506">
        <f>$C506*AG505</f>
        <v/>
      </c>
      <c r="AH506">
        <f>$C506*AH505</f>
        <v/>
      </c>
      <c r="AI506">
        <f>$C506*AI505</f>
        <v/>
      </c>
      <c r="AJ506">
        <f>$C506*AJ505</f>
        <v/>
      </c>
      <c r="AK506">
        <f>$C506*AK505</f>
        <v/>
      </c>
      <c r="AL506">
        <f>$C506*AL505</f>
        <v/>
      </c>
      <c r="AM506">
        <f>$C506*AM505</f>
        <v/>
      </c>
      <c r="AN506">
        <f>$C506*AN505</f>
        <v/>
      </c>
      <c r="AO506">
        <f>$C506*AO505</f>
        <v/>
      </c>
      <c r="AP506">
        <f>$C506*AP505</f>
        <v/>
      </c>
      <c r="AQ506">
        <f>$C506*AQ505</f>
        <v/>
      </c>
      <c r="AR506">
        <f>$C506*AR505</f>
        <v/>
      </c>
      <c r="AS506">
        <f>$C506*AS505</f>
        <v/>
      </c>
      <c r="AT506">
        <f>$C506*AT505</f>
        <v/>
      </c>
      <c r="AU506">
        <f>$C506*AU505</f>
        <v/>
      </c>
      <c r="AV506">
        <f>$C506*AV505</f>
        <v/>
      </c>
      <c r="AW506">
        <f>$C506*AW505</f>
        <v/>
      </c>
      <c r="AX506">
        <f>$C506*AX505</f>
        <v/>
      </c>
      <c r="AY506">
        <f>$C506*AY505</f>
        <v/>
      </c>
      <c r="AZ506">
        <f>$C506*AZ505</f>
        <v/>
      </c>
      <c r="BA506">
        <f>$C506*BA505</f>
        <v/>
      </c>
      <c r="BB506">
        <f>$C506*BB505</f>
        <v/>
      </c>
      <c r="BC506">
        <f>$C506*BC505</f>
        <v/>
      </c>
      <c r="BD506">
        <f>$C506*BD505</f>
        <v/>
      </c>
      <c r="BE506">
        <f>$C506*BE505</f>
        <v/>
      </c>
      <c r="BF506">
        <f>$C506*BF505</f>
        <v/>
      </c>
      <c r="BG506">
        <f>$C506*BG505</f>
        <v/>
      </c>
      <c r="BH506">
        <f>$C506*BH505</f>
        <v/>
      </c>
      <c r="BI506">
        <f>$C506*BI505</f>
        <v/>
      </c>
      <c r="BJ506">
        <f>$C506*BJ505</f>
        <v/>
      </c>
      <c r="BK506">
        <f>$C506*BK505</f>
        <v/>
      </c>
      <c r="BL506">
        <f>$C506*BL505</f>
        <v/>
      </c>
      <c r="BM506">
        <f>$C506*BM505</f>
        <v/>
      </c>
      <c r="BN506">
        <f>$C506*BN505</f>
        <v/>
      </c>
      <c r="BO506">
        <f>$C506*BO505</f>
        <v/>
      </c>
      <c r="BP506">
        <f>$C506*BP505</f>
        <v/>
      </c>
      <c r="BQ506">
        <f>$C506*BQ505</f>
        <v/>
      </c>
      <c r="BR506">
        <f>$C506*BR505</f>
        <v/>
      </c>
      <c r="BS506">
        <f>$C506*BS505</f>
        <v/>
      </c>
      <c r="BT506">
        <f>$C506*BT505</f>
        <v/>
      </c>
      <c r="BU506">
        <f>$C506*BU505</f>
        <v/>
      </c>
      <c r="BV506">
        <f>$C506*BV505</f>
        <v/>
      </c>
      <c r="BW506">
        <f>$C506*BW505</f>
        <v/>
      </c>
      <c r="BX506">
        <f>$C506*BX505</f>
        <v/>
      </c>
      <c r="BY506">
        <f>$C506*BY505</f>
        <v/>
      </c>
      <c r="BZ506">
        <f>$C506*BZ505</f>
        <v/>
      </c>
      <c r="CA506">
        <f>$C506*CA505</f>
        <v/>
      </c>
      <c r="CB506">
        <f>$C506*CB505</f>
        <v/>
      </c>
      <c r="CC506">
        <f>$C506*CC505</f>
        <v/>
      </c>
      <c r="CD506">
        <f>$C506*CD505</f>
        <v/>
      </c>
      <c r="CE506">
        <f>$C506*CE505</f>
        <v/>
      </c>
      <c r="CF506">
        <f>$C506*CF505</f>
        <v/>
      </c>
      <c r="CG506">
        <f>$C506*CG505</f>
        <v/>
      </c>
      <c r="CH506">
        <f>$C506*CH505</f>
        <v/>
      </c>
      <c r="CI506">
        <f>$C506*CI505</f>
        <v/>
      </c>
      <c r="CJ506">
        <f>$C506*CJ505</f>
        <v/>
      </c>
      <c r="CK506">
        <f>$C506*CK505</f>
        <v/>
      </c>
      <c r="CL506">
        <f>$C506*CL505</f>
        <v/>
      </c>
      <c r="CM506">
        <f>$C506*CM505</f>
        <v/>
      </c>
      <c r="CN506">
        <f>$C506*CN505</f>
        <v/>
      </c>
      <c r="CO506">
        <f>$C506*CO505</f>
        <v/>
      </c>
      <c r="CP506">
        <f>$C506*CP505</f>
        <v/>
      </c>
      <c r="CQ506">
        <f>$C506*CQ505</f>
        <v/>
      </c>
      <c r="CR506">
        <f>$C506*CR505</f>
        <v/>
      </c>
      <c r="CS506">
        <f>$C506*CS505</f>
        <v/>
      </c>
      <c r="CT506">
        <f>$C506*CT505</f>
        <v/>
      </c>
      <c r="CU506">
        <f>$C506*CU505</f>
        <v/>
      </c>
      <c r="CV506">
        <f>$C506*CV505</f>
        <v/>
      </c>
      <c r="CW506">
        <f>$C506*CW505</f>
        <v/>
      </c>
      <c r="CX506">
        <f>$C506*CX505</f>
        <v/>
      </c>
      <c r="CY506">
        <f>$C506*CY505</f>
        <v/>
      </c>
      <c r="CZ506">
        <f>$C506*CZ505</f>
        <v/>
      </c>
      <c r="DA506">
        <f>$C506*DA505</f>
        <v/>
      </c>
      <c r="DB506">
        <f>$C506*DB505</f>
        <v/>
      </c>
      <c r="DC506">
        <f>$C506*DC505</f>
        <v/>
      </c>
      <c r="DD506">
        <f>$C506*DD505</f>
        <v/>
      </c>
    </row>
    <row r="507">
      <c r="B507" t="inlineStr">
        <is>
          <t>TSP-1558</t>
        </is>
      </c>
      <c r="C507" t="inlineStr">
        <is>
          <t>No. of batches</t>
        </is>
      </c>
      <c r="D507">
        <f>IFERROR(INDEX(E507:DD507,$F$1),"")</f>
        <v/>
      </c>
      <c r="E507">
        <f>IFERROR(INDEX(PP_Grid[#Data],$DE507,2),0)</f>
        <v/>
      </c>
      <c r="F507">
        <f>IFERROR(INDEX(PP_Grid[#Data],$DE507,3),0)</f>
        <v/>
      </c>
      <c r="G507">
        <f>IFERROR(INDEX(PP_Grid[#Data],$DE507,4),0)</f>
        <v/>
      </c>
      <c r="H507">
        <f>IFERROR(INDEX(PP_Grid[#Data],$DE507,5),0)</f>
        <v/>
      </c>
      <c r="I507">
        <f>IFERROR(INDEX(PP_Grid[#Data],$DE507,6),0)</f>
        <v/>
      </c>
      <c r="J507">
        <f>IFERROR(INDEX(PP_Grid[#Data],$DE507,7),0)</f>
        <v/>
      </c>
      <c r="K507">
        <f>IFERROR(INDEX(PP_Grid[#Data],$DE507,8),0)</f>
        <v/>
      </c>
      <c r="L507">
        <f>IFERROR(INDEX(PP_Grid[#Data],$DE507,9),0)</f>
        <v/>
      </c>
      <c r="M507">
        <f>IFERROR(INDEX(PP_Grid[#Data],$DE507,10),0)</f>
        <v/>
      </c>
      <c r="N507">
        <f>IFERROR(INDEX(PP_Grid[#Data],$DE507,11),0)</f>
        <v/>
      </c>
      <c r="O507">
        <f>IFERROR(INDEX(PP_Grid[#Data],$DE507,12),0)</f>
        <v/>
      </c>
      <c r="P507">
        <f>IFERROR(INDEX(PP_Grid[#Data],$DE507,13),0)</f>
        <v/>
      </c>
      <c r="Q507">
        <f>IFERROR(INDEX(PP_Grid[#Data],$DE507,14),0)</f>
        <v/>
      </c>
      <c r="R507">
        <f>IFERROR(INDEX(PP_Grid[#Data],$DE507,15),0)</f>
        <v/>
      </c>
      <c r="S507">
        <f>IFERROR(INDEX(PP_Grid[#Data],$DE507,16),0)</f>
        <v/>
      </c>
      <c r="T507">
        <f>IFERROR(INDEX(PP_Grid[#Data],$DE507,17),0)</f>
        <v/>
      </c>
      <c r="U507">
        <f>IFERROR(INDEX(PP_Grid[#Data],$DE507,18),0)</f>
        <v/>
      </c>
      <c r="V507">
        <f>IFERROR(INDEX(PP_Grid[#Data],$DE507,19),0)</f>
        <v/>
      </c>
      <c r="W507">
        <f>IFERROR(INDEX(PP_Grid[#Data],$DE507,20),0)</f>
        <v/>
      </c>
      <c r="X507">
        <f>IFERROR(INDEX(PP_Grid[#Data],$DE507,21),0)</f>
        <v/>
      </c>
      <c r="Y507">
        <f>IFERROR(INDEX(PP_Grid[#Data],$DE507,22),0)</f>
        <v/>
      </c>
      <c r="Z507">
        <f>IFERROR(INDEX(PP_Grid[#Data],$DE507,23),0)</f>
        <v/>
      </c>
      <c r="AA507">
        <f>IFERROR(INDEX(PP_Grid[#Data],$DE507,24),0)</f>
        <v/>
      </c>
      <c r="AB507">
        <f>IFERROR(INDEX(PP_Grid[#Data],$DE507,25),0)</f>
        <v/>
      </c>
      <c r="AC507">
        <f>IFERROR(INDEX(PP_Grid[#Data],$DE507,26),0)</f>
        <v/>
      </c>
      <c r="AD507">
        <f>IFERROR(INDEX(PP_Grid[#Data],$DE507,27),0)</f>
        <v/>
      </c>
      <c r="AE507">
        <f>IFERROR(INDEX(PP_Grid[#Data],$DE507,28),0)</f>
        <v/>
      </c>
      <c r="AF507">
        <f>IFERROR(INDEX(PP_Grid[#Data],$DE507,29),0)</f>
        <v/>
      </c>
      <c r="AG507">
        <f>IFERROR(INDEX(PP_Grid[#Data],$DE507,30),0)</f>
        <v/>
      </c>
      <c r="AH507">
        <f>IFERROR(INDEX(PP_Grid[#Data],$DE507,31),0)</f>
        <v/>
      </c>
      <c r="AI507">
        <f>IFERROR(INDEX(PP_Grid[#Data],$DE507,32),0)</f>
        <v/>
      </c>
      <c r="AJ507">
        <f>IFERROR(INDEX(PP_Grid[#Data],$DE507,33),0)</f>
        <v/>
      </c>
      <c r="AK507">
        <f>IFERROR(INDEX(PP_Grid[#Data],$DE507,34),0)</f>
        <v/>
      </c>
      <c r="AL507">
        <f>IFERROR(INDEX(PP_Grid[#Data],$DE507,35),0)</f>
        <v/>
      </c>
      <c r="AM507">
        <f>IFERROR(INDEX(PP_Grid[#Data],$DE507,36),0)</f>
        <v/>
      </c>
      <c r="AN507">
        <f>IFERROR(INDEX(PP_Grid[#Data],$DE507,37),0)</f>
        <v/>
      </c>
      <c r="AO507">
        <f>IFERROR(INDEX(PP_Grid[#Data],$DE507,38),0)</f>
        <v/>
      </c>
      <c r="AP507">
        <f>IFERROR(INDEX(PP_Grid[#Data],$DE507,39),0)</f>
        <v/>
      </c>
      <c r="AQ507">
        <f>IFERROR(INDEX(PP_Grid[#Data],$DE507,40),0)</f>
        <v/>
      </c>
      <c r="AR507">
        <f>IFERROR(INDEX(PP_Grid[#Data],$DE507,41),0)</f>
        <v/>
      </c>
      <c r="AS507">
        <f>IFERROR(INDEX(PP_Grid[#Data],$DE507,42),0)</f>
        <v/>
      </c>
      <c r="AT507">
        <f>IFERROR(INDEX(PP_Grid[#Data],$DE507,43),0)</f>
        <v/>
      </c>
      <c r="AU507">
        <f>IFERROR(INDEX(PP_Grid[#Data],$DE507,44),0)</f>
        <v/>
      </c>
      <c r="AV507">
        <f>IFERROR(INDEX(PP_Grid[#Data],$DE507,45),0)</f>
        <v/>
      </c>
      <c r="AW507">
        <f>IFERROR(INDEX(PP_Grid[#Data],$DE507,46),0)</f>
        <v/>
      </c>
      <c r="AX507">
        <f>IFERROR(INDEX(PP_Grid[#Data],$DE507,47),0)</f>
        <v/>
      </c>
      <c r="AY507">
        <f>IFERROR(INDEX(PP_Grid[#Data],$DE507,48),0)</f>
        <v/>
      </c>
      <c r="AZ507">
        <f>IFERROR(INDEX(PP_Grid[#Data],$DE507,49),0)</f>
        <v/>
      </c>
      <c r="BA507">
        <f>IFERROR(INDEX(PP_Grid[#Data],$DE507,50),0)</f>
        <v/>
      </c>
      <c r="BB507">
        <f>IFERROR(INDEX(PP_Grid[#Data],$DE507,51),0)</f>
        <v/>
      </c>
      <c r="BC507">
        <f>IFERROR(INDEX(PP_Grid[#Data],$DE507,52),0)</f>
        <v/>
      </c>
      <c r="BD507">
        <f>IFERROR(INDEX(PP_Grid[#Data],$DE507,53),0)</f>
        <v/>
      </c>
      <c r="BE507">
        <f>IFERROR(INDEX(PP_Grid[#Data],$DE507,54),0)</f>
        <v/>
      </c>
      <c r="BF507">
        <f>IFERROR(INDEX(PP_Grid[#Data],$DE507,55),0)</f>
        <v/>
      </c>
      <c r="BG507">
        <f>IFERROR(INDEX(PP_Grid[#Data],$DE507,56),0)</f>
        <v/>
      </c>
      <c r="BH507">
        <f>IFERROR(INDEX(PP_Grid[#Data],$DE507,57),0)</f>
        <v/>
      </c>
      <c r="BI507">
        <f>IFERROR(INDEX(PP_Grid[#Data],$DE507,58),0)</f>
        <v/>
      </c>
      <c r="BJ507">
        <f>IFERROR(INDEX(PP_Grid[#Data],$DE507,59),0)</f>
        <v/>
      </c>
      <c r="BK507">
        <f>IFERROR(INDEX(PP_Grid[#Data],$DE507,60),0)</f>
        <v/>
      </c>
      <c r="BL507">
        <f>IFERROR(INDEX(PP_Grid[#Data],$DE507,61),0)</f>
        <v/>
      </c>
      <c r="BM507">
        <f>IFERROR(INDEX(PP_Grid[#Data],$DE507,62),0)</f>
        <v/>
      </c>
      <c r="BN507">
        <f>IFERROR(INDEX(PP_Grid[#Data],$DE507,63),0)</f>
        <v/>
      </c>
      <c r="BO507">
        <f>IFERROR(INDEX(PP_Grid[#Data],$DE507,64),0)</f>
        <v/>
      </c>
      <c r="BP507">
        <f>IFERROR(INDEX(PP_Grid[#Data],$DE507,65),0)</f>
        <v/>
      </c>
      <c r="BQ507">
        <f>IFERROR(INDEX(PP_Grid[#Data],$DE507,66),0)</f>
        <v/>
      </c>
      <c r="BR507">
        <f>IFERROR(INDEX(PP_Grid[#Data],$DE507,67),0)</f>
        <v/>
      </c>
      <c r="BS507">
        <f>IFERROR(INDEX(PP_Grid[#Data],$DE507,68),0)</f>
        <v/>
      </c>
      <c r="BT507">
        <f>IFERROR(INDEX(PP_Grid[#Data],$DE507,69),0)</f>
        <v/>
      </c>
      <c r="BU507">
        <f>IFERROR(INDEX(PP_Grid[#Data],$DE507,70),0)</f>
        <v/>
      </c>
      <c r="BV507">
        <f>IFERROR(INDEX(PP_Grid[#Data],$DE507,71),0)</f>
        <v/>
      </c>
      <c r="BW507">
        <f>IFERROR(INDEX(PP_Grid[#Data],$DE507,72),0)</f>
        <v/>
      </c>
      <c r="BX507">
        <f>IFERROR(INDEX(PP_Grid[#Data],$DE507,73),0)</f>
        <v/>
      </c>
      <c r="BY507">
        <f>IFERROR(INDEX(PP_Grid[#Data],$DE507,74),0)</f>
        <v/>
      </c>
      <c r="BZ507">
        <f>IFERROR(INDEX(PP_Grid[#Data],$DE507,75),0)</f>
        <v/>
      </c>
      <c r="CA507">
        <f>IFERROR(INDEX(PP_Grid[#Data],$DE507,76),0)</f>
        <v/>
      </c>
      <c r="CB507">
        <f>IFERROR(INDEX(PP_Grid[#Data],$DE507,77),0)</f>
        <v/>
      </c>
      <c r="CC507">
        <f>IFERROR(INDEX(PP_Grid[#Data],$DE507,78),0)</f>
        <v/>
      </c>
      <c r="CD507">
        <f>IFERROR(INDEX(PP_Grid[#Data],$DE507,79),0)</f>
        <v/>
      </c>
      <c r="CE507">
        <f>IFERROR(INDEX(PP_Grid[#Data],$DE507,80),0)</f>
        <v/>
      </c>
      <c r="CF507">
        <f>IFERROR(INDEX(PP_Grid[#Data],$DE507,81),0)</f>
        <v/>
      </c>
      <c r="CG507">
        <f>IFERROR(INDEX(PP_Grid[#Data],$DE507,82),0)</f>
        <v/>
      </c>
      <c r="CH507">
        <f>IFERROR(INDEX(PP_Grid[#Data],$DE507,83),0)</f>
        <v/>
      </c>
      <c r="CI507">
        <f>IFERROR(INDEX(PP_Grid[#Data],$DE507,84),0)</f>
        <v/>
      </c>
      <c r="CJ507">
        <f>IFERROR(INDEX(PP_Grid[#Data],$DE507,85),0)</f>
        <v/>
      </c>
      <c r="CK507">
        <f>IFERROR(INDEX(PP_Grid[#Data],$DE507,86),0)</f>
        <v/>
      </c>
      <c r="CL507">
        <f>IFERROR(INDEX(PP_Grid[#Data],$DE507,87),0)</f>
        <v/>
      </c>
      <c r="CM507">
        <f>IFERROR(INDEX(PP_Grid[#Data],$DE507,88),0)</f>
        <v/>
      </c>
      <c r="CN507">
        <f>IFERROR(INDEX(PP_Grid[#Data],$DE507,89),0)</f>
        <v/>
      </c>
      <c r="CO507">
        <f>IFERROR(INDEX(PP_Grid[#Data],$DE507,90),0)</f>
        <v/>
      </c>
      <c r="CP507">
        <f>IFERROR(INDEX(PP_Grid[#Data],$DE507,91),0)</f>
        <v/>
      </c>
      <c r="CQ507">
        <f>IFERROR(INDEX(PP_Grid[#Data],$DE507,92),0)</f>
        <v/>
      </c>
      <c r="CR507">
        <f>IFERROR(INDEX(PP_Grid[#Data],$DE507,93),0)</f>
        <v/>
      </c>
      <c r="CS507">
        <f>IFERROR(INDEX(PP_Grid[#Data],$DE507,94),0)</f>
        <v/>
      </c>
      <c r="CT507">
        <f>IFERROR(INDEX(PP_Grid[#Data],$DE507,95),0)</f>
        <v/>
      </c>
      <c r="CU507">
        <f>IFERROR(INDEX(PP_Grid[#Data],$DE507,96),0)</f>
        <v/>
      </c>
      <c r="CV507">
        <f>IFERROR(INDEX(PP_Grid[#Data],$DE507,97),0)</f>
        <v/>
      </c>
      <c r="CW507">
        <f>IFERROR(INDEX(PP_Grid[#Data],$DE507,98),0)</f>
        <v/>
      </c>
      <c r="CX507">
        <f>IFERROR(INDEX(PP_Grid[#Data],$DE507,99),0)</f>
        <v/>
      </c>
      <c r="CY507">
        <f>IFERROR(INDEX(PP_Grid[#Data],$DE507,100),0)</f>
        <v/>
      </c>
      <c r="CZ507">
        <f>IFERROR(INDEX(PP_Grid[#Data],$DE507,101),0)</f>
        <v/>
      </c>
      <c r="DA507">
        <f>IFERROR(INDEX(PP_Grid[#Data],$DE507,102),0)</f>
        <v/>
      </c>
      <c r="DB507">
        <f>IFERROR(INDEX(PP_Grid[#Data],$DE507,103),0)</f>
        <v/>
      </c>
      <c r="DC507">
        <f>IFERROR(INDEX(PP_Grid[#Data],$DE507,104),0)</f>
        <v/>
      </c>
      <c r="DD507">
        <f>IFERROR(INDEX(PP_Grid[#Data],$DE507,105),0)</f>
        <v/>
      </c>
      <c r="DE507" s="7">
        <f>IFERROR(MATCH($B507,PP_Grid[Intermediate],0),99999)</f>
        <v/>
      </c>
    </row>
    <row r="508">
      <c r="B508" t="inlineStr">
        <is>
          <t>使用量(kg)</t>
        </is>
      </c>
      <c r="C508">
        <f>SUMIFS(M_BOM[RM_Qty_Per_Batch],M_BOM[Intermediate],$B507,M_BOM[RM_Code],$A340)</f>
        <v/>
      </c>
      <c r="D508">
        <f>IFERROR(INDEX(E508:DD508,$F$1),"")</f>
        <v/>
      </c>
      <c r="E508">
        <f>$C508*E507</f>
        <v/>
      </c>
      <c r="F508">
        <f>$C508*F507</f>
        <v/>
      </c>
      <c r="G508">
        <f>$C508*G507</f>
        <v/>
      </c>
      <c r="H508">
        <f>$C508*H507</f>
        <v/>
      </c>
      <c r="I508">
        <f>$C508*I507</f>
        <v/>
      </c>
      <c r="J508">
        <f>$C508*J507</f>
        <v/>
      </c>
      <c r="K508">
        <f>$C508*K507</f>
        <v/>
      </c>
      <c r="L508">
        <f>$C508*L507</f>
        <v/>
      </c>
      <c r="M508">
        <f>$C508*M507</f>
        <v/>
      </c>
      <c r="N508">
        <f>$C508*N507</f>
        <v/>
      </c>
      <c r="O508">
        <f>$C508*O507</f>
        <v/>
      </c>
      <c r="P508">
        <f>$C508*P507</f>
        <v/>
      </c>
      <c r="Q508">
        <f>$C508*Q507</f>
        <v/>
      </c>
      <c r="R508">
        <f>$C508*R507</f>
        <v/>
      </c>
      <c r="S508">
        <f>$C508*S507</f>
        <v/>
      </c>
      <c r="T508">
        <f>$C508*T507</f>
        <v/>
      </c>
      <c r="U508">
        <f>$C508*U507</f>
        <v/>
      </c>
      <c r="V508">
        <f>$C508*V507</f>
        <v/>
      </c>
      <c r="W508">
        <f>$C508*W507</f>
        <v/>
      </c>
      <c r="X508">
        <f>$C508*X507</f>
        <v/>
      </c>
      <c r="Y508">
        <f>$C508*Y507</f>
        <v/>
      </c>
      <c r="Z508">
        <f>$C508*Z507</f>
        <v/>
      </c>
      <c r="AA508">
        <f>$C508*AA507</f>
        <v/>
      </c>
      <c r="AB508">
        <f>$C508*AB507</f>
        <v/>
      </c>
      <c r="AC508">
        <f>$C508*AC507</f>
        <v/>
      </c>
      <c r="AD508">
        <f>$C508*AD507</f>
        <v/>
      </c>
      <c r="AE508">
        <f>$C508*AE507</f>
        <v/>
      </c>
      <c r="AF508">
        <f>$C508*AF507</f>
        <v/>
      </c>
      <c r="AG508">
        <f>$C508*AG507</f>
        <v/>
      </c>
      <c r="AH508">
        <f>$C508*AH507</f>
        <v/>
      </c>
      <c r="AI508">
        <f>$C508*AI507</f>
        <v/>
      </c>
      <c r="AJ508">
        <f>$C508*AJ507</f>
        <v/>
      </c>
      <c r="AK508">
        <f>$C508*AK507</f>
        <v/>
      </c>
      <c r="AL508">
        <f>$C508*AL507</f>
        <v/>
      </c>
      <c r="AM508">
        <f>$C508*AM507</f>
        <v/>
      </c>
      <c r="AN508">
        <f>$C508*AN507</f>
        <v/>
      </c>
      <c r="AO508">
        <f>$C508*AO507</f>
        <v/>
      </c>
      <c r="AP508">
        <f>$C508*AP507</f>
        <v/>
      </c>
      <c r="AQ508">
        <f>$C508*AQ507</f>
        <v/>
      </c>
      <c r="AR508">
        <f>$C508*AR507</f>
        <v/>
      </c>
      <c r="AS508">
        <f>$C508*AS507</f>
        <v/>
      </c>
      <c r="AT508">
        <f>$C508*AT507</f>
        <v/>
      </c>
      <c r="AU508">
        <f>$C508*AU507</f>
        <v/>
      </c>
      <c r="AV508">
        <f>$C508*AV507</f>
        <v/>
      </c>
      <c r="AW508">
        <f>$C508*AW507</f>
        <v/>
      </c>
      <c r="AX508">
        <f>$C508*AX507</f>
        <v/>
      </c>
      <c r="AY508">
        <f>$C508*AY507</f>
        <v/>
      </c>
      <c r="AZ508">
        <f>$C508*AZ507</f>
        <v/>
      </c>
      <c r="BA508">
        <f>$C508*BA507</f>
        <v/>
      </c>
      <c r="BB508">
        <f>$C508*BB507</f>
        <v/>
      </c>
      <c r="BC508">
        <f>$C508*BC507</f>
        <v/>
      </c>
      <c r="BD508">
        <f>$C508*BD507</f>
        <v/>
      </c>
      <c r="BE508">
        <f>$C508*BE507</f>
        <v/>
      </c>
      <c r="BF508">
        <f>$C508*BF507</f>
        <v/>
      </c>
      <c r="BG508">
        <f>$C508*BG507</f>
        <v/>
      </c>
      <c r="BH508">
        <f>$C508*BH507</f>
        <v/>
      </c>
      <c r="BI508">
        <f>$C508*BI507</f>
        <v/>
      </c>
      <c r="BJ508">
        <f>$C508*BJ507</f>
        <v/>
      </c>
      <c r="BK508">
        <f>$C508*BK507</f>
        <v/>
      </c>
      <c r="BL508">
        <f>$C508*BL507</f>
        <v/>
      </c>
      <c r="BM508">
        <f>$C508*BM507</f>
        <v/>
      </c>
      <c r="BN508">
        <f>$C508*BN507</f>
        <v/>
      </c>
      <c r="BO508">
        <f>$C508*BO507</f>
        <v/>
      </c>
      <c r="BP508">
        <f>$C508*BP507</f>
        <v/>
      </c>
      <c r="BQ508">
        <f>$C508*BQ507</f>
        <v/>
      </c>
      <c r="BR508">
        <f>$C508*BR507</f>
        <v/>
      </c>
      <c r="BS508">
        <f>$C508*BS507</f>
        <v/>
      </c>
      <c r="BT508">
        <f>$C508*BT507</f>
        <v/>
      </c>
      <c r="BU508">
        <f>$C508*BU507</f>
        <v/>
      </c>
      <c r="BV508">
        <f>$C508*BV507</f>
        <v/>
      </c>
      <c r="BW508">
        <f>$C508*BW507</f>
        <v/>
      </c>
      <c r="BX508">
        <f>$C508*BX507</f>
        <v/>
      </c>
      <c r="BY508">
        <f>$C508*BY507</f>
        <v/>
      </c>
      <c r="BZ508">
        <f>$C508*BZ507</f>
        <v/>
      </c>
      <c r="CA508">
        <f>$C508*CA507</f>
        <v/>
      </c>
      <c r="CB508">
        <f>$C508*CB507</f>
        <v/>
      </c>
      <c r="CC508">
        <f>$C508*CC507</f>
        <v/>
      </c>
      <c r="CD508">
        <f>$C508*CD507</f>
        <v/>
      </c>
      <c r="CE508">
        <f>$C508*CE507</f>
        <v/>
      </c>
      <c r="CF508">
        <f>$C508*CF507</f>
        <v/>
      </c>
      <c r="CG508">
        <f>$C508*CG507</f>
        <v/>
      </c>
      <c r="CH508">
        <f>$C508*CH507</f>
        <v/>
      </c>
      <c r="CI508">
        <f>$C508*CI507</f>
        <v/>
      </c>
      <c r="CJ508">
        <f>$C508*CJ507</f>
        <v/>
      </c>
      <c r="CK508">
        <f>$C508*CK507</f>
        <v/>
      </c>
      <c r="CL508">
        <f>$C508*CL507</f>
        <v/>
      </c>
      <c r="CM508">
        <f>$C508*CM507</f>
        <v/>
      </c>
      <c r="CN508">
        <f>$C508*CN507</f>
        <v/>
      </c>
      <c r="CO508">
        <f>$C508*CO507</f>
        <v/>
      </c>
      <c r="CP508">
        <f>$C508*CP507</f>
        <v/>
      </c>
      <c r="CQ508">
        <f>$C508*CQ507</f>
        <v/>
      </c>
      <c r="CR508">
        <f>$C508*CR507</f>
        <v/>
      </c>
      <c r="CS508">
        <f>$C508*CS507</f>
        <v/>
      </c>
      <c r="CT508">
        <f>$C508*CT507</f>
        <v/>
      </c>
      <c r="CU508">
        <f>$C508*CU507</f>
        <v/>
      </c>
      <c r="CV508">
        <f>$C508*CV507</f>
        <v/>
      </c>
      <c r="CW508">
        <f>$C508*CW507</f>
        <v/>
      </c>
      <c r="CX508">
        <f>$C508*CX507</f>
        <v/>
      </c>
      <c r="CY508">
        <f>$C508*CY507</f>
        <v/>
      </c>
      <c r="CZ508">
        <f>$C508*CZ507</f>
        <v/>
      </c>
      <c r="DA508">
        <f>$C508*DA507</f>
        <v/>
      </c>
      <c r="DB508">
        <f>$C508*DB507</f>
        <v/>
      </c>
      <c r="DC508">
        <f>$C508*DC507</f>
        <v/>
      </c>
      <c r="DD508">
        <f>$C508*DD507</f>
        <v/>
      </c>
    </row>
    <row r="509">
      <c r="B509" s="4" t="inlineStr">
        <is>
          <t>合計使用量(kg)/週</t>
        </is>
      </c>
      <c r="D509" s="23">
        <f>IFERROR(INDEX(E509:DD509,$F$1),"")</f>
        <v/>
      </c>
      <c r="E509">
        <f>'Grid_Requirement'!B5</f>
        <v/>
      </c>
      <c r="F509">
        <f>'Grid_Requirement'!C5</f>
        <v/>
      </c>
      <c r="G509">
        <f>'Grid_Requirement'!D5</f>
        <v/>
      </c>
      <c r="H509">
        <f>'Grid_Requirement'!E5</f>
        <v/>
      </c>
      <c r="I509">
        <f>'Grid_Requirement'!F5</f>
        <v/>
      </c>
      <c r="J509">
        <f>'Grid_Requirement'!G5</f>
        <v/>
      </c>
      <c r="K509">
        <f>'Grid_Requirement'!H5</f>
        <v/>
      </c>
      <c r="L509">
        <f>'Grid_Requirement'!I5</f>
        <v/>
      </c>
      <c r="M509">
        <f>'Grid_Requirement'!J5</f>
        <v/>
      </c>
      <c r="N509">
        <f>'Grid_Requirement'!K5</f>
        <v/>
      </c>
      <c r="O509">
        <f>'Grid_Requirement'!L5</f>
        <v/>
      </c>
      <c r="P509">
        <f>'Grid_Requirement'!M5</f>
        <v/>
      </c>
      <c r="Q509">
        <f>'Grid_Requirement'!N5</f>
        <v/>
      </c>
      <c r="R509">
        <f>'Grid_Requirement'!O5</f>
        <v/>
      </c>
      <c r="S509">
        <f>'Grid_Requirement'!P5</f>
        <v/>
      </c>
      <c r="T509">
        <f>'Grid_Requirement'!Q5</f>
        <v/>
      </c>
      <c r="U509">
        <f>'Grid_Requirement'!R5</f>
        <v/>
      </c>
      <c r="V509">
        <f>'Grid_Requirement'!S5</f>
        <v/>
      </c>
      <c r="W509">
        <f>'Grid_Requirement'!T5</f>
        <v/>
      </c>
      <c r="X509">
        <f>'Grid_Requirement'!U5</f>
        <v/>
      </c>
      <c r="Y509">
        <f>'Grid_Requirement'!V5</f>
        <v/>
      </c>
      <c r="Z509">
        <f>'Grid_Requirement'!W5</f>
        <v/>
      </c>
      <c r="AA509">
        <f>'Grid_Requirement'!X5</f>
        <v/>
      </c>
      <c r="AB509">
        <f>'Grid_Requirement'!Y5</f>
        <v/>
      </c>
      <c r="AC509">
        <f>'Grid_Requirement'!Z5</f>
        <v/>
      </c>
      <c r="AD509">
        <f>'Grid_Requirement'!AA5</f>
        <v/>
      </c>
      <c r="AE509">
        <f>'Grid_Requirement'!AB5</f>
        <v/>
      </c>
      <c r="AF509">
        <f>'Grid_Requirement'!AC5</f>
        <v/>
      </c>
      <c r="AG509">
        <f>'Grid_Requirement'!AD5</f>
        <v/>
      </c>
      <c r="AH509">
        <f>'Grid_Requirement'!AE5</f>
        <v/>
      </c>
      <c r="AI509">
        <f>'Grid_Requirement'!AF5</f>
        <v/>
      </c>
      <c r="AJ509">
        <f>'Grid_Requirement'!AG5</f>
        <v/>
      </c>
      <c r="AK509">
        <f>'Grid_Requirement'!AH5</f>
        <v/>
      </c>
      <c r="AL509">
        <f>'Grid_Requirement'!AI5</f>
        <v/>
      </c>
      <c r="AM509">
        <f>'Grid_Requirement'!AJ5</f>
        <v/>
      </c>
      <c r="AN509">
        <f>'Grid_Requirement'!AK5</f>
        <v/>
      </c>
      <c r="AO509">
        <f>'Grid_Requirement'!AL5</f>
        <v/>
      </c>
      <c r="AP509">
        <f>'Grid_Requirement'!AM5</f>
        <v/>
      </c>
      <c r="AQ509">
        <f>'Grid_Requirement'!AN5</f>
        <v/>
      </c>
      <c r="AR509">
        <f>'Grid_Requirement'!AO5</f>
        <v/>
      </c>
      <c r="AS509">
        <f>'Grid_Requirement'!AP5</f>
        <v/>
      </c>
      <c r="AT509">
        <f>'Grid_Requirement'!AQ5</f>
        <v/>
      </c>
      <c r="AU509">
        <f>'Grid_Requirement'!AR5</f>
        <v/>
      </c>
      <c r="AV509">
        <f>'Grid_Requirement'!AS5</f>
        <v/>
      </c>
      <c r="AW509">
        <f>'Grid_Requirement'!AT5</f>
        <v/>
      </c>
      <c r="AX509">
        <f>'Grid_Requirement'!AU5</f>
        <v/>
      </c>
      <c r="AY509">
        <f>'Grid_Requirement'!AV5</f>
        <v/>
      </c>
      <c r="AZ509">
        <f>'Grid_Requirement'!AW5</f>
        <v/>
      </c>
      <c r="BA509">
        <f>'Grid_Requirement'!AX5</f>
        <v/>
      </c>
      <c r="BB509">
        <f>'Grid_Requirement'!AY5</f>
        <v/>
      </c>
      <c r="BC509">
        <f>'Grid_Requirement'!AZ5</f>
        <v/>
      </c>
      <c r="BD509">
        <f>'Grid_Requirement'!BA5</f>
        <v/>
      </c>
      <c r="BE509">
        <f>'Grid_Requirement'!BB5</f>
        <v/>
      </c>
      <c r="BF509">
        <f>'Grid_Requirement'!BC5</f>
        <v/>
      </c>
      <c r="BG509">
        <f>'Grid_Requirement'!BD5</f>
        <v/>
      </c>
      <c r="BH509">
        <f>'Grid_Requirement'!BE5</f>
        <v/>
      </c>
      <c r="BI509">
        <f>'Grid_Requirement'!BF5</f>
        <v/>
      </c>
      <c r="BJ509">
        <f>'Grid_Requirement'!BG5</f>
        <v/>
      </c>
      <c r="BK509">
        <f>'Grid_Requirement'!BH5</f>
        <v/>
      </c>
      <c r="BL509">
        <f>'Grid_Requirement'!BI5</f>
        <v/>
      </c>
      <c r="BM509">
        <f>'Grid_Requirement'!BJ5</f>
        <v/>
      </c>
      <c r="BN509">
        <f>'Grid_Requirement'!BK5</f>
        <v/>
      </c>
      <c r="BO509">
        <f>'Grid_Requirement'!BL5</f>
        <v/>
      </c>
      <c r="BP509">
        <f>'Grid_Requirement'!BM5</f>
        <v/>
      </c>
      <c r="BQ509">
        <f>'Grid_Requirement'!BN5</f>
        <v/>
      </c>
      <c r="BR509">
        <f>'Grid_Requirement'!BO5</f>
        <v/>
      </c>
      <c r="BS509">
        <f>'Grid_Requirement'!BP5</f>
        <v/>
      </c>
      <c r="BT509">
        <f>'Grid_Requirement'!BQ5</f>
        <v/>
      </c>
      <c r="BU509">
        <f>'Grid_Requirement'!BR5</f>
        <v/>
      </c>
      <c r="BV509">
        <f>'Grid_Requirement'!BS5</f>
        <v/>
      </c>
      <c r="BW509">
        <f>'Grid_Requirement'!BT5</f>
        <v/>
      </c>
      <c r="BX509">
        <f>'Grid_Requirement'!BU5</f>
        <v/>
      </c>
      <c r="BY509">
        <f>'Grid_Requirement'!BV5</f>
        <v/>
      </c>
      <c r="BZ509">
        <f>'Grid_Requirement'!BW5</f>
        <v/>
      </c>
      <c r="CA509">
        <f>'Grid_Requirement'!BX5</f>
        <v/>
      </c>
      <c r="CB509">
        <f>'Grid_Requirement'!BY5</f>
        <v/>
      </c>
      <c r="CC509">
        <f>'Grid_Requirement'!BZ5</f>
        <v/>
      </c>
      <c r="CD509">
        <f>'Grid_Requirement'!CA5</f>
        <v/>
      </c>
      <c r="CE509">
        <f>'Grid_Requirement'!CB5</f>
        <v/>
      </c>
      <c r="CF509">
        <f>'Grid_Requirement'!CC5</f>
        <v/>
      </c>
      <c r="CG509">
        <f>'Grid_Requirement'!CD5</f>
        <v/>
      </c>
      <c r="CH509">
        <f>'Grid_Requirement'!CE5</f>
        <v/>
      </c>
      <c r="CI509">
        <f>'Grid_Requirement'!CF5</f>
        <v/>
      </c>
      <c r="CJ509">
        <f>'Grid_Requirement'!CG5</f>
        <v/>
      </c>
      <c r="CK509">
        <f>'Grid_Requirement'!CH5</f>
        <v/>
      </c>
      <c r="CL509">
        <f>'Grid_Requirement'!CI5</f>
        <v/>
      </c>
      <c r="CM509">
        <f>'Grid_Requirement'!CJ5</f>
        <v/>
      </c>
      <c r="CN509">
        <f>'Grid_Requirement'!CK5</f>
        <v/>
      </c>
      <c r="CO509">
        <f>'Grid_Requirement'!CL5</f>
        <v/>
      </c>
      <c r="CP509">
        <f>'Grid_Requirement'!CM5</f>
        <v/>
      </c>
      <c r="CQ509">
        <f>'Grid_Requirement'!CN5</f>
        <v/>
      </c>
      <c r="CR509">
        <f>'Grid_Requirement'!CO5</f>
        <v/>
      </c>
      <c r="CS509">
        <f>'Grid_Requirement'!CP5</f>
        <v/>
      </c>
      <c r="CT509">
        <f>'Grid_Requirement'!CQ5</f>
        <v/>
      </c>
      <c r="CU509">
        <f>'Grid_Requirement'!CR5</f>
        <v/>
      </c>
      <c r="CV509">
        <f>'Grid_Requirement'!CS5</f>
        <v/>
      </c>
      <c r="CW509">
        <f>'Grid_Requirement'!CT5</f>
        <v/>
      </c>
      <c r="CX509">
        <f>'Grid_Requirement'!CU5</f>
        <v/>
      </c>
      <c r="CY509">
        <f>'Grid_Requirement'!CV5</f>
        <v/>
      </c>
      <c r="CZ509">
        <f>'Grid_Requirement'!CW5</f>
        <v/>
      </c>
      <c r="DA509">
        <f>'Grid_Requirement'!CX5</f>
        <v/>
      </c>
      <c r="DB509">
        <f>'Grid_Requirement'!CY5</f>
        <v/>
      </c>
      <c r="DC509">
        <f>'Grid_Requirement'!CZ5</f>
        <v/>
      </c>
      <c r="DD509">
        <f>'Grid_Requirement'!DA5</f>
        <v/>
      </c>
    </row>
    <row r="510">
      <c r="B510" t="inlineStr">
        <is>
          <t>TTAF在庫(実績,kg)</t>
        </is>
      </c>
      <c r="D510">
        <f>IFERROR(INDEX(E510:DD510,$F$1),"")</f>
        <v/>
      </c>
      <c r="E510">
        <f>IFERROR(SUMIFS(T_TTAFStock[TTAF_Qty],T_TTAFStock[RM_Code],$A340,T_TTAFStock[WeekIndex],1),"")</f>
        <v/>
      </c>
      <c r="F510">
        <f>IFERROR(SUMIFS(T_TTAFStock[TTAF_Qty],T_TTAFStock[RM_Code],$A340,T_TTAFStock[WeekIndex],2),"")</f>
        <v/>
      </c>
      <c r="G510">
        <f>IFERROR(SUMIFS(T_TTAFStock[TTAF_Qty],T_TTAFStock[RM_Code],$A340,T_TTAFStock[WeekIndex],3),"")</f>
        <v/>
      </c>
      <c r="H510">
        <f>IFERROR(SUMIFS(T_TTAFStock[TTAF_Qty],T_TTAFStock[RM_Code],$A340,T_TTAFStock[WeekIndex],4),"")</f>
        <v/>
      </c>
      <c r="I510">
        <f>IFERROR(SUMIFS(T_TTAFStock[TTAF_Qty],T_TTAFStock[RM_Code],$A340,T_TTAFStock[WeekIndex],5),"")</f>
        <v/>
      </c>
      <c r="J510">
        <f>IFERROR(SUMIFS(T_TTAFStock[TTAF_Qty],T_TTAFStock[RM_Code],$A340,T_TTAFStock[WeekIndex],6),"")</f>
        <v/>
      </c>
      <c r="K510">
        <f>IFERROR(SUMIFS(T_TTAFStock[TTAF_Qty],T_TTAFStock[RM_Code],$A340,T_TTAFStock[WeekIndex],7),"")</f>
        <v/>
      </c>
      <c r="L510">
        <f>IFERROR(SUMIFS(T_TTAFStock[TTAF_Qty],T_TTAFStock[RM_Code],$A340,T_TTAFStock[WeekIndex],8),"")</f>
        <v/>
      </c>
      <c r="M510">
        <f>IFERROR(SUMIFS(T_TTAFStock[TTAF_Qty],T_TTAFStock[RM_Code],$A340,T_TTAFStock[WeekIndex],9),"")</f>
        <v/>
      </c>
      <c r="N510">
        <f>IFERROR(SUMIFS(T_TTAFStock[TTAF_Qty],T_TTAFStock[RM_Code],$A340,T_TTAFStock[WeekIndex],10),"")</f>
        <v/>
      </c>
      <c r="O510">
        <f>IFERROR(SUMIFS(T_TTAFStock[TTAF_Qty],T_TTAFStock[RM_Code],$A340,T_TTAFStock[WeekIndex],11),"")</f>
        <v/>
      </c>
      <c r="P510">
        <f>IFERROR(SUMIFS(T_TTAFStock[TTAF_Qty],T_TTAFStock[RM_Code],$A340,T_TTAFStock[WeekIndex],12),"")</f>
        <v/>
      </c>
      <c r="Q510">
        <f>IFERROR(SUMIFS(T_TTAFStock[TTAF_Qty],T_TTAFStock[RM_Code],$A340,T_TTAFStock[WeekIndex],13),"")</f>
        <v/>
      </c>
      <c r="R510">
        <f>IFERROR(SUMIFS(T_TTAFStock[TTAF_Qty],T_TTAFStock[RM_Code],$A340,T_TTAFStock[WeekIndex],14),"")</f>
        <v/>
      </c>
      <c r="S510">
        <f>IFERROR(SUMIFS(T_TTAFStock[TTAF_Qty],T_TTAFStock[RM_Code],$A340,T_TTAFStock[WeekIndex],15),"")</f>
        <v/>
      </c>
      <c r="T510">
        <f>IFERROR(SUMIFS(T_TTAFStock[TTAF_Qty],T_TTAFStock[RM_Code],$A340,T_TTAFStock[WeekIndex],16),"")</f>
        <v/>
      </c>
      <c r="U510">
        <f>IFERROR(SUMIFS(T_TTAFStock[TTAF_Qty],T_TTAFStock[RM_Code],$A340,T_TTAFStock[WeekIndex],17),"")</f>
        <v/>
      </c>
      <c r="V510">
        <f>IFERROR(SUMIFS(T_TTAFStock[TTAF_Qty],T_TTAFStock[RM_Code],$A340,T_TTAFStock[WeekIndex],18),"")</f>
        <v/>
      </c>
      <c r="W510">
        <f>IFERROR(SUMIFS(T_TTAFStock[TTAF_Qty],T_TTAFStock[RM_Code],$A340,T_TTAFStock[WeekIndex],19),"")</f>
        <v/>
      </c>
      <c r="X510">
        <f>IFERROR(SUMIFS(T_TTAFStock[TTAF_Qty],T_TTAFStock[RM_Code],$A340,T_TTAFStock[WeekIndex],20),"")</f>
        <v/>
      </c>
      <c r="Y510">
        <f>IFERROR(SUMIFS(T_TTAFStock[TTAF_Qty],T_TTAFStock[RM_Code],$A340,T_TTAFStock[WeekIndex],21),"")</f>
        <v/>
      </c>
      <c r="Z510">
        <f>IFERROR(SUMIFS(T_TTAFStock[TTAF_Qty],T_TTAFStock[RM_Code],$A340,T_TTAFStock[WeekIndex],22),"")</f>
        <v/>
      </c>
      <c r="AA510">
        <f>IFERROR(SUMIFS(T_TTAFStock[TTAF_Qty],T_TTAFStock[RM_Code],$A340,T_TTAFStock[WeekIndex],23),"")</f>
        <v/>
      </c>
      <c r="AB510">
        <f>IFERROR(SUMIFS(T_TTAFStock[TTAF_Qty],T_TTAFStock[RM_Code],$A340,T_TTAFStock[WeekIndex],24),"")</f>
        <v/>
      </c>
      <c r="AC510">
        <f>IFERROR(SUMIFS(T_TTAFStock[TTAF_Qty],T_TTAFStock[RM_Code],$A340,T_TTAFStock[WeekIndex],25),"")</f>
        <v/>
      </c>
      <c r="AD510">
        <f>IFERROR(SUMIFS(T_TTAFStock[TTAF_Qty],T_TTAFStock[RM_Code],$A340,T_TTAFStock[WeekIndex],26),"")</f>
        <v/>
      </c>
      <c r="AE510">
        <f>IFERROR(SUMIFS(T_TTAFStock[TTAF_Qty],T_TTAFStock[RM_Code],$A340,T_TTAFStock[WeekIndex],27),"")</f>
        <v/>
      </c>
      <c r="AF510">
        <f>IFERROR(SUMIFS(T_TTAFStock[TTAF_Qty],T_TTAFStock[RM_Code],$A340,T_TTAFStock[WeekIndex],28),"")</f>
        <v/>
      </c>
      <c r="AG510">
        <f>IFERROR(SUMIFS(T_TTAFStock[TTAF_Qty],T_TTAFStock[RM_Code],$A340,T_TTAFStock[WeekIndex],29),"")</f>
        <v/>
      </c>
      <c r="AH510">
        <f>IFERROR(SUMIFS(T_TTAFStock[TTAF_Qty],T_TTAFStock[RM_Code],$A340,T_TTAFStock[WeekIndex],30),"")</f>
        <v/>
      </c>
      <c r="AI510">
        <f>IFERROR(SUMIFS(T_TTAFStock[TTAF_Qty],T_TTAFStock[RM_Code],$A340,T_TTAFStock[WeekIndex],31),"")</f>
        <v/>
      </c>
      <c r="AJ510">
        <f>IFERROR(SUMIFS(T_TTAFStock[TTAF_Qty],T_TTAFStock[RM_Code],$A340,T_TTAFStock[WeekIndex],32),"")</f>
        <v/>
      </c>
      <c r="AK510">
        <f>IFERROR(SUMIFS(T_TTAFStock[TTAF_Qty],T_TTAFStock[RM_Code],$A340,T_TTAFStock[WeekIndex],33),"")</f>
        <v/>
      </c>
      <c r="AL510">
        <f>IFERROR(SUMIFS(T_TTAFStock[TTAF_Qty],T_TTAFStock[RM_Code],$A340,T_TTAFStock[WeekIndex],34),"")</f>
        <v/>
      </c>
      <c r="AM510">
        <f>IFERROR(SUMIFS(T_TTAFStock[TTAF_Qty],T_TTAFStock[RM_Code],$A340,T_TTAFStock[WeekIndex],35),"")</f>
        <v/>
      </c>
      <c r="AN510">
        <f>IFERROR(SUMIFS(T_TTAFStock[TTAF_Qty],T_TTAFStock[RM_Code],$A340,T_TTAFStock[WeekIndex],36),"")</f>
        <v/>
      </c>
      <c r="AO510">
        <f>IFERROR(SUMIFS(T_TTAFStock[TTAF_Qty],T_TTAFStock[RM_Code],$A340,T_TTAFStock[WeekIndex],37),"")</f>
        <v/>
      </c>
      <c r="AP510">
        <f>IFERROR(SUMIFS(T_TTAFStock[TTAF_Qty],T_TTAFStock[RM_Code],$A340,T_TTAFStock[WeekIndex],38),"")</f>
        <v/>
      </c>
      <c r="AQ510">
        <f>IFERROR(SUMIFS(T_TTAFStock[TTAF_Qty],T_TTAFStock[RM_Code],$A340,T_TTAFStock[WeekIndex],39),"")</f>
        <v/>
      </c>
      <c r="AR510">
        <f>IFERROR(SUMIFS(T_TTAFStock[TTAF_Qty],T_TTAFStock[RM_Code],$A340,T_TTAFStock[WeekIndex],40),"")</f>
        <v/>
      </c>
      <c r="AS510">
        <f>IFERROR(SUMIFS(T_TTAFStock[TTAF_Qty],T_TTAFStock[RM_Code],$A340,T_TTAFStock[WeekIndex],41),"")</f>
        <v/>
      </c>
      <c r="AT510">
        <f>IFERROR(SUMIFS(T_TTAFStock[TTAF_Qty],T_TTAFStock[RM_Code],$A340,T_TTAFStock[WeekIndex],42),"")</f>
        <v/>
      </c>
      <c r="AU510">
        <f>IFERROR(SUMIFS(T_TTAFStock[TTAF_Qty],T_TTAFStock[RM_Code],$A340,T_TTAFStock[WeekIndex],43),"")</f>
        <v/>
      </c>
      <c r="AV510">
        <f>IFERROR(SUMIFS(T_TTAFStock[TTAF_Qty],T_TTAFStock[RM_Code],$A340,T_TTAFStock[WeekIndex],44),"")</f>
        <v/>
      </c>
      <c r="AW510">
        <f>IFERROR(SUMIFS(T_TTAFStock[TTAF_Qty],T_TTAFStock[RM_Code],$A340,T_TTAFStock[WeekIndex],45),"")</f>
        <v/>
      </c>
      <c r="AX510">
        <f>IFERROR(SUMIFS(T_TTAFStock[TTAF_Qty],T_TTAFStock[RM_Code],$A340,T_TTAFStock[WeekIndex],46),"")</f>
        <v/>
      </c>
      <c r="AY510">
        <f>IFERROR(SUMIFS(T_TTAFStock[TTAF_Qty],T_TTAFStock[RM_Code],$A340,T_TTAFStock[WeekIndex],47),"")</f>
        <v/>
      </c>
      <c r="AZ510">
        <f>IFERROR(SUMIFS(T_TTAFStock[TTAF_Qty],T_TTAFStock[RM_Code],$A340,T_TTAFStock[WeekIndex],48),"")</f>
        <v/>
      </c>
      <c r="BA510">
        <f>IFERROR(SUMIFS(T_TTAFStock[TTAF_Qty],T_TTAFStock[RM_Code],$A340,T_TTAFStock[WeekIndex],49),"")</f>
        <v/>
      </c>
      <c r="BB510">
        <f>IFERROR(SUMIFS(T_TTAFStock[TTAF_Qty],T_TTAFStock[RM_Code],$A340,T_TTAFStock[WeekIndex],50),"")</f>
        <v/>
      </c>
      <c r="BC510">
        <f>IFERROR(SUMIFS(T_TTAFStock[TTAF_Qty],T_TTAFStock[RM_Code],$A340,T_TTAFStock[WeekIndex],51),"")</f>
        <v/>
      </c>
      <c r="BD510">
        <f>IFERROR(SUMIFS(T_TTAFStock[TTAF_Qty],T_TTAFStock[RM_Code],$A340,T_TTAFStock[WeekIndex],52),"")</f>
        <v/>
      </c>
      <c r="BE510">
        <f>IFERROR(SUMIFS(T_TTAFStock[TTAF_Qty],T_TTAFStock[RM_Code],$A340,T_TTAFStock[WeekIndex],53),"")</f>
        <v/>
      </c>
      <c r="BF510">
        <f>IFERROR(SUMIFS(T_TTAFStock[TTAF_Qty],T_TTAFStock[RM_Code],$A340,T_TTAFStock[WeekIndex],54),"")</f>
        <v/>
      </c>
      <c r="BG510">
        <f>IFERROR(SUMIFS(T_TTAFStock[TTAF_Qty],T_TTAFStock[RM_Code],$A340,T_TTAFStock[WeekIndex],55),"")</f>
        <v/>
      </c>
      <c r="BH510">
        <f>IFERROR(SUMIFS(T_TTAFStock[TTAF_Qty],T_TTAFStock[RM_Code],$A340,T_TTAFStock[WeekIndex],56),"")</f>
        <v/>
      </c>
      <c r="BI510">
        <f>IFERROR(SUMIFS(T_TTAFStock[TTAF_Qty],T_TTAFStock[RM_Code],$A340,T_TTAFStock[WeekIndex],57),"")</f>
        <v/>
      </c>
      <c r="BJ510">
        <f>IFERROR(SUMIFS(T_TTAFStock[TTAF_Qty],T_TTAFStock[RM_Code],$A340,T_TTAFStock[WeekIndex],58),"")</f>
        <v/>
      </c>
      <c r="BK510">
        <f>IFERROR(SUMIFS(T_TTAFStock[TTAF_Qty],T_TTAFStock[RM_Code],$A340,T_TTAFStock[WeekIndex],59),"")</f>
        <v/>
      </c>
      <c r="BL510">
        <f>IFERROR(SUMIFS(T_TTAFStock[TTAF_Qty],T_TTAFStock[RM_Code],$A340,T_TTAFStock[WeekIndex],60),"")</f>
        <v/>
      </c>
      <c r="BM510">
        <f>IFERROR(SUMIFS(T_TTAFStock[TTAF_Qty],T_TTAFStock[RM_Code],$A340,T_TTAFStock[WeekIndex],61),"")</f>
        <v/>
      </c>
      <c r="BN510">
        <f>IFERROR(SUMIFS(T_TTAFStock[TTAF_Qty],T_TTAFStock[RM_Code],$A340,T_TTAFStock[WeekIndex],62),"")</f>
        <v/>
      </c>
      <c r="BO510">
        <f>IFERROR(SUMIFS(T_TTAFStock[TTAF_Qty],T_TTAFStock[RM_Code],$A340,T_TTAFStock[WeekIndex],63),"")</f>
        <v/>
      </c>
      <c r="BP510">
        <f>IFERROR(SUMIFS(T_TTAFStock[TTAF_Qty],T_TTAFStock[RM_Code],$A340,T_TTAFStock[WeekIndex],64),"")</f>
        <v/>
      </c>
      <c r="BQ510">
        <f>IFERROR(SUMIFS(T_TTAFStock[TTAF_Qty],T_TTAFStock[RM_Code],$A340,T_TTAFStock[WeekIndex],65),"")</f>
        <v/>
      </c>
      <c r="BR510">
        <f>IFERROR(SUMIFS(T_TTAFStock[TTAF_Qty],T_TTAFStock[RM_Code],$A340,T_TTAFStock[WeekIndex],66),"")</f>
        <v/>
      </c>
      <c r="BS510">
        <f>IFERROR(SUMIFS(T_TTAFStock[TTAF_Qty],T_TTAFStock[RM_Code],$A340,T_TTAFStock[WeekIndex],67),"")</f>
        <v/>
      </c>
      <c r="BT510">
        <f>IFERROR(SUMIFS(T_TTAFStock[TTAF_Qty],T_TTAFStock[RM_Code],$A340,T_TTAFStock[WeekIndex],68),"")</f>
        <v/>
      </c>
      <c r="BU510">
        <f>IFERROR(SUMIFS(T_TTAFStock[TTAF_Qty],T_TTAFStock[RM_Code],$A340,T_TTAFStock[WeekIndex],69),"")</f>
        <v/>
      </c>
      <c r="BV510">
        <f>IFERROR(SUMIFS(T_TTAFStock[TTAF_Qty],T_TTAFStock[RM_Code],$A340,T_TTAFStock[WeekIndex],70),"")</f>
        <v/>
      </c>
      <c r="BW510">
        <f>IFERROR(SUMIFS(T_TTAFStock[TTAF_Qty],T_TTAFStock[RM_Code],$A340,T_TTAFStock[WeekIndex],71),"")</f>
        <v/>
      </c>
      <c r="BX510">
        <f>IFERROR(SUMIFS(T_TTAFStock[TTAF_Qty],T_TTAFStock[RM_Code],$A340,T_TTAFStock[WeekIndex],72),"")</f>
        <v/>
      </c>
      <c r="BY510">
        <f>IFERROR(SUMIFS(T_TTAFStock[TTAF_Qty],T_TTAFStock[RM_Code],$A340,T_TTAFStock[WeekIndex],73),"")</f>
        <v/>
      </c>
      <c r="BZ510">
        <f>IFERROR(SUMIFS(T_TTAFStock[TTAF_Qty],T_TTAFStock[RM_Code],$A340,T_TTAFStock[WeekIndex],74),"")</f>
        <v/>
      </c>
      <c r="CA510">
        <f>IFERROR(SUMIFS(T_TTAFStock[TTAF_Qty],T_TTAFStock[RM_Code],$A340,T_TTAFStock[WeekIndex],75),"")</f>
        <v/>
      </c>
      <c r="CB510">
        <f>IFERROR(SUMIFS(T_TTAFStock[TTAF_Qty],T_TTAFStock[RM_Code],$A340,T_TTAFStock[WeekIndex],76),"")</f>
        <v/>
      </c>
      <c r="CC510">
        <f>IFERROR(SUMIFS(T_TTAFStock[TTAF_Qty],T_TTAFStock[RM_Code],$A340,T_TTAFStock[WeekIndex],77),"")</f>
        <v/>
      </c>
      <c r="CD510">
        <f>IFERROR(SUMIFS(T_TTAFStock[TTAF_Qty],T_TTAFStock[RM_Code],$A340,T_TTAFStock[WeekIndex],78),"")</f>
        <v/>
      </c>
      <c r="CE510">
        <f>IFERROR(SUMIFS(T_TTAFStock[TTAF_Qty],T_TTAFStock[RM_Code],$A340,T_TTAFStock[WeekIndex],79),"")</f>
        <v/>
      </c>
      <c r="CF510">
        <f>IFERROR(SUMIFS(T_TTAFStock[TTAF_Qty],T_TTAFStock[RM_Code],$A340,T_TTAFStock[WeekIndex],80),"")</f>
        <v/>
      </c>
      <c r="CG510">
        <f>IFERROR(SUMIFS(T_TTAFStock[TTAF_Qty],T_TTAFStock[RM_Code],$A340,T_TTAFStock[WeekIndex],81),"")</f>
        <v/>
      </c>
      <c r="CH510">
        <f>IFERROR(SUMIFS(T_TTAFStock[TTAF_Qty],T_TTAFStock[RM_Code],$A340,T_TTAFStock[WeekIndex],82),"")</f>
        <v/>
      </c>
      <c r="CI510">
        <f>IFERROR(SUMIFS(T_TTAFStock[TTAF_Qty],T_TTAFStock[RM_Code],$A340,T_TTAFStock[WeekIndex],83),"")</f>
        <v/>
      </c>
      <c r="CJ510">
        <f>IFERROR(SUMIFS(T_TTAFStock[TTAF_Qty],T_TTAFStock[RM_Code],$A340,T_TTAFStock[WeekIndex],84),"")</f>
        <v/>
      </c>
      <c r="CK510">
        <f>IFERROR(SUMIFS(T_TTAFStock[TTAF_Qty],T_TTAFStock[RM_Code],$A340,T_TTAFStock[WeekIndex],85),"")</f>
        <v/>
      </c>
      <c r="CL510">
        <f>IFERROR(SUMIFS(T_TTAFStock[TTAF_Qty],T_TTAFStock[RM_Code],$A340,T_TTAFStock[WeekIndex],86),"")</f>
        <v/>
      </c>
      <c r="CM510">
        <f>IFERROR(SUMIFS(T_TTAFStock[TTAF_Qty],T_TTAFStock[RM_Code],$A340,T_TTAFStock[WeekIndex],87),"")</f>
        <v/>
      </c>
      <c r="CN510">
        <f>IFERROR(SUMIFS(T_TTAFStock[TTAF_Qty],T_TTAFStock[RM_Code],$A340,T_TTAFStock[WeekIndex],88),"")</f>
        <v/>
      </c>
      <c r="CO510">
        <f>IFERROR(SUMIFS(T_TTAFStock[TTAF_Qty],T_TTAFStock[RM_Code],$A340,T_TTAFStock[WeekIndex],89),"")</f>
        <v/>
      </c>
      <c r="CP510">
        <f>IFERROR(SUMIFS(T_TTAFStock[TTAF_Qty],T_TTAFStock[RM_Code],$A340,T_TTAFStock[WeekIndex],90),"")</f>
        <v/>
      </c>
      <c r="CQ510">
        <f>IFERROR(SUMIFS(T_TTAFStock[TTAF_Qty],T_TTAFStock[RM_Code],$A340,T_TTAFStock[WeekIndex],91),"")</f>
        <v/>
      </c>
      <c r="CR510">
        <f>IFERROR(SUMIFS(T_TTAFStock[TTAF_Qty],T_TTAFStock[RM_Code],$A340,T_TTAFStock[WeekIndex],92),"")</f>
        <v/>
      </c>
      <c r="CS510">
        <f>IFERROR(SUMIFS(T_TTAFStock[TTAF_Qty],T_TTAFStock[RM_Code],$A340,T_TTAFStock[WeekIndex],93),"")</f>
        <v/>
      </c>
      <c r="CT510">
        <f>IFERROR(SUMIFS(T_TTAFStock[TTAF_Qty],T_TTAFStock[RM_Code],$A340,T_TTAFStock[WeekIndex],94),"")</f>
        <v/>
      </c>
      <c r="CU510">
        <f>IFERROR(SUMIFS(T_TTAFStock[TTAF_Qty],T_TTAFStock[RM_Code],$A340,T_TTAFStock[WeekIndex],95),"")</f>
        <v/>
      </c>
      <c r="CV510">
        <f>IFERROR(SUMIFS(T_TTAFStock[TTAF_Qty],T_TTAFStock[RM_Code],$A340,T_TTAFStock[WeekIndex],96),"")</f>
        <v/>
      </c>
      <c r="CW510">
        <f>IFERROR(SUMIFS(T_TTAFStock[TTAF_Qty],T_TTAFStock[RM_Code],$A340,T_TTAFStock[WeekIndex],97),"")</f>
        <v/>
      </c>
      <c r="CX510">
        <f>IFERROR(SUMIFS(T_TTAFStock[TTAF_Qty],T_TTAFStock[RM_Code],$A340,T_TTAFStock[WeekIndex],98),"")</f>
        <v/>
      </c>
      <c r="CY510">
        <f>IFERROR(SUMIFS(T_TTAFStock[TTAF_Qty],T_TTAFStock[RM_Code],$A340,T_TTAFStock[WeekIndex],99),"")</f>
        <v/>
      </c>
      <c r="CZ510">
        <f>IFERROR(SUMIFS(T_TTAFStock[TTAF_Qty],T_TTAFStock[RM_Code],$A340,T_TTAFStock[WeekIndex],100),"")</f>
        <v/>
      </c>
      <c r="DA510">
        <f>IFERROR(SUMIFS(T_TTAFStock[TTAF_Qty],T_TTAFStock[RM_Code],$A340,T_TTAFStock[WeekIndex],101),"")</f>
        <v/>
      </c>
      <c r="DB510">
        <f>IFERROR(SUMIFS(T_TTAFStock[TTAF_Qty],T_TTAFStock[RM_Code],$A340,T_TTAFStock[WeekIndex],102),"")</f>
        <v/>
      </c>
      <c r="DC510">
        <f>IFERROR(SUMIFS(T_TTAFStock[TTAF_Qty],T_TTAFStock[RM_Code],$A340,T_TTAFStock[WeekIndex],103),"")</f>
        <v/>
      </c>
      <c r="DD510">
        <f>IFERROR(SUMIFS(T_TTAFStock[TTAF_Qty],T_TTAFStock[RM_Code],$A340,T_TTAFStock[WeekIndex],104),"")</f>
        <v/>
      </c>
    </row>
    <row r="511">
      <c r="B511" t="inlineStr">
        <is>
          <t>自社在庫(実績,kg)</t>
        </is>
      </c>
      <c r="D511">
        <f>IFERROR(INDEX(E511:DD511,$F$1),"")</f>
        <v/>
      </c>
      <c r="E511">
        <f>IFERROR(SUMIFS(T_SelfStock[Self_Qty],T_SelfStock[RM_Code],$A340,T_SelfStock[WeekIndex],1),"")</f>
        <v/>
      </c>
      <c r="F511">
        <f>IFERROR(SUMIFS(T_SelfStock[Self_Qty],T_SelfStock[RM_Code],$A340,T_SelfStock[WeekIndex],2),"")</f>
        <v/>
      </c>
      <c r="G511">
        <f>IFERROR(SUMIFS(T_SelfStock[Self_Qty],T_SelfStock[RM_Code],$A340,T_SelfStock[WeekIndex],3),"")</f>
        <v/>
      </c>
      <c r="H511">
        <f>IFERROR(SUMIFS(T_SelfStock[Self_Qty],T_SelfStock[RM_Code],$A340,T_SelfStock[WeekIndex],4),"")</f>
        <v/>
      </c>
      <c r="I511">
        <f>IFERROR(SUMIFS(T_SelfStock[Self_Qty],T_SelfStock[RM_Code],$A340,T_SelfStock[WeekIndex],5),"")</f>
        <v/>
      </c>
      <c r="J511">
        <f>IFERROR(SUMIFS(T_SelfStock[Self_Qty],T_SelfStock[RM_Code],$A340,T_SelfStock[WeekIndex],6),"")</f>
        <v/>
      </c>
      <c r="K511">
        <f>IFERROR(SUMIFS(T_SelfStock[Self_Qty],T_SelfStock[RM_Code],$A340,T_SelfStock[WeekIndex],7),"")</f>
        <v/>
      </c>
      <c r="L511">
        <f>IFERROR(SUMIFS(T_SelfStock[Self_Qty],T_SelfStock[RM_Code],$A340,T_SelfStock[WeekIndex],8),"")</f>
        <v/>
      </c>
      <c r="M511">
        <f>IFERROR(SUMIFS(T_SelfStock[Self_Qty],T_SelfStock[RM_Code],$A340,T_SelfStock[WeekIndex],9),"")</f>
        <v/>
      </c>
      <c r="N511">
        <f>IFERROR(SUMIFS(T_SelfStock[Self_Qty],T_SelfStock[RM_Code],$A340,T_SelfStock[WeekIndex],10),"")</f>
        <v/>
      </c>
      <c r="O511">
        <f>IFERROR(SUMIFS(T_SelfStock[Self_Qty],T_SelfStock[RM_Code],$A340,T_SelfStock[WeekIndex],11),"")</f>
        <v/>
      </c>
      <c r="P511">
        <f>IFERROR(SUMIFS(T_SelfStock[Self_Qty],T_SelfStock[RM_Code],$A340,T_SelfStock[WeekIndex],12),"")</f>
        <v/>
      </c>
      <c r="Q511">
        <f>IFERROR(SUMIFS(T_SelfStock[Self_Qty],T_SelfStock[RM_Code],$A340,T_SelfStock[WeekIndex],13),"")</f>
        <v/>
      </c>
      <c r="R511">
        <f>IFERROR(SUMIFS(T_SelfStock[Self_Qty],T_SelfStock[RM_Code],$A340,T_SelfStock[WeekIndex],14),"")</f>
        <v/>
      </c>
      <c r="S511">
        <f>IFERROR(SUMIFS(T_SelfStock[Self_Qty],T_SelfStock[RM_Code],$A340,T_SelfStock[WeekIndex],15),"")</f>
        <v/>
      </c>
      <c r="T511">
        <f>IFERROR(SUMIFS(T_SelfStock[Self_Qty],T_SelfStock[RM_Code],$A340,T_SelfStock[WeekIndex],16),"")</f>
        <v/>
      </c>
      <c r="U511">
        <f>IFERROR(SUMIFS(T_SelfStock[Self_Qty],T_SelfStock[RM_Code],$A340,T_SelfStock[WeekIndex],17),"")</f>
        <v/>
      </c>
      <c r="V511">
        <f>IFERROR(SUMIFS(T_SelfStock[Self_Qty],T_SelfStock[RM_Code],$A340,T_SelfStock[WeekIndex],18),"")</f>
        <v/>
      </c>
      <c r="W511">
        <f>IFERROR(SUMIFS(T_SelfStock[Self_Qty],T_SelfStock[RM_Code],$A340,T_SelfStock[WeekIndex],19),"")</f>
        <v/>
      </c>
      <c r="X511">
        <f>IFERROR(SUMIFS(T_SelfStock[Self_Qty],T_SelfStock[RM_Code],$A340,T_SelfStock[WeekIndex],20),"")</f>
        <v/>
      </c>
      <c r="Y511">
        <f>IFERROR(SUMIFS(T_SelfStock[Self_Qty],T_SelfStock[RM_Code],$A340,T_SelfStock[WeekIndex],21),"")</f>
        <v/>
      </c>
      <c r="Z511">
        <f>IFERROR(SUMIFS(T_SelfStock[Self_Qty],T_SelfStock[RM_Code],$A340,T_SelfStock[WeekIndex],22),"")</f>
        <v/>
      </c>
      <c r="AA511">
        <f>IFERROR(SUMIFS(T_SelfStock[Self_Qty],T_SelfStock[RM_Code],$A340,T_SelfStock[WeekIndex],23),"")</f>
        <v/>
      </c>
      <c r="AB511">
        <f>IFERROR(SUMIFS(T_SelfStock[Self_Qty],T_SelfStock[RM_Code],$A340,T_SelfStock[WeekIndex],24),"")</f>
        <v/>
      </c>
      <c r="AC511">
        <f>IFERROR(SUMIFS(T_SelfStock[Self_Qty],T_SelfStock[RM_Code],$A340,T_SelfStock[WeekIndex],25),"")</f>
        <v/>
      </c>
      <c r="AD511">
        <f>IFERROR(SUMIFS(T_SelfStock[Self_Qty],T_SelfStock[RM_Code],$A340,T_SelfStock[WeekIndex],26),"")</f>
        <v/>
      </c>
      <c r="AE511">
        <f>IFERROR(SUMIFS(T_SelfStock[Self_Qty],T_SelfStock[RM_Code],$A340,T_SelfStock[WeekIndex],27),"")</f>
        <v/>
      </c>
      <c r="AF511">
        <f>IFERROR(SUMIFS(T_SelfStock[Self_Qty],T_SelfStock[RM_Code],$A340,T_SelfStock[WeekIndex],28),"")</f>
        <v/>
      </c>
      <c r="AG511">
        <f>IFERROR(SUMIFS(T_SelfStock[Self_Qty],T_SelfStock[RM_Code],$A340,T_SelfStock[WeekIndex],29),"")</f>
        <v/>
      </c>
      <c r="AH511">
        <f>IFERROR(SUMIFS(T_SelfStock[Self_Qty],T_SelfStock[RM_Code],$A340,T_SelfStock[WeekIndex],30),"")</f>
        <v/>
      </c>
      <c r="AI511">
        <f>IFERROR(SUMIFS(T_SelfStock[Self_Qty],T_SelfStock[RM_Code],$A340,T_SelfStock[WeekIndex],31),"")</f>
        <v/>
      </c>
      <c r="AJ511">
        <f>IFERROR(SUMIFS(T_SelfStock[Self_Qty],T_SelfStock[RM_Code],$A340,T_SelfStock[WeekIndex],32),"")</f>
        <v/>
      </c>
      <c r="AK511">
        <f>IFERROR(SUMIFS(T_SelfStock[Self_Qty],T_SelfStock[RM_Code],$A340,T_SelfStock[WeekIndex],33),"")</f>
        <v/>
      </c>
      <c r="AL511">
        <f>IFERROR(SUMIFS(T_SelfStock[Self_Qty],T_SelfStock[RM_Code],$A340,T_SelfStock[WeekIndex],34),"")</f>
        <v/>
      </c>
      <c r="AM511">
        <f>IFERROR(SUMIFS(T_SelfStock[Self_Qty],T_SelfStock[RM_Code],$A340,T_SelfStock[WeekIndex],35),"")</f>
        <v/>
      </c>
      <c r="AN511">
        <f>IFERROR(SUMIFS(T_SelfStock[Self_Qty],T_SelfStock[RM_Code],$A340,T_SelfStock[WeekIndex],36),"")</f>
        <v/>
      </c>
      <c r="AO511">
        <f>IFERROR(SUMIFS(T_SelfStock[Self_Qty],T_SelfStock[RM_Code],$A340,T_SelfStock[WeekIndex],37),"")</f>
        <v/>
      </c>
      <c r="AP511">
        <f>IFERROR(SUMIFS(T_SelfStock[Self_Qty],T_SelfStock[RM_Code],$A340,T_SelfStock[WeekIndex],38),"")</f>
        <v/>
      </c>
      <c r="AQ511">
        <f>IFERROR(SUMIFS(T_SelfStock[Self_Qty],T_SelfStock[RM_Code],$A340,T_SelfStock[WeekIndex],39),"")</f>
        <v/>
      </c>
      <c r="AR511">
        <f>IFERROR(SUMIFS(T_SelfStock[Self_Qty],T_SelfStock[RM_Code],$A340,T_SelfStock[WeekIndex],40),"")</f>
        <v/>
      </c>
      <c r="AS511">
        <f>IFERROR(SUMIFS(T_SelfStock[Self_Qty],T_SelfStock[RM_Code],$A340,T_SelfStock[WeekIndex],41),"")</f>
        <v/>
      </c>
      <c r="AT511">
        <f>IFERROR(SUMIFS(T_SelfStock[Self_Qty],T_SelfStock[RM_Code],$A340,T_SelfStock[WeekIndex],42),"")</f>
        <v/>
      </c>
      <c r="AU511">
        <f>IFERROR(SUMIFS(T_SelfStock[Self_Qty],T_SelfStock[RM_Code],$A340,T_SelfStock[WeekIndex],43),"")</f>
        <v/>
      </c>
      <c r="AV511">
        <f>IFERROR(SUMIFS(T_SelfStock[Self_Qty],T_SelfStock[RM_Code],$A340,T_SelfStock[WeekIndex],44),"")</f>
        <v/>
      </c>
      <c r="AW511">
        <f>IFERROR(SUMIFS(T_SelfStock[Self_Qty],T_SelfStock[RM_Code],$A340,T_SelfStock[WeekIndex],45),"")</f>
        <v/>
      </c>
      <c r="AX511">
        <f>IFERROR(SUMIFS(T_SelfStock[Self_Qty],T_SelfStock[RM_Code],$A340,T_SelfStock[WeekIndex],46),"")</f>
        <v/>
      </c>
      <c r="AY511">
        <f>IFERROR(SUMIFS(T_SelfStock[Self_Qty],T_SelfStock[RM_Code],$A340,T_SelfStock[WeekIndex],47),"")</f>
        <v/>
      </c>
      <c r="AZ511">
        <f>IFERROR(SUMIFS(T_SelfStock[Self_Qty],T_SelfStock[RM_Code],$A340,T_SelfStock[WeekIndex],48),"")</f>
        <v/>
      </c>
      <c r="BA511">
        <f>IFERROR(SUMIFS(T_SelfStock[Self_Qty],T_SelfStock[RM_Code],$A340,T_SelfStock[WeekIndex],49),"")</f>
        <v/>
      </c>
      <c r="BB511">
        <f>IFERROR(SUMIFS(T_SelfStock[Self_Qty],T_SelfStock[RM_Code],$A340,T_SelfStock[WeekIndex],50),"")</f>
        <v/>
      </c>
      <c r="BC511">
        <f>IFERROR(SUMIFS(T_SelfStock[Self_Qty],T_SelfStock[RM_Code],$A340,T_SelfStock[WeekIndex],51),"")</f>
        <v/>
      </c>
      <c r="BD511">
        <f>IFERROR(SUMIFS(T_SelfStock[Self_Qty],T_SelfStock[RM_Code],$A340,T_SelfStock[WeekIndex],52),"")</f>
        <v/>
      </c>
      <c r="BE511">
        <f>IFERROR(SUMIFS(T_SelfStock[Self_Qty],T_SelfStock[RM_Code],$A340,T_SelfStock[WeekIndex],53),"")</f>
        <v/>
      </c>
      <c r="BF511">
        <f>IFERROR(SUMIFS(T_SelfStock[Self_Qty],T_SelfStock[RM_Code],$A340,T_SelfStock[WeekIndex],54),"")</f>
        <v/>
      </c>
      <c r="BG511">
        <f>IFERROR(SUMIFS(T_SelfStock[Self_Qty],T_SelfStock[RM_Code],$A340,T_SelfStock[WeekIndex],55),"")</f>
        <v/>
      </c>
      <c r="BH511">
        <f>IFERROR(SUMIFS(T_SelfStock[Self_Qty],T_SelfStock[RM_Code],$A340,T_SelfStock[WeekIndex],56),"")</f>
        <v/>
      </c>
      <c r="BI511">
        <f>IFERROR(SUMIFS(T_SelfStock[Self_Qty],T_SelfStock[RM_Code],$A340,T_SelfStock[WeekIndex],57),"")</f>
        <v/>
      </c>
      <c r="BJ511">
        <f>IFERROR(SUMIFS(T_SelfStock[Self_Qty],T_SelfStock[RM_Code],$A340,T_SelfStock[WeekIndex],58),"")</f>
        <v/>
      </c>
      <c r="BK511">
        <f>IFERROR(SUMIFS(T_SelfStock[Self_Qty],T_SelfStock[RM_Code],$A340,T_SelfStock[WeekIndex],59),"")</f>
        <v/>
      </c>
      <c r="BL511">
        <f>IFERROR(SUMIFS(T_SelfStock[Self_Qty],T_SelfStock[RM_Code],$A340,T_SelfStock[WeekIndex],60),"")</f>
        <v/>
      </c>
      <c r="BM511">
        <f>IFERROR(SUMIFS(T_SelfStock[Self_Qty],T_SelfStock[RM_Code],$A340,T_SelfStock[WeekIndex],61),"")</f>
        <v/>
      </c>
      <c r="BN511">
        <f>IFERROR(SUMIFS(T_SelfStock[Self_Qty],T_SelfStock[RM_Code],$A340,T_SelfStock[WeekIndex],62),"")</f>
        <v/>
      </c>
      <c r="BO511">
        <f>IFERROR(SUMIFS(T_SelfStock[Self_Qty],T_SelfStock[RM_Code],$A340,T_SelfStock[WeekIndex],63),"")</f>
        <v/>
      </c>
      <c r="BP511">
        <f>IFERROR(SUMIFS(T_SelfStock[Self_Qty],T_SelfStock[RM_Code],$A340,T_SelfStock[WeekIndex],64),"")</f>
        <v/>
      </c>
      <c r="BQ511">
        <f>IFERROR(SUMIFS(T_SelfStock[Self_Qty],T_SelfStock[RM_Code],$A340,T_SelfStock[WeekIndex],65),"")</f>
        <v/>
      </c>
      <c r="BR511">
        <f>IFERROR(SUMIFS(T_SelfStock[Self_Qty],T_SelfStock[RM_Code],$A340,T_SelfStock[WeekIndex],66),"")</f>
        <v/>
      </c>
      <c r="BS511">
        <f>IFERROR(SUMIFS(T_SelfStock[Self_Qty],T_SelfStock[RM_Code],$A340,T_SelfStock[WeekIndex],67),"")</f>
        <v/>
      </c>
      <c r="BT511">
        <f>IFERROR(SUMIFS(T_SelfStock[Self_Qty],T_SelfStock[RM_Code],$A340,T_SelfStock[WeekIndex],68),"")</f>
        <v/>
      </c>
      <c r="BU511">
        <f>IFERROR(SUMIFS(T_SelfStock[Self_Qty],T_SelfStock[RM_Code],$A340,T_SelfStock[WeekIndex],69),"")</f>
        <v/>
      </c>
      <c r="BV511">
        <f>IFERROR(SUMIFS(T_SelfStock[Self_Qty],T_SelfStock[RM_Code],$A340,T_SelfStock[WeekIndex],70),"")</f>
        <v/>
      </c>
      <c r="BW511">
        <f>IFERROR(SUMIFS(T_SelfStock[Self_Qty],T_SelfStock[RM_Code],$A340,T_SelfStock[WeekIndex],71),"")</f>
        <v/>
      </c>
      <c r="BX511">
        <f>IFERROR(SUMIFS(T_SelfStock[Self_Qty],T_SelfStock[RM_Code],$A340,T_SelfStock[WeekIndex],72),"")</f>
        <v/>
      </c>
      <c r="BY511">
        <f>IFERROR(SUMIFS(T_SelfStock[Self_Qty],T_SelfStock[RM_Code],$A340,T_SelfStock[WeekIndex],73),"")</f>
        <v/>
      </c>
      <c r="BZ511">
        <f>IFERROR(SUMIFS(T_SelfStock[Self_Qty],T_SelfStock[RM_Code],$A340,T_SelfStock[WeekIndex],74),"")</f>
        <v/>
      </c>
      <c r="CA511">
        <f>IFERROR(SUMIFS(T_SelfStock[Self_Qty],T_SelfStock[RM_Code],$A340,T_SelfStock[WeekIndex],75),"")</f>
        <v/>
      </c>
      <c r="CB511">
        <f>IFERROR(SUMIFS(T_SelfStock[Self_Qty],T_SelfStock[RM_Code],$A340,T_SelfStock[WeekIndex],76),"")</f>
        <v/>
      </c>
      <c r="CC511">
        <f>IFERROR(SUMIFS(T_SelfStock[Self_Qty],T_SelfStock[RM_Code],$A340,T_SelfStock[WeekIndex],77),"")</f>
        <v/>
      </c>
      <c r="CD511">
        <f>IFERROR(SUMIFS(T_SelfStock[Self_Qty],T_SelfStock[RM_Code],$A340,T_SelfStock[WeekIndex],78),"")</f>
        <v/>
      </c>
      <c r="CE511">
        <f>IFERROR(SUMIFS(T_SelfStock[Self_Qty],T_SelfStock[RM_Code],$A340,T_SelfStock[WeekIndex],79),"")</f>
        <v/>
      </c>
      <c r="CF511">
        <f>IFERROR(SUMIFS(T_SelfStock[Self_Qty],T_SelfStock[RM_Code],$A340,T_SelfStock[WeekIndex],80),"")</f>
        <v/>
      </c>
      <c r="CG511">
        <f>IFERROR(SUMIFS(T_SelfStock[Self_Qty],T_SelfStock[RM_Code],$A340,T_SelfStock[WeekIndex],81),"")</f>
        <v/>
      </c>
      <c r="CH511">
        <f>IFERROR(SUMIFS(T_SelfStock[Self_Qty],T_SelfStock[RM_Code],$A340,T_SelfStock[WeekIndex],82),"")</f>
        <v/>
      </c>
      <c r="CI511">
        <f>IFERROR(SUMIFS(T_SelfStock[Self_Qty],T_SelfStock[RM_Code],$A340,T_SelfStock[WeekIndex],83),"")</f>
        <v/>
      </c>
      <c r="CJ511">
        <f>IFERROR(SUMIFS(T_SelfStock[Self_Qty],T_SelfStock[RM_Code],$A340,T_SelfStock[WeekIndex],84),"")</f>
        <v/>
      </c>
      <c r="CK511">
        <f>IFERROR(SUMIFS(T_SelfStock[Self_Qty],T_SelfStock[RM_Code],$A340,T_SelfStock[WeekIndex],85),"")</f>
        <v/>
      </c>
      <c r="CL511">
        <f>IFERROR(SUMIFS(T_SelfStock[Self_Qty],T_SelfStock[RM_Code],$A340,T_SelfStock[WeekIndex],86),"")</f>
        <v/>
      </c>
      <c r="CM511">
        <f>IFERROR(SUMIFS(T_SelfStock[Self_Qty],T_SelfStock[RM_Code],$A340,T_SelfStock[WeekIndex],87),"")</f>
        <v/>
      </c>
      <c r="CN511">
        <f>IFERROR(SUMIFS(T_SelfStock[Self_Qty],T_SelfStock[RM_Code],$A340,T_SelfStock[WeekIndex],88),"")</f>
        <v/>
      </c>
      <c r="CO511">
        <f>IFERROR(SUMIFS(T_SelfStock[Self_Qty],T_SelfStock[RM_Code],$A340,T_SelfStock[WeekIndex],89),"")</f>
        <v/>
      </c>
      <c r="CP511">
        <f>IFERROR(SUMIFS(T_SelfStock[Self_Qty],T_SelfStock[RM_Code],$A340,T_SelfStock[WeekIndex],90),"")</f>
        <v/>
      </c>
      <c r="CQ511">
        <f>IFERROR(SUMIFS(T_SelfStock[Self_Qty],T_SelfStock[RM_Code],$A340,T_SelfStock[WeekIndex],91),"")</f>
        <v/>
      </c>
      <c r="CR511">
        <f>IFERROR(SUMIFS(T_SelfStock[Self_Qty],T_SelfStock[RM_Code],$A340,T_SelfStock[WeekIndex],92),"")</f>
        <v/>
      </c>
      <c r="CS511">
        <f>IFERROR(SUMIFS(T_SelfStock[Self_Qty],T_SelfStock[RM_Code],$A340,T_SelfStock[WeekIndex],93),"")</f>
        <v/>
      </c>
      <c r="CT511">
        <f>IFERROR(SUMIFS(T_SelfStock[Self_Qty],T_SelfStock[RM_Code],$A340,T_SelfStock[WeekIndex],94),"")</f>
        <v/>
      </c>
      <c r="CU511">
        <f>IFERROR(SUMIFS(T_SelfStock[Self_Qty],T_SelfStock[RM_Code],$A340,T_SelfStock[WeekIndex],95),"")</f>
        <v/>
      </c>
      <c r="CV511">
        <f>IFERROR(SUMIFS(T_SelfStock[Self_Qty],T_SelfStock[RM_Code],$A340,T_SelfStock[WeekIndex],96),"")</f>
        <v/>
      </c>
      <c r="CW511">
        <f>IFERROR(SUMIFS(T_SelfStock[Self_Qty],T_SelfStock[RM_Code],$A340,T_SelfStock[WeekIndex],97),"")</f>
        <v/>
      </c>
      <c r="CX511">
        <f>IFERROR(SUMIFS(T_SelfStock[Self_Qty],T_SelfStock[RM_Code],$A340,T_SelfStock[WeekIndex],98),"")</f>
        <v/>
      </c>
      <c r="CY511">
        <f>IFERROR(SUMIFS(T_SelfStock[Self_Qty],T_SelfStock[RM_Code],$A340,T_SelfStock[WeekIndex],99),"")</f>
        <v/>
      </c>
      <c r="CZ511">
        <f>IFERROR(SUMIFS(T_SelfStock[Self_Qty],T_SelfStock[RM_Code],$A340,T_SelfStock[WeekIndex],100),"")</f>
        <v/>
      </c>
      <c r="DA511">
        <f>IFERROR(SUMIFS(T_SelfStock[Self_Qty],T_SelfStock[RM_Code],$A340,T_SelfStock[WeekIndex],101),"")</f>
        <v/>
      </c>
      <c r="DB511">
        <f>IFERROR(SUMIFS(T_SelfStock[Self_Qty],T_SelfStock[RM_Code],$A340,T_SelfStock[WeekIndex],102),"")</f>
        <v/>
      </c>
      <c r="DC511">
        <f>IFERROR(SUMIFS(T_SelfStock[Self_Qty],T_SelfStock[RM_Code],$A340,T_SelfStock[WeekIndex],103),"")</f>
        <v/>
      </c>
      <c r="DD511">
        <f>IFERROR(SUMIFS(T_SelfStock[Self_Qty],T_SelfStock[RM_Code],$A340,T_SelfStock[WeekIndex],104),"")</f>
        <v/>
      </c>
    </row>
    <row r="512">
      <c r="B512" s="4" t="inlineStr">
        <is>
          <t>合計在庫(週末時点,kg)</t>
        </is>
      </c>
      <c r="D512" s="24">
        <f>IFERROR(INDEX(E512:DD512,$F$1),"")</f>
        <v/>
      </c>
      <c r="E512">
        <f>'Grid_Stock'!B5</f>
        <v/>
      </c>
      <c r="F512">
        <f>'Grid_Stock'!C5</f>
        <v/>
      </c>
      <c r="G512">
        <f>'Grid_Stock'!D5</f>
        <v/>
      </c>
      <c r="H512">
        <f>'Grid_Stock'!E5</f>
        <v/>
      </c>
      <c r="I512">
        <f>'Grid_Stock'!F5</f>
        <v/>
      </c>
      <c r="J512">
        <f>'Grid_Stock'!G5</f>
        <v/>
      </c>
      <c r="K512">
        <f>'Grid_Stock'!H5</f>
        <v/>
      </c>
      <c r="L512">
        <f>'Grid_Stock'!I5</f>
        <v/>
      </c>
      <c r="M512">
        <f>'Grid_Stock'!J5</f>
        <v/>
      </c>
      <c r="N512">
        <f>'Grid_Stock'!K5</f>
        <v/>
      </c>
      <c r="O512">
        <f>'Grid_Stock'!L5</f>
        <v/>
      </c>
      <c r="P512">
        <f>'Grid_Stock'!M5</f>
        <v/>
      </c>
      <c r="Q512">
        <f>'Grid_Stock'!N5</f>
        <v/>
      </c>
      <c r="R512">
        <f>'Grid_Stock'!O5</f>
        <v/>
      </c>
      <c r="S512">
        <f>'Grid_Stock'!P5</f>
        <v/>
      </c>
      <c r="T512">
        <f>'Grid_Stock'!Q5</f>
        <v/>
      </c>
      <c r="U512">
        <f>'Grid_Stock'!R5</f>
        <v/>
      </c>
      <c r="V512">
        <f>'Grid_Stock'!S5</f>
        <v/>
      </c>
      <c r="W512">
        <f>'Grid_Stock'!T5</f>
        <v/>
      </c>
      <c r="X512">
        <f>'Grid_Stock'!U5</f>
        <v/>
      </c>
      <c r="Y512">
        <f>'Grid_Stock'!V5</f>
        <v/>
      </c>
      <c r="Z512">
        <f>'Grid_Stock'!W5</f>
        <v/>
      </c>
      <c r="AA512">
        <f>'Grid_Stock'!X5</f>
        <v/>
      </c>
      <c r="AB512">
        <f>'Grid_Stock'!Y5</f>
        <v/>
      </c>
      <c r="AC512">
        <f>'Grid_Stock'!Z5</f>
        <v/>
      </c>
      <c r="AD512">
        <f>'Grid_Stock'!AA5</f>
        <v/>
      </c>
      <c r="AE512">
        <f>'Grid_Stock'!AB5</f>
        <v/>
      </c>
      <c r="AF512">
        <f>'Grid_Stock'!AC5</f>
        <v/>
      </c>
      <c r="AG512">
        <f>'Grid_Stock'!AD5</f>
        <v/>
      </c>
      <c r="AH512">
        <f>'Grid_Stock'!AE5</f>
        <v/>
      </c>
      <c r="AI512">
        <f>'Grid_Stock'!AF5</f>
        <v/>
      </c>
      <c r="AJ512">
        <f>'Grid_Stock'!AG5</f>
        <v/>
      </c>
      <c r="AK512">
        <f>'Grid_Stock'!AH5</f>
        <v/>
      </c>
      <c r="AL512">
        <f>'Grid_Stock'!AI5</f>
        <v/>
      </c>
      <c r="AM512">
        <f>'Grid_Stock'!AJ5</f>
        <v/>
      </c>
      <c r="AN512">
        <f>'Grid_Stock'!AK5</f>
        <v/>
      </c>
      <c r="AO512">
        <f>'Grid_Stock'!AL5</f>
        <v/>
      </c>
      <c r="AP512">
        <f>'Grid_Stock'!AM5</f>
        <v/>
      </c>
      <c r="AQ512">
        <f>'Grid_Stock'!AN5</f>
        <v/>
      </c>
      <c r="AR512">
        <f>'Grid_Stock'!AO5</f>
        <v/>
      </c>
      <c r="AS512">
        <f>'Grid_Stock'!AP5</f>
        <v/>
      </c>
      <c r="AT512">
        <f>'Grid_Stock'!AQ5</f>
        <v/>
      </c>
      <c r="AU512">
        <f>'Grid_Stock'!AR5</f>
        <v/>
      </c>
      <c r="AV512">
        <f>'Grid_Stock'!AS5</f>
        <v/>
      </c>
      <c r="AW512">
        <f>'Grid_Stock'!AT5</f>
        <v/>
      </c>
      <c r="AX512">
        <f>'Grid_Stock'!AU5</f>
        <v/>
      </c>
      <c r="AY512">
        <f>'Grid_Stock'!AV5</f>
        <v/>
      </c>
      <c r="AZ512">
        <f>'Grid_Stock'!AW5</f>
        <v/>
      </c>
      <c r="BA512">
        <f>'Grid_Stock'!AX5</f>
        <v/>
      </c>
      <c r="BB512">
        <f>'Grid_Stock'!AY5</f>
        <v/>
      </c>
      <c r="BC512">
        <f>'Grid_Stock'!AZ5</f>
        <v/>
      </c>
      <c r="BD512">
        <f>'Grid_Stock'!BA5</f>
        <v/>
      </c>
      <c r="BE512">
        <f>'Grid_Stock'!BB5</f>
        <v/>
      </c>
      <c r="BF512">
        <f>'Grid_Stock'!BC5</f>
        <v/>
      </c>
      <c r="BG512">
        <f>'Grid_Stock'!BD5</f>
        <v/>
      </c>
      <c r="BH512">
        <f>'Grid_Stock'!BE5</f>
        <v/>
      </c>
      <c r="BI512">
        <f>'Grid_Stock'!BF5</f>
        <v/>
      </c>
      <c r="BJ512">
        <f>'Grid_Stock'!BG5</f>
        <v/>
      </c>
      <c r="BK512">
        <f>'Grid_Stock'!BH5</f>
        <v/>
      </c>
      <c r="BL512">
        <f>'Grid_Stock'!BI5</f>
        <v/>
      </c>
      <c r="BM512">
        <f>'Grid_Stock'!BJ5</f>
        <v/>
      </c>
      <c r="BN512">
        <f>'Grid_Stock'!BK5</f>
        <v/>
      </c>
      <c r="BO512">
        <f>'Grid_Stock'!BL5</f>
        <v/>
      </c>
      <c r="BP512">
        <f>'Grid_Stock'!BM5</f>
        <v/>
      </c>
      <c r="BQ512">
        <f>'Grid_Stock'!BN5</f>
        <v/>
      </c>
      <c r="BR512">
        <f>'Grid_Stock'!BO5</f>
        <v/>
      </c>
      <c r="BS512">
        <f>'Grid_Stock'!BP5</f>
        <v/>
      </c>
      <c r="BT512">
        <f>'Grid_Stock'!BQ5</f>
        <v/>
      </c>
      <c r="BU512">
        <f>'Grid_Stock'!BR5</f>
        <v/>
      </c>
      <c r="BV512">
        <f>'Grid_Stock'!BS5</f>
        <v/>
      </c>
      <c r="BW512">
        <f>'Grid_Stock'!BT5</f>
        <v/>
      </c>
      <c r="BX512">
        <f>'Grid_Stock'!BU5</f>
        <v/>
      </c>
      <c r="BY512">
        <f>'Grid_Stock'!BV5</f>
        <v/>
      </c>
      <c r="BZ512">
        <f>'Grid_Stock'!BW5</f>
        <v/>
      </c>
      <c r="CA512">
        <f>'Grid_Stock'!BX5</f>
        <v/>
      </c>
      <c r="CB512">
        <f>'Grid_Stock'!BY5</f>
        <v/>
      </c>
      <c r="CC512">
        <f>'Grid_Stock'!BZ5</f>
        <v/>
      </c>
      <c r="CD512">
        <f>'Grid_Stock'!CA5</f>
        <v/>
      </c>
      <c r="CE512">
        <f>'Grid_Stock'!CB5</f>
        <v/>
      </c>
      <c r="CF512">
        <f>'Grid_Stock'!CC5</f>
        <v/>
      </c>
      <c r="CG512">
        <f>'Grid_Stock'!CD5</f>
        <v/>
      </c>
      <c r="CH512">
        <f>'Grid_Stock'!CE5</f>
        <v/>
      </c>
      <c r="CI512">
        <f>'Grid_Stock'!CF5</f>
        <v/>
      </c>
      <c r="CJ512">
        <f>'Grid_Stock'!CG5</f>
        <v/>
      </c>
      <c r="CK512">
        <f>'Grid_Stock'!CH5</f>
        <v/>
      </c>
      <c r="CL512">
        <f>'Grid_Stock'!CI5</f>
        <v/>
      </c>
      <c r="CM512">
        <f>'Grid_Stock'!CJ5</f>
        <v/>
      </c>
      <c r="CN512">
        <f>'Grid_Stock'!CK5</f>
        <v/>
      </c>
      <c r="CO512">
        <f>'Grid_Stock'!CL5</f>
        <v/>
      </c>
      <c r="CP512">
        <f>'Grid_Stock'!CM5</f>
        <v/>
      </c>
      <c r="CQ512">
        <f>'Grid_Stock'!CN5</f>
        <v/>
      </c>
      <c r="CR512">
        <f>'Grid_Stock'!CO5</f>
        <v/>
      </c>
      <c r="CS512">
        <f>'Grid_Stock'!CP5</f>
        <v/>
      </c>
      <c r="CT512">
        <f>'Grid_Stock'!CQ5</f>
        <v/>
      </c>
      <c r="CU512">
        <f>'Grid_Stock'!CR5</f>
        <v/>
      </c>
      <c r="CV512">
        <f>'Grid_Stock'!CS5</f>
        <v/>
      </c>
      <c r="CW512">
        <f>'Grid_Stock'!CT5</f>
        <v/>
      </c>
      <c r="CX512">
        <f>'Grid_Stock'!CU5</f>
        <v/>
      </c>
      <c r="CY512">
        <f>'Grid_Stock'!CV5</f>
        <v/>
      </c>
      <c r="CZ512">
        <f>'Grid_Stock'!CW5</f>
        <v/>
      </c>
      <c r="DA512">
        <f>'Grid_Stock'!CX5</f>
        <v/>
      </c>
      <c r="DB512">
        <f>'Grid_Stock'!CY5</f>
        <v/>
      </c>
      <c r="DC512">
        <f>'Grid_Stock'!CZ5</f>
        <v/>
      </c>
      <c r="DD512">
        <f>'Grid_Stock'!DA5</f>
        <v/>
      </c>
    </row>
    <row r="513">
      <c r="B513" s="25" t="inlineStr">
        <is>
          <t>（発注の目安はDashboardの基準在庫[下限/上限]と色分けを参照）</t>
        </is>
      </c>
    </row>
    <row r="515">
      <c r="A515" s="21" t="inlineStr">
        <is>
          <t>CHEM-1440</t>
        </is>
      </c>
      <c r="B515" s="21" t="inlineStr">
        <is>
          <t>CITRIC ACID</t>
        </is>
      </c>
      <c r="C515" s="22" t="n"/>
      <c r="D515" s="21" t="n"/>
      <c r="E515" s="21" t="n"/>
      <c r="F515" s="21" t="n"/>
      <c r="G515" s="21" t="n"/>
      <c r="H515" s="2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  <c r="AA515" s="21" t="n"/>
      <c r="AB515" s="21" t="n"/>
      <c r="AC515" s="21" t="n"/>
      <c r="AD515" s="21" t="n"/>
      <c r="AE515" s="21" t="n"/>
      <c r="AF515" s="21" t="n"/>
      <c r="AG515" s="21" t="n"/>
      <c r="AH515" s="21" t="n"/>
      <c r="AI515" s="21" t="n"/>
      <c r="AJ515" s="21" t="n"/>
      <c r="AK515" s="21" t="n"/>
      <c r="AL515" s="21" t="n"/>
      <c r="AM515" s="21" t="n"/>
      <c r="AN515" s="21" t="n"/>
      <c r="AO515" s="21" t="n"/>
      <c r="AP515" s="21" t="n"/>
      <c r="AQ515" s="21" t="n"/>
      <c r="AR515" s="21" t="n"/>
      <c r="AS515" s="21" t="n"/>
      <c r="AT515" s="21" t="n"/>
      <c r="AU515" s="21" t="n"/>
      <c r="AV515" s="21" t="n"/>
      <c r="AW515" s="21" t="n"/>
      <c r="AX515" s="21" t="n"/>
      <c r="AY515" s="21" t="n"/>
      <c r="AZ515" s="21" t="n"/>
      <c r="BA515" s="21" t="n"/>
      <c r="BB515" s="21" t="n"/>
      <c r="BC515" s="21" t="n"/>
      <c r="BD515" s="21" t="n"/>
      <c r="BE515" s="21" t="n"/>
      <c r="BF515" s="21" t="n"/>
      <c r="BG515" s="21" t="n"/>
      <c r="BH515" s="21" t="n"/>
      <c r="BI515" s="21" t="n"/>
      <c r="BJ515" s="21" t="n"/>
      <c r="BK515" s="21" t="n"/>
      <c r="BL515" s="21" t="n"/>
      <c r="BM515" s="21" t="n"/>
      <c r="BN515" s="21" t="n"/>
      <c r="BO515" s="21" t="n"/>
      <c r="BP515" s="21" t="n"/>
      <c r="BQ515" s="21" t="n"/>
      <c r="BR515" s="21" t="n"/>
      <c r="BS515" s="21" t="n"/>
      <c r="BT515" s="21" t="n"/>
      <c r="BU515" s="21" t="n"/>
      <c r="BV515" s="21" t="n"/>
      <c r="BW515" s="21" t="n"/>
      <c r="BX515" s="21" t="n"/>
      <c r="BY515" s="21" t="n"/>
      <c r="BZ515" s="21" t="n"/>
      <c r="CA515" s="21" t="n"/>
      <c r="CB515" s="21" t="n"/>
      <c r="CC515" s="21" t="n"/>
      <c r="CD515" s="21" t="n"/>
      <c r="CE515" s="21" t="n"/>
      <c r="CF515" s="21" t="n"/>
      <c r="CG515" s="21" t="n"/>
      <c r="CH515" s="21" t="n"/>
      <c r="CI515" s="21" t="n"/>
      <c r="CJ515" s="21" t="n"/>
      <c r="CK515" s="21" t="n"/>
      <c r="CL515" s="21" t="n"/>
      <c r="CM515" s="21" t="n"/>
      <c r="CN515" s="21" t="n"/>
      <c r="CO515" s="21" t="n"/>
      <c r="CP515" s="21" t="n"/>
      <c r="CQ515" s="21" t="n"/>
      <c r="CR515" s="21" t="n"/>
      <c r="CS515" s="21" t="n"/>
      <c r="CT515" s="21" t="n"/>
      <c r="CU515" s="21" t="n"/>
      <c r="CV515" s="21" t="n"/>
      <c r="CW515" s="21" t="n"/>
      <c r="CX515" s="21" t="n"/>
      <c r="CY515" s="21" t="n"/>
      <c r="CZ515" s="21" t="n"/>
      <c r="DA515" s="21" t="n"/>
      <c r="DB515" s="21" t="n"/>
      <c r="DC515" s="21" t="n"/>
      <c r="DD515" s="21" t="n"/>
    </row>
    <row r="516">
      <c r="B516" t="inlineStr">
        <is>
          <t>TSP-049</t>
        </is>
      </c>
      <c r="C516" t="inlineStr">
        <is>
          <t>No. of batches</t>
        </is>
      </c>
      <c r="D516">
        <f>IFERROR(INDEX(E516:DD516,$F$1),"")</f>
        <v/>
      </c>
      <c r="E516">
        <f>IFERROR(INDEX(PP_Grid[#Data],$DE516,2),0)</f>
        <v/>
      </c>
      <c r="F516">
        <f>IFERROR(INDEX(PP_Grid[#Data],$DE516,3),0)</f>
        <v/>
      </c>
      <c r="G516">
        <f>IFERROR(INDEX(PP_Grid[#Data],$DE516,4),0)</f>
        <v/>
      </c>
      <c r="H516">
        <f>IFERROR(INDEX(PP_Grid[#Data],$DE516,5),0)</f>
        <v/>
      </c>
      <c r="I516">
        <f>IFERROR(INDEX(PP_Grid[#Data],$DE516,6),0)</f>
        <v/>
      </c>
      <c r="J516">
        <f>IFERROR(INDEX(PP_Grid[#Data],$DE516,7),0)</f>
        <v/>
      </c>
      <c r="K516">
        <f>IFERROR(INDEX(PP_Grid[#Data],$DE516,8),0)</f>
        <v/>
      </c>
      <c r="L516">
        <f>IFERROR(INDEX(PP_Grid[#Data],$DE516,9),0)</f>
        <v/>
      </c>
      <c r="M516">
        <f>IFERROR(INDEX(PP_Grid[#Data],$DE516,10),0)</f>
        <v/>
      </c>
      <c r="N516">
        <f>IFERROR(INDEX(PP_Grid[#Data],$DE516,11),0)</f>
        <v/>
      </c>
      <c r="O516">
        <f>IFERROR(INDEX(PP_Grid[#Data],$DE516,12),0)</f>
        <v/>
      </c>
      <c r="P516">
        <f>IFERROR(INDEX(PP_Grid[#Data],$DE516,13),0)</f>
        <v/>
      </c>
      <c r="Q516">
        <f>IFERROR(INDEX(PP_Grid[#Data],$DE516,14),0)</f>
        <v/>
      </c>
      <c r="R516">
        <f>IFERROR(INDEX(PP_Grid[#Data],$DE516,15),0)</f>
        <v/>
      </c>
      <c r="S516">
        <f>IFERROR(INDEX(PP_Grid[#Data],$DE516,16),0)</f>
        <v/>
      </c>
      <c r="T516">
        <f>IFERROR(INDEX(PP_Grid[#Data],$DE516,17),0)</f>
        <v/>
      </c>
      <c r="U516">
        <f>IFERROR(INDEX(PP_Grid[#Data],$DE516,18),0)</f>
        <v/>
      </c>
      <c r="V516">
        <f>IFERROR(INDEX(PP_Grid[#Data],$DE516,19),0)</f>
        <v/>
      </c>
      <c r="W516">
        <f>IFERROR(INDEX(PP_Grid[#Data],$DE516,20),0)</f>
        <v/>
      </c>
      <c r="X516">
        <f>IFERROR(INDEX(PP_Grid[#Data],$DE516,21),0)</f>
        <v/>
      </c>
      <c r="Y516">
        <f>IFERROR(INDEX(PP_Grid[#Data],$DE516,22),0)</f>
        <v/>
      </c>
      <c r="Z516">
        <f>IFERROR(INDEX(PP_Grid[#Data],$DE516,23),0)</f>
        <v/>
      </c>
      <c r="AA516">
        <f>IFERROR(INDEX(PP_Grid[#Data],$DE516,24),0)</f>
        <v/>
      </c>
      <c r="AB516">
        <f>IFERROR(INDEX(PP_Grid[#Data],$DE516,25),0)</f>
        <v/>
      </c>
      <c r="AC516">
        <f>IFERROR(INDEX(PP_Grid[#Data],$DE516,26),0)</f>
        <v/>
      </c>
      <c r="AD516">
        <f>IFERROR(INDEX(PP_Grid[#Data],$DE516,27),0)</f>
        <v/>
      </c>
      <c r="AE516">
        <f>IFERROR(INDEX(PP_Grid[#Data],$DE516,28),0)</f>
        <v/>
      </c>
      <c r="AF516">
        <f>IFERROR(INDEX(PP_Grid[#Data],$DE516,29),0)</f>
        <v/>
      </c>
      <c r="AG516">
        <f>IFERROR(INDEX(PP_Grid[#Data],$DE516,30),0)</f>
        <v/>
      </c>
      <c r="AH516">
        <f>IFERROR(INDEX(PP_Grid[#Data],$DE516,31),0)</f>
        <v/>
      </c>
      <c r="AI516">
        <f>IFERROR(INDEX(PP_Grid[#Data],$DE516,32),0)</f>
        <v/>
      </c>
      <c r="AJ516">
        <f>IFERROR(INDEX(PP_Grid[#Data],$DE516,33),0)</f>
        <v/>
      </c>
      <c r="AK516">
        <f>IFERROR(INDEX(PP_Grid[#Data],$DE516,34),0)</f>
        <v/>
      </c>
      <c r="AL516">
        <f>IFERROR(INDEX(PP_Grid[#Data],$DE516,35),0)</f>
        <v/>
      </c>
      <c r="AM516">
        <f>IFERROR(INDEX(PP_Grid[#Data],$DE516,36),0)</f>
        <v/>
      </c>
      <c r="AN516">
        <f>IFERROR(INDEX(PP_Grid[#Data],$DE516,37),0)</f>
        <v/>
      </c>
      <c r="AO516">
        <f>IFERROR(INDEX(PP_Grid[#Data],$DE516,38),0)</f>
        <v/>
      </c>
      <c r="AP516">
        <f>IFERROR(INDEX(PP_Grid[#Data],$DE516,39),0)</f>
        <v/>
      </c>
      <c r="AQ516">
        <f>IFERROR(INDEX(PP_Grid[#Data],$DE516,40),0)</f>
        <v/>
      </c>
      <c r="AR516">
        <f>IFERROR(INDEX(PP_Grid[#Data],$DE516,41),0)</f>
        <v/>
      </c>
      <c r="AS516">
        <f>IFERROR(INDEX(PP_Grid[#Data],$DE516,42),0)</f>
        <v/>
      </c>
      <c r="AT516">
        <f>IFERROR(INDEX(PP_Grid[#Data],$DE516,43),0)</f>
        <v/>
      </c>
      <c r="AU516">
        <f>IFERROR(INDEX(PP_Grid[#Data],$DE516,44),0)</f>
        <v/>
      </c>
      <c r="AV516">
        <f>IFERROR(INDEX(PP_Grid[#Data],$DE516,45),0)</f>
        <v/>
      </c>
      <c r="AW516">
        <f>IFERROR(INDEX(PP_Grid[#Data],$DE516,46),0)</f>
        <v/>
      </c>
      <c r="AX516">
        <f>IFERROR(INDEX(PP_Grid[#Data],$DE516,47),0)</f>
        <v/>
      </c>
      <c r="AY516">
        <f>IFERROR(INDEX(PP_Grid[#Data],$DE516,48),0)</f>
        <v/>
      </c>
      <c r="AZ516">
        <f>IFERROR(INDEX(PP_Grid[#Data],$DE516,49),0)</f>
        <v/>
      </c>
      <c r="BA516">
        <f>IFERROR(INDEX(PP_Grid[#Data],$DE516,50),0)</f>
        <v/>
      </c>
      <c r="BB516">
        <f>IFERROR(INDEX(PP_Grid[#Data],$DE516,51),0)</f>
        <v/>
      </c>
      <c r="BC516">
        <f>IFERROR(INDEX(PP_Grid[#Data],$DE516,52),0)</f>
        <v/>
      </c>
      <c r="BD516">
        <f>IFERROR(INDEX(PP_Grid[#Data],$DE516,53),0)</f>
        <v/>
      </c>
      <c r="BE516">
        <f>IFERROR(INDEX(PP_Grid[#Data],$DE516,54),0)</f>
        <v/>
      </c>
      <c r="BF516">
        <f>IFERROR(INDEX(PP_Grid[#Data],$DE516,55),0)</f>
        <v/>
      </c>
      <c r="BG516">
        <f>IFERROR(INDEX(PP_Grid[#Data],$DE516,56),0)</f>
        <v/>
      </c>
      <c r="BH516">
        <f>IFERROR(INDEX(PP_Grid[#Data],$DE516,57),0)</f>
        <v/>
      </c>
      <c r="BI516">
        <f>IFERROR(INDEX(PP_Grid[#Data],$DE516,58),0)</f>
        <v/>
      </c>
      <c r="BJ516">
        <f>IFERROR(INDEX(PP_Grid[#Data],$DE516,59),0)</f>
        <v/>
      </c>
      <c r="BK516">
        <f>IFERROR(INDEX(PP_Grid[#Data],$DE516,60),0)</f>
        <v/>
      </c>
      <c r="BL516">
        <f>IFERROR(INDEX(PP_Grid[#Data],$DE516,61),0)</f>
        <v/>
      </c>
      <c r="BM516">
        <f>IFERROR(INDEX(PP_Grid[#Data],$DE516,62),0)</f>
        <v/>
      </c>
      <c r="BN516">
        <f>IFERROR(INDEX(PP_Grid[#Data],$DE516,63),0)</f>
        <v/>
      </c>
      <c r="BO516">
        <f>IFERROR(INDEX(PP_Grid[#Data],$DE516,64),0)</f>
        <v/>
      </c>
      <c r="BP516">
        <f>IFERROR(INDEX(PP_Grid[#Data],$DE516,65),0)</f>
        <v/>
      </c>
      <c r="BQ516">
        <f>IFERROR(INDEX(PP_Grid[#Data],$DE516,66),0)</f>
        <v/>
      </c>
      <c r="BR516">
        <f>IFERROR(INDEX(PP_Grid[#Data],$DE516,67),0)</f>
        <v/>
      </c>
      <c r="BS516">
        <f>IFERROR(INDEX(PP_Grid[#Data],$DE516,68),0)</f>
        <v/>
      </c>
      <c r="BT516">
        <f>IFERROR(INDEX(PP_Grid[#Data],$DE516,69),0)</f>
        <v/>
      </c>
      <c r="BU516">
        <f>IFERROR(INDEX(PP_Grid[#Data],$DE516,70),0)</f>
        <v/>
      </c>
      <c r="BV516">
        <f>IFERROR(INDEX(PP_Grid[#Data],$DE516,71),0)</f>
        <v/>
      </c>
      <c r="BW516">
        <f>IFERROR(INDEX(PP_Grid[#Data],$DE516,72),0)</f>
        <v/>
      </c>
      <c r="BX516">
        <f>IFERROR(INDEX(PP_Grid[#Data],$DE516,73),0)</f>
        <v/>
      </c>
      <c r="BY516">
        <f>IFERROR(INDEX(PP_Grid[#Data],$DE516,74),0)</f>
        <v/>
      </c>
      <c r="BZ516">
        <f>IFERROR(INDEX(PP_Grid[#Data],$DE516,75),0)</f>
        <v/>
      </c>
      <c r="CA516">
        <f>IFERROR(INDEX(PP_Grid[#Data],$DE516,76),0)</f>
        <v/>
      </c>
      <c r="CB516">
        <f>IFERROR(INDEX(PP_Grid[#Data],$DE516,77),0)</f>
        <v/>
      </c>
      <c r="CC516">
        <f>IFERROR(INDEX(PP_Grid[#Data],$DE516,78),0)</f>
        <v/>
      </c>
      <c r="CD516">
        <f>IFERROR(INDEX(PP_Grid[#Data],$DE516,79),0)</f>
        <v/>
      </c>
      <c r="CE516">
        <f>IFERROR(INDEX(PP_Grid[#Data],$DE516,80),0)</f>
        <v/>
      </c>
      <c r="CF516">
        <f>IFERROR(INDEX(PP_Grid[#Data],$DE516,81),0)</f>
        <v/>
      </c>
      <c r="CG516">
        <f>IFERROR(INDEX(PP_Grid[#Data],$DE516,82),0)</f>
        <v/>
      </c>
      <c r="CH516">
        <f>IFERROR(INDEX(PP_Grid[#Data],$DE516,83),0)</f>
        <v/>
      </c>
      <c r="CI516">
        <f>IFERROR(INDEX(PP_Grid[#Data],$DE516,84),0)</f>
        <v/>
      </c>
      <c r="CJ516">
        <f>IFERROR(INDEX(PP_Grid[#Data],$DE516,85),0)</f>
        <v/>
      </c>
      <c r="CK516">
        <f>IFERROR(INDEX(PP_Grid[#Data],$DE516,86),0)</f>
        <v/>
      </c>
      <c r="CL516">
        <f>IFERROR(INDEX(PP_Grid[#Data],$DE516,87),0)</f>
        <v/>
      </c>
      <c r="CM516">
        <f>IFERROR(INDEX(PP_Grid[#Data],$DE516,88),0)</f>
        <v/>
      </c>
      <c r="CN516">
        <f>IFERROR(INDEX(PP_Grid[#Data],$DE516,89),0)</f>
        <v/>
      </c>
      <c r="CO516">
        <f>IFERROR(INDEX(PP_Grid[#Data],$DE516,90),0)</f>
        <v/>
      </c>
      <c r="CP516">
        <f>IFERROR(INDEX(PP_Grid[#Data],$DE516,91),0)</f>
        <v/>
      </c>
      <c r="CQ516">
        <f>IFERROR(INDEX(PP_Grid[#Data],$DE516,92),0)</f>
        <v/>
      </c>
      <c r="CR516">
        <f>IFERROR(INDEX(PP_Grid[#Data],$DE516,93),0)</f>
        <v/>
      </c>
      <c r="CS516">
        <f>IFERROR(INDEX(PP_Grid[#Data],$DE516,94),0)</f>
        <v/>
      </c>
      <c r="CT516">
        <f>IFERROR(INDEX(PP_Grid[#Data],$DE516,95),0)</f>
        <v/>
      </c>
      <c r="CU516">
        <f>IFERROR(INDEX(PP_Grid[#Data],$DE516,96),0)</f>
        <v/>
      </c>
      <c r="CV516">
        <f>IFERROR(INDEX(PP_Grid[#Data],$DE516,97),0)</f>
        <v/>
      </c>
      <c r="CW516">
        <f>IFERROR(INDEX(PP_Grid[#Data],$DE516,98),0)</f>
        <v/>
      </c>
      <c r="CX516">
        <f>IFERROR(INDEX(PP_Grid[#Data],$DE516,99),0)</f>
        <v/>
      </c>
      <c r="CY516">
        <f>IFERROR(INDEX(PP_Grid[#Data],$DE516,100),0)</f>
        <v/>
      </c>
      <c r="CZ516">
        <f>IFERROR(INDEX(PP_Grid[#Data],$DE516,101),0)</f>
        <v/>
      </c>
      <c r="DA516">
        <f>IFERROR(INDEX(PP_Grid[#Data],$DE516,102),0)</f>
        <v/>
      </c>
      <c r="DB516">
        <f>IFERROR(INDEX(PP_Grid[#Data],$DE516,103),0)</f>
        <v/>
      </c>
      <c r="DC516">
        <f>IFERROR(INDEX(PP_Grid[#Data],$DE516,104),0)</f>
        <v/>
      </c>
      <c r="DD516">
        <f>IFERROR(INDEX(PP_Grid[#Data],$DE516,105),0)</f>
        <v/>
      </c>
      <c r="DE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SUMIFS(M_BOM[RM_Qty_Per_Batch],M_BOM[Intermediate],$B516,M_BOM[RM_Code],$A515)</f>
        <v/>
      </c>
      <c r="D517">
        <f>IFERROR(INDEX(E517:DD517,$F$1),"")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  <c r="DD517">
        <f>$C517*DD516</f>
        <v/>
      </c>
    </row>
    <row r="518">
      <c r="B518" t="inlineStr">
        <is>
          <t>TSP-067</t>
        </is>
      </c>
      <c r="C518" t="inlineStr">
        <is>
          <t>No. of batches</t>
        </is>
      </c>
      <c r="D518">
        <f>IFERROR(INDEX(E518:DD518,$F$1),"")</f>
        <v/>
      </c>
      <c r="E518">
        <f>IFERROR(INDEX(PP_Grid[#Data],$DE518,2),0)</f>
        <v/>
      </c>
      <c r="F518">
        <f>IFERROR(INDEX(PP_Grid[#Data],$DE518,3),0)</f>
        <v/>
      </c>
      <c r="G518">
        <f>IFERROR(INDEX(PP_Grid[#Data],$DE518,4),0)</f>
        <v/>
      </c>
      <c r="H518">
        <f>IFERROR(INDEX(PP_Grid[#Data],$DE518,5),0)</f>
        <v/>
      </c>
      <c r="I518">
        <f>IFERROR(INDEX(PP_Grid[#Data],$DE518,6),0)</f>
        <v/>
      </c>
      <c r="J518">
        <f>IFERROR(INDEX(PP_Grid[#Data],$DE518,7),0)</f>
        <v/>
      </c>
      <c r="K518">
        <f>IFERROR(INDEX(PP_Grid[#Data],$DE518,8),0)</f>
        <v/>
      </c>
      <c r="L518">
        <f>IFERROR(INDEX(PP_Grid[#Data],$DE518,9),0)</f>
        <v/>
      </c>
      <c r="M518">
        <f>IFERROR(INDEX(PP_Grid[#Data],$DE518,10),0)</f>
        <v/>
      </c>
      <c r="N518">
        <f>IFERROR(INDEX(PP_Grid[#Data],$DE518,11),0)</f>
        <v/>
      </c>
      <c r="O518">
        <f>IFERROR(INDEX(PP_Grid[#Data],$DE518,12),0)</f>
        <v/>
      </c>
      <c r="P518">
        <f>IFERROR(INDEX(PP_Grid[#Data],$DE518,13),0)</f>
        <v/>
      </c>
      <c r="Q518">
        <f>IFERROR(INDEX(PP_Grid[#Data],$DE518,14),0)</f>
        <v/>
      </c>
      <c r="R518">
        <f>IFERROR(INDEX(PP_Grid[#Data],$DE518,15),0)</f>
        <v/>
      </c>
      <c r="S518">
        <f>IFERROR(INDEX(PP_Grid[#Data],$DE518,16),0)</f>
        <v/>
      </c>
      <c r="T518">
        <f>IFERROR(INDEX(PP_Grid[#Data],$DE518,17),0)</f>
        <v/>
      </c>
      <c r="U518">
        <f>IFERROR(INDEX(PP_Grid[#Data],$DE518,18),0)</f>
        <v/>
      </c>
      <c r="V518">
        <f>IFERROR(INDEX(PP_Grid[#Data],$DE518,19),0)</f>
        <v/>
      </c>
      <c r="W518">
        <f>IFERROR(INDEX(PP_Grid[#Data],$DE518,20),0)</f>
        <v/>
      </c>
      <c r="X518">
        <f>IFERROR(INDEX(PP_Grid[#Data],$DE518,21),0)</f>
        <v/>
      </c>
      <c r="Y518">
        <f>IFERROR(INDEX(PP_Grid[#Data],$DE518,22),0)</f>
        <v/>
      </c>
      <c r="Z518">
        <f>IFERROR(INDEX(PP_Grid[#Data],$DE518,23),0)</f>
        <v/>
      </c>
      <c r="AA518">
        <f>IFERROR(INDEX(PP_Grid[#Data],$DE518,24),0)</f>
        <v/>
      </c>
      <c r="AB518">
        <f>IFERROR(INDEX(PP_Grid[#Data],$DE518,25),0)</f>
        <v/>
      </c>
      <c r="AC518">
        <f>IFERROR(INDEX(PP_Grid[#Data],$DE518,26),0)</f>
        <v/>
      </c>
      <c r="AD518">
        <f>IFERROR(INDEX(PP_Grid[#Data],$DE518,27),0)</f>
        <v/>
      </c>
      <c r="AE518">
        <f>IFERROR(INDEX(PP_Grid[#Data],$DE518,28),0)</f>
        <v/>
      </c>
      <c r="AF518">
        <f>IFERROR(INDEX(PP_Grid[#Data],$DE518,29),0)</f>
        <v/>
      </c>
      <c r="AG518">
        <f>IFERROR(INDEX(PP_Grid[#Data],$DE518,30),0)</f>
        <v/>
      </c>
      <c r="AH518">
        <f>IFERROR(INDEX(PP_Grid[#Data],$DE518,31),0)</f>
        <v/>
      </c>
      <c r="AI518">
        <f>IFERROR(INDEX(PP_Grid[#Data],$DE518,32),0)</f>
        <v/>
      </c>
      <c r="AJ518">
        <f>IFERROR(INDEX(PP_Grid[#Data],$DE518,33),0)</f>
        <v/>
      </c>
      <c r="AK518">
        <f>IFERROR(INDEX(PP_Grid[#Data],$DE518,34),0)</f>
        <v/>
      </c>
      <c r="AL518">
        <f>IFERROR(INDEX(PP_Grid[#Data],$DE518,35),0)</f>
        <v/>
      </c>
      <c r="AM518">
        <f>IFERROR(INDEX(PP_Grid[#Data],$DE518,36),0)</f>
        <v/>
      </c>
      <c r="AN518">
        <f>IFERROR(INDEX(PP_Grid[#Data],$DE518,37),0)</f>
        <v/>
      </c>
      <c r="AO518">
        <f>IFERROR(INDEX(PP_Grid[#Data],$DE518,38),0)</f>
        <v/>
      </c>
      <c r="AP518">
        <f>IFERROR(INDEX(PP_Grid[#Data],$DE518,39),0)</f>
        <v/>
      </c>
      <c r="AQ518">
        <f>IFERROR(INDEX(PP_Grid[#Data],$DE518,40),0)</f>
        <v/>
      </c>
      <c r="AR518">
        <f>IFERROR(INDEX(PP_Grid[#Data],$DE518,41),0)</f>
        <v/>
      </c>
      <c r="AS518">
        <f>IFERROR(INDEX(PP_Grid[#Data],$DE518,42),0)</f>
        <v/>
      </c>
      <c r="AT518">
        <f>IFERROR(INDEX(PP_Grid[#Data],$DE518,43),0)</f>
        <v/>
      </c>
      <c r="AU518">
        <f>IFERROR(INDEX(PP_Grid[#Data],$DE518,44),0)</f>
        <v/>
      </c>
      <c r="AV518">
        <f>IFERROR(INDEX(PP_Grid[#Data],$DE518,45),0)</f>
        <v/>
      </c>
      <c r="AW518">
        <f>IFERROR(INDEX(PP_Grid[#Data],$DE518,46),0)</f>
        <v/>
      </c>
      <c r="AX518">
        <f>IFERROR(INDEX(PP_Grid[#Data],$DE518,47),0)</f>
        <v/>
      </c>
      <c r="AY518">
        <f>IFERROR(INDEX(PP_Grid[#Data],$DE518,48),0)</f>
        <v/>
      </c>
      <c r="AZ518">
        <f>IFERROR(INDEX(PP_Grid[#Data],$DE518,49),0)</f>
        <v/>
      </c>
      <c r="BA518">
        <f>IFERROR(INDEX(PP_Grid[#Data],$DE518,50),0)</f>
        <v/>
      </c>
      <c r="BB518">
        <f>IFERROR(INDEX(PP_Grid[#Data],$DE518,51),0)</f>
        <v/>
      </c>
      <c r="BC518">
        <f>IFERROR(INDEX(PP_Grid[#Data],$DE518,52),0)</f>
        <v/>
      </c>
      <c r="BD518">
        <f>IFERROR(INDEX(PP_Grid[#Data],$DE518,53),0)</f>
        <v/>
      </c>
      <c r="BE518">
        <f>IFERROR(INDEX(PP_Grid[#Data],$DE518,54),0)</f>
        <v/>
      </c>
      <c r="BF518">
        <f>IFERROR(INDEX(PP_Grid[#Data],$DE518,55),0)</f>
        <v/>
      </c>
      <c r="BG518">
        <f>IFERROR(INDEX(PP_Grid[#Data],$DE518,56),0)</f>
        <v/>
      </c>
      <c r="BH518">
        <f>IFERROR(INDEX(PP_Grid[#Data],$DE518,57),0)</f>
        <v/>
      </c>
      <c r="BI518">
        <f>IFERROR(INDEX(PP_Grid[#Data],$DE518,58),0)</f>
        <v/>
      </c>
      <c r="BJ518">
        <f>IFERROR(INDEX(PP_Grid[#Data],$DE518,59),0)</f>
        <v/>
      </c>
      <c r="BK518">
        <f>IFERROR(INDEX(PP_Grid[#Data],$DE518,60),0)</f>
        <v/>
      </c>
      <c r="BL518">
        <f>IFERROR(INDEX(PP_Grid[#Data],$DE518,61),0)</f>
        <v/>
      </c>
      <c r="BM518">
        <f>IFERROR(INDEX(PP_Grid[#Data],$DE518,62),0)</f>
        <v/>
      </c>
      <c r="BN518">
        <f>IFERROR(INDEX(PP_Grid[#Data],$DE518,63),0)</f>
        <v/>
      </c>
      <c r="BO518">
        <f>IFERROR(INDEX(PP_Grid[#Data],$DE518,64),0)</f>
        <v/>
      </c>
      <c r="BP518">
        <f>IFERROR(INDEX(PP_Grid[#Data],$DE518,65),0)</f>
        <v/>
      </c>
      <c r="BQ518">
        <f>IFERROR(INDEX(PP_Grid[#Data],$DE518,66),0)</f>
        <v/>
      </c>
      <c r="BR518">
        <f>IFERROR(INDEX(PP_Grid[#Data],$DE518,67),0)</f>
        <v/>
      </c>
      <c r="BS518">
        <f>IFERROR(INDEX(PP_Grid[#Data],$DE518,68),0)</f>
        <v/>
      </c>
      <c r="BT518">
        <f>IFERROR(INDEX(PP_Grid[#Data],$DE518,69),0)</f>
        <v/>
      </c>
      <c r="BU518">
        <f>IFERROR(INDEX(PP_Grid[#Data],$DE518,70),0)</f>
        <v/>
      </c>
      <c r="BV518">
        <f>IFERROR(INDEX(PP_Grid[#Data],$DE518,71),0)</f>
        <v/>
      </c>
      <c r="BW518">
        <f>IFERROR(INDEX(PP_Grid[#Data],$DE518,72),0)</f>
        <v/>
      </c>
      <c r="BX518">
        <f>IFERROR(INDEX(PP_Grid[#Data],$DE518,73),0)</f>
        <v/>
      </c>
      <c r="BY518">
        <f>IFERROR(INDEX(PP_Grid[#Data],$DE518,74),0)</f>
        <v/>
      </c>
      <c r="BZ518">
        <f>IFERROR(INDEX(PP_Grid[#Data],$DE518,75),0)</f>
        <v/>
      </c>
      <c r="CA518">
        <f>IFERROR(INDEX(PP_Grid[#Data],$DE518,76),0)</f>
        <v/>
      </c>
      <c r="CB518">
        <f>IFERROR(INDEX(PP_Grid[#Data],$DE518,77),0)</f>
        <v/>
      </c>
      <c r="CC518">
        <f>IFERROR(INDEX(PP_Grid[#Data],$DE518,78),0)</f>
        <v/>
      </c>
      <c r="CD518">
        <f>IFERROR(INDEX(PP_Grid[#Data],$DE518,79),0)</f>
        <v/>
      </c>
      <c r="CE518">
        <f>IFERROR(INDEX(PP_Grid[#Data],$DE518,80),0)</f>
        <v/>
      </c>
      <c r="CF518">
        <f>IFERROR(INDEX(PP_Grid[#Data],$DE518,81),0)</f>
        <v/>
      </c>
      <c r="CG518">
        <f>IFERROR(INDEX(PP_Grid[#Data],$DE518,82),0)</f>
        <v/>
      </c>
      <c r="CH518">
        <f>IFERROR(INDEX(PP_Grid[#Data],$DE518,83),0)</f>
        <v/>
      </c>
      <c r="CI518">
        <f>IFERROR(INDEX(PP_Grid[#Data],$DE518,84),0)</f>
        <v/>
      </c>
      <c r="CJ518">
        <f>IFERROR(INDEX(PP_Grid[#Data],$DE518,85),0)</f>
        <v/>
      </c>
      <c r="CK518">
        <f>IFERROR(INDEX(PP_Grid[#Data],$DE518,86),0)</f>
        <v/>
      </c>
      <c r="CL518">
        <f>IFERROR(INDEX(PP_Grid[#Data],$DE518,87),0)</f>
        <v/>
      </c>
      <c r="CM518">
        <f>IFERROR(INDEX(PP_Grid[#Data],$DE518,88),0)</f>
        <v/>
      </c>
      <c r="CN518">
        <f>IFERROR(INDEX(PP_Grid[#Data],$DE518,89),0)</f>
        <v/>
      </c>
      <c r="CO518">
        <f>IFERROR(INDEX(PP_Grid[#Data],$DE518,90),0)</f>
        <v/>
      </c>
      <c r="CP518">
        <f>IFERROR(INDEX(PP_Grid[#Data],$DE518,91),0)</f>
        <v/>
      </c>
      <c r="CQ518">
        <f>IFERROR(INDEX(PP_Grid[#Data],$DE518,92),0)</f>
        <v/>
      </c>
      <c r="CR518">
        <f>IFERROR(INDEX(PP_Grid[#Data],$DE518,93),0)</f>
        <v/>
      </c>
      <c r="CS518">
        <f>IFERROR(INDEX(PP_Grid[#Data],$DE518,94),0)</f>
        <v/>
      </c>
      <c r="CT518">
        <f>IFERROR(INDEX(PP_Grid[#Data],$DE518,95),0)</f>
        <v/>
      </c>
      <c r="CU518">
        <f>IFERROR(INDEX(PP_Grid[#Data],$DE518,96),0)</f>
        <v/>
      </c>
      <c r="CV518">
        <f>IFERROR(INDEX(PP_Grid[#Data],$DE518,97),0)</f>
        <v/>
      </c>
      <c r="CW518">
        <f>IFERROR(INDEX(PP_Grid[#Data],$DE518,98),0)</f>
        <v/>
      </c>
      <c r="CX518">
        <f>IFERROR(INDEX(PP_Grid[#Data],$DE518,99),0)</f>
        <v/>
      </c>
      <c r="CY518">
        <f>IFERROR(INDEX(PP_Grid[#Data],$DE518,100),0)</f>
        <v/>
      </c>
      <c r="CZ518">
        <f>IFERROR(INDEX(PP_Grid[#Data],$DE518,101),0)</f>
        <v/>
      </c>
      <c r="DA518">
        <f>IFERROR(INDEX(PP_Grid[#Data],$DE518,102),0)</f>
        <v/>
      </c>
      <c r="DB518">
        <f>IFERROR(INDEX(PP_Grid[#Data],$DE518,103),0)</f>
        <v/>
      </c>
      <c r="DC518">
        <f>IFERROR(INDEX(PP_Grid[#Data],$DE518,104),0)</f>
        <v/>
      </c>
      <c r="DD518">
        <f>IFERROR(INDEX(PP_Grid[#Data],$DE518,105),0)</f>
        <v/>
      </c>
      <c r="DE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SUMIFS(M_BOM[RM_Qty_Per_Batch],M_BOM[Intermediate],$B518,M_BOM[RM_Code],$A515)</f>
        <v/>
      </c>
      <c r="D519">
        <f>IFERROR(INDEX(E519:DD519,$F$1),"")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  <c r="DD519">
        <f>$C519*DD518</f>
        <v/>
      </c>
    </row>
    <row r="520">
      <c r="B520" t="inlineStr">
        <is>
          <t>TSP-069</t>
        </is>
      </c>
      <c r="C520" t="inlineStr">
        <is>
          <t>No. of batches</t>
        </is>
      </c>
      <c r="D520">
        <f>IFERROR(INDEX(E520:DD520,$F$1),"")</f>
        <v/>
      </c>
      <c r="E520">
        <f>IFERROR(INDEX(PP_Grid[#Data],$DE520,2),0)</f>
        <v/>
      </c>
      <c r="F520">
        <f>IFERROR(INDEX(PP_Grid[#Data],$DE520,3),0)</f>
        <v/>
      </c>
      <c r="G520">
        <f>IFERROR(INDEX(PP_Grid[#Data],$DE520,4),0)</f>
        <v/>
      </c>
      <c r="H520">
        <f>IFERROR(INDEX(PP_Grid[#Data],$DE520,5),0)</f>
        <v/>
      </c>
      <c r="I520">
        <f>IFERROR(INDEX(PP_Grid[#Data],$DE520,6),0)</f>
        <v/>
      </c>
      <c r="J520">
        <f>IFERROR(INDEX(PP_Grid[#Data],$DE520,7),0)</f>
        <v/>
      </c>
      <c r="K520">
        <f>IFERROR(INDEX(PP_Grid[#Data],$DE520,8),0)</f>
        <v/>
      </c>
      <c r="L520">
        <f>IFERROR(INDEX(PP_Grid[#Data],$DE520,9),0)</f>
        <v/>
      </c>
      <c r="M520">
        <f>IFERROR(INDEX(PP_Grid[#Data],$DE520,10),0)</f>
        <v/>
      </c>
      <c r="N520">
        <f>IFERROR(INDEX(PP_Grid[#Data],$DE520,11),0)</f>
        <v/>
      </c>
      <c r="O520">
        <f>IFERROR(INDEX(PP_Grid[#Data],$DE520,12),0)</f>
        <v/>
      </c>
      <c r="P520">
        <f>IFERROR(INDEX(PP_Grid[#Data],$DE520,13),0)</f>
        <v/>
      </c>
      <c r="Q520">
        <f>IFERROR(INDEX(PP_Grid[#Data],$DE520,14),0)</f>
        <v/>
      </c>
      <c r="R520">
        <f>IFERROR(INDEX(PP_Grid[#Data],$DE520,15),0)</f>
        <v/>
      </c>
      <c r="S520">
        <f>IFERROR(INDEX(PP_Grid[#Data],$DE520,16),0)</f>
        <v/>
      </c>
      <c r="T520">
        <f>IFERROR(INDEX(PP_Grid[#Data],$DE520,17),0)</f>
        <v/>
      </c>
      <c r="U520">
        <f>IFERROR(INDEX(PP_Grid[#Data],$DE520,18),0)</f>
        <v/>
      </c>
      <c r="V520">
        <f>IFERROR(INDEX(PP_Grid[#Data],$DE520,19),0)</f>
        <v/>
      </c>
      <c r="W520">
        <f>IFERROR(INDEX(PP_Grid[#Data],$DE520,20),0)</f>
        <v/>
      </c>
      <c r="X520">
        <f>IFERROR(INDEX(PP_Grid[#Data],$DE520,21),0)</f>
        <v/>
      </c>
      <c r="Y520">
        <f>IFERROR(INDEX(PP_Grid[#Data],$DE520,22),0)</f>
        <v/>
      </c>
      <c r="Z520">
        <f>IFERROR(INDEX(PP_Grid[#Data],$DE520,23),0)</f>
        <v/>
      </c>
      <c r="AA520">
        <f>IFERROR(INDEX(PP_Grid[#Data],$DE520,24),0)</f>
        <v/>
      </c>
      <c r="AB520">
        <f>IFERROR(INDEX(PP_Grid[#Data],$DE520,25),0)</f>
        <v/>
      </c>
      <c r="AC520">
        <f>IFERROR(INDEX(PP_Grid[#Data],$DE520,26),0)</f>
        <v/>
      </c>
      <c r="AD520">
        <f>IFERROR(INDEX(PP_Grid[#Data],$DE520,27),0)</f>
        <v/>
      </c>
      <c r="AE520">
        <f>IFERROR(INDEX(PP_Grid[#Data],$DE520,28),0)</f>
        <v/>
      </c>
      <c r="AF520">
        <f>IFERROR(INDEX(PP_Grid[#Data],$DE520,29),0)</f>
        <v/>
      </c>
      <c r="AG520">
        <f>IFERROR(INDEX(PP_Grid[#Data],$DE520,30),0)</f>
        <v/>
      </c>
      <c r="AH520">
        <f>IFERROR(INDEX(PP_Grid[#Data],$DE520,31),0)</f>
        <v/>
      </c>
      <c r="AI520">
        <f>IFERROR(INDEX(PP_Grid[#Data],$DE520,32),0)</f>
        <v/>
      </c>
      <c r="AJ520">
        <f>IFERROR(INDEX(PP_Grid[#Data],$DE520,33),0)</f>
        <v/>
      </c>
      <c r="AK520">
        <f>IFERROR(INDEX(PP_Grid[#Data],$DE520,34),0)</f>
        <v/>
      </c>
      <c r="AL520">
        <f>IFERROR(INDEX(PP_Grid[#Data],$DE520,35),0)</f>
        <v/>
      </c>
      <c r="AM520">
        <f>IFERROR(INDEX(PP_Grid[#Data],$DE520,36),0)</f>
        <v/>
      </c>
      <c r="AN520">
        <f>IFERROR(INDEX(PP_Grid[#Data],$DE520,37),0)</f>
        <v/>
      </c>
      <c r="AO520">
        <f>IFERROR(INDEX(PP_Grid[#Data],$DE520,38),0)</f>
        <v/>
      </c>
      <c r="AP520">
        <f>IFERROR(INDEX(PP_Grid[#Data],$DE520,39),0)</f>
        <v/>
      </c>
      <c r="AQ520">
        <f>IFERROR(INDEX(PP_Grid[#Data],$DE520,40),0)</f>
        <v/>
      </c>
      <c r="AR520">
        <f>IFERROR(INDEX(PP_Grid[#Data],$DE520,41),0)</f>
        <v/>
      </c>
      <c r="AS520">
        <f>IFERROR(INDEX(PP_Grid[#Data],$DE520,42),0)</f>
        <v/>
      </c>
      <c r="AT520">
        <f>IFERROR(INDEX(PP_Grid[#Data],$DE520,43),0)</f>
        <v/>
      </c>
      <c r="AU520">
        <f>IFERROR(INDEX(PP_Grid[#Data],$DE520,44),0)</f>
        <v/>
      </c>
      <c r="AV520">
        <f>IFERROR(INDEX(PP_Grid[#Data],$DE520,45),0)</f>
        <v/>
      </c>
      <c r="AW520">
        <f>IFERROR(INDEX(PP_Grid[#Data],$DE520,46),0)</f>
        <v/>
      </c>
      <c r="AX520">
        <f>IFERROR(INDEX(PP_Grid[#Data],$DE520,47),0)</f>
        <v/>
      </c>
      <c r="AY520">
        <f>IFERROR(INDEX(PP_Grid[#Data],$DE520,48),0)</f>
        <v/>
      </c>
      <c r="AZ520">
        <f>IFERROR(INDEX(PP_Grid[#Data],$DE520,49),0)</f>
        <v/>
      </c>
      <c r="BA520">
        <f>IFERROR(INDEX(PP_Grid[#Data],$DE520,50),0)</f>
        <v/>
      </c>
      <c r="BB520">
        <f>IFERROR(INDEX(PP_Grid[#Data],$DE520,51),0)</f>
        <v/>
      </c>
      <c r="BC520">
        <f>IFERROR(INDEX(PP_Grid[#Data],$DE520,52),0)</f>
        <v/>
      </c>
      <c r="BD520">
        <f>IFERROR(INDEX(PP_Grid[#Data],$DE520,53),0)</f>
        <v/>
      </c>
      <c r="BE520">
        <f>IFERROR(INDEX(PP_Grid[#Data],$DE520,54),0)</f>
        <v/>
      </c>
      <c r="BF520">
        <f>IFERROR(INDEX(PP_Grid[#Data],$DE520,55),0)</f>
        <v/>
      </c>
      <c r="BG520">
        <f>IFERROR(INDEX(PP_Grid[#Data],$DE520,56),0)</f>
        <v/>
      </c>
      <c r="BH520">
        <f>IFERROR(INDEX(PP_Grid[#Data],$DE520,57),0)</f>
        <v/>
      </c>
      <c r="BI520">
        <f>IFERROR(INDEX(PP_Grid[#Data],$DE520,58),0)</f>
        <v/>
      </c>
      <c r="BJ520">
        <f>IFERROR(INDEX(PP_Grid[#Data],$DE520,59),0)</f>
        <v/>
      </c>
      <c r="BK520">
        <f>IFERROR(INDEX(PP_Grid[#Data],$DE520,60),0)</f>
        <v/>
      </c>
      <c r="BL520">
        <f>IFERROR(INDEX(PP_Grid[#Data],$DE520,61),0)</f>
        <v/>
      </c>
      <c r="BM520">
        <f>IFERROR(INDEX(PP_Grid[#Data],$DE520,62),0)</f>
        <v/>
      </c>
      <c r="BN520">
        <f>IFERROR(INDEX(PP_Grid[#Data],$DE520,63),0)</f>
        <v/>
      </c>
      <c r="BO520">
        <f>IFERROR(INDEX(PP_Grid[#Data],$DE520,64),0)</f>
        <v/>
      </c>
      <c r="BP520">
        <f>IFERROR(INDEX(PP_Grid[#Data],$DE520,65),0)</f>
        <v/>
      </c>
      <c r="BQ520">
        <f>IFERROR(INDEX(PP_Grid[#Data],$DE520,66),0)</f>
        <v/>
      </c>
      <c r="BR520">
        <f>IFERROR(INDEX(PP_Grid[#Data],$DE520,67),0)</f>
        <v/>
      </c>
      <c r="BS520">
        <f>IFERROR(INDEX(PP_Grid[#Data],$DE520,68),0)</f>
        <v/>
      </c>
      <c r="BT520">
        <f>IFERROR(INDEX(PP_Grid[#Data],$DE520,69),0)</f>
        <v/>
      </c>
      <c r="BU520">
        <f>IFERROR(INDEX(PP_Grid[#Data],$DE520,70),0)</f>
        <v/>
      </c>
      <c r="BV520">
        <f>IFERROR(INDEX(PP_Grid[#Data],$DE520,71),0)</f>
        <v/>
      </c>
      <c r="BW520">
        <f>IFERROR(INDEX(PP_Grid[#Data],$DE520,72),0)</f>
        <v/>
      </c>
      <c r="BX520">
        <f>IFERROR(INDEX(PP_Grid[#Data],$DE520,73),0)</f>
        <v/>
      </c>
      <c r="BY520">
        <f>IFERROR(INDEX(PP_Grid[#Data],$DE520,74),0)</f>
        <v/>
      </c>
      <c r="BZ520">
        <f>IFERROR(INDEX(PP_Grid[#Data],$DE520,75),0)</f>
        <v/>
      </c>
      <c r="CA520">
        <f>IFERROR(INDEX(PP_Grid[#Data],$DE520,76),0)</f>
        <v/>
      </c>
      <c r="CB520">
        <f>IFERROR(INDEX(PP_Grid[#Data],$DE520,77),0)</f>
        <v/>
      </c>
      <c r="CC520">
        <f>IFERROR(INDEX(PP_Grid[#Data],$DE520,78),0)</f>
        <v/>
      </c>
      <c r="CD520">
        <f>IFERROR(INDEX(PP_Grid[#Data],$DE520,79),0)</f>
        <v/>
      </c>
      <c r="CE520">
        <f>IFERROR(INDEX(PP_Grid[#Data],$DE520,80),0)</f>
        <v/>
      </c>
      <c r="CF520">
        <f>IFERROR(INDEX(PP_Grid[#Data],$DE520,81),0)</f>
        <v/>
      </c>
      <c r="CG520">
        <f>IFERROR(INDEX(PP_Grid[#Data],$DE520,82),0)</f>
        <v/>
      </c>
      <c r="CH520">
        <f>IFERROR(INDEX(PP_Grid[#Data],$DE520,83),0)</f>
        <v/>
      </c>
      <c r="CI520">
        <f>IFERROR(INDEX(PP_Grid[#Data],$DE520,84),0)</f>
        <v/>
      </c>
      <c r="CJ520">
        <f>IFERROR(INDEX(PP_Grid[#Data],$DE520,85),0)</f>
        <v/>
      </c>
      <c r="CK520">
        <f>IFERROR(INDEX(PP_Grid[#Data],$DE520,86),0)</f>
        <v/>
      </c>
      <c r="CL520">
        <f>IFERROR(INDEX(PP_Grid[#Data],$DE520,87),0)</f>
        <v/>
      </c>
      <c r="CM520">
        <f>IFERROR(INDEX(PP_Grid[#Data],$DE520,88),0)</f>
        <v/>
      </c>
      <c r="CN520">
        <f>IFERROR(INDEX(PP_Grid[#Data],$DE520,89),0)</f>
        <v/>
      </c>
      <c r="CO520">
        <f>IFERROR(INDEX(PP_Grid[#Data],$DE520,90),0)</f>
        <v/>
      </c>
      <c r="CP520">
        <f>IFERROR(INDEX(PP_Grid[#Data],$DE520,91),0)</f>
        <v/>
      </c>
      <c r="CQ520">
        <f>IFERROR(INDEX(PP_Grid[#Data],$DE520,92),0)</f>
        <v/>
      </c>
      <c r="CR520">
        <f>IFERROR(INDEX(PP_Grid[#Data],$DE520,93),0)</f>
        <v/>
      </c>
      <c r="CS520">
        <f>IFERROR(INDEX(PP_Grid[#Data],$DE520,94),0)</f>
        <v/>
      </c>
      <c r="CT520">
        <f>IFERROR(INDEX(PP_Grid[#Data],$DE520,95),0)</f>
        <v/>
      </c>
      <c r="CU520">
        <f>IFERROR(INDEX(PP_Grid[#Data],$DE520,96),0)</f>
        <v/>
      </c>
      <c r="CV520">
        <f>IFERROR(INDEX(PP_Grid[#Data],$DE520,97),0)</f>
        <v/>
      </c>
      <c r="CW520">
        <f>IFERROR(INDEX(PP_Grid[#Data],$DE520,98),0)</f>
        <v/>
      </c>
      <c r="CX520">
        <f>IFERROR(INDEX(PP_Grid[#Data],$DE520,99),0)</f>
        <v/>
      </c>
      <c r="CY520">
        <f>IFERROR(INDEX(PP_Grid[#Data],$DE520,100),0)</f>
        <v/>
      </c>
      <c r="CZ520">
        <f>IFERROR(INDEX(PP_Grid[#Data],$DE520,101),0)</f>
        <v/>
      </c>
      <c r="DA520">
        <f>IFERROR(INDEX(PP_Grid[#Data],$DE520,102),0)</f>
        <v/>
      </c>
      <c r="DB520">
        <f>IFERROR(INDEX(PP_Grid[#Data],$DE520,103),0)</f>
        <v/>
      </c>
      <c r="DC520">
        <f>IFERROR(INDEX(PP_Grid[#Data],$DE520,104),0)</f>
        <v/>
      </c>
      <c r="DD520">
        <f>IFERROR(INDEX(PP_Grid[#Data],$DE520,105),0)</f>
        <v/>
      </c>
      <c r="DE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SUMIFS(M_BOM[RM_Qty_Per_Batch],M_BOM[Intermediate],$B520,M_BOM[RM_Code],$A515)</f>
        <v/>
      </c>
      <c r="D521">
        <f>IFERROR(INDEX(E521:DD521,$F$1),"")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  <c r="DD521">
        <f>$C521*DD520</f>
        <v/>
      </c>
    </row>
    <row r="522">
      <c r="B522" t="inlineStr">
        <is>
          <t>TSP-077</t>
        </is>
      </c>
      <c r="C522" t="inlineStr">
        <is>
          <t>No. of batches</t>
        </is>
      </c>
      <c r="D522">
        <f>IFERROR(INDEX(E522:DD522,$F$1),"")</f>
        <v/>
      </c>
      <c r="E522">
        <f>IFERROR(INDEX(PP_Grid[#Data],$DE522,2),0)</f>
        <v/>
      </c>
      <c r="F522">
        <f>IFERROR(INDEX(PP_Grid[#Data],$DE522,3),0)</f>
        <v/>
      </c>
      <c r="G522">
        <f>IFERROR(INDEX(PP_Grid[#Data],$DE522,4),0)</f>
        <v/>
      </c>
      <c r="H522">
        <f>IFERROR(INDEX(PP_Grid[#Data],$DE522,5),0)</f>
        <v/>
      </c>
      <c r="I522">
        <f>IFERROR(INDEX(PP_Grid[#Data],$DE522,6),0)</f>
        <v/>
      </c>
      <c r="J522">
        <f>IFERROR(INDEX(PP_Grid[#Data],$DE522,7),0)</f>
        <v/>
      </c>
      <c r="K522">
        <f>IFERROR(INDEX(PP_Grid[#Data],$DE522,8),0)</f>
        <v/>
      </c>
      <c r="L522">
        <f>IFERROR(INDEX(PP_Grid[#Data],$DE522,9),0)</f>
        <v/>
      </c>
      <c r="M522">
        <f>IFERROR(INDEX(PP_Grid[#Data],$DE522,10),0)</f>
        <v/>
      </c>
      <c r="N522">
        <f>IFERROR(INDEX(PP_Grid[#Data],$DE522,11),0)</f>
        <v/>
      </c>
      <c r="O522">
        <f>IFERROR(INDEX(PP_Grid[#Data],$DE522,12),0)</f>
        <v/>
      </c>
      <c r="P522">
        <f>IFERROR(INDEX(PP_Grid[#Data],$DE522,13),0)</f>
        <v/>
      </c>
      <c r="Q522">
        <f>IFERROR(INDEX(PP_Grid[#Data],$DE522,14),0)</f>
        <v/>
      </c>
      <c r="R522">
        <f>IFERROR(INDEX(PP_Grid[#Data],$DE522,15),0)</f>
        <v/>
      </c>
      <c r="S522">
        <f>IFERROR(INDEX(PP_Grid[#Data],$DE522,16),0)</f>
        <v/>
      </c>
      <c r="T522">
        <f>IFERROR(INDEX(PP_Grid[#Data],$DE522,17),0)</f>
        <v/>
      </c>
      <c r="U522">
        <f>IFERROR(INDEX(PP_Grid[#Data],$DE522,18),0)</f>
        <v/>
      </c>
      <c r="V522">
        <f>IFERROR(INDEX(PP_Grid[#Data],$DE522,19),0)</f>
        <v/>
      </c>
      <c r="W522">
        <f>IFERROR(INDEX(PP_Grid[#Data],$DE522,20),0)</f>
        <v/>
      </c>
      <c r="X522">
        <f>IFERROR(INDEX(PP_Grid[#Data],$DE522,21),0)</f>
        <v/>
      </c>
      <c r="Y522">
        <f>IFERROR(INDEX(PP_Grid[#Data],$DE522,22),0)</f>
        <v/>
      </c>
      <c r="Z522">
        <f>IFERROR(INDEX(PP_Grid[#Data],$DE522,23),0)</f>
        <v/>
      </c>
      <c r="AA522">
        <f>IFERROR(INDEX(PP_Grid[#Data],$DE522,24),0)</f>
        <v/>
      </c>
      <c r="AB522">
        <f>IFERROR(INDEX(PP_Grid[#Data],$DE522,25),0)</f>
        <v/>
      </c>
      <c r="AC522">
        <f>IFERROR(INDEX(PP_Grid[#Data],$DE522,26),0)</f>
        <v/>
      </c>
      <c r="AD522">
        <f>IFERROR(INDEX(PP_Grid[#Data],$DE522,27),0)</f>
        <v/>
      </c>
      <c r="AE522">
        <f>IFERROR(INDEX(PP_Grid[#Data],$DE522,28),0)</f>
        <v/>
      </c>
      <c r="AF522">
        <f>IFERROR(INDEX(PP_Grid[#Data],$DE522,29),0)</f>
        <v/>
      </c>
      <c r="AG522">
        <f>IFERROR(INDEX(PP_Grid[#Data],$DE522,30),0)</f>
        <v/>
      </c>
      <c r="AH522">
        <f>IFERROR(INDEX(PP_Grid[#Data],$DE522,31),0)</f>
        <v/>
      </c>
      <c r="AI522">
        <f>IFERROR(INDEX(PP_Grid[#Data],$DE522,32),0)</f>
        <v/>
      </c>
      <c r="AJ522">
        <f>IFERROR(INDEX(PP_Grid[#Data],$DE522,33),0)</f>
        <v/>
      </c>
      <c r="AK522">
        <f>IFERROR(INDEX(PP_Grid[#Data],$DE522,34),0)</f>
        <v/>
      </c>
      <c r="AL522">
        <f>IFERROR(INDEX(PP_Grid[#Data],$DE522,35),0)</f>
        <v/>
      </c>
      <c r="AM522">
        <f>IFERROR(INDEX(PP_Grid[#Data],$DE522,36),0)</f>
        <v/>
      </c>
      <c r="AN522">
        <f>IFERROR(INDEX(PP_Grid[#Data],$DE522,37),0)</f>
        <v/>
      </c>
      <c r="AO522">
        <f>IFERROR(INDEX(PP_Grid[#Data],$DE522,38),0)</f>
        <v/>
      </c>
      <c r="AP522">
        <f>IFERROR(INDEX(PP_Grid[#Data],$DE522,39),0)</f>
        <v/>
      </c>
      <c r="AQ522">
        <f>IFERROR(INDEX(PP_Grid[#Data],$DE522,40),0)</f>
        <v/>
      </c>
      <c r="AR522">
        <f>IFERROR(INDEX(PP_Grid[#Data],$DE522,41),0)</f>
        <v/>
      </c>
      <c r="AS522">
        <f>IFERROR(INDEX(PP_Grid[#Data],$DE522,42),0)</f>
        <v/>
      </c>
      <c r="AT522">
        <f>IFERROR(INDEX(PP_Grid[#Data],$DE522,43),0)</f>
        <v/>
      </c>
      <c r="AU522">
        <f>IFERROR(INDEX(PP_Grid[#Data],$DE522,44),0)</f>
        <v/>
      </c>
      <c r="AV522">
        <f>IFERROR(INDEX(PP_Grid[#Data],$DE522,45),0)</f>
        <v/>
      </c>
      <c r="AW522">
        <f>IFERROR(INDEX(PP_Grid[#Data],$DE522,46),0)</f>
        <v/>
      </c>
      <c r="AX522">
        <f>IFERROR(INDEX(PP_Grid[#Data],$DE522,47),0)</f>
        <v/>
      </c>
      <c r="AY522">
        <f>IFERROR(INDEX(PP_Grid[#Data],$DE522,48),0)</f>
        <v/>
      </c>
      <c r="AZ522">
        <f>IFERROR(INDEX(PP_Grid[#Data],$DE522,49),0)</f>
        <v/>
      </c>
      <c r="BA522">
        <f>IFERROR(INDEX(PP_Grid[#Data],$DE522,50),0)</f>
        <v/>
      </c>
      <c r="BB522">
        <f>IFERROR(INDEX(PP_Grid[#Data],$DE522,51),0)</f>
        <v/>
      </c>
      <c r="BC522">
        <f>IFERROR(INDEX(PP_Grid[#Data],$DE522,52),0)</f>
        <v/>
      </c>
      <c r="BD522">
        <f>IFERROR(INDEX(PP_Grid[#Data],$DE522,53),0)</f>
        <v/>
      </c>
      <c r="BE522">
        <f>IFERROR(INDEX(PP_Grid[#Data],$DE522,54),0)</f>
        <v/>
      </c>
      <c r="BF522">
        <f>IFERROR(INDEX(PP_Grid[#Data],$DE522,55),0)</f>
        <v/>
      </c>
      <c r="BG522">
        <f>IFERROR(INDEX(PP_Grid[#Data],$DE522,56),0)</f>
        <v/>
      </c>
      <c r="BH522">
        <f>IFERROR(INDEX(PP_Grid[#Data],$DE522,57),0)</f>
        <v/>
      </c>
      <c r="BI522">
        <f>IFERROR(INDEX(PP_Grid[#Data],$DE522,58),0)</f>
        <v/>
      </c>
      <c r="BJ522">
        <f>IFERROR(INDEX(PP_Grid[#Data],$DE522,59),0)</f>
        <v/>
      </c>
      <c r="BK522">
        <f>IFERROR(INDEX(PP_Grid[#Data],$DE522,60),0)</f>
        <v/>
      </c>
      <c r="BL522">
        <f>IFERROR(INDEX(PP_Grid[#Data],$DE522,61),0)</f>
        <v/>
      </c>
      <c r="BM522">
        <f>IFERROR(INDEX(PP_Grid[#Data],$DE522,62),0)</f>
        <v/>
      </c>
      <c r="BN522">
        <f>IFERROR(INDEX(PP_Grid[#Data],$DE522,63),0)</f>
        <v/>
      </c>
      <c r="BO522">
        <f>IFERROR(INDEX(PP_Grid[#Data],$DE522,64),0)</f>
        <v/>
      </c>
      <c r="BP522">
        <f>IFERROR(INDEX(PP_Grid[#Data],$DE522,65),0)</f>
        <v/>
      </c>
      <c r="BQ522">
        <f>IFERROR(INDEX(PP_Grid[#Data],$DE522,66),0)</f>
        <v/>
      </c>
      <c r="BR522">
        <f>IFERROR(INDEX(PP_Grid[#Data],$DE522,67),0)</f>
        <v/>
      </c>
      <c r="BS522">
        <f>IFERROR(INDEX(PP_Grid[#Data],$DE522,68),0)</f>
        <v/>
      </c>
      <c r="BT522">
        <f>IFERROR(INDEX(PP_Grid[#Data],$DE522,69),0)</f>
        <v/>
      </c>
      <c r="BU522">
        <f>IFERROR(INDEX(PP_Grid[#Data],$DE522,70),0)</f>
        <v/>
      </c>
      <c r="BV522">
        <f>IFERROR(INDEX(PP_Grid[#Data],$DE522,71),0)</f>
        <v/>
      </c>
      <c r="BW522">
        <f>IFERROR(INDEX(PP_Grid[#Data],$DE522,72),0)</f>
        <v/>
      </c>
      <c r="BX522">
        <f>IFERROR(INDEX(PP_Grid[#Data],$DE522,73),0)</f>
        <v/>
      </c>
      <c r="BY522">
        <f>IFERROR(INDEX(PP_Grid[#Data],$DE522,74),0)</f>
        <v/>
      </c>
      <c r="BZ522">
        <f>IFERROR(INDEX(PP_Grid[#Data],$DE522,75),0)</f>
        <v/>
      </c>
      <c r="CA522">
        <f>IFERROR(INDEX(PP_Grid[#Data],$DE522,76),0)</f>
        <v/>
      </c>
      <c r="CB522">
        <f>IFERROR(INDEX(PP_Grid[#Data],$DE522,77),0)</f>
        <v/>
      </c>
      <c r="CC522">
        <f>IFERROR(INDEX(PP_Grid[#Data],$DE522,78),0)</f>
        <v/>
      </c>
      <c r="CD522">
        <f>IFERROR(INDEX(PP_Grid[#Data],$DE522,79),0)</f>
        <v/>
      </c>
      <c r="CE522">
        <f>IFERROR(INDEX(PP_Grid[#Data],$DE522,80),0)</f>
        <v/>
      </c>
      <c r="CF522">
        <f>IFERROR(INDEX(PP_Grid[#Data],$DE522,81),0)</f>
        <v/>
      </c>
      <c r="CG522">
        <f>IFERROR(INDEX(PP_Grid[#Data],$DE522,82),0)</f>
        <v/>
      </c>
      <c r="CH522">
        <f>IFERROR(INDEX(PP_Grid[#Data],$DE522,83),0)</f>
        <v/>
      </c>
      <c r="CI522">
        <f>IFERROR(INDEX(PP_Grid[#Data],$DE522,84),0)</f>
        <v/>
      </c>
      <c r="CJ522">
        <f>IFERROR(INDEX(PP_Grid[#Data],$DE522,85),0)</f>
        <v/>
      </c>
      <c r="CK522">
        <f>IFERROR(INDEX(PP_Grid[#Data],$DE522,86),0)</f>
        <v/>
      </c>
      <c r="CL522">
        <f>IFERROR(INDEX(PP_Grid[#Data],$DE522,87),0)</f>
        <v/>
      </c>
      <c r="CM522">
        <f>IFERROR(INDEX(PP_Grid[#Data],$DE522,88),0)</f>
        <v/>
      </c>
      <c r="CN522">
        <f>IFERROR(INDEX(PP_Grid[#Data],$DE522,89),0)</f>
        <v/>
      </c>
      <c r="CO522">
        <f>IFERROR(INDEX(PP_Grid[#Data],$DE522,90),0)</f>
        <v/>
      </c>
      <c r="CP522">
        <f>IFERROR(INDEX(PP_Grid[#Data],$DE522,91),0)</f>
        <v/>
      </c>
      <c r="CQ522">
        <f>IFERROR(INDEX(PP_Grid[#Data],$DE522,92),0)</f>
        <v/>
      </c>
      <c r="CR522">
        <f>IFERROR(INDEX(PP_Grid[#Data],$DE522,93),0)</f>
        <v/>
      </c>
      <c r="CS522">
        <f>IFERROR(INDEX(PP_Grid[#Data],$DE522,94),0)</f>
        <v/>
      </c>
      <c r="CT522">
        <f>IFERROR(INDEX(PP_Grid[#Data],$DE522,95),0)</f>
        <v/>
      </c>
      <c r="CU522">
        <f>IFERROR(INDEX(PP_Grid[#Data],$DE522,96),0)</f>
        <v/>
      </c>
      <c r="CV522">
        <f>IFERROR(INDEX(PP_Grid[#Data],$DE522,97),0)</f>
        <v/>
      </c>
      <c r="CW522">
        <f>IFERROR(INDEX(PP_Grid[#Data],$DE522,98),0)</f>
        <v/>
      </c>
      <c r="CX522">
        <f>IFERROR(INDEX(PP_Grid[#Data],$DE522,99),0)</f>
        <v/>
      </c>
      <c r="CY522">
        <f>IFERROR(INDEX(PP_Grid[#Data],$DE522,100),0)</f>
        <v/>
      </c>
      <c r="CZ522">
        <f>IFERROR(INDEX(PP_Grid[#Data],$DE522,101),0)</f>
        <v/>
      </c>
      <c r="DA522">
        <f>IFERROR(INDEX(PP_Grid[#Data],$DE522,102),0)</f>
        <v/>
      </c>
      <c r="DB522">
        <f>IFERROR(INDEX(PP_Grid[#Data],$DE522,103),0)</f>
        <v/>
      </c>
      <c r="DC522">
        <f>IFERROR(INDEX(PP_Grid[#Data],$DE522,104),0)</f>
        <v/>
      </c>
      <c r="DD522">
        <f>IFERROR(INDEX(PP_Grid[#Data],$DE522,105),0)</f>
        <v/>
      </c>
      <c r="DE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SUMIFS(M_BOM[RM_Qty_Per_Batch],M_BOM[Intermediate],$B522,M_BOM[RM_Code],$A515)</f>
        <v/>
      </c>
      <c r="D523">
        <f>IFERROR(INDEX(E523:DD523,$F$1),"")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  <c r="DD523">
        <f>$C523*DD522</f>
        <v/>
      </c>
    </row>
    <row r="524">
      <c r="B524" t="inlineStr">
        <is>
          <t>TSP-104</t>
        </is>
      </c>
      <c r="C524" t="inlineStr">
        <is>
          <t>No. of batches</t>
        </is>
      </c>
      <c r="D524">
        <f>IFERROR(INDEX(E524:DD524,$F$1),"")</f>
        <v/>
      </c>
      <c r="E524">
        <f>IFERROR(INDEX(PP_Grid[#Data],$DE524,2),0)</f>
        <v/>
      </c>
      <c r="F524">
        <f>IFERROR(INDEX(PP_Grid[#Data],$DE524,3),0)</f>
        <v/>
      </c>
      <c r="G524">
        <f>IFERROR(INDEX(PP_Grid[#Data],$DE524,4),0)</f>
        <v/>
      </c>
      <c r="H524">
        <f>IFERROR(INDEX(PP_Grid[#Data],$DE524,5),0)</f>
        <v/>
      </c>
      <c r="I524">
        <f>IFERROR(INDEX(PP_Grid[#Data],$DE524,6),0)</f>
        <v/>
      </c>
      <c r="J524">
        <f>IFERROR(INDEX(PP_Grid[#Data],$DE524,7),0)</f>
        <v/>
      </c>
      <c r="K524">
        <f>IFERROR(INDEX(PP_Grid[#Data],$DE524,8),0)</f>
        <v/>
      </c>
      <c r="L524">
        <f>IFERROR(INDEX(PP_Grid[#Data],$DE524,9),0)</f>
        <v/>
      </c>
      <c r="M524">
        <f>IFERROR(INDEX(PP_Grid[#Data],$DE524,10),0)</f>
        <v/>
      </c>
      <c r="N524">
        <f>IFERROR(INDEX(PP_Grid[#Data],$DE524,11),0)</f>
        <v/>
      </c>
      <c r="O524">
        <f>IFERROR(INDEX(PP_Grid[#Data],$DE524,12),0)</f>
        <v/>
      </c>
      <c r="P524">
        <f>IFERROR(INDEX(PP_Grid[#Data],$DE524,13),0)</f>
        <v/>
      </c>
      <c r="Q524">
        <f>IFERROR(INDEX(PP_Grid[#Data],$DE524,14),0)</f>
        <v/>
      </c>
      <c r="R524">
        <f>IFERROR(INDEX(PP_Grid[#Data],$DE524,15),0)</f>
        <v/>
      </c>
      <c r="S524">
        <f>IFERROR(INDEX(PP_Grid[#Data],$DE524,16),0)</f>
        <v/>
      </c>
      <c r="T524">
        <f>IFERROR(INDEX(PP_Grid[#Data],$DE524,17),0)</f>
        <v/>
      </c>
      <c r="U524">
        <f>IFERROR(INDEX(PP_Grid[#Data],$DE524,18),0)</f>
        <v/>
      </c>
      <c r="V524">
        <f>IFERROR(INDEX(PP_Grid[#Data],$DE524,19),0)</f>
        <v/>
      </c>
      <c r="W524">
        <f>IFERROR(INDEX(PP_Grid[#Data],$DE524,20),0)</f>
        <v/>
      </c>
      <c r="X524">
        <f>IFERROR(INDEX(PP_Grid[#Data],$DE524,21),0)</f>
        <v/>
      </c>
      <c r="Y524">
        <f>IFERROR(INDEX(PP_Grid[#Data],$DE524,22),0)</f>
        <v/>
      </c>
      <c r="Z524">
        <f>IFERROR(INDEX(PP_Grid[#Data],$DE524,23),0)</f>
        <v/>
      </c>
      <c r="AA524">
        <f>IFERROR(INDEX(PP_Grid[#Data],$DE524,24),0)</f>
        <v/>
      </c>
      <c r="AB524">
        <f>IFERROR(INDEX(PP_Grid[#Data],$DE524,25),0)</f>
        <v/>
      </c>
      <c r="AC524">
        <f>IFERROR(INDEX(PP_Grid[#Data],$DE524,26),0)</f>
        <v/>
      </c>
      <c r="AD524">
        <f>IFERROR(INDEX(PP_Grid[#Data],$DE524,27),0)</f>
        <v/>
      </c>
      <c r="AE524">
        <f>IFERROR(INDEX(PP_Grid[#Data],$DE524,28),0)</f>
        <v/>
      </c>
      <c r="AF524">
        <f>IFERROR(INDEX(PP_Grid[#Data],$DE524,29),0)</f>
        <v/>
      </c>
      <c r="AG524">
        <f>IFERROR(INDEX(PP_Grid[#Data],$DE524,30),0)</f>
        <v/>
      </c>
      <c r="AH524">
        <f>IFERROR(INDEX(PP_Grid[#Data],$DE524,31),0)</f>
        <v/>
      </c>
      <c r="AI524">
        <f>IFERROR(INDEX(PP_Grid[#Data],$DE524,32),0)</f>
        <v/>
      </c>
      <c r="AJ524">
        <f>IFERROR(INDEX(PP_Grid[#Data],$DE524,33),0)</f>
        <v/>
      </c>
      <c r="AK524">
        <f>IFERROR(INDEX(PP_Grid[#Data],$DE524,34),0)</f>
        <v/>
      </c>
      <c r="AL524">
        <f>IFERROR(INDEX(PP_Grid[#Data],$DE524,35),0)</f>
        <v/>
      </c>
      <c r="AM524">
        <f>IFERROR(INDEX(PP_Grid[#Data],$DE524,36),0)</f>
        <v/>
      </c>
      <c r="AN524">
        <f>IFERROR(INDEX(PP_Grid[#Data],$DE524,37),0)</f>
        <v/>
      </c>
      <c r="AO524">
        <f>IFERROR(INDEX(PP_Grid[#Data],$DE524,38),0)</f>
        <v/>
      </c>
      <c r="AP524">
        <f>IFERROR(INDEX(PP_Grid[#Data],$DE524,39),0)</f>
        <v/>
      </c>
      <c r="AQ524">
        <f>IFERROR(INDEX(PP_Grid[#Data],$DE524,40),0)</f>
        <v/>
      </c>
      <c r="AR524">
        <f>IFERROR(INDEX(PP_Grid[#Data],$DE524,41),0)</f>
        <v/>
      </c>
      <c r="AS524">
        <f>IFERROR(INDEX(PP_Grid[#Data],$DE524,42),0)</f>
        <v/>
      </c>
      <c r="AT524">
        <f>IFERROR(INDEX(PP_Grid[#Data],$DE524,43),0)</f>
        <v/>
      </c>
      <c r="AU524">
        <f>IFERROR(INDEX(PP_Grid[#Data],$DE524,44),0)</f>
        <v/>
      </c>
      <c r="AV524">
        <f>IFERROR(INDEX(PP_Grid[#Data],$DE524,45),0)</f>
        <v/>
      </c>
      <c r="AW524">
        <f>IFERROR(INDEX(PP_Grid[#Data],$DE524,46),0)</f>
        <v/>
      </c>
      <c r="AX524">
        <f>IFERROR(INDEX(PP_Grid[#Data],$DE524,47),0)</f>
        <v/>
      </c>
      <c r="AY524">
        <f>IFERROR(INDEX(PP_Grid[#Data],$DE524,48),0)</f>
        <v/>
      </c>
      <c r="AZ524">
        <f>IFERROR(INDEX(PP_Grid[#Data],$DE524,49),0)</f>
        <v/>
      </c>
      <c r="BA524">
        <f>IFERROR(INDEX(PP_Grid[#Data],$DE524,50),0)</f>
        <v/>
      </c>
      <c r="BB524">
        <f>IFERROR(INDEX(PP_Grid[#Data],$DE524,51),0)</f>
        <v/>
      </c>
      <c r="BC524">
        <f>IFERROR(INDEX(PP_Grid[#Data],$DE524,52),0)</f>
        <v/>
      </c>
      <c r="BD524">
        <f>IFERROR(INDEX(PP_Grid[#Data],$DE524,53),0)</f>
        <v/>
      </c>
      <c r="BE524">
        <f>IFERROR(INDEX(PP_Grid[#Data],$DE524,54),0)</f>
        <v/>
      </c>
      <c r="BF524">
        <f>IFERROR(INDEX(PP_Grid[#Data],$DE524,55),0)</f>
        <v/>
      </c>
      <c r="BG524">
        <f>IFERROR(INDEX(PP_Grid[#Data],$DE524,56),0)</f>
        <v/>
      </c>
      <c r="BH524">
        <f>IFERROR(INDEX(PP_Grid[#Data],$DE524,57),0)</f>
        <v/>
      </c>
      <c r="BI524">
        <f>IFERROR(INDEX(PP_Grid[#Data],$DE524,58),0)</f>
        <v/>
      </c>
      <c r="BJ524">
        <f>IFERROR(INDEX(PP_Grid[#Data],$DE524,59),0)</f>
        <v/>
      </c>
      <c r="BK524">
        <f>IFERROR(INDEX(PP_Grid[#Data],$DE524,60),0)</f>
        <v/>
      </c>
      <c r="BL524">
        <f>IFERROR(INDEX(PP_Grid[#Data],$DE524,61),0)</f>
        <v/>
      </c>
      <c r="BM524">
        <f>IFERROR(INDEX(PP_Grid[#Data],$DE524,62),0)</f>
        <v/>
      </c>
      <c r="BN524">
        <f>IFERROR(INDEX(PP_Grid[#Data],$DE524,63),0)</f>
        <v/>
      </c>
      <c r="BO524">
        <f>IFERROR(INDEX(PP_Grid[#Data],$DE524,64),0)</f>
        <v/>
      </c>
      <c r="BP524">
        <f>IFERROR(INDEX(PP_Grid[#Data],$DE524,65),0)</f>
        <v/>
      </c>
      <c r="BQ524">
        <f>IFERROR(INDEX(PP_Grid[#Data],$DE524,66),0)</f>
        <v/>
      </c>
      <c r="BR524">
        <f>IFERROR(INDEX(PP_Grid[#Data],$DE524,67),0)</f>
        <v/>
      </c>
      <c r="BS524">
        <f>IFERROR(INDEX(PP_Grid[#Data],$DE524,68),0)</f>
        <v/>
      </c>
      <c r="BT524">
        <f>IFERROR(INDEX(PP_Grid[#Data],$DE524,69),0)</f>
        <v/>
      </c>
      <c r="BU524">
        <f>IFERROR(INDEX(PP_Grid[#Data],$DE524,70),0)</f>
        <v/>
      </c>
      <c r="BV524">
        <f>IFERROR(INDEX(PP_Grid[#Data],$DE524,71),0)</f>
        <v/>
      </c>
      <c r="BW524">
        <f>IFERROR(INDEX(PP_Grid[#Data],$DE524,72),0)</f>
        <v/>
      </c>
      <c r="BX524">
        <f>IFERROR(INDEX(PP_Grid[#Data],$DE524,73),0)</f>
        <v/>
      </c>
      <c r="BY524">
        <f>IFERROR(INDEX(PP_Grid[#Data],$DE524,74),0)</f>
        <v/>
      </c>
      <c r="BZ524">
        <f>IFERROR(INDEX(PP_Grid[#Data],$DE524,75),0)</f>
        <v/>
      </c>
      <c r="CA524">
        <f>IFERROR(INDEX(PP_Grid[#Data],$DE524,76),0)</f>
        <v/>
      </c>
      <c r="CB524">
        <f>IFERROR(INDEX(PP_Grid[#Data],$DE524,77),0)</f>
        <v/>
      </c>
      <c r="CC524">
        <f>IFERROR(INDEX(PP_Grid[#Data],$DE524,78),0)</f>
        <v/>
      </c>
      <c r="CD524">
        <f>IFERROR(INDEX(PP_Grid[#Data],$DE524,79),0)</f>
        <v/>
      </c>
      <c r="CE524">
        <f>IFERROR(INDEX(PP_Grid[#Data],$DE524,80),0)</f>
        <v/>
      </c>
      <c r="CF524">
        <f>IFERROR(INDEX(PP_Grid[#Data],$DE524,81),0)</f>
        <v/>
      </c>
      <c r="CG524">
        <f>IFERROR(INDEX(PP_Grid[#Data],$DE524,82),0)</f>
        <v/>
      </c>
      <c r="CH524">
        <f>IFERROR(INDEX(PP_Grid[#Data],$DE524,83),0)</f>
        <v/>
      </c>
      <c r="CI524">
        <f>IFERROR(INDEX(PP_Grid[#Data],$DE524,84),0)</f>
        <v/>
      </c>
      <c r="CJ524">
        <f>IFERROR(INDEX(PP_Grid[#Data],$DE524,85),0)</f>
        <v/>
      </c>
      <c r="CK524">
        <f>IFERROR(INDEX(PP_Grid[#Data],$DE524,86),0)</f>
        <v/>
      </c>
      <c r="CL524">
        <f>IFERROR(INDEX(PP_Grid[#Data],$DE524,87),0)</f>
        <v/>
      </c>
      <c r="CM524">
        <f>IFERROR(INDEX(PP_Grid[#Data],$DE524,88),0)</f>
        <v/>
      </c>
      <c r="CN524">
        <f>IFERROR(INDEX(PP_Grid[#Data],$DE524,89),0)</f>
        <v/>
      </c>
      <c r="CO524">
        <f>IFERROR(INDEX(PP_Grid[#Data],$DE524,90),0)</f>
        <v/>
      </c>
      <c r="CP524">
        <f>IFERROR(INDEX(PP_Grid[#Data],$DE524,91),0)</f>
        <v/>
      </c>
      <c r="CQ524">
        <f>IFERROR(INDEX(PP_Grid[#Data],$DE524,92),0)</f>
        <v/>
      </c>
      <c r="CR524">
        <f>IFERROR(INDEX(PP_Grid[#Data],$DE524,93),0)</f>
        <v/>
      </c>
      <c r="CS524">
        <f>IFERROR(INDEX(PP_Grid[#Data],$DE524,94),0)</f>
        <v/>
      </c>
      <c r="CT524">
        <f>IFERROR(INDEX(PP_Grid[#Data],$DE524,95),0)</f>
        <v/>
      </c>
      <c r="CU524">
        <f>IFERROR(INDEX(PP_Grid[#Data],$DE524,96),0)</f>
        <v/>
      </c>
      <c r="CV524">
        <f>IFERROR(INDEX(PP_Grid[#Data],$DE524,97),0)</f>
        <v/>
      </c>
      <c r="CW524">
        <f>IFERROR(INDEX(PP_Grid[#Data],$DE524,98),0)</f>
        <v/>
      </c>
      <c r="CX524">
        <f>IFERROR(INDEX(PP_Grid[#Data],$DE524,99),0)</f>
        <v/>
      </c>
      <c r="CY524">
        <f>IFERROR(INDEX(PP_Grid[#Data],$DE524,100),0)</f>
        <v/>
      </c>
      <c r="CZ524">
        <f>IFERROR(INDEX(PP_Grid[#Data],$DE524,101),0)</f>
        <v/>
      </c>
      <c r="DA524">
        <f>IFERROR(INDEX(PP_Grid[#Data],$DE524,102),0)</f>
        <v/>
      </c>
      <c r="DB524">
        <f>IFERROR(INDEX(PP_Grid[#Data],$DE524,103),0)</f>
        <v/>
      </c>
      <c r="DC524">
        <f>IFERROR(INDEX(PP_Grid[#Data],$DE524,104),0)</f>
        <v/>
      </c>
      <c r="DD524">
        <f>IFERROR(INDEX(PP_Grid[#Data],$DE524,105),0)</f>
        <v/>
      </c>
      <c r="DE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SUMIFS(M_BOM[RM_Qty_Per_Batch],M_BOM[Intermediate],$B524,M_BOM[RM_Code],$A515)</f>
        <v/>
      </c>
      <c r="D525">
        <f>IFERROR(INDEX(E525:DD525,$F$1),"")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  <c r="DD525">
        <f>$C525*DD524</f>
        <v/>
      </c>
    </row>
    <row r="526">
      <c r="B526" t="inlineStr">
        <is>
          <t>TSP-199</t>
        </is>
      </c>
      <c r="C526" t="inlineStr">
        <is>
          <t>No. of batches</t>
        </is>
      </c>
      <c r="D526">
        <f>IFERROR(INDEX(E526:DD526,$F$1),"")</f>
        <v/>
      </c>
      <c r="E526">
        <f>IFERROR(INDEX(PP_Grid[#Data],$DE526,2),0)</f>
        <v/>
      </c>
      <c r="F526">
        <f>IFERROR(INDEX(PP_Grid[#Data],$DE526,3),0)</f>
        <v/>
      </c>
      <c r="G526">
        <f>IFERROR(INDEX(PP_Grid[#Data],$DE526,4),0)</f>
        <v/>
      </c>
      <c r="H526">
        <f>IFERROR(INDEX(PP_Grid[#Data],$DE526,5),0)</f>
        <v/>
      </c>
      <c r="I526">
        <f>IFERROR(INDEX(PP_Grid[#Data],$DE526,6),0)</f>
        <v/>
      </c>
      <c r="J526">
        <f>IFERROR(INDEX(PP_Grid[#Data],$DE526,7),0)</f>
        <v/>
      </c>
      <c r="K526">
        <f>IFERROR(INDEX(PP_Grid[#Data],$DE526,8),0)</f>
        <v/>
      </c>
      <c r="L526">
        <f>IFERROR(INDEX(PP_Grid[#Data],$DE526,9),0)</f>
        <v/>
      </c>
      <c r="M526">
        <f>IFERROR(INDEX(PP_Grid[#Data],$DE526,10),0)</f>
        <v/>
      </c>
      <c r="N526">
        <f>IFERROR(INDEX(PP_Grid[#Data],$DE526,11),0)</f>
        <v/>
      </c>
      <c r="O526">
        <f>IFERROR(INDEX(PP_Grid[#Data],$DE526,12),0)</f>
        <v/>
      </c>
      <c r="P526">
        <f>IFERROR(INDEX(PP_Grid[#Data],$DE526,13),0)</f>
        <v/>
      </c>
      <c r="Q526">
        <f>IFERROR(INDEX(PP_Grid[#Data],$DE526,14),0)</f>
        <v/>
      </c>
      <c r="R526">
        <f>IFERROR(INDEX(PP_Grid[#Data],$DE526,15),0)</f>
        <v/>
      </c>
      <c r="S526">
        <f>IFERROR(INDEX(PP_Grid[#Data],$DE526,16),0)</f>
        <v/>
      </c>
      <c r="T526">
        <f>IFERROR(INDEX(PP_Grid[#Data],$DE526,17),0)</f>
        <v/>
      </c>
      <c r="U526">
        <f>IFERROR(INDEX(PP_Grid[#Data],$DE526,18),0)</f>
        <v/>
      </c>
      <c r="V526">
        <f>IFERROR(INDEX(PP_Grid[#Data],$DE526,19),0)</f>
        <v/>
      </c>
      <c r="W526">
        <f>IFERROR(INDEX(PP_Grid[#Data],$DE526,20),0)</f>
        <v/>
      </c>
      <c r="X526">
        <f>IFERROR(INDEX(PP_Grid[#Data],$DE526,21),0)</f>
        <v/>
      </c>
      <c r="Y526">
        <f>IFERROR(INDEX(PP_Grid[#Data],$DE526,22),0)</f>
        <v/>
      </c>
      <c r="Z526">
        <f>IFERROR(INDEX(PP_Grid[#Data],$DE526,23),0)</f>
        <v/>
      </c>
      <c r="AA526">
        <f>IFERROR(INDEX(PP_Grid[#Data],$DE526,24),0)</f>
        <v/>
      </c>
      <c r="AB526">
        <f>IFERROR(INDEX(PP_Grid[#Data],$DE526,25),0)</f>
        <v/>
      </c>
      <c r="AC526">
        <f>IFERROR(INDEX(PP_Grid[#Data],$DE526,26),0)</f>
        <v/>
      </c>
      <c r="AD526">
        <f>IFERROR(INDEX(PP_Grid[#Data],$DE526,27),0)</f>
        <v/>
      </c>
      <c r="AE526">
        <f>IFERROR(INDEX(PP_Grid[#Data],$DE526,28),0)</f>
        <v/>
      </c>
      <c r="AF526">
        <f>IFERROR(INDEX(PP_Grid[#Data],$DE526,29),0)</f>
        <v/>
      </c>
      <c r="AG526">
        <f>IFERROR(INDEX(PP_Grid[#Data],$DE526,30),0)</f>
        <v/>
      </c>
      <c r="AH526">
        <f>IFERROR(INDEX(PP_Grid[#Data],$DE526,31),0)</f>
        <v/>
      </c>
      <c r="AI526">
        <f>IFERROR(INDEX(PP_Grid[#Data],$DE526,32),0)</f>
        <v/>
      </c>
      <c r="AJ526">
        <f>IFERROR(INDEX(PP_Grid[#Data],$DE526,33),0)</f>
        <v/>
      </c>
      <c r="AK526">
        <f>IFERROR(INDEX(PP_Grid[#Data],$DE526,34),0)</f>
        <v/>
      </c>
      <c r="AL526">
        <f>IFERROR(INDEX(PP_Grid[#Data],$DE526,35),0)</f>
        <v/>
      </c>
      <c r="AM526">
        <f>IFERROR(INDEX(PP_Grid[#Data],$DE526,36),0)</f>
        <v/>
      </c>
      <c r="AN526">
        <f>IFERROR(INDEX(PP_Grid[#Data],$DE526,37),0)</f>
        <v/>
      </c>
      <c r="AO526">
        <f>IFERROR(INDEX(PP_Grid[#Data],$DE526,38),0)</f>
        <v/>
      </c>
      <c r="AP526">
        <f>IFERROR(INDEX(PP_Grid[#Data],$DE526,39),0)</f>
        <v/>
      </c>
      <c r="AQ526">
        <f>IFERROR(INDEX(PP_Grid[#Data],$DE526,40),0)</f>
        <v/>
      </c>
      <c r="AR526">
        <f>IFERROR(INDEX(PP_Grid[#Data],$DE526,41),0)</f>
        <v/>
      </c>
      <c r="AS526">
        <f>IFERROR(INDEX(PP_Grid[#Data],$DE526,42),0)</f>
        <v/>
      </c>
      <c r="AT526">
        <f>IFERROR(INDEX(PP_Grid[#Data],$DE526,43),0)</f>
        <v/>
      </c>
      <c r="AU526">
        <f>IFERROR(INDEX(PP_Grid[#Data],$DE526,44),0)</f>
        <v/>
      </c>
      <c r="AV526">
        <f>IFERROR(INDEX(PP_Grid[#Data],$DE526,45),0)</f>
        <v/>
      </c>
      <c r="AW526">
        <f>IFERROR(INDEX(PP_Grid[#Data],$DE526,46),0)</f>
        <v/>
      </c>
      <c r="AX526">
        <f>IFERROR(INDEX(PP_Grid[#Data],$DE526,47),0)</f>
        <v/>
      </c>
      <c r="AY526">
        <f>IFERROR(INDEX(PP_Grid[#Data],$DE526,48),0)</f>
        <v/>
      </c>
      <c r="AZ526">
        <f>IFERROR(INDEX(PP_Grid[#Data],$DE526,49),0)</f>
        <v/>
      </c>
      <c r="BA526">
        <f>IFERROR(INDEX(PP_Grid[#Data],$DE526,50),0)</f>
        <v/>
      </c>
      <c r="BB526">
        <f>IFERROR(INDEX(PP_Grid[#Data],$DE526,51),0)</f>
        <v/>
      </c>
      <c r="BC526">
        <f>IFERROR(INDEX(PP_Grid[#Data],$DE526,52),0)</f>
        <v/>
      </c>
      <c r="BD526">
        <f>IFERROR(INDEX(PP_Grid[#Data],$DE526,53),0)</f>
        <v/>
      </c>
      <c r="BE526">
        <f>IFERROR(INDEX(PP_Grid[#Data],$DE526,54),0)</f>
        <v/>
      </c>
      <c r="BF526">
        <f>IFERROR(INDEX(PP_Grid[#Data],$DE526,55),0)</f>
        <v/>
      </c>
      <c r="BG526">
        <f>IFERROR(INDEX(PP_Grid[#Data],$DE526,56),0)</f>
        <v/>
      </c>
      <c r="BH526">
        <f>IFERROR(INDEX(PP_Grid[#Data],$DE526,57),0)</f>
        <v/>
      </c>
      <c r="BI526">
        <f>IFERROR(INDEX(PP_Grid[#Data],$DE526,58),0)</f>
        <v/>
      </c>
      <c r="BJ526">
        <f>IFERROR(INDEX(PP_Grid[#Data],$DE526,59),0)</f>
        <v/>
      </c>
      <c r="BK526">
        <f>IFERROR(INDEX(PP_Grid[#Data],$DE526,60),0)</f>
        <v/>
      </c>
      <c r="BL526">
        <f>IFERROR(INDEX(PP_Grid[#Data],$DE526,61),0)</f>
        <v/>
      </c>
      <c r="BM526">
        <f>IFERROR(INDEX(PP_Grid[#Data],$DE526,62),0)</f>
        <v/>
      </c>
      <c r="BN526">
        <f>IFERROR(INDEX(PP_Grid[#Data],$DE526,63),0)</f>
        <v/>
      </c>
      <c r="BO526">
        <f>IFERROR(INDEX(PP_Grid[#Data],$DE526,64),0)</f>
        <v/>
      </c>
      <c r="BP526">
        <f>IFERROR(INDEX(PP_Grid[#Data],$DE526,65),0)</f>
        <v/>
      </c>
      <c r="BQ526">
        <f>IFERROR(INDEX(PP_Grid[#Data],$DE526,66),0)</f>
        <v/>
      </c>
      <c r="BR526">
        <f>IFERROR(INDEX(PP_Grid[#Data],$DE526,67),0)</f>
        <v/>
      </c>
      <c r="BS526">
        <f>IFERROR(INDEX(PP_Grid[#Data],$DE526,68),0)</f>
        <v/>
      </c>
      <c r="BT526">
        <f>IFERROR(INDEX(PP_Grid[#Data],$DE526,69),0)</f>
        <v/>
      </c>
      <c r="BU526">
        <f>IFERROR(INDEX(PP_Grid[#Data],$DE526,70),0)</f>
        <v/>
      </c>
      <c r="BV526">
        <f>IFERROR(INDEX(PP_Grid[#Data],$DE526,71),0)</f>
        <v/>
      </c>
      <c r="BW526">
        <f>IFERROR(INDEX(PP_Grid[#Data],$DE526,72),0)</f>
        <v/>
      </c>
      <c r="BX526">
        <f>IFERROR(INDEX(PP_Grid[#Data],$DE526,73),0)</f>
        <v/>
      </c>
      <c r="BY526">
        <f>IFERROR(INDEX(PP_Grid[#Data],$DE526,74),0)</f>
        <v/>
      </c>
      <c r="BZ526">
        <f>IFERROR(INDEX(PP_Grid[#Data],$DE526,75),0)</f>
        <v/>
      </c>
      <c r="CA526">
        <f>IFERROR(INDEX(PP_Grid[#Data],$DE526,76),0)</f>
        <v/>
      </c>
      <c r="CB526">
        <f>IFERROR(INDEX(PP_Grid[#Data],$DE526,77),0)</f>
        <v/>
      </c>
      <c r="CC526">
        <f>IFERROR(INDEX(PP_Grid[#Data],$DE526,78),0)</f>
        <v/>
      </c>
      <c r="CD526">
        <f>IFERROR(INDEX(PP_Grid[#Data],$DE526,79),0)</f>
        <v/>
      </c>
      <c r="CE526">
        <f>IFERROR(INDEX(PP_Grid[#Data],$DE526,80),0)</f>
        <v/>
      </c>
      <c r="CF526">
        <f>IFERROR(INDEX(PP_Grid[#Data],$DE526,81),0)</f>
        <v/>
      </c>
      <c r="CG526">
        <f>IFERROR(INDEX(PP_Grid[#Data],$DE526,82),0)</f>
        <v/>
      </c>
      <c r="CH526">
        <f>IFERROR(INDEX(PP_Grid[#Data],$DE526,83),0)</f>
        <v/>
      </c>
      <c r="CI526">
        <f>IFERROR(INDEX(PP_Grid[#Data],$DE526,84),0)</f>
        <v/>
      </c>
      <c r="CJ526">
        <f>IFERROR(INDEX(PP_Grid[#Data],$DE526,85),0)</f>
        <v/>
      </c>
      <c r="CK526">
        <f>IFERROR(INDEX(PP_Grid[#Data],$DE526,86),0)</f>
        <v/>
      </c>
      <c r="CL526">
        <f>IFERROR(INDEX(PP_Grid[#Data],$DE526,87),0)</f>
        <v/>
      </c>
      <c r="CM526">
        <f>IFERROR(INDEX(PP_Grid[#Data],$DE526,88),0)</f>
        <v/>
      </c>
      <c r="CN526">
        <f>IFERROR(INDEX(PP_Grid[#Data],$DE526,89),0)</f>
        <v/>
      </c>
      <c r="CO526">
        <f>IFERROR(INDEX(PP_Grid[#Data],$DE526,90),0)</f>
        <v/>
      </c>
      <c r="CP526">
        <f>IFERROR(INDEX(PP_Grid[#Data],$DE526,91),0)</f>
        <v/>
      </c>
      <c r="CQ526">
        <f>IFERROR(INDEX(PP_Grid[#Data],$DE526,92),0)</f>
        <v/>
      </c>
      <c r="CR526">
        <f>IFERROR(INDEX(PP_Grid[#Data],$DE526,93),0)</f>
        <v/>
      </c>
      <c r="CS526">
        <f>IFERROR(INDEX(PP_Grid[#Data],$DE526,94),0)</f>
        <v/>
      </c>
      <c r="CT526">
        <f>IFERROR(INDEX(PP_Grid[#Data],$DE526,95),0)</f>
        <v/>
      </c>
      <c r="CU526">
        <f>IFERROR(INDEX(PP_Grid[#Data],$DE526,96),0)</f>
        <v/>
      </c>
      <c r="CV526">
        <f>IFERROR(INDEX(PP_Grid[#Data],$DE526,97),0)</f>
        <v/>
      </c>
      <c r="CW526">
        <f>IFERROR(INDEX(PP_Grid[#Data],$DE526,98),0)</f>
        <v/>
      </c>
      <c r="CX526">
        <f>IFERROR(INDEX(PP_Grid[#Data],$DE526,99),0)</f>
        <v/>
      </c>
      <c r="CY526">
        <f>IFERROR(INDEX(PP_Grid[#Data],$DE526,100),0)</f>
        <v/>
      </c>
      <c r="CZ526">
        <f>IFERROR(INDEX(PP_Grid[#Data],$DE526,101),0)</f>
        <v/>
      </c>
      <c r="DA526">
        <f>IFERROR(INDEX(PP_Grid[#Data],$DE526,102),0)</f>
        <v/>
      </c>
      <c r="DB526">
        <f>IFERROR(INDEX(PP_Grid[#Data],$DE526,103),0)</f>
        <v/>
      </c>
      <c r="DC526">
        <f>IFERROR(INDEX(PP_Grid[#Data],$DE526,104),0)</f>
        <v/>
      </c>
      <c r="DD526">
        <f>IFERROR(INDEX(PP_Grid[#Data],$DE526,105),0)</f>
        <v/>
      </c>
      <c r="DE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SUMIFS(M_BOM[RM_Qty_Per_Batch],M_BOM[Intermediate],$B526,M_BOM[RM_Code],$A515)</f>
        <v/>
      </c>
      <c r="D527">
        <f>IFERROR(INDEX(E527:DD527,$F$1),"")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  <c r="DD527">
        <f>$C527*DD526</f>
        <v/>
      </c>
    </row>
    <row r="528">
      <c r="B528" t="inlineStr">
        <is>
          <t>TSP-205</t>
        </is>
      </c>
      <c r="C528" t="inlineStr">
        <is>
          <t>No. of batches</t>
        </is>
      </c>
      <c r="D528">
        <f>IFERROR(INDEX(E528:DD528,$F$1),"")</f>
        <v/>
      </c>
      <c r="E528">
        <f>IFERROR(INDEX(PP_Grid[#Data],$DE528,2),0)</f>
        <v/>
      </c>
      <c r="F528">
        <f>IFERROR(INDEX(PP_Grid[#Data],$DE528,3),0)</f>
        <v/>
      </c>
      <c r="G528">
        <f>IFERROR(INDEX(PP_Grid[#Data],$DE528,4),0)</f>
        <v/>
      </c>
      <c r="H528">
        <f>IFERROR(INDEX(PP_Grid[#Data],$DE528,5),0)</f>
        <v/>
      </c>
      <c r="I528">
        <f>IFERROR(INDEX(PP_Grid[#Data],$DE528,6),0)</f>
        <v/>
      </c>
      <c r="J528">
        <f>IFERROR(INDEX(PP_Grid[#Data],$DE528,7),0)</f>
        <v/>
      </c>
      <c r="K528">
        <f>IFERROR(INDEX(PP_Grid[#Data],$DE528,8),0)</f>
        <v/>
      </c>
      <c r="L528">
        <f>IFERROR(INDEX(PP_Grid[#Data],$DE528,9),0)</f>
        <v/>
      </c>
      <c r="M528">
        <f>IFERROR(INDEX(PP_Grid[#Data],$DE528,10),0)</f>
        <v/>
      </c>
      <c r="N528">
        <f>IFERROR(INDEX(PP_Grid[#Data],$DE528,11),0)</f>
        <v/>
      </c>
      <c r="O528">
        <f>IFERROR(INDEX(PP_Grid[#Data],$DE528,12),0)</f>
        <v/>
      </c>
      <c r="P528">
        <f>IFERROR(INDEX(PP_Grid[#Data],$DE528,13),0)</f>
        <v/>
      </c>
      <c r="Q528">
        <f>IFERROR(INDEX(PP_Grid[#Data],$DE528,14),0)</f>
        <v/>
      </c>
      <c r="R528">
        <f>IFERROR(INDEX(PP_Grid[#Data],$DE528,15),0)</f>
        <v/>
      </c>
      <c r="S528">
        <f>IFERROR(INDEX(PP_Grid[#Data],$DE528,16),0)</f>
        <v/>
      </c>
      <c r="T528">
        <f>IFERROR(INDEX(PP_Grid[#Data],$DE528,17),0)</f>
        <v/>
      </c>
      <c r="U528">
        <f>IFERROR(INDEX(PP_Grid[#Data],$DE528,18),0)</f>
        <v/>
      </c>
      <c r="V528">
        <f>IFERROR(INDEX(PP_Grid[#Data],$DE528,19),0)</f>
        <v/>
      </c>
      <c r="W528">
        <f>IFERROR(INDEX(PP_Grid[#Data],$DE528,20),0)</f>
        <v/>
      </c>
      <c r="X528">
        <f>IFERROR(INDEX(PP_Grid[#Data],$DE528,21),0)</f>
        <v/>
      </c>
      <c r="Y528">
        <f>IFERROR(INDEX(PP_Grid[#Data],$DE528,22),0)</f>
        <v/>
      </c>
      <c r="Z528">
        <f>IFERROR(INDEX(PP_Grid[#Data],$DE528,23),0)</f>
        <v/>
      </c>
      <c r="AA528">
        <f>IFERROR(INDEX(PP_Grid[#Data],$DE528,24),0)</f>
        <v/>
      </c>
      <c r="AB528">
        <f>IFERROR(INDEX(PP_Grid[#Data],$DE528,25),0)</f>
        <v/>
      </c>
      <c r="AC528">
        <f>IFERROR(INDEX(PP_Grid[#Data],$DE528,26),0)</f>
        <v/>
      </c>
      <c r="AD528">
        <f>IFERROR(INDEX(PP_Grid[#Data],$DE528,27),0)</f>
        <v/>
      </c>
      <c r="AE528">
        <f>IFERROR(INDEX(PP_Grid[#Data],$DE528,28),0)</f>
        <v/>
      </c>
      <c r="AF528">
        <f>IFERROR(INDEX(PP_Grid[#Data],$DE528,29),0)</f>
        <v/>
      </c>
      <c r="AG528">
        <f>IFERROR(INDEX(PP_Grid[#Data],$DE528,30),0)</f>
        <v/>
      </c>
      <c r="AH528">
        <f>IFERROR(INDEX(PP_Grid[#Data],$DE528,31),0)</f>
        <v/>
      </c>
      <c r="AI528">
        <f>IFERROR(INDEX(PP_Grid[#Data],$DE528,32),0)</f>
        <v/>
      </c>
      <c r="AJ528">
        <f>IFERROR(INDEX(PP_Grid[#Data],$DE528,33),0)</f>
        <v/>
      </c>
      <c r="AK528">
        <f>IFERROR(INDEX(PP_Grid[#Data],$DE528,34),0)</f>
        <v/>
      </c>
      <c r="AL528">
        <f>IFERROR(INDEX(PP_Grid[#Data],$DE528,35),0)</f>
        <v/>
      </c>
      <c r="AM528">
        <f>IFERROR(INDEX(PP_Grid[#Data],$DE528,36),0)</f>
        <v/>
      </c>
      <c r="AN528">
        <f>IFERROR(INDEX(PP_Grid[#Data],$DE528,37),0)</f>
        <v/>
      </c>
      <c r="AO528">
        <f>IFERROR(INDEX(PP_Grid[#Data],$DE528,38),0)</f>
        <v/>
      </c>
      <c r="AP528">
        <f>IFERROR(INDEX(PP_Grid[#Data],$DE528,39),0)</f>
        <v/>
      </c>
      <c r="AQ528">
        <f>IFERROR(INDEX(PP_Grid[#Data],$DE528,40),0)</f>
        <v/>
      </c>
      <c r="AR528">
        <f>IFERROR(INDEX(PP_Grid[#Data],$DE528,41),0)</f>
        <v/>
      </c>
      <c r="AS528">
        <f>IFERROR(INDEX(PP_Grid[#Data],$DE528,42),0)</f>
        <v/>
      </c>
      <c r="AT528">
        <f>IFERROR(INDEX(PP_Grid[#Data],$DE528,43),0)</f>
        <v/>
      </c>
      <c r="AU528">
        <f>IFERROR(INDEX(PP_Grid[#Data],$DE528,44),0)</f>
        <v/>
      </c>
      <c r="AV528">
        <f>IFERROR(INDEX(PP_Grid[#Data],$DE528,45),0)</f>
        <v/>
      </c>
      <c r="AW528">
        <f>IFERROR(INDEX(PP_Grid[#Data],$DE528,46),0)</f>
        <v/>
      </c>
      <c r="AX528">
        <f>IFERROR(INDEX(PP_Grid[#Data],$DE528,47),0)</f>
        <v/>
      </c>
      <c r="AY528">
        <f>IFERROR(INDEX(PP_Grid[#Data],$DE528,48),0)</f>
        <v/>
      </c>
      <c r="AZ528">
        <f>IFERROR(INDEX(PP_Grid[#Data],$DE528,49),0)</f>
        <v/>
      </c>
      <c r="BA528">
        <f>IFERROR(INDEX(PP_Grid[#Data],$DE528,50),0)</f>
        <v/>
      </c>
      <c r="BB528">
        <f>IFERROR(INDEX(PP_Grid[#Data],$DE528,51),0)</f>
        <v/>
      </c>
      <c r="BC528">
        <f>IFERROR(INDEX(PP_Grid[#Data],$DE528,52),0)</f>
        <v/>
      </c>
      <c r="BD528">
        <f>IFERROR(INDEX(PP_Grid[#Data],$DE528,53),0)</f>
        <v/>
      </c>
      <c r="BE528">
        <f>IFERROR(INDEX(PP_Grid[#Data],$DE528,54),0)</f>
        <v/>
      </c>
      <c r="BF528">
        <f>IFERROR(INDEX(PP_Grid[#Data],$DE528,55),0)</f>
        <v/>
      </c>
      <c r="BG528">
        <f>IFERROR(INDEX(PP_Grid[#Data],$DE528,56),0)</f>
        <v/>
      </c>
      <c r="BH528">
        <f>IFERROR(INDEX(PP_Grid[#Data],$DE528,57),0)</f>
        <v/>
      </c>
      <c r="BI528">
        <f>IFERROR(INDEX(PP_Grid[#Data],$DE528,58),0)</f>
        <v/>
      </c>
      <c r="BJ528">
        <f>IFERROR(INDEX(PP_Grid[#Data],$DE528,59),0)</f>
        <v/>
      </c>
      <c r="BK528">
        <f>IFERROR(INDEX(PP_Grid[#Data],$DE528,60),0)</f>
        <v/>
      </c>
      <c r="BL528">
        <f>IFERROR(INDEX(PP_Grid[#Data],$DE528,61),0)</f>
        <v/>
      </c>
      <c r="BM528">
        <f>IFERROR(INDEX(PP_Grid[#Data],$DE528,62),0)</f>
        <v/>
      </c>
      <c r="BN528">
        <f>IFERROR(INDEX(PP_Grid[#Data],$DE528,63),0)</f>
        <v/>
      </c>
      <c r="BO528">
        <f>IFERROR(INDEX(PP_Grid[#Data],$DE528,64),0)</f>
        <v/>
      </c>
      <c r="BP528">
        <f>IFERROR(INDEX(PP_Grid[#Data],$DE528,65),0)</f>
        <v/>
      </c>
      <c r="BQ528">
        <f>IFERROR(INDEX(PP_Grid[#Data],$DE528,66),0)</f>
        <v/>
      </c>
      <c r="BR528">
        <f>IFERROR(INDEX(PP_Grid[#Data],$DE528,67),0)</f>
        <v/>
      </c>
      <c r="BS528">
        <f>IFERROR(INDEX(PP_Grid[#Data],$DE528,68),0)</f>
        <v/>
      </c>
      <c r="BT528">
        <f>IFERROR(INDEX(PP_Grid[#Data],$DE528,69),0)</f>
        <v/>
      </c>
      <c r="BU528">
        <f>IFERROR(INDEX(PP_Grid[#Data],$DE528,70),0)</f>
        <v/>
      </c>
      <c r="BV528">
        <f>IFERROR(INDEX(PP_Grid[#Data],$DE528,71),0)</f>
        <v/>
      </c>
      <c r="BW528">
        <f>IFERROR(INDEX(PP_Grid[#Data],$DE528,72),0)</f>
        <v/>
      </c>
      <c r="BX528">
        <f>IFERROR(INDEX(PP_Grid[#Data],$DE528,73),0)</f>
        <v/>
      </c>
      <c r="BY528">
        <f>IFERROR(INDEX(PP_Grid[#Data],$DE528,74),0)</f>
        <v/>
      </c>
      <c r="BZ528">
        <f>IFERROR(INDEX(PP_Grid[#Data],$DE528,75),0)</f>
        <v/>
      </c>
      <c r="CA528">
        <f>IFERROR(INDEX(PP_Grid[#Data],$DE528,76),0)</f>
        <v/>
      </c>
      <c r="CB528">
        <f>IFERROR(INDEX(PP_Grid[#Data],$DE528,77),0)</f>
        <v/>
      </c>
      <c r="CC528">
        <f>IFERROR(INDEX(PP_Grid[#Data],$DE528,78),0)</f>
        <v/>
      </c>
      <c r="CD528">
        <f>IFERROR(INDEX(PP_Grid[#Data],$DE528,79),0)</f>
        <v/>
      </c>
      <c r="CE528">
        <f>IFERROR(INDEX(PP_Grid[#Data],$DE528,80),0)</f>
        <v/>
      </c>
      <c r="CF528">
        <f>IFERROR(INDEX(PP_Grid[#Data],$DE528,81),0)</f>
        <v/>
      </c>
      <c r="CG528">
        <f>IFERROR(INDEX(PP_Grid[#Data],$DE528,82),0)</f>
        <v/>
      </c>
      <c r="CH528">
        <f>IFERROR(INDEX(PP_Grid[#Data],$DE528,83),0)</f>
        <v/>
      </c>
      <c r="CI528">
        <f>IFERROR(INDEX(PP_Grid[#Data],$DE528,84),0)</f>
        <v/>
      </c>
      <c r="CJ528">
        <f>IFERROR(INDEX(PP_Grid[#Data],$DE528,85),0)</f>
        <v/>
      </c>
      <c r="CK528">
        <f>IFERROR(INDEX(PP_Grid[#Data],$DE528,86),0)</f>
        <v/>
      </c>
      <c r="CL528">
        <f>IFERROR(INDEX(PP_Grid[#Data],$DE528,87),0)</f>
        <v/>
      </c>
      <c r="CM528">
        <f>IFERROR(INDEX(PP_Grid[#Data],$DE528,88),0)</f>
        <v/>
      </c>
      <c r="CN528">
        <f>IFERROR(INDEX(PP_Grid[#Data],$DE528,89),0)</f>
        <v/>
      </c>
      <c r="CO528">
        <f>IFERROR(INDEX(PP_Grid[#Data],$DE528,90),0)</f>
        <v/>
      </c>
      <c r="CP528">
        <f>IFERROR(INDEX(PP_Grid[#Data],$DE528,91),0)</f>
        <v/>
      </c>
      <c r="CQ528">
        <f>IFERROR(INDEX(PP_Grid[#Data],$DE528,92),0)</f>
        <v/>
      </c>
      <c r="CR528">
        <f>IFERROR(INDEX(PP_Grid[#Data],$DE528,93),0)</f>
        <v/>
      </c>
      <c r="CS528">
        <f>IFERROR(INDEX(PP_Grid[#Data],$DE528,94),0)</f>
        <v/>
      </c>
      <c r="CT528">
        <f>IFERROR(INDEX(PP_Grid[#Data],$DE528,95),0)</f>
        <v/>
      </c>
      <c r="CU528">
        <f>IFERROR(INDEX(PP_Grid[#Data],$DE528,96),0)</f>
        <v/>
      </c>
      <c r="CV528">
        <f>IFERROR(INDEX(PP_Grid[#Data],$DE528,97),0)</f>
        <v/>
      </c>
      <c r="CW528">
        <f>IFERROR(INDEX(PP_Grid[#Data],$DE528,98),0)</f>
        <v/>
      </c>
      <c r="CX528">
        <f>IFERROR(INDEX(PP_Grid[#Data],$DE528,99),0)</f>
        <v/>
      </c>
      <c r="CY528">
        <f>IFERROR(INDEX(PP_Grid[#Data],$DE528,100),0)</f>
        <v/>
      </c>
      <c r="CZ528">
        <f>IFERROR(INDEX(PP_Grid[#Data],$DE528,101),0)</f>
        <v/>
      </c>
      <c r="DA528">
        <f>IFERROR(INDEX(PP_Grid[#Data],$DE528,102),0)</f>
        <v/>
      </c>
      <c r="DB528">
        <f>IFERROR(INDEX(PP_Grid[#Data],$DE528,103),0)</f>
        <v/>
      </c>
      <c r="DC528">
        <f>IFERROR(INDEX(PP_Grid[#Data],$DE528,104),0)</f>
        <v/>
      </c>
      <c r="DD528">
        <f>IFERROR(INDEX(PP_Grid[#Data],$DE528,105),0)</f>
        <v/>
      </c>
      <c r="DE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SUMIFS(M_BOM[RM_Qty_Per_Batch],M_BOM[Intermediate],$B528,M_BOM[RM_Code],$A515)</f>
        <v/>
      </c>
      <c r="D529">
        <f>IFERROR(INDEX(E529:DD529,$F$1),"")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  <c r="DD529">
        <f>$C529*DD528</f>
        <v/>
      </c>
    </row>
    <row r="530">
      <c r="B530" t="inlineStr">
        <is>
          <t>TSP-206</t>
        </is>
      </c>
      <c r="C530" t="inlineStr">
        <is>
          <t>No. of batches</t>
        </is>
      </c>
      <c r="D530">
        <f>IFERROR(INDEX(E530:DD530,$F$1),"")</f>
        <v/>
      </c>
      <c r="E530">
        <f>IFERROR(INDEX(PP_Grid[#Data],$DE530,2),0)</f>
        <v/>
      </c>
      <c r="F530">
        <f>IFERROR(INDEX(PP_Grid[#Data],$DE530,3),0)</f>
        <v/>
      </c>
      <c r="G530">
        <f>IFERROR(INDEX(PP_Grid[#Data],$DE530,4),0)</f>
        <v/>
      </c>
      <c r="H530">
        <f>IFERROR(INDEX(PP_Grid[#Data],$DE530,5),0)</f>
        <v/>
      </c>
      <c r="I530">
        <f>IFERROR(INDEX(PP_Grid[#Data],$DE530,6),0)</f>
        <v/>
      </c>
      <c r="J530">
        <f>IFERROR(INDEX(PP_Grid[#Data],$DE530,7),0)</f>
        <v/>
      </c>
      <c r="K530">
        <f>IFERROR(INDEX(PP_Grid[#Data],$DE530,8),0)</f>
        <v/>
      </c>
      <c r="L530">
        <f>IFERROR(INDEX(PP_Grid[#Data],$DE530,9),0)</f>
        <v/>
      </c>
      <c r="M530">
        <f>IFERROR(INDEX(PP_Grid[#Data],$DE530,10),0)</f>
        <v/>
      </c>
      <c r="N530">
        <f>IFERROR(INDEX(PP_Grid[#Data],$DE530,11),0)</f>
        <v/>
      </c>
      <c r="O530">
        <f>IFERROR(INDEX(PP_Grid[#Data],$DE530,12),0)</f>
        <v/>
      </c>
      <c r="P530">
        <f>IFERROR(INDEX(PP_Grid[#Data],$DE530,13),0)</f>
        <v/>
      </c>
      <c r="Q530">
        <f>IFERROR(INDEX(PP_Grid[#Data],$DE530,14),0)</f>
        <v/>
      </c>
      <c r="R530">
        <f>IFERROR(INDEX(PP_Grid[#Data],$DE530,15),0)</f>
        <v/>
      </c>
      <c r="S530">
        <f>IFERROR(INDEX(PP_Grid[#Data],$DE530,16),0)</f>
        <v/>
      </c>
      <c r="T530">
        <f>IFERROR(INDEX(PP_Grid[#Data],$DE530,17),0)</f>
        <v/>
      </c>
      <c r="U530">
        <f>IFERROR(INDEX(PP_Grid[#Data],$DE530,18),0)</f>
        <v/>
      </c>
      <c r="V530">
        <f>IFERROR(INDEX(PP_Grid[#Data],$DE530,19),0)</f>
        <v/>
      </c>
      <c r="W530">
        <f>IFERROR(INDEX(PP_Grid[#Data],$DE530,20),0)</f>
        <v/>
      </c>
      <c r="X530">
        <f>IFERROR(INDEX(PP_Grid[#Data],$DE530,21),0)</f>
        <v/>
      </c>
      <c r="Y530">
        <f>IFERROR(INDEX(PP_Grid[#Data],$DE530,22),0)</f>
        <v/>
      </c>
      <c r="Z530">
        <f>IFERROR(INDEX(PP_Grid[#Data],$DE530,23),0)</f>
        <v/>
      </c>
      <c r="AA530">
        <f>IFERROR(INDEX(PP_Grid[#Data],$DE530,24),0)</f>
        <v/>
      </c>
      <c r="AB530">
        <f>IFERROR(INDEX(PP_Grid[#Data],$DE530,25),0)</f>
        <v/>
      </c>
      <c r="AC530">
        <f>IFERROR(INDEX(PP_Grid[#Data],$DE530,26),0)</f>
        <v/>
      </c>
      <c r="AD530">
        <f>IFERROR(INDEX(PP_Grid[#Data],$DE530,27),0)</f>
        <v/>
      </c>
      <c r="AE530">
        <f>IFERROR(INDEX(PP_Grid[#Data],$DE530,28),0)</f>
        <v/>
      </c>
      <c r="AF530">
        <f>IFERROR(INDEX(PP_Grid[#Data],$DE530,29),0)</f>
        <v/>
      </c>
      <c r="AG530">
        <f>IFERROR(INDEX(PP_Grid[#Data],$DE530,30),0)</f>
        <v/>
      </c>
      <c r="AH530">
        <f>IFERROR(INDEX(PP_Grid[#Data],$DE530,31),0)</f>
        <v/>
      </c>
      <c r="AI530">
        <f>IFERROR(INDEX(PP_Grid[#Data],$DE530,32),0)</f>
        <v/>
      </c>
      <c r="AJ530">
        <f>IFERROR(INDEX(PP_Grid[#Data],$DE530,33),0)</f>
        <v/>
      </c>
      <c r="AK530">
        <f>IFERROR(INDEX(PP_Grid[#Data],$DE530,34),0)</f>
        <v/>
      </c>
      <c r="AL530">
        <f>IFERROR(INDEX(PP_Grid[#Data],$DE530,35),0)</f>
        <v/>
      </c>
      <c r="AM530">
        <f>IFERROR(INDEX(PP_Grid[#Data],$DE530,36),0)</f>
        <v/>
      </c>
      <c r="AN530">
        <f>IFERROR(INDEX(PP_Grid[#Data],$DE530,37),0)</f>
        <v/>
      </c>
      <c r="AO530">
        <f>IFERROR(INDEX(PP_Grid[#Data],$DE530,38),0)</f>
        <v/>
      </c>
      <c r="AP530">
        <f>IFERROR(INDEX(PP_Grid[#Data],$DE530,39),0)</f>
        <v/>
      </c>
      <c r="AQ530">
        <f>IFERROR(INDEX(PP_Grid[#Data],$DE530,40),0)</f>
        <v/>
      </c>
      <c r="AR530">
        <f>IFERROR(INDEX(PP_Grid[#Data],$DE530,41),0)</f>
        <v/>
      </c>
      <c r="AS530">
        <f>IFERROR(INDEX(PP_Grid[#Data],$DE530,42),0)</f>
        <v/>
      </c>
      <c r="AT530">
        <f>IFERROR(INDEX(PP_Grid[#Data],$DE530,43),0)</f>
        <v/>
      </c>
      <c r="AU530">
        <f>IFERROR(INDEX(PP_Grid[#Data],$DE530,44),0)</f>
        <v/>
      </c>
      <c r="AV530">
        <f>IFERROR(INDEX(PP_Grid[#Data],$DE530,45),0)</f>
        <v/>
      </c>
      <c r="AW530">
        <f>IFERROR(INDEX(PP_Grid[#Data],$DE530,46),0)</f>
        <v/>
      </c>
      <c r="AX530">
        <f>IFERROR(INDEX(PP_Grid[#Data],$DE530,47),0)</f>
        <v/>
      </c>
      <c r="AY530">
        <f>IFERROR(INDEX(PP_Grid[#Data],$DE530,48),0)</f>
        <v/>
      </c>
      <c r="AZ530">
        <f>IFERROR(INDEX(PP_Grid[#Data],$DE530,49),0)</f>
        <v/>
      </c>
      <c r="BA530">
        <f>IFERROR(INDEX(PP_Grid[#Data],$DE530,50),0)</f>
        <v/>
      </c>
      <c r="BB530">
        <f>IFERROR(INDEX(PP_Grid[#Data],$DE530,51),0)</f>
        <v/>
      </c>
      <c r="BC530">
        <f>IFERROR(INDEX(PP_Grid[#Data],$DE530,52),0)</f>
        <v/>
      </c>
      <c r="BD530">
        <f>IFERROR(INDEX(PP_Grid[#Data],$DE530,53),0)</f>
        <v/>
      </c>
      <c r="BE530">
        <f>IFERROR(INDEX(PP_Grid[#Data],$DE530,54),0)</f>
        <v/>
      </c>
      <c r="BF530">
        <f>IFERROR(INDEX(PP_Grid[#Data],$DE530,55),0)</f>
        <v/>
      </c>
      <c r="BG530">
        <f>IFERROR(INDEX(PP_Grid[#Data],$DE530,56),0)</f>
        <v/>
      </c>
      <c r="BH530">
        <f>IFERROR(INDEX(PP_Grid[#Data],$DE530,57),0)</f>
        <v/>
      </c>
      <c r="BI530">
        <f>IFERROR(INDEX(PP_Grid[#Data],$DE530,58),0)</f>
        <v/>
      </c>
      <c r="BJ530">
        <f>IFERROR(INDEX(PP_Grid[#Data],$DE530,59),0)</f>
        <v/>
      </c>
      <c r="BK530">
        <f>IFERROR(INDEX(PP_Grid[#Data],$DE530,60),0)</f>
        <v/>
      </c>
      <c r="BL530">
        <f>IFERROR(INDEX(PP_Grid[#Data],$DE530,61),0)</f>
        <v/>
      </c>
      <c r="BM530">
        <f>IFERROR(INDEX(PP_Grid[#Data],$DE530,62),0)</f>
        <v/>
      </c>
      <c r="BN530">
        <f>IFERROR(INDEX(PP_Grid[#Data],$DE530,63),0)</f>
        <v/>
      </c>
      <c r="BO530">
        <f>IFERROR(INDEX(PP_Grid[#Data],$DE530,64),0)</f>
        <v/>
      </c>
      <c r="BP530">
        <f>IFERROR(INDEX(PP_Grid[#Data],$DE530,65),0)</f>
        <v/>
      </c>
      <c r="BQ530">
        <f>IFERROR(INDEX(PP_Grid[#Data],$DE530,66),0)</f>
        <v/>
      </c>
      <c r="BR530">
        <f>IFERROR(INDEX(PP_Grid[#Data],$DE530,67),0)</f>
        <v/>
      </c>
      <c r="BS530">
        <f>IFERROR(INDEX(PP_Grid[#Data],$DE530,68),0)</f>
        <v/>
      </c>
      <c r="BT530">
        <f>IFERROR(INDEX(PP_Grid[#Data],$DE530,69),0)</f>
        <v/>
      </c>
      <c r="BU530">
        <f>IFERROR(INDEX(PP_Grid[#Data],$DE530,70),0)</f>
        <v/>
      </c>
      <c r="BV530">
        <f>IFERROR(INDEX(PP_Grid[#Data],$DE530,71),0)</f>
        <v/>
      </c>
      <c r="BW530">
        <f>IFERROR(INDEX(PP_Grid[#Data],$DE530,72),0)</f>
        <v/>
      </c>
      <c r="BX530">
        <f>IFERROR(INDEX(PP_Grid[#Data],$DE530,73),0)</f>
        <v/>
      </c>
      <c r="BY530">
        <f>IFERROR(INDEX(PP_Grid[#Data],$DE530,74),0)</f>
        <v/>
      </c>
      <c r="BZ530">
        <f>IFERROR(INDEX(PP_Grid[#Data],$DE530,75),0)</f>
        <v/>
      </c>
      <c r="CA530">
        <f>IFERROR(INDEX(PP_Grid[#Data],$DE530,76),0)</f>
        <v/>
      </c>
      <c r="CB530">
        <f>IFERROR(INDEX(PP_Grid[#Data],$DE530,77),0)</f>
        <v/>
      </c>
      <c r="CC530">
        <f>IFERROR(INDEX(PP_Grid[#Data],$DE530,78),0)</f>
        <v/>
      </c>
      <c r="CD530">
        <f>IFERROR(INDEX(PP_Grid[#Data],$DE530,79),0)</f>
        <v/>
      </c>
      <c r="CE530">
        <f>IFERROR(INDEX(PP_Grid[#Data],$DE530,80),0)</f>
        <v/>
      </c>
      <c r="CF530">
        <f>IFERROR(INDEX(PP_Grid[#Data],$DE530,81),0)</f>
        <v/>
      </c>
      <c r="CG530">
        <f>IFERROR(INDEX(PP_Grid[#Data],$DE530,82),0)</f>
        <v/>
      </c>
      <c r="CH530">
        <f>IFERROR(INDEX(PP_Grid[#Data],$DE530,83),0)</f>
        <v/>
      </c>
      <c r="CI530">
        <f>IFERROR(INDEX(PP_Grid[#Data],$DE530,84),0)</f>
        <v/>
      </c>
      <c r="CJ530">
        <f>IFERROR(INDEX(PP_Grid[#Data],$DE530,85),0)</f>
        <v/>
      </c>
      <c r="CK530">
        <f>IFERROR(INDEX(PP_Grid[#Data],$DE530,86),0)</f>
        <v/>
      </c>
      <c r="CL530">
        <f>IFERROR(INDEX(PP_Grid[#Data],$DE530,87),0)</f>
        <v/>
      </c>
      <c r="CM530">
        <f>IFERROR(INDEX(PP_Grid[#Data],$DE530,88),0)</f>
        <v/>
      </c>
      <c r="CN530">
        <f>IFERROR(INDEX(PP_Grid[#Data],$DE530,89),0)</f>
        <v/>
      </c>
      <c r="CO530">
        <f>IFERROR(INDEX(PP_Grid[#Data],$DE530,90),0)</f>
        <v/>
      </c>
      <c r="CP530">
        <f>IFERROR(INDEX(PP_Grid[#Data],$DE530,91),0)</f>
        <v/>
      </c>
      <c r="CQ530">
        <f>IFERROR(INDEX(PP_Grid[#Data],$DE530,92),0)</f>
        <v/>
      </c>
      <c r="CR530">
        <f>IFERROR(INDEX(PP_Grid[#Data],$DE530,93),0)</f>
        <v/>
      </c>
      <c r="CS530">
        <f>IFERROR(INDEX(PP_Grid[#Data],$DE530,94),0)</f>
        <v/>
      </c>
      <c r="CT530">
        <f>IFERROR(INDEX(PP_Grid[#Data],$DE530,95),0)</f>
        <v/>
      </c>
      <c r="CU530">
        <f>IFERROR(INDEX(PP_Grid[#Data],$DE530,96),0)</f>
        <v/>
      </c>
      <c r="CV530">
        <f>IFERROR(INDEX(PP_Grid[#Data],$DE530,97),0)</f>
        <v/>
      </c>
      <c r="CW530">
        <f>IFERROR(INDEX(PP_Grid[#Data],$DE530,98),0)</f>
        <v/>
      </c>
      <c r="CX530">
        <f>IFERROR(INDEX(PP_Grid[#Data],$DE530,99),0)</f>
        <v/>
      </c>
      <c r="CY530">
        <f>IFERROR(INDEX(PP_Grid[#Data],$DE530,100),0)</f>
        <v/>
      </c>
      <c r="CZ530">
        <f>IFERROR(INDEX(PP_Grid[#Data],$DE530,101),0)</f>
        <v/>
      </c>
      <c r="DA530">
        <f>IFERROR(INDEX(PP_Grid[#Data],$DE530,102),0)</f>
        <v/>
      </c>
      <c r="DB530">
        <f>IFERROR(INDEX(PP_Grid[#Data],$DE530,103),0)</f>
        <v/>
      </c>
      <c r="DC530">
        <f>IFERROR(INDEX(PP_Grid[#Data],$DE530,104),0)</f>
        <v/>
      </c>
      <c r="DD530">
        <f>IFERROR(INDEX(PP_Grid[#Data],$DE530,105),0)</f>
        <v/>
      </c>
      <c r="DE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SUMIFS(M_BOM[RM_Qty_Per_Batch],M_BOM[Intermediate],$B530,M_BOM[RM_Code],$A515)</f>
        <v/>
      </c>
      <c r="D531">
        <f>IFERROR(INDEX(E531:DD531,$F$1),"")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  <c r="DD531">
        <f>$C531*DD530</f>
        <v/>
      </c>
    </row>
    <row r="532">
      <c r="B532" t="inlineStr">
        <is>
          <t>TSP-224</t>
        </is>
      </c>
      <c r="C532" t="inlineStr">
        <is>
          <t>No. of batches</t>
        </is>
      </c>
      <c r="D532">
        <f>IFERROR(INDEX(E532:DD532,$F$1),"")</f>
        <v/>
      </c>
      <c r="E532">
        <f>IFERROR(INDEX(PP_Grid[#Data],$DE532,2),0)</f>
        <v/>
      </c>
      <c r="F532">
        <f>IFERROR(INDEX(PP_Grid[#Data],$DE532,3),0)</f>
        <v/>
      </c>
      <c r="G532">
        <f>IFERROR(INDEX(PP_Grid[#Data],$DE532,4),0)</f>
        <v/>
      </c>
      <c r="H532">
        <f>IFERROR(INDEX(PP_Grid[#Data],$DE532,5),0)</f>
        <v/>
      </c>
      <c r="I532">
        <f>IFERROR(INDEX(PP_Grid[#Data],$DE532,6),0)</f>
        <v/>
      </c>
      <c r="J532">
        <f>IFERROR(INDEX(PP_Grid[#Data],$DE532,7),0)</f>
        <v/>
      </c>
      <c r="K532">
        <f>IFERROR(INDEX(PP_Grid[#Data],$DE532,8),0)</f>
        <v/>
      </c>
      <c r="L532">
        <f>IFERROR(INDEX(PP_Grid[#Data],$DE532,9),0)</f>
        <v/>
      </c>
      <c r="M532">
        <f>IFERROR(INDEX(PP_Grid[#Data],$DE532,10),0)</f>
        <v/>
      </c>
      <c r="N532">
        <f>IFERROR(INDEX(PP_Grid[#Data],$DE532,11),0)</f>
        <v/>
      </c>
      <c r="O532">
        <f>IFERROR(INDEX(PP_Grid[#Data],$DE532,12),0)</f>
        <v/>
      </c>
      <c r="P532">
        <f>IFERROR(INDEX(PP_Grid[#Data],$DE532,13),0)</f>
        <v/>
      </c>
      <c r="Q532">
        <f>IFERROR(INDEX(PP_Grid[#Data],$DE532,14),0)</f>
        <v/>
      </c>
      <c r="R532">
        <f>IFERROR(INDEX(PP_Grid[#Data],$DE532,15),0)</f>
        <v/>
      </c>
      <c r="S532">
        <f>IFERROR(INDEX(PP_Grid[#Data],$DE532,16),0)</f>
        <v/>
      </c>
      <c r="T532">
        <f>IFERROR(INDEX(PP_Grid[#Data],$DE532,17),0)</f>
        <v/>
      </c>
      <c r="U532">
        <f>IFERROR(INDEX(PP_Grid[#Data],$DE532,18),0)</f>
        <v/>
      </c>
      <c r="V532">
        <f>IFERROR(INDEX(PP_Grid[#Data],$DE532,19),0)</f>
        <v/>
      </c>
      <c r="W532">
        <f>IFERROR(INDEX(PP_Grid[#Data],$DE532,20),0)</f>
        <v/>
      </c>
      <c r="X532">
        <f>IFERROR(INDEX(PP_Grid[#Data],$DE532,21),0)</f>
        <v/>
      </c>
      <c r="Y532">
        <f>IFERROR(INDEX(PP_Grid[#Data],$DE532,22),0)</f>
        <v/>
      </c>
      <c r="Z532">
        <f>IFERROR(INDEX(PP_Grid[#Data],$DE532,23),0)</f>
        <v/>
      </c>
      <c r="AA532">
        <f>IFERROR(INDEX(PP_Grid[#Data],$DE532,24),0)</f>
        <v/>
      </c>
      <c r="AB532">
        <f>IFERROR(INDEX(PP_Grid[#Data],$DE532,25),0)</f>
        <v/>
      </c>
      <c r="AC532">
        <f>IFERROR(INDEX(PP_Grid[#Data],$DE532,26),0)</f>
        <v/>
      </c>
      <c r="AD532">
        <f>IFERROR(INDEX(PP_Grid[#Data],$DE532,27),0)</f>
        <v/>
      </c>
      <c r="AE532">
        <f>IFERROR(INDEX(PP_Grid[#Data],$DE532,28),0)</f>
        <v/>
      </c>
      <c r="AF532">
        <f>IFERROR(INDEX(PP_Grid[#Data],$DE532,29),0)</f>
        <v/>
      </c>
      <c r="AG532">
        <f>IFERROR(INDEX(PP_Grid[#Data],$DE532,30),0)</f>
        <v/>
      </c>
      <c r="AH532">
        <f>IFERROR(INDEX(PP_Grid[#Data],$DE532,31),0)</f>
        <v/>
      </c>
      <c r="AI532">
        <f>IFERROR(INDEX(PP_Grid[#Data],$DE532,32),0)</f>
        <v/>
      </c>
      <c r="AJ532">
        <f>IFERROR(INDEX(PP_Grid[#Data],$DE532,33),0)</f>
        <v/>
      </c>
      <c r="AK532">
        <f>IFERROR(INDEX(PP_Grid[#Data],$DE532,34),0)</f>
        <v/>
      </c>
      <c r="AL532">
        <f>IFERROR(INDEX(PP_Grid[#Data],$DE532,35),0)</f>
        <v/>
      </c>
      <c r="AM532">
        <f>IFERROR(INDEX(PP_Grid[#Data],$DE532,36),0)</f>
        <v/>
      </c>
      <c r="AN532">
        <f>IFERROR(INDEX(PP_Grid[#Data],$DE532,37),0)</f>
        <v/>
      </c>
      <c r="AO532">
        <f>IFERROR(INDEX(PP_Grid[#Data],$DE532,38),0)</f>
        <v/>
      </c>
      <c r="AP532">
        <f>IFERROR(INDEX(PP_Grid[#Data],$DE532,39),0)</f>
        <v/>
      </c>
      <c r="AQ532">
        <f>IFERROR(INDEX(PP_Grid[#Data],$DE532,40),0)</f>
        <v/>
      </c>
      <c r="AR532">
        <f>IFERROR(INDEX(PP_Grid[#Data],$DE532,41),0)</f>
        <v/>
      </c>
      <c r="AS532">
        <f>IFERROR(INDEX(PP_Grid[#Data],$DE532,42),0)</f>
        <v/>
      </c>
      <c r="AT532">
        <f>IFERROR(INDEX(PP_Grid[#Data],$DE532,43),0)</f>
        <v/>
      </c>
      <c r="AU532">
        <f>IFERROR(INDEX(PP_Grid[#Data],$DE532,44),0)</f>
        <v/>
      </c>
      <c r="AV532">
        <f>IFERROR(INDEX(PP_Grid[#Data],$DE532,45),0)</f>
        <v/>
      </c>
      <c r="AW532">
        <f>IFERROR(INDEX(PP_Grid[#Data],$DE532,46),0)</f>
        <v/>
      </c>
      <c r="AX532">
        <f>IFERROR(INDEX(PP_Grid[#Data],$DE532,47),0)</f>
        <v/>
      </c>
      <c r="AY532">
        <f>IFERROR(INDEX(PP_Grid[#Data],$DE532,48),0)</f>
        <v/>
      </c>
      <c r="AZ532">
        <f>IFERROR(INDEX(PP_Grid[#Data],$DE532,49),0)</f>
        <v/>
      </c>
      <c r="BA532">
        <f>IFERROR(INDEX(PP_Grid[#Data],$DE532,50),0)</f>
        <v/>
      </c>
      <c r="BB532">
        <f>IFERROR(INDEX(PP_Grid[#Data],$DE532,51),0)</f>
        <v/>
      </c>
      <c r="BC532">
        <f>IFERROR(INDEX(PP_Grid[#Data],$DE532,52),0)</f>
        <v/>
      </c>
      <c r="BD532">
        <f>IFERROR(INDEX(PP_Grid[#Data],$DE532,53),0)</f>
        <v/>
      </c>
      <c r="BE532">
        <f>IFERROR(INDEX(PP_Grid[#Data],$DE532,54),0)</f>
        <v/>
      </c>
      <c r="BF532">
        <f>IFERROR(INDEX(PP_Grid[#Data],$DE532,55),0)</f>
        <v/>
      </c>
      <c r="BG532">
        <f>IFERROR(INDEX(PP_Grid[#Data],$DE532,56),0)</f>
        <v/>
      </c>
      <c r="BH532">
        <f>IFERROR(INDEX(PP_Grid[#Data],$DE532,57),0)</f>
        <v/>
      </c>
      <c r="BI532">
        <f>IFERROR(INDEX(PP_Grid[#Data],$DE532,58),0)</f>
        <v/>
      </c>
      <c r="BJ532">
        <f>IFERROR(INDEX(PP_Grid[#Data],$DE532,59),0)</f>
        <v/>
      </c>
      <c r="BK532">
        <f>IFERROR(INDEX(PP_Grid[#Data],$DE532,60),0)</f>
        <v/>
      </c>
      <c r="BL532">
        <f>IFERROR(INDEX(PP_Grid[#Data],$DE532,61),0)</f>
        <v/>
      </c>
      <c r="BM532">
        <f>IFERROR(INDEX(PP_Grid[#Data],$DE532,62),0)</f>
        <v/>
      </c>
      <c r="BN532">
        <f>IFERROR(INDEX(PP_Grid[#Data],$DE532,63),0)</f>
        <v/>
      </c>
      <c r="BO532">
        <f>IFERROR(INDEX(PP_Grid[#Data],$DE532,64),0)</f>
        <v/>
      </c>
      <c r="BP532">
        <f>IFERROR(INDEX(PP_Grid[#Data],$DE532,65),0)</f>
        <v/>
      </c>
      <c r="BQ532">
        <f>IFERROR(INDEX(PP_Grid[#Data],$DE532,66),0)</f>
        <v/>
      </c>
      <c r="BR532">
        <f>IFERROR(INDEX(PP_Grid[#Data],$DE532,67),0)</f>
        <v/>
      </c>
      <c r="BS532">
        <f>IFERROR(INDEX(PP_Grid[#Data],$DE532,68),0)</f>
        <v/>
      </c>
      <c r="BT532">
        <f>IFERROR(INDEX(PP_Grid[#Data],$DE532,69),0)</f>
        <v/>
      </c>
      <c r="BU532">
        <f>IFERROR(INDEX(PP_Grid[#Data],$DE532,70),0)</f>
        <v/>
      </c>
      <c r="BV532">
        <f>IFERROR(INDEX(PP_Grid[#Data],$DE532,71),0)</f>
        <v/>
      </c>
      <c r="BW532">
        <f>IFERROR(INDEX(PP_Grid[#Data],$DE532,72),0)</f>
        <v/>
      </c>
      <c r="BX532">
        <f>IFERROR(INDEX(PP_Grid[#Data],$DE532,73),0)</f>
        <v/>
      </c>
      <c r="BY532">
        <f>IFERROR(INDEX(PP_Grid[#Data],$DE532,74),0)</f>
        <v/>
      </c>
      <c r="BZ532">
        <f>IFERROR(INDEX(PP_Grid[#Data],$DE532,75),0)</f>
        <v/>
      </c>
      <c r="CA532">
        <f>IFERROR(INDEX(PP_Grid[#Data],$DE532,76),0)</f>
        <v/>
      </c>
      <c r="CB532">
        <f>IFERROR(INDEX(PP_Grid[#Data],$DE532,77),0)</f>
        <v/>
      </c>
      <c r="CC532">
        <f>IFERROR(INDEX(PP_Grid[#Data],$DE532,78),0)</f>
        <v/>
      </c>
      <c r="CD532">
        <f>IFERROR(INDEX(PP_Grid[#Data],$DE532,79),0)</f>
        <v/>
      </c>
      <c r="CE532">
        <f>IFERROR(INDEX(PP_Grid[#Data],$DE532,80),0)</f>
        <v/>
      </c>
      <c r="CF532">
        <f>IFERROR(INDEX(PP_Grid[#Data],$DE532,81),0)</f>
        <v/>
      </c>
      <c r="CG532">
        <f>IFERROR(INDEX(PP_Grid[#Data],$DE532,82),0)</f>
        <v/>
      </c>
      <c r="CH532">
        <f>IFERROR(INDEX(PP_Grid[#Data],$DE532,83),0)</f>
        <v/>
      </c>
      <c r="CI532">
        <f>IFERROR(INDEX(PP_Grid[#Data],$DE532,84),0)</f>
        <v/>
      </c>
      <c r="CJ532">
        <f>IFERROR(INDEX(PP_Grid[#Data],$DE532,85),0)</f>
        <v/>
      </c>
      <c r="CK532">
        <f>IFERROR(INDEX(PP_Grid[#Data],$DE532,86),0)</f>
        <v/>
      </c>
      <c r="CL532">
        <f>IFERROR(INDEX(PP_Grid[#Data],$DE532,87),0)</f>
        <v/>
      </c>
      <c r="CM532">
        <f>IFERROR(INDEX(PP_Grid[#Data],$DE532,88),0)</f>
        <v/>
      </c>
      <c r="CN532">
        <f>IFERROR(INDEX(PP_Grid[#Data],$DE532,89),0)</f>
        <v/>
      </c>
      <c r="CO532">
        <f>IFERROR(INDEX(PP_Grid[#Data],$DE532,90),0)</f>
        <v/>
      </c>
      <c r="CP532">
        <f>IFERROR(INDEX(PP_Grid[#Data],$DE532,91),0)</f>
        <v/>
      </c>
      <c r="CQ532">
        <f>IFERROR(INDEX(PP_Grid[#Data],$DE532,92),0)</f>
        <v/>
      </c>
      <c r="CR532">
        <f>IFERROR(INDEX(PP_Grid[#Data],$DE532,93),0)</f>
        <v/>
      </c>
      <c r="CS532">
        <f>IFERROR(INDEX(PP_Grid[#Data],$DE532,94),0)</f>
        <v/>
      </c>
      <c r="CT532">
        <f>IFERROR(INDEX(PP_Grid[#Data],$DE532,95),0)</f>
        <v/>
      </c>
      <c r="CU532">
        <f>IFERROR(INDEX(PP_Grid[#Data],$DE532,96),0)</f>
        <v/>
      </c>
      <c r="CV532">
        <f>IFERROR(INDEX(PP_Grid[#Data],$DE532,97),0)</f>
        <v/>
      </c>
      <c r="CW532">
        <f>IFERROR(INDEX(PP_Grid[#Data],$DE532,98),0)</f>
        <v/>
      </c>
      <c r="CX532">
        <f>IFERROR(INDEX(PP_Grid[#Data],$DE532,99),0)</f>
        <v/>
      </c>
      <c r="CY532">
        <f>IFERROR(INDEX(PP_Grid[#Data],$DE532,100),0)</f>
        <v/>
      </c>
      <c r="CZ532">
        <f>IFERROR(INDEX(PP_Grid[#Data],$DE532,101),0)</f>
        <v/>
      </c>
      <c r="DA532">
        <f>IFERROR(INDEX(PP_Grid[#Data],$DE532,102),0)</f>
        <v/>
      </c>
      <c r="DB532">
        <f>IFERROR(INDEX(PP_Grid[#Data],$DE532,103),0)</f>
        <v/>
      </c>
      <c r="DC532">
        <f>IFERROR(INDEX(PP_Grid[#Data],$DE532,104),0)</f>
        <v/>
      </c>
      <c r="DD532">
        <f>IFERROR(INDEX(PP_Grid[#Data],$DE532,105),0)</f>
        <v/>
      </c>
      <c r="DE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SUMIFS(M_BOM[RM_Qty_Per_Batch],M_BOM[Intermediate],$B532,M_BOM[RM_Code],$A515)</f>
        <v/>
      </c>
      <c r="D533">
        <f>IFERROR(INDEX(E533:DD533,$F$1),"")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  <c r="DD533">
        <f>$C533*DD532</f>
        <v/>
      </c>
    </row>
    <row r="534">
      <c r="B534" t="inlineStr">
        <is>
          <t>TSP-367</t>
        </is>
      </c>
      <c r="C534" t="inlineStr">
        <is>
          <t>No. of batches</t>
        </is>
      </c>
      <c r="D534">
        <f>IFERROR(INDEX(E534:DD534,$F$1),"")</f>
        <v/>
      </c>
      <c r="E534">
        <f>IFERROR(INDEX(PP_Grid[#Data],$DE534,2),0)</f>
        <v/>
      </c>
      <c r="F534">
        <f>IFERROR(INDEX(PP_Grid[#Data],$DE534,3),0)</f>
        <v/>
      </c>
      <c r="G534">
        <f>IFERROR(INDEX(PP_Grid[#Data],$DE534,4),0)</f>
        <v/>
      </c>
      <c r="H534">
        <f>IFERROR(INDEX(PP_Grid[#Data],$DE534,5),0)</f>
        <v/>
      </c>
      <c r="I534">
        <f>IFERROR(INDEX(PP_Grid[#Data],$DE534,6),0)</f>
        <v/>
      </c>
      <c r="J534">
        <f>IFERROR(INDEX(PP_Grid[#Data],$DE534,7),0)</f>
        <v/>
      </c>
      <c r="K534">
        <f>IFERROR(INDEX(PP_Grid[#Data],$DE534,8),0)</f>
        <v/>
      </c>
      <c r="L534">
        <f>IFERROR(INDEX(PP_Grid[#Data],$DE534,9),0)</f>
        <v/>
      </c>
      <c r="M534">
        <f>IFERROR(INDEX(PP_Grid[#Data],$DE534,10),0)</f>
        <v/>
      </c>
      <c r="N534">
        <f>IFERROR(INDEX(PP_Grid[#Data],$DE534,11),0)</f>
        <v/>
      </c>
      <c r="O534">
        <f>IFERROR(INDEX(PP_Grid[#Data],$DE534,12),0)</f>
        <v/>
      </c>
      <c r="P534">
        <f>IFERROR(INDEX(PP_Grid[#Data],$DE534,13),0)</f>
        <v/>
      </c>
      <c r="Q534">
        <f>IFERROR(INDEX(PP_Grid[#Data],$DE534,14),0)</f>
        <v/>
      </c>
      <c r="R534">
        <f>IFERROR(INDEX(PP_Grid[#Data],$DE534,15),0)</f>
        <v/>
      </c>
      <c r="S534">
        <f>IFERROR(INDEX(PP_Grid[#Data],$DE534,16),0)</f>
        <v/>
      </c>
      <c r="T534">
        <f>IFERROR(INDEX(PP_Grid[#Data],$DE534,17),0)</f>
        <v/>
      </c>
      <c r="U534">
        <f>IFERROR(INDEX(PP_Grid[#Data],$DE534,18),0)</f>
        <v/>
      </c>
      <c r="V534">
        <f>IFERROR(INDEX(PP_Grid[#Data],$DE534,19),0)</f>
        <v/>
      </c>
      <c r="W534">
        <f>IFERROR(INDEX(PP_Grid[#Data],$DE534,20),0)</f>
        <v/>
      </c>
      <c r="X534">
        <f>IFERROR(INDEX(PP_Grid[#Data],$DE534,21),0)</f>
        <v/>
      </c>
      <c r="Y534">
        <f>IFERROR(INDEX(PP_Grid[#Data],$DE534,22),0)</f>
        <v/>
      </c>
      <c r="Z534">
        <f>IFERROR(INDEX(PP_Grid[#Data],$DE534,23),0)</f>
        <v/>
      </c>
      <c r="AA534">
        <f>IFERROR(INDEX(PP_Grid[#Data],$DE534,24),0)</f>
        <v/>
      </c>
      <c r="AB534">
        <f>IFERROR(INDEX(PP_Grid[#Data],$DE534,25),0)</f>
        <v/>
      </c>
      <c r="AC534">
        <f>IFERROR(INDEX(PP_Grid[#Data],$DE534,26),0)</f>
        <v/>
      </c>
      <c r="AD534">
        <f>IFERROR(INDEX(PP_Grid[#Data],$DE534,27),0)</f>
        <v/>
      </c>
      <c r="AE534">
        <f>IFERROR(INDEX(PP_Grid[#Data],$DE534,28),0)</f>
        <v/>
      </c>
      <c r="AF534">
        <f>IFERROR(INDEX(PP_Grid[#Data],$DE534,29),0)</f>
        <v/>
      </c>
      <c r="AG534">
        <f>IFERROR(INDEX(PP_Grid[#Data],$DE534,30),0)</f>
        <v/>
      </c>
      <c r="AH534">
        <f>IFERROR(INDEX(PP_Grid[#Data],$DE534,31),0)</f>
        <v/>
      </c>
      <c r="AI534">
        <f>IFERROR(INDEX(PP_Grid[#Data],$DE534,32),0)</f>
        <v/>
      </c>
      <c r="AJ534">
        <f>IFERROR(INDEX(PP_Grid[#Data],$DE534,33),0)</f>
        <v/>
      </c>
      <c r="AK534">
        <f>IFERROR(INDEX(PP_Grid[#Data],$DE534,34),0)</f>
        <v/>
      </c>
      <c r="AL534">
        <f>IFERROR(INDEX(PP_Grid[#Data],$DE534,35),0)</f>
        <v/>
      </c>
      <c r="AM534">
        <f>IFERROR(INDEX(PP_Grid[#Data],$DE534,36),0)</f>
        <v/>
      </c>
      <c r="AN534">
        <f>IFERROR(INDEX(PP_Grid[#Data],$DE534,37),0)</f>
        <v/>
      </c>
      <c r="AO534">
        <f>IFERROR(INDEX(PP_Grid[#Data],$DE534,38),0)</f>
        <v/>
      </c>
      <c r="AP534">
        <f>IFERROR(INDEX(PP_Grid[#Data],$DE534,39),0)</f>
        <v/>
      </c>
      <c r="AQ534">
        <f>IFERROR(INDEX(PP_Grid[#Data],$DE534,40),0)</f>
        <v/>
      </c>
      <c r="AR534">
        <f>IFERROR(INDEX(PP_Grid[#Data],$DE534,41),0)</f>
        <v/>
      </c>
      <c r="AS534">
        <f>IFERROR(INDEX(PP_Grid[#Data],$DE534,42),0)</f>
        <v/>
      </c>
      <c r="AT534">
        <f>IFERROR(INDEX(PP_Grid[#Data],$DE534,43),0)</f>
        <v/>
      </c>
      <c r="AU534">
        <f>IFERROR(INDEX(PP_Grid[#Data],$DE534,44),0)</f>
        <v/>
      </c>
      <c r="AV534">
        <f>IFERROR(INDEX(PP_Grid[#Data],$DE534,45),0)</f>
        <v/>
      </c>
      <c r="AW534">
        <f>IFERROR(INDEX(PP_Grid[#Data],$DE534,46),0)</f>
        <v/>
      </c>
      <c r="AX534">
        <f>IFERROR(INDEX(PP_Grid[#Data],$DE534,47),0)</f>
        <v/>
      </c>
      <c r="AY534">
        <f>IFERROR(INDEX(PP_Grid[#Data],$DE534,48),0)</f>
        <v/>
      </c>
      <c r="AZ534">
        <f>IFERROR(INDEX(PP_Grid[#Data],$DE534,49),0)</f>
        <v/>
      </c>
      <c r="BA534">
        <f>IFERROR(INDEX(PP_Grid[#Data],$DE534,50),0)</f>
        <v/>
      </c>
      <c r="BB534">
        <f>IFERROR(INDEX(PP_Grid[#Data],$DE534,51),0)</f>
        <v/>
      </c>
      <c r="BC534">
        <f>IFERROR(INDEX(PP_Grid[#Data],$DE534,52),0)</f>
        <v/>
      </c>
      <c r="BD534">
        <f>IFERROR(INDEX(PP_Grid[#Data],$DE534,53),0)</f>
        <v/>
      </c>
      <c r="BE534">
        <f>IFERROR(INDEX(PP_Grid[#Data],$DE534,54),0)</f>
        <v/>
      </c>
      <c r="BF534">
        <f>IFERROR(INDEX(PP_Grid[#Data],$DE534,55),0)</f>
        <v/>
      </c>
      <c r="BG534">
        <f>IFERROR(INDEX(PP_Grid[#Data],$DE534,56),0)</f>
        <v/>
      </c>
      <c r="BH534">
        <f>IFERROR(INDEX(PP_Grid[#Data],$DE534,57),0)</f>
        <v/>
      </c>
      <c r="BI534">
        <f>IFERROR(INDEX(PP_Grid[#Data],$DE534,58),0)</f>
        <v/>
      </c>
      <c r="BJ534">
        <f>IFERROR(INDEX(PP_Grid[#Data],$DE534,59),0)</f>
        <v/>
      </c>
      <c r="BK534">
        <f>IFERROR(INDEX(PP_Grid[#Data],$DE534,60),0)</f>
        <v/>
      </c>
      <c r="BL534">
        <f>IFERROR(INDEX(PP_Grid[#Data],$DE534,61),0)</f>
        <v/>
      </c>
      <c r="BM534">
        <f>IFERROR(INDEX(PP_Grid[#Data],$DE534,62),0)</f>
        <v/>
      </c>
      <c r="BN534">
        <f>IFERROR(INDEX(PP_Grid[#Data],$DE534,63),0)</f>
        <v/>
      </c>
      <c r="BO534">
        <f>IFERROR(INDEX(PP_Grid[#Data],$DE534,64),0)</f>
        <v/>
      </c>
      <c r="BP534">
        <f>IFERROR(INDEX(PP_Grid[#Data],$DE534,65),0)</f>
        <v/>
      </c>
      <c r="BQ534">
        <f>IFERROR(INDEX(PP_Grid[#Data],$DE534,66),0)</f>
        <v/>
      </c>
      <c r="BR534">
        <f>IFERROR(INDEX(PP_Grid[#Data],$DE534,67),0)</f>
        <v/>
      </c>
      <c r="BS534">
        <f>IFERROR(INDEX(PP_Grid[#Data],$DE534,68),0)</f>
        <v/>
      </c>
      <c r="BT534">
        <f>IFERROR(INDEX(PP_Grid[#Data],$DE534,69),0)</f>
        <v/>
      </c>
      <c r="BU534">
        <f>IFERROR(INDEX(PP_Grid[#Data],$DE534,70),0)</f>
        <v/>
      </c>
      <c r="BV534">
        <f>IFERROR(INDEX(PP_Grid[#Data],$DE534,71),0)</f>
        <v/>
      </c>
      <c r="BW534">
        <f>IFERROR(INDEX(PP_Grid[#Data],$DE534,72),0)</f>
        <v/>
      </c>
      <c r="BX534">
        <f>IFERROR(INDEX(PP_Grid[#Data],$DE534,73),0)</f>
        <v/>
      </c>
      <c r="BY534">
        <f>IFERROR(INDEX(PP_Grid[#Data],$DE534,74),0)</f>
        <v/>
      </c>
      <c r="BZ534">
        <f>IFERROR(INDEX(PP_Grid[#Data],$DE534,75),0)</f>
        <v/>
      </c>
      <c r="CA534">
        <f>IFERROR(INDEX(PP_Grid[#Data],$DE534,76),0)</f>
        <v/>
      </c>
      <c r="CB534">
        <f>IFERROR(INDEX(PP_Grid[#Data],$DE534,77),0)</f>
        <v/>
      </c>
      <c r="CC534">
        <f>IFERROR(INDEX(PP_Grid[#Data],$DE534,78),0)</f>
        <v/>
      </c>
      <c r="CD534">
        <f>IFERROR(INDEX(PP_Grid[#Data],$DE534,79),0)</f>
        <v/>
      </c>
      <c r="CE534">
        <f>IFERROR(INDEX(PP_Grid[#Data],$DE534,80),0)</f>
        <v/>
      </c>
      <c r="CF534">
        <f>IFERROR(INDEX(PP_Grid[#Data],$DE534,81),0)</f>
        <v/>
      </c>
      <c r="CG534">
        <f>IFERROR(INDEX(PP_Grid[#Data],$DE534,82),0)</f>
        <v/>
      </c>
      <c r="CH534">
        <f>IFERROR(INDEX(PP_Grid[#Data],$DE534,83),0)</f>
        <v/>
      </c>
      <c r="CI534">
        <f>IFERROR(INDEX(PP_Grid[#Data],$DE534,84),0)</f>
        <v/>
      </c>
      <c r="CJ534">
        <f>IFERROR(INDEX(PP_Grid[#Data],$DE534,85),0)</f>
        <v/>
      </c>
      <c r="CK534">
        <f>IFERROR(INDEX(PP_Grid[#Data],$DE534,86),0)</f>
        <v/>
      </c>
      <c r="CL534">
        <f>IFERROR(INDEX(PP_Grid[#Data],$DE534,87),0)</f>
        <v/>
      </c>
      <c r="CM534">
        <f>IFERROR(INDEX(PP_Grid[#Data],$DE534,88),0)</f>
        <v/>
      </c>
      <c r="CN534">
        <f>IFERROR(INDEX(PP_Grid[#Data],$DE534,89),0)</f>
        <v/>
      </c>
      <c r="CO534">
        <f>IFERROR(INDEX(PP_Grid[#Data],$DE534,90),0)</f>
        <v/>
      </c>
      <c r="CP534">
        <f>IFERROR(INDEX(PP_Grid[#Data],$DE534,91),0)</f>
        <v/>
      </c>
      <c r="CQ534">
        <f>IFERROR(INDEX(PP_Grid[#Data],$DE534,92),0)</f>
        <v/>
      </c>
      <c r="CR534">
        <f>IFERROR(INDEX(PP_Grid[#Data],$DE534,93),0)</f>
        <v/>
      </c>
      <c r="CS534">
        <f>IFERROR(INDEX(PP_Grid[#Data],$DE534,94),0)</f>
        <v/>
      </c>
      <c r="CT534">
        <f>IFERROR(INDEX(PP_Grid[#Data],$DE534,95),0)</f>
        <v/>
      </c>
      <c r="CU534">
        <f>IFERROR(INDEX(PP_Grid[#Data],$DE534,96),0)</f>
        <v/>
      </c>
      <c r="CV534">
        <f>IFERROR(INDEX(PP_Grid[#Data],$DE534,97),0)</f>
        <v/>
      </c>
      <c r="CW534">
        <f>IFERROR(INDEX(PP_Grid[#Data],$DE534,98),0)</f>
        <v/>
      </c>
      <c r="CX534">
        <f>IFERROR(INDEX(PP_Grid[#Data],$DE534,99),0)</f>
        <v/>
      </c>
      <c r="CY534">
        <f>IFERROR(INDEX(PP_Grid[#Data],$DE534,100),0)</f>
        <v/>
      </c>
      <c r="CZ534">
        <f>IFERROR(INDEX(PP_Grid[#Data],$DE534,101),0)</f>
        <v/>
      </c>
      <c r="DA534">
        <f>IFERROR(INDEX(PP_Grid[#Data],$DE534,102),0)</f>
        <v/>
      </c>
      <c r="DB534">
        <f>IFERROR(INDEX(PP_Grid[#Data],$DE534,103),0)</f>
        <v/>
      </c>
      <c r="DC534">
        <f>IFERROR(INDEX(PP_Grid[#Data],$DE534,104),0)</f>
        <v/>
      </c>
      <c r="DD534">
        <f>IFERROR(INDEX(PP_Grid[#Data],$DE534,105),0)</f>
        <v/>
      </c>
      <c r="DE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SUMIFS(M_BOM[RM_Qty_Per_Batch],M_BOM[Intermediate],$B534,M_BOM[RM_Code],$A515)</f>
        <v/>
      </c>
      <c r="D535">
        <f>IFERROR(INDEX(E535:DD535,$F$1),"")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  <c r="DD535">
        <f>$C535*DD534</f>
        <v/>
      </c>
    </row>
    <row r="536">
      <c r="B536" t="inlineStr">
        <is>
          <t>TSP-369</t>
        </is>
      </c>
      <c r="C536" t="inlineStr">
        <is>
          <t>No. of batches</t>
        </is>
      </c>
      <c r="D536">
        <f>IFERROR(INDEX(E536:DD536,$F$1),"")</f>
        <v/>
      </c>
      <c r="E536">
        <f>IFERROR(INDEX(PP_Grid[#Data],$DE536,2),0)</f>
        <v/>
      </c>
      <c r="F536">
        <f>IFERROR(INDEX(PP_Grid[#Data],$DE536,3),0)</f>
        <v/>
      </c>
      <c r="G536">
        <f>IFERROR(INDEX(PP_Grid[#Data],$DE536,4),0)</f>
        <v/>
      </c>
      <c r="H536">
        <f>IFERROR(INDEX(PP_Grid[#Data],$DE536,5),0)</f>
        <v/>
      </c>
      <c r="I536">
        <f>IFERROR(INDEX(PP_Grid[#Data],$DE536,6),0)</f>
        <v/>
      </c>
      <c r="J536">
        <f>IFERROR(INDEX(PP_Grid[#Data],$DE536,7),0)</f>
        <v/>
      </c>
      <c r="K536">
        <f>IFERROR(INDEX(PP_Grid[#Data],$DE536,8),0)</f>
        <v/>
      </c>
      <c r="L536">
        <f>IFERROR(INDEX(PP_Grid[#Data],$DE536,9),0)</f>
        <v/>
      </c>
      <c r="M536">
        <f>IFERROR(INDEX(PP_Grid[#Data],$DE536,10),0)</f>
        <v/>
      </c>
      <c r="N536">
        <f>IFERROR(INDEX(PP_Grid[#Data],$DE536,11),0)</f>
        <v/>
      </c>
      <c r="O536">
        <f>IFERROR(INDEX(PP_Grid[#Data],$DE536,12),0)</f>
        <v/>
      </c>
      <c r="P536">
        <f>IFERROR(INDEX(PP_Grid[#Data],$DE536,13),0)</f>
        <v/>
      </c>
      <c r="Q536">
        <f>IFERROR(INDEX(PP_Grid[#Data],$DE536,14),0)</f>
        <v/>
      </c>
      <c r="R536">
        <f>IFERROR(INDEX(PP_Grid[#Data],$DE536,15),0)</f>
        <v/>
      </c>
      <c r="S536">
        <f>IFERROR(INDEX(PP_Grid[#Data],$DE536,16),0)</f>
        <v/>
      </c>
      <c r="T536">
        <f>IFERROR(INDEX(PP_Grid[#Data],$DE536,17),0)</f>
        <v/>
      </c>
      <c r="U536">
        <f>IFERROR(INDEX(PP_Grid[#Data],$DE536,18),0)</f>
        <v/>
      </c>
      <c r="V536">
        <f>IFERROR(INDEX(PP_Grid[#Data],$DE536,19),0)</f>
        <v/>
      </c>
      <c r="W536">
        <f>IFERROR(INDEX(PP_Grid[#Data],$DE536,20),0)</f>
        <v/>
      </c>
      <c r="X536">
        <f>IFERROR(INDEX(PP_Grid[#Data],$DE536,21),0)</f>
        <v/>
      </c>
      <c r="Y536">
        <f>IFERROR(INDEX(PP_Grid[#Data],$DE536,22),0)</f>
        <v/>
      </c>
      <c r="Z536">
        <f>IFERROR(INDEX(PP_Grid[#Data],$DE536,23),0)</f>
        <v/>
      </c>
      <c r="AA536">
        <f>IFERROR(INDEX(PP_Grid[#Data],$DE536,24),0)</f>
        <v/>
      </c>
      <c r="AB536">
        <f>IFERROR(INDEX(PP_Grid[#Data],$DE536,25),0)</f>
        <v/>
      </c>
      <c r="AC536">
        <f>IFERROR(INDEX(PP_Grid[#Data],$DE536,26),0)</f>
        <v/>
      </c>
      <c r="AD536">
        <f>IFERROR(INDEX(PP_Grid[#Data],$DE536,27),0)</f>
        <v/>
      </c>
      <c r="AE536">
        <f>IFERROR(INDEX(PP_Grid[#Data],$DE536,28),0)</f>
        <v/>
      </c>
      <c r="AF536">
        <f>IFERROR(INDEX(PP_Grid[#Data],$DE536,29),0)</f>
        <v/>
      </c>
      <c r="AG536">
        <f>IFERROR(INDEX(PP_Grid[#Data],$DE536,30),0)</f>
        <v/>
      </c>
      <c r="AH536">
        <f>IFERROR(INDEX(PP_Grid[#Data],$DE536,31),0)</f>
        <v/>
      </c>
      <c r="AI536">
        <f>IFERROR(INDEX(PP_Grid[#Data],$DE536,32),0)</f>
        <v/>
      </c>
      <c r="AJ536">
        <f>IFERROR(INDEX(PP_Grid[#Data],$DE536,33),0)</f>
        <v/>
      </c>
      <c r="AK536">
        <f>IFERROR(INDEX(PP_Grid[#Data],$DE536,34),0)</f>
        <v/>
      </c>
      <c r="AL536">
        <f>IFERROR(INDEX(PP_Grid[#Data],$DE536,35),0)</f>
        <v/>
      </c>
      <c r="AM536">
        <f>IFERROR(INDEX(PP_Grid[#Data],$DE536,36),0)</f>
        <v/>
      </c>
      <c r="AN536">
        <f>IFERROR(INDEX(PP_Grid[#Data],$DE536,37),0)</f>
        <v/>
      </c>
      <c r="AO536">
        <f>IFERROR(INDEX(PP_Grid[#Data],$DE536,38),0)</f>
        <v/>
      </c>
      <c r="AP536">
        <f>IFERROR(INDEX(PP_Grid[#Data],$DE536,39),0)</f>
        <v/>
      </c>
      <c r="AQ536">
        <f>IFERROR(INDEX(PP_Grid[#Data],$DE536,40),0)</f>
        <v/>
      </c>
      <c r="AR536">
        <f>IFERROR(INDEX(PP_Grid[#Data],$DE536,41),0)</f>
        <v/>
      </c>
      <c r="AS536">
        <f>IFERROR(INDEX(PP_Grid[#Data],$DE536,42),0)</f>
        <v/>
      </c>
      <c r="AT536">
        <f>IFERROR(INDEX(PP_Grid[#Data],$DE536,43),0)</f>
        <v/>
      </c>
      <c r="AU536">
        <f>IFERROR(INDEX(PP_Grid[#Data],$DE536,44),0)</f>
        <v/>
      </c>
      <c r="AV536">
        <f>IFERROR(INDEX(PP_Grid[#Data],$DE536,45),0)</f>
        <v/>
      </c>
      <c r="AW536">
        <f>IFERROR(INDEX(PP_Grid[#Data],$DE536,46),0)</f>
        <v/>
      </c>
      <c r="AX536">
        <f>IFERROR(INDEX(PP_Grid[#Data],$DE536,47),0)</f>
        <v/>
      </c>
      <c r="AY536">
        <f>IFERROR(INDEX(PP_Grid[#Data],$DE536,48),0)</f>
        <v/>
      </c>
      <c r="AZ536">
        <f>IFERROR(INDEX(PP_Grid[#Data],$DE536,49),0)</f>
        <v/>
      </c>
      <c r="BA536">
        <f>IFERROR(INDEX(PP_Grid[#Data],$DE536,50),0)</f>
        <v/>
      </c>
      <c r="BB536">
        <f>IFERROR(INDEX(PP_Grid[#Data],$DE536,51),0)</f>
        <v/>
      </c>
      <c r="BC536">
        <f>IFERROR(INDEX(PP_Grid[#Data],$DE536,52),0)</f>
        <v/>
      </c>
      <c r="BD536">
        <f>IFERROR(INDEX(PP_Grid[#Data],$DE536,53),0)</f>
        <v/>
      </c>
      <c r="BE536">
        <f>IFERROR(INDEX(PP_Grid[#Data],$DE536,54),0)</f>
        <v/>
      </c>
      <c r="BF536">
        <f>IFERROR(INDEX(PP_Grid[#Data],$DE536,55),0)</f>
        <v/>
      </c>
      <c r="BG536">
        <f>IFERROR(INDEX(PP_Grid[#Data],$DE536,56),0)</f>
        <v/>
      </c>
      <c r="BH536">
        <f>IFERROR(INDEX(PP_Grid[#Data],$DE536,57),0)</f>
        <v/>
      </c>
      <c r="BI536">
        <f>IFERROR(INDEX(PP_Grid[#Data],$DE536,58),0)</f>
        <v/>
      </c>
      <c r="BJ536">
        <f>IFERROR(INDEX(PP_Grid[#Data],$DE536,59),0)</f>
        <v/>
      </c>
      <c r="BK536">
        <f>IFERROR(INDEX(PP_Grid[#Data],$DE536,60),0)</f>
        <v/>
      </c>
      <c r="BL536">
        <f>IFERROR(INDEX(PP_Grid[#Data],$DE536,61),0)</f>
        <v/>
      </c>
      <c r="BM536">
        <f>IFERROR(INDEX(PP_Grid[#Data],$DE536,62),0)</f>
        <v/>
      </c>
      <c r="BN536">
        <f>IFERROR(INDEX(PP_Grid[#Data],$DE536,63),0)</f>
        <v/>
      </c>
      <c r="BO536">
        <f>IFERROR(INDEX(PP_Grid[#Data],$DE536,64),0)</f>
        <v/>
      </c>
      <c r="BP536">
        <f>IFERROR(INDEX(PP_Grid[#Data],$DE536,65),0)</f>
        <v/>
      </c>
      <c r="BQ536">
        <f>IFERROR(INDEX(PP_Grid[#Data],$DE536,66),0)</f>
        <v/>
      </c>
      <c r="BR536">
        <f>IFERROR(INDEX(PP_Grid[#Data],$DE536,67),0)</f>
        <v/>
      </c>
      <c r="BS536">
        <f>IFERROR(INDEX(PP_Grid[#Data],$DE536,68),0)</f>
        <v/>
      </c>
      <c r="BT536">
        <f>IFERROR(INDEX(PP_Grid[#Data],$DE536,69),0)</f>
        <v/>
      </c>
      <c r="BU536">
        <f>IFERROR(INDEX(PP_Grid[#Data],$DE536,70),0)</f>
        <v/>
      </c>
      <c r="BV536">
        <f>IFERROR(INDEX(PP_Grid[#Data],$DE536,71),0)</f>
        <v/>
      </c>
      <c r="BW536">
        <f>IFERROR(INDEX(PP_Grid[#Data],$DE536,72),0)</f>
        <v/>
      </c>
      <c r="BX536">
        <f>IFERROR(INDEX(PP_Grid[#Data],$DE536,73),0)</f>
        <v/>
      </c>
      <c r="BY536">
        <f>IFERROR(INDEX(PP_Grid[#Data],$DE536,74),0)</f>
        <v/>
      </c>
      <c r="BZ536">
        <f>IFERROR(INDEX(PP_Grid[#Data],$DE536,75),0)</f>
        <v/>
      </c>
      <c r="CA536">
        <f>IFERROR(INDEX(PP_Grid[#Data],$DE536,76),0)</f>
        <v/>
      </c>
      <c r="CB536">
        <f>IFERROR(INDEX(PP_Grid[#Data],$DE536,77),0)</f>
        <v/>
      </c>
      <c r="CC536">
        <f>IFERROR(INDEX(PP_Grid[#Data],$DE536,78),0)</f>
        <v/>
      </c>
      <c r="CD536">
        <f>IFERROR(INDEX(PP_Grid[#Data],$DE536,79),0)</f>
        <v/>
      </c>
      <c r="CE536">
        <f>IFERROR(INDEX(PP_Grid[#Data],$DE536,80),0)</f>
        <v/>
      </c>
      <c r="CF536">
        <f>IFERROR(INDEX(PP_Grid[#Data],$DE536,81),0)</f>
        <v/>
      </c>
      <c r="CG536">
        <f>IFERROR(INDEX(PP_Grid[#Data],$DE536,82),0)</f>
        <v/>
      </c>
      <c r="CH536">
        <f>IFERROR(INDEX(PP_Grid[#Data],$DE536,83),0)</f>
        <v/>
      </c>
      <c r="CI536">
        <f>IFERROR(INDEX(PP_Grid[#Data],$DE536,84),0)</f>
        <v/>
      </c>
      <c r="CJ536">
        <f>IFERROR(INDEX(PP_Grid[#Data],$DE536,85),0)</f>
        <v/>
      </c>
      <c r="CK536">
        <f>IFERROR(INDEX(PP_Grid[#Data],$DE536,86),0)</f>
        <v/>
      </c>
      <c r="CL536">
        <f>IFERROR(INDEX(PP_Grid[#Data],$DE536,87),0)</f>
        <v/>
      </c>
      <c r="CM536">
        <f>IFERROR(INDEX(PP_Grid[#Data],$DE536,88),0)</f>
        <v/>
      </c>
      <c r="CN536">
        <f>IFERROR(INDEX(PP_Grid[#Data],$DE536,89),0)</f>
        <v/>
      </c>
      <c r="CO536">
        <f>IFERROR(INDEX(PP_Grid[#Data],$DE536,90),0)</f>
        <v/>
      </c>
      <c r="CP536">
        <f>IFERROR(INDEX(PP_Grid[#Data],$DE536,91),0)</f>
        <v/>
      </c>
      <c r="CQ536">
        <f>IFERROR(INDEX(PP_Grid[#Data],$DE536,92),0)</f>
        <v/>
      </c>
      <c r="CR536">
        <f>IFERROR(INDEX(PP_Grid[#Data],$DE536,93),0)</f>
        <v/>
      </c>
      <c r="CS536">
        <f>IFERROR(INDEX(PP_Grid[#Data],$DE536,94),0)</f>
        <v/>
      </c>
      <c r="CT536">
        <f>IFERROR(INDEX(PP_Grid[#Data],$DE536,95),0)</f>
        <v/>
      </c>
      <c r="CU536">
        <f>IFERROR(INDEX(PP_Grid[#Data],$DE536,96),0)</f>
        <v/>
      </c>
      <c r="CV536">
        <f>IFERROR(INDEX(PP_Grid[#Data],$DE536,97),0)</f>
        <v/>
      </c>
      <c r="CW536">
        <f>IFERROR(INDEX(PP_Grid[#Data],$DE536,98),0)</f>
        <v/>
      </c>
      <c r="CX536">
        <f>IFERROR(INDEX(PP_Grid[#Data],$DE536,99),0)</f>
        <v/>
      </c>
      <c r="CY536">
        <f>IFERROR(INDEX(PP_Grid[#Data],$DE536,100),0)</f>
        <v/>
      </c>
      <c r="CZ536">
        <f>IFERROR(INDEX(PP_Grid[#Data],$DE536,101),0)</f>
        <v/>
      </c>
      <c r="DA536">
        <f>IFERROR(INDEX(PP_Grid[#Data],$DE536,102),0)</f>
        <v/>
      </c>
      <c r="DB536">
        <f>IFERROR(INDEX(PP_Grid[#Data],$DE536,103),0)</f>
        <v/>
      </c>
      <c r="DC536">
        <f>IFERROR(INDEX(PP_Grid[#Data],$DE536,104),0)</f>
        <v/>
      </c>
      <c r="DD536">
        <f>IFERROR(INDEX(PP_Grid[#Data],$DE536,105),0)</f>
        <v/>
      </c>
      <c r="DE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SUMIFS(M_BOM[RM_Qty_Per_Batch],M_BOM[Intermediate],$B536,M_BOM[RM_Code],$A515)</f>
        <v/>
      </c>
      <c r="D537">
        <f>IFERROR(INDEX(E537:DD537,$F$1),"")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  <c r="DD537">
        <f>$C537*DD536</f>
        <v/>
      </c>
    </row>
    <row r="538">
      <c r="B538" t="inlineStr">
        <is>
          <t>TSP-390</t>
        </is>
      </c>
      <c r="C538" t="inlineStr">
        <is>
          <t>No. of batches</t>
        </is>
      </c>
      <c r="D538">
        <f>IFERROR(INDEX(E538:DD538,$F$1),"")</f>
        <v/>
      </c>
      <c r="E538">
        <f>IFERROR(INDEX(PP_Grid[#Data],$DE538,2),0)</f>
        <v/>
      </c>
      <c r="F538">
        <f>IFERROR(INDEX(PP_Grid[#Data],$DE538,3),0)</f>
        <v/>
      </c>
      <c r="G538">
        <f>IFERROR(INDEX(PP_Grid[#Data],$DE538,4),0)</f>
        <v/>
      </c>
      <c r="H538">
        <f>IFERROR(INDEX(PP_Grid[#Data],$DE538,5),0)</f>
        <v/>
      </c>
      <c r="I538">
        <f>IFERROR(INDEX(PP_Grid[#Data],$DE538,6),0)</f>
        <v/>
      </c>
      <c r="J538">
        <f>IFERROR(INDEX(PP_Grid[#Data],$DE538,7),0)</f>
        <v/>
      </c>
      <c r="K538">
        <f>IFERROR(INDEX(PP_Grid[#Data],$DE538,8),0)</f>
        <v/>
      </c>
      <c r="L538">
        <f>IFERROR(INDEX(PP_Grid[#Data],$DE538,9),0)</f>
        <v/>
      </c>
      <c r="M538">
        <f>IFERROR(INDEX(PP_Grid[#Data],$DE538,10),0)</f>
        <v/>
      </c>
      <c r="N538">
        <f>IFERROR(INDEX(PP_Grid[#Data],$DE538,11),0)</f>
        <v/>
      </c>
      <c r="O538">
        <f>IFERROR(INDEX(PP_Grid[#Data],$DE538,12),0)</f>
        <v/>
      </c>
      <c r="P538">
        <f>IFERROR(INDEX(PP_Grid[#Data],$DE538,13),0)</f>
        <v/>
      </c>
      <c r="Q538">
        <f>IFERROR(INDEX(PP_Grid[#Data],$DE538,14),0)</f>
        <v/>
      </c>
      <c r="R538">
        <f>IFERROR(INDEX(PP_Grid[#Data],$DE538,15),0)</f>
        <v/>
      </c>
      <c r="S538">
        <f>IFERROR(INDEX(PP_Grid[#Data],$DE538,16),0)</f>
        <v/>
      </c>
      <c r="T538">
        <f>IFERROR(INDEX(PP_Grid[#Data],$DE538,17),0)</f>
        <v/>
      </c>
      <c r="U538">
        <f>IFERROR(INDEX(PP_Grid[#Data],$DE538,18),0)</f>
        <v/>
      </c>
      <c r="V538">
        <f>IFERROR(INDEX(PP_Grid[#Data],$DE538,19),0)</f>
        <v/>
      </c>
      <c r="W538">
        <f>IFERROR(INDEX(PP_Grid[#Data],$DE538,20),0)</f>
        <v/>
      </c>
      <c r="X538">
        <f>IFERROR(INDEX(PP_Grid[#Data],$DE538,21),0)</f>
        <v/>
      </c>
      <c r="Y538">
        <f>IFERROR(INDEX(PP_Grid[#Data],$DE538,22),0)</f>
        <v/>
      </c>
      <c r="Z538">
        <f>IFERROR(INDEX(PP_Grid[#Data],$DE538,23),0)</f>
        <v/>
      </c>
      <c r="AA538">
        <f>IFERROR(INDEX(PP_Grid[#Data],$DE538,24),0)</f>
        <v/>
      </c>
      <c r="AB538">
        <f>IFERROR(INDEX(PP_Grid[#Data],$DE538,25),0)</f>
        <v/>
      </c>
      <c r="AC538">
        <f>IFERROR(INDEX(PP_Grid[#Data],$DE538,26),0)</f>
        <v/>
      </c>
      <c r="AD538">
        <f>IFERROR(INDEX(PP_Grid[#Data],$DE538,27),0)</f>
        <v/>
      </c>
      <c r="AE538">
        <f>IFERROR(INDEX(PP_Grid[#Data],$DE538,28),0)</f>
        <v/>
      </c>
      <c r="AF538">
        <f>IFERROR(INDEX(PP_Grid[#Data],$DE538,29),0)</f>
        <v/>
      </c>
      <c r="AG538">
        <f>IFERROR(INDEX(PP_Grid[#Data],$DE538,30),0)</f>
        <v/>
      </c>
      <c r="AH538">
        <f>IFERROR(INDEX(PP_Grid[#Data],$DE538,31),0)</f>
        <v/>
      </c>
      <c r="AI538">
        <f>IFERROR(INDEX(PP_Grid[#Data],$DE538,32),0)</f>
        <v/>
      </c>
      <c r="AJ538">
        <f>IFERROR(INDEX(PP_Grid[#Data],$DE538,33),0)</f>
        <v/>
      </c>
      <c r="AK538">
        <f>IFERROR(INDEX(PP_Grid[#Data],$DE538,34),0)</f>
        <v/>
      </c>
      <c r="AL538">
        <f>IFERROR(INDEX(PP_Grid[#Data],$DE538,35),0)</f>
        <v/>
      </c>
      <c r="AM538">
        <f>IFERROR(INDEX(PP_Grid[#Data],$DE538,36),0)</f>
        <v/>
      </c>
      <c r="AN538">
        <f>IFERROR(INDEX(PP_Grid[#Data],$DE538,37),0)</f>
        <v/>
      </c>
      <c r="AO538">
        <f>IFERROR(INDEX(PP_Grid[#Data],$DE538,38),0)</f>
        <v/>
      </c>
      <c r="AP538">
        <f>IFERROR(INDEX(PP_Grid[#Data],$DE538,39),0)</f>
        <v/>
      </c>
      <c r="AQ538">
        <f>IFERROR(INDEX(PP_Grid[#Data],$DE538,40),0)</f>
        <v/>
      </c>
      <c r="AR538">
        <f>IFERROR(INDEX(PP_Grid[#Data],$DE538,41),0)</f>
        <v/>
      </c>
      <c r="AS538">
        <f>IFERROR(INDEX(PP_Grid[#Data],$DE538,42),0)</f>
        <v/>
      </c>
      <c r="AT538">
        <f>IFERROR(INDEX(PP_Grid[#Data],$DE538,43),0)</f>
        <v/>
      </c>
      <c r="AU538">
        <f>IFERROR(INDEX(PP_Grid[#Data],$DE538,44),0)</f>
        <v/>
      </c>
      <c r="AV538">
        <f>IFERROR(INDEX(PP_Grid[#Data],$DE538,45),0)</f>
        <v/>
      </c>
      <c r="AW538">
        <f>IFERROR(INDEX(PP_Grid[#Data],$DE538,46),0)</f>
        <v/>
      </c>
      <c r="AX538">
        <f>IFERROR(INDEX(PP_Grid[#Data],$DE538,47),0)</f>
        <v/>
      </c>
      <c r="AY538">
        <f>IFERROR(INDEX(PP_Grid[#Data],$DE538,48),0)</f>
        <v/>
      </c>
      <c r="AZ538">
        <f>IFERROR(INDEX(PP_Grid[#Data],$DE538,49),0)</f>
        <v/>
      </c>
      <c r="BA538">
        <f>IFERROR(INDEX(PP_Grid[#Data],$DE538,50),0)</f>
        <v/>
      </c>
      <c r="BB538">
        <f>IFERROR(INDEX(PP_Grid[#Data],$DE538,51),0)</f>
        <v/>
      </c>
      <c r="BC538">
        <f>IFERROR(INDEX(PP_Grid[#Data],$DE538,52),0)</f>
        <v/>
      </c>
      <c r="BD538">
        <f>IFERROR(INDEX(PP_Grid[#Data],$DE538,53),0)</f>
        <v/>
      </c>
      <c r="BE538">
        <f>IFERROR(INDEX(PP_Grid[#Data],$DE538,54),0)</f>
        <v/>
      </c>
      <c r="BF538">
        <f>IFERROR(INDEX(PP_Grid[#Data],$DE538,55),0)</f>
        <v/>
      </c>
      <c r="BG538">
        <f>IFERROR(INDEX(PP_Grid[#Data],$DE538,56),0)</f>
        <v/>
      </c>
      <c r="BH538">
        <f>IFERROR(INDEX(PP_Grid[#Data],$DE538,57),0)</f>
        <v/>
      </c>
      <c r="BI538">
        <f>IFERROR(INDEX(PP_Grid[#Data],$DE538,58),0)</f>
        <v/>
      </c>
      <c r="BJ538">
        <f>IFERROR(INDEX(PP_Grid[#Data],$DE538,59),0)</f>
        <v/>
      </c>
      <c r="BK538">
        <f>IFERROR(INDEX(PP_Grid[#Data],$DE538,60),0)</f>
        <v/>
      </c>
      <c r="BL538">
        <f>IFERROR(INDEX(PP_Grid[#Data],$DE538,61),0)</f>
        <v/>
      </c>
      <c r="BM538">
        <f>IFERROR(INDEX(PP_Grid[#Data],$DE538,62),0)</f>
        <v/>
      </c>
      <c r="BN538">
        <f>IFERROR(INDEX(PP_Grid[#Data],$DE538,63),0)</f>
        <v/>
      </c>
      <c r="BO538">
        <f>IFERROR(INDEX(PP_Grid[#Data],$DE538,64),0)</f>
        <v/>
      </c>
      <c r="BP538">
        <f>IFERROR(INDEX(PP_Grid[#Data],$DE538,65),0)</f>
        <v/>
      </c>
      <c r="BQ538">
        <f>IFERROR(INDEX(PP_Grid[#Data],$DE538,66),0)</f>
        <v/>
      </c>
      <c r="BR538">
        <f>IFERROR(INDEX(PP_Grid[#Data],$DE538,67),0)</f>
        <v/>
      </c>
      <c r="BS538">
        <f>IFERROR(INDEX(PP_Grid[#Data],$DE538,68),0)</f>
        <v/>
      </c>
      <c r="BT538">
        <f>IFERROR(INDEX(PP_Grid[#Data],$DE538,69),0)</f>
        <v/>
      </c>
      <c r="BU538">
        <f>IFERROR(INDEX(PP_Grid[#Data],$DE538,70),0)</f>
        <v/>
      </c>
      <c r="BV538">
        <f>IFERROR(INDEX(PP_Grid[#Data],$DE538,71),0)</f>
        <v/>
      </c>
      <c r="BW538">
        <f>IFERROR(INDEX(PP_Grid[#Data],$DE538,72),0)</f>
        <v/>
      </c>
      <c r="BX538">
        <f>IFERROR(INDEX(PP_Grid[#Data],$DE538,73),0)</f>
        <v/>
      </c>
      <c r="BY538">
        <f>IFERROR(INDEX(PP_Grid[#Data],$DE538,74),0)</f>
        <v/>
      </c>
      <c r="BZ538">
        <f>IFERROR(INDEX(PP_Grid[#Data],$DE538,75),0)</f>
        <v/>
      </c>
      <c r="CA538">
        <f>IFERROR(INDEX(PP_Grid[#Data],$DE538,76),0)</f>
        <v/>
      </c>
      <c r="CB538">
        <f>IFERROR(INDEX(PP_Grid[#Data],$DE538,77),0)</f>
        <v/>
      </c>
      <c r="CC538">
        <f>IFERROR(INDEX(PP_Grid[#Data],$DE538,78),0)</f>
        <v/>
      </c>
      <c r="CD538">
        <f>IFERROR(INDEX(PP_Grid[#Data],$DE538,79),0)</f>
        <v/>
      </c>
      <c r="CE538">
        <f>IFERROR(INDEX(PP_Grid[#Data],$DE538,80),0)</f>
        <v/>
      </c>
      <c r="CF538">
        <f>IFERROR(INDEX(PP_Grid[#Data],$DE538,81),0)</f>
        <v/>
      </c>
      <c r="CG538">
        <f>IFERROR(INDEX(PP_Grid[#Data],$DE538,82),0)</f>
        <v/>
      </c>
      <c r="CH538">
        <f>IFERROR(INDEX(PP_Grid[#Data],$DE538,83),0)</f>
        <v/>
      </c>
      <c r="CI538">
        <f>IFERROR(INDEX(PP_Grid[#Data],$DE538,84),0)</f>
        <v/>
      </c>
      <c r="CJ538">
        <f>IFERROR(INDEX(PP_Grid[#Data],$DE538,85),0)</f>
        <v/>
      </c>
      <c r="CK538">
        <f>IFERROR(INDEX(PP_Grid[#Data],$DE538,86),0)</f>
        <v/>
      </c>
      <c r="CL538">
        <f>IFERROR(INDEX(PP_Grid[#Data],$DE538,87),0)</f>
        <v/>
      </c>
      <c r="CM538">
        <f>IFERROR(INDEX(PP_Grid[#Data],$DE538,88),0)</f>
        <v/>
      </c>
      <c r="CN538">
        <f>IFERROR(INDEX(PP_Grid[#Data],$DE538,89),0)</f>
        <v/>
      </c>
      <c r="CO538">
        <f>IFERROR(INDEX(PP_Grid[#Data],$DE538,90),0)</f>
        <v/>
      </c>
      <c r="CP538">
        <f>IFERROR(INDEX(PP_Grid[#Data],$DE538,91),0)</f>
        <v/>
      </c>
      <c r="CQ538">
        <f>IFERROR(INDEX(PP_Grid[#Data],$DE538,92),0)</f>
        <v/>
      </c>
      <c r="CR538">
        <f>IFERROR(INDEX(PP_Grid[#Data],$DE538,93),0)</f>
        <v/>
      </c>
      <c r="CS538">
        <f>IFERROR(INDEX(PP_Grid[#Data],$DE538,94),0)</f>
        <v/>
      </c>
      <c r="CT538">
        <f>IFERROR(INDEX(PP_Grid[#Data],$DE538,95),0)</f>
        <v/>
      </c>
      <c r="CU538">
        <f>IFERROR(INDEX(PP_Grid[#Data],$DE538,96),0)</f>
        <v/>
      </c>
      <c r="CV538">
        <f>IFERROR(INDEX(PP_Grid[#Data],$DE538,97),0)</f>
        <v/>
      </c>
      <c r="CW538">
        <f>IFERROR(INDEX(PP_Grid[#Data],$DE538,98),0)</f>
        <v/>
      </c>
      <c r="CX538">
        <f>IFERROR(INDEX(PP_Grid[#Data],$DE538,99),0)</f>
        <v/>
      </c>
      <c r="CY538">
        <f>IFERROR(INDEX(PP_Grid[#Data],$DE538,100),0)</f>
        <v/>
      </c>
      <c r="CZ538">
        <f>IFERROR(INDEX(PP_Grid[#Data],$DE538,101),0)</f>
        <v/>
      </c>
      <c r="DA538">
        <f>IFERROR(INDEX(PP_Grid[#Data],$DE538,102),0)</f>
        <v/>
      </c>
      <c r="DB538">
        <f>IFERROR(INDEX(PP_Grid[#Data],$DE538,103),0)</f>
        <v/>
      </c>
      <c r="DC538">
        <f>IFERROR(INDEX(PP_Grid[#Data],$DE538,104),0)</f>
        <v/>
      </c>
      <c r="DD538">
        <f>IFERROR(INDEX(PP_Grid[#Data],$DE538,105),0)</f>
        <v/>
      </c>
      <c r="DE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SUMIFS(M_BOM[RM_Qty_Per_Batch],M_BOM[Intermediate],$B538,M_BOM[RM_Code],$A515)</f>
        <v/>
      </c>
      <c r="D539">
        <f>IFERROR(INDEX(E539:DD539,$F$1),"")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  <c r="DD539">
        <f>$C539*DD538</f>
        <v/>
      </c>
    </row>
    <row r="540">
      <c r="B540" t="inlineStr">
        <is>
          <t>TSP-399</t>
        </is>
      </c>
      <c r="C540" t="inlineStr">
        <is>
          <t>No. of batches</t>
        </is>
      </c>
      <c r="D540">
        <f>IFERROR(INDEX(E540:DD540,$F$1),"")</f>
        <v/>
      </c>
      <c r="E540">
        <f>IFERROR(INDEX(PP_Grid[#Data],$DE540,2),0)</f>
        <v/>
      </c>
      <c r="F540">
        <f>IFERROR(INDEX(PP_Grid[#Data],$DE540,3),0)</f>
        <v/>
      </c>
      <c r="G540">
        <f>IFERROR(INDEX(PP_Grid[#Data],$DE540,4),0)</f>
        <v/>
      </c>
      <c r="H540">
        <f>IFERROR(INDEX(PP_Grid[#Data],$DE540,5),0)</f>
        <v/>
      </c>
      <c r="I540">
        <f>IFERROR(INDEX(PP_Grid[#Data],$DE540,6),0)</f>
        <v/>
      </c>
      <c r="J540">
        <f>IFERROR(INDEX(PP_Grid[#Data],$DE540,7),0)</f>
        <v/>
      </c>
      <c r="K540">
        <f>IFERROR(INDEX(PP_Grid[#Data],$DE540,8),0)</f>
        <v/>
      </c>
      <c r="L540">
        <f>IFERROR(INDEX(PP_Grid[#Data],$DE540,9),0)</f>
        <v/>
      </c>
      <c r="M540">
        <f>IFERROR(INDEX(PP_Grid[#Data],$DE540,10),0)</f>
        <v/>
      </c>
      <c r="N540">
        <f>IFERROR(INDEX(PP_Grid[#Data],$DE540,11),0)</f>
        <v/>
      </c>
      <c r="O540">
        <f>IFERROR(INDEX(PP_Grid[#Data],$DE540,12),0)</f>
        <v/>
      </c>
      <c r="P540">
        <f>IFERROR(INDEX(PP_Grid[#Data],$DE540,13),0)</f>
        <v/>
      </c>
      <c r="Q540">
        <f>IFERROR(INDEX(PP_Grid[#Data],$DE540,14),0)</f>
        <v/>
      </c>
      <c r="R540">
        <f>IFERROR(INDEX(PP_Grid[#Data],$DE540,15),0)</f>
        <v/>
      </c>
      <c r="S540">
        <f>IFERROR(INDEX(PP_Grid[#Data],$DE540,16),0)</f>
        <v/>
      </c>
      <c r="T540">
        <f>IFERROR(INDEX(PP_Grid[#Data],$DE540,17),0)</f>
        <v/>
      </c>
      <c r="U540">
        <f>IFERROR(INDEX(PP_Grid[#Data],$DE540,18),0)</f>
        <v/>
      </c>
      <c r="V540">
        <f>IFERROR(INDEX(PP_Grid[#Data],$DE540,19),0)</f>
        <v/>
      </c>
      <c r="W540">
        <f>IFERROR(INDEX(PP_Grid[#Data],$DE540,20),0)</f>
        <v/>
      </c>
      <c r="X540">
        <f>IFERROR(INDEX(PP_Grid[#Data],$DE540,21),0)</f>
        <v/>
      </c>
      <c r="Y540">
        <f>IFERROR(INDEX(PP_Grid[#Data],$DE540,22),0)</f>
        <v/>
      </c>
      <c r="Z540">
        <f>IFERROR(INDEX(PP_Grid[#Data],$DE540,23),0)</f>
        <v/>
      </c>
      <c r="AA540">
        <f>IFERROR(INDEX(PP_Grid[#Data],$DE540,24),0)</f>
        <v/>
      </c>
      <c r="AB540">
        <f>IFERROR(INDEX(PP_Grid[#Data],$DE540,25),0)</f>
        <v/>
      </c>
      <c r="AC540">
        <f>IFERROR(INDEX(PP_Grid[#Data],$DE540,26),0)</f>
        <v/>
      </c>
      <c r="AD540">
        <f>IFERROR(INDEX(PP_Grid[#Data],$DE540,27),0)</f>
        <v/>
      </c>
      <c r="AE540">
        <f>IFERROR(INDEX(PP_Grid[#Data],$DE540,28),0)</f>
        <v/>
      </c>
      <c r="AF540">
        <f>IFERROR(INDEX(PP_Grid[#Data],$DE540,29),0)</f>
        <v/>
      </c>
      <c r="AG540">
        <f>IFERROR(INDEX(PP_Grid[#Data],$DE540,30),0)</f>
        <v/>
      </c>
      <c r="AH540">
        <f>IFERROR(INDEX(PP_Grid[#Data],$DE540,31),0)</f>
        <v/>
      </c>
      <c r="AI540">
        <f>IFERROR(INDEX(PP_Grid[#Data],$DE540,32),0)</f>
        <v/>
      </c>
      <c r="AJ540">
        <f>IFERROR(INDEX(PP_Grid[#Data],$DE540,33),0)</f>
        <v/>
      </c>
      <c r="AK540">
        <f>IFERROR(INDEX(PP_Grid[#Data],$DE540,34),0)</f>
        <v/>
      </c>
      <c r="AL540">
        <f>IFERROR(INDEX(PP_Grid[#Data],$DE540,35),0)</f>
        <v/>
      </c>
      <c r="AM540">
        <f>IFERROR(INDEX(PP_Grid[#Data],$DE540,36),0)</f>
        <v/>
      </c>
      <c r="AN540">
        <f>IFERROR(INDEX(PP_Grid[#Data],$DE540,37),0)</f>
        <v/>
      </c>
      <c r="AO540">
        <f>IFERROR(INDEX(PP_Grid[#Data],$DE540,38),0)</f>
        <v/>
      </c>
      <c r="AP540">
        <f>IFERROR(INDEX(PP_Grid[#Data],$DE540,39),0)</f>
        <v/>
      </c>
      <c r="AQ540">
        <f>IFERROR(INDEX(PP_Grid[#Data],$DE540,40),0)</f>
        <v/>
      </c>
      <c r="AR540">
        <f>IFERROR(INDEX(PP_Grid[#Data],$DE540,41),0)</f>
        <v/>
      </c>
      <c r="AS540">
        <f>IFERROR(INDEX(PP_Grid[#Data],$DE540,42),0)</f>
        <v/>
      </c>
      <c r="AT540">
        <f>IFERROR(INDEX(PP_Grid[#Data],$DE540,43),0)</f>
        <v/>
      </c>
      <c r="AU540">
        <f>IFERROR(INDEX(PP_Grid[#Data],$DE540,44),0)</f>
        <v/>
      </c>
      <c r="AV540">
        <f>IFERROR(INDEX(PP_Grid[#Data],$DE540,45),0)</f>
        <v/>
      </c>
      <c r="AW540">
        <f>IFERROR(INDEX(PP_Grid[#Data],$DE540,46),0)</f>
        <v/>
      </c>
      <c r="AX540">
        <f>IFERROR(INDEX(PP_Grid[#Data],$DE540,47),0)</f>
        <v/>
      </c>
      <c r="AY540">
        <f>IFERROR(INDEX(PP_Grid[#Data],$DE540,48),0)</f>
        <v/>
      </c>
      <c r="AZ540">
        <f>IFERROR(INDEX(PP_Grid[#Data],$DE540,49),0)</f>
        <v/>
      </c>
      <c r="BA540">
        <f>IFERROR(INDEX(PP_Grid[#Data],$DE540,50),0)</f>
        <v/>
      </c>
      <c r="BB540">
        <f>IFERROR(INDEX(PP_Grid[#Data],$DE540,51),0)</f>
        <v/>
      </c>
      <c r="BC540">
        <f>IFERROR(INDEX(PP_Grid[#Data],$DE540,52),0)</f>
        <v/>
      </c>
      <c r="BD540">
        <f>IFERROR(INDEX(PP_Grid[#Data],$DE540,53),0)</f>
        <v/>
      </c>
      <c r="BE540">
        <f>IFERROR(INDEX(PP_Grid[#Data],$DE540,54),0)</f>
        <v/>
      </c>
      <c r="BF540">
        <f>IFERROR(INDEX(PP_Grid[#Data],$DE540,55),0)</f>
        <v/>
      </c>
      <c r="BG540">
        <f>IFERROR(INDEX(PP_Grid[#Data],$DE540,56),0)</f>
        <v/>
      </c>
      <c r="BH540">
        <f>IFERROR(INDEX(PP_Grid[#Data],$DE540,57),0)</f>
        <v/>
      </c>
      <c r="BI540">
        <f>IFERROR(INDEX(PP_Grid[#Data],$DE540,58),0)</f>
        <v/>
      </c>
      <c r="BJ540">
        <f>IFERROR(INDEX(PP_Grid[#Data],$DE540,59),0)</f>
        <v/>
      </c>
      <c r="BK540">
        <f>IFERROR(INDEX(PP_Grid[#Data],$DE540,60),0)</f>
        <v/>
      </c>
      <c r="BL540">
        <f>IFERROR(INDEX(PP_Grid[#Data],$DE540,61),0)</f>
        <v/>
      </c>
      <c r="BM540">
        <f>IFERROR(INDEX(PP_Grid[#Data],$DE540,62),0)</f>
        <v/>
      </c>
      <c r="BN540">
        <f>IFERROR(INDEX(PP_Grid[#Data],$DE540,63),0)</f>
        <v/>
      </c>
      <c r="BO540">
        <f>IFERROR(INDEX(PP_Grid[#Data],$DE540,64),0)</f>
        <v/>
      </c>
      <c r="BP540">
        <f>IFERROR(INDEX(PP_Grid[#Data],$DE540,65),0)</f>
        <v/>
      </c>
      <c r="BQ540">
        <f>IFERROR(INDEX(PP_Grid[#Data],$DE540,66),0)</f>
        <v/>
      </c>
      <c r="BR540">
        <f>IFERROR(INDEX(PP_Grid[#Data],$DE540,67),0)</f>
        <v/>
      </c>
      <c r="BS540">
        <f>IFERROR(INDEX(PP_Grid[#Data],$DE540,68),0)</f>
        <v/>
      </c>
      <c r="BT540">
        <f>IFERROR(INDEX(PP_Grid[#Data],$DE540,69),0)</f>
        <v/>
      </c>
      <c r="BU540">
        <f>IFERROR(INDEX(PP_Grid[#Data],$DE540,70),0)</f>
        <v/>
      </c>
      <c r="BV540">
        <f>IFERROR(INDEX(PP_Grid[#Data],$DE540,71),0)</f>
        <v/>
      </c>
      <c r="BW540">
        <f>IFERROR(INDEX(PP_Grid[#Data],$DE540,72),0)</f>
        <v/>
      </c>
      <c r="BX540">
        <f>IFERROR(INDEX(PP_Grid[#Data],$DE540,73),0)</f>
        <v/>
      </c>
      <c r="BY540">
        <f>IFERROR(INDEX(PP_Grid[#Data],$DE540,74),0)</f>
        <v/>
      </c>
      <c r="BZ540">
        <f>IFERROR(INDEX(PP_Grid[#Data],$DE540,75),0)</f>
        <v/>
      </c>
      <c r="CA540">
        <f>IFERROR(INDEX(PP_Grid[#Data],$DE540,76),0)</f>
        <v/>
      </c>
      <c r="CB540">
        <f>IFERROR(INDEX(PP_Grid[#Data],$DE540,77),0)</f>
        <v/>
      </c>
      <c r="CC540">
        <f>IFERROR(INDEX(PP_Grid[#Data],$DE540,78),0)</f>
        <v/>
      </c>
      <c r="CD540">
        <f>IFERROR(INDEX(PP_Grid[#Data],$DE540,79),0)</f>
        <v/>
      </c>
      <c r="CE540">
        <f>IFERROR(INDEX(PP_Grid[#Data],$DE540,80),0)</f>
        <v/>
      </c>
      <c r="CF540">
        <f>IFERROR(INDEX(PP_Grid[#Data],$DE540,81),0)</f>
        <v/>
      </c>
      <c r="CG540">
        <f>IFERROR(INDEX(PP_Grid[#Data],$DE540,82),0)</f>
        <v/>
      </c>
      <c r="CH540">
        <f>IFERROR(INDEX(PP_Grid[#Data],$DE540,83),0)</f>
        <v/>
      </c>
      <c r="CI540">
        <f>IFERROR(INDEX(PP_Grid[#Data],$DE540,84),0)</f>
        <v/>
      </c>
      <c r="CJ540">
        <f>IFERROR(INDEX(PP_Grid[#Data],$DE540,85),0)</f>
        <v/>
      </c>
      <c r="CK540">
        <f>IFERROR(INDEX(PP_Grid[#Data],$DE540,86),0)</f>
        <v/>
      </c>
      <c r="CL540">
        <f>IFERROR(INDEX(PP_Grid[#Data],$DE540,87),0)</f>
        <v/>
      </c>
      <c r="CM540">
        <f>IFERROR(INDEX(PP_Grid[#Data],$DE540,88),0)</f>
        <v/>
      </c>
      <c r="CN540">
        <f>IFERROR(INDEX(PP_Grid[#Data],$DE540,89),0)</f>
        <v/>
      </c>
      <c r="CO540">
        <f>IFERROR(INDEX(PP_Grid[#Data],$DE540,90),0)</f>
        <v/>
      </c>
      <c r="CP540">
        <f>IFERROR(INDEX(PP_Grid[#Data],$DE540,91),0)</f>
        <v/>
      </c>
      <c r="CQ540">
        <f>IFERROR(INDEX(PP_Grid[#Data],$DE540,92),0)</f>
        <v/>
      </c>
      <c r="CR540">
        <f>IFERROR(INDEX(PP_Grid[#Data],$DE540,93),0)</f>
        <v/>
      </c>
      <c r="CS540">
        <f>IFERROR(INDEX(PP_Grid[#Data],$DE540,94),0)</f>
        <v/>
      </c>
      <c r="CT540">
        <f>IFERROR(INDEX(PP_Grid[#Data],$DE540,95),0)</f>
        <v/>
      </c>
      <c r="CU540">
        <f>IFERROR(INDEX(PP_Grid[#Data],$DE540,96),0)</f>
        <v/>
      </c>
      <c r="CV540">
        <f>IFERROR(INDEX(PP_Grid[#Data],$DE540,97),0)</f>
        <v/>
      </c>
      <c r="CW540">
        <f>IFERROR(INDEX(PP_Grid[#Data],$DE540,98),0)</f>
        <v/>
      </c>
      <c r="CX540">
        <f>IFERROR(INDEX(PP_Grid[#Data],$DE540,99),0)</f>
        <v/>
      </c>
      <c r="CY540">
        <f>IFERROR(INDEX(PP_Grid[#Data],$DE540,100),0)</f>
        <v/>
      </c>
      <c r="CZ540">
        <f>IFERROR(INDEX(PP_Grid[#Data],$DE540,101),0)</f>
        <v/>
      </c>
      <c r="DA540">
        <f>IFERROR(INDEX(PP_Grid[#Data],$DE540,102),0)</f>
        <v/>
      </c>
      <c r="DB540">
        <f>IFERROR(INDEX(PP_Grid[#Data],$DE540,103),0)</f>
        <v/>
      </c>
      <c r="DC540">
        <f>IFERROR(INDEX(PP_Grid[#Data],$DE540,104),0)</f>
        <v/>
      </c>
      <c r="DD540">
        <f>IFERROR(INDEX(PP_Grid[#Data],$DE540,105),0)</f>
        <v/>
      </c>
      <c r="DE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SUMIFS(M_BOM[RM_Qty_Per_Batch],M_BOM[Intermediate],$B540,M_BOM[RM_Code],$A515)</f>
        <v/>
      </c>
      <c r="D541">
        <f>IFERROR(INDEX(E541:DD541,$F$1),"")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  <c r="DD541">
        <f>$C541*DD540</f>
        <v/>
      </c>
    </row>
    <row r="542">
      <c r="B542" t="inlineStr">
        <is>
          <t>TSP-544</t>
        </is>
      </c>
      <c r="C542" t="inlineStr">
        <is>
          <t>No. of batches</t>
        </is>
      </c>
      <c r="D542">
        <f>IFERROR(INDEX(E542:DD542,$F$1),"")</f>
        <v/>
      </c>
      <c r="E542">
        <f>IFERROR(INDEX(PP_Grid[#Data],$DE542,2),0)</f>
        <v/>
      </c>
      <c r="F542">
        <f>IFERROR(INDEX(PP_Grid[#Data],$DE542,3),0)</f>
        <v/>
      </c>
      <c r="G542">
        <f>IFERROR(INDEX(PP_Grid[#Data],$DE542,4),0)</f>
        <v/>
      </c>
      <c r="H542">
        <f>IFERROR(INDEX(PP_Grid[#Data],$DE542,5),0)</f>
        <v/>
      </c>
      <c r="I542">
        <f>IFERROR(INDEX(PP_Grid[#Data],$DE542,6),0)</f>
        <v/>
      </c>
      <c r="J542">
        <f>IFERROR(INDEX(PP_Grid[#Data],$DE542,7),0)</f>
        <v/>
      </c>
      <c r="K542">
        <f>IFERROR(INDEX(PP_Grid[#Data],$DE542,8),0)</f>
        <v/>
      </c>
      <c r="L542">
        <f>IFERROR(INDEX(PP_Grid[#Data],$DE542,9),0)</f>
        <v/>
      </c>
      <c r="M542">
        <f>IFERROR(INDEX(PP_Grid[#Data],$DE542,10),0)</f>
        <v/>
      </c>
      <c r="N542">
        <f>IFERROR(INDEX(PP_Grid[#Data],$DE542,11),0)</f>
        <v/>
      </c>
      <c r="O542">
        <f>IFERROR(INDEX(PP_Grid[#Data],$DE542,12),0)</f>
        <v/>
      </c>
      <c r="P542">
        <f>IFERROR(INDEX(PP_Grid[#Data],$DE542,13),0)</f>
        <v/>
      </c>
      <c r="Q542">
        <f>IFERROR(INDEX(PP_Grid[#Data],$DE542,14),0)</f>
        <v/>
      </c>
      <c r="R542">
        <f>IFERROR(INDEX(PP_Grid[#Data],$DE542,15),0)</f>
        <v/>
      </c>
      <c r="S542">
        <f>IFERROR(INDEX(PP_Grid[#Data],$DE542,16),0)</f>
        <v/>
      </c>
      <c r="T542">
        <f>IFERROR(INDEX(PP_Grid[#Data],$DE542,17),0)</f>
        <v/>
      </c>
      <c r="U542">
        <f>IFERROR(INDEX(PP_Grid[#Data],$DE542,18),0)</f>
        <v/>
      </c>
      <c r="V542">
        <f>IFERROR(INDEX(PP_Grid[#Data],$DE542,19),0)</f>
        <v/>
      </c>
      <c r="W542">
        <f>IFERROR(INDEX(PP_Grid[#Data],$DE542,20),0)</f>
        <v/>
      </c>
      <c r="X542">
        <f>IFERROR(INDEX(PP_Grid[#Data],$DE542,21),0)</f>
        <v/>
      </c>
      <c r="Y542">
        <f>IFERROR(INDEX(PP_Grid[#Data],$DE542,22),0)</f>
        <v/>
      </c>
      <c r="Z542">
        <f>IFERROR(INDEX(PP_Grid[#Data],$DE542,23),0)</f>
        <v/>
      </c>
      <c r="AA542">
        <f>IFERROR(INDEX(PP_Grid[#Data],$DE542,24),0)</f>
        <v/>
      </c>
      <c r="AB542">
        <f>IFERROR(INDEX(PP_Grid[#Data],$DE542,25),0)</f>
        <v/>
      </c>
      <c r="AC542">
        <f>IFERROR(INDEX(PP_Grid[#Data],$DE542,26),0)</f>
        <v/>
      </c>
      <c r="AD542">
        <f>IFERROR(INDEX(PP_Grid[#Data],$DE542,27),0)</f>
        <v/>
      </c>
      <c r="AE542">
        <f>IFERROR(INDEX(PP_Grid[#Data],$DE542,28),0)</f>
        <v/>
      </c>
      <c r="AF542">
        <f>IFERROR(INDEX(PP_Grid[#Data],$DE542,29),0)</f>
        <v/>
      </c>
      <c r="AG542">
        <f>IFERROR(INDEX(PP_Grid[#Data],$DE542,30),0)</f>
        <v/>
      </c>
      <c r="AH542">
        <f>IFERROR(INDEX(PP_Grid[#Data],$DE542,31),0)</f>
        <v/>
      </c>
      <c r="AI542">
        <f>IFERROR(INDEX(PP_Grid[#Data],$DE542,32),0)</f>
        <v/>
      </c>
      <c r="AJ542">
        <f>IFERROR(INDEX(PP_Grid[#Data],$DE542,33),0)</f>
        <v/>
      </c>
      <c r="AK542">
        <f>IFERROR(INDEX(PP_Grid[#Data],$DE542,34),0)</f>
        <v/>
      </c>
      <c r="AL542">
        <f>IFERROR(INDEX(PP_Grid[#Data],$DE542,35),0)</f>
        <v/>
      </c>
      <c r="AM542">
        <f>IFERROR(INDEX(PP_Grid[#Data],$DE542,36),0)</f>
        <v/>
      </c>
      <c r="AN542">
        <f>IFERROR(INDEX(PP_Grid[#Data],$DE542,37),0)</f>
        <v/>
      </c>
      <c r="AO542">
        <f>IFERROR(INDEX(PP_Grid[#Data],$DE542,38),0)</f>
        <v/>
      </c>
      <c r="AP542">
        <f>IFERROR(INDEX(PP_Grid[#Data],$DE542,39),0)</f>
        <v/>
      </c>
      <c r="AQ542">
        <f>IFERROR(INDEX(PP_Grid[#Data],$DE542,40),0)</f>
        <v/>
      </c>
      <c r="AR542">
        <f>IFERROR(INDEX(PP_Grid[#Data],$DE542,41),0)</f>
        <v/>
      </c>
      <c r="AS542">
        <f>IFERROR(INDEX(PP_Grid[#Data],$DE542,42),0)</f>
        <v/>
      </c>
      <c r="AT542">
        <f>IFERROR(INDEX(PP_Grid[#Data],$DE542,43),0)</f>
        <v/>
      </c>
      <c r="AU542">
        <f>IFERROR(INDEX(PP_Grid[#Data],$DE542,44),0)</f>
        <v/>
      </c>
      <c r="AV542">
        <f>IFERROR(INDEX(PP_Grid[#Data],$DE542,45),0)</f>
        <v/>
      </c>
      <c r="AW542">
        <f>IFERROR(INDEX(PP_Grid[#Data],$DE542,46),0)</f>
        <v/>
      </c>
      <c r="AX542">
        <f>IFERROR(INDEX(PP_Grid[#Data],$DE542,47),0)</f>
        <v/>
      </c>
      <c r="AY542">
        <f>IFERROR(INDEX(PP_Grid[#Data],$DE542,48),0)</f>
        <v/>
      </c>
      <c r="AZ542">
        <f>IFERROR(INDEX(PP_Grid[#Data],$DE542,49),0)</f>
        <v/>
      </c>
      <c r="BA542">
        <f>IFERROR(INDEX(PP_Grid[#Data],$DE542,50),0)</f>
        <v/>
      </c>
      <c r="BB542">
        <f>IFERROR(INDEX(PP_Grid[#Data],$DE542,51),0)</f>
        <v/>
      </c>
      <c r="BC542">
        <f>IFERROR(INDEX(PP_Grid[#Data],$DE542,52),0)</f>
        <v/>
      </c>
      <c r="BD542">
        <f>IFERROR(INDEX(PP_Grid[#Data],$DE542,53),0)</f>
        <v/>
      </c>
      <c r="BE542">
        <f>IFERROR(INDEX(PP_Grid[#Data],$DE542,54),0)</f>
        <v/>
      </c>
      <c r="BF542">
        <f>IFERROR(INDEX(PP_Grid[#Data],$DE542,55),0)</f>
        <v/>
      </c>
      <c r="BG542">
        <f>IFERROR(INDEX(PP_Grid[#Data],$DE542,56),0)</f>
        <v/>
      </c>
      <c r="BH542">
        <f>IFERROR(INDEX(PP_Grid[#Data],$DE542,57),0)</f>
        <v/>
      </c>
      <c r="BI542">
        <f>IFERROR(INDEX(PP_Grid[#Data],$DE542,58),0)</f>
        <v/>
      </c>
      <c r="BJ542">
        <f>IFERROR(INDEX(PP_Grid[#Data],$DE542,59),0)</f>
        <v/>
      </c>
      <c r="BK542">
        <f>IFERROR(INDEX(PP_Grid[#Data],$DE542,60),0)</f>
        <v/>
      </c>
      <c r="BL542">
        <f>IFERROR(INDEX(PP_Grid[#Data],$DE542,61),0)</f>
        <v/>
      </c>
      <c r="BM542">
        <f>IFERROR(INDEX(PP_Grid[#Data],$DE542,62),0)</f>
        <v/>
      </c>
      <c r="BN542">
        <f>IFERROR(INDEX(PP_Grid[#Data],$DE542,63),0)</f>
        <v/>
      </c>
      <c r="BO542">
        <f>IFERROR(INDEX(PP_Grid[#Data],$DE542,64),0)</f>
        <v/>
      </c>
      <c r="BP542">
        <f>IFERROR(INDEX(PP_Grid[#Data],$DE542,65),0)</f>
        <v/>
      </c>
      <c r="BQ542">
        <f>IFERROR(INDEX(PP_Grid[#Data],$DE542,66),0)</f>
        <v/>
      </c>
      <c r="BR542">
        <f>IFERROR(INDEX(PP_Grid[#Data],$DE542,67),0)</f>
        <v/>
      </c>
      <c r="BS542">
        <f>IFERROR(INDEX(PP_Grid[#Data],$DE542,68),0)</f>
        <v/>
      </c>
      <c r="BT542">
        <f>IFERROR(INDEX(PP_Grid[#Data],$DE542,69),0)</f>
        <v/>
      </c>
      <c r="BU542">
        <f>IFERROR(INDEX(PP_Grid[#Data],$DE542,70),0)</f>
        <v/>
      </c>
      <c r="BV542">
        <f>IFERROR(INDEX(PP_Grid[#Data],$DE542,71),0)</f>
        <v/>
      </c>
      <c r="BW542">
        <f>IFERROR(INDEX(PP_Grid[#Data],$DE542,72),0)</f>
        <v/>
      </c>
      <c r="BX542">
        <f>IFERROR(INDEX(PP_Grid[#Data],$DE542,73),0)</f>
        <v/>
      </c>
      <c r="BY542">
        <f>IFERROR(INDEX(PP_Grid[#Data],$DE542,74),0)</f>
        <v/>
      </c>
      <c r="BZ542">
        <f>IFERROR(INDEX(PP_Grid[#Data],$DE542,75),0)</f>
        <v/>
      </c>
      <c r="CA542">
        <f>IFERROR(INDEX(PP_Grid[#Data],$DE542,76),0)</f>
        <v/>
      </c>
      <c r="CB542">
        <f>IFERROR(INDEX(PP_Grid[#Data],$DE542,77),0)</f>
        <v/>
      </c>
      <c r="CC542">
        <f>IFERROR(INDEX(PP_Grid[#Data],$DE542,78),0)</f>
        <v/>
      </c>
      <c r="CD542">
        <f>IFERROR(INDEX(PP_Grid[#Data],$DE542,79),0)</f>
        <v/>
      </c>
      <c r="CE542">
        <f>IFERROR(INDEX(PP_Grid[#Data],$DE542,80),0)</f>
        <v/>
      </c>
      <c r="CF542">
        <f>IFERROR(INDEX(PP_Grid[#Data],$DE542,81),0)</f>
        <v/>
      </c>
      <c r="CG542">
        <f>IFERROR(INDEX(PP_Grid[#Data],$DE542,82),0)</f>
        <v/>
      </c>
      <c r="CH542">
        <f>IFERROR(INDEX(PP_Grid[#Data],$DE542,83),0)</f>
        <v/>
      </c>
      <c r="CI542">
        <f>IFERROR(INDEX(PP_Grid[#Data],$DE542,84),0)</f>
        <v/>
      </c>
      <c r="CJ542">
        <f>IFERROR(INDEX(PP_Grid[#Data],$DE542,85),0)</f>
        <v/>
      </c>
      <c r="CK542">
        <f>IFERROR(INDEX(PP_Grid[#Data],$DE542,86),0)</f>
        <v/>
      </c>
      <c r="CL542">
        <f>IFERROR(INDEX(PP_Grid[#Data],$DE542,87),0)</f>
        <v/>
      </c>
      <c r="CM542">
        <f>IFERROR(INDEX(PP_Grid[#Data],$DE542,88),0)</f>
        <v/>
      </c>
      <c r="CN542">
        <f>IFERROR(INDEX(PP_Grid[#Data],$DE542,89),0)</f>
        <v/>
      </c>
      <c r="CO542">
        <f>IFERROR(INDEX(PP_Grid[#Data],$DE542,90),0)</f>
        <v/>
      </c>
      <c r="CP542">
        <f>IFERROR(INDEX(PP_Grid[#Data],$DE542,91),0)</f>
        <v/>
      </c>
      <c r="CQ542">
        <f>IFERROR(INDEX(PP_Grid[#Data],$DE542,92),0)</f>
        <v/>
      </c>
      <c r="CR542">
        <f>IFERROR(INDEX(PP_Grid[#Data],$DE542,93),0)</f>
        <v/>
      </c>
      <c r="CS542">
        <f>IFERROR(INDEX(PP_Grid[#Data],$DE542,94),0)</f>
        <v/>
      </c>
      <c r="CT542">
        <f>IFERROR(INDEX(PP_Grid[#Data],$DE542,95),0)</f>
        <v/>
      </c>
      <c r="CU542">
        <f>IFERROR(INDEX(PP_Grid[#Data],$DE542,96),0)</f>
        <v/>
      </c>
      <c r="CV542">
        <f>IFERROR(INDEX(PP_Grid[#Data],$DE542,97),0)</f>
        <v/>
      </c>
      <c r="CW542">
        <f>IFERROR(INDEX(PP_Grid[#Data],$DE542,98),0)</f>
        <v/>
      </c>
      <c r="CX542">
        <f>IFERROR(INDEX(PP_Grid[#Data],$DE542,99),0)</f>
        <v/>
      </c>
      <c r="CY542">
        <f>IFERROR(INDEX(PP_Grid[#Data],$DE542,100),0)</f>
        <v/>
      </c>
      <c r="CZ542">
        <f>IFERROR(INDEX(PP_Grid[#Data],$DE542,101),0)</f>
        <v/>
      </c>
      <c r="DA542">
        <f>IFERROR(INDEX(PP_Grid[#Data],$DE542,102),0)</f>
        <v/>
      </c>
      <c r="DB542">
        <f>IFERROR(INDEX(PP_Grid[#Data],$DE542,103),0)</f>
        <v/>
      </c>
      <c r="DC542">
        <f>IFERROR(INDEX(PP_Grid[#Data],$DE542,104),0)</f>
        <v/>
      </c>
      <c r="DD542">
        <f>IFERROR(INDEX(PP_Grid[#Data],$DE542,105),0)</f>
        <v/>
      </c>
      <c r="DE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SUMIFS(M_BOM[RM_Qty_Per_Batch],M_BOM[Intermediate],$B542,M_BOM[RM_Code],$A515)</f>
        <v/>
      </c>
      <c r="D543">
        <f>IFERROR(INDEX(E543:DD543,$F$1),"")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  <c r="DD543">
        <f>$C543*DD542</f>
        <v/>
      </c>
    </row>
    <row r="544">
      <c r="B544" t="inlineStr">
        <is>
          <t>TSP-618</t>
        </is>
      </c>
      <c r="C544" t="inlineStr">
        <is>
          <t>No. of batches</t>
        </is>
      </c>
      <c r="D544">
        <f>IFERROR(INDEX(E544:DD544,$F$1),"")</f>
        <v/>
      </c>
      <c r="E544">
        <f>IFERROR(INDEX(PP_Grid[#Data],$DE544,2),0)</f>
        <v/>
      </c>
      <c r="F544">
        <f>IFERROR(INDEX(PP_Grid[#Data],$DE544,3),0)</f>
        <v/>
      </c>
      <c r="G544">
        <f>IFERROR(INDEX(PP_Grid[#Data],$DE544,4),0)</f>
        <v/>
      </c>
      <c r="H544">
        <f>IFERROR(INDEX(PP_Grid[#Data],$DE544,5),0)</f>
        <v/>
      </c>
      <c r="I544">
        <f>IFERROR(INDEX(PP_Grid[#Data],$DE544,6),0)</f>
        <v/>
      </c>
      <c r="J544">
        <f>IFERROR(INDEX(PP_Grid[#Data],$DE544,7),0)</f>
        <v/>
      </c>
      <c r="K544">
        <f>IFERROR(INDEX(PP_Grid[#Data],$DE544,8),0)</f>
        <v/>
      </c>
      <c r="L544">
        <f>IFERROR(INDEX(PP_Grid[#Data],$DE544,9),0)</f>
        <v/>
      </c>
      <c r="M544">
        <f>IFERROR(INDEX(PP_Grid[#Data],$DE544,10),0)</f>
        <v/>
      </c>
      <c r="N544">
        <f>IFERROR(INDEX(PP_Grid[#Data],$DE544,11),0)</f>
        <v/>
      </c>
      <c r="O544">
        <f>IFERROR(INDEX(PP_Grid[#Data],$DE544,12),0)</f>
        <v/>
      </c>
      <c r="P544">
        <f>IFERROR(INDEX(PP_Grid[#Data],$DE544,13),0)</f>
        <v/>
      </c>
      <c r="Q544">
        <f>IFERROR(INDEX(PP_Grid[#Data],$DE544,14),0)</f>
        <v/>
      </c>
      <c r="R544">
        <f>IFERROR(INDEX(PP_Grid[#Data],$DE544,15),0)</f>
        <v/>
      </c>
      <c r="S544">
        <f>IFERROR(INDEX(PP_Grid[#Data],$DE544,16),0)</f>
        <v/>
      </c>
      <c r="T544">
        <f>IFERROR(INDEX(PP_Grid[#Data],$DE544,17),0)</f>
        <v/>
      </c>
      <c r="U544">
        <f>IFERROR(INDEX(PP_Grid[#Data],$DE544,18),0)</f>
        <v/>
      </c>
      <c r="V544">
        <f>IFERROR(INDEX(PP_Grid[#Data],$DE544,19),0)</f>
        <v/>
      </c>
      <c r="W544">
        <f>IFERROR(INDEX(PP_Grid[#Data],$DE544,20),0)</f>
        <v/>
      </c>
      <c r="X544">
        <f>IFERROR(INDEX(PP_Grid[#Data],$DE544,21),0)</f>
        <v/>
      </c>
      <c r="Y544">
        <f>IFERROR(INDEX(PP_Grid[#Data],$DE544,22),0)</f>
        <v/>
      </c>
      <c r="Z544">
        <f>IFERROR(INDEX(PP_Grid[#Data],$DE544,23),0)</f>
        <v/>
      </c>
      <c r="AA544">
        <f>IFERROR(INDEX(PP_Grid[#Data],$DE544,24),0)</f>
        <v/>
      </c>
      <c r="AB544">
        <f>IFERROR(INDEX(PP_Grid[#Data],$DE544,25),0)</f>
        <v/>
      </c>
      <c r="AC544">
        <f>IFERROR(INDEX(PP_Grid[#Data],$DE544,26),0)</f>
        <v/>
      </c>
      <c r="AD544">
        <f>IFERROR(INDEX(PP_Grid[#Data],$DE544,27),0)</f>
        <v/>
      </c>
      <c r="AE544">
        <f>IFERROR(INDEX(PP_Grid[#Data],$DE544,28),0)</f>
        <v/>
      </c>
      <c r="AF544">
        <f>IFERROR(INDEX(PP_Grid[#Data],$DE544,29),0)</f>
        <v/>
      </c>
      <c r="AG544">
        <f>IFERROR(INDEX(PP_Grid[#Data],$DE544,30),0)</f>
        <v/>
      </c>
      <c r="AH544">
        <f>IFERROR(INDEX(PP_Grid[#Data],$DE544,31),0)</f>
        <v/>
      </c>
      <c r="AI544">
        <f>IFERROR(INDEX(PP_Grid[#Data],$DE544,32),0)</f>
        <v/>
      </c>
      <c r="AJ544">
        <f>IFERROR(INDEX(PP_Grid[#Data],$DE544,33),0)</f>
        <v/>
      </c>
      <c r="AK544">
        <f>IFERROR(INDEX(PP_Grid[#Data],$DE544,34),0)</f>
        <v/>
      </c>
      <c r="AL544">
        <f>IFERROR(INDEX(PP_Grid[#Data],$DE544,35),0)</f>
        <v/>
      </c>
      <c r="AM544">
        <f>IFERROR(INDEX(PP_Grid[#Data],$DE544,36),0)</f>
        <v/>
      </c>
      <c r="AN544">
        <f>IFERROR(INDEX(PP_Grid[#Data],$DE544,37),0)</f>
        <v/>
      </c>
      <c r="AO544">
        <f>IFERROR(INDEX(PP_Grid[#Data],$DE544,38),0)</f>
        <v/>
      </c>
      <c r="AP544">
        <f>IFERROR(INDEX(PP_Grid[#Data],$DE544,39),0)</f>
        <v/>
      </c>
      <c r="AQ544">
        <f>IFERROR(INDEX(PP_Grid[#Data],$DE544,40),0)</f>
        <v/>
      </c>
      <c r="AR544">
        <f>IFERROR(INDEX(PP_Grid[#Data],$DE544,41),0)</f>
        <v/>
      </c>
      <c r="AS544">
        <f>IFERROR(INDEX(PP_Grid[#Data],$DE544,42),0)</f>
        <v/>
      </c>
      <c r="AT544">
        <f>IFERROR(INDEX(PP_Grid[#Data],$DE544,43),0)</f>
        <v/>
      </c>
      <c r="AU544">
        <f>IFERROR(INDEX(PP_Grid[#Data],$DE544,44),0)</f>
        <v/>
      </c>
      <c r="AV544">
        <f>IFERROR(INDEX(PP_Grid[#Data],$DE544,45),0)</f>
        <v/>
      </c>
      <c r="AW544">
        <f>IFERROR(INDEX(PP_Grid[#Data],$DE544,46),0)</f>
        <v/>
      </c>
      <c r="AX544">
        <f>IFERROR(INDEX(PP_Grid[#Data],$DE544,47),0)</f>
        <v/>
      </c>
      <c r="AY544">
        <f>IFERROR(INDEX(PP_Grid[#Data],$DE544,48),0)</f>
        <v/>
      </c>
      <c r="AZ544">
        <f>IFERROR(INDEX(PP_Grid[#Data],$DE544,49),0)</f>
        <v/>
      </c>
      <c r="BA544">
        <f>IFERROR(INDEX(PP_Grid[#Data],$DE544,50),0)</f>
        <v/>
      </c>
      <c r="BB544">
        <f>IFERROR(INDEX(PP_Grid[#Data],$DE544,51),0)</f>
        <v/>
      </c>
      <c r="BC544">
        <f>IFERROR(INDEX(PP_Grid[#Data],$DE544,52),0)</f>
        <v/>
      </c>
      <c r="BD544">
        <f>IFERROR(INDEX(PP_Grid[#Data],$DE544,53),0)</f>
        <v/>
      </c>
      <c r="BE544">
        <f>IFERROR(INDEX(PP_Grid[#Data],$DE544,54),0)</f>
        <v/>
      </c>
      <c r="BF544">
        <f>IFERROR(INDEX(PP_Grid[#Data],$DE544,55),0)</f>
        <v/>
      </c>
      <c r="BG544">
        <f>IFERROR(INDEX(PP_Grid[#Data],$DE544,56),0)</f>
        <v/>
      </c>
      <c r="BH544">
        <f>IFERROR(INDEX(PP_Grid[#Data],$DE544,57),0)</f>
        <v/>
      </c>
      <c r="BI544">
        <f>IFERROR(INDEX(PP_Grid[#Data],$DE544,58),0)</f>
        <v/>
      </c>
      <c r="BJ544">
        <f>IFERROR(INDEX(PP_Grid[#Data],$DE544,59),0)</f>
        <v/>
      </c>
      <c r="BK544">
        <f>IFERROR(INDEX(PP_Grid[#Data],$DE544,60),0)</f>
        <v/>
      </c>
      <c r="BL544">
        <f>IFERROR(INDEX(PP_Grid[#Data],$DE544,61),0)</f>
        <v/>
      </c>
      <c r="BM544">
        <f>IFERROR(INDEX(PP_Grid[#Data],$DE544,62),0)</f>
        <v/>
      </c>
      <c r="BN544">
        <f>IFERROR(INDEX(PP_Grid[#Data],$DE544,63),0)</f>
        <v/>
      </c>
      <c r="BO544">
        <f>IFERROR(INDEX(PP_Grid[#Data],$DE544,64),0)</f>
        <v/>
      </c>
      <c r="BP544">
        <f>IFERROR(INDEX(PP_Grid[#Data],$DE544,65),0)</f>
        <v/>
      </c>
      <c r="BQ544">
        <f>IFERROR(INDEX(PP_Grid[#Data],$DE544,66),0)</f>
        <v/>
      </c>
      <c r="BR544">
        <f>IFERROR(INDEX(PP_Grid[#Data],$DE544,67),0)</f>
        <v/>
      </c>
      <c r="BS544">
        <f>IFERROR(INDEX(PP_Grid[#Data],$DE544,68),0)</f>
        <v/>
      </c>
      <c r="BT544">
        <f>IFERROR(INDEX(PP_Grid[#Data],$DE544,69),0)</f>
        <v/>
      </c>
      <c r="BU544">
        <f>IFERROR(INDEX(PP_Grid[#Data],$DE544,70),0)</f>
        <v/>
      </c>
      <c r="BV544">
        <f>IFERROR(INDEX(PP_Grid[#Data],$DE544,71),0)</f>
        <v/>
      </c>
      <c r="BW544">
        <f>IFERROR(INDEX(PP_Grid[#Data],$DE544,72),0)</f>
        <v/>
      </c>
      <c r="BX544">
        <f>IFERROR(INDEX(PP_Grid[#Data],$DE544,73),0)</f>
        <v/>
      </c>
      <c r="BY544">
        <f>IFERROR(INDEX(PP_Grid[#Data],$DE544,74),0)</f>
        <v/>
      </c>
      <c r="BZ544">
        <f>IFERROR(INDEX(PP_Grid[#Data],$DE544,75),0)</f>
        <v/>
      </c>
      <c r="CA544">
        <f>IFERROR(INDEX(PP_Grid[#Data],$DE544,76),0)</f>
        <v/>
      </c>
      <c r="CB544">
        <f>IFERROR(INDEX(PP_Grid[#Data],$DE544,77),0)</f>
        <v/>
      </c>
      <c r="CC544">
        <f>IFERROR(INDEX(PP_Grid[#Data],$DE544,78),0)</f>
        <v/>
      </c>
      <c r="CD544">
        <f>IFERROR(INDEX(PP_Grid[#Data],$DE544,79),0)</f>
        <v/>
      </c>
      <c r="CE544">
        <f>IFERROR(INDEX(PP_Grid[#Data],$DE544,80),0)</f>
        <v/>
      </c>
      <c r="CF544">
        <f>IFERROR(INDEX(PP_Grid[#Data],$DE544,81),0)</f>
        <v/>
      </c>
      <c r="CG544">
        <f>IFERROR(INDEX(PP_Grid[#Data],$DE544,82),0)</f>
        <v/>
      </c>
      <c r="CH544">
        <f>IFERROR(INDEX(PP_Grid[#Data],$DE544,83),0)</f>
        <v/>
      </c>
      <c r="CI544">
        <f>IFERROR(INDEX(PP_Grid[#Data],$DE544,84),0)</f>
        <v/>
      </c>
      <c r="CJ544">
        <f>IFERROR(INDEX(PP_Grid[#Data],$DE544,85),0)</f>
        <v/>
      </c>
      <c r="CK544">
        <f>IFERROR(INDEX(PP_Grid[#Data],$DE544,86),0)</f>
        <v/>
      </c>
      <c r="CL544">
        <f>IFERROR(INDEX(PP_Grid[#Data],$DE544,87),0)</f>
        <v/>
      </c>
      <c r="CM544">
        <f>IFERROR(INDEX(PP_Grid[#Data],$DE544,88),0)</f>
        <v/>
      </c>
      <c r="CN544">
        <f>IFERROR(INDEX(PP_Grid[#Data],$DE544,89),0)</f>
        <v/>
      </c>
      <c r="CO544">
        <f>IFERROR(INDEX(PP_Grid[#Data],$DE544,90),0)</f>
        <v/>
      </c>
      <c r="CP544">
        <f>IFERROR(INDEX(PP_Grid[#Data],$DE544,91),0)</f>
        <v/>
      </c>
      <c r="CQ544">
        <f>IFERROR(INDEX(PP_Grid[#Data],$DE544,92),0)</f>
        <v/>
      </c>
      <c r="CR544">
        <f>IFERROR(INDEX(PP_Grid[#Data],$DE544,93),0)</f>
        <v/>
      </c>
      <c r="CS544">
        <f>IFERROR(INDEX(PP_Grid[#Data],$DE544,94),0)</f>
        <v/>
      </c>
      <c r="CT544">
        <f>IFERROR(INDEX(PP_Grid[#Data],$DE544,95),0)</f>
        <v/>
      </c>
      <c r="CU544">
        <f>IFERROR(INDEX(PP_Grid[#Data],$DE544,96),0)</f>
        <v/>
      </c>
      <c r="CV544">
        <f>IFERROR(INDEX(PP_Grid[#Data],$DE544,97),0)</f>
        <v/>
      </c>
      <c r="CW544">
        <f>IFERROR(INDEX(PP_Grid[#Data],$DE544,98),0)</f>
        <v/>
      </c>
      <c r="CX544">
        <f>IFERROR(INDEX(PP_Grid[#Data],$DE544,99),0)</f>
        <v/>
      </c>
      <c r="CY544">
        <f>IFERROR(INDEX(PP_Grid[#Data],$DE544,100),0)</f>
        <v/>
      </c>
      <c r="CZ544">
        <f>IFERROR(INDEX(PP_Grid[#Data],$DE544,101),0)</f>
        <v/>
      </c>
      <c r="DA544">
        <f>IFERROR(INDEX(PP_Grid[#Data],$DE544,102),0)</f>
        <v/>
      </c>
      <c r="DB544">
        <f>IFERROR(INDEX(PP_Grid[#Data],$DE544,103),0)</f>
        <v/>
      </c>
      <c r="DC544">
        <f>IFERROR(INDEX(PP_Grid[#Data],$DE544,104),0)</f>
        <v/>
      </c>
      <c r="DD544">
        <f>IFERROR(INDEX(PP_Grid[#Data],$DE544,105),0)</f>
        <v/>
      </c>
      <c r="DE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SUMIFS(M_BOM[RM_Qty_Per_Batch],M_BOM[Intermediate],$B544,M_BOM[RM_Code],$A515)</f>
        <v/>
      </c>
      <c r="D545">
        <f>IFERROR(INDEX(E545:DD545,$F$1),"")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  <c r="DD545">
        <f>$C545*DD544</f>
        <v/>
      </c>
    </row>
    <row r="546">
      <c r="B546" t="inlineStr">
        <is>
          <t>TSP-620</t>
        </is>
      </c>
      <c r="C546" t="inlineStr">
        <is>
          <t>No. of batches</t>
        </is>
      </c>
      <c r="D546">
        <f>IFERROR(INDEX(E546:DD546,$F$1),"")</f>
        <v/>
      </c>
      <c r="E546">
        <f>IFERROR(INDEX(PP_Grid[#Data],$DE546,2),0)</f>
        <v/>
      </c>
      <c r="F546">
        <f>IFERROR(INDEX(PP_Grid[#Data],$DE546,3),0)</f>
        <v/>
      </c>
      <c r="G546">
        <f>IFERROR(INDEX(PP_Grid[#Data],$DE546,4),0)</f>
        <v/>
      </c>
      <c r="H546">
        <f>IFERROR(INDEX(PP_Grid[#Data],$DE546,5),0)</f>
        <v/>
      </c>
      <c r="I546">
        <f>IFERROR(INDEX(PP_Grid[#Data],$DE546,6),0)</f>
        <v/>
      </c>
      <c r="J546">
        <f>IFERROR(INDEX(PP_Grid[#Data],$DE546,7),0)</f>
        <v/>
      </c>
      <c r="K546">
        <f>IFERROR(INDEX(PP_Grid[#Data],$DE546,8),0)</f>
        <v/>
      </c>
      <c r="L546">
        <f>IFERROR(INDEX(PP_Grid[#Data],$DE546,9),0)</f>
        <v/>
      </c>
      <c r="M546">
        <f>IFERROR(INDEX(PP_Grid[#Data],$DE546,10),0)</f>
        <v/>
      </c>
      <c r="N546">
        <f>IFERROR(INDEX(PP_Grid[#Data],$DE546,11),0)</f>
        <v/>
      </c>
      <c r="O546">
        <f>IFERROR(INDEX(PP_Grid[#Data],$DE546,12),0)</f>
        <v/>
      </c>
      <c r="P546">
        <f>IFERROR(INDEX(PP_Grid[#Data],$DE546,13),0)</f>
        <v/>
      </c>
      <c r="Q546">
        <f>IFERROR(INDEX(PP_Grid[#Data],$DE546,14),0)</f>
        <v/>
      </c>
      <c r="R546">
        <f>IFERROR(INDEX(PP_Grid[#Data],$DE546,15),0)</f>
        <v/>
      </c>
      <c r="S546">
        <f>IFERROR(INDEX(PP_Grid[#Data],$DE546,16),0)</f>
        <v/>
      </c>
      <c r="T546">
        <f>IFERROR(INDEX(PP_Grid[#Data],$DE546,17),0)</f>
        <v/>
      </c>
      <c r="U546">
        <f>IFERROR(INDEX(PP_Grid[#Data],$DE546,18),0)</f>
        <v/>
      </c>
      <c r="V546">
        <f>IFERROR(INDEX(PP_Grid[#Data],$DE546,19),0)</f>
        <v/>
      </c>
      <c r="W546">
        <f>IFERROR(INDEX(PP_Grid[#Data],$DE546,20),0)</f>
        <v/>
      </c>
      <c r="X546">
        <f>IFERROR(INDEX(PP_Grid[#Data],$DE546,21),0)</f>
        <v/>
      </c>
      <c r="Y546">
        <f>IFERROR(INDEX(PP_Grid[#Data],$DE546,22),0)</f>
        <v/>
      </c>
      <c r="Z546">
        <f>IFERROR(INDEX(PP_Grid[#Data],$DE546,23),0)</f>
        <v/>
      </c>
      <c r="AA546">
        <f>IFERROR(INDEX(PP_Grid[#Data],$DE546,24),0)</f>
        <v/>
      </c>
      <c r="AB546">
        <f>IFERROR(INDEX(PP_Grid[#Data],$DE546,25),0)</f>
        <v/>
      </c>
      <c r="AC546">
        <f>IFERROR(INDEX(PP_Grid[#Data],$DE546,26),0)</f>
        <v/>
      </c>
      <c r="AD546">
        <f>IFERROR(INDEX(PP_Grid[#Data],$DE546,27),0)</f>
        <v/>
      </c>
      <c r="AE546">
        <f>IFERROR(INDEX(PP_Grid[#Data],$DE546,28),0)</f>
        <v/>
      </c>
      <c r="AF546">
        <f>IFERROR(INDEX(PP_Grid[#Data],$DE546,29),0)</f>
        <v/>
      </c>
      <c r="AG546">
        <f>IFERROR(INDEX(PP_Grid[#Data],$DE546,30),0)</f>
        <v/>
      </c>
      <c r="AH546">
        <f>IFERROR(INDEX(PP_Grid[#Data],$DE546,31),0)</f>
        <v/>
      </c>
      <c r="AI546">
        <f>IFERROR(INDEX(PP_Grid[#Data],$DE546,32),0)</f>
        <v/>
      </c>
      <c r="AJ546">
        <f>IFERROR(INDEX(PP_Grid[#Data],$DE546,33),0)</f>
        <v/>
      </c>
      <c r="AK546">
        <f>IFERROR(INDEX(PP_Grid[#Data],$DE546,34),0)</f>
        <v/>
      </c>
      <c r="AL546">
        <f>IFERROR(INDEX(PP_Grid[#Data],$DE546,35),0)</f>
        <v/>
      </c>
      <c r="AM546">
        <f>IFERROR(INDEX(PP_Grid[#Data],$DE546,36),0)</f>
        <v/>
      </c>
      <c r="AN546">
        <f>IFERROR(INDEX(PP_Grid[#Data],$DE546,37),0)</f>
        <v/>
      </c>
      <c r="AO546">
        <f>IFERROR(INDEX(PP_Grid[#Data],$DE546,38),0)</f>
        <v/>
      </c>
      <c r="AP546">
        <f>IFERROR(INDEX(PP_Grid[#Data],$DE546,39),0)</f>
        <v/>
      </c>
      <c r="AQ546">
        <f>IFERROR(INDEX(PP_Grid[#Data],$DE546,40),0)</f>
        <v/>
      </c>
      <c r="AR546">
        <f>IFERROR(INDEX(PP_Grid[#Data],$DE546,41),0)</f>
        <v/>
      </c>
      <c r="AS546">
        <f>IFERROR(INDEX(PP_Grid[#Data],$DE546,42),0)</f>
        <v/>
      </c>
      <c r="AT546">
        <f>IFERROR(INDEX(PP_Grid[#Data],$DE546,43),0)</f>
        <v/>
      </c>
      <c r="AU546">
        <f>IFERROR(INDEX(PP_Grid[#Data],$DE546,44),0)</f>
        <v/>
      </c>
      <c r="AV546">
        <f>IFERROR(INDEX(PP_Grid[#Data],$DE546,45),0)</f>
        <v/>
      </c>
      <c r="AW546">
        <f>IFERROR(INDEX(PP_Grid[#Data],$DE546,46),0)</f>
        <v/>
      </c>
      <c r="AX546">
        <f>IFERROR(INDEX(PP_Grid[#Data],$DE546,47),0)</f>
        <v/>
      </c>
      <c r="AY546">
        <f>IFERROR(INDEX(PP_Grid[#Data],$DE546,48),0)</f>
        <v/>
      </c>
      <c r="AZ546">
        <f>IFERROR(INDEX(PP_Grid[#Data],$DE546,49),0)</f>
        <v/>
      </c>
      <c r="BA546">
        <f>IFERROR(INDEX(PP_Grid[#Data],$DE546,50),0)</f>
        <v/>
      </c>
      <c r="BB546">
        <f>IFERROR(INDEX(PP_Grid[#Data],$DE546,51),0)</f>
        <v/>
      </c>
      <c r="BC546">
        <f>IFERROR(INDEX(PP_Grid[#Data],$DE546,52),0)</f>
        <v/>
      </c>
      <c r="BD546">
        <f>IFERROR(INDEX(PP_Grid[#Data],$DE546,53),0)</f>
        <v/>
      </c>
      <c r="BE546">
        <f>IFERROR(INDEX(PP_Grid[#Data],$DE546,54),0)</f>
        <v/>
      </c>
      <c r="BF546">
        <f>IFERROR(INDEX(PP_Grid[#Data],$DE546,55),0)</f>
        <v/>
      </c>
      <c r="BG546">
        <f>IFERROR(INDEX(PP_Grid[#Data],$DE546,56),0)</f>
        <v/>
      </c>
      <c r="BH546">
        <f>IFERROR(INDEX(PP_Grid[#Data],$DE546,57),0)</f>
        <v/>
      </c>
      <c r="BI546">
        <f>IFERROR(INDEX(PP_Grid[#Data],$DE546,58),0)</f>
        <v/>
      </c>
      <c r="BJ546">
        <f>IFERROR(INDEX(PP_Grid[#Data],$DE546,59),0)</f>
        <v/>
      </c>
      <c r="BK546">
        <f>IFERROR(INDEX(PP_Grid[#Data],$DE546,60),0)</f>
        <v/>
      </c>
      <c r="BL546">
        <f>IFERROR(INDEX(PP_Grid[#Data],$DE546,61),0)</f>
        <v/>
      </c>
      <c r="BM546">
        <f>IFERROR(INDEX(PP_Grid[#Data],$DE546,62),0)</f>
        <v/>
      </c>
      <c r="BN546">
        <f>IFERROR(INDEX(PP_Grid[#Data],$DE546,63),0)</f>
        <v/>
      </c>
      <c r="BO546">
        <f>IFERROR(INDEX(PP_Grid[#Data],$DE546,64),0)</f>
        <v/>
      </c>
      <c r="BP546">
        <f>IFERROR(INDEX(PP_Grid[#Data],$DE546,65),0)</f>
        <v/>
      </c>
      <c r="BQ546">
        <f>IFERROR(INDEX(PP_Grid[#Data],$DE546,66),0)</f>
        <v/>
      </c>
      <c r="BR546">
        <f>IFERROR(INDEX(PP_Grid[#Data],$DE546,67),0)</f>
        <v/>
      </c>
      <c r="BS546">
        <f>IFERROR(INDEX(PP_Grid[#Data],$DE546,68),0)</f>
        <v/>
      </c>
      <c r="BT546">
        <f>IFERROR(INDEX(PP_Grid[#Data],$DE546,69),0)</f>
        <v/>
      </c>
      <c r="BU546">
        <f>IFERROR(INDEX(PP_Grid[#Data],$DE546,70),0)</f>
        <v/>
      </c>
      <c r="BV546">
        <f>IFERROR(INDEX(PP_Grid[#Data],$DE546,71),0)</f>
        <v/>
      </c>
      <c r="BW546">
        <f>IFERROR(INDEX(PP_Grid[#Data],$DE546,72),0)</f>
        <v/>
      </c>
      <c r="BX546">
        <f>IFERROR(INDEX(PP_Grid[#Data],$DE546,73),0)</f>
        <v/>
      </c>
      <c r="BY546">
        <f>IFERROR(INDEX(PP_Grid[#Data],$DE546,74),0)</f>
        <v/>
      </c>
      <c r="BZ546">
        <f>IFERROR(INDEX(PP_Grid[#Data],$DE546,75),0)</f>
        <v/>
      </c>
      <c r="CA546">
        <f>IFERROR(INDEX(PP_Grid[#Data],$DE546,76),0)</f>
        <v/>
      </c>
      <c r="CB546">
        <f>IFERROR(INDEX(PP_Grid[#Data],$DE546,77),0)</f>
        <v/>
      </c>
      <c r="CC546">
        <f>IFERROR(INDEX(PP_Grid[#Data],$DE546,78),0)</f>
        <v/>
      </c>
      <c r="CD546">
        <f>IFERROR(INDEX(PP_Grid[#Data],$DE546,79),0)</f>
        <v/>
      </c>
      <c r="CE546">
        <f>IFERROR(INDEX(PP_Grid[#Data],$DE546,80),0)</f>
        <v/>
      </c>
      <c r="CF546">
        <f>IFERROR(INDEX(PP_Grid[#Data],$DE546,81),0)</f>
        <v/>
      </c>
      <c r="CG546">
        <f>IFERROR(INDEX(PP_Grid[#Data],$DE546,82),0)</f>
        <v/>
      </c>
      <c r="CH546">
        <f>IFERROR(INDEX(PP_Grid[#Data],$DE546,83),0)</f>
        <v/>
      </c>
      <c r="CI546">
        <f>IFERROR(INDEX(PP_Grid[#Data],$DE546,84),0)</f>
        <v/>
      </c>
      <c r="CJ546">
        <f>IFERROR(INDEX(PP_Grid[#Data],$DE546,85),0)</f>
        <v/>
      </c>
      <c r="CK546">
        <f>IFERROR(INDEX(PP_Grid[#Data],$DE546,86),0)</f>
        <v/>
      </c>
      <c r="CL546">
        <f>IFERROR(INDEX(PP_Grid[#Data],$DE546,87),0)</f>
        <v/>
      </c>
      <c r="CM546">
        <f>IFERROR(INDEX(PP_Grid[#Data],$DE546,88),0)</f>
        <v/>
      </c>
      <c r="CN546">
        <f>IFERROR(INDEX(PP_Grid[#Data],$DE546,89),0)</f>
        <v/>
      </c>
      <c r="CO546">
        <f>IFERROR(INDEX(PP_Grid[#Data],$DE546,90),0)</f>
        <v/>
      </c>
      <c r="CP546">
        <f>IFERROR(INDEX(PP_Grid[#Data],$DE546,91),0)</f>
        <v/>
      </c>
      <c r="CQ546">
        <f>IFERROR(INDEX(PP_Grid[#Data],$DE546,92),0)</f>
        <v/>
      </c>
      <c r="CR546">
        <f>IFERROR(INDEX(PP_Grid[#Data],$DE546,93),0)</f>
        <v/>
      </c>
      <c r="CS546">
        <f>IFERROR(INDEX(PP_Grid[#Data],$DE546,94),0)</f>
        <v/>
      </c>
      <c r="CT546">
        <f>IFERROR(INDEX(PP_Grid[#Data],$DE546,95),0)</f>
        <v/>
      </c>
      <c r="CU546">
        <f>IFERROR(INDEX(PP_Grid[#Data],$DE546,96),0)</f>
        <v/>
      </c>
      <c r="CV546">
        <f>IFERROR(INDEX(PP_Grid[#Data],$DE546,97),0)</f>
        <v/>
      </c>
      <c r="CW546">
        <f>IFERROR(INDEX(PP_Grid[#Data],$DE546,98),0)</f>
        <v/>
      </c>
      <c r="CX546">
        <f>IFERROR(INDEX(PP_Grid[#Data],$DE546,99),0)</f>
        <v/>
      </c>
      <c r="CY546">
        <f>IFERROR(INDEX(PP_Grid[#Data],$DE546,100),0)</f>
        <v/>
      </c>
      <c r="CZ546">
        <f>IFERROR(INDEX(PP_Grid[#Data],$DE546,101),0)</f>
        <v/>
      </c>
      <c r="DA546">
        <f>IFERROR(INDEX(PP_Grid[#Data],$DE546,102),0)</f>
        <v/>
      </c>
      <c r="DB546">
        <f>IFERROR(INDEX(PP_Grid[#Data],$DE546,103),0)</f>
        <v/>
      </c>
      <c r="DC546">
        <f>IFERROR(INDEX(PP_Grid[#Data],$DE546,104),0)</f>
        <v/>
      </c>
      <c r="DD546">
        <f>IFERROR(INDEX(PP_Grid[#Data],$DE546,105),0)</f>
        <v/>
      </c>
      <c r="DE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SUMIFS(M_BOM[RM_Qty_Per_Batch],M_BOM[Intermediate],$B546,M_BOM[RM_Code],$A515)</f>
        <v/>
      </c>
      <c r="D547">
        <f>IFERROR(INDEX(E547:DD547,$F$1),"")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  <c r="DD547">
        <f>$C547*DD546</f>
        <v/>
      </c>
    </row>
    <row r="548">
      <c r="B548" t="inlineStr">
        <is>
          <t>TSP-623</t>
        </is>
      </c>
      <c r="C548" t="inlineStr">
        <is>
          <t>No. of batches</t>
        </is>
      </c>
      <c r="D548">
        <f>IFERROR(INDEX(E548:DD548,$F$1),"")</f>
        <v/>
      </c>
      <c r="E548">
        <f>IFERROR(INDEX(PP_Grid[#Data],$DE548,2),0)</f>
        <v/>
      </c>
      <c r="F548">
        <f>IFERROR(INDEX(PP_Grid[#Data],$DE548,3),0)</f>
        <v/>
      </c>
      <c r="G548">
        <f>IFERROR(INDEX(PP_Grid[#Data],$DE548,4),0)</f>
        <v/>
      </c>
      <c r="H548">
        <f>IFERROR(INDEX(PP_Grid[#Data],$DE548,5),0)</f>
        <v/>
      </c>
      <c r="I548">
        <f>IFERROR(INDEX(PP_Grid[#Data],$DE548,6),0)</f>
        <v/>
      </c>
      <c r="J548">
        <f>IFERROR(INDEX(PP_Grid[#Data],$DE548,7),0)</f>
        <v/>
      </c>
      <c r="K548">
        <f>IFERROR(INDEX(PP_Grid[#Data],$DE548,8),0)</f>
        <v/>
      </c>
      <c r="L548">
        <f>IFERROR(INDEX(PP_Grid[#Data],$DE548,9),0)</f>
        <v/>
      </c>
      <c r="M548">
        <f>IFERROR(INDEX(PP_Grid[#Data],$DE548,10),0)</f>
        <v/>
      </c>
      <c r="N548">
        <f>IFERROR(INDEX(PP_Grid[#Data],$DE548,11),0)</f>
        <v/>
      </c>
      <c r="O548">
        <f>IFERROR(INDEX(PP_Grid[#Data],$DE548,12),0)</f>
        <v/>
      </c>
      <c r="P548">
        <f>IFERROR(INDEX(PP_Grid[#Data],$DE548,13),0)</f>
        <v/>
      </c>
      <c r="Q548">
        <f>IFERROR(INDEX(PP_Grid[#Data],$DE548,14),0)</f>
        <v/>
      </c>
      <c r="R548">
        <f>IFERROR(INDEX(PP_Grid[#Data],$DE548,15),0)</f>
        <v/>
      </c>
      <c r="S548">
        <f>IFERROR(INDEX(PP_Grid[#Data],$DE548,16),0)</f>
        <v/>
      </c>
      <c r="T548">
        <f>IFERROR(INDEX(PP_Grid[#Data],$DE548,17),0)</f>
        <v/>
      </c>
      <c r="U548">
        <f>IFERROR(INDEX(PP_Grid[#Data],$DE548,18),0)</f>
        <v/>
      </c>
      <c r="V548">
        <f>IFERROR(INDEX(PP_Grid[#Data],$DE548,19),0)</f>
        <v/>
      </c>
      <c r="W548">
        <f>IFERROR(INDEX(PP_Grid[#Data],$DE548,20),0)</f>
        <v/>
      </c>
      <c r="X548">
        <f>IFERROR(INDEX(PP_Grid[#Data],$DE548,21),0)</f>
        <v/>
      </c>
      <c r="Y548">
        <f>IFERROR(INDEX(PP_Grid[#Data],$DE548,22),0)</f>
        <v/>
      </c>
      <c r="Z548">
        <f>IFERROR(INDEX(PP_Grid[#Data],$DE548,23),0)</f>
        <v/>
      </c>
      <c r="AA548">
        <f>IFERROR(INDEX(PP_Grid[#Data],$DE548,24),0)</f>
        <v/>
      </c>
      <c r="AB548">
        <f>IFERROR(INDEX(PP_Grid[#Data],$DE548,25),0)</f>
        <v/>
      </c>
      <c r="AC548">
        <f>IFERROR(INDEX(PP_Grid[#Data],$DE548,26),0)</f>
        <v/>
      </c>
      <c r="AD548">
        <f>IFERROR(INDEX(PP_Grid[#Data],$DE548,27),0)</f>
        <v/>
      </c>
      <c r="AE548">
        <f>IFERROR(INDEX(PP_Grid[#Data],$DE548,28),0)</f>
        <v/>
      </c>
      <c r="AF548">
        <f>IFERROR(INDEX(PP_Grid[#Data],$DE548,29),0)</f>
        <v/>
      </c>
      <c r="AG548">
        <f>IFERROR(INDEX(PP_Grid[#Data],$DE548,30),0)</f>
        <v/>
      </c>
      <c r="AH548">
        <f>IFERROR(INDEX(PP_Grid[#Data],$DE548,31),0)</f>
        <v/>
      </c>
      <c r="AI548">
        <f>IFERROR(INDEX(PP_Grid[#Data],$DE548,32),0)</f>
        <v/>
      </c>
      <c r="AJ548">
        <f>IFERROR(INDEX(PP_Grid[#Data],$DE548,33),0)</f>
        <v/>
      </c>
      <c r="AK548">
        <f>IFERROR(INDEX(PP_Grid[#Data],$DE548,34),0)</f>
        <v/>
      </c>
      <c r="AL548">
        <f>IFERROR(INDEX(PP_Grid[#Data],$DE548,35),0)</f>
        <v/>
      </c>
      <c r="AM548">
        <f>IFERROR(INDEX(PP_Grid[#Data],$DE548,36),0)</f>
        <v/>
      </c>
      <c r="AN548">
        <f>IFERROR(INDEX(PP_Grid[#Data],$DE548,37),0)</f>
        <v/>
      </c>
      <c r="AO548">
        <f>IFERROR(INDEX(PP_Grid[#Data],$DE548,38),0)</f>
        <v/>
      </c>
      <c r="AP548">
        <f>IFERROR(INDEX(PP_Grid[#Data],$DE548,39),0)</f>
        <v/>
      </c>
      <c r="AQ548">
        <f>IFERROR(INDEX(PP_Grid[#Data],$DE548,40),0)</f>
        <v/>
      </c>
      <c r="AR548">
        <f>IFERROR(INDEX(PP_Grid[#Data],$DE548,41),0)</f>
        <v/>
      </c>
      <c r="AS548">
        <f>IFERROR(INDEX(PP_Grid[#Data],$DE548,42),0)</f>
        <v/>
      </c>
      <c r="AT548">
        <f>IFERROR(INDEX(PP_Grid[#Data],$DE548,43),0)</f>
        <v/>
      </c>
      <c r="AU548">
        <f>IFERROR(INDEX(PP_Grid[#Data],$DE548,44),0)</f>
        <v/>
      </c>
      <c r="AV548">
        <f>IFERROR(INDEX(PP_Grid[#Data],$DE548,45),0)</f>
        <v/>
      </c>
      <c r="AW548">
        <f>IFERROR(INDEX(PP_Grid[#Data],$DE548,46),0)</f>
        <v/>
      </c>
      <c r="AX548">
        <f>IFERROR(INDEX(PP_Grid[#Data],$DE548,47),0)</f>
        <v/>
      </c>
      <c r="AY548">
        <f>IFERROR(INDEX(PP_Grid[#Data],$DE548,48),0)</f>
        <v/>
      </c>
      <c r="AZ548">
        <f>IFERROR(INDEX(PP_Grid[#Data],$DE548,49),0)</f>
        <v/>
      </c>
      <c r="BA548">
        <f>IFERROR(INDEX(PP_Grid[#Data],$DE548,50),0)</f>
        <v/>
      </c>
      <c r="BB548">
        <f>IFERROR(INDEX(PP_Grid[#Data],$DE548,51),0)</f>
        <v/>
      </c>
      <c r="BC548">
        <f>IFERROR(INDEX(PP_Grid[#Data],$DE548,52),0)</f>
        <v/>
      </c>
      <c r="BD548">
        <f>IFERROR(INDEX(PP_Grid[#Data],$DE548,53),0)</f>
        <v/>
      </c>
      <c r="BE548">
        <f>IFERROR(INDEX(PP_Grid[#Data],$DE548,54),0)</f>
        <v/>
      </c>
      <c r="BF548">
        <f>IFERROR(INDEX(PP_Grid[#Data],$DE548,55),0)</f>
        <v/>
      </c>
      <c r="BG548">
        <f>IFERROR(INDEX(PP_Grid[#Data],$DE548,56),0)</f>
        <v/>
      </c>
      <c r="BH548">
        <f>IFERROR(INDEX(PP_Grid[#Data],$DE548,57),0)</f>
        <v/>
      </c>
      <c r="BI548">
        <f>IFERROR(INDEX(PP_Grid[#Data],$DE548,58),0)</f>
        <v/>
      </c>
      <c r="BJ548">
        <f>IFERROR(INDEX(PP_Grid[#Data],$DE548,59),0)</f>
        <v/>
      </c>
      <c r="BK548">
        <f>IFERROR(INDEX(PP_Grid[#Data],$DE548,60),0)</f>
        <v/>
      </c>
      <c r="BL548">
        <f>IFERROR(INDEX(PP_Grid[#Data],$DE548,61),0)</f>
        <v/>
      </c>
      <c r="BM548">
        <f>IFERROR(INDEX(PP_Grid[#Data],$DE548,62),0)</f>
        <v/>
      </c>
      <c r="BN548">
        <f>IFERROR(INDEX(PP_Grid[#Data],$DE548,63),0)</f>
        <v/>
      </c>
      <c r="BO548">
        <f>IFERROR(INDEX(PP_Grid[#Data],$DE548,64),0)</f>
        <v/>
      </c>
      <c r="BP548">
        <f>IFERROR(INDEX(PP_Grid[#Data],$DE548,65),0)</f>
        <v/>
      </c>
      <c r="BQ548">
        <f>IFERROR(INDEX(PP_Grid[#Data],$DE548,66),0)</f>
        <v/>
      </c>
      <c r="BR548">
        <f>IFERROR(INDEX(PP_Grid[#Data],$DE548,67),0)</f>
        <v/>
      </c>
      <c r="BS548">
        <f>IFERROR(INDEX(PP_Grid[#Data],$DE548,68),0)</f>
        <v/>
      </c>
      <c r="BT548">
        <f>IFERROR(INDEX(PP_Grid[#Data],$DE548,69),0)</f>
        <v/>
      </c>
      <c r="BU548">
        <f>IFERROR(INDEX(PP_Grid[#Data],$DE548,70),0)</f>
        <v/>
      </c>
      <c r="BV548">
        <f>IFERROR(INDEX(PP_Grid[#Data],$DE548,71),0)</f>
        <v/>
      </c>
      <c r="BW548">
        <f>IFERROR(INDEX(PP_Grid[#Data],$DE548,72),0)</f>
        <v/>
      </c>
      <c r="BX548">
        <f>IFERROR(INDEX(PP_Grid[#Data],$DE548,73),0)</f>
        <v/>
      </c>
      <c r="BY548">
        <f>IFERROR(INDEX(PP_Grid[#Data],$DE548,74),0)</f>
        <v/>
      </c>
      <c r="BZ548">
        <f>IFERROR(INDEX(PP_Grid[#Data],$DE548,75),0)</f>
        <v/>
      </c>
      <c r="CA548">
        <f>IFERROR(INDEX(PP_Grid[#Data],$DE548,76),0)</f>
        <v/>
      </c>
      <c r="CB548">
        <f>IFERROR(INDEX(PP_Grid[#Data],$DE548,77),0)</f>
        <v/>
      </c>
      <c r="CC548">
        <f>IFERROR(INDEX(PP_Grid[#Data],$DE548,78),0)</f>
        <v/>
      </c>
      <c r="CD548">
        <f>IFERROR(INDEX(PP_Grid[#Data],$DE548,79),0)</f>
        <v/>
      </c>
      <c r="CE548">
        <f>IFERROR(INDEX(PP_Grid[#Data],$DE548,80),0)</f>
        <v/>
      </c>
      <c r="CF548">
        <f>IFERROR(INDEX(PP_Grid[#Data],$DE548,81),0)</f>
        <v/>
      </c>
      <c r="CG548">
        <f>IFERROR(INDEX(PP_Grid[#Data],$DE548,82),0)</f>
        <v/>
      </c>
      <c r="CH548">
        <f>IFERROR(INDEX(PP_Grid[#Data],$DE548,83),0)</f>
        <v/>
      </c>
      <c r="CI548">
        <f>IFERROR(INDEX(PP_Grid[#Data],$DE548,84),0)</f>
        <v/>
      </c>
      <c r="CJ548">
        <f>IFERROR(INDEX(PP_Grid[#Data],$DE548,85),0)</f>
        <v/>
      </c>
      <c r="CK548">
        <f>IFERROR(INDEX(PP_Grid[#Data],$DE548,86),0)</f>
        <v/>
      </c>
      <c r="CL548">
        <f>IFERROR(INDEX(PP_Grid[#Data],$DE548,87),0)</f>
        <v/>
      </c>
      <c r="CM548">
        <f>IFERROR(INDEX(PP_Grid[#Data],$DE548,88),0)</f>
        <v/>
      </c>
      <c r="CN548">
        <f>IFERROR(INDEX(PP_Grid[#Data],$DE548,89),0)</f>
        <v/>
      </c>
      <c r="CO548">
        <f>IFERROR(INDEX(PP_Grid[#Data],$DE548,90),0)</f>
        <v/>
      </c>
      <c r="CP548">
        <f>IFERROR(INDEX(PP_Grid[#Data],$DE548,91),0)</f>
        <v/>
      </c>
      <c r="CQ548">
        <f>IFERROR(INDEX(PP_Grid[#Data],$DE548,92),0)</f>
        <v/>
      </c>
      <c r="CR548">
        <f>IFERROR(INDEX(PP_Grid[#Data],$DE548,93),0)</f>
        <v/>
      </c>
      <c r="CS548">
        <f>IFERROR(INDEX(PP_Grid[#Data],$DE548,94),0)</f>
        <v/>
      </c>
      <c r="CT548">
        <f>IFERROR(INDEX(PP_Grid[#Data],$DE548,95),0)</f>
        <v/>
      </c>
      <c r="CU548">
        <f>IFERROR(INDEX(PP_Grid[#Data],$DE548,96),0)</f>
        <v/>
      </c>
      <c r="CV548">
        <f>IFERROR(INDEX(PP_Grid[#Data],$DE548,97),0)</f>
        <v/>
      </c>
      <c r="CW548">
        <f>IFERROR(INDEX(PP_Grid[#Data],$DE548,98),0)</f>
        <v/>
      </c>
      <c r="CX548">
        <f>IFERROR(INDEX(PP_Grid[#Data],$DE548,99),0)</f>
        <v/>
      </c>
      <c r="CY548">
        <f>IFERROR(INDEX(PP_Grid[#Data],$DE548,100),0)</f>
        <v/>
      </c>
      <c r="CZ548">
        <f>IFERROR(INDEX(PP_Grid[#Data],$DE548,101),0)</f>
        <v/>
      </c>
      <c r="DA548">
        <f>IFERROR(INDEX(PP_Grid[#Data],$DE548,102),0)</f>
        <v/>
      </c>
      <c r="DB548">
        <f>IFERROR(INDEX(PP_Grid[#Data],$DE548,103),0)</f>
        <v/>
      </c>
      <c r="DC548">
        <f>IFERROR(INDEX(PP_Grid[#Data],$DE548,104),0)</f>
        <v/>
      </c>
      <c r="DD548">
        <f>IFERROR(INDEX(PP_Grid[#Data],$DE548,105),0)</f>
        <v/>
      </c>
      <c r="DE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SUMIFS(M_BOM[RM_Qty_Per_Batch],M_BOM[Intermediate],$B548,M_BOM[RM_Code],$A515)</f>
        <v/>
      </c>
      <c r="D549">
        <f>IFERROR(INDEX(E549:DD549,$F$1),"")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  <c r="DD549">
        <f>$C549*DD548</f>
        <v/>
      </c>
    </row>
    <row r="550">
      <c r="B550" t="inlineStr">
        <is>
          <t>TSP-668</t>
        </is>
      </c>
      <c r="C550" t="inlineStr">
        <is>
          <t>No. of batches</t>
        </is>
      </c>
      <c r="D550">
        <f>IFERROR(INDEX(E550:DD550,$F$1),"")</f>
        <v/>
      </c>
      <c r="E550">
        <f>IFERROR(INDEX(PP_Grid[#Data],$DE550,2),0)</f>
        <v/>
      </c>
      <c r="F550">
        <f>IFERROR(INDEX(PP_Grid[#Data],$DE550,3),0)</f>
        <v/>
      </c>
      <c r="G550">
        <f>IFERROR(INDEX(PP_Grid[#Data],$DE550,4),0)</f>
        <v/>
      </c>
      <c r="H550">
        <f>IFERROR(INDEX(PP_Grid[#Data],$DE550,5),0)</f>
        <v/>
      </c>
      <c r="I550">
        <f>IFERROR(INDEX(PP_Grid[#Data],$DE550,6),0)</f>
        <v/>
      </c>
      <c r="J550">
        <f>IFERROR(INDEX(PP_Grid[#Data],$DE550,7),0)</f>
        <v/>
      </c>
      <c r="K550">
        <f>IFERROR(INDEX(PP_Grid[#Data],$DE550,8),0)</f>
        <v/>
      </c>
      <c r="L550">
        <f>IFERROR(INDEX(PP_Grid[#Data],$DE550,9),0)</f>
        <v/>
      </c>
      <c r="M550">
        <f>IFERROR(INDEX(PP_Grid[#Data],$DE550,10),0)</f>
        <v/>
      </c>
      <c r="N550">
        <f>IFERROR(INDEX(PP_Grid[#Data],$DE550,11),0)</f>
        <v/>
      </c>
      <c r="O550">
        <f>IFERROR(INDEX(PP_Grid[#Data],$DE550,12),0)</f>
        <v/>
      </c>
      <c r="P550">
        <f>IFERROR(INDEX(PP_Grid[#Data],$DE550,13),0)</f>
        <v/>
      </c>
      <c r="Q550">
        <f>IFERROR(INDEX(PP_Grid[#Data],$DE550,14),0)</f>
        <v/>
      </c>
      <c r="R550">
        <f>IFERROR(INDEX(PP_Grid[#Data],$DE550,15),0)</f>
        <v/>
      </c>
      <c r="S550">
        <f>IFERROR(INDEX(PP_Grid[#Data],$DE550,16),0)</f>
        <v/>
      </c>
      <c r="T550">
        <f>IFERROR(INDEX(PP_Grid[#Data],$DE550,17),0)</f>
        <v/>
      </c>
      <c r="U550">
        <f>IFERROR(INDEX(PP_Grid[#Data],$DE550,18),0)</f>
        <v/>
      </c>
      <c r="V550">
        <f>IFERROR(INDEX(PP_Grid[#Data],$DE550,19),0)</f>
        <v/>
      </c>
      <c r="W550">
        <f>IFERROR(INDEX(PP_Grid[#Data],$DE550,20),0)</f>
        <v/>
      </c>
      <c r="X550">
        <f>IFERROR(INDEX(PP_Grid[#Data],$DE550,21),0)</f>
        <v/>
      </c>
      <c r="Y550">
        <f>IFERROR(INDEX(PP_Grid[#Data],$DE550,22),0)</f>
        <v/>
      </c>
      <c r="Z550">
        <f>IFERROR(INDEX(PP_Grid[#Data],$DE550,23),0)</f>
        <v/>
      </c>
      <c r="AA550">
        <f>IFERROR(INDEX(PP_Grid[#Data],$DE550,24),0)</f>
        <v/>
      </c>
      <c r="AB550">
        <f>IFERROR(INDEX(PP_Grid[#Data],$DE550,25),0)</f>
        <v/>
      </c>
      <c r="AC550">
        <f>IFERROR(INDEX(PP_Grid[#Data],$DE550,26),0)</f>
        <v/>
      </c>
      <c r="AD550">
        <f>IFERROR(INDEX(PP_Grid[#Data],$DE550,27),0)</f>
        <v/>
      </c>
      <c r="AE550">
        <f>IFERROR(INDEX(PP_Grid[#Data],$DE550,28),0)</f>
        <v/>
      </c>
      <c r="AF550">
        <f>IFERROR(INDEX(PP_Grid[#Data],$DE550,29),0)</f>
        <v/>
      </c>
      <c r="AG550">
        <f>IFERROR(INDEX(PP_Grid[#Data],$DE550,30),0)</f>
        <v/>
      </c>
      <c r="AH550">
        <f>IFERROR(INDEX(PP_Grid[#Data],$DE550,31),0)</f>
        <v/>
      </c>
      <c r="AI550">
        <f>IFERROR(INDEX(PP_Grid[#Data],$DE550,32),0)</f>
        <v/>
      </c>
      <c r="AJ550">
        <f>IFERROR(INDEX(PP_Grid[#Data],$DE550,33),0)</f>
        <v/>
      </c>
      <c r="AK550">
        <f>IFERROR(INDEX(PP_Grid[#Data],$DE550,34),0)</f>
        <v/>
      </c>
      <c r="AL550">
        <f>IFERROR(INDEX(PP_Grid[#Data],$DE550,35),0)</f>
        <v/>
      </c>
      <c r="AM550">
        <f>IFERROR(INDEX(PP_Grid[#Data],$DE550,36),0)</f>
        <v/>
      </c>
      <c r="AN550">
        <f>IFERROR(INDEX(PP_Grid[#Data],$DE550,37),0)</f>
        <v/>
      </c>
      <c r="AO550">
        <f>IFERROR(INDEX(PP_Grid[#Data],$DE550,38),0)</f>
        <v/>
      </c>
      <c r="AP550">
        <f>IFERROR(INDEX(PP_Grid[#Data],$DE550,39),0)</f>
        <v/>
      </c>
      <c r="AQ550">
        <f>IFERROR(INDEX(PP_Grid[#Data],$DE550,40),0)</f>
        <v/>
      </c>
      <c r="AR550">
        <f>IFERROR(INDEX(PP_Grid[#Data],$DE550,41),0)</f>
        <v/>
      </c>
      <c r="AS550">
        <f>IFERROR(INDEX(PP_Grid[#Data],$DE550,42),0)</f>
        <v/>
      </c>
      <c r="AT550">
        <f>IFERROR(INDEX(PP_Grid[#Data],$DE550,43),0)</f>
        <v/>
      </c>
      <c r="AU550">
        <f>IFERROR(INDEX(PP_Grid[#Data],$DE550,44),0)</f>
        <v/>
      </c>
      <c r="AV550">
        <f>IFERROR(INDEX(PP_Grid[#Data],$DE550,45),0)</f>
        <v/>
      </c>
      <c r="AW550">
        <f>IFERROR(INDEX(PP_Grid[#Data],$DE550,46),0)</f>
        <v/>
      </c>
      <c r="AX550">
        <f>IFERROR(INDEX(PP_Grid[#Data],$DE550,47),0)</f>
        <v/>
      </c>
      <c r="AY550">
        <f>IFERROR(INDEX(PP_Grid[#Data],$DE550,48),0)</f>
        <v/>
      </c>
      <c r="AZ550">
        <f>IFERROR(INDEX(PP_Grid[#Data],$DE550,49),0)</f>
        <v/>
      </c>
      <c r="BA550">
        <f>IFERROR(INDEX(PP_Grid[#Data],$DE550,50),0)</f>
        <v/>
      </c>
      <c r="BB550">
        <f>IFERROR(INDEX(PP_Grid[#Data],$DE550,51),0)</f>
        <v/>
      </c>
      <c r="BC550">
        <f>IFERROR(INDEX(PP_Grid[#Data],$DE550,52),0)</f>
        <v/>
      </c>
      <c r="BD550">
        <f>IFERROR(INDEX(PP_Grid[#Data],$DE550,53),0)</f>
        <v/>
      </c>
      <c r="BE550">
        <f>IFERROR(INDEX(PP_Grid[#Data],$DE550,54),0)</f>
        <v/>
      </c>
      <c r="BF550">
        <f>IFERROR(INDEX(PP_Grid[#Data],$DE550,55),0)</f>
        <v/>
      </c>
      <c r="BG550">
        <f>IFERROR(INDEX(PP_Grid[#Data],$DE550,56),0)</f>
        <v/>
      </c>
      <c r="BH550">
        <f>IFERROR(INDEX(PP_Grid[#Data],$DE550,57),0)</f>
        <v/>
      </c>
      <c r="BI550">
        <f>IFERROR(INDEX(PP_Grid[#Data],$DE550,58),0)</f>
        <v/>
      </c>
      <c r="BJ550">
        <f>IFERROR(INDEX(PP_Grid[#Data],$DE550,59),0)</f>
        <v/>
      </c>
      <c r="BK550">
        <f>IFERROR(INDEX(PP_Grid[#Data],$DE550,60),0)</f>
        <v/>
      </c>
      <c r="BL550">
        <f>IFERROR(INDEX(PP_Grid[#Data],$DE550,61),0)</f>
        <v/>
      </c>
      <c r="BM550">
        <f>IFERROR(INDEX(PP_Grid[#Data],$DE550,62),0)</f>
        <v/>
      </c>
      <c r="BN550">
        <f>IFERROR(INDEX(PP_Grid[#Data],$DE550,63),0)</f>
        <v/>
      </c>
      <c r="BO550">
        <f>IFERROR(INDEX(PP_Grid[#Data],$DE550,64),0)</f>
        <v/>
      </c>
      <c r="BP550">
        <f>IFERROR(INDEX(PP_Grid[#Data],$DE550,65),0)</f>
        <v/>
      </c>
      <c r="BQ550">
        <f>IFERROR(INDEX(PP_Grid[#Data],$DE550,66),0)</f>
        <v/>
      </c>
      <c r="BR550">
        <f>IFERROR(INDEX(PP_Grid[#Data],$DE550,67),0)</f>
        <v/>
      </c>
      <c r="BS550">
        <f>IFERROR(INDEX(PP_Grid[#Data],$DE550,68),0)</f>
        <v/>
      </c>
      <c r="BT550">
        <f>IFERROR(INDEX(PP_Grid[#Data],$DE550,69),0)</f>
        <v/>
      </c>
      <c r="BU550">
        <f>IFERROR(INDEX(PP_Grid[#Data],$DE550,70),0)</f>
        <v/>
      </c>
      <c r="BV550">
        <f>IFERROR(INDEX(PP_Grid[#Data],$DE550,71),0)</f>
        <v/>
      </c>
      <c r="BW550">
        <f>IFERROR(INDEX(PP_Grid[#Data],$DE550,72),0)</f>
        <v/>
      </c>
      <c r="BX550">
        <f>IFERROR(INDEX(PP_Grid[#Data],$DE550,73),0)</f>
        <v/>
      </c>
      <c r="BY550">
        <f>IFERROR(INDEX(PP_Grid[#Data],$DE550,74),0)</f>
        <v/>
      </c>
      <c r="BZ550">
        <f>IFERROR(INDEX(PP_Grid[#Data],$DE550,75),0)</f>
        <v/>
      </c>
      <c r="CA550">
        <f>IFERROR(INDEX(PP_Grid[#Data],$DE550,76),0)</f>
        <v/>
      </c>
      <c r="CB550">
        <f>IFERROR(INDEX(PP_Grid[#Data],$DE550,77),0)</f>
        <v/>
      </c>
      <c r="CC550">
        <f>IFERROR(INDEX(PP_Grid[#Data],$DE550,78),0)</f>
        <v/>
      </c>
      <c r="CD550">
        <f>IFERROR(INDEX(PP_Grid[#Data],$DE550,79),0)</f>
        <v/>
      </c>
      <c r="CE550">
        <f>IFERROR(INDEX(PP_Grid[#Data],$DE550,80),0)</f>
        <v/>
      </c>
      <c r="CF550">
        <f>IFERROR(INDEX(PP_Grid[#Data],$DE550,81),0)</f>
        <v/>
      </c>
      <c r="CG550">
        <f>IFERROR(INDEX(PP_Grid[#Data],$DE550,82),0)</f>
        <v/>
      </c>
      <c r="CH550">
        <f>IFERROR(INDEX(PP_Grid[#Data],$DE550,83),0)</f>
        <v/>
      </c>
      <c r="CI550">
        <f>IFERROR(INDEX(PP_Grid[#Data],$DE550,84),0)</f>
        <v/>
      </c>
      <c r="CJ550">
        <f>IFERROR(INDEX(PP_Grid[#Data],$DE550,85),0)</f>
        <v/>
      </c>
      <c r="CK550">
        <f>IFERROR(INDEX(PP_Grid[#Data],$DE550,86),0)</f>
        <v/>
      </c>
      <c r="CL550">
        <f>IFERROR(INDEX(PP_Grid[#Data],$DE550,87),0)</f>
        <v/>
      </c>
      <c r="CM550">
        <f>IFERROR(INDEX(PP_Grid[#Data],$DE550,88),0)</f>
        <v/>
      </c>
      <c r="CN550">
        <f>IFERROR(INDEX(PP_Grid[#Data],$DE550,89),0)</f>
        <v/>
      </c>
      <c r="CO550">
        <f>IFERROR(INDEX(PP_Grid[#Data],$DE550,90),0)</f>
        <v/>
      </c>
      <c r="CP550">
        <f>IFERROR(INDEX(PP_Grid[#Data],$DE550,91),0)</f>
        <v/>
      </c>
      <c r="CQ550">
        <f>IFERROR(INDEX(PP_Grid[#Data],$DE550,92),0)</f>
        <v/>
      </c>
      <c r="CR550">
        <f>IFERROR(INDEX(PP_Grid[#Data],$DE550,93),0)</f>
        <v/>
      </c>
      <c r="CS550">
        <f>IFERROR(INDEX(PP_Grid[#Data],$DE550,94),0)</f>
        <v/>
      </c>
      <c r="CT550">
        <f>IFERROR(INDEX(PP_Grid[#Data],$DE550,95),0)</f>
        <v/>
      </c>
      <c r="CU550">
        <f>IFERROR(INDEX(PP_Grid[#Data],$DE550,96),0)</f>
        <v/>
      </c>
      <c r="CV550">
        <f>IFERROR(INDEX(PP_Grid[#Data],$DE550,97),0)</f>
        <v/>
      </c>
      <c r="CW550">
        <f>IFERROR(INDEX(PP_Grid[#Data],$DE550,98),0)</f>
        <v/>
      </c>
      <c r="CX550">
        <f>IFERROR(INDEX(PP_Grid[#Data],$DE550,99),0)</f>
        <v/>
      </c>
      <c r="CY550">
        <f>IFERROR(INDEX(PP_Grid[#Data],$DE550,100),0)</f>
        <v/>
      </c>
      <c r="CZ550">
        <f>IFERROR(INDEX(PP_Grid[#Data],$DE550,101),0)</f>
        <v/>
      </c>
      <c r="DA550">
        <f>IFERROR(INDEX(PP_Grid[#Data],$DE550,102),0)</f>
        <v/>
      </c>
      <c r="DB550">
        <f>IFERROR(INDEX(PP_Grid[#Data],$DE550,103),0)</f>
        <v/>
      </c>
      <c r="DC550">
        <f>IFERROR(INDEX(PP_Grid[#Data],$DE550,104),0)</f>
        <v/>
      </c>
      <c r="DD550">
        <f>IFERROR(INDEX(PP_Grid[#Data],$DE550,105),0)</f>
        <v/>
      </c>
      <c r="DE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SUMIFS(M_BOM[RM_Qty_Per_Batch],M_BOM[Intermediate],$B550,M_BOM[RM_Code],$A515)</f>
        <v/>
      </c>
      <c r="D551">
        <f>IFERROR(INDEX(E551:DD551,$F$1),"")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  <c r="DD551">
        <f>$C551*DD550</f>
        <v/>
      </c>
    </row>
    <row r="552">
      <c r="B552" t="inlineStr">
        <is>
          <t>TSP-669</t>
        </is>
      </c>
      <c r="C552" t="inlineStr">
        <is>
          <t>No. of batches</t>
        </is>
      </c>
      <c r="D552">
        <f>IFERROR(INDEX(E552:DD552,$F$1),"")</f>
        <v/>
      </c>
      <c r="E552">
        <f>IFERROR(INDEX(PP_Grid[#Data],$DE552,2),0)</f>
        <v/>
      </c>
      <c r="F552">
        <f>IFERROR(INDEX(PP_Grid[#Data],$DE552,3),0)</f>
        <v/>
      </c>
      <c r="G552">
        <f>IFERROR(INDEX(PP_Grid[#Data],$DE552,4),0)</f>
        <v/>
      </c>
      <c r="H552">
        <f>IFERROR(INDEX(PP_Grid[#Data],$DE552,5),0)</f>
        <v/>
      </c>
      <c r="I552">
        <f>IFERROR(INDEX(PP_Grid[#Data],$DE552,6),0)</f>
        <v/>
      </c>
      <c r="J552">
        <f>IFERROR(INDEX(PP_Grid[#Data],$DE552,7),0)</f>
        <v/>
      </c>
      <c r="K552">
        <f>IFERROR(INDEX(PP_Grid[#Data],$DE552,8),0)</f>
        <v/>
      </c>
      <c r="L552">
        <f>IFERROR(INDEX(PP_Grid[#Data],$DE552,9),0)</f>
        <v/>
      </c>
      <c r="M552">
        <f>IFERROR(INDEX(PP_Grid[#Data],$DE552,10),0)</f>
        <v/>
      </c>
      <c r="N552">
        <f>IFERROR(INDEX(PP_Grid[#Data],$DE552,11),0)</f>
        <v/>
      </c>
      <c r="O552">
        <f>IFERROR(INDEX(PP_Grid[#Data],$DE552,12),0)</f>
        <v/>
      </c>
      <c r="P552">
        <f>IFERROR(INDEX(PP_Grid[#Data],$DE552,13),0)</f>
        <v/>
      </c>
      <c r="Q552">
        <f>IFERROR(INDEX(PP_Grid[#Data],$DE552,14),0)</f>
        <v/>
      </c>
      <c r="R552">
        <f>IFERROR(INDEX(PP_Grid[#Data],$DE552,15),0)</f>
        <v/>
      </c>
      <c r="S552">
        <f>IFERROR(INDEX(PP_Grid[#Data],$DE552,16),0)</f>
        <v/>
      </c>
      <c r="T552">
        <f>IFERROR(INDEX(PP_Grid[#Data],$DE552,17),0)</f>
        <v/>
      </c>
      <c r="U552">
        <f>IFERROR(INDEX(PP_Grid[#Data],$DE552,18),0)</f>
        <v/>
      </c>
      <c r="V552">
        <f>IFERROR(INDEX(PP_Grid[#Data],$DE552,19),0)</f>
        <v/>
      </c>
      <c r="W552">
        <f>IFERROR(INDEX(PP_Grid[#Data],$DE552,20),0)</f>
        <v/>
      </c>
      <c r="X552">
        <f>IFERROR(INDEX(PP_Grid[#Data],$DE552,21),0)</f>
        <v/>
      </c>
      <c r="Y552">
        <f>IFERROR(INDEX(PP_Grid[#Data],$DE552,22),0)</f>
        <v/>
      </c>
      <c r="Z552">
        <f>IFERROR(INDEX(PP_Grid[#Data],$DE552,23),0)</f>
        <v/>
      </c>
      <c r="AA552">
        <f>IFERROR(INDEX(PP_Grid[#Data],$DE552,24),0)</f>
        <v/>
      </c>
      <c r="AB552">
        <f>IFERROR(INDEX(PP_Grid[#Data],$DE552,25),0)</f>
        <v/>
      </c>
      <c r="AC552">
        <f>IFERROR(INDEX(PP_Grid[#Data],$DE552,26),0)</f>
        <v/>
      </c>
      <c r="AD552">
        <f>IFERROR(INDEX(PP_Grid[#Data],$DE552,27),0)</f>
        <v/>
      </c>
      <c r="AE552">
        <f>IFERROR(INDEX(PP_Grid[#Data],$DE552,28),0)</f>
        <v/>
      </c>
      <c r="AF552">
        <f>IFERROR(INDEX(PP_Grid[#Data],$DE552,29),0)</f>
        <v/>
      </c>
      <c r="AG552">
        <f>IFERROR(INDEX(PP_Grid[#Data],$DE552,30),0)</f>
        <v/>
      </c>
      <c r="AH552">
        <f>IFERROR(INDEX(PP_Grid[#Data],$DE552,31),0)</f>
        <v/>
      </c>
      <c r="AI552">
        <f>IFERROR(INDEX(PP_Grid[#Data],$DE552,32),0)</f>
        <v/>
      </c>
      <c r="AJ552">
        <f>IFERROR(INDEX(PP_Grid[#Data],$DE552,33),0)</f>
        <v/>
      </c>
      <c r="AK552">
        <f>IFERROR(INDEX(PP_Grid[#Data],$DE552,34),0)</f>
        <v/>
      </c>
      <c r="AL552">
        <f>IFERROR(INDEX(PP_Grid[#Data],$DE552,35),0)</f>
        <v/>
      </c>
      <c r="AM552">
        <f>IFERROR(INDEX(PP_Grid[#Data],$DE552,36),0)</f>
        <v/>
      </c>
      <c r="AN552">
        <f>IFERROR(INDEX(PP_Grid[#Data],$DE552,37),0)</f>
        <v/>
      </c>
      <c r="AO552">
        <f>IFERROR(INDEX(PP_Grid[#Data],$DE552,38),0)</f>
        <v/>
      </c>
      <c r="AP552">
        <f>IFERROR(INDEX(PP_Grid[#Data],$DE552,39),0)</f>
        <v/>
      </c>
      <c r="AQ552">
        <f>IFERROR(INDEX(PP_Grid[#Data],$DE552,40),0)</f>
        <v/>
      </c>
      <c r="AR552">
        <f>IFERROR(INDEX(PP_Grid[#Data],$DE552,41),0)</f>
        <v/>
      </c>
      <c r="AS552">
        <f>IFERROR(INDEX(PP_Grid[#Data],$DE552,42),0)</f>
        <v/>
      </c>
      <c r="AT552">
        <f>IFERROR(INDEX(PP_Grid[#Data],$DE552,43),0)</f>
        <v/>
      </c>
      <c r="AU552">
        <f>IFERROR(INDEX(PP_Grid[#Data],$DE552,44),0)</f>
        <v/>
      </c>
      <c r="AV552">
        <f>IFERROR(INDEX(PP_Grid[#Data],$DE552,45),0)</f>
        <v/>
      </c>
      <c r="AW552">
        <f>IFERROR(INDEX(PP_Grid[#Data],$DE552,46),0)</f>
        <v/>
      </c>
      <c r="AX552">
        <f>IFERROR(INDEX(PP_Grid[#Data],$DE552,47),0)</f>
        <v/>
      </c>
      <c r="AY552">
        <f>IFERROR(INDEX(PP_Grid[#Data],$DE552,48),0)</f>
        <v/>
      </c>
      <c r="AZ552">
        <f>IFERROR(INDEX(PP_Grid[#Data],$DE552,49),0)</f>
        <v/>
      </c>
      <c r="BA552">
        <f>IFERROR(INDEX(PP_Grid[#Data],$DE552,50),0)</f>
        <v/>
      </c>
      <c r="BB552">
        <f>IFERROR(INDEX(PP_Grid[#Data],$DE552,51),0)</f>
        <v/>
      </c>
      <c r="BC552">
        <f>IFERROR(INDEX(PP_Grid[#Data],$DE552,52),0)</f>
        <v/>
      </c>
      <c r="BD552">
        <f>IFERROR(INDEX(PP_Grid[#Data],$DE552,53),0)</f>
        <v/>
      </c>
      <c r="BE552">
        <f>IFERROR(INDEX(PP_Grid[#Data],$DE552,54),0)</f>
        <v/>
      </c>
      <c r="BF552">
        <f>IFERROR(INDEX(PP_Grid[#Data],$DE552,55),0)</f>
        <v/>
      </c>
      <c r="BG552">
        <f>IFERROR(INDEX(PP_Grid[#Data],$DE552,56),0)</f>
        <v/>
      </c>
      <c r="BH552">
        <f>IFERROR(INDEX(PP_Grid[#Data],$DE552,57),0)</f>
        <v/>
      </c>
      <c r="BI552">
        <f>IFERROR(INDEX(PP_Grid[#Data],$DE552,58),0)</f>
        <v/>
      </c>
      <c r="BJ552">
        <f>IFERROR(INDEX(PP_Grid[#Data],$DE552,59),0)</f>
        <v/>
      </c>
      <c r="BK552">
        <f>IFERROR(INDEX(PP_Grid[#Data],$DE552,60),0)</f>
        <v/>
      </c>
      <c r="BL552">
        <f>IFERROR(INDEX(PP_Grid[#Data],$DE552,61),0)</f>
        <v/>
      </c>
      <c r="BM552">
        <f>IFERROR(INDEX(PP_Grid[#Data],$DE552,62),0)</f>
        <v/>
      </c>
      <c r="BN552">
        <f>IFERROR(INDEX(PP_Grid[#Data],$DE552,63),0)</f>
        <v/>
      </c>
      <c r="BO552">
        <f>IFERROR(INDEX(PP_Grid[#Data],$DE552,64),0)</f>
        <v/>
      </c>
      <c r="BP552">
        <f>IFERROR(INDEX(PP_Grid[#Data],$DE552,65),0)</f>
        <v/>
      </c>
      <c r="BQ552">
        <f>IFERROR(INDEX(PP_Grid[#Data],$DE552,66),0)</f>
        <v/>
      </c>
      <c r="BR552">
        <f>IFERROR(INDEX(PP_Grid[#Data],$DE552,67),0)</f>
        <v/>
      </c>
      <c r="BS552">
        <f>IFERROR(INDEX(PP_Grid[#Data],$DE552,68),0)</f>
        <v/>
      </c>
      <c r="BT552">
        <f>IFERROR(INDEX(PP_Grid[#Data],$DE552,69),0)</f>
        <v/>
      </c>
      <c r="BU552">
        <f>IFERROR(INDEX(PP_Grid[#Data],$DE552,70),0)</f>
        <v/>
      </c>
      <c r="BV552">
        <f>IFERROR(INDEX(PP_Grid[#Data],$DE552,71),0)</f>
        <v/>
      </c>
      <c r="BW552">
        <f>IFERROR(INDEX(PP_Grid[#Data],$DE552,72),0)</f>
        <v/>
      </c>
      <c r="BX552">
        <f>IFERROR(INDEX(PP_Grid[#Data],$DE552,73),0)</f>
        <v/>
      </c>
      <c r="BY552">
        <f>IFERROR(INDEX(PP_Grid[#Data],$DE552,74),0)</f>
        <v/>
      </c>
      <c r="BZ552">
        <f>IFERROR(INDEX(PP_Grid[#Data],$DE552,75),0)</f>
        <v/>
      </c>
      <c r="CA552">
        <f>IFERROR(INDEX(PP_Grid[#Data],$DE552,76),0)</f>
        <v/>
      </c>
      <c r="CB552">
        <f>IFERROR(INDEX(PP_Grid[#Data],$DE552,77),0)</f>
        <v/>
      </c>
      <c r="CC552">
        <f>IFERROR(INDEX(PP_Grid[#Data],$DE552,78),0)</f>
        <v/>
      </c>
      <c r="CD552">
        <f>IFERROR(INDEX(PP_Grid[#Data],$DE552,79),0)</f>
        <v/>
      </c>
      <c r="CE552">
        <f>IFERROR(INDEX(PP_Grid[#Data],$DE552,80),0)</f>
        <v/>
      </c>
      <c r="CF552">
        <f>IFERROR(INDEX(PP_Grid[#Data],$DE552,81),0)</f>
        <v/>
      </c>
      <c r="CG552">
        <f>IFERROR(INDEX(PP_Grid[#Data],$DE552,82),0)</f>
        <v/>
      </c>
      <c r="CH552">
        <f>IFERROR(INDEX(PP_Grid[#Data],$DE552,83),0)</f>
        <v/>
      </c>
      <c r="CI552">
        <f>IFERROR(INDEX(PP_Grid[#Data],$DE552,84),0)</f>
        <v/>
      </c>
      <c r="CJ552">
        <f>IFERROR(INDEX(PP_Grid[#Data],$DE552,85),0)</f>
        <v/>
      </c>
      <c r="CK552">
        <f>IFERROR(INDEX(PP_Grid[#Data],$DE552,86),0)</f>
        <v/>
      </c>
      <c r="CL552">
        <f>IFERROR(INDEX(PP_Grid[#Data],$DE552,87),0)</f>
        <v/>
      </c>
      <c r="CM552">
        <f>IFERROR(INDEX(PP_Grid[#Data],$DE552,88),0)</f>
        <v/>
      </c>
      <c r="CN552">
        <f>IFERROR(INDEX(PP_Grid[#Data],$DE552,89),0)</f>
        <v/>
      </c>
      <c r="CO552">
        <f>IFERROR(INDEX(PP_Grid[#Data],$DE552,90),0)</f>
        <v/>
      </c>
      <c r="CP552">
        <f>IFERROR(INDEX(PP_Grid[#Data],$DE552,91),0)</f>
        <v/>
      </c>
      <c r="CQ552">
        <f>IFERROR(INDEX(PP_Grid[#Data],$DE552,92),0)</f>
        <v/>
      </c>
      <c r="CR552">
        <f>IFERROR(INDEX(PP_Grid[#Data],$DE552,93),0)</f>
        <v/>
      </c>
      <c r="CS552">
        <f>IFERROR(INDEX(PP_Grid[#Data],$DE552,94),0)</f>
        <v/>
      </c>
      <c r="CT552">
        <f>IFERROR(INDEX(PP_Grid[#Data],$DE552,95),0)</f>
        <v/>
      </c>
      <c r="CU552">
        <f>IFERROR(INDEX(PP_Grid[#Data],$DE552,96),0)</f>
        <v/>
      </c>
      <c r="CV552">
        <f>IFERROR(INDEX(PP_Grid[#Data],$DE552,97),0)</f>
        <v/>
      </c>
      <c r="CW552">
        <f>IFERROR(INDEX(PP_Grid[#Data],$DE552,98),0)</f>
        <v/>
      </c>
      <c r="CX552">
        <f>IFERROR(INDEX(PP_Grid[#Data],$DE552,99),0)</f>
        <v/>
      </c>
      <c r="CY552">
        <f>IFERROR(INDEX(PP_Grid[#Data],$DE552,100),0)</f>
        <v/>
      </c>
      <c r="CZ552">
        <f>IFERROR(INDEX(PP_Grid[#Data],$DE552,101),0)</f>
        <v/>
      </c>
      <c r="DA552">
        <f>IFERROR(INDEX(PP_Grid[#Data],$DE552,102),0)</f>
        <v/>
      </c>
      <c r="DB552">
        <f>IFERROR(INDEX(PP_Grid[#Data],$DE552,103),0)</f>
        <v/>
      </c>
      <c r="DC552">
        <f>IFERROR(INDEX(PP_Grid[#Data],$DE552,104),0)</f>
        <v/>
      </c>
      <c r="DD552">
        <f>IFERROR(INDEX(PP_Grid[#Data],$DE552,105),0)</f>
        <v/>
      </c>
      <c r="DE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SUMIFS(M_BOM[RM_Qty_Per_Batch],M_BOM[Intermediate],$B552,M_BOM[RM_Code],$A515)</f>
        <v/>
      </c>
      <c r="D553">
        <f>IFERROR(INDEX(E553:DD553,$F$1),"")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  <c r="DD553">
        <f>$C553*DD552</f>
        <v/>
      </c>
    </row>
    <row r="554">
      <c r="B554" t="inlineStr">
        <is>
          <t>TSP-670</t>
        </is>
      </c>
      <c r="C554" t="inlineStr">
        <is>
          <t>No. of batches</t>
        </is>
      </c>
      <c r="D554">
        <f>IFERROR(INDEX(E554:DD554,$F$1),"")</f>
        <v/>
      </c>
      <c r="E554">
        <f>IFERROR(INDEX(PP_Grid[#Data],$DE554,2),0)</f>
        <v/>
      </c>
      <c r="F554">
        <f>IFERROR(INDEX(PP_Grid[#Data],$DE554,3),0)</f>
        <v/>
      </c>
      <c r="G554">
        <f>IFERROR(INDEX(PP_Grid[#Data],$DE554,4),0)</f>
        <v/>
      </c>
      <c r="H554">
        <f>IFERROR(INDEX(PP_Grid[#Data],$DE554,5),0)</f>
        <v/>
      </c>
      <c r="I554">
        <f>IFERROR(INDEX(PP_Grid[#Data],$DE554,6),0)</f>
        <v/>
      </c>
      <c r="J554">
        <f>IFERROR(INDEX(PP_Grid[#Data],$DE554,7),0)</f>
        <v/>
      </c>
      <c r="K554">
        <f>IFERROR(INDEX(PP_Grid[#Data],$DE554,8),0)</f>
        <v/>
      </c>
      <c r="L554">
        <f>IFERROR(INDEX(PP_Grid[#Data],$DE554,9),0)</f>
        <v/>
      </c>
      <c r="M554">
        <f>IFERROR(INDEX(PP_Grid[#Data],$DE554,10),0)</f>
        <v/>
      </c>
      <c r="N554">
        <f>IFERROR(INDEX(PP_Grid[#Data],$DE554,11),0)</f>
        <v/>
      </c>
      <c r="O554">
        <f>IFERROR(INDEX(PP_Grid[#Data],$DE554,12),0)</f>
        <v/>
      </c>
      <c r="P554">
        <f>IFERROR(INDEX(PP_Grid[#Data],$DE554,13),0)</f>
        <v/>
      </c>
      <c r="Q554">
        <f>IFERROR(INDEX(PP_Grid[#Data],$DE554,14),0)</f>
        <v/>
      </c>
      <c r="R554">
        <f>IFERROR(INDEX(PP_Grid[#Data],$DE554,15),0)</f>
        <v/>
      </c>
      <c r="S554">
        <f>IFERROR(INDEX(PP_Grid[#Data],$DE554,16),0)</f>
        <v/>
      </c>
      <c r="T554">
        <f>IFERROR(INDEX(PP_Grid[#Data],$DE554,17),0)</f>
        <v/>
      </c>
      <c r="U554">
        <f>IFERROR(INDEX(PP_Grid[#Data],$DE554,18),0)</f>
        <v/>
      </c>
      <c r="V554">
        <f>IFERROR(INDEX(PP_Grid[#Data],$DE554,19),0)</f>
        <v/>
      </c>
      <c r="W554">
        <f>IFERROR(INDEX(PP_Grid[#Data],$DE554,20),0)</f>
        <v/>
      </c>
      <c r="X554">
        <f>IFERROR(INDEX(PP_Grid[#Data],$DE554,21),0)</f>
        <v/>
      </c>
      <c r="Y554">
        <f>IFERROR(INDEX(PP_Grid[#Data],$DE554,22),0)</f>
        <v/>
      </c>
      <c r="Z554">
        <f>IFERROR(INDEX(PP_Grid[#Data],$DE554,23),0)</f>
        <v/>
      </c>
      <c r="AA554">
        <f>IFERROR(INDEX(PP_Grid[#Data],$DE554,24),0)</f>
        <v/>
      </c>
      <c r="AB554">
        <f>IFERROR(INDEX(PP_Grid[#Data],$DE554,25),0)</f>
        <v/>
      </c>
      <c r="AC554">
        <f>IFERROR(INDEX(PP_Grid[#Data],$DE554,26),0)</f>
        <v/>
      </c>
      <c r="AD554">
        <f>IFERROR(INDEX(PP_Grid[#Data],$DE554,27),0)</f>
        <v/>
      </c>
      <c r="AE554">
        <f>IFERROR(INDEX(PP_Grid[#Data],$DE554,28),0)</f>
        <v/>
      </c>
      <c r="AF554">
        <f>IFERROR(INDEX(PP_Grid[#Data],$DE554,29),0)</f>
        <v/>
      </c>
      <c r="AG554">
        <f>IFERROR(INDEX(PP_Grid[#Data],$DE554,30),0)</f>
        <v/>
      </c>
      <c r="AH554">
        <f>IFERROR(INDEX(PP_Grid[#Data],$DE554,31),0)</f>
        <v/>
      </c>
      <c r="AI554">
        <f>IFERROR(INDEX(PP_Grid[#Data],$DE554,32),0)</f>
        <v/>
      </c>
      <c r="AJ554">
        <f>IFERROR(INDEX(PP_Grid[#Data],$DE554,33),0)</f>
        <v/>
      </c>
      <c r="AK554">
        <f>IFERROR(INDEX(PP_Grid[#Data],$DE554,34),0)</f>
        <v/>
      </c>
      <c r="AL554">
        <f>IFERROR(INDEX(PP_Grid[#Data],$DE554,35),0)</f>
        <v/>
      </c>
      <c r="AM554">
        <f>IFERROR(INDEX(PP_Grid[#Data],$DE554,36),0)</f>
        <v/>
      </c>
      <c r="AN554">
        <f>IFERROR(INDEX(PP_Grid[#Data],$DE554,37),0)</f>
        <v/>
      </c>
      <c r="AO554">
        <f>IFERROR(INDEX(PP_Grid[#Data],$DE554,38),0)</f>
        <v/>
      </c>
      <c r="AP554">
        <f>IFERROR(INDEX(PP_Grid[#Data],$DE554,39),0)</f>
        <v/>
      </c>
      <c r="AQ554">
        <f>IFERROR(INDEX(PP_Grid[#Data],$DE554,40),0)</f>
        <v/>
      </c>
      <c r="AR554">
        <f>IFERROR(INDEX(PP_Grid[#Data],$DE554,41),0)</f>
        <v/>
      </c>
      <c r="AS554">
        <f>IFERROR(INDEX(PP_Grid[#Data],$DE554,42),0)</f>
        <v/>
      </c>
      <c r="AT554">
        <f>IFERROR(INDEX(PP_Grid[#Data],$DE554,43),0)</f>
        <v/>
      </c>
      <c r="AU554">
        <f>IFERROR(INDEX(PP_Grid[#Data],$DE554,44),0)</f>
        <v/>
      </c>
      <c r="AV554">
        <f>IFERROR(INDEX(PP_Grid[#Data],$DE554,45),0)</f>
        <v/>
      </c>
      <c r="AW554">
        <f>IFERROR(INDEX(PP_Grid[#Data],$DE554,46),0)</f>
        <v/>
      </c>
      <c r="AX554">
        <f>IFERROR(INDEX(PP_Grid[#Data],$DE554,47),0)</f>
        <v/>
      </c>
      <c r="AY554">
        <f>IFERROR(INDEX(PP_Grid[#Data],$DE554,48),0)</f>
        <v/>
      </c>
      <c r="AZ554">
        <f>IFERROR(INDEX(PP_Grid[#Data],$DE554,49),0)</f>
        <v/>
      </c>
      <c r="BA554">
        <f>IFERROR(INDEX(PP_Grid[#Data],$DE554,50),0)</f>
        <v/>
      </c>
      <c r="BB554">
        <f>IFERROR(INDEX(PP_Grid[#Data],$DE554,51),0)</f>
        <v/>
      </c>
      <c r="BC554">
        <f>IFERROR(INDEX(PP_Grid[#Data],$DE554,52),0)</f>
        <v/>
      </c>
      <c r="BD554">
        <f>IFERROR(INDEX(PP_Grid[#Data],$DE554,53),0)</f>
        <v/>
      </c>
      <c r="BE554">
        <f>IFERROR(INDEX(PP_Grid[#Data],$DE554,54),0)</f>
        <v/>
      </c>
      <c r="BF554">
        <f>IFERROR(INDEX(PP_Grid[#Data],$DE554,55),0)</f>
        <v/>
      </c>
      <c r="BG554">
        <f>IFERROR(INDEX(PP_Grid[#Data],$DE554,56),0)</f>
        <v/>
      </c>
      <c r="BH554">
        <f>IFERROR(INDEX(PP_Grid[#Data],$DE554,57),0)</f>
        <v/>
      </c>
      <c r="BI554">
        <f>IFERROR(INDEX(PP_Grid[#Data],$DE554,58),0)</f>
        <v/>
      </c>
      <c r="BJ554">
        <f>IFERROR(INDEX(PP_Grid[#Data],$DE554,59),0)</f>
        <v/>
      </c>
      <c r="BK554">
        <f>IFERROR(INDEX(PP_Grid[#Data],$DE554,60),0)</f>
        <v/>
      </c>
      <c r="BL554">
        <f>IFERROR(INDEX(PP_Grid[#Data],$DE554,61),0)</f>
        <v/>
      </c>
      <c r="BM554">
        <f>IFERROR(INDEX(PP_Grid[#Data],$DE554,62),0)</f>
        <v/>
      </c>
      <c r="BN554">
        <f>IFERROR(INDEX(PP_Grid[#Data],$DE554,63),0)</f>
        <v/>
      </c>
      <c r="BO554">
        <f>IFERROR(INDEX(PP_Grid[#Data],$DE554,64),0)</f>
        <v/>
      </c>
      <c r="BP554">
        <f>IFERROR(INDEX(PP_Grid[#Data],$DE554,65),0)</f>
        <v/>
      </c>
      <c r="BQ554">
        <f>IFERROR(INDEX(PP_Grid[#Data],$DE554,66),0)</f>
        <v/>
      </c>
      <c r="BR554">
        <f>IFERROR(INDEX(PP_Grid[#Data],$DE554,67),0)</f>
        <v/>
      </c>
      <c r="BS554">
        <f>IFERROR(INDEX(PP_Grid[#Data],$DE554,68),0)</f>
        <v/>
      </c>
      <c r="BT554">
        <f>IFERROR(INDEX(PP_Grid[#Data],$DE554,69),0)</f>
        <v/>
      </c>
      <c r="BU554">
        <f>IFERROR(INDEX(PP_Grid[#Data],$DE554,70),0)</f>
        <v/>
      </c>
      <c r="BV554">
        <f>IFERROR(INDEX(PP_Grid[#Data],$DE554,71),0)</f>
        <v/>
      </c>
      <c r="BW554">
        <f>IFERROR(INDEX(PP_Grid[#Data],$DE554,72),0)</f>
        <v/>
      </c>
      <c r="BX554">
        <f>IFERROR(INDEX(PP_Grid[#Data],$DE554,73),0)</f>
        <v/>
      </c>
      <c r="BY554">
        <f>IFERROR(INDEX(PP_Grid[#Data],$DE554,74),0)</f>
        <v/>
      </c>
      <c r="BZ554">
        <f>IFERROR(INDEX(PP_Grid[#Data],$DE554,75),0)</f>
        <v/>
      </c>
      <c r="CA554">
        <f>IFERROR(INDEX(PP_Grid[#Data],$DE554,76),0)</f>
        <v/>
      </c>
      <c r="CB554">
        <f>IFERROR(INDEX(PP_Grid[#Data],$DE554,77),0)</f>
        <v/>
      </c>
      <c r="CC554">
        <f>IFERROR(INDEX(PP_Grid[#Data],$DE554,78),0)</f>
        <v/>
      </c>
      <c r="CD554">
        <f>IFERROR(INDEX(PP_Grid[#Data],$DE554,79),0)</f>
        <v/>
      </c>
      <c r="CE554">
        <f>IFERROR(INDEX(PP_Grid[#Data],$DE554,80),0)</f>
        <v/>
      </c>
      <c r="CF554">
        <f>IFERROR(INDEX(PP_Grid[#Data],$DE554,81),0)</f>
        <v/>
      </c>
      <c r="CG554">
        <f>IFERROR(INDEX(PP_Grid[#Data],$DE554,82),0)</f>
        <v/>
      </c>
      <c r="CH554">
        <f>IFERROR(INDEX(PP_Grid[#Data],$DE554,83),0)</f>
        <v/>
      </c>
      <c r="CI554">
        <f>IFERROR(INDEX(PP_Grid[#Data],$DE554,84),0)</f>
        <v/>
      </c>
      <c r="CJ554">
        <f>IFERROR(INDEX(PP_Grid[#Data],$DE554,85),0)</f>
        <v/>
      </c>
      <c r="CK554">
        <f>IFERROR(INDEX(PP_Grid[#Data],$DE554,86),0)</f>
        <v/>
      </c>
      <c r="CL554">
        <f>IFERROR(INDEX(PP_Grid[#Data],$DE554,87),0)</f>
        <v/>
      </c>
      <c r="CM554">
        <f>IFERROR(INDEX(PP_Grid[#Data],$DE554,88),0)</f>
        <v/>
      </c>
      <c r="CN554">
        <f>IFERROR(INDEX(PP_Grid[#Data],$DE554,89),0)</f>
        <v/>
      </c>
      <c r="CO554">
        <f>IFERROR(INDEX(PP_Grid[#Data],$DE554,90),0)</f>
        <v/>
      </c>
      <c r="CP554">
        <f>IFERROR(INDEX(PP_Grid[#Data],$DE554,91),0)</f>
        <v/>
      </c>
      <c r="CQ554">
        <f>IFERROR(INDEX(PP_Grid[#Data],$DE554,92),0)</f>
        <v/>
      </c>
      <c r="CR554">
        <f>IFERROR(INDEX(PP_Grid[#Data],$DE554,93),0)</f>
        <v/>
      </c>
      <c r="CS554">
        <f>IFERROR(INDEX(PP_Grid[#Data],$DE554,94),0)</f>
        <v/>
      </c>
      <c r="CT554">
        <f>IFERROR(INDEX(PP_Grid[#Data],$DE554,95),0)</f>
        <v/>
      </c>
      <c r="CU554">
        <f>IFERROR(INDEX(PP_Grid[#Data],$DE554,96),0)</f>
        <v/>
      </c>
      <c r="CV554">
        <f>IFERROR(INDEX(PP_Grid[#Data],$DE554,97),0)</f>
        <v/>
      </c>
      <c r="CW554">
        <f>IFERROR(INDEX(PP_Grid[#Data],$DE554,98),0)</f>
        <v/>
      </c>
      <c r="CX554">
        <f>IFERROR(INDEX(PP_Grid[#Data],$DE554,99),0)</f>
        <v/>
      </c>
      <c r="CY554">
        <f>IFERROR(INDEX(PP_Grid[#Data],$DE554,100),0)</f>
        <v/>
      </c>
      <c r="CZ554">
        <f>IFERROR(INDEX(PP_Grid[#Data],$DE554,101),0)</f>
        <v/>
      </c>
      <c r="DA554">
        <f>IFERROR(INDEX(PP_Grid[#Data],$DE554,102),0)</f>
        <v/>
      </c>
      <c r="DB554">
        <f>IFERROR(INDEX(PP_Grid[#Data],$DE554,103),0)</f>
        <v/>
      </c>
      <c r="DC554">
        <f>IFERROR(INDEX(PP_Grid[#Data],$DE554,104),0)</f>
        <v/>
      </c>
      <c r="DD554">
        <f>IFERROR(INDEX(PP_Grid[#Data],$DE554,105),0)</f>
        <v/>
      </c>
      <c r="DE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SUMIFS(M_BOM[RM_Qty_Per_Batch],M_BOM[Intermediate],$B554,M_BOM[RM_Code],$A515)</f>
        <v/>
      </c>
      <c r="D555">
        <f>IFERROR(INDEX(E555:DD555,$F$1),"")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  <c r="DD555">
        <f>$C555*DD554</f>
        <v/>
      </c>
    </row>
    <row r="556">
      <c r="B556" t="inlineStr">
        <is>
          <t>TSP-699</t>
        </is>
      </c>
      <c r="C556" t="inlineStr">
        <is>
          <t>No. of batches</t>
        </is>
      </c>
      <c r="D556">
        <f>IFERROR(INDEX(E556:DD556,$F$1),"")</f>
        <v/>
      </c>
      <c r="E556">
        <f>IFERROR(INDEX(PP_Grid[#Data],$DE556,2),0)</f>
        <v/>
      </c>
      <c r="F556">
        <f>IFERROR(INDEX(PP_Grid[#Data],$DE556,3),0)</f>
        <v/>
      </c>
      <c r="G556">
        <f>IFERROR(INDEX(PP_Grid[#Data],$DE556,4),0)</f>
        <v/>
      </c>
      <c r="H556">
        <f>IFERROR(INDEX(PP_Grid[#Data],$DE556,5),0)</f>
        <v/>
      </c>
      <c r="I556">
        <f>IFERROR(INDEX(PP_Grid[#Data],$DE556,6),0)</f>
        <v/>
      </c>
      <c r="J556">
        <f>IFERROR(INDEX(PP_Grid[#Data],$DE556,7),0)</f>
        <v/>
      </c>
      <c r="K556">
        <f>IFERROR(INDEX(PP_Grid[#Data],$DE556,8),0)</f>
        <v/>
      </c>
      <c r="L556">
        <f>IFERROR(INDEX(PP_Grid[#Data],$DE556,9),0)</f>
        <v/>
      </c>
      <c r="M556">
        <f>IFERROR(INDEX(PP_Grid[#Data],$DE556,10),0)</f>
        <v/>
      </c>
      <c r="N556">
        <f>IFERROR(INDEX(PP_Grid[#Data],$DE556,11),0)</f>
        <v/>
      </c>
      <c r="O556">
        <f>IFERROR(INDEX(PP_Grid[#Data],$DE556,12),0)</f>
        <v/>
      </c>
      <c r="P556">
        <f>IFERROR(INDEX(PP_Grid[#Data],$DE556,13),0)</f>
        <v/>
      </c>
      <c r="Q556">
        <f>IFERROR(INDEX(PP_Grid[#Data],$DE556,14),0)</f>
        <v/>
      </c>
      <c r="R556">
        <f>IFERROR(INDEX(PP_Grid[#Data],$DE556,15),0)</f>
        <v/>
      </c>
      <c r="S556">
        <f>IFERROR(INDEX(PP_Grid[#Data],$DE556,16),0)</f>
        <v/>
      </c>
      <c r="T556">
        <f>IFERROR(INDEX(PP_Grid[#Data],$DE556,17),0)</f>
        <v/>
      </c>
      <c r="U556">
        <f>IFERROR(INDEX(PP_Grid[#Data],$DE556,18),0)</f>
        <v/>
      </c>
      <c r="V556">
        <f>IFERROR(INDEX(PP_Grid[#Data],$DE556,19),0)</f>
        <v/>
      </c>
      <c r="W556">
        <f>IFERROR(INDEX(PP_Grid[#Data],$DE556,20),0)</f>
        <v/>
      </c>
      <c r="X556">
        <f>IFERROR(INDEX(PP_Grid[#Data],$DE556,21),0)</f>
        <v/>
      </c>
      <c r="Y556">
        <f>IFERROR(INDEX(PP_Grid[#Data],$DE556,22),0)</f>
        <v/>
      </c>
      <c r="Z556">
        <f>IFERROR(INDEX(PP_Grid[#Data],$DE556,23),0)</f>
        <v/>
      </c>
      <c r="AA556">
        <f>IFERROR(INDEX(PP_Grid[#Data],$DE556,24),0)</f>
        <v/>
      </c>
      <c r="AB556">
        <f>IFERROR(INDEX(PP_Grid[#Data],$DE556,25),0)</f>
        <v/>
      </c>
      <c r="AC556">
        <f>IFERROR(INDEX(PP_Grid[#Data],$DE556,26),0)</f>
        <v/>
      </c>
      <c r="AD556">
        <f>IFERROR(INDEX(PP_Grid[#Data],$DE556,27),0)</f>
        <v/>
      </c>
      <c r="AE556">
        <f>IFERROR(INDEX(PP_Grid[#Data],$DE556,28),0)</f>
        <v/>
      </c>
      <c r="AF556">
        <f>IFERROR(INDEX(PP_Grid[#Data],$DE556,29),0)</f>
        <v/>
      </c>
      <c r="AG556">
        <f>IFERROR(INDEX(PP_Grid[#Data],$DE556,30),0)</f>
        <v/>
      </c>
      <c r="AH556">
        <f>IFERROR(INDEX(PP_Grid[#Data],$DE556,31),0)</f>
        <v/>
      </c>
      <c r="AI556">
        <f>IFERROR(INDEX(PP_Grid[#Data],$DE556,32),0)</f>
        <v/>
      </c>
      <c r="AJ556">
        <f>IFERROR(INDEX(PP_Grid[#Data],$DE556,33),0)</f>
        <v/>
      </c>
      <c r="AK556">
        <f>IFERROR(INDEX(PP_Grid[#Data],$DE556,34),0)</f>
        <v/>
      </c>
      <c r="AL556">
        <f>IFERROR(INDEX(PP_Grid[#Data],$DE556,35),0)</f>
        <v/>
      </c>
      <c r="AM556">
        <f>IFERROR(INDEX(PP_Grid[#Data],$DE556,36),0)</f>
        <v/>
      </c>
      <c r="AN556">
        <f>IFERROR(INDEX(PP_Grid[#Data],$DE556,37),0)</f>
        <v/>
      </c>
      <c r="AO556">
        <f>IFERROR(INDEX(PP_Grid[#Data],$DE556,38),0)</f>
        <v/>
      </c>
      <c r="AP556">
        <f>IFERROR(INDEX(PP_Grid[#Data],$DE556,39),0)</f>
        <v/>
      </c>
      <c r="AQ556">
        <f>IFERROR(INDEX(PP_Grid[#Data],$DE556,40),0)</f>
        <v/>
      </c>
      <c r="AR556">
        <f>IFERROR(INDEX(PP_Grid[#Data],$DE556,41),0)</f>
        <v/>
      </c>
      <c r="AS556">
        <f>IFERROR(INDEX(PP_Grid[#Data],$DE556,42),0)</f>
        <v/>
      </c>
      <c r="AT556">
        <f>IFERROR(INDEX(PP_Grid[#Data],$DE556,43),0)</f>
        <v/>
      </c>
      <c r="AU556">
        <f>IFERROR(INDEX(PP_Grid[#Data],$DE556,44),0)</f>
        <v/>
      </c>
      <c r="AV556">
        <f>IFERROR(INDEX(PP_Grid[#Data],$DE556,45),0)</f>
        <v/>
      </c>
      <c r="AW556">
        <f>IFERROR(INDEX(PP_Grid[#Data],$DE556,46),0)</f>
        <v/>
      </c>
      <c r="AX556">
        <f>IFERROR(INDEX(PP_Grid[#Data],$DE556,47),0)</f>
        <v/>
      </c>
      <c r="AY556">
        <f>IFERROR(INDEX(PP_Grid[#Data],$DE556,48),0)</f>
        <v/>
      </c>
      <c r="AZ556">
        <f>IFERROR(INDEX(PP_Grid[#Data],$DE556,49),0)</f>
        <v/>
      </c>
      <c r="BA556">
        <f>IFERROR(INDEX(PP_Grid[#Data],$DE556,50),0)</f>
        <v/>
      </c>
      <c r="BB556">
        <f>IFERROR(INDEX(PP_Grid[#Data],$DE556,51),0)</f>
        <v/>
      </c>
      <c r="BC556">
        <f>IFERROR(INDEX(PP_Grid[#Data],$DE556,52),0)</f>
        <v/>
      </c>
      <c r="BD556">
        <f>IFERROR(INDEX(PP_Grid[#Data],$DE556,53),0)</f>
        <v/>
      </c>
      <c r="BE556">
        <f>IFERROR(INDEX(PP_Grid[#Data],$DE556,54),0)</f>
        <v/>
      </c>
      <c r="BF556">
        <f>IFERROR(INDEX(PP_Grid[#Data],$DE556,55),0)</f>
        <v/>
      </c>
      <c r="BG556">
        <f>IFERROR(INDEX(PP_Grid[#Data],$DE556,56),0)</f>
        <v/>
      </c>
      <c r="BH556">
        <f>IFERROR(INDEX(PP_Grid[#Data],$DE556,57),0)</f>
        <v/>
      </c>
      <c r="BI556">
        <f>IFERROR(INDEX(PP_Grid[#Data],$DE556,58),0)</f>
        <v/>
      </c>
      <c r="BJ556">
        <f>IFERROR(INDEX(PP_Grid[#Data],$DE556,59),0)</f>
        <v/>
      </c>
      <c r="BK556">
        <f>IFERROR(INDEX(PP_Grid[#Data],$DE556,60),0)</f>
        <v/>
      </c>
      <c r="BL556">
        <f>IFERROR(INDEX(PP_Grid[#Data],$DE556,61),0)</f>
        <v/>
      </c>
      <c r="BM556">
        <f>IFERROR(INDEX(PP_Grid[#Data],$DE556,62),0)</f>
        <v/>
      </c>
      <c r="BN556">
        <f>IFERROR(INDEX(PP_Grid[#Data],$DE556,63),0)</f>
        <v/>
      </c>
      <c r="BO556">
        <f>IFERROR(INDEX(PP_Grid[#Data],$DE556,64),0)</f>
        <v/>
      </c>
      <c r="BP556">
        <f>IFERROR(INDEX(PP_Grid[#Data],$DE556,65),0)</f>
        <v/>
      </c>
      <c r="BQ556">
        <f>IFERROR(INDEX(PP_Grid[#Data],$DE556,66),0)</f>
        <v/>
      </c>
      <c r="BR556">
        <f>IFERROR(INDEX(PP_Grid[#Data],$DE556,67),0)</f>
        <v/>
      </c>
      <c r="BS556">
        <f>IFERROR(INDEX(PP_Grid[#Data],$DE556,68),0)</f>
        <v/>
      </c>
      <c r="BT556">
        <f>IFERROR(INDEX(PP_Grid[#Data],$DE556,69),0)</f>
        <v/>
      </c>
      <c r="BU556">
        <f>IFERROR(INDEX(PP_Grid[#Data],$DE556,70),0)</f>
        <v/>
      </c>
      <c r="BV556">
        <f>IFERROR(INDEX(PP_Grid[#Data],$DE556,71),0)</f>
        <v/>
      </c>
      <c r="BW556">
        <f>IFERROR(INDEX(PP_Grid[#Data],$DE556,72),0)</f>
        <v/>
      </c>
      <c r="BX556">
        <f>IFERROR(INDEX(PP_Grid[#Data],$DE556,73),0)</f>
        <v/>
      </c>
      <c r="BY556">
        <f>IFERROR(INDEX(PP_Grid[#Data],$DE556,74),0)</f>
        <v/>
      </c>
      <c r="BZ556">
        <f>IFERROR(INDEX(PP_Grid[#Data],$DE556,75),0)</f>
        <v/>
      </c>
      <c r="CA556">
        <f>IFERROR(INDEX(PP_Grid[#Data],$DE556,76),0)</f>
        <v/>
      </c>
      <c r="CB556">
        <f>IFERROR(INDEX(PP_Grid[#Data],$DE556,77),0)</f>
        <v/>
      </c>
      <c r="CC556">
        <f>IFERROR(INDEX(PP_Grid[#Data],$DE556,78),0)</f>
        <v/>
      </c>
      <c r="CD556">
        <f>IFERROR(INDEX(PP_Grid[#Data],$DE556,79),0)</f>
        <v/>
      </c>
      <c r="CE556">
        <f>IFERROR(INDEX(PP_Grid[#Data],$DE556,80),0)</f>
        <v/>
      </c>
      <c r="CF556">
        <f>IFERROR(INDEX(PP_Grid[#Data],$DE556,81),0)</f>
        <v/>
      </c>
      <c r="CG556">
        <f>IFERROR(INDEX(PP_Grid[#Data],$DE556,82),0)</f>
        <v/>
      </c>
      <c r="CH556">
        <f>IFERROR(INDEX(PP_Grid[#Data],$DE556,83),0)</f>
        <v/>
      </c>
      <c r="CI556">
        <f>IFERROR(INDEX(PP_Grid[#Data],$DE556,84),0)</f>
        <v/>
      </c>
      <c r="CJ556">
        <f>IFERROR(INDEX(PP_Grid[#Data],$DE556,85),0)</f>
        <v/>
      </c>
      <c r="CK556">
        <f>IFERROR(INDEX(PP_Grid[#Data],$DE556,86),0)</f>
        <v/>
      </c>
      <c r="CL556">
        <f>IFERROR(INDEX(PP_Grid[#Data],$DE556,87),0)</f>
        <v/>
      </c>
      <c r="CM556">
        <f>IFERROR(INDEX(PP_Grid[#Data],$DE556,88),0)</f>
        <v/>
      </c>
      <c r="CN556">
        <f>IFERROR(INDEX(PP_Grid[#Data],$DE556,89),0)</f>
        <v/>
      </c>
      <c r="CO556">
        <f>IFERROR(INDEX(PP_Grid[#Data],$DE556,90),0)</f>
        <v/>
      </c>
      <c r="CP556">
        <f>IFERROR(INDEX(PP_Grid[#Data],$DE556,91),0)</f>
        <v/>
      </c>
      <c r="CQ556">
        <f>IFERROR(INDEX(PP_Grid[#Data],$DE556,92),0)</f>
        <v/>
      </c>
      <c r="CR556">
        <f>IFERROR(INDEX(PP_Grid[#Data],$DE556,93),0)</f>
        <v/>
      </c>
      <c r="CS556">
        <f>IFERROR(INDEX(PP_Grid[#Data],$DE556,94),0)</f>
        <v/>
      </c>
      <c r="CT556">
        <f>IFERROR(INDEX(PP_Grid[#Data],$DE556,95),0)</f>
        <v/>
      </c>
      <c r="CU556">
        <f>IFERROR(INDEX(PP_Grid[#Data],$DE556,96),0)</f>
        <v/>
      </c>
      <c r="CV556">
        <f>IFERROR(INDEX(PP_Grid[#Data],$DE556,97),0)</f>
        <v/>
      </c>
      <c r="CW556">
        <f>IFERROR(INDEX(PP_Grid[#Data],$DE556,98),0)</f>
        <v/>
      </c>
      <c r="CX556">
        <f>IFERROR(INDEX(PP_Grid[#Data],$DE556,99),0)</f>
        <v/>
      </c>
      <c r="CY556">
        <f>IFERROR(INDEX(PP_Grid[#Data],$DE556,100),0)</f>
        <v/>
      </c>
      <c r="CZ556">
        <f>IFERROR(INDEX(PP_Grid[#Data],$DE556,101),0)</f>
        <v/>
      </c>
      <c r="DA556">
        <f>IFERROR(INDEX(PP_Grid[#Data],$DE556,102),0)</f>
        <v/>
      </c>
      <c r="DB556">
        <f>IFERROR(INDEX(PP_Grid[#Data],$DE556,103),0)</f>
        <v/>
      </c>
      <c r="DC556">
        <f>IFERROR(INDEX(PP_Grid[#Data],$DE556,104),0)</f>
        <v/>
      </c>
      <c r="DD556">
        <f>IFERROR(INDEX(PP_Grid[#Data],$DE556,105),0)</f>
        <v/>
      </c>
      <c r="DE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SUMIFS(M_BOM[RM_Qty_Per_Batch],M_BOM[Intermediate],$B556,M_BOM[RM_Code],$A515)</f>
        <v/>
      </c>
      <c r="D557">
        <f>IFERROR(INDEX(E557:DD557,$F$1),"")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  <c r="DD557">
        <f>$C557*DD556</f>
        <v/>
      </c>
    </row>
    <row r="558">
      <c r="B558" t="inlineStr">
        <is>
          <t>TSP-710</t>
        </is>
      </c>
      <c r="C558" t="inlineStr">
        <is>
          <t>No. of batches</t>
        </is>
      </c>
      <c r="D558">
        <f>IFERROR(INDEX(E558:DD558,$F$1),"")</f>
        <v/>
      </c>
      <c r="E558">
        <f>IFERROR(INDEX(PP_Grid[#Data],$DE558,2),0)</f>
        <v/>
      </c>
      <c r="F558">
        <f>IFERROR(INDEX(PP_Grid[#Data],$DE558,3),0)</f>
        <v/>
      </c>
      <c r="G558">
        <f>IFERROR(INDEX(PP_Grid[#Data],$DE558,4),0)</f>
        <v/>
      </c>
      <c r="H558">
        <f>IFERROR(INDEX(PP_Grid[#Data],$DE558,5),0)</f>
        <v/>
      </c>
      <c r="I558">
        <f>IFERROR(INDEX(PP_Grid[#Data],$DE558,6),0)</f>
        <v/>
      </c>
      <c r="J558">
        <f>IFERROR(INDEX(PP_Grid[#Data],$DE558,7),0)</f>
        <v/>
      </c>
      <c r="K558">
        <f>IFERROR(INDEX(PP_Grid[#Data],$DE558,8),0)</f>
        <v/>
      </c>
      <c r="L558">
        <f>IFERROR(INDEX(PP_Grid[#Data],$DE558,9),0)</f>
        <v/>
      </c>
      <c r="M558">
        <f>IFERROR(INDEX(PP_Grid[#Data],$DE558,10),0)</f>
        <v/>
      </c>
      <c r="N558">
        <f>IFERROR(INDEX(PP_Grid[#Data],$DE558,11),0)</f>
        <v/>
      </c>
      <c r="O558">
        <f>IFERROR(INDEX(PP_Grid[#Data],$DE558,12),0)</f>
        <v/>
      </c>
      <c r="P558">
        <f>IFERROR(INDEX(PP_Grid[#Data],$DE558,13),0)</f>
        <v/>
      </c>
      <c r="Q558">
        <f>IFERROR(INDEX(PP_Grid[#Data],$DE558,14),0)</f>
        <v/>
      </c>
      <c r="R558">
        <f>IFERROR(INDEX(PP_Grid[#Data],$DE558,15),0)</f>
        <v/>
      </c>
      <c r="S558">
        <f>IFERROR(INDEX(PP_Grid[#Data],$DE558,16),0)</f>
        <v/>
      </c>
      <c r="T558">
        <f>IFERROR(INDEX(PP_Grid[#Data],$DE558,17),0)</f>
        <v/>
      </c>
      <c r="U558">
        <f>IFERROR(INDEX(PP_Grid[#Data],$DE558,18),0)</f>
        <v/>
      </c>
      <c r="V558">
        <f>IFERROR(INDEX(PP_Grid[#Data],$DE558,19),0)</f>
        <v/>
      </c>
      <c r="W558">
        <f>IFERROR(INDEX(PP_Grid[#Data],$DE558,20),0)</f>
        <v/>
      </c>
      <c r="X558">
        <f>IFERROR(INDEX(PP_Grid[#Data],$DE558,21),0)</f>
        <v/>
      </c>
      <c r="Y558">
        <f>IFERROR(INDEX(PP_Grid[#Data],$DE558,22),0)</f>
        <v/>
      </c>
      <c r="Z558">
        <f>IFERROR(INDEX(PP_Grid[#Data],$DE558,23),0)</f>
        <v/>
      </c>
      <c r="AA558">
        <f>IFERROR(INDEX(PP_Grid[#Data],$DE558,24),0)</f>
        <v/>
      </c>
      <c r="AB558">
        <f>IFERROR(INDEX(PP_Grid[#Data],$DE558,25),0)</f>
        <v/>
      </c>
      <c r="AC558">
        <f>IFERROR(INDEX(PP_Grid[#Data],$DE558,26),0)</f>
        <v/>
      </c>
      <c r="AD558">
        <f>IFERROR(INDEX(PP_Grid[#Data],$DE558,27),0)</f>
        <v/>
      </c>
      <c r="AE558">
        <f>IFERROR(INDEX(PP_Grid[#Data],$DE558,28),0)</f>
        <v/>
      </c>
      <c r="AF558">
        <f>IFERROR(INDEX(PP_Grid[#Data],$DE558,29),0)</f>
        <v/>
      </c>
      <c r="AG558">
        <f>IFERROR(INDEX(PP_Grid[#Data],$DE558,30),0)</f>
        <v/>
      </c>
      <c r="AH558">
        <f>IFERROR(INDEX(PP_Grid[#Data],$DE558,31),0)</f>
        <v/>
      </c>
      <c r="AI558">
        <f>IFERROR(INDEX(PP_Grid[#Data],$DE558,32),0)</f>
        <v/>
      </c>
      <c r="AJ558">
        <f>IFERROR(INDEX(PP_Grid[#Data],$DE558,33),0)</f>
        <v/>
      </c>
      <c r="AK558">
        <f>IFERROR(INDEX(PP_Grid[#Data],$DE558,34),0)</f>
        <v/>
      </c>
      <c r="AL558">
        <f>IFERROR(INDEX(PP_Grid[#Data],$DE558,35),0)</f>
        <v/>
      </c>
      <c r="AM558">
        <f>IFERROR(INDEX(PP_Grid[#Data],$DE558,36),0)</f>
        <v/>
      </c>
      <c r="AN558">
        <f>IFERROR(INDEX(PP_Grid[#Data],$DE558,37),0)</f>
        <v/>
      </c>
      <c r="AO558">
        <f>IFERROR(INDEX(PP_Grid[#Data],$DE558,38),0)</f>
        <v/>
      </c>
      <c r="AP558">
        <f>IFERROR(INDEX(PP_Grid[#Data],$DE558,39),0)</f>
        <v/>
      </c>
      <c r="AQ558">
        <f>IFERROR(INDEX(PP_Grid[#Data],$DE558,40),0)</f>
        <v/>
      </c>
      <c r="AR558">
        <f>IFERROR(INDEX(PP_Grid[#Data],$DE558,41),0)</f>
        <v/>
      </c>
      <c r="AS558">
        <f>IFERROR(INDEX(PP_Grid[#Data],$DE558,42),0)</f>
        <v/>
      </c>
      <c r="AT558">
        <f>IFERROR(INDEX(PP_Grid[#Data],$DE558,43),0)</f>
        <v/>
      </c>
      <c r="AU558">
        <f>IFERROR(INDEX(PP_Grid[#Data],$DE558,44),0)</f>
        <v/>
      </c>
      <c r="AV558">
        <f>IFERROR(INDEX(PP_Grid[#Data],$DE558,45),0)</f>
        <v/>
      </c>
      <c r="AW558">
        <f>IFERROR(INDEX(PP_Grid[#Data],$DE558,46),0)</f>
        <v/>
      </c>
      <c r="AX558">
        <f>IFERROR(INDEX(PP_Grid[#Data],$DE558,47),0)</f>
        <v/>
      </c>
      <c r="AY558">
        <f>IFERROR(INDEX(PP_Grid[#Data],$DE558,48),0)</f>
        <v/>
      </c>
      <c r="AZ558">
        <f>IFERROR(INDEX(PP_Grid[#Data],$DE558,49),0)</f>
        <v/>
      </c>
      <c r="BA558">
        <f>IFERROR(INDEX(PP_Grid[#Data],$DE558,50),0)</f>
        <v/>
      </c>
      <c r="BB558">
        <f>IFERROR(INDEX(PP_Grid[#Data],$DE558,51),0)</f>
        <v/>
      </c>
      <c r="BC558">
        <f>IFERROR(INDEX(PP_Grid[#Data],$DE558,52),0)</f>
        <v/>
      </c>
      <c r="BD558">
        <f>IFERROR(INDEX(PP_Grid[#Data],$DE558,53),0)</f>
        <v/>
      </c>
      <c r="BE558">
        <f>IFERROR(INDEX(PP_Grid[#Data],$DE558,54),0)</f>
        <v/>
      </c>
      <c r="BF558">
        <f>IFERROR(INDEX(PP_Grid[#Data],$DE558,55),0)</f>
        <v/>
      </c>
      <c r="BG558">
        <f>IFERROR(INDEX(PP_Grid[#Data],$DE558,56),0)</f>
        <v/>
      </c>
      <c r="BH558">
        <f>IFERROR(INDEX(PP_Grid[#Data],$DE558,57),0)</f>
        <v/>
      </c>
      <c r="BI558">
        <f>IFERROR(INDEX(PP_Grid[#Data],$DE558,58),0)</f>
        <v/>
      </c>
      <c r="BJ558">
        <f>IFERROR(INDEX(PP_Grid[#Data],$DE558,59),0)</f>
        <v/>
      </c>
      <c r="BK558">
        <f>IFERROR(INDEX(PP_Grid[#Data],$DE558,60),0)</f>
        <v/>
      </c>
      <c r="BL558">
        <f>IFERROR(INDEX(PP_Grid[#Data],$DE558,61),0)</f>
        <v/>
      </c>
      <c r="BM558">
        <f>IFERROR(INDEX(PP_Grid[#Data],$DE558,62),0)</f>
        <v/>
      </c>
      <c r="BN558">
        <f>IFERROR(INDEX(PP_Grid[#Data],$DE558,63),0)</f>
        <v/>
      </c>
      <c r="BO558">
        <f>IFERROR(INDEX(PP_Grid[#Data],$DE558,64),0)</f>
        <v/>
      </c>
      <c r="BP558">
        <f>IFERROR(INDEX(PP_Grid[#Data],$DE558,65),0)</f>
        <v/>
      </c>
      <c r="BQ558">
        <f>IFERROR(INDEX(PP_Grid[#Data],$DE558,66),0)</f>
        <v/>
      </c>
      <c r="BR558">
        <f>IFERROR(INDEX(PP_Grid[#Data],$DE558,67),0)</f>
        <v/>
      </c>
      <c r="BS558">
        <f>IFERROR(INDEX(PP_Grid[#Data],$DE558,68),0)</f>
        <v/>
      </c>
      <c r="BT558">
        <f>IFERROR(INDEX(PP_Grid[#Data],$DE558,69),0)</f>
        <v/>
      </c>
      <c r="BU558">
        <f>IFERROR(INDEX(PP_Grid[#Data],$DE558,70),0)</f>
        <v/>
      </c>
      <c r="BV558">
        <f>IFERROR(INDEX(PP_Grid[#Data],$DE558,71),0)</f>
        <v/>
      </c>
      <c r="BW558">
        <f>IFERROR(INDEX(PP_Grid[#Data],$DE558,72),0)</f>
        <v/>
      </c>
      <c r="BX558">
        <f>IFERROR(INDEX(PP_Grid[#Data],$DE558,73),0)</f>
        <v/>
      </c>
      <c r="BY558">
        <f>IFERROR(INDEX(PP_Grid[#Data],$DE558,74),0)</f>
        <v/>
      </c>
      <c r="BZ558">
        <f>IFERROR(INDEX(PP_Grid[#Data],$DE558,75),0)</f>
        <v/>
      </c>
      <c r="CA558">
        <f>IFERROR(INDEX(PP_Grid[#Data],$DE558,76),0)</f>
        <v/>
      </c>
      <c r="CB558">
        <f>IFERROR(INDEX(PP_Grid[#Data],$DE558,77),0)</f>
        <v/>
      </c>
      <c r="CC558">
        <f>IFERROR(INDEX(PP_Grid[#Data],$DE558,78),0)</f>
        <v/>
      </c>
      <c r="CD558">
        <f>IFERROR(INDEX(PP_Grid[#Data],$DE558,79),0)</f>
        <v/>
      </c>
      <c r="CE558">
        <f>IFERROR(INDEX(PP_Grid[#Data],$DE558,80),0)</f>
        <v/>
      </c>
      <c r="CF558">
        <f>IFERROR(INDEX(PP_Grid[#Data],$DE558,81),0)</f>
        <v/>
      </c>
      <c r="CG558">
        <f>IFERROR(INDEX(PP_Grid[#Data],$DE558,82),0)</f>
        <v/>
      </c>
      <c r="CH558">
        <f>IFERROR(INDEX(PP_Grid[#Data],$DE558,83),0)</f>
        <v/>
      </c>
      <c r="CI558">
        <f>IFERROR(INDEX(PP_Grid[#Data],$DE558,84),0)</f>
        <v/>
      </c>
      <c r="CJ558">
        <f>IFERROR(INDEX(PP_Grid[#Data],$DE558,85),0)</f>
        <v/>
      </c>
      <c r="CK558">
        <f>IFERROR(INDEX(PP_Grid[#Data],$DE558,86),0)</f>
        <v/>
      </c>
      <c r="CL558">
        <f>IFERROR(INDEX(PP_Grid[#Data],$DE558,87),0)</f>
        <v/>
      </c>
      <c r="CM558">
        <f>IFERROR(INDEX(PP_Grid[#Data],$DE558,88),0)</f>
        <v/>
      </c>
      <c r="CN558">
        <f>IFERROR(INDEX(PP_Grid[#Data],$DE558,89),0)</f>
        <v/>
      </c>
      <c r="CO558">
        <f>IFERROR(INDEX(PP_Grid[#Data],$DE558,90),0)</f>
        <v/>
      </c>
      <c r="CP558">
        <f>IFERROR(INDEX(PP_Grid[#Data],$DE558,91),0)</f>
        <v/>
      </c>
      <c r="CQ558">
        <f>IFERROR(INDEX(PP_Grid[#Data],$DE558,92),0)</f>
        <v/>
      </c>
      <c r="CR558">
        <f>IFERROR(INDEX(PP_Grid[#Data],$DE558,93),0)</f>
        <v/>
      </c>
      <c r="CS558">
        <f>IFERROR(INDEX(PP_Grid[#Data],$DE558,94),0)</f>
        <v/>
      </c>
      <c r="CT558">
        <f>IFERROR(INDEX(PP_Grid[#Data],$DE558,95),0)</f>
        <v/>
      </c>
      <c r="CU558">
        <f>IFERROR(INDEX(PP_Grid[#Data],$DE558,96),0)</f>
        <v/>
      </c>
      <c r="CV558">
        <f>IFERROR(INDEX(PP_Grid[#Data],$DE558,97),0)</f>
        <v/>
      </c>
      <c r="CW558">
        <f>IFERROR(INDEX(PP_Grid[#Data],$DE558,98),0)</f>
        <v/>
      </c>
      <c r="CX558">
        <f>IFERROR(INDEX(PP_Grid[#Data],$DE558,99),0)</f>
        <v/>
      </c>
      <c r="CY558">
        <f>IFERROR(INDEX(PP_Grid[#Data],$DE558,100),0)</f>
        <v/>
      </c>
      <c r="CZ558">
        <f>IFERROR(INDEX(PP_Grid[#Data],$DE558,101),0)</f>
        <v/>
      </c>
      <c r="DA558">
        <f>IFERROR(INDEX(PP_Grid[#Data],$DE558,102),0)</f>
        <v/>
      </c>
      <c r="DB558">
        <f>IFERROR(INDEX(PP_Grid[#Data],$DE558,103),0)</f>
        <v/>
      </c>
      <c r="DC558">
        <f>IFERROR(INDEX(PP_Grid[#Data],$DE558,104),0)</f>
        <v/>
      </c>
      <c r="DD558">
        <f>IFERROR(INDEX(PP_Grid[#Data],$DE558,105),0)</f>
        <v/>
      </c>
      <c r="DE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SUMIFS(M_BOM[RM_Qty_Per_Batch],M_BOM[Intermediate],$B558,M_BOM[RM_Code],$A515)</f>
        <v/>
      </c>
      <c r="D559">
        <f>IFERROR(INDEX(E559:DD559,$F$1),"")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  <c r="DD559">
        <f>$C559*DD558</f>
        <v/>
      </c>
    </row>
    <row r="560">
      <c r="B560" t="inlineStr">
        <is>
          <t>TSP-828</t>
        </is>
      </c>
      <c r="C560" t="inlineStr">
        <is>
          <t>No. of batches</t>
        </is>
      </c>
      <c r="D560">
        <f>IFERROR(INDEX(E560:DD560,$F$1),"")</f>
        <v/>
      </c>
      <c r="E560">
        <f>IFERROR(INDEX(PP_Grid[#Data],$DE560,2),0)</f>
        <v/>
      </c>
      <c r="F560">
        <f>IFERROR(INDEX(PP_Grid[#Data],$DE560,3),0)</f>
        <v/>
      </c>
      <c r="G560">
        <f>IFERROR(INDEX(PP_Grid[#Data],$DE560,4),0)</f>
        <v/>
      </c>
      <c r="H560">
        <f>IFERROR(INDEX(PP_Grid[#Data],$DE560,5),0)</f>
        <v/>
      </c>
      <c r="I560">
        <f>IFERROR(INDEX(PP_Grid[#Data],$DE560,6),0)</f>
        <v/>
      </c>
      <c r="J560">
        <f>IFERROR(INDEX(PP_Grid[#Data],$DE560,7),0)</f>
        <v/>
      </c>
      <c r="K560">
        <f>IFERROR(INDEX(PP_Grid[#Data],$DE560,8),0)</f>
        <v/>
      </c>
      <c r="L560">
        <f>IFERROR(INDEX(PP_Grid[#Data],$DE560,9),0)</f>
        <v/>
      </c>
      <c r="M560">
        <f>IFERROR(INDEX(PP_Grid[#Data],$DE560,10),0)</f>
        <v/>
      </c>
      <c r="N560">
        <f>IFERROR(INDEX(PP_Grid[#Data],$DE560,11),0)</f>
        <v/>
      </c>
      <c r="O560">
        <f>IFERROR(INDEX(PP_Grid[#Data],$DE560,12),0)</f>
        <v/>
      </c>
      <c r="P560">
        <f>IFERROR(INDEX(PP_Grid[#Data],$DE560,13),0)</f>
        <v/>
      </c>
      <c r="Q560">
        <f>IFERROR(INDEX(PP_Grid[#Data],$DE560,14),0)</f>
        <v/>
      </c>
      <c r="R560">
        <f>IFERROR(INDEX(PP_Grid[#Data],$DE560,15),0)</f>
        <v/>
      </c>
      <c r="S560">
        <f>IFERROR(INDEX(PP_Grid[#Data],$DE560,16),0)</f>
        <v/>
      </c>
      <c r="T560">
        <f>IFERROR(INDEX(PP_Grid[#Data],$DE560,17),0)</f>
        <v/>
      </c>
      <c r="U560">
        <f>IFERROR(INDEX(PP_Grid[#Data],$DE560,18),0)</f>
        <v/>
      </c>
      <c r="V560">
        <f>IFERROR(INDEX(PP_Grid[#Data],$DE560,19),0)</f>
        <v/>
      </c>
      <c r="W560">
        <f>IFERROR(INDEX(PP_Grid[#Data],$DE560,20),0)</f>
        <v/>
      </c>
      <c r="X560">
        <f>IFERROR(INDEX(PP_Grid[#Data],$DE560,21),0)</f>
        <v/>
      </c>
      <c r="Y560">
        <f>IFERROR(INDEX(PP_Grid[#Data],$DE560,22),0)</f>
        <v/>
      </c>
      <c r="Z560">
        <f>IFERROR(INDEX(PP_Grid[#Data],$DE560,23),0)</f>
        <v/>
      </c>
      <c r="AA560">
        <f>IFERROR(INDEX(PP_Grid[#Data],$DE560,24),0)</f>
        <v/>
      </c>
      <c r="AB560">
        <f>IFERROR(INDEX(PP_Grid[#Data],$DE560,25),0)</f>
        <v/>
      </c>
      <c r="AC560">
        <f>IFERROR(INDEX(PP_Grid[#Data],$DE560,26),0)</f>
        <v/>
      </c>
      <c r="AD560">
        <f>IFERROR(INDEX(PP_Grid[#Data],$DE560,27),0)</f>
        <v/>
      </c>
      <c r="AE560">
        <f>IFERROR(INDEX(PP_Grid[#Data],$DE560,28),0)</f>
        <v/>
      </c>
      <c r="AF560">
        <f>IFERROR(INDEX(PP_Grid[#Data],$DE560,29),0)</f>
        <v/>
      </c>
      <c r="AG560">
        <f>IFERROR(INDEX(PP_Grid[#Data],$DE560,30),0)</f>
        <v/>
      </c>
      <c r="AH560">
        <f>IFERROR(INDEX(PP_Grid[#Data],$DE560,31),0)</f>
        <v/>
      </c>
      <c r="AI560">
        <f>IFERROR(INDEX(PP_Grid[#Data],$DE560,32),0)</f>
        <v/>
      </c>
      <c r="AJ560">
        <f>IFERROR(INDEX(PP_Grid[#Data],$DE560,33),0)</f>
        <v/>
      </c>
      <c r="AK560">
        <f>IFERROR(INDEX(PP_Grid[#Data],$DE560,34),0)</f>
        <v/>
      </c>
      <c r="AL560">
        <f>IFERROR(INDEX(PP_Grid[#Data],$DE560,35),0)</f>
        <v/>
      </c>
      <c r="AM560">
        <f>IFERROR(INDEX(PP_Grid[#Data],$DE560,36),0)</f>
        <v/>
      </c>
      <c r="AN560">
        <f>IFERROR(INDEX(PP_Grid[#Data],$DE560,37),0)</f>
        <v/>
      </c>
      <c r="AO560">
        <f>IFERROR(INDEX(PP_Grid[#Data],$DE560,38),0)</f>
        <v/>
      </c>
      <c r="AP560">
        <f>IFERROR(INDEX(PP_Grid[#Data],$DE560,39),0)</f>
        <v/>
      </c>
      <c r="AQ560">
        <f>IFERROR(INDEX(PP_Grid[#Data],$DE560,40),0)</f>
        <v/>
      </c>
      <c r="AR560">
        <f>IFERROR(INDEX(PP_Grid[#Data],$DE560,41),0)</f>
        <v/>
      </c>
      <c r="AS560">
        <f>IFERROR(INDEX(PP_Grid[#Data],$DE560,42),0)</f>
        <v/>
      </c>
      <c r="AT560">
        <f>IFERROR(INDEX(PP_Grid[#Data],$DE560,43),0)</f>
        <v/>
      </c>
      <c r="AU560">
        <f>IFERROR(INDEX(PP_Grid[#Data],$DE560,44),0)</f>
        <v/>
      </c>
      <c r="AV560">
        <f>IFERROR(INDEX(PP_Grid[#Data],$DE560,45),0)</f>
        <v/>
      </c>
      <c r="AW560">
        <f>IFERROR(INDEX(PP_Grid[#Data],$DE560,46),0)</f>
        <v/>
      </c>
      <c r="AX560">
        <f>IFERROR(INDEX(PP_Grid[#Data],$DE560,47),0)</f>
        <v/>
      </c>
      <c r="AY560">
        <f>IFERROR(INDEX(PP_Grid[#Data],$DE560,48),0)</f>
        <v/>
      </c>
      <c r="AZ560">
        <f>IFERROR(INDEX(PP_Grid[#Data],$DE560,49),0)</f>
        <v/>
      </c>
      <c r="BA560">
        <f>IFERROR(INDEX(PP_Grid[#Data],$DE560,50),0)</f>
        <v/>
      </c>
      <c r="BB560">
        <f>IFERROR(INDEX(PP_Grid[#Data],$DE560,51),0)</f>
        <v/>
      </c>
      <c r="BC560">
        <f>IFERROR(INDEX(PP_Grid[#Data],$DE560,52),0)</f>
        <v/>
      </c>
      <c r="BD560">
        <f>IFERROR(INDEX(PP_Grid[#Data],$DE560,53),0)</f>
        <v/>
      </c>
      <c r="BE560">
        <f>IFERROR(INDEX(PP_Grid[#Data],$DE560,54),0)</f>
        <v/>
      </c>
      <c r="BF560">
        <f>IFERROR(INDEX(PP_Grid[#Data],$DE560,55),0)</f>
        <v/>
      </c>
      <c r="BG560">
        <f>IFERROR(INDEX(PP_Grid[#Data],$DE560,56),0)</f>
        <v/>
      </c>
      <c r="BH560">
        <f>IFERROR(INDEX(PP_Grid[#Data],$DE560,57),0)</f>
        <v/>
      </c>
      <c r="BI560">
        <f>IFERROR(INDEX(PP_Grid[#Data],$DE560,58),0)</f>
        <v/>
      </c>
      <c r="BJ560">
        <f>IFERROR(INDEX(PP_Grid[#Data],$DE560,59),0)</f>
        <v/>
      </c>
      <c r="BK560">
        <f>IFERROR(INDEX(PP_Grid[#Data],$DE560,60),0)</f>
        <v/>
      </c>
      <c r="BL560">
        <f>IFERROR(INDEX(PP_Grid[#Data],$DE560,61),0)</f>
        <v/>
      </c>
      <c r="BM560">
        <f>IFERROR(INDEX(PP_Grid[#Data],$DE560,62),0)</f>
        <v/>
      </c>
      <c r="BN560">
        <f>IFERROR(INDEX(PP_Grid[#Data],$DE560,63),0)</f>
        <v/>
      </c>
      <c r="BO560">
        <f>IFERROR(INDEX(PP_Grid[#Data],$DE560,64),0)</f>
        <v/>
      </c>
      <c r="BP560">
        <f>IFERROR(INDEX(PP_Grid[#Data],$DE560,65),0)</f>
        <v/>
      </c>
      <c r="BQ560">
        <f>IFERROR(INDEX(PP_Grid[#Data],$DE560,66),0)</f>
        <v/>
      </c>
      <c r="BR560">
        <f>IFERROR(INDEX(PP_Grid[#Data],$DE560,67),0)</f>
        <v/>
      </c>
      <c r="BS560">
        <f>IFERROR(INDEX(PP_Grid[#Data],$DE560,68),0)</f>
        <v/>
      </c>
      <c r="BT560">
        <f>IFERROR(INDEX(PP_Grid[#Data],$DE560,69),0)</f>
        <v/>
      </c>
      <c r="BU560">
        <f>IFERROR(INDEX(PP_Grid[#Data],$DE560,70),0)</f>
        <v/>
      </c>
      <c r="BV560">
        <f>IFERROR(INDEX(PP_Grid[#Data],$DE560,71),0)</f>
        <v/>
      </c>
      <c r="BW560">
        <f>IFERROR(INDEX(PP_Grid[#Data],$DE560,72),0)</f>
        <v/>
      </c>
      <c r="BX560">
        <f>IFERROR(INDEX(PP_Grid[#Data],$DE560,73),0)</f>
        <v/>
      </c>
      <c r="BY560">
        <f>IFERROR(INDEX(PP_Grid[#Data],$DE560,74),0)</f>
        <v/>
      </c>
      <c r="BZ560">
        <f>IFERROR(INDEX(PP_Grid[#Data],$DE560,75),0)</f>
        <v/>
      </c>
      <c r="CA560">
        <f>IFERROR(INDEX(PP_Grid[#Data],$DE560,76),0)</f>
        <v/>
      </c>
      <c r="CB560">
        <f>IFERROR(INDEX(PP_Grid[#Data],$DE560,77),0)</f>
        <v/>
      </c>
      <c r="CC560">
        <f>IFERROR(INDEX(PP_Grid[#Data],$DE560,78),0)</f>
        <v/>
      </c>
      <c r="CD560">
        <f>IFERROR(INDEX(PP_Grid[#Data],$DE560,79),0)</f>
        <v/>
      </c>
      <c r="CE560">
        <f>IFERROR(INDEX(PP_Grid[#Data],$DE560,80),0)</f>
        <v/>
      </c>
      <c r="CF560">
        <f>IFERROR(INDEX(PP_Grid[#Data],$DE560,81),0)</f>
        <v/>
      </c>
      <c r="CG560">
        <f>IFERROR(INDEX(PP_Grid[#Data],$DE560,82),0)</f>
        <v/>
      </c>
      <c r="CH560">
        <f>IFERROR(INDEX(PP_Grid[#Data],$DE560,83),0)</f>
        <v/>
      </c>
      <c r="CI560">
        <f>IFERROR(INDEX(PP_Grid[#Data],$DE560,84),0)</f>
        <v/>
      </c>
      <c r="CJ560">
        <f>IFERROR(INDEX(PP_Grid[#Data],$DE560,85),0)</f>
        <v/>
      </c>
      <c r="CK560">
        <f>IFERROR(INDEX(PP_Grid[#Data],$DE560,86),0)</f>
        <v/>
      </c>
      <c r="CL560">
        <f>IFERROR(INDEX(PP_Grid[#Data],$DE560,87),0)</f>
        <v/>
      </c>
      <c r="CM560">
        <f>IFERROR(INDEX(PP_Grid[#Data],$DE560,88),0)</f>
        <v/>
      </c>
      <c r="CN560">
        <f>IFERROR(INDEX(PP_Grid[#Data],$DE560,89),0)</f>
        <v/>
      </c>
      <c r="CO560">
        <f>IFERROR(INDEX(PP_Grid[#Data],$DE560,90),0)</f>
        <v/>
      </c>
      <c r="CP560">
        <f>IFERROR(INDEX(PP_Grid[#Data],$DE560,91),0)</f>
        <v/>
      </c>
      <c r="CQ560">
        <f>IFERROR(INDEX(PP_Grid[#Data],$DE560,92),0)</f>
        <v/>
      </c>
      <c r="CR560">
        <f>IFERROR(INDEX(PP_Grid[#Data],$DE560,93),0)</f>
        <v/>
      </c>
      <c r="CS560">
        <f>IFERROR(INDEX(PP_Grid[#Data],$DE560,94),0)</f>
        <v/>
      </c>
      <c r="CT560">
        <f>IFERROR(INDEX(PP_Grid[#Data],$DE560,95),0)</f>
        <v/>
      </c>
      <c r="CU560">
        <f>IFERROR(INDEX(PP_Grid[#Data],$DE560,96),0)</f>
        <v/>
      </c>
      <c r="CV560">
        <f>IFERROR(INDEX(PP_Grid[#Data],$DE560,97),0)</f>
        <v/>
      </c>
      <c r="CW560">
        <f>IFERROR(INDEX(PP_Grid[#Data],$DE560,98),0)</f>
        <v/>
      </c>
      <c r="CX560">
        <f>IFERROR(INDEX(PP_Grid[#Data],$DE560,99),0)</f>
        <v/>
      </c>
      <c r="CY560">
        <f>IFERROR(INDEX(PP_Grid[#Data],$DE560,100),0)</f>
        <v/>
      </c>
      <c r="CZ560">
        <f>IFERROR(INDEX(PP_Grid[#Data],$DE560,101),0)</f>
        <v/>
      </c>
      <c r="DA560">
        <f>IFERROR(INDEX(PP_Grid[#Data],$DE560,102),0)</f>
        <v/>
      </c>
      <c r="DB560">
        <f>IFERROR(INDEX(PP_Grid[#Data],$DE560,103),0)</f>
        <v/>
      </c>
      <c r="DC560">
        <f>IFERROR(INDEX(PP_Grid[#Data],$DE560,104),0)</f>
        <v/>
      </c>
      <c r="DD560">
        <f>IFERROR(INDEX(PP_Grid[#Data],$DE560,105),0)</f>
        <v/>
      </c>
      <c r="DE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SUMIFS(M_BOM[RM_Qty_Per_Batch],M_BOM[Intermediate],$B560,M_BOM[RM_Code],$A515)</f>
        <v/>
      </c>
      <c r="D561">
        <f>IFERROR(INDEX(E561:DD561,$F$1),"")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  <c r="DD561">
        <f>$C561*DD560</f>
        <v/>
      </c>
    </row>
    <row r="562">
      <c r="B562" t="inlineStr">
        <is>
          <t>TSP-903</t>
        </is>
      </c>
      <c r="C562" t="inlineStr">
        <is>
          <t>No. of batches</t>
        </is>
      </c>
      <c r="D562">
        <f>IFERROR(INDEX(E562:DD562,$F$1),"")</f>
        <v/>
      </c>
      <c r="E562">
        <f>IFERROR(INDEX(PP_Grid[#Data],$DE562,2),0)</f>
        <v/>
      </c>
      <c r="F562">
        <f>IFERROR(INDEX(PP_Grid[#Data],$DE562,3),0)</f>
        <v/>
      </c>
      <c r="G562">
        <f>IFERROR(INDEX(PP_Grid[#Data],$DE562,4),0)</f>
        <v/>
      </c>
      <c r="H562">
        <f>IFERROR(INDEX(PP_Grid[#Data],$DE562,5),0)</f>
        <v/>
      </c>
      <c r="I562">
        <f>IFERROR(INDEX(PP_Grid[#Data],$DE562,6),0)</f>
        <v/>
      </c>
      <c r="J562">
        <f>IFERROR(INDEX(PP_Grid[#Data],$DE562,7),0)</f>
        <v/>
      </c>
      <c r="K562">
        <f>IFERROR(INDEX(PP_Grid[#Data],$DE562,8),0)</f>
        <v/>
      </c>
      <c r="L562">
        <f>IFERROR(INDEX(PP_Grid[#Data],$DE562,9),0)</f>
        <v/>
      </c>
      <c r="M562">
        <f>IFERROR(INDEX(PP_Grid[#Data],$DE562,10),0)</f>
        <v/>
      </c>
      <c r="N562">
        <f>IFERROR(INDEX(PP_Grid[#Data],$DE562,11),0)</f>
        <v/>
      </c>
      <c r="O562">
        <f>IFERROR(INDEX(PP_Grid[#Data],$DE562,12),0)</f>
        <v/>
      </c>
      <c r="P562">
        <f>IFERROR(INDEX(PP_Grid[#Data],$DE562,13),0)</f>
        <v/>
      </c>
      <c r="Q562">
        <f>IFERROR(INDEX(PP_Grid[#Data],$DE562,14),0)</f>
        <v/>
      </c>
      <c r="R562">
        <f>IFERROR(INDEX(PP_Grid[#Data],$DE562,15),0)</f>
        <v/>
      </c>
      <c r="S562">
        <f>IFERROR(INDEX(PP_Grid[#Data],$DE562,16),0)</f>
        <v/>
      </c>
      <c r="T562">
        <f>IFERROR(INDEX(PP_Grid[#Data],$DE562,17),0)</f>
        <v/>
      </c>
      <c r="U562">
        <f>IFERROR(INDEX(PP_Grid[#Data],$DE562,18),0)</f>
        <v/>
      </c>
      <c r="V562">
        <f>IFERROR(INDEX(PP_Grid[#Data],$DE562,19),0)</f>
        <v/>
      </c>
      <c r="W562">
        <f>IFERROR(INDEX(PP_Grid[#Data],$DE562,20),0)</f>
        <v/>
      </c>
      <c r="X562">
        <f>IFERROR(INDEX(PP_Grid[#Data],$DE562,21),0)</f>
        <v/>
      </c>
      <c r="Y562">
        <f>IFERROR(INDEX(PP_Grid[#Data],$DE562,22),0)</f>
        <v/>
      </c>
      <c r="Z562">
        <f>IFERROR(INDEX(PP_Grid[#Data],$DE562,23),0)</f>
        <v/>
      </c>
      <c r="AA562">
        <f>IFERROR(INDEX(PP_Grid[#Data],$DE562,24),0)</f>
        <v/>
      </c>
      <c r="AB562">
        <f>IFERROR(INDEX(PP_Grid[#Data],$DE562,25),0)</f>
        <v/>
      </c>
      <c r="AC562">
        <f>IFERROR(INDEX(PP_Grid[#Data],$DE562,26),0)</f>
        <v/>
      </c>
      <c r="AD562">
        <f>IFERROR(INDEX(PP_Grid[#Data],$DE562,27),0)</f>
        <v/>
      </c>
      <c r="AE562">
        <f>IFERROR(INDEX(PP_Grid[#Data],$DE562,28),0)</f>
        <v/>
      </c>
      <c r="AF562">
        <f>IFERROR(INDEX(PP_Grid[#Data],$DE562,29),0)</f>
        <v/>
      </c>
      <c r="AG562">
        <f>IFERROR(INDEX(PP_Grid[#Data],$DE562,30),0)</f>
        <v/>
      </c>
      <c r="AH562">
        <f>IFERROR(INDEX(PP_Grid[#Data],$DE562,31),0)</f>
        <v/>
      </c>
      <c r="AI562">
        <f>IFERROR(INDEX(PP_Grid[#Data],$DE562,32),0)</f>
        <v/>
      </c>
      <c r="AJ562">
        <f>IFERROR(INDEX(PP_Grid[#Data],$DE562,33),0)</f>
        <v/>
      </c>
      <c r="AK562">
        <f>IFERROR(INDEX(PP_Grid[#Data],$DE562,34),0)</f>
        <v/>
      </c>
      <c r="AL562">
        <f>IFERROR(INDEX(PP_Grid[#Data],$DE562,35),0)</f>
        <v/>
      </c>
      <c r="AM562">
        <f>IFERROR(INDEX(PP_Grid[#Data],$DE562,36),0)</f>
        <v/>
      </c>
      <c r="AN562">
        <f>IFERROR(INDEX(PP_Grid[#Data],$DE562,37),0)</f>
        <v/>
      </c>
      <c r="AO562">
        <f>IFERROR(INDEX(PP_Grid[#Data],$DE562,38),0)</f>
        <v/>
      </c>
      <c r="AP562">
        <f>IFERROR(INDEX(PP_Grid[#Data],$DE562,39),0)</f>
        <v/>
      </c>
      <c r="AQ562">
        <f>IFERROR(INDEX(PP_Grid[#Data],$DE562,40),0)</f>
        <v/>
      </c>
      <c r="AR562">
        <f>IFERROR(INDEX(PP_Grid[#Data],$DE562,41),0)</f>
        <v/>
      </c>
      <c r="AS562">
        <f>IFERROR(INDEX(PP_Grid[#Data],$DE562,42),0)</f>
        <v/>
      </c>
      <c r="AT562">
        <f>IFERROR(INDEX(PP_Grid[#Data],$DE562,43),0)</f>
        <v/>
      </c>
      <c r="AU562">
        <f>IFERROR(INDEX(PP_Grid[#Data],$DE562,44),0)</f>
        <v/>
      </c>
      <c r="AV562">
        <f>IFERROR(INDEX(PP_Grid[#Data],$DE562,45),0)</f>
        <v/>
      </c>
      <c r="AW562">
        <f>IFERROR(INDEX(PP_Grid[#Data],$DE562,46),0)</f>
        <v/>
      </c>
      <c r="AX562">
        <f>IFERROR(INDEX(PP_Grid[#Data],$DE562,47),0)</f>
        <v/>
      </c>
      <c r="AY562">
        <f>IFERROR(INDEX(PP_Grid[#Data],$DE562,48),0)</f>
        <v/>
      </c>
      <c r="AZ562">
        <f>IFERROR(INDEX(PP_Grid[#Data],$DE562,49),0)</f>
        <v/>
      </c>
      <c r="BA562">
        <f>IFERROR(INDEX(PP_Grid[#Data],$DE562,50),0)</f>
        <v/>
      </c>
      <c r="BB562">
        <f>IFERROR(INDEX(PP_Grid[#Data],$DE562,51),0)</f>
        <v/>
      </c>
      <c r="BC562">
        <f>IFERROR(INDEX(PP_Grid[#Data],$DE562,52),0)</f>
        <v/>
      </c>
      <c r="BD562">
        <f>IFERROR(INDEX(PP_Grid[#Data],$DE562,53),0)</f>
        <v/>
      </c>
      <c r="BE562">
        <f>IFERROR(INDEX(PP_Grid[#Data],$DE562,54),0)</f>
        <v/>
      </c>
      <c r="BF562">
        <f>IFERROR(INDEX(PP_Grid[#Data],$DE562,55),0)</f>
        <v/>
      </c>
      <c r="BG562">
        <f>IFERROR(INDEX(PP_Grid[#Data],$DE562,56),0)</f>
        <v/>
      </c>
      <c r="BH562">
        <f>IFERROR(INDEX(PP_Grid[#Data],$DE562,57),0)</f>
        <v/>
      </c>
      <c r="BI562">
        <f>IFERROR(INDEX(PP_Grid[#Data],$DE562,58),0)</f>
        <v/>
      </c>
      <c r="BJ562">
        <f>IFERROR(INDEX(PP_Grid[#Data],$DE562,59),0)</f>
        <v/>
      </c>
      <c r="BK562">
        <f>IFERROR(INDEX(PP_Grid[#Data],$DE562,60),0)</f>
        <v/>
      </c>
      <c r="BL562">
        <f>IFERROR(INDEX(PP_Grid[#Data],$DE562,61),0)</f>
        <v/>
      </c>
      <c r="BM562">
        <f>IFERROR(INDEX(PP_Grid[#Data],$DE562,62),0)</f>
        <v/>
      </c>
      <c r="BN562">
        <f>IFERROR(INDEX(PP_Grid[#Data],$DE562,63),0)</f>
        <v/>
      </c>
      <c r="BO562">
        <f>IFERROR(INDEX(PP_Grid[#Data],$DE562,64),0)</f>
        <v/>
      </c>
      <c r="BP562">
        <f>IFERROR(INDEX(PP_Grid[#Data],$DE562,65),0)</f>
        <v/>
      </c>
      <c r="BQ562">
        <f>IFERROR(INDEX(PP_Grid[#Data],$DE562,66),0)</f>
        <v/>
      </c>
      <c r="BR562">
        <f>IFERROR(INDEX(PP_Grid[#Data],$DE562,67),0)</f>
        <v/>
      </c>
      <c r="BS562">
        <f>IFERROR(INDEX(PP_Grid[#Data],$DE562,68),0)</f>
        <v/>
      </c>
      <c r="BT562">
        <f>IFERROR(INDEX(PP_Grid[#Data],$DE562,69),0)</f>
        <v/>
      </c>
      <c r="BU562">
        <f>IFERROR(INDEX(PP_Grid[#Data],$DE562,70),0)</f>
        <v/>
      </c>
      <c r="BV562">
        <f>IFERROR(INDEX(PP_Grid[#Data],$DE562,71),0)</f>
        <v/>
      </c>
      <c r="BW562">
        <f>IFERROR(INDEX(PP_Grid[#Data],$DE562,72),0)</f>
        <v/>
      </c>
      <c r="BX562">
        <f>IFERROR(INDEX(PP_Grid[#Data],$DE562,73),0)</f>
        <v/>
      </c>
      <c r="BY562">
        <f>IFERROR(INDEX(PP_Grid[#Data],$DE562,74),0)</f>
        <v/>
      </c>
      <c r="BZ562">
        <f>IFERROR(INDEX(PP_Grid[#Data],$DE562,75),0)</f>
        <v/>
      </c>
      <c r="CA562">
        <f>IFERROR(INDEX(PP_Grid[#Data],$DE562,76),0)</f>
        <v/>
      </c>
      <c r="CB562">
        <f>IFERROR(INDEX(PP_Grid[#Data],$DE562,77),0)</f>
        <v/>
      </c>
      <c r="CC562">
        <f>IFERROR(INDEX(PP_Grid[#Data],$DE562,78),0)</f>
        <v/>
      </c>
      <c r="CD562">
        <f>IFERROR(INDEX(PP_Grid[#Data],$DE562,79),0)</f>
        <v/>
      </c>
      <c r="CE562">
        <f>IFERROR(INDEX(PP_Grid[#Data],$DE562,80),0)</f>
        <v/>
      </c>
      <c r="CF562">
        <f>IFERROR(INDEX(PP_Grid[#Data],$DE562,81),0)</f>
        <v/>
      </c>
      <c r="CG562">
        <f>IFERROR(INDEX(PP_Grid[#Data],$DE562,82),0)</f>
        <v/>
      </c>
      <c r="CH562">
        <f>IFERROR(INDEX(PP_Grid[#Data],$DE562,83),0)</f>
        <v/>
      </c>
      <c r="CI562">
        <f>IFERROR(INDEX(PP_Grid[#Data],$DE562,84),0)</f>
        <v/>
      </c>
      <c r="CJ562">
        <f>IFERROR(INDEX(PP_Grid[#Data],$DE562,85),0)</f>
        <v/>
      </c>
      <c r="CK562">
        <f>IFERROR(INDEX(PP_Grid[#Data],$DE562,86),0)</f>
        <v/>
      </c>
      <c r="CL562">
        <f>IFERROR(INDEX(PP_Grid[#Data],$DE562,87),0)</f>
        <v/>
      </c>
      <c r="CM562">
        <f>IFERROR(INDEX(PP_Grid[#Data],$DE562,88),0)</f>
        <v/>
      </c>
      <c r="CN562">
        <f>IFERROR(INDEX(PP_Grid[#Data],$DE562,89),0)</f>
        <v/>
      </c>
      <c r="CO562">
        <f>IFERROR(INDEX(PP_Grid[#Data],$DE562,90),0)</f>
        <v/>
      </c>
      <c r="CP562">
        <f>IFERROR(INDEX(PP_Grid[#Data],$DE562,91),0)</f>
        <v/>
      </c>
      <c r="CQ562">
        <f>IFERROR(INDEX(PP_Grid[#Data],$DE562,92),0)</f>
        <v/>
      </c>
      <c r="CR562">
        <f>IFERROR(INDEX(PP_Grid[#Data],$DE562,93),0)</f>
        <v/>
      </c>
      <c r="CS562">
        <f>IFERROR(INDEX(PP_Grid[#Data],$DE562,94),0)</f>
        <v/>
      </c>
      <c r="CT562">
        <f>IFERROR(INDEX(PP_Grid[#Data],$DE562,95),0)</f>
        <v/>
      </c>
      <c r="CU562">
        <f>IFERROR(INDEX(PP_Grid[#Data],$DE562,96),0)</f>
        <v/>
      </c>
      <c r="CV562">
        <f>IFERROR(INDEX(PP_Grid[#Data],$DE562,97),0)</f>
        <v/>
      </c>
      <c r="CW562">
        <f>IFERROR(INDEX(PP_Grid[#Data],$DE562,98),0)</f>
        <v/>
      </c>
      <c r="CX562">
        <f>IFERROR(INDEX(PP_Grid[#Data],$DE562,99),0)</f>
        <v/>
      </c>
      <c r="CY562">
        <f>IFERROR(INDEX(PP_Grid[#Data],$DE562,100),0)</f>
        <v/>
      </c>
      <c r="CZ562">
        <f>IFERROR(INDEX(PP_Grid[#Data],$DE562,101),0)</f>
        <v/>
      </c>
      <c r="DA562">
        <f>IFERROR(INDEX(PP_Grid[#Data],$DE562,102),0)</f>
        <v/>
      </c>
      <c r="DB562">
        <f>IFERROR(INDEX(PP_Grid[#Data],$DE562,103),0)</f>
        <v/>
      </c>
      <c r="DC562">
        <f>IFERROR(INDEX(PP_Grid[#Data],$DE562,104),0)</f>
        <v/>
      </c>
      <c r="DD562">
        <f>IFERROR(INDEX(PP_Grid[#Data],$DE562,105),0)</f>
        <v/>
      </c>
      <c r="DE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SUMIFS(M_BOM[RM_Qty_Per_Batch],M_BOM[Intermediate],$B562,M_BOM[RM_Code],$A515)</f>
        <v/>
      </c>
      <c r="D563">
        <f>IFERROR(INDEX(E563:DD563,$F$1),"")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  <c r="DD563">
        <f>$C563*DD562</f>
        <v/>
      </c>
    </row>
    <row r="564">
      <c r="B564" t="inlineStr">
        <is>
          <t>TSP-924</t>
        </is>
      </c>
      <c r="C564" t="inlineStr">
        <is>
          <t>No. of batches</t>
        </is>
      </c>
      <c r="D564">
        <f>IFERROR(INDEX(E564:DD564,$F$1),"")</f>
        <v/>
      </c>
      <c r="E564">
        <f>IFERROR(INDEX(PP_Grid[#Data],$DE564,2),0)</f>
        <v/>
      </c>
      <c r="F564">
        <f>IFERROR(INDEX(PP_Grid[#Data],$DE564,3),0)</f>
        <v/>
      </c>
      <c r="G564">
        <f>IFERROR(INDEX(PP_Grid[#Data],$DE564,4),0)</f>
        <v/>
      </c>
      <c r="H564">
        <f>IFERROR(INDEX(PP_Grid[#Data],$DE564,5),0)</f>
        <v/>
      </c>
      <c r="I564">
        <f>IFERROR(INDEX(PP_Grid[#Data],$DE564,6),0)</f>
        <v/>
      </c>
      <c r="J564">
        <f>IFERROR(INDEX(PP_Grid[#Data],$DE564,7),0)</f>
        <v/>
      </c>
      <c r="K564">
        <f>IFERROR(INDEX(PP_Grid[#Data],$DE564,8),0)</f>
        <v/>
      </c>
      <c r="L564">
        <f>IFERROR(INDEX(PP_Grid[#Data],$DE564,9),0)</f>
        <v/>
      </c>
      <c r="M564">
        <f>IFERROR(INDEX(PP_Grid[#Data],$DE564,10),0)</f>
        <v/>
      </c>
      <c r="N564">
        <f>IFERROR(INDEX(PP_Grid[#Data],$DE564,11),0)</f>
        <v/>
      </c>
      <c r="O564">
        <f>IFERROR(INDEX(PP_Grid[#Data],$DE564,12),0)</f>
        <v/>
      </c>
      <c r="P564">
        <f>IFERROR(INDEX(PP_Grid[#Data],$DE564,13),0)</f>
        <v/>
      </c>
      <c r="Q564">
        <f>IFERROR(INDEX(PP_Grid[#Data],$DE564,14),0)</f>
        <v/>
      </c>
      <c r="R564">
        <f>IFERROR(INDEX(PP_Grid[#Data],$DE564,15),0)</f>
        <v/>
      </c>
      <c r="S564">
        <f>IFERROR(INDEX(PP_Grid[#Data],$DE564,16),0)</f>
        <v/>
      </c>
      <c r="T564">
        <f>IFERROR(INDEX(PP_Grid[#Data],$DE564,17),0)</f>
        <v/>
      </c>
      <c r="U564">
        <f>IFERROR(INDEX(PP_Grid[#Data],$DE564,18),0)</f>
        <v/>
      </c>
      <c r="V564">
        <f>IFERROR(INDEX(PP_Grid[#Data],$DE564,19),0)</f>
        <v/>
      </c>
      <c r="W564">
        <f>IFERROR(INDEX(PP_Grid[#Data],$DE564,20),0)</f>
        <v/>
      </c>
      <c r="X564">
        <f>IFERROR(INDEX(PP_Grid[#Data],$DE564,21),0)</f>
        <v/>
      </c>
      <c r="Y564">
        <f>IFERROR(INDEX(PP_Grid[#Data],$DE564,22),0)</f>
        <v/>
      </c>
      <c r="Z564">
        <f>IFERROR(INDEX(PP_Grid[#Data],$DE564,23),0)</f>
        <v/>
      </c>
      <c r="AA564">
        <f>IFERROR(INDEX(PP_Grid[#Data],$DE564,24),0)</f>
        <v/>
      </c>
      <c r="AB564">
        <f>IFERROR(INDEX(PP_Grid[#Data],$DE564,25),0)</f>
        <v/>
      </c>
      <c r="AC564">
        <f>IFERROR(INDEX(PP_Grid[#Data],$DE564,26),0)</f>
        <v/>
      </c>
      <c r="AD564">
        <f>IFERROR(INDEX(PP_Grid[#Data],$DE564,27),0)</f>
        <v/>
      </c>
      <c r="AE564">
        <f>IFERROR(INDEX(PP_Grid[#Data],$DE564,28),0)</f>
        <v/>
      </c>
      <c r="AF564">
        <f>IFERROR(INDEX(PP_Grid[#Data],$DE564,29),0)</f>
        <v/>
      </c>
      <c r="AG564">
        <f>IFERROR(INDEX(PP_Grid[#Data],$DE564,30),0)</f>
        <v/>
      </c>
      <c r="AH564">
        <f>IFERROR(INDEX(PP_Grid[#Data],$DE564,31),0)</f>
        <v/>
      </c>
      <c r="AI564">
        <f>IFERROR(INDEX(PP_Grid[#Data],$DE564,32),0)</f>
        <v/>
      </c>
      <c r="AJ564">
        <f>IFERROR(INDEX(PP_Grid[#Data],$DE564,33),0)</f>
        <v/>
      </c>
      <c r="AK564">
        <f>IFERROR(INDEX(PP_Grid[#Data],$DE564,34),0)</f>
        <v/>
      </c>
      <c r="AL564">
        <f>IFERROR(INDEX(PP_Grid[#Data],$DE564,35),0)</f>
        <v/>
      </c>
      <c r="AM564">
        <f>IFERROR(INDEX(PP_Grid[#Data],$DE564,36),0)</f>
        <v/>
      </c>
      <c r="AN564">
        <f>IFERROR(INDEX(PP_Grid[#Data],$DE564,37),0)</f>
        <v/>
      </c>
      <c r="AO564">
        <f>IFERROR(INDEX(PP_Grid[#Data],$DE564,38),0)</f>
        <v/>
      </c>
      <c r="AP564">
        <f>IFERROR(INDEX(PP_Grid[#Data],$DE564,39),0)</f>
        <v/>
      </c>
      <c r="AQ564">
        <f>IFERROR(INDEX(PP_Grid[#Data],$DE564,40),0)</f>
        <v/>
      </c>
      <c r="AR564">
        <f>IFERROR(INDEX(PP_Grid[#Data],$DE564,41),0)</f>
        <v/>
      </c>
      <c r="AS564">
        <f>IFERROR(INDEX(PP_Grid[#Data],$DE564,42),0)</f>
        <v/>
      </c>
      <c r="AT564">
        <f>IFERROR(INDEX(PP_Grid[#Data],$DE564,43),0)</f>
        <v/>
      </c>
      <c r="AU564">
        <f>IFERROR(INDEX(PP_Grid[#Data],$DE564,44),0)</f>
        <v/>
      </c>
      <c r="AV564">
        <f>IFERROR(INDEX(PP_Grid[#Data],$DE564,45),0)</f>
        <v/>
      </c>
      <c r="AW564">
        <f>IFERROR(INDEX(PP_Grid[#Data],$DE564,46),0)</f>
        <v/>
      </c>
      <c r="AX564">
        <f>IFERROR(INDEX(PP_Grid[#Data],$DE564,47),0)</f>
        <v/>
      </c>
      <c r="AY564">
        <f>IFERROR(INDEX(PP_Grid[#Data],$DE564,48),0)</f>
        <v/>
      </c>
      <c r="AZ564">
        <f>IFERROR(INDEX(PP_Grid[#Data],$DE564,49),0)</f>
        <v/>
      </c>
      <c r="BA564">
        <f>IFERROR(INDEX(PP_Grid[#Data],$DE564,50),0)</f>
        <v/>
      </c>
      <c r="BB564">
        <f>IFERROR(INDEX(PP_Grid[#Data],$DE564,51),0)</f>
        <v/>
      </c>
      <c r="BC564">
        <f>IFERROR(INDEX(PP_Grid[#Data],$DE564,52),0)</f>
        <v/>
      </c>
      <c r="BD564">
        <f>IFERROR(INDEX(PP_Grid[#Data],$DE564,53),0)</f>
        <v/>
      </c>
      <c r="BE564">
        <f>IFERROR(INDEX(PP_Grid[#Data],$DE564,54),0)</f>
        <v/>
      </c>
      <c r="BF564">
        <f>IFERROR(INDEX(PP_Grid[#Data],$DE564,55),0)</f>
        <v/>
      </c>
      <c r="BG564">
        <f>IFERROR(INDEX(PP_Grid[#Data],$DE564,56),0)</f>
        <v/>
      </c>
      <c r="BH564">
        <f>IFERROR(INDEX(PP_Grid[#Data],$DE564,57),0)</f>
        <v/>
      </c>
      <c r="BI564">
        <f>IFERROR(INDEX(PP_Grid[#Data],$DE564,58),0)</f>
        <v/>
      </c>
      <c r="BJ564">
        <f>IFERROR(INDEX(PP_Grid[#Data],$DE564,59),0)</f>
        <v/>
      </c>
      <c r="BK564">
        <f>IFERROR(INDEX(PP_Grid[#Data],$DE564,60),0)</f>
        <v/>
      </c>
      <c r="BL564">
        <f>IFERROR(INDEX(PP_Grid[#Data],$DE564,61),0)</f>
        <v/>
      </c>
      <c r="BM564">
        <f>IFERROR(INDEX(PP_Grid[#Data],$DE564,62),0)</f>
        <v/>
      </c>
      <c r="BN564">
        <f>IFERROR(INDEX(PP_Grid[#Data],$DE564,63),0)</f>
        <v/>
      </c>
      <c r="BO564">
        <f>IFERROR(INDEX(PP_Grid[#Data],$DE564,64),0)</f>
        <v/>
      </c>
      <c r="BP564">
        <f>IFERROR(INDEX(PP_Grid[#Data],$DE564,65),0)</f>
        <v/>
      </c>
      <c r="BQ564">
        <f>IFERROR(INDEX(PP_Grid[#Data],$DE564,66),0)</f>
        <v/>
      </c>
      <c r="BR564">
        <f>IFERROR(INDEX(PP_Grid[#Data],$DE564,67),0)</f>
        <v/>
      </c>
      <c r="BS564">
        <f>IFERROR(INDEX(PP_Grid[#Data],$DE564,68),0)</f>
        <v/>
      </c>
      <c r="BT564">
        <f>IFERROR(INDEX(PP_Grid[#Data],$DE564,69),0)</f>
        <v/>
      </c>
      <c r="BU564">
        <f>IFERROR(INDEX(PP_Grid[#Data],$DE564,70),0)</f>
        <v/>
      </c>
      <c r="BV564">
        <f>IFERROR(INDEX(PP_Grid[#Data],$DE564,71),0)</f>
        <v/>
      </c>
      <c r="BW564">
        <f>IFERROR(INDEX(PP_Grid[#Data],$DE564,72),0)</f>
        <v/>
      </c>
      <c r="BX564">
        <f>IFERROR(INDEX(PP_Grid[#Data],$DE564,73),0)</f>
        <v/>
      </c>
      <c r="BY564">
        <f>IFERROR(INDEX(PP_Grid[#Data],$DE564,74),0)</f>
        <v/>
      </c>
      <c r="BZ564">
        <f>IFERROR(INDEX(PP_Grid[#Data],$DE564,75),0)</f>
        <v/>
      </c>
      <c r="CA564">
        <f>IFERROR(INDEX(PP_Grid[#Data],$DE564,76),0)</f>
        <v/>
      </c>
      <c r="CB564">
        <f>IFERROR(INDEX(PP_Grid[#Data],$DE564,77),0)</f>
        <v/>
      </c>
      <c r="CC564">
        <f>IFERROR(INDEX(PP_Grid[#Data],$DE564,78),0)</f>
        <v/>
      </c>
      <c r="CD564">
        <f>IFERROR(INDEX(PP_Grid[#Data],$DE564,79),0)</f>
        <v/>
      </c>
      <c r="CE564">
        <f>IFERROR(INDEX(PP_Grid[#Data],$DE564,80),0)</f>
        <v/>
      </c>
      <c r="CF564">
        <f>IFERROR(INDEX(PP_Grid[#Data],$DE564,81),0)</f>
        <v/>
      </c>
      <c r="CG564">
        <f>IFERROR(INDEX(PP_Grid[#Data],$DE564,82),0)</f>
        <v/>
      </c>
      <c r="CH564">
        <f>IFERROR(INDEX(PP_Grid[#Data],$DE564,83),0)</f>
        <v/>
      </c>
      <c r="CI564">
        <f>IFERROR(INDEX(PP_Grid[#Data],$DE564,84),0)</f>
        <v/>
      </c>
      <c r="CJ564">
        <f>IFERROR(INDEX(PP_Grid[#Data],$DE564,85),0)</f>
        <v/>
      </c>
      <c r="CK564">
        <f>IFERROR(INDEX(PP_Grid[#Data],$DE564,86),0)</f>
        <v/>
      </c>
      <c r="CL564">
        <f>IFERROR(INDEX(PP_Grid[#Data],$DE564,87),0)</f>
        <v/>
      </c>
      <c r="CM564">
        <f>IFERROR(INDEX(PP_Grid[#Data],$DE564,88),0)</f>
        <v/>
      </c>
      <c r="CN564">
        <f>IFERROR(INDEX(PP_Grid[#Data],$DE564,89),0)</f>
        <v/>
      </c>
      <c r="CO564">
        <f>IFERROR(INDEX(PP_Grid[#Data],$DE564,90),0)</f>
        <v/>
      </c>
      <c r="CP564">
        <f>IFERROR(INDEX(PP_Grid[#Data],$DE564,91),0)</f>
        <v/>
      </c>
      <c r="CQ564">
        <f>IFERROR(INDEX(PP_Grid[#Data],$DE564,92),0)</f>
        <v/>
      </c>
      <c r="CR564">
        <f>IFERROR(INDEX(PP_Grid[#Data],$DE564,93),0)</f>
        <v/>
      </c>
      <c r="CS564">
        <f>IFERROR(INDEX(PP_Grid[#Data],$DE564,94),0)</f>
        <v/>
      </c>
      <c r="CT564">
        <f>IFERROR(INDEX(PP_Grid[#Data],$DE564,95),0)</f>
        <v/>
      </c>
      <c r="CU564">
        <f>IFERROR(INDEX(PP_Grid[#Data],$DE564,96),0)</f>
        <v/>
      </c>
      <c r="CV564">
        <f>IFERROR(INDEX(PP_Grid[#Data],$DE564,97),0)</f>
        <v/>
      </c>
      <c r="CW564">
        <f>IFERROR(INDEX(PP_Grid[#Data],$DE564,98),0)</f>
        <v/>
      </c>
      <c r="CX564">
        <f>IFERROR(INDEX(PP_Grid[#Data],$DE564,99),0)</f>
        <v/>
      </c>
      <c r="CY564">
        <f>IFERROR(INDEX(PP_Grid[#Data],$DE564,100),0)</f>
        <v/>
      </c>
      <c r="CZ564">
        <f>IFERROR(INDEX(PP_Grid[#Data],$DE564,101),0)</f>
        <v/>
      </c>
      <c r="DA564">
        <f>IFERROR(INDEX(PP_Grid[#Data],$DE564,102),0)</f>
        <v/>
      </c>
      <c r="DB564">
        <f>IFERROR(INDEX(PP_Grid[#Data],$DE564,103),0)</f>
        <v/>
      </c>
      <c r="DC564">
        <f>IFERROR(INDEX(PP_Grid[#Data],$DE564,104),0)</f>
        <v/>
      </c>
      <c r="DD564">
        <f>IFERROR(INDEX(PP_Grid[#Data],$DE564,105),0)</f>
        <v/>
      </c>
      <c r="DE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SUMIFS(M_BOM[RM_Qty_Per_Batch],M_BOM[Intermediate],$B564,M_BOM[RM_Code],$A515)</f>
        <v/>
      </c>
      <c r="D565">
        <f>IFERROR(INDEX(E565:DD565,$F$1),"")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  <c r="DD565">
        <f>$C565*DD564</f>
        <v/>
      </c>
    </row>
    <row r="566">
      <c r="B566" t="inlineStr">
        <is>
          <t>TSP-925</t>
        </is>
      </c>
      <c r="C566" t="inlineStr">
        <is>
          <t>No. of batches</t>
        </is>
      </c>
      <c r="D566">
        <f>IFERROR(INDEX(E566:DD566,$F$1),"")</f>
        <v/>
      </c>
      <c r="E566">
        <f>IFERROR(INDEX(PP_Grid[#Data],$DE566,2),0)</f>
        <v/>
      </c>
      <c r="F566">
        <f>IFERROR(INDEX(PP_Grid[#Data],$DE566,3),0)</f>
        <v/>
      </c>
      <c r="G566">
        <f>IFERROR(INDEX(PP_Grid[#Data],$DE566,4),0)</f>
        <v/>
      </c>
      <c r="H566">
        <f>IFERROR(INDEX(PP_Grid[#Data],$DE566,5),0)</f>
        <v/>
      </c>
      <c r="I566">
        <f>IFERROR(INDEX(PP_Grid[#Data],$DE566,6),0)</f>
        <v/>
      </c>
      <c r="J566">
        <f>IFERROR(INDEX(PP_Grid[#Data],$DE566,7),0)</f>
        <v/>
      </c>
      <c r="K566">
        <f>IFERROR(INDEX(PP_Grid[#Data],$DE566,8),0)</f>
        <v/>
      </c>
      <c r="L566">
        <f>IFERROR(INDEX(PP_Grid[#Data],$DE566,9),0)</f>
        <v/>
      </c>
      <c r="M566">
        <f>IFERROR(INDEX(PP_Grid[#Data],$DE566,10),0)</f>
        <v/>
      </c>
      <c r="N566">
        <f>IFERROR(INDEX(PP_Grid[#Data],$DE566,11),0)</f>
        <v/>
      </c>
      <c r="O566">
        <f>IFERROR(INDEX(PP_Grid[#Data],$DE566,12),0)</f>
        <v/>
      </c>
      <c r="P566">
        <f>IFERROR(INDEX(PP_Grid[#Data],$DE566,13),0)</f>
        <v/>
      </c>
      <c r="Q566">
        <f>IFERROR(INDEX(PP_Grid[#Data],$DE566,14),0)</f>
        <v/>
      </c>
      <c r="R566">
        <f>IFERROR(INDEX(PP_Grid[#Data],$DE566,15),0)</f>
        <v/>
      </c>
      <c r="S566">
        <f>IFERROR(INDEX(PP_Grid[#Data],$DE566,16),0)</f>
        <v/>
      </c>
      <c r="T566">
        <f>IFERROR(INDEX(PP_Grid[#Data],$DE566,17),0)</f>
        <v/>
      </c>
      <c r="U566">
        <f>IFERROR(INDEX(PP_Grid[#Data],$DE566,18),0)</f>
        <v/>
      </c>
      <c r="V566">
        <f>IFERROR(INDEX(PP_Grid[#Data],$DE566,19),0)</f>
        <v/>
      </c>
      <c r="W566">
        <f>IFERROR(INDEX(PP_Grid[#Data],$DE566,20),0)</f>
        <v/>
      </c>
      <c r="X566">
        <f>IFERROR(INDEX(PP_Grid[#Data],$DE566,21),0)</f>
        <v/>
      </c>
      <c r="Y566">
        <f>IFERROR(INDEX(PP_Grid[#Data],$DE566,22),0)</f>
        <v/>
      </c>
      <c r="Z566">
        <f>IFERROR(INDEX(PP_Grid[#Data],$DE566,23),0)</f>
        <v/>
      </c>
      <c r="AA566">
        <f>IFERROR(INDEX(PP_Grid[#Data],$DE566,24),0)</f>
        <v/>
      </c>
      <c r="AB566">
        <f>IFERROR(INDEX(PP_Grid[#Data],$DE566,25),0)</f>
        <v/>
      </c>
      <c r="AC566">
        <f>IFERROR(INDEX(PP_Grid[#Data],$DE566,26),0)</f>
        <v/>
      </c>
      <c r="AD566">
        <f>IFERROR(INDEX(PP_Grid[#Data],$DE566,27),0)</f>
        <v/>
      </c>
      <c r="AE566">
        <f>IFERROR(INDEX(PP_Grid[#Data],$DE566,28),0)</f>
        <v/>
      </c>
      <c r="AF566">
        <f>IFERROR(INDEX(PP_Grid[#Data],$DE566,29),0)</f>
        <v/>
      </c>
      <c r="AG566">
        <f>IFERROR(INDEX(PP_Grid[#Data],$DE566,30),0)</f>
        <v/>
      </c>
      <c r="AH566">
        <f>IFERROR(INDEX(PP_Grid[#Data],$DE566,31),0)</f>
        <v/>
      </c>
      <c r="AI566">
        <f>IFERROR(INDEX(PP_Grid[#Data],$DE566,32),0)</f>
        <v/>
      </c>
      <c r="AJ566">
        <f>IFERROR(INDEX(PP_Grid[#Data],$DE566,33),0)</f>
        <v/>
      </c>
      <c r="AK566">
        <f>IFERROR(INDEX(PP_Grid[#Data],$DE566,34),0)</f>
        <v/>
      </c>
      <c r="AL566">
        <f>IFERROR(INDEX(PP_Grid[#Data],$DE566,35),0)</f>
        <v/>
      </c>
      <c r="AM566">
        <f>IFERROR(INDEX(PP_Grid[#Data],$DE566,36),0)</f>
        <v/>
      </c>
      <c r="AN566">
        <f>IFERROR(INDEX(PP_Grid[#Data],$DE566,37),0)</f>
        <v/>
      </c>
      <c r="AO566">
        <f>IFERROR(INDEX(PP_Grid[#Data],$DE566,38),0)</f>
        <v/>
      </c>
      <c r="AP566">
        <f>IFERROR(INDEX(PP_Grid[#Data],$DE566,39),0)</f>
        <v/>
      </c>
      <c r="AQ566">
        <f>IFERROR(INDEX(PP_Grid[#Data],$DE566,40),0)</f>
        <v/>
      </c>
      <c r="AR566">
        <f>IFERROR(INDEX(PP_Grid[#Data],$DE566,41),0)</f>
        <v/>
      </c>
      <c r="AS566">
        <f>IFERROR(INDEX(PP_Grid[#Data],$DE566,42),0)</f>
        <v/>
      </c>
      <c r="AT566">
        <f>IFERROR(INDEX(PP_Grid[#Data],$DE566,43),0)</f>
        <v/>
      </c>
      <c r="AU566">
        <f>IFERROR(INDEX(PP_Grid[#Data],$DE566,44),0)</f>
        <v/>
      </c>
      <c r="AV566">
        <f>IFERROR(INDEX(PP_Grid[#Data],$DE566,45),0)</f>
        <v/>
      </c>
      <c r="AW566">
        <f>IFERROR(INDEX(PP_Grid[#Data],$DE566,46),0)</f>
        <v/>
      </c>
      <c r="AX566">
        <f>IFERROR(INDEX(PP_Grid[#Data],$DE566,47),0)</f>
        <v/>
      </c>
      <c r="AY566">
        <f>IFERROR(INDEX(PP_Grid[#Data],$DE566,48),0)</f>
        <v/>
      </c>
      <c r="AZ566">
        <f>IFERROR(INDEX(PP_Grid[#Data],$DE566,49),0)</f>
        <v/>
      </c>
      <c r="BA566">
        <f>IFERROR(INDEX(PP_Grid[#Data],$DE566,50),0)</f>
        <v/>
      </c>
      <c r="BB566">
        <f>IFERROR(INDEX(PP_Grid[#Data],$DE566,51),0)</f>
        <v/>
      </c>
      <c r="BC566">
        <f>IFERROR(INDEX(PP_Grid[#Data],$DE566,52),0)</f>
        <v/>
      </c>
      <c r="BD566">
        <f>IFERROR(INDEX(PP_Grid[#Data],$DE566,53),0)</f>
        <v/>
      </c>
      <c r="BE566">
        <f>IFERROR(INDEX(PP_Grid[#Data],$DE566,54),0)</f>
        <v/>
      </c>
      <c r="BF566">
        <f>IFERROR(INDEX(PP_Grid[#Data],$DE566,55),0)</f>
        <v/>
      </c>
      <c r="BG566">
        <f>IFERROR(INDEX(PP_Grid[#Data],$DE566,56),0)</f>
        <v/>
      </c>
      <c r="BH566">
        <f>IFERROR(INDEX(PP_Grid[#Data],$DE566,57),0)</f>
        <v/>
      </c>
      <c r="BI566">
        <f>IFERROR(INDEX(PP_Grid[#Data],$DE566,58),0)</f>
        <v/>
      </c>
      <c r="BJ566">
        <f>IFERROR(INDEX(PP_Grid[#Data],$DE566,59),0)</f>
        <v/>
      </c>
      <c r="BK566">
        <f>IFERROR(INDEX(PP_Grid[#Data],$DE566,60),0)</f>
        <v/>
      </c>
      <c r="BL566">
        <f>IFERROR(INDEX(PP_Grid[#Data],$DE566,61),0)</f>
        <v/>
      </c>
      <c r="BM566">
        <f>IFERROR(INDEX(PP_Grid[#Data],$DE566,62),0)</f>
        <v/>
      </c>
      <c r="BN566">
        <f>IFERROR(INDEX(PP_Grid[#Data],$DE566,63),0)</f>
        <v/>
      </c>
      <c r="BO566">
        <f>IFERROR(INDEX(PP_Grid[#Data],$DE566,64),0)</f>
        <v/>
      </c>
      <c r="BP566">
        <f>IFERROR(INDEX(PP_Grid[#Data],$DE566,65),0)</f>
        <v/>
      </c>
      <c r="BQ566">
        <f>IFERROR(INDEX(PP_Grid[#Data],$DE566,66),0)</f>
        <v/>
      </c>
      <c r="BR566">
        <f>IFERROR(INDEX(PP_Grid[#Data],$DE566,67),0)</f>
        <v/>
      </c>
      <c r="BS566">
        <f>IFERROR(INDEX(PP_Grid[#Data],$DE566,68),0)</f>
        <v/>
      </c>
      <c r="BT566">
        <f>IFERROR(INDEX(PP_Grid[#Data],$DE566,69),0)</f>
        <v/>
      </c>
      <c r="BU566">
        <f>IFERROR(INDEX(PP_Grid[#Data],$DE566,70),0)</f>
        <v/>
      </c>
      <c r="BV566">
        <f>IFERROR(INDEX(PP_Grid[#Data],$DE566,71),0)</f>
        <v/>
      </c>
      <c r="BW566">
        <f>IFERROR(INDEX(PP_Grid[#Data],$DE566,72),0)</f>
        <v/>
      </c>
      <c r="BX566">
        <f>IFERROR(INDEX(PP_Grid[#Data],$DE566,73),0)</f>
        <v/>
      </c>
      <c r="BY566">
        <f>IFERROR(INDEX(PP_Grid[#Data],$DE566,74),0)</f>
        <v/>
      </c>
      <c r="BZ566">
        <f>IFERROR(INDEX(PP_Grid[#Data],$DE566,75),0)</f>
        <v/>
      </c>
      <c r="CA566">
        <f>IFERROR(INDEX(PP_Grid[#Data],$DE566,76),0)</f>
        <v/>
      </c>
      <c r="CB566">
        <f>IFERROR(INDEX(PP_Grid[#Data],$DE566,77),0)</f>
        <v/>
      </c>
      <c r="CC566">
        <f>IFERROR(INDEX(PP_Grid[#Data],$DE566,78),0)</f>
        <v/>
      </c>
      <c r="CD566">
        <f>IFERROR(INDEX(PP_Grid[#Data],$DE566,79),0)</f>
        <v/>
      </c>
      <c r="CE566">
        <f>IFERROR(INDEX(PP_Grid[#Data],$DE566,80),0)</f>
        <v/>
      </c>
      <c r="CF566">
        <f>IFERROR(INDEX(PP_Grid[#Data],$DE566,81),0)</f>
        <v/>
      </c>
      <c r="CG566">
        <f>IFERROR(INDEX(PP_Grid[#Data],$DE566,82),0)</f>
        <v/>
      </c>
      <c r="CH566">
        <f>IFERROR(INDEX(PP_Grid[#Data],$DE566,83),0)</f>
        <v/>
      </c>
      <c r="CI566">
        <f>IFERROR(INDEX(PP_Grid[#Data],$DE566,84),0)</f>
        <v/>
      </c>
      <c r="CJ566">
        <f>IFERROR(INDEX(PP_Grid[#Data],$DE566,85),0)</f>
        <v/>
      </c>
      <c r="CK566">
        <f>IFERROR(INDEX(PP_Grid[#Data],$DE566,86),0)</f>
        <v/>
      </c>
      <c r="CL566">
        <f>IFERROR(INDEX(PP_Grid[#Data],$DE566,87),0)</f>
        <v/>
      </c>
      <c r="CM566">
        <f>IFERROR(INDEX(PP_Grid[#Data],$DE566,88),0)</f>
        <v/>
      </c>
      <c r="CN566">
        <f>IFERROR(INDEX(PP_Grid[#Data],$DE566,89),0)</f>
        <v/>
      </c>
      <c r="CO566">
        <f>IFERROR(INDEX(PP_Grid[#Data],$DE566,90),0)</f>
        <v/>
      </c>
      <c r="CP566">
        <f>IFERROR(INDEX(PP_Grid[#Data],$DE566,91),0)</f>
        <v/>
      </c>
      <c r="CQ566">
        <f>IFERROR(INDEX(PP_Grid[#Data],$DE566,92),0)</f>
        <v/>
      </c>
      <c r="CR566">
        <f>IFERROR(INDEX(PP_Grid[#Data],$DE566,93),0)</f>
        <v/>
      </c>
      <c r="CS566">
        <f>IFERROR(INDEX(PP_Grid[#Data],$DE566,94),0)</f>
        <v/>
      </c>
      <c r="CT566">
        <f>IFERROR(INDEX(PP_Grid[#Data],$DE566,95),0)</f>
        <v/>
      </c>
      <c r="CU566">
        <f>IFERROR(INDEX(PP_Grid[#Data],$DE566,96),0)</f>
        <v/>
      </c>
      <c r="CV566">
        <f>IFERROR(INDEX(PP_Grid[#Data],$DE566,97),0)</f>
        <v/>
      </c>
      <c r="CW566">
        <f>IFERROR(INDEX(PP_Grid[#Data],$DE566,98),0)</f>
        <v/>
      </c>
      <c r="CX566">
        <f>IFERROR(INDEX(PP_Grid[#Data],$DE566,99),0)</f>
        <v/>
      </c>
      <c r="CY566">
        <f>IFERROR(INDEX(PP_Grid[#Data],$DE566,100),0)</f>
        <v/>
      </c>
      <c r="CZ566">
        <f>IFERROR(INDEX(PP_Grid[#Data],$DE566,101),0)</f>
        <v/>
      </c>
      <c r="DA566">
        <f>IFERROR(INDEX(PP_Grid[#Data],$DE566,102),0)</f>
        <v/>
      </c>
      <c r="DB566">
        <f>IFERROR(INDEX(PP_Grid[#Data],$DE566,103),0)</f>
        <v/>
      </c>
      <c r="DC566">
        <f>IFERROR(INDEX(PP_Grid[#Data],$DE566,104),0)</f>
        <v/>
      </c>
      <c r="DD566">
        <f>IFERROR(INDEX(PP_Grid[#Data],$DE566,105),0)</f>
        <v/>
      </c>
      <c r="DE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SUMIFS(M_BOM[RM_Qty_Per_Batch],M_BOM[Intermediate],$B566,M_BOM[RM_Code],$A515)</f>
        <v/>
      </c>
      <c r="D567">
        <f>IFERROR(INDEX(E567:DD567,$F$1),"")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  <c r="DD567">
        <f>$C567*DD566</f>
        <v/>
      </c>
    </row>
    <row r="568">
      <c r="B568" t="inlineStr">
        <is>
          <t>TSP-927</t>
        </is>
      </c>
      <c r="C568" t="inlineStr">
        <is>
          <t>No. of batches</t>
        </is>
      </c>
      <c r="D568">
        <f>IFERROR(INDEX(E568:DD568,$F$1),"")</f>
        <v/>
      </c>
      <c r="E568">
        <f>IFERROR(INDEX(PP_Grid[#Data],$DE568,2),0)</f>
        <v/>
      </c>
      <c r="F568">
        <f>IFERROR(INDEX(PP_Grid[#Data],$DE568,3),0)</f>
        <v/>
      </c>
      <c r="G568">
        <f>IFERROR(INDEX(PP_Grid[#Data],$DE568,4),0)</f>
        <v/>
      </c>
      <c r="H568">
        <f>IFERROR(INDEX(PP_Grid[#Data],$DE568,5),0)</f>
        <v/>
      </c>
      <c r="I568">
        <f>IFERROR(INDEX(PP_Grid[#Data],$DE568,6),0)</f>
        <v/>
      </c>
      <c r="J568">
        <f>IFERROR(INDEX(PP_Grid[#Data],$DE568,7),0)</f>
        <v/>
      </c>
      <c r="K568">
        <f>IFERROR(INDEX(PP_Grid[#Data],$DE568,8),0)</f>
        <v/>
      </c>
      <c r="L568">
        <f>IFERROR(INDEX(PP_Grid[#Data],$DE568,9),0)</f>
        <v/>
      </c>
      <c r="M568">
        <f>IFERROR(INDEX(PP_Grid[#Data],$DE568,10),0)</f>
        <v/>
      </c>
      <c r="N568">
        <f>IFERROR(INDEX(PP_Grid[#Data],$DE568,11),0)</f>
        <v/>
      </c>
      <c r="O568">
        <f>IFERROR(INDEX(PP_Grid[#Data],$DE568,12),0)</f>
        <v/>
      </c>
      <c r="P568">
        <f>IFERROR(INDEX(PP_Grid[#Data],$DE568,13),0)</f>
        <v/>
      </c>
      <c r="Q568">
        <f>IFERROR(INDEX(PP_Grid[#Data],$DE568,14),0)</f>
        <v/>
      </c>
      <c r="R568">
        <f>IFERROR(INDEX(PP_Grid[#Data],$DE568,15),0)</f>
        <v/>
      </c>
      <c r="S568">
        <f>IFERROR(INDEX(PP_Grid[#Data],$DE568,16),0)</f>
        <v/>
      </c>
      <c r="T568">
        <f>IFERROR(INDEX(PP_Grid[#Data],$DE568,17),0)</f>
        <v/>
      </c>
      <c r="U568">
        <f>IFERROR(INDEX(PP_Grid[#Data],$DE568,18),0)</f>
        <v/>
      </c>
      <c r="V568">
        <f>IFERROR(INDEX(PP_Grid[#Data],$DE568,19),0)</f>
        <v/>
      </c>
      <c r="W568">
        <f>IFERROR(INDEX(PP_Grid[#Data],$DE568,20),0)</f>
        <v/>
      </c>
      <c r="X568">
        <f>IFERROR(INDEX(PP_Grid[#Data],$DE568,21),0)</f>
        <v/>
      </c>
      <c r="Y568">
        <f>IFERROR(INDEX(PP_Grid[#Data],$DE568,22),0)</f>
        <v/>
      </c>
      <c r="Z568">
        <f>IFERROR(INDEX(PP_Grid[#Data],$DE568,23),0)</f>
        <v/>
      </c>
      <c r="AA568">
        <f>IFERROR(INDEX(PP_Grid[#Data],$DE568,24),0)</f>
        <v/>
      </c>
      <c r="AB568">
        <f>IFERROR(INDEX(PP_Grid[#Data],$DE568,25),0)</f>
        <v/>
      </c>
      <c r="AC568">
        <f>IFERROR(INDEX(PP_Grid[#Data],$DE568,26),0)</f>
        <v/>
      </c>
      <c r="AD568">
        <f>IFERROR(INDEX(PP_Grid[#Data],$DE568,27),0)</f>
        <v/>
      </c>
      <c r="AE568">
        <f>IFERROR(INDEX(PP_Grid[#Data],$DE568,28),0)</f>
        <v/>
      </c>
      <c r="AF568">
        <f>IFERROR(INDEX(PP_Grid[#Data],$DE568,29),0)</f>
        <v/>
      </c>
      <c r="AG568">
        <f>IFERROR(INDEX(PP_Grid[#Data],$DE568,30),0)</f>
        <v/>
      </c>
      <c r="AH568">
        <f>IFERROR(INDEX(PP_Grid[#Data],$DE568,31),0)</f>
        <v/>
      </c>
      <c r="AI568">
        <f>IFERROR(INDEX(PP_Grid[#Data],$DE568,32),0)</f>
        <v/>
      </c>
      <c r="AJ568">
        <f>IFERROR(INDEX(PP_Grid[#Data],$DE568,33),0)</f>
        <v/>
      </c>
      <c r="AK568">
        <f>IFERROR(INDEX(PP_Grid[#Data],$DE568,34),0)</f>
        <v/>
      </c>
      <c r="AL568">
        <f>IFERROR(INDEX(PP_Grid[#Data],$DE568,35),0)</f>
        <v/>
      </c>
      <c r="AM568">
        <f>IFERROR(INDEX(PP_Grid[#Data],$DE568,36),0)</f>
        <v/>
      </c>
      <c r="AN568">
        <f>IFERROR(INDEX(PP_Grid[#Data],$DE568,37),0)</f>
        <v/>
      </c>
      <c r="AO568">
        <f>IFERROR(INDEX(PP_Grid[#Data],$DE568,38),0)</f>
        <v/>
      </c>
      <c r="AP568">
        <f>IFERROR(INDEX(PP_Grid[#Data],$DE568,39),0)</f>
        <v/>
      </c>
      <c r="AQ568">
        <f>IFERROR(INDEX(PP_Grid[#Data],$DE568,40),0)</f>
        <v/>
      </c>
      <c r="AR568">
        <f>IFERROR(INDEX(PP_Grid[#Data],$DE568,41),0)</f>
        <v/>
      </c>
      <c r="AS568">
        <f>IFERROR(INDEX(PP_Grid[#Data],$DE568,42),0)</f>
        <v/>
      </c>
      <c r="AT568">
        <f>IFERROR(INDEX(PP_Grid[#Data],$DE568,43),0)</f>
        <v/>
      </c>
      <c r="AU568">
        <f>IFERROR(INDEX(PP_Grid[#Data],$DE568,44),0)</f>
        <v/>
      </c>
      <c r="AV568">
        <f>IFERROR(INDEX(PP_Grid[#Data],$DE568,45),0)</f>
        <v/>
      </c>
      <c r="AW568">
        <f>IFERROR(INDEX(PP_Grid[#Data],$DE568,46),0)</f>
        <v/>
      </c>
      <c r="AX568">
        <f>IFERROR(INDEX(PP_Grid[#Data],$DE568,47),0)</f>
        <v/>
      </c>
      <c r="AY568">
        <f>IFERROR(INDEX(PP_Grid[#Data],$DE568,48),0)</f>
        <v/>
      </c>
      <c r="AZ568">
        <f>IFERROR(INDEX(PP_Grid[#Data],$DE568,49),0)</f>
        <v/>
      </c>
      <c r="BA568">
        <f>IFERROR(INDEX(PP_Grid[#Data],$DE568,50),0)</f>
        <v/>
      </c>
      <c r="BB568">
        <f>IFERROR(INDEX(PP_Grid[#Data],$DE568,51),0)</f>
        <v/>
      </c>
      <c r="BC568">
        <f>IFERROR(INDEX(PP_Grid[#Data],$DE568,52),0)</f>
        <v/>
      </c>
      <c r="BD568">
        <f>IFERROR(INDEX(PP_Grid[#Data],$DE568,53),0)</f>
        <v/>
      </c>
      <c r="BE568">
        <f>IFERROR(INDEX(PP_Grid[#Data],$DE568,54),0)</f>
        <v/>
      </c>
      <c r="BF568">
        <f>IFERROR(INDEX(PP_Grid[#Data],$DE568,55),0)</f>
        <v/>
      </c>
      <c r="BG568">
        <f>IFERROR(INDEX(PP_Grid[#Data],$DE568,56),0)</f>
        <v/>
      </c>
      <c r="BH568">
        <f>IFERROR(INDEX(PP_Grid[#Data],$DE568,57),0)</f>
        <v/>
      </c>
      <c r="BI568">
        <f>IFERROR(INDEX(PP_Grid[#Data],$DE568,58),0)</f>
        <v/>
      </c>
      <c r="BJ568">
        <f>IFERROR(INDEX(PP_Grid[#Data],$DE568,59),0)</f>
        <v/>
      </c>
      <c r="BK568">
        <f>IFERROR(INDEX(PP_Grid[#Data],$DE568,60),0)</f>
        <v/>
      </c>
      <c r="BL568">
        <f>IFERROR(INDEX(PP_Grid[#Data],$DE568,61),0)</f>
        <v/>
      </c>
      <c r="BM568">
        <f>IFERROR(INDEX(PP_Grid[#Data],$DE568,62),0)</f>
        <v/>
      </c>
      <c r="BN568">
        <f>IFERROR(INDEX(PP_Grid[#Data],$DE568,63),0)</f>
        <v/>
      </c>
      <c r="BO568">
        <f>IFERROR(INDEX(PP_Grid[#Data],$DE568,64),0)</f>
        <v/>
      </c>
      <c r="BP568">
        <f>IFERROR(INDEX(PP_Grid[#Data],$DE568,65),0)</f>
        <v/>
      </c>
      <c r="BQ568">
        <f>IFERROR(INDEX(PP_Grid[#Data],$DE568,66),0)</f>
        <v/>
      </c>
      <c r="BR568">
        <f>IFERROR(INDEX(PP_Grid[#Data],$DE568,67),0)</f>
        <v/>
      </c>
      <c r="BS568">
        <f>IFERROR(INDEX(PP_Grid[#Data],$DE568,68),0)</f>
        <v/>
      </c>
      <c r="BT568">
        <f>IFERROR(INDEX(PP_Grid[#Data],$DE568,69),0)</f>
        <v/>
      </c>
      <c r="BU568">
        <f>IFERROR(INDEX(PP_Grid[#Data],$DE568,70),0)</f>
        <v/>
      </c>
      <c r="BV568">
        <f>IFERROR(INDEX(PP_Grid[#Data],$DE568,71),0)</f>
        <v/>
      </c>
      <c r="BW568">
        <f>IFERROR(INDEX(PP_Grid[#Data],$DE568,72),0)</f>
        <v/>
      </c>
      <c r="BX568">
        <f>IFERROR(INDEX(PP_Grid[#Data],$DE568,73),0)</f>
        <v/>
      </c>
      <c r="BY568">
        <f>IFERROR(INDEX(PP_Grid[#Data],$DE568,74),0)</f>
        <v/>
      </c>
      <c r="BZ568">
        <f>IFERROR(INDEX(PP_Grid[#Data],$DE568,75),0)</f>
        <v/>
      </c>
      <c r="CA568">
        <f>IFERROR(INDEX(PP_Grid[#Data],$DE568,76),0)</f>
        <v/>
      </c>
      <c r="CB568">
        <f>IFERROR(INDEX(PP_Grid[#Data],$DE568,77),0)</f>
        <v/>
      </c>
      <c r="CC568">
        <f>IFERROR(INDEX(PP_Grid[#Data],$DE568,78),0)</f>
        <v/>
      </c>
      <c r="CD568">
        <f>IFERROR(INDEX(PP_Grid[#Data],$DE568,79),0)</f>
        <v/>
      </c>
      <c r="CE568">
        <f>IFERROR(INDEX(PP_Grid[#Data],$DE568,80),0)</f>
        <v/>
      </c>
      <c r="CF568">
        <f>IFERROR(INDEX(PP_Grid[#Data],$DE568,81),0)</f>
        <v/>
      </c>
      <c r="CG568">
        <f>IFERROR(INDEX(PP_Grid[#Data],$DE568,82),0)</f>
        <v/>
      </c>
      <c r="CH568">
        <f>IFERROR(INDEX(PP_Grid[#Data],$DE568,83),0)</f>
        <v/>
      </c>
      <c r="CI568">
        <f>IFERROR(INDEX(PP_Grid[#Data],$DE568,84),0)</f>
        <v/>
      </c>
      <c r="CJ568">
        <f>IFERROR(INDEX(PP_Grid[#Data],$DE568,85),0)</f>
        <v/>
      </c>
      <c r="CK568">
        <f>IFERROR(INDEX(PP_Grid[#Data],$DE568,86),0)</f>
        <v/>
      </c>
      <c r="CL568">
        <f>IFERROR(INDEX(PP_Grid[#Data],$DE568,87),0)</f>
        <v/>
      </c>
      <c r="CM568">
        <f>IFERROR(INDEX(PP_Grid[#Data],$DE568,88),0)</f>
        <v/>
      </c>
      <c r="CN568">
        <f>IFERROR(INDEX(PP_Grid[#Data],$DE568,89),0)</f>
        <v/>
      </c>
      <c r="CO568">
        <f>IFERROR(INDEX(PP_Grid[#Data],$DE568,90),0)</f>
        <v/>
      </c>
      <c r="CP568">
        <f>IFERROR(INDEX(PP_Grid[#Data],$DE568,91),0)</f>
        <v/>
      </c>
      <c r="CQ568">
        <f>IFERROR(INDEX(PP_Grid[#Data],$DE568,92),0)</f>
        <v/>
      </c>
      <c r="CR568">
        <f>IFERROR(INDEX(PP_Grid[#Data],$DE568,93),0)</f>
        <v/>
      </c>
      <c r="CS568">
        <f>IFERROR(INDEX(PP_Grid[#Data],$DE568,94),0)</f>
        <v/>
      </c>
      <c r="CT568">
        <f>IFERROR(INDEX(PP_Grid[#Data],$DE568,95),0)</f>
        <v/>
      </c>
      <c r="CU568">
        <f>IFERROR(INDEX(PP_Grid[#Data],$DE568,96),0)</f>
        <v/>
      </c>
      <c r="CV568">
        <f>IFERROR(INDEX(PP_Grid[#Data],$DE568,97),0)</f>
        <v/>
      </c>
      <c r="CW568">
        <f>IFERROR(INDEX(PP_Grid[#Data],$DE568,98),0)</f>
        <v/>
      </c>
      <c r="CX568">
        <f>IFERROR(INDEX(PP_Grid[#Data],$DE568,99),0)</f>
        <v/>
      </c>
      <c r="CY568">
        <f>IFERROR(INDEX(PP_Grid[#Data],$DE568,100),0)</f>
        <v/>
      </c>
      <c r="CZ568">
        <f>IFERROR(INDEX(PP_Grid[#Data],$DE568,101),0)</f>
        <v/>
      </c>
      <c r="DA568">
        <f>IFERROR(INDEX(PP_Grid[#Data],$DE568,102),0)</f>
        <v/>
      </c>
      <c r="DB568">
        <f>IFERROR(INDEX(PP_Grid[#Data],$DE568,103),0)</f>
        <v/>
      </c>
      <c r="DC568">
        <f>IFERROR(INDEX(PP_Grid[#Data],$DE568,104),0)</f>
        <v/>
      </c>
      <c r="DD568">
        <f>IFERROR(INDEX(PP_Grid[#Data],$DE568,105),0)</f>
        <v/>
      </c>
      <c r="DE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SUMIFS(M_BOM[RM_Qty_Per_Batch],M_BOM[Intermediate],$B568,M_BOM[RM_Code],$A515)</f>
        <v/>
      </c>
      <c r="D569">
        <f>IFERROR(INDEX(E569:DD569,$F$1),"")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  <c r="DD569">
        <f>$C569*DD568</f>
        <v/>
      </c>
    </row>
    <row r="570">
      <c r="B570" t="inlineStr">
        <is>
          <t>TSP-928</t>
        </is>
      </c>
      <c r="C570" t="inlineStr">
        <is>
          <t>No. of batches</t>
        </is>
      </c>
      <c r="D570">
        <f>IFERROR(INDEX(E570:DD570,$F$1),"")</f>
        <v/>
      </c>
      <c r="E570">
        <f>IFERROR(INDEX(PP_Grid[#Data],$DE570,2),0)</f>
        <v/>
      </c>
      <c r="F570">
        <f>IFERROR(INDEX(PP_Grid[#Data],$DE570,3),0)</f>
        <v/>
      </c>
      <c r="G570">
        <f>IFERROR(INDEX(PP_Grid[#Data],$DE570,4),0)</f>
        <v/>
      </c>
      <c r="H570">
        <f>IFERROR(INDEX(PP_Grid[#Data],$DE570,5),0)</f>
        <v/>
      </c>
      <c r="I570">
        <f>IFERROR(INDEX(PP_Grid[#Data],$DE570,6),0)</f>
        <v/>
      </c>
      <c r="J570">
        <f>IFERROR(INDEX(PP_Grid[#Data],$DE570,7),0)</f>
        <v/>
      </c>
      <c r="K570">
        <f>IFERROR(INDEX(PP_Grid[#Data],$DE570,8),0)</f>
        <v/>
      </c>
      <c r="L570">
        <f>IFERROR(INDEX(PP_Grid[#Data],$DE570,9),0)</f>
        <v/>
      </c>
      <c r="M570">
        <f>IFERROR(INDEX(PP_Grid[#Data],$DE570,10),0)</f>
        <v/>
      </c>
      <c r="N570">
        <f>IFERROR(INDEX(PP_Grid[#Data],$DE570,11),0)</f>
        <v/>
      </c>
      <c r="O570">
        <f>IFERROR(INDEX(PP_Grid[#Data],$DE570,12),0)</f>
        <v/>
      </c>
      <c r="P570">
        <f>IFERROR(INDEX(PP_Grid[#Data],$DE570,13),0)</f>
        <v/>
      </c>
      <c r="Q570">
        <f>IFERROR(INDEX(PP_Grid[#Data],$DE570,14),0)</f>
        <v/>
      </c>
      <c r="R570">
        <f>IFERROR(INDEX(PP_Grid[#Data],$DE570,15),0)</f>
        <v/>
      </c>
      <c r="S570">
        <f>IFERROR(INDEX(PP_Grid[#Data],$DE570,16),0)</f>
        <v/>
      </c>
      <c r="T570">
        <f>IFERROR(INDEX(PP_Grid[#Data],$DE570,17),0)</f>
        <v/>
      </c>
      <c r="U570">
        <f>IFERROR(INDEX(PP_Grid[#Data],$DE570,18),0)</f>
        <v/>
      </c>
      <c r="V570">
        <f>IFERROR(INDEX(PP_Grid[#Data],$DE570,19),0)</f>
        <v/>
      </c>
      <c r="W570">
        <f>IFERROR(INDEX(PP_Grid[#Data],$DE570,20),0)</f>
        <v/>
      </c>
      <c r="X570">
        <f>IFERROR(INDEX(PP_Grid[#Data],$DE570,21),0)</f>
        <v/>
      </c>
      <c r="Y570">
        <f>IFERROR(INDEX(PP_Grid[#Data],$DE570,22),0)</f>
        <v/>
      </c>
      <c r="Z570">
        <f>IFERROR(INDEX(PP_Grid[#Data],$DE570,23),0)</f>
        <v/>
      </c>
      <c r="AA570">
        <f>IFERROR(INDEX(PP_Grid[#Data],$DE570,24),0)</f>
        <v/>
      </c>
      <c r="AB570">
        <f>IFERROR(INDEX(PP_Grid[#Data],$DE570,25),0)</f>
        <v/>
      </c>
      <c r="AC570">
        <f>IFERROR(INDEX(PP_Grid[#Data],$DE570,26),0)</f>
        <v/>
      </c>
      <c r="AD570">
        <f>IFERROR(INDEX(PP_Grid[#Data],$DE570,27),0)</f>
        <v/>
      </c>
      <c r="AE570">
        <f>IFERROR(INDEX(PP_Grid[#Data],$DE570,28),0)</f>
        <v/>
      </c>
      <c r="AF570">
        <f>IFERROR(INDEX(PP_Grid[#Data],$DE570,29),0)</f>
        <v/>
      </c>
      <c r="AG570">
        <f>IFERROR(INDEX(PP_Grid[#Data],$DE570,30),0)</f>
        <v/>
      </c>
      <c r="AH570">
        <f>IFERROR(INDEX(PP_Grid[#Data],$DE570,31),0)</f>
        <v/>
      </c>
      <c r="AI570">
        <f>IFERROR(INDEX(PP_Grid[#Data],$DE570,32),0)</f>
        <v/>
      </c>
      <c r="AJ570">
        <f>IFERROR(INDEX(PP_Grid[#Data],$DE570,33),0)</f>
        <v/>
      </c>
      <c r="AK570">
        <f>IFERROR(INDEX(PP_Grid[#Data],$DE570,34),0)</f>
        <v/>
      </c>
      <c r="AL570">
        <f>IFERROR(INDEX(PP_Grid[#Data],$DE570,35),0)</f>
        <v/>
      </c>
      <c r="AM570">
        <f>IFERROR(INDEX(PP_Grid[#Data],$DE570,36),0)</f>
        <v/>
      </c>
      <c r="AN570">
        <f>IFERROR(INDEX(PP_Grid[#Data],$DE570,37),0)</f>
        <v/>
      </c>
      <c r="AO570">
        <f>IFERROR(INDEX(PP_Grid[#Data],$DE570,38),0)</f>
        <v/>
      </c>
      <c r="AP570">
        <f>IFERROR(INDEX(PP_Grid[#Data],$DE570,39),0)</f>
        <v/>
      </c>
      <c r="AQ570">
        <f>IFERROR(INDEX(PP_Grid[#Data],$DE570,40),0)</f>
        <v/>
      </c>
      <c r="AR570">
        <f>IFERROR(INDEX(PP_Grid[#Data],$DE570,41),0)</f>
        <v/>
      </c>
      <c r="AS570">
        <f>IFERROR(INDEX(PP_Grid[#Data],$DE570,42),0)</f>
        <v/>
      </c>
      <c r="AT570">
        <f>IFERROR(INDEX(PP_Grid[#Data],$DE570,43),0)</f>
        <v/>
      </c>
      <c r="AU570">
        <f>IFERROR(INDEX(PP_Grid[#Data],$DE570,44),0)</f>
        <v/>
      </c>
      <c r="AV570">
        <f>IFERROR(INDEX(PP_Grid[#Data],$DE570,45),0)</f>
        <v/>
      </c>
      <c r="AW570">
        <f>IFERROR(INDEX(PP_Grid[#Data],$DE570,46),0)</f>
        <v/>
      </c>
      <c r="AX570">
        <f>IFERROR(INDEX(PP_Grid[#Data],$DE570,47),0)</f>
        <v/>
      </c>
      <c r="AY570">
        <f>IFERROR(INDEX(PP_Grid[#Data],$DE570,48),0)</f>
        <v/>
      </c>
      <c r="AZ570">
        <f>IFERROR(INDEX(PP_Grid[#Data],$DE570,49),0)</f>
        <v/>
      </c>
      <c r="BA570">
        <f>IFERROR(INDEX(PP_Grid[#Data],$DE570,50),0)</f>
        <v/>
      </c>
      <c r="BB570">
        <f>IFERROR(INDEX(PP_Grid[#Data],$DE570,51),0)</f>
        <v/>
      </c>
      <c r="BC570">
        <f>IFERROR(INDEX(PP_Grid[#Data],$DE570,52),0)</f>
        <v/>
      </c>
      <c r="BD570">
        <f>IFERROR(INDEX(PP_Grid[#Data],$DE570,53),0)</f>
        <v/>
      </c>
      <c r="BE570">
        <f>IFERROR(INDEX(PP_Grid[#Data],$DE570,54),0)</f>
        <v/>
      </c>
      <c r="BF570">
        <f>IFERROR(INDEX(PP_Grid[#Data],$DE570,55),0)</f>
        <v/>
      </c>
      <c r="BG570">
        <f>IFERROR(INDEX(PP_Grid[#Data],$DE570,56),0)</f>
        <v/>
      </c>
      <c r="BH570">
        <f>IFERROR(INDEX(PP_Grid[#Data],$DE570,57),0)</f>
        <v/>
      </c>
      <c r="BI570">
        <f>IFERROR(INDEX(PP_Grid[#Data],$DE570,58),0)</f>
        <v/>
      </c>
      <c r="BJ570">
        <f>IFERROR(INDEX(PP_Grid[#Data],$DE570,59),0)</f>
        <v/>
      </c>
      <c r="BK570">
        <f>IFERROR(INDEX(PP_Grid[#Data],$DE570,60),0)</f>
        <v/>
      </c>
      <c r="BL570">
        <f>IFERROR(INDEX(PP_Grid[#Data],$DE570,61),0)</f>
        <v/>
      </c>
      <c r="BM570">
        <f>IFERROR(INDEX(PP_Grid[#Data],$DE570,62),0)</f>
        <v/>
      </c>
      <c r="BN570">
        <f>IFERROR(INDEX(PP_Grid[#Data],$DE570,63),0)</f>
        <v/>
      </c>
      <c r="BO570">
        <f>IFERROR(INDEX(PP_Grid[#Data],$DE570,64),0)</f>
        <v/>
      </c>
      <c r="BP570">
        <f>IFERROR(INDEX(PP_Grid[#Data],$DE570,65),0)</f>
        <v/>
      </c>
      <c r="BQ570">
        <f>IFERROR(INDEX(PP_Grid[#Data],$DE570,66),0)</f>
        <v/>
      </c>
      <c r="BR570">
        <f>IFERROR(INDEX(PP_Grid[#Data],$DE570,67),0)</f>
        <v/>
      </c>
      <c r="BS570">
        <f>IFERROR(INDEX(PP_Grid[#Data],$DE570,68),0)</f>
        <v/>
      </c>
      <c r="BT570">
        <f>IFERROR(INDEX(PP_Grid[#Data],$DE570,69),0)</f>
        <v/>
      </c>
      <c r="BU570">
        <f>IFERROR(INDEX(PP_Grid[#Data],$DE570,70),0)</f>
        <v/>
      </c>
      <c r="BV570">
        <f>IFERROR(INDEX(PP_Grid[#Data],$DE570,71),0)</f>
        <v/>
      </c>
      <c r="BW570">
        <f>IFERROR(INDEX(PP_Grid[#Data],$DE570,72),0)</f>
        <v/>
      </c>
      <c r="BX570">
        <f>IFERROR(INDEX(PP_Grid[#Data],$DE570,73),0)</f>
        <v/>
      </c>
      <c r="BY570">
        <f>IFERROR(INDEX(PP_Grid[#Data],$DE570,74),0)</f>
        <v/>
      </c>
      <c r="BZ570">
        <f>IFERROR(INDEX(PP_Grid[#Data],$DE570,75),0)</f>
        <v/>
      </c>
      <c r="CA570">
        <f>IFERROR(INDEX(PP_Grid[#Data],$DE570,76),0)</f>
        <v/>
      </c>
      <c r="CB570">
        <f>IFERROR(INDEX(PP_Grid[#Data],$DE570,77),0)</f>
        <v/>
      </c>
      <c r="CC570">
        <f>IFERROR(INDEX(PP_Grid[#Data],$DE570,78),0)</f>
        <v/>
      </c>
      <c r="CD570">
        <f>IFERROR(INDEX(PP_Grid[#Data],$DE570,79),0)</f>
        <v/>
      </c>
      <c r="CE570">
        <f>IFERROR(INDEX(PP_Grid[#Data],$DE570,80),0)</f>
        <v/>
      </c>
      <c r="CF570">
        <f>IFERROR(INDEX(PP_Grid[#Data],$DE570,81),0)</f>
        <v/>
      </c>
      <c r="CG570">
        <f>IFERROR(INDEX(PP_Grid[#Data],$DE570,82),0)</f>
        <v/>
      </c>
      <c r="CH570">
        <f>IFERROR(INDEX(PP_Grid[#Data],$DE570,83),0)</f>
        <v/>
      </c>
      <c r="CI570">
        <f>IFERROR(INDEX(PP_Grid[#Data],$DE570,84),0)</f>
        <v/>
      </c>
      <c r="CJ570">
        <f>IFERROR(INDEX(PP_Grid[#Data],$DE570,85),0)</f>
        <v/>
      </c>
      <c r="CK570">
        <f>IFERROR(INDEX(PP_Grid[#Data],$DE570,86),0)</f>
        <v/>
      </c>
      <c r="CL570">
        <f>IFERROR(INDEX(PP_Grid[#Data],$DE570,87),0)</f>
        <v/>
      </c>
      <c r="CM570">
        <f>IFERROR(INDEX(PP_Grid[#Data],$DE570,88),0)</f>
        <v/>
      </c>
      <c r="CN570">
        <f>IFERROR(INDEX(PP_Grid[#Data],$DE570,89),0)</f>
        <v/>
      </c>
      <c r="CO570">
        <f>IFERROR(INDEX(PP_Grid[#Data],$DE570,90),0)</f>
        <v/>
      </c>
      <c r="CP570">
        <f>IFERROR(INDEX(PP_Grid[#Data],$DE570,91),0)</f>
        <v/>
      </c>
      <c r="CQ570">
        <f>IFERROR(INDEX(PP_Grid[#Data],$DE570,92),0)</f>
        <v/>
      </c>
      <c r="CR570">
        <f>IFERROR(INDEX(PP_Grid[#Data],$DE570,93),0)</f>
        <v/>
      </c>
      <c r="CS570">
        <f>IFERROR(INDEX(PP_Grid[#Data],$DE570,94),0)</f>
        <v/>
      </c>
      <c r="CT570">
        <f>IFERROR(INDEX(PP_Grid[#Data],$DE570,95),0)</f>
        <v/>
      </c>
      <c r="CU570">
        <f>IFERROR(INDEX(PP_Grid[#Data],$DE570,96),0)</f>
        <v/>
      </c>
      <c r="CV570">
        <f>IFERROR(INDEX(PP_Grid[#Data],$DE570,97),0)</f>
        <v/>
      </c>
      <c r="CW570">
        <f>IFERROR(INDEX(PP_Grid[#Data],$DE570,98),0)</f>
        <v/>
      </c>
      <c r="CX570">
        <f>IFERROR(INDEX(PP_Grid[#Data],$DE570,99),0)</f>
        <v/>
      </c>
      <c r="CY570">
        <f>IFERROR(INDEX(PP_Grid[#Data],$DE570,100),0)</f>
        <v/>
      </c>
      <c r="CZ570">
        <f>IFERROR(INDEX(PP_Grid[#Data],$DE570,101),0)</f>
        <v/>
      </c>
      <c r="DA570">
        <f>IFERROR(INDEX(PP_Grid[#Data],$DE570,102),0)</f>
        <v/>
      </c>
      <c r="DB570">
        <f>IFERROR(INDEX(PP_Grid[#Data],$DE570,103),0)</f>
        <v/>
      </c>
      <c r="DC570">
        <f>IFERROR(INDEX(PP_Grid[#Data],$DE570,104),0)</f>
        <v/>
      </c>
      <c r="DD570">
        <f>IFERROR(INDEX(PP_Grid[#Data],$DE570,105),0)</f>
        <v/>
      </c>
      <c r="DE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SUMIFS(M_BOM[RM_Qty_Per_Batch],M_BOM[Intermediate],$B570,M_BOM[RM_Code],$A515)</f>
        <v/>
      </c>
      <c r="D571">
        <f>IFERROR(INDEX(E571:DD571,$F$1),"")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  <c r="DD571">
        <f>$C571*DD570</f>
        <v/>
      </c>
    </row>
    <row r="572">
      <c r="B572" t="inlineStr">
        <is>
          <t>TSP-929</t>
        </is>
      </c>
      <c r="C572" t="inlineStr">
        <is>
          <t>No. of batches</t>
        </is>
      </c>
      <c r="D572">
        <f>IFERROR(INDEX(E572:DD572,$F$1),"")</f>
        <v/>
      </c>
      <c r="E572">
        <f>IFERROR(INDEX(PP_Grid[#Data],$DE572,2),0)</f>
        <v/>
      </c>
      <c r="F572">
        <f>IFERROR(INDEX(PP_Grid[#Data],$DE572,3),0)</f>
        <v/>
      </c>
      <c r="G572">
        <f>IFERROR(INDEX(PP_Grid[#Data],$DE572,4),0)</f>
        <v/>
      </c>
      <c r="H572">
        <f>IFERROR(INDEX(PP_Grid[#Data],$DE572,5),0)</f>
        <v/>
      </c>
      <c r="I572">
        <f>IFERROR(INDEX(PP_Grid[#Data],$DE572,6),0)</f>
        <v/>
      </c>
      <c r="J572">
        <f>IFERROR(INDEX(PP_Grid[#Data],$DE572,7),0)</f>
        <v/>
      </c>
      <c r="K572">
        <f>IFERROR(INDEX(PP_Grid[#Data],$DE572,8),0)</f>
        <v/>
      </c>
      <c r="L572">
        <f>IFERROR(INDEX(PP_Grid[#Data],$DE572,9),0)</f>
        <v/>
      </c>
      <c r="M572">
        <f>IFERROR(INDEX(PP_Grid[#Data],$DE572,10),0)</f>
        <v/>
      </c>
      <c r="N572">
        <f>IFERROR(INDEX(PP_Grid[#Data],$DE572,11),0)</f>
        <v/>
      </c>
      <c r="O572">
        <f>IFERROR(INDEX(PP_Grid[#Data],$DE572,12),0)</f>
        <v/>
      </c>
      <c r="P572">
        <f>IFERROR(INDEX(PP_Grid[#Data],$DE572,13),0)</f>
        <v/>
      </c>
      <c r="Q572">
        <f>IFERROR(INDEX(PP_Grid[#Data],$DE572,14),0)</f>
        <v/>
      </c>
      <c r="R572">
        <f>IFERROR(INDEX(PP_Grid[#Data],$DE572,15),0)</f>
        <v/>
      </c>
      <c r="S572">
        <f>IFERROR(INDEX(PP_Grid[#Data],$DE572,16),0)</f>
        <v/>
      </c>
      <c r="T572">
        <f>IFERROR(INDEX(PP_Grid[#Data],$DE572,17),0)</f>
        <v/>
      </c>
      <c r="U572">
        <f>IFERROR(INDEX(PP_Grid[#Data],$DE572,18),0)</f>
        <v/>
      </c>
      <c r="V572">
        <f>IFERROR(INDEX(PP_Grid[#Data],$DE572,19),0)</f>
        <v/>
      </c>
      <c r="W572">
        <f>IFERROR(INDEX(PP_Grid[#Data],$DE572,20),0)</f>
        <v/>
      </c>
      <c r="X572">
        <f>IFERROR(INDEX(PP_Grid[#Data],$DE572,21),0)</f>
        <v/>
      </c>
      <c r="Y572">
        <f>IFERROR(INDEX(PP_Grid[#Data],$DE572,22),0)</f>
        <v/>
      </c>
      <c r="Z572">
        <f>IFERROR(INDEX(PP_Grid[#Data],$DE572,23),0)</f>
        <v/>
      </c>
      <c r="AA572">
        <f>IFERROR(INDEX(PP_Grid[#Data],$DE572,24),0)</f>
        <v/>
      </c>
      <c r="AB572">
        <f>IFERROR(INDEX(PP_Grid[#Data],$DE572,25),0)</f>
        <v/>
      </c>
      <c r="AC572">
        <f>IFERROR(INDEX(PP_Grid[#Data],$DE572,26),0)</f>
        <v/>
      </c>
      <c r="AD572">
        <f>IFERROR(INDEX(PP_Grid[#Data],$DE572,27),0)</f>
        <v/>
      </c>
      <c r="AE572">
        <f>IFERROR(INDEX(PP_Grid[#Data],$DE572,28),0)</f>
        <v/>
      </c>
      <c r="AF572">
        <f>IFERROR(INDEX(PP_Grid[#Data],$DE572,29),0)</f>
        <v/>
      </c>
      <c r="AG572">
        <f>IFERROR(INDEX(PP_Grid[#Data],$DE572,30),0)</f>
        <v/>
      </c>
      <c r="AH572">
        <f>IFERROR(INDEX(PP_Grid[#Data],$DE572,31),0)</f>
        <v/>
      </c>
      <c r="AI572">
        <f>IFERROR(INDEX(PP_Grid[#Data],$DE572,32),0)</f>
        <v/>
      </c>
      <c r="AJ572">
        <f>IFERROR(INDEX(PP_Grid[#Data],$DE572,33),0)</f>
        <v/>
      </c>
      <c r="AK572">
        <f>IFERROR(INDEX(PP_Grid[#Data],$DE572,34),0)</f>
        <v/>
      </c>
      <c r="AL572">
        <f>IFERROR(INDEX(PP_Grid[#Data],$DE572,35),0)</f>
        <v/>
      </c>
      <c r="AM572">
        <f>IFERROR(INDEX(PP_Grid[#Data],$DE572,36),0)</f>
        <v/>
      </c>
      <c r="AN572">
        <f>IFERROR(INDEX(PP_Grid[#Data],$DE572,37),0)</f>
        <v/>
      </c>
      <c r="AO572">
        <f>IFERROR(INDEX(PP_Grid[#Data],$DE572,38),0)</f>
        <v/>
      </c>
      <c r="AP572">
        <f>IFERROR(INDEX(PP_Grid[#Data],$DE572,39),0)</f>
        <v/>
      </c>
      <c r="AQ572">
        <f>IFERROR(INDEX(PP_Grid[#Data],$DE572,40),0)</f>
        <v/>
      </c>
      <c r="AR572">
        <f>IFERROR(INDEX(PP_Grid[#Data],$DE572,41),0)</f>
        <v/>
      </c>
      <c r="AS572">
        <f>IFERROR(INDEX(PP_Grid[#Data],$DE572,42),0)</f>
        <v/>
      </c>
      <c r="AT572">
        <f>IFERROR(INDEX(PP_Grid[#Data],$DE572,43),0)</f>
        <v/>
      </c>
      <c r="AU572">
        <f>IFERROR(INDEX(PP_Grid[#Data],$DE572,44),0)</f>
        <v/>
      </c>
      <c r="AV572">
        <f>IFERROR(INDEX(PP_Grid[#Data],$DE572,45),0)</f>
        <v/>
      </c>
      <c r="AW572">
        <f>IFERROR(INDEX(PP_Grid[#Data],$DE572,46),0)</f>
        <v/>
      </c>
      <c r="AX572">
        <f>IFERROR(INDEX(PP_Grid[#Data],$DE572,47),0)</f>
        <v/>
      </c>
      <c r="AY572">
        <f>IFERROR(INDEX(PP_Grid[#Data],$DE572,48),0)</f>
        <v/>
      </c>
      <c r="AZ572">
        <f>IFERROR(INDEX(PP_Grid[#Data],$DE572,49),0)</f>
        <v/>
      </c>
      <c r="BA572">
        <f>IFERROR(INDEX(PP_Grid[#Data],$DE572,50),0)</f>
        <v/>
      </c>
      <c r="BB572">
        <f>IFERROR(INDEX(PP_Grid[#Data],$DE572,51),0)</f>
        <v/>
      </c>
      <c r="BC572">
        <f>IFERROR(INDEX(PP_Grid[#Data],$DE572,52),0)</f>
        <v/>
      </c>
      <c r="BD572">
        <f>IFERROR(INDEX(PP_Grid[#Data],$DE572,53),0)</f>
        <v/>
      </c>
      <c r="BE572">
        <f>IFERROR(INDEX(PP_Grid[#Data],$DE572,54),0)</f>
        <v/>
      </c>
      <c r="BF572">
        <f>IFERROR(INDEX(PP_Grid[#Data],$DE572,55),0)</f>
        <v/>
      </c>
      <c r="BG572">
        <f>IFERROR(INDEX(PP_Grid[#Data],$DE572,56),0)</f>
        <v/>
      </c>
      <c r="BH572">
        <f>IFERROR(INDEX(PP_Grid[#Data],$DE572,57),0)</f>
        <v/>
      </c>
      <c r="BI572">
        <f>IFERROR(INDEX(PP_Grid[#Data],$DE572,58),0)</f>
        <v/>
      </c>
      <c r="BJ572">
        <f>IFERROR(INDEX(PP_Grid[#Data],$DE572,59),0)</f>
        <v/>
      </c>
      <c r="BK572">
        <f>IFERROR(INDEX(PP_Grid[#Data],$DE572,60),0)</f>
        <v/>
      </c>
      <c r="BL572">
        <f>IFERROR(INDEX(PP_Grid[#Data],$DE572,61),0)</f>
        <v/>
      </c>
      <c r="BM572">
        <f>IFERROR(INDEX(PP_Grid[#Data],$DE572,62),0)</f>
        <v/>
      </c>
      <c r="BN572">
        <f>IFERROR(INDEX(PP_Grid[#Data],$DE572,63),0)</f>
        <v/>
      </c>
      <c r="BO572">
        <f>IFERROR(INDEX(PP_Grid[#Data],$DE572,64),0)</f>
        <v/>
      </c>
      <c r="BP572">
        <f>IFERROR(INDEX(PP_Grid[#Data],$DE572,65),0)</f>
        <v/>
      </c>
      <c r="BQ572">
        <f>IFERROR(INDEX(PP_Grid[#Data],$DE572,66),0)</f>
        <v/>
      </c>
      <c r="BR572">
        <f>IFERROR(INDEX(PP_Grid[#Data],$DE572,67),0)</f>
        <v/>
      </c>
      <c r="BS572">
        <f>IFERROR(INDEX(PP_Grid[#Data],$DE572,68),0)</f>
        <v/>
      </c>
      <c r="BT572">
        <f>IFERROR(INDEX(PP_Grid[#Data],$DE572,69),0)</f>
        <v/>
      </c>
      <c r="BU572">
        <f>IFERROR(INDEX(PP_Grid[#Data],$DE572,70),0)</f>
        <v/>
      </c>
      <c r="BV572">
        <f>IFERROR(INDEX(PP_Grid[#Data],$DE572,71),0)</f>
        <v/>
      </c>
      <c r="BW572">
        <f>IFERROR(INDEX(PP_Grid[#Data],$DE572,72),0)</f>
        <v/>
      </c>
      <c r="BX572">
        <f>IFERROR(INDEX(PP_Grid[#Data],$DE572,73),0)</f>
        <v/>
      </c>
      <c r="BY572">
        <f>IFERROR(INDEX(PP_Grid[#Data],$DE572,74),0)</f>
        <v/>
      </c>
      <c r="BZ572">
        <f>IFERROR(INDEX(PP_Grid[#Data],$DE572,75),0)</f>
        <v/>
      </c>
      <c r="CA572">
        <f>IFERROR(INDEX(PP_Grid[#Data],$DE572,76),0)</f>
        <v/>
      </c>
      <c r="CB572">
        <f>IFERROR(INDEX(PP_Grid[#Data],$DE572,77),0)</f>
        <v/>
      </c>
      <c r="CC572">
        <f>IFERROR(INDEX(PP_Grid[#Data],$DE572,78),0)</f>
        <v/>
      </c>
      <c r="CD572">
        <f>IFERROR(INDEX(PP_Grid[#Data],$DE572,79),0)</f>
        <v/>
      </c>
      <c r="CE572">
        <f>IFERROR(INDEX(PP_Grid[#Data],$DE572,80),0)</f>
        <v/>
      </c>
      <c r="CF572">
        <f>IFERROR(INDEX(PP_Grid[#Data],$DE572,81),0)</f>
        <v/>
      </c>
      <c r="CG572">
        <f>IFERROR(INDEX(PP_Grid[#Data],$DE572,82),0)</f>
        <v/>
      </c>
      <c r="CH572">
        <f>IFERROR(INDEX(PP_Grid[#Data],$DE572,83),0)</f>
        <v/>
      </c>
      <c r="CI572">
        <f>IFERROR(INDEX(PP_Grid[#Data],$DE572,84),0)</f>
        <v/>
      </c>
      <c r="CJ572">
        <f>IFERROR(INDEX(PP_Grid[#Data],$DE572,85),0)</f>
        <v/>
      </c>
      <c r="CK572">
        <f>IFERROR(INDEX(PP_Grid[#Data],$DE572,86),0)</f>
        <v/>
      </c>
      <c r="CL572">
        <f>IFERROR(INDEX(PP_Grid[#Data],$DE572,87),0)</f>
        <v/>
      </c>
      <c r="CM572">
        <f>IFERROR(INDEX(PP_Grid[#Data],$DE572,88),0)</f>
        <v/>
      </c>
      <c r="CN572">
        <f>IFERROR(INDEX(PP_Grid[#Data],$DE572,89),0)</f>
        <v/>
      </c>
      <c r="CO572">
        <f>IFERROR(INDEX(PP_Grid[#Data],$DE572,90),0)</f>
        <v/>
      </c>
      <c r="CP572">
        <f>IFERROR(INDEX(PP_Grid[#Data],$DE572,91),0)</f>
        <v/>
      </c>
      <c r="CQ572">
        <f>IFERROR(INDEX(PP_Grid[#Data],$DE572,92),0)</f>
        <v/>
      </c>
      <c r="CR572">
        <f>IFERROR(INDEX(PP_Grid[#Data],$DE572,93),0)</f>
        <v/>
      </c>
      <c r="CS572">
        <f>IFERROR(INDEX(PP_Grid[#Data],$DE572,94),0)</f>
        <v/>
      </c>
      <c r="CT572">
        <f>IFERROR(INDEX(PP_Grid[#Data],$DE572,95),0)</f>
        <v/>
      </c>
      <c r="CU572">
        <f>IFERROR(INDEX(PP_Grid[#Data],$DE572,96),0)</f>
        <v/>
      </c>
      <c r="CV572">
        <f>IFERROR(INDEX(PP_Grid[#Data],$DE572,97),0)</f>
        <v/>
      </c>
      <c r="CW572">
        <f>IFERROR(INDEX(PP_Grid[#Data],$DE572,98),0)</f>
        <v/>
      </c>
      <c r="CX572">
        <f>IFERROR(INDEX(PP_Grid[#Data],$DE572,99),0)</f>
        <v/>
      </c>
      <c r="CY572">
        <f>IFERROR(INDEX(PP_Grid[#Data],$DE572,100),0)</f>
        <v/>
      </c>
      <c r="CZ572">
        <f>IFERROR(INDEX(PP_Grid[#Data],$DE572,101),0)</f>
        <v/>
      </c>
      <c r="DA572">
        <f>IFERROR(INDEX(PP_Grid[#Data],$DE572,102),0)</f>
        <v/>
      </c>
      <c r="DB572">
        <f>IFERROR(INDEX(PP_Grid[#Data],$DE572,103),0)</f>
        <v/>
      </c>
      <c r="DC572">
        <f>IFERROR(INDEX(PP_Grid[#Data],$DE572,104),0)</f>
        <v/>
      </c>
      <c r="DD572">
        <f>IFERROR(INDEX(PP_Grid[#Data],$DE572,105),0)</f>
        <v/>
      </c>
      <c r="DE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SUMIFS(M_BOM[RM_Qty_Per_Batch],M_BOM[Intermediate],$B572,M_BOM[RM_Code],$A515)</f>
        <v/>
      </c>
      <c r="D573">
        <f>IFERROR(INDEX(E573:DD573,$F$1),"")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  <c r="DD573">
        <f>$C573*DD572</f>
        <v/>
      </c>
    </row>
    <row r="574">
      <c r="B574" t="inlineStr">
        <is>
          <t>TSP-930</t>
        </is>
      </c>
      <c r="C574" t="inlineStr">
        <is>
          <t>No. of batches</t>
        </is>
      </c>
      <c r="D574">
        <f>IFERROR(INDEX(E574:DD574,$F$1),"")</f>
        <v/>
      </c>
      <c r="E574">
        <f>IFERROR(INDEX(PP_Grid[#Data],$DE574,2),0)</f>
        <v/>
      </c>
      <c r="F574">
        <f>IFERROR(INDEX(PP_Grid[#Data],$DE574,3),0)</f>
        <v/>
      </c>
      <c r="G574">
        <f>IFERROR(INDEX(PP_Grid[#Data],$DE574,4),0)</f>
        <v/>
      </c>
      <c r="H574">
        <f>IFERROR(INDEX(PP_Grid[#Data],$DE574,5),0)</f>
        <v/>
      </c>
      <c r="I574">
        <f>IFERROR(INDEX(PP_Grid[#Data],$DE574,6),0)</f>
        <v/>
      </c>
      <c r="J574">
        <f>IFERROR(INDEX(PP_Grid[#Data],$DE574,7),0)</f>
        <v/>
      </c>
      <c r="K574">
        <f>IFERROR(INDEX(PP_Grid[#Data],$DE574,8),0)</f>
        <v/>
      </c>
      <c r="L574">
        <f>IFERROR(INDEX(PP_Grid[#Data],$DE574,9),0)</f>
        <v/>
      </c>
      <c r="M574">
        <f>IFERROR(INDEX(PP_Grid[#Data],$DE574,10),0)</f>
        <v/>
      </c>
      <c r="N574">
        <f>IFERROR(INDEX(PP_Grid[#Data],$DE574,11),0)</f>
        <v/>
      </c>
      <c r="O574">
        <f>IFERROR(INDEX(PP_Grid[#Data],$DE574,12),0)</f>
        <v/>
      </c>
      <c r="P574">
        <f>IFERROR(INDEX(PP_Grid[#Data],$DE574,13),0)</f>
        <v/>
      </c>
      <c r="Q574">
        <f>IFERROR(INDEX(PP_Grid[#Data],$DE574,14),0)</f>
        <v/>
      </c>
      <c r="R574">
        <f>IFERROR(INDEX(PP_Grid[#Data],$DE574,15),0)</f>
        <v/>
      </c>
      <c r="S574">
        <f>IFERROR(INDEX(PP_Grid[#Data],$DE574,16),0)</f>
        <v/>
      </c>
      <c r="T574">
        <f>IFERROR(INDEX(PP_Grid[#Data],$DE574,17),0)</f>
        <v/>
      </c>
      <c r="U574">
        <f>IFERROR(INDEX(PP_Grid[#Data],$DE574,18),0)</f>
        <v/>
      </c>
      <c r="V574">
        <f>IFERROR(INDEX(PP_Grid[#Data],$DE574,19),0)</f>
        <v/>
      </c>
      <c r="W574">
        <f>IFERROR(INDEX(PP_Grid[#Data],$DE574,20),0)</f>
        <v/>
      </c>
      <c r="X574">
        <f>IFERROR(INDEX(PP_Grid[#Data],$DE574,21),0)</f>
        <v/>
      </c>
      <c r="Y574">
        <f>IFERROR(INDEX(PP_Grid[#Data],$DE574,22),0)</f>
        <v/>
      </c>
      <c r="Z574">
        <f>IFERROR(INDEX(PP_Grid[#Data],$DE574,23),0)</f>
        <v/>
      </c>
      <c r="AA574">
        <f>IFERROR(INDEX(PP_Grid[#Data],$DE574,24),0)</f>
        <v/>
      </c>
      <c r="AB574">
        <f>IFERROR(INDEX(PP_Grid[#Data],$DE574,25),0)</f>
        <v/>
      </c>
      <c r="AC574">
        <f>IFERROR(INDEX(PP_Grid[#Data],$DE574,26),0)</f>
        <v/>
      </c>
      <c r="AD574">
        <f>IFERROR(INDEX(PP_Grid[#Data],$DE574,27),0)</f>
        <v/>
      </c>
      <c r="AE574">
        <f>IFERROR(INDEX(PP_Grid[#Data],$DE574,28),0)</f>
        <v/>
      </c>
      <c r="AF574">
        <f>IFERROR(INDEX(PP_Grid[#Data],$DE574,29),0)</f>
        <v/>
      </c>
      <c r="AG574">
        <f>IFERROR(INDEX(PP_Grid[#Data],$DE574,30),0)</f>
        <v/>
      </c>
      <c r="AH574">
        <f>IFERROR(INDEX(PP_Grid[#Data],$DE574,31),0)</f>
        <v/>
      </c>
      <c r="AI574">
        <f>IFERROR(INDEX(PP_Grid[#Data],$DE574,32),0)</f>
        <v/>
      </c>
      <c r="AJ574">
        <f>IFERROR(INDEX(PP_Grid[#Data],$DE574,33),0)</f>
        <v/>
      </c>
      <c r="AK574">
        <f>IFERROR(INDEX(PP_Grid[#Data],$DE574,34),0)</f>
        <v/>
      </c>
      <c r="AL574">
        <f>IFERROR(INDEX(PP_Grid[#Data],$DE574,35),0)</f>
        <v/>
      </c>
      <c r="AM574">
        <f>IFERROR(INDEX(PP_Grid[#Data],$DE574,36),0)</f>
        <v/>
      </c>
      <c r="AN574">
        <f>IFERROR(INDEX(PP_Grid[#Data],$DE574,37),0)</f>
        <v/>
      </c>
      <c r="AO574">
        <f>IFERROR(INDEX(PP_Grid[#Data],$DE574,38),0)</f>
        <v/>
      </c>
      <c r="AP574">
        <f>IFERROR(INDEX(PP_Grid[#Data],$DE574,39),0)</f>
        <v/>
      </c>
      <c r="AQ574">
        <f>IFERROR(INDEX(PP_Grid[#Data],$DE574,40),0)</f>
        <v/>
      </c>
      <c r="AR574">
        <f>IFERROR(INDEX(PP_Grid[#Data],$DE574,41),0)</f>
        <v/>
      </c>
      <c r="AS574">
        <f>IFERROR(INDEX(PP_Grid[#Data],$DE574,42),0)</f>
        <v/>
      </c>
      <c r="AT574">
        <f>IFERROR(INDEX(PP_Grid[#Data],$DE574,43),0)</f>
        <v/>
      </c>
      <c r="AU574">
        <f>IFERROR(INDEX(PP_Grid[#Data],$DE574,44),0)</f>
        <v/>
      </c>
      <c r="AV574">
        <f>IFERROR(INDEX(PP_Grid[#Data],$DE574,45),0)</f>
        <v/>
      </c>
      <c r="AW574">
        <f>IFERROR(INDEX(PP_Grid[#Data],$DE574,46),0)</f>
        <v/>
      </c>
      <c r="AX574">
        <f>IFERROR(INDEX(PP_Grid[#Data],$DE574,47),0)</f>
        <v/>
      </c>
      <c r="AY574">
        <f>IFERROR(INDEX(PP_Grid[#Data],$DE574,48),0)</f>
        <v/>
      </c>
      <c r="AZ574">
        <f>IFERROR(INDEX(PP_Grid[#Data],$DE574,49),0)</f>
        <v/>
      </c>
      <c r="BA574">
        <f>IFERROR(INDEX(PP_Grid[#Data],$DE574,50),0)</f>
        <v/>
      </c>
      <c r="BB574">
        <f>IFERROR(INDEX(PP_Grid[#Data],$DE574,51),0)</f>
        <v/>
      </c>
      <c r="BC574">
        <f>IFERROR(INDEX(PP_Grid[#Data],$DE574,52),0)</f>
        <v/>
      </c>
      <c r="BD574">
        <f>IFERROR(INDEX(PP_Grid[#Data],$DE574,53),0)</f>
        <v/>
      </c>
      <c r="BE574">
        <f>IFERROR(INDEX(PP_Grid[#Data],$DE574,54),0)</f>
        <v/>
      </c>
      <c r="BF574">
        <f>IFERROR(INDEX(PP_Grid[#Data],$DE574,55),0)</f>
        <v/>
      </c>
      <c r="BG574">
        <f>IFERROR(INDEX(PP_Grid[#Data],$DE574,56),0)</f>
        <v/>
      </c>
      <c r="BH574">
        <f>IFERROR(INDEX(PP_Grid[#Data],$DE574,57),0)</f>
        <v/>
      </c>
      <c r="BI574">
        <f>IFERROR(INDEX(PP_Grid[#Data],$DE574,58),0)</f>
        <v/>
      </c>
      <c r="BJ574">
        <f>IFERROR(INDEX(PP_Grid[#Data],$DE574,59),0)</f>
        <v/>
      </c>
      <c r="BK574">
        <f>IFERROR(INDEX(PP_Grid[#Data],$DE574,60),0)</f>
        <v/>
      </c>
      <c r="BL574">
        <f>IFERROR(INDEX(PP_Grid[#Data],$DE574,61),0)</f>
        <v/>
      </c>
      <c r="BM574">
        <f>IFERROR(INDEX(PP_Grid[#Data],$DE574,62),0)</f>
        <v/>
      </c>
      <c r="BN574">
        <f>IFERROR(INDEX(PP_Grid[#Data],$DE574,63),0)</f>
        <v/>
      </c>
      <c r="BO574">
        <f>IFERROR(INDEX(PP_Grid[#Data],$DE574,64),0)</f>
        <v/>
      </c>
      <c r="BP574">
        <f>IFERROR(INDEX(PP_Grid[#Data],$DE574,65),0)</f>
        <v/>
      </c>
      <c r="BQ574">
        <f>IFERROR(INDEX(PP_Grid[#Data],$DE574,66),0)</f>
        <v/>
      </c>
      <c r="BR574">
        <f>IFERROR(INDEX(PP_Grid[#Data],$DE574,67),0)</f>
        <v/>
      </c>
      <c r="BS574">
        <f>IFERROR(INDEX(PP_Grid[#Data],$DE574,68),0)</f>
        <v/>
      </c>
      <c r="BT574">
        <f>IFERROR(INDEX(PP_Grid[#Data],$DE574,69),0)</f>
        <v/>
      </c>
      <c r="BU574">
        <f>IFERROR(INDEX(PP_Grid[#Data],$DE574,70),0)</f>
        <v/>
      </c>
      <c r="BV574">
        <f>IFERROR(INDEX(PP_Grid[#Data],$DE574,71),0)</f>
        <v/>
      </c>
      <c r="BW574">
        <f>IFERROR(INDEX(PP_Grid[#Data],$DE574,72),0)</f>
        <v/>
      </c>
      <c r="BX574">
        <f>IFERROR(INDEX(PP_Grid[#Data],$DE574,73),0)</f>
        <v/>
      </c>
      <c r="BY574">
        <f>IFERROR(INDEX(PP_Grid[#Data],$DE574,74),0)</f>
        <v/>
      </c>
      <c r="BZ574">
        <f>IFERROR(INDEX(PP_Grid[#Data],$DE574,75),0)</f>
        <v/>
      </c>
      <c r="CA574">
        <f>IFERROR(INDEX(PP_Grid[#Data],$DE574,76),0)</f>
        <v/>
      </c>
      <c r="CB574">
        <f>IFERROR(INDEX(PP_Grid[#Data],$DE574,77),0)</f>
        <v/>
      </c>
      <c r="CC574">
        <f>IFERROR(INDEX(PP_Grid[#Data],$DE574,78),0)</f>
        <v/>
      </c>
      <c r="CD574">
        <f>IFERROR(INDEX(PP_Grid[#Data],$DE574,79),0)</f>
        <v/>
      </c>
      <c r="CE574">
        <f>IFERROR(INDEX(PP_Grid[#Data],$DE574,80),0)</f>
        <v/>
      </c>
      <c r="CF574">
        <f>IFERROR(INDEX(PP_Grid[#Data],$DE574,81),0)</f>
        <v/>
      </c>
      <c r="CG574">
        <f>IFERROR(INDEX(PP_Grid[#Data],$DE574,82),0)</f>
        <v/>
      </c>
      <c r="CH574">
        <f>IFERROR(INDEX(PP_Grid[#Data],$DE574,83),0)</f>
        <v/>
      </c>
      <c r="CI574">
        <f>IFERROR(INDEX(PP_Grid[#Data],$DE574,84),0)</f>
        <v/>
      </c>
      <c r="CJ574">
        <f>IFERROR(INDEX(PP_Grid[#Data],$DE574,85),0)</f>
        <v/>
      </c>
      <c r="CK574">
        <f>IFERROR(INDEX(PP_Grid[#Data],$DE574,86),0)</f>
        <v/>
      </c>
      <c r="CL574">
        <f>IFERROR(INDEX(PP_Grid[#Data],$DE574,87),0)</f>
        <v/>
      </c>
      <c r="CM574">
        <f>IFERROR(INDEX(PP_Grid[#Data],$DE574,88),0)</f>
        <v/>
      </c>
      <c r="CN574">
        <f>IFERROR(INDEX(PP_Grid[#Data],$DE574,89),0)</f>
        <v/>
      </c>
      <c r="CO574">
        <f>IFERROR(INDEX(PP_Grid[#Data],$DE574,90),0)</f>
        <v/>
      </c>
      <c r="CP574">
        <f>IFERROR(INDEX(PP_Grid[#Data],$DE574,91),0)</f>
        <v/>
      </c>
      <c r="CQ574">
        <f>IFERROR(INDEX(PP_Grid[#Data],$DE574,92),0)</f>
        <v/>
      </c>
      <c r="CR574">
        <f>IFERROR(INDEX(PP_Grid[#Data],$DE574,93),0)</f>
        <v/>
      </c>
      <c r="CS574">
        <f>IFERROR(INDEX(PP_Grid[#Data],$DE574,94),0)</f>
        <v/>
      </c>
      <c r="CT574">
        <f>IFERROR(INDEX(PP_Grid[#Data],$DE574,95),0)</f>
        <v/>
      </c>
      <c r="CU574">
        <f>IFERROR(INDEX(PP_Grid[#Data],$DE574,96),0)</f>
        <v/>
      </c>
      <c r="CV574">
        <f>IFERROR(INDEX(PP_Grid[#Data],$DE574,97),0)</f>
        <v/>
      </c>
      <c r="CW574">
        <f>IFERROR(INDEX(PP_Grid[#Data],$DE574,98),0)</f>
        <v/>
      </c>
      <c r="CX574">
        <f>IFERROR(INDEX(PP_Grid[#Data],$DE574,99),0)</f>
        <v/>
      </c>
      <c r="CY574">
        <f>IFERROR(INDEX(PP_Grid[#Data],$DE574,100),0)</f>
        <v/>
      </c>
      <c r="CZ574">
        <f>IFERROR(INDEX(PP_Grid[#Data],$DE574,101),0)</f>
        <v/>
      </c>
      <c r="DA574">
        <f>IFERROR(INDEX(PP_Grid[#Data],$DE574,102),0)</f>
        <v/>
      </c>
      <c r="DB574">
        <f>IFERROR(INDEX(PP_Grid[#Data],$DE574,103),0)</f>
        <v/>
      </c>
      <c r="DC574">
        <f>IFERROR(INDEX(PP_Grid[#Data],$DE574,104),0)</f>
        <v/>
      </c>
      <c r="DD574">
        <f>IFERROR(INDEX(PP_Grid[#Data],$DE574,105),0)</f>
        <v/>
      </c>
      <c r="DE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SUMIFS(M_BOM[RM_Qty_Per_Batch],M_BOM[Intermediate],$B574,M_BOM[RM_Code],$A515)</f>
        <v/>
      </c>
      <c r="D575">
        <f>IFERROR(INDEX(E575:DD575,$F$1),"")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  <c r="DD575">
        <f>$C575*DD574</f>
        <v/>
      </c>
    </row>
    <row r="576">
      <c r="B576" t="inlineStr">
        <is>
          <t>TSP-934</t>
        </is>
      </c>
      <c r="C576" t="inlineStr">
        <is>
          <t>No. of batches</t>
        </is>
      </c>
      <c r="D576">
        <f>IFERROR(INDEX(E576:DD576,$F$1),"")</f>
        <v/>
      </c>
      <c r="E576">
        <f>IFERROR(INDEX(PP_Grid[#Data],$DE576,2),0)</f>
        <v/>
      </c>
      <c r="F576">
        <f>IFERROR(INDEX(PP_Grid[#Data],$DE576,3),0)</f>
        <v/>
      </c>
      <c r="G576">
        <f>IFERROR(INDEX(PP_Grid[#Data],$DE576,4),0)</f>
        <v/>
      </c>
      <c r="H576">
        <f>IFERROR(INDEX(PP_Grid[#Data],$DE576,5),0)</f>
        <v/>
      </c>
      <c r="I576">
        <f>IFERROR(INDEX(PP_Grid[#Data],$DE576,6),0)</f>
        <v/>
      </c>
      <c r="J576">
        <f>IFERROR(INDEX(PP_Grid[#Data],$DE576,7),0)</f>
        <v/>
      </c>
      <c r="K576">
        <f>IFERROR(INDEX(PP_Grid[#Data],$DE576,8),0)</f>
        <v/>
      </c>
      <c r="L576">
        <f>IFERROR(INDEX(PP_Grid[#Data],$DE576,9),0)</f>
        <v/>
      </c>
      <c r="M576">
        <f>IFERROR(INDEX(PP_Grid[#Data],$DE576,10),0)</f>
        <v/>
      </c>
      <c r="N576">
        <f>IFERROR(INDEX(PP_Grid[#Data],$DE576,11),0)</f>
        <v/>
      </c>
      <c r="O576">
        <f>IFERROR(INDEX(PP_Grid[#Data],$DE576,12),0)</f>
        <v/>
      </c>
      <c r="P576">
        <f>IFERROR(INDEX(PP_Grid[#Data],$DE576,13),0)</f>
        <v/>
      </c>
      <c r="Q576">
        <f>IFERROR(INDEX(PP_Grid[#Data],$DE576,14),0)</f>
        <v/>
      </c>
      <c r="R576">
        <f>IFERROR(INDEX(PP_Grid[#Data],$DE576,15),0)</f>
        <v/>
      </c>
      <c r="S576">
        <f>IFERROR(INDEX(PP_Grid[#Data],$DE576,16),0)</f>
        <v/>
      </c>
      <c r="T576">
        <f>IFERROR(INDEX(PP_Grid[#Data],$DE576,17),0)</f>
        <v/>
      </c>
      <c r="U576">
        <f>IFERROR(INDEX(PP_Grid[#Data],$DE576,18),0)</f>
        <v/>
      </c>
      <c r="V576">
        <f>IFERROR(INDEX(PP_Grid[#Data],$DE576,19),0)</f>
        <v/>
      </c>
      <c r="W576">
        <f>IFERROR(INDEX(PP_Grid[#Data],$DE576,20),0)</f>
        <v/>
      </c>
      <c r="X576">
        <f>IFERROR(INDEX(PP_Grid[#Data],$DE576,21),0)</f>
        <v/>
      </c>
      <c r="Y576">
        <f>IFERROR(INDEX(PP_Grid[#Data],$DE576,22),0)</f>
        <v/>
      </c>
      <c r="Z576">
        <f>IFERROR(INDEX(PP_Grid[#Data],$DE576,23),0)</f>
        <v/>
      </c>
      <c r="AA576">
        <f>IFERROR(INDEX(PP_Grid[#Data],$DE576,24),0)</f>
        <v/>
      </c>
      <c r="AB576">
        <f>IFERROR(INDEX(PP_Grid[#Data],$DE576,25),0)</f>
        <v/>
      </c>
      <c r="AC576">
        <f>IFERROR(INDEX(PP_Grid[#Data],$DE576,26),0)</f>
        <v/>
      </c>
      <c r="AD576">
        <f>IFERROR(INDEX(PP_Grid[#Data],$DE576,27),0)</f>
        <v/>
      </c>
      <c r="AE576">
        <f>IFERROR(INDEX(PP_Grid[#Data],$DE576,28),0)</f>
        <v/>
      </c>
      <c r="AF576">
        <f>IFERROR(INDEX(PP_Grid[#Data],$DE576,29),0)</f>
        <v/>
      </c>
      <c r="AG576">
        <f>IFERROR(INDEX(PP_Grid[#Data],$DE576,30),0)</f>
        <v/>
      </c>
      <c r="AH576">
        <f>IFERROR(INDEX(PP_Grid[#Data],$DE576,31),0)</f>
        <v/>
      </c>
      <c r="AI576">
        <f>IFERROR(INDEX(PP_Grid[#Data],$DE576,32),0)</f>
        <v/>
      </c>
      <c r="AJ576">
        <f>IFERROR(INDEX(PP_Grid[#Data],$DE576,33),0)</f>
        <v/>
      </c>
      <c r="AK576">
        <f>IFERROR(INDEX(PP_Grid[#Data],$DE576,34),0)</f>
        <v/>
      </c>
      <c r="AL576">
        <f>IFERROR(INDEX(PP_Grid[#Data],$DE576,35),0)</f>
        <v/>
      </c>
      <c r="AM576">
        <f>IFERROR(INDEX(PP_Grid[#Data],$DE576,36),0)</f>
        <v/>
      </c>
      <c r="AN576">
        <f>IFERROR(INDEX(PP_Grid[#Data],$DE576,37),0)</f>
        <v/>
      </c>
      <c r="AO576">
        <f>IFERROR(INDEX(PP_Grid[#Data],$DE576,38),0)</f>
        <v/>
      </c>
      <c r="AP576">
        <f>IFERROR(INDEX(PP_Grid[#Data],$DE576,39),0)</f>
        <v/>
      </c>
      <c r="AQ576">
        <f>IFERROR(INDEX(PP_Grid[#Data],$DE576,40),0)</f>
        <v/>
      </c>
      <c r="AR576">
        <f>IFERROR(INDEX(PP_Grid[#Data],$DE576,41),0)</f>
        <v/>
      </c>
      <c r="AS576">
        <f>IFERROR(INDEX(PP_Grid[#Data],$DE576,42),0)</f>
        <v/>
      </c>
      <c r="AT576">
        <f>IFERROR(INDEX(PP_Grid[#Data],$DE576,43),0)</f>
        <v/>
      </c>
      <c r="AU576">
        <f>IFERROR(INDEX(PP_Grid[#Data],$DE576,44),0)</f>
        <v/>
      </c>
      <c r="AV576">
        <f>IFERROR(INDEX(PP_Grid[#Data],$DE576,45),0)</f>
        <v/>
      </c>
      <c r="AW576">
        <f>IFERROR(INDEX(PP_Grid[#Data],$DE576,46),0)</f>
        <v/>
      </c>
      <c r="AX576">
        <f>IFERROR(INDEX(PP_Grid[#Data],$DE576,47),0)</f>
        <v/>
      </c>
      <c r="AY576">
        <f>IFERROR(INDEX(PP_Grid[#Data],$DE576,48),0)</f>
        <v/>
      </c>
      <c r="AZ576">
        <f>IFERROR(INDEX(PP_Grid[#Data],$DE576,49),0)</f>
        <v/>
      </c>
      <c r="BA576">
        <f>IFERROR(INDEX(PP_Grid[#Data],$DE576,50),0)</f>
        <v/>
      </c>
      <c r="BB576">
        <f>IFERROR(INDEX(PP_Grid[#Data],$DE576,51),0)</f>
        <v/>
      </c>
      <c r="BC576">
        <f>IFERROR(INDEX(PP_Grid[#Data],$DE576,52),0)</f>
        <v/>
      </c>
      <c r="BD576">
        <f>IFERROR(INDEX(PP_Grid[#Data],$DE576,53),0)</f>
        <v/>
      </c>
      <c r="BE576">
        <f>IFERROR(INDEX(PP_Grid[#Data],$DE576,54),0)</f>
        <v/>
      </c>
      <c r="BF576">
        <f>IFERROR(INDEX(PP_Grid[#Data],$DE576,55),0)</f>
        <v/>
      </c>
      <c r="BG576">
        <f>IFERROR(INDEX(PP_Grid[#Data],$DE576,56),0)</f>
        <v/>
      </c>
      <c r="BH576">
        <f>IFERROR(INDEX(PP_Grid[#Data],$DE576,57),0)</f>
        <v/>
      </c>
      <c r="BI576">
        <f>IFERROR(INDEX(PP_Grid[#Data],$DE576,58),0)</f>
        <v/>
      </c>
      <c r="BJ576">
        <f>IFERROR(INDEX(PP_Grid[#Data],$DE576,59),0)</f>
        <v/>
      </c>
      <c r="BK576">
        <f>IFERROR(INDEX(PP_Grid[#Data],$DE576,60),0)</f>
        <v/>
      </c>
      <c r="BL576">
        <f>IFERROR(INDEX(PP_Grid[#Data],$DE576,61),0)</f>
        <v/>
      </c>
      <c r="BM576">
        <f>IFERROR(INDEX(PP_Grid[#Data],$DE576,62),0)</f>
        <v/>
      </c>
      <c r="BN576">
        <f>IFERROR(INDEX(PP_Grid[#Data],$DE576,63),0)</f>
        <v/>
      </c>
      <c r="BO576">
        <f>IFERROR(INDEX(PP_Grid[#Data],$DE576,64),0)</f>
        <v/>
      </c>
      <c r="BP576">
        <f>IFERROR(INDEX(PP_Grid[#Data],$DE576,65),0)</f>
        <v/>
      </c>
      <c r="BQ576">
        <f>IFERROR(INDEX(PP_Grid[#Data],$DE576,66),0)</f>
        <v/>
      </c>
      <c r="BR576">
        <f>IFERROR(INDEX(PP_Grid[#Data],$DE576,67),0)</f>
        <v/>
      </c>
      <c r="BS576">
        <f>IFERROR(INDEX(PP_Grid[#Data],$DE576,68),0)</f>
        <v/>
      </c>
      <c r="BT576">
        <f>IFERROR(INDEX(PP_Grid[#Data],$DE576,69),0)</f>
        <v/>
      </c>
      <c r="BU576">
        <f>IFERROR(INDEX(PP_Grid[#Data],$DE576,70),0)</f>
        <v/>
      </c>
      <c r="BV576">
        <f>IFERROR(INDEX(PP_Grid[#Data],$DE576,71),0)</f>
        <v/>
      </c>
      <c r="BW576">
        <f>IFERROR(INDEX(PP_Grid[#Data],$DE576,72),0)</f>
        <v/>
      </c>
      <c r="BX576">
        <f>IFERROR(INDEX(PP_Grid[#Data],$DE576,73),0)</f>
        <v/>
      </c>
      <c r="BY576">
        <f>IFERROR(INDEX(PP_Grid[#Data],$DE576,74),0)</f>
        <v/>
      </c>
      <c r="BZ576">
        <f>IFERROR(INDEX(PP_Grid[#Data],$DE576,75),0)</f>
        <v/>
      </c>
      <c r="CA576">
        <f>IFERROR(INDEX(PP_Grid[#Data],$DE576,76),0)</f>
        <v/>
      </c>
      <c r="CB576">
        <f>IFERROR(INDEX(PP_Grid[#Data],$DE576,77),0)</f>
        <v/>
      </c>
      <c r="CC576">
        <f>IFERROR(INDEX(PP_Grid[#Data],$DE576,78),0)</f>
        <v/>
      </c>
      <c r="CD576">
        <f>IFERROR(INDEX(PP_Grid[#Data],$DE576,79),0)</f>
        <v/>
      </c>
      <c r="CE576">
        <f>IFERROR(INDEX(PP_Grid[#Data],$DE576,80),0)</f>
        <v/>
      </c>
      <c r="CF576">
        <f>IFERROR(INDEX(PP_Grid[#Data],$DE576,81),0)</f>
        <v/>
      </c>
      <c r="CG576">
        <f>IFERROR(INDEX(PP_Grid[#Data],$DE576,82),0)</f>
        <v/>
      </c>
      <c r="CH576">
        <f>IFERROR(INDEX(PP_Grid[#Data],$DE576,83),0)</f>
        <v/>
      </c>
      <c r="CI576">
        <f>IFERROR(INDEX(PP_Grid[#Data],$DE576,84),0)</f>
        <v/>
      </c>
      <c r="CJ576">
        <f>IFERROR(INDEX(PP_Grid[#Data],$DE576,85),0)</f>
        <v/>
      </c>
      <c r="CK576">
        <f>IFERROR(INDEX(PP_Grid[#Data],$DE576,86),0)</f>
        <v/>
      </c>
      <c r="CL576">
        <f>IFERROR(INDEX(PP_Grid[#Data],$DE576,87),0)</f>
        <v/>
      </c>
      <c r="CM576">
        <f>IFERROR(INDEX(PP_Grid[#Data],$DE576,88),0)</f>
        <v/>
      </c>
      <c r="CN576">
        <f>IFERROR(INDEX(PP_Grid[#Data],$DE576,89),0)</f>
        <v/>
      </c>
      <c r="CO576">
        <f>IFERROR(INDEX(PP_Grid[#Data],$DE576,90),0)</f>
        <v/>
      </c>
      <c r="CP576">
        <f>IFERROR(INDEX(PP_Grid[#Data],$DE576,91),0)</f>
        <v/>
      </c>
      <c r="CQ576">
        <f>IFERROR(INDEX(PP_Grid[#Data],$DE576,92),0)</f>
        <v/>
      </c>
      <c r="CR576">
        <f>IFERROR(INDEX(PP_Grid[#Data],$DE576,93),0)</f>
        <v/>
      </c>
      <c r="CS576">
        <f>IFERROR(INDEX(PP_Grid[#Data],$DE576,94),0)</f>
        <v/>
      </c>
      <c r="CT576">
        <f>IFERROR(INDEX(PP_Grid[#Data],$DE576,95),0)</f>
        <v/>
      </c>
      <c r="CU576">
        <f>IFERROR(INDEX(PP_Grid[#Data],$DE576,96),0)</f>
        <v/>
      </c>
      <c r="CV576">
        <f>IFERROR(INDEX(PP_Grid[#Data],$DE576,97),0)</f>
        <v/>
      </c>
      <c r="CW576">
        <f>IFERROR(INDEX(PP_Grid[#Data],$DE576,98),0)</f>
        <v/>
      </c>
      <c r="CX576">
        <f>IFERROR(INDEX(PP_Grid[#Data],$DE576,99),0)</f>
        <v/>
      </c>
      <c r="CY576">
        <f>IFERROR(INDEX(PP_Grid[#Data],$DE576,100),0)</f>
        <v/>
      </c>
      <c r="CZ576">
        <f>IFERROR(INDEX(PP_Grid[#Data],$DE576,101),0)</f>
        <v/>
      </c>
      <c r="DA576">
        <f>IFERROR(INDEX(PP_Grid[#Data],$DE576,102),0)</f>
        <v/>
      </c>
      <c r="DB576">
        <f>IFERROR(INDEX(PP_Grid[#Data],$DE576,103),0)</f>
        <v/>
      </c>
      <c r="DC576">
        <f>IFERROR(INDEX(PP_Grid[#Data],$DE576,104),0)</f>
        <v/>
      </c>
      <c r="DD576">
        <f>IFERROR(INDEX(PP_Grid[#Data],$DE576,105),0)</f>
        <v/>
      </c>
      <c r="DE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SUMIFS(M_BOM[RM_Qty_Per_Batch],M_BOM[Intermediate],$B576,M_BOM[RM_Code],$A515)</f>
        <v/>
      </c>
      <c r="D577">
        <f>IFERROR(INDEX(E577:DD577,$F$1),"")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  <c r="DD577">
        <f>$C577*DD576</f>
        <v/>
      </c>
    </row>
    <row r="578">
      <c r="B578" t="inlineStr">
        <is>
          <t>TSP-935</t>
        </is>
      </c>
      <c r="C578" t="inlineStr">
        <is>
          <t>No. of batches</t>
        </is>
      </c>
      <c r="D578">
        <f>IFERROR(INDEX(E578:DD578,$F$1),"")</f>
        <v/>
      </c>
      <c r="E578">
        <f>IFERROR(INDEX(PP_Grid[#Data],$DE578,2),0)</f>
        <v/>
      </c>
      <c r="F578">
        <f>IFERROR(INDEX(PP_Grid[#Data],$DE578,3),0)</f>
        <v/>
      </c>
      <c r="G578">
        <f>IFERROR(INDEX(PP_Grid[#Data],$DE578,4),0)</f>
        <v/>
      </c>
      <c r="H578">
        <f>IFERROR(INDEX(PP_Grid[#Data],$DE578,5),0)</f>
        <v/>
      </c>
      <c r="I578">
        <f>IFERROR(INDEX(PP_Grid[#Data],$DE578,6),0)</f>
        <v/>
      </c>
      <c r="J578">
        <f>IFERROR(INDEX(PP_Grid[#Data],$DE578,7),0)</f>
        <v/>
      </c>
      <c r="K578">
        <f>IFERROR(INDEX(PP_Grid[#Data],$DE578,8),0)</f>
        <v/>
      </c>
      <c r="L578">
        <f>IFERROR(INDEX(PP_Grid[#Data],$DE578,9),0)</f>
        <v/>
      </c>
      <c r="M578">
        <f>IFERROR(INDEX(PP_Grid[#Data],$DE578,10),0)</f>
        <v/>
      </c>
      <c r="N578">
        <f>IFERROR(INDEX(PP_Grid[#Data],$DE578,11),0)</f>
        <v/>
      </c>
      <c r="O578">
        <f>IFERROR(INDEX(PP_Grid[#Data],$DE578,12),0)</f>
        <v/>
      </c>
      <c r="P578">
        <f>IFERROR(INDEX(PP_Grid[#Data],$DE578,13),0)</f>
        <v/>
      </c>
      <c r="Q578">
        <f>IFERROR(INDEX(PP_Grid[#Data],$DE578,14),0)</f>
        <v/>
      </c>
      <c r="R578">
        <f>IFERROR(INDEX(PP_Grid[#Data],$DE578,15),0)</f>
        <v/>
      </c>
      <c r="S578">
        <f>IFERROR(INDEX(PP_Grid[#Data],$DE578,16),0)</f>
        <v/>
      </c>
      <c r="T578">
        <f>IFERROR(INDEX(PP_Grid[#Data],$DE578,17),0)</f>
        <v/>
      </c>
      <c r="U578">
        <f>IFERROR(INDEX(PP_Grid[#Data],$DE578,18),0)</f>
        <v/>
      </c>
      <c r="V578">
        <f>IFERROR(INDEX(PP_Grid[#Data],$DE578,19),0)</f>
        <v/>
      </c>
      <c r="W578">
        <f>IFERROR(INDEX(PP_Grid[#Data],$DE578,20),0)</f>
        <v/>
      </c>
      <c r="X578">
        <f>IFERROR(INDEX(PP_Grid[#Data],$DE578,21),0)</f>
        <v/>
      </c>
      <c r="Y578">
        <f>IFERROR(INDEX(PP_Grid[#Data],$DE578,22),0)</f>
        <v/>
      </c>
      <c r="Z578">
        <f>IFERROR(INDEX(PP_Grid[#Data],$DE578,23),0)</f>
        <v/>
      </c>
      <c r="AA578">
        <f>IFERROR(INDEX(PP_Grid[#Data],$DE578,24),0)</f>
        <v/>
      </c>
      <c r="AB578">
        <f>IFERROR(INDEX(PP_Grid[#Data],$DE578,25),0)</f>
        <v/>
      </c>
      <c r="AC578">
        <f>IFERROR(INDEX(PP_Grid[#Data],$DE578,26),0)</f>
        <v/>
      </c>
      <c r="AD578">
        <f>IFERROR(INDEX(PP_Grid[#Data],$DE578,27),0)</f>
        <v/>
      </c>
      <c r="AE578">
        <f>IFERROR(INDEX(PP_Grid[#Data],$DE578,28),0)</f>
        <v/>
      </c>
      <c r="AF578">
        <f>IFERROR(INDEX(PP_Grid[#Data],$DE578,29),0)</f>
        <v/>
      </c>
      <c r="AG578">
        <f>IFERROR(INDEX(PP_Grid[#Data],$DE578,30),0)</f>
        <v/>
      </c>
      <c r="AH578">
        <f>IFERROR(INDEX(PP_Grid[#Data],$DE578,31),0)</f>
        <v/>
      </c>
      <c r="AI578">
        <f>IFERROR(INDEX(PP_Grid[#Data],$DE578,32),0)</f>
        <v/>
      </c>
      <c r="AJ578">
        <f>IFERROR(INDEX(PP_Grid[#Data],$DE578,33),0)</f>
        <v/>
      </c>
      <c r="AK578">
        <f>IFERROR(INDEX(PP_Grid[#Data],$DE578,34),0)</f>
        <v/>
      </c>
      <c r="AL578">
        <f>IFERROR(INDEX(PP_Grid[#Data],$DE578,35),0)</f>
        <v/>
      </c>
      <c r="AM578">
        <f>IFERROR(INDEX(PP_Grid[#Data],$DE578,36),0)</f>
        <v/>
      </c>
      <c r="AN578">
        <f>IFERROR(INDEX(PP_Grid[#Data],$DE578,37),0)</f>
        <v/>
      </c>
      <c r="AO578">
        <f>IFERROR(INDEX(PP_Grid[#Data],$DE578,38),0)</f>
        <v/>
      </c>
      <c r="AP578">
        <f>IFERROR(INDEX(PP_Grid[#Data],$DE578,39),0)</f>
        <v/>
      </c>
      <c r="AQ578">
        <f>IFERROR(INDEX(PP_Grid[#Data],$DE578,40),0)</f>
        <v/>
      </c>
      <c r="AR578">
        <f>IFERROR(INDEX(PP_Grid[#Data],$DE578,41),0)</f>
        <v/>
      </c>
      <c r="AS578">
        <f>IFERROR(INDEX(PP_Grid[#Data],$DE578,42),0)</f>
        <v/>
      </c>
      <c r="AT578">
        <f>IFERROR(INDEX(PP_Grid[#Data],$DE578,43),0)</f>
        <v/>
      </c>
      <c r="AU578">
        <f>IFERROR(INDEX(PP_Grid[#Data],$DE578,44),0)</f>
        <v/>
      </c>
      <c r="AV578">
        <f>IFERROR(INDEX(PP_Grid[#Data],$DE578,45),0)</f>
        <v/>
      </c>
      <c r="AW578">
        <f>IFERROR(INDEX(PP_Grid[#Data],$DE578,46),0)</f>
        <v/>
      </c>
      <c r="AX578">
        <f>IFERROR(INDEX(PP_Grid[#Data],$DE578,47),0)</f>
        <v/>
      </c>
      <c r="AY578">
        <f>IFERROR(INDEX(PP_Grid[#Data],$DE578,48),0)</f>
        <v/>
      </c>
      <c r="AZ578">
        <f>IFERROR(INDEX(PP_Grid[#Data],$DE578,49),0)</f>
        <v/>
      </c>
      <c r="BA578">
        <f>IFERROR(INDEX(PP_Grid[#Data],$DE578,50),0)</f>
        <v/>
      </c>
      <c r="BB578">
        <f>IFERROR(INDEX(PP_Grid[#Data],$DE578,51),0)</f>
        <v/>
      </c>
      <c r="BC578">
        <f>IFERROR(INDEX(PP_Grid[#Data],$DE578,52),0)</f>
        <v/>
      </c>
      <c r="BD578">
        <f>IFERROR(INDEX(PP_Grid[#Data],$DE578,53),0)</f>
        <v/>
      </c>
      <c r="BE578">
        <f>IFERROR(INDEX(PP_Grid[#Data],$DE578,54),0)</f>
        <v/>
      </c>
      <c r="BF578">
        <f>IFERROR(INDEX(PP_Grid[#Data],$DE578,55),0)</f>
        <v/>
      </c>
      <c r="BG578">
        <f>IFERROR(INDEX(PP_Grid[#Data],$DE578,56),0)</f>
        <v/>
      </c>
      <c r="BH578">
        <f>IFERROR(INDEX(PP_Grid[#Data],$DE578,57),0)</f>
        <v/>
      </c>
      <c r="BI578">
        <f>IFERROR(INDEX(PP_Grid[#Data],$DE578,58),0)</f>
        <v/>
      </c>
      <c r="BJ578">
        <f>IFERROR(INDEX(PP_Grid[#Data],$DE578,59),0)</f>
        <v/>
      </c>
      <c r="BK578">
        <f>IFERROR(INDEX(PP_Grid[#Data],$DE578,60),0)</f>
        <v/>
      </c>
      <c r="BL578">
        <f>IFERROR(INDEX(PP_Grid[#Data],$DE578,61),0)</f>
        <v/>
      </c>
      <c r="BM578">
        <f>IFERROR(INDEX(PP_Grid[#Data],$DE578,62),0)</f>
        <v/>
      </c>
      <c r="BN578">
        <f>IFERROR(INDEX(PP_Grid[#Data],$DE578,63),0)</f>
        <v/>
      </c>
      <c r="BO578">
        <f>IFERROR(INDEX(PP_Grid[#Data],$DE578,64),0)</f>
        <v/>
      </c>
      <c r="BP578">
        <f>IFERROR(INDEX(PP_Grid[#Data],$DE578,65),0)</f>
        <v/>
      </c>
      <c r="BQ578">
        <f>IFERROR(INDEX(PP_Grid[#Data],$DE578,66),0)</f>
        <v/>
      </c>
      <c r="BR578">
        <f>IFERROR(INDEX(PP_Grid[#Data],$DE578,67),0)</f>
        <v/>
      </c>
      <c r="BS578">
        <f>IFERROR(INDEX(PP_Grid[#Data],$DE578,68),0)</f>
        <v/>
      </c>
      <c r="BT578">
        <f>IFERROR(INDEX(PP_Grid[#Data],$DE578,69),0)</f>
        <v/>
      </c>
      <c r="BU578">
        <f>IFERROR(INDEX(PP_Grid[#Data],$DE578,70),0)</f>
        <v/>
      </c>
      <c r="BV578">
        <f>IFERROR(INDEX(PP_Grid[#Data],$DE578,71),0)</f>
        <v/>
      </c>
      <c r="BW578">
        <f>IFERROR(INDEX(PP_Grid[#Data],$DE578,72),0)</f>
        <v/>
      </c>
      <c r="BX578">
        <f>IFERROR(INDEX(PP_Grid[#Data],$DE578,73),0)</f>
        <v/>
      </c>
      <c r="BY578">
        <f>IFERROR(INDEX(PP_Grid[#Data],$DE578,74),0)</f>
        <v/>
      </c>
      <c r="BZ578">
        <f>IFERROR(INDEX(PP_Grid[#Data],$DE578,75),0)</f>
        <v/>
      </c>
      <c r="CA578">
        <f>IFERROR(INDEX(PP_Grid[#Data],$DE578,76),0)</f>
        <v/>
      </c>
      <c r="CB578">
        <f>IFERROR(INDEX(PP_Grid[#Data],$DE578,77),0)</f>
        <v/>
      </c>
      <c r="CC578">
        <f>IFERROR(INDEX(PP_Grid[#Data],$DE578,78),0)</f>
        <v/>
      </c>
      <c r="CD578">
        <f>IFERROR(INDEX(PP_Grid[#Data],$DE578,79),0)</f>
        <v/>
      </c>
      <c r="CE578">
        <f>IFERROR(INDEX(PP_Grid[#Data],$DE578,80),0)</f>
        <v/>
      </c>
      <c r="CF578">
        <f>IFERROR(INDEX(PP_Grid[#Data],$DE578,81),0)</f>
        <v/>
      </c>
      <c r="CG578">
        <f>IFERROR(INDEX(PP_Grid[#Data],$DE578,82),0)</f>
        <v/>
      </c>
      <c r="CH578">
        <f>IFERROR(INDEX(PP_Grid[#Data],$DE578,83),0)</f>
        <v/>
      </c>
      <c r="CI578">
        <f>IFERROR(INDEX(PP_Grid[#Data],$DE578,84),0)</f>
        <v/>
      </c>
      <c r="CJ578">
        <f>IFERROR(INDEX(PP_Grid[#Data],$DE578,85),0)</f>
        <v/>
      </c>
      <c r="CK578">
        <f>IFERROR(INDEX(PP_Grid[#Data],$DE578,86),0)</f>
        <v/>
      </c>
      <c r="CL578">
        <f>IFERROR(INDEX(PP_Grid[#Data],$DE578,87),0)</f>
        <v/>
      </c>
      <c r="CM578">
        <f>IFERROR(INDEX(PP_Grid[#Data],$DE578,88),0)</f>
        <v/>
      </c>
      <c r="CN578">
        <f>IFERROR(INDEX(PP_Grid[#Data],$DE578,89),0)</f>
        <v/>
      </c>
      <c r="CO578">
        <f>IFERROR(INDEX(PP_Grid[#Data],$DE578,90),0)</f>
        <v/>
      </c>
      <c r="CP578">
        <f>IFERROR(INDEX(PP_Grid[#Data],$DE578,91),0)</f>
        <v/>
      </c>
      <c r="CQ578">
        <f>IFERROR(INDEX(PP_Grid[#Data],$DE578,92),0)</f>
        <v/>
      </c>
      <c r="CR578">
        <f>IFERROR(INDEX(PP_Grid[#Data],$DE578,93),0)</f>
        <v/>
      </c>
      <c r="CS578">
        <f>IFERROR(INDEX(PP_Grid[#Data],$DE578,94),0)</f>
        <v/>
      </c>
      <c r="CT578">
        <f>IFERROR(INDEX(PP_Grid[#Data],$DE578,95),0)</f>
        <v/>
      </c>
      <c r="CU578">
        <f>IFERROR(INDEX(PP_Grid[#Data],$DE578,96),0)</f>
        <v/>
      </c>
      <c r="CV578">
        <f>IFERROR(INDEX(PP_Grid[#Data],$DE578,97),0)</f>
        <v/>
      </c>
      <c r="CW578">
        <f>IFERROR(INDEX(PP_Grid[#Data],$DE578,98),0)</f>
        <v/>
      </c>
      <c r="CX578">
        <f>IFERROR(INDEX(PP_Grid[#Data],$DE578,99),0)</f>
        <v/>
      </c>
      <c r="CY578">
        <f>IFERROR(INDEX(PP_Grid[#Data],$DE578,100),0)</f>
        <v/>
      </c>
      <c r="CZ578">
        <f>IFERROR(INDEX(PP_Grid[#Data],$DE578,101),0)</f>
        <v/>
      </c>
      <c r="DA578">
        <f>IFERROR(INDEX(PP_Grid[#Data],$DE578,102),0)</f>
        <v/>
      </c>
      <c r="DB578">
        <f>IFERROR(INDEX(PP_Grid[#Data],$DE578,103),0)</f>
        <v/>
      </c>
      <c r="DC578">
        <f>IFERROR(INDEX(PP_Grid[#Data],$DE578,104),0)</f>
        <v/>
      </c>
      <c r="DD578">
        <f>IFERROR(INDEX(PP_Grid[#Data],$DE578,105),0)</f>
        <v/>
      </c>
      <c r="DE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SUMIFS(M_BOM[RM_Qty_Per_Batch],M_BOM[Intermediate],$B578,M_BOM[RM_Code],$A515)</f>
        <v/>
      </c>
      <c r="D579">
        <f>IFERROR(INDEX(E579:DD579,$F$1),"")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  <c r="DD579">
        <f>$C579*DD578</f>
        <v/>
      </c>
    </row>
    <row r="580">
      <c r="B580" t="inlineStr">
        <is>
          <t>TSP-936</t>
        </is>
      </c>
      <c r="C580" t="inlineStr">
        <is>
          <t>No. of batches</t>
        </is>
      </c>
      <c r="D580">
        <f>IFERROR(INDEX(E580:DD580,$F$1),"")</f>
        <v/>
      </c>
      <c r="E580">
        <f>IFERROR(INDEX(PP_Grid[#Data],$DE580,2),0)</f>
        <v/>
      </c>
      <c r="F580">
        <f>IFERROR(INDEX(PP_Grid[#Data],$DE580,3),0)</f>
        <v/>
      </c>
      <c r="G580">
        <f>IFERROR(INDEX(PP_Grid[#Data],$DE580,4),0)</f>
        <v/>
      </c>
      <c r="H580">
        <f>IFERROR(INDEX(PP_Grid[#Data],$DE580,5),0)</f>
        <v/>
      </c>
      <c r="I580">
        <f>IFERROR(INDEX(PP_Grid[#Data],$DE580,6),0)</f>
        <v/>
      </c>
      <c r="J580">
        <f>IFERROR(INDEX(PP_Grid[#Data],$DE580,7),0)</f>
        <v/>
      </c>
      <c r="K580">
        <f>IFERROR(INDEX(PP_Grid[#Data],$DE580,8),0)</f>
        <v/>
      </c>
      <c r="L580">
        <f>IFERROR(INDEX(PP_Grid[#Data],$DE580,9),0)</f>
        <v/>
      </c>
      <c r="M580">
        <f>IFERROR(INDEX(PP_Grid[#Data],$DE580,10),0)</f>
        <v/>
      </c>
      <c r="N580">
        <f>IFERROR(INDEX(PP_Grid[#Data],$DE580,11),0)</f>
        <v/>
      </c>
      <c r="O580">
        <f>IFERROR(INDEX(PP_Grid[#Data],$DE580,12),0)</f>
        <v/>
      </c>
      <c r="P580">
        <f>IFERROR(INDEX(PP_Grid[#Data],$DE580,13),0)</f>
        <v/>
      </c>
      <c r="Q580">
        <f>IFERROR(INDEX(PP_Grid[#Data],$DE580,14),0)</f>
        <v/>
      </c>
      <c r="R580">
        <f>IFERROR(INDEX(PP_Grid[#Data],$DE580,15),0)</f>
        <v/>
      </c>
      <c r="S580">
        <f>IFERROR(INDEX(PP_Grid[#Data],$DE580,16),0)</f>
        <v/>
      </c>
      <c r="T580">
        <f>IFERROR(INDEX(PP_Grid[#Data],$DE580,17),0)</f>
        <v/>
      </c>
      <c r="U580">
        <f>IFERROR(INDEX(PP_Grid[#Data],$DE580,18),0)</f>
        <v/>
      </c>
      <c r="V580">
        <f>IFERROR(INDEX(PP_Grid[#Data],$DE580,19),0)</f>
        <v/>
      </c>
      <c r="W580">
        <f>IFERROR(INDEX(PP_Grid[#Data],$DE580,20),0)</f>
        <v/>
      </c>
      <c r="X580">
        <f>IFERROR(INDEX(PP_Grid[#Data],$DE580,21),0)</f>
        <v/>
      </c>
      <c r="Y580">
        <f>IFERROR(INDEX(PP_Grid[#Data],$DE580,22),0)</f>
        <v/>
      </c>
      <c r="Z580">
        <f>IFERROR(INDEX(PP_Grid[#Data],$DE580,23),0)</f>
        <v/>
      </c>
      <c r="AA580">
        <f>IFERROR(INDEX(PP_Grid[#Data],$DE580,24),0)</f>
        <v/>
      </c>
      <c r="AB580">
        <f>IFERROR(INDEX(PP_Grid[#Data],$DE580,25),0)</f>
        <v/>
      </c>
      <c r="AC580">
        <f>IFERROR(INDEX(PP_Grid[#Data],$DE580,26),0)</f>
        <v/>
      </c>
      <c r="AD580">
        <f>IFERROR(INDEX(PP_Grid[#Data],$DE580,27),0)</f>
        <v/>
      </c>
      <c r="AE580">
        <f>IFERROR(INDEX(PP_Grid[#Data],$DE580,28),0)</f>
        <v/>
      </c>
      <c r="AF580">
        <f>IFERROR(INDEX(PP_Grid[#Data],$DE580,29),0)</f>
        <v/>
      </c>
      <c r="AG580">
        <f>IFERROR(INDEX(PP_Grid[#Data],$DE580,30),0)</f>
        <v/>
      </c>
      <c r="AH580">
        <f>IFERROR(INDEX(PP_Grid[#Data],$DE580,31),0)</f>
        <v/>
      </c>
      <c r="AI580">
        <f>IFERROR(INDEX(PP_Grid[#Data],$DE580,32),0)</f>
        <v/>
      </c>
      <c r="AJ580">
        <f>IFERROR(INDEX(PP_Grid[#Data],$DE580,33),0)</f>
        <v/>
      </c>
      <c r="AK580">
        <f>IFERROR(INDEX(PP_Grid[#Data],$DE580,34),0)</f>
        <v/>
      </c>
      <c r="AL580">
        <f>IFERROR(INDEX(PP_Grid[#Data],$DE580,35),0)</f>
        <v/>
      </c>
      <c r="AM580">
        <f>IFERROR(INDEX(PP_Grid[#Data],$DE580,36),0)</f>
        <v/>
      </c>
      <c r="AN580">
        <f>IFERROR(INDEX(PP_Grid[#Data],$DE580,37),0)</f>
        <v/>
      </c>
      <c r="AO580">
        <f>IFERROR(INDEX(PP_Grid[#Data],$DE580,38),0)</f>
        <v/>
      </c>
      <c r="AP580">
        <f>IFERROR(INDEX(PP_Grid[#Data],$DE580,39),0)</f>
        <v/>
      </c>
      <c r="AQ580">
        <f>IFERROR(INDEX(PP_Grid[#Data],$DE580,40),0)</f>
        <v/>
      </c>
      <c r="AR580">
        <f>IFERROR(INDEX(PP_Grid[#Data],$DE580,41),0)</f>
        <v/>
      </c>
      <c r="AS580">
        <f>IFERROR(INDEX(PP_Grid[#Data],$DE580,42),0)</f>
        <v/>
      </c>
      <c r="AT580">
        <f>IFERROR(INDEX(PP_Grid[#Data],$DE580,43),0)</f>
        <v/>
      </c>
      <c r="AU580">
        <f>IFERROR(INDEX(PP_Grid[#Data],$DE580,44),0)</f>
        <v/>
      </c>
      <c r="AV580">
        <f>IFERROR(INDEX(PP_Grid[#Data],$DE580,45),0)</f>
        <v/>
      </c>
      <c r="AW580">
        <f>IFERROR(INDEX(PP_Grid[#Data],$DE580,46),0)</f>
        <v/>
      </c>
      <c r="AX580">
        <f>IFERROR(INDEX(PP_Grid[#Data],$DE580,47),0)</f>
        <v/>
      </c>
      <c r="AY580">
        <f>IFERROR(INDEX(PP_Grid[#Data],$DE580,48),0)</f>
        <v/>
      </c>
      <c r="AZ580">
        <f>IFERROR(INDEX(PP_Grid[#Data],$DE580,49),0)</f>
        <v/>
      </c>
      <c r="BA580">
        <f>IFERROR(INDEX(PP_Grid[#Data],$DE580,50),0)</f>
        <v/>
      </c>
      <c r="BB580">
        <f>IFERROR(INDEX(PP_Grid[#Data],$DE580,51),0)</f>
        <v/>
      </c>
      <c r="BC580">
        <f>IFERROR(INDEX(PP_Grid[#Data],$DE580,52),0)</f>
        <v/>
      </c>
      <c r="BD580">
        <f>IFERROR(INDEX(PP_Grid[#Data],$DE580,53),0)</f>
        <v/>
      </c>
      <c r="BE580">
        <f>IFERROR(INDEX(PP_Grid[#Data],$DE580,54),0)</f>
        <v/>
      </c>
      <c r="BF580">
        <f>IFERROR(INDEX(PP_Grid[#Data],$DE580,55),0)</f>
        <v/>
      </c>
      <c r="BG580">
        <f>IFERROR(INDEX(PP_Grid[#Data],$DE580,56),0)</f>
        <v/>
      </c>
      <c r="BH580">
        <f>IFERROR(INDEX(PP_Grid[#Data],$DE580,57),0)</f>
        <v/>
      </c>
      <c r="BI580">
        <f>IFERROR(INDEX(PP_Grid[#Data],$DE580,58),0)</f>
        <v/>
      </c>
      <c r="BJ580">
        <f>IFERROR(INDEX(PP_Grid[#Data],$DE580,59),0)</f>
        <v/>
      </c>
      <c r="BK580">
        <f>IFERROR(INDEX(PP_Grid[#Data],$DE580,60),0)</f>
        <v/>
      </c>
      <c r="BL580">
        <f>IFERROR(INDEX(PP_Grid[#Data],$DE580,61),0)</f>
        <v/>
      </c>
      <c r="BM580">
        <f>IFERROR(INDEX(PP_Grid[#Data],$DE580,62),0)</f>
        <v/>
      </c>
      <c r="BN580">
        <f>IFERROR(INDEX(PP_Grid[#Data],$DE580,63),0)</f>
        <v/>
      </c>
      <c r="BO580">
        <f>IFERROR(INDEX(PP_Grid[#Data],$DE580,64),0)</f>
        <v/>
      </c>
      <c r="BP580">
        <f>IFERROR(INDEX(PP_Grid[#Data],$DE580,65),0)</f>
        <v/>
      </c>
      <c r="BQ580">
        <f>IFERROR(INDEX(PP_Grid[#Data],$DE580,66),0)</f>
        <v/>
      </c>
      <c r="BR580">
        <f>IFERROR(INDEX(PP_Grid[#Data],$DE580,67),0)</f>
        <v/>
      </c>
      <c r="BS580">
        <f>IFERROR(INDEX(PP_Grid[#Data],$DE580,68),0)</f>
        <v/>
      </c>
      <c r="BT580">
        <f>IFERROR(INDEX(PP_Grid[#Data],$DE580,69),0)</f>
        <v/>
      </c>
      <c r="BU580">
        <f>IFERROR(INDEX(PP_Grid[#Data],$DE580,70),0)</f>
        <v/>
      </c>
      <c r="BV580">
        <f>IFERROR(INDEX(PP_Grid[#Data],$DE580,71),0)</f>
        <v/>
      </c>
      <c r="BW580">
        <f>IFERROR(INDEX(PP_Grid[#Data],$DE580,72),0)</f>
        <v/>
      </c>
      <c r="BX580">
        <f>IFERROR(INDEX(PP_Grid[#Data],$DE580,73),0)</f>
        <v/>
      </c>
      <c r="BY580">
        <f>IFERROR(INDEX(PP_Grid[#Data],$DE580,74),0)</f>
        <v/>
      </c>
      <c r="BZ580">
        <f>IFERROR(INDEX(PP_Grid[#Data],$DE580,75),0)</f>
        <v/>
      </c>
      <c r="CA580">
        <f>IFERROR(INDEX(PP_Grid[#Data],$DE580,76),0)</f>
        <v/>
      </c>
      <c r="CB580">
        <f>IFERROR(INDEX(PP_Grid[#Data],$DE580,77),0)</f>
        <v/>
      </c>
      <c r="CC580">
        <f>IFERROR(INDEX(PP_Grid[#Data],$DE580,78),0)</f>
        <v/>
      </c>
      <c r="CD580">
        <f>IFERROR(INDEX(PP_Grid[#Data],$DE580,79),0)</f>
        <v/>
      </c>
      <c r="CE580">
        <f>IFERROR(INDEX(PP_Grid[#Data],$DE580,80),0)</f>
        <v/>
      </c>
      <c r="CF580">
        <f>IFERROR(INDEX(PP_Grid[#Data],$DE580,81),0)</f>
        <v/>
      </c>
      <c r="CG580">
        <f>IFERROR(INDEX(PP_Grid[#Data],$DE580,82),0)</f>
        <v/>
      </c>
      <c r="CH580">
        <f>IFERROR(INDEX(PP_Grid[#Data],$DE580,83),0)</f>
        <v/>
      </c>
      <c r="CI580">
        <f>IFERROR(INDEX(PP_Grid[#Data],$DE580,84),0)</f>
        <v/>
      </c>
      <c r="CJ580">
        <f>IFERROR(INDEX(PP_Grid[#Data],$DE580,85),0)</f>
        <v/>
      </c>
      <c r="CK580">
        <f>IFERROR(INDEX(PP_Grid[#Data],$DE580,86),0)</f>
        <v/>
      </c>
      <c r="CL580">
        <f>IFERROR(INDEX(PP_Grid[#Data],$DE580,87),0)</f>
        <v/>
      </c>
      <c r="CM580">
        <f>IFERROR(INDEX(PP_Grid[#Data],$DE580,88),0)</f>
        <v/>
      </c>
      <c r="CN580">
        <f>IFERROR(INDEX(PP_Grid[#Data],$DE580,89),0)</f>
        <v/>
      </c>
      <c r="CO580">
        <f>IFERROR(INDEX(PP_Grid[#Data],$DE580,90),0)</f>
        <v/>
      </c>
      <c r="CP580">
        <f>IFERROR(INDEX(PP_Grid[#Data],$DE580,91),0)</f>
        <v/>
      </c>
      <c r="CQ580">
        <f>IFERROR(INDEX(PP_Grid[#Data],$DE580,92),0)</f>
        <v/>
      </c>
      <c r="CR580">
        <f>IFERROR(INDEX(PP_Grid[#Data],$DE580,93),0)</f>
        <v/>
      </c>
      <c r="CS580">
        <f>IFERROR(INDEX(PP_Grid[#Data],$DE580,94),0)</f>
        <v/>
      </c>
      <c r="CT580">
        <f>IFERROR(INDEX(PP_Grid[#Data],$DE580,95),0)</f>
        <v/>
      </c>
      <c r="CU580">
        <f>IFERROR(INDEX(PP_Grid[#Data],$DE580,96),0)</f>
        <v/>
      </c>
      <c r="CV580">
        <f>IFERROR(INDEX(PP_Grid[#Data],$DE580,97),0)</f>
        <v/>
      </c>
      <c r="CW580">
        <f>IFERROR(INDEX(PP_Grid[#Data],$DE580,98),0)</f>
        <v/>
      </c>
      <c r="CX580">
        <f>IFERROR(INDEX(PP_Grid[#Data],$DE580,99),0)</f>
        <v/>
      </c>
      <c r="CY580">
        <f>IFERROR(INDEX(PP_Grid[#Data],$DE580,100),0)</f>
        <v/>
      </c>
      <c r="CZ580">
        <f>IFERROR(INDEX(PP_Grid[#Data],$DE580,101),0)</f>
        <v/>
      </c>
      <c r="DA580">
        <f>IFERROR(INDEX(PP_Grid[#Data],$DE580,102),0)</f>
        <v/>
      </c>
      <c r="DB580">
        <f>IFERROR(INDEX(PP_Grid[#Data],$DE580,103),0)</f>
        <v/>
      </c>
      <c r="DC580">
        <f>IFERROR(INDEX(PP_Grid[#Data],$DE580,104),0)</f>
        <v/>
      </c>
      <c r="DD580">
        <f>IFERROR(INDEX(PP_Grid[#Data],$DE580,105),0)</f>
        <v/>
      </c>
      <c r="DE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SUMIFS(M_BOM[RM_Qty_Per_Batch],M_BOM[Intermediate],$B580,M_BOM[RM_Code],$A515)</f>
        <v/>
      </c>
      <c r="D581">
        <f>IFERROR(INDEX(E581:DD581,$F$1),"")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  <c r="DD581">
        <f>$C581*DD580</f>
        <v/>
      </c>
    </row>
    <row r="582">
      <c r="B582" t="inlineStr">
        <is>
          <t>TSP-937</t>
        </is>
      </c>
      <c r="C582" t="inlineStr">
        <is>
          <t>No. of batches</t>
        </is>
      </c>
      <c r="D582">
        <f>IFERROR(INDEX(E582:DD582,$F$1),"")</f>
        <v/>
      </c>
      <c r="E582">
        <f>IFERROR(INDEX(PP_Grid[#Data],$DE582,2),0)</f>
        <v/>
      </c>
      <c r="F582">
        <f>IFERROR(INDEX(PP_Grid[#Data],$DE582,3),0)</f>
        <v/>
      </c>
      <c r="G582">
        <f>IFERROR(INDEX(PP_Grid[#Data],$DE582,4),0)</f>
        <v/>
      </c>
      <c r="H582">
        <f>IFERROR(INDEX(PP_Grid[#Data],$DE582,5),0)</f>
        <v/>
      </c>
      <c r="I582">
        <f>IFERROR(INDEX(PP_Grid[#Data],$DE582,6),0)</f>
        <v/>
      </c>
      <c r="J582">
        <f>IFERROR(INDEX(PP_Grid[#Data],$DE582,7),0)</f>
        <v/>
      </c>
      <c r="K582">
        <f>IFERROR(INDEX(PP_Grid[#Data],$DE582,8),0)</f>
        <v/>
      </c>
      <c r="L582">
        <f>IFERROR(INDEX(PP_Grid[#Data],$DE582,9),0)</f>
        <v/>
      </c>
      <c r="M582">
        <f>IFERROR(INDEX(PP_Grid[#Data],$DE582,10),0)</f>
        <v/>
      </c>
      <c r="N582">
        <f>IFERROR(INDEX(PP_Grid[#Data],$DE582,11),0)</f>
        <v/>
      </c>
      <c r="O582">
        <f>IFERROR(INDEX(PP_Grid[#Data],$DE582,12),0)</f>
        <v/>
      </c>
      <c r="P582">
        <f>IFERROR(INDEX(PP_Grid[#Data],$DE582,13),0)</f>
        <v/>
      </c>
      <c r="Q582">
        <f>IFERROR(INDEX(PP_Grid[#Data],$DE582,14),0)</f>
        <v/>
      </c>
      <c r="R582">
        <f>IFERROR(INDEX(PP_Grid[#Data],$DE582,15),0)</f>
        <v/>
      </c>
      <c r="S582">
        <f>IFERROR(INDEX(PP_Grid[#Data],$DE582,16),0)</f>
        <v/>
      </c>
      <c r="T582">
        <f>IFERROR(INDEX(PP_Grid[#Data],$DE582,17),0)</f>
        <v/>
      </c>
      <c r="U582">
        <f>IFERROR(INDEX(PP_Grid[#Data],$DE582,18),0)</f>
        <v/>
      </c>
      <c r="V582">
        <f>IFERROR(INDEX(PP_Grid[#Data],$DE582,19),0)</f>
        <v/>
      </c>
      <c r="W582">
        <f>IFERROR(INDEX(PP_Grid[#Data],$DE582,20),0)</f>
        <v/>
      </c>
      <c r="X582">
        <f>IFERROR(INDEX(PP_Grid[#Data],$DE582,21),0)</f>
        <v/>
      </c>
      <c r="Y582">
        <f>IFERROR(INDEX(PP_Grid[#Data],$DE582,22),0)</f>
        <v/>
      </c>
      <c r="Z582">
        <f>IFERROR(INDEX(PP_Grid[#Data],$DE582,23),0)</f>
        <v/>
      </c>
      <c r="AA582">
        <f>IFERROR(INDEX(PP_Grid[#Data],$DE582,24),0)</f>
        <v/>
      </c>
      <c r="AB582">
        <f>IFERROR(INDEX(PP_Grid[#Data],$DE582,25),0)</f>
        <v/>
      </c>
      <c r="AC582">
        <f>IFERROR(INDEX(PP_Grid[#Data],$DE582,26),0)</f>
        <v/>
      </c>
      <c r="AD582">
        <f>IFERROR(INDEX(PP_Grid[#Data],$DE582,27),0)</f>
        <v/>
      </c>
      <c r="AE582">
        <f>IFERROR(INDEX(PP_Grid[#Data],$DE582,28),0)</f>
        <v/>
      </c>
      <c r="AF582">
        <f>IFERROR(INDEX(PP_Grid[#Data],$DE582,29),0)</f>
        <v/>
      </c>
      <c r="AG582">
        <f>IFERROR(INDEX(PP_Grid[#Data],$DE582,30),0)</f>
        <v/>
      </c>
      <c r="AH582">
        <f>IFERROR(INDEX(PP_Grid[#Data],$DE582,31),0)</f>
        <v/>
      </c>
      <c r="AI582">
        <f>IFERROR(INDEX(PP_Grid[#Data],$DE582,32),0)</f>
        <v/>
      </c>
      <c r="AJ582">
        <f>IFERROR(INDEX(PP_Grid[#Data],$DE582,33),0)</f>
        <v/>
      </c>
      <c r="AK582">
        <f>IFERROR(INDEX(PP_Grid[#Data],$DE582,34),0)</f>
        <v/>
      </c>
      <c r="AL582">
        <f>IFERROR(INDEX(PP_Grid[#Data],$DE582,35),0)</f>
        <v/>
      </c>
      <c r="AM582">
        <f>IFERROR(INDEX(PP_Grid[#Data],$DE582,36),0)</f>
        <v/>
      </c>
      <c r="AN582">
        <f>IFERROR(INDEX(PP_Grid[#Data],$DE582,37),0)</f>
        <v/>
      </c>
      <c r="AO582">
        <f>IFERROR(INDEX(PP_Grid[#Data],$DE582,38),0)</f>
        <v/>
      </c>
      <c r="AP582">
        <f>IFERROR(INDEX(PP_Grid[#Data],$DE582,39),0)</f>
        <v/>
      </c>
      <c r="AQ582">
        <f>IFERROR(INDEX(PP_Grid[#Data],$DE582,40),0)</f>
        <v/>
      </c>
      <c r="AR582">
        <f>IFERROR(INDEX(PP_Grid[#Data],$DE582,41),0)</f>
        <v/>
      </c>
      <c r="AS582">
        <f>IFERROR(INDEX(PP_Grid[#Data],$DE582,42),0)</f>
        <v/>
      </c>
      <c r="AT582">
        <f>IFERROR(INDEX(PP_Grid[#Data],$DE582,43),0)</f>
        <v/>
      </c>
      <c r="AU582">
        <f>IFERROR(INDEX(PP_Grid[#Data],$DE582,44),0)</f>
        <v/>
      </c>
      <c r="AV582">
        <f>IFERROR(INDEX(PP_Grid[#Data],$DE582,45),0)</f>
        <v/>
      </c>
      <c r="AW582">
        <f>IFERROR(INDEX(PP_Grid[#Data],$DE582,46),0)</f>
        <v/>
      </c>
      <c r="AX582">
        <f>IFERROR(INDEX(PP_Grid[#Data],$DE582,47),0)</f>
        <v/>
      </c>
      <c r="AY582">
        <f>IFERROR(INDEX(PP_Grid[#Data],$DE582,48),0)</f>
        <v/>
      </c>
      <c r="AZ582">
        <f>IFERROR(INDEX(PP_Grid[#Data],$DE582,49),0)</f>
        <v/>
      </c>
      <c r="BA582">
        <f>IFERROR(INDEX(PP_Grid[#Data],$DE582,50),0)</f>
        <v/>
      </c>
      <c r="BB582">
        <f>IFERROR(INDEX(PP_Grid[#Data],$DE582,51),0)</f>
        <v/>
      </c>
      <c r="BC582">
        <f>IFERROR(INDEX(PP_Grid[#Data],$DE582,52),0)</f>
        <v/>
      </c>
      <c r="BD582">
        <f>IFERROR(INDEX(PP_Grid[#Data],$DE582,53),0)</f>
        <v/>
      </c>
      <c r="BE582">
        <f>IFERROR(INDEX(PP_Grid[#Data],$DE582,54),0)</f>
        <v/>
      </c>
      <c r="BF582">
        <f>IFERROR(INDEX(PP_Grid[#Data],$DE582,55),0)</f>
        <v/>
      </c>
      <c r="BG582">
        <f>IFERROR(INDEX(PP_Grid[#Data],$DE582,56),0)</f>
        <v/>
      </c>
      <c r="BH582">
        <f>IFERROR(INDEX(PP_Grid[#Data],$DE582,57),0)</f>
        <v/>
      </c>
      <c r="BI582">
        <f>IFERROR(INDEX(PP_Grid[#Data],$DE582,58),0)</f>
        <v/>
      </c>
      <c r="BJ582">
        <f>IFERROR(INDEX(PP_Grid[#Data],$DE582,59),0)</f>
        <v/>
      </c>
      <c r="BK582">
        <f>IFERROR(INDEX(PP_Grid[#Data],$DE582,60),0)</f>
        <v/>
      </c>
      <c r="BL582">
        <f>IFERROR(INDEX(PP_Grid[#Data],$DE582,61),0)</f>
        <v/>
      </c>
      <c r="BM582">
        <f>IFERROR(INDEX(PP_Grid[#Data],$DE582,62),0)</f>
        <v/>
      </c>
      <c r="BN582">
        <f>IFERROR(INDEX(PP_Grid[#Data],$DE582,63),0)</f>
        <v/>
      </c>
      <c r="BO582">
        <f>IFERROR(INDEX(PP_Grid[#Data],$DE582,64),0)</f>
        <v/>
      </c>
      <c r="BP582">
        <f>IFERROR(INDEX(PP_Grid[#Data],$DE582,65),0)</f>
        <v/>
      </c>
      <c r="BQ582">
        <f>IFERROR(INDEX(PP_Grid[#Data],$DE582,66),0)</f>
        <v/>
      </c>
      <c r="BR582">
        <f>IFERROR(INDEX(PP_Grid[#Data],$DE582,67),0)</f>
        <v/>
      </c>
      <c r="BS582">
        <f>IFERROR(INDEX(PP_Grid[#Data],$DE582,68),0)</f>
        <v/>
      </c>
      <c r="BT582">
        <f>IFERROR(INDEX(PP_Grid[#Data],$DE582,69),0)</f>
        <v/>
      </c>
      <c r="BU582">
        <f>IFERROR(INDEX(PP_Grid[#Data],$DE582,70),0)</f>
        <v/>
      </c>
      <c r="BV582">
        <f>IFERROR(INDEX(PP_Grid[#Data],$DE582,71),0)</f>
        <v/>
      </c>
      <c r="BW582">
        <f>IFERROR(INDEX(PP_Grid[#Data],$DE582,72),0)</f>
        <v/>
      </c>
      <c r="BX582">
        <f>IFERROR(INDEX(PP_Grid[#Data],$DE582,73),0)</f>
        <v/>
      </c>
      <c r="BY582">
        <f>IFERROR(INDEX(PP_Grid[#Data],$DE582,74),0)</f>
        <v/>
      </c>
      <c r="BZ582">
        <f>IFERROR(INDEX(PP_Grid[#Data],$DE582,75),0)</f>
        <v/>
      </c>
      <c r="CA582">
        <f>IFERROR(INDEX(PP_Grid[#Data],$DE582,76),0)</f>
        <v/>
      </c>
      <c r="CB582">
        <f>IFERROR(INDEX(PP_Grid[#Data],$DE582,77),0)</f>
        <v/>
      </c>
      <c r="CC582">
        <f>IFERROR(INDEX(PP_Grid[#Data],$DE582,78),0)</f>
        <v/>
      </c>
      <c r="CD582">
        <f>IFERROR(INDEX(PP_Grid[#Data],$DE582,79),0)</f>
        <v/>
      </c>
      <c r="CE582">
        <f>IFERROR(INDEX(PP_Grid[#Data],$DE582,80),0)</f>
        <v/>
      </c>
      <c r="CF582">
        <f>IFERROR(INDEX(PP_Grid[#Data],$DE582,81),0)</f>
        <v/>
      </c>
      <c r="CG582">
        <f>IFERROR(INDEX(PP_Grid[#Data],$DE582,82),0)</f>
        <v/>
      </c>
      <c r="CH582">
        <f>IFERROR(INDEX(PP_Grid[#Data],$DE582,83),0)</f>
        <v/>
      </c>
      <c r="CI582">
        <f>IFERROR(INDEX(PP_Grid[#Data],$DE582,84),0)</f>
        <v/>
      </c>
      <c r="CJ582">
        <f>IFERROR(INDEX(PP_Grid[#Data],$DE582,85),0)</f>
        <v/>
      </c>
      <c r="CK582">
        <f>IFERROR(INDEX(PP_Grid[#Data],$DE582,86),0)</f>
        <v/>
      </c>
      <c r="CL582">
        <f>IFERROR(INDEX(PP_Grid[#Data],$DE582,87),0)</f>
        <v/>
      </c>
      <c r="CM582">
        <f>IFERROR(INDEX(PP_Grid[#Data],$DE582,88),0)</f>
        <v/>
      </c>
      <c r="CN582">
        <f>IFERROR(INDEX(PP_Grid[#Data],$DE582,89),0)</f>
        <v/>
      </c>
      <c r="CO582">
        <f>IFERROR(INDEX(PP_Grid[#Data],$DE582,90),0)</f>
        <v/>
      </c>
      <c r="CP582">
        <f>IFERROR(INDEX(PP_Grid[#Data],$DE582,91),0)</f>
        <v/>
      </c>
      <c r="CQ582">
        <f>IFERROR(INDEX(PP_Grid[#Data],$DE582,92),0)</f>
        <v/>
      </c>
      <c r="CR582">
        <f>IFERROR(INDEX(PP_Grid[#Data],$DE582,93),0)</f>
        <v/>
      </c>
      <c r="CS582">
        <f>IFERROR(INDEX(PP_Grid[#Data],$DE582,94),0)</f>
        <v/>
      </c>
      <c r="CT582">
        <f>IFERROR(INDEX(PP_Grid[#Data],$DE582,95),0)</f>
        <v/>
      </c>
      <c r="CU582">
        <f>IFERROR(INDEX(PP_Grid[#Data],$DE582,96),0)</f>
        <v/>
      </c>
      <c r="CV582">
        <f>IFERROR(INDEX(PP_Grid[#Data],$DE582,97),0)</f>
        <v/>
      </c>
      <c r="CW582">
        <f>IFERROR(INDEX(PP_Grid[#Data],$DE582,98),0)</f>
        <v/>
      </c>
      <c r="CX582">
        <f>IFERROR(INDEX(PP_Grid[#Data],$DE582,99),0)</f>
        <v/>
      </c>
      <c r="CY582">
        <f>IFERROR(INDEX(PP_Grid[#Data],$DE582,100),0)</f>
        <v/>
      </c>
      <c r="CZ582">
        <f>IFERROR(INDEX(PP_Grid[#Data],$DE582,101),0)</f>
        <v/>
      </c>
      <c r="DA582">
        <f>IFERROR(INDEX(PP_Grid[#Data],$DE582,102),0)</f>
        <v/>
      </c>
      <c r="DB582">
        <f>IFERROR(INDEX(PP_Grid[#Data],$DE582,103),0)</f>
        <v/>
      </c>
      <c r="DC582">
        <f>IFERROR(INDEX(PP_Grid[#Data],$DE582,104),0)</f>
        <v/>
      </c>
      <c r="DD582">
        <f>IFERROR(INDEX(PP_Grid[#Data],$DE582,105),0)</f>
        <v/>
      </c>
      <c r="DE582" s="7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SUMIFS(M_BOM[RM_Qty_Per_Batch],M_BOM[Intermediate],$B582,M_BOM[RM_Code],$A515)</f>
        <v/>
      </c>
      <c r="D583">
        <f>IFERROR(INDEX(E583:DD583,$F$1),"")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  <c r="DD583">
        <f>$C583*DD582</f>
        <v/>
      </c>
    </row>
    <row r="584">
      <c r="B584" t="inlineStr">
        <is>
          <t>TSP-1388</t>
        </is>
      </c>
      <c r="C584" t="inlineStr">
        <is>
          <t>No. of batches</t>
        </is>
      </c>
      <c r="D584">
        <f>IFERROR(INDEX(E584:DD584,$F$1),"")</f>
        <v/>
      </c>
      <c r="E584">
        <f>IFERROR(INDEX(PP_Grid[#Data],$DE584,2),0)</f>
        <v/>
      </c>
      <c r="F584">
        <f>IFERROR(INDEX(PP_Grid[#Data],$DE584,3),0)</f>
        <v/>
      </c>
      <c r="G584">
        <f>IFERROR(INDEX(PP_Grid[#Data],$DE584,4),0)</f>
        <v/>
      </c>
      <c r="H584">
        <f>IFERROR(INDEX(PP_Grid[#Data],$DE584,5),0)</f>
        <v/>
      </c>
      <c r="I584">
        <f>IFERROR(INDEX(PP_Grid[#Data],$DE584,6),0)</f>
        <v/>
      </c>
      <c r="J584">
        <f>IFERROR(INDEX(PP_Grid[#Data],$DE584,7),0)</f>
        <v/>
      </c>
      <c r="K584">
        <f>IFERROR(INDEX(PP_Grid[#Data],$DE584,8),0)</f>
        <v/>
      </c>
      <c r="L584">
        <f>IFERROR(INDEX(PP_Grid[#Data],$DE584,9),0)</f>
        <v/>
      </c>
      <c r="M584">
        <f>IFERROR(INDEX(PP_Grid[#Data],$DE584,10),0)</f>
        <v/>
      </c>
      <c r="N584">
        <f>IFERROR(INDEX(PP_Grid[#Data],$DE584,11),0)</f>
        <v/>
      </c>
      <c r="O584">
        <f>IFERROR(INDEX(PP_Grid[#Data],$DE584,12),0)</f>
        <v/>
      </c>
      <c r="P584">
        <f>IFERROR(INDEX(PP_Grid[#Data],$DE584,13),0)</f>
        <v/>
      </c>
      <c r="Q584">
        <f>IFERROR(INDEX(PP_Grid[#Data],$DE584,14),0)</f>
        <v/>
      </c>
      <c r="R584">
        <f>IFERROR(INDEX(PP_Grid[#Data],$DE584,15),0)</f>
        <v/>
      </c>
      <c r="S584">
        <f>IFERROR(INDEX(PP_Grid[#Data],$DE584,16),0)</f>
        <v/>
      </c>
      <c r="T584">
        <f>IFERROR(INDEX(PP_Grid[#Data],$DE584,17),0)</f>
        <v/>
      </c>
      <c r="U584">
        <f>IFERROR(INDEX(PP_Grid[#Data],$DE584,18),0)</f>
        <v/>
      </c>
      <c r="V584">
        <f>IFERROR(INDEX(PP_Grid[#Data],$DE584,19),0)</f>
        <v/>
      </c>
      <c r="W584">
        <f>IFERROR(INDEX(PP_Grid[#Data],$DE584,20),0)</f>
        <v/>
      </c>
      <c r="X584">
        <f>IFERROR(INDEX(PP_Grid[#Data],$DE584,21),0)</f>
        <v/>
      </c>
      <c r="Y584">
        <f>IFERROR(INDEX(PP_Grid[#Data],$DE584,22),0)</f>
        <v/>
      </c>
      <c r="Z584">
        <f>IFERROR(INDEX(PP_Grid[#Data],$DE584,23),0)</f>
        <v/>
      </c>
      <c r="AA584">
        <f>IFERROR(INDEX(PP_Grid[#Data],$DE584,24),0)</f>
        <v/>
      </c>
      <c r="AB584">
        <f>IFERROR(INDEX(PP_Grid[#Data],$DE584,25),0)</f>
        <v/>
      </c>
      <c r="AC584">
        <f>IFERROR(INDEX(PP_Grid[#Data],$DE584,26),0)</f>
        <v/>
      </c>
      <c r="AD584">
        <f>IFERROR(INDEX(PP_Grid[#Data],$DE584,27),0)</f>
        <v/>
      </c>
      <c r="AE584">
        <f>IFERROR(INDEX(PP_Grid[#Data],$DE584,28),0)</f>
        <v/>
      </c>
      <c r="AF584">
        <f>IFERROR(INDEX(PP_Grid[#Data],$DE584,29),0)</f>
        <v/>
      </c>
      <c r="AG584">
        <f>IFERROR(INDEX(PP_Grid[#Data],$DE584,30),0)</f>
        <v/>
      </c>
      <c r="AH584">
        <f>IFERROR(INDEX(PP_Grid[#Data],$DE584,31),0)</f>
        <v/>
      </c>
      <c r="AI584">
        <f>IFERROR(INDEX(PP_Grid[#Data],$DE584,32),0)</f>
        <v/>
      </c>
      <c r="AJ584">
        <f>IFERROR(INDEX(PP_Grid[#Data],$DE584,33),0)</f>
        <v/>
      </c>
      <c r="AK584">
        <f>IFERROR(INDEX(PP_Grid[#Data],$DE584,34),0)</f>
        <v/>
      </c>
      <c r="AL584">
        <f>IFERROR(INDEX(PP_Grid[#Data],$DE584,35),0)</f>
        <v/>
      </c>
      <c r="AM584">
        <f>IFERROR(INDEX(PP_Grid[#Data],$DE584,36),0)</f>
        <v/>
      </c>
      <c r="AN584">
        <f>IFERROR(INDEX(PP_Grid[#Data],$DE584,37),0)</f>
        <v/>
      </c>
      <c r="AO584">
        <f>IFERROR(INDEX(PP_Grid[#Data],$DE584,38),0)</f>
        <v/>
      </c>
      <c r="AP584">
        <f>IFERROR(INDEX(PP_Grid[#Data],$DE584,39),0)</f>
        <v/>
      </c>
      <c r="AQ584">
        <f>IFERROR(INDEX(PP_Grid[#Data],$DE584,40),0)</f>
        <v/>
      </c>
      <c r="AR584">
        <f>IFERROR(INDEX(PP_Grid[#Data],$DE584,41),0)</f>
        <v/>
      </c>
      <c r="AS584">
        <f>IFERROR(INDEX(PP_Grid[#Data],$DE584,42),0)</f>
        <v/>
      </c>
      <c r="AT584">
        <f>IFERROR(INDEX(PP_Grid[#Data],$DE584,43),0)</f>
        <v/>
      </c>
      <c r="AU584">
        <f>IFERROR(INDEX(PP_Grid[#Data],$DE584,44),0)</f>
        <v/>
      </c>
      <c r="AV584">
        <f>IFERROR(INDEX(PP_Grid[#Data],$DE584,45),0)</f>
        <v/>
      </c>
      <c r="AW584">
        <f>IFERROR(INDEX(PP_Grid[#Data],$DE584,46),0)</f>
        <v/>
      </c>
      <c r="AX584">
        <f>IFERROR(INDEX(PP_Grid[#Data],$DE584,47),0)</f>
        <v/>
      </c>
      <c r="AY584">
        <f>IFERROR(INDEX(PP_Grid[#Data],$DE584,48),0)</f>
        <v/>
      </c>
      <c r="AZ584">
        <f>IFERROR(INDEX(PP_Grid[#Data],$DE584,49),0)</f>
        <v/>
      </c>
      <c r="BA584">
        <f>IFERROR(INDEX(PP_Grid[#Data],$DE584,50),0)</f>
        <v/>
      </c>
      <c r="BB584">
        <f>IFERROR(INDEX(PP_Grid[#Data],$DE584,51),0)</f>
        <v/>
      </c>
      <c r="BC584">
        <f>IFERROR(INDEX(PP_Grid[#Data],$DE584,52),0)</f>
        <v/>
      </c>
      <c r="BD584">
        <f>IFERROR(INDEX(PP_Grid[#Data],$DE584,53),0)</f>
        <v/>
      </c>
      <c r="BE584">
        <f>IFERROR(INDEX(PP_Grid[#Data],$DE584,54),0)</f>
        <v/>
      </c>
      <c r="BF584">
        <f>IFERROR(INDEX(PP_Grid[#Data],$DE584,55),0)</f>
        <v/>
      </c>
      <c r="BG584">
        <f>IFERROR(INDEX(PP_Grid[#Data],$DE584,56),0)</f>
        <v/>
      </c>
      <c r="BH584">
        <f>IFERROR(INDEX(PP_Grid[#Data],$DE584,57),0)</f>
        <v/>
      </c>
      <c r="BI584">
        <f>IFERROR(INDEX(PP_Grid[#Data],$DE584,58),0)</f>
        <v/>
      </c>
      <c r="BJ584">
        <f>IFERROR(INDEX(PP_Grid[#Data],$DE584,59),0)</f>
        <v/>
      </c>
      <c r="BK584">
        <f>IFERROR(INDEX(PP_Grid[#Data],$DE584,60),0)</f>
        <v/>
      </c>
      <c r="BL584">
        <f>IFERROR(INDEX(PP_Grid[#Data],$DE584,61),0)</f>
        <v/>
      </c>
      <c r="BM584">
        <f>IFERROR(INDEX(PP_Grid[#Data],$DE584,62),0)</f>
        <v/>
      </c>
      <c r="BN584">
        <f>IFERROR(INDEX(PP_Grid[#Data],$DE584,63),0)</f>
        <v/>
      </c>
      <c r="BO584">
        <f>IFERROR(INDEX(PP_Grid[#Data],$DE584,64),0)</f>
        <v/>
      </c>
      <c r="BP584">
        <f>IFERROR(INDEX(PP_Grid[#Data],$DE584,65),0)</f>
        <v/>
      </c>
      <c r="BQ584">
        <f>IFERROR(INDEX(PP_Grid[#Data],$DE584,66),0)</f>
        <v/>
      </c>
      <c r="BR584">
        <f>IFERROR(INDEX(PP_Grid[#Data],$DE584,67),0)</f>
        <v/>
      </c>
      <c r="BS584">
        <f>IFERROR(INDEX(PP_Grid[#Data],$DE584,68),0)</f>
        <v/>
      </c>
      <c r="BT584">
        <f>IFERROR(INDEX(PP_Grid[#Data],$DE584,69),0)</f>
        <v/>
      </c>
      <c r="BU584">
        <f>IFERROR(INDEX(PP_Grid[#Data],$DE584,70),0)</f>
        <v/>
      </c>
      <c r="BV584">
        <f>IFERROR(INDEX(PP_Grid[#Data],$DE584,71),0)</f>
        <v/>
      </c>
      <c r="BW584">
        <f>IFERROR(INDEX(PP_Grid[#Data],$DE584,72),0)</f>
        <v/>
      </c>
      <c r="BX584">
        <f>IFERROR(INDEX(PP_Grid[#Data],$DE584,73),0)</f>
        <v/>
      </c>
      <c r="BY584">
        <f>IFERROR(INDEX(PP_Grid[#Data],$DE584,74),0)</f>
        <v/>
      </c>
      <c r="BZ584">
        <f>IFERROR(INDEX(PP_Grid[#Data],$DE584,75),0)</f>
        <v/>
      </c>
      <c r="CA584">
        <f>IFERROR(INDEX(PP_Grid[#Data],$DE584,76),0)</f>
        <v/>
      </c>
      <c r="CB584">
        <f>IFERROR(INDEX(PP_Grid[#Data],$DE584,77),0)</f>
        <v/>
      </c>
      <c r="CC584">
        <f>IFERROR(INDEX(PP_Grid[#Data],$DE584,78),0)</f>
        <v/>
      </c>
      <c r="CD584">
        <f>IFERROR(INDEX(PP_Grid[#Data],$DE584,79),0)</f>
        <v/>
      </c>
      <c r="CE584">
        <f>IFERROR(INDEX(PP_Grid[#Data],$DE584,80),0)</f>
        <v/>
      </c>
      <c r="CF584">
        <f>IFERROR(INDEX(PP_Grid[#Data],$DE584,81),0)</f>
        <v/>
      </c>
      <c r="CG584">
        <f>IFERROR(INDEX(PP_Grid[#Data],$DE584,82),0)</f>
        <v/>
      </c>
      <c r="CH584">
        <f>IFERROR(INDEX(PP_Grid[#Data],$DE584,83),0)</f>
        <v/>
      </c>
      <c r="CI584">
        <f>IFERROR(INDEX(PP_Grid[#Data],$DE584,84),0)</f>
        <v/>
      </c>
      <c r="CJ584">
        <f>IFERROR(INDEX(PP_Grid[#Data],$DE584,85),0)</f>
        <v/>
      </c>
      <c r="CK584">
        <f>IFERROR(INDEX(PP_Grid[#Data],$DE584,86),0)</f>
        <v/>
      </c>
      <c r="CL584">
        <f>IFERROR(INDEX(PP_Grid[#Data],$DE584,87),0)</f>
        <v/>
      </c>
      <c r="CM584">
        <f>IFERROR(INDEX(PP_Grid[#Data],$DE584,88),0)</f>
        <v/>
      </c>
      <c r="CN584">
        <f>IFERROR(INDEX(PP_Grid[#Data],$DE584,89),0)</f>
        <v/>
      </c>
      <c r="CO584">
        <f>IFERROR(INDEX(PP_Grid[#Data],$DE584,90),0)</f>
        <v/>
      </c>
      <c r="CP584">
        <f>IFERROR(INDEX(PP_Grid[#Data],$DE584,91),0)</f>
        <v/>
      </c>
      <c r="CQ584">
        <f>IFERROR(INDEX(PP_Grid[#Data],$DE584,92),0)</f>
        <v/>
      </c>
      <c r="CR584">
        <f>IFERROR(INDEX(PP_Grid[#Data],$DE584,93),0)</f>
        <v/>
      </c>
      <c r="CS584">
        <f>IFERROR(INDEX(PP_Grid[#Data],$DE584,94),0)</f>
        <v/>
      </c>
      <c r="CT584">
        <f>IFERROR(INDEX(PP_Grid[#Data],$DE584,95),0)</f>
        <v/>
      </c>
      <c r="CU584">
        <f>IFERROR(INDEX(PP_Grid[#Data],$DE584,96),0)</f>
        <v/>
      </c>
      <c r="CV584">
        <f>IFERROR(INDEX(PP_Grid[#Data],$DE584,97),0)</f>
        <v/>
      </c>
      <c r="CW584">
        <f>IFERROR(INDEX(PP_Grid[#Data],$DE584,98),0)</f>
        <v/>
      </c>
      <c r="CX584">
        <f>IFERROR(INDEX(PP_Grid[#Data],$DE584,99),0)</f>
        <v/>
      </c>
      <c r="CY584">
        <f>IFERROR(INDEX(PP_Grid[#Data],$DE584,100),0)</f>
        <v/>
      </c>
      <c r="CZ584">
        <f>IFERROR(INDEX(PP_Grid[#Data],$DE584,101),0)</f>
        <v/>
      </c>
      <c r="DA584">
        <f>IFERROR(INDEX(PP_Grid[#Data],$DE584,102),0)</f>
        <v/>
      </c>
      <c r="DB584">
        <f>IFERROR(INDEX(PP_Grid[#Data],$DE584,103),0)</f>
        <v/>
      </c>
      <c r="DC584">
        <f>IFERROR(INDEX(PP_Grid[#Data],$DE584,104),0)</f>
        <v/>
      </c>
      <c r="DD584">
        <f>IFERROR(INDEX(PP_Grid[#Data],$DE584,105),0)</f>
        <v/>
      </c>
      <c r="DE584" s="7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SUMIFS(M_BOM[RM_Qty_Per_Batch],M_BOM[Intermediate],$B584,M_BOM[RM_Code],$A515)</f>
        <v/>
      </c>
      <c r="D585">
        <f>IFERROR(INDEX(E585:DD585,$F$1),"")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  <c r="DD585">
        <f>$C585*DD584</f>
        <v/>
      </c>
    </row>
    <row r="586">
      <c r="B586" t="inlineStr">
        <is>
          <t>TSP-1444</t>
        </is>
      </c>
      <c r="C586" t="inlineStr">
        <is>
          <t>No. of batches</t>
        </is>
      </c>
      <c r="D586">
        <f>IFERROR(INDEX(E586:DD586,$F$1),"")</f>
        <v/>
      </c>
      <c r="E586">
        <f>IFERROR(INDEX(PP_Grid[#Data],$DE586,2),0)</f>
        <v/>
      </c>
      <c r="F586">
        <f>IFERROR(INDEX(PP_Grid[#Data],$DE586,3),0)</f>
        <v/>
      </c>
      <c r="G586">
        <f>IFERROR(INDEX(PP_Grid[#Data],$DE586,4),0)</f>
        <v/>
      </c>
      <c r="H586">
        <f>IFERROR(INDEX(PP_Grid[#Data],$DE586,5),0)</f>
        <v/>
      </c>
      <c r="I586">
        <f>IFERROR(INDEX(PP_Grid[#Data],$DE586,6),0)</f>
        <v/>
      </c>
      <c r="J586">
        <f>IFERROR(INDEX(PP_Grid[#Data],$DE586,7),0)</f>
        <v/>
      </c>
      <c r="K586">
        <f>IFERROR(INDEX(PP_Grid[#Data],$DE586,8),0)</f>
        <v/>
      </c>
      <c r="L586">
        <f>IFERROR(INDEX(PP_Grid[#Data],$DE586,9),0)</f>
        <v/>
      </c>
      <c r="M586">
        <f>IFERROR(INDEX(PP_Grid[#Data],$DE586,10),0)</f>
        <v/>
      </c>
      <c r="N586">
        <f>IFERROR(INDEX(PP_Grid[#Data],$DE586,11),0)</f>
        <v/>
      </c>
      <c r="O586">
        <f>IFERROR(INDEX(PP_Grid[#Data],$DE586,12),0)</f>
        <v/>
      </c>
      <c r="P586">
        <f>IFERROR(INDEX(PP_Grid[#Data],$DE586,13),0)</f>
        <v/>
      </c>
      <c r="Q586">
        <f>IFERROR(INDEX(PP_Grid[#Data],$DE586,14),0)</f>
        <v/>
      </c>
      <c r="R586">
        <f>IFERROR(INDEX(PP_Grid[#Data],$DE586,15),0)</f>
        <v/>
      </c>
      <c r="S586">
        <f>IFERROR(INDEX(PP_Grid[#Data],$DE586,16),0)</f>
        <v/>
      </c>
      <c r="T586">
        <f>IFERROR(INDEX(PP_Grid[#Data],$DE586,17),0)</f>
        <v/>
      </c>
      <c r="U586">
        <f>IFERROR(INDEX(PP_Grid[#Data],$DE586,18),0)</f>
        <v/>
      </c>
      <c r="V586">
        <f>IFERROR(INDEX(PP_Grid[#Data],$DE586,19),0)</f>
        <v/>
      </c>
      <c r="W586">
        <f>IFERROR(INDEX(PP_Grid[#Data],$DE586,20),0)</f>
        <v/>
      </c>
      <c r="X586">
        <f>IFERROR(INDEX(PP_Grid[#Data],$DE586,21),0)</f>
        <v/>
      </c>
      <c r="Y586">
        <f>IFERROR(INDEX(PP_Grid[#Data],$DE586,22),0)</f>
        <v/>
      </c>
      <c r="Z586">
        <f>IFERROR(INDEX(PP_Grid[#Data],$DE586,23),0)</f>
        <v/>
      </c>
      <c r="AA586">
        <f>IFERROR(INDEX(PP_Grid[#Data],$DE586,24),0)</f>
        <v/>
      </c>
      <c r="AB586">
        <f>IFERROR(INDEX(PP_Grid[#Data],$DE586,25),0)</f>
        <v/>
      </c>
      <c r="AC586">
        <f>IFERROR(INDEX(PP_Grid[#Data],$DE586,26),0)</f>
        <v/>
      </c>
      <c r="AD586">
        <f>IFERROR(INDEX(PP_Grid[#Data],$DE586,27),0)</f>
        <v/>
      </c>
      <c r="AE586">
        <f>IFERROR(INDEX(PP_Grid[#Data],$DE586,28),0)</f>
        <v/>
      </c>
      <c r="AF586">
        <f>IFERROR(INDEX(PP_Grid[#Data],$DE586,29),0)</f>
        <v/>
      </c>
      <c r="AG586">
        <f>IFERROR(INDEX(PP_Grid[#Data],$DE586,30),0)</f>
        <v/>
      </c>
      <c r="AH586">
        <f>IFERROR(INDEX(PP_Grid[#Data],$DE586,31),0)</f>
        <v/>
      </c>
      <c r="AI586">
        <f>IFERROR(INDEX(PP_Grid[#Data],$DE586,32),0)</f>
        <v/>
      </c>
      <c r="AJ586">
        <f>IFERROR(INDEX(PP_Grid[#Data],$DE586,33),0)</f>
        <v/>
      </c>
      <c r="AK586">
        <f>IFERROR(INDEX(PP_Grid[#Data],$DE586,34),0)</f>
        <v/>
      </c>
      <c r="AL586">
        <f>IFERROR(INDEX(PP_Grid[#Data],$DE586,35),0)</f>
        <v/>
      </c>
      <c r="AM586">
        <f>IFERROR(INDEX(PP_Grid[#Data],$DE586,36),0)</f>
        <v/>
      </c>
      <c r="AN586">
        <f>IFERROR(INDEX(PP_Grid[#Data],$DE586,37),0)</f>
        <v/>
      </c>
      <c r="AO586">
        <f>IFERROR(INDEX(PP_Grid[#Data],$DE586,38),0)</f>
        <v/>
      </c>
      <c r="AP586">
        <f>IFERROR(INDEX(PP_Grid[#Data],$DE586,39),0)</f>
        <v/>
      </c>
      <c r="AQ586">
        <f>IFERROR(INDEX(PP_Grid[#Data],$DE586,40),0)</f>
        <v/>
      </c>
      <c r="AR586">
        <f>IFERROR(INDEX(PP_Grid[#Data],$DE586,41),0)</f>
        <v/>
      </c>
      <c r="AS586">
        <f>IFERROR(INDEX(PP_Grid[#Data],$DE586,42),0)</f>
        <v/>
      </c>
      <c r="AT586">
        <f>IFERROR(INDEX(PP_Grid[#Data],$DE586,43),0)</f>
        <v/>
      </c>
      <c r="AU586">
        <f>IFERROR(INDEX(PP_Grid[#Data],$DE586,44),0)</f>
        <v/>
      </c>
      <c r="AV586">
        <f>IFERROR(INDEX(PP_Grid[#Data],$DE586,45),0)</f>
        <v/>
      </c>
      <c r="AW586">
        <f>IFERROR(INDEX(PP_Grid[#Data],$DE586,46),0)</f>
        <v/>
      </c>
      <c r="AX586">
        <f>IFERROR(INDEX(PP_Grid[#Data],$DE586,47),0)</f>
        <v/>
      </c>
      <c r="AY586">
        <f>IFERROR(INDEX(PP_Grid[#Data],$DE586,48),0)</f>
        <v/>
      </c>
      <c r="AZ586">
        <f>IFERROR(INDEX(PP_Grid[#Data],$DE586,49),0)</f>
        <v/>
      </c>
      <c r="BA586">
        <f>IFERROR(INDEX(PP_Grid[#Data],$DE586,50),0)</f>
        <v/>
      </c>
      <c r="BB586">
        <f>IFERROR(INDEX(PP_Grid[#Data],$DE586,51),0)</f>
        <v/>
      </c>
      <c r="BC586">
        <f>IFERROR(INDEX(PP_Grid[#Data],$DE586,52),0)</f>
        <v/>
      </c>
      <c r="BD586">
        <f>IFERROR(INDEX(PP_Grid[#Data],$DE586,53),0)</f>
        <v/>
      </c>
      <c r="BE586">
        <f>IFERROR(INDEX(PP_Grid[#Data],$DE586,54),0)</f>
        <v/>
      </c>
      <c r="BF586">
        <f>IFERROR(INDEX(PP_Grid[#Data],$DE586,55),0)</f>
        <v/>
      </c>
      <c r="BG586">
        <f>IFERROR(INDEX(PP_Grid[#Data],$DE586,56),0)</f>
        <v/>
      </c>
      <c r="BH586">
        <f>IFERROR(INDEX(PP_Grid[#Data],$DE586,57),0)</f>
        <v/>
      </c>
      <c r="BI586">
        <f>IFERROR(INDEX(PP_Grid[#Data],$DE586,58),0)</f>
        <v/>
      </c>
      <c r="BJ586">
        <f>IFERROR(INDEX(PP_Grid[#Data],$DE586,59),0)</f>
        <v/>
      </c>
      <c r="BK586">
        <f>IFERROR(INDEX(PP_Grid[#Data],$DE586,60),0)</f>
        <v/>
      </c>
      <c r="BL586">
        <f>IFERROR(INDEX(PP_Grid[#Data],$DE586,61),0)</f>
        <v/>
      </c>
      <c r="BM586">
        <f>IFERROR(INDEX(PP_Grid[#Data],$DE586,62),0)</f>
        <v/>
      </c>
      <c r="BN586">
        <f>IFERROR(INDEX(PP_Grid[#Data],$DE586,63),0)</f>
        <v/>
      </c>
      <c r="BO586">
        <f>IFERROR(INDEX(PP_Grid[#Data],$DE586,64),0)</f>
        <v/>
      </c>
      <c r="BP586">
        <f>IFERROR(INDEX(PP_Grid[#Data],$DE586,65),0)</f>
        <v/>
      </c>
      <c r="BQ586">
        <f>IFERROR(INDEX(PP_Grid[#Data],$DE586,66),0)</f>
        <v/>
      </c>
      <c r="BR586">
        <f>IFERROR(INDEX(PP_Grid[#Data],$DE586,67),0)</f>
        <v/>
      </c>
      <c r="BS586">
        <f>IFERROR(INDEX(PP_Grid[#Data],$DE586,68),0)</f>
        <v/>
      </c>
      <c r="BT586">
        <f>IFERROR(INDEX(PP_Grid[#Data],$DE586,69),0)</f>
        <v/>
      </c>
      <c r="BU586">
        <f>IFERROR(INDEX(PP_Grid[#Data],$DE586,70),0)</f>
        <v/>
      </c>
      <c r="BV586">
        <f>IFERROR(INDEX(PP_Grid[#Data],$DE586,71),0)</f>
        <v/>
      </c>
      <c r="BW586">
        <f>IFERROR(INDEX(PP_Grid[#Data],$DE586,72),0)</f>
        <v/>
      </c>
      <c r="BX586">
        <f>IFERROR(INDEX(PP_Grid[#Data],$DE586,73),0)</f>
        <v/>
      </c>
      <c r="BY586">
        <f>IFERROR(INDEX(PP_Grid[#Data],$DE586,74),0)</f>
        <v/>
      </c>
      <c r="BZ586">
        <f>IFERROR(INDEX(PP_Grid[#Data],$DE586,75),0)</f>
        <v/>
      </c>
      <c r="CA586">
        <f>IFERROR(INDEX(PP_Grid[#Data],$DE586,76),0)</f>
        <v/>
      </c>
      <c r="CB586">
        <f>IFERROR(INDEX(PP_Grid[#Data],$DE586,77),0)</f>
        <v/>
      </c>
      <c r="CC586">
        <f>IFERROR(INDEX(PP_Grid[#Data],$DE586,78),0)</f>
        <v/>
      </c>
      <c r="CD586">
        <f>IFERROR(INDEX(PP_Grid[#Data],$DE586,79),0)</f>
        <v/>
      </c>
      <c r="CE586">
        <f>IFERROR(INDEX(PP_Grid[#Data],$DE586,80),0)</f>
        <v/>
      </c>
      <c r="CF586">
        <f>IFERROR(INDEX(PP_Grid[#Data],$DE586,81),0)</f>
        <v/>
      </c>
      <c r="CG586">
        <f>IFERROR(INDEX(PP_Grid[#Data],$DE586,82),0)</f>
        <v/>
      </c>
      <c r="CH586">
        <f>IFERROR(INDEX(PP_Grid[#Data],$DE586,83),0)</f>
        <v/>
      </c>
      <c r="CI586">
        <f>IFERROR(INDEX(PP_Grid[#Data],$DE586,84),0)</f>
        <v/>
      </c>
      <c r="CJ586">
        <f>IFERROR(INDEX(PP_Grid[#Data],$DE586,85),0)</f>
        <v/>
      </c>
      <c r="CK586">
        <f>IFERROR(INDEX(PP_Grid[#Data],$DE586,86),0)</f>
        <v/>
      </c>
      <c r="CL586">
        <f>IFERROR(INDEX(PP_Grid[#Data],$DE586,87),0)</f>
        <v/>
      </c>
      <c r="CM586">
        <f>IFERROR(INDEX(PP_Grid[#Data],$DE586,88),0)</f>
        <v/>
      </c>
      <c r="CN586">
        <f>IFERROR(INDEX(PP_Grid[#Data],$DE586,89),0)</f>
        <v/>
      </c>
      <c r="CO586">
        <f>IFERROR(INDEX(PP_Grid[#Data],$DE586,90),0)</f>
        <v/>
      </c>
      <c r="CP586">
        <f>IFERROR(INDEX(PP_Grid[#Data],$DE586,91),0)</f>
        <v/>
      </c>
      <c r="CQ586">
        <f>IFERROR(INDEX(PP_Grid[#Data],$DE586,92),0)</f>
        <v/>
      </c>
      <c r="CR586">
        <f>IFERROR(INDEX(PP_Grid[#Data],$DE586,93),0)</f>
        <v/>
      </c>
      <c r="CS586">
        <f>IFERROR(INDEX(PP_Grid[#Data],$DE586,94),0)</f>
        <v/>
      </c>
      <c r="CT586">
        <f>IFERROR(INDEX(PP_Grid[#Data],$DE586,95),0)</f>
        <v/>
      </c>
      <c r="CU586">
        <f>IFERROR(INDEX(PP_Grid[#Data],$DE586,96),0)</f>
        <v/>
      </c>
      <c r="CV586">
        <f>IFERROR(INDEX(PP_Grid[#Data],$DE586,97),0)</f>
        <v/>
      </c>
      <c r="CW586">
        <f>IFERROR(INDEX(PP_Grid[#Data],$DE586,98),0)</f>
        <v/>
      </c>
      <c r="CX586">
        <f>IFERROR(INDEX(PP_Grid[#Data],$DE586,99),0)</f>
        <v/>
      </c>
      <c r="CY586">
        <f>IFERROR(INDEX(PP_Grid[#Data],$DE586,100),0)</f>
        <v/>
      </c>
      <c r="CZ586">
        <f>IFERROR(INDEX(PP_Grid[#Data],$DE586,101),0)</f>
        <v/>
      </c>
      <c r="DA586">
        <f>IFERROR(INDEX(PP_Grid[#Data],$DE586,102),0)</f>
        <v/>
      </c>
      <c r="DB586">
        <f>IFERROR(INDEX(PP_Grid[#Data],$DE586,103),0)</f>
        <v/>
      </c>
      <c r="DC586">
        <f>IFERROR(INDEX(PP_Grid[#Data],$DE586,104),0)</f>
        <v/>
      </c>
      <c r="DD586">
        <f>IFERROR(INDEX(PP_Grid[#Data],$DE586,105),0)</f>
        <v/>
      </c>
      <c r="DE586" s="7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SUMIFS(M_BOM[RM_Qty_Per_Batch],M_BOM[Intermediate],$B586,M_BOM[RM_Code],$A515)</f>
        <v/>
      </c>
      <c r="D587">
        <f>IFERROR(INDEX(E587:DD587,$F$1),"")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  <c r="DD587">
        <f>$C587*DD586</f>
        <v/>
      </c>
    </row>
    <row r="588">
      <c r="B588" t="inlineStr">
        <is>
          <t>TSP-1448</t>
        </is>
      </c>
      <c r="C588" t="inlineStr">
        <is>
          <t>No. of batches</t>
        </is>
      </c>
      <c r="D588">
        <f>IFERROR(INDEX(E588:DD588,$F$1),"")</f>
        <v/>
      </c>
      <c r="E588">
        <f>IFERROR(INDEX(PP_Grid[#Data],$DE588,2),0)</f>
        <v/>
      </c>
      <c r="F588">
        <f>IFERROR(INDEX(PP_Grid[#Data],$DE588,3),0)</f>
        <v/>
      </c>
      <c r="G588">
        <f>IFERROR(INDEX(PP_Grid[#Data],$DE588,4),0)</f>
        <v/>
      </c>
      <c r="H588">
        <f>IFERROR(INDEX(PP_Grid[#Data],$DE588,5),0)</f>
        <v/>
      </c>
      <c r="I588">
        <f>IFERROR(INDEX(PP_Grid[#Data],$DE588,6),0)</f>
        <v/>
      </c>
      <c r="J588">
        <f>IFERROR(INDEX(PP_Grid[#Data],$DE588,7),0)</f>
        <v/>
      </c>
      <c r="K588">
        <f>IFERROR(INDEX(PP_Grid[#Data],$DE588,8),0)</f>
        <v/>
      </c>
      <c r="L588">
        <f>IFERROR(INDEX(PP_Grid[#Data],$DE588,9),0)</f>
        <v/>
      </c>
      <c r="M588">
        <f>IFERROR(INDEX(PP_Grid[#Data],$DE588,10),0)</f>
        <v/>
      </c>
      <c r="N588">
        <f>IFERROR(INDEX(PP_Grid[#Data],$DE588,11),0)</f>
        <v/>
      </c>
      <c r="O588">
        <f>IFERROR(INDEX(PP_Grid[#Data],$DE588,12),0)</f>
        <v/>
      </c>
      <c r="P588">
        <f>IFERROR(INDEX(PP_Grid[#Data],$DE588,13),0)</f>
        <v/>
      </c>
      <c r="Q588">
        <f>IFERROR(INDEX(PP_Grid[#Data],$DE588,14),0)</f>
        <v/>
      </c>
      <c r="R588">
        <f>IFERROR(INDEX(PP_Grid[#Data],$DE588,15),0)</f>
        <v/>
      </c>
      <c r="S588">
        <f>IFERROR(INDEX(PP_Grid[#Data],$DE588,16),0)</f>
        <v/>
      </c>
      <c r="T588">
        <f>IFERROR(INDEX(PP_Grid[#Data],$DE588,17),0)</f>
        <v/>
      </c>
      <c r="U588">
        <f>IFERROR(INDEX(PP_Grid[#Data],$DE588,18),0)</f>
        <v/>
      </c>
      <c r="V588">
        <f>IFERROR(INDEX(PP_Grid[#Data],$DE588,19),0)</f>
        <v/>
      </c>
      <c r="W588">
        <f>IFERROR(INDEX(PP_Grid[#Data],$DE588,20),0)</f>
        <v/>
      </c>
      <c r="X588">
        <f>IFERROR(INDEX(PP_Grid[#Data],$DE588,21),0)</f>
        <v/>
      </c>
      <c r="Y588">
        <f>IFERROR(INDEX(PP_Grid[#Data],$DE588,22),0)</f>
        <v/>
      </c>
      <c r="Z588">
        <f>IFERROR(INDEX(PP_Grid[#Data],$DE588,23),0)</f>
        <v/>
      </c>
      <c r="AA588">
        <f>IFERROR(INDEX(PP_Grid[#Data],$DE588,24),0)</f>
        <v/>
      </c>
      <c r="AB588">
        <f>IFERROR(INDEX(PP_Grid[#Data],$DE588,25),0)</f>
        <v/>
      </c>
      <c r="AC588">
        <f>IFERROR(INDEX(PP_Grid[#Data],$DE588,26),0)</f>
        <v/>
      </c>
      <c r="AD588">
        <f>IFERROR(INDEX(PP_Grid[#Data],$DE588,27),0)</f>
        <v/>
      </c>
      <c r="AE588">
        <f>IFERROR(INDEX(PP_Grid[#Data],$DE588,28),0)</f>
        <v/>
      </c>
      <c r="AF588">
        <f>IFERROR(INDEX(PP_Grid[#Data],$DE588,29),0)</f>
        <v/>
      </c>
      <c r="AG588">
        <f>IFERROR(INDEX(PP_Grid[#Data],$DE588,30),0)</f>
        <v/>
      </c>
      <c r="AH588">
        <f>IFERROR(INDEX(PP_Grid[#Data],$DE588,31),0)</f>
        <v/>
      </c>
      <c r="AI588">
        <f>IFERROR(INDEX(PP_Grid[#Data],$DE588,32),0)</f>
        <v/>
      </c>
      <c r="AJ588">
        <f>IFERROR(INDEX(PP_Grid[#Data],$DE588,33),0)</f>
        <v/>
      </c>
      <c r="AK588">
        <f>IFERROR(INDEX(PP_Grid[#Data],$DE588,34),0)</f>
        <v/>
      </c>
      <c r="AL588">
        <f>IFERROR(INDEX(PP_Grid[#Data],$DE588,35),0)</f>
        <v/>
      </c>
      <c r="AM588">
        <f>IFERROR(INDEX(PP_Grid[#Data],$DE588,36),0)</f>
        <v/>
      </c>
      <c r="AN588">
        <f>IFERROR(INDEX(PP_Grid[#Data],$DE588,37),0)</f>
        <v/>
      </c>
      <c r="AO588">
        <f>IFERROR(INDEX(PP_Grid[#Data],$DE588,38),0)</f>
        <v/>
      </c>
      <c r="AP588">
        <f>IFERROR(INDEX(PP_Grid[#Data],$DE588,39),0)</f>
        <v/>
      </c>
      <c r="AQ588">
        <f>IFERROR(INDEX(PP_Grid[#Data],$DE588,40),0)</f>
        <v/>
      </c>
      <c r="AR588">
        <f>IFERROR(INDEX(PP_Grid[#Data],$DE588,41),0)</f>
        <v/>
      </c>
      <c r="AS588">
        <f>IFERROR(INDEX(PP_Grid[#Data],$DE588,42),0)</f>
        <v/>
      </c>
      <c r="AT588">
        <f>IFERROR(INDEX(PP_Grid[#Data],$DE588,43),0)</f>
        <v/>
      </c>
      <c r="AU588">
        <f>IFERROR(INDEX(PP_Grid[#Data],$DE588,44),0)</f>
        <v/>
      </c>
      <c r="AV588">
        <f>IFERROR(INDEX(PP_Grid[#Data],$DE588,45),0)</f>
        <v/>
      </c>
      <c r="AW588">
        <f>IFERROR(INDEX(PP_Grid[#Data],$DE588,46),0)</f>
        <v/>
      </c>
      <c r="AX588">
        <f>IFERROR(INDEX(PP_Grid[#Data],$DE588,47),0)</f>
        <v/>
      </c>
      <c r="AY588">
        <f>IFERROR(INDEX(PP_Grid[#Data],$DE588,48),0)</f>
        <v/>
      </c>
      <c r="AZ588">
        <f>IFERROR(INDEX(PP_Grid[#Data],$DE588,49),0)</f>
        <v/>
      </c>
      <c r="BA588">
        <f>IFERROR(INDEX(PP_Grid[#Data],$DE588,50),0)</f>
        <v/>
      </c>
      <c r="BB588">
        <f>IFERROR(INDEX(PP_Grid[#Data],$DE588,51),0)</f>
        <v/>
      </c>
      <c r="BC588">
        <f>IFERROR(INDEX(PP_Grid[#Data],$DE588,52),0)</f>
        <v/>
      </c>
      <c r="BD588">
        <f>IFERROR(INDEX(PP_Grid[#Data],$DE588,53),0)</f>
        <v/>
      </c>
      <c r="BE588">
        <f>IFERROR(INDEX(PP_Grid[#Data],$DE588,54),0)</f>
        <v/>
      </c>
      <c r="BF588">
        <f>IFERROR(INDEX(PP_Grid[#Data],$DE588,55),0)</f>
        <v/>
      </c>
      <c r="BG588">
        <f>IFERROR(INDEX(PP_Grid[#Data],$DE588,56),0)</f>
        <v/>
      </c>
      <c r="BH588">
        <f>IFERROR(INDEX(PP_Grid[#Data],$DE588,57),0)</f>
        <v/>
      </c>
      <c r="BI588">
        <f>IFERROR(INDEX(PP_Grid[#Data],$DE588,58),0)</f>
        <v/>
      </c>
      <c r="BJ588">
        <f>IFERROR(INDEX(PP_Grid[#Data],$DE588,59),0)</f>
        <v/>
      </c>
      <c r="BK588">
        <f>IFERROR(INDEX(PP_Grid[#Data],$DE588,60),0)</f>
        <v/>
      </c>
      <c r="BL588">
        <f>IFERROR(INDEX(PP_Grid[#Data],$DE588,61),0)</f>
        <v/>
      </c>
      <c r="BM588">
        <f>IFERROR(INDEX(PP_Grid[#Data],$DE588,62),0)</f>
        <v/>
      </c>
      <c r="BN588">
        <f>IFERROR(INDEX(PP_Grid[#Data],$DE588,63),0)</f>
        <v/>
      </c>
      <c r="BO588">
        <f>IFERROR(INDEX(PP_Grid[#Data],$DE588,64),0)</f>
        <v/>
      </c>
      <c r="BP588">
        <f>IFERROR(INDEX(PP_Grid[#Data],$DE588,65),0)</f>
        <v/>
      </c>
      <c r="BQ588">
        <f>IFERROR(INDEX(PP_Grid[#Data],$DE588,66),0)</f>
        <v/>
      </c>
      <c r="BR588">
        <f>IFERROR(INDEX(PP_Grid[#Data],$DE588,67),0)</f>
        <v/>
      </c>
      <c r="BS588">
        <f>IFERROR(INDEX(PP_Grid[#Data],$DE588,68),0)</f>
        <v/>
      </c>
      <c r="BT588">
        <f>IFERROR(INDEX(PP_Grid[#Data],$DE588,69),0)</f>
        <v/>
      </c>
      <c r="BU588">
        <f>IFERROR(INDEX(PP_Grid[#Data],$DE588,70),0)</f>
        <v/>
      </c>
      <c r="BV588">
        <f>IFERROR(INDEX(PP_Grid[#Data],$DE588,71),0)</f>
        <v/>
      </c>
      <c r="BW588">
        <f>IFERROR(INDEX(PP_Grid[#Data],$DE588,72),0)</f>
        <v/>
      </c>
      <c r="BX588">
        <f>IFERROR(INDEX(PP_Grid[#Data],$DE588,73),0)</f>
        <v/>
      </c>
      <c r="BY588">
        <f>IFERROR(INDEX(PP_Grid[#Data],$DE588,74),0)</f>
        <v/>
      </c>
      <c r="BZ588">
        <f>IFERROR(INDEX(PP_Grid[#Data],$DE588,75),0)</f>
        <v/>
      </c>
      <c r="CA588">
        <f>IFERROR(INDEX(PP_Grid[#Data],$DE588,76),0)</f>
        <v/>
      </c>
      <c r="CB588">
        <f>IFERROR(INDEX(PP_Grid[#Data],$DE588,77),0)</f>
        <v/>
      </c>
      <c r="CC588">
        <f>IFERROR(INDEX(PP_Grid[#Data],$DE588,78),0)</f>
        <v/>
      </c>
      <c r="CD588">
        <f>IFERROR(INDEX(PP_Grid[#Data],$DE588,79),0)</f>
        <v/>
      </c>
      <c r="CE588">
        <f>IFERROR(INDEX(PP_Grid[#Data],$DE588,80),0)</f>
        <v/>
      </c>
      <c r="CF588">
        <f>IFERROR(INDEX(PP_Grid[#Data],$DE588,81),0)</f>
        <v/>
      </c>
      <c r="CG588">
        <f>IFERROR(INDEX(PP_Grid[#Data],$DE588,82),0)</f>
        <v/>
      </c>
      <c r="CH588">
        <f>IFERROR(INDEX(PP_Grid[#Data],$DE588,83),0)</f>
        <v/>
      </c>
      <c r="CI588">
        <f>IFERROR(INDEX(PP_Grid[#Data],$DE588,84),0)</f>
        <v/>
      </c>
      <c r="CJ588">
        <f>IFERROR(INDEX(PP_Grid[#Data],$DE588,85),0)</f>
        <v/>
      </c>
      <c r="CK588">
        <f>IFERROR(INDEX(PP_Grid[#Data],$DE588,86),0)</f>
        <v/>
      </c>
      <c r="CL588">
        <f>IFERROR(INDEX(PP_Grid[#Data],$DE588,87),0)</f>
        <v/>
      </c>
      <c r="CM588">
        <f>IFERROR(INDEX(PP_Grid[#Data],$DE588,88),0)</f>
        <v/>
      </c>
      <c r="CN588">
        <f>IFERROR(INDEX(PP_Grid[#Data],$DE588,89),0)</f>
        <v/>
      </c>
      <c r="CO588">
        <f>IFERROR(INDEX(PP_Grid[#Data],$DE588,90),0)</f>
        <v/>
      </c>
      <c r="CP588">
        <f>IFERROR(INDEX(PP_Grid[#Data],$DE588,91),0)</f>
        <v/>
      </c>
      <c r="CQ588">
        <f>IFERROR(INDEX(PP_Grid[#Data],$DE588,92),0)</f>
        <v/>
      </c>
      <c r="CR588">
        <f>IFERROR(INDEX(PP_Grid[#Data],$DE588,93),0)</f>
        <v/>
      </c>
      <c r="CS588">
        <f>IFERROR(INDEX(PP_Grid[#Data],$DE588,94),0)</f>
        <v/>
      </c>
      <c r="CT588">
        <f>IFERROR(INDEX(PP_Grid[#Data],$DE588,95),0)</f>
        <v/>
      </c>
      <c r="CU588">
        <f>IFERROR(INDEX(PP_Grid[#Data],$DE588,96),0)</f>
        <v/>
      </c>
      <c r="CV588">
        <f>IFERROR(INDEX(PP_Grid[#Data],$DE588,97),0)</f>
        <v/>
      </c>
      <c r="CW588">
        <f>IFERROR(INDEX(PP_Grid[#Data],$DE588,98),0)</f>
        <v/>
      </c>
      <c r="CX588">
        <f>IFERROR(INDEX(PP_Grid[#Data],$DE588,99),0)</f>
        <v/>
      </c>
      <c r="CY588">
        <f>IFERROR(INDEX(PP_Grid[#Data],$DE588,100),0)</f>
        <v/>
      </c>
      <c r="CZ588">
        <f>IFERROR(INDEX(PP_Grid[#Data],$DE588,101),0)</f>
        <v/>
      </c>
      <c r="DA588">
        <f>IFERROR(INDEX(PP_Grid[#Data],$DE588,102),0)</f>
        <v/>
      </c>
      <c r="DB588">
        <f>IFERROR(INDEX(PP_Grid[#Data],$DE588,103),0)</f>
        <v/>
      </c>
      <c r="DC588">
        <f>IFERROR(INDEX(PP_Grid[#Data],$DE588,104),0)</f>
        <v/>
      </c>
      <c r="DD588">
        <f>IFERROR(INDEX(PP_Grid[#Data],$DE588,105),0)</f>
        <v/>
      </c>
      <c r="DE588" s="7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SUMIFS(M_BOM[RM_Qty_Per_Batch],M_BOM[Intermediate],$B588,M_BOM[RM_Code],$A515)</f>
        <v/>
      </c>
      <c r="D589">
        <f>IFERROR(INDEX(E589:DD589,$F$1),"")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  <c r="DD589">
        <f>$C589*DD588</f>
        <v/>
      </c>
    </row>
    <row r="590">
      <c r="B590" t="inlineStr">
        <is>
          <t>TSP-1445</t>
        </is>
      </c>
      <c r="C590" t="inlineStr">
        <is>
          <t>No. of batches</t>
        </is>
      </c>
      <c r="D590">
        <f>IFERROR(INDEX(E590:DD590,$F$1),"")</f>
        <v/>
      </c>
      <c r="E590">
        <f>IFERROR(INDEX(PP_Grid[#Data],$DE590,2),0)</f>
        <v/>
      </c>
      <c r="F590">
        <f>IFERROR(INDEX(PP_Grid[#Data],$DE590,3),0)</f>
        <v/>
      </c>
      <c r="G590">
        <f>IFERROR(INDEX(PP_Grid[#Data],$DE590,4),0)</f>
        <v/>
      </c>
      <c r="H590">
        <f>IFERROR(INDEX(PP_Grid[#Data],$DE590,5),0)</f>
        <v/>
      </c>
      <c r="I590">
        <f>IFERROR(INDEX(PP_Grid[#Data],$DE590,6),0)</f>
        <v/>
      </c>
      <c r="J590">
        <f>IFERROR(INDEX(PP_Grid[#Data],$DE590,7),0)</f>
        <v/>
      </c>
      <c r="K590">
        <f>IFERROR(INDEX(PP_Grid[#Data],$DE590,8),0)</f>
        <v/>
      </c>
      <c r="L590">
        <f>IFERROR(INDEX(PP_Grid[#Data],$DE590,9),0)</f>
        <v/>
      </c>
      <c r="M590">
        <f>IFERROR(INDEX(PP_Grid[#Data],$DE590,10),0)</f>
        <v/>
      </c>
      <c r="N590">
        <f>IFERROR(INDEX(PP_Grid[#Data],$DE590,11),0)</f>
        <v/>
      </c>
      <c r="O590">
        <f>IFERROR(INDEX(PP_Grid[#Data],$DE590,12),0)</f>
        <v/>
      </c>
      <c r="P590">
        <f>IFERROR(INDEX(PP_Grid[#Data],$DE590,13),0)</f>
        <v/>
      </c>
      <c r="Q590">
        <f>IFERROR(INDEX(PP_Grid[#Data],$DE590,14),0)</f>
        <v/>
      </c>
      <c r="R590">
        <f>IFERROR(INDEX(PP_Grid[#Data],$DE590,15),0)</f>
        <v/>
      </c>
      <c r="S590">
        <f>IFERROR(INDEX(PP_Grid[#Data],$DE590,16),0)</f>
        <v/>
      </c>
      <c r="T590">
        <f>IFERROR(INDEX(PP_Grid[#Data],$DE590,17),0)</f>
        <v/>
      </c>
      <c r="U590">
        <f>IFERROR(INDEX(PP_Grid[#Data],$DE590,18),0)</f>
        <v/>
      </c>
      <c r="V590">
        <f>IFERROR(INDEX(PP_Grid[#Data],$DE590,19),0)</f>
        <v/>
      </c>
      <c r="W590">
        <f>IFERROR(INDEX(PP_Grid[#Data],$DE590,20),0)</f>
        <v/>
      </c>
      <c r="X590">
        <f>IFERROR(INDEX(PP_Grid[#Data],$DE590,21),0)</f>
        <v/>
      </c>
      <c r="Y590">
        <f>IFERROR(INDEX(PP_Grid[#Data],$DE590,22),0)</f>
        <v/>
      </c>
      <c r="Z590">
        <f>IFERROR(INDEX(PP_Grid[#Data],$DE590,23),0)</f>
        <v/>
      </c>
      <c r="AA590">
        <f>IFERROR(INDEX(PP_Grid[#Data],$DE590,24),0)</f>
        <v/>
      </c>
      <c r="AB590">
        <f>IFERROR(INDEX(PP_Grid[#Data],$DE590,25),0)</f>
        <v/>
      </c>
      <c r="AC590">
        <f>IFERROR(INDEX(PP_Grid[#Data],$DE590,26),0)</f>
        <v/>
      </c>
      <c r="AD590">
        <f>IFERROR(INDEX(PP_Grid[#Data],$DE590,27),0)</f>
        <v/>
      </c>
      <c r="AE590">
        <f>IFERROR(INDEX(PP_Grid[#Data],$DE590,28),0)</f>
        <v/>
      </c>
      <c r="AF590">
        <f>IFERROR(INDEX(PP_Grid[#Data],$DE590,29),0)</f>
        <v/>
      </c>
      <c r="AG590">
        <f>IFERROR(INDEX(PP_Grid[#Data],$DE590,30),0)</f>
        <v/>
      </c>
      <c r="AH590">
        <f>IFERROR(INDEX(PP_Grid[#Data],$DE590,31),0)</f>
        <v/>
      </c>
      <c r="AI590">
        <f>IFERROR(INDEX(PP_Grid[#Data],$DE590,32),0)</f>
        <v/>
      </c>
      <c r="AJ590">
        <f>IFERROR(INDEX(PP_Grid[#Data],$DE590,33),0)</f>
        <v/>
      </c>
      <c r="AK590">
        <f>IFERROR(INDEX(PP_Grid[#Data],$DE590,34),0)</f>
        <v/>
      </c>
      <c r="AL590">
        <f>IFERROR(INDEX(PP_Grid[#Data],$DE590,35),0)</f>
        <v/>
      </c>
      <c r="AM590">
        <f>IFERROR(INDEX(PP_Grid[#Data],$DE590,36),0)</f>
        <v/>
      </c>
      <c r="AN590">
        <f>IFERROR(INDEX(PP_Grid[#Data],$DE590,37),0)</f>
        <v/>
      </c>
      <c r="AO590">
        <f>IFERROR(INDEX(PP_Grid[#Data],$DE590,38),0)</f>
        <v/>
      </c>
      <c r="AP590">
        <f>IFERROR(INDEX(PP_Grid[#Data],$DE590,39),0)</f>
        <v/>
      </c>
      <c r="AQ590">
        <f>IFERROR(INDEX(PP_Grid[#Data],$DE590,40),0)</f>
        <v/>
      </c>
      <c r="AR590">
        <f>IFERROR(INDEX(PP_Grid[#Data],$DE590,41),0)</f>
        <v/>
      </c>
      <c r="AS590">
        <f>IFERROR(INDEX(PP_Grid[#Data],$DE590,42),0)</f>
        <v/>
      </c>
      <c r="AT590">
        <f>IFERROR(INDEX(PP_Grid[#Data],$DE590,43),0)</f>
        <v/>
      </c>
      <c r="AU590">
        <f>IFERROR(INDEX(PP_Grid[#Data],$DE590,44),0)</f>
        <v/>
      </c>
      <c r="AV590">
        <f>IFERROR(INDEX(PP_Grid[#Data],$DE590,45),0)</f>
        <v/>
      </c>
      <c r="AW590">
        <f>IFERROR(INDEX(PP_Grid[#Data],$DE590,46),0)</f>
        <v/>
      </c>
      <c r="AX590">
        <f>IFERROR(INDEX(PP_Grid[#Data],$DE590,47),0)</f>
        <v/>
      </c>
      <c r="AY590">
        <f>IFERROR(INDEX(PP_Grid[#Data],$DE590,48),0)</f>
        <v/>
      </c>
      <c r="AZ590">
        <f>IFERROR(INDEX(PP_Grid[#Data],$DE590,49),0)</f>
        <v/>
      </c>
      <c r="BA590">
        <f>IFERROR(INDEX(PP_Grid[#Data],$DE590,50),0)</f>
        <v/>
      </c>
      <c r="BB590">
        <f>IFERROR(INDEX(PP_Grid[#Data],$DE590,51),0)</f>
        <v/>
      </c>
      <c r="BC590">
        <f>IFERROR(INDEX(PP_Grid[#Data],$DE590,52),0)</f>
        <v/>
      </c>
      <c r="BD590">
        <f>IFERROR(INDEX(PP_Grid[#Data],$DE590,53),0)</f>
        <v/>
      </c>
      <c r="BE590">
        <f>IFERROR(INDEX(PP_Grid[#Data],$DE590,54),0)</f>
        <v/>
      </c>
      <c r="BF590">
        <f>IFERROR(INDEX(PP_Grid[#Data],$DE590,55),0)</f>
        <v/>
      </c>
      <c r="BG590">
        <f>IFERROR(INDEX(PP_Grid[#Data],$DE590,56),0)</f>
        <v/>
      </c>
      <c r="BH590">
        <f>IFERROR(INDEX(PP_Grid[#Data],$DE590,57),0)</f>
        <v/>
      </c>
      <c r="BI590">
        <f>IFERROR(INDEX(PP_Grid[#Data],$DE590,58),0)</f>
        <v/>
      </c>
      <c r="BJ590">
        <f>IFERROR(INDEX(PP_Grid[#Data],$DE590,59),0)</f>
        <v/>
      </c>
      <c r="BK590">
        <f>IFERROR(INDEX(PP_Grid[#Data],$DE590,60),0)</f>
        <v/>
      </c>
      <c r="BL590">
        <f>IFERROR(INDEX(PP_Grid[#Data],$DE590,61),0)</f>
        <v/>
      </c>
      <c r="BM590">
        <f>IFERROR(INDEX(PP_Grid[#Data],$DE590,62),0)</f>
        <v/>
      </c>
      <c r="BN590">
        <f>IFERROR(INDEX(PP_Grid[#Data],$DE590,63),0)</f>
        <v/>
      </c>
      <c r="BO590">
        <f>IFERROR(INDEX(PP_Grid[#Data],$DE590,64),0)</f>
        <v/>
      </c>
      <c r="BP590">
        <f>IFERROR(INDEX(PP_Grid[#Data],$DE590,65),0)</f>
        <v/>
      </c>
      <c r="BQ590">
        <f>IFERROR(INDEX(PP_Grid[#Data],$DE590,66),0)</f>
        <v/>
      </c>
      <c r="BR590">
        <f>IFERROR(INDEX(PP_Grid[#Data],$DE590,67),0)</f>
        <v/>
      </c>
      <c r="BS590">
        <f>IFERROR(INDEX(PP_Grid[#Data],$DE590,68),0)</f>
        <v/>
      </c>
      <c r="BT590">
        <f>IFERROR(INDEX(PP_Grid[#Data],$DE590,69),0)</f>
        <v/>
      </c>
      <c r="BU590">
        <f>IFERROR(INDEX(PP_Grid[#Data],$DE590,70),0)</f>
        <v/>
      </c>
      <c r="BV590">
        <f>IFERROR(INDEX(PP_Grid[#Data],$DE590,71),0)</f>
        <v/>
      </c>
      <c r="BW590">
        <f>IFERROR(INDEX(PP_Grid[#Data],$DE590,72),0)</f>
        <v/>
      </c>
      <c r="BX590">
        <f>IFERROR(INDEX(PP_Grid[#Data],$DE590,73),0)</f>
        <v/>
      </c>
      <c r="BY590">
        <f>IFERROR(INDEX(PP_Grid[#Data],$DE590,74),0)</f>
        <v/>
      </c>
      <c r="BZ590">
        <f>IFERROR(INDEX(PP_Grid[#Data],$DE590,75),0)</f>
        <v/>
      </c>
      <c r="CA590">
        <f>IFERROR(INDEX(PP_Grid[#Data],$DE590,76),0)</f>
        <v/>
      </c>
      <c r="CB590">
        <f>IFERROR(INDEX(PP_Grid[#Data],$DE590,77),0)</f>
        <v/>
      </c>
      <c r="CC590">
        <f>IFERROR(INDEX(PP_Grid[#Data],$DE590,78),0)</f>
        <v/>
      </c>
      <c r="CD590">
        <f>IFERROR(INDEX(PP_Grid[#Data],$DE590,79),0)</f>
        <v/>
      </c>
      <c r="CE590">
        <f>IFERROR(INDEX(PP_Grid[#Data],$DE590,80),0)</f>
        <v/>
      </c>
      <c r="CF590">
        <f>IFERROR(INDEX(PP_Grid[#Data],$DE590,81),0)</f>
        <v/>
      </c>
      <c r="CG590">
        <f>IFERROR(INDEX(PP_Grid[#Data],$DE590,82),0)</f>
        <v/>
      </c>
      <c r="CH590">
        <f>IFERROR(INDEX(PP_Grid[#Data],$DE590,83),0)</f>
        <v/>
      </c>
      <c r="CI590">
        <f>IFERROR(INDEX(PP_Grid[#Data],$DE590,84),0)</f>
        <v/>
      </c>
      <c r="CJ590">
        <f>IFERROR(INDEX(PP_Grid[#Data],$DE590,85),0)</f>
        <v/>
      </c>
      <c r="CK590">
        <f>IFERROR(INDEX(PP_Grid[#Data],$DE590,86),0)</f>
        <v/>
      </c>
      <c r="CL590">
        <f>IFERROR(INDEX(PP_Grid[#Data],$DE590,87),0)</f>
        <v/>
      </c>
      <c r="CM590">
        <f>IFERROR(INDEX(PP_Grid[#Data],$DE590,88),0)</f>
        <v/>
      </c>
      <c r="CN590">
        <f>IFERROR(INDEX(PP_Grid[#Data],$DE590,89),0)</f>
        <v/>
      </c>
      <c r="CO590">
        <f>IFERROR(INDEX(PP_Grid[#Data],$DE590,90),0)</f>
        <v/>
      </c>
      <c r="CP590">
        <f>IFERROR(INDEX(PP_Grid[#Data],$DE590,91),0)</f>
        <v/>
      </c>
      <c r="CQ590">
        <f>IFERROR(INDEX(PP_Grid[#Data],$DE590,92),0)</f>
        <v/>
      </c>
      <c r="CR590">
        <f>IFERROR(INDEX(PP_Grid[#Data],$DE590,93),0)</f>
        <v/>
      </c>
      <c r="CS590">
        <f>IFERROR(INDEX(PP_Grid[#Data],$DE590,94),0)</f>
        <v/>
      </c>
      <c r="CT590">
        <f>IFERROR(INDEX(PP_Grid[#Data],$DE590,95),0)</f>
        <v/>
      </c>
      <c r="CU590">
        <f>IFERROR(INDEX(PP_Grid[#Data],$DE590,96),0)</f>
        <v/>
      </c>
      <c r="CV590">
        <f>IFERROR(INDEX(PP_Grid[#Data],$DE590,97),0)</f>
        <v/>
      </c>
      <c r="CW590">
        <f>IFERROR(INDEX(PP_Grid[#Data],$DE590,98),0)</f>
        <v/>
      </c>
      <c r="CX590">
        <f>IFERROR(INDEX(PP_Grid[#Data],$DE590,99),0)</f>
        <v/>
      </c>
      <c r="CY590">
        <f>IFERROR(INDEX(PP_Grid[#Data],$DE590,100),0)</f>
        <v/>
      </c>
      <c r="CZ590">
        <f>IFERROR(INDEX(PP_Grid[#Data],$DE590,101),0)</f>
        <v/>
      </c>
      <c r="DA590">
        <f>IFERROR(INDEX(PP_Grid[#Data],$DE590,102),0)</f>
        <v/>
      </c>
      <c r="DB590">
        <f>IFERROR(INDEX(PP_Grid[#Data],$DE590,103),0)</f>
        <v/>
      </c>
      <c r="DC590">
        <f>IFERROR(INDEX(PP_Grid[#Data],$DE590,104),0)</f>
        <v/>
      </c>
      <c r="DD590">
        <f>IFERROR(INDEX(PP_Grid[#Data],$DE590,105),0)</f>
        <v/>
      </c>
      <c r="DE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SUMIFS(M_BOM[RM_Qty_Per_Batch],M_BOM[Intermediate],$B590,M_BOM[RM_Code],$A515)</f>
        <v/>
      </c>
      <c r="D591">
        <f>IFERROR(INDEX(E591:DD591,$F$1),"")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  <c r="DD591">
        <f>$C591*DD590</f>
        <v/>
      </c>
    </row>
    <row r="592">
      <c r="B592" t="inlineStr">
        <is>
          <t>TSP-1446</t>
        </is>
      </c>
      <c r="C592" t="inlineStr">
        <is>
          <t>No. of batches</t>
        </is>
      </c>
      <c r="D592">
        <f>IFERROR(INDEX(E592:DD592,$F$1),"")</f>
        <v/>
      </c>
      <c r="E592">
        <f>IFERROR(INDEX(PP_Grid[#Data],$DE592,2),0)</f>
        <v/>
      </c>
      <c r="F592">
        <f>IFERROR(INDEX(PP_Grid[#Data],$DE592,3),0)</f>
        <v/>
      </c>
      <c r="G592">
        <f>IFERROR(INDEX(PP_Grid[#Data],$DE592,4),0)</f>
        <v/>
      </c>
      <c r="H592">
        <f>IFERROR(INDEX(PP_Grid[#Data],$DE592,5),0)</f>
        <v/>
      </c>
      <c r="I592">
        <f>IFERROR(INDEX(PP_Grid[#Data],$DE592,6),0)</f>
        <v/>
      </c>
      <c r="J592">
        <f>IFERROR(INDEX(PP_Grid[#Data],$DE592,7),0)</f>
        <v/>
      </c>
      <c r="K592">
        <f>IFERROR(INDEX(PP_Grid[#Data],$DE592,8),0)</f>
        <v/>
      </c>
      <c r="L592">
        <f>IFERROR(INDEX(PP_Grid[#Data],$DE592,9),0)</f>
        <v/>
      </c>
      <c r="M592">
        <f>IFERROR(INDEX(PP_Grid[#Data],$DE592,10),0)</f>
        <v/>
      </c>
      <c r="N592">
        <f>IFERROR(INDEX(PP_Grid[#Data],$DE592,11),0)</f>
        <v/>
      </c>
      <c r="O592">
        <f>IFERROR(INDEX(PP_Grid[#Data],$DE592,12),0)</f>
        <v/>
      </c>
      <c r="P592">
        <f>IFERROR(INDEX(PP_Grid[#Data],$DE592,13),0)</f>
        <v/>
      </c>
      <c r="Q592">
        <f>IFERROR(INDEX(PP_Grid[#Data],$DE592,14),0)</f>
        <v/>
      </c>
      <c r="R592">
        <f>IFERROR(INDEX(PP_Grid[#Data],$DE592,15),0)</f>
        <v/>
      </c>
      <c r="S592">
        <f>IFERROR(INDEX(PP_Grid[#Data],$DE592,16),0)</f>
        <v/>
      </c>
      <c r="T592">
        <f>IFERROR(INDEX(PP_Grid[#Data],$DE592,17),0)</f>
        <v/>
      </c>
      <c r="U592">
        <f>IFERROR(INDEX(PP_Grid[#Data],$DE592,18),0)</f>
        <v/>
      </c>
      <c r="V592">
        <f>IFERROR(INDEX(PP_Grid[#Data],$DE592,19),0)</f>
        <v/>
      </c>
      <c r="W592">
        <f>IFERROR(INDEX(PP_Grid[#Data],$DE592,20),0)</f>
        <v/>
      </c>
      <c r="X592">
        <f>IFERROR(INDEX(PP_Grid[#Data],$DE592,21),0)</f>
        <v/>
      </c>
      <c r="Y592">
        <f>IFERROR(INDEX(PP_Grid[#Data],$DE592,22),0)</f>
        <v/>
      </c>
      <c r="Z592">
        <f>IFERROR(INDEX(PP_Grid[#Data],$DE592,23),0)</f>
        <v/>
      </c>
      <c r="AA592">
        <f>IFERROR(INDEX(PP_Grid[#Data],$DE592,24),0)</f>
        <v/>
      </c>
      <c r="AB592">
        <f>IFERROR(INDEX(PP_Grid[#Data],$DE592,25),0)</f>
        <v/>
      </c>
      <c r="AC592">
        <f>IFERROR(INDEX(PP_Grid[#Data],$DE592,26),0)</f>
        <v/>
      </c>
      <c r="AD592">
        <f>IFERROR(INDEX(PP_Grid[#Data],$DE592,27),0)</f>
        <v/>
      </c>
      <c r="AE592">
        <f>IFERROR(INDEX(PP_Grid[#Data],$DE592,28),0)</f>
        <v/>
      </c>
      <c r="AF592">
        <f>IFERROR(INDEX(PP_Grid[#Data],$DE592,29),0)</f>
        <v/>
      </c>
      <c r="AG592">
        <f>IFERROR(INDEX(PP_Grid[#Data],$DE592,30),0)</f>
        <v/>
      </c>
      <c r="AH592">
        <f>IFERROR(INDEX(PP_Grid[#Data],$DE592,31),0)</f>
        <v/>
      </c>
      <c r="AI592">
        <f>IFERROR(INDEX(PP_Grid[#Data],$DE592,32),0)</f>
        <v/>
      </c>
      <c r="AJ592">
        <f>IFERROR(INDEX(PP_Grid[#Data],$DE592,33),0)</f>
        <v/>
      </c>
      <c r="AK592">
        <f>IFERROR(INDEX(PP_Grid[#Data],$DE592,34),0)</f>
        <v/>
      </c>
      <c r="AL592">
        <f>IFERROR(INDEX(PP_Grid[#Data],$DE592,35),0)</f>
        <v/>
      </c>
      <c r="AM592">
        <f>IFERROR(INDEX(PP_Grid[#Data],$DE592,36),0)</f>
        <v/>
      </c>
      <c r="AN592">
        <f>IFERROR(INDEX(PP_Grid[#Data],$DE592,37),0)</f>
        <v/>
      </c>
      <c r="AO592">
        <f>IFERROR(INDEX(PP_Grid[#Data],$DE592,38),0)</f>
        <v/>
      </c>
      <c r="AP592">
        <f>IFERROR(INDEX(PP_Grid[#Data],$DE592,39),0)</f>
        <v/>
      </c>
      <c r="AQ592">
        <f>IFERROR(INDEX(PP_Grid[#Data],$DE592,40),0)</f>
        <v/>
      </c>
      <c r="AR592">
        <f>IFERROR(INDEX(PP_Grid[#Data],$DE592,41),0)</f>
        <v/>
      </c>
      <c r="AS592">
        <f>IFERROR(INDEX(PP_Grid[#Data],$DE592,42),0)</f>
        <v/>
      </c>
      <c r="AT592">
        <f>IFERROR(INDEX(PP_Grid[#Data],$DE592,43),0)</f>
        <v/>
      </c>
      <c r="AU592">
        <f>IFERROR(INDEX(PP_Grid[#Data],$DE592,44),0)</f>
        <v/>
      </c>
      <c r="AV592">
        <f>IFERROR(INDEX(PP_Grid[#Data],$DE592,45),0)</f>
        <v/>
      </c>
      <c r="AW592">
        <f>IFERROR(INDEX(PP_Grid[#Data],$DE592,46),0)</f>
        <v/>
      </c>
      <c r="AX592">
        <f>IFERROR(INDEX(PP_Grid[#Data],$DE592,47),0)</f>
        <v/>
      </c>
      <c r="AY592">
        <f>IFERROR(INDEX(PP_Grid[#Data],$DE592,48),0)</f>
        <v/>
      </c>
      <c r="AZ592">
        <f>IFERROR(INDEX(PP_Grid[#Data],$DE592,49),0)</f>
        <v/>
      </c>
      <c r="BA592">
        <f>IFERROR(INDEX(PP_Grid[#Data],$DE592,50),0)</f>
        <v/>
      </c>
      <c r="BB592">
        <f>IFERROR(INDEX(PP_Grid[#Data],$DE592,51),0)</f>
        <v/>
      </c>
      <c r="BC592">
        <f>IFERROR(INDEX(PP_Grid[#Data],$DE592,52),0)</f>
        <v/>
      </c>
      <c r="BD592">
        <f>IFERROR(INDEX(PP_Grid[#Data],$DE592,53),0)</f>
        <v/>
      </c>
      <c r="BE592">
        <f>IFERROR(INDEX(PP_Grid[#Data],$DE592,54),0)</f>
        <v/>
      </c>
      <c r="BF592">
        <f>IFERROR(INDEX(PP_Grid[#Data],$DE592,55),0)</f>
        <v/>
      </c>
      <c r="BG592">
        <f>IFERROR(INDEX(PP_Grid[#Data],$DE592,56),0)</f>
        <v/>
      </c>
      <c r="BH592">
        <f>IFERROR(INDEX(PP_Grid[#Data],$DE592,57),0)</f>
        <v/>
      </c>
      <c r="BI592">
        <f>IFERROR(INDEX(PP_Grid[#Data],$DE592,58),0)</f>
        <v/>
      </c>
      <c r="BJ592">
        <f>IFERROR(INDEX(PP_Grid[#Data],$DE592,59),0)</f>
        <v/>
      </c>
      <c r="BK592">
        <f>IFERROR(INDEX(PP_Grid[#Data],$DE592,60),0)</f>
        <v/>
      </c>
      <c r="BL592">
        <f>IFERROR(INDEX(PP_Grid[#Data],$DE592,61),0)</f>
        <v/>
      </c>
      <c r="BM592">
        <f>IFERROR(INDEX(PP_Grid[#Data],$DE592,62),0)</f>
        <v/>
      </c>
      <c r="BN592">
        <f>IFERROR(INDEX(PP_Grid[#Data],$DE592,63),0)</f>
        <v/>
      </c>
      <c r="BO592">
        <f>IFERROR(INDEX(PP_Grid[#Data],$DE592,64),0)</f>
        <v/>
      </c>
      <c r="BP592">
        <f>IFERROR(INDEX(PP_Grid[#Data],$DE592,65),0)</f>
        <v/>
      </c>
      <c r="BQ592">
        <f>IFERROR(INDEX(PP_Grid[#Data],$DE592,66),0)</f>
        <v/>
      </c>
      <c r="BR592">
        <f>IFERROR(INDEX(PP_Grid[#Data],$DE592,67),0)</f>
        <v/>
      </c>
      <c r="BS592">
        <f>IFERROR(INDEX(PP_Grid[#Data],$DE592,68),0)</f>
        <v/>
      </c>
      <c r="BT592">
        <f>IFERROR(INDEX(PP_Grid[#Data],$DE592,69),0)</f>
        <v/>
      </c>
      <c r="BU592">
        <f>IFERROR(INDEX(PP_Grid[#Data],$DE592,70),0)</f>
        <v/>
      </c>
      <c r="BV592">
        <f>IFERROR(INDEX(PP_Grid[#Data],$DE592,71),0)</f>
        <v/>
      </c>
      <c r="BW592">
        <f>IFERROR(INDEX(PP_Grid[#Data],$DE592,72),0)</f>
        <v/>
      </c>
      <c r="BX592">
        <f>IFERROR(INDEX(PP_Grid[#Data],$DE592,73),0)</f>
        <v/>
      </c>
      <c r="BY592">
        <f>IFERROR(INDEX(PP_Grid[#Data],$DE592,74),0)</f>
        <v/>
      </c>
      <c r="BZ592">
        <f>IFERROR(INDEX(PP_Grid[#Data],$DE592,75),0)</f>
        <v/>
      </c>
      <c r="CA592">
        <f>IFERROR(INDEX(PP_Grid[#Data],$DE592,76),0)</f>
        <v/>
      </c>
      <c r="CB592">
        <f>IFERROR(INDEX(PP_Grid[#Data],$DE592,77),0)</f>
        <v/>
      </c>
      <c r="CC592">
        <f>IFERROR(INDEX(PP_Grid[#Data],$DE592,78),0)</f>
        <v/>
      </c>
      <c r="CD592">
        <f>IFERROR(INDEX(PP_Grid[#Data],$DE592,79),0)</f>
        <v/>
      </c>
      <c r="CE592">
        <f>IFERROR(INDEX(PP_Grid[#Data],$DE592,80),0)</f>
        <v/>
      </c>
      <c r="CF592">
        <f>IFERROR(INDEX(PP_Grid[#Data],$DE592,81),0)</f>
        <v/>
      </c>
      <c r="CG592">
        <f>IFERROR(INDEX(PP_Grid[#Data],$DE592,82),0)</f>
        <v/>
      </c>
      <c r="CH592">
        <f>IFERROR(INDEX(PP_Grid[#Data],$DE592,83),0)</f>
        <v/>
      </c>
      <c r="CI592">
        <f>IFERROR(INDEX(PP_Grid[#Data],$DE592,84),0)</f>
        <v/>
      </c>
      <c r="CJ592">
        <f>IFERROR(INDEX(PP_Grid[#Data],$DE592,85),0)</f>
        <v/>
      </c>
      <c r="CK592">
        <f>IFERROR(INDEX(PP_Grid[#Data],$DE592,86),0)</f>
        <v/>
      </c>
      <c r="CL592">
        <f>IFERROR(INDEX(PP_Grid[#Data],$DE592,87),0)</f>
        <v/>
      </c>
      <c r="CM592">
        <f>IFERROR(INDEX(PP_Grid[#Data],$DE592,88),0)</f>
        <v/>
      </c>
      <c r="CN592">
        <f>IFERROR(INDEX(PP_Grid[#Data],$DE592,89),0)</f>
        <v/>
      </c>
      <c r="CO592">
        <f>IFERROR(INDEX(PP_Grid[#Data],$DE592,90),0)</f>
        <v/>
      </c>
      <c r="CP592">
        <f>IFERROR(INDEX(PP_Grid[#Data],$DE592,91),0)</f>
        <v/>
      </c>
      <c r="CQ592">
        <f>IFERROR(INDEX(PP_Grid[#Data],$DE592,92),0)</f>
        <v/>
      </c>
      <c r="CR592">
        <f>IFERROR(INDEX(PP_Grid[#Data],$DE592,93),0)</f>
        <v/>
      </c>
      <c r="CS592">
        <f>IFERROR(INDEX(PP_Grid[#Data],$DE592,94),0)</f>
        <v/>
      </c>
      <c r="CT592">
        <f>IFERROR(INDEX(PP_Grid[#Data],$DE592,95),0)</f>
        <v/>
      </c>
      <c r="CU592">
        <f>IFERROR(INDEX(PP_Grid[#Data],$DE592,96),0)</f>
        <v/>
      </c>
      <c r="CV592">
        <f>IFERROR(INDEX(PP_Grid[#Data],$DE592,97),0)</f>
        <v/>
      </c>
      <c r="CW592">
        <f>IFERROR(INDEX(PP_Grid[#Data],$DE592,98),0)</f>
        <v/>
      </c>
      <c r="CX592">
        <f>IFERROR(INDEX(PP_Grid[#Data],$DE592,99),0)</f>
        <v/>
      </c>
      <c r="CY592">
        <f>IFERROR(INDEX(PP_Grid[#Data],$DE592,100),0)</f>
        <v/>
      </c>
      <c r="CZ592">
        <f>IFERROR(INDEX(PP_Grid[#Data],$DE592,101),0)</f>
        <v/>
      </c>
      <c r="DA592">
        <f>IFERROR(INDEX(PP_Grid[#Data],$DE592,102),0)</f>
        <v/>
      </c>
      <c r="DB592">
        <f>IFERROR(INDEX(PP_Grid[#Data],$DE592,103),0)</f>
        <v/>
      </c>
      <c r="DC592">
        <f>IFERROR(INDEX(PP_Grid[#Data],$DE592,104),0)</f>
        <v/>
      </c>
      <c r="DD592">
        <f>IFERROR(INDEX(PP_Grid[#Data],$DE592,105),0)</f>
        <v/>
      </c>
      <c r="DE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SUMIFS(M_BOM[RM_Qty_Per_Batch],M_BOM[Intermediate],$B592,M_BOM[RM_Code],$A515)</f>
        <v/>
      </c>
      <c r="D593">
        <f>IFERROR(INDEX(E593:DD593,$F$1),"")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  <c r="DD593">
        <f>$C593*DD592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IFERROR(INDEX(E594:DD594,$F$1),"")</f>
        <v/>
      </c>
      <c r="E594">
        <f>IFERROR(INDEX(PP_Grid[#Data],$DE594,2),0)</f>
        <v/>
      </c>
      <c r="F594">
        <f>IFERROR(INDEX(PP_Grid[#Data],$DE594,3),0)</f>
        <v/>
      </c>
      <c r="G594">
        <f>IFERROR(INDEX(PP_Grid[#Data],$DE594,4),0)</f>
        <v/>
      </c>
      <c r="H594">
        <f>IFERROR(INDEX(PP_Grid[#Data],$DE594,5),0)</f>
        <v/>
      </c>
      <c r="I594">
        <f>IFERROR(INDEX(PP_Grid[#Data],$DE594,6),0)</f>
        <v/>
      </c>
      <c r="J594">
        <f>IFERROR(INDEX(PP_Grid[#Data],$DE594,7),0)</f>
        <v/>
      </c>
      <c r="K594">
        <f>IFERROR(INDEX(PP_Grid[#Data],$DE594,8),0)</f>
        <v/>
      </c>
      <c r="L594">
        <f>IFERROR(INDEX(PP_Grid[#Data],$DE594,9),0)</f>
        <v/>
      </c>
      <c r="M594">
        <f>IFERROR(INDEX(PP_Grid[#Data],$DE594,10),0)</f>
        <v/>
      </c>
      <c r="N594">
        <f>IFERROR(INDEX(PP_Grid[#Data],$DE594,11),0)</f>
        <v/>
      </c>
      <c r="O594">
        <f>IFERROR(INDEX(PP_Grid[#Data],$DE594,12),0)</f>
        <v/>
      </c>
      <c r="P594">
        <f>IFERROR(INDEX(PP_Grid[#Data],$DE594,13),0)</f>
        <v/>
      </c>
      <c r="Q594">
        <f>IFERROR(INDEX(PP_Grid[#Data],$DE594,14),0)</f>
        <v/>
      </c>
      <c r="R594">
        <f>IFERROR(INDEX(PP_Grid[#Data],$DE594,15),0)</f>
        <v/>
      </c>
      <c r="S594">
        <f>IFERROR(INDEX(PP_Grid[#Data],$DE594,16),0)</f>
        <v/>
      </c>
      <c r="T594">
        <f>IFERROR(INDEX(PP_Grid[#Data],$DE594,17),0)</f>
        <v/>
      </c>
      <c r="U594">
        <f>IFERROR(INDEX(PP_Grid[#Data],$DE594,18),0)</f>
        <v/>
      </c>
      <c r="V594">
        <f>IFERROR(INDEX(PP_Grid[#Data],$DE594,19),0)</f>
        <v/>
      </c>
      <c r="W594">
        <f>IFERROR(INDEX(PP_Grid[#Data],$DE594,20),0)</f>
        <v/>
      </c>
      <c r="X594">
        <f>IFERROR(INDEX(PP_Grid[#Data],$DE594,21),0)</f>
        <v/>
      </c>
      <c r="Y594">
        <f>IFERROR(INDEX(PP_Grid[#Data],$DE594,22),0)</f>
        <v/>
      </c>
      <c r="Z594">
        <f>IFERROR(INDEX(PP_Grid[#Data],$DE594,23),0)</f>
        <v/>
      </c>
      <c r="AA594">
        <f>IFERROR(INDEX(PP_Grid[#Data],$DE594,24),0)</f>
        <v/>
      </c>
      <c r="AB594">
        <f>IFERROR(INDEX(PP_Grid[#Data],$DE594,25),0)</f>
        <v/>
      </c>
      <c r="AC594">
        <f>IFERROR(INDEX(PP_Grid[#Data],$DE594,26),0)</f>
        <v/>
      </c>
      <c r="AD594">
        <f>IFERROR(INDEX(PP_Grid[#Data],$DE594,27),0)</f>
        <v/>
      </c>
      <c r="AE594">
        <f>IFERROR(INDEX(PP_Grid[#Data],$DE594,28),0)</f>
        <v/>
      </c>
      <c r="AF594">
        <f>IFERROR(INDEX(PP_Grid[#Data],$DE594,29),0)</f>
        <v/>
      </c>
      <c r="AG594">
        <f>IFERROR(INDEX(PP_Grid[#Data],$DE594,30),0)</f>
        <v/>
      </c>
      <c r="AH594">
        <f>IFERROR(INDEX(PP_Grid[#Data],$DE594,31),0)</f>
        <v/>
      </c>
      <c r="AI594">
        <f>IFERROR(INDEX(PP_Grid[#Data],$DE594,32),0)</f>
        <v/>
      </c>
      <c r="AJ594">
        <f>IFERROR(INDEX(PP_Grid[#Data],$DE594,33),0)</f>
        <v/>
      </c>
      <c r="AK594">
        <f>IFERROR(INDEX(PP_Grid[#Data],$DE594,34),0)</f>
        <v/>
      </c>
      <c r="AL594">
        <f>IFERROR(INDEX(PP_Grid[#Data],$DE594,35),0)</f>
        <v/>
      </c>
      <c r="AM594">
        <f>IFERROR(INDEX(PP_Grid[#Data],$DE594,36),0)</f>
        <v/>
      </c>
      <c r="AN594">
        <f>IFERROR(INDEX(PP_Grid[#Data],$DE594,37),0)</f>
        <v/>
      </c>
      <c r="AO594">
        <f>IFERROR(INDEX(PP_Grid[#Data],$DE594,38),0)</f>
        <v/>
      </c>
      <c r="AP594">
        <f>IFERROR(INDEX(PP_Grid[#Data],$DE594,39),0)</f>
        <v/>
      </c>
      <c r="AQ594">
        <f>IFERROR(INDEX(PP_Grid[#Data],$DE594,40),0)</f>
        <v/>
      </c>
      <c r="AR594">
        <f>IFERROR(INDEX(PP_Grid[#Data],$DE594,41),0)</f>
        <v/>
      </c>
      <c r="AS594">
        <f>IFERROR(INDEX(PP_Grid[#Data],$DE594,42),0)</f>
        <v/>
      </c>
      <c r="AT594">
        <f>IFERROR(INDEX(PP_Grid[#Data],$DE594,43),0)</f>
        <v/>
      </c>
      <c r="AU594">
        <f>IFERROR(INDEX(PP_Grid[#Data],$DE594,44),0)</f>
        <v/>
      </c>
      <c r="AV594">
        <f>IFERROR(INDEX(PP_Grid[#Data],$DE594,45),0)</f>
        <v/>
      </c>
      <c r="AW594">
        <f>IFERROR(INDEX(PP_Grid[#Data],$DE594,46),0)</f>
        <v/>
      </c>
      <c r="AX594">
        <f>IFERROR(INDEX(PP_Grid[#Data],$DE594,47),0)</f>
        <v/>
      </c>
      <c r="AY594">
        <f>IFERROR(INDEX(PP_Grid[#Data],$DE594,48),0)</f>
        <v/>
      </c>
      <c r="AZ594">
        <f>IFERROR(INDEX(PP_Grid[#Data],$DE594,49),0)</f>
        <v/>
      </c>
      <c r="BA594">
        <f>IFERROR(INDEX(PP_Grid[#Data],$DE594,50),0)</f>
        <v/>
      </c>
      <c r="BB594">
        <f>IFERROR(INDEX(PP_Grid[#Data],$DE594,51),0)</f>
        <v/>
      </c>
      <c r="BC594">
        <f>IFERROR(INDEX(PP_Grid[#Data],$DE594,52),0)</f>
        <v/>
      </c>
      <c r="BD594">
        <f>IFERROR(INDEX(PP_Grid[#Data],$DE594,53),0)</f>
        <v/>
      </c>
      <c r="BE594">
        <f>IFERROR(INDEX(PP_Grid[#Data],$DE594,54),0)</f>
        <v/>
      </c>
      <c r="BF594">
        <f>IFERROR(INDEX(PP_Grid[#Data],$DE594,55),0)</f>
        <v/>
      </c>
      <c r="BG594">
        <f>IFERROR(INDEX(PP_Grid[#Data],$DE594,56),0)</f>
        <v/>
      </c>
      <c r="BH594">
        <f>IFERROR(INDEX(PP_Grid[#Data],$DE594,57),0)</f>
        <v/>
      </c>
      <c r="BI594">
        <f>IFERROR(INDEX(PP_Grid[#Data],$DE594,58),0)</f>
        <v/>
      </c>
      <c r="BJ594">
        <f>IFERROR(INDEX(PP_Grid[#Data],$DE594,59),0)</f>
        <v/>
      </c>
      <c r="BK594">
        <f>IFERROR(INDEX(PP_Grid[#Data],$DE594,60),0)</f>
        <v/>
      </c>
      <c r="BL594">
        <f>IFERROR(INDEX(PP_Grid[#Data],$DE594,61),0)</f>
        <v/>
      </c>
      <c r="BM594">
        <f>IFERROR(INDEX(PP_Grid[#Data],$DE594,62),0)</f>
        <v/>
      </c>
      <c r="BN594">
        <f>IFERROR(INDEX(PP_Grid[#Data],$DE594,63),0)</f>
        <v/>
      </c>
      <c r="BO594">
        <f>IFERROR(INDEX(PP_Grid[#Data],$DE594,64),0)</f>
        <v/>
      </c>
      <c r="BP594">
        <f>IFERROR(INDEX(PP_Grid[#Data],$DE594,65),0)</f>
        <v/>
      </c>
      <c r="BQ594">
        <f>IFERROR(INDEX(PP_Grid[#Data],$DE594,66),0)</f>
        <v/>
      </c>
      <c r="BR594">
        <f>IFERROR(INDEX(PP_Grid[#Data],$DE594,67),0)</f>
        <v/>
      </c>
      <c r="BS594">
        <f>IFERROR(INDEX(PP_Grid[#Data],$DE594,68),0)</f>
        <v/>
      </c>
      <c r="BT594">
        <f>IFERROR(INDEX(PP_Grid[#Data],$DE594,69),0)</f>
        <v/>
      </c>
      <c r="BU594">
        <f>IFERROR(INDEX(PP_Grid[#Data],$DE594,70),0)</f>
        <v/>
      </c>
      <c r="BV594">
        <f>IFERROR(INDEX(PP_Grid[#Data],$DE594,71),0)</f>
        <v/>
      </c>
      <c r="BW594">
        <f>IFERROR(INDEX(PP_Grid[#Data],$DE594,72),0)</f>
        <v/>
      </c>
      <c r="BX594">
        <f>IFERROR(INDEX(PP_Grid[#Data],$DE594,73),0)</f>
        <v/>
      </c>
      <c r="BY594">
        <f>IFERROR(INDEX(PP_Grid[#Data],$DE594,74),0)</f>
        <v/>
      </c>
      <c r="BZ594">
        <f>IFERROR(INDEX(PP_Grid[#Data],$DE594,75),0)</f>
        <v/>
      </c>
      <c r="CA594">
        <f>IFERROR(INDEX(PP_Grid[#Data],$DE594,76),0)</f>
        <v/>
      </c>
      <c r="CB594">
        <f>IFERROR(INDEX(PP_Grid[#Data],$DE594,77),0)</f>
        <v/>
      </c>
      <c r="CC594">
        <f>IFERROR(INDEX(PP_Grid[#Data],$DE594,78),0)</f>
        <v/>
      </c>
      <c r="CD594">
        <f>IFERROR(INDEX(PP_Grid[#Data],$DE594,79),0)</f>
        <v/>
      </c>
      <c r="CE594">
        <f>IFERROR(INDEX(PP_Grid[#Data],$DE594,80),0)</f>
        <v/>
      </c>
      <c r="CF594">
        <f>IFERROR(INDEX(PP_Grid[#Data],$DE594,81),0)</f>
        <v/>
      </c>
      <c r="CG594">
        <f>IFERROR(INDEX(PP_Grid[#Data],$DE594,82),0)</f>
        <v/>
      </c>
      <c r="CH594">
        <f>IFERROR(INDEX(PP_Grid[#Data],$DE594,83),0)</f>
        <v/>
      </c>
      <c r="CI594">
        <f>IFERROR(INDEX(PP_Grid[#Data],$DE594,84),0)</f>
        <v/>
      </c>
      <c r="CJ594">
        <f>IFERROR(INDEX(PP_Grid[#Data],$DE594,85),0)</f>
        <v/>
      </c>
      <c r="CK594">
        <f>IFERROR(INDEX(PP_Grid[#Data],$DE594,86),0)</f>
        <v/>
      </c>
      <c r="CL594">
        <f>IFERROR(INDEX(PP_Grid[#Data],$DE594,87),0)</f>
        <v/>
      </c>
      <c r="CM594">
        <f>IFERROR(INDEX(PP_Grid[#Data],$DE594,88),0)</f>
        <v/>
      </c>
      <c r="CN594">
        <f>IFERROR(INDEX(PP_Grid[#Data],$DE594,89),0)</f>
        <v/>
      </c>
      <c r="CO594">
        <f>IFERROR(INDEX(PP_Grid[#Data],$DE594,90),0)</f>
        <v/>
      </c>
      <c r="CP594">
        <f>IFERROR(INDEX(PP_Grid[#Data],$DE594,91),0)</f>
        <v/>
      </c>
      <c r="CQ594">
        <f>IFERROR(INDEX(PP_Grid[#Data],$DE594,92),0)</f>
        <v/>
      </c>
      <c r="CR594">
        <f>IFERROR(INDEX(PP_Grid[#Data],$DE594,93),0)</f>
        <v/>
      </c>
      <c r="CS594">
        <f>IFERROR(INDEX(PP_Grid[#Data],$DE594,94),0)</f>
        <v/>
      </c>
      <c r="CT594">
        <f>IFERROR(INDEX(PP_Grid[#Data],$DE594,95),0)</f>
        <v/>
      </c>
      <c r="CU594">
        <f>IFERROR(INDEX(PP_Grid[#Data],$DE594,96),0)</f>
        <v/>
      </c>
      <c r="CV594">
        <f>IFERROR(INDEX(PP_Grid[#Data],$DE594,97),0)</f>
        <v/>
      </c>
      <c r="CW594">
        <f>IFERROR(INDEX(PP_Grid[#Data],$DE594,98),0)</f>
        <v/>
      </c>
      <c r="CX594">
        <f>IFERROR(INDEX(PP_Grid[#Data],$DE594,99),0)</f>
        <v/>
      </c>
      <c r="CY594">
        <f>IFERROR(INDEX(PP_Grid[#Data],$DE594,100),0)</f>
        <v/>
      </c>
      <c r="CZ594">
        <f>IFERROR(INDEX(PP_Grid[#Data],$DE594,101),0)</f>
        <v/>
      </c>
      <c r="DA594">
        <f>IFERROR(INDEX(PP_Grid[#Data],$DE594,102),0)</f>
        <v/>
      </c>
      <c r="DB594">
        <f>IFERROR(INDEX(PP_Grid[#Data],$DE594,103),0)</f>
        <v/>
      </c>
      <c r="DC594">
        <f>IFERROR(INDEX(PP_Grid[#Data],$DE594,104),0)</f>
        <v/>
      </c>
      <c r="DD594">
        <f>IFERROR(INDEX(PP_Grid[#Data],$DE594,105),0)</f>
        <v/>
      </c>
      <c r="DE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SUMIFS(M_BOM[RM_Qty_Per_Batch],M_BOM[Intermediate],$B594,M_BOM[RM_Code],$A515)</f>
        <v/>
      </c>
      <c r="D595">
        <f>IFERROR(INDEX(E595:DD595,$F$1),"")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  <c r="DD595">
        <f>$C595*DD594</f>
        <v/>
      </c>
    </row>
    <row r="596">
      <c r="B596" t="inlineStr">
        <is>
          <t>VSP-567</t>
        </is>
      </c>
      <c r="C596" t="inlineStr">
        <is>
          <t>No. of batches</t>
        </is>
      </c>
      <c r="D596">
        <f>IFERROR(INDEX(E596:DD596,$F$1),"")</f>
        <v/>
      </c>
      <c r="E596">
        <f>IFERROR(INDEX(PP_Grid[#Data],$DE596,2),0)</f>
        <v/>
      </c>
      <c r="F596">
        <f>IFERROR(INDEX(PP_Grid[#Data],$DE596,3),0)</f>
        <v/>
      </c>
      <c r="G596">
        <f>IFERROR(INDEX(PP_Grid[#Data],$DE596,4),0)</f>
        <v/>
      </c>
      <c r="H596">
        <f>IFERROR(INDEX(PP_Grid[#Data],$DE596,5),0)</f>
        <v/>
      </c>
      <c r="I596">
        <f>IFERROR(INDEX(PP_Grid[#Data],$DE596,6),0)</f>
        <v/>
      </c>
      <c r="J596">
        <f>IFERROR(INDEX(PP_Grid[#Data],$DE596,7),0)</f>
        <v/>
      </c>
      <c r="K596">
        <f>IFERROR(INDEX(PP_Grid[#Data],$DE596,8),0)</f>
        <v/>
      </c>
      <c r="L596">
        <f>IFERROR(INDEX(PP_Grid[#Data],$DE596,9),0)</f>
        <v/>
      </c>
      <c r="M596">
        <f>IFERROR(INDEX(PP_Grid[#Data],$DE596,10),0)</f>
        <v/>
      </c>
      <c r="N596">
        <f>IFERROR(INDEX(PP_Grid[#Data],$DE596,11),0)</f>
        <v/>
      </c>
      <c r="O596">
        <f>IFERROR(INDEX(PP_Grid[#Data],$DE596,12),0)</f>
        <v/>
      </c>
      <c r="P596">
        <f>IFERROR(INDEX(PP_Grid[#Data],$DE596,13),0)</f>
        <v/>
      </c>
      <c r="Q596">
        <f>IFERROR(INDEX(PP_Grid[#Data],$DE596,14),0)</f>
        <v/>
      </c>
      <c r="R596">
        <f>IFERROR(INDEX(PP_Grid[#Data],$DE596,15),0)</f>
        <v/>
      </c>
      <c r="S596">
        <f>IFERROR(INDEX(PP_Grid[#Data],$DE596,16),0)</f>
        <v/>
      </c>
      <c r="T596">
        <f>IFERROR(INDEX(PP_Grid[#Data],$DE596,17),0)</f>
        <v/>
      </c>
      <c r="U596">
        <f>IFERROR(INDEX(PP_Grid[#Data],$DE596,18),0)</f>
        <v/>
      </c>
      <c r="V596">
        <f>IFERROR(INDEX(PP_Grid[#Data],$DE596,19),0)</f>
        <v/>
      </c>
      <c r="W596">
        <f>IFERROR(INDEX(PP_Grid[#Data],$DE596,20),0)</f>
        <v/>
      </c>
      <c r="X596">
        <f>IFERROR(INDEX(PP_Grid[#Data],$DE596,21),0)</f>
        <v/>
      </c>
      <c r="Y596">
        <f>IFERROR(INDEX(PP_Grid[#Data],$DE596,22),0)</f>
        <v/>
      </c>
      <c r="Z596">
        <f>IFERROR(INDEX(PP_Grid[#Data],$DE596,23),0)</f>
        <v/>
      </c>
      <c r="AA596">
        <f>IFERROR(INDEX(PP_Grid[#Data],$DE596,24),0)</f>
        <v/>
      </c>
      <c r="AB596">
        <f>IFERROR(INDEX(PP_Grid[#Data],$DE596,25),0)</f>
        <v/>
      </c>
      <c r="AC596">
        <f>IFERROR(INDEX(PP_Grid[#Data],$DE596,26),0)</f>
        <v/>
      </c>
      <c r="AD596">
        <f>IFERROR(INDEX(PP_Grid[#Data],$DE596,27),0)</f>
        <v/>
      </c>
      <c r="AE596">
        <f>IFERROR(INDEX(PP_Grid[#Data],$DE596,28),0)</f>
        <v/>
      </c>
      <c r="AF596">
        <f>IFERROR(INDEX(PP_Grid[#Data],$DE596,29),0)</f>
        <v/>
      </c>
      <c r="AG596">
        <f>IFERROR(INDEX(PP_Grid[#Data],$DE596,30),0)</f>
        <v/>
      </c>
      <c r="AH596">
        <f>IFERROR(INDEX(PP_Grid[#Data],$DE596,31),0)</f>
        <v/>
      </c>
      <c r="AI596">
        <f>IFERROR(INDEX(PP_Grid[#Data],$DE596,32),0)</f>
        <v/>
      </c>
      <c r="AJ596">
        <f>IFERROR(INDEX(PP_Grid[#Data],$DE596,33),0)</f>
        <v/>
      </c>
      <c r="AK596">
        <f>IFERROR(INDEX(PP_Grid[#Data],$DE596,34),0)</f>
        <v/>
      </c>
      <c r="AL596">
        <f>IFERROR(INDEX(PP_Grid[#Data],$DE596,35),0)</f>
        <v/>
      </c>
      <c r="AM596">
        <f>IFERROR(INDEX(PP_Grid[#Data],$DE596,36),0)</f>
        <v/>
      </c>
      <c r="AN596">
        <f>IFERROR(INDEX(PP_Grid[#Data],$DE596,37),0)</f>
        <v/>
      </c>
      <c r="AO596">
        <f>IFERROR(INDEX(PP_Grid[#Data],$DE596,38),0)</f>
        <v/>
      </c>
      <c r="AP596">
        <f>IFERROR(INDEX(PP_Grid[#Data],$DE596,39),0)</f>
        <v/>
      </c>
      <c r="AQ596">
        <f>IFERROR(INDEX(PP_Grid[#Data],$DE596,40),0)</f>
        <v/>
      </c>
      <c r="AR596">
        <f>IFERROR(INDEX(PP_Grid[#Data],$DE596,41),0)</f>
        <v/>
      </c>
      <c r="AS596">
        <f>IFERROR(INDEX(PP_Grid[#Data],$DE596,42),0)</f>
        <v/>
      </c>
      <c r="AT596">
        <f>IFERROR(INDEX(PP_Grid[#Data],$DE596,43),0)</f>
        <v/>
      </c>
      <c r="AU596">
        <f>IFERROR(INDEX(PP_Grid[#Data],$DE596,44),0)</f>
        <v/>
      </c>
      <c r="AV596">
        <f>IFERROR(INDEX(PP_Grid[#Data],$DE596,45),0)</f>
        <v/>
      </c>
      <c r="AW596">
        <f>IFERROR(INDEX(PP_Grid[#Data],$DE596,46),0)</f>
        <v/>
      </c>
      <c r="AX596">
        <f>IFERROR(INDEX(PP_Grid[#Data],$DE596,47),0)</f>
        <v/>
      </c>
      <c r="AY596">
        <f>IFERROR(INDEX(PP_Grid[#Data],$DE596,48),0)</f>
        <v/>
      </c>
      <c r="AZ596">
        <f>IFERROR(INDEX(PP_Grid[#Data],$DE596,49),0)</f>
        <v/>
      </c>
      <c r="BA596">
        <f>IFERROR(INDEX(PP_Grid[#Data],$DE596,50),0)</f>
        <v/>
      </c>
      <c r="BB596">
        <f>IFERROR(INDEX(PP_Grid[#Data],$DE596,51),0)</f>
        <v/>
      </c>
      <c r="BC596">
        <f>IFERROR(INDEX(PP_Grid[#Data],$DE596,52),0)</f>
        <v/>
      </c>
      <c r="BD596">
        <f>IFERROR(INDEX(PP_Grid[#Data],$DE596,53),0)</f>
        <v/>
      </c>
      <c r="BE596">
        <f>IFERROR(INDEX(PP_Grid[#Data],$DE596,54),0)</f>
        <v/>
      </c>
      <c r="BF596">
        <f>IFERROR(INDEX(PP_Grid[#Data],$DE596,55),0)</f>
        <v/>
      </c>
      <c r="BG596">
        <f>IFERROR(INDEX(PP_Grid[#Data],$DE596,56),0)</f>
        <v/>
      </c>
      <c r="BH596">
        <f>IFERROR(INDEX(PP_Grid[#Data],$DE596,57),0)</f>
        <v/>
      </c>
      <c r="BI596">
        <f>IFERROR(INDEX(PP_Grid[#Data],$DE596,58),0)</f>
        <v/>
      </c>
      <c r="BJ596">
        <f>IFERROR(INDEX(PP_Grid[#Data],$DE596,59),0)</f>
        <v/>
      </c>
      <c r="BK596">
        <f>IFERROR(INDEX(PP_Grid[#Data],$DE596,60),0)</f>
        <v/>
      </c>
      <c r="BL596">
        <f>IFERROR(INDEX(PP_Grid[#Data],$DE596,61),0)</f>
        <v/>
      </c>
      <c r="BM596">
        <f>IFERROR(INDEX(PP_Grid[#Data],$DE596,62),0)</f>
        <v/>
      </c>
      <c r="BN596">
        <f>IFERROR(INDEX(PP_Grid[#Data],$DE596,63),0)</f>
        <v/>
      </c>
      <c r="BO596">
        <f>IFERROR(INDEX(PP_Grid[#Data],$DE596,64),0)</f>
        <v/>
      </c>
      <c r="BP596">
        <f>IFERROR(INDEX(PP_Grid[#Data],$DE596,65),0)</f>
        <v/>
      </c>
      <c r="BQ596">
        <f>IFERROR(INDEX(PP_Grid[#Data],$DE596,66),0)</f>
        <v/>
      </c>
      <c r="BR596">
        <f>IFERROR(INDEX(PP_Grid[#Data],$DE596,67),0)</f>
        <v/>
      </c>
      <c r="BS596">
        <f>IFERROR(INDEX(PP_Grid[#Data],$DE596,68),0)</f>
        <v/>
      </c>
      <c r="BT596">
        <f>IFERROR(INDEX(PP_Grid[#Data],$DE596,69),0)</f>
        <v/>
      </c>
      <c r="BU596">
        <f>IFERROR(INDEX(PP_Grid[#Data],$DE596,70),0)</f>
        <v/>
      </c>
      <c r="BV596">
        <f>IFERROR(INDEX(PP_Grid[#Data],$DE596,71),0)</f>
        <v/>
      </c>
      <c r="BW596">
        <f>IFERROR(INDEX(PP_Grid[#Data],$DE596,72),0)</f>
        <v/>
      </c>
      <c r="BX596">
        <f>IFERROR(INDEX(PP_Grid[#Data],$DE596,73),0)</f>
        <v/>
      </c>
      <c r="BY596">
        <f>IFERROR(INDEX(PP_Grid[#Data],$DE596,74),0)</f>
        <v/>
      </c>
      <c r="BZ596">
        <f>IFERROR(INDEX(PP_Grid[#Data],$DE596,75),0)</f>
        <v/>
      </c>
      <c r="CA596">
        <f>IFERROR(INDEX(PP_Grid[#Data],$DE596,76),0)</f>
        <v/>
      </c>
      <c r="CB596">
        <f>IFERROR(INDEX(PP_Grid[#Data],$DE596,77),0)</f>
        <v/>
      </c>
      <c r="CC596">
        <f>IFERROR(INDEX(PP_Grid[#Data],$DE596,78),0)</f>
        <v/>
      </c>
      <c r="CD596">
        <f>IFERROR(INDEX(PP_Grid[#Data],$DE596,79),0)</f>
        <v/>
      </c>
      <c r="CE596">
        <f>IFERROR(INDEX(PP_Grid[#Data],$DE596,80),0)</f>
        <v/>
      </c>
      <c r="CF596">
        <f>IFERROR(INDEX(PP_Grid[#Data],$DE596,81),0)</f>
        <v/>
      </c>
      <c r="CG596">
        <f>IFERROR(INDEX(PP_Grid[#Data],$DE596,82),0)</f>
        <v/>
      </c>
      <c r="CH596">
        <f>IFERROR(INDEX(PP_Grid[#Data],$DE596,83),0)</f>
        <v/>
      </c>
      <c r="CI596">
        <f>IFERROR(INDEX(PP_Grid[#Data],$DE596,84),0)</f>
        <v/>
      </c>
      <c r="CJ596">
        <f>IFERROR(INDEX(PP_Grid[#Data],$DE596,85),0)</f>
        <v/>
      </c>
      <c r="CK596">
        <f>IFERROR(INDEX(PP_Grid[#Data],$DE596,86),0)</f>
        <v/>
      </c>
      <c r="CL596">
        <f>IFERROR(INDEX(PP_Grid[#Data],$DE596,87),0)</f>
        <v/>
      </c>
      <c r="CM596">
        <f>IFERROR(INDEX(PP_Grid[#Data],$DE596,88),0)</f>
        <v/>
      </c>
      <c r="CN596">
        <f>IFERROR(INDEX(PP_Grid[#Data],$DE596,89),0)</f>
        <v/>
      </c>
      <c r="CO596">
        <f>IFERROR(INDEX(PP_Grid[#Data],$DE596,90),0)</f>
        <v/>
      </c>
      <c r="CP596">
        <f>IFERROR(INDEX(PP_Grid[#Data],$DE596,91),0)</f>
        <v/>
      </c>
      <c r="CQ596">
        <f>IFERROR(INDEX(PP_Grid[#Data],$DE596,92),0)</f>
        <v/>
      </c>
      <c r="CR596">
        <f>IFERROR(INDEX(PP_Grid[#Data],$DE596,93),0)</f>
        <v/>
      </c>
      <c r="CS596">
        <f>IFERROR(INDEX(PP_Grid[#Data],$DE596,94),0)</f>
        <v/>
      </c>
      <c r="CT596">
        <f>IFERROR(INDEX(PP_Grid[#Data],$DE596,95),0)</f>
        <v/>
      </c>
      <c r="CU596">
        <f>IFERROR(INDEX(PP_Grid[#Data],$DE596,96),0)</f>
        <v/>
      </c>
      <c r="CV596">
        <f>IFERROR(INDEX(PP_Grid[#Data],$DE596,97),0)</f>
        <v/>
      </c>
      <c r="CW596">
        <f>IFERROR(INDEX(PP_Grid[#Data],$DE596,98),0)</f>
        <v/>
      </c>
      <c r="CX596">
        <f>IFERROR(INDEX(PP_Grid[#Data],$DE596,99),0)</f>
        <v/>
      </c>
      <c r="CY596">
        <f>IFERROR(INDEX(PP_Grid[#Data],$DE596,100),0)</f>
        <v/>
      </c>
      <c r="CZ596">
        <f>IFERROR(INDEX(PP_Grid[#Data],$DE596,101),0)</f>
        <v/>
      </c>
      <c r="DA596">
        <f>IFERROR(INDEX(PP_Grid[#Data],$DE596,102),0)</f>
        <v/>
      </c>
      <c r="DB596">
        <f>IFERROR(INDEX(PP_Grid[#Data],$DE596,103),0)</f>
        <v/>
      </c>
      <c r="DC596">
        <f>IFERROR(INDEX(PP_Grid[#Data],$DE596,104),0)</f>
        <v/>
      </c>
      <c r="DD596">
        <f>IFERROR(INDEX(PP_Grid[#Data],$DE596,105),0)</f>
        <v/>
      </c>
      <c r="DE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SUMIFS(M_BOM[RM_Qty_Per_Batch],M_BOM[Intermediate],$B596,M_BOM[RM_Code],$A515)</f>
        <v/>
      </c>
      <c r="D597">
        <f>IFERROR(INDEX(E597:DD597,$F$1),"")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  <c r="DD597">
        <f>$C597*DD596</f>
        <v/>
      </c>
    </row>
    <row r="598">
      <c r="B598" t="inlineStr">
        <is>
          <t>VSP-600</t>
        </is>
      </c>
      <c r="C598" t="inlineStr">
        <is>
          <t>No. of batches</t>
        </is>
      </c>
      <c r="D598">
        <f>IFERROR(INDEX(E598:DD598,$F$1),"")</f>
        <v/>
      </c>
      <c r="E598">
        <f>IFERROR(INDEX(PP_Grid[#Data],$DE598,2),0)</f>
        <v/>
      </c>
      <c r="F598">
        <f>IFERROR(INDEX(PP_Grid[#Data],$DE598,3),0)</f>
        <v/>
      </c>
      <c r="G598">
        <f>IFERROR(INDEX(PP_Grid[#Data],$DE598,4),0)</f>
        <v/>
      </c>
      <c r="H598">
        <f>IFERROR(INDEX(PP_Grid[#Data],$DE598,5),0)</f>
        <v/>
      </c>
      <c r="I598">
        <f>IFERROR(INDEX(PP_Grid[#Data],$DE598,6),0)</f>
        <v/>
      </c>
      <c r="J598">
        <f>IFERROR(INDEX(PP_Grid[#Data],$DE598,7),0)</f>
        <v/>
      </c>
      <c r="K598">
        <f>IFERROR(INDEX(PP_Grid[#Data],$DE598,8),0)</f>
        <v/>
      </c>
      <c r="L598">
        <f>IFERROR(INDEX(PP_Grid[#Data],$DE598,9),0)</f>
        <v/>
      </c>
      <c r="M598">
        <f>IFERROR(INDEX(PP_Grid[#Data],$DE598,10),0)</f>
        <v/>
      </c>
      <c r="N598">
        <f>IFERROR(INDEX(PP_Grid[#Data],$DE598,11),0)</f>
        <v/>
      </c>
      <c r="O598">
        <f>IFERROR(INDEX(PP_Grid[#Data],$DE598,12),0)</f>
        <v/>
      </c>
      <c r="P598">
        <f>IFERROR(INDEX(PP_Grid[#Data],$DE598,13),0)</f>
        <v/>
      </c>
      <c r="Q598">
        <f>IFERROR(INDEX(PP_Grid[#Data],$DE598,14),0)</f>
        <v/>
      </c>
      <c r="R598">
        <f>IFERROR(INDEX(PP_Grid[#Data],$DE598,15),0)</f>
        <v/>
      </c>
      <c r="S598">
        <f>IFERROR(INDEX(PP_Grid[#Data],$DE598,16),0)</f>
        <v/>
      </c>
      <c r="T598">
        <f>IFERROR(INDEX(PP_Grid[#Data],$DE598,17),0)</f>
        <v/>
      </c>
      <c r="U598">
        <f>IFERROR(INDEX(PP_Grid[#Data],$DE598,18),0)</f>
        <v/>
      </c>
      <c r="V598">
        <f>IFERROR(INDEX(PP_Grid[#Data],$DE598,19),0)</f>
        <v/>
      </c>
      <c r="W598">
        <f>IFERROR(INDEX(PP_Grid[#Data],$DE598,20),0)</f>
        <v/>
      </c>
      <c r="X598">
        <f>IFERROR(INDEX(PP_Grid[#Data],$DE598,21),0)</f>
        <v/>
      </c>
      <c r="Y598">
        <f>IFERROR(INDEX(PP_Grid[#Data],$DE598,22),0)</f>
        <v/>
      </c>
      <c r="Z598">
        <f>IFERROR(INDEX(PP_Grid[#Data],$DE598,23),0)</f>
        <v/>
      </c>
      <c r="AA598">
        <f>IFERROR(INDEX(PP_Grid[#Data],$DE598,24),0)</f>
        <v/>
      </c>
      <c r="AB598">
        <f>IFERROR(INDEX(PP_Grid[#Data],$DE598,25),0)</f>
        <v/>
      </c>
      <c r="AC598">
        <f>IFERROR(INDEX(PP_Grid[#Data],$DE598,26),0)</f>
        <v/>
      </c>
      <c r="AD598">
        <f>IFERROR(INDEX(PP_Grid[#Data],$DE598,27),0)</f>
        <v/>
      </c>
      <c r="AE598">
        <f>IFERROR(INDEX(PP_Grid[#Data],$DE598,28),0)</f>
        <v/>
      </c>
      <c r="AF598">
        <f>IFERROR(INDEX(PP_Grid[#Data],$DE598,29),0)</f>
        <v/>
      </c>
      <c r="AG598">
        <f>IFERROR(INDEX(PP_Grid[#Data],$DE598,30),0)</f>
        <v/>
      </c>
      <c r="AH598">
        <f>IFERROR(INDEX(PP_Grid[#Data],$DE598,31),0)</f>
        <v/>
      </c>
      <c r="AI598">
        <f>IFERROR(INDEX(PP_Grid[#Data],$DE598,32),0)</f>
        <v/>
      </c>
      <c r="AJ598">
        <f>IFERROR(INDEX(PP_Grid[#Data],$DE598,33),0)</f>
        <v/>
      </c>
      <c r="AK598">
        <f>IFERROR(INDEX(PP_Grid[#Data],$DE598,34),0)</f>
        <v/>
      </c>
      <c r="AL598">
        <f>IFERROR(INDEX(PP_Grid[#Data],$DE598,35),0)</f>
        <v/>
      </c>
      <c r="AM598">
        <f>IFERROR(INDEX(PP_Grid[#Data],$DE598,36),0)</f>
        <v/>
      </c>
      <c r="AN598">
        <f>IFERROR(INDEX(PP_Grid[#Data],$DE598,37),0)</f>
        <v/>
      </c>
      <c r="AO598">
        <f>IFERROR(INDEX(PP_Grid[#Data],$DE598,38),0)</f>
        <v/>
      </c>
      <c r="AP598">
        <f>IFERROR(INDEX(PP_Grid[#Data],$DE598,39),0)</f>
        <v/>
      </c>
      <c r="AQ598">
        <f>IFERROR(INDEX(PP_Grid[#Data],$DE598,40),0)</f>
        <v/>
      </c>
      <c r="AR598">
        <f>IFERROR(INDEX(PP_Grid[#Data],$DE598,41),0)</f>
        <v/>
      </c>
      <c r="AS598">
        <f>IFERROR(INDEX(PP_Grid[#Data],$DE598,42),0)</f>
        <v/>
      </c>
      <c r="AT598">
        <f>IFERROR(INDEX(PP_Grid[#Data],$DE598,43),0)</f>
        <v/>
      </c>
      <c r="AU598">
        <f>IFERROR(INDEX(PP_Grid[#Data],$DE598,44),0)</f>
        <v/>
      </c>
      <c r="AV598">
        <f>IFERROR(INDEX(PP_Grid[#Data],$DE598,45),0)</f>
        <v/>
      </c>
      <c r="AW598">
        <f>IFERROR(INDEX(PP_Grid[#Data],$DE598,46),0)</f>
        <v/>
      </c>
      <c r="AX598">
        <f>IFERROR(INDEX(PP_Grid[#Data],$DE598,47),0)</f>
        <v/>
      </c>
      <c r="AY598">
        <f>IFERROR(INDEX(PP_Grid[#Data],$DE598,48),0)</f>
        <v/>
      </c>
      <c r="AZ598">
        <f>IFERROR(INDEX(PP_Grid[#Data],$DE598,49),0)</f>
        <v/>
      </c>
      <c r="BA598">
        <f>IFERROR(INDEX(PP_Grid[#Data],$DE598,50),0)</f>
        <v/>
      </c>
      <c r="BB598">
        <f>IFERROR(INDEX(PP_Grid[#Data],$DE598,51),0)</f>
        <v/>
      </c>
      <c r="BC598">
        <f>IFERROR(INDEX(PP_Grid[#Data],$DE598,52),0)</f>
        <v/>
      </c>
      <c r="BD598">
        <f>IFERROR(INDEX(PP_Grid[#Data],$DE598,53),0)</f>
        <v/>
      </c>
      <c r="BE598">
        <f>IFERROR(INDEX(PP_Grid[#Data],$DE598,54),0)</f>
        <v/>
      </c>
      <c r="BF598">
        <f>IFERROR(INDEX(PP_Grid[#Data],$DE598,55),0)</f>
        <v/>
      </c>
      <c r="BG598">
        <f>IFERROR(INDEX(PP_Grid[#Data],$DE598,56),0)</f>
        <v/>
      </c>
      <c r="BH598">
        <f>IFERROR(INDEX(PP_Grid[#Data],$DE598,57),0)</f>
        <v/>
      </c>
      <c r="BI598">
        <f>IFERROR(INDEX(PP_Grid[#Data],$DE598,58),0)</f>
        <v/>
      </c>
      <c r="BJ598">
        <f>IFERROR(INDEX(PP_Grid[#Data],$DE598,59),0)</f>
        <v/>
      </c>
      <c r="BK598">
        <f>IFERROR(INDEX(PP_Grid[#Data],$DE598,60),0)</f>
        <v/>
      </c>
      <c r="BL598">
        <f>IFERROR(INDEX(PP_Grid[#Data],$DE598,61),0)</f>
        <v/>
      </c>
      <c r="BM598">
        <f>IFERROR(INDEX(PP_Grid[#Data],$DE598,62),0)</f>
        <v/>
      </c>
      <c r="BN598">
        <f>IFERROR(INDEX(PP_Grid[#Data],$DE598,63),0)</f>
        <v/>
      </c>
      <c r="BO598">
        <f>IFERROR(INDEX(PP_Grid[#Data],$DE598,64),0)</f>
        <v/>
      </c>
      <c r="BP598">
        <f>IFERROR(INDEX(PP_Grid[#Data],$DE598,65),0)</f>
        <v/>
      </c>
      <c r="BQ598">
        <f>IFERROR(INDEX(PP_Grid[#Data],$DE598,66),0)</f>
        <v/>
      </c>
      <c r="BR598">
        <f>IFERROR(INDEX(PP_Grid[#Data],$DE598,67),0)</f>
        <v/>
      </c>
      <c r="BS598">
        <f>IFERROR(INDEX(PP_Grid[#Data],$DE598,68),0)</f>
        <v/>
      </c>
      <c r="BT598">
        <f>IFERROR(INDEX(PP_Grid[#Data],$DE598,69),0)</f>
        <v/>
      </c>
      <c r="BU598">
        <f>IFERROR(INDEX(PP_Grid[#Data],$DE598,70),0)</f>
        <v/>
      </c>
      <c r="BV598">
        <f>IFERROR(INDEX(PP_Grid[#Data],$DE598,71),0)</f>
        <v/>
      </c>
      <c r="BW598">
        <f>IFERROR(INDEX(PP_Grid[#Data],$DE598,72),0)</f>
        <v/>
      </c>
      <c r="BX598">
        <f>IFERROR(INDEX(PP_Grid[#Data],$DE598,73),0)</f>
        <v/>
      </c>
      <c r="BY598">
        <f>IFERROR(INDEX(PP_Grid[#Data],$DE598,74),0)</f>
        <v/>
      </c>
      <c r="BZ598">
        <f>IFERROR(INDEX(PP_Grid[#Data],$DE598,75),0)</f>
        <v/>
      </c>
      <c r="CA598">
        <f>IFERROR(INDEX(PP_Grid[#Data],$DE598,76),0)</f>
        <v/>
      </c>
      <c r="CB598">
        <f>IFERROR(INDEX(PP_Grid[#Data],$DE598,77),0)</f>
        <v/>
      </c>
      <c r="CC598">
        <f>IFERROR(INDEX(PP_Grid[#Data],$DE598,78),0)</f>
        <v/>
      </c>
      <c r="CD598">
        <f>IFERROR(INDEX(PP_Grid[#Data],$DE598,79),0)</f>
        <v/>
      </c>
      <c r="CE598">
        <f>IFERROR(INDEX(PP_Grid[#Data],$DE598,80),0)</f>
        <v/>
      </c>
      <c r="CF598">
        <f>IFERROR(INDEX(PP_Grid[#Data],$DE598,81),0)</f>
        <v/>
      </c>
      <c r="CG598">
        <f>IFERROR(INDEX(PP_Grid[#Data],$DE598,82),0)</f>
        <v/>
      </c>
      <c r="CH598">
        <f>IFERROR(INDEX(PP_Grid[#Data],$DE598,83),0)</f>
        <v/>
      </c>
      <c r="CI598">
        <f>IFERROR(INDEX(PP_Grid[#Data],$DE598,84),0)</f>
        <v/>
      </c>
      <c r="CJ598">
        <f>IFERROR(INDEX(PP_Grid[#Data],$DE598,85),0)</f>
        <v/>
      </c>
      <c r="CK598">
        <f>IFERROR(INDEX(PP_Grid[#Data],$DE598,86),0)</f>
        <v/>
      </c>
      <c r="CL598">
        <f>IFERROR(INDEX(PP_Grid[#Data],$DE598,87),0)</f>
        <v/>
      </c>
      <c r="CM598">
        <f>IFERROR(INDEX(PP_Grid[#Data],$DE598,88),0)</f>
        <v/>
      </c>
      <c r="CN598">
        <f>IFERROR(INDEX(PP_Grid[#Data],$DE598,89),0)</f>
        <v/>
      </c>
      <c r="CO598">
        <f>IFERROR(INDEX(PP_Grid[#Data],$DE598,90),0)</f>
        <v/>
      </c>
      <c r="CP598">
        <f>IFERROR(INDEX(PP_Grid[#Data],$DE598,91),0)</f>
        <v/>
      </c>
      <c r="CQ598">
        <f>IFERROR(INDEX(PP_Grid[#Data],$DE598,92),0)</f>
        <v/>
      </c>
      <c r="CR598">
        <f>IFERROR(INDEX(PP_Grid[#Data],$DE598,93),0)</f>
        <v/>
      </c>
      <c r="CS598">
        <f>IFERROR(INDEX(PP_Grid[#Data],$DE598,94),0)</f>
        <v/>
      </c>
      <c r="CT598">
        <f>IFERROR(INDEX(PP_Grid[#Data],$DE598,95),0)</f>
        <v/>
      </c>
      <c r="CU598">
        <f>IFERROR(INDEX(PP_Grid[#Data],$DE598,96),0)</f>
        <v/>
      </c>
      <c r="CV598">
        <f>IFERROR(INDEX(PP_Grid[#Data],$DE598,97),0)</f>
        <v/>
      </c>
      <c r="CW598">
        <f>IFERROR(INDEX(PP_Grid[#Data],$DE598,98),0)</f>
        <v/>
      </c>
      <c r="CX598">
        <f>IFERROR(INDEX(PP_Grid[#Data],$DE598,99),0)</f>
        <v/>
      </c>
      <c r="CY598">
        <f>IFERROR(INDEX(PP_Grid[#Data],$DE598,100),0)</f>
        <v/>
      </c>
      <c r="CZ598">
        <f>IFERROR(INDEX(PP_Grid[#Data],$DE598,101),0)</f>
        <v/>
      </c>
      <c r="DA598">
        <f>IFERROR(INDEX(PP_Grid[#Data],$DE598,102),0)</f>
        <v/>
      </c>
      <c r="DB598">
        <f>IFERROR(INDEX(PP_Grid[#Data],$DE598,103),0)</f>
        <v/>
      </c>
      <c r="DC598">
        <f>IFERROR(INDEX(PP_Grid[#Data],$DE598,104),0)</f>
        <v/>
      </c>
      <c r="DD598">
        <f>IFERROR(INDEX(PP_Grid[#Data],$DE598,105),0)</f>
        <v/>
      </c>
      <c r="DE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SUMIFS(M_BOM[RM_Qty_Per_Batch],M_BOM[Intermediate],$B598,M_BOM[RM_Code],$A515)</f>
        <v/>
      </c>
      <c r="D599">
        <f>IFERROR(INDEX(E599:DD599,$F$1),"")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  <c r="DD599">
        <f>$C599*DD598</f>
        <v/>
      </c>
    </row>
    <row r="600">
      <c r="B600" t="inlineStr">
        <is>
          <t>VSP-602</t>
        </is>
      </c>
      <c r="C600" t="inlineStr">
        <is>
          <t>No. of batches</t>
        </is>
      </c>
      <c r="D600">
        <f>IFERROR(INDEX(E600:DD600,$F$1),"")</f>
        <v/>
      </c>
      <c r="E600">
        <f>IFERROR(INDEX(PP_Grid[#Data],$DE600,2),0)</f>
        <v/>
      </c>
      <c r="F600">
        <f>IFERROR(INDEX(PP_Grid[#Data],$DE600,3),0)</f>
        <v/>
      </c>
      <c r="G600">
        <f>IFERROR(INDEX(PP_Grid[#Data],$DE600,4),0)</f>
        <v/>
      </c>
      <c r="H600">
        <f>IFERROR(INDEX(PP_Grid[#Data],$DE600,5),0)</f>
        <v/>
      </c>
      <c r="I600">
        <f>IFERROR(INDEX(PP_Grid[#Data],$DE600,6),0)</f>
        <v/>
      </c>
      <c r="J600">
        <f>IFERROR(INDEX(PP_Grid[#Data],$DE600,7),0)</f>
        <v/>
      </c>
      <c r="K600">
        <f>IFERROR(INDEX(PP_Grid[#Data],$DE600,8),0)</f>
        <v/>
      </c>
      <c r="L600">
        <f>IFERROR(INDEX(PP_Grid[#Data],$DE600,9),0)</f>
        <v/>
      </c>
      <c r="M600">
        <f>IFERROR(INDEX(PP_Grid[#Data],$DE600,10),0)</f>
        <v/>
      </c>
      <c r="N600">
        <f>IFERROR(INDEX(PP_Grid[#Data],$DE600,11),0)</f>
        <v/>
      </c>
      <c r="O600">
        <f>IFERROR(INDEX(PP_Grid[#Data],$DE600,12),0)</f>
        <v/>
      </c>
      <c r="P600">
        <f>IFERROR(INDEX(PP_Grid[#Data],$DE600,13),0)</f>
        <v/>
      </c>
      <c r="Q600">
        <f>IFERROR(INDEX(PP_Grid[#Data],$DE600,14),0)</f>
        <v/>
      </c>
      <c r="R600">
        <f>IFERROR(INDEX(PP_Grid[#Data],$DE600,15),0)</f>
        <v/>
      </c>
      <c r="S600">
        <f>IFERROR(INDEX(PP_Grid[#Data],$DE600,16),0)</f>
        <v/>
      </c>
      <c r="T600">
        <f>IFERROR(INDEX(PP_Grid[#Data],$DE600,17),0)</f>
        <v/>
      </c>
      <c r="U600">
        <f>IFERROR(INDEX(PP_Grid[#Data],$DE600,18),0)</f>
        <v/>
      </c>
      <c r="V600">
        <f>IFERROR(INDEX(PP_Grid[#Data],$DE600,19),0)</f>
        <v/>
      </c>
      <c r="W600">
        <f>IFERROR(INDEX(PP_Grid[#Data],$DE600,20),0)</f>
        <v/>
      </c>
      <c r="X600">
        <f>IFERROR(INDEX(PP_Grid[#Data],$DE600,21),0)</f>
        <v/>
      </c>
      <c r="Y600">
        <f>IFERROR(INDEX(PP_Grid[#Data],$DE600,22),0)</f>
        <v/>
      </c>
      <c r="Z600">
        <f>IFERROR(INDEX(PP_Grid[#Data],$DE600,23),0)</f>
        <v/>
      </c>
      <c r="AA600">
        <f>IFERROR(INDEX(PP_Grid[#Data],$DE600,24),0)</f>
        <v/>
      </c>
      <c r="AB600">
        <f>IFERROR(INDEX(PP_Grid[#Data],$DE600,25),0)</f>
        <v/>
      </c>
      <c r="AC600">
        <f>IFERROR(INDEX(PP_Grid[#Data],$DE600,26),0)</f>
        <v/>
      </c>
      <c r="AD600">
        <f>IFERROR(INDEX(PP_Grid[#Data],$DE600,27),0)</f>
        <v/>
      </c>
      <c r="AE600">
        <f>IFERROR(INDEX(PP_Grid[#Data],$DE600,28),0)</f>
        <v/>
      </c>
      <c r="AF600">
        <f>IFERROR(INDEX(PP_Grid[#Data],$DE600,29),0)</f>
        <v/>
      </c>
      <c r="AG600">
        <f>IFERROR(INDEX(PP_Grid[#Data],$DE600,30),0)</f>
        <v/>
      </c>
      <c r="AH600">
        <f>IFERROR(INDEX(PP_Grid[#Data],$DE600,31),0)</f>
        <v/>
      </c>
      <c r="AI600">
        <f>IFERROR(INDEX(PP_Grid[#Data],$DE600,32),0)</f>
        <v/>
      </c>
      <c r="AJ600">
        <f>IFERROR(INDEX(PP_Grid[#Data],$DE600,33),0)</f>
        <v/>
      </c>
      <c r="AK600">
        <f>IFERROR(INDEX(PP_Grid[#Data],$DE600,34),0)</f>
        <v/>
      </c>
      <c r="AL600">
        <f>IFERROR(INDEX(PP_Grid[#Data],$DE600,35),0)</f>
        <v/>
      </c>
      <c r="AM600">
        <f>IFERROR(INDEX(PP_Grid[#Data],$DE600,36),0)</f>
        <v/>
      </c>
      <c r="AN600">
        <f>IFERROR(INDEX(PP_Grid[#Data],$DE600,37),0)</f>
        <v/>
      </c>
      <c r="AO600">
        <f>IFERROR(INDEX(PP_Grid[#Data],$DE600,38),0)</f>
        <v/>
      </c>
      <c r="AP600">
        <f>IFERROR(INDEX(PP_Grid[#Data],$DE600,39),0)</f>
        <v/>
      </c>
      <c r="AQ600">
        <f>IFERROR(INDEX(PP_Grid[#Data],$DE600,40),0)</f>
        <v/>
      </c>
      <c r="AR600">
        <f>IFERROR(INDEX(PP_Grid[#Data],$DE600,41),0)</f>
        <v/>
      </c>
      <c r="AS600">
        <f>IFERROR(INDEX(PP_Grid[#Data],$DE600,42),0)</f>
        <v/>
      </c>
      <c r="AT600">
        <f>IFERROR(INDEX(PP_Grid[#Data],$DE600,43),0)</f>
        <v/>
      </c>
      <c r="AU600">
        <f>IFERROR(INDEX(PP_Grid[#Data],$DE600,44),0)</f>
        <v/>
      </c>
      <c r="AV600">
        <f>IFERROR(INDEX(PP_Grid[#Data],$DE600,45),0)</f>
        <v/>
      </c>
      <c r="AW600">
        <f>IFERROR(INDEX(PP_Grid[#Data],$DE600,46),0)</f>
        <v/>
      </c>
      <c r="AX600">
        <f>IFERROR(INDEX(PP_Grid[#Data],$DE600,47),0)</f>
        <v/>
      </c>
      <c r="AY600">
        <f>IFERROR(INDEX(PP_Grid[#Data],$DE600,48),0)</f>
        <v/>
      </c>
      <c r="AZ600">
        <f>IFERROR(INDEX(PP_Grid[#Data],$DE600,49),0)</f>
        <v/>
      </c>
      <c r="BA600">
        <f>IFERROR(INDEX(PP_Grid[#Data],$DE600,50),0)</f>
        <v/>
      </c>
      <c r="BB600">
        <f>IFERROR(INDEX(PP_Grid[#Data],$DE600,51),0)</f>
        <v/>
      </c>
      <c r="BC600">
        <f>IFERROR(INDEX(PP_Grid[#Data],$DE600,52),0)</f>
        <v/>
      </c>
      <c r="BD600">
        <f>IFERROR(INDEX(PP_Grid[#Data],$DE600,53),0)</f>
        <v/>
      </c>
      <c r="BE600">
        <f>IFERROR(INDEX(PP_Grid[#Data],$DE600,54),0)</f>
        <v/>
      </c>
      <c r="BF600">
        <f>IFERROR(INDEX(PP_Grid[#Data],$DE600,55),0)</f>
        <v/>
      </c>
      <c r="BG600">
        <f>IFERROR(INDEX(PP_Grid[#Data],$DE600,56),0)</f>
        <v/>
      </c>
      <c r="BH600">
        <f>IFERROR(INDEX(PP_Grid[#Data],$DE600,57),0)</f>
        <v/>
      </c>
      <c r="BI600">
        <f>IFERROR(INDEX(PP_Grid[#Data],$DE600,58),0)</f>
        <v/>
      </c>
      <c r="BJ600">
        <f>IFERROR(INDEX(PP_Grid[#Data],$DE600,59),0)</f>
        <v/>
      </c>
      <c r="BK600">
        <f>IFERROR(INDEX(PP_Grid[#Data],$DE600,60),0)</f>
        <v/>
      </c>
      <c r="BL600">
        <f>IFERROR(INDEX(PP_Grid[#Data],$DE600,61),0)</f>
        <v/>
      </c>
      <c r="BM600">
        <f>IFERROR(INDEX(PP_Grid[#Data],$DE600,62),0)</f>
        <v/>
      </c>
      <c r="BN600">
        <f>IFERROR(INDEX(PP_Grid[#Data],$DE600,63),0)</f>
        <v/>
      </c>
      <c r="BO600">
        <f>IFERROR(INDEX(PP_Grid[#Data],$DE600,64),0)</f>
        <v/>
      </c>
      <c r="BP600">
        <f>IFERROR(INDEX(PP_Grid[#Data],$DE600,65),0)</f>
        <v/>
      </c>
      <c r="BQ600">
        <f>IFERROR(INDEX(PP_Grid[#Data],$DE600,66),0)</f>
        <v/>
      </c>
      <c r="BR600">
        <f>IFERROR(INDEX(PP_Grid[#Data],$DE600,67),0)</f>
        <v/>
      </c>
      <c r="BS600">
        <f>IFERROR(INDEX(PP_Grid[#Data],$DE600,68),0)</f>
        <v/>
      </c>
      <c r="BT600">
        <f>IFERROR(INDEX(PP_Grid[#Data],$DE600,69),0)</f>
        <v/>
      </c>
      <c r="BU600">
        <f>IFERROR(INDEX(PP_Grid[#Data],$DE600,70),0)</f>
        <v/>
      </c>
      <c r="BV600">
        <f>IFERROR(INDEX(PP_Grid[#Data],$DE600,71),0)</f>
        <v/>
      </c>
      <c r="BW600">
        <f>IFERROR(INDEX(PP_Grid[#Data],$DE600,72),0)</f>
        <v/>
      </c>
      <c r="BX600">
        <f>IFERROR(INDEX(PP_Grid[#Data],$DE600,73),0)</f>
        <v/>
      </c>
      <c r="BY600">
        <f>IFERROR(INDEX(PP_Grid[#Data],$DE600,74),0)</f>
        <v/>
      </c>
      <c r="BZ600">
        <f>IFERROR(INDEX(PP_Grid[#Data],$DE600,75),0)</f>
        <v/>
      </c>
      <c r="CA600">
        <f>IFERROR(INDEX(PP_Grid[#Data],$DE600,76),0)</f>
        <v/>
      </c>
      <c r="CB600">
        <f>IFERROR(INDEX(PP_Grid[#Data],$DE600,77),0)</f>
        <v/>
      </c>
      <c r="CC600">
        <f>IFERROR(INDEX(PP_Grid[#Data],$DE600,78),0)</f>
        <v/>
      </c>
      <c r="CD600">
        <f>IFERROR(INDEX(PP_Grid[#Data],$DE600,79),0)</f>
        <v/>
      </c>
      <c r="CE600">
        <f>IFERROR(INDEX(PP_Grid[#Data],$DE600,80),0)</f>
        <v/>
      </c>
      <c r="CF600">
        <f>IFERROR(INDEX(PP_Grid[#Data],$DE600,81),0)</f>
        <v/>
      </c>
      <c r="CG600">
        <f>IFERROR(INDEX(PP_Grid[#Data],$DE600,82),0)</f>
        <v/>
      </c>
      <c r="CH600">
        <f>IFERROR(INDEX(PP_Grid[#Data],$DE600,83),0)</f>
        <v/>
      </c>
      <c r="CI600">
        <f>IFERROR(INDEX(PP_Grid[#Data],$DE600,84),0)</f>
        <v/>
      </c>
      <c r="CJ600">
        <f>IFERROR(INDEX(PP_Grid[#Data],$DE600,85),0)</f>
        <v/>
      </c>
      <c r="CK600">
        <f>IFERROR(INDEX(PP_Grid[#Data],$DE600,86),0)</f>
        <v/>
      </c>
      <c r="CL600">
        <f>IFERROR(INDEX(PP_Grid[#Data],$DE600,87),0)</f>
        <v/>
      </c>
      <c r="CM600">
        <f>IFERROR(INDEX(PP_Grid[#Data],$DE600,88),0)</f>
        <v/>
      </c>
      <c r="CN600">
        <f>IFERROR(INDEX(PP_Grid[#Data],$DE600,89),0)</f>
        <v/>
      </c>
      <c r="CO600">
        <f>IFERROR(INDEX(PP_Grid[#Data],$DE600,90),0)</f>
        <v/>
      </c>
      <c r="CP600">
        <f>IFERROR(INDEX(PP_Grid[#Data],$DE600,91),0)</f>
        <v/>
      </c>
      <c r="CQ600">
        <f>IFERROR(INDEX(PP_Grid[#Data],$DE600,92),0)</f>
        <v/>
      </c>
      <c r="CR600">
        <f>IFERROR(INDEX(PP_Grid[#Data],$DE600,93),0)</f>
        <v/>
      </c>
      <c r="CS600">
        <f>IFERROR(INDEX(PP_Grid[#Data],$DE600,94),0)</f>
        <v/>
      </c>
      <c r="CT600">
        <f>IFERROR(INDEX(PP_Grid[#Data],$DE600,95),0)</f>
        <v/>
      </c>
      <c r="CU600">
        <f>IFERROR(INDEX(PP_Grid[#Data],$DE600,96),0)</f>
        <v/>
      </c>
      <c r="CV600">
        <f>IFERROR(INDEX(PP_Grid[#Data],$DE600,97),0)</f>
        <v/>
      </c>
      <c r="CW600">
        <f>IFERROR(INDEX(PP_Grid[#Data],$DE600,98),0)</f>
        <v/>
      </c>
      <c r="CX600">
        <f>IFERROR(INDEX(PP_Grid[#Data],$DE600,99),0)</f>
        <v/>
      </c>
      <c r="CY600">
        <f>IFERROR(INDEX(PP_Grid[#Data],$DE600,100),0)</f>
        <v/>
      </c>
      <c r="CZ600">
        <f>IFERROR(INDEX(PP_Grid[#Data],$DE600,101),0)</f>
        <v/>
      </c>
      <c r="DA600">
        <f>IFERROR(INDEX(PP_Grid[#Data],$DE600,102),0)</f>
        <v/>
      </c>
      <c r="DB600">
        <f>IFERROR(INDEX(PP_Grid[#Data],$DE600,103),0)</f>
        <v/>
      </c>
      <c r="DC600">
        <f>IFERROR(INDEX(PP_Grid[#Data],$DE600,104),0)</f>
        <v/>
      </c>
      <c r="DD600">
        <f>IFERROR(INDEX(PP_Grid[#Data],$DE600,105),0)</f>
        <v/>
      </c>
      <c r="DE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SUMIFS(M_BOM[RM_Qty_Per_Batch],M_BOM[Intermediate],$B600,M_BOM[RM_Code],$A515)</f>
        <v/>
      </c>
      <c r="D601">
        <f>IFERROR(INDEX(E601:DD601,$F$1),"")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  <c r="DD601">
        <f>$C601*DD600</f>
        <v/>
      </c>
    </row>
    <row r="602">
      <c r="B602" t="inlineStr">
        <is>
          <t>VSP-603</t>
        </is>
      </c>
      <c r="C602" t="inlineStr">
        <is>
          <t>No. of batches</t>
        </is>
      </c>
      <c r="D602">
        <f>IFERROR(INDEX(E602:DD602,$F$1),"")</f>
        <v/>
      </c>
      <c r="E602">
        <f>IFERROR(INDEX(PP_Grid[#Data],$DE602,2),0)</f>
        <v/>
      </c>
      <c r="F602">
        <f>IFERROR(INDEX(PP_Grid[#Data],$DE602,3),0)</f>
        <v/>
      </c>
      <c r="G602">
        <f>IFERROR(INDEX(PP_Grid[#Data],$DE602,4),0)</f>
        <v/>
      </c>
      <c r="H602">
        <f>IFERROR(INDEX(PP_Grid[#Data],$DE602,5),0)</f>
        <v/>
      </c>
      <c r="I602">
        <f>IFERROR(INDEX(PP_Grid[#Data],$DE602,6),0)</f>
        <v/>
      </c>
      <c r="J602">
        <f>IFERROR(INDEX(PP_Grid[#Data],$DE602,7),0)</f>
        <v/>
      </c>
      <c r="K602">
        <f>IFERROR(INDEX(PP_Grid[#Data],$DE602,8),0)</f>
        <v/>
      </c>
      <c r="L602">
        <f>IFERROR(INDEX(PP_Grid[#Data],$DE602,9),0)</f>
        <v/>
      </c>
      <c r="M602">
        <f>IFERROR(INDEX(PP_Grid[#Data],$DE602,10),0)</f>
        <v/>
      </c>
      <c r="N602">
        <f>IFERROR(INDEX(PP_Grid[#Data],$DE602,11),0)</f>
        <v/>
      </c>
      <c r="O602">
        <f>IFERROR(INDEX(PP_Grid[#Data],$DE602,12),0)</f>
        <v/>
      </c>
      <c r="P602">
        <f>IFERROR(INDEX(PP_Grid[#Data],$DE602,13),0)</f>
        <v/>
      </c>
      <c r="Q602">
        <f>IFERROR(INDEX(PP_Grid[#Data],$DE602,14),0)</f>
        <v/>
      </c>
      <c r="R602">
        <f>IFERROR(INDEX(PP_Grid[#Data],$DE602,15),0)</f>
        <v/>
      </c>
      <c r="S602">
        <f>IFERROR(INDEX(PP_Grid[#Data],$DE602,16),0)</f>
        <v/>
      </c>
      <c r="T602">
        <f>IFERROR(INDEX(PP_Grid[#Data],$DE602,17),0)</f>
        <v/>
      </c>
      <c r="U602">
        <f>IFERROR(INDEX(PP_Grid[#Data],$DE602,18),0)</f>
        <v/>
      </c>
      <c r="V602">
        <f>IFERROR(INDEX(PP_Grid[#Data],$DE602,19),0)</f>
        <v/>
      </c>
      <c r="W602">
        <f>IFERROR(INDEX(PP_Grid[#Data],$DE602,20),0)</f>
        <v/>
      </c>
      <c r="X602">
        <f>IFERROR(INDEX(PP_Grid[#Data],$DE602,21),0)</f>
        <v/>
      </c>
      <c r="Y602">
        <f>IFERROR(INDEX(PP_Grid[#Data],$DE602,22),0)</f>
        <v/>
      </c>
      <c r="Z602">
        <f>IFERROR(INDEX(PP_Grid[#Data],$DE602,23),0)</f>
        <v/>
      </c>
      <c r="AA602">
        <f>IFERROR(INDEX(PP_Grid[#Data],$DE602,24),0)</f>
        <v/>
      </c>
      <c r="AB602">
        <f>IFERROR(INDEX(PP_Grid[#Data],$DE602,25),0)</f>
        <v/>
      </c>
      <c r="AC602">
        <f>IFERROR(INDEX(PP_Grid[#Data],$DE602,26),0)</f>
        <v/>
      </c>
      <c r="AD602">
        <f>IFERROR(INDEX(PP_Grid[#Data],$DE602,27),0)</f>
        <v/>
      </c>
      <c r="AE602">
        <f>IFERROR(INDEX(PP_Grid[#Data],$DE602,28),0)</f>
        <v/>
      </c>
      <c r="AF602">
        <f>IFERROR(INDEX(PP_Grid[#Data],$DE602,29),0)</f>
        <v/>
      </c>
      <c r="AG602">
        <f>IFERROR(INDEX(PP_Grid[#Data],$DE602,30),0)</f>
        <v/>
      </c>
      <c r="AH602">
        <f>IFERROR(INDEX(PP_Grid[#Data],$DE602,31),0)</f>
        <v/>
      </c>
      <c r="AI602">
        <f>IFERROR(INDEX(PP_Grid[#Data],$DE602,32),0)</f>
        <v/>
      </c>
      <c r="AJ602">
        <f>IFERROR(INDEX(PP_Grid[#Data],$DE602,33),0)</f>
        <v/>
      </c>
      <c r="AK602">
        <f>IFERROR(INDEX(PP_Grid[#Data],$DE602,34),0)</f>
        <v/>
      </c>
      <c r="AL602">
        <f>IFERROR(INDEX(PP_Grid[#Data],$DE602,35),0)</f>
        <v/>
      </c>
      <c r="AM602">
        <f>IFERROR(INDEX(PP_Grid[#Data],$DE602,36),0)</f>
        <v/>
      </c>
      <c r="AN602">
        <f>IFERROR(INDEX(PP_Grid[#Data],$DE602,37),0)</f>
        <v/>
      </c>
      <c r="AO602">
        <f>IFERROR(INDEX(PP_Grid[#Data],$DE602,38),0)</f>
        <v/>
      </c>
      <c r="AP602">
        <f>IFERROR(INDEX(PP_Grid[#Data],$DE602,39),0)</f>
        <v/>
      </c>
      <c r="AQ602">
        <f>IFERROR(INDEX(PP_Grid[#Data],$DE602,40),0)</f>
        <v/>
      </c>
      <c r="AR602">
        <f>IFERROR(INDEX(PP_Grid[#Data],$DE602,41),0)</f>
        <v/>
      </c>
      <c r="AS602">
        <f>IFERROR(INDEX(PP_Grid[#Data],$DE602,42),0)</f>
        <v/>
      </c>
      <c r="AT602">
        <f>IFERROR(INDEX(PP_Grid[#Data],$DE602,43),0)</f>
        <v/>
      </c>
      <c r="AU602">
        <f>IFERROR(INDEX(PP_Grid[#Data],$DE602,44),0)</f>
        <v/>
      </c>
      <c r="AV602">
        <f>IFERROR(INDEX(PP_Grid[#Data],$DE602,45),0)</f>
        <v/>
      </c>
      <c r="AW602">
        <f>IFERROR(INDEX(PP_Grid[#Data],$DE602,46),0)</f>
        <v/>
      </c>
      <c r="AX602">
        <f>IFERROR(INDEX(PP_Grid[#Data],$DE602,47),0)</f>
        <v/>
      </c>
      <c r="AY602">
        <f>IFERROR(INDEX(PP_Grid[#Data],$DE602,48),0)</f>
        <v/>
      </c>
      <c r="AZ602">
        <f>IFERROR(INDEX(PP_Grid[#Data],$DE602,49),0)</f>
        <v/>
      </c>
      <c r="BA602">
        <f>IFERROR(INDEX(PP_Grid[#Data],$DE602,50),0)</f>
        <v/>
      </c>
      <c r="BB602">
        <f>IFERROR(INDEX(PP_Grid[#Data],$DE602,51),0)</f>
        <v/>
      </c>
      <c r="BC602">
        <f>IFERROR(INDEX(PP_Grid[#Data],$DE602,52),0)</f>
        <v/>
      </c>
      <c r="BD602">
        <f>IFERROR(INDEX(PP_Grid[#Data],$DE602,53),0)</f>
        <v/>
      </c>
      <c r="BE602">
        <f>IFERROR(INDEX(PP_Grid[#Data],$DE602,54),0)</f>
        <v/>
      </c>
      <c r="BF602">
        <f>IFERROR(INDEX(PP_Grid[#Data],$DE602,55),0)</f>
        <v/>
      </c>
      <c r="BG602">
        <f>IFERROR(INDEX(PP_Grid[#Data],$DE602,56),0)</f>
        <v/>
      </c>
      <c r="BH602">
        <f>IFERROR(INDEX(PP_Grid[#Data],$DE602,57),0)</f>
        <v/>
      </c>
      <c r="BI602">
        <f>IFERROR(INDEX(PP_Grid[#Data],$DE602,58),0)</f>
        <v/>
      </c>
      <c r="BJ602">
        <f>IFERROR(INDEX(PP_Grid[#Data],$DE602,59),0)</f>
        <v/>
      </c>
      <c r="BK602">
        <f>IFERROR(INDEX(PP_Grid[#Data],$DE602,60),0)</f>
        <v/>
      </c>
      <c r="BL602">
        <f>IFERROR(INDEX(PP_Grid[#Data],$DE602,61),0)</f>
        <v/>
      </c>
      <c r="BM602">
        <f>IFERROR(INDEX(PP_Grid[#Data],$DE602,62),0)</f>
        <v/>
      </c>
      <c r="BN602">
        <f>IFERROR(INDEX(PP_Grid[#Data],$DE602,63),0)</f>
        <v/>
      </c>
      <c r="BO602">
        <f>IFERROR(INDEX(PP_Grid[#Data],$DE602,64),0)</f>
        <v/>
      </c>
      <c r="BP602">
        <f>IFERROR(INDEX(PP_Grid[#Data],$DE602,65),0)</f>
        <v/>
      </c>
      <c r="BQ602">
        <f>IFERROR(INDEX(PP_Grid[#Data],$DE602,66),0)</f>
        <v/>
      </c>
      <c r="BR602">
        <f>IFERROR(INDEX(PP_Grid[#Data],$DE602,67),0)</f>
        <v/>
      </c>
      <c r="BS602">
        <f>IFERROR(INDEX(PP_Grid[#Data],$DE602,68),0)</f>
        <v/>
      </c>
      <c r="BT602">
        <f>IFERROR(INDEX(PP_Grid[#Data],$DE602,69),0)</f>
        <v/>
      </c>
      <c r="BU602">
        <f>IFERROR(INDEX(PP_Grid[#Data],$DE602,70),0)</f>
        <v/>
      </c>
      <c r="BV602">
        <f>IFERROR(INDEX(PP_Grid[#Data],$DE602,71),0)</f>
        <v/>
      </c>
      <c r="BW602">
        <f>IFERROR(INDEX(PP_Grid[#Data],$DE602,72),0)</f>
        <v/>
      </c>
      <c r="BX602">
        <f>IFERROR(INDEX(PP_Grid[#Data],$DE602,73),0)</f>
        <v/>
      </c>
      <c r="BY602">
        <f>IFERROR(INDEX(PP_Grid[#Data],$DE602,74),0)</f>
        <v/>
      </c>
      <c r="BZ602">
        <f>IFERROR(INDEX(PP_Grid[#Data],$DE602,75),0)</f>
        <v/>
      </c>
      <c r="CA602">
        <f>IFERROR(INDEX(PP_Grid[#Data],$DE602,76),0)</f>
        <v/>
      </c>
      <c r="CB602">
        <f>IFERROR(INDEX(PP_Grid[#Data],$DE602,77),0)</f>
        <v/>
      </c>
      <c r="CC602">
        <f>IFERROR(INDEX(PP_Grid[#Data],$DE602,78),0)</f>
        <v/>
      </c>
      <c r="CD602">
        <f>IFERROR(INDEX(PP_Grid[#Data],$DE602,79),0)</f>
        <v/>
      </c>
      <c r="CE602">
        <f>IFERROR(INDEX(PP_Grid[#Data],$DE602,80),0)</f>
        <v/>
      </c>
      <c r="CF602">
        <f>IFERROR(INDEX(PP_Grid[#Data],$DE602,81),0)</f>
        <v/>
      </c>
      <c r="CG602">
        <f>IFERROR(INDEX(PP_Grid[#Data],$DE602,82),0)</f>
        <v/>
      </c>
      <c r="CH602">
        <f>IFERROR(INDEX(PP_Grid[#Data],$DE602,83),0)</f>
        <v/>
      </c>
      <c r="CI602">
        <f>IFERROR(INDEX(PP_Grid[#Data],$DE602,84),0)</f>
        <v/>
      </c>
      <c r="CJ602">
        <f>IFERROR(INDEX(PP_Grid[#Data],$DE602,85),0)</f>
        <v/>
      </c>
      <c r="CK602">
        <f>IFERROR(INDEX(PP_Grid[#Data],$DE602,86),0)</f>
        <v/>
      </c>
      <c r="CL602">
        <f>IFERROR(INDEX(PP_Grid[#Data],$DE602,87),0)</f>
        <v/>
      </c>
      <c r="CM602">
        <f>IFERROR(INDEX(PP_Grid[#Data],$DE602,88),0)</f>
        <v/>
      </c>
      <c r="CN602">
        <f>IFERROR(INDEX(PP_Grid[#Data],$DE602,89),0)</f>
        <v/>
      </c>
      <c r="CO602">
        <f>IFERROR(INDEX(PP_Grid[#Data],$DE602,90),0)</f>
        <v/>
      </c>
      <c r="CP602">
        <f>IFERROR(INDEX(PP_Grid[#Data],$DE602,91),0)</f>
        <v/>
      </c>
      <c r="CQ602">
        <f>IFERROR(INDEX(PP_Grid[#Data],$DE602,92),0)</f>
        <v/>
      </c>
      <c r="CR602">
        <f>IFERROR(INDEX(PP_Grid[#Data],$DE602,93),0)</f>
        <v/>
      </c>
      <c r="CS602">
        <f>IFERROR(INDEX(PP_Grid[#Data],$DE602,94),0)</f>
        <v/>
      </c>
      <c r="CT602">
        <f>IFERROR(INDEX(PP_Grid[#Data],$DE602,95),0)</f>
        <v/>
      </c>
      <c r="CU602">
        <f>IFERROR(INDEX(PP_Grid[#Data],$DE602,96),0)</f>
        <v/>
      </c>
      <c r="CV602">
        <f>IFERROR(INDEX(PP_Grid[#Data],$DE602,97),0)</f>
        <v/>
      </c>
      <c r="CW602">
        <f>IFERROR(INDEX(PP_Grid[#Data],$DE602,98),0)</f>
        <v/>
      </c>
      <c r="CX602">
        <f>IFERROR(INDEX(PP_Grid[#Data],$DE602,99),0)</f>
        <v/>
      </c>
      <c r="CY602">
        <f>IFERROR(INDEX(PP_Grid[#Data],$DE602,100),0)</f>
        <v/>
      </c>
      <c r="CZ602">
        <f>IFERROR(INDEX(PP_Grid[#Data],$DE602,101),0)</f>
        <v/>
      </c>
      <c r="DA602">
        <f>IFERROR(INDEX(PP_Grid[#Data],$DE602,102),0)</f>
        <v/>
      </c>
      <c r="DB602">
        <f>IFERROR(INDEX(PP_Grid[#Data],$DE602,103),0)</f>
        <v/>
      </c>
      <c r="DC602">
        <f>IFERROR(INDEX(PP_Grid[#Data],$DE602,104),0)</f>
        <v/>
      </c>
      <c r="DD602">
        <f>IFERROR(INDEX(PP_Grid[#Data],$DE602,105),0)</f>
        <v/>
      </c>
      <c r="DE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SUMIFS(M_BOM[RM_Qty_Per_Batch],M_BOM[Intermediate],$B602,M_BOM[RM_Code],$A515)</f>
        <v/>
      </c>
      <c r="D603">
        <f>IFERROR(INDEX(E603:DD603,$F$1),"")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  <c r="DD603">
        <f>$C603*DD602</f>
        <v/>
      </c>
    </row>
    <row r="604">
      <c r="B604" t="inlineStr">
        <is>
          <t>VSP-605</t>
        </is>
      </c>
      <c r="C604" t="inlineStr">
        <is>
          <t>No. of batches</t>
        </is>
      </c>
      <c r="D604">
        <f>IFERROR(INDEX(E604:DD604,$F$1),"")</f>
        <v/>
      </c>
      <c r="E604">
        <f>IFERROR(INDEX(PP_Grid[#Data],$DE604,2),0)</f>
        <v/>
      </c>
      <c r="F604">
        <f>IFERROR(INDEX(PP_Grid[#Data],$DE604,3),0)</f>
        <v/>
      </c>
      <c r="G604">
        <f>IFERROR(INDEX(PP_Grid[#Data],$DE604,4),0)</f>
        <v/>
      </c>
      <c r="H604">
        <f>IFERROR(INDEX(PP_Grid[#Data],$DE604,5),0)</f>
        <v/>
      </c>
      <c r="I604">
        <f>IFERROR(INDEX(PP_Grid[#Data],$DE604,6),0)</f>
        <v/>
      </c>
      <c r="J604">
        <f>IFERROR(INDEX(PP_Grid[#Data],$DE604,7),0)</f>
        <v/>
      </c>
      <c r="K604">
        <f>IFERROR(INDEX(PP_Grid[#Data],$DE604,8),0)</f>
        <v/>
      </c>
      <c r="L604">
        <f>IFERROR(INDEX(PP_Grid[#Data],$DE604,9),0)</f>
        <v/>
      </c>
      <c r="M604">
        <f>IFERROR(INDEX(PP_Grid[#Data],$DE604,10),0)</f>
        <v/>
      </c>
      <c r="N604">
        <f>IFERROR(INDEX(PP_Grid[#Data],$DE604,11),0)</f>
        <v/>
      </c>
      <c r="O604">
        <f>IFERROR(INDEX(PP_Grid[#Data],$DE604,12),0)</f>
        <v/>
      </c>
      <c r="P604">
        <f>IFERROR(INDEX(PP_Grid[#Data],$DE604,13),0)</f>
        <v/>
      </c>
      <c r="Q604">
        <f>IFERROR(INDEX(PP_Grid[#Data],$DE604,14),0)</f>
        <v/>
      </c>
      <c r="R604">
        <f>IFERROR(INDEX(PP_Grid[#Data],$DE604,15),0)</f>
        <v/>
      </c>
      <c r="S604">
        <f>IFERROR(INDEX(PP_Grid[#Data],$DE604,16),0)</f>
        <v/>
      </c>
      <c r="T604">
        <f>IFERROR(INDEX(PP_Grid[#Data],$DE604,17),0)</f>
        <v/>
      </c>
      <c r="U604">
        <f>IFERROR(INDEX(PP_Grid[#Data],$DE604,18),0)</f>
        <v/>
      </c>
      <c r="V604">
        <f>IFERROR(INDEX(PP_Grid[#Data],$DE604,19),0)</f>
        <v/>
      </c>
      <c r="W604">
        <f>IFERROR(INDEX(PP_Grid[#Data],$DE604,20),0)</f>
        <v/>
      </c>
      <c r="X604">
        <f>IFERROR(INDEX(PP_Grid[#Data],$DE604,21),0)</f>
        <v/>
      </c>
      <c r="Y604">
        <f>IFERROR(INDEX(PP_Grid[#Data],$DE604,22),0)</f>
        <v/>
      </c>
      <c r="Z604">
        <f>IFERROR(INDEX(PP_Grid[#Data],$DE604,23),0)</f>
        <v/>
      </c>
      <c r="AA604">
        <f>IFERROR(INDEX(PP_Grid[#Data],$DE604,24),0)</f>
        <v/>
      </c>
      <c r="AB604">
        <f>IFERROR(INDEX(PP_Grid[#Data],$DE604,25),0)</f>
        <v/>
      </c>
      <c r="AC604">
        <f>IFERROR(INDEX(PP_Grid[#Data],$DE604,26),0)</f>
        <v/>
      </c>
      <c r="AD604">
        <f>IFERROR(INDEX(PP_Grid[#Data],$DE604,27),0)</f>
        <v/>
      </c>
      <c r="AE604">
        <f>IFERROR(INDEX(PP_Grid[#Data],$DE604,28),0)</f>
        <v/>
      </c>
      <c r="AF604">
        <f>IFERROR(INDEX(PP_Grid[#Data],$DE604,29),0)</f>
        <v/>
      </c>
      <c r="AG604">
        <f>IFERROR(INDEX(PP_Grid[#Data],$DE604,30),0)</f>
        <v/>
      </c>
      <c r="AH604">
        <f>IFERROR(INDEX(PP_Grid[#Data],$DE604,31),0)</f>
        <v/>
      </c>
      <c r="AI604">
        <f>IFERROR(INDEX(PP_Grid[#Data],$DE604,32),0)</f>
        <v/>
      </c>
      <c r="AJ604">
        <f>IFERROR(INDEX(PP_Grid[#Data],$DE604,33),0)</f>
        <v/>
      </c>
      <c r="AK604">
        <f>IFERROR(INDEX(PP_Grid[#Data],$DE604,34),0)</f>
        <v/>
      </c>
      <c r="AL604">
        <f>IFERROR(INDEX(PP_Grid[#Data],$DE604,35),0)</f>
        <v/>
      </c>
      <c r="AM604">
        <f>IFERROR(INDEX(PP_Grid[#Data],$DE604,36),0)</f>
        <v/>
      </c>
      <c r="AN604">
        <f>IFERROR(INDEX(PP_Grid[#Data],$DE604,37),0)</f>
        <v/>
      </c>
      <c r="AO604">
        <f>IFERROR(INDEX(PP_Grid[#Data],$DE604,38),0)</f>
        <v/>
      </c>
      <c r="AP604">
        <f>IFERROR(INDEX(PP_Grid[#Data],$DE604,39),0)</f>
        <v/>
      </c>
      <c r="AQ604">
        <f>IFERROR(INDEX(PP_Grid[#Data],$DE604,40),0)</f>
        <v/>
      </c>
      <c r="AR604">
        <f>IFERROR(INDEX(PP_Grid[#Data],$DE604,41),0)</f>
        <v/>
      </c>
      <c r="AS604">
        <f>IFERROR(INDEX(PP_Grid[#Data],$DE604,42),0)</f>
        <v/>
      </c>
      <c r="AT604">
        <f>IFERROR(INDEX(PP_Grid[#Data],$DE604,43),0)</f>
        <v/>
      </c>
      <c r="AU604">
        <f>IFERROR(INDEX(PP_Grid[#Data],$DE604,44),0)</f>
        <v/>
      </c>
      <c r="AV604">
        <f>IFERROR(INDEX(PP_Grid[#Data],$DE604,45),0)</f>
        <v/>
      </c>
      <c r="AW604">
        <f>IFERROR(INDEX(PP_Grid[#Data],$DE604,46),0)</f>
        <v/>
      </c>
      <c r="AX604">
        <f>IFERROR(INDEX(PP_Grid[#Data],$DE604,47),0)</f>
        <v/>
      </c>
      <c r="AY604">
        <f>IFERROR(INDEX(PP_Grid[#Data],$DE604,48),0)</f>
        <v/>
      </c>
      <c r="AZ604">
        <f>IFERROR(INDEX(PP_Grid[#Data],$DE604,49),0)</f>
        <v/>
      </c>
      <c r="BA604">
        <f>IFERROR(INDEX(PP_Grid[#Data],$DE604,50),0)</f>
        <v/>
      </c>
      <c r="BB604">
        <f>IFERROR(INDEX(PP_Grid[#Data],$DE604,51),0)</f>
        <v/>
      </c>
      <c r="BC604">
        <f>IFERROR(INDEX(PP_Grid[#Data],$DE604,52),0)</f>
        <v/>
      </c>
      <c r="BD604">
        <f>IFERROR(INDEX(PP_Grid[#Data],$DE604,53),0)</f>
        <v/>
      </c>
      <c r="BE604">
        <f>IFERROR(INDEX(PP_Grid[#Data],$DE604,54),0)</f>
        <v/>
      </c>
      <c r="BF604">
        <f>IFERROR(INDEX(PP_Grid[#Data],$DE604,55),0)</f>
        <v/>
      </c>
      <c r="BG604">
        <f>IFERROR(INDEX(PP_Grid[#Data],$DE604,56),0)</f>
        <v/>
      </c>
      <c r="BH604">
        <f>IFERROR(INDEX(PP_Grid[#Data],$DE604,57),0)</f>
        <v/>
      </c>
      <c r="BI604">
        <f>IFERROR(INDEX(PP_Grid[#Data],$DE604,58),0)</f>
        <v/>
      </c>
      <c r="BJ604">
        <f>IFERROR(INDEX(PP_Grid[#Data],$DE604,59),0)</f>
        <v/>
      </c>
      <c r="BK604">
        <f>IFERROR(INDEX(PP_Grid[#Data],$DE604,60),0)</f>
        <v/>
      </c>
      <c r="BL604">
        <f>IFERROR(INDEX(PP_Grid[#Data],$DE604,61),0)</f>
        <v/>
      </c>
      <c r="BM604">
        <f>IFERROR(INDEX(PP_Grid[#Data],$DE604,62),0)</f>
        <v/>
      </c>
      <c r="BN604">
        <f>IFERROR(INDEX(PP_Grid[#Data],$DE604,63),0)</f>
        <v/>
      </c>
      <c r="BO604">
        <f>IFERROR(INDEX(PP_Grid[#Data],$DE604,64),0)</f>
        <v/>
      </c>
      <c r="BP604">
        <f>IFERROR(INDEX(PP_Grid[#Data],$DE604,65),0)</f>
        <v/>
      </c>
      <c r="BQ604">
        <f>IFERROR(INDEX(PP_Grid[#Data],$DE604,66),0)</f>
        <v/>
      </c>
      <c r="BR604">
        <f>IFERROR(INDEX(PP_Grid[#Data],$DE604,67),0)</f>
        <v/>
      </c>
      <c r="BS604">
        <f>IFERROR(INDEX(PP_Grid[#Data],$DE604,68),0)</f>
        <v/>
      </c>
      <c r="BT604">
        <f>IFERROR(INDEX(PP_Grid[#Data],$DE604,69),0)</f>
        <v/>
      </c>
      <c r="BU604">
        <f>IFERROR(INDEX(PP_Grid[#Data],$DE604,70),0)</f>
        <v/>
      </c>
      <c r="BV604">
        <f>IFERROR(INDEX(PP_Grid[#Data],$DE604,71),0)</f>
        <v/>
      </c>
      <c r="BW604">
        <f>IFERROR(INDEX(PP_Grid[#Data],$DE604,72),0)</f>
        <v/>
      </c>
      <c r="BX604">
        <f>IFERROR(INDEX(PP_Grid[#Data],$DE604,73),0)</f>
        <v/>
      </c>
      <c r="BY604">
        <f>IFERROR(INDEX(PP_Grid[#Data],$DE604,74),0)</f>
        <v/>
      </c>
      <c r="BZ604">
        <f>IFERROR(INDEX(PP_Grid[#Data],$DE604,75),0)</f>
        <v/>
      </c>
      <c r="CA604">
        <f>IFERROR(INDEX(PP_Grid[#Data],$DE604,76),0)</f>
        <v/>
      </c>
      <c r="CB604">
        <f>IFERROR(INDEX(PP_Grid[#Data],$DE604,77),0)</f>
        <v/>
      </c>
      <c r="CC604">
        <f>IFERROR(INDEX(PP_Grid[#Data],$DE604,78),0)</f>
        <v/>
      </c>
      <c r="CD604">
        <f>IFERROR(INDEX(PP_Grid[#Data],$DE604,79),0)</f>
        <v/>
      </c>
      <c r="CE604">
        <f>IFERROR(INDEX(PP_Grid[#Data],$DE604,80),0)</f>
        <v/>
      </c>
      <c r="CF604">
        <f>IFERROR(INDEX(PP_Grid[#Data],$DE604,81),0)</f>
        <v/>
      </c>
      <c r="CG604">
        <f>IFERROR(INDEX(PP_Grid[#Data],$DE604,82),0)</f>
        <v/>
      </c>
      <c r="CH604">
        <f>IFERROR(INDEX(PP_Grid[#Data],$DE604,83),0)</f>
        <v/>
      </c>
      <c r="CI604">
        <f>IFERROR(INDEX(PP_Grid[#Data],$DE604,84),0)</f>
        <v/>
      </c>
      <c r="CJ604">
        <f>IFERROR(INDEX(PP_Grid[#Data],$DE604,85),0)</f>
        <v/>
      </c>
      <c r="CK604">
        <f>IFERROR(INDEX(PP_Grid[#Data],$DE604,86),0)</f>
        <v/>
      </c>
      <c r="CL604">
        <f>IFERROR(INDEX(PP_Grid[#Data],$DE604,87),0)</f>
        <v/>
      </c>
      <c r="CM604">
        <f>IFERROR(INDEX(PP_Grid[#Data],$DE604,88),0)</f>
        <v/>
      </c>
      <c r="CN604">
        <f>IFERROR(INDEX(PP_Grid[#Data],$DE604,89),0)</f>
        <v/>
      </c>
      <c r="CO604">
        <f>IFERROR(INDEX(PP_Grid[#Data],$DE604,90),0)</f>
        <v/>
      </c>
      <c r="CP604">
        <f>IFERROR(INDEX(PP_Grid[#Data],$DE604,91),0)</f>
        <v/>
      </c>
      <c r="CQ604">
        <f>IFERROR(INDEX(PP_Grid[#Data],$DE604,92),0)</f>
        <v/>
      </c>
      <c r="CR604">
        <f>IFERROR(INDEX(PP_Grid[#Data],$DE604,93),0)</f>
        <v/>
      </c>
      <c r="CS604">
        <f>IFERROR(INDEX(PP_Grid[#Data],$DE604,94),0)</f>
        <v/>
      </c>
      <c r="CT604">
        <f>IFERROR(INDEX(PP_Grid[#Data],$DE604,95),0)</f>
        <v/>
      </c>
      <c r="CU604">
        <f>IFERROR(INDEX(PP_Grid[#Data],$DE604,96),0)</f>
        <v/>
      </c>
      <c r="CV604">
        <f>IFERROR(INDEX(PP_Grid[#Data],$DE604,97),0)</f>
        <v/>
      </c>
      <c r="CW604">
        <f>IFERROR(INDEX(PP_Grid[#Data],$DE604,98),0)</f>
        <v/>
      </c>
      <c r="CX604">
        <f>IFERROR(INDEX(PP_Grid[#Data],$DE604,99),0)</f>
        <v/>
      </c>
      <c r="CY604">
        <f>IFERROR(INDEX(PP_Grid[#Data],$DE604,100),0)</f>
        <v/>
      </c>
      <c r="CZ604">
        <f>IFERROR(INDEX(PP_Grid[#Data],$DE604,101),0)</f>
        <v/>
      </c>
      <c r="DA604">
        <f>IFERROR(INDEX(PP_Grid[#Data],$DE604,102),0)</f>
        <v/>
      </c>
      <c r="DB604">
        <f>IFERROR(INDEX(PP_Grid[#Data],$DE604,103),0)</f>
        <v/>
      </c>
      <c r="DC604">
        <f>IFERROR(INDEX(PP_Grid[#Data],$DE604,104),0)</f>
        <v/>
      </c>
      <c r="DD604">
        <f>IFERROR(INDEX(PP_Grid[#Data],$DE604,105),0)</f>
        <v/>
      </c>
      <c r="DE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SUMIFS(M_BOM[RM_Qty_Per_Batch],M_BOM[Intermediate],$B604,M_BOM[RM_Code],$A515)</f>
        <v/>
      </c>
      <c r="D605">
        <f>IFERROR(INDEX(E605:DD605,$F$1),"")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  <c r="DD605">
        <f>$C605*DD604</f>
        <v/>
      </c>
    </row>
    <row r="606">
      <c r="B606" t="inlineStr">
        <is>
          <t>VSP-606</t>
        </is>
      </c>
      <c r="C606" t="inlineStr">
        <is>
          <t>No. of batches</t>
        </is>
      </c>
      <c r="D606">
        <f>IFERROR(INDEX(E606:DD606,$F$1),"")</f>
        <v/>
      </c>
      <c r="E606">
        <f>IFERROR(INDEX(PP_Grid[#Data],$DE606,2),0)</f>
        <v/>
      </c>
      <c r="F606">
        <f>IFERROR(INDEX(PP_Grid[#Data],$DE606,3),0)</f>
        <v/>
      </c>
      <c r="G606">
        <f>IFERROR(INDEX(PP_Grid[#Data],$DE606,4),0)</f>
        <v/>
      </c>
      <c r="H606">
        <f>IFERROR(INDEX(PP_Grid[#Data],$DE606,5),0)</f>
        <v/>
      </c>
      <c r="I606">
        <f>IFERROR(INDEX(PP_Grid[#Data],$DE606,6),0)</f>
        <v/>
      </c>
      <c r="J606">
        <f>IFERROR(INDEX(PP_Grid[#Data],$DE606,7),0)</f>
        <v/>
      </c>
      <c r="K606">
        <f>IFERROR(INDEX(PP_Grid[#Data],$DE606,8),0)</f>
        <v/>
      </c>
      <c r="L606">
        <f>IFERROR(INDEX(PP_Grid[#Data],$DE606,9),0)</f>
        <v/>
      </c>
      <c r="M606">
        <f>IFERROR(INDEX(PP_Grid[#Data],$DE606,10),0)</f>
        <v/>
      </c>
      <c r="N606">
        <f>IFERROR(INDEX(PP_Grid[#Data],$DE606,11),0)</f>
        <v/>
      </c>
      <c r="O606">
        <f>IFERROR(INDEX(PP_Grid[#Data],$DE606,12),0)</f>
        <v/>
      </c>
      <c r="P606">
        <f>IFERROR(INDEX(PP_Grid[#Data],$DE606,13),0)</f>
        <v/>
      </c>
      <c r="Q606">
        <f>IFERROR(INDEX(PP_Grid[#Data],$DE606,14),0)</f>
        <v/>
      </c>
      <c r="R606">
        <f>IFERROR(INDEX(PP_Grid[#Data],$DE606,15),0)</f>
        <v/>
      </c>
      <c r="S606">
        <f>IFERROR(INDEX(PP_Grid[#Data],$DE606,16),0)</f>
        <v/>
      </c>
      <c r="T606">
        <f>IFERROR(INDEX(PP_Grid[#Data],$DE606,17),0)</f>
        <v/>
      </c>
      <c r="U606">
        <f>IFERROR(INDEX(PP_Grid[#Data],$DE606,18),0)</f>
        <v/>
      </c>
      <c r="V606">
        <f>IFERROR(INDEX(PP_Grid[#Data],$DE606,19),0)</f>
        <v/>
      </c>
      <c r="W606">
        <f>IFERROR(INDEX(PP_Grid[#Data],$DE606,20),0)</f>
        <v/>
      </c>
      <c r="X606">
        <f>IFERROR(INDEX(PP_Grid[#Data],$DE606,21),0)</f>
        <v/>
      </c>
      <c r="Y606">
        <f>IFERROR(INDEX(PP_Grid[#Data],$DE606,22),0)</f>
        <v/>
      </c>
      <c r="Z606">
        <f>IFERROR(INDEX(PP_Grid[#Data],$DE606,23),0)</f>
        <v/>
      </c>
      <c r="AA606">
        <f>IFERROR(INDEX(PP_Grid[#Data],$DE606,24),0)</f>
        <v/>
      </c>
      <c r="AB606">
        <f>IFERROR(INDEX(PP_Grid[#Data],$DE606,25),0)</f>
        <v/>
      </c>
      <c r="AC606">
        <f>IFERROR(INDEX(PP_Grid[#Data],$DE606,26),0)</f>
        <v/>
      </c>
      <c r="AD606">
        <f>IFERROR(INDEX(PP_Grid[#Data],$DE606,27),0)</f>
        <v/>
      </c>
      <c r="AE606">
        <f>IFERROR(INDEX(PP_Grid[#Data],$DE606,28),0)</f>
        <v/>
      </c>
      <c r="AF606">
        <f>IFERROR(INDEX(PP_Grid[#Data],$DE606,29),0)</f>
        <v/>
      </c>
      <c r="AG606">
        <f>IFERROR(INDEX(PP_Grid[#Data],$DE606,30),0)</f>
        <v/>
      </c>
      <c r="AH606">
        <f>IFERROR(INDEX(PP_Grid[#Data],$DE606,31),0)</f>
        <v/>
      </c>
      <c r="AI606">
        <f>IFERROR(INDEX(PP_Grid[#Data],$DE606,32),0)</f>
        <v/>
      </c>
      <c r="AJ606">
        <f>IFERROR(INDEX(PP_Grid[#Data],$DE606,33),0)</f>
        <v/>
      </c>
      <c r="AK606">
        <f>IFERROR(INDEX(PP_Grid[#Data],$DE606,34),0)</f>
        <v/>
      </c>
      <c r="AL606">
        <f>IFERROR(INDEX(PP_Grid[#Data],$DE606,35),0)</f>
        <v/>
      </c>
      <c r="AM606">
        <f>IFERROR(INDEX(PP_Grid[#Data],$DE606,36),0)</f>
        <v/>
      </c>
      <c r="AN606">
        <f>IFERROR(INDEX(PP_Grid[#Data],$DE606,37),0)</f>
        <v/>
      </c>
      <c r="AO606">
        <f>IFERROR(INDEX(PP_Grid[#Data],$DE606,38),0)</f>
        <v/>
      </c>
      <c r="AP606">
        <f>IFERROR(INDEX(PP_Grid[#Data],$DE606,39),0)</f>
        <v/>
      </c>
      <c r="AQ606">
        <f>IFERROR(INDEX(PP_Grid[#Data],$DE606,40),0)</f>
        <v/>
      </c>
      <c r="AR606">
        <f>IFERROR(INDEX(PP_Grid[#Data],$DE606,41),0)</f>
        <v/>
      </c>
      <c r="AS606">
        <f>IFERROR(INDEX(PP_Grid[#Data],$DE606,42),0)</f>
        <v/>
      </c>
      <c r="AT606">
        <f>IFERROR(INDEX(PP_Grid[#Data],$DE606,43),0)</f>
        <v/>
      </c>
      <c r="AU606">
        <f>IFERROR(INDEX(PP_Grid[#Data],$DE606,44),0)</f>
        <v/>
      </c>
      <c r="AV606">
        <f>IFERROR(INDEX(PP_Grid[#Data],$DE606,45),0)</f>
        <v/>
      </c>
      <c r="AW606">
        <f>IFERROR(INDEX(PP_Grid[#Data],$DE606,46),0)</f>
        <v/>
      </c>
      <c r="AX606">
        <f>IFERROR(INDEX(PP_Grid[#Data],$DE606,47),0)</f>
        <v/>
      </c>
      <c r="AY606">
        <f>IFERROR(INDEX(PP_Grid[#Data],$DE606,48),0)</f>
        <v/>
      </c>
      <c r="AZ606">
        <f>IFERROR(INDEX(PP_Grid[#Data],$DE606,49),0)</f>
        <v/>
      </c>
      <c r="BA606">
        <f>IFERROR(INDEX(PP_Grid[#Data],$DE606,50),0)</f>
        <v/>
      </c>
      <c r="BB606">
        <f>IFERROR(INDEX(PP_Grid[#Data],$DE606,51),0)</f>
        <v/>
      </c>
      <c r="BC606">
        <f>IFERROR(INDEX(PP_Grid[#Data],$DE606,52),0)</f>
        <v/>
      </c>
      <c r="BD606">
        <f>IFERROR(INDEX(PP_Grid[#Data],$DE606,53),0)</f>
        <v/>
      </c>
      <c r="BE606">
        <f>IFERROR(INDEX(PP_Grid[#Data],$DE606,54),0)</f>
        <v/>
      </c>
      <c r="BF606">
        <f>IFERROR(INDEX(PP_Grid[#Data],$DE606,55),0)</f>
        <v/>
      </c>
      <c r="BG606">
        <f>IFERROR(INDEX(PP_Grid[#Data],$DE606,56),0)</f>
        <v/>
      </c>
      <c r="BH606">
        <f>IFERROR(INDEX(PP_Grid[#Data],$DE606,57),0)</f>
        <v/>
      </c>
      <c r="BI606">
        <f>IFERROR(INDEX(PP_Grid[#Data],$DE606,58),0)</f>
        <v/>
      </c>
      <c r="BJ606">
        <f>IFERROR(INDEX(PP_Grid[#Data],$DE606,59),0)</f>
        <v/>
      </c>
      <c r="BK606">
        <f>IFERROR(INDEX(PP_Grid[#Data],$DE606,60),0)</f>
        <v/>
      </c>
      <c r="BL606">
        <f>IFERROR(INDEX(PP_Grid[#Data],$DE606,61),0)</f>
        <v/>
      </c>
      <c r="BM606">
        <f>IFERROR(INDEX(PP_Grid[#Data],$DE606,62),0)</f>
        <v/>
      </c>
      <c r="BN606">
        <f>IFERROR(INDEX(PP_Grid[#Data],$DE606,63),0)</f>
        <v/>
      </c>
      <c r="BO606">
        <f>IFERROR(INDEX(PP_Grid[#Data],$DE606,64),0)</f>
        <v/>
      </c>
      <c r="BP606">
        <f>IFERROR(INDEX(PP_Grid[#Data],$DE606,65),0)</f>
        <v/>
      </c>
      <c r="BQ606">
        <f>IFERROR(INDEX(PP_Grid[#Data],$DE606,66),0)</f>
        <v/>
      </c>
      <c r="BR606">
        <f>IFERROR(INDEX(PP_Grid[#Data],$DE606,67),0)</f>
        <v/>
      </c>
      <c r="BS606">
        <f>IFERROR(INDEX(PP_Grid[#Data],$DE606,68),0)</f>
        <v/>
      </c>
      <c r="BT606">
        <f>IFERROR(INDEX(PP_Grid[#Data],$DE606,69),0)</f>
        <v/>
      </c>
      <c r="BU606">
        <f>IFERROR(INDEX(PP_Grid[#Data],$DE606,70),0)</f>
        <v/>
      </c>
      <c r="BV606">
        <f>IFERROR(INDEX(PP_Grid[#Data],$DE606,71),0)</f>
        <v/>
      </c>
      <c r="BW606">
        <f>IFERROR(INDEX(PP_Grid[#Data],$DE606,72),0)</f>
        <v/>
      </c>
      <c r="BX606">
        <f>IFERROR(INDEX(PP_Grid[#Data],$DE606,73),0)</f>
        <v/>
      </c>
      <c r="BY606">
        <f>IFERROR(INDEX(PP_Grid[#Data],$DE606,74),0)</f>
        <v/>
      </c>
      <c r="BZ606">
        <f>IFERROR(INDEX(PP_Grid[#Data],$DE606,75),0)</f>
        <v/>
      </c>
      <c r="CA606">
        <f>IFERROR(INDEX(PP_Grid[#Data],$DE606,76),0)</f>
        <v/>
      </c>
      <c r="CB606">
        <f>IFERROR(INDEX(PP_Grid[#Data],$DE606,77),0)</f>
        <v/>
      </c>
      <c r="CC606">
        <f>IFERROR(INDEX(PP_Grid[#Data],$DE606,78),0)</f>
        <v/>
      </c>
      <c r="CD606">
        <f>IFERROR(INDEX(PP_Grid[#Data],$DE606,79),0)</f>
        <v/>
      </c>
      <c r="CE606">
        <f>IFERROR(INDEX(PP_Grid[#Data],$DE606,80),0)</f>
        <v/>
      </c>
      <c r="CF606">
        <f>IFERROR(INDEX(PP_Grid[#Data],$DE606,81),0)</f>
        <v/>
      </c>
      <c r="CG606">
        <f>IFERROR(INDEX(PP_Grid[#Data],$DE606,82),0)</f>
        <v/>
      </c>
      <c r="CH606">
        <f>IFERROR(INDEX(PP_Grid[#Data],$DE606,83),0)</f>
        <v/>
      </c>
      <c r="CI606">
        <f>IFERROR(INDEX(PP_Grid[#Data],$DE606,84),0)</f>
        <v/>
      </c>
      <c r="CJ606">
        <f>IFERROR(INDEX(PP_Grid[#Data],$DE606,85),0)</f>
        <v/>
      </c>
      <c r="CK606">
        <f>IFERROR(INDEX(PP_Grid[#Data],$DE606,86),0)</f>
        <v/>
      </c>
      <c r="CL606">
        <f>IFERROR(INDEX(PP_Grid[#Data],$DE606,87),0)</f>
        <v/>
      </c>
      <c r="CM606">
        <f>IFERROR(INDEX(PP_Grid[#Data],$DE606,88),0)</f>
        <v/>
      </c>
      <c r="CN606">
        <f>IFERROR(INDEX(PP_Grid[#Data],$DE606,89),0)</f>
        <v/>
      </c>
      <c r="CO606">
        <f>IFERROR(INDEX(PP_Grid[#Data],$DE606,90),0)</f>
        <v/>
      </c>
      <c r="CP606">
        <f>IFERROR(INDEX(PP_Grid[#Data],$DE606,91),0)</f>
        <v/>
      </c>
      <c r="CQ606">
        <f>IFERROR(INDEX(PP_Grid[#Data],$DE606,92),0)</f>
        <v/>
      </c>
      <c r="CR606">
        <f>IFERROR(INDEX(PP_Grid[#Data],$DE606,93),0)</f>
        <v/>
      </c>
      <c r="CS606">
        <f>IFERROR(INDEX(PP_Grid[#Data],$DE606,94),0)</f>
        <v/>
      </c>
      <c r="CT606">
        <f>IFERROR(INDEX(PP_Grid[#Data],$DE606,95),0)</f>
        <v/>
      </c>
      <c r="CU606">
        <f>IFERROR(INDEX(PP_Grid[#Data],$DE606,96),0)</f>
        <v/>
      </c>
      <c r="CV606">
        <f>IFERROR(INDEX(PP_Grid[#Data],$DE606,97),0)</f>
        <v/>
      </c>
      <c r="CW606">
        <f>IFERROR(INDEX(PP_Grid[#Data],$DE606,98),0)</f>
        <v/>
      </c>
      <c r="CX606">
        <f>IFERROR(INDEX(PP_Grid[#Data],$DE606,99),0)</f>
        <v/>
      </c>
      <c r="CY606">
        <f>IFERROR(INDEX(PP_Grid[#Data],$DE606,100),0)</f>
        <v/>
      </c>
      <c r="CZ606">
        <f>IFERROR(INDEX(PP_Grid[#Data],$DE606,101),0)</f>
        <v/>
      </c>
      <c r="DA606">
        <f>IFERROR(INDEX(PP_Grid[#Data],$DE606,102),0)</f>
        <v/>
      </c>
      <c r="DB606">
        <f>IFERROR(INDEX(PP_Grid[#Data],$DE606,103),0)</f>
        <v/>
      </c>
      <c r="DC606">
        <f>IFERROR(INDEX(PP_Grid[#Data],$DE606,104),0)</f>
        <v/>
      </c>
      <c r="DD606">
        <f>IFERROR(INDEX(PP_Grid[#Data],$DE606,105),0)</f>
        <v/>
      </c>
      <c r="DE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SUMIFS(M_BOM[RM_Qty_Per_Batch],M_BOM[Intermediate],$B606,M_BOM[RM_Code],$A515)</f>
        <v/>
      </c>
      <c r="D607">
        <f>IFERROR(INDEX(E607:DD607,$F$1),"")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  <c r="DD607">
        <f>$C607*DD606</f>
        <v/>
      </c>
    </row>
    <row r="608">
      <c r="B608" t="inlineStr">
        <is>
          <t>VSP-607</t>
        </is>
      </c>
      <c r="C608" t="inlineStr">
        <is>
          <t>No. of batches</t>
        </is>
      </c>
      <c r="D608">
        <f>IFERROR(INDEX(E608:DD608,$F$1),"")</f>
        <v/>
      </c>
      <c r="E608">
        <f>IFERROR(INDEX(PP_Grid[#Data],$DE608,2),0)</f>
        <v/>
      </c>
      <c r="F608">
        <f>IFERROR(INDEX(PP_Grid[#Data],$DE608,3),0)</f>
        <v/>
      </c>
      <c r="G608">
        <f>IFERROR(INDEX(PP_Grid[#Data],$DE608,4),0)</f>
        <v/>
      </c>
      <c r="H608">
        <f>IFERROR(INDEX(PP_Grid[#Data],$DE608,5),0)</f>
        <v/>
      </c>
      <c r="I608">
        <f>IFERROR(INDEX(PP_Grid[#Data],$DE608,6),0)</f>
        <v/>
      </c>
      <c r="J608">
        <f>IFERROR(INDEX(PP_Grid[#Data],$DE608,7),0)</f>
        <v/>
      </c>
      <c r="K608">
        <f>IFERROR(INDEX(PP_Grid[#Data],$DE608,8),0)</f>
        <v/>
      </c>
      <c r="L608">
        <f>IFERROR(INDEX(PP_Grid[#Data],$DE608,9),0)</f>
        <v/>
      </c>
      <c r="M608">
        <f>IFERROR(INDEX(PP_Grid[#Data],$DE608,10),0)</f>
        <v/>
      </c>
      <c r="N608">
        <f>IFERROR(INDEX(PP_Grid[#Data],$DE608,11),0)</f>
        <v/>
      </c>
      <c r="O608">
        <f>IFERROR(INDEX(PP_Grid[#Data],$DE608,12),0)</f>
        <v/>
      </c>
      <c r="P608">
        <f>IFERROR(INDEX(PP_Grid[#Data],$DE608,13),0)</f>
        <v/>
      </c>
      <c r="Q608">
        <f>IFERROR(INDEX(PP_Grid[#Data],$DE608,14),0)</f>
        <v/>
      </c>
      <c r="R608">
        <f>IFERROR(INDEX(PP_Grid[#Data],$DE608,15),0)</f>
        <v/>
      </c>
      <c r="S608">
        <f>IFERROR(INDEX(PP_Grid[#Data],$DE608,16),0)</f>
        <v/>
      </c>
      <c r="T608">
        <f>IFERROR(INDEX(PP_Grid[#Data],$DE608,17),0)</f>
        <v/>
      </c>
      <c r="U608">
        <f>IFERROR(INDEX(PP_Grid[#Data],$DE608,18),0)</f>
        <v/>
      </c>
      <c r="V608">
        <f>IFERROR(INDEX(PP_Grid[#Data],$DE608,19),0)</f>
        <v/>
      </c>
      <c r="W608">
        <f>IFERROR(INDEX(PP_Grid[#Data],$DE608,20),0)</f>
        <v/>
      </c>
      <c r="X608">
        <f>IFERROR(INDEX(PP_Grid[#Data],$DE608,21),0)</f>
        <v/>
      </c>
      <c r="Y608">
        <f>IFERROR(INDEX(PP_Grid[#Data],$DE608,22),0)</f>
        <v/>
      </c>
      <c r="Z608">
        <f>IFERROR(INDEX(PP_Grid[#Data],$DE608,23),0)</f>
        <v/>
      </c>
      <c r="AA608">
        <f>IFERROR(INDEX(PP_Grid[#Data],$DE608,24),0)</f>
        <v/>
      </c>
      <c r="AB608">
        <f>IFERROR(INDEX(PP_Grid[#Data],$DE608,25),0)</f>
        <v/>
      </c>
      <c r="AC608">
        <f>IFERROR(INDEX(PP_Grid[#Data],$DE608,26),0)</f>
        <v/>
      </c>
      <c r="AD608">
        <f>IFERROR(INDEX(PP_Grid[#Data],$DE608,27),0)</f>
        <v/>
      </c>
      <c r="AE608">
        <f>IFERROR(INDEX(PP_Grid[#Data],$DE608,28),0)</f>
        <v/>
      </c>
      <c r="AF608">
        <f>IFERROR(INDEX(PP_Grid[#Data],$DE608,29),0)</f>
        <v/>
      </c>
      <c r="AG608">
        <f>IFERROR(INDEX(PP_Grid[#Data],$DE608,30),0)</f>
        <v/>
      </c>
      <c r="AH608">
        <f>IFERROR(INDEX(PP_Grid[#Data],$DE608,31),0)</f>
        <v/>
      </c>
      <c r="AI608">
        <f>IFERROR(INDEX(PP_Grid[#Data],$DE608,32),0)</f>
        <v/>
      </c>
      <c r="AJ608">
        <f>IFERROR(INDEX(PP_Grid[#Data],$DE608,33),0)</f>
        <v/>
      </c>
      <c r="AK608">
        <f>IFERROR(INDEX(PP_Grid[#Data],$DE608,34),0)</f>
        <v/>
      </c>
      <c r="AL608">
        <f>IFERROR(INDEX(PP_Grid[#Data],$DE608,35),0)</f>
        <v/>
      </c>
      <c r="AM608">
        <f>IFERROR(INDEX(PP_Grid[#Data],$DE608,36),0)</f>
        <v/>
      </c>
      <c r="AN608">
        <f>IFERROR(INDEX(PP_Grid[#Data],$DE608,37),0)</f>
        <v/>
      </c>
      <c r="AO608">
        <f>IFERROR(INDEX(PP_Grid[#Data],$DE608,38),0)</f>
        <v/>
      </c>
      <c r="AP608">
        <f>IFERROR(INDEX(PP_Grid[#Data],$DE608,39),0)</f>
        <v/>
      </c>
      <c r="AQ608">
        <f>IFERROR(INDEX(PP_Grid[#Data],$DE608,40),0)</f>
        <v/>
      </c>
      <c r="AR608">
        <f>IFERROR(INDEX(PP_Grid[#Data],$DE608,41),0)</f>
        <v/>
      </c>
      <c r="AS608">
        <f>IFERROR(INDEX(PP_Grid[#Data],$DE608,42),0)</f>
        <v/>
      </c>
      <c r="AT608">
        <f>IFERROR(INDEX(PP_Grid[#Data],$DE608,43),0)</f>
        <v/>
      </c>
      <c r="AU608">
        <f>IFERROR(INDEX(PP_Grid[#Data],$DE608,44),0)</f>
        <v/>
      </c>
      <c r="AV608">
        <f>IFERROR(INDEX(PP_Grid[#Data],$DE608,45),0)</f>
        <v/>
      </c>
      <c r="AW608">
        <f>IFERROR(INDEX(PP_Grid[#Data],$DE608,46),0)</f>
        <v/>
      </c>
      <c r="AX608">
        <f>IFERROR(INDEX(PP_Grid[#Data],$DE608,47),0)</f>
        <v/>
      </c>
      <c r="AY608">
        <f>IFERROR(INDEX(PP_Grid[#Data],$DE608,48),0)</f>
        <v/>
      </c>
      <c r="AZ608">
        <f>IFERROR(INDEX(PP_Grid[#Data],$DE608,49),0)</f>
        <v/>
      </c>
      <c r="BA608">
        <f>IFERROR(INDEX(PP_Grid[#Data],$DE608,50),0)</f>
        <v/>
      </c>
      <c r="BB608">
        <f>IFERROR(INDEX(PP_Grid[#Data],$DE608,51),0)</f>
        <v/>
      </c>
      <c r="BC608">
        <f>IFERROR(INDEX(PP_Grid[#Data],$DE608,52),0)</f>
        <v/>
      </c>
      <c r="BD608">
        <f>IFERROR(INDEX(PP_Grid[#Data],$DE608,53),0)</f>
        <v/>
      </c>
      <c r="BE608">
        <f>IFERROR(INDEX(PP_Grid[#Data],$DE608,54),0)</f>
        <v/>
      </c>
      <c r="BF608">
        <f>IFERROR(INDEX(PP_Grid[#Data],$DE608,55),0)</f>
        <v/>
      </c>
      <c r="BG608">
        <f>IFERROR(INDEX(PP_Grid[#Data],$DE608,56),0)</f>
        <v/>
      </c>
      <c r="BH608">
        <f>IFERROR(INDEX(PP_Grid[#Data],$DE608,57),0)</f>
        <v/>
      </c>
      <c r="BI608">
        <f>IFERROR(INDEX(PP_Grid[#Data],$DE608,58),0)</f>
        <v/>
      </c>
      <c r="BJ608">
        <f>IFERROR(INDEX(PP_Grid[#Data],$DE608,59),0)</f>
        <v/>
      </c>
      <c r="BK608">
        <f>IFERROR(INDEX(PP_Grid[#Data],$DE608,60),0)</f>
        <v/>
      </c>
      <c r="BL608">
        <f>IFERROR(INDEX(PP_Grid[#Data],$DE608,61),0)</f>
        <v/>
      </c>
      <c r="BM608">
        <f>IFERROR(INDEX(PP_Grid[#Data],$DE608,62),0)</f>
        <v/>
      </c>
      <c r="BN608">
        <f>IFERROR(INDEX(PP_Grid[#Data],$DE608,63),0)</f>
        <v/>
      </c>
      <c r="BO608">
        <f>IFERROR(INDEX(PP_Grid[#Data],$DE608,64),0)</f>
        <v/>
      </c>
      <c r="BP608">
        <f>IFERROR(INDEX(PP_Grid[#Data],$DE608,65),0)</f>
        <v/>
      </c>
      <c r="BQ608">
        <f>IFERROR(INDEX(PP_Grid[#Data],$DE608,66),0)</f>
        <v/>
      </c>
      <c r="BR608">
        <f>IFERROR(INDEX(PP_Grid[#Data],$DE608,67),0)</f>
        <v/>
      </c>
      <c r="BS608">
        <f>IFERROR(INDEX(PP_Grid[#Data],$DE608,68),0)</f>
        <v/>
      </c>
      <c r="BT608">
        <f>IFERROR(INDEX(PP_Grid[#Data],$DE608,69),0)</f>
        <v/>
      </c>
      <c r="BU608">
        <f>IFERROR(INDEX(PP_Grid[#Data],$DE608,70),0)</f>
        <v/>
      </c>
      <c r="BV608">
        <f>IFERROR(INDEX(PP_Grid[#Data],$DE608,71),0)</f>
        <v/>
      </c>
      <c r="BW608">
        <f>IFERROR(INDEX(PP_Grid[#Data],$DE608,72),0)</f>
        <v/>
      </c>
      <c r="BX608">
        <f>IFERROR(INDEX(PP_Grid[#Data],$DE608,73),0)</f>
        <v/>
      </c>
      <c r="BY608">
        <f>IFERROR(INDEX(PP_Grid[#Data],$DE608,74),0)</f>
        <v/>
      </c>
      <c r="BZ608">
        <f>IFERROR(INDEX(PP_Grid[#Data],$DE608,75),0)</f>
        <v/>
      </c>
      <c r="CA608">
        <f>IFERROR(INDEX(PP_Grid[#Data],$DE608,76),0)</f>
        <v/>
      </c>
      <c r="CB608">
        <f>IFERROR(INDEX(PP_Grid[#Data],$DE608,77),0)</f>
        <v/>
      </c>
      <c r="CC608">
        <f>IFERROR(INDEX(PP_Grid[#Data],$DE608,78),0)</f>
        <v/>
      </c>
      <c r="CD608">
        <f>IFERROR(INDEX(PP_Grid[#Data],$DE608,79),0)</f>
        <v/>
      </c>
      <c r="CE608">
        <f>IFERROR(INDEX(PP_Grid[#Data],$DE608,80),0)</f>
        <v/>
      </c>
      <c r="CF608">
        <f>IFERROR(INDEX(PP_Grid[#Data],$DE608,81),0)</f>
        <v/>
      </c>
      <c r="CG608">
        <f>IFERROR(INDEX(PP_Grid[#Data],$DE608,82),0)</f>
        <v/>
      </c>
      <c r="CH608">
        <f>IFERROR(INDEX(PP_Grid[#Data],$DE608,83),0)</f>
        <v/>
      </c>
      <c r="CI608">
        <f>IFERROR(INDEX(PP_Grid[#Data],$DE608,84),0)</f>
        <v/>
      </c>
      <c r="CJ608">
        <f>IFERROR(INDEX(PP_Grid[#Data],$DE608,85),0)</f>
        <v/>
      </c>
      <c r="CK608">
        <f>IFERROR(INDEX(PP_Grid[#Data],$DE608,86),0)</f>
        <v/>
      </c>
      <c r="CL608">
        <f>IFERROR(INDEX(PP_Grid[#Data],$DE608,87),0)</f>
        <v/>
      </c>
      <c r="CM608">
        <f>IFERROR(INDEX(PP_Grid[#Data],$DE608,88),0)</f>
        <v/>
      </c>
      <c r="CN608">
        <f>IFERROR(INDEX(PP_Grid[#Data],$DE608,89),0)</f>
        <v/>
      </c>
      <c r="CO608">
        <f>IFERROR(INDEX(PP_Grid[#Data],$DE608,90),0)</f>
        <v/>
      </c>
      <c r="CP608">
        <f>IFERROR(INDEX(PP_Grid[#Data],$DE608,91),0)</f>
        <v/>
      </c>
      <c r="CQ608">
        <f>IFERROR(INDEX(PP_Grid[#Data],$DE608,92),0)</f>
        <v/>
      </c>
      <c r="CR608">
        <f>IFERROR(INDEX(PP_Grid[#Data],$DE608,93),0)</f>
        <v/>
      </c>
      <c r="CS608">
        <f>IFERROR(INDEX(PP_Grid[#Data],$DE608,94),0)</f>
        <v/>
      </c>
      <c r="CT608">
        <f>IFERROR(INDEX(PP_Grid[#Data],$DE608,95),0)</f>
        <v/>
      </c>
      <c r="CU608">
        <f>IFERROR(INDEX(PP_Grid[#Data],$DE608,96),0)</f>
        <v/>
      </c>
      <c r="CV608">
        <f>IFERROR(INDEX(PP_Grid[#Data],$DE608,97),0)</f>
        <v/>
      </c>
      <c r="CW608">
        <f>IFERROR(INDEX(PP_Grid[#Data],$DE608,98),0)</f>
        <v/>
      </c>
      <c r="CX608">
        <f>IFERROR(INDEX(PP_Grid[#Data],$DE608,99),0)</f>
        <v/>
      </c>
      <c r="CY608">
        <f>IFERROR(INDEX(PP_Grid[#Data],$DE608,100),0)</f>
        <v/>
      </c>
      <c r="CZ608">
        <f>IFERROR(INDEX(PP_Grid[#Data],$DE608,101),0)</f>
        <v/>
      </c>
      <c r="DA608">
        <f>IFERROR(INDEX(PP_Grid[#Data],$DE608,102),0)</f>
        <v/>
      </c>
      <c r="DB608">
        <f>IFERROR(INDEX(PP_Grid[#Data],$DE608,103),0)</f>
        <v/>
      </c>
      <c r="DC608">
        <f>IFERROR(INDEX(PP_Grid[#Data],$DE608,104),0)</f>
        <v/>
      </c>
      <c r="DD608">
        <f>IFERROR(INDEX(PP_Grid[#Data],$DE608,105),0)</f>
        <v/>
      </c>
      <c r="DE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SUMIFS(M_BOM[RM_Qty_Per_Batch],M_BOM[Intermediate],$B608,M_BOM[RM_Code],$A515)</f>
        <v/>
      </c>
      <c r="D609">
        <f>IFERROR(INDEX(E609:DD609,$F$1),"")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  <c r="DD609">
        <f>$C609*DD608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IFERROR(INDEX(E610:DD610,$F$1),"")</f>
        <v/>
      </c>
      <c r="E610">
        <f>IFERROR(INDEX(PP_Grid[#Data],$DE610,2),0)</f>
        <v/>
      </c>
      <c r="F610">
        <f>IFERROR(INDEX(PP_Grid[#Data],$DE610,3),0)</f>
        <v/>
      </c>
      <c r="G610">
        <f>IFERROR(INDEX(PP_Grid[#Data],$DE610,4),0)</f>
        <v/>
      </c>
      <c r="H610">
        <f>IFERROR(INDEX(PP_Grid[#Data],$DE610,5),0)</f>
        <v/>
      </c>
      <c r="I610">
        <f>IFERROR(INDEX(PP_Grid[#Data],$DE610,6),0)</f>
        <v/>
      </c>
      <c r="J610">
        <f>IFERROR(INDEX(PP_Grid[#Data],$DE610,7),0)</f>
        <v/>
      </c>
      <c r="K610">
        <f>IFERROR(INDEX(PP_Grid[#Data],$DE610,8),0)</f>
        <v/>
      </c>
      <c r="L610">
        <f>IFERROR(INDEX(PP_Grid[#Data],$DE610,9),0)</f>
        <v/>
      </c>
      <c r="M610">
        <f>IFERROR(INDEX(PP_Grid[#Data],$DE610,10),0)</f>
        <v/>
      </c>
      <c r="N610">
        <f>IFERROR(INDEX(PP_Grid[#Data],$DE610,11),0)</f>
        <v/>
      </c>
      <c r="O610">
        <f>IFERROR(INDEX(PP_Grid[#Data],$DE610,12),0)</f>
        <v/>
      </c>
      <c r="P610">
        <f>IFERROR(INDEX(PP_Grid[#Data],$DE610,13),0)</f>
        <v/>
      </c>
      <c r="Q610">
        <f>IFERROR(INDEX(PP_Grid[#Data],$DE610,14),0)</f>
        <v/>
      </c>
      <c r="R610">
        <f>IFERROR(INDEX(PP_Grid[#Data],$DE610,15),0)</f>
        <v/>
      </c>
      <c r="S610">
        <f>IFERROR(INDEX(PP_Grid[#Data],$DE610,16),0)</f>
        <v/>
      </c>
      <c r="T610">
        <f>IFERROR(INDEX(PP_Grid[#Data],$DE610,17),0)</f>
        <v/>
      </c>
      <c r="U610">
        <f>IFERROR(INDEX(PP_Grid[#Data],$DE610,18),0)</f>
        <v/>
      </c>
      <c r="V610">
        <f>IFERROR(INDEX(PP_Grid[#Data],$DE610,19),0)</f>
        <v/>
      </c>
      <c r="W610">
        <f>IFERROR(INDEX(PP_Grid[#Data],$DE610,20),0)</f>
        <v/>
      </c>
      <c r="X610">
        <f>IFERROR(INDEX(PP_Grid[#Data],$DE610,21),0)</f>
        <v/>
      </c>
      <c r="Y610">
        <f>IFERROR(INDEX(PP_Grid[#Data],$DE610,22),0)</f>
        <v/>
      </c>
      <c r="Z610">
        <f>IFERROR(INDEX(PP_Grid[#Data],$DE610,23),0)</f>
        <v/>
      </c>
      <c r="AA610">
        <f>IFERROR(INDEX(PP_Grid[#Data],$DE610,24),0)</f>
        <v/>
      </c>
      <c r="AB610">
        <f>IFERROR(INDEX(PP_Grid[#Data],$DE610,25),0)</f>
        <v/>
      </c>
      <c r="AC610">
        <f>IFERROR(INDEX(PP_Grid[#Data],$DE610,26),0)</f>
        <v/>
      </c>
      <c r="AD610">
        <f>IFERROR(INDEX(PP_Grid[#Data],$DE610,27),0)</f>
        <v/>
      </c>
      <c r="AE610">
        <f>IFERROR(INDEX(PP_Grid[#Data],$DE610,28),0)</f>
        <v/>
      </c>
      <c r="AF610">
        <f>IFERROR(INDEX(PP_Grid[#Data],$DE610,29),0)</f>
        <v/>
      </c>
      <c r="AG610">
        <f>IFERROR(INDEX(PP_Grid[#Data],$DE610,30),0)</f>
        <v/>
      </c>
      <c r="AH610">
        <f>IFERROR(INDEX(PP_Grid[#Data],$DE610,31),0)</f>
        <v/>
      </c>
      <c r="AI610">
        <f>IFERROR(INDEX(PP_Grid[#Data],$DE610,32),0)</f>
        <v/>
      </c>
      <c r="AJ610">
        <f>IFERROR(INDEX(PP_Grid[#Data],$DE610,33),0)</f>
        <v/>
      </c>
      <c r="AK610">
        <f>IFERROR(INDEX(PP_Grid[#Data],$DE610,34),0)</f>
        <v/>
      </c>
      <c r="AL610">
        <f>IFERROR(INDEX(PP_Grid[#Data],$DE610,35),0)</f>
        <v/>
      </c>
      <c r="AM610">
        <f>IFERROR(INDEX(PP_Grid[#Data],$DE610,36),0)</f>
        <v/>
      </c>
      <c r="AN610">
        <f>IFERROR(INDEX(PP_Grid[#Data],$DE610,37),0)</f>
        <v/>
      </c>
      <c r="AO610">
        <f>IFERROR(INDEX(PP_Grid[#Data],$DE610,38),0)</f>
        <v/>
      </c>
      <c r="AP610">
        <f>IFERROR(INDEX(PP_Grid[#Data],$DE610,39),0)</f>
        <v/>
      </c>
      <c r="AQ610">
        <f>IFERROR(INDEX(PP_Grid[#Data],$DE610,40),0)</f>
        <v/>
      </c>
      <c r="AR610">
        <f>IFERROR(INDEX(PP_Grid[#Data],$DE610,41),0)</f>
        <v/>
      </c>
      <c r="AS610">
        <f>IFERROR(INDEX(PP_Grid[#Data],$DE610,42),0)</f>
        <v/>
      </c>
      <c r="AT610">
        <f>IFERROR(INDEX(PP_Grid[#Data],$DE610,43),0)</f>
        <v/>
      </c>
      <c r="AU610">
        <f>IFERROR(INDEX(PP_Grid[#Data],$DE610,44),0)</f>
        <v/>
      </c>
      <c r="AV610">
        <f>IFERROR(INDEX(PP_Grid[#Data],$DE610,45),0)</f>
        <v/>
      </c>
      <c r="AW610">
        <f>IFERROR(INDEX(PP_Grid[#Data],$DE610,46),0)</f>
        <v/>
      </c>
      <c r="AX610">
        <f>IFERROR(INDEX(PP_Grid[#Data],$DE610,47),0)</f>
        <v/>
      </c>
      <c r="AY610">
        <f>IFERROR(INDEX(PP_Grid[#Data],$DE610,48),0)</f>
        <v/>
      </c>
      <c r="AZ610">
        <f>IFERROR(INDEX(PP_Grid[#Data],$DE610,49),0)</f>
        <v/>
      </c>
      <c r="BA610">
        <f>IFERROR(INDEX(PP_Grid[#Data],$DE610,50),0)</f>
        <v/>
      </c>
      <c r="BB610">
        <f>IFERROR(INDEX(PP_Grid[#Data],$DE610,51),0)</f>
        <v/>
      </c>
      <c r="BC610">
        <f>IFERROR(INDEX(PP_Grid[#Data],$DE610,52),0)</f>
        <v/>
      </c>
      <c r="BD610">
        <f>IFERROR(INDEX(PP_Grid[#Data],$DE610,53),0)</f>
        <v/>
      </c>
      <c r="BE610">
        <f>IFERROR(INDEX(PP_Grid[#Data],$DE610,54),0)</f>
        <v/>
      </c>
      <c r="BF610">
        <f>IFERROR(INDEX(PP_Grid[#Data],$DE610,55),0)</f>
        <v/>
      </c>
      <c r="BG610">
        <f>IFERROR(INDEX(PP_Grid[#Data],$DE610,56),0)</f>
        <v/>
      </c>
      <c r="BH610">
        <f>IFERROR(INDEX(PP_Grid[#Data],$DE610,57),0)</f>
        <v/>
      </c>
      <c r="BI610">
        <f>IFERROR(INDEX(PP_Grid[#Data],$DE610,58),0)</f>
        <v/>
      </c>
      <c r="BJ610">
        <f>IFERROR(INDEX(PP_Grid[#Data],$DE610,59),0)</f>
        <v/>
      </c>
      <c r="BK610">
        <f>IFERROR(INDEX(PP_Grid[#Data],$DE610,60),0)</f>
        <v/>
      </c>
      <c r="BL610">
        <f>IFERROR(INDEX(PP_Grid[#Data],$DE610,61),0)</f>
        <v/>
      </c>
      <c r="BM610">
        <f>IFERROR(INDEX(PP_Grid[#Data],$DE610,62),0)</f>
        <v/>
      </c>
      <c r="BN610">
        <f>IFERROR(INDEX(PP_Grid[#Data],$DE610,63),0)</f>
        <v/>
      </c>
      <c r="BO610">
        <f>IFERROR(INDEX(PP_Grid[#Data],$DE610,64),0)</f>
        <v/>
      </c>
      <c r="BP610">
        <f>IFERROR(INDEX(PP_Grid[#Data],$DE610,65),0)</f>
        <v/>
      </c>
      <c r="BQ610">
        <f>IFERROR(INDEX(PP_Grid[#Data],$DE610,66),0)</f>
        <v/>
      </c>
      <c r="BR610">
        <f>IFERROR(INDEX(PP_Grid[#Data],$DE610,67),0)</f>
        <v/>
      </c>
      <c r="BS610">
        <f>IFERROR(INDEX(PP_Grid[#Data],$DE610,68),0)</f>
        <v/>
      </c>
      <c r="BT610">
        <f>IFERROR(INDEX(PP_Grid[#Data],$DE610,69),0)</f>
        <v/>
      </c>
      <c r="BU610">
        <f>IFERROR(INDEX(PP_Grid[#Data],$DE610,70),0)</f>
        <v/>
      </c>
      <c r="BV610">
        <f>IFERROR(INDEX(PP_Grid[#Data],$DE610,71),0)</f>
        <v/>
      </c>
      <c r="BW610">
        <f>IFERROR(INDEX(PP_Grid[#Data],$DE610,72),0)</f>
        <v/>
      </c>
      <c r="BX610">
        <f>IFERROR(INDEX(PP_Grid[#Data],$DE610,73),0)</f>
        <v/>
      </c>
      <c r="BY610">
        <f>IFERROR(INDEX(PP_Grid[#Data],$DE610,74),0)</f>
        <v/>
      </c>
      <c r="BZ610">
        <f>IFERROR(INDEX(PP_Grid[#Data],$DE610,75),0)</f>
        <v/>
      </c>
      <c r="CA610">
        <f>IFERROR(INDEX(PP_Grid[#Data],$DE610,76),0)</f>
        <v/>
      </c>
      <c r="CB610">
        <f>IFERROR(INDEX(PP_Grid[#Data],$DE610,77),0)</f>
        <v/>
      </c>
      <c r="CC610">
        <f>IFERROR(INDEX(PP_Grid[#Data],$DE610,78),0)</f>
        <v/>
      </c>
      <c r="CD610">
        <f>IFERROR(INDEX(PP_Grid[#Data],$DE610,79),0)</f>
        <v/>
      </c>
      <c r="CE610">
        <f>IFERROR(INDEX(PP_Grid[#Data],$DE610,80),0)</f>
        <v/>
      </c>
      <c r="CF610">
        <f>IFERROR(INDEX(PP_Grid[#Data],$DE610,81),0)</f>
        <v/>
      </c>
      <c r="CG610">
        <f>IFERROR(INDEX(PP_Grid[#Data],$DE610,82),0)</f>
        <v/>
      </c>
      <c r="CH610">
        <f>IFERROR(INDEX(PP_Grid[#Data],$DE610,83),0)</f>
        <v/>
      </c>
      <c r="CI610">
        <f>IFERROR(INDEX(PP_Grid[#Data],$DE610,84),0)</f>
        <v/>
      </c>
      <c r="CJ610">
        <f>IFERROR(INDEX(PP_Grid[#Data],$DE610,85),0)</f>
        <v/>
      </c>
      <c r="CK610">
        <f>IFERROR(INDEX(PP_Grid[#Data],$DE610,86),0)</f>
        <v/>
      </c>
      <c r="CL610">
        <f>IFERROR(INDEX(PP_Grid[#Data],$DE610,87),0)</f>
        <v/>
      </c>
      <c r="CM610">
        <f>IFERROR(INDEX(PP_Grid[#Data],$DE610,88),0)</f>
        <v/>
      </c>
      <c r="CN610">
        <f>IFERROR(INDEX(PP_Grid[#Data],$DE610,89),0)</f>
        <v/>
      </c>
      <c r="CO610">
        <f>IFERROR(INDEX(PP_Grid[#Data],$DE610,90),0)</f>
        <v/>
      </c>
      <c r="CP610">
        <f>IFERROR(INDEX(PP_Grid[#Data],$DE610,91),0)</f>
        <v/>
      </c>
      <c r="CQ610">
        <f>IFERROR(INDEX(PP_Grid[#Data],$DE610,92),0)</f>
        <v/>
      </c>
      <c r="CR610">
        <f>IFERROR(INDEX(PP_Grid[#Data],$DE610,93),0)</f>
        <v/>
      </c>
      <c r="CS610">
        <f>IFERROR(INDEX(PP_Grid[#Data],$DE610,94),0)</f>
        <v/>
      </c>
      <c r="CT610">
        <f>IFERROR(INDEX(PP_Grid[#Data],$DE610,95),0)</f>
        <v/>
      </c>
      <c r="CU610">
        <f>IFERROR(INDEX(PP_Grid[#Data],$DE610,96),0)</f>
        <v/>
      </c>
      <c r="CV610">
        <f>IFERROR(INDEX(PP_Grid[#Data],$DE610,97),0)</f>
        <v/>
      </c>
      <c r="CW610">
        <f>IFERROR(INDEX(PP_Grid[#Data],$DE610,98),0)</f>
        <v/>
      </c>
      <c r="CX610">
        <f>IFERROR(INDEX(PP_Grid[#Data],$DE610,99),0)</f>
        <v/>
      </c>
      <c r="CY610">
        <f>IFERROR(INDEX(PP_Grid[#Data],$DE610,100),0)</f>
        <v/>
      </c>
      <c r="CZ610">
        <f>IFERROR(INDEX(PP_Grid[#Data],$DE610,101),0)</f>
        <v/>
      </c>
      <c r="DA610">
        <f>IFERROR(INDEX(PP_Grid[#Data],$DE610,102),0)</f>
        <v/>
      </c>
      <c r="DB610">
        <f>IFERROR(INDEX(PP_Grid[#Data],$DE610,103),0)</f>
        <v/>
      </c>
      <c r="DC610">
        <f>IFERROR(INDEX(PP_Grid[#Data],$DE610,104),0)</f>
        <v/>
      </c>
      <c r="DD610">
        <f>IFERROR(INDEX(PP_Grid[#Data],$DE610,105),0)</f>
        <v/>
      </c>
      <c r="DE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SUMIFS(M_BOM[RM_Qty_Per_Batch],M_BOM[Intermediate],$B610,M_BOM[RM_Code],$A515)</f>
        <v/>
      </c>
      <c r="D611">
        <f>IFERROR(INDEX(E611:DD611,$F$1),"")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  <c r="DD611">
        <f>$C611*DD610</f>
        <v/>
      </c>
    </row>
    <row r="612">
      <c r="B612" t="inlineStr">
        <is>
          <t>VSP-740</t>
        </is>
      </c>
      <c r="C612" t="inlineStr">
        <is>
          <t>No. of batches</t>
        </is>
      </c>
      <c r="D612">
        <f>IFERROR(INDEX(E612:DD612,$F$1),"")</f>
        <v/>
      </c>
      <c r="E612">
        <f>IFERROR(INDEX(PP_Grid[#Data],$DE612,2),0)</f>
        <v/>
      </c>
      <c r="F612">
        <f>IFERROR(INDEX(PP_Grid[#Data],$DE612,3),0)</f>
        <v/>
      </c>
      <c r="G612">
        <f>IFERROR(INDEX(PP_Grid[#Data],$DE612,4),0)</f>
        <v/>
      </c>
      <c r="H612">
        <f>IFERROR(INDEX(PP_Grid[#Data],$DE612,5),0)</f>
        <v/>
      </c>
      <c r="I612">
        <f>IFERROR(INDEX(PP_Grid[#Data],$DE612,6),0)</f>
        <v/>
      </c>
      <c r="J612">
        <f>IFERROR(INDEX(PP_Grid[#Data],$DE612,7),0)</f>
        <v/>
      </c>
      <c r="K612">
        <f>IFERROR(INDEX(PP_Grid[#Data],$DE612,8),0)</f>
        <v/>
      </c>
      <c r="L612">
        <f>IFERROR(INDEX(PP_Grid[#Data],$DE612,9),0)</f>
        <v/>
      </c>
      <c r="M612">
        <f>IFERROR(INDEX(PP_Grid[#Data],$DE612,10),0)</f>
        <v/>
      </c>
      <c r="N612">
        <f>IFERROR(INDEX(PP_Grid[#Data],$DE612,11),0)</f>
        <v/>
      </c>
      <c r="O612">
        <f>IFERROR(INDEX(PP_Grid[#Data],$DE612,12),0)</f>
        <v/>
      </c>
      <c r="P612">
        <f>IFERROR(INDEX(PP_Grid[#Data],$DE612,13),0)</f>
        <v/>
      </c>
      <c r="Q612">
        <f>IFERROR(INDEX(PP_Grid[#Data],$DE612,14),0)</f>
        <v/>
      </c>
      <c r="R612">
        <f>IFERROR(INDEX(PP_Grid[#Data],$DE612,15),0)</f>
        <v/>
      </c>
      <c r="S612">
        <f>IFERROR(INDEX(PP_Grid[#Data],$DE612,16),0)</f>
        <v/>
      </c>
      <c r="T612">
        <f>IFERROR(INDEX(PP_Grid[#Data],$DE612,17),0)</f>
        <v/>
      </c>
      <c r="U612">
        <f>IFERROR(INDEX(PP_Grid[#Data],$DE612,18),0)</f>
        <v/>
      </c>
      <c r="V612">
        <f>IFERROR(INDEX(PP_Grid[#Data],$DE612,19),0)</f>
        <v/>
      </c>
      <c r="W612">
        <f>IFERROR(INDEX(PP_Grid[#Data],$DE612,20),0)</f>
        <v/>
      </c>
      <c r="X612">
        <f>IFERROR(INDEX(PP_Grid[#Data],$DE612,21),0)</f>
        <v/>
      </c>
      <c r="Y612">
        <f>IFERROR(INDEX(PP_Grid[#Data],$DE612,22),0)</f>
        <v/>
      </c>
      <c r="Z612">
        <f>IFERROR(INDEX(PP_Grid[#Data],$DE612,23),0)</f>
        <v/>
      </c>
      <c r="AA612">
        <f>IFERROR(INDEX(PP_Grid[#Data],$DE612,24),0)</f>
        <v/>
      </c>
      <c r="AB612">
        <f>IFERROR(INDEX(PP_Grid[#Data],$DE612,25),0)</f>
        <v/>
      </c>
      <c r="AC612">
        <f>IFERROR(INDEX(PP_Grid[#Data],$DE612,26),0)</f>
        <v/>
      </c>
      <c r="AD612">
        <f>IFERROR(INDEX(PP_Grid[#Data],$DE612,27),0)</f>
        <v/>
      </c>
      <c r="AE612">
        <f>IFERROR(INDEX(PP_Grid[#Data],$DE612,28),0)</f>
        <v/>
      </c>
      <c r="AF612">
        <f>IFERROR(INDEX(PP_Grid[#Data],$DE612,29),0)</f>
        <v/>
      </c>
      <c r="AG612">
        <f>IFERROR(INDEX(PP_Grid[#Data],$DE612,30),0)</f>
        <v/>
      </c>
      <c r="AH612">
        <f>IFERROR(INDEX(PP_Grid[#Data],$DE612,31),0)</f>
        <v/>
      </c>
      <c r="AI612">
        <f>IFERROR(INDEX(PP_Grid[#Data],$DE612,32),0)</f>
        <v/>
      </c>
      <c r="AJ612">
        <f>IFERROR(INDEX(PP_Grid[#Data],$DE612,33),0)</f>
        <v/>
      </c>
      <c r="AK612">
        <f>IFERROR(INDEX(PP_Grid[#Data],$DE612,34),0)</f>
        <v/>
      </c>
      <c r="AL612">
        <f>IFERROR(INDEX(PP_Grid[#Data],$DE612,35),0)</f>
        <v/>
      </c>
      <c r="AM612">
        <f>IFERROR(INDEX(PP_Grid[#Data],$DE612,36),0)</f>
        <v/>
      </c>
      <c r="AN612">
        <f>IFERROR(INDEX(PP_Grid[#Data],$DE612,37),0)</f>
        <v/>
      </c>
      <c r="AO612">
        <f>IFERROR(INDEX(PP_Grid[#Data],$DE612,38),0)</f>
        <v/>
      </c>
      <c r="AP612">
        <f>IFERROR(INDEX(PP_Grid[#Data],$DE612,39),0)</f>
        <v/>
      </c>
      <c r="AQ612">
        <f>IFERROR(INDEX(PP_Grid[#Data],$DE612,40),0)</f>
        <v/>
      </c>
      <c r="AR612">
        <f>IFERROR(INDEX(PP_Grid[#Data],$DE612,41),0)</f>
        <v/>
      </c>
      <c r="AS612">
        <f>IFERROR(INDEX(PP_Grid[#Data],$DE612,42),0)</f>
        <v/>
      </c>
      <c r="AT612">
        <f>IFERROR(INDEX(PP_Grid[#Data],$DE612,43),0)</f>
        <v/>
      </c>
      <c r="AU612">
        <f>IFERROR(INDEX(PP_Grid[#Data],$DE612,44),0)</f>
        <v/>
      </c>
      <c r="AV612">
        <f>IFERROR(INDEX(PP_Grid[#Data],$DE612,45),0)</f>
        <v/>
      </c>
      <c r="AW612">
        <f>IFERROR(INDEX(PP_Grid[#Data],$DE612,46),0)</f>
        <v/>
      </c>
      <c r="AX612">
        <f>IFERROR(INDEX(PP_Grid[#Data],$DE612,47),0)</f>
        <v/>
      </c>
      <c r="AY612">
        <f>IFERROR(INDEX(PP_Grid[#Data],$DE612,48),0)</f>
        <v/>
      </c>
      <c r="AZ612">
        <f>IFERROR(INDEX(PP_Grid[#Data],$DE612,49),0)</f>
        <v/>
      </c>
      <c r="BA612">
        <f>IFERROR(INDEX(PP_Grid[#Data],$DE612,50),0)</f>
        <v/>
      </c>
      <c r="BB612">
        <f>IFERROR(INDEX(PP_Grid[#Data],$DE612,51),0)</f>
        <v/>
      </c>
      <c r="BC612">
        <f>IFERROR(INDEX(PP_Grid[#Data],$DE612,52),0)</f>
        <v/>
      </c>
      <c r="BD612">
        <f>IFERROR(INDEX(PP_Grid[#Data],$DE612,53),0)</f>
        <v/>
      </c>
      <c r="BE612">
        <f>IFERROR(INDEX(PP_Grid[#Data],$DE612,54),0)</f>
        <v/>
      </c>
      <c r="BF612">
        <f>IFERROR(INDEX(PP_Grid[#Data],$DE612,55),0)</f>
        <v/>
      </c>
      <c r="BG612">
        <f>IFERROR(INDEX(PP_Grid[#Data],$DE612,56),0)</f>
        <v/>
      </c>
      <c r="BH612">
        <f>IFERROR(INDEX(PP_Grid[#Data],$DE612,57),0)</f>
        <v/>
      </c>
      <c r="BI612">
        <f>IFERROR(INDEX(PP_Grid[#Data],$DE612,58),0)</f>
        <v/>
      </c>
      <c r="BJ612">
        <f>IFERROR(INDEX(PP_Grid[#Data],$DE612,59),0)</f>
        <v/>
      </c>
      <c r="BK612">
        <f>IFERROR(INDEX(PP_Grid[#Data],$DE612,60),0)</f>
        <v/>
      </c>
      <c r="BL612">
        <f>IFERROR(INDEX(PP_Grid[#Data],$DE612,61),0)</f>
        <v/>
      </c>
      <c r="BM612">
        <f>IFERROR(INDEX(PP_Grid[#Data],$DE612,62),0)</f>
        <v/>
      </c>
      <c r="BN612">
        <f>IFERROR(INDEX(PP_Grid[#Data],$DE612,63),0)</f>
        <v/>
      </c>
      <c r="BO612">
        <f>IFERROR(INDEX(PP_Grid[#Data],$DE612,64),0)</f>
        <v/>
      </c>
      <c r="BP612">
        <f>IFERROR(INDEX(PP_Grid[#Data],$DE612,65),0)</f>
        <v/>
      </c>
      <c r="BQ612">
        <f>IFERROR(INDEX(PP_Grid[#Data],$DE612,66),0)</f>
        <v/>
      </c>
      <c r="BR612">
        <f>IFERROR(INDEX(PP_Grid[#Data],$DE612,67),0)</f>
        <v/>
      </c>
      <c r="BS612">
        <f>IFERROR(INDEX(PP_Grid[#Data],$DE612,68),0)</f>
        <v/>
      </c>
      <c r="BT612">
        <f>IFERROR(INDEX(PP_Grid[#Data],$DE612,69),0)</f>
        <v/>
      </c>
      <c r="BU612">
        <f>IFERROR(INDEX(PP_Grid[#Data],$DE612,70),0)</f>
        <v/>
      </c>
      <c r="BV612">
        <f>IFERROR(INDEX(PP_Grid[#Data],$DE612,71),0)</f>
        <v/>
      </c>
      <c r="BW612">
        <f>IFERROR(INDEX(PP_Grid[#Data],$DE612,72),0)</f>
        <v/>
      </c>
      <c r="BX612">
        <f>IFERROR(INDEX(PP_Grid[#Data],$DE612,73),0)</f>
        <v/>
      </c>
      <c r="BY612">
        <f>IFERROR(INDEX(PP_Grid[#Data],$DE612,74),0)</f>
        <v/>
      </c>
      <c r="BZ612">
        <f>IFERROR(INDEX(PP_Grid[#Data],$DE612,75),0)</f>
        <v/>
      </c>
      <c r="CA612">
        <f>IFERROR(INDEX(PP_Grid[#Data],$DE612,76),0)</f>
        <v/>
      </c>
      <c r="CB612">
        <f>IFERROR(INDEX(PP_Grid[#Data],$DE612,77),0)</f>
        <v/>
      </c>
      <c r="CC612">
        <f>IFERROR(INDEX(PP_Grid[#Data],$DE612,78),0)</f>
        <v/>
      </c>
      <c r="CD612">
        <f>IFERROR(INDEX(PP_Grid[#Data],$DE612,79),0)</f>
        <v/>
      </c>
      <c r="CE612">
        <f>IFERROR(INDEX(PP_Grid[#Data],$DE612,80),0)</f>
        <v/>
      </c>
      <c r="CF612">
        <f>IFERROR(INDEX(PP_Grid[#Data],$DE612,81),0)</f>
        <v/>
      </c>
      <c r="CG612">
        <f>IFERROR(INDEX(PP_Grid[#Data],$DE612,82),0)</f>
        <v/>
      </c>
      <c r="CH612">
        <f>IFERROR(INDEX(PP_Grid[#Data],$DE612,83),0)</f>
        <v/>
      </c>
      <c r="CI612">
        <f>IFERROR(INDEX(PP_Grid[#Data],$DE612,84),0)</f>
        <v/>
      </c>
      <c r="CJ612">
        <f>IFERROR(INDEX(PP_Grid[#Data],$DE612,85),0)</f>
        <v/>
      </c>
      <c r="CK612">
        <f>IFERROR(INDEX(PP_Grid[#Data],$DE612,86),0)</f>
        <v/>
      </c>
      <c r="CL612">
        <f>IFERROR(INDEX(PP_Grid[#Data],$DE612,87),0)</f>
        <v/>
      </c>
      <c r="CM612">
        <f>IFERROR(INDEX(PP_Grid[#Data],$DE612,88),0)</f>
        <v/>
      </c>
      <c r="CN612">
        <f>IFERROR(INDEX(PP_Grid[#Data],$DE612,89),0)</f>
        <v/>
      </c>
      <c r="CO612">
        <f>IFERROR(INDEX(PP_Grid[#Data],$DE612,90),0)</f>
        <v/>
      </c>
      <c r="CP612">
        <f>IFERROR(INDEX(PP_Grid[#Data],$DE612,91),0)</f>
        <v/>
      </c>
      <c r="CQ612">
        <f>IFERROR(INDEX(PP_Grid[#Data],$DE612,92),0)</f>
        <v/>
      </c>
      <c r="CR612">
        <f>IFERROR(INDEX(PP_Grid[#Data],$DE612,93),0)</f>
        <v/>
      </c>
      <c r="CS612">
        <f>IFERROR(INDEX(PP_Grid[#Data],$DE612,94),0)</f>
        <v/>
      </c>
      <c r="CT612">
        <f>IFERROR(INDEX(PP_Grid[#Data],$DE612,95),0)</f>
        <v/>
      </c>
      <c r="CU612">
        <f>IFERROR(INDEX(PP_Grid[#Data],$DE612,96),0)</f>
        <v/>
      </c>
      <c r="CV612">
        <f>IFERROR(INDEX(PP_Grid[#Data],$DE612,97),0)</f>
        <v/>
      </c>
      <c r="CW612">
        <f>IFERROR(INDEX(PP_Grid[#Data],$DE612,98),0)</f>
        <v/>
      </c>
      <c r="CX612">
        <f>IFERROR(INDEX(PP_Grid[#Data],$DE612,99),0)</f>
        <v/>
      </c>
      <c r="CY612">
        <f>IFERROR(INDEX(PP_Grid[#Data],$DE612,100),0)</f>
        <v/>
      </c>
      <c r="CZ612">
        <f>IFERROR(INDEX(PP_Grid[#Data],$DE612,101),0)</f>
        <v/>
      </c>
      <c r="DA612">
        <f>IFERROR(INDEX(PP_Grid[#Data],$DE612,102),0)</f>
        <v/>
      </c>
      <c r="DB612">
        <f>IFERROR(INDEX(PP_Grid[#Data],$DE612,103),0)</f>
        <v/>
      </c>
      <c r="DC612">
        <f>IFERROR(INDEX(PP_Grid[#Data],$DE612,104),0)</f>
        <v/>
      </c>
      <c r="DD612">
        <f>IFERROR(INDEX(PP_Grid[#Data],$DE612,105),0)</f>
        <v/>
      </c>
      <c r="DE612" s="7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SUMIFS(M_BOM[RM_Qty_Per_Batch],M_BOM[Intermediate],$B612,M_BOM[RM_Code],$A515)</f>
        <v/>
      </c>
      <c r="D613">
        <f>IFERROR(INDEX(E613:DD613,$F$1),"")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  <c r="DD613">
        <f>$C613*DD612</f>
        <v/>
      </c>
    </row>
    <row r="614">
      <c r="B614" t="inlineStr">
        <is>
          <t>VSP-746</t>
        </is>
      </c>
      <c r="C614" t="inlineStr">
        <is>
          <t>No. of batches</t>
        </is>
      </c>
      <c r="D614">
        <f>IFERROR(INDEX(E614:DD614,$F$1),"")</f>
        <v/>
      </c>
      <c r="E614">
        <f>IFERROR(INDEX(PP_Grid[#Data],$DE614,2),0)</f>
        <v/>
      </c>
      <c r="F614">
        <f>IFERROR(INDEX(PP_Grid[#Data],$DE614,3),0)</f>
        <v/>
      </c>
      <c r="G614">
        <f>IFERROR(INDEX(PP_Grid[#Data],$DE614,4),0)</f>
        <v/>
      </c>
      <c r="H614">
        <f>IFERROR(INDEX(PP_Grid[#Data],$DE614,5),0)</f>
        <v/>
      </c>
      <c r="I614">
        <f>IFERROR(INDEX(PP_Grid[#Data],$DE614,6),0)</f>
        <v/>
      </c>
      <c r="J614">
        <f>IFERROR(INDEX(PP_Grid[#Data],$DE614,7),0)</f>
        <v/>
      </c>
      <c r="K614">
        <f>IFERROR(INDEX(PP_Grid[#Data],$DE614,8),0)</f>
        <v/>
      </c>
      <c r="L614">
        <f>IFERROR(INDEX(PP_Grid[#Data],$DE614,9),0)</f>
        <v/>
      </c>
      <c r="M614">
        <f>IFERROR(INDEX(PP_Grid[#Data],$DE614,10),0)</f>
        <v/>
      </c>
      <c r="N614">
        <f>IFERROR(INDEX(PP_Grid[#Data],$DE614,11),0)</f>
        <v/>
      </c>
      <c r="O614">
        <f>IFERROR(INDEX(PP_Grid[#Data],$DE614,12),0)</f>
        <v/>
      </c>
      <c r="P614">
        <f>IFERROR(INDEX(PP_Grid[#Data],$DE614,13),0)</f>
        <v/>
      </c>
      <c r="Q614">
        <f>IFERROR(INDEX(PP_Grid[#Data],$DE614,14),0)</f>
        <v/>
      </c>
      <c r="R614">
        <f>IFERROR(INDEX(PP_Grid[#Data],$DE614,15),0)</f>
        <v/>
      </c>
      <c r="S614">
        <f>IFERROR(INDEX(PP_Grid[#Data],$DE614,16),0)</f>
        <v/>
      </c>
      <c r="T614">
        <f>IFERROR(INDEX(PP_Grid[#Data],$DE614,17),0)</f>
        <v/>
      </c>
      <c r="U614">
        <f>IFERROR(INDEX(PP_Grid[#Data],$DE614,18),0)</f>
        <v/>
      </c>
      <c r="V614">
        <f>IFERROR(INDEX(PP_Grid[#Data],$DE614,19),0)</f>
        <v/>
      </c>
      <c r="W614">
        <f>IFERROR(INDEX(PP_Grid[#Data],$DE614,20),0)</f>
        <v/>
      </c>
      <c r="X614">
        <f>IFERROR(INDEX(PP_Grid[#Data],$DE614,21),0)</f>
        <v/>
      </c>
      <c r="Y614">
        <f>IFERROR(INDEX(PP_Grid[#Data],$DE614,22),0)</f>
        <v/>
      </c>
      <c r="Z614">
        <f>IFERROR(INDEX(PP_Grid[#Data],$DE614,23),0)</f>
        <v/>
      </c>
      <c r="AA614">
        <f>IFERROR(INDEX(PP_Grid[#Data],$DE614,24),0)</f>
        <v/>
      </c>
      <c r="AB614">
        <f>IFERROR(INDEX(PP_Grid[#Data],$DE614,25),0)</f>
        <v/>
      </c>
      <c r="AC614">
        <f>IFERROR(INDEX(PP_Grid[#Data],$DE614,26),0)</f>
        <v/>
      </c>
      <c r="AD614">
        <f>IFERROR(INDEX(PP_Grid[#Data],$DE614,27),0)</f>
        <v/>
      </c>
      <c r="AE614">
        <f>IFERROR(INDEX(PP_Grid[#Data],$DE614,28),0)</f>
        <v/>
      </c>
      <c r="AF614">
        <f>IFERROR(INDEX(PP_Grid[#Data],$DE614,29),0)</f>
        <v/>
      </c>
      <c r="AG614">
        <f>IFERROR(INDEX(PP_Grid[#Data],$DE614,30),0)</f>
        <v/>
      </c>
      <c r="AH614">
        <f>IFERROR(INDEX(PP_Grid[#Data],$DE614,31),0)</f>
        <v/>
      </c>
      <c r="AI614">
        <f>IFERROR(INDEX(PP_Grid[#Data],$DE614,32),0)</f>
        <v/>
      </c>
      <c r="AJ614">
        <f>IFERROR(INDEX(PP_Grid[#Data],$DE614,33),0)</f>
        <v/>
      </c>
      <c r="AK614">
        <f>IFERROR(INDEX(PP_Grid[#Data],$DE614,34),0)</f>
        <v/>
      </c>
      <c r="AL614">
        <f>IFERROR(INDEX(PP_Grid[#Data],$DE614,35),0)</f>
        <v/>
      </c>
      <c r="AM614">
        <f>IFERROR(INDEX(PP_Grid[#Data],$DE614,36),0)</f>
        <v/>
      </c>
      <c r="AN614">
        <f>IFERROR(INDEX(PP_Grid[#Data],$DE614,37),0)</f>
        <v/>
      </c>
      <c r="AO614">
        <f>IFERROR(INDEX(PP_Grid[#Data],$DE614,38),0)</f>
        <v/>
      </c>
      <c r="AP614">
        <f>IFERROR(INDEX(PP_Grid[#Data],$DE614,39),0)</f>
        <v/>
      </c>
      <c r="AQ614">
        <f>IFERROR(INDEX(PP_Grid[#Data],$DE614,40),0)</f>
        <v/>
      </c>
      <c r="AR614">
        <f>IFERROR(INDEX(PP_Grid[#Data],$DE614,41),0)</f>
        <v/>
      </c>
      <c r="AS614">
        <f>IFERROR(INDEX(PP_Grid[#Data],$DE614,42),0)</f>
        <v/>
      </c>
      <c r="AT614">
        <f>IFERROR(INDEX(PP_Grid[#Data],$DE614,43),0)</f>
        <v/>
      </c>
      <c r="AU614">
        <f>IFERROR(INDEX(PP_Grid[#Data],$DE614,44),0)</f>
        <v/>
      </c>
      <c r="AV614">
        <f>IFERROR(INDEX(PP_Grid[#Data],$DE614,45),0)</f>
        <v/>
      </c>
      <c r="AW614">
        <f>IFERROR(INDEX(PP_Grid[#Data],$DE614,46),0)</f>
        <v/>
      </c>
      <c r="AX614">
        <f>IFERROR(INDEX(PP_Grid[#Data],$DE614,47),0)</f>
        <v/>
      </c>
      <c r="AY614">
        <f>IFERROR(INDEX(PP_Grid[#Data],$DE614,48),0)</f>
        <v/>
      </c>
      <c r="AZ614">
        <f>IFERROR(INDEX(PP_Grid[#Data],$DE614,49),0)</f>
        <v/>
      </c>
      <c r="BA614">
        <f>IFERROR(INDEX(PP_Grid[#Data],$DE614,50),0)</f>
        <v/>
      </c>
      <c r="BB614">
        <f>IFERROR(INDEX(PP_Grid[#Data],$DE614,51),0)</f>
        <v/>
      </c>
      <c r="BC614">
        <f>IFERROR(INDEX(PP_Grid[#Data],$DE614,52),0)</f>
        <v/>
      </c>
      <c r="BD614">
        <f>IFERROR(INDEX(PP_Grid[#Data],$DE614,53),0)</f>
        <v/>
      </c>
      <c r="BE614">
        <f>IFERROR(INDEX(PP_Grid[#Data],$DE614,54),0)</f>
        <v/>
      </c>
      <c r="BF614">
        <f>IFERROR(INDEX(PP_Grid[#Data],$DE614,55),0)</f>
        <v/>
      </c>
      <c r="BG614">
        <f>IFERROR(INDEX(PP_Grid[#Data],$DE614,56),0)</f>
        <v/>
      </c>
      <c r="BH614">
        <f>IFERROR(INDEX(PP_Grid[#Data],$DE614,57),0)</f>
        <v/>
      </c>
      <c r="BI614">
        <f>IFERROR(INDEX(PP_Grid[#Data],$DE614,58),0)</f>
        <v/>
      </c>
      <c r="BJ614">
        <f>IFERROR(INDEX(PP_Grid[#Data],$DE614,59),0)</f>
        <v/>
      </c>
      <c r="BK614">
        <f>IFERROR(INDEX(PP_Grid[#Data],$DE614,60),0)</f>
        <v/>
      </c>
      <c r="BL614">
        <f>IFERROR(INDEX(PP_Grid[#Data],$DE614,61),0)</f>
        <v/>
      </c>
      <c r="BM614">
        <f>IFERROR(INDEX(PP_Grid[#Data],$DE614,62),0)</f>
        <v/>
      </c>
      <c r="BN614">
        <f>IFERROR(INDEX(PP_Grid[#Data],$DE614,63),0)</f>
        <v/>
      </c>
      <c r="BO614">
        <f>IFERROR(INDEX(PP_Grid[#Data],$DE614,64),0)</f>
        <v/>
      </c>
      <c r="BP614">
        <f>IFERROR(INDEX(PP_Grid[#Data],$DE614,65),0)</f>
        <v/>
      </c>
      <c r="BQ614">
        <f>IFERROR(INDEX(PP_Grid[#Data],$DE614,66),0)</f>
        <v/>
      </c>
      <c r="BR614">
        <f>IFERROR(INDEX(PP_Grid[#Data],$DE614,67),0)</f>
        <v/>
      </c>
      <c r="BS614">
        <f>IFERROR(INDEX(PP_Grid[#Data],$DE614,68),0)</f>
        <v/>
      </c>
      <c r="BT614">
        <f>IFERROR(INDEX(PP_Grid[#Data],$DE614,69),0)</f>
        <v/>
      </c>
      <c r="BU614">
        <f>IFERROR(INDEX(PP_Grid[#Data],$DE614,70),0)</f>
        <v/>
      </c>
      <c r="BV614">
        <f>IFERROR(INDEX(PP_Grid[#Data],$DE614,71),0)</f>
        <v/>
      </c>
      <c r="BW614">
        <f>IFERROR(INDEX(PP_Grid[#Data],$DE614,72),0)</f>
        <v/>
      </c>
      <c r="BX614">
        <f>IFERROR(INDEX(PP_Grid[#Data],$DE614,73),0)</f>
        <v/>
      </c>
      <c r="BY614">
        <f>IFERROR(INDEX(PP_Grid[#Data],$DE614,74),0)</f>
        <v/>
      </c>
      <c r="BZ614">
        <f>IFERROR(INDEX(PP_Grid[#Data],$DE614,75),0)</f>
        <v/>
      </c>
      <c r="CA614">
        <f>IFERROR(INDEX(PP_Grid[#Data],$DE614,76),0)</f>
        <v/>
      </c>
      <c r="CB614">
        <f>IFERROR(INDEX(PP_Grid[#Data],$DE614,77),0)</f>
        <v/>
      </c>
      <c r="CC614">
        <f>IFERROR(INDEX(PP_Grid[#Data],$DE614,78),0)</f>
        <v/>
      </c>
      <c r="CD614">
        <f>IFERROR(INDEX(PP_Grid[#Data],$DE614,79),0)</f>
        <v/>
      </c>
      <c r="CE614">
        <f>IFERROR(INDEX(PP_Grid[#Data],$DE614,80),0)</f>
        <v/>
      </c>
      <c r="CF614">
        <f>IFERROR(INDEX(PP_Grid[#Data],$DE614,81),0)</f>
        <v/>
      </c>
      <c r="CG614">
        <f>IFERROR(INDEX(PP_Grid[#Data],$DE614,82),0)</f>
        <v/>
      </c>
      <c r="CH614">
        <f>IFERROR(INDEX(PP_Grid[#Data],$DE614,83),0)</f>
        <v/>
      </c>
      <c r="CI614">
        <f>IFERROR(INDEX(PP_Grid[#Data],$DE614,84),0)</f>
        <v/>
      </c>
      <c r="CJ614">
        <f>IFERROR(INDEX(PP_Grid[#Data],$DE614,85),0)</f>
        <v/>
      </c>
      <c r="CK614">
        <f>IFERROR(INDEX(PP_Grid[#Data],$DE614,86),0)</f>
        <v/>
      </c>
      <c r="CL614">
        <f>IFERROR(INDEX(PP_Grid[#Data],$DE614,87),0)</f>
        <v/>
      </c>
      <c r="CM614">
        <f>IFERROR(INDEX(PP_Grid[#Data],$DE614,88),0)</f>
        <v/>
      </c>
      <c r="CN614">
        <f>IFERROR(INDEX(PP_Grid[#Data],$DE614,89),0)</f>
        <v/>
      </c>
      <c r="CO614">
        <f>IFERROR(INDEX(PP_Grid[#Data],$DE614,90),0)</f>
        <v/>
      </c>
      <c r="CP614">
        <f>IFERROR(INDEX(PP_Grid[#Data],$DE614,91),0)</f>
        <v/>
      </c>
      <c r="CQ614">
        <f>IFERROR(INDEX(PP_Grid[#Data],$DE614,92),0)</f>
        <v/>
      </c>
      <c r="CR614">
        <f>IFERROR(INDEX(PP_Grid[#Data],$DE614,93),0)</f>
        <v/>
      </c>
      <c r="CS614">
        <f>IFERROR(INDEX(PP_Grid[#Data],$DE614,94),0)</f>
        <v/>
      </c>
      <c r="CT614">
        <f>IFERROR(INDEX(PP_Grid[#Data],$DE614,95),0)</f>
        <v/>
      </c>
      <c r="CU614">
        <f>IFERROR(INDEX(PP_Grid[#Data],$DE614,96),0)</f>
        <v/>
      </c>
      <c r="CV614">
        <f>IFERROR(INDEX(PP_Grid[#Data],$DE614,97),0)</f>
        <v/>
      </c>
      <c r="CW614">
        <f>IFERROR(INDEX(PP_Grid[#Data],$DE614,98),0)</f>
        <v/>
      </c>
      <c r="CX614">
        <f>IFERROR(INDEX(PP_Grid[#Data],$DE614,99),0)</f>
        <v/>
      </c>
      <c r="CY614">
        <f>IFERROR(INDEX(PP_Grid[#Data],$DE614,100),0)</f>
        <v/>
      </c>
      <c r="CZ614">
        <f>IFERROR(INDEX(PP_Grid[#Data],$DE614,101),0)</f>
        <v/>
      </c>
      <c r="DA614">
        <f>IFERROR(INDEX(PP_Grid[#Data],$DE614,102),0)</f>
        <v/>
      </c>
      <c r="DB614">
        <f>IFERROR(INDEX(PP_Grid[#Data],$DE614,103),0)</f>
        <v/>
      </c>
      <c r="DC614">
        <f>IFERROR(INDEX(PP_Grid[#Data],$DE614,104),0)</f>
        <v/>
      </c>
      <c r="DD614">
        <f>IFERROR(INDEX(PP_Grid[#Data],$DE614,105),0)</f>
        <v/>
      </c>
      <c r="DE614" s="7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SUMIFS(M_BOM[RM_Qty_Per_Batch],M_BOM[Intermediate],$B614,M_BOM[RM_Code],$A515)</f>
        <v/>
      </c>
      <c r="D615">
        <f>IFERROR(INDEX(E615:DD615,$F$1),"")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  <c r="DD615">
        <f>$C615*DD614</f>
        <v/>
      </c>
    </row>
    <row r="616">
      <c r="B616" t="inlineStr">
        <is>
          <t>VSP-822</t>
        </is>
      </c>
      <c r="C616" t="inlineStr">
        <is>
          <t>No. of batches</t>
        </is>
      </c>
      <c r="D616">
        <f>IFERROR(INDEX(E616:DD616,$F$1),"")</f>
        <v/>
      </c>
      <c r="E616">
        <f>IFERROR(INDEX(PP_Grid[#Data],$DE616,2),0)</f>
        <v/>
      </c>
      <c r="F616">
        <f>IFERROR(INDEX(PP_Grid[#Data],$DE616,3),0)</f>
        <v/>
      </c>
      <c r="G616">
        <f>IFERROR(INDEX(PP_Grid[#Data],$DE616,4),0)</f>
        <v/>
      </c>
      <c r="H616">
        <f>IFERROR(INDEX(PP_Grid[#Data],$DE616,5),0)</f>
        <v/>
      </c>
      <c r="I616">
        <f>IFERROR(INDEX(PP_Grid[#Data],$DE616,6),0)</f>
        <v/>
      </c>
      <c r="J616">
        <f>IFERROR(INDEX(PP_Grid[#Data],$DE616,7),0)</f>
        <v/>
      </c>
      <c r="K616">
        <f>IFERROR(INDEX(PP_Grid[#Data],$DE616,8),0)</f>
        <v/>
      </c>
      <c r="L616">
        <f>IFERROR(INDEX(PP_Grid[#Data],$DE616,9),0)</f>
        <v/>
      </c>
      <c r="M616">
        <f>IFERROR(INDEX(PP_Grid[#Data],$DE616,10),0)</f>
        <v/>
      </c>
      <c r="N616">
        <f>IFERROR(INDEX(PP_Grid[#Data],$DE616,11),0)</f>
        <v/>
      </c>
      <c r="O616">
        <f>IFERROR(INDEX(PP_Grid[#Data],$DE616,12),0)</f>
        <v/>
      </c>
      <c r="P616">
        <f>IFERROR(INDEX(PP_Grid[#Data],$DE616,13),0)</f>
        <v/>
      </c>
      <c r="Q616">
        <f>IFERROR(INDEX(PP_Grid[#Data],$DE616,14),0)</f>
        <v/>
      </c>
      <c r="R616">
        <f>IFERROR(INDEX(PP_Grid[#Data],$DE616,15),0)</f>
        <v/>
      </c>
      <c r="S616">
        <f>IFERROR(INDEX(PP_Grid[#Data],$DE616,16),0)</f>
        <v/>
      </c>
      <c r="T616">
        <f>IFERROR(INDEX(PP_Grid[#Data],$DE616,17),0)</f>
        <v/>
      </c>
      <c r="U616">
        <f>IFERROR(INDEX(PP_Grid[#Data],$DE616,18),0)</f>
        <v/>
      </c>
      <c r="V616">
        <f>IFERROR(INDEX(PP_Grid[#Data],$DE616,19),0)</f>
        <v/>
      </c>
      <c r="W616">
        <f>IFERROR(INDEX(PP_Grid[#Data],$DE616,20),0)</f>
        <v/>
      </c>
      <c r="X616">
        <f>IFERROR(INDEX(PP_Grid[#Data],$DE616,21),0)</f>
        <v/>
      </c>
      <c r="Y616">
        <f>IFERROR(INDEX(PP_Grid[#Data],$DE616,22),0)</f>
        <v/>
      </c>
      <c r="Z616">
        <f>IFERROR(INDEX(PP_Grid[#Data],$DE616,23),0)</f>
        <v/>
      </c>
      <c r="AA616">
        <f>IFERROR(INDEX(PP_Grid[#Data],$DE616,24),0)</f>
        <v/>
      </c>
      <c r="AB616">
        <f>IFERROR(INDEX(PP_Grid[#Data],$DE616,25),0)</f>
        <v/>
      </c>
      <c r="AC616">
        <f>IFERROR(INDEX(PP_Grid[#Data],$DE616,26),0)</f>
        <v/>
      </c>
      <c r="AD616">
        <f>IFERROR(INDEX(PP_Grid[#Data],$DE616,27),0)</f>
        <v/>
      </c>
      <c r="AE616">
        <f>IFERROR(INDEX(PP_Grid[#Data],$DE616,28),0)</f>
        <v/>
      </c>
      <c r="AF616">
        <f>IFERROR(INDEX(PP_Grid[#Data],$DE616,29),0)</f>
        <v/>
      </c>
      <c r="AG616">
        <f>IFERROR(INDEX(PP_Grid[#Data],$DE616,30),0)</f>
        <v/>
      </c>
      <c r="AH616">
        <f>IFERROR(INDEX(PP_Grid[#Data],$DE616,31),0)</f>
        <v/>
      </c>
      <c r="AI616">
        <f>IFERROR(INDEX(PP_Grid[#Data],$DE616,32),0)</f>
        <v/>
      </c>
      <c r="AJ616">
        <f>IFERROR(INDEX(PP_Grid[#Data],$DE616,33),0)</f>
        <v/>
      </c>
      <c r="AK616">
        <f>IFERROR(INDEX(PP_Grid[#Data],$DE616,34),0)</f>
        <v/>
      </c>
      <c r="AL616">
        <f>IFERROR(INDEX(PP_Grid[#Data],$DE616,35),0)</f>
        <v/>
      </c>
      <c r="AM616">
        <f>IFERROR(INDEX(PP_Grid[#Data],$DE616,36),0)</f>
        <v/>
      </c>
      <c r="AN616">
        <f>IFERROR(INDEX(PP_Grid[#Data],$DE616,37),0)</f>
        <v/>
      </c>
      <c r="AO616">
        <f>IFERROR(INDEX(PP_Grid[#Data],$DE616,38),0)</f>
        <v/>
      </c>
      <c r="AP616">
        <f>IFERROR(INDEX(PP_Grid[#Data],$DE616,39),0)</f>
        <v/>
      </c>
      <c r="AQ616">
        <f>IFERROR(INDEX(PP_Grid[#Data],$DE616,40),0)</f>
        <v/>
      </c>
      <c r="AR616">
        <f>IFERROR(INDEX(PP_Grid[#Data],$DE616,41),0)</f>
        <v/>
      </c>
      <c r="AS616">
        <f>IFERROR(INDEX(PP_Grid[#Data],$DE616,42),0)</f>
        <v/>
      </c>
      <c r="AT616">
        <f>IFERROR(INDEX(PP_Grid[#Data],$DE616,43),0)</f>
        <v/>
      </c>
      <c r="AU616">
        <f>IFERROR(INDEX(PP_Grid[#Data],$DE616,44),0)</f>
        <v/>
      </c>
      <c r="AV616">
        <f>IFERROR(INDEX(PP_Grid[#Data],$DE616,45),0)</f>
        <v/>
      </c>
      <c r="AW616">
        <f>IFERROR(INDEX(PP_Grid[#Data],$DE616,46),0)</f>
        <v/>
      </c>
      <c r="AX616">
        <f>IFERROR(INDEX(PP_Grid[#Data],$DE616,47),0)</f>
        <v/>
      </c>
      <c r="AY616">
        <f>IFERROR(INDEX(PP_Grid[#Data],$DE616,48),0)</f>
        <v/>
      </c>
      <c r="AZ616">
        <f>IFERROR(INDEX(PP_Grid[#Data],$DE616,49),0)</f>
        <v/>
      </c>
      <c r="BA616">
        <f>IFERROR(INDEX(PP_Grid[#Data],$DE616,50),0)</f>
        <v/>
      </c>
      <c r="BB616">
        <f>IFERROR(INDEX(PP_Grid[#Data],$DE616,51),0)</f>
        <v/>
      </c>
      <c r="BC616">
        <f>IFERROR(INDEX(PP_Grid[#Data],$DE616,52),0)</f>
        <v/>
      </c>
      <c r="BD616">
        <f>IFERROR(INDEX(PP_Grid[#Data],$DE616,53),0)</f>
        <v/>
      </c>
      <c r="BE616">
        <f>IFERROR(INDEX(PP_Grid[#Data],$DE616,54),0)</f>
        <v/>
      </c>
      <c r="BF616">
        <f>IFERROR(INDEX(PP_Grid[#Data],$DE616,55),0)</f>
        <v/>
      </c>
      <c r="BG616">
        <f>IFERROR(INDEX(PP_Grid[#Data],$DE616,56),0)</f>
        <v/>
      </c>
      <c r="BH616">
        <f>IFERROR(INDEX(PP_Grid[#Data],$DE616,57),0)</f>
        <v/>
      </c>
      <c r="BI616">
        <f>IFERROR(INDEX(PP_Grid[#Data],$DE616,58),0)</f>
        <v/>
      </c>
      <c r="BJ616">
        <f>IFERROR(INDEX(PP_Grid[#Data],$DE616,59),0)</f>
        <v/>
      </c>
      <c r="BK616">
        <f>IFERROR(INDEX(PP_Grid[#Data],$DE616,60),0)</f>
        <v/>
      </c>
      <c r="BL616">
        <f>IFERROR(INDEX(PP_Grid[#Data],$DE616,61),0)</f>
        <v/>
      </c>
      <c r="BM616">
        <f>IFERROR(INDEX(PP_Grid[#Data],$DE616,62),0)</f>
        <v/>
      </c>
      <c r="BN616">
        <f>IFERROR(INDEX(PP_Grid[#Data],$DE616,63),0)</f>
        <v/>
      </c>
      <c r="BO616">
        <f>IFERROR(INDEX(PP_Grid[#Data],$DE616,64),0)</f>
        <v/>
      </c>
      <c r="BP616">
        <f>IFERROR(INDEX(PP_Grid[#Data],$DE616,65),0)</f>
        <v/>
      </c>
      <c r="BQ616">
        <f>IFERROR(INDEX(PP_Grid[#Data],$DE616,66),0)</f>
        <v/>
      </c>
      <c r="BR616">
        <f>IFERROR(INDEX(PP_Grid[#Data],$DE616,67),0)</f>
        <v/>
      </c>
      <c r="BS616">
        <f>IFERROR(INDEX(PP_Grid[#Data],$DE616,68),0)</f>
        <v/>
      </c>
      <c r="BT616">
        <f>IFERROR(INDEX(PP_Grid[#Data],$DE616,69),0)</f>
        <v/>
      </c>
      <c r="BU616">
        <f>IFERROR(INDEX(PP_Grid[#Data],$DE616,70),0)</f>
        <v/>
      </c>
      <c r="BV616">
        <f>IFERROR(INDEX(PP_Grid[#Data],$DE616,71),0)</f>
        <v/>
      </c>
      <c r="BW616">
        <f>IFERROR(INDEX(PP_Grid[#Data],$DE616,72),0)</f>
        <v/>
      </c>
      <c r="BX616">
        <f>IFERROR(INDEX(PP_Grid[#Data],$DE616,73),0)</f>
        <v/>
      </c>
      <c r="BY616">
        <f>IFERROR(INDEX(PP_Grid[#Data],$DE616,74),0)</f>
        <v/>
      </c>
      <c r="BZ616">
        <f>IFERROR(INDEX(PP_Grid[#Data],$DE616,75),0)</f>
        <v/>
      </c>
      <c r="CA616">
        <f>IFERROR(INDEX(PP_Grid[#Data],$DE616,76),0)</f>
        <v/>
      </c>
      <c r="CB616">
        <f>IFERROR(INDEX(PP_Grid[#Data],$DE616,77),0)</f>
        <v/>
      </c>
      <c r="CC616">
        <f>IFERROR(INDEX(PP_Grid[#Data],$DE616,78),0)</f>
        <v/>
      </c>
      <c r="CD616">
        <f>IFERROR(INDEX(PP_Grid[#Data],$DE616,79),0)</f>
        <v/>
      </c>
      <c r="CE616">
        <f>IFERROR(INDEX(PP_Grid[#Data],$DE616,80),0)</f>
        <v/>
      </c>
      <c r="CF616">
        <f>IFERROR(INDEX(PP_Grid[#Data],$DE616,81),0)</f>
        <v/>
      </c>
      <c r="CG616">
        <f>IFERROR(INDEX(PP_Grid[#Data],$DE616,82),0)</f>
        <v/>
      </c>
      <c r="CH616">
        <f>IFERROR(INDEX(PP_Grid[#Data],$DE616,83),0)</f>
        <v/>
      </c>
      <c r="CI616">
        <f>IFERROR(INDEX(PP_Grid[#Data],$DE616,84),0)</f>
        <v/>
      </c>
      <c r="CJ616">
        <f>IFERROR(INDEX(PP_Grid[#Data],$DE616,85),0)</f>
        <v/>
      </c>
      <c r="CK616">
        <f>IFERROR(INDEX(PP_Grid[#Data],$DE616,86),0)</f>
        <v/>
      </c>
      <c r="CL616">
        <f>IFERROR(INDEX(PP_Grid[#Data],$DE616,87),0)</f>
        <v/>
      </c>
      <c r="CM616">
        <f>IFERROR(INDEX(PP_Grid[#Data],$DE616,88),0)</f>
        <v/>
      </c>
      <c r="CN616">
        <f>IFERROR(INDEX(PP_Grid[#Data],$DE616,89),0)</f>
        <v/>
      </c>
      <c r="CO616">
        <f>IFERROR(INDEX(PP_Grid[#Data],$DE616,90),0)</f>
        <v/>
      </c>
      <c r="CP616">
        <f>IFERROR(INDEX(PP_Grid[#Data],$DE616,91),0)</f>
        <v/>
      </c>
      <c r="CQ616">
        <f>IFERROR(INDEX(PP_Grid[#Data],$DE616,92),0)</f>
        <v/>
      </c>
      <c r="CR616">
        <f>IFERROR(INDEX(PP_Grid[#Data],$DE616,93),0)</f>
        <v/>
      </c>
      <c r="CS616">
        <f>IFERROR(INDEX(PP_Grid[#Data],$DE616,94),0)</f>
        <v/>
      </c>
      <c r="CT616">
        <f>IFERROR(INDEX(PP_Grid[#Data],$DE616,95),0)</f>
        <v/>
      </c>
      <c r="CU616">
        <f>IFERROR(INDEX(PP_Grid[#Data],$DE616,96),0)</f>
        <v/>
      </c>
      <c r="CV616">
        <f>IFERROR(INDEX(PP_Grid[#Data],$DE616,97),0)</f>
        <v/>
      </c>
      <c r="CW616">
        <f>IFERROR(INDEX(PP_Grid[#Data],$DE616,98),0)</f>
        <v/>
      </c>
      <c r="CX616">
        <f>IFERROR(INDEX(PP_Grid[#Data],$DE616,99),0)</f>
        <v/>
      </c>
      <c r="CY616">
        <f>IFERROR(INDEX(PP_Grid[#Data],$DE616,100),0)</f>
        <v/>
      </c>
      <c r="CZ616">
        <f>IFERROR(INDEX(PP_Grid[#Data],$DE616,101),0)</f>
        <v/>
      </c>
      <c r="DA616">
        <f>IFERROR(INDEX(PP_Grid[#Data],$DE616,102),0)</f>
        <v/>
      </c>
      <c r="DB616">
        <f>IFERROR(INDEX(PP_Grid[#Data],$DE616,103),0)</f>
        <v/>
      </c>
      <c r="DC616">
        <f>IFERROR(INDEX(PP_Grid[#Data],$DE616,104),0)</f>
        <v/>
      </c>
      <c r="DD616">
        <f>IFERROR(INDEX(PP_Grid[#Data],$DE616,105),0)</f>
        <v/>
      </c>
      <c r="DE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SUMIFS(M_BOM[RM_Qty_Per_Batch],M_BOM[Intermediate],$B616,M_BOM[RM_Code],$A515)</f>
        <v/>
      </c>
      <c r="D617">
        <f>IFERROR(INDEX(E617:DD617,$F$1),"")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  <c r="DD617">
        <f>$C617*DD616</f>
        <v/>
      </c>
    </row>
    <row r="618">
      <c r="B618" t="inlineStr">
        <is>
          <t>VSP-870</t>
        </is>
      </c>
      <c r="C618" t="inlineStr">
        <is>
          <t>No. of batches</t>
        </is>
      </c>
      <c r="D618">
        <f>IFERROR(INDEX(E618:DD618,$F$1),"")</f>
        <v/>
      </c>
      <c r="E618">
        <f>IFERROR(INDEX(PP_Grid[#Data],$DE618,2),0)</f>
        <v/>
      </c>
      <c r="F618">
        <f>IFERROR(INDEX(PP_Grid[#Data],$DE618,3),0)</f>
        <v/>
      </c>
      <c r="G618">
        <f>IFERROR(INDEX(PP_Grid[#Data],$DE618,4),0)</f>
        <v/>
      </c>
      <c r="H618">
        <f>IFERROR(INDEX(PP_Grid[#Data],$DE618,5),0)</f>
        <v/>
      </c>
      <c r="I618">
        <f>IFERROR(INDEX(PP_Grid[#Data],$DE618,6),0)</f>
        <v/>
      </c>
      <c r="J618">
        <f>IFERROR(INDEX(PP_Grid[#Data],$DE618,7),0)</f>
        <v/>
      </c>
      <c r="K618">
        <f>IFERROR(INDEX(PP_Grid[#Data],$DE618,8),0)</f>
        <v/>
      </c>
      <c r="L618">
        <f>IFERROR(INDEX(PP_Grid[#Data],$DE618,9),0)</f>
        <v/>
      </c>
      <c r="M618">
        <f>IFERROR(INDEX(PP_Grid[#Data],$DE618,10),0)</f>
        <v/>
      </c>
      <c r="N618">
        <f>IFERROR(INDEX(PP_Grid[#Data],$DE618,11),0)</f>
        <v/>
      </c>
      <c r="O618">
        <f>IFERROR(INDEX(PP_Grid[#Data],$DE618,12),0)</f>
        <v/>
      </c>
      <c r="P618">
        <f>IFERROR(INDEX(PP_Grid[#Data],$DE618,13),0)</f>
        <v/>
      </c>
      <c r="Q618">
        <f>IFERROR(INDEX(PP_Grid[#Data],$DE618,14),0)</f>
        <v/>
      </c>
      <c r="R618">
        <f>IFERROR(INDEX(PP_Grid[#Data],$DE618,15),0)</f>
        <v/>
      </c>
      <c r="S618">
        <f>IFERROR(INDEX(PP_Grid[#Data],$DE618,16),0)</f>
        <v/>
      </c>
      <c r="T618">
        <f>IFERROR(INDEX(PP_Grid[#Data],$DE618,17),0)</f>
        <v/>
      </c>
      <c r="U618">
        <f>IFERROR(INDEX(PP_Grid[#Data],$DE618,18),0)</f>
        <v/>
      </c>
      <c r="V618">
        <f>IFERROR(INDEX(PP_Grid[#Data],$DE618,19),0)</f>
        <v/>
      </c>
      <c r="W618">
        <f>IFERROR(INDEX(PP_Grid[#Data],$DE618,20),0)</f>
        <v/>
      </c>
      <c r="X618">
        <f>IFERROR(INDEX(PP_Grid[#Data],$DE618,21),0)</f>
        <v/>
      </c>
      <c r="Y618">
        <f>IFERROR(INDEX(PP_Grid[#Data],$DE618,22),0)</f>
        <v/>
      </c>
      <c r="Z618">
        <f>IFERROR(INDEX(PP_Grid[#Data],$DE618,23),0)</f>
        <v/>
      </c>
      <c r="AA618">
        <f>IFERROR(INDEX(PP_Grid[#Data],$DE618,24),0)</f>
        <v/>
      </c>
      <c r="AB618">
        <f>IFERROR(INDEX(PP_Grid[#Data],$DE618,25),0)</f>
        <v/>
      </c>
      <c r="AC618">
        <f>IFERROR(INDEX(PP_Grid[#Data],$DE618,26),0)</f>
        <v/>
      </c>
      <c r="AD618">
        <f>IFERROR(INDEX(PP_Grid[#Data],$DE618,27),0)</f>
        <v/>
      </c>
      <c r="AE618">
        <f>IFERROR(INDEX(PP_Grid[#Data],$DE618,28),0)</f>
        <v/>
      </c>
      <c r="AF618">
        <f>IFERROR(INDEX(PP_Grid[#Data],$DE618,29),0)</f>
        <v/>
      </c>
      <c r="AG618">
        <f>IFERROR(INDEX(PP_Grid[#Data],$DE618,30),0)</f>
        <v/>
      </c>
      <c r="AH618">
        <f>IFERROR(INDEX(PP_Grid[#Data],$DE618,31),0)</f>
        <v/>
      </c>
      <c r="AI618">
        <f>IFERROR(INDEX(PP_Grid[#Data],$DE618,32),0)</f>
        <v/>
      </c>
      <c r="AJ618">
        <f>IFERROR(INDEX(PP_Grid[#Data],$DE618,33),0)</f>
        <v/>
      </c>
      <c r="AK618">
        <f>IFERROR(INDEX(PP_Grid[#Data],$DE618,34),0)</f>
        <v/>
      </c>
      <c r="AL618">
        <f>IFERROR(INDEX(PP_Grid[#Data],$DE618,35),0)</f>
        <v/>
      </c>
      <c r="AM618">
        <f>IFERROR(INDEX(PP_Grid[#Data],$DE618,36),0)</f>
        <v/>
      </c>
      <c r="AN618">
        <f>IFERROR(INDEX(PP_Grid[#Data],$DE618,37),0)</f>
        <v/>
      </c>
      <c r="AO618">
        <f>IFERROR(INDEX(PP_Grid[#Data],$DE618,38),0)</f>
        <v/>
      </c>
      <c r="AP618">
        <f>IFERROR(INDEX(PP_Grid[#Data],$DE618,39),0)</f>
        <v/>
      </c>
      <c r="AQ618">
        <f>IFERROR(INDEX(PP_Grid[#Data],$DE618,40),0)</f>
        <v/>
      </c>
      <c r="AR618">
        <f>IFERROR(INDEX(PP_Grid[#Data],$DE618,41),0)</f>
        <v/>
      </c>
      <c r="AS618">
        <f>IFERROR(INDEX(PP_Grid[#Data],$DE618,42),0)</f>
        <v/>
      </c>
      <c r="AT618">
        <f>IFERROR(INDEX(PP_Grid[#Data],$DE618,43),0)</f>
        <v/>
      </c>
      <c r="AU618">
        <f>IFERROR(INDEX(PP_Grid[#Data],$DE618,44),0)</f>
        <v/>
      </c>
      <c r="AV618">
        <f>IFERROR(INDEX(PP_Grid[#Data],$DE618,45),0)</f>
        <v/>
      </c>
      <c r="AW618">
        <f>IFERROR(INDEX(PP_Grid[#Data],$DE618,46),0)</f>
        <v/>
      </c>
      <c r="AX618">
        <f>IFERROR(INDEX(PP_Grid[#Data],$DE618,47),0)</f>
        <v/>
      </c>
      <c r="AY618">
        <f>IFERROR(INDEX(PP_Grid[#Data],$DE618,48),0)</f>
        <v/>
      </c>
      <c r="AZ618">
        <f>IFERROR(INDEX(PP_Grid[#Data],$DE618,49),0)</f>
        <v/>
      </c>
      <c r="BA618">
        <f>IFERROR(INDEX(PP_Grid[#Data],$DE618,50),0)</f>
        <v/>
      </c>
      <c r="BB618">
        <f>IFERROR(INDEX(PP_Grid[#Data],$DE618,51),0)</f>
        <v/>
      </c>
      <c r="BC618">
        <f>IFERROR(INDEX(PP_Grid[#Data],$DE618,52),0)</f>
        <v/>
      </c>
      <c r="BD618">
        <f>IFERROR(INDEX(PP_Grid[#Data],$DE618,53),0)</f>
        <v/>
      </c>
      <c r="BE618">
        <f>IFERROR(INDEX(PP_Grid[#Data],$DE618,54),0)</f>
        <v/>
      </c>
      <c r="BF618">
        <f>IFERROR(INDEX(PP_Grid[#Data],$DE618,55),0)</f>
        <v/>
      </c>
      <c r="BG618">
        <f>IFERROR(INDEX(PP_Grid[#Data],$DE618,56),0)</f>
        <v/>
      </c>
      <c r="BH618">
        <f>IFERROR(INDEX(PP_Grid[#Data],$DE618,57),0)</f>
        <v/>
      </c>
      <c r="BI618">
        <f>IFERROR(INDEX(PP_Grid[#Data],$DE618,58),0)</f>
        <v/>
      </c>
      <c r="BJ618">
        <f>IFERROR(INDEX(PP_Grid[#Data],$DE618,59),0)</f>
        <v/>
      </c>
      <c r="BK618">
        <f>IFERROR(INDEX(PP_Grid[#Data],$DE618,60),0)</f>
        <v/>
      </c>
      <c r="BL618">
        <f>IFERROR(INDEX(PP_Grid[#Data],$DE618,61),0)</f>
        <v/>
      </c>
      <c r="BM618">
        <f>IFERROR(INDEX(PP_Grid[#Data],$DE618,62),0)</f>
        <v/>
      </c>
      <c r="BN618">
        <f>IFERROR(INDEX(PP_Grid[#Data],$DE618,63),0)</f>
        <v/>
      </c>
      <c r="BO618">
        <f>IFERROR(INDEX(PP_Grid[#Data],$DE618,64),0)</f>
        <v/>
      </c>
      <c r="BP618">
        <f>IFERROR(INDEX(PP_Grid[#Data],$DE618,65),0)</f>
        <v/>
      </c>
      <c r="BQ618">
        <f>IFERROR(INDEX(PP_Grid[#Data],$DE618,66),0)</f>
        <v/>
      </c>
      <c r="BR618">
        <f>IFERROR(INDEX(PP_Grid[#Data],$DE618,67),0)</f>
        <v/>
      </c>
      <c r="BS618">
        <f>IFERROR(INDEX(PP_Grid[#Data],$DE618,68),0)</f>
        <v/>
      </c>
      <c r="BT618">
        <f>IFERROR(INDEX(PP_Grid[#Data],$DE618,69),0)</f>
        <v/>
      </c>
      <c r="BU618">
        <f>IFERROR(INDEX(PP_Grid[#Data],$DE618,70),0)</f>
        <v/>
      </c>
      <c r="BV618">
        <f>IFERROR(INDEX(PP_Grid[#Data],$DE618,71),0)</f>
        <v/>
      </c>
      <c r="BW618">
        <f>IFERROR(INDEX(PP_Grid[#Data],$DE618,72),0)</f>
        <v/>
      </c>
      <c r="BX618">
        <f>IFERROR(INDEX(PP_Grid[#Data],$DE618,73),0)</f>
        <v/>
      </c>
      <c r="BY618">
        <f>IFERROR(INDEX(PP_Grid[#Data],$DE618,74),0)</f>
        <v/>
      </c>
      <c r="BZ618">
        <f>IFERROR(INDEX(PP_Grid[#Data],$DE618,75),0)</f>
        <v/>
      </c>
      <c r="CA618">
        <f>IFERROR(INDEX(PP_Grid[#Data],$DE618,76),0)</f>
        <v/>
      </c>
      <c r="CB618">
        <f>IFERROR(INDEX(PP_Grid[#Data],$DE618,77),0)</f>
        <v/>
      </c>
      <c r="CC618">
        <f>IFERROR(INDEX(PP_Grid[#Data],$DE618,78),0)</f>
        <v/>
      </c>
      <c r="CD618">
        <f>IFERROR(INDEX(PP_Grid[#Data],$DE618,79),0)</f>
        <v/>
      </c>
      <c r="CE618">
        <f>IFERROR(INDEX(PP_Grid[#Data],$DE618,80),0)</f>
        <v/>
      </c>
      <c r="CF618">
        <f>IFERROR(INDEX(PP_Grid[#Data],$DE618,81),0)</f>
        <v/>
      </c>
      <c r="CG618">
        <f>IFERROR(INDEX(PP_Grid[#Data],$DE618,82),0)</f>
        <v/>
      </c>
      <c r="CH618">
        <f>IFERROR(INDEX(PP_Grid[#Data],$DE618,83),0)</f>
        <v/>
      </c>
      <c r="CI618">
        <f>IFERROR(INDEX(PP_Grid[#Data],$DE618,84),0)</f>
        <v/>
      </c>
      <c r="CJ618">
        <f>IFERROR(INDEX(PP_Grid[#Data],$DE618,85),0)</f>
        <v/>
      </c>
      <c r="CK618">
        <f>IFERROR(INDEX(PP_Grid[#Data],$DE618,86),0)</f>
        <v/>
      </c>
      <c r="CL618">
        <f>IFERROR(INDEX(PP_Grid[#Data],$DE618,87),0)</f>
        <v/>
      </c>
      <c r="CM618">
        <f>IFERROR(INDEX(PP_Grid[#Data],$DE618,88),0)</f>
        <v/>
      </c>
      <c r="CN618">
        <f>IFERROR(INDEX(PP_Grid[#Data],$DE618,89),0)</f>
        <v/>
      </c>
      <c r="CO618">
        <f>IFERROR(INDEX(PP_Grid[#Data],$DE618,90),0)</f>
        <v/>
      </c>
      <c r="CP618">
        <f>IFERROR(INDEX(PP_Grid[#Data],$DE618,91),0)</f>
        <v/>
      </c>
      <c r="CQ618">
        <f>IFERROR(INDEX(PP_Grid[#Data],$DE618,92),0)</f>
        <v/>
      </c>
      <c r="CR618">
        <f>IFERROR(INDEX(PP_Grid[#Data],$DE618,93),0)</f>
        <v/>
      </c>
      <c r="CS618">
        <f>IFERROR(INDEX(PP_Grid[#Data],$DE618,94),0)</f>
        <v/>
      </c>
      <c r="CT618">
        <f>IFERROR(INDEX(PP_Grid[#Data],$DE618,95),0)</f>
        <v/>
      </c>
      <c r="CU618">
        <f>IFERROR(INDEX(PP_Grid[#Data],$DE618,96),0)</f>
        <v/>
      </c>
      <c r="CV618">
        <f>IFERROR(INDEX(PP_Grid[#Data],$DE618,97),0)</f>
        <v/>
      </c>
      <c r="CW618">
        <f>IFERROR(INDEX(PP_Grid[#Data],$DE618,98),0)</f>
        <v/>
      </c>
      <c r="CX618">
        <f>IFERROR(INDEX(PP_Grid[#Data],$DE618,99),0)</f>
        <v/>
      </c>
      <c r="CY618">
        <f>IFERROR(INDEX(PP_Grid[#Data],$DE618,100),0)</f>
        <v/>
      </c>
      <c r="CZ618">
        <f>IFERROR(INDEX(PP_Grid[#Data],$DE618,101),0)</f>
        <v/>
      </c>
      <c r="DA618">
        <f>IFERROR(INDEX(PP_Grid[#Data],$DE618,102),0)</f>
        <v/>
      </c>
      <c r="DB618">
        <f>IFERROR(INDEX(PP_Grid[#Data],$DE618,103),0)</f>
        <v/>
      </c>
      <c r="DC618">
        <f>IFERROR(INDEX(PP_Grid[#Data],$DE618,104),0)</f>
        <v/>
      </c>
      <c r="DD618">
        <f>IFERROR(INDEX(PP_Grid[#Data],$DE618,105),0)</f>
        <v/>
      </c>
      <c r="DE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SUMIFS(M_BOM[RM_Qty_Per_Batch],M_BOM[Intermediate],$B618,M_BOM[RM_Code],$A515)</f>
        <v/>
      </c>
      <c r="D619">
        <f>IFERROR(INDEX(E619:DD619,$F$1),"")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  <c r="DD619">
        <f>$C619*DD618</f>
        <v/>
      </c>
    </row>
    <row r="620">
      <c r="B620" t="inlineStr">
        <is>
          <t>VSP-910</t>
        </is>
      </c>
      <c r="C620" t="inlineStr">
        <is>
          <t>No. of batches</t>
        </is>
      </c>
      <c r="D620">
        <f>IFERROR(INDEX(E620:DD620,$F$1),"")</f>
        <v/>
      </c>
      <c r="E620">
        <f>IFERROR(INDEX(PP_Grid[#Data],$DE620,2),0)</f>
        <v/>
      </c>
      <c r="F620">
        <f>IFERROR(INDEX(PP_Grid[#Data],$DE620,3),0)</f>
        <v/>
      </c>
      <c r="G620">
        <f>IFERROR(INDEX(PP_Grid[#Data],$DE620,4),0)</f>
        <v/>
      </c>
      <c r="H620">
        <f>IFERROR(INDEX(PP_Grid[#Data],$DE620,5),0)</f>
        <v/>
      </c>
      <c r="I620">
        <f>IFERROR(INDEX(PP_Grid[#Data],$DE620,6),0)</f>
        <v/>
      </c>
      <c r="J620">
        <f>IFERROR(INDEX(PP_Grid[#Data],$DE620,7),0)</f>
        <v/>
      </c>
      <c r="K620">
        <f>IFERROR(INDEX(PP_Grid[#Data],$DE620,8),0)</f>
        <v/>
      </c>
      <c r="L620">
        <f>IFERROR(INDEX(PP_Grid[#Data],$DE620,9),0)</f>
        <v/>
      </c>
      <c r="M620">
        <f>IFERROR(INDEX(PP_Grid[#Data],$DE620,10),0)</f>
        <v/>
      </c>
      <c r="N620">
        <f>IFERROR(INDEX(PP_Grid[#Data],$DE620,11),0)</f>
        <v/>
      </c>
      <c r="O620">
        <f>IFERROR(INDEX(PP_Grid[#Data],$DE620,12),0)</f>
        <v/>
      </c>
      <c r="P620">
        <f>IFERROR(INDEX(PP_Grid[#Data],$DE620,13),0)</f>
        <v/>
      </c>
      <c r="Q620">
        <f>IFERROR(INDEX(PP_Grid[#Data],$DE620,14),0)</f>
        <v/>
      </c>
      <c r="R620">
        <f>IFERROR(INDEX(PP_Grid[#Data],$DE620,15),0)</f>
        <v/>
      </c>
      <c r="S620">
        <f>IFERROR(INDEX(PP_Grid[#Data],$DE620,16),0)</f>
        <v/>
      </c>
      <c r="T620">
        <f>IFERROR(INDEX(PP_Grid[#Data],$DE620,17),0)</f>
        <v/>
      </c>
      <c r="U620">
        <f>IFERROR(INDEX(PP_Grid[#Data],$DE620,18),0)</f>
        <v/>
      </c>
      <c r="V620">
        <f>IFERROR(INDEX(PP_Grid[#Data],$DE620,19),0)</f>
        <v/>
      </c>
      <c r="W620">
        <f>IFERROR(INDEX(PP_Grid[#Data],$DE620,20),0)</f>
        <v/>
      </c>
      <c r="X620">
        <f>IFERROR(INDEX(PP_Grid[#Data],$DE620,21),0)</f>
        <v/>
      </c>
      <c r="Y620">
        <f>IFERROR(INDEX(PP_Grid[#Data],$DE620,22),0)</f>
        <v/>
      </c>
      <c r="Z620">
        <f>IFERROR(INDEX(PP_Grid[#Data],$DE620,23),0)</f>
        <v/>
      </c>
      <c r="AA620">
        <f>IFERROR(INDEX(PP_Grid[#Data],$DE620,24),0)</f>
        <v/>
      </c>
      <c r="AB620">
        <f>IFERROR(INDEX(PP_Grid[#Data],$DE620,25),0)</f>
        <v/>
      </c>
      <c r="AC620">
        <f>IFERROR(INDEX(PP_Grid[#Data],$DE620,26),0)</f>
        <v/>
      </c>
      <c r="AD620">
        <f>IFERROR(INDEX(PP_Grid[#Data],$DE620,27),0)</f>
        <v/>
      </c>
      <c r="AE620">
        <f>IFERROR(INDEX(PP_Grid[#Data],$DE620,28),0)</f>
        <v/>
      </c>
      <c r="AF620">
        <f>IFERROR(INDEX(PP_Grid[#Data],$DE620,29),0)</f>
        <v/>
      </c>
      <c r="AG620">
        <f>IFERROR(INDEX(PP_Grid[#Data],$DE620,30),0)</f>
        <v/>
      </c>
      <c r="AH620">
        <f>IFERROR(INDEX(PP_Grid[#Data],$DE620,31),0)</f>
        <v/>
      </c>
      <c r="AI620">
        <f>IFERROR(INDEX(PP_Grid[#Data],$DE620,32),0)</f>
        <v/>
      </c>
      <c r="AJ620">
        <f>IFERROR(INDEX(PP_Grid[#Data],$DE620,33),0)</f>
        <v/>
      </c>
      <c r="AK620">
        <f>IFERROR(INDEX(PP_Grid[#Data],$DE620,34),0)</f>
        <v/>
      </c>
      <c r="AL620">
        <f>IFERROR(INDEX(PP_Grid[#Data],$DE620,35),0)</f>
        <v/>
      </c>
      <c r="AM620">
        <f>IFERROR(INDEX(PP_Grid[#Data],$DE620,36),0)</f>
        <v/>
      </c>
      <c r="AN620">
        <f>IFERROR(INDEX(PP_Grid[#Data],$DE620,37),0)</f>
        <v/>
      </c>
      <c r="AO620">
        <f>IFERROR(INDEX(PP_Grid[#Data],$DE620,38),0)</f>
        <v/>
      </c>
      <c r="AP620">
        <f>IFERROR(INDEX(PP_Grid[#Data],$DE620,39),0)</f>
        <v/>
      </c>
      <c r="AQ620">
        <f>IFERROR(INDEX(PP_Grid[#Data],$DE620,40),0)</f>
        <v/>
      </c>
      <c r="AR620">
        <f>IFERROR(INDEX(PP_Grid[#Data],$DE620,41),0)</f>
        <v/>
      </c>
      <c r="AS620">
        <f>IFERROR(INDEX(PP_Grid[#Data],$DE620,42),0)</f>
        <v/>
      </c>
      <c r="AT620">
        <f>IFERROR(INDEX(PP_Grid[#Data],$DE620,43),0)</f>
        <v/>
      </c>
      <c r="AU620">
        <f>IFERROR(INDEX(PP_Grid[#Data],$DE620,44),0)</f>
        <v/>
      </c>
      <c r="AV620">
        <f>IFERROR(INDEX(PP_Grid[#Data],$DE620,45),0)</f>
        <v/>
      </c>
      <c r="AW620">
        <f>IFERROR(INDEX(PP_Grid[#Data],$DE620,46),0)</f>
        <v/>
      </c>
      <c r="AX620">
        <f>IFERROR(INDEX(PP_Grid[#Data],$DE620,47),0)</f>
        <v/>
      </c>
      <c r="AY620">
        <f>IFERROR(INDEX(PP_Grid[#Data],$DE620,48),0)</f>
        <v/>
      </c>
      <c r="AZ620">
        <f>IFERROR(INDEX(PP_Grid[#Data],$DE620,49),0)</f>
        <v/>
      </c>
      <c r="BA620">
        <f>IFERROR(INDEX(PP_Grid[#Data],$DE620,50),0)</f>
        <v/>
      </c>
      <c r="BB620">
        <f>IFERROR(INDEX(PP_Grid[#Data],$DE620,51),0)</f>
        <v/>
      </c>
      <c r="BC620">
        <f>IFERROR(INDEX(PP_Grid[#Data],$DE620,52),0)</f>
        <v/>
      </c>
      <c r="BD620">
        <f>IFERROR(INDEX(PP_Grid[#Data],$DE620,53),0)</f>
        <v/>
      </c>
      <c r="BE620">
        <f>IFERROR(INDEX(PP_Grid[#Data],$DE620,54),0)</f>
        <v/>
      </c>
      <c r="BF620">
        <f>IFERROR(INDEX(PP_Grid[#Data],$DE620,55),0)</f>
        <v/>
      </c>
      <c r="BG620">
        <f>IFERROR(INDEX(PP_Grid[#Data],$DE620,56),0)</f>
        <v/>
      </c>
      <c r="BH620">
        <f>IFERROR(INDEX(PP_Grid[#Data],$DE620,57),0)</f>
        <v/>
      </c>
      <c r="BI620">
        <f>IFERROR(INDEX(PP_Grid[#Data],$DE620,58),0)</f>
        <v/>
      </c>
      <c r="BJ620">
        <f>IFERROR(INDEX(PP_Grid[#Data],$DE620,59),0)</f>
        <v/>
      </c>
      <c r="BK620">
        <f>IFERROR(INDEX(PP_Grid[#Data],$DE620,60),0)</f>
        <v/>
      </c>
      <c r="BL620">
        <f>IFERROR(INDEX(PP_Grid[#Data],$DE620,61),0)</f>
        <v/>
      </c>
      <c r="BM620">
        <f>IFERROR(INDEX(PP_Grid[#Data],$DE620,62),0)</f>
        <v/>
      </c>
      <c r="BN620">
        <f>IFERROR(INDEX(PP_Grid[#Data],$DE620,63),0)</f>
        <v/>
      </c>
      <c r="BO620">
        <f>IFERROR(INDEX(PP_Grid[#Data],$DE620,64),0)</f>
        <v/>
      </c>
      <c r="BP620">
        <f>IFERROR(INDEX(PP_Grid[#Data],$DE620,65),0)</f>
        <v/>
      </c>
      <c r="BQ620">
        <f>IFERROR(INDEX(PP_Grid[#Data],$DE620,66),0)</f>
        <v/>
      </c>
      <c r="BR620">
        <f>IFERROR(INDEX(PP_Grid[#Data],$DE620,67),0)</f>
        <v/>
      </c>
      <c r="BS620">
        <f>IFERROR(INDEX(PP_Grid[#Data],$DE620,68),0)</f>
        <v/>
      </c>
      <c r="BT620">
        <f>IFERROR(INDEX(PP_Grid[#Data],$DE620,69),0)</f>
        <v/>
      </c>
      <c r="BU620">
        <f>IFERROR(INDEX(PP_Grid[#Data],$DE620,70),0)</f>
        <v/>
      </c>
      <c r="BV620">
        <f>IFERROR(INDEX(PP_Grid[#Data],$DE620,71),0)</f>
        <v/>
      </c>
      <c r="BW620">
        <f>IFERROR(INDEX(PP_Grid[#Data],$DE620,72),0)</f>
        <v/>
      </c>
      <c r="BX620">
        <f>IFERROR(INDEX(PP_Grid[#Data],$DE620,73),0)</f>
        <v/>
      </c>
      <c r="BY620">
        <f>IFERROR(INDEX(PP_Grid[#Data],$DE620,74),0)</f>
        <v/>
      </c>
      <c r="BZ620">
        <f>IFERROR(INDEX(PP_Grid[#Data],$DE620,75),0)</f>
        <v/>
      </c>
      <c r="CA620">
        <f>IFERROR(INDEX(PP_Grid[#Data],$DE620,76),0)</f>
        <v/>
      </c>
      <c r="CB620">
        <f>IFERROR(INDEX(PP_Grid[#Data],$DE620,77),0)</f>
        <v/>
      </c>
      <c r="CC620">
        <f>IFERROR(INDEX(PP_Grid[#Data],$DE620,78),0)</f>
        <v/>
      </c>
      <c r="CD620">
        <f>IFERROR(INDEX(PP_Grid[#Data],$DE620,79),0)</f>
        <v/>
      </c>
      <c r="CE620">
        <f>IFERROR(INDEX(PP_Grid[#Data],$DE620,80),0)</f>
        <v/>
      </c>
      <c r="CF620">
        <f>IFERROR(INDEX(PP_Grid[#Data],$DE620,81),0)</f>
        <v/>
      </c>
      <c r="CG620">
        <f>IFERROR(INDEX(PP_Grid[#Data],$DE620,82),0)</f>
        <v/>
      </c>
      <c r="CH620">
        <f>IFERROR(INDEX(PP_Grid[#Data],$DE620,83),0)</f>
        <v/>
      </c>
      <c r="CI620">
        <f>IFERROR(INDEX(PP_Grid[#Data],$DE620,84),0)</f>
        <v/>
      </c>
      <c r="CJ620">
        <f>IFERROR(INDEX(PP_Grid[#Data],$DE620,85),0)</f>
        <v/>
      </c>
      <c r="CK620">
        <f>IFERROR(INDEX(PP_Grid[#Data],$DE620,86),0)</f>
        <v/>
      </c>
      <c r="CL620">
        <f>IFERROR(INDEX(PP_Grid[#Data],$DE620,87),0)</f>
        <v/>
      </c>
      <c r="CM620">
        <f>IFERROR(INDEX(PP_Grid[#Data],$DE620,88),0)</f>
        <v/>
      </c>
      <c r="CN620">
        <f>IFERROR(INDEX(PP_Grid[#Data],$DE620,89),0)</f>
        <v/>
      </c>
      <c r="CO620">
        <f>IFERROR(INDEX(PP_Grid[#Data],$DE620,90),0)</f>
        <v/>
      </c>
      <c r="CP620">
        <f>IFERROR(INDEX(PP_Grid[#Data],$DE620,91),0)</f>
        <v/>
      </c>
      <c r="CQ620">
        <f>IFERROR(INDEX(PP_Grid[#Data],$DE620,92),0)</f>
        <v/>
      </c>
      <c r="CR620">
        <f>IFERROR(INDEX(PP_Grid[#Data],$DE620,93),0)</f>
        <v/>
      </c>
      <c r="CS620">
        <f>IFERROR(INDEX(PP_Grid[#Data],$DE620,94),0)</f>
        <v/>
      </c>
      <c r="CT620">
        <f>IFERROR(INDEX(PP_Grid[#Data],$DE620,95),0)</f>
        <v/>
      </c>
      <c r="CU620">
        <f>IFERROR(INDEX(PP_Grid[#Data],$DE620,96),0)</f>
        <v/>
      </c>
      <c r="CV620">
        <f>IFERROR(INDEX(PP_Grid[#Data],$DE620,97),0)</f>
        <v/>
      </c>
      <c r="CW620">
        <f>IFERROR(INDEX(PP_Grid[#Data],$DE620,98),0)</f>
        <v/>
      </c>
      <c r="CX620">
        <f>IFERROR(INDEX(PP_Grid[#Data],$DE620,99),0)</f>
        <v/>
      </c>
      <c r="CY620">
        <f>IFERROR(INDEX(PP_Grid[#Data],$DE620,100),0)</f>
        <v/>
      </c>
      <c r="CZ620">
        <f>IFERROR(INDEX(PP_Grid[#Data],$DE620,101),0)</f>
        <v/>
      </c>
      <c r="DA620">
        <f>IFERROR(INDEX(PP_Grid[#Data],$DE620,102),0)</f>
        <v/>
      </c>
      <c r="DB620">
        <f>IFERROR(INDEX(PP_Grid[#Data],$DE620,103),0)</f>
        <v/>
      </c>
      <c r="DC620">
        <f>IFERROR(INDEX(PP_Grid[#Data],$DE620,104),0)</f>
        <v/>
      </c>
      <c r="DD620">
        <f>IFERROR(INDEX(PP_Grid[#Data],$DE620,105),0)</f>
        <v/>
      </c>
      <c r="DE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SUMIFS(M_BOM[RM_Qty_Per_Batch],M_BOM[Intermediate],$B620,M_BOM[RM_Code],$A515)</f>
        <v/>
      </c>
      <c r="D621">
        <f>IFERROR(INDEX(E621:DD621,$F$1),"")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  <c r="DD621">
        <f>$C621*DD620</f>
        <v/>
      </c>
    </row>
    <row r="622">
      <c r="B622" t="inlineStr">
        <is>
          <t>VSP-989</t>
        </is>
      </c>
      <c r="C622" t="inlineStr">
        <is>
          <t>No. of batches</t>
        </is>
      </c>
      <c r="D622">
        <f>IFERROR(INDEX(E622:DD622,$F$1),"")</f>
        <v/>
      </c>
      <c r="E622">
        <f>IFERROR(INDEX(PP_Grid[#Data],$DE622,2),0)</f>
        <v/>
      </c>
      <c r="F622">
        <f>IFERROR(INDEX(PP_Grid[#Data],$DE622,3),0)</f>
        <v/>
      </c>
      <c r="G622">
        <f>IFERROR(INDEX(PP_Grid[#Data],$DE622,4),0)</f>
        <v/>
      </c>
      <c r="H622">
        <f>IFERROR(INDEX(PP_Grid[#Data],$DE622,5),0)</f>
        <v/>
      </c>
      <c r="I622">
        <f>IFERROR(INDEX(PP_Grid[#Data],$DE622,6),0)</f>
        <v/>
      </c>
      <c r="J622">
        <f>IFERROR(INDEX(PP_Grid[#Data],$DE622,7),0)</f>
        <v/>
      </c>
      <c r="K622">
        <f>IFERROR(INDEX(PP_Grid[#Data],$DE622,8),0)</f>
        <v/>
      </c>
      <c r="L622">
        <f>IFERROR(INDEX(PP_Grid[#Data],$DE622,9),0)</f>
        <v/>
      </c>
      <c r="M622">
        <f>IFERROR(INDEX(PP_Grid[#Data],$DE622,10),0)</f>
        <v/>
      </c>
      <c r="N622">
        <f>IFERROR(INDEX(PP_Grid[#Data],$DE622,11),0)</f>
        <v/>
      </c>
      <c r="O622">
        <f>IFERROR(INDEX(PP_Grid[#Data],$DE622,12),0)</f>
        <v/>
      </c>
      <c r="P622">
        <f>IFERROR(INDEX(PP_Grid[#Data],$DE622,13),0)</f>
        <v/>
      </c>
      <c r="Q622">
        <f>IFERROR(INDEX(PP_Grid[#Data],$DE622,14),0)</f>
        <v/>
      </c>
      <c r="R622">
        <f>IFERROR(INDEX(PP_Grid[#Data],$DE622,15),0)</f>
        <v/>
      </c>
      <c r="S622">
        <f>IFERROR(INDEX(PP_Grid[#Data],$DE622,16),0)</f>
        <v/>
      </c>
      <c r="T622">
        <f>IFERROR(INDEX(PP_Grid[#Data],$DE622,17),0)</f>
        <v/>
      </c>
      <c r="U622">
        <f>IFERROR(INDEX(PP_Grid[#Data],$DE622,18),0)</f>
        <v/>
      </c>
      <c r="V622">
        <f>IFERROR(INDEX(PP_Grid[#Data],$DE622,19),0)</f>
        <v/>
      </c>
      <c r="W622">
        <f>IFERROR(INDEX(PP_Grid[#Data],$DE622,20),0)</f>
        <v/>
      </c>
      <c r="X622">
        <f>IFERROR(INDEX(PP_Grid[#Data],$DE622,21),0)</f>
        <v/>
      </c>
      <c r="Y622">
        <f>IFERROR(INDEX(PP_Grid[#Data],$DE622,22),0)</f>
        <v/>
      </c>
      <c r="Z622">
        <f>IFERROR(INDEX(PP_Grid[#Data],$DE622,23),0)</f>
        <v/>
      </c>
      <c r="AA622">
        <f>IFERROR(INDEX(PP_Grid[#Data],$DE622,24),0)</f>
        <v/>
      </c>
      <c r="AB622">
        <f>IFERROR(INDEX(PP_Grid[#Data],$DE622,25),0)</f>
        <v/>
      </c>
      <c r="AC622">
        <f>IFERROR(INDEX(PP_Grid[#Data],$DE622,26),0)</f>
        <v/>
      </c>
      <c r="AD622">
        <f>IFERROR(INDEX(PP_Grid[#Data],$DE622,27),0)</f>
        <v/>
      </c>
      <c r="AE622">
        <f>IFERROR(INDEX(PP_Grid[#Data],$DE622,28),0)</f>
        <v/>
      </c>
      <c r="AF622">
        <f>IFERROR(INDEX(PP_Grid[#Data],$DE622,29),0)</f>
        <v/>
      </c>
      <c r="AG622">
        <f>IFERROR(INDEX(PP_Grid[#Data],$DE622,30),0)</f>
        <v/>
      </c>
      <c r="AH622">
        <f>IFERROR(INDEX(PP_Grid[#Data],$DE622,31),0)</f>
        <v/>
      </c>
      <c r="AI622">
        <f>IFERROR(INDEX(PP_Grid[#Data],$DE622,32),0)</f>
        <v/>
      </c>
      <c r="AJ622">
        <f>IFERROR(INDEX(PP_Grid[#Data],$DE622,33),0)</f>
        <v/>
      </c>
      <c r="AK622">
        <f>IFERROR(INDEX(PP_Grid[#Data],$DE622,34),0)</f>
        <v/>
      </c>
      <c r="AL622">
        <f>IFERROR(INDEX(PP_Grid[#Data],$DE622,35),0)</f>
        <v/>
      </c>
      <c r="AM622">
        <f>IFERROR(INDEX(PP_Grid[#Data],$DE622,36),0)</f>
        <v/>
      </c>
      <c r="AN622">
        <f>IFERROR(INDEX(PP_Grid[#Data],$DE622,37),0)</f>
        <v/>
      </c>
      <c r="AO622">
        <f>IFERROR(INDEX(PP_Grid[#Data],$DE622,38),0)</f>
        <v/>
      </c>
      <c r="AP622">
        <f>IFERROR(INDEX(PP_Grid[#Data],$DE622,39),0)</f>
        <v/>
      </c>
      <c r="AQ622">
        <f>IFERROR(INDEX(PP_Grid[#Data],$DE622,40),0)</f>
        <v/>
      </c>
      <c r="AR622">
        <f>IFERROR(INDEX(PP_Grid[#Data],$DE622,41),0)</f>
        <v/>
      </c>
      <c r="AS622">
        <f>IFERROR(INDEX(PP_Grid[#Data],$DE622,42),0)</f>
        <v/>
      </c>
      <c r="AT622">
        <f>IFERROR(INDEX(PP_Grid[#Data],$DE622,43),0)</f>
        <v/>
      </c>
      <c r="AU622">
        <f>IFERROR(INDEX(PP_Grid[#Data],$DE622,44),0)</f>
        <v/>
      </c>
      <c r="AV622">
        <f>IFERROR(INDEX(PP_Grid[#Data],$DE622,45),0)</f>
        <v/>
      </c>
      <c r="AW622">
        <f>IFERROR(INDEX(PP_Grid[#Data],$DE622,46),0)</f>
        <v/>
      </c>
      <c r="AX622">
        <f>IFERROR(INDEX(PP_Grid[#Data],$DE622,47),0)</f>
        <v/>
      </c>
      <c r="AY622">
        <f>IFERROR(INDEX(PP_Grid[#Data],$DE622,48),0)</f>
        <v/>
      </c>
      <c r="AZ622">
        <f>IFERROR(INDEX(PP_Grid[#Data],$DE622,49),0)</f>
        <v/>
      </c>
      <c r="BA622">
        <f>IFERROR(INDEX(PP_Grid[#Data],$DE622,50),0)</f>
        <v/>
      </c>
      <c r="BB622">
        <f>IFERROR(INDEX(PP_Grid[#Data],$DE622,51),0)</f>
        <v/>
      </c>
      <c r="BC622">
        <f>IFERROR(INDEX(PP_Grid[#Data],$DE622,52),0)</f>
        <v/>
      </c>
      <c r="BD622">
        <f>IFERROR(INDEX(PP_Grid[#Data],$DE622,53),0)</f>
        <v/>
      </c>
      <c r="BE622">
        <f>IFERROR(INDEX(PP_Grid[#Data],$DE622,54),0)</f>
        <v/>
      </c>
      <c r="BF622">
        <f>IFERROR(INDEX(PP_Grid[#Data],$DE622,55),0)</f>
        <v/>
      </c>
      <c r="BG622">
        <f>IFERROR(INDEX(PP_Grid[#Data],$DE622,56),0)</f>
        <v/>
      </c>
      <c r="BH622">
        <f>IFERROR(INDEX(PP_Grid[#Data],$DE622,57),0)</f>
        <v/>
      </c>
      <c r="BI622">
        <f>IFERROR(INDEX(PP_Grid[#Data],$DE622,58),0)</f>
        <v/>
      </c>
      <c r="BJ622">
        <f>IFERROR(INDEX(PP_Grid[#Data],$DE622,59),0)</f>
        <v/>
      </c>
      <c r="BK622">
        <f>IFERROR(INDEX(PP_Grid[#Data],$DE622,60),0)</f>
        <v/>
      </c>
      <c r="BL622">
        <f>IFERROR(INDEX(PP_Grid[#Data],$DE622,61),0)</f>
        <v/>
      </c>
      <c r="BM622">
        <f>IFERROR(INDEX(PP_Grid[#Data],$DE622,62),0)</f>
        <v/>
      </c>
      <c r="BN622">
        <f>IFERROR(INDEX(PP_Grid[#Data],$DE622,63),0)</f>
        <v/>
      </c>
      <c r="BO622">
        <f>IFERROR(INDEX(PP_Grid[#Data],$DE622,64),0)</f>
        <v/>
      </c>
      <c r="BP622">
        <f>IFERROR(INDEX(PP_Grid[#Data],$DE622,65),0)</f>
        <v/>
      </c>
      <c r="BQ622">
        <f>IFERROR(INDEX(PP_Grid[#Data],$DE622,66),0)</f>
        <v/>
      </c>
      <c r="BR622">
        <f>IFERROR(INDEX(PP_Grid[#Data],$DE622,67),0)</f>
        <v/>
      </c>
      <c r="BS622">
        <f>IFERROR(INDEX(PP_Grid[#Data],$DE622,68),0)</f>
        <v/>
      </c>
      <c r="BT622">
        <f>IFERROR(INDEX(PP_Grid[#Data],$DE622,69),0)</f>
        <v/>
      </c>
      <c r="BU622">
        <f>IFERROR(INDEX(PP_Grid[#Data],$DE622,70),0)</f>
        <v/>
      </c>
      <c r="BV622">
        <f>IFERROR(INDEX(PP_Grid[#Data],$DE622,71),0)</f>
        <v/>
      </c>
      <c r="BW622">
        <f>IFERROR(INDEX(PP_Grid[#Data],$DE622,72),0)</f>
        <v/>
      </c>
      <c r="BX622">
        <f>IFERROR(INDEX(PP_Grid[#Data],$DE622,73),0)</f>
        <v/>
      </c>
      <c r="BY622">
        <f>IFERROR(INDEX(PP_Grid[#Data],$DE622,74),0)</f>
        <v/>
      </c>
      <c r="BZ622">
        <f>IFERROR(INDEX(PP_Grid[#Data],$DE622,75),0)</f>
        <v/>
      </c>
      <c r="CA622">
        <f>IFERROR(INDEX(PP_Grid[#Data],$DE622,76),0)</f>
        <v/>
      </c>
      <c r="CB622">
        <f>IFERROR(INDEX(PP_Grid[#Data],$DE622,77),0)</f>
        <v/>
      </c>
      <c r="CC622">
        <f>IFERROR(INDEX(PP_Grid[#Data],$DE622,78),0)</f>
        <v/>
      </c>
      <c r="CD622">
        <f>IFERROR(INDEX(PP_Grid[#Data],$DE622,79),0)</f>
        <v/>
      </c>
      <c r="CE622">
        <f>IFERROR(INDEX(PP_Grid[#Data],$DE622,80),0)</f>
        <v/>
      </c>
      <c r="CF622">
        <f>IFERROR(INDEX(PP_Grid[#Data],$DE622,81),0)</f>
        <v/>
      </c>
      <c r="CG622">
        <f>IFERROR(INDEX(PP_Grid[#Data],$DE622,82),0)</f>
        <v/>
      </c>
      <c r="CH622">
        <f>IFERROR(INDEX(PP_Grid[#Data],$DE622,83),0)</f>
        <v/>
      </c>
      <c r="CI622">
        <f>IFERROR(INDEX(PP_Grid[#Data],$DE622,84),0)</f>
        <v/>
      </c>
      <c r="CJ622">
        <f>IFERROR(INDEX(PP_Grid[#Data],$DE622,85),0)</f>
        <v/>
      </c>
      <c r="CK622">
        <f>IFERROR(INDEX(PP_Grid[#Data],$DE622,86),0)</f>
        <v/>
      </c>
      <c r="CL622">
        <f>IFERROR(INDEX(PP_Grid[#Data],$DE622,87),0)</f>
        <v/>
      </c>
      <c r="CM622">
        <f>IFERROR(INDEX(PP_Grid[#Data],$DE622,88),0)</f>
        <v/>
      </c>
      <c r="CN622">
        <f>IFERROR(INDEX(PP_Grid[#Data],$DE622,89),0)</f>
        <v/>
      </c>
      <c r="CO622">
        <f>IFERROR(INDEX(PP_Grid[#Data],$DE622,90),0)</f>
        <v/>
      </c>
      <c r="CP622">
        <f>IFERROR(INDEX(PP_Grid[#Data],$DE622,91),0)</f>
        <v/>
      </c>
      <c r="CQ622">
        <f>IFERROR(INDEX(PP_Grid[#Data],$DE622,92),0)</f>
        <v/>
      </c>
      <c r="CR622">
        <f>IFERROR(INDEX(PP_Grid[#Data],$DE622,93),0)</f>
        <v/>
      </c>
      <c r="CS622">
        <f>IFERROR(INDEX(PP_Grid[#Data],$DE622,94),0)</f>
        <v/>
      </c>
      <c r="CT622">
        <f>IFERROR(INDEX(PP_Grid[#Data],$DE622,95),0)</f>
        <v/>
      </c>
      <c r="CU622">
        <f>IFERROR(INDEX(PP_Grid[#Data],$DE622,96),0)</f>
        <v/>
      </c>
      <c r="CV622">
        <f>IFERROR(INDEX(PP_Grid[#Data],$DE622,97),0)</f>
        <v/>
      </c>
      <c r="CW622">
        <f>IFERROR(INDEX(PP_Grid[#Data],$DE622,98),0)</f>
        <v/>
      </c>
      <c r="CX622">
        <f>IFERROR(INDEX(PP_Grid[#Data],$DE622,99),0)</f>
        <v/>
      </c>
      <c r="CY622">
        <f>IFERROR(INDEX(PP_Grid[#Data],$DE622,100),0)</f>
        <v/>
      </c>
      <c r="CZ622">
        <f>IFERROR(INDEX(PP_Grid[#Data],$DE622,101),0)</f>
        <v/>
      </c>
      <c r="DA622">
        <f>IFERROR(INDEX(PP_Grid[#Data],$DE622,102),0)</f>
        <v/>
      </c>
      <c r="DB622">
        <f>IFERROR(INDEX(PP_Grid[#Data],$DE622,103),0)</f>
        <v/>
      </c>
      <c r="DC622">
        <f>IFERROR(INDEX(PP_Grid[#Data],$DE622,104),0)</f>
        <v/>
      </c>
      <c r="DD622">
        <f>IFERROR(INDEX(PP_Grid[#Data],$DE622,105),0)</f>
        <v/>
      </c>
      <c r="DE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SUMIFS(M_BOM[RM_Qty_Per_Batch],M_BOM[Intermediate],$B622,M_BOM[RM_Code],$A515)</f>
        <v/>
      </c>
      <c r="D623">
        <f>IFERROR(INDEX(E623:DD623,$F$1),"")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  <c r="DD623">
        <f>$C623*DD622</f>
        <v/>
      </c>
    </row>
    <row r="624">
      <c r="B624" t="inlineStr">
        <is>
          <t>VSP-990</t>
        </is>
      </c>
      <c r="C624" t="inlineStr">
        <is>
          <t>No. of batches</t>
        </is>
      </c>
      <c r="D624">
        <f>IFERROR(INDEX(E624:DD624,$F$1),"")</f>
        <v/>
      </c>
      <c r="E624">
        <f>IFERROR(INDEX(PP_Grid[#Data],$DE624,2),0)</f>
        <v/>
      </c>
      <c r="F624">
        <f>IFERROR(INDEX(PP_Grid[#Data],$DE624,3),0)</f>
        <v/>
      </c>
      <c r="G624">
        <f>IFERROR(INDEX(PP_Grid[#Data],$DE624,4),0)</f>
        <v/>
      </c>
      <c r="H624">
        <f>IFERROR(INDEX(PP_Grid[#Data],$DE624,5),0)</f>
        <v/>
      </c>
      <c r="I624">
        <f>IFERROR(INDEX(PP_Grid[#Data],$DE624,6),0)</f>
        <v/>
      </c>
      <c r="J624">
        <f>IFERROR(INDEX(PP_Grid[#Data],$DE624,7),0)</f>
        <v/>
      </c>
      <c r="K624">
        <f>IFERROR(INDEX(PP_Grid[#Data],$DE624,8),0)</f>
        <v/>
      </c>
      <c r="L624">
        <f>IFERROR(INDEX(PP_Grid[#Data],$DE624,9),0)</f>
        <v/>
      </c>
      <c r="M624">
        <f>IFERROR(INDEX(PP_Grid[#Data],$DE624,10),0)</f>
        <v/>
      </c>
      <c r="N624">
        <f>IFERROR(INDEX(PP_Grid[#Data],$DE624,11),0)</f>
        <v/>
      </c>
      <c r="O624">
        <f>IFERROR(INDEX(PP_Grid[#Data],$DE624,12),0)</f>
        <v/>
      </c>
      <c r="P624">
        <f>IFERROR(INDEX(PP_Grid[#Data],$DE624,13),0)</f>
        <v/>
      </c>
      <c r="Q624">
        <f>IFERROR(INDEX(PP_Grid[#Data],$DE624,14),0)</f>
        <v/>
      </c>
      <c r="R624">
        <f>IFERROR(INDEX(PP_Grid[#Data],$DE624,15),0)</f>
        <v/>
      </c>
      <c r="S624">
        <f>IFERROR(INDEX(PP_Grid[#Data],$DE624,16),0)</f>
        <v/>
      </c>
      <c r="T624">
        <f>IFERROR(INDEX(PP_Grid[#Data],$DE624,17),0)</f>
        <v/>
      </c>
      <c r="U624">
        <f>IFERROR(INDEX(PP_Grid[#Data],$DE624,18),0)</f>
        <v/>
      </c>
      <c r="V624">
        <f>IFERROR(INDEX(PP_Grid[#Data],$DE624,19),0)</f>
        <v/>
      </c>
      <c r="W624">
        <f>IFERROR(INDEX(PP_Grid[#Data],$DE624,20),0)</f>
        <v/>
      </c>
      <c r="X624">
        <f>IFERROR(INDEX(PP_Grid[#Data],$DE624,21),0)</f>
        <v/>
      </c>
      <c r="Y624">
        <f>IFERROR(INDEX(PP_Grid[#Data],$DE624,22),0)</f>
        <v/>
      </c>
      <c r="Z624">
        <f>IFERROR(INDEX(PP_Grid[#Data],$DE624,23),0)</f>
        <v/>
      </c>
      <c r="AA624">
        <f>IFERROR(INDEX(PP_Grid[#Data],$DE624,24),0)</f>
        <v/>
      </c>
      <c r="AB624">
        <f>IFERROR(INDEX(PP_Grid[#Data],$DE624,25),0)</f>
        <v/>
      </c>
      <c r="AC624">
        <f>IFERROR(INDEX(PP_Grid[#Data],$DE624,26),0)</f>
        <v/>
      </c>
      <c r="AD624">
        <f>IFERROR(INDEX(PP_Grid[#Data],$DE624,27),0)</f>
        <v/>
      </c>
      <c r="AE624">
        <f>IFERROR(INDEX(PP_Grid[#Data],$DE624,28),0)</f>
        <v/>
      </c>
      <c r="AF624">
        <f>IFERROR(INDEX(PP_Grid[#Data],$DE624,29),0)</f>
        <v/>
      </c>
      <c r="AG624">
        <f>IFERROR(INDEX(PP_Grid[#Data],$DE624,30),0)</f>
        <v/>
      </c>
      <c r="AH624">
        <f>IFERROR(INDEX(PP_Grid[#Data],$DE624,31),0)</f>
        <v/>
      </c>
      <c r="AI624">
        <f>IFERROR(INDEX(PP_Grid[#Data],$DE624,32),0)</f>
        <v/>
      </c>
      <c r="AJ624">
        <f>IFERROR(INDEX(PP_Grid[#Data],$DE624,33),0)</f>
        <v/>
      </c>
      <c r="AK624">
        <f>IFERROR(INDEX(PP_Grid[#Data],$DE624,34),0)</f>
        <v/>
      </c>
      <c r="AL624">
        <f>IFERROR(INDEX(PP_Grid[#Data],$DE624,35),0)</f>
        <v/>
      </c>
      <c r="AM624">
        <f>IFERROR(INDEX(PP_Grid[#Data],$DE624,36),0)</f>
        <v/>
      </c>
      <c r="AN624">
        <f>IFERROR(INDEX(PP_Grid[#Data],$DE624,37),0)</f>
        <v/>
      </c>
      <c r="AO624">
        <f>IFERROR(INDEX(PP_Grid[#Data],$DE624,38),0)</f>
        <v/>
      </c>
      <c r="AP624">
        <f>IFERROR(INDEX(PP_Grid[#Data],$DE624,39),0)</f>
        <v/>
      </c>
      <c r="AQ624">
        <f>IFERROR(INDEX(PP_Grid[#Data],$DE624,40),0)</f>
        <v/>
      </c>
      <c r="AR624">
        <f>IFERROR(INDEX(PP_Grid[#Data],$DE624,41),0)</f>
        <v/>
      </c>
      <c r="AS624">
        <f>IFERROR(INDEX(PP_Grid[#Data],$DE624,42),0)</f>
        <v/>
      </c>
      <c r="AT624">
        <f>IFERROR(INDEX(PP_Grid[#Data],$DE624,43),0)</f>
        <v/>
      </c>
      <c r="AU624">
        <f>IFERROR(INDEX(PP_Grid[#Data],$DE624,44),0)</f>
        <v/>
      </c>
      <c r="AV624">
        <f>IFERROR(INDEX(PP_Grid[#Data],$DE624,45),0)</f>
        <v/>
      </c>
      <c r="AW624">
        <f>IFERROR(INDEX(PP_Grid[#Data],$DE624,46),0)</f>
        <v/>
      </c>
      <c r="AX624">
        <f>IFERROR(INDEX(PP_Grid[#Data],$DE624,47),0)</f>
        <v/>
      </c>
      <c r="AY624">
        <f>IFERROR(INDEX(PP_Grid[#Data],$DE624,48),0)</f>
        <v/>
      </c>
      <c r="AZ624">
        <f>IFERROR(INDEX(PP_Grid[#Data],$DE624,49),0)</f>
        <v/>
      </c>
      <c r="BA624">
        <f>IFERROR(INDEX(PP_Grid[#Data],$DE624,50),0)</f>
        <v/>
      </c>
      <c r="BB624">
        <f>IFERROR(INDEX(PP_Grid[#Data],$DE624,51),0)</f>
        <v/>
      </c>
      <c r="BC624">
        <f>IFERROR(INDEX(PP_Grid[#Data],$DE624,52),0)</f>
        <v/>
      </c>
      <c r="BD624">
        <f>IFERROR(INDEX(PP_Grid[#Data],$DE624,53),0)</f>
        <v/>
      </c>
      <c r="BE624">
        <f>IFERROR(INDEX(PP_Grid[#Data],$DE624,54),0)</f>
        <v/>
      </c>
      <c r="BF624">
        <f>IFERROR(INDEX(PP_Grid[#Data],$DE624,55),0)</f>
        <v/>
      </c>
      <c r="BG624">
        <f>IFERROR(INDEX(PP_Grid[#Data],$DE624,56),0)</f>
        <v/>
      </c>
      <c r="BH624">
        <f>IFERROR(INDEX(PP_Grid[#Data],$DE624,57),0)</f>
        <v/>
      </c>
      <c r="BI624">
        <f>IFERROR(INDEX(PP_Grid[#Data],$DE624,58),0)</f>
        <v/>
      </c>
      <c r="BJ624">
        <f>IFERROR(INDEX(PP_Grid[#Data],$DE624,59),0)</f>
        <v/>
      </c>
      <c r="BK624">
        <f>IFERROR(INDEX(PP_Grid[#Data],$DE624,60),0)</f>
        <v/>
      </c>
      <c r="BL624">
        <f>IFERROR(INDEX(PP_Grid[#Data],$DE624,61),0)</f>
        <v/>
      </c>
      <c r="BM624">
        <f>IFERROR(INDEX(PP_Grid[#Data],$DE624,62),0)</f>
        <v/>
      </c>
      <c r="BN624">
        <f>IFERROR(INDEX(PP_Grid[#Data],$DE624,63),0)</f>
        <v/>
      </c>
      <c r="BO624">
        <f>IFERROR(INDEX(PP_Grid[#Data],$DE624,64),0)</f>
        <v/>
      </c>
      <c r="BP624">
        <f>IFERROR(INDEX(PP_Grid[#Data],$DE624,65),0)</f>
        <v/>
      </c>
      <c r="BQ624">
        <f>IFERROR(INDEX(PP_Grid[#Data],$DE624,66),0)</f>
        <v/>
      </c>
      <c r="BR624">
        <f>IFERROR(INDEX(PP_Grid[#Data],$DE624,67),0)</f>
        <v/>
      </c>
      <c r="BS624">
        <f>IFERROR(INDEX(PP_Grid[#Data],$DE624,68),0)</f>
        <v/>
      </c>
      <c r="BT624">
        <f>IFERROR(INDEX(PP_Grid[#Data],$DE624,69),0)</f>
        <v/>
      </c>
      <c r="BU624">
        <f>IFERROR(INDEX(PP_Grid[#Data],$DE624,70),0)</f>
        <v/>
      </c>
      <c r="BV624">
        <f>IFERROR(INDEX(PP_Grid[#Data],$DE624,71),0)</f>
        <v/>
      </c>
      <c r="BW624">
        <f>IFERROR(INDEX(PP_Grid[#Data],$DE624,72),0)</f>
        <v/>
      </c>
      <c r="BX624">
        <f>IFERROR(INDEX(PP_Grid[#Data],$DE624,73),0)</f>
        <v/>
      </c>
      <c r="BY624">
        <f>IFERROR(INDEX(PP_Grid[#Data],$DE624,74),0)</f>
        <v/>
      </c>
      <c r="BZ624">
        <f>IFERROR(INDEX(PP_Grid[#Data],$DE624,75),0)</f>
        <v/>
      </c>
      <c r="CA624">
        <f>IFERROR(INDEX(PP_Grid[#Data],$DE624,76),0)</f>
        <v/>
      </c>
      <c r="CB624">
        <f>IFERROR(INDEX(PP_Grid[#Data],$DE624,77),0)</f>
        <v/>
      </c>
      <c r="CC624">
        <f>IFERROR(INDEX(PP_Grid[#Data],$DE624,78),0)</f>
        <v/>
      </c>
      <c r="CD624">
        <f>IFERROR(INDEX(PP_Grid[#Data],$DE624,79),0)</f>
        <v/>
      </c>
      <c r="CE624">
        <f>IFERROR(INDEX(PP_Grid[#Data],$DE624,80),0)</f>
        <v/>
      </c>
      <c r="CF624">
        <f>IFERROR(INDEX(PP_Grid[#Data],$DE624,81),0)</f>
        <v/>
      </c>
      <c r="CG624">
        <f>IFERROR(INDEX(PP_Grid[#Data],$DE624,82),0)</f>
        <v/>
      </c>
      <c r="CH624">
        <f>IFERROR(INDEX(PP_Grid[#Data],$DE624,83),0)</f>
        <v/>
      </c>
      <c r="CI624">
        <f>IFERROR(INDEX(PP_Grid[#Data],$DE624,84),0)</f>
        <v/>
      </c>
      <c r="CJ624">
        <f>IFERROR(INDEX(PP_Grid[#Data],$DE624,85),0)</f>
        <v/>
      </c>
      <c r="CK624">
        <f>IFERROR(INDEX(PP_Grid[#Data],$DE624,86),0)</f>
        <v/>
      </c>
      <c r="CL624">
        <f>IFERROR(INDEX(PP_Grid[#Data],$DE624,87),0)</f>
        <v/>
      </c>
      <c r="CM624">
        <f>IFERROR(INDEX(PP_Grid[#Data],$DE624,88),0)</f>
        <v/>
      </c>
      <c r="CN624">
        <f>IFERROR(INDEX(PP_Grid[#Data],$DE624,89),0)</f>
        <v/>
      </c>
      <c r="CO624">
        <f>IFERROR(INDEX(PP_Grid[#Data],$DE624,90),0)</f>
        <v/>
      </c>
      <c r="CP624">
        <f>IFERROR(INDEX(PP_Grid[#Data],$DE624,91),0)</f>
        <v/>
      </c>
      <c r="CQ624">
        <f>IFERROR(INDEX(PP_Grid[#Data],$DE624,92),0)</f>
        <v/>
      </c>
      <c r="CR624">
        <f>IFERROR(INDEX(PP_Grid[#Data],$DE624,93),0)</f>
        <v/>
      </c>
      <c r="CS624">
        <f>IFERROR(INDEX(PP_Grid[#Data],$DE624,94),0)</f>
        <v/>
      </c>
      <c r="CT624">
        <f>IFERROR(INDEX(PP_Grid[#Data],$DE624,95),0)</f>
        <v/>
      </c>
      <c r="CU624">
        <f>IFERROR(INDEX(PP_Grid[#Data],$DE624,96),0)</f>
        <v/>
      </c>
      <c r="CV624">
        <f>IFERROR(INDEX(PP_Grid[#Data],$DE624,97),0)</f>
        <v/>
      </c>
      <c r="CW624">
        <f>IFERROR(INDEX(PP_Grid[#Data],$DE624,98),0)</f>
        <v/>
      </c>
      <c r="CX624">
        <f>IFERROR(INDEX(PP_Grid[#Data],$DE624,99),0)</f>
        <v/>
      </c>
      <c r="CY624">
        <f>IFERROR(INDEX(PP_Grid[#Data],$DE624,100),0)</f>
        <v/>
      </c>
      <c r="CZ624">
        <f>IFERROR(INDEX(PP_Grid[#Data],$DE624,101),0)</f>
        <v/>
      </c>
      <c r="DA624">
        <f>IFERROR(INDEX(PP_Grid[#Data],$DE624,102),0)</f>
        <v/>
      </c>
      <c r="DB624">
        <f>IFERROR(INDEX(PP_Grid[#Data],$DE624,103),0)</f>
        <v/>
      </c>
      <c r="DC624">
        <f>IFERROR(INDEX(PP_Grid[#Data],$DE624,104),0)</f>
        <v/>
      </c>
      <c r="DD624">
        <f>IFERROR(INDEX(PP_Grid[#Data],$DE624,105),0)</f>
        <v/>
      </c>
      <c r="DE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SUMIFS(M_BOM[RM_Qty_Per_Batch],M_BOM[Intermediate],$B624,M_BOM[RM_Code],$A515)</f>
        <v/>
      </c>
      <c r="D625">
        <f>IFERROR(INDEX(E625:DD625,$F$1),"")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  <c r="DD625">
        <f>$C625*DD624</f>
        <v/>
      </c>
    </row>
    <row r="626">
      <c r="B626" t="inlineStr">
        <is>
          <t>VSZ-745</t>
        </is>
      </c>
      <c r="C626" t="inlineStr">
        <is>
          <t>No. of batches</t>
        </is>
      </c>
      <c r="D626">
        <f>IFERROR(INDEX(E626:DD626,$F$1),"")</f>
        <v/>
      </c>
      <c r="E626">
        <f>IFERROR(INDEX(PP_Grid[#Data],$DE626,2),0)</f>
        <v/>
      </c>
      <c r="F626">
        <f>IFERROR(INDEX(PP_Grid[#Data],$DE626,3),0)</f>
        <v/>
      </c>
      <c r="G626">
        <f>IFERROR(INDEX(PP_Grid[#Data],$DE626,4),0)</f>
        <v/>
      </c>
      <c r="H626">
        <f>IFERROR(INDEX(PP_Grid[#Data],$DE626,5),0)</f>
        <v/>
      </c>
      <c r="I626">
        <f>IFERROR(INDEX(PP_Grid[#Data],$DE626,6),0)</f>
        <v/>
      </c>
      <c r="J626">
        <f>IFERROR(INDEX(PP_Grid[#Data],$DE626,7),0)</f>
        <v/>
      </c>
      <c r="K626">
        <f>IFERROR(INDEX(PP_Grid[#Data],$DE626,8),0)</f>
        <v/>
      </c>
      <c r="L626">
        <f>IFERROR(INDEX(PP_Grid[#Data],$DE626,9),0)</f>
        <v/>
      </c>
      <c r="M626">
        <f>IFERROR(INDEX(PP_Grid[#Data],$DE626,10),0)</f>
        <v/>
      </c>
      <c r="N626">
        <f>IFERROR(INDEX(PP_Grid[#Data],$DE626,11),0)</f>
        <v/>
      </c>
      <c r="O626">
        <f>IFERROR(INDEX(PP_Grid[#Data],$DE626,12),0)</f>
        <v/>
      </c>
      <c r="P626">
        <f>IFERROR(INDEX(PP_Grid[#Data],$DE626,13),0)</f>
        <v/>
      </c>
      <c r="Q626">
        <f>IFERROR(INDEX(PP_Grid[#Data],$DE626,14),0)</f>
        <v/>
      </c>
      <c r="R626">
        <f>IFERROR(INDEX(PP_Grid[#Data],$DE626,15),0)</f>
        <v/>
      </c>
      <c r="S626">
        <f>IFERROR(INDEX(PP_Grid[#Data],$DE626,16),0)</f>
        <v/>
      </c>
      <c r="T626">
        <f>IFERROR(INDEX(PP_Grid[#Data],$DE626,17),0)</f>
        <v/>
      </c>
      <c r="U626">
        <f>IFERROR(INDEX(PP_Grid[#Data],$DE626,18),0)</f>
        <v/>
      </c>
      <c r="V626">
        <f>IFERROR(INDEX(PP_Grid[#Data],$DE626,19),0)</f>
        <v/>
      </c>
      <c r="W626">
        <f>IFERROR(INDEX(PP_Grid[#Data],$DE626,20),0)</f>
        <v/>
      </c>
      <c r="X626">
        <f>IFERROR(INDEX(PP_Grid[#Data],$DE626,21),0)</f>
        <v/>
      </c>
      <c r="Y626">
        <f>IFERROR(INDEX(PP_Grid[#Data],$DE626,22),0)</f>
        <v/>
      </c>
      <c r="Z626">
        <f>IFERROR(INDEX(PP_Grid[#Data],$DE626,23),0)</f>
        <v/>
      </c>
      <c r="AA626">
        <f>IFERROR(INDEX(PP_Grid[#Data],$DE626,24),0)</f>
        <v/>
      </c>
      <c r="AB626">
        <f>IFERROR(INDEX(PP_Grid[#Data],$DE626,25),0)</f>
        <v/>
      </c>
      <c r="AC626">
        <f>IFERROR(INDEX(PP_Grid[#Data],$DE626,26),0)</f>
        <v/>
      </c>
      <c r="AD626">
        <f>IFERROR(INDEX(PP_Grid[#Data],$DE626,27),0)</f>
        <v/>
      </c>
      <c r="AE626">
        <f>IFERROR(INDEX(PP_Grid[#Data],$DE626,28),0)</f>
        <v/>
      </c>
      <c r="AF626">
        <f>IFERROR(INDEX(PP_Grid[#Data],$DE626,29),0)</f>
        <v/>
      </c>
      <c r="AG626">
        <f>IFERROR(INDEX(PP_Grid[#Data],$DE626,30),0)</f>
        <v/>
      </c>
      <c r="AH626">
        <f>IFERROR(INDEX(PP_Grid[#Data],$DE626,31),0)</f>
        <v/>
      </c>
      <c r="AI626">
        <f>IFERROR(INDEX(PP_Grid[#Data],$DE626,32),0)</f>
        <v/>
      </c>
      <c r="AJ626">
        <f>IFERROR(INDEX(PP_Grid[#Data],$DE626,33),0)</f>
        <v/>
      </c>
      <c r="AK626">
        <f>IFERROR(INDEX(PP_Grid[#Data],$DE626,34),0)</f>
        <v/>
      </c>
      <c r="AL626">
        <f>IFERROR(INDEX(PP_Grid[#Data],$DE626,35),0)</f>
        <v/>
      </c>
      <c r="AM626">
        <f>IFERROR(INDEX(PP_Grid[#Data],$DE626,36),0)</f>
        <v/>
      </c>
      <c r="AN626">
        <f>IFERROR(INDEX(PP_Grid[#Data],$DE626,37),0)</f>
        <v/>
      </c>
      <c r="AO626">
        <f>IFERROR(INDEX(PP_Grid[#Data],$DE626,38),0)</f>
        <v/>
      </c>
      <c r="AP626">
        <f>IFERROR(INDEX(PP_Grid[#Data],$DE626,39),0)</f>
        <v/>
      </c>
      <c r="AQ626">
        <f>IFERROR(INDEX(PP_Grid[#Data],$DE626,40),0)</f>
        <v/>
      </c>
      <c r="AR626">
        <f>IFERROR(INDEX(PP_Grid[#Data],$DE626,41),0)</f>
        <v/>
      </c>
      <c r="AS626">
        <f>IFERROR(INDEX(PP_Grid[#Data],$DE626,42),0)</f>
        <v/>
      </c>
      <c r="AT626">
        <f>IFERROR(INDEX(PP_Grid[#Data],$DE626,43),0)</f>
        <v/>
      </c>
      <c r="AU626">
        <f>IFERROR(INDEX(PP_Grid[#Data],$DE626,44),0)</f>
        <v/>
      </c>
      <c r="AV626">
        <f>IFERROR(INDEX(PP_Grid[#Data],$DE626,45),0)</f>
        <v/>
      </c>
      <c r="AW626">
        <f>IFERROR(INDEX(PP_Grid[#Data],$DE626,46),0)</f>
        <v/>
      </c>
      <c r="AX626">
        <f>IFERROR(INDEX(PP_Grid[#Data],$DE626,47),0)</f>
        <v/>
      </c>
      <c r="AY626">
        <f>IFERROR(INDEX(PP_Grid[#Data],$DE626,48),0)</f>
        <v/>
      </c>
      <c r="AZ626">
        <f>IFERROR(INDEX(PP_Grid[#Data],$DE626,49),0)</f>
        <v/>
      </c>
      <c r="BA626">
        <f>IFERROR(INDEX(PP_Grid[#Data],$DE626,50),0)</f>
        <v/>
      </c>
      <c r="BB626">
        <f>IFERROR(INDEX(PP_Grid[#Data],$DE626,51),0)</f>
        <v/>
      </c>
      <c r="BC626">
        <f>IFERROR(INDEX(PP_Grid[#Data],$DE626,52),0)</f>
        <v/>
      </c>
      <c r="BD626">
        <f>IFERROR(INDEX(PP_Grid[#Data],$DE626,53),0)</f>
        <v/>
      </c>
      <c r="BE626">
        <f>IFERROR(INDEX(PP_Grid[#Data],$DE626,54),0)</f>
        <v/>
      </c>
      <c r="BF626">
        <f>IFERROR(INDEX(PP_Grid[#Data],$DE626,55),0)</f>
        <v/>
      </c>
      <c r="BG626">
        <f>IFERROR(INDEX(PP_Grid[#Data],$DE626,56),0)</f>
        <v/>
      </c>
      <c r="BH626">
        <f>IFERROR(INDEX(PP_Grid[#Data],$DE626,57),0)</f>
        <v/>
      </c>
      <c r="BI626">
        <f>IFERROR(INDEX(PP_Grid[#Data],$DE626,58),0)</f>
        <v/>
      </c>
      <c r="BJ626">
        <f>IFERROR(INDEX(PP_Grid[#Data],$DE626,59),0)</f>
        <v/>
      </c>
      <c r="BK626">
        <f>IFERROR(INDEX(PP_Grid[#Data],$DE626,60),0)</f>
        <v/>
      </c>
      <c r="BL626">
        <f>IFERROR(INDEX(PP_Grid[#Data],$DE626,61),0)</f>
        <v/>
      </c>
      <c r="BM626">
        <f>IFERROR(INDEX(PP_Grid[#Data],$DE626,62),0)</f>
        <v/>
      </c>
      <c r="BN626">
        <f>IFERROR(INDEX(PP_Grid[#Data],$DE626,63),0)</f>
        <v/>
      </c>
      <c r="BO626">
        <f>IFERROR(INDEX(PP_Grid[#Data],$DE626,64),0)</f>
        <v/>
      </c>
      <c r="BP626">
        <f>IFERROR(INDEX(PP_Grid[#Data],$DE626,65),0)</f>
        <v/>
      </c>
      <c r="BQ626">
        <f>IFERROR(INDEX(PP_Grid[#Data],$DE626,66),0)</f>
        <v/>
      </c>
      <c r="BR626">
        <f>IFERROR(INDEX(PP_Grid[#Data],$DE626,67),0)</f>
        <v/>
      </c>
      <c r="BS626">
        <f>IFERROR(INDEX(PP_Grid[#Data],$DE626,68),0)</f>
        <v/>
      </c>
      <c r="BT626">
        <f>IFERROR(INDEX(PP_Grid[#Data],$DE626,69),0)</f>
        <v/>
      </c>
      <c r="BU626">
        <f>IFERROR(INDEX(PP_Grid[#Data],$DE626,70),0)</f>
        <v/>
      </c>
      <c r="BV626">
        <f>IFERROR(INDEX(PP_Grid[#Data],$DE626,71),0)</f>
        <v/>
      </c>
      <c r="BW626">
        <f>IFERROR(INDEX(PP_Grid[#Data],$DE626,72),0)</f>
        <v/>
      </c>
      <c r="BX626">
        <f>IFERROR(INDEX(PP_Grid[#Data],$DE626,73),0)</f>
        <v/>
      </c>
      <c r="BY626">
        <f>IFERROR(INDEX(PP_Grid[#Data],$DE626,74),0)</f>
        <v/>
      </c>
      <c r="BZ626">
        <f>IFERROR(INDEX(PP_Grid[#Data],$DE626,75),0)</f>
        <v/>
      </c>
      <c r="CA626">
        <f>IFERROR(INDEX(PP_Grid[#Data],$DE626,76),0)</f>
        <v/>
      </c>
      <c r="CB626">
        <f>IFERROR(INDEX(PP_Grid[#Data],$DE626,77),0)</f>
        <v/>
      </c>
      <c r="CC626">
        <f>IFERROR(INDEX(PP_Grid[#Data],$DE626,78),0)</f>
        <v/>
      </c>
      <c r="CD626">
        <f>IFERROR(INDEX(PP_Grid[#Data],$DE626,79),0)</f>
        <v/>
      </c>
      <c r="CE626">
        <f>IFERROR(INDEX(PP_Grid[#Data],$DE626,80),0)</f>
        <v/>
      </c>
      <c r="CF626">
        <f>IFERROR(INDEX(PP_Grid[#Data],$DE626,81),0)</f>
        <v/>
      </c>
      <c r="CG626">
        <f>IFERROR(INDEX(PP_Grid[#Data],$DE626,82),0)</f>
        <v/>
      </c>
      <c r="CH626">
        <f>IFERROR(INDEX(PP_Grid[#Data],$DE626,83),0)</f>
        <v/>
      </c>
      <c r="CI626">
        <f>IFERROR(INDEX(PP_Grid[#Data],$DE626,84),0)</f>
        <v/>
      </c>
      <c r="CJ626">
        <f>IFERROR(INDEX(PP_Grid[#Data],$DE626,85),0)</f>
        <v/>
      </c>
      <c r="CK626">
        <f>IFERROR(INDEX(PP_Grid[#Data],$DE626,86),0)</f>
        <v/>
      </c>
      <c r="CL626">
        <f>IFERROR(INDEX(PP_Grid[#Data],$DE626,87),0)</f>
        <v/>
      </c>
      <c r="CM626">
        <f>IFERROR(INDEX(PP_Grid[#Data],$DE626,88),0)</f>
        <v/>
      </c>
      <c r="CN626">
        <f>IFERROR(INDEX(PP_Grid[#Data],$DE626,89),0)</f>
        <v/>
      </c>
      <c r="CO626">
        <f>IFERROR(INDEX(PP_Grid[#Data],$DE626,90),0)</f>
        <v/>
      </c>
      <c r="CP626">
        <f>IFERROR(INDEX(PP_Grid[#Data],$DE626,91),0)</f>
        <v/>
      </c>
      <c r="CQ626">
        <f>IFERROR(INDEX(PP_Grid[#Data],$DE626,92),0)</f>
        <v/>
      </c>
      <c r="CR626">
        <f>IFERROR(INDEX(PP_Grid[#Data],$DE626,93),0)</f>
        <v/>
      </c>
      <c r="CS626">
        <f>IFERROR(INDEX(PP_Grid[#Data],$DE626,94),0)</f>
        <v/>
      </c>
      <c r="CT626">
        <f>IFERROR(INDEX(PP_Grid[#Data],$DE626,95),0)</f>
        <v/>
      </c>
      <c r="CU626">
        <f>IFERROR(INDEX(PP_Grid[#Data],$DE626,96),0)</f>
        <v/>
      </c>
      <c r="CV626">
        <f>IFERROR(INDEX(PP_Grid[#Data],$DE626,97),0)</f>
        <v/>
      </c>
      <c r="CW626">
        <f>IFERROR(INDEX(PP_Grid[#Data],$DE626,98),0)</f>
        <v/>
      </c>
      <c r="CX626">
        <f>IFERROR(INDEX(PP_Grid[#Data],$DE626,99),0)</f>
        <v/>
      </c>
      <c r="CY626">
        <f>IFERROR(INDEX(PP_Grid[#Data],$DE626,100),0)</f>
        <v/>
      </c>
      <c r="CZ626">
        <f>IFERROR(INDEX(PP_Grid[#Data],$DE626,101),0)</f>
        <v/>
      </c>
      <c r="DA626">
        <f>IFERROR(INDEX(PP_Grid[#Data],$DE626,102),0)</f>
        <v/>
      </c>
      <c r="DB626">
        <f>IFERROR(INDEX(PP_Grid[#Data],$DE626,103),0)</f>
        <v/>
      </c>
      <c r="DC626">
        <f>IFERROR(INDEX(PP_Grid[#Data],$DE626,104),0)</f>
        <v/>
      </c>
      <c r="DD626">
        <f>IFERROR(INDEX(PP_Grid[#Data],$DE626,105),0)</f>
        <v/>
      </c>
      <c r="DE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SUMIFS(M_BOM[RM_Qty_Per_Batch],M_BOM[Intermediate],$B626,M_BOM[RM_Code],$A515)</f>
        <v/>
      </c>
      <c r="D627">
        <f>IFERROR(INDEX(E627:DD627,$F$1),"")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  <c r="DD627">
        <f>$C627*DD626</f>
        <v/>
      </c>
    </row>
    <row r="628">
      <c r="B628" t="inlineStr">
        <is>
          <t>TSP-1558</t>
        </is>
      </c>
      <c r="C628" t="inlineStr">
        <is>
          <t>No. of batches</t>
        </is>
      </c>
      <c r="D628">
        <f>IFERROR(INDEX(E628:DD628,$F$1),"")</f>
        <v/>
      </c>
      <c r="E628">
        <f>IFERROR(INDEX(PP_Grid[#Data],$DE628,2),0)</f>
        <v/>
      </c>
      <c r="F628">
        <f>IFERROR(INDEX(PP_Grid[#Data],$DE628,3),0)</f>
        <v/>
      </c>
      <c r="G628">
        <f>IFERROR(INDEX(PP_Grid[#Data],$DE628,4),0)</f>
        <v/>
      </c>
      <c r="H628">
        <f>IFERROR(INDEX(PP_Grid[#Data],$DE628,5),0)</f>
        <v/>
      </c>
      <c r="I628">
        <f>IFERROR(INDEX(PP_Grid[#Data],$DE628,6),0)</f>
        <v/>
      </c>
      <c r="J628">
        <f>IFERROR(INDEX(PP_Grid[#Data],$DE628,7),0)</f>
        <v/>
      </c>
      <c r="K628">
        <f>IFERROR(INDEX(PP_Grid[#Data],$DE628,8),0)</f>
        <v/>
      </c>
      <c r="L628">
        <f>IFERROR(INDEX(PP_Grid[#Data],$DE628,9),0)</f>
        <v/>
      </c>
      <c r="M628">
        <f>IFERROR(INDEX(PP_Grid[#Data],$DE628,10),0)</f>
        <v/>
      </c>
      <c r="N628">
        <f>IFERROR(INDEX(PP_Grid[#Data],$DE628,11),0)</f>
        <v/>
      </c>
      <c r="O628">
        <f>IFERROR(INDEX(PP_Grid[#Data],$DE628,12),0)</f>
        <v/>
      </c>
      <c r="P628">
        <f>IFERROR(INDEX(PP_Grid[#Data],$DE628,13),0)</f>
        <v/>
      </c>
      <c r="Q628">
        <f>IFERROR(INDEX(PP_Grid[#Data],$DE628,14),0)</f>
        <v/>
      </c>
      <c r="R628">
        <f>IFERROR(INDEX(PP_Grid[#Data],$DE628,15),0)</f>
        <v/>
      </c>
      <c r="S628">
        <f>IFERROR(INDEX(PP_Grid[#Data],$DE628,16),0)</f>
        <v/>
      </c>
      <c r="T628">
        <f>IFERROR(INDEX(PP_Grid[#Data],$DE628,17),0)</f>
        <v/>
      </c>
      <c r="U628">
        <f>IFERROR(INDEX(PP_Grid[#Data],$DE628,18),0)</f>
        <v/>
      </c>
      <c r="V628">
        <f>IFERROR(INDEX(PP_Grid[#Data],$DE628,19),0)</f>
        <v/>
      </c>
      <c r="W628">
        <f>IFERROR(INDEX(PP_Grid[#Data],$DE628,20),0)</f>
        <v/>
      </c>
      <c r="X628">
        <f>IFERROR(INDEX(PP_Grid[#Data],$DE628,21),0)</f>
        <v/>
      </c>
      <c r="Y628">
        <f>IFERROR(INDEX(PP_Grid[#Data],$DE628,22),0)</f>
        <v/>
      </c>
      <c r="Z628">
        <f>IFERROR(INDEX(PP_Grid[#Data],$DE628,23),0)</f>
        <v/>
      </c>
      <c r="AA628">
        <f>IFERROR(INDEX(PP_Grid[#Data],$DE628,24),0)</f>
        <v/>
      </c>
      <c r="AB628">
        <f>IFERROR(INDEX(PP_Grid[#Data],$DE628,25),0)</f>
        <v/>
      </c>
      <c r="AC628">
        <f>IFERROR(INDEX(PP_Grid[#Data],$DE628,26),0)</f>
        <v/>
      </c>
      <c r="AD628">
        <f>IFERROR(INDEX(PP_Grid[#Data],$DE628,27),0)</f>
        <v/>
      </c>
      <c r="AE628">
        <f>IFERROR(INDEX(PP_Grid[#Data],$DE628,28),0)</f>
        <v/>
      </c>
      <c r="AF628">
        <f>IFERROR(INDEX(PP_Grid[#Data],$DE628,29),0)</f>
        <v/>
      </c>
      <c r="AG628">
        <f>IFERROR(INDEX(PP_Grid[#Data],$DE628,30),0)</f>
        <v/>
      </c>
      <c r="AH628">
        <f>IFERROR(INDEX(PP_Grid[#Data],$DE628,31),0)</f>
        <v/>
      </c>
      <c r="AI628">
        <f>IFERROR(INDEX(PP_Grid[#Data],$DE628,32),0)</f>
        <v/>
      </c>
      <c r="AJ628">
        <f>IFERROR(INDEX(PP_Grid[#Data],$DE628,33),0)</f>
        <v/>
      </c>
      <c r="AK628">
        <f>IFERROR(INDEX(PP_Grid[#Data],$DE628,34),0)</f>
        <v/>
      </c>
      <c r="AL628">
        <f>IFERROR(INDEX(PP_Grid[#Data],$DE628,35),0)</f>
        <v/>
      </c>
      <c r="AM628">
        <f>IFERROR(INDEX(PP_Grid[#Data],$DE628,36),0)</f>
        <v/>
      </c>
      <c r="AN628">
        <f>IFERROR(INDEX(PP_Grid[#Data],$DE628,37),0)</f>
        <v/>
      </c>
      <c r="AO628">
        <f>IFERROR(INDEX(PP_Grid[#Data],$DE628,38),0)</f>
        <v/>
      </c>
      <c r="AP628">
        <f>IFERROR(INDEX(PP_Grid[#Data],$DE628,39),0)</f>
        <v/>
      </c>
      <c r="AQ628">
        <f>IFERROR(INDEX(PP_Grid[#Data],$DE628,40),0)</f>
        <v/>
      </c>
      <c r="AR628">
        <f>IFERROR(INDEX(PP_Grid[#Data],$DE628,41),0)</f>
        <v/>
      </c>
      <c r="AS628">
        <f>IFERROR(INDEX(PP_Grid[#Data],$DE628,42),0)</f>
        <v/>
      </c>
      <c r="AT628">
        <f>IFERROR(INDEX(PP_Grid[#Data],$DE628,43),0)</f>
        <v/>
      </c>
      <c r="AU628">
        <f>IFERROR(INDEX(PP_Grid[#Data],$DE628,44),0)</f>
        <v/>
      </c>
      <c r="AV628">
        <f>IFERROR(INDEX(PP_Grid[#Data],$DE628,45),0)</f>
        <v/>
      </c>
      <c r="AW628">
        <f>IFERROR(INDEX(PP_Grid[#Data],$DE628,46),0)</f>
        <v/>
      </c>
      <c r="AX628">
        <f>IFERROR(INDEX(PP_Grid[#Data],$DE628,47),0)</f>
        <v/>
      </c>
      <c r="AY628">
        <f>IFERROR(INDEX(PP_Grid[#Data],$DE628,48),0)</f>
        <v/>
      </c>
      <c r="AZ628">
        <f>IFERROR(INDEX(PP_Grid[#Data],$DE628,49),0)</f>
        <v/>
      </c>
      <c r="BA628">
        <f>IFERROR(INDEX(PP_Grid[#Data],$DE628,50),0)</f>
        <v/>
      </c>
      <c r="BB628">
        <f>IFERROR(INDEX(PP_Grid[#Data],$DE628,51),0)</f>
        <v/>
      </c>
      <c r="BC628">
        <f>IFERROR(INDEX(PP_Grid[#Data],$DE628,52),0)</f>
        <v/>
      </c>
      <c r="BD628">
        <f>IFERROR(INDEX(PP_Grid[#Data],$DE628,53),0)</f>
        <v/>
      </c>
      <c r="BE628">
        <f>IFERROR(INDEX(PP_Grid[#Data],$DE628,54),0)</f>
        <v/>
      </c>
      <c r="BF628">
        <f>IFERROR(INDEX(PP_Grid[#Data],$DE628,55),0)</f>
        <v/>
      </c>
      <c r="BG628">
        <f>IFERROR(INDEX(PP_Grid[#Data],$DE628,56),0)</f>
        <v/>
      </c>
      <c r="BH628">
        <f>IFERROR(INDEX(PP_Grid[#Data],$DE628,57),0)</f>
        <v/>
      </c>
      <c r="BI628">
        <f>IFERROR(INDEX(PP_Grid[#Data],$DE628,58),0)</f>
        <v/>
      </c>
      <c r="BJ628">
        <f>IFERROR(INDEX(PP_Grid[#Data],$DE628,59),0)</f>
        <v/>
      </c>
      <c r="BK628">
        <f>IFERROR(INDEX(PP_Grid[#Data],$DE628,60),0)</f>
        <v/>
      </c>
      <c r="BL628">
        <f>IFERROR(INDEX(PP_Grid[#Data],$DE628,61),0)</f>
        <v/>
      </c>
      <c r="BM628">
        <f>IFERROR(INDEX(PP_Grid[#Data],$DE628,62),0)</f>
        <v/>
      </c>
      <c r="BN628">
        <f>IFERROR(INDEX(PP_Grid[#Data],$DE628,63),0)</f>
        <v/>
      </c>
      <c r="BO628">
        <f>IFERROR(INDEX(PP_Grid[#Data],$DE628,64),0)</f>
        <v/>
      </c>
      <c r="BP628">
        <f>IFERROR(INDEX(PP_Grid[#Data],$DE628,65),0)</f>
        <v/>
      </c>
      <c r="BQ628">
        <f>IFERROR(INDEX(PP_Grid[#Data],$DE628,66),0)</f>
        <v/>
      </c>
      <c r="BR628">
        <f>IFERROR(INDEX(PP_Grid[#Data],$DE628,67),0)</f>
        <v/>
      </c>
      <c r="BS628">
        <f>IFERROR(INDEX(PP_Grid[#Data],$DE628,68),0)</f>
        <v/>
      </c>
      <c r="BT628">
        <f>IFERROR(INDEX(PP_Grid[#Data],$DE628,69),0)</f>
        <v/>
      </c>
      <c r="BU628">
        <f>IFERROR(INDEX(PP_Grid[#Data],$DE628,70),0)</f>
        <v/>
      </c>
      <c r="BV628">
        <f>IFERROR(INDEX(PP_Grid[#Data],$DE628,71),0)</f>
        <v/>
      </c>
      <c r="BW628">
        <f>IFERROR(INDEX(PP_Grid[#Data],$DE628,72),0)</f>
        <v/>
      </c>
      <c r="BX628">
        <f>IFERROR(INDEX(PP_Grid[#Data],$DE628,73),0)</f>
        <v/>
      </c>
      <c r="BY628">
        <f>IFERROR(INDEX(PP_Grid[#Data],$DE628,74),0)</f>
        <v/>
      </c>
      <c r="BZ628">
        <f>IFERROR(INDEX(PP_Grid[#Data],$DE628,75),0)</f>
        <v/>
      </c>
      <c r="CA628">
        <f>IFERROR(INDEX(PP_Grid[#Data],$DE628,76),0)</f>
        <v/>
      </c>
      <c r="CB628">
        <f>IFERROR(INDEX(PP_Grid[#Data],$DE628,77),0)</f>
        <v/>
      </c>
      <c r="CC628">
        <f>IFERROR(INDEX(PP_Grid[#Data],$DE628,78),0)</f>
        <v/>
      </c>
      <c r="CD628">
        <f>IFERROR(INDEX(PP_Grid[#Data],$DE628,79),0)</f>
        <v/>
      </c>
      <c r="CE628">
        <f>IFERROR(INDEX(PP_Grid[#Data],$DE628,80),0)</f>
        <v/>
      </c>
      <c r="CF628">
        <f>IFERROR(INDEX(PP_Grid[#Data],$DE628,81),0)</f>
        <v/>
      </c>
      <c r="CG628">
        <f>IFERROR(INDEX(PP_Grid[#Data],$DE628,82),0)</f>
        <v/>
      </c>
      <c r="CH628">
        <f>IFERROR(INDEX(PP_Grid[#Data],$DE628,83),0)</f>
        <v/>
      </c>
      <c r="CI628">
        <f>IFERROR(INDEX(PP_Grid[#Data],$DE628,84),0)</f>
        <v/>
      </c>
      <c r="CJ628">
        <f>IFERROR(INDEX(PP_Grid[#Data],$DE628,85),0)</f>
        <v/>
      </c>
      <c r="CK628">
        <f>IFERROR(INDEX(PP_Grid[#Data],$DE628,86),0)</f>
        <v/>
      </c>
      <c r="CL628">
        <f>IFERROR(INDEX(PP_Grid[#Data],$DE628,87),0)</f>
        <v/>
      </c>
      <c r="CM628">
        <f>IFERROR(INDEX(PP_Grid[#Data],$DE628,88),0)</f>
        <v/>
      </c>
      <c r="CN628">
        <f>IFERROR(INDEX(PP_Grid[#Data],$DE628,89),0)</f>
        <v/>
      </c>
      <c r="CO628">
        <f>IFERROR(INDEX(PP_Grid[#Data],$DE628,90),0)</f>
        <v/>
      </c>
      <c r="CP628">
        <f>IFERROR(INDEX(PP_Grid[#Data],$DE628,91),0)</f>
        <v/>
      </c>
      <c r="CQ628">
        <f>IFERROR(INDEX(PP_Grid[#Data],$DE628,92),0)</f>
        <v/>
      </c>
      <c r="CR628">
        <f>IFERROR(INDEX(PP_Grid[#Data],$DE628,93),0)</f>
        <v/>
      </c>
      <c r="CS628">
        <f>IFERROR(INDEX(PP_Grid[#Data],$DE628,94),0)</f>
        <v/>
      </c>
      <c r="CT628">
        <f>IFERROR(INDEX(PP_Grid[#Data],$DE628,95),0)</f>
        <v/>
      </c>
      <c r="CU628">
        <f>IFERROR(INDEX(PP_Grid[#Data],$DE628,96),0)</f>
        <v/>
      </c>
      <c r="CV628">
        <f>IFERROR(INDEX(PP_Grid[#Data],$DE628,97),0)</f>
        <v/>
      </c>
      <c r="CW628">
        <f>IFERROR(INDEX(PP_Grid[#Data],$DE628,98),0)</f>
        <v/>
      </c>
      <c r="CX628">
        <f>IFERROR(INDEX(PP_Grid[#Data],$DE628,99),0)</f>
        <v/>
      </c>
      <c r="CY628">
        <f>IFERROR(INDEX(PP_Grid[#Data],$DE628,100),0)</f>
        <v/>
      </c>
      <c r="CZ628">
        <f>IFERROR(INDEX(PP_Grid[#Data],$DE628,101),0)</f>
        <v/>
      </c>
      <c r="DA628">
        <f>IFERROR(INDEX(PP_Grid[#Data],$DE628,102),0)</f>
        <v/>
      </c>
      <c r="DB628">
        <f>IFERROR(INDEX(PP_Grid[#Data],$DE628,103),0)</f>
        <v/>
      </c>
      <c r="DC628">
        <f>IFERROR(INDEX(PP_Grid[#Data],$DE628,104),0)</f>
        <v/>
      </c>
      <c r="DD628">
        <f>IFERROR(INDEX(PP_Grid[#Data],$DE628,105),0)</f>
        <v/>
      </c>
      <c r="DE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SUMIFS(M_BOM[RM_Qty_Per_Batch],M_BOM[Intermediate],$B628,M_BOM[RM_Code],$A515)</f>
        <v/>
      </c>
      <c r="D629">
        <f>IFERROR(INDEX(E629:DD629,$F$1),"")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  <c r="DD629">
        <f>$C629*DD628</f>
        <v/>
      </c>
    </row>
    <row r="630">
      <c r="B630" s="4" t="inlineStr">
        <is>
          <t>合計使用量(kg)/週</t>
        </is>
      </c>
      <c r="D630" s="23">
        <f>IFERROR(INDEX(E630:DD630,$F$1),"")</f>
        <v/>
      </c>
      <c r="E630">
        <f>'Grid_Requirement'!B10</f>
        <v/>
      </c>
      <c r="F630">
        <f>'Grid_Requirement'!C10</f>
        <v/>
      </c>
      <c r="G630">
        <f>'Grid_Requirement'!D10</f>
        <v/>
      </c>
      <c r="H630">
        <f>'Grid_Requirement'!E10</f>
        <v/>
      </c>
      <c r="I630">
        <f>'Grid_Requirement'!F10</f>
        <v/>
      </c>
      <c r="J630">
        <f>'Grid_Requirement'!G10</f>
        <v/>
      </c>
      <c r="K630">
        <f>'Grid_Requirement'!H10</f>
        <v/>
      </c>
      <c r="L630">
        <f>'Grid_Requirement'!I10</f>
        <v/>
      </c>
      <c r="M630">
        <f>'Grid_Requirement'!J10</f>
        <v/>
      </c>
      <c r="N630">
        <f>'Grid_Requirement'!K10</f>
        <v/>
      </c>
      <c r="O630">
        <f>'Grid_Requirement'!L10</f>
        <v/>
      </c>
      <c r="P630">
        <f>'Grid_Requirement'!M10</f>
        <v/>
      </c>
      <c r="Q630">
        <f>'Grid_Requirement'!N10</f>
        <v/>
      </c>
      <c r="R630">
        <f>'Grid_Requirement'!O10</f>
        <v/>
      </c>
      <c r="S630">
        <f>'Grid_Requirement'!P10</f>
        <v/>
      </c>
      <c r="T630">
        <f>'Grid_Requirement'!Q10</f>
        <v/>
      </c>
      <c r="U630">
        <f>'Grid_Requirement'!R10</f>
        <v/>
      </c>
      <c r="V630">
        <f>'Grid_Requirement'!S10</f>
        <v/>
      </c>
      <c r="W630">
        <f>'Grid_Requirement'!T10</f>
        <v/>
      </c>
      <c r="X630">
        <f>'Grid_Requirement'!U10</f>
        <v/>
      </c>
      <c r="Y630">
        <f>'Grid_Requirement'!V10</f>
        <v/>
      </c>
      <c r="Z630">
        <f>'Grid_Requirement'!W10</f>
        <v/>
      </c>
      <c r="AA630">
        <f>'Grid_Requirement'!X10</f>
        <v/>
      </c>
      <c r="AB630">
        <f>'Grid_Requirement'!Y10</f>
        <v/>
      </c>
      <c r="AC630">
        <f>'Grid_Requirement'!Z10</f>
        <v/>
      </c>
      <c r="AD630">
        <f>'Grid_Requirement'!AA10</f>
        <v/>
      </c>
      <c r="AE630">
        <f>'Grid_Requirement'!AB10</f>
        <v/>
      </c>
      <c r="AF630">
        <f>'Grid_Requirement'!AC10</f>
        <v/>
      </c>
      <c r="AG630">
        <f>'Grid_Requirement'!AD10</f>
        <v/>
      </c>
      <c r="AH630">
        <f>'Grid_Requirement'!AE10</f>
        <v/>
      </c>
      <c r="AI630">
        <f>'Grid_Requirement'!AF10</f>
        <v/>
      </c>
      <c r="AJ630">
        <f>'Grid_Requirement'!AG10</f>
        <v/>
      </c>
      <c r="AK630">
        <f>'Grid_Requirement'!AH10</f>
        <v/>
      </c>
      <c r="AL630">
        <f>'Grid_Requirement'!AI10</f>
        <v/>
      </c>
      <c r="AM630">
        <f>'Grid_Requirement'!AJ10</f>
        <v/>
      </c>
      <c r="AN630">
        <f>'Grid_Requirement'!AK10</f>
        <v/>
      </c>
      <c r="AO630">
        <f>'Grid_Requirement'!AL10</f>
        <v/>
      </c>
      <c r="AP630">
        <f>'Grid_Requirement'!AM10</f>
        <v/>
      </c>
      <c r="AQ630">
        <f>'Grid_Requirement'!AN10</f>
        <v/>
      </c>
      <c r="AR630">
        <f>'Grid_Requirement'!AO10</f>
        <v/>
      </c>
      <c r="AS630">
        <f>'Grid_Requirement'!AP10</f>
        <v/>
      </c>
      <c r="AT630">
        <f>'Grid_Requirement'!AQ10</f>
        <v/>
      </c>
      <c r="AU630">
        <f>'Grid_Requirement'!AR10</f>
        <v/>
      </c>
      <c r="AV630">
        <f>'Grid_Requirement'!AS10</f>
        <v/>
      </c>
      <c r="AW630">
        <f>'Grid_Requirement'!AT10</f>
        <v/>
      </c>
      <c r="AX630">
        <f>'Grid_Requirement'!AU10</f>
        <v/>
      </c>
      <c r="AY630">
        <f>'Grid_Requirement'!AV10</f>
        <v/>
      </c>
      <c r="AZ630">
        <f>'Grid_Requirement'!AW10</f>
        <v/>
      </c>
      <c r="BA630">
        <f>'Grid_Requirement'!AX10</f>
        <v/>
      </c>
      <c r="BB630">
        <f>'Grid_Requirement'!AY10</f>
        <v/>
      </c>
      <c r="BC630">
        <f>'Grid_Requirement'!AZ10</f>
        <v/>
      </c>
      <c r="BD630">
        <f>'Grid_Requirement'!BA10</f>
        <v/>
      </c>
      <c r="BE630">
        <f>'Grid_Requirement'!BB10</f>
        <v/>
      </c>
      <c r="BF630">
        <f>'Grid_Requirement'!BC10</f>
        <v/>
      </c>
      <c r="BG630">
        <f>'Grid_Requirement'!BD10</f>
        <v/>
      </c>
      <c r="BH630">
        <f>'Grid_Requirement'!BE10</f>
        <v/>
      </c>
      <c r="BI630">
        <f>'Grid_Requirement'!BF10</f>
        <v/>
      </c>
      <c r="BJ630">
        <f>'Grid_Requirement'!BG10</f>
        <v/>
      </c>
      <c r="BK630">
        <f>'Grid_Requirement'!BH10</f>
        <v/>
      </c>
      <c r="BL630">
        <f>'Grid_Requirement'!BI10</f>
        <v/>
      </c>
      <c r="BM630">
        <f>'Grid_Requirement'!BJ10</f>
        <v/>
      </c>
      <c r="BN630">
        <f>'Grid_Requirement'!BK10</f>
        <v/>
      </c>
      <c r="BO630">
        <f>'Grid_Requirement'!BL10</f>
        <v/>
      </c>
      <c r="BP630">
        <f>'Grid_Requirement'!BM10</f>
        <v/>
      </c>
      <c r="BQ630">
        <f>'Grid_Requirement'!BN10</f>
        <v/>
      </c>
      <c r="BR630">
        <f>'Grid_Requirement'!BO10</f>
        <v/>
      </c>
      <c r="BS630">
        <f>'Grid_Requirement'!BP10</f>
        <v/>
      </c>
      <c r="BT630">
        <f>'Grid_Requirement'!BQ10</f>
        <v/>
      </c>
      <c r="BU630">
        <f>'Grid_Requirement'!BR10</f>
        <v/>
      </c>
      <c r="BV630">
        <f>'Grid_Requirement'!BS10</f>
        <v/>
      </c>
      <c r="BW630">
        <f>'Grid_Requirement'!BT10</f>
        <v/>
      </c>
      <c r="BX630">
        <f>'Grid_Requirement'!BU10</f>
        <v/>
      </c>
      <c r="BY630">
        <f>'Grid_Requirement'!BV10</f>
        <v/>
      </c>
      <c r="BZ630">
        <f>'Grid_Requirement'!BW10</f>
        <v/>
      </c>
      <c r="CA630">
        <f>'Grid_Requirement'!BX10</f>
        <v/>
      </c>
      <c r="CB630">
        <f>'Grid_Requirement'!BY10</f>
        <v/>
      </c>
      <c r="CC630">
        <f>'Grid_Requirement'!BZ10</f>
        <v/>
      </c>
      <c r="CD630">
        <f>'Grid_Requirement'!CA10</f>
        <v/>
      </c>
      <c r="CE630">
        <f>'Grid_Requirement'!CB10</f>
        <v/>
      </c>
      <c r="CF630">
        <f>'Grid_Requirement'!CC10</f>
        <v/>
      </c>
      <c r="CG630">
        <f>'Grid_Requirement'!CD10</f>
        <v/>
      </c>
      <c r="CH630">
        <f>'Grid_Requirement'!CE10</f>
        <v/>
      </c>
      <c r="CI630">
        <f>'Grid_Requirement'!CF10</f>
        <v/>
      </c>
      <c r="CJ630">
        <f>'Grid_Requirement'!CG10</f>
        <v/>
      </c>
      <c r="CK630">
        <f>'Grid_Requirement'!CH10</f>
        <v/>
      </c>
      <c r="CL630">
        <f>'Grid_Requirement'!CI10</f>
        <v/>
      </c>
      <c r="CM630">
        <f>'Grid_Requirement'!CJ10</f>
        <v/>
      </c>
      <c r="CN630">
        <f>'Grid_Requirement'!CK10</f>
        <v/>
      </c>
      <c r="CO630">
        <f>'Grid_Requirement'!CL10</f>
        <v/>
      </c>
      <c r="CP630">
        <f>'Grid_Requirement'!CM10</f>
        <v/>
      </c>
      <c r="CQ630">
        <f>'Grid_Requirement'!CN10</f>
        <v/>
      </c>
      <c r="CR630">
        <f>'Grid_Requirement'!CO10</f>
        <v/>
      </c>
      <c r="CS630">
        <f>'Grid_Requirement'!CP10</f>
        <v/>
      </c>
      <c r="CT630">
        <f>'Grid_Requirement'!CQ10</f>
        <v/>
      </c>
      <c r="CU630">
        <f>'Grid_Requirement'!CR10</f>
        <v/>
      </c>
      <c r="CV630">
        <f>'Grid_Requirement'!CS10</f>
        <v/>
      </c>
      <c r="CW630">
        <f>'Grid_Requirement'!CT10</f>
        <v/>
      </c>
      <c r="CX630">
        <f>'Grid_Requirement'!CU10</f>
        <v/>
      </c>
      <c r="CY630">
        <f>'Grid_Requirement'!CV10</f>
        <v/>
      </c>
      <c r="CZ630">
        <f>'Grid_Requirement'!CW10</f>
        <v/>
      </c>
      <c r="DA630">
        <f>'Grid_Requirement'!CX10</f>
        <v/>
      </c>
      <c r="DB630">
        <f>'Grid_Requirement'!CY10</f>
        <v/>
      </c>
      <c r="DC630">
        <f>'Grid_Requirement'!CZ10</f>
        <v/>
      </c>
      <c r="DD630">
        <f>'Grid_Requirement'!DA10</f>
        <v/>
      </c>
    </row>
    <row r="631">
      <c r="B631" t="inlineStr">
        <is>
          <t>TTAF在庫(実績,kg)</t>
        </is>
      </c>
      <c r="D631">
        <f>IFERROR(INDEX(E631:DD631,$F$1),"")</f>
        <v/>
      </c>
      <c r="E631">
        <f>IFERROR(SUMIFS(T_TTAFStock[TTAF_Qty],T_TTAFStock[RM_Code],$A515,T_TTAFStock[WeekIndex],1),"")</f>
        <v/>
      </c>
      <c r="F631">
        <f>IFERROR(SUMIFS(T_TTAFStock[TTAF_Qty],T_TTAFStock[RM_Code],$A515,T_TTAFStock[WeekIndex],2),"")</f>
        <v/>
      </c>
      <c r="G631">
        <f>IFERROR(SUMIFS(T_TTAFStock[TTAF_Qty],T_TTAFStock[RM_Code],$A515,T_TTAFStock[WeekIndex],3),"")</f>
        <v/>
      </c>
      <c r="H631">
        <f>IFERROR(SUMIFS(T_TTAFStock[TTAF_Qty],T_TTAFStock[RM_Code],$A515,T_TTAFStock[WeekIndex],4),"")</f>
        <v/>
      </c>
      <c r="I631">
        <f>IFERROR(SUMIFS(T_TTAFStock[TTAF_Qty],T_TTAFStock[RM_Code],$A515,T_TTAFStock[WeekIndex],5),"")</f>
        <v/>
      </c>
      <c r="J631">
        <f>IFERROR(SUMIFS(T_TTAFStock[TTAF_Qty],T_TTAFStock[RM_Code],$A515,T_TTAFStock[WeekIndex],6),"")</f>
        <v/>
      </c>
      <c r="K631">
        <f>IFERROR(SUMIFS(T_TTAFStock[TTAF_Qty],T_TTAFStock[RM_Code],$A515,T_TTAFStock[WeekIndex],7),"")</f>
        <v/>
      </c>
      <c r="L631">
        <f>IFERROR(SUMIFS(T_TTAFStock[TTAF_Qty],T_TTAFStock[RM_Code],$A515,T_TTAFStock[WeekIndex],8),"")</f>
        <v/>
      </c>
      <c r="M631">
        <f>IFERROR(SUMIFS(T_TTAFStock[TTAF_Qty],T_TTAFStock[RM_Code],$A515,T_TTAFStock[WeekIndex],9),"")</f>
        <v/>
      </c>
      <c r="N631">
        <f>IFERROR(SUMIFS(T_TTAFStock[TTAF_Qty],T_TTAFStock[RM_Code],$A515,T_TTAFStock[WeekIndex],10),"")</f>
        <v/>
      </c>
      <c r="O631">
        <f>IFERROR(SUMIFS(T_TTAFStock[TTAF_Qty],T_TTAFStock[RM_Code],$A515,T_TTAFStock[WeekIndex],11),"")</f>
        <v/>
      </c>
      <c r="P631">
        <f>IFERROR(SUMIFS(T_TTAFStock[TTAF_Qty],T_TTAFStock[RM_Code],$A515,T_TTAFStock[WeekIndex],12),"")</f>
        <v/>
      </c>
      <c r="Q631">
        <f>IFERROR(SUMIFS(T_TTAFStock[TTAF_Qty],T_TTAFStock[RM_Code],$A515,T_TTAFStock[WeekIndex],13),"")</f>
        <v/>
      </c>
      <c r="R631">
        <f>IFERROR(SUMIFS(T_TTAFStock[TTAF_Qty],T_TTAFStock[RM_Code],$A515,T_TTAFStock[WeekIndex],14),"")</f>
        <v/>
      </c>
      <c r="S631">
        <f>IFERROR(SUMIFS(T_TTAFStock[TTAF_Qty],T_TTAFStock[RM_Code],$A515,T_TTAFStock[WeekIndex],15),"")</f>
        <v/>
      </c>
      <c r="T631">
        <f>IFERROR(SUMIFS(T_TTAFStock[TTAF_Qty],T_TTAFStock[RM_Code],$A515,T_TTAFStock[WeekIndex],16),"")</f>
        <v/>
      </c>
      <c r="U631">
        <f>IFERROR(SUMIFS(T_TTAFStock[TTAF_Qty],T_TTAFStock[RM_Code],$A515,T_TTAFStock[WeekIndex],17),"")</f>
        <v/>
      </c>
      <c r="V631">
        <f>IFERROR(SUMIFS(T_TTAFStock[TTAF_Qty],T_TTAFStock[RM_Code],$A515,T_TTAFStock[WeekIndex],18),"")</f>
        <v/>
      </c>
      <c r="W631">
        <f>IFERROR(SUMIFS(T_TTAFStock[TTAF_Qty],T_TTAFStock[RM_Code],$A515,T_TTAFStock[WeekIndex],19),"")</f>
        <v/>
      </c>
      <c r="X631">
        <f>IFERROR(SUMIFS(T_TTAFStock[TTAF_Qty],T_TTAFStock[RM_Code],$A515,T_TTAFStock[WeekIndex],20),"")</f>
        <v/>
      </c>
      <c r="Y631">
        <f>IFERROR(SUMIFS(T_TTAFStock[TTAF_Qty],T_TTAFStock[RM_Code],$A515,T_TTAFStock[WeekIndex],21),"")</f>
        <v/>
      </c>
      <c r="Z631">
        <f>IFERROR(SUMIFS(T_TTAFStock[TTAF_Qty],T_TTAFStock[RM_Code],$A515,T_TTAFStock[WeekIndex],22),"")</f>
        <v/>
      </c>
      <c r="AA631">
        <f>IFERROR(SUMIFS(T_TTAFStock[TTAF_Qty],T_TTAFStock[RM_Code],$A515,T_TTAFStock[WeekIndex],23),"")</f>
        <v/>
      </c>
      <c r="AB631">
        <f>IFERROR(SUMIFS(T_TTAFStock[TTAF_Qty],T_TTAFStock[RM_Code],$A515,T_TTAFStock[WeekIndex],24),"")</f>
        <v/>
      </c>
      <c r="AC631">
        <f>IFERROR(SUMIFS(T_TTAFStock[TTAF_Qty],T_TTAFStock[RM_Code],$A515,T_TTAFStock[WeekIndex],25),"")</f>
        <v/>
      </c>
      <c r="AD631">
        <f>IFERROR(SUMIFS(T_TTAFStock[TTAF_Qty],T_TTAFStock[RM_Code],$A515,T_TTAFStock[WeekIndex],26),"")</f>
        <v/>
      </c>
      <c r="AE631">
        <f>IFERROR(SUMIFS(T_TTAFStock[TTAF_Qty],T_TTAFStock[RM_Code],$A515,T_TTAFStock[WeekIndex],27),"")</f>
        <v/>
      </c>
      <c r="AF631">
        <f>IFERROR(SUMIFS(T_TTAFStock[TTAF_Qty],T_TTAFStock[RM_Code],$A515,T_TTAFStock[WeekIndex],28),"")</f>
        <v/>
      </c>
      <c r="AG631">
        <f>IFERROR(SUMIFS(T_TTAFStock[TTAF_Qty],T_TTAFStock[RM_Code],$A515,T_TTAFStock[WeekIndex],29),"")</f>
        <v/>
      </c>
      <c r="AH631">
        <f>IFERROR(SUMIFS(T_TTAFStock[TTAF_Qty],T_TTAFStock[RM_Code],$A515,T_TTAFStock[WeekIndex],30),"")</f>
        <v/>
      </c>
      <c r="AI631">
        <f>IFERROR(SUMIFS(T_TTAFStock[TTAF_Qty],T_TTAFStock[RM_Code],$A515,T_TTAFStock[WeekIndex],31),"")</f>
        <v/>
      </c>
      <c r="AJ631">
        <f>IFERROR(SUMIFS(T_TTAFStock[TTAF_Qty],T_TTAFStock[RM_Code],$A515,T_TTAFStock[WeekIndex],32),"")</f>
        <v/>
      </c>
      <c r="AK631">
        <f>IFERROR(SUMIFS(T_TTAFStock[TTAF_Qty],T_TTAFStock[RM_Code],$A515,T_TTAFStock[WeekIndex],33),"")</f>
        <v/>
      </c>
      <c r="AL631">
        <f>IFERROR(SUMIFS(T_TTAFStock[TTAF_Qty],T_TTAFStock[RM_Code],$A515,T_TTAFStock[WeekIndex],34),"")</f>
        <v/>
      </c>
      <c r="AM631">
        <f>IFERROR(SUMIFS(T_TTAFStock[TTAF_Qty],T_TTAFStock[RM_Code],$A515,T_TTAFStock[WeekIndex],35),"")</f>
        <v/>
      </c>
      <c r="AN631">
        <f>IFERROR(SUMIFS(T_TTAFStock[TTAF_Qty],T_TTAFStock[RM_Code],$A515,T_TTAFStock[WeekIndex],36),"")</f>
        <v/>
      </c>
      <c r="AO631">
        <f>IFERROR(SUMIFS(T_TTAFStock[TTAF_Qty],T_TTAFStock[RM_Code],$A515,T_TTAFStock[WeekIndex],37),"")</f>
        <v/>
      </c>
      <c r="AP631">
        <f>IFERROR(SUMIFS(T_TTAFStock[TTAF_Qty],T_TTAFStock[RM_Code],$A515,T_TTAFStock[WeekIndex],38),"")</f>
        <v/>
      </c>
      <c r="AQ631">
        <f>IFERROR(SUMIFS(T_TTAFStock[TTAF_Qty],T_TTAFStock[RM_Code],$A515,T_TTAFStock[WeekIndex],39),"")</f>
        <v/>
      </c>
      <c r="AR631">
        <f>IFERROR(SUMIFS(T_TTAFStock[TTAF_Qty],T_TTAFStock[RM_Code],$A515,T_TTAFStock[WeekIndex],40),"")</f>
        <v/>
      </c>
      <c r="AS631">
        <f>IFERROR(SUMIFS(T_TTAFStock[TTAF_Qty],T_TTAFStock[RM_Code],$A515,T_TTAFStock[WeekIndex],41),"")</f>
        <v/>
      </c>
      <c r="AT631">
        <f>IFERROR(SUMIFS(T_TTAFStock[TTAF_Qty],T_TTAFStock[RM_Code],$A515,T_TTAFStock[WeekIndex],42),"")</f>
        <v/>
      </c>
      <c r="AU631">
        <f>IFERROR(SUMIFS(T_TTAFStock[TTAF_Qty],T_TTAFStock[RM_Code],$A515,T_TTAFStock[WeekIndex],43),"")</f>
        <v/>
      </c>
      <c r="AV631">
        <f>IFERROR(SUMIFS(T_TTAFStock[TTAF_Qty],T_TTAFStock[RM_Code],$A515,T_TTAFStock[WeekIndex],44),"")</f>
        <v/>
      </c>
      <c r="AW631">
        <f>IFERROR(SUMIFS(T_TTAFStock[TTAF_Qty],T_TTAFStock[RM_Code],$A515,T_TTAFStock[WeekIndex],45),"")</f>
        <v/>
      </c>
      <c r="AX631">
        <f>IFERROR(SUMIFS(T_TTAFStock[TTAF_Qty],T_TTAFStock[RM_Code],$A515,T_TTAFStock[WeekIndex],46),"")</f>
        <v/>
      </c>
      <c r="AY631">
        <f>IFERROR(SUMIFS(T_TTAFStock[TTAF_Qty],T_TTAFStock[RM_Code],$A515,T_TTAFStock[WeekIndex],47),"")</f>
        <v/>
      </c>
      <c r="AZ631">
        <f>IFERROR(SUMIFS(T_TTAFStock[TTAF_Qty],T_TTAFStock[RM_Code],$A515,T_TTAFStock[WeekIndex],48),"")</f>
        <v/>
      </c>
      <c r="BA631">
        <f>IFERROR(SUMIFS(T_TTAFStock[TTAF_Qty],T_TTAFStock[RM_Code],$A515,T_TTAFStock[WeekIndex],49),"")</f>
        <v/>
      </c>
      <c r="BB631">
        <f>IFERROR(SUMIFS(T_TTAFStock[TTAF_Qty],T_TTAFStock[RM_Code],$A515,T_TTAFStock[WeekIndex],50),"")</f>
        <v/>
      </c>
      <c r="BC631">
        <f>IFERROR(SUMIFS(T_TTAFStock[TTAF_Qty],T_TTAFStock[RM_Code],$A515,T_TTAFStock[WeekIndex],51),"")</f>
        <v/>
      </c>
      <c r="BD631">
        <f>IFERROR(SUMIFS(T_TTAFStock[TTAF_Qty],T_TTAFStock[RM_Code],$A515,T_TTAFStock[WeekIndex],52),"")</f>
        <v/>
      </c>
      <c r="BE631">
        <f>IFERROR(SUMIFS(T_TTAFStock[TTAF_Qty],T_TTAFStock[RM_Code],$A515,T_TTAFStock[WeekIndex],53),"")</f>
        <v/>
      </c>
      <c r="BF631">
        <f>IFERROR(SUMIFS(T_TTAFStock[TTAF_Qty],T_TTAFStock[RM_Code],$A515,T_TTAFStock[WeekIndex],54),"")</f>
        <v/>
      </c>
      <c r="BG631">
        <f>IFERROR(SUMIFS(T_TTAFStock[TTAF_Qty],T_TTAFStock[RM_Code],$A515,T_TTAFStock[WeekIndex],55),"")</f>
        <v/>
      </c>
      <c r="BH631">
        <f>IFERROR(SUMIFS(T_TTAFStock[TTAF_Qty],T_TTAFStock[RM_Code],$A515,T_TTAFStock[WeekIndex],56),"")</f>
        <v/>
      </c>
      <c r="BI631">
        <f>IFERROR(SUMIFS(T_TTAFStock[TTAF_Qty],T_TTAFStock[RM_Code],$A515,T_TTAFStock[WeekIndex],57),"")</f>
        <v/>
      </c>
      <c r="BJ631">
        <f>IFERROR(SUMIFS(T_TTAFStock[TTAF_Qty],T_TTAFStock[RM_Code],$A515,T_TTAFStock[WeekIndex],58),"")</f>
        <v/>
      </c>
      <c r="BK631">
        <f>IFERROR(SUMIFS(T_TTAFStock[TTAF_Qty],T_TTAFStock[RM_Code],$A515,T_TTAFStock[WeekIndex],59),"")</f>
        <v/>
      </c>
      <c r="BL631">
        <f>IFERROR(SUMIFS(T_TTAFStock[TTAF_Qty],T_TTAFStock[RM_Code],$A515,T_TTAFStock[WeekIndex],60),"")</f>
        <v/>
      </c>
      <c r="BM631">
        <f>IFERROR(SUMIFS(T_TTAFStock[TTAF_Qty],T_TTAFStock[RM_Code],$A515,T_TTAFStock[WeekIndex],61),"")</f>
        <v/>
      </c>
      <c r="BN631">
        <f>IFERROR(SUMIFS(T_TTAFStock[TTAF_Qty],T_TTAFStock[RM_Code],$A515,T_TTAFStock[WeekIndex],62),"")</f>
        <v/>
      </c>
      <c r="BO631">
        <f>IFERROR(SUMIFS(T_TTAFStock[TTAF_Qty],T_TTAFStock[RM_Code],$A515,T_TTAFStock[WeekIndex],63),"")</f>
        <v/>
      </c>
      <c r="BP631">
        <f>IFERROR(SUMIFS(T_TTAFStock[TTAF_Qty],T_TTAFStock[RM_Code],$A515,T_TTAFStock[WeekIndex],64),"")</f>
        <v/>
      </c>
      <c r="BQ631">
        <f>IFERROR(SUMIFS(T_TTAFStock[TTAF_Qty],T_TTAFStock[RM_Code],$A515,T_TTAFStock[WeekIndex],65),"")</f>
        <v/>
      </c>
      <c r="BR631">
        <f>IFERROR(SUMIFS(T_TTAFStock[TTAF_Qty],T_TTAFStock[RM_Code],$A515,T_TTAFStock[WeekIndex],66),"")</f>
        <v/>
      </c>
      <c r="BS631">
        <f>IFERROR(SUMIFS(T_TTAFStock[TTAF_Qty],T_TTAFStock[RM_Code],$A515,T_TTAFStock[WeekIndex],67),"")</f>
        <v/>
      </c>
      <c r="BT631">
        <f>IFERROR(SUMIFS(T_TTAFStock[TTAF_Qty],T_TTAFStock[RM_Code],$A515,T_TTAFStock[WeekIndex],68),"")</f>
        <v/>
      </c>
      <c r="BU631">
        <f>IFERROR(SUMIFS(T_TTAFStock[TTAF_Qty],T_TTAFStock[RM_Code],$A515,T_TTAFStock[WeekIndex],69),"")</f>
        <v/>
      </c>
      <c r="BV631">
        <f>IFERROR(SUMIFS(T_TTAFStock[TTAF_Qty],T_TTAFStock[RM_Code],$A515,T_TTAFStock[WeekIndex],70),"")</f>
        <v/>
      </c>
      <c r="BW631">
        <f>IFERROR(SUMIFS(T_TTAFStock[TTAF_Qty],T_TTAFStock[RM_Code],$A515,T_TTAFStock[WeekIndex],71),"")</f>
        <v/>
      </c>
      <c r="BX631">
        <f>IFERROR(SUMIFS(T_TTAFStock[TTAF_Qty],T_TTAFStock[RM_Code],$A515,T_TTAFStock[WeekIndex],72),"")</f>
        <v/>
      </c>
      <c r="BY631">
        <f>IFERROR(SUMIFS(T_TTAFStock[TTAF_Qty],T_TTAFStock[RM_Code],$A515,T_TTAFStock[WeekIndex],73),"")</f>
        <v/>
      </c>
      <c r="BZ631">
        <f>IFERROR(SUMIFS(T_TTAFStock[TTAF_Qty],T_TTAFStock[RM_Code],$A515,T_TTAFStock[WeekIndex],74),"")</f>
        <v/>
      </c>
      <c r="CA631">
        <f>IFERROR(SUMIFS(T_TTAFStock[TTAF_Qty],T_TTAFStock[RM_Code],$A515,T_TTAFStock[WeekIndex],75),"")</f>
        <v/>
      </c>
      <c r="CB631">
        <f>IFERROR(SUMIFS(T_TTAFStock[TTAF_Qty],T_TTAFStock[RM_Code],$A515,T_TTAFStock[WeekIndex],76),"")</f>
        <v/>
      </c>
      <c r="CC631">
        <f>IFERROR(SUMIFS(T_TTAFStock[TTAF_Qty],T_TTAFStock[RM_Code],$A515,T_TTAFStock[WeekIndex],77),"")</f>
        <v/>
      </c>
      <c r="CD631">
        <f>IFERROR(SUMIFS(T_TTAFStock[TTAF_Qty],T_TTAFStock[RM_Code],$A515,T_TTAFStock[WeekIndex],78),"")</f>
        <v/>
      </c>
      <c r="CE631">
        <f>IFERROR(SUMIFS(T_TTAFStock[TTAF_Qty],T_TTAFStock[RM_Code],$A515,T_TTAFStock[WeekIndex],79),"")</f>
        <v/>
      </c>
      <c r="CF631">
        <f>IFERROR(SUMIFS(T_TTAFStock[TTAF_Qty],T_TTAFStock[RM_Code],$A515,T_TTAFStock[WeekIndex],80),"")</f>
        <v/>
      </c>
      <c r="CG631">
        <f>IFERROR(SUMIFS(T_TTAFStock[TTAF_Qty],T_TTAFStock[RM_Code],$A515,T_TTAFStock[WeekIndex],81),"")</f>
        <v/>
      </c>
      <c r="CH631">
        <f>IFERROR(SUMIFS(T_TTAFStock[TTAF_Qty],T_TTAFStock[RM_Code],$A515,T_TTAFStock[WeekIndex],82),"")</f>
        <v/>
      </c>
      <c r="CI631">
        <f>IFERROR(SUMIFS(T_TTAFStock[TTAF_Qty],T_TTAFStock[RM_Code],$A515,T_TTAFStock[WeekIndex],83),"")</f>
        <v/>
      </c>
      <c r="CJ631">
        <f>IFERROR(SUMIFS(T_TTAFStock[TTAF_Qty],T_TTAFStock[RM_Code],$A515,T_TTAFStock[WeekIndex],84),"")</f>
        <v/>
      </c>
      <c r="CK631">
        <f>IFERROR(SUMIFS(T_TTAFStock[TTAF_Qty],T_TTAFStock[RM_Code],$A515,T_TTAFStock[WeekIndex],85),"")</f>
        <v/>
      </c>
      <c r="CL631">
        <f>IFERROR(SUMIFS(T_TTAFStock[TTAF_Qty],T_TTAFStock[RM_Code],$A515,T_TTAFStock[WeekIndex],86),"")</f>
        <v/>
      </c>
      <c r="CM631">
        <f>IFERROR(SUMIFS(T_TTAFStock[TTAF_Qty],T_TTAFStock[RM_Code],$A515,T_TTAFStock[WeekIndex],87),"")</f>
        <v/>
      </c>
      <c r="CN631">
        <f>IFERROR(SUMIFS(T_TTAFStock[TTAF_Qty],T_TTAFStock[RM_Code],$A515,T_TTAFStock[WeekIndex],88),"")</f>
        <v/>
      </c>
      <c r="CO631">
        <f>IFERROR(SUMIFS(T_TTAFStock[TTAF_Qty],T_TTAFStock[RM_Code],$A515,T_TTAFStock[WeekIndex],89),"")</f>
        <v/>
      </c>
      <c r="CP631">
        <f>IFERROR(SUMIFS(T_TTAFStock[TTAF_Qty],T_TTAFStock[RM_Code],$A515,T_TTAFStock[WeekIndex],90),"")</f>
        <v/>
      </c>
      <c r="CQ631">
        <f>IFERROR(SUMIFS(T_TTAFStock[TTAF_Qty],T_TTAFStock[RM_Code],$A515,T_TTAFStock[WeekIndex],91),"")</f>
        <v/>
      </c>
      <c r="CR631">
        <f>IFERROR(SUMIFS(T_TTAFStock[TTAF_Qty],T_TTAFStock[RM_Code],$A515,T_TTAFStock[WeekIndex],92),"")</f>
        <v/>
      </c>
      <c r="CS631">
        <f>IFERROR(SUMIFS(T_TTAFStock[TTAF_Qty],T_TTAFStock[RM_Code],$A515,T_TTAFStock[WeekIndex],93),"")</f>
        <v/>
      </c>
      <c r="CT631">
        <f>IFERROR(SUMIFS(T_TTAFStock[TTAF_Qty],T_TTAFStock[RM_Code],$A515,T_TTAFStock[WeekIndex],94),"")</f>
        <v/>
      </c>
      <c r="CU631">
        <f>IFERROR(SUMIFS(T_TTAFStock[TTAF_Qty],T_TTAFStock[RM_Code],$A515,T_TTAFStock[WeekIndex],95),"")</f>
        <v/>
      </c>
      <c r="CV631">
        <f>IFERROR(SUMIFS(T_TTAFStock[TTAF_Qty],T_TTAFStock[RM_Code],$A515,T_TTAFStock[WeekIndex],96),"")</f>
        <v/>
      </c>
      <c r="CW631">
        <f>IFERROR(SUMIFS(T_TTAFStock[TTAF_Qty],T_TTAFStock[RM_Code],$A515,T_TTAFStock[WeekIndex],97),"")</f>
        <v/>
      </c>
      <c r="CX631">
        <f>IFERROR(SUMIFS(T_TTAFStock[TTAF_Qty],T_TTAFStock[RM_Code],$A515,T_TTAFStock[WeekIndex],98),"")</f>
        <v/>
      </c>
      <c r="CY631">
        <f>IFERROR(SUMIFS(T_TTAFStock[TTAF_Qty],T_TTAFStock[RM_Code],$A515,T_TTAFStock[WeekIndex],99),"")</f>
        <v/>
      </c>
      <c r="CZ631">
        <f>IFERROR(SUMIFS(T_TTAFStock[TTAF_Qty],T_TTAFStock[RM_Code],$A515,T_TTAFStock[WeekIndex],100),"")</f>
        <v/>
      </c>
      <c r="DA631">
        <f>IFERROR(SUMIFS(T_TTAFStock[TTAF_Qty],T_TTAFStock[RM_Code],$A515,T_TTAFStock[WeekIndex],101),"")</f>
        <v/>
      </c>
      <c r="DB631">
        <f>IFERROR(SUMIFS(T_TTAFStock[TTAF_Qty],T_TTAFStock[RM_Code],$A515,T_TTAFStock[WeekIndex],102),"")</f>
        <v/>
      </c>
      <c r="DC631">
        <f>IFERROR(SUMIFS(T_TTAFStock[TTAF_Qty],T_TTAFStock[RM_Code],$A515,T_TTAFStock[WeekIndex],103),"")</f>
        <v/>
      </c>
      <c r="DD631">
        <f>IFERROR(SUMIFS(T_TTAFStock[TTAF_Qty],T_TTAFStock[RM_Code],$A515,T_TTAFStock[WeekIndex],104),"")</f>
        <v/>
      </c>
    </row>
    <row r="632">
      <c r="B632" t="inlineStr">
        <is>
          <t>自社在庫(実績,kg)</t>
        </is>
      </c>
      <c r="D632">
        <f>IFERROR(INDEX(E632:DD632,$F$1),"")</f>
        <v/>
      </c>
      <c r="E632">
        <f>IFERROR(SUMIFS(T_SelfStock[Self_Qty],T_SelfStock[RM_Code],$A515,T_SelfStock[WeekIndex],1),"")</f>
        <v/>
      </c>
      <c r="F632">
        <f>IFERROR(SUMIFS(T_SelfStock[Self_Qty],T_SelfStock[RM_Code],$A515,T_SelfStock[WeekIndex],2),"")</f>
        <v/>
      </c>
      <c r="G632">
        <f>IFERROR(SUMIFS(T_SelfStock[Self_Qty],T_SelfStock[RM_Code],$A515,T_SelfStock[WeekIndex],3),"")</f>
        <v/>
      </c>
      <c r="H632">
        <f>IFERROR(SUMIFS(T_SelfStock[Self_Qty],T_SelfStock[RM_Code],$A515,T_SelfStock[WeekIndex],4),"")</f>
        <v/>
      </c>
      <c r="I632">
        <f>IFERROR(SUMIFS(T_SelfStock[Self_Qty],T_SelfStock[RM_Code],$A515,T_SelfStock[WeekIndex],5),"")</f>
        <v/>
      </c>
      <c r="J632">
        <f>IFERROR(SUMIFS(T_SelfStock[Self_Qty],T_SelfStock[RM_Code],$A515,T_SelfStock[WeekIndex],6),"")</f>
        <v/>
      </c>
      <c r="K632">
        <f>IFERROR(SUMIFS(T_SelfStock[Self_Qty],T_SelfStock[RM_Code],$A515,T_SelfStock[WeekIndex],7),"")</f>
        <v/>
      </c>
      <c r="L632">
        <f>IFERROR(SUMIFS(T_SelfStock[Self_Qty],T_SelfStock[RM_Code],$A515,T_SelfStock[WeekIndex],8),"")</f>
        <v/>
      </c>
      <c r="M632">
        <f>IFERROR(SUMIFS(T_SelfStock[Self_Qty],T_SelfStock[RM_Code],$A515,T_SelfStock[WeekIndex],9),"")</f>
        <v/>
      </c>
      <c r="N632">
        <f>IFERROR(SUMIFS(T_SelfStock[Self_Qty],T_SelfStock[RM_Code],$A515,T_SelfStock[WeekIndex],10),"")</f>
        <v/>
      </c>
      <c r="O632">
        <f>IFERROR(SUMIFS(T_SelfStock[Self_Qty],T_SelfStock[RM_Code],$A515,T_SelfStock[WeekIndex],11),"")</f>
        <v/>
      </c>
      <c r="P632">
        <f>IFERROR(SUMIFS(T_SelfStock[Self_Qty],T_SelfStock[RM_Code],$A515,T_SelfStock[WeekIndex],12),"")</f>
        <v/>
      </c>
      <c r="Q632">
        <f>IFERROR(SUMIFS(T_SelfStock[Self_Qty],T_SelfStock[RM_Code],$A515,T_SelfStock[WeekIndex],13),"")</f>
        <v/>
      </c>
      <c r="R632">
        <f>IFERROR(SUMIFS(T_SelfStock[Self_Qty],T_SelfStock[RM_Code],$A515,T_SelfStock[WeekIndex],14),"")</f>
        <v/>
      </c>
      <c r="S632">
        <f>IFERROR(SUMIFS(T_SelfStock[Self_Qty],T_SelfStock[RM_Code],$A515,T_SelfStock[WeekIndex],15),"")</f>
        <v/>
      </c>
      <c r="T632">
        <f>IFERROR(SUMIFS(T_SelfStock[Self_Qty],T_SelfStock[RM_Code],$A515,T_SelfStock[WeekIndex],16),"")</f>
        <v/>
      </c>
      <c r="U632">
        <f>IFERROR(SUMIFS(T_SelfStock[Self_Qty],T_SelfStock[RM_Code],$A515,T_SelfStock[WeekIndex],17),"")</f>
        <v/>
      </c>
      <c r="V632">
        <f>IFERROR(SUMIFS(T_SelfStock[Self_Qty],T_SelfStock[RM_Code],$A515,T_SelfStock[WeekIndex],18),"")</f>
        <v/>
      </c>
      <c r="W632">
        <f>IFERROR(SUMIFS(T_SelfStock[Self_Qty],T_SelfStock[RM_Code],$A515,T_SelfStock[WeekIndex],19),"")</f>
        <v/>
      </c>
      <c r="X632">
        <f>IFERROR(SUMIFS(T_SelfStock[Self_Qty],T_SelfStock[RM_Code],$A515,T_SelfStock[WeekIndex],20),"")</f>
        <v/>
      </c>
      <c r="Y632">
        <f>IFERROR(SUMIFS(T_SelfStock[Self_Qty],T_SelfStock[RM_Code],$A515,T_SelfStock[WeekIndex],21),"")</f>
        <v/>
      </c>
      <c r="Z632">
        <f>IFERROR(SUMIFS(T_SelfStock[Self_Qty],T_SelfStock[RM_Code],$A515,T_SelfStock[WeekIndex],22),"")</f>
        <v/>
      </c>
      <c r="AA632">
        <f>IFERROR(SUMIFS(T_SelfStock[Self_Qty],T_SelfStock[RM_Code],$A515,T_SelfStock[WeekIndex],23),"")</f>
        <v/>
      </c>
      <c r="AB632">
        <f>IFERROR(SUMIFS(T_SelfStock[Self_Qty],T_SelfStock[RM_Code],$A515,T_SelfStock[WeekIndex],24),"")</f>
        <v/>
      </c>
      <c r="AC632">
        <f>IFERROR(SUMIFS(T_SelfStock[Self_Qty],T_SelfStock[RM_Code],$A515,T_SelfStock[WeekIndex],25),"")</f>
        <v/>
      </c>
      <c r="AD632">
        <f>IFERROR(SUMIFS(T_SelfStock[Self_Qty],T_SelfStock[RM_Code],$A515,T_SelfStock[WeekIndex],26),"")</f>
        <v/>
      </c>
      <c r="AE632">
        <f>IFERROR(SUMIFS(T_SelfStock[Self_Qty],T_SelfStock[RM_Code],$A515,T_SelfStock[WeekIndex],27),"")</f>
        <v/>
      </c>
      <c r="AF632">
        <f>IFERROR(SUMIFS(T_SelfStock[Self_Qty],T_SelfStock[RM_Code],$A515,T_SelfStock[WeekIndex],28),"")</f>
        <v/>
      </c>
      <c r="AG632">
        <f>IFERROR(SUMIFS(T_SelfStock[Self_Qty],T_SelfStock[RM_Code],$A515,T_SelfStock[WeekIndex],29),"")</f>
        <v/>
      </c>
      <c r="AH632">
        <f>IFERROR(SUMIFS(T_SelfStock[Self_Qty],T_SelfStock[RM_Code],$A515,T_SelfStock[WeekIndex],30),"")</f>
        <v/>
      </c>
      <c r="AI632">
        <f>IFERROR(SUMIFS(T_SelfStock[Self_Qty],T_SelfStock[RM_Code],$A515,T_SelfStock[WeekIndex],31),"")</f>
        <v/>
      </c>
      <c r="AJ632">
        <f>IFERROR(SUMIFS(T_SelfStock[Self_Qty],T_SelfStock[RM_Code],$A515,T_SelfStock[WeekIndex],32),"")</f>
        <v/>
      </c>
      <c r="AK632">
        <f>IFERROR(SUMIFS(T_SelfStock[Self_Qty],T_SelfStock[RM_Code],$A515,T_SelfStock[WeekIndex],33),"")</f>
        <v/>
      </c>
      <c r="AL632">
        <f>IFERROR(SUMIFS(T_SelfStock[Self_Qty],T_SelfStock[RM_Code],$A515,T_SelfStock[WeekIndex],34),"")</f>
        <v/>
      </c>
      <c r="AM632">
        <f>IFERROR(SUMIFS(T_SelfStock[Self_Qty],T_SelfStock[RM_Code],$A515,T_SelfStock[WeekIndex],35),"")</f>
        <v/>
      </c>
      <c r="AN632">
        <f>IFERROR(SUMIFS(T_SelfStock[Self_Qty],T_SelfStock[RM_Code],$A515,T_SelfStock[WeekIndex],36),"")</f>
        <v/>
      </c>
      <c r="AO632">
        <f>IFERROR(SUMIFS(T_SelfStock[Self_Qty],T_SelfStock[RM_Code],$A515,T_SelfStock[WeekIndex],37),"")</f>
        <v/>
      </c>
      <c r="AP632">
        <f>IFERROR(SUMIFS(T_SelfStock[Self_Qty],T_SelfStock[RM_Code],$A515,T_SelfStock[WeekIndex],38),"")</f>
        <v/>
      </c>
      <c r="AQ632">
        <f>IFERROR(SUMIFS(T_SelfStock[Self_Qty],T_SelfStock[RM_Code],$A515,T_SelfStock[WeekIndex],39),"")</f>
        <v/>
      </c>
      <c r="AR632">
        <f>IFERROR(SUMIFS(T_SelfStock[Self_Qty],T_SelfStock[RM_Code],$A515,T_SelfStock[WeekIndex],40),"")</f>
        <v/>
      </c>
      <c r="AS632">
        <f>IFERROR(SUMIFS(T_SelfStock[Self_Qty],T_SelfStock[RM_Code],$A515,T_SelfStock[WeekIndex],41),"")</f>
        <v/>
      </c>
      <c r="AT632">
        <f>IFERROR(SUMIFS(T_SelfStock[Self_Qty],T_SelfStock[RM_Code],$A515,T_SelfStock[WeekIndex],42),"")</f>
        <v/>
      </c>
      <c r="AU632">
        <f>IFERROR(SUMIFS(T_SelfStock[Self_Qty],T_SelfStock[RM_Code],$A515,T_SelfStock[WeekIndex],43),"")</f>
        <v/>
      </c>
      <c r="AV632">
        <f>IFERROR(SUMIFS(T_SelfStock[Self_Qty],T_SelfStock[RM_Code],$A515,T_SelfStock[WeekIndex],44),"")</f>
        <v/>
      </c>
      <c r="AW632">
        <f>IFERROR(SUMIFS(T_SelfStock[Self_Qty],T_SelfStock[RM_Code],$A515,T_SelfStock[WeekIndex],45),"")</f>
        <v/>
      </c>
      <c r="AX632">
        <f>IFERROR(SUMIFS(T_SelfStock[Self_Qty],T_SelfStock[RM_Code],$A515,T_SelfStock[WeekIndex],46),"")</f>
        <v/>
      </c>
      <c r="AY632">
        <f>IFERROR(SUMIFS(T_SelfStock[Self_Qty],T_SelfStock[RM_Code],$A515,T_SelfStock[WeekIndex],47),"")</f>
        <v/>
      </c>
      <c r="AZ632">
        <f>IFERROR(SUMIFS(T_SelfStock[Self_Qty],T_SelfStock[RM_Code],$A515,T_SelfStock[WeekIndex],48),"")</f>
        <v/>
      </c>
      <c r="BA632">
        <f>IFERROR(SUMIFS(T_SelfStock[Self_Qty],T_SelfStock[RM_Code],$A515,T_SelfStock[WeekIndex],49),"")</f>
        <v/>
      </c>
      <c r="BB632">
        <f>IFERROR(SUMIFS(T_SelfStock[Self_Qty],T_SelfStock[RM_Code],$A515,T_SelfStock[WeekIndex],50),"")</f>
        <v/>
      </c>
      <c r="BC632">
        <f>IFERROR(SUMIFS(T_SelfStock[Self_Qty],T_SelfStock[RM_Code],$A515,T_SelfStock[WeekIndex],51),"")</f>
        <v/>
      </c>
      <c r="BD632">
        <f>IFERROR(SUMIFS(T_SelfStock[Self_Qty],T_SelfStock[RM_Code],$A515,T_SelfStock[WeekIndex],52),"")</f>
        <v/>
      </c>
      <c r="BE632">
        <f>IFERROR(SUMIFS(T_SelfStock[Self_Qty],T_SelfStock[RM_Code],$A515,T_SelfStock[WeekIndex],53),"")</f>
        <v/>
      </c>
      <c r="BF632">
        <f>IFERROR(SUMIFS(T_SelfStock[Self_Qty],T_SelfStock[RM_Code],$A515,T_SelfStock[WeekIndex],54),"")</f>
        <v/>
      </c>
      <c r="BG632">
        <f>IFERROR(SUMIFS(T_SelfStock[Self_Qty],T_SelfStock[RM_Code],$A515,T_SelfStock[WeekIndex],55),"")</f>
        <v/>
      </c>
      <c r="BH632">
        <f>IFERROR(SUMIFS(T_SelfStock[Self_Qty],T_SelfStock[RM_Code],$A515,T_SelfStock[WeekIndex],56),"")</f>
        <v/>
      </c>
      <c r="BI632">
        <f>IFERROR(SUMIFS(T_SelfStock[Self_Qty],T_SelfStock[RM_Code],$A515,T_SelfStock[WeekIndex],57),"")</f>
        <v/>
      </c>
      <c r="BJ632">
        <f>IFERROR(SUMIFS(T_SelfStock[Self_Qty],T_SelfStock[RM_Code],$A515,T_SelfStock[WeekIndex],58),"")</f>
        <v/>
      </c>
      <c r="BK632">
        <f>IFERROR(SUMIFS(T_SelfStock[Self_Qty],T_SelfStock[RM_Code],$A515,T_SelfStock[WeekIndex],59),"")</f>
        <v/>
      </c>
      <c r="BL632">
        <f>IFERROR(SUMIFS(T_SelfStock[Self_Qty],T_SelfStock[RM_Code],$A515,T_SelfStock[WeekIndex],60),"")</f>
        <v/>
      </c>
      <c r="BM632">
        <f>IFERROR(SUMIFS(T_SelfStock[Self_Qty],T_SelfStock[RM_Code],$A515,T_SelfStock[WeekIndex],61),"")</f>
        <v/>
      </c>
      <c r="BN632">
        <f>IFERROR(SUMIFS(T_SelfStock[Self_Qty],T_SelfStock[RM_Code],$A515,T_SelfStock[WeekIndex],62),"")</f>
        <v/>
      </c>
      <c r="BO632">
        <f>IFERROR(SUMIFS(T_SelfStock[Self_Qty],T_SelfStock[RM_Code],$A515,T_SelfStock[WeekIndex],63),"")</f>
        <v/>
      </c>
      <c r="BP632">
        <f>IFERROR(SUMIFS(T_SelfStock[Self_Qty],T_SelfStock[RM_Code],$A515,T_SelfStock[WeekIndex],64),"")</f>
        <v/>
      </c>
      <c r="BQ632">
        <f>IFERROR(SUMIFS(T_SelfStock[Self_Qty],T_SelfStock[RM_Code],$A515,T_SelfStock[WeekIndex],65),"")</f>
        <v/>
      </c>
      <c r="BR632">
        <f>IFERROR(SUMIFS(T_SelfStock[Self_Qty],T_SelfStock[RM_Code],$A515,T_SelfStock[WeekIndex],66),"")</f>
        <v/>
      </c>
      <c r="BS632">
        <f>IFERROR(SUMIFS(T_SelfStock[Self_Qty],T_SelfStock[RM_Code],$A515,T_SelfStock[WeekIndex],67),"")</f>
        <v/>
      </c>
      <c r="BT632">
        <f>IFERROR(SUMIFS(T_SelfStock[Self_Qty],T_SelfStock[RM_Code],$A515,T_SelfStock[WeekIndex],68),"")</f>
        <v/>
      </c>
      <c r="BU632">
        <f>IFERROR(SUMIFS(T_SelfStock[Self_Qty],T_SelfStock[RM_Code],$A515,T_SelfStock[WeekIndex],69),"")</f>
        <v/>
      </c>
      <c r="BV632">
        <f>IFERROR(SUMIFS(T_SelfStock[Self_Qty],T_SelfStock[RM_Code],$A515,T_SelfStock[WeekIndex],70),"")</f>
        <v/>
      </c>
      <c r="BW632">
        <f>IFERROR(SUMIFS(T_SelfStock[Self_Qty],T_SelfStock[RM_Code],$A515,T_SelfStock[WeekIndex],71),"")</f>
        <v/>
      </c>
      <c r="BX632">
        <f>IFERROR(SUMIFS(T_SelfStock[Self_Qty],T_SelfStock[RM_Code],$A515,T_SelfStock[WeekIndex],72),"")</f>
        <v/>
      </c>
      <c r="BY632">
        <f>IFERROR(SUMIFS(T_SelfStock[Self_Qty],T_SelfStock[RM_Code],$A515,T_SelfStock[WeekIndex],73),"")</f>
        <v/>
      </c>
      <c r="BZ632">
        <f>IFERROR(SUMIFS(T_SelfStock[Self_Qty],T_SelfStock[RM_Code],$A515,T_SelfStock[WeekIndex],74),"")</f>
        <v/>
      </c>
      <c r="CA632">
        <f>IFERROR(SUMIFS(T_SelfStock[Self_Qty],T_SelfStock[RM_Code],$A515,T_SelfStock[WeekIndex],75),"")</f>
        <v/>
      </c>
      <c r="CB632">
        <f>IFERROR(SUMIFS(T_SelfStock[Self_Qty],T_SelfStock[RM_Code],$A515,T_SelfStock[WeekIndex],76),"")</f>
        <v/>
      </c>
      <c r="CC632">
        <f>IFERROR(SUMIFS(T_SelfStock[Self_Qty],T_SelfStock[RM_Code],$A515,T_SelfStock[WeekIndex],77),"")</f>
        <v/>
      </c>
      <c r="CD632">
        <f>IFERROR(SUMIFS(T_SelfStock[Self_Qty],T_SelfStock[RM_Code],$A515,T_SelfStock[WeekIndex],78),"")</f>
        <v/>
      </c>
      <c r="CE632">
        <f>IFERROR(SUMIFS(T_SelfStock[Self_Qty],T_SelfStock[RM_Code],$A515,T_SelfStock[WeekIndex],79),"")</f>
        <v/>
      </c>
      <c r="CF632">
        <f>IFERROR(SUMIFS(T_SelfStock[Self_Qty],T_SelfStock[RM_Code],$A515,T_SelfStock[WeekIndex],80),"")</f>
        <v/>
      </c>
      <c r="CG632">
        <f>IFERROR(SUMIFS(T_SelfStock[Self_Qty],T_SelfStock[RM_Code],$A515,T_SelfStock[WeekIndex],81),"")</f>
        <v/>
      </c>
      <c r="CH632">
        <f>IFERROR(SUMIFS(T_SelfStock[Self_Qty],T_SelfStock[RM_Code],$A515,T_SelfStock[WeekIndex],82),"")</f>
        <v/>
      </c>
      <c r="CI632">
        <f>IFERROR(SUMIFS(T_SelfStock[Self_Qty],T_SelfStock[RM_Code],$A515,T_SelfStock[WeekIndex],83),"")</f>
        <v/>
      </c>
      <c r="CJ632">
        <f>IFERROR(SUMIFS(T_SelfStock[Self_Qty],T_SelfStock[RM_Code],$A515,T_SelfStock[WeekIndex],84),"")</f>
        <v/>
      </c>
      <c r="CK632">
        <f>IFERROR(SUMIFS(T_SelfStock[Self_Qty],T_SelfStock[RM_Code],$A515,T_SelfStock[WeekIndex],85),"")</f>
        <v/>
      </c>
      <c r="CL632">
        <f>IFERROR(SUMIFS(T_SelfStock[Self_Qty],T_SelfStock[RM_Code],$A515,T_SelfStock[WeekIndex],86),"")</f>
        <v/>
      </c>
      <c r="CM632">
        <f>IFERROR(SUMIFS(T_SelfStock[Self_Qty],T_SelfStock[RM_Code],$A515,T_SelfStock[WeekIndex],87),"")</f>
        <v/>
      </c>
      <c r="CN632">
        <f>IFERROR(SUMIFS(T_SelfStock[Self_Qty],T_SelfStock[RM_Code],$A515,T_SelfStock[WeekIndex],88),"")</f>
        <v/>
      </c>
      <c r="CO632">
        <f>IFERROR(SUMIFS(T_SelfStock[Self_Qty],T_SelfStock[RM_Code],$A515,T_SelfStock[WeekIndex],89),"")</f>
        <v/>
      </c>
      <c r="CP632">
        <f>IFERROR(SUMIFS(T_SelfStock[Self_Qty],T_SelfStock[RM_Code],$A515,T_SelfStock[WeekIndex],90),"")</f>
        <v/>
      </c>
      <c r="CQ632">
        <f>IFERROR(SUMIFS(T_SelfStock[Self_Qty],T_SelfStock[RM_Code],$A515,T_SelfStock[WeekIndex],91),"")</f>
        <v/>
      </c>
      <c r="CR632">
        <f>IFERROR(SUMIFS(T_SelfStock[Self_Qty],T_SelfStock[RM_Code],$A515,T_SelfStock[WeekIndex],92),"")</f>
        <v/>
      </c>
      <c r="CS632">
        <f>IFERROR(SUMIFS(T_SelfStock[Self_Qty],T_SelfStock[RM_Code],$A515,T_SelfStock[WeekIndex],93),"")</f>
        <v/>
      </c>
      <c r="CT632">
        <f>IFERROR(SUMIFS(T_SelfStock[Self_Qty],T_SelfStock[RM_Code],$A515,T_SelfStock[WeekIndex],94),"")</f>
        <v/>
      </c>
      <c r="CU632">
        <f>IFERROR(SUMIFS(T_SelfStock[Self_Qty],T_SelfStock[RM_Code],$A515,T_SelfStock[WeekIndex],95),"")</f>
        <v/>
      </c>
      <c r="CV632">
        <f>IFERROR(SUMIFS(T_SelfStock[Self_Qty],T_SelfStock[RM_Code],$A515,T_SelfStock[WeekIndex],96),"")</f>
        <v/>
      </c>
      <c r="CW632">
        <f>IFERROR(SUMIFS(T_SelfStock[Self_Qty],T_SelfStock[RM_Code],$A515,T_SelfStock[WeekIndex],97),"")</f>
        <v/>
      </c>
      <c r="CX632">
        <f>IFERROR(SUMIFS(T_SelfStock[Self_Qty],T_SelfStock[RM_Code],$A515,T_SelfStock[WeekIndex],98),"")</f>
        <v/>
      </c>
      <c r="CY632">
        <f>IFERROR(SUMIFS(T_SelfStock[Self_Qty],T_SelfStock[RM_Code],$A515,T_SelfStock[WeekIndex],99),"")</f>
        <v/>
      </c>
      <c r="CZ632">
        <f>IFERROR(SUMIFS(T_SelfStock[Self_Qty],T_SelfStock[RM_Code],$A515,T_SelfStock[WeekIndex],100),"")</f>
        <v/>
      </c>
      <c r="DA632">
        <f>IFERROR(SUMIFS(T_SelfStock[Self_Qty],T_SelfStock[RM_Code],$A515,T_SelfStock[WeekIndex],101),"")</f>
        <v/>
      </c>
      <c r="DB632">
        <f>IFERROR(SUMIFS(T_SelfStock[Self_Qty],T_SelfStock[RM_Code],$A515,T_SelfStock[WeekIndex],102),"")</f>
        <v/>
      </c>
      <c r="DC632">
        <f>IFERROR(SUMIFS(T_SelfStock[Self_Qty],T_SelfStock[RM_Code],$A515,T_SelfStock[WeekIndex],103),"")</f>
        <v/>
      </c>
      <c r="DD632">
        <f>IFERROR(SUMIFS(T_SelfStock[Self_Qty],T_SelfStock[RM_Code],$A515,T_SelfStock[WeekIndex],104),"")</f>
        <v/>
      </c>
    </row>
    <row r="633">
      <c r="B633" s="4" t="inlineStr">
        <is>
          <t>合計在庫(週末時点,kg)</t>
        </is>
      </c>
      <c r="D633" s="24">
        <f>IFERROR(INDEX(E633:DD633,$F$1),"")</f>
        <v/>
      </c>
      <c r="E633">
        <f>'Grid_Stock'!B10</f>
        <v/>
      </c>
      <c r="F633">
        <f>'Grid_Stock'!C10</f>
        <v/>
      </c>
      <c r="G633">
        <f>'Grid_Stock'!D10</f>
        <v/>
      </c>
      <c r="H633">
        <f>'Grid_Stock'!E10</f>
        <v/>
      </c>
      <c r="I633">
        <f>'Grid_Stock'!F10</f>
        <v/>
      </c>
      <c r="J633">
        <f>'Grid_Stock'!G10</f>
        <v/>
      </c>
      <c r="K633">
        <f>'Grid_Stock'!H10</f>
        <v/>
      </c>
      <c r="L633">
        <f>'Grid_Stock'!I10</f>
        <v/>
      </c>
      <c r="M633">
        <f>'Grid_Stock'!J10</f>
        <v/>
      </c>
      <c r="N633">
        <f>'Grid_Stock'!K10</f>
        <v/>
      </c>
      <c r="O633">
        <f>'Grid_Stock'!L10</f>
        <v/>
      </c>
      <c r="P633">
        <f>'Grid_Stock'!M10</f>
        <v/>
      </c>
      <c r="Q633">
        <f>'Grid_Stock'!N10</f>
        <v/>
      </c>
      <c r="R633">
        <f>'Grid_Stock'!O10</f>
        <v/>
      </c>
      <c r="S633">
        <f>'Grid_Stock'!P10</f>
        <v/>
      </c>
      <c r="T633">
        <f>'Grid_Stock'!Q10</f>
        <v/>
      </c>
      <c r="U633">
        <f>'Grid_Stock'!R10</f>
        <v/>
      </c>
      <c r="V633">
        <f>'Grid_Stock'!S10</f>
        <v/>
      </c>
      <c r="W633">
        <f>'Grid_Stock'!T10</f>
        <v/>
      </c>
      <c r="X633">
        <f>'Grid_Stock'!U10</f>
        <v/>
      </c>
      <c r="Y633">
        <f>'Grid_Stock'!V10</f>
        <v/>
      </c>
      <c r="Z633">
        <f>'Grid_Stock'!W10</f>
        <v/>
      </c>
      <c r="AA633">
        <f>'Grid_Stock'!X10</f>
        <v/>
      </c>
      <c r="AB633">
        <f>'Grid_Stock'!Y10</f>
        <v/>
      </c>
      <c r="AC633">
        <f>'Grid_Stock'!Z10</f>
        <v/>
      </c>
      <c r="AD633">
        <f>'Grid_Stock'!AA10</f>
        <v/>
      </c>
      <c r="AE633">
        <f>'Grid_Stock'!AB10</f>
        <v/>
      </c>
      <c r="AF633">
        <f>'Grid_Stock'!AC10</f>
        <v/>
      </c>
      <c r="AG633">
        <f>'Grid_Stock'!AD10</f>
        <v/>
      </c>
      <c r="AH633">
        <f>'Grid_Stock'!AE10</f>
        <v/>
      </c>
      <c r="AI633">
        <f>'Grid_Stock'!AF10</f>
        <v/>
      </c>
      <c r="AJ633">
        <f>'Grid_Stock'!AG10</f>
        <v/>
      </c>
      <c r="AK633">
        <f>'Grid_Stock'!AH10</f>
        <v/>
      </c>
      <c r="AL633">
        <f>'Grid_Stock'!AI10</f>
        <v/>
      </c>
      <c r="AM633">
        <f>'Grid_Stock'!AJ10</f>
        <v/>
      </c>
      <c r="AN633">
        <f>'Grid_Stock'!AK10</f>
        <v/>
      </c>
      <c r="AO633">
        <f>'Grid_Stock'!AL10</f>
        <v/>
      </c>
      <c r="AP633">
        <f>'Grid_Stock'!AM10</f>
        <v/>
      </c>
      <c r="AQ633">
        <f>'Grid_Stock'!AN10</f>
        <v/>
      </c>
      <c r="AR633">
        <f>'Grid_Stock'!AO10</f>
        <v/>
      </c>
      <c r="AS633">
        <f>'Grid_Stock'!AP10</f>
        <v/>
      </c>
      <c r="AT633">
        <f>'Grid_Stock'!AQ10</f>
        <v/>
      </c>
      <c r="AU633">
        <f>'Grid_Stock'!AR10</f>
        <v/>
      </c>
      <c r="AV633">
        <f>'Grid_Stock'!AS10</f>
        <v/>
      </c>
      <c r="AW633">
        <f>'Grid_Stock'!AT10</f>
        <v/>
      </c>
      <c r="AX633">
        <f>'Grid_Stock'!AU10</f>
        <v/>
      </c>
      <c r="AY633">
        <f>'Grid_Stock'!AV10</f>
        <v/>
      </c>
      <c r="AZ633">
        <f>'Grid_Stock'!AW10</f>
        <v/>
      </c>
      <c r="BA633">
        <f>'Grid_Stock'!AX10</f>
        <v/>
      </c>
      <c r="BB633">
        <f>'Grid_Stock'!AY10</f>
        <v/>
      </c>
      <c r="BC633">
        <f>'Grid_Stock'!AZ10</f>
        <v/>
      </c>
      <c r="BD633">
        <f>'Grid_Stock'!BA10</f>
        <v/>
      </c>
      <c r="BE633">
        <f>'Grid_Stock'!BB10</f>
        <v/>
      </c>
      <c r="BF633">
        <f>'Grid_Stock'!BC10</f>
        <v/>
      </c>
      <c r="BG633">
        <f>'Grid_Stock'!BD10</f>
        <v/>
      </c>
      <c r="BH633">
        <f>'Grid_Stock'!BE10</f>
        <v/>
      </c>
      <c r="BI633">
        <f>'Grid_Stock'!BF10</f>
        <v/>
      </c>
      <c r="BJ633">
        <f>'Grid_Stock'!BG10</f>
        <v/>
      </c>
      <c r="BK633">
        <f>'Grid_Stock'!BH10</f>
        <v/>
      </c>
      <c r="BL633">
        <f>'Grid_Stock'!BI10</f>
        <v/>
      </c>
      <c r="BM633">
        <f>'Grid_Stock'!BJ10</f>
        <v/>
      </c>
      <c r="BN633">
        <f>'Grid_Stock'!BK10</f>
        <v/>
      </c>
      <c r="BO633">
        <f>'Grid_Stock'!BL10</f>
        <v/>
      </c>
      <c r="BP633">
        <f>'Grid_Stock'!BM10</f>
        <v/>
      </c>
      <c r="BQ633">
        <f>'Grid_Stock'!BN10</f>
        <v/>
      </c>
      <c r="BR633">
        <f>'Grid_Stock'!BO10</f>
        <v/>
      </c>
      <c r="BS633">
        <f>'Grid_Stock'!BP10</f>
        <v/>
      </c>
      <c r="BT633">
        <f>'Grid_Stock'!BQ10</f>
        <v/>
      </c>
      <c r="BU633">
        <f>'Grid_Stock'!BR10</f>
        <v/>
      </c>
      <c r="BV633">
        <f>'Grid_Stock'!BS10</f>
        <v/>
      </c>
      <c r="BW633">
        <f>'Grid_Stock'!BT10</f>
        <v/>
      </c>
      <c r="BX633">
        <f>'Grid_Stock'!BU10</f>
        <v/>
      </c>
      <c r="BY633">
        <f>'Grid_Stock'!BV10</f>
        <v/>
      </c>
      <c r="BZ633">
        <f>'Grid_Stock'!BW10</f>
        <v/>
      </c>
      <c r="CA633">
        <f>'Grid_Stock'!BX10</f>
        <v/>
      </c>
      <c r="CB633">
        <f>'Grid_Stock'!BY10</f>
        <v/>
      </c>
      <c r="CC633">
        <f>'Grid_Stock'!BZ10</f>
        <v/>
      </c>
      <c r="CD633">
        <f>'Grid_Stock'!CA10</f>
        <v/>
      </c>
      <c r="CE633">
        <f>'Grid_Stock'!CB10</f>
        <v/>
      </c>
      <c r="CF633">
        <f>'Grid_Stock'!CC10</f>
        <v/>
      </c>
      <c r="CG633">
        <f>'Grid_Stock'!CD10</f>
        <v/>
      </c>
      <c r="CH633">
        <f>'Grid_Stock'!CE10</f>
        <v/>
      </c>
      <c r="CI633">
        <f>'Grid_Stock'!CF10</f>
        <v/>
      </c>
      <c r="CJ633">
        <f>'Grid_Stock'!CG10</f>
        <v/>
      </c>
      <c r="CK633">
        <f>'Grid_Stock'!CH10</f>
        <v/>
      </c>
      <c r="CL633">
        <f>'Grid_Stock'!CI10</f>
        <v/>
      </c>
      <c r="CM633">
        <f>'Grid_Stock'!CJ10</f>
        <v/>
      </c>
      <c r="CN633">
        <f>'Grid_Stock'!CK10</f>
        <v/>
      </c>
      <c r="CO633">
        <f>'Grid_Stock'!CL10</f>
        <v/>
      </c>
      <c r="CP633">
        <f>'Grid_Stock'!CM10</f>
        <v/>
      </c>
      <c r="CQ633">
        <f>'Grid_Stock'!CN10</f>
        <v/>
      </c>
      <c r="CR633">
        <f>'Grid_Stock'!CO10</f>
        <v/>
      </c>
      <c r="CS633">
        <f>'Grid_Stock'!CP10</f>
        <v/>
      </c>
      <c r="CT633">
        <f>'Grid_Stock'!CQ10</f>
        <v/>
      </c>
      <c r="CU633">
        <f>'Grid_Stock'!CR10</f>
        <v/>
      </c>
      <c r="CV633">
        <f>'Grid_Stock'!CS10</f>
        <v/>
      </c>
      <c r="CW633">
        <f>'Grid_Stock'!CT10</f>
        <v/>
      </c>
      <c r="CX633">
        <f>'Grid_Stock'!CU10</f>
        <v/>
      </c>
      <c r="CY633">
        <f>'Grid_Stock'!CV10</f>
        <v/>
      </c>
      <c r="CZ633">
        <f>'Grid_Stock'!CW10</f>
        <v/>
      </c>
      <c r="DA633">
        <f>'Grid_Stock'!CX10</f>
        <v/>
      </c>
      <c r="DB633">
        <f>'Grid_Stock'!CY10</f>
        <v/>
      </c>
      <c r="DC633">
        <f>'Grid_Stock'!CZ10</f>
        <v/>
      </c>
      <c r="DD633">
        <f>'Grid_Stock'!DA10</f>
        <v/>
      </c>
    </row>
    <row r="634">
      <c r="B634" s="25" t="inlineStr">
        <is>
          <t>（発注の目安はDashboardの基準在庫[下限/上限]と色分けを参照）</t>
        </is>
      </c>
    </row>
    <row r="636">
      <c r="A636" s="21" t="inlineStr">
        <is>
          <t>CHEM-1400</t>
        </is>
      </c>
      <c r="B636" s="21" t="inlineStr">
        <is>
          <t>DISPAL 23N4-80</t>
        </is>
      </c>
      <c r="C636" s="22" t="n"/>
      <c r="D636" s="21" t="n"/>
      <c r="E636" s="21" t="n"/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  <c r="AA636" s="21" t="n"/>
      <c r="AB636" s="21" t="n"/>
      <c r="AC636" s="21" t="n"/>
      <c r="AD636" s="21" t="n"/>
      <c r="AE636" s="21" t="n"/>
      <c r="AF636" s="21" t="n"/>
      <c r="AG636" s="21" t="n"/>
      <c r="AH636" s="21" t="n"/>
      <c r="AI636" s="21" t="n"/>
      <c r="AJ636" s="21" t="n"/>
      <c r="AK636" s="21" t="n"/>
      <c r="AL636" s="21" t="n"/>
      <c r="AM636" s="21" t="n"/>
      <c r="AN636" s="21" t="n"/>
      <c r="AO636" s="21" t="n"/>
      <c r="AP636" s="21" t="n"/>
      <c r="AQ636" s="21" t="n"/>
      <c r="AR636" s="21" t="n"/>
      <c r="AS636" s="21" t="n"/>
      <c r="AT636" s="21" t="n"/>
      <c r="AU636" s="21" t="n"/>
      <c r="AV636" s="21" t="n"/>
      <c r="AW636" s="21" t="n"/>
      <c r="AX636" s="21" t="n"/>
      <c r="AY636" s="21" t="n"/>
      <c r="AZ636" s="21" t="n"/>
      <c r="BA636" s="21" t="n"/>
      <c r="BB636" s="21" t="n"/>
      <c r="BC636" s="21" t="n"/>
      <c r="BD636" s="21" t="n"/>
      <c r="BE636" s="21" t="n"/>
      <c r="BF636" s="21" t="n"/>
      <c r="BG636" s="21" t="n"/>
      <c r="BH636" s="21" t="n"/>
      <c r="BI636" s="21" t="n"/>
      <c r="BJ636" s="21" t="n"/>
      <c r="BK636" s="21" t="n"/>
      <c r="BL636" s="21" t="n"/>
      <c r="BM636" s="21" t="n"/>
      <c r="BN636" s="21" t="n"/>
      <c r="BO636" s="21" t="n"/>
      <c r="BP636" s="21" t="n"/>
      <c r="BQ636" s="21" t="n"/>
      <c r="BR636" s="21" t="n"/>
      <c r="BS636" s="21" t="n"/>
      <c r="BT636" s="21" t="n"/>
      <c r="BU636" s="21" t="n"/>
      <c r="BV636" s="21" t="n"/>
      <c r="BW636" s="21" t="n"/>
      <c r="BX636" s="21" t="n"/>
      <c r="BY636" s="21" t="n"/>
      <c r="BZ636" s="21" t="n"/>
      <c r="CA636" s="21" t="n"/>
      <c r="CB636" s="21" t="n"/>
      <c r="CC636" s="21" t="n"/>
      <c r="CD636" s="21" t="n"/>
      <c r="CE636" s="21" t="n"/>
      <c r="CF636" s="21" t="n"/>
      <c r="CG636" s="21" t="n"/>
      <c r="CH636" s="21" t="n"/>
      <c r="CI636" s="21" t="n"/>
      <c r="CJ636" s="21" t="n"/>
      <c r="CK636" s="21" t="n"/>
      <c r="CL636" s="21" t="n"/>
      <c r="CM636" s="21" t="n"/>
      <c r="CN636" s="21" t="n"/>
      <c r="CO636" s="21" t="n"/>
      <c r="CP636" s="21" t="n"/>
      <c r="CQ636" s="21" t="n"/>
      <c r="CR636" s="21" t="n"/>
      <c r="CS636" s="21" t="n"/>
      <c r="CT636" s="21" t="n"/>
      <c r="CU636" s="21" t="n"/>
      <c r="CV636" s="21" t="n"/>
      <c r="CW636" s="21" t="n"/>
      <c r="CX636" s="21" t="n"/>
      <c r="CY636" s="21" t="n"/>
      <c r="CZ636" s="21" t="n"/>
      <c r="DA636" s="21" t="n"/>
      <c r="DB636" s="21" t="n"/>
      <c r="DC636" s="21" t="n"/>
      <c r="DD636" s="21" t="n"/>
    </row>
    <row r="637">
      <c r="B637" t="inlineStr">
        <is>
          <t>TSP-050</t>
        </is>
      </c>
      <c r="C637" t="inlineStr">
        <is>
          <t>No. of batches</t>
        </is>
      </c>
      <c r="D637">
        <f>IFERROR(INDEX(E637:DD637,$F$1),"")</f>
        <v/>
      </c>
      <c r="E637">
        <f>IFERROR(INDEX(PP_Grid[#Data],$DE637,2),0)</f>
        <v/>
      </c>
      <c r="F637">
        <f>IFERROR(INDEX(PP_Grid[#Data],$DE637,3),0)</f>
        <v/>
      </c>
      <c r="G637">
        <f>IFERROR(INDEX(PP_Grid[#Data],$DE637,4),0)</f>
        <v/>
      </c>
      <c r="H637">
        <f>IFERROR(INDEX(PP_Grid[#Data],$DE637,5),0)</f>
        <v/>
      </c>
      <c r="I637">
        <f>IFERROR(INDEX(PP_Grid[#Data],$DE637,6),0)</f>
        <v/>
      </c>
      <c r="J637">
        <f>IFERROR(INDEX(PP_Grid[#Data],$DE637,7),0)</f>
        <v/>
      </c>
      <c r="K637">
        <f>IFERROR(INDEX(PP_Grid[#Data],$DE637,8),0)</f>
        <v/>
      </c>
      <c r="L637">
        <f>IFERROR(INDEX(PP_Grid[#Data],$DE637,9),0)</f>
        <v/>
      </c>
      <c r="M637">
        <f>IFERROR(INDEX(PP_Grid[#Data],$DE637,10),0)</f>
        <v/>
      </c>
      <c r="N637">
        <f>IFERROR(INDEX(PP_Grid[#Data],$DE637,11),0)</f>
        <v/>
      </c>
      <c r="O637">
        <f>IFERROR(INDEX(PP_Grid[#Data],$DE637,12),0)</f>
        <v/>
      </c>
      <c r="P637">
        <f>IFERROR(INDEX(PP_Grid[#Data],$DE637,13),0)</f>
        <v/>
      </c>
      <c r="Q637">
        <f>IFERROR(INDEX(PP_Grid[#Data],$DE637,14),0)</f>
        <v/>
      </c>
      <c r="R637">
        <f>IFERROR(INDEX(PP_Grid[#Data],$DE637,15),0)</f>
        <v/>
      </c>
      <c r="S637">
        <f>IFERROR(INDEX(PP_Grid[#Data],$DE637,16),0)</f>
        <v/>
      </c>
      <c r="T637">
        <f>IFERROR(INDEX(PP_Grid[#Data],$DE637,17),0)</f>
        <v/>
      </c>
      <c r="U637">
        <f>IFERROR(INDEX(PP_Grid[#Data],$DE637,18),0)</f>
        <v/>
      </c>
      <c r="V637">
        <f>IFERROR(INDEX(PP_Grid[#Data],$DE637,19),0)</f>
        <v/>
      </c>
      <c r="W637">
        <f>IFERROR(INDEX(PP_Grid[#Data],$DE637,20),0)</f>
        <v/>
      </c>
      <c r="X637">
        <f>IFERROR(INDEX(PP_Grid[#Data],$DE637,21),0)</f>
        <v/>
      </c>
      <c r="Y637">
        <f>IFERROR(INDEX(PP_Grid[#Data],$DE637,22),0)</f>
        <v/>
      </c>
      <c r="Z637">
        <f>IFERROR(INDEX(PP_Grid[#Data],$DE637,23),0)</f>
        <v/>
      </c>
      <c r="AA637">
        <f>IFERROR(INDEX(PP_Grid[#Data],$DE637,24),0)</f>
        <v/>
      </c>
      <c r="AB637">
        <f>IFERROR(INDEX(PP_Grid[#Data],$DE637,25),0)</f>
        <v/>
      </c>
      <c r="AC637">
        <f>IFERROR(INDEX(PP_Grid[#Data],$DE637,26),0)</f>
        <v/>
      </c>
      <c r="AD637">
        <f>IFERROR(INDEX(PP_Grid[#Data],$DE637,27),0)</f>
        <v/>
      </c>
      <c r="AE637">
        <f>IFERROR(INDEX(PP_Grid[#Data],$DE637,28),0)</f>
        <v/>
      </c>
      <c r="AF637">
        <f>IFERROR(INDEX(PP_Grid[#Data],$DE637,29),0)</f>
        <v/>
      </c>
      <c r="AG637">
        <f>IFERROR(INDEX(PP_Grid[#Data],$DE637,30),0)</f>
        <v/>
      </c>
      <c r="AH637">
        <f>IFERROR(INDEX(PP_Grid[#Data],$DE637,31),0)</f>
        <v/>
      </c>
      <c r="AI637">
        <f>IFERROR(INDEX(PP_Grid[#Data],$DE637,32),0)</f>
        <v/>
      </c>
      <c r="AJ637">
        <f>IFERROR(INDEX(PP_Grid[#Data],$DE637,33),0)</f>
        <v/>
      </c>
      <c r="AK637">
        <f>IFERROR(INDEX(PP_Grid[#Data],$DE637,34),0)</f>
        <v/>
      </c>
      <c r="AL637">
        <f>IFERROR(INDEX(PP_Grid[#Data],$DE637,35),0)</f>
        <v/>
      </c>
      <c r="AM637">
        <f>IFERROR(INDEX(PP_Grid[#Data],$DE637,36),0)</f>
        <v/>
      </c>
      <c r="AN637">
        <f>IFERROR(INDEX(PP_Grid[#Data],$DE637,37),0)</f>
        <v/>
      </c>
      <c r="AO637">
        <f>IFERROR(INDEX(PP_Grid[#Data],$DE637,38),0)</f>
        <v/>
      </c>
      <c r="AP637">
        <f>IFERROR(INDEX(PP_Grid[#Data],$DE637,39),0)</f>
        <v/>
      </c>
      <c r="AQ637">
        <f>IFERROR(INDEX(PP_Grid[#Data],$DE637,40),0)</f>
        <v/>
      </c>
      <c r="AR637">
        <f>IFERROR(INDEX(PP_Grid[#Data],$DE637,41),0)</f>
        <v/>
      </c>
      <c r="AS637">
        <f>IFERROR(INDEX(PP_Grid[#Data],$DE637,42),0)</f>
        <v/>
      </c>
      <c r="AT637">
        <f>IFERROR(INDEX(PP_Grid[#Data],$DE637,43),0)</f>
        <v/>
      </c>
      <c r="AU637">
        <f>IFERROR(INDEX(PP_Grid[#Data],$DE637,44),0)</f>
        <v/>
      </c>
      <c r="AV637">
        <f>IFERROR(INDEX(PP_Grid[#Data],$DE637,45),0)</f>
        <v/>
      </c>
      <c r="AW637">
        <f>IFERROR(INDEX(PP_Grid[#Data],$DE637,46),0)</f>
        <v/>
      </c>
      <c r="AX637">
        <f>IFERROR(INDEX(PP_Grid[#Data],$DE637,47),0)</f>
        <v/>
      </c>
      <c r="AY637">
        <f>IFERROR(INDEX(PP_Grid[#Data],$DE637,48),0)</f>
        <v/>
      </c>
      <c r="AZ637">
        <f>IFERROR(INDEX(PP_Grid[#Data],$DE637,49),0)</f>
        <v/>
      </c>
      <c r="BA637">
        <f>IFERROR(INDEX(PP_Grid[#Data],$DE637,50),0)</f>
        <v/>
      </c>
      <c r="BB637">
        <f>IFERROR(INDEX(PP_Grid[#Data],$DE637,51),0)</f>
        <v/>
      </c>
      <c r="BC637">
        <f>IFERROR(INDEX(PP_Grid[#Data],$DE637,52),0)</f>
        <v/>
      </c>
      <c r="BD637">
        <f>IFERROR(INDEX(PP_Grid[#Data],$DE637,53),0)</f>
        <v/>
      </c>
      <c r="BE637">
        <f>IFERROR(INDEX(PP_Grid[#Data],$DE637,54),0)</f>
        <v/>
      </c>
      <c r="BF637">
        <f>IFERROR(INDEX(PP_Grid[#Data],$DE637,55),0)</f>
        <v/>
      </c>
      <c r="BG637">
        <f>IFERROR(INDEX(PP_Grid[#Data],$DE637,56),0)</f>
        <v/>
      </c>
      <c r="BH637">
        <f>IFERROR(INDEX(PP_Grid[#Data],$DE637,57),0)</f>
        <v/>
      </c>
      <c r="BI637">
        <f>IFERROR(INDEX(PP_Grid[#Data],$DE637,58),0)</f>
        <v/>
      </c>
      <c r="BJ637">
        <f>IFERROR(INDEX(PP_Grid[#Data],$DE637,59),0)</f>
        <v/>
      </c>
      <c r="BK637">
        <f>IFERROR(INDEX(PP_Grid[#Data],$DE637,60),0)</f>
        <v/>
      </c>
      <c r="BL637">
        <f>IFERROR(INDEX(PP_Grid[#Data],$DE637,61),0)</f>
        <v/>
      </c>
      <c r="BM637">
        <f>IFERROR(INDEX(PP_Grid[#Data],$DE637,62),0)</f>
        <v/>
      </c>
      <c r="BN637">
        <f>IFERROR(INDEX(PP_Grid[#Data],$DE637,63),0)</f>
        <v/>
      </c>
      <c r="BO637">
        <f>IFERROR(INDEX(PP_Grid[#Data],$DE637,64),0)</f>
        <v/>
      </c>
      <c r="BP637">
        <f>IFERROR(INDEX(PP_Grid[#Data],$DE637,65),0)</f>
        <v/>
      </c>
      <c r="BQ637">
        <f>IFERROR(INDEX(PP_Grid[#Data],$DE637,66),0)</f>
        <v/>
      </c>
      <c r="BR637">
        <f>IFERROR(INDEX(PP_Grid[#Data],$DE637,67),0)</f>
        <v/>
      </c>
      <c r="BS637">
        <f>IFERROR(INDEX(PP_Grid[#Data],$DE637,68),0)</f>
        <v/>
      </c>
      <c r="BT637">
        <f>IFERROR(INDEX(PP_Grid[#Data],$DE637,69),0)</f>
        <v/>
      </c>
      <c r="BU637">
        <f>IFERROR(INDEX(PP_Grid[#Data],$DE637,70),0)</f>
        <v/>
      </c>
      <c r="BV637">
        <f>IFERROR(INDEX(PP_Grid[#Data],$DE637,71),0)</f>
        <v/>
      </c>
      <c r="BW637">
        <f>IFERROR(INDEX(PP_Grid[#Data],$DE637,72),0)</f>
        <v/>
      </c>
      <c r="BX637">
        <f>IFERROR(INDEX(PP_Grid[#Data],$DE637,73),0)</f>
        <v/>
      </c>
      <c r="BY637">
        <f>IFERROR(INDEX(PP_Grid[#Data],$DE637,74),0)</f>
        <v/>
      </c>
      <c r="BZ637">
        <f>IFERROR(INDEX(PP_Grid[#Data],$DE637,75),0)</f>
        <v/>
      </c>
      <c r="CA637">
        <f>IFERROR(INDEX(PP_Grid[#Data],$DE637,76),0)</f>
        <v/>
      </c>
      <c r="CB637">
        <f>IFERROR(INDEX(PP_Grid[#Data],$DE637,77),0)</f>
        <v/>
      </c>
      <c r="CC637">
        <f>IFERROR(INDEX(PP_Grid[#Data],$DE637,78),0)</f>
        <v/>
      </c>
      <c r="CD637">
        <f>IFERROR(INDEX(PP_Grid[#Data],$DE637,79),0)</f>
        <v/>
      </c>
      <c r="CE637">
        <f>IFERROR(INDEX(PP_Grid[#Data],$DE637,80),0)</f>
        <v/>
      </c>
      <c r="CF637">
        <f>IFERROR(INDEX(PP_Grid[#Data],$DE637,81),0)</f>
        <v/>
      </c>
      <c r="CG637">
        <f>IFERROR(INDEX(PP_Grid[#Data],$DE637,82),0)</f>
        <v/>
      </c>
      <c r="CH637">
        <f>IFERROR(INDEX(PP_Grid[#Data],$DE637,83),0)</f>
        <v/>
      </c>
      <c r="CI637">
        <f>IFERROR(INDEX(PP_Grid[#Data],$DE637,84),0)</f>
        <v/>
      </c>
      <c r="CJ637">
        <f>IFERROR(INDEX(PP_Grid[#Data],$DE637,85),0)</f>
        <v/>
      </c>
      <c r="CK637">
        <f>IFERROR(INDEX(PP_Grid[#Data],$DE637,86),0)</f>
        <v/>
      </c>
      <c r="CL637">
        <f>IFERROR(INDEX(PP_Grid[#Data],$DE637,87),0)</f>
        <v/>
      </c>
      <c r="CM637">
        <f>IFERROR(INDEX(PP_Grid[#Data],$DE637,88),0)</f>
        <v/>
      </c>
      <c r="CN637">
        <f>IFERROR(INDEX(PP_Grid[#Data],$DE637,89),0)</f>
        <v/>
      </c>
      <c r="CO637">
        <f>IFERROR(INDEX(PP_Grid[#Data],$DE637,90),0)</f>
        <v/>
      </c>
      <c r="CP637">
        <f>IFERROR(INDEX(PP_Grid[#Data],$DE637,91),0)</f>
        <v/>
      </c>
      <c r="CQ637">
        <f>IFERROR(INDEX(PP_Grid[#Data],$DE637,92),0)</f>
        <v/>
      </c>
      <c r="CR637">
        <f>IFERROR(INDEX(PP_Grid[#Data],$DE637,93),0)</f>
        <v/>
      </c>
      <c r="CS637">
        <f>IFERROR(INDEX(PP_Grid[#Data],$DE637,94),0)</f>
        <v/>
      </c>
      <c r="CT637">
        <f>IFERROR(INDEX(PP_Grid[#Data],$DE637,95),0)</f>
        <v/>
      </c>
      <c r="CU637">
        <f>IFERROR(INDEX(PP_Grid[#Data],$DE637,96),0)</f>
        <v/>
      </c>
      <c r="CV637">
        <f>IFERROR(INDEX(PP_Grid[#Data],$DE637,97),0)</f>
        <v/>
      </c>
      <c r="CW637">
        <f>IFERROR(INDEX(PP_Grid[#Data],$DE637,98),0)</f>
        <v/>
      </c>
      <c r="CX637">
        <f>IFERROR(INDEX(PP_Grid[#Data],$DE637,99),0)</f>
        <v/>
      </c>
      <c r="CY637">
        <f>IFERROR(INDEX(PP_Grid[#Data],$DE637,100),0)</f>
        <v/>
      </c>
      <c r="CZ637">
        <f>IFERROR(INDEX(PP_Grid[#Data],$DE637,101),0)</f>
        <v/>
      </c>
      <c r="DA637">
        <f>IFERROR(INDEX(PP_Grid[#Data],$DE637,102),0)</f>
        <v/>
      </c>
      <c r="DB637">
        <f>IFERROR(INDEX(PP_Grid[#Data],$DE637,103),0)</f>
        <v/>
      </c>
      <c r="DC637">
        <f>IFERROR(INDEX(PP_Grid[#Data],$DE637,104),0)</f>
        <v/>
      </c>
      <c r="DD637">
        <f>IFERROR(INDEX(PP_Grid[#Data],$DE637,105),0)</f>
        <v/>
      </c>
      <c r="DE637" s="7">
        <f>IFERROR(MATCH($B637,PP_Grid[Intermediate],0),99999)</f>
        <v/>
      </c>
    </row>
    <row r="638">
      <c r="B638" t="inlineStr">
        <is>
          <t>使用量(kg)</t>
        </is>
      </c>
      <c r="C638">
        <f>SUMIFS(M_BOM[RM_Qty_Per_Batch],M_BOM[Intermediate],$B637,M_BOM[RM_Code],$A636)</f>
        <v/>
      </c>
      <c r="D638">
        <f>IFERROR(INDEX(E638:DD638,$F$1),"")</f>
        <v/>
      </c>
      <c r="E638">
        <f>$C638*E637</f>
        <v/>
      </c>
      <c r="F638">
        <f>$C638*F637</f>
        <v/>
      </c>
      <c r="G638">
        <f>$C638*G637</f>
        <v/>
      </c>
      <c r="H638">
        <f>$C638*H637</f>
        <v/>
      </c>
      <c r="I638">
        <f>$C638*I637</f>
        <v/>
      </c>
      <c r="J638">
        <f>$C638*J637</f>
        <v/>
      </c>
      <c r="K638">
        <f>$C638*K637</f>
        <v/>
      </c>
      <c r="L638">
        <f>$C638*L637</f>
        <v/>
      </c>
      <c r="M638">
        <f>$C638*M637</f>
        <v/>
      </c>
      <c r="N638">
        <f>$C638*N637</f>
        <v/>
      </c>
      <c r="O638">
        <f>$C638*O637</f>
        <v/>
      </c>
      <c r="P638">
        <f>$C638*P637</f>
        <v/>
      </c>
      <c r="Q638">
        <f>$C638*Q637</f>
        <v/>
      </c>
      <c r="R638">
        <f>$C638*R637</f>
        <v/>
      </c>
      <c r="S638">
        <f>$C638*S637</f>
        <v/>
      </c>
      <c r="T638">
        <f>$C638*T637</f>
        <v/>
      </c>
      <c r="U638">
        <f>$C638*U637</f>
        <v/>
      </c>
      <c r="V638">
        <f>$C638*V637</f>
        <v/>
      </c>
      <c r="W638">
        <f>$C638*W637</f>
        <v/>
      </c>
      <c r="X638">
        <f>$C638*X637</f>
        <v/>
      </c>
      <c r="Y638">
        <f>$C638*Y637</f>
        <v/>
      </c>
      <c r="Z638">
        <f>$C638*Z637</f>
        <v/>
      </c>
      <c r="AA638">
        <f>$C638*AA637</f>
        <v/>
      </c>
      <c r="AB638">
        <f>$C638*AB637</f>
        <v/>
      </c>
      <c r="AC638">
        <f>$C638*AC637</f>
        <v/>
      </c>
      <c r="AD638">
        <f>$C638*AD637</f>
        <v/>
      </c>
      <c r="AE638">
        <f>$C638*AE637</f>
        <v/>
      </c>
      <c r="AF638">
        <f>$C638*AF637</f>
        <v/>
      </c>
      <c r="AG638">
        <f>$C638*AG637</f>
        <v/>
      </c>
      <c r="AH638">
        <f>$C638*AH637</f>
        <v/>
      </c>
      <c r="AI638">
        <f>$C638*AI637</f>
        <v/>
      </c>
      <c r="AJ638">
        <f>$C638*AJ637</f>
        <v/>
      </c>
      <c r="AK638">
        <f>$C638*AK637</f>
        <v/>
      </c>
      <c r="AL638">
        <f>$C638*AL637</f>
        <v/>
      </c>
      <c r="AM638">
        <f>$C638*AM637</f>
        <v/>
      </c>
      <c r="AN638">
        <f>$C638*AN637</f>
        <v/>
      </c>
      <c r="AO638">
        <f>$C638*AO637</f>
        <v/>
      </c>
      <c r="AP638">
        <f>$C638*AP637</f>
        <v/>
      </c>
      <c r="AQ638">
        <f>$C638*AQ637</f>
        <v/>
      </c>
      <c r="AR638">
        <f>$C638*AR637</f>
        <v/>
      </c>
      <c r="AS638">
        <f>$C638*AS637</f>
        <v/>
      </c>
      <c r="AT638">
        <f>$C638*AT637</f>
        <v/>
      </c>
      <c r="AU638">
        <f>$C638*AU637</f>
        <v/>
      </c>
      <c r="AV638">
        <f>$C638*AV637</f>
        <v/>
      </c>
      <c r="AW638">
        <f>$C638*AW637</f>
        <v/>
      </c>
      <c r="AX638">
        <f>$C638*AX637</f>
        <v/>
      </c>
      <c r="AY638">
        <f>$C638*AY637</f>
        <v/>
      </c>
      <c r="AZ638">
        <f>$C638*AZ637</f>
        <v/>
      </c>
      <c r="BA638">
        <f>$C638*BA637</f>
        <v/>
      </c>
      <c r="BB638">
        <f>$C638*BB637</f>
        <v/>
      </c>
      <c r="BC638">
        <f>$C638*BC637</f>
        <v/>
      </c>
      <c r="BD638">
        <f>$C638*BD637</f>
        <v/>
      </c>
      <c r="BE638">
        <f>$C638*BE637</f>
        <v/>
      </c>
      <c r="BF638">
        <f>$C638*BF637</f>
        <v/>
      </c>
      <c r="BG638">
        <f>$C638*BG637</f>
        <v/>
      </c>
      <c r="BH638">
        <f>$C638*BH637</f>
        <v/>
      </c>
      <c r="BI638">
        <f>$C638*BI637</f>
        <v/>
      </c>
      <c r="BJ638">
        <f>$C638*BJ637</f>
        <v/>
      </c>
      <c r="BK638">
        <f>$C638*BK637</f>
        <v/>
      </c>
      <c r="BL638">
        <f>$C638*BL637</f>
        <v/>
      </c>
      <c r="BM638">
        <f>$C638*BM637</f>
        <v/>
      </c>
      <c r="BN638">
        <f>$C638*BN637</f>
        <v/>
      </c>
      <c r="BO638">
        <f>$C638*BO637</f>
        <v/>
      </c>
      <c r="BP638">
        <f>$C638*BP637</f>
        <v/>
      </c>
      <c r="BQ638">
        <f>$C638*BQ637</f>
        <v/>
      </c>
      <c r="BR638">
        <f>$C638*BR637</f>
        <v/>
      </c>
      <c r="BS638">
        <f>$C638*BS637</f>
        <v/>
      </c>
      <c r="BT638">
        <f>$C638*BT637</f>
        <v/>
      </c>
      <c r="BU638">
        <f>$C638*BU637</f>
        <v/>
      </c>
      <c r="BV638">
        <f>$C638*BV637</f>
        <v/>
      </c>
      <c r="BW638">
        <f>$C638*BW637</f>
        <v/>
      </c>
      <c r="BX638">
        <f>$C638*BX637</f>
        <v/>
      </c>
      <c r="BY638">
        <f>$C638*BY637</f>
        <v/>
      </c>
      <c r="BZ638">
        <f>$C638*BZ637</f>
        <v/>
      </c>
      <c r="CA638">
        <f>$C638*CA637</f>
        <v/>
      </c>
      <c r="CB638">
        <f>$C638*CB637</f>
        <v/>
      </c>
      <c r="CC638">
        <f>$C638*CC637</f>
        <v/>
      </c>
      <c r="CD638">
        <f>$C638*CD637</f>
        <v/>
      </c>
      <c r="CE638">
        <f>$C638*CE637</f>
        <v/>
      </c>
      <c r="CF638">
        <f>$C638*CF637</f>
        <v/>
      </c>
      <c r="CG638">
        <f>$C638*CG637</f>
        <v/>
      </c>
      <c r="CH638">
        <f>$C638*CH637</f>
        <v/>
      </c>
      <c r="CI638">
        <f>$C638*CI637</f>
        <v/>
      </c>
      <c r="CJ638">
        <f>$C638*CJ637</f>
        <v/>
      </c>
      <c r="CK638">
        <f>$C638*CK637</f>
        <v/>
      </c>
      <c r="CL638">
        <f>$C638*CL637</f>
        <v/>
      </c>
      <c r="CM638">
        <f>$C638*CM637</f>
        <v/>
      </c>
      <c r="CN638">
        <f>$C638*CN637</f>
        <v/>
      </c>
      <c r="CO638">
        <f>$C638*CO637</f>
        <v/>
      </c>
      <c r="CP638">
        <f>$C638*CP637</f>
        <v/>
      </c>
      <c r="CQ638">
        <f>$C638*CQ637</f>
        <v/>
      </c>
      <c r="CR638">
        <f>$C638*CR637</f>
        <v/>
      </c>
      <c r="CS638">
        <f>$C638*CS637</f>
        <v/>
      </c>
      <c r="CT638">
        <f>$C638*CT637</f>
        <v/>
      </c>
      <c r="CU638">
        <f>$C638*CU637</f>
        <v/>
      </c>
      <c r="CV638">
        <f>$C638*CV637</f>
        <v/>
      </c>
      <c r="CW638">
        <f>$C638*CW637</f>
        <v/>
      </c>
      <c r="CX638">
        <f>$C638*CX637</f>
        <v/>
      </c>
      <c r="CY638">
        <f>$C638*CY637</f>
        <v/>
      </c>
      <c r="CZ638">
        <f>$C638*CZ637</f>
        <v/>
      </c>
      <c r="DA638">
        <f>$C638*DA637</f>
        <v/>
      </c>
      <c r="DB638">
        <f>$C638*DB637</f>
        <v/>
      </c>
      <c r="DC638">
        <f>$C638*DC637</f>
        <v/>
      </c>
      <c r="DD638">
        <f>$C638*DD637</f>
        <v/>
      </c>
    </row>
    <row r="639">
      <c r="B639" t="inlineStr">
        <is>
          <t>TSP-078</t>
        </is>
      </c>
      <c r="C639" t="inlineStr">
        <is>
          <t>No. of batches</t>
        </is>
      </c>
      <c r="D639">
        <f>IFERROR(INDEX(E639:DD639,$F$1),"")</f>
        <v/>
      </c>
      <c r="E639">
        <f>IFERROR(INDEX(PP_Grid[#Data],$DE639,2),0)</f>
        <v/>
      </c>
      <c r="F639">
        <f>IFERROR(INDEX(PP_Grid[#Data],$DE639,3),0)</f>
        <v/>
      </c>
      <c r="G639">
        <f>IFERROR(INDEX(PP_Grid[#Data],$DE639,4),0)</f>
        <v/>
      </c>
      <c r="H639">
        <f>IFERROR(INDEX(PP_Grid[#Data],$DE639,5),0)</f>
        <v/>
      </c>
      <c r="I639">
        <f>IFERROR(INDEX(PP_Grid[#Data],$DE639,6),0)</f>
        <v/>
      </c>
      <c r="J639">
        <f>IFERROR(INDEX(PP_Grid[#Data],$DE639,7),0)</f>
        <v/>
      </c>
      <c r="K639">
        <f>IFERROR(INDEX(PP_Grid[#Data],$DE639,8),0)</f>
        <v/>
      </c>
      <c r="L639">
        <f>IFERROR(INDEX(PP_Grid[#Data],$DE639,9),0)</f>
        <v/>
      </c>
      <c r="M639">
        <f>IFERROR(INDEX(PP_Grid[#Data],$DE639,10),0)</f>
        <v/>
      </c>
      <c r="N639">
        <f>IFERROR(INDEX(PP_Grid[#Data],$DE639,11),0)</f>
        <v/>
      </c>
      <c r="O639">
        <f>IFERROR(INDEX(PP_Grid[#Data],$DE639,12),0)</f>
        <v/>
      </c>
      <c r="P639">
        <f>IFERROR(INDEX(PP_Grid[#Data],$DE639,13),0)</f>
        <v/>
      </c>
      <c r="Q639">
        <f>IFERROR(INDEX(PP_Grid[#Data],$DE639,14),0)</f>
        <v/>
      </c>
      <c r="R639">
        <f>IFERROR(INDEX(PP_Grid[#Data],$DE639,15),0)</f>
        <v/>
      </c>
      <c r="S639">
        <f>IFERROR(INDEX(PP_Grid[#Data],$DE639,16),0)</f>
        <v/>
      </c>
      <c r="T639">
        <f>IFERROR(INDEX(PP_Grid[#Data],$DE639,17),0)</f>
        <v/>
      </c>
      <c r="U639">
        <f>IFERROR(INDEX(PP_Grid[#Data],$DE639,18),0)</f>
        <v/>
      </c>
      <c r="V639">
        <f>IFERROR(INDEX(PP_Grid[#Data],$DE639,19),0)</f>
        <v/>
      </c>
      <c r="W639">
        <f>IFERROR(INDEX(PP_Grid[#Data],$DE639,20),0)</f>
        <v/>
      </c>
      <c r="X639">
        <f>IFERROR(INDEX(PP_Grid[#Data],$DE639,21),0)</f>
        <v/>
      </c>
      <c r="Y639">
        <f>IFERROR(INDEX(PP_Grid[#Data],$DE639,22),0)</f>
        <v/>
      </c>
      <c r="Z639">
        <f>IFERROR(INDEX(PP_Grid[#Data],$DE639,23),0)</f>
        <v/>
      </c>
      <c r="AA639">
        <f>IFERROR(INDEX(PP_Grid[#Data],$DE639,24),0)</f>
        <v/>
      </c>
      <c r="AB639">
        <f>IFERROR(INDEX(PP_Grid[#Data],$DE639,25),0)</f>
        <v/>
      </c>
      <c r="AC639">
        <f>IFERROR(INDEX(PP_Grid[#Data],$DE639,26),0)</f>
        <v/>
      </c>
      <c r="AD639">
        <f>IFERROR(INDEX(PP_Grid[#Data],$DE639,27),0)</f>
        <v/>
      </c>
      <c r="AE639">
        <f>IFERROR(INDEX(PP_Grid[#Data],$DE639,28),0)</f>
        <v/>
      </c>
      <c r="AF639">
        <f>IFERROR(INDEX(PP_Grid[#Data],$DE639,29),0)</f>
        <v/>
      </c>
      <c r="AG639">
        <f>IFERROR(INDEX(PP_Grid[#Data],$DE639,30),0)</f>
        <v/>
      </c>
      <c r="AH639">
        <f>IFERROR(INDEX(PP_Grid[#Data],$DE639,31),0)</f>
        <v/>
      </c>
      <c r="AI639">
        <f>IFERROR(INDEX(PP_Grid[#Data],$DE639,32),0)</f>
        <v/>
      </c>
      <c r="AJ639">
        <f>IFERROR(INDEX(PP_Grid[#Data],$DE639,33),0)</f>
        <v/>
      </c>
      <c r="AK639">
        <f>IFERROR(INDEX(PP_Grid[#Data],$DE639,34),0)</f>
        <v/>
      </c>
      <c r="AL639">
        <f>IFERROR(INDEX(PP_Grid[#Data],$DE639,35),0)</f>
        <v/>
      </c>
      <c r="AM639">
        <f>IFERROR(INDEX(PP_Grid[#Data],$DE639,36),0)</f>
        <v/>
      </c>
      <c r="AN639">
        <f>IFERROR(INDEX(PP_Grid[#Data],$DE639,37),0)</f>
        <v/>
      </c>
      <c r="AO639">
        <f>IFERROR(INDEX(PP_Grid[#Data],$DE639,38),0)</f>
        <v/>
      </c>
      <c r="AP639">
        <f>IFERROR(INDEX(PP_Grid[#Data],$DE639,39),0)</f>
        <v/>
      </c>
      <c r="AQ639">
        <f>IFERROR(INDEX(PP_Grid[#Data],$DE639,40),0)</f>
        <v/>
      </c>
      <c r="AR639">
        <f>IFERROR(INDEX(PP_Grid[#Data],$DE639,41),0)</f>
        <v/>
      </c>
      <c r="AS639">
        <f>IFERROR(INDEX(PP_Grid[#Data],$DE639,42),0)</f>
        <v/>
      </c>
      <c r="AT639">
        <f>IFERROR(INDEX(PP_Grid[#Data],$DE639,43),0)</f>
        <v/>
      </c>
      <c r="AU639">
        <f>IFERROR(INDEX(PP_Grid[#Data],$DE639,44),0)</f>
        <v/>
      </c>
      <c r="AV639">
        <f>IFERROR(INDEX(PP_Grid[#Data],$DE639,45),0)</f>
        <v/>
      </c>
      <c r="AW639">
        <f>IFERROR(INDEX(PP_Grid[#Data],$DE639,46),0)</f>
        <v/>
      </c>
      <c r="AX639">
        <f>IFERROR(INDEX(PP_Grid[#Data],$DE639,47),0)</f>
        <v/>
      </c>
      <c r="AY639">
        <f>IFERROR(INDEX(PP_Grid[#Data],$DE639,48),0)</f>
        <v/>
      </c>
      <c r="AZ639">
        <f>IFERROR(INDEX(PP_Grid[#Data],$DE639,49),0)</f>
        <v/>
      </c>
      <c r="BA639">
        <f>IFERROR(INDEX(PP_Grid[#Data],$DE639,50),0)</f>
        <v/>
      </c>
      <c r="BB639">
        <f>IFERROR(INDEX(PP_Grid[#Data],$DE639,51),0)</f>
        <v/>
      </c>
      <c r="BC639">
        <f>IFERROR(INDEX(PP_Grid[#Data],$DE639,52),0)</f>
        <v/>
      </c>
      <c r="BD639">
        <f>IFERROR(INDEX(PP_Grid[#Data],$DE639,53),0)</f>
        <v/>
      </c>
      <c r="BE639">
        <f>IFERROR(INDEX(PP_Grid[#Data],$DE639,54),0)</f>
        <v/>
      </c>
      <c r="BF639">
        <f>IFERROR(INDEX(PP_Grid[#Data],$DE639,55),0)</f>
        <v/>
      </c>
      <c r="BG639">
        <f>IFERROR(INDEX(PP_Grid[#Data],$DE639,56),0)</f>
        <v/>
      </c>
      <c r="BH639">
        <f>IFERROR(INDEX(PP_Grid[#Data],$DE639,57),0)</f>
        <v/>
      </c>
      <c r="BI639">
        <f>IFERROR(INDEX(PP_Grid[#Data],$DE639,58),0)</f>
        <v/>
      </c>
      <c r="BJ639">
        <f>IFERROR(INDEX(PP_Grid[#Data],$DE639,59),0)</f>
        <v/>
      </c>
      <c r="BK639">
        <f>IFERROR(INDEX(PP_Grid[#Data],$DE639,60),0)</f>
        <v/>
      </c>
      <c r="BL639">
        <f>IFERROR(INDEX(PP_Grid[#Data],$DE639,61),0)</f>
        <v/>
      </c>
      <c r="BM639">
        <f>IFERROR(INDEX(PP_Grid[#Data],$DE639,62),0)</f>
        <v/>
      </c>
      <c r="BN639">
        <f>IFERROR(INDEX(PP_Grid[#Data],$DE639,63),0)</f>
        <v/>
      </c>
      <c r="BO639">
        <f>IFERROR(INDEX(PP_Grid[#Data],$DE639,64),0)</f>
        <v/>
      </c>
      <c r="BP639">
        <f>IFERROR(INDEX(PP_Grid[#Data],$DE639,65),0)</f>
        <v/>
      </c>
      <c r="BQ639">
        <f>IFERROR(INDEX(PP_Grid[#Data],$DE639,66),0)</f>
        <v/>
      </c>
      <c r="BR639">
        <f>IFERROR(INDEX(PP_Grid[#Data],$DE639,67),0)</f>
        <v/>
      </c>
      <c r="BS639">
        <f>IFERROR(INDEX(PP_Grid[#Data],$DE639,68),0)</f>
        <v/>
      </c>
      <c r="BT639">
        <f>IFERROR(INDEX(PP_Grid[#Data],$DE639,69),0)</f>
        <v/>
      </c>
      <c r="BU639">
        <f>IFERROR(INDEX(PP_Grid[#Data],$DE639,70),0)</f>
        <v/>
      </c>
      <c r="BV639">
        <f>IFERROR(INDEX(PP_Grid[#Data],$DE639,71),0)</f>
        <v/>
      </c>
      <c r="BW639">
        <f>IFERROR(INDEX(PP_Grid[#Data],$DE639,72),0)</f>
        <v/>
      </c>
      <c r="BX639">
        <f>IFERROR(INDEX(PP_Grid[#Data],$DE639,73),0)</f>
        <v/>
      </c>
      <c r="BY639">
        <f>IFERROR(INDEX(PP_Grid[#Data],$DE639,74),0)</f>
        <v/>
      </c>
      <c r="BZ639">
        <f>IFERROR(INDEX(PP_Grid[#Data],$DE639,75),0)</f>
        <v/>
      </c>
      <c r="CA639">
        <f>IFERROR(INDEX(PP_Grid[#Data],$DE639,76),0)</f>
        <v/>
      </c>
      <c r="CB639">
        <f>IFERROR(INDEX(PP_Grid[#Data],$DE639,77),0)</f>
        <v/>
      </c>
      <c r="CC639">
        <f>IFERROR(INDEX(PP_Grid[#Data],$DE639,78),0)</f>
        <v/>
      </c>
      <c r="CD639">
        <f>IFERROR(INDEX(PP_Grid[#Data],$DE639,79),0)</f>
        <v/>
      </c>
      <c r="CE639">
        <f>IFERROR(INDEX(PP_Grid[#Data],$DE639,80),0)</f>
        <v/>
      </c>
      <c r="CF639">
        <f>IFERROR(INDEX(PP_Grid[#Data],$DE639,81),0)</f>
        <v/>
      </c>
      <c r="CG639">
        <f>IFERROR(INDEX(PP_Grid[#Data],$DE639,82),0)</f>
        <v/>
      </c>
      <c r="CH639">
        <f>IFERROR(INDEX(PP_Grid[#Data],$DE639,83),0)</f>
        <v/>
      </c>
      <c r="CI639">
        <f>IFERROR(INDEX(PP_Grid[#Data],$DE639,84),0)</f>
        <v/>
      </c>
      <c r="CJ639">
        <f>IFERROR(INDEX(PP_Grid[#Data],$DE639,85),0)</f>
        <v/>
      </c>
      <c r="CK639">
        <f>IFERROR(INDEX(PP_Grid[#Data],$DE639,86),0)</f>
        <v/>
      </c>
      <c r="CL639">
        <f>IFERROR(INDEX(PP_Grid[#Data],$DE639,87),0)</f>
        <v/>
      </c>
      <c r="CM639">
        <f>IFERROR(INDEX(PP_Grid[#Data],$DE639,88),0)</f>
        <v/>
      </c>
      <c r="CN639">
        <f>IFERROR(INDEX(PP_Grid[#Data],$DE639,89),0)</f>
        <v/>
      </c>
      <c r="CO639">
        <f>IFERROR(INDEX(PP_Grid[#Data],$DE639,90),0)</f>
        <v/>
      </c>
      <c r="CP639">
        <f>IFERROR(INDEX(PP_Grid[#Data],$DE639,91),0)</f>
        <v/>
      </c>
      <c r="CQ639">
        <f>IFERROR(INDEX(PP_Grid[#Data],$DE639,92),0)</f>
        <v/>
      </c>
      <c r="CR639">
        <f>IFERROR(INDEX(PP_Grid[#Data],$DE639,93),0)</f>
        <v/>
      </c>
      <c r="CS639">
        <f>IFERROR(INDEX(PP_Grid[#Data],$DE639,94),0)</f>
        <v/>
      </c>
      <c r="CT639">
        <f>IFERROR(INDEX(PP_Grid[#Data],$DE639,95),0)</f>
        <v/>
      </c>
      <c r="CU639">
        <f>IFERROR(INDEX(PP_Grid[#Data],$DE639,96),0)</f>
        <v/>
      </c>
      <c r="CV639">
        <f>IFERROR(INDEX(PP_Grid[#Data],$DE639,97),0)</f>
        <v/>
      </c>
      <c r="CW639">
        <f>IFERROR(INDEX(PP_Grid[#Data],$DE639,98),0)</f>
        <v/>
      </c>
      <c r="CX639">
        <f>IFERROR(INDEX(PP_Grid[#Data],$DE639,99),0)</f>
        <v/>
      </c>
      <c r="CY639">
        <f>IFERROR(INDEX(PP_Grid[#Data],$DE639,100),0)</f>
        <v/>
      </c>
      <c r="CZ639">
        <f>IFERROR(INDEX(PP_Grid[#Data],$DE639,101),0)</f>
        <v/>
      </c>
      <c r="DA639">
        <f>IFERROR(INDEX(PP_Grid[#Data],$DE639,102),0)</f>
        <v/>
      </c>
      <c r="DB639">
        <f>IFERROR(INDEX(PP_Grid[#Data],$DE639,103),0)</f>
        <v/>
      </c>
      <c r="DC639">
        <f>IFERROR(INDEX(PP_Grid[#Data],$DE639,104),0)</f>
        <v/>
      </c>
      <c r="DD639">
        <f>IFERROR(INDEX(PP_Grid[#Data],$DE639,105),0)</f>
        <v/>
      </c>
      <c r="DE639" s="7">
        <f>IFERROR(MATCH($B639,PP_Grid[Intermediate],0),99999)</f>
        <v/>
      </c>
    </row>
    <row r="640">
      <c r="B640" t="inlineStr">
        <is>
          <t>使用量(kg)</t>
        </is>
      </c>
      <c r="C640">
        <f>SUMIFS(M_BOM[RM_Qty_Per_Batch],M_BOM[Intermediate],$B639,M_BOM[RM_Code],$A636)</f>
        <v/>
      </c>
      <c r="D640">
        <f>IFERROR(INDEX(E640:DD640,$F$1),"")</f>
        <v/>
      </c>
      <c r="E640">
        <f>$C640*E639</f>
        <v/>
      </c>
      <c r="F640">
        <f>$C640*F639</f>
        <v/>
      </c>
      <c r="G640">
        <f>$C640*G639</f>
        <v/>
      </c>
      <c r="H640">
        <f>$C640*H639</f>
        <v/>
      </c>
      <c r="I640">
        <f>$C640*I639</f>
        <v/>
      </c>
      <c r="J640">
        <f>$C640*J639</f>
        <v/>
      </c>
      <c r="K640">
        <f>$C640*K639</f>
        <v/>
      </c>
      <c r="L640">
        <f>$C640*L639</f>
        <v/>
      </c>
      <c r="M640">
        <f>$C640*M639</f>
        <v/>
      </c>
      <c r="N640">
        <f>$C640*N639</f>
        <v/>
      </c>
      <c r="O640">
        <f>$C640*O639</f>
        <v/>
      </c>
      <c r="P640">
        <f>$C640*P639</f>
        <v/>
      </c>
      <c r="Q640">
        <f>$C640*Q639</f>
        <v/>
      </c>
      <c r="R640">
        <f>$C640*R639</f>
        <v/>
      </c>
      <c r="S640">
        <f>$C640*S639</f>
        <v/>
      </c>
      <c r="T640">
        <f>$C640*T639</f>
        <v/>
      </c>
      <c r="U640">
        <f>$C640*U639</f>
        <v/>
      </c>
      <c r="V640">
        <f>$C640*V639</f>
        <v/>
      </c>
      <c r="W640">
        <f>$C640*W639</f>
        <v/>
      </c>
      <c r="X640">
        <f>$C640*X639</f>
        <v/>
      </c>
      <c r="Y640">
        <f>$C640*Y639</f>
        <v/>
      </c>
      <c r="Z640">
        <f>$C640*Z639</f>
        <v/>
      </c>
      <c r="AA640">
        <f>$C640*AA639</f>
        <v/>
      </c>
      <c r="AB640">
        <f>$C640*AB639</f>
        <v/>
      </c>
      <c r="AC640">
        <f>$C640*AC639</f>
        <v/>
      </c>
      <c r="AD640">
        <f>$C640*AD639</f>
        <v/>
      </c>
      <c r="AE640">
        <f>$C640*AE639</f>
        <v/>
      </c>
      <c r="AF640">
        <f>$C640*AF639</f>
        <v/>
      </c>
      <c r="AG640">
        <f>$C640*AG639</f>
        <v/>
      </c>
      <c r="AH640">
        <f>$C640*AH639</f>
        <v/>
      </c>
      <c r="AI640">
        <f>$C640*AI639</f>
        <v/>
      </c>
      <c r="AJ640">
        <f>$C640*AJ639</f>
        <v/>
      </c>
      <c r="AK640">
        <f>$C640*AK639</f>
        <v/>
      </c>
      <c r="AL640">
        <f>$C640*AL639</f>
        <v/>
      </c>
      <c r="AM640">
        <f>$C640*AM639</f>
        <v/>
      </c>
      <c r="AN640">
        <f>$C640*AN639</f>
        <v/>
      </c>
      <c r="AO640">
        <f>$C640*AO639</f>
        <v/>
      </c>
      <c r="AP640">
        <f>$C640*AP639</f>
        <v/>
      </c>
      <c r="AQ640">
        <f>$C640*AQ639</f>
        <v/>
      </c>
      <c r="AR640">
        <f>$C640*AR639</f>
        <v/>
      </c>
      <c r="AS640">
        <f>$C640*AS639</f>
        <v/>
      </c>
      <c r="AT640">
        <f>$C640*AT639</f>
        <v/>
      </c>
      <c r="AU640">
        <f>$C640*AU639</f>
        <v/>
      </c>
      <c r="AV640">
        <f>$C640*AV639</f>
        <v/>
      </c>
      <c r="AW640">
        <f>$C640*AW639</f>
        <v/>
      </c>
      <c r="AX640">
        <f>$C640*AX639</f>
        <v/>
      </c>
      <c r="AY640">
        <f>$C640*AY639</f>
        <v/>
      </c>
      <c r="AZ640">
        <f>$C640*AZ639</f>
        <v/>
      </c>
      <c r="BA640">
        <f>$C640*BA639</f>
        <v/>
      </c>
      <c r="BB640">
        <f>$C640*BB639</f>
        <v/>
      </c>
      <c r="BC640">
        <f>$C640*BC639</f>
        <v/>
      </c>
      <c r="BD640">
        <f>$C640*BD639</f>
        <v/>
      </c>
      <c r="BE640">
        <f>$C640*BE639</f>
        <v/>
      </c>
      <c r="BF640">
        <f>$C640*BF639</f>
        <v/>
      </c>
      <c r="BG640">
        <f>$C640*BG639</f>
        <v/>
      </c>
      <c r="BH640">
        <f>$C640*BH639</f>
        <v/>
      </c>
      <c r="BI640">
        <f>$C640*BI639</f>
        <v/>
      </c>
      <c r="BJ640">
        <f>$C640*BJ639</f>
        <v/>
      </c>
      <c r="BK640">
        <f>$C640*BK639</f>
        <v/>
      </c>
      <c r="BL640">
        <f>$C640*BL639</f>
        <v/>
      </c>
      <c r="BM640">
        <f>$C640*BM639</f>
        <v/>
      </c>
      <c r="BN640">
        <f>$C640*BN639</f>
        <v/>
      </c>
      <c r="BO640">
        <f>$C640*BO639</f>
        <v/>
      </c>
      <c r="BP640">
        <f>$C640*BP639</f>
        <v/>
      </c>
      <c r="BQ640">
        <f>$C640*BQ639</f>
        <v/>
      </c>
      <c r="BR640">
        <f>$C640*BR639</f>
        <v/>
      </c>
      <c r="BS640">
        <f>$C640*BS639</f>
        <v/>
      </c>
      <c r="BT640">
        <f>$C640*BT639</f>
        <v/>
      </c>
      <c r="BU640">
        <f>$C640*BU639</f>
        <v/>
      </c>
      <c r="BV640">
        <f>$C640*BV639</f>
        <v/>
      </c>
      <c r="BW640">
        <f>$C640*BW639</f>
        <v/>
      </c>
      <c r="BX640">
        <f>$C640*BX639</f>
        <v/>
      </c>
      <c r="BY640">
        <f>$C640*BY639</f>
        <v/>
      </c>
      <c r="BZ640">
        <f>$C640*BZ639</f>
        <v/>
      </c>
      <c r="CA640">
        <f>$C640*CA639</f>
        <v/>
      </c>
      <c r="CB640">
        <f>$C640*CB639</f>
        <v/>
      </c>
      <c r="CC640">
        <f>$C640*CC639</f>
        <v/>
      </c>
      <c r="CD640">
        <f>$C640*CD639</f>
        <v/>
      </c>
      <c r="CE640">
        <f>$C640*CE639</f>
        <v/>
      </c>
      <c r="CF640">
        <f>$C640*CF639</f>
        <v/>
      </c>
      <c r="CG640">
        <f>$C640*CG639</f>
        <v/>
      </c>
      <c r="CH640">
        <f>$C640*CH639</f>
        <v/>
      </c>
      <c r="CI640">
        <f>$C640*CI639</f>
        <v/>
      </c>
      <c r="CJ640">
        <f>$C640*CJ639</f>
        <v/>
      </c>
      <c r="CK640">
        <f>$C640*CK639</f>
        <v/>
      </c>
      <c r="CL640">
        <f>$C640*CL639</f>
        <v/>
      </c>
      <c r="CM640">
        <f>$C640*CM639</f>
        <v/>
      </c>
      <c r="CN640">
        <f>$C640*CN639</f>
        <v/>
      </c>
      <c r="CO640">
        <f>$C640*CO639</f>
        <v/>
      </c>
      <c r="CP640">
        <f>$C640*CP639</f>
        <v/>
      </c>
      <c r="CQ640">
        <f>$C640*CQ639</f>
        <v/>
      </c>
      <c r="CR640">
        <f>$C640*CR639</f>
        <v/>
      </c>
      <c r="CS640">
        <f>$C640*CS639</f>
        <v/>
      </c>
      <c r="CT640">
        <f>$C640*CT639</f>
        <v/>
      </c>
      <c r="CU640">
        <f>$C640*CU639</f>
        <v/>
      </c>
      <c r="CV640">
        <f>$C640*CV639</f>
        <v/>
      </c>
      <c r="CW640">
        <f>$C640*CW639</f>
        <v/>
      </c>
      <c r="CX640">
        <f>$C640*CX639</f>
        <v/>
      </c>
      <c r="CY640">
        <f>$C640*CY639</f>
        <v/>
      </c>
      <c r="CZ640">
        <f>$C640*CZ639</f>
        <v/>
      </c>
      <c r="DA640">
        <f>$C640*DA639</f>
        <v/>
      </c>
      <c r="DB640">
        <f>$C640*DB639</f>
        <v/>
      </c>
      <c r="DC640">
        <f>$C640*DC639</f>
        <v/>
      </c>
      <c r="DD640">
        <f>$C640*DD639</f>
        <v/>
      </c>
    </row>
    <row r="641">
      <c r="B641" t="inlineStr">
        <is>
          <t>TSP-105</t>
        </is>
      </c>
      <c r="C641" t="inlineStr">
        <is>
          <t>No. of batches</t>
        </is>
      </c>
      <c r="D641">
        <f>IFERROR(INDEX(E641:DD641,$F$1),"")</f>
        <v/>
      </c>
      <c r="E641">
        <f>IFERROR(INDEX(PP_Grid[#Data],$DE641,2),0)</f>
        <v/>
      </c>
      <c r="F641">
        <f>IFERROR(INDEX(PP_Grid[#Data],$DE641,3),0)</f>
        <v/>
      </c>
      <c r="G641">
        <f>IFERROR(INDEX(PP_Grid[#Data],$DE641,4),0)</f>
        <v/>
      </c>
      <c r="H641">
        <f>IFERROR(INDEX(PP_Grid[#Data],$DE641,5),0)</f>
        <v/>
      </c>
      <c r="I641">
        <f>IFERROR(INDEX(PP_Grid[#Data],$DE641,6),0)</f>
        <v/>
      </c>
      <c r="J641">
        <f>IFERROR(INDEX(PP_Grid[#Data],$DE641,7),0)</f>
        <v/>
      </c>
      <c r="K641">
        <f>IFERROR(INDEX(PP_Grid[#Data],$DE641,8),0)</f>
        <v/>
      </c>
      <c r="L641">
        <f>IFERROR(INDEX(PP_Grid[#Data],$DE641,9),0)</f>
        <v/>
      </c>
      <c r="M641">
        <f>IFERROR(INDEX(PP_Grid[#Data],$DE641,10),0)</f>
        <v/>
      </c>
      <c r="N641">
        <f>IFERROR(INDEX(PP_Grid[#Data],$DE641,11),0)</f>
        <v/>
      </c>
      <c r="O641">
        <f>IFERROR(INDEX(PP_Grid[#Data],$DE641,12),0)</f>
        <v/>
      </c>
      <c r="P641">
        <f>IFERROR(INDEX(PP_Grid[#Data],$DE641,13),0)</f>
        <v/>
      </c>
      <c r="Q641">
        <f>IFERROR(INDEX(PP_Grid[#Data],$DE641,14),0)</f>
        <v/>
      </c>
      <c r="R641">
        <f>IFERROR(INDEX(PP_Grid[#Data],$DE641,15),0)</f>
        <v/>
      </c>
      <c r="S641">
        <f>IFERROR(INDEX(PP_Grid[#Data],$DE641,16),0)</f>
        <v/>
      </c>
      <c r="T641">
        <f>IFERROR(INDEX(PP_Grid[#Data],$DE641,17),0)</f>
        <v/>
      </c>
      <c r="U641">
        <f>IFERROR(INDEX(PP_Grid[#Data],$DE641,18),0)</f>
        <v/>
      </c>
      <c r="V641">
        <f>IFERROR(INDEX(PP_Grid[#Data],$DE641,19),0)</f>
        <v/>
      </c>
      <c r="W641">
        <f>IFERROR(INDEX(PP_Grid[#Data],$DE641,20),0)</f>
        <v/>
      </c>
      <c r="X641">
        <f>IFERROR(INDEX(PP_Grid[#Data],$DE641,21),0)</f>
        <v/>
      </c>
      <c r="Y641">
        <f>IFERROR(INDEX(PP_Grid[#Data],$DE641,22),0)</f>
        <v/>
      </c>
      <c r="Z641">
        <f>IFERROR(INDEX(PP_Grid[#Data],$DE641,23),0)</f>
        <v/>
      </c>
      <c r="AA641">
        <f>IFERROR(INDEX(PP_Grid[#Data],$DE641,24),0)</f>
        <v/>
      </c>
      <c r="AB641">
        <f>IFERROR(INDEX(PP_Grid[#Data],$DE641,25),0)</f>
        <v/>
      </c>
      <c r="AC641">
        <f>IFERROR(INDEX(PP_Grid[#Data],$DE641,26),0)</f>
        <v/>
      </c>
      <c r="AD641">
        <f>IFERROR(INDEX(PP_Grid[#Data],$DE641,27),0)</f>
        <v/>
      </c>
      <c r="AE641">
        <f>IFERROR(INDEX(PP_Grid[#Data],$DE641,28),0)</f>
        <v/>
      </c>
      <c r="AF641">
        <f>IFERROR(INDEX(PP_Grid[#Data],$DE641,29),0)</f>
        <v/>
      </c>
      <c r="AG641">
        <f>IFERROR(INDEX(PP_Grid[#Data],$DE641,30),0)</f>
        <v/>
      </c>
      <c r="AH641">
        <f>IFERROR(INDEX(PP_Grid[#Data],$DE641,31),0)</f>
        <v/>
      </c>
      <c r="AI641">
        <f>IFERROR(INDEX(PP_Grid[#Data],$DE641,32),0)</f>
        <v/>
      </c>
      <c r="AJ641">
        <f>IFERROR(INDEX(PP_Grid[#Data],$DE641,33),0)</f>
        <v/>
      </c>
      <c r="AK641">
        <f>IFERROR(INDEX(PP_Grid[#Data],$DE641,34),0)</f>
        <v/>
      </c>
      <c r="AL641">
        <f>IFERROR(INDEX(PP_Grid[#Data],$DE641,35),0)</f>
        <v/>
      </c>
      <c r="AM641">
        <f>IFERROR(INDEX(PP_Grid[#Data],$DE641,36),0)</f>
        <v/>
      </c>
      <c r="AN641">
        <f>IFERROR(INDEX(PP_Grid[#Data],$DE641,37),0)</f>
        <v/>
      </c>
      <c r="AO641">
        <f>IFERROR(INDEX(PP_Grid[#Data],$DE641,38),0)</f>
        <v/>
      </c>
      <c r="AP641">
        <f>IFERROR(INDEX(PP_Grid[#Data],$DE641,39),0)</f>
        <v/>
      </c>
      <c r="AQ641">
        <f>IFERROR(INDEX(PP_Grid[#Data],$DE641,40),0)</f>
        <v/>
      </c>
      <c r="AR641">
        <f>IFERROR(INDEX(PP_Grid[#Data],$DE641,41),0)</f>
        <v/>
      </c>
      <c r="AS641">
        <f>IFERROR(INDEX(PP_Grid[#Data],$DE641,42),0)</f>
        <v/>
      </c>
      <c r="AT641">
        <f>IFERROR(INDEX(PP_Grid[#Data],$DE641,43),0)</f>
        <v/>
      </c>
      <c r="AU641">
        <f>IFERROR(INDEX(PP_Grid[#Data],$DE641,44),0)</f>
        <v/>
      </c>
      <c r="AV641">
        <f>IFERROR(INDEX(PP_Grid[#Data],$DE641,45),0)</f>
        <v/>
      </c>
      <c r="AW641">
        <f>IFERROR(INDEX(PP_Grid[#Data],$DE641,46),0)</f>
        <v/>
      </c>
      <c r="AX641">
        <f>IFERROR(INDEX(PP_Grid[#Data],$DE641,47),0)</f>
        <v/>
      </c>
      <c r="AY641">
        <f>IFERROR(INDEX(PP_Grid[#Data],$DE641,48),0)</f>
        <v/>
      </c>
      <c r="AZ641">
        <f>IFERROR(INDEX(PP_Grid[#Data],$DE641,49),0)</f>
        <v/>
      </c>
      <c r="BA641">
        <f>IFERROR(INDEX(PP_Grid[#Data],$DE641,50),0)</f>
        <v/>
      </c>
      <c r="BB641">
        <f>IFERROR(INDEX(PP_Grid[#Data],$DE641,51),0)</f>
        <v/>
      </c>
      <c r="BC641">
        <f>IFERROR(INDEX(PP_Grid[#Data],$DE641,52),0)</f>
        <v/>
      </c>
      <c r="BD641">
        <f>IFERROR(INDEX(PP_Grid[#Data],$DE641,53),0)</f>
        <v/>
      </c>
      <c r="BE641">
        <f>IFERROR(INDEX(PP_Grid[#Data],$DE641,54),0)</f>
        <v/>
      </c>
      <c r="BF641">
        <f>IFERROR(INDEX(PP_Grid[#Data],$DE641,55),0)</f>
        <v/>
      </c>
      <c r="BG641">
        <f>IFERROR(INDEX(PP_Grid[#Data],$DE641,56),0)</f>
        <v/>
      </c>
      <c r="BH641">
        <f>IFERROR(INDEX(PP_Grid[#Data],$DE641,57),0)</f>
        <v/>
      </c>
      <c r="BI641">
        <f>IFERROR(INDEX(PP_Grid[#Data],$DE641,58),0)</f>
        <v/>
      </c>
      <c r="BJ641">
        <f>IFERROR(INDEX(PP_Grid[#Data],$DE641,59),0)</f>
        <v/>
      </c>
      <c r="BK641">
        <f>IFERROR(INDEX(PP_Grid[#Data],$DE641,60),0)</f>
        <v/>
      </c>
      <c r="BL641">
        <f>IFERROR(INDEX(PP_Grid[#Data],$DE641,61),0)</f>
        <v/>
      </c>
      <c r="BM641">
        <f>IFERROR(INDEX(PP_Grid[#Data],$DE641,62),0)</f>
        <v/>
      </c>
      <c r="BN641">
        <f>IFERROR(INDEX(PP_Grid[#Data],$DE641,63),0)</f>
        <v/>
      </c>
      <c r="BO641">
        <f>IFERROR(INDEX(PP_Grid[#Data],$DE641,64),0)</f>
        <v/>
      </c>
      <c r="BP641">
        <f>IFERROR(INDEX(PP_Grid[#Data],$DE641,65),0)</f>
        <v/>
      </c>
      <c r="BQ641">
        <f>IFERROR(INDEX(PP_Grid[#Data],$DE641,66),0)</f>
        <v/>
      </c>
      <c r="BR641">
        <f>IFERROR(INDEX(PP_Grid[#Data],$DE641,67),0)</f>
        <v/>
      </c>
      <c r="BS641">
        <f>IFERROR(INDEX(PP_Grid[#Data],$DE641,68),0)</f>
        <v/>
      </c>
      <c r="BT641">
        <f>IFERROR(INDEX(PP_Grid[#Data],$DE641,69),0)</f>
        <v/>
      </c>
      <c r="BU641">
        <f>IFERROR(INDEX(PP_Grid[#Data],$DE641,70),0)</f>
        <v/>
      </c>
      <c r="BV641">
        <f>IFERROR(INDEX(PP_Grid[#Data],$DE641,71),0)</f>
        <v/>
      </c>
      <c r="BW641">
        <f>IFERROR(INDEX(PP_Grid[#Data],$DE641,72),0)</f>
        <v/>
      </c>
      <c r="BX641">
        <f>IFERROR(INDEX(PP_Grid[#Data],$DE641,73),0)</f>
        <v/>
      </c>
      <c r="BY641">
        <f>IFERROR(INDEX(PP_Grid[#Data],$DE641,74),0)</f>
        <v/>
      </c>
      <c r="BZ641">
        <f>IFERROR(INDEX(PP_Grid[#Data],$DE641,75),0)</f>
        <v/>
      </c>
      <c r="CA641">
        <f>IFERROR(INDEX(PP_Grid[#Data],$DE641,76),0)</f>
        <v/>
      </c>
      <c r="CB641">
        <f>IFERROR(INDEX(PP_Grid[#Data],$DE641,77),0)</f>
        <v/>
      </c>
      <c r="CC641">
        <f>IFERROR(INDEX(PP_Grid[#Data],$DE641,78),0)</f>
        <v/>
      </c>
      <c r="CD641">
        <f>IFERROR(INDEX(PP_Grid[#Data],$DE641,79),0)</f>
        <v/>
      </c>
      <c r="CE641">
        <f>IFERROR(INDEX(PP_Grid[#Data],$DE641,80),0)</f>
        <v/>
      </c>
      <c r="CF641">
        <f>IFERROR(INDEX(PP_Grid[#Data],$DE641,81),0)</f>
        <v/>
      </c>
      <c r="CG641">
        <f>IFERROR(INDEX(PP_Grid[#Data],$DE641,82),0)</f>
        <v/>
      </c>
      <c r="CH641">
        <f>IFERROR(INDEX(PP_Grid[#Data],$DE641,83),0)</f>
        <v/>
      </c>
      <c r="CI641">
        <f>IFERROR(INDEX(PP_Grid[#Data],$DE641,84),0)</f>
        <v/>
      </c>
      <c r="CJ641">
        <f>IFERROR(INDEX(PP_Grid[#Data],$DE641,85),0)</f>
        <v/>
      </c>
      <c r="CK641">
        <f>IFERROR(INDEX(PP_Grid[#Data],$DE641,86),0)</f>
        <v/>
      </c>
      <c r="CL641">
        <f>IFERROR(INDEX(PP_Grid[#Data],$DE641,87),0)</f>
        <v/>
      </c>
      <c r="CM641">
        <f>IFERROR(INDEX(PP_Grid[#Data],$DE641,88),0)</f>
        <v/>
      </c>
      <c r="CN641">
        <f>IFERROR(INDEX(PP_Grid[#Data],$DE641,89),0)</f>
        <v/>
      </c>
      <c r="CO641">
        <f>IFERROR(INDEX(PP_Grid[#Data],$DE641,90),0)</f>
        <v/>
      </c>
      <c r="CP641">
        <f>IFERROR(INDEX(PP_Grid[#Data],$DE641,91),0)</f>
        <v/>
      </c>
      <c r="CQ641">
        <f>IFERROR(INDEX(PP_Grid[#Data],$DE641,92),0)</f>
        <v/>
      </c>
      <c r="CR641">
        <f>IFERROR(INDEX(PP_Grid[#Data],$DE641,93),0)</f>
        <v/>
      </c>
      <c r="CS641">
        <f>IFERROR(INDEX(PP_Grid[#Data],$DE641,94),0)</f>
        <v/>
      </c>
      <c r="CT641">
        <f>IFERROR(INDEX(PP_Grid[#Data],$DE641,95),0)</f>
        <v/>
      </c>
      <c r="CU641">
        <f>IFERROR(INDEX(PP_Grid[#Data],$DE641,96),0)</f>
        <v/>
      </c>
      <c r="CV641">
        <f>IFERROR(INDEX(PP_Grid[#Data],$DE641,97),0)</f>
        <v/>
      </c>
      <c r="CW641">
        <f>IFERROR(INDEX(PP_Grid[#Data],$DE641,98),0)</f>
        <v/>
      </c>
      <c r="CX641">
        <f>IFERROR(INDEX(PP_Grid[#Data],$DE641,99),0)</f>
        <v/>
      </c>
      <c r="CY641">
        <f>IFERROR(INDEX(PP_Grid[#Data],$DE641,100),0)</f>
        <v/>
      </c>
      <c r="CZ641">
        <f>IFERROR(INDEX(PP_Grid[#Data],$DE641,101),0)</f>
        <v/>
      </c>
      <c r="DA641">
        <f>IFERROR(INDEX(PP_Grid[#Data],$DE641,102),0)</f>
        <v/>
      </c>
      <c r="DB641">
        <f>IFERROR(INDEX(PP_Grid[#Data],$DE641,103),0)</f>
        <v/>
      </c>
      <c r="DC641">
        <f>IFERROR(INDEX(PP_Grid[#Data],$DE641,104),0)</f>
        <v/>
      </c>
      <c r="DD641">
        <f>IFERROR(INDEX(PP_Grid[#Data],$DE641,105),0)</f>
        <v/>
      </c>
      <c r="DE641" s="7">
        <f>IFERROR(MATCH($B641,PP_Grid[Intermediate],0),99999)</f>
        <v/>
      </c>
    </row>
    <row r="642">
      <c r="B642" t="inlineStr">
        <is>
          <t>使用量(kg)</t>
        </is>
      </c>
      <c r="C642">
        <f>SUMIFS(M_BOM[RM_Qty_Per_Batch],M_BOM[Intermediate],$B641,M_BOM[RM_Code],$A636)</f>
        <v/>
      </c>
      <c r="D642">
        <f>IFERROR(INDEX(E642:DD642,$F$1),"")</f>
        <v/>
      </c>
      <c r="E642">
        <f>$C642*E641</f>
        <v/>
      </c>
      <c r="F642">
        <f>$C642*F641</f>
        <v/>
      </c>
      <c r="G642">
        <f>$C642*G641</f>
        <v/>
      </c>
      <c r="H642">
        <f>$C642*H641</f>
        <v/>
      </c>
      <c r="I642">
        <f>$C642*I641</f>
        <v/>
      </c>
      <c r="J642">
        <f>$C642*J641</f>
        <v/>
      </c>
      <c r="K642">
        <f>$C642*K641</f>
        <v/>
      </c>
      <c r="L642">
        <f>$C642*L641</f>
        <v/>
      </c>
      <c r="M642">
        <f>$C642*M641</f>
        <v/>
      </c>
      <c r="N642">
        <f>$C642*N641</f>
        <v/>
      </c>
      <c r="O642">
        <f>$C642*O641</f>
        <v/>
      </c>
      <c r="P642">
        <f>$C642*P641</f>
        <v/>
      </c>
      <c r="Q642">
        <f>$C642*Q641</f>
        <v/>
      </c>
      <c r="R642">
        <f>$C642*R641</f>
        <v/>
      </c>
      <c r="S642">
        <f>$C642*S641</f>
        <v/>
      </c>
      <c r="T642">
        <f>$C642*T641</f>
        <v/>
      </c>
      <c r="U642">
        <f>$C642*U641</f>
        <v/>
      </c>
      <c r="V642">
        <f>$C642*V641</f>
        <v/>
      </c>
      <c r="W642">
        <f>$C642*W641</f>
        <v/>
      </c>
      <c r="X642">
        <f>$C642*X641</f>
        <v/>
      </c>
      <c r="Y642">
        <f>$C642*Y641</f>
        <v/>
      </c>
      <c r="Z642">
        <f>$C642*Z641</f>
        <v/>
      </c>
      <c r="AA642">
        <f>$C642*AA641</f>
        <v/>
      </c>
      <c r="AB642">
        <f>$C642*AB641</f>
        <v/>
      </c>
      <c r="AC642">
        <f>$C642*AC641</f>
        <v/>
      </c>
      <c r="AD642">
        <f>$C642*AD641</f>
        <v/>
      </c>
      <c r="AE642">
        <f>$C642*AE641</f>
        <v/>
      </c>
      <c r="AF642">
        <f>$C642*AF641</f>
        <v/>
      </c>
      <c r="AG642">
        <f>$C642*AG641</f>
        <v/>
      </c>
      <c r="AH642">
        <f>$C642*AH641</f>
        <v/>
      </c>
      <c r="AI642">
        <f>$C642*AI641</f>
        <v/>
      </c>
      <c r="AJ642">
        <f>$C642*AJ641</f>
        <v/>
      </c>
      <c r="AK642">
        <f>$C642*AK641</f>
        <v/>
      </c>
      <c r="AL642">
        <f>$C642*AL641</f>
        <v/>
      </c>
      <c r="AM642">
        <f>$C642*AM641</f>
        <v/>
      </c>
      <c r="AN642">
        <f>$C642*AN641</f>
        <v/>
      </c>
      <c r="AO642">
        <f>$C642*AO641</f>
        <v/>
      </c>
      <c r="AP642">
        <f>$C642*AP641</f>
        <v/>
      </c>
      <c r="AQ642">
        <f>$C642*AQ641</f>
        <v/>
      </c>
      <c r="AR642">
        <f>$C642*AR641</f>
        <v/>
      </c>
      <c r="AS642">
        <f>$C642*AS641</f>
        <v/>
      </c>
      <c r="AT642">
        <f>$C642*AT641</f>
        <v/>
      </c>
      <c r="AU642">
        <f>$C642*AU641</f>
        <v/>
      </c>
      <c r="AV642">
        <f>$C642*AV641</f>
        <v/>
      </c>
      <c r="AW642">
        <f>$C642*AW641</f>
        <v/>
      </c>
      <c r="AX642">
        <f>$C642*AX641</f>
        <v/>
      </c>
      <c r="AY642">
        <f>$C642*AY641</f>
        <v/>
      </c>
      <c r="AZ642">
        <f>$C642*AZ641</f>
        <v/>
      </c>
      <c r="BA642">
        <f>$C642*BA641</f>
        <v/>
      </c>
      <c r="BB642">
        <f>$C642*BB641</f>
        <v/>
      </c>
      <c r="BC642">
        <f>$C642*BC641</f>
        <v/>
      </c>
      <c r="BD642">
        <f>$C642*BD641</f>
        <v/>
      </c>
      <c r="BE642">
        <f>$C642*BE641</f>
        <v/>
      </c>
      <c r="BF642">
        <f>$C642*BF641</f>
        <v/>
      </c>
      <c r="BG642">
        <f>$C642*BG641</f>
        <v/>
      </c>
      <c r="BH642">
        <f>$C642*BH641</f>
        <v/>
      </c>
      <c r="BI642">
        <f>$C642*BI641</f>
        <v/>
      </c>
      <c r="BJ642">
        <f>$C642*BJ641</f>
        <v/>
      </c>
      <c r="BK642">
        <f>$C642*BK641</f>
        <v/>
      </c>
      <c r="BL642">
        <f>$C642*BL641</f>
        <v/>
      </c>
      <c r="BM642">
        <f>$C642*BM641</f>
        <v/>
      </c>
      <c r="BN642">
        <f>$C642*BN641</f>
        <v/>
      </c>
      <c r="BO642">
        <f>$C642*BO641</f>
        <v/>
      </c>
      <c r="BP642">
        <f>$C642*BP641</f>
        <v/>
      </c>
      <c r="BQ642">
        <f>$C642*BQ641</f>
        <v/>
      </c>
      <c r="BR642">
        <f>$C642*BR641</f>
        <v/>
      </c>
      <c r="BS642">
        <f>$C642*BS641</f>
        <v/>
      </c>
      <c r="BT642">
        <f>$C642*BT641</f>
        <v/>
      </c>
      <c r="BU642">
        <f>$C642*BU641</f>
        <v/>
      </c>
      <c r="BV642">
        <f>$C642*BV641</f>
        <v/>
      </c>
      <c r="BW642">
        <f>$C642*BW641</f>
        <v/>
      </c>
      <c r="BX642">
        <f>$C642*BX641</f>
        <v/>
      </c>
      <c r="BY642">
        <f>$C642*BY641</f>
        <v/>
      </c>
      <c r="BZ642">
        <f>$C642*BZ641</f>
        <v/>
      </c>
      <c r="CA642">
        <f>$C642*CA641</f>
        <v/>
      </c>
      <c r="CB642">
        <f>$C642*CB641</f>
        <v/>
      </c>
      <c r="CC642">
        <f>$C642*CC641</f>
        <v/>
      </c>
      <c r="CD642">
        <f>$C642*CD641</f>
        <v/>
      </c>
      <c r="CE642">
        <f>$C642*CE641</f>
        <v/>
      </c>
      <c r="CF642">
        <f>$C642*CF641</f>
        <v/>
      </c>
      <c r="CG642">
        <f>$C642*CG641</f>
        <v/>
      </c>
      <c r="CH642">
        <f>$C642*CH641</f>
        <v/>
      </c>
      <c r="CI642">
        <f>$C642*CI641</f>
        <v/>
      </c>
      <c r="CJ642">
        <f>$C642*CJ641</f>
        <v/>
      </c>
      <c r="CK642">
        <f>$C642*CK641</f>
        <v/>
      </c>
      <c r="CL642">
        <f>$C642*CL641</f>
        <v/>
      </c>
      <c r="CM642">
        <f>$C642*CM641</f>
        <v/>
      </c>
      <c r="CN642">
        <f>$C642*CN641</f>
        <v/>
      </c>
      <c r="CO642">
        <f>$C642*CO641</f>
        <v/>
      </c>
      <c r="CP642">
        <f>$C642*CP641</f>
        <v/>
      </c>
      <c r="CQ642">
        <f>$C642*CQ641</f>
        <v/>
      </c>
      <c r="CR642">
        <f>$C642*CR641</f>
        <v/>
      </c>
      <c r="CS642">
        <f>$C642*CS641</f>
        <v/>
      </c>
      <c r="CT642">
        <f>$C642*CT641</f>
        <v/>
      </c>
      <c r="CU642">
        <f>$C642*CU641</f>
        <v/>
      </c>
      <c r="CV642">
        <f>$C642*CV641</f>
        <v/>
      </c>
      <c r="CW642">
        <f>$C642*CW641</f>
        <v/>
      </c>
      <c r="CX642">
        <f>$C642*CX641</f>
        <v/>
      </c>
      <c r="CY642">
        <f>$C642*CY641</f>
        <v/>
      </c>
      <c r="CZ642">
        <f>$C642*CZ641</f>
        <v/>
      </c>
      <c r="DA642">
        <f>$C642*DA641</f>
        <v/>
      </c>
      <c r="DB642">
        <f>$C642*DB641</f>
        <v/>
      </c>
      <c r="DC642">
        <f>$C642*DC641</f>
        <v/>
      </c>
      <c r="DD642">
        <f>$C642*DD641</f>
        <v/>
      </c>
    </row>
    <row r="643">
      <c r="B643" t="inlineStr">
        <is>
          <t>TSP-199</t>
        </is>
      </c>
      <c r="C643" t="inlineStr">
        <is>
          <t>No. of batches</t>
        </is>
      </c>
      <c r="D643">
        <f>IFERROR(INDEX(E643:DD643,$F$1),"")</f>
        <v/>
      </c>
      <c r="E643">
        <f>IFERROR(INDEX(PP_Grid[#Data],$DE643,2),0)</f>
        <v/>
      </c>
      <c r="F643">
        <f>IFERROR(INDEX(PP_Grid[#Data],$DE643,3),0)</f>
        <v/>
      </c>
      <c r="G643">
        <f>IFERROR(INDEX(PP_Grid[#Data],$DE643,4),0)</f>
        <v/>
      </c>
      <c r="H643">
        <f>IFERROR(INDEX(PP_Grid[#Data],$DE643,5),0)</f>
        <v/>
      </c>
      <c r="I643">
        <f>IFERROR(INDEX(PP_Grid[#Data],$DE643,6),0)</f>
        <v/>
      </c>
      <c r="J643">
        <f>IFERROR(INDEX(PP_Grid[#Data],$DE643,7),0)</f>
        <v/>
      </c>
      <c r="K643">
        <f>IFERROR(INDEX(PP_Grid[#Data],$DE643,8),0)</f>
        <v/>
      </c>
      <c r="L643">
        <f>IFERROR(INDEX(PP_Grid[#Data],$DE643,9),0)</f>
        <v/>
      </c>
      <c r="M643">
        <f>IFERROR(INDEX(PP_Grid[#Data],$DE643,10),0)</f>
        <v/>
      </c>
      <c r="N643">
        <f>IFERROR(INDEX(PP_Grid[#Data],$DE643,11),0)</f>
        <v/>
      </c>
      <c r="O643">
        <f>IFERROR(INDEX(PP_Grid[#Data],$DE643,12),0)</f>
        <v/>
      </c>
      <c r="P643">
        <f>IFERROR(INDEX(PP_Grid[#Data],$DE643,13),0)</f>
        <v/>
      </c>
      <c r="Q643">
        <f>IFERROR(INDEX(PP_Grid[#Data],$DE643,14),0)</f>
        <v/>
      </c>
      <c r="R643">
        <f>IFERROR(INDEX(PP_Grid[#Data],$DE643,15),0)</f>
        <v/>
      </c>
      <c r="S643">
        <f>IFERROR(INDEX(PP_Grid[#Data],$DE643,16),0)</f>
        <v/>
      </c>
      <c r="T643">
        <f>IFERROR(INDEX(PP_Grid[#Data],$DE643,17),0)</f>
        <v/>
      </c>
      <c r="U643">
        <f>IFERROR(INDEX(PP_Grid[#Data],$DE643,18),0)</f>
        <v/>
      </c>
      <c r="V643">
        <f>IFERROR(INDEX(PP_Grid[#Data],$DE643,19),0)</f>
        <v/>
      </c>
      <c r="W643">
        <f>IFERROR(INDEX(PP_Grid[#Data],$DE643,20),0)</f>
        <v/>
      </c>
      <c r="X643">
        <f>IFERROR(INDEX(PP_Grid[#Data],$DE643,21),0)</f>
        <v/>
      </c>
      <c r="Y643">
        <f>IFERROR(INDEX(PP_Grid[#Data],$DE643,22),0)</f>
        <v/>
      </c>
      <c r="Z643">
        <f>IFERROR(INDEX(PP_Grid[#Data],$DE643,23),0)</f>
        <v/>
      </c>
      <c r="AA643">
        <f>IFERROR(INDEX(PP_Grid[#Data],$DE643,24),0)</f>
        <v/>
      </c>
      <c r="AB643">
        <f>IFERROR(INDEX(PP_Grid[#Data],$DE643,25),0)</f>
        <v/>
      </c>
      <c r="AC643">
        <f>IFERROR(INDEX(PP_Grid[#Data],$DE643,26),0)</f>
        <v/>
      </c>
      <c r="AD643">
        <f>IFERROR(INDEX(PP_Grid[#Data],$DE643,27),0)</f>
        <v/>
      </c>
      <c r="AE643">
        <f>IFERROR(INDEX(PP_Grid[#Data],$DE643,28),0)</f>
        <v/>
      </c>
      <c r="AF643">
        <f>IFERROR(INDEX(PP_Grid[#Data],$DE643,29),0)</f>
        <v/>
      </c>
      <c r="AG643">
        <f>IFERROR(INDEX(PP_Grid[#Data],$DE643,30),0)</f>
        <v/>
      </c>
      <c r="AH643">
        <f>IFERROR(INDEX(PP_Grid[#Data],$DE643,31),0)</f>
        <v/>
      </c>
      <c r="AI643">
        <f>IFERROR(INDEX(PP_Grid[#Data],$DE643,32),0)</f>
        <v/>
      </c>
      <c r="AJ643">
        <f>IFERROR(INDEX(PP_Grid[#Data],$DE643,33),0)</f>
        <v/>
      </c>
      <c r="AK643">
        <f>IFERROR(INDEX(PP_Grid[#Data],$DE643,34),0)</f>
        <v/>
      </c>
      <c r="AL643">
        <f>IFERROR(INDEX(PP_Grid[#Data],$DE643,35),0)</f>
        <v/>
      </c>
      <c r="AM643">
        <f>IFERROR(INDEX(PP_Grid[#Data],$DE643,36),0)</f>
        <v/>
      </c>
      <c r="AN643">
        <f>IFERROR(INDEX(PP_Grid[#Data],$DE643,37),0)</f>
        <v/>
      </c>
      <c r="AO643">
        <f>IFERROR(INDEX(PP_Grid[#Data],$DE643,38),0)</f>
        <v/>
      </c>
      <c r="AP643">
        <f>IFERROR(INDEX(PP_Grid[#Data],$DE643,39),0)</f>
        <v/>
      </c>
      <c r="AQ643">
        <f>IFERROR(INDEX(PP_Grid[#Data],$DE643,40),0)</f>
        <v/>
      </c>
      <c r="AR643">
        <f>IFERROR(INDEX(PP_Grid[#Data],$DE643,41),0)</f>
        <v/>
      </c>
      <c r="AS643">
        <f>IFERROR(INDEX(PP_Grid[#Data],$DE643,42),0)</f>
        <v/>
      </c>
      <c r="AT643">
        <f>IFERROR(INDEX(PP_Grid[#Data],$DE643,43),0)</f>
        <v/>
      </c>
      <c r="AU643">
        <f>IFERROR(INDEX(PP_Grid[#Data],$DE643,44),0)</f>
        <v/>
      </c>
      <c r="AV643">
        <f>IFERROR(INDEX(PP_Grid[#Data],$DE643,45),0)</f>
        <v/>
      </c>
      <c r="AW643">
        <f>IFERROR(INDEX(PP_Grid[#Data],$DE643,46),0)</f>
        <v/>
      </c>
      <c r="AX643">
        <f>IFERROR(INDEX(PP_Grid[#Data],$DE643,47),0)</f>
        <v/>
      </c>
      <c r="AY643">
        <f>IFERROR(INDEX(PP_Grid[#Data],$DE643,48),0)</f>
        <v/>
      </c>
      <c r="AZ643">
        <f>IFERROR(INDEX(PP_Grid[#Data],$DE643,49),0)</f>
        <v/>
      </c>
      <c r="BA643">
        <f>IFERROR(INDEX(PP_Grid[#Data],$DE643,50),0)</f>
        <v/>
      </c>
      <c r="BB643">
        <f>IFERROR(INDEX(PP_Grid[#Data],$DE643,51),0)</f>
        <v/>
      </c>
      <c r="BC643">
        <f>IFERROR(INDEX(PP_Grid[#Data],$DE643,52),0)</f>
        <v/>
      </c>
      <c r="BD643">
        <f>IFERROR(INDEX(PP_Grid[#Data],$DE643,53),0)</f>
        <v/>
      </c>
      <c r="BE643">
        <f>IFERROR(INDEX(PP_Grid[#Data],$DE643,54),0)</f>
        <v/>
      </c>
      <c r="BF643">
        <f>IFERROR(INDEX(PP_Grid[#Data],$DE643,55),0)</f>
        <v/>
      </c>
      <c r="BG643">
        <f>IFERROR(INDEX(PP_Grid[#Data],$DE643,56),0)</f>
        <v/>
      </c>
      <c r="BH643">
        <f>IFERROR(INDEX(PP_Grid[#Data],$DE643,57),0)</f>
        <v/>
      </c>
      <c r="BI643">
        <f>IFERROR(INDEX(PP_Grid[#Data],$DE643,58),0)</f>
        <v/>
      </c>
      <c r="BJ643">
        <f>IFERROR(INDEX(PP_Grid[#Data],$DE643,59),0)</f>
        <v/>
      </c>
      <c r="BK643">
        <f>IFERROR(INDEX(PP_Grid[#Data],$DE643,60),0)</f>
        <v/>
      </c>
      <c r="BL643">
        <f>IFERROR(INDEX(PP_Grid[#Data],$DE643,61),0)</f>
        <v/>
      </c>
      <c r="BM643">
        <f>IFERROR(INDEX(PP_Grid[#Data],$DE643,62),0)</f>
        <v/>
      </c>
      <c r="BN643">
        <f>IFERROR(INDEX(PP_Grid[#Data],$DE643,63),0)</f>
        <v/>
      </c>
      <c r="BO643">
        <f>IFERROR(INDEX(PP_Grid[#Data],$DE643,64),0)</f>
        <v/>
      </c>
      <c r="BP643">
        <f>IFERROR(INDEX(PP_Grid[#Data],$DE643,65),0)</f>
        <v/>
      </c>
      <c r="BQ643">
        <f>IFERROR(INDEX(PP_Grid[#Data],$DE643,66),0)</f>
        <v/>
      </c>
      <c r="BR643">
        <f>IFERROR(INDEX(PP_Grid[#Data],$DE643,67),0)</f>
        <v/>
      </c>
      <c r="BS643">
        <f>IFERROR(INDEX(PP_Grid[#Data],$DE643,68),0)</f>
        <v/>
      </c>
      <c r="BT643">
        <f>IFERROR(INDEX(PP_Grid[#Data],$DE643,69),0)</f>
        <v/>
      </c>
      <c r="BU643">
        <f>IFERROR(INDEX(PP_Grid[#Data],$DE643,70),0)</f>
        <v/>
      </c>
      <c r="BV643">
        <f>IFERROR(INDEX(PP_Grid[#Data],$DE643,71),0)</f>
        <v/>
      </c>
      <c r="BW643">
        <f>IFERROR(INDEX(PP_Grid[#Data],$DE643,72),0)</f>
        <v/>
      </c>
      <c r="BX643">
        <f>IFERROR(INDEX(PP_Grid[#Data],$DE643,73),0)</f>
        <v/>
      </c>
      <c r="BY643">
        <f>IFERROR(INDEX(PP_Grid[#Data],$DE643,74),0)</f>
        <v/>
      </c>
      <c r="BZ643">
        <f>IFERROR(INDEX(PP_Grid[#Data],$DE643,75),0)</f>
        <v/>
      </c>
      <c r="CA643">
        <f>IFERROR(INDEX(PP_Grid[#Data],$DE643,76),0)</f>
        <v/>
      </c>
      <c r="CB643">
        <f>IFERROR(INDEX(PP_Grid[#Data],$DE643,77),0)</f>
        <v/>
      </c>
      <c r="CC643">
        <f>IFERROR(INDEX(PP_Grid[#Data],$DE643,78),0)</f>
        <v/>
      </c>
      <c r="CD643">
        <f>IFERROR(INDEX(PP_Grid[#Data],$DE643,79),0)</f>
        <v/>
      </c>
      <c r="CE643">
        <f>IFERROR(INDEX(PP_Grid[#Data],$DE643,80),0)</f>
        <v/>
      </c>
      <c r="CF643">
        <f>IFERROR(INDEX(PP_Grid[#Data],$DE643,81),0)</f>
        <v/>
      </c>
      <c r="CG643">
        <f>IFERROR(INDEX(PP_Grid[#Data],$DE643,82),0)</f>
        <v/>
      </c>
      <c r="CH643">
        <f>IFERROR(INDEX(PP_Grid[#Data],$DE643,83),0)</f>
        <v/>
      </c>
      <c r="CI643">
        <f>IFERROR(INDEX(PP_Grid[#Data],$DE643,84),0)</f>
        <v/>
      </c>
      <c r="CJ643">
        <f>IFERROR(INDEX(PP_Grid[#Data],$DE643,85),0)</f>
        <v/>
      </c>
      <c r="CK643">
        <f>IFERROR(INDEX(PP_Grid[#Data],$DE643,86),0)</f>
        <v/>
      </c>
      <c r="CL643">
        <f>IFERROR(INDEX(PP_Grid[#Data],$DE643,87),0)</f>
        <v/>
      </c>
      <c r="CM643">
        <f>IFERROR(INDEX(PP_Grid[#Data],$DE643,88),0)</f>
        <v/>
      </c>
      <c r="CN643">
        <f>IFERROR(INDEX(PP_Grid[#Data],$DE643,89),0)</f>
        <v/>
      </c>
      <c r="CO643">
        <f>IFERROR(INDEX(PP_Grid[#Data],$DE643,90),0)</f>
        <v/>
      </c>
      <c r="CP643">
        <f>IFERROR(INDEX(PP_Grid[#Data],$DE643,91),0)</f>
        <v/>
      </c>
      <c r="CQ643">
        <f>IFERROR(INDEX(PP_Grid[#Data],$DE643,92),0)</f>
        <v/>
      </c>
      <c r="CR643">
        <f>IFERROR(INDEX(PP_Grid[#Data],$DE643,93),0)</f>
        <v/>
      </c>
      <c r="CS643">
        <f>IFERROR(INDEX(PP_Grid[#Data],$DE643,94),0)</f>
        <v/>
      </c>
      <c r="CT643">
        <f>IFERROR(INDEX(PP_Grid[#Data],$DE643,95),0)</f>
        <v/>
      </c>
      <c r="CU643">
        <f>IFERROR(INDEX(PP_Grid[#Data],$DE643,96),0)</f>
        <v/>
      </c>
      <c r="CV643">
        <f>IFERROR(INDEX(PP_Grid[#Data],$DE643,97),0)</f>
        <v/>
      </c>
      <c r="CW643">
        <f>IFERROR(INDEX(PP_Grid[#Data],$DE643,98),0)</f>
        <v/>
      </c>
      <c r="CX643">
        <f>IFERROR(INDEX(PP_Grid[#Data],$DE643,99),0)</f>
        <v/>
      </c>
      <c r="CY643">
        <f>IFERROR(INDEX(PP_Grid[#Data],$DE643,100),0)</f>
        <v/>
      </c>
      <c r="CZ643">
        <f>IFERROR(INDEX(PP_Grid[#Data],$DE643,101),0)</f>
        <v/>
      </c>
      <c r="DA643">
        <f>IFERROR(INDEX(PP_Grid[#Data],$DE643,102),0)</f>
        <v/>
      </c>
      <c r="DB643">
        <f>IFERROR(INDEX(PP_Grid[#Data],$DE643,103),0)</f>
        <v/>
      </c>
      <c r="DC643">
        <f>IFERROR(INDEX(PP_Grid[#Data],$DE643,104),0)</f>
        <v/>
      </c>
      <c r="DD643">
        <f>IFERROR(INDEX(PP_Grid[#Data],$DE643,105),0)</f>
        <v/>
      </c>
      <c r="DE643" s="7">
        <f>IFERROR(MATCH($B643,PP_Grid[Intermediate],0),99999)</f>
        <v/>
      </c>
    </row>
    <row r="644">
      <c r="B644" t="inlineStr">
        <is>
          <t>使用量(kg)</t>
        </is>
      </c>
      <c r="C644">
        <f>SUMIFS(M_BOM[RM_Qty_Per_Batch],M_BOM[Intermediate],$B643,M_BOM[RM_Code],$A636)</f>
        <v/>
      </c>
      <c r="D644">
        <f>IFERROR(INDEX(E644:DD644,$F$1),"")</f>
        <v/>
      </c>
      <c r="E644">
        <f>$C644*E643</f>
        <v/>
      </c>
      <c r="F644">
        <f>$C644*F643</f>
        <v/>
      </c>
      <c r="G644">
        <f>$C644*G643</f>
        <v/>
      </c>
      <c r="H644">
        <f>$C644*H643</f>
        <v/>
      </c>
      <c r="I644">
        <f>$C644*I643</f>
        <v/>
      </c>
      <c r="J644">
        <f>$C644*J643</f>
        <v/>
      </c>
      <c r="K644">
        <f>$C644*K643</f>
        <v/>
      </c>
      <c r="L644">
        <f>$C644*L643</f>
        <v/>
      </c>
      <c r="M644">
        <f>$C644*M643</f>
        <v/>
      </c>
      <c r="N644">
        <f>$C644*N643</f>
        <v/>
      </c>
      <c r="O644">
        <f>$C644*O643</f>
        <v/>
      </c>
      <c r="P644">
        <f>$C644*P643</f>
        <v/>
      </c>
      <c r="Q644">
        <f>$C644*Q643</f>
        <v/>
      </c>
      <c r="R644">
        <f>$C644*R643</f>
        <v/>
      </c>
      <c r="S644">
        <f>$C644*S643</f>
        <v/>
      </c>
      <c r="T644">
        <f>$C644*T643</f>
        <v/>
      </c>
      <c r="U644">
        <f>$C644*U643</f>
        <v/>
      </c>
      <c r="V644">
        <f>$C644*V643</f>
        <v/>
      </c>
      <c r="W644">
        <f>$C644*W643</f>
        <v/>
      </c>
      <c r="X644">
        <f>$C644*X643</f>
        <v/>
      </c>
      <c r="Y644">
        <f>$C644*Y643</f>
        <v/>
      </c>
      <c r="Z644">
        <f>$C644*Z643</f>
        <v/>
      </c>
      <c r="AA644">
        <f>$C644*AA643</f>
        <v/>
      </c>
      <c r="AB644">
        <f>$C644*AB643</f>
        <v/>
      </c>
      <c r="AC644">
        <f>$C644*AC643</f>
        <v/>
      </c>
      <c r="AD644">
        <f>$C644*AD643</f>
        <v/>
      </c>
      <c r="AE644">
        <f>$C644*AE643</f>
        <v/>
      </c>
      <c r="AF644">
        <f>$C644*AF643</f>
        <v/>
      </c>
      <c r="AG644">
        <f>$C644*AG643</f>
        <v/>
      </c>
      <c r="AH644">
        <f>$C644*AH643</f>
        <v/>
      </c>
      <c r="AI644">
        <f>$C644*AI643</f>
        <v/>
      </c>
      <c r="AJ644">
        <f>$C644*AJ643</f>
        <v/>
      </c>
      <c r="AK644">
        <f>$C644*AK643</f>
        <v/>
      </c>
      <c r="AL644">
        <f>$C644*AL643</f>
        <v/>
      </c>
      <c r="AM644">
        <f>$C644*AM643</f>
        <v/>
      </c>
      <c r="AN644">
        <f>$C644*AN643</f>
        <v/>
      </c>
      <c r="AO644">
        <f>$C644*AO643</f>
        <v/>
      </c>
      <c r="AP644">
        <f>$C644*AP643</f>
        <v/>
      </c>
      <c r="AQ644">
        <f>$C644*AQ643</f>
        <v/>
      </c>
      <c r="AR644">
        <f>$C644*AR643</f>
        <v/>
      </c>
      <c r="AS644">
        <f>$C644*AS643</f>
        <v/>
      </c>
      <c r="AT644">
        <f>$C644*AT643</f>
        <v/>
      </c>
      <c r="AU644">
        <f>$C644*AU643</f>
        <v/>
      </c>
      <c r="AV644">
        <f>$C644*AV643</f>
        <v/>
      </c>
      <c r="AW644">
        <f>$C644*AW643</f>
        <v/>
      </c>
      <c r="AX644">
        <f>$C644*AX643</f>
        <v/>
      </c>
      <c r="AY644">
        <f>$C644*AY643</f>
        <v/>
      </c>
      <c r="AZ644">
        <f>$C644*AZ643</f>
        <v/>
      </c>
      <c r="BA644">
        <f>$C644*BA643</f>
        <v/>
      </c>
      <c r="BB644">
        <f>$C644*BB643</f>
        <v/>
      </c>
      <c r="BC644">
        <f>$C644*BC643</f>
        <v/>
      </c>
      <c r="BD644">
        <f>$C644*BD643</f>
        <v/>
      </c>
      <c r="BE644">
        <f>$C644*BE643</f>
        <v/>
      </c>
      <c r="BF644">
        <f>$C644*BF643</f>
        <v/>
      </c>
      <c r="BG644">
        <f>$C644*BG643</f>
        <v/>
      </c>
      <c r="BH644">
        <f>$C644*BH643</f>
        <v/>
      </c>
      <c r="BI644">
        <f>$C644*BI643</f>
        <v/>
      </c>
      <c r="BJ644">
        <f>$C644*BJ643</f>
        <v/>
      </c>
      <c r="BK644">
        <f>$C644*BK643</f>
        <v/>
      </c>
      <c r="BL644">
        <f>$C644*BL643</f>
        <v/>
      </c>
      <c r="BM644">
        <f>$C644*BM643</f>
        <v/>
      </c>
      <c r="BN644">
        <f>$C644*BN643</f>
        <v/>
      </c>
      <c r="BO644">
        <f>$C644*BO643</f>
        <v/>
      </c>
      <c r="BP644">
        <f>$C644*BP643</f>
        <v/>
      </c>
      <c r="BQ644">
        <f>$C644*BQ643</f>
        <v/>
      </c>
      <c r="BR644">
        <f>$C644*BR643</f>
        <v/>
      </c>
      <c r="BS644">
        <f>$C644*BS643</f>
        <v/>
      </c>
      <c r="BT644">
        <f>$C644*BT643</f>
        <v/>
      </c>
      <c r="BU644">
        <f>$C644*BU643</f>
        <v/>
      </c>
      <c r="BV644">
        <f>$C644*BV643</f>
        <v/>
      </c>
      <c r="BW644">
        <f>$C644*BW643</f>
        <v/>
      </c>
      <c r="BX644">
        <f>$C644*BX643</f>
        <v/>
      </c>
      <c r="BY644">
        <f>$C644*BY643</f>
        <v/>
      </c>
      <c r="BZ644">
        <f>$C644*BZ643</f>
        <v/>
      </c>
      <c r="CA644">
        <f>$C644*CA643</f>
        <v/>
      </c>
      <c r="CB644">
        <f>$C644*CB643</f>
        <v/>
      </c>
      <c r="CC644">
        <f>$C644*CC643</f>
        <v/>
      </c>
      <c r="CD644">
        <f>$C644*CD643</f>
        <v/>
      </c>
      <c r="CE644">
        <f>$C644*CE643</f>
        <v/>
      </c>
      <c r="CF644">
        <f>$C644*CF643</f>
        <v/>
      </c>
      <c r="CG644">
        <f>$C644*CG643</f>
        <v/>
      </c>
      <c r="CH644">
        <f>$C644*CH643</f>
        <v/>
      </c>
      <c r="CI644">
        <f>$C644*CI643</f>
        <v/>
      </c>
      <c r="CJ644">
        <f>$C644*CJ643</f>
        <v/>
      </c>
      <c r="CK644">
        <f>$C644*CK643</f>
        <v/>
      </c>
      <c r="CL644">
        <f>$C644*CL643</f>
        <v/>
      </c>
      <c r="CM644">
        <f>$C644*CM643</f>
        <v/>
      </c>
      <c r="CN644">
        <f>$C644*CN643</f>
        <v/>
      </c>
      <c r="CO644">
        <f>$C644*CO643</f>
        <v/>
      </c>
      <c r="CP644">
        <f>$C644*CP643</f>
        <v/>
      </c>
      <c r="CQ644">
        <f>$C644*CQ643</f>
        <v/>
      </c>
      <c r="CR644">
        <f>$C644*CR643</f>
        <v/>
      </c>
      <c r="CS644">
        <f>$C644*CS643</f>
        <v/>
      </c>
      <c r="CT644">
        <f>$C644*CT643</f>
        <v/>
      </c>
      <c r="CU644">
        <f>$C644*CU643</f>
        <v/>
      </c>
      <c r="CV644">
        <f>$C644*CV643</f>
        <v/>
      </c>
      <c r="CW644">
        <f>$C644*CW643</f>
        <v/>
      </c>
      <c r="CX644">
        <f>$C644*CX643</f>
        <v/>
      </c>
      <c r="CY644">
        <f>$C644*CY643</f>
        <v/>
      </c>
      <c r="CZ644">
        <f>$C644*CZ643</f>
        <v/>
      </c>
      <c r="DA644">
        <f>$C644*DA643</f>
        <v/>
      </c>
      <c r="DB644">
        <f>$C644*DB643</f>
        <v/>
      </c>
      <c r="DC644">
        <f>$C644*DC643</f>
        <v/>
      </c>
      <c r="DD644">
        <f>$C644*DD643</f>
        <v/>
      </c>
    </row>
    <row r="645">
      <c r="B645" t="inlineStr">
        <is>
          <t>TSP-205</t>
        </is>
      </c>
      <c r="C645" t="inlineStr">
        <is>
          <t>No. of batches</t>
        </is>
      </c>
      <c r="D645">
        <f>IFERROR(INDEX(E645:DD645,$F$1),"")</f>
        <v/>
      </c>
      <c r="E645">
        <f>IFERROR(INDEX(PP_Grid[#Data],$DE645,2),0)</f>
        <v/>
      </c>
      <c r="F645">
        <f>IFERROR(INDEX(PP_Grid[#Data],$DE645,3),0)</f>
        <v/>
      </c>
      <c r="G645">
        <f>IFERROR(INDEX(PP_Grid[#Data],$DE645,4),0)</f>
        <v/>
      </c>
      <c r="H645">
        <f>IFERROR(INDEX(PP_Grid[#Data],$DE645,5),0)</f>
        <v/>
      </c>
      <c r="I645">
        <f>IFERROR(INDEX(PP_Grid[#Data],$DE645,6),0)</f>
        <v/>
      </c>
      <c r="J645">
        <f>IFERROR(INDEX(PP_Grid[#Data],$DE645,7),0)</f>
        <v/>
      </c>
      <c r="K645">
        <f>IFERROR(INDEX(PP_Grid[#Data],$DE645,8),0)</f>
        <v/>
      </c>
      <c r="L645">
        <f>IFERROR(INDEX(PP_Grid[#Data],$DE645,9),0)</f>
        <v/>
      </c>
      <c r="M645">
        <f>IFERROR(INDEX(PP_Grid[#Data],$DE645,10),0)</f>
        <v/>
      </c>
      <c r="N645">
        <f>IFERROR(INDEX(PP_Grid[#Data],$DE645,11),0)</f>
        <v/>
      </c>
      <c r="O645">
        <f>IFERROR(INDEX(PP_Grid[#Data],$DE645,12),0)</f>
        <v/>
      </c>
      <c r="P645">
        <f>IFERROR(INDEX(PP_Grid[#Data],$DE645,13),0)</f>
        <v/>
      </c>
      <c r="Q645">
        <f>IFERROR(INDEX(PP_Grid[#Data],$DE645,14),0)</f>
        <v/>
      </c>
      <c r="R645">
        <f>IFERROR(INDEX(PP_Grid[#Data],$DE645,15),0)</f>
        <v/>
      </c>
      <c r="S645">
        <f>IFERROR(INDEX(PP_Grid[#Data],$DE645,16),0)</f>
        <v/>
      </c>
      <c r="T645">
        <f>IFERROR(INDEX(PP_Grid[#Data],$DE645,17),0)</f>
        <v/>
      </c>
      <c r="U645">
        <f>IFERROR(INDEX(PP_Grid[#Data],$DE645,18),0)</f>
        <v/>
      </c>
      <c r="V645">
        <f>IFERROR(INDEX(PP_Grid[#Data],$DE645,19),0)</f>
        <v/>
      </c>
      <c r="W645">
        <f>IFERROR(INDEX(PP_Grid[#Data],$DE645,20),0)</f>
        <v/>
      </c>
      <c r="X645">
        <f>IFERROR(INDEX(PP_Grid[#Data],$DE645,21),0)</f>
        <v/>
      </c>
      <c r="Y645">
        <f>IFERROR(INDEX(PP_Grid[#Data],$DE645,22),0)</f>
        <v/>
      </c>
      <c r="Z645">
        <f>IFERROR(INDEX(PP_Grid[#Data],$DE645,23),0)</f>
        <v/>
      </c>
      <c r="AA645">
        <f>IFERROR(INDEX(PP_Grid[#Data],$DE645,24),0)</f>
        <v/>
      </c>
      <c r="AB645">
        <f>IFERROR(INDEX(PP_Grid[#Data],$DE645,25),0)</f>
        <v/>
      </c>
      <c r="AC645">
        <f>IFERROR(INDEX(PP_Grid[#Data],$DE645,26),0)</f>
        <v/>
      </c>
      <c r="AD645">
        <f>IFERROR(INDEX(PP_Grid[#Data],$DE645,27),0)</f>
        <v/>
      </c>
      <c r="AE645">
        <f>IFERROR(INDEX(PP_Grid[#Data],$DE645,28),0)</f>
        <v/>
      </c>
      <c r="AF645">
        <f>IFERROR(INDEX(PP_Grid[#Data],$DE645,29),0)</f>
        <v/>
      </c>
      <c r="AG645">
        <f>IFERROR(INDEX(PP_Grid[#Data],$DE645,30),0)</f>
        <v/>
      </c>
      <c r="AH645">
        <f>IFERROR(INDEX(PP_Grid[#Data],$DE645,31),0)</f>
        <v/>
      </c>
      <c r="AI645">
        <f>IFERROR(INDEX(PP_Grid[#Data],$DE645,32),0)</f>
        <v/>
      </c>
      <c r="AJ645">
        <f>IFERROR(INDEX(PP_Grid[#Data],$DE645,33),0)</f>
        <v/>
      </c>
      <c r="AK645">
        <f>IFERROR(INDEX(PP_Grid[#Data],$DE645,34),0)</f>
        <v/>
      </c>
      <c r="AL645">
        <f>IFERROR(INDEX(PP_Grid[#Data],$DE645,35),0)</f>
        <v/>
      </c>
      <c r="AM645">
        <f>IFERROR(INDEX(PP_Grid[#Data],$DE645,36),0)</f>
        <v/>
      </c>
      <c r="AN645">
        <f>IFERROR(INDEX(PP_Grid[#Data],$DE645,37),0)</f>
        <v/>
      </c>
      <c r="AO645">
        <f>IFERROR(INDEX(PP_Grid[#Data],$DE645,38),0)</f>
        <v/>
      </c>
      <c r="AP645">
        <f>IFERROR(INDEX(PP_Grid[#Data],$DE645,39),0)</f>
        <v/>
      </c>
      <c r="AQ645">
        <f>IFERROR(INDEX(PP_Grid[#Data],$DE645,40),0)</f>
        <v/>
      </c>
      <c r="AR645">
        <f>IFERROR(INDEX(PP_Grid[#Data],$DE645,41),0)</f>
        <v/>
      </c>
      <c r="AS645">
        <f>IFERROR(INDEX(PP_Grid[#Data],$DE645,42),0)</f>
        <v/>
      </c>
      <c r="AT645">
        <f>IFERROR(INDEX(PP_Grid[#Data],$DE645,43),0)</f>
        <v/>
      </c>
      <c r="AU645">
        <f>IFERROR(INDEX(PP_Grid[#Data],$DE645,44),0)</f>
        <v/>
      </c>
      <c r="AV645">
        <f>IFERROR(INDEX(PP_Grid[#Data],$DE645,45),0)</f>
        <v/>
      </c>
      <c r="AW645">
        <f>IFERROR(INDEX(PP_Grid[#Data],$DE645,46),0)</f>
        <v/>
      </c>
      <c r="AX645">
        <f>IFERROR(INDEX(PP_Grid[#Data],$DE645,47),0)</f>
        <v/>
      </c>
      <c r="AY645">
        <f>IFERROR(INDEX(PP_Grid[#Data],$DE645,48),0)</f>
        <v/>
      </c>
      <c r="AZ645">
        <f>IFERROR(INDEX(PP_Grid[#Data],$DE645,49),0)</f>
        <v/>
      </c>
      <c r="BA645">
        <f>IFERROR(INDEX(PP_Grid[#Data],$DE645,50),0)</f>
        <v/>
      </c>
      <c r="BB645">
        <f>IFERROR(INDEX(PP_Grid[#Data],$DE645,51),0)</f>
        <v/>
      </c>
      <c r="BC645">
        <f>IFERROR(INDEX(PP_Grid[#Data],$DE645,52),0)</f>
        <v/>
      </c>
      <c r="BD645">
        <f>IFERROR(INDEX(PP_Grid[#Data],$DE645,53),0)</f>
        <v/>
      </c>
      <c r="BE645">
        <f>IFERROR(INDEX(PP_Grid[#Data],$DE645,54),0)</f>
        <v/>
      </c>
      <c r="BF645">
        <f>IFERROR(INDEX(PP_Grid[#Data],$DE645,55),0)</f>
        <v/>
      </c>
      <c r="BG645">
        <f>IFERROR(INDEX(PP_Grid[#Data],$DE645,56),0)</f>
        <v/>
      </c>
      <c r="BH645">
        <f>IFERROR(INDEX(PP_Grid[#Data],$DE645,57),0)</f>
        <v/>
      </c>
      <c r="BI645">
        <f>IFERROR(INDEX(PP_Grid[#Data],$DE645,58),0)</f>
        <v/>
      </c>
      <c r="BJ645">
        <f>IFERROR(INDEX(PP_Grid[#Data],$DE645,59),0)</f>
        <v/>
      </c>
      <c r="BK645">
        <f>IFERROR(INDEX(PP_Grid[#Data],$DE645,60),0)</f>
        <v/>
      </c>
      <c r="BL645">
        <f>IFERROR(INDEX(PP_Grid[#Data],$DE645,61),0)</f>
        <v/>
      </c>
      <c r="BM645">
        <f>IFERROR(INDEX(PP_Grid[#Data],$DE645,62),0)</f>
        <v/>
      </c>
      <c r="BN645">
        <f>IFERROR(INDEX(PP_Grid[#Data],$DE645,63),0)</f>
        <v/>
      </c>
      <c r="BO645">
        <f>IFERROR(INDEX(PP_Grid[#Data],$DE645,64),0)</f>
        <v/>
      </c>
      <c r="BP645">
        <f>IFERROR(INDEX(PP_Grid[#Data],$DE645,65),0)</f>
        <v/>
      </c>
      <c r="BQ645">
        <f>IFERROR(INDEX(PP_Grid[#Data],$DE645,66),0)</f>
        <v/>
      </c>
      <c r="BR645">
        <f>IFERROR(INDEX(PP_Grid[#Data],$DE645,67),0)</f>
        <v/>
      </c>
      <c r="BS645">
        <f>IFERROR(INDEX(PP_Grid[#Data],$DE645,68),0)</f>
        <v/>
      </c>
      <c r="BT645">
        <f>IFERROR(INDEX(PP_Grid[#Data],$DE645,69),0)</f>
        <v/>
      </c>
      <c r="BU645">
        <f>IFERROR(INDEX(PP_Grid[#Data],$DE645,70),0)</f>
        <v/>
      </c>
      <c r="BV645">
        <f>IFERROR(INDEX(PP_Grid[#Data],$DE645,71),0)</f>
        <v/>
      </c>
      <c r="BW645">
        <f>IFERROR(INDEX(PP_Grid[#Data],$DE645,72),0)</f>
        <v/>
      </c>
      <c r="BX645">
        <f>IFERROR(INDEX(PP_Grid[#Data],$DE645,73),0)</f>
        <v/>
      </c>
      <c r="BY645">
        <f>IFERROR(INDEX(PP_Grid[#Data],$DE645,74),0)</f>
        <v/>
      </c>
      <c r="BZ645">
        <f>IFERROR(INDEX(PP_Grid[#Data],$DE645,75),0)</f>
        <v/>
      </c>
      <c r="CA645">
        <f>IFERROR(INDEX(PP_Grid[#Data],$DE645,76),0)</f>
        <v/>
      </c>
      <c r="CB645">
        <f>IFERROR(INDEX(PP_Grid[#Data],$DE645,77),0)</f>
        <v/>
      </c>
      <c r="CC645">
        <f>IFERROR(INDEX(PP_Grid[#Data],$DE645,78),0)</f>
        <v/>
      </c>
      <c r="CD645">
        <f>IFERROR(INDEX(PP_Grid[#Data],$DE645,79),0)</f>
        <v/>
      </c>
      <c r="CE645">
        <f>IFERROR(INDEX(PP_Grid[#Data],$DE645,80),0)</f>
        <v/>
      </c>
      <c r="CF645">
        <f>IFERROR(INDEX(PP_Grid[#Data],$DE645,81),0)</f>
        <v/>
      </c>
      <c r="CG645">
        <f>IFERROR(INDEX(PP_Grid[#Data],$DE645,82),0)</f>
        <v/>
      </c>
      <c r="CH645">
        <f>IFERROR(INDEX(PP_Grid[#Data],$DE645,83),0)</f>
        <v/>
      </c>
      <c r="CI645">
        <f>IFERROR(INDEX(PP_Grid[#Data],$DE645,84),0)</f>
        <v/>
      </c>
      <c r="CJ645">
        <f>IFERROR(INDEX(PP_Grid[#Data],$DE645,85),0)</f>
        <v/>
      </c>
      <c r="CK645">
        <f>IFERROR(INDEX(PP_Grid[#Data],$DE645,86),0)</f>
        <v/>
      </c>
      <c r="CL645">
        <f>IFERROR(INDEX(PP_Grid[#Data],$DE645,87),0)</f>
        <v/>
      </c>
      <c r="CM645">
        <f>IFERROR(INDEX(PP_Grid[#Data],$DE645,88),0)</f>
        <v/>
      </c>
      <c r="CN645">
        <f>IFERROR(INDEX(PP_Grid[#Data],$DE645,89),0)</f>
        <v/>
      </c>
      <c r="CO645">
        <f>IFERROR(INDEX(PP_Grid[#Data],$DE645,90),0)</f>
        <v/>
      </c>
      <c r="CP645">
        <f>IFERROR(INDEX(PP_Grid[#Data],$DE645,91),0)</f>
        <v/>
      </c>
      <c r="CQ645">
        <f>IFERROR(INDEX(PP_Grid[#Data],$DE645,92),0)</f>
        <v/>
      </c>
      <c r="CR645">
        <f>IFERROR(INDEX(PP_Grid[#Data],$DE645,93),0)</f>
        <v/>
      </c>
      <c r="CS645">
        <f>IFERROR(INDEX(PP_Grid[#Data],$DE645,94),0)</f>
        <v/>
      </c>
      <c r="CT645">
        <f>IFERROR(INDEX(PP_Grid[#Data],$DE645,95),0)</f>
        <v/>
      </c>
      <c r="CU645">
        <f>IFERROR(INDEX(PP_Grid[#Data],$DE645,96),0)</f>
        <v/>
      </c>
      <c r="CV645">
        <f>IFERROR(INDEX(PP_Grid[#Data],$DE645,97),0)</f>
        <v/>
      </c>
      <c r="CW645">
        <f>IFERROR(INDEX(PP_Grid[#Data],$DE645,98),0)</f>
        <v/>
      </c>
      <c r="CX645">
        <f>IFERROR(INDEX(PP_Grid[#Data],$DE645,99),0)</f>
        <v/>
      </c>
      <c r="CY645">
        <f>IFERROR(INDEX(PP_Grid[#Data],$DE645,100),0)</f>
        <v/>
      </c>
      <c r="CZ645">
        <f>IFERROR(INDEX(PP_Grid[#Data],$DE645,101),0)</f>
        <v/>
      </c>
      <c r="DA645">
        <f>IFERROR(INDEX(PP_Grid[#Data],$DE645,102),0)</f>
        <v/>
      </c>
      <c r="DB645">
        <f>IFERROR(INDEX(PP_Grid[#Data],$DE645,103),0)</f>
        <v/>
      </c>
      <c r="DC645">
        <f>IFERROR(INDEX(PP_Grid[#Data],$DE645,104),0)</f>
        <v/>
      </c>
      <c r="DD645">
        <f>IFERROR(INDEX(PP_Grid[#Data],$DE645,105),0)</f>
        <v/>
      </c>
      <c r="DE645" s="7">
        <f>IFERROR(MATCH($B645,PP_Grid[Intermediate],0),99999)</f>
        <v/>
      </c>
    </row>
    <row r="646">
      <c r="B646" t="inlineStr">
        <is>
          <t>使用量(kg)</t>
        </is>
      </c>
      <c r="C646">
        <f>SUMIFS(M_BOM[RM_Qty_Per_Batch],M_BOM[Intermediate],$B645,M_BOM[RM_Code],$A636)</f>
        <v/>
      </c>
      <c r="D646">
        <f>IFERROR(INDEX(E646:DD646,$F$1),"")</f>
        <v/>
      </c>
      <c r="E646">
        <f>$C646*E645</f>
        <v/>
      </c>
      <c r="F646">
        <f>$C646*F645</f>
        <v/>
      </c>
      <c r="G646">
        <f>$C646*G645</f>
        <v/>
      </c>
      <c r="H646">
        <f>$C646*H645</f>
        <v/>
      </c>
      <c r="I646">
        <f>$C646*I645</f>
        <v/>
      </c>
      <c r="J646">
        <f>$C646*J645</f>
        <v/>
      </c>
      <c r="K646">
        <f>$C646*K645</f>
        <v/>
      </c>
      <c r="L646">
        <f>$C646*L645</f>
        <v/>
      </c>
      <c r="M646">
        <f>$C646*M645</f>
        <v/>
      </c>
      <c r="N646">
        <f>$C646*N645</f>
        <v/>
      </c>
      <c r="O646">
        <f>$C646*O645</f>
        <v/>
      </c>
      <c r="P646">
        <f>$C646*P645</f>
        <v/>
      </c>
      <c r="Q646">
        <f>$C646*Q645</f>
        <v/>
      </c>
      <c r="R646">
        <f>$C646*R645</f>
        <v/>
      </c>
      <c r="S646">
        <f>$C646*S645</f>
        <v/>
      </c>
      <c r="T646">
        <f>$C646*T645</f>
        <v/>
      </c>
      <c r="U646">
        <f>$C646*U645</f>
        <v/>
      </c>
      <c r="V646">
        <f>$C646*V645</f>
        <v/>
      </c>
      <c r="W646">
        <f>$C646*W645</f>
        <v/>
      </c>
      <c r="X646">
        <f>$C646*X645</f>
        <v/>
      </c>
      <c r="Y646">
        <f>$C646*Y645</f>
        <v/>
      </c>
      <c r="Z646">
        <f>$C646*Z645</f>
        <v/>
      </c>
      <c r="AA646">
        <f>$C646*AA645</f>
        <v/>
      </c>
      <c r="AB646">
        <f>$C646*AB645</f>
        <v/>
      </c>
      <c r="AC646">
        <f>$C646*AC645</f>
        <v/>
      </c>
      <c r="AD646">
        <f>$C646*AD645</f>
        <v/>
      </c>
      <c r="AE646">
        <f>$C646*AE645</f>
        <v/>
      </c>
      <c r="AF646">
        <f>$C646*AF645</f>
        <v/>
      </c>
      <c r="AG646">
        <f>$C646*AG645</f>
        <v/>
      </c>
      <c r="AH646">
        <f>$C646*AH645</f>
        <v/>
      </c>
      <c r="AI646">
        <f>$C646*AI645</f>
        <v/>
      </c>
      <c r="AJ646">
        <f>$C646*AJ645</f>
        <v/>
      </c>
      <c r="AK646">
        <f>$C646*AK645</f>
        <v/>
      </c>
      <c r="AL646">
        <f>$C646*AL645</f>
        <v/>
      </c>
      <c r="AM646">
        <f>$C646*AM645</f>
        <v/>
      </c>
      <c r="AN646">
        <f>$C646*AN645</f>
        <v/>
      </c>
      <c r="AO646">
        <f>$C646*AO645</f>
        <v/>
      </c>
      <c r="AP646">
        <f>$C646*AP645</f>
        <v/>
      </c>
      <c r="AQ646">
        <f>$C646*AQ645</f>
        <v/>
      </c>
      <c r="AR646">
        <f>$C646*AR645</f>
        <v/>
      </c>
      <c r="AS646">
        <f>$C646*AS645</f>
        <v/>
      </c>
      <c r="AT646">
        <f>$C646*AT645</f>
        <v/>
      </c>
      <c r="AU646">
        <f>$C646*AU645</f>
        <v/>
      </c>
      <c r="AV646">
        <f>$C646*AV645</f>
        <v/>
      </c>
      <c r="AW646">
        <f>$C646*AW645</f>
        <v/>
      </c>
      <c r="AX646">
        <f>$C646*AX645</f>
        <v/>
      </c>
      <c r="AY646">
        <f>$C646*AY645</f>
        <v/>
      </c>
      <c r="AZ646">
        <f>$C646*AZ645</f>
        <v/>
      </c>
      <c r="BA646">
        <f>$C646*BA645</f>
        <v/>
      </c>
      <c r="BB646">
        <f>$C646*BB645</f>
        <v/>
      </c>
      <c r="BC646">
        <f>$C646*BC645</f>
        <v/>
      </c>
      <c r="BD646">
        <f>$C646*BD645</f>
        <v/>
      </c>
      <c r="BE646">
        <f>$C646*BE645</f>
        <v/>
      </c>
      <c r="BF646">
        <f>$C646*BF645</f>
        <v/>
      </c>
      <c r="BG646">
        <f>$C646*BG645</f>
        <v/>
      </c>
      <c r="BH646">
        <f>$C646*BH645</f>
        <v/>
      </c>
      <c r="BI646">
        <f>$C646*BI645</f>
        <v/>
      </c>
      <c r="BJ646">
        <f>$C646*BJ645</f>
        <v/>
      </c>
      <c r="BK646">
        <f>$C646*BK645</f>
        <v/>
      </c>
      <c r="BL646">
        <f>$C646*BL645</f>
        <v/>
      </c>
      <c r="BM646">
        <f>$C646*BM645</f>
        <v/>
      </c>
      <c r="BN646">
        <f>$C646*BN645</f>
        <v/>
      </c>
      <c r="BO646">
        <f>$C646*BO645</f>
        <v/>
      </c>
      <c r="BP646">
        <f>$C646*BP645</f>
        <v/>
      </c>
      <c r="BQ646">
        <f>$C646*BQ645</f>
        <v/>
      </c>
      <c r="BR646">
        <f>$C646*BR645</f>
        <v/>
      </c>
      <c r="BS646">
        <f>$C646*BS645</f>
        <v/>
      </c>
      <c r="BT646">
        <f>$C646*BT645</f>
        <v/>
      </c>
      <c r="BU646">
        <f>$C646*BU645</f>
        <v/>
      </c>
      <c r="BV646">
        <f>$C646*BV645</f>
        <v/>
      </c>
      <c r="BW646">
        <f>$C646*BW645</f>
        <v/>
      </c>
      <c r="BX646">
        <f>$C646*BX645</f>
        <v/>
      </c>
      <c r="BY646">
        <f>$C646*BY645</f>
        <v/>
      </c>
      <c r="BZ646">
        <f>$C646*BZ645</f>
        <v/>
      </c>
      <c r="CA646">
        <f>$C646*CA645</f>
        <v/>
      </c>
      <c r="CB646">
        <f>$C646*CB645</f>
        <v/>
      </c>
      <c r="CC646">
        <f>$C646*CC645</f>
        <v/>
      </c>
      <c r="CD646">
        <f>$C646*CD645</f>
        <v/>
      </c>
      <c r="CE646">
        <f>$C646*CE645</f>
        <v/>
      </c>
      <c r="CF646">
        <f>$C646*CF645</f>
        <v/>
      </c>
      <c r="CG646">
        <f>$C646*CG645</f>
        <v/>
      </c>
      <c r="CH646">
        <f>$C646*CH645</f>
        <v/>
      </c>
      <c r="CI646">
        <f>$C646*CI645</f>
        <v/>
      </c>
      <c r="CJ646">
        <f>$C646*CJ645</f>
        <v/>
      </c>
      <c r="CK646">
        <f>$C646*CK645</f>
        <v/>
      </c>
      <c r="CL646">
        <f>$C646*CL645</f>
        <v/>
      </c>
      <c r="CM646">
        <f>$C646*CM645</f>
        <v/>
      </c>
      <c r="CN646">
        <f>$C646*CN645</f>
        <v/>
      </c>
      <c r="CO646">
        <f>$C646*CO645</f>
        <v/>
      </c>
      <c r="CP646">
        <f>$C646*CP645</f>
        <v/>
      </c>
      <c r="CQ646">
        <f>$C646*CQ645</f>
        <v/>
      </c>
      <c r="CR646">
        <f>$C646*CR645</f>
        <v/>
      </c>
      <c r="CS646">
        <f>$C646*CS645</f>
        <v/>
      </c>
      <c r="CT646">
        <f>$C646*CT645</f>
        <v/>
      </c>
      <c r="CU646">
        <f>$C646*CU645</f>
        <v/>
      </c>
      <c r="CV646">
        <f>$C646*CV645</f>
        <v/>
      </c>
      <c r="CW646">
        <f>$C646*CW645</f>
        <v/>
      </c>
      <c r="CX646">
        <f>$C646*CX645</f>
        <v/>
      </c>
      <c r="CY646">
        <f>$C646*CY645</f>
        <v/>
      </c>
      <c r="CZ646">
        <f>$C646*CZ645</f>
        <v/>
      </c>
      <c r="DA646">
        <f>$C646*DA645</f>
        <v/>
      </c>
      <c r="DB646">
        <f>$C646*DB645</f>
        <v/>
      </c>
      <c r="DC646">
        <f>$C646*DC645</f>
        <v/>
      </c>
      <c r="DD646">
        <f>$C646*DD645</f>
        <v/>
      </c>
    </row>
    <row r="647">
      <c r="B647" t="inlineStr">
        <is>
          <t>TSP-206</t>
        </is>
      </c>
      <c r="C647" t="inlineStr">
        <is>
          <t>No. of batches</t>
        </is>
      </c>
      <c r="D647">
        <f>IFERROR(INDEX(E647:DD647,$F$1),"")</f>
        <v/>
      </c>
      <c r="E647">
        <f>IFERROR(INDEX(PP_Grid[#Data],$DE647,2),0)</f>
        <v/>
      </c>
      <c r="F647">
        <f>IFERROR(INDEX(PP_Grid[#Data],$DE647,3),0)</f>
        <v/>
      </c>
      <c r="G647">
        <f>IFERROR(INDEX(PP_Grid[#Data],$DE647,4),0)</f>
        <v/>
      </c>
      <c r="H647">
        <f>IFERROR(INDEX(PP_Grid[#Data],$DE647,5),0)</f>
        <v/>
      </c>
      <c r="I647">
        <f>IFERROR(INDEX(PP_Grid[#Data],$DE647,6),0)</f>
        <v/>
      </c>
      <c r="J647">
        <f>IFERROR(INDEX(PP_Grid[#Data],$DE647,7),0)</f>
        <v/>
      </c>
      <c r="K647">
        <f>IFERROR(INDEX(PP_Grid[#Data],$DE647,8),0)</f>
        <v/>
      </c>
      <c r="L647">
        <f>IFERROR(INDEX(PP_Grid[#Data],$DE647,9),0)</f>
        <v/>
      </c>
      <c r="M647">
        <f>IFERROR(INDEX(PP_Grid[#Data],$DE647,10),0)</f>
        <v/>
      </c>
      <c r="N647">
        <f>IFERROR(INDEX(PP_Grid[#Data],$DE647,11),0)</f>
        <v/>
      </c>
      <c r="O647">
        <f>IFERROR(INDEX(PP_Grid[#Data],$DE647,12),0)</f>
        <v/>
      </c>
      <c r="P647">
        <f>IFERROR(INDEX(PP_Grid[#Data],$DE647,13),0)</f>
        <v/>
      </c>
      <c r="Q647">
        <f>IFERROR(INDEX(PP_Grid[#Data],$DE647,14),0)</f>
        <v/>
      </c>
      <c r="R647">
        <f>IFERROR(INDEX(PP_Grid[#Data],$DE647,15),0)</f>
        <v/>
      </c>
      <c r="S647">
        <f>IFERROR(INDEX(PP_Grid[#Data],$DE647,16),0)</f>
        <v/>
      </c>
      <c r="T647">
        <f>IFERROR(INDEX(PP_Grid[#Data],$DE647,17),0)</f>
        <v/>
      </c>
      <c r="U647">
        <f>IFERROR(INDEX(PP_Grid[#Data],$DE647,18),0)</f>
        <v/>
      </c>
      <c r="V647">
        <f>IFERROR(INDEX(PP_Grid[#Data],$DE647,19),0)</f>
        <v/>
      </c>
      <c r="W647">
        <f>IFERROR(INDEX(PP_Grid[#Data],$DE647,20),0)</f>
        <v/>
      </c>
      <c r="X647">
        <f>IFERROR(INDEX(PP_Grid[#Data],$DE647,21),0)</f>
        <v/>
      </c>
      <c r="Y647">
        <f>IFERROR(INDEX(PP_Grid[#Data],$DE647,22),0)</f>
        <v/>
      </c>
      <c r="Z647">
        <f>IFERROR(INDEX(PP_Grid[#Data],$DE647,23),0)</f>
        <v/>
      </c>
      <c r="AA647">
        <f>IFERROR(INDEX(PP_Grid[#Data],$DE647,24),0)</f>
        <v/>
      </c>
      <c r="AB647">
        <f>IFERROR(INDEX(PP_Grid[#Data],$DE647,25),0)</f>
        <v/>
      </c>
      <c r="AC647">
        <f>IFERROR(INDEX(PP_Grid[#Data],$DE647,26),0)</f>
        <v/>
      </c>
      <c r="AD647">
        <f>IFERROR(INDEX(PP_Grid[#Data],$DE647,27),0)</f>
        <v/>
      </c>
      <c r="AE647">
        <f>IFERROR(INDEX(PP_Grid[#Data],$DE647,28),0)</f>
        <v/>
      </c>
      <c r="AF647">
        <f>IFERROR(INDEX(PP_Grid[#Data],$DE647,29),0)</f>
        <v/>
      </c>
      <c r="AG647">
        <f>IFERROR(INDEX(PP_Grid[#Data],$DE647,30),0)</f>
        <v/>
      </c>
      <c r="AH647">
        <f>IFERROR(INDEX(PP_Grid[#Data],$DE647,31),0)</f>
        <v/>
      </c>
      <c r="AI647">
        <f>IFERROR(INDEX(PP_Grid[#Data],$DE647,32),0)</f>
        <v/>
      </c>
      <c r="AJ647">
        <f>IFERROR(INDEX(PP_Grid[#Data],$DE647,33),0)</f>
        <v/>
      </c>
      <c r="AK647">
        <f>IFERROR(INDEX(PP_Grid[#Data],$DE647,34),0)</f>
        <v/>
      </c>
      <c r="AL647">
        <f>IFERROR(INDEX(PP_Grid[#Data],$DE647,35),0)</f>
        <v/>
      </c>
      <c r="AM647">
        <f>IFERROR(INDEX(PP_Grid[#Data],$DE647,36),0)</f>
        <v/>
      </c>
      <c r="AN647">
        <f>IFERROR(INDEX(PP_Grid[#Data],$DE647,37),0)</f>
        <v/>
      </c>
      <c r="AO647">
        <f>IFERROR(INDEX(PP_Grid[#Data],$DE647,38),0)</f>
        <v/>
      </c>
      <c r="AP647">
        <f>IFERROR(INDEX(PP_Grid[#Data],$DE647,39),0)</f>
        <v/>
      </c>
      <c r="AQ647">
        <f>IFERROR(INDEX(PP_Grid[#Data],$DE647,40),0)</f>
        <v/>
      </c>
      <c r="AR647">
        <f>IFERROR(INDEX(PP_Grid[#Data],$DE647,41),0)</f>
        <v/>
      </c>
      <c r="AS647">
        <f>IFERROR(INDEX(PP_Grid[#Data],$DE647,42),0)</f>
        <v/>
      </c>
      <c r="AT647">
        <f>IFERROR(INDEX(PP_Grid[#Data],$DE647,43),0)</f>
        <v/>
      </c>
      <c r="AU647">
        <f>IFERROR(INDEX(PP_Grid[#Data],$DE647,44),0)</f>
        <v/>
      </c>
      <c r="AV647">
        <f>IFERROR(INDEX(PP_Grid[#Data],$DE647,45),0)</f>
        <v/>
      </c>
      <c r="AW647">
        <f>IFERROR(INDEX(PP_Grid[#Data],$DE647,46),0)</f>
        <v/>
      </c>
      <c r="AX647">
        <f>IFERROR(INDEX(PP_Grid[#Data],$DE647,47),0)</f>
        <v/>
      </c>
      <c r="AY647">
        <f>IFERROR(INDEX(PP_Grid[#Data],$DE647,48),0)</f>
        <v/>
      </c>
      <c r="AZ647">
        <f>IFERROR(INDEX(PP_Grid[#Data],$DE647,49),0)</f>
        <v/>
      </c>
      <c r="BA647">
        <f>IFERROR(INDEX(PP_Grid[#Data],$DE647,50),0)</f>
        <v/>
      </c>
      <c r="BB647">
        <f>IFERROR(INDEX(PP_Grid[#Data],$DE647,51),0)</f>
        <v/>
      </c>
      <c r="BC647">
        <f>IFERROR(INDEX(PP_Grid[#Data],$DE647,52),0)</f>
        <v/>
      </c>
      <c r="BD647">
        <f>IFERROR(INDEX(PP_Grid[#Data],$DE647,53),0)</f>
        <v/>
      </c>
      <c r="BE647">
        <f>IFERROR(INDEX(PP_Grid[#Data],$DE647,54),0)</f>
        <v/>
      </c>
      <c r="BF647">
        <f>IFERROR(INDEX(PP_Grid[#Data],$DE647,55),0)</f>
        <v/>
      </c>
      <c r="BG647">
        <f>IFERROR(INDEX(PP_Grid[#Data],$DE647,56),0)</f>
        <v/>
      </c>
      <c r="BH647">
        <f>IFERROR(INDEX(PP_Grid[#Data],$DE647,57),0)</f>
        <v/>
      </c>
      <c r="BI647">
        <f>IFERROR(INDEX(PP_Grid[#Data],$DE647,58),0)</f>
        <v/>
      </c>
      <c r="BJ647">
        <f>IFERROR(INDEX(PP_Grid[#Data],$DE647,59),0)</f>
        <v/>
      </c>
      <c r="BK647">
        <f>IFERROR(INDEX(PP_Grid[#Data],$DE647,60),0)</f>
        <v/>
      </c>
      <c r="BL647">
        <f>IFERROR(INDEX(PP_Grid[#Data],$DE647,61),0)</f>
        <v/>
      </c>
      <c r="BM647">
        <f>IFERROR(INDEX(PP_Grid[#Data],$DE647,62),0)</f>
        <v/>
      </c>
      <c r="BN647">
        <f>IFERROR(INDEX(PP_Grid[#Data],$DE647,63),0)</f>
        <v/>
      </c>
      <c r="BO647">
        <f>IFERROR(INDEX(PP_Grid[#Data],$DE647,64),0)</f>
        <v/>
      </c>
      <c r="BP647">
        <f>IFERROR(INDEX(PP_Grid[#Data],$DE647,65),0)</f>
        <v/>
      </c>
      <c r="BQ647">
        <f>IFERROR(INDEX(PP_Grid[#Data],$DE647,66),0)</f>
        <v/>
      </c>
      <c r="BR647">
        <f>IFERROR(INDEX(PP_Grid[#Data],$DE647,67),0)</f>
        <v/>
      </c>
      <c r="BS647">
        <f>IFERROR(INDEX(PP_Grid[#Data],$DE647,68),0)</f>
        <v/>
      </c>
      <c r="BT647">
        <f>IFERROR(INDEX(PP_Grid[#Data],$DE647,69),0)</f>
        <v/>
      </c>
      <c r="BU647">
        <f>IFERROR(INDEX(PP_Grid[#Data],$DE647,70),0)</f>
        <v/>
      </c>
      <c r="BV647">
        <f>IFERROR(INDEX(PP_Grid[#Data],$DE647,71),0)</f>
        <v/>
      </c>
      <c r="BW647">
        <f>IFERROR(INDEX(PP_Grid[#Data],$DE647,72),0)</f>
        <v/>
      </c>
      <c r="BX647">
        <f>IFERROR(INDEX(PP_Grid[#Data],$DE647,73),0)</f>
        <v/>
      </c>
      <c r="BY647">
        <f>IFERROR(INDEX(PP_Grid[#Data],$DE647,74),0)</f>
        <v/>
      </c>
      <c r="BZ647">
        <f>IFERROR(INDEX(PP_Grid[#Data],$DE647,75),0)</f>
        <v/>
      </c>
      <c r="CA647">
        <f>IFERROR(INDEX(PP_Grid[#Data],$DE647,76),0)</f>
        <v/>
      </c>
      <c r="CB647">
        <f>IFERROR(INDEX(PP_Grid[#Data],$DE647,77),0)</f>
        <v/>
      </c>
      <c r="CC647">
        <f>IFERROR(INDEX(PP_Grid[#Data],$DE647,78),0)</f>
        <v/>
      </c>
      <c r="CD647">
        <f>IFERROR(INDEX(PP_Grid[#Data],$DE647,79),0)</f>
        <v/>
      </c>
      <c r="CE647">
        <f>IFERROR(INDEX(PP_Grid[#Data],$DE647,80),0)</f>
        <v/>
      </c>
      <c r="CF647">
        <f>IFERROR(INDEX(PP_Grid[#Data],$DE647,81),0)</f>
        <v/>
      </c>
      <c r="CG647">
        <f>IFERROR(INDEX(PP_Grid[#Data],$DE647,82),0)</f>
        <v/>
      </c>
      <c r="CH647">
        <f>IFERROR(INDEX(PP_Grid[#Data],$DE647,83),0)</f>
        <v/>
      </c>
      <c r="CI647">
        <f>IFERROR(INDEX(PP_Grid[#Data],$DE647,84),0)</f>
        <v/>
      </c>
      <c r="CJ647">
        <f>IFERROR(INDEX(PP_Grid[#Data],$DE647,85),0)</f>
        <v/>
      </c>
      <c r="CK647">
        <f>IFERROR(INDEX(PP_Grid[#Data],$DE647,86),0)</f>
        <v/>
      </c>
      <c r="CL647">
        <f>IFERROR(INDEX(PP_Grid[#Data],$DE647,87),0)</f>
        <v/>
      </c>
      <c r="CM647">
        <f>IFERROR(INDEX(PP_Grid[#Data],$DE647,88),0)</f>
        <v/>
      </c>
      <c r="CN647">
        <f>IFERROR(INDEX(PP_Grid[#Data],$DE647,89),0)</f>
        <v/>
      </c>
      <c r="CO647">
        <f>IFERROR(INDEX(PP_Grid[#Data],$DE647,90),0)</f>
        <v/>
      </c>
      <c r="CP647">
        <f>IFERROR(INDEX(PP_Grid[#Data],$DE647,91),0)</f>
        <v/>
      </c>
      <c r="CQ647">
        <f>IFERROR(INDEX(PP_Grid[#Data],$DE647,92),0)</f>
        <v/>
      </c>
      <c r="CR647">
        <f>IFERROR(INDEX(PP_Grid[#Data],$DE647,93),0)</f>
        <v/>
      </c>
      <c r="CS647">
        <f>IFERROR(INDEX(PP_Grid[#Data],$DE647,94),0)</f>
        <v/>
      </c>
      <c r="CT647">
        <f>IFERROR(INDEX(PP_Grid[#Data],$DE647,95),0)</f>
        <v/>
      </c>
      <c r="CU647">
        <f>IFERROR(INDEX(PP_Grid[#Data],$DE647,96),0)</f>
        <v/>
      </c>
      <c r="CV647">
        <f>IFERROR(INDEX(PP_Grid[#Data],$DE647,97),0)</f>
        <v/>
      </c>
      <c r="CW647">
        <f>IFERROR(INDEX(PP_Grid[#Data],$DE647,98),0)</f>
        <v/>
      </c>
      <c r="CX647">
        <f>IFERROR(INDEX(PP_Grid[#Data],$DE647,99),0)</f>
        <v/>
      </c>
      <c r="CY647">
        <f>IFERROR(INDEX(PP_Grid[#Data],$DE647,100),0)</f>
        <v/>
      </c>
      <c r="CZ647">
        <f>IFERROR(INDEX(PP_Grid[#Data],$DE647,101),0)</f>
        <v/>
      </c>
      <c r="DA647">
        <f>IFERROR(INDEX(PP_Grid[#Data],$DE647,102),0)</f>
        <v/>
      </c>
      <c r="DB647">
        <f>IFERROR(INDEX(PP_Grid[#Data],$DE647,103),0)</f>
        <v/>
      </c>
      <c r="DC647">
        <f>IFERROR(INDEX(PP_Grid[#Data],$DE647,104),0)</f>
        <v/>
      </c>
      <c r="DD647">
        <f>IFERROR(INDEX(PP_Grid[#Data],$DE647,105),0)</f>
        <v/>
      </c>
      <c r="DE647" s="7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SUMIFS(M_BOM[RM_Qty_Per_Batch],M_BOM[Intermediate],$B647,M_BOM[RM_Code],$A636)</f>
        <v/>
      </c>
      <c r="D648">
        <f>IFERROR(INDEX(E648:DD648,$F$1),"")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  <c r="DD648">
        <f>$C648*DD647</f>
        <v/>
      </c>
    </row>
    <row r="649">
      <c r="B649" t="inlineStr">
        <is>
          <t>TSP-218</t>
        </is>
      </c>
      <c r="C649" t="inlineStr">
        <is>
          <t>No. of batches</t>
        </is>
      </c>
      <c r="D649">
        <f>IFERROR(INDEX(E649:DD649,$F$1),"")</f>
        <v/>
      </c>
      <c r="E649">
        <f>IFERROR(INDEX(PP_Grid[#Data],$DE649,2),0)</f>
        <v/>
      </c>
      <c r="F649">
        <f>IFERROR(INDEX(PP_Grid[#Data],$DE649,3),0)</f>
        <v/>
      </c>
      <c r="G649">
        <f>IFERROR(INDEX(PP_Grid[#Data],$DE649,4),0)</f>
        <v/>
      </c>
      <c r="H649">
        <f>IFERROR(INDEX(PP_Grid[#Data],$DE649,5),0)</f>
        <v/>
      </c>
      <c r="I649">
        <f>IFERROR(INDEX(PP_Grid[#Data],$DE649,6),0)</f>
        <v/>
      </c>
      <c r="J649">
        <f>IFERROR(INDEX(PP_Grid[#Data],$DE649,7),0)</f>
        <v/>
      </c>
      <c r="K649">
        <f>IFERROR(INDEX(PP_Grid[#Data],$DE649,8),0)</f>
        <v/>
      </c>
      <c r="L649">
        <f>IFERROR(INDEX(PP_Grid[#Data],$DE649,9),0)</f>
        <v/>
      </c>
      <c r="M649">
        <f>IFERROR(INDEX(PP_Grid[#Data],$DE649,10),0)</f>
        <v/>
      </c>
      <c r="N649">
        <f>IFERROR(INDEX(PP_Grid[#Data],$DE649,11),0)</f>
        <v/>
      </c>
      <c r="O649">
        <f>IFERROR(INDEX(PP_Grid[#Data],$DE649,12),0)</f>
        <v/>
      </c>
      <c r="P649">
        <f>IFERROR(INDEX(PP_Grid[#Data],$DE649,13),0)</f>
        <v/>
      </c>
      <c r="Q649">
        <f>IFERROR(INDEX(PP_Grid[#Data],$DE649,14),0)</f>
        <v/>
      </c>
      <c r="R649">
        <f>IFERROR(INDEX(PP_Grid[#Data],$DE649,15),0)</f>
        <v/>
      </c>
      <c r="S649">
        <f>IFERROR(INDEX(PP_Grid[#Data],$DE649,16),0)</f>
        <v/>
      </c>
      <c r="T649">
        <f>IFERROR(INDEX(PP_Grid[#Data],$DE649,17),0)</f>
        <v/>
      </c>
      <c r="U649">
        <f>IFERROR(INDEX(PP_Grid[#Data],$DE649,18),0)</f>
        <v/>
      </c>
      <c r="V649">
        <f>IFERROR(INDEX(PP_Grid[#Data],$DE649,19),0)</f>
        <v/>
      </c>
      <c r="W649">
        <f>IFERROR(INDEX(PP_Grid[#Data],$DE649,20),0)</f>
        <v/>
      </c>
      <c r="X649">
        <f>IFERROR(INDEX(PP_Grid[#Data],$DE649,21),0)</f>
        <v/>
      </c>
      <c r="Y649">
        <f>IFERROR(INDEX(PP_Grid[#Data],$DE649,22),0)</f>
        <v/>
      </c>
      <c r="Z649">
        <f>IFERROR(INDEX(PP_Grid[#Data],$DE649,23),0)</f>
        <v/>
      </c>
      <c r="AA649">
        <f>IFERROR(INDEX(PP_Grid[#Data],$DE649,24),0)</f>
        <v/>
      </c>
      <c r="AB649">
        <f>IFERROR(INDEX(PP_Grid[#Data],$DE649,25),0)</f>
        <v/>
      </c>
      <c r="AC649">
        <f>IFERROR(INDEX(PP_Grid[#Data],$DE649,26),0)</f>
        <v/>
      </c>
      <c r="AD649">
        <f>IFERROR(INDEX(PP_Grid[#Data],$DE649,27),0)</f>
        <v/>
      </c>
      <c r="AE649">
        <f>IFERROR(INDEX(PP_Grid[#Data],$DE649,28),0)</f>
        <v/>
      </c>
      <c r="AF649">
        <f>IFERROR(INDEX(PP_Grid[#Data],$DE649,29),0)</f>
        <v/>
      </c>
      <c r="AG649">
        <f>IFERROR(INDEX(PP_Grid[#Data],$DE649,30),0)</f>
        <v/>
      </c>
      <c r="AH649">
        <f>IFERROR(INDEX(PP_Grid[#Data],$DE649,31),0)</f>
        <v/>
      </c>
      <c r="AI649">
        <f>IFERROR(INDEX(PP_Grid[#Data],$DE649,32),0)</f>
        <v/>
      </c>
      <c r="AJ649">
        <f>IFERROR(INDEX(PP_Grid[#Data],$DE649,33),0)</f>
        <v/>
      </c>
      <c r="AK649">
        <f>IFERROR(INDEX(PP_Grid[#Data],$DE649,34),0)</f>
        <v/>
      </c>
      <c r="AL649">
        <f>IFERROR(INDEX(PP_Grid[#Data],$DE649,35),0)</f>
        <v/>
      </c>
      <c r="AM649">
        <f>IFERROR(INDEX(PP_Grid[#Data],$DE649,36),0)</f>
        <v/>
      </c>
      <c r="AN649">
        <f>IFERROR(INDEX(PP_Grid[#Data],$DE649,37),0)</f>
        <v/>
      </c>
      <c r="AO649">
        <f>IFERROR(INDEX(PP_Grid[#Data],$DE649,38),0)</f>
        <v/>
      </c>
      <c r="AP649">
        <f>IFERROR(INDEX(PP_Grid[#Data],$DE649,39),0)</f>
        <v/>
      </c>
      <c r="AQ649">
        <f>IFERROR(INDEX(PP_Grid[#Data],$DE649,40),0)</f>
        <v/>
      </c>
      <c r="AR649">
        <f>IFERROR(INDEX(PP_Grid[#Data],$DE649,41),0)</f>
        <v/>
      </c>
      <c r="AS649">
        <f>IFERROR(INDEX(PP_Grid[#Data],$DE649,42),0)</f>
        <v/>
      </c>
      <c r="AT649">
        <f>IFERROR(INDEX(PP_Grid[#Data],$DE649,43),0)</f>
        <v/>
      </c>
      <c r="AU649">
        <f>IFERROR(INDEX(PP_Grid[#Data],$DE649,44),0)</f>
        <v/>
      </c>
      <c r="AV649">
        <f>IFERROR(INDEX(PP_Grid[#Data],$DE649,45),0)</f>
        <v/>
      </c>
      <c r="AW649">
        <f>IFERROR(INDEX(PP_Grid[#Data],$DE649,46),0)</f>
        <v/>
      </c>
      <c r="AX649">
        <f>IFERROR(INDEX(PP_Grid[#Data],$DE649,47),0)</f>
        <v/>
      </c>
      <c r="AY649">
        <f>IFERROR(INDEX(PP_Grid[#Data],$DE649,48),0)</f>
        <v/>
      </c>
      <c r="AZ649">
        <f>IFERROR(INDEX(PP_Grid[#Data],$DE649,49),0)</f>
        <v/>
      </c>
      <c r="BA649">
        <f>IFERROR(INDEX(PP_Grid[#Data],$DE649,50),0)</f>
        <v/>
      </c>
      <c r="BB649">
        <f>IFERROR(INDEX(PP_Grid[#Data],$DE649,51),0)</f>
        <v/>
      </c>
      <c r="BC649">
        <f>IFERROR(INDEX(PP_Grid[#Data],$DE649,52),0)</f>
        <v/>
      </c>
      <c r="BD649">
        <f>IFERROR(INDEX(PP_Grid[#Data],$DE649,53),0)</f>
        <v/>
      </c>
      <c r="BE649">
        <f>IFERROR(INDEX(PP_Grid[#Data],$DE649,54),0)</f>
        <v/>
      </c>
      <c r="BF649">
        <f>IFERROR(INDEX(PP_Grid[#Data],$DE649,55),0)</f>
        <v/>
      </c>
      <c r="BG649">
        <f>IFERROR(INDEX(PP_Grid[#Data],$DE649,56),0)</f>
        <v/>
      </c>
      <c r="BH649">
        <f>IFERROR(INDEX(PP_Grid[#Data],$DE649,57),0)</f>
        <v/>
      </c>
      <c r="BI649">
        <f>IFERROR(INDEX(PP_Grid[#Data],$DE649,58),0)</f>
        <v/>
      </c>
      <c r="BJ649">
        <f>IFERROR(INDEX(PP_Grid[#Data],$DE649,59),0)</f>
        <v/>
      </c>
      <c r="BK649">
        <f>IFERROR(INDEX(PP_Grid[#Data],$DE649,60),0)</f>
        <v/>
      </c>
      <c r="BL649">
        <f>IFERROR(INDEX(PP_Grid[#Data],$DE649,61),0)</f>
        <v/>
      </c>
      <c r="BM649">
        <f>IFERROR(INDEX(PP_Grid[#Data],$DE649,62),0)</f>
        <v/>
      </c>
      <c r="BN649">
        <f>IFERROR(INDEX(PP_Grid[#Data],$DE649,63),0)</f>
        <v/>
      </c>
      <c r="BO649">
        <f>IFERROR(INDEX(PP_Grid[#Data],$DE649,64),0)</f>
        <v/>
      </c>
      <c r="BP649">
        <f>IFERROR(INDEX(PP_Grid[#Data],$DE649,65),0)</f>
        <v/>
      </c>
      <c r="BQ649">
        <f>IFERROR(INDEX(PP_Grid[#Data],$DE649,66),0)</f>
        <v/>
      </c>
      <c r="BR649">
        <f>IFERROR(INDEX(PP_Grid[#Data],$DE649,67),0)</f>
        <v/>
      </c>
      <c r="BS649">
        <f>IFERROR(INDEX(PP_Grid[#Data],$DE649,68),0)</f>
        <v/>
      </c>
      <c r="BT649">
        <f>IFERROR(INDEX(PP_Grid[#Data],$DE649,69),0)</f>
        <v/>
      </c>
      <c r="BU649">
        <f>IFERROR(INDEX(PP_Grid[#Data],$DE649,70),0)</f>
        <v/>
      </c>
      <c r="BV649">
        <f>IFERROR(INDEX(PP_Grid[#Data],$DE649,71),0)</f>
        <v/>
      </c>
      <c r="BW649">
        <f>IFERROR(INDEX(PP_Grid[#Data],$DE649,72),0)</f>
        <v/>
      </c>
      <c r="BX649">
        <f>IFERROR(INDEX(PP_Grid[#Data],$DE649,73),0)</f>
        <v/>
      </c>
      <c r="BY649">
        <f>IFERROR(INDEX(PP_Grid[#Data],$DE649,74),0)</f>
        <v/>
      </c>
      <c r="BZ649">
        <f>IFERROR(INDEX(PP_Grid[#Data],$DE649,75),0)</f>
        <v/>
      </c>
      <c r="CA649">
        <f>IFERROR(INDEX(PP_Grid[#Data],$DE649,76),0)</f>
        <v/>
      </c>
      <c r="CB649">
        <f>IFERROR(INDEX(PP_Grid[#Data],$DE649,77),0)</f>
        <v/>
      </c>
      <c r="CC649">
        <f>IFERROR(INDEX(PP_Grid[#Data],$DE649,78),0)</f>
        <v/>
      </c>
      <c r="CD649">
        <f>IFERROR(INDEX(PP_Grid[#Data],$DE649,79),0)</f>
        <v/>
      </c>
      <c r="CE649">
        <f>IFERROR(INDEX(PP_Grid[#Data],$DE649,80),0)</f>
        <v/>
      </c>
      <c r="CF649">
        <f>IFERROR(INDEX(PP_Grid[#Data],$DE649,81),0)</f>
        <v/>
      </c>
      <c r="CG649">
        <f>IFERROR(INDEX(PP_Grid[#Data],$DE649,82),0)</f>
        <v/>
      </c>
      <c r="CH649">
        <f>IFERROR(INDEX(PP_Grid[#Data],$DE649,83),0)</f>
        <v/>
      </c>
      <c r="CI649">
        <f>IFERROR(INDEX(PP_Grid[#Data],$DE649,84),0)</f>
        <v/>
      </c>
      <c r="CJ649">
        <f>IFERROR(INDEX(PP_Grid[#Data],$DE649,85),0)</f>
        <v/>
      </c>
      <c r="CK649">
        <f>IFERROR(INDEX(PP_Grid[#Data],$DE649,86),0)</f>
        <v/>
      </c>
      <c r="CL649">
        <f>IFERROR(INDEX(PP_Grid[#Data],$DE649,87),0)</f>
        <v/>
      </c>
      <c r="CM649">
        <f>IFERROR(INDEX(PP_Grid[#Data],$DE649,88),0)</f>
        <v/>
      </c>
      <c r="CN649">
        <f>IFERROR(INDEX(PP_Grid[#Data],$DE649,89),0)</f>
        <v/>
      </c>
      <c r="CO649">
        <f>IFERROR(INDEX(PP_Grid[#Data],$DE649,90),0)</f>
        <v/>
      </c>
      <c r="CP649">
        <f>IFERROR(INDEX(PP_Grid[#Data],$DE649,91),0)</f>
        <v/>
      </c>
      <c r="CQ649">
        <f>IFERROR(INDEX(PP_Grid[#Data],$DE649,92),0)</f>
        <v/>
      </c>
      <c r="CR649">
        <f>IFERROR(INDEX(PP_Grid[#Data],$DE649,93),0)</f>
        <v/>
      </c>
      <c r="CS649">
        <f>IFERROR(INDEX(PP_Grid[#Data],$DE649,94),0)</f>
        <v/>
      </c>
      <c r="CT649">
        <f>IFERROR(INDEX(PP_Grid[#Data],$DE649,95),0)</f>
        <v/>
      </c>
      <c r="CU649">
        <f>IFERROR(INDEX(PP_Grid[#Data],$DE649,96),0)</f>
        <v/>
      </c>
      <c r="CV649">
        <f>IFERROR(INDEX(PP_Grid[#Data],$DE649,97),0)</f>
        <v/>
      </c>
      <c r="CW649">
        <f>IFERROR(INDEX(PP_Grid[#Data],$DE649,98),0)</f>
        <v/>
      </c>
      <c r="CX649">
        <f>IFERROR(INDEX(PP_Grid[#Data],$DE649,99),0)</f>
        <v/>
      </c>
      <c r="CY649">
        <f>IFERROR(INDEX(PP_Grid[#Data],$DE649,100),0)</f>
        <v/>
      </c>
      <c r="CZ649">
        <f>IFERROR(INDEX(PP_Grid[#Data],$DE649,101),0)</f>
        <v/>
      </c>
      <c r="DA649">
        <f>IFERROR(INDEX(PP_Grid[#Data],$DE649,102),0)</f>
        <v/>
      </c>
      <c r="DB649">
        <f>IFERROR(INDEX(PP_Grid[#Data],$DE649,103),0)</f>
        <v/>
      </c>
      <c r="DC649">
        <f>IFERROR(INDEX(PP_Grid[#Data],$DE649,104),0)</f>
        <v/>
      </c>
      <c r="DD649">
        <f>IFERROR(INDEX(PP_Grid[#Data],$DE649,105),0)</f>
        <v/>
      </c>
      <c r="DE649" s="7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SUMIFS(M_BOM[RM_Qty_Per_Batch],M_BOM[Intermediate],$B649,M_BOM[RM_Code],$A636)</f>
        <v/>
      </c>
      <c r="D650">
        <f>IFERROR(INDEX(E650:DD650,$F$1),"")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  <c r="DD650">
        <f>$C650*DD649</f>
        <v/>
      </c>
    </row>
    <row r="651">
      <c r="B651" t="inlineStr">
        <is>
          <t>TSP-219</t>
        </is>
      </c>
      <c r="C651" t="inlineStr">
        <is>
          <t>No. of batches</t>
        </is>
      </c>
      <c r="D651">
        <f>IFERROR(INDEX(E651:DD651,$F$1),"")</f>
        <v/>
      </c>
      <c r="E651">
        <f>IFERROR(INDEX(PP_Grid[#Data],$DE651,2),0)</f>
        <v/>
      </c>
      <c r="F651">
        <f>IFERROR(INDEX(PP_Grid[#Data],$DE651,3),0)</f>
        <v/>
      </c>
      <c r="G651">
        <f>IFERROR(INDEX(PP_Grid[#Data],$DE651,4),0)</f>
        <v/>
      </c>
      <c r="H651">
        <f>IFERROR(INDEX(PP_Grid[#Data],$DE651,5),0)</f>
        <v/>
      </c>
      <c r="I651">
        <f>IFERROR(INDEX(PP_Grid[#Data],$DE651,6),0)</f>
        <v/>
      </c>
      <c r="J651">
        <f>IFERROR(INDEX(PP_Grid[#Data],$DE651,7),0)</f>
        <v/>
      </c>
      <c r="K651">
        <f>IFERROR(INDEX(PP_Grid[#Data],$DE651,8),0)</f>
        <v/>
      </c>
      <c r="L651">
        <f>IFERROR(INDEX(PP_Grid[#Data],$DE651,9),0)</f>
        <v/>
      </c>
      <c r="M651">
        <f>IFERROR(INDEX(PP_Grid[#Data],$DE651,10),0)</f>
        <v/>
      </c>
      <c r="N651">
        <f>IFERROR(INDEX(PP_Grid[#Data],$DE651,11),0)</f>
        <v/>
      </c>
      <c r="O651">
        <f>IFERROR(INDEX(PP_Grid[#Data],$DE651,12),0)</f>
        <v/>
      </c>
      <c r="P651">
        <f>IFERROR(INDEX(PP_Grid[#Data],$DE651,13),0)</f>
        <v/>
      </c>
      <c r="Q651">
        <f>IFERROR(INDEX(PP_Grid[#Data],$DE651,14),0)</f>
        <v/>
      </c>
      <c r="R651">
        <f>IFERROR(INDEX(PP_Grid[#Data],$DE651,15),0)</f>
        <v/>
      </c>
      <c r="S651">
        <f>IFERROR(INDEX(PP_Grid[#Data],$DE651,16),0)</f>
        <v/>
      </c>
      <c r="T651">
        <f>IFERROR(INDEX(PP_Grid[#Data],$DE651,17),0)</f>
        <v/>
      </c>
      <c r="U651">
        <f>IFERROR(INDEX(PP_Grid[#Data],$DE651,18),0)</f>
        <v/>
      </c>
      <c r="V651">
        <f>IFERROR(INDEX(PP_Grid[#Data],$DE651,19),0)</f>
        <v/>
      </c>
      <c r="W651">
        <f>IFERROR(INDEX(PP_Grid[#Data],$DE651,20),0)</f>
        <v/>
      </c>
      <c r="X651">
        <f>IFERROR(INDEX(PP_Grid[#Data],$DE651,21),0)</f>
        <v/>
      </c>
      <c r="Y651">
        <f>IFERROR(INDEX(PP_Grid[#Data],$DE651,22),0)</f>
        <v/>
      </c>
      <c r="Z651">
        <f>IFERROR(INDEX(PP_Grid[#Data],$DE651,23),0)</f>
        <v/>
      </c>
      <c r="AA651">
        <f>IFERROR(INDEX(PP_Grid[#Data],$DE651,24),0)</f>
        <v/>
      </c>
      <c r="AB651">
        <f>IFERROR(INDEX(PP_Grid[#Data],$DE651,25),0)</f>
        <v/>
      </c>
      <c r="AC651">
        <f>IFERROR(INDEX(PP_Grid[#Data],$DE651,26),0)</f>
        <v/>
      </c>
      <c r="AD651">
        <f>IFERROR(INDEX(PP_Grid[#Data],$DE651,27),0)</f>
        <v/>
      </c>
      <c r="AE651">
        <f>IFERROR(INDEX(PP_Grid[#Data],$DE651,28),0)</f>
        <v/>
      </c>
      <c r="AF651">
        <f>IFERROR(INDEX(PP_Grid[#Data],$DE651,29),0)</f>
        <v/>
      </c>
      <c r="AG651">
        <f>IFERROR(INDEX(PP_Grid[#Data],$DE651,30),0)</f>
        <v/>
      </c>
      <c r="AH651">
        <f>IFERROR(INDEX(PP_Grid[#Data],$DE651,31),0)</f>
        <v/>
      </c>
      <c r="AI651">
        <f>IFERROR(INDEX(PP_Grid[#Data],$DE651,32),0)</f>
        <v/>
      </c>
      <c r="AJ651">
        <f>IFERROR(INDEX(PP_Grid[#Data],$DE651,33),0)</f>
        <v/>
      </c>
      <c r="AK651">
        <f>IFERROR(INDEX(PP_Grid[#Data],$DE651,34),0)</f>
        <v/>
      </c>
      <c r="AL651">
        <f>IFERROR(INDEX(PP_Grid[#Data],$DE651,35),0)</f>
        <v/>
      </c>
      <c r="AM651">
        <f>IFERROR(INDEX(PP_Grid[#Data],$DE651,36),0)</f>
        <v/>
      </c>
      <c r="AN651">
        <f>IFERROR(INDEX(PP_Grid[#Data],$DE651,37),0)</f>
        <v/>
      </c>
      <c r="AO651">
        <f>IFERROR(INDEX(PP_Grid[#Data],$DE651,38),0)</f>
        <v/>
      </c>
      <c r="AP651">
        <f>IFERROR(INDEX(PP_Grid[#Data],$DE651,39),0)</f>
        <v/>
      </c>
      <c r="AQ651">
        <f>IFERROR(INDEX(PP_Grid[#Data],$DE651,40),0)</f>
        <v/>
      </c>
      <c r="AR651">
        <f>IFERROR(INDEX(PP_Grid[#Data],$DE651,41),0)</f>
        <v/>
      </c>
      <c r="AS651">
        <f>IFERROR(INDEX(PP_Grid[#Data],$DE651,42),0)</f>
        <v/>
      </c>
      <c r="AT651">
        <f>IFERROR(INDEX(PP_Grid[#Data],$DE651,43),0)</f>
        <v/>
      </c>
      <c r="AU651">
        <f>IFERROR(INDEX(PP_Grid[#Data],$DE651,44),0)</f>
        <v/>
      </c>
      <c r="AV651">
        <f>IFERROR(INDEX(PP_Grid[#Data],$DE651,45),0)</f>
        <v/>
      </c>
      <c r="AW651">
        <f>IFERROR(INDEX(PP_Grid[#Data],$DE651,46),0)</f>
        <v/>
      </c>
      <c r="AX651">
        <f>IFERROR(INDEX(PP_Grid[#Data],$DE651,47),0)</f>
        <v/>
      </c>
      <c r="AY651">
        <f>IFERROR(INDEX(PP_Grid[#Data],$DE651,48),0)</f>
        <v/>
      </c>
      <c r="AZ651">
        <f>IFERROR(INDEX(PP_Grid[#Data],$DE651,49),0)</f>
        <v/>
      </c>
      <c r="BA651">
        <f>IFERROR(INDEX(PP_Grid[#Data],$DE651,50),0)</f>
        <v/>
      </c>
      <c r="BB651">
        <f>IFERROR(INDEX(PP_Grid[#Data],$DE651,51),0)</f>
        <v/>
      </c>
      <c r="BC651">
        <f>IFERROR(INDEX(PP_Grid[#Data],$DE651,52),0)</f>
        <v/>
      </c>
      <c r="BD651">
        <f>IFERROR(INDEX(PP_Grid[#Data],$DE651,53),0)</f>
        <v/>
      </c>
      <c r="BE651">
        <f>IFERROR(INDEX(PP_Grid[#Data],$DE651,54),0)</f>
        <v/>
      </c>
      <c r="BF651">
        <f>IFERROR(INDEX(PP_Grid[#Data],$DE651,55),0)</f>
        <v/>
      </c>
      <c r="BG651">
        <f>IFERROR(INDEX(PP_Grid[#Data],$DE651,56),0)</f>
        <v/>
      </c>
      <c r="BH651">
        <f>IFERROR(INDEX(PP_Grid[#Data],$DE651,57),0)</f>
        <v/>
      </c>
      <c r="BI651">
        <f>IFERROR(INDEX(PP_Grid[#Data],$DE651,58),0)</f>
        <v/>
      </c>
      <c r="BJ651">
        <f>IFERROR(INDEX(PP_Grid[#Data],$DE651,59),0)</f>
        <v/>
      </c>
      <c r="BK651">
        <f>IFERROR(INDEX(PP_Grid[#Data],$DE651,60),0)</f>
        <v/>
      </c>
      <c r="BL651">
        <f>IFERROR(INDEX(PP_Grid[#Data],$DE651,61),0)</f>
        <v/>
      </c>
      <c r="BM651">
        <f>IFERROR(INDEX(PP_Grid[#Data],$DE651,62),0)</f>
        <v/>
      </c>
      <c r="BN651">
        <f>IFERROR(INDEX(PP_Grid[#Data],$DE651,63),0)</f>
        <v/>
      </c>
      <c r="BO651">
        <f>IFERROR(INDEX(PP_Grid[#Data],$DE651,64),0)</f>
        <v/>
      </c>
      <c r="BP651">
        <f>IFERROR(INDEX(PP_Grid[#Data],$DE651,65),0)</f>
        <v/>
      </c>
      <c r="BQ651">
        <f>IFERROR(INDEX(PP_Grid[#Data],$DE651,66),0)</f>
        <v/>
      </c>
      <c r="BR651">
        <f>IFERROR(INDEX(PP_Grid[#Data],$DE651,67),0)</f>
        <v/>
      </c>
      <c r="BS651">
        <f>IFERROR(INDEX(PP_Grid[#Data],$DE651,68),0)</f>
        <v/>
      </c>
      <c r="BT651">
        <f>IFERROR(INDEX(PP_Grid[#Data],$DE651,69),0)</f>
        <v/>
      </c>
      <c r="BU651">
        <f>IFERROR(INDEX(PP_Grid[#Data],$DE651,70),0)</f>
        <v/>
      </c>
      <c r="BV651">
        <f>IFERROR(INDEX(PP_Grid[#Data],$DE651,71),0)</f>
        <v/>
      </c>
      <c r="BW651">
        <f>IFERROR(INDEX(PP_Grid[#Data],$DE651,72),0)</f>
        <v/>
      </c>
      <c r="BX651">
        <f>IFERROR(INDEX(PP_Grid[#Data],$DE651,73),0)</f>
        <v/>
      </c>
      <c r="BY651">
        <f>IFERROR(INDEX(PP_Grid[#Data],$DE651,74),0)</f>
        <v/>
      </c>
      <c r="BZ651">
        <f>IFERROR(INDEX(PP_Grid[#Data],$DE651,75),0)</f>
        <v/>
      </c>
      <c r="CA651">
        <f>IFERROR(INDEX(PP_Grid[#Data],$DE651,76),0)</f>
        <v/>
      </c>
      <c r="CB651">
        <f>IFERROR(INDEX(PP_Grid[#Data],$DE651,77),0)</f>
        <v/>
      </c>
      <c r="CC651">
        <f>IFERROR(INDEX(PP_Grid[#Data],$DE651,78),0)</f>
        <v/>
      </c>
      <c r="CD651">
        <f>IFERROR(INDEX(PP_Grid[#Data],$DE651,79),0)</f>
        <v/>
      </c>
      <c r="CE651">
        <f>IFERROR(INDEX(PP_Grid[#Data],$DE651,80),0)</f>
        <v/>
      </c>
      <c r="CF651">
        <f>IFERROR(INDEX(PP_Grid[#Data],$DE651,81),0)</f>
        <v/>
      </c>
      <c r="CG651">
        <f>IFERROR(INDEX(PP_Grid[#Data],$DE651,82),0)</f>
        <v/>
      </c>
      <c r="CH651">
        <f>IFERROR(INDEX(PP_Grid[#Data],$DE651,83),0)</f>
        <v/>
      </c>
      <c r="CI651">
        <f>IFERROR(INDEX(PP_Grid[#Data],$DE651,84),0)</f>
        <v/>
      </c>
      <c r="CJ651">
        <f>IFERROR(INDEX(PP_Grid[#Data],$DE651,85),0)</f>
        <v/>
      </c>
      <c r="CK651">
        <f>IFERROR(INDEX(PP_Grid[#Data],$DE651,86),0)</f>
        <v/>
      </c>
      <c r="CL651">
        <f>IFERROR(INDEX(PP_Grid[#Data],$DE651,87),0)</f>
        <v/>
      </c>
      <c r="CM651">
        <f>IFERROR(INDEX(PP_Grid[#Data],$DE651,88),0)</f>
        <v/>
      </c>
      <c r="CN651">
        <f>IFERROR(INDEX(PP_Grid[#Data],$DE651,89),0)</f>
        <v/>
      </c>
      <c r="CO651">
        <f>IFERROR(INDEX(PP_Grid[#Data],$DE651,90),0)</f>
        <v/>
      </c>
      <c r="CP651">
        <f>IFERROR(INDEX(PP_Grid[#Data],$DE651,91),0)</f>
        <v/>
      </c>
      <c r="CQ651">
        <f>IFERROR(INDEX(PP_Grid[#Data],$DE651,92),0)</f>
        <v/>
      </c>
      <c r="CR651">
        <f>IFERROR(INDEX(PP_Grid[#Data],$DE651,93),0)</f>
        <v/>
      </c>
      <c r="CS651">
        <f>IFERROR(INDEX(PP_Grid[#Data],$DE651,94),0)</f>
        <v/>
      </c>
      <c r="CT651">
        <f>IFERROR(INDEX(PP_Grid[#Data],$DE651,95),0)</f>
        <v/>
      </c>
      <c r="CU651">
        <f>IFERROR(INDEX(PP_Grid[#Data],$DE651,96),0)</f>
        <v/>
      </c>
      <c r="CV651">
        <f>IFERROR(INDEX(PP_Grid[#Data],$DE651,97),0)</f>
        <v/>
      </c>
      <c r="CW651">
        <f>IFERROR(INDEX(PP_Grid[#Data],$DE651,98),0)</f>
        <v/>
      </c>
      <c r="CX651">
        <f>IFERROR(INDEX(PP_Grid[#Data],$DE651,99),0)</f>
        <v/>
      </c>
      <c r="CY651">
        <f>IFERROR(INDEX(PP_Grid[#Data],$DE651,100),0)</f>
        <v/>
      </c>
      <c r="CZ651">
        <f>IFERROR(INDEX(PP_Grid[#Data],$DE651,101),0)</f>
        <v/>
      </c>
      <c r="DA651">
        <f>IFERROR(INDEX(PP_Grid[#Data],$DE651,102),0)</f>
        <v/>
      </c>
      <c r="DB651">
        <f>IFERROR(INDEX(PP_Grid[#Data],$DE651,103),0)</f>
        <v/>
      </c>
      <c r="DC651">
        <f>IFERROR(INDEX(PP_Grid[#Data],$DE651,104),0)</f>
        <v/>
      </c>
      <c r="DD651">
        <f>IFERROR(INDEX(PP_Grid[#Data],$DE651,105),0)</f>
        <v/>
      </c>
      <c r="DE651" s="7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SUMIFS(M_BOM[RM_Qty_Per_Batch],M_BOM[Intermediate],$B651,M_BOM[RM_Code],$A636)</f>
        <v/>
      </c>
      <c r="D652">
        <f>IFERROR(INDEX(E652:DD652,$F$1),"")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  <c r="DD652">
        <f>$C652*DD651</f>
        <v/>
      </c>
    </row>
    <row r="653">
      <c r="B653" t="inlineStr">
        <is>
          <t>TSP-225</t>
        </is>
      </c>
      <c r="C653" t="inlineStr">
        <is>
          <t>No. of batches</t>
        </is>
      </c>
      <c r="D653">
        <f>IFERROR(INDEX(E653:DD653,$F$1),"")</f>
        <v/>
      </c>
      <c r="E653">
        <f>IFERROR(INDEX(PP_Grid[#Data],$DE653,2),0)</f>
        <v/>
      </c>
      <c r="F653">
        <f>IFERROR(INDEX(PP_Grid[#Data],$DE653,3),0)</f>
        <v/>
      </c>
      <c r="G653">
        <f>IFERROR(INDEX(PP_Grid[#Data],$DE653,4),0)</f>
        <v/>
      </c>
      <c r="H653">
        <f>IFERROR(INDEX(PP_Grid[#Data],$DE653,5),0)</f>
        <v/>
      </c>
      <c r="I653">
        <f>IFERROR(INDEX(PP_Grid[#Data],$DE653,6),0)</f>
        <v/>
      </c>
      <c r="J653">
        <f>IFERROR(INDEX(PP_Grid[#Data],$DE653,7),0)</f>
        <v/>
      </c>
      <c r="K653">
        <f>IFERROR(INDEX(PP_Grid[#Data],$DE653,8),0)</f>
        <v/>
      </c>
      <c r="L653">
        <f>IFERROR(INDEX(PP_Grid[#Data],$DE653,9),0)</f>
        <v/>
      </c>
      <c r="M653">
        <f>IFERROR(INDEX(PP_Grid[#Data],$DE653,10),0)</f>
        <v/>
      </c>
      <c r="N653">
        <f>IFERROR(INDEX(PP_Grid[#Data],$DE653,11),0)</f>
        <v/>
      </c>
      <c r="O653">
        <f>IFERROR(INDEX(PP_Grid[#Data],$DE653,12),0)</f>
        <v/>
      </c>
      <c r="P653">
        <f>IFERROR(INDEX(PP_Grid[#Data],$DE653,13),0)</f>
        <v/>
      </c>
      <c r="Q653">
        <f>IFERROR(INDEX(PP_Grid[#Data],$DE653,14),0)</f>
        <v/>
      </c>
      <c r="R653">
        <f>IFERROR(INDEX(PP_Grid[#Data],$DE653,15),0)</f>
        <v/>
      </c>
      <c r="S653">
        <f>IFERROR(INDEX(PP_Grid[#Data],$DE653,16),0)</f>
        <v/>
      </c>
      <c r="T653">
        <f>IFERROR(INDEX(PP_Grid[#Data],$DE653,17),0)</f>
        <v/>
      </c>
      <c r="U653">
        <f>IFERROR(INDEX(PP_Grid[#Data],$DE653,18),0)</f>
        <v/>
      </c>
      <c r="V653">
        <f>IFERROR(INDEX(PP_Grid[#Data],$DE653,19),0)</f>
        <v/>
      </c>
      <c r="W653">
        <f>IFERROR(INDEX(PP_Grid[#Data],$DE653,20),0)</f>
        <v/>
      </c>
      <c r="X653">
        <f>IFERROR(INDEX(PP_Grid[#Data],$DE653,21),0)</f>
        <v/>
      </c>
      <c r="Y653">
        <f>IFERROR(INDEX(PP_Grid[#Data],$DE653,22),0)</f>
        <v/>
      </c>
      <c r="Z653">
        <f>IFERROR(INDEX(PP_Grid[#Data],$DE653,23),0)</f>
        <v/>
      </c>
      <c r="AA653">
        <f>IFERROR(INDEX(PP_Grid[#Data],$DE653,24),0)</f>
        <v/>
      </c>
      <c r="AB653">
        <f>IFERROR(INDEX(PP_Grid[#Data],$DE653,25),0)</f>
        <v/>
      </c>
      <c r="AC653">
        <f>IFERROR(INDEX(PP_Grid[#Data],$DE653,26),0)</f>
        <v/>
      </c>
      <c r="AD653">
        <f>IFERROR(INDEX(PP_Grid[#Data],$DE653,27),0)</f>
        <v/>
      </c>
      <c r="AE653">
        <f>IFERROR(INDEX(PP_Grid[#Data],$DE653,28),0)</f>
        <v/>
      </c>
      <c r="AF653">
        <f>IFERROR(INDEX(PP_Grid[#Data],$DE653,29),0)</f>
        <v/>
      </c>
      <c r="AG653">
        <f>IFERROR(INDEX(PP_Grid[#Data],$DE653,30),0)</f>
        <v/>
      </c>
      <c r="AH653">
        <f>IFERROR(INDEX(PP_Grid[#Data],$DE653,31),0)</f>
        <v/>
      </c>
      <c r="AI653">
        <f>IFERROR(INDEX(PP_Grid[#Data],$DE653,32),0)</f>
        <v/>
      </c>
      <c r="AJ653">
        <f>IFERROR(INDEX(PP_Grid[#Data],$DE653,33),0)</f>
        <v/>
      </c>
      <c r="AK653">
        <f>IFERROR(INDEX(PP_Grid[#Data],$DE653,34),0)</f>
        <v/>
      </c>
      <c r="AL653">
        <f>IFERROR(INDEX(PP_Grid[#Data],$DE653,35),0)</f>
        <v/>
      </c>
      <c r="AM653">
        <f>IFERROR(INDEX(PP_Grid[#Data],$DE653,36),0)</f>
        <v/>
      </c>
      <c r="AN653">
        <f>IFERROR(INDEX(PP_Grid[#Data],$DE653,37),0)</f>
        <v/>
      </c>
      <c r="AO653">
        <f>IFERROR(INDEX(PP_Grid[#Data],$DE653,38),0)</f>
        <v/>
      </c>
      <c r="AP653">
        <f>IFERROR(INDEX(PP_Grid[#Data],$DE653,39),0)</f>
        <v/>
      </c>
      <c r="AQ653">
        <f>IFERROR(INDEX(PP_Grid[#Data],$DE653,40),0)</f>
        <v/>
      </c>
      <c r="AR653">
        <f>IFERROR(INDEX(PP_Grid[#Data],$DE653,41),0)</f>
        <v/>
      </c>
      <c r="AS653">
        <f>IFERROR(INDEX(PP_Grid[#Data],$DE653,42),0)</f>
        <v/>
      </c>
      <c r="AT653">
        <f>IFERROR(INDEX(PP_Grid[#Data],$DE653,43),0)</f>
        <v/>
      </c>
      <c r="AU653">
        <f>IFERROR(INDEX(PP_Grid[#Data],$DE653,44),0)</f>
        <v/>
      </c>
      <c r="AV653">
        <f>IFERROR(INDEX(PP_Grid[#Data],$DE653,45),0)</f>
        <v/>
      </c>
      <c r="AW653">
        <f>IFERROR(INDEX(PP_Grid[#Data],$DE653,46),0)</f>
        <v/>
      </c>
      <c r="AX653">
        <f>IFERROR(INDEX(PP_Grid[#Data],$DE653,47),0)</f>
        <v/>
      </c>
      <c r="AY653">
        <f>IFERROR(INDEX(PP_Grid[#Data],$DE653,48),0)</f>
        <v/>
      </c>
      <c r="AZ653">
        <f>IFERROR(INDEX(PP_Grid[#Data],$DE653,49),0)</f>
        <v/>
      </c>
      <c r="BA653">
        <f>IFERROR(INDEX(PP_Grid[#Data],$DE653,50),0)</f>
        <v/>
      </c>
      <c r="BB653">
        <f>IFERROR(INDEX(PP_Grid[#Data],$DE653,51),0)</f>
        <v/>
      </c>
      <c r="BC653">
        <f>IFERROR(INDEX(PP_Grid[#Data],$DE653,52),0)</f>
        <v/>
      </c>
      <c r="BD653">
        <f>IFERROR(INDEX(PP_Grid[#Data],$DE653,53),0)</f>
        <v/>
      </c>
      <c r="BE653">
        <f>IFERROR(INDEX(PP_Grid[#Data],$DE653,54),0)</f>
        <v/>
      </c>
      <c r="BF653">
        <f>IFERROR(INDEX(PP_Grid[#Data],$DE653,55),0)</f>
        <v/>
      </c>
      <c r="BG653">
        <f>IFERROR(INDEX(PP_Grid[#Data],$DE653,56),0)</f>
        <v/>
      </c>
      <c r="BH653">
        <f>IFERROR(INDEX(PP_Grid[#Data],$DE653,57),0)</f>
        <v/>
      </c>
      <c r="BI653">
        <f>IFERROR(INDEX(PP_Grid[#Data],$DE653,58),0)</f>
        <v/>
      </c>
      <c r="BJ653">
        <f>IFERROR(INDEX(PP_Grid[#Data],$DE653,59),0)</f>
        <v/>
      </c>
      <c r="BK653">
        <f>IFERROR(INDEX(PP_Grid[#Data],$DE653,60),0)</f>
        <v/>
      </c>
      <c r="BL653">
        <f>IFERROR(INDEX(PP_Grid[#Data],$DE653,61),0)</f>
        <v/>
      </c>
      <c r="BM653">
        <f>IFERROR(INDEX(PP_Grid[#Data],$DE653,62),0)</f>
        <v/>
      </c>
      <c r="BN653">
        <f>IFERROR(INDEX(PP_Grid[#Data],$DE653,63),0)</f>
        <v/>
      </c>
      <c r="BO653">
        <f>IFERROR(INDEX(PP_Grid[#Data],$DE653,64),0)</f>
        <v/>
      </c>
      <c r="BP653">
        <f>IFERROR(INDEX(PP_Grid[#Data],$DE653,65),0)</f>
        <v/>
      </c>
      <c r="BQ653">
        <f>IFERROR(INDEX(PP_Grid[#Data],$DE653,66),0)</f>
        <v/>
      </c>
      <c r="BR653">
        <f>IFERROR(INDEX(PP_Grid[#Data],$DE653,67),0)</f>
        <v/>
      </c>
      <c r="BS653">
        <f>IFERROR(INDEX(PP_Grid[#Data],$DE653,68),0)</f>
        <v/>
      </c>
      <c r="BT653">
        <f>IFERROR(INDEX(PP_Grid[#Data],$DE653,69),0)</f>
        <v/>
      </c>
      <c r="BU653">
        <f>IFERROR(INDEX(PP_Grid[#Data],$DE653,70),0)</f>
        <v/>
      </c>
      <c r="BV653">
        <f>IFERROR(INDEX(PP_Grid[#Data],$DE653,71),0)</f>
        <v/>
      </c>
      <c r="BW653">
        <f>IFERROR(INDEX(PP_Grid[#Data],$DE653,72),0)</f>
        <v/>
      </c>
      <c r="BX653">
        <f>IFERROR(INDEX(PP_Grid[#Data],$DE653,73),0)</f>
        <v/>
      </c>
      <c r="BY653">
        <f>IFERROR(INDEX(PP_Grid[#Data],$DE653,74),0)</f>
        <v/>
      </c>
      <c r="BZ653">
        <f>IFERROR(INDEX(PP_Grid[#Data],$DE653,75),0)</f>
        <v/>
      </c>
      <c r="CA653">
        <f>IFERROR(INDEX(PP_Grid[#Data],$DE653,76),0)</f>
        <v/>
      </c>
      <c r="CB653">
        <f>IFERROR(INDEX(PP_Grid[#Data],$DE653,77),0)</f>
        <v/>
      </c>
      <c r="CC653">
        <f>IFERROR(INDEX(PP_Grid[#Data],$DE653,78),0)</f>
        <v/>
      </c>
      <c r="CD653">
        <f>IFERROR(INDEX(PP_Grid[#Data],$DE653,79),0)</f>
        <v/>
      </c>
      <c r="CE653">
        <f>IFERROR(INDEX(PP_Grid[#Data],$DE653,80),0)</f>
        <v/>
      </c>
      <c r="CF653">
        <f>IFERROR(INDEX(PP_Grid[#Data],$DE653,81),0)</f>
        <v/>
      </c>
      <c r="CG653">
        <f>IFERROR(INDEX(PP_Grid[#Data],$DE653,82),0)</f>
        <v/>
      </c>
      <c r="CH653">
        <f>IFERROR(INDEX(PP_Grid[#Data],$DE653,83),0)</f>
        <v/>
      </c>
      <c r="CI653">
        <f>IFERROR(INDEX(PP_Grid[#Data],$DE653,84),0)</f>
        <v/>
      </c>
      <c r="CJ653">
        <f>IFERROR(INDEX(PP_Grid[#Data],$DE653,85),0)</f>
        <v/>
      </c>
      <c r="CK653">
        <f>IFERROR(INDEX(PP_Grid[#Data],$DE653,86),0)</f>
        <v/>
      </c>
      <c r="CL653">
        <f>IFERROR(INDEX(PP_Grid[#Data],$DE653,87),0)</f>
        <v/>
      </c>
      <c r="CM653">
        <f>IFERROR(INDEX(PP_Grid[#Data],$DE653,88),0)</f>
        <v/>
      </c>
      <c r="CN653">
        <f>IFERROR(INDEX(PP_Grid[#Data],$DE653,89),0)</f>
        <v/>
      </c>
      <c r="CO653">
        <f>IFERROR(INDEX(PP_Grid[#Data],$DE653,90),0)</f>
        <v/>
      </c>
      <c r="CP653">
        <f>IFERROR(INDEX(PP_Grid[#Data],$DE653,91),0)</f>
        <v/>
      </c>
      <c r="CQ653">
        <f>IFERROR(INDEX(PP_Grid[#Data],$DE653,92),0)</f>
        <v/>
      </c>
      <c r="CR653">
        <f>IFERROR(INDEX(PP_Grid[#Data],$DE653,93),0)</f>
        <v/>
      </c>
      <c r="CS653">
        <f>IFERROR(INDEX(PP_Grid[#Data],$DE653,94),0)</f>
        <v/>
      </c>
      <c r="CT653">
        <f>IFERROR(INDEX(PP_Grid[#Data],$DE653,95),0)</f>
        <v/>
      </c>
      <c r="CU653">
        <f>IFERROR(INDEX(PP_Grid[#Data],$DE653,96),0)</f>
        <v/>
      </c>
      <c r="CV653">
        <f>IFERROR(INDEX(PP_Grid[#Data],$DE653,97),0)</f>
        <v/>
      </c>
      <c r="CW653">
        <f>IFERROR(INDEX(PP_Grid[#Data],$DE653,98),0)</f>
        <v/>
      </c>
      <c r="CX653">
        <f>IFERROR(INDEX(PP_Grid[#Data],$DE653,99),0)</f>
        <v/>
      </c>
      <c r="CY653">
        <f>IFERROR(INDEX(PP_Grid[#Data],$DE653,100),0)</f>
        <v/>
      </c>
      <c r="CZ653">
        <f>IFERROR(INDEX(PP_Grid[#Data],$DE653,101),0)</f>
        <v/>
      </c>
      <c r="DA653">
        <f>IFERROR(INDEX(PP_Grid[#Data],$DE653,102),0)</f>
        <v/>
      </c>
      <c r="DB653">
        <f>IFERROR(INDEX(PP_Grid[#Data],$DE653,103),0)</f>
        <v/>
      </c>
      <c r="DC653">
        <f>IFERROR(INDEX(PP_Grid[#Data],$DE653,104),0)</f>
        <v/>
      </c>
      <c r="DD653">
        <f>IFERROR(INDEX(PP_Grid[#Data],$DE653,105),0)</f>
        <v/>
      </c>
      <c r="DE653" s="7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SUMIFS(M_BOM[RM_Qty_Per_Batch],M_BOM[Intermediate],$B653,M_BOM[RM_Code],$A636)</f>
        <v/>
      </c>
      <c r="D654">
        <f>IFERROR(INDEX(E654:DD654,$F$1),"")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  <c r="DD654">
        <f>$C654*DD653</f>
        <v/>
      </c>
    </row>
    <row r="655">
      <c r="B655" t="inlineStr">
        <is>
          <t>TSP-360</t>
        </is>
      </c>
      <c r="C655" t="inlineStr">
        <is>
          <t>No. of batches</t>
        </is>
      </c>
      <c r="D655">
        <f>IFERROR(INDEX(E655:DD655,$F$1),"")</f>
        <v/>
      </c>
      <c r="E655">
        <f>IFERROR(INDEX(PP_Grid[#Data],$DE655,2),0)</f>
        <v/>
      </c>
      <c r="F655">
        <f>IFERROR(INDEX(PP_Grid[#Data],$DE655,3),0)</f>
        <v/>
      </c>
      <c r="G655">
        <f>IFERROR(INDEX(PP_Grid[#Data],$DE655,4),0)</f>
        <v/>
      </c>
      <c r="H655">
        <f>IFERROR(INDEX(PP_Grid[#Data],$DE655,5),0)</f>
        <v/>
      </c>
      <c r="I655">
        <f>IFERROR(INDEX(PP_Grid[#Data],$DE655,6),0)</f>
        <v/>
      </c>
      <c r="J655">
        <f>IFERROR(INDEX(PP_Grid[#Data],$DE655,7),0)</f>
        <v/>
      </c>
      <c r="K655">
        <f>IFERROR(INDEX(PP_Grid[#Data],$DE655,8),0)</f>
        <v/>
      </c>
      <c r="L655">
        <f>IFERROR(INDEX(PP_Grid[#Data],$DE655,9),0)</f>
        <v/>
      </c>
      <c r="M655">
        <f>IFERROR(INDEX(PP_Grid[#Data],$DE655,10),0)</f>
        <v/>
      </c>
      <c r="N655">
        <f>IFERROR(INDEX(PP_Grid[#Data],$DE655,11),0)</f>
        <v/>
      </c>
      <c r="O655">
        <f>IFERROR(INDEX(PP_Grid[#Data],$DE655,12),0)</f>
        <v/>
      </c>
      <c r="P655">
        <f>IFERROR(INDEX(PP_Grid[#Data],$DE655,13),0)</f>
        <v/>
      </c>
      <c r="Q655">
        <f>IFERROR(INDEX(PP_Grid[#Data],$DE655,14),0)</f>
        <v/>
      </c>
      <c r="R655">
        <f>IFERROR(INDEX(PP_Grid[#Data],$DE655,15),0)</f>
        <v/>
      </c>
      <c r="S655">
        <f>IFERROR(INDEX(PP_Grid[#Data],$DE655,16),0)</f>
        <v/>
      </c>
      <c r="T655">
        <f>IFERROR(INDEX(PP_Grid[#Data],$DE655,17),0)</f>
        <v/>
      </c>
      <c r="U655">
        <f>IFERROR(INDEX(PP_Grid[#Data],$DE655,18),0)</f>
        <v/>
      </c>
      <c r="V655">
        <f>IFERROR(INDEX(PP_Grid[#Data],$DE655,19),0)</f>
        <v/>
      </c>
      <c r="W655">
        <f>IFERROR(INDEX(PP_Grid[#Data],$DE655,20),0)</f>
        <v/>
      </c>
      <c r="X655">
        <f>IFERROR(INDEX(PP_Grid[#Data],$DE655,21),0)</f>
        <v/>
      </c>
      <c r="Y655">
        <f>IFERROR(INDEX(PP_Grid[#Data],$DE655,22),0)</f>
        <v/>
      </c>
      <c r="Z655">
        <f>IFERROR(INDEX(PP_Grid[#Data],$DE655,23),0)</f>
        <v/>
      </c>
      <c r="AA655">
        <f>IFERROR(INDEX(PP_Grid[#Data],$DE655,24),0)</f>
        <v/>
      </c>
      <c r="AB655">
        <f>IFERROR(INDEX(PP_Grid[#Data],$DE655,25),0)</f>
        <v/>
      </c>
      <c r="AC655">
        <f>IFERROR(INDEX(PP_Grid[#Data],$DE655,26),0)</f>
        <v/>
      </c>
      <c r="AD655">
        <f>IFERROR(INDEX(PP_Grid[#Data],$DE655,27),0)</f>
        <v/>
      </c>
      <c r="AE655">
        <f>IFERROR(INDEX(PP_Grid[#Data],$DE655,28),0)</f>
        <v/>
      </c>
      <c r="AF655">
        <f>IFERROR(INDEX(PP_Grid[#Data],$DE655,29),0)</f>
        <v/>
      </c>
      <c r="AG655">
        <f>IFERROR(INDEX(PP_Grid[#Data],$DE655,30),0)</f>
        <v/>
      </c>
      <c r="AH655">
        <f>IFERROR(INDEX(PP_Grid[#Data],$DE655,31),0)</f>
        <v/>
      </c>
      <c r="AI655">
        <f>IFERROR(INDEX(PP_Grid[#Data],$DE655,32),0)</f>
        <v/>
      </c>
      <c r="AJ655">
        <f>IFERROR(INDEX(PP_Grid[#Data],$DE655,33),0)</f>
        <v/>
      </c>
      <c r="AK655">
        <f>IFERROR(INDEX(PP_Grid[#Data],$DE655,34),0)</f>
        <v/>
      </c>
      <c r="AL655">
        <f>IFERROR(INDEX(PP_Grid[#Data],$DE655,35),0)</f>
        <v/>
      </c>
      <c r="AM655">
        <f>IFERROR(INDEX(PP_Grid[#Data],$DE655,36),0)</f>
        <v/>
      </c>
      <c r="AN655">
        <f>IFERROR(INDEX(PP_Grid[#Data],$DE655,37),0)</f>
        <v/>
      </c>
      <c r="AO655">
        <f>IFERROR(INDEX(PP_Grid[#Data],$DE655,38),0)</f>
        <v/>
      </c>
      <c r="AP655">
        <f>IFERROR(INDEX(PP_Grid[#Data],$DE655,39),0)</f>
        <v/>
      </c>
      <c r="AQ655">
        <f>IFERROR(INDEX(PP_Grid[#Data],$DE655,40),0)</f>
        <v/>
      </c>
      <c r="AR655">
        <f>IFERROR(INDEX(PP_Grid[#Data],$DE655,41),0)</f>
        <v/>
      </c>
      <c r="AS655">
        <f>IFERROR(INDEX(PP_Grid[#Data],$DE655,42),0)</f>
        <v/>
      </c>
      <c r="AT655">
        <f>IFERROR(INDEX(PP_Grid[#Data],$DE655,43),0)</f>
        <v/>
      </c>
      <c r="AU655">
        <f>IFERROR(INDEX(PP_Grid[#Data],$DE655,44),0)</f>
        <v/>
      </c>
      <c r="AV655">
        <f>IFERROR(INDEX(PP_Grid[#Data],$DE655,45),0)</f>
        <v/>
      </c>
      <c r="AW655">
        <f>IFERROR(INDEX(PP_Grid[#Data],$DE655,46),0)</f>
        <v/>
      </c>
      <c r="AX655">
        <f>IFERROR(INDEX(PP_Grid[#Data],$DE655,47),0)</f>
        <v/>
      </c>
      <c r="AY655">
        <f>IFERROR(INDEX(PP_Grid[#Data],$DE655,48),0)</f>
        <v/>
      </c>
      <c r="AZ655">
        <f>IFERROR(INDEX(PP_Grid[#Data],$DE655,49),0)</f>
        <v/>
      </c>
      <c r="BA655">
        <f>IFERROR(INDEX(PP_Grid[#Data],$DE655,50),0)</f>
        <v/>
      </c>
      <c r="BB655">
        <f>IFERROR(INDEX(PP_Grid[#Data],$DE655,51),0)</f>
        <v/>
      </c>
      <c r="BC655">
        <f>IFERROR(INDEX(PP_Grid[#Data],$DE655,52),0)</f>
        <v/>
      </c>
      <c r="BD655">
        <f>IFERROR(INDEX(PP_Grid[#Data],$DE655,53),0)</f>
        <v/>
      </c>
      <c r="BE655">
        <f>IFERROR(INDEX(PP_Grid[#Data],$DE655,54),0)</f>
        <v/>
      </c>
      <c r="BF655">
        <f>IFERROR(INDEX(PP_Grid[#Data],$DE655,55),0)</f>
        <v/>
      </c>
      <c r="BG655">
        <f>IFERROR(INDEX(PP_Grid[#Data],$DE655,56),0)</f>
        <v/>
      </c>
      <c r="BH655">
        <f>IFERROR(INDEX(PP_Grid[#Data],$DE655,57),0)</f>
        <v/>
      </c>
      <c r="BI655">
        <f>IFERROR(INDEX(PP_Grid[#Data],$DE655,58),0)</f>
        <v/>
      </c>
      <c r="BJ655">
        <f>IFERROR(INDEX(PP_Grid[#Data],$DE655,59),0)</f>
        <v/>
      </c>
      <c r="BK655">
        <f>IFERROR(INDEX(PP_Grid[#Data],$DE655,60),0)</f>
        <v/>
      </c>
      <c r="BL655">
        <f>IFERROR(INDEX(PP_Grid[#Data],$DE655,61),0)</f>
        <v/>
      </c>
      <c r="BM655">
        <f>IFERROR(INDEX(PP_Grid[#Data],$DE655,62),0)</f>
        <v/>
      </c>
      <c r="BN655">
        <f>IFERROR(INDEX(PP_Grid[#Data],$DE655,63),0)</f>
        <v/>
      </c>
      <c r="BO655">
        <f>IFERROR(INDEX(PP_Grid[#Data],$DE655,64),0)</f>
        <v/>
      </c>
      <c r="BP655">
        <f>IFERROR(INDEX(PP_Grid[#Data],$DE655,65),0)</f>
        <v/>
      </c>
      <c r="BQ655">
        <f>IFERROR(INDEX(PP_Grid[#Data],$DE655,66),0)</f>
        <v/>
      </c>
      <c r="BR655">
        <f>IFERROR(INDEX(PP_Grid[#Data],$DE655,67),0)</f>
        <v/>
      </c>
      <c r="BS655">
        <f>IFERROR(INDEX(PP_Grid[#Data],$DE655,68),0)</f>
        <v/>
      </c>
      <c r="BT655">
        <f>IFERROR(INDEX(PP_Grid[#Data],$DE655,69),0)</f>
        <v/>
      </c>
      <c r="BU655">
        <f>IFERROR(INDEX(PP_Grid[#Data],$DE655,70),0)</f>
        <v/>
      </c>
      <c r="BV655">
        <f>IFERROR(INDEX(PP_Grid[#Data],$DE655,71),0)</f>
        <v/>
      </c>
      <c r="BW655">
        <f>IFERROR(INDEX(PP_Grid[#Data],$DE655,72),0)</f>
        <v/>
      </c>
      <c r="BX655">
        <f>IFERROR(INDEX(PP_Grid[#Data],$DE655,73),0)</f>
        <v/>
      </c>
      <c r="BY655">
        <f>IFERROR(INDEX(PP_Grid[#Data],$DE655,74),0)</f>
        <v/>
      </c>
      <c r="BZ655">
        <f>IFERROR(INDEX(PP_Grid[#Data],$DE655,75),0)</f>
        <v/>
      </c>
      <c r="CA655">
        <f>IFERROR(INDEX(PP_Grid[#Data],$DE655,76),0)</f>
        <v/>
      </c>
      <c r="CB655">
        <f>IFERROR(INDEX(PP_Grid[#Data],$DE655,77),0)</f>
        <v/>
      </c>
      <c r="CC655">
        <f>IFERROR(INDEX(PP_Grid[#Data],$DE655,78),0)</f>
        <v/>
      </c>
      <c r="CD655">
        <f>IFERROR(INDEX(PP_Grid[#Data],$DE655,79),0)</f>
        <v/>
      </c>
      <c r="CE655">
        <f>IFERROR(INDEX(PP_Grid[#Data],$DE655,80),0)</f>
        <v/>
      </c>
      <c r="CF655">
        <f>IFERROR(INDEX(PP_Grid[#Data],$DE655,81),0)</f>
        <v/>
      </c>
      <c r="CG655">
        <f>IFERROR(INDEX(PP_Grid[#Data],$DE655,82),0)</f>
        <v/>
      </c>
      <c r="CH655">
        <f>IFERROR(INDEX(PP_Grid[#Data],$DE655,83),0)</f>
        <v/>
      </c>
      <c r="CI655">
        <f>IFERROR(INDEX(PP_Grid[#Data],$DE655,84),0)</f>
        <v/>
      </c>
      <c r="CJ655">
        <f>IFERROR(INDEX(PP_Grid[#Data],$DE655,85),0)</f>
        <v/>
      </c>
      <c r="CK655">
        <f>IFERROR(INDEX(PP_Grid[#Data],$DE655,86),0)</f>
        <v/>
      </c>
      <c r="CL655">
        <f>IFERROR(INDEX(PP_Grid[#Data],$DE655,87),0)</f>
        <v/>
      </c>
      <c r="CM655">
        <f>IFERROR(INDEX(PP_Grid[#Data],$DE655,88),0)</f>
        <v/>
      </c>
      <c r="CN655">
        <f>IFERROR(INDEX(PP_Grid[#Data],$DE655,89),0)</f>
        <v/>
      </c>
      <c r="CO655">
        <f>IFERROR(INDEX(PP_Grid[#Data],$DE655,90),0)</f>
        <v/>
      </c>
      <c r="CP655">
        <f>IFERROR(INDEX(PP_Grid[#Data],$DE655,91),0)</f>
        <v/>
      </c>
      <c r="CQ655">
        <f>IFERROR(INDEX(PP_Grid[#Data],$DE655,92),0)</f>
        <v/>
      </c>
      <c r="CR655">
        <f>IFERROR(INDEX(PP_Grid[#Data],$DE655,93),0)</f>
        <v/>
      </c>
      <c r="CS655">
        <f>IFERROR(INDEX(PP_Grid[#Data],$DE655,94),0)</f>
        <v/>
      </c>
      <c r="CT655">
        <f>IFERROR(INDEX(PP_Grid[#Data],$DE655,95),0)</f>
        <v/>
      </c>
      <c r="CU655">
        <f>IFERROR(INDEX(PP_Grid[#Data],$DE655,96),0)</f>
        <v/>
      </c>
      <c r="CV655">
        <f>IFERROR(INDEX(PP_Grid[#Data],$DE655,97),0)</f>
        <v/>
      </c>
      <c r="CW655">
        <f>IFERROR(INDEX(PP_Grid[#Data],$DE655,98),0)</f>
        <v/>
      </c>
      <c r="CX655">
        <f>IFERROR(INDEX(PP_Grid[#Data],$DE655,99),0)</f>
        <v/>
      </c>
      <c r="CY655">
        <f>IFERROR(INDEX(PP_Grid[#Data],$DE655,100),0)</f>
        <v/>
      </c>
      <c r="CZ655">
        <f>IFERROR(INDEX(PP_Grid[#Data],$DE655,101),0)</f>
        <v/>
      </c>
      <c r="DA655">
        <f>IFERROR(INDEX(PP_Grid[#Data],$DE655,102),0)</f>
        <v/>
      </c>
      <c r="DB655">
        <f>IFERROR(INDEX(PP_Grid[#Data],$DE655,103),0)</f>
        <v/>
      </c>
      <c r="DC655">
        <f>IFERROR(INDEX(PP_Grid[#Data],$DE655,104),0)</f>
        <v/>
      </c>
      <c r="DD655">
        <f>IFERROR(INDEX(PP_Grid[#Data],$DE655,105),0)</f>
        <v/>
      </c>
      <c r="DE655" s="7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SUMIFS(M_BOM[RM_Qty_Per_Batch],M_BOM[Intermediate],$B655,M_BOM[RM_Code],$A636)</f>
        <v/>
      </c>
      <c r="D656">
        <f>IFERROR(INDEX(E656:DD656,$F$1),"")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  <c r="DD656">
        <f>$C656*DD655</f>
        <v/>
      </c>
    </row>
    <row r="657">
      <c r="B657" t="inlineStr">
        <is>
          <t>TSP-367</t>
        </is>
      </c>
      <c r="C657" t="inlineStr">
        <is>
          <t>No. of batches</t>
        </is>
      </c>
      <c r="D657">
        <f>IFERROR(INDEX(E657:DD657,$F$1),"")</f>
        <v/>
      </c>
      <c r="E657">
        <f>IFERROR(INDEX(PP_Grid[#Data],$DE657,2),0)</f>
        <v/>
      </c>
      <c r="F657">
        <f>IFERROR(INDEX(PP_Grid[#Data],$DE657,3),0)</f>
        <v/>
      </c>
      <c r="G657">
        <f>IFERROR(INDEX(PP_Grid[#Data],$DE657,4),0)</f>
        <v/>
      </c>
      <c r="H657">
        <f>IFERROR(INDEX(PP_Grid[#Data],$DE657,5),0)</f>
        <v/>
      </c>
      <c r="I657">
        <f>IFERROR(INDEX(PP_Grid[#Data],$DE657,6),0)</f>
        <v/>
      </c>
      <c r="J657">
        <f>IFERROR(INDEX(PP_Grid[#Data],$DE657,7),0)</f>
        <v/>
      </c>
      <c r="K657">
        <f>IFERROR(INDEX(PP_Grid[#Data],$DE657,8),0)</f>
        <v/>
      </c>
      <c r="L657">
        <f>IFERROR(INDEX(PP_Grid[#Data],$DE657,9),0)</f>
        <v/>
      </c>
      <c r="M657">
        <f>IFERROR(INDEX(PP_Grid[#Data],$DE657,10),0)</f>
        <v/>
      </c>
      <c r="N657">
        <f>IFERROR(INDEX(PP_Grid[#Data],$DE657,11),0)</f>
        <v/>
      </c>
      <c r="O657">
        <f>IFERROR(INDEX(PP_Grid[#Data],$DE657,12),0)</f>
        <v/>
      </c>
      <c r="P657">
        <f>IFERROR(INDEX(PP_Grid[#Data],$DE657,13),0)</f>
        <v/>
      </c>
      <c r="Q657">
        <f>IFERROR(INDEX(PP_Grid[#Data],$DE657,14),0)</f>
        <v/>
      </c>
      <c r="R657">
        <f>IFERROR(INDEX(PP_Grid[#Data],$DE657,15),0)</f>
        <v/>
      </c>
      <c r="S657">
        <f>IFERROR(INDEX(PP_Grid[#Data],$DE657,16),0)</f>
        <v/>
      </c>
      <c r="T657">
        <f>IFERROR(INDEX(PP_Grid[#Data],$DE657,17),0)</f>
        <v/>
      </c>
      <c r="U657">
        <f>IFERROR(INDEX(PP_Grid[#Data],$DE657,18),0)</f>
        <v/>
      </c>
      <c r="V657">
        <f>IFERROR(INDEX(PP_Grid[#Data],$DE657,19),0)</f>
        <v/>
      </c>
      <c r="W657">
        <f>IFERROR(INDEX(PP_Grid[#Data],$DE657,20),0)</f>
        <v/>
      </c>
      <c r="X657">
        <f>IFERROR(INDEX(PP_Grid[#Data],$DE657,21),0)</f>
        <v/>
      </c>
      <c r="Y657">
        <f>IFERROR(INDEX(PP_Grid[#Data],$DE657,22),0)</f>
        <v/>
      </c>
      <c r="Z657">
        <f>IFERROR(INDEX(PP_Grid[#Data],$DE657,23),0)</f>
        <v/>
      </c>
      <c r="AA657">
        <f>IFERROR(INDEX(PP_Grid[#Data],$DE657,24),0)</f>
        <v/>
      </c>
      <c r="AB657">
        <f>IFERROR(INDEX(PP_Grid[#Data],$DE657,25),0)</f>
        <v/>
      </c>
      <c r="AC657">
        <f>IFERROR(INDEX(PP_Grid[#Data],$DE657,26),0)</f>
        <v/>
      </c>
      <c r="AD657">
        <f>IFERROR(INDEX(PP_Grid[#Data],$DE657,27),0)</f>
        <v/>
      </c>
      <c r="AE657">
        <f>IFERROR(INDEX(PP_Grid[#Data],$DE657,28),0)</f>
        <v/>
      </c>
      <c r="AF657">
        <f>IFERROR(INDEX(PP_Grid[#Data],$DE657,29),0)</f>
        <v/>
      </c>
      <c r="AG657">
        <f>IFERROR(INDEX(PP_Grid[#Data],$DE657,30),0)</f>
        <v/>
      </c>
      <c r="AH657">
        <f>IFERROR(INDEX(PP_Grid[#Data],$DE657,31),0)</f>
        <v/>
      </c>
      <c r="AI657">
        <f>IFERROR(INDEX(PP_Grid[#Data],$DE657,32),0)</f>
        <v/>
      </c>
      <c r="AJ657">
        <f>IFERROR(INDEX(PP_Grid[#Data],$DE657,33),0)</f>
        <v/>
      </c>
      <c r="AK657">
        <f>IFERROR(INDEX(PP_Grid[#Data],$DE657,34),0)</f>
        <v/>
      </c>
      <c r="AL657">
        <f>IFERROR(INDEX(PP_Grid[#Data],$DE657,35),0)</f>
        <v/>
      </c>
      <c r="AM657">
        <f>IFERROR(INDEX(PP_Grid[#Data],$DE657,36),0)</f>
        <v/>
      </c>
      <c r="AN657">
        <f>IFERROR(INDEX(PP_Grid[#Data],$DE657,37),0)</f>
        <v/>
      </c>
      <c r="AO657">
        <f>IFERROR(INDEX(PP_Grid[#Data],$DE657,38),0)</f>
        <v/>
      </c>
      <c r="AP657">
        <f>IFERROR(INDEX(PP_Grid[#Data],$DE657,39),0)</f>
        <v/>
      </c>
      <c r="AQ657">
        <f>IFERROR(INDEX(PP_Grid[#Data],$DE657,40),0)</f>
        <v/>
      </c>
      <c r="AR657">
        <f>IFERROR(INDEX(PP_Grid[#Data],$DE657,41),0)</f>
        <v/>
      </c>
      <c r="AS657">
        <f>IFERROR(INDEX(PP_Grid[#Data],$DE657,42),0)</f>
        <v/>
      </c>
      <c r="AT657">
        <f>IFERROR(INDEX(PP_Grid[#Data],$DE657,43),0)</f>
        <v/>
      </c>
      <c r="AU657">
        <f>IFERROR(INDEX(PP_Grid[#Data],$DE657,44),0)</f>
        <v/>
      </c>
      <c r="AV657">
        <f>IFERROR(INDEX(PP_Grid[#Data],$DE657,45),0)</f>
        <v/>
      </c>
      <c r="AW657">
        <f>IFERROR(INDEX(PP_Grid[#Data],$DE657,46),0)</f>
        <v/>
      </c>
      <c r="AX657">
        <f>IFERROR(INDEX(PP_Grid[#Data],$DE657,47),0)</f>
        <v/>
      </c>
      <c r="AY657">
        <f>IFERROR(INDEX(PP_Grid[#Data],$DE657,48),0)</f>
        <v/>
      </c>
      <c r="AZ657">
        <f>IFERROR(INDEX(PP_Grid[#Data],$DE657,49),0)</f>
        <v/>
      </c>
      <c r="BA657">
        <f>IFERROR(INDEX(PP_Grid[#Data],$DE657,50),0)</f>
        <v/>
      </c>
      <c r="BB657">
        <f>IFERROR(INDEX(PP_Grid[#Data],$DE657,51),0)</f>
        <v/>
      </c>
      <c r="BC657">
        <f>IFERROR(INDEX(PP_Grid[#Data],$DE657,52),0)</f>
        <v/>
      </c>
      <c r="BD657">
        <f>IFERROR(INDEX(PP_Grid[#Data],$DE657,53),0)</f>
        <v/>
      </c>
      <c r="BE657">
        <f>IFERROR(INDEX(PP_Grid[#Data],$DE657,54),0)</f>
        <v/>
      </c>
      <c r="BF657">
        <f>IFERROR(INDEX(PP_Grid[#Data],$DE657,55),0)</f>
        <v/>
      </c>
      <c r="BG657">
        <f>IFERROR(INDEX(PP_Grid[#Data],$DE657,56),0)</f>
        <v/>
      </c>
      <c r="BH657">
        <f>IFERROR(INDEX(PP_Grid[#Data],$DE657,57),0)</f>
        <v/>
      </c>
      <c r="BI657">
        <f>IFERROR(INDEX(PP_Grid[#Data],$DE657,58),0)</f>
        <v/>
      </c>
      <c r="BJ657">
        <f>IFERROR(INDEX(PP_Grid[#Data],$DE657,59),0)</f>
        <v/>
      </c>
      <c r="BK657">
        <f>IFERROR(INDEX(PP_Grid[#Data],$DE657,60),0)</f>
        <v/>
      </c>
      <c r="BL657">
        <f>IFERROR(INDEX(PP_Grid[#Data],$DE657,61),0)</f>
        <v/>
      </c>
      <c r="BM657">
        <f>IFERROR(INDEX(PP_Grid[#Data],$DE657,62),0)</f>
        <v/>
      </c>
      <c r="BN657">
        <f>IFERROR(INDEX(PP_Grid[#Data],$DE657,63),0)</f>
        <v/>
      </c>
      <c r="BO657">
        <f>IFERROR(INDEX(PP_Grid[#Data],$DE657,64),0)</f>
        <v/>
      </c>
      <c r="BP657">
        <f>IFERROR(INDEX(PP_Grid[#Data],$DE657,65),0)</f>
        <v/>
      </c>
      <c r="BQ657">
        <f>IFERROR(INDEX(PP_Grid[#Data],$DE657,66),0)</f>
        <v/>
      </c>
      <c r="BR657">
        <f>IFERROR(INDEX(PP_Grid[#Data],$DE657,67),0)</f>
        <v/>
      </c>
      <c r="BS657">
        <f>IFERROR(INDEX(PP_Grid[#Data],$DE657,68),0)</f>
        <v/>
      </c>
      <c r="BT657">
        <f>IFERROR(INDEX(PP_Grid[#Data],$DE657,69),0)</f>
        <v/>
      </c>
      <c r="BU657">
        <f>IFERROR(INDEX(PP_Grid[#Data],$DE657,70),0)</f>
        <v/>
      </c>
      <c r="BV657">
        <f>IFERROR(INDEX(PP_Grid[#Data],$DE657,71),0)</f>
        <v/>
      </c>
      <c r="BW657">
        <f>IFERROR(INDEX(PP_Grid[#Data],$DE657,72),0)</f>
        <v/>
      </c>
      <c r="BX657">
        <f>IFERROR(INDEX(PP_Grid[#Data],$DE657,73),0)</f>
        <v/>
      </c>
      <c r="BY657">
        <f>IFERROR(INDEX(PP_Grid[#Data],$DE657,74),0)</f>
        <v/>
      </c>
      <c r="BZ657">
        <f>IFERROR(INDEX(PP_Grid[#Data],$DE657,75),0)</f>
        <v/>
      </c>
      <c r="CA657">
        <f>IFERROR(INDEX(PP_Grid[#Data],$DE657,76),0)</f>
        <v/>
      </c>
      <c r="CB657">
        <f>IFERROR(INDEX(PP_Grid[#Data],$DE657,77),0)</f>
        <v/>
      </c>
      <c r="CC657">
        <f>IFERROR(INDEX(PP_Grid[#Data],$DE657,78),0)</f>
        <v/>
      </c>
      <c r="CD657">
        <f>IFERROR(INDEX(PP_Grid[#Data],$DE657,79),0)</f>
        <v/>
      </c>
      <c r="CE657">
        <f>IFERROR(INDEX(PP_Grid[#Data],$DE657,80),0)</f>
        <v/>
      </c>
      <c r="CF657">
        <f>IFERROR(INDEX(PP_Grid[#Data],$DE657,81),0)</f>
        <v/>
      </c>
      <c r="CG657">
        <f>IFERROR(INDEX(PP_Grid[#Data],$DE657,82),0)</f>
        <v/>
      </c>
      <c r="CH657">
        <f>IFERROR(INDEX(PP_Grid[#Data],$DE657,83),0)</f>
        <v/>
      </c>
      <c r="CI657">
        <f>IFERROR(INDEX(PP_Grid[#Data],$DE657,84),0)</f>
        <v/>
      </c>
      <c r="CJ657">
        <f>IFERROR(INDEX(PP_Grid[#Data],$DE657,85),0)</f>
        <v/>
      </c>
      <c r="CK657">
        <f>IFERROR(INDEX(PP_Grid[#Data],$DE657,86),0)</f>
        <v/>
      </c>
      <c r="CL657">
        <f>IFERROR(INDEX(PP_Grid[#Data],$DE657,87),0)</f>
        <v/>
      </c>
      <c r="CM657">
        <f>IFERROR(INDEX(PP_Grid[#Data],$DE657,88),0)</f>
        <v/>
      </c>
      <c r="CN657">
        <f>IFERROR(INDEX(PP_Grid[#Data],$DE657,89),0)</f>
        <v/>
      </c>
      <c r="CO657">
        <f>IFERROR(INDEX(PP_Grid[#Data],$DE657,90),0)</f>
        <v/>
      </c>
      <c r="CP657">
        <f>IFERROR(INDEX(PP_Grid[#Data],$DE657,91),0)</f>
        <v/>
      </c>
      <c r="CQ657">
        <f>IFERROR(INDEX(PP_Grid[#Data],$DE657,92),0)</f>
        <v/>
      </c>
      <c r="CR657">
        <f>IFERROR(INDEX(PP_Grid[#Data],$DE657,93),0)</f>
        <v/>
      </c>
      <c r="CS657">
        <f>IFERROR(INDEX(PP_Grid[#Data],$DE657,94),0)</f>
        <v/>
      </c>
      <c r="CT657">
        <f>IFERROR(INDEX(PP_Grid[#Data],$DE657,95),0)</f>
        <v/>
      </c>
      <c r="CU657">
        <f>IFERROR(INDEX(PP_Grid[#Data],$DE657,96),0)</f>
        <v/>
      </c>
      <c r="CV657">
        <f>IFERROR(INDEX(PP_Grid[#Data],$DE657,97),0)</f>
        <v/>
      </c>
      <c r="CW657">
        <f>IFERROR(INDEX(PP_Grid[#Data],$DE657,98),0)</f>
        <v/>
      </c>
      <c r="CX657">
        <f>IFERROR(INDEX(PP_Grid[#Data],$DE657,99),0)</f>
        <v/>
      </c>
      <c r="CY657">
        <f>IFERROR(INDEX(PP_Grid[#Data],$DE657,100),0)</f>
        <v/>
      </c>
      <c r="CZ657">
        <f>IFERROR(INDEX(PP_Grid[#Data],$DE657,101),0)</f>
        <v/>
      </c>
      <c r="DA657">
        <f>IFERROR(INDEX(PP_Grid[#Data],$DE657,102),0)</f>
        <v/>
      </c>
      <c r="DB657">
        <f>IFERROR(INDEX(PP_Grid[#Data],$DE657,103),0)</f>
        <v/>
      </c>
      <c r="DC657">
        <f>IFERROR(INDEX(PP_Grid[#Data],$DE657,104),0)</f>
        <v/>
      </c>
      <c r="DD657">
        <f>IFERROR(INDEX(PP_Grid[#Data],$DE657,105),0)</f>
        <v/>
      </c>
      <c r="DE657" s="7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SUMIFS(M_BOM[RM_Qty_Per_Batch],M_BOM[Intermediate],$B657,M_BOM[RM_Code],$A636)</f>
        <v/>
      </c>
      <c r="D658">
        <f>IFERROR(INDEX(E658:DD658,$F$1),"")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  <c r="DD658">
        <f>$C658*DD657</f>
        <v/>
      </c>
    </row>
    <row r="659">
      <c r="B659" t="inlineStr">
        <is>
          <t>TSP-369</t>
        </is>
      </c>
      <c r="C659" t="inlineStr">
        <is>
          <t>No. of batches</t>
        </is>
      </c>
      <c r="D659">
        <f>IFERROR(INDEX(E659:DD659,$F$1),"")</f>
        <v/>
      </c>
      <c r="E659">
        <f>IFERROR(INDEX(PP_Grid[#Data],$DE659,2),0)</f>
        <v/>
      </c>
      <c r="F659">
        <f>IFERROR(INDEX(PP_Grid[#Data],$DE659,3),0)</f>
        <v/>
      </c>
      <c r="G659">
        <f>IFERROR(INDEX(PP_Grid[#Data],$DE659,4),0)</f>
        <v/>
      </c>
      <c r="H659">
        <f>IFERROR(INDEX(PP_Grid[#Data],$DE659,5),0)</f>
        <v/>
      </c>
      <c r="I659">
        <f>IFERROR(INDEX(PP_Grid[#Data],$DE659,6),0)</f>
        <v/>
      </c>
      <c r="J659">
        <f>IFERROR(INDEX(PP_Grid[#Data],$DE659,7),0)</f>
        <v/>
      </c>
      <c r="K659">
        <f>IFERROR(INDEX(PP_Grid[#Data],$DE659,8),0)</f>
        <v/>
      </c>
      <c r="L659">
        <f>IFERROR(INDEX(PP_Grid[#Data],$DE659,9),0)</f>
        <v/>
      </c>
      <c r="M659">
        <f>IFERROR(INDEX(PP_Grid[#Data],$DE659,10),0)</f>
        <v/>
      </c>
      <c r="N659">
        <f>IFERROR(INDEX(PP_Grid[#Data],$DE659,11),0)</f>
        <v/>
      </c>
      <c r="O659">
        <f>IFERROR(INDEX(PP_Grid[#Data],$DE659,12),0)</f>
        <v/>
      </c>
      <c r="P659">
        <f>IFERROR(INDEX(PP_Grid[#Data],$DE659,13),0)</f>
        <v/>
      </c>
      <c r="Q659">
        <f>IFERROR(INDEX(PP_Grid[#Data],$DE659,14),0)</f>
        <v/>
      </c>
      <c r="R659">
        <f>IFERROR(INDEX(PP_Grid[#Data],$DE659,15),0)</f>
        <v/>
      </c>
      <c r="S659">
        <f>IFERROR(INDEX(PP_Grid[#Data],$DE659,16),0)</f>
        <v/>
      </c>
      <c r="T659">
        <f>IFERROR(INDEX(PP_Grid[#Data],$DE659,17),0)</f>
        <v/>
      </c>
      <c r="U659">
        <f>IFERROR(INDEX(PP_Grid[#Data],$DE659,18),0)</f>
        <v/>
      </c>
      <c r="V659">
        <f>IFERROR(INDEX(PP_Grid[#Data],$DE659,19),0)</f>
        <v/>
      </c>
      <c r="W659">
        <f>IFERROR(INDEX(PP_Grid[#Data],$DE659,20),0)</f>
        <v/>
      </c>
      <c r="X659">
        <f>IFERROR(INDEX(PP_Grid[#Data],$DE659,21),0)</f>
        <v/>
      </c>
      <c r="Y659">
        <f>IFERROR(INDEX(PP_Grid[#Data],$DE659,22),0)</f>
        <v/>
      </c>
      <c r="Z659">
        <f>IFERROR(INDEX(PP_Grid[#Data],$DE659,23),0)</f>
        <v/>
      </c>
      <c r="AA659">
        <f>IFERROR(INDEX(PP_Grid[#Data],$DE659,24),0)</f>
        <v/>
      </c>
      <c r="AB659">
        <f>IFERROR(INDEX(PP_Grid[#Data],$DE659,25),0)</f>
        <v/>
      </c>
      <c r="AC659">
        <f>IFERROR(INDEX(PP_Grid[#Data],$DE659,26),0)</f>
        <v/>
      </c>
      <c r="AD659">
        <f>IFERROR(INDEX(PP_Grid[#Data],$DE659,27),0)</f>
        <v/>
      </c>
      <c r="AE659">
        <f>IFERROR(INDEX(PP_Grid[#Data],$DE659,28),0)</f>
        <v/>
      </c>
      <c r="AF659">
        <f>IFERROR(INDEX(PP_Grid[#Data],$DE659,29),0)</f>
        <v/>
      </c>
      <c r="AG659">
        <f>IFERROR(INDEX(PP_Grid[#Data],$DE659,30),0)</f>
        <v/>
      </c>
      <c r="AH659">
        <f>IFERROR(INDEX(PP_Grid[#Data],$DE659,31),0)</f>
        <v/>
      </c>
      <c r="AI659">
        <f>IFERROR(INDEX(PP_Grid[#Data],$DE659,32),0)</f>
        <v/>
      </c>
      <c r="AJ659">
        <f>IFERROR(INDEX(PP_Grid[#Data],$DE659,33),0)</f>
        <v/>
      </c>
      <c r="AK659">
        <f>IFERROR(INDEX(PP_Grid[#Data],$DE659,34),0)</f>
        <v/>
      </c>
      <c r="AL659">
        <f>IFERROR(INDEX(PP_Grid[#Data],$DE659,35),0)</f>
        <v/>
      </c>
      <c r="AM659">
        <f>IFERROR(INDEX(PP_Grid[#Data],$DE659,36),0)</f>
        <v/>
      </c>
      <c r="AN659">
        <f>IFERROR(INDEX(PP_Grid[#Data],$DE659,37),0)</f>
        <v/>
      </c>
      <c r="AO659">
        <f>IFERROR(INDEX(PP_Grid[#Data],$DE659,38),0)</f>
        <v/>
      </c>
      <c r="AP659">
        <f>IFERROR(INDEX(PP_Grid[#Data],$DE659,39),0)</f>
        <v/>
      </c>
      <c r="AQ659">
        <f>IFERROR(INDEX(PP_Grid[#Data],$DE659,40),0)</f>
        <v/>
      </c>
      <c r="AR659">
        <f>IFERROR(INDEX(PP_Grid[#Data],$DE659,41),0)</f>
        <v/>
      </c>
      <c r="AS659">
        <f>IFERROR(INDEX(PP_Grid[#Data],$DE659,42),0)</f>
        <v/>
      </c>
      <c r="AT659">
        <f>IFERROR(INDEX(PP_Grid[#Data],$DE659,43),0)</f>
        <v/>
      </c>
      <c r="AU659">
        <f>IFERROR(INDEX(PP_Grid[#Data],$DE659,44),0)</f>
        <v/>
      </c>
      <c r="AV659">
        <f>IFERROR(INDEX(PP_Grid[#Data],$DE659,45),0)</f>
        <v/>
      </c>
      <c r="AW659">
        <f>IFERROR(INDEX(PP_Grid[#Data],$DE659,46),0)</f>
        <v/>
      </c>
      <c r="AX659">
        <f>IFERROR(INDEX(PP_Grid[#Data],$DE659,47),0)</f>
        <v/>
      </c>
      <c r="AY659">
        <f>IFERROR(INDEX(PP_Grid[#Data],$DE659,48),0)</f>
        <v/>
      </c>
      <c r="AZ659">
        <f>IFERROR(INDEX(PP_Grid[#Data],$DE659,49),0)</f>
        <v/>
      </c>
      <c r="BA659">
        <f>IFERROR(INDEX(PP_Grid[#Data],$DE659,50),0)</f>
        <v/>
      </c>
      <c r="BB659">
        <f>IFERROR(INDEX(PP_Grid[#Data],$DE659,51),0)</f>
        <v/>
      </c>
      <c r="BC659">
        <f>IFERROR(INDEX(PP_Grid[#Data],$DE659,52),0)</f>
        <v/>
      </c>
      <c r="BD659">
        <f>IFERROR(INDEX(PP_Grid[#Data],$DE659,53),0)</f>
        <v/>
      </c>
      <c r="BE659">
        <f>IFERROR(INDEX(PP_Grid[#Data],$DE659,54),0)</f>
        <v/>
      </c>
      <c r="BF659">
        <f>IFERROR(INDEX(PP_Grid[#Data],$DE659,55),0)</f>
        <v/>
      </c>
      <c r="BG659">
        <f>IFERROR(INDEX(PP_Grid[#Data],$DE659,56),0)</f>
        <v/>
      </c>
      <c r="BH659">
        <f>IFERROR(INDEX(PP_Grid[#Data],$DE659,57),0)</f>
        <v/>
      </c>
      <c r="BI659">
        <f>IFERROR(INDEX(PP_Grid[#Data],$DE659,58),0)</f>
        <v/>
      </c>
      <c r="BJ659">
        <f>IFERROR(INDEX(PP_Grid[#Data],$DE659,59),0)</f>
        <v/>
      </c>
      <c r="BK659">
        <f>IFERROR(INDEX(PP_Grid[#Data],$DE659,60),0)</f>
        <v/>
      </c>
      <c r="BL659">
        <f>IFERROR(INDEX(PP_Grid[#Data],$DE659,61),0)</f>
        <v/>
      </c>
      <c r="BM659">
        <f>IFERROR(INDEX(PP_Grid[#Data],$DE659,62),0)</f>
        <v/>
      </c>
      <c r="BN659">
        <f>IFERROR(INDEX(PP_Grid[#Data],$DE659,63),0)</f>
        <v/>
      </c>
      <c r="BO659">
        <f>IFERROR(INDEX(PP_Grid[#Data],$DE659,64),0)</f>
        <v/>
      </c>
      <c r="BP659">
        <f>IFERROR(INDEX(PP_Grid[#Data],$DE659,65),0)</f>
        <v/>
      </c>
      <c r="BQ659">
        <f>IFERROR(INDEX(PP_Grid[#Data],$DE659,66),0)</f>
        <v/>
      </c>
      <c r="BR659">
        <f>IFERROR(INDEX(PP_Grid[#Data],$DE659,67),0)</f>
        <v/>
      </c>
      <c r="BS659">
        <f>IFERROR(INDEX(PP_Grid[#Data],$DE659,68),0)</f>
        <v/>
      </c>
      <c r="BT659">
        <f>IFERROR(INDEX(PP_Grid[#Data],$DE659,69),0)</f>
        <v/>
      </c>
      <c r="BU659">
        <f>IFERROR(INDEX(PP_Grid[#Data],$DE659,70),0)</f>
        <v/>
      </c>
      <c r="BV659">
        <f>IFERROR(INDEX(PP_Grid[#Data],$DE659,71),0)</f>
        <v/>
      </c>
      <c r="BW659">
        <f>IFERROR(INDEX(PP_Grid[#Data],$DE659,72),0)</f>
        <v/>
      </c>
      <c r="BX659">
        <f>IFERROR(INDEX(PP_Grid[#Data],$DE659,73),0)</f>
        <v/>
      </c>
      <c r="BY659">
        <f>IFERROR(INDEX(PP_Grid[#Data],$DE659,74),0)</f>
        <v/>
      </c>
      <c r="BZ659">
        <f>IFERROR(INDEX(PP_Grid[#Data],$DE659,75),0)</f>
        <v/>
      </c>
      <c r="CA659">
        <f>IFERROR(INDEX(PP_Grid[#Data],$DE659,76),0)</f>
        <v/>
      </c>
      <c r="CB659">
        <f>IFERROR(INDEX(PP_Grid[#Data],$DE659,77),0)</f>
        <v/>
      </c>
      <c r="CC659">
        <f>IFERROR(INDEX(PP_Grid[#Data],$DE659,78),0)</f>
        <v/>
      </c>
      <c r="CD659">
        <f>IFERROR(INDEX(PP_Grid[#Data],$DE659,79),0)</f>
        <v/>
      </c>
      <c r="CE659">
        <f>IFERROR(INDEX(PP_Grid[#Data],$DE659,80),0)</f>
        <v/>
      </c>
      <c r="CF659">
        <f>IFERROR(INDEX(PP_Grid[#Data],$DE659,81),0)</f>
        <v/>
      </c>
      <c r="CG659">
        <f>IFERROR(INDEX(PP_Grid[#Data],$DE659,82),0)</f>
        <v/>
      </c>
      <c r="CH659">
        <f>IFERROR(INDEX(PP_Grid[#Data],$DE659,83),0)</f>
        <v/>
      </c>
      <c r="CI659">
        <f>IFERROR(INDEX(PP_Grid[#Data],$DE659,84),0)</f>
        <v/>
      </c>
      <c r="CJ659">
        <f>IFERROR(INDEX(PP_Grid[#Data],$DE659,85),0)</f>
        <v/>
      </c>
      <c r="CK659">
        <f>IFERROR(INDEX(PP_Grid[#Data],$DE659,86),0)</f>
        <v/>
      </c>
      <c r="CL659">
        <f>IFERROR(INDEX(PP_Grid[#Data],$DE659,87),0)</f>
        <v/>
      </c>
      <c r="CM659">
        <f>IFERROR(INDEX(PP_Grid[#Data],$DE659,88),0)</f>
        <v/>
      </c>
      <c r="CN659">
        <f>IFERROR(INDEX(PP_Grid[#Data],$DE659,89),0)</f>
        <v/>
      </c>
      <c r="CO659">
        <f>IFERROR(INDEX(PP_Grid[#Data],$DE659,90),0)</f>
        <v/>
      </c>
      <c r="CP659">
        <f>IFERROR(INDEX(PP_Grid[#Data],$DE659,91),0)</f>
        <v/>
      </c>
      <c r="CQ659">
        <f>IFERROR(INDEX(PP_Grid[#Data],$DE659,92),0)</f>
        <v/>
      </c>
      <c r="CR659">
        <f>IFERROR(INDEX(PP_Grid[#Data],$DE659,93),0)</f>
        <v/>
      </c>
      <c r="CS659">
        <f>IFERROR(INDEX(PP_Grid[#Data],$DE659,94),0)</f>
        <v/>
      </c>
      <c r="CT659">
        <f>IFERROR(INDEX(PP_Grid[#Data],$DE659,95),0)</f>
        <v/>
      </c>
      <c r="CU659">
        <f>IFERROR(INDEX(PP_Grid[#Data],$DE659,96),0)</f>
        <v/>
      </c>
      <c r="CV659">
        <f>IFERROR(INDEX(PP_Grid[#Data],$DE659,97),0)</f>
        <v/>
      </c>
      <c r="CW659">
        <f>IFERROR(INDEX(PP_Grid[#Data],$DE659,98),0)</f>
        <v/>
      </c>
      <c r="CX659">
        <f>IFERROR(INDEX(PP_Grid[#Data],$DE659,99),0)</f>
        <v/>
      </c>
      <c r="CY659">
        <f>IFERROR(INDEX(PP_Grid[#Data],$DE659,100),0)</f>
        <v/>
      </c>
      <c r="CZ659">
        <f>IFERROR(INDEX(PP_Grid[#Data],$DE659,101),0)</f>
        <v/>
      </c>
      <c r="DA659">
        <f>IFERROR(INDEX(PP_Grid[#Data],$DE659,102),0)</f>
        <v/>
      </c>
      <c r="DB659">
        <f>IFERROR(INDEX(PP_Grid[#Data],$DE659,103),0)</f>
        <v/>
      </c>
      <c r="DC659">
        <f>IFERROR(INDEX(PP_Grid[#Data],$DE659,104),0)</f>
        <v/>
      </c>
      <c r="DD659">
        <f>IFERROR(INDEX(PP_Grid[#Data],$DE659,105),0)</f>
        <v/>
      </c>
      <c r="DE659" s="7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SUMIFS(M_BOM[RM_Qty_Per_Batch],M_BOM[Intermediate],$B659,M_BOM[RM_Code],$A636)</f>
        <v/>
      </c>
      <c r="D660">
        <f>IFERROR(INDEX(E660:DD660,$F$1),"")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  <c r="DD660">
        <f>$C660*DD659</f>
        <v/>
      </c>
    </row>
    <row r="661">
      <c r="B661" t="inlineStr">
        <is>
          <t>TSP-402</t>
        </is>
      </c>
      <c r="C661" t="inlineStr">
        <is>
          <t>No. of batches</t>
        </is>
      </c>
      <c r="D661">
        <f>IFERROR(INDEX(E661:DD661,$F$1),"")</f>
        <v/>
      </c>
      <c r="E661">
        <f>IFERROR(INDEX(PP_Grid[#Data],$DE661,2),0)</f>
        <v/>
      </c>
      <c r="F661">
        <f>IFERROR(INDEX(PP_Grid[#Data],$DE661,3),0)</f>
        <v/>
      </c>
      <c r="G661">
        <f>IFERROR(INDEX(PP_Grid[#Data],$DE661,4),0)</f>
        <v/>
      </c>
      <c r="H661">
        <f>IFERROR(INDEX(PP_Grid[#Data],$DE661,5),0)</f>
        <v/>
      </c>
      <c r="I661">
        <f>IFERROR(INDEX(PP_Grid[#Data],$DE661,6),0)</f>
        <v/>
      </c>
      <c r="J661">
        <f>IFERROR(INDEX(PP_Grid[#Data],$DE661,7),0)</f>
        <v/>
      </c>
      <c r="K661">
        <f>IFERROR(INDEX(PP_Grid[#Data],$DE661,8),0)</f>
        <v/>
      </c>
      <c r="L661">
        <f>IFERROR(INDEX(PP_Grid[#Data],$DE661,9),0)</f>
        <v/>
      </c>
      <c r="M661">
        <f>IFERROR(INDEX(PP_Grid[#Data],$DE661,10),0)</f>
        <v/>
      </c>
      <c r="N661">
        <f>IFERROR(INDEX(PP_Grid[#Data],$DE661,11),0)</f>
        <v/>
      </c>
      <c r="O661">
        <f>IFERROR(INDEX(PP_Grid[#Data],$DE661,12),0)</f>
        <v/>
      </c>
      <c r="P661">
        <f>IFERROR(INDEX(PP_Grid[#Data],$DE661,13),0)</f>
        <v/>
      </c>
      <c r="Q661">
        <f>IFERROR(INDEX(PP_Grid[#Data],$DE661,14),0)</f>
        <v/>
      </c>
      <c r="R661">
        <f>IFERROR(INDEX(PP_Grid[#Data],$DE661,15),0)</f>
        <v/>
      </c>
      <c r="S661">
        <f>IFERROR(INDEX(PP_Grid[#Data],$DE661,16),0)</f>
        <v/>
      </c>
      <c r="T661">
        <f>IFERROR(INDEX(PP_Grid[#Data],$DE661,17),0)</f>
        <v/>
      </c>
      <c r="U661">
        <f>IFERROR(INDEX(PP_Grid[#Data],$DE661,18),0)</f>
        <v/>
      </c>
      <c r="V661">
        <f>IFERROR(INDEX(PP_Grid[#Data],$DE661,19),0)</f>
        <v/>
      </c>
      <c r="W661">
        <f>IFERROR(INDEX(PP_Grid[#Data],$DE661,20),0)</f>
        <v/>
      </c>
      <c r="X661">
        <f>IFERROR(INDEX(PP_Grid[#Data],$DE661,21),0)</f>
        <v/>
      </c>
      <c r="Y661">
        <f>IFERROR(INDEX(PP_Grid[#Data],$DE661,22),0)</f>
        <v/>
      </c>
      <c r="Z661">
        <f>IFERROR(INDEX(PP_Grid[#Data],$DE661,23),0)</f>
        <v/>
      </c>
      <c r="AA661">
        <f>IFERROR(INDEX(PP_Grid[#Data],$DE661,24),0)</f>
        <v/>
      </c>
      <c r="AB661">
        <f>IFERROR(INDEX(PP_Grid[#Data],$DE661,25),0)</f>
        <v/>
      </c>
      <c r="AC661">
        <f>IFERROR(INDEX(PP_Grid[#Data],$DE661,26),0)</f>
        <v/>
      </c>
      <c r="AD661">
        <f>IFERROR(INDEX(PP_Grid[#Data],$DE661,27),0)</f>
        <v/>
      </c>
      <c r="AE661">
        <f>IFERROR(INDEX(PP_Grid[#Data],$DE661,28),0)</f>
        <v/>
      </c>
      <c r="AF661">
        <f>IFERROR(INDEX(PP_Grid[#Data],$DE661,29),0)</f>
        <v/>
      </c>
      <c r="AG661">
        <f>IFERROR(INDEX(PP_Grid[#Data],$DE661,30),0)</f>
        <v/>
      </c>
      <c r="AH661">
        <f>IFERROR(INDEX(PP_Grid[#Data],$DE661,31),0)</f>
        <v/>
      </c>
      <c r="AI661">
        <f>IFERROR(INDEX(PP_Grid[#Data],$DE661,32),0)</f>
        <v/>
      </c>
      <c r="AJ661">
        <f>IFERROR(INDEX(PP_Grid[#Data],$DE661,33),0)</f>
        <v/>
      </c>
      <c r="AK661">
        <f>IFERROR(INDEX(PP_Grid[#Data],$DE661,34),0)</f>
        <v/>
      </c>
      <c r="AL661">
        <f>IFERROR(INDEX(PP_Grid[#Data],$DE661,35),0)</f>
        <v/>
      </c>
      <c r="AM661">
        <f>IFERROR(INDEX(PP_Grid[#Data],$DE661,36),0)</f>
        <v/>
      </c>
      <c r="AN661">
        <f>IFERROR(INDEX(PP_Grid[#Data],$DE661,37),0)</f>
        <v/>
      </c>
      <c r="AO661">
        <f>IFERROR(INDEX(PP_Grid[#Data],$DE661,38),0)</f>
        <v/>
      </c>
      <c r="AP661">
        <f>IFERROR(INDEX(PP_Grid[#Data],$DE661,39),0)</f>
        <v/>
      </c>
      <c r="AQ661">
        <f>IFERROR(INDEX(PP_Grid[#Data],$DE661,40),0)</f>
        <v/>
      </c>
      <c r="AR661">
        <f>IFERROR(INDEX(PP_Grid[#Data],$DE661,41),0)</f>
        <v/>
      </c>
      <c r="AS661">
        <f>IFERROR(INDEX(PP_Grid[#Data],$DE661,42),0)</f>
        <v/>
      </c>
      <c r="AT661">
        <f>IFERROR(INDEX(PP_Grid[#Data],$DE661,43),0)</f>
        <v/>
      </c>
      <c r="AU661">
        <f>IFERROR(INDEX(PP_Grid[#Data],$DE661,44),0)</f>
        <v/>
      </c>
      <c r="AV661">
        <f>IFERROR(INDEX(PP_Grid[#Data],$DE661,45),0)</f>
        <v/>
      </c>
      <c r="AW661">
        <f>IFERROR(INDEX(PP_Grid[#Data],$DE661,46),0)</f>
        <v/>
      </c>
      <c r="AX661">
        <f>IFERROR(INDEX(PP_Grid[#Data],$DE661,47),0)</f>
        <v/>
      </c>
      <c r="AY661">
        <f>IFERROR(INDEX(PP_Grid[#Data],$DE661,48),0)</f>
        <v/>
      </c>
      <c r="AZ661">
        <f>IFERROR(INDEX(PP_Grid[#Data],$DE661,49),0)</f>
        <v/>
      </c>
      <c r="BA661">
        <f>IFERROR(INDEX(PP_Grid[#Data],$DE661,50),0)</f>
        <v/>
      </c>
      <c r="BB661">
        <f>IFERROR(INDEX(PP_Grid[#Data],$DE661,51),0)</f>
        <v/>
      </c>
      <c r="BC661">
        <f>IFERROR(INDEX(PP_Grid[#Data],$DE661,52),0)</f>
        <v/>
      </c>
      <c r="BD661">
        <f>IFERROR(INDEX(PP_Grid[#Data],$DE661,53),0)</f>
        <v/>
      </c>
      <c r="BE661">
        <f>IFERROR(INDEX(PP_Grid[#Data],$DE661,54),0)</f>
        <v/>
      </c>
      <c r="BF661">
        <f>IFERROR(INDEX(PP_Grid[#Data],$DE661,55),0)</f>
        <v/>
      </c>
      <c r="BG661">
        <f>IFERROR(INDEX(PP_Grid[#Data],$DE661,56),0)</f>
        <v/>
      </c>
      <c r="BH661">
        <f>IFERROR(INDEX(PP_Grid[#Data],$DE661,57),0)</f>
        <v/>
      </c>
      <c r="BI661">
        <f>IFERROR(INDEX(PP_Grid[#Data],$DE661,58),0)</f>
        <v/>
      </c>
      <c r="BJ661">
        <f>IFERROR(INDEX(PP_Grid[#Data],$DE661,59),0)</f>
        <v/>
      </c>
      <c r="BK661">
        <f>IFERROR(INDEX(PP_Grid[#Data],$DE661,60),0)</f>
        <v/>
      </c>
      <c r="BL661">
        <f>IFERROR(INDEX(PP_Grid[#Data],$DE661,61),0)</f>
        <v/>
      </c>
      <c r="BM661">
        <f>IFERROR(INDEX(PP_Grid[#Data],$DE661,62),0)</f>
        <v/>
      </c>
      <c r="BN661">
        <f>IFERROR(INDEX(PP_Grid[#Data],$DE661,63),0)</f>
        <v/>
      </c>
      <c r="BO661">
        <f>IFERROR(INDEX(PP_Grid[#Data],$DE661,64),0)</f>
        <v/>
      </c>
      <c r="BP661">
        <f>IFERROR(INDEX(PP_Grid[#Data],$DE661,65),0)</f>
        <v/>
      </c>
      <c r="BQ661">
        <f>IFERROR(INDEX(PP_Grid[#Data],$DE661,66),0)</f>
        <v/>
      </c>
      <c r="BR661">
        <f>IFERROR(INDEX(PP_Grid[#Data],$DE661,67),0)</f>
        <v/>
      </c>
      <c r="BS661">
        <f>IFERROR(INDEX(PP_Grid[#Data],$DE661,68),0)</f>
        <v/>
      </c>
      <c r="BT661">
        <f>IFERROR(INDEX(PP_Grid[#Data],$DE661,69),0)</f>
        <v/>
      </c>
      <c r="BU661">
        <f>IFERROR(INDEX(PP_Grid[#Data],$DE661,70),0)</f>
        <v/>
      </c>
      <c r="BV661">
        <f>IFERROR(INDEX(PP_Grid[#Data],$DE661,71),0)</f>
        <v/>
      </c>
      <c r="BW661">
        <f>IFERROR(INDEX(PP_Grid[#Data],$DE661,72),0)</f>
        <v/>
      </c>
      <c r="BX661">
        <f>IFERROR(INDEX(PP_Grid[#Data],$DE661,73),0)</f>
        <v/>
      </c>
      <c r="BY661">
        <f>IFERROR(INDEX(PP_Grid[#Data],$DE661,74),0)</f>
        <v/>
      </c>
      <c r="BZ661">
        <f>IFERROR(INDEX(PP_Grid[#Data],$DE661,75),0)</f>
        <v/>
      </c>
      <c r="CA661">
        <f>IFERROR(INDEX(PP_Grid[#Data],$DE661,76),0)</f>
        <v/>
      </c>
      <c r="CB661">
        <f>IFERROR(INDEX(PP_Grid[#Data],$DE661,77),0)</f>
        <v/>
      </c>
      <c r="CC661">
        <f>IFERROR(INDEX(PP_Grid[#Data],$DE661,78),0)</f>
        <v/>
      </c>
      <c r="CD661">
        <f>IFERROR(INDEX(PP_Grid[#Data],$DE661,79),0)</f>
        <v/>
      </c>
      <c r="CE661">
        <f>IFERROR(INDEX(PP_Grid[#Data],$DE661,80),0)</f>
        <v/>
      </c>
      <c r="CF661">
        <f>IFERROR(INDEX(PP_Grid[#Data],$DE661,81),0)</f>
        <v/>
      </c>
      <c r="CG661">
        <f>IFERROR(INDEX(PP_Grid[#Data],$DE661,82),0)</f>
        <v/>
      </c>
      <c r="CH661">
        <f>IFERROR(INDEX(PP_Grid[#Data],$DE661,83),0)</f>
        <v/>
      </c>
      <c r="CI661">
        <f>IFERROR(INDEX(PP_Grid[#Data],$DE661,84),0)</f>
        <v/>
      </c>
      <c r="CJ661">
        <f>IFERROR(INDEX(PP_Grid[#Data],$DE661,85),0)</f>
        <v/>
      </c>
      <c r="CK661">
        <f>IFERROR(INDEX(PP_Grid[#Data],$DE661,86),0)</f>
        <v/>
      </c>
      <c r="CL661">
        <f>IFERROR(INDEX(PP_Grid[#Data],$DE661,87),0)</f>
        <v/>
      </c>
      <c r="CM661">
        <f>IFERROR(INDEX(PP_Grid[#Data],$DE661,88),0)</f>
        <v/>
      </c>
      <c r="CN661">
        <f>IFERROR(INDEX(PP_Grid[#Data],$DE661,89),0)</f>
        <v/>
      </c>
      <c r="CO661">
        <f>IFERROR(INDEX(PP_Grid[#Data],$DE661,90),0)</f>
        <v/>
      </c>
      <c r="CP661">
        <f>IFERROR(INDEX(PP_Grid[#Data],$DE661,91),0)</f>
        <v/>
      </c>
      <c r="CQ661">
        <f>IFERROR(INDEX(PP_Grid[#Data],$DE661,92),0)</f>
        <v/>
      </c>
      <c r="CR661">
        <f>IFERROR(INDEX(PP_Grid[#Data],$DE661,93),0)</f>
        <v/>
      </c>
      <c r="CS661">
        <f>IFERROR(INDEX(PP_Grid[#Data],$DE661,94),0)</f>
        <v/>
      </c>
      <c r="CT661">
        <f>IFERROR(INDEX(PP_Grid[#Data],$DE661,95),0)</f>
        <v/>
      </c>
      <c r="CU661">
        <f>IFERROR(INDEX(PP_Grid[#Data],$DE661,96),0)</f>
        <v/>
      </c>
      <c r="CV661">
        <f>IFERROR(INDEX(PP_Grid[#Data],$DE661,97),0)</f>
        <v/>
      </c>
      <c r="CW661">
        <f>IFERROR(INDEX(PP_Grid[#Data],$DE661,98),0)</f>
        <v/>
      </c>
      <c r="CX661">
        <f>IFERROR(INDEX(PP_Grid[#Data],$DE661,99),0)</f>
        <v/>
      </c>
      <c r="CY661">
        <f>IFERROR(INDEX(PP_Grid[#Data],$DE661,100),0)</f>
        <v/>
      </c>
      <c r="CZ661">
        <f>IFERROR(INDEX(PP_Grid[#Data],$DE661,101),0)</f>
        <v/>
      </c>
      <c r="DA661">
        <f>IFERROR(INDEX(PP_Grid[#Data],$DE661,102),0)</f>
        <v/>
      </c>
      <c r="DB661">
        <f>IFERROR(INDEX(PP_Grid[#Data],$DE661,103),0)</f>
        <v/>
      </c>
      <c r="DC661">
        <f>IFERROR(INDEX(PP_Grid[#Data],$DE661,104),0)</f>
        <v/>
      </c>
      <c r="DD661">
        <f>IFERROR(INDEX(PP_Grid[#Data],$DE661,105),0)</f>
        <v/>
      </c>
      <c r="DE661" s="7">
        <f>IFERROR(MATCH($B661,PP_Grid[Intermediate],0),99999)</f>
        <v/>
      </c>
    </row>
    <row r="662">
      <c r="B662" t="inlineStr">
        <is>
          <t>使用量(kg)</t>
        </is>
      </c>
      <c r="C662">
        <f>SUMIFS(M_BOM[RM_Qty_Per_Batch],M_BOM[Intermediate],$B661,M_BOM[RM_Code],$A636)</f>
        <v/>
      </c>
      <c r="D662">
        <f>IFERROR(INDEX(E662:DD662,$F$1),"")</f>
        <v/>
      </c>
      <c r="E662">
        <f>$C662*E661</f>
        <v/>
      </c>
      <c r="F662">
        <f>$C662*F661</f>
        <v/>
      </c>
      <c r="G662">
        <f>$C662*G661</f>
        <v/>
      </c>
      <c r="H662">
        <f>$C662*H661</f>
        <v/>
      </c>
      <c r="I662">
        <f>$C662*I661</f>
        <v/>
      </c>
      <c r="J662">
        <f>$C662*J661</f>
        <v/>
      </c>
      <c r="K662">
        <f>$C662*K661</f>
        <v/>
      </c>
      <c r="L662">
        <f>$C662*L661</f>
        <v/>
      </c>
      <c r="M662">
        <f>$C662*M661</f>
        <v/>
      </c>
      <c r="N662">
        <f>$C662*N661</f>
        <v/>
      </c>
      <c r="O662">
        <f>$C662*O661</f>
        <v/>
      </c>
      <c r="P662">
        <f>$C662*P661</f>
        <v/>
      </c>
      <c r="Q662">
        <f>$C662*Q661</f>
        <v/>
      </c>
      <c r="R662">
        <f>$C662*R661</f>
        <v/>
      </c>
      <c r="S662">
        <f>$C662*S661</f>
        <v/>
      </c>
      <c r="T662">
        <f>$C662*T661</f>
        <v/>
      </c>
      <c r="U662">
        <f>$C662*U661</f>
        <v/>
      </c>
      <c r="V662">
        <f>$C662*V661</f>
        <v/>
      </c>
      <c r="W662">
        <f>$C662*W661</f>
        <v/>
      </c>
      <c r="X662">
        <f>$C662*X661</f>
        <v/>
      </c>
      <c r="Y662">
        <f>$C662*Y661</f>
        <v/>
      </c>
      <c r="Z662">
        <f>$C662*Z661</f>
        <v/>
      </c>
      <c r="AA662">
        <f>$C662*AA661</f>
        <v/>
      </c>
      <c r="AB662">
        <f>$C662*AB661</f>
        <v/>
      </c>
      <c r="AC662">
        <f>$C662*AC661</f>
        <v/>
      </c>
      <c r="AD662">
        <f>$C662*AD661</f>
        <v/>
      </c>
      <c r="AE662">
        <f>$C662*AE661</f>
        <v/>
      </c>
      <c r="AF662">
        <f>$C662*AF661</f>
        <v/>
      </c>
      <c r="AG662">
        <f>$C662*AG661</f>
        <v/>
      </c>
      <c r="AH662">
        <f>$C662*AH661</f>
        <v/>
      </c>
      <c r="AI662">
        <f>$C662*AI661</f>
        <v/>
      </c>
      <c r="AJ662">
        <f>$C662*AJ661</f>
        <v/>
      </c>
      <c r="AK662">
        <f>$C662*AK661</f>
        <v/>
      </c>
      <c r="AL662">
        <f>$C662*AL661</f>
        <v/>
      </c>
      <c r="AM662">
        <f>$C662*AM661</f>
        <v/>
      </c>
      <c r="AN662">
        <f>$C662*AN661</f>
        <v/>
      </c>
      <c r="AO662">
        <f>$C662*AO661</f>
        <v/>
      </c>
      <c r="AP662">
        <f>$C662*AP661</f>
        <v/>
      </c>
      <c r="AQ662">
        <f>$C662*AQ661</f>
        <v/>
      </c>
      <c r="AR662">
        <f>$C662*AR661</f>
        <v/>
      </c>
      <c r="AS662">
        <f>$C662*AS661</f>
        <v/>
      </c>
      <c r="AT662">
        <f>$C662*AT661</f>
        <v/>
      </c>
      <c r="AU662">
        <f>$C662*AU661</f>
        <v/>
      </c>
      <c r="AV662">
        <f>$C662*AV661</f>
        <v/>
      </c>
      <c r="AW662">
        <f>$C662*AW661</f>
        <v/>
      </c>
      <c r="AX662">
        <f>$C662*AX661</f>
        <v/>
      </c>
      <c r="AY662">
        <f>$C662*AY661</f>
        <v/>
      </c>
      <c r="AZ662">
        <f>$C662*AZ661</f>
        <v/>
      </c>
      <c r="BA662">
        <f>$C662*BA661</f>
        <v/>
      </c>
      <c r="BB662">
        <f>$C662*BB661</f>
        <v/>
      </c>
      <c r="BC662">
        <f>$C662*BC661</f>
        <v/>
      </c>
      <c r="BD662">
        <f>$C662*BD661</f>
        <v/>
      </c>
      <c r="BE662">
        <f>$C662*BE661</f>
        <v/>
      </c>
      <c r="BF662">
        <f>$C662*BF661</f>
        <v/>
      </c>
      <c r="BG662">
        <f>$C662*BG661</f>
        <v/>
      </c>
      <c r="BH662">
        <f>$C662*BH661</f>
        <v/>
      </c>
      <c r="BI662">
        <f>$C662*BI661</f>
        <v/>
      </c>
      <c r="BJ662">
        <f>$C662*BJ661</f>
        <v/>
      </c>
      <c r="BK662">
        <f>$C662*BK661</f>
        <v/>
      </c>
      <c r="BL662">
        <f>$C662*BL661</f>
        <v/>
      </c>
      <c r="BM662">
        <f>$C662*BM661</f>
        <v/>
      </c>
      <c r="BN662">
        <f>$C662*BN661</f>
        <v/>
      </c>
      <c r="BO662">
        <f>$C662*BO661</f>
        <v/>
      </c>
      <c r="BP662">
        <f>$C662*BP661</f>
        <v/>
      </c>
      <c r="BQ662">
        <f>$C662*BQ661</f>
        <v/>
      </c>
      <c r="BR662">
        <f>$C662*BR661</f>
        <v/>
      </c>
      <c r="BS662">
        <f>$C662*BS661</f>
        <v/>
      </c>
      <c r="BT662">
        <f>$C662*BT661</f>
        <v/>
      </c>
      <c r="BU662">
        <f>$C662*BU661</f>
        <v/>
      </c>
      <c r="BV662">
        <f>$C662*BV661</f>
        <v/>
      </c>
      <c r="BW662">
        <f>$C662*BW661</f>
        <v/>
      </c>
      <c r="BX662">
        <f>$C662*BX661</f>
        <v/>
      </c>
      <c r="BY662">
        <f>$C662*BY661</f>
        <v/>
      </c>
      <c r="BZ662">
        <f>$C662*BZ661</f>
        <v/>
      </c>
      <c r="CA662">
        <f>$C662*CA661</f>
        <v/>
      </c>
      <c r="CB662">
        <f>$C662*CB661</f>
        <v/>
      </c>
      <c r="CC662">
        <f>$C662*CC661</f>
        <v/>
      </c>
      <c r="CD662">
        <f>$C662*CD661</f>
        <v/>
      </c>
      <c r="CE662">
        <f>$C662*CE661</f>
        <v/>
      </c>
      <c r="CF662">
        <f>$C662*CF661</f>
        <v/>
      </c>
      <c r="CG662">
        <f>$C662*CG661</f>
        <v/>
      </c>
      <c r="CH662">
        <f>$C662*CH661</f>
        <v/>
      </c>
      <c r="CI662">
        <f>$C662*CI661</f>
        <v/>
      </c>
      <c r="CJ662">
        <f>$C662*CJ661</f>
        <v/>
      </c>
      <c r="CK662">
        <f>$C662*CK661</f>
        <v/>
      </c>
      <c r="CL662">
        <f>$C662*CL661</f>
        <v/>
      </c>
      <c r="CM662">
        <f>$C662*CM661</f>
        <v/>
      </c>
      <c r="CN662">
        <f>$C662*CN661</f>
        <v/>
      </c>
      <c r="CO662">
        <f>$C662*CO661</f>
        <v/>
      </c>
      <c r="CP662">
        <f>$C662*CP661</f>
        <v/>
      </c>
      <c r="CQ662">
        <f>$C662*CQ661</f>
        <v/>
      </c>
      <c r="CR662">
        <f>$C662*CR661</f>
        <v/>
      </c>
      <c r="CS662">
        <f>$C662*CS661</f>
        <v/>
      </c>
      <c r="CT662">
        <f>$C662*CT661</f>
        <v/>
      </c>
      <c r="CU662">
        <f>$C662*CU661</f>
        <v/>
      </c>
      <c r="CV662">
        <f>$C662*CV661</f>
        <v/>
      </c>
      <c r="CW662">
        <f>$C662*CW661</f>
        <v/>
      </c>
      <c r="CX662">
        <f>$C662*CX661</f>
        <v/>
      </c>
      <c r="CY662">
        <f>$C662*CY661</f>
        <v/>
      </c>
      <c r="CZ662">
        <f>$C662*CZ661</f>
        <v/>
      </c>
      <c r="DA662">
        <f>$C662*DA661</f>
        <v/>
      </c>
      <c r="DB662">
        <f>$C662*DB661</f>
        <v/>
      </c>
      <c r="DC662">
        <f>$C662*DC661</f>
        <v/>
      </c>
      <c r="DD662">
        <f>$C662*DD661</f>
        <v/>
      </c>
    </row>
    <row r="663">
      <c r="B663" t="inlineStr">
        <is>
          <t>TSP-403</t>
        </is>
      </c>
      <c r="C663" t="inlineStr">
        <is>
          <t>No. of batches</t>
        </is>
      </c>
      <c r="D663">
        <f>IFERROR(INDEX(E663:DD663,$F$1),"")</f>
        <v/>
      </c>
      <c r="E663">
        <f>IFERROR(INDEX(PP_Grid[#Data],$DE663,2),0)</f>
        <v/>
      </c>
      <c r="F663">
        <f>IFERROR(INDEX(PP_Grid[#Data],$DE663,3),0)</f>
        <v/>
      </c>
      <c r="G663">
        <f>IFERROR(INDEX(PP_Grid[#Data],$DE663,4),0)</f>
        <v/>
      </c>
      <c r="H663">
        <f>IFERROR(INDEX(PP_Grid[#Data],$DE663,5),0)</f>
        <v/>
      </c>
      <c r="I663">
        <f>IFERROR(INDEX(PP_Grid[#Data],$DE663,6),0)</f>
        <v/>
      </c>
      <c r="J663">
        <f>IFERROR(INDEX(PP_Grid[#Data],$DE663,7),0)</f>
        <v/>
      </c>
      <c r="K663">
        <f>IFERROR(INDEX(PP_Grid[#Data],$DE663,8),0)</f>
        <v/>
      </c>
      <c r="L663">
        <f>IFERROR(INDEX(PP_Grid[#Data],$DE663,9),0)</f>
        <v/>
      </c>
      <c r="M663">
        <f>IFERROR(INDEX(PP_Grid[#Data],$DE663,10),0)</f>
        <v/>
      </c>
      <c r="N663">
        <f>IFERROR(INDEX(PP_Grid[#Data],$DE663,11),0)</f>
        <v/>
      </c>
      <c r="O663">
        <f>IFERROR(INDEX(PP_Grid[#Data],$DE663,12),0)</f>
        <v/>
      </c>
      <c r="P663">
        <f>IFERROR(INDEX(PP_Grid[#Data],$DE663,13),0)</f>
        <v/>
      </c>
      <c r="Q663">
        <f>IFERROR(INDEX(PP_Grid[#Data],$DE663,14),0)</f>
        <v/>
      </c>
      <c r="R663">
        <f>IFERROR(INDEX(PP_Grid[#Data],$DE663,15),0)</f>
        <v/>
      </c>
      <c r="S663">
        <f>IFERROR(INDEX(PP_Grid[#Data],$DE663,16),0)</f>
        <v/>
      </c>
      <c r="T663">
        <f>IFERROR(INDEX(PP_Grid[#Data],$DE663,17),0)</f>
        <v/>
      </c>
      <c r="U663">
        <f>IFERROR(INDEX(PP_Grid[#Data],$DE663,18),0)</f>
        <v/>
      </c>
      <c r="V663">
        <f>IFERROR(INDEX(PP_Grid[#Data],$DE663,19),0)</f>
        <v/>
      </c>
      <c r="W663">
        <f>IFERROR(INDEX(PP_Grid[#Data],$DE663,20),0)</f>
        <v/>
      </c>
      <c r="X663">
        <f>IFERROR(INDEX(PP_Grid[#Data],$DE663,21),0)</f>
        <v/>
      </c>
      <c r="Y663">
        <f>IFERROR(INDEX(PP_Grid[#Data],$DE663,22),0)</f>
        <v/>
      </c>
      <c r="Z663">
        <f>IFERROR(INDEX(PP_Grid[#Data],$DE663,23),0)</f>
        <v/>
      </c>
      <c r="AA663">
        <f>IFERROR(INDEX(PP_Grid[#Data],$DE663,24),0)</f>
        <v/>
      </c>
      <c r="AB663">
        <f>IFERROR(INDEX(PP_Grid[#Data],$DE663,25),0)</f>
        <v/>
      </c>
      <c r="AC663">
        <f>IFERROR(INDEX(PP_Grid[#Data],$DE663,26),0)</f>
        <v/>
      </c>
      <c r="AD663">
        <f>IFERROR(INDEX(PP_Grid[#Data],$DE663,27),0)</f>
        <v/>
      </c>
      <c r="AE663">
        <f>IFERROR(INDEX(PP_Grid[#Data],$DE663,28),0)</f>
        <v/>
      </c>
      <c r="AF663">
        <f>IFERROR(INDEX(PP_Grid[#Data],$DE663,29),0)</f>
        <v/>
      </c>
      <c r="AG663">
        <f>IFERROR(INDEX(PP_Grid[#Data],$DE663,30),0)</f>
        <v/>
      </c>
      <c r="AH663">
        <f>IFERROR(INDEX(PP_Grid[#Data],$DE663,31),0)</f>
        <v/>
      </c>
      <c r="AI663">
        <f>IFERROR(INDEX(PP_Grid[#Data],$DE663,32),0)</f>
        <v/>
      </c>
      <c r="AJ663">
        <f>IFERROR(INDEX(PP_Grid[#Data],$DE663,33),0)</f>
        <v/>
      </c>
      <c r="AK663">
        <f>IFERROR(INDEX(PP_Grid[#Data],$DE663,34),0)</f>
        <v/>
      </c>
      <c r="AL663">
        <f>IFERROR(INDEX(PP_Grid[#Data],$DE663,35),0)</f>
        <v/>
      </c>
      <c r="AM663">
        <f>IFERROR(INDEX(PP_Grid[#Data],$DE663,36),0)</f>
        <v/>
      </c>
      <c r="AN663">
        <f>IFERROR(INDEX(PP_Grid[#Data],$DE663,37),0)</f>
        <v/>
      </c>
      <c r="AO663">
        <f>IFERROR(INDEX(PP_Grid[#Data],$DE663,38),0)</f>
        <v/>
      </c>
      <c r="AP663">
        <f>IFERROR(INDEX(PP_Grid[#Data],$DE663,39),0)</f>
        <v/>
      </c>
      <c r="AQ663">
        <f>IFERROR(INDEX(PP_Grid[#Data],$DE663,40),0)</f>
        <v/>
      </c>
      <c r="AR663">
        <f>IFERROR(INDEX(PP_Grid[#Data],$DE663,41),0)</f>
        <v/>
      </c>
      <c r="AS663">
        <f>IFERROR(INDEX(PP_Grid[#Data],$DE663,42),0)</f>
        <v/>
      </c>
      <c r="AT663">
        <f>IFERROR(INDEX(PP_Grid[#Data],$DE663,43),0)</f>
        <v/>
      </c>
      <c r="AU663">
        <f>IFERROR(INDEX(PP_Grid[#Data],$DE663,44),0)</f>
        <v/>
      </c>
      <c r="AV663">
        <f>IFERROR(INDEX(PP_Grid[#Data],$DE663,45),0)</f>
        <v/>
      </c>
      <c r="AW663">
        <f>IFERROR(INDEX(PP_Grid[#Data],$DE663,46),0)</f>
        <v/>
      </c>
      <c r="AX663">
        <f>IFERROR(INDEX(PP_Grid[#Data],$DE663,47),0)</f>
        <v/>
      </c>
      <c r="AY663">
        <f>IFERROR(INDEX(PP_Grid[#Data],$DE663,48),0)</f>
        <v/>
      </c>
      <c r="AZ663">
        <f>IFERROR(INDEX(PP_Grid[#Data],$DE663,49),0)</f>
        <v/>
      </c>
      <c r="BA663">
        <f>IFERROR(INDEX(PP_Grid[#Data],$DE663,50),0)</f>
        <v/>
      </c>
      <c r="BB663">
        <f>IFERROR(INDEX(PP_Grid[#Data],$DE663,51),0)</f>
        <v/>
      </c>
      <c r="BC663">
        <f>IFERROR(INDEX(PP_Grid[#Data],$DE663,52),0)</f>
        <v/>
      </c>
      <c r="BD663">
        <f>IFERROR(INDEX(PP_Grid[#Data],$DE663,53),0)</f>
        <v/>
      </c>
      <c r="BE663">
        <f>IFERROR(INDEX(PP_Grid[#Data],$DE663,54),0)</f>
        <v/>
      </c>
      <c r="BF663">
        <f>IFERROR(INDEX(PP_Grid[#Data],$DE663,55),0)</f>
        <v/>
      </c>
      <c r="BG663">
        <f>IFERROR(INDEX(PP_Grid[#Data],$DE663,56),0)</f>
        <v/>
      </c>
      <c r="BH663">
        <f>IFERROR(INDEX(PP_Grid[#Data],$DE663,57),0)</f>
        <v/>
      </c>
      <c r="BI663">
        <f>IFERROR(INDEX(PP_Grid[#Data],$DE663,58),0)</f>
        <v/>
      </c>
      <c r="BJ663">
        <f>IFERROR(INDEX(PP_Grid[#Data],$DE663,59),0)</f>
        <v/>
      </c>
      <c r="BK663">
        <f>IFERROR(INDEX(PP_Grid[#Data],$DE663,60),0)</f>
        <v/>
      </c>
      <c r="BL663">
        <f>IFERROR(INDEX(PP_Grid[#Data],$DE663,61),0)</f>
        <v/>
      </c>
      <c r="BM663">
        <f>IFERROR(INDEX(PP_Grid[#Data],$DE663,62),0)</f>
        <v/>
      </c>
      <c r="BN663">
        <f>IFERROR(INDEX(PP_Grid[#Data],$DE663,63),0)</f>
        <v/>
      </c>
      <c r="BO663">
        <f>IFERROR(INDEX(PP_Grid[#Data],$DE663,64),0)</f>
        <v/>
      </c>
      <c r="BP663">
        <f>IFERROR(INDEX(PP_Grid[#Data],$DE663,65),0)</f>
        <v/>
      </c>
      <c r="BQ663">
        <f>IFERROR(INDEX(PP_Grid[#Data],$DE663,66),0)</f>
        <v/>
      </c>
      <c r="BR663">
        <f>IFERROR(INDEX(PP_Grid[#Data],$DE663,67),0)</f>
        <v/>
      </c>
      <c r="BS663">
        <f>IFERROR(INDEX(PP_Grid[#Data],$DE663,68),0)</f>
        <v/>
      </c>
      <c r="BT663">
        <f>IFERROR(INDEX(PP_Grid[#Data],$DE663,69),0)</f>
        <v/>
      </c>
      <c r="BU663">
        <f>IFERROR(INDEX(PP_Grid[#Data],$DE663,70),0)</f>
        <v/>
      </c>
      <c r="BV663">
        <f>IFERROR(INDEX(PP_Grid[#Data],$DE663,71),0)</f>
        <v/>
      </c>
      <c r="BW663">
        <f>IFERROR(INDEX(PP_Grid[#Data],$DE663,72),0)</f>
        <v/>
      </c>
      <c r="BX663">
        <f>IFERROR(INDEX(PP_Grid[#Data],$DE663,73),0)</f>
        <v/>
      </c>
      <c r="BY663">
        <f>IFERROR(INDEX(PP_Grid[#Data],$DE663,74),0)</f>
        <v/>
      </c>
      <c r="BZ663">
        <f>IFERROR(INDEX(PP_Grid[#Data],$DE663,75),0)</f>
        <v/>
      </c>
      <c r="CA663">
        <f>IFERROR(INDEX(PP_Grid[#Data],$DE663,76),0)</f>
        <v/>
      </c>
      <c r="CB663">
        <f>IFERROR(INDEX(PP_Grid[#Data],$DE663,77),0)</f>
        <v/>
      </c>
      <c r="CC663">
        <f>IFERROR(INDEX(PP_Grid[#Data],$DE663,78),0)</f>
        <v/>
      </c>
      <c r="CD663">
        <f>IFERROR(INDEX(PP_Grid[#Data],$DE663,79),0)</f>
        <v/>
      </c>
      <c r="CE663">
        <f>IFERROR(INDEX(PP_Grid[#Data],$DE663,80),0)</f>
        <v/>
      </c>
      <c r="CF663">
        <f>IFERROR(INDEX(PP_Grid[#Data],$DE663,81),0)</f>
        <v/>
      </c>
      <c r="CG663">
        <f>IFERROR(INDEX(PP_Grid[#Data],$DE663,82),0)</f>
        <v/>
      </c>
      <c r="CH663">
        <f>IFERROR(INDEX(PP_Grid[#Data],$DE663,83),0)</f>
        <v/>
      </c>
      <c r="CI663">
        <f>IFERROR(INDEX(PP_Grid[#Data],$DE663,84),0)</f>
        <v/>
      </c>
      <c r="CJ663">
        <f>IFERROR(INDEX(PP_Grid[#Data],$DE663,85),0)</f>
        <v/>
      </c>
      <c r="CK663">
        <f>IFERROR(INDEX(PP_Grid[#Data],$DE663,86),0)</f>
        <v/>
      </c>
      <c r="CL663">
        <f>IFERROR(INDEX(PP_Grid[#Data],$DE663,87),0)</f>
        <v/>
      </c>
      <c r="CM663">
        <f>IFERROR(INDEX(PP_Grid[#Data],$DE663,88),0)</f>
        <v/>
      </c>
      <c r="CN663">
        <f>IFERROR(INDEX(PP_Grid[#Data],$DE663,89),0)</f>
        <v/>
      </c>
      <c r="CO663">
        <f>IFERROR(INDEX(PP_Grid[#Data],$DE663,90),0)</f>
        <v/>
      </c>
      <c r="CP663">
        <f>IFERROR(INDEX(PP_Grid[#Data],$DE663,91),0)</f>
        <v/>
      </c>
      <c r="CQ663">
        <f>IFERROR(INDEX(PP_Grid[#Data],$DE663,92),0)</f>
        <v/>
      </c>
      <c r="CR663">
        <f>IFERROR(INDEX(PP_Grid[#Data],$DE663,93),0)</f>
        <v/>
      </c>
      <c r="CS663">
        <f>IFERROR(INDEX(PP_Grid[#Data],$DE663,94),0)</f>
        <v/>
      </c>
      <c r="CT663">
        <f>IFERROR(INDEX(PP_Grid[#Data],$DE663,95),0)</f>
        <v/>
      </c>
      <c r="CU663">
        <f>IFERROR(INDEX(PP_Grid[#Data],$DE663,96),0)</f>
        <v/>
      </c>
      <c r="CV663">
        <f>IFERROR(INDEX(PP_Grid[#Data],$DE663,97),0)</f>
        <v/>
      </c>
      <c r="CW663">
        <f>IFERROR(INDEX(PP_Grid[#Data],$DE663,98),0)</f>
        <v/>
      </c>
      <c r="CX663">
        <f>IFERROR(INDEX(PP_Grid[#Data],$DE663,99),0)</f>
        <v/>
      </c>
      <c r="CY663">
        <f>IFERROR(INDEX(PP_Grid[#Data],$DE663,100),0)</f>
        <v/>
      </c>
      <c r="CZ663">
        <f>IFERROR(INDEX(PP_Grid[#Data],$DE663,101),0)</f>
        <v/>
      </c>
      <c r="DA663">
        <f>IFERROR(INDEX(PP_Grid[#Data],$DE663,102),0)</f>
        <v/>
      </c>
      <c r="DB663">
        <f>IFERROR(INDEX(PP_Grid[#Data],$DE663,103),0)</f>
        <v/>
      </c>
      <c r="DC663">
        <f>IFERROR(INDEX(PP_Grid[#Data],$DE663,104),0)</f>
        <v/>
      </c>
      <c r="DD663">
        <f>IFERROR(INDEX(PP_Grid[#Data],$DE663,105),0)</f>
        <v/>
      </c>
      <c r="DE663" s="7">
        <f>IFERROR(MATCH($B663,PP_Grid[Intermediate],0),99999)</f>
        <v/>
      </c>
    </row>
    <row r="664">
      <c r="B664" t="inlineStr">
        <is>
          <t>使用量(kg)</t>
        </is>
      </c>
      <c r="C664">
        <f>SUMIFS(M_BOM[RM_Qty_Per_Batch],M_BOM[Intermediate],$B663,M_BOM[RM_Code],$A636)</f>
        <v/>
      </c>
      <c r="D664">
        <f>IFERROR(INDEX(E664:DD664,$F$1),"")</f>
        <v/>
      </c>
      <c r="E664">
        <f>$C664*E663</f>
        <v/>
      </c>
      <c r="F664">
        <f>$C664*F663</f>
        <v/>
      </c>
      <c r="G664">
        <f>$C664*G663</f>
        <v/>
      </c>
      <c r="H664">
        <f>$C664*H663</f>
        <v/>
      </c>
      <c r="I664">
        <f>$C664*I663</f>
        <v/>
      </c>
      <c r="J664">
        <f>$C664*J663</f>
        <v/>
      </c>
      <c r="K664">
        <f>$C664*K663</f>
        <v/>
      </c>
      <c r="L664">
        <f>$C664*L663</f>
        <v/>
      </c>
      <c r="M664">
        <f>$C664*M663</f>
        <v/>
      </c>
      <c r="N664">
        <f>$C664*N663</f>
        <v/>
      </c>
      <c r="O664">
        <f>$C664*O663</f>
        <v/>
      </c>
      <c r="P664">
        <f>$C664*P663</f>
        <v/>
      </c>
      <c r="Q664">
        <f>$C664*Q663</f>
        <v/>
      </c>
      <c r="R664">
        <f>$C664*R663</f>
        <v/>
      </c>
      <c r="S664">
        <f>$C664*S663</f>
        <v/>
      </c>
      <c r="T664">
        <f>$C664*T663</f>
        <v/>
      </c>
      <c r="U664">
        <f>$C664*U663</f>
        <v/>
      </c>
      <c r="V664">
        <f>$C664*V663</f>
        <v/>
      </c>
      <c r="W664">
        <f>$C664*W663</f>
        <v/>
      </c>
      <c r="X664">
        <f>$C664*X663</f>
        <v/>
      </c>
      <c r="Y664">
        <f>$C664*Y663</f>
        <v/>
      </c>
      <c r="Z664">
        <f>$C664*Z663</f>
        <v/>
      </c>
      <c r="AA664">
        <f>$C664*AA663</f>
        <v/>
      </c>
      <c r="AB664">
        <f>$C664*AB663</f>
        <v/>
      </c>
      <c r="AC664">
        <f>$C664*AC663</f>
        <v/>
      </c>
      <c r="AD664">
        <f>$C664*AD663</f>
        <v/>
      </c>
      <c r="AE664">
        <f>$C664*AE663</f>
        <v/>
      </c>
      <c r="AF664">
        <f>$C664*AF663</f>
        <v/>
      </c>
      <c r="AG664">
        <f>$C664*AG663</f>
        <v/>
      </c>
      <c r="AH664">
        <f>$C664*AH663</f>
        <v/>
      </c>
      <c r="AI664">
        <f>$C664*AI663</f>
        <v/>
      </c>
      <c r="AJ664">
        <f>$C664*AJ663</f>
        <v/>
      </c>
      <c r="AK664">
        <f>$C664*AK663</f>
        <v/>
      </c>
      <c r="AL664">
        <f>$C664*AL663</f>
        <v/>
      </c>
      <c r="AM664">
        <f>$C664*AM663</f>
        <v/>
      </c>
      <c r="AN664">
        <f>$C664*AN663</f>
        <v/>
      </c>
      <c r="AO664">
        <f>$C664*AO663</f>
        <v/>
      </c>
      <c r="AP664">
        <f>$C664*AP663</f>
        <v/>
      </c>
      <c r="AQ664">
        <f>$C664*AQ663</f>
        <v/>
      </c>
      <c r="AR664">
        <f>$C664*AR663</f>
        <v/>
      </c>
      <c r="AS664">
        <f>$C664*AS663</f>
        <v/>
      </c>
      <c r="AT664">
        <f>$C664*AT663</f>
        <v/>
      </c>
      <c r="AU664">
        <f>$C664*AU663</f>
        <v/>
      </c>
      <c r="AV664">
        <f>$C664*AV663</f>
        <v/>
      </c>
      <c r="AW664">
        <f>$C664*AW663</f>
        <v/>
      </c>
      <c r="AX664">
        <f>$C664*AX663</f>
        <v/>
      </c>
      <c r="AY664">
        <f>$C664*AY663</f>
        <v/>
      </c>
      <c r="AZ664">
        <f>$C664*AZ663</f>
        <v/>
      </c>
      <c r="BA664">
        <f>$C664*BA663</f>
        <v/>
      </c>
      <c r="BB664">
        <f>$C664*BB663</f>
        <v/>
      </c>
      <c r="BC664">
        <f>$C664*BC663</f>
        <v/>
      </c>
      <c r="BD664">
        <f>$C664*BD663</f>
        <v/>
      </c>
      <c r="BE664">
        <f>$C664*BE663</f>
        <v/>
      </c>
      <c r="BF664">
        <f>$C664*BF663</f>
        <v/>
      </c>
      <c r="BG664">
        <f>$C664*BG663</f>
        <v/>
      </c>
      <c r="BH664">
        <f>$C664*BH663</f>
        <v/>
      </c>
      <c r="BI664">
        <f>$C664*BI663</f>
        <v/>
      </c>
      <c r="BJ664">
        <f>$C664*BJ663</f>
        <v/>
      </c>
      <c r="BK664">
        <f>$C664*BK663</f>
        <v/>
      </c>
      <c r="BL664">
        <f>$C664*BL663</f>
        <v/>
      </c>
      <c r="BM664">
        <f>$C664*BM663</f>
        <v/>
      </c>
      <c r="BN664">
        <f>$C664*BN663</f>
        <v/>
      </c>
      <c r="BO664">
        <f>$C664*BO663</f>
        <v/>
      </c>
      <c r="BP664">
        <f>$C664*BP663</f>
        <v/>
      </c>
      <c r="BQ664">
        <f>$C664*BQ663</f>
        <v/>
      </c>
      <c r="BR664">
        <f>$C664*BR663</f>
        <v/>
      </c>
      <c r="BS664">
        <f>$C664*BS663</f>
        <v/>
      </c>
      <c r="BT664">
        <f>$C664*BT663</f>
        <v/>
      </c>
      <c r="BU664">
        <f>$C664*BU663</f>
        <v/>
      </c>
      <c r="BV664">
        <f>$C664*BV663</f>
        <v/>
      </c>
      <c r="BW664">
        <f>$C664*BW663</f>
        <v/>
      </c>
      <c r="BX664">
        <f>$C664*BX663</f>
        <v/>
      </c>
      <c r="BY664">
        <f>$C664*BY663</f>
        <v/>
      </c>
      <c r="BZ664">
        <f>$C664*BZ663</f>
        <v/>
      </c>
      <c r="CA664">
        <f>$C664*CA663</f>
        <v/>
      </c>
      <c r="CB664">
        <f>$C664*CB663</f>
        <v/>
      </c>
      <c r="CC664">
        <f>$C664*CC663</f>
        <v/>
      </c>
      <c r="CD664">
        <f>$C664*CD663</f>
        <v/>
      </c>
      <c r="CE664">
        <f>$C664*CE663</f>
        <v/>
      </c>
      <c r="CF664">
        <f>$C664*CF663</f>
        <v/>
      </c>
      <c r="CG664">
        <f>$C664*CG663</f>
        <v/>
      </c>
      <c r="CH664">
        <f>$C664*CH663</f>
        <v/>
      </c>
      <c r="CI664">
        <f>$C664*CI663</f>
        <v/>
      </c>
      <c r="CJ664">
        <f>$C664*CJ663</f>
        <v/>
      </c>
      <c r="CK664">
        <f>$C664*CK663</f>
        <v/>
      </c>
      <c r="CL664">
        <f>$C664*CL663</f>
        <v/>
      </c>
      <c r="CM664">
        <f>$C664*CM663</f>
        <v/>
      </c>
      <c r="CN664">
        <f>$C664*CN663</f>
        <v/>
      </c>
      <c r="CO664">
        <f>$C664*CO663</f>
        <v/>
      </c>
      <c r="CP664">
        <f>$C664*CP663</f>
        <v/>
      </c>
      <c r="CQ664">
        <f>$C664*CQ663</f>
        <v/>
      </c>
      <c r="CR664">
        <f>$C664*CR663</f>
        <v/>
      </c>
      <c r="CS664">
        <f>$C664*CS663</f>
        <v/>
      </c>
      <c r="CT664">
        <f>$C664*CT663</f>
        <v/>
      </c>
      <c r="CU664">
        <f>$C664*CU663</f>
        <v/>
      </c>
      <c r="CV664">
        <f>$C664*CV663</f>
        <v/>
      </c>
      <c r="CW664">
        <f>$C664*CW663</f>
        <v/>
      </c>
      <c r="CX664">
        <f>$C664*CX663</f>
        <v/>
      </c>
      <c r="CY664">
        <f>$C664*CY663</f>
        <v/>
      </c>
      <c r="CZ664">
        <f>$C664*CZ663</f>
        <v/>
      </c>
      <c r="DA664">
        <f>$C664*DA663</f>
        <v/>
      </c>
      <c r="DB664">
        <f>$C664*DB663</f>
        <v/>
      </c>
      <c r="DC664">
        <f>$C664*DC663</f>
        <v/>
      </c>
      <c r="DD664">
        <f>$C664*DD663</f>
        <v/>
      </c>
    </row>
    <row r="665">
      <c r="B665" t="inlineStr">
        <is>
          <t>TSP-404</t>
        </is>
      </c>
      <c r="C665" t="inlineStr">
        <is>
          <t>No. of batches</t>
        </is>
      </c>
      <c r="D665">
        <f>IFERROR(INDEX(E665:DD665,$F$1),"")</f>
        <v/>
      </c>
      <c r="E665">
        <f>IFERROR(INDEX(PP_Grid[#Data],$DE665,2),0)</f>
        <v/>
      </c>
      <c r="F665">
        <f>IFERROR(INDEX(PP_Grid[#Data],$DE665,3),0)</f>
        <v/>
      </c>
      <c r="G665">
        <f>IFERROR(INDEX(PP_Grid[#Data],$DE665,4),0)</f>
        <v/>
      </c>
      <c r="H665">
        <f>IFERROR(INDEX(PP_Grid[#Data],$DE665,5),0)</f>
        <v/>
      </c>
      <c r="I665">
        <f>IFERROR(INDEX(PP_Grid[#Data],$DE665,6),0)</f>
        <v/>
      </c>
      <c r="J665">
        <f>IFERROR(INDEX(PP_Grid[#Data],$DE665,7),0)</f>
        <v/>
      </c>
      <c r="K665">
        <f>IFERROR(INDEX(PP_Grid[#Data],$DE665,8),0)</f>
        <v/>
      </c>
      <c r="L665">
        <f>IFERROR(INDEX(PP_Grid[#Data],$DE665,9),0)</f>
        <v/>
      </c>
      <c r="M665">
        <f>IFERROR(INDEX(PP_Grid[#Data],$DE665,10),0)</f>
        <v/>
      </c>
      <c r="N665">
        <f>IFERROR(INDEX(PP_Grid[#Data],$DE665,11),0)</f>
        <v/>
      </c>
      <c r="O665">
        <f>IFERROR(INDEX(PP_Grid[#Data],$DE665,12),0)</f>
        <v/>
      </c>
      <c r="P665">
        <f>IFERROR(INDEX(PP_Grid[#Data],$DE665,13),0)</f>
        <v/>
      </c>
      <c r="Q665">
        <f>IFERROR(INDEX(PP_Grid[#Data],$DE665,14),0)</f>
        <v/>
      </c>
      <c r="R665">
        <f>IFERROR(INDEX(PP_Grid[#Data],$DE665,15),0)</f>
        <v/>
      </c>
      <c r="S665">
        <f>IFERROR(INDEX(PP_Grid[#Data],$DE665,16),0)</f>
        <v/>
      </c>
      <c r="T665">
        <f>IFERROR(INDEX(PP_Grid[#Data],$DE665,17),0)</f>
        <v/>
      </c>
      <c r="U665">
        <f>IFERROR(INDEX(PP_Grid[#Data],$DE665,18),0)</f>
        <v/>
      </c>
      <c r="V665">
        <f>IFERROR(INDEX(PP_Grid[#Data],$DE665,19),0)</f>
        <v/>
      </c>
      <c r="W665">
        <f>IFERROR(INDEX(PP_Grid[#Data],$DE665,20),0)</f>
        <v/>
      </c>
      <c r="X665">
        <f>IFERROR(INDEX(PP_Grid[#Data],$DE665,21),0)</f>
        <v/>
      </c>
      <c r="Y665">
        <f>IFERROR(INDEX(PP_Grid[#Data],$DE665,22),0)</f>
        <v/>
      </c>
      <c r="Z665">
        <f>IFERROR(INDEX(PP_Grid[#Data],$DE665,23),0)</f>
        <v/>
      </c>
      <c r="AA665">
        <f>IFERROR(INDEX(PP_Grid[#Data],$DE665,24),0)</f>
        <v/>
      </c>
      <c r="AB665">
        <f>IFERROR(INDEX(PP_Grid[#Data],$DE665,25),0)</f>
        <v/>
      </c>
      <c r="AC665">
        <f>IFERROR(INDEX(PP_Grid[#Data],$DE665,26),0)</f>
        <v/>
      </c>
      <c r="AD665">
        <f>IFERROR(INDEX(PP_Grid[#Data],$DE665,27),0)</f>
        <v/>
      </c>
      <c r="AE665">
        <f>IFERROR(INDEX(PP_Grid[#Data],$DE665,28),0)</f>
        <v/>
      </c>
      <c r="AF665">
        <f>IFERROR(INDEX(PP_Grid[#Data],$DE665,29),0)</f>
        <v/>
      </c>
      <c r="AG665">
        <f>IFERROR(INDEX(PP_Grid[#Data],$DE665,30),0)</f>
        <v/>
      </c>
      <c r="AH665">
        <f>IFERROR(INDEX(PP_Grid[#Data],$DE665,31),0)</f>
        <v/>
      </c>
      <c r="AI665">
        <f>IFERROR(INDEX(PP_Grid[#Data],$DE665,32),0)</f>
        <v/>
      </c>
      <c r="AJ665">
        <f>IFERROR(INDEX(PP_Grid[#Data],$DE665,33),0)</f>
        <v/>
      </c>
      <c r="AK665">
        <f>IFERROR(INDEX(PP_Grid[#Data],$DE665,34),0)</f>
        <v/>
      </c>
      <c r="AL665">
        <f>IFERROR(INDEX(PP_Grid[#Data],$DE665,35),0)</f>
        <v/>
      </c>
      <c r="AM665">
        <f>IFERROR(INDEX(PP_Grid[#Data],$DE665,36),0)</f>
        <v/>
      </c>
      <c r="AN665">
        <f>IFERROR(INDEX(PP_Grid[#Data],$DE665,37),0)</f>
        <v/>
      </c>
      <c r="AO665">
        <f>IFERROR(INDEX(PP_Grid[#Data],$DE665,38),0)</f>
        <v/>
      </c>
      <c r="AP665">
        <f>IFERROR(INDEX(PP_Grid[#Data],$DE665,39),0)</f>
        <v/>
      </c>
      <c r="AQ665">
        <f>IFERROR(INDEX(PP_Grid[#Data],$DE665,40),0)</f>
        <v/>
      </c>
      <c r="AR665">
        <f>IFERROR(INDEX(PP_Grid[#Data],$DE665,41),0)</f>
        <v/>
      </c>
      <c r="AS665">
        <f>IFERROR(INDEX(PP_Grid[#Data],$DE665,42),0)</f>
        <v/>
      </c>
      <c r="AT665">
        <f>IFERROR(INDEX(PP_Grid[#Data],$DE665,43),0)</f>
        <v/>
      </c>
      <c r="AU665">
        <f>IFERROR(INDEX(PP_Grid[#Data],$DE665,44),0)</f>
        <v/>
      </c>
      <c r="AV665">
        <f>IFERROR(INDEX(PP_Grid[#Data],$DE665,45),0)</f>
        <v/>
      </c>
      <c r="AW665">
        <f>IFERROR(INDEX(PP_Grid[#Data],$DE665,46),0)</f>
        <v/>
      </c>
      <c r="AX665">
        <f>IFERROR(INDEX(PP_Grid[#Data],$DE665,47),0)</f>
        <v/>
      </c>
      <c r="AY665">
        <f>IFERROR(INDEX(PP_Grid[#Data],$DE665,48),0)</f>
        <v/>
      </c>
      <c r="AZ665">
        <f>IFERROR(INDEX(PP_Grid[#Data],$DE665,49),0)</f>
        <v/>
      </c>
      <c r="BA665">
        <f>IFERROR(INDEX(PP_Grid[#Data],$DE665,50),0)</f>
        <v/>
      </c>
      <c r="BB665">
        <f>IFERROR(INDEX(PP_Grid[#Data],$DE665,51),0)</f>
        <v/>
      </c>
      <c r="BC665">
        <f>IFERROR(INDEX(PP_Grid[#Data],$DE665,52),0)</f>
        <v/>
      </c>
      <c r="BD665">
        <f>IFERROR(INDEX(PP_Grid[#Data],$DE665,53),0)</f>
        <v/>
      </c>
      <c r="BE665">
        <f>IFERROR(INDEX(PP_Grid[#Data],$DE665,54),0)</f>
        <v/>
      </c>
      <c r="BF665">
        <f>IFERROR(INDEX(PP_Grid[#Data],$DE665,55),0)</f>
        <v/>
      </c>
      <c r="BG665">
        <f>IFERROR(INDEX(PP_Grid[#Data],$DE665,56),0)</f>
        <v/>
      </c>
      <c r="BH665">
        <f>IFERROR(INDEX(PP_Grid[#Data],$DE665,57),0)</f>
        <v/>
      </c>
      <c r="BI665">
        <f>IFERROR(INDEX(PP_Grid[#Data],$DE665,58),0)</f>
        <v/>
      </c>
      <c r="BJ665">
        <f>IFERROR(INDEX(PP_Grid[#Data],$DE665,59),0)</f>
        <v/>
      </c>
      <c r="BK665">
        <f>IFERROR(INDEX(PP_Grid[#Data],$DE665,60),0)</f>
        <v/>
      </c>
      <c r="BL665">
        <f>IFERROR(INDEX(PP_Grid[#Data],$DE665,61),0)</f>
        <v/>
      </c>
      <c r="BM665">
        <f>IFERROR(INDEX(PP_Grid[#Data],$DE665,62),0)</f>
        <v/>
      </c>
      <c r="BN665">
        <f>IFERROR(INDEX(PP_Grid[#Data],$DE665,63),0)</f>
        <v/>
      </c>
      <c r="BO665">
        <f>IFERROR(INDEX(PP_Grid[#Data],$DE665,64),0)</f>
        <v/>
      </c>
      <c r="BP665">
        <f>IFERROR(INDEX(PP_Grid[#Data],$DE665,65),0)</f>
        <v/>
      </c>
      <c r="BQ665">
        <f>IFERROR(INDEX(PP_Grid[#Data],$DE665,66),0)</f>
        <v/>
      </c>
      <c r="BR665">
        <f>IFERROR(INDEX(PP_Grid[#Data],$DE665,67),0)</f>
        <v/>
      </c>
      <c r="BS665">
        <f>IFERROR(INDEX(PP_Grid[#Data],$DE665,68),0)</f>
        <v/>
      </c>
      <c r="BT665">
        <f>IFERROR(INDEX(PP_Grid[#Data],$DE665,69),0)</f>
        <v/>
      </c>
      <c r="BU665">
        <f>IFERROR(INDEX(PP_Grid[#Data],$DE665,70),0)</f>
        <v/>
      </c>
      <c r="BV665">
        <f>IFERROR(INDEX(PP_Grid[#Data],$DE665,71),0)</f>
        <v/>
      </c>
      <c r="BW665">
        <f>IFERROR(INDEX(PP_Grid[#Data],$DE665,72),0)</f>
        <v/>
      </c>
      <c r="BX665">
        <f>IFERROR(INDEX(PP_Grid[#Data],$DE665,73),0)</f>
        <v/>
      </c>
      <c r="BY665">
        <f>IFERROR(INDEX(PP_Grid[#Data],$DE665,74),0)</f>
        <v/>
      </c>
      <c r="BZ665">
        <f>IFERROR(INDEX(PP_Grid[#Data],$DE665,75),0)</f>
        <v/>
      </c>
      <c r="CA665">
        <f>IFERROR(INDEX(PP_Grid[#Data],$DE665,76),0)</f>
        <v/>
      </c>
      <c r="CB665">
        <f>IFERROR(INDEX(PP_Grid[#Data],$DE665,77),0)</f>
        <v/>
      </c>
      <c r="CC665">
        <f>IFERROR(INDEX(PP_Grid[#Data],$DE665,78),0)</f>
        <v/>
      </c>
      <c r="CD665">
        <f>IFERROR(INDEX(PP_Grid[#Data],$DE665,79),0)</f>
        <v/>
      </c>
      <c r="CE665">
        <f>IFERROR(INDEX(PP_Grid[#Data],$DE665,80),0)</f>
        <v/>
      </c>
      <c r="CF665">
        <f>IFERROR(INDEX(PP_Grid[#Data],$DE665,81),0)</f>
        <v/>
      </c>
      <c r="CG665">
        <f>IFERROR(INDEX(PP_Grid[#Data],$DE665,82),0)</f>
        <v/>
      </c>
      <c r="CH665">
        <f>IFERROR(INDEX(PP_Grid[#Data],$DE665,83),0)</f>
        <v/>
      </c>
      <c r="CI665">
        <f>IFERROR(INDEX(PP_Grid[#Data],$DE665,84),0)</f>
        <v/>
      </c>
      <c r="CJ665">
        <f>IFERROR(INDEX(PP_Grid[#Data],$DE665,85),0)</f>
        <v/>
      </c>
      <c r="CK665">
        <f>IFERROR(INDEX(PP_Grid[#Data],$DE665,86),0)</f>
        <v/>
      </c>
      <c r="CL665">
        <f>IFERROR(INDEX(PP_Grid[#Data],$DE665,87),0)</f>
        <v/>
      </c>
      <c r="CM665">
        <f>IFERROR(INDEX(PP_Grid[#Data],$DE665,88),0)</f>
        <v/>
      </c>
      <c r="CN665">
        <f>IFERROR(INDEX(PP_Grid[#Data],$DE665,89),0)</f>
        <v/>
      </c>
      <c r="CO665">
        <f>IFERROR(INDEX(PP_Grid[#Data],$DE665,90),0)</f>
        <v/>
      </c>
      <c r="CP665">
        <f>IFERROR(INDEX(PP_Grid[#Data],$DE665,91),0)</f>
        <v/>
      </c>
      <c r="CQ665">
        <f>IFERROR(INDEX(PP_Grid[#Data],$DE665,92),0)</f>
        <v/>
      </c>
      <c r="CR665">
        <f>IFERROR(INDEX(PP_Grid[#Data],$DE665,93),0)</f>
        <v/>
      </c>
      <c r="CS665">
        <f>IFERROR(INDEX(PP_Grid[#Data],$DE665,94),0)</f>
        <v/>
      </c>
      <c r="CT665">
        <f>IFERROR(INDEX(PP_Grid[#Data],$DE665,95),0)</f>
        <v/>
      </c>
      <c r="CU665">
        <f>IFERROR(INDEX(PP_Grid[#Data],$DE665,96),0)</f>
        <v/>
      </c>
      <c r="CV665">
        <f>IFERROR(INDEX(PP_Grid[#Data],$DE665,97),0)</f>
        <v/>
      </c>
      <c r="CW665">
        <f>IFERROR(INDEX(PP_Grid[#Data],$DE665,98),0)</f>
        <v/>
      </c>
      <c r="CX665">
        <f>IFERROR(INDEX(PP_Grid[#Data],$DE665,99),0)</f>
        <v/>
      </c>
      <c r="CY665">
        <f>IFERROR(INDEX(PP_Grid[#Data],$DE665,100),0)</f>
        <v/>
      </c>
      <c r="CZ665">
        <f>IFERROR(INDEX(PP_Grid[#Data],$DE665,101),0)</f>
        <v/>
      </c>
      <c r="DA665">
        <f>IFERROR(INDEX(PP_Grid[#Data],$DE665,102),0)</f>
        <v/>
      </c>
      <c r="DB665">
        <f>IFERROR(INDEX(PP_Grid[#Data],$DE665,103),0)</f>
        <v/>
      </c>
      <c r="DC665">
        <f>IFERROR(INDEX(PP_Grid[#Data],$DE665,104),0)</f>
        <v/>
      </c>
      <c r="DD665">
        <f>IFERROR(INDEX(PP_Grid[#Data],$DE665,105),0)</f>
        <v/>
      </c>
      <c r="DE665" s="7">
        <f>IFERROR(MATCH($B665,PP_Grid[Intermediate],0),99999)</f>
        <v/>
      </c>
    </row>
    <row r="666">
      <c r="B666" t="inlineStr">
        <is>
          <t>使用量(kg)</t>
        </is>
      </c>
      <c r="C666">
        <f>SUMIFS(M_BOM[RM_Qty_Per_Batch],M_BOM[Intermediate],$B665,M_BOM[RM_Code],$A636)</f>
        <v/>
      </c>
      <c r="D666">
        <f>IFERROR(INDEX(E666:DD666,$F$1),"")</f>
        <v/>
      </c>
      <c r="E666">
        <f>$C666*E665</f>
        <v/>
      </c>
      <c r="F666">
        <f>$C666*F665</f>
        <v/>
      </c>
      <c r="G666">
        <f>$C666*G665</f>
        <v/>
      </c>
      <c r="H666">
        <f>$C666*H665</f>
        <v/>
      </c>
      <c r="I666">
        <f>$C666*I665</f>
        <v/>
      </c>
      <c r="J666">
        <f>$C666*J665</f>
        <v/>
      </c>
      <c r="K666">
        <f>$C666*K665</f>
        <v/>
      </c>
      <c r="L666">
        <f>$C666*L665</f>
        <v/>
      </c>
      <c r="M666">
        <f>$C666*M665</f>
        <v/>
      </c>
      <c r="N666">
        <f>$C666*N665</f>
        <v/>
      </c>
      <c r="O666">
        <f>$C666*O665</f>
        <v/>
      </c>
      <c r="P666">
        <f>$C666*P665</f>
        <v/>
      </c>
      <c r="Q666">
        <f>$C666*Q665</f>
        <v/>
      </c>
      <c r="R666">
        <f>$C666*R665</f>
        <v/>
      </c>
      <c r="S666">
        <f>$C666*S665</f>
        <v/>
      </c>
      <c r="T666">
        <f>$C666*T665</f>
        <v/>
      </c>
      <c r="U666">
        <f>$C666*U665</f>
        <v/>
      </c>
      <c r="V666">
        <f>$C666*V665</f>
        <v/>
      </c>
      <c r="W666">
        <f>$C666*W665</f>
        <v/>
      </c>
      <c r="X666">
        <f>$C666*X665</f>
        <v/>
      </c>
      <c r="Y666">
        <f>$C666*Y665</f>
        <v/>
      </c>
      <c r="Z666">
        <f>$C666*Z665</f>
        <v/>
      </c>
      <c r="AA666">
        <f>$C666*AA665</f>
        <v/>
      </c>
      <c r="AB666">
        <f>$C666*AB665</f>
        <v/>
      </c>
      <c r="AC666">
        <f>$C666*AC665</f>
        <v/>
      </c>
      <c r="AD666">
        <f>$C666*AD665</f>
        <v/>
      </c>
      <c r="AE666">
        <f>$C666*AE665</f>
        <v/>
      </c>
      <c r="AF666">
        <f>$C666*AF665</f>
        <v/>
      </c>
      <c r="AG666">
        <f>$C666*AG665</f>
        <v/>
      </c>
      <c r="AH666">
        <f>$C666*AH665</f>
        <v/>
      </c>
      <c r="AI666">
        <f>$C666*AI665</f>
        <v/>
      </c>
      <c r="AJ666">
        <f>$C666*AJ665</f>
        <v/>
      </c>
      <c r="AK666">
        <f>$C666*AK665</f>
        <v/>
      </c>
      <c r="AL666">
        <f>$C666*AL665</f>
        <v/>
      </c>
      <c r="AM666">
        <f>$C666*AM665</f>
        <v/>
      </c>
      <c r="AN666">
        <f>$C666*AN665</f>
        <v/>
      </c>
      <c r="AO666">
        <f>$C666*AO665</f>
        <v/>
      </c>
      <c r="AP666">
        <f>$C666*AP665</f>
        <v/>
      </c>
      <c r="AQ666">
        <f>$C666*AQ665</f>
        <v/>
      </c>
      <c r="AR666">
        <f>$C666*AR665</f>
        <v/>
      </c>
      <c r="AS666">
        <f>$C666*AS665</f>
        <v/>
      </c>
      <c r="AT666">
        <f>$C666*AT665</f>
        <v/>
      </c>
      <c r="AU666">
        <f>$C666*AU665</f>
        <v/>
      </c>
      <c r="AV666">
        <f>$C666*AV665</f>
        <v/>
      </c>
      <c r="AW666">
        <f>$C666*AW665</f>
        <v/>
      </c>
      <c r="AX666">
        <f>$C666*AX665</f>
        <v/>
      </c>
      <c r="AY666">
        <f>$C666*AY665</f>
        <v/>
      </c>
      <c r="AZ666">
        <f>$C666*AZ665</f>
        <v/>
      </c>
      <c r="BA666">
        <f>$C666*BA665</f>
        <v/>
      </c>
      <c r="BB666">
        <f>$C666*BB665</f>
        <v/>
      </c>
      <c r="BC666">
        <f>$C666*BC665</f>
        <v/>
      </c>
      <c r="BD666">
        <f>$C666*BD665</f>
        <v/>
      </c>
      <c r="BE666">
        <f>$C666*BE665</f>
        <v/>
      </c>
      <c r="BF666">
        <f>$C666*BF665</f>
        <v/>
      </c>
      <c r="BG666">
        <f>$C666*BG665</f>
        <v/>
      </c>
      <c r="BH666">
        <f>$C666*BH665</f>
        <v/>
      </c>
      <c r="BI666">
        <f>$C666*BI665</f>
        <v/>
      </c>
      <c r="BJ666">
        <f>$C666*BJ665</f>
        <v/>
      </c>
      <c r="BK666">
        <f>$C666*BK665</f>
        <v/>
      </c>
      <c r="BL666">
        <f>$C666*BL665</f>
        <v/>
      </c>
      <c r="BM666">
        <f>$C666*BM665</f>
        <v/>
      </c>
      <c r="BN666">
        <f>$C666*BN665</f>
        <v/>
      </c>
      <c r="BO666">
        <f>$C666*BO665</f>
        <v/>
      </c>
      <c r="BP666">
        <f>$C666*BP665</f>
        <v/>
      </c>
      <c r="BQ666">
        <f>$C666*BQ665</f>
        <v/>
      </c>
      <c r="BR666">
        <f>$C666*BR665</f>
        <v/>
      </c>
      <c r="BS666">
        <f>$C666*BS665</f>
        <v/>
      </c>
      <c r="BT666">
        <f>$C666*BT665</f>
        <v/>
      </c>
      <c r="BU666">
        <f>$C666*BU665</f>
        <v/>
      </c>
      <c r="BV666">
        <f>$C666*BV665</f>
        <v/>
      </c>
      <c r="BW666">
        <f>$C666*BW665</f>
        <v/>
      </c>
      <c r="BX666">
        <f>$C666*BX665</f>
        <v/>
      </c>
      <c r="BY666">
        <f>$C666*BY665</f>
        <v/>
      </c>
      <c r="BZ666">
        <f>$C666*BZ665</f>
        <v/>
      </c>
      <c r="CA666">
        <f>$C666*CA665</f>
        <v/>
      </c>
      <c r="CB666">
        <f>$C666*CB665</f>
        <v/>
      </c>
      <c r="CC666">
        <f>$C666*CC665</f>
        <v/>
      </c>
      <c r="CD666">
        <f>$C666*CD665</f>
        <v/>
      </c>
      <c r="CE666">
        <f>$C666*CE665</f>
        <v/>
      </c>
      <c r="CF666">
        <f>$C666*CF665</f>
        <v/>
      </c>
      <c r="CG666">
        <f>$C666*CG665</f>
        <v/>
      </c>
      <c r="CH666">
        <f>$C666*CH665</f>
        <v/>
      </c>
      <c r="CI666">
        <f>$C666*CI665</f>
        <v/>
      </c>
      <c r="CJ666">
        <f>$C666*CJ665</f>
        <v/>
      </c>
      <c r="CK666">
        <f>$C666*CK665</f>
        <v/>
      </c>
      <c r="CL666">
        <f>$C666*CL665</f>
        <v/>
      </c>
      <c r="CM666">
        <f>$C666*CM665</f>
        <v/>
      </c>
      <c r="CN666">
        <f>$C666*CN665</f>
        <v/>
      </c>
      <c r="CO666">
        <f>$C666*CO665</f>
        <v/>
      </c>
      <c r="CP666">
        <f>$C666*CP665</f>
        <v/>
      </c>
      <c r="CQ666">
        <f>$C666*CQ665</f>
        <v/>
      </c>
      <c r="CR666">
        <f>$C666*CR665</f>
        <v/>
      </c>
      <c r="CS666">
        <f>$C666*CS665</f>
        <v/>
      </c>
      <c r="CT666">
        <f>$C666*CT665</f>
        <v/>
      </c>
      <c r="CU666">
        <f>$C666*CU665</f>
        <v/>
      </c>
      <c r="CV666">
        <f>$C666*CV665</f>
        <v/>
      </c>
      <c r="CW666">
        <f>$C666*CW665</f>
        <v/>
      </c>
      <c r="CX666">
        <f>$C666*CX665</f>
        <v/>
      </c>
      <c r="CY666">
        <f>$C666*CY665</f>
        <v/>
      </c>
      <c r="CZ666">
        <f>$C666*CZ665</f>
        <v/>
      </c>
      <c r="DA666">
        <f>$C666*DA665</f>
        <v/>
      </c>
      <c r="DB666">
        <f>$C666*DB665</f>
        <v/>
      </c>
      <c r="DC666">
        <f>$C666*DC665</f>
        <v/>
      </c>
      <c r="DD666">
        <f>$C666*DD665</f>
        <v/>
      </c>
    </row>
    <row r="667">
      <c r="B667" t="inlineStr">
        <is>
          <t>TSP-405</t>
        </is>
      </c>
      <c r="C667" t="inlineStr">
        <is>
          <t>No. of batches</t>
        </is>
      </c>
      <c r="D667">
        <f>IFERROR(INDEX(E667:DD667,$F$1),"")</f>
        <v/>
      </c>
      <c r="E667">
        <f>IFERROR(INDEX(PP_Grid[#Data],$DE667,2),0)</f>
        <v/>
      </c>
      <c r="F667">
        <f>IFERROR(INDEX(PP_Grid[#Data],$DE667,3),0)</f>
        <v/>
      </c>
      <c r="G667">
        <f>IFERROR(INDEX(PP_Grid[#Data],$DE667,4),0)</f>
        <v/>
      </c>
      <c r="H667">
        <f>IFERROR(INDEX(PP_Grid[#Data],$DE667,5),0)</f>
        <v/>
      </c>
      <c r="I667">
        <f>IFERROR(INDEX(PP_Grid[#Data],$DE667,6),0)</f>
        <v/>
      </c>
      <c r="J667">
        <f>IFERROR(INDEX(PP_Grid[#Data],$DE667,7),0)</f>
        <v/>
      </c>
      <c r="K667">
        <f>IFERROR(INDEX(PP_Grid[#Data],$DE667,8),0)</f>
        <v/>
      </c>
      <c r="L667">
        <f>IFERROR(INDEX(PP_Grid[#Data],$DE667,9),0)</f>
        <v/>
      </c>
      <c r="M667">
        <f>IFERROR(INDEX(PP_Grid[#Data],$DE667,10),0)</f>
        <v/>
      </c>
      <c r="N667">
        <f>IFERROR(INDEX(PP_Grid[#Data],$DE667,11),0)</f>
        <v/>
      </c>
      <c r="O667">
        <f>IFERROR(INDEX(PP_Grid[#Data],$DE667,12),0)</f>
        <v/>
      </c>
      <c r="P667">
        <f>IFERROR(INDEX(PP_Grid[#Data],$DE667,13),0)</f>
        <v/>
      </c>
      <c r="Q667">
        <f>IFERROR(INDEX(PP_Grid[#Data],$DE667,14),0)</f>
        <v/>
      </c>
      <c r="R667">
        <f>IFERROR(INDEX(PP_Grid[#Data],$DE667,15),0)</f>
        <v/>
      </c>
      <c r="S667">
        <f>IFERROR(INDEX(PP_Grid[#Data],$DE667,16),0)</f>
        <v/>
      </c>
      <c r="T667">
        <f>IFERROR(INDEX(PP_Grid[#Data],$DE667,17),0)</f>
        <v/>
      </c>
      <c r="U667">
        <f>IFERROR(INDEX(PP_Grid[#Data],$DE667,18),0)</f>
        <v/>
      </c>
      <c r="V667">
        <f>IFERROR(INDEX(PP_Grid[#Data],$DE667,19),0)</f>
        <v/>
      </c>
      <c r="W667">
        <f>IFERROR(INDEX(PP_Grid[#Data],$DE667,20),0)</f>
        <v/>
      </c>
      <c r="X667">
        <f>IFERROR(INDEX(PP_Grid[#Data],$DE667,21),0)</f>
        <v/>
      </c>
      <c r="Y667">
        <f>IFERROR(INDEX(PP_Grid[#Data],$DE667,22),0)</f>
        <v/>
      </c>
      <c r="Z667">
        <f>IFERROR(INDEX(PP_Grid[#Data],$DE667,23),0)</f>
        <v/>
      </c>
      <c r="AA667">
        <f>IFERROR(INDEX(PP_Grid[#Data],$DE667,24),0)</f>
        <v/>
      </c>
      <c r="AB667">
        <f>IFERROR(INDEX(PP_Grid[#Data],$DE667,25),0)</f>
        <v/>
      </c>
      <c r="AC667">
        <f>IFERROR(INDEX(PP_Grid[#Data],$DE667,26),0)</f>
        <v/>
      </c>
      <c r="AD667">
        <f>IFERROR(INDEX(PP_Grid[#Data],$DE667,27),0)</f>
        <v/>
      </c>
      <c r="AE667">
        <f>IFERROR(INDEX(PP_Grid[#Data],$DE667,28),0)</f>
        <v/>
      </c>
      <c r="AF667">
        <f>IFERROR(INDEX(PP_Grid[#Data],$DE667,29),0)</f>
        <v/>
      </c>
      <c r="AG667">
        <f>IFERROR(INDEX(PP_Grid[#Data],$DE667,30),0)</f>
        <v/>
      </c>
      <c r="AH667">
        <f>IFERROR(INDEX(PP_Grid[#Data],$DE667,31),0)</f>
        <v/>
      </c>
      <c r="AI667">
        <f>IFERROR(INDEX(PP_Grid[#Data],$DE667,32),0)</f>
        <v/>
      </c>
      <c r="AJ667">
        <f>IFERROR(INDEX(PP_Grid[#Data],$DE667,33),0)</f>
        <v/>
      </c>
      <c r="AK667">
        <f>IFERROR(INDEX(PP_Grid[#Data],$DE667,34),0)</f>
        <v/>
      </c>
      <c r="AL667">
        <f>IFERROR(INDEX(PP_Grid[#Data],$DE667,35),0)</f>
        <v/>
      </c>
      <c r="AM667">
        <f>IFERROR(INDEX(PP_Grid[#Data],$DE667,36),0)</f>
        <v/>
      </c>
      <c r="AN667">
        <f>IFERROR(INDEX(PP_Grid[#Data],$DE667,37),0)</f>
        <v/>
      </c>
      <c r="AO667">
        <f>IFERROR(INDEX(PP_Grid[#Data],$DE667,38),0)</f>
        <v/>
      </c>
      <c r="AP667">
        <f>IFERROR(INDEX(PP_Grid[#Data],$DE667,39),0)</f>
        <v/>
      </c>
      <c r="AQ667">
        <f>IFERROR(INDEX(PP_Grid[#Data],$DE667,40),0)</f>
        <v/>
      </c>
      <c r="AR667">
        <f>IFERROR(INDEX(PP_Grid[#Data],$DE667,41),0)</f>
        <v/>
      </c>
      <c r="AS667">
        <f>IFERROR(INDEX(PP_Grid[#Data],$DE667,42),0)</f>
        <v/>
      </c>
      <c r="AT667">
        <f>IFERROR(INDEX(PP_Grid[#Data],$DE667,43),0)</f>
        <v/>
      </c>
      <c r="AU667">
        <f>IFERROR(INDEX(PP_Grid[#Data],$DE667,44),0)</f>
        <v/>
      </c>
      <c r="AV667">
        <f>IFERROR(INDEX(PP_Grid[#Data],$DE667,45),0)</f>
        <v/>
      </c>
      <c r="AW667">
        <f>IFERROR(INDEX(PP_Grid[#Data],$DE667,46),0)</f>
        <v/>
      </c>
      <c r="AX667">
        <f>IFERROR(INDEX(PP_Grid[#Data],$DE667,47),0)</f>
        <v/>
      </c>
      <c r="AY667">
        <f>IFERROR(INDEX(PP_Grid[#Data],$DE667,48),0)</f>
        <v/>
      </c>
      <c r="AZ667">
        <f>IFERROR(INDEX(PP_Grid[#Data],$DE667,49),0)</f>
        <v/>
      </c>
      <c r="BA667">
        <f>IFERROR(INDEX(PP_Grid[#Data],$DE667,50),0)</f>
        <v/>
      </c>
      <c r="BB667">
        <f>IFERROR(INDEX(PP_Grid[#Data],$DE667,51),0)</f>
        <v/>
      </c>
      <c r="BC667">
        <f>IFERROR(INDEX(PP_Grid[#Data],$DE667,52),0)</f>
        <v/>
      </c>
      <c r="BD667">
        <f>IFERROR(INDEX(PP_Grid[#Data],$DE667,53),0)</f>
        <v/>
      </c>
      <c r="BE667">
        <f>IFERROR(INDEX(PP_Grid[#Data],$DE667,54),0)</f>
        <v/>
      </c>
      <c r="BF667">
        <f>IFERROR(INDEX(PP_Grid[#Data],$DE667,55),0)</f>
        <v/>
      </c>
      <c r="BG667">
        <f>IFERROR(INDEX(PP_Grid[#Data],$DE667,56),0)</f>
        <v/>
      </c>
      <c r="BH667">
        <f>IFERROR(INDEX(PP_Grid[#Data],$DE667,57),0)</f>
        <v/>
      </c>
      <c r="BI667">
        <f>IFERROR(INDEX(PP_Grid[#Data],$DE667,58),0)</f>
        <v/>
      </c>
      <c r="BJ667">
        <f>IFERROR(INDEX(PP_Grid[#Data],$DE667,59),0)</f>
        <v/>
      </c>
      <c r="BK667">
        <f>IFERROR(INDEX(PP_Grid[#Data],$DE667,60),0)</f>
        <v/>
      </c>
      <c r="BL667">
        <f>IFERROR(INDEX(PP_Grid[#Data],$DE667,61),0)</f>
        <v/>
      </c>
      <c r="BM667">
        <f>IFERROR(INDEX(PP_Grid[#Data],$DE667,62),0)</f>
        <v/>
      </c>
      <c r="BN667">
        <f>IFERROR(INDEX(PP_Grid[#Data],$DE667,63),0)</f>
        <v/>
      </c>
      <c r="BO667">
        <f>IFERROR(INDEX(PP_Grid[#Data],$DE667,64),0)</f>
        <v/>
      </c>
      <c r="BP667">
        <f>IFERROR(INDEX(PP_Grid[#Data],$DE667,65),0)</f>
        <v/>
      </c>
      <c r="BQ667">
        <f>IFERROR(INDEX(PP_Grid[#Data],$DE667,66),0)</f>
        <v/>
      </c>
      <c r="BR667">
        <f>IFERROR(INDEX(PP_Grid[#Data],$DE667,67),0)</f>
        <v/>
      </c>
      <c r="BS667">
        <f>IFERROR(INDEX(PP_Grid[#Data],$DE667,68),0)</f>
        <v/>
      </c>
      <c r="BT667">
        <f>IFERROR(INDEX(PP_Grid[#Data],$DE667,69),0)</f>
        <v/>
      </c>
      <c r="BU667">
        <f>IFERROR(INDEX(PP_Grid[#Data],$DE667,70),0)</f>
        <v/>
      </c>
      <c r="BV667">
        <f>IFERROR(INDEX(PP_Grid[#Data],$DE667,71),0)</f>
        <v/>
      </c>
      <c r="BW667">
        <f>IFERROR(INDEX(PP_Grid[#Data],$DE667,72),0)</f>
        <v/>
      </c>
      <c r="BX667">
        <f>IFERROR(INDEX(PP_Grid[#Data],$DE667,73),0)</f>
        <v/>
      </c>
      <c r="BY667">
        <f>IFERROR(INDEX(PP_Grid[#Data],$DE667,74),0)</f>
        <v/>
      </c>
      <c r="BZ667">
        <f>IFERROR(INDEX(PP_Grid[#Data],$DE667,75),0)</f>
        <v/>
      </c>
      <c r="CA667">
        <f>IFERROR(INDEX(PP_Grid[#Data],$DE667,76),0)</f>
        <v/>
      </c>
      <c r="CB667">
        <f>IFERROR(INDEX(PP_Grid[#Data],$DE667,77),0)</f>
        <v/>
      </c>
      <c r="CC667">
        <f>IFERROR(INDEX(PP_Grid[#Data],$DE667,78),0)</f>
        <v/>
      </c>
      <c r="CD667">
        <f>IFERROR(INDEX(PP_Grid[#Data],$DE667,79),0)</f>
        <v/>
      </c>
      <c r="CE667">
        <f>IFERROR(INDEX(PP_Grid[#Data],$DE667,80),0)</f>
        <v/>
      </c>
      <c r="CF667">
        <f>IFERROR(INDEX(PP_Grid[#Data],$DE667,81),0)</f>
        <v/>
      </c>
      <c r="CG667">
        <f>IFERROR(INDEX(PP_Grid[#Data],$DE667,82),0)</f>
        <v/>
      </c>
      <c r="CH667">
        <f>IFERROR(INDEX(PP_Grid[#Data],$DE667,83),0)</f>
        <v/>
      </c>
      <c r="CI667">
        <f>IFERROR(INDEX(PP_Grid[#Data],$DE667,84),0)</f>
        <v/>
      </c>
      <c r="CJ667">
        <f>IFERROR(INDEX(PP_Grid[#Data],$DE667,85),0)</f>
        <v/>
      </c>
      <c r="CK667">
        <f>IFERROR(INDEX(PP_Grid[#Data],$DE667,86),0)</f>
        <v/>
      </c>
      <c r="CL667">
        <f>IFERROR(INDEX(PP_Grid[#Data],$DE667,87),0)</f>
        <v/>
      </c>
      <c r="CM667">
        <f>IFERROR(INDEX(PP_Grid[#Data],$DE667,88),0)</f>
        <v/>
      </c>
      <c r="CN667">
        <f>IFERROR(INDEX(PP_Grid[#Data],$DE667,89),0)</f>
        <v/>
      </c>
      <c r="CO667">
        <f>IFERROR(INDEX(PP_Grid[#Data],$DE667,90),0)</f>
        <v/>
      </c>
      <c r="CP667">
        <f>IFERROR(INDEX(PP_Grid[#Data],$DE667,91),0)</f>
        <v/>
      </c>
      <c r="CQ667">
        <f>IFERROR(INDEX(PP_Grid[#Data],$DE667,92),0)</f>
        <v/>
      </c>
      <c r="CR667">
        <f>IFERROR(INDEX(PP_Grid[#Data],$DE667,93),0)</f>
        <v/>
      </c>
      <c r="CS667">
        <f>IFERROR(INDEX(PP_Grid[#Data],$DE667,94),0)</f>
        <v/>
      </c>
      <c r="CT667">
        <f>IFERROR(INDEX(PP_Grid[#Data],$DE667,95),0)</f>
        <v/>
      </c>
      <c r="CU667">
        <f>IFERROR(INDEX(PP_Grid[#Data],$DE667,96),0)</f>
        <v/>
      </c>
      <c r="CV667">
        <f>IFERROR(INDEX(PP_Grid[#Data],$DE667,97),0)</f>
        <v/>
      </c>
      <c r="CW667">
        <f>IFERROR(INDEX(PP_Grid[#Data],$DE667,98),0)</f>
        <v/>
      </c>
      <c r="CX667">
        <f>IFERROR(INDEX(PP_Grid[#Data],$DE667,99),0)</f>
        <v/>
      </c>
      <c r="CY667">
        <f>IFERROR(INDEX(PP_Grid[#Data],$DE667,100),0)</f>
        <v/>
      </c>
      <c r="CZ667">
        <f>IFERROR(INDEX(PP_Grid[#Data],$DE667,101),0)</f>
        <v/>
      </c>
      <c r="DA667">
        <f>IFERROR(INDEX(PP_Grid[#Data],$DE667,102),0)</f>
        <v/>
      </c>
      <c r="DB667">
        <f>IFERROR(INDEX(PP_Grid[#Data],$DE667,103),0)</f>
        <v/>
      </c>
      <c r="DC667">
        <f>IFERROR(INDEX(PP_Grid[#Data],$DE667,104),0)</f>
        <v/>
      </c>
      <c r="DD667">
        <f>IFERROR(INDEX(PP_Grid[#Data],$DE667,105),0)</f>
        <v/>
      </c>
      <c r="DE667" s="7">
        <f>IFERROR(MATCH($B667,PP_Grid[Intermediate],0),99999)</f>
        <v/>
      </c>
    </row>
    <row r="668">
      <c r="B668" t="inlineStr">
        <is>
          <t>使用量(kg)</t>
        </is>
      </c>
      <c r="C668">
        <f>SUMIFS(M_BOM[RM_Qty_Per_Batch],M_BOM[Intermediate],$B667,M_BOM[RM_Code],$A636)</f>
        <v/>
      </c>
      <c r="D668">
        <f>IFERROR(INDEX(E668:DD668,$F$1),"")</f>
        <v/>
      </c>
      <c r="E668">
        <f>$C668*E667</f>
        <v/>
      </c>
      <c r="F668">
        <f>$C668*F667</f>
        <v/>
      </c>
      <c r="G668">
        <f>$C668*G667</f>
        <v/>
      </c>
      <c r="H668">
        <f>$C668*H667</f>
        <v/>
      </c>
      <c r="I668">
        <f>$C668*I667</f>
        <v/>
      </c>
      <c r="J668">
        <f>$C668*J667</f>
        <v/>
      </c>
      <c r="K668">
        <f>$C668*K667</f>
        <v/>
      </c>
      <c r="L668">
        <f>$C668*L667</f>
        <v/>
      </c>
      <c r="M668">
        <f>$C668*M667</f>
        <v/>
      </c>
      <c r="N668">
        <f>$C668*N667</f>
        <v/>
      </c>
      <c r="O668">
        <f>$C668*O667</f>
        <v/>
      </c>
      <c r="P668">
        <f>$C668*P667</f>
        <v/>
      </c>
      <c r="Q668">
        <f>$C668*Q667</f>
        <v/>
      </c>
      <c r="R668">
        <f>$C668*R667</f>
        <v/>
      </c>
      <c r="S668">
        <f>$C668*S667</f>
        <v/>
      </c>
      <c r="T668">
        <f>$C668*T667</f>
        <v/>
      </c>
      <c r="U668">
        <f>$C668*U667</f>
        <v/>
      </c>
      <c r="V668">
        <f>$C668*V667</f>
        <v/>
      </c>
      <c r="W668">
        <f>$C668*W667</f>
        <v/>
      </c>
      <c r="X668">
        <f>$C668*X667</f>
        <v/>
      </c>
      <c r="Y668">
        <f>$C668*Y667</f>
        <v/>
      </c>
      <c r="Z668">
        <f>$C668*Z667</f>
        <v/>
      </c>
      <c r="AA668">
        <f>$C668*AA667</f>
        <v/>
      </c>
      <c r="AB668">
        <f>$C668*AB667</f>
        <v/>
      </c>
      <c r="AC668">
        <f>$C668*AC667</f>
        <v/>
      </c>
      <c r="AD668">
        <f>$C668*AD667</f>
        <v/>
      </c>
      <c r="AE668">
        <f>$C668*AE667</f>
        <v/>
      </c>
      <c r="AF668">
        <f>$C668*AF667</f>
        <v/>
      </c>
      <c r="AG668">
        <f>$C668*AG667</f>
        <v/>
      </c>
      <c r="AH668">
        <f>$C668*AH667</f>
        <v/>
      </c>
      <c r="AI668">
        <f>$C668*AI667</f>
        <v/>
      </c>
      <c r="AJ668">
        <f>$C668*AJ667</f>
        <v/>
      </c>
      <c r="AK668">
        <f>$C668*AK667</f>
        <v/>
      </c>
      <c r="AL668">
        <f>$C668*AL667</f>
        <v/>
      </c>
      <c r="AM668">
        <f>$C668*AM667</f>
        <v/>
      </c>
      <c r="AN668">
        <f>$C668*AN667</f>
        <v/>
      </c>
      <c r="AO668">
        <f>$C668*AO667</f>
        <v/>
      </c>
      <c r="AP668">
        <f>$C668*AP667</f>
        <v/>
      </c>
      <c r="AQ668">
        <f>$C668*AQ667</f>
        <v/>
      </c>
      <c r="AR668">
        <f>$C668*AR667</f>
        <v/>
      </c>
      <c r="AS668">
        <f>$C668*AS667</f>
        <v/>
      </c>
      <c r="AT668">
        <f>$C668*AT667</f>
        <v/>
      </c>
      <c r="AU668">
        <f>$C668*AU667</f>
        <v/>
      </c>
      <c r="AV668">
        <f>$C668*AV667</f>
        <v/>
      </c>
      <c r="AW668">
        <f>$C668*AW667</f>
        <v/>
      </c>
      <c r="AX668">
        <f>$C668*AX667</f>
        <v/>
      </c>
      <c r="AY668">
        <f>$C668*AY667</f>
        <v/>
      </c>
      <c r="AZ668">
        <f>$C668*AZ667</f>
        <v/>
      </c>
      <c r="BA668">
        <f>$C668*BA667</f>
        <v/>
      </c>
      <c r="BB668">
        <f>$C668*BB667</f>
        <v/>
      </c>
      <c r="BC668">
        <f>$C668*BC667</f>
        <v/>
      </c>
      <c r="BD668">
        <f>$C668*BD667</f>
        <v/>
      </c>
      <c r="BE668">
        <f>$C668*BE667</f>
        <v/>
      </c>
      <c r="BF668">
        <f>$C668*BF667</f>
        <v/>
      </c>
      <c r="BG668">
        <f>$C668*BG667</f>
        <v/>
      </c>
      <c r="BH668">
        <f>$C668*BH667</f>
        <v/>
      </c>
      <c r="BI668">
        <f>$C668*BI667</f>
        <v/>
      </c>
      <c r="BJ668">
        <f>$C668*BJ667</f>
        <v/>
      </c>
      <c r="BK668">
        <f>$C668*BK667</f>
        <v/>
      </c>
      <c r="BL668">
        <f>$C668*BL667</f>
        <v/>
      </c>
      <c r="BM668">
        <f>$C668*BM667</f>
        <v/>
      </c>
      <c r="BN668">
        <f>$C668*BN667</f>
        <v/>
      </c>
      <c r="BO668">
        <f>$C668*BO667</f>
        <v/>
      </c>
      <c r="BP668">
        <f>$C668*BP667</f>
        <v/>
      </c>
      <c r="BQ668">
        <f>$C668*BQ667</f>
        <v/>
      </c>
      <c r="BR668">
        <f>$C668*BR667</f>
        <v/>
      </c>
      <c r="BS668">
        <f>$C668*BS667</f>
        <v/>
      </c>
      <c r="BT668">
        <f>$C668*BT667</f>
        <v/>
      </c>
      <c r="BU668">
        <f>$C668*BU667</f>
        <v/>
      </c>
      <c r="BV668">
        <f>$C668*BV667</f>
        <v/>
      </c>
      <c r="BW668">
        <f>$C668*BW667</f>
        <v/>
      </c>
      <c r="BX668">
        <f>$C668*BX667</f>
        <v/>
      </c>
      <c r="BY668">
        <f>$C668*BY667</f>
        <v/>
      </c>
      <c r="BZ668">
        <f>$C668*BZ667</f>
        <v/>
      </c>
      <c r="CA668">
        <f>$C668*CA667</f>
        <v/>
      </c>
      <c r="CB668">
        <f>$C668*CB667</f>
        <v/>
      </c>
      <c r="CC668">
        <f>$C668*CC667</f>
        <v/>
      </c>
      <c r="CD668">
        <f>$C668*CD667</f>
        <v/>
      </c>
      <c r="CE668">
        <f>$C668*CE667</f>
        <v/>
      </c>
      <c r="CF668">
        <f>$C668*CF667</f>
        <v/>
      </c>
      <c r="CG668">
        <f>$C668*CG667</f>
        <v/>
      </c>
      <c r="CH668">
        <f>$C668*CH667</f>
        <v/>
      </c>
      <c r="CI668">
        <f>$C668*CI667</f>
        <v/>
      </c>
      <c r="CJ668">
        <f>$C668*CJ667</f>
        <v/>
      </c>
      <c r="CK668">
        <f>$C668*CK667</f>
        <v/>
      </c>
      <c r="CL668">
        <f>$C668*CL667</f>
        <v/>
      </c>
      <c r="CM668">
        <f>$C668*CM667</f>
        <v/>
      </c>
      <c r="CN668">
        <f>$C668*CN667</f>
        <v/>
      </c>
      <c r="CO668">
        <f>$C668*CO667</f>
        <v/>
      </c>
      <c r="CP668">
        <f>$C668*CP667</f>
        <v/>
      </c>
      <c r="CQ668">
        <f>$C668*CQ667</f>
        <v/>
      </c>
      <c r="CR668">
        <f>$C668*CR667</f>
        <v/>
      </c>
      <c r="CS668">
        <f>$C668*CS667</f>
        <v/>
      </c>
      <c r="CT668">
        <f>$C668*CT667</f>
        <v/>
      </c>
      <c r="CU668">
        <f>$C668*CU667</f>
        <v/>
      </c>
      <c r="CV668">
        <f>$C668*CV667</f>
        <v/>
      </c>
      <c r="CW668">
        <f>$C668*CW667</f>
        <v/>
      </c>
      <c r="CX668">
        <f>$C668*CX667</f>
        <v/>
      </c>
      <c r="CY668">
        <f>$C668*CY667</f>
        <v/>
      </c>
      <c r="CZ668">
        <f>$C668*CZ667</f>
        <v/>
      </c>
      <c r="DA668">
        <f>$C668*DA667</f>
        <v/>
      </c>
      <c r="DB668">
        <f>$C668*DB667</f>
        <v/>
      </c>
      <c r="DC668">
        <f>$C668*DC667</f>
        <v/>
      </c>
      <c r="DD668">
        <f>$C668*DD667</f>
        <v/>
      </c>
    </row>
    <row r="669">
      <c r="B669" t="inlineStr">
        <is>
          <t>TSP-544</t>
        </is>
      </c>
      <c r="C669" t="inlineStr">
        <is>
          <t>No. of batches</t>
        </is>
      </c>
      <c r="D669">
        <f>IFERROR(INDEX(E669:DD669,$F$1),"")</f>
        <v/>
      </c>
      <c r="E669">
        <f>IFERROR(INDEX(PP_Grid[#Data],$DE669,2),0)</f>
        <v/>
      </c>
      <c r="F669">
        <f>IFERROR(INDEX(PP_Grid[#Data],$DE669,3),0)</f>
        <v/>
      </c>
      <c r="G669">
        <f>IFERROR(INDEX(PP_Grid[#Data],$DE669,4),0)</f>
        <v/>
      </c>
      <c r="H669">
        <f>IFERROR(INDEX(PP_Grid[#Data],$DE669,5),0)</f>
        <v/>
      </c>
      <c r="I669">
        <f>IFERROR(INDEX(PP_Grid[#Data],$DE669,6),0)</f>
        <v/>
      </c>
      <c r="J669">
        <f>IFERROR(INDEX(PP_Grid[#Data],$DE669,7),0)</f>
        <v/>
      </c>
      <c r="K669">
        <f>IFERROR(INDEX(PP_Grid[#Data],$DE669,8),0)</f>
        <v/>
      </c>
      <c r="L669">
        <f>IFERROR(INDEX(PP_Grid[#Data],$DE669,9),0)</f>
        <v/>
      </c>
      <c r="M669">
        <f>IFERROR(INDEX(PP_Grid[#Data],$DE669,10),0)</f>
        <v/>
      </c>
      <c r="N669">
        <f>IFERROR(INDEX(PP_Grid[#Data],$DE669,11),0)</f>
        <v/>
      </c>
      <c r="O669">
        <f>IFERROR(INDEX(PP_Grid[#Data],$DE669,12),0)</f>
        <v/>
      </c>
      <c r="P669">
        <f>IFERROR(INDEX(PP_Grid[#Data],$DE669,13),0)</f>
        <v/>
      </c>
      <c r="Q669">
        <f>IFERROR(INDEX(PP_Grid[#Data],$DE669,14),0)</f>
        <v/>
      </c>
      <c r="R669">
        <f>IFERROR(INDEX(PP_Grid[#Data],$DE669,15),0)</f>
        <v/>
      </c>
      <c r="S669">
        <f>IFERROR(INDEX(PP_Grid[#Data],$DE669,16),0)</f>
        <v/>
      </c>
      <c r="T669">
        <f>IFERROR(INDEX(PP_Grid[#Data],$DE669,17),0)</f>
        <v/>
      </c>
      <c r="U669">
        <f>IFERROR(INDEX(PP_Grid[#Data],$DE669,18),0)</f>
        <v/>
      </c>
      <c r="V669">
        <f>IFERROR(INDEX(PP_Grid[#Data],$DE669,19),0)</f>
        <v/>
      </c>
      <c r="W669">
        <f>IFERROR(INDEX(PP_Grid[#Data],$DE669,20),0)</f>
        <v/>
      </c>
      <c r="X669">
        <f>IFERROR(INDEX(PP_Grid[#Data],$DE669,21),0)</f>
        <v/>
      </c>
      <c r="Y669">
        <f>IFERROR(INDEX(PP_Grid[#Data],$DE669,22),0)</f>
        <v/>
      </c>
      <c r="Z669">
        <f>IFERROR(INDEX(PP_Grid[#Data],$DE669,23),0)</f>
        <v/>
      </c>
      <c r="AA669">
        <f>IFERROR(INDEX(PP_Grid[#Data],$DE669,24),0)</f>
        <v/>
      </c>
      <c r="AB669">
        <f>IFERROR(INDEX(PP_Grid[#Data],$DE669,25),0)</f>
        <v/>
      </c>
      <c r="AC669">
        <f>IFERROR(INDEX(PP_Grid[#Data],$DE669,26),0)</f>
        <v/>
      </c>
      <c r="AD669">
        <f>IFERROR(INDEX(PP_Grid[#Data],$DE669,27),0)</f>
        <v/>
      </c>
      <c r="AE669">
        <f>IFERROR(INDEX(PP_Grid[#Data],$DE669,28),0)</f>
        <v/>
      </c>
      <c r="AF669">
        <f>IFERROR(INDEX(PP_Grid[#Data],$DE669,29),0)</f>
        <v/>
      </c>
      <c r="AG669">
        <f>IFERROR(INDEX(PP_Grid[#Data],$DE669,30),0)</f>
        <v/>
      </c>
      <c r="AH669">
        <f>IFERROR(INDEX(PP_Grid[#Data],$DE669,31),0)</f>
        <v/>
      </c>
      <c r="AI669">
        <f>IFERROR(INDEX(PP_Grid[#Data],$DE669,32),0)</f>
        <v/>
      </c>
      <c r="AJ669">
        <f>IFERROR(INDEX(PP_Grid[#Data],$DE669,33),0)</f>
        <v/>
      </c>
      <c r="AK669">
        <f>IFERROR(INDEX(PP_Grid[#Data],$DE669,34),0)</f>
        <v/>
      </c>
      <c r="AL669">
        <f>IFERROR(INDEX(PP_Grid[#Data],$DE669,35),0)</f>
        <v/>
      </c>
      <c r="AM669">
        <f>IFERROR(INDEX(PP_Grid[#Data],$DE669,36),0)</f>
        <v/>
      </c>
      <c r="AN669">
        <f>IFERROR(INDEX(PP_Grid[#Data],$DE669,37),0)</f>
        <v/>
      </c>
      <c r="AO669">
        <f>IFERROR(INDEX(PP_Grid[#Data],$DE669,38),0)</f>
        <v/>
      </c>
      <c r="AP669">
        <f>IFERROR(INDEX(PP_Grid[#Data],$DE669,39),0)</f>
        <v/>
      </c>
      <c r="AQ669">
        <f>IFERROR(INDEX(PP_Grid[#Data],$DE669,40),0)</f>
        <v/>
      </c>
      <c r="AR669">
        <f>IFERROR(INDEX(PP_Grid[#Data],$DE669,41),0)</f>
        <v/>
      </c>
      <c r="AS669">
        <f>IFERROR(INDEX(PP_Grid[#Data],$DE669,42),0)</f>
        <v/>
      </c>
      <c r="AT669">
        <f>IFERROR(INDEX(PP_Grid[#Data],$DE669,43),0)</f>
        <v/>
      </c>
      <c r="AU669">
        <f>IFERROR(INDEX(PP_Grid[#Data],$DE669,44),0)</f>
        <v/>
      </c>
      <c r="AV669">
        <f>IFERROR(INDEX(PP_Grid[#Data],$DE669,45),0)</f>
        <v/>
      </c>
      <c r="AW669">
        <f>IFERROR(INDEX(PP_Grid[#Data],$DE669,46),0)</f>
        <v/>
      </c>
      <c r="AX669">
        <f>IFERROR(INDEX(PP_Grid[#Data],$DE669,47),0)</f>
        <v/>
      </c>
      <c r="AY669">
        <f>IFERROR(INDEX(PP_Grid[#Data],$DE669,48),0)</f>
        <v/>
      </c>
      <c r="AZ669">
        <f>IFERROR(INDEX(PP_Grid[#Data],$DE669,49),0)</f>
        <v/>
      </c>
      <c r="BA669">
        <f>IFERROR(INDEX(PP_Grid[#Data],$DE669,50),0)</f>
        <v/>
      </c>
      <c r="BB669">
        <f>IFERROR(INDEX(PP_Grid[#Data],$DE669,51),0)</f>
        <v/>
      </c>
      <c r="BC669">
        <f>IFERROR(INDEX(PP_Grid[#Data],$DE669,52),0)</f>
        <v/>
      </c>
      <c r="BD669">
        <f>IFERROR(INDEX(PP_Grid[#Data],$DE669,53),0)</f>
        <v/>
      </c>
      <c r="BE669">
        <f>IFERROR(INDEX(PP_Grid[#Data],$DE669,54),0)</f>
        <v/>
      </c>
      <c r="BF669">
        <f>IFERROR(INDEX(PP_Grid[#Data],$DE669,55),0)</f>
        <v/>
      </c>
      <c r="BG669">
        <f>IFERROR(INDEX(PP_Grid[#Data],$DE669,56),0)</f>
        <v/>
      </c>
      <c r="BH669">
        <f>IFERROR(INDEX(PP_Grid[#Data],$DE669,57),0)</f>
        <v/>
      </c>
      <c r="BI669">
        <f>IFERROR(INDEX(PP_Grid[#Data],$DE669,58),0)</f>
        <v/>
      </c>
      <c r="BJ669">
        <f>IFERROR(INDEX(PP_Grid[#Data],$DE669,59),0)</f>
        <v/>
      </c>
      <c r="BK669">
        <f>IFERROR(INDEX(PP_Grid[#Data],$DE669,60),0)</f>
        <v/>
      </c>
      <c r="BL669">
        <f>IFERROR(INDEX(PP_Grid[#Data],$DE669,61),0)</f>
        <v/>
      </c>
      <c r="BM669">
        <f>IFERROR(INDEX(PP_Grid[#Data],$DE669,62),0)</f>
        <v/>
      </c>
      <c r="BN669">
        <f>IFERROR(INDEX(PP_Grid[#Data],$DE669,63),0)</f>
        <v/>
      </c>
      <c r="BO669">
        <f>IFERROR(INDEX(PP_Grid[#Data],$DE669,64),0)</f>
        <v/>
      </c>
      <c r="BP669">
        <f>IFERROR(INDEX(PP_Grid[#Data],$DE669,65),0)</f>
        <v/>
      </c>
      <c r="BQ669">
        <f>IFERROR(INDEX(PP_Grid[#Data],$DE669,66),0)</f>
        <v/>
      </c>
      <c r="BR669">
        <f>IFERROR(INDEX(PP_Grid[#Data],$DE669,67),0)</f>
        <v/>
      </c>
      <c r="BS669">
        <f>IFERROR(INDEX(PP_Grid[#Data],$DE669,68),0)</f>
        <v/>
      </c>
      <c r="BT669">
        <f>IFERROR(INDEX(PP_Grid[#Data],$DE669,69),0)</f>
        <v/>
      </c>
      <c r="BU669">
        <f>IFERROR(INDEX(PP_Grid[#Data],$DE669,70),0)</f>
        <v/>
      </c>
      <c r="BV669">
        <f>IFERROR(INDEX(PP_Grid[#Data],$DE669,71),0)</f>
        <v/>
      </c>
      <c r="BW669">
        <f>IFERROR(INDEX(PP_Grid[#Data],$DE669,72),0)</f>
        <v/>
      </c>
      <c r="BX669">
        <f>IFERROR(INDEX(PP_Grid[#Data],$DE669,73),0)</f>
        <v/>
      </c>
      <c r="BY669">
        <f>IFERROR(INDEX(PP_Grid[#Data],$DE669,74),0)</f>
        <v/>
      </c>
      <c r="BZ669">
        <f>IFERROR(INDEX(PP_Grid[#Data],$DE669,75),0)</f>
        <v/>
      </c>
      <c r="CA669">
        <f>IFERROR(INDEX(PP_Grid[#Data],$DE669,76),0)</f>
        <v/>
      </c>
      <c r="CB669">
        <f>IFERROR(INDEX(PP_Grid[#Data],$DE669,77),0)</f>
        <v/>
      </c>
      <c r="CC669">
        <f>IFERROR(INDEX(PP_Grid[#Data],$DE669,78),0)</f>
        <v/>
      </c>
      <c r="CD669">
        <f>IFERROR(INDEX(PP_Grid[#Data],$DE669,79),0)</f>
        <v/>
      </c>
      <c r="CE669">
        <f>IFERROR(INDEX(PP_Grid[#Data],$DE669,80),0)</f>
        <v/>
      </c>
      <c r="CF669">
        <f>IFERROR(INDEX(PP_Grid[#Data],$DE669,81),0)</f>
        <v/>
      </c>
      <c r="CG669">
        <f>IFERROR(INDEX(PP_Grid[#Data],$DE669,82),0)</f>
        <v/>
      </c>
      <c r="CH669">
        <f>IFERROR(INDEX(PP_Grid[#Data],$DE669,83),0)</f>
        <v/>
      </c>
      <c r="CI669">
        <f>IFERROR(INDEX(PP_Grid[#Data],$DE669,84),0)</f>
        <v/>
      </c>
      <c r="CJ669">
        <f>IFERROR(INDEX(PP_Grid[#Data],$DE669,85),0)</f>
        <v/>
      </c>
      <c r="CK669">
        <f>IFERROR(INDEX(PP_Grid[#Data],$DE669,86),0)</f>
        <v/>
      </c>
      <c r="CL669">
        <f>IFERROR(INDEX(PP_Grid[#Data],$DE669,87),0)</f>
        <v/>
      </c>
      <c r="CM669">
        <f>IFERROR(INDEX(PP_Grid[#Data],$DE669,88),0)</f>
        <v/>
      </c>
      <c r="CN669">
        <f>IFERROR(INDEX(PP_Grid[#Data],$DE669,89),0)</f>
        <v/>
      </c>
      <c r="CO669">
        <f>IFERROR(INDEX(PP_Grid[#Data],$DE669,90),0)</f>
        <v/>
      </c>
      <c r="CP669">
        <f>IFERROR(INDEX(PP_Grid[#Data],$DE669,91),0)</f>
        <v/>
      </c>
      <c r="CQ669">
        <f>IFERROR(INDEX(PP_Grid[#Data],$DE669,92),0)</f>
        <v/>
      </c>
      <c r="CR669">
        <f>IFERROR(INDEX(PP_Grid[#Data],$DE669,93),0)</f>
        <v/>
      </c>
      <c r="CS669">
        <f>IFERROR(INDEX(PP_Grid[#Data],$DE669,94),0)</f>
        <v/>
      </c>
      <c r="CT669">
        <f>IFERROR(INDEX(PP_Grid[#Data],$DE669,95),0)</f>
        <v/>
      </c>
      <c r="CU669">
        <f>IFERROR(INDEX(PP_Grid[#Data],$DE669,96),0)</f>
        <v/>
      </c>
      <c r="CV669">
        <f>IFERROR(INDEX(PP_Grid[#Data],$DE669,97),0)</f>
        <v/>
      </c>
      <c r="CW669">
        <f>IFERROR(INDEX(PP_Grid[#Data],$DE669,98),0)</f>
        <v/>
      </c>
      <c r="CX669">
        <f>IFERROR(INDEX(PP_Grid[#Data],$DE669,99),0)</f>
        <v/>
      </c>
      <c r="CY669">
        <f>IFERROR(INDEX(PP_Grid[#Data],$DE669,100),0)</f>
        <v/>
      </c>
      <c r="CZ669">
        <f>IFERROR(INDEX(PP_Grid[#Data],$DE669,101),0)</f>
        <v/>
      </c>
      <c r="DA669">
        <f>IFERROR(INDEX(PP_Grid[#Data],$DE669,102),0)</f>
        <v/>
      </c>
      <c r="DB669">
        <f>IFERROR(INDEX(PP_Grid[#Data],$DE669,103),0)</f>
        <v/>
      </c>
      <c r="DC669">
        <f>IFERROR(INDEX(PP_Grid[#Data],$DE669,104),0)</f>
        <v/>
      </c>
      <c r="DD669">
        <f>IFERROR(INDEX(PP_Grid[#Data],$DE669,105),0)</f>
        <v/>
      </c>
      <c r="DE669" s="7">
        <f>IFERROR(MATCH($B669,PP_Grid[Intermediate],0),99999)</f>
        <v/>
      </c>
    </row>
    <row r="670">
      <c r="B670" t="inlineStr">
        <is>
          <t>使用量(kg)</t>
        </is>
      </c>
      <c r="C670">
        <f>SUMIFS(M_BOM[RM_Qty_Per_Batch],M_BOM[Intermediate],$B669,M_BOM[RM_Code],$A636)</f>
        <v/>
      </c>
      <c r="D670">
        <f>IFERROR(INDEX(E670:DD670,$F$1),"")</f>
        <v/>
      </c>
      <c r="E670">
        <f>$C670*E669</f>
        <v/>
      </c>
      <c r="F670">
        <f>$C670*F669</f>
        <v/>
      </c>
      <c r="G670">
        <f>$C670*G669</f>
        <v/>
      </c>
      <c r="H670">
        <f>$C670*H669</f>
        <v/>
      </c>
      <c r="I670">
        <f>$C670*I669</f>
        <v/>
      </c>
      <c r="J670">
        <f>$C670*J669</f>
        <v/>
      </c>
      <c r="K670">
        <f>$C670*K669</f>
        <v/>
      </c>
      <c r="L670">
        <f>$C670*L669</f>
        <v/>
      </c>
      <c r="M670">
        <f>$C670*M669</f>
        <v/>
      </c>
      <c r="N670">
        <f>$C670*N669</f>
        <v/>
      </c>
      <c r="O670">
        <f>$C670*O669</f>
        <v/>
      </c>
      <c r="P670">
        <f>$C670*P669</f>
        <v/>
      </c>
      <c r="Q670">
        <f>$C670*Q669</f>
        <v/>
      </c>
      <c r="R670">
        <f>$C670*R669</f>
        <v/>
      </c>
      <c r="S670">
        <f>$C670*S669</f>
        <v/>
      </c>
      <c r="T670">
        <f>$C670*T669</f>
        <v/>
      </c>
      <c r="U670">
        <f>$C670*U669</f>
        <v/>
      </c>
      <c r="V670">
        <f>$C670*V669</f>
        <v/>
      </c>
      <c r="W670">
        <f>$C670*W669</f>
        <v/>
      </c>
      <c r="X670">
        <f>$C670*X669</f>
        <v/>
      </c>
      <c r="Y670">
        <f>$C670*Y669</f>
        <v/>
      </c>
      <c r="Z670">
        <f>$C670*Z669</f>
        <v/>
      </c>
      <c r="AA670">
        <f>$C670*AA669</f>
        <v/>
      </c>
      <c r="AB670">
        <f>$C670*AB669</f>
        <v/>
      </c>
      <c r="AC670">
        <f>$C670*AC669</f>
        <v/>
      </c>
      <c r="AD670">
        <f>$C670*AD669</f>
        <v/>
      </c>
      <c r="AE670">
        <f>$C670*AE669</f>
        <v/>
      </c>
      <c r="AF670">
        <f>$C670*AF669</f>
        <v/>
      </c>
      <c r="AG670">
        <f>$C670*AG669</f>
        <v/>
      </c>
      <c r="AH670">
        <f>$C670*AH669</f>
        <v/>
      </c>
      <c r="AI670">
        <f>$C670*AI669</f>
        <v/>
      </c>
      <c r="AJ670">
        <f>$C670*AJ669</f>
        <v/>
      </c>
      <c r="AK670">
        <f>$C670*AK669</f>
        <v/>
      </c>
      <c r="AL670">
        <f>$C670*AL669</f>
        <v/>
      </c>
      <c r="AM670">
        <f>$C670*AM669</f>
        <v/>
      </c>
      <c r="AN670">
        <f>$C670*AN669</f>
        <v/>
      </c>
      <c r="AO670">
        <f>$C670*AO669</f>
        <v/>
      </c>
      <c r="AP670">
        <f>$C670*AP669</f>
        <v/>
      </c>
      <c r="AQ670">
        <f>$C670*AQ669</f>
        <v/>
      </c>
      <c r="AR670">
        <f>$C670*AR669</f>
        <v/>
      </c>
      <c r="AS670">
        <f>$C670*AS669</f>
        <v/>
      </c>
      <c r="AT670">
        <f>$C670*AT669</f>
        <v/>
      </c>
      <c r="AU670">
        <f>$C670*AU669</f>
        <v/>
      </c>
      <c r="AV670">
        <f>$C670*AV669</f>
        <v/>
      </c>
      <c r="AW670">
        <f>$C670*AW669</f>
        <v/>
      </c>
      <c r="AX670">
        <f>$C670*AX669</f>
        <v/>
      </c>
      <c r="AY670">
        <f>$C670*AY669</f>
        <v/>
      </c>
      <c r="AZ670">
        <f>$C670*AZ669</f>
        <v/>
      </c>
      <c r="BA670">
        <f>$C670*BA669</f>
        <v/>
      </c>
      <c r="BB670">
        <f>$C670*BB669</f>
        <v/>
      </c>
      <c r="BC670">
        <f>$C670*BC669</f>
        <v/>
      </c>
      <c r="BD670">
        <f>$C670*BD669</f>
        <v/>
      </c>
      <c r="BE670">
        <f>$C670*BE669</f>
        <v/>
      </c>
      <c r="BF670">
        <f>$C670*BF669</f>
        <v/>
      </c>
      <c r="BG670">
        <f>$C670*BG669</f>
        <v/>
      </c>
      <c r="BH670">
        <f>$C670*BH669</f>
        <v/>
      </c>
      <c r="BI670">
        <f>$C670*BI669</f>
        <v/>
      </c>
      <c r="BJ670">
        <f>$C670*BJ669</f>
        <v/>
      </c>
      <c r="BK670">
        <f>$C670*BK669</f>
        <v/>
      </c>
      <c r="BL670">
        <f>$C670*BL669</f>
        <v/>
      </c>
      <c r="BM670">
        <f>$C670*BM669</f>
        <v/>
      </c>
      <c r="BN670">
        <f>$C670*BN669</f>
        <v/>
      </c>
      <c r="BO670">
        <f>$C670*BO669</f>
        <v/>
      </c>
      <c r="BP670">
        <f>$C670*BP669</f>
        <v/>
      </c>
      <c r="BQ670">
        <f>$C670*BQ669</f>
        <v/>
      </c>
      <c r="BR670">
        <f>$C670*BR669</f>
        <v/>
      </c>
      <c r="BS670">
        <f>$C670*BS669</f>
        <v/>
      </c>
      <c r="BT670">
        <f>$C670*BT669</f>
        <v/>
      </c>
      <c r="BU670">
        <f>$C670*BU669</f>
        <v/>
      </c>
      <c r="BV670">
        <f>$C670*BV669</f>
        <v/>
      </c>
      <c r="BW670">
        <f>$C670*BW669</f>
        <v/>
      </c>
      <c r="BX670">
        <f>$C670*BX669</f>
        <v/>
      </c>
      <c r="BY670">
        <f>$C670*BY669</f>
        <v/>
      </c>
      <c r="BZ670">
        <f>$C670*BZ669</f>
        <v/>
      </c>
      <c r="CA670">
        <f>$C670*CA669</f>
        <v/>
      </c>
      <c r="CB670">
        <f>$C670*CB669</f>
        <v/>
      </c>
      <c r="CC670">
        <f>$C670*CC669</f>
        <v/>
      </c>
      <c r="CD670">
        <f>$C670*CD669</f>
        <v/>
      </c>
      <c r="CE670">
        <f>$C670*CE669</f>
        <v/>
      </c>
      <c r="CF670">
        <f>$C670*CF669</f>
        <v/>
      </c>
      <c r="CG670">
        <f>$C670*CG669</f>
        <v/>
      </c>
      <c r="CH670">
        <f>$C670*CH669</f>
        <v/>
      </c>
      <c r="CI670">
        <f>$C670*CI669</f>
        <v/>
      </c>
      <c r="CJ670">
        <f>$C670*CJ669</f>
        <v/>
      </c>
      <c r="CK670">
        <f>$C670*CK669</f>
        <v/>
      </c>
      <c r="CL670">
        <f>$C670*CL669</f>
        <v/>
      </c>
      <c r="CM670">
        <f>$C670*CM669</f>
        <v/>
      </c>
      <c r="CN670">
        <f>$C670*CN669</f>
        <v/>
      </c>
      <c r="CO670">
        <f>$C670*CO669</f>
        <v/>
      </c>
      <c r="CP670">
        <f>$C670*CP669</f>
        <v/>
      </c>
      <c r="CQ670">
        <f>$C670*CQ669</f>
        <v/>
      </c>
      <c r="CR670">
        <f>$C670*CR669</f>
        <v/>
      </c>
      <c r="CS670">
        <f>$C670*CS669</f>
        <v/>
      </c>
      <c r="CT670">
        <f>$C670*CT669</f>
        <v/>
      </c>
      <c r="CU670">
        <f>$C670*CU669</f>
        <v/>
      </c>
      <c r="CV670">
        <f>$C670*CV669</f>
        <v/>
      </c>
      <c r="CW670">
        <f>$C670*CW669</f>
        <v/>
      </c>
      <c r="CX670">
        <f>$C670*CX669</f>
        <v/>
      </c>
      <c r="CY670">
        <f>$C670*CY669</f>
        <v/>
      </c>
      <c r="CZ670">
        <f>$C670*CZ669</f>
        <v/>
      </c>
      <c r="DA670">
        <f>$C670*DA669</f>
        <v/>
      </c>
      <c r="DB670">
        <f>$C670*DB669</f>
        <v/>
      </c>
      <c r="DC670">
        <f>$C670*DC669</f>
        <v/>
      </c>
      <c r="DD670">
        <f>$C670*DD669</f>
        <v/>
      </c>
    </row>
    <row r="671">
      <c r="B671" t="inlineStr">
        <is>
          <t>TSP-558</t>
        </is>
      </c>
      <c r="C671" t="inlineStr">
        <is>
          <t>No. of batches</t>
        </is>
      </c>
      <c r="D671">
        <f>IFERROR(INDEX(E671:DD671,$F$1),"")</f>
        <v/>
      </c>
      <c r="E671">
        <f>IFERROR(INDEX(PP_Grid[#Data],$DE671,2),0)</f>
        <v/>
      </c>
      <c r="F671">
        <f>IFERROR(INDEX(PP_Grid[#Data],$DE671,3),0)</f>
        <v/>
      </c>
      <c r="G671">
        <f>IFERROR(INDEX(PP_Grid[#Data],$DE671,4),0)</f>
        <v/>
      </c>
      <c r="H671">
        <f>IFERROR(INDEX(PP_Grid[#Data],$DE671,5),0)</f>
        <v/>
      </c>
      <c r="I671">
        <f>IFERROR(INDEX(PP_Grid[#Data],$DE671,6),0)</f>
        <v/>
      </c>
      <c r="J671">
        <f>IFERROR(INDEX(PP_Grid[#Data],$DE671,7),0)</f>
        <v/>
      </c>
      <c r="K671">
        <f>IFERROR(INDEX(PP_Grid[#Data],$DE671,8),0)</f>
        <v/>
      </c>
      <c r="L671">
        <f>IFERROR(INDEX(PP_Grid[#Data],$DE671,9),0)</f>
        <v/>
      </c>
      <c r="M671">
        <f>IFERROR(INDEX(PP_Grid[#Data],$DE671,10),0)</f>
        <v/>
      </c>
      <c r="N671">
        <f>IFERROR(INDEX(PP_Grid[#Data],$DE671,11),0)</f>
        <v/>
      </c>
      <c r="O671">
        <f>IFERROR(INDEX(PP_Grid[#Data],$DE671,12),0)</f>
        <v/>
      </c>
      <c r="P671">
        <f>IFERROR(INDEX(PP_Grid[#Data],$DE671,13),0)</f>
        <v/>
      </c>
      <c r="Q671">
        <f>IFERROR(INDEX(PP_Grid[#Data],$DE671,14),0)</f>
        <v/>
      </c>
      <c r="R671">
        <f>IFERROR(INDEX(PP_Grid[#Data],$DE671,15),0)</f>
        <v/>
      </c>
      <c r="S671">
        <f>IFERROR(INDEX(PP_Grid[#Data],$DE671,16),0)</f>
        <v/>
      </c>
      <c r="T671">
        <f>IFERROR(INDEX(PP_Grid[#Data],$DE671,17),0)</f>
        <v/>
      </c>
      <c r="U671">
        <f>IFERROR(INDEX(PP_Grid[#Data],$DE671,18),0)</f>
        <v/>
      </c>
      <c r="V671">
        <f>IFERROR(INDEX(PP_Grid[#Data],$DE671,19),0)</f>
        <v/>
      </c>
      <c r="W671">
        <f>IFERROR(INDEX(PP_Grid[#Data],$DE671,20),0)</f>
        <v/>
      </c>
      <c r="X671">
        <f>IFERROR(INDEX(PP_Grid[#Data],$DE671,21),0)</f>
        <v/>
      </c>
      <c r="Y671">
        <f>IFERROR(INDEX(PP_Grid[#Data],$DE671,22),0)</f>
        <v/>
      </c>
      <c r="Z671">
        <f>IFERROR(INDEX(PP_Grid[#Data],$DE671,23),0)</f>
        <v/>
      </c>
      <c r="AA671">
        <f>IFERROR(INDEX(PP_Grid[#Data],$DE671,24),0)</f>
        <v/>
      </c>
      <c r="AB671">
        <f>IFERROR(INDEX(PP_Grid[#Data],$DE671,25),0)</f>
        <v/>
      </c>
      <c r="AC671">
        <f>IFERROR(INDEX(PP_Grid[#Data],$DE671,26),0)</f>
        <v/>
      </c>
      <c r="AD671">
        <f>IFERROR(INDEX(PP_Grid[#Data],$DE671,27),0)</f>
        <v/>
      </c>
      <c r="AE671">
        <f>IFERROR(INDEX(PP_Grid[#Data],$DE671,28),0)</f>
        <v/>
      </c>
      <c r="AF671">
        <f>IFERROR(INDEX(PP_Grid[#Data],$DE671,29),0)</f>
        <v/>
      </c>
      <c r="AG671">
        <f>IFERROR(INDEX(PP_Grid[#Data],$DE671,30),0)</f>
        <v/>
      </c>
      <c r="AH671">
        <f>IFERROR(INDEX(PP_Grid[#Data],$DE671,31),0)</f>
        <v/>
      </c>
      <c r="AI671">
        <f>IFERROR(INDEX(PP_Grid[#Data],$DE671,32),0)</f>
        <v/>
      </c>
      <c r="AJ671">
        <f>IFERROR(INDEX(PP_Grid[#Data],$DE671,33),0)</f>
        <v/>
      </c>
      <c r="AK671">
        <f>IFERROR(INDEX(PP_Grid[#Data],$DE671,34),0)</f>
        <v/>
      </c>
      <c r="AL671">
        <f>IFERROR(INDEX(PP_Grid[#Data],$DE671,35),0)</f>
        <v/>
      </c>
      <c r="AM671">
        <f>IFERROR(INDEX(PP_Grid[#Data],$DE671,36),0)</f>
        <v/>
      </c>
      <c r="AN671">
        <f>IFERROR(INDEX(PP_Grid[#Data],$DE671,37),0)</f>
        <v/>
      </c>
      <c r="AO671">
        <f>IFERROR(INDEX(PP_Grid[#Data],$DE671,38),0)</f>
        <v/>
      </c>
      <c r="AP671">
        <f>IFERROR(INDEX(PP_Grid[#Data],$DE671,39),0)</f>
        <v/>
      </c>
      <c r="AQ671">
        <f>IFERROR(INDEX(PP_Grid[#Data],$DE671,40),0)</f>
        <v/>
      </c>
      <c r="AR671">
        <f>IFERROR(INDEX(PP_Grid[#Data],$DE671,41),0)</f>
        <v/>
      </c>
      <c r="AS671">
        <f>IFERROR(INDEX(PP_Grid[#Data],$DE671,42),0)</f>
        <v/>
      </c>
      <c r="AT671">
        <f>IFERROR(INDEX(PP_Grid[#Data],$DE671,43),0)</f>
        <v/>
      </c>
      <c r="AU671">
        <f>IFERROR(INDEX(PP_Grid[#Data],$DE671,44),0)</f>
        <v/>
      </c>
      <c r="AV671">
        <f>IFERROR(INDEX(PP_Grid[#Data],$DE671,45),0)</f>
        <v/>
      </c>
      <c r="AW671">
        <f>IFERROR(INDEX(PP_Grid[#Data],$DE671,46),0)</f>
        <v/>
      </c>
      <c r="AX671">
        <f>IFERROR(INDEX(PP_Grid[#Data],$DE671,47),0)</f>
        <v/>
      </c>
      <c r="AY671">
        <f>IFERROR(INDEX(PP_Grid[#Data],$DE671,48),0)</f>
        <v/>
      </c>
      <c r="AZ671">
        <f>IFERROR(INDEX(PP_Grid[#Data],$DE671,49),0)</f>
        <v/>
      </c>
      <c r="BA671">
        <f>IFERROR(INDEX(PP_Grid[#Data],$DE671,50),0)</f>
        <v/>
      </c>
      <c r="BB671">
        <f>IFERROR(INDEX(PP_Grid[#Data],$DE671,51),0)</f>
        <v/>
      </c>
      <c r="BC671">
        <f>IFERROR(INDEX(PP_Grid[#Data],$DE671,52),0)</f>
        <v/>
      </c>
      <c r="BD671">
        <f>IFERROR(INDEX(PP_Grid[#Data],$DE671,53),0)</f>
        <v/>
      </c>
      <c r="BE671">
        <f>IFERROR(INDEX(PP_Grid[#Data],$DE671,54),0)</f>
        <v/>
      </c>
      <c r="BF671">
        <f>IFERROR(INDEX(PP_Grid[#Data],$DE671,55),0)</f>
        <v/>
      </c>
      <c r="BG671">
        <f>IFERROR(INDEX(PP_Grid[#Data],$DE671,56),0)</f>
        <v/>
      </c>
      <c r="BH671">
        <f>IFERROR(INDEX(PP_Grid[#Data],$DE671,57),0)</f>
        <v/>
      </c>
      <c r="BI671">
        <f>IFERROR(INDEX(PP_Grid[#Data],$DE671,58),0)</f>
        <v/>
      </c>
      <c r="BJ671">
        <f>IFERROR(INDEX(PP_Grid[#Data],$DE671,59),0)</f>
        <v/>
      </c>
      <c r="BK671">
        <f>IFERROR(INDEX(PP_Grid[#Data],$DE671,60),0)</f>
        <v/>
      </c>
      <c r="BL671">
        <f>IFERROR(INDEX(PP_Grid[#Data],$DE671,61),0)</f>
        <v/>
      </c>
      <c r="BM671">
        <f>IFERROR(INDEX(PP_Grid[#Data],$DE671,62),0)</f>
        <v/>
      </c>
      <c r="BN671">
        <f>IFERROR(INDEX(PP_Grid[#Data],$DE671,63),0)</f>
        <v/>
      </c>
      <c r="BO671">
        <f>IFERROR(INDEX(PP_Grid[#Data],$DE671,64),0)</f>
        <v/>
      </c>
      <c r="BP671">
        <f>IFERROR(INDEX(PP_Grid[#Data],$DE671,65),0)</f>
        <v/>
      </c>
      <c r="BQ671">
        <f>IFERROR(INDEX(PP_Grid[#Data],$DE671,66),0)</f>
        <v/>
      </c>
      <c r="BR671">
        <f>IFERROR(INDEX(PP_Grid[#Data],$DE671,67),0)</f>
        <v/>
      </c>
      <c r="BS671">
        <f>IFERROR(INDEX(PP_Grid[#Data],$DE671,68),0)</f>
        <v/>
      </c>
      <c r="BT671">
        <f>IFERROR(INDEX(PP_Grid[#Data],$DE671,69),0)</f>
        <v/>
      </c>
      <c r="BU671">
        <f>IFERROR(INDEX(PP_Grid[#Data],$DE671,70),0)</f>
        <v/>
      </c>
      <c r="BV671">
        <f>IFERROR(INDEX(PP_Grid[#Data],$DE671,71),0)</f>
        <v/>
      </c>
      <c r="BW671">
        <f>IFERROR(INDEX(PP_Grid[#Data],$DE671,72),0)</f>
        <v/>
      </c>
      <c r="BX671">
        <f>IFERROR(INDEX(PP_Grid[#Data],$DE671,73),0)</f>
        <v/>
      </c>
      <c r="BY671">
        <f>IFERROR(INDEX(PP_Grid[#Data],$DE671,74),0)</f>
        <v/>
      </c>
      <c r="BZ671">
        <f>IFERROR(INDEX(PP_Grid[#Data],$DE671,75),0)</f>
        <v/>
      </c>
      <c r="CA671">
        <f>IFERROR(INDEX(PP_Grid[#Data],$DE671,76),0)</f>
        <v/>
      </c>
      <c r="CB671">
        <f>IFERROR(INDEX(PP_Grid[#Data],$DE671,77),0)</f>
        <v/>
      </c>
      <c r="CC671">
        <f>IFERROR(INDEX(PP_Grid[#Data],$DE671,78),0)</f>
        <v/>
      </c>
      <c r="CD671">
        <f>IFERROR(INDEX(PP_Grid[#Data],$DE671,79),0)</f>
        <v/>
      </c>
      <c r="CE671">
        <f>IFERROR(INDEX(PP_Grid[#Data],$DE671,80),0)</f>
        <v/>
      </c>
      <c r="CF671">
        <f>IFERROR(INDEX(PP_Grid[#Data],$DE671,81),0)</f>
        <v/>
      </c>
      <c r="CG671">
        <f>IFERROR(INDEX(PP_Grid[#Data],$DE671,82),0)</f>
        <v/>
      </c>
      <c r="CH671">
        <f>IFERROR(INDEX(PP_Grid[#Data],$DE671,83),0)</f>
        <v/>
      </c>
      <c r="CI671">
        <f>IFERROR(INDEX(PP_Grid[#Data],$DE671,84),0)</f>
        <v/>
      </c>
      <c r="CJ671">
        <f>IFERROR(INDEX(PP_Grid[#Data],$DE671,85),0)</f>
        <v/>
      </c>
      <c r="CK671">
        <f>IFERROR(INDEX(PP_Grid[#Data],$DE671,86),0)</f>
        <v/>
      </c>
      <c r="CL671">
        <f>IFERROR(INDEX(PP_Grid[#Data],$DE671,87),0)</f>
        <v/>
      </c>
      <c r="CM671">
        <f>IFERROR(INDEX(PP_Grid[#Data],$DE671,88),0)</f>
        <v/>
      </c>
      <c r="CN671">
        <f>IFERROR(INDEX(PP_Grid[#Data],$DE671,89),0)</f>
        <v/>
      </c>
      <c r="CO671">
        <f>IFERROR(INDEX(PP_Grid[#Data],$DE671,90),0)</f>
        <v/>
      </c>
      <c r="CP671">
        <f>IFERROR(INDEX(PP_Grid[#Data],$DE671,91),0)</f>
        <v/>
      </c>
      <c r="CQ671">
        <f>IFERROR(INDEX(PP_Grid[#Data],$DE671,92),0)</f>
        <v/>
      </c>
      <c r="CR671">
        <f>IFERROR(INDEX(PP_Grid[#Data],$DE671,93),0)</f>
        <v/>
      </c>
      <c r="CS671">
        <f>IFERROR(INDEX(PP_Grid[#Data],$DE671,94),0)</f>
        <v/>
      </c>
      <c r="CT671">
        <f>IFERROR(INDEX(PP_Grid[#Data],$DE671,95),0)</f>
        <v/>
      </c>
      <c r="CU671">
        <f>IFERROR(INDEX(PP_Grid[#Data],$DE671,96),0)</f>
        <v/>
      </c>
      <c r="CV671">
        <f>IFERROR(INDEX(PP_Grid[#Data],$DE671,97),0)</f>
        <v/>
      </c>
      <c r="CW671">
        <f>IFERROR(INDEX(PP_Grid[#Data],$DE671,98),0)</f>
        <v/>
      </c>
      <c r="CX671">
        <f>IFERROR(INDEX(PP_Grid[#Data],$DE671,99),0)</f>
        <v/>
      </c>
      <c r="CY671">
        <f>IFERROR(INDEX(PP_Grid[#Data],$DE671,100),0)</f>
        <v/>
      </c>
      <c r="CZ671">
        <f>IFERROR(INDEX(PP_Grid[#Data],$DE671,101),0)</f>
        <v/>
      </c>
      <c r="DA671">
        <f>IFERROR(INDEX(PP_Grid[#Data],$DE671,102),0)</f>
        <v/>
      </c>
      <c r="DB671">
        <f>IFERROR(INDEX(PP_Grid[#Data],$DE671,103),0)</f>
        <v/>
      </c>
      <c r="DC671">
        <f>IFERROR(INDEX(PP_Grid[#Data],$DE671,104),0)</f>
        <v/>
      </c>
      <c r="DD671">
        <f>IFERROR(INDEX(PP_Grid[#Data],$DE671,105),0)</f>
        <v/>
      </c>
      <c r="DE671" s="7">
        <f>IFERROR(MATCH($B671,PP_Grid[Intermediate],0),99999)</f>
        <v/>
      </c>
    </row>
    <row r="672">
      <c r="B672" t="inlineStr">
        <is>
          <t>使用量(kg)</t>
        </is>
      </c>
      <c r="C672">
        <f>SUMIFS(M_BOM[RM_Qty_Per_Batch],M_BOM[Intermediate],$B671,M_BOM[RM_Code],$A636)</f>
        <v/>
      </c>
      <c r="D672">
        <f>IFERROR(INDEX(E672:DD672,$F$1),"")</f>
        <v/>
      </c>
      <c r="E672">
        <f>$C672*E671</f>
        <v/>
      </c>
      <c r="F672">
        <f>$C672*F671</f>
        <v/>
      </c>
      <c r="G672">
        <f>$C672*G671</f>
        <v/>
      </c>
      <c r="H672">
        <f>$C672*H671</f>
        <v/>
      </c>
      <c r="I672">
        <f>$C672*I671</f>
        <v/>
      </c>
      <c r="J672">
        <f>$C672*J671</f>
        <v/>
      </c>
      <c r="K672">
        <f>$C672*K671</f>
        <v/>
      </c>
      <c r="L672">
        <f>$C672*L671</f>
        <v/>
      </c>
      <c r="M672">
        <f>$C672*M671</f>
        <v/>
      </c>
      <c r="N672">
        <f>$C672*N671</f>
        <v/>
      </c>
      <c r="O672">
        <f>$C672*O671</f>
        <v/>
      </c>
      <c r="P672">
        <f>$C672*P671</f>
        <v/>
      </c>
      <c r="Q672">
        <f>$C672*Q671</f>
        <v/>
      </c>
      <c r="R672">
        <f>$C672*R671</f>
        <v/>
      </c>
      <c r="S672">
        <f>$C672*S671</f>
        <v/>
      </c>
      <c r="T672">
        <f>$C672*T671</f>
        <v/>
      </c>
      <c r="U672">
        <f>$C672*U671</f>
        <v/>
      </c>
      <c r="V672">
        <f>$C672*V671</f>
        <v/>
      </c>
      <c r="W672">
        <f>$C672*W671</f>
        <v/>
      </c>
      <c r="X672">
        <f>$C672*X671</f>
        <v/>
      </c>
      <c r="Y672">
        <f>$C672*Y671</f>
        <v/>
      </c>
      <c r="Z672">
        <f>$C672*Z671</f>
        <v/>
      </c>
      <c r="AA672">
        <f>$C672*AA671</f>
        <v/>
      </c>
      <c r="AB672">
        <f>$C672*AB671</f>
        <v/>
      </c>
      <c r="AC672">
        <f>$C672*AC671</f>
        <v/>
      </c>
      <c r="AD672">
        <f>$C672*AD671</f>
        <v/>
      </c>
      <c r="AE672">
        <f>$C672*AE671</f>
        <v/>
      </c>
      <c r="AF672">
        <f>$C672*AF671</f>
        <v/>
      </c>
      <c r="AG672">
        <f>$C672*AG671</f>
        <v/>
      </c>
      <c r="AH672">
        <f>$C672*AH671</f>
        <v/>
      </c>
      <c r="AI672">
        <f>$C672*AI671</f>
        <v/>
      </c>
      <c r="AJ672">
        <f>$C672*AJ671</f>
        <v/>
      </c>
      <c r="AK672">
        <f>$C672*AK671</f>
        <v/>
      </c>
      <c r="AL672">
        <f>$C672*AL671</f>
        <v/>
      </c>
      <c r="AM672">
        <f>$C672*AM671</f>
        <v/>
      </c>
      <c r="AN672">
        <f>$C672*AN671</f>
        <v/>
      </c>
      <c r="AO672">
        <f>$C672*AO671</f>
        <v/>
      </c>
      <c r="AP672">
        <f>$C672*AP671</f>
        <v/>
      </c>
      <c r="AQ672">
        <f>$C672*AQ671</f>
        <v/>
      </c>
      <c r="AR672">
        <f>$C672*AR671</f>
        <v/>
      </c>
      <c r="AS672">
        <f>$C672*AS671</f>
        <v/>
      </c>
      <c r="AT672">
        <f>$C672*AT671</f>
        <v/>
      </c>
      <c r="AU672">
        <f>$C672*AU671</f>
        <v/>
      </c>
      <c r="AV672">
        <f>$C672*AV671</f>
        <v/>
      </c>
      <c r="AW672">
        <f>$C672*AW671</f>
        <v/>
      </c>
      <c r="AX672">
        <f>$C672*AX671</f>
        <v/>
      </c>
      <c r="AY672">
        <f>$C672*AY671</f>
        <v/>
      </c>
      <c r="AZ672">
        <f>$C672*AZ671</f>
        <v/>
      </c>
      <c r="BA672">
        <f>$C672*BA671</f>
        <v/>
      </c>
      <c r="BB672">
        <f>$C672*BB671</f>
        <v/>
      </c>
      <c r="BC672">
        <f>$C672*BC671</f>
        <v/>
      </c>
      <c r="BD672">
        <f>$C672*BD671</f>
        <v/>
      </c>
      <c r="BE672">
        <f>$C672*BE671</f>
        <v/>
      </c>
      <c r="BF672">
        <f>$C672*BF671</f>
        <v/>
      </c>
      <c r="BG672">
        <f>$C672*BG671</f>
        <v/>
      </c>
      <c r="BH672">
        <f>$C672*BH671</f>
        <v/>
      </c>
      <c r="BI672">
        <f>$C672*BI671</f>
        <v/>
      </c>
      <c r="BJ672">
        <f>$C672*BJ671</f>
        <v/>
      </c>
      <c r="BK672">
        <f>$C672*BK671</f>
        <v/>
      </c>
      <c r="BL672">
        <f>$C672*BL671</f>
        <v/>
      </c>
      <c r="BM672">
        <f>$C672*BM671</f>
        <v/>
      </c>
      <c r="BN672">
        <f>$C672*BN671</f>
        <v/>
      </c>
      <c r="BO672">
        <f>$C672*BO671</f>
        <v/>
      </c>
      <c r="BP672">
        <f>$C672*BP671</f>
        <v/>
      </c>
      <c r="BQ672">
        <f>$C672*BQ671</f>
        <v/>
      </c>
      <c r="BR672">
        <f>$C672*BR671</f>
        <v/>
      </c>
      <c r="BS672">
        <f>$C672*BS671</f>
        <v/>
      </c>
      <c r="BT672">
        <f>$C672*BT671</f>
        <v/>
      </c>
      <c r="BU672">
        <f>$C672*BU671</f>
        <v/>
      </c>
      <c r="BV672">
        <f>$C672*BV671</f>
        <v/>
      </c>
      <c r="BW672">
        <f>$C672*BW671</f>
        <v/>
      </c>
      <c r="BX672">
        <f>$C672*BX671</f>
        <v/>
      </c>
      <c r="BY672">
        <f>$C672*BY671</f>
        <v/>
      </c>
      <c r="BZ672">
        <f>$C672*BZ671</f>
        <v/>
      </c>
      <c r="CA672">
        <f>$C672*CA671</f>
        <v/>
      </c>
      <c r="CB672">
        <f>$C672*CB671</f>
        <v/>
      </c>
      <c r="CC672">
        <f>$C672*CC671</f>
        <v/>
      </c>
      <c r="CD672">
        <f>$C672*CD671</f>
        <v/>
      </c>
      <c r="CE672">
        <f>$C672*CE671</f>
        <v/>
      </c>
      <c r="CF672">
        <f>$C672*CF671</f>
        <v/>
      </c>
      <c r="CG672">
        <f>$C672*CG671</f>
        <v/>
      </c>
      <c r="CH672">
        <f>$C672*CH671</f>
        <v/>
      </c>
      <c r="CI672">
        <f>$C672*CI671</f>
        <v/>
      </c>
      <c r="CJ672">
        <f>$C672*CJ671</f>
        <v/>
      </c>
      <c r="CK672">
        <f>$C672*CK671</f>
        <v/>
      </c>
      <c r="CL672">
        <f>$C672*CL671</f>
        <v/>
      </c>
      <c r="CM672">
        <f>$C672*CM671</f>
        <v/>
      </c>
      <c r="CN672">
        <f>$C672*CN671</f>
        <v/>
      </c>
      <c r="CO672">
        <f>$C672*CO671</f>
        <v/>
      </c>
      <c r="CP672">
        <f>$C672*CP671</f>
        <v/>
      </c>
      <c r="CQ672">
        <f>$C672*CQ671</f>
        <v/>
      </c>
      <c r="CR672">
        <f>$C672*CR671</f>
        <v/>
      </c>
      <c r="CS672">
        <f>$C672*CS671</f>
        <v/>
      </c>
      <c r="CT672">
        <f>$C672*CT671</f>
        <v/>
      </c>
      <c r="CU672">
        <f>$C672*CU671</f>
        <v/>
      </c>
      <c r="CV672">
        <f>$C672*CV671</f>
        <v/>
      </c>
      <c r="CW672">
        <f>$C672*CW671</f>
        <v/>
      </c>
      <c r="CX672">
        <f>$C672*CX671</f>
        <v/>
      </c>
      <c r="CY672">
        <f>$C672*CY671</f>
        <v/>
      </c>
      <c r="CZ672">
        <f>$C672*CZ671</f>
        <v/>
      </c>
      <c r="DA672">
        <f>$C672*DA671</f>
        <v/>
      </c>
      <c r="DB672">
        <f>$C672*DB671</f>
        <v/>
      </c>
      <c r="DC672">
        <f>$C672*DC671</f>
        <v/>
      </c>
      <c r="DD672">
        <f>$C672*DD671</f>
        <v/>
      </c>
    </row>
    <row r="673">
      <c r="B673" t="inlineStr">
        <is>
          <t>TSP-618</t>
        </is>
      </c>
      <c r="C673" t="inlineStr">
        <is>
          <t>No. of batches</t>
        </is>
      </c>
      <c r="D673">
        <f>IFERROR(INDEX(E673:DD673,$F$1),"")</f>
        <v/>
      </c>
      <c r="E673">
        <f>IFERROR(INDEX(PP_Grid[#Data],$DE673,2),0)</f>
        <v/>
      </c>
      <c r="F673">
        <f>IFERROR(INDEX(PP_Grid[#Data],$DE673,3),0)</f>
        <v/>
      </c>
      <c r="G673">
        <f>IFERROR(INDEX(PP_Grid[#Data],$DE673,4),0)</f>
        <v/>
      </c>
      <c r="H673">
        <f>IFERROR(INDEX(PP_Grid[#Data],$DE673,5),0)</f>
        <v/>
      </c>
      <c r="I673">
        <f>IFERROR(INDEX(PP_Grid[#Data],$DE673,6),0)</f>
        <v/>
      </c>
      <c r="J673">
        <f>IFERROR(INDEX(PP_Grid[#Data],$DE673,7),0)</f>
        <v/>
      </c>
      <c r="K673">
        <f>IFERROR(INDEX(PP_Grid[#Data],$DE673,8),0)</f>
        <v/>
      </c>
      <c r="L673">
        <f>IFERROR(INDEX(PP_Grid[#Data],$DE673,9),0)</f>
        <v/>
      </c>
      <c r="M673">
        <f>IFERROR(INDEX(PP_Grid[#Data],$DE673,10),0)</f>
        <v/>
      </c>
      <c r="N673">
        <f>IFERROR(INDEX(PP_Grid[#Data],$DE673,11),0)</f>
        <v/>
      </c>
      <c r="O673">
        <f>IFERROR(INDEX(PP_Grid[#Data],$DE673,12),0)</f>
        <v/>
      </c>
      <c r="P673">
        <f>IFERROR(INDEX(PP_Grid[#Data],$DE673,13),0)</f>
        <v/>
      </c>
      <c r="Q673">
        <f>IFERROR(INDEX(PP_Grid[#Data],$DE673,14),0)</f>
        <v/>
      </c>
      <c r="R673">
        <f>IFERROR(INDEX(PP_Grid[#Data],$DE673,15),0)</f>
        <v/>
      </c>
      <c r="S673">
        <f>IFERROR(INDEX(PP_Grid[#Data],$DE673,16),0)</f>
        <v/>
      </c>
      <c r="T673">
        <f>IFERROR(INDEX(PP_Grid[#Data],$DE673,17),0)</f>
        <v/>
      </c>
      <c r="U673">
        <f>IFERROR(INDEX(PP_Grid[#Data],$DE673,18),0)</f>
        <v/>
      </c>
      <c r="V673">
        <f>IFERROR(INDEX(PP_Grid[#Data],$DE673,19),0)</f>
        <v/>
      </c>
      <c r="W673">
        <f>IFERROR(INDEX(PP_Grid[#Data],$DE673,20),0)</f>
        <v/>
      </c>
      <c r="X673">
        <f>IFERROR(INDEX(PP_Grid[#Data],$DE673,21),0)</f>
        <v/>
      </c>
      <c r="Y673">
        <f>IFERROR(INDEX(PP_Grid[#Data],$DE673,22),0)</f>
        <v/>
      </c>
      <c r="Z673">
        <f>IFERROR(INDEX(PP_Grid[#Data],$DE673,23),0)</f>
        <v/>
      </c>
      <c r="AA673">
        <f>IFERROR(INDEX(PP_Grid[#Data],$DE673,24),0)</f>
        <v/>
      </c>
      <c r="AB673">
        <f>IFERROR(INDEX(PP_Grid[#Data],$DE673,25),0)</f>
        <v/>
      </c>
      <c r="AC673">
        <f>IFERROR(INDEX(PP_Grid[#Data],$DE673,26),0)</f>
        <v/>
      </c>
      <c r="AD673">
        <f>IFERROR(INDEX(PP_Grid[#Data],$DE673,27),0)</f>
        <v/>
      </c>
      <c r="AE673">
        <f>IFERROR(INDEX(PP_Grid[#Data],$DE673,28),0)</f>
        <v/>
      </c>
      <c r="AF673">
        <f>IFERROR(INDEX(PP_Grid[#Data],$DE673,29),0)</f>
        <v/>
      </c>
      <c r="AG673">
        <f>IFERROR(INDEX(PP_Grid[#Data],$DE673,30),0)</f>
        <v/>
      </c>
      <c r="AH673">
        <f>IFERROR(INDEX(PP_Grid[#Data],$DE673,31),0)</f>
        <v/>
      </c>
      <c r="AI673">
        <f>IFERROR(INDEX(PP_Grid[#Data],$DE673,32),0)</f>
        <v/>
      </c>
      <c r="AJ673">
        <f>IFERROR(INDEX(PP_Grid[#Data],$DE673,33),0)</f>
        <v/>
      </c>
      <c r="AK673">
        <f>IFERROR(INDEX(PP_Grid[#Data],$DE673,34),0)</f>
        <v/>
      </c>
      <c r="AL673">
        <f>IFERROR(INDEX(PP_Grid[#Data],$DE673,35),0)</f>
        <v/>
      </c>
      <c r="AM673">
        <f>IFERROR(INDEX(PP_Grid[#Data],$DE673,36),0)</f>
        <v/>
      </c>
      <c r="AN673">
        <f>IFERROR(INDEX(PP_Grid[#Data],$DE673,37),0)</f>
        <v/>
      </c>
      <c r="AO673">
        <f>IFERROR(INDEX(PP_Grid[#Data],$DE673,38),0)</f>
        <v/>
      </c>
      <c r="AP673">
        <f>IFERROR(INDEX(PP_Grid[#Data],$DE673,39),0)</f>
        <v/>
      </c>
      <c r="AQ673">
        <f>IFERROR(INDEX(PP_Grid[#Data],$DE673,40),0)</f>
        <v/>
      </c>
      <c r="AR673">
        <f>IFERROR(INDEX(PP_Grid[#Data],$DE673,41),0)</f>
        <v/>
      </c>
      <c r="AS673">
        <f>IFERROR(INDEX(PP_Grid[#Data],$DE673,42),0)</f>
        <v/>
      </c>
      <c r="AT673">
        <f>IFERROR(INDEX(PP_Grid[#Data],$DE673,43),0)</f>
        <v/>
      </c>
      <c r="AU673">
        <f>IFERROR(INDEX(PP_Grid[#Data],$DE673,44),0)</f>
        <v/>
      </c>
      <c r="AV673">
        <f>IFERROR(INDEX(PP_Grid[#Data],$DE673,45),0)</f>
        <v/>
      </c>
      <c r="AW673">
        <f>IFERROR(INDEX(PP_Grid[#Data],$DE673,46),0)</f>
        <v/>
      </c>
      <c r="AX673">
        <f>IFERROR(INDEX(PP_Grid[#Data],$DE673,47),0)</f>
        <v/>
      </c>
      <c r="AY673">
        <f>IFERROR(INDEX(PP_Grid[#Data],$DE673,48),0)</f>
        <v/>
      </c>
      <c r="AZ673">
        <f>IFERROR(INDEX(PP_Grid[#Data],$DE673,49),0)</f>
        <v/>
      </c>
      <c r="BA673">
        <f>IFERROR(INDEX(PP_Grid[#Data],$DE673,50),0)</f>
        <v/>
      </c>
      <c r="BB673">
        <f>IFERROR(INDEX(PP_Grid[#Data],$DE673,51),0)</f>
        <v/>
      </c>
      <c r="BC673">
        <f>IFERROR(INDEX(PP_Grid[#Data],$DE673,52),0)</f>
        <v/>
      </c>
      <c r="BD673">
        <f>IFERROR(INDEX(PP_Grid[#Data],$DE673,53),0)</f>
        <v/>
      </c>
      <c r="BE673">
        <f>IFERROR(INDEX(PP_Grid[#Data],$DE673,54),0)</f>
        <v/>
      </c>
      <c r="BF673">
        <f>IFERROR(INDEX(PP_Grid[#Data],$DE673,55),0)</f>
        <v/>
      </c>
      <c r="BG673">
        <f>IFERROR(INDEX(PP_Grid[#Data],$DE673,56),0)</f>
        <v/>
      </c>
      <c r="BH673">
        <f>IFERROR(INDEX(PP_Grid[#Data],$DE673,57),0)</f>
        <v/>
      </c>
      <c r="BI673">
        <f>IFERROR(INDEX(PP_Grid[#Data],$DE673,58),0)</f>
        <v/>
      </c>
      <c r="BJ673">
        <f>IFERROR(INDEX(PP_Grid[#Data],$DE673,59),0)</f>
        <v/>
      </c>
      <c r="BK673">
        <f>IFERROR(INDEX(PP_Grid[#Data],$DE673,60),0)</f>
        <v/>
      </c>
      <c r="BL673">
        <f>IFERROR(INDEX(PP_Grid[#Data],$DE673,61),0)</f>
        <v/>
      </c>
      <c r="BM673">
        <f>IFERROR(INDEX(PP_Grid[#Data],$DE673,62),0)</f>
        <v/>
      </c>
      <c r="BN673">
        <f>IFERROR(INDEX(PP_Grid[#Data],$DE673,63),0)</f>
        <v/>
      </c>
      <c r="BO673">
        <f>IFERROR(INDEX(PP_Grid[#Data],$DE673,64),0)</f>
        <v/>
      </c>
      <c r="BP673">
        <f>IFERROR(INDEX(PP_Grid[#Data],$DE673,65),0)</f>
        <v/>
      </c>
      <c r="BQ673">
        <f>IFERROR(INDEX(PP_Grid[#Data],$DE673,66),0)</f>
        <v/>
      </c>
      <c r="BR673">
        <f>IFERROR(INDEX(PP_Grid[#Data],$DE673,67),0)</f>
        <v/>
      </c>
      <c r="BS673">
        <f>IFERROR(INDEX(PP_Grid[#Data],$DE673,68),0)</f>
        <v/>
      </c>
      <c r="BT673">
        <f>IFERROR(INDEX(PP_Grid[#Data],$DE673,69),0)</f>
        <v/>
      </c>
      <c r="BU673">
        <f>IFERROR(INDEX(PP_Grid[#Data],$DE673,70),0)</f>
        <v/>
      </c>
      <c r="BV673">
        <f>IFERROR(INDEX(PP_Grid[#Data],$DE673,71),0)</f>
        <v/>
      </c>
      <c r="BW673">
        <f>IFERROR(INDEX(PP_Grid[#Data],$DE673,72),0)</f>
        <v/>
      </c>
      <c r="BX673">
        <f>IFERROR(INDEX(PP_Grid[#Data],$DE673,73),0)</f>
        <v/>
      </c>
      <c r="BY673">
        <f>IFERROR(INDEX(PP_Grid[#Data],$DE673,74),0)</f>
        <v/>
      </c>
      <c r="BZ673">
        <f>IFERROR(INDEX(PP_Grid[#Data],$DE673,75),0)</f>
        <v/>
      </c>
      <c r="CA673">
        <f>IFERROR(INDEX(PP_Grid[#Data],$DE673,76),0)</f>
        <v/>
      </c>
      <c r="CB673">
        <f>IFERROR(INDEX(PP_Grid[#Data],$DE673,77),0)</f>
        <v/>
      </c>
      <c r="CC673">
        <f>IFERROR(INDEX(PP_Grid[#Data],$DE673,78),0)</f>
        <v/>
      </c>
      <c r="CD673">
        <f>IFERROR(INDEX(PP_Grid[#Data],$DE673,79),0)</f>
        <v/>
      </c>
      <c r="CE673">
        <f>IFERROR(INDEX(PP_Grid[#Data],$DE673,80),0)</f>
        <v/>
      </c>
      <c r="CF673">
        <f>IFERROR(INDEX(PP_Grid[#Data],$DE673,81),0)</f>
        <v/>
      </c>
      <c r="CG673">
        <f>IFERROR(INDEX(PP_Grid[#Data],$DE673,82),0)</f>
        <v/>
      </c>
      <c r="CH673">
        <f>IFERROR(INDEX(PP_Grid[#Data],$DE673,83),0)</f>
        <v/>
      </c>
      <c r="CI673">
        <f>IFERROR(INDEX(PP_Grid[#Data],$DE673,84),0)</f>
        <v/>
      </c>
      <c r="CJ673">
        <f>IFERROR(INDEX(PP_Grid[#Data],$DE673,85),0)</f>
        <v/>
      </c>
      <c r="CK673">
        <f>IFERROR(INDEX(PP_Grid[#Data],$DE673,86),0)</f>
        <v/>
      </c>
      <c r="CL673">
        <f>IFERROR(INDEX(PP_Grid[#Data],$DE673,87),0)</f>
        <v/>
      </c>
      <c r="CM673">
        <f>IFERROR(INDEX(PP_Grid[#Data],$DE673,88),0)</f>
        <v/>
      </c>
      <c r="CN673">
        <f>IFERROR(INDEX(PP_Grid[#Data],$DE673,89),0)</f>
        <v/>
      </c>
      <c r="CO673">
        <f>IFERROR(INDEX(PP_Grid[#Data],$DE673,90),0)</f>
        <v/>
      </c>
      <c r="CP673">
        <f>IFERROR(INDEX(PP_Grid[#Data],$DE673,91),0)</f>
        <v/>
      </c>
      <c r="CQ673">
        <f>IFERROR(INDEX(PP_Grid[#Data],$DE673,92),0)</f>
        <v/>
      </c>
      <c r="CR673">
        <f>IFERROR(INDEX(PP_Grid[#Data],$DE673,93),0)</f>
        <v/>
      </c>
      <c r="CS673">
        <f>IFERROR(INDEX(PP_Grid[#Data],$DE673,94),0)</f>
        <v/>
      </c>
      <c r="CT673">
        <f>IFERROR(INDEX(PP_Grid[#Data],$DE673,95),0)</f>
        <v/>
      </c>
      <c r="CU673">
        <f>IFERROR(INDEX(PP_Grid[#Data],$DE673,96),0)</f>
        <v/>
      </c>
      <c r="CV673">
        <f>IFERROR(INDEX(PP_Grid[#Data],$DE673,97),0)</f>
        <v/>
      </c>
      <c r="CW673">
        <f>IFERROR(INDEX(PP_Grid[#Data],$DE673,98),0)</f>
        <v/>
      </c>
      <c r="CX673">
        <f>IFERROR(INDEX(PP_Grid[#Data],$DE673,99),0)</f>
        <v/>
      </c>
      <c r="CY673">
        <f>IFERROR(INDEX(PP_Grid[#Data],$DE673,100),0)</f>
        <v/>
      </c>
      <c r="CZ673">
        <f>IFERROR(INDEX(PP_Grid[#Data],$DE673,101),0)</f>
        <v/>
      </c>
      <c r="DA673">
        <f>IFERROR(INDEX(PP_Grid[#Data],$DE673,102),0)</f>
        <v/>
      </c>
      <c r="DB673">
        <f>IFERROR(INDEX(PP_Grid[#Data],$DE673,103),0)</f>
        <v/>
      </c>
      <c r="DC673">
        <f>IFERROR(INDEX(PP_Grid[#Data],$DE673,104),0)</f>
        <v/>
      </c>
      <c r="DD673">
        <f>IFERROR(INDEX(PP_Grid[#Data],$DE673,105),0)</f>
        <v/>
      </c>
      <c r="DE673" s="7">
        <f>IFERROR(MATCH($B673,PP_Grid[Intermediate],0),99999)</f>
        <v/>
      </c>
    </row>
    <row r="674">
      <c r="B674" t="inlineStr">
        <is>
          <t>使用量(kg)</t>
        </is>
      </c>
      <c r="C674">
        <f>SUMIFS(M_BOM[RM_Qty_Per_Batch],M_BOM[Intermediate],$B673,M_BOM[RM_Code],$A636)</f>
        <v/>
      </c>
      <c r="D674">
        <f>IFERROR(INDEX(E674:DD674,$F$1),"")</f>
        <v/>
      </c>
      <c r="E674">
        <f>$C674*E673</f>
        <v/>
      </c>
      <c r="F674">
        <f>$C674*F673</f>
        <v/>
      </c>
      <c r="G674">
        <f>$C674*G673</f>
        <v/>
      </c>
      <c r="H674">
        <f>$C674*H673</f>
        <v/>
      </c>
      <c r="I674">
        <f>$C674*I673</f>
        <v/>
      </c>
      <c r="J674">
        <f>$C674*J673</f>
        <v/>
      </c>
      <c r="K674">
        <f>$C674*K673</f>
        <v/>
      </c>
      <c r="L674">
        <f>$C674*L673</f>
        <v/>
      </c>
      <c r="M674">
        <f>$C674*M673</f>
        <v/>
      </c>
      <c r="N674">
        <f>$C674*N673</f>
        <v/>
      </c>
      <c r="O674">
        <f>$C674*O673</f>
        <v/>
      </c>
      <c r="P674">
        <f>$C674*P673</f>
        <v/>
      </c>
      <c r="Q674">
        <f>$C674*Q673</f>
        <v/>
      </c>
      <c r="R674">
        <f>$C674*R673</f>
        <v/>
      </c>
      <c r="S674">
        <f>$C674*S673</f>
        <v/>
      </c>
      <c r="T674">
        <f>$C674*T673</f>
        <v/>
      </c>
      <c r="U674">
        <f>$C674*U673</f>
        <v/>
      </c>
      <c r="V674">
        <f>$C674*V673</f>
        <v/>
      </c>
      <c r="W674">
        <f>$C674*W673</f>
        <v/>
      </c>
      <c r="X674">
        <f>$C674*X673</f>
        <v/>
      </c>
      <c r="Y674">
        <f>$C674*Y673</f>
        <v/>
      </c>
      <c r="Z674">
        <f>$C674*Z673</f>
        <v/>
      </c>
      <c r="AA674">
        <f>$C674*AA673</f>
        <v/>
      </c>
      <c r="AB674">
        <f>$C674*AB673</f>
        <v/>
      </c>
      <c r="AC674">
        <f>$C674*AC673</f>
        <v/>
      </c>
      <c r="AD674">
        <f>$C674*AD673</f>
        <v/>
      </c>
      <c r="AE674">
        <f>$C674*AE673</f>
        <v/>
      </c>
      <c r="AF674">
        <f>$C674*AF673</f>
        <v/>
      </c>
      <c r="AG674">
        <f>$C674*AG673</f>
        <v/>
      </c>
      <c r="AH674">
        <f>$C674*AH673</f>
        <v/>
      </c>
      <c r="AI674">
        <f>$C674*AI673</f>
        <v/>
      </c>
      <c r="AJ674">
        <f>$C674*AJ673</f>
        <v/>
      </c>
      <c r="AK674">
        <f>$C674*AK673</f>
        <v/>
      </c>
      <c r="AL674">
        <f>$C674*AL673</f>
        <v/>
      </c>
      <c r="AM674">
        <f>$C674*AM673</f>
        <v/>
      </c>
      <c r="AN674">
        <f>$C674*AN673</f>
        <v/>
      </c>
      <c r="AO674">
        <f>$C674*AO673</f>
        <v/>
      </c>
      <c r="AP674">
        <f>$C674*AP673</f>
        <v/>
      </c>
      <c r="AQ674">
        <f>$C674*AQ673</f>
        <v/>
      </c>
      <c r="AR674">
        <f>$C674*AR673</f>
        <v/>
      </c>
      <c r="AS674">
        <f>$C674*AS673</f>
        <v/>
      </c>
      <c r="AT674">
        <f>$C674*AT673</f>
        <v/>
      </c>
      <c r="AU674">
        <f>$C674*AU673</f>
        <v/>
      </c>
      <c r="AV674">
        <f>$C674*AV673</f>
        <v/>
      </c>
      <c r="AW674">
        <f>$C674*AW673</f>
        <v/>
      </c>
      <c r="AX674">
        <f>$C674*AX673</f>
        <v/>
      </c>
      <c r="AY674">
        <f>$C674*AY673</f>
        <v/>
      </c>
      <c r="AZ674">
        <f>$C674*AZ673</f>
        <v/>
      </c>
      <c r="BA674">
        <f>$C674*BA673</f>
        <v/>
      </c>
      <c r="BB674">
        <f>$C674*BB673</f>
        <v/>
      </c>
      <c r="BC674">
        <f>$C674*BC673</f>
        <v/>
      </c>
      <c r="BD674">
        <f>$C674*BD673</f>
        <v/>
      </c>
      <c r="BE674">
        <f>$C674*BE673</f>
        <v/>
      </c>
      <c r="BF674">
        <f>$C674*BF673</f>
        <v/>
      </c>
      <c r="BG674">
        <f>$C674*BG673</f>
        <v/>
      </c>
      <c r="BH674">
        <f>$C674*BH673</f>
        <v/>
      </c>
      <c r="BI674">
        <f>$C674*BI673</f>
        <v/>
      </c>
      <c r="BJ674">
        <f>$C674*BJ673</f>
        <v/>
      </c>
      <c r="BK674">
        <f>$C674*BK673</f>
        <v/>
      </c>
      <c r="BL674">
        <f>$C674*BL673</f>
        <v/>
      </c>
      <c r="BM674">
        <f>$C674*BM673</f>
        <v/>
      </c>
      <c r="BN674">
        <f>$C674*BN673</f>
        <v/>
      </c>
      <c r="BO674">
        <f>$C674*BO673</f>
        <v/>
      </c>
      <c r="BP674">
        <f>$C674*BP673</f>
        <v/>
      </c>
      <c r="BQ674">
        <f>$C674*BQ673</f>
        <v/>
      </c>
      <c r="BR674">
        <f>$C674*BR673</f>
        <v/>
      </c>
      <c r="BS674">
        <f>$C674*BS673</f>
        <v/>
      </c>
      <c r="BT674">
        <f>$C674*BT673</f>
        <v/>
      </c>
      <c r="BU674">
        <f>$C674*BU673</f>
        <v/>
      </c>
      <c r="BV674">
        <f>$C674*BV673</f>
        <v/>
      </c>
      <c r="BW674">
        <f>$C674*BW673</f>
        <v/>
      </c>
      <c r="BX674">
        <f>$C674*BX673</f>
        <v/>
      </c>
      <c r="BY674">
        <f>$C674*BY673</f>
        <v/>
      </c>
      <c r="BZ674">
        <f>$C674*BZ673</f>
        <v/>
      </c>
      <c r="CA674">
        <f>$C674*CA673</f>
        <v/>
      </c>
      <c r="CB674">
        <f>$C674*CB673</f>
        <v/>
      </c>
      <c r="CC674">
        <f>$C674*CC673</f>
        <v/>
      </c>
      <c r="CD674">
        <f>$C674*CD673</f>
        <v/>
      </c>
      <c r="CE674">
        <f>$C674*CE673</f>
        <v/>
      </c>
      <c r="CF674">
        <f>$C674*CF673</f>
        <v/>
      </c>
      <c r="CG674">
        <f>$C674*CG673</f>
        <v/>
      </c>
      <c r="CH674">
        <f>$C674*CH673</f>
        <v/>
      </c>
      <c r="CI674">
        <f>$C674*CI673</f>
        <v/>
      </c>
      <c r="CJ674">
        <f>$C674*CJ673</f>
        <v/>
      </c>
      <c r="CK674">
        <f>$C674*CK673</f>
        <v/>
      </c>
      <c r="CL674">
        <f>$C674*CL673</f>
        <v/>
      </c>
      <c r="CM674">
        <f>$C674*CM673</f>
        <v/>
      </c>
      <c r="CN674">
        <f>$C674*CN673</f>
        <v/>
      </c>
      <c r="CO674">
        <f>$C674*CO673</f>
        <v/>
      </c>
      <c r="CP674">
        <f>$C674*CP673</f>
        <v/>
      </c>
      <c r="CQ674">
        <f>$C674*CQ673</f>
        <v/>
      </c>
      <c r="CR674">
        <f>$C674*CR673</f>
        <v/>
      </c>
      <c r="CS674">
        <f>$C674*CS673</f>
        <v/>
      </c>
      <c r="CT674">
        <f>$C674*CT673</f>
        <v/>
      </c>
      <c r="CU674">
        <f>$C674*CU673</f>
        <v/>
      </c>
      <c r="CV674">
        <f>$C674*CV673</f>
        <v/>
      </c>
      <c r="CW674">
        <f>$C674*CW673</f>
        <v/>
      </c>
      <c r="CX674">
        <f>$C674*CX673</f>
        <v/>
      </c>
      <c r="CY674">
        <f>$C674*CY673</f>
        <v/>
      </c>
      <c r="CZ674">
        <f>$C674*CZ673</f>
        <v/>
      </c>
      <c r="DA674">
        <f>$C674*DA673</f>
        <v/>
      </c>
      <c r="DB674">
        <f>$C674*DB673</f>
        <v/>
      </c>
      <c r="DC674">
        <f>$C674*DC673</f>
        <v/>
      </c>
      <c r="DD674">
        <f>$C674*DD673</f>
        <v/>
      </c>
    </row>
    <row r="675">
      <c r="B675" t="inlineStr">
        <is>
          <t>TSP-620</t>
        </is>
      </c>
      <c r="C675" t="inlineStr">
        <is>
          <t>No. of batches</t>
        </is>
      </c>
      <c r="D675">
        <f>IFERROR(INDEX(E675:DD675,$F$1),"")</f>
        <v/>
      </c>
      <c r="E675">
        <f>IFERROR(INDEX(PP_Grid[#Data],$DE675,2),0)</f>
        <v/>
      </c>
      <c r="F675">
        <f>IFERROR(INDEX(PP_Grid[#Data],$DE675,3),0)</f>
        <v/>
      </c>
      <c r="G675">
        <f>IFERROR(INDEX(PP_Grid[#Data],$DE675,4),0)</f>
        <v/>
      </c>
      <c r="H675">
        <f>IFERROR(INDEX(PP_Grid[#Data],$DE675,5),0)</f>
        <v/>
      </c>
      <c r="I675">
        <f>IFERROR(INDEX(PP_Grid[#Data],$DE675,6),0)</f>
        <v/>
      </c>
      <c r="J675">
        <f>IFERROR(INDEX(PP_Grid[#Data],$DE675,7),0)</f>
        <v/>
      </c>
      <c r="K675">
        <f>IFERROR(INDEX(PP_Grid[#Data],$DE675,8),0)</f>
        <v/>
      </c>
      <c r="L675">
        <f>IFERROR(INDEX(PP_Grid[#Data],$DE675,9),0)</f>
        <v/>
      </c>
      <c r="M675">
        <f>IFERROR(INDEX(PP_Grid[#Data],$DE675,10),0)</f>
        <v/>
      </c>
      <c r="N675">
        <f>IFERROR(INDEX(PP_Grid[#Data],$DE675,11),0)</f>
        <v/>
      </c>
      <c r="O675">
        <f>IFERROR(INDEX(PP_Grid[#Data],$DE675,12),0)</f>
        <v/>
      </c>
      <c r="P675">
        <f>IFERROR(INDEX(PP_Grid[#Data],$DE675,13),0)</f>
        <v/>
      </c>
      <c r="Q675">
        <f>IFERROR(INDEX(PP_Grid[#Data],$DE675,14),0)</f>
        <v/>
      </c>
      <c r="R675">
        <f>IFERROR(INDEX(PP_Grid[#Data],$DE675,15),0)</f>
        <v/>
      </c>
      <c r="S675">
        <f>IFERROR(INDEX(PP_Grid[#Data],$DE675,16),0)</f>
        <v/>
      </c>
      <c r="T675">
        <f>IFERROR(INDEX(PP_Grid[#Data],$DE675,17),0)</f>
        <v/>
      </c>
      <c r="U675">
        <f>IFERROR(INDEX(PP_Grid[#Data],$DE675,18),0)</f>
        <v/>
      </c>
      <c r="V675">
        <f>IFERROR(INDEX(PP_Grid[#Data],$DE675,19),0)</f>
        <v/>
      </c>
      <c r="W675">
        <f>IFERROR(INDEX(PP_Grid[#Data],$DE675,20),0)</f>
        <v/>
      </c>
      <c r="X675">
        <f>IFERROR(INDEX(PP_Grid[#Data],$DE675,21),0)</f>
        <v/>
      </c>
      <c r="Y675">
        <f>IFERROR(INDEX(PP_Grid[#Data],$DE675,22),0)</f>
        <v/>
      </c>
      <c r="Z675">
        <f>IFERROR(INDEX(PP_Grid[#Data],$DE675,23),0)</f>
        <v/>
      </c>
      <c r="AA675">
        <f>IFERROR(INDEX(PP_Grid[#Data],$DE675,24),0)</f>
        <v/>
      </c>
      <c r="AB675">
        <f>IFERROR(INDEX(PP_Grid[#Data],$DE675,25),0)</f>
        <v/>
      </c>
      <c r="AC675">
        <f>IFERROR(INDEX(PP_Grid[#Data],$DE675,26),0)</f>
        <v/>
      </c>
      <c r="AD675">
        <f>IFERROR(INDEX(PP_Grid[#Data],$DE675,27),0)</f>
        <v/>
      </c>
      <c r="AE675">
        <f>IFERROR(INDEX(PP_Grid[#Data],$DE675,28),0)</f>
        <v/>
      </c>
      <c r="AF675">
        <f>IFERROR(INDEX(PP_Grid[#Data],$DE675,29),0)</f>
        <v/>
      </c>
      <c r="AG675">
        <f>IFERROR(INDEX(PP_Grid[#Data],$DE675,30),0)</f>
        <v/>
      </c>
      <c r="AH675">
        <f>IFERROR(INDEX(PP_Grid[#Data],$DE675,31),0)</f>
        <v/>
      </c>
      <c r="AI675">
        <f>IFERROR(INDEX(PP_Grid[#Data],$DE675,32),0)</f>
        <v/>
      </c>
      <c r="AJ675">
        <f>IFERROR(INDEX(PP_Grid[#Data],$DE675,33),0)</f>
        <v/>
      </c>
      <c r="AK675">
        <f>IFERROR(INDEX(PP_Grid[#Data],$DE675,34),0)</f>
        <v/>
      </c>
      <c r="AL675">
        <f>IFERROR(INDEX(PP_Grid[#Data],$DE675,35),0)</f>
        <v/>
      </c>
      <c r="AM675">
        <f>IFERROR(INDEX(PP_Grid[#Data],$DE675,36),0)</f>
        <v/>
      </c>
      <c r="AN675">
        <f>IFERROR(INDEX(PP_Grid[#Data],$DE675,37),0)</f>
        <v/>
      </c>
      <c r="AO675">
        <f>IFERROR(INDEX(PP_Grid[#Data],$DE675,38),0)</f>
        <v/>
      </c>
      <c r="AP675">
        <f>IFERROR(INDEX(PP_Grid[#Data],$DE675,39),0)</f>
        <v/>
      </c>
      <c r="AQ675">
        <f>IFERROR(INDEX(PP_Grid[#Data],$DE675,40),0)</f>
        <v/>
      </c>
      <c r="AR675">
        <f>IFERROR(INDEX(PP_Grid[#Data],$DE675,41),0)</f>
        <v/>
      </c>
      <c r="AS675">
        <f>IFERROR(INDEX(PP_Grid[#Data],$DE675,42),0)</f>
        <v/>
      </c>
      <c r="AT675">
        <f>IFERROR(INDEX(PP_Grid[#Data],$DE675,43),0)</f>
        <v/>
      </c>
      <c r="AU675">
        <f>IFERROR(INDEX(PP_Grid[#Data],$DE675,44),0)</f>
        <v/>
      </c>
      <c r="AV675">
        <f>IFERROR(INDEX(PP_Grid[#Data],$DE675,45),0)</f>
        <v/>
      </c>
      <c r="AW675">
        <f>IFERROR(INDEX(PP_Grid[#Data],$DE675,46),0)</f>
        <v/>
      </c>
      <c r="AX675">
        <f>IFERROR(INDEX(PP_Grid[#Data],$DE675,47),0)</f>
        <v/>
      </c>
      <c r="AY675">
        <f>IFERROR(INDEX(PP_Grid[#Data],$DE675,48),0)</f>
        <v/>
      </c>
      <c r="AZ675">
        <f>IFERROR(INDEX(PP_Grid[#Data],$DE675,49),0)</f>
        <v/>
      </c>
      <c r="BA675">
        <f>IFERROR(INDEX(PP_Grid[#Data],$DE675,50),0)</f>
        <v/>
      </c>
      <c r="BB675">
        <f>IFERROR(INDEX(PP_Grid[#Data],$DE675,51),0)</f>
        <v/>
      </c>
      <c r="BC675">
        <f>IFERROR(INDEX(PP_Grid[#Data],$DE675,52),0)</f>
        <v/>
      </c>
      <c r="BD675">
        <f>IFERROR(INDEX(PP_Grid[#Data],$DE675,53),0)</f>
        <v/>
      </c>
      <c r="BE675">
        <f>IFERROR(INDEX(PP_Grid[#Data],$DE675,54),0)</f>
        <v/>
      </c>
      <c r="BF675">
        <f>IFERROR(INDEX(PP_Grid[#Data],$DE675,55),0)</f>
        <v/>
      </c>
      <c r="BG675">
        <f>IFERROR(INDEX(PP_Grid[#Data],$DE675,56),0)</f>
        <v/>
      </c>
      <c r="BH675">
        <f>IFERROR(INDEX(PP_Grid[#Data],$DE675,57),0)</f>
        <v/>
      </c>
      <c r="BI675">
        <f>IFERROR(INDEX(PP_Grid[#Data],$DE675,58),0)</f>
        <v/>
      </c>
      <c r="BJ675">
        <f>IFERROR(INDEX(PP_Grid[#Data],$DE675,59),0)</f>
        <v/>
      </c>
      <c r="BK675">
        <f>IFERROR(INDEX(PP_Grid[#Data],$DE675,60),0)</f>
        <v/>
      </c>
      <c r="BL675">
        <f>IFERROR(INDEX(PP_Grid[#Data],$DE675,61),0)</f>
        <v/>
      </c>
      <c r="BM675">
        <f>IFERROR(INDEX(PP_Grid[#Data],$DE675,62),0)</f>
        <v/>
      </c>
      <c r="BN675">
        <f>IFERROR(INDEX(PP_Grid[#Data],$DE675,63),0)</f>
        <v/>
      </c>
      <c r="BO675">
        <f>IFERROR(INDEX(PP_Grid[#Data],$DE675,64),0)</f>
        <v/>
      </c>
      <c r="BP675">
        <f>IFERROR(INDEX(PP_Grid[#Data],$DE675,65),0)</f>
        <v/>
      </c>
      <c r="BQ675">
        <f>IFERROR(INDEX(PP_Grid[#Data],$DE675,66),0)</f>
        <v/>
      </c>
      <c r="BR675">
        <f>IFERROR(INDEX(PP_Grid[#Data],$DE675,67),0)</f>
        <v/>
      </c>
      <c r="BS675">
        <f>IFERROR(INDEX(PP_Grid[#Data],$DE675,68),0)</f>
        <v/>
      </c>
      <c r="BT675">
        <f>IFERROR(INDEX(PP_Grid[#Data],$DE675,69),0)</f>
        <v/>
      </c>
      <c r="BU675">
        <f>IFERROR(INDEX(PP_Grid[#Data],$DE675,70),0)</f>
        <v/>
      </c>
      <c r="BV675">
        <f>IFERROR(INDEX(PP_Grid[#Data],$DE675,71),0)</f>
        <v/>
      </c>
      <c r="BW675">
        <f>IFERROR(INDEX(PP_Grid[#Data],$DE675,72),0)</f>
        <v/>
      </c>
      <c r="BX675">
        <f>IFERROR(INDEX(PP_Grid[#Data],$DE675,73),0)</f>
        <v/>
      </c>
      <c r="BY675">
        <f>IFERROR(INDEX(PP_Grid[#Data],$DE675,74),0)</f>
        <v/>
      </c>
      <c r="BZ675">
        <f>IFERROR(INDEX(PP_Grid[#Data],$DE675,75),0)</f>
        <v/>
      </c>
      <c r="CA675">
        <f>IFERROR(INDEX(PP_Grid[#Data],$DE675,76),0)</f>
        <v/>
      </c>
      <c r="CB675">
        <f>IFERROR(INDEX(PP_Grid[#Data],$DE675,77),0)</f>
        <v/>
      </c>
      <c r="CC675">
        <f>IFERROR(INDEX(PP_Grid[#Data],$DE675,78),0)</f>
        <v/>
      </c>
      <c r="CD675">
        <f>IFERROR(INDEX(PP_Grid[#Data],$DE675,79),0)</f>
        <v/>
      </c>
      <c r="CE675">
        <f>IFERROR(INDEX(PP_Grid[#Data],$DE675,80),0)</f>
        <v/>
      </c>
      <c r="CF675">
        <f>IFERROR(INDEX(PP_Grid[#Data],$DE675,81),0)</f>
        <v/>
      </c>
      <c r="CG675">
        <f>IFERROR(INDEX(PP_Grid[#Data],$DE675,82),0)</f>
        <v/>
      </c>
      <c r="CH675">
        <f>IFERROR(INDEX(PP_Grid[#Data],$DE675,83),0)</f>
        <v/>
      </c>
      <c r="CI675">
        <f>IFERROR(INDEX(PP_Grid[#Data],$DE675,84),0)</f>
        <v/>
      </c>
      <c r="CJ675">
        <f>IFERROR(INDEX(PP_Grid[#Data],$DE675,85),0)</f>
        <v/>
      </c>
      <c r="CK675">
        <f>IFERROR(INDEX(PP_Grid[#Data],$DE675,86),0)</f>
        <v/>
      </c>
      <c r="CL675">
        <f>IFERROR(INDEX(PP_Grid[#Data],$DE675,87),0)</f>
        <v/>
      </c>
      <c r="CM675">
        <f>IFERROR(INDEX(PP_Grid[#Data],$DE675,88),0)</f>
        <v/>
      </c>
      <c r="CN675">
        <f>IFERROR(INDEX(PP_Grid[#Data],$DE675,89),0)</f>
        <v/>
      </c>
      <c r="CO675">
        <f>IFERROR(INDEX(PP_Grid[#Data],$DE675,90),0)</f>
        <v/>
      </c>
      <c r="CP675">
        <f>IFERROR(INDEX(PP_Grid[#Data],$DE675,91),0)</f>
        <v/>
      </c>
      <c r="CQ675">
        <f>IFERROR(INDEX(PP_Grid[#Data],$DE675,92),0)</f>
        <v/>
      </c>
      <c r="CR675">
        <f>IFERROR(INDEX(PP_Grid[#Data],$DE675,93),0)</f>
        <v/>
      </c>
      <c r="CS675">
        <f>IFERROR(INDEX(PP_Grid[#Data],$DE675,94),0)</f>
        <v/>
      </c>
      <c r="CT675">
        <f>IFERROR(INDEX(PP_Grid[#Data],$DE675,95),0)</f>
        <v/>
      </c>
      <c r="CU675">
        <f>IFERROR(INDEX(PP_Grid[#Data],$DE675,96),0)</f>
        <v/>
      </c>
      <c r="CV675">
        <f>IFERROR(INDEX(PP_Grid[#Data],$DE675,97),0)</f>
        <v/>
      </c>
      <c r="CW675">
        <f>IFERROR(INDEX(PP_Grid[#Data],$DE675,98),0)</f>
        <v/>
      </c>
      <c r="CX675">
        <f>IFERROR(INDEX(PP_Grid[#Data],$DE675,99),0)</f>
        <v/>
      </c>
      <c r="CY675">
        <f>IFERROR(INDEX(PP_Grid[#Data],$DE675,100),0)</f>
        <v/>
      </c>
      <c r="CZ675">
        <f>IFERROR(INDEX(PP_Grid[#Data],$DE675,101),0)</f>
        <v/>
      </c>
      <c r="DA675">
        <f>IFERROR(INDEX(PP_Grid[#Data],$DE675,102),0)</f>
        <v/>
      </c>
      <c r="DB675">
        <f>IFERROR(INDEX(PP_Grid[#Data],$DE675,103),0)</f>
        <v/>
      </c>
      <c r="DC675">
        <f>IFERROR(INDEX(PP_Grid[#Data],$DE675,104),0)</f>
        <v/>
      </c>
      <c r="DD675">
        <f>IFERROR(INDEX(PP_Grid[#Data],$DE675,105),0)</f>
        <v/>
      </c>
      <c r="DE675" s="7">
        <f>IFERROR(MATCH($B675,PP_Grid[Intermediate],0),99999)</f>
        <v/>
      </c>
    </row>
    <row r="676">
      <c r="B676" t="inlineStr">
        <is>
          <t>使用量(kg)</t>
        </is>
      </c>
      <c r="C676">
        <f>SUMIFS(M_BOM[RM_Qty_Per_Batch],M_BOM[Intermediate],$B675,M_BOM[RM_Code],$A636)</f>
        <v/>
      </c>
      <c r="D676">
        <f>IFERROR(INDEX(E676:DD676,$F$1),"")</f>
        <v/>
      </c>
      <c r="E676">
        <f>$C676*E675</f>
        <v/>
      </c>
      <c r="F676">
        <f>$C676*F675</f>
        <v/>
      </c>
      <c r="G676">
        <f>$C676*G675</f>
        <v/>
      </c>
      <c r="H676">
        <f>$C676*H675</f>
        <v/>
      </c>
      <c r="I676">
        <f>$C676*I675</f>
        <v/>
      </c>
      <c r="J676">
        <f>$C676*J675</f>
        <v/>
      </c>
      <c r="K676">
        <f>$C676*K675</f>
        <v/>
      </c>
      <c r="L676">
        <f>$C676*L675</f>
        <v/>
      </c>
      <c r="M676">
        <f>$C676*M675</f>
        <v/>
      </c>
      <c r="N676">
        <f>$C676*N675</f>
        <v/>
      </c>
      <c r="O676">
        <f>$C676*O675</f>
        <v/>
      </c>
      <c r="P676">
        <f>$C676*P675</f>
        <v/>
      </c>
      <c r="Q676">
        <f>$C676*Q675</f>
        <v/>
      </c>
      <c r="R676">
        <f>$C676*R675</f>
        <v/>
      </c>
      <c r="S676">
        <f>$C676*S675</f>
        <v/>
      </c>
      <c r="T676">
        <f>$C676*T675</f>
        <v/>
      </c>
      <c r="U676">
        <f>$C676*U675</f>
        <v/>
      </c>
      <c r="V676">
        <f>$C676*V675</f>
        <v/>
      </c>
      <c r="W676">
        <f>$C676*W675</f>
        <v/>
      </c>
      <c r="X676">
        <f>$C676*X675</f>
        <v/>
      </c>
      <c r="Y676">
        <f>$C676*Y675</f>
        <v/>
      </c>
      <c r="Z676">
        <f>$C676*Z675</f>
        <v/>
      </c>
      <c r="AA676">
        <f>$C676*AA675</f>
        <v/>
      </c>
      <c r="AB676">
        <f>$C676*AB675</f>
        <v/>
      </c>
      <c r="AC676">
        <f>$C676*AC675</f>
        <v/>
      </c>
      <c r="AD676">
        <f>$C676*AD675</f>
        <v/>
      </c>
      <c r="AE676">
        <f>$C676*AE675</f>
        <v/>
      </c>
      <c r="AF676">
        <f>$C676*AF675</f>
        <v/>
      </c>
      <c r="AG676">
        <f>$C676*AG675</f>
        <v/>
      </c>
      <c r="AH676">
        <f>$C676*AH675</f>
        <v/>
      </c>
      <c r="AI676">
        <f>$C676*AI675</f>
        <v/>
      </c>
      <c r="AJ676">
        <f>$C676*AJ675</f>
        <v/>
      </c>
      <c r="AK676">
        <f>$C676*AK675</f>
        <v/>
      </c>
      <c r="AL676">
        <f>$C676*AL675</f>
        <v/>
      </c>
      <c r="AM676">
        <f>$C676*AM675</f>
        <v/>
      </c>
      <c r="AN676">
        <f>$C676*AN675</f>
        <v/>
      </c>
      <c r="AO676">
        <f>$C676*AO675</f>
        <v/>
      </c>
      <c r="AP676">
        <f>$C676*AP675</f>
        <v/>
      </c>
      <c r="AQ676">
        <f>$C676*AQ675</f>
        <v/>
      </c>
      <c r="AR676">
        <f>$C676*AR675</f>
        <v/>
      </c>
      <c r="AS676">
        <f>$C676*AS675</f>
        <v/>
      </c>
      <c r="AT676">
        <f>$C676*AT675</f>
        <v/>
      </c>
      <c r="AU676">
        <f>$C676*AU675</f>
        <v/>
      </c>
      <c r="AV676">
        <f>$C676*AV675</f>
        <v/>
      </c>
      <c r="AW676">
        <f>$C676*AW675</f>
        <v/>
      </c>
      <c r="AX676">
        <f>$C676*AX675</f>
        <v/>
      </c>
      <c r="AY676">
        <f>$C676*AY675</f>
        <v/>
      </c>
      <c r="AZ676">
        <f>$C676*AZ675</f>
        <v/>
      </c>
      <c r="BA676">
        <f>$C676*BA675</f>
        <v/>
      </c>
      <c r="BB676">
        <f>$C676*BB675</f>
        <v/>
      </c>
      <c r="BC676">
        <f>$C676*BC675</f>
        <v/>
      </c>
      <c r="BD676">
        <f>$C676*BD675</f>
        <v/>
      </c>
      <c r="BE676">
        <f>$C676*BE675</f>
        <v/>
      </c>
      <c r="BF676">
        <f>$C676*BF675</f>
        <v/>
      </c>
      <c r="BG676">
        <f>$C676*BG675</f>
        <v/>
      </c>
      <c r="BH676">
        <f>$C676*BH675</f>
        <v/>
      </c>
      <c r="BI676">
        <f>$C676*BI675</f>
        <v/>
      </c>
      <c r="BJ676">
        <f>$C676*BJ675</f>
        <v/>
      </c>
      <c r="BK676">
        <f>$C676*BK675</f>
        <v/>
      </c>
      <c r="BL676">
        <f>$C676*BL675</f>
        <v/>
      </c>
      <c r="BM676">
        <f>$C676*BM675</f>
        <v/>
      </c>
      <c r="BN676">
        <f>$C676*BN675</f>
        <v/>
      </c>
      <c r="BO676">
        <f>$C676*BO675</f>
        <v/>
      </c>
      <c r="BP676">
        <f>$C676*BP675</f>
        <v/>
      </c>
      <c r="BQ676">
        <f>$C676*BQ675</f>
        <v/>
      </c>
      <c r="BR676">
        <f>$C676*BR675</f>
        <v/>
      </c>
      <c r="BS676">
        <f>$C676*BS675</f>
        <v/>
      </c>
      <c r="BT676">
        <f>$C676*BT675</f>
        <v/>
      </c>
      <c r="BU676">
        <f>$C676*BU675</f>
        <v/>
      </c>
      <c r="BV676">
        <f>$C676*BV675</f>
        <v/>
      </c>
      <c r="BW676">
        <f>$C676*BW675</f>
        <v/>
      </c>
      <c r="BX676">
        <f>$C676*BX675</f>
        <v/>
      </c>
      <c r="BY676">
        <f>$C676*BY675</f>
        <v/>
      </c>
      <c r="BZ676">
        <f>$C676*BZ675</f>
        <v/>
      </c>
      <c r="CA676">
        <f>$C676*CA675</f>
        <v/>
      </c>
      <c r="CB676">
        <f>$C676*CB675</f>
        <v/>
      </c>
      <c r="CC676">
        <f>$C676*CC675</f>
        <v/>
      </c>
      <c r="CD676">
        <f>$C676*CD675</f>
        <v/>
      </c>
      <c r="CE676">
        <f>$C676*CE675</f>
        <v/>
      </c>
      <c r="CF676">
        <f>$C676*CF675</f>
        <v/>
      </c>
      <c r="CG676">
        <f>$C676*CG675</f>
        <v/>
      </c>
      <c r="CH676">
        <f>$C676*CH675</f>
        <v/>
      </c>
      <c r="CI676">
        <f>$C676*CI675</f>
        <v/>
      </c>
      <c r="CJ676">
        <f>$C676*CJ675</f>
        <v/>
      </c>
      <c r="CK676">
        <f>$C676*CK675</f>
        <v/>
      </c>
      <c r="CL676">
        <f>$C676*CL675</f>
        <v/>
      </c>
      <c r="CM676">
        <f>$C676*CM675</f>
        <v/>
      </c>
      <c r="CN676">
        <f>$C676*CN675</f>
        <v/>
      </c>
      <c r="CO676">
        <f>$C676*CO675</f>
        <v/>
      </c>
      <c r="CP676">
        <f>$C676*CP675</f>
        <v/>
      </c>
      <c r="CQ676">
        <f>$C676*CQ675</f>
        <v/>
      </c>
      <c r="CR676">
        <f>$C676*CR675</f>
        <v/>
      </c>
      <c r="CS676">
        <f>$C676*CS675</f>
        <v/>
      </c>
      <c r="CT676">
        <f>$C676*CT675</f>
        <v/>
      </c>
      <c r="CU676">
        <f>$C676*CU675</f>
        <v/>
      </c>
      <c r="CV676">
        <f>$C676*CV675</f>
        <v/>
      </c>
      <c r="CW676">
        <f>$C676*CW675</f>
        <v/>
      </c>
      <c r="CX676">
        <f>$C676*CX675</f>
        <v/>
      </c>
      <c r="CY676">
        <f>$C676*CY675</f>
        <v/>
      </c>
      <c r="CZ676">
        <f>$C676*CZ675</f>
        <v/>
      </c>
      <c r="DA676">
        <f>$C676*DA675</f>
        <v/>
      </c>
      <c r="DB676">
        <f>$C676*DB675</f>
        <v/>
      </c>
      <c r="DC676">
        <f>$C676*DC675</f>
        <v/>
      </c>
      <c r="DD676">
        <f>$C676*DD675</f>
        <v/>
      </c>
    </row>
    <row r="677">
      <c r="B677" t="inlineStr">
        <is>
          <t>TSP-623</t>
        </is>
      </c>
      <c r="C677" t="inlineStr">
        <is>
          <t>No. of batches</t>
        </is>
      </c>
      <c r="D677">
        <f>IFERROR(INDEX(E677:DD677,$F$1),"")</f>
        <v/>
      </c>
      <c r="E677">
        <f>IFERROR(INDEX(PP_Grid[#Data],$DE677,2),0)</f>
        <v/>
      </c>
      <c r="F677">
        <f>IFERROR(INDEX(PP_Grid[#Data],$DE677,3),0)</f>
        <v/>
      </c>
      <c r="G677">
        <f>IFERROR(INDEX(PP_Grid[#Data],$DE677,4),0)</f>
        <v/>
      </c>
      <c r="H677">
        <f>IFERROR(INDEX(PP_Grid[#Data],$DE677,5),0)</f>
        <v/>
      </c>
      <c r="I677">
        <f>IFERROR(INDEX(PP_Grid[#Data],$DE677,6),0)</f>
        <v/>
      </c>
      <c r="J677">
        <f>IFERROR(INDEX(PP_Grid[#Data],$DE677,7),0)</f>
        <v/>
      </c>
      <c r="K677">
        <f>IFERROR(INDEX(PP_Grid[#Data],$DE677,8),0)</f>
        <v/>
      </c>
      <c r="L677">
        <f>IFERROR(INDEX(PP_Grid[#Data],$DE677,9),0)</f>
        <v/>
      </c>
      <c r="M677">
        <f>IFERROR(INDEX(PP_Grid[#Data],$DE677,10),0)</f>
        <v/>
      </c>
      <c r="N677">
        <f>IFERROR(INDEX(PP_Grid[#Data],$DE677,11),0)</f>
        <v/>
      </c>
      <c r="O677">
        <f>IFERROR(INDEX(PP_Grid[#Data],$DE677,12),0)</f>
        <v/>
      </c>
      <c r="P677">
        <f>IFERROR(INDEX(PP_Grid[#Data],$DE677,13),0)</f>
        <v/>
      </c>
      <c r="Q677">
        <f>IFERROR(INDEX(PP_Grid[#Data],$DE677,14),0)</f>
        <v/>
      </c>
      <c r="R677">
        <f>IFERROR(INDEX(PP_Grid[#Data],$DE677,15),0)</f>
        <v/>
      </c>
      <c r="S677">
        <f>IFERROR(INDEX(PP_Grid[#Data],$DE677,16),0)</f>
        <v/>
      </c>
      <c r="T677">
        <f>IFERROR(INDEX(PP_Grid[#Data],$DE677,17),0)</f>
        <v/>
      </c>
      <c r="U677">
        <f>IFERROR(INDEX(PP_Grid[#Data],$DE677,18),0)</f>
        <v/>
      </c>
      <c r="V677">
        <f>IFERROR(INDEX(PP_Grid[#Data],$DE677,19),0)</f>
        <v/>
      </c>
      <c r="W677">
        <f>IFERROR(INDEX(PP_Grid[#Data],$DE677,20),0)</f>
        <v/>
      </c>
      <c r="X677">
        <f>IFERROR(INDEX(PP_Grid[#Data],$DE677,21),0)</f>
        <v/>
      </c>
      <c r="Y677">
        <f>IFERROR(INDEX(PP_Grid[#Data],$DE677,22),0)</f>
        <v/>
      </c>
      <c r="Z677">
        <f>IFERROR(INDEX(PP_Grid[#Data],$DE677,23),0)</f>
        <v/>
      </c>
      <c r="AA677">
        <f>IFERROR(INDEX(PP_Grid[#Data],$DE677,24),0)</f>
        <v/>
      </c>
      <c r="AB677">
        <f>IFERROR(INDEX(PP_Grid[#Data],$DE677,25),0)</f>
        <v/>
      </c>
      <c r="AC677">
        <f>IFERROR(INDEX(PP_Grid[#Data],$DE677,26),0)</f>
        <v/>
      </c>
      <c r="AD677">
        <f>IFERROR(INDEX(PP_Grid[#Data],$DE677,27),0)</f>
        <v/>
      </c>
      <c r="AE677">
        <f>IFERROR(INDEX(PP_Grid[#Data],$DE677,28),0)</f>
        <v/>
      </c>
      <c r="AF677">
        <f>IFERROR(INDEX(PP_Grid[#Data],$DE677,29),0)</f>
        <v/>
      </c>
      <c r="AG677">
        <f>IFERROR(INDEX(PP_Grid[#Data],$DE677,30),0)</f>
        <v/>
      </c>
      <c r="AH677">
        <f>IFERROR(INDEX(PP_Grid[#Data],$DE677,31),0)</f>
        <v/>
      </c>
      <c r="AI677">
        <f>IFERROR(INDEX(PP_Grid[#Data],$DE677,32),0)</f>
        <v/>
      </c>
      <c r="AJ677">
        <f>IFERROR(INDEX(PP_Grid[#Data],$DE677,33),0)</f>
        <v/>
      </c>
      <c r="AK677">
        <f>IFERROR(INDEX(PP_Grid[#Data],$DE677,34),0)</f>
        <v/>
      </c>
      <c r="AL677">
        <f>IFERROR(INDEX(PP_Grid[#Data],$DE677,35),0)</f>
        <v/>
      </c>
      <c r="AM677">
        <f>IFERROR(INDEX(PP_Grid[#Data],$DE677,36),0)</f>
        <v/>
      </c>
      <c r="AN677">
        <f>IFERROR(INDEX(PP_Grid[#Data],$DE677,37),0)</f>
        <v/>
      </c>
      <c r="AO677">
        <f>IFERROR(INDEX(PP_Grid[#Data],$DE677,38),0)</f>
        <v/>
      </c>
      <c r="AP677">
        <f>IFERROR(INDEX(PP_Grid[#Data],$DE677,39),0)</f>
        <v/>
      </c>
      <c r="AQ677">
        <f>IFERROR(INDEX(PP_Grid[#Data],$DE677,40),0)</f>
        <v/>
      </c>
      <c r="AR677">
        <f>IFERROR(INDEX(PP_Grid[#Data],$DE677,41),0)</f>
        <v/>
      </c>
      <c r="AS677">
        <f>IFERROR(INDEX(PP_Grid[#Data],$DE677,42),0)</f>
        <v/>
      </c>
      <c r="AT677">
        <f>IFERROR(INDEX(PP_Grid[#Data],$DE677,43),0)</f>
        <v/>
      </c>
      <c r="AU677">
        <f>IFERROR(INDEX(PP_Grid[#Data],$DE677,44),0)</f>
        <v/>
      </c>
      <c r="AV677">
        <f>IFERROR(INDEX(PP_Grid[#Data],$DE677,45),0)</f>
        <v/>
      </c>
      <c r="AW677">
        <f>IFERROR(INDEX(PP_Grid[#Data],$DE677,46),0)</f>
        <v/>
      </c>
      <c r="AX677">
        <f>IFERROR(INDEX(PP_Grid[#Data],$DE677,47),0)</f>
        <v/>
      </c>
      <c r="AY677">
        <f>IFERROR(INDEX(PP_Grid[#Data],$DE677,48),0)</f>
        <v/>
      </c>
      <c r="AZ677">
        <f>IFERROR(INDEX(PP_Grid[#Data],$DE677,49),0)</f>
        <v/>
      </c>
      <c r="BA677">
        <f>IFERROR(INDEX(PP_Grid[#Data],$DE677,50),0)</f>
        <v/>
      </c>
      <c r="BB677">
        <f>IFERROR(INDEX(PP_Grid[#Data],$DE677,51),0)</f>
        <v/>
      </c>
      <c r="BC677">
        <f>IFERROR(INDEX(PP_Grid[#Data],$DE677,52),0)</f>
        <v/>
      </c>
      <c r="BD677">
        <f>IFERROR(INDEX(PP_Grid[#Data],$DE677,53),0)</f>
        <v/>
      </c>
      <c r="BE677">
        <f>IFERROR(INDEX(PP_Grid[#Data],$DE677,54),0)</f>
        <v/>
      </c>
      <c r="BF677">
        <f>IFERROR(INDEX(PP_Grid[#Data],$DE677,55),0)</f>
        <v/>
      </c>
      <c r="BG677">
        <f>IFERROR(INDEX(PP_Grid[#Data],$DE677,56),0)</f>
        <v/>
      </c>
      <c r="BH677">
        <f>IFERROR(INDEX(PP_Grid[#Data],$DE677,57),0)</f>
        <v/>
      </c>
      <c r="BI677">
        <f>IFERROR(INDEX(PP_Grid[#Data],$DE677,58),0)</f>
        <v/>
      </c>
      <c r="BJ677">
        <f>IFERROR(INDEX(PP_Grid[#Data],$DE677,59),0)</f>
        <v/>
      </c>
      <c r="BK677">
        <f>IFERROR(INDEX(PP_Grid[#Data],$DE677,60),0)</f>
        <v/>
      </c>
      <c r="BL677">
        <f>IFERROR(INDEX(PP_Grid[#Data],$DE677,61),0)</f>
        <v/>
      </c>
      <c r="BM677">
        <f>IFERROR(INDEX(PP_Grid[#Data],$DE677,62),0)</f>
        <v/>
      </c>
      <c r="BN677">
        <f>IFERROR(INDEX(PP_Grid[#Data],$DE677,63),0)</f>
        <v/>
      </c>
      <c r="BO677">
        <f>IFERROR(INDEX(PP_Grid[#Data],$DE677,64),0)</f>
        <v/>
      </c>
      <c r="BP677">
        <f>IFERROR(INDEX(PP_Grid[#Data],$DE677,65),0)</f>
        <v/>
      </c>
      <c r="BQ677">
        <f>IFERROR(INDEX(PP_Grid[#Data],$DE677,66),0)</f>
        <v/>
      </c>
      <c r="BR677">
        <f>IFERROR(INDEX(PP_Grid[#Data],$DE677,67),0)</f>
        <v/>
      </c>
      <c r="BS677">
        <f>IFERROR(INDEX(PP_Grid[#Data],$DE677,68),0)</f>
        <v/>
      </c>
      <c r="BT677">
        <f>IFERROR(INDEX(PP_Grid[#Data],$DE677,69),0)</f>
        <v/>
      </c>
      <c r="BU677">
        <f>IFERROR(INDEX(PP_Grid[#Data],$DE677,70),0)</f>
        <v/>
      </c>
      <c r="BV677">
        <f>IFERROR(INDEX(PP_Grid[#Data],$DE677,71),0)</f>
        <v/>
      </c>
      <c r="BW677">
        <f>IFERROR(INDEX(PP_Grid[#Data],$DE677,72),0)</f>
        <v/>
      </c>
      <c r="BX677">
        <f>IFERROR(INDEX(PP_Grid[#Data],$DE677,73),0)</f>
        <v/>
      </c>
      <c r="BY677">
        <f>IFERROR(INDEX(PP_Grid[#Data],$DE677,74),0)</f>
        <v/>
      </c>
      <c r="BZ677">
        <f>IFERROR(INDEX(PP_Grid[#Data],$DE677,75),0)</f>
        <v/>
      </c>
      <c r="CA677">
        <f>IFERROR(INDEX(PP_Grid[#Data],$DE677,76),0)</f>
        <v/>
      </c>
      <c r="CB677">
        <f>IFERROR(INDEX(PP_Grid[#Data],$DE677,77),0)</f>
        <v/>
      </c>
      <c r="CC677">
        <f>IFERROR(INDEX(PP_Grid[#Data],$DE677,78),0)</f>
        <v/>
      </c>
      <c r="CD677">
        <f>IFERROR(INDEX(PP_Grid[#Data],$DE677,79),0)</f>
        <v/>
      </c>
      <c r="CE677">
        <f>IFERROR(INDEX(PP_Grid[#Data],$DE677,80),0)</f>
        <v/>
      </c>
      <c r="CF677">
        <f>IFERROR(INDEX(PP_Grid[#Data],$DE677,81),0)</f>
        <v/>
      </c>
      <c r="CG677">
        <f>IFERROR(INDEX(PP_Grid[#Data],$DE677,82),0)</f>
        <v/>
      </c>
      <c r="CH677">
        <f>IFERROR(INDEX(PP_Grid[#Data],$DE677,83),0)</f>
        <v/>
      </c>
      <c r="CI677">
        <f>IFERROR(INDEX(PP_Grid[#Data],$DE677,84),0)</f>
        <v/>
      </c>
      <c r="CJ677">
        <f>IFERROR(INDEX(PP_Grid[#Data],$DE677,85),0)</f>
        <v/>
      </c>
      <c r="CK677">
        <f>IFERROR(INDEX(PP_Grid[#Data],$DE677,86),0)</f>
        <v/>
      </c>
      <c r="CL677">
        <f>IFERROR(INDEX(PP_Grid[#Data],$DE677,87),0)</f>
        <v/>
      </c>
      <c r="CM677">
        <f>IFERROR(INDEX(PP_Grid[#Data],$DE677,88),0)</f>
        <v/>
      </c>
      <c r="CN677">
        <f>IFERROR(INDEX(PP_Grid[#Data],$DE677,89),0)</f>
        <v/>
      </c>
      <c r="CO677">
        <f>IFERROR(INDEX(PP_Grid[#Data],$DE677,90),0)</f>
        <v/>
      </c>
      <c r="CP677">
        <f>IFERROR(INDEX(PP_Grid[#Data],$DE677,91),0)</f>
        <v/>
      </c>
      <c r="CQ677">
        <f>IFERROR(INDEX(PP_Grid[#Data],$DE677,92),0)</f>
        <v/>
      </c>
      <c r="CR677">
        <f>IFERROR(INDEX(PP_Grid[#Data],$DE677,93),0)</f>
        <v/>
      </c>
      <c r="CS677">
        <f>IFERROR(INDEX(PP_Grid[#Data],$DE677,94),0)</f>
        <v/>
      </c>
      <c r="CT677">
        <f>IFERROR(INDEX(PP_Grid[#Data],$DE677,95),0)</f>
        <v/>
      </c>
      <c r="CU677">
        <f>IFERROR(INDEX(PP_Grid[#Data],$DE677,96),0)</f>
        <v/>
      </c>
      <c r="CV677">
        <f>IFERROR(INDEX(PP_Grid[#Data],$DE677,97),0)</f>
        <v/>
      </c>
      <c r="CW677">
        <f>IFERROR(INDEX(PP_Grid[#Data],$DE677,98),0)</f>
        <v/>
      </c>
      <c r="CX677">
        <f>IFERROR(INDEX(PP_Grid[#Data],$DE677,99),0)</f>
        <v/>
      </c>
      <c r="CY677">
        <f>IFERROR(INDEX(PP_Grid[#Data],$DE677,100),0)</f>
        <v/>
      </c>
      <c r="CZ677">
        <f>IFERROR(INDEX(PP_Grid[#Data],$DE677,101),0)</f>
        <v/>
      </c>
      <c r="DA677">
        <f>IFERROR(INDEX(PP_Grid[#Data],$DE677,102),0)</f>
        <v/>
      </c>
      <c r="DB677">
        <f>IFERROR(INDEX(PP_Grid[#Data],$DE677,103),0)</f>
        <v/>
      </c>
      <c r="DC677">
        <f>IFERROR(INDEX(PP_Grid[#Data],$DE677,104),0)</f>
        <v/>
      </c>
      <c r="DD677">
        <f>IFERROR(INDEX(PP_Grid[#Data],$DE677,105),0)</f>
        <v/>
      </c>
      <c r="DE677" s="7">
        <f>IFERROR(MATCH($B677,PP_Grid[Intermediate],0),99999)</f>
        <v/>
      </c>
    </row>
    <row r="678">
      <c r="B678" t="inlineStr">
        <is>
          <t>使用量(kg)</t>
        </is>
      </c>
      <c r="C678">
        <f>SUMIFS(M_BOM[RM_Qty_Per_Batch],M_BOM[Intermediate],$B677,M_BOM[RM_Code],$A636)</f>
        <v/>
      </c>
      <c r="D678">
        <f>IFERROR(INDEX(E678:DD678,$F$1),"")</f>
        <v/>
      </c>
      <c r="E678">
        <f>$C678*E677</f>
        <v/>
      </c>
      <c r="F678">
        <f>$C678*F677</f>
        <v/>
      </c>
      <c r="G678">
        <f>$C678*G677</f>
        <v/>
      </c>
      <c r="H678">
        <f>$C678*H677</f>
        <v/>
      </c>
      <c r="I678">
        <f>$C678*I677</f>
        <v/>
      </c>
      <c r="J678">
        <f>$C678*J677</f>
        <v/>
      </c>
      <c r="K678">
        <f>$C678*K677</f>
        <v/>
      </c>
      <c r="L678">
        <f>$C678*L677</f>
        <v/>
      </c>
      <c r="M678">
        <f>$C678*M677</f>
        <v/>
      </c>
      <c r="N678">
        <f>$C678*N677</f>
        <v/>
      </c>
      <c r="O678">
        <f>$C678*O677</f>
        <v/>
      </c>
      <c r="P678">
        <f>$C678*P677</f>
        <v/>
      </c>
      <c r="Q678">
        <f>$C678*Q677</f>
        <v/>
      </c>
      <c r="R678">
        <f>$C678*R677</f>
        <v/>
      </c>
      <c r="S678">
        <f>$C678*S677</f>
        <v/>
      </c>
      <c r="T678">
        <f>$C678*T677</f>
        <v/>
      </c>
      <c r="U678">
        <f>$C678*U677</f>
        <v/>
      </c>
      <c r="V678">
        <f>$C678*V677</f>
        <v/>
      </c>
      <c r="W678">
        <f>$C678*W677</f>
        <v/>
      </c>
      <c r="X678">
        <f>$C678*X677</f>
        <v/>
      </c>
      <c r="Y678">
        <f>$C678*Y677</f>
        <v/>
      </c>
      <c r="Z678">
        <f>$C678*Z677</f>
        <v/>
      </c>
      <c r="AA678">
        <f>$C678*AA677</f>
        <v/>
      </c>
      <c r="AB678">
        <f>$C678*AB677</f>
        <v/>
      </c>
      <c r="AC678">
        <f>$C678*AC677</f>
        <v/>
      </c>
      <c r="AD678">
        <f>$C678*AD677</f>
        <v/>
      </c>
      <c r="AE678">
        <f>$C678*AE677</f>
        <v/>
      </c>
      <c r="AF678">
        <f>$C678*AF677</f>
        <v/>
      </c>
      <c r="AG678">
        <f>$C678*AG677</f>
        <v/>
      </c>
      <c r="AH678">
        <f>$C678*AH677</f>
        <v/>
      </c>
      <c r="AI678">
        <f>$C678*AI677</f>
        <v/>
      </c>
      <c r="AJ678">
        <f>$C678*AJ677</f>
        <v/>
      </c>
      <c r="AK678">
        <f>$C678*AK677</f>
        <v/>
      </c>
      <c r="AL678">
        <f>$C678*AL677</f>
        <v/>
      </c>
      <c r="AM678">
        <f>$C678*AM677</f>
        <v/>
      </c>
      <c r="AN678">
        <f>$C678*AN677</f>
        <v/>
      </c>
      <c r="AO678">
        <f>$C678*AO677</f>
        <v/>
      </c>
      <c r="AP678">
        <f>$C678*AP677</f>
        <v/>
      </c>
      <c r="AQ678">
        <f>$C678*AQ677</f>
        <v/>
      </c>
      <c r="AR678">
        <f>$C678*AR677</f>
        <v/>
      </c>
      <c r="AS678">
        <f>$C678*AS677</f>
        <v/>
      </c>
      <c r="AT678">
        <f>$C678*AT677</f>
        <v/>
      </c>
      <c r="AU678">
        <f>$C678*AU677</f>
        <v/>
      </c>
      <c r="AV678">
        <f>$C678*AV677</f>
        <v/>
      </c>
      <c r="AW678">
        <f>$C678*AW677</f>
        <v/>
      </c>
      <c r="AX678">
        <f>$C678*AX677</f>
        <v/>
      </c>
      <c r="AY678">
        <f>$C678*AY677</f>
        <v/>
      </c>
      <c r="AZ678">
        <f>$C678*AZ677</f>
        <v/>
      </c>
      <c r="BA678">
        <f>$C678*BA677</f>
        <v/>
      </c>
      <c r="BB678">
        <f>$C678*BB677</f>
        <v/>
      </c>
      <c r="BC678">
        <f>$C678*BC677</f>
        <v/>
      </c>
      <c r="BD678">
        <f>$C678*BD677</f>
        <v/>
      </c>
      <c r="BE678">
        <f>$C678*BE677</f>
        <v/>
      </c>
      <c r="BF678">
        <f>$C678*BF677</f>
        <v/>
      </c>
      <c r="BG678">
        <f>$C678*BG677</f>
        <v/>
      </c>
      <c r="BH678">
        <f>$C678*BH677</f>
        <v/>
      </c>
      <c r="BI678">
        <f>$C678*BI677</f>
        <v/>
      </c>
      <c r="BJ678">
        <f>$C678*BJ677</f>
        <v/>
      </c>
      <c r="BK678">
        <f>$C678*BK677</f>
        <v/>
      </c>
      <c r="BL678">
        <f>$C678*BL677</f>
        <v/>
      </c>
      <c r="BM678">
        <f>$C678*BM677</f>
        <v/>
      </c>
      <c r="BN678">
        <f>$C678*BN677</f>
        <v/>
      </c>
      <c r="BO678">
        <f>$C678*BO677</f>
        <v/>
      </c>
      <c r="BP678">
        <f>$C678*BP677</f>
        <v/>
      </c>
      <c r="BQ678">
        <f>$C678*BQ677</f>
        <v/>
      </c>
      <c r="BR678">
        <f>$C678*BR677</f>
        <v/>
      </c>
      <c r="BS678">
        <f>$C678*BS677</f>
        <v/>
      </c>
      <c r="BT678">
        <f>$C678*BT677</f>
        <v/>
      </c>
      <c r="BU678">
        <f>$C678*BU677</f>
        <v/>
      </c>
      <c r="BV678">
        <f>$C678*BV677</f>
        <v/>
      </c>
      <c r="BW678">
        <f>$C678*BW677</f>
        <v/>
      </c>
      <c r="BX678">
        <f>$C678*BX677</f>
        <v/>
      </c>
      <c r="BY678">
        <f>$C678*BY677</f>
        <v/>
      </c>
      <c r="BZ678">
        <f>$C678*BZ677</f>
        <v/>
      </c>
      <c r="CA678">
        <f>$C678*CA677</f>
        <v/>
      </c>
      <c r="CB678">
        <f>$C678*CB677</f>
        <v/>
      </c>
      <c r="CC678">
        <f>$C678*CC677</f>
        <v/>
      </c>
      <c r="CD678">
        <f>$C678*CD677</f>
        <v/>
      </c>
      <c r="CE678">
        <f>$C678*CE677</f>
        <v/>
      </c>
      <c r="CF678">
        <f>$C678*CF677</f>
        <v/>
      </c>
      <c r="CG678">
        <f>$C678*CG677</f>
        <v/>
      </c>
      <c r="CH678">
        <f>$C678*CH677</f>
        <v/>
      </c>
      <c r="CI678">
        <f>$C678*CI677</f>
        <v/>
      </c>
      <c r="CJ678">
        <f>$C678*CJ677</f>
        <v/>
      </c>
      <c r="CK678">
        <f>$C678*CK677</f>
        <v/>
      </c>
      <c r="CL678">
        <f>$C678*CL677</f>
        <v/>
      </c>
      <c r="CM678">
        <f>$C678*CM677</f>
        <v/>
      </c>
      <c r="CN678">
        <f>$C678*CN677</f>
        <v/>
      </c>
      <c r="CO678">
        <f>$C678*CO677</f>
        <v/>
      </c>
      <c r="CP678">
        <f>$C678*CP677</f>
        <v/>
      </c>
      <c r="CQ678">
        <f>$C678*CQ677</f>
        <v/>
      </c>
      <c r="CR678">
        <f>$C678*CR677</f>
        <v/>
      </c>
      <c r="CS678">
        <f>$C678*CS677</f>
        <v/>
      </c>
      <c r="CT678">
        <f>$C678*CT677</f>
        <v/>
      </c>
      <c r="CU678">
        <f>$C678*CU677</f>
        <v/>
      </c>
      <c r="CV678">
        <f>$C678*CV677</f>
        <v/>
      </c>
      <c r="CW678">
        <f>$C678*CW677</f>
        <v/>
      </c>
      <c r="CX678">
        <f>$C678*CX677</f>
        <v/>
      </c>
      <c r="CY678">
        <f>$C678*CY677</f>
        <v/>
      </c>
      <c r="CZ678">
        <f>$C678*CZ677</f>
        <v/>
      </c>
      <c r="DA678">
        <f>$C678*DA677</f>
        <v/>
      </c>
      <c r="DB678">
        <f>$C678*DB677</f>
        <v/>
      </c>
      <c r="DC678">
        <f>$C678*DC677</f>
        <v/>
      </c>
      <c r="DD678">
        <f>$C678*DD677</f>
        <v/>
      </c>
    </row>
    <row r="679">
      <c r="B679" t="inlineStr">
        <is>
          <t>TSP-655</t>
        </is>
      </c>
      <c r="C679" t="inlineStr">
        <is>
          <t>No. of batches</t>
        </is>
      </c>
      <c r="D679">
        <f>IFERROR(INDEX(E679:DD679,$F$1),"")</f>
        <v/>
      </c>
      <c r="E679">
        <f>IFERROR(INDEX(PP_Grid[#Data],$DE679,2),0)</f>
        <v/>
      </c>
      <c r="F679">
        <f>IFERROR(INDEX(PP_Grid[#Data],$DE679,3),0)</f>
        <v/>
      </c>
      <c r="G679">
        <f>IFERROR(INDEX(PP_Grid[#Data],$DE679,4),0)</f>
        <v/>
      </c>
      <c r="H679">
        <f>IFERROR(INDEX(PP_Grid[#Data],$DE679,5),0)</f>
        <v/>
      </c>
      <c r="I679">
        <f>IFERROR(INDEX(PP_Grid[#Data],$DE679,6),0)</f>
        <v/>
      </c>
      <c r="J679">
        <f>IFERROR(INDEX(PP_Grid[#Data],$DE679,7),0)</f>
        <v/>
      </c>
      <c r="K679">
        <f>IFERROR(INDEX(PP_Grid[#Data],$DE679,8),0)</f>
        <v/>
      </c>
      <c r="L679">
        <f>IFERROR(INDEX(PP_Grid[#Data],$DE679,9),0)</f>
        <v/>
      </c>
      <c r="M679">
        <f>IFERROR(INDEX(PP_Grid[#Data],$DE679,10),0)</f>
        <v/>
      </c>
      <c r="N679">
        <f>IFERROR(INDEX(PP_Grid[#Data],$DE679,11),0)</f>
        <v/>
      </c>
      <c r="O679">
        <f>IFERROR(INDEX(PP_Grid[#Data],$DE679,12),0)</f>
        <v/>
      </c>
      <c r="P679">
        <f>IFERROR(INDEX(PP_Grid[#Data],$DE679,13),0)</f>
        <v/>
      </c>
      <c r="Q679">
        <f>IFERROR(INDEX(PP_Grid[#Data],$DE679,14),0)</f>
        <v/>
      </c>
      <c r="R679">
        <f>IFERROR(INDEX(PP_Grid[#Data],$DE679,15),0)</f>
        <v/>
      </c>
      <c r="S679">
        <f>IFERROR(INDEX(PP_Grid[#Data],$DE679,16),0)</f>
        <v/>
      </c>
      <c r="T679">
        <f>IFERROR(INDEX(PP_Grid[#Data],$DE679,17),0)</f>
        <v/>
      </c>
      <c r="U679">
        <f>IFERROR(INDEX(PP_Grid[#Data],$DE679,18),0)</f>
        <v/>
      </c>
      <c r="V679">
        <f>IFERROR(INDEX(PP_Grid[#Data],$DE679,19),0)</f>
        <v/>
      </c>
      <c r="W679">
        <f>IFERROR(INDEX(PP_Grid[#Data],$DE679,20),0)</f>
        <v/>
      </c>
      <c r="X679">
        <f>IFERROR(INDEX(PP_Grid[#Data],$DE679,21),0)</f>
        <v/>
      </c>
      <c r="Y679">
        <f>IFERROR(INDEX(PP_Grid[#Data],$DE679,22),0)</f>
        <v/>
      </c>
      <c r="Z679">
        <f>IFERROR(INDEX(PP_Grid[#Data],$DE679,23),0)</f>
        <v/>
      </c>
      <c r="AA679">
        <f>IFERROR(INDEX(PP_Grid[#Data],$DE679,24),0)</f>
        <v/>
      </c>
      <c r="AB679">
        <f>IFERROR(INDEX(PP_Grid[#Data],$DE679,25),0)</f>
        <v/>
      </c>
      <c r="AC679">
        <f>IFERROR(INDEX(PP_Grid[#Data],$DE679,26),0)</f>
        <v/>
      </c>
      <c r="AD679">
        <f>IFERROR(INDEX(PP_Grid[#Data],$DE679,27),0)</f>
        <v/>
      </c>
      <c r="AE679">
        <f>IFERROR(INDEX(PP_Grid[#Data],$DE679,28),0)</f>
        <v/>
      </c>
      <c r="AF679">
        <f>IFERROR(INDEX(PP_Grid[#Data],$DE679,29),0)</f>
        <v/>
      </c>
      <c r="AG679">
        <f>IFERROR(INDEX(PP_Grid[#Data],$DE679,30),0)</f>
        <v/>
      </c>
      <c r="AH679">
        <f>IFERROR(INDEX(PP_Grid[#Data],$DE679,31),0)</f>
        <v/>
      </c>
      <c r="AI679">
        <f>IFERROR(INDEX(PP_Grid[#Data],$DE679,32),0)</f>
        <v/>
      </c>
      <c r="AJ679">
        <f>IFERROR(INDEX(PP_Grid[#Data],$DE679,33),0)</f>
        <v/>
      </c>
      <c r="AK679">
        <f>IFERROR(INDEX(PP_Grid[#Data],$DE679,34),0)</f>
        <v/>
      </c>
      <c r="AL679">
        <f>IFERROR(INDEX(PP_Grid[#Data],$DE679,35),0)</f>
        <v/>
      </c>
      <c r="AM679">
        <f>IFERROR(INDEX(PP_Grid[#Data],$DE679,36),0)</f>
        <v/>
      </c>
      <c r="AN679">
        <f>IFERROR(INDEX(PP_Grid[#Data],$DE679,37),0)</f>
        <v/>
      </c>
      <c r="AO679">
        <f>IFERROR(INDEX(PP_Grid[#Data],$DE679,38),0)</f>
        <v/>
      </c>
      <c r="AP679">
        <f>IFERROR(INDEX(PP_Grid[#Data],$DE679,39),0)</f>
        <v/>
      </c>
      <c r="AQ679">
        <f>IFERROR(INDEX(PP_Grid[#Data],$DE679,40),0)</f>
        <v/>
      </c>
      <c r="AR679">
        <f>IFERROR(INDEX(PP_Grid[#Data],$DE679,41),0)</f>
        <v/>
      </c>
      <c r="AS679">
        <f>IFERROR(INDEX(PP_Grid[#Data],$DE679,42),0)</f>
        <v/>
      </c>
      <c r="AT679">
        <f>IFERROR(INDEX(PP_Grid[#Data],$DE679,43),0)</f>
        <v/>
      </c>
      <c r="AU679">
        <f>IFERROR(INDEX(PP_Grid[#Data],$DE679,44),0)</f>
        <v/>
      </c>
      <c r="AV679">
        <f>IFERROR(INDEX(PP_Grid[#Data],$DE679,45),0)</f>
        <v/>
      </c>
      <c r="AW679">
        <f>IFERROR(INDEX(PP_Grid[#Data],$DE679,46),0)</f>
        <v/>
      </c>
      <c r="AX679">
        <f>IFERROR(INDEX(PP_Grid[#Data],$DE679,47),0)</f>
        <v/>
      </c>
      <c r="AY679">
        <f>IFERROR(INDEX(PP_Grid[#Data],$DE679,48),0)</f>
        <v/>
      </c>
      <c r="AZ679">
        <f>IFERROR(INDEX(PP_Grid[#Data],$DE679,49),0)</f>
        <v/>
      </c>
      <c r="BA679">
        <f>IFERROR(INDEX(PP_Grid[#Data],$DE679,50),0)</f>
        <v/>
      </c>
      <c r="BB679">
        <f>IFERROR(INDEX(PP_Grid[#Data],$DE679,51),0)</f>
        <v/>
      </c>
      <c r="BC679">
        <f>IFERROR(INDEX(PP_Grid[#Data],$DE679,52),0)</f>
        <v/>
      </c>
      <c r="BD679">
        <f>IFERROR(INDEX(PP_Grid[#Data],$DE679,53),0)</f>
        <v/>
      </c>
      <c r="BE679">
        <f>IFERROR(INDEX(PP_Grid[#Data],$DE679,54),0)</f>
        <v/>
      </c>
      <c r="BF679">
        <f>IFERROR(INDEX(PP_Grid[#Data],$DE679,55),0)</f>
        <v/>
      </c>
      <c r="BG679">
        <f>IFERROR(INDEX(PP_Grid[#Data],$DE679,56),0)</f>
        <v/>
      </c>
      <c r="BH679">
        <f>IFERROR(INDEX(PP_Grid[#Data],$DE679,57),0)</f>
        <v/>
      </c>
      <c r="BI679">
        <f>IFERROR(INDEX(PP_Grid[#Data],$DE679,58),0)</f>
        <v/>
      </c>
      <c r="BJ679">
        <f>IFERROR(INDEX(PP_Grid[#Data],$DE679,59),0)</f>
        <v/>
      </c>
      <c r="BK679">
        <f>IFERROR(INDEX(PP_Grid[#Data],$DE679,60),0)</f>
        <v/>
      </c>
      <c r="BL679">
        <f>IFERROR(INDEX(PP_Grid[#Data],$DE679,61),0)</f>
        <v/>
      </c>
      <c r="BM679">
        <f>IFERROR(INDEX(PP_Grid[#Data],$DE679,62),0)</f>
        <v/>
      </c>
      <c r="BN679">
        <f>IFERROR(INDEX(PP_Grid[#Data],$DE679,63),0)</f>
        <v/>
      </c>
      <c r="BO679">
        <f>IFERROR(INDEX(PP_Grid[#Data],$DE679,64),0)</f>
        <v/>
      </c>
      <c r="BP679">
        <f>IFERROR(INDEX(PP_Grid[#Data],$DE679,65),0)</f>
        <v/>
      </c>
      <c r="BQ679">
        <f>IFERROR(INDEX(PP_Grid[#Data],$DE679,66),0)</f>
        <v/>
      </c>
      <c r="BR679">
        <f>IFERROR(INDEX(PP_Grid[#Data],$DE679,67),0)</f>
        <v/>
      </c>
      <c r="BS679">
        <f>IFERROR(INDEX(PP_Grid[#Data],$DE679,68),0)</f>
        <v/>
      </c>
      <c r="BT679">
        <f>IFERROR(INDEX(PP_Grid[#Data],$DE679,69),0)</f>
        <v/>
      </c>
      <c r="BU679">
        <f>IFERROR(INDEX(PP_Grid[#Data],$DE679,70),0)</f>
        <v/>
      </c>
      <c r="BV679">
        <f>IFERROR(INDEX(PP_Grid[#Data],$DE679,71),0)</f>
        <v/>
      </c>
      <c r="BW679">
        <f>IFERROR(INDEX(PP_Grid[#Data],$DE679,72),0)</f>
        <v/>
      </c>
      <c r="BX679">
        <f>IFERROR(INDEX(PP_Grid[#Data],$DE679,73),0)</f>
        <v/>
      </c>
      <c r="BY679">
        <f>IFERROR(INDEX(PP_Grid[#Data],$DE679,74),0)</f>
        <v/>
      </c>
      <c r="BZ679">
        <f>IFERROR(INDEX(PP_Grid[#Data],$DE679,75),0)</f>
        <v/>
      </c>
      <c r="CA679">
        <f>IFERROR(INDEX(PP_Grid[#Data],$DE679,76),0)</f>
        <v/>
      </c>
      <c r="CB679">
        <f>IFERROR(INDEX(PP_Grid[#Data],$DE679,77),0)</f>
        <v/>
      </c>
      <c r="CC679">
        <f>IFERROR(INDEX(PP_Grid[#Data],$DE679,78),0)</f>
        <v/>
      </c>
      <c r="CD679">
        <f>IFERROR(INDEX(PP_Grid[#Data],$DE679,79),0)</f>
        <v/>
      </c>
      <c r="CE679">
        <f>IFERROR(INDEX(PP_Grid[#Data],$DE679,80),0)</f>
        <v/>
      </c>
      <c r="CF679">
        <f>IFERROR(INDEX(PP_Grid[#Data],$DE679,81),0)</f>
        <v/>
      </c>
      <c r="CG679">
        <f>IFERROR(INDEX(PP_Grid[#Data],$DE679,82),0)</f>
        <v/>
      </c>
      <c r="CH679">
        <f>IFERROR(INDEX(PP_Grid[#Data],$DE679,83),0)</f>
        <v/>
      </c>
      <c r="CI679">
        <f>IFERROR(INDEX(PP_Grid[#Data],$DE679,84),0)</f>
        <v/>
      </c>
      <c r="CJ679">
        <f>IFERROR(INDEX(PP_Grid[#Data],$DE679,85),0)</f>
        <v/>
      </c>
      <c r="CK679">
        <f>IFERROR(INDEX(PP_Grid[#Data],$DE679,86),0)</f>
        <v/>
      </c>
      <c r="CL679">
        <f>IFERROR(INDEX(PP_Grid[#Data],$DE679,87),0)</f>
        <v/>
      </c>
      <c r="CM679">
        <f>IFERROR(INDEX(PP_Grid[#Data],$DE679,88),0)</f>
        <v/>
      </c>
      <c r="CN679">
        <f>IFERROR(INDEX(PP_Grid[#Data],$DE679,89),0)</f>
        <v/>
      </c>
      <c r="CO679">
        <f>IFERROR(INDEX(PP_Grid[#Data],$DE679,90),0)</f>
        <v/>
      </c>
      <c r="CP679">
        <f>IFERROR(INDEX(PP_Grid[#Data],$DE679,91),0)</f>
        <v/>
      </c>
      <c r="CQ679">
        <f>IFERROR(INDEX(PP_Grid[#Data],$DE679,92),0)</f>
        <v/>
      </c>
      <c r="CR679">
        <f>IFERROR(INDEX(PP_Grid[#Data],$DE679,93),0)</f>
        <v/>
      </c>
      <c r="CS679">
        <f>IFERROR(INDEX(PP_Grid[#Data],$DE679,94),0)</f>
        <v/>
      </c>
      <c r="CT679">
        <f>IFERROR(INDEX(PP_Grid[#Data],$DE679,95),0)</f>
        <v/>
      </c>
      <c r="CU679">
        <f>IFERROR(INDEX(PP_Grid[#Data],$DE679,96),0)</f>
        <v/>
      </c>
      <c r="CV679">
        <f>IFERROR(INDEX(PP_Grid[#Data],$DE679,97),0)</f>
        <v/>
      </c>
      <c r="CW679">
        <f>IFERROR(INDEX(PP_Grid[#Data],$DE679,98),0)</f>
        <v/>
      </c>
      <c r="CX679">
        <f>IFERROR(INDEX(PP_Grid[#Data],$DE679,99),0)</f>
        <v/>
      </c>
      <c r="CY679">
        <f>IFERROR(INDEX(PP_Grid[#Data],$DE679,100),0)</f>
        <v/>
      </c>
      <c r="CZ679">
        <f>IFERROR(INDEX(PP_Grid[#Data],$DE679,101),0)</f>
        <v/>
      </c>
      <c r="DA679">
        <f>IFERROR(INDEX(PP_Grid[#Data],$DE679,102),0)</f>
        <v/>
      </c>
      <c r="DB679">
        <f>IFERROR(INDEX(PP_Grid[#Data],$DE679,103),0)</f>
        <v/>
      </c>
      <c r="DC679">
        <f>IFERROR(INDEX(PP_Grid[#Data],$DE679,104),0)</f>
        <v/>
      </c>
      <c r="DD679">
        <f>IFERROR(INDEX(PP_Grid[#Data],$DE679,105),0)</f>
        <v/>
      </c>
      <c r="DE679" s="7">
        <f>IFERROR(MATCH($B679,PP_Grid[Intermediate],0),99999)</f>
        <v/>
      </c>
    </row>
    <row r="680">
      <c r="B680" t="inlineStr">
        <is>
          <t>使用量(kg)</t>
        </is>
      </c>
      <c r="C680">
        <f>SUMIFS(M_BOM[RM_Qty_Per_Batch],M_BOM[Intermediate],$B679,M_BOM[RM_Code],$A636)</f>
        <v/>
      </c>
      <c r="D680">
        <f>IFERROR(INDEX(E680:DD680,$F$1),"")</f>
        <v/>
      </c>
      <c r="E680">
        <f>$C680*E679</f>
        <v/>
      </c>
      <c r="F680">
        <f>$C680*F679</f>
        <v/>
      </c>
      <c r="G680">
        <f>$C680*G679</f>
        <v/>
      </c>
      <c r="H680">
        <f>$C680*H679</f>
        <v/>
      </c>
      <c r="I680">
        <f>$C680*I679</f>
        <v/>
      </c>
      <c r="J680">
        <f>$C680*J679</f>
        <v/>
      </c>
      <c r="K680">
        <f>$C680*K679</f>
        <v/>
      </c>
      <c r="L680">
        <f>$C680*L679</f>
        <v/>
      </c>
      <c r="M680">
        <f>$C680*M679</f>
        <v/>
      </c>
      <c r="N680">
        <f>$C680*N679</f>
        <v/>
      </c>
      <c r="O680">
        <f>$C680*O679</f>
        <v/>
      </c>
      <c r="P680">
        <f>$C680*P679</f>
        <v/>
      </c>
      <c r="Q680">
        <f>$C680*Q679</f>
        <v/>
      </c>
      <c r="R680">
        <f>$C680*R679</f>
        <v/>
      </c>
      <c r="S680">
        <f>$C680*S679</f>
        <v/>
      </c>
      <c r="T680">
        <f>$C680*T679</f>
        <v/>
      </c>
      <c r="U680">
        <f>$C680*U679</f>
        <v/>
      </c>
      <c r="V680">
        <f>$C680*V679</f>
        <v/>
      </c>
      <c r="W680">
        <f>$C680*W679</f>
        <v/>
      </c>
      <c r="X680">
        <f>$C680*X679</f>
        <v/>
      </c>
      <c r="Y680">
        <f>$C680*Y679</f>
        <v/>
      </c>
      <c r="Z680">
        <f>$C680*Z679</f>
        <v/>
      </c>
      <c r="AA680">
        <f>$C680*AA679</f>
        <v/>
      </c>
      <c r="AB680">
        <f>$C680*AB679</f>
        <v/>
      </c>
      <c r="AC680">
        <f>$C680*AC679</f>
        <v/>
      </c>
      <c r="AD680">
        <f>$C680*AD679</f>
        <v/>
      </c>
      <c r="AE680">
        <f>$C680*AE679</f>
        <v/>
      </c>
      <c r="AF680">
        <f>$C680*AF679</f>
        <v/>
      </c>
      <c r="AG680">
        <f>$C680*AG679</f>
        <v/>
      </c>
      <c r="AH680">
        <f>$C680*AH679</f>
        <v/>
      </c>
      <c r="AI680">
        <f>$C680*AI679</f>
        <v/>
      </c>
      <c r="AJ680">
        <f>$C680*AJ679</f>
        <v/>
      </c>
      <c r="AK680">
        <f>$C680*AK679</f>
        <v/>
      </c>
      <c r="AL680">
        <f>$C680*AL679</f>
        <v/>
      </c>
      <c r="AM680">
        <f>$C680*AM679</f>
        <v/>
      </c>
      <c r="AN680">
        <f>$C680*AN679</f>
        <v/>
      </c>
      <c r="AO680">
        <f>$C680*AO679</f>
        <v/>
      </c>
      <c r="AP680">
        <f>$C680*AP679</f>
        <v/>
      </c>
      <c r="AQ680">
        <f>$C680*AQ679</f>
        <v/>
      </c>
      <c r="AR680">
        <f>$C680*AR679</f>
        <v/>
      </c>
      <c r="AS680">
        <f>$C680*AS679</f>
        <v/>
      </c>
      <c r="AT680">
        <f>$C680*AT679</f>
        <v/>
      </c>
      <c r="AU680">
        <f>$C680*AU679</f>
        <v/>
      </c>
      <c r="AV680">
        <f>$C680*AV679</f>
        <v/>
      </c>
      <c r="AW680">
        <f>$C680*AW679</f>
        <v/>
      </c>
      <c r="AX680">
        <f>$C680*AX679</f>
        <v/>
      </c>
      <c r="AY680">
        <f>$C680*AY679</f>
        <v/>
      </c>
      <c r="AZ680">
        <f>$C680*AZ679</f>
        <v/>
      </c>
      <c r="BA680">
        <f>$C680*BA679</f>
        <v/>
      </c>
      <c r="BB680">
        <f>$C680*BB679</f>
        <v/>
      </c>
      <c r="BC680">
        <f>$C680*BC679</f>
        <v/>
      </c>
      <c r="BD680">
        <f>$C680*BD679</f>
        <v/>
      </c>
      <c r="BE680">
        <f>$C680*BE679</f>
        <v/>
      </c>
      <c r="BF680">
        <f>$C680*BF679</f>
        <v/>
      </c>
      <c r="BG680">
        <f>$C680*BG679</f>
        <v/>
      </c>
      <c r="BH680">
        <f>$C680*BH679</f>
        <v/>
      </c>
      <c r="BI680">
        <f>$C680*BI679</f>
        <v/>
      </c>
      <c r="BJ680">
        <f>$C680*BJ679</f>
        <v/>
      </c>
      <c r="BK680">
        <f>$C680*BK679</f>
        <v/>
      </c>
      <c r="BL680">
        <f>$C680*BL679</f>
        <v/>
      </c>
      <c r="BM680">
        <f>$C680*BM679</f>
        <v/>
      </c>
      <c r="BN680">
        <f>$C680*BN679</f>
        <v/>
      </c>
      <c r="BO680">
        <f>$C680*BO679</f>
        <v/>
      </c>
      <c r="BP680">
        <f>$C680*BP679</f>
        <v/>
      </c>
      <c r="BQ680">
        <f>$C680*BQ679</f>
        <v/>
      </c>
      <c r="BR680">
        <f>$C680*BR679</f>
        <v/>
      </c>
      <c r="BS680">
        <f>$C680*BS679</f>
        <v/>
      </c>
      <c r="BT680">
        <f>$C680*BT679</f>
        <v/>
      </c>
      <c r="BU680">
        <f>$C680*BU679</f>
        <v/>
      </c>
      <c r="BV680">
        <f>$C680*BV679</f>
        <v/>
      </c>
      <c r="BW680">
        <f>$C680*BW679</f>
        <v/>
      </c>
      <c r="BX680">
        <f>$C680*BX679</f>
        <v/>
      </c>
      <c r="BY680">
        <f>$C680*BY679</f>
        <v/>
      </c>
      <c r="BZ680">
        <f>$C680*BZ679</f>
        <v/>
      </c>
      <c r="CA680">
        <f>$C680*CA679</f>
        <v/>
      </c>
      <c r="CB680">
        <f>$C680*CB679</f>
        <v/>
      </c>
      <c r="CC680">
        <f>$C680*CC679</f>
        <v/>
      </c>
      <c r="CD680">
        <f>$C680*CD679</f>
        <v/>
      </c>
      <c r="CE680">
        <f>$C680*CE679</f>
        <v/>
      </c>
      <c r="CF680">
        <f>$C680*CF679</f>
        <v/>
      </c>
      <c r="CG680">
        <f>$C680*CG679</f>
        <v/>
      </c>
      <c r="CH680">
        <f>$C680*CH679</f>
        <v/>
      </c>
      <c r="CI680">
        <f>$C680*CI679</f>
        <v/>
      </c>
      <c r="CJ680">
        <f>$C680*CJ679</f>
        <v/>
      </c>
      <c r="CK680">
        <f>$C680*CK679</f>
        <v/>
      </c>
      <c r="CL680">
        <f>$C680*CL679</f>
        <v/>
      </c>
      <c r="CM680">
        <f>$C680*CM679</f>
        <v/>
      </c>
      <c r="CN680">
        <f>$C680*CN679</f>
        <v/>
      </c>
      <c r="CO680">
        <f>$C680*CO679</f>
        <v/>
      </c>
      <c r="CP680">
        <f>$C680*CP679</f>
        <v/>
      </c>
      <c r="CQ680">
        <f>$C680*CQ679</f>
        <v/>
      </c>
      <c r="CR680">
        <f>$C680*CR679</f>
        <v/>
      </c>
      <c r="CS680">
        <f>$C680*CS679</f>
        <v/>
      </c>
      <c r="CT680">
        <f>$C680*CT679</f>
        <v/>
      </c>
      <c r="CU680">
        <f>$C680*CU679</f>
        <v/>
      </c>
      <c r="CV680">
        <f>$C680*CV679</f>
        <v/>
      </c>
      <c r="CW680">
        <f>$C680*CW679</f>
        <v/>
      </c>
      <c r="CX680">
        <f>$C680*CX679</f>
        <v/>
      </c>
      <c r="CY680">
        <f>$C680*CY679</f>
        <v/>
      </c>
      <c r="CZ680">
        <f>$C680*CZ679</f>
        <v/>
      </c>
      <c r="DA680">
        <f>$C680*DA679</f>
        <v/>
      </c>
      <c r="DB680">
        <f>$C680*DB679</f>
        <v/>
      </c>
      <c r="DC680">
        <f>$C680*DC679</f>
        <v/>
      </c>
      <c r="DD680">
        <f>$C680*DD679</f>
        <v/>
      </c>
    </row>
    <row r="681">
      <c r="B681" t="inlineStr">
        <is>
          <t>TSP-656</t>
        </is>
      </c>
      <c r="C681" t="inlineStr">
        <is>
          <t>No. of batches</t>
        </is>
      </c>
      <c r="D681">
        <f>IFERROR(INDEX(E681:DD681,$F$1),"")</f>
        <v/>
      </c>
      <c r="E681">
        <f>IFERROR(INDEX(PP_Grid[#Data],$DE681,2),0)</f>
        <v/>
      </c>
      <c r="F681">
        <f>IFERROR(INDEX(PP_Grid[#Data],$DE681,3),0)</f>
        <v/>
      </c>
      <c r="G681">
        <f>IFERROR(INDEX(PP_Grid[#Data],$DE681,4),0)</f>
        <v/>
      </c>
      <c r="H681">
        <f>IFERROR(INDEX(PP_Grid[#Data],$DE681,5),0)</f>
        <v/>
      </c>
      <c r="I681">
        <f>IFERROR(INDEX(PP_Grid[#Data],$DE681,6),0)</f>
        <v/>
      </c>
      <c r="J681">
        <f>IFERROR(INDEX(PP_Grid[#Data],$DE681,7),0)</f>
        <v/>
      </c>
      <c r="K681">
        <f>IFERROR(INDEX(PP_Grid[#Data],$DE681,8),0)</f>
        <v/>
      </c>
      <c r="L681">
        <f>IFERROR(INDEX(PP_Grid[#Data],$DE681,9),0)</f>
        <v/>
      </c>
      <c r="M681">
        <f>IFERROR(INDEX(PP_Grid[#Data],$DE681,10),0)</f>
        <v/>
      </c>
      <c r="N681">
        <f>IFERROR(INDEX(PP_Grid[#Data],$DE681,11),0)</f>
        <v/>
      </c>
      <c r="O681">
        <f>IFERROR(INDEX(PP_Grid[#Data],$DE681,12),0)</f>
        <v/>
      </c>
      <c r="P681">
        <f>IFERROR(INDEX(PP_Grid[#Data],$DE681,13),0)</f>
        <v/>
      </c>
      <c r="Q681">
        <f>IFERROR(INDEX(PP_Grid[#Data],$DE681,14),0)</f>
        <v/>
      </c>
      <c r="R681">
        <f>IFERROR(INDEX(PP_Grid[#Data],$DE681,15),0)</f>
        <v/>
      </c>
      <c r="S681">
        <f>IFERROR(INDEX(PP_Grid[#Data],$DE681,16),0)</f>
        <v/>
      </c>
      <c r="T681">
        <f>IFERROR(INDEX(PP_Grid[#Data],$DE681,17),0)</f>
        <v/>
      </c>
      <c r="U681">
        <f>IFERROR(INDEX(PP_Grid[#Data],$DE681,18),0)</f>
        <v/>
      </c>
      <c r="V681">
        <f>IFERROR(INDEX(PP_Grid[#Data],$DE681,19),0)</f>
        <v/>
      </c>
      <c r="W681">
        <f>IFERROR(INDEX(PP_Grid[#Data],$DE681,20),0)</f>
        <v/>
      </c>
      <c r="X681">
        <f>IFERROR(INDEX(PP_Grid[#Data],$DE681,21),0)</f>
        <v/>
      </c>
      <c r="Y681">
        <f>IFERROR(INDEX(PP_Grid[#Data],$DE681,22),0)</f>
        <v/>
      </c>
      <c r="Z681">
        <f>IFERROR(INDEX(PP_Grid[#Data],$DE681,23),0)</f>
        <v/>
      </c>
      <c r="AA681">
        <f>IFERROR(INDEX(PP_Grid[#Data],$DE681,24),0)</f>
        <v/>
      </c>
      <c r="AB681">
        <f>IFERROR(INDEX(PP_Grid[#Data],$DE681,25),0)</f>
        <v/>
      </c>
      <c r="AC681">
        <f>IFERROR(INDEX(PP_Grid[#Data],$DE681,26),0)</f>
        <v/>
      </c>
      <c r="AD681">
        <f>IFERROR(INDEX(PP_Grid[#Data],$DE681,27),0)</f>
        <v/>
      </c>
      <c r="AE681">
        <f>IFERROR(INDEX(PP_Grid[#Data],$DE681,28),0)</f>
        <v/>
      </c>
      <c r="AF681">
        <f>IFERROR(INDEX(PP_Grid[#Data],$DE681,29),0)</f>
        <v/>
      </c>
      <c r="AG681">
        <f>IFERROR(INDEX(PP_Grid[#Data],$DE681,30),0)</f>
        <v/>
      </c>
      <c r="AH681">
        <f>IFERROR(INDEX(PP_Grid[#Data],$DE681,31),0)</f>
        <v/>
      </c>
      <c r="AI681">
        <f>IFERROR(INDEX(PP_Grid[#Data],$DE681,32),0)</f>
        <v/>
      </c>
      <c r="AJ681">
        <f>IFERROR(INDEX(PP_Grid[#Data],$DE681,33),0)</f>
        <v/>
      </c>
      <c r="AK681">
        <f>IFERROR(INDEX(PP_Grid[#Data],$DE681,34),0)</f>
        <v/>
      </c>
      <c r="AL681">
        <f>IFERROR(INDEX(PP_Grid[#Data],$DE681,35),0)</f>
        <v/>
      </c>
      <c r="AM681">
        <f>IFERROR(INDEX(PP_Grid[#Data],$DE681,36),0)</f>
        <v/>
      </c>
      <c r="AN681">
        <f>IFERROR(INDEX(PP_Grid[#Data],$DE681,37),0)</f>
        <v/>
      </c>
      <c r="AO681">
        <f>IFERROR(INDEX(PP_Grid[#Data],$DE681,38),0)</f>
        <v/>
      </c>
      <c r="AP681">
        <f>IFERROR(INDEX(PP_Grid[#Data],$DE681,39),0)</f>
        <v/>
      </c>
      <c r="AQ681">
        <f>IFERROR(INDEX(PP_Grid[#Data],$DE681,40),0)</f>
        <v/>
      </c>
      <c r="AR681">
        <f>IFERROR(INDEX(PP_Grid[#Data],$DE681,41),0)</f>
        <v/>
      </c>
      <c r="AS681">
        <f>IFERROR(INDEX(PP_Grid[#Data],$DE681,42),0)</f>
        <v/>
      </c>
      <c r="AT681">
        <f>IFERROR(INDEX(PP_Grid[#Data],$DE681,43),0)</f>
        <v/>
      </c>
      <c r="AU681">
        <f>IFERROR(INDEX(PP_Grid[#Data],$DE681,44),0)</f>
        <v/>
      </c>
      <c r="AV681">
        <f>IFERROR(INDEX(PP_Grid[#Data],$DE681,45),0)</f>
        <v/>
      </c>
      <c r="AW681">
        <f>IFERROR(INDEX(PP_Grid[#Data],$DE681,46),0)</f>
        <v/>
      </c>
      <c r="AX681">
        <f>IFERROR(INDEX(PP_Grid[#Data],$DE681,47),0)</f>
        <v/>
      </c>
      <c r="AY681">
        <f>IFERROR(INDEX(PP_Grid[#Data],$DE681,48),0)</f>
        <v/>
      </c>
      <c r="AZ681">
        <f>IFERROR(INDEX(PP_Grid[#Data],$DE681,49),0)</f>
        <v/>
      </c>
      <c r="BA681">
        <f>IFERROR(INDEX(PP_Grid[#Data],$DE681,50),0)</f>
        <v/>
      </c>
      <c r="BB681">
        <f>IFERROR(INDEX(PP_Grid[#Data],$DE681,51),0)</f>
        <v/>
      </c>
      <c r="BC681">
        <f>IFERROR(INDEX(PP_Grid[#Data],$DE681,52),0)</f>
        <v/>
      </c>
      <c r="BD681">
        <f>IFERROR(INDEX(PP_Grid[#Data],$DE681,53),0)</f>
        <v/>
      </c>
      <c r="BE681">
        <f>IFERROR(INDEX(PP_Grid[#Data],$DE681,54),0)</f>
        <v/>
      </c>
      <c r="BF681">
        <f>IFERROR(INDEX(PP_Grid[#Data],$DE681,55),0)</f>
        <v/>
      </c>
      <c r="BG681">
        <f>IFERROR(INDEX(PP_Grid[#Data],$DE681,56),0)</f>
        <v/>
      </c>
      <c r="BH681">
        <f>IFERROR(INDEX(PP_Grid[#Data],$DE681,57),0)</f>
        <v/>
      </c>
      <c r="BI681">
        <f>IFERROR(INDEX(PP_Grid[#Data],$DE681,58),0)</f>
        <v/>
      </c>
      <c r="BJ681">
        <f>IFERROR(INDEX(PP_Grid[#Data],$DE681,59),0)</f>
        <v/>
      </c>
      <c r="BK681">
        <f>IFERROR(INDEX(PP_Grid[#Data],$DE681,60),0)</f>
        <v/>
      </c>
      <c r="BL681">
        <f>IFERROR(INDEX(PP_Grid[#Data],$DE681,61),0)</f>
        <v/>
      </c>
      <c r="BM681">
        <f>IFERROR(INDEX(PP_Grid[#Data],$DE681,62),0)</f>
        <v/>
      </c>
      <c r="BN681">
        <f>IFERROR(INDEX(PP_Grid[#Data],$DE681,63),0)</f>
        <v/>
      </c>
      <c r="BO681">
        <f>IFERROR(INDEX(PP_Grid[#Data],$DE681,64),0)</f>
        <v/>
      </c>
      <c r="BP681">
        <f>IFERROR(INDEX(PP_Grid[#Data],$DE681,65),0)</f>
        <v/>
      </c>
      <c r="BQ681">
        <f>IFERROR(INDEX(PP_Grid[#Data],$DE681,66),0)</f>
        <v/>
      </c>
      <c r="BR681">
        <f>IFERROR(INDEX(PP_Grid[#Data],$DE681,67),0)</f>
        <v/>
      </c>
      <c r="BS681">
        <f>IFERROR(INDEX(PP_Grid[#Data],$DE681,68),0)</f>
        <v/>
      </c>
      <c r="BT681">
        <f>IFERROR(INDEX(PP_Grid[#Data],$DE681,69),0)</f>
        <v/>
      </c>
      <c r="BU681">
        <f>IFERROR(INDEX(PP_Grid[#Data],$DE681,70),0)</f>
        <v/>
      </c>
      <c r="BV681">
        <f>IFERROR(INDEX(PP_Grid[#Data],$DE681,71),0)</f>
        <v/>
      </c>
      <c r="BW681">
        <f>IFERROR(INDEX(PP_Grid[#Data],$DE681,72),0)</f>
        <v/>
      </c>
      <c r="BX681">
        <f>IFERROR(INDEX(PP_Grid[#Data],$DE681,73),0)</f>
        <v/>
      </c>
      <c r="BY681">
        <f>IFERROR(INDEX(PP_Grid[#Data],$DE681,74),0)</f>
        <v/>
      </c>
      <c r="BZ681">
        <f>IFERROR(INDEX(PP_Grid[#Data],$DE681,75),0)</f>
        <v/>
      </c>
      <c r="CA681">
        <f>IFERROR(INDEX(PP_Grid[#Data],$DE681,76),0)</f>
        <v/>
      </c>
      <c r="CB681">
        <f>IFERROR(INDEX(PP_Grid[#Data],$DE681,77),0)</f>
        <v/>
      </c>
      <c r="CC681">
        <f>IFERROR(INDEX(PP_Grid[#Data],$DE681,78),0)</f>
        <v/>
      </c>
      <c r="CD681">
        <f>IFERROR(INDEX(PP_Grid[#Data],$DE681,79),0)</f>
        <v/>
      </c>
      <c r="CE681">
        <f>IFERROR(INDEX(PP_Grid[#Data],$DE681,80),0)</f>
        <v/>
      </c>
      <c r="CF681">
        <f>IFERROR(INDEX(PP_Grid[#Data],$DE681,81),0)</f>
        <v/>
      </c>
      <c r="CG681">
        <f>IFERROR(INDEX(PP_Grid[#Data],$DE681,82),0)</f>
        <v/>
      </c>
      <c r="CH681">
        <f>IFERROR(INDEX(PP_Grid[#Data],$DE681,83),0)</f>
        <v/>
      </c>
      <c r="CI681">
        <f>IFERROR(INDEX(PP_Grid[#Data],$DE681,84),0)</f>
        <v/>
      </c>
      <c r="CJ681">
        <f>IFERROR(INDEX(PP_Grid[#Data],$DE681,85),0)</f>
        <v/>
      </c>
      <c r="CK681">
        <f>IFERROR(INDEX(PP_Grid[#Data],$DE681,86),0)</f>
        <v/>
      </c>
      <c r="CL681">
        <f>IFERROR(INDEX(PP_Grid[#Data],$DE681,87),0)</f>
        <v/>
      </c>
      <c r="CM681">
        <f>IFERROR(INDEX(PP_Grid[#Data],$DE681,88),0)</f>
        <v/>
      </c>
      <c r="CN681">
        <f>IFERROR(INDEX(PP_Grid[#Data],$DE681,89),0)</f>
        <v/>
      </c>
      <c r="CO681">
        <f>IFERROR(INDEX(PP_Grid[#Data],$DE681,90),0)</f>
        <v/>
      </c>
      <c r="CP681">
        <f>IFERROR(INDEX(PP_Grid[#Data],$DE681,91),0)</f>
        <v/>
      </c>
      <c r="CQ681">
        <f>IFERROR(INDEX(PP_Grid[#Data],$DE681,92),0)</f>
        <v/>
      </c>
      <c r="CR681">
        <f>IFERROR(INDEX(PP_Grid[#Data],$DE681,93),0)</f>
        <v/>
      </c>
      <c r="CS681">
        <f>IFERROR(INDEX(PP_Grid[#Data],$DE681,94),0)</f>
        <v/>
      </c>
      <c r="CT681">
        <f>IFERROR(INDEX(PP_Grid[#Data],$DE681,95),0)</f>
        <v/>
      </c>
      <c r="CU681">
        <f>IFERROR(INDEX(PP_Grid[#Data],$DE681,96),0)</f>
        <v/>
      </c>
      <c r="CV681">
        <f>IFERROR(INDEX(PP_Grid[#Data],$DE681,97),0)</f>
        <v/>
      </c>
      <c r="CW681">
        <f>IFERROR(INDEX(PP_Grid[#Data],$DE681,98),0)</f>
        <v/>
      </c>
      <c r="CX681">
        <f>IFERROR(INDEX(PP_Grid[#Data],$DE681,99),0)</f>
        <v/>
      </c>
      <c r="CY681">
        <f>IFERROR(INDEX(PP_Grid[#Data],$DE681,100),0)</f>
        <v/>
      </c>
      <c r="CZ681">
        <f>IFERROR(INDEX(PP_Grid[#Data],$DE681,101),0)</f>
        <v/>
      </c>
      <c r="DA681">
        <f>IFERROR(INDEX(PP_Grid[#Data],$DE681,102),0)</f>
        <v/>
      </c>
      <c r="DB681">
        <f>IFERROR(INDEX(PP_Grid[#Data],$DE681,103),0)</f>
        <v/>
      </c>
      <c r="DC681">
        <f>IFERROR(INDEX(PP_Grid[#Data],$DE681,104),0)</f>
        <v/>
      </c>
      <c r="DD681">
        <f>IFERROR(INDEX(PP_Grid[#Data],$DE681,105),0)</f>
        <v/>
      </c>
      <c r="DE681" s="7">
        <f>IFERROR(MATCH($B681,PP_Grid[Intermediate],0),99999)</f>
        <v/>
      </c>
    </row>
    <row r="682">
      <c r="B682" t="inlineStr">
        <is>
          <t>使用量(kg)</t>
        </is>
      </c>
      <c r="C682">
        <f>SUMIFS(M_BOM[RM_Qty_Per_Batch],M_BOM[Intermediate],$B681,M_BOM[RM_Code],$A636)</f>
        <v/>
      </c>
      <c r="D682">
        <f>IFERROR(INDEX(E682:DD682,$F$1),"")</f>
        <v/>
      </c>
      <c r="E682">
        <f>$C682*E681</f>
        <v/>
      </c>
      <c r="F682">
        <f>$C682*F681</f>
        <v/>
      </c>
      <c r="G682">
        <f>$C682*G681</f>
        <v/>
      </c>
      <c r="H682">
        <f>$C682*H681</f>
        <v/>
      </c>
      <c r="I682">
        <f>$C682*I681</f>
        <v/>
      </c>
      <c r="J682">
        <f>$C682*J681</f>
        <v/>
      </c>
      <c r="K682">
        <f>$C682*K681</f>
        <v/>
      </c>
      <c r="L682">
        <f>$C682*L681</f>
        <v/>
      </c>
      <c r="M682">
        <f>$C682*M681</f>
        <v/>
      </c>
      <c r="N682">
        <f>$C682*N681</f>
        <v/>
      </c>
      <c r="O682">
        <f>$C682*O681</f>
        <v/>
      </c>
      <c r="P682">
        <f>$C682*P681</f>
        <v/>
      </c>
      <c r="Q682">
        <f>$C682*Q681</f>
        <v/>
      </c>
      <c r="R682">
        <f>$C682*R681</f>
        <v/>
      </c>
      <c r="S682">
        <f>$C682*S681</f>
        <v/>
      </c>
      <c r="T682">
        <f>$C682*T681</f>
        <v/>
      </c>
      <c r="U682">
        <f>$C682*U681</f>
        <v/>
      </c>
      <c r="V682">
        <f>$C682*V681</f>
        <v/>
      </c>
      <c r="W682">
        <f>$C682*W681</f>
        <v/>
      </c>
      <c r="X682">
        <f>$C682*X681</f>
        <v/>
      </c>
      <c r="Y682">
        <f>$C682*Y681</f>
        <v/>
      </c>
      <c r="Z682">
        <f>$C682*Z681</f>
        <v/>
      </c>
      <c r="AA682">
        <f>$C682*AA681</f>
        <v/>
      </c>
      <c r="AB682">
        <f>$C682*AB681</f>
        <v/>
      </c>
      <c r="AC682">
        <f>$C682*AC681</f>
        <v/>
      </c>
      <c r="AD682">
        <f>$C682*AD681</f>
        <v/>
      </c>
      <c r="AE682">
        <f>$C682*AE681</f>
        <v/>
      </c>
      <c r="AF682">
        <f>$C682*AF681</f>
        <v/>
      </c>
      <c r="AG682">
        <f>$C682*AG681</f>
        <v/>
      </c>
      <c r="AH682">
        <f>$C682*AH681</f>
        <v/>
      </c>
      <c r="AI682">
        <f>$C682*AI681</f>
        <v/>
      </c>
      <c r="AJ682">
        <f>$C682*AJ681</f>
        <v/>
      </c>
      <c r="AK682">
        <f>$C682*AK681</f>
        <v/>
      </c>
      <c r="AL682">
        <f>$C682*AL681</f>
        <v/>
      </c>
      <c r="AM682">
        <f>$C682*AM681</f>
        <v/>
      </c>
      <c r="AN682">
        <f>$C682*AN681</f>
        <v/>
      </c>
      <c r="AO682">
        <f>$C682*AO681</f>
        <v/>
      </c>
      <c r="AP682">
        <f>$C682*AP681</f>
        <v/>
      </c>
      <c r="AQ682">
        <f>$C682*AQ681</f>
        <v/>
      </c>
      <c r="AR682">
        <f>$C682*AR681</f>
        <v/>
      </c>
      <c r="AS682">
        <f>$C682*AS681</f>
        <v/>
      </c>
      <c r="AT682">
        <f>$C682*AT681</f>
        <v/>
      </c>
      <c r="AU682">
        <f>$C682*AU681</f>
        <v/>
      </c>
      <c r="AV682">
        <f>$C682*AV681</f>
        <v/>
      </c>
      <c r="AW682">
        <f>$C682*AW681</f>
        <v/>
      </c>
      <c r="AX682">
        <f>$C682*AX681</f>
        <v/>
      </c>
      <c r="AY682">
        <f>$C682*AY681</f>
        <v/>
      </c>
      <c r="AZ682">
        <f>$C682*AZ681</f>
        <v/>
      </c>
      <c r="BA682">
        <f>$C682*BA681</f>
        <v/>
      </c>
      <c r="BB682">
        <f>$C682*BB681</f>
        <v/>
      </c>
      <c r="BC682">
        <f>$C682*BC681</f>
        <v/>
      </c>
      <c r="BD682">
        <f>$C682*BD681</f>
        <v/>
      </c>
      <c r="BE682">
        <f>$C682*BE681</f>
        <v/>
      </c>
      <c r="BF682">
        <f>$C682*BF681</f>
        <v/>
      </c>
      <c r="BG682">
        <f>$C682*BG681</f>
        <v/>
      </c>
      <c r="BH682">
        <f>$C682*BH681</f>
        <v/>
      </c>
      <c r="BI682">
        <f>$C682*BI681</f>
        <v/>
      </c>
      <c r="BJ682">
        <f>$C682*BJ681</f>
        <v/>
      </c>
      <c r="BK682">
        <f>$C682*BK681</f>
        <v/>
      </c>
      <c r="BL682">
        <f>$C682*BL681</f>
        <v/>
      </c>
      <c r="BM682">
        <f>$C682*BM681</f>
        <v/>
      </c>
      <c r="BN682">
        <f>$C682*BN681</f>
        <v/>
      </c>
      <c r="BO682">
        <f>$C682*BO681</f>
        <v/>
      </c>
      <c r="BP682">
        <f>$C682*BP681</f>
        <v/>
      </c>
      <c r="BQ682">
        <f>$C682*BQ681</f>
        <v/>
      </c>
      <c r="BR682">
        <f>$C682*BR681</f>
        <v/>
      </c>
      <c r="BS682">
        <f>$C682*BS681</f>
        <v/>
      </c>
      <c r="BT682">
        <f>$C682*BT681</f>
        <v/>
      </c>
      <c r="BU682">
        <f>$C682*BU681</f>
        <v/>
      </c>
      <c r="BV682">
        <f>$C682*BV681</f>
        <v/>
      </c>
      <c r="BW682">
        <f>$C682*BW681</f>
        <v/>
      </c>
      <c r="BX682">
        <f>$C682*BX681</f>
        <v/>
      </c>
      <c r="BY682">
        <f>$C682*BY681</f>
        <v/>
      </c>
      <c r="BZ682">
        <f>$C682*BZ681</f>
        <v/>
      </c>
      <c r="CA682">
        <f>$C682*CA681</f>
        <v/>
      </c>
      <c r="CB682">
        <f>$C682*CB681</f>
        <v/>
      </c>
      <c r="CC682">
        <f>$C682*CC681</f>
        <v/>
      </c>
      <c r="CD682">
        <f>$C682*CD681</f>
        <v/>
      </c>
      <c r="CE682">
        <f>$C682*CE681</f>
        <v/>
      </c>
      <c r="CF682">
        <f>$C682*CF681</f>
        <v/>
      </c>
      <c r="CG682">
        <f>$C682*CG681</f>
        <v/>
      </c>
      <c r="CH682">
        <f>$C682*CH681</f>
        <v/>
      </c>
      <c r="CI682">
        <f>$C682*CI681</f>
        <v/>
      </c>
      <c r="CJ682">
        <f>$C682*CJ681</f>
        <v/>
      </c>
      <c r="CK682">
        <f>$C682*CK681</f>
        <v/>
      </c>
      <c r="CL682">
        <f>$C682*CL681</f>
        <v/>
      </c>
      <c r="CM682">
        <f>$C682*CM681</f>
        <v/>
      </c>
      <c r="CN682">
        <f>$C682*CN681</f>
        <v/>
      </c>
      <c r="CO682">
        <f>$C682*CO681</f>
        <v/>
      </c>
      <c r="CP682">
        <f>$C682*CP681</f>
        <v/>
      </c>
      <c r="CQ682">
        <f>$C682*CQ681</f>
        <v/>
      </c>
      <c r="CR682">
        <f>$C682*CR681</f>
        <v/>
      </c>
      <c r="CS682">
        <f>$C682*CS681</f>
        <v/>
      </c>
      <c r="CT682">
        <f>$C682*CT681</f>
        <v/>
      </c>
      <c r="CU682">
        <f>$C682*CU681</f>
        <v/>
      </c>
      <c r="CV682">
        <f>$C682*CV681</f>
        <v/>
      </c>
      <c r="CW682">
        <f>$C682*CW681</f>
        <v/>
      </c>
      <c r="CX682">
        <f>$C682*CX681</f>
        <v/>
      </c>
      <c r="CY682">
        <f>$C682*CY681</f>
        <v/>
      </c>
      <c r="CZ682">
        <f>$C682*CZ681</f>
        <v/>
      </c>
      <c r="DA682">
        <f>$C682*DA681</f>
        <v/>
      </c>
      <c r="DB682">
        <f>$C682*DB681</f>
        <v/>
      </c>
      <c r="DC682">
        <f>$C682*DC681</f>
        <v/>
      </c>
      <c r="DD682">
        <f>$C682*DD681</f>
        <v/>
      </c>
    </row>
    <row r="683">
      <c r="B683" t="inlineStr">
        <is>
          <t>TSP-710</t>
        </is>
      </c>
      <c r="C683" t="inlineStr">
        <is>
          <t>No. of batches</t>
        </is>
      </c>
      <c r="D683">
        <f>IFERROR(INDEX(E683:DD683,$F$1),"")</f>
        <v/>
      </c>
      <c r="E683">
        <f>IFERROR(INDEX(PP_Grid[#Data],$DE683,2),0)</f>
        <v/>
      </c>
      <c r="F683">
        <f>IFERROR(INDEX(PP_Grid[#Data],$DE683,3),0)</f>
        <v/>
      </c>
      <c r="G683">
        <f>IFERROR(INDEX(PP_Grid[#Data],$DE683,4),0)</f>
        <v/>
      </c>
      <c r="H683">
        <f>IFERROR(INDEX(PP_Grid[#Data],$DE683,5),0)</f>
        <v/>
      </c>
      <c r="I683">
        <f>IFERROR(INDEX(PP_Grid[#Data],$DE683,6),0)</f>
        <v/>
      </c>
      <c r="J683">
        <f>IFERROR(INDEX(PP_Grid[#Data],$DE683,7),0)</f>
        <v/>
      </c>
      <c r="K683">
        <f>IFERROR(INDEX(PP_Grid[#Data],$DE683,8),0)</f>
        <v/>
      </c>
      <c r="L683">
        <f>IFERROR(INDEX(PP_Grid[#Data],$DE683,9),0)</f>
        <v/>
      </c>
      <c r="M683">
        <f>IFERROR(INDEX(PP_Grid[#Data],$DE683,10),0)</f>
        <v/>
      </c>
      <c r="N683">
        <f>IFERROR(INDEX(PP_Grid[#Data],$DE683,11),0)</f>
        <v/>
      </c>
      <c r="O683">
        <f>IFERROR(INDEX(PP_Grid[#Data],$DE683,12),0)</f>
        <v/>
      </c>
      <c r="P683">
        <f>IFERROR(INDEX(PP_Grid[#Data],$DE683,13),0)</f>
        <v/>
      </c>
      <c r="Q683">
        <f>IFERROR(INDEX(PP_Grid[#Data],$DE683,14),0)</f>
        <v/>
      </c>
      <c r="R683">
        <f>IFERROR(INDEX(PP_Grid[#Data],$DE683,15),0)</f>
        <v/>
      </c>
      <c r="S683">
        <f>IFERROR(INDEX(PP_Grid[#Data],$DE683,16),0)</f>
        <v/>
      </c>
      <c r="T683">
        <f>IFERROR(INDEX(PP_Grid[#Data],$DE683,17),0)</f>
        <v/>
      </c>
      <c r="U683">
        <f>IFERROR(INDEX(PP_Grid[#Data],$DE683,18),0)</f>
        <v/>
      </c>
      <c r="V683">
        <f>IFERROR(INDEX(PP_Grid[#Data],$DE683,19),0)</f>
        <v/>
      </c>
      <c r="W683">
        <f>IFERROR(INDEX(PP_Grid[#Data],$DE683,20),0)</f>
        <v/>
      </c>
      <c r="X683">
        <f>IFERROR(INDEX(PP_Grid[#Data],$DE683,21),0)</f>
        <v/>
      </c>
      <c r="Y683">
        <f>IFERROR(INDEX(PP_Grid[#Data],$DE683,22),0)</f>
        <v/>
      </c>
      <c r="Z683">
        <f>IFERROR(INDEX(PP_Grid[#Data],$DE683,23),0)</f>
        <v/>
      </c>
      <c r="AA683">
        <f>IFERROR(INDEX(PP_Grid[#Data],$DE683,24),0)</f>
        <v/>
      </c>
      <c r="AB683">
        <f>IFERROR(INDEX(PP_Grid[#Data],$DE683,25),0)</f>
        <v/>
      </c>
      <c r="AC683">
        <f>IFERROR(INDEX(PP_Grid[#Data],$DE683,26),0)</f>
        <v/>
      </c>
      <c r="AD683">
        <f>IFERROR(INDEX(PP_Grid[#Data],$DE683,27),0)</f>
        <v/>
      </c>
      <c r="AE683">
        <f>IFERROR(INDEX(PP_Grid[#Data],$DE683,28),0)</f>
        <v/>
      </c>
      <c r="AF683">
        <f>IFERROR(INDEX(PP_Grid[#Data],$DE683,29),0)</f>
        <v/>
      </c>
      <c r="AG683">
        <f>IFERROR(INDEX(PP_Grid[#Data],$DE683,30),0)</f>
        <v/>
      </c>
      <c r="AH683">
        <f>IFERROR(INDEX(PP_Grid[#Data],$DE683,31),0)</f>
        <v/>
      </c>
      <c r="AI683">
        <f>IFERROR(INDEX(PP_Grid[#Data],$DE683,32),0)</f>
        <v/>
      </c>
      <c r="AJ683">
        <f>IFERROR(INDEX(PP_Grid[#Data],$DE683,33),0)</f>
        <v/>
      </c>
      <c r="AK683">
        <f>IFERROR(INDEX(PP_Grid[#Data],$DE683,34),0)</f>
        <v/>
      </c>
      <c r="AL683">
        <f>IFERROR(INDEX(PP_Grid[#Data],$DE683,35),0)</f>
        <v/>
      </c>
      <c r="AM683">
        <f>IFERROR(INDEX(PP_Grid[#Data],$DE683,36),0)</f>
        <v/>
      </c>
      <c r="AN683">
        <f>IFERROR(INDEX(PP_Grid[#Data],$DE683,37),0)</f>
        <v/>
      </c>
      <c r="AO683">
        <f>IFERROR(INDEX(PP_Grid[#Data],$DE683,38),0)</f>
        <v/>
      </c>
      <c r="AP683">
        <f>IFERROR(INDEX(PP_Grid[#Data],$DE683,39),0)</f>
        <v/>
      </c>
      <c r="AQ683">
        <f>IFERROR(INDEX(PP_Grid[#Data],$DE683,40),0)</f>
        <v/>
      </c>
      <c r="AR683">
        <f>IFERROR(INDEX(PP_Grid[#Data],$DE683,41),0)</f>
        <v/>
      </c>
      <c r="AS683">
        <f>IFERROR(INDEX(PP_Grid[#Data],$DE683,42),0)</f>
        <v/>
      </c>
      <c r="AT683">
        <f>IFERROR(INDEX(PP_Grid[#Data],$DE683,43),0)</f>
        <v/>
      </c>
      <c r="AU683">
        <f>IFERROR(INDEX(PP_Grid[#Data],$DE683,44),0)</f>
        <v/>
      </c>
      <c r="AV683">
        <f>IFERROR(INDEX(PP_Grid[#Data],$DE683,45),0)</f>
        <v/>
      </c>
      <c r="AW683">
        <f>IFERROR(INDEX(PP_Grid[#Data],$DE683,46),0)</f>
        <v/>
      </c>
      <c r="AX683">
        <f>IFERROR(INDEX(PP_Grid[#Data],$DE683,47),0)</f>
        <v/>
      </c>
      <c r="AY683">
        <f>IFERROR(INDEX(PP_Grid[#Data],$DE683,48),0)</f>
        <v/>
      </c>
      <c r="AZ683">
        <f>IFERROR(INDEX(PP_Grid[#Data],$DE683,49),0)</f>
        <v/>
      </c>
      <c r="BA683">
        <f>IFERROR(INDEX(PP_Grid[#Data],$DE683,50),0)</f>
        <v/>
      </c>
      <c r="BB683">
        <f>IFERROR(INDEX(PP_Grid[#Data],$DE683,51),0)</f>
        <v/>
      </c>
      <c r="BC683">
        <f>IFERROR(INDEX(PP_Grid[#Data],$DE683,52),0)</f>
        <v/>
      </c>
      <c r="BD683">
        <f>IFERROR(INDEX(PP_Grid[#Data],$DE683,53),0)</f>
        <v/>
      </c>
      <c r="BE683">
        <f>IFERROR(INDEX(PP_Grid[#Data],$DE683,54),0)</f>
        <v/>
      </c>
      <c r="BF683">
        <f>IFERROR(INDEX(PP_Grid[#Data],$DE683,55),0)</f>
        <v/>
      </c>
      <c r="BG683">
        <f>IFERROR(INDEX(PP_Grid[#Data],$DE683,56),0)</f>
        <v/>
      </c>
      <c r="BH683">
        <f>IFERROR(INDEX(PP_Grid[#Data],$DE683,57),0)</f>
        <v/>
      </c>
      <c r="BI683">
        <f>IFERROR(INDEX(PP_Grid[#Data],$DE683,58),0)</f>
        <v/>
      </c>
      <c r="BJ683">
        <f>IFERROR(INDEX(PP_Grid[#Data],$DE683,59),0)</f>
        <v/>
      </c>
      <c r="BK683">
        <f>IFERROR(INDEX(PP_Grid[#Data],$DE683,60),0)</f>
        <v/>
      </c>
      <c r="BL683">
        <f>IFERROR(INDEX(PP_Grid[#Data],$DE683,61),0)</f>
        <v/>
      </c>
      <c r="BM683">
        <f>IFERROR(INDEX(PP_Grid[#Data],$DE683,62),0)</f>
        <v/>
      </c>
      <c r="BN683">
        <f>IFERROR(INDEX(PP_Grid[#Data],$DE683,63),0)</f>
        <v/>
      </c>
      <c r="BO683">
        <f>IFERROR(INDEX(PP_Grid[#Data],$DE683,64),0)</f>
        <v/>
      </c>
      <c r="BP683">
        <f>IFERROR(INDEX(PP_Grid[#Data],$DE683,65),0)</f>
        <v/>
      </c>
      <c r="BQ683">
        <f>IFERROR(INDEX(PP_Grid[#Data],$DE683,66),0)</f>
        <v/>
      </c>
      <c r="BR683">
        <f>IFERROR(INDEX(PP_Grid[#Data],$DE683,67),0)</f>
        <v/>
      </c>
      <c r="BS683">
        <f>IFERROR(INDEX(PP_Grid[#Data],$DE683,68),0)</f>
        <v/>
      </c>
      <c r="BT683">
        <f>IFERROR(INDEX(PP_Grid[#Data],$DE683,69),0)</f>
        <v/>
      </c>
      <c r="BU683">
        <f>IFERROR(INDEX(PP_Grid[#Data],$DE683,70),0)</f>
        <v/>
      </c>
      <c r="BV683">
        <f>IFERROR(INDEX(PP_Grid[#Data],$DE683,71),0)</f>
        <v/>
      </c>
      <c r="BW683">
        <f>IFERROR(INDEX(PP_Grid[#Data],$DE683,72),0)</f>
        <v/>
      </c>
      <c r="BX683">
        <f>IFERROR(INDEX(PP_Grid[#Data],$DE683,73),0)</f>
        <v/>
      </c>
      <c r="BY683">
        <f>IFERROR(INDEX(PP_Grid[#Data],$DE683,74),0)</f>
        <v/>
      </c>
      <c r="BZ683">
        <f>IFERROR(INDEX(PP_Grid[#Data],$DE683,75),0)</f>
        <v/>
      </c>
      <c r="CA683">
        <f>IFERROR(INDEX(PP_Grid[#Data],$DE683,76),0)</f>
        <v/>
      </c>
      <c r="CB683">
        <f>IFERROR(INDEX(PP_Grid[#Data],$DE683,77),0)</f>
        <v/>
      </c>
      <c r="CC683">
        <f>IFERROR(INDEX(PP_Grid[#Data],$DE683,78),0)</f>
        <v/>
      </c>
      <c r="CD683">
        <f>IFERROR(INDEX(PP_Grid[#Data],$DE683,79),0)</f>
        <v/>
      </c>
      <c r="CE683">
        <f>IFERROR(INDEX(PP_Grid[#Data],$DE683,80),0)</f>
        <v/>
      </c>
      <c r="CF683">
        <f>IFERROR(INDEX(PP_Grid[#Data],$DE683,81),0)</f>
        <v/>
      </c>
      <c r="CG683">
        <f>IFERROR(INDEX(PP_Grid[#Data],$DE683,82),0)</f>
        <v/>
      </c>
      <c r="CH683">
        <f>IFERROR(INDEX(PP_Grid[#Data],$DE683,83),0)</f>
        <v/>
      </c>
      <c r="CI683">
        <f>IFERROR(INDEX(PP_Grid[#Data],$DE683,84),0)</f>
        <v/>
      </c>
      <c r="CJ683">
        <f>IFERROR(INDEX(PP_Grid[#Data],$DE683,85),0)</f>
        <v/>
      </c>
      <c r="CK683">
        <f>IFERROR(INDEX(PP_Grid[#Data],$DE683,86),0)</f>
        <v/>
      </c>
      <c r="CL683">
        <f>IFERROR(INDEX(PP_Grid[#Data],$DE683,87),0)</f>
        <v/>
      </c>
      <c r="CM683">
        <f>IFERROR(INDEX(PP_Grid[#Data],$DE683,88),0)</f>
        <v/>
      </c>
      <c r="CN683">
        <f>IFERROR(INDEX(PP_Grid[#Data],$DE683,89),0)</f>
        <v/>
      </c>
      <c r="CO683">
        <f>IFERROR(INDEX(PP_Grid[#Data],$DE683,90),0)</f>
        <v/>
      </c>
      <c r="CP683">
        <f>IFERROR(INDEX(PP_Grid[#Data],$DE683,91),0)</f>
        <v/>
      </c>
      <c r="CQ683">
        <f>IFERROR(INDEX(PP_Grid[#Data],$DE683,92),0)</f>
        <v/>
      </c>
      <c r="CR683">
        <f>IFERROR(INDEX(PP_Grid[#Data],$DE683,93),0)</f>
        <v/>
      </c>
      <c r="CS683">
        <f>IFERROR(INDEX(PP_Grid[#Data],$DE683,94),0)</f>
        <v/>
      </c>
      <c r="CT683">
        <f>IFERROR(INDEX(PP_Grid[#Data],$DE683,95),0)</f>
        <v/>
      </c>
      <c r="CU683">
        <f>IFERROR(INDEX(PP_Grid[#Data],$DE683,96),0)</f>
        <v/>
      </c>
      <c r="CV683">
        <f>IFERROR(INDEX(PP_Grid[#Data],$DE683,97),0)</f>
        <v/>
      </c>
      <c r="CW683">
        <f>IFERROR(INDEX(PP_Grid[#Data],$DE683,98),0)</f>
        <v/>
      </c>
      <c r="CX683">
        <f>IFERROR(INDEX(PP_Grid[#Data],$DE683,99),0)</f>
        <v/>
      </c>
      <c r="CY683">
        <f>IFERROR(INDEX(PP_Grid[#Data],$DE683,100),0)</f>
        <v/>
      </c>
      <c r="CZ683">
        <f>IFERROR(INDEX(PP_Grid[#Data],$DE683,101),0)</f>
        <v/>
      </c>
      <c r="DA683">
        <f>IFERROR(INDEX(PP_Grid[#Data],$DE683,102),0)</f>
        <v/>
      </c>
      <c r="DB683">
        <f>IFERROR(INDEX(PP_Grid[#Data],$DE683,103),0)</f>
        <v/>
      </c>
      <c r="DC683">
        <f>IFERROR(INDEX(PP_Grid[#Data],$DE683,104),0)</f>
        <v/>
      </c>
      <c r="DD683">
        <f>IFERROR(INDEX(PP_Grid[#Data],$DE683,105),0)</f>
        <v/>
      </c>
      <c r="DE683" s="7">
        <f>IFERROR(MATCH($B683,PP_Grid[Intermediate],0),99999)</f>
        <v/>
      </c>
    </row>
    <row r="684">
      <c r="B684" t="inlineStr">
        <is>
          <t>使用量(kg)</t>
        </is>
      </c>
      <c r="C684">
        <f>SUMIFS(M_BOM[RM_Qty_Per_Batch],M_BOM[Intermediate],$B683,M_BOM[RM_Code],$A636)</f>
        <v/>
      </c>
      <c r="D684">
        <f>IFERROR(INDEX(E684:DD684,$F$1),"")</f>
        <v/>
      </c>
      <c r="E684">
        <f>$C684*E683</f>
        <v/>
      </c>
      <c r="F684">
        <f>$C684*F683</f>
        <v/>
      </c>
      <c r="G684">
        <f>$C684*G683</f>
        <v/>
      </c>
      <c r="H684">
        <f>$C684*H683</f>
        <v/>
      </c>
      <c r="I684">
        <f>$C684*I683</f>
        <v/>
      </c>
      <c r="J684">
        <f>$C684*J683</f>
        <v/>
      </c>
      <c r="K684">
        <f>$C684*K683</f>
        <v/>
      </c>
      <c r="L684">
        <f>$C684*L683</f>
        <v/>
      </c>
      <c r="M684">
        <f>$C684*M683</f>
        <v/>
      </c>
      <c r="N684">
        <f>$C684*N683</f>
        <v/>
      </c>
      <c r="O684">
        <f>$C684*O683</f>
        <v/>
      </c>
      <c r="P684">
        <f>$C684*P683</f>
        <v/>
      </c>
      <c r="Q684">
        <f>$C684*Q683</f>
        <v/>
      </c>
      <c r="R684">
        <f>$C684*R683</f>
        <v/>
      </c>
      <c r="S684">
        <f>$C684*S683</f>
        <v/>
      </c>
      <c r="T684">
        <f>$C684*T683</f>
        <v/>
      </c>
      <c r="U684">
        <f>$C684*U683</f>
        <v/>
      </c>
      <c r="V684">
        <f>$C684*V683</f>
        <v/>
      </c>
      <c r="W684">
        <f>$C684*W683</f>
        <v/>
      </c>
      <c r="X684">
        <f>$C684*X683</f>
        <v/>
      </c>
      <c r="Y684">
        <f>$C684*Y683</f>
        <v/>
      </c>
      <c r="Z684">
        <f>$C684*Z683</f>
        <v/>
      </c>
      <c r="AA684">
        <f>$C684*AA683</f>
        <v/>
      </c>
      <c r="AB684">
        <f>$C684*AB683</f>
        <v/>
      </c>
      <c r="AC684">
        <f>$C684*AC683</f>
        <v/>
      </c>
      <c r="AD684">
        <f>$C684*AD683</f>
        <v/>
      </c>
      <c r="AE684">
        <f>$C684*AE683</f>
        <v/>
      </c>
      <c r="AF684">
        <f>$C684*AF683</f>
        <v/>
      </c>
      <c r="AG684">
        <f>$C684*AG683</f>
        <v/>
      </c>
      <c r="AH684">
        <f>$C684*AH683</f>
        <v/>
      </c>
      <c r="AI684">
        <f>$C684*AI683</f>
        <v/>
      </c>
      <c r="AJ684">
        <f>$C684*AJ683</f>
        <v/>
      </c>
      <c r="AK684">
        <f>$C684*AK683</f>
        <v/>
      </c>
      <c r="AL684">
        <f>$C684*AL683</f>
        <v/>
      </c>
      <c r="AM684">
        <f>$C684*AM683</f>
        <v/>
      </c>
      <c r="AN684">
        <f>$C684*AN683</f>
        <v/>
      </c>
      <c r="AO684">
        <f>$C684*AO683</f>
        <v/>
      </c>
      <c r="AP684">
        <f>$C684*AP683</f>
        <v/>
      </c>
      <c r="AQ684">
        <f>$C684*AQ683</f>
        <v/>
      </c>
      <c r="AR684">
        <f>$C684*AR683</f>
        <v/>
      </c>
      <c r="AS684">
        <f>$C684*AS683</f>
        <v/>
      </c>
      <c r="AT684">
        <f>$C684*AT683</f>
        <v/>
      </c>
      <c r="AU684">
        <f>$C684*AU683</f>
        <v/>
      </c>
      <c r="AV684">
        <f>$C684*AV683</f>
        <v/>
      </c>
      <c r="AW684">
        <f>$C684*AW683</f>
        <v/>
      </c>
      <c r="AX684">
        <f>$C684*AX683</f>
        <v/>
      </c>
      <c r="AY684">
        <f>$C684*AY683</f>
        <v/>
      </c>
      <c r="AZ684">
        <f>$C684*AZ683</f>
        <v/>
      </c>
      <c r="BA684">
        <f>$C684*BA683</f>
        <v/>
      </c>
      <c r="BB684">
        <f>$C684*BB683</f>
        <v/>
      </c>
      <c r="BC684">
        <f>$C684*BC683</f>
        <v/>
      </c>
      <c r="BD684">
        <f>$C684*BD683</f>
        <v/>
      </c>
      <c r="BE684">
        <f>$C684*BE683</f>
        <v/>
      </c>
      <c r="BF684">
        <f>$C684*BF683</f>
        <v/>
      </c>
      <c r="BG684">
        <f>$C684*BG683</f>
        <v/>
      </c>
      <c r="BH684">
        <f>$C684*BH683</f>
        <v/>
      </c>
      <c r="BI684">
        <f>$C684*BI683</f>
        <v/>
      </c>
      <c r="BJ684">
        <f>$C684*BJ683</f>
        <v/>
      </c>
      <c r="BK684">
        <f>$C684*BK683</f>
        <v/>
      </c>
      <c r="BL684">
        <f>$C684*BL683</f>
        <v/>
      </c>
      <c r="BM684">
        <f>$C684*BM683</f>
        <v/>
      </c>
      <c r="BN684">
        <f>$C684*BN683</f>
        <v/>
      </c>
      <c r="BO684">
        <f>$C684*BO683</f>
        <v/>
      </c>
      <c r="BP684">
        <f>$C684*BP683</f>
        <v/>
      </c>
      <c r="BQ684">
        <f>$C684*BQ683</f>
        <v/>
      </c>
      <c r="BR684">
        <f>$C684*BR683</f>
        <v/>
      </c>
      <c r="BS684">
        <f>$C684*BS683</f>
        <v/>
      </c>
      <c r="BT684">
        <f>$C684*BT683</f>
        <v/>
      </c>
      <c r="BU684">
        <f>$C684*BU683</f>
        <v/>
      </c>
      <c r="BV684">
        <f>$C684*BV683</f>
        <v/>
      </c>
      <c r="BW684">
        <f>$C684*BW683</f>
        <v/>
      </c>
      <c r="BX684">
        <f>$C684*BX683</f>
        <v/>
      </c>
      <c r="BY684">
        <f>$C684*BY683</f>
        <v/>
      </c>
      <c r="BZ684">
        <f>$C684*BZ683</f>
        <v/>
      </c>
      <c r="CA684">
        <f>$C684*CA683</f>
        <v/>
      </c>
      <c r="CB684">
        <f>$C684*CB683</f>
        <v/>
      </c>
      <c r="CC684">
        <f>$C684*CC683</f>
        <v/>
      </c>
      <c r="CD684">
        <f>$C684*CD683</f>
        <v/>
      </c>
      <c r="CE684">
        <f>$C684*CE683</f>
        <v/>
      </c>
      <c r="CF684">
        <f>$C684*CF683</f>
        <v/>
      </c>
      <c r="CG684">
        <f>$C684*CG683</f>
        <v/>
      </c>
      <c r="CH684">
        <f>$C684*CH683</f>
        <v/>
      </c>
      <c r="CI684">
        <f>$C684*CI683</f>
        <v/>
      </c>
      <c r="CJ684">
        <f>$C684*CJ683</f>
        <v/>
      </c>
      <c r="CK684">
        <f>$C684*CK683</f>
        <v/>
      </c>
      <c r="CL684">
        <f>$C684*CL683</f>
        <v/>
      </c>
      <c r="CM684">
        <f>$C684*CM683</f>
        <v/>
      </c>
      <c r="CN684">
        <f>$C684*CN683</f>
        <v/>
      </c>
      <c r="CO684">
        <f>$C684*CO683</f>
        <v/>
      </c>
      <c r="CP684">
        <f>$C684*CP683</f>
        <v/>
      </c>
      <c r="CQ684">
        <f>$C684*CQ683</f>
        <v/>
      </c>
      <c r="CR684">
        <f>$C684*CR683</f>
        <v/>
      </c>
      <c r="CS684">
        <f>$C684*CS683</f>
        <v/>
      </c>
      <c r="CT684">
        <f>$C684*CT683</f>
        <v/>
      </c>
      <c r="CU684">
        <f>$C684*CU683</f>
        <v/>
      </c>
      <c r="CV684">
        <f>$C684*CV683</f>
        <v/>
      </c>
      <c r="CW684">
        <f>$C684*CW683</f>
        <v/>
      </c>
      <c r="CX684">
        <f>$C684*CX683</f>
        <v/>
      </c>
      <c r="CY684">
        <f>$C684*CY683</f>
        <v/>
      </c>
      <c r="CZ684">
        <f>$C684*CZ683</f>
        <v/>
      </c>
      <c r="DA684">
        <f>$C684*DA683</f>
        <v/>
      </c>
      <c r="DB684">
        <f>$C684*DB683</f>
        <v/>
      </c>
      <c r="DC684">
        <f>$C684*DC683</f>
        <v/>
      </c>
      <c r="DD684">
        <f>$C684*DD683</f>
        <v/>
      </c>
    </row>
    <row r="685">
      <c r="B685" t="inlineStr">
        <is>
          <t>TSP-828</t>
        </is>
      </c>
      <c r="C685" t="inlineStr">
        <is>
          <t>No. of batches</t>
        </is>
      </c>
      <c r="D685">
        <f>IFERROR(INDEX(E685:DD685,$F$1),"")</f>
        <v/>
      </c>
      <c r="E685">
        <f>IFERROR(INDEX(PP_Grid[#Data],$DE685,2),0)</f>
        <v/>
      </c>
      <c r="F685">
        <f>IFERROR(INDEX(PP_Grid[#Data],$DE685,3),0)</f>
        <v/>
      </c>
      <c r="G685">
        <f>IFERROR(INDEX(PP_Grid[#Data],$DE685,4),0)</f>
        <v/>
      </c>
      <c r="H685">
        <f>IFERROR(INDEX(PP_Grid[#Data],$DE685,5),0)</f>
        <v/>
      </c>
      <c r="I685">
        <f>IFERROR(INDEX(PP_Grid[#Data],$DE685,6),0)</f>
        <v/>
      </c>
      <c r="J685">
        <f>IFERROR(INDEX(PP_Grid[#Data],$DE685,7),0)</f>
        <v/>
      </c>
      <c r="K685">
        <f>IFERROR(INDEX(PP_Grid[#Data],$DE685,8),0)</f>
        <v/>
      </c>
      <c r="L685">
        <f>IFERROR(INDEX(PP_Grid[#Data],$DE685,9),0)</f>
        <v/>
      </c>
      <c r="M685">
        <f>IFERROR(INDEX(PP_Grid[#Data],$DE685,10),0)</f>
        <v/>
      </c>
      <c r="N685">
        <f>IFERROR(INDEX(PP_Grid[#Data],$DE685,11),0)</f>
        <v/>
      </c>
      <c r="O685">
        <f>IFERROR(INDEX(PP_Grid[#Data],$DE685,12),0)</f>
        <v/>
      </c>
      <c r="P685">
        <f>IFERROR(INDEX(PP_Grid[#Data],$DE685,13),0)</f>
        <v/>
      </c>
      <c r="Q685">
        <f>IFERROR(INDEX(PP_Grid[#Data],$DE685,14),0)</f>
        <v/>
      </c>
      <c r="R685">
        <f>IFERROR(INDEX(PP_Grid[#Data],$DE685,15),0)</f>
        <v/>
      </c>
      <c r="S685">
        <f>IFERROR(INDEX(PP_Grid[#Data],$DE685,16),0)</f>
        <v/>
      </c>
      <c r="T685">
        <f>IFERROR(INDEX(PP_Grid[#Data],$DE685,17),0)</f>
        <v/>
      </c>
      <c r="U685">
        <f>IFERROR(INDEX(PP_Grid[#Data],$DE685,18),0)</f>
        <v/>
      </c>
      <c r="V685">
        <f>IFERROR(INDEX(PP_Grid[#Data],$DE685,19),0)</f>
        <v/>
      </c>
      <c r="W685">
        <f>IFERROR(INDEX(PP_Grid[#Data],$DE685,20),0)</f>
        <v/>
      </c>
      <c r="X685">
        <f>IFERROR(INDEX(PP_Grid[#Data],$DE685,21),0)</f>
        <v/>
      </c>
      <c r="Y685">
        <f>IFERROR(INDEX(PP_Grid[#Data],$DE685,22),0)</f>
        <v/>
      </c>
      <c r="Z685">
        <f>IFERROR(INDEX(PP_Grid[#Data],$DE685,23),0)</f>
        <v/>
      </c>
      <c r="AA685">
        <f>IFERROR(INDEX(PP_Grid[#Data],$DE685,24),0)</f>
        <v/>
      </c>
      <c r="AB685">
        <f>IFERROR(INDEX(PP_Grid[#Data],$DE685,25),0)</f>
        <v/>
      </c>
      <c r="AC685">
        <f>IFERROR(INDEX(PP_Grid[#Data],$DE685,26),0)</f>
        <v/>
      </c>
      <c r="AD685">
        <f>IFERROR(INDEX(PP_Grid[#Data],$DE685,27),0)</f>
        <v/>
      </c>
      <c r="AE685">
        <f>IFERROR(INDEX(PP_Grid[#Data],$DE685,28),0)</f>
        <v/>
      </c>
      <c r="AF685">
        <f>IFERROR(INDEX(PP_Grid[#Data],$DE685,29),0)</f>
        <v/>
      </c>
      <c r="AG685">
        <f>IFERROR(INDEX(PP_Grid[#Data],$DE685,30),0)</f>
        <v/>
      </c>
      <c r="AH685">
        <f>IFERROR(INDEX(PP_Grid[#Data],$DE685,31),0)</f>
        <v/>
      </c>
      <c r="AI685">
        <f>IFERROR(INDEX(PP_Grid[#Data],$DE685,32),0)</f>
        <v/>
      </c>
      <c r="AJ685">
        <f>IFERROR(INDEX(PP_Grid[#Data],$DE685,33),0)</f>
        <v/>
      </c>
      <c r="AK685">
        <f>IFERROR(INDEX(PP_Grid[#Data],$DE685,34),0)</f>
        <v/>
      </c>
      <c r="AL685">
        <f>IFERROR(INDEX(PP_Grid[#Data],$DE685,35),0)</f>
        <v/>
      </c>
      <c r="AM685">
        <f>IFERROR(INDEX(PP_Grid[#Data],$DE685,36),0)</f>
        <v/>
      </c>
      <c r="AN685">
        <f>IFERROR(INDEX(PP_Grid[#Data],$DE685,37),0)</f>
        <v/>
      </c>
      <c r="AO685">
        <f>IFERROR(INDEX(PP_Grid[#Data],$DE685,38),0)</f>
        <v/>
      </c>
      <c r="AP685">
        <f>IFERROR(INDEX(PP_Grid[#Data],$DE685,39),0)</f>
        <v/>
      </c>
      <c r="AQ685">
        <f>IFERROR(INDEX(PP_Grid[#Data],$DE685,40),0)</f>
        <v/>
      </c>
      <c r="AR685">
        <f>IFERROR(INDEX(PP_Grid[#Data],$DE685,41),0)</f>
        <v/>
      </c>
      <c r="AS685">
        <f>IFERROR(INDEX(PP_Grid[#Data],$DE685,42),0)</f>
        <v/>
      </c>
      <c r="AT685">
        <f>IFERROR(INDEX(PP_Grid[#Data],$DE685,43),0)</f>
        <v/>
      </c>
      <c r="AU685">
        <f>IFERROR(INDEX(PP_Grid[#Data],$DE685,44),0)</f>
        <v/>
      </c>
      <c r="AV685">
        <f>IFERROR(INDEX(PP_Grid[#Data],$DE685,45),0)</f>
        <v/>
      </c>
      <c r="AW685">
        <f>IFERROR(INDEX(PP_Grid[#Data],$DE685,46),0)</f>
        <v/>
      </c>
      <c r="AX685">
        <f>IFERROR(INDEX(PP_Grid[#Data],$DE685,47),0)</f>
        <v/>
      </c>
      <c r="AY685">
        <f>IFERROR(INDEX(PP_Grid[#Data],$DE685,48),0)</f>
        <v/>
      </c>
      <c r="AZ685">
        <f>IFERROR(INDEX(PP_Grid[#Data],$DE685,49),0)</f>
        <v/>
      </c>
      <c r="BA685">
        <f>IFERROR(INDEX(PP_Grid[#Data],$DE685,50),0)</f>
        <v/>
      </c>
      <c r="BB685">
        <f>IFERROR(INDEX(PP_Grid[#Data],$DE685,51),0)</f>
        <v/>
      </c>
      <c r="BC685">
        <f>IFERROR(INDEX(PP_Grid[#Data],$DE685,52),0)</f>
        <v/>
      </c>
      <c r="BD685">
        <f>IFERROR(INDEX(PP_Grid[#Data],$DE685,53),0)</f>
        <v/>
      </c>
      <c r="BE685">
        <f>IFERROR(INDEX(PP_Grid[#Data],$DE685,54),0)</f>
        <v/>
      </c>
      <c r="BF685">
        <f>IFERROR(INDEX(PP_Grid[#Data],$DE685,55),0)</f>
        <v/>
      </c>
      <c r="BG685">
        <f>IFERROR(INDEX(PP_Grid[#Data],$DE685,56),0)</f>
        <v/>
      </c>
      <c r="BH685">
        <f>IFERROR(INDEX(PP_Grid[#Data],$DE685,57),0)</f>
        <v/>
      </c>
      <c r="BI685">
        <f>IFERROR(INDEX(PP_Grid[#Data],$DE685,58),0)</f>
        <v/>
      </c>
      <c r="BJ685">
        <f>IFERROR(INDEX(PP_Grid[#Data],$DE685,59),0)</f>
        <v/>
      </c>
      <c r="BK685">
        <f>IFERROR(INDEX(PP_Grid[#Data],$DE685,60),0)</f>
        <v/>
      </c>
      <c r="BL685">
        <f>IFERROR(INDEX(PP_Grid[#Data],$DE685,61),0)</f>
        <v/>
      </c>
      <c r="BM685">
        <f>IFERROR(INDEX(PP_Grid[#Data],$DE685,62),0)</f>
        <v/>
      </c>
      <c r="BN685">
        <f>IFERROR(INDEX(PP_Grid[#Data],$DE685,63),0)</f>
        <v/>
      </c>
      <c r="BO685">
        <f>IFERROR(INDEX(PP_Grid[#Data],$DE685,64),0)</f>
        <v/>
      </c>
      <c r="BP685">
        <f>IFERROR(INDEX(PP_Grid[#Data],$DE685,65),0)</f>
        <v/>
      </c>
      <c r="BQ685">
        <f>IFERROR(INDEX(PP_Grid[#Data],$DE685,66),0)</f>
        <v/>
      </c>
      <c r="BR685">
        <f>IFERROR(INDEX(PP_Grid[#Data],$DE685,67),0)</f>
        <v/>
      </c>
      <c r="BS685">
        <f>IFERROR(INDEX(PP_Grid[#Data],$DE685,68),0)</f>
        <v/>
      </c>
      <c r="BT685">
        <f>IFERROR(INDEX(PP_Grid[#Data],$DE685,69),0)</f>
        <v/>
      </c>
      <c r="BU685">
        <f>IFERROR(INDEX(PP_Grid[#Data],$DE685,70),0)</f>
        <v/>
      </c>
      <c r="BV685">
        <f>IFERROR(INDEX(PP_Grid[#Data],$DE685,71),0)</f>
        <v/>
      </c>
      <c r="BW685">
        <f>IFERROR(INDEX(PP_Grid[#Data],$DE685,72),0)</f>
        <v/>
      </c>
      <c r="BX685">
        <f>IFERROR(INDEX(PP_Grid[#Data],$DE685,73),0)</f>
        <v/>
      </c>
      <c r="BY685">
        <f>IFERROR(INDEX(PP_Grid[#Data],$DE685,74),0)</f>
        <v/>
      </c>
      <c r="BZ685">
        <f>IFERROR(INDEX(PP_Grid[#Data],$DE685,75),0)</f>
        <v/>
      </c>
      <c r="CA685">
        <f>IFERROR(INDEX(PP_Grid[#Data],$DE685,76),0)</f>
        <v/>
      </c>
      <c r="CB685">
        <f>IFERROR(INDEX(PP_Grid[#Data],$DE685,77),0)</f>
        <v/>
      </c>
      <c r="CC685">
        <f>IFERROR(INDEX(PP_Grid[#Data],$DE685,78),0)</f>
        <v/>
      </c>
      <c r="CD685">
        <f>IFERROR(INDEX(PP_Grid[#Data],$DE685,79),0)</f>
        <v/>
      </c>
      <c r="CE685">
        <f>IFERROR(INDEX(PP_Grid[#Data],$DE685,80),0)</f>
        <v/>
      </c>
      <c r="CF685">
        <f>IFERROR(INDEX(PP_Grid[#Data],$DE685,81),0)</f>
        <v/>
      </c>
      <c r="CG685">
        <f>IFERROR(INDEX(PP_Grid[#Data],$DE685,82),0)</f>
        <v/>
      </c>
      <c r="CH685">
        <f>IFERROR(INDEX(PP_Grid[#Data],$DE685,83),0)</f>
        <v/>
      </c>
      <c r="CI685">
        <f>IFERROR(INDEX(PP_Grid[#Data],$DE685,84),0)</f>
        <v/>
      </c>
      <c r="CJ685">
        <f>IFERROR(INDEX(PP_Grid[#Data],$DE685,85),0)</f>
        <v/>
      </c>
      <c r="CK685">
        <f>IFERROR(INDEX(PP_Grid[#Data],$DE685,86),0)</f>
        <v/>
      </c>
      <c r="CL685">
        <f>IFERROR(INDEX(PP_Grid[#Data],$DE685,87),0)</f>
        <v/>
      </c>
      <c r="CM685">
        <f>IFERROR(INDEX(PP_Grid[#Data],$DE685,88),0)</f>
        <v/>
      </c>
      <c r="CN685">
        <f>IFERROR(INDEX(PP_Grid[#Data],$DE685,89),0)</f>
        <v/>
      </c>
      <c r="CO685">
        <f>IFERROR(INDEX(PP_Grid[#Data],$DE685,90),0)</f>
        <v/>
      </c>
      <c r="CP685">
        <f>IFERROR(INDEX(PP_Grid[#Data],$DE685,91),0)</f>
        <v/>
      </c>
      <c r="CQ685">
        <f>IFERROR(INDEX(PP_Grid[#Data],$DE685,92),0)</f>
        <v/>
      </c>
      <c r="CR685">
        <f>IFERROR(INDEX(PP_Grid[#Data],$DE685,93),0)</f>
        <v/>
      </c>
      <c r="CS685">
        <f>IFERROR(INDEX(PP_Grid[#Data],$DE685,94),0)</f>
        <v/>
      </c>
      <c r="CT685">
        <f>IFERROR(INDEX(PP_Grid[#Data],$DE685,95),0)</f>
        <v/>
      </c>
      <c r="CU685">
        <f>IFERROR(INDEX(PP_Grid[#Data],$DE685,96),0)</f>
        <v/>
      </c>
      <c r="CV685">
        <f>IFERROR(INDEX(PP_Grid[#Data],$DE685,97),0)</f>
        <v/>
      </c>
      <c r="CW685">
        <f>IFERROR(INDEX(PP_Grid[#Data],$DE685,98),0)</f>
        <v/>
      </c>
      <c r="CX685">
        <f>IFERROR(INDEX(PP_Grid[#Data],$DE685,99),0)</f>
        <v/>
      </c>
      <c r="CY685">
        <f>IFERROR(INDEX(PP_Grid[#Data],$DE685,100),0)</f>
        <v/>
      </c>
      <c r="CZ685">
        <f>IFERROR(INDEX(PP_Grid[#Data],$DE685,101),0)</f>
        <v/>
      </c>
      <c r="DA685">
        <f>IFERROR(INDEX(PP_Grid[#Data],$DE685,102),0)</f>
        <v/>
      </c>
      <c r="DB685">
        <f>IFERROR(INDEX(PP_Grid[#Data],$DE685,103),0)</f>
        <v/>
      </c>
      <c r="DC685">
        <f>IFERROR(INDEX(PP_Grid[#Data],$DE685,104),0)</f>
        <v/>
      </c>
      <c r="DD685">
        <f>IFERROR(INDEX(PP_Grid[#Data],$DE685,105),0)</f>
        <v/>
      </c>
      <c r="DE685" s="7">
        <f>IFERROR(MATCH($B685,PP_Grid[Intermediate],0),99999)</f>
        <v/>
      </c>
    </row>
    <row r="686">
      <c r="B686" t="inlineStr">
        <is>
          <t>使用量(kg)</t>
        </is>
      </c>
      <c r="C686">
        <f>SUMIFS(M_BOM[RM_Qty_Per_Batch],M_BOM[Intermediate],$B685,M_BOM[RM_Code],$A636)</f>
        <v/>
      </c>
      <c r="D686">
        <f>IFERROR(INDEX(E686:DD686,$F$1),"")</f>
        <v/>
      </c>
      <c r="E686">
        <f>$C686*E685</f>
        <v/>
      </c>
      <c r="F686">
        <f>$C686*F685</f>
        <v/>
      </c>
      <c r="G686">
        <f>$C686*G685</f>
        <v/>
      </c>
      <c r="H686">
        <f>$C686*H685</f>
        <v/>
      </c>
      <c r="I686">
        <f>$C686*I685</f>
        <v/>
      </c>
      <c r="J686">
        <f>$C686*J685</f>
        <v/>
      </c>
      <c r="K686">
        <f>$C686*K685</f>
        <v/>
      </c>
      <c r="L686">
        <f>$C686*L685</f>
        <v/>
      </c>
      <c r="M686">
        <f>$C686*M685</f>
        <v/>
      </c>
      <c r="N686">
        <f>$C686*N685</f>
        <v/>
      </c>
      <c r="O686">
        <f>$C686*O685</f>
        <v/>
      </c>
      <c r="P686">
        <f>$C686*P685</f>
        <v/>
      </c>
      <c r="Q686">
        <f>$C686*Q685</f>
        <v/>
      </c>
      <c r="R686">
        <f>$C686*R685</f>
        <v/>
      </c>
      <c r="S686">
        <f>$C686*S685</f>
        <v/>
      </c>
      <c r="T686">
        <f>$C686*T685</f>
        <v/>
      </c>
      <c r="U686">
        <f>$C686*U685</f>
        <v/>
      </c>
      <c r="V686">
        <f>$C686*V685</f>
        <v/>
      </c>
      <c r="W686">
        <f>$C686*W685</f>
        <v/>
      </c>
      <c r="X686">
        <f>$C686*X685</f>
        <v/>
      </c>
      <c r="Y686">
        <f>$C686*Y685</f>
        <v/>
      </c>
      <c r="Z686">
        <f>$C686*Z685</f>
        <v/>
      </c>
      <c r="AA686">
        <f>$C686*AA685</f>
        <v/>
      </c>
      <c r="AB686">
        <f>$C686*AB685</f>
        <v/>
      </c>
      <c r="AC686">
        <f>$C686*AC685</f>
        <v/>
      </c>
      <c r="AD686">
        <f>$C686*AD685</f>
        <v/>
      </c>
      <c r="AE686">
        <f>$C686*AE685</f>
        <v/>
      </c>
      <c r="AF686">
        <f>$C686*AF685</f>
        <v/>
      </c>
      <c r="AG686">
        <f>$C686*AG685</f>
        <v/>
      </c>
      <c r="AH686">
        <f>$C686*AH685</f>
        <v/>
      </c>
      <c r="AI686">
        <f>$C686*AI685</f>
        <v/>
      </c>
      <c r="AJ686">
        <f>$C686*AJ685</f>
        <v/>
      </c>
      <c r="AK686">
        <f>$C686*AK685</f>
        <v/>
      </c>
      <c r="AL686">
        <f>$C686*AL685</f>
        <v/>
      </c>
      <c r="AM686">
        <f>$C686*AM685</f>
        <v/>
      </c>
      <c r="AN686">
        <f>$C686*AN685</f>
        <v/>
      </c>
      <c r="AO686">
        <f>$C686*AO685</f>
        <v/>
      </c>
      <c r="AP686">
        <f>$C686*AP685</f>
        <v/>
      </c>
      <c r="AQ686">
        <f>$C686*AQ685</f>
        <v/>
      </c>
      <c r="AR686">
        <f>$C686*AR685</f>
        <v/>
      </c>
      <c r="AS686">
        <f>$C686*AS685</f>
        <v/>
      </c>
      <c r="AT686">
        <f>$C686*AT685</f>
        <v/>
      </c>
      <c r="AU686">
        <f>$C686*AU685</f>
        <v/>
      </c>
      <c r="AV686">
        <f>$C686*AV685</f>
        <v/>
      </c>
      <c r="AW686">
        <f>$C686*AW685</f>
        <v/>
      </c>
      <c r="AX686">
        <f>$C686*AX685</f>
        <v/>
      </c>
      <c r="AY686">
        <f>$C686*AY685</f>
        <v/>
      </c>
      <c r="AZ686">
        <f>$C686*AZ685</f>
        <v/>
      </c>
      <c r="BA686">
        <f>$C686*BA685</f>
        <v/>
      </c>
      <c r="BB686">
        <f>$C686*BB685</f>
        <v/>
      </c>
      <c r="BC686">
        <f>$C686*BC685</f>
        <v/>
      </c>
      <c r="BD686">
        <f>$C686*BD685</f>
        <v/>
      </c>
      <c r="BE686">
        <f>$C686*BE685</f>
        <v/>
      </c>
      <c r="BF686">
        <f>$C686*BF685</f>
        <v/>
      </c>
      <c r="BG686">
        <f>$C686*BG685</f>
        <v/>
      </c>
      <c r="BH686">
        <f>$C686*BH685</f>
        <v/>
      </c>
      <c r="BI686">
        <f>$C686*BI685</f>
        <v/>
      </c>
      <c r="BJ686">
        <f>$C686*BJ685</f>
        <v/>
      </c>
      <c r="BK686">
        <f>$C686*BK685</f>
        <v/>
      </c>
      <c r="BL686">
        <f>$C686*BL685</f>
        <v/>
      </c>
      <c r="BM686">
        <f>$C686*BM685</f>
        <v/>
      </c>
      <c r="BN686">
        <f>$C686*BN685</f>
        <v/>
      </c>
      <c r="BO686">
        <f>$C686*BO685</f>
        <v/>
      </c>
      <c r="BP686">
        <f>$C686*BP685</f>
        <v/>
      </c>
      <c r="BQ686">
        <f>$C686*BQ685</f>
        <v/>
      </c>
      <c r="BR686">
        <f>$C686*BR685</f>
        <v/>
      </c>
      <c r="BS686">
        <f>$C686*BS685</f>
        <v/>
      </c>
      <c r="BT686">
        <f>$C686*BT685</f>
        <v/>
      </c>
      <c r="BU686">
        <f>$C686*BU685</f>
        <v/>
      </c>
      <c r="BV686">
        <f>$C686*BV685</f>
        <v/>
      </c>
      <c r="BW686">
        <f>$C686*BW685</f>
        <v/>
      </c>
      <c r="BX686">
        <f>$C686*BX685</f>
        <v/>
      </c>
      <c r="BY686">
        <f>$C686*BY685</f>
        <v/>
      </c>
      <c r="BZ686">
        <f>$C686*BZ685</f>
        <v/>
      </c>
      <c r="CA686">
        <f>$C686*CA685</f>
        <v/>
      </c>
      <c r="CB686">
        <f>$C686*CB685</f>
        <v/>
      </c>
      <c r="CC686">
        <f>$C686*CC685</f>
        <v/>
      </c>
      <c r="CD686">
        <f>$C686*CD685</f>
        <v/>
      </c>
      <c r="CE686">
        <f>$C686*CE685</f>
        <v/>
      </c>
      <c r="CF686">
        <f>$C686*CF685</f>
        <v/>
      </c>
      <c r="CG686">
        <f>$C686*CG685</f>
        <v/>
      </c>
      <c r="CH686">
        <f>$C686*CH685</f>
        <v/>
      </c>
      <c r="CI686">
        <f>$C686*CI685</f>
        <v/>
      </c>
      <c r="CJ686">
        <f>$C686*CJ685</f>
        <v/>
      </c>
      <c r="CK686">
        <f>$C686*CK685</f>
        <v/>
      </c>
      <c r="CL686">
        <f>$C686*CL685</f>
        <v/>
      </c>
      <c r="CM686">
        <f>$C686*CM685</f>
        <v/>
      </c>
      <c r="CN686">
        <f>$C686*CN685</f>
        <v/>
      </c>
      <c r="CO686">
        <f>$C686*CO685</f>
        <v/>
      </c>
      <c r="CP686">
        <f>$C686*CP685</f>
        <v/>
      </c>
      <c r="CQ686">
        <f>$C686*CQ685</f>
        <v/>
      </c>
      <c r="CR686">
        <f>$C686*CR685</f>
        <v/>
      </c>
      <c r="CS686">
        <f>$C686*CS685</f>
        <v/>
      </c>
      <c r="CT686">
        <f>$C686*CT685</f>
        <v/>
      </c>
      <c r="CU686">
        <f>$C686*CU685</f>
        <v/>
      </c>
      <c r="CV686">
        <f>$C686*CV685</f>
        <v/>
      </c>
      <c r="CW686">
        <f>$C686*CW685</f>
        <v/>
      </c>
      <c r="CX686">
        <f>$C686*CX685</f>
        <v/>
      </c>
      <c r="CY686">
        <f>$C686*CY685</f>
        <v/>
      </c>
      <c r="CZ686">
        <f>$C686*CZ685</f>
        <v/>
      </c>
      <c r="DA686">
        <f>$C686*DA685</f>
        <v/>
      </c>
      <c r="DB686">
        <f>$C686*DB685</f>
        <v/>
      </c>
      <c r="DC686">
        <f>$C686*DC685</f>
        <v/>
      </c>
      <c r="DD686">
        <f>$C686*DD685</f>
        <v/>
      </c>
    </row>
    <row r="687">
      <c r="B687" t="inlineStr">
        <is>
          <t>TSP-903</t>
        </is>
      </c>
      <c r="C687" t="inlineStr">
        <is>
          <t>No. of batches</t>
        </is>
      </c>
      <c r="D687">
        <f>IFERROR(INDEX(E687:DD687,$F$1),"")</f>
        <v/>
      </c>
      <c r="E687">
        <f>IFERROR(INDEX(PP_Grid[#Data],$DE687,2),0)</f>
        <v/>
      </c>
      <c r="F687">
        <f>IFERROR(INDEX(PP_Grid[#Data],$DE687,3),0)</f>
        <v/>
      </c>
      <c r="G687">
        <f>IFERROR(INDEX(PP_Grid[#Data],$DE687,4),0)</f>
        <v/>
      </c>
      <c r="H687">
        <f>IFERROR(INDEX(PP_Grid[#Data],$DE687,5),0)</f>
        <v/>
      </c>
      <c r="I687">
        <f>IFERROR(INDEX(PP_Grid[#Data],$DE687,6),0)</f>
        <v/>
      </c>
      <c r="J687">
        <f>IFERROR(INDEX(PP_Grid[#Data],$DE687,7),0)</f>
        <v/>
      </c>
      <c r="K687">
        <f>IFERROR(INDEX(PP_Grid[#Data],$DE687,8),0)</f>
        <v/>
      </c>
      <c r="L687">
        <f>IFERROR(INDEX(PP_Grid[#Data],$DE687,9),0)</f>
        <v/>
      </c>
      <c r="M687">
        <f>IFERROR(INDEX(PP_Grid[#Data],$DE687,10),0)</f>
        <v/>
      </c>
      <c r="N687">
        <f>IFERROR(INDEX(PP_Grid[#Data],$DE687,11),0)</f>
        <v/>
      </c>
      <c r="O687">
        <f>IFERROR(INDEX(PP_Grid[#Data],$DE687,12),0)</f>
        <v/>
      </c>
      <c r="P687">
        <f>IFERROR(INDEX(PP_Grid[#Data],$DE687,13),0)</f>
        <v/>
      </c>
      <c r="Q687">
        <f>IFERROR(INDEX(PP_Grid[#Data],$DE687,14),0)</f>
        <v/>
      </c>
      <c r="R687">
        <f>IFERROR(INDEX(PP_Grid[#Data],$DE687,15),0)</f>
        <v/>
      </c>
      <c r="S687">
        <f>IFERROR(INDEX(PP_Grid[#Data],$DE687,16),0)</f>
        <v/>
      </c>
      <c r="T687">
        <f>IFERROR(INDEX(PP_Grid[#Data],$DE687,17),0)</f>
        <v/>
      </c>
      <c r="U687">
        <f>IFERROR(INDEX(PP_Grid[#Data],$DE687,18),0)</f>
        <v/>
      </c>
      <c r="V687">
        <f>IFERROR(INDEX(PP_Grid[#Data],$DE687,19),0)</f>
        <v/>
      </c>
      <c r="W687">
        <f>IFERROR(INDEX(PP_Grid[#Data],$DE687,20),0)</f>
        <v/>
      </c>
      <c r="X687">
        <f>IFERROR(INDEX(PP_Grid[#Data],$DE687,21),0)</f>
        <v/>
      </c>
      <c r="Y687">
        <f>IFERROR(INDEX(PP_Grid[#Data],$DE687,22),0)</f>
        <v/>
      </c>
      <c r="Z687">
        <f>IFERROR(INDEX(PP_Grid[#Data],$DE687,23),0)</f>
        <v/>
      </c>
      <c r="AA687">
        <f>IFERROR(INDEX(PP_Grid[#Data],$DE687,24),0)</f>
        <v/>
      </c>
      <c r="AB687">
        <f>IFERROR(INDEX(PP_Grid[#Data],$DE687,25),0)</f>
        <v/>
      </c>
      <c r="AC687">
        <f>IFERROR(INDEX(PP_Grid[#Data],$DE687,26),0)</f>
        <v/>
      </c>
      <c r="AD687">
        <f>IFERROR(INDEX(PP_Grid[#Data],$DE687,27),0)</f>
        <v/>
      </c>
      <c r="AE687">
        <f>IFERROR(INDEX(PP_Grid[#Data],$DE687,28),0)</f>
        <v/>
      </c>
      <c r="AF687">
        <f>IFERROR(INDEX(PP_Grid[#Data],$DE687,29),0)</f>
        <v/>
      </c>
      <c r="AG687">
        <f>IFERROR(INDEX(PP_Grid[#Data],$DE687,30),0)</f>
        <v/>
      </c>
      <c r="AH687">
        <f>IFERROR(INDEX(PP_Grid[#Data],$DE687,31),0)</f>
        <v/>
      </c>
      <c r="AI687">
        <f>IFERROR(INDEX(PP_Grid[#Data],$DE687,32),0)</f>
        <v/>
      </c>
      <c r="AJ687">
        <f>IFERROR(INDEX(PP_Grid[#Data],$DE687,33),0)</f>
        <v/>
      </c>
      <c r="AK687">
        <f>IFERROR(INDEX(PP_Grid[#Data],$DE687,34),0)</f>
        <v/>
      </c>
      <c r="AL687">
        <f>IFERROR(INDEX(PP_Grid[#Data],$DE687,35),0)</f>
        <v/>
      </c>
      <c r="AM687">
        <f>IFERROR(INDEX(PP_Grid[#Data],$DE687,36),0)</f>
        <v/>
      </c>
      <c r="AN687">
        <f>IFERROR(INDEX(PP_Grid[#Data],$DE687,37),0)</f>
        <v/>
      </c>
      <c r="AO687">
        <f>IFERROR(INDEX(PP_Grid[#Data],$DE687,38),0)</f>
        <v/>
      </c>
      <c r="AP687">
        <f>IFERROR(INDEX(PP_Grid[#Data],$DE687,39),0)</f>
        <v/>
      </c>
      <c r="AQ687">
        <f>IFERROR(INDEX(PP_Grid[#Data],$DE687,40),0)</f>
        <v/>
      </c>
      <c r="AR687">
        <f>IFERROR(INDEX(PP_Grid[#Data],$DE687,41),0)</f>
        <v/>
      </c>
      <c r="AS687">
        <f>IFERROR(INDEX(PP_Grid[#Data],$DE687,42),0)</f>
        <v/>
      </c>
      <c r="AT687">
        <f>IFERROR(INDEX(PP_Grid[#Data],$DE687,43),0)</f>
        <v/>
      </c>
      <c r="AU687">
        <f>IFERROR(INDEX(PP_Grid[#Data],$DE687,44),0)</f>
        <v/>
      </c>
      <c r="AV687">
        <f>IFERROR(INDEX(PP_Grid[#Data],$DE687,45),0)</f>
        <v/>
      </c>
      <c r="AW687">
        <f>IFERROR(INDEX(PP_Grid[#Data],$DE687,46),0)</f>
        <v/>
      </c>
      <c r="AX687">
        <f>IFERROR(INDEX(PP_Grid[#Data],$DE687,47),0)</f>
        <v/>
      </c>
      <c r="AY687">
        <f>IFERROR(INDEX(PP_Grid[#Data],$DE687,48),0)</f>
        <v/>
      </c>
      <c r="AZ687">
        <f>IFERROR(INDEX(PP_Grid[#Data],$DE687,49),0)</f>
        <v/>
      </c>
      <c r="BA687">
        <f>IFERROR(INDEX(PP_Grid[#Data],$DE687,50),0)</f>
        <v/>
      </c>
      <c r="BB687">
        <f>IFERROR(INDEX(PP_Grid[#Data],$DE687,51),0)</f>
        <v/>
      </c>
      <c r="BC687">
        <f>IFERROR(INDEX(PP_Grid[#Data],$DE687,52),0)</f>
        <v/>
      </c>
      <c r="BD687">
        <f>IFERROR(INDEX(PP_Grid[#Data],$DE687,53),0)</f>
        <v/>
      </c>
      <c r="BE687">
        <f>IFERROR(INDEX(PP_Grid[#Data],$DE687,54),0)</f>
        <v/>
      </c>
      <c r="BF687">
        <f>IFERROR(INDEX(PP_Grid[#Data],$DE687,55),0)</f>
        <v/>
      </c>
      <c r="BG687">
        <f>IFERROR(INDEX(PP_Grid[#Data],$DE687,56),0)</f>
        <v/>
      </c>
      <c r="BH687">
        <f>IFERROR(INDEX(PP_Grid[#Data],$DE687,57),0)</f>
        <v/>
      </c>
      <c r="BI687">
        <f>IFERROR(INDEX(PP_Grid[#Data],$DE687,58),0)</f>
        <v/>
      </c>
      <c r="BJ687">
        <f>IFERROR(INDEX(PP_Grid[#Data],$DE687,59),0)</f>
        <v/>
      </c>
      <c r="BK687">
        <f>IFERROR(INDEX(PP_Grid[#Data],$DE687,60),0)</f>
        <v/>
      </c>
      <c r="BL687">
        <f>IFERROR(INDEX(PP_Grid[#Data],$DE687,61),0)</f>
        <v/>
      </c>
      <c r="BM687">
        <f>IFERROR(INDEX(PP_Grid[#Data],$DE687,62),0)</f>
        <v/>
      </c>
      <c r="BN687">
        <f>IFERROR(INDEX(PP_Grid[#Data],$DE687,63),0)</f>
        <v/>
      </c>
      <c r="BO687">
        <f>IFERROR(INDEX(PP_Grid[#Data],$DE687,64),0)</f>
        <v/>
      </c>
      <c r="BP687">
        <f>IFERROR(INDEX(PP_Grid[#Data],$DE687,65),0)</f>
        <v/>
      </c>
      <c r="BQ687">
        <f>IFERROR(INDEX(PP_Grid[#Data],$DE687,66),0)</f>
        <v/>
      </c>
      <c r="BR687">
        <f>IFERROR(INDEX(PP_Grid[#Data],$DE687,67),0)</f>
        <v/>
      </c>
      <c r="BS687">
        <f>IFERROR(INDEX(PP_Grid[#Data],$DE687,68),0)</f>
        <v/>
      </c>
      <c r="BT687">
        <f>IFERROR(INDEX(PP_Grid[#Data],$DE687,69),0)</f>
        <v/>
      </c>
      <c r="BU687">
        <f>IFERROR(INDEX(PP_Grid[#Data],$DE687,70),0)</f>
        <v/>
      </c>
      <c r="BV687">
        <f>IFERROR(INDEX(PP_Grid[#Data],$DE687,71),0)</f>
        <v/>
      </c>
      <c r="BW687">
        <f>IFERROR(INDEX(PP_Grid[#Data],$DE687,72),0)</f>
        <v/>
      </c>
      <c r="BX687">
        <f>IFERROR(INDEX(PP_Grid[#Data],$DE687,73),0)</f>
        <v/>
      </c>
      <c r="BY687">
        <f>IFERROR(INDEX(PP_Grid[#Data],$DE687,74),0)</f>
        <v/>
      </c>
      <c r="BZ687">
        <f>IFERROR(INDEX(PP_Grid[#Data],$DE687,75),0)</f>
        <v/>
      </c>
      <c r="CA687">
        <f>IFERROR(INDEX(PP_Grid[#Data],$DE687,76),0)</f>
        <v/>
      </c>
      <c r="CB687">
        <f>IFERROR(INDEX(PP_Grid[#Data],$DE687,77),0)</f>
        <v/>
      </c>
      <c r="CC687">
        <f>IFERROR(INDEX(PP_Grid[#Data],$DE687,78),0)</f>
        <v/>
      </c>
      <c r="CD687">
        <f>IFERROR(INDEX(PP_Grid[#Data],$DE687,79),0)</f>
        <v/>
      </c>
      <c r="CE687">
        <f>IFERROR(INDEX(PP_Grid[#Data],$DE687,80),0)</f>
        <v/>
      </c>
      <c r="CF687">
        <f>IFERROR(INDEX(PP_Grid[#Data],$DE687,81),0)</f>
        <v/>
      </c>
      <c r="CG687">
        <f>IFERROR(INDEX(PP_Grid[#Data],$DE687,82),0)</f>
        <v/>
      </c>
      <c r="CH687">
        <f>IFERROR(INDEX(PP_Grid[#Data],$DE687,83),0)</f>
        <v/>
      </c>
      <c r="CI687">
        <f>IFERROR(INDEX(PP_Grid[#Data],$DE687,84),0)</f>
        <v/>
      </c>
      <c r="CJ687">
        <f>IFERROR(INDEX(PP_Grid[#Data],$DE687,85),0)</f>
        <v/>
      </c>
      <c r="CK687">
        <f>IFERROR(INDEX(PP_Grid[#Data],$DE687,86),0)</f>
        <v/>
      </c>
      <c r="CL687">
        <f>IFERROR(INDEX(PP_Grid[#Data],$DE687,87),0)</f>
        <v/>
      </c>
      <c r="CM687">
        <f>IFERROR(INDEX(PP_Grid[#Data],$DE687,88),0)</f>
        <v/>
      </c>
      <c r="CN687">
        <f>IFERROR(INDEX(PP_Grid[#Data],$DE687,89),0)</f>
        <v/>
      </c>
      <c r="CO687">
        <f>IFERROR(INDEX(PP_Grid[#Data],$DE687,90),0)</f>
        <v/>
      </c>
      <c r="CP687">
        <f>IFERROR(INDEX(PP_Grid[#Data],$DE687,91),0)</f>
        <v/>
      </c>
      <c r="CQ687">
        <f>IFERROR(INDEX(PP_Grid[#Data],$DE687,92),0)</f>
        <v/>
      </c>
      <c r="CR687">
        <f>IFERROR(INDEX(PP_Grid[#Data],$DE687,93),0)</f>
        <v/>
      </c>
      <c r="CS687">
        <f>IFERROR(INDEX(PP_Grid[#Data],$DE687,94),0)</f>
        <v/>
      </c>
      <c r="CT687">
        <f>IFERROR(INDEX(PP_Grid[#Data],$DE687,95),0)</f>
        <v/>
      </c>
      <c r="CU687">
        <f>IFERROR(INDEX(PP_Grid[#Data],$DE687,96),0)</f>
        <v/>
      </c>
      <c r="CV687">
        <f>IFERROR(INDEX(PP_Grid[#Data],$DE687,97),0)</f>
        <v/>
      </c>
      <c r="CW687">
        <f>IFERROR(INDEX(PP_Grid[#Data],$DE687,98),0)</f>
        <v/>
      </c>
      <c r="CX687">
        <f>IFERROR(INDEX(PP_Grid[#Data],$DE687,99),0)</f>
        <v/>
      </c>
      <c r="CY687">
        <f>IFERROR(INDEX(PP_Grid[#Data],$DE687,100),0)</f>
        <v/>
      </c>
      <c r="CZ687">
        <f>IFERROR(INDEX(PP_Grid[#Data],$DE687,101),0)</f>
        <v/>
      </c>
      <c r="DA687">
        <f>IFERROR(INDEX(PP_Grid[#Data],$DE687,102),0)</f>
        <v/>
      </c>
      <c r="DB687">
        <f>IFERROR(INDEX(PP_Grid[#Data],$DE687,103),0)</f>
        <v/>
      </c>
      <c r="DC687">
        <f>IFERROR(INDEX(PP_Grid[#Data],$DE687,104),0)</f>
        <v/>
      </c>
      <c r="DD687">
        <f>IFERROR(INDEX(PP_Grid[#Data],$DE687,105),0)</f>
        <v/>
      </c>
      <c r="DE687" s="7">
        <f>IFERROR(MATCH($B687,PP_Grid[Intermediate],0),99999)</f>
        <v/>
      </c>
    </row>
    <row r="688">
      <c r="B688" t="inlineStr">
        <is>
          <t>使用量(kg)</t>
        </is>
      </c>
      <c r="C688">
        <f>SUMIFS(M_BOM[RM_Qty_Per_Batch],M_BOM[Intermediate],$B687,M_BOM[RM_Code],$A636)</f>
        <v/>
      </c>
      <c r="D688">
        <f>IFERROR(INDEX(E688:DD688,$F$1),"")</f>
        <v/>
      </c>
      <c r="E688">
        <f>$C688*E687</f>
        <v/>
      </c>
      <c r="F688">
        <f>$C688*F687</f>
        <v/>
      </c>
      <c r="G688">
        <f>$C688*G687</f>
        <v/>
      </c>
      <c r="H688">
        <f>$C688*H687</f>
        <v/>
      </c>
      <c r="I688">
        <f>$C688*I687</f>
        <v/>
      </c>
      <c r="J688">
        <f>$C688*J687</f>
        <v/>
      </c>
      <c r="K688">
        <f>$C688*K687</f>
        <v/>
      </c>
      <c r="L688">
        <f>$C688*L687</f>
        <v/>
      </c>
      <c r="M688">
        <f>$C688*M687</f>
        <v/>
      </c>
      <c r="N688">
        <f>$C688*N687</f>
        <v/>
      </c>
      <c r="O688">
        <f>$C688*O687</f>
        <v/>
      </c>
      <c r="P688">
        <f>$C688*P687</f>
        <v/>
      </c>
      <c r="Q688">
        <f>$C688*Q687</f>
        <v/>
      </c>
      <c r="R688">
        <f>$C688*R687</f>
        <v/>
      </c>
      <c r="S688">
        <f>$C688*S687</f>
        <v/>
      </c>
      <c r="T688">
        <f>$C688*T687</f>
        <v/>
      </c>
      <c r="U688">
        <f>$C688*U687</f>
        <v/>
      </c>
      <c r="V688">
        <f>$C688*V687</f>
        <v/>
      </c>
      <c r="W688">
        <f>$C688*W687</f>
        <v/>
      </c>
      <c r="X688">
        <f>$C688*X687</f>
        <v/>
      </c>
      <c r="Y688">
        <f>$C688*Y687</f>
        <v/>
      </c>
      <c r="Z688">
        <f>$C688*Z687</f>
        <v/>
      </c>
      <c r="AA688">
        <f>$C688*AA687</f>
        <v/>
      </c>
      <c r="AB688">
        <f>$C688*AB687</f>
        <v/>
      </c>
      <c r="AC688">
        <f>$C688*AC687</f>
        <v/>
      </c>
      <c r="AD688">
        <f>$C688*AD687</f>
        <v/>
      </c>
      <c r="AE688">
        <f>$C688*AE687</f>
        <v/>
      </c>
      <c r="AF688">
        <f>$C688*AF687</f>
        <v/>
      </c>
      <c r="AG688">
        <f>$C688*AG687</f>
        <v/>
      </c>
      <c r="AH688">
        <f>$C688*AH687</f>
        <v/>
      </c>
      <c r="AI688">
        <f>$C688*AI687</f>
        <v/>
      </c>
      <c r="AJ688">
        <f>$C688*AJ687</f>
        <v/>
      </c>
      <c r="AK688">
        <f>$C688*AK687</f>
        <v/>
      </c>
      <c r="AL688">
        <f>$C688*AL687</f>
        <v/>
      </c>
      <c r="AM688">
        <f>$C688*AM687</f>
        <v/>
      </c>
      <c r="AN688">
        <f>$C688*AN687</f>
        <v/>
      </c>
      <c r="AO688">
        <f>$C688*AO687</f>
        <v/>
      </c>
      <c r="AP688">
        <f>$C688*AP687</f>
        <v/>
      </c>
      <c r="AQ688">
        <f>$C688*AQ687</f>
        <v/>
      </c>
      <c r="AR688">
        <f>$C688*AR687</f>
        <v/>
      </c>
      <c r="AS688">
        <f>$C688*AS687</f>
        <v/>
      </c>
      <c r="AT688">
        <f>$C688*AT687</f>
        <v/>
      </c>
      <c r="AU688">
        <f>$C688*AU687</f>
        <v/>
      </c>
      <c r="AV688">
        <f>$C688*AV687</f>
        <v/>
      </c>
      <c r="AW688">
        <f>$C688*AW687</f>
        <v/>
      </c>
      <c r="AX688">
        <f>$C688*AX687</f>
        <v/>
      </c>
      <c r="AY688">
        <f>$C688*AY687</f>
        <v/>
      </c>
      <c r="AZ688">
        <f>$C688*AZ687</f>
        <v/>
      </c>
      <c r="BA688">
        <f>$C688*BA687</f>
        <v/>
      </c>
      <c r="BB688">
        <f>$C688*BB687</f>
        <v/>
      </c>
      <c r="BC688">
        <f>$C688*BC687</f>
        <v/>
      </c>
      <c r="BD688">
        <f>$C688*BD687</f>
        <v/>
      </c>
      <c r="BE688">
        <f>$C688*BE687</f>
        <v/>
      </c>
      <c r="BF688">
        <f>$C688*BF687</f>
        <v/>
      </c>
      <c r="BG688">
        <f>$C688*BG687</f>
        <v/>
      </c>
      <c r="BH688">
        <f>$C688*BH687</f>
        <v/>
      </c>
      <c r="BI688">
        <f>$C688*BI687</f>
        <v/>
      </c>
      <c r="BJ688">
        <f>$C688*BJ687</f>
        <v/>
      </c>
      <c r="BK688">
        <f>$C688*BK687</f>
        <v/>
      </c>
      <c r="BL688">
        <f>$C688*BL687</f>
        <v/>
      </c>
      <c r="BM688">
        <f>$C688*BM687</f>
        <v/>
      </c>
      <c r="BN688">
        <f>$C688*BN687</f>
        <v/>
      </c>
      <c r="BO688">
        <f>$C688*BO687</f>
        <v/>
      </c>
      <c r="BP688">
        <f>$C688*BP687</f>
        <v/>
      </c>
      <c r="BQ688">
        <f>$C688*BQ687</f>
        <v/>
      </c>
      <c r="BR688">
        <f>$C688*BR687</f>
        <v/>
      </c>
      <c r="BS688">
        <f>$C688*BS687</f>
        <v/>
      </c>
      <c r="BT688">
        <f>$C688*BT687</f>
        <v/>
      </c>
      <c r="BU688">
        <f>$C688*BU687</f>
        <v/>
      </c>
      <c r="BV688">
        <f>$C688*BV687</f>
        <v/>
      </c>
      <c r="BW688">
        <f>$C688*BW687</f>
        <v/>
      </c>
      <c r="BX688">
        <f>$C688*BX687</f>
        <v/>
      </c>
      <c r="BY688">
        <f>$C688*BY687</f>
        <v/>
      </c>
      <c r="BZ688">
        <f>$C688*BZ687</f>
        <v/>
      </c>
      <c r="CA688">
        <f>$C688*CA687</f>
        <v/>
      </c>
      <c r="CB688">
        <f>$C688*CB687</f>
        <v/>
      </c>
      <c r="CC688">
        <f>$C688*CC687</f>
        <v/>
      </c>
      <c r="CD688">
        <f>$C688*CD687</f>
        <v/>
      </c>
      <c r="CE688">
        <f>$C688*CE687</f>
        <v/>
      </c>
      <c r="CF688">
        <f>$C688*CF687</f>
        <v/>
      </c>
      <c r="CG688">
        <f>$C688*CG687</f>
        <v/>
      </c>
      <c r="CH688">
        <f>$C688*CH687</f>
        <v/>
      </c>
      <c r="CI688">
        <f>$C688*CI687</f>
        <v/>
      </c>
      <c r="CJ688">
        <f>$C688*CJ687</f>
        <v/>
      </c>
      <c r="CK688">
        <f>$C688*CK687</f>
        <v/>
      </c>
      <c r="CL688">
        <f>$C688*CL687</f>
        <v/>
      </c>
      <c r="CM688">
        <f>$C688*CM687</f>
        <v/>
      </c>
      <c r="CN688">
        <f>$C688*CN687</f>
        <v/>
      </c>
      <c r="CO688">
        <f>$C688*CO687</f>
        <v/>
      </c>
      <c r="CP688">
        <f>$C688*CP687</f>
        <v/>
      </c>
      <c r="CQ688">
        <f>$C688*CQ687</f>
        <v/>
      </c>
      <c r="CR688">
        <f>$C688*CR687</f>
        <v/>
      </c>
      <c r="CS688">
        <f>$C688*CS687</f>
        <v/>
      </c>
      <c r="CT688">
        <f>$C688*CT687</f>
        <v/>
      </c>
      <c r="CU688">
        <f>$C688*CU687</f>
        <v/>
      </c>
      <c r="CV688">
        <f>$C688*CV687</f>
        <v/>
      </c>
      <c r="CW688">
        <f>$C688*CW687</f>
        <v/>
      </c>
      <c r="CX688">
        <f>$C688*CX687</f>
        <v/>
      </c>
      <c r="CY688">
        <f>$C688*CY687</f>
        <v/>
      </c>
      <c r="CZ688">
        <f>$C688*CZ687</f>
        <v/>
      </c>
      <c r="DA688">
        <f>$C688*DA687</f>
        <v/>
      </c>
      <c r="DB688">
        <f>$C688*DB687</f>
        <v/>
      </c>
      <c r="DC688">
        <f>$C688*DC687</f>
        <v/>
      </c>
      <c r="DD688">
        <f>$C688*DD687</f>
        <v/>
      </c>
    </row>
    <row r="689">
      <c r="B689" t="inlineStr">
        <is>
          <t>TSP-959</t>
        </is>
      </c>
      <c r="C689" t="inlineStr">
        <is>
          <t>No. of batches</t>
        </is>
      </c>
      <c r="D689">
        <f>IFERROR(INDEX(E689:DD689,$F$1),"")</f>
        <v/>
      </c>
      <c r="E689">
        <f>IFERROR(INDEX(PP_Grid[#Data],$DE689,2),0)</f>
        <v/>
      </c>
      <c r="F689">
        <f>IFERROR(INDEX(PP_Grid[#Data],$DE689,3),0)</f>
        <v/>
      </c>
      <c r="G689">
        <f>IFERROR(INDEX(PP_Grid[#Data],$DE689,4),0)</f>
        <v/>
      </c>
      <c r="H689">
        <f>IFERROR(INDEX(PP_Grid[#Data],$DE689,5),0)</f>
        <v/>
      </c>
      <c r="I689">
        <f>IFERROR(INDEX(PP_Grid[#Data],$DE689,6),0)</f>
        <v/>
      </c>
      <c r="J689">
        <f>IFERROR(INDEX(PP_Grid[#Data],$DE689,7),0)</f>
        <v/>
      </c>
      <c r="K689">
        <f>IFERROR(INDEX(PP_Grid[#Data],$DE689,8),0)</f>
        <v/>
      </c>
      <c r="L689">
        <f>IFERROR(INDEX(PP_Grid[#Data],$DE689,9),0)</f>
        <v/>
      </c>
      <c r="M689">
        <f>IFERROR(INDEX(PP_Grid[#Data],$DE689,10),0)</f>
        <v/>
      </c>
      <c r="N689">
        <f>IFERROR(INDEX(PP_Grid[#Data],$DE689,11),0)</f>
        <v/>
      </c>
      <c r="O689">
        <f>IFERROR(INDEX(PP_Grid[#Data],$DE689,12),0)</f>
        <v/>
      </c>
      <c r="P689">
        <f>IFERROR(INDEX(PP_Grid[#Data],$DE689,13),0)</f>
        <v/>
      </c>
      <c r="Q689">
        <f>IFERROR(INDEX(PP_Grid[#Data],$DE689,14),0)</f>
        <v/>
      </c>
      <c r="R689">
        <f>IFERROR(INDEX(PP_Grid[#Data],$DE689,15),0)</f>
        <v/>
      </c>
      <c r="S689">
        <f>IFERROR(INDEX(PP_Grid[#Data],$DE689,16),0)</f>
        <v/>
      </c>
      <c r="T689">
        <f>IFERROR(INDEX(PP_Grid[#Data],$DE689,17),0)</f>
        <v/>
      </c>
      <c r="U689">
        <f>IFERROR(INDEX(PP_Grid[#Data],$DE689,18),0)</f>
        <v/>
      </c>
      <c r="V689">
        <f>IFERROR(INDEX(PP_Grid[#Data],$DE689,19),0)</f>
        <v/>
      </c>
      <c r="W689">
        <f>IFERROR(INDEX(PP_Grid[#Data],$DE689,20),0)</f>
        <v/>
      </c>
      <c r="X689">
        <f>IFERROR(INDEX(PP_Grid[#Data],$DE689,21),0)</f>
        <v/>
      </c>
      <c r="Y689">
        <f>IFERROR(INDEX(PP_Grid[#Data],$DE689,22),0)</f>
        <v/>
      </c>
      <c r="Z689">
        <f>IFERROR(INDEX(PP_Grid[#Data],$DE689,23),0)</f>
        <v/>
      </c>
      <c r="AA689">
        <f>IFERROR(INDEX(PP_Grid[#Data],$DE689,24),0)</f>
        <v/>
      </c>
      <c r="AB689">
        <f>IFERROR(INDEX(PP_Grid[#Data],$DE689,25),0)</f>
        <v/>
      </c>
      <c r="AC689">
        <f>IFERROR(INDEX(PP_Grid[#Data],$DE689,26),0)</f>
        <v/>
      </c>
      <c r="AD689">
        <f>IFERROR(INDEX(PP_Grid[#Data],$DE689,27),0)</f>
        <v/>
      </c>
      <c r="AE689">
        <f>IFERROR(INDEX(PP_Grid[#Data],$DE689,28),0)</f>
        <v/>
      </c>
      <c r="AF689">
        <f>IFERROR(INDEX(PP_Grid[#Data],$DE689,29),0)</f>
        <v/>
      </c>
      <c r="AG689">
        <f>IFERROR(INDEX(PP_Grid[#Data],$DE689,30),0)</f>
        <v/>
      </c>
      <c r="AH689">
        <f>IFERROR(INDEX(PP_Grid[#Data],$DE689,31),0)</f>
        <v/>
      </c>
      <c r="AI689">
        <f>IFERROR(INDEX(PP_Grid[#Data],$DE689,32),0)</f>
        <v/>
      </c>
      <c r="AJ689">
        <f>IFERROR(INDEX(PP_Grid[#Data],$DE689,33),0)</f>
        <v/>
      </c>
      <c r="AK689">
        <f>IFERROR(INDEX(PP_Grid[#Data],$DE689,34),0)</f>
        <v/>
      </c>
      <c r="AL689">
        <f>IFERROR(INDEX(PP_Grid[#Data],$DE689,35),0)</f>
        <v/>
      </c>
      <c r="AM689">
        <f>IFERROR(INDEX(PP_Grid[#Data],$DE689,36),0)</f>
        <v/>
      </c>
      <c r="AN689">
        <f>IFERROR(INDEX(PP_Grid[#Data],$DE689,37),0)</f>
        <v/>
      </c>
      <c r="AO689">
        <f>IFERROR(INDEX(PP_Grid[#Data],$DE689,38),0)</f>
        <v/>
      </c>
      <c r="AP689">
        <f>IFERROR(INDEX(PP_Grid[#Data],$DE689,39),0)</f>
        <v/>
      </c>
      <c r="AQ689">
        <f>IFERROR(INDEX(PP_Grid[#Data],$DE689,40),0)</f>
        <v/>
      </c>
      <c r="AR689">
        <f>IFERROR(INDEX(PP_Grid[#Data],$DE689,41),0)</f>
        <v/>
      </c>
      <c r="AS689">
        <f>IFERROR(INDEX(PP_Grid[#Data],$DE689,42),0)</f>
        <v/>
      </c>
      <c r="AT689">
        <f>IFERROR(INDEX(PP_Grid[#Data],$DE689,43),0)</f>
        <v/>
      </c>
      <c r="AU689">
        <f>IFERROR(INDEX(PP_Grid[#Data],$DE689,44),0)</f>
        <v/>
      </c>
      <c r="AV689">
        <f>IFERROR(INDEX(PP_Grid[#Data],$DE689,45),0)</f>
        <v/>
      </c>
      <c r="AW689">
        <f>IFERROR(INDEX(PP_Grid[#Data],$DE689,46),0)</f>
        <v/>
      </c>
      <c r="AX689">
        <f>IFERROR(INDEX(PP_Grid[#Data],$DE689,47),0)</f>
        <v/>
      </c>
      <c r="AY689">
        <f>IFERROR(INDEX(PP_Grid[#Data],$DE689,48),0)</f>
        <v/>
      </c>
      <c r="AZ689">
        <f>IFERROR(INDEX(PP_Grid[#Data],$DE689,49),0)</f>
        <v/>
      </c>
      <c r="BA689">
        <f>IFERROR(INDEX(PP_Grid[#Data],$DE689,50),0)</f>
        <v/>
      </c>
      <c r="BB689">
        <f>IFERROR(INDEX(PP_Grid[#Data],$DE689,51),0)</f>
        <v/>
      </c>
      <c r="BC689">
        <f>IFERROR(INDEX(PP_Grid[#Data],$DE689,52),0)</f>
        <v/>
      </c>
      <c r="BD689">
        <f>IFERROR(INDEX(PP_Grid[#Data],$DE689,53),0)</f>
        <v/>
      </c>
      <c r="BE689">
        <f>IFERROR(INDEX(PP_Grid[#Data],$DE689,54),0)</f>
        <v/>
      </c>
      <c r="BF689">
        <f>IFERROR(INDEX(PP_Grid[#Data],$DE689,55),0)</f>
        <v/>
      </c>
      <c r="BG689">
        <f>IFERROR(INDEX(PP_Grid[#Data],$DE689,56),0)</f>
        <v/>
      </c>
      <c r="BH689">
        <f>IFERROR(INDEX(PP_Grid[#Data],$DE689,57),0)</f>
        <v/>
      </c>
      <c r="BI689">
        <f>IFERROR(INDEX(PP_Grid[#Data],$DE689,58),0)</f>
        <v/>
      </c>
      <c r="BJ689">
        <f>IFERROR(INDEX(PP_Grid[#Data],$DE689,59),0)</f>
        <v/>
      </c>
      <c r="BK689">
        <f>IFERROR(INDEX(PP_Grid[#Data],$DE689,60),0)</f>
        <v/>
      </c>
      <c r="BL689">
        <f>IFERROR(INDEX(PP_Grid[#Data],$DE689,61),0)</f>
        <v/>
      </c>
      <c r="BM689">
        <f>IFERROR(INDEX(PP_Grid[#Data],$DE689,62),0)</f>
        <v/>
      </c>
      <c r="BN689">
        <f>IFERROR(INDEX(PP_Grid[#Data],$DE689,63),0)</f>
        <v/>
      </c>
      <c r="BO689">
        <f>IFERROR(INDEX(PP_Grid[#Data],$DE689,64),0)</f>
        <v/>
      </c>
      <c r="BP689">
        <f>IFERROR(INDEX(PP_Grid[#Data],$DE689,65),0)</f>
        <v/>
      </c>
      <c r="BQ689">
        <f>IFERROR(INDEX(PP_Grid[#Data],$DE689,66),0)</f>
        <v/>
      </c>
      <c r="BR689">
        <f>IFERROR(INDEX(PP_Grid[#Data],$DE689,67),0)</f>
        <v/>
      </c>
      <c r="BS689">
        <f>IFERROR(INDEX(PP_Grid[#Data],$DE689,68),0)</f>
        <v/>
      </c>
      <c r="BT689">
        <f>IFERROR(INDEX(PP_Grid[#Data],$DE689,69),0)</f>
        <v/>
      </c>
      <c r="BU689">
        <f>IFERROR(INDEX(PP_Grid[#Data],$DE689,70),0)</f>
        <v/>
      </c>
      <c r="BV689">
        <f>IFERROR(INDEX(PP_Grid[#Data],$DE689,71),0)</f>
        <v/>
      </c>
      <c r="BW689">
        <f>IFERROR(INDEX(PP_Grid[#Data],$DE689,72),0)</f>
        <v/>
      </c>
      <c r="BX689">
        <f>IFERROR(INDEX(PP_Grid[#Data],$DE689,73),0)</f>
        <v/>
      </c>
      <c r="BY689">
        <f>IFERROR(INDEX(PP_Grid[#Data],$DE689,74),0)</f>
        <v/>
      </c>
      <c r="BZ689">
        <f>IFERROR(INDEX(PP_Grid[#Data],$DE689,75),0)</f>
        <v/>
      </c>
      <c r="CA689">
        <f>IFERROR(INDEX(PP_Grid[#Data],$DE689,76),0)</f>
        <v/>
      </c>
      <c r="CB689">
        <f>IFERROR(INDEX(PP_Grid[#Data],$DE689,77),0)</f>
        <v/>
      </c>
      <c r="CC689">
        <f>IFERROR(INDEX(PP_Grid[#Data],$DE689,78),0)</f>
        <v/>
      </c>
      <c r="CD689">
        <f>IFERROR(INDEX(PP_Grid[#Data],$DE689,79),0)</f>
        <v/>
      </c>
      <c r="CE689">
        <f>IFERROR(INDEX(PP_Grid[#Data],$DE689,80),0)</f>
        <v/>
      </c>
      <c r="CF689">
        <f>IFERROR(INDEX(PP_Grid[#Data],$DE689,81),0)</f>
        <v/>
      </c>
      <c r="CG689">
        <f>IFERROR(INDEX(PP_Grid[#Data],$DE689,82),0)</f>
        <v/>
      </c>
      <c r="CH689">
        <f>IFERROR(INDEX(PP_Grid[#Data],$DE689,83),0)</f>
        <v/>
      </c>
      <c r="CI689">
        <f>IFERROR(INDEX(PP_Grid[#Data],$DE689,84),0)</f>
        <v/>
      </c>
      <c r="CJ689">
        <f>IFERROR(INDEX(PP_Grid[#Data],$DE689,85),0)</f>
        <v/>
      </c>
      <c r="CK689">
        <f>IFERROR(INDEX(PP_Grid[#Data],$DE689,86),0)</f>
        <v/>
      </c>
      <c r="CL689">
        <f>IFERROR(INDEX(PP_Grid[#Data],$DE689,87),0)</f>
        <v/>
      </c>
      <c r="CM689">
        <f>IFERROR(INDEX(PP_Grid[#Data],$DE689,88),0)</f>
        <v/>
      </c>
      <c r="CN689">
        <f>IFERROR(INDEX(PP_Grid[#Data],$DE689,89),0)</f>
        <v/>
      </c>
      <c r="CO689">
        <f>IFERROR(INDEX(PP_Grid[#Data],$DE689,90),0)</f>
        <v/>
      </c>
      <c r="CP689">
        <f>IFERROR(INDEX(PP_Grid[#Data],$DE689,91),0)</f>
        <v/>
      </c>
      <c r="CQ689">
        <f>IFERROR(INDEX(PP_Grid[#Data],$DE689,92),0)</f>
        <v/>
      </c>
      <c r="CR689">
        <f>IFERROR(INDEX(PP_Grid[#Data],$DE689,93),0)</f>
        <v/>
      </c>
      <c r="CS689">
        <f>IFERROR(INDEX(PP_Grid[#Data],$DE689,94),0)</f>
        <v/>
      </c>
      <c r="CT689">
        <f>IFERROR(INDEX(PP_Grid[#Data],$DE689,95),0)</f>
        <v/>
      </c>
      <c r="CU689">
        <f>IFERROR(INDEX(PP_Grid[#Data],$DE689,96),0)</f>
        <v/>
      </c>
      <c r="CV689">
        <f>IFERROR(INDEX(PP_Grid[#Data],$DE689,97),0)</f>
        <v/>
      </c>
      <c r="CW689">
        <f>IFERROR(INDEX(PP_Grid[#Data],$DE689,98),0)</f>
        <v/>
      </c>
      <c r="CX689">
        <f>IFERROR(INDEX(PP_Grid[#Data],$DE689,99),0)</f>
        <v/>
      </c>
      <c r="CY689">
        <f>IFERROR(INDEX(PP_Grid[#Data],$DE689,100),0)</f>
        <v/>
      </c>
      <c r="CZ689">
        <f>IFERROR(INDEX(PP_Grid[#Data],$DE689,101),0)</f>
        <v/>
      </c>
      <c r="DA689">
        <f>IFERROR(INDEX(PP_Grid[#Data],$DE689,102),0)</f>
        <v/>
      </c>
      <c r="DB689">
        <f>IFERROR(INDEX(PP_Grid[#Data],$DE689,103),0)</f>
        <v/>
      </c>
      <c r="DC689">
        <f>IFERROR(INDEX(PP_Grid[#Data],$DE689,104),0)</f>
        <v/>
      </c>
      <c r="DD689">
        <f>IFERROR(INDEX(PP_Grid[#Data],$DE689,105),0)</f>
        <v/>
      </c>
      <c r="DE689" s="7">
        <f>IFERROR(MATCH($B689,PP_Grid[Intermediate],0),99999)</f>
        <v/>
      </c>
    </row>
    <row r="690">
      <c r="B690" t="inlineStr">
        <is>
          <t>使用量(kg)</t>
        </is>
      </c>
      <c r="C690">
        <f>SUMIFS(M_BOM[RM_Qty_Per_Batch],M_BOM[Intermediate],$B689,M_BOM[RM_Code],$A636)</f>
        <v/>
      </c>
      <c r="D690">
        <f>IFERROR(INDEX(E690:DD690,$F$1),"")</f>
        <v/>
      </c>
      <c r="E690">
        <f>$C690*E689</f>
        <v/>
      </c>
      <c r="F690">
        <f>$C690*F689</f>
        <v/>
      </c>
      <c r="G690">
        <f>$C690*G689</f>
        <v/>
      </c>
      <c r="H690">
        <f>$C690*H689</f>
        <v/>
      </c>
      <c r="I690">
        <f>$C690*I689</f>
        <v/>
      </c>
      <c r="J690">
        <f>$C690*J689</f>
        <v/>
      </c>
      <c r="K690">
        <f>$C690*K689</f>
        <v/>
      </c>
      <c r="L690">
        <f>$C690*L689</f>
        <v/>
      </c>
      <c r="M690">
        <f>$C690*M689</f>
        <v/>
      </c>
      <c r="N690">
        <f>$C690*N689</f>
        <v/>
      </c>
      <c r="O690">
        <f>$C690*O689</f>
        <v/>
      </c>
      <c r="P690">
        <f>$C690*P689</f>
        <v/>
      </c>
      <c r="Q690">
        <f>$C690*Q689</f>
        <v/>
      </c>
      <c r="R690">
        <f>$C690*R689</f>
        <v/>
      </c>
      <c r="S690">
        <f>$C690*S689</f>
        <v/>
      </c>
      <c r="T690">
        <f>$C690*T689</f>
        <v/>
      </c>
      <c r="U690">
        <f>$C690*U689</f>
        <v/>
      </c>
      <c r="V690">
        <f>$C690*V689</f>
        <v/>
      </c>
      <c r="W690">
        <f>$C690*W689</f>
        <v/>
      </c>
      <c r="X690">
        <f>$C690*X689</f>
        <v/>
      </c>
      <c r="Y690">
        <f>$C690*Y689</f>
        <v/>
      </c>
      <c r="Z690">
        <f>$C690*Z689</f>
        <v/>
      </c>
      <c r="AA690">
        <f>$C690*AA689</f>
        <v/>
      </c>
      <c r="AB690">
        <f>$C690*AB689</f>
        <v/>
      </c>
      <c r="AC690">
        <f>$C690*AC689</f>
        <v/>
      </c>
      <c r="AD690">
        <f>$C690*AD689</f>
        <v/>
      </c>
      <c r="AE690">
        <f>$C690*AE689</f>
        <v/>
      </c>
      <c r="AF690">
        <f>$C690*AF689</f>
        <v/>
      </c>
      <c r="AG690">
        <f>$C690*AG689</f>
        <v/>
      </c>
      <c r="AH690">
        <f>$C690*AH689</f>
        <v/>
      </c>
      <c r="AI690">
        <f>$C690*AI689</f>
        <v/>
      </c>
      <c r="AJ690">
        <f>$C690*AJ689</f>
        <v/>
      </c>
      <c r="AK690">
        <f>$C690*AK689</f>
        <v/>
      </c>
      <c r="AL690">
        <f>$C690*AL689</f>
        <v/>
      </c>
      <c r="AM690">
        <f>$C690*AM689</f>
        <v/>
      </c>
      <c r="AN690">
        <f>$C690*AN689</f>
        <v/>
      </c>
      <c r="AO690">
        <f>$C690*AO689</f>
        <v/>
      </c>
      <c r="AP690">
        <f>$C690*AP689</f>
        <v/>
      </c>
      <c r="AQ690">
        <f>$C690*AQ689</f>
        <v/>
      </c>
      <c r="AR690">
        <f>$C690*AR689</f>
        <v/>
      </c>
      <c r="AS690">
        <f>$C690*AS689</f>
        <v/>
      </c>
      <c r="AT690">
        <f>$C690*AT689</f>
        <v/>
      </c>
      <c r="AU690">
        <f>$C690*AU689</f>
        <v/>
      </c>
      <c r="AV690">
        <f>$C690*AV689</f>
        <v/>
      </c>
      <c r="AW690">
        <f>$C690*AW689</f>
        <v/>
      </c>
      <c r="AX690">
        <f>$C690*AX689</f>
        <v/>
      </c>
      <c r="AY690">
        <f>$C690*AY689</f>
        <v/>
      </c>
      <c r="AZ690">
        <f>$C690*AZ689</f>
        <v/>
      </c>
      <c r="BA690">
        <f>$C690*BA689</f>
        <v/>
      </c>
      <c r="BB690">
        <f>$C690*BB689</f>
        <v/>
      </c>
      <c r="BC690">
        <f>$C690*BC689</f>
        <v/>
      </c>
      <c r="BD690">
        <f>$C690*BD689</f>
        <v/>
      </c>
      <c r="BE690">
        <f>$C690*BE689</f>
        <v/>
      </c>
      <c r="BF690">
        <f>$C690*BF689</f>
        <v/>
      </c>
      <c r="BG690">
        <f>$C690*BG689</f>
        <v/>
      </c>
      <c r="BH690">
        <f>$C690*BH689</f>
        <v/>
      </c>
      <c r="BI690">
        <f>$C690*BI689</f>
        <v/>
      </c>
      <c r="BJ690">
        <f>$C690*BJ689</f>
        <v/>
      </c>
      <c r="BK690">
        <f>$C690*BK689</f>
        <v/>
      </c>
      <c r="BL690">
        <f>$C690*BL689</f>
        <v/>
      </c>
      <c r="BM690">
        <f>$C690*BM689</f>
        <v/>
      </c>
      <c r="BN690">
        <f>$C690*BN689</f>
        <v/>
      </c>
      <c r="BO690">
        <f>$C690*BO689</f>
        <v/>
      </c>
      <c r="BP690">
        <f>$C690*BP689</f>
        <v/>
      </c>
      <c r="BQ690">
        <f>$C690*BQ689</f>
        <v/>
      </c>
      <c r="BR690">
        <f>$C690*BR689</f>
        <v/>
      </c>
      <c r="BS690">
        <f>$C690*BS689</f>
        <v/>
      </c>
      <c r="BT690">
        <f>$C690*BT689</f>
        <v/>
      </c>
      <c r="BU690">
        <f>$C690*BU689</f>
        <v/>
      </c>
      <c r="BV690">
        <f>$C690*BV689</f>
        <v/>
      </c>
      <c r="BW690">
        <f>$C690*BW689</f>
        <v/>
      </c>
      <c r="BX690">
        <f>$C690*BX689</f>
        <v/>
      </c>
      <c r="BY690">
        <f>$C690*BY689</f>
        <v/>
      </c>
      <c r="BZ690">
        <f>$C690*BZ689</f>
        <v/>
      </c>
      <c r="CA690">
        <f>$C690*CA689</f>
        <v/>
      </c>
      <c r="CB690">
        <f>$C690*CB689</f>
        <v/>
      </c>
      <c r="CC690">
        <f>$C690*CC689</f>
        <v/>
      </c>
      <c r="CD690">
        <f>$C690*CD689</f>
        <v/>
      </c>
      <c r="CE690">
        <f>$C690*CE689</f>
        <v/>
      </c>
      <c r="CF690">
        <f>$C690*CF689</f>
        <v/>
      </c>
      <c r="CG690">
        <f>$C690*CG689</f>
        <v/>
      </c>
      <c r="CH690">
        <f>$C690*CH689</f>
        <v/>
      </c>
      <c r="CI690">
        <f>$C690*CI689</f>
        <v/>
      </c>
      <c r="CJ690">
        <f>$C690*CJ689</f>
        <v/>
      </c>
      <c r="CK690">
        <f>$C690*CK689</f>
        <v/>
      </c>
      <c r="CL690">
        <f>$C690*CL689</f>
        <v/>
      </c>
      <c r="CM690">
        <f>$C690*CM689</f>
        <v/>
      </c>
      <c r="CN690">
        <f>$C690*CN689</f>
        <v/>
      </c>
      <c r="CO690">
        <f>$C690*CO689</f>
        <v/>
      </c>
      <c r="CP690">
        <f>$C690*CP689</f>
        <v/>
      </c>
      <c r="CQ690">
        <f>$C690*CQ689</f>
        <v/>
      </c>
      <c r="CR690">
        <f>$C690*CR689</f>
        <v/>
      </c>
      <c r="CS690">
        <f>$C690*CS689</f>
        <v/>
      </c>
      <c r="CT690">
        <f>$C690*CT689</f>
        <v/>
      </c>
      <c r="CU690">
        <f>$C690*CU689</f>
        <v/>
      </c>
      <c r="CV690">
        <f>$C690*CV689</f>
        <v/>
      </c>
      <c r="CW690">
        <f>$C690*CW689</f>
        <v/>
      </c>
      <c r="CX690">
        <f>$C690*CX689</f>
        <v/>
      </c>
      <c r="CY690">
        <f>$C690*CY689</f>
        <v/>
      </c>
      <c r="CZ690">
        <f>$C690*CZ689</f>
        <v/>
      </c>
      <c r="DA690">
        <f>$C690*DA689</f>
        <v/>
      </c>
      <c r="DB690">
        <f>$C690*DB689</f>
        <v/>
      </c>
      <c r="DC690">
        <f>$C690*DC689</f>
        <v/>
      </c>
      <c r="DD690">
        <f>$C690*DD689</f>
        <v/>
      </c>
    </row>
    <row r="691">
      <c r="B691" t="inlineStr">
        <is>
          <t>TSP-966</t>
        </is>
      </c>
      <c r="C691" t="inlineStr">
        <is>
          <t>No. of batches</t>
        </is>
      </c>
      <c r="D691">
        <f>IFERROR(INDEX(E691:DD691,$F$1),"")</f>
        <v/>
      </c>
      <c r="E691">
        <f>IFERROR(INDEX(PP_Grid[#Data],$DE691,2),0)</f>
        <v/>
      </c>
      <c r="F691">
        <f>IFERROR(INDEX(PP_Grid[#Data],$DE691,3),0)</f>
        <v/>
      </c>
      <c r="G691">
        <f>IFERROR(INDEX(PP_Grid[#Data],$DE691,4),0)</f>
        <v/>
      </c>
      <c r="H691">
        <f>IFERROR(INDEX(PP_Grid[#Data],$DE691,5),0)</f>
        <v/>
      </c>
      <c r="I691">
        <f>IFERROR(INDEX(PP_Grid[#Data],$DE691,6),0)</f>
        <v/>
      </c>
      <c r="J691">
        <f>IFERROR(INDEX(PP_Grid[#Data],$DE691,7),0)</f>
        <v/>
      </c>
      <c r="K691">
        <f>IFERROR(INDEX(PP_Grid[#Data],$DE691,8),0)</f>
        <v/>
      </c>
      <c r="L691">
        <f>IFERROR(INDEX(PP_Grid[#Data],$DE691,9),0)</f>
        <v/>
      </c>
      <c r="M691">
        <f>IFERROR(INDEX(PP_Grid[#Data],$DE691,10),0)</f>
        <v/>
      </c>
      <c r="N691">
        <f>IFERROR(INDEX(PP_Grid[#Data],$DE691,11),0)</f>
        <v/>
      </c>
      <c r="O691">
        <f>IFERROR(INDEX(PP_Grid[#Data],$DE691,12),0)</f>
        <v/>
      </c>
      <c r="P691">
        <f>IFERROR(INDEX(PP_Grid[#Data],$DE691,13),0)</f>
        <v/>
      </c>
      <c r="Q691">
        <f>IFERROR(INDEX(PP_Grid[#Data],$DE691,14),0)</f>
        <v/>
      </c>
      <c r="R691">
        <f>IFERROR(INDEX(PP_Grid[#Data],$DE691,15),0)</f>
        <v/>
      </c>
      <c r="S691">
        <f>IFERROR(INDEX(PP_Grid[#Data],$DE691,16),0)</f>
        <v/>
      </c>
      <c r="T691">
        <f>IFERROR(INDEX(PP_Grid[#Data],$DE691,17),0)</f>
        <v/>
      </c>
      <c r="U691">
        <f>IFERROR(INDEX(PP_Grid[#Data],$DE691,18),0)</f>
        <v/>
      </c>
      <c r="V691">
        <f>IFERROR(INDEX(PP_Grid[#Data],$DE691,19),0)</f>
        <v/>
      </c>
      <c r="W691">
        <f>IFERROR(INDEX(PP_Grid[#Data],$DE691,20),0)</f>
        <v/>
      </c>
      <c r="X691">
        <f>IFERROR(INDEX(PP_Grid[#Data],$DE691,21),0)</f>
        <v/>
      </c>
      <c r="Y691">
        <f>IFERROR(INDEX(PP_Grid[#Data],$DE691,22),0)</f>
        <v/>
      </c>
      <c r="Z691">
        <f>IFERROR(INDEX(PP_Grid[#Data],$DE691,23),0)</f>
        <v/>
      </c>
      <c r="AA691">
        <f>IFERROR(INDEX(PP_Grid[#Data],$DE691,24),0)</f>
        <v/>
      </c>
      <c r="AB691">
        <f>IFERROR(INDEX(PP_Grid[#Data],$DE691,25),0)</f>
        <v/>
      </c>
      <c r="AC691">
        <f>IFERROR(INDEX(PP_Grid[#Data],$DE691,26),0)</f>
        <v/>
      </c>
      <c r="AD691">
        <f>IFERROR(INDEX(PP_Grid[#Data],$DE691,27),0)</f>
        <v/>
      </c>
      <c r="AE691">
        <f>IFERROR(INDEX(PP_Grid[#Data],$DE691,28),0)</f>
        <v/>
      </c>
      <c r="AF691">
        <f>IFERROR(INDEX(PP_Grid[#Data],$DE691,29),0)</f>
        <v/>
      </c>
      <c r="AG691">
        <f>IFERROR(INDEX(PP_Grid[#Data],$DE691,30),0)</f>
        <v/>
      </c>
      <c r="AH691">
        <f>IFERROR(INDEX(PP_Grid[#Data],$DE691,31),0)</f>
        <v/>
      </c>
      <c r="AI691">
        <f>IFERROR(INDEX(PP_Grid[#Data],$DE691,32),0)</f>
        <v/>
      </c>
      <c r="AJ691">
        <f>IFERROR(INDEX(PP_Grid[#Data],$DE691,33),0)</f>
        <v/>
      </c>
      <c r="AK691">
        <f>IFERROR(INDEX(PP_Grid[#Data],$DE691,34),0)</f>
        <v/>
      </c>
      <c r="AL691">
        <f>IFERROR(INDEX(PP_Grid[#Data],$DE691,35),0)</f>
        <v/>
      </c>
      <c r="AM691">
        <f>IFERROR(INDEX(PP_Grid[#Data],$DE691,36),0)</f>
        <v/>
      </c>
      <c r="AN691">
        <f>IFERROR(INDEX(PP_Grid[#Data],$DE691,37),0)</f>
        <v/>
      </c>
      <c r="AO691">
        <f>IFERROR(INDEX(PP_Grid[#Data],$DE691,38),0)</f>
        <v/>
      </c>
      <c r="AP691">
        <f>IFERROR(INDEX(PP_Grid[#Data],$DE691,39),0)</f>
        <v/>
      </c>
      <c r="AQ691">
        <f>IFERROR(INDEX(PP_Grid[#Data],$DE691,40),0)</f>
        <v/>
      </c>
      <c r="AR691">
        <f>IFERROR(INDEX(PP_Grid[#Data],$DE691,41),0)</f>
        <v/>
      </c>
      <c r="AS691">
        <f>IFERROR(INDEX(PP_Grid[#Data],$DE691,42),0)</f>
        <v/>
      </c>
      <c r="AT691">
        <f>IFERROR(INDEX(PP_Grid[#Data],$DE691,43),0)</f>
        <v/>
      </c>
      <c r="AU691">
        <f>IFERROR(INDEX(PP_Grid[#Data],$DE691,44),0)</f>
        <v/>
      </c>
      <c r="AV691">
        <f>IFERROR(INDEX(PP_Grid[#Data],$DE691,45),0)</f>
        <v/>
      </c>
      <c r="AW691">
        <f>IFERROR(INDEX(PP_Grid[#Data],$DE691,46),0)</f>
        <v/>
      </c>
      <c r="AX691">
        <f>IFERROR(INDEX(PP_Grid[#Data],$DE691,47),0)</f>
        <v/>
      </c>
      <c r="AY691">
        <f>IFERROR(INDEX(PP_Grid[#Data],$DE691,48),0)</f>
        <v/>
      </c>
      <c r="AZ691">
        <f>IFERROR(INDEX(PP_Grid[#Data],$DE691,49),0)</f>
        <v/>
      </c>
      <c r="BA691">
        <f>IFERROR(INDEX(PP_Grid[#Data],$DE691,50),0)</f>
        <v/>
      </c>
      <c r="BB691">
        <f>IFERROR(INDEX(PP_Grid[#Data],$DE691,51),0)</f>
        <v/>
      </c>
      <c r="BC691">
        <f>IFERROR(INDEX(PP_Grid[#Data],$DE691,52),0)</f>
        <v/>
      </c>
      <c r="BD691">
        <f>IFERROR(INDEX(PP_Grid[#Data],$DE691,53),0)</f>
        <v/>
      </c>
      <c r="BE691">
        <f>IFERROR(INDEX(PP_Grid[#Data],$DE691,54),0)</f>
        <v/>
      </c>
      <c r="BF691">
        <f>IFERROR(INDEX(PP_Grid[#Data],$DE691,55),0)</f>
        <v/>
      </c>
      <c r="BG691">
        <f>IFERROR(INDEX(PP_Grid[#Data],$DE691,56),0)</f>
        <v/>
      </c>
      <c r="BH691">
        <f>IFERROR(INDEX(PP_Grid[#Data],$DE691,57),0)</f>
        <v/>
      </c>
      <c r="BI691">
        <f>IFERROR(INDEX(PP_Grid[#Data],$DE691,58),0)</f>
        <v/>
      </c>
      <c r="BJ691">
        <f>IFERROR(INDEX(PP_Grid[#Data],$DE691,59),0)</f>
        <v/>
      </c>
      <c r="BK691">
        <f>IFERROR(INDEX(PP_Grid[#Data],$DE691,60),0)</f>
        <v/>
      </c>
      <c r="BL691">
        <f>IFERROR(INDEX(PP_Grid[#Data],$DE691,61),0)</f>
        <v/>
      </c>
      <c r="BM691">
        <f>IFERROR(INDEX(PP_Grid[#Data],$DE691,62),0)</f>
        <v/>
      </c>
      <c r="BN691">
        <f>IFERROR(INDEX(PP_Grid[#Data],$DE691,63),0)</f>
        <v/>
      </c>
      <c r="BO691">
        <f>IFERROR(INDEX(PP_Grid[#Data],$DE691,64),0)</f>
        <v/>
      </c>
      <c r="BP691">
        <f>IFERROR(INDEX(PP_Grid[#Data],$DE691,65),0)</f>
        <v/>
      </c>
      <c r="BQ691">
        <f>IFERROR(INDEX(PP_Grid[#Data],$DE691,66),0)</f>
        <v/>
      </c>
      <c r="BR691">
        <f>IFERROR(INDEX(PP_Grid[#Data],$DE691,67),0)</f>
        <v/>
      </c>
      <c r="BS691">
        <f>IFERROR(INDEX(PP_Grid[#Data],$DE691,68),0)</f>
        <v/>
      </c>
      <c r="BT691">
        <f>IFERROR(INDEX(PP_Grid[#Data],$DE691,69),0)</f>
        <v/>
      </c>
      <c r="BU691">
        <f>IFERROR(INDEX(PP_Grid[#Data],$DE691,70),0)</f>
        <v/>
      </c>
      <c r="BV691">
        <f>IFERROR(INDEX(PP_Grid[#Data],$DE691,71),0)</f>
        <v/>
      </c>
      <c r="BW691">
        <f>IFERROR(INDEX(PP_Grid[#Data],$DE691,72),0)</f>
        <v/>
      </c>
      <c r="BX691">
        <f>IFERROR(INDEX(PP_Grid[#Data],$DE691,73),0)</f>
        <v/>
      </c>
      <c r="BY691">
        <f>IFERROR(INDEX(PP_Grid[#Data],$DE691,74),0)</f>
        <v/>
      </c>
      <c r="BZ691">
        <f>IFERROR(INDEX(PP_Grid[#Data],$DE691,75),0)</f>
        <v/>
      </c>
      <c r="CA691">
        <f>IFERROR(INDEX(PP_Grid[#Data],$DE691,76),0)</f>
        <v/>
      </c>
      <c r="CB691">
        <f>IFERROR(INDEX(PP_Grid[#Data],$DE691,77),0)</f>
        <v/>
      </c>
      <c r="CC691">
        <f>IFERROR(INDEX(PP_Grid[#Data],$DE691,78),0)</f>
        <v/>
      </c>
      <c r="CD691">
        <f>IFERROR(INDEX(PP_Grid[#Data],$DE691,79),0)</f>
        <v/>
      </c>
      <c r="CE691">
        <f>IFERROR(INDEX(PP_Grid[#Data],$DE691,80),0)</f>
        <v/>
      </c>
      <c r="CF691">
        <f>IFERROR(INDEX(PP_Grid[#Data],$DE691,81),0)</f>
        <v/>
      </c>
      <c r="CG691">
        <f>IFERROR(INDEX(PP_Grid[#Data],$DE691,82),0)</f>
        <v/>
      </c>
      <c r="CH691">
        <f>IFERROR(INDEX(PP_Grid[#Data],$DE691,83),0)</f>
        <v/>
      </c>
      <c r="CI691">
        <f>IFERROR(INDEX(PP_Grid[#Data],$DE691,84),0)</f>
        <v/>
      </c>
      <c r="CJ691">
        <f>IFERROR(INDEX(PP_Grid[#Data],$DE691,85),0)</f>
        <v/>
      </c>
      <c r="CK691">
        <f>IFERROR(INDEX(PP_Grid[#Data],$DE691,86),0)</f>
        <v/>
      </c>
      <c r="CL691">
        <f>IFERROR(INDEX(PP_Grid[#Data],$DE691,87),0)</f>
        <v/>
      </c>
      <c r="CM691">
        <f>IFERROR(INDEX(PP_Grid[#Data],$DE691,88),0)</f>
        <v/>
      </c>
      <c r="CN691">
        <f>IFERROR(INDEX(PP_Grid[#Data],$DE691,89),0)</f>
        <v/>
      </c>
      <c r="CO691">
        <f>IFERROR(INDEX(PP_Grid[#Data],$DE691,90),0)</f>
        <v/>
      </c>
      <c r="CP691">
        <f>IFERROR(INDEX(PP_Grid[#Data],$DE691,91),0)</f>
        <v/>
      </c>
      <c r="CQ691">
        <f>IFERROR(INDEX(PP_Grid[#Data],$DE691,92),0)</f>
        <v/>
      </c>
      <c r="CR691">
        <f>IFERROR(INDEX(PP_Grid[#Data],$DE691,93),0)</f>
        <v/>
      </c>
      <c r="CS691">
        <f>IFERROR(INDEX(PP_Grid[#Data],$DE691,94),0)</f>
        <v/>
      </c>
      <c r="CT691">
        <f>IFERROR(INDEX(PP_Grid[#Data],$DE691,95),0)</f>
        <v/>
      </c>
      <c r="CU691">
        <f>IFERROR(INDEX(PP_Grid[#Data],$DE691,96),0)</f>
        <v/>
      </c>
      <c r="CV691">
        <f>IFERROR(INDEX(PP_Grid[#Data],$DE691,97),0)</f>
        <v/>
      </c>
      <c r="CW691">
        <f>IFERROR(INDEX(PP_Grid[#Data],$DE691,98),0)</f>
        <v/>
      </c>
      <c r="CX691">
        <f>IFERROR(INDEX(PP_Grid[#Data],$DE691,99),0)</f>
        <v/>
      </c>
      <c r="CY691">
        <f>IFERROR(INDEX(PP_Grid[#Data],$DE691,100),0)</f>
        <v/>
      </c>
      <c r="CZ691">
        <f>IFERROR(INDEX(PP_Grid[#Data],$DE691,101),0)</f>
        <v/>
      </c>
      <c r="DA691">
        <f>IFERROR(INDEX(PP_Grid[#Data],$DE691,102),0)</f>
        <v/>
      </c>
      <c r="DB691">
        <f>IFERROR(INDEX(PP_Grid[#Data],$DE691,103),0)</f>
        <v/>
      </c>
      <c r="DC691">
        <f>IFERROR(INDEX(PP_Grid[#Data],$DE691,104),0)</f>
        <v/>
      </c>
      <c r="DD691">
        <f>IFERROR(INDEX(PP_Grid[#Data],$DE691,105),0)</f>
        <v/>
      </c>
      <c r="DE691" s="7">
        <f>IFERROR(MATCH($B691,PP_Grid[Intermediate],0),99999)</f>
        <v/>
      </c>
    </row>
    <row r="692">
      <c r="B692" t="inlineStr">
        <is>
          <t>使用量(kg)</t>
        </is>
      </c>
      <c r="C692">
        <f>SUMIFS(M_BOM[RM_Qty_Per_Batch],M_BOM[Intermediate],$B691,M_BOM[RM_Code],$A636)</f>
        <v/>
      </c>
      <c r="D692">
        <f>IFERROR(INDEX(E692:DD692,$F$1),"")</f>
        <v/>
      </c>
      <c r="E692">
        <f>$C692*E691</f>
        <v/>
      </c>
      <c r="F692">
        <f>$C692*F691</f>
        <v/>
      </c>
      <c r="G692">
        <f>$C692*G691</f>
        <v/>
      </c>
      <c r="H692">
        <f>$C692*H691</f>
        <v/>
      </c>
      <c r="I692">
        <f>$C692*I691</f>
        <v/>
      </c>
      <c r="J692">
        <f>$C692*J691</f>
        <v/>
      </c>
      <c r="K692">
        <f>$C692*K691</f>
        <v/>
      </c>
      <c r="L692">
        <f>$C692*L691</f>
        <v/>
      </c>
      <c r="M692">
        <f>$C692*M691</f>
        <v/>
      </c>
      <c r="N692">
        <f>$C692*N691</f>
        <v/>
      </c>
      <c r="O692">
        <f>$C692*O691</f>
        <v/>
      </c>
      <c r="P692">
        <f>$C692*P691</f>
        <v/>
      </c>
      <c r="Q692">
        <f>$C692*Q691</f>
        <v/>
      </c>
      <c r="R692">
        <f>$C692*R691</f>
        <v/>
      </c>
      <c r="S692">
        <f>$C692*S691</f>
        <v/>
      </c>
      <c r="T692">
        <f>$C692*T691</f>
        <v/>
      </c>
      <c r="U692">
        <f>$C692*U691</f>
        <v/>
      </c>
      <c r="V692">
        <f>$C692*V691</f>
        <v/>
      </c>
      <c r="W692">
        <f>$C692*W691</f>
        <v/>
      </c>
      <c r="X692">
        <f>$C692*X691</f>
        <v/>
      </c>
      <c r="Y692">
        <f>$C692*Y691</f>
        <v/>
      </c>
      <c r="Z692">
        <f>$C692*Z691</f>
        <v/>
      </c>
      <c r="AA692">
        <f>$C692*AA691</f>
        <v/>
      </c>
      <c r="AB692">
        <f>$C692*AB691</f>
        <v/>
      </c>
      <c r="AC692">
        <f>$C692*AC691</f>
        <v/>
      </c>
      <c r="AD692">
        <f>$C692*AD691</f>
        <v/>
      </c>
      <c r="AE692">
        <f>$C692*AE691</f>
        <v/>
      </c>
      <c r="AF692">
        <f>$C692*AF691</f>
        <v/>
      </c>
      <c r="AG692">
        <f>$C692*AG691</f>
        <v/>
      </c>
      <c r="AH692">
        <f>$C692*AH691</f>
        <v/>
      </c>
      <c r="AI692">
        <f>$C692*AI691</f>
        <v/>
      </c>
      <c r="AJ692">
        <f>$C692*AJ691</f>
        <v/>
      </c>
      <c r="AK692">
        <f>$C692*AK691</f>
        <v/>
      </c>
      <c r="AL692">
        <f>$C692*AL691</f>
        <v/>
      </c>
      <c r="AM692">
        <f>$C692*AM691</f>
        <v/>
      </c>
      <c r="AN692">
        <f>$C692*AN691</f>
        <v/>
      </c>
      <c r="AO692">
        <f>$C692*AO691</f>
        <v/>
      </c>
      <c r="AP692">
        <f>$C692*AP691</f>
        <v/>
      </c>
      <c r="AQ692">
        <f>$C692*AQ691</f>
        <v/>
      </c>
      <c r="AR692">
        <f>$C692*AR691</f>
        <v/>
      </c>
      <c r="AS692">
        <f>$C692*AS691</f>
        <v/>
      </c>
      <c r="AT692">
        <f>$C692*AT691</f>
        <v/>
      </c>
      <c r="AU692">
        <f>$C692*AU691</f>
        <v/>
      </c>
      <c r="AV692">
        <f>$C692*AV691</f>
        <v/>
      </c>
      <c r="AW692">
        <f>$C692*AW691</f>
        <v/>
      </c>
      <c r="AX692">
        <f>$C692*AX691</f>
        <v/>
      </c>
      <c r="AY692">
        <f>$C692*AY691</f>
        <v/>
      </c>
      <c r="AZ692">
        <f>$C692*AZ691</f>
        <v/>
      </c>
      <c r="BA692">
        <f>$C692*BA691</f>
        <v/>
      </c>
      <c r="BB692">
        <f>$C692*BB691</f>
        <v/>
      </c>
      <c r="BC692">
        <f>$C692*BC691</f>
        <v/>
      </c>
      <c r="BD692">
        <f>$C692*BD691</f>
        <v/>
      </c>
      <c r="BE692">
        <f>$C692*BE691</f>
        <v/>
      </c>
      <c r="BF692">
        <f>$C692*BF691</f>
        <v/>
      </c>
      <c r="BG692">
        <f>$C692*BG691</f>
        <v/>
      </c>
      <c r="BH692">
        <f>$C692*BH691</f>
        <v/>
      </c>
      <c r="BI692">
        <f>$C692*BI691</f>
        <v/>
      </c>
      <c r="BJ692">
        <f>$C692*BJ691</f>
        <v/>
      </c>
      <c r="BK692">
        <f>$C692*BK691</f>
        <v/>
      </c>
      <c r="BL692">
        <f>$C692*BL691</f>
        <v/>
      </c>
      <c r="BM692">
        <f>$C692*BM691</f>
        <v/>
      </c>
      <c r="BN692">
        <f>$C692*BN691</f>
        <v/>
      </c>
      <c r="BO692">
        <f>$C692*BO691</f>
        <v/>
      </c>
      <c r="BP692">
        <f>$C692*BP691</f>
        <v/>
      </c>
      <c r="BQ692">
        <f>$C692*BQ691</f>
        <v/>
      </c>
      <c r="BR692">
        <f>$C692*BR691</f>
        <v/>
      </c>
      <c r="BS692">
        <f>$C692*BS691</f>
        <v/>
      </c>
      <c r="BT692">
        <f>$C692*BT691</f>
        <v/>
      </c>
      <c r="BU692">
        <f>$C692*BU691</f>
        <v/>
      </c>
      <c r="BV692">
        <f>$C692*BV691</f>
        <v/>
      </c>
      <c r="BW692">
        <f>$C692*BW691</f>
        <v/>
      </c>
      <c r="BX692">
        <f>$C692*BX691</f>
        <v/>
      </c>
      <c r="BY692">
        <f>$C692*BY691</f>
        <v/>
      </c>
      <c r="BZ692">
        <f>$C692*BZ691</f>
        <v/>
      </c>
      <c r="CA692">
        <f>$C692*CA691</f>
        <v/>
      </c>
      <c r="CB692">
        <f>$C692*CB691</f>
        <v/>
      </c>
      <c r="CC692">
        <f>$C692*CC691</f>
        <v/>
      </c>
      <c r="CD692">
        <f>$C692*CD691</f>
        <v/>
      </c>
      <c r="CE692">
        <f>$C692*CE691</f>
        <v/>
      </c>
      <c r="CF692">
        <f>$C692*CF691</f>
        <v/>
      </c>
      <c r="CG692">
        <f>$C692*CG691</f>
        <v/>
      </c>
      <c r="CH692">
        <f>$C692*CH691</f>
        <v/>
      </c>
      <c r="CI692">
        <f>$C692*CI691</f>
        <v/>
      </c>
      <c r="CJ692">
        <f>$C692*CJ691</f>
        <v/>
      </c>
      <c r="CK692">
        <f>$C692*CK691</f>
        <v/>
      </c>
      <c r="CL692">
        <f>$C692*CL691</f>
        <v/>
      </c>
      <c r="CM692">
        <f>$C692*CM691</f>
        <v/>
      </c>
      <c r="CN692">
        <f>$C692*CN691</f>
        <v/>
      </c>
      <c r="CO692">
        <f>$C692*CO691</f>
        <v/>
      </c>
      <c r="CP692">
        <f>$C692*CP691</f>
        <v/>
      </c>
      <c r="CQ692">
        <f>$C692*CQ691</f>
        <v/>
      </c>
      <c r="CR692">
        <f>$C692*CR691</f>
        <v/>
      </c>
      <c r="CS692">
        <f>$C692*CS691</f>
        <v/>
      </c>
      <c r="CT692">
        <f>$C692*CT691</f>
        <v/>
      </c>
      <c r="CU692">
        <f>$C692*CU691</f>
        <v/>
      </c>
      <c r="CV692">
        <f>$C692*CV691</f>
        <v/>
      </c>
      <c r="CW692">
        <f>$C692*CW691</f>
        <v/>
      </c>
      <c r="CX692">
        <f>$C692*CX691</f>
        <v/>
      </c>
      <c r="CY692">
        <f>$C692*CY691</f>
        <v/>
      </c>
      <c r="CZ692">
        <f>$C692*CZ691</f>
        <v/>
      </c>
      <c r="DA692">
        <f>$C692*DA691</f>
        <v/>
      </c>
      <c r="DB692">
        <f>$C692*DB691</f>
        <v/>
      </c>
      <c r="DC692">
        <f>$C692*DC691</f>
        <v/>
      </c>
      <c r="DD692">
        <f>$C692*DD691</f>
        <v/>
      </c>
    </row>
    <row r="693">
      <c r="B693" t="inlineStr">
        <is>
          <t>TSP-1449</t>
        </is>
      </c>
      <c r="C693" t="inlineStr">
        <is>
          <t>No. of batches</t>
        </is>
      </c>
      <c r="D693">
        <f>IFERROR(INDEX(E693:DD693,$F$1),"")</f>
        <v/>
      </c>
      <c r="E693">
        <f>IFERROR(INDEX(PP_Grid[#Data],$DE693,2),0)</f>
        <v/>
      </c>
      <c r="F693">
        <f>IFERROR(INDEX(PP_Grid[#Data],$DE693,3),0)</f>
        <v/>
      </c>
      <c r="G693">
        <f>IFERROR(INDEX(PP_Grid[#Data],$DE693,4),0)</f>
        <v/>
      </c>
      <c r="H693">
        <f>IFERROR(INDEX(PP_Grid[#Data],$DE693,5),0)</f>
        <v/>
      </c>
      <c r="I693">
        <f>IFERROR(INDEX(PP_Grid[#Data],$DE693,6),0)</f>
        <v/>
      </c>
      <c r="J693">
        <f>IFERROR(INDEX(PP_Grid[#Data],$DE693,7),0)</f>
        <v/>
      </c>
      <c r="K693">
        <f>IFERROR(INDEX(PP_Grid[#Data],$DE693,8),0)</f>
        <v/>
      </c>
      <c r="L693">
        <f>IFERROR(INDEX(PP_Grid[#Data],$DE693,9),0)</f>
        <v/>
      </c>
      <c r="M693">
        <f>IFERROR(INDEX(PP_Grid[#Data],$DE693,10),0)</f>
        <v/>
      </c>
      <c r="N693">
        <f>IFERROR(INDEX(PP_Grid[#Data],$DE693,11),0)</f>
        <v/>
      </c>
      <c r="O693">
        <f>IFERROR(INDEX(PP_Grid[#Data],$DE693,12),0)</f>
        <v/>
      </c>
      <c r="P693">
        <f>IFERROR(INDEX(PP_Grid[#Data],$DE693,13),0)</f>
        <v/>
      </c>
      <c r="Q693">
        <f>IFERROR(INDEX(PP_Grid[#Data],$DE693,14),0)</f>
        <v/>
      </c>
      <c r="R693">
        <f>IFERROR(INDEX(PP_Grid[#Data],$DE693,15),0)</f>
        <v/>
      </c>
      <c r="S693">
        <f>IFERROR(INDEX(PP_Grid[#Data],$DE693,16),0)</f>
        <v/>
      </c>
      <c r="T693">
        <f>IFERROR(INDEX(PP_Grid[#Data],$DE693,17),0)</f>
        <v/>
      </c>
      <c r="U693">
        <f>IFERROR(INDEX(PP_Grid[#Data],$DE693,18),0)</f>
        <v/>
      </c>
      <c r="V693">
        <f>IFERROR(INDEX(PP_Grid[#Data],$DE693,19),0)</f>
        <v/>
      </c>
      <c r="W693">
        <f>IFERROR(INDEX(PP_Grid[#Data],$DE693,20),0)</f>
        <v/>
      </c>
      <c r="X693">
        <f>IFERROR(INDEX(PP_Grid[#Data],$DE693,21),0)</f>
        <v/>
      </c>
      <c r="Y693">
        <f>IFERROR(INDEX(PP_Grid[#Data],$DE693,22),0)</f>
        <v/>
      </c>
      <c r="Z693">
        <f>IFERROR(INDEX(PP_Grid[#Data],$DE693,23),0)</f>
        <v/>
      </c>
      <c r="AA693">
        <f>IFERROR(INDEX(PP_Grid[#Data],$DE693,24),0)</f>
        <v/>
      </c>
      <c r="AB693">
        <f>IFERROR(INDEX(PP_Grid[#Data],$DE693,25),0)</f>
        <v/>
      </c>
      <c r="AC693">
        <f>IFERROR(INDEX(PP_Grid[#Data],$DE693,26),0)</f>
        <v/>
      </c>
      <c r="AD693">
        <f>IFERROR(INDEX(PP_Grid[#Data],$DE693,27),0)</f>
        <v/>
      </c>
      <c r="AE693">
        <f>IFERROR(INDEX(PP_Grid[#Data],$DE693,28),0)</f>
        <v/>
      </c>
      <c r="AF693">
        <f>IFERROR(INDEX(PP_Grid[#Data],$DE693,29),0)</f>
        <v/>
      </c>
      <c r="AG693">
        <f>IFERROR(INDEX(PP_Grid[#Data],$DE693,30),0)</f>
        <v/>
      </c>
      <c r="AH693">
        <f>IFERROR(INDEX(PP_Grid[#Data],$DE693,31),0)</f>
        <v/>
      </c>
      <c r="AI693">
        <f>IFERROR(INDEX(PP_Grid[#Data],$DE693,32),0)</f>
        <v/>
      </c>
      <c r="AJ693">
        <f>IFERROR(INDEX(PP_Grid[#Data],$DE693,33),0)</f>
        <v/>
      </c>
      <c r="AK693">
        <f>IFERROR(INDEX(PP_Grid[#Data],$DE693,34),0)</f>
        <v/>
      </c>
      <c r="AL693">
        <f>IFERROR(INDEX(PP_Grid[#Data],$DE693,35),0)</f>
        <v/>
      </c>
      <c r="AM693">
        <f>IFERROR(INDEX(PP_Grid[#Data],$DE693,36),0)</f>
        <v/>
      </c>
      <c r="AN693">
        <f>IFERROR(INDEX(PP_Grid[#Data],$DE693,37),0)</f>
        <v/>
      </c>
      <c r="AO693">
        <f>IFERROR(INDEX(PP_Grid[#Data],$DE693,38),0)</f>
        <v/>
      </c>
      <c r="AP693">
        <f>IFERROR(INDEX(PP_Grid[#Data],$DE693,39),0)</f>
        <v/>
      </c>
      <c r="AQ693">
        <f>IFERROR(INDEX(PP_Grid[#Data],$DE693,40),0)</f>
        <v/>
      </c>
      <c r="AR693">
        <f>IFERROR(INDEX(PP_Grid[#Data],$DE693,41),0)</f>
        <v/>
      </c>
      <c r="AS693">
        <f>IFERROR(INDEX(PP_Grid[#Data],$DE693,42),0)</f>
        <v/>
      </c>
      <c r="AT693">
        <f>IFERROR(INDEX(PP_Grid[#Data],$DE693,43),0)</f>
        <v/>
      </c>
      <c r="AU693">
        <f>IFERROR(INDEX(PP_Grid[#Data],$DE693,44),0)</f>
        <v/>
      </c>
      <c r="AV693">
        <f>IFERROR(INDEX(PP_Grid[#Data],$DE693,45),0)</f>
        <v/>
      </c>
      <c r="AW693">
        <f>IFERROR(INDEX(PP_Grid[#Data],$DE693,46),0)</f>
        <v/>
      </c>
      <c r="AX693">
        <f>IFERROR(INDEX(PP_Grid[#Data],$DE693,47),0)</f>
        <v/>
      </c>
      <c r="AY693">
        <f>IFERROR(INDEX(PP_Grid[#Data],$DE693,48),0)</f>
        <v/>
      </c>
      <c r="AZ693">
        <f>IFERROR(INDEX(PP_Grid[#Data],$DE693,49),0)</f>
        <v/>
      </c>
      <c r="BA693">
        <f>IFERROR(INDEX(PP_Grid[#Data],$DE693,50),0)</f>
        <v/>
      </c>
      <c r="BB693">
        <f>IFERROR(INDEX(PP_Grid[#Data],$DE693,51),0)</f>
        <v/>
      </c>
      <c r="BC693">
        <f>IFERROR(INDEX(PP_Grid[#Data],$DE693,52),0)</f>
        <v/>
      </c>
      <c r="BD693">
        <f>IFERROR(INDEX(PP_Grid[#Data],$DE693,53),0)</f>
        <v/>
      </c>
      <c r="BE693">
        <f>IFERROR(INDEX(PP_Grid[#Data],$DE693,54),0)</f>
        <v/>
      </c>
      <c r="BF693">
        <f>IFERROR(INDEX(PP_Grid[#Data],$DE693,55),0)</f>
        <v/>
      </c>
      <c r="BG693">
        <f>IFERROR(INDEX(PP_Grid[#Data],$DE693,56),0)</f>
        <v/>
      </c>
      <c r="BH693">
        <f>IFERROR(INDEX(PP_Grid[#Data],$DE693,57),0)</f>
        <v/>
      </c>
      <c r="BI693">
        <f>IFERROR(INDEX(PP_Grid[#Data],$DE693,58),0)</f>
        <v/>
      </c>
      <c r="BJ693">
        <f>IFERROR(INDEX(PP_Grid[#Data],$DE693,59),0)</f>
        <v/>
      </c>
      <c r="BK693">
        <f>IFERROR(INDEX(PP_Grid[#Data],$DE693,60),0)</f>
        <v/>
      </c>
      <c r="BL693">
        <f>IFERROR(INDEX(PP_Grid[#Data],$DE693,61),0)</f>
        <v/>
      </c>
      <c r="BM693">
        <f>IFERROR(INDEX(PP_Grid[#Data],$DE693,62),0)</f>
        <v/>
      </c>
      <c r="BN693">
        <f>IFERROR(INDEX(PP_Grid[#Data],$DE693,63),0)</f>
        <v/>
      </c>
      <c r="BO693">
        <f>IFERROR(INDEX(PP_Grid[#Data],$DE693,64),0)</f>
        <v/>
      </c>
      <c r="BP693">
        <f>IFERROR(INDEX(PP_Grid[#Data],$DE693,65),0)</f>
        <v/>
      </c>
      <c r="BQ693">
        <f>IFERROR(INDEX(PP_Grid[#Data],$DE693,66),0)</f>
        <v/>
      </c>
      <c r="BR693">
        <f>IFERROR(INDEX(PP_Grid[#Data],$DE693,67),0)</f>
        <v/>
      </c>
      <c r="BS693">
        <f>IFERROR(INDEX(PP_Grid[#Data],$DE693,68),0)</f>
        <v/>
      </c>
      <c r="BT693">
        <f>IFERROR(INDEX(PP_Grid[#Data],$DE693,69),0)</f>
        <v/>
      </c>
      <c r="BU693">
        <f>IFERROR(INDEX(PP_Grid[#Data],$DE693,70),0)</f>
        <v/>
      </c>
      <c r="BV693">
        <f>IFERROR(INDEX(PP_Grid[#Data],$DE693,71),0)</f>
        <v/>
      </c>
      <c r="BW693">
        <f>IFERROR(INDEX(PP_Grid[#Data],$DE693,72),0)</f>
        <v/>
      </c>
      <c r="BX693">
        <f>IFERROR(INDEX(PP_Grid[#Data],$DE693,73),0)</f>
        <v/>
      </c>
      <c r="BY693">
        <f>IFERROR(INDEX(PP_Grid[#Data],$DE693,74),0)</f>
        <v/>
      </c>
      <c r="BZ693">
        <f>IFERROR(INDEX(PP_Grid[#Data],$DE693,75),0)</f>
        <v/>
      </c>
      <c r="CA693">
        <f>IFERROR(INDEX(PP_Grid[#Data],$DE693,76),0)</f>
        <v/>
      </c>
      <c r="CB693">
        <f>IFERROR(INDEX(PP_Grid[#Data],$DE693,77),0)</f>
        <v/>
      </c>
      <c r="CC693">
        <f>IFERROR(INDEX(PP_Grid[#Data],$DE693,78),0)</f>
        <v/>
      </c>
      <c r="CD693">
        <f>IFERROR(INDEX(PP_Grid[#Data],$DE693,79),0)</f>
        <v/>
      </c>
      <c r="CE693">
        <f>IFERROR(INDEX(PP_Grid[#Data],$DE693,80),0)</f>
        <v/>
      </c>
      <c r="CF693">
        <f>IFERROR(INDEX(PP_Grid[#Data],$DE693,81),0)</f>
        <v/>
      </c>
      <c r="CG693">
        <f>IFERROR(INDEX(PP_Grid[#Data],$DE693,82),0)</f>
        <v/>
      </c>
      <c r="CH693">
        <f>IFERROR(INDEX(PP_Grid[#Data],$DE693,83),0)</f>
        <v/>
      </c>
      <c r="CI693">
        <f>IFERROR(INDEX(PP_Grid[#Data],$DE693,84),0)</f>
        <v/>
      </c>
      <c r="CJ693">
        <f>IFERROR(INDEX(PP_Grid[#Data],$DE693,85),0)</f>
        <v/>
      </c>
      <c r="CK693">
        <f>IFERROR(INDEX(PP_Grid[#Data],$DE693,86),0)</f>
        <v/>
      </c>
      <c r="CL693">
        <f>IFERROR(INDEX(PP_Grid[#Data],$DE693,87),0)</f>
        <v/>
      </c>
      <c r="CM693">
        <f>IFERROR(INDEX(PP_Grid[#Data],$DE693,88),0)</f>
        <v/>
      </c>
      <c r="CN693">
        <f>IFERROR(INDEX(PP_Grid[#Data],$DE693,89),0)</f>
        <v/>
      </c>
      <c r="CO693">
        <f>IFERROR(INDEX(PP_Grid[#Data],$DE693,90),0)</f>
        <v/>
      </c>
      <c r="CP693">
        <f>IFERROR(INDEX(PP_Grid[#Data],$DE693,91),0)</f>
        <v/>
      </c>
      <c r="CQ693">
        <f>IFERROR(INDEX(PP_Grid[#Data],$DE693,92),0)</f>
        <v/>
      </c>
      <c r="CR693">
        <f>IFERROR(INDEX(PP_Grid[#Data],$DE693,93),0)</f>
        <v/>
      </c>
      <c r="CS693">
        <f>IFERROR(INDEX(PP_Grid[#Data],$DE693,94),0)</f>
        <v/>
      </c>
      <c r="CT693">
        <f>IFERROR(INDEX(PP_Grid[#Data],$DE693,95),0)</f>
        <v/>
      </c>
      <c r="CU693">
        <f>IFERROR(INDEX(PP_Grid[#Data],$DE693,96),0)</f>
        <v/>
      </c>
      <c r="CV693">
        <f>IFERROR(INDEX(PP_Grid[#Data],$DE693,97),0)</f>
        <v/>
      </c>
      <c r="CW693">
        <f>IFERROR(INDEX(PP_Grid[#Data],$DE693,98),0)</f>
        <v/>
      </c>
      <c r="CX693">
        <f>IFERROR(INDEX(PP_Grid[#Data],$DE693,99),0)</f>
        <v/>
      </c>
      <c r="CY693">
        <f>IFERROR(INDEX(PP_Grid[#Data],$DE693,100),0)</f>
        <v/>
      </c>
      <c r="CZ693">
        <f>IFERROR(INDEX(PP_Grid[#Data],$DE693,101),0)</f>
        <v/>
      </c>
      <c r="DA693">
        <f>IFERROR(INDEX(PP_Grid[#Data],$DE693,102),0)</f>
        <v/>
      </c>
      <c r="DB693">
        <f>IFERROR(INDEX(PP_Grid[#Data],$DE693,103),0)</f>
        <v/>
      </c>
      <c r="DC693">
        <f>IFERROR(INDEX(PP_Grid[#Data],$DE693,104),0)</f>
        <v/>
      </c>
      <c r="DD693">
        <f>IFERROR(INDEX(PP_Grid[#Data],$DE693,105),0)</f>
        <v/>
      </c>
      <c r="DE693" s="7">
        <f>IFERROR(MATCH($B693,PP_Grid[Intermediate],0),99999)</f>
        <v/>
      </c>
    </row>
    <row r="694">
      <c r="B694" t="inlineStr">
        <is>
          <t>使用量(kg)</t>
        </is>
      </c>
      <c r="C694">
        <f>SUMIFS(M_BOM[RM_Qty_Per_Batch],M_BOM[Intermediate],$B693,M_BOM[RM_Code],$A636)</f>
        <v/>
      </c>
      <c r="D694">
        <f>IFERROR(INDEX(E694:DD694,$F$1),"")</f>
        <v/>
      </c>
      <c r="E694">
        <f>$C694*E693</f>
        <v/>
      </c>
      <c r="F694">
        <f>$C694*F693</f>
        <v/>
      </c>
      <c r="G694">
        <f>$C694*G693</f>
        <v/>
      </c>
      <c r="H694">
        <f>$C694*H693</f>
        <v/>
      </c>
      <c r="I694">
        <f>$C694*I693</f>
        <v/>
      </c>
      <c r="J694">
        <f>$C694*J693</f>
        <v/>
      </c>
      <c r="K694">
        <f>$C694*K693</f>
        <v/>
      </c>
      <c r="L694">
        <f>$C694*L693</f>
        <v/>
      </c>
      <c r="M694">
        <f>$C694*M693</f>
        <v/>
      </c>
      <c r="N694">
        <f>$C694*N693</f>
        <v/>
      </c>
      <c r="O694">
        <f>$C694*O693</f>
        <v/>
      </c>
      <c r="P694">
        <f>$C694*P693</f>
        <v/>
      </c>
      <c r="Q694">
        <f>$C694*Q693</f>
        <v/>
      </c>
      <c r="R694">
        <f>$C694*R693</f>
        <v/>
      </c>
      <c r="S694">
        <f>$C694*S693</f>
        <v/>
      </c>
      <c r="T694">
        <f>$C694*T693</f>
        <v/>
      </c>
      <c r="U694">
        <f>$C694*U693</f>
        <v/>
      </c>
      <c r="V694">
        <f>$C694*V693</f>
        <v/>
      </c>
      <c r="W694">
        <f>$C694*W693</f>
        <v/>
      </c>
      <c r="X694">
        <f>$C694*X693</f>
        <v/>
      </c>
      <c r="Y694">
        <f>$C694*Y693</f>
        <v/>
      </c>
      <c r="Z694">
        <f>$C694*Z693</f>
        <v/>
      </c>
      <c r="AA694">
        <f>$C694*AA693</f>
        <v/>
      </c>
      <c r="AB694">
        <f>$C694*AB693</f>
        <v/>
      </c>
      <c r="AC694">
        <f>$C694*AC693</f>
        <v/>
      </c>
      <c r="AD694">
        <f>$C694*AD693</f>
        <v/>
      </c>
      <c r="AE694">
        <f>$C694*AE693</f>
        <v/>
      </c>
      <c r="AF694">
        <f>$C694*AF693</f>
        <v/>
      </c>
      <c r="AG694">
        <f>$C694*AG693</f>
        <v/>
      </c>
      <c r="AH694">
        <f>$C694*AH693</f>
        <v/>
      </c>
      <c r="AI694">
        <f>$C694*AI693</f>
        <v/>
      </c>
      <c r="AJ694">
        <f>$C694*AJ693</f>
        <v/>
      </c>
      <c r="AK694">
        <f>$C694*AK693</f>
        <v/>
      </c>
      <c r="AL694">
        <f>$C694*AL693</f>
        <v/>
      </c>
      <c r="AM694">
        <f>$C694*AM693</f>
        <v/>
      </c>
      <c r="AN694">
        <f>$C694*AN693</f>
        <v/>
      </c>
      <c r="AO694">
        <f>$C694*AO693</f>
        <v/>
      </c>
      <c r="AP694">
        <f>$C694*AP693</f>
        <v/>
      </c>
      <c r="AQ694">
        <f>$C694*AQ693</f>
        <v/>
      </c>
      <c r="AR694">
        <f>$C694*AR693</f>
        <v/>
      </c>
      <c r="AS694">
        <f>$C694*AS693</f>
        <v/>
      </c>
      <c r="AT694">
        <f>$C694*AT693</f>
        <v/>
      </c>
      <c r="AU694">
        <f>$C694*AU693</f>
        <v/>
      </c>
      <c r="AV694">
        <f>$C694*AV693</f>
        <v/>
      </c>
      <c r="AW694">
        <f>$C694*AW693</f>
        <v/>
      </c>
      <c r="AX694">
        <f>$C694*AX693</f>
        <v/>
      </c>
      <c r="AY694">
        <f>$C694*AY693</f>
        <v/>
      </c>
      <c r="AZ694">
        <f>$C694*AZ693</f>
        <v/>
      </c>
      <c r="BA694">
        <f>$C694*BA693</f>
        <v/>
      </c>
      <c r="BB694">
        <f>$C694*BB693</f>
        <v/>
      </c>
      <c r="BC694">
        <f>$C694*BC693</f>
        <v/>
      </c>
      <c r="BD694">
        <f>$C694*BD693</f>
        <v/>
      </c>
      <c r="BE694">
        <f>$C694*BE693</f>
        <v/>
      </c>
      <c r="BF694">
        <f>$C694*BF693</f>
        <v/>
      </c>
      <c r="BG694">
        <f>$C694*BG693</f>
        <v/>
      </c>
      <c r="BH694">
        <f>$C694*BH693</f>
        <v/>
      </c>
      <c r="BI694">
        <f>$C694*BI693</f>
        <v/>
      </c>
      <c r="BJ694">
        <f>$C694*BJ693</f>
        <v/>
      </c>
      <c r="BK694">
        <f>$C694*BK693</f>
        <v/>
      </c>
      <c r="BL694">
        <f>$C694*BL693</f>
        <v/>
      </c>
      <c r="BM694">
        <f>$C694*BM693</f>
        <v/>
      </c>
      <c r="BN694">
        <f>$C694*BN693</f>
        <v/>
      </c>
      <c r="BO694">
        <f>$C694*BO693</f>
        <v/>
      </c>
      <c r="BP694">
        <f>$C694*BP693</f>
        <v/>
      </c>
      <c r="BQ694">
        <f>$C694*BQ693</f>
        <v/>
      </c>
      <c r="BR694">
        <f>$C694*BR693</f>
        <v/>
      </c>
      <c r="BS694">
        <f>$C694*BS693</f>
        <v/>
      </c>
      <c r="BT694">
        <f>$C694*BT693</f>
        <v/>
      </c>
      <c r="BU694">
        <f>$C694*BU693</f>
        <v/>
      </c>
      <c r="BV694">
        <f>$C694*BV693</f>
        <v/>
      </c>
      <c r="BW694">
        <f>$C694*BW693</f>
        <v/>
      </c>
      <c r="BX694">
        <f>$C694*BX693</f>
        <v/>
      </c>
      <c r="BY694">
        <f>$C694*BY693</f>
        <v/>
      </c>
      <c r="BZ694">
        <f>$C694*BZ693</f>
        <v/>
      </c>
      <c r="CA694">
        <f>$C694*CA693</f>
        <v/>
      </c>
      <c r="CB694">
        <f>$C694*CB693</f>
        <v/>
      </c>
      <c r="CC694">
        <f>$C694*CC693</f>
        <v/>
      </c>
      <c r="CD694">
        <f>$C694*CD693</f>
        <v/>
      </c>
      <c r="CE694">
        <f>$C694*CE693</f>
        <v/>
      </c>
      <c r="CF694">
        <f>$C694*CF693</f>
        <v/>
      </c>
      <c r="CG694">
        <f>$C694*CG693</f>
        <v/>
      </c>
      <c r="CH694">
        <f>$C694*CH693</f>
        <v/>
      </c>
      <c r="CI694">
        <f>$C694*CI693</f>
        <v/>
      </c>
      <c r="CJ694">
        <f>$C694*CJ693</f>
        <v/>
      </c>
      <c r="CK694">
        <f>$C694*CK693</f>
        <v/>
      </c>
      <c r="CL694">
        <f>$C694*CL693</f>
        <v/>
      </c>
      <c r="CM694">
        <f>$C694*CM693</f>
        <v/>
      </c>
      <c r="CN694">
        <f>$C694*CN693</f>
        <v/>
      </c>
      <c r="CO694">
        <f>$C694*CO693</f>
        <v/>
      </c>
      <c r="CP694">
        <f>$C694*CP693</f>
        <v/>
      </c>
      <c r="CQ694">
        <f>$C694*CQ693</f>
        <v/>
      </c>
      <c r="CR694">
        <f>$C694*CR693</f>
        <v/>
      </c>
      <c r="CS694">
        <f>$C694*CS693</f>
        <v/>
      </c>
      <c r="CT694">
        <f>$C694*CT693</f>
        <v/>
      </c>
      <c r="CU694">
        <f>$C694*CU693</f>
        <v/>
      </c>
      <c r="CV694">
        <f>$C694*CV693</f>
        <v/>
      </c>
      <c r="CW694">
        <f>$C694*CW693</f>
        <v/>
      </c>
      <c r="CX694">
        <f>$C694*CX693</f>
        <v/>
      </c>
      <c r="CY694">
        <f>$C694*CY693</f>
        <v/>
      </c>
      <c r="CZ694">
        <f>$C694*CZ693</f>
        <v/>
      </c>
      <c r="DA694">
        <f>$C694*DA693</f>
        <v/>
      </c>
      <c r="DB694">
        <f>$C694*DB693</f>
        <v/>
      </c>
      <c r="DC694">
        <f>$C694*DC693</f>
        <v/>
      </c>
      <c r="DD694">
        <f>$C694*DD693</f>
        <v/>
      </c>
    </row>
    <row r="695">
      <c r="B695" t="inlineStr">
        <is>
          <t>VSP-567</t>
        </is>
      </c>
      <c r="C695" t="inlineStr">
        <is>
          <t>No. of batches</t>
        </is>
      </c>
      <c r="D695">
        <f>IFERROR(INDEX(E695:DD695,$F$1),"")</f>
        <v/>
      </c>
      <c r="E695">
        <f>IFERROR(INDEX(PP_Grid[#Data],$DE695,2),0)</f>
        <v/>
      </c>
      <c r="F695">
        <f>IFERROR(INDEX(PP_Grid[#Data],$DE695,3),0)</f>
        <v/>
      </c>
      <c r="G695">
        <f>IFERROR(INDEX(PP_Grid[#Data],$DE695,4),0)</f>
        <v/>
      </c>
      <c r="H695">
        <f>IFERROR(INDEX(PP_Grid[#Data],$DE695,5),0)</f>
        <v/>
      </c>
      <c r="I695">
        <f>IFERROR(INDEX(PP_Grid[#Data],$DE695,6),0)</f>
        <v/>
      </c>
      <c r="J695">
        <f>IFERROR(INDEX(PP_Grid[#Data],$DE695,7),0)</f>
        <v/>
      </c>
      <c r="K695">
        <f>IFERROR(INDEX(PP_Grid[#Data],$DE695,8),0)</f>
        <v/>
      </c>
      <c r="L695">
        <f>IFERROR(INDEX(PP_Grid[#Data],$DE695,9),0)</f>
        <v/>
      </c>
      <c r="M695">
        <f>IFERROR(INDEX(PP_Grid[#Data],$DE695,10),0)</f>
        <v/>
      </c>
      <c r="N695">
        <f>IFERROR(INDEX(PP_Grid[#Data],$DE695,11),0)</f>
        <v/>
      </c>
      <c r="O695">
        <f>IFERROR(INDEX(PP_Grid[#Data],$DE695,12),0)</f>
        <v/>
      </c>
      <c r="P695">
        <f>IFERROR(INDEX(PP_Grid[#Data],$DE695,13),0)</f>
        <v/>
      </c>
      <c r="Q695">
        <f>IFERROR(INDEX(PP_Grid[#Data],$DE695,14),0)</f>
        <v/>
      </c>
      <c r="R695">
        <f>IFERROR(INDEX(PP_Grid[#Data],$DE695,15),0)</f>
        <v/>
      </c>
      <c r="S695">
        <f>IFERROR(INDEX(PP_Grid[#Data],$DE695,16),0)</f>
        <v/>
      </c>
      <c r="T695">
        <f>IFERROR(INDEX(PP_Grid[#Data],$DE695,17),0)</f>
        <v/>
      </c>
      <c r="U695">
        <f>IFERROR(INDEX(PP_Grid[#Data],$DE695,18),0)</f>
        <v/>
      </c>
      <c r="V695">
        <f>IFERROR(INDEX(PP_Grid[#Data],$DE695,19),0)</f>
        <v/>
      </c>
      <c r="W695">
        <f>IFERROR(INDEX(PP_Grid[#Data],$DE695,20),0)</f>
        <v/>
      </c>
      <c r="X695">
        <f>IFERROR(INDEX(PP_Grid[#Data],$DE695,21),0)</f>
        <v/>
      </c>
      <c r="Y695">
        <f>IFERROR(INDEX(PP_Grid[#Data],$DE695,22),0)</f>
        <v/>
      </c>
      <c r="Z695">
        <f>IFERROR(INDEX(PP_Grid[#Data],$DE695,23),0)</f>
        <v/>
      </c>
      <c r="AA695">
        <f>IFERROR(INDEX(PP_Grid[#Data],$DE695,24),0)</f>
        <v/>
      </c>
      <c r="AB695">
        <f>IFERROR(INDEX(PP_Grid[#Data],$DE695,25),0)</f>
        <v/>
      </c>
      <c r="AC695">
        <f>IFERROR(INDEX(PP_Grid[#Data],$DE695,26),0)</f>
        <v/>
      </c>
      <c r="AD695">
        <f>IFERROR(INDEX(PP_Grid[#Data],$DE695,27),0)</f>
        <v/>
      </c>
      <c r="AE695">
        <f>IFERROR(INDEX(PP_Grid[#Data],$DE695,28),0)</f>
        <v/>
      </c>
      <c r="AF695">
        <f>IFERROR(INDEX(PP_Grid[#Data],$DE695,29),0)</f>
        <v/>
      </c>
      <c r="AG695">
        <f>IFERROR(INDEX(PP_Grid[#Data],$DE695,30),0)</f>
        <v/>
      </c>
      <c r="AH695">
        <f>IFERROR(INDEX(PP_Grid[#Data],$DE695,31),0)</f>
        <v/>
      </c>
      <c r="AI695">
        <f>IFERROR(INDEX(PP_Grid[#Data],$DE695,32),0)</f>
        <v/>
      </c>
      <c r="AJ695">
        <f>IFERROR(INDEX(PP_Grid[#Data],$DE695,33),0)</f>
        <v/>
      </c>
      <c r="AK695">
        <f>IFERROR(INDEX(PP_Grid[#Data],$DE695,34),0)</f>
        <v/>
      </c>
      <c r="AL695">
        <f>IFERROR(INDEX(PP_Grid[#Data],$DE695,35),0)</f>
        <v/>
      </c>
      <c r="AM695">
        <f>IFERROR(INDEX(PP_Grid[#Data],$DE695,36),0)</f>
        <v/>
      </c>
      <c r="AN695">
        <f>IFERROR(INDEX(PP_Grid[#Data],$DE695,37),0)</f>
        <v/>
      </c>
      <c r="AO695">
        <f>IFERROR(INDEX(PP_Grid[#Data],$DE695,38),0)</f>
        <v/>
      </c>
      <c r="AP695">
        <f>IFERROR(INDEX(PP_Grid[#Data],$DE695,39),0)</f>
        <v/>
      </c>
      <c r="AQ695">
        <f>IFERROR(INDEX(PP_Grid[#Data],$DE695,40),0)</f>
        <v/>
      </c>
      <c r="AR695">
        <f>IFERROR(INDEX(PP_Grid[#Data],$DE695,41),0)</f>
        <v/>
      </c>
      <c r="AS695">
        <f>IFERROR(INDEX(PP_Grid[#Data],$DE695,42),0)</f>
        <v/>
      </c>
      <c r="AT695">
        <f>IFERROR(INDEX(PP_Grid[#Data],$DE695,43),0)</f>
        <v/>
      </c>
      <c r="AU695">
        <f>IFERROR(INDEX(PP_Grid[#Data],$DE695,44),0)</f>
        <v/>
      </c>
      <c r="AV695">
        <f>IFERROR(INDEX(PP_Grid[#Data],$DE695,45),0)</f>
        <v/>
      </c>
      <c r="AW695">
        <f>IFERROR(INDEX(PP_Grid[#Data],$DE695,46),0)</f>
        <v/>
      </c>
      <c r="AX695">
        <f>IFERROR(INDEX(PP_Grid[#Data],$DE695,47),0)</f>
        <v/>
      </c>
      <c r="AY695">
        <f>IFERROR(INDEX(PP_Grid[#Data],$DE695,48),0)</f>
        <v/>
      </c>
      <c r="AZ695">
        <f>IFERROR(INDEX(PP_Grid[#Data],$DE695,49),0)</f>
        <v/>
      </c>
      <c r="BA695">
        <f>IFERROR(INDEX(PP_Grid[#Data],$DE695,50),0)</f>
        <v/>
      </c>
      <c r="BB695">
        <f>IFERROR(INDEX(PP_Grid[#Data],$DE695,51),0)</f>
        <v/>
      </c>
      <c r="BC695">
        <f>IFERROR(INDEX(PP_Grid[#Data],$DE695,52),0)</f>
        <v/>
      </c>
      <c r="BD695">
        <f>IFERROR(INDEX(PP_Grid[#Data],$DE695,53),0)</f>
        <v/>
      </c>
      <c r="BE695">
        <f>IFERROR(INDEX(PP_Grid[#Data],$DE695,54),0)</f>
        <v/>
      </c>
      <c r="BF695">
        <f>IFERROR(INDEX(PP_Grid[#Data],$DE695,55),0)</f>
        <v/>
      </c>
      <c r="BG695">
        <f>IFERROR(INDEX(PP_Grid[#Data],$DE695,56),0)</f>
        <v/>
      </c>
      <c r="BH695">
        <f>IFERROR(INDEX(PP_Grid[#Data],$DE695,57),0)</f>
        <v/>
      </c>
      <c r="BI695">
        <f>IFERROR(INDEX(PP_Grid[#Data],$DE695,58),0)</f>
        <v/>
      </c>
      <c r="BJ695">
        <f>IFERROR(INDEX(PP_Grid[#Data],$DE695,59),0)</f>
        <v/>
      </c>
      <c r="BK695">
        <f>IFERROR(INDEX(PP_Grid[#Data],$DE695,60),0)</f>
        <v/>
      </c>
      <c r="BL695">
        <f>IFERROR(INDEX(PP_Grid[#Data],$DE695,61),0)</f>
        <v/>
      </c>
      <c r="BM695">
        <f>IFERROR(INDEX(PP_Grid[#Data],$DE695,62),0)</f>
        <v/>
      </c>
      <c r="BN695">
        <f>IFERROR(INDEX(PP_Grid[#Data],$DE695,63),0)</f>
        <v/>
      </c>
      <c r="BO695">
        <f>IFERROR(INDEX(PP_Grid[#Data],$DE695,64),0)</f>
        <v/>
      </c>
      <c r="BP695">
        <f>IFERROR(INDEX(PP_Grid[#Data],$DE695,65),0)</f>
        <v/>
      </c>
      <c r="BQ695">
        <f>IFERROR(INDEX(PP_Grid[#Data],$DE695,66),0)</f>
        <v/>
      </c>
      <c r="BR695">
        <f>IFERROR(INDEX(PP_Grid[#Data],$DE695,67),0)</f>
        <v/>
      </c>
      <c r="BS695">
        <f>IFERROR(INDEX(PP_Grid[#Data],$DE695,68),0)</f>
        <v/>
      </c>
      <c r="BT695">
        <f>IFERROR(INDEX(PP_Grid[#Data],$DE695,69),0)</f>
        <v/>
      </c>
      <c r="BU695">
        <f>IFERROR(INDEX(PP_Grid[#Data],$DE695,70),0)</f>
        <v/>
      </c>
      <c r="BV695">
        <f>IFERROR(INDEX(PP_Grid[#Data],$DE695,71),0)</f>
        <v/>
      </c>
      <c r="BW695">
        <f>IFERROR(INDEX(PP_Grid[#Data],$DE695,72),0)</f>
        <v/>
      </c>
      <c r="BX695">
        <f>IFERROR(INDEX(PP_Grid[#Data],$DE695,73),0)</f>
        <v/>
      </c>
      <c r="BY695">
        <f>IFERROR(INDEX(PP_Grid[#Data],$DE695,74),0)</f>
        <v/>
      </c>
      <c r="BZ695">
        <f>IFERROR(INDEX(PP_Grid[#Data],$DE695,75),0)</f>
        <v/>
      </c>
      <c r="CA695">
        <f>IFERROR(INDEX(PP_Grid[#Data],$DE695,76),0)</f>
        <v/>
      </c>
      <c r="CB695">
        <f>IFERROR(INDEX(PP_Grid[#Data],$DE695,77),0)</f>
        <v/>
      </c>
      <c r="CC695">
        <f>IFERROR(INDEX(PP_Grid[#Data],$DE695,78),0)</f>
        <v/>
      </c>
      <c r="CD695">
        <f>IFERROR(INDEX(PP_Grid[#Data],$DE695,79),0)</f>
        <v/>
      </c>
      <c r="CE695">
        <f>IFERROR(INDEX(PP_Grid[#Data],$DE695,80),0)</f>
        <v/>
      </c>
      <c r="CF695">
        <f>IFERROR(INDEX(PP_Grid[#Data],$DE695,81),0)</f>
        <v/>
      </c>
      <c r="CG695">
        <f>IFERROR(INDEX(PP_Grid[#Data],$DE695,82),0)</f>
        <v/>
      </c>
      <c r="CH695">
        <f>IFERROR(INDEX(PP_Grid[#Data],$DE695,83),0)</f>
        <v/>
      </c>
      <c r="CI695">
        <f>IFERROR(INDEX(PP_Grid[#Data],$DE695,84),0)</f>
        <v/>
      </c>
      <c r="CJ695">
        <f>IFERROR(INDEX(PP_Grid[#Data],$DE695,85),0)</f>
        <v/>
      </c>
      <c r="CK695">
        <f>IFERROR(INDEX(PP_Grid[#Data],$DE695,86),0)</f>
        <v/>
      </c>
      <c r="CL695">
        <f>IFERROR(INDEX(PP_Grid[#Data],$DE695,87),0)</f>
        <v/>
      </c>
      <c r="CM695">
        <f>IFERROR(INDEX(PP_Grid[#Data],$DE695,88),0)</f>
        <v/>
      </c>
      <c r="CN695">
        <f>IFERROR(INDEX(PP_Grid[#Data],$DE695,89),0)</f>
        <v/>
      </c>
      <c r="CO695">
        <f>IFERROR(INDEX(PP_Grid[#Data],$DE695,90),0)</f>
        <v/>
      </c>
      <c r="CP695">
        <f>IFERROR(INDEX(PP_Grid[#Data],$DE695,91),0)</f>
        <v/>
      </c>
      <c r="CQ695">
        <f>IFERROR(INDEX(PP_Grid[#Data],$DE695,92),0)</f>
        <v/>
      </c>
      <c r="CR695">
        <f>IFERROR(INDEX(PP_Grid[#Data],$DE695,93),0)</f>
        <v/>
      </c>
      <c r="CS695">
        <f>IFERROR(INDEX(PP_Grid[#Data],$DE695,94),0)</f>
        <v/>
      </c>
      <c r="CT695">
        <f>IFERROR(INDEX(PP_Grid[#Data],$DE695,95),0)</f>
        <v/>
      </c>
      <c r="CU695">
        <f>IFERROR(INDEX(PP_Grid[#Data],$DE695,96),0)</f>
        <v/>
      </c>
      <c r="CV695">
        <f>IFERROR(INDEX(PP_Grid[#Data],$DE695,97),0)</f>
        <v/>
      </c>
      <c r="CW695">
        <f>IFERROR(INDEX(PP_Grid[#Data],$DE695,98),0)</f>
        <v/>
      </c>
      <c r="CX695">
        <f>IFERROR(INDEX(PP_Grid[#Data],$DE695,99),0)</f>
        <v/>
      </c>
      <c r="CY695">
        <f>IFERROR(INDEX(PP_Grid[#Data],$DE695,100),0)</f>
        <v/>
      </c>
      <c r="CZ695">
        <f>IFERROR(INDEX(PP_Grid[#Data],$DE695,101),0)</f>
        <v/>
      </c>
      <c r="DA695">
        <f>IFERROR(INDEX(PP_Grid[#Data],$DE695,102),0)</f>
        <v/>
      </c>
      <c r="DB695">
        <f>IFERROR(INDEX(PP_Grid[#Data],$DE695,103),0)</f>
        <v/>
      </c>
      <c r="DC695">
        <f>IFERROR(INDEX(PP_Grid[#Data],$DE695,104),0)</f>
        <v/>
      </c>
      <c r="DD695">
        <f>IFERROR(INDEX(PP_Grid[#Data],$DE695,105),0)</f>
        <v/>
      </c>
      <c r="DE695" s="7">
        <f>IFERROR(MATCH($B695,PP_Grid[Intermediate],0),99999)</f>
        <v/>
      </c>
    </row>
    <row r="696">
      <c r="B696" t="inlineStr">
        <is>
          <t>使用量(kg)</t>
        </is>
      </c>
      <c r="C696">
        <f>SUMIFS(M_BOM[RM_Qty_Per_Batch],M_BOM[Intermediate],$B695,M_BOM[RM_Code],$A636)</f>
        <v/>
      </c>
      <c r="D696">
        <f>IFERROR(INDEX(E696:DD696,$F$1),"")</f>
        <v/>
      </c>
      <c r="E696">
        <f>$C696*E695</f>
        <v/>
      </c>
      <c r="F696">
        <f>$C696*F695</f>
        <v/>
      </c>
      <c r="G696">
        <f>$C696*G695</f>
        <v/>
      </c>
      <c r="H696">
        <f>$C696*H695</f>
        <v/>
      </c>
      <c r="I696">
        <f>$C696*I695</f>
        <v/>
      </c>
      <c r="J696">
        <f>$C696*J695</f>
        <v/>
      </c>
      <c r="K696">
        <f>$C696*K695</f>
        <v/>
      </c>
      <c r="L696">
        <f>$C696*L695</f>
        <v/>
      </c>
      <c r="M696">
        <f>$C696*M695</f>
        <v/>
      </c>
      <c r="N696">
        <f>$C696*N695</f>
        <v/>
      </c>
      <c r="O696">
        <f>$C696*O695</f>
        <v/>
      </c>
      <c r="P696">
        <f>$C696*P695</f>
        <v/>
      </c>
      <c r="Q696">
        <f>$C696*Q695</f>
        <v/>
      </c>
      <c r="R696">
        <f>$C696*R695</f>
        <v/>
      </c>
      <c r="S696">
        <f>$C696*S695</f>
        <v/>
      </c>
      <c r="T696">
        <f>$C696*T695</f>
        <v/>
      </c>
      <c r="U696">
        <f>$C696*U695</f>
        <v/>
      </c>
      <c r="V696">
        <f>$C696*V695</f>
        <v/>
      </c>
      <c r="W696">
        <f>$C696*W695</f>
        <v/>
      </c>
      <c r="X696">
        <f>$C696*X695</f>
        <v/>
      </c>
      <c r="Y696">
        <f>$C696*Y695</f>
        <v/>
      </c>
      <c r="Z696">
        <f>$C696*Z695</f>
        <v/>
      </c>
      <c r="AA696">
        <f>$C696*AA695</f>
        <v/>
      </c>
      <c r="AB696">
        <f>$C696*AB695</f>
        <v/>
      </c>
      <c r="AC696">
        <f>$C696*AC695</f>
        <v/>
      </c>
      <c r="AD696">
        <f>$C696*AD695</f>
        <v/>
      </c>
      <c r="AE696">
        <f>$C696*AE695</f>
        <v/>
      </c>
      <c r="AF696">
        <f>$C696*AF695</f>
        <v/>
      </c>
      <c r="AG696">
        <f>$C696*AG695</f>
        <v/>
      </c>
      <c r="AH696">
        <f>$C696*AH695</f>
        <v/>
      </c>
      <c r="AI696">
        <f>$C696*AI695</f>
        <v/>
      </c>
      <c r="AJ696">
        <f>$C696*AJ695</f>
        <v/>
      </c>
      <c r="AK696">
        <f>$C696*AK695</f>
        <v/>
      </c>
      <c r="AL696">
        <f>$C696*AL695</f>
        <v/>
      </c>
      <c r="AM696">
        <f>$C696*AM695</f>
        <v/>
      </c>
      <c r="AN696">
        <f>$C696*AN695</f>
        <v/>
      </c>
      <c r="AO696">
        <f>$C696*AO695</f>
        <v/>
      </c>
      <c r="AP696">
        <f>$C696*AP695</f>
        <v/>
      </c>
      <c r="AQ696">
        <f>$C696*AQ695</f>
        <v/>
      </c>
      <c r="AR696">
        <f>$C696*AR695</f>
        <v/>
      </c>
      <c r="AS696">
        <f>$C696*AS695</f>
        <v/>
      </c>
      <c r="AT696">
        <f>$C696*AT695</f>
        <v/>
      </c>
      <c r="AU696">
        <f>$C696*AU695</f>
        <v/>
      </c>
      <c r="AV696">
        <f>$C696*AV695</f>
        <v/>
      </c>
      <c r="AW696">
        <f>$C696*AW695</f>
        <v/>
      </c>
      <c r="AX696">
        <f>$C696*AX695</f>
        <v/>
      </c>
      <c r="AY696">
        <f>$C696*AY695</f>
        <v/>
      </c>
      <c r="AZ696">
        <f>$C696*AZ695</f>
        <v/>
      </c>
      <c r="BA696">
        <f>$C696*BA695</f>
        <v/>
      </c>
      <c r="BB696">
        <f>$C696*BB695</f>
        <v/>
      </c>
      <c r="BC696">
        <f>$C696*BC695</f>
        <v/>
      </c>
      <c r="BD696">
        <f>$C696*BD695</f>
        <v/>
      </c>
      <c r="BE696">
        <f>$C696*BE695</f>
        <v/>
      </c>
      <c r="BF696">
        <f>$C696*BF695</f>
        <v/>
      </c>
      <c r="BG696">
        <f>$C696*BG695</f>
        <v/>
      </c>
      <c r="BH696">
        <f>$C696*BH695</f>
        <v/>
      </c>
      <c r="BI696">
        <f>$C696*BI695</f>
        <v/>
      </c>
      <c r="BJ696">
        <f>$C696*BJ695</f>
        <v/>
      </c>
      <c r="BK696">
        <f>$C696*BK695</f>
        <v/>
      </c>
      <c r="BL696">
        <f>$C696*BL695</f>
        <v/>
      </c>
      <c r="BM696">
        <f>$C696*BM695</f>
        <v/>
      </c>
      <c r="BN696">
        <f>$C696*BN695</f>
        <v/>
      </c>
      <c r="BO696">
        <f>$C696*BO695</f>
        <v/>
      </c>
      <c r="BP696">
        <f>$C696*BP695</f>
        <v/>
      </c>
      <c r="BQ696">
        <f>$C696*BQ695</f>
        <v/>
      </c>
      <c r="BR696">
        <f>$C696*BR695</f>
        <v/>
      </c>
      <c r="BS696">
        <f>$C696*BS695</f>
        <v/>
      </c>
      <c r="BT696">
        <f>$C696*BT695</f>
        <v/>
      </c>
      <c r="BU696">
        <f>$C696*BU695</f>
        <v/>
      </c>
      <c r="BV696">
        <f>$C696*BV695</f>
        <v/>
      </c>
      <c r="BW696">
        <f>$C696*BW695</f>
        <v/>
      </c>
      <c r="BX696">
        <f>$C696*BX695</f>
        <v/>
      </c>
      <c r="BY696">
        <f>$C696*BY695</f>
        <v/>
      </c>
      <c r="BZ696">
        <f>$C696*BZ695</f>
        <v/>
      </c>
      <c r="CA696">
        <f>$C696*CA695</f>
        <v/>
      </c>
      <c r="CB696">
        <f>$C696*CB695</f>
        <v/>
      </c>
      <c r="CC696">
        <f>$C696*CC695</f>
        <v/>
      </c>
      <c r="CD696">
        <f>$C696*CD695</f>
        <v/>
      </c>
      <c r="CE696">
        <f>$C696*CE695</f>
        <v/>
      </c>
      <c r="CF696">
        <f>$C696*CF695</f>
        <v/>
      </c>
      <c r="CG696">
        <f>$C696*CG695</f>
        <v/>
      </c>
      <c r="CH696">
        <f>$C696*CH695</f>
        <v/>
      </c>
      <c r="CI696">
        <f>$C696*CI695</f>
        <v/>
      </c>
      <c r="CJ696">
        <f>$C696*CJ695</f>
        <v/>
      </c>
      <c r="CK696">
        <f>$C696*CK695</f>
        <v/>
      </c>
      <c r="CL696">
        <f>$C696*CL695</f>
        <v/>
      </c>
      <c r="CM696">
        <f>$C696*CM695</f>
        <v/>
      </c>
      <c r="CN696">
        <f>$C696*CN695</f>
        <v/>
      </c>
      <c r="CO696">
        <f>$C696*CO695</f>
        <v/>
      </c>
      <c r="CP696">
        <f>$C696*CP695</f>
        <v/>
      </c>
      <c r="CQ696">
        <f>$C696*CQ695</f>
        <v/>
      </c>
      <c r="CR696">
        <f>$C696*CR695</f>
        <v/>
      </c>
      <c r="CS696">
        <f>$C696*CS695</f>
        <v/>
      </c>
      <c r="CT696">
        <f>$C696*CT695</f>
        <v/>
      </c>
      <c r="CU696">
        <f>$C696*CU695</f>
        <v/>
      </c>
      <c r="CV696">
        <f>$C696*CV695</f>
        <v/>
      </c>
      <c r="CW696">
        <f>$C696*CW695</f>
        <v/>
      </c>
      <c r="CX696">
        <f>$C696*CX695</f>
        <v/>
      </c>
      <c r="CY696">
        <f>$C696*CY695</f>
        <v/>
      </c>
      <c r="CZ696">
        <f>$C696*CZ695</f>
        <v/>
      </c>
      <c r="DA696">
        <f>$C696*DA695</f>
        <v/>
      </c>
      <c r="DB696">
        <f>$C696*DB695</f>
        <v/>
      </c>
      <c r="DC696">
        <f>$C696*DC695</f>
        <v/>
      </c>
      <c r="DD696">
        <f>$C696*DD695</f>
        <v/>
      </c>
    </row>
    <row r="697">
      <c r="B697" t="inlineStr">
        <is>
          <t>VSP-600</t>
        </is>
      </c>
      <c r="C697" t="inlineStr">
        <is>
          <t>No. of batches</t>
        </is>
      </c>
      <c r="D697">
        <f>IFERROR(INDEX(E697:DD697,$F$1),"")</f>
        <v/>
      </c>
      <c r="E697">
        <f>IFERROR(INDEX(PP_Grid[#Data],$DE697,2),0)</f>
        <v/>
      </c>
      <c r="F697">
        <f>IFERROR(INDEX(PP_Grid[#Data],$DE697,3),0)</f>
        <v/>
      </c>
      <c r="G697">
        <f>IFERROR(INDEX(PP_Grid[#Data],$DE697,4),0)</f>
        <v/>
      </c>
      <c r="H697">
        <f>IFERROR(INDEX(PP_Grid[#Data],$DE697,5),0)</f>
        <v/>
      </c>
      <c r="I697">
        <f>IFERROR(INDEX(PP_Grid[#Data],$DE697,6),0)</f>
        <v/>
      </c>
      <c r="J697">
        <f>IFERROR(INDEX(PP_Grid[#Data],$DE697,7),0)</f>
        <v/>
      </c>
      <c r="K697">
        <f>IFERROR(INDEX(PP_Grid[#Data],$DE697,8),0)</f>
        <v/>
      </c>
      <c r="L697">
        <f>IFERROR(INDEX(PP_Grid[#Data],$DE697,9),0)</f>
        <v/>
      </c>
      <c r="M697">
        <f>IFERROR(INDEX(PP_Grid[#Data],$DE697,10),0)</f>
        <v/>
      </c>
      <c r="N697">
        <f>IFERROR(INDEX(PP_Grid[#Data],$DE697,11),0)</f>
        <v/>
      </c>
      <c r="O697">
        <f>IFERROR(INDEX(PP_Grid[#Data],$DE697,12),0)</f>
        <v/>
      </c>
      <c r="P697">
        <f>IFERROR(INDEX(PP_Grid[#Data],$DE697,13),0)</f>
        <v/>
      </c>
      <c r="Q697">
        <f>IFERROR(INDEX(PP_Grid[#Data],$DE697,14),0)</f>
        <v/>
      </c>
      <c r="R697">
        <f>IFERROR(INDEX(PP_Grid[#Data],$DE697,15),0)</f>
        <v/>
      </c>
      <c r="S697">
        <f>IFERROR(INDEX(PP_Grid[#Data],$DE697,16),0)</f>
        <v/>
      </c>
      <c r="T697">
        <f>IFERROR(INDEX(PP_Grid[#Data],$DE697,17),0)</f>
        <v/>
      </c>
      <c r="U697">
        <f>IFERROR(INDEX(PP_Grid[#Data],$DE697,18),0)</f>
        <v/>
      </c>
      <c r="V697">
        <f>IFERROR(INDEX(PP_Grid[#Data],$DE697,19),0)</f>
        <v/>
      </c>
      <c r="W697">
        <f>IFERROR(INDEX(PP_Grid[#Data],$DE697,20),0)</f>
        <v/>
      </c>
      <c r="X697">
        <f>IFERROR(INDEX(PP_Grid[#Data],$DE697,21),0)</f>
        <v/>
      </c>
      <c r="Y697">
        <f>IFERROR(INDEX(PP_Grid[#Data],$DE697,22),0)</f>
        <v/>
      </c>
      <c r="Z697">
        <f>IFERROR(INDEX(PP_Grid[#Data],$DE697,23),0)</f>
        <v/>
      </c>
      <c r="AA697">
        <f>IFERROR(INDEX(PP_Grid[#Data],$DE697,24),0)</f>
        <v/>
      </c>
      <c r="AB697">
        <f>IFERROR(INDEX(PP_Grid[#Data],$DE697,25),0)</f>
        <v/>
      </c>
      <c r="AC697">
        <f>IFERROR(INDEX(PP_Grid[#Data],$DE697,26),0)</f>
        <v/>
      </c>
      <c r="AD697">
        <f>IFERROR(INDEX(PP_Grid[#Data],$DE697,27),0)</f>
        <v/>
      </c>
      <c r="AE697">
        <f>IFERROR(INDEX(PP_Grid[#Data],$DE697,28),0)</f>
        <v/>
      </c>
      <c r="AF697">
        <f>IFERROR(INDEX(PP_Grid[#Data],$DE697,29),0)</f>
        <v/>
      </c>
      <c r="AG697">
        <f>IFERROR(INDEX(PP_Grid[#Data],$DE697,30),0)</f>
        <v/>
      </c>
      <c r="AH697">
        <f>IFERROR(INDEX(PP_Grid[#Data],$DE697,31),0)</f>
        <v/>
      </c>
      <c r="AI697">
        <f>IFERROR(INDEX(PP_Grid[#Data],$DE697,32),0)</f>
        <v/>
      </c>
      <c r="AJ697">
        <f>IFERROR(INDEX(PP_Grid[#Data],$DE697,33),0)</f>
        <v/>
      </c>
      <c r="AK697">
        <f>IFERROR(INDEX(PP_Grid[#Data],$DE697,34),0)</f>
        <v/>
      </c>
      <c r="AL697">
        <f>IFERROR(INDEX(PP_Grid[#Data],$DE697,35),0)</f>
        <v/>
      </c>
      <c r="AM697">
        <f>IFERROR(INDEX(PP_Grid[#Data],$DE697,36),0)</f>
        <v/>
      </c>
      <c r="AN697">
        <f>IFERROR(INDEX(PP_Grid[#Data],$DE697,37),0)</f>
        <v/>
      </c>
      <c r="AO697">
        <f>IFERROR(INDEX(PP_Grid[#Data],$DE697,38),0)</f>
        <v/>
      </c>
      <c r="AP697">
        <f>IFERROR(INDEX(PP_Grid[#Data],$DE697,39),0)</f>
        <v/>
      </c>
      <c r="AQ697">
        <f>IFERROR(INDEX(PP_Grid[#Data],$DE697,40),0)</f>
        <v/>
      </c>
      <c r="AR697">
        <f>IFERROR(INDEX(PP_Grid[#Data],$DE697,41),0)</f>
        <v/>
      </c>
      <c r="AS697">
        <f>IFERROR(INDEX(PP_Grid[#Data],$DE697,42),0)</f>
        <v/>
      </c>
      <c r="AT697">
        <f>IFERROR(INDEX(PP_Grid[#Data],$DE697,43),0)</f>
        <v/>
      </c>
      <c r="AU697">
        <f>IFERROR(INDEX(PP_Grid[#Data],$DE697,44),0)</f>
        <v/>
      </c>
      <c r="AV697">
        <f>IFERROR(INDEX(PP_Grid[#Data],$DE697,45),0)</f>
        <v/>
      </c>
      <c r="AW697">
        <f>IFERROR(INDEX(PP_Grid[#Data],$DE697,46),0)</f>
        <v/>
      </c>
      <c r="AX697">
        <f>IFERROR(INDEX(PP_Grid[#Data],$DE697,47),0)</f>
        <v/>
      </c>
      <c r="AY697">
        <f>IFERROR(INDEX(PP_Grid[#Data],$DE697,48),0)</f>
        <v/>
      </c>
      <c r="AZ697">
        <f>IFERROR(INDEX(PP_Grid[#Data],$DE697,49),0)</f>
        <v/>
      </c>
      <c r="BA697">
        <f>IFERROR(INDEX(PP_Grid[#Data],$DE697,50),0)</f>
        <v/>
      </c>
      <c r="BB697">
        <f>IFERROR(INDEX(PP_Grid[#Data],$DE697,51),0)</f>
        <v/>
      </c>
      <c r="BC697">
        <f>IFERROR(INDEX(PP_Grid[#Data],$DE697,52),0)</f>
        <v/>
      </c>
      <c r="BD697">
        <f>IFERROR(INDEX(PP_Grid[#Data],$DE697,53),0)</f>
        <v/>
      </c>
      <c r="BE697">
        <f>IFERROR(INDEX(PP_Grid[#Data],$DE697,54),0)</f>
        <v/>
      </c>
      <c r="BF697">
        <f>IFERROR(INDEX(PP_Grid[#Data],$DE697,55),0)</f>
        <v/>
      </c>
      <c r="BG697">
        <f>IFERROR(INDEX(PP_Grid[#Data],$DE697,56),0)</f>
        <v/>
      </c>
      <c r="BH697">
        <f>IFERROR(INDEX(PP_Grid[#Data],$DE697,57),0)</f>
        <v/>
      </c>
      <c r="BI697">
        <f>IFERROR(INDEX(PP_Grid[#Data],$DE697,58),0)</f>
        <v/>
      </c>
      <c r="BJ697">
        <f>IFERROR(INDEX(PP_Grid[#Data],$DE697,59),0)</f>
        <v/>
      </c>
      <c r="BK697">
        <f>IFERROR(INDEX(PP_Grid[#Data],$DE697,60),0)</f>
        <v/>
      </c>
      <c r="BL697">
        <f>IFERROR(INDEX(PP_Grid[#Data],$DE697,61),0)</f>
        <v/>
      </c>
      <c r="BM697">
        <f>IFERROR(INDEX(PP_Grid[#Data],$DE697,62),0)</f>
        <v/>
      </c>
      <c r="BN697">
        <f>IFERROR(INDEX(PP_Grid[#Data],$DE697,63),0)</f>
        <v/>
      </c>
      <c r="BO697">
        <f>IFERROR(INDEX(PP_Grid[#Data],$DE697,64),0)</f>
        <v/>
      </c>
      <c r="BP697">
        <f>IFERROR(INDEX(PP_Grid[#Data],$DE697,65),0)</f>
        <v/>
      </c>
      <c r="BQ697">
        <f>IFERROR(INDEX(PP_Grid[#Data],$DE697,66),0)</f>
        <v/>
      </c>
      <c r="BR697">
        <f>IFERROR(INDEX(PP_Grid[#Data],$DE697,67),0)</f>
        <v/>
      </c>
      <c r="BS697">
        <f>IFERROR(INDEX(PP_Grid[#Data],$DE697,68),0)</f>
        <v/>
      </c>
      <c r="BT697">
        <f>IFERROR(INDEX(PP_Grid[#Data],$DE697,69),0)</f>
        <v/>
      </c>
      <c r="BU697">
        <f>IFERROR(INDEX(PP_Grid[#Data],$DE697,70),0)</f>
        <v/>
      </c>
      <c r="BV697">
        <f>IFERROR(INDEX(PP_Grid[#Data],$DE697,71),0)</f>
        <v/>
      </c>
      <c r="BW697">
        <f>IFERROR(INDEX(PP_Grid[#Data],$DE697,72),0)</f>
        <v/>
      </c>
      <c r="BX697">
        <f>IFERROR(INDEX(PP_Grid[#Data],$DE697,73),0)</f>
        <v/>
      </c>
      <c r="BY697">
        <f>IFERROR(INDEX(PP_Grid[#Data],$DE697,74),0)</f>
        <v/>
      </c>
      <c r="BZ697">
        <f>IFERROR(INDEX(PP_Grid[#Data],$DE697,75),0)</f>
        <v/>
      </c>
      <c r="CA697">
        <f>IFERROR(INDEX(PP_Grid[#Data],$DE697,76),0)</f>
        <v/>
      </c>
      <c r="CB697">
        <f>IFERROR(INDEX(PP_Grid[#Data],$DE697,77),0)</f>
        <v/>
      </c>
      <c r="CC697">
        <f>IFERROR(INDEX(PP_Grid[#Data],$DE697,78),0)</f>
        <v/>
      </c>
      <c r="CD697">
        <f>IFERROR(INDEX(PP_Grid[#Data],$DE697,79),0)</f>
        <v/>
      </c>
      <c r="CE697">
        <f>IFERROR(INDEX(PP_Grid[#Data],$DE697,80),0)</f>
        <v/>
      </c>
      <c r="CF697">
        <f>IFERROR(INDEX(PP_Grid[#Data],$DE697,81),0)</f>
        <v/>
      </c>
      <c r="CG697">
        <f>IFERROR(INDEX(PP_Grid[#Data],$DE697,82),0)</f>
        <v/>
      </c>
      <c r="CH697">
        <f>IFERROR(INDEX(PP_Grid[#Data],$DE697,83),0)</f>
        <v/>
      </c>
      <c r="CI697">
        <f>IFERROR(INDEX(PP_Grid[#Data],$DE697,84),0)</f>
        <v/>
      </c>
      <c r="CJ697">
        <f>IFERROR(INDEX(PP_Grid[#Data],$DE697,85),0)</f>
        <v/>
      </c>
      <c r="CK697">
        <f>IFERROR(INDEX(PP_Grid[#Data],$DE697,86),0)</f>
        <v/>
      </c>
      <c r="CL697">
        <f>IFERROR(INDEX(PP_Grid[#Data],$DE697,87),0)</f>
        <v/>
      </c>
      <c r="CM697">
        <f>IFERROR(INDEX(PP_Grid[#Data],$DE697,88),0)</f>
        <v/>
      </c>
      <c r="CN697">
        <f>IFERROR(INDEX(PP_Grid[#Data],$DE697,89),0)</f>
        <v/>
      </c>
      <c r="CO697">
        <f>IFERROR(INDEX(PP_Grid[#Data],$DE697,90),0)</f>
        <v/>
      </c>
      <c r="CP697">
        <f>IFERROR(INDEX(PP_Grid[#Data],$DE697,91),0)</f>
        <v/>
      </c>
      <c r="CQ697">
        <f>IFERROR(INDEX(PP_Grid[#Data],$DE697,92),0)</f>
        <v/>
      </c>
      <c r="CR697">
        <f>IFERROR(INDEX(PP_Grid[#Data],$DE697,93),0)</f>
        <v/>
      </c>
      <c r="CS697">
        <f>IFERROR(INDEX(PP_Grid[#Data],$DE697,94),0)</f>
        <v/>
      </c>
      <c r="CT697">
        <f>IFERROR(INDEX(PP_Grid[#Data],$DE697,95),0)</f>
        <v/>
      </c>
      <c r="CU697">
        <f>IFERROR(INDEX(PP_Grid[#Data],$DE697,96),0)</f>
        <v/>
      </c>
      <c r="CV697">
        <f>IFERROR(INDEX(PP_Grid[#Data],$DE697,97),0)</f>
        <v/>
      </c>
      <c r="CW697">
        <f>IFERROR(INDEX(PP_Grid[#Data],$DE697,98),0)</f>
        <v/>
      </c>
      <c r="CX697">
        <f>IFERROR(INDEX(PP_Grid[#Data],$DE697,99),0)</f>
        <v/>
      </c>
      <c r="CY697">
        <f>IFERROR(INDEX(PP_Grid[#Data],$DE697,100),0)</f>
        <v/>
      </c>
      <c r="CZ697">
        <f>IFERROR(INDEX(PP_Grid[#Data],$DE697,101),0)</f>
        <v/>
      </c>
      <c r="DA697">
        <f>IFERROR(INDEX(PP_Grid[#Data],$DE697,102),0)</f>
        <v/>
      </c>
      <c r="DB697">
        <f>IFERROR(INDEX(PP_Grid[#Data],$DE697,103),0)</f>
        <v/>
      </c>
      <c r="DC697">
        <f>IFERROR(INDEX(PP_Grid[#Data],$DE697,104),0)</f>
        <v/>
      </c>
      <c r="DD697">
        <f>IFERROR(INDEX(PP_Grid[#Data],$DE697,105),0)</f>
        <v/>
      </c>
      <c r="DE697" s="7">
        <f>IFERROR(MATCH($B697,PP_Grid[Intermediate],0),99999)</f>
        <v/>
      </c>
    </row>
    <row r="698">
      <c r="B698" t="inlineStr">
        <is>
          <t>使用量(kg)</t>
        </is>
      </c>
      <c r="C698">
        <f>SUMIFS(M_BOM[RM_Qty_Per_Batch],M_BOM[Intermediate],$B697,M_BOM[RM_Code],$A636)</f>
        <v/>
      </c>
      <c r="D698">
        <f>IFERROR(INDEX(E698:DD698,$F$1),"")</f>
        <v/>
      </c>
      <c r="E698">
        <f>$C698*E697</f>
        <v/>
      </c>
      <c r="F698">
        <f>$C698*F697</f>
        <v/>
      </c>
      <c r="G698">
        <f>$C698*G697</f>
        <v/>
      </c>
      <c r="H698">
        <f>$C698*H697</f>
        <v/>
      </c>
      <c r="I698">
        <f>$C698*I697</f>
        <v/>
      </c>
      <c r="J698">
        <f>$C698*J697</f>
        <v/>
      </c>
      <c r="K698">
        <f>$C698*K697</f>
        <v/>
      </c>
      <c r="L698">
        <f>$C698*L697</f>
        <v/>
      </c>
      <c r="M698">
        <f>$C698*M697</f>
        <v/>
      </c>
      <c r="N698">
        <f>$C698*N697</f>
        <v/>
      </c>
      <c r="O698">
        <f>$C698*O697</f>
        <v/>
      </c>
      <c r="P698">
        <f>$C698*P697</f>
        <v/>
      </c>
      <c r="Q698">
        <f>$C698*Q697</f>
        <v/>
      </c>
      <c r="R698">
        <f>$C698*R697</f>
        <v/>
      </c>
      <c r="S698">
        <f>$C698*S697</f>
        <v/>
      </c>
      <c r="T698">
        <f>$C698*T697</f>
        <v/>
      </c>
      <c r="U698">
        <f>$C698*U697</f>
        <v/>
      </c>
      <c r="V698">
        <f>$C698*V697</f>
        <v/>
      </c>
      <c r="W698">
        <f>$C698*W697</f>
        <v/>
      </c>
      <c r="X698">
        <f>$C698*X697</f>
        <v/>
      </c>
      <c r="Y698">
        <f>$C698*Y697</f>
        <v/>
      </c>
      <c r="Z698">
        <f>$C698*Z697</f>
        <v/>
      </c>
      <c r="AA698">
        <f>$C698*AA697</f>
        <v/>
      </c>
      <c r="AB698">
        <f>$C698*AB697</f>
        <v/>
      </c>
      <c r="AC698">
        <f>$C698*AC697</f>
        <v/>
      </c>
      <c r="AD698">
        <f>$C698*AD697</f>
        <v/>
      </c>
      <c r="AE698">
        <f>$C698*AE697</f>
        <v/>
      </c>
      <c r="AF698">
        <f>$C698*AF697</f>
        <v/>
      </c>
      <c r="AG698">
        <f>$C698*AG697</f>
        <v/>
      </c>
      <c r="AH698">
        <f>$C698*AH697</f>
        <v/>
      </c>
      <c r="AI698">
        <f>$C698*AI697</f>
        <v/>
      </c>
      <c r="AJ698">
        <f>$C698*AJ697</f>
        <v/>
      </c>
      <c r="AK698">
        <f>$C698*AK697</f>
        <v/>
      </c>
      <c r="AL698">
        <f>$C698*AL697</f>
        <v/>
      </c>
      <c r="AM698">
        <f>$C698*AM697</f>
        <v/>
      </c>
      <c r="AN698">
        <f>$C698*AN697</f>
        <v/>
      </c>
      <c r="AO698">
        <f>$C698*AO697</f>
        <v/>
      </c>
      <c r="AP698">
        <f>$C698*AP697</f>
        <v/>
      </c>
      <c r="AQ698">
        <f>$C698*AQ697</f>
        <v/>
      </c>
      <c r="AR698">
        <f>$C698*AR697</f>
        <v/>
      </c>
      <c r="AS698">
        <f>$C698*AS697</f>
        <v/>
      </c>
      <c r="AT698">
        <f>$C698*AT697</f>
        <v/>
      </c>
      <c r="AU698">
        <f>$C698*AU697</f>
        <v/>
      </c>
      <c r="AV698">
        <f>$C698*AV697</f>
        <v/>
      </c>
      <c r="AW698">
        <f>$C698*AW697</f>
        <v/>
      </c>
      <c r="AX698">
        <f>$C698*AX697</f>
        <v/>
      </c>
      <c r="AY698">
        <f>$C698*AY697</f>
        <v/>
      </c>
      <c r="AZ698">
        <f>$C698*AZ697</f>
        <v/>
      </c>
      <c r="BA698">
        <f>$C698*BA697</f>
        <v/>
      </c>
      <c r="BB698">
        <f>$C698*BB697</f>
        <v/>
      </c>
      <c r="BC698">
        <f>$C698*BC697</f>
        <v/>
      </c>
      <c r="BD698">
        <f>$C698*BD697</f>
        <v/>
      </c>
      <c r="BE698">
        <f>$C698*BE697</f>
        <v/>
      </c>
      <c r="BF698">
        <f>$C698*BF697</f>
        <v/>
      </c>
      <c r="BG698">
        <f>$C698*BG697</f>
        <v/>
      </c>
      <c r="BH698">
        <f>$C698*BH697</f>
        <v/>
      </c>
      <c r="BI698">
        <f>$C698*BI697</f>
        <v/>
      </c>
      <c r="BJ698">
        <f>$C698*BJ697</f>
        <v/>
      </c>
      <c r="BK698">
        <f>$C698*BK697</f>
        <v/>
      </c>
      <c r="BL698">
        <f>$C698*BL697</f>
        <v/>
      </c>
      <c r="BM698">
        <f>$C698*BM697</f>
        <v/>
      </c>
      <c r="BN698">
        <f>$C698*BN697</f>
        <v/>
      </c>
      <c r="BO698">
        <f>$C698*BO697</f>
        <v/>
      </c>
      <c r="BP698">
        <f>$C698*BP697</f>
        <v/>
      </c>
      <c r="BQ698">
        <f>$C698*BQ697</f>
        <v/>
      </c>
      <c r="BR698">
        <f>$C698*BR697</f>
        <v/>
      </c>
      <c r="BS698">
        <f>$C698*BS697</f>
        <v/>
      </c>
      <c r="BT698">
        <f>$C698*BT697</f>
        <v/>
      </c>
      <c r="BU698">
        <f>$C698*BU697</f>
        <v/>
      </c>
      <c r="BV698">
        <f>$C698*BV697</f>
        <v/>
      </c>
      <c r="BW698">
        <f>$C698*BW697</f>
        <v/>
      </c>
      <c r="BX698">
        <f>$C698*BX697</f>
        <v/>
      </c>
      <c r="BY698">
        <f>$C698*BY697</f>
        <v/>
      </c>
      <c r="BZ698">
        <f>$C698*BZ697</f>
        <v/>
      </c>
      <c r="CA698">
        <f>$C698*CA697</f>
        <v/>
      </c>
      <c r="CB698">
        <f>$C698*CB697</f>
        <v/>
      </c>
      <c r="CC698">
        <f>$C698*CC697</f>
        <v/>
      </c>
      <c r="CD698">
        <f>$C698*CD697</f>
        <v/>
      </c>
      <c r="CE698">
        <f>$C698*CE697</f>
        <v/>
      </c>
      <c r="CF698">
        <f>$C698*CF697</f>
        <v/>
      </c>
      <c r="CG698">
        <f>$C698*CG697</f>
        <v/>
      </c>
      <c r="CH698">
        <f>$C698*CH697</f>
        <v/>
      </c>
      <c r="CI698">
        <f>$C698*CI697</f>
        <v/>
      </c>
      <c r="CJ698">
        <f>$C698*CJ697</f>
        <v/>
      </c>
      <c r="CK698">
        <f>$C698*CK697</f>
        <v/>
      </c>
      <c r="CL698">
        <f>$C698*CL697</f>
        <v/>
      </c>
      <c r="CM698">
        <f>$C698*CM697</f>
        <v/>
      </c>
      <c r="CN698">
        <f>$C698*CN697</f>
        <v/>
      </c>
      <c r="CO698">
        <f>$C698*CO697</f>
        <v/>
      </c>
      <c r="CP698">
        <f>$C698*CP697</f>
        <v/>
      </c>
      <c r="CQ698">
        <f>$C698*CQ697</f>
        <v/>
      </c>
      <c r="CR698">
        <f>$C698*CR697</f>
        <v/>
      </c>
      <c r="CS698">
        <f>$C698*CS697</f>
        <v/>
      </c>
      <c r="CT698">
        <f>$C698*CT697</f>
        <v/>
      </c>
      <c r="CU698">
        <f>$C698*CU697</f>
        <v/>
      </c>
      <c r="CV698">
        <f>$C698*CV697</f>
        <v/>
      </c>
      <c r="CW698">
        <f>$C698*CW697</f>
        <v/>
      </c>
      <c r="CX698">
        <f>$C698*CX697</f>
        <v/>
      </c>
      <c r="CY698">
        <f>$C698*CY697</f>
        <v/>
      </c>
      <c r="CZ698">
        <f>$C698*CZ697</f>
        <v/>
      </c>
      <c r="DA698">
        <f>$C698*DA697</f>
        <v/>
      </c>
      <c r="DB698">
        <f>$C698*DB697</f>
        <v/>
      </c>
      <c r="DC698">
        <f>$C698*DC697</f>
        <v/>
      </c>
      <c r="DD698">
        <f>$C698*DD697</f>
        <v/>
      </c>
    </row>
    <row r="699">
      <c r="B699" t="inlineStr">
        <is>
          <t>VSP-601</t>
        </is>
      </c>
      <c r="C699" t="inlineStr">
        <is>
          <t>No. of batches</t>
        </is>
      </c>
      <c r="D699">
        <f>IFERROR(INDEX(E699:DD699,$F$1),"")</f>
        <v/>
      </c>
      <c r="E699">
        <f>IFERROR(INDEX(PP_Grid[#Data],$DE699,2),0)</f>
        <v/>
      </c>
      <c r="F699">
        <f>IFERROR(INDEX(PP_Grid[#Data],$DE699,3),0)</f>
        <v/>
      </c>
      <c r="G699">
        <f>IFERROR(INDEX(PP_Grid[#Data],$DE699,4),0)</f>
        <v/>
      </c>
      <c r="H699">
        <f>IFERROR(INDEX(PP_Grid[#Data],$DE699,5),0)</f>
        <v/>
      </c>
      <c r="I699">
        <f>IFERROR(INDEX(PP_Grid[#Data],$DE699,6),0)</f>
        <v/>
      </c>
      <c r="J699">
        <f>IFERROR(INDEX(PP_Grid[#Data],$DE699,7),0)</f>
        <v/>
      </c>
      <c r="K699">
        <f>IFERROR(INDEX(PP_Grid[#Data],$DE699,8),0)</f>
        <v/>
      </c>
      <c r="L699">
        <f>IFERROR(INDEX(PP_Grid[#Data],$DE699,9),0)</f>
        <v/>
      </c>
      <c r="M699">
        <f>IFERROR(INDEX(PP_Grid[#Data],$DE699,10),0)</f>
        <v/>
      </c>
      <c r="N699">
        <f>IFERROR(INDEX(PP_Grid[#Data],$DE699,11),0)</f>
        <v/>
      </c>
      <c r="O699">
        <f>IFERROR(INDEX(PP_Grid[#Data],$DE699,12),0)</f>
        <v/>
      </c>
      <c r="P699">
        <f>IFERROR(INDEX(PP_Grid[#Data],$DE699,13),0)</f>
        <v/>
      </c>
      <c r="Q699">
        <f>IFERROR(INDEX(PP_Grid[#Data],$DE699,14),0)</f>
        <v/>
      </c>
      <c r="R699">
        <f>IFERROR(INDEX(PP_Grid[#Data],$DE699,15),0)</f>
        <v/>
      </c>
      <c r="S699">
        <f>IFERROR(INDEX(PP_Grid[#Data],$DE699,16),0)</f>
        <v/>
      </c>
      <c r="T699">
        <f>IFERROR(INDEX(PP_Grid[#Data],$DE699,17),0)</f>
        <v/>
      </c>
      <c r="U699">
        <f>IFERROR(INDEX(PP_Grid[#Data],$DE699,18),0)</f>
        <v/>
      </c>
      <c r="V699">
        <f>IFERROR(INDEX(PP_Grid[#Data],$DE699,19),0)</f>
        <v/>
      </c>
      <c r="W699">
        <f>IFERROR(INDEX(PP_Grid[#Data],$DE699,20),0)</f>
        <v/>
      </c>
      <c r="X699">
        <f>IFERROR(INDEX(PP_Grid[#Data],$DE699,21),0)</f>
        <v/>
      </c>
      <c r="Y699">
        <f>IFERROR(INDEX(PP_Grid[#Data],$DE699,22),0)</f>
        <v/>
      </c>
      <c r="Z699">
        <f>IFERROR(INDEX(PP_Grid[#Data],$DE699,23),0)</f>
        <v/>
      </c>
      <c r="AA699">
        <f>IFERROR(INDEX(PP_Grid[#Data],$DE699,24),0)</f>
        <v/>
      </c>
      <c r="AB699">
        <f>IFERROR(INDEX(PP_Grid[#Data],$DE699,25),0)</f>
        <v/>
      </c>
      <c r="AC699">
        <f>IFERROR(INDEX(PP_Grid[#Data],$DE699,26),0)</f>
        <v/>
      </c>
      <c r="AD699">
        <f>IFERROR(INDEX(PP_Grid[#Data],$DE699,27),0)</f>
        <v/>
      </c>
      <c r="AE699">
        <f>IFERROR(INDEX(PP_Grid[#Data],$DE699,28),0)</f>
        <v/>
      </c>
      <c r="AF699">
        <f>IFERROR(INDEX(PP_Grid[#Data],$DE699,29),0)</f>
        <v/>
      </c>
      <c r="AG699">
        <f>IFERROR(INDEX(PP_Grid[#Data],$DE699,30),0)</f>
        <v/>
      </c>
      <c r="AH699">
        <f>IFERROR(INDEX(PP_Grid[#Data],$DE699,31),0)</f>
        <v/>
      </c>
      <c r="AI699">
        <f>IFERROR(INDEX(PP_Grid[#Data],$DE699,32),0)</f>
        <v/>
      </c>
      <c r="AJ699">
        <f>IFERROR(INDEX(PP_Grid[#Data],$DE699,33),0)</f>
        <v/>
      </c>
      <c r="AK699">
        <f>IFERROR(INDEX(PP_Grid[#Data],$DE699,34),0)</f>
        <v/>
      </c>
      <c r="AL699">
        <f>IFERROR(INDEX(PP_Grid[#Data],$DE699,35),0)</f>
        <v/>
      </c>
      <c r="AM699">
        <f>IFERROR(INDEX(PP_Grid[#Data],$DE699,36),0)</f>
        <v/>
      </c>
      <c r="AN699">
        <f>IFERROR(INDEX(PP_Grid[#Data],$DE699,37),0)</f>
        <v/>
      </c>
      <c r="AO699">
        <f>IFERROR(INDEX(PP_Grid[#Data],$DE699,38),0)</f>
        <v/>
      </c>
      <c r="AP699">
        <f>IFERROR(INDEX(PP_Grid[#Data],$DE699,39),0)</f>
        <v/>
      </c>
      <c r="AQ699">
        <f>IFERROR(INDEX(PP_Grid[#Data],$DE699,40),0)</f>
        <v/>
      </c>
      <c r="AR699">
        <f>IFERROR(INDEX(PP_Grid[#Data],$DE699,41),0)</f>
        <v/>
      </c>
      <c r="AS699">
        <f>IFERROR(INDEX(PP_Grid[#Data],$DE699,42),0)</f>
        <v/>
      </c>
      <c r="AT699">
        <f>IFERROR(INDEX(PP_Grid[#Data],$DE699,43),0)</f>
        <v/>
      </c>
      <c r="AU699">
        <f>IFERROR(INDEX(PP_Grid[#Data],$DE699,44),0)</f>
        <v/>
      </c>
      <c r="AV699">
        <f>IFERROR(INDEX(PP_Grid[#Data],$DE699,45),0)</f>
        <v/>
      </c>
      <c r="AW699">
        <f>IFERROR(INDEX(PP_Grid[#Data],$DE699,46),0)</f>
        <v/>
      </c>
      <c r="AX699">
        <f>IFERROR(INDEX(PP_Grid[#Data],$DE699,47),0)</f>
        <v/>
      </c>
      <c r="AY699">
        <f>IFERROR(INDEX(PP_Grid[#Data],$DE699,48),0)</f>
        <v/>
      </c>
      <c r="AZ699">
        <f>IFERROR(INDEX(PP_Grid[#Data],$DE699,49),0)</f>
        <v/>
      </c>
      <c r="BA699">
        <f>IFERROR(INDEX(PP_Grid[#Data],$DE699,50),0)</f>
        <v/>
      </c>
      <c r="BB699">
        <f>IFERROR(INDEX(PP_Grid[#Data],$DE699,51),0)</f>
        <v/>
      </c>
      <c r="BC699">
        <f>IFERROR(INDEX(PP_Grid[#Data],$DE699,52),0)</f>
        <v/>
      </c>
      <c r="BD699">
        <f>IFERROR(INDEX(PP_Grid[#Data],$DE699,53),0)</f>
        <v/>
      </c>
      <c r="BE699">
        <f>IFERROR(INDEX(PP_Grid[#Data],$DE699,54),0)</f>
        <v/>
      </c>
      <c r="BF699">
        <f>IFERROR(INDEX(PP_Grid[#Data],$DE699,55),0)</f>
        <v/>
      </c>
      <c r="BG699">
        <f>IFERROR(INDEX(PP_Grid[#Data],$DE699,56),0)</f>
        <v/>
      </c>
      <c r="BH699">
        <f>IFERROR(INDEX(PP_Grid[#Data],$DE699,57),0)</f>
        <v/>
      </c>
      <c r="BI699">
        <f>IFERROR(INDEX(PP_Grid[#Data],$DE699,58),0)</f>
        <v/>
      </c>
      <c r="BJ699">
        <f>IFERROR(INDEX(PP_Grid[#Data],$DE699,59),0)</f>
        <v/>
      </c>
      <c r="BK699">
        <f>IFERROR(INDEX(PP_Grid[#Data],$DE699,60),0)</f>
        <v/>
      </c>
      <c r="BL699">
        <f>IFERROR(INDEX(PP_Grid[#Data],$DE699,61),0)</f>
        <v/>
      </c>
      <c r="BM699">
        <f>IFERROR(INDEX(PP_Grid[#Data],$DE699,62),0)</f>
        <v/>
      </c>
      <c r="BN699">
        <f>IFERROR(INDEX(PP_Grid[#Data],$DE699,63),0)</f>
        <v/>
      </c>
      <c r="BO699">
        <f>IFERROR(INDEX(PP_Grid[#Data],$DE699,64),0)</f>
        <v/>
      </c>
      <c r="BP699">
        <f>IFERROR(INDEX(PP_Grid[#Data],$DE699,65),0)</f>
        <v/>
      </c>
      <c r="BQ699">
        <f>IFERROR(INDEX(PP_Grid[#Data],$DE699,66),0)</f>
        <v/>
      </c>
      <c r="BR699">
        <f>IFERROR(INDEX(PP_Grid[#Data],$DE699,67),0)</f>
        <v/>
      </c>
      <c r="BS699">
        <f>IFERROR(INDEX(PP_Grid[#Data],$DE699,68),0)</f>
        <v/>
      </c>
      <c r="BT699">
        <f>IFERROR(INDEX(PP_Grid[#Data],$DE699,69),0)</f>
        <v/>
      </c>
      <c r="BU699">
        <f>IFERROR(INDEX(PP_Grid[#Data],$DE699,70),0)</f>
        <v/>
      </c>
      <c r="BV699">
        <f>IFERROR(INDEX(PP_Grid[#Data],$DE699,71),0)</f>
        <v/>
      </c>
      <c r="BW699">
        <f>IFERROR(INDEX(PP_Grid[#Data],$DE699,72),0)</f>
        <v/>
      </c>
      <c r="BX699">
        <f>IFERROR(INDEX(PP_Grid[#Data],$DE699,73),0)</f>
        <v/>
      </c>
      <c r="BY699">
        <f>IFERROR(INDEX(PP_Grid[#Data],$DE699,74),0)</f>
        <v/>
      </c>
      <c r="BZ699">
        <f>IFERROR(INDEX(PP_Grid[#Data],$DE699,75),0)</f>
        <v/>
      </c>
      <c r="CA699">
        <f>IFERROR(INDEX(PP_Grid[#Data],$DE699,76),0)</f>
        <v/>
      </c>
      <c r="CB699">
        <f>IFERROR(INDEX(PP_Grid[#Data],$DE699,77),0)</f>
        <v/>
      </c>
      <c r="CC699">
        <f>IFERROR(INDEX(PP_Grid[#Data],$DE699,78),0)</f>
        <v/>
      </c>
      <c r="CD699">
        <f>IFERROR(INDEX(PP_Grid[#Data],$DE699,79),0)</f>
        <v/>
      </c>
      <c r="CE699">
        <f>IFERROR(INDEX(PP_Grid[#Data],$DE699,80),0)</f>
        <v/>
      </c>
      <c r="CF699">
        <f>IFERROR(INDEX(PP_Grid[#Data],$DE699,81),0)</f>
        <v/>
      </c>
      <c r="CG699">
        <f>IFERROR(INDEX(PP_Grid[#Data],$DE699,82),0)</f>
        <v/>
      </c>
      <c r="CH699">
        <f>IFERROR(INDEX(PP_Grid[#Data],$DE699,83),0)</f>
        <v/>
      </c>
      <c r="CI699">
        <f>IFERROR(INDEX(PP_Grid[#Data],$DE699,84),0)</f>
        <v/>
      </c>
      <c r="CJ699">
        <f>IFERROR(INDEX(PP_Grid[#Data],$DE699,85),0)</f>
        <v/>
      </c>
      <c r="CK699">
        <f>IFERROR(INDEX(PP_Grid[#Data],$DE699,86),0)</f>
        <v/>
      </c>
      <c r="CL699">
        <f>IFERROR(INDEX(PP_Grid[#Data],$DE699,87),0)</f>
        <v/>
      </c>
      <c r="CM699">
        <f>IFERROR(INDEX(PP_Grid[#Data],$DE699,88),0)</f>
        <v/>
      </c>
      <c r="CN699">
        <f>IFERROR(INDEX(PP_Grid[#Data],$DE699,89),0)</f>
        <v/>
      </c>
      <c r="CO699">
        <f>IFERROR(INDEX(PP_Grid[#Data],$DE699,90),0)</f>
        <v/>
      </c>
      <c r="CP699">
        <f>IFERROR(INDEX(PP_Grid[#Data],$DE699,91),0)</f>
        <v/>
      </c>
      <c r="CQ699">
        <f>IFERROR(INDEX(PP_Grid[#Data],$DE699,92),0)</f>
        <v/>
      </c>
      <c r="CR699">
        <f>IFERROR(INDEX(PP_Grid[#Data],$DE699,93),0)</f>
        <v/>
      </c>
      <c r="CS699">
        <f>IFERROR(INDEX(PP_Grid[#Data],$DE699,94),0)</f>
        <v/>
      </c>
      <c r="CT699">
        <f>IFERROR(INDEX(PP_Grid[#Data],$DE699,95),0)</f>
        <v/>
      </c>
      <c r="CU699">
        <f>IFERROR(INDEX(PP_Grid[#Data],$DE699,96),0)</f>
        <v/>
      </c>
      <c r="CV699">
        <f>IFERROR(INDEX(PP_Grid[#Data],$DE699,97),0)</f>
        <v/>
      </c>
      <c r="CW699">
        <f>IFERROR(INDEX(PP_Grid[#Data],$DE699,98),0)</f>
        <v/>
      </c>
      <c r="CX699">
        <f>IFERROR(INDEX(PP_Grid[#Data],$DE699,99),0)</f>
        <v/>
      </c>
      <c r="CY699">
        <f>IFERROR(INDEX(PP_Grid[#Data],$DE699,100),0)</f>
        <v/>
      </c>
      <c r="CZ699">
        <f>IFERROR(INDEX(PP_Grid[#Data],$DE699,101),0)</f>
        <v/>
      </c>
      <c r="DA699">
        <f>IFERROR(INDEX(PP_Grid[#Data],$DE699,102),0)</f>
        <v/>
      </c>
      <c r="DB699">
        <f>IFERROR(INDEX(PP_Grid[#Data],$DE699,103),0)</f>
        <v/>
      </c>
      <c r="DC699">
        <f>IFERROR(INDEX(PP_Grid[#Data],$DE699,104),0)</f>
        <v/>
      </c>
      <c r="DD699">
        <f>IFERROR(INDEX(PP_Grid[#Data],$DE699,105),0)</f>
        <v/>
      </c>
      <c r="DE699" s="7">
        <f>IFERROR(MATCH($B699,PP_Grid[Intermediate],0),99999)</f>
        <v/>
      </c>
    </row>
    <row r="700">
      <c r="B700" t="inlineStr">
        <is>
          <t>使用量(kg)</t>
        </is>
      </c>
      <c r="C700">
        <f>SUMIFS(M_BOM[RM_Qty_Per_Batch],M_BOM[Intermediate],$B699,M_BOM[RM_Code],$A636)</f>
        <v/>
      </c>
      <c r="D700">
        <f>IFERROR(INDEX(E700:DD700,$F$1),"")</f>
        <v/>
      </c>
      <c r="E700">
        <f>$C700*E699</f>
        <v/>
      </c>
      <c r="F700">
        <f>$C700*F699</f>
        <v/>
      </c>
      <c r="G700">
        <f>$C700*G699</f>
        <v/>
      </c>
      <c r="H700">
        <f>$C700*H699</f>
        <v/>
      </c>
      <c r="I700">
        <f>$C700*I699</f>
        <v/>
      </c>
      <c r="J700">
        <f>$C700*J699</f>
        <v/>
      </c>
      <c r="K700">
        <f>$C700*K699</f>
        <v/>
      </c>
      <c r="L700">
        <f>$C700*L699</f>
        <v/>
      </c>
      <c r="M700">
        <f>$C700*M699</f>
        <v/>
      </c>
      <c r="N700">
        <f>$C700*N699</f>
        <v/>
      </c>
      <c r="O700">
        <f>$C700*O699</f>
        <v/>
      </c>
      <c r="P700">
        <f>$C700*P699</f>
        <v/>
      </c>
      <c r="Q700">
        <f>$C700*Q699</f>
        <v/>
      </c>
      <c r="R700">
        <f>$C700*R699</f>
        <v/>
      </c>
      <c r="S700">
        <f>$C700*S699</f>
        <v/>
      </c>
      <c r="T700">
        <f>$C700*T699</f>
        <v/>
      </c>
      <c r="U700">
        <f>$C700*U699</f>
        <v/>
      </c>
      <c r="V700">
        <f>$C700*V699</f>
        <v/>
      </c>
      <c r="W700">
        <f>$C700*W699</f>
        <v/>
      </c>
      <c r="X700">
        <f>$C700*X699</f>
        <v/>
      </c>
      <c r="Y700">
        <f>$C700*Y699</f>
        <v/>
      </c>
      <c r="Z700">
        <f>$C700*Z699</f>
        <v/>
      </c>
      <c r="AA700">
        <f>$C700*AA699</f>
        <v/>
      </c>
      <c r="AB700">
        <f>$C700*AB699</f>
        <v/>
      </c>
      <c r="AC700">
        <f>$C700*AC699</f>
        <v/>
      </c>
      <c r="AD700">
        <f>$C700*AD699</f>
        <v/>
      </c>
      <c r="AE700">
        <f>$C700*AE699</f>
        <v/>
      </c>
      <c r="AF700">
        <f>$C700*AF699</f>
        <v/>
      </c>
      <c r="AG700">
        <f>$C700*AG699</f>
        <v/>
      </c>
      <c r="AH700">
        <f>$C700*AH699</f>
        <v/>
      </c>
      <c r="AI700">
        <f>$C700*AI699</f>
        <v/>
      </c>
      <c r="AJ700">
        <f>$C700*AJ699</f>
        <v/>
      </c>
      <c r="AK700">
        <f>$C700*AK699</f>
        <v/>
      </c>
      <c r="AL700">
        <f>$C700*AL699</f>
        <v/>
      </c>
      <c r="AM700">
        <f>$C700*AM699</f>
        <v/>
      </c>
      <c r="AN700">
        <f>$C700*AN699</f>
        <v/>
      </c>
      <c r="AO700">
        <f>$C700*AO699</f>
        <v/>
      </c>
      <c r="AP700">
        <f>$C700*AP699</f>
        <v/>
      </c>
      <c r="AQ700">
        <f>$C700*AQ699</f>
        <v/>
      </c>
      <c r="AR700">
        <f>$C700*AR699</f>
        <v/>
      </c>
      <c r="AS700">
        <f>$C700*AS699</f>
        <v/>
      </c>
      <c r="AT700">
        <f>$C700*AT699</f>
        <v/>
      </c>
      <c r="AU700">
        <f>$C700*AU699</f>
        <v/>
      </c>
      <c r="AV700">
        <f>$C700*AV699</f>
        <v/>
      </c>
      <c r="AW700">
        <f>$C700*AW699</f>
        <v/>
      </c>
      <c r="AX700">
        <f>$C700*AX699</f>
        <v/>
      </c>
      <c r="AY700">
        <f>$C700*AY699</f>
        <v/>
      </c>
      <c r="AZ700">
        <f>$C700*AZ699</f>
        <v/>
      </c>
      <c r="BA700">
        <f>$C700*BA699</f>
        <v/>
      </c>
      <c r="BB700">
        <f>$C700*BB699</f>
        <v/>
      </c>
      <c r="BC700">
        <f>$C700*BC699</f>
        <v/>
      </c>
      <c r="BD700">
        <f>$C700*BD699</f>
        <v/>
      </c>
      <c r="BE700">
        <f>$C700*BE699</f>
        <v/>
      </c>
      <c r="BF700">
        <f>$C700*BF699</f>
        <v/>
      </c>
      <c r="BG700">
        <f>$C700*BG699</f>
        <v/>
      </c>
      <c r="BH700">
        <f>$C700*BH699</f>
        <v/>
      </c>
      <c r="BI700">
        <f>$C700*BI699</f>
        <v/>
      </c>
      <c r="BJ700">
        <f>$C700*BJ699</f>
        <v/>
      </c>
      <c r="BK700">
        <f>$C700*BK699</f>
        <v/>
      </c>
      <c r="BL700">
        <f>$C700*BL699</f>
        <v/>
      </c>
      <c r="BM700">
        <f>$C700*BM699</f>
        <v/>
      </c>
      <c r="BN700">
        <f>$C700*BN699</f>
        <v/>
      </c>
      <c r="BO700">
        <f>$C700*BO699</f>
        <v/>
      </c>
      <c r="BP700">
        <f>$C700*BP699</f>
        <v/>
      </c>
      <c r="BQ700">
        <f>$C700*BQ699</f>
        <v/>
      </c>
      <c r="BR700">
        <f>$C700*BR699</f>
        <v/>
      </c>
      <c r="BS700">
        <f>$C700*BS699</f>
        <v/>
      </c>
      <c r="BT700">
        <f>$C700*BT699</f>
        <v/>
      </c>
      <c r="BU700">
        <f>$C700*BU699</f>
        <v/>
      </c>
      <c r="BV700">
        <f>$C700*BV699</f>
        <v/>
      </c>
      <c r="BW700">
        <f>$C700*BW699</f>
        <v/>
      </c>
      <c r="BX700">
        <f>$C700*BX699</f>
        <v/>
      </c>
      <c r="BY700">
        <f>$C700*BY699</f>
        <v/>
      </c>
      <c r="BZ700">
        <f>$C700*BZ699</f>
        <v/>
      </c>
      <c r="CA700">
        <f>$C700*CA699</f>
        <v/>
      </c>
      <c r="CB700">
        <f>$C700*CB699</f>
        <v/>
      </c>
      <c r="CC700">
        <f>$C700*CC699</f>
        <v/>
      </c>
      <c r="CD700">
        <f>$C700*CD699</f>
        <v/>
      </c>
      <c r="CE700">
        <f>$C700*CE699</f>
        <v/>
      </c>
      <c r="CF700">
        <f>$C700*CF699</f>
        <v/>
      </c>
      <c r="CG700">
        <f>$C700*CG699</f>
        <v/>
      </c>
      <c r="CH700">
        <f>$C700*CH699</f>
        <v/>
      </c>
      <c r="CI700">
        <f>$C700*CI699</f>
        <v/>
      </c>
      <c r="CJ700">
        <f>$C700*CJ699</f>
        <v/>
      </c>
      <c r="CK700">
        <f>$C700*CK699</f>
        <v/>
      </c>
      <c r="CL700">
        <f>$C700*CL699</f>
        <v/>
      </c>
      <c r="CM700">
        <f>$C700*CM699</f>
        <v/>
      </c>
      <c r="CN700">
        <f>$C700*CN699</f>
        <v/>
      </c>
      <c r="CO700">
        <f>$C700*CO699</f>
        <v/>
      </c>
      <c r="CP700">
        <f>$C700*CP699</f>
        <v/>
      </c>
      <c r="CQ700">
        <f>$C700*CQ699</f>
        <v/>
      </c>
      <c r="CR700">
        <f>$C700*CR699</f>
        <v/>
      </c>
      <c r="CS700">
        <f>$C700*CS699</f>
        <v/>
      </c>
      <c r="CT700">
        <f>$C700*CT699</f>
        <v/>
      </c>
      <c r="CU700">
        <f>$C700*CU699</f>
        <v/>
      </c>
      <c r="CV700">
        <f>$C700*CV699</f>
        <v/>
      </c>
      <c r="CW700">
        <f>$C700*CW699</f>
        <v/>
      </c>
      <c r="CX700">
        <f>$C700*CX699</f>
        <v/>
      </c>
      <c r="CY700">
        <f>$C700*CY699</f>
        <v/>
      </c>
      <c r="CZ700">
        <f>$C700*CZ699</f>
        <v/>
      </c>
      <c r="DA700">
        <f>$C700*DA699</f>
        <v/>
      </c>
      <c r="DB700">
        <f>$C700*DB699</f>
        <v/>
      </c>
      <c r="DC700">
        <f>$C700*DC699</f>
        <v/>
      </c>
      <c r="DD700">
        <f>$C700*DD699</f>
        <v/>
      </c>
    </row>
    <row r="701">
      <c r="B701" t="inlineStr">
        <is>
          <t>VSP-602</t>
        </is>
      </c>
      <c r="C701" t="inlineStr">
        <is>
          <t>No. of batches</t>
        </is>
      </c>
      <c r="D701">
        <f>IFERROR(INDEX(E701:DD701,$F$1),"")</f>
        <v/>
      </c>
      <c r="E701">
        <f>IFERROR(INDEX(PP_Grid[#Data],$DE701,2),0)</f>
        <v/>
      </c>
      <c r="F701">
        <f>IFERROR(INDEX(PP_Grid[#Data],$DE701,3),0)</f>
        <v/>
      </c>
      <c r="G701">
        <f>IFERROR(INDEX(PP_Grid[#Data],$DE701,4),0)</f>
        <v/>
      </c>
      <c r="H701">
        <f>IFERROR(INDEX(PP_Grid[#Data],$DE701,5),0)</f>
        <v/>
      </c>
      <c r="I701">
        <f>IFERROR(INDEX(PP_Grid[#Data],$DE701,6),0)</f>
        <v/>
      </c>
      <c r="J701">
        <f>IFERROR(INDEX(PP_Grid[#Data],$DE701,7),0)</f>
        <v/>
      </c>
      <c r="K701">
        <f>IFERROR(INDEX(PP_Grid[#Data],$DE701,8),0)</f>
        <v/>
      </c>
      <c r="L701">
        <f>IFERROR(INDEX(PP_Grid[#Data],$DE701,9),0)</f>
        <v/>
      </c>
      <c r="M701">
        <f>IFERROR(INDEX(PP_Grid[#Data],$DE701,10),0)</f>
        <v/>
      </c>
      <c r="N701">
        <f>IFERROR(INDEX(PP_Grid[#Data],$DE701,11),0)</f>
        <v/>
      </c>
      <c r="O701">
        <f>IFERROR(INDEX(PP_Grid[#Data],$DE701,12),0)</f>
        <v/>
      </c>
      <c r="P701">
        <f>IFERROR(INDEX(PP_Grid[#Data],$DE701,13),0)</f>
        <v/>
      </c>
      <c r="Q701">
        <f>IFERROR(INDEX(PP_Grid[#Data],$DE701,14),0)</f>
        <v/>
      </c>
      <c r="R701">
        <f>IFERROR(INDEX(PP_Grid[#Data],$DE701,15),0)</f>
        <v/>
      </c>
      <c r="S701">
        <f>IFERROR(INDEX(PP_Grid[#Data],$DE701,16),0)</f>
        <v/>
      </c>
      <c r="T701">
        <f>IFERROR(INDEX(PP_Grid[#Data],$DE701,17),0)</f>
        <v/>
      </c>
      <c r="U701">
        <f>IFERROR(INDEX(PP_Grid[#Data],$DE701,18),0)</f>
        <v/>
      </c>
      <c r="V701">
        <f>IFERROR(INDEX(PP_Grid[#Data],$DE701,19),0)</f>
        <v/>
      </c>
      <c r="W701">
        <f>IFERROR(INDEX(PP_Grid[#Data],$DE701,20),0)</f>
        <v/>
      </c>
      <c r="X701">
        <f>IFERROR(INDEX(PP_Grid[#Data],$DE701,21),0)</f>
        <v/>
      </c>
      <c r="Y701">
        <f>IFERROR(INDEX(PP_Grid[#Data],$DE701,22),0)</f>
        <v/>
      </c>
      <c r="Z701">
        <f>IFERROR(INDEX(PP_Grid[#Data],$DE701,23),0)</f>
        <v/>
      </c>
      <c r="AA701">
        <f>IFERROR(INDEX(PP_Grid[#Data],$DE701,24),0)</f>
        <v/>
      </c>
      <c r="AB701">
        <f>IFERROR(INDEX(PP_Grid[#Data],$DE701,25),0)</f>
        <v/>
      </c>
      <c r="AC701">
        <f>IFERROR(INDEX(PP_Grid[#Data],$DE701,26),0)</f>
        <v/>
      </c>
      <c r="AD701">
        <f>IFERROR(INDEX(PP_Grid[#Data],$DE701,27),0)</f>
        <v/>
      </c>
      <c r="AE701">
        <f>IFERROR(INDEX(PP_Grid[#Data],$DE701,28),0)</f>
        <v/>
      </c>
      <c r="AF701">
        <f>IFERROR(INDEX(PP_Grid[#Data],$DE701,29),0)</f>
        <v/>
      </c>
      <c r="AG701">
        <f>IFERROR(INDEX(PP_Grid[#Data],$DE701,30),0)</f>
        <v/>
      </c>
      <c r="AH701">
        <f>IFERROR(INDEX(PP_Grid[#Data],$DE701,31),0)</f>
        <v/>
      </c>
      <c r="AI701">
        <f>IFERROR(INDEX(PP_Grid[#Data],$DE701,32),0)</f>
        <v/>
      </c>
      <c r="AJ701">
        <f>IFERROR(INDEX(PP_Grid[#Data],$DE701,33),0)</f>
        <v/>
      </c>
      <c r="AK701">
        <f>IFERROR(INDEX(PP_Grid[#Data],$DE701,34),0)</f>
        <v/>
      </c>
      <c r="AL701">
        <f>IFERROR(INDEX(PP_Grid[#Data],$DE701,35),0)</f>
        <v/>
      </c>
      <c r="AM701">
        <f>IFERROR(INDEX(PP_Grid[#Data],$DE701,36),0)</f>
        <v/>
      </c>
      <c r="AN701">
        <f>IFERROR(INDEX(PP_Grid[#Data],$DE701,37),0)</f>
        <v/>
      </c>
      <c r="AO701">
        <f>IFERROR(INDEX(PP_Grid[#Data],$DE701,38),0)</f>
        <v/>
      </c>
      <c r="AP701">
        <f>IFERROR(INDEX(PP_Grid[#Data],$DE701,39),0)</f>
        <v/>
      </c>
      <c r="AQ701">
        <f>IFERROR(INDEX(PP_Grid[#Data],$DE701,40),0)</f>
        <v/>
      </c>
      <c r="AR701">
        <f>IFERROR(INDEX(PP_Grid[#Data],$DE701,41),0)</f>
        <v/>
      </c>
      <c r="AS701">
        <f>IFERROR(INDEX(PP_Grid[#Data],$DE701,42),0)</f>
        <v/>
      </c>
      <c r="AT701">
        <f>IFERROR(INDEX(PP_Grid[#Data],$DE701,43),0)</f>
        <v/>
      </c>
      <c r="AU701">
        <f>IFERROR(INDEX(PP_Grid[#Data],$DE701,44),0)</f>
        <v/>
      </c>
      <c r="AV701">
        <f>IFERROR(INDEX(PP_Grid[#Data],$DE701,45),0)</f>
        <v/>
      </c>
      <c r="AW701">
        <f>IFERROR(INDEX(PP_Grid[#Data],$DE701,46),0)</f>
        <v/>
      </c>
      <c r="AX701">
        <f>IFERROR(INDEX(PP_Grid[#Data],$DE701,47),0)</f>
        <v/>
      </c>
      <c r="AY701">
        <f>IFERROR(INDEX(PP_Grid[#Data],$DE701,48),0)</f>
        <v/>
      </c>
      <c r="AZ701">
        <f>IFERROR(INDEX(PP_Grid[#Data],$DE701,49),0)</f>
        <v/>
      </c>
      <c r="BA701">
        <f>IFERROR(INDEX(PP_Grid[#Data],$DE701,50),0)</f>
        <v/>
      </c>
      <c r="BB701">
        <f>IFERROR(INDEX(PP_Grid[#Data],$DE701,51),0)</f>
        <v/>
      </c>
      <c r="BC701">
        <f>IFERROR(INDEX(PP_Grid[#Data],$DE701,52),0)</f>
        <v/>
      </c>
      <c r="BD701">
        <f>IFERROR(INDEX(PP_Grid[#Data],$DE701,53),0)</f>
        <v/>
      </c>
      <c r="BE701">
        <f>IFERROR(INDEX(PP_Grid[#Data],$DE701,54),0)</f>
        <v/>
      </c>
      <c r="BF701">
        <f>IFERROR(INDEX(PP_Grid[#Data],$DE701,55),0)</f>
        <v/>
      </c>
      <c r="BG701">
        <f>IFERROR(INDEX(PP_Grid[#Data],$DE701,56),0)</f>
        <v/>
      </c>
      <c r="BH701">
        <f>IFERROR(INDEX(PP_Grid[#Data],$DE701,57),0)</f>
        <v/>
      </c>
      <c r="BI701">
        <f>IFERROR(INDEX(PP_Grid[#Data],$DE701,58),0)</f>
        <v/>
      </c>
      <c r="BJ701">
        <f>IFERROR(INDEX(PP_Grid[#Data],$DE701,59),0)</f>
        <v/>
      </c>
      <c r="BK701">
        <f>IFERROR(INDEX(PP_Grid[#Data],$DE701,60),0)</f>
        <v/>
      </c>
      <c r="BL701">
        <f>IFERROR(INDEX(PP_Grid[#Data],$DE701,61),0)</f>
        <v/>
      </c>
      <c r="BM701">
        <f>IFERROR(INDEX(PP_Grid[#Data],$DE701,62),0)</f>
        <v/>
      </c>
      <c r="BN701">
        <f>IFERROR(INDEX(PP_Grid[#Data],$DE701,63),0)</f>
        <v/>
      </c>
      <c r="BO701">
        <f>IFERROR(INDEX(PP_Grid[#Data],$DE701,64),0)</f>
        <v/>
      </c>
      <c r="BP701">
        <f>IFERROR(INDEX(PP_Grid[#Data],$DE701,65),0)</f>
        <v/>
      </c>
      <c r="BQ701">
        <f>IFERROR(INDEX(PP_Grid[#Data],$DE701,66),0)</f>
        <v/>
      </c>
      <c r="BR701">
        <f>IFERROR(INDEX(PP_Grid[#Data],$DE701,67),0)</f>
        <v/>
      </c>
      <c r="BS701">
        <f>IFERROR(INDEX(PP_Grid[#Data],$DE701,68),0)</f>
        <v/>
      </c>
      <c r="BT701">
        <f>IFERROR(INDEX(PP_Grid[#Data],$DE701,69),0)</f>
        <v/>
      </c>
      <c r="BU701">
        <f>IFERROR(INDEX(PP_Grid[#Data],$DE701,70),0)</f>
        <v/>
      </c>
      <c r="BV701">
        <f>IFERROR(INDEX(PP_Grid[#Data],$DE701,71),0)</f>
        <v/>
      </c>
      <c r="BW701">
        <f>IFERROR(INDEX(PP_Grid[#Data],$DE701,72),0)</f>
        <v/>
      </c>
      <c r="BX701">
        <f>IFERROR(INDEX(PP_Grid[#Data],$DE701,73),0)</f>
        <v/>
      </c>
      <c r="BY701">
        <f>IFERROR(INDEX(PP_Grid[#Data],$DE701,74),0)</f>
        <v/>
      </c>
      <c r="BZ701">
        <f>IFERROR(INDEX(PP_Grid[#Data],$DE701,75),0)</f>
        <v/>
      </c>
      <c r="CA701">
        <f>IFERROR(INDEX(PP_Grid[#Data],$DE701,76),0)</f>
        <v/>
      </c>
      <c r="CB701">
        <f>IFERROR(INDEX(PP_Grid[#Data],$DE701,77),0)</f>
        <v/>
      </c>
      <c r="CC701">
        <f>IFERROR(INDEX(PP_Grid[#Data],$DE701,78),0)</f>
        <v/>
      </c>
      <c r="CD701">
        <f>IFERROR(INDEX(PP_Grid[#Data],$DE701,79),0)</f>
        <v/>
      </c>
      <c r="CE701">
        <f>IFERROR(INDEX(PP_Grid[#Data],$DE701,80),0)</f>
        <v/>
      </c>
      <c r="CF701">
        <f>IFERROR(INDEX(PP_Grid[#Data],$DE701,81),0)</f>
        <v/>
      </c>
      <c r="CG701">
        <f>IFERROR(INDEX(PP_Grid[#Data],$DE701,82),0)</f>
        <v/>
      </c>
      <c r="CH701">
        <f>IFERROR(INDEX(PP_Grid[#Data],$DE701,83),0)</f>
        <v/>
      </c>
      <c r="CI701">
        <f>IFERROR(INDEX(PP_Grid[#Data],$DE701,84),0)</f>
        <v/>
      </c>
      <c r="CJ701">
        <f>IFERROR(INDEX(PP_Grid[#Data],$DE701,85),0)</f>
        <v/>
      </c>
      <c r="CK701">
        <f>IFERROR(INDEX(PP_Grid[#Data],$DE701,86),0)</f>
        <v/>
      </c>
      <c r="CL701">
        <f>IFERROR(INDEX(PP_Grid[#Data],$DE701,87),0)</f>
        <v/>
      </c>
      <c r="CM701">
        <f>IFERROR(INDEX(PP_Grid[#Data],$DE701,88),0)</f>
        <v/>
      </c>
      <c r="CN701">
        <f>IFERROR(INDEX(PP_Grid[#Data],$DE701,89),0)</f>
        <v/>
      </c>
      <c r="CO701">
        <f>IFERROR(INDEX(PP_Grid[#Data],$DE701,90),0)</f>
        <v/>
      </c>
      <c r="CP701">
        <f>IFERROR(INDEX(PP_Grid[#Data],$DE701,91),0)</f>
        <v/>
      </c>
      <c r="CQ701">
        <f>IFERROR(INDEX(PP_Grid[#Data],$DE701,92),0)</f>
        <v/>
      </c>
      <c r="CR701">
        <f>IFERROR(INDEX(PP_Grid[#Data],$DE701,93),0)</f>
        <v/>
      </c>
      <c r="CS701">
        <f>IFERROR(INDEX(PP_Grid[#Data],$DE701,94),0)</f>
        <v/>
      </c>
      <c r="CT701">
        <f>IFERROR(INDEX(PP_Grid[#Data],$DE701,95),0)</f>
        <v/>
      </c>
      <c r="CU701">
        <f>IFERROR(INDEX(PP_Grid[#Data],$DE701,96),0)</f>
        <v/>
      </c>
      <c r="CV701">
        <f>IFERROR(INDEX(PP_Grid[#Data],$DE701,97),0)</f>
        <v/>
      </c>
      <c r="CW701">
        <f>IFERROR(INDEX(PP_Grid[#Data],$DE701,98),0)</f>
        <v/>
      </c>
      <c r="CX701">
        <f>IFERROR(INDEX(PP_Grid[#Data],$DE701,99),0)</f>
        <v/>
      </c>
      <c r="CY701">
        <f>IFERROR(INDEX(PP_Grid[#Data],$DE701,100),0)</f>
        <v/>
      </c>
      <c r="CZ701">
        <f>IFERROR(INDEX(PP_Grid[#Data],$DE701,101),0)</f>
        <v/>
      </c>
      <c r="DA701">
        <f>IFERROR(INDEX(PP_Grid[#Data],$DE701,102),0)</f>
        <v/>
      </c>
      <c r="DB701">
        <f>IFERROR(INDEX(PP_Grid[#Data],$DE701,103),0)</f>
        <v/>
      </c>
      <c r="DC701">
        <f>IFERROR(INDEX(PP_Grid[#Data],$DE701,104),0)</f>
        <v/>
      </c>
      <c r="DD701">
        <f>IFERROR(INDEX(PP_Grid[#Data],$DE701,105),0)</f>
        <v/>
      </c>
      <c r="DE701" s="7">
        <f>IFERROR(MATCH($B701,PP_Grid[Intermediate],0),99999)</f>
        <v/>
      </c>
    </row>
    <row r="702">
      <c r="B702" t="inlineStr">
        <is>
          <t>使用量(kg)</t>
        </is>
      </c>
      <c r="C702">
        <f>SUMIFS(M_BOM[RM_Qty_Per_Batch],M_BOM[Intermediate],$B701,M_BOM[RM_Code],$A636)</f>
        <v/>
      </c>
      <c r="D702">
        <f>IFERROR(INDEX(E702:DD702,$F$1),"")</f>
        <v/>
      </c>
      <c r="E702">
        <f>$C702*E701</f>
        <v/>
      </c>
      <c r="F702">
        <f>$C702*F701</f>
        <v/>
      </c>
      <c r="G702">
        <f>$C702*G701</f>
        <v/>
      </c>
      <c r="H702">
        <f>$C702*H701</f>
        <v/>
      </c>
      <c r="I702">
        <f>$C702*I701</f>
        <v/>
      </c>
      <c r="J702">
        <f>$C702*J701</f>
        <v/>
      </c>
      <c r="K702">
        <f>$C702*K701</f>
        <v/>
      </c>
      <c r="L702">
        <f>$C702*L701</f>
        <v/>
      </c>
      <c r="M702">
        <f>$C702*M701</f>
        <v/>
      </c>
      <c r="N702">
        <f>$C702*N701</f>
        <v/>
      </c>
      <c r="O702">
        <f>$C702*O701</f>
        <v/>
      </c>
      <c r="P702">
        <f>$C702*P701</f>
        <v/>
      </c>
      <c r="Q702">
        <f>$C702*Q701</f>
        <v/>
      </c>
      <c r="R702">
        <f>$C702*R701</f>
        <v/>
      </c>
      <c r="S702">
        <f>$C702*S701</f>
        <v/>
      </c>
      <c r="T702">
        <f>$C702*T701</f>
        <v/>
      </c>
      <c r="U702">
        <f>$C702*U701</f>
        <v/>
      </c>
      <c r="V702">
        <f>$C702*V701</f>
        <v/>
      </c>
      <c r="W702">
        <f>$C702*W701</f>
        <v/>
      </c>
      <c r="X702">
        <f>$C702*X701</f>
        <v/>
      </c>
      <c r="Y702">
        <f>$C702*Y701</f>
        <v/>
      </c>
      <c r="Z702">
        <f>$C702*Z701</f>
        <v/>
      </c>
      <c r="AA702">
        <f>$C702*AA701</f>
        <v/>
      </c>
      <c r="AB702">
        <f>$C702*AB701</f>
        <v/>
      </c>
      <c r="AC702">
        <f>$C702*AC701</f>
        <v/>
      </c>
      <c r="AD702">
        <f>$C702*AD701</f>
        <v/>
      </c>
      <c r="AE702">
        <f>$C702*AE701</f>
        <v/>
      </c>
      <c r="AF702">
        <f>$C702*AF701</f>
        <v/>
      </c>
      <c r="AG702">
        <f>$C702*AG701</f>
        <v/>
      </c>
      <c r="AH702">
        <f>$C702*AH701</f>
        <v/>
      </c>
      <c r="AI702">
        <f>$C702*AI701</f>
        <v/>
      </c>
      <c r="AJ702">
        <f>$C702*AJ701</f>
        <v/>
      </c>
      <c r="AK702">
        <f>$C702*AK701</f>
        <v/>
      </c>
      <c r="AL702">
        <f>$C702*AL701</f>
        <v/>
      </c>
      <c r="AM702">
        <f>$C702*AM701</f>
        <v/>
      </c>
      <c r="AN702">
        <f>$C702*AN701</f>
        <v/>
      </c>
      <c r="AO702">
        <f>$C702*AO701</f>
        <v/>
      </c>
      <c r="AP702">
        <f>$C702*AP701</f>
        <v/>
      </c>
      <c r="AQ702">
        <f>$C702*AQ701</f>
        <v/>
      </c>
      <c r="AR702">
        <f>$C702*AR701</f>
        <v/>
      </c>
      <c r="AS702">
        <f>$C702*AS701</f>
        <v/>
      </c>
      <c r="AT702">
        <f>$C702*AT701</f>
        <v/>
      </c>
      <c r="AU702">
        <f>$C702*AU701</f>
        <v/>
      </c>
      <c r="AV702">
        <f>$C702*AV701</f>
        <v/>
      </c>
      <c r="AW702">
        <f>$C702*AW701</f>
        <v/>
      </c>
      <c r="AX702">
        <f>$C702*AX701</f>
        <v/>
      </c>
      <c r="AY702">
        <f>$C702*AY701</f>
        <v/>
      </c>
      <c r="AZ702">
        <f>$C702*AZ701</f>
        <v/>
      </c>
      <c r="BA702">
        <f>$C702*BA701</f>
        <v/>
      </c>
      <c r="BB702">
        <f>$C702*BB701</f>
        <v/>
      </c>
      <c r="BC702">
        <f>$C702*BC701</f>
        <v/>
      </c>
      <c r="BD702">
        <f>$C702*BD701</f>
        <v/>
      </c>
      <c r="BE702">
        <f>$C702*BE701</f>
        <v/>
      </c>
      <c r="BF702">
        <f>$C702*BF701</f>
        <v/>
      </c>
      <c r="BG702">
        <f>$C702*BG701</f>
        <v/>
      </c>
      <c r="BH702">
        <f>$C702*BH701</f>
        <v/>
      </c>
      <c r="BI702">
        <f>$C702*BI701</f>
        <v/>
      </c>
      <c r="BJ702">
        <f>$C702*BJ701</f>
        <v/>
      </c>
      <c r="BK702">
        <f>$C702*BK701</f>
        <v/>
      </c>
      <c r="BL702">
        <f>$C702*BL701</f>
        <v/>
      </c>
      <c r="BM702">
        <f>$C702*BM701</f>
        <v/>
      </c>
      <c r="BN702">
        <f>$C702*BN701</f>
        <v/>
      </c>
      <c r="BO702">
        <f>$C702*BO701</f>
        <v/>
      </c>
      <c r="BP702">
        <f>$C702*BP701</f>
        <v/>
      </c>
      <c r="BQ702">
        <f>$C702*BQ701</f>
        <v/>
      </c>
      <c r="BR702">
        <f>$C702*BR701</f>
        <v/>
      </c>
      <c r="BS702">
        <f>$C702*BS701</f>
        <v/>
      </c>
      <c r="BT702">
        <f>$C702*BT701</f>
        <v/>
      </c>
      <c r="BU702">
        <f>$C702*BU701</f>
        <v/>
      </c>
      <c r="BV702">
        <f>$C702*BV701</f>
        <v/>
      </c>
      <c r="BW702">
        <f>$C702*BW701</f>
        <v/>
      </c>
      <c r="BX702">
        <f>$C702*BX701</f>
        <v/>
      </c>
      <c r="BY702">
        <f>$C702*BY701</f>
        <v/>
      </c>
      <c r="BZ702">
        <f>$C702*BZ701</f>
        <v/>
      </c>
      <c r="CA702">
        <f>$C702*CA701</f>
        <v/>
      </c>
      <c r="CB702">
        <f>$C702*CB701</f>
        <v/>
      </c>
      <c r="CC702">
        <f>$C702*CC701</f>
        <v/>
      </c>
      <c r="CD702">
        <f>$C702*CD701</f>
        <v/>
      </c>
      <c r="CE702">
        <f>$C702*CE701</f>
        <v/>
      </c>
      <c r="CF702">
        <f>$C702*CF701</f>
        <v/>
      </c>
      <c r="CG702">
        <f>$C702*CG701</f>
        <v/>
      </c>
      <c r="CH702">
        <f>$C702*CH701</f>
        <v/>
      </c>
      <c r="CI702">
        <f>$C702*CI701</f>
        <v/>
      </c>
      <c r="CJ702">
        <f>$C702*CJ701</f>
        <v/>
      </c>
      <c r="CK702">
        <f>$C702*CK701</f>
        <v/>
      </c>
      <c r="CL702">
        <f>$C702*CL701</f>
        <v/>
      </c>
      <c r="CM702">
        <f>$C702*CM701</f>
        <v/>
      </c>
      <c r="CN702">
        <f>$C702*CN701</f>
        <v/>
      </c>
      <c r="CO702">
        <f>$C702*CO701</f>
        <v/>
      </c>
      <c r="CP702">
        <f>$C702*CP701</f>
        <v/>
      </c>
      <c r="CQ702">
        <f>$C702*CQ701</f>
        <v/>
      </c>
      <c r="CR702">
        <f>$C702*CR701</f>
        <v/>
      </c>
      <c r="CS702">
        <f>$C702*CS701</f>
        <v/>
      </c>
      <c r="CT702">
        <f>$C702*CT701</f>
        <v/>
      </c>
      <c r="CU702">
        <f>$C702*CU701</f>
        <v/>
      </c>
      <c r="CV702">
        <f>$C702*CV701</f>
        <v/>
      </c>
      <c r="CW702">
        <f>$C702*CW701</f>
        <v/>
      </c>
      <c r="CX702">
        <f>$C702*CX701</f>
        <v/>
      </c>
      <c r="CY702">
        <f>$C702*CY701</f>
        <v/>
      </c>
      <c r="CZ702">
        <f>$C702*CZ701</f>
        <v/>
      </c>
      <c r="DA702">
        <f>$C702*DA701</f>
        <v/>
      </c>
      <c r="DB702">
        <f>$C702*DB701</f>
        <v/>
      </c>
      <c r="DC702">
        <f>$C702*DC701</f>
        <v/>
      </c>
      <c r="DD702">
        <f>$C702*DD701</f>
        <v/>
      </c>
    </row>
    <row r="703">
      <c r="B703" t="inlineStr">
        <is>
          <t>VSP-603</t>
        </is>
      </c>
      <c r="C703" t="inlineStr">
        <is>
          <t>No. of batches</t>
        </is>
      </c>
      <c r="D703">
        <f>IFERROR(INDEX(E703:DD703,$F$1),"")</f>
        <v/>
      </c>
      <c r="E703">
        <f>IFERROR(INDEX(PP_Grid[#Data],$DE703,2),0)</f>
        <v/>
      </c>
      <c r="F703">
        <f>IFERROR(INDEX(PP_Grid[#Data],$DE703,3),0)</f>
        <v/>
      </c>
      <c r="G703">
        <f>IFERROR(INDEX(PP_Grid[#Data],$DE703,4),0)</f>
        <v/>
      </c>
      <c r="H703">
        <f>IFERROR(INDEX(PP_Grid[#Data],$DE703,5),0)</f>
        <v/>
      </c>
      <c r="I703">
        <f>IFERROR(INDEX(PP_Grid[#Data],$DE703,6),0)</f>
        <v/>
      </c>
      <c r="J703">
        <f>IFERROR(INDEX(PP_Grid[#Data],$DE703,7),0)</f>
        <v/>
      </c>
      <c r="K703">
        <f>IFERROR(INDEX(PP_Grid[#Data],$DE703,8),0)</f>
        <v/>
      </c>
      <c r="L703">
        <f>IFERROR(INDEX(PP_Grid[#Data],$DE703,9),0)</f>
        <v/>
      </c>
      <c r="M703">
        <f>IFERROR(INDEX(PP_Grid[#Data],$DE703,10),0)</f>
        <v/>
      </c>
      <c r="N703">
        <f>IFERROR(INDEX(PP_Grid[#Data],$DE703,11),0)</f>
        <v/>
      </c>
      <c r="O703">
        <f>IFERROR(INDEX(PP_Grid[#Data],$DE703,12),0)</f>
        <v/>
      </c>
      <c r="P703">
        <f>IFERROR(INDEX(PP_Grid[#Data],$DE703,13),0)</f>
        <v/>
      </c>
      <c r="Q703">
        <f>IFERROR(INDEX(PP_Grid[#Data],$DE703,14),0)</f>
        <v/>
      </c>
      <c r="R703">
        <f>IFERROR(INDEX(PP_Grid[#Data],$DE703,15),0)</f>
        <v/>
      </c>
      <c r="S703">
        <f>IFERROR(INDEX(PP_Grid[#Data],$DE703,16),0)</f>
        <v/>
      </c>
      <c r="T703">
        <f>IFERROR(INDEX(PP_Grid[#Data],$DE703,17),0)</f>
        <v/>
      </c>
      <c r="U703">
        <f>IFERROR(INDEX(PP_Grid[#Data],$DE703,18),0)</f>
        <v/>
      </c>
      <c r="V703">
        <f>IFERROR(INDEX(PP_Grid[#Data],$DE703,19),0)</f>
        <v/>
      </c>
      <c r="W703">
        <f>IFERROR(INDEX(PP_Grid[#Data],$DE703,20),0)</f>
        <v/>
      </c>
      <c r="X703">
        <f>IFERROR(INDEX(PP_Grid[#Data],$DE703,21),0)</f>
        <v/>
      </c>
      <c r="Y703">
        <f>IFERROR(INDEX(PP_Grid[#Data],$DE703,22),0)</f>
        <v/>
      </c>
      <c r="Z703">
        <f>IFERROR(INDEX(PP_Grid[#Data],$DE703,23),0)</f>
        <v/>
      </c>
      <c r="AA703">
        <f>IFERROR(INDEX(PP_Grid[#Data],$DE703,24),0)</f>
        <v/>
      </c>
      <c r="AB703">
        <f>IFERROR(INDEX(PP_Grid[#Data],$DE703,25),0)</f>
        <v/>
      </c>
      <c r="AC703">
        <f>IFERROR(INDEX(PP_Grid[#Data],$DE703,26),0)</f>
        <v/>
      </c>
      <c r="AD703">
        <f>IFERROR(INDEX(PP_Grid[#Data],$DE703,27),0)</f>
        <v/>
      </c>
      <c r="AE703">
        <f>IFERROR(INDEX(PP_Grid[#Data],$DE703,28),0)</f>
        <v/>
      </c>
      <c r="AF703">
        <f>IFERROR(INDEX(PP_Grid[#Data],$DE703,29),0)</f>
        <v/>
      </c>
      <c r="AG703">
        <f>IFERROR(INDEX(PP_Grid[#Data],$DE703,30),0)</f>
        <v/>
      </c>
      <c r="AH703">
        <f>IFERROR(INDEX(PP_Grid[#Data],$DE703,31),0)</f>
        <v/>
      </c>
      <c r="AI703">
        <f>IFERROR(INDEX(PP_Grid[#Data],$DE703,32),0)</f>
        <v/>
      </c>
      <c r="AJ703">
        <f>IFERROR(INDEX(PP_Grid[#Data],$DE703,33),0)</f>
        <v/>
      </c>
      <c r="AK703">
        <f>IFERROR(INDEX(PP_Grid[#Data],$DE703,34),0)</f>
        <v/>
      </c>
      <c r="AL703">
        <f>IFERROR(INDEX(PP_Grid[#Data],$DE703,35),0)</f>
        <v/>
      </c>
      <c r="AM703">
        <f>IFERROR(INDEX(PP_Grid[#Data],$DE703,36),0)</f>
        <v/>
      </c>
      <c r="AN703">
        <f>IFERROR(INDEX(PP_Grid[#Data],$DE703,37),0)</f>
        <v/>
      </c>
      <c r="AO703">
        <f>IFERROR(INDEX(PP_Grid[#Data],$DE703,38),0)</f>
        <v/>
      </c>
      <c r="AP703">
        <f>IFERROR(INDEX(PP_Grid[#Data],$DE703,39),0)</f>
        <v/>
      </c>
      <c r="AQ703">
        <f>IFERROR(INDEX(PP_Grid[#Data],$DE703,40),0)</f>
        <v/>
      </c>
      <c r="AR703">
        <f>IFERROR(INDEX(PP_Grid[#Data],$DE703,41),0)</f>
        <v/>
      </c>
      <c r="AS703">
        <f>IFERROR(INDEX(PP_Grid[#Data],$DE703,42),0)</f>
        <v/>
      </c>
      <c r="AT703">
        <f>IFERROR(INDEX(PP_Grid[#Data],$DE703,43),0)</f>
        <v/>
      </c>
      <c r="AU703">
        <f>IFERROR(INDEX(PP_Grid[#Data],$DE703,44),0)</f>
        <v/>
      </c>
      <c r="AV703">
        <f>IFERROR(INDEX(PP_Grid[#Data],$DE703,45),0)</f>
        <v/>
      </c>
      <c r="AW703">
        <f>IFERROR(INDEX(PP_Grid[#Data],$DE703,46),0)</f>
        <v/>
      </c>
      <c r="AX703">
        <f>IFERROR(INDEX(PP_Grid[#Data],$DE703,47),0)</f>
        <v/>
      </c>
      <c r="AY703">
        <f>IFERROR(INDEX(PP_Grid[#Data],$DE703,48),0)</f>
        <v/>
      </c>
      <c r="AZ703">
        <f>IFERROR(INDEX(PP_Grid[#Data],$DE703,49),0)</f>
        <v/>
      </c>
      <c r="BA703">
        <f>IFERROR(INDEX(PP_Grid[#Data],$DE703,50),0)</f>
        <v/>
      </c>
      <c r="BB703">
        <f>IFERROR(INDEX(PP_Grid[#Data],$DE703,51),0)</f>
        <v/>
      </c>
      <c r="BC703">
        <f>IFERROR(INDEX(PP_Grid[#Data],$DE703,52),0)</f>
        <v/>
      </c>
      <c r="BD703">
        <f>IFERROR(INDEX(PP_Grid[#Data],$DE703,53),0)</f>
        <v/>
      </c>
      <c r="BE703">
        <f>IFERROR(INDEX(PP_Grid[#Data],$DE703,54),0)</f>
        <v/>
      </c>
      <c r="BF703">
        <f>IFERROR(INDEX(PP_Grid[#Data],$DE703,55),0)</f>
        <v/>
      </c>
      <c r="BG703">
        <f>IFERROR(INDEX(PP_Grid[#Data],$DE703,56),0)</f>
        <v/>
      </c>
      <c r="BH703">
        <f>IFERROR(INDEX(PP_Grid[#Data],$DE703,57),0)</f>
        <v/>
      </c>
      <c r="BI703">
        <f>IFERROR(INDEX(PP_Grid[#Data],$DE703,58),0)</f>
        <v/>
      </c>
      <c r="BJ703">
        <f>IFERROR(INDEX(PP_Grid[#Data],$DE703,59),0)</f>
        <v/>
      </c>
      <c r="BK703">
        <f>IFERROR(INDEX(PP_Grid[#Data],$DE703,60),0)</f>
        <v/>
      </c>
      <c r="BL703">
        <f>IFERROR(INDEX(PP_Grid[#Data],$DE703,61),0)</f>
        <v/>
      </c>
      <c r="BM703">
        <f>IFERROR(INDEX(PP_Grid[#Data],$DE703,62),0)</f>
        <v/>
      </c>
      <c r="BN703">
        <f>IFERROR(INDEX(PP_Grid[#Data],$DE703,63),0)</f>
        <v/>
      </c>
      <c r="BO703">
        <f>IFERROR(INDEX(PP_Grid[#Data],$DE703,64),0)</f>
        <v/>
      </c>
      <c r="BP703">
        <f>IFERROR(INDEX(PP_Grid[#Data],$DE703,65),0)</f>
        <v/>
      </c>
      <c r="BQ703">
        <f>IFERROR(INDEX(PP_Grid[#Data],$DE703,66),0)</f>
        <v/>
      </c>
      <c r="BR703">
        <f>IFERROR(INDEX(PP_Grid[#Data],$DE703,67),0)</f>
        <v/>
      </c>
      <c r="BS703">
        <f>IFERROR(INDEX(PP_Grid[#Data],$DE703,68),0)</f>
        <v/>
      </c>
      <c r="BT703">
        <f>IFERROR(INDEX(PP_Grid[#Data],$DE703,69),0)</f>
        <v/>
      </c>
      <c r="BU703">
        <f>IFERROR(INDEX(PP_Grid[#Data],$DE703,70),0)</f>
        <v/>
      </c>
      <c r="BV703">
        <f>IFERROR(INDEX(PP_Grid[#Data],$DE703,71),0)</f>
        <v/>
      </c>
      <c r="BW703">
        <f>IFERROR(INDEX(PP_Grid[#Data],$DE703,72),0)</f>
        <v/>
      </c>
      <c r="BX703">
        <f>IFERROR(INDEX(PP_Grid[#Data],$DE703,73),0)</f>
        <v/>
      </c>
      <c r="BY703">
        <f>IFERROR(INDEX(PP_Grid[#Data],$DE703,74),0)</f>
        <v/>
      </c>
      <c r="BZ703">
        <f>IFERROR(INDEX(PP_Grid[#Data],$DE703,75),0)</f>
        <v/>
      </c>
      <c r="CA703">
        <f>IFERROR(INDEX(PP_Grid[#Data],$DE703,76),0)</f>
        <v/>
      </c>
      <c r="CB703">
        <f>IFERROR(INDEX(PP_Grid[#Data],$DE703,77),0)</f>
        <v/>
      </c>
      <c r="CC703">
        <f>IFERROR(INDEX(PP_Grid[#Data],$DE703,78),0)</f>
        <v/>
      </c>
      <c r="CD703">
        <f>IFERROR(INDEX(PP_Grid[#Data],$DE703,79),0)</f>
        <v/>
      </c>
      <c r="CE703">
        <f>IFERROR(INDEX(PP_Grid[#Data],$DE703,80),0)</f>
        <v/>
      </c>
      <c r="CF703">
        <f>IFERROR(INDEX(PP_Grid[#Data],$DE703,81),0)</f>
        <v/>
      </c>
      <c r="CG703">
        <f>IFERROR(INDEX(PP_Grid[#Data],$DE703,82),0)</f>
        <v/>
      </c>
      <c r="CH703">
        <f>IFERROR(INDEX(PP_Grid[#Data],$DE703,83),0)</f>
        <v/>
      </c>
      <c r="CI703">
        <f>IFERROR(INDEX(PP_Grid[#Data],$DE703,84),0)</f>
        <v/>
      </c>
      <c r="CJ703">
        <f>IFERROR(INDEX(PP_Grid[#Data],$DE703,85),0)</f>
        <v/>
      </c>
      <c r="CK703">
        <f>IFERROR(INDEX(PP_Grid[#Data],$DE703,86),0)</f>
        <v/>
      </c>
      <c r="CL703">
        <f>IFERROR(INDEX(PP_Grid[#Data],$DE703,87),0)</f>
        <v/>
      </c>
      <c r="CM703">
        <f>IFERROR(INDEX(PP_Grid[#Data],$DE703,88),0)</f>
        <v/>
      </c>
      <c r="CN703">
        <f>IFERROR(INDEX(PP_Grid[#Data],$DE703,89),0)</f>
        <v/>
      </c>
      <c r="CO703">
        <f>IFERROR(INDEX(PP_Grid[#Data],$DE703,90),0)</f>
        <v/>
      </c>
      <c r="CP703">
        <f>IFERROR(INDEX(PP_Grid[#Data],$DE703,91),0)</f>
        <v/>
      </c>
      <c r="CQ703">
        <f>IFERROR(INDEX(PP_Grid[#Data],$DE703,92),0)</f>
        <v/>
      </c>
      <c r="CR703">
        <f>IFERROR(INDEX(PP_Grid[#Data],$DE703,93),0)</f>
        <v/>
      </c>
      <c r="CS703">
        <f>IFERROR(INDEX(PP_Grid[#Data],$DE703,94),0)</f>
        <v/>
      </c>
      <c r="CT703">
        <f>IFERROR(INDEX(PP_Grid[#Data],$DE703,95),0)</f>
        <v/>
      </c>
      <c r="CU703">
        <f>IFERROR(INDEX(PP_Grid[#Data],$DE703,96),0)</f>
        <v/>
      </c>
      <c r="CV703">
        <f>IFERROR(INDEX(PP_Grid[#Data],$DE703,97),0)</f>
        <v/>
      </c>
      <c r="CW703">
        <f>IFERROR(INDEX(PP_Grid[#Data],$DE703,98),0)</f>
        <v/>
      </c>
      <c r="CX703">
        <f>IFERROR(INDEX(PP_Grid[#Data],$DE703,99),0)</f>
        <v/>
      </c>
      <c r="CY703">
        <f>IFERROR(INDEX(PP_Grid[#Data],$DE703,100),0)</f>
        <v/>
      </c>
      <c r="CZ703">
        <f>IFERROR(INDEX(PP_Grid[#Data],$DE703,101),0)</f>
        <v/>
      </c>
      <c r="DA703">
        <f>IFERROR(INDEX(PP_Grid[#Data],$DE703,102),0)</f>
        <v/>
      </c>
      <c r="DB703">
        <f>IFERROR(INDEX(PP_Grid[#Data],$DE703,103),0)</f>
        <v/>
      </c>
      <c r="DC703">
        <f>IFERROR(INDEX(PP_Grid[#Data],$DE703,104),0)</f>
        <v/>
      </c>
      <c r="DD703">
        <f>IFERROR(INDEX(PP_Grid[#Data],$DE703,105),0)</f>
        <v/>
      </c>
      <c r="DE703" s="7">
        <f>IFERROR(MATCH($B703,PP_Grid[Intermediate],0),99999)</f>
        <v/>
      </c>
    </row>
    <row r="704">
      <c r="B704" t="inlineStr">
        <is>
          <t>使用量(kg)</t>
        </is>
      </c>
      <c r="C704">
        <f>SUMIFS(M_BOM[RM_Qty_Per_Batch],M_BOM[Intermediate],$B703,M_BOM[RM_Code],$A636)</f>
        <v/>
      </c>
      <c r="D704">
        <f>IFERROR(INDEX(E704:DD704,$F$1),"")</f>
        <v/>
      </c>
      <c r="E704">
        <f>$C704*E703</f>
        <v/>
      </c>
      <c r="F704">
        <f>$C704*F703</f>
        <v/>
      </c>
      <c r="G704">
        <f>$C704*G703</f>
        <v/>
      </c>
      <c r="H704">
        <f>$C704*H703</f>
        <v/>
      </c>
      <c r="I704">
        <f>$C704*I703</f>
        <v/>
      </c>
      <c r="J704">
        <f>$C704*J703</f>
        <v/>
      </c>
      <c r="K704">
        <f>$C704*K703</f>
        <v/>
      </c>
      <c r="L704">
        <f>$C704*L703</f>
        <v/>
      </c>
      <c r="M704">
        <f>$C704*M703</f>
        <v/>
      </c>
      <c r="N704">
        <f>$C704*N703</f>
        <v/>
      </c>
      <c r="O704">
        <f>$C704*O703</f>
        <v/>
      </c>
      <c r="P704">
        <f>$C704*P703</f>
        <v/>
      </c>
      <c r="Q704">
        <f>$C704*Q703</f>
        <v/>
      </c>
      <c r="R704">
        <f>$C704*R703</f>
        <v/>
      </c>
      <c r="S704">
        <f>$C704*S703</f>
        <v/>
      </c>
      <c r="T704">
        <f>$C704*T703</f>
        <v/>
      </c>
      <c r="U704">
        <f>$C704*U703</f>
        <v/>
      </c>
      <c r="V704">
        <f>$C704*V703</f>
        <v/>
      </c>
      <c r="W704">
        <f>$C704*W703</f>
        <v/>
      </c>
      <c r="X704">
        <f>$C704*X703</f>
        <v/>
      </c>
      <c r="Y704">
        <f>$C704*Y703</f>
        <v/>
      </c>
      <c r="Z704">
        <f>$C704*Z703</f>
        <v/>
      </c>
      <c r="AA704">
        <f>$C704*AA703</f>
        <v/>
      </c>
      <c r="AB704">
        <f>$C704*AB703</f>
        <v/>
      </c>
      <c r="AC704">
        <f>$C704*AC703</f>
        <v/>
      </c>
      <c r="AD704">
        <f>$C704*AD703</f>
        <v/>
      </c>
      <c r="AE704">
        <f>$C704*AE703</f>
        <v/>
      </c>
      <c r="AF704">
        <f>$C704*AF703</f>
        <v/>
      </c>
      <c r="AG704">
        <f>$C704*AG703</f>
        <v/>
      </c>
      <c r="AH704">
        <f>$C704*AH703</f>
        <v/>
      </c>
      <c r="AI704">
        <f>$C704*AI703</f>
        <v/>
      </c>
      <c r="AJ704">
        <f>$C704*AJ703</f>
        <v/>
      </c>
      <c r="AK704">
        <f>$C704*AK703</f>
        <v/>
      </c>
      <c r="AL704">
        <f>$C704*AL703</f>
        <v/>
      </c>
      <c r="AM704">
        <f>$C704*AM703</f>
        <v/>
      </c>
      <c r="AN704">
        <f>$C704*AN703</f>
        <v/>
      </c>
      <c r="AO704">
        <f>$C704*AO703</f>
        <v/>
      </c>
      <c r="AP704">
        <f>$C704*AP703</f>
        <v/>
      </c>
      <c r="AQ704">
        <f>$C704*AQ703</f>
        <v/>
      </c>
      <c r="AR704">
        <f>$C704*AR703</f>
        <v/>
      </c>
      <c r="AS704">
        <f>$C704*AS703</f>
        <v/>
      </c>
      <c r="AT704">
        <f>$C704*AT703</f>
        <v/>
      </c>
      <c r="AU704">
        <f>$C704*AU703</f>
        <v/>
      </c>
      <c r="AV704">
        <f>$C704*AV703</f>
        <v/>
      </c>
      <c r="AW704">
        <f>$C704*AW703</f>
        <v/>
      </c>
      <c r="AX704">
        <f>$C704*AX703</f>
        <v/>
      </c>
      <c r="AY704">
        <f>$C704*AY703</f>
        <v/>
      </c>
      <c r="AZ704">
        <f>$C704*AZ703</f>
        <v/>
      </c>
      <c r="BA704">
        <f>$C704*BA703</f>
        <v/>
      </c>
      <c r="BB704">
        <f>$C704*BB703</f>
        <v/>
      </c>
      <c r="BC704">
        <f>$C704*BC703</f>
        <v/>
      </c>
      <c r="BD704">
        <f>$C704*BD703</f>
        <v/>
      </c>
      <c r="BE704">
        <f>$C704*BE703</f>
        <v/>
      </c>
      <c r="BF704">
        <f>$C704*BF703</f>
        <v/>
      </c>
      <c r="BG704">
        <f>$C704*BG703</f>
        <v/>
      </c>
      <c r="BH704">
        <f>$C704*BH703</f>
        <v/>
      </c>
      <c r="BI704">
        <f>$C704*BI703</f>
        <v/>
      </c>
      <c r="BJ704">
        <f>$C704*BJ703</f>
        <v/>
      </c>
      <c r="BK704">
        <f>$C704*BK703</f>
        <v/>
      </c>
      <c r="BL704">
        <f>$C704*BL703</f>
        <v/>
      </c>
      <c r="BM704">
        <f>$C704*BM703</f>
        <v/>
      </c>
      <c r="BN704">
        <f>$C704*BN703</f>
        <v/>
      </c>
      <c r="BO704">
        <f>$C704*BO703</f>
        <v/>
      </c>
      <c r="BP704">
        <f>$C704*BP703</f>
        <v/>
      </c>
      <c r="BQ704">
        <f>$C704*BQ703</f>
        <v/>
      </c>
      <c r="BR704">
        <f>$C704*BR703</f>
        <v/>
      </c>
      <c r="BS704">
        <f>$C704*BS703</f>
        <v/>
      </c>
      <c r="BT704">
        <f>$C704*BT703</f>
        <v/>
      </c>
      <c r="BU704">
        <f>$C704*BU703</f>
        <v/>
      </c>
      <c r="BV704">
        <f>$C704*BV703</f>
        <v/>
      </c>
      <c r="BW704">
        <f>$C704*BW703</f>
        <v/>
      </c>
      <c r="BX704">
        <f>$C704*BX703</f>
        <v/>
      </c>
      <c r="BY704">
        <f>$C704*BY703</f>
        <v/>
      </c>
      <c r="BZ704">
        <f>$C704*BZ703</f>
        <v/>
      </c>
      <c r="CA704">
        <f>$C704*CA703</f>
        <v/>
      </c>
      <c r="CB704">
        <f>$C704*CB703</f>
        <v/>
      </c>
      <c r="CC704">
        <f>$C704*CC703</f>
        <v/>
      </c>
      <c r="CD704">
        <f>$C704*CD703</f>
        <v/>
      </c>
      <c r="CE704">
        <f>$C704*CE703</f>
        <v/>
      </c>
      <c r="CF704">
        <f>$C704*CF703</f>
        <v/>
      </c>
      <c r="CG704">
        <f>$C704*CG703</f>
        <v/>
      </c>
      <c r="CH704">
        <f>$C704*CH703</f>
        <v/>
      </c>
      <c r="CI704">
        <f>$C704*CI703</f>
        <v/>
      </c>
      <c r="CJ704">
        <f>$C704*CJ703</f>
        <v/>
      </c>
      <c r="CK704">
        <f>$C704*CK703</f>
        <v/>
      </c>
      <c r="CL704">
        <f>$C704*CL703</f>
        <v/>
      </c>
      <c r="CM704">
        <f>$C704*CM703</f>
        <v/>
      </c>
      <c r="CN704">
        <f>$C704*CN703</f>
        <v/>
      </c>
      <c r="CO704">
        <f>$C704*CO703</f>
        <v/>
      </c>
      <c r="CP704">
        <f>$C704*CP703</f>
        <v/>
      </c>
      <c r="CQ704">
        <f>$C704*CQ703</f>
        <v/>
      </c>
      <c r="CR704">
        <f>$C704*CR703</f>
        <v/>
      </c>
      <c r="CS704">
        <f>$C704*CS703</f>
        <v/>
      </c>
      <c r="CT704">
        <f>$C704*CT703</f>
        <v/>
      </c>
      <c r="CU704">
        <f>$C704*CU703</f>
        <v/>
      </c>
      <c r="CV704">
        <f>$C704*CV703</f>
        <v/>
      </c>
      <c r="CW704">
        <f>$C704*CW703</f>
        <v/>
      </c>
      <c r="CX704">
        <f>$C704*CX703</f>
        <v/>
      </c>
      <c r="CY704">
        <f>$C704*CY703</f>
        <v/>
      </c>
      <c r="CZ704">
        <f>$C704*CZ703</f>
        <v/>
      </c>
      <c r="DA704">
        <f>$C704*DA703</f>
        <v/>
      </c>
      <c r="DB704">
        <f>$C704*DB703</f>
        <v/>
      </c>
      <c r="DC704">
        <f>$C704*DC703</f>
        <v/>
      </c>
      <c r="DD704">
        <f>$C704*DD703</f>
        <v/>
      </c>
    </row>
    <row r="705">
      <c r="B705" t="inlineStr">
        <is>
          <t>VSP-604</t>
        </is>
      </c>
      <c r="C705" t="inlineStr">
        <is>
          <t>No. of batches</t>
        </is>
      </c>
      <c r="D705">
        <f>IFERROR(INDEX(E705:DD705,$F$1),"")</f>
        <v/>
      </c>
      <c r="E705">
        <f>IFERROR(INDEX(PP_Grid[#Data],$DE705,2),0)</f>
        <v/>
      </c>
      <c r="F705">
        <f>IFERROR(INDEX(PP_Grid[#Data],$DE705,3),0)</f>
        <v/>
      </c>
      <c r="G705">
        <f>IFERROR(INDEX(PP_Grid[#Data],$DE705,4),0)</f>
        <v/>
      </c>
      <c r="H705">
        <f>IFERROR(INDEX(PP_Grid[#Data],$DE705,5),0)</f>
        <v/>
      </c>
      <c r="I705">
        <f>IFERROR(INDEX(PP_Grid[#Data],$DE705,6),0)</f>
        <v/>
      </c>
      <c r="J705">
        <f>IFERROR(INDEX(PP_Grid[#Data],$DE705,7),0)</f>
        <v/>
      </c>
      <c r="K705">
        <f>IFERROR(INDEX(PP_Grid[#Data],$DE705,8),0)</f>
        <v/>
      </c>
      <c r="L705">
        <f>IFERROR(INDEX(PP_Grid[#Data],$DE705,9),0)</f>
        <v/>
      </c>
      <c r="M705">
        <f>IFERROR(INDEX(PP_Grid[#Data],$DE705,10),0)</f>
        <v/>
      </c>
      <c r="N705">
        <f>IFERROR(INDEX(PP_Grid[#Data],$DE705,11),0)</f>
        <v/>
      </c>
      <c r="O705">
        <f>IFERROR(INDEX(PP_Grid[#Data],$DE705,12),0)</f>
        <v/>
      </c>
      <c r="P705">
        <f>IFERROR(INDEX(PP_Grid[#Data],$DE705,13),0)</f>
        <v/>
      </c>
      <c r="Q705">
        <f>IFERROR(INDEX(PP_Grid[#Data],$DE705,14),0)</f>
        <v/>
      </c>
      <c r="R705">
        <f>IFERROR(INDEX(PP_Grid[#Data],$DE705,15),0)</f>
        <v/>
      </c>
      <c r="S705">
        <f>IFERROR(INDEX(PP_Grid[#Data],$DE705,16),0)</f>
        <v/>
      </c>
      <c r="T705">
        <f>IFERROR(INDEX(PP_Grid[#Data],$DE705,17),0)</f>
        <v/>
      </c>
      <c r="U705">
        <f>IFERROR(INDEX(PP_Grid[#Data],$DE705,18),0)</f>
        <v/>
      </c>
      <c r="V705">
        <f>IFERROR(INDEX(PP_Grid[#Data],$DE705,19),0)</f>
        <v/>
      </c>
      <c r="W705">
        <f>IFERROR(INDEX(PP_Grid[#Data],$DE705,20),0)</f>
        <v/>
      </c>
      <c r="X705">
        <f>IFERROR(INDEX(PP_Grid[#Data],$DE705,21),0)</f>
        <v/>
      </c>
      <c r="Y705">
        <f>IFERROR(INDEX(PP_Grid[#Data],$DE705,22),0)</f>
        <v/>
      </c>
      <c r="Z705">
        <f>IFERROR(INDEX(PP_Grid[#Data],$DE705,23),0)</f>
        <v/>
      </c>
      <c r="AA705">
        <f>IFERROR(INDEX(PP_Grid[#Data],$DE705,24),0)</f>
        <v/>
      </c>
      <c r="AB705">
        <f>IFERROR(INDEX(PP_Grid[#Data],$DE705,25),0)</f>
        <v/>
      </c>
      <c r="AC705">
        <f>IFERROR(INDEX(PP_Grid[#Data],$DE705,26),0)</f>
        <v/>
      </c>
      <c r="AD705">
        <f>IFERROR(INDEX(PP_Grid[#Data],$DE705,27),0)</f>
        <v/>
      </c>
      <c r="AE705">
        <f>IFERROR(INDEX(PP_Grid[#Data],$DE705,28),0)</f>
        <v/>
      </c>
      <c r="AF705">
        <f>IFERROR(INDEX(PP_Grid[#Data],$DE705,29),0)</f>
        <v/>
      </c>
      <c r="AG705">
        <f>IFERROR(INDEX(PP_Grid[#Data],$DE705,30),0)</f>
        <v/>
      </c>
      <c r="AH705">
        <f>IFERROR(INDEX(PP_Grid[#Data],$DE705,31),0)</f>
        <v/>
      </c>
      <c r="AI705">
        <f>IFERROR(INDEX(PP_Grid[#Data],$DE705,32),0)</f>
        <v/>
      </c>
      <c r="AJ705">
        <f>IFERROR(INDEX(PP_Grid[#Data],$DE705,33),0)</f>
        <v/>
      </c>
      <c r="AK705">
        <f>IFERROR(INDEX(PP_Grid[#Data],$DE705,34),0)</f>
        <v/>
      </c>
      <c r="AL705">
        <f>IFERROR(INDEX(PP_Grid[#Data],$DE705,35),0)</f>
        <v/>
      </c>
      <c r="AM705">
        <f>IFERROR(INDEX(PP_Grid[#Data],$DE705,36),0)</f>
        <v/>
      </c>
      <c r="AN705">
        <f>IFERROR(INDEX(PP_Grid[#Data],$DE705,37),0)</f>
        <v/>
      </c>
      <c r="AO705">
        <f>IFERROR(INDEX(PP_Grid[#Data],$DE705,38),0)</f>
        <v/>
      </c>
      <c r="AP705">
        <f>IFERROR(INDEX(PP_Grid[#Data],$DE705,39),0)</f>
        <v/>
      </c>
      <c r="AQ705">
        <f>IFERROR(INDEX(PP_Grid[#Data],$DE705,40),0)</f>
        <v/>
      </c>
      <c r="AR705">
        <f>IFERROR(INDEX(PP_Grid[#Data],$DE705,41),0)</f>
        <v/>
      </c>
      <c r="AS705">
        <f>IFERROR(INDEX(PP_Grid[#Data],$DE705,42),0)</f>
        <v/>
      </c>
      <c r="AT705">
        <f>IFERROR(INDEX(PP_Grid[#Data],$DE705,43),0)</f>
        <v/>
      </c>
      <c r="AU705">
        <f>IFERROR(INDEX(PP_Grid[#Data],$DE705,44),0)</f>
        <v/>
      </c>
      <c r="AV705">
        <f>IFERROR(INDEX(PP_Grid[#Data],$DE705,45),0)</f>
        <v/>
      </c>
      <c r="AW705">
        <f>IFERROR(INDEX(PP_Grid[#Data],$DE705,46),0)</f>
        <v/>
      </c>
      <c r="AX705">
        <f>IFERROR(INDEX(PP_Grid[#Data],$DE705,47),0)</f>
        <v/>
      </c>
      <c r="AY705">
        <f>IFERROR(INDEX(PP_Grid[#Data],$DE705,48),0)</f>
        <v/>
      </c>
      <c r="AZ705">
        <f>IFERROR(INDEX(PP_Grid[#Data],$DE705,49),0)</f>
        <v/>
      </c>
      <c r="BA705">
        <f>IFERROR(INDEX(PP_Grid[#Data],$DE705,50),0)</f>
        <v/>
      </c>
      <c r="BB705">
        <f>IFERROR(INDEX(PP_Grid[#Data],$DE705,51),0)</f>
        <v/>
      </c>
      <c r="BC705">
        <f>IFERROR(INDEX(PP_Grid[#Data],$DE705,52),0)</f>
        <v/>
      </c>
      <c r="BD705">
        <f>IFERROR(INDEX(PP_Grid[#Data],$DE705,53),0)</f>
        <v/>
      </c>
      <c r="BE705">
        <f>IFERROR(INDEX(PP_Grid[#Data],$DE705,54),0)</f>
        <v/>
      </c>
      <c r="BF705">
        <f>IFERROR(INDEX(PP_Grid[#Data],$DE705,55),0)</f>
        <v/>
      </c>
      <c r="BG705">
        <f>IFERROR(INDEX(PP_Grid[#Data],$DE705,56),0)</f>
        <v/>
      </c>
      <c r="BH705">
        <f>IFERROR(INDEX(PP_Grid[#Data],$DE705,57),0)</f>
        <v/>
      </c>
      <c r="BI705">
        <f>IFERROR(INDEX(PP_Grid[#Data],$DE705,58),0)</f>
        <v/>
      </c>
      <c r="BJ705">
        <f>IFERROR(INDEX(PP_Grid[#Data],$DE705,59),0)</f>
        <v/>
      </c>
      <c r="BK705">
        <f>IFERROR(INDEX(PP_Grid[#Data],$DE705,60),0)</f>
        <v/>
      </c>
      <c r="BL705">
        <f>IFERROR(INDEX(PP_Grid[#Data],$DE705,61),0)</f>
        <v/>
      </c>
      <c r="BM705">
        <f>IFERROR(INDEX(PP_Grid[#Data],$DE705,62),0)</f>
        <v/>
      </c>
      <c r="BN705">
        <f>IFERROR(INDEX(PP_Grid[#Data],$DE705,63),0)</f>
        <v/>
      </c>
      <c r="BO705">
        <f>IFERROR(INDEX(PP_Grid[#Data],$DE705,64),0)</f>
        <v/>
      </c>
      <c r="BP705">
        <f>IFERROR(INDEX(PP_Grid[#Data],$DE705,65),0)</f>
        <v/>
      </c>
      <c r="BQ705">
        <f>IFERROR(INDEX(PP_Grid[#Data],$DE705,66),0)</f>
        <v/>
      </c>
      <c r="BR705">
        <f>IFERROR(INDEX(PP_Grid[#Data],$DE705,67),0)</f>
        <v/>
      </c>
      <c r="BS705">
        <f>IFERROR(INDEX(PP_Grid[#Data],$DE705,68),0)</f>
        <v/>
      </c>
      <c r="BT705">
        <f>IFERROR(INDEX(PP_Grid[#Data],$DE705,69),0)</f>
        <v/>
      </c>
      <c r="BU705">
        <f>IFERROR(INDEX(PP_Grid[#Data],$DE705,70),0)</f>
        <v/>
      </c>
      <c r="BV705">
        <f>IFERROR(INDEX(PP_Grid[#Data],$DE705,71),0)</f>
        <v/>
      </c>
      <c r="BW705">
        <f>IFERROR(INDEX(PP_Grid[#Data],$DE705,72),0)</f>
        <v/>
      </c>
      <c r="BX705">
        <f>IFERROR(INDEX(PP_Grid[#Data],$DE705,73),0)</f>
        <v/>
      </c>
      <c r="BY705">
        <f>IFERROR(INDEX(PP_Grid[#Data],$DE705,74),0)</f>
        <v/>
      </c>
      <c r="BZ705">
        <f>IFERROR(INDEX(PP_Grid[#Data],$DE705,75),0)</f>
        <v/>
      </c>
      <c r="CA705">
        <f>IFERROR(INDEX(PP_Grid[#Data],$DE705,76),0)</f>
        <v/>
      </c>
      <c r="CB705">
        <f>IFERROR(INDEX(PP_Grid[#Data],$DE705,77),0)</f>
        <v/>
      </c>
      <c r="CC705">
        <f>IFERROR(INDEX(PP_Grid[#Data],$DE705,78),0)</f>
        <v/>
      </c>
      <c r="CD705">
        <f>IFERROR(INDEX(PP_Grid[#Data],$DE705,79),0)</f>
        <v/>
      </c>
      <c r="CE705">
        <f>IFERROR(INDEX(PP_Grid[#Data],$DE705,80),0)</f>
        <v/>
      </c>
      <c r="CF705">
        <f>IFERROR(INDEX(PP_Grid[#Data],$DE705,81),0)</f>
        <v/>
      </c>
      <c r="CG705">
        <f>IFERROR(INDEX(PP_Grid[#Data],$DE705,82),0)</f>
        <v/>
      </c>
      <c r="CH705">
        <f>IFERROR(INDEX(PP_Grid[#Data],$DE705,83),0)</f>
        <v/>
      </c>
      <c r="CI705">
        <f>IFERROR(INDEX(PP_Grid[#Data],$DE705,84),0)</f>
        <v/>
      </c>
      <c r="CJ705">
        <f>IFERROR(INDEX(PP_Grid[#Data],$DE705,85),0)</f>
        <v/>
      </c>
      <c r="CK705">
        <f>IFERROR(INDEX(PP_Grid[#Data],$DE705,86),0)</f>
        <v/>
      </c>
      <c r="CL705">
        <f>IFERROR(INDEX(PP_Grid[#Data],$DE705,87),0)</f>
        <v/>
      </c>
      <c r="CM705">
        <f>IFERROR(INDEX(PP_Grid[#Data],$DE705,88),0)</f>
        <v/>
      </c>
      <c r="CN705">
        <f>IFERROR(INDEX(PP_Grid[#Data],$DE705,89),0)</f>
        <v/>
      </c>
      <c r="CO705">
        <f>IFERROR(INDEX(PP_Grid[#Data],$DE705,90),0)</f>
        <v/>
      </c>
      <c r="CP705">
        <f>IFERROR(INDEX(PP_Grid[#Data],$DE705,91),0)</f>
        <v/>
      </c>
      <c r="CQ705">
        <f>IFERROR(INDEX(PP_Grid[#Data],$DE705,92),0)</f>
        <v/>
      </c>
      <c r="CR705">
        <f>IFERROR(INDEX(PP_Grid[#Data],$DE705,93),0)</f>
        <v/>
      </c>
      <c r="CS705">
        <f>IFERROR(INDEX(PP_Grid[#Data],$DE705,94),0)</f>
        <v/>
      </c>
      <c r="CT705">
        <f>IFERROR(INDEX(PP_Grid[#Data],$DE705,95),0)</f>
        <v/>
      </c>
      <c r="CU705">
        <f>IFERROR(INDEX(PP_Grid[#Data],$DE705,96),0)</f>
        <v/>
      </c>
      <c r="CV705">
        <f>IFERROR(INDEX(PP_Grid[#Data],$DE705,97),0)</f>
        <v/>
      </c>
      <c r="CW705">
        <f>IFERROR(INDEX(PP_Grid[#Data],$DE705,98),0)</f>
        <v/>
      </c>
      <c r="CX705">
        <f>IFERROR(INDEX(PP_Grid[#Data],$DE705,99),0)</f>
        <v/>
      </c>
      <c r="CY705">
        <f>IFERROR(INDEX(PP_Grid[#Data],$DE705,100),0)</f>
        <v/>
      </c>
      <c r="CZ705">
        <f>IFERROR(INDEX(PP_Grid[#Data],$DE705,101),0)</f>
        <v/>
      </c>
      <c r="DA705">
        <f>IFERROR(INDEX(PP_Grid[#Data],$DE705,102),0)</f>
        <v/>
      </c>
      <c r="DB705">
        <f>IFERROR(INDEX(PP_Grid[#Data],$DE705,103),0)</f>
        <v/>
      </c>
      <c r="DC705">
        <f>IFERROR(INDEX(PP_Grid[#Data],$DE705,104),0)</f>
        <v/>
      </c>
      <c r="DD705">
        <f>IFERROR(INDEX(PP_Grid[#Data],$DE705,105),0)</f>
        <v/>
      </c>
      <c r="DE705" s="7">
        <f>IFERROR(MATCH($B705,PP_Grid[Intermediate],0),99999)</f>
        <v/>
      </c>
    </row>
    <row r="706">
      <c r="B706" t="inlineStr">
        <is>
          <t>使用量(kg)</t>
        </is>
      </c>
      <c r="C706">
        <f>SUMIFS(M_BOM[RM_Qty_Per_Batch],M_BOM[Intermediate],$B705,M_BOM[RM_Code],$A636)</f>
        <v/>
      </c>
      <c r="D706">
        <f>IFERROR(INDEX(E706:DD706,$F$1),"")</f>
        <v/>
      </c>
      <c r="E706">
        <f>$C706*E705</f>
        <v/>
      </c>
      <c r="F706">
        <f>$C706*F705</f>
        <v/>
      </c>
      <c r="G706">
        <f>$C706*G705</f>
        <v/>
      </c>
      <c r="H706">
        <f>$C706*H705</f>
        <v/>
      </c>
      <c r="I706">
        <f>$C706*I705</f>
        <v/>
      </c>
      <c r="J706">
        <f>$C706*J705</f>
        <v/>
      </c>
      <c r="K706">
        <f>$C706*K705</f>
        <v/>
      </c>
      <c r="L706">
        <f>$C706*L705</f>
        <v/>
      </c>
      <c r="M706">
        <f>$C706*M705</f>
        <v/>
      </c>
      <c r="N706">
        <f>$C706*N705</f>
        <v/>
      </c>
      <c r="O706">
        <f>$C706*O705</f>
        <v/>
      </c>
      <c r="P706">
        <f>$C706*P705</f>
        <v/>
      </c>
      <c r="Q706">
        <f>$C706*Q705</f>
        <v/>
      </c>
      <c r="R706">
        <f>$C706*R705</f>
        <v/>
      </c>
      <c r="S706">
        <f>$C706*S705</f>
        <v/>
      </c>
      <c r="T706">
        <f>$C706*T705</f>
        <v/>
      </c>
      <c r="U706">
        <f>$C706*U705</f>
        <v/>
      </c>
      <c r="V706">
        <f>$C706*V705</f>
        <v/>
      </c>
      <c r="W706">
        <f>$C706*W705</f>
        <v/>
      </c>
      <c r="X706">
        <f>$C706*X705</f>
        <v/>
      </c>
      <c r="Y706">
        <f>$C706*Y705</f>
        <v/>
      </c>
      <c r="Z706">
        <f>$C706*Z705</f>
        <v/>
      </c>
      <c r="AA706">
        <f>$C706*AA705</f>
        <v/>
      </c>
      <c r="AB706">
        <f>$C706*AB705</f>
        <v/>
      </c>
      <c r="AC706">
        <f>$C706*AC705</f>
        <v/>
      </c>
      <c r="AD706">
        <f>$C706*AD705</f>
        <v/>
      </c>
      <c r="AE706">
        <f>$C706*AE705</f>
        <v/>
      </c>
      <c r="AF706">
        <f>$C706*AF705</f>
        <v/>
      </c>
      <c r="AG706">
        <f>$C706*AG705</f>
        <v/>
      </c>
      <c r="AH706">
        <f>$C706*AH705</f>
        <v/>
      </c>
      <c r="AI706">
        <f>$C706*AI705</f>
        <v/>
      </c>
      <c r="AJ706">
        <f>$C706*AJ705</f>
        <v/>
      </c>
      <c r="AK706">
        <f>$C706*AK705</f>
        <v/>
      </c>
      <c r="AL706">
        <f>$C706*AL705</f>
        <v/>
      </c>
      <c r="AM706">
        <f>$C706*AM705</f>
        <v/>
      </c>
      <c r="AN706">
        <f>$C706*AN705</f>
        <v/>
      </c>
      <c r="AO706">
        <f>$C706*AO705</f>
        <v/>
      </c>
      <c r="AP706">
        <f>$C706*AP705</f>
        <v/>
      </c>
      <c r="AQ706">
        <f>$C706*AQ705</f>
        <v/>
      </c>
      <c r="AR706">
        <f>$C706*AR705</f>
        <v/>
      </c>
      <c r="AS706">
        <f>$C706*AS705</f>
        <v/>
      </c>
      <c r="AT706">
        <f>$C706*AT705</f>
        <v/>
      </c>
      <c r="AU706">
        <f>$C706*AU705</f>
        <v/>
      </c>
      <c r="AV706">
        <f>$C706*AV705</f>
        <v/>
      </c>
      <c r="AW706">
        <f>$C706*AW705</f>
        <v/>
      </c>
      <c r="AX706">
        <f>$C706*AX705</f>
        <v/>
      </c>
      <c r="AY706">
        <f>$C706*AY705</f>
        <v/>
      </c>
      <c r="AZ706">
        <f>$C706*AZ705</f>
        <v/>
      </c>
      <c r="BA706">
        <f>$C706*BA705</f>
        <v/>
      </c>
      <c r="BB706">
        <f>$C706*BB705</f>
        <v/>
      </c>
      <c r="BC706">
        <f>$C706*BC705</f>
        <v/>
      </c>
      <c r="BD706">
        <f>$C706*BD705</f>
        <v/>
      </c>
      <c r="BE706">
        <f>$C706*BE705</f>
        <v/>
      </c>
      <c r="BF706">
        <f>$C706*BF705</f>
        <v/>
      </c>
      <c r="BG706">
        <f>$C706*BG705</f>
        <v/>
      </c>
      <c r="BH706">
        <f>$C706*BH705</f>
        <v/>
      </c>
      <c r="BI706">
        <f>$C706*BI705</f>
        <v/>
      </c>
      <c r="BJ706">
        <f>$C706*BJ705</f>
        <v/>
      </c>
      <c r="BK706">
        <f>$C706*BK705</f>
        <v/>
      </c>
      <c r="BL706">
        <f>$C706*BL705</f>
        <v/>
      </c>
      <c r="BM706">
        <f>$C706*BM705</f>
        <v/>
      </c>
      <c r="BN706">
        <f>$C706*BN705</f>
        <v/>
      </c>
      <c r="BO706">
        <f>$C706*BO705</f>
        <v/>
      </c>
      <c r="BP706">
        <f>$C706*BP705</f>
        <v/>
      </c>
      <c r="BQ706">
        <f>$C706*BQ705</f>
        <v/>
      </c>
      <c r="BR706">
        <f>$C706*BR705</f>
        <v/>
      </c>
      <c r="BS706">
        <f>$C706*BS705</f>
        <v/>
      </c>
      <c r="BT706">
        <f>$C706*BT705</f>
        <v/>
      </c>
      <c r="BU706">
        <f>$C706*BU705</f>
        <v/>
      </c>
      <c r="BV706">
        <f>$C706*BV705</f>
        <v/>
      </c>
      <c r="BW706">
        <f>$C706*BW705</f>
        <v/>
      </c>
      <c r="BX706">
        <f>$C706*BX705</f>
        <v/>
      </c>
      <c r="BY706">
        <f>$C706*BY705</f>
        <v/>
      </c>
      <c r="BZ706">
        <f>$C706*BZ705</f>
        <v/>
      </c>
      <c r="CA706">
        <f>$C706*CA705</f>
        <v/>
      </c>
      <c r="CB706">
        <f>$C706*CB705</f>
        <v/>
      </c>
      <c r="CC706">
        <f>$C706*CC705</f>
        <v/>
      </c>
      <c r="CD706">
        <f>$C706*CD705</f>
        <v/>
      </c>
      <c r="CE706">
        <f>$C706*CE705</f>
        <v/>
      </c>
      <c r="CF706">
        <f>$C706*CF705</f>
        <v/>
      </c>
      <c r="CG706">
        <f>$C706*CG705</f>
        <v/>
      </c>
      <c r="CH706">
        <f>$C706*CH705</f>
        <v/>
      </c>
      <c r="CI706">
        <f>$C706*CI705</f>
        <v/>
      </c>
      <c r="CJ706">
        <f>$C706*CJ705</f>
        <v/>
      </c>
      <c r="CK706">
        <f>$C706*CK705</f>
        <v/>
      </c>
      <c r="CL706">
        <f>$C706*CL705</f>
        <v/>
      </c>
      <c r="CM706">
        <f>$C706*CM705</f>
        <v/>
      </c>
      <c r="CN706">
        <f>$C706*CN705</f>
        <v/>
      </c>
      <c r="CO706">
        <f>$C706*CO705</f>
        <v/>
      </c>
      <c r="CP706">
        <f>$C706*CP705</f>
        <v/>
      </c>
      <c r="CQ706">
        <f>$C706*CQ705</f>
        <v/>
      </c>
      <c r="CR706">
        <f>$C706*CR705</f>
        <v/>
      </c>
      <c r="CS706">
        <f>$C706*CS705</f>
        <v/>
      </c>
      <c r="CT706">
        <f>$C706*CT705</f>
        <v/>
      </c>
      <c r="CU706">
        <f>$C706*CU705</f>
        <v/>
      </c>
      <c r="CV706">
        <f>$C706*CV705</f>
        <v/>
      </c>
      <c r="CW706">
        <f>$C706*CW705</f>
        <v/>
      </c>
      <c r="CX706">
        <f>$C706*CX705</f>
        <v/>
      </c>
      <c r="CY706">
        <f>$C706*CY705</f>
        <v/>
      </c>
      <c r="CZ706">
        <f>$C706*CZ705</f>
        <v/>
      </c>
      <c r="DA706">
        <f>$C706*DA705</f>
        <v/>
      </c>
      <c r="DB706">
        <f>$C706*DB705</f>
        <v/>
      </c>
      <c r="DC706">
        <f>$C706*DC705</f>
        <v/>
      </c>
      <c r="DD706">
        <f>$C706*DD705</f>
        <v/>
      </c>
    </row>
    <row r="707">
      <c r="B707" t="inlineStr">
        <is>
          <t>VSP-605</t>
        </is>
      </c>
      <c r="C707" t="inlineStr">
        <is>
          <t>No. of batches</t>
        </is>
      </c>
      <c r="D707">
        <f>IFERROR(INDEX(E707:DD707,$F$1),"")</f>
        <v/>
      </c>
      <c r="E707">
        <f>IFERROR(INDEX(PP_Grid[#Data],$DE707,2),0)</f>
        <v/>
      </c>
      <c r="F707">
        <f>IFERROR(INDEX(PP_Grid[#Data],$DE707,3),0)</f>
        <v/>
      </c>
      <c r="G707">
        <f>IFERROR(INDEX(PP_Grid[#Data],$DE707,4),0)</f>
        <v/>
      </c>
      <c r="H707">
        <f>IFERROR(INDEX(PP_Grid[#Data],$DE707,5),0)</f>
        <v/>
      </c>
      <c r="I707">
        <f>IFERROR(INDEX(PP_Grid[#Data],$DE707,6),0)</f>
        <v/>
      </c>
      <c r="J707">
        <f>IFERROR(INDEX(PP_Grid[#Data],$DE707,7),0)</f>
        <v/>
      </c>
      <c r="K707">
        <f>IFERROR(INDEX(PP_Grid[#Data],$DE707,8),0)</f>
        <v/>
      </c>
      <c r="L707">
        <f>IFERROR(INDEX(PP_Grid[#Data],$DE707,9),0)</f>
        <v/>
      </c>
      <c r="M707">
        <f>IFERROR(INDEX(PP_Grid[#Data],$DE707,10),0)</f>
        <v/>
      </c>
      <c r="N707">
        <f>IFERROR(INDEX(PP_Grid[#Data],$DE707,11),0)</f>
        <v/>
      </c>
      <c r="O707">
        <f>IFERROR(INDEX(PP_Grid[#Data],$DE707,12),0)</f>
        <v/>
      </c>
      <c r="P707">
        <f>IFERROR(INDEX(PP_Grid[#Data],$DE707,13),0)</f>
        <v/>
      </c>
      <c r="Q707">
        <f>IFERROR(INDEX(PP_Grid[#Data],$DE707,14),0)</f>
        <v/>
      </c>
      <c r="R707">
        <f>IFERROR(INDEX(PP_Grid[#Data],$DE707,15),0)</f>
        <v/>
      </c>
      <c r="S707">
        <f>IFERROR(INDEX(PP_Grid[#Data],$DE707,16),0)</f>
        <v/>
      </c>
      <c r="T707">
        <f>IFERROR(INDEX(PP_Grid[#Data],$DE707,17),0)</f>
        <v/>
      </c>
      <c r="U707">
        <f>IFERROR(INDEX(PP_Grid[#Data],$DE707,18),0)</f>
        <v/>
      </c>
      <c r="V707">
        <f>IFERROR(INDEX(PP_Grid[#Data],$DE707,19),0)</f>
        <v/>
      </c>
      <c r="W707">
        <f>IFERROR(INDEX(PP_Grid[#Data],$DE707,20),0)</f>
        <v/>
      </c>
      <c r="X707">
        <f>IFERROR(INDEX(PP_Grid[#Data],$DE707,21),0)</f>
        <v/>
      </c>
      <c r="Y707">
        <f>IFERROR(INDEX(PP_Grid[#Data],$DE707,22),0)</f>
        <v/>
      </c>
      <c r="Z707">
        <f>IFERROR(INDEX(PP_Grid[#Data],$DE707,23),0)</f>
        <v/>
      </c>
      <c r="AA707">
        <f>IFERROR(INDEX(PP_Grid[#Data],$DE707,24),0)</f>
        <v/>
      </c>
      <c r="AB707">
        <f>IFERROR(INDEX(PP_Grid[#Data],$DE707,25),0)</f>
        <v/>
      </c>
      <c r="AC707">
        <f>IFERROR(INDEX(PP_Grid[#Data],$DE707,26),0)</f>
        <v/>
      </c>
      <c r="AD707">
        <f>IFERROR(INDEX(PP_Grid[#Data],$DE707,27),0)</f>
        <v/>
      </c>
      <c r="AE707">
        <f>IFERROR(INDEX(PP_Grid[#Data],$DE707,28),0)</f>
        <v/>
      </c>
      <c r="AF707">
        <f>IFERROR(INDEX(PP_Grid[#Data],$DE707,29),0)</f>
        <v/>
      </c>
      <c r="AG707">
        <f>IFERROR(INDEX(PP_Grid[#Data],$DE707,30),0)</f>
        <v/>
      </c>
      <c r="AH707">
        <f>IFERROR(INDEX(PP_Grid[#Data],$DE707,31),0)</f>
        <v/>
      </c>
      <c r="AI707">
        <f>IFERROR(INDEX(PP_Grid[#Data],$DE707,32),0)</f>
        <v/>
      </c>
      <c r="AJ707">
        <f>IFERROR(INDEX(PP_Grid[#Data],$DE707,33),0)</f>
        <v/>
      </c>
      <c r="AK707">
        <f>IFERROR(INDEX(PP_Grid[#Data],$DE707,34),0)</f>
        <v/>
      </c>
      <c r="AL707">
        <f>IFERROR(INDEX(PP_Grid[#Data],$DE707,35),0)</f>
        <v/>
      </c>
      <c r="AM707">
        <f>IFERROR(INDEX(PP_Grid[#Data],$DE707,36),0)</f>
        <v/>
      </c>
      <c r="AN707">
        <f>IFERROR(INDEX(PP_Grid[#Data],$DE707,37),0)</f>
        <v/>
      </c>
      <c r="AO707">
        <f>IFERROR(INDEX(PP_Grid[#Data],$DE707,38),0)</f>
        <v/>
      </c>
      <c r="AP707">
        <f>IFERROR(INDEX(PP_Grid[#Data],$DE707,39),0)</f>
        <v/>
      </c>
      <c r="AQ707">
        <f>IFERROR(INDEX(PP_Grid[#Data],$DE707,40),0)</f>
        <v/>
      </c>
      <c r="AR707">
        <f>IFERROR(INDEX(PP_Grid[#Data],$DE707,41),0)</f>
        <v/>
      </c>
      <c r="AS707">
        <f>IFERROR(INDEX(PP_Grid[#Data],$DE707,42),0)</f>
        <v/>
      </c>
      <c r="AT707">
        <f>IFERROR(INDEX(PP_Grid[#Data],$DE707,43),0)</f>
        <v/>
      </c>
      <c r="AU707">
        <f>IFERROR(INDEX(PP_Grid[#Data],$DE707,44),0)</f>
        <v/>
      </c>
      <c r="AV707">
        <f>IFERROR(INDEX(PP_Grid[#Data],$DE707,45),0)</f>
        <v/>
      </c>
      <c r="AW707">
        <f>IFERROR(INDEX(PP_Grid[#Data],$DE707,46),0)</f>
        <v/>
      </c>
      <c r="AX707">
        <f>IFERROR(INDEX(PP_Grid[#Data],$DE707,47),0)</f>
        <v/>
      </c>
      <c r="AY707">
        <f>IFERROR(INDEX(PP_Grid[#Data],$DE707,48),0)</f>
        <v/>
      </c>
      <c r="AZ707">
        <f>IFERROR(INDEX(PP_Grid[#Data],$DE707,49),0)</f>
        <v/>
      </c>
      <c r="BA707">
        <f>IFERROR(INDEX(PP_Grid[#Data],$DE707,50),0)</f>
        <v/>
      </c>
      <c r="BB707">
        <f>IFERROR(INDEX(PP_Grid[#Data],$DE707,51),0)</f>
        <v/>
      </c>
      <c r="BC707">
        <f>IFERROR(INDEX(PP_Grid[#Data],$DE707,52),0)</f>
        <v/>
      </c>
      <c r="BD707">
        <f>IFERROR(INDEX(PP_Grid[#Data],$DE707,53),0)</f>
        <v/>
      </c>
      <c r="BE707">
        <f>IFERROR(INDEX(PP_Grid[#Data],$DE707,54),0)</f>
        <v/>
      </c>
      <c r="BF707">
        <f>IFERROR(INDEX(PP_Grid[#Data],$DE707,55),0)</f>
        <v/>
      </c>
      <c r="BG707">
        <f>IFERROR(INDEX(PP_Grid[#Data],$DE707,56),0)</f>
        <v/>
      </c>
      <c r="BH707">
        <f>IFERROR(INDEX(PP_Grid[#Data],$DE707,57),0)</f>
        <v/>
      </c>
      <c r="BI707">
        <f>IFERROR(INDEX(PP_Grid[#Data],$DE707,58),0)</f>
        <v/>
      </c>
      <c r="BJ707">
        <f>IFERROR(INDEX(PP_Grid[#Data],$DE707,59),0)</f>
        <v/>
      </c>
      <c r="BK707">
        <f>IFERROR(INDEX(PP_Grid[#Data],$DE707,60),0)</f>
        <v/>
      </c>
      <c r="BL707">
        <f>IFERROR(INDEX(PP_Grid[#Data],$DE707,61),0)</f>
        <v/>
      </c>
      <c r="BM707">
        <f>IFERROR(INDEX(PP_Grid[#Data],$DE707,62),0)</f>
        <v/>
      </c>
      <c r="BN707">
        <f>IFERROR(INDEX(PP_Grid[#Data],$DE707,63),0)</f>
        <v/>
      </c>
      <c r="BO707">
        <f>IFERROR(INDEX(PP_Grid[#Data],$DE707,64),0)</f>
        <v/>
      </c>
      <c r="BP707">
        <f>IFERROR(INDEX(PP_Grid[#Data],$DE707,65),0)</f>
        <v/>
      </c>
      <c r="BQ707">
        <f>IFERROR(INDEX(PP_Grid[#Data],$DE707,66),0)</f>
        <v/>
      </c>
      <c r="BR707">
        <f>IFERROR(INDEX(PP_Grid[#Data],$DE707,67),0)</f>
        <v/>
      </c>
      <c r="BS707">
        <f>IFERROR(INDEX(PP_Grid[#Data],$DE707,68),0)</f>
        <v/>
      </c>
      <c r="BT707">
        <f>IFERROR(INDEX(PP_Grid[#Data],$DE707,69),0)</f>
        <v/>
      </c>
      <c r="BU707">
        <f>IFERROR(INDEX(PP_Grid[#Data],$DE707,70),0)</f>
        <v/>
      </c>
      <c r="BV707">
        <f>IFERROR(INDEX(PP_Grid[#Data],$DE707,71),0)</f>
        <v/>
      </c>
      <c r="BW707">
        <f>IFERROR(INDEX(PP_Grid[#Data],$DE707,72),0)</f>
        <v/>
      </c>
      <c r="BX707">
        <f>IFERROR(INDEX(PP_Grid[#Data],$DE707,73),0)</f>
        <v/>
      </c>
      <c r="BY707">
        <f>IFERROR(INDEX(PP_Grid[#Data],$DE707,74),0)</f>
        <v/>
      </c>
      <c r="BZ707">
        <f>IFERROR(INDEX(PP_Grid[#Data],$DE707,75),0)</f>
        <v/>
      </c>
      <c r="CA707">
        <f>IFERROR(INDEX(PP_Grid[#Data],$DE707,76),0)</f>
        <v/>
      </c>
      <c r="CB707">
        <f>IFERROR(INDEX(PP_Grid[#Data],$DE707,77),0)</f>
        <v/>
      </c>
      <c r="CC707">
        <f>IFERROR(INDEX(PP_Grid[#Data],$DE707,78),0)</f>
        <v/>
      </c>
      <c r="CD707">
        <f>IFERROR(INDEX(PP_Grid[#Data],$DE707,79),0)</f>
        <v/>
      </c>
      <c r="CE707">
        <f>IFERROR(INDEX(PP_Grid[#Data],$DE707,80),0)</f>
        <v/>
      </c>
      <c r="CF707">
        <f>IFERROR(INDEX(PP_Grid[#Data],$DE707,81),0)</f>
        <v/>
      </c>
      <c r="CG707">
        <f>IFERROR(INDEX(PP_Grid[#Data],$DE707,82),0)</f>
        <v/>
      </c>
      <c r="CH707">
        <f>IFERROR(INDEX(PP_Grid[#Data],$DE707,83),0)</f>
        <v/>
      </c>
      <c r="CI707">
        <f>IFERROR(INDEX(PP_Grid[#Data],$DE707,84),0)</f>
        <v/>
      </c>
      <c r="CJ707">
        <f>IFERROR(INDEX(PP_Grid[#Data],$DE707,85),0)</f>
        <v/>
      </c>
      <c r="CK707">
        <f>IFERROR(INDEX(PP_Grid[#Data],$DE707,86),0)</f>
        <v/>
      </c>
      <c r="CL707">
        <f>IFERROR(INDEX(PP_Grid[#Data],$DE707,87),0)</f>
        <v/>
      </c>
      <c r="CM707">
        <f>IFERROR(INDEX(PP_Grid[#Data],$DE707,88),0)</f>
        <v/>
      </c>
      <c r="CN707">
        <f>IFERROR(INDEX(PP_Grid[#Data],$DE707,89),0)</f>
        <v/>
      </c>
      <c r="CO707">
        <f>IFERROR(INDEX(PP_Grid[#Data],$DE707,90),0)</f>
        <v/>
      </c>
      <c r="CP707">
        <f>IFERROR(INDEX(PP_Grid[#Data],$DE707,91),0)</f>
        <v/>
      </c>
      <c r="CQ707">
        <f>IFERROR(INDEX(PP_Grid[#Data],$DE707,92),0)</f>
        <v/>
      </c>
      <c r="CR707">
        <f>IFERROR(INDEX(PP_Grid[#Data],$DE707,93),0)</f>
        <v/>
      </c>
      <c r="CS707">
        <f>IFERROR(INDEX(PP_Grid[#Data],$DE707,94),0)</f>
        <v/>
      </c>
      <c r="CT707">
        <f>IFERROR(INDEX(PP_Grid[#Data],$DE707,95),0)</f>
        <v/>
      </c>
      <c r="CU707">
        <f>IFERROR(INDEX(PP_Grid[#Data],$DE707,96),0)</f>
        <v/>
      </c>
      <c r="CV707">
        <f>IFERROR(INDEX(PP_Grid[#Data],$DE707,97),0)</f>
        <v/>
      </c>
      <c r="CW707">
        <f>IFERROR(INDEX(PP_Grid[#Data],$DE707,98),0)</f>
        <v/>
      </c>
      <c r="CX707">
        <f>IFERROR(INDEX(PP_Grid[#Data],$DE707,99),0)</f>
        <v/>
      </c>
      <c r="CY707">
        <f>IFERROR(INDEX(PP_Grid[#Data],$DE707,100),0)</f>
        <v/>
      </c>
      <c r="CZ707">
        <f>IFERROR(INDEX(PP_Grid[#Data],$DE707,101),0)</f>
        <v/>
      </c>
      <c r="DA707">
        <f>IFERROR(INDEX(PP_Grid[#Data],$DE707,102),0)</f>
        <v/>
      </c>
      <c r="DB707">
        <f>IFERROR(INDEX(PP_Grid[#Data],$DE707,103),0)</f>
        <v/>
      </c>
      <c r="DC707">
        <f>IFERROR(INDEX(PP_Grid[#Data],$DE707,104),0)</f>
        <v/>
      </c>
      <c r="DD707">
        <f>IFERROR(INDEX(PP_Grid[#Data],$DE707,105),0)</f>
        <v/>
      </c>
      <c r="DE707" s="7">
        <f>IFERROR(MATCH($B707,PP_Grid[Intermediate],0),99999)</f>
        <v/>
      </c>
    </row>
    <row r="708">
      <c r="B708" t="inlineStr">
        <is>
          <t>使用量(kg)</t>
        </is>
      </c>
      <c r="C708">
        <f>SUMIFS(M_BOM[RM_Qty_Per_Batch],M_BOM[Intermediate],$B707,M_BOM[RM_Code],$A636)</f>
        <v/>
      </c>
      <c r="D708">
        <f>IFERROR(INDEX(E708:DD708,$F$1),"")</f>
        <v/>
      </c>
      <c r="E708">
        <f>$C708*E707</f>
        <v/>
      </c>
      <c r="F708">
        <f>$C708*F707</f>
        <v/>
      </c>
      <c r="G708">
        <f>$C708*G707</f>
        <v/>
      </c>
      <c r="H708">
        <f>$C708*H707</f>
        <v/>
      </c>
      <c r="I708">
        <f>$C708*I707</f>
        <v/>
      </c>
      <c r="J708">
        <f>$C708*J707</f>
        <v/>
      </c>
      <c r="K708">
        <f>$C708*K707</f>
        <v/>
      </c>
      <c r="L708">
        <f>$C708*L707</f>
        <v/>
      </c>
      <c r="M708">
        <f>$C708*M707</f>
        <v/>
      </c>
      <c r="N708">
        <f>$C708*N707</f>
        <v/>
      </c>
      <c r="O708">
        <f>$C708*O707</f>
        <v/>
      </c>
      <c r="P708">
        <f>$C708*P707</f>
        <v/>
      </c>
      <c r="Q708">
        <f>$C708*Q707</f>
        <v/>
      </c>
      <c r="R708">
        <f>$C708*R707</f>
        <v/>
      </c>
      <c r="S708">
        <f>$C708*S707</f>
        <v/>
      </c>
      <c r="T708">
        <f>$C708*T707</f>
        <v/>
      </c>
      <c r="U708">
        <f>$C708*U707</f>
        <v/>
      </c>
      <c r="V708">
        <f>$C708*V707</f>
        <v/>
      </c>
      <c r="W708">
        <f>$C708*W707</f>
        <v/>
      </c>
      <c r="X708">
        <f>$C708*X707</f>
        <v/>
      </c>
      <c r="Y708">
        <f>$C708*Y707</f>
        <v/>
      </c>
      <c r="Z708">
        <f>$C708*Z707</f>
        <v/>
      </c>
      <c r="AA708">
        <f>$C708*AA707</f>
        <v/>
      </c>
      <c r="AB708">
        <f>$C708*AB707</f>
        <v/>
      </c>
      <c r="AC708">
        <f>$C708*AC707</f>
        <v/>
      </c>
      <c r="AD708">
        <f>$C708*AD707</f>
        <v/>
      </c>
      <c r="AE708">
        <f>$C708*AE707</f>
        <v/>
      </c>
      <c r="AF708">
        <f>$C708*AF707</f>
        <v/>
      </c>
      <c r="AG708">
        <f>$C708*AG707</f>
        <v/>
      </c>
      <c r="AH708">
        <f>$C708*AH707</f>
        <v/>
      </c>
      <c r="AI708">
        <f>$C708*AI707</f>
        <v/>
      </c>
      <c r="AJ708">
        <f>$C708*AJ707</f>
        <v/>
      </c>
      <c r="AK708">
        <f>$C708*AK707</f>
        <v/>
      </c>
      <c r="AL708">
        <f>$C708*AL707</f>
        <v/>
      </c>
      <c r="AM708">
        <f>$C708*AM707</f>
        <v/>
      </c>
      <c r="AN708">
        <f>$C708*AN707</f>
        <v/>
      </c>
      <c r="AO708">
        <f>$C708*AO707</f>
        <v/>
      </c>
      <c r="AP708">
        <f>$C708*AP707</f>
        <v/>
      </c>
      <c r="AQ708">
        <f>$C708*AQ707</f>
        <v/>
      </c>
      <c r="AR708">
        <f>$C708*AR707</f>
        <v/>
      </c>
      <c r="AS708">
        <f>$C708*AS707</f>
        <v/>
      </c>
      <c r="AT708">
        <f>$C708*AT707</f>
        <v/>
      </c>
      <c r="AU708">
        <f>$C708*AU707</f>
        <v/>
      </c>
      <c r="AV708">
        <f>$C708*AV707</f>
        <v/>
      </c>
      <c r="AW708">
        <f>$C708*AW707</f>
        <v/>
      </c>
      <c r="AX708">
        <f>$C708*AX707</f>
        <v/>
      </c>
      <c r="AY708">
        <f>$C708*AY707</f>
        <v/>
      </c>
      <c r="AZ708">
        <f>$C708*AZ707</f>
        <v/>
      </c>
      <c r="BA708">
        <f>$C708*BA707</f>
        <v/>
      </c>
      <c r="BB708">
        <f>$C708*BB707</f>
        <v/>
      </c>
      <c r="BC708">
        <f>$C708*BC707</f>
        <v/>
      </c>
      <c r="BD708">
        <f>$C708*BD707</f>
        <v/>
      </c>
      <c r="BE708">
        <f>$C708*BE707</f>
        <v/>
      </c>
      <c r="BF708">
        <f>$C708*BF707</f>
        <v/>
      </c>
      <c r="BG708">
        <f>$C708*BG707</f>
        <v/>
      </c>
      <c r="BH708">
        <f>$C708*BH707</f>
        <v/>
      </c>
      <c r="BI708">
        <f>$C708*BI707</f>
        <v/>
      </c>
      <c r="BJ708">
        <f>$C708*BJ707</f>
        <v/>
      </c>
      <c r="BK708">
        <f>$C708*BK707</f>
        <v/>
      </c>
      <c r="BL708">
        <f>$C708*BL707</f>
        <v/>
      </c>
      <c r="BM708">
        <f>$C708*BM707</f>
        <v/>
      </c>
      <c r="BN708">
        <f>$C708*BN707</f>
        <v/>
      </c>
      <c r="BO708">
        <f>$C708*BO707</f>
        <v/>
      </c>
      <c r="BP708">
        <f>$C708*BP707</f>
        <v/>
      </c>
      <c r="BQ708">
        <f>$C708*BQ707</f>
        <v/>
      </c>
      <c r="BR708">
        <f>$C708*BR707</f>
        <v/>
      </c>
      <c r="BS708">
        <f>$C708*BS707</f>
        <v/>
      </c>
      <c r="BT708">
        <f>$C708*BT707</f>
        <v/>
      </c>
      <c r="BU708">
        <f>$C708*BU707</f>
        <v/>
      </c>
      <c r="BV708">
        <f>$C708*BV707</f>
        <v/>
      </c>
      <c r="BW708">
        <f>$C708*BW707</f>
        <v/>
      </c>
      <c r="BX708">
        <f>$C708*BX707</f>
        <v/>
      </c>
      <c r="BY708">
        <f>$C708*BY707</f>
        <v/>
      </c>
      <c r="BZ708">
        <f>$C708*BZ707</f>
        <v/>
      </c>
      <c r="CA708">
        <f>$C708*CA707</f>
        <v/>
      </c>
      <c r="CB708">
        <f>$C708*CB707</f>
        <v/>
      </c>
      <c r="CC708">
        <f>$C708*CC707</f>
        <v/>
      </c>
      <c r="CD708">
        <f>$C708*CD707</f>
        <v/>
      </c>
      <c r="CE708">
        <f>$C708*CE707</f>
        <v/>
      </c>
      <c r="CF708">
        <f>$C708*CF707</f>
        <v/>
      </c>
      <c r="CG708">
        <f>$C708*CG707</f>
        <v/>
      </c>
      <c r="CH708">
        <f>$C708*CH707</f>
        <v/>
      </c>
      <c r="CI708">
        <f>$C708*CI707</f>
        <v/>
      </c>
      <c r="CJ708">
        <f>$C708*CJ707</f>
        <v/>
      </c>
      <c r="CK708">
        <f>$C708*CK707</f>
        <v/>
      </c>
      <c r="CL708">
        <f>$C708*CL707</f>
        <v/>
      </c>
      <c r="CM708">
        <f>$C708*CM707</f>
        <v/>
      </c>
      <c r="CN708">
        <f>$C708*CN707</f>
        <v/>
      </c>
      <c r="CO708">
        <f>$C708*CO707</f>
        <v/>
      </c>
      <c r="CP708">
        <f>$C708*CP707</f>
        <v/>
      </c>
      <c r="CQ708">
        <f>$C708*CQ707</f>
        <v/>
      </c>
      <c r="CR708">
        <f>$C708*CR707</f>
        <v/>
      </c>
      <c r="CS708">
        <f>$C708*CS707</f>
        <v/>
      </c>
      <c r="CT708">
        <f>$C708*CT707</f>
        <v/>
      </c>
      <c r="CU708">
        <f>$C708*CU707</f>
        <v/>
      </c>
      <c r="CV708">
        <f>$C708*CV707</f>
        <v/>
      </c>
      <c r="CW708">
        <f>$C708*CW707</f>
        <v/>
      </c>
      <c r="CX708">
        <f>$C708*CX707</f>
        <v/>
      </c>
      <c r="CY708">
        <f>$C708*CY707</f>
        <v/>
      </c>
      <c r="CZ708">
        <f>$C708*CZ707</f>
        <v/>
      </c>
      <c r="DA708">
        <f>$C708*DA707</f>
        <v/>
      </c>
      <c r="DB708">
        <f>$C708*DB707</f>
        <v/>
      </c>
      <c r="DC708">
        <f>$C708*DC707</f>
        <v/>
      </c>
      <c r="DD708">
        <f>$C708*DD707</f>
        <v/>
      </c>
    </row>
    <row r="709">
      <c r="B709" t="inlineStr">
        <is>
          <t>VSP-606</t>
        </is>
      </c>
      <c r="C709" t="inlineStr">
        <is>
          <t>No. of batches</t>
        </is>
      </c>
      <c r="D709">
        <f>IFERROR(INDEX(E709:DD709,$F$1),"")</f>
        <v/>
      </c>
      <c r="E709">
        <f>IFERROR(INDEX(PP_Grid[#Data],$DE709,2),0)</f>
        <v/>
      </c>
      <c r="F709">
        <f>IFERROR(INDEX(PP_Grid[#Data],$DE709,3),0)</f>
        <v/>
      </c>
      <c r="G709">
        <f>IFERROR(INDEX(PP_Grid[#Data],$DE709,4),0)</f>
        <v/>
      </c>
      <c r="H709">
        <f>IFERROR(INDEX(PP_Grid[#Data],$DE709,5),0)</f>
        <v/>
      </c>
      <c r="I709">
        <f>IFERROR(INDEX(PP_Grid[#Data],$DE709,6),0)</f>
        <v/>
      </c>
      <c r="J709">
        <f>IFERROR(INDEX(PP_Grid[#Data],$DE709,7),0)</f>
        <v/>
      </c>
      <c r="K709">
        <f>IFERROR(INDEX(PP_Grid[#Data],$DE709,8),0)</f>
        <v/>
      </c>
      <c r="L709">
        <f>IFERROR(INDEX(PP_Grid[#Data],$DE709,9),0)</f>
        <v/>
      </c>
      <c r="M709">
        <f>IFERROR(INDEX(PP_Grid[#Data],$DE709,10),0)</f>
        <v/>
      </c>
      <c r="N709">
        <f>IFERROR(INDEX(PP_Grid[#Data],$DE709,11),0)</f>
        <v/>
      </c>
      <c r="O709">
        <f>IFERROR(INDEX(PP_Grid[#Data],$DE709,12),0)</f>
        <v/>
      </c>
      <c r="P709">
        <f>IFERROR(INDEX(PP_Grid[#Data],$DE709,13),0)</f>
        <v/>
      </c>
      <c r="Q709">
        <f>IFERROR(INDEX(PP_Grid[#Data],$DE709,14),0)</f>
        <v/>
      </c>
      <c r="R709">
        <f>IFERROR(INDEX(PP_Grid[#Data],$DE709,15),0)</f>
        <v/>
      </c>
      <c r="S709">
        <f>IFERROR(INDEX(PP_Grid[#Data],$DE709,16),0)</f>
        <v/>
      </c>
      <c r="T709">
        <f>IFERROR(INDEX(PP_Grid[#Data],$DE709,17),0)</f>
        <v/>
      </c>
      <c r="U709">
        <f>IFERROR(INDEX(PP_Grid[#Data],$DE709,18),0)</f>
        <v/>
      </c>
      <c r="V709">
        <f>IFERROR(INDEX(PP_Grid[#Data],$DE709,19),0)</f>
        <v/>
      </c>
      <c r="W709">
        <f>IFERROR(INDEX(PP_Grid[#Data],$DE709,20),0)</f>
        <v/>
      </c>
      <c r="X709">
        <f>IFERROR(INDEX(PP_Grid[#Data],$DE709,21),0)</f>
        <v/>
      </c>
      <c r="Y709">
        <f>IFERROR(INDEX(PP_Grid[#Data],$DE709,22),0)</f>
        <v/>
      </c>
      <c r="Z709">
        <f>IFERROR(INDEX(PP_Grid[#Data],$DE709,23),0)</f>
        <v/>
      </c>
      <c r="AA709">
        <f>IFERROR(INDEX(PP_Grid[#Data],$DE709,24),0)</f>
        <v/>
      </c>
      <c r="AB709">
        <f>IFERROR(INDEX(PP_Grid[#Data],$DE709,25),0)</f>
        <v/>
      </c>
      <c r="AC709">
        <f>IFERROR(INDEX(PP_Grid[#Data],$DE709,26),0)</f>
        <v/>
      </c>
      <c r="AD709">
        <f>IFERROR(INDEX(PP_Grid[#Data],$DE709,27),0)</f>
        <v/>
      </c>
      <c r="AE709">
        <f>IFERROR(INDEX(PP_Grid[#Data],$DE709,28),0)</f>
        <v/>
      </c>
      <c r="AF709">
        <f>IFERROR(INDEX(PP_Grid[#Data],$DE709,29),0)</f>
        <v/>
      </c>
      <c r="AG709">
        <f>IFERROR(INDEX(PP_Grid[#Data],$DE709,30),0)</f>
        <v/>
      </c>
      <c r="AH709">
        <f>IFERROR(INDEX(PP_Grid[#Data],$DE709,31),0)</f>
        <v/>
      </c>
      <c r="AI709">
        <f>IFERROR(INDEX(PP_Grid[#Data],$DE709,32),0)</f>
        <v/>
      </c>
      <c r="AJ709">
        <f>IFERROR(INDEX(PP_Grid[#Data],$DE709,33),0)</f>
        <v/>
      </c>
      <c r="AK709">
        <f>IFERROR(INDEX(PP_Grid[#Data],$DE709,34),0)</f>
        <v/>
      </c>
      <c r="AL709">
        <f>IFERROR(INDEX(PP_Grid[#Data],$DE709,35),0)</f>
        <v/>
      </c>
      <c r="AM709">
        <f>IFERROR(INDEX(PP_Grid[#Data],$DE709,36),0)</f>
        <v/>
      </c>
      <c r="AN709">
        <f>IFERROR(INDEX(PP_Grid[#Data],$DE709,37),0)</f>
        <v/>
      </c>
      <c r="AO709">
        <f>IFERROR(INDEX(PP_Grid[#Data],$DE709,38),0)</f>
        <v/>
      </c>
      <c r="AP709">
        <f>IFERROR(INDEX(PP_Grid[#Data],$DE709,39),0)</f>
        <v/>
      </c>
      <c r="AQ709">
        <f>IFERROR(INDEX(PP_Grid[#Data],$DE709,40),0)</f>
        <v/>
      </c>
      <c r="AR709">
        <f>IFERROR(INDEX(PP_Grid[#Data],$DE709,41),0)</f>
        <v/>
      </c>
      <c r="AS709">
        <f>IFERROR(INDEX(PP_Grid[#Data],$DE709,42),0)</f>
        <v/>
      </c>
      <c r="AT709">
        <f>IFERROR(INDEX(PP_Grid[#Data],$DE709,43),0)</f>
        <v/>
      </c>
      <c r="AU709">
        <f>IFERROR(INDEX(PP_Grid[#Data],$DE709,44),0)</f>
        <v/>
      </c>
      <c r="AV709">
        <f>IFERROR(INDEX(PP_Grid[#Data],$DE709,45),0)</f>
        <v/>
      </c>
      <c r="AW709">
        <f>IFERROR(INDEX(PP_Grid[#Data],$DE709,46),0)</f>
        <v/>
      </c>
      <c r="AX709">
        <f>IFERROR(INDEX(PP_Grid[#Data],$DE709,47),0)</f>
        <v/>
      </c>
      <c r="AY709">
        <f>IFERROR(INDEX(PP_Grid[#Data],$DE709,48),0)</f>
        <v/>
      </c>
      <c r="AZ709">
        <f>IFERROR(INDEX(PP_Grid[#Data],$DE709,49),0)</f>
        <v/>
      </c>
      <c r="BA709">
        <f>IFERROR(INDEX(PP_Grid[#Data],$DE709,50),0)</f>
        <v/>
      </c>
      <c r="BB709">
        <f>IFERROR(INDEX(PP_Grid[#Data],$DE709,51),0)</f>
        <v/>
      </c>
      <c r="BC709">
        <f>IFERROR(INDEX(PP_Grid[#Data],$DE709,52),0)</f>
        <v/>
      </c>
      <c r="BD709">
        <f>IFERROR(INDEX(PP_Grid[#Data],$DE709,53),0)</f>
        <v/>
      </c>
      <c r="BE709">
        <f>IFERROR(INDEX(PP_Grid[#Data],$DE709,54),0)</f>
        <v/>
      </c>
      <c r="BF709">
        <f>IFERROR(INDEX(PP_Grid[#Data],$DE709,55),0)</f>
        <v/>
      </c>
      <c r="BG709">
        <f>IFERROR(INDEX(PP_Grid[#Data],$DE709,56),0)</f>
        <v/>
      </c>
      <c r="BH709">
        <f>IFERROR(INDEX(PP_Grid[#Data],$DE709,57),0)</f>
        <v/>
      </c>
      <c r="BI709">
        <f>IFERROR(INDEX(PP_Grid[#Data],$DE709,58),0)</f>
        <v/>
      </c>
      <c r="BJ709">
        <f>IFERROR(INDEX(PP_Grid[#Data],$DE709,59),0)</f>
        <v/>
      </c>
      <c r="BK709">
        <f>IFERROR(INDEX(PP_Grid[#Data],$DE709,60),0)</f>
        <v/>
      </c>
      <c r="BL709">
        <f>IFERROR(INDEX(PP_Grid[#Data],$DE709,61),0)</f>
        <v/>
      </c>
      <c r="BM709">
        <f>IFERROR(INDEX(PP_Grid[#Data],$DE709,62),0)</f>
        <v/>
      </c>
      <c r="BN709">
        <f>IFERROR(INDEX(PP_Grid[#Data],$DE709,63),0)</f>
        <v/>
      </c>
      <c r="BO709">
        <f>IFERROR(INDEX(PP_Grid[#Data],$DE709,64),0)</f>
        <v/>
      </c>
      <c r="BP709">
        <f>IFERROR(INDEX(PP_Grid[#Data],$DE709,65),0)</f>
        <v/>
      </c>
      <c r="BQ709">
        <f>IFERROR(INDEX(PP_Grid[#Data],$DE709,66),0)</f>
        <v/>
      </c>
      <c r="BR709">
        <f>IFERROR(INDEX(PP_Grid[#Data],$DE709,67),0)</f>
        <v/>
      </c>
      <c r="BS709">
        <f>IFERROR(INDEX(PP_Grid[#Data],$DE709,68),0)</f>
        <v/>
      </c>
      <c r="BT709">
        <f>IFERROR(INDEX(PP_Grid[#Data],$DE709,69),0)</f>
        <v/>
      </c>
      <c r="BU709">
        <f>IFERROR(INDEX(PP_Grid[#Data],$DE709,70),0)</f>
        <v/>
      </c>
      <c r="BV709">
        <f>IFERROR(INDEX(PP_Grid[#Data],$DE709,71),0)</f>
        <v/>
      </c>
      <c r="BW709">
        <f>IFERROR(INDEX(PP_Grid[#Data],$DE709,72),0)</f>
        <v/>
      </c>
      <c r="BX709">
        <f>IFERROR(INDEX(PP_Grid[#Data],$DE709,73),0)</f>
        <v/>
      </c>
      <c r="BY709">
        <f>IFERROR(INDEX(PP_Grid[#Data],$DE709,74),0)</f>
        <v/>
      </c>
      <c r="BZ709">
        <f>IFERROR(INDEX(PP_Grid[#Data],$DE709,75),0)</f>
        <v/>
      </c>
      <c r="CA709">
        <f>IFERROR(INDEX(PP_Grid[#Data],$DE709,76),0)</f>
        <v/>
      </c>
      <c r="CB709">
        <f>IFERROR(INDEX(PP_Grid[#Data],$DE709,77),0)</f>
        <v/>
      </c>
      <c r="CC709">
        <f>IFERROR(INDEX(PP_Grid[#Data],$DE709,78),0)</f>
        <v/>
      </c>
      <c r="CD709">
        <f>IFERROR(INDEX(PP_Grid[#Data],$DE709,79),0)</f>
        <v/>
      </c>
      <c r="CE709">
        <f>IFERROR(INDEX(PP_Grid[#Data],$DE709,80),0)</f>
        <v/>
      </c>
      <c r="CF709">
        <f>IFERROR(INDEX(PP_Grid[#Data],$DE709,81),0)</f>
        <v/>
      </c>
      <c r="CG709">
        <f>IFERROR(INDEX(PP_Grid[#Data],$DE709,82),0)</f>
        <v/>
      </c>
      <c r="CH709">
        <f>IFERROR(INDEX(PP_Grid[#Data],$DE709,83),0)</f>
        <v/>
      </c>
      <c r="CI709">
        <f>IFERROR(INDEX(PP_Grid[#Data],$DE709,84),0)</f>
        <v/>
      </c>
      <c r="CJ709">
        <f>IFERROR(INDEX(PP_Grid[#Data],$DE709,85),0)</f>
        <v/>
      </c>
      <c r="CK709">
        <f>IFERROR(INDEX(PP_Grid[#Data],$DE709,86),0)</f>
        <v/>
      </c>
      <c r="CL709">
        <f>IFERROR(INDEX(PP_Grid[#Data],$DE709,87),0)</f>
        <v/>
      </c>
      <c r="CM709">
        <f>IFERROR(INDEX(PP_Grid[#Data],$DE709,88),0)</f>
        <v/>
      </c>
      <c r="CN709">
        <f>IFERROR(INDEX(PP_Grid[#Data],$DE709,89),0)</f>
        <v/>
      </c>
      <c r="CO709">
        <f>IFERROR(INDEX(PP_Grid[#Data],$DE709,90),0)</f>
        <v/>
      </c>
      <c r="CP709">
        <f>IFERROR(INDEX(PP_Grid[#Data],$DE709,91),0)</f>
        <v/>
      </c>
      <c r="CQ709">
        <f>IFERROR(INDEX(PP_Grid[#Data],$DE709,92),0)</f>
        <v/>
      </c>
      <c r="CR709">
        <f>IFERROR(INDEX(PP_Grid[#Data],$DE709,93),0)</f>
        <v/>
      </c>
      <c r="CS709">
        <f>IFERROR(INDEX(PP_Grid[#Data],$DE709,94),0)</f>
        <v/>
      </c>
      <c r="CT709">
        <f>IFERROR(INDEX(PP_Grid[#Data],$DE709,95),0)</f>
        <v/>
      </c>
      <c r="CU709">
        <f>IFERROR(INDEX(PP_Grid[#Data],$DE709,96),0)</f>
        <v/>
      </c>
      <c r="CV709">
        <f>IFERROR(INDEX(PP_Grid[#Data],$DE709,97),0)</f>
        <v/>
      </c>
      <c r="CW709">
        <f>IFERROR(INDEX(PP_Grid[#Data],$DE709,98),0)</f>
        <v/>
      </c>
      <c r="CX709">
        <f>IFERROR(INDEX(PP_Grid[#Data],$DE709,99),0)</f>
        <v/>
      </c>
      <c r="CY709">
        <f>IFERROR(INDEX(PP_Grid[#Data],$DE709,100),0)</f>
        <v/>
      </c>
      <c r="CZ709">
        <f>IFERROR(INDEX(PP_Grid[#Data],$DE709,101),0)</f>
        <v/>
      </c>
      <c r="DA709">
        <f>IFERROR(INDEX(PP_Grid[#Data],$DE709,102),0)</f>
        <v/>
      </c>
      <c r="DB709">
        <f>IFERROR(INDEX(PP_Grid[#Data],$DE709,103),0)</f>
        <v/>
      </c>
      <c r="DC709">
        <f>IFERROR(INDEX(PP_Grid[#Data],$DE709,104),0)</f>
        <v/>
      </c>
      <c r="DD709">
        <f>IFERROR(INDEX(PP_Grid[#Data],$DE709,105),0)</f>
        <v/>
      </c>
      <c r="DE709" s="7">
        <f>IFERROR(MATCH($B709,PP_Grid[Intermediate],0),99999)</f>
        <v/>
      </c>
    </row>
    <row r="710">
      <c r="B710" t="inlineStr">
        <is>
          <t>使用量(kg)</t>
        </is>
      </c>
      <c r="C710">
        <f>SUMIFS(M_BOM[RM_Qty_Per_Batch],M_BOM[Intermediate],$B709,M_BOM[RM_Code],$A636)</f>
        <v/>
      </c>
      <c r="D710">
        <f>IFERROR(INDEX(E710:DD710,$F$1),"")</f>
        <v/>
      </c>
      <c r="E710">
        <f>$C710*E709</f>
        <v/>
      </c>
      <c r="F710">
        <f>$C710*F709</f>
        <v/>
      </c>
      <c r="G710">
        <f>$C710*G709</f>
        <v/>
      </c>
      <c r="H710">
        <f>$C710*H709</f>
        <v/>
      </c>
      <c r="I710">
        <f>$C710*I709</f>
        <v/>
      </c>
      <c r="J710">
        <f>$C710*J709</f>
        <v/>
      </c>
      <c r="K710">
        <f>$C710*K709</f>
        <v/>
      </c>
      <c r="L710">
        <f>$C710*L709</f>
        <v/>
      </c>
      <c r="M710">
        <f>$C710*M709</f>
        <v/>
      </c>
      <c r="N710">
        <f>$C710*N709</f>
        <v/>
      </c>
      <c r="O710">
        <f>$C710*O709</f>
        <v/>
      </c>
      <c r="P710">
        <f>$C710*P709</f>
        <v/>
      </c>
      <c r="Q710">
        <f>$C710*Q709</f>
        <v/>
      </c>
      <c r="R710">
        <f>$C710*R709</f>
        <v/>
      </c>
      <c r="S710">
        <f>$C710*S709</f>
        <v/>
      </c>
      <c r="T710">
        <f>$C710*T709</f>
        <v/>
      </c>
      <c r="U710">
        <f>$C710*U709</f>
        <v/>
      </c>
      <c r="V710">
        <f>$C710*V709</f>
        <v/>
      </c>
      <c r="W710">
        <f>$C710*W709</f>
        <v/>
      </c>
      <c r="X710">
        <f>$C710*X709</f>
        <v/>
      </c>
      <c r="Y710">
        <f>$C710*Y709</f>
        <v/>
      </c>
      <c r="Z710">
        <f>$C710*Z709</f>
        <v/>
      </c>
      <c r="AA710">
        <f>$C710*AA709</f>
        <v/>
      </c>
      <c r="AB710">
        <f>$C710*AB709</f>
        <v/>
      </c>
      <c r="AC710">
        <f>$C710*AC709</f>
        <v/>
      </c>
      <c r="AD710">
        <f>$C710*AD709</f>
        <v/>
      </c>
      <c r="AE710">
        <f>$C710*AE709</f>
        <v/>
      </c>
      <c r="AF710">
        <f>$C710*AF709</f>
        <v/>
      </c>
      <c r="AG710">
        <f>$C710*AG709</f>
        <v/>
      </c>
      <c r="AH710">
        <f>$C710*AH709</f>
        <v/>
      </c>
      <c r="AI710">
        <f>$C710*AI709</f>
        <v/>
      </c>
      <c r="AJ710">
        <f>$C710*AJ709</f>
        <v/>
      </c>
      <c r="AK710">
        <f>$C710*AK709</f>
        <v/>
      </c>
      <c r="AL710">
        <f>$C710*AL709</f>
        <v/>
      </c>
      <c r="AM710">
        <f>$C710*AM709</f>
        <v/>
      </c>
      <c r="AN710">
        <f>$C710*AN709</f>
        <v/>
      </c>
      <c r="AO710">
        <f>$C710*AO709</f>
        <v/>
      </c>
      <c r="AP710">
        <f>$C710*AP709</f>
        <v/>
      </c>
      <c r="AQ710">
        <f>$C710*AQ709</f>
        <v/>
      </c>
      <c r="AR710">
        <f>$C710*AR709</f>
        <v/>
      </c>
      <c r="AS710">
        <f>$C710*AS709</f>
        <v/>
      </c>
      <c r="AT710">
        <f>$C710*AT709</f>
        <v/>
      </c>
      <c r="AU710">
        <f>$C710*AU709</f>
        <v/>
      </c>
      <c r="AV710">
        <f>$C710*AV709</f>
        <v/>
      </c>
      <c r="AW710">
        <f>$C710*AW709</f>
        <v/>
      </c>
      <c r="AX710">
        <f>$C710*AX709</f>
        <v/>
      </c>
      <c r="AY710">
        <f>$C710*AY709</f>
        <v/>
      </c>
      <c r="AZ710">
        <f>$C710*AZ709</f>
        <v/>
      </c>
      <c r="BA710">
        <f>$C710*BA709</f>
        <v/>
      </c>
      <c r="BB710">
        <f>$C710*BB709</f>
        <v/>
      </c>
      <c r="BC710">
        <f>$C710*BC709</f>
        <v/>
      </c>
      <c r="BD710">
        <f>$C710*BD709</f>
        <v/>
      </c>
      <c r="BE710">
        <f>$C710*BE709</f>
        <v/>
      </c>
      <c r="BF710">
        <f>$C710*BF709</f>
        <v/>
      </c>
      <c r="BG710">
        <f>$C710*BG709</f>
        <v/>
      </c>
      <c r="BH710">
        <f>$C710*BH709</f>
        <v/>
      </c>
      <c r="BI710">
        <f>$C710*BI709</f>
        <v/>
      </c>
      <c r="BJ710">
        <f>$C710*BJ709</f>
        <v/>
      </c>
      <c r="BK710">
        <f>$C710*BK709</f>
        <v/>
      </c>
      <c r="BL710">
        <f>$C710*BL709</f>
        <v/>
      </c>
      <c r="BM710">
        <f>$C710*BM709</f>
        <v/>
      </c>
      <c r="BN710">
        <f>$C710*BN709</f>
        <v/>
      </c>
      <c r="BO710">
        <f>$C710*BO709</f>
        <v/>
      </c>
      <c r="BP710">
        <f>$C710*BP709</f>
        <v/>
      </c>
      <c r="BQ710">
        <f>$C710*BQ709</f>
        <v/>
      </c>
      <c r="BR710">
        <f>$C710*BR709</f>
        <v/>
      </c>
      <c r="BS710">
        <f>$C710*BS709</f>
        <v/>
      </c>
      <c r="BT710">
        <f>$C710*BT709</f>
        <v/>
      </c>
      <c r="BU710">
        <f>$C710*BU709</f>
        <v/>
      </c>
      <c r="BV710">
        <f>$C710*BV709</f>
        <v/>
      </c>
      <c r="BW710">
        <f>$C710*BW709</f>
        <v/>
      </c>
      <c r="BX710">
        <f>$C710*BX709</f>
        <v/>
      </c>
      <c r="BY710">
        <f>$C710*BY709</f>
        <v/>
      </c>
      <c r="BZ710">
        <f>$C710*BZ709</f>
        <v/>
      </c>
      <c r="CA710">
        <f>$C710*CA709</f>
        <v/>
      </c>
      <c r="CB710">
        <f>$C710*CB709</f>
        <v/>
      </c>
      <c r="CC710">
        <f>$C710*CC709</f>
        <v/>
      </c>
      <c r="CD710">
        <f>$C710*CD709</f>
        <v/>
      </c>
      <c r="CE710">
        <f>$C710*CE709</f>
        <v/>
      </c>
      <c r="CF710">
        <f>$C710*CF709</f>
        <v/>
      </c>
      <c r="CG710">
        <f>$C710*CG709</f>
        <v/>
      </c>
      <c r="CH710">
        <f>$C710*CH709</f>
        <v/>
      </c>
      <c r="CI710">
        <f>$C710*CI709</f>
        <v/>
      </c>
      <c r="CJ710">
        <f>$C710*CJ709</f>
        <v/>
      </c>
      <c r="CK710">
        <f>$C710*CK709</f>
        <v/>
      </c>
      <c r="CL710">
        <f>$C710*CL709</f>
        <v/>
      </c>
      <c r="CM710">
        <f>$C710*CM709</f>
        <v/>
      </c>
      <c r="CN710">
        <f>$C710*CN709</f>
        <v/>
      </c>
      <c r="CO710">
        <f>$C710*CO709</f>
        <v/>
      </c>
      <c r="CP710">
        <f>$C710*CP709</f>
        <v/>
      </c>
      <c r="CQ710">
        <f>$C710*CQ709</f>
        <v/>
      </c>
      <c r="CR710">
        <f>$C710*CR709</f>
        <v/>
      </c>
      <c r="CS710">
        <f>$C710*CS709</f>
        <v/>
      </c>
      <c r="CT710">
        <f>$C710*CT709</f>
        <v/>
      </c>
      <c r="CU710">
        <f>$C710*CU709</f>
        <v/>
      </c>
      <c r="CV710">
        <f>$C710*CV709</f>
        <v/>
      </c>
      <c r="CW710">
        <f>$C710*CW709</f>
        <v/>
      </c>
      <c r="CX710">
        <f>$C710*CX709</f>
        <v/>
      </c>
      <c r="CY710">
        <f>$C710*CY709</f>
        <v/>
      </c>
      <c r="CZ710">
        <f>$C710*CZ709</f>
        <v/>
      </c>
      <c r="DA710">
        <f>$C710*DA709</f>
        <v/>
      </c>
      <c r="DB710">
        <f>$C710*DB709</f>
        <v/>
      </c>
      <c r="DC710">
        <f>$C710*DC709</f>
        <v/>
      </c>
      <c r="DD710">
        <f>$C710*DD709</f>
        <v/>
      </c>
    </row>
    <row r="711">
      <c r="B711" t="inlineStr">
        <is>
          <t>VSP-607</t>
        </is>
      </c>
      <c r="C711" t="inlineStr">
        <is>
          <t>No. of batches</t>
        </is>
      </c>
      <c r="D711">
        <f>IFERROR(INDEX(E711:DD711,$F$1),"")</f>
        <v/>
      </c>
      <c r="E711">
        <f>IFERROR(INDEX(PP_Grid[#Data],$DE711,2),0)</f>
        <v/>
      </c>
      <c r="F711">
        <f>IFERROR(INDEX(PP_Grid[#Data],$DE711,3),0)</f>
        <v/>
      </c>
      <c r="G711">
        <f>IFERROR(INDEX(PP_Grid[#Data],$DE711,4),0)</f>
        <v/>
      </c>
      <c r="H711">
        <f>IFERROR(INDEX(PP_Grid[#Data],$DE711,5),0)</f>
        <v/>
      </c>
      <c r="I711">
        <f>IFERROR(INDEX(PP_Grid[#Data],$DE711,6),0)</f>
        <v/>
      </c>
      <c r="J711">
        <f>IFERROR(INDEX(PP_Grid[#Data],$DE711,7),0)</f>
        <v/>
      </c>
      <c r="K711">
        <f>IFERROR(INDEX(PP_Grid[#Data],$DE711,8),0)</f>
        <v/>
      </c>
      <c r="L711">
        <f>IFERROR(INDEX(PP_Grid[#Data],$DE711,9),0)</f>
        <v/>
      </c>
      <c r="M711">
        <f>IFERROR(INDEX(PP_Grid[#Data],$DE711,10),0)</f>
        <v/>
      </c>
      <c r="N711">
        <f>IFERROR(INDEX(PP_Grid[#Data],$DE711,11),0)</f>
        <v/>
      </c>
      <c r="O711">
        <f>IFERROR(INDEX(PP_Grid[#Data],$DE711,12),0)</f>
        <v/>
      </c>
      <c r="P711">
        <f>IFERROR(INDEX(PP_Grid[#Data],$DE711,13),0)</f>
        <v/>
      </c>
      <c r="Q711">
        <f>IFERROR(INDEX(PP_Grid[#Data],$DE711,14),0)</f>
        <v/>
      </c>
      <c r="R711">
        <f>IFERROR(INDEX(PP_Grid[#Data],$DE711,15),0)</f>
        <v/>
      </c>
      <c r="S711">
        <f>IFERROR(INDEX(PP_Grid[#Data],$DE711,16),0)</f>
        <v/>
      </c>
      <c r="T711">
        <f>IFERROR(INDEX(PP_Grid[#Data],$DE711,17),0)</f>
        <v/>
      </c>
      <c r="U711">
        <f>IFERROR(INDEX(PP_Grid[#Data],$DE711,18),0)</f>
        <v/>
      </c>
      <c r="V711">
        <f>IFERROR(INDEX(PP_Grid[#Data],$DE711,19),0)</f>
        <v/>
      </c>
      <c r="W711">
        <f>IFERROR(INDEX(PP_Grid[#Data],$DE711,20),0)</f>
        <v/>
      </c>
      <c r="X711">
        <f>IFERROR(INDEX(PP_Grid[#Data],$DE711,21),0)</f>
        <v/>
      </c>
      <c r="Y711">
        <f>IFERROR(INDEX(PP_Grid[#Data],$DE711,22),0)</f>
        <v/>
      </c>
      <c r="Z711">
        <f>IFERROR(INDEX(PP_Grid[#Data],$DE711,23),0)</f>
        <v/>
      </c>
      <c r="AA711">
        <f>IFERROR(INDEX(PP_Grid[#Data],$DE711,24),0)</f>
        <v/>
      </c>
      <c r="AB711">
        <f>IFERROR(INDEX(PP_Grid[#Data],$DE711,25),0)</f>
        <v/>
      </c>
      <c r="AC711">
        <f>IFERROR(INDEX(PP_Grid[#Data],$DE711,26),0)</f>
        <v/>
      </c>
      <c r="AD711">
        <f>IFERROR(INDEX(PP_Grid[#Data],$DE711,27),0)</f>
        <v/>
      </c>
      <c r="AE711">
        <f>IFERROR(INDEX(PP_Grid[#Data],$DE711,28),0)</f>
        <v/>
      </c>
      <c r="AF711">
        <f>IFERROR(INDEX(PP_Grid[#Data],$DE711,29),0)</f>
        <v/>
      </c>
      <c r="AG711">
        <f>IFERROR(INDEX(PP_Grid[#Data],$DE711,30),0)</f>
        <v/>
      </c>
      <c r="AH711">
        <f>IFERROR(INDEX(PP_Grid[#Data],$DE711,31),0)</f>
        <v/>
      </c>
      <c r="AI711">
        <f>IFERROR(INDEX(PP_Grid[#Data],$DE711,32),0)</f>
        <v/>
      </c>
      <c r="AJ711">
        <f>IFERROR(INDEX(PP_Grid[#Data],$DE711,33),0)</f>
        <v/>
      </c>
      <c r="AK711">
        <f>IFERROR(INDEX(PP_Grid[#Data],$DE711,34),0)</f>
        <v/>
      </c>
      <c r="AL711">
        <f>IFERROR(INDEX(PP_Grid[#Data],$DE711,35),0)</f>
        <v/>
      </c>
      <c r="AM711">
        <f>IFERROR(INDEX(PP_Grid[#Data],$DE711,36),0)</f>
        <v/>
      </c>
      <c r="AN711">
        <f>IFERROR(INDEX(PP_Grid[#Data],$DE711,37),0)</f>
        <v/>
      </c>
      <c r="AO711">
        <f>IFERROR(INDEX(PP_Grid[#Data],$DE711,38),0)</f>
        <v/>
      </c>
      <c r="AP711">
        <f>IFERROR(INDEX(PP_Grid[#Data],$DE711,39),0)</f>
        <v/>
      </c>
      <c r="AQ711">
        <f>IFERROR(INDEX(PP_Grid[#Data],$DE711,40),0)</f>
        <v/>
      </c>
      <c r="AR711">
        <f>IFERROR(INDEX(PP_Grid[#Data],$DE711,41),0)</f>
        <v/>
      </c>
      <c r="AS711">
        <f>IFERROR(INDEX(PP_Grid[#Data],$DE711,42),0)</f>
        <v/>
      </c>
      <c r="AT711">
        <f>IFERROR(INDEX(PP_Grid[#Data],$DE711,43),0)</f>
        <v/>
      </c>
      <c r="AU711">
        <f>IFERROR(INDEX(PP_Grid[#Data],$DE711,44),0)</f>
        <v/>
      </c>
      <c r="AV711">
        <f>IFERROR(INDEX(PP_Grid[#Data],$DE711,45),0)</f>
        <v/>
      </c>
      <c r="AW711">
        <f>IFERROR(INDEX(PP_Grid[#Data],$DE711,46),0)</f>
        <v/>
      </c>
      <c r="AX711">
        <f>IFERROR(INDEX(PP_Grid[#Data],$DE711,47),0)</f>
        <v/>
      </c>
      <c r="AY711">
        <f>IFERROR(INDEX(PP_Grid[#Data],$DE711,48),0)</f>
        <v/>
      </c>
      <c r="AZ711">
        <f>IFERROR(INDEX(PP_Grid[#Data],$DE711,49),0)</f>
        <v/>
      </c>
      <c r="BA711">
        <f>IFERROR(INDEX(PP_Grid[#Data],$DE711,50),0)</f>
        <v/>
      </c>
      <c r="BB711">
        <f>IFERROR(INDEX(PP_Grid[#Data],$DE711,51),0)</f>
        <v/>
      </c>
      <c r="BC711">
        <f>IFERROR(INDEX(PP_Grid[#Data],$DE711,52),0)</f>
        <v/>
      </c>
      <c r="BD711">
        <f>IFERROR(INDEX(PP_Grid[#Data],$DE711,53),0)</f>
        <v/>
      </c>
      <c r="BE711">
        <f>IFERROR(INDEX(PP_Grid[#Data],$DE711,54),0)</f>
        <v/>
      </c>
      <c r="BF711">
        <f>IFERROR(INDEX(PP_Grid[#Data],$DE711,55),0)</f>
        <v/>
      </c>
      <c r="BG711">
        <f>IFERROR(INDEX(PP_Grid[#Data],$DE711,56),0)</f>
        <v/>
      </c>
      <c r="BH711">
        <f>IFERROR(INDEX(PP_Grid[#Data],$DE711,57),0)</f>
        <v/>
      </c>
      <c r="BI711">
        <f>IFERROR(INDEX(PP_Grid[#Data],$DE711,58),0)</f>
        <v/>
      </c>
      <c r="BJ711">
        <f>IFERROR(INDEX(PP_Grid[#Data],$DE711,59),0)</f>
        <v/>
      </c>
      <c r="BK711">
        <f>IFERROR(INDEX(PP_Grid[#Data],$DE711,60),0)</f>
        <v/>
      </c>
      <c r="BL711">
        <f>IFERROR(INDEX(PP_Grid[#Data],$DE711,61),0)</f>
        <v/>
      </c>
      <c r="BM711">
        <f>IFERROR(INDEX(PP_Grid[#Data],$DE711,62),0)</f>
        <v/>
      </c>
      <c r="BN711">
        <f>IFERROR(INDEX(PP_Grid[#Data],$DE711,63),0)</f>
        <v/>
      </c>
      <c r="BO711">
        <f>IFERROR(INDEX(PP_Grid[#Data],$DE711,64),0)</f>
        <v/>
      </c>
      <c r="BP711">
        <f>IFERROR(INDEX(PP_Grid[#Data],$DE711,65),0)</f>
        <v/>
      </c>
      <c r="BQ711">
        <f>IFERROR(INDEX(PP_Grid[#Data],$DE711,66),0)</f>
        <v/>
      </c>
      <c r="BR711">
        <f>IFERROR(INDEX(PP_Grid[#Data],$DE711,67),0)</f>
        <v/>
      </c>
      <c r="BS711">
        <f>IFERROR(INDEX(PP_Grid[#Data],$DE711,68),0)</f>
        <v/>
      </c>
      <c r="BT711">
        <f>IFERROR(INDEX(PP_Grid[#Data],$DE711,69),0)</f>
        <v/>
      </c>
      <c r="BU711">
        <f>IFERROR(INDEX(PP_Grid[#Data],$DE711,70),0)</f>
        <v/>
      </c>
      <c r="BV711">
        <f>IFERROR(INDEX(PP_Grid[#Data],$DE711,71),0)</f>
        <v/>
      </c>
      <c r="BW711">
        <f>IFERROR(INDEX(PP_Grid[#Data],$DE711,72),0)</f>
        <v/>
      </c>
      <c r="BX711">
        <f>IFERROR(INDEX(PP_Grid[#Data],$DE711,73),0)</f>
        <v/>
      </c>
      <c r="BY711">
        <f>IFERROR(INDEX(PP_Grid[#Data],$DE711,74),0)</f>
        <v/>
      </c>
      <c r="BZ711">
        <f>IFERROR(INDEX(PP_Grid[#Data],$DE711,75),0)</f>
        <v/>
      </c>
      <c r="CA711">
        <f>IFERROR(INDEX(PP_Grid[#Data],$DE711,76),0)</f>
        <v/>
      </c>
      <c r="CB711">
        <f>IFERROR(INDEX(PP_Grid[#Data],$DE711,77),0)</f>
        <v/>
      </c>
      <c r="CC711">
        <f>IFERROR(INDEX(PP_Grid[#Data],$DE711,78),0)</f>
        <v/>
      </c>
      <c r="CD711">
        <f>IFERROR(INDEX(PP_Grid[#Data],$DE711,79),0)</f>
        <v/>
      </c>
      <c r="CE711">
        <f>IFERROR(INDEX(PP_Grid[#Data],$DE711,80),0)</f>
        <v/>
      </c>
      <c r="CF711">
        <f>IFERROR(INDEX(PP_Grid[#Data],$DE711,81),0)</f>
        <v/>
      </c>
      <c r="CG711">
        <f>IFERROR(INDEX(PP_Grid[#Data],$DE711,82),0)</f>
        <v/>
      </c>
      <c r="CH711">
        <f>IFERROR(INDEX(PP_Grid[#Data],$DE711,83),0)</f>
        <v/>
      </c>
      <c r="CI711">
        <f>IFERROR(INDEX(PP_Grid[#Data],$DE711,84),0)</f>
        <v/>
      </c>
      <c r="CJ711">
        <f>IFERROR(INDEX(PP_Grid[#Data],$DE711,85),0)</f>
        <v/>
      </c>
      <c r="CK711">
        <f>IFERROR(INDEX(PP_Grid[#Data],$DE711,86),0)</f>
        <v/>
      </c>
      <c r="CL711">
        <f>IFERROR(INDEX(PP_Grid[#Data],$DE711,87),0)</f>
        <v/>
      </c>
      <c r="CM711">
        <f>IFERROR(INDEX(PP_Grid[#Data],$DE711,88),0)</f>
        <v/>
      </c>
      <c r="CN711">
        <f>IFERROR(INDEX(PP_Grid[#Data],$DE711,89),0)</f>
        <v/>
      </c>
      <c r="CO711">
        <f>IFERROR(INDEX(PP_Grid[#Data],$DE711,90),0)</f>
        <v/>
      </c>
      <c r="CP711">
        <f>IFERROR(INDEX(PP_Grid[#Data],$DE711,91),0)</f>
        <v/>
      </c>
      <c r="CQ711">
        <f>IFERROR(INDEX(PP_Grid[#Data],$DE711,92),0)</f>
        <v/>
      </c>
      <c r="CR711">
        <f>IFERROR(INDEX(PP_Grid[#Data],$DE711,93),0)</f>
        <v/>
      </c>
      <c r="CS711">
        <f>IFERROR(INDEX(PP_Grid[#Data],$DE711,94),0)</f>
        <v/>
      </c>
      <c r="CT711">
        <f>IFERROR(INDEX(PP_Grid[#Data],$DE711,95),0)</f>
        <v/>
      </c>
      <c r="CU711">
        <f>IFERROR(INDEX(PP_Grid[#Data],$DE711,96),0)</f>
        <v/>
      </c>
      <c r="CV711">
        <f>IFERROR(INDEX(PP_Grid[#Data],$DE711,97),0)</f>
        <v/>
      </c>
      <c r="CW711">
        <f>IFERROR(INDEX(PP_Grid[#Data],$DE711,98),0)</f>
        <v/>
      </c>
      <c r="CX711">
        <f>IFERROR(INDEX(PP_Grid[#Data],$DE711,99),0)</f>
        <v/>
      </c>
      <c r="CY711">
        <f>IFERROR(INDEX(PP_Grid[#Data],$DE711,100),0)</f>
        <v/>
      </c>
      <c r="CZ711">
        <f>IFERROR(INDEX(PP_Grid[#Data],$DE711,101),0)</f>
        <v/>
      </c>
      <c r="DA711">
        <f>IFERROR(INDEX(PP_Grid[#Data],$DE711,102),0)</f>
        <v/>
      </c>
      <c r="DB711">
        <f>IFERROR(INDEX(PP_Grid[#Data],$DE711,103),0)</f>
        <v/>
      </c>
      <c r="DC711">
        <f>IFERROR(INDEX(PP_Grid[#Data],$DE711,104),0)</f>
        <v/>
      </c>
      <c r="DD711">
        <f>IFERROR(INDEX(PP_Grid[#Data],$DE711,105),0)</f>
        <v/>
      </c>
      <c r="DE711" s="7">
        <f>IFERROR(MATCH($B711,PP_Grid[Intermediate],0),99999)</f>
        <v/>
      </c>
    </row>
    <row r="712">
      <c r="B712" t="inlineStr">
        <is>
          <t>使用量(kg)</t>
        </is>
      </c>
      <c r="C712">
        <f>SUMIFS(M_BOM[RM_Qty_Per_Batch],M_BOM[Intermediate],$B711,M_BOM[RM_Code],$A636)</f>
        <v/>
      </c>
      <c r="D712">
        <f>IFERROR(INDEX(E712:DD712,$F$1),"")</f>
        <v/>
      </c>
      <c r="E712">
        <f>$C712*E711</f>
        <v/>
      </c>
      <c r="F712">
        <f>$C712*F711</f>
        <v/>
      </c>
      <c r="G712">
        <f>$C712*G711</f>
        <v/>
      </c>
      <c r="H712">
        <f>$C712*H711</f>
        <v/>
      </c>
      <c r="I712">
        <f>$C712*I711</f>
        <v/>
      </c>
      <c r="J712">
        <f>$C712*J711</f>
        <v/>
      </c>
      <c r="K712">
        <f>$C712*K711</f>
        <v/>
      </c>
      <c r="L712">
        <f>$C712*L711</f>
        <v/>
      </c>
      <c r="M712">
        <f>$C712*M711</f>
        <v/>
      </c>
      <c r="N712">
        <f>$C712*N711</f>
        <v/>
      </c>
      <c r="O712">
        <f>$C712*O711</f>
        <v/>
      </c>
      <c r="P712">
        <f>$C712*P711</f>
        <v/>
      </c>
      <c r="Q712">
        <f>$C712*Q711</f>
        <v/>
      </c>
      <c r="R712">
        <f>$C712*R711</f>
        <v/>
      </c>
      <c r="S712">
        <f>$C712*S711</f>
        <v/>
      </c>
      <c r="T712">
        <f>$C712*T711</f>
        <v/>
      </c>
      <c r="U712">
        <f>$C712*U711</f>
        <v/>
      </c>
      <c r="V712">
        <f>$C712*V711</f>
        <v/>
      </c>
      <c r="W712">
        <f>$C712*W711</f>
        <v/>
      </c>
      <c r="X712">
        <f>$C712*X711</f>
        <v/>
      </c>
      <c r="Y712">
        <f>$C712*Y711</f>
        <v/>
      </c>
      <c r="Z712">
        <f>$C712*Z711</f>
        <v/>
      </c>
      <c r="AA712">
        <f>$C712*AA711</f>
        <v/>
      </c>
      <c r="AB712">
        <f>$C712*AB711</f>
        <v/>
      </c>
      <c r="AC712">
        <f>$C712*AC711</f>
        <v/>
      </c>
      <c r="AD712">
        <f>$C712*AD711</f>
        <v/>
      </c>
      <c r="AE712">
        <f>$C712*AE711</f>
        <v/>
      </c>
      <c r="AF712">
        <f>$C712*AF711</f>
        <v/>
      </c>
      <c r="AG712">
        <f>$C712*AG711</f>
        <v/>
      </c>
      <c r="AH712">
        <f>$C712*AH711</f>
        <v/>
      </c>
      <c r="AI712">
        <f>$C712*AI711</f>
        <v/>
      </c>
      <c r="AJ712">
        <f>$C712*AJ711</f>
        <v/>
      </c>
      <c r="AK712">
        <f>$C712*AK711</f>
        <v/>
      </c>
      <c r="AL712">
        <f>$C712*AL711</f>
        <v/>
      </c>
      <c r="AM712">
        <f>$C712*AM711</f>
        <v/>
      </c>
      <c r="AN712">
        <f>$C712*AN711</f>
        <v/>
      </c>
      <c r="AO712">
        <f>$C712*AO711</f>
        <v/>
      </c>
      <c r="AP712">
        <f>$C712*AP711</f>
        <v/>
      </c>
      <c r="AQ712">
        <f>$C712*AQ711</f>
        <v/>
      </c>
      <c r="AR712">
        <f>$C712*AR711</f>
        <v/>
      </c>
      <c r="AS712">
        <f>$C712*AS711</f>
        <v/>
      </c>
      <c r="AT712">
        <f>$C712*AT711</f>
        <v/>
      </c>
      <c r="AU712">
        <f>$C712*AU711</f>
        <v/>
      </c>
      <c r="AV712">
        <f>$C712*AV711</f>
        <v/>
      </c>
      <c r="AW712">
        <f>$C712*AW711</f>
        <v/>
      </c>
      <c r="AX712">
        <f>$C712*AX711</f>
        <v/>
      </c>
      <c r="AY712">
        <f>$C712*AY711</f>
        <v/>
      </c>
      <c r="AZ712">
        <f>$C712*AZ711</f>
        <v/>
      </c>
      <c r="BA712">
        <f>$C712*BA711</f>
        <v/>
      </c>
      <c r="BB712">
        <f>$C712*BB711</f>
        <v/>
      </c>
      <c r="BC712">
        <f>$C712*BC711</f>
        <v/>
      </c>
      <c r="BD712">
        <f>$C712*BD711</f>
        <v/>
      </c>
      <c r="BE712">
        <f>$C712*BE711</f>
        <v/>
      </c>
      <c r="BF712">
        <f>$C712*BF711</f>
        <v/>
      </c>
      <c r="BG712">
        <f>$C712*BG711</f>
        <v/>
      </c>
      <c r="BH712">
        <f>$C712*BH711</f>
        <v/>
      </c>
      <c r="BI712">
        <f>$C712*BI711</f>
        <v/>
      </c>
      <c r="BJ712">
        <f>$C712*BJ711</f>
        <v/>
      </c>
      <c r="BK712">
        <f>$C712*BK711</f>
        <v/>
      </c>
      <c r="BL712">
        <f>$C712*BL711</f>
        <v/>
      </c>
      <c r="BM712">
        <f>$C712*BM711</f>
        <v/>
      </c>
      <c r="BN712">
        <f>$C712*BN711</f>
        <v/>
      </c>
      <c r="BO712">
        <f>$C712*BO711</f>
        <v/>
      </c>
      <c r="BP712">
        <f>$C712*BP711</f>
        <v/>
      </c>
      <c r="BQ712">
        <f>$C712*BQ711</f>
        <v/>
      </c>
      <c r="BR712">
        <f>$C712*BR711</f>
        <v/>
      </c>
      <c r="BS712">
        <f>$C712*BS711</f>
        <v/>
      </c>
      <c r="BT712">
        <f>$C712*BT711</f>
        <v/>
      </c>
      <c r="BU712">
        <f>$C712*BU711</f>
        <v/>
      </c>
      <c r="BV712">
        <f>$C712*BV711</f>
        <v/>
      </c>
      <c r="BW712">
        <f>$C712*BW711</f>
        <v/>
      </c>
      <c r="BX712">
        <f>$C712*BX711</f>
        <v/>
      </c>
      <c r="BY712">
        <f>$C712*BY711</f>
        <v/>
      </c>
      <c r="BZ712">
        <f>$C712*BZ711</f>
        <v/>
      </c>
      <c r="CA712">
        <f>$C712*CA711</f>
        <v/>
      </c>
      <c r="CB712">
        <f>$C712*CB711</f>
        <v/>
      </c>
      <c r="CC712">
        <f>$C712*CC711</f>
        <v/>
      </c>
      <c r="CD712">
        <f>$C712*CD711</f>
        <v/>
      </c>
      <c r="CE712">
        <f>$C712*CE711</f>
        <v/>
      </c>
      <c r="CF712">
        <f>$C712*CF711</f>
        <v/>
      </c>
      <c r="CG712">
        <f>$C712*CG711</f>
        <v/>
      </c>
      <c r="CH712">
        <f>$C712*CH711</f>
        <v/>
      </c>
      <c r="CI712">
        <f>$C712*CI711</f>
        <v/>
      </c>
      <c r="CJ712">
        <f>$C712*CJ711</f>
        <v/>
      </c>
      <c r="CK712">
        <f>$C712*CK711</f>
        <v/>
      </c>
      <c r="CL712">
        <f>$C712*CL711</f>
        <v/>
      </c>
      <c r="CM712">
        <f>$C712*CM711</f>
        <v/>
      </c>
      <c r="CN712">
        <f>$C712*CN711</f>
        <v/>
      </c>
      <c r="CO712">
        <f>$C712*CO711</f>
        <v/>
      </c>
      <c r="CP712">
        <f>$C712*CP711</f>
        <v/>
      </c>
      <c r="CQ712">
        <f>$C712*CQ711</f>
        <v/>
      </c>
      <c r="CR712">
        <f>$C712*CR711</f>
        <v/>
      </c>
      <c r="CS712">
        <f>$C712*CS711</f>
        <v/>
      </c>
      <c r="CT712">
        <f>$C712*CT711</f>
        <v/>
      </c>
      <c r="CU712">
        <f>$C712*CU711</f>
        <v/>
      </c>
      <c r="CV712">
        <f>$C712*CV711</f>
        <v/>
      </c>
      <c r="CW712">
        <f>$C712*CW711</f>
        <v/>
      </c>
      <c r="CX712">
        <f>$C712*CX711</f>
        <v/>
      </c>
      <c r="CY712">
        <f>$C712*CY711</f>
        <v/>
      </c>
      <c r="CZ712">
        <f>$C712*CZ711</f>
        <v/>
      </c>
      <c r="DA712">
        <f>$C712*DA711</f>
        <v/>
      </c>
      <c r="DB712">
        <f>$C712*DB711</f>
        <v/>
      </c>
      <c r="DC712">
        <f>$C712*DC711</f>
        <v/>
      </c>
      <c r="DD712">
        <f>$C712*DD711</f>
        <v/>
      </c>
    </row>
    <row r="713">
      <c r="B713" t="inlineStr">
        <is>
          <t>VSP-738</t>
        </is>
      </c>
      <c r="C713" t="inlineStr">
        <is>
          <t>No. of batches</t>
        </is>
      </c>
      <c r="D713">
        <f>IFERROR(INDEX(E713:DD713,$F$1),"")</f>
        <v/>
      </c>
      <c r="E713">
        <f>IFERROR(INDEX(PP_Grid[#Data],$DE713,2),0)</f>
        <v/>
      </c>
      <c r="F713">
        <f>IFERROR(INDEX(PP_Grid[#Data],$DE713,3),0)</f>
        <v/>
      </c>
      <c r="G713">
        <f>IFERROR(INDEX(PP_Grid[#Data],$DE713,4),0)</f>
        <v/>
      </c>
      <c r="H713">
        <f>IFERROR(INDEX(PP_Grid[#Data],$DE713,5),0)</f>
        <v/>
      </c>
      <c r="I713">
        <f>IFERROR(INDEX(PP_Grid[#Data],$DE713,6),0)</f>
        <v/>
      </c>
      <c r="J713">
        <f>IFERROR(INDEX(PP_Grid[#Data],$DE713,7),0)</f>
        <v/>
      </c>
      <c r="K713">
        <f>IFERROR(INDEX(PP_Grid[#Data],$DE713,8),0)</f>
        <v/>
      </c>
      <c r="L713">
        <f>IFERROR(INDEX(PP_Grid[#Data],$DE713,9),0)</f>
        <v/>
      </c>
      <c r="M713">
        <f>IFERROR(INDEX(PP_Grid[#Data],$DE713,10),0)</f>
        <v/>
      </c>
      <c r="N713">
        <f>IFERROR(INDEX(PP_Grid[#Data],$DE713,11),0)</f>
        <v/>
      </c>
      <c r="O713">
        <f>IFERROR(INDEX(PP_Grid[#Data],$DE713,12),0)</f>
        <v/>
      </c>
      <c r="P713">
        <f>IFERROR(INDEX(PP_Grid[#Data],$DE713,13),0)</f>
        <v/>
      </c>
      <c r="Q713">
        <f>IFERROR(INDEX(PP_Grid[#Data],$DE713,14),0)</f>
        <v/>
      </c>
      <c r="R713">
        <f>IFERROR(INDEX(PP_Grid[#Data],$DE713,15),0)</f>
        <v/>
      </c>
      <c r="S713">
        <f>IFERROR(INDEX(PP_Grid[#Data],$DE713,16),0)</f>
        <v/>
      </c>
      <c r="T713">
        <f>IFERROR(INDEX(PP_Grid[#Data],$DE713,17),0)</f>
        <v/>
      </c>
      <c r="U713">
        <f>IFERROR(INDEX(PP_Grid[#Data],$DE713,18),0)</f>
        <v/>
      </c>
      <c r="V713">
        <f>IFERROR(INDEX(PP_Grid[#Data],$DE713,19),0)</f>
        <v/>
      </c>
      <c r="W713">
        <f>IFERROR(INDEX(PP_Grid[#Data],$DE713,20),0)</f>
        <v/>
      </c>
      <c r="X713">
        <f>IFERROR(INDEX(PP_Grid[#Data],$DE713,21),0)</f>
        <v/>
      </c>
      <c r="Y713">
        <f>IFERROR(INDEX(PP_Grid[#Data],$DE713,22),0)</f>
        <v/>
      </c>
      <c r="Z713">
        <f>IFERROR(INDEX(PP_Grid[#Data],$DE713,23),0)</f>
        <v/>
      </c>
      <c r="AA713">
        <f>IFERROR(INDEX(PP_Grid[#Data],$DE713,24),0)</f>
        <v/>
      </c>
      <c r="AB713">
        <f>IFERROR(INDEX(PP_Grid[#Data],$DE713,25),0)</f>
        <v/>
      </c>
      <c r="AC713">
        <f>IFERROR(INDEX(PP_Grid[#Data],$DE713,26),0)</f>
        <v/>
      </c>
      <c r="AD713">
        <f>IFERROR(INDEX(PP_Grid[#Data],$DE713,27),0)</f>
        <v/>
      </c>
      <c r="AE713">
        <f>IFERROR(INDEX(PP_Grid[#Data],$DE713,28),0)</f>
        <v/>
      </c>
      <c r="AF713">
        <f>IFERROR(INDEX(PP_Grid[#Data],$DE713,29),0)</f>
        <v/>
      </c>
      <c r="AG713">
        <f>IFERROR(INDEX(PP_Grid[#Data],$DE713,30),0)</f>
        <v/>
      </c>
      <c r="AH713">
        <f>IFERROR(INDEX(PP_Grid[#Data],$DE713,31),0)</f>
        <v/>
      </c>
      <c r="AI713">
        <f>IFERROR(INDEX(PP_Grid[#Data],$DE713,32),0)</f>
        <v/>
      </c>
      <c r="AJ713">
        <f>IFERROR(INDEX(PP_Grid[#Data],$DE713,33),0)</f>
        <v/>
      </c>
      <c r="AK713">
        <f>IFERROR(INDEX(PP_Grid[#Data],$DE713,34),0)</f>
        <v/>
      </c>
      <c r="AL713">
        <f>IFERROR(INDEX(PP_Grid[#Data],$DE713,35),0)</f>
        <v/>
      </c>
      <c r="AM713">
        <f>IFERROR(INDEX(PP_Grid[#Data],$DE713,36),0)</f>
        <v/>
      </c>
      <c r="AN713">
        <f>IFERROR(INDEX(PP_Grid[#Data],$DE713,37),0)</f>
        <v/>
      </c>
      <c r="AO713">
        <f>IFERROR(INDEX(PP_Grid[#Data],$DE713,38),0)</f>
        <v/>
      </c>
      <c r="AP713">
        <f>IFERROR(INDEX(PP_Grid[#Data],$DE713,39),0)</f>
        <v/>
      </c>
      <c r="AQ713">
        <f>IFERROR(INDEX(PP_Grid[#Data],$DE713,40),0)</f>
        <v/>
      </c>
      <c r="AR713">
        <f>IFERROR(INDEX(PP_Grid[#Data],$DE713,41),0)</f>
        <v/>
      </c>
      <c r="AS713">
        <f>IFERROR(INDEX(PP_Grid[#Data],$DE713,42),0)</f>
        <v/>
      </c>
      <c r="AT713">
        <f>IFERROR(INDEX(PP_Grid[#Data],$DE713,43),0)</f>
        <v/>
      </c>
      <c r="AU713">
        <f>IFERROR(INDEX(PP_Grid[#Data],$DE713,44),0)</f>
        <v/>
      </c>
      <c r="AV713">
        <f>IFERROR(INDEX(PP_Grid[#Data],$DE713,45),0)</f>
        <v/>
      </c>
      <c r="AW713">
        <f>IFERROR(INDEX(PP_Grid[#Data],$DE713,46),0)</f>
        <v/>
      </c>
      <c r="AX713">
        <f>IFERROR(INDEX(PP_Grid[#Data],$DE713,47),0)</f>
        <v/>
      </c>
      <c r="AY713">
        <f>IFERROR(INDEX(PP_Grid[#Data],$DE713,48),0)</f>
        <v/>
      </c>
      <c r="AZ713">
        <f>IFERROR(INDEX(PP_Grid[#Data],$DE713,49),0)</f>
        <v/>
      </c>
      <c r="BA713">
        <f>IFERROR(INDEX(PP_Grid[#Data],$DE713,50),0)</f>
        <v/>
      </c>
      <c r="BB713">
        <f>IFERROR(INDEX(PP_Grid[#Data],$DE713,51),0)</f>
        <v/>
      </c>
      <c r="BC713">
        <f>IFERROR(INDEX(PP_Grid[#Data],$DE713,52),0)</f>
        <v/>
      </c>
      <c r="BD713">
        <f>IFERROR(INDEX(PP_Grid[#Data],$DE713,53),0)</f>
        <v/>
      </c>
      <c r="BE713">
        <f>IFERROR(INDEX(PP_Grid[#Data],$DE713,54),0)</f>
        <v/>
      </c>
      <c r="BF713">
        <f>IFERROR(INDEX(PP_Grid[#Data],$DE713,55),0)</f>
        <v/>
      </c>
      <c r="BG713">
        <f>IFERROR(INDEX(PP_Grid[#Data],$DE713,56),0)</f>
        <v/>
      </c>
      <c r="BH713">
        <f>IFERROR(INDEX(PP_Grid[#Data],$DE713,57),0)</f>
        <v/>
      </c>
      <c r="BI713">
        <f>IFERROR(INDEX(PP_Grid[#Data],$DE713,58),0)</f>
        <v/>
      </c>
      <c r="BJ713">
        <f>IFERROR(INDEX(PP_Grid[#Data],$DE713,59),0)</f>
        <v/>
      </c>
      <c r="BK713">
        <f>IFERROR(INDEX(PP_Grid[#Data],$DE713,60),0)</f>
        <v/>
      </c>
      <c r="BL713">
        <f>IFERROR(INDEX(PP_Grid[#Data],$DE713,61),0)</f>
        <v/>
      </c>
      <c r="BM713">
        <f>IFERROR(INDEX(PP_Grid[#Data],$DE713,62),0)</f>
        <v/>
      </c>
      <c r="BN713">
        <f>IFERROR(INDEX(PP_Grid[#Data],$DE713,63),0)</f>
        <v/>
      </c>
      <c r="BO713">
        <f>IFERROR(INDEX(PP_Grid[#Data],$DE713,64),0)</f>
        <v/>
      </c>
      <c r="BP713">
        <f>IFERROR(INDEX(PP_Grid[#Data],$DE713,65),0)</f>
        <v/>
      </c>
      <c r="BQ713">
        <f>IFERROR(INDEX(PP_Grid[#Data],$DE713,66),0)</f>
        <v/>
      </c>
      <c r="BR713">
        <f>IFERROR(INDEX(PP_Grid[#Data],$DE713,67),0)</f>
        <v/>
      </c>
      <c r="BS713">
        <f>IFERROR(INDEX(PP_Grid[#Data],$DE713,68),0)</f>
        <v/>
      </c>
      <c r="BT713">
        <f>IFERROR(INDEX(PP_Grid[#Data],$DE713,69),0)</f>
        <v/>
      </c>
      <c r="BU713">
        <f>IFERROR(INDEX(PP_Grid[#Data],$DE713,70),0)</f>
        <v/>
      </c>
      <c r="BV713">
        <f>IFERROR(INDEX(PP_Grid[#Data],$DE713,71),0)</f>
        <v/>
      </c>
      <c r="BW713">
        <f>IFERROR(INDEX(PP_Grid[#Data],$DE713,72),0)</f>
        <v/>
      </c>
      <c r="BX713">
        <f>IFERROR(INDEX(PP_Grid[#Data],$DE713,73),0)</f>
        <v/>
      </c>
      <c r="BY713">
        <f>IFERROR(INDEX(PP_Grid[#Data],$DE713,74),0)</f>
        <v/>
      </c>
      <c r="BZ713">
        <f>IFERROR(INDEX(PP_Grid[#Data],$DE713,75),0)</f>
        <v/>
      </c>
      <c r="CA713">
        <f>IFERROR(INDEX(PP_Grid[#Data],$DE713,76),0)</f>
        <v/>
      </c>
      <c r="CB713">
        <f>IFERROR(INDEX(PP_Grid[#Data],$DE713,77),0)</f>
        <v/>
      </c>
      <c r="CC713">
        <f>IFERROR(INDEX(PP_Grid[#Data],$DE713,78),0)</f>
        <v/>
      </c>
      <c r="CD713">
        <f>IFERROR(INDEX(PP_Grid[#Data],$DE713,79),0)</f>
        <v/>
      </c>
      <c r="CE713">
        <f>IFERROR(INDEX(PP_Grid[#Data],$DE713,80),0)</f>
        <v/>
      </c>
      <c r="CF713">
        <f>IFERROR(INDEX(PP_Grid[#Data],$DE713,81),0)</f>
        <v/>
      </c>
      <c r="CG713">
        <f>IFERROR(INDEX(PP_Grid[#Data],$DE713,82),0)</f>
        <v/>
      </c>
      <c r="CH713">
        <f>IFERROR(INDEX(PP_Grid[#Data],$DE713,83),0)</f>
        <v/>
      </c>
      <c r="CI713">
        <f>IFERROR(INDEX(PP_Grid[#Data],$DE713,84),0)</f>
        <v/>
      </c>
      <c r="CJ713">
        <f>IFERROR(INDEX(PP_Grid[#Data],$DE713,85),0)</f>
        <v/>
      </c>
      <c r="CK713">
        <f>IFERROR(INDEX(PP_Grid[#Data],$DE713,86),0)</f>
        <v/>
      </c>
      <c r="CL713">
        <f>IFERROR(INDEX(PP_Grid[#Data],$DE713,87),0)</f>
        <v/>
      </c>
      <c r="CM713">
        <f>IFERROR(INDEX(PP_Grid[#Data],$DE713,88),0)</f>
        <v/>
      </c>
      <c r="CN713">
        <f>IFERROR(INDEX(PP_Grid[#Data],$DE713,89),0)</f>
        <v/>
      </c>
      <c r="CO713">
        <f>IFERROR(INDEX(PP_Grid[#Data],$DE713,90),0)</f>
        <v/>
      </c>
      <c r="CP713">
        <f>IFERROR(INDEX(PP_Grid[#Data],$DE713,91),0)</f>
        <v/>
      </c>
      <c r="CQ713">
        <f>IFERROR(INDEX(PP_Grid[#Data],$DE713,92),0)</f>
        <v/>
      </c>
      <c r="CR713">
        <f>IFERROR(INDEX(PP_Grid[#Data],$DE713,93),0)</f>
        <v/>
      </c>
      <c r="CS713">
        <f>IFERROR(INDEX(PP_Grid[#Data],$DE713,94),0)</f>
        <v/>
      </c>
      <c r="CT713">
        <f>IFERROR(INDEX(PP_Grid[#Data],$DE713,95),0)</f>
        <v/>
      </c>
      <c r="CU713">
        <f>IFERROR(INDEX(PP_Grid[#Data],$DE713,96),0)</f>
        <v/>
      </c>
      <c r="CV713">
        <f>IFERROR(INDEX(PP_Grid[#Data],$DE713,97),0)</f>
        <v/>
      </c>
      <c r="CW713">
        <f>IFERROR(INDEX(PP_Grid[#Data],$DE713,98),0)</f>
        <v/>
      </c>
      <c r="CX713">
        <f>IFERROR(INDEX(PP_Grid[#Data],$DE713,99),0)</f>
        <v/>
      </c>
      <c r="CY713">
        <f>IFERROR(INDEX(PP_Grid[#Data],$DE713,100),0)</f>
        <v/>
      </c>
      <c r="CZ713">
        <f>IFERROR(INDEX(PP_Grid[#Data],$DE713,101),0)</f>
        <v/>
      </c>
      <c r="DA713">
        <f>IFERROR(INDEX(PP_Grid[#Data],$DE713,102),0)</f>
        <v/>
      </c>
      <c r="DB713">
        <f>IFERROR(INDEX(PP_Grid[#Data],$DE713,103),0)</f>
        <v/>
      </c>
      <c r="DC713">
        <f>IFERROR(INDEX(PP_Grid[#Data],$DE713,104),0)</f>
        <v/>
      </c>
      <c r="DD713">
        <f>IFERROR(INDEX(PP_Grid[#Data],$DE713,105),0)</f>
        <v/>
      </c>
      <c r="DE713" s="7">
        <f>IFERROR(MATCH($B713,PP_Grid[Intermediate],0),99999)</f>
        <v/>
      </c>
    </row>
    <row r="714">
      <c r="B714" t="inlineStr">
        <is>
          <t>使用量(kg)</t>
        </is>
      </c>
      <c r="C714">
        <f>SUMIFS(M_BOM[RM_Qty_Per_Batch],M_BOM[Intermediate],$B713,M_BOM[RM_Code],$A636)</f>
        <v/>
      </c>
      <c r="D714">
        <f>IFERROR(INDEX(E714:DD714,$F$1),"")</f>
        <v/>
      </c>
      <c r="E714">
        <f>$C714*E713</f>
        <v/>
      </c>
      <c r="F714">
        <f>$C714*F713</f>
        <v/>
      </c>
      <c r="G714">
        <f>$C714*G713</f>
        <v/>
      </c>
      <c r="H714">
        <f>$C714*H713</f>
        <v/>
      </c>
      <c r="I714">
        <f>$C714*I713</f>
        <v/>
      </c>
      <c r="J714">
        <f>$C714*J713</f>
        <v/>
      </c>
      <c r="K714">
        <f>$C714*K713</f>
        <v/>
      </c>
      <c r="L714">
        <f>$C714*L713</f>
        <v/>
      </c>
      <c r="M714">
        <f>$C714*M713</f>
        <v/>
      </c>
      <c r="N714">
        <f>$C714*N713</f>
        <v/>
      </c>
      <c r="O714">
        <f>$C714*O713</f>
        <v/>
      </c>
      <c r="P714">
        <f>$C714*P713</f>
        <v/>
      </c>
      <c r="Q714">
        <f>$C714*Q713</f>
        <v/>
      </c>
      <c r="R714">
        <f>$C714*R713</f>
        <v/>
      </c>
      <c r="S714">
        <f>$C714*S713</f>
        <v/>
      </c>
      <c r="T714">
        <f>$C714*T713</f>
        <v/>
      </c>
      <c r="U714">
        <f>$C714*U713</f>
        <v/>
      </c>
      <c r="V714">
        <f>$C714*V713</f>
        <v/>
      </c>
      <c r="W714">
        <f>$C714*W713</f>
        <v/>
      </c>
      <c r="X714">
        <f>$C714*X713</f>
        <v/>
      </c>
      <c r="Y714">
        <f>$C714*Y713</f>
        <v/>
      </c>
      <c r="Z714">
        <f>$C714*Z713</f>
        <v/>
      </c>
      <c r="AA714">
        <f>$C714*AA713</f>
        <v/>
      </c>
      <c r="AB714">
        <f>$C714*AB713</f>
        <v/>
      </c>
      <c r="AC714">
        <f>$C714*AC713</f>
        <v/>
      </c>
      <c r="AD714">
        <f>$C714*AD713</f>
        <v/>
      </c>
      <c r="AE714">
        <f>$C714*AE713</f>
        <v/>
      </c>
      <c r="AF714">
        <f>$C714*AF713</f>
        <v/>
      </c>
      <c r="AG714">
        <f>$C714*AG713</f>
        <v/>
      </c>
      <c r="AH714">
        <f>$C714*AH713</f>
        <v/>
      </c>
      <c r="AI714">
        <f>$C714*AI713</f>
        <v/>
      </c>
      <c r="AJ714">
        <f>$C714*AJ713</f>
        <v/>
      </c>
      <c r="AK714">
        <f>$C714*AK713</f>
        <v/>
      </c>
      <c r="AL714">
        <f>$C714*AL713</f>
        <v/>
      </c>
      <c r="AM714">
        <f>$C714*AM713</f>
        <v/>
      </c>
      <c r="AN714">
        <f>$C714*AN713</f>
        <v/>
      </c>
      <c r="AO714">
        <f>$C714*AO713</f>
        <v/>
      </c>
      <c r="AP714">
        <f>$C714*AP713</f>
        <v/>
      </c>
      <c r="AQ714">
        <f>$C714*AQ713</f>
        <v/>
      </c>
      <c r="AR714">
        <f>$C714*AR713</f>
        <v/>
      </c>
      <c r="AS714">
        <f>$C714*AS713</f>
        <v/>
      </c>
      <c r="AT714">
        <f>$C714*AT713</f>
        <v/>
      </c>
      <c r="AU714">
        <f>$C714*AU713</f>
        <v/>
      </c>
      <c r="AV714">
        <f>$C714*AV713</f>
        <v/>
      </c>
      <c r="AW714">
        <f>$C714*AW713</f>
        <v/>
      </c>
      <c r="AX714">
        <f>$C714*AX713</f>
        <v/>
      </c>
      <c r="AY714">
        <f>$C714*AY713</f>
        <v/>
      </c>
      <c r="AZ714">
        <f>$C714*AZ713</f>
        <v/>
      </c>
      <c r="BA714">
        <f>$C714*BA713</f>
        <v/>
      </c>
      <c r="BB714">
        <f>$C714*BB713</f>
        <v/>
      </c>
      <c r="BC714">
        <f>$C714*BC713</f>
        <v/>
      </c>
      <c r="BD714">
        <f>$C714*BD713</f>
        <v/>
      </c>
      <c r="BE714">
        <f>$C714*BE713</f>
        <v/>
      </c>
      <c r="BF714">
        <f>$C714*BF713</f>
        <v/>
      </c>
      <c r="BG714">
        <f>$C714*BG713</f>
        <v/>
      </c>
      <c r="BH714">
        <f>$C714*BH713</f>
        <v/>
      </c>
      <c r="BI714">
        <f>$C714*BI713</f>
        <v/>
      </c>
      <c r="BJ714">
        <f>$C714*BJ713</f>
        <v/>
      </c>
      <c r="BK714">
        <f>$C714*BK713</f>
        <v/>
      </c>
      <c r="BL714">
        <f>$C714*BL713</f>
        <v/>
      </c>
      <c r="BM714">
        <f>$C714*BM713</f>
        <v/>
      </c>
      <c r="BN714">
        <f>$C714*BN713</f>
        <v/>
      </c>
      <c r="BO714">
        <f>$C714*BO713</f>
        <v/>
      </c>
      <c r="BP714">
        <f>$C714*BP713</f>
        <v/>
      </c>
      <c r="BQ714">
        <f>$C714*BQ713</f>
        <v/>
      </c>
      <c r="BR714">
        <f>$C714*BR713</f>
        <v/>
      </c>
      <c r="BS714">
        <f>$C714*BS713</f>
        <v/>
      </c>
      <c r="BT714">
        <f>$C714*BT713</f>
        <v/>
      </c>
      <c r="BU714">
        <f>$C714*BU713</f>
        <v/>
      </c>
      <c r="BV714">
        <f>$C714*BV713</f>
        <v/>
      </c>
      <c r="BW714">
        <f>$C714*BW713</f>
        <v/>
      </c>
      <c r="BX714">
        <f>$C714*BX713</f>
        <v/>
      </c>
      <c r="BY714">
        <f>$C714*BY713</f>
        <v/>
      </c>
      <c r="BZ714">
        <f>$C714*BZ713</f>
        <v/>
      </c>
      <c r="CA714">
        <f>$C714*CA713</f>
        <v/>
      </c>
      <c r="CB714">
        <f>$C714*CB713</f>
        <v/>
      </c>
      <c r="CC714">
        <f>$C714*CC713</f>
        <v/>
      </c>
      <c r="CD714">
        <f>$C714*CD713</f>
        <v/>
      </c>
      <c r="CE714">
        <f>$C714*CE713</f>
        <v/>
      </c>
      <c r="CF714">
        <f>$C714*CF713</f>
        <v/>
      </c>
      <c r="CG714">
        <f>$C714*CG713</f>
        <v/>
      </c>
      <c r="CH714">
        <f>$C714*CH713</f>
        <v/>
      </c>
      <c r="CI714">
        <f>$C714*CI713</f>
        <v/>
      </c>
      <c r="CJ714">
        <f>$C714*CJ713</f>
        <v/>
      </c>
      <c r="CK714">
        <f>$C714*CK713</f>
        <v/>
      </c>
      <c r="CL714">
        <f>$C714*CL713</f>
        <v/>
      </c>
      <c r="CM714">
        <f>$C714*CM713</f>
        <v/>
      </c>
      <c r="CN714">
        <f>$C714*CN713</f>
        <v/>
      </c>
      <c r="CO714">
        <f>$C714*CO713</f>
        <v/>
      </c>
      <c r="CP714">
        <f>$C714*CP713</f>
        <v/>
      </c>
      <c r="CQ714">
        <f>$C714*CQ713</f>
        <v/>
      </c>
      <c r="CR714">
        <f>$C714*CR713</f>
        <v/>
      </c>
      <c r="CS714">
        <f>$C714*CS713</f>
        <v/>
      </c>
      <c r="CT714">
        <f>$C714*CT713</f>
        <v/>
      </c>
      <c r="CU714">
        <f>$C714*CU713</f>
        <v/>
      </c>
      <c r="CV714">
        <f>$C714*CV713</f>
        <v/>
      </c>
      <c r="CW714">
        <f>$C714*CW713</f>
        <v/>
      </c>
      <c r="CX714">
        <f>$C714*CX713</f>
        <v/>
      </c>
      <c r="CY714">
        <f>$C714*CY713</f>
        <v/>
      </c>
      <c r="CZ714">
        <f>$C714*CZ713</f>
        <v/>
      </c>
      <c r="DA714">
        <f>$C714*DA713</f>
        <v/>
      </c>
      <c r="DB714">
        <f>$C714*DB713</f>
        <v/>
      </c>
      <c r="DC714">
        <f>$C714*DC713</f>
        <v/>
      </c>
      <c r="DD714">
        <f>$C714*DD713</f>
        <v/>
      </c>
    </row>
    <row r="715">
      <c r="B715" t="inlineStr">
        <is>
          <t>VSP-739</t>
        </is>
      </c>
      <c r="C715" t="inlineStr">
        <is>
          <t>No. of batches</t>
        </is>
      </c>
      <c r="D715">
        <f>IFERROR(INDEX(E715:DD715,$F$1),"")</f>
        <v/>
      </c>
      <c r="E715">
        <f>IFERROR(INDEX(PP_Grid[#Data],$DE715,2),0)</f>
        <v/>
      </c>
      <c r="F715">
        <f>IFERROR(INDEX(PP_Grid[#Data],$DE715,3),0)</f>
        <v/>
      </c>
      <c r="G715">
        <f>IFERROR(INDEX(PP_Grid[#Data],$DE715,4),0)</f>
        <v/>
      </c>
      <c r="H715">
        <f>IFERROR(INDEX(PP_Grid[#Data],$DE715,5),0)</f>
        <v/>
      </c>
      <c r="I715">
        <f>IFERROR(INDEX(PP_Grid[#Data],$DE715,6),0)</f>
        <v/>
      </c>
      <c r="J715">
        <f>IFERROR(INDEX(PP_Grid[#Data],$DE715,7),0)</f>
        <v/>
      </c>
      <c r="K715">
        <f>IFERROR(INDEX(PP_Grid[#Data],$DE715,8),0)</f>
        <v/>
      </c>
      <c r="L715">
        <f>IFERROR(INDEX(PP_Grid[#Data],$DE715,9),0)</f>
        <v/>
      </c>
      <c r="M715">
        <f>IFERROR(INDEX(PP_Grid[#Data],$DE715,10),0)</f>
        <v/>
      </c>
      <c r="N715">
        <f>IFERROR(INDEX(PP_Grid[#Data],$DE715,11),0)</f>
        <v/>
      </c>
      <c r="O715">
        <f>IFERROR(INDEX(PP_Grid[#Data],$DE715,12),0)</f>
        <v/>
      </c>
      <c r="P715">
        <f>IFERROR(INDEX(PP_Grid[#Data],$DE715,13),0)</f>
        <v/>
      </c>
      <c r="Q715">
        <f>IFERROR(INDEX(PP_Grid[#Data],$DE715,14),0)</f>
        <v/>
      </c>
      <c r="R715">
        <f>IFERROR(INDEX(PP_Grid[#Data],$DE715,15),0)</f>
        <v/>
      </c>
      <c r="S715">
        <f>IFERROR(INDEX(PP_Grid[#Data],$DE715,16),0)</f>
        <v/>
      </c>
      <c r="T715">
        <f>IFERROR(INDEX(PP_Grid[#Data],$DE715,17),0)</f>
        <v/>
      </c>
      <c r="U715">
        <f>IFERROR(INDEX(PP_Grid[#Data],$DE715,18),0)</f>
        <v/>
      </c>
      <c r="V715">
        <f>IFERROR(INDEX(PP_Grid[#Data],$DE715,19),0)</f>
        <v/>
      </c>
      <c r="W715">
        <f>IFERROR(INDEX(PP_Grid[#Data],$DE715,20),0)</f>
        <v/>
      </c>
      <c r="X715">
        <f>IFERROR(INDEX(PP_Grid[#Data],$DE715,21),0)</f>
        <v/>
      </c>
      <c r="Y715">
        <f>IFERROR(INDEX(PP_Grid[#Data],$DE715,22),0)</f>
        <v/>
      </c>
      <c r="Z715">
        <f>IFERROR(INDEX(PP_Grid[#Data],$DE715,23),0)</f>
        <v/>
      </c>
      <c r="AA715">
        <f>IFERROR(INDEX(PP_Grid[#Data],$DE715,24),0)</f>
        <v/>
      </c>
      <c r="AB715">
        <f>IFERROR(INDEX(PP_Grid[#Data],$DE715,25),0)</f>
        <v/>
      </c>
      <c r="AC715">
        <f>IFERROR(INDEX(PP_Grid[#Data],$DE715,26),0)</f>
        <v/>
      </c>
      <c r="AD715">
        <f>IFERROR(INDEX(PP_Grid[#Data],$DE715,27),0)</f>
        <v/>
      </c>
      <c r="AE715">
        <f>IFERROR(INDEX(PP_Grid[#Data],$DE715,28),0)</f>
        <v/>
      </c>
      <c r="AF715">
        <f>IFERROR(INDEX(PP_Grid[#Data],$DE715,29),0)</f>
        <v/>
      </c>
      <c r="AG715">
        <f>IFERROR(INDEX(PP_Grid[#Data],$DE715,30),0)</f>
        <v/>
      </c>
      <c r="AH715">
        <f>IFERROR(INDEX(PP_Grid[#Data],$DE715,31),0)</f>
        <v/>
      </c>
      <c r="AI715">
        <f>IFERROR(INDEX(PP_Grid[#Data],$DE715,32),0)</f>
        <v/>
      </c>
      <c r="AJ715">
        <f>IFERROR(INDEX(PP_Grid[#Data],$DE715,33),0)</f>
        <v/>
      </c>
      <c r="AK715">
        <f>IFERROR(INDEX(PP_Grid[#Data],$DE715,34),0)</f>
        <v/>
      </c>
      <c r="AL715">
        <f>IFERROR(INDEX(PP_Grid[#Data],$DE715,35),0)</f>
        <v/>
      </c>
      <c r="AM715">
        <f>IFERROR(INDEX(PP_Grid[#Data],$DE715,36),0)</f>
        <v/>
      </c>
      <c r="AN715">
        <f>IFERROR(INDEX(PP_Grid[#Data],$DE715,37),0)</f>
        <v/>
      </c>
      <c r="AO715">
        <f>IFERROR(INDEX(PP_Grid[#Data],$DE715,38),0)</f>
        <v/>
      </c>
      <c r="AP715">
        <f>IFERROR(INDEX(PP_Grid[#Data],$DE715,39),0)</f>
        <v/>
      </c>
      <c r="AQ715">
        <f>IFERROR(INDEX(PP_Grid[#Data],$DE715,40),0)</f>
        <v/>
      </c>
      <c r="AR715">
        <f>IFERROR(INDEX(PP_Grid[#Data],$DE715,41),0)</f>
        <v/>
      </c>
      <c r="AS715">
        <f>IFERROR(INDEX(PP_Grid[#Data],$DE715,42),0)</f>
        <v/>
      </c>
      <c r="AT715">
        <f>IFERROR(INDEX(PP_Grid[#Data],$DE715,43),0)</f>
        <v/>
      </c>
      <c r="AU715">
        <f>IFERROR(INDEX(PP_Grid[#Data],$DE715,44),0)</f>
        <v/>
      </c>
      <c r="AV715">
        <f>IFERROR(INDEX(PP_Grid[#Data],$DE715,45),0)</f>
        <v/>
      </c>
      <c r="AW715">
        <f>IFERROR(INDEX(PP_Grid[#Data],$DE715,46),0)</f>
        <v/>
      </c>
      <c r="AX715">
        <f>IFERROR(INDEX(PP_Grid[#Data],$DE715,47),0)</f>
        <v/>
      </c>
      <c r="AY715">
        <f>IFERROR(INDEX(PP_Grid[#Data],$DE715,48),0)</f>
        <v/>
      </c>
      <c r="AZ715">
        <f>IFERROR(INDEX(PP_Grid[#Data],$DE715,49),0)</f>
        <v/>
      </c>
      <c r="BA715">
        <f>IFERROR(INDEX(PP_Grid[#Data],$DE715,50),0)</f>
        <v/>
      </c>
      <c r="BB715">
        <f>IFERROR(INDEX(PP_Grid[#Data],$DE715,51),0)</f>
        <v/>
      </c>
      <c r="BC715">
        <f>IFERROR(INDEX(PP_Grid[#Data],$DE715,52),0)</f>
        <v/>
      </c>
      <c r="BD715">
        <f>IFERROR(INDEX(PP_Grid[#Data],$DE715,53),0)</f>
        <v/>
      </c>
      <c r="BE715">
        <f>IFERROR(INDEX(PP_Grid[#Data],$DE715,54),0)</f>
        <v/>
      </c>
      <c r="BF715">
        <f>IFERROR(INDEX(PP_Grid[#Data],$DE715,55),0)</f>
        <v/>
      </c>
      <c r="BG715">
        <f>IFERROR(INDEX(PP_Grid[#Data],$DE715,56),0)</f>
        <v/>
      </c>
      <c r="BH715">
        <f>IFERROR(INDEX(PP_Grid[#Data],$DE715,57),0)</f>
        <v/>
      </c>
      <c r="BI715">
        <f>IFERROR(INDEX(PP_Grid[#Data],$DE715,58),0)</f>
        <v/>
      </c>
      <c r="BJ715">
        <f>IFERROR(INDEX(PP_Grid[#Data],$DE715,59),0)</f>
        <v/>
      </c>
      <c r="BK715">
        <f>IFERROR(INDEX(PP_Grid[#Data],$DE715,60),0)</f>
        <v/>
      </c>
      <c r="BL715">
        <f>IFERROR(INDEX(PP_Grid[#Data],$DE715,61),0)</f>
        <v/>
      </c>
      <c r="BM715">
        <f>IFERROR(INDEX(PP_Grid[#Data],$DE715,62),0)</f>
        <v/>
      </c>
      <c r="BN715">
        <f>IFERROR(INDEX(PP_Grid[#Data],$DE715,63),0)</f>
        <v/>
      </c>
      <c r="BO715">
        <f>IFERROR(INDEX(PP_Grid[#Data],$DE715,64),0)</f>
        <v/>
      </c>
      <c r="BP715">
        <f>IFERROR(INDEX(PP_Grid[#Data],$DE715,65),0)</f>
        <v/>
      </c>
      <c r="BQ715">
        <f>IFERROR(INDEX(PP_Grid[#Data],$DE715,66),0)</f>
        <v/>
      </c>
      <c r="BR715">
        <f>IFERROR(INDEX(PP_Grid[#Data],$DE715,67),0)</f>
        <v/>
      </c>
      <c r="BS715">
        <f>IFERROR(INDEX(PP_Grid[#Data],$DE715,68),0)</f>
        <v/>
      </c>
      <c r="BT715">
        <f>IFERROR(INDEX(PP_Grid[#Data],$DE715,69),0)</f>
        <v/>
      </c>
      <c r="BU715">
        <f>IFERROR(INDEX(PP_Grid[#Data],$DE715,70),0)</f>
        <v/>
      </c>
      <c r="BV715">
        <f>IFERROR(INDEX(PP_Grid[#Data],$DE715,71),0)</f>
        <v/>
      </c>
      <c r="BW715">
        <f>IFERROR(INDEX(PP_Grid[#Data],$DE715,72),0)</f>
        <v/>
      </c>
      <c r="BX715">
        <f>IFERROR(INDEX(PP_Grid[#Data],$DE715,73),0)</f>
        <v/>
      </c>
      <c r="BY715">
        <f>IFERROR(INDEX(PP_Grid[#Data],$DE715,74),0)</f>
        <v/>
      </c>
      <c r="BZ715">
        <f>IFERROR(INDEX(PP_Grid[#Data],$DE715,75),0)</f>
        <v/>
      </c>
      <c r="CA715">
        <f>IFERROR(INDEX(PP_Grid[#Data],$DE715,76),0)</f>
        <v/>
      </c>
      <c r="CB715">
        <f>IFERROR(INDEX(PP_Grid[#Data],$DE715,77),0)</f>
        <v/>
      </c>
      <c r="CC715">
        <f>IFERROR(INDEX(PP_Grid[#Data],$DE715,78),0)</f>
        <v/>
      </c>
      <c r="CD715">
        <f>IFERROR(INDEX(PP_Grid[#Data],$DE715,79),0)</f>
        <v/>
      </c>
      <c r="CE715">
        <f>IFERROR(INDEX(PP_Grid[#Data],$DE715,80),0)</f>
        <v/>
      </c>
      <c r="CF715">
        <f>IFERROR(INDEX(PP_Grid[#Data],$DE715,81),0)</f>
        <v/>
      </c>
      <c r="CG715">
        <f>IFERROR(INDEX(PP_Grid[#Data],$DE715,82),0)</f>
        <v/>
      </c>
      <c r="CH715">
        <f>IFERROR(INDEX(PP_Grid[#Data],$DE715,83),0)</f>
        <v/>
      </c>
      <c r="CI715">
        <f>IFERROR(INDEX(PP_Grid[#Data],$DE715,84),0)</f>
        <v/>
      </c>
      <c r="CJ715">
        <f>IFERROR(INDEX(PP_Grid[#Data],$DE715,85),0)</f>
        <v/>
      </c>
      <c r="CK715">
        <f>IFERROR(INDEX(PP_Grid[#Data],$DE715,86),0)</f>
        <v/>
      </c>
      <c r="CL715">
        <f>IFERROR(INDEX(PP_Grid[#Data],$DE715,87),0)</f>
        <v/>
      </c>
      <c r="CM715">
        <f>IFERROR(INDEX(PP_Grid[#Data],$DE715,88),0)</f>
        <v/>
      </c>
      <c r="CN715">
        <f>IFERROR(INDEX(PP_Grid[#Data],$DE715,89),0)</f>
        <v/>
      </c>
      <c r="CO715">
        <f>IFERROR(INDEX(PP_Grid[#Data],$DE715,90),0)</f>
        <v/>
      </c>
      <c r="CP715">
        <f>IFERROR(INDEX(PP_Grid[#Data],$DE715,91),0)</f>
        <v/>
      </c>
      <c r="CQ715">
        <f>IFERROR(INDEX(PP_Grid[#Data],$DE715,92),0)</f>
        <v/>
      </c>
      <c r="CR715">
        <f>IFERROR(INDEX(PP_Grid[#Data],$DE715,93),0)</f>
        <v/>
      </c>
      <c r="CS715">
        <f>IFERROR(INDEX(PP_Grid[#Data],$DE715,94),0)</f>
        <v/>
      </c>
      <c r="CT715">
        <f>IFERROR(INDEX(PP_Grid[#Data],$DE715,95),0)</f>
        <v/>
      </c>
      <c r="CU715">
        <f>IFERROR(INDEX(PP_Grid[#Data],$DE715,96),0)</f>
        <v/>
      </c>
      <c r="CV715">
        <f>IFERROR(INDEX(PP_Grid[#Data],$DE715,97),0)</f>
        <v/>
      </c>
      <c r="CW715">
        <f>IFERROR(INDEX(PP_Grid[#Data],$DE715,98),0)</f>
        <v/>
      </c>
      <c r="CX715">
        <f>IFERROR(INDEX(PP_Grid[#Data],$DE715,99),0)</f>
        <v/>
      </c>
      <c r="CY715">
        <f>IFERROR(INDEX(PP_Grid[#Data],$DE715,100),0)</f>
        <v/>
      </c>
      <c r="CZ715">
        <f>IFERROR(INDEX(PP_Grid[#Data],$DE715,101),0)</f>
        <v/>
      </c>
      <c r="DA715">
        <f>IFERROR(INDEX(PP_Grid[#Data],$DE715,102),0)</f>
        <v/>
      </c>
      <c r="DB715">
        <f>IFERROR(INDEX(PP_Grid[#Data],$DE715,103),0)</f>
        <v/>
      </c>
      <c r="DC715">
        <f>IFERROR(INDEX(PP_Grid[#Data],$DE715,104),0)</f>
        <v/>
      </c>
      <c r="DD715">
        <f>IFERROR(INDEX(PP_Grid[#Data],$DE715,105),0)</f>
        <v/>
      </c>
      <c r="DE715" s="7">
        <f>IFERROR(MATCH($B715,PP_Grid[Intermediate],0),99999)</f>
        <v/>
      </c>
    </row>
    <row r="716">
      <c r="B716" t="inlineStr">
        <is>
          <t>使用量(kg)</t>
        </is>
      </c>
      <c r="C716">
        <f>SUMIFS(M_BOM[RM_Qty_Per_Batch],M_BOM[Intermediate],$B715,M_BOM[RM_Code],$A636)</f>
        <v/>
      </c>
      <c r="D716">
        <f>IFERROR(INDEX(E716:DD716,$F$1),"")</f>
        <v/>
      </c>
      <c r="E716">
        <f>$C716*E715</f>
        <v/>
      </c>
      <c r="F716">
        <f>$C716*F715</f>
        <v/>
      </c>
      <c r="G716">
        <f>$C716*G715</f>
        <v/>
      </c>
      <c r="H716">
        <f>$C716*H715</f>
        <v/>
      </c>
      <c r="I716">
        <f>$C716*I715</f>
        <v/>
      </c>
      <c r="J716">
        <f>$C716*J715</f>
        <v/>
      </c>
      <c r="K716">
        <f>$C716*K715</f>
        <v/>
      </c>
      <c r="L716">
        <f>$C716*L715</f>
        <v/>
      </c>
      <c r="M716">
        <f>$C716*M715</f>
        <v/>
      </c>
      <c r="N716">
        <f>$C716*N715</f>
        <v/>
      </c>
      <c r="O716">
        <f>$C716*O715</f>
        <v/>
      </c>
      <c r="P716">
        <f>$C716*P715</f>
        <v/>
      </c>
      <c r="Q716">
        <f>$C716*Q715</f>
        <v/>
      </c>
      <c r="R716">
        <f>$C716*R715</f>
        <v/>
      </c>
      <c r="S716">
        <f>$C716*S715</f>
        <v/>
      </c>
      <c r="T716">
        <f>$C716*T715</f>
        <v/>
      </c>
      <c r="U716">
        <f>$C716*U715</f>
        <v/>
      </c>
      <c r="V716">
        <f>$C716*V715</f>
        <v/>
      </c>
      <c r="W716">
        <f>$C716*W715</f>
        <v/>
      </c>
      <c r="X716">
        <f>$C716*X715</f>
        <v/>
      </c>
      <c r="Y716">
        <f>$C716*Y715</f>
        <v/>
      </c>
      <c r="Z716">
        <f>$C716*Z715</f>
        <v/>
      </c>
      <c r="AA716">
        <f>$C716*AA715</f>
        <v/>
      </c>
      <c r="AB716">
        <f>$C716*AB715</f>
        <v/>
      </c>
      <c r="AC716">
        <f>$C716*AC715</f>
        <v/>
      </c>
      <c r="AD716">
        <f>$C716*AD715</f>
        <v/>
      </c>
      <c r="AE716">
        <f>$C716*AE715</f>
        <v/>
      </c>
      <c r="AF716">
        <f>$C716*AF715</f>
        <v/>
      </c>
      <c r="AG716">
        <f>$C716*AG715</f>
        <v/>
      </c>
      <c r="AH716">
        <f>$C716*AH715</f>
        <v/>
      </c>
      <c r="AI716">
        <f>$C716*AI715</f>
        <v/>
      </c>
      <c r="AJ716">
        <f>$C716*AJ715</f>
        <v/>
      </c>
      <c r="AK716">
        <f>$C716*AK715</f>
        <v/>
      </c>
      <c r="AL716">
        <f>$C716*AL715</f>
        <v/>
      </c>
      <c r="AM716">
        <f>$C716*AM715</f>
        <v/>
      </c>
      <c r="AN716">
        <f>$C716*AN715</f>
        <v/>
      </c>
      <c r="AO716">
        <f>$C716*AO715</f>
        <v/>
      </c>
      <c r="AP716">
        <f>$C716*AP715</f>
        <v/>
      </c>
      <c r="AQ716">
        <f>$C716*AQ715</f>
        <v/>
      </c>
      <c r="AR716">
        <f>$C716*AR715</f>
        <v/>
      </c>
      <c r="AS716">
        <f>$C716*AS715</f>
        <v/>
      </c>
      <c r="AT716">
        <f>$C716*AT715</f>
        <v/>
      </c>
      <c r="AU716">
        <f>$C716*AU715</f>
        <v/>
      </c>
      <c r="AV716">
        <f>$C716*AV715</f>
        <v/>
      </c>
      <c r="AW716">
        <f>$C716*AW715</f>
        <v/>
      </c>
      <c r="AX716">
        <f>$C716*AX715</f>
        <v/>
      </c>
      <c r="AY716">
        <f>$C716*AY715</f>
        <v/>
      </c>
      <c r="AZ716">
        <f>$C716*AZ715</f>
        <v/>
      </c>
      <c r="BA716">
        <f>$C716*BA715</f>
        <v/>
      </c>
      <c r="BB716">
        <f>$C716*BB715</f>
        <v/>
      </c>
      <c r="BC716">
        <f>$C716*BC715</f>
        <v/>
      </c>
      <c r="BD716">
        <f>$C716*BD715</f>
        <v/>
      </c>
      <c r="BE716">
        <f>$C716*BE715</f>
        <v/>
      </c>
      <c r="BF716">
        <f>$C716*BF715</f>
        <v/>
      </c>
      <c r="BG716">
        <f>$C716*BG715</f>
        <v/>
      </c>
      <c r="BH716">
        <f>$C716*BH715</f>
        <v/>
      </c>
      <c r="BI716">
        <f>$C716*BI715</f>
        <v/>
      </c>
      <c r="BJ716">
        <f>$C716*BJ715</f>
        <v/>
      </c>
      <c r="BK716">
        <f>$C716*BK715</f>
        <v/>
      </c>
      <c r="BL716">
        <f>$C716*BL715</f>
        <v/>
      </c>
      <c r="BM716">
        <f>$C716*BM715</f>
        <v/>
      </c>
      <c r="BN716">
        <f>$C716*BN715</f>
        <v/>
      </c>
      <c r="BO716">
        <f>$C716*BO715</f>
        <v/>
      </c>
      <c r="BP716">
        <f>$C716*BP715</f>
        <v/>
      </c>
      <c r="BQ716">
        <f>$C716*BQ715</f>
        <v/>
      </c>
      <c r="BR716">
        <f>$C716*BR715</f>
        <v/>
      </c>
      <c r="BS716">
        <f>$C716*BS715</f>
        <v/>
      </c>
      <c r="BT716">
        <f>$C716*BT715</f>
        <v/>
      </c>
      <c r="BU716">
        <f>$C716*BU715</f>
        <v/>
      </c>
      <c r="BV716">
        <f>$C716*BV715</f>
        <v/>
      </c>
      <c r="BW716">
        <f>$C716*BW715</f>
        <v/>
      </c>
      <c r="BX716">
        <f>$C716*BX715</f>
        <v/>
      </c>
      <c r="BY716">
        <f>$C716*BY715</f>
        <v/>
      </c>
      <c r="BZ716">
        <f>$C716*BZ715</f>
        <v/>
      </c>
      <c r="CA716">
        <f>$C716*CA715</f>
        <v/>
      </c>
      <c r="CB716">
        <f>$C716*CB715</f>
        <v/>
      </c>
      <c r="CC716">
        <f>$C716*CC715</f>
        <v/>
      </c>
      <c r="CD716">
        <f>$C716*CD715</f>
        <v/>
      </c>
      <c r="CE716">
        <f>$C716*CE715</f>
        <v/>
      </c>
      <c r="CF716">
        <f>$C716*CF715</f>
        <v/>
      </c>
      <c r="CG716">
        <f>$C716*CG715</f>
        <v/>
      </c>
      <c r="CH716">
        <f>$C716*CH715</f>
        <v/>
      </c>
      <c r="CI716">
        <f>$C716*CI715</f>
        <v/>
      </c>
      <c r="CJ716">
        <f>$C716*CJ715</f>
        <v/>
      </c>
      <c r="CK716">
        <f>$C716*CK715</f>
        <v/>
      </c>
      <c r="CL716">
        <f>$C716*CL715</f>
        <v/>
      </c>
      <c r="CM716">
        <f>$C716*CM715</f>
        <v/>
      </c>
      <c r="CN716">
        <f>$C716*CN715</f>
        <v/>
      </c>
      <c r="CO716">
        <f>$C716*CO715</f>
        <v/>
      </c>
      <c r="CP716">
        <f>$C716*CP715</f>
        <v/>
      </c>
      <c r="CQ716">
        <f>$C716*CQ715</f>
        <v/>
      </c>
      <c r="CR716">
        <f>$C716*CR715</f>
        <v/>
      </c>
      <c r="CS716">
        <f>$C716*CS715</f>
        <v/>
      </c>
      <c r="CT716">
        <f>$C716*CT715</f>
        <v/>
      </c>
      <c r="CU716">
        <f>$C716*CU715</f>
        <v/>
      </c>
      <c r="CV716">
        <f>$C716*CV715</f>
        <v/>
      </c>
      <c r="CW716">
        <f>$C716*CW715</f>
        <v/>
      </c>
      <c r="CX716">
        <f>$C716*CX715</f>
        <v/>
      </c>
      <c r="CY716">
        <f>$C716*CY715</f>
        <v/>
      </c>
      <c r="CZ716">
        <f>$C716*CZ715</f>
        <v/>
      </c>
      <c r="DA716">
        <f>$C716*DA715</f>
        <v/>
      </c>
      <c r="DB716">
        <f>$C716*DB715</f>
        <v/>
      </c>
      <c r="DC716">
        <f>$C716*DC715</f>
        <v/>
      </c>
      <c r="DD716">
        <f>$C716*DD715</f>
        <v/>
      </c>
    </row>
    <row r="717">
      <c r="B717" t="inlineStr">
        <is>
          <t>VSP-740</t>
        </is>
      </c>
      <c r="C717" t="inlineStr">
        <is>
          <t>No. of batches</t>
        </is>
      </c>
      <c r="D717">
        <f>IFERROR(INDEX(E717:DD717,$F$1),"")</f>
        <v/>
      </c>
      <c r="E717">
        <f>IFERROR(INDEX(PP_Grid[#Data],$DE717,2),0)</f>
        <v/>
      </c>
      <c r="F717">
        <f>IFERROR(INDEX(PP_Grid[#Data],$DE717,3),0)</f>
        <v/>
      </c>
      <c r="G717">
        <f>IFERROR(INDEX(PP_Grid[#Data],$DE717,4),0)</f>
        <v/>
      </c>
      <c r="H717">
        <f>IFERROR(INDEX(PP_Grid[#Data],$DE717,5),0)</f>
        <v/>
      </c>
      <c r="I717">
        <f>IFERROR(INDEX(PP_Grid[#Data],$DE717,6),0)</f>
        <v/>
      </c>
      <c r="J717">
        <f>IFERROR(INDEX(PP_Grid[#Data],$DE717,7),0)</f>
        <v/>
      </c>
      <c r="K717">
        <f>IFERROR(INDEX(PP_Grid[#Data],$DE717,8),0)</f>
        <v/>
      </c>
      <c r="L717">
        <f>IFERROR(INDEX(PP_Grid[#Data],$DE717,9),0)</f>
        <v/>
      </c>
      <c r="M717">
        <f>IFERROR(INDEX(PP_Grid[#Data],$DE717,10),0)</f>
        <v/>
      </c>
      <c r="N717">
        <f>IFERROR(INDEX(PP_Grid[#Data],$DE717,11),0)</f>
        <v/>
      </c>
      <c r="O717">
        <f>IFERROR(INDEX(PP_Grid[#Data],$DE717,12),0)</f>
        <v/>
      </c>
      <c r="P717">
        <f>IFERROR(INDEX(PP_Grid[#Data],$DE717,13),0)</f>
        <v/>
      </c>
      <c r="Q717">
        <f>IFERROR(INDEX(PP_Grid[#Data],$DE717,14),0)</f>
        <v/>
      </c>
      <c r="R717">
        <f>IFERROR(INDEX(PP_Grid[#Data],$DE717,15),0)</f>
        <v/>
      </c>
      <c r="S717">
        <f>IFERROR(INDEX(PP_Grid[#Data],$DE717,16),0)</f>
        <v/>
      </c>
      <c r="T717">
        <f>IFERROR(INDEX(PP_Grid[#Data],$DE717,17),0)</f>
        <v/>
      </c>
      <c r="U717">
        <f>IFERROR(INDEX(PP_Grid[#Data],$DE717,18),0)</f>
        <v/>
      </c>
      <c r="V717">
        <f>IFERROR(INDEX(PP_Grid[#Data],$DE717,19),0)</f>
        <v/>
      </c>
      <c r="W717">
        <f>IFERROR(INDEX(PP_Grid[#Data],$DE717,20),0)</f>
        <v/>
      </c>
      <c r="X717">
        <f>IFERROR(INDEX(PP_Grid[#Data],$DE717,21),0)</f>
        <v/>
      </c>
      <c r="Y717">
        <f>IFERROR(INDEX(PP_Grid[#Data],$DE717,22),0)</f>
        <v/>
      </c>
      <c r="Z717">
        <f>IFERROR(INDEX(PP_Grid[#Data],$DE717,23),0)</f>
        <v/>
      </c>
      <c r="AA717">
        <f>IFERROR(INDEX(PP_Grid[#Data],$DE717,24),0)</f>
        <v/>
      </c>
      <c r="AB717">
        <f>IFERROR(INDEX(PP_Grid[#Data],$DE717,25),0)</f>
        <v/>
      </c>
      <c r="AC717">
        <f>IFERROR(INDEX(PP_Grid[#Data],$DE717,26),0)</f>
        <v/>
      </c>
      <c r="AD717">
        <f>IFERROR(INDEX(PP_Grid[#Data],$DE717,27),0)</f>
        <v/>
      </c>
      <c r="AE717">
        <f>IFERROR(INDEX(PP_Grid[#Data],$DE717,28),0)</f>
        <v/>
      </c>
      <c r="AF717">
        <f>IFERROR(INDEX(PP_Grid[#Data],$DE717,29),0)</f>
        <v/>
      </c>
      <c r="AG717">
        <f>IFERROR(INDEX(PP_Grid[#Data],$DE717,30),0)</f>
        <v/>
      </c>
      <c r="AH717">
        <f>IFERROR(INDEX(PP_Grid[#Data],$DE717,31),0)</f>
        <v/>
      </c>
      <c r="AI717">
        <f>IFERROR(INDEX(PP_Grid[#Data],$DE717,32),0)</f>
        <v/>
      </c>
      <c r="AJ717">
        <f>IFERROR(INDEX(PP_Grid[#Data],$DE717,33),0)</f>
        <v/>
      </c>
      <c r="AK717">
        <f>IFERROR(INDEX(PP_Grid[#Data],$DE717,34),0)</f>
        <v/>
      </c>
      <c r="AL717">
        <f>IFERROR(INDEX(PP_Grid[#Data],$DE717,35),0)</f>
        <v/>
      </c>
      <c r="AM717">
        <f>IFERROR(INDEX(PP_Grid[#Data],$DE717,36),0)</f>
        <v/>
      </c>
      <c r="AN717">
        <f>IFERROR(INDEX(PP_Grid[#Data],$DE717,37),0)</f>
        <v/>
      </c>
      <c r="AO717">
        <f>IFERROR(INDEX(PP_Grid[#Data],$DE717,38),0)</f>
        <v/>
      </c>
      <c r="AP717">
        <f>IFERROR(INDEX(PP_Grid[#Data],$DE717,39),0)</f>
        <v/>
      </c>
      <c r="AQ717">
        <f>IFERROR(INDEX(PP_Grid[#Data],$DE717,40),0)</f>
        <v/>
      </c>
      <c r="AR717">
        <f>IFERROR(INDEX(PP_Grid[#Data],$DE717,41),0)</f>
        <v/>
      </c>
      <c r="AS717">
        <f>IFERROR(INDEX(PP_Grid[#Data],$DE717,42),0)</f>
        <v/>
      </c>
      <c r="AT717">
        <f>IFERROR(INDEX(PP_Grid[#Data],$DE717,43),0)</f>
        <v/>
      </c>
      <c r="AU717">
        <f>IFERROR(INDEX(PP_Grid[#Data],$DE717,44),0)</f>
        <v/>
      </c>
      <c r="AV717">
        <f>IFERROR(INDEX(PP_Grid[#Data],$DE717,45),0)</f>
        <v/>
      </c>
      <c r="AW717">
        <f>IFERROR(INDEX(PP_Grid[#Data],$DE717,46),0)</f>
        <v/>
      </c>
      <c r="AX717">
        <f>IFERROR(INDEX(PP_Grid[#Data],$DE717,47),0)</f>
        <v/>
      </c>
      <c r="AY717">
        <f>IFERROR(INDEX(PP_Grid[#Data],$DE717,48),0)</f>
        <v/>
      </c>
      <c r="AZ717">
        <f>IFERROR(INDEX(PP_Grid[#Data],$DE717,49),0)</f>
        <v/>
      </c>
      <c r="BA717">
        <f>IFERROR(INDEX(PP_Grid[#Data],$DE717,50),0)</f>
        <v/>
      </c>
      <c r="BB717">
        <f>IFERROR(INDEX(PP_Grid[#Data],$DE717,51),0)</f>
        <v/>
      </c>
      <c r="BC717">
        <f>IFERROR(INDEX(PP_Grid[#Data],$DE717,52),0)</f>
        <v/>
      </c>
      <c r="BD717">
        <f>IFERROR(INDEX(PP_Grid[#Data],$DE717,53),0)</f>
        <v/>
      </c>
      <c r="BE717">
        <f>IFERROR(INDEX(PP_Grid[#Data],$DE717,54),0)</f>
        <v/>
      </c>
      <c r="BF717">
        <f>IFERROR(INDEX(PP_Grid[#Data],$DE717,55),0)</f>
        <v/>
      </c>
      <c r="BG717">
        <f>IFERROR(INDEX(PP_Grid[#Data],$DE717,56),0)</f>
        <v/>
      </c>
      <c r="BH717">
        <f>IFERROR(INDEX(PP_Grid[#Data],$DE717,57),0)</f>
        <v/>
      </c>
      <c r="BI717">
        <f>IFERROR(INDEX(PP_Grid[#Data],$DE717,58),0)</f>
        <v/>
      </c>
      <c r="BJ717">
        <f>IFERROR(INDEX(PP_Grid[#Data],$DE717,59),0)</f>
        <v/>
      </c>
      <c r="BK717">
        <f>IFERROR(INDEX(PP_Grid[#Data],$DE717,60),0)</f>
        <v/>
      </c>
      <c r="BL717">
        <f>IFERROR(INDEX(PP_Grid[#Data],$DE717,61),0)</f>
        <v/>
      </c>
      <c r="BM717">
        <f>IFERROR(INDEX(PP_Grid[#Data],$DE717,62),0)</f>
        <v/>
      </c>
      <c r="BN717">
        <f>IFERROR(INDEX(PP_Grid[#Data],$DE717,63),0)</f>
        <v/>
      </c>
      <c r="BO717">
        <f>IFERROR(INDEX(PP_Grid[#Data],$DE717,64),0)</f>
        <v/>
      </c>
      <c r="BP717">
        <f>IFERROR(INDEX(PP_Grid[#Data],$DE717,65),0)</f>
        <v/>
      </c>
      <c r="BQ717">
        <f>IFERROR(INDEX(PP_Grid[#Data],$DE717,66),0)</f>
        <v/>
      </c>
      <c r="BR717">
        <f>IFERROR(INDEX(PP_Grid[#Data],$DE717,67),0)</f>
        <v/>
      </c>
      <c r="BS717">
        <f>IFERROR(INDEX(PP_Grid[#Data],$DE717,68),0)</f>
        <v/>
      </c>
      <c r="BT717">
        <f>IFERROR(INDEX(PP_Grid[#Data],$DE717,69),0)</f>
        <v/>
      </c>
      <c r="BU717">
        <f>IFERROR(INDEX(PP_Grid[#Data],$DE717,70),0)</f>
        <v/>
      </c>
      <c r="BV717">
        <f>IFERROR(INDEX(PP_Grid[#Data],$DE717,71),0)</f>
        <v/>
      </c>
      <c r="BW717">
        <f>IFERROR(INDEX(PP_Grid[#Data],$DE717,72),0)</f>
        <v/>
      </c>
      <c r="BX717">
        <f>IFERROR(INDEX(PP_Grid[#Data],$DE717,73),0)</f>
        <v/>
      </c>
      <c r="BY717">
        <f>IFERROR(INDEX(PP_Grid[#Data],$DE717,74),0)</f>
        <v/>
      </c>
      <c r="BZ717">
        <f>IFERROR(INDEX(PP_Grid[#Data],$DE717,75),0)</f>
        <v/>
      </c>
      <c r="CA717">
        <f>IFERROR(INDEX(PP_Grid[#Data],$DE717,76),0)</f>
        <v/>
      </c>
      <c r="CB717">
        <f>IFERROR(INDEX(PP_Grid[#Data],$DE717,77),0)</f>
        <v/>
      </c>
      <c r="CC717">
        <f>IFERROR(INDEX(PP_Grid[#Data],$DE717,78),0)</f>
        <v/>
      </c>
      <c r="CD717">
        <f>IFERROR(INDEX(PP_Grid[#Data],$DE717,79),0)</f>
        <v/>
      </c>
      <c r="CE717">
        <f>IFERROR(INDEX(PP_Grid[#Data],$DE717,80),0)</f>
        <v/>
      </c>
      <c r="CF717">
        <f>IFERROR(INDEX(PP_Grid[#Data],$DE717,81),0)</f>
        <v/>
      </c>
      <c r="CG717">
        <f>IFERROR(INDEX(PP_Grid[#Data],$DE717,82),0)</f>
        <v/>
      </c>
      <c r="CH717">
        <f>IFERROR(INDEX(PP_Grid[#Data],$DE717,83),0)</f>
        <v/>
      </c>
      <c r="CI717">
        <f>IFERROR(INDEX(PP_Grid[#Data],$DE717,84),0)</f>
        <v/>
      </c>
      <c r="CJ717">
        <f>IFERROR(INDEX(PP_Grid[#Data],$DE717,85),0)</f>
        <v/>
      </c>
      <c r="CK717">
        <f>IFERROR(INDEX(PP_Grid[#Data],$DE717,86),0)</f>
        <v/>
      </c>
      <c r="CL717">
        <f>IFERROR(INDEX(PP_Grid[#Data],$DE717,87),0)</f>
        <v/>
      </c>
      <c r="CM717">
        <f>IFERROR(INDEX(PP_Grid[#Data],$DE717,88),0)</f>
        <v/>
      </c>
      <c r="CN717">
        <f>IFERROR(INDEX(PP_Grid[#Data],$DE717,89),0)</f>
        <v/>
      </c>
      <c r="CO717">
        <f>IFERROR(INDEX(PP_Grid[#Data],$DE717,90),0)</f>
        <v/>
      </c>
      <c r="CP717">
        <f>IFERROR(INDEX(PP_Grid[#Data],$DE717,91),0)</f>
        <v/>
      </c>
      <c r="CQ717">
        <f>IFERROR(INDEX(PP_Grid[#Data],$DE717,92),0)</f>
        <v/>
      </c>
      <c r="CR717">
        <f>IFERROR(INDEX(PP_Grid[#Data],$DE717,93),0)</f>
        <v/>
      </c>
      <c r="CS717">
        <f>IFERROR(INDEX(PP_Grid[#Data],$DE717,94),0)</f>
        <v/>
      </c>
      <c r="CT717">
        <f>IFERROR(INDEX(PP_Grid[#Data],$DE717,95),0)</f>
        <v/>
      </c>
      <c r="CU717">
        <f>IFERROR(INDEX(PP_Grid[#Data],$DE717,96),0)</f>
        <v/>
      </c>
      <c r="CV717">
        <f>IFERROR(INDEX(PP_Grid[#Data],$DE717,97),0)</f>
        <v/>
      </c>
      <c r="CW717">
        <f>IFERROR(INDEX(PP_Grid[#Data],$DE717,98),0)</f>
        <v/>
      </c>
      <c r="CX717">
        <f>IFERROR(INDEX(PP_Grid[#Data],$DE717,99),0)</f>
        <v/>
      </c>
      <c r="CY717">
        <f>IFERROR(INDEX(PP_Grid[#Data],$DE717,100),0)</f>
        <v/>
      </c>
      <c r="CZ717">
        <f>IFERROR(INDEX(PP_Grid[#Data],$DE717,101),0)</f>
        <v/>
      </c>
      <c r="DA717">
        <f>IFERROR(INDEX(PP_Grid[#Data],$DE717,102),0)</f>
        <v/>
      </c>
      <c r="DB717">
        <f>IFERROR(INDEX(PP_Grid[#Data],$DE717,103),0)</f>
        <v/>
      </c>
      <c r="DC717">
        <f>IFERROR(INDEX(PP_Grid[#Data],$DE717,104),0)</f>
        <v/>
      </c>
      <c r="DD717">
        <f>IFERROR(INDEX(PP_Grid[#Data],$DE717,105),0)</f>
        <v/>
      </c>
      <c r="DE717" s="7">
        <f>IFERROR(MATCH($B717,PP_Grid[Intermediate],0),99999)</f>
        <v/>
      </c>
    </row>
    <row r="718">
      <c r="B718" t="inlineStr">
        <is>
          <t>使用量(kg)</t>
        </is>
      </c>
      <c r="C718">
        <f>SUMIFS(M_BOM[RM_Qty_Per_Batch],M_BOM[Intermediate],$B717,M_BOM[RM_Code],$A636)</f>
        <v/>
      </c>
      <c r="D718">
        <f>IFERROR(INDEX(E718:DD718,$F$1),"")</f>
        <v/>
      </c>
      <c r="E718">
        <f>$C718*E717</f>
        <v/>
      </c>
      <c r="F718">
        <f>$C718*F717</f>
        <v/>
      </c>
      <c r="G718">
        <f>$C718*G717</f>
        <v/>
      </c>
      <c r="H718">
        <f>$C718*H717</f>
        <v/>
      </c>
      <c r="I718">
        <f>$C718*I717</f>
        <v/>
      </c>
      <c r="J718">
        <f>$C718*J717</f>
        <v/>
      </c>
      <c r="K718">
        <f>$C718*K717</f>
        <v/>
      </c>
      <c r="L718">
        <f>$C718*L717</f>
        <v/>
      </c>
      <c r="M718">
        <f>$C718*M717</f>
        <v/>
      </c>
      <c r="N718">
        <f>$C718*N717</f>
        <v/>
      </c>
      <c r="O718">
        <f>$C718*O717</f>
        <v/>
      </c>
      <c r="P718">
        <f>$C718*P717</f>
        <v/>
      </c>
      <c r="Q718">
        <f>$C718*Q717</f>
        <v/>
      </c>
      <c r="R718">
        <f>$C718*R717</f>
        <v/>
      </c>
      <c r="S718">
        <f>$C718*S717</f>
        <v/>
      </c>
      <c r="T718">
        <f>$C718*T717</f>
        <v/>
      </c>
      <c r="U718">
        <f>$C718*U717</f>
        <v/>
      </c>
      <c r="V718">
        <f>$C718*V717</f>
        <v/>
      </c>
      <c r="W718">
        <f>$C718*W717</f>
        <v/>
      </c>
      <c r="X718">
        <f>$C718*X717</f>
        <v/>
      </c>
      <c r="Y718">
        <f>$C718*Y717</f>
        <v/>
      </c>
      <c r="Z718">
        <f>$C718*Z717</f>
        <v/>
      </c>
      <c r="AA718">
        <f>$C718*AA717</f>
        <v/>
      </c>
      <c r="AB718">
        <f>$C718*AB717</f>
        <v/>
      </c>
      <c r="AC718">
        <f>$C718*AC717</f>
        <v/>
      </c>
      <c r="AD718">
        <f>$C718*AD717</f>
        <v/>
      </c>
      <c r="AE718">
        <f>$C718*AE717</f>
        <v/>
      </c>
      <c r="AF718">
        <f>$C718*AF717</f>
        <v/>
      </c>
      <c r="AG718">
        <f>$C718*AG717</f>
        <v/>
      </c>
      <c r="AH718">
        <f>$C718*AH717</f>
        <v/>
      </c>
      <c r="AI718">
        <f>$C718*AI717</f>
        <v/>
      </c>
      <c r="AJ718">
        <f>$C718*AJ717</f>
        <v/>
      </c>
      <c r="AK718">
        <f>$C718*AK717</f>
        <v/>
      </c>
      <c r="AL718">
        <f>$C718*AL717</f>
        <v/>
      </c>
      <c r="AM718">
        <f>$C718*AM717</f>
        <v/>
      </c>
      <c r="AN718">
        <f>$C718*AN717</f>
        <v/>
      </c>
      <c r="AO718">
        <f>$C718*AO717</f>
        <v/>
      </c>
      <c r="AP718">
        <f>$C718*AP717</f>
        <v/>
      </c>
      <c r="AQ718">
        <f>$C718*AQ717</f>
        <v/>
      </c>
      <c r="AR718">
        <f>$C718*AR717</f>
        <v/>
      </c>
      <c r="AS718">
        <f>$C718*AS717</f>
        <v/>
      </c>
      <c r="AT718">
        <f>$C718*AT717</f>
        <v/>
      </c>
      <c r="AU718">
        <f>$C718*AU717</f>
        <v/>
      </c>
      <c r="AV718">
        <f>$C718*AV717</f>
        <v/>
      </c>
      <c r="AW718">
        <f>$C718*AW717</f>
        <v/>
      </c>
      <c r="AX718">
        <f>$C718*AX717</f>
        <v/>
      </c>
      <c r="AY718">
        <f>$C718*AY717</f>
        <v/>
      </c>
      <c r="AZ718">
        <f>$C718*AZ717</f>
        <v/>
      </c>
      <c r="BA718">
        <f>$C718*BA717</f>
        <v/>
      </c>
      <c r="BB718">
        <f>$C718*BB717</f>
        <v/>
      </c>
      <c r="BC718">
        <f>$C718*BC717</f>
        <v/>
      </c>
      <c r="BD718">
        <f>$C718*BD717</f>
        <v/>
      </c>
      <c r="BE718">
        <f>$C718*BE717</f>
        <v/>
      </c>
      <c r="BF718">
        <f>$C718*BF717</f>
        <v/>
      </c>
      <c r="BG718">
        <f>$C718*BG717</f>
        <v/>
      </c>
      <c r="BH718">
        <f>$C718*BH717</f>
        <v/>
      </c>
      <c r="BI718">
        <f>$C718*BI717</f>
        <v/>
      </c>
      <c r="BJ718">
        <f>$C718*BJ717</f>
        <v/>
      </c>
      <c r="BK718">
        <f>$C718*BK717</f>
        <v/>
      </c>
      <c r="BL718">
        <f>$C718*BL717</f>
        <v/>
      </c>
      <c r="BM718">
        <f>$C718*BM717</f>
        <v/>
      </c>
      <c r="BN718">
        <f>$C718*BN717</f>
        <v/>
      </c>
      <c r="BO718">
        <f>$C718*BO717</f>
        <v/>
      </c>
      <c r="BP718">
        <f>$C718*BP717</f>
        <v/>
      </c>
      <c r="BQ718">
        <f>$C718*BQ717</f>
        <v/>
      </c>
      <c r="BR718">
        <f>$C718*BR717</f>
        <v/>
      </c>
      <c r="BS718">
        <f>$C718*BS717</f>
        <v/>
      </c>
      <c r="BT718">
        <f>$C718*BT717</f>
        <v/>
      </c>
      <c r="BU718">
        <f>$C718*BU717</f>
        <v/>
      </c>
      <c r="BV718">
        <f>$C718*BV717</f>
        <v/>
      </c>
      <c r="BW718">
        <f>$C718*BW717</f>
        <v/>
      </c>
      <c r="BX718">
        <f>$C718*BX717</f>
        <v/>
      </c>
      <c r="BY718">
        <f>$C718*BY717</f>
        <v/>
      </c>
      <c r="BZ718">
        <f>$C718*BZ717</f>
        <v/>
      </c>
      <c r="CA718">
        <f>$C718*CA717</f>
        <v/>
      </c>
      <c r="CB718">
        <f>$C718*CB717</f>
        <v/>
      </c>
      <c r="CC718">
        <f>$C718*CC717</f>
        <v/>
      </c>
      <c r="CD718">
        <f>$C718*CD717</f>
        <v/>
      </c>
      <c r="CE718">
        <f>$C718*CE717</f>
        <v/>
      </c>
      <c r="CF718">
        <f>$C718*CF717</f>
        <v/>
      </c>
      <c r="CG718">
        <f>$C718*CG717</f>
        <v/>
      </c>
      <c r="CH718">
        <f>$C718*CH717</f>
        <v/>
      </c>
      <c r="CI718">
        <f>$C718*CI717</f>
        <v/>
      </c>
      <c r="CJ718">
        <f>$C718*CJ717</f>
        <v/>
      </c>
      <c r="CK718">
        <f>$C718*CK717</f>
        <v/>
      </c>
      <c r="CL718">
        <f>$C718*CL717</f>
        <v/>
      </c>
      <c r="CM718">
        <f>$C718*CM717</f>
        <v/>
      </c>
      <c r="CN718">
        <f>$C718*CN717</f>
        <v/>
      </c>
      <c r="CO718">
        <f>$C718*CO717</f>
        <v/>
      </c>
      <c r="CP718">
        <f>$C718*CP717</f>
        <v/>
      </c>
      <c r="CQ718">
        <f>$C718*CQ717</f>
        <v/>
      </c>
      <c r="CR718">
        <f>$C718*CR717</f>
        <v/>
      </c>
      <c r="CS718">
        <f>$C718*CS717</f>
        <v/>
      </c>
      <c r="CT718">
        <f>$C718*CT717</f>
        <v/>
      </c>
      <c r="CU718">
        <f>$C718*CU717</f>
        <v/>
      </c>
      <c r="CV718">
        <f>$C718*CV717</f>
        <v/>
      </c>
      <c r="CW718">
        <f>$C718*CW717</f>
        <v/>
      </c>
      <c r="CX718">
        <f>$C718*CX717</f>
        <v/>
      </c>
      <c r="CY718">
        <f>$C718*CY717</f>
        <v/>
      </c>
      <c r="CZ718">
        <f>$C718*CZ717</f>
        <v/>
      </c>
      <c r="DA718">
        <f>$C718*DA717</f>
        <v/>
      </c>
      <c r="DB718">
        <f>$C718*DB717</f>
        <v/>
      </c>
      <c r="DC718">
        <f>$C718*DC717</f>
        <v/>
      </c>
      <c r="DD718">
        <f>$C718*DD717</f>
        <v/>
      </c>
    </row>
    <row r="719">
      <c r="B719" t="inlineStr">
        <is>
          <t>VSP-746</t>
        </is>
      </c>
      <c r="C719" t="inlineStr">
        <is>
          <t>No. of batches</t>
        </is>
      </c>
      <c r="D719">
        <f>IFERROR(INDEX(E719:DD719,$F$1),"")</f>
        <v/>
      </c>
      <c r="E719">
        <f>IFERROR(INDEX(PP_Grid[#Data],$DE719,2),0)</f>
        <v/>
      </c>
      <c r="F719">
        <f>IFERROR(INDEX(PP_Grid[#Data],$DE719,3),0)</f>
        <v/>
      </c>
      <c r="G719">
        <f>IFERROR(INDEX(PP_Grid[#Data],$DE719,4),0)</f>
        <v/>
      </c>
      <c r="H719">
        <f>IFERROR(INDEX(PP_Grid[#Data],$DE719,5),0)</f>
        <v/>
      </c>
      <c r="I719">
        <f>IFERROR(INDEX(PP_Grid[#Data],$DE719,6),0)</f>
        <v/>
      </c>
      <c r="J719">
        <f>IFERROR(INDEX(PP_Grid[#Data],$DE719,7),0)</f>
        <v/>
      </c>
      <c r="K719">
        <f>IFERROR(INDEX(PP_Grid[#Data],$DE719,8),0)</f>
        <v/>
      </c>
      <c r="L719">
        <f>IFERROR(INDEX(PP_Grid[#Data],$DE719,9),0)</f>
        <v/>
      </c>
      <c r="M719">
        <f>IFERROR(INDEX(PP_Grid[#Data],$DE719,10),0)</f>
        <v/>
      </c>
      <c r="N719">
        <f>IFERROR(INDEX(PP_Grid[#Data],$DE719,11),0)</f>
        <v/>
      </c>
      <c r="O719">
        <f>IFERROR(INDEX(PP_Grid[#Data],$DE719,12),0)</f>
        <v/>
      </c>
      <c r="P719">
        <f>IFERROR(INDEX(PP_Grid[#Data],$DE719,13),0)</f>
        <v/>
      </c>
      <c r="Q719">
        <f>IFERROR(INDEX(PP_Grid[#Data],$DE719,14),0)</f>
        <v/>
      </c>
      <c r="R719">
        <f>IFERROR(INDEX(PP_Grid[#Data],$DE719,15),0)</f>
        <v/>
      </c>
      <c r="S719">
        <f>IFERROR(INDEX(PP_Grid[#Data],$DE719,16),0)</f>
        <v/>
      </c>
      <c r="T719">
        <f>IFERROR(INDEX(PP_Grid[#Data],$DE719,17),0)</f>
        <v/>
      </c>
      <c r="U719">
        <f>IFERROR(INDEX(PP_Grid[#Data],$DE719,18),0)</f>
        <v/>
      </c>
      <c r="V719">
        <f>IFERROR(INDEX(PP_Grid[#Data],$DE719,19),0)</f>
        <v/>
      </c>
      <c r="W719">
        <f>IFERROR(INDEX(PP_Grid[#Data],$DE719,20),0)</f>
        <v/>
      </c>
      <c r="X719">
        <f>IFERROR(INDEX(PP_Grid[#Data],$DE719,21),0)</f>
        <v/>
      </c>
      <c r="Y719">
        <f>IFERROR(INDEX(PP_Grid[#Data],$DE719,22),0)</f>
        <v/>
      </c>
      <c r="Z719">
        <f>IFERROR(INDEX(PP_Grid[#Data],$DE719,23),0)</f>
        <v/>
      </c>
      <c r="AA719">
        <f>IFERROR(INDEX(PP_Grid[#Data],$DE719,24),0)</f>
        <v/>
      </c>
      <c r="AB719">
        <f>IFERROR(INDEX(PP_Grid[#Data],$DE719,25),0)</f>
        <v/>
      </c>
      <c r="AC719">
        <f>IFERROR(INDEX(PP_Grid[#Data],$DE719,26),0)</f>
        <v/>
      </c>
      <c r="AD719">
        <f>IFERROR(INDEX(PP_Grid[#Data],$DE719,27),0)</f>
        <v/>
      </c>
      <c r="AE719">
        <f>IFERROR(INDEX(PP_Grid[#Data],$DE719,28),0)</f>
        <v/>
      </c>
      <c r="AF719">
        <f>IFERROR(INDEX(PP_Grid[#Data],$DE719,29),0)</f>
        <v/>
      </c>
      <c r="AG719">
        <f>IFERROR(INDEX(PP_Grid[#Data],$DE719,30),0)</f>
        <v/>
      </c>
      <c r="AH719">
        <f>IFERROR(INDEX(PP_Grid[#Data],$DE719,31),0)</f>
        <v/>
      </c>
      <c r="AI719">
        <f>IFERROR(INDEX(PP_Grid[#Data],$DE719,32),0)</f>
        <v/>
      </c>
      <c r="AJ719">
        <f>IFERROR(INDEX(PP_Grid[#Data],$DE719,33),0)</f>
        <v/>
      </c>
      <c r="AK719">
        <f>IFERROR(INDEX(PP_Grid[#Data],$DE719,34),0)</f>
        <v/>
      </c>
      <c r="AL719">
        <f>IFERROR(INDEX(PP_Grid[#Data],$DE719,35),0)</f>
        <v/>
      </c>
      <c r="AM719">
        <f>IFERROR(INDEX(PP_Grid[#Data],$DE719,36),0)</f>
        <v/>
      </c>
      <c r="AN719">
        <f>IFERROR(INDEX(PP_Grid[#Data],$DE719,37),0)</f>
        <v/>
      </c>
      <c r="AO719">
        <f>IFERROR(INDEX(PP_Grid[#Data],$DE719,38),0)</f>
        <v/>
      </c>
      <c r="AP719">
        <f>IFERROR(INDEX(PP_Grid[#Data],$DE719,39),0)</f>
        <v/>
      </c>
      <c r="AQ719">
        <f>IFERROR(INDEX(PP_Grid[#Data],$DE719,40),0)</f>
        <v/>
      </c>
      <c r="AR719">
        <f>IFERROR(INDEX(PP_Grid[#Data],$DE719,41),0)</f>
        <v/>
      </c>
      <c r="AS719">
        <f>IFERROR(INDEX(PP_Grid[#Data],$DE719,42),0)</f>
        <v/>
      </c>
      <c r="AT719">
        <f>IFERROR(INDEX(PP_Grid[#Data],$DE719,43),0)</f>
        <v/>
      </c>
      <c r="AU719">
        <f>IFERROR(INDEX(PP_Grid[#Data],$DE719,44),0)</f>
        <v/>
      </c>
      <c r="AV719">
        <f>IFERROR(INDEX(PP_Grid[#Data],$DE719,45),0)</f>
        <v/>
      </c>
      <c r="AW719">
        <f>IFERROR(INDEX(PP_Grid[#Data],$DE719,46),0)</f>
        <v/>
      </c>
      <c r="AX719">
        <f>IFERROR(INDEX(PP_Grid[#Data],$DE719,47),0)</f>
        <v/>
      </c>
      <c r="AY719">
        <f>IFERROR(INDEX(PP_Grid[#Data],$DE719,48),0)</f>
        <v/>
      </c>
      <c r="AZ719">
        <f>IFERROR(INDEX(PP_Grid[#Data],$DE719,49),0)</f>
        <v/>
      </c>
      <c r="BA719">
        <f>IFERROR(INDEX(PP_Grid[#Data],$DE719,50),0)</f>
        <v/>
      </c>
      <c r="BB719">
        <f>IFERROR(INDEX(PP_Grid[#Data],$DE719,51),0)</f>
        <v/>
      </c>
      <c r="BC719">
        <f>IFERROR(INDEX(PP_Grid[#Data],$DE719,52),0)</f>
        <v/>
      </c>
      <c r="BD719">
        <f>IFERROR(INDEX(PP_Grid[#Data],$DE719,53),0)</f>
        <v/>
      </c>
      <c r="BE719">
        <f>IFERROR(INDEX(PP_Grid[#Data],$DE719,54),0)</f>
        <v/>
      </c>
      <c r="BF719">
        <f>IFERROR(INDEX(PP_Grid[#Data],$DE719,55),0)</f>
        <v/>
      </c>
      <c r="BG719">
        <f>IFERROR(INDEX(PP_Grid[#Data],$DE719,56),0)</f>
        <v/>
      </c>
      <c r="BH719">
        <f>IFERROR(INDEX(PP_Grid[#Data],$DE719,57),0)</f>
        <v/>
      </c>
      <c r="BI719">
        <f>IFERROR(INDEX(PP_Grid[#Data],$DE719,58),0)</f>
        <v/>
      </c>
      <c r="BJ719">
        <f>IFERROR(INDEX(PP_Grid[#Data],$DE719,59),0)</f>
        <v/>
      </c>
      <c r="BK719">
        <f>IFERROR(INDEX(PP_Grid[#Data],$DE719,60),0)</f>
        <v/>
      </c>
      <c r="BL719">
        <f>IFERROR(INDEX(PP_Grid[#Data],$DE719,61),0)</f>
        <v/>
      </c>
      <c r="BM719">
        <f>IFERROR(INDEX(PP_Grid[#Data],$DE719,62),0)</f>
        <v/>
      </c>
      <c r="BN719">
        <f>IFERROR(INDEX(PP_Grid[#Data],$DE719,63),0)</f>
        <v/>
      </c>
      <c r="BO719">
        <f>IFERROR(INDEX(PP_Grid[#Data],$DE719,64),0)</f>
        <v/>
      </c>
      <c r="BP719">
        <f>IFERROR(INDEX(PP_Grid[#Data],$DE719,65),0)</f>
        <v/>
      </c>
      <c r="BQ719">
        <f>IFERROR(INDEX(PP_Grid[#Data],$DE719,66),0)</f>
        <v/>
      </c>
      <c r="BR719">
        <f>IFERROR(INDEX(PP_Grid[#Data],$DE719,67),0)</f>
        <v/>
      </c>
      <c r="BS719">
        <f>IFERROR(INDEX(PP_Grid[#Data],$DE719,68),0)</f>
        <v/>
      </c>
      <c r="BT719">
        <f>IFERROR(INDEX(PP_Grid[#Data],$DE719,69),0)</f>
        <v/>
      </c>
      <c r="BU719">
        <f>IFERROR(INDEX(PP_Grid[#Data],$DE719,70),0)</f>
        <v/>
      </c>
      <c r="BV719">
        <f>IFERROR(INDEX(PP_Grid[#Data],$DE719,71),0)</f>
        <v/>
      </c>
      <c r="BW719">
        <f>IFERROR(INDEX(PP_Grid[#Data],$DE719,72),0)</f>
        <v/>
      </c>
      <c r="BX719">
        <f>IFERROR(INDEX(PP_Grid[#Data],$DE719,73),0)</f>
        <v/>
      </c>
      <c r="BY719">
        <f>IFERROR(INDEX(PP_Grid[#Data],$DE719,74),0)</f>
        <v/>
      </c>
      <c r="BZ719">
        <f>IFERROR(INDEX(PP_Grid[#Data],$DE719,75),0)</f>
        <v/>
      </c>
      <c r="CA719">
        <f>IFERROR(INDEX(PP_Grid[#Data],$DE719,76),0)</f>
        <v/>
      </c>
      <c r="CB719">
        <f>IFERROR(INDEX(PP_Grid[#Data],$DE719,77),0)</f>
        <v/>
      </c>
      <c r="CC719">
        <f>IFERROR(INDEX(PP_Grid[#Data],$DE719,78),0)</f>
        <v/>
      </c>
      <c r="CD719">
        <f>IFERROR(INDEX(PP_Grid[#Data],$DE719,79),0)</f>
        <v/>
      </c>
      <c r="CE719">
        <f>IFERROR(INDEX(PP_Grid[#Data],$DE719,80),0)</f>
        <v/>
      </c>
      <c r="CF719">
        <f>IFERROR(INDEX(PP_Grid[#Data],$DE719,81),0)</f>
        <v/>
      </c>
      <c r="CG719">
        <f>IFERROR(INDEX(PP_Grid[#Data],$DE719,82),0)</f>
        <v/>
      </c>
      <c r="CH719">
        <f>IFERROR(INDEX(PP_Grid[#Data],$DE719,83),0)</f>
        <v/>
      </c>
      <c r="CI719">
        <f>IFERROR(INDEX(PP_Grid[#Data],$DE719,84),0)</f>
        <v/>
      </c>
      <c r="CJ719">
        <f>IFERROR(INDEX(PP_Grid[#Data],$DE719,85),0)</f>
        <v/>
      </c>
      <c r="CK719">
        <f>IFERROR(INDEX(PP_Grid[#Data],$DE719,86),0)</f>
        <v/>
      </c>
      <c r="CL719">
        <f>IFERROR(INDEX(PP_Grid[#Data],$DE719,87),0)</f>
        <v/>
      </c>
      <c r="CM719">
        <f>IFERROR(INDEX(PP_Grid[#Data],$DE719,88),0)</f>
        <v/>
      </c>
      <c r="CN719">
        <f>IFERROR(INDEX(PP_Grid[#Data],$DE719,89),0)</f>
        <v/>
      </c>
      <c r="CO719">
        <f>IFERROR(INDEX(PP_Grid[#Data],$DE719,90),0)</f>
        <v/>
      </c>
      <c r="CP719">
        <f>IFERROR(INDEX(PP_Grid[#Data],$DE719,91),0)</f>
        <v/>
      </c>
      <c r="CQ719">
        <f>IFERROR(INDEX(PP_Grid[#Data],$DE719,92),0)</f>
        <v/>
      </c>
      <c r="CR719">
        <f>IFERROR(INDEX(PP_Grid[#Data],$DE719,93),0)</f>
        <v/>
      </c>
      <c r="CS719">
        <f>IFERROR(INDEX(PP_Grid[#Data],$DE719,94),0)</f>
        <v/>
      </c>
      <c r="CT719">
        <f>IFERROR(INDEX(PP_Grid[#Data],$DE719,95),0)</f>
        <v/>
      </c>
      <c r="CU719">
        <f>IFERROR(INDEX(PP_Grid[#Data],$DE719,96),0)</f>
        <v/>
      </c>
      <c r="CV719">
        <f>IFERROR(INDEX(PP_Grid[#Data],$DE719,97),0)</f>
        <v/>
      </c>
      <c r="CW719">
        <f>IFERROR(INDEX(PP_Grid[#Data],$DE719,98),0)</f>
        <v/>
      </c>
      <c r="CX719">
        <f>IFERROR(INDEX(PP_Grid[#Data],$DE719,99),0)</f>
        <v/>
      </c>
      <c r="CY719">
        <f>IFERROR(INDEX(PP_Grid[#Data],$DE719,100),0)</f>
        <v/>
      </c>
      <c r="CZ719">
        <f>IFERROR(INDEX(PP_Grid[#Data],$DE719,101),0)</f>
        <v/>
      </c>
      <c r="DA719">
        <f>IFERROR(INDEX(PP_Grid[#Data],$DE719,102),0)</f>
        <v/>
      </c>
      <c r="DB719">
        <f>IFERROR(INDEX(PP_Grid[#Data],$DE719,103),0)</f>
        <v/>
      </c>
      <c r="DC719">
        <f>IFERROR(INDEX(PP_Grid[#Data],$DE719,104),0)</f>
        <v/>
      </c>
      <c r="DD719">
        <f>IFERROR(INDEX(PP_Grid[#Data],$DE719,105),0)</f>
        <v/>
      </c>
      <c r="DE719" s="7">
        <f>IFERROR(MATCH($B719,PP_Grid[Intermediate],0),99999)</f>
        <v/>
      </c>
    </row>
    <row r="720">
      <c r="B720" t="inlineStr">
        <is>
          <t>使用量(kg)</t>
        </is>
      </c>
      <c r="C720">
        <f>SUMIFS(M_BOM[RM_Qty_Per_Batch],M_BOM[Intermediate],$B719,M_BOM[RM_Code],$A636)</f>
        <v/>
      </c>
      <c r="D720">
        <f>IFERROR(INDEX(E720:DD720,$F$1),"")</f>
        <v/>
      </c>
      <c r="E720">
        <f>$C720*E719</f>
        <v/>
      </c>
      <c r="F720">
        <f>$C720*F719</f>
        <v/>
      </c>
      <c r="G720">
        <f>$C720*G719</f>
        <v/>
      </c>
      <c r="H720">
        <f>$C720*H719</f>
        <v/>
      </c>
      <c r="I720">
        <f>$C720*I719</f>
        <v/>
      </c>
      <c r="J720">
        <f>$C720*J719</f>
        <v/>
      </c>
      <c r="K720">
        <f>$C720*K719</f>
        <v/>
      </c>
      <c r="L720">
        <f>$C720*L719</f>
        <v/>
      </c>
      <c r="M720">
        <f>$C720*M719</f>
        <v/>
      </c>
      <c r="N720">
        <f>$C720*N719</f>
        <v/>
      </c>
      <c r="O720">
        <f>$C720*O719</f>
        <v/>
      </c>
      <c r="P720">
        <f>$C720*P719</f>
        <v/>
      </c>
      <c r="Q720">
        <f>$C720*Q719</f>
        <v/>
      </c>
      <c r="R720">
        <f>$C720*R719</f>
        <v/>
      </c>
      <c r="S720">
        <f>$C720*S719</f>
        <v/>
      </c>
      <c r="T720">
        <f>$C720*T719</f>
        <v/>
      </c>
      <c r="U720">
        <f>$C720*U719</f>
        <v/>
      </c>
      <c r="V720">
        <f>$C720*V719</f>
        <v/>
      </c>
      <c r="W720">
        <f>$C720*W719</f>
        <v/>
      </c>
      <c r="X720">
        <f>$C720*X719</f>
        <v/>
      </c>
      <c r="Y720">
        <f>$C720*Y719</f>
        <v/>
      </c>
      <c r="Z720">
        <f>$C720*Z719</f>
        <v/>
      </c>
      <c r="AA720">
        <f>$C720*AA719</f>
        <v/>
      </c>
      <c r="AB720">
        <f>$C720*AB719</f>
        <v/>
      </c>
      <c r="AC720">
        <f>$C720*AC719</f>
        <v/>
      </c>
      <c r="AD720">
        <f>$C720*AD719</f>
        <v/>
      </c>
      <c r="AE720">
        <f>$C720*AE719</f>
        <v/>
      </c>
      <c r="AF720">
        <f>$C720*AF719</f>
        <v/>
      </c>
      <c r="AG720">
        <f>$C720*AG719</f>
        <v/>
      </c>
      <c r="AH720">
        <f>$C720*AH719</f>
        <v/>
      </c>
      <c r="AI720">
        <f>$C720*AI719</f>
        <v/>
      </c>
      <c r="AJ720">
        <f>$C720*AJ719</f>
        <v/>
      </c>
      <c r="AK720">
        <f>$C720*AK719</f>
        <v/>
      </c>
      <c r="AL720">
        <f>$C720*AL719</f>
        <v/>
      </c>
      <c r="AM720">
        <f>$C720*AM719</f>
        <v/>
      </c>
      <c r="AN720">
        <f>$C720*AN719</f>
        <v/>
      </c>
      <c r="AO720">
        <f>$C720*AO719</f>
        <v/>
      </c>
      <c r="AP720">
        <f>$C720*AP719</f>
        <v/>
      </c>
      <c r="AQ720">
        <f>$C720*AQ719</f>
        <v/>
      </c>
      <c r="AR720">
        <f>$C720*AR719</f>
        <v/>
      </c>
      <c r="AS720">
        <f>$C720*AS719</f>
        <v/>
      </c>
      <c r="AT720">
        <f>$C720*AT719</f>
        <v/>
      </c>
      <c r="AU720">
        <f>$C720*AU719</f>
        <v/>
      </c>
      <c r="AV720">
        <f>$C720*AV719</f>
        <v/>
      </c>
      <c r="AW720">
        <f>$C720*AW719</f>
        <v/>
      </c>
      <c r="AX720">
        <f>$C720*AX719</f>
        <v/>
      </c>
      <c r="AY720">
        <f>$C720*AY719</f>
        <v/>
      </c>
      <c r="AZ720">
        <f>$C720*AZ719</f>
        <v/>
      </c>
      <c r="BA720">
        <f>$C720*BA719</f>
        <v/>
      </c>
      <c r="BB720">
        <f>$C720*BB719</f>
        <v/>
      </c>
      <c r="BC720">
        <f>$C720*BC719</f>
        <v/>
      </c>
      <c r="BD720">
        <f>$C720*BD719</f>
        <v/>
      </c>
      <c r="BE720">
        <f>$C720*BE719</f>
        <v/>
      </c>
      <c r="BF720">
        <f>$C720*BF719</f>
        <v/>
      </c>
      <c r="BG720">
        <f>$C720*BG719</f>
        <v/>
      </c>
      <c r="BH720">
        <f>$C720*BH719</f>
        <v/>
      </c>
      <c r="BI720">
        <f>$C720*BI719</f>
        <v/>
      </c>
      <c r="BJ720">
        <f>$C720*BJ719</f>
        <v/>
      </c>
      <c r="BK720">
        <f>$C720*BK719</f>
        <v/>
      </c>
      <c r="BL720">
        <f>$C720*BL719</f>
        <v/>
      </c>
      <c r="BM720">
        <f>$C720*BM719</f>
        <v/>
      </c>
      <c r="BN720">
        <f>$C720*BN719</f>
        <v/>
      </c>
      <c r="BO720">
        <f>$C720*BO719</f>
        <v/>
      </c>
      <c r="BP720">
        <f>$C720*BP719</f>
        <v/>
      </c>
      <c r="BQ720">
        <f>$C720*BQ719</f>
        <v/>
      </c>
      <c r="BR720">
        <f>$C720*BR719</f>
        <v/>
      </c>
      <c r="BS720">
        <f>$C720*BS719</f>
        <v/>
      </c>
      <c r="BT720">
        <f>$C720*BT719</f>
        <v/>
      </c>
      <c r="BU720">
        <f>$C720*BU719</f>
        <v/>
      </c>
      <c r="BV720">
        <f>$C720*BV719</f>
        <v/>
      </c>
      <c r="BW720">
        <f>$C720*BW719</f>
        <v/>
      </c>
      <c r="BX720">
        <f>$C720*BX719</f>
        <v/>
      </c>
      <c r="BY720">
        <f>$C720*BY719</f>
        <v/>
      </c>
      <c r="BZ720">
        <f>$C720*BZ719</f>
        <v/>
      </c>
      <c r="CA720">
        <f>$C720*CA719</f>
        <v/>
      </c>
      <c r="CB720">
        <f>$C720*CB719</f>
        <v/>
      </c>
      <c r="CC720">
        <f>$C720*CC719</f>
        <v/>
      </c>
      <c r="CD720">
        <f>$C720*CD719</f>
        <v/>
      </c>
      <c r="CE720">
        <f>$C720*CE719</f>
        <v/>
      </c>
      <c r="CF720">
        <f>$C720*CF719</f>
        <v/>
      </c>
      <c r="CG720">
        <f>$C720*CG719</f>
        <v/>
      </c>
      <c r="CH720">
        <f>$C720*CH719</f>
        <v/>
      </c>
      <c r="CI720">
        <f>$C720*CI719</f>
        <v/>
      </c>
      <c r="CJ720">
        <f>$C720*CJ719</f>
        <v/>
      </c>
      <c r="CK720">
        <f>$C720*CK719</f>
        <v/>
      </c>
      <c r="CL720">
        <f>$C720*CL719</f>
        <v/>
      </c>
      <c r="CM720">
        <f>$C720*CM719</f>
        <v/>
      </c>
      <c r="CN720">
        <f>$C720*CN719</f>
        <v/>
      </c>
      <c r="CO720">
        <f>$C720*CO719</f>
        <v/>
      </c>
      <c r="CP720">
        <f>$C720*CP719</f>
        <v/>
      </c>
      <c r="CQ720">
        <f>$C720*CQ719</f>
        <v/>
      </c>
      <c r="CR720">
        <f>$C720*CR719</f>
        <v/>
      </c>
      <c r="CS720">
        <f>$C720*CS719</f>
        <v/>
      </c>
      <c r="CT720">
        <f>$C720*CT719</f>
        <v/>
      </c>
      <c r="CU720">
        <f>$C720*CU719</f>
        <v/>
      </c>
      <c r="CV720">
        <f>$C720*CV719</f>
        <v/>
      </c>
      <c r="CW720">
        <f>$C720*CW719</f>
        <v/>
      </c>
      <c r="CX720">
        <f>$C720*CX719</f>
        <v/>
      </c>
      <c r="CY720">
        <f>$C720*CY719</f>
        <v/>
      </c>
      <c r="CZ720">
        <f>$C720*CZ719</f>
        <v/>
      </c>
      <c r="DA720">
        <f>$C720*DA719</f>
        <v/>
      </c>
      <c r="DB720">
        <f>$C720*DB719</f>
        <v/>
      </c>
      <c r="DC720">
        <f>$C720*DC719</f>
        <v/>
      </c>
      <c r="DD720">
        <f>$C720*DD719</f>
        <v/>
      </c>
    </row>
    <row r="721">
      <c r="B721" t="inlineStr">
        <is>
          <t>VSP-820</t>
        </is>
      </c>
      <c r="C721" t="inlineStr">
        <is>
          <t>No. of batches</t>
        </is>
      </c>
      <c r="D721">
        <f>IFERROR(INDEX(E721:DD721,$F$1),"")</f>
        <v/>
      </c>
      <c r="E721">
        <f>IFERROR(INDEX(PP_Grid[#Data],$DE721,2),0)</f>
        <v/>
      </c>
      <c r="F721">
        <f>IFERROR(INDEX(PP_Grid[#Data],$DE721,3),0)</f>
        <v/>
      </c>
      <c r="G721">
        <f>IFERROR(INDEX(PP_Grid[#Data],$DE721,4),0)</f>
        <v/>
      </c>
      <c r="H721">
        <f>IFERROR(INDEX(PP_Grid[#Data],$DE721,5),0)</f>
        <v/>
      </c>
      <c r="I721">
        <f>IFERROR(INDEX(PP_Grid[#Data],$DE721,6),0)</f>
        <v/>
      </c>
      <c r="J721">
        <f>IFERROR(INDEX(PP_Grid[#Data],$DE721,7),0)</f>
        <v/>
      </c>
      <c r="K721">
        <f>IFERROR(INDEX(PP_Grid[#Data],$DE721,8),0)</f>
        <v/>
      </c>
      <c r="L721">
        <f>IFERROR(INDEX(PP_Grid[#Data],$DE721,9),0)</f>
        <v/>
      </c>
      <c r="M721">
        <f>IFERROR(INDEX(PP_Grid[#Data],$DE721,10),0)</f>
        <v/>
      </c>
      <c r="N721">
        <f>IFERROR(INDEX(PP_Grid[#Data],$DE721,11),0)</f>
        <v/>
      </c>
      <c r="O721">
        <f>IFERROR(INDEX(PP_Grid[#Data],$DE721,12),0)</f>
        <v/>
      </c>
      <c r="P721">
        <f>IFERROR(INDEX(PP_Grid[#Data],$DE721,13),0)</f>
        <v/>
      </c>
      <c r="Q721">
        <f>IFERROR(INDEX(PP_Grid[#Data],$DE721,14),0)</f>
        <v/>
      </c>
      <c r="R721">
        <f>IFERROR(INDEX(PP_Grid[#Data],$DE721,15),0)</f>
        <v/>
      </c>
      <c r="S721">
        <f>IFERROR(INDEX(PP_Grid[#Data],$DE721,16),0)</f>
        <v/>
      </c>
      <c r="T721">
        <f>IFERROR(INDEX(PP_Grid[#Data],$DE721,17),0)</f>
        <v/>
      </c>
      <c r="U721">
        <f>IFERROR(INDEX(PP_Grid[#Data],$DE721,18),0)</f>
        <v/>
      </c>
      <c r="V721">
        <f>IFERROR(INDEX(PP_Grid[#Data],$DE721,19),0)</f>
        <v/>
      </c>
      <c r="W721">
        <f>IFERROR(INDEX(PP_Grid[#Data],$DE721,20),0)</f>
        <v/>
      </c>
      <c r="X721">
        <f>IFERROR(INDEX(PP_Grid[#Data],$DE721,21),0)</f>
        <v/>
      </c>
      <c r="Y721">
        <f>IFERROR(INDEX(PP_Grid[#Data],$DE721,22),0)</f>
        <v/>
      </c>
      <c r="Z721">
        <f>IFERROR(INDEX(PP_Grid[#Data],$DE721,23),0)</f>
        <v/>
      </c>
      <c r="AA721">
        <f>IFERROR(INDEX(PP_Grid[#Data],$DE721,24),0)</f>
        <v/>
      </c>
      <c r="AB721">
        <f>IFERROR(INDEX(PP_Grid[#Data],$DE721,25),0)</f>
        <v/>
      </c>
      <c r="AC721">
        <f>IFERROR(INDEX(PP_Grid[#Data],$DE721,26),0)</f>
        <v/>
      </c>
      <c r="AD721">
        <f>IFERROR(INDEX(PP_Grid[#Data],$DE721,27),0)</f>
        <v/>
      </c>
      <c r="AE721">
        <f>IFERROR(INDEX(PP_Grid[#Data],$DE721,28),0)</f>
        <v/>
      </c>
      <c r="AF721">
        <f>IFERROR(INDEX(PP_Grid[#Data],$DE721,29),0)</f>
        <v/>
      </c>
      <c r="AG721">
        <f>IFERROR(INDEX(PP_Grid[#Data],$DE721,30),0)</f>
        <v/>
      </c>
      <c r="AH721">
        <f>IFERROR(INDEX(PP_Grid[#Data],$DE721,31),0)</f>
        <v/>
      </c>
      <c r="AI721">
        <f>IFERROR(INDEX(PP_Grid[#Data],$DE721,32),0)</f>
        <v/>
      </c>
      <c r="AJ721">
        <f>IFERROR(INDEX(PP_Grid[#Data],$DE721,33),0)</f>
        <v/>
      </c>
      <c r="AK721">
        <f>IFERROR(INDEX(PP_Grid[#Data],$DE721,34),0)</f>
        <v/>
      </c>
      <c r="AL721">
        <f>IFERROR(INDEX(PP_Grid[#Data],$DE721,35),0)</f>
        <v/>
      </c>
      <c r="AM721">
        <f>IFERROR(INDEX(PP_Grid[#Data],$DE721,36),0)</f>
        <v/>
      </c>
      <c r="AN721">
        <f>IFERROR(INDEX(PP_Grid[#Data],$DE721,37),0)</f>
        <v/>
      </c>
      <c r="AO721">
        <f>IFERROR(INDEX(PP_Grid[#Data],$DE721,38),0)</f>
        <v/>
      </c>
      <c r="AP721">
        <f>IFERROR(INDEX(PP_Grid[#Data],$DE721,39),0)</f>
        <v/>
      </c>
      <c r="AQ721">
        <f>IFERROR(INDEX(PP_Grid[#Data],$DE721,40),0)</f>
        <v/>
      </c>
      <c r="AR721">
        <f>IFERROR(INDEX(PP_Grid[#Data],$DE721,41),0)</f>
        <v/>
      </c>
      <c r="AS721">
        <f>IFERROR(INDEX(PP_Grid[#Data],$DE721,42),0)</f>
        <v/>
      </c>
      <c r="AT721">
        <f>IFERROR(INDEX(PP_Grid[#Data],$DE721,43),0)</f>
        <v/>
      </c>
      <c r="AU721">
        <f>IFERROR(INDEX(PP_Grid[#Data],$DE721,44),0)</f>
        <v/>
      </c>
      <c r="AV721">
        <f>IFERROR(INDEX(PP_Grid[#Data],$DE721,45),0)</f>
        <v/>
      </c>
      <c r="AW721">
        <f>IFERROR(INDEX(PP_Grid[#Data],$DE721,46),0)</f>
        <v/>
      </c>
      <c r="AX721">
        <f>IFERROR(INDEX(PP_Grid[#Data],$DE721,47),0)</f>
        <v/>
      </c>
      <c r="AY721">
        <f>IFERROR(INDEX(PP_Grid[#Data],$DE721,48),0)</f>
        <v/>
      </c>
      <c r="AZ721">
        <f>IFERROR(INDEX(PP_Grid[#Data],$DE721,49),0)</f>
        <v/>
      </c>
      <c r="BA721">
        <f>IFERROR(INDEX(PP_Grid[#Data],$DE721,50),0)</f>
        <v/>
      </c>
      <c r="BB721">
        <f>IFERROR(INDEX(PP_Grid[#Data],$DE721,51),0)</f>
        <v/>
      </c>
      <c r="BC721">
        <f>IFERROR(INDEX(PP_Grid[#Data],$DE721,52),0)</f>
        <v/>
      </c>
      <c r="BD721">
        <f>IFERROR(INDEX(PP_Grid[#Data],$DE721,53),0)</f>
        <v/>
      </c>
      <c r="BE721">
        <f>IFERROR(INDEX(PP_Grid[#Data],$DE721,54),0)</f>
        <v/>
      </c>
      <c r="BF721">
        <f>IFERROR(INDEX(PP_Grid[#Data],$DE721,55),0)</f>
        <v/>
      </c>
      <c r="BG721">
        <f>IFERROR(INDEX(PP_Grid[#Data],$DE721,56),0)</f>
        <v/>
      </c>
      <c r="BH721">
        <f>IFERROR(INDEX(PP_Grid[#Data],$DE721,57),0)</f>
        <v/>
      </c>
      <c r="BI721">
        <f>IFERROR(INDEX(PP_Grid[#Data],$DE721,58),0)</f>
        <v/>
      </c>
      <c r="BJ721">
        <f>IFERROR(INDEX(PP_Grid[#Data],$DE721,59),0)</f>
        <v/>
      </c>
      <c r="BK721">
        <f>IFERROR(INDEX(PP_Grid[#Data],$DE721,60),0)</f>
        <v/>
      </c>
      <c r="BL721">
        <f>IFERROR(INDEX(PP_Grid[#Data],$DE721,61),0)</f>
        <v/>
      </c>
      <c r="BM721">
        <f>IFERROR(INDEX(PP_Grid[#Data],$DE721,62),0)</f>
        <v/>
      </c>
      <c r="BN721">
        <f>IFERROR(INDEX(PP_Grid[#Data],$DE721,63),0)</f>
        <v/>
      </c>
      <c r="BO721">
        <f>IFERROR(INDEX(PP_Grid[#Data],$DE721,64),0)</f>
        <v/>
      </c>
      <c r="BP721">
        <f>IFERROR(INDEX(PP_Grid[#Data],$DE721,65),0)</f>
        <v/>
      </c>
      <c r="BQ721">
        <f>IFERROR(INDEX(PP_Grid[#Data],$DE721,66),0)</f>
        <v/>
      </c>
      <c r="BR721">
        <f>IFERROR(INDEX(PP_Grid[#Data],$DE721,67),0)</f>
        <v/>
      </c>
      <c r="BS721">
        <f>IFERROR(INDEX(PP_Grid[#Data],$DE721,68),0)</f>
        <v/>
      </c>
      <c r="BT721">
        <f>IFERROR(INDEX(PP_Grid[#Data],$DE721,69),0)</f>
        <v/>
      </c>
      <c r="BU721">
        <f>IFERROR(INDEX(PP_Grid[#Data],$DE721,70),0)</f>
        <v/>
      </c>
      <c r="BV721">
        <f>IFERROR(INDEX(PP_Grid[#Data],$DE721,71),0)</f>
        <v/>
      </c>
      <c r="BW721">
        <f>IFERROR(INDEX(PP_Grid[#Data],$DE721,72),0)</f>
        <v/>
      </c>
      <c r="BX721">
        <f>IFERROR(INDEX(PP_Grid[#Data],$DE721,73),0)</f>
        <v/>
      </c>
      <c r="BY721">
        <f>IFERROR(INDEX(PP_Grid[#Data],$DE721,74),0)</f>
        <v/>
      </c>
      <c r="BZ721">
        <f>IFERROR(INDEX(PP_Grid[#Data],$DE721,75),0)</f>
        <v/>
      </c>
      <c r="CA721">
        <f>IFERROR(INDEX(PP_Grid[#Data],$DE721,76),0)</f>
        <v/>
      </c>
      <c r="CB721">
        <f>IFERROR(INDEX(PP_Grid[#Data],$DE721,77),0)</f>
        <v/>
      </c>
      <c r="CC721">
        <f>IFERROR(INDEX(PP_Grid[#Data],$DE721,78),0)</f>
        <v/>
      </c>
      <c r="CD721">
        <f>IFERROR(INDEX(PP_Grid[#Data],$DE721,79),0)</f>
        <v/>
      </c>
      <c r="CE721">
        <f>IFERROR(INDEX(PP_Grid[#Data],$DE721,80),0)</f>
        <v/>
      </c>
      <c r="CF721">
        <f>IFERROR(INDEX(PP_Grid[#Data],$DE721,81),0)</f>
        <v/>
      </c>
      <c r="CG721">
        <f>IFERROR(INDEX(PP_Grid[#Data],$DE721,82),0)</f>
        <v/>
      </c>
      <c r="CH721">
        <f>IFERROR(INDEX(PP_Grid[#Data],$DE721,83),0)</f>
        <v/>
      </c>
      <c r="CI721">
        <f>IFERROR(INDEX(PP_Grid[#Data],$DE721,84),0)</f>
        <v/>
      </c>
      <c r="CJ721">
        <f>IFERROR(INDEX(PP_Grid[#Data],$DE721,85),0)</f>
        <v/>
      </c>
      <c r="CK721">
        <f>IFERROR(INDEX(PP_Grid[#Data],$DE721,86),0)</f>
        <v/>
      </c>
      <c r="CL721">
        <f>IFERROR(INDEX(PP_Grid[#Data],$DE721,87),0)</f>
        <v/>
      </c>
      <c r="CM721">
        <f>IFERROR(INDEX(PP_Grid[#Data],$DE721,88),0)</f>
        <v/>
      </c>
      <c r="CN721">
        <f>IFERROR(INDEX(PP_Grid[#Data],$DE721,89),0)</f>
        <v/>
      </c>
      <c r="CO721">
        <f>IFERROR(INDEX(PP_Grid[#Data],$DE721,90),0)</f>
        <v/>
      </c>
      <c r="CP721">
        <f>IFERROR(INDEX(PP_Grid[#Data],$DE721,91),0)</f>
        <v/>
      </c>
      <c r="CQ721">
        <f>IFERROR(INDEX(PP_Grid[#Data],$DE721,92),0)</f>
        <v/>
      </c>
      <c r="CR721">
        <f>IFERROR(INDEX(PP_Grid[#Data],$DE721,93),0)</f>
        <v/>
      </c>
      <c r="CS721">
        <f>IFERROR(INDEX(PP_Grid[#Data],$DE721,94),0)</f>
        <v/>
      </c>
      <c r="CT721">
        <f>IFERROR(INDEX(PP_Grid[#Data],$DE721,95),0)</f>
        <v/>
      </c>
      <c r="CU721">
        <f>IFERROR(INDEX(PP_Grid[#Data],$DE721,96),0)</f>
        <v/>
      </c>
      <c r="CV721">
        <f>IFERROR(INDEX(PP_Grid[#Data],$DE721,97),0)</f>
        <v/>
      </c>
      <c r="CW721">
        <f>IFERROR(INDEX(PP_Grid[#Data],$DE721,98),0)</f>
        <v/>
      </c>
      <c r="CX721">
        <f>IFERROR(INDEX(PP_Grid[#Data],$DE721,99),0)</f>
        <v/>
      </c>
      <c r="CY721">
        <f>IFERROR(INDEX(PP_Grid[#Data],$DE721,100),0)</f>
        <v/>
      </c>
      <c r="CZ721">
        <f>IFERROR(INDEX(PP_Grid[#Data],$DE721,101),0)</f>
        <v/>
      </c>
      <c r="DA721">
        <f>IFERROR(INDEX(PP_Grid[#Data],$DE721,102),0)</f>
        <v/>
      </c>
      <c r="DB721">
        <f>IFERROR(INDEX(PP_Grid[#Data],$DE721,103),0)</f>
        <v/>
      </c>
      <c r="DC721">
        <f>IFERROR(INDEX(PP_Grid[#Data],$DE721,104),0)</f>
        <v/>
      </c>
      <c r="DD721">
        <f>IFERROR(INDEX(PP_Grid[#Data],$DE721,105),0)</f>
        <v/>
      </c>
      <c r="DE721" s="7">
        <f>IFERROR(MATCH($B721,PP_Grid[Intermediate],0),99999)</f>
        <v/>
      </c>
    </row>
    <row r="722">
      <c r="B722" t="inlineStr">
        <is>
          <t>使用量(kg)</t>
        </is>
      </c>
      <c r="C722">
        <f>SUMIFS(M_BOM[RM_Qty_Per_Batch],M_BOM[Intermediate],$B721,M_BOM[RM_Code],$A636)</f>
        <v/>
      </c>
      <c r="D722">
        <f>IFERROR(INDEX(E722:DD722,$F$1),"")</f>
        <v/>
      </c>
      <c r="E722">
        <f>$C722*E721</f>
        <v/>
      </c>
      <c r="F722">
        <f>$C722*F721</f>
        <v/>
      </c>
      <c r="G722">
        <f>$C722*G721</f>
        <v/>
      </c>
      <c r="H722">
        <f>$C722*H721</f>
        <v/>
      </c>
      <c r="I722">
        <f>$C722*I721</f>
        <v/>
      </c>
      <c r="J722">
        <f>$C722*J721</f>
        <v/>
      </c>
      <c r="K722">
        <f>$C722*K721</f>
        <v/>
      </c>
      <c r="L722">
        <f>$C722*L721</f>
        <v/>
      </c>
      <c r="M722">
        <f>$C722*M721</f>
        <v/>
      </c>
      <c r="N722">
        <f>$C722*N721</f>
        <v/>
      </c>
      <c r="O722">
        <f>$C722*O721</f>
        <v/>
      </c>
      <c r="P722">
        <f>$C722*P721</f>
        <v/>
      </c>
      <c r="Q722">
        <f>$C722*Q721</f>
        <v/>
      </c>
      <c r="R722">
        <f>$C722*R721</f>
        <v/>
      </c>
      <c r="S722">
        <f>$C722*S721</f>
        <v/>
      </c>
      <c r="T722">
        <f>$C722*T721</f>
        <v/>
      </c>
      <c r="U722">
        <f>$C722*U721</f>
        <v/>
      </c>
      <c r="V722">
        <f>$C722*V721</f>
        <v/>
      </c>
      <c r="W722">
        <f>$C722*W721</f>
        <v/>
      </c>
      <c r="X722">
        <f>$C722*X721</f>
        <v/>
      </c>
      <c r="Y722">
        <f>$C722*Y721</f>
        <v/>
      </c>
      <c r="Z722">
        <f>$C722*Z721</f>
        <v/>
      </c>
      <c r="AA722">
        <f>$C722*AA721</f>
        <v/>
      </c>
      <c r="AB722">
        <f>$C722*AB721</f>
        <v/>
      </c>
      <c r="AC722">
        <f>$C722*AC721</f>
        <v/>
      </c>
      <c r="AD722">
        <f>$C722*AD721</f>
        <v/>
      </c>
      <c r="AE722">
        <f>$C722*AE721</f>
        <v/>
      </c>
      <c r="AF722">
        <f>$C722*AF721</f>
        <v/>
      </c>
      <c r="AG722">
        <f>$C722*AG721</f>
        <v/>
      </c>
      <c r="AH722">
        <f>$C722*AH721</f>
        <v/>
      </c>
      <c r="AI722">
        <f>$C722*AI721</f>
        <v/>
      </c>
      <c r="AJ722">
        <f>$C722*AJ721</f>
        <v/>
      </c>
      <c r="AK722">
        <f>$C722*AK721</f>
        <v/>
      </c>
      <c r="AL722">
        <f>$C722*AL721</f>
        <v/>
      </c>
      <c r="AM722">
        <f>$C722*AM721</f>
        <v/>
      </c>
      <c r="AN722">
        <f>$C722*AN721</f>
        <v/>
      </c>
      <c r="AO722">
        <f>$C722*AO721</f>
        <v/>
      </c>
      <c r="AP722">
        <f>$C722*AP721</f>
        <v/>
      </c>
      <c r="AQ722">
        <f>$C722*AQ721</f>
        <v/>
      </c>
      <c r="AR722">
        <f>$C722*AR721</f>
        <v/>
      </c>
      <c r="AS722">
        <f>$C722*AS721</f>
        <v/>
      </c>
      <c r="AT722">
        <f>$C722*AT721</f>
        <v/>
      </c>
      <c r="AU722">
        <f>$C722*AU721</f>
        <v/>
      </c>
      <c r="AV722">
        <f>$C722*AV721</f>
        <v/>
      </c>
      <c r="AW722">
        <f>$C722*AW721</f>
        <v/>
      </c>
      <c r="AX722">
        <f>$C722*AX721</f>
        <v/>
      </c>
      <c r="AY722">
        <f>$C722*AY721</f>
        <v/>
      </c>
      <c r="AZ722">
        <f>$C722*AZ721</f>
        <v/>
      </c>
      <c r="BA722">
        <f>$C722*BA721</f>
        <v/>
      </c>
      <c r="BB722">
        <f>$C722*BB721</f>
        <v/>
      </c>
      <c r="BC722">
        <f>$C722*BC721</f>
        <v/>
      </c>
      <c r="BD722">
        <f>$C722*BD721</f>
        <v/>
      </c>
      <c r="BE722">
        <f>$C722*BE721</f>
        <v/>
      </c>
      <c r="BF722">
        <f>$C722*BF721</f>
        <v/>
      </c>
      <c r="BG722">
        <f>$C722*BG721</f>
        <v/>
      </c>
      <c r="BH722">
        <f>$C722*BH721</f>
        <v/>
      </c>
      <c r="BI722">
        <f>$C722*BI721</f>
        <v/>
      </c>
      <c r="BJ722">
        <f>$C722*BJ721</f>
        <v/>
      </c>
      <c r="BK722">
        <f>$C722*BK721</f>
        <v/>
      </c>
      <c r="BL722">
        <f>$C722*BL721</f>
        <v/>
      </c>
      <c r="BM722">
        <f>$C722*BM721</f>
        <v/>
      </c>
      <c r="BN722">
        <f>$C722*BN721</f>
        <v/>
      </c>
      <c r="BO722">
        <f>$C722*BO721</f>
        <v/>
      </c>
      <c r="BP722">
        <f>$C722*BP721</f>
        <v/>
      </c>
      <c r="BQ722">
        <f>$C722*BQ721</f>
        <v/>
      </c>
      <c r="BR722">
        <f>$C722*BR721</f>
        <v/>
      </c>
      <c r="BS722">
        <f>$C722*BS721</f>
        <v/>
      </c>
      <c r="BT722">
        <f>$C722*BT721</f>
        <v/>
      </c>
      <c r="BU722">
        <f>$C722*BU721</f>
        <v/>
      </c>
      <c r="BV722">
        <f>$C722*BV721</f>
        <v/>
      </c>
      <c r="BW722">
        <f>$C722*BW721</f>
        <v/>
      </c>
      <c r="BX722">
        <f>$C722*BX721</f>
        <v/>
      </c>
      <c r="BY722">
        <f>$C722*BY721</f>
        <v/>
      </c>
      <c r="BZ722">
        <f>$C722*BZ721</f>
        <v/>
      </c>
      <c r="CA722">
        <f>$C722*CA721</f>
        <v/>
      </c>
      <c r="CB722">
        <f>$C722*CB721</f>
        <v/>
      </c>
      <c r="CC722">
        <f>$C722*CC721</f>
        <v/>
      </c>
      <c r="CD722">
        <f>$C722*CD721</f>
        <v/>
      </c>
      <c r="CE722">
        <f>$C722*CE721</f>
        <v/>
      </c>
      <c r="CF722">
        <f>$C722*CF721</f>
        <v/>
      </c>
      <c r="CG722">
        <f>$C722*CG721</f>
        <v/>
      </c>
      <c r="CH722">
        <f>$C722*CH721</f>
        <v/>
      </c>
      <c r="CI722">
        <f>$C722*CI721</f>
        <v/>
      </c>
      <c r="CJ722">
        <f>$C722*CJ721</f>
        <v/>
      </c>
      <c r="CK722">
        <f>$C722*CK721</f>
        <v/>
      </c>
      <c r="CL722">
        <f>$C722*CL721</f>
        <v/>
      </c>
      <c r="CM722">
        <f>$C722*CM721</f>
        <v/>
      </c>
      <c r="CN722">
        <f>$C722*CN721</f>
        <v/>
      </c>
      <c r="CO722">
        <f>$C722*CO721</f>
        <v/>
      </c>
      <c r="CP722">
        <f>$C722*CP721</f>
        <v/>
      </c>
      <c r="CQ722">
        <f>$C722*CQ721</f>
        <v/>
      </c>
      <c r="CR722">
        <f>$C722*CR721</f>
        <v/>
      </c>
      <c r="CS722">
        <f>$C722*CS721</f>
        <v/>
      </c>
      <c r="CT722">
        <f>$C722*CT721</f>
        <v/>
      </c>
      <c r="CU722">
        <f>$C722*CU721</f>
        <v/>
      </c>
      <c r="CV722">
        <f>$C722*CV721</f>
        <v/>
      </c>
      <c r="CW722">
        <f>$C722*CW721</f>
        <v/>
      </c>
      <c r="CX722">
        <f>$C722*CX721</f>
        <v/>
      </c>
      <c r="CY722">
        <f>$C722*CY721</f>
        <v/>
      </c>
      <c r="CZ722">
        <f>$C722*CZ721</f>
        <v/>
      </c>
      <c r="DA722">
        <f>$C722*DA721</f>
        <v/>
      </c>
      <c r="DB722">
        <f>$C722*DB721</f>
        <v/>
      </c>
      <c r="DC722">
        <f>$C722*DC721</f>
        <v/>
      </c>
      <c r="DD722">
        <f>$C722*DD721</f>
        <v/>
      </c>
    </row>
    <row r="723">
      <c r="B723" t="inlineStr">
        <is>
          <t>VSP-822</t>
        </is>
      </c>
      <c r="C723" t="inlineStr">
        <is>
          <t>No. of batches</t>
        </is>
      </c>
      <c r="D723">
        <f>IFERROR(INDEX(E723:DD723,$F$1),"")</f>
        <v/>
      </c>
      <c r="E723">
        <f>IFERROR(INDEX(PP_Grid[#Data],$DE723,2),0)</f>
        <v/>
      </c>
      <c r="F723">
        <f>IFERROR(INDEX(PP_Grid[#Data],$DE723,3),0)</f>
        <v/>
      </c>
      <c r="G723">
        <f>IFERROR(INDEX(PP_Grid[#Data],$DE723,4),0)</f>
        <v/>
      </c>
      <c r="H723">
        <f>IFERROR(INDEX(PP_Grid[#Data],$DE723,5),0)</f>
        <v/>
      </c>
      <c r="I723">
        <f>IFERROR(INDEX(PP_Grid[#Data],$DE723,6),0)</f>
        <v/>
      </c>
      <c r="J723">
        <f>IFERROR(INDEX(PP_Grid[#Data],$DE723,7),0)</f>
        <v/>
      </c>
      <c r="K723">
        <f>IFERROR(INDEX(PP_Grid[#Data],$DE723,8),0)</f>
        <v/>
      </c>
      <c r="L723">
        <f>IFERROR(INDEX(PP_Grid[#Data],$DE723,9),0)</f>
        <v/>
      </c>
      <c r="M723">
        <f>IFERROR(INDEX(PP_Grid[#Data],$DE723,10),0)</f>
        <v/>
      </c>
      <c r="N723">
        <f>IFERROR(INDEX(PP_Grid[#Data],$DE723,11),0)</f>
        <v/>
      </c>
      <c r="O723">
        <f>IFERROR(INDEX(PP_Grid[#Data],$DE723,12),0)</f>
        <v/>
      </c>
      <c r="P723">
        <f>IFERROR(INDEX(PP_Grid[#Data],$DE723,13),0)</f>
        <v/>
      </c>
      <c r="Q723">
        <f>IFERROR(INDEX(PP_Grid[#Data],$DE723,14),0)</f>
        <v/>
      </c>
      <c r="R723">
        <f>IFERROR(INDEX(PP_Grid[#Data],$DE723,15),0)</f>
        <v/>
      </c>
      <c r="S723">
        <f>IFERROR(INDEX(PP_Grid[#Data],$DE723,16),0)</f>
        <v/>
      </c>
      <c r="T723">
        <f>IFERROR(INDEX(PP_Grid[#Data],$DE723,17),0)</f>
        <v/>
      </c>
      <c r="U723">
        <f>IFERROR(INDEX(PP_Grid[#Data],$DE723,18),0)</f>
        <v/>
      </c>
      <c r="V723">
        <f>IFERROR(INDEX(PP_Grid[#Data],$DE723,19),0)</f>
        <v/>
      </c>
      <c r="W723">
        <f>IFERROR(INDEX(PP_Grid[#Data],$DE723,20),0)</f>
        <v/>
      </c>
      <c r="X723">
        <f>IFERROR(INDEX(PP_Grid[#Data],$DE723,21),0)</f>
        <v/>
      </c>
      <c r="Y723">
        <f>IFERROR(INDEX(PP_Grid[#Data],$DE723,22),0)</f>
        <v/>
      </c>
      <c r="Z723">
        <f>IFERROR(INDEX(PP_Grid[#Data],$DE723,23),0)</f>
        <v/>
      </c>
      <c r="AA723">
        <f>IFERROR(INDEX(PP_Grid[#Data],$DE723,24),0)</f>
        <v/>
      </c>
      <c r="AB723">
        <f>IFERROR(INDEX(PP_Grid[#Data],$DE723,25),0)</f>
        <v/>
      </c>
      <c r="AC723">
        <f>IFERROR(INDEX(PP_Grid[#Data],$DE723,26),0)</f>
        <v/>
      </c>
      <c r="AD723">
        <f>IFERROR(INDEX(PP_Grid[#Data],$DE723,27),0)</f>
        <v/>
      </c>
      <c r="AE723">
        <f>IFERROR(INDEX(PP_Grid[#Data],$DE723,28),0)</f>
        <v/>
      </c>
      <c r="AF723">
        <f>IFERROR(INDEX(PP_Grid[#Data],$DE723,29),0)</f>
        <v/>
      </c>
      <c r="AG723">
        <f>IFERROR(INDEX(PP_Grid[#Data],$DE723,30),0)</f>
        <v/>
      </c>
      <c r="AH723">
        <f>IFERROR(INDEX(PP_Grid[#Data],$DE723,31),0)</f>
        <v/>
      </c>
      <c r="AI723">
        <f>IFERROR(INDEX(PP_Grid[#Data],$DE723,32),0)</f>
        <v/>
      </c>
      <c r="AJ723">
        <f>IFERROR(INDEX(PP_Grid[#Data],$DE723,33),0)</f>
        <v/>
      </c>
      <c r="AK723">
        <f>IFERROR(INDEX(PP_Grid[#Data],$DE723,34),0)</f>
        <v/>
      </c>
      <c r="AL723">
        <f>IFERROR(INDEX(PP_Grid[#Data],$DE723,35),0)</f>
        <v/>
      </c>
      <c r="AM723">
        <f>IFERROR(INDEX(PP_Grid[#Data],$DE723,36),0)</f>
        <v/>
      </c>
      <c r="AN723">
        <f>IFERROR(INDEX(PP_Grid[#Data],$DE723,37),0)</f>
        <v/>
      </c>
      <c r="AO723">
        <f>IFERROR(INDEX(PP_Grid[#Data],$DE723,38),0)</f>
        <v/>
      </c>
      <c r="AP723">
        <f>IFERROR(INDEX(PP_Grid[#Data],$DE723,39),0)</f>
        <v/>
      </c>
      <c r="AQ723">
        <f>IFERROR(INDEX(PP_Grid[#Data],$DE723,40),0)</f>
        <v/>
      </c>
      <c r="AR723">
        <f>IFERROR(INDEX(PP_Grid[#Data],$DE723,41),0)</f>
        <v/>
      </c>
      <c r="AS723">
        <f>IFERROR(INDEX(PP_Grid[#Data],$DE723,42),0)</f>
        <v/>
      </c>
      <c r="AT723">
        <f>IFERROR(INDEX(PP_Grid[#Data],$DE723,43),0)</f>
        <v/>
      </c>
      <c r="AU723">
        <f>IFERROR(INDEX(PP_Grid[#Data],$DE723,44),0)</f>
        <v/>
      </c>
      <c r="AV723">
        <f>IFERROR(INDEX(PP_Grid[#Data],$DE723,45),0)</f>
        <v/>
      </c>
      <c r="AW723">
        <f>IFERROR(INDEX(PP_Grid[#Data],$DE723,46),0)</f>
        <v/>
      </c>
      <c r="AX723">
        <f>IFERROR(INDEX(PP_Grid[#Data],$DE723,47),0)</f>
        <v/>
      </c>
      <c r="AY723">
        <f>IFERROR(INDEX(PP_Grid[#Data],$DE723,48),0)</f>
        <v/>
      </c>
      <c r="AZ723">
        <f>IFERROR(INDEX(PP_Grid[#Data],$DE723,49),0)</f>
        <v/>
      </c>
      <c r="BA723">
        <f>IFERROR(INDEX(PP_Grid[#Data],$DE723,50),0)</f>
        <v/>
      </c>
      <c r="BB723">
        <f>IFERROR(INDEX(PP_Grid[#Data],$DE723,51),0)</f>
        <v/>
      </c>
      <c r="BC723">
        <f>IFERROR(INDEX(PP_Grid[#Data],$DE723,52),0)</f>
        <v/>
      </c>
      <c r="BD723">
        <f>IFERROR(INDEX(PP_Grid[#Data],$DE723,53),0)</f>
        <v/>
      </c>
      <c r="BE723">
        <f>IFERROR(INDEX(PP_Grid[#Data],$DE723,54),0)</f>
        <v/>
      </c>
      <c r="BF723">
        <f>IFERROR(INDEX(PP_Grid[#Data],$DE723,55),0)</f>
        <v/>
      </c>
      <c r="BG723">
        <f>IFERROR(INDEX(PP_Grid[#Data],$DE723,56),0)</f>
        <v/>
      </c>
      <c r="BH723">
        <f>IFERROR(INDEX(PP_Grid[#Data],$DE723,57),0)</f>
        <v/>
      </c>
      <c r="BI723">
        <f>IFERROR(INDEX(PP_Grid[#Data],$DE723,58),0)</f>
        <v/>
      </c>
      <c r="BJ723">
        <f>IFERROR(INDEX(PP_Grid[#Data],$DE723,59),0)</f>
        <v/>
      </c>
      <c r="BK723">
        <f>IFERROR(INDEX(PP_Grid[#Data],$DE723,60),0)</f>
        <v/>
      </c>
      <c r="BL723">
        <f>IFERROR(INDEX(PP_Grid[#Data],$DE723,61),0)</f>
        <v/>
      </c>
      <c r="BM723">
        <f>IFERROR(INDEX(PP_Grid[#Data],$DE723,62),0)</f>
        <v/>
      </c>
      <c r="BN723">
        <f>IFERROR(INDEX(PP_Grid[#Data],$DE723,63),0)</f>
        <v/>
      </c>
      <c r="BO723">
        <f>IFERROR(INDEX(PP_Grid[#Data],$DE723,64),0)</f>
        <v/>
      </c>
      <c r="BP723">
        <f>IFERROR(INDEX(PP_Grid[#Data],$DE723,65),0)</f>
        <v/>
      </c>
      <c r="BQ723">
        <f>IFERROR(INDEX(PP_Grid[#Data],$DE723,66),0)</f>
        <v/>
      </c>
      <c r="BR723">
        <f>IFERROR(INDEX(PP_Grid[#Data],$DE723,67),0)</f>
        <v/>
      </c>
      <c r="BS723">
        <f>IFERROR(INDEX(PP_Grid[#Data],$DE723,68),0)</f>
        <v/>
      </c>
      <c r="BT723">
        <f>IFERROR(INDEX(PP_Grid[#Data],$DE723,69),0)</f>
        <v/>
      </c>
      <c r="BU723">
        <f>IFERROR(INDEX(PP_Grid[#Data],$DE723,70),0)</f>
        <v/>
      </c>
      <c r="BV723">
        <f>IFERROR(INDEX(PP_Grid[#Data],$DE723,71),0)</f>
        <v/>
      </c>
      <c r="BW723">
        <f>IFERROR(INDEX(PP_Grid[#Data],$DE723,72),0)</f>
        <v/>
      </c>
      <c r="BX723">
        <f>IFERROR(INDEX(PP_Grid[#Data],$DE723,73),0)</f>
        <v/>
      </c>
      <c r="BY723">
        <f>IFERROR(INDEX(PP_Grid[#Data],$DE723,74),0)</f>
        <v/>
      </c>
      <c r="BZ723">
        <f>IFERROR(INDEX(PP_Grid[#Data],$DE723,75),0)</f>
        <v/>
      </c>
      <c r="CA723">
        <f>IFERROR(INDEX(PP_Grid[#Data],$DE723,76),0)</f>
        <v/>
      </c>
      <c r="CB723">
        <f>IFERROR(INDEX(PP_Grid[#Data],$DE723,77),0)</f>
        <v/>
      </c>
      <c r="CC723">
        <f>IFERROR(INDEX(PP_Grid[#Data],$DE723,78),0)</f>
        <v/>
      </c>
      <c r="CD723">
        <f>IFERROR(INDEX(PP_Grid[#Data],$DE723,79),0)</f>
        <v/>
      </c>
      <c r="CE723">
        <f>IFERROR(INDEX(PP_Grid[#Data],$DE723,80),0)</f>
        <v/>
      </c>
      <c r="CF723">
        <f>IFERROR(INDEX(PP_Grid[#Data],$DE723,81),0)</f>
        <v/>
      </c>
      <c r="CG723">
        <f>IFERROR(INDEX(PP_Grid[#Data],$DE723,82),0)</f>
        <v/>
      </c>
      <c r="CH723">
        <f>IFERROR(INDEX(PP_Grid[#Data],$DE723,83),0)</f>
        <v/>
      </c>
      <c r="CI723">
        <f>IFERROR(INDEX(PP_Grid[#Data],$DE723,84),0)</f>
        <v/>
      </c>
      <c r="CJ723">
        <f>IFERROR(INDEX(PP_Grid[#Data],$DE723,85),0)</f>
        <v/>
      </c>
      <c r="CK723">
        <f>IFERROR(INDEX(PP_Grid[#Data],$DE723,86),0)</f>
        <v/>
      </c>
      <c r="CL723">
        <f>IFERROR(INDEX(PP_Grid[#Data],$DE723,87),0)</f>
        <v/>
      </c>
      <c r="CM723">
        <f>IFERROR(INDEX(PP_Grid[#Data],$DE723,88),0)</f>
        <v/>
      </c>
      <c r="CN723">
        <f>IFERROR(INDEX(PP_Grid[#Data],$DE723,89),0)</f>
        <v/>
      </c>
      <c r="CO723">
        <f>IFERROR(INDEX(PP_Grid[#Data],$DE723,90),0)</f>
        <v/>
      </c>
      <c r="CP723">
        <f>IFERROR(INDEX(PP_Grid[#Data],$DE723,91),0)</f>
        <v/>
      </c>
      <c r="CQ723">
        <f>IFERROR(INDEX(PP_Grid[#Data],$DE723,92),0)</f>
        <v/>
      </c>
      <c r="CR723">
        <f>IFERROR(INDEX(PP_Grid[#Data],$DE723,93),0)</f>
        <v/>
      </c>
      <c r="CS723">
        <f>IFERROR(INDEX(PP_Grid[#Data],$DE723,94),0)</f>
        <v/>
      </c>
      <c r="CT723">
        <f>IFERROR(INDEX(PP_Grid[#Data],$DE723,95),0)</f>
        <v/>
      </c>
      <c r="CU723">
        <f>IFERROR(INDEX(PP_Grid[#Data],$DE723,96),0)</f>
        <v/>
      </c>
      <c r="CV723">
        <f>IFERROR(INDEX(PP_Grid[#Data],$DE723,97),0)</f>
        <v/>
      </c>
      <c r="CW723">
        <f>IFERROR(INDEX(PP_Grid[#Data],$DE723,98),0)</f>
        <v/>
      </c>
      <c r="CX723">
        <f>IFERROR(INDEX(PP_Grid[#Data],$DE723,99),0)</f>
        <v/>
      </c>
      <c r="CY723">
        <f>IFERROR(INDEX(PP_Grid[#Data],$DE723,100),0)</f>
        <v/>
      </c>
      <c r="CZ723">
        <f>IFERROR(INDEX(PP_Grid[#Data],$DE723,101),0)</f>
        <v/>
      </c>
      <c r="DA723">
        <f>IFERROR(INDEX(PP_Grid[#Data],$DE723,102),0)</f>
        <v/>
      </c>
      <c r="DB723">
        <f>IFERROR(INDEX(PP_Grid[#Data],$DE723,103),0)</f>
        <v/>
      </c>
      <c r="DC723">
        <f>IFERROR(INDEX(PP_Grid[#Data],$DE723,104),0)</f>
        <v/>
      </c>
      <c r="DD723">
        <f>IFERROR(INDEX(PP_Grid[#Data],$DE723,105),0)</f>
        <v/>
      </c>
      <c r="DE723" s="7">
        <f>IFERROR(MATCH($B723,PP_Grid[Intermediate],0),99999)</f>
        <v/>
      </c>
    </row>
    <row r="724">
      <c r="B724" t="inlineStr">
        <is>
          <t>使用量(kg)</t>
        </is>
      </c>
      <c r="C724">
        <f>SUMIFS(M_BOM[RM_Qty_Per_Batch],M_BOM[Intermediate],$B723,M_BOM[RM_Code],$A636)</f>
        <v/>
      </c>
      <c r="D724">
        <f>IFERROR(INDEX(E724:DD724,$F$1),"")</f>
        <v/>
      </c>
      <c r="E724">
        <f>$C724*E723</f>
        <v/>
      </c>
      <c r="F724">
        <f>$C724*F723</f>
        <v/>
      </c>
      <c r="G724">
        <f>$C724*G723</f>
        <v/>
      </c>
      <c r="H724">
        <f>$C724*H723</f>
        <v/>
      </c>
      <c r="I724">
        <f>$C724*I723</f>
        <v/>
      </c>
      <c r="J724">
        <f>$C724*J723</f>
        <v/>
      </c>
      <c r="K724">
        <f>$C724*K723</f>
        <v/>
      </c>
      <c r="L724">
        <f>$C724*L723</f>
        <v/>
      </c>
      <c r="M724">
        <f>$C724*M723</f>
        <v/>
      </c>
      <c r="N724">
        <f>$C724*N723</f>
        <v/>
      </c>
      <c r="O724">
        <f>$C724*O723</f>
        <v/>
      </c>
      <c r="P724">
        <f>$C724*P723</f>
        <v/>
      </c>
      <c r="Q724">
        <f>$C724*Q723</f>
        <v/>
      </c>
      <c r="R724">
        <f>$C724*R723</f>
        <v/>
      </c>
      <c r="S724">
        <f>$C724*S723</f>
        <v/>
      </c>
      <c r="T724">
        <f>$C724*T723</f>
        <v/>
      </c>
      <c r="U724">
        <f>$C724*U723</f>
        <v/>
      </c>
      <c r="V724">
        <f>$C724*V723</f>
        <v/>
      </c>
      <c r="W724">
        <f>$C724*W723</f>
        <v/>
      </c>
      <c r="X724">
        <f>$C724*X723</f>
        <v/>
      </c>
      <c r="Y724">
        <f>$C724*Y723</f>
        <v/>
      </c>
      <c r="Z724">
        <f>$C724*Z723</f>
        <v/>
      </c>
      <c r="AA724">
        <f>$C724*AA723</f>
        <v/>
      </c>
      <c r="AB724">
        <f>$C724*AB723</f>
        <v/>
      </c>
      <c r="AC724">
        <f>$C724*AC723</f>
        <v/>
      </c>
      <c r="AD724">
        <f>$C724*AD723</f>
        <v/>
      </c>
      <c r="AE724">
        <f>$C724*AE723</f>
        <v/>
      </c>
      <c r="AF724">
        <f>$C724*AF723</f>
        <v/>
      </c>
      <c r="AG724">
        <f>$C724*AG723</f>
        <v/>
      </c>
      <c r="AH724">
        <f>$C724*AH723</f>
        <v/>
      </c>
      <c r="AI724">
        <f>$C724*AI723</f>
        <v/>
      </c>
      <c r="AJ724">
        <f>$C724*AJ723</f>
        <v/>
      </c>
      <c r="AK724">
        <f>$C724*AK723</f>
        <v/>
      </c>
      <c r="AL724">
        <f>$C724*AL723</f>
        <v/>
      </c>
      <c r="AM724">
        <f>$C724*AM723</f>
        <v/>
      </c>
      <c r="AN724">
        <f>$C724*AN723</f>
        <v/>
      </c>
      <c r="AO724">
        <f>$C724*AO723</f>
        <v/>
      </c>
      <c r="AP724">
        <f>$C724*AP723</f>
        <v/>
      </c>
      <c r="AQ724">
        <f>$C724*AQ723</f>
        <v/>
      </c>
      <c r="AR724">
        <f>$C724*AR723</f>
        <v/>
      </c>
      <c r="AS724">
        <f>$C724*AS723</f>
        <v/>
      </c>
      <c r="AT724">
        <f>$C724*AT723</f>
        <v/>
      </c>
      <c r="AU724">
        <f>$C724*AU723</f>
        <v/>
      </c>
      <c r="AV724">
        <f>$C724*AV723</f>
        <v/>
      </c>
      <c r="AW724">
        <f>$C724*AW723</f>
        <v/>
      </c>
      <c r="AX724">
        <f>$C724*AX723</f>
        <v/>
      </c>
      <c r="AY724">
        <f>$C724*AY723</f>
        <v/>
      </c>
      <c r="AZ724">
        <f>$C724*AZ723</f>
        <v/>
      </c>
      <c r="BA724">
        <f>$C724*BA723</f>
        <v/>
      </c>
      <c r="BB724">
        <f>$C724*BB723</f>
        <v/>
      </c>
      <c r="BC724">
        <f>$C724*BC723</f>
        <v/>
      </c>
      <c r="BD724">
        <f>$C724*BD723</f>
        <v/>
      </c>
      <c r="BE724">
        <f>$C724*BE723</f>
        <v/>
      </c>
      <c r="BF724">
        <f>$C724*BF723</f>
        <v/>
      </c>
      <c r="BG724">
        <f>$C724*BG723</f>
        <v/>
      </c>
      <c r="BH724">
        <f>$C724*BH723</f>
        <v/>
      </c>
      <c r="BI724">
        <f>$C724*BI723</f>
        <v/>
      </c>
      <c r="BJ724">
        <f>$C724*BJ723</f>
        <v/>
      </c>
      <c r="BK724">
        <f>$C724*BK723</f>
        <v/>
      </c>
      <c r="BL724">
        <f>$C724*BL723</f>
        <v/>
      </c>
      <c r="BM724">
        <f>$C724*BM723</f>
        <v/>
      </c>
      <c r="BN724">
        <f>$C724*BN723</f>
        <v/>
      </c>
      <c r="BO724">
        <f>$C724*BO723</f>
        <v/>
      </c>
      <c r="BP724">
        <f>$C724*BP723</f>
        <v/>
      </c>
      <c r="BQ724">
        <f>$C724*BQ723</f>
        <v/>
      </c>
      <c r="BR724">
        <f>$C724*BR723</f>
        <v/>
      </c>
      <c r="BS724">
        <f>$C724*BS723</f>
        <v/>
      </c>
      <c r="BT724">
        <f>$C724*BT723</f>
        <v/>
      </c>
      <c r="BU724">
        <f>$C724*BU723</f>
        <v/>
      </c>
      <c r="BV724">
        <f>$C724*BV723</f>
        <v/>
      </c>
      <c r="BW724">
        <f>$C724*BW723</f>
        <v/>
      </c>
      <c r="BX724">
        <f>$C724*BX723</f>
        <v/>
      </c>
      <c r="BY724">
        <f>$C724*BY723</f>
        <v/>
      </c>
      <c r="BZ724">
        <f>$C724*BZ723</f>
        <v/>
      </c>
      <c r="CA724">
        <f>$C724*CA723</f>
        <v/>
      </c>
      <c r="CB724">
        <f>$C724*CB723</f>
        <v/>
      </c>
      <c r="CC724">
        <f>$C724*CC723</f>
        <v/>
      </c>
      <c r="CD724">
        <f>$C724*CD723</f>
        <v/>
      </c>
      <c r="CE724">
        <f>$C724*CE723</f>
        <v/>
      </c>
      <c r="CF724">
        <f>$C724*CF723</f>
        <v/>
      </c>
      <c r="CG724">
        <f>$C724*CG723</f>
        <v/>
      </c>
      <c r="CH724">
        <f>$C724*CH723</f>
        <v/>
      </c>
      <c r="CI724">
        <f>$C724*CI723</f>
        <v/>
      </c>
      <c r="CJ724">
        <f>$C724*CJ723</f>
        <v/>
      </c>
      <c r="CK724">
        <f>$C724*CK723</f>
        <v/>
      </c>
      <c r="CL724">
        <f>$C724*CL723</f>
        <v/>
      </c>
      <c r="CM724">
        <f>$C724*CM723</f>
        <v/>
      </c>
      <c r="CN724">
        <f>$C724*CN723</f>
        <v/>
      </c>
      <c r="CO724">
        <f>$C724*CO723</f>
        <v/>
      </c>
      <c r="CP724">
        <f>$C724*CP723</f>
        <v/>
      </c>
      <c r="CQ724">
        <f>$C724*CQ723</f>
        <v/>
      </c>
      <c r="CR724">
        <f>$C724*CR723</f>
        <v/>
      </c>
      <c r="CS724">
        <f>$C724*CS723</f>
        <v/>
      </c>
      <c r="CT724">
        <f>$C724*CT723</f>
        <v/>
      </c>
      <c r="CU724">
        <f>$C724*CU723</f>
        <v/>
      </c>
      <c r="CV724">
        <f>$C724*CV723</f>
        <v/>
      </c>
      <c r="CW724">
        <f>$C724*CW723</f>
        <v/>
      </c>
      <c r="CX724">
        <f>$C724*CX723</f>
        <v/>
      </c>
      <c r="CY724">
        <f>$C724*CY723</f>
        <v/>
      </c>
      <c r="CZ724">
        <f>$C724*CZ723</f>
        <v/>
      </c>
      <c r="DA724">
        <f>$C724*DA723</f>
        <v/>
      </c>
      <c r="DB724">
        <f>$C724*DB723</f>
        <v/>
      </c>
      <c r="DC724">
        <f>$C724*DC723</f>
        <v/>
      </c>
      <c r="DD724">
        <f>$C724*DD723</f>
        <v/>
      </c>
    </row>
    <row r="725">
      <c r="B725" t="inlineStr">
        <is>
          <t>VSP-869</t>
        </is>
      </c>
      <c r="C725" t="inlineStr">
        <is>
          <t>No. of batches</t>
        </is>
      </c>
      <c r="D725">
        <f>IFERROR(INDEX(E725:DD725,$F$1),"")</f>
        <v/>
      </c>
      <c r="E725">
        <f>IFERROR(INDEX(PP_Grid[#Data],$DE725,2),0)</f>
        <v/>
      </c>
      <c r="F725">
        <f>IFERROR(INDEX(PP_Grid[#Data],$DE725,3),0)</f>
        <v/>
      </c>
      <c r="G725">
        <f>IFERROR(INDEX(PP_Grid[#Data],$DE725,4),0)</f>
        <v/>
      </c>
      <c r="H725">
        <f>IFERROR(INDEX(PP_Grid[#Data],$DE725,5),0)</f>
        <v/>
      </c>
      <c r="I725">
        <f>IFERROR(INDEX(PP_Grid[#Data],$DE725,6),0)</f>
        <v/>
      </c>
      <c r="J725">
        <f>IFERROR(INDEX(PP_Grid[#Data],$DE725,7),0)</f>
        <v/>
      </c>
      <c r="K725">
        <f>IFERROR(INDEX(PP_Grid[#Data],$DE725,8),0)</f>
        <v/>
      </c>
      <c r="L725">
        <f>IFERROR(INDEX(PP_Grid[#Data],$DE725,9),0)</f>
        <v/>
      </c>
      <c r="M725">
        <f>IFERROR(INDEX(PP_Grid[#Data],$DE725,10),0)</f>
        <v/>
      </c>
      <c r="N725">
        <f>IFERROR(INDEX(PP_Grid[#Data],$DE725,11),0)</f>
        <v/>
      </c>
      <c r="O725">
        <f>IFERROR(INDEX(PP_Grid[#Data],$DE725,12),0)</f>
        <v/>
      </c>
      <c r="P725">
        <f>IFERROR(INDEX(PP_Grid[#Data],$DE725,13),0)</f>
        <v/>
      </c>
      <c r="Q725">
        <f>IFERROR(INDEX(PP_Grid[#Data],$DE725,14),0)</f>
        <v/>
      </c>
      <c r="R725">
        <f>IFERROR(INDEX(PP_Grid[#Data],$DE725,15),0)</f>
        <v/>
      </c>
      <c r="S725">
        <f>IFERROR(INDEX(PP_Grid[#Data],$DE725,16),0)</f>
        <v/>
      </c>
      <c r="T725">
        <f>IFERROR(INDEX(PP_Grid[#Data],$DE725,17),0)</f>
        <v/>
      </c>
      <c r="U725">
        <f>IFERROR(INDEX(PP_Grid[#Data],$DE725,18),0)</f>
        <v/>
      </c>
      <c r="V725">
        <f>IFERROR(INDEX(PP_Grid[#Data],$DE725,19),0)</f>
        <v/>
      </c>
      <c r="W725">
        <f>IFERROR(INDEX(PP_Grid[#Data],$DE725,20),0)</f>
        <v/>
      </c>
      <c r="X725">
        <f>IFERROR(INDEX(PP_Grid[#Data],$DE725,21),0)</f>
        <v/>
      </c>
      <c r="Y725">
        <f>IFERROR(INDEX(PP_Grid[#Data],$DE725,22),0)</f>
        <v/>
      </c>
      <c r="Z725">
        <f>IFERROR(INDEX(PP_Grid[#Data],$DE725,23),0)</f>
        <v/>
      </c>
      <c r="AA725">
        <f>IFERROR(INDEX(PP_Grid[#Data],$DE725,24),0)</f>
        <v/>
      </c>
      <c r="AB725">
        <f>IFERROR(INDEX(PP_Grid[#Data],$DE725,25),0)</f>
        <v/>
      </c>
      <c r="AC725">
        <f>IFERROR(INDEX(PP_Grid[#Data],$DE725,26),0)</f>
        <v/>
      </c>
      <c r="AD725">
        <f>IFERROR(INDEX(PP_Grid[#Data],$DE725,27),0)</f>
        <v/>
      </c>
      <c r="AE725">
        <f>IFERROR(INDEX(PP_Grid[#Data],$DE725,28),0)</f>
        <v/>
      </c>
      <c r="AF725">
        <f>IFERROR(INDEX(PP_Grid[#Data],$DE725,29),0)</f>
        <v/>
      </c>
      <c r="AG725">
        <f>IFERROR(INDEX(PP_Grid[#Data],$DE725,30),0)</f>
        <v/>
      </c>
      <c r="AH725">
        <f>IFERROR(INDEX(PP_Grid[#Data],$DE725,31),0)</f>
        <v/>
      </c>
      <c r="AI725">
        <f>IFERROR(INDEX(PP_Grid[#Data],$DE725,32),0)</f>
        <v/>
      </c>
      <c r="AJ725">
        <f>IFERROR(INDEX(PP_Grid[#Data],$DE725,33),0)</f>
        <v/>
      </c>
      <c r="AK725">
        <f>IFERROR(INDEX(PP_Grid[#Data],$DE725,34),0)</f>
        <v/>
      </c>
      <c r="AL725">
        <f>IFERROR(INDEX(PP_Grid[#Data],$DE725,35),0)</f>
        <v/>
      </c>
      <c r="AM725">
        <f>IFERROR(INDEX(PP_Grid[#Data],$DE725,36),0)</f>
        <v/>
      </c>
      <c r="AN725">
        <f>IFERROR(INDEX(PP_Grid[#Data],$DE725,37),0)</f>
        <v/>
      </c>
      <c r="AO725">
        <f>IFERROR(INDEX(PP_Grid[#Data],$DE725,38),0)</f>
        <v/>
      </c>
      <c r="AP725">
        <f>IFERROR(INDEX(PP_Grid[#Data],$DE725,39),0)</f>
        <v/>
      </c>
      <c r="AQ725">
        <f>IFERROR(INDEX(PP_Grid[#Data],$DE725,40),0)</f>
        <v/>
      </c>
      <c r="AR725">
        <f>IFERROR(INDEX(PP_Grid[#Data],$DE725,41),0)</f>
        <v/>
      </c>
      <c r="AS725">
        <f>IFERROR(INDEX(PP_Grid[#Data],$DE725,42),0)</f>
        <v/>
      </c>
      <c r="AT725">
        <f>IFERROR(INDEX(PP_Grid[#Data],$DE725,43),0)</f>
        <v/>
      </c>
      <c r="AU725">
        <f>IFERROR(INDEX(PP_Grid[#Data],$DE725,44),0)</f>
        <v/>
      </c>
      <c r="AV725">
        <f>IFERROR(INDEX(PP_Grid[#Data],$DE725,45),0)</f>
        <v/>
      </c>
      <c r="AW725">
        <f>IFERROR(INDEX(PP_Grid[#Data],$DE725,46),0)</f>
        <v/>
      </c>
      <c r="AX725">
        <f>IFERROR(INDEX(PP_Grid[#Data],$DE725,47),0)</f>
        <v/>
      </c>
      <c r="AY725">
        <f>IFERROR(INDEX(PP_Grid[#Data],$DE725,48),0)</f>
        <v/>
      </c>
      <c r="AZ725">
        <f>IFERROR(INDEX(PP_Grid[#Data],$DE725,49),0)</f>
        <v/>
      </c>
      <c r="BA725">
        <f>IFERROR(INDEX(PP_Grid[#Data],$DE725,50),0)</f>
        <v/>
      </c>
      <c r="BB725">
        <f>IFERROR(INDEX(PP_Grid[#Data],$DE725,51),0)</f>
        <v/>
      </c>
      <c r="BC725">
        <f>IFERROR(INDEX(PP_Grid[#Data],$DE725,52),0)</f>
        <v/>
      </c>
      <c r="BD725">
        <f>IFERROR(INDEX(PP_Grid[#Data],$DE725,53),0)</f>
        <v/>
      </c>
      <c r="BE725">
        <f>IFERROR(INDEX(PP_Grid[#Data],$DE725,54),0)</f>
        <v/>
      </c>
      <c r="BF725">
        <f>IFERROR(INDEX(PP_Grid[#Data],$DE725,55),0)</f>
        <v/>
      </c>
      <c r="BG725">
        <f>IFERROR(INDEX(PP_Grid[#Data],$DE725,56),0)</f>
        <v/>
      </c>
      <c r="BH725">
        <f>IFERROR(INDEX(PP_Grid[#Data],$DE725,57),0)</f>
        <v/>
      </c>
      <c r="BI725">
        <f>IFERROR(INDEX(PP_Grid[#Data],$DE725,58),0)</f>
        <v/>
      </c>
      <c r="BJ725">
        <f>IFERROR(INDEX(PP_Grid[#Data],$DE725,59),0)</f>
        <v/>
      </c>
      <c r="BK725">
        <f>IFERROR(INDEX(PP_Grid[#Data],$DE725,60),0)</f>
        <v/>
      </c>
      <c r="BL725">
        <f>IFERROR(INDEX(PP_Grid[#Data],$DE725,61),0)</f>
        <v/>
      </c>
      <c r="BM725">
        <f>IFERROR(INDEX(PP_Grid[#Data],$DE725,62),0)</f>
        <v/>
      </c>
      <c r="BN725">
        <f>IFERROR(INDEX(PP_Grid[#Data],$DE725,63),0)</f>
        <v/>
      </c>
      <c r="BO725">
        <f>IFERROR(INDEX(PP_Grid[#Data],$DE725,64),0)</f>
        <v/>
      </c>
      <c r="BP725">
        <f>IFERROR(INDEX(PP_Grid[#Data],$DE725,65),0)</f>
        <v/>
      </c>
      <c r="BQ725">
        <f>IFERROR(INDEX(PP_Grid[#Data],$DE725,66),0)</f>
        <v/>
      </c>
      <c r="BR725">
        <f>IFERROR(INDEX(PP_Grid[#Data],$DE725,67),0)</f>
        <v/>
      </c>
      <c r="BS725">
        <f>IFERROR(INDEX(PP_Grid[#Data],$DE725,68),0)</f>
        <v/>
      </c>
      <c r="BT725">
        <f>IFERROR(INDEX(PP_Grid[#Data],$DE725,69),0)</f>
        <v/>
      </c>
      <c r="BU725">
        <f>IFERROR(INDEX(PP_Grid[#Data],$DE725,70),0)</f>
        <v/>
      </c>
      <c r="BV725">
        <f>IFERROR(INDEX(PP_Grid[#Data],$DE725,71),0)</f>
        <v/>
      </c>
      <c r="BW725">
        <f>IFERROR(INDEX(PP_Grid[#Data],$DE725,72),0)</f>
        <v/>
      </c>
      <c r="BX725">
        <f>IFERROR(INDEX(PP_Grid[#Data],$DE725,73),0)</f>
        <v/>
      </c>
      <c r="BY725">
        <f>IFERROR(INDEX(PP_Grid[#Data],$DE725,74),0)</f>
        <v/>
      </c>
      <c r="BZ725">
        <f>IFERROR(INDEX(PP_Grid[#Data],$DE725,75),0)</f>
        <v/>
      </c>
      <c r="CA725">
        <f>IFERROR(INDEX(PP_Grid[#Data],$DE725,76),0)</f>
        <v/>
      </c>
      <c r="CB725">
        <f>IFERROR(INDEX(PP_Grid[#Data],$DE725,77),0)</f>
        <v/>
      </c>
      <c r="CC725">
        <f>IFERROR(INDEX(PP_Grid[#Data],$DE725,78),0)</f>
        <v/>
      </c>
      <c r="CD725">
        <f>IFERROR(INDEX(PP_Grid[#Data],$DE725,79),0)</f>
        <v/>
      </c>
      <c r="CE725">
        <f>IFERROR(INDEX(PP_Grid[#Data],$DE725,80),0)</f>
        <v/>
      </c>
      <c r="CF725">
        <f>IFERROR(INDEX(PP_Grid[#Data],$DE725,81),0)</f>
        <v/>
      </c>
      <c r="CG725">
        <f>IFERROR(INDEX(PP_Grid[#Data],$DE725,82),0)</f>
        <v/>
      </c>
      <c r="CH725">
        <f>IFERROR(INDEX(PP_Grid[#Data],$DE725,83),0)</f>
        <v/>
      </c>
      <c r="CI725">
        <f>IFERROR(INDEX(PP_Grid[#Data],$DE725,84),0)</f>
        <v/>
      </c>
      <c r="CJ725">
        <f>IFERROR(INDEX(PP_Grid[#Data],$DE725,85),0)</f>
        <v/>
      </c>
      <c r="CK725">
        <f>IFERROR(INDEX(PP_Grid[#Data],$DE725,86),0)</f>
        <v/>
      </c>
      <c r="CL725">
        <f>IFERROR(INDEX(PP_Grid[#Data],$DE725,87),0)</f>
        <v/>
      </c>
      <c r="CM725">
        <f>IFERROR(INDEX(PP_Grid[#Data],$DE725,88),0)</f>
        <v/>
      </c>
      <c r="CN725">
        <f>IFERROR(INDEX(PP_Grid[#Data],$DE725,89),0)</f>
        <v/>
      </c>
      <c r="CO725">
        <f>IFERROR(INDEX(PP_Grid[#Data],$DE725,90),0)</f>
        <v/>
      </c>
      <c r="CP725">
        <f>IFERROR(INDEX(PP_Grid[#Data],$DE725,91),0)</f>
        <v/>
      </c>
      <c r="CQ725">
        <f>IFERROR(INDEX(PP_Grid[#Data],$DE725,92),0)</f>
        <v/>
      </c>
      <c r="CR725">
        <f>IFERROR(INDEX(PP_Grid[#Data],$DE725,93),0)</f>
        <v/>
      </c>
      <c r="CS725">
        <f>IFERROR(INDEX(PP_Grid[#Data],$DE725,94),0)</f>
        <v/>
      </c>
      <c r="CT725">
        <f>IFERROR(INDEX(PP_Grid[#Data],$DE725,95),0)</f>
        <v/>
      </c>
      <c r="CU725">
        <f>IFERROR(INDEX(PP_Grid[#Data],$DE725,96),0)</f>
        <v/>
      </c>
      <c r="CV725">
        <f>IFERROR(INDEX(PP_Grid[#Data],$DE725,97),0)</f>
        <v/>
      </c>
      <c r="CW725">
        <f>IFERROR(INDEX(PP_Grid[#Data],$DE725,98),0)</f>
        <v/>
      </c>
      <c r="CX725">
        <f>IFERROR(INDEX(PP_Grid[#Data],$DE725,99),0)</f>
        <v/>
      </c>
      <c r="CY725">
        <f>IFERROR(INDEX(PP_Grid[#Data],$DE725,100),0)</f>
        <v/>
      </c>
      <c r="CZ725">
        <f>IFERROR(INDEX(PP_Grid[#Data],$DE725,101),0)</f>
        <v/>
      </c>
      <c r="DA725">
        <f>IFERROR(INDEX(PP_Grid[#Data],$DE725,102),0)</f>
        <v/>
      </c>
      <c r="DB725">
        <f>IFERROR(INDEX(PP_Grid[#Data],$DE725,103),0)</f>
        <v/>
      </c>
      <c r="DC725">
        <f>IFERROR(INDEX(PP_Grid[#Data],$DE725,104),0)</f>
        <v/>
      </c>
      <c r="DD725">
        <f>IFERROR(INDEX(PP_Grid[#Data],$DE725,105),0)</f>
        <v/>
      </c>
      <c r="DE725" s="7">
        <f>IFERROR(MATCH($B725,PP_Grid[Intermediate],0),99999)</f>
        <v/>
      </c>
    </row>
    <row r="726">
      <c r="B726" t="inlineStr">
        <is>
          <t>使用量(kg)</t>
        </is>
      </c>
      <c r="C726">
        <f>SUMIFS(M_BOM[RM_Qty_Per_Batch],M_BOM[Intermediate],$B725,M_BOM[RM_Code],$A636)</f>
        <v/>
      </c>
      <c r="D726">
        <f>IFERROR(INDEX(E726:DD726,$F$1),"")</f>
        <v/>
      </c>
      <c r="E726">
        <f>$C726*E725</f>
        <v/>
      </c>
      <c r="F726">
        <f>$C726*F725</f>
        <v/>
      </c>
      <c r="G726">
        <f>$C726*G725</f>
        <v/>
      </c>
      <c r="H726">
        <f>$C726*H725</f>
        <v/>
      </c>
      <c r="I726">
        <f>$C726*I725</f>
        <v/>
      </c>
      <c r="J726">
        <f>$C726*J725</f>
        <v/>
      </c>
      <c r="K726">
        <f>$C726*K725</f>
        <v/>
      </c>
      <c r="L726">
        <f>$C726*L725</f>
        <v/>
      </c>
      <c r="M726">
        <f>$C726*M725</f>
        <v/>
      </c>
      <c r="N726">
        <f>$C726*N725</f>
        <v/>
      </c>
      <c r="O726">
        <f>$C726*O725</f>
        <v/>
      </c>
      <c r="P726">
        <f>$C726*P725</f>
        <v/>
      </c>
      <c r="Q726">
        <f>$C726*Q725</f>
        <v/>
      </c>
      <c r="R726">
        <f>$C726*R725</f>
        <v/>
      </c>
      <c r="S726">
        <f>$C726*S725</f>
        <v/>
      </c>
      <c r="T726">
        <f>$C726*T725</f>
        <v/>
      </c>
      <c r="U726">
        <f>$C726*U725</f>
        <v/>
      </c>
      <c r="V726">
        <f>$C726*V725</f>
        <v/>
      </c>
      <c r="W726">
        <f>$C726*W725</f>
        <v/>
      </c>
      <c r="X726">
        <f>$C726*X725</f>
        <v/>
      </c>
      <c r="Y726">
        <f>$C726*Y725</f>
        <v/>
      </c>
      <c r="Z726">
        <f>$C726*Z725</f>
        <v/>
      </c>
      <c r="AA726">
        <f>$C726*AA725</f>
        <v/>
      </c>
      <c r="AB726">
        <f>$C726*AB725</f>
        <v/>
      </c>
      <c r="AC726">
        <f>$C726*AC725</f>
        <v/>
      </c>
      <c r="AD726">
        <f>$C726*AD725</f>
        <v/>
      </c>
      <c r="AE726">
        <f>$C726*AE725</f>
        <v/>
      </c>
      <c r="AF726">
        <f>$C726*AF725</f>
        <v/>
      </c>
      <c r="AG726">
        <f>$C726*AG725</f>
        <v/>
      </c>
      <c r="AH726">
        <f>$C726*AH725</f>
        <v/>
      </c>
      <c r="AI726">
        <f>$C726*AI725</f>
        <v/>
      </c>
      <c r="AJ726">
        <f>$C726*AJ725</f>
        <v/>
      </c>
      <c r="AK726">
        <f>$C726*AK725</f>
        <v/>
      </c>
      <c r="AL726">
        <f>$C726*AL725</f>
        <v/>
      </c>
      <c r="AM726">
        <f>$C726*AM725</f>
        <v/>
      </c>
      <c r="AN726">
        <f>$C726*AN725</f>
        <v/>
      </c>
      <c r="AO726">
        <f>$C726*AO725</f>
        <v/>
      </c>
      <c r="AP726">
        <f>$C726*AP725</f>
        <v/>
      </c>
      <c r="AQ726">
        <f>$C726*AQ725</f>
        <v/>
      </c>
      <c r="AR726">
        <f>$C726*AR725</f>
        <v/>
      </c>
      <c r="AS726">
        <f>$C726*AS725</f>
        <v/>
      </c>
      <c r="AT726">
        <f>$C726*AT725</f>
        <v/>
      </c>
      <c r="AU726">
        <f>$C726*AU725</f>
        <v/>
      </c>
      <c r="AV726">
        <f>$C726*AV725</f>
        <v/>
      </c>
      <c r="AW726">
        <f>$C726*AW725</f>
        <v/>
      </c>
      <c r="AX726">
        <f>$C726*AX725</f>
        <v/>
      </c>
      <c r="AY726">
        <f>$C726*AY725</f>
        <v/>
      </c>
      <c r="AZ726">
        <f>$C726*AZ725</f>
        <v/>
      </c>
      <c r="BA726">
        <f>$C726*BA725</f>
        <v/>
      </c>
      <c r="BB726">
        <f>$C726*BB725</f>
        <v/>
      </c>
      <c r="BC726">
        <f>$C726*BC725</f>
        <v/>
      </c>
      <c r="BD726">
        <f>$C726*BD725</f>
        <v/>
      </c>
      <c r="BE726">
        <f>$C726*BE725</f>
        <v/>
      </c>
      <c r="BF726">
        <f>$C726*BF725</f>
        <v/>
      </c>
      <c r="BG726">
        <f>$C726*BG725</f>
        <v/>
      </c>
      <c r="BH726">
        <f>$C726*BH725</f>
        <v/>
      </c>
      <c r="BI726">
        <f>$C726*BI725</f>
        <v/>
      </c>
      <c r="BJ726">
        <f>$C726*BJ725</f>
        <v/>
      </c>
      <c r="BK726">
        <f>$C726*BK725</f>
        <v/>
      </c>
      <c r="BL726">
        <f>$C726*BL725</f>
        <v/>
      </c>
      <c r="BM726">
        <f>$C726*BM725</f>
        <v/>
      </c>
      <c r="BN726">
        <f>$C726*BN725</f>
        <v/>
      </c>
      <c r="BO726">
        <f>$C726*BO725</f>
        <v/>
      </c>
      <c r="BP726">
        <f>$C726*BP725</f>
        <v/>
      </c>
      <c r="BQ726">
        <f>$C726*BQ725</f>
        <v/>
      </c>
      <c r="BR726">
        <f>$C726*BR725</f>
        <v/>
      </c>
      <c r="BS726">
        <f>$C726*BS725</f>
        <v/>
      </c>
      <c r="BT726">
        <f>$C726*BT725</f>
        <v/>
      </c>
      <c r="BU726">
        <f>$C726*BU725</f>
        <v/>
      </c>
      <c r="BV726">
        <f>$C726*BV725</f>
        <v/>
      </c>
      <c r="BW726">
        <f>$C726*BW725</f>
        <v/>
      </c>
      <c r="BX726">
        <f>$C726*BX725</f>
        <v/>
      </c>
      <c r="BY726">
        <f>$C726*BY725</f>
        <v/>
      </c>
      <c r="BZ726">
        <f>$C726*BZ725</f>
        <v/>
      </c>
      <c r="CA726">
        <f>$C726*CA725</f>
        <v/>
      </c>
      <c r="CB726">
        <f>$C726*CB725</f>
        <v/>
      </c>
      <c r="CC726">
        <f>$C726*CC725</f>
        <v/>
      </c>
      <c r="CD726">
        <f>$C726*CD725</f>
        <v/>
      </c>
      <c r="CE726">
        <f>$C726*CE725</f>
        <v/>
      </c>
      <c r="CF726">
        <f>$C726*CF725</f>
        <v/>
      </c>
      <c r="CG726">
        <f>$C726*CG725</f>
        <v/>
      </c>
      <c r="CH726">
        <f>$C726*CH725</f>
        <v/>
      </c>
      <c r="CI726">
        <f>$C726*CI725</f>
        <v/>
      </c>
      <c r="CJ726">
        <f>$C726*CJ725</f>
        <v/>
      </c>
      <c r="CK726">
        <f>$C726*CK725</f>
        <v/>
      </c>
      <c r="CL726">
        <f>$C726*CL725</f>
        <v/>
      </c>
      <c r="CM726">
        <f>$C726*CM725</f>
        <v/>
      </c>
      <c r="CN726">
        <f>$C726*CN725</f>
        <v/>
      </c>
      <c r="CO726">
        <f>$C726*CO725</f>
        <v/>
      </c>
      <c r="CP726">
        <f>$C726*CP725</f>
        <v/>
      </c>
      <c r="CQ726">
        <f>$C726*CQ725</f>
        <v/>
      </c>
      <c r="CR726">
        <f>$C726*CR725</f>
        <v/>
      </c>
      <c r="CS726">
        <f>$C726*CS725</f>
        <v/>
      </c>
      <c r="CT726">
        <f>$C726*CT725</f>
        <v/>
      </c>
      <c r="CU726">
        <f>$C726*CU725</f>
        <v/>
      </c>
      <c r="CV726">
        <f>$C726*CV725</f>
        <v/>
      </c>
      <c r="CW726">
        <f>$C726*CW725</f>
        <v/>
      </c>
      <c r="CX726">
        <f>$C726*CX725</f>
        <v/>
      </c>
      <c r="CY726">
        <f>$C726*CY725</f>
        <v/>
      </c>
      <c r="CZ726">
        <f>$C726*CZ725</f>
        <v/>
      </c>
      <c r="DA726">
        <f>$C726*DA725</f>
        <v/>
      </c>
      <c r="DB726">
        <f>$C726*DB725</f>
        <v/>
      </c>
      <c r="DC726">
        <f>$C726*DC725</f>
        <v/>
      </c>
      <c r="DD726">
        <f>$C726*DD725</f>
        <v/>
      </c>
    </row>
    <row r="727">
      <c r="B727" t="inlineStr">
        <is>
          <t>VSP-870</t>
        </is>
      </c>
      <c r="C727" t="inlineStr">
        <is>
          <t>No. of batches</t>
        </is>
      </c>
      <c r="D727">
        <f>IFERROR(INDEX(E727:DD727,$F$1),"")</f>
        <v/>
      </c>
      <c r="E727">
        <f>IFERROR(INDEX(PP_Grid[#Data],$DE727,2),0)</f>
        <v/>
      </c>
      <c r="F727">
        <f>IFERROR(INDEX(PP_Grid[#Data],$DE727,3),0)</f>
        <v/>
      </c>
      <c r="G727">
        <f>IFERROR(INDEX(PP_Grid[#Data],$DE727,4),0)</f>
        <v/>
      </c>
      <c r="H727">
        <f>IFERROR(INDEX(PP_Grid[#Data],$DE727,5),0)</f>
        <v/>
      </c>
      <c r="I727">
        <f>IFERROR(INDEX(PP_Grid[#Data],$DE727,6),0)</f>
        <v/>
      </c>
      <c r="J727">
        <f>IFERROR(INDEX(PP_Grid[#Data],$DE727,7),0)</f>
        <v/>
      </c>
      <c r="K727">
        <f>IFERROR(INDEX(PP_Grid[#Data],$DE727,8),0)</f>
        <v/>
      </c>
      <c r="L727">
        <f>IFERROR(INDEX(PP_Grid[#Data],$DE727,9),0)</f>
        <v/>
      </c>
      <c r="M727">
        <f>IFERROR(INDEX(PP_Grid[#Data],$DE727,10),0)</f>
        <v/>
      </c>
      <c r="N727">
        <f>IFERROR(INDEX(PP_Grid[#Data],$DE727,11),0)</f>
        <v/>
      </c>
      <c r="O727">
        <f>IFERROR(INDEX(PP_Grid[#Data],$DE727,12),0)</f>
        <v/>
      </c>
      <c r="P727">
        <f>IFERROR(INDEX(PP_Grid[#Data],$DE727,13),0)</f>
        <v/>
      </c>
      <c r="Q727">
        <f>IFERROR(INDEX(PP_Grid[#Data],$DE727,14),0)</f>
        <v/>
      </c>
      <c r="R727">
        <f>IFERROR(INDEX(PP_Grid[#Data],$DE727,15),0)</f>
        <v/>
      </c>
      <c r="S727">
        <f>IFERROR(INDEX(PP_Grid[#Data],$DE727,16),0)</f>
        <v/>
      </c>
      <c r="T727">
        <f>IFERROR(INDEX(PP_Grid[#Data],$DE727,17),0)</f>
        <v/>
      </c>
      <c r="U727">
        <f>IFERROR(INDEX(PP_Grid[#Data],$DE727,18),0)</f>
        <v/>
      </c>
      <c r="V727">
        <f>IFERROR(INDEX(PP_Grid[#Data],$DE727,19),0)</f>
        <v/>
      </c>
      <c r="W727">
        <f>IFERROR(INDEX(PP_Grid[#Data],$DE727,20),0)</f>
        <v/>
      </c>
      <c r="X727">
        <f>IFERROR(INDEX(PP_Grid[#Data],$DE727,21),0)</f>
        <v/>
      </c>
      <c r="Y727">
        <f>IFERROR(INDEX(PP_Grid[#Data],$DE727,22),0)</f>
        <v/>
      </c>
      <c r="Z727">
        <f>IFERROR(INDEX(PP_Grid[#Data],$DE727,23),0)</f>
        <v/>
      </c>
      <c r="AA727">
        <f>IFERROR(INDEX(PP_Grid[#Data],$DE727,24),0)</f>
        <v/>
      </c>
      <c r="AB727">
        <f>IFERROR(INDEX(PP_Grid[#Data],$DE727,25),0)</f>
        <v/>
      </c>
      <c r="AC727">
        <f>IFERROR(INDEX(PP_Grid[#Data],$DE727,26),0)</f>
        <v/>
      </c>
      <c r="AD727">
        <f>IFERROR(INDEX(PP_Grid[#Data],$DE727,27),0)</f>
        <v/>
      </c>
      <c r="AE727">
        <f>IFERROR(INDEX(PP_Grid[#Data],$DE727,28),0)</f>
        <v/>
      </c>
      <c r="AF727">
        <f>IFERROR(INDEX(PP_Grid[#Data],$DE727,29),0)</f>
        <v/>
      </c>
      <c r="AG727">
        <f>IFERROR(INDEX(PP_Grid[#Data],$DE727,30),0)</f>
        <v/>
      </c>
      <c r="AH727">
        <f>IFERROR(INDEX(PP_Grid[#Data],$DE727,31),0)</f>
        <v/>
      </c>
      <c r="AI727">
        <f>IFERROR(INDEX(PP_Grid[#Data],$DE727,32),0)</f>
        <v/>
      </c>
      <c r="AJ727">
        <f>IFERROR(INDEX(PP_Grid[#Data],$DE727,33),0)</f>
        <v/>
      </c>
      <c r="AK727">
        <f>IFERROR(INDEX(PP_Grid[#Data],$DE727,34),0)</f>
        <v/>
      </c>
      <c r="AL727">
        <f>IFERROR(INDEX(PP_Grid[#Data],$DE727,35),0)</f>
        <v/>
      </c>
      <c r="AM727">
        <f>IFERROR(INDEX(PP_Grid[#Data],$DE727,36),0)</f>
        <v/>
      </c>
      <c r="AN727">
        <f>IFERROR(INDEX(PP_Grid[#Data],$DE727,37),0)</f>
        <v/>
      </c>
      <c r="AO727">
        <f>IFERROR(INDEX(PP_Grid[#Data],$DE727,38),0)</f>
        <v/>
      </c>
      <c r="AP727">
        <f>IFERROR(INDEX(PP_Grid[#Data],$DE727,39),0)</f>
        <v/>
      </c>
      <c r="AQ727">
        <f>IFERROR(INDEX(PP_Grid[#Data],$DE727,40),0)</f>
        <v/>
      </c>
      <c r="AR727">
        <f>IFERROR(INDEX(PP_Grid[#Data],$DE727,41),0)</f>
        <v/>
      </c>
      <c r="AS727">
        <f>IFERROR(INDEX(PP_Grid[#Data],$DE727,42),0)</f>
        <v/>
      </c>
      <c r="AT727">
        <f>IFERROR(INDEX(PP_Grid[#Data],$DE727,43),0)</f>
        <v/>
      </c>
      <c r="AU727">
        <f>IFERROR(INDEX(PP_Grid[#Data],$DE727,44),0)</f>
        <v/>
      </c>
      <c r="AV727">
        <f>IFERROR(INDEX(PP_Grid[#Data],$DE727,45),0)</f>
        <v/>
      </c>
      <c r="AW727">
        <f>IFERROR(INDEX(PP_Grid[#Data],$DE727,46),0)</f>
        <v/>
      </c>
      <c r="AX727">
        <f>IFERROR(INDEX(PP_Grid[#Data],$DE727,47),0)</f>
        <v/>
      </c>
      <c r="AY727">
        <f>IFERROR(INDEX(PP_Grid[#Data],$DE727,48),0)</f>
        <v/>
      </c>
      <c r="AZ727">
        <f>IFERROR(INDEX(PP_Grid[#Data],$DE727,49),0)</f>
        <v/>
      </c>
      <c r="BA727">
        <f>IFERROR(INDEX(PP_Grid[#Data],$DE727,50),0)</f>
        <v/>
      </c>
      <c r="BB727">
        <f>IFERROR(INDEX(PP_Grid[#Data],$DE727,51),0)</f>
        <v/>
      </c>
      <c r="BC727">
        <f>IFERROR(INDEX(PP_Grid[#Data],$DE727,52),0)</f>
        <v/>
      </c>
      <c r="BD727">
        <f>IFERROR(INDEX(PP_Grid[#Data],$DE727,53),0)</f>
        <v/>
      </c>
      <c r="BE727">
        <f>IFERROR(INDEX(PP_Grid[#Data],$DE727,54),0)</f>
        <v/>
      </c>
      <c r="BF727">
        <f>IFERROR(INDEX(PP_Grid[#Data],$DE727,55),0)</f>
        <v/>
      </c>
      <c r="BG727">
        <f>IFERROR(INDEX(PP_Grid[#Data],$DE727,56),0)</f>
        <v/>
      </c>
      <c r="BH727">
        <f>IFERROR(INDEX(PP_Grid[#Data],$DE727,57),0)</f>
        <v/>
      </c>
      <c r="BI727">
        <f>IFERROR(INDEX(PP_Grid[#Data],$DE727,58),0)</f>
        <v/>
      </c>
      <c r="BJ727">
        <f>IFERROR(INDEX(PP_Grid[#Data],$DE727,59),0)</f>
        <v/>
      </c>
      <c r="BK727">
        <f>IFERROR(INDEX(PP_Grid[#Data],$DE727,60),0)</f>
        <v/>
      </c>
      <c r="BL727">
        <f>IFERROR(INDEX(PP_Grid[#Data],$DE727,61),0)</f>
        <v/>
      </c>
      <c r="BM727">
        <f>IFERROR(INDEX(PP_Grid[#Data],$DE727,62),0)</f>
        <v/>
      </c>
      <c r="BN727">
        <f>IFERROR(INDEX(PP_Grid[#Data],$DE727,63),0)</f>
        <v/>
      </c>
      <c r="BO727">
        <f>IFERROR(INDEX(PP_Grid[#Data],$DE727,64),0)</f>
        <v/>
      </c>
      <c r="BP727">
        <f>IFERROR(INDEX(PP_Grid[#Data],$DE727,65),0)</f>
        <v/>
      </c>
      <c r="BQ727">
        <f>IFERROR(INDEX(PP_Grid[#Data],$DE727,66),0)</f>
        <v/>
      </c>
      <c r="BR727">
        <f>IFERROR(INDEX(PP_Grid[#Data],$DE727,67),0)</f>
        <v/>
      </c>
      <c r="BS727">
        <f>IFERROR(INDEX(PP_Grid[#Data],$DE727,68),0)</f>
        <v/>
      </c>
      <c r="BT727">
        <f>IFERROR(INDEX(PP_Grid[#Data],$DE727,69),0)</f>
        <v/>
      </c>
      <c r="BU727">
        <f>IFERROR(INDEX(PP_Grid[#Data],$DE727,70),0)</f>
        <v/>
      </c>
      <c r="BV727">
        <f>IFERROR(INDEX(PP_Grid[#Data],$DE727,71),0)</f>
        <v/>
      </c>
      <c r="BW727">
        <f>IFERROR(INDEX(PP_Grid[#Data],$DE727,72),0)</f>
        <v/>
      </c>
      <c r="BX727">
        <f>IFERROR(INDEX(PP_Grid[#Data],$DE727,73),0)</f>
        <v/>
      </c>
      <c r="BY727">
        <f>IFERROR(INDEX(PP_Grid[#Data],$DE727,74),0)</f>
        <v/>
      </c>
      <c r="BZ727">
        <f>IFERROR(INDEX(PP_Grid[#Data],$DE727,75),0)</f>
        <v/>
      </c>
      <c r="CA727">
        <f>IFERROR(INDEX(PP_Grid[#Data],$DE727,76),0)</f>
        <v/>
      </c>
      <c r="CB727">
        <f>IFERROR(INDEX(PP_Grid[#Data],$DE727,77),0)</f>
        <v/>
      </c>
      <c r="CC727">
        <f>IFERROR(INDEX(PP_Grid[#Data],$DE727,78),0)</f>
        <v/>
      </c>
      <c r="CD727">
        <f>IFERROR(INDEX(PP_Grid[#Data],$DE727,79),0)</f>
        <v/>
      </c>
      <c r="CE727">
        <f>IFERROR(INDEX(PP_Grid[#Data],$DE727,80),0)</f>
        <v/>
      </c>
      <c r="CF727">
        <f>IFERROR(INDEX(PP_Grid[#Data],$DE727,81),0)</f>
        <v/>
      </c>
      <c r="CG727">
        <f>IFERROR(INDEX(PP_Grid[#Data],$DE727,82),0)</f>
        <v/>
      </c>
      <c r="CH727">
        <f>IFERROR(INDEX(PP_Grid[#Data],$DE727,83),0)</f>
        <v/>
      </c>
      <c r="CI727">
        <f>IFERROR(INDEX(PP_Grid[#Data],$DE727,84),0)</f>
        <v/>
      </c>
      <c r="CJ727">
        <f>IFERROR(INDEX(PP_Grid[#Data],$DE727,85),0)</f>
        <v/>
      </c>
      <c r="CK727">
        <f>IFERROR(INDEX(PP_Grid[#Data],$DE727,86),0)</f>
        <v/>
      </c>
      <c r="CL727">
        <f>IFERROR(INDEX(PP_Grid[#Data],$DE727,87),0)</f>
        <v/>
      </c>
      <c r="CM727">
        <f>IFERROR(INDEX(PP_Grid[#Data],$DE727,88),0)</f>
        <v/>
      </c>
      <c r="CN727">
        <f>IFERROR(INDEX(PP_Grid[#Data],$DE727,89),0)</f>
        <v/>
      </c>
      <c r="CO727">
        <f>IFERROR(INDEX(PP_Grid[#Data],$DE727,90),0)</f>
        <v/>
      </c>
      <c r="CP727">
        <f>IFERROR(INDEX(PP_Grid[#Data],$DE727,91),0)</f>
        <v/>
      </c>
      <c r="CQ727">
        <f>IFERROR(INDEX(PP_Grid[#Data],$DE727,92),0)</f>
        <v/>
      </c>
      <c r="CR727">
        <f>IFERROR(INDEX(PP_Grid[#Data],$DE727,93),0)</f>
        <v/>
      </c>
      <c r="CS727">
        <f>IFERROR(INDEX(PP_Grid[#Data],$DE727,94),0)</f>
        <v/>
      </c>
      <c r="CT727">
        <f>IFERROR(INDEX(PP_Grid[#Data],$DE727,95),0)</f>
        <v/>
      </c>
      <c r="CU727">
        <f>IFERROR(INDEX(PP_Grid[#Data],$DE727,96),0)</f>
        <v/>
      </c>
      <c r="CV727">
        <f>IFERROR(INDEX(PP_Grid[#Data],$DE727,97),0)</f>
        <v/>
      </c>
      <c r="CW727">
        <f>IFERROR(INDEX(PP_Grid[#Data],$DE727,98),0)</f>
        <v/>
      </c>
      <c r="CX727">
        <f>IFERROR(INDEX(PP_Grid[#Data],$DE727,99),0)</f>
        <v/>
      </c>
      <c r="CY727">
        <f>IFERROR(INDEX(PP_Grid[#Data],$DE727,100),0)</f>
        <v/>
      </c>
      <c r="CZ727">
        <f>IFERROR(INDEX(PP_Grid[#Data],$DE727,101),0)</f>
        <v/>
      </c>
      <c r="DA727">
        <f>IFERROR(INDEX(PP_Grid[#Data],$DE727,102),0)</f>
        <v/>
      </c>
      <c r="DB727">
        <f>IFERROR(INDEX(PP_Grid[#Data],$DE727,103),0)</f>
        <v/>
      </c>
      <c r="DC727">
        <f>IFERROR(INDEX(PP_Grid[#Data],$DE727,104),0)</f>
        <v/>
      </c>
      <c r="DD727">
        <f>IFERROR(INDEX(PP_Grid[#Data],$DE727,105),0)</f>
        <v/>
      </c>
      <c r="DE727" s="7">
        <f>IFERROR(MATCH($B727,PP_Grid[Intermediate],0),99999)</f>
        <v/>
      </c>
    </row>
    <row r="728">
      <c r="B728" t="inlineStr">
        <is>
          <t>使用量(kg)</t>
        </is>
      </c>
      <c r="C728">
        <f>SUMIFS(M_BOM[RM_Qty_Per_Batch],M_BOM[Intermediate],$B727,M_BOM[RM_Code],$A636)</f>
        <v/>
      </c>
      <c r="D728">
        <f>IFERROR(INDEX(E728:DD728,$F$1),"")</f>
        <v/>
      </c>
      <c r="E728">
        <f>$C728*E727</f>
        <v/>
      </c>
      <c r="F728">
        <f>$C728*F727</f>
        <v/>
      </c>
      <c r="G728">
        <f>$C728*G727</f>
        <v/>
      </c>
      <c r="H728">
        <f>$C728*H727</f>
        <v/>
      </c>
      <c r="I728">
        <f>$C728*I727</f>
        <v/>
      </c>
      <c r="J728">
        <f>$C728*J727</f>
        <v/>
      </c>
      <c r="K728">
        <f>$C728*K727</f>
        <v/>
      </c>
      <c r="L728">
        <f>$C728*L727</f>
        <v/>
      </c>
      <c r="M728">
        <f>$C728*M727</f>
        <v/>
      </c>
      <c r="N728">
        <f>$C728*N727</f>
        <v/>
      </c>
      <c r="O728">
        <f>$C728*O727</f>
        <v/>
      </c>
      <c r="P728">
        <f>$C728*P727</f>
        <v/>
      </c>
      <c r="Q728">
        <f>$C728*Q727</f>
        <v/>
      </c>
      <c r="R728">
        <f>$C728*R727</f>
        <v/>
      </c>
      <c r="S728">
        <f>$C728*S727</f>
        <v/>
      </c>
      <c r="T728">
        <f>$C728*T727</f>
        <v/>
      </c>
      <c r="U728">
        <f>$C728*U727</f>
        <v/>
      </c>
      <c r="V728">
        <f>$C728*V727</f>
        <v/>
      </c>
      <c r="W728">
        <f>$C728*W727</f>
        <v/>
      </c>
      <c r="X728">
        <f>$C728*X727</f>
        <v/>
      </c>
      <c r="Y728">
        <f>$C728*Y727</f>
        <v/>
      </c>
      <c r="Z728">
        <f>$C728*Z727</f>
        <v/>
      </c>
      <c r="AA728">
        <f>$C728*AA727</f>
        <v/>
      </c>
      <c r="AB728">
        <f>$C728*AB727</f>
        <v/>
      </c>
      <c r="AC728">
        <f>$C728*AC727</f>
        <v/>
      </c>
      <c r="AD728">
        <f>$C728*AD727</f>
        <v/>
      </c>
      <c r="AE728">
        <f>$C728*AE727</f>
        <v/>
      </c>
      <c r="AF728">
        <f>$C728*AF727</f>
        <v/>
      </c>
      <c r="AG728">
        <f>$C728*AG727</f>
        <v/>
      </c>
      <c r="AH728">
        <f>$C728*AH727</f>
        <v/>
      </c>
      <c r="AI728">
        <f>$C728*AI727</f>
        <v/>
      </c>
      <c r="AJ728">
        <f>$C728*AJ727</f>
        <v/>
      </c>
      <c r="AK728">
        <f>$C728*AK727</f>
        <v/>
      </c>
      <c r="AL728">
        <f>$C728*AL727</f>
        <v/>
      </c>
      <c r="AM728">
        <f>$C728*AM727</f>
        <v/>
      </c>
      <c r="AN728">
        <f>$C728*AN727</f>
        <v/>
      </c>
      <c r="AO728">
        <f>$C728*AO727</f>
        <v/>
      </c>
      <c r="AP728">
        <f>$C728*AP727</f>
        <v/>
      </c>
      <c r="AQ728">
        <f>$C728*AQ727</f>
        <v/>
      </c>
      <c r="AR728">
        <f>$C728*AR727</f>
        <v/>
      </c>
      <c r="AS728">
        <f>$C728*AS727</f>
        <v/>
      </c>
      <c r="AT728">
        <f>$C728*AT727</f>
        <v/>
      </c>
      <c r="AU728">
        <f>$C728*AU727</f>
        <v/>
      </c>
      <c r="AV728">
        <f>$C728*AV727</f>
        <v/>
      </c>
      <c r="AW728">
        <f>$C728*AW727</f>
        <v/>
      </c>
      <c r="AX728">
        <f>$C728*AX727</f>
        <v/>
      </c>
      <c r="AY728">
        <f>$C728*AY727</f>
        <v/>
      </c>
      <c r="AZ728">
        <f>$C728*AZ727</f>
        <v/>
      </c>
      <c r="BA728">
        <f>$C728*BA727</f>
        <v/>
      </c>
      <c r="BB728">
        <f>$C728*BB727</f>
        <v/>
      </c>
      <c r="BC728">
        <f>$C728*BC727</f>
        <v/>
      </c>
      <c r="BD728">
        <f>$C728*BD727</f>
        <v/>
      </c>
      <c r="BE728">
        <f>$C728*BE727</f>
        <v/>
      </c>
      <c r="BF728">
        <f>$C728*BF727</f>
        <v/>
      </c>
      <c r="BG728">
        <f>$C728*BG727</f>
        <v/>
      </c>
      <c r="BH728">
        <f>$C728*BH727</f>
        <v/>
      </c>
      <c r="BI728">
        <f>$C728*BI727</f>
        <v/>
      </c>
      <c r="BJ728">
        <f>$C728*BJ727</f>
        <v/>
      </c>
      <c r="BK728">
        <f>$C728*BK727</f>
        <v/>
      </c>
      <c r="BL728">
        <f>$C728*BL727</f>
        <v/>
      </c>
      <c r="BM728">
        <f>$C728*BM727</f>
        <v/>
      </c>
      <c r="BN728">
        <f>$C728*BN727</f>
        <v/>
      </c>
      <c r="BO728">
        <f>$C728*BO727</f>
        <v/>
      </c>
      <c r="BP728">
        <f>$C728*BP727</f>
        <v/>
      </c>
      <c r="BQ728">
        <f>$C728*BQ727</f>
        <v/>
      </c>
      <c r="BR728">
        <f>$C728*BR727</f>
        <v/>
      </c>
      <c r="BS728">
        <f>$C728*BS727</f>
        <v/>
      </c>
      <c r="BT728">
        <f>$C728*BT727</f>
        <v/>
      </c>
      <c r="BU728">
        <f>$C728*BU727</f>
        <v/>
      </c>
      <c r="BV728">
        <f>$C728*BV727</f>
        <v/>
      </c>
      <c r="BW728">
        <f>$C728*BW727</f>
        <v/>
      </c>
      <c r="BX728">
        <f>$C728*BX727</f>
        <v/>
      </c>
      <c r="BY728">
        <f>$C728*BY727</f>
        <v/>
      </c>
      <c r="BZ728">
        <f>$C728*BZ727</f>
        <v/>
      </c>
      <c r="CA728">
        <f>$C728*CA727</f>
        <v/>
      </c>
      <c r="CB728">
        <f>$C728*CB727</f>
        <v/>
      </c>
      <c r="CC728">
        <f>$C728*CC727</f>
        <v/>
      </c>
      <c r="CD728">
        <f>$C728*CD727</f>
        <v/>
      </c>
      <c r="CE728">
        <f>$C728*CE727</f>
        <v/>
      </c>
      <c r="CF728">
        <f>$C728*CF727</f>
        <v/>
      </c>
      <c r="CG728">
        <f>$C728*CG727</f>
        <v/>
      </c>
      <c r="CH728">
        <f>$C728*CH727</f>
        <v/>
      </c>
      <c r="CI728">
        <f>$C728*CI727</f>
        <v/>
      </c>
      <c r="CJ728">
        <f>$C728*CJ727</f>
        <v/>
      </c>
      <c r="CK728">
        <f>$C728*CK727</f>
        <v/>
      </c>
      <c r="CL728">
        <f>$C728*CL727</f>
        <v/>
      </c>
      <c r="CM728">
        <f>$C728*CM727</f>
        <v/>
      </c>
      <c r="CN728">
        <f>$C728*CN727</f>
        <v/>
      </c>
      <c r="CO728">
        <f>$C728*CO727</f>
        <v/>
      </c>
      <c r="CP728">
        <f>$C728*CP727</f>
        <v/>
      </c>
      <c r="CQ728">
        <f>$C728*CQ727</f>
        <v/>
      </c>
      <c r="CR728">
        <f>$C728*CR727</f>
        <v/>
      </c>
      <c r="CS728">
        <f>$C728*CS727</f>
        <v/>
      </c>
      <c r="CT728">
        <f>$C728*CT727</f>
        <v/>
      </c>
      <c r="CU728">
        <f>$C728*CU727</f>
        <v/>
      </c>
      <c r="CV728">
        <f>$C728*CV727</f>
        <v/>
      </c>
      <c r="CW728">
        <f>$C728*CW727</f>
        <v/>
      </c>
      <c r="CX728">
        <f>$C728*CX727</f>
        <v/>
      </c>
      <c r="CY728">
        <f>$C728*CY727</f>
        <v/>
      </c>
      <c r="CZ728">
        <f>$C728*CZ727</f>
        <v/>
      </c>
      <c r="DA728">
        <f>$C728*DA727</f>
        <v/>
      </c>
      <c r="DB728">
        <f>$C728*DB727</f>
        <v/>
      </c>
      <c r="DC728">
        <f>$C728*DC727</f>
        <v/>
      </c>
      <c r="DD728">
        <f>$C728*DD727</f>
        <v/>
      </c>
    </row>
    <row r="729">
      <c r="B729" t="inlineStr">
        <is>
          <t>VSP-910</t>
        </is>
      </c>
      <c r="C729" t="inlineStr">
        <is>
          <t>No. of batches</t>
        </is>
      </c>
      <c r="D729">
        <f>IFERROR(INDEX(E729:DD729,$F$1),"")</f>
        <v/>
      </c>
      <c r="E729">
        <f>IFERROR(INDEX(PP_Grid[#Data],$DE729,2),0)</f>
        <v/>
      </c>
      <c r="F729">
        <f>IFERROR(INDEX(PP_Grid[#Data],$DE729,3),0)</f>
        <v/>
      </c>
      <c r="G729">
        <f>IFERROR(INDEX(PP_Grid[#Data],$DE729,4),0)</f>
        <v/>
      </c>
      <c r="H729">
        <f>IFERROR(INDEX(PP_Grid[#Data],$DE729,5),0)</f>
        <v/>
      </c>
      <c r="I729">
        <f>IFERROR(INDEX(PP_Grid[#Data],$DE729,6),0)</f>
        <v/>
      </c>
      <c r="J729">
        <f>IFERROR(INDEX(PP_Grid[#Data],$DE729,7),0)</f>
        <v/>
      </c>
      <c r="K729">
        <f>IFERROR(INDEX(PP_Grid[#Data],$DE729,8),0)</f>
        <v/>
      </c>
      <c r="L729">
        <f>IFERROR(INDEX(PP_Grid[#Data],$DE729,9),0)</f>
        <v/>
      </c>
      <c r="M729">
        <f>IFERROR(INDEX(PP_Grid[#Data],$DE729,10),0)</f>
        <v/>
      </c>
      <c r="N729">
        <f>IFERROR(INDEX(PP_Grid[#Data],$DE729,11),0)</f>
        <v/>
      </c>
      <c r="O729">
        <f>IFERROR(INDEX(PP_Grid[#Data],$DE729,12),0)</f>
        <v/>
      </c>
      <c r="P729">
        <f>IFERROR(INDEX(PP_Grid[#Data],$DE729,13),0)</f>
        <v/>
      </c>
      <c r="Q729">
        <f>IFERROR(INDEX(PP_Grid[#Data],$DE729,14),0)</f>
        <v/>
      </c>
      <c r="R729">
        <f>IFERROR(INDEX(PP_Grid[#Data],$DE729,15),0)</f>
        <v/>
      </c>
      <c r="S729">
        <f>IFERROR(INDEX(PP_Grid[#Data],$DE729,16),0)</f>
        <v/>
      </c>
      <c r="T729">
        <f>IFERROR(INDEX(PP_Grid[#Data],$DE729,17),0)</f>
        <v/>
      </c>
      <c r="U729">
        <f>IFERROR(INDEX(PP_Grid[#Data],$DE729,18),0)</f>
        <v/>
      </c>
      <c r="V729">
        <f>IFERROR(INDEX(PP_Grid[#Data],$DE729,19),0)</f>
        <v/>
      </c>
      <c r="W729">
        <f>IFERROR(INDEX(PP_Grid[#Data],$DE729,20),0)</f>
        <v/>
      </c>
      <c r="X729">
        <f>IFERROR(INDEX(PP_Grid[#Data],$DE729,21),0)</f>
        <v/>
      </c>
      <c r="Y729">
        <f>IFERROR(INDEX(PP_Grid[#Data],$DE729,22),0)</f>
        <v/>
      </c>
      <c r="Z729">
        <f>IFERROR(INDEX(PP_Grid[#Data],$DE729,23),0)</f>
        <v/>
      </c>
      <c r="AA729">
        <f>IFERROR(INDEX(PP_Grid[#Data],$DE729,24),0)</f>
        <v/>
      </c>
      <c r="AB729">
        <f>IFERROR(INDEX(PP_Grid[#Data],$DE729,25),0)</f>
        <v/>
      </c>
      <c r="AC729">
        <f>IFERROR(INDEX(PP_Grid[#Data],$DE729,26),0)</f>
        <v/>
      </c>
      <c r="AD729">
        <f>IFERROR(INDEX(PP_Grid[#Data],$DE729,27),0)</f>
        <v/>
      </c>
      <c r="AE729">
        <f>IFERROR(INDEX(PP_Grid[#Data],$DE729,28),0)</f>
        <v/>
      </c>
      <c r="AF729">
        <f>IFERROR(INDEX(PP_Grid[#Data],$DE729,29),0)</f>
        <v/>
      </c>
      <c r="AG729">
        <f>IFERROR(INDEX(PP_Grid[#Data],$DE729,30),0)</f>
        <v/>
      </c>
      <c r="AH729">
        <f>IFERROR(INDEX(PP_Grid[#Data],$DE729,31),0)</f>
        <v/>
      </c>
      <c r="AI729">
        <f>IFERROR(INDEX(PP_Grid[#Data],$DE729,32),0)</f>
        <v/>
      </c>
      <c r="AJ729">
        <f>IFERROR(INDEX(PP_Grid[#Data],$DE729,33),0)</f>
        <v/>
      </c>
      <c r="AK729">
        <f>IFERROR(INDEX(PP_Grid[#Data],$DE729,34),0)</f>
        <v/>
      </c>
      <c r="AL729">
        <f>IFERROR(INDEX(PP_Grid[#Data],$DE729,35),0)</f>
        <v/>
      </c>
      <c r="AM729">
        <f>IFERROR(INDEX(PP_Grid[#Data],$DE729,36),0)</f>
        <v/>
      </c>
      <c r="AN729">
        <f>IFERROR(INDEX(PP_Grid[#Data],$DE729,37),0)</f>
        <v/>
      </c>
      <c r="AO729">
        <f>IFERROR(INDEX(PP_Grid[#Data],$DE729,38),0)</f>
        <v/>
      </c>
      <c r="AP729">
        <f>IFERROR(INDEX(PP_Grid[#Data],$DE729,39),0)</f>
        <v/>
      </c>
      <c r="AQ729">
        <f>IFERROR(INDEX(PP_Grid[#Data],$DE729,40),0)</f>
        <v/>
      </c>
      <c r="AR729">
        <f>IFERROR(INDEX(PP_Grid[#Data],$DE729,41),0)</f>
        <v/>
      </c>
      <c r="AS729">
        <f>IFERROR(INDEX(PP_Grid[#Data],$DE729,42),0)</f>
        <v/>
      </c>
      <c r="AT729">
        <f>IFERROR(INDEX(PP_Grid[#Data],$DE729,43),0)</f>
        <v/>
      </c>
      <c r="AU729">
        <f>IFERROR(INDEX(PP_Grid[#Data],$DE729,44),0)</f>
        <v/>
      </c>
      <c r="AV729">
        <f>IFERROR(INDEX(PP_Grid[#Data],$DE729,45),0)</f>
        <v/>
      </c>
      <c r="AW729">
        <f>IFERROR(INDEX(PP_Grid[#Data],$DE729,46),0)</f>
        <v/>
      </c>
      <c r="AX729">
        <f>IFERROR(INDEX(PP_Grid[#Data],$DE729,47),0)</f>
        <v/>
      </c>
      <c r="AY729">
        <f>IFERROR(INDEX(PP_Grid[#Data],$DE729,48),0)</f>
        <v/>
      </c>
      <c r="AZ729">
        <f>IFERROR(INDEX(PP_Grid[#Data],$DE729,49),0)</f>
        <v/>
      </c>
      <c r="BA729">
        <f>IFERROR(INDEX(PP_Grid[#Data],$DE729,50),0)</f>
        <v/>
      </c>
      <c r="BB729">
        <f>IFERROR(INDEX(PP_Grid[#Data],$DE729,51),0)</f>
        <v/>
      </c>
      <c r="BC729">
        <f>IFERROR(INDEX(PP_Grid[#Data],$DE729,52),0)</f>
        <v/>
      </c>
      <c r="BD729">
        <f>IFERROR(INDEX(PP_Grid[#Data],$DE729,53),0)</f>
        <v/>
      </c>
      <c r="BE729">
        <f>IFERROR(INDEX(PP_Grid[#Data],$DE729,54),0)</f>
        <v/>
      </c>
      <c r="BF729">
        <f>IFERROR(INDEX(PP_Grid[#Data],$DE729,55),0)</f>
        <v/>
      </c>
      <c r="BG729">
        <f>IFERROR(INDEX(PP_Grid[#Data],$DE729,56),0)</f>
        <v/>
      </c>
      <c r="BH729">
        <f>IFERROR(INDEX(PP_Grid[#Data],$DE729,57),0)</f>
        <v/>
      </c>
      <c r="BI729">
        <f>IFERROR(INDEX(PP_Grid[#Data],$DE729,58),0)</f>
        <v/>
      </c>
      <c r="BJ729">
        <f>IFERROR(INDEX(PP_Grid[#Data],$DE729,59),0)</f>
        <v/>
      </c>
      <c r="BK729">
        <f>IFERROR(INDEX(PP_Grid[#Data],$DE729,60),0)</f>
        <v/>
      </c>
      <c r="BL729">
        <f>IFERROR(INDEX(PP_Grid[#Data],$DE729,61),0)</f>
        <v/>
      </c>
      <c r="BM729">
        <f>IFERROR(INDEX(PP_Grid[#Data],$DE729,62),0)</f>
        <v/>
      </c>
      <c r="BN729">
        <f>IFERROR(INDEX(PP_Grid[#Data],$DE729,63),0)</f>
        <v/>
      </c>
      <c r="BO729">
        <f>IFERROR(INDEX(PP_Grid[#Data],$DE729,64),0)</f>
        <v/>
      </c>
      <c r="BP729">
        <f>IFERROR(INDEX(PP_Grid[#Data],$DE729,65),0)</f>
        <v/>
      </c>
      <c r="BQ729">
        <f>IFERROR(INDEX(PP_Grid[#Data],$DE729,66),0)</f>
        <v/>
      </c>
      <c r="BR729">
        <f>IFERROR(INDEX(PP_Grid[#Data],$DE729,67),0)</f>
        <v/>
      </c>
      <c r="BS729">
        <f>IFERROR(INDEX(PP_Grid[#Data],$DE729,68),0)</f>
        <v/>
      </c>
      <c r="BT729">
        <f>IFERROR(INDEX(PP_Grid[#Data],$DE729,69),0)</f>
        <v/>
      </c>
      <c r="BU729">
        <f>IFERROR(INDEX(PP_Grid[#Data],$DE729,70),0)</f>
        <v/>
      </c>
      <c r="BV729">
        <f>IFERROR(INDEX(PP_Grid[#Data],$DE729,71),0)</f>
        <v/>
      </c>
      <c r="BW729">
        <f>IFERROR(INDEX(PP_Grid[#Data],$DE729,72),0)</f>
        <v/>
      </c>
      <c r="BX729">
        <f>IFERROR(INDEX(PP_Grid[#Data],$DE729,73),0)</f>
        <v/>
      </c>
      <c r="BY729">
        <f>IFERROR(INDEX(PP_Grid[#Data],$DE729,74),0)</f>
        <v/>
      </c>
      <c r="BZ729">
        <f>IFERROR(INDEX(PP_Grid[#Data],$DE729,75),0)</f>
        <v/>
      </c>
      <c r="CA729">
        <f>IFERROR(INDEX(PP_Grid[#Data],$DE729,76),0)</f>
        <v/>
      </c>
      <c r="CB729">
        <f>IFERROR(INDEX(PP_Grid[#Data],$DE729,77),0)</f>
        <v/>
      </c>
      <c r="CC729">
        <f>IFERROR(INDEX(PP_Grid[#Data],$DE729,78),0)</f>
        <v/>
      </c>
      <c r="CD729">
        <f>IFERROR(INDEX(PP_Grid[#Data],$DE729,79),0)</f>
        <v/>
      </c>
      <c r="CE729">
        <f>IFERROR(INDEX(PP_Grid[#Data],$DE729,80),0)</f>
        <v/>
      </c>
      <c r="CF729">
        <f>IFERROR(INDEX(PP_Grid[#Data],$DE729,81),0)</f>
        <v/>
      </c>
      <c r="CG729">
        <f>IFERROR(INDEX(PP_Grid[#Data],$DE729,82),0)</f>
        <v/>
      </c>
      <c r="CH729">
        <f>IFERROR(INDEX(PP_Grid[#Data],$DE729,83),0)</f>
        <v/>
      </c>
      <c r="CI729">
        <f>IFERROR(INDEX(PP_Grid[#Data],$DE729,84),0)</f>
        <v/>
      </c>
      <c r="CJ729">
        <f>IFERROR(INDEX(PP_Grid[#Data],$DE729,85),0)</f>
        <v/>
      </c>
      <c r="CK729">
        <f>IFERROR(INDEX(PP_Grid[#Data],$DE729,86),0)</f>
        <v/>
      </c>
      <c r="CL729">
        <f>IFERROR(INDEX(PP_Grid[#Data],$DE729,87),0)</f>
        <v/>
      </c>
      <c r="CM729">
        <f>IFERROR(INDEX(PP_Grid[#Data],$DE729,88),0)</f>
        <v/>
      </c>
      <c r="CN729">
        <f>IFERROR(INDEX(PP_Grid[#Data],$DE729,89),0)</f>
        <v/>
      </c>
      <c r="CO729">
        <f>IFERROR(INDEX(PP_Grid[#Data],$DE729,90),0)</f>
        <v/>
      </c>
      <c r="CP729">
        <f>IFERROR(INDEX(PP_Grid[#Data],$DE729,91),0)</f>
        <v/>
      </c>
      <c r="CQ729">
        <f>IFERROR(INDEX(PP_Grid[#Data],$DE729,92),0)</f>
        <v/>
      </c>
      <c r="CR729">
        <f>IFERROR(INDEX(PP_Grid[#Data],$DE729,93),0)</f>
        <v/>
      </c>
      <c r="CS729">
        <f>IFERROR(INDEX(PP_Grid[#Data],$DE729,94),0)</f>
        <v/>
      </c>
      <c r="CT729">
        <f>IFERROR(INDEX(PP_Grid[#Data],$DE729,95),0)</f>
        <v/>
      </c>
      <c r="CU729">
        <f>IFERROR(INDEX(PP_Grid[#Data],$DE729,96),0)</f>
        <v/>
      </c>
      <c r="CV729">
        <f>IFERROR(INDEX(PP_Grid[#Data],$DE729,97),0)</f>
        <v/>
      </c>
      <c r="CW729">
        <f>IFERROR(INDEX(PP_Grid[#Data],$DE729,98),0)</f>
        <v/>
      </c>
      <c r="CX729">
        <f>IFERROR(INDEX(PP_Grid[#Data],$DE729,99),0)</f>
        <v/>
      </c>
      <c r="CY729">
        <f>IFERROR(INDEX(PP_Grid[#Data],$DE729,100),0)</f>
        <v/>
      </c>
      <c r="CZ729">
        <f>IFERROR(INDEX(PP_Grid[#Data],$DE729,101),0)</f>
        <v/>
      </c>
      <c r="DA729">
        <f>IFERROR(INDEX(PP_Grid[#Data],$DE729,102),0)</f>
        <v/>
      </c>
      <c r="DB729">
        <f>IFERROR(INDEX(PP_Grid[#Data],$DE729,103),0)</f>
        <v/>
      </c>
      <c r="DC729">
        <f>IFERROR(INDEX(PP_Grid[#Data],$DE729,104),0)</f>
        <v/>
      </c>
      <c r="DD729">
        <f>IFERROR(INDEX(PP_Grid[#Data],$DE729,105),0)</f>
        <v/>
      </c>
      <c r="DE729" s="7">
        <f>IFERROR(MATCH($B729,PP_Grid[Intermediate],0),99999)</f>
        <v/>
      </c>
    </row>
    <row r="730">
      <c r="B730" t="inlineStr">
        <is>
          <t>使用量(kg)</t>
        </is>
      </c>
      <c r="C730">
        <f>SUMIFS(M_BOM[RM_Qty_Per_Batch],M_BOM[Intermediate],$B729,M_BOM[RM_Code],$A636)</f>
        <v/>
      </c>
      <c r="D730">
        <f>IFERROR(INDEX(E730:DD730,$F$1),"")</f>
        <v/>
      </c>
      <c r="E730">
        <f>$C730*E729</f>
        <v/>
      </c>
      <c r="F730">
        <f>$C730*F729</f>
        <v/>
      </c>
      <c r="G730">
        <f>$C730*G729</f>
        <v/>
      </c>
      <c r="H730">
        <f>$C730*H729</f>
        <v/>
      </c>
      <c r="I730">
        <f>$C730*I729</f>
        <v/>
      </c>
      <c r="J730">
        <f>$C730*J729</f>
        <v/>
      </c>
      <c r="K730">
        <f>$C730*K729</f>
        <v/>
      </c>
      <c r="L730">
        <f>$C730*L729</f>
        <v/>
      </c>
      <c r="M730">
        <f>$C730*M729</f>
        <v/>
      </c>
      <c r="N730">
        <f>$C730*N729</f>
        <v/>
      </c>
      <c r="O730">
        <f>$C730*O729</f>
        <v/>
      </c>
      <c r="P730">
        <f>$C730*P729</f>
        <v/>
      </c>
      <c r="Q730">
        <f>$C730*Q729</f>
        <v/>
      </c>
      <c r="R730">
        <f>$C730*R729</f>
        <v/>
      </c>
      <c r="S730">
        <f>$C730*S729</f>
        <v/>
      </c>
      <c r="T730">
        <f>$C730*T729</f>
        <v/>
      </c>
      <c r="U730">
        <f>$C730*U729</f>
        <v/>
      </c>
      <c r="V730">
        <f>$C730*V729</f>
        <v/>
      </c>
      <c r="W730">
        <f>$C730*W729</f>
        <v/>
      </c>
      <c r="X730">
        <f>$C730*X729</f>
        <v/>
      </c>
      <c r="Y730">
        <f>$C730*Y729</f>
        <v/>
      </c>
      <c r="Z730">
        <f>$C730*Z729</f>
        <v/>
      </c>
      <c r="AA730">
        <f>$C730*AA729</f>
        <v/>
      </c>
      <c r="AB730">
        <f>$C730*AB729</f>
        <v/>
      </c>
      <c r="AC730">
        <f>$C730*AC729</f>
        <v/>
      </c>
      <c r="AD730">
        <f>$C730*AD729</f>
        <v/>
      </c>
      <c r="AE730">
        <f>$C730*AE729</f>
        <v/>
      </c>
      <c r="AF730">
        <f>$C730*AF729</f>
        <v/>
      </c>
      <c r="AG730">
        <f>$C730*AG729</f>
        <v/>
      </c>
      <c r="AH730">
        <f>$C730*AH729</f>
        <v/>
      </c>
      <c r="AI730">
        <f>$C730*AI729</f>
        <v/>
      </c>
      <c r="AJ730">
        <f>$C730*AJ729</f>
        <v/>
      </c>
      <c r="AK730">
        <f>$C730*AK729</f>
        <v/>
      </c>
      <c r="AL730">
        <f>$C730*AL729</f>
        <v/>
      </c>
      <c r="AM730">
        <f>$C730*AM729</f>
        <v/>
      </c>
      <c r="AN730">
        <f>$C730*AN729</f>
        <v/>
      </c>
      <c r="AO730">
        <f>$C730*AO729</f>
        <v/>
      </c>
      <c r="AP730">
        <f>$C730*AP729</f>
        <v/>
      </c>
      <c r="AQ730">
        <f>$C730*AQ729</f>
        <v/>
      </c>
      <c r="AR730">
        <f>$C730*AR729</f>
        <v/>
      </c>
      <c r="AS730">
        <f>$C730*AS729</f>
        <v/>
      </c>
      <c r="AT730">
        <f>$C730*AT729</f>
        <v/>
      </c>
      <c r="AU730">
        <f>$C730*AU729</f>
        <v/>
      </c>
      <c r="AV730">
        <f>$C730*AV729</f>
        <v/>
      </c>
      <c r="AW730">
        <f>$C730*AW729</f>
        <v/>
      </c>
      <c r="AX730">
        <f>$C730*AX729</f>
        <v/>
      </c>
      <c r="AY730">
        <f>$C730*AY729</f>
        <v/>
      </c>
      <c r="AZ730">
        <f>$C730*AZ729</f>
        <v/>
      </c>
      <c r="BA730">
        <f>$C730*BA729</f>
        <v/>
      </c>
      <c r="BB730">
        <f>$C730*BB729</f>
        <v/>
      </c>
      <c r="BC730">
        <f>$C730*BC729</f>
        <v/>
      </c>
      <c r="BD730">
        <f>$C730*BD729</f>
        <v/>
      </c>
      <c r="BE730">
        <f>$C730*BE729</f>
        <v/>
      </c>
      <c r="BF730">
        <f>$C730*BF729</f>
        <v/>
      </c>
      <c r="BG730">
        <f>$C730*BG729</f>
        <v/>
      </c>
      <c r="BH730">
        <f>$C730*BH729</f>
        <v/>
      </c>
      <c r="BI730">
        <f>$C730*BI729</f>
        <v/>
      </c>
      <c r="BJ730">
        <f>$C730*BJ729</f>
        <v/>
      </c>
      <c r="BK730">
        <f>$C730*BK729</f>
        <v/>
      </c>
      <c r="BL730">
        <f>$C730*BL729</f>
        <v/>
      </c>
      <c r="BM730">
        <f>$C730*BM729</f>
        <v/>
      </c>
      <c r="BN730">
        <f>$C730*BN729</f>
        <v/>
      </c>
      <c r="BO730">
        <f>$C730*BO729</f>
        <v/>
      </c>
      <c r="BP730">
        <f>$C730*BP729</f>
        <v/>
      </c>
      <c r="BQ730">
        <f>$C730*BQ729</f>
        <v/>
      </c>
      <c r="BR730">
        <f>$C730*BR729</f>
        <v/>
      </c>
      <c r="BS730">
        <f>$C730*BS729</f>
        <v/>
      </c>
      <c r="BT730">
        <f>$C730*BT729</f>
        <v/>
      </c>
      <c r="BU730">
        <f>$C730*BU729</f>
        <v/>
      </c>
      <c r="BV730">
        <f>$C730*BV729</f>
        <v/>
      </c>
      <c r="BW730">
        <f>$C730*BW729</f>
        <v/>
      </c>
      <c r="BX730">
        <f>$C730*BX729</f>
        <v/>
      </c>
      <c r="BY730">
        <f>$C730*BY729</f>
        <v/>
      </c>
      <c r="BZ730">
        <f>$C730*BZ729</f>
        <v/>
      </c>
      <c r="CA730">
        <f>$C730*CA729</f>
        <v/>
      </c>
      <c r="CB730">
        <f>$C730*CB729</f>
        <v/>
      </c>
      <c r="CC730">
        <f>$C730*CC729</f>
        <v/>
      </c>
      <c r="CD730">
        <f>$C730*CD729</f>
        <v/>
      </c>
      <c r="CE730">
        <f>$C730*CE729</f>
        <v/>
      </c>
      <c r="CF730">
        <f>$C730*CF729</f>
        <v/>
      </c>
      <c r="CG730">
        <f>$C730*CG729</f>
        <v/>
      </c>
      <c r="CH730">
        <f>$C730*CH729</f>
        <v/>
      </c>
      <c r="CI730">
        <f>$C730*CI729</f>
        <v/>
      </c>
      <c r="CJ730">
        <f>$C730*CJ729</f>
        <v/>
      </c>
      <c r="CK730">
        <f>$C730*CK729</f>
        <v/>
      </c>
      <c r="CL730">
        <f>$C730*CL729</f>
        <v/>
      </c>
      <c r="CM730">
        <f>$C730*CM729</f>
        <v/>
      </c>
      <c r="CN730">
        <f>$C730*CN729</f>
        <v/>
      </c>
      <c r="CO730">
        <f>$C730*CO729</f>
        <v/>
      </c>
      <c r="CP730">
        <f>$C730*CP729</f>
        <v/>
      </c>
      <c r="CQ730">
        <f>$C730*CQ729</f>
        <v/>
      </c>
      <c r="CR730">
        <f>$C730*CR729</f>
        <v/>
      </c>
      <c r="CS730">
        <f>$C730*CS729</f>
        <v/>
      </c>
      <c r="CT730">
        <f>$C730*CT729</f>
        <v/>
      </c>
      <c r="CU730">
        <f>$C730*CU729</f>
        <v/>
      </c>
      <c r="CV730">
        <f>$C730*CV729</f>
        <v/>
      </c>
      <c r="CW730">
        <f>$C730*CW729</f>
        <v/>
      </c>
      <c r="CX730">
        <f>$C730*CX729</f>
        <v/>
      </c>
      <c r="CY730">
        <f>$C730*CY729</f>
        <v/>
      </c>
      <c r="CZ730">
        <f>$C730*CZ729</f>
        <v/>
      </c>
      <c r="DA730">
        <f>$C730*DA729</f>
        <v/>
      </c>
      <c r="DB730">
        <f>$C730*DB729</f>
        <v/>
      </c>
      <c r="DC730">
        <f>$C730*DC729</f>
        <v/>
      </c>
      <c r="DD730">
        <f>$C730*DD729</f>
        <v/>
      </c>
    </row>
    <row r="731">
      <c r="B731" t="inlineStr">
        <is>
          <t>VSP-989</t>
        </is>
      </c>
      <c r="C731" t="inlineStr">
        <is>
          <t>No. of batches</t>
        </is>
      </c>
      <c r="D731">
        <f>IFERROR(INDEX(E731:DD731,$F$1),"")</f>
        <v/>
      </c>
      <c r="E731">
        <f>IFERROR(INDEX(PP_Grid[#Data],$DE731,2),0)</f>
        <v/>
      </c>
      <c r="F731">
        <f>IFERROR(INDEX(PP_Grid[#Data],$DE731,3),0)</f>
        <v/>
      </c>
      <c r="G731">
        <f>IFERROR(INDEX(PP_Grid[#Data],$DE731,4),0)</f>
        <v/>
      </c>
      <c r="H731">
        <f>IFERROR(INDEX(PP_Grid[#Data],$DE731,5),0)</f>
        <v/>
      </c>
      <c r="I731">
        <f>IFERROR(INDEX(PP_Grid[#Data],$DE731,6),0)</f>
        <v/>
      </c>
      <c r="J731">
        <f>IFERROR(INDEX(PP_Grid[#Data],$DE731,7),0)</f>
        <v/>
      </c>
      <c r="K731">
        <f>IFERROR(INDEX(PP_Grid[#Data],$DE731,8),0)</f>
        <v/>
      </c>
      <c r="L731">
        <f>IFERROR(INDEX(PP_Grid[#Data],$DE731,9),0)</f>
        <v/>
      </c>
      <c r="M731">
        <f>IFERROR(INDEX(PP_Grid[#Data],$DE731,10),0)</f>
        <v/>
      </c>
      <c r="N731">
        <f>IFERROR(INDEX(PP_Grid[#Data],$DE731,11),0)</f>
        <v/>
      </c>
      <c r="O731">
        <f>IFERROR(INDEX(PP_Grid[#Data],$DE731,12),0)</f>
        <v/>
      </c>
      <c r="P731">
        <f>IFERROR(INDEX(PP_Grid[#Data],$DE731,13),0)</f>
        <v/>
      </c>
      <c r="Q731">
        <f>IFERROR(INDEX(PP_Grid[#Data],$DE731,14),0)</f>
        <v/>
      </c>
      <c r="R731">
        <f>IFERROR(INDEX(PP_Grid[#Data],$DE731,15),0)</f>
        <v/>
      </c>
      <c r="S731">
        <f>IFERROR(INDEX(PP_Grid[#Data],$DE731,16),0)</f>
        <v/>
      </c>
      <c r="T731">
        <f>IFERROR(INDEX(PP_Grid[#Data],$DE731,17),0)</f>
        <v/>
      </c>
      <c r="U731">
        <f>IFERROR(INDEX(PP_Grid[#Data],$DE731,18),0)</f>
        <v/>
      </c>
      <c r="V731">
        <f>IFERROR(INDEX(PP_Grid[#Data],$DE731,19),0)</f>
        <v/>
      </c>
      <c r="W731">
        <f>IFERROR(INDEX(PP_Grid[#Data],$DE731,20),0)</f>
        <v/>
      </c>
      <c r="X731">
        <f>IFERROR(INDEX(PP_Grid[#Data],$DE731,21),0)</f>
        <v/>
      </c>
      <c r="Y731">
        <f>IFERROR(INDEX(PP_Grid[#Data],$DE731,22),0)</f>
        <v/>
      </c>
      <c r="Z731">
        <f>IFERROR(INDEX(PP_Grid[#Data],$DE731,23),0)</f>
        <v/>
      </c>
      <c r="AA731">
        <f>IFERROR(INDEX(PP_Grid[#Data],$DE731,24),0)</f>
        <v/>
      </c>
      <c r="AB731">
        <f>IFERROR(INDEX(PP_Grid[#Data],$DE731,25),0)</f>
        <v/>
      </c>
      <c r="AC731">
        <f>IFERROR(INDEX(PP_Grid[#Data],$DE731,26),0)</f>
        <v/>
      </c>
      <c r="AD731">
        <f>IFERROR(INDEX(PP_Grid[#Data],$DE731,27),0)</f>
        <v/>
      </c>
      <c r="AE731">
        <f>IFERROR(INDEX(PP_Grid[#Data],$DE731,28),0)</f>
        <v/>
      </c>
      <c r="AF731">
        <f>IFERROR(INDEX(PP_Grid[#Data],$DE731,29),0)</f>
        <v/>
      </c>
      <c r="AG731">
        <f>IFERROR(INDEX(PP_Grid[#Data],$DE731,30),0)</f>
        <v/>
      </c>
      <c r="AH731">
        <f>IFERROR(INDEX(PP_Grid[#Data],$DE731,31),0)</f>
        <v/>
      </c>
      <c r="AI731">
        <f>IFERROR(INDEX(PP_Grid[#Data],$DE731,32),0)</f>
        <v/>
      </c>
      <c r="AJ731">
        <f>IFERROR(INDEX(PP_Grid[#Data],$DE731,33),0)</f>
        <v/>
      </c>
      <c r="AK731">
        <f>IFERROR(INDEX(PP_Grid[#Data],$DE731,34),0)</f>
        <v/>
      </c>
      <c r="AL731">
        <f>IFERROR(INDEX(PP_Grid[#Data],$DE731,35),0)</f>
        <v/>
      </c>
      <c r="AM731">
        <f>IFERROR(INDEX(PP_Grid[#Data],$DE731,36),0)</f>
        <v/>
      </c>
      <c r="AN731">
        <f>IFERROR(INDEX(PP_Grid[#Data],$DE731,37),0)</f>
        <v/>
      </c>
      <c r="AO731">
        <f>IFERROR(INDEX(PP_Grid[#Data],$DE731,38),0)</f>
        <v/>
      </c>
      <c r="AP731">
        <f>IFERROR(INDEX(PP_Grid[#Data],$DE731,39),0)</f>
        <v/>
      </c>
      <c r="AQ731">
        <f>IFERROR(INDEX(PP_Grid[#Data],$DE731,40),0)</f>
        <v/>
      </c>
      <c r="AR731">
        <f>IFERROR(INDEX(PP_Grid[#Data],$DE731,41),0)</f>
        <v/>
      </c>
      <c r="AS731">
        <f>IFERROR(INDEX(PP_Grid[#Data],$DE731,42),0)</f>
        <v/>
      </c>
      <c r="AT731">
        <f>IFERROR(INDEX(PP_Grid[#Data],$DE731,43),0)</f>
        <v/>
      </c>
      <c r="AU731">
        <f>IFERROR(INDEX(PP_Grid[#Data],$DE731,44),0)</f>
        <v/>
      </c>
      <c r="AV731">
        <f>IFERROR(INDEX(PP_Grid[#Data],$DE731,45),0)</f>
        <v/>
      </c>
      <c r="AW731">
        <f>IFERROR(INDEX(PP_Grid[#Data],$DE731,46),0)</f>
        <v/>
      </c>
      <c r="AX731">
        <f>IFERROR(INDEX(PP_Grid[#Data],$DE731,47),0)</f>
        <v/>
      </c>
      <c r="AY731">
        <f>IFERROR(INDEX(PP_Grid[#Data],$DE731,48),0)</f>
        <v/>
      </c>
      <c r="AZ731">
        <f>IFERROR(INDEX(PP_Grid[#Data],$DE731,49),0)</f>
        <v/>
      </c>
      <c r="BA731">
        <f>IFERROR(INDEX(PP_Grid[#Data],$DE731,50),0)</f>
        <v/>
      </c>
      <c r="BB731">
        <f>IFERROR(INDEX(PP_Grid[#Data],$DE731,51),0)</f>
        <v/>
      </c>
      <c r="BC731">
        <f>IFERROR(INDEX(PP_Grid[#Data],$DE731,52),0)</f>
        <v/>
      </c>
      <c r="BD731">
        <f>IFERROR(INDEX(PP_Grid[#Data],$DE731,53),0)</f>
        <v/>
      </c>
      <c r="BE731">
        <f>IFERROR(INDEX(PP_Grid[#Data],$DE731,54),0)</f>
        <v/>
      </c>
      <c r="BF731">
        <f>IFERROR(INDEX(PP_Grid[#Data],$DE731,55),0)</f>
        <v/>
      </c>
      <c r="BG731">
        <f>IFERROR(INDEX(PP_Grid[#Data],$DE731,56),0)</f>
        <v/>
      </c>
      <c r="BH731">
        <f>IFERROR(INDEX(PP_Grid[#Data],$DE731,57),0)</f>
        <v/>
      </c>
      <c r="BI731">
        <f>IFERROR(INDEX(PP_Grid[#Data],$DE731,58),0)</f>
        <v/>
      </c>
      <c r="BJ731">
        <f>IFERROR(INDEX(PP_Grid[#Data],$DE731,59),0)</f>
        <v/>
      </c>
      <c r="BK731">
        <f>IFERROR(INDEX(PP_Grid[#Data],$DE731,60),0)</f>
        <v/>
      </c>
      <c r="BL731">
        <f>IFERROR(INDEX(PP_Grid[#Data],$DE731,61),0)</f>
        <v/>
      </c>
      <c r="BM731">
        <f>IFERROR(INDEX(PP_Grid[#Data],$DE731,62),0)</f>
        <v/>
      </c>
      <c r="BN731">
        <f>IFERROR(INDEX(PP_Grid[#Data],$DE731,63),0)</f>
        <v/>
      </c>
      <c r="BO731">
        <f>IFERROR(INDEX(PP_Grid[#Data],$DE731,64),0)</f>
        <v/>
      </c>
      <c r="BP731">
        <f>IFERROR(INDEX(PP_Grid[#Data],$DE731,65),0)</f>
        <v/>
      </c>
      <c r="BQ731">
        <f>IFERROR(INDEX(PP_Grid[#Data],$DE731,66),0)</f>
        <v/>
      </c>
      <c r="BR731">
        <f>IFERROR(INDEX(PP_Grid[#Data],$DE731,67),0)</f>
        <v/>
      </c>
      <c r="BS731">
        <f>IFERROR(INDEX(PP_Grid[#Data],$DE731,68),0)</f>
        <v/>
      </c>
      <c r="BT731">
        <f>IFERROR(INDEX(PP_Grid[#Data],$DE731,69),0)</f>
        <v/>
      </c>
      <c r="BU731">
        <f>IFERROR(INDEX(PP_Grid[#Data],$DE731,70),0)</f>
        <v/>
      </c>
      <c r="BV731">
        <f>IFERROR(INDEX(PP_Grid[#Data],$DE731,71),0)</f>
        <v/>
      </c>
      <c r="BW731">
        <f>IFERROR(INDEX(PP_Grid[#Data],$DE731,72),0)</f>
        <v/>
      </c>
      <c r="BX731">
        <f>IFERROR(INDEX(PP_Grid[#Data],$DE731,73),0)</f>
        <v/>
      </c>
      <c r="BY731">
        <f>IFERROR(INDEX(PP_Grid[#Data],$DE731,74),0)</f>
        <v/>
      </c>
      <c r="BZ731">
        <f>IFERROR(INDEX(PP_Grid[#Data],$DE731,75),0)</f>
        <v/>
      </c>
      <c r="CA731">
        <f>IFERROR(INDEX(PP_Grid[#Data],$DE731,76),0)</f>
        <v/>
      </c>
      <c r="CB731">
        <f>IFERROR(INDEX(PP_Grid[#Data],$DE731,77),0)</f>
        <v/>
      </c>
      <c r="CC731">
        <f>IFERROR(INDEX(PP_Grid[#Data],$DE731,78),0)</f>
        <v/>
      </c>
      <c r="CD731">
        <f>IFERROR(INDEX(PP_Grid[#Data],$DE731,79),0)</f>
        <v/>
      </c>
      <c r="CE731">
        <f>IFERROR(INDEX(PP_Grid[#Data],$DE731,80),0)</f>
        <v/>
      </c>
      <c r="CF731">
        <f>IFERROR(INDEX(PP_Grid[#Data],$DE731,81),0)</f>
        <v/>
      </c>
      <c r="CG731">
        <f>IFERROR(INDEX(PP_Grid[#Data],$DE731,82),0)</f>
        <v/>
      </c>
      <c r="CH731">
        <f>IFERROR(INDEX(PP_Grid[#Data],$DE731,83),0)</f>
        <v/>
      </c>
      <c r="CI731">
        <f>IFERROR(INDEX(PP_Grid[#Data],$DE731,84),0)</f>
        <v/>
      </c>
      <c r="CJ731">
        <f>IFERROR(INDEX(PP_Grid[#Data],$DE731,85),0)</f>
        <v/>
      </c>
      <c r="CK731">
        <f>IFERROR(INDEX(PP_Grid[#Data],$DE731,86),0)</f>
        <v/>
      </c>
      <c r="CL731">
        <f>IFERROR(INDEX(PP_Grid[#Data],$DE731,87),0)</f>
        <v/>
      </c>
      <c r="CM731">
        <f>IFERROR(INDEX(PP_Grid[#Data],$DE731,88),0)</f>
        <v/>
      </c>
      <c r="CN731">
        <f>IFERROR(INDEX(PP_Grid[#Data],$DE731,89),0)</f>
        <v/>
      </c>
      <c r="CO731">
        <f>IFERROR(INDEX(PP_Grid[#Data],$DE731,90),0)</f>
        <v/>
      </c>
      <c r="CP731">
        <f>IFERROR(INDEX(PP_Grid[#Data],$DE731,91),0)</f>
        <v/>
      </c>
      <c r="CQ731">
        <f>IFERROR(INDEX(PP_Grid[#Data],$DE731,92),0)</f>
        <v/>
      </c>
      <c r="CR731">
        <f>IFERROR(INDEX(PP_Grid[#Data],$DE731,93),0)</f>
        <v/>
      </c>
      <c r="CS731">
        <f>IFERROR(INDEX(PP_Grid[#Data],$DE731,94),0)</f>
        <v/>
      </c>
      <c r="CT731">
        <f>IFERROR(INDEX(PP_Grid[#Data],$DE731,95),0)</f>
        <v/>
      </c>
      <c r="CU731">
        <f>IFERROR(INDEX(PP_Grid[#Data],$DE731,96),0)</f>
        <v/>
      </c>
      <c r="CV731">
        <f>IFERROR(INDEX(PP_Grid[#Data],$DE731,97),0)</f>
        <v/>
      </c>
      <c r="CW731">
        <f>IFERROR(INDEX(PP_Grid[#Data],$DE731,98),0)</f>
        <v/>
      </c>
      <c r="CX731">
        <f>IFERROR(INDEX(PP_Grid[#Data],$DE731,99),0)</f>
        <v/>
      </c>
      <c r="CY731">
        <f>IFERROR(INDEX(PP_Grid[#Data],$DE731,100),0)</f>
        <v/>
      </c>
      <c r="CZ731">
        <f>IFERROR(INDEX(PP_Grid[#Data],$DE731,101),0)</f>
        <v/>
      </c>
      <c r="DA731">
        <f>IFERROR(INDEX(PP_Grid[#Data],$DE731,102),0)</f>
        <v/>
      </c>
      <c r="DB731">
        <f>IFERROR(INDEX(PP_Grid[#Data],$DE731,103),0)</f>
        <v/>
      </c>
      <c r="DC731">
        <f>IFERROR(INDEX(PP_Grid[#Data],$DE731,104),0)</f>
        <v/>
      </c>
      <c r="DD731">
        <f>IFERROR(INDEX(PP_Grid[#Data],$DE731,105),0)</f>
        <v/>
      </c>
      <c r="DE731" s="7">
        <f>IFERROR(MATCH($B731,PP_Grid[Intermediate],0),99999)</f>
        <v/>
      </c>
    </row>
    <row r="732">
      <c r="B732" t="inlineStr">
        <is>
          <t>使用量(kg)</t>
        </is>
      </c>
      <c r="C732">
        <f>SUMIFS(M_BOM[RM_Qty_Per_Batch],M_BOM[Intermediate],$B731,M_BOM[RM_Code],$A636)</f>
        <v/>
      </c>
      <c r="D732">
        <f>IFERROR(INDEX(E732:DD732,$F$1),"")</f>
        <v/>
      </c>
      <c r="E732">
        <f>$C732*E731</f>
        <v/>
      </c>
      <c r="F732">
        <f>$C732*F731</f>
        <v/>
      </c>
      <c r="G732">
        <f>$C732*G731</f>
        <v/>
      </c>
      <c r="H732">
        <f>$C732*H731</f>
        <v/>
      </c>
      <c r="I732">
        <f>$C732*I731</f>
        <v/>
      </c>
      <c r="J732">
        <f>$C732*J731</f>
        <v/>
      </c>
      <c r="K732">
        <f>$C732*K731</f>
        <v/>
      </c>
      <c r="L732">
        <f>$C732*L731</f>
        <v/>
      </c>
      <c r="M732">
        <f>$C732*M731</f>
        <v/>
      </c>
      <c r="N732">
        <f>$C732*N731</f>
        <v/>
      </c>
      <c r="O732">
        <f>$C732*O731</f>
        <v/>
      </c>
      <c r="P732">
        <f>$C732*P731</f>
        <v/>
      </c>
      <c r="Q732">
        <f>$C732*Q731</f>
        <v/>
      </c>
      <c r="R732">
        <f>$C732*R731</f>
        <v/>
      </c>
      <c r="S732">
        <f>$C732*S731</f>
        <v/>
      </c>
      <c r="T732">
        <f>$C732*T731</f>
        <v/>
      </c>
      <c r="U732">
        <f>$C732*U731</f>
        <v/>
      </c>
      <c r="V732">
        <f>$C732*V731</f>
        <v/>
      </c>
      <c r="W732">
        <f>$C732*W731</f>
        <v/>
      </c>
      <c r="X732">
        <f>$C732*X731</f>
        <v/>
      </c>
      <c r="Y732">
        <f>$C732*Y731</f>
        <v/>
      </c>
      <c r="Z732">
        <f>$C732*Z731</f>
        <v/>
      </c>
      <c r="AA732">
        <f>$C732*AA731</f>
        <v/>
      </c>
      <c r="AB732">
        <f>$C732*AB731</f>
        <v/>
      </c>
      <c r="AC732">
        <f>$C732*AC731</f>
        <v/>
      </c>
      <c r="AD732">
        <f>$C732*AD731</f>
        <v/>
      </c>
      <c r="AE732">
        <f>$C732*AE731</f>
        <v/>
      </c>
      <c r="AF732">
        <f>$C732*AF731</f>
        <v/>
      </c>
      <c r="AG732">
        <f>$C732*AG731</f>
        <v/>
      </c>
      <c r="AH732">
        <f>$C732*AH731</f>
        <v/>
      </c>
      <c r="AI732">
        <f>$C732*AI731</f>
        <v/>
      </c>
      <c r="AJ732">
        <f>$C732*AJ731</f>
        <v/>
      </c>
      <c r="AK732">
        <f>$C732*AK731</f>
        <v/>
      </c>
      <c r="AL732">
        <f>$C732*AL731</f>
        <v/>
      </c>
      <c r="AM732">
        <f>$C732*AM731</f>
        <v/>
      </c>
      <c r="AN732">
        <f>$C732*AN731</f>
        <v/>
      </c>
      <c r="AO732">
        <f>$C732*AO731</f>
        <v/>
      </c>
      <c r="AP732">
        <f>$C732*AP731</f>
        <v/>
      </c>
      <c r="AQ732">
        <f>$C732*AQ731</f>
        <v/>
      </c>
      <c r="AR732">
        <f>$C732*AR731</f>
        <v/>
      </c>
      <c r="AS732">
        <f>$C732*AS731</f>
        <v/>
      </c>
      <c r="AT732">
        <f>$C732*AT731</f>
        <v/>
      </c>
      <c r="AU732">
        <f>$C732*AU731</f>
        <v/>
      </c>
      <c r="AV732">
        <f>$C732*AV731</f>
        <v/>
      </c>
      <c r="AW732">
        <f>$C732*AW731</f>
        <v/>
      </c>
      <c r="AX732">
        <f>$C732*AX731</f>
        <v/>
      </c>
      <c r="AY732">
        <f>$C732*AY731</f>
        <v/>
      </c>
      <c r="AZ732">
        <f>$C732*AZ731</f>
        <v/>
      </c>
      <c r="BA732">
        <f>$C732*BA731</f>
        <v/>
      </c>
      <c r="BB732">
        <f>$C732*BB731</f>
        <v/>
      </c>
      <c r="BC732">
        <f>$C732*BC731</f>
        <v/>
      </c>
      <c r="BD732">
        <f>$C732*BD731</f>
        <v/>
      </c>
      <c r="BE732">
        <f>$C732*BE731</f>
        <v/>
      </c>
      <c r="BF732">
        <f>$C732*BF731</f>
        <v/>
      </c>
      <c r="BG732">
        <f>$C732*BG731</f>
        <v/>
      </c>
      <c r="BH732">
        <f>$C732*BH731</f>
        <v/>
      </c>
      <c r="BI732">
        <f>$C732*BI731</f>
        <v/>
      </c>
      <c r="BJ732">
        <f>$C732*BJ731</f>
        <v/>
      </c>
      <c r="BK732">
        <f>$C732*BK731</f>
        <v/>
      </c>
      <c r="BL732">
        <f>$C732*BL731</f>
        <v/>
      </c>
      <c r="BM732">
        <f>$C732*BM731</f>
        <v/>
      </c>
      <c r="BN732">
        <f>$C732*BN731</f>
        <v/>
      </c>
      <c r="BO732">
        <f>$C732*BO731</f>
        <v/>
      </c>
      <c r="BP732">
        <f>$C732*BP731</f>
        <v/>
      </c>
      <c r="BQ732">
        <f>$C732*BQ731</f>
        <v/>
      </c>
      <c r="BR732">
        <f>$C732*BR731</f>
        <v/>
      </c>
      <c r="BS732">
        <f>$C732*BS731</f>
        <v/>
      </c>
      <c r="BT732">
        <f>$C732*BT731</f>
        <v/>
      </c>
      <c r="BU732">
        <f>$C732*BU731</f>
        <v/>
      </c>
      <c r="BV732">
        <f>$C732*BV731</f>
        <v/>
      </c>
      <c r="BW732">
        <f>$C732*BW731</f>
        <v/>
      </c>
      <c r="BX732">
        <f>$C732*BX731</f>
        <v/>
      </c>
      <c r="BY732">
        <f>$C732*BY731</f>
        <v/>
      </c>
      <c r="BZ732">
        <f>$C732*BZ731</f>
        <v/>
      </c>
      <c r="CA732">
        <f>$C732*CA731</f>
        <v/>
      </c>
      <c r="CB732">
        <f>$C732*CB731</f>
        <v/>
      </c>
      <c r="CC732">
        <f>$C732*CC731</f>
        <v/>
      </c>
      <c r="CD732">
        <f>$C732*CD731</f>
        <v/>
      </c>
      <c r="CE732">
        <f>$C732*CE731</f>
        <v/>
      </c>
      <c r="CF732">
        <f>$C732*CF731</f>
        <v/>
      </c>
      <c r="CG732">
        <f>$C732*CG731</f>
        <v/>
      </c>
      <c r="CH732">
        <f>$C732*CH731</f>
        <v/>
      </c>
      <c r="CI732">
        <f>$C732*CI731</f>
        <v/>
      </c>
      <c r="CJ732">
        <f>$C732*CJ731</f>
        <v/>
      </c>
      <c r="CK732">
        <f>$C732*CK731</f>
        <v/>
      </c>
      <c r="CL732">
        <f>$C732*CL731</f>
        <v/>
      </c>
      <c r="CM732">
        <f>$C732*CM731</f>
        <v/>
      </c>
      <c r="CN732">
        <f>$C732*CN731</f>
        <v/>
      </c>
      <c r="CO732">
        <f>$C732*CO731</f>
        <v/>
      </c>
      <c r="CP732">
        <f>$C732*CP731</f>
        <v/>
      </c>
      <c r="CQ732">
        <f>$C732*CQ731</f>
        <v/>
      </c>
      <c r="CR732">
        <f>$C732*CR731</f>
        <v/>
      </c>
      <c r="CS732">
        <f>$C732*CS731</f>
        <v/>
      </c>
      <c r="CT732">
        <f>$C732*CT731</f>
        <v/>
      </c>
      <c r="CU732">
        <f>$C732*CU731</f>
        <v/>
      </c>
      <c r="CV732">
        <f>$C732*CV731</f>
        <v/>
      </c>
      <c r="CW732">
        <f>$C732*CW731</f>
        <v/>
      </c>
      <c r="CX732">
        <f>$C732*CX731</f>
        <v/>
      </c>
      <c r="CY732">
        <f>$C732*CY731</f>
        <v/>
      </c>
      <c r="CZ732">
        <f>$C732*CZ731</f>
        <v/>
      </c>
      <c r="DA732">
        <f>$C732*DA731</f>
        <v/>
      </c>
      <c r="DB732">
        <f>$C732*DB731</f>
        <v/>
      </c>
      <c r="DC732">
        <f>$C732*DC731</f>
        <v/>
      </c>
      <c r="DD732">
        <f>$C732*DD731</f>
        <v/>
      </c>
    </row>
    <row r="733">
      <c r="B733" t="inlineStr">
        <is>
          <t>VSP-990</t>
        </is>
      </c>
      <c r="C733" t="inlineStr">
        <is>
          <t>No. of batches</t>
        </is>
      </c>
      <c r="D733">
        <f>IFERROR(INDEX(E733:DD733,$F$1),"")</f>
        <v/>
      </c>
      <c r="E733">
        <f>IFERROR(INDEX(PP_Grid[#Data],$DE733,2),0)</f>
        <v/>
      </c>
      <c r="F733">
        <f>IFERROR(INDEX(PP_Grid[#Data],$DE733,3),0)</f>
        <v/>
      </c>
      <c r="G733">
        <f>IFERROR(INDEX(PP_Grid[#Data],$DE733,4),0)</f>
        <v/>
      </c>
      <c r="H733">
        <f>IFERROR(INDEX(PP_Grid[#Data],$DE733,5),0)</f>
        <v/>
      </c>
      <c r="I733">
        <f>IFERROR(INDEX(PP_Grid[#Data],$DE733,6),0)</f>
        <v/>
      </c>
      <c r="J733">
        <f>IFERROR(INDEX(PP_Grid[#Data],$DE733,7),0)</f>
        <v/>
      </c>
      <c r="K733">
        <f>IFERROR(INDEX(PP_Grid[#Data],$DE733,8),0)</f>
        <v/>
      </c>
      <c r="L733">
        <f>IFERROR(INDEX(PP_Grid[#Data],$DE733,9),0)</f>
        <v/>
      </c>
      <c r="M733">
        <f>IFERROR(INDEX(PP_Grid[#Data],$DE733,10),0)</f>
        <v/>
      </c>
      <c r="N733">
        <f>IFERROR(INDEX(PP_Grid[#Data],$DE733,11),0)</f>
        <v/>
      </c>
      <c r="O733">
        <f>IFERROR(INDEX(PP_Grid[#Data],$DE733,12),0)</f>
        <v/>
      </c>
      <c r="P733">
        <f>IFERROR(INDEX(PP_Grid[#Data],$DE733,13),0)</f>
        <v/>
      </c>
      <c r="Q733">
        <f>IFERROR(INDEX(PP_Grid[#Data],$DE733,14),0)</f>
        <v/>
      </c>
      <c r="R733">
        <f>IFERROR(INDEX(PP_Grid[#Data],$DE733,15),0)</f>
        <v/>
      </c>
      <c r="S733">
        <f>IFERROR(INDEX(PP_Grid[#Data],$DE733,16),0)</f>
        <v/>
      </c>
      <c r="T733">
        <f>IFERROR(INDEX(PP_Grid[#Data],$DE733,17),0)</f>
        <v/>
      </c>
      <c r="U733">
        <f>IFERROR(INDEX(PP_Grid[#Data],$DE733,18),0)</f>
        <v/>
      </c>
      <c r="V733">
        <f>IFERROR(INDEX(PP_Grid[#Data],$DE733,19),0)</f>
        <v/>
      </c>
      <c r="W733">
        <f>IFERROR(INDEX(PP_Grid[#Data],$DE733,20),0)</f>
        <v/>
      </c>
      <c r="X733">
        <f>IFERROR(INDEX(PP_Grid[#Data],$DE733,21),0)</f>
        <v/>
      </c>
      <c r="Y733">
        <f>IFERROR(INDEX(PP_Grid[#Data],$DE733,22),0)</f>
        <v/>
      </c>
      <c r="Z733">
        <f>IFERROR(INDEX(PP_Grid[#Data],$DE733,23),0)</f>
        <v/>
      </c>
      <c r="AA733">
        <f>IFERROR(INDEX(PP_Grid[#Data],$DE733,24),0)</f>
        <v/>
      </c>
      <c r="AB733">
        <f>IFERROR(INDEX(PP_Grid[#Data],$DE733,25),0)</f>
        <v/>
      </c>
      <c r="AC733">
        <f>IFERROR(INDEX(PP_Grid[#Data],$DE733,26),0)</f>
        <v/>
      </c>
      <c r="AD733">
        <f>IFERROR(INDEX(PP_Grid[#Data],$DE733,27),0)</f>
        <v/>
      </c>
      <c r="AE733">
        <f>IFERROR(INDEX(PP_Grid[#Data],$DE733,28),0)</f>
        <v/>
      </c>
      <c r="AF733">
        <f>IFERROR(INDEX(PP_Grid[#Data],$DE733,29),0)</f>
        <v/>
      </c>
      <c r="AG733">
        <f>IFERROR(INDEX(PP_Grid[#Data],$DE733,30),0)</f>
        <v/>
      </c>
      <c r="AH733">
        <f>IFERROR(INDEX(PP_Grid[#Data],$DE733,31),0)</f>
        <v/>
      </c>
      <c r="AI733">
        <f>IFERROR(INDEX(PP_Grid[#Data],$DE733,32),0)</f>
        <v/>
      </c>
      <c r="AJ733">
        <f>IFERROR(INDEX(PP_Grid[#Data],$DE733,33),0)</f>
        <v/>
      </c>
      <c r="AK733">
        <f>IFERROR(INDEX(PP_Grid[#Data],$DE733,34),0)</f>
        <v/>
      </c>
      <c r="AL733">
        <f>IFERROR(INDEX(PP_Grid[#Data],$DE733,35),0)</f>
        <v/>
      </c>
      <c r="AM733">
        <f>IFERROR(INDEX(PP_Grid[#Data],$DE733,36),0)</f>
        <v/>
      </c>
      <c r="AN733">
        <f>IFERROR(INDEX(PP_Grid[#Data],$DE733,37),0)</f>
        <v/>
      </c>
      <c r="AO733">
        <f>IFERROR(INDEX(PP_Grid[#Data],$DE733,38),0)</f>
        <v/>
      </c>
      <c r="AP733">
        <f>IFERROR(INDEX(PP_Grid[#Data],$DE733,39),0)</f>
        <v/>
      </c>
      <c r="AQ733">
        <f>IFERROR(INDEX(PP_Grid[#Data],$DE733,40),0)</f>
        <v/>
      </c>
      <c r="AR733">
        <f>IFERROR(INDEX(PP_Grid[#Data],$DE733,41),0)</f>
        <v/>
      </c>
      <c r="AS733">
        <f>IFERROR(INDEX(PP_Grid[#Data],$DE733,42),0)</f>
        <v/>
      </c>
      <c r="AT733">
        <f>IFERROR(INDEX(PP_Grid[#Data],$DE733,43),0)</f>
        <v/>
      </c>
      <c r="AU733">
        <f>IFERROR(INDEX(PP_Grid[#Data],$DE733,44),0)</f>
        <v/>
      </c>
      <c r="AV733">
        <f>IFERROR(INDEX(PP_Grid[#Data],$DE733,45),0)</f>
        <v/>
      </c>
      <c r="AW733">
        <f>IFERROR(INDEX(PP_Grid[#Data],$DE733,46),0)</f>
        <v/>
      </c>
      <c r="AX733">
        <f>IFERROR(INDEX(PP_Grid[#Data],$DE733,47),0)</f>
        <v/>
      </c>
      <c r="AY733">
        <f>IFERROR(INDEX(PP_Grid[#Data],$DE733,48),0)</f>
        <v/>
      </c>
      <c r="AZ733">
        <f>IFERROR(INDEX(PP_Grid[#Data],$DE733,49),0)</f>
        <v/>
      </c>
      <c r="BA733">
        <f>IFERROR(INDEX(PP_Grid[#Data],$DE733,50),0)</f>
        <v/>
      </c>
      <c r="BB733">
        <f>IFERROR(INDEX(PP_Grid[#Data],$DE733,51),0)</f>
        <v/>
      </c>
      <c r="BC733">
        <f>IFERROR(INDEX(PP_Grid[#Data],$DE733,52),0)</f>
        <v/>
      </c>
      <c r="BD733">
        <f>IFERROR(INDEX(PP_Grid[#Data],$DE733,53),0)</f>
        <v/>
      </c>
      <c r="BE733">
        <f>IFERROR(INDEX(PP_Grid[#Data],$DE733,54),0)</f>
        <v/>
      </c>
      <c r="BF733">
        <f>IFERROR(INDEX(PP_Grid[#Data],$DE733,55),0)</f>
        <v/>
      </c>
      <c r="BG733">
        <f>IFERROR(INDEX(PP_Grid[#Data],$DE733,56),0)</f>
        <v/>
      </c>
      <c r="BH733">
        <f>IFERROR(INDEX(PP_Grid[#Data],$DE733,57),0)</f>
        <v/>
      </c>
      <c r="BI733">
        <f>IFERROR(INDEX(PP_Grid[#Data],$DE733,58),0)</f>
        <v/>
      </c>
      <c r="BJ733">
        <f>IFERROR(INDEX(PP_Grid[#Data],$DE733,59),0)</f>
        <v/>
      </c>
      <c r="BK733">
        <f>IFERROR(INDEX(PP_Grid[#Data],$DE733,60),0)</f>
        <v/>
      </c>
      <c r="BL733">
        <f>IFERROR(INDEX(PP_Grid[#Data],$DE733,61),0)</f>
        <v/>
      </c>
      <c r="BM733">
        <f>IFERROR(INDEX(PP_Grid[#Data],$DE733,62),0)</f>
        <v/>
      </c>
      <c r="BN733">
        <f>IFERROR(INDEX(PP_Grid[#Data],$DE733,63),0)</f>
        <v/>
      </c>
      <c r="BO733">
        <f>IFERROR(INDEX(PP_Grid[#Data],$DE733,64),0)</f>
        <v/>
      </c>
      <c r="BP733">
        <f>IFERROR(INDEX(PP_Grid[#Data],$DE733,65),0)</f>
        <v/>
      </c>
      <c r="BQ733">
        <f>IFERROR(INDEX(PP_Grid[#Data],$DE733,66),0)</f>
        <v/>
      </c>
      <c r="BR733">
        <f>IFERROR(INDEX(PP_Grid[#Data],$DE733,67),0)</f>
        <v/>
      </c>
      <c r="BS733">
        <f>IFERROR(INDEX(PP_Grid[#Data],$DE733,68),0)</f>
        <v/>
      </c>
      <c r="BT733">
        <f>IFERROR(INDEX(PP_Grid[#Data],$DE733,69),0)</f>
        <v/>
      </c>
      <c r="BU733">
        <f>IFERROR(INDEX(PP_Grid[#Data],$DE733,70),0)</f>
        <v/>
      </c>
      <c r="BV733">
        <f>IFERROR(INDEX(PP_Grid[#Data],$DE733,71),0)</f>
        <v/>
      </c>
      <c r="BW733">
        <f>IFERROR(INDEX(PP_Grid[#Data],$DE733,72),0)</f>
        <v/>
      </c>
      <c r="BX733">
        <f>IFERROR(INDEX(PP_Grid[#Data],$DE733,73),0)</f>
        <v/>
      </c>
      <c r="BY733">
        <f>IFERROR(INDEX(PP_Grid[#Data],$DE733,74),0)</f>
        <v/>
      </c>
      <c r="BZ733">
        <f>IFERROR(INDEX(PP_Grid[#Data],$DE733,75),0)</f>
        <v/>
      </c>
      <c r="CA733">
        <f>IFERROR(INDEX(PP_Grid[#Data],$DE733,76),0)</f>
        <v/>
      </c>
      <c r="CB733">
        <f>IFERROR(INDEX(PP_Grid[#Data],$DE733,77),0)</f>
        <v/>
      </c>
      <c r="CC733">
        <f>IFERROR(INDEX(PP_Grid[#Data],$DE733,78),0)</f>
        <v/>
      </c>
      <c r="CD733">
        <f>IFERROR(INDEX(PP_Grid[#Data],$DE733,79),0)</f>
        <v/>
      </c>
      <c r="CE733">
        <f>IFERROR(INDEX(PP_Grid[#Data],$DE733,80),0)</f>
        <v/>
      </c>
      <c r="CF733">
        <f>IFERROR(INDEX(PP_Grid[#Data],$DE733,81),0)</f>
        <v/>
      </c>
      <c r="CG733">
        <f>IFERROR(INDEX(PP_Grid[#Data],$DE733,82),0)</f>
        <v/>
      </c>
      <c r="CH733">
        <f>IFERROR(INDEX(PP_Grid[#Data],$DE733,83),0)</f>
        <v/>
      </c>
      <c r="CI733">
        <f>IFERROR(INDEX(PP_Grid[#Data],$DE733,84),0)</f>
        <v/>
      </c>
      <c r="CJ733">
        <f>IFERROR(INDEX(PP_Grid[#Data],$DE733,85),0)</f>
        <v/>
      </c>
      <c r="CK733">
        <f>IFERROR(INDEX(PP_Grid[#Data],$DE733,86),0)</f>
        <v/>
      </c>
      <c r="CL733">
        <f>IFERROR(INDEX(PP_Grid[#Data],$DE733,87),0)</f>
        <v/>
      </c>
      <c r="CM733">
        <f>IFERROR(INDEX(PP_Grid[#Data],$DE733,88),0)</f>
        <v/>
      </c>
      <c r="CN733">
        <f>IFERROR(INDEX(PP_Grid[#Data],$DE733,89),0)</f>
        <v/>
      </c>
      <c r="CO733">
        <f>IFERROR(INDEX(PP_Grid[#Data],$DE733,90),0)</f>
        <v/>
      </c>
      <c r="CP733">
        <f>IFERROR(INDEX(PP_Grid[#Data],$DE733,91),0)</f>
        <v/>
      </c>
      <c r="CQ733">
        <f>IFERROR(INDEX(PP_Grid[#Data],$DE733,92),0)</f>
        <v/>
      </c>
      <c r="CR733">
        <f>IFERROR(INDEX(PP_Grid[#Data],$DE733,93),0)</f>
        <v/>
      </c>
      <c r="CS733">
        <f>IFERROR(INDEX(PP_Grid[#Data],$DE733,94),0)</f>
        <v/>
      </c>
      <c r="CT733">
        <f>IFERROR(INDEX(PP_Grid[#Data],$DE733,95),0)</f>
        <v/>
      </c>
      <c r="CU733">
        <f>IFERROR(INDEX(PP_Grid[#Data],$DE733,96),0)</f>
        <v/>
      </c>
      <c r="CV733">
        <f>IFERROR(INDEX(PP_Grid[#Data],$DE733,97),0)</f>
        <v/>
      </c>
      <c r="CW733">
        <f>IFERROR(INDEX(PP_Grid[#Data],$DE733,98),0)</f>
        <v/>
      </c>
      <c r="CX733">
        <f>IFERROR(INDEX(PP_Grid[#Data],$DE733,99),0)</f>
        <v/>
      </c>
      <c r="CY733">
        <f>IFERROR(INDEX(PP_Grid[#Data],$DE733,100),0)</f>
        <v/>
      </c>
      <c r="CZ733">
        <f>IFERROR(INDEX(PP_Grid[#Data],$DE733,101),0)</f>
        <v/>
      </c>
      <c r="DA733">
        <f>IFERROR(INDEX(PP_Grid[#Data],$DE733,102),0)</f>
        <v/>
      </c>
      <c r="DB733">
        <f>IFERROR(INDEX(PP_Grid[#Data],$DE733,103),0)</f>
        <v/>
      </c>
      <c r="DC733">
        <f>IFERROR(INDEX(PP_Grid[#Data],$DE733,104),0)</f>
        <v/>
      </c>
      <c r="DD733">
        <f>IFERROR(INDEX(PP_Grid[#Data],$DE733,105),0)</f>
        <v/>
      </c>
      <c r="DE733" s="7">
        <f>IFERROR(MATCH($B733,PP_Grid[Intermediate],0),99999)</f>
        <v/>
      </c>
    </row>
    <row r="734">
      <c r="B734" t="inlineStr">
        <is>
          <t>使用量(kg)</t>
        </is>
      </c>
      <c r="C734">
        <f>SUMIFS(M_BOM[RM_Qty_Per_Batch],M_BOM[Intermediate],$B733,M_BOM[RM_Code],$A636)</f>
        <v/>
      </c>
      <c r="D734">
        <f>IFERROR(INDEX(E734:DD734,$F$1),"")</f>
        <v/>
      </c>
      <c r="E734">
        <f>$C734*E733</f>
        <v/>
      </c>
      <c r="F734">
        <f>$C734*F733</f>
        <v/>
      </c>
      <c r="G734">
        <f>$C734*G733</f>
        <v/>
      </c>
      <c r="H734">
        <f>$C734*H733</f>
        <v/>
      </c>
      <c r="I734">
        <f>$C734*I733</f>
        <v/>
      </c>
      <c r="J734">
        <f>$C734*J733</f>
        <v/>
      </c>
      <c r="K734">
        <f>$C734*K733</f>
        <v/>
      </c>
      <c r="L734">
        <f>$C734*L733</f>
        <v/>
      </c>
      <c r="M734">
        <f>$C734*M733</f>
        <v/>
      </c>
      <c r="N734">
        <f>$C734*N733</f>
        <v/>
      </c>
      <c r="O734">
        <f>$C734*O733</f>
        <v/>
      </c>
      <c r="P734">
        <f>$C734*P733</f>
        <v/>
      </c>
      <c r="Q734">
        <f>$C734*Q733</f>
        <v/>
      </c>
      <c r="R734">
        <f>$C734*R733</f>
        <v/>
      </c>
      <c r="S734">
        <f>$C734*S733</f>
        <v/>
      </c>
      <c r="T734">
        <f>$C734*T733</f>
        <v/>
      </c>
      <c r="U734">
        <f>$C734*U733</f>
        <v/>
      </c>
      <c r="V734">
        <f>$C734*V733</f>
        <v/>
      </c>
      <c r="W734">
        <f>$C734*W733</f>
        <v/>
      </c>
      <c r="X734">
        <f>$C734*X733</f>
        <v/>
      </c>
      <c r="Y734">
        <f>$C734*Y733</f>
        <v/>
      </c>
      <c r="Z734">
        <f>$C734*Z733</f>
        <v/>
      </c>
      <c r="AA734">
        <f>$C734*AA733</f>
        <v/>
      </c>
      <c r="AB734">
        <f>$C734*AB733</f>
        <v/>
      </c>
      <c r="AC734">
        <f>$C734*AC733</f>
        <v/>
      </c>
      <c r="AD734">
        <f>$C734*AD733</f>
        <v/>
      </c>
      <c r="AE734">
        <f>$C734*AE733</f>
        <v/>
      </c>
      <c r="AF734">
        <f>$C734*AF733</f>
        <v/>
      </c>
      <c r="AG734">
        <f>$C734*AG733</f>
        <v/>
      </c>
      <c r="AH734">
        <f>$C734*AH733</f>
        <v/>
      </c>
      <c r="AI734">
        <f>$C734*AI733</f>
        <v/>
      </c>
      <c r="AJ734">
        <f>$C734*AJ733</f>
        <v/>
      </c>
      <c r="AK734">
        <f>$C734*AK733</f>
        <v/>
      </c>
      <c r="AL734">
        <f>$C734*AL733</f>
        <v/>
      </c>
      <c r="AM734">
        <f>$C734*AM733</f>
        <v/>
      </c>
      <c r="AN734">
        <f>$C734*AN733</f>
        <v/>
      </c>
      <c r="AO734">
        <f>$C734*AO733</f>
        <v/>
      </c>
      <c r="AP734">
        <f>$C734*AP733</f>
        <v/>
      </c>
      <c r="AQ734">
        <f>$C734*AQ733</f>
        <v/>
      </c>
      <c r="AR734">
        <f>$C734*AR733</f>
        <v/>
      </c>
      <c r="AS734">
        <f>$C734*AS733</f>
        <v/>
      </c>
      <c r="AT734">
        <f>$C734*AT733</f>
        <v/>
      </c>
      <c r="AU734">
        <f>$C734*AU733</f>
        <v/>
      </c>
      <c r="AV734">
        <f>$C734*AV733</f>
        <v/>
      </c>
      <c r="AW734">
        <f>$C734*AW733</f>
        <v/>
      </c>
      <c r="AX734">
        <f>$C734*AX733</f>
        <v/>
      </c>
      <c r="AY734">
        <f>$C734*AY733</f>
        <v/>
      </c>
      <c r="AZ734">
        <f>$C734*AZ733</f>
        <v/>
      </c>
      <c r="BA734">
        <f>$C734*BA733</f>
        <v/>
      </c>
      <c r="BB734">
        <f>$C734*BB733</f>
        <v/>
      </c>
      <c r="BC734">
        <f>$C734*BC733</f>
        <v/>
      </c>
      <c r="BD734">
        <f>$C734*BD733</f>
        <v/>
      </c>
      <c r="BE734">
        <f>$C734*BE733</f>
        <v/>
      </c>
      <c r="BF734">
        <f>$C734*BF733</f>
        <v/>
      </c>
      <c r="BG734">
        <f>$C734*BG733</f>
        <v/>
      </c>
      <c r="BH734">
        <f>$C734*BH733</f>
        <v/>
      </c>
      <c r="BI734">
        <f>$C734*BI733</f>
        <v/>
      </c>
      <c r="BJ734">
        <f>$C734*BJ733</f>
        <v/>
      </c>
      <c r="BK734">
        <f>$C734*BK733</f>
        <v/>
      </c>
      <c r="BL734">
        <f>$C734*BL733</f>
        <v/>
      </c>
      <c r="BM734">
        <f>$C734*BM733</f>
        <v/>
      </c>
      <c r="BN734">
        <f>$C734*BN733</f>
        <v/>
      </c>
      <c r="BO734">
        <f>$C734*BO733</f>
        <v/>
      </c>
      <c r="BP734">
        <f>$C734*BP733</f>
        <v/>
      </c>
      <c r="BQ734">
        <f>$C734*BQ733</f>
        <v/>
      </c>
      <c r="BR734">
        <f>$C734*BR733</f>
        <v/>
      </c>
      <c r="BS734">
        <f>$C734*BS733</f>
        <v/>
      </c>
      <c r="BT734">
        <f>$C734*BT733</f>
        <v/>
      </c>
      <c r="BU734">
        <f>$C734*BU733</f>
        <v/>
      </c>
      <c r="BV734">
        <f>$C734*BV733</f>
        <v/>
      </c>
      <c r="BW734">
        <f>$C734*BW733</f>
        <v/>
      </c>
      <c r="BX734">
        <f>$C734*BX733</f>
        <v/>
      </c>
      <c r="BY734">
        <f>$C734*BY733</f>
        <v/>
      </c>
      <c r="BZ734">
        <f>$C734*BZ733</f>
        <v/>
      </c>
      <c r="CA734">
        <f>$C734*CA733</f>
        <v/>
      </c>
      <c r="CB734">
        <f>$C734*CB733</f>
        <v/>
      </c>
      <c r="CC734">
        <f>$C734*CC733</f>
        <v/>
      </c>
      <c r="CD734">
        <f>$C734*CD733</f>
        <v/>
      </c>
      <c r="CE734">
        <f>$C734*CE733</f>
        <v/>
      </c>
      <c r="CF734">
        <f>$C734*CF733</f>
        <v/>
      </c>
      <c r="CG734">
        <f>$C734*CG733</f>
        <v/>
      </c>
      <c r="CH734">
        <f>$C734*CH733</f>
        <v/>
      </c>
      <c r="CI734">
        <f>$C734*CI733</f>
        <v/>
      </c>
      <c r="CJ734">
        <f>$C734*CJ733</f>
        <v/>
      </c>
      <c r="CK734">
        <f>$C734*CK733</f>
        <v/>
      </c>
      <c r="CL734">
        <f>$C734*CL733</f>
        <v/>
      </c>
      <c r="CM734">
        <f>$C734*CM733</f>
        <v/>
      </c>
      <c r="CN734">
        <f>$C734*CN733</f>
        <v/>
      </c>
      <c r="CO734">
        <f>$C734*CO733</f>
        <v/>
      </c>
      <c r="CP734">
        <f>$C734*CP733</f>
        <v/>
      </c>
      <c r="CQ734">
        <f>$C734*CQ733</f>
        <v/>
      </c>
      <c r="CR734">
        <f>$C734*CR733</f>
        <v/>
      </c>
      <c r="CS734">
        <f>$C734*CS733</f>
        <v/>
      </c>
      <c r="CT734">
        <f>$C734*CT733</f>
        <v/>
      </c>
      <c r="CU734">
        <f>$C734*CU733</f>
        <v/>
      </c>
      <c r="CV734">
        <f>$C734*CV733</f>
        <v/>
      </c>
      <c r="CW734">
        <f>$C734*CW733</f>
        <v/>
      </c>
      <c r="CX734">
        <f>$C734*CX733</f>
        <v/>
      </c>
      <c r="CY734">
        <f>$C734*CY733</f>
        <v/>
      </c>
      <c r="CZ734">
        <f>$C734*CZ733</f>
        <v/>
      </c>
      <c r="DA734">
        <f>$C734*DA733</f>
        <v/>
      </c>
      <c r="DB734">
        <f>$C734*DB733</f>
        <v/>
      </c>
      <c r="DC734">
        <f>$C734*DC733</f>
        <v/>
      </c>
      <c r="DD734">
        <f>$C734*DD733</f>
        <v/>
      </c>
    </row>
    <row r="735">
      <c r="B735" t="inlineStr">
        <is>
          <t>VSZ-745</t>
        </is>
      </c>
      <c r="C735" t="inlineStr">
        <is>
          <t>No. of batches</t>
        </is>
      </c>
      <c r="D735">
        <f>IFERROR(INDEX(E735:DD735,$F$1),"")</f>
        <v/>
      </c>
      <c r="E735">
        <f>IFERROR(INDEX(PP_Grid[#Data],$DE735,2),0)</f>
        <v/>
      </c>
      <c r="F735">
        <f>IFERROR(INDEX(PP_Grid[#Data],$DE735,3),0)</f>
        <v/>
      </c>
      <c r="G735">
        <f>IFERROR(INDEX(PP_Grid[#Data],$DE735,4),0)</f>
        <v/>
      </c>
      <c r="H735">
        <f>IFERROR(INDEX(PP_Grid[#Data],$DE735,5),0)</f>
        <v/>
      </c>
      <c r="I735">
        <f>IFERROR(INDEX(PP_Grid[#Data],$DE735,6),0)</f>
        <v/>
      </c>
      <c r="J735">
        <f>IFERROR(INDEX(PP_Grid[#Data],$DE735,7),0)</f>
        <v/>
      </c>
      <c r="K735">
        <f>IFERROR(INDEX(PP_Grid[#Data],$DE735,8),0)</f>
        <v/>
      </c>
      <c r="L735">
        <f>IFERROR(INDEX(PP_Grid[#Data],$DE735,9),0)</f>
        <v/>
      </c>
      <c r="M735">
        <f>IFERROR(INDEX(PP_Grid[#Data],$DE735,10),0)</f>
        <v/>
      </c>
      <c r="N735">
        <f>IFERROR(INDEX(PP_Grid[#Data],$DE735,11),0)</f>
        <v/>
      </c>
      <c r="O735">
        <f>IFERROR(INDEX(PP_Grid[#Data],$DE735,12),0)</f>
        <v/>
      </c>
      <c r="P735">
        <f>IFERROR(INDEX(PP_Grid[#Data],$DE735,13),0)</f>
        <v/>
      </c>
      <c r="Q735">
        <f>IFERROR(INDEX(PP_Grid[#Data],$DE735,14),0)</f>
        <v/>
      </c>
      <c r="R735">
        <f>IFERROR(INDEX(PP_Grid[#Data],$DE735,15),0)</f>
        <v/>
      </c>
      <c r="S735">
        <f>IFERROR(INDEX(PP_Grid[#Data],$DE735,16),0)</f>
        <v/>
      </c>
      <c r="T735">
        <f>IFERROR(INDEX(PP_Grid[#Data],$DE735,17),0)</f>
        <v/>
      </c>
      <c r="U735">
        <f>IFERROR(INDEX(PP_Grid[#Data],$DE735,18),0)</f>
        <v/>
      </c>
      <c r="V735">
        <f>IFERROR(INDEX(PP_Grid[#Data],$DE735,19),0)</f>
        <v/>
      </c>
      <c r="W735">
        <f>IFERROR(INDEX(PP_Grid[#Data],$DE735,20),0)</f>
        <v/>
      </c>
      <c r="X735">
        <f>IFERROR(INDEX(PP_Grid[#Data],$DE735,21),0)</f>
        <v/>
      </c>
      <c r="Y735">
        <f>IFERROR(INDEX(PP_Grid[#Data],$DE735,22),0)</f>
        <v/>
      </c>
      <c r="Z735">
        <f>IFERROR(INDEX(PP_Grid[#Data],$DE735,23),0)</f>
        <v/>
      </c>
      <c r="AA735">
        <f>IFERROR(INDEX(PP_Grid[#Data],$DE735,24),0)</f>
        <v/>
      </c>
      <c r="AB735">
        <f>IFERROR(INDEX(PP_Grid[#Data],$DE735,25),0)</f>
        <v/>
      </c>
      <c r="AC735">
        <f>IFERROR(INDEX(PP_Grid[#Data],$DE735,26),0)</f>
        <v/>
      </c>
      <c r="AD735">
        <f>IFERROR(INDEX(PP_Grid[#Data],$DE735,27),0)</f>
        <v/>
      </c>
      <c r="AE735">
        <f>IFERROR(INDEX(PP_Grid[#Data],$DE735,28),0)</f>
        <v/>
      </c>
      <c r="AF735">
        <f>IFERROR(INDEX(PP_Grid[#Data],$DE735,29),0)</f>
        <v/>
      </c>
      <c r="AG735">
        <f>IFERROR(INDEX(PP_Grid[#Data],$DE735,30),0)</f>
        <v/>
      </c>
      <c r="AH735">
        <f>IFERROR(INDEX(PP_Grid[#Data],$DE735,31),0)</f>
        <v/>
      </c>
      <c r="AI735">
        <f>IFERROR(INDEX(PP_Grid[#Data],$DE735,32),0)</f>
        <v/>
      </c>
      <c r="AJ735">
        <f>IFERROR(INDEX(PP_Grid[#Data],$DE735,33),0)</f>
        <v/>
      </c>
      <c r="AK735">
        <f>IFERROR(INDEX(PP_Grid[#Data],$DE735,34),0)</f>
        <v/>
      </c>
      <c r="AL735">
        <f>IFERROR(INDEX(PP_Grid[#Data],$DE735,35),0)</f>
        <v/>
      </c>
      <c r="AM735">
        <f>IFERROR(INDEX(PP_Grid[#Data],$DE735,36),0)</f>
        <v/>
      </c>
      <c r="AN735">
        <f>IFERROR(INDEX(PP_Grid[#Data],$DE735,37),0)</f>
        <v/>
      </c>
      <c r="AO735">
        <f>IFERROR(INDEX(PP_Grid[#Data],$DE735,38),0)</f>
        <v/>
      </c>
      <c r="AP735">
        <f>IFERROR(INDEX(PP_Grid[#Data],$DE735,39),0)</f>
        <v/>
      </c>
      <c r="AQ735">
        <f>IFERROR(INDEX(PP_Grid[#Data],$DE735,40),0)</f>
        <v/>
      </c>
      <c r="AR735">
        <f>IFERROR(INDEX(PP_Grid[#Data],$DE735,41),0)</f>
        <v/>
      </c>
      <c r="AS735">
        <f>IFERROR(INDEX(PP_Grid[#Data],$DE735,42),0)</f>
        <v/>
      </c>
      <c r="AT735">
        <f>IFERROR(INDEX(PP_Grid[#Data],$DE735,43),0)</f>
        <v/>
      </c>
      <c r="AU735">
        <f>IFERROR(INDEX(PP_Grid[#Data],$DE735,44),0)</f>
        <v/>
      </c>
      <c r="AV735">
        <f>IFERROR(INDEX(PP_Grid[#Data],$DE735,45),0)</f>
        <v/>
      </c>
      <c r="AW735">
        <f>IFERROR(INDEX(PP_Grid[#Data],$DE735,46),0)</f>
        <v/>
      </c>
      <c r="AX735">
        <f>IFERROR(INDEX(PP_Grid[#Data],$DE735,47),0)</f>
        <v/>
      </c>
      <c r="AY735">
        <f>IFERROR(INDEX(PP_Grid[#Data],$DE735,48),0)</f>
        <v/>
      </c>
      <c r="AZ735">
        <f>IFERROR(INDEX(PP_Grid[#Data],$DE735,49),0)</f>
        <v/>
      </c>
      <c r="BA735">
        <f>IFERROR(INDEX(PP_Grid[#Data],$DE735,50),0)</f>
        <v/>
      </c>
      <c r="BB735">
        <f>IFERROR(INDEX(PP_Grid[#Data],$DE735,51),0)</f>
        <v/>
      </c>
      <c r="BC735">
        <f>IFERROR(INDEX(PP_Grid[#Data],$DE735,52),0)</f>
        <v/>
      </c>
      <c r="BD735">
        <f>IFERROR(INDEX(PP_Grid[#Data],$DE735,53),0)</f>
        <v/>
      </c>
      <c r="BE735">
        <f>IFERROR(INDEX(PP_Grid[#Data],$DE735,54),0)</f>
        <v/>
      </c>
      <c r="BF735">
        <f>IFERROR(INDEX(PP_Grid[#Data],$DE735,55),0)</f>
        <v/>
      </c>
      <c r="BG735">
        <f>IFERROR(INDEX(PP_Grid[#Data],$DE735,56),0)</f>
        <v/>
      </c>
      <c r="BH735">
        <f>IFERROR(INDEX(PP_Grid[#Data],$DE735,57),0)</f>
        <v/>
      </c>
      <c r="BI735">
        <f>IFERROR(INDEX(PP_Grid[#Data],$DE735,58),0)</f>
        <v/>
      </c>
      <c r="BJ735">
        <f>IFERROR(INDEX(PP_Grid[#Data],$DE735,59),0)</f>
        <v/>
      </c>
      <c r="BK735">
        <f>IFERROR(INDEX(PP_Grid[#Data],$DE735,60),0)</f>
        <v/>
      </c>
      <c r="BL735">
        <f>IFERROR(INDEX(PP_Grid[#Data],$DE735,61),0)</f>
        <v/>
      </c>
      <c r="BM735">
        <f>IFERROR(INDEX(PP_Grid[#Data],$DE735,62),0)</f>
        <v/>
      </c>
      <c r="BN735">
        <f>IFERROR(INDEX(PP_Grid[#Data],$DE735,63),0)</f>
        <v/>
      </c>
      <c r="BO735">
        <f>IFERROR(INDEX(PP_Grid[#Data],$DE735,64),0)</f>
        <v/>
      </c>
      <c r="BP735">
        <f>IFERROR(INDEX(PP_Grid[#Data],$DE735,65),0)</f>
        <v/>
      </c>
      <c r="BQ735">
        <f>IFERROR(INDEX(PP_Grid[#Data],$DE735,66),0)</f>
        <v/>
      </c>
      <c r="BR735">
        <f>IFERROR(INDEX(PP_Grid[#Data],$DE735,67),0)</f>
        <v/>
      </c>
      <c r="BS735">
        <f>IFERROR(INDEX(PP_Grid[#Data],$DE735,68),0)</f>
        <v/>
      </c>
      <c r="BT735">
        <f>IFERROR(INDEX(PP_Grid[#Data],$DE735,69),0)</f>
        <v/>
      </c>
      <c r="BU735">
        <f>IFERROR(INDEX(PP_Grid[#Data],$DE735,70),0)</f>
        <v/>
      </c>
      <c r="BV735">
        <f>IFERROR(INDEX(PP_Grid[#Data],$DE735,71),0)</f>
        <v/>
      </c>
      <c r="BW735">
        <f>IFERROR(INDEX(PP_Grid[#Data],$DE735,72),0)</f>
        <v/>
      </c>
      <c r="BX735">
        <f>IFERROR(INDEX(PP_Grid[#Data],$DE735,73),0)</f>
        <v/>
      </c>
      <c r="BY735">
        <f>IFERROR(INDEX(PP_Grid[#Data],$DE735,74),0)</f>
        <v/>
      </c>
      <c r="BZ735">
        <f>IFERROR(INDEX(PP_Grid[#Data],$DE735,75),0)</f>
        <v/>
      </c>
      <c r="CA735">
        <f>IFERROR(INDEX(PP_Grid[#Data],$DE735,76),0)</f>
        <v/>
      </c>
      <c r="CB735">
        <f>IFERROR(INDEX(PP_Grid[#Data],$DE735,77),0)</f>
        <v/>
      </c>
      <c r="CC735">
        <f>IFERROR(INDEX(PP_Grid[#Data],$DE735,78),0)</f>
        <v/>
      </c>
      <c r="CD735">
        <f>IFERROR(INDEX(PP_Grid[#Data],$DE735,79),0)</f>
        <v/>
      </c>
      <c r="CE735">
        <f>IFERROR(INDEX(PP_Grid[#Data],$DE735,80),0)</f>
        <v/>
      </c>
      <c r="CF735">
        <f>IFERROR(INDEX(PP_Grid[#Data],$DE735,81),0)</f>
        <v/>
      </c>
      <c r="CG735">
        <f>IFERROR(INDEX(PP_Grid[#Data],$DE735,82),0)</f>
        <v/>
      </c>
      <c r="CH735">
        <f>IFERROR(INDEX(PP_Grid[#Data],$DE735,83),0)</f>
        <v/>
      </c>
      <c r="CI735">
        <f>IFERROR(INDEX(PP_Grid[#Data],$DE735,84),0)</f>
        <v/>
      </c>
      <c r="CJ735">
        <f>IFERROR(INDEX(PP_Grid[#Data],$DE735,85),0)</f>
        <v/>
      </c>
      <c r="CK735">
        <f>IFERROR(INDEX(PP_Grid[#Data],$DE735,86),0)</f>
        <v/>
      </c>
      <c r="CL735">
        <f>IFERROR(INDEX(PP_Grid[#Data],$DE735,87),0)</f>
        <v/>
      </c>
      <c r="CM735">
        <f>IFERROR(INDEX(PP_Grid[#Data],$DE735,88),0)</f>
        <v/>
      </c>
      <c r="CN735">
        <f>IFERROR(INDEX(PP_Grid[#Data],$DE735,89),0)</f>
        <v/>
      </c>
      <c r="CO735">
        <f>IFERROR(INDEX(PP_Grid[#Data],$DE735,90),0)</f>
        <v/>
      </c>
      <c r="CP735">
        <f>IFERROR(INDEX(PP_Grid[#Data],$DE735,91),0)</f>
        <v/>
      </c>
      <c r="CQ735">
        <f>IFERROR(INDEX(PP_Grid[#Data],$DE735,92),0)</f>
        <v/>
      </c>
      <c r="CR735">
        <f>IFERROR(INDEX(PP_Grid[#Data],$DE735,93),0)</f>
        <v/>
      </c>
      <c r="CS735">
        <f>IFERROR(INDEX(PP_Grid[#Data],$DE735,94),0)</f>
        <v/>
      </c>
      <c r="CT735">
        <f>IFERROR(INDEX(PP_Grid[#Data],$DE735,95),0)</f>
        <v/>
      </c>
      <c r="CU735">
        <f>IFERROR(INDEX(PP_Grid[#Data],$DE735,96),0)</f>
        <v/>
      </c>
      <c r="CV735">
        <f>IFERROR(INDEX(PP_Grid[#Data],$DE735,97),0)</f>
        <v/>
      </c>
      <c r="CW735">
        <f>IFERROR(INDEX(PP_Grid[#Data],$DE735,98),0)</f>
        <v/>
      </c>
      <c r="CX735">
        <f>IFERROR(INDEX(PP_Grid[#Data],$DE735,99),0)</f>
        <v/>
      </c>
      <c r="CY735">
        <f>IFERROR(INDEX(PP_Grid[#Data],$DE735,100),0)</f>
        <v/>
      </c>
      <c r="CZ735">
        <f>IFERROR(INDEX(PP_Grid[#Data],$DE735,101),0)</f>
        <v/>
      </c>
      <c r="DA735">
        <f>IFERROR(INDEX(PP_Grid[#Data],$DE735,102),0)</f>
        <v/>
      </c>
      <c r="DB735">
        <f>IFERROR(INDEX(PP_Grid[#Data],$DE735,103),0)</f>
        <v/>
      </c>
      <c r="DC735">
        <f>IFERROR(INDEX(PP_Grid[#Data],$DE735,104),0)</f>
        <v/>
      </c>
      <c r="DD735">
        <f>IFERROR(INDEX(PP_Grid[#Data],$DE735,105),0)</f>
        <v/>
      </c>
      <c r="DE735" s="7">
        <f>IFERROR(MATCH($B735,PP_Grid[Intermediate],0),99999)</f>
        <v/>
      </c>
    </row>
    <row r="736">
      <c r="B736" t="inlineStr">
        <is>
          <t>使用量(kg)</t>
        </is>
      </c>
      <c r="C736">
        <f>SUMIFS(M_BOM[RM_Qty_Per_Batch],M_BOM[Intermediate],$B735,M_BOM[RM_Code],$A636)</f>
        <v/>
      </c>
      <c r="D736">
        <f>IFERROR(INDEX(E736:DD736,$F$1),"")</f>
        <v/>
      </c>
      <c r="E736">
        <f>$C736*E735</f>
        <v/>
      </c>
      <c r="F736">
        <f>$C736*F735</f>
        <v/>
      </c>
      <c r="G736">
        <f>$C736*G735</f>
        <v/>
      </c>
      <c r="H736">
        <f>$C736*H735</f>
        <v/>
      </c>
      <c r="I736">
        <f>$C736*I735</f>
        <v/>
      </c>
      <c r="J736">
        <f>$C736*J735</f>
        <v/>
      </c>
      <c r="K736">
        <f>$C736*K735</f>
        <v/>
      </c>
      <c r="L736">
        <f>$C736*L735</f>
        <v/>
      </c>
      <c r="M736">
        <f>$C736*M735</f>
        <v/>
      </c>
      <c r="N736">
        <f>$C736*N735</f>
        <v/>
      </c>
      <c r="O736">
        <f>$C736*O735</f>
        <v/>
      </c>
      <c r="P736">
        <f>$C736*P735</f>
        <v/>
      </c>
      <c r="Q736">
        <f>$C736*Q735</f>
        <v/>
      </c>
      <c r="R736">
        <f>$C736*R735</f>
        <v/>
      </c>
      <c r="S736">
        <f>$C736*S735</f>
        <v/>
      </c>
      <c r="T736">
        <f>$C736*T735</f>
        <v/>
      </c>
      <c r="U736">
        <f>$C736*U735</f>
        <v/>
      </c>
      <c r="V736">
        <f>$C736*V735</f>
        <v/>
      </c>
      <c r="W736">
        <f>$C736*W735</f>
        <v/>
      </c>
      <c r="X736">
        <f>$C736*X735</f>
        <v/>
      </c>
      <c r="Y736">
        <f>$C736*Y735</f>
        <v/>
      </c>
      <c r="Z736">
        <f>$C736*Z735</f>
        <v/>
      </c>
      <c r="AA736">
        <f>$C736*AA735</f>
        <v/>
      </c>
      <c r="AB736">
        <f>$C736*AB735</f>
        <v/>
      </c>
      <c r="AC736">
        <f>$C736*AC735</f>
        <v/>
      </c>
      <c r="AD736">
        <f>$C736*AD735</f>
        <v/>
      </c>
      <c r="AE736">
        <f>$C736*AE735</f>
        <v/>
      </c>
      <c r="AF736">
        <f>$C736*AF735</f>
        <v/>
      </c>
      <c r="AG736">
        <f>$C736*AG735</f>
        <v/>
      </c>
      <c r="AH736">
        <f>$C736*AH735</f>
        <v/>
      </c>
      <c r="AI736">
        <f>$C736*AI735</f>
        <v/>
      </c>
      <c r="AJ736">
        <f>$C736*AJ735</f>
        <v/>
      </c>
      <c r="AK736">
        <f>$C736*AK735</f>
        <v/>
      </c>
      <c r="AL736">
        <f>$C736*AL735</f>
        <v/>
      </c>
      <c r="AM736">
        <f>$C736*AM735</f>
        <v/>
      </c>
      <c r="AN736">
        <f>$C736*AN735</f>
        <v/>
      </c>
      <c r="AO736">
        <f>$C736*AO735</f>
        <v/>
      </c>
      <c r="AP736">
        <f>$C736*AP735</f>
        <v/>
      </c>
      <c r="AQ736">
        <f>$C736*AQ735</f>
        <v/>
      </c>
      <c r="AR736">
        <f>$C736*AR735</f>
        <v/>
      </c>
      <c r="AS736">
        <f>$C736*AS735</f>
        <v/>
      </c>
      <c r="AT736">
        <f>$C736*AT735</f>
        <v/>
      </c>
      <c r="AU736">
        <f>$C736*AU735</f>
        <v/>
      </c>
      <c r="AV736">
        <f>$C736*AV735</f>
        <v/>
      </c>
      <c r="AW736">
        <f>$C736*AW735</f>
        <v/>
      </c>
      <c r="AX736">
        <f>$C736*AX735</f>
        <v/>
      </c>
      <c r="AY736">
        <f>$C736*AY735</f>
        <v/>
      </c>
      <c r="AZ736">
        <f>$C736*AZ735</f>
        <v/>
      </c>
      <c r="BA736">
        <f>$C736*BA735</f>
        <v/>
      </c>
      <c r="BB736">
        <f>$C736*BB735</f>
        <v/>
      </c>
      <c r="BC736">
        <f>$C736*BC735</f>
        <v/>
      </c>
      <c r="BD736">
        <f>$C736*BD735</f>
        <v/>
      </c>
      <c r="BE736">
        <f>$C736*BE735</f>
        <v/>
      </c>
      <c r="BF736">
        <f>$C736*BF735</f>
        <v/>
      </c>
      <c r="BG736">
        <f>$C736*BG735</f>
        <v/>
      </c>
      <c r="BH736">
        <f>$C736*BH735</f>
        <v/>
      </c>
      <c r="BI736">
        <f>$C736*BI735</f>
        <v/>
      </c>
      <c r="BJ736">
        <f>$C736*BJ735</f>
        <v/>
      </c>
      <c r="BK736">
        <f>$C736*BK735</f>
        <v/>
      </c>
      <c r="BL736">
        <f>$C736*BL735</f>
        <v/>
      </c>
      <c r="BM736">
        <f>$C736*BM735</f>
        <v/>
      </c>
      <c r="BN736">
        <f>$C736*BN735</f>
        <v/>
      </c>
      <c r="BO736">
        <f>$C736*BO735</f>
        <v/>
      </c>
      <c r="BP736">
        <f>$C736*BP735</f>
        <v/>
      </c>
      <c r="BQ736">
        <f>$C736*BQ735</f>
        <v/>
      </c>
      <c r="BR736">
        <f>$C736*BR735</f>
        <v/>
      </c>
      <c r="BS736">
        <f>$C736*BS735</f>
        <v/>
      </c>
      <c r="BT736">
        <f>$C736*BT735</f>
        <v/>
      </c>
      <c r="BU736">
        <f>$C736*BU735</f>
        <v/>
      </c>
      <c r="BV736">
        <f>$C736*BV735</f>
        <v/>
      </c>
      <c r="BW736">
        <f>$C736*BW735</f>
        <v/>
      </c>
      <c r="BX736">
        <f>$C736*BX735</f>
        <v/>
      </c>
      <c r="BY736">
        <f>$C736*BY735</f>
        <v/>
      </c>
      <c r="BZ736">
        <f>$C736*BZ735</f>
        <v/>
      </c>
      <c r="CA736">
        <f>$C736*CA735</f>
        <v/>
      </c>
      <c r="CB736">
        <f>$C736*CB735</f>
        <v/>
      </c>
      <c r="CC736">
        <f>$C736*CC735</f>
        <v/>
      </c>
      <c r="CD736">
        <f>$C736*CD735</f>
        <v/>
      </c>
      <c r="CE736">
        <f>$C736*CE735</f>
        <v/>
      </c>
      <c r="CF736">
        <f>$C736*CF735</f>
        <v/>
      </c>
      <c r="CG736">
        <f>$C736*CG735</f>
        <v/>
      </c>
      <c r="CH736">
        <f>$C736*CH735</f>
        <v/>
      </c>
      <c r="CI736">
        <f>$C736*CI735</f>
        <v/>
      </c>
      <c r="CJ736">
        <f>$C736*CJ735</f>
        <v/>
      </c>
      <c r="CK736">
        <f>$C736*CK735</f>
        <v/>
      </c>
      <c r="CL736">
        <f>$C736*CL735</f>
        <v/>
      </c>
      <c r="CM736">
        <f>$C736*CM735</f>
        <v/>
      </c>
      <c r="CN736">
        <f>$C736*CN735</f>
        <v/>
      </c>
      <c r="CO736">
        <f>$C736*CO735</f>
        <v/>
      </c>
      <c r="CP736">
        <f>$C736*CP735</f>
        <v/>
      </c>
      <c r="CQ736">
        <f>$C736*CQ735</f>
        <v/>
      </c>
      <c r="CR736">
        <f>$C736*CR735</f>
        <v/>
      </c>
      <c r="CS736">
        <f>$C736*CS735</f>
        <v/>
      </c>
      <c r="CT736">
        <f>$C736*CT735</f>
        <v/>
      </c>
      <c r="CU736">
        <f>$C736*CU735</f>
        <v/>
      </c>
      <c r="CV736">
        <f>$C736*CV735</f>
        <v/>
      </c>
      <c r="CW736">
        <f>$C736*CW735</f>
        <v/>
      </c>
      <c r="CX736">
        <f>$C736*CX735</f>
        <v/>
      </c>
      <c r="CY736">
        <f>$C736*CY735</f>
        <v/>
      </c>
      <c r="CZ736">
        <f>$C736*CZ735</f>
        <v/>
      </c>
      <c r="DA736">
        <f>$C736*DA735</f>
        <v/>
      </c>
      <c r="DB736">
        <f>$C736*DB735</f>
        <v/>
      </c>
      <c r="DC736">
        <f>$C736*DC735</f>
        <v/>
      </c>
      <c r="DD736">
        <f>$C736*DD735</f>
        <v/>
      </c>
    </row>
    <row r="737">
      <c r="B737" t="inlineStr">
        <is>
          <t>TSP-1499</t>
        </is>
      </c>
      <c r="C737" t="inlineStr">
        <is>
          <t>No. of batches</t>
        </is>
      </c>
      <c r="D737">
        <f>IFERROR(INDEX(E737:DD737,$F$1),"")</f>
        <v/>
      </c>
      <c r="E737">
        <f>IFERROR(INDEX(PP_Grid[#Data],$DE737,2),0)</f>
        <v/>
      </c>
      <c r="F737">
        <f>IFERROR(INDEX(PP_Grid[#Data],$DE737,3),0)</f>
        <v/>
      </c>
      <c r="G737">
        <f>IFERROR(INDEX(PP_Grid[#Data],$DE737,4),0)</f>
        <v/>
      </c>
      <c r="H737">
        <f>IFERROR(INDEX(PP_Grid[#Data],$DE737,5),0)</f>
        <v/>
      </c>
      <c r="I737">
        <f>IFERROR(INDEX(PP_Grid[#Data],$DE737,6),0)</f>
        <v/>
      </c>
      <c r="J737">
        <f>IFERROR(INDEX(PP_Grid[#Data],$DE737,7),0)</f>
        <v/>
      </c>
      <c r="K737">
        <f>IFERROR(INDEX(PP_Grid[#Data],$DE737,8),0)</f>
        <v/>
      </c>
      <c r="L737">
        <f>IFERROR(INDEX(PP_Grid[#Data],$DE737,9),0)</f>
        <v/>
      </c>
      <c r="M737">
        <f>IFERROR(INDEX(PP_Grid[#Data],$DE737,10),0)</f>
        <v/>
      </c>
      <c r="N737">
        <f>IFERROR(INDEX(PP_Grid[#Data],$DE737,11),0)</f>
        <v/>
      </c>
      <c r="O737">
        <f>IFERROR(INDEX(PP_Grid[#Data],$DE737,12),0)</f>
        <v/>
      </c>
      <c r="P737">
        <f>IFERROR(INDEX(PP_Grid[#Data],$DE737,13),0)</f>
        <v/>
      </c>
      <c r="Q737">
        <f>IFERROR(INDEX(PP_Grid[#Data],$DE737,14),0)</f>
        <v/>
      </c>
      <c r="R737">
        <f>IFERROR(INDEX(PP_Grid[#Data],$DE737,15),0)</f>
        <v/>
      </c>
      <c r="S737">
        <f>IFERROR(INDEX(PP_Grid[#Data],$DE737,16),0)</f>
        <v/>
      </c>
      <c r="T737">
        <f>IFERROR(INDEX(PP_Grid[#Data],$DE737,17),0)</f>
        <v/>
      </c>
      <c r="U737">
        <f>IFERROR(INDEX(PP_Grid[#Data],$DE737,18),0)</f>
        <v/>
      </c>
      <c r="V737">
        <f>IFERROR(INDEX(PP_Grid[#Data],$DE737,19),0)</f>
        <v/>
      </c>
      <c r="W737">
        <f>IFERROR(INDEX(PP_Grid[#Data],$DE737,20),0)</f>
        <v/>
      </c>
      <c r="X737">
        <f>IFERROR(INDEX(PP_Grid[#Data],$DE737,21),0)</f>
        <v/>
      </c>
      <c r="Y737">
        <f>IFERROR(INDEX(PP_Grid[#Data],$DE737,22),0)</f>
        <v/>
      </c>
      <c r="Z737">
        <f>IFERROR(INDEX(PP_Grid[#Data],$DE737,23),0)</f>
        <v/>
      </c>
      <c r="AA737">
        <f>IFERROR(INDEX(PP_Grid[#Data],$DE737,24),0)</f>
        <v/>
      </c>
      <c r="AB737">
        <f>IFERROR(INDEX(PP_Grid[#Data],$DE737,25),0)</f>
        <v/>
      </c>
      <c r="AC737">
        <f>IFERROR(INDEX(PP_Grid[#Data],$DE737,26),0)</f>
        <v/>
      </c>
      <c r="AD737">
        <f>IFERROR(INDEX(PP_Grid[#Data],$DE737,27),0)</f>
        <v/>
      </c>
      <c r="AE737">
        <f>IFERROR(INDEX(PP_Grid[#Data],$DE737,28),0)</f>
        <v/>
      </c>
      <c r="AF737">
        <f>IFERROR(INDEX(PP_Grid[#Data],$DE737,29),0)</f>
        <v/>
      </c>
      <c r="AG737">
        <f>IFERROR(INDEX(PP_Grid[#Data],$DE737,30),0)</f>
        <v/>
      </c>
      <c r="AH737">
        <f>IFERROR(INDEX(PP_Grid[#Data],$DE737,31),0)</f>
        <v/>
      </c>
      <c r="AI737">
        <f>IFERROR(INDEX(PP_Grid[#Data],$DE737,32),0)</f>
        <v/>
      </c>
      <c r="AJ737">
        <f>IFERROR(INDEX(PP_Grid[#Data],$DE737,33),0)</f>
        <v/>
      </c>
      <c r="AK737">
        <f>IFERROR(INDEX(PP_Grid[#Data],$DE737,34),0)</f>
        <v/>
      </c>
      <c r="AL737">
        <f>IFERROR(INDEX(PP_Grid[#Data],$DE737,35),0)</f>
        <v/>
      </c>
      <c r="AM737">
        <f>IFERROR(INDEX(PP_Grid[#Data],$DE737,36),0)</f>
        <v/>
      </c>
      <c r="AN737">
        <f>IFERROR(INDEX(PP_Grid[#Data],$DE737,37),0)</f>
        <v/>
      </c>
      <c r="AO737">
        <f>IFERROR(INDEX(PP_Grid[#Data],$DE737,38),0)</f>
        <v/>
      </c>
      <c r="AP737">
        <f>IFERROR(INDEX(PP_Grid[#Data],$DE737,39),0)</f>
        <v/>
      </c>
      <c r="AQ737">
        <f>IFERROR(INDEX(PP_Grid[#Data],$DE737,40),0)</f>
        <v/>
      </c>
      <c r="AR737">
        <f>IFERROR(INDEX(PP_Grid[#Data],$DE737,41),0)</f>
        <v/>
      </c>
      <c r="AS737">
        <f>IFERROR(INDEX(PP_Grid[#Data],$DE737,42),0)</f>
        <v/>
      </c>
      <c r="AT737">
        <f>IFERROR(INDEX(PP_Grid[#Data],$DE737,43),0)</f>
        <v/>
      </c>
      <c r="AU737">
        <f>IFERROR(INDEX(PP_Grid[#Data],$DE737,44),0)</f>
        <v/>
      </c>
      <c r="AV737">
        <f>IFERROR(INDEX(PP_Grid[#Data],$DE737,45),0)</f>
        <v/>
      </c>
      <c r="AW737">
        <f>IFERROR(INDEX(PP_Grid[#Data],$DE737,46),0)</f>
        <v/>
      </c>
      <c r="AX737">
        <f>IFERROR(INDEX(PP_Grid[#Data],$DE737,47),0)</f>
        <v/>
      </c>
      <c r="AY737">
        <f>IFERROR(INDEX(PP_Grid[#Data],$DE737,48),0)</f>
        <v/>
      </c>
      <c r="AZ737">
        <f>IFERROR(INDEX(PP_Grid[#Data],$DE737,49),0)</f>
        <v/>
      </c>
      <c r="BA737">
        <f>IFERROR(INDEX(PP_Grid[#Data],$DE737,50),0)</f>
        <v/>
      </c>
      <c r="BB737">
        <f>IFERROR(INDEX(PP_Grid[#Data],$DE737,51),0)</f>
        <v/>
      </c>
      <c r="BC737">
        <f>IFERROR(INDEX(PP_Grid[#Data],$DE737,52),0)</f>
        <v/>
      </c>
      <c r="BD737">
        <f>IFERROR(INDEX(PP_Grid[#Data],$DE737,53),0)</f>
        <v/>
      </c>
      <c r="BE737">
        <f>IFERROR(INDEX(PP_Grid[#Data],$DE737,54),0)</f>
        <v/>
      </c>
      <c r="BF737">
        <f>IFERROR(INDEX(PP_Grid[#Data],$DE737,55),0)</f>
        <v/>
      </c>
      <c r="BG737">
        <f>IFERROR(INDEX(PP_Grid[#Data],$DE737,56),0)</f>
        <v/>
      </c>
      <c r="BH737">
        <f>IFERROR(INDEX(PP_Grid[#Data],$DE737,57),0)</f>
        <v/>
      </c>
      <c r="BI737">
        <f>IFERROR(INDEX(PP_Grid[#Data],$DE737,58),0)</f>
        <v/>
      </c>
      <c r="BJ737">
        <f>IFERROR(INDEX(PP_Grid[#Data],$DE737,59),0)</f>
        <v/>
      </c>
      <c r="BK737">
        <f>IFERROR(INDEX(PP_Grid[#Data],$DE737,60),0)</f>
        <v/>
      </c>
      <c r="BL737">
        <f>IFERROR(INDEX(PP_Grid[#Data],$DE737,61),0)</f>
        <v/>
      </c>
      <c r="BM737">
        <f>IFERROR(INDEX(PP_Grid[#Data],$DE737,62),0)</f>
        <v/>
      </c>
      <c r="BN737">
        <f>IFERROR(INDEX(PP_Grid[#Data],$DE737,63),0)</f>
        <v/>
      </c>
      <c r="BO737">
        <f>IFERROR(INDEX(PP_Grid[#Data],$DE737,64),0)</f>
        <v/>
      </c>
      <c r="BP737">
        <f>IFERROR(INDEX(PP_Grid[#Data],$DE737,65),0)</f>
        <v/>
      </c>
      <c r="BQ737">
        <f>IFERROR(INDEX(PP_Grid[#Data],$DE737,66),0)</f>
        <v/>
      </c>
      <c r="BR737">
        <f>IFERROR(INDEX(PP_Grid[#Data],$DE737,67),0)</f>
        <v/>
      </c>
      <c r="BS737">
        <f>IFERROR(INDEX(PP_Grid[#Data],$DE737,68),0)</f>
        <v/>
      </c>
      <c r="BT737">
        <f>IFERROR(INDEX(PP_Grid[#Data],$DE737,69),0)</f>
        <v/>
      </c>
      <c r="BU737">
        <f>IFERROR(INDEX(PP_Grid[#Data],$DE737,70),0)</f>
        <v/>
      </c>
      <c r="BV737">
        <f>IFERROR(INDEX(PP_Grid[#Data],$DE737,71),0)</f>
        <v/>
      </c>
      <c r="BW737">
        <f>IFERROR(INDEX(PP_Grid[#Data],$DE737,72),0)</f>
        <v/>
      </c>
      <c r="BX737">
        <f>IFERROR(INDEX(PP_Grid[#Data],$DE737,73),0)</f>
        <v/>
      </c>
      <c r="BY737">
        <f>IFERROR(INDEX(PP_Grid[#Data],$DE737,74),0)</f>
        <v/>
      </c>
      <c r="BZ737">
        <f>IFERROR(INDEX(PP_Grid[#Data],$DE737,75),0)</f>
        <v/>
      </c>
      <c r="CA737">
        <f>IFERROR(INDEX(PP_Grid[#Data],$DE737,76),0)</f>
        <v/>
      </c>
      <c r="CB737">
        <f>IFERROR(INDEX(PP_Grid[#Data],$DE737,77),0)</f>
        <v/>
      </c>
      <c r="CC737">
        <f>IFERROR(INDEX(PP_Grid[#Data],$DE737,78),0)</f>
        <v/>
      </c>
      <c r="CD737">
        <f>IFERROR(INDEX(PP_Grid[#Data],$DE737,79),0)</f>
        <v/>
      </c>
      <c r="CE737">
        <f>IFERROR(INDEX(PP_Grid[#Data],$DE737,80),0)</f>
        <v/>
      </c>
      <c r="CF737">
        <f>IFERROR(INDEX(PP_Grid[#Data],$DE737,81),0)</f>
        <v/>
      </c>
      <c r="CG737">
        <f>IFERROR(INDEX(PP_Grid[#Data],$DE737,82),0)</f>
        <v/>
      </c>
      <c r="CH737">
        <f>IFERROR(INDEX(PP_Grid[#Data],$DE737,83),0)</f>
        <v/>
      </c>
      <c r="CI737">
        <f>IFERROR(INDEX(PP_Grid[#Data],$DE737,84),0)</f>
        <v/>
      </c>
      <c r="CJ737">
        <f>IFERROR(INDEX(PP_Grid[#Data],$DE737,85),0)</f>
        <v/>
      </c>
      <c r="CK737">
        <f>IFERROR(INDEX(PP_Grid[#Data],$DE737,86),0)</f>
        <v/>
      </c>
      <c r="CL737">
        <f>IFERROR(INDEX(PP_Grid[#Data],$DE737,87),0)</f>
        <v/>
      </c>
      <c r="CM737">
        <f>IFERROR(INDEX(PP_Grid[#Data],$DE737,88),0)</f>
        <v/>
      </c>
      <c r="CN737">
        <f>IFERROR(INDEX(PP_Grid[#Data],$DE737,89),0)</f>
        <v/>
      </c>
      <c r="CO737">
        <f>IFERROR(INDEX(PP_Grid[#Data],$DE737,90),0)</f>
        <v/>
      </c>
      <c r="CP737">
        <f>IFERROR(INDEX(PP_Grid[#Data],$DE737,91),0)</f>
        <v/>
      </c>
      <c r="CQ737">
        <f>IFERROR(INDEX(PP_Grid[#Data],$DE737,92),0)</f>
        <v/>
      </c>
      <c r="CR737">
        <f>IFERROR(INDEX(PP_Grid[#Data],$DE737,93),0)</f>
        <v/>
      </c>
      <c r="CS737">
        <f>IFERROR(INDEX(PP_Grid[#Data],$DE737,94),0)</f>
        <v/>
      </c>
      <c r="CT737">
        <f>IFERROR(INDEX(PP_Grid[#Data],$DE737,95),0)</f>
        <v/>
      </c>
      <c r="CU737">
        <f>IFERROR(INDEX(PP_Grid[#Data],$DE737,96),0)</f>
        <v/>
      </c>
      <c r="CV737">
        <f>IFERROR(INDEX(PP_Grid[#Data],$DE737,97),0)</f>
        <v/>
      </c>
      <c r="CW737">
        <f>IFERROR(INDEX(PP_Grid[#Data],$DE737,98),0)</f>
        <v/>
      </c>
      <c r="CX737">
        <f>IFERROR(INDEX(PP_Grid[#Data],$DE737,99),0)</f>
        <v/>
      </c>
      <c r="CY737">
        <f>IFERROR(INDEX(PP_Grid[#Data],$DE737,100),0)</f>
        <v/>
      </c>
      <c r="CZ737">
        <f>IFERROR(INDEX(PP_Grid[#Data],$DE737,101),0)</f>
        <v/>
      </c>
      <c r="DA737">
        <f>IFERROR(INDEX(PP_Grid[#Data],$DE737,102),0)</f>
        <v/>
      </c>
      <c r="DB737">
        <f>IFERROR(INDEX(PP_Grid[#Data],$DE737,103),0)</f>
        <v/>
      </c>
      <c r="DC737">
        <f>IFERROR(INDEX(PP_Grid[#Data],$DE737,104),0)</f>
        <v/>
      </c>
      <c r="DD737">
        <f>IFERROR(INDEX(PP_Grid[#Data],$DE737,105),0)</f>
        <v/>
      </c>
      <c r="DE737" s="7">
        <f>IFERROR(MATCH($B737,PP_Grid[Intermediate],0),99999)</f>
        <v/>
      </c>
    </row>
    <row r="738">
      <c r="B738" t="inlineStr">
        <is>
          <t>使用量(kg)</t>
        </is>
      </c>
      <c r="C738">
        <f>SUMIFS(M_BOM[RM_Qty_Per_Batch],M_BOM[Intermediate],$B737,M_BOM[RM_Code],$A636)</f>
        <v/>
      </c>
      <c r="D738">
        <f>IFERROR(INDEX(E738:DD738,$F$1),"")</f>
        <v/>
      </c>
      <c r="E738">
        <f>$C738*E737</f>
        <v/>
      </c>
      <c r="F738">
        <f>$C738*F737</f>
        <v/>
      </c>
      <c r="G738">
        <f>$C738*G737</f>
        <v/>
      </c>
      <c r="H738">
        <f>$C738*H737</f>
        <v/>
      </c>
      <c r="I738">
        <f>$C738*I737</f>
        <v/>
      </c>
      <c r="J738">
        <f>$C738*J737</f>
        <v/>
      </c>
      <c r="K738">
        <f>$C738*K737</f>
        <v/>
      </c>
      <c r="L738">
        <f>$C738*L737</f>
        <v/>
      </c>
      <c r="M738">
        <f>$C738*M737</f>
        <v/>
      </c>
      <c r="N738">
        <f>$C738*N737</f>
        <v/>
      </c>
      <c r="O738">
        <f>$C738*O737</f>
        <v/>
      </c>
      <c r="P738">
        <f>$C738*P737</f>
        <v/>
      </c>
      <c r="Q738">
        <f>$C738*Q737</f>
        <v/>
      </c>
      <c r="R738">
        <f>$C738*R737</f>
        <v/>
      </c>
      <c r="S738">
        <f>$C738*S737</f>
        <v/>
      </c>
      <c r="T738">
        <f>$C738*T737</f>
        <v/>
      </c>
      <c r="U738">
        <f>$C738*U737</f>
        <v/>
      </c>
      <c r="V738">
        <f>$C738*V737</f>
        <v/>
      </c>
      <c r="W738">
        <f>$C738*W737</f>
        <v/>
      </c>
      <c r="X738">
        <f>$C738*X737</f>
        <v/>
      </c>
      <c r="Y738">
        <f>$C738*Y737</f>
        <v/>
      </c>
      <c r="Z738">
        <f>$C738*Z737</f>
        <v/>
      </c>
      <c r="AA738">
        <f>$C738*AA737</f>
        <v/>
      </c>
      <c r="AB738">
        <f>$C738*AB737</f>
        <v/>
      </c>
      <c r="AC738">
        <f>$C738*AC737</f>
        <v/>
      </c>
      <c r="AD738">
        <f>$C738*AD737</f>
        <v/>
      </c>
      <c r="AE738">
        <f>$C738*AE737</f>
        <v/>
      </c>
      <c r="AF738">
        <f>$C738*AF737</f>
        <v/>
      </c>
      <c r="AG738">
        <f>$C738*AG737</f>
        <v/>
      </c>
      <c r="AH738">
        <f>$C738*AH737</f>
        <v/>
      </c>
      <c r="AI738">
        <f>$C738*AI737</f>
        <v/>
      </c>
      <c r="AJ738">
        <f>$C738*AJ737</f>
        <v/>
      </c>
      <c r="AK738">
        <f>$C738*AK737</f>
        <v/>
      </c>
      <c r="AL738">
        <f>$C738*AL737</f>
        <v/>
      </c>
      <c r="AM738">
        <f>$C738*AM737</f>
        <v/>
      </c>
      <c r="AN738">
        <f>$C738*AN737</f>
        <v/>
      </c>
      <c r="AO738">
        <f>$C738*AO737</f>
        <v/>
      </c>
      <c r="AP738">
        <f>$C738*AP737</f>
        <v/>
      </c>
      <c r="AQ738">
        <f>$C738*AQ737</f>
        <v/>
      </c>
      <c r="AR738">
        <f>$C738*AR737</f>
        <v/>
      </c>
      <c r="AS738">
        <f>$C738*AS737</f>
        <v/>
      </c>
      <c r="AT738">
        <f>$C738*AT737</f>
        <v/>
      </c>
      <c r="AU738">
        <f>$C738*AU737</f>
        <v/>
      </c>
      <c r="AV738">
        <f>$C738*AV737</f>
        <v/>
      </c>
      <c r="AW738">
        <f>$C738*AW737</f>
        <v/>
      </c>
      <c r="AX738">
        <f>$C738*AX737</f>
        <v/>
      </c>
      <c r="AY738">
        <f>$C738*AY737</f>
        <v/>
      </c>
      <c r="AZ738">
        <f>$C738*AZ737</f>
        <v/>
      </c>
      <c r="BA738">
        <f>$C738*BA737</f>
        <v/>
      </c>
      <c r="BB738">
        <f>$C738*BB737</f>
        <v/>
      </c>
      <c r="BC738">
        <f>$C738*BC737</f>
        <v/>
      </c>
      <c r="BD738">
        <f>$C738*BD737</f>
        <v/>
      </c>
      <c r="BE738">
        <f>$C738*BE737</f>
        <v/>
      </c>
      <c r="BF738">
        <f>$C738*BF737</f>
        <v/>
      </c>
      <c r="BG738">
        <f>$C738*BG737</f>
        <v/>
      </c>
      <c r="BH738">
        <f>$C738*BH737</f>
        <v/>
      </c>
      <c r="BI738">
        <f>$C738*BI737</f>
        <v/>
      </c>
      <c r="BJ738">
        <f>$C738*BJ737</f>
        <v/>
      </c>
      <c r="BK738">
        <f>$C738*BK737</f>
        <v/>
      </c>
      <c r="BL738">
        <f>$C738*BL737</f>
        <v/>
      </c>
      <c r="BM738">
        <f>$C738*BM737</f>
        <v/>
      </c>
      <c r="BN738">
        <f>$C738*BN737</f>
        <v/>
      </c>
      <c r="BO738">
        <f>$C738*BO737</f>
        <v/>
      </c>
      <c r="BP738">
        <f>$C738*BP737</f>
        <v/>
      </c>
      <c r="BQ738">
        <f>$C738*BQ737</f>
        <v/>
      </c>
      <c r="BR738">
        <f>$C738*BR737</f>
        <v/>
      </c>
      <c r="BS738">
        <f>$C738*BS737</f>
        <v/>
      </c>
      <c r="BT738">
        <f>$C738*BT737</f>
        <v/>
      </c>
      <c r="BU738">
        <f>$C738*BU737</f>
        <v/>
      </c>
      <c r="BV738">
        <f>$C738*BV737</f>
        <v/>
      </c>
      <c r="BW738">
        <f>$C738*BW737</f>
        <v/>
      </c>
      <c r="BX738">
        <f>$C738*BX737</f>
        <v/>
      </c>
      <c r="BY738">
        <f>$C738*BY737</f>
        <v/>
      </c>
      <c r="BZ738">
        <f>$C738*BZ737</f>
        <v/>
      </c>
      <c r="CA738">
        <f>$C738*CA737</f>
        <v/>
      </c>
      <c r="CB738">
        <f>$C738*CB737</f>
        <v/>
      </c>
      <c r="CC738">
        <f>$C738*CC737</f>
        <v/>
      </c>
      <c r="CD738">
        <f>$C738*CD737</f>
        <v/>
      </c>
      <c r="CE738">
        <f>$C738*CE737</f>
        <v/>
      </c>
      <c r="CF738">
        <f>$C738*CF737</f>
        <v/>
      </c>
      <c r="CG738">
        <f>$C738*CG737</f>
        <v/>
      </c>
      <c r="CH738">
        <f>$C738*CH737</f>
        <v/>
      </c>
      <c r="CI738">
        <f>$C738*CI737</f>
        <v/>
      </c>
      <c r="CJ738">
        <f>$C738*CJ737</f>
        <v/>
      </c>
      <c r="CK738">
        <f>$C738*CK737</f>
        <v/>
      </c>
      <c r="CL738">
        <f>$C738*CL737</f>
        <v/>
      </c>
      <c r="CM738">
        <f>$C738*CM737</f>
        <v/>
      </c>
      <c r="CN738">
        <f>$C738*CN737</f>
        <v/>
      </c>
      <c r="CO738">
        <f>$C738*CO737</f>
        <v/>
      </c>
      <c r="CP738">
        <f>$C738*CP737</f>
        <v/>
      </c>
      <c r="CQ738">
        <f>$C738*CQ737</f>
        <v/>
      </c>
      <c r="CR738">
        <f>$C738*CR737</f>
        <v/>
      </c>
      <c r="CS738">
        <f>$C738*CS737</f>
        <v/>
      </c>
      <c r="CT738">
        <f>$C738*CT737</f>
        <v/>
      </c>
      <c r="CU738">
        <f>$C738*CU737</f>
        <v/>
      </c>
      <c r="CV738">
        <f>$C738*CV737</f>
        <v/>
      </c>
      <c r="CW738">
        <f>$C738*CW737</f>
        <v/>
      </c>
      <c r="CX738">
        <f>$C738*CX737</f>
        <v/>
      </c>
      <c r="CY738">
        <f>$C738*CY737</f>
        <v/>
      </c>
      <c r="CZ738">
        <f>$C738*CZ737</f>
        <v/>
      </c>
      <c r="DA738">
        <f>$C738*DA737</f>
        <v/>
      </c>
      <c r="DB738">
        <f>$C738*DB737</f>
        <v/>
      </c>
      <c r="DC738">
        <f>$C738*DC737</f>
        <v/>
      </c>
      <c r="DD738">
        <f>$C738*DD737</f>
        <v/>
      </c>
    </row>
    <row r="739">
      <c r="B739" s="4" t="inlineStr">
        <is>
          <t>合計使用量(kg)/週</t>
        </is>
      </c>
      <c r="D739" s="23">
        <f>IFERROR(INDEX(E739:DD739,$F$1),"")</f>
        <v/>
      </c>
      <c r="E739">
        <f>'Grid_Requirement'!B18</f>
        <v/>
      </c>
      <c r="F739">
        <f>'Grid_Requirement'!C18</f>
        <v/>
      </c>
      <c r="G739">
        <f>'Grid_Requirement'!D18</f>
        <v/>
      </c>
      <c r="H739">
        <f>'Grid_Requirement'!E18</f>
        <v/>
      </c>
      <c r="I739">
        <f>'Grid_Requirement'!F18</f>
        <v/>
      </c>
      <c r="J739">
        <f>'Grid_Requirement'!G18</f>
        <v/>
      </c>
      <c r="K739">
        <f>'Grid_Requirement'!H18</f>
        <v/>
      </c>
      <c r="L739">
        <f>'Grid_Requirement'!I18</f>
        <v/>
      </c>
      <c r="M739">
        <f>'Grid_Requirement'!J18</f>
        <v/>
      </c>
      <c r="N739">
        <f>'Grid_Requirement'!K18</f>
        <v/>
      </c>
      <c r="O739">
        <f>'Grid_Requirement'!L18</f>
        <v/>
      </c>
      <c r="P739">
        <f>'Grid_Requirement'!M18</f>
        <v/>
      </c>
      <c r="Q739">
        <f>'Grid_Requirement'!N18</f>
        <v/>
      </c>
      <c r="R739">
        <f>'Grid_Requirement'!O18</f>
        <v/>
      </c>
      <c r="S739">
        <f>'Grid_Requirement'!P18</f>
        <v/>
      </c>
      <c r="T739">
        <f>'Grid_Requirement'!Q18</f>
        <v/>
      </c>
      <c r="U739">
        <f>'Grid_Requirement'!R18</f>
        <v/>
      </c>
      <c r="V739">
        <f>'Grid_Requirement'!S18</f>
        <v/>
      </c>
      <c r="W739">
        <f>'Grid_Requirement'!T18</f>
        <v/>
      </c>
      <c r="X739">
        <f>'Grid_Requirement'!U18</f>
        <v/>
      </c>
      <c r="Y739">
        <f>'Grid_Requirement'!V18</f>
        <v/>
      </c>
      <c r="Z739">
        <f>'Grid_Requirement'!W18</f>
        <v/>
      </c>
      <c r="AA739">
        <f>'Grid_Requirement'!X18</f>
        <v/>
      </c>
      <c r="AB739">
        <f>'Grid_Requirement'!Y18</f>
        <v/>
      </c>
      <c r="AC739">
        <f>'Grid_Requirement'!Z18</f>
        <v/>
      </c>
      <c r="AD739">
        <f>'Grid_Requirement'!AA18</f>
        <v/>
      </c>
      <c r="AE739">
        <f>'Grid_Requirement'!AB18</f>
        <v/>
      </c>
      <c r="AF739">
        <f>'Grid_Requirement'!AC18</f>
        <v/>
      </c>
      <c r="AG739">
        <f>'Grid_Requirement'!AD18</f>
        <v/>
      </c>
      <c r="AH739">
        <f>'Grid_Requirement'!AE18</f>
        <v/>
      </c>
      <c r="AI739">
        <f>'Grid_Requirement'!AF18</f>
        <v/>
      </c>
      <c r="AJ739">
        <f>'Grid_Requirement'!AG18</f>
        <v/>
      </c>
      <c r="AK739">
        <f>'Grid_Requirement'!AH18</f>
        <v/>
      </c>
      <c r="AL739">
        <f>'Grid_Requirement'!AI18</f>
        <v/>
      </c>
      <c r="AM739">
        <f>'Grid_Requirement'!AJ18</f>
        <v/>
      </c>
      <c r="AN739">
        <f>'Grid_Requirement'!AK18</f>
        <v/>
      </c>
      <c r="AO739">
        <f>'Grid_Requirement'!AL18</f>
        <v/>
      </c>
      <c r="AP739">
        <f>'Grid_Requirement'!AM18</f>
        <v/>
      </c>
      <c r="AQ739">
        <f>'Grid_Requirement'!AN18</f>
        <v/>
      </c>
      <c r="AR739">
        <f>'Grid_Requirement'!AO18</f>
        <v/>
      </c>
      <c r="AS739">
        <f>'Grid_Requirement'!AP18</f>
        <v/>
      </c>
      <c r="AT739">
        <f>'Grid_Requirement'!AQ18</f>
        <v/>
      </c>
      <c r="AU739">
        <f>'Grid_Requirement'!AR18</f>
        <v/>
      </c>
      <c r="AV739">
        <f>'Grid_Requirement'!AS18</f>
        <v/>
      </c>
      <c r="AW739">
        <f>'Grid_Requirement'!AT18</f>
        <v/>
      </c>
      <c r="AX739">
        <f>'Grid_Requirement'!AU18</f>
        <v/>
      </c>
      <c r="AY739">
        <f>'Grid_Requirement'!AV18</f>
        <v/>
      </c>
      <c r="AZ739">
        <f>'Grid_Requirement'!AW18</f>
        <v/>
      </c>
      <c r="BA739">
        <f>'Grid_Requirement'!AX18</f>
        <v/>
      </c>
      <c r="BB739">
        <f>'Grid_Requirement'!AY18</f>
        <v/>
      </c>
      <c r="BC739">
        <f>'Grid_Requirement'!AZ18</f>
        <v/>
      </c>
      <c r="BD739">
        <f>'Grid_Requirement'!BA18</f>
        <v/>
      </c>
      <c r="BE739">
        <f>'Grid_Requirement'!BB18</f>
        <v/>
      </c>
      <c r="BF739">
        <f>'Grid_Requirement'!BC18</f>
        <v/>
      </c>
      <c r="BG739">
        <f>'Grid_Requirement'!BD18</f>
        <v/>
      </c>
      <c r="BH739">
        <f>'Grid_Requirement'!BE18</f>
        <v/>
      </c>
      <c r="BI739">
        <f>'Grid_Requirement'!BF18</f>
        <v/>
      </c>
      <c r="BJ739">
        <f>'Grid_Requirement'!BG18</f>
        <v/>
      </c>
      <c r="BK739">
        <f>'Grid_Requirement'!BH18</f>
        <v/>
      </c>
      <c r="BL739">
        <f>'Grid_Requirement'!BI18</f>
        <v/>
      </c>
      <c r="BM739">
        <f>'Grid_Requirement'!BJ18</f>
        <v/>
      </c>
      <c r="BN739">
        <f>'Grid_Requirement'!BK18</f>
        <v/>
      </c>
      <c r="BO739">
        <f>'Grid_Requirement'!BL18</f>
        <v/>
      </c>
      <c r="BP739">
        <f>'Grid_Requirement'!BM18</f>
        <v/>
      </c>
      <c r="BQ739">
        <f>'Grid_Requirement'!BN18</f>
        <v/>
      </c>
      <c r="BR739">
        <f>'Grid_Requirement'!BO18</f>
        <v/>
      </c>
      <c r="BS739">
        <f>'Grid_Requirement'!BP18</f>
        <v/>
      </c>
      <c r="BT739">
        <f>'Grid_Requirement'!BQ18</f>
        <v/>
      </c>
      <c r="BU739">
        <f>'Grid_Requirement'!BR18</f>
        <v/>
      </c>
      <c r="BV739">
        <f>'Grid_Requirement'!BS18</f>
        <v/>
      </c>
      <c r="BW739">
        <f>'Grid_Requirement'!BT18</f>
        <v/>
      </c>
      <c r="BX739">
        <f>'Grid_Requirement'!BU18</f>
        <v/>
      </c>
      <c r="BY739">
        <f>'Grid_Requirement'!BV18</f>
        <v/>
      </c>
      <c r="BZ739">
        <f>'Grid_Requirement'!BW18</f>
        <v/>
      </c>
      <c r="CA739">
        <f>'Grid_Requirement'!BX18</f>
        <v/>
      </c>
      <c r="CB739">
        <f>'Grid_Requirement'!BY18</f>
        <v/>
      </c>
      <c r="CC739">
        <f>'Grid_Requirement'!BZ18</f>
        <v/>
      </c>
      <c r="CD739">
        <f>'Grid_Requirement'!CA18</f>
        <v/>
      </c>
      <c r="CE739">
        <f>'Grid_Requirement'!CB18</f>
        <v/>
      </c>
      <c r="CF739">
        <f>'Grid_Requirement'!CC18</f>
        <v/>
      </c>
      <c r="CG739">
        <f>'Grid_Requirement'!CD18</f>
        <v/>
      </c>
      <c r="CH739">
        <f>'Grid_Requirement'!CE18</f>
        <v/>
      </c>
      <c r="CI739">
        <f>'Grid_Requirement'!CF18</f>
        <v/>
      </c>
      <c r="CJ739">
        <f>'Grid_Requirement'!CG18</f>
        <v/>
      </c>
      <c r="CK739">
        <f>'Grid_Requirement'!CH18</f>
        <v/>
      </c>
      <c r="CL739">
        <f>'Grid_Requirement'!CI18</f>
        <v/>
      </c>
      <c r="CM739">
        <f>'Grid_Requirement'!CJ18</f>
        <v/>
      </c>
      <c r="CN739">
        <f>'Grid_Requirement'!CK18</f>
        <v/>
      </c>
      <c r="CO739">
        <f>'Grid_Requirement'!CL18</f>
        <v/>
      </c>
      <c r="CP739">
        <f>'Grid_Requirement'!CM18</f>
        <v/>
      </c>
      <c r="CQ739">
        <f>'Grid_Requirement'!CN18</f>
        <v/>
      </c>
      <c r="CR739">
        <f>'Grid_Requirement'!CO18</f>
        <v/>
      </c>
      <c r="CS739">
        <f>'Grid_Requirement'!CP18</f>
        <v/>
      </c>
      <c r="CT739">
        <f>'Grid_Requirement'!CQ18</f>
        <v/>
      </c>
      <c r="CU739">
        <f>'Grid_Requirement'!CR18</f>
        <v/>
      </c>
      <c r="CV739">
        <f>'Grid_Requirement'!CS18</f>
        <v/>
      </c>
      <c r="CW739">
        <f>'Grid_Requirement'!CT18</f>
        <v/>
      </c>
      <c r="CX739">
        <f>'Grid_Requirement'!CU18</f>
        <v/>
      </c>
      <c r="CY739">
        <f>'Grid_Requirement'!CV18</f>
        <v/>
      </c>
      <c r="CZ739">
        <f>'Grid_Requirement'!CW18</f>
        <v/>
      </c>
      <c r="DA739">
        <f>'Grid_Requirement'!CX18</f>
        <v/>
      </c>
      <c r="DB739">
        <f>'Grid_Requirement'!CY18</f>
        <v/>
      </c>
      <c r="DC739">
        <f>'Grid_Requirement'!CZ18</f>
        <v/>
      </c>
      <c r="DD739">
        <f>'Grid_Requirement'!DA18</f>
        <v/>
      </c>
    </row>
    <row r="740">
      <c r="B740" t="inlineStr">
        <is>
          <t>TTAF在庫(実績,kg)</t>
        </is>
      </c>
      <c r="D740">
        <f>IFERROR(INDEX(E740:DD740,$F$1),"")</f>
        <v/>
      </c>
      <c r="E740">
        <f>IFERROR(SUMIFS(T_TTAFStock[TTAF_Qty],T_TTAFStock[RM_Code],$A636,T_TTAFStock[WeekIndex],1),"")</f>
        <v/>
      </c>
      <c r="F740">
        <f>IFERROR(SUMIFS(T_TTAFStock[TTAF_Qty],T_TTAFStock[RM_Code],$A636,T_TTAFStock[WeekIndex],2),"")</f>
        <v/>
      </c>
      <c r="G740">
        <f>IFERROR(SUMIFS(T_TTAFStock[TTAF_Qty],T_TTAFStock[RM_Code],$A636,T_TTAFStock[WeekIndex],3),"")</f>
        <v/>
      </c>
      <c r="H740">
        <f>IFERROR(SUMIFS(T_TTAFStock[TTAF_Qty],T_TTAFStock[RM_Code],$A636,T_TTAFStock[WeekIndex],4),"")</f>
        <v/>
      </c>
      <c r="I740">
        <f>IFERROR(SUMIFS(T_TTAFStock[TTAF_Qty],T_TTAFStock[RM_Code],$A636,T_TTAFStock[WeekIndex],5),"")</f>
        <v/>
      </c>
      <c r="J740">
        <f>IFERROR(SUMIFS(T_TTAFStock[TTAF_Qty],T_TTAFStock[RM_Code],$A636,T_TTAFStock[WeekIndex],6),"")</f>
        <v/>
      </c>
      <c r="K740">
        <f>IFERROR(SUMIFS(T_TTAFStock[TTAF_Qty],T_TTAFStock[RM_Code],$A636,T_TTAFStock[WeekIndex],7),"")</f>
        <v/>
      </c>
      <c r="L740">
        <f>IFERROR(SUMIFS(T_TTAFStock[TTAF_Qty],T_TTAFStock[RM_Code],$A636,T_TTAFStock[WeekIndex],8),"")</f>
        <v/>
      </c>
      <c r="M740">
        <f>IFERROR(SUMIFS(T_TTAFStock[TTAF_Qty],T_TTAFStock[RM_Code],$A636,T_TTAFStock[WeekIndex],9),"")</f>
        <v/>
      </c>
      <c r="N740">
        <f>IFERROR(SUMIFS(T_TTAFStock[TTAF_Qty],T_TTAFStock[RM_Code],$A636,T_TTAFStock[WeekIndex],10),"")</f>
        <v/>
      </c>
      <c r="O740">
        <f>IFERROR(SUMIFS(T_TTAFStock[TTAF_Qty],T_TTAFStock[RM_Code],$A636,T_TTAFStock[WeekIndex],11),"")</f>
        <v/>
      </c>
      <c r="P740">
        <f>IFERROR(SUMIFS(T_TTAFStock[TTAF_Qty],T_TTAFStock[RM_Code],$A636,T_TTAFStock[WeekIndex],12),"")</f>
        <v/>
      </c>
      <c r="Q740">
        <f>IFERROR(SUMIFS(T_TTAFStock[TTAF_Qty],T_TTAFStock[RM_Code],$A636,T_TTAFStock[WeekIndex],13),"")</f>
        <v/>
      </c>
      <c r="R740">
        <f>IFERROR(SUMIFS(T_TTAFStock[TTAF_Qty],T_TTAFStock[RM_Code],$A636,T_TTAFStock[WeekIndex],14),"")</f>
        <v/>
      </c>
      <c r="S740">
        <f>IFERROR(SUMIFS(T_TTAFStock[TTAF_Qty],T_TTAFStock[RM_Code],$A636,T_TTAFStock[WeekIndex],15),"")</f>
        <v/>
      </c>
      <c r="T740">
        <f>IFERROR(SUMIFS(T_TTAFStock[TTAF_Qty],T_TTAFStock[RM_Code],$A636,T_TTAFStock[WeekIndex],16),"")</f>
        <v/>
      </c>
      <c r="U740">
        <f>IFERROR(SUMIFS(T_TTAFStock[TTAF_Qty],T_TTAFStock[RM_Code],$A636,T_TTAFStock[WeekIndex],17),"")</f>
        <v/>
      </c>
      <c r="V740">
        <f>IFERROR(SUMIFS(T_TTAFStock[TTAF_Qty],T_TTAFStock[RM_Code],$A636,T_TTAFStock[WeekIndex],18),"")</f>
        <v/>
      </c>
      <c r="W740">
        <f>IFERROR(SUMIFS(T_TTAFStock[TTAF_Qty],T_TTAFStock[RM_Code],$A636,T_TTAFStock[WeekIndex],19),"")</f>
        <v/>
      </c>
      <c r="X740">
        <f>IFERROR(SUMIFS(T_TTAFStock[TTAF_Qty],T_TTAFStock[RM_Code],$A636,T_TTAFStock[WeekIndex],20),"")</f>
        <v/>
      </c>
      <c r="Y740">
        <f>IFERROR(SUMIFS(T_TTAFStock[TTAF_Qty],T_TTAFStock[RM_Code],$A636,T_TTAFStock[WeekIndex],21),"")</f>
        <v/>
      </c>
      <c r="Z740">
        <f>IFERROR(SUMIFS(T_TTAFStock[TTAF_Qty],T_TTAFStock[RM_Code],$A636,T_TTAFStock[WeekIndex],22),"")</f>
        <v/>
      </c>
      <c r="AA740">
        <f>IFERROR(SUMIFS(T_TTAFStock[TTAF_Qty],T_TTAFStock[RM_Code],$A636,T_TTAFStock[WeekIndex],23),"")</f>
        <v/>
      </c>
      <c r="AB740">
        <f>IFERROR(SUMIFS(T_TTAFStock[TTAF_Qty],T_TTAFStock[RM_Code],$A636,T_TTAFStock[WeekIndex],24),"")</f>
        <v/>
      </c>
      <c r="AC740">
        <f>IFERROR(SUMIFS(T_TTAFStock[TTAF_Qty],T_TTAFStock[RM_Code],$A636,T_TTAFStock[WeekIndex],25),"")</f>
        <v/>
      </c>
      <c r="AD740">
        <f>IFERROR(SUMIFS(T_TTAFStock[TTAF_Qty],T_TTAFStock[RM_Code],$A636,T_TTAFStock[WeekIndex],26),"")</f>
        <v/>
      </c>
      <c r="AE740">
        <f>IFERROR(SUMIFS(T_TTAFStock[TTAF_Qty],T_TTAFStock[RM_Code],$A636,T_TTAFStock[WeekIndex],27),"")</f>
        <v/>
      </c>
      <c r="AF740">
        <f>IFERROR(SUMIFS(T_TTAFStock[TTAF_Qty],T_TTAFStock[RM_Code],$A636,T_TTAFStock[WeekIndex],28),"")</f>
        <v/>
      </c>
      <c r="AG740">
        <f>IFERROR(SUMIFS(T_TTAFStock[TTAF_Qty],T_TTAFStock[RM_Code],$A636,T_TTAFStock[WeekIndex],29),"")</f>
        <v/>
      </c>
      <c r="AH740">
        <f>IFERROR(SUMIFS(T_TTAFStock[TTAF_Qty],T_TTAFStock[RM_Code],$A636,T_TTAFStock[WeekIndex],30),"")</f>
        <v/>
      </c>
      <c r="AI740">
        <f>IFERROR(SUMIFS(T_TTAFStock[TTAF_Qty],T_TTAFStock[RM_Code],$A636,T_TTAFStock[WeekIndex],31),"")</f>
        <v/>
      </c>
      <c r="AJ740">
        <f>IFERROR(SUMIFS(T_TTAFStock[TTAF_Qty],T_TTAFStock[RM_Code],$A636,T_TTAFStock[WeekIndex],32),"")</f>
        <v/>
      </c>
      <c r="AK740">
        <f>IFERROR(SUMIFS(T_TTAFStock[TTAF_Qty],T_TTAFStock[RM_Code],$A636,T_TTAFStock[WeekIndex],33),"")</f>
        <v/>
      </c>
      <c r="AL740">
        <f>IFERROR(SUMIFS(T_TTAFStock[TTAF_Qty],T_TTAFStock[RM_Code],$A636,T_TTAFStock[WeekIndex],34),"")</f>
        <v/>
      </c>
      <c r="AM740">
        <f>IFERROR(SUMIFS(T_TTAFStock[TTAF_Qty],T_TTAFStock[RM_Code],$A636,T_TTAFStock[WeekIndex],35),"")</f>
        <v/>
      </c>
      <c r="AN740">
        <f>IFERROR(SUMIFS(T_TTAFStock[TTAF_Qty],T_TTAFStock[RM_Code],$A636,T_TTAFStock[WeekIndex],36),"")</f>
        <v/>
      </c>
      <c r="AO740">
        <f>IFERROR(SUMIFS(T_TTAFStock[TTAF_Qty],T_TTAFStock[RM_Code],$A636,T_TTAFStock[WeekIndex],37),"")</f>
        <v/>
      </c>
      <c r="AP740">
        <f>IFERROR(SUMIFS(T_TTAFStock[TTAF_Qty],T_TTAFStock[RM_Code],$A636,T_TTAFStock[WeekIndex],38),"")</f>
        <v/>
      </c>
      <c r="AQ740">
        <f>IFERROR(SUMIFS(T_TTAFStock[TTAF_Qty],T_TTAFStock[RM_Code],$A636,T_TTAFStock[WeekIndex],39),"")</f>
        <v/>
      </c>
      <c r="AR740">
        <f>IFERROR(SUMIFS(T_TTAFStock[TTAF_Qty],T_TTAFStock[RM_Code],$A636,T_TTAFStock[WeekIndex],40),"")</f>
        <v/>
      </c>
      <c r="AS740">
        <f>IFERROR(SUMIFS(T_TTAFStock[TTAF_Qty],T_TTAFStock[RM_Code],$A636,T_TTAFStock[WeekIndex],41),"")</f>
        <v/>
      </c>
      <c r="AT740">
        <f>IFERROR(SUMIFS(T_TTAFStock[TTAF_Qty],T_TTAFStock[RM_Code],$A636,T_TTAFStock[WeekIndex],42),"")</f>
        <v/>
      </c>
      <c r="AU740">
        <f>IFERROR(SUMIFS(T_TTAFStock[TTAF_Qty],T_TTAFStock[RM_Code],$A636,T_TTAFStock[WeekIndex],43),"")</f>
        <v/>
      </c>
      <c r="AV740">
        <f>IFERROR(SUMIFS(T_TTAFStock[TTAF_Qty],T_TTAFStock[RM_Code],$A636,T_TTAFStock[WeekIndex],44),"")</f>
        <v/>
      </c>
      <c r="AW740">
        <f>IFERROR(SUMIFS(T_TTAFStock[TTAF_Qty],T_TTAFStock[RM_Code],$A636,T_TTAFStock[WeekIndex],45),"")</f>
        <v/>
      </c>
      <c r="AX740">
        <f>IFERROR(SUMIFS(T_TTAFStock[TTAF_Qty],T_TTAFStock[RM_Code],$A636,T_TTAFStock[WeekIndex],46),"")</f>
        <v/>
      </c>
      <c r="AY740">
        <f>IFERROR(SUMIFS(T_TTAFStock[TTAF_Qty],T_TTAFStock[RM_Code],$A636,T_TTAFStock[WeekIndex],47),"")</f>
        <v/>
      </c>
      <c r="AZ740">
        <f>IFERROR(SUMIFS(T_TTAFStock[TTAF_Qty],T_TTAFStock[RM_Code],$A636,T_TTAFStock[WeekIndex],48),"")</f>
        <v/>
      </c>
      <c r="BA740">
        <f>IFERROR(SUMIFS(T_TTAFStock[TTAF_Qty],T_TTAFStock[RM_Code],$A636,T_TTAFStock[WeekIndex],49),"")</f>
        <v/>
      </c>
      <c r="BB740">
        <f>IFERROR(SUMIFS(T_TTAFStock[TTAF_Qty],T_TTAFStock[RM_Code],$A636,T_TTAFStock[WeekIndex],50),"")</f>
        <v/>
      </c>
      <c r="BC740">
        <f>IFERROR(SUMIFS(T_TTAFStock[TTAF_Qty],T_TTAFStock[RM_Code],$A636,T_TTAFStock[WeekIndex],51),"")</f>
        <v/>
      </c>
      <c r="BD740">
        <f>IFERROR(SUMIFS(T_TTAFStock[TTAF_Qty],T_TTAFStock[RM_Code],$A636,T_TTAFStock[WeekIndex],52),"")</f>
        <v/>
      </c>
      <c r="BE740">
        <f>IFERROR(SUMIFS(T_TTAFStock[TTAF_Qty],T_TTAFStock[RM_Code],$A636,T_TTAFStock[WeekIndex],53),"")</f>
        <v/>
      </c>
      <c r="BF740">
        <f>IFERROR(SUMIFS(T_TTAFStock[TTAF_Qty],T_TTAFStock[RM_Code],$A636,T_TTAFStock[WeekIndex],54),"")</f>
        <v/>
      </c>
      <c r="BG740">
        <f>IFERROR(SUMIFS(T_TTAFStock[TTAF_Qty],T_TTAFStock[RM_Code],$A636,T_TTAFStock[WeekIndex],55),"")</f>
        <v/>
      </c>
      <c r="BH740">
        <f>IFERROR(SUMIFS(T_TTAFStock[TTAF_Qty],T_TTAFStock[RM_Code],$A636,T_TTAFStock[WeekIndex],56),"")</f>
        <v/>
      </c>
      <c r="BI740">
        <f>IFERROR(SUMIFS(T_TTAFStock[TTAF_Qty],T_TTAFStock[RM_Code],$A636,T_TTAFStock[WeekIndex],57),"")</f>
        <v/>
      </c>
      <c r="BJ740">
        <f>IFERROR(SUMIFS(T_TTAFStock[TTAF_Qty],T_TTAFStock[RM_Code],$A636,T_TTAFStock[WeekIndex],58),"")</f>
        <v/>
      </c>
      <c r="BK740">
        <f>IFERROR(SUMIFS(T_TTAFStock[TTAF_Qty],T_TTAFStock[RM_Code],$A636,T_TTAFStock[WeekIndex],59),"")</f>
        <v/>
      </c>
      <c r="BL740">
        <f>IFERROR(SUMIFS(T_TTAFStock[TTAF_Qty],T_TTAFStock[RM_Code],$A636,T_TTAFStock[WeekIndex],60),"")</f>
        <v/>
      </c>
      <c r="BM740">
        <f>IFERROR(SUMIFS(T_TTAFStock[TTAF_Qty],T_TTAFStock[RM_Code],$A636,T_TTAFStock[WeekIndex],61),"")</f>
        <v/>
      </c>
      <c r="BN740">
        <f>IFERROR(SUMIFS(T_TTAFStock[TTAF_Qty],T_TTAFStock[RM_Code],$A636,T_TTAFStock[WeekIndex],62),"")</f>
        <v/>
      </c>
      <c r="BO740">
        <f>IFERROR(SUMIFS(T_TTAFStock[TTAF_Qty],T_TTAFStock[RM_Code],$A636,T_TTAFStock[WeekIndex],63),"")</f>
        <v/>
      </c>
      <c r="BP740">
        <f>IFERROR(SUMIFS(T_TTAFStock[TTAF_Qty],T_TTAFStock[RM_Code],$A636,T_TTAFStock[WeekIndex],64),"")</f>
        <v/>
      </c>
      <c r="BQ740">
        <f>IFERROR(SUMIFS(T_TTAFStock[TTAF_Qty],T_TTAFStock[RM_Code],$A636,T_TTAFStock[WeekIndex],65),"")</f>
        <v/>
      </c>
      <c r="BR740">
        <f>IFERROR(SUMIFS(T_TTAFStock[TTAF_Qty],T_TTAFStock[RM_Code],$A636,T_TTAFStock[WeekIndex],66),"")</f>
        <v/>
      </c>
      <c r="BS740">
        <f>IFERROR(SUMIFS(T_TTAFStock[TTAF_Qty],T_TTAFStock[RM_Code],$A636,T_TTAFStock[WeekIndex],67),"")</f>
        <v/>
      </c>
      <c r="BT740">
        <f>IFERROR(SUMIFS(T_TTAFStock[TTAF_Qty],T_TTAFStock[RM_Code],$A636,T_TTAFStock[WeekIndex],68),"")</f>
        <v/>
      </c>
      <c r="BU740">
        <f>IFERROR(SUMIFS(T_TTAFStock[TTAF_Qty],T_TTAFStock[RM_Code],$A636,T_TTAFStock[WeekIndex],69),"")</f>
        <v/>
      </c>
      <c r="BV740">
        <f>IFERROR(SUMIFS(T_TTAFStock[TTAF_Qty],T_TTAFStock[RM_Code],$A636,T_TTAFStock[WeekIndex],70),"")</f>
        <v/>
      </c>
      <c r="BW740">
        <f>IFERROR(SUMIFS(T_TTAFStock[TTAF_Qty],T_TTAFStock[RM_Code],$A636,T_TTAFStock[WeekIndex],71),"")</f>
        <v/>
      </c>
      <c r="BX740">
        <f>IFERROR(SUMIFS(T_TTAFStock[TTAF_Qty],T_TTAFStock[RM_Code],$A636,T_TTAFStock[WeekIndex],72),"")</f>
        <v/>
      </c>
      <c r="BY740">
        <f>IFERROR(SUMIFS(T_TTAFStock[TTAF_Qty],T_TTAFStock[RM_Code],$A636,T_TTAFStock[WeekIndex],73),"")</f>
        <v/>
      </c>
      <c r="BZ740">
        <f>IFERROR(SUMIFS(T_TTAFStock[TTAF_Qty],T_TTAFStock[RM_Code],$A636,T_TTAFStock[WeekIndex],74),"")</f>
        <v/>
      </c>
      <c r="CA740">
        <f>IFERROR(SUMIFS(T_TTAFStock[TTAF_Qty],T_TTAFStock[RM_Code],$A636,T_TTAFStock[WeekIndex],75),"")</f>
        <v/>
      </c>
      <c r="CB740">
        <f>IFERROR(SUMIFS(T_TTAFStock[TTAF_Qty],T_TTAFStock[RM_Code],$A636,T_TTAFStock[WeekIndex],76),"")</f>
        <v/>
      </c>
      <c r="CC740">
        <f>IFERROR(SUMIFS(T_TTAFStock[TTAF_Qty],T_TTAFStock[RM_Code],$A636,T_TTAFStock[WeekIndex],77),"")</f>
        <v/>
      </c>
      <c r="CD740">
        <f>IFERROR(SUMIFS(T_TTAFStock[TTAF_Qty],T_TTAFStock[RM_Code],$A636,T_TTAFStock[WeekIndex],78),"")</f>
        <v/>
      </c>
      <c r="CE740">
        <f>IFERROR(SUMIFS(T_TTAFStock[TTAF_Qty],T_TTAFStock[RM_Code],$A636,T_TTAFStock[WeekIndex],79),"")</f>
        <v/>
      </c>
      <c r="CF740">
        <f>IFERROR(SUMIFS(T_TTAFStock[TTAF_Qty],T_TTAFStock[RM_Code],$A636,T_TTAFStock[WeekIndex],80),"")</f>
        <v/>
      </c>
      <c r="CG740">
        <f>IFERROR(SUMIFS(T_TTAFStock[TTAF_Qty],T_TTAFStock[RM_Code],$A636,T_TTAFStock[WeekIndex],81),"")</f>
        <v/>
      </c>
      <c r="CH740">
        <f>IFERROR(SUMIFS(T_TTAFStock[TTAF_Qty],T_TTAFStock[RM_Code],$A636,T_TTAFStock[WeekIndex],82),"")</f>
        <v/>
      </c>
      <c r="CI740">
        <f>IFERROR(SUMIFS(T_TTAFStock[TTAF_Qty],T_TTAFStock[RM_Code],$A636,T_TTAFStock[WeekIndex],83),"")</f>
        <v/>
      </c>
      <c r="CJ740">
        <f>IFERROR(SUMIFS(T_TTAFStock[TTAF_Qty],T_TTAFStock[RM_Code],$A636,T_TTAFStock[WeekIndex],84),"")</f>
        <v/>
      </c>
      <c r="CK740">
        <f>IFERROR(SUMIFS(T_TTAFStock[TTAF_Qty],T_TTAFStock[RM_Code],$A636,T_TTAFStock[WeekIndex],85),"")</f>
        <v/>
      </c>
      <c r="CL740">
        <f>IFERROR(SUMIFS(T_TTAFStock[TTAF_Qty],T_TTAFStock[RM_Code],$A636,T_TTAFStock[WeekIndex],86),"")</f>
        <v/>
      </c>
      <c r="CM740">
        <f>IFERROR(SUMIFS(T_TTAFStock[TTAF_Qty],T_TTAFStock[RM_Code],$A636,T_TTAFStock[WeekIndex],87),"")</f>
        <v/>
      </c>
      <c r="CN740">
        <f>IFERROR(SUMIFS(T_TTAFStock[TTAF_Qty],T_TTAFStock[RM_Code],$A636,T_TTAFStock[WeekIndex],88),"")</f>
        <v/>
      </c>
      <c r="CO740">
        <f>IFERROR(SUMIFS(T_TTAFStock[TTAF_Qty],T_TTAFStock[RM_Code],$A636,T_TTAFStock[WeekIndex],89),"")</f>
        <v/>
      </c>
      <c r="CP740">
        <f>IFERROR(SUMIFS(T_TTAFStock[TTAF_Qty],T_TTAFStock[RM_Code],$A636,T_TTAFStock[WeekIndex],90),"")</f>
        <v/>
      </c>
      <c r="CQ740">
        <f>IFERROR(SUMIFS(T_TTAFStock[TTAF_Qty],T_TTAFStock[RM_Code],$A636,T_TTAFStock[WeekIndex],91),"")</f>
        <v/>
      </c>
      <c r="CR740">
        <f>IFERROR(SUMIFS(T_TTAFStock[TTAF_Qty],T_TTAFStock[RM_Code],$A636,T_TTAFStock[WeekIndex],92),"")</f>
        <v/>
      </c>
      <c r="CS740">
        <f>IFERROR(SUMIFS(T_TTAFStock[TTAF_Qty],T_TTAFStock[RM_Code],$A636,T_TTAFStock[WeekIndex],93),"")</f>
        <v/>
      </c>
      <c r="CT740">
        <f>IFERROR(SUMIFS(T_TTAFStock[TTAF_Qty],T_TTAFStock[RM_Code],$A636,T_TTAFStock[WeekIndex],94),"")</f>
        <v/>
      </c>
      <c r="CU740">
        <f>IFERROR(SUMIFS(T_TTAFStock[TTAF_Qty],T_TTAFStock[RM_Code],$A636,T_TTAFStock[WeekIndex],95),"")</f>
        <v/>
      </c>
      <c r="CV740">
        <f>IFERROR(SUMIFS(T_TTAFStock[TTAF_Qty],T_TTAFStock[RM_Code],$A636,T_TTAFStock[WeekIndex],96),"")</f>
        <v/>
      </c>
      <c r="CW740">
        <f>IFERROR(SUMIFS(T_TTAFStock[TTAF_Qty],T_TTAFStock[RM_Code],$A636,T_TTAFStock[WeekIndex],97),"")</f>
        <v/>
      </c>
      <c r="CX740">
        <f>IFERROR(SUMIFS(T_TTAFStock[TTAF_Qty],T_TTAFStock[RM_Code],$A636,T_TTAFStock[WeekIndex],98),"")</f>
        <v/>
      </c>
      <c r="CY740">
        <f>IFERROR(SUMIFS(T_TTAFStock[TTAF_Qty],T_TTAFStock[RM_Code],$A636,T_TTAFStock[WeekIndex],99),"")</f>
        <v/>
      </c>
      <c r="CZ740">
        <f>IFERROR(SUMIFS(T_TTAFStock[TTAF_Qty],T_TTAFStock[RM_Code],$A636,T_TTAFStock[WeekIndex],100),"")</f>
        <v/>
      </c>
      <c r="DA740">
        <f>IFERROR(SUMIFS(T_TTAFStock[TTAF_Qty],T_TTAFStock[RM_Code],$A636,T_TTAFStock[WeekIndex],101),"")</f>
        <v/>
      </c>
      <c r="DB740">
        <f>IFERROR(SUMIFS(T_TTAFStock[TTAF_Qty],T_TTAFStock[RM_Code],$A636,T_TTAFStock[WeekIndex],102),"")</f>
        <v/>
      </c>
      <c r="DC740">
        <f>IFERROR(SUMIFS(T_TTAFStock[TTAF_Qty],T_TTAFStock[RM_Code],$A636,T_TTAFStock[WeekIndex],103),"")</f>
        <v/>
      </c>
      <c r="DD740">
        <f>IFERROR(SUMIFS(T_TTAFStock[TTAF_Qty],T_TTAFStock[RM_Code],$A636,T_TTAFStock[WeekIndex],104),"")</f>
        <v/>
      </c>
    </row>
    <row r="741">
      <c r="B741" t="inlineStr">
        <is>
          <t>自社在庫(実績,kg)</t>
        </is>
      </c>
      <c r="D741">
        <f>IFERROR(INDEX(E741:DD741,$F$1),"")</f>
        <v/>
      </c>
      <c r="E741">
        <f>IFERROR(SUMIFS(T_SelfStock[Self_Qty],T_SelfStock[RM_Code],$A636,T_SelfStock[WeekIndex],1),"")</f>
        <v/>
      </c>
      <c r="F741">
        <f>IFERROR(SUMIFS(T_SelfStock[Self_Qty],T_SelfStock[RM_Code],$A636,T_SelfStock[WeekIndex],2),"")</f>
        <v/>
      </c>
      <c r="G741">
        <f>IFERROR(SUMIFS(T_SelfStock[Self_Qty],T_SelfStock[RM_Code],$A636,T_SelfStock[WeekIndex],3),"")</f>
        <v/>
      </c>
      <c r="H741">
        <f>IFERROR(SUMIFS(T_SelfStock[Self_Qty],T_SelfStock[RM_Code],$A636,T_SelfStock[WeekIndex],4),"")</f>
        <v/>
      </c>
      <c r="I741">
        <f>IFERROR(SUMIFS(T_SelfStock[Self_Qty],T_SelfStock[RM_Code],$A636,T_SelfStock[WeekIndex],5),"")</f>
        <v/>
      </c>
      <c r="J741">
        <f>IFERROR(SUMIFS(T_SelfStock[Self_Qty],T_SelfStock[RM_Code],$A636,T_SelfStock[WeekIndex],6),"")</f>
        <v/>
      </c>
      <c r="K741">
        <f>IFERROR(SUMIFS(T_SelfStock[Self_Qty],T_SelfStock[RM_Code],$A636,T_SelfStock[WeekIndex],7),"")</f>
        <v/>
      </c>
      <c r="L741">
        <f>IFERROR(SUMIFS(T_SelfStock[Self_Qty],T_SelfStock[RM_Code],$A636,T_SelfStock[WeekIndex],8),"")</f>
        <v/>
      </c>
      <c r="M741">
        <f>IFERROR(SUMIFS(T_SelfStock[Self_Qty],T_SelfStock[RM_Code],$A636,T_SelfStock[WeekIndex],9),"")</f>
        <v/>
      </c>
      <c r="N741">
        <f>IFERROR(SUMIFS(T_SelfStock[Self_Qty],T_SelfStock[RM_Code],$A636,T_SelfStock[WeekIndex],10),"")</f>
        <v/>
      </c>
      <c r="O741">
        <f>IFERROR(SUMIFS(T_SelfStock[Self_Qty],T_SelfStock[RM_Code],$A636,T_SelfStock[WeekIndex],11),"")</f>
        <v/>
      </c>
      <c r="P741">
        <f>IFERROR(SUMIFS(T_SelfStock[Self_Qty],T_SelfStock[RM_Code],$A636,T_SelfStock[WeekIndex],12),"")</f>
        <v/>
      </c>
      <c r="Q741">
        <f>IFERROR(SUMIFS(T_SelfStock[Self_Qty],T_SelfStock[RM_Code],$A636,T_SelfStock[WeekIndex],13),"")</f>
        <v/>
      </c>
      <c r="R741">
        <f>IFERROR(SUMIFS(T_SelfStock[Self_Qty],T_SelfStock[RM_Code],$A636,T_SelfStock[WeekIndex],14),"")</f>
        <v/>
      </c>
      <c r="S741">
        <f>IFERROR(SUMIFS(T_SelfStock[Self_Qty],T_SelfStock[RM_Code],$A636,T_SelfStock[WeekIndex],15),"")</f>
        <v/>
      </c>
      <c r="T741">
        <f>IFERROR(SUMIFS(T_SelfStock[Self_Qty],T_SelfStock[RM_Code],$A636,T_SelfStock[WeekIndex],16),"")</f>
        <v/>
      </c>
      <c r="U741">
        <f>IFERROR(SUMIFS(T_SelfStock[Self_Qty],T_SelfStock[RM_Code],$A636,T_SelfStock[WeekIndex],17),"")</f>
        <v/>
      </c>
      <c r="V741">
        <f>IFERROR(SUMIFS(T_SelfStock[Self_Qty],T_SelfStock[RM_Code],$A636,T_SelfStock[WeekIndex],18),"")</f>
        <v/>
      </c>
      <c r="W741">
        <f>IFERROR(SUMIFS(T_SelfStock[Self_Qty],T_SelfStock[RM_Code],$A636,T_SelfStock[WeekIndex],19),"")</f>
        <v/>
      </c>
      <c r="X741">
        <f>IFERROR(SUMIFS(T_SelfStock[Self_Qty],T_SelfStock[RM_Code],$A636,T_SelfStock[WeekIndex],20),"")</f>
        <v/>
      </c>
      <c r="Y741">
        <f>IFERROR(SUMIFS(T_SelfStock[Self_Qty],T_SelfStock[RM_Code],$A636,T_SelfStock[WeekIndex],21),"")</f>
        <v/>
      </c>
      <c r="Z741">
        <f>IFERROR(SUMIFS(T_SelfStock[Self_Qty],T_SelfStock[RM_Code],$A636,T_SelfStock[WeekIndex],22),"")</f>
        <v/>
      </c>
      <c r="AA741">
        <f>IFERROR(SUMIFS(T_SelfStock[Self_Qty],T_SelfStock[RM_Code],$A636,T_SelfStock[WeekIndex],23),"")</f>
        <v/>
      </c>
      <c r="AB741">
        <f>IFERROR(SUMIFS(T_SelfStock[Self_Qty],T_SelfStock[RM_Code],$A636,T_SelfStock[WeekIndex],24),"")</f>
        <v/>
      </c>
      <c r="AC741">
        <f>IFERROR(SUMIFS(T_SelfStock[Self_Qty],T_SelfStock[RM_Code],$A636,T_SelfStock[WeekIndex],25),"")</f>
        <v/>
      </c>
      <c r="AD741">
        <f>IFERROR(SUMIFS(T_SelfStock[Self_Qty],T_SelfStock[RM_Code],$A636,T_SelfStock[WeekIndex],26),"")</f>
        <v/>
      </c>
      <c r="AE741">
        <f>IFERROR(SUMIFS(T_SelfStock[Self_Qty],T_SelfStock[RM_Code],$A636,T_SelfStock[WeekIndex],27),"")</f>
        <v/>
      </c>
      <c r="AF741">
        <f>IFERROR(SUMIFS(T_SelfStock[Self_Qty],T_SelfStock[RM_Code],$A636,T_SelfStock[WeekIndex],28),"")</f>
        <v/>
      </c>
      <c r="AG741">
        <f>IFERROR(SUMIFS(T_SelfStock[Self_Qty],T_SelfStock[RM_Code],$A636,T_SelfStock[WeekIndex],29),"")</f>
        <v/>
      </c>
      <c r="AH741">
        <f>IFERROR(SUMIFS(T_SelfStock[Self_Qty],T_SelfStock[RM_Code],$A636,T_SelfStock[WeekIndex],30),"")</f>
        <v/>
      </c>
      <c r="AI741">
        <f>IFERROR(SUMIFS(T_SelfStock[Self_Qty],T_SelfStock[RM_Code],$A636,T_SelfStock[WeekIndex],31),"")</f>
        <v/>
      </c>
      <c r="AJ741">
        <f>IFERROR(SUMIFS(T_SelfStock[Self_Qty],T_SelfStock[RM_Code],$A636,T_SelfStock[WeekIndex],32),"")</f>
        <v/>
      </c>
      <c r="AK741">
        <f>IFERROR(SUMIFS(T_SelfStock[Self_Qty],T_SelfStock[RM_Code],$A636,T_SelfStock[WeekIndex],33),"")</f>
        <v/>
      </c>
      <c r="AL741">
        <f>IFERROR(SUMIFS(T_SelfStock[Self_Qty],T_SelfStock[RM_Code],$A636,T_SelfStock[WeekIndex],34),"")</f>
        <v/>
      </c>
      <c r="AM741">
        <f>IFERROR(SUMIFS(T_SelfStock[Self_Qty],T_SelfStock[RM_Code],$A636,T_SelfStock[WeekIndex],35),"")</f>
        <v/>
      </c>
      <c r="AN741">
        <f>IFERROR(SUMIFS(T_SelfStock[Self_Qty],T_SelfStock[RM_Code],$A636,T_SelfStock[WeekIndex],36),"")</f>
        <v/>
      </c>
      <c r="AO741">
        <f>IFERROR(SUMIFS(T_SelfStock[Self_Qty],T_SelfStock[RM_Code],$A636,T_SelfStock[WeekIndex],37),"")</f>
        <v/>
      </c>
      <c r="AP741">
        <f>IFERROR(SUMIFS(T_SelfStock[Self_Qty],T_SelfStock[RM_Code],$A636,T_SelfStock[WeekIndex],38),"")</f>
        <v/>
      </c>
      <c r="AQ741">
        <f>IFERROR(SUMIFS(T_SelfStock[Self_Qty],T_SelfStock[RM_Code],$A636,T_SelfStock[WeekIndex],39),"")</f>
        <v/>
      </c>
      <c r="AR741">
        <f>IFERROR(SUMIFS(T_SelfStock[Self_Qty],T_SelfStock[RM_Code],$A636,T_SelfStock[WeekIndex],40),"")</f>
        <v/>
      </c>
      <c r="AS741">
        <f>IFERROR(SUMIFS(T_SelfStock[Self_Qty],T_SelfStock[RM_Code],$A636,T_SelfStock[WeekIndex],41),"")</f>
        <v/>
      </c>
      <c r="AT741">
        <f>IFERROR(SUMIFS(T_SelfStock[Self_Qty],T_SelfStock[RM_Code],$A636,T_SelfStock[WeekIndex],42),"")</f>
        <v/>
      </c>
      <c r="AU741">
        <f>IFERROR(SUMIFS(T_SelfStock[Self_Qty],T_SelfStock[RM_Code],$A636,T_SelfStock[WeekIndex],43),"")</f>
        <v/>
      </c>
      <c r="AV741">
        <f>IFERROR(SUMIFS(T_SelfStock[Self_Qty],T_SelfStock[RM_Code],$A636,T_SelfStock[WeekIndex],44),"")</f>
        <v/>
      </c>
      <c r="AW741">
        <f>IFERROR(SUMIFS(T_SelfStock[Self_Qty],T_SelfStock[RM_Code],$A636,T_SelfStock[WeekIndex],45),"")</f>
        <v/>
      </c>
      <c r="AX741">
        <f>IFERROR(SUMIFS(T_SelfStock[Self_Qty],T_SelfStock[RM_Code],$A636,T_SelfStock[WeekIndex],46),"")</f>
        <v/>
      </c>
      <c r="AY741">
        <f>IFERROR(SUMIFS(T_SelfStock[Self_Qty],T_SelfStock[RM_Code],$A636,T_SelfStock[WeekIndex],47),"")</f>
        <v/>
      </c>
      <c r="AZ741">
        <f>IFERROR(SUMIFS(T_SelfStock[Self_Qty],T_SelfStock[RM_Code],$A636,T_SelfStock[WeekIndex],48),"")</f>
        <v/>
      </c>
      <c r="BA741">
        <f>IFERROR(SUMIFS(T_SelfStock[Self_Qty],T_SelfStock[RM_Code],$A636,T_SelfStock[WeekIndex],49),"")</f>
        <v/>
      </c>
      <c r="BB741">
        <f>IFERROR(SUMIFS(T_SelfStock[Self_Qty],T_SelfStock[RM_Code],$A636,T_SelfStock[WeekIndex],50),"")</f>
        <v/>
      </c>
      <c r="BC741">
        <f>IFERROR(SUMIFS(T_SelfStock[Self_Qty],T_SelfStock[RM_Code],$A636,T_SelfStock[WeekIndex],51),"")</f>
        <v/>
      </c>
      <c r="BD741">
        <f>IFERROR(SUMIFS(T_SelfStock[Self_Qty],T_SelfStock[RM_Code],$A636,T_SelfStock[WeekIndex],52),"")</f>
        <v/>
      </c>
      <c r="BE741">
        <f>IFERROR(SUMIFS(T_SelfStock[Self_Qty],T_SelfStock[RM_Code],$A636,T_SelfStock[WeekIndex],53),"")</f>
        <v/>
      </c>
      <c r="BF741">
        <f>IFERROR(SUMIFS(T_SelfStock[Self_Qty],T_SelfStock[RM_Code],$A636,T_SelfStock[WeekIndex],54),"")</f>
        <v/>
      </c>
      <c r="BG741">
        <f>IFERROR(SUMIFS(T_SelfStock[Self_Qty],T_SelfStock[RM_Code],$A636,T_SelfStock[WeekIndex],55),"")</f>
        <v/>
      </c>
      <c r="BH741">
        <f>IFERROR(SUMIFS(T_SelfStock[Self_Qty],T_SelfStock[RM_Code],$A636,T_SelfStock[WeekIndex],56),"")</f>
        <v/>
      </c>
      <c r="BI741">
        <f>IFERROR(SUMIFS(T_SelfStock[Self_Qty],T_SelfStock[RM_Code],$A636,T_SelfStock[WeekIndex],57),"")</f>
        <v/>
      </c>
      <c r="BJ741">
        <f>IFERROR(SUMIFS(T_SelfStock[Self_Qty],T_SelfStock[RM_Code],$A636,T_SelfStock[WeekIndex],58),"")</f>
        <v/>
      </c>
      <c r="BK741">
        <f>IFERROR(SUMIFS(T_SelfStock[Self_Qty],T_SelfStock[RM_Code],$A636,T_SelfStock[WeekIndex],59),"")</f>
        <v/>
      </c>
      <c r="BL741">
        <f>IFERROR(SUMIFS(T_SelfStock[Self_Qty],T_SelfStock[RM_Code],$A636,T_SelfStock[WeekIndex],60),"")</f>
        <v/>
      </c>
      <c r="BM741">
        <f>IFERROR(SUMIFS(T_SelfStock[Self_Qty],T_SelfStock[RM_Code],$A636,T_SelfStock[WeekIndex],61),"")</f>
        <v/>
      </c>
      <c r="BN741">
        <f>IFERROR(SUMIFS(T_SelfStock[Self_Qty],T_SelfStock[RM_Code],$A636,T_SelfStock[WeekIndex],62),"")</f>
        <v/>
      </c>
      <c r="BO741">
        <f>IFERROR(SUMIFS(T_SelfStock[Self_Qty],T_SelfStock[RM_Code],$A636,T_SelfStock[WeekIndex],63),"")</f>
        <v/>
      </c>
      <c r="BP741">
        <f>IFERROR(SUMIFS(T_SelfStock[Self_Qty],T_SelfStock[RM_Code],$A636,T_SelfStock[WeekIndex],64),"")</f>
        <v/>
      </c>
      <c r="BQ741">
        <f>IFERROR(SUMIFS(T_SelfStock[Self_Qty],T_SelfStock[RM_Code],$A636,T_SelfStock[WeekIndex],65),"")</f>
        <v/>
      </c>
      <c r="BR741">
        <f>IFERROR(SUMIFS(T_SelfStock[Self_Qty],T_SelfStock[RM_Code],$A636,T_SelfStock[WeekIndex],66),"")</f>
        <v/>
      </c>
      <c r="BS741">
        <f>IFERROR(SUMIFS(T_SelfStock[Self_Qty],T_SelfStock[RM_Code],$A636,T_SelfStock[WeekIndex],67),"")</f>
        <v/>
      </c>
      <c r="BT741">
        <f>IFERROR(SUMIFS(T_SelfStock[Self_Qty],T_SelfStock[RM_Code],$A636,T_SelfStock[WeekIndex],68),"")</f>
        <v/>
      </c>
      <c r="BU741">
        <f>IFERROR(SUMIFS(T_SelfStock[Self_Qty],T_SelfStock[RM_Code],$A636,T_SelfStock[WeekIndex],69),"")</f>
        <v/>
      </c>
      <c r="BV741">
        <f>IFERROR(SUMIFS(T_SelfStock[Self_Qty],T_SelfStock[RM_Code],$A636,T_SelfStock[WeekIndex],70),"")</f>
        <v/>
      </c>
      <c r="BW741">
        <f>IFERROR(SUMIFS(T_SelfStock[Self_Qty],T_SelfStock[RM_Code],$A636,T_SelfStock[WeekIndex],71),"")</f>
        <v/>
      </c>
      <c r="BX741">
        <f>IFERROR(SUMIFS(T_SelfStock[Self_Qty],T_SelfStock[RM_Code],$A636,T_SelfStock[WeekIndex],72),"")</f>
        <v/>
      </c>
      <c r="BY741">
        <f>IFERROR(SUMIFS(T_SelfStock[Self_Qty],T_SelfStock[RM_Code],$A636,T_SelfStock[WeekIndex],73),"")</f>
        <v/>
      </c>
      <c r="BZ741">
        <f>IFERROR(SUMIFS(T_SelfStock[Self_Qty],T_SelfStock[RM_Code],$A636,T_SelfStock[WeekIndex],74),"")</f>
        <v/>
      </c>
      <c r="CA741">
        <f>IFERROR(SUMIFS(T_SelfStock[Self_Qty],T_SelfStock[RM_Code],$A636,T_SelfStock[WeekIndex],75),"")</f>
        <v/>
      </c>
      <c r="CB741">
        <f>IFERROR(SUMIFS(T_SelfStock[Self_Qty],T_SelfStock[RM_Code],$A636,T_SelfStock[WeekIndex],76),"")</f>
        <v/>
      </c>
      <c r="CC741">
        <f>IFERROR(SUMIFS(T_SelfStock[Self_Qty],T_SelfStock[RM_Code],$A636,T_SelfStock[WeekIndex],77),"")</f>
        <v/>
      </c>
      <c r="CD741">
        <f>IFERROR(SUMIFS(T_SelfStock[Self_Qty],T_SelfStock[RM_Code],$A636,T_SelfStock[WeekIndex],78),"")</f>
        <v/>
      </c>
      <c r="CE741">
        <f>IFERROR(SUMIFS(T_SelfStock[Self_Qty],T_SelfStock[RM_Code],$A636,T_SelfStock[WeekIndex],79),"")</f>
        <v/>
      </c>
      <c r="CF741">
        <f>IFERROR(SUMIFS(T_SelfStock[Self_Qty],T_SelfStock[RM_Code],$A636,T_SelfStock[WeekIndex],80),"")</f>
        <v/>
      </c>
      <c r="CG741">
        <f>IFERROR(SUMIFS(T_SelfStock[Self_Qty],T_SelfStock[RM_Code],$A636,T_SelfStock[WeekIndex],81),"")</f>
        <v/>
      </c>
      <c r="CH741">
        <f>IFERROR(SUMIFS(T_SelfStock[Self_Qty],T_SelfStock[RM_Code],$A636,T_SelfStock[WeekIndex],82),"")</f>
        <v/>
      </c>
      <c r="CI741">
        <f>IFERROR(SUMIFS(T_SelfStock[Self_Qty],T_SelfStock[RM_Code],$A636,T_SelfStock[WeekIndex],83),"")</f>
        <v/>
      </c>
      <c r="CJ741">
        <f>IFERROR(SUMIFS(T_SelfStock[Self_Qty],T_SelfStock[RM_Code],$A636,T_SelfStock[WeekIndex],84),"")</f>
        <v/>
      </c>
      <c r="CK741">
        <f>IFERROR(SUMIFS(T_SelfStock[Self_Qty],T_SelfStock[RM_Code],$A636,T_SelfStock[WeekIndex],85),"")</f>
        <v/>
      </c>
      <c r="CL741">
        <f>IFERROR(SUMIFS(T_SelfStock[Self_Qty],T_SelfStock[RM_Code],$A636,T_SelfStock[WeekIndex],86),"")</f>
        <v/>
      </c>
      <c r="CM741">
        <f>IFERROR(SUMIFS(T_SelfStock[Self_Qty],T_SelfStock[RM_Code],$A636,T_SelfStock[WeekIndex],87),"")</f>
        <v/>
      </c>
      <c r="CN741">
        <f>IFERROR(SUMIFS(T_SelfStock[Self_Qty],T_SelfStock[RM_Code],$A636,T_SelfStock[WeekIndex],88),"")</f>
        <v/>
      </c>
      <c r="CO741">
        <f>IFERROR(SUMIFS(T_SelfStock[Self_Qty],T_SelfStock[RM_Code],$A636,T_SelfStock[WeekIndex],89),"")</f>
        <v/>
      </c>
      <c r="CP741">
        <f>IFERROR(SUMIFS(T_SelfStock[Self_Qty],T_SelfStock[RM_Code],$A636,T_SelfStock[WeekIndex],90),"")</f>
        <v/>
      </c>
      <c r="CQ741">
        <f>IFERROR(SUMIFS(T_SelfStock[Self_Qty],T_SelfStock[RM_Code],$A636,T_SelfStock[WeekIndex],91),"")</f>
        <v/>
      </c>
      <c r="CR741">
        <f>IFERROR(SUMIFS(T_SelfStock[Self_Qty],T_SelfStock[RM_Code],$A636,T_SelfStock[WeekIndex],92),"")</f>
        <v/>
      </c>
      <c r="CS741">
        <f>IFERROR(SUMIFS(T_SelfStock[Self_Qty],T_SelfStock[RM_Code],$A636,T_SelfStock[WeekIndex],93),"")</f>
        <v/>
      </c>
      <c r="CT741">
        <f>IFERROR(SUMIFS(T_SelfStock[Self_Qty],T_SelfStock[RM_Code],$A636,T_SelfStock[WeekIndex],94),"")</f>
        <v/>
      </c>
      <c r="CU741">
        <f>IFERROR(SUMIFS(T_SelfStock[Self_Qty],T_SelfStock[RM_Code],$A636,T_SelfStock[WeekIndex],95),"")</f>
        <v/>
      </c>
      <c r="CV741">
        <f>IFERROR(SUMIFS(T_SelfStock[Self_Qty],T_SelfStock[RM_Code],$A636,T_SelfStock[WeekIndex],96),"")</f>
        <v/>
      </c>
      <c r="CW741">
        <f>IFERROR(SUMIFS(T_SelfStock[Self_Qty],T_SelfStock[RM_Code],$A636,T_SelfStock[WeekIndex],97),"")</f>
        <v/>
      </c>
      <c r="CX741">
        <f>IFERROR(SUMIFS(T_SelfStock[Self_Qty],T_SelfStock[RM_Code],$A636,T_SelfStock[WeekIndex],98),"")</f>
        <v/>
      </c>
      <c r="CY741">
        <f>IFERROR(SUMIFS(T_SelfStock[Self_Qty],T_SelfStock[RM_Code],$A636,T_SelfStock[WeekIndex],99),"")</f>
        <v/>
      </c>
      <c r="CZ741">
        <f>IFERROR(SUMIFS(T_SelfStock[Self_Qty],T_SelfStock[RM_Code],$A636,T_SelfStock[WeekIndex],100),"")</f>
        <v/>
      </c>
      <c r="DA741">
        <f>IFERROR(SUMIFS(T_SelfStock[Self_Qty],T_SelfStock[RM_Code],$A636,T_SelfStock[WeekIndex],101),"")</f>
        <v/>
      </c>
      <c r="DB741">
        <f>IFERROR(SUMIFS(T_SelfStock[Self_Qty],T_SelfStock[RM_Code],$A636,T_SelfStock[WeekIndex],102),"")</f>
        <v/>
      </c>
      <c r="DC741">
        <f>IFERROR(SUMIFS(T_SelfStock[Self_Qty],T_SelfStock[RM_Code],$A636,T_SelfStock[WeekIndex],103),"")</f>
        <v/>
      </c>
      <c r="DD741">
        <f>IFERROR(SUMIFS(T_SelfStock[Self_Qty],T_SelfStock[RM_Code],$A636,T_SelfStock[WeekIndex],104),"")</f>
        <v/>
      </c>
    </row>
    <row r="742">
      <c r="B742" s="4" t="inlineStr">
        <is>
          <t>合計在庫(週末時点,kg)</t>
        </is>
      </c>
      <c r="D742" s="24">
        <f>IFERROR(INDEX(E742:DD742,$F$1),"")</f>
        <v/>
      </c>
      <c r="E742">
        <f>'Grid_Stock'!B18</f>
        <v/>
      </c>
      <c r="F742">
        <f>'Grid_Stock'!C18</f>
        <v/>
      </c>
      <c r="G742">
        <f>'Grid_Stock'!D18</f>
        <v/>
      </c>
      <c r="H742">
        <f>'Grid_Stock'!E18</f>
        <v/>
      </c>
      <c r="I742">
        <f>'Grid_Stock'!F18</f>
        <v/>
      </c>
      <c r="J742">
        <f>'Grid_Stock'!G18</f>
        <v/>
      </c>
      <c r="K742">
        <f>'Grid_Stock'!H18</f>
        <v/>
      </c>
      <c r="L742">
        <f>'Grid_Stock'!I18</f>
        <v/>
      </c>
      <c r="M742">
        <f>'Grid_Stock'!J18</f>
        <v/>
      </c>
      <c r="N742">
        <f>'Grid_Stock'!K18</f>
        <v/>
      </c>
      <c r="O742">
        <f>'Grid_Stock'!L18</f>
        <v/>
      </c>
      <c r="P742">
        <f>'Grid_Stock'!M18</f>
        <v/>
      </c>
      <c r="Q742">
        <f>'Grid_Stock'!N18</f>
        <v/>
      </c>
      <c r="R742">
        <f>'Grid_Stock'!O18</f>
        <v/>
      </c>
      <c r="S742">
        <f>'Grid_Stock'!P18</f>
        <v/>
      </c>
      <c r="T742">
        <f>'Grid_Stock'!Q18</f>
        <v/>
      </c>
      <c r="U742">
        <f>'Grid_Stock'!R18</f>
        <v/>
      </c>
      <c r="V742">
        <f>'Grid_Stock'!S18</f>
        <v/>
      </c>
      <c r="W742">
        <f>'Grid_Stock'!T18</f>
        <v/>
      </c>
      <c r="X742">
        <f>'Grid_Stock'!U18</f>
        <v/>
      </c>
      <c r="Y742">
        <f>'Grid_Stock'!V18</f>
        <v/>
      </c>
      <c r="Z742">
        <f>'Grid_Stock'!W18</f>
        <v/>
      </c>
      <c r="AA742">
        <f>'Grid_Stock'!X18</f>
        <v/>
      </c>
      <c r="AB742">
        <f>'Grid_Stock'!Y18</f>
        <v/>
      </c>
      <c r="AC742">
        <f>'Grid_Stock'!Z18</f>
        <v/>
      </c>
      <c r="AD742">
        <f>'Grid_Stock'!AA18</f>
        <v/>
      </c>
      <c r="AE742">
        <f>'Grid_Stock'!AB18</f>
        <v/>
      </c>
      <c r="AF742">
        <f>'Grid_Stock'!AC18</f>
        <v/>
      </c>
      <c r="AG742">
        <f>'Grid_Stock'!AD18</f>
        <v/>
      </c>
      <c r="AH742">
        <f>'Grid_Stock'!AE18</f>
        <v/>
      </c>
      <c r="AI742">
        <f>'Grid_Stock'!AF18</f>
        <v/>
      </c>
      <c r="AJ742">
        <f>'Grid_Stock'!AG18</f>
        <v/>
      </c>
      <c r="AK742">
        <f>'Grid_Stock'!AH18</f>
        <v/>
      </c>
      <c r="AL742">
        <f>'Grid_Stock'!AI18</f>
        <v/>
      </c>
      <c r="AM742">
        <f>'Grid_Stock'!AJ18</f>
        <v/>
      </c>
      <c r="AN742">
        <f>'Grid_Stock'!AK18</f>
        <v/>
      </c>
      <c r="AO742">
        <f>'Grid_Stock'!AL18</f>
        <v/>
      </c>
      <c r="AP742">
        <f>'Grid_Stock'!AM18</f>
        <v/>
      </c>
      <c r="AQ742">
        <f>'Grid_Stock'!AN18</f>
        <v/>
      </c>
      <c r="AR742">
        <f>'Grid_Stock'!AO18</f>
        <v/>
      </c>
      <c r="AS742">
        <f>'Grid_Stock'!AP18</f>
        <v/>
      </c>
      <c r="AT742">
        <f>'Grid_Stock'!AQ18</f>
        <v/>
      </c>
      <c r="AU742">
        <f>'Grid_Stock'!AR18</f>
        <v/>
      </c>
      <c r="AV742">
        <f>'Grid_Stock'!AS18</f>
        <v/>
      </c>
      <c r="AW742">
        <f>'Grid_Stock'!AT18</f>
        <v/>
      </c>
      <c r="AX742">
        <f>'Grid_Stock'!AU18</f>
        <v/>
      </c>
      <c r="AY742">
        <f>'Grid_Stock'!AV18</f>
        <v/>
      </c>
      <c r="AZ742">
        <f>'Grid_Stock'!AW18</f>
        <v/>
      </c>
      <c r="BA742">
        <f>'Grid_Stock'!AX18</f>
        <v/>
      </c>
      <c r="BB742">
        <f>'Grid_Stock'!AY18</f>
        <v/>
      </c>
      <c r="BC742">
        <f>'Grid_Stock'!AZ18</f>
        <v/>
      </c>
      <c r="BD742">
        <f>'Grid_Stock'!BA18</f>
        <v/>
      </c>
      <c r="BE742">
        <f>'Grid_Stock'!BB18</f>
        <v/>
      </c>
      <c r="BF742">
        <f>'Grid_Stock'!BC18</f>
        <v/>
      </c>
      <c r="BG742">
        <f>'Grid_Stock'!BD18</f>
        <v/>
      </c>
      <c r="BH742">
        <f>'Grid_Stock'!BE18</f>
        <v/>
      </c>
      <c r="BI742">
        <f>'Grid_Stock'!BF18</f>
        <v/>
      </c>
      <c r="BJ742">
        <f>'Grid_Stock'!BG18</f>
        <v/>
      </c>
      <c r="BK742">
        <f>'Grid_Stock'!BH18</f>
        <v/>
      </c>
      <c r="BL742">
        <f>'Grid_Stock'!BI18</f>
        <v/>
      </c>
      <c r="BM742">
        <f>'Grid_Stock'!BJ18</f>
        <v/>
      </c>
      <c r="BN742">
        <f>'Grid_Stock'!BK18</f>
        <v/>
      </c>
      <c r="BO742">
        <f>'Grid_Stock'!BL18</f>
        <v/>
      </c>
      <c r="BP742">
        <f>'Grid_Stock'!BM18</f>
        <v/>
      </c>
      <c r="BQ742">
        <f>'Grid_Stock'!BN18</f>
        <v/>
      </c>
      <c r="BR742">
        <f>'Grid_Stock'!BO18</f>
        <v/>
      </c>
      <c r="BS742">
        <f>'Grid_Stock'!BP18</f>
        <v/>
      </c>
      <c r="BT742">
        <f>'Grid_Stock'!BQ18</f>
        <v/>
      </c>
      <c r="BU742">
        <f>'Grid_Stock'!BR18</f>
        <v/>
      </c>
      <c r="BV742">
        <f>'Grid_Stock'!BS18</f>
        <v/>
      </c>
      <c r="BW742">
        <f>'Grid_Stock'!BT18</f>
        <v/>
      </c>
      <c r="BX742">
        <f>'Grid_Stock'!BU18</f>
        <v/>
      </c>
      <c r="BY742">
        <f>'Grid_Stock'!BV18</f>
        <v/>
      </c>
      <c r="BZ742">
        <f>'Grid_Stock'!BW18</f>
        <v/>
      </c>
      <c r="CA742">
        <f>'Grid_Stock'!BX18</f>
        <v/>
      </c>
      <c r="CB742">
        <f>'Grid_Stock'!BY18</f>
        <v/>
      </c>
      <c r="CC742">
        <f>'Grid_Stock'!BZ18</f>
        <v/>
      </c>
      <c r="CD742">
        <f>'Grid_Stock'!CA18</f>
        <v/>
      </c>
      <c r="CE742">
        <f>'Grid_Stock'!CB18</f>
        <v/>
      </c>
      <c r="CF742">
        <f>'Grid_Stock'!CC18</f>
        <v/>
      </c>
      <c r="CG742">
        <f>'Grid_Stock'!CD18</f>
        <v/>
      </c>
      <c r="CH742">
        <f>'Grid_Stock'!CE18</f>
        <v/>
      </c>
      <c r="CI742">
        <f>'Grid_Stock'!CF18</f>
        <v/>
      </c>
      <c r="CJ742">
        <f>'Grid_Stock'!CG18</f>
        <v/>
      </c>
      <c r="CK742">
        <f>'Grid_Stock'!CH18</f>
        <v/>
      </c>
      <c r="CL742">
        <f>'Grid_Stock'!CI18</f>
        <v/>
      </c>
      <c r="CM742">
        <f>'Grid_Stock'!CJ18</f>
        <v/>
      </c>
      <c r="CN742">
        <f>'Grid_Stock'!CK18</f>
        <v/>
      </c>
      <c r="CO742">
        <f>'Grid_Stock'!CL18</f>
        <v/>
      </c>
      <c r="CP742">
        <f>'Grid_Stock'!CM18</f>
        <v/>
      </c>
      <c r="CQ742">
        <f>'Grid_Stock'!CN18</f>
        <v/>
      </c>
      <c r="CR742">
        <f>'Grid_Stock'!CO18</f>
        <v/>
      </c>
      <c r="CS742">
        <f>'Grid_Stock'!CP18</f>
        <v/>
      </c>
      <c r="CT742">
        <f>'Grid_Stock'!CQ18</f>
        <v/>
      </c>
      <c r="CU742">
        <f>'Grid_Stock'!CR18</f>
        <v/>
      </c>
      <c r="CV742">
        <f>'Grid_Stock'!CS18</f>
        <v/>
      </c>
      <c r="CW742">
        <f>'Grid_Stock'!CT18</f>
        <v/>
      </c>
      <c r="CX742">
        <f>'Grid_Stock'!CU18</f>
        <v/>
      </c>
      <c r="CY742">
        <f>'Grid_Stock'!CV18</f>
        <v/>
      </c>
      <c r="CZ742">
        <f>'Grid_Stock'!CW18</f>
        <v/>
      </c>
      <c r="DA742">
        <f>'Grid_Stock'!CX18</f>
        <v/>
      </c>
      <c r="DB742">
        <f>'Grid_Stock'!CY18</f>
        <v/>
      </c>
      <c r="DC742">
        <f>'Grid_Stock'!CZ18</f>
        <v/>
      </c>
      <c r="DD742">
        <f>'Grid_Stock'!DA18</f>
        <v/>
      </c>
    </row>
    <row r="743">
      <c r="B743" s="25" t="inlineStr">
        <is>
          <t>（発注の目安はDashboardの基準在庫[下限/上限]と色分けを参照）</t>
        </is>
      </c>
    </row>
    <row r="745">
      <c r="A745" s="21" t="inlineStr">
        <is>
          <t>CHEM-1430</t>
        </is>
      </c>
      <c r="B745" s="21" t="inlineStr">
        <is>
          <t>RCT22</t>
        </is>
      </c>
      <c r="C745" s="22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  <c r="AA745" s="21" t="n"/>
      <c r="AB745" s="21" t="n"/>
      <c r="AC745" s="21" t="n"/>
      <c r="AD745" s="21" t="n"/>
      <c r="AE745" s="21" t="n"/>
      <c r="AF745" s="21" t="n"/>
      <c r="AG745" s="21" t="n"/>
      <c r="AH745" s="21" t="n"/>
      <c r="AI745" s="21" t="n"/>
      <c r="AJ745" s="21" t="n"/>
      <c r="AK745" s="21" t="n"/>
      <c r="AL745" s="21" t="n"/>
      <c r="AM745" s="21" t="n"/>
      <c r="AN745" s="21" t="n"/>
      <c r="AO745" s="21" t="n"/>
      <c r="AP745" s="21" t="n"/>
      <c r="AQ745" s="21" t="n"/>
      <c r="AR745" s="21" t="n"/>
      <c r="AS745" s="21" t="n"/>
      <c r="AT745" s="21" t="n"/>
      <c r="AU745" s="21" t="n"/>
      <c r="AV745" s="21" t="n"/>
      <c r="AW745" s="21" t="n"/>
      <c r="AX745" s="21" t="n"/>
      <c r="AY745" s="21" t="n"/>
      <c r="AZ745" s="21" t="n"/>
      <c r="BA745" s="21" t="n"/>
      <c r="BB745" s="21" t="n"/>
      <c r="BC745" s="21" t="n"/>
      <c r="BD745" s="21" t="n"/>
      <c r="BE745" s="21" t="n"/>
      <c r="BF745" s="21" t="n"/>
      <c r="BG745" s="21" t="n"/>
      <c r="BH745" s="21" t="n"/>
      <c r="BI745" s="21" t="n"/>
      <c r="BJ745" s="21" t="n"/>
      <c r="BK745" s="21" t="n"/>
      <c r="BL745" s="21" t="n"/>
      <c r="BM745" s="21" t="n"/>
      <c r="BN745" s="21" t="n"/>
      <c r="BO745" s="21" t="n"/>
      <c r="BP745" s="21" t="n"/>
      <c r="BQ745" s="21" t="n"/>
      <c r="BR745" s="21" t="n"/>
      <c r="BS745" s="21" t="n"/>
      <c r="BT745" s="21" t="n"/>
      <c r="BU745" s="21" t="n"/>
      <c r="BV745" s="21" t="n"/>
      <c r="BW745" s="21" t="n"/>
      <c r="BX745" s="21" t="n"/>
      <c r="BY745" s="21" t="n"/>
      <c r="BZ745" s="21" t="n"/>
      <c r="CA745" s="21" t="n"/>
      <c r="CB745" s="21" t="n"/>
      <c r="CC745" s="21" t="n"/>
      <c r="CD745" s="21" t="n"/>
      <c r="CE745" s="21" t="n"/>
      <c r="CF745" s="21" t="n"/>
      <c r="CG745" s="21" t="n"/>
      <c r="CH745" s="21" t="n"/>
      <c r="CI745" s="21" t="n"/>
      <c r="CJ745" s="21" t="n"/>
      <c r="CK745" s="21" t="n"/>
      <c r="CL745" s="21" t="n"/>
      <c r="CM745" s="21" t="n"/>
      <c r="CN745" s="21" t="n"/>
      <c r="CO745" s="21" t="n"/>
      <c r="CP745" s="21" t="n"/>
      <c r="CQ745" s="21" t="n"/>
      <c r="CR745" s="21" t="n"/>
      <c r="CS745" s="21" t="n"/>
      <c r="CT745" s="21" t="n"/>
      <c r="CU745" s="21" t="n"/>
      <c r="CV745" s="21" t="n"/>
      <c r="CW745" s="21" t="n"/>
      <c r="CX745" s="21" t="n"/>
      <c r="CY745" s="21" t="n"/>
      <c r="CZ745" s="21" t="n"/>
      <c r="DA745" s="21" t="n"/>
      <c r="DB745" s="21" t="n"/>
      <c r="DC745" s="21" t="n"/>
      <c r="DD745" s="21" t="n"/>
    </row>
    <row r="746">
      <c r="B746" t="inlineStr">
        <is>
          <t>TSP-050</t>
        </is>
      </c>
      <c r="C746" t="inlineStr">
        <is>
          <t>No. of batches</t>
        </is>
      </c>
      <c r="D746">
        <f>IFERROR(INDEX(E746:DD746,$F$1),"")</f>
        <v/>
      </c>
      <c r="E746">
        <f>IFERROR(INDEX(PP_Grid[#Data],$DE746,2),0)</f>
        <v/>
      </c>
      <c r="F746">
        <f>IFERROR(INDEX(PP_Grid[#Data],$DE746,3),0)</f>
        <v/>
      </c>
      <c r="G746">
        <f>IFERROR(INDEX(PP_Grid[#Data],$DE746,4),0)</f>
        <v/>
      </c>
      <c r="H746">
        <f>IFERROR(INDEX(PP_Grid[#Data],$DE746,5),0)</f>
        <v/>
      </c>
      <c r="I746">
        <f>IFERROR(INDEX(PP_Grid[#Data],$DE746,6),0)</f>
        <v/>
      </c>
      <c r="J746">
        <f>IFERROR(INDEX(PP_Grid[#Data],$DE746,7),0)</f>
        <v/>
      </c>
      <c r="K746">
        <f>IFERROR(INDEX(PP_Grid[#Data],$DE746,8),0)</f>
        <v/>
      </c>
      <c r="L746">
        <f>IFERROR(INDEX(PP_Grid[#Data],$DE746,9),0)</f>
        <v/>
      </c>
      <c r="M746">
        <f>IFERROR(INDEX(PP_Grid[#Data],$DE746,10),0)</f>
        <v/>
      </c>
      <c r="N746">
        <f>IFERROR(INDEX(PP_Grid[#Data],$DE746,11),0)</f>
        <v/>
      </c>
      <c r="O746">
        <f>IFERROR(INDEX(PP_Grid[#Data],$DE746,12),0)</f>
        <v/>
      </c>
      <c r="P746">
        <f>IFERROR(INDEX(PP_Grid[#Data],$DE746,13),0)</f>
        <v/>
      </c>
      <c r="Q746">
        <f>IFERROR(INDEX(PP_Grid[#Data],$DE746,14),0)</f>
        <v/>
      </c>
      <c r="R746">
        <f>IFERROR(INDEX(PP_Grid[#Data],$DE746,15),0)</f>
        <v/>
      </c>
      <c r="S746">
        <f>IFERROR(INDEX(PP_Grid[#Data],$DE746,16),0)</f>
        <v/>
      </c>
      <c r="T746">
        <f>IFERROR(INDEX(PP_Grid[#Data],$DE746,17),0)</f>
        <v/>
      </c>
      <c r="U746">
        <f>IFERROR(INDEX(PP_Grid[#Data],$DE746,18),0)</f>
        <v/>
      </c>
      <c r="V746">
        <f>IFERROR(INDEX(PP_Grid[#Data],$DE746,19),0)</f>
        <v/>
      </c>
      <c r="W746">
        <f>IFERROR(INDEX(PP_Grid[#Data],$DE746,20),0)</f>
        <v/>
      </c>
      <c r="X746">
        <f>IFERROR(INDEX(PP_Grid[#Data],$DE746,21),0)</f>
        <v/>
      </c>
      <c r="Y746">
        <f>IFERROR(INDEX(PP_Grid[#Data],$DE746,22),0)</f>
        <v/>
      </c>
      <c r="Z746">
        <f>IFERROR(INDEX(PP_Grid[#Data],$DE746,23),0)</f>
        <v/>
      </c>
      <c r="AA746">
        <f>IFERROR(INDEX(PP_Grid[#Data],$DE746,24),0)</f>
        <v/>
      </c>
      <c r="AB746">
        <f>IFERROR(INDEX(PP_Grid[#Data],$DE746,25),0)</f>
        <v/>
      </c>
      <c r="AC746">
        <f>IFERROR(INDEX(PP_Grid[#Data],$DE746,26),0)</f>
        <v/>
      </c>
      <c r="AD746">
        <f>IFERROR(INDEX(PP_Grid[#Data],$DE746,27),0)</f>
        <v/>
      </c>
      <c r="AE746">
        <f>IFERROR(INDEX(PP_Grid[#Data],$DE746,28),0)</f>
        <v/>
      </c>
      <c r="AF746">
        <f>IFERROR(INDEX(PP_Grid[#Data],$DE746,29),0)</f>
        <v/>
      </c>
      <c r="AG746">
        <f>IFERROR(INDEX(PP_Grid[#Data],$DE746,30),0)</f>
        <v/>
      </c>
      <c r="AH746">
        <f>IFERROR(INDEX(PP_Grid[#Data],$DE746,31),0)</f>
        <v/>
      </c>
      <c r="AI746">
        <f>IFERROR(INDEX(PP_Grid[#Data],$DE746,32),0)</f>
        <v/>
      </c>
      <c r="AJ746">
        <f>IFERROR(INDEX(PP_Grid[#Data],$DE746,33),0)</f>
        <v/>
      </c>
      <c r="AK746">
        <f>IFERROR(INDEX(PP_Grid[#Data],$DE746,34),0)</f>
        <v/>
      </c>
      <c r="AL746">
        <f>IFERROR(INDEX(PP_Grid[#Data],$DE746,35),0)</f>
        <v/>
      </c>
      <c r="AM746">
        <f>IFERROR(INDEX(PP_Grid[#Data],$DE746,36),0)</f>
        <v/>
      </c>
      <c r="AN746">
        <f>IFERROR(INDEX(PP_Grid[#Data],$DE746,37),0)</f>
        <v/>
      </c>
      <c r="AO746">
        <f>IFERROR(INDEX(PP_Grid[#Data],$DE746,38),0)</f>
        <v/>
      </c>
      <c r="AP746">
        <f>IFERROR(INDEX(PP_Grid[#Data],$DE746,39),0)</f>
        <v/>
      </c>
      <c r="AQ746">
        <f>IFERROR(INDEX(PP_Grid[#Data],$DE746,40),0)</f>
        <v/>
      </c>
      <c r="AR746">
        <f>IFERROR(INDEX(PP_Grid[#Data],$DE746,41),0)</f>
        <v/>
      </c>
      <c r="AS746">
        <f>IFERROR(INDEX(PP_Grid[#Data],$DE746,42),0)</f>
        <v/>
      </c>
      <c r="AT746">
        <f>IFERROR(INDEX(PP_Grid[#Data],$DE746,43),0)</f>
        <v/>
      </c>
      <c r="AU746">
        <f>IFERROR(INDEX(PP_Grid[#Data],$DE746,44),0)</f>
        <v/>
      </c>
      <c r="AV746">
        <f>IFERROR(INDEX(PP_Grid[#Data],$DE746,45),0)</f>
        <v/>
      </c>
      <c r="AW746">
        <f>IFERROR(INDEX(PP_Grid[#Data],$DE746,46),0)</f>
        <v/>
      </c>
      <c r="AX746">
        <f>IFERROR(INDEX(PP_Grid[#Data],$DE746,47),0)</f>
        <v/>
      </c>
      <c r="AY746">
        <f>IFERROR(INDEX(PP_Grid[#Data],$DE746,48),0)</f>
        <v/>
      </c>
      <c r="AZ746">
        <f>IFERROR(INDEX(PP_Grid[#Data],$DE746,49),0)</f>
        <v/>
      </c>
      <c r="BA746">
        <f>IFERROR(INDEX(PP_Grid[#Data],$DE746,50),0)</f>
        <v/>
      </c>
      <c r="BB746">
        <f>IFERROR(INDEX(PP_Grid[#Data],$DE746,51),0)</f>
        <v/>
      </c>
      <c r="BC746">
        <f>IFERROR(INDEX(PP_Grid[#Data],$DE746,52),0)</f>
        <v/>
      </c>
      <c r="BD746">
        <f>IFERROR(INDEX(PP_Grid[#Data],$DE746,53),0)</f>
        <v/>
      </c>
      <c r="BE746">
        <f>IFERROR(INDEX(PP_Grid[#Data],$DE746,54),0)</f>
        <v/>
      </c>
      <c r="BF746">
        <f>IFERROR(INDEX(PP_Grid[#Data],$DE746,55),0)</f>
        <v/>
      </c>
      <c r="BG746">
        <f>IFERROR(INDEX(PP_Grid[#Data],$DE746,56),0)</f>
        <v/>
      </c>
      <c r="BH746">
        <f>IFERROR(INDEX(PP_Grid[#Data],$DE746,57),0)</f>
        <v/>
      </c>
      <c r="BI746">
        <f>IFERROR(INDEX(PP_Grid[#Data],$DE746,58),0)</f>
        <v/>
      </c>
      <c r="BJ746">
        <f>IFERROR(INDEX(PP_Grid[#Data],$DE746,59),0)</f>
        <v/>
      </c>
      <c r="BK746">
        <f>IFERROR(INDEX(PP_Grid[#Data],$DE746,60),0)</f>
        <v/>
      </c>
      <c r="BL746">
        <f>IFERROR(INDEX(PP_Grid[#Data],$DE746,61),0)</f>
        <v/>
      </c>
      <c r="BM746">
        <f>IFERROR(INDEX(PP_Grid[#Data],$DE746,62),0)</f>
        <v/>
      </c>
      <c r="BN746">
        <f>IFERROR(INDEX(PP_Grid[#Data],$DE746,63),0)</f>
        <v/>
      </c>
      <c r="BO746">
        <f>IFERROR(INDEX(PP_Grid[#Data],$DE746,64),0)</f>
        <v/>
      </c>
      <c r="BP746">
        <f>IFERROR(INDEX(PP_Grid[#Data],$DE746,65),0)</f>
        <v/>
      </c>
      <c r="BQ746">
        <f>IFERROR(INDEX(PP_Grid[#Data],$DE746,66),0)</f>
        <v/>
      </c>
      <c r="BR746">
        <f>IFERROR(INDEX(PP_Grid[#Data],$DE746,67),0)</f>
        <v/>
      </c>
      <c r="BS746">
        <f>IFERROR(INDEX(PP_Grid[#Data],$DE746,68),0)</f>
        <v/>
      </c>
      <c r="BT746">
        <f>IFERROR(INDEX(PP_Grid[#Data],$DE746,69),0)</f>
        <v/>
      </c>
      <c r="BU746">
        <f>IFERROR(INDEX(PP_Grid[#Data],$DE746,70),0)</f>
        <v/>
      </c>
      <c r="BV746">
        <f>IFERROR(INDEX(PP_Grid[#Data],$DE746,71),0)</f>
        <v/>
      </c>
      <c r="BW746">
        <f>IFERROR(INDEX(PP_Grid[#Data],$DE746,72),0)</f>
        <v/>
      </c>
      <c r="BX746">
        <f>IFERROR(INDEX(PP_Grid[#Data],$DE746,73),0)</f>
        <v/>
      </c>
      <c r="BY746">
        <f>IFERROR(INDEX(PP_Grid[#Data],$DE746,74),0)</f>
        <v/>
      </c>
      <c r="BZ746">
        <f>IFERROR(INDEX(PP_Grid[#Data],$DE746,75),0)</f>
        <v/>
      </c>
      <c r="CA746">
        <f>IFERROR(INDEX(PP_Grid[#Data],$DE746,76),0)</f>
        <v/>
      </c>
      <c r="CB746">
        <f>IFERROR(INDEX(PP_Grid[#Data],$DE746,77),0)</f>
        <v/>
      </c>
      <c r="CC746">
        <f>IFERROR(INDEX(PP_Grid[#Data],$DE746,78),0)</f>
        <v/>
      </c>
      <c r="CD746">
        <f>IFERROR(INDEX(PP_Grid[#Data],$DE746,79),0)</f>
        <v/>
      </c>
      <c r="CE746">
        <f>IFERROR(INDEX(PP_Grid[#Data],$DE746,80),0)</f>
        <v/>
      </c>
      <c r="CF746">
        <f>IFERROR(INDEX(PP_Grid[#Data],$DE746,81),0)</f>
        <v/>
      </c>
      <c r="CG746">
        <f>IFERROR(INDEX(PP_Grid[#Data],$DE746,82),0)</f>
        <v/>
      </c>
      <c r="CH746">
        <f>IFERROR(INDEX(PP_Grid[#Data],$DE746,83),0)</f>
        <v/>
      </c>
      <c r="CI746">
        <f>IFERROR(INDEX(PP_Grid[#Data],$DE746,84),0)</f>
        <v/>
      </c>
      <c r="CJ746">
        <f>IFERROR(INDEX(PP_Grid[#Data],$DE746,85),0)</f>
        <v/>
      </c>
      <c r="CK746">
        <f>IFERROR(INDEX(PP_Grid[#Data],$DE746,86),0)</f>
        <v/>
      </c>
      <c r="CL746">
        <f>IFERROR(INDEX(PP_Grid[#Data],$DE746,87),0)</f>
        <v/>
      </c>
      <c r="CM746">
        <f>IFERROR(INDEX(PP_Grid[#Data],$DE746,88),0)</f>
        <v/>
      </c>
      <c r="CN746">
        <f>IFERROR(INDEX(PP_Grid[#Data],$DE746,89),0)</f>
        <v/>
      </c>
      <c r="CO746">
        <f>IFERROR(INDEX(PP_Grid[#Data],$DE746,90),0)</f>
        <v/>
      </c>
      <c r="CP746">
        <f>IFERROR(INDEX(PP_Grid[#Data],$DE746,91),0)</f>
        <v/>
      </c>
      <c r="CQ746">
        <f>IFERROR(INDEX(PP_Grid[#Data],$DE746,92),0)</f>
        <v/>
      </c>
      <c r="CR746">
        <f>IFERROR(INDEX(PP_Grid[#Data],$DE746,93),0)</f>
        <v/>
      </c>
      <c r="CS746">
        <f>IFERROR(INDEX(PP_Grid[#Data],$DE746,94),0)</f>
        <v/>
      </c>
      <c r="CT746">
        <f>IFERROR(INDEX(PP_Grid[#Data],$DE746,95),0)</f>
        <v/>
      </c>
      <c r="CU746">
        <f>IFERROR(INDEX(PP_Grid[#Data],$DE746,96),0)</f>
        <v/>
      </c>
      <c r="CV746">
        <f>IFERROR(INDEX(PP_Grid[#Data],$DE746,97),0)</f>
        <v/>
      </c>
      <c r="CW746">
        <f>IFERROR(INDEX(PP_Grid[#Data],$DE746,98),0)</f>
        <v/>
      </c>
      <c r="CX746">
        <f>IFERROR(INDEX(PP_Grid[#Data],$DE746,99),0)</f>
        <v/>
      </c>
      <c r="CY746">
        <f>IFERROR(INDEX(PP_Grid[#Data],$DE746,100),0)</f>
        <v/>
      </c>
      <c r="CZ746">
        <f>IFERROR(INDEX(PP_Grid[#Data],$DE746,101),0)</f>
        <v/>
      </c>
      <c r="DA746">
        <f>IFERROR(INDEX(PP_Grid[#Data],$DE746,102),0)</f>
        <v/>
      </c>
      <c r="DB746">
        <f>IFERROR(INDEX(PP_Grid[#Data],$DE746,103),0)</f>
        <v/>
      </c>
      <c r="DC746">
        <f>IFERROR(INDEX(PP_Grid[#Data],$DE746,104),0)</f>
        <v/>
      </c>
      <c r="DD746">
        <f>IFERROR(INDEX(PP_Grid[#Data],$DE746,105),0)</f>
        <v/>
      </c>
      <c r="DE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SUMIFS(M_BOM[RM_Qty_Per_Batch],M_BOM[Intermediate],$B746,M_BOM[RM_Code],$A745)</f>
        <v/>
      </c>
      <c r="D747">
        <f>IFERROR(INDEX(E747:DD747,$F$1),"")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  <c r="DD747">
        <f>$C747*DD746</f>
        <v/>
      </c>
    </row>
    <row r="748">
      <c r="B748" t="inlineStr">
        <is>
          <t>TSP-078</t>
        </is>
      </c>
      <c r="C748" t="inlineStr">
        <is>
          <t>No. of batches</t>
        </is>
      </c>
      <c r="D748">
        <f>IFERROR(INDEX(E748:DD748,$F$1),"")</f>
        <v/>
      </c>
      <c r="E748">
        <f>IFERROR(INDEX(PP_Grid[#Data],$DE748,2),0)</f>
        <v/>
      </c>
      <c r="F748">
        <f>IFERROR(INDEX(PP_Grid[#Data],$DE748,3),0)</f>
        <v/>
      </c>
      <c r="G748">
        <f>IFERROR(INDEX(PP_Grid[#Data],$DE748,4),0)</f>
        <v/>
      </c>
      <c r="H748">
        <f>IFERROR(INDEX(PP_Grid[#Data],$DE748,5),0)</f>
        <v/>
      </c>
      <c r="I748">
        <f>IFERROR(INDEX(PP_Grid[#Data],$DE748,6),0)</f>
        <v/>
      </c>
      <c r="J748">
        <f>IFERROR(INDEX(PP_Grid[#Data],$DE748,7),0)</f>
        <v/>
      </c>
      <c r="K748">
        <f>IFERROR(INDEX(PP_Grid[#Data],$DE748,8),0)</f>
        <v/>
      </c>
      <c r="L748">
        <f>IFERROR(INDEX(PP_Grid[#Data],$DE748,9),0)</f>
        <v/>
      </c>
      <c r="M748">
        <f>IFERROR(INDEX(PP_Grid[#Data],$DE748,10),0)</f>
        <v/>
      </c>
      <c r="N748">
        <f>IFERROR(INDEX(PP_Grid[#Data],$DE748,11),0)</f>
        <v/>
      </c>
      <c r="O748">
        <f>IFERROR(INDEX(PP_Grid[#Data],$DE748,12),0)</f>
        <v/>
      </c>
      <c r="P748">
        <f>IFERROR(INDEX(PP_Grid[#Data],$DE748,13),0)</f>
        <v/>
      </c>
      <c r="Q748">
        <f>IFERROR(INDEX(PP_Grid[#Data],$DE748,14),0)</f>
        <v/>
      </c>
      <c r="R748">
        <f>IFERROR(INDEX(PP_Grid[#Data],$DE748,15),0)</f>
        <v/>
      </c>
      <c r="S748">
        <f>IFERROR(INDEX(PP_Grid[#Data],$DE748,16),0)</f>
        <v/>
      </c>
      <c r="T748">
        <f>IFERROR(INDEX(PP_Grid[#Data],$DE748,17),0)</f>
        <v/>
      </c>
      <c r="U748">
        <f>IFERROR(INDEX(PP_Grid[#Data],$DE748,18),0)</f>
        <v/>
      </c>
      <c r="V748">
        <f>IFERROR(INDEX(PP_Grid[#Data],$DE748,19),0)</f>
        <v/>
      </c>
      <c r="W748">
        <f>IFERROR(INDEX(PP_Grid[#Data],$DE748,20),0)</f>
        <v/>
      </c>
      <c r="X748">
        <f>IFERROR(INDEX(PP_Grid[#Data],$DE748,21),0)</f>
        <v/>
      </c>
      <c r="Y748">
        <f>IFERROR(INDEX(PP_Grid[#Data],$DE748,22),0)</f>
        <v/>
      </c>
      <c r="Z748">
        <f>IFERROR(INDEX(PP_Grid[#Data],$DE748,23),0)</f>
        <v/>
      </c>
      <c r="AA748">
        <f>IFERROR(INDEX(PP_Grid[#Data],$DE748,24),0)</f>
        <v/>
      </c>
      <c r="AB748">
        <f>IFERROR(INDEX(PP_Grid[#Data],$DE748,25),0)</f>
        <v/>
      </c>
      <c r="AC748">
        <f>IFERROR(INDEX(PP_Grid[#Data],$DE748,26),0)</f>
        <v/>
      </c>
      <c r="AD748">
        <f>IFERROR(INDEX(PP_Grid[#Data],$DE748,27),0)</f>
        <v/>
      </c>
      <c r="AE748">
        <f>IFERROR(INDEX(PP_Grid[#Data],$DE748,28),0)</f>
        <v/>
      </c>
      <c r="AF748">
        <f>IFERROR(INDEX(PP_Grid[#Data],$DE748,29),0)</f>
        <v/>
      </c>
      <c r="AG748">
        <f>IFERROR(INDEX(PP_Grid[#Data],$DE748,30),0)</f>
        <v/>
      </c>
      <c r="AH748">
        <f>IFERROR(INDEX(PP_Grid[#Data],$DE748,31),0)</f>
        <v/>
      </c>
      <c r="AI748">
        <f>IFERROR(INDEX(PP_Grid[#Data],$DE748,32),0)</f>
        <v/>
      </c>
      <c r="AJ748">
        <f>IFERROR(INDEX(PP_Grid[#Data],$DE748,33),0)</f>
        <v/>
      </c>
      <c r="AK748">
        <f>IFERROR(INDEX(PP_Grid[#Data],$DE748,34),0)</f>
        <v/>
      </c>
      <c r="AL748">
        <f>IFERROR(INDEX(PP_Grid[#Data],$DE748,35),0)</f>
        <v/>
      </c>
      <c r="AM748">
        <f>IFERROR(INDEX(PP_Grid[#Data],$DE748,36),0)</f>
        <v/>
      </c>
      <c r="AN748">
        <f>IFERROR(INDEX(PP_Grid[#Data],$DE748,37),0)</f>
        <v/>
      </c>
      <c r="AO748">
        <f>IFERROR(INDEX(PP_Grid[#Data],$DE748,38),0)</f>
        <v/>
      </c>
      <c r="AP748">
        <f>IFERROR(INDEX(PP_Grid[#Data],$DE748,39),0)</f>
        <v/>
      </c>
      <c r="AQ748">
        <f>IFERROR(INDEX(PP_Grid[#Data],$DE748,40),0)</f>
        <v/>
      </c>
      <c r="AR748">
        <f>IFERROR(INDEX(PP_Grid[#Data],$DE748,41),0)</f>
        <v/>
      </c>
      <c r="AS748">
        <f>IFERROR(INDEX(PP_Grid[#Data],$DE748,42),0)</f>
        <v/>
      </c>
      <c r="AT748">
        <f>IFERROR(INDEX(PP_Grid[#Data],$DE748,43),0)</f>
        <v/>
      </c>
      <c r="AU748">
        <f>IFERROR(INDEX(PP_Grid[#Data],$DE748,44),0)</f>
        <v/>
      </c>
      <c r="AV748">
        <f>IFERROR(INDEX(PP_Grid[#Data],$DE748,45),0)</f>
        <v/>
      </c>
      <c r="AW748">
        <f>IFERROR(INDEX(PP_Grid[#Data],$DE748,46),0)</f>
        <v/>
      </c>
      <c r="AX748">
        <f>IFERROR(INDEX(PP_Grid[#Data],$DE748,47),0)</f>
        <v/>
      </c>
      <c r="AY748">
        <f>IFERROR(INDEX(PP_Grid[#Data],$DE748,48),0)</f>
        <v/>
      </c>
      <c r="AZ748">
        <f>IFERROR(INDEX(PP_Grid[#Data],$DE748,49),0)</f>
        <v/>
      </c>
      <c r="BA748">
        <f>IFERROR(INDEX(PP_Grid[#Data],$DE748,50),0)</f>
        <v/>
      </c>
      <c r="BB748">
        <f>IFERROR(INDEX(PP_Grid[#Data],$DE748,51),0)</f>
        <v/>
      </c>
      <c r="BC748">
        <f>IFERROR(INDEX(PP_Grid[#Data],$DE748,52),0)</f>
        <v/>
      </c>
      <c r="BD748">
        <f>IFERROR(INDEX(PP_Grid[#Data],$DE748,53),0)</f>
        <v/>
      </c>
      <c r="BE748">
        <f>IFERROR(INDEX(PP_Grid[#Data],$DE748,54),0)</f>
        <v/>
      </c>
      <c r="BF748">
        <f>IFERROR(INDEX(PP_Grid[#Data],$DE748,55),0)</f>
        <v/>
      </c>
      <c r="BG748">
        <f>IFERROR(INDEX(PP_Grid[#Data],$DE748,56),0)</f>
        <v/>
      </c>
      <c r="BH748">
        <f>IFERROR(INDEX(PP_Grid[#Data],$DE748,57),0)</f>
        <v/>
      </c>
      <c r="BI748">
        <f>IFERROR(INDEX(PP_Grid[#Data],$DE748,58),0)</f>
        <v/>
      </c>
      <c r="BJ748">
        <f>IFERROR(INDEX(PP_Grid[#Data],$DE748,59),0)</f>
        <v/>
      </c>
      <c r="BK748">
        <f>IFERROR(INDEX(PP_Grid[#Data],$DE748,60),0)</f>
        <v/>
      </c>
      <c r="BL748">
        <f>IFERROR(INDEX(PP_Grid[#Data],$DE748,61),0)</f>
        <v/>
      </c>
      <c r="BM748">
        <f>IFERROR(INDEX(PP_Grid[#Data],$DE748,62),0)</f>
        <v/>
      </c>
      <c r="BN748">
        <f>IFERROR(INDEX(PP_Grid[#Data],$DE748,63),0)</f>
        <v/>
      </c>
      <c r="BO748">
        <f>IFERROR(INDEX(PP_Grid[#Data],$DE748,64),0)</f>
        <v/>
      </c>
      <c r="BP748">
        <f>IFERROR(INDEX(PP_Grid[#Data],$DE748,65),0)</f>
        <v/>
      </c>
      <c r="BQ748">
        <f>IFERROR(INDEX(PP_Grid[#Data],$DE748,66),0)</f>
        <v/>
      </c>
      <c r="BR748">
        <f>IFERROR(INDEX(PP_Grid[#Data],$DE748,67),0)</f>
        <v/>
      </c>
      <c r="BS748">
        <f>IFERROR(INDEX(PP_Grid[#Data],$DE748,68),0)</f>
        <v/>
      </c>
      <c r="BT748">
        <f>IFERROR(INDEX(PP_Grid[#Data],$DE748,69),0)</f>
        <v/>
      </c>
      <c r="BU748">
        <f>IFERROR(INDEX(PP_Grid[#Data],$DE748,70),0)</f>
        <v/>
      </c>
      <c r="BV748">
        <f>IFERROR(INDEX(PP_Grid[#Data],$DE748,71),0)</f>
        <v/>
      </c>
      <c r="BW748">
        <f>IFERROR(INDEX(PP_Grid[#Data],$DE748,72),0)</f>
        <v/>
      </c>
      <c r="BX748">
        <f>IFERROR(INDEX(PP_Grid[#Data],$DE748,73),0)</f>
        <v/>
      </c>
      <c r="BY748">
        <f>IFERROR(INDEX(PP_Grid[#Data],$DE748,74),0)</f>
        <v/>
      </c>
      <c r="BZ748">
        <f>IFERROR(INDEX(PP_Grid[#Data],$DE748,75),0)</f>
        <v/>
      </c>
      <c r="CA748">
        <f>IFERROR(INDEX(PP_Grid[#Data],$DE748,76),0)</f>
        <v/>
      </c>
      <c r="CB748">
        <f>IFERROR(INDEX(PP_Grid[#Data],$DE748,77),0)</f>
        <v/>
      </c>
      <c r="CC748">
        <f>IFERROR(INDEX(PP_Grid[#Data],$DE748,78),0)</f>
        <v/>
      </c>
      <c r="CD748">
        <f>IFERROR(INDEX(PP_Grid[#Data],$DE748,79),0)</f>
        <v/>
      </c>
      <c r="CE748">
        <f>IFERROR(INDEX(PP_Grid[#Data],$DE748,80),0)</f>
        <v/>
      </c>
      <c r="CF748">
        <f>IFERROR(INDEX(PP_Grid[#Data],$DE748,81),0)</f>
        <v/>
      </c>
      <c r="CG748">
        <f>IFERROR(INDEX(PP_Grid[#Data],$DE748,82),0)</f>
        <v/>
      </c>
      <c r="CH748">
        <f>IFERROR(INDEX(PP_Grid[#Data],$DE748,83),0)</f>
        <v/>
      </c>
      <c r="CI748">
        <f>IFERROR(INDEX(PP_Grid[#Data],$DE748,84),0)</f>
        <v/>
      </c>
      <c r="CJ748">
        <f>IFERROR(INDEX(PP_Grid[#Data],$DE748,85),0)</f>
        <v/>
      </c>
      <c r="CK748">
        <f>IFERROR(INDEX(PP_Grid[#Data],$DE748,86),0)</f>
        <v/>
      </c>
      <c r="CL748">
        <f>IFERROR(INDEX(PP_Grid[#Data],$DE748,87),0)</f>
        <v/>
      </c>
      <c r="CM748">
        <f>IFERROR(INDEX(PP_Grid[#Data],$DE748,88),0)</f>
        <v/>
      </c>
      <c r="CN748">
        <f>IFERROR(INDEX(PP_Grid[#Data],$DE748,89),0)</f>
        <v/>
      </c>
      <c r="CO748">
        <f>IFERROR(INDEX(PP_Grid[#Data],$DE748,90),0)</f>
        <v/>
      </c>
      <c r="CP748">
        <f>IFERROR(INDEX(PP_Grid[#Data],$DE748,91),0)</f>
        <v/>
      </c>
      <c r="CQ748">
        <f>IFERROR(INDEX(PP_Grid[#Data],$DE748,92),0)</f>
        <v/>
      </c>
      <c r="CR748">
        <f>IFERROR(INDEX(PP_Grid[#Data],$DE748,93),0)</f>
        <v/>
      </c>
      <c r="CS748">
        <f>IFERROR(INDEX(PP_Grid[#Data],$DE748,94),0)</f>
        <v/>
      </c>
      <c r="CT748">
        <f>IFERROR(INDEX(PP_Grid[#Data],$DE748,95),0)</f>
        <v/>
      </c>
      <c r="CU748">
        <f>IFERROR(INDEX(PP_Grid[#Data],$DE748,96),0)</f>
        <v/>
      </c>
      <c r="CV748">
        <f>IFERROR(INDEX(PP_Grid[#Data],$DE748,97),0)</f>
        <v/>
      </c>
      <c r="CW748">
        <f>IFERROR(INDEX(PP_Grid[#Data],$DE748,98),0)</f>
        <v/>
      </c>
      <c r="CX748">
        <f>IFERROR(INDEX(PP_Grid[#Data],$DE748,99),0)</f>
        <v/>
      </c>
      <c r="CY748">
        <f>IFERROR(INDEX(PP_Grid[#Data],$DE748,100),0)</f>
        <v/>
      </c>
      <c r="CZ748">
        <f>IFERROR(INDEX(PP_Grid[#Data],$DE748,101),0)</f>
        <v/>
      </c>
      <c r="DA748">
        <f>IFERROR(INDEX(PP_Grid[#Data],$DE748,102),0)</f>
        <v/>
      </c>
      <c r="DB748">
        <f>IFERROR(INDEX(PP_Grid[#Data],$DE748,103),0)</f>
        <v/>
      </c>
      <c r="DC748">
        <f>IFERROR(INDEX(PP_Grid[#Data],$DE748,104),0)</f>
        <v/>
      </c>
      <c r="DD748">
        <f>IFERROR(INDEX(PP_Grid[#Data],$DE748,105),0)</f>
        <v/>
      </c>
      <c r="DE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SUMIFS(M_BOM[RM_Qty_Per_Batch],M_BOM[Intermediate],$B748,M_BOM[RM_Code],$A745)</f>
        <v/>
      </c>
      <c r="D749">
        <f>IFERROR(INDEX(E749:DD749,$F$1),"")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  <c r="DD749">
        <f>$C749*DD748</f>
        <v/>
      </c>
    </row>
    <row r="750">
      <c r="B750" t="inlineStr">
        <is>
          <t>TSP-080</t>
        </is>
      </c>
      <c r="C750" t="inlineStr">
        <is>
          <t>No. of batches</t>
        </is>
      </c>
      <c r="D750">
        <f>IFERROR(INDEX(E750:DD750,$F$1),"")</f>
        <v/>
      </c>
      <c r="E750">
        <f>IFERROR(INDEX(PP_Grid[#Data],$DE750,2),0)</f>
        <v/>
      </c>
      <c r="F750">
        <f>IFERROR(INDEX(PP_Grid[#Data],$DE750,3),0)</f>
        <v/>
      </c>
      <c r="G750">
        <f>IFERROR(INDEX(PP_Grid[#Data],$DE750,4),0)</f>
        <v/>
      </c>
      <c r="H750">
        <f>IFERROR(INDEX(PP_Grid[#Data],$DE750,5),0)</f>
        <v/>
      </c>
      <c r="I750">
        <f>IFERROR(INDEX(PP_Grid[#Data],$DE750,6),0)</f>
        <v/>
      </c>
      <c r="J750">
        <f>IFERROR(INDEX(PP_Grid[#Data],$DE750,7),0)</f>
        <v/>
      </c>
      <c r="K750">
        <f>IFERROR(INDEX(PP_Grid[#Data],$DE750,8),0)</f>
        <v/>
      </c>
      <c r="L750">
        <f>IFERROR(INDEX(PP_Grid[#Data],$DE750,9),0)</f>
        <v/>
      </c>
      <c r="M750">
        <f>IFERROR(INDEX(PP_Grid[#Data],$DE750,10),0)</f>
        <v/>
      </c>
      <c r="N750">
        <f>IFERROR(INDEX(PP_Grid[#Data],$DE750,11),0)</f>
        <v/>
      </c>
      <c r="O750">
        <f>IFERROR(INDEX(PP_Grid[#Data],$DE750,12),0)</f>
        <v/>
      </c>
      <c r="P750">
        <f>IFERROR(INDEX(PP_Grid[#Data],$DE750,13),0)</f>
        <v/>
      </c>
      <c r="Q750">
        <f>IFERROR(INDEX(PP_Grid[#Data],$DE750,14),0)</f>
        <v/>
      </c>
      <c r="R750">
        <f>IFERROR(INDEX(PP_Grid[#Data],$DE750,15),0)</f>
        <v/>
      </c>
      <c r="S750">
        <f>IFERROR(INDEX(PP_Grid[#Data],$DE750,16),0)</f>
        <v/>
      </c>
      <c r="T750">
        <f>IFERROR(INDEX(PP_Grid[#Data],$DE750,17),0)</f>
        <v/>
      </c>
      <c r="U750">
        <f>IFERROR(INDEX(PP_Grid[#Data],$DE750,18),0)</f>
        <v/>
      </c>
      <c r="V750">
        <f>IFERROR(INDEX(PP_Grid[#Data],$DE750,19),0)</f>
        <v/>
      </c>
      <c r="W750">
        <f>IFERROR(INDEX(PP_Grid[#Data],$DE750,20),0)</f>
        <v/>
      </c>
      <c r="X750">
        <f>IFERROR(INDEX(PP_Grid[#Data],$DE750,21),0)</f>
        <v/>
      </c>
      <c r="Y750">
        <f>IFERROR(INDEX(PP_Grid[#Data],$DE750,22),0)</f>
        <v/>
      </c>
      <c r="Z750">
        <f>IFERROR(INDEX(PP_Grid[#Data],$DE750,23),0)</f>
        <v/>
      </c>
      <c r="AA750">
        <f>IFERROR(INDEX(PP_Grid[#Data],$DE750,24),0)</f>
        <v/>
      </c>
      <c r="AB750">
        <f>IFERROR(INDEX(PP_Grid[#Data],$DE750,25),0)</f>
        <v/>
      </c>
      <c r="AC750">
        <f>IFERROR(INDEX(PP_Grid[#Data],$DE750,26),0)</f>
        <v/>
      </c>
      <c r="AD750">
        <f>IFERROR(INDEX(PP_Grid[#Data],$DE750,27),0)</f>
        <v/>
      </c>
      <c r="AE750">
        <f>IFERROR(INDEX(PP_Grid[#Data],$DE750,28),0)</f>
        <v/>
      </c>
      <c r="AF750">
        <f>IFERROR(INDEX(PP_Grid[#Data],$DE750,29),0)</f>
        <v/>
      </c>
      <c r="AG750">
        <f>IFERROR(INDEX(PP_Grid[#Data],$DE750,30),0)</f>
        <v/>
      </c>
      <c r="AH750">
        <f>IFERROR(INDEX(PP_Grid[#Data],$DE750,31),0)</f>
        <v/>
      </c>
      <c r="AI750">
        <f>IFERROR(INDEX(PP_Grid[#Data],$DE750,32),0)</f>
        <v/>
      </c>
      <c r="AJ750">
        <f>IFERROR(INDEX(PP_Grid[#Data],$DE750,33),0)</f>
        <v/>
      </c>
      <c r="AK750">
        <f>IFERROR(INDEX(PP_Grid[#Data],$DE750,34),0)</f>
        <v/>
      </c>
      <c r="AL750">
        <f>IFERROR(INDEX(PP_Grid[#Data],$DE750,35),0)</f>
        <v/>
      </c>
      <c r="AM750">
        <f>IFERROR(INDEX(PP_Grid[#Data],$DE750,36),0)</f>
        <v/>
      </c>
      <c r="AN750">
        <f>IFERROR(INDEX(PP_Grid[#Data],$DE750,37),0)</f>
        <v/>
      </c>
      <c r="AO750">
        <f>IFERROR(INDEX(PP_Grid[#Data],$DE750,38),0)</f>
        <v/>
      </c>
      <c r="AP750">
        <f>IFERROR(INDEX(PP_Grid[#Data],$DE750,39),0)</f>
        <v/>
      </c>
      <c r="AQ750">
        <f>IFERROR(INDEX(PP_Grid[#Data],$DE750,40),0)</f>
        <v/>
      </c>
      <c r="AR750">
        <f>IFERROR(INDEX(PP_Grid[#Data],$DE750,41),0)</f>
        <v/>
      </c>
      <c r="AS750">
        <f>IFERROR(INDEX(PP_Grid[#Data],$DE750,42),0)</f>
        <v/>
      </c>
      <c r="AT750">
        <f>IFERROR(INDEX(PP_Grid[#Data],$DE750,43),0)</f>
        <v/>
      </c>
      <c r="AU750">
        <f>IFERROR(INDEX(PP_Grid[#Data],$DE750,44),0)</f>
        <v/>
      </c>
      <c r="AV750">
        <f>IFERROR(INDEX(PP_Grid[#Data],$DE750,45),0)</f>
        <v/>
      </c>
      <c r="AW750">
        <f>IFERROR(INDEX(PP_Grid[#Data],$DE750,46),0)</f>
        <v/>
      </c>
      <c r="AX750">
        <f>IFERROR(INDEX(PP_Grid[#Data],$DE750,47),0)</f>
        <v/>
      </c>
      <c r="AY750">
        <f>IFERROR(INDEX(PP_Grid[#Data],$DE750,48),0)</f>
        <v/>
      </c>
      <c r="AZ750">
        <f>IFERROR(INDEX(PP_Grid[#Data],$DE750,49),0)</f>
        <v/>
      </c>
      <c r="BA750">
        <f>IFERROR(INDEX(PP_Grid[#Data],$DE750,50),0)</f>
        <v/>
      </c>
      <c r="BB750">
        <f>IFERROR(INDEX(PP_Grid[#Data],$DE750,51),0)</f>
        <v/>
      </c>
      <c r="BC750">
        <f>IFERROR(INDEX(PP_Grid[#Data],$DE750,52),0)</f>
        <v/>
      </c>
      <c r="BD750">
        <f>IFERROR(INDEX(PP_Grid[#Data],$DE750,53),0)</f>
        <v/>
      </c>
      <c r="BE750">
        <f>IFERROR(INDEX(PP_Grid[#Data],$DE750,54),0)</f>
        <v/>
      </c>
      <c r="BF750">
        <f>IFERROR(INDEX(PP_Grid[#Data],$DE750,55),0)</f>
        <v/>
      </c>
      <c r="BG750">
        <f>IFERROR(INDEX(PP_Grid[#Data],$DE750,56),0)</f>
        <v/>
      </c>
      <c r="BH750">
        <f>IFERROR(INDEX(PP_Grid[#Data],$DE750,57),0)</f>
        <v/>
      </c>
      <c r="BI750">
        <f>IFERROR(INDEX(PP_Grid[#Data],$DE750,58),0)</f>
        <v/>
      </c>
      <c r="BJ750">
        <f>IFERROR(INDEX(PP_Grid[#Data],$DE750,59),0)</f>
        <v/>
      </c>
      <c r="BK750">
        <f>IFERROR(INDEX(PP_Grid[#Data],$DE750,60),0)</f>
        <v/>
      </c>
      <c r="BL750">
        <f>IFERROR(INDEX(PP_Grid[#Data],$DE750,61),0)</f>
        <v/>
      </c>
      <c r="BM750">
        <f>IFERROR(INDEX(PP_Grid[#Data],$DE750,62),0)</f>
        <v/>
      </c>
      <c r="BN750">
        <f>IFERROR(INDEX(PP_Grid[#Data],$DE750,63),0)</f>
        <v/>
      </c>
      <c r="BO750">
        <f>IFERROR(INDEX(PP_Grid[#Data],$DE750,64),0)</f>
        <v/>
      </c>
      <c r="BP750">
        <f>IFERROR(INDEX(PP_Grid[#Data],$DE750,65),0)</f>
        <v/>
      </c>
      <c r="BQ750">
        <f>IFERROR(INDEX(PP_Grid[#Data],$DE750,66),0)</f>
        <v/>
      </c>
      <c r="BR750">
        <f>IFERROR(INDEX(PP_Grid[#Data],$DE750,67),0)</f>
        <v/>
      </c>
      <c r="BS750">
        <f>IFERROR(INDEX(PP_Grid[#Data],$DE750,68),0)</f>
        <v/>
      </c>
      <c r="BT750">
        <f>IFERROR(INDEX(PP_Grid[#Data],$DE750,69),0)</f>
        <v/>
      </c>
      <c r="BU750">
        <f>IFERROR(INDEX(PP_Grid[#Data],$DE750,70),0)</f>
        <v/>
      </c>
      <c r="BV750">
        <f>IFERROR(INDEX(PP_Grid[#Data],$DE750,71),0)</f>
        <v/>
      </c>
      <c r="BW750">
        <f>IFERROR(INDEX(PP_Grid[#Data],$DE750,72),0)</f>
        <v/>
      </c>
      <c r="BX750">
        <f>IFERROR(INDEX(PP_Grid[#Data],$DE750,73),0)</f>
        <v/>
      </c>
      <c r="BY750">
        <f>IFERROR(INDEX(PP_Grid[#Data],$DE750,74),0)</f>
        <v/>
      </c>
      <c r="BZ750">
        <f>IFERROR(INDEX(PP_Grid[#Data],$DE750,75),0)</f>
        <v/>
      </c>
      <c r="CA750">
        <f>IFERROR(INDEX(PP_Grid[#Data],$DE750,76),0)</f>
        <v/>
      </c>
      <c r="CB750">
        <f>IFERROR(INDEX(PP_Grid[#Data],$DE750,77),0)</f>
        <v/>
      </c>
      <c r="CC750">
        <f>IFERROR(INDEX(PP_Grid[#Data],$DE750,78),0)</f>
        <v/>
      </c>
      <c r="CD750">
        <f>IFERROR(INDEX(PP_Grid[#Data],$DE750,79),0)</f>
        <v/>
      </c>
      <c r="CE750">
        <f>IFERROR(INDEX(PP_Grid[#Data],$DE750,80),0)</f>
        <v/>
      </c>
      <c r="CF750">
        <f>IFERROR(INDEX(PP_Grid[#Data],$DE750,81),0)</f>
        <v/>
      </c>
      <c r="CG750">
        <f>IFERROR(INDEX(PP_Grid[#Data],$DE750,82),0)</f>
        <v/>
      </c>
      <c r="CH750">
        <f>IFERROR(INDEX(PP_Grid[#Data],$DE750,83),0)</f>
        <v/>
      </c>
      <c r="CI750">
        <f>IFERROR(INDEX(PP_Grid[#Data],$DE750,84),0)</f>
        <v/>
      </c>
      <c r="CJ750">
        <f>IFERROR(INDEX(PP_Grid[#Data],$DE750,85),0)</f>
        <v/>
      </c>
      <c r="CK750">
        <f>IFERROR(INDEX(PP_Grid[#Data],$DE750,86),0)</f>
        <v/>
      </c>
      <c r="CL750">
        <f>IFERROR(INDEX(PP_Grid[#Data],$DE750,87),0)</f>
        <v/>
      </c>
      <c r="CM750">
        <f>IFERROR(INDEX(PP_Grid[#Data],$DE750,88),0)</f>
        <v/>
      </c>
      <c r="CN750">
        <f>IFERROR(INDEX(PP_Grid[#Data],$DE750,89),0)</f>
        <v/>
      </c>
      <c r="CO750">
        <f>IFERROR(INDEX(PP_Grid[#Data],$DE750,90),0)</f>
        <v/>
      </c>
      <c r="CP750">
        <f>IFERROR(INDEX(PP_Grid[#Data],$DE750,91),0)</f>
        <v/>
      </c>
      <c r="CQ750">
        <f>IFERROR(INDEX(PP_Grid[#Data],$DE750,92),0)</f>
        <v/>
      </c>
      <c r="CR750">
        <f>IFERROR(INDEX(PP_Grid[#Data],$DE750,93),0)</f>
        <v/>
      </c>
      <c r="CS750">
        <f>IFERROR(INDEX(PP_Grid[#Data],$DE750,94),0)</f>
        <v/>
      </c>
      <c r="CT750">
        <f>IFERROR(INDEX(PP_Grid[#Data],$DE750,95),0)</f>
        <v/>
      </c>
      <c r="CU750">
        <f>IFERROR(INDEX(PP_Grid[#Data],$DE750,96),0)</f>
        <v/>
      </c>
      <c r="CV750">
        <f>IFERROR(INDEX(PP_Grid[#Data],$DE750,97),0)</f>
        <v/>
      </c>
      <c r="CW750">
        <f>IFERROR(INDEX(PP_Grid[#Data],$DE750,98),0)</f>
        <v/>
      </c>
      <c r="CX750">
        <f>IFERROR(INDEX(PP_Grid[#Data],$DE750,99),0)</f>
        <v/>
      </c>
      <c r="CY750">
        <f>IFERROR(INDEX(PP_Grid[#Data],$DE750,100),0)</f>
        <v/>
      </c>
      <c r="CZ750">
        <f>IFERROR(INDEX(PP_Grid[#Data],$DE750,101),0)</f>
        <v/>
      </c>
      <c r="DA750">
        <f>IFERROR(INDEX(PP_Grid[#Data],$DE750,102),0)</f>
        <v/>
      </c>
      <c r="DB750">
        <f>IFERROR(INDEX(PP_Grid[#Data],$DE750,103),0)</f>
        <v/>
      </c>
      <c r="DC750">
        <f>IFERROR(INDEX(PP_Grid[#Data],$DE750,104),0)</f>
        <v/>
      </c>
      <c r="DD750">
        <f>IFERROR(INDEX(PP_Grid[#Data],$DE750,105),0)</f>
        <v/>
      </c>
      <c r="DE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SUMIFS(M_BOM[RM_Qty_Per_Batch],M_BOM[Intermediate],$B750,M_BOM[RM_Code],$A745)</f>
        <v/>
      </c>
      <c r="D751">
        <f>IFERROR(INDEX(E751:DD751,$F$1),"")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  <c r="DD751">
        <f>$C751*DD750</f>
        <v/>
      </c>
    </row>
    <row r="752">
      <c r="B752" t="inlineStr">
        <is>
          <t>TSP-088</t>
        </is>
      </c>
      <c r="C752" t="inlineStr">
        <is>
          <t>No. of batches</t>
        </is>
      </c>
      <c r="D752">
        <f>IFERROR(INDEX(E752:DD752,$F$1),"")</f>
        <v/>
      </c>
      <c r="E752">
        <f>IFERROR(INDEX(PP_Grid[#Data],$DE752,2),0)</f>
        <v/>
      </c>
      <c r="F752">
        <f>IFERROR(INDEX(PP_Grid[#Data],$DE752,3),0)</f>
        <v/>
      </c>
      <c r="G752">
        <f>IFERROR(INDEX(PP_Grid[#Data],$DE752,4),0)</f>
        <v/>
      </c>
      <c r="H752">
        <f>IFERROR(INDEX(PP_Grid[#Data],$DE752,5),0)</f>
        <v/>
      </c>
      <c r="I752">
        <f>IFERROR(INDEX(PP_Grid[#Data],$DE752,6),0)</f>
        <v/>
      </c>
      <c r="J752">
        <f>IFERROR(INDEX(PP_Grid[#Data],$DE752,7),0)</f>
        <v/>
      </c>
      <c r="K752">
        <f>IFERROR(INDEX(PP_Grid[#Data],$DE752,8),0)</f>
        <v/>
      </c>
      <c r="L752">
        <f>IFERROR(INDEX(PP_Grid[#Data],$DE752,9),0)</f>
        <v/>
      </c>
      <c r="M752">
        <f>IFERROR(INDEX(PP_Grid[#Data],$DE752,10),0)</f>
        <v/>
      </c>
      <c r="N752">
        <f>IFERROR(INDEX(PP_Grid[#Data],$DE752,11),0)</f>
        <v/>
      </c>
      <c r="O752">
        <f>IFERROR(INDEX(PP_Grid[#Data],$DE752,12),0)</f>
        <v/>
      </c>
      <c r="P752">
        <f>IFERROR(INDEX(PP_Grid[#Data],$DE752,13),0)</f>
        <v/>
      </c>
      <c r="Q752">
        <f>IFERROR(INDEX(PP_Grid[#Data],$DE752,14),0)</f>
        <v/>
      </c>
      <c r="R752">
        <f>IFERROR(INDEX(PP_Grid[#Data],$DE752,15),0)</f>
        <v/>
      </c>
      <c r="S752">
        <f>IFERROR(INDEX(PP_Grid[#Data],$DE752,16),0)</f>
        <v/>
      </c>
      <c r="T752">
        <f>IFERROR(INDEX(PP_Grid[#Data],$DE752,17),0)</f>
        <v/>
      </c>
      <c r="U752">
        <f>IFERROR(INDEX(PP_Grid[#Data],$DE752,18),0)</f>
        <v/>
      </c>
      <c r="V752">
        <f>IFERROR(INDEX(PP_Grid[#Data],$DE752,19),0)</f>
        <v/>
      </c>
      <c r="W752">
        <f>IFERROR(INDEX(PP_Grid[#Data],$DE752,20),0)</f>
        <v/>
      </c>
      <c r="X752">
        <f>IFERROR(INDEX(PP_Grid[#Data],$DE752,21),0)</f>
        <v/>
      </c>
      <c r="Y752">
        <f>IFERROR(INDEX(PP_Grid[#Data],$DE752,22),0)</f>
        <v/>
      </c>
      <c r="Z752">
        <f>IFERROR(INDEX(PP_Grid[#Data],$DE752,23),0)</f>
        <v/>
      </c>
      <c r="AA752">
        <f>IFERROR(INDEX(PP_Grid[#Data],$DE752,24),0)</f>
        <v/>
      </c>
      <c r="AB752">
        <f>IFERROR(INDEX(PP_Grid[#Data],$DE752,25),0)</f>
        <v/>
      </c>
      <c r="AC752">
        <f>IFERROR(INDEX(PP_Grid[#Data],$DE752,26),0)</f>
        <v/>
      </c>
      <c r="AD752">
        <f>IFERROR(INDEX(PP_Grid[#Data],$DE752,27),0)</f>
        <v/>
      </c>
      <c r="AE752">
        <f>IFERROR(INDEX(PP_Grid[#Data],$DE752,28),0)</f>
        <v/>
      </c>
      <c r="AF752">
        <f>IFERROR(INDEX(PP_Grid[#Data],$DE752,29),0)</f>
        <v/>
      </c>
      <c r="AG752">
        <f>IFERROR(INDEX(PP_Grid[#Data],$DE752,30),0)</f>
        <v/>
      </c>
      <c r="AH752">
        <f>IFERROR(INDEX(PP_Grid[#Data],$DE752,31),0)</f>
        <v/>
      </c>
      <c r="AI752">
        <f>IFERROR(INDEX(PP_Grid[#Data],$DE752,32),0)</f>
        <v/>
      </c>
      <c r="AJ752">
        <f>IFERROR(INDEX(PP_Grid[#Data],$DE752,33),0)</f>
        <v/>
      </c>
      <c r="AK752">
        <f>IFERROR(INDEX(PP_Grid[#Data],$DE752,34),0)</f>
        <v/>
      </c>
      <c r="AL752">
        <f>IFERROR(INDEX(PP_Grid[#Data],$DE752,35),0)</f>
        <v/>
      </c>
      <c r="AM752">
        <f>IFERROR(INDEX(PP_Grid[#Data],$DE752,36),0)</f>
        <v/>
      </c>
      <c r="AN752">
        <f>IFERROR(INDEX(PP_Grid[#Data],$DE752,37),0)</f>
        <v/>
      </c>
      <c r="AO752">
        <f>IFERROR(INDEX(PP_Grid[#Data],$DE752,38),0)</f>
        <v/>
      </c>
      <c r="AP752">
        <f>IFERROR(INDEX(PP_Grid[#Data],$DE752,39),0)</f>
        <v/>
      </c>
      <c r="AQ752">
        <f>IFERROR(INDEX(PP_Grid[#Data],$DE752,40),0)</f>
        <v/>
      </c>
      <c r="AR752">
        <f>IFERROR(INDEX(PP_Grid[#Data],$DE752,41),0)</f>
        <v/>
      </c>
      <c r="AS752">
        <f>IFERROR(INDEX(PP_Grid[#Data],$DE752,42),0)</f>
        <v/>
      </c>
      <c r="AT752">
        <f>IFERROR(INDEX(PP_Grid[#Data],$DE752,43),0)</f>
        <v/>
      </c>
      <c r="AU752">
        <f>IFERROR(INDEX(PP_Grid[#Data],$DE752,44),0)</f>
        <v/>
      </c>
      <c r="AV752">
        <f>IFERROR(INDEX(PP_Grid[#Data],$DE752,45),0)</f>
        <v/>
      </c>
      <c r="AW752">
        <f>IFERROR(INDEX(PP_Grid[#Data],$DE752,46),0)</f>
        <v/>
      </c>
      <c r="AX752">
        <f>IFERROR(INDEX(PP_Grid[#Data],$DE752,47),0)</f>
        <v/>
      </c>
      <c r="AY752">
        <f>IFERROR(INDEX(PP_Grid[#Data],$DE752,48),0)</f>
        <v/>
      </c>
      <c r="AZ752">
        <f>IFERROR(INDEX(PP_Grid[#Data],$DE752,49),0)</f>
        <v/>
      </c>
      <c r="BA752">
        <f>IFERROR(INDEX(PP_Grid[#Data],$DE752,50),0)</f>
        <v/>
      </c>
      <c r="BB752">
        <f>IFERROR(INDEX(PP_Grid[#Data],$DE752,51),0)</f>
        <v/>
      </c>
      <c r="BC752">
        <f>IFERROR(INDEX(PP_Grid[#Data],$DE752,52),0)</f>
        <v/>
      </c>
      <c r="BD752">
        <f>IFERROR(INDEX(PP_Grid[#Data],$DE752,53),0)</f>
        <v/>
      </c>
      <c r="BE752">
        <f>IFERROR(INDEX(PP_Grid[#Data],$DE752,54),0)</f>
        <v/>
      </c>
      <c r="BF752">
        <f>IFERROR(INDEX(PP_Grid[#Data],$DE752,55),0)</f>
        <v/>
      </c>
      <c r="BG752">
        <f>IFERROR(INDEX(PP_Grid[#Data],$DE752,56),0)</f>
        <v/>
      </c>
      <c r="BH752">
        <f>IFERROR(INDEX(PP_Grid[#Data],$DE752,57),0)</f>
        <v/>
      </c>
      <c r="BI752">
        <f>IFERROR(INDEX(PP_Grid[#Data],$DE752,58),0)</f>
        <v/>
      </c>
      <c r="BJ752">
        <f>IFERROR(INDEX(PP_Grid[#Data],$DE752,59),0)</f>
        <v/>
      </c>
      <c r="BK752">
        <f>IFERROR(INDEX(PP_Grid[#Data],$DE752,60),0)</f>
        <v/>
      </c>
      <c r="BL752">
        <f>IFERROR(INDEX(PP_Grid[#Data],$DE752,61),0)</f>
        <v/>
      </c>
      <c r="BM752">
        <f>IFERROR(INDEX(PP_Grid[#Data],$DE752,62),0)</f>
        <v/>
      </c>
      <c r="BN752">
        <f>IFERROR(INDEX(PP_Grid[#Data],$DE752,63),0)</f>
        <v/>
      </c>
      <c r="BO752">
        <f>IFERROR(INDEX(PP_Grid[#Data],$DE752,64),0)</f>
        <v/>
      </c>
      <c r="BP752">
        <f>IFERROR(INDEX(PP_Grid[#Data],$DE752,65),0)</f>
        <v/>
      </c>
      <c r="BQ752">
        <f>IFERROR(INDEX(PP_Grid[#Data],$DE752,66),0)</f>
        <v/>
      </c>
      <c r="BR752">
        <f>IFERROR(INDEX(PP_Grid[#Data],$DE752,67),0)</f>
        <v/>
      </c>
      <c r="BS752">
        <f>IFERROR(INDEX(PP_Grid[#Data],$DE752,68),0)</f>
        <v/>
      </c>
      <c r="BT752">
        <f>IFERROR(INDEX(PP_Grid[#Data],$DE752,69),0)</f>
        <v/>
      </c>
      <c r="BU752">
        <f>IFERROR(INDEX(PP_Grid[#Data],$DE752,70),0)</f>
        <v/>
      </c>
      <c r="BV752">
        <f>IFERROR(INDEX(PP_Grid[#Data],$DE752,71),0)</f>
        <v/>
      </c>
      <c r="BW752">
        <f>IFERROR(INDEX(PP_Grid[#Data],$DE752,72),0)</f>
        <v/>
      </c>
      <c r="BX752">
        <f>IFERROR(INDEX(PP_Grid[#Data],$DE752,73),0)</f>
        <v/>
      </c>
      <c r="BY752">
        <f>IFERROR(INDEX(PP_Grid[#Data],$DE752,74),0)</f>
        <v/>
      </c>
      <c r="BZ752">
        <f>IFERROR(INDEX(PP_Grid[#Data],$DE752,75),0)</f>
        <v/>
      </c>
      <c r="CA752">
        <f>IFERROR(INDEX(PP_Grid[#Data],$DE752,76),0)</f>
        <v/>
      </c>
      <c r="CB752">
        <f>IFERROR(INDEX(PP_Grid[#Data],$DE752,77),0)</f>
        <v/>
      </c>
      <c r="CC752">
        <f>IFERROR(INDEX(PP_Grid[#Data],$DE752,78),0)</f>
        <v/>
      </c>
      <c r="CD752">
        <f>IFERROR(INDEX(PP_Grid[#Data],$DE752,79),0)</f>
        <v/>
      </c>
      <c r="CE752">
        <f>IFERROR(INDEX(PP_Grid[#Data],$DE752,80),0)</f>
        <v/>
      </c>
      <c r="CF752">
        <f>IFERROR(INDEX(PP_Grid[#Data],$DE752,81),0)</f>
        <v/>
      </c>
      <c r="CG752">
        <f>IFERROR(INDEX(PP_Grid[#Data],$DE752,82),0)</f>
        <v/>
      </c>
      <c r="CH752">
        <f>IFERROR(INDEX(PP_Grid[#Data],$DE752,83),0)</f>
        <v/>
      </c>
      <c r="CI752">
        <f>IFERROR(INDEX(PP_Grid[#Data],$DE752,84),0)</f>
        <v/>
      </c>
      <c r="CJ752">
        <f>IFERROR(INDEX(PP_Grid[#Data],$DE752,85),0)</f>
        <v/>
      </c>
      <c r="CK752">
        <f>IFERROR(INDEX(PP_Grid[#Data],$DE752,86),0)</f>
        <v/>
      </c>
      <c r="CL752">
        <f>IFERROR(INDEX(PP_Grid[#Data],$DE752,87),0)</f>
        <v/>
      </c>
      <c r="CM752">
        <f>IFERROR(INDEX(PP_Grid[#Data],$DE752,88),0)</f>
        <v/>
      </c>
      <c r="CN752">
        <f>IFERROR(INDEX(PP_Grid[#Data],$DE752,89),0)</f>
        <v/>
      </c>
      <c r="CO752">
        <f>IFERROR(INDEX(PP_Grid[#Data],$DE752,90),0)</f>
        <v/>
      </c>
      <c r="CP752">
        <f>IFERROR(INDEX(PP_Grid[#Data],$DE752,91),0)</f>
        <v/>
      </c>
      <c r="CQ752">
        <f>IFERROR(INDEX(PP_Grid[#Data],$DE752,92),0)</f>
        <v/>
      </c>
      <c r="CR752">
        <f>IFERROR(INDEX(PP_Grid[#Data],$DE752,93),0)</f>
        <v/>
      </c>
      <c r="CS752">
        <f>IFERROR(INDEX(PP_Grid[#Data],$DE752,94),0)</f>
        <v/>
      </c>
      <c r="CT752">
        <f>IFERROR(INDEX(PP_Grid[#Data],$DE752,95),0)</f>
        <v/>
      </c>
      <c r="CU752">
        <f>IFERROR(INDEX(PP_Grid[#Data],$DE752,96),0)</f>
        <v/>
      </c>
      <c r="CV752">
        <f>IFERROR(INDEX(PP_Grid[#Data],$DE752,97),0)</f>
        <v/>
      </c>
      <c r="CW752">
        <f>IFERROR(INDEX(PP_Grid[#Data],$DE752,98),0)</f>
        <v/>
      </c>
      <c r="CX752">
        <f>IFERROR(INDEX(PP_Grid[#Data],$DE752,99),0)</f>
        <v/>
      </c>
      <c r="CY752">
        <f>IFERROR(INDEX(PP_Grid[#Data],$DE752,100),0)</f>
        <v/>
      </c>
      <c r="CZ752">
        <f>IFERROR(INDEX(PP_Grid[#Data],$DE752,101),0)</f>
        <v/>
      </c>
      <c r="DA752">
        <f>IFERROR(INDEX(PP_Grid[#Data],$DE752,102),0)</f>
        <v/>
      </c>
      <c r="DB752">
        <f>IFERROR(INDEX(PP_Grid[#Data],$DE752,103),0)</f>
        <v/>
      </c>
      <c r="DC752">
        <f>IFERROR(INDEX(PP_Grid[#Data],$DE752,104),0)</f>
        <v/>
      </c>
      <c r="DD752">
        <f>IFERROR(INDEX(PP_Grid[#Data],$DE752,105),0)</f>
        <v/>
      </c>
      <c r="DE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SUMIFS(M_BOM[RM_Qty_Per_Batch],M_BOM[Intermediate],$B752,M_BOM[RM_Code],$A745)</f>
        <v/>
      </c>
      <c r="D753">
        <f>IFERROR(INDEX(E753:DD753,$F$1),"")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  <c r="DD753">
        <f>$C753*DD752</f>
        <v/>
      </c>
    </row>
    <row r="754">
      <c r="B754" t="inlineStr">
        <is>
          <t>TSP-089</t>
        </is>
      </c>
      <c r="C754" t="inlineStr">
        <is>
          <t>No. of batches</t>
        </is>
      </c>
      <c r="D754">
        <f>IFERROR(INDEX(E754:DD754,$F$1),"")</f>
        <v/>
      </c>
      <c r="E754">
        <f>IFERROR(INDEX(PP_Grid[#Data],$DE754,2),0)</f>
        <v/>
      </c>
      <c r="F754">
        <f>IFERROR(INDEX(PP_Grid[#Data],$DE754,3),0)</f>
        <v/>
      </c>
      <c r="G754">
        <f>IFERROR(INDEX(PP_Grid[#Data],$DE754,4),0)</f>
        <v/>
      </c>
      <c r="H754">
        <f>IFERROR(INDEX(PP_Grid[#Data],$DE754,5),0)</f>
        <v/>
      </c>
      <c r="I754">
        <f>IFERROR(INDEX(PP_Grid[#Data],$DE754,6),0)</f>
        <v/>
      </c>
      <c r="J754">
        <f>IFERROR(INDEX(PP_Grid[#Data],$DE754,7),0)</f>
        <v/>
      </c>
      <c r="K754">
        <f>IFERROR(INDEX(PP_Grid[#Data],$DE754,8),0)</f>
        <v/>
      </c>
      <c r="L754">
        <f>IFERROR(INDEX(PP_Grid[#Data],$DE754,9),0)</f>
        <v/>
      </c>
      <c r="M754">
        <f>IFERROR(INDEX(PP_Grid[#Data],$DE754,10),0)</f>
        <v/>
      </c>
      <c r="N754">
        <f>IFERROR(INDEX(PP_Grid[#Data],$DE754,11),0)</f>
        <v/>
      </c>
      <c r="O754">
        <f>IFERROR(INDEX(PP_Grid[#Data],$DE754,12),0)</f>
        <v/>
      </c>
      <c r="P754">
        <f>IFERROR(INDEX(PP_Grid[#Data],$DE754,13),0)</f>
        <v/>
      </c>
      <c r="Q754">
        <f>IFERROR(INDEX(PP_Grid[#Data],$DE754,14),0)</f>
        <v/>
      </c>
      <c r="R754">
        <f>IFERROR(INDEX(PP_Grid[#Data],$DE754,15),0)</f>
        <v/>
      </c>
      <c r="S754">
        <f>IFERROR(INDEX(PP_Grid[#Data],$DE754,16),0)</f>
        <v/>
      </c>
      <c r="T754">
        <f>IFERROR(INDEX(PP_Grid[#Data],$DE754,17),0)</f>
        <v/>
      </c>
      <c r="U754">
        <f>IFERROR(INDEX(PP_Grid[#Data],$DE754,18),0)</f>
        <v/>
      </c>
      <c r="V754">
        <f>IFERROR(INDEX(PP_Grid[#Data],$DE754,19),0)</f>
        <v/>
      </c>
      <c r="W754">
        <f>IFERROR(INDEX(PP_Grid[#Data],$DE754,20),0)</f>
        <v/>
      </c>
      <c r="X754">
        <f>IFERROR(INDEX(PP_Grid[#Data],$DE754,21),0)</f>
        <v/>
      </c>
      <c r="Y754">
        <f>IFERROR(INDEX(PP_Grid[#Data],$DE754,22),0)</f>
        <v/>
      </c>
      <c r="Z754">
        <f>IFERROR(INDEX(PP_Grid[#Data],$DE754,23),0)</f>
        <v/>
      </c>
      <c r="AA754">
        <f>IFERROR(INDEX(PP_Grid[#Data],$DE754,24),0)</f>
        <v/>
      </c>
      <c r="AB754">
        <f>IFERROR(INDEX(PP_Grid[#Data],$DE754,25),0)</f>
        <v/>
      </c>
      <c r="AC754">
        <f>IFERROR(INDEX(PP_Grid[#Data],$DE754,26),0)</f>
        <v/>
      </c>
      <c r="AD754">
        <f>IFERROR(INDEX(PP_Grid[#Data],$DE754,27),0)</f>
        <v/>
      </c>
      <c r="AE754">
        <f>IFERROR(INDEX(PP_Grid[#Data],$DE754,28),0)</f>
        <v/>
      </c>
      <c r="AF754">
        <f>IFERROR(INDEX(PP_Grid[#Data],$DE754,29),0)</f>
        <v/>
      </c>
      <c r="AG754">
        <f>IFERROR(INDEX(PP_Grid[#Data],$DE754,30),0)</f>
        <v/>
      </c>
      <c r="AH754">
        <f>IFERROR(INDEX(PP_Grid[#Data],$DE754,31),0)</f>
        <v/>
      </c>
      <c r="AI754">
        <f>IFERROR(INDEX(PP_Grid[#Data],$DE754,32),0)</f>
        <v/>
      </c>
      <c r="AJ754">
        <f>IFERROR(INDEX(PP_Grid[#Data],$DE754,33),0)</f>
        <v/>
      </c>
      <c r="AK754">
        <f>IFERROR(INDEX(PP_Grid[#Data],$DE754,34),0)</f>
        <v/>
      </c>
      <c r="AL754">
        <f>IFERROR(INDEX(PP_Grid[#Data],$DE754,35),0)</f>
        <v/>
      </c>
      <c r="AM754">
        <f>IFERROR(INDEX(PP_Grid[#Data],$DE754,36),0)</f>
        <v/>
      </c>
      <c r="AN754">
        <f>IFERROR(INDEX(PP_Grid[#Data],$DE754,37),0)</f>
        <v/>
      </c>
      <c r="AO754">
        <f>IFERROR(INDEX(PP_Grid[#Data],$DE754,38),0)</f>
        <v/>
      </c>
      <c r="AP754">
        <f>IFERROR(INDEX(PP_Grid[#Data],$DE754,39),0)</f>
        <v/>
      </c>
      <c r="AQ754">
        <f>IFERROR(INDEX(PP_Grid[#Data],$DE754,40),0)</f>
        <v/>
      </c>
      <c r="AR754">
        <f>IFERROR(INDEX(PP_Grid[#Data],$DE754,41),0)</f>
        <v/>
      </c>
      <c r="AS754">
        <f>IFERROR(INDEX(PP_Grid[#Data],$DE754,42),0)</f>
        <v/>
      </c>
      <c r="AT754">
        <f>IFERROR(INDEX(PP_Grid[#Data],$DE754,43),0)</f>
        <v/>
      </c>
      <c r="AU754">
        <f>IFERROR(INDEX(PP_Grid[#Data],$DE754,44),0)</f>
        <v/>
      </c>
      <c r="AV754">
        <f>IFERROR(INDEX(PP_Grid[#Data],$DE754,45),0)</f>
        <v/>
      </c>
      <c r="AW754">
        <f>IFERROR(INDEX(PP_Grid[#Data],$DE754,46),0)</f>
        <v/>
      </c>
      <c r="AX754">
        <f>IFERROR(INDEX(PP_Grid[#Data],$DE754,47),0)</f>
        <v/>
      </c>
      <c r="AY754">
        <f>IFERROR(INDEX(PP_Grid[#Data],$DE754,48),0)</f>
        <v/>
      </c>
      <c r="AZ754">
        <f>IFERROR(INDEX(PP_Grid[#Data],$DE754,49),0)</f>
        <v/>
      </c>
      <c r="BA754">
        <f>IFERROR(INDEX(PP_Grid[#Data],$DE754,50),0)</f>
        <v/>
      </c>
      <c r="BB754">
        <f>IFERROR(INDEX(PP_Grid[#Data],$DE754,51),0)</f>
        <v/>
      </c>
      <c r="BC754">
        <f>IFERROR(INDEX(PP_Grid[#Data],$DE754,52),0)</f>
        <v/>
      </c>
      <c r="BD754">
        <f>IFERROR(INDEX(PP_Grid[#Data],$DE754,53),0)</f>
        <v/>
      </c>
      <c r="BE754">
        <f>IFERROR(INDEX(PP_Grid[#Data],$DE754,54),0)</f>
        <v/>
      </c>
      <c r="BF754">
        <f>IFERROR(INDEX(PP_Grid[#Data],$DE754,55),0)</f>
        <v/>
      </c>
      <c r="BG754">
        <f>IFERROR(INDEX(PP_Grid[#Data],$DE754,56),0)</f>
        <v/>
      </c>
      <c r="BH754">
        <f>IFERROR(INDEX(PP_Grid[#Data],$DE754,57),0)</f>
        <v/>
      </c>
      <c r="BI754">
        <f>IFERROR(INDEX(PP_Grid[#Data],$DE754,58),0)</f>
        <v/>
      </c>
      <c r="BJ754">
        <f>IFERROR(INDEX(PP_Grid[#Data],$DE754,59),0)</f>
        <v/>
      </c>
      <c r="BK754">
        <f>IFERROR(INDEX(PP_Grid[#Data],$DE754,60),0)</f>
        <v/>
      </c>
      <c r="BL754">
        <f>IFERROR(INDEX(PP_Grid[#Data],$DE754,61),0)</f>
        <v/>
      </c>
      <c r="BM754">
        <f>IFERROR(INDEX(PP_Grid[#Data],$DE754,62),0)</f>
        <v/>
      </c>
      <c r="BN754">
        <f>IFERROR(INDEX(PP_Grid[#Data],$DE754,63),0)</f>
        <v/>
      </c>
      <c r="BO754">
        <f>IFERROR(INDEX(PP_Grid[#Data],$DE754,64),0)</f>
        <v/>
      </c>
      <c r="BP754">
        <f>IFERROR(INDEX(PP_Grid[#Data],$DE754,65),0)</f>
        <v/>
      </c>
      <c r="BQ754">
        <f>IFERROR(INDEX(PP_Grid[#Data],$DE754,66),0)</f>
        <v/>
      </c>
      <c r="BR754">
        <f>IFERROR(INDEX(PP_Grid[#Data],$DE754,67),0)</f>
        <v/>
      </c>
      <c r="BS754">
        <f>IFERROR(INDEX(PP_Grid[#Data],$DE754,68),0)</f>
        <v/>
      </c>
      <c r="BT754">
        <f>IFERROR(INDEX(PP_Grid[#Data],$DE754,69),0)</f>
        <v/>
      </c>
      <c r="BU754">
        <f>IFERROR(INDEX(PP_Grid[#Data],$DE754,70),0)</f>
        <v/>
      </c>
      <c r="BV754">
        <f>IFERROR(INDEX(PP_Grid[#Data],$DE754,71),0)</f>
        <v/>
      </c>
      <c r="BW754">
        <f>IFERROR(INDEX(PP_Grid[#Data],$DE754,72),0)</f>
        <v/>
      </c>
      <c r="BX754">
        <f>IFERROR(INDEX(PP_Grid[#Data],$DE754,73),0)</f>
        <v/>
      </c>
      <c r="BY754">
        <f>IFERROR(INDEX(PP_Grid[#Data],$DE754,74),0)</f>
        <v/>
      </c>
      <c r="BZ754">
        <f>IFERROR(INDEX(PP_Grid[#Data],$DE754,75),0)</f>
        <v/>
      </c>
      <c r="CA754">
        <f>IFERROR(INDEX(PP_Grid[#Data],$DE754,76),0)</f>
        <v/>
      </c>
      <c r="CB754">
        <f>IFERROR(INDEX(PP_Grid[#Data],$DE754,77),0)</f>
        <v/>
      </c>
      <c r="CC754">
        <f>IFERROR(INDEX(PP_Grid[#Data],$DE754,78),0)</f>
        <v/>
      </c>
      <c r="CD754">
        <f>IFERROR(INDEX(PP_Grid[#Data],$DE754,79),0)</f>
        <v/>
      </c>
      <c r="CE754">
        <f>IFERROR(INDEX(PP_Grid[#Data],$DE754,80),0)</f>
        <v/>
      </c>
      <c r="CF754">
        <f>IFERROR(INDEX(PP_Grid[#Data],$DE754,81),0)</f>
        <v/>
      </c>
      <c r="CG754">
        <f>IFERROR(INDEX(PP_Grid[#Data],$DE754,82),0)</f>
        <v/>
      </c>
      <c r="CH754">
        <f>IFERROR(INDEX(PP_Grid[#Data],$DE754,83),0)</f>
        <v/>
      </c>
      <c r="CI754">
        <f>IFERROR(INDEX(PP_Grid[#Data],$DE754,84),0)</f>
        <v/>
      </c>
      <c r="CJ754">
        <f>IFERROR(INDEX(PP_Grid[#Data],$DE754,85),0)</f>
        <v/>
      </c>
      <c r="CK754">
        <f>IFERROR(INDEX(PP_Grid[#Data],$DE754,86),0)</f>
        <v/>
      </c>
      <c r="CL754">
        <f>IFERROR(INDEX(PP_Grid[#Data],$DE754,87),0)</f>
        <v/>
      </c>
      <c r="CM754">
        <f>IFERROR(INDEX(PP_Grid[#Data],$DE754,88),0)</f>
        <v/>
      </c>
      <c r="CN754">
        <f>IFERROR(INDEX(PP_Grid[#Data],$DE754,89),0)</f>
        <v/>
      </c>
      <c r="CO754">
        <f>IFERROR(INDEX(PP_Grid[#Data],$DE754,90),0)</f>
        <v/>
      </c>
      <c r="CP754">
        <f>IFERROR(INDEX(PP_Grid[#Data],$DE754,91),0)</f>
        <v/>
      </c>
      <c r="CQ754">
        <f>IFERROR(INDEX(PP_Grid[#Data],$DE754,92),0)</f>
        <v/>
      </c>
      <c r="CR754">
        <f>IFERROR(INDEX(PP_Grid[#Data],$DE754,93),0)</f>
        <v/>
      </c>
      <c r="CS754">
        <f>IFERROR(INDEX(PP_Grid[#Data],$DE754,94),0)</f>
        <v/>
      </c>
      <c r="CT754">
        <f>IFERROR(INDEX(PP_Grid[#Data],$DE754,95),0)</f>
        <v/>
      </c>
      <c r="CU754">
        <f>IFERROR(INDEX(PP_Grid[#Data],$DE754,96),0)</f>
        <v/>
      </c>
      <c r="CV754">
        <f>IFERROR(INDEX(PP_Grid[#Data],$DE754,97),0)</f>
        <v/>
      </c>
      <c r="CW754">
        <f>IFERROR(INDEX(PP_Grid[#Data],$DE754,98),0)</f>
        <v/>
      </c>
      <c r="CX754">
        <f>IFERROR(INDEX(PP_Grid[#Data],$DE754,99),0)</f>
        <v/>
      </c>
      <c r="CY754">
        <f>IFERROR(INDEX(PP_Grid[#Data],$DE754,100),0)</f>
        <v/>
      </c>
      <c r="CZ754">
        <f>IFERROR(INDEX(PP_Grid[#Data],$DE754,101),0)</f>
        <v/>
      </c>
      <c r="DA754">
        <f>IFERROR(INDEX(PP_Grid[#Data],$DE754,102),0)</f>
        <v/>
      </c>
      <c r="DB754">
        <f>IFERROR(INDEX(PP_Grid[#Data],$DE754,103),0)</f>
        <v/>
      </c>
      <c r="DC754">
        <f>IFERROR(INDEX(PP_Grid[#Data],$DE754,104),0)</f>
        <v/>
      </c>
      <c r="DD754">
        <f>IFERROR(INDEX(PP_Grid[#Data],$DE754,105),0)</f>
        <v/>
      </c>
      <c r="DE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SUMIFS(M_BOM[RM_Qty_Per_Batch],M_BOM[Intermediate],$B754,M_BOM[RM_Code],$A745)</f>
        <v/>
      </c>
      <c r="D755">
        <f>IFERROR(INDEX(E755:DD755,$F$1),"")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  <c r="DD755">
        <f>$C755*DD754</f>
        <v/>
      </c>
    </row>
    <row r="756">
      <c r="B756" t="inlineStr">
        <is>
          <t>TSP-105</t>
        </is>
      </c>
      <c r="C756" t="inlineStr">
        <is>
          <t>No. of batches</t>
        </is>
      </c>
      <c r="D756">
        <f>IFERROR(INDEX(E756:DD756,$F$1),"")</f>
        <v/>
      </c>
      <c r="E756">
        <f>IFERROR(INDEX(PP_Grid[#Data],$DE756,2),0)</f>
        <v/>
      </c>
      <c r="F756">
        <f>IFERROR(INDEX(PP_Grid[#Data],$DE756,3),0)</f>
        <v/>
      </c>
      <c r="G756">
        <f>IFERROR(INDEX(PP_Grid[#Data],$DE756,4),0)</f>
        <v/>
      </c>
      <c r="H756">
        <f>IFERROR(INDEX(PP_Grid[#Data],$DE756,5),0)</f>
        <v/>
      </c>
      <c r="I756">
        <f>IFERROR(INDEX(PP_Grid[#Data],$DE756,6),0)</f>
        <v/>
      </c>
      <c r="J756">
        <f>IFERROR(INDEX(PP_Grid[#Data],$DE756,7),0)</f>
        <v/>
      </c>
      <c r="K756">
        <f>IFERROR(INDEX(PP_Grid[#Data],$DE756,8),0)</f>
        <v/>
      </c>
      <c r="L756">
        <f>IFERROR(INDEX(PP_Grid[#Data],$DE756,9),0)</f>
        <v/>
      </c>
      <c r="M756">
        <f>IFERROR(INDEX(PP_Grid[#Data],$DE756,10),0)</f>
        <v/>
      </c>
      <c r="N756">
        <f>IFERROR(INDEX(PP_Grid[#Data],$DE756,11),0)</f>
        <v/>
      </c>
      <c r="O756">
        <f>IFERROR(INDEX(PP_Grid[#Data],$DE756,12),0)</f>
        <v/>
      </c>
      <c r="P756">
        <f>IFERROR(INDEX(PP_Grid[#Data],$DE756,13),0)</f>
        <v/>
      </c>
      <c r="Q756">
        <f>IFERROR(INDEX(PP_Grid[#Data],$DE756,14),0)</f>
        <v/>
      </c>
      <c r="R756">
        <f>IFERROR(INDEX(PP_Grid[#Data],$DE756,15),0)</f>
        <v/>
      </c>
      <c r="S756">
        <f>IFERROR(INDEX(PP_Grid[#Data],$DE756,16),0)</f>
        <v/>
      </c>
      <c r="T756">
        <f>IFERROR(INDEX(PP_Grid[#Data],$DE756,17),0)</f>
        <v/>
      </c>
      <c r="U756">
        <f>IFERROR(INDEX(PP_Grid[#Data],$DE756,18),0)</f>
        <v/>
      </c>
      <c r="V756">
        <f>IFERROR(INDEX(PP_Grid[#Data],$DE756,19),0)</f>
        <v/>
      </c>
      <c r="W756">
        <f>IFERROR(INDEX(PP_Grid[#Data],$DE756,20),0)</f>
        <v/>
      </c>
      <c r="X756">
        <f>IFERROR(INDEX(PP_Grid[#Data],$DE756,21),0)</f>
        <v/>
      </c>
      <c r="Y756">
        <f>IFERROR(INDEX(PP_Grid[#Data],$DE756,22),0)</f>
        <v/>
      </c>
      <c r="Z756">
        <f>IFERROR(INDEX(PP_Grid[#Data],$DE756,23),0)</f>
        <v/>
      </c>
      <c r="AA756">
        <f>IFERROR(INDEX(PP_Grid[#Data],$DE756,24),0)</f>
        <v/>
      </c>
      <c r="AB756">
        <f>IFERROR(INDEX(PP_Grid[#Data],$DE756,25),0)</f>
        <v/>
      </c>
      <c r="AC756">
        <f>IFERROR(INDEX(PP_Grid[#Data],$DE756,26),0)</f>
        <v/>
      </c>
      <c r="AD756">
        <f>IFERROR(INDEX(PP_Grid[#Data],$DE756,27),0)</f>
        <v/>
      </c>
      <c r="AE756">
        <f>IFERROR(INDEX(PP_Grid[#Data],$DE756,28),0)</f>
        <v/>
      </c>
      <c r="AF756">
        <f>IFERROR(INDEX(PP_Grid[#Data],$DE756,29),0)</f>
        <v/>
      </c>
      <c r="AG756">
        <f>IFERROR(INDEX(PP_Grid[#Data],$DE756,30),0)</f>
        <v/>
      </c>
      <c r="AH756">
        <f>IFERROR(INDEX(PP_Grid[#Data],$DE756,31),0)</f>
        <v/>
      </c>
      <c r="AI756">
        <f>IFERROR(INDEX(PP_Grid[#Data],$DE756,32),0)</f>
        <v/>
      </c>
      <c r="AJ756">
        <f>IFERROR(INDEX(PP_Grid[#Data],$DE756,33),0)</f>
        <v/>
      </c>
      <c r="AK756">
        <f>IFERROR(INDEX(PP_Grid[#Data],$DE756,34),0)</f>
        <v/>
      </c>
      <c r="AL756">
        <f>IFERROR(INDEX(PP_Grid[#Data],$DE756,35),0)</f>
        <v/>
      </c>
      <c r="AM756">
        <f>IFERROR(INDEX(PP_Grid[#Data],$DE756,36),0)</f>
        <v/>
      </c>
      <c r="AN756">
        <f>IFERROR(INDEX(PP_Grid[#Data],$DE756,37),0)</f>
        <v/>
      </c>
      <c r="AO756">
        <f>IFERROR(INDEX(PP_Grid[#Data],$DE756,38),0)</f>
        <v/>
      </c>
      <c r="AP756">
        <f>IFERROR(INDEX(PP_Grid[#Data],$DE756,39),0)</f>
        <v/>
      </c>
      <c r="AQ756">
        <f>IFERROR(INDEX(PP_Grid[#Data],$DE756,40),0)</f>
        <v/>
      </c>
      <c r="AR756">
        <f>IFERROR(INDEX(PP_Grid[#Data],$DE756,41),0)</f>
        <v/>
      </c>
      <c r="AS756">
        <f>IFERROR(INDEX(PP_Grid[#Data],$DE756,42),0)</f>
        <v/>
      </c>
      <c r="AT756">
        <f>IFERROR(INDEX(PP_Grid[#Data],$DE756,43),0)</f>
        <v/>
      </c>
      <c r="AU756">
        <f>IFERROR(INDEX(PP_Grid[#Data],$DE756,44),0)</f>
        <v/>
      </c>
      <c r="AV756">
        <f>IFERROR(INDEX(PP_Grid[#Data],$DE756,45),0)</f>
        <v/>
      </c>
      <c r="AW756">
        <f>IFERROR(INDEX(PP_Grid[#Data],$DE756,46),0)</f>
        <v/>
      </c>
      <c r="AX756">
        <f>IFERROR(INDEX(PP_Grid[#Data],$DE756,47),0)</f>
        <v/>
      </c>
      <c r="AY756">
        <f>IFERROR(INDEX(PP_Grid[#Data],$DE756,48),0)</f>
        <v/>
      </c>
      <c r="AZ756">
        <f>IFERROR(INDEX(PP_Grid[#Data],$DE756,49),0)</f>
        <v/>
      </c>
      <c r="BA756">
        <f>IFERROR(INDEX(PP_Grid[#Data],$DE756,50),0)</f>
        <v/>
      </c>
      <c r="BB756">
        <f>IFERROR(INDEX(PP_Grid[#Data],$DE756,51),0)</f>
        <v/>
      </c>
      <c r="BC756">
        <f>IFERROR(INDEX(PP_Grid[#Data],$DE756,52),0)</f>
        <v/>
      </c>
      <c r="BD756">
        <f>IFERROR(INDEX(PP_Grid[#Data],$DE756,53),0)</f>
        <v/>
      </c>
      <c r="BE756">
        <f>IFERROR(INDEX(PP_Grid[#Data],$DE756,54),0)</f>
        <v/>
      </c>
      <c r="BF756">
        <f>IFERROR(INDEX(PP_Grid[#Data],$DE756,55),0)</f>
        <v/>
      </c>
      <c r="BG756">
        <f>IFERROR(INDEX(PP_Grid[#Data],$DE756,56),0)</f>
        <v/>
      </c>
      <c r="BH756">
        <f>IFERROR(INDEX(PP_Grid[#Data],$DE756,57),0)</f>
        <v/>
      </c>
      <c r="BI756">
        <f>IFERROR(INDEX(PP_Grid[#Data],$DE756,58),0)</f>
        <v/>
      </c>
      <c r="BJ756">
        <f>IFERROR(INDEX(PP_Grid[#Data],$DE756,59),0)</f>
        <v/>
      </c>
      <c r="BK756">
        <f>IFERROR(INDEX(PP_Grid[#Data],$DE756,60),0)</f>
        <v/>
      </c>
      <c r="BL756">
        <f>IFERROR(INDEX(PP_Grid[#Data],$DE756,61),0)</f>
        <v/>
      </c>
      <c r="BM756">
        <f>IFERROR(INDEX(PP_Grid[#Data],$DE756,62),0)</f>
        <v/>
      </c>
      <c r="BN756">
        <f>IFERROR(INDEX(PP_Grid[#Data],$DE756,63),0)</f>
        <v/>
      </c>
      <c r="BO756">
        <f>IFERROR(INDEX(PP_Grid[#Data],$DE756,64),0)</f>
        <v/>
      </c>
      <c r="BP756">
        <f>IFERROR(INDEX(PP_Grid[#Data],$DE756,65),0)</f>
        <v/>
      </c>
      <c r="BQ756">
        <f>IFERROR(INDEX(PP_Grid[#Data],$DE756,66),0)</f>
        <v/>
      </c>
      <c r="BR756">
        <f>IFERROR(INDEX(PP_Grid[#Data],$DE756,67),0)</f>
        <v/>
      </c>
      <c r="BS756">
        <f>IFERROR(INDEX(PP_Grid[#Data],$DE756,68),0)</f>
        <v/>
      </c>
      <c r="BT756">
        <f>IFERROR(INDEX(PP_Grid[#Data],$DE756,69),0)</f>
        <v/>
      </c>
      <c r="BU756">
        <f>IFERROR(INDEX(PP_Grid[#Data],$DE756,70),0)</f>
        <v/>
      </c>
      <c r="BV756">
        <f>IFERROR(INDEX(PP_Grid[#Data],$DE756,71),0)</f>
        <v/>
      </c>
      <c r="BW756">
        <f>IFERROR(INDEX(PP_Grid[#Data],$DE756,72),0)</f>
        <v/>
      </c>
      <c r="BX756">
        <f>IFERROR(INDEX(PP_Grid[#Data],$DE756,73),0)</f>
        <v/>
      </c>
      <c r="BY756">
        <f>IFERROR(INDEX(PP_Grid[#Data],$DE756,74),0)</f>
        <v/>
      </c>
      <c r="BZ756">
        <f>IFERROR(INDEX(PP_Grid[#Data],$DE756,75),0)</f>
        <v/>
      </c>
      <c r="CA756">
        <f>IFERROR(INDEX(PP_Grid[#Data],$DE756,76),0)</f>
        <v/>
      </c>
      <c r="CB756">
        <f>IFERROR(INDEX(PP_Grid[#Data],$DE756,77),0)</f>
        <v/>
      </c>
      <c r="CC756">
        <f>IFERROR(INDEX(PP_Grid[#Data],$DE756,78),0)</f>
        <v/>
      </c>
      <c r="CD756">
        <f>IFERROR(INDEX(PP_Grid[#Data],$DE756,79),0)</f>
        <v/>
      </c>
      <c r="CE756">
        <f>IFERROR(INDEX(PP_Grid[#Data],$DE756,80),0)</f>
        <v/>
      </c>
      <c r="CF756">
        <f>IFERROR(INDEX(PP_Grid[#Data],$DE756,81),0)</f>
        <v/>
      </c>
      <c r="CG756">
        <f>IFERROR(INDEX(PP_Grid[#Data],$DE756,82),0)</f>
        <v/>
      </c>
      <c r="CH756">
        <f>IFERROR(INDEX(PP_Grid[#Data],$DE756,83),0)</f>
        <v/>
      </c>
      <c r="CI756">
        <f>IFERROR(INDEX(PP_Grid[#Data],$DE756,84),0)</f>
        <v/>
      </c>
      <c r="CJ756">
        <f>IFERROR(INDEX(PP_Grid[#Data],$DE756,85),0)</f>
        <v/>
      </c>
      <c r="CK756">
        <f>IFERROR(INDEX(PP_Grid[#Data],$DE756,86),0)</f>
        <v/>
      </c>
      <c r="CL756">
        <f>IFERROR(INDEX(PP_Grid[#Data],$DE756,87),0)</f>
        <v/>
      </c>
      <c r="CM756">
        <f>IFERROR(INDEX(PP_Grid[#Data],$DE756,88),0)</f>
        <v/>
      </c>
      <c r="CN756">
        <f>IFERROR(INDEX(PP_Grid[#Data],$DE756,89),0)</f>
        <v/>
      </c>
      <c r="CO756">
        <f>IFERROR(INDEX(PP_Grid[#Data],$DE756,90),0)</f>
        <v/>
      </c>
      <c r="CP756">
        <f>IFERROR(INDEX(PP_Grid[#Data],$DE756,91),0)</f>
        <v/>
      </c>
      <c r="CQ756">
        <f>IFERROR(INDEX(PP_Grid[#Data],$DE756,92),0)</f>
        <v/>
      </c>
      <c r="CR756">
        <f>IFERROR(INDEX(PP_Grid[#Data],$DE756,93),0)</f>
        <v/>
      </c>
      <c r="CS756">
        <f>IFERROR(INDEX(PP_Grid[#Data],$DE756,94),0)</f>
        <v/>
      </c>
      <c r="CT756">
        <f>IFERROR(INDEX(PP_Grid[#Data],$DE756,95),0)</f>
        <v/>
      </c>
      <c r="CU756">
        <f>IFERROR(INDEX(PP_Grid[#Data],$DE756,96),0)</f>
        <v/>
      </c>
      <c r="CV756">
        <f>IFERROR(INDEX(PP_Grid[#Data],$DE756,97),0)</f>
        <v/>
      </c>
      <c r="CW756">
        <f>IFERROR(INDEX(PP_Grid[#Data],$DE756,98),0)</f>
        <v/>
      </c>
      <c r="CX756">
        <f>IFERROR(INDEX(PP_Grid[#Data],$DE756,99),0)</f>
        <v/>
      </c>
      <c r="CY756">
        <f>IFERROR(INDEX(PP_Grid[#Data],$DE756,100),0)</f>
        <v/>
      </c>
      <c r="CZ756">
        <f>IFERROR(INDEX(PP_Grid[#Data],$DE756,101),0)</f>
        <v/>
      </c>
      <c r="DA756">
        <f>IFERROR(INDEX(PP_Grid[#Data],$DE756,102),0)</f>
        <v/>
      </c>
      <c r="DB756">
        <f>IFERROR(INDEX(PP_Grid[#Data],$DE756,103),0)</f>
        <v/>
      </c>
      <c r="DC756">
        <f>IFERROR(INDEX(PP_Grid[#Data],$DE756,104),0)</f>
        <v/>
      </c>
      <c r="DD756">
        <f>IFERROR(INDEX(PP_Grid[#Data],$DE756,105),0)</f>
        <v/>
      </c>
      <c r="DE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SUMIFS(M_BOM[RM_Qty_Per_Batch],M_BOM[Intermediate],$B756,M_BOM[RM_Code],$A745)</f>
        <v/>
      </c>
      <c r="D757">
        <f>IFERROR(INDEX(E757:DD757,$F$1),"")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  <c r="DD757">
        <f>$C757*DD756</f>
        <v/>
      </c>
    </row>
    <row r="758">
      <c r="B758" t="inlineStr">
        <is>
          <t>TSP-225</t>
        </is>
      </c>
      <c r="C758" t="inlineStr">
        <is>
          <t>No. of batches</t>
        </is>
      </c>
      <c r="D758">
        <f>IFERROR(INDEX(E758:DD758,$F$1),"")</f>
        <v/>
      </c>
      <c r="E758">
        <f>IFERROR(INDEX(PP_Grid[#Data],$DE758,2),0)</f>
        <v/>
      </c>
      <c r="F758">
        <f>IFERROR(INDEX(PP_Grid[#Data],$DE758,3),0)</f>
        <v/>
      </c>
      <c r="G758">
        <f>IFERROR(INDEX(PP_Grid[#Data],$DE758,4),0)</f>
        <v/>
      </c>
      <c r="H758">
        <f>IFERROR(INDEX(PP_Grid[#Data],$DE758,5),0)</f>
        <v/>
      </c>
      <c r="I758">
        <f>IFERROR(INDEX(PP_Grid[#Data],$DE758,6),0)</f>
        <v/>
      </c>
      <c r="J758">
        <f>IFERROR(INDEX(PP_Grid[#Data],$DE758,7),0)</f>
        <v/>
      </c>
      <c r="K758">
        <f>IFERROR(INDEX(PP_Grid[#Data],$DE758,8),0)</f>
        <v/>
      </c>
      <c r="L758">
        <f>IFERROR(INDEX(PP_Grid[#Data],$DE758,9),0)</f>
        <v/>
      </c>
      <c r="M758">
        <f>IFERROR(INDEX(PP_Grid[#Data],$DE758,10),0)</f>
        <v/>
      </c>
      <c r="N758">
        <f>IFERROR(INDEX(PP_Grid[#Data],$DE758,11),0)</f>
        <v/>
      </c>
      <c r="O758">
        <f>IFERROR(INDEX(PP_Grid[#Data],$DE758,12),0)</f>
        <v/>
      </c>
      <c r="P758">
        <f>IFERROR(INDEX(PP_Grid[#Data],$DE758,13),0)</f>
        <v/>
      </c>
      <c r="Q758">
        <f>IFERROR(INDEX(PP_Grid[#Data],$DE758,14),0)</f>
        <v/>
      </c>
      <c r="R758">
        <f>IFERROR(INDEX(PP_Grid[#Data],$DE758,15),0)</f>
        <v/>
      </c>
      <c r="S758">
        <f>IFERROR(INDEX(PP_Grid[#Data],$DE758,16),0)</f>
        <v/>
      </c>
      <c r="T758">
        <f>IFERROR(INDEX(PP_Grid[#Data],$DE758,17),0)</f>
        <v/>
      </c>
      <c r="U758">
        <f>IFERROR(INDEX(PP_Grid[#Data],$DE758,18),0)</f>
        <v/>
      </c>
      <c r="V758">
        <f>IFERROR(INDEX(PP_Grid[#Data],$DE758,19),0)</f>
        <v/>
      </c>
      <c r="W758">
        <f>IFERROR(INDEX(PP_Grid[#Data],$DE758,20),0)</f>
        <v/>
      </c>
      <c r="X758">
        <f>IFERROR(INDEX(PP_Grid[#Data],$DE758,21),0)</f>
        <v/>
      </c>
      <c r="Y758">
        <f>IFERROR(INDEX(PP_Grid[#Data],$DE758,22),0)</f>
        <v/>
      </c>
      <c r="Z758">
        <f>IFERROR(INDEX(PP_Grid[#Data],$DE758,23),0)</f>
        <v/>
      </c>
      <c r="AA758">
        <f>IFERROR(INDEX(PP_Grid[#Data],$DE758,24),0)</f>
        <v/>
      </c>
      <c r="AB758">
        <f>IFERROR(INDEX(PP_Grid[#Data],$DE758,25),0)</f>
        <v/>
      </c>
      <c r="AC758">
        <f>IFERROR(INDEX(PP_Grid[#Data],$DE758,26),0)</f>
        <v/>
      </c>
      <c r="AD758">
        <f>IFERROR(INDEX(PP_Grid[#Data],$DE758,27),0)</f>
        <v/>
      </c>
      <c r="AE758">
        <f>IFERROR(INDEX(PP_Grid[#Data],$DE758,28),0)</f>
        <v/>
      </c>
      <c r="AF758">
        <f>IFERROR(INDEX(PP_Grid[#Data],$DE758,29),0)</f>
        <v/>
      </c>
      <c r="AG758">
        <f>IFERROR(INDEX(PP_Grid[#Data],$DE758,30),0)</f>
        <v/>
      </c>
      <c r="AH758">
        <f>IFERROR(INDEX(PP_Grid[#Data],$DE758,31),0)</f>
        <v/>
      </c>
      <c r="AI758">
        <f>IFERROR(INDEX(PP_Grid[#Data],$DE758,32),0)</f>
        <v/>
      </c>
      <c r="AJ758">
        <f>IFERROR(INDEX(PP_Grid[#Data],$DE758,33),0)</f>
        <v/>
      </c>
      <c r="AK758">
        <f>IFERROR(INDEX(PP_Grid[#Data],$DE758,34),0)</f>
        <v/>
      </c>
      <c r="AL758">
        <f>IFERROR(INDEX(PP_Grid[#Data],$DE758,35),0)</f>
        <v/>
      </c>
      <c r="AM758">
        <f>IFERROR(INDEX(PP_Grid[#Data],$DE758,36),0)</f>
        <v/>
      </c>
      <c r="AN758">
        <f>IFERROR(INDEX(PP_Grid[#Data],$DE758,37),0)</f>
        <v/>
      </c>
      <c r="AO758">
        <f>IFERROR(INDEX(PP_Grid[#Data],$DE758,38),0)</f>
        <v/>
      </c>
      <c r="AP758">
        <f>IFERROR(INDEX(PP_Grid[#Data],$DE758,39),0)</f>
        <v/>
      </c>
      <c r="AQ758">
        <f>IFERROR(INDEX(PP_Grid[#Data],$DE758,40),0)</f>
        <v/>
      </c>
      <c r="AR758">
        <f>IFERROR(INDEX(PP_Grid[#Data],$DE758,41),0)</f>
        <v/>
      </c>
      <c r="AS758">
        <f>IFERROR(INDEX(PP_Grid[#Data],$DE758,42),0)</f>
        <v/>
      </c>
      <c r="AT758">
        <f>IFERROR(INDEX(PP_Grid[#Data],$DE758,43),0)</f>
        <v/>
      </c>
      <c r="AU758">
        <f>IFERROR(INDEX(PP_Grid[#Data],$DE758,44),0)</f>
        <v/>
      </c>
      <c r="AV758">
        <f>IFERROR(INDEX(PP_Grid[#Data],$DE758,45),0)</f>
        <v/>
      </c>
      <c r="AW758">
        <f>IFERROR(INDEX(PP_Grid[#Data],$DE758,46),0)</f>
        <v/>
      </c>
      <c r="AX758">
        <f>IFERROR(INDEX(PP_Grid[#Data],$DE758,47),0)</f>
        <v/>
      </c>
      <c r="AY758">
        <f>IFERROR(INDEX(PP_Grid[#Data],$DE758,48),0)</f>
        <v/>
      </c>
      <c r="AZ758">
        <f>IFERROR(INDEX(PP_Grid[#Data],$DE758,49),0)</f>
        <v/>
      </c>
      <c r="BA758">
        <f>IFERROR(INDEX(PP_Grid[#Data],$DE758,50),0)</f>
        <v/>
      </c>
      <c r="BB758">
        <f>IFERROR(INDEX(PP_Grid[#Data],$DE758,51),0)</f>
        <v/>
      </c>
      <c r="BC758">
        <f>IFERROR(INDEX(PP_Grid[#Data],$DE758,52),0)</f>
        <v/>
      </c>
      <c r="BD758">
        <f>IFERROR(INDEX(PP_Grid[#Data],$DE758,53),0)</f>
        <v/>
      </c>
      <c r="BE758">
        <f>IFERROR(INDEX(PP_Grid[#Data],$DE758,54),0)</f>
        <v/>
      </c>
      <c r="BF758">
        <f>IFERROR(INDEX(PP_Grid[#Data],$DE758,55),0)</f>
        <v/>
      </c>
      <c r="BG758">
        <f>IFERROR(INDEX(PP_Grid[#Data],$DE758,56),0)</f>
        <v/>
      </c>
      <c r="BH758">
        <f>IFERROR(INDEX(PP_Grid[#Data],$DE758,57),0)</f>
        <v/>
      </c>
      <c r="BI758">
        <f>IFERROR(INDEX(PP_Grid[#Data],$DE758,58),0)</f>
        <v/>
      </c>
      <c r="BJ758">
        <f>IFERROR(INDEX(PP_Grid[#Data],$DE758,59),0)</f>
        <v/>
      </c>
      <c r="BK758">
        <f>IFERROR(INDEX(PP_Grid[#Data],$DE758,60),0)</f>
        <v/>
      </c>
      <c r="BL758">
        <f>IFERROR(INDEX(PP_Grid[#Data],$DE758,61),0)</f>
        <v/>
      </c>
      <c r="BM758">
        <f>IFERROR(INDEX(PP_Grid[#Data],$DE758,62),0)</f>
        <v/>
      </c>
      <c r="BN758">
        <f>IFERROR(INDEX(PP_Grid[#Data],$DE758,63),0)</f>
        <v/>
      </c>
      <c r="BO758">
        <f>IFERROR(INDEX(PP_Grid[#Data],$DE758,64),0)</f>
        <v/>
      </c>
      <c r="BP758">
        <f>IFERROR(INDEX(PP_Grid[#Data],$DE758,65),0)</f>
        <v/>
      </c>
      <c r="BQ758">
        <f>IFERROR(INDEX(PP_Grid[#Data],$DE758,66),0)</f>
        <v/>
      </c>
      <c r="BR758">
        <f>IFERROR(INDEX(PP_Grid[#Data],$DE758,67),0)</f>
        <v/>
      </c>
      <c r="BS758">
        <f>IFERROR(INDEX(PP_Grid[#Data],$DE758,68),0)</f>
        <v/>
      </c>
      <c r="BT758">
        <f>IFERROR(INDEX(PP_Grid[#Data],$DE758,69),0)</f>
        <v/>
      </c>
      <c r="BU758">
        <f>IFERROR(INDEX(PP_Grid[#Data],$DE758,70),0)</f>
        <v/>
      </c>
      <c r="BV758">
        <f>IFERROR(INDEX(PP_Grid[#Data],$DE758,71),0)</f>
        <v/>
      </c>
      <c r="BW758">
        <f>IFERROR(INDEX(PP_Grid[#Data],$DE758,72),0)</f>
        <v/>
      </c>
      <c r="BX758">
        <f>IFERROR(INDEX(PP_Grid[#Data],$DE758,73),0)</f>
        <v/>
      </c>
      <c r="BY758">
        <f>IFERROR(INDEX(PP_Grid[#Data],$DE758,74),0)</f>
        <v/>
      </c>
      <c r="BZ758">
        <f>IFERROR(INDEX(PP_Grid[#Data],$DE758,75),0)</f>
        <v/>
      </c>
      <c r="CA758">
        <f>IFERROR(INDEX(PP_Grid[#Data],$DE758,76),0)</f>
        <v/>
      </c>
      <c r="CB758">
        <f>IFERROR(INDEX(PP_Grid[#Data],$DE758,77),0)</f>
        <v/>
      </c>
      <c r="CC758">
        <f>IFERROR(INDEX(PP_Grid[#Data],$DE758,78),0)</f>
        <v/>
      </c>
      <c r="CD758">
        <f>IFERROR(INDEX(PP_Grid[#Data],$DE758,79),0)</f>
        <v/>
      </c>
      <c r="CE758">
        <f>IFERROR(INDEX(PP_Grid[#Data],$DE758,80),0)</f>
        <v/>
      </c>
      <c r="CF758">
        <f>IFERROR(INDEX(PP_Grid[#Data],$DE758,81),0)</f>
        <v/>
      </c>
      <c r="CG758">
        <f>IFERROR(INDEX(PP_Grid[#Data],$DE758,82),0)</f>
        <v/>
      </c>
      <c r="CH758">
        <f>IFERROR(INDEX(PP_Grid[#Data],$DE758,83),0)</f>
        <v/>
      </c>
      <c r="CI758">
        <f>IFERROR(INDEX(PP_Grid[#Data],$DE758,84),0)</f>
        <v/>
      </c>
      <c r="CJ758">
        <f>IFERROR(INDEX(PP_Grid[#Data],$DE758,85),0)</f>
        <v/>
      </c>
      <c r="CK758">
        <f>IFERROR(INDEX(PP_Grid[#Data],$DE758,86),0)</f>
        <v/>
      </c>
      <c r="CL758">
        <f>IFERROR(INDEX(PP_Grid[#Data],$DE758,87),0)</f>
        <v/>
      </c>
      <c r="CM758">
        <f>IFERROR(INDEX(PP_Grid[#Data],$DE758,88),0)</f>
        <v/>
      </c>
      <c r="CN758">
        <f>IFERROR(INDEX(PP_Grid[#Data],$DE758,89),0)</f>
        <v/>
      </c>
      <c r="CO758">
        <f>IFERROR(INDEX(PP_Grid[#Data],$DE758,90),0)</f>
        <v/>
      </c>
      <c r="CP758">
        <f>IFERROR(INDEX(PP_Grid[#Data],$DE758,91),0)</f>
        <v/>
      </c>
      <c r="CQ758">
        <f>IFERROR(INDEX(PP_Grid[#Data],$DE758,92),0)</f>
        <v/>
      </c>
      <c r="CR758">
        <f>IFERROR(INDEX(PP_Grid[#Data],$DE758,93),0)</f>
        <v/>
      </c>
      <c r="CS758">
        <f>IFERROR(INDEX(PP_Grid[#Data],$DE758,94),0)</f>
        <v/>
      </c>
      <c r="CT758">
        <f>IFERROR(INDEX(PP_Grid[#Data],$DE758,95),0)</f>
        <v/>
      </c>
      <c r="CU758">
        <f>IFERROR(INDEX(PP_Grid[#Data],$DE758,96),0)</f>
        <v/>
      </c>
      <c r="CV758">
        <f>IFERROR(INDEX(PP_Grid[#Data],$DE758,97),0)</f>
        <v/>
      </c>
      <c r="CW758">
        <f>IFERROR(INDEX(PP_Grid[#Data],$DE758,98),0)</f>
        <v/>
      </c>
      <c r="CX758">
        <f>IFERROR(INDEX(PP_Grid[#Data],$DE758,99),0)</f>
        <v/>
      </c>
      <c r="CY758">
        <f>IFERROR(INDEX(PP_Grid[#Data],$DE758,100),0)</f>
        <v/>
      </c>
      <c r="CZ758">
        <f>IFERROR(INDEX(PP_Grid[#Data],$DE758,101),0)</f>
        <v/>
      </c>
      <c r="DA758">
        <f>IFERROR(INDEX(PP_Grid[#Data],$DE758,102),0)</f>
        <v/>
      </c>
      <c r="DB758">
        <f>IFERROR(INDEX(PP_Grid[#Data],$DE758,103),0)</f>
        <v/>
      </c>
      <c r="DC758">
        <f>IFERROR(INDEX(PP_Grid[#Data],$DE758,104),0)</f>
        <v/>
      </c>
      <c r="DD758">
        <f>IFERROR(INDEX(PP_Grid[#Data],$DE758,105),0)</f>
        <v/>
      </c>
      <c r="DE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SUMIFS(M_BOM[RM_Qty_Per_Batch],M_BOM[Intermediate],$B758,M_BOM[RM_Code],$A745)</f>
        <v/>
      </c>
      <c r="D759">
        <f>IFERROR(INDEX(E759:DD759,$F$1),"")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  <c r="DD759">
        <f>$C759*DD758</f>
        <v/>
      </c>
    </row>
    <row r="760">
      <c r="B760" s="4" t="inlineStr">
        <is>
          <t>合計使用量(kg)/週</t>
        </is>
      </c>
      <c r="D760" s="23">
        <f>IFERROR(INDEX(E760:DD760,$F$1),"")</f>
        <v/>
      </c>
      <c r="E760">
        <f>'Grid_Requirement'!B47</f>
        <v/>
      </c>
      <c r="F760">
        <f>'Grid_Requirement'!C47</f>
        <v/>
      </c>
      <c r="G760">
        <f>'Grid_Requirement'!D47</f>
        <v/>
      </c>
      <c r="H760">
        <f>'Grid_Requirement'!E47</f>
        <v/>
      </c>
      <c r="I760">
        <f>'Grid_Requirement'!F47</f>
        <v/>
      </c>
      <c r="J760">
        <f>'Grid_Requirement'!G47</f>
        <v/>
      </c>
      <c r="K760">
        <f>'Grid_Requirement'!H47</f>
        <v/>
      </c>
      <c r="L760">
        <f>'Grid_Requirement'!I47</f>
        <v/>
      </c>
      <c r="M760">
        <f>'Grid_Requirement'!J47</f>
        <v/>
      </c>
      <c r="N760">
        <f>'Grid_Requirement'!K47</f>
        <v/>
      </c>
      <c r="O760">
        <f>'Grid_Requirement'!L47</f>
        <v/>
      </c>
      <c r="P760">
        <f>'Grid_Requirement'!M47</f>
        <v/>
      </c>
      <c r="Q760">
        <f>'Grid_Requirement'!N47</f>
        <v/>
      </c>
      <c r="R760">
        <f>'Grid_Requirement'!O47</f>
        <v/>
      </c>
      <c r="S760">
        <f>'Grid_Requirement'!P47</f>
        <v/>
      </c>
      <c r="T760">
        <f>'Grid_Requirement'!Q47</f>
        <v/>
      </c>
      <c r="U760">
        <f>'Grid_Requirement'!R47</f>
        <v/>
      </c>
      <c r="V760">
        <f>'Grid_Requirement'!S47</f>
        <v/>
      </c>
      <c r="W760">
        <f>'Grid_Requirement'!T47</f>
        <v/>
      </c>
      <c r="X760">
        <f>'Grid_Requirement'!U47</f>
        <v/>
      </c>
      <c r="Y760">
        <f>'Grid_Requirement'!V47</f>
        <v/>
      </c>
      <c r="Z760">
        <f>'Grid_Requirement'!W47</f>
        <v/>
      </c>
      <c r="AA760">
        <f>'Grid_Requirement'!X47</f>
        <v/>
      </c>
      <c r="AB760">
        <f>'Grid_Requirement'!Y47</f>
        <v/>
      </c>
      <c r="AC760">
        <f>'Grid_Requirement'!Z47</f>
        <v/>
      </c>
      <c r="AD760">
        <f>'Grid_Requirement'!AA47</f>
        <v/>
      </c>
      <c r="AE760">
        <f>'Grid_Requirement'!AB47</f>
        <v/>
      </c>
      <c r="AF760">
        <f>'Grid_Requirement'!AC47</f>
        <v/>
      </c>
      <c r="AG760">
        <f>'Grid_Requirement'!AD47</f>
        <v/>
      </c>
      <c r="AH760">
        <f>'Grid_Requirement'!AE47</f>
        <v/>
      </c>
      <c r="AI760">
        <f>'Grid_Requirement'!AF47</f>
        <v/>
      </c>
      <c r="AJ760">
        <f>'Grid_Requirement'!AG47</f>
        <v/>
      </c>
      <c r="AK760">
        <f>'Grid_Requirement'!AH47</f>
        <v/>
      </c>
      <c r="AL760">
        <f>'Grid_Requirement'!AI47</f>
        <v/>
      </c>
      <c r="AM760">
        <f>'Grid_Requirement'!AJ47</f>
        <v/>
      </c>
      <c r="AN760">
        <f>'Grid_Requirement'!AK47</f>
        <v/>
      </c>
      <c r="AO760">
        <f>'Grid_Requirement'!AL47</f>
        <v/>
      </c>
      <c r="AP760">
        <f>'Grid_Requirement'!AM47</f>
        <v/>
      </c>
      <c r="AQ760">
        <f>'Grid_Requirement'!AN47</f>
        <v/>
      </c>
      <c r="AR760">
        <f>'Grid_Requirement'!AO47</f>
        <v/>
      </c>
      <c r="AS760">
        <f>'Grid_Requirement'!AP47</f>
        <v/>
      </c>
      <c r="AT760">
        <f>'Grid_Requirement'!AQ47</f>
        <v/>
      </c>
      <c r="AU760">
        <f>'Grid_Requirement'!AR47</f>
        <v/>
      </c>
      <c r="AV760">
        <f>'Grid_Requirement'!AS47</f>
        <v/>
      </c>
      <c r="AW760">
        <f>'Grid_Requirement'!AT47</f>
        <v/>
      </c>
      <c r="AX760">
        <f>'Grid_Requirement'!AU47</f>
        <v/>
      </c>
      <c r="AY760">
        <f>'Grid_Requirement'!AV47</f>
        <v/>
      </c>
      <c r="AZ760">
        <f>'Grid_Requirement'!AW47</f>
        <v/>
      </c>
      <c r="BA760">
        <f>'Grid_Requirement'!AX47</f>
        <v/>
      </c>
      <c r="BB760">
        <f>'Grid_Requirement'!AY47</f>
        <v/>
      </c>
      <c r="BC760">
        <f>'Grid_Requirement'!AZ47</f>
        <v/>
      </c>
      <c r="BD760">
        <f>'Grid_Requirement'!BA47</f>
        <v/>
      </c>
      <c r="BE760">
        <f>'Grid_Requirement'!BB47</f>
        <v/>
      </c>
      <c r="BF760">
        <f>'Grid_Requirement'!BC47</f>
        <v/>
      </c>
      <c r="BG760">
        <f>'Grid_Requirement'!BD47</f>
        <v/>
      </c>
      <c r="BH760">
        <f>'Grid_Requirement'!BE47</f>
        <v/>
      </c>
      <c r="BI760">
        <f>'Grid_Requirement'!BF47</f>
        <v/>
      </c>
      <c r="BJ760">
        <f>'Grid_Requirement'!BG47</f>
        <v/>
      </c>
      <c r="BK760">
        <f>'Grid_Requirement'!BH47</f>
        <v/>
      </c>
      <c r="BL760">
        <f>'Grid_Requirement'!BI47</f>
        <v/>
      </c>
      <c r="BM760">
        <f>'Grid_Requirement'!BJ47</f>
        <v/>
      </c>
      <c r="BN760">
        <f>'Grid_Requirement'!BK47</f>
        <v/>
      </c>
      <c r="BO760">
        <f>'Grid_Requirement'!BL47</f>
        <v/>
      </c>
      <c r="BP760">
        <f>'Grid_Requirement'!BM47</f>
        <v/>
      </c>
      <c r="BQ760">
        <f>'Grid_Requirement'!BN47</f>
        <v/>
      </c>
      <c r="BR760">
        <f>'Grid_Requirement'!BO47</f>
        <v/>
      </c>
      <c r="BS760">
        <f>'Grid_Requirement'!BP47</f>
        <v/>
      </c>
      <c r="BT760">
        <f>'Grid_Requirement'!BQ47</f>
        <v/>
      </c>
      <c r="BU760">
        <f>'Grid_Requirement'!BR47</f>
        <v/>
      </c>
      <c r="BV760">
        <f>'Grid_Requirement'!BS47</f>
        <v/>
      </c>
      <c r="BW760">
        <f>'Grid_Requirement'!BT47</f>
        <v/>
      </c>
      <c r="BX760">
        <f>'Grid_Requirement'!BU47</f>
        <v/>
      </c>
      <c r="BY760">
        <f>'Grid_Requirement'!BV47</f>
        <v/>
      </c>
      <c r="BZ760">
        <f>'Grid_Requirement'!BW47</f>
        <v/>
      </c>
      <c r="CA760">
        <f>'Grid_Requirement'!BX47</f>
        <v/>
      </c>
      <c r="CB760">
        <f>'Grid_Requirement'!BY47</f>
        <v/>
      </c>
      <c r="CC760">
        <f>'Grid_Requirement'!BZ47</f>
        <v/>
      </c>
      <c r="CD760">
        <f>'Grid_Requirement'!CA47</f>
        <v/>
      </c>
      <c r="CE760">
        <f>'Grid_Requirement'!CB47</f>
        <v/>
      </c>
      <c r="CF760">
        <f>'Grid_Requirement'!CC47</f>
        <v/>
      </c>
      <c r="CG760">
        <f>'Grid_Requirement'!CD47</f>
        <v/>
      </c>
      <c r="CH760">
        <f>'Grid_Requirement'!CE47</f>
        <v/>
      </c>
      <c r="CI760">
        <f>'Grid_Requirement'!CF47</f>
        <v/>
      </c>
      <c r="CJ760">
        <f>'Grid_Requirement'!CG47</f>
        <v/>
      </c>
      <c r="CK760">
        <f>'Grid_Requirement'!CH47</f>
        <v/>
      </c>
      <c r="CL760">
        <f>'Grid_Requirement'!CI47</f>
        <v/>
      </c>
      <c r="CM760">
        <f>'Grid_Requirement'!CJ47</f>
        <v/>
      </c>
      <c r="CN760">
        <f>'Grid_Requirement'!CK47</f>
        <v/>
      </c>
      <c r="CO760">
        <f>'Grid_Requirement'!CL47</f>
        <v/>
      </c>
      <c r="CP760">
        <f>'Grid_Requirement'!CM47</f>
        <v/>
      </c>
      <c r="CQ760">
        <f>'Grid_Requirement'!CN47</f>
        <v/>
      </c>
      <c r="CR760">
        <f>'Grid_Requirement'!CO47</f>
        <v/>
      </c>
      <c r="CS760">
        <f>'Grid_Requirement'!CP47</f>
        <v/>
      </c>
      <c r="CT760">
        <f>'Grid_Requirement'!CQ47</f>
        <v/>
      </c>
      <c r="CU760">
        <f>'Grid_Requirement'!CR47</f>
        <v/>
      </c>
      <c r="CV760">
        <f>'Grid_Requirement'!CS47</f>
        <v/>
      </c>
      <c r="CW760">
        <f>'Grid_Requirement'!CT47</f>
        <v/>
      </c>
      <c r="CX760">
        <f>'Grid_Requirement'!CU47</f>
        <v/>
      </c>
      <c r="CY760">
        <f>'Grid_Requirement'!CV47</f>
        <v/>
      </c>
      <c r="CZ760">
        <f>'Grid_Requirement'!CW47</f>
        <v/>
      </c>
      <c r="DA760">
        <f>'Grid_Requirement'!CX47</f>
        <v/>
      </c>
      <c r="DB760">
        <f>'Grid_Requirement'!CY47</f>
        <v/>
      </c>
      <c r="DC760">
        <f>'Grid_Requirement'!CZ47</f>
        <v/>
      </c>
      <c r="DD760">
        <f>'Grid_Requirement'!DA47</f>
        <v/>
      </c>
    </row>
    <row r="761">
      <c r="B761" t="inlineStr">
        <is>
          <t>TTAF在庫(実績,kg)</t>
        </is>
      </c>
      <c r="D761">
        <f>IFERROR(INDEX(E761:DD761,$F$1),"")</f>
        <v/>
      </c>
      <c r="E761">
        <f>IFERROR(SUMIFS(T_TTAFStock[TTAF_Qty],T_TTAFStock[RM_Code],$A745,T_TTAFStock[WeekIndex],1),"")</f>
        <v/>
      </c>
      <c r="F761">
        <f>IFERROR(SUMIFS(T_TTAFStock[TTAF_Qty],T_TTAFStock[RM_Code],$A745,T_TTAFStock[WeekIndex],2),"")</f>
        <v/>
      </c>
      <c r="G761">
        <f>IFERROR(SUMIFS(T_TTAFStock[TTAF_Qty],T_TTAFStock[RM_Code],$A745,T_TTAFStock[WeekIndex],3),"")</f>
        <v/>
      </c>
      <c r="H761">
        <f>IFERROR(SUMIFS(T_TTAFStock[TTAF_Qty],T_TTAFStock[RM_Code],$A745,T_TTAFStock[WeekIndex],4),"")</f>
        <v/>
      </c>
      <c r="I761">
        <f>IFERROR(SUMIFS(T_TTAFStock[TTAF_Qty],T_TTAFStock[RM_Code],$A745,T_TTAFStock[WeekIndex],5),"")</f>
        <v/>
      </c>
      <c r="J761">
        <f>IFERROR(SUMIFS(T_TTAFStock[TTAF_Qty],T_TTAFStock[RM_Code],$A745,T_TTAFStock[WeekIndex],6),"")</f>
        <v/>
      </c>
      <c r="K761">
        <f>IFERROR(SUMIFS(T_TTAFStock[TTAF_Qty],T_TTAFStock[RM_Code],$A745,T_TTAFStock[WeekIndex],7),"")</f>
        <v/>
      </c>
      <c r="L761">
        <f>IFERROR(SUMIFS(T_TTAFStock[TTAF_Qty],T_TTAFStock[RM_Code],$A745,T_TTAFStock[WeekIndex],8),"")</f>
        <v/>
      </c>
      <c r="M761">
        <f>IFERROR(SUMIFS(T_TTAFStock[TTAF_Qty],T_TTAFStock[RM_Code],$A745,T_TTAFStock[WeekIndex],9),"")</f>
        <v/>
      </c>
      <c r="N761">
        <f>IFERROR(SUMIFS(T_TTAFStock[TTAF_Qty],T_TTAFStock[RM_Code],$A745,T_TTAFStock[WeekIndex],10),"")</f>
        <v/>
      </c>
      <c r="O761">
        <f>IFERROR(SUMIFS(T_TTAFStock[TTAF_Qty],T_TTAFStock[RM_Code],$A745,T_TTAFStock[WeekIndex],11),"")</f>
        <v/>
      </c>
      <c r="P761">
        <f>IFERROR(SUMIFS(T_TTAFStock[TTAF_Qty],T_TTAFStock[RM_Code],$A745,T_TTAFStock[WeekIndex],12),"")</f>
        <v/>
      </c>
      <c r="Q761">
        <f>IFERROR(SUMIFS(T_TTAFStock[TTAF_Qty],T_TTAFStock[RM_Code],$A745,T_TTAFStock[WeekIndex],13),"")</f>
        <v/>
      </c>
      <c r="R761">
        <f>IFERROR(SUMIFS(T_TTAFStock[TTAF_Qty],T_TTAFStock[RM_Code],$A745,T_TTAFStock[WeekIndex],14),"")</f>
        <v/>
      </c>
      <c r="S761">
        <f>IFERROR(SUMIFS(T_TTAFStock[TTAF_Qty],T_TTAFStock[RM_Code],$A745,T_TTAFStock[WeekIndex],15),"")</f>
        <v/>
      </c>
      <c r="T761">
        <f>IFERROR(SUMIFS(T_TTAFStock[TTAF_Qty],T_TTAFStock[RM_Code],$A745,T_TTAFStock[WeekIndex],16),"")</f>
        <v/>
      </c>
      <c r="U761">
        <f>IFERROR(SUMIFS(T_TTAFStock[TTAF_Qty],T_TTAFStock[RM_Code],$A745,T_TTAFStock[WeekIndex],17),"")</f>
        <v/>
      </c>
      <c r="V761">
        <f>IFERROR(SUMIFS(T_TTAFStock[TTAF_Qty],T_TTAFStock[RM_Code],$A745,T_TTAFStock[WeekIndex],18),"")</f>
        <v/>
      </c>
      <c r="W761">
        <f>IFERROR(SUMIFS(T_TTAFStock[TTAF_Qty],T_TTAFStock[RM_Code],$A745,T_TTAFStock[WeekIndex],19),"")</f>
        <v/>
      </c>
      <c r="X761">
        <f>IFERROR(SUMIFS(T_TTAFStock[TTAF_Qty],T_TTAFStock[RM_Code],$A745,T_TTAFStock[WeekIndex],20),"")</f>
        <v/>
      </c>
      <c r="Y761">
        <f>IFERROR(SUMIFS(T_TTAFStock[TTAF_Qty],T_TTAFStock[RM_Code],$A745,T_TTAFStock[WeekIndex],21),"")</f>
        <v/>
      </c>
      <c r="Z761">
        <f>IFERROR(SUMIFS(T_TTAFStock[TTAF_Qty],T_TTAFStock[RM_Code],$A745,T_TTAFStock[WeekIndex],22),"")</f>
        <v/>
      </c>
      <c r="AA761">
        <f>IFERROR(SUMIFS(T_TTAFStock[TTAF_Qty],T_TTAFStock[RM_Code],$A745,T_TTAFStock[WeekIndex],23),"")</f>
        <v/>
      </c>
      <c r="AB761">
        <f>IFERROR(SUMIFS(T_TTAFStock[TTAF_Qty],T_TTAFStock[RM_Code],$A745,T_TTAFStock[WeekIndex],24),"")</f>
        <v/>
      </c>
      <c r="AC761">
        <f>IFERROR(SUMIFS(T_TTAFStock[TTAF_Qty],T_TTAFStock[RM_Code],$A745,T_TTAFStock[WeekIndex],25),"")</f>
        <v/>
      </c>
      <c r="AD761">
        <f>IFERROR(SUMIFS(T_TTAFStock[TTAF_Qty],T_TTAFStock[RM_Code],$A745,T_TTAFStock[WeekIndex],26),"")</f>
        <v/>
      </c>
      <c r="AE761">
        <f>IFERROR(SUMIFS(T_TTAFStock[TTAF_Qty],T_TTAFStock[RM_Code],$A745,T_TTAFStock[WeekIndex],27),"")</f>
        <v/>
      </c>
      <c r="AF761">
        <f>IFERROR(SUMIFS(T_TTAFStock[TTAF_Qty],T_TTAFStock[RM_Code],$A745,T_TTAFStock[WeekIndex],28),"")</f>
        <v/>
      </c>
      <c r="AG761">
        <f>IFERROR(SUMIFS(T_TTAFStock[TTAF_Qty],T_TTAFStock[RM_Code],$A745,T_TTAFStock[WeekIndex],29),"")</f>
        <v/>
      </c>
      <c r="AH761">
        <f>IFERROR(SUMIFS(T_TTAFStock[TTAF_Qty],T_TTAFStock[RM_Code],$A745,T_TTAFStock[WeekIndex],30),"")</f>
        <v/>
      </c>
      <c r="AI761">
        <f>IFERROR(SUMIFS(T_TTAFStock[TTAF_Qty],T_TTAFStock[RM_Code],$A745,T_TTAFStock[WeekIndex],31),"")</f>
        <v/>
      </c>
      <c r="AJ761">
        <f>IFERROR(SUMIFS(T_TTAFStock[TTAF_Qty],T_TTAFStock[RM_Code],$A745,T_TTAFStock[WeekIndex],32),"")</f>
        <v/>
      </c>
      <c r="AK761">
        <f>IFERROR(SUMIFS(T_TTAFStock[TTAF_Qty],T_TTAFStock[RM_Code],$A745,T_TTAFStock[WeekIndex],33),"")</f>
        <v/>
      </c>
      <c r="AL761">
        <f>IFERROR(SUMIFS(T_TTAFStock[TTAF_Qty],T_TTAFStock[RM_Code],$A745,T_TTAFStock[WeekIndex],34),"")</f>
        <v/>
      </c>
      <c r="AM761">
        <f>IFERROR(SUMIFS(T_TTAFStock[TTAF_Qty],T_TTAFStock[RM_Code],$A745,T_TTAFStock[WeekIndex],35),"")</f>
        <v/>
      </c>
      <c r="AN761">
        <f>IFERROR(SUMIFS(T_TTAFStock[TTAF_Qty],T_TTAFStock[RM_Code],$A745,T_TTAFStock[WeekIndex],36),"")</f>
        <v/>
      </c>
      <c r="AO761">
        <f>IFERROR(SUMIFS(T_TTAFStock[TTAF_Qty],T_TTAFStock[RM_Code],$A745,T_TTAFStock[WeekIndex],37),"")</f>
        <v/>
      </c>
      <c r="AP761">
        <f>IFERROR(SUMIFS(T_TTAFStock[TTAF_Qty],T_TTAFStock[RM_Code],$A745,T_TTAFStock[WeekIndex],38),"")</f>
        <v/>
      </c>
      <c r="AQ761">
        <f>IFERROR(SUMIFS(T_TTAFStock[TTAF_Qty],T_TTAFStock[RM_Code],$A745,T_TTAFStock[WeekIndex],39),"")</f>
        <v/>
      </c>
      <c r="AR761">
        <f>IFERROR(SUMIFS(T_TTAFStock[TTAF_Qty],T_TTAFStock[RM_Code],$A745,T_TTAFStock[WeekIndex],40),"")</f>
        <v/>
      </c>
      <c r="AS761">
        <f>IFERROR(SUMIFS(T_TTAFStock[TTAF_Qty],T_TTAFStock[RM_Code],$A745,T_TTAFStock[WeekIndex],41),"")</f>
        <v/>
      </c>
      <c r="AT761">
        <f>IFERROR(SUMIFS(T_TTAFStock[TTAF_Qty],T_TTAFStock[RM_Code],$A745,T_TTAFStock[WeekIndex],42),"")</f>
        <v/>
      </c>
      <c r="AU761">
        <f>IFERROR(SUMIFS(T_TTAFStock[TTAF_Qty],T_TTAFStock[RM_Code],$A745,T_TTAFStock[WeekIndex],43),"")</f>
        <v/>
      </c>
      <c r="AV761">
        <f>IFERROR(SUMIFS(T_TTAFStock[TTAF_Qty],T_TTAFStock[RM_Code],$A745,T_TTAFStock[WeekIndex],44),"")</f>
        <v/>
      </c>
      <c r="AW761">
        <f>IFERROR(SUMIFS(T_TTAFStock[TTAF_Qty],T_TTAFStock[RM_Code],$A745,T_TTAFStock[WeekIndex],45),"")</f>
        <v/>
      </c>
      <c r="AX761">
        <f>IFERROR(SUMIFS(T_TTAFStock[TTAF_Qty],T_TTAFStock[RM_Code],$A745,T_TTAFStock[WeekIndex],46),"")</f>
        <v/>
      </c>
      <c r="AY761">
        <f>IFERROR(SUMIFS(T_TTAFStock[TTAF_Qty],T_TTAFStock[RM_Code],$A745,T_TTAFStock[WeekIndex],47),"")</f>
        <v/>
      </c>
      <c r="AZ761">
        <f>IFERROR(SUMIFS(T_TTAFStock[TTAF_Qty],T_TTAFStock[RM_Code],$A745,T_TTAFStock[WeekIndex],48),"")</f>
        <v/>
      </c>
      <c r="BA761">
        <f>IFERROR(SUMIFS(T_TTAFStock[TTAF_Qty],T_TTAFStock[RM_Code],$A745,T_TTAFStock[WeekIndex],49),"")</f>
        <v/>
      </c>
      <c r="BB761">
        <f>IFERROR(SUMIFS(T_TTAFStock[TTAF_Qty],T_TTAFStock[RM_Code],$A745,T_TTAFStock[WeekIndex],50),"")</f>
        <v/>
      </c>
      <c r="BC761">
        <f>IFERROR(SUMIFS(T_TTAFStock[TTAF_Qty],T_TTAFStock[RM_Code],$A745,T_TTAFStock[WeekIndex],51),"")</f>
        <v/>
      </c>
      <c r="BD761">
        <f>IFERROR(SUMIFS(T_TTAFStock[TTAF_Qty],T_TTAFStock[RM_Code],$A745,T_TTAFStock[WeekIndex],52),"")</f>
        <v/>
      </c>
      <c r="BE761">
        <f>IFERROR(SUMIFS(T_TTAFStock[TTAF_Qty],T_TTAFStock[RM_Code],$A745,T_TTAFStock[WeekIndex],53),"")</f>
        <v/>
      </c>
      <c r="BF761">
        <f>IFERROR(SUMIFS(T_TTAFStock[TTAF_Qty],T_TTAFStock[RM_Code],$A745,T_TTAFStock[WeekIndex],54),"")</f>
        <v/>
      </c>
      <c r="BG761">
        <f>IFERROR(SUMIFS(T_TTAFStock[TTAF_Qty],T_TTAFStock[RM_Code],$A745,T_TTAFStock[WeekIndex],55),"")</f>
        <v/>
      </c>
      <c r="BH761">
        <f>IFERROR(SUMIFS(T_TTAFStock[TTAF_Qty],T_TTAFStock[RM_Code],$A745,T_TTAFStock[WeekIndex],56),"")</f>
        <v/>
      </c>
      <c r="BI761">
        <f>IFERROR(SUMIFS(T_TTAFStock[TTAF_Qty],T_TTAFStock[RM_Code],$A745,T_TTAFStock[WeekIndex],57),"")</f>
        <v/>
      </c>
      <c r="BJ761">
        <f>IFERROR(SUMIFS(T_TTAFStock[TTAF_Qty],T_TTAFStock[RM_Code],$A745,T_TTAFStock[WeekIndex],58),"")</f>
        <v/>
      </c>
      <c r="BK761">
        <f>IFERROR(SUMIFS(T_TTAFStock[TTAF_Qty],T_TTAFStock[RM_Code],$A745,T_TTAFStock[WeekIndex],59),"")</f>
        <v/>
      </c>
      <c r="BL761">
        <f>IFERROR(SUMIFS(T_TTAFStock[TTAF_Qty],T_TTAFStock[RM_Code],$A745,T_TTAFStock[WeekIndex],60),"")</f>
        <v/>
      </c>
      <c r="BM761">
        <f>IFERROR(SUMIFS(T_TTAFStock[TTAF_Qty],T_TTAFStock[RM_Code],$A745,T_TTAFStock[WeekIndex],61),"")</f>
        <v/>
      </c>
      <c r="BN761">
        <f>IFERROR(SUMIFS(T_TTAFStock[TTAF_Qty],T_TTAFStock[RM_Code],$A745,T_TTAFStock[WeekIndex],62),"")</f>
        <v/>
      </c>
      <c r="BO761">
        <f>IFERROR(SUMIFS(T_TTAFStock[TTAF_Qty],T_TTAFStock[RM_Code],$A745,T_TTAFStock[WeekIndex],63),"")</f>
        <v/>
      </c>
      <c r="BP761">
        <f>IFERROR(SUMIFS(T_TTAFStock[TTAF_Qty],T_TTAFStock[RM_Code],$A745,T_TTAFStock[WeekIndex],64),"")</f>
        <v/>
      </c>
      <c r="BQ761">
        <f>IFERROR(SUMIFS(T_TTAFStock[TTAF_Qty],T_TTAFStock[RM_Code],$A745,T_TTAFStock[WeekIndex],65),"")</f>
        <v/>
      </c>
      <c r="BR761">
        <f>IFERROR(SUMIFS(T_TTAFStock[TTAF_Qty],T_TTAFStock[RM_Code],$A745,T_TTAFStock[WeekIndex],66),"")</f>
        <v/>
      </c>
      <c r="BS761">
        <f>IFERROR(SUMIFS(T_TTAFStock[TTAF_Qty],T_TTAFStock[RM_Code],$A745,T_TTAFStock[WeekIndex],67),"")</f>
        <v/>
      </c>
      <c r="BT761">
        <f>IFERROR(SUMIFS(T_TTAFStock[TTAF_Qty],T_TTAFStock[RM_Code],$A745,T_TTAFStock[WeekIndex],68),"")</f>
        <v/>
      </c>
      <c r="BU761">
        <f>IFERROR(SUMIFS(T_TTAFStock[TTAF_Qty],T_TTAFStock[RM_Code],$A745,T_TTAFStock[WeekIndex],69),"")</f>
        <v/>
      </c>
      <c r="BV761">
        <f>IFERROR(SUMIFS(T_TTAFStock[TTAF_Qty],T_TTAFStock[RM_Code],$A745,T_TTAFStock[WeekIndex],70),"")</f>
        <v/>
      </c>
      <c r="BW761">
        <f>IFERROR(SUMIFS(T_TTAFStock[TTAF_Qty],T_TTAFStock[RM_Code],$A745,T_TTAFStock[WeekIndex],71),"")</f>
        <v/>
      </c>
      <c r="BX761">
        <f>IFERROR(SUMIFS(T_TTAFStock[TTAF_Qty],T_TTAFStock[RM_Code],$A745,T_TTAFStock[WeekIndex],72),"")</f>
        <v/>
      </c>
      <c r="BY761">
        <f>IFERROR(SUMIFS(T_TTAFStock[TTAF_Qty],T_TTAFStock[RM_Code],$A745,T_TTAFStock[WeekIndex],73),"")</f>
        <v/>
      </c>
      <c r="BZ761">
        <f>IFERROR(SUMIFS(T_TTAFStock[TTAF_Qty],T_TTAFStock[RM_Code],$A745,T_TTAFStock[WeekIndex],74),"")</f>
        <v/>
      </c>
      <c r="CA761">
        <f>IFERROR(SUMIFS(T_TTAFStock[TTAF_Qty],T_TTAFStock[RM_Code],$A745,T_TTAFStock[WeekIndex],75),"")</f>
        <v/>
      </c>
      <c r="CB761">
        <f>IFERROR(SUMIFS(T_TTAFStock[TTAF_Qty],T_TTAFStock[RM_Code],$A745,T_TTAFStock[WeekIndex],76),"")</f>
        <v/>
      </c>
      <c r="CC761">
        <f>IFERROR(SUMIFS(T_TTAFStock[TTAF_Qty],T_TTAFStock[RM_Code],$A745,T_TTAFStock[WeekIndex],77),"")</f>
        <v/>
      </c>
      <c r="CD761">
        <f>IFERROR(SUMIFS(T_TTAFStock[TTAF_Qty],T_TTAFStock[RM_Code],$A745,T_TTAFStock[WeekIndex],78),"")</f>
        <v/>
      </c>
      <c r="CE761">
        <f>IFERROR(SUMIFS(T_TTAFStock[TTAF_Qty],T_TTAFStock[RM_Code],$A745,T_TTAFStock[WeekIndex],79),"")</f>
        <v/>
      </c>
      <c r="CF761">
        <f>IFERROR(SUMIFS(T_TTAFStock[TTAF_Qty],T_TTAFStock[RM_Code],$A745,T_TTAFStock[WeekIndex],80),"")</f>
        <v/>
      </c>
      <c r="CG761">
        <f>IFERROR(SUMIFS(T_TTAFStock[TTAF_Qty],T_TTAFStock[RM_Code],$A745,T_TTAFStock[WeekIndex],81),"")</f>
        <v/>
      </c>
      <c r="CH761">
        <f>IFERROR(SUMIFS(T_TTAFStock[TTAF_Qty],T_TTAFStock[RM_Code],$A745,T_TTAFStock[WeekIndex],82),"")</f>
        <v/>
      </c>
      <c r="CI761">
        <f>IFERROR(SUMIFS(T_TTAFStock[TTAF_Qty],T_TTAFStock[RM_Code],$A745,T_TTAFStock[WeekIndex],83),"")</f>
        <v/>
      </c>
      <c r="CJ761">
        <f>IFERROR(SUMIFS(T_TTAFStock[TTAF_Qty],T_TTAFStock[RM_Code],$A745,T_TTAFStock[WeekIndex],84),"")</f>
        <v/>
      </c>
      <c r="CK761">
        <f>IFERROR(SUMIFS(T_TTAFStock[TTAF_Qty],T_TTAFStock[RM_Code],$A745,T_TTAFStock[WeekIndex],85),"")</f>
        <v/>
      </c>
      <c r="CL761">
        <f>IFERROR(SUMIFS(T_TTAFStock[TTAF_Qty],T_TTAFStock[RM_Code],$A745,T_TTAFStock[WeekIndex],86),"")</f>
        <v/>
      </c>
      <c r="CM761">
        <f>IFERROR(SUMIFS(T_TTAFStock[TTAF_Qty],T_TTAFStock[RM_Code],$A745,T_TTAFStock[WeekIndex],87),"")</f>
        <v/>
      </c>
      <c r="CN761">
        <f>IFERROR(SUMIFS(T_TTAFStock[TTAF_Qty],T_TTAFStock[RM_Code],$A745,T_TTAFStock[WeekIndex],88),"")</f>
        <v/>
      </c>
      <c r="CO761">
        <f>IFERROR(SUMIFS(T_TTAFStock[TTAF_Qty],T_TTAFStock[RM_Code],$A745,T_TTAFStock[WeekIndex],89),"")</f>
        <v/>
      </c>
      <c r="CP761">
        <f>IFERROR(SUMIFS(T_TTAFStock[TTAF_Qty],T_TTAFStock[RM_Code],$A745,T_TTAFStock[WeekIndex],90),"")</f>
        <v/>
      </c>
      <c r="CQ761">
        <f>IFERROR(SUMIFS(T_TTAFStock[TTAF_Qty],T_TTAFStock[RM_Code],$A745,T_TTAFStock[WeekIndex],91),"")</f>
        <v/>
      </c>
      <c r="CR761">
        <f>IFERROR(SUMIFS(T_TTAFStock[TTAF_Qty],T_TTAFStock[RM_Code],$A745,T_TTAFStock[WeekIndex],92),"")</f>
        <v/>
      </c>
      <c r="CS761">
        <f>IFERROR(SUMIFS(T_TTAFStock[TTAF_Qty],T_TTAFStock[RM_Code],$A745,T_TTAFStock[WeekIndex],93),"")</f>
        <v/>
      </c>
      <c r="CT761">
        <f>IFERROR(SUMIFS(T_TTAFStock[TTAF_Qty],T_TTAFStock[RM_Code],$A745,T_TTAFStock[WeekIndex],94),"")</f>
        <v/>
      </c>
      <c r="CU761">
        <f>IFERROR(SUMIFS(T_TTAFStock[TTAF_Qty],T_TTAFStock[RM_Code],$A745,T_TTAFStock[WeekIndex],95),"")</f>
        <v/>
      </c>
      <c r="CV761">
        <f>IFERROR(SUMIFS(T_TTAFStock[TTAF_Qty],T_TTAFStock[RM_Code],$A745,T_TTAFStock[WeekIndex],96),"")</f>
        <v/>
      </c>
      <c r="CW761">
        <f>IFERROR(SUMIFS(T_TTAFStock[TTAF_Qty],T_TTAFStock[RM_Code],$A745,T_TTAFStock[WeekIndex],97),"")</f>
        <v/>
      </c>
      <c r="CX761">
        <f>IFERROR(SUMIFS(T_TTAFStock[TTAF_Qty],T_TTAFStock[RM_Code],$A745,T_TTAFStock[WeekIndex],98),"")</f>
        <v/>
      </c>
      <c r="CY761">
        <f>IFERROR(SUMIFS(T_TTAFStock[TTAF_Qty],T_TTAFStock[RM_Code],$A745,T_TTAFStock[WeekIndex],99),"")</f>
        <v/>
      </c>
      <c r="CZ761">
        <f>IFERROR(SUMIFS(T_TTAFStock[TTAF_Qty],T_TTAFStock[RM_Code],$A745,T_TTAFStock[WeekIndex],100),"")</f>
        <v/>
      </c>
      <c r="DA761">
        <f>IFERROR(SUMIFS(T_TTAFStock[TTAF_Qty],T_TTAFStock[RM_Code],$A745,T_TTAFStock[WeekIndex],101),"")</f>
        <v/>
      </c>
      <c r="DB761">
        <f>IFERROR(SUMIFS(T_TTAFStock[TTAF_Qty],T_TTAFStock[RM_Code],$A745,T_TTAFStock[WeekIndex],102),"")</f>
        <v/>
      </c>
      <c r="DC761">
        <f>IFERROR(SUMIFS(T_TTAFStock[TTAF_Qty],T_TTAFStock[RM_Code],$A745,T_TTAFStock[WeekIndex],103),"")</f>
        <v/>
      </c>
      <c r="DD761">
        <f>IFERROR(SUMIFS(T_TTAFStock[TTAF_Qty],T_TTAFStock[RM_Code],$A745,T_TTAFStock[WeekIndex],104),"")</f>
        <v/>
      </c>
    </row>
    <row r="762">
      <c r="B762" t="inlineStr">
        <is>
          <t>自社在庫(実績,kg)</t>
        </is>
      </c>
      <c r="D762">
        <f>IFERROR(INDEX(E762:DD762,$F$1),"")</f>
        <v/>
      </c>
      <c r="E762">
        <f>IFERROR(SUMIFS(T_SelfStock[Self_Qty],T_SelfStock[RM_Code],$A745,T_SelfStock[WeekIndex],1),"")</f>
        <v/>
      </c>
      <c r="F762">
        <f>IFERROR(SUMIFS(T_SelfStock[Self_Qty],T_SelfStock[RM_Code],$A745,T_SelfStock[WeekIndex],2),"")</f>
        <v/>
      </c>
      <c r="G762">
        <f>IFERROR(SUMIFS(T_SelfStock[Self_Qty],T_SelfStock[RM_Code],$A745,T_SelfStock[WeekIndex],3),"")</f>
        <v/>
      </c>
      <c r="H762">
        <f>IFERROR(SUMIFS(T_SelfStock[Self_Qty],T_SelfStock[RM_Code],$A745,T_SelfStock[WeekIndex],4),"")</f>
        <v/>
      </c>
      <c r="I762">
        <f>IFERROR(SUMIFS(T_SelfStock[Self_Qty],T_SelfStock[RM_Code],$A745,T_SelfStock[WeekIndex],5),"")</f>
        <v/>
      </c>
      <c r="J762">
        <f>IFERROR(SUMIFS(T_SelfStock[Self_Qty],T_SelfStock[RM_Code],$A745,T_SelfStock[WeekIndex],6),"")</f>
        <v/>
      </c>
      <c r="K762">
        <f>IFERROR(SUMIFS(T_SelfStock[Self_Qty],T_SelfStock[RM_Code],$A745,T_SelfStock[WeekIndex],7),"")</f>
        <v/>
      </c>
      <c r="L762">
        <f>IFERROR(SUMIFS(T_SelfStock[Self_Qty],T_SelfStock[RM_Code],$A745,T_SelfStock[WeekIndex],8),"")</f>
        <v/>
      </c>
      <c r="M762">
        <f>IFERROR(SUMIFS(T_SelfStock[Self_Qty],T_SelfStock[RM_Code],$A745,T_SelfStock[WeekIndex],9),"")</f>
        <v/>
      </c>
      <c r="N762">
        <f>IFERROR(SUMIFS(T_SelfStock[Self_Qty],T_SelfStock[RM_Code],$A745,T_SelfStock[WeekIndex],10),"")</f>
        <v/>
      </c>
      <c r="O762">
        <f>IFERROR(SUMIFS(T_SelfStock[Self_Qty],T_SelfStock[RM_Code],$A745,T_SelfStock[WeekIndex],11),"")</f>
        <v/>
      </c>
      <c r="P762">
        <f>IFERROR(SUMIFS(T_SelfStock[Self_Qty],T_SelfStock[RM_Code],$A745,T_SelfStock[WeekIndex],12),"")</f>
        <v/>
      </c>
      <c r="Q762">
        <f>IFERROR(SUMIFS(T_SelfStock[Self_Qty],T_SelfStock[RM_Code],$A745,T_SelfStock[WeekIndex],13),"")</f>
        <v/>
      </c>
      <c r="R762">
        <f>IFERROR(SUMIFS(T_SelfStock[Self_Qty],T_SelfStock[RM_Code],$A745,T_SelfStock[WeekIndex],14),"")</f>
        <v/>
      </c>
      <c r="S762">
        <f>IFERROR(SUMIFS(T_SelfStock[Self_Qty],T_SelfStock[RM_Code],$A745,T_SelfStock[WeekIndex],15),"")</f>
        <v/>
      </c>
      <c r="T762">
        <f>IFERROR(SUMIFS(T_SelfStock[Self_Qty],T_SelfStock[RM_Code],$A745,T_SelfStock[WeekIndex],16),"")</f>
        <v/>
      </c>
      <c r="U762">
        <f>IFERROR(SUMIFS(T_SelfStock[Self_Qty],T_SelfStock[RM_Code],$A745,T_SelfStock[WeekIndex],17),"")</f>
        <v/>
      </c>
      <c r="V762">
        <f>IFERROR(SUMIFS(T_SelfStock[Self_Qty],T_SelfStock[RM_Code],$A745,T_SelfStock[WeekIndex],18),"")</f>
        <v/>
      </c>
      <c r="W762">
        <f>IFERROR(SUMIFS(T_SelfStock[Self_Qty],T_SelfStock[RM_Code],$A745,T_SelfStock[WeekIndex],19),"")</f>
        <v/>
      </c>
      <c r="X762">
        <f>IFERROR(SUMIFS(T_SelfStock[Self_Qty],T_SelfStock[RM_Code],$A745,T_SelfStock[WeekIndex],20),"")</f>
        <v/>
      </c>
      <c r="Y762">
        <f>IFERROR(SUMIFS(T_SelfStock[Self_Qty],T_SelfStock[RM_Code],$A745,T_SelfStock[WeekIndex],21),"")</f>
        <v/>
      </c>
      <c r="Z762">
        <f>IFERROR(SUMIFS(T_SelfStock[Self_Qty],T_SelfStock[RM_Code],$A745,T_SelfStock[WeekIndex],22),"")</f>
        <v/>
      </c>
      <c r="AA762">
        <f>IFERROR(SUMIFS(T_SelfStock[Self_Qty],T_SelfStock[RM_Code],$A745,T_SelfStock[WeekIndex],23),"")</f>
        <v/>
      </c>
      <c r="AB762">
        <f>IFERROR(SUMIFS(T_SelfStock[Self_Qty],T_SelfStock[RM_Code],$A745,T_SelfStock[WeekIndex],24),"")</f>
        <v/>
      </c>
      <c r="AC762">
        <f>IFERROR(SUMIFS(T_SelfStock[Self_Qty],T_SelfStock[RM_Code],$A745,T_SelfStock[WeekIndex],25),"")</f>
        <v/>
      </c>
      <c r="AD762">
        <f>IFERROR(SUMIFS(T_SelfStock[Self_Qty],T_SelfStock[RM_Code],$A745,T_SelfStock[WeekIndex],26),"")</f>
        <v/>
      </c>
      <c r="AE762">
        <f>IFERROR(SUMIFS(T_SelfStock[Self_Qty],T_SelfStock[RM_Code],$A745,T_SelfStock[WeekIndex],27),"")</f>
        <v/>
      </c>
      <c r="AF762">
        <f>IFERROR(SUMIFS(T_SelfStock[Self_Qty],T_SelfStock[RM_Code],$A745,T_SelfStock[WeekIndex],28),"")</f>
        <v/>
      </c>
      <c r="AG762">
        <f>IFERROR(SUMIFS(T_SelfStock[Self_Qty],T_SelfStock[RM_Code],$A745,T_SelfStock[WeekIndex],29),"")</f>
        <v/>
      </c>
      <c r="AH762">
        <f>IFERROR(SUMIFS(T_SelfStock[Self_Qty],T_SelfStock[RM_Code],$A745,T_SelfStock[WeekIndex],30),"")</f>
        <v/>
      </c>
      <c r="AI762">
        <f>IFERROR(SUMIFS(T_SelfStock[Self_Qty],T_SelfStock[RM_Code],$A745,T_SelfStock[WeekIndex],31),"")</f>
        <v/>
      </c>
      <c r="AJ762">
        <f>IFERROR(SUMIFS(T_SelfStock[Self_Qty],T_SelfStock[RM_Code],$A745,T_SelfStock[WeekIndex],32),"")</f>
        <v/>
      </c>
      <c r="AK762">
        <f>IFERROR(SUMIFS(T_SelfStock[Self_Qty],T_SelfStock[RM_Code],$A745,T_SelfStock[WeekIndex],33),"")</f>
        <v/>
      </c>
      <c r="AL762">
        <f>IFERROR(SUMIFS(T_SelfStock[Self_Qty],T_SelfStock[RM_Code],$A745,T_SelfStock[WeekIndex],34),"")</f>
        <v/>
      </c>
      <c r="AM762">
        <f>IFERROR(SUMIFS(T_SelfStock[Self_Qty],T_SelfStock[RM_Code],$A745,T_SelfStock[WeekIndex],35),"")</f>
        <v/>
      </c>
      <c r="AN762">
        <f>IFERROR(SUMIFS(T_SelfStock[Self_Qty],T_SelfStock[RM_Code],$A745,T_SelfStock[WeekIndex],36),"")</f>
        <v/>
      </c>
      <c r="AO762">
        <f>IFERROR(SUMIFS(T_SelfStock[Self_Qty],T_SelfStock[RM_Code],$A745,T_SelfStock[WeekIndex],37),"")</f>
        <v/>
      </c>
      <c r="AP762">
        <f>IFERROR(SUMIFS(T_SelfStock[Self_Qty],T_SelfStock[RM_Code],$A745,T_SelfStock[WeekIndex],38),"")</f>
        <v/>
      </c>
      <c r="AQ762">
        <f>IFERROR(SUMIFS(T_SelfStock[Self_Qty],T_SelfStock[RM_Code],$A745,T_SelfStock[WeekIndex],39),"")</f>
        <v/>
      </c>
      <c r="AR762">
        <f>IFERROR(SUMIFS(T_SelfStock[Self_Qty],T_SelfStock[RM_Code],$A745,T_SelfStock[WeekIndex],40),"")</f>
        <v/>
      </c>
      <c r="AS762">
        <f>IFERROR(SUMIFS(T_SelfStock[Self_Qty],T_SelfStock[RM_Code],$A745,T_SelfStock[WeekIndex],41),"")</f>
        <v/>
      </c>
      <c r="AT762">
        <f>IFERROR(SUMIFS(T_SelfStock[Self_Qty],T_SelfStock[RM_Code],$A745,T_SelfStock[WeekIndex],42),"")</f>
        <v/>
      </c>
      <c r="AU762">
        <f>IFERROR(SUMIFS(T_SelfStock[Self_Qty],T_SelfStock[RM_Code],$A745,T_SelfStock[WeekIndex],43),"")</f>
        <v/>
      </c>
      <c r="AV762">
        <f>IFERROR(SUMIFS(T_SelfStock[Self_Qty],T_SelfStock[RM_Code],$A745,T_SelfStock[WeekIndex],44),"")</f>
        <v/>
      </c>
      <c r="AW762">
        <f>IFERROR(SUMIFS(T_SelfStock[Self_Qty],T_SelfStock[RM_Code],$A745,T_SelfStock[WeekIndex],45),"")</f>
        <v/>
      </c>
      <c r="AX762">
        <f>IFERROR(SUMIFS(T_SelfStock[Self_Qty],T_SelfStock[RM_Code],$A745,T_SelfStock[WeekIndex],46),"")</f>
        <v/>
      </c>
      <c r="AY762">
        <f>IFERROR(SUMIFS(T_SelfStock[Self_Qty],T_SelfStock[RM_Code],$A745,T_SelfStock[WeekIndex],47),"")</f>
        <v/>
      </c>
      <c r="AZ762">
        <f>IFERROR(SUMIFS(T_SelfStock[Self_Qty],T_SelfStock[RM_Code],$A745,T_SelfStock[WeekIndex],48),"")</f>
        <v/>
      </c>
      <c r="BA762">
        <f>IFERROR(SUMIFS(T_SelfStock[Self_Qty],T_SelfStock[RM_Code],$A745,T_SelfStock[WeekIndex],49),"")</f>
        <v/>
      </c>
      <c r="BB762">
        <f>IFERROR(SUMIFS(T_SelfStock[Self_Qty],T_SelfStock[RM_Code],$A745,T_SelfStock[WeekIndex],50),"")</f>
        <v/>
      </c>
      <c r="BC762">
        <f>IFERROR(SUMIFS(T_SelfStock[Self_Qty],T_SelfStock[RM_Code],$A745,T_SelfStock[WeekIndex],51),"")</f>
        <v/>
      </c>
      <c r="BD762">
        <f>IFERROR(SUMIFS(T_SelfStock[Self_Qty],T_SelfStock[RM_Code],$A745,T_SelfStock[WeekIndex],52),"")</f>
        <v/>
      </c>
      <c r="BE762">
        <f>IFERROR(SUMIFS(T_SelfStock[Self_Qty],T_SelfStock[RM_Code],$A745,T_SelfStock[WeekIndex],53),"")</f>
        <v/>
      </c>
      <c r="BF762">
        <f>IFERROR(SUMIFS(T_SelfStock[Self_Qty],T_SelfStock[RM_Code],$A745,T_SelfStock[WeekIndex],54),"")</f>
        <v/>
      </c>
      <c r="BG762">
        <f>IFERROR(SUMIFS(T_SelfStock[Self_Qty],T_SelfStock[RM_Code],$A745,T_SelfStock[WeekIndex],55),"")</f>
        <v/>
      </c>
      <c r="BH762">
        <f>IFERROR(SUMIFS(T_SelfStock[Self_Qty],T_SelfStock[RM_Code],$A745,T_SelfStock[WeekIndex],56),"")</f>
        <v/>
      </c>
      <c r="BI762">
        <f>IFERROR(SUMIFS(T_SelfStock[Self_Qty],T_SelfStock[RM_Code],$A745,T_SelfStock[WeekIndex],57),"")</f>
        <v/>
      </c>
      <c r="BJ762">
        <f>IFERROR(SUMIFS(T_SelfStock[Self_Qty],T_SelfStock[RM_Code],$A745,T_SelfStock[WeekIndex],58),"")</f>
        <v/>
      </c>
      <c r="BK762">
        <f>IFERROR(SUMIFS(T_SelfStock[Self_Qty],T_SelfStock[RM_Code],$A745,T_SelfStock[WeekIndex],59),"")</f>
        <v/>
      </c>
      <c r="BL762">
        <f>IFERROR(SUMIFS(T_SelfStock[Self_Qty],T_SelfStock[RM_Code],$A745,T_SelfStock[WeekIndex],60),"")</f>
        <v/>
      </c>
      <c r="BM762">
        <f>IFERROR(SUMIFS(T_SelfStock[Self_Qty],T_SelfStock[RM_Code],$A745,T_SelfStock[WeekIndex],61),"")</f>
        <v/>
      </c>
      <c r="BN762">
        <f>IFERROR(SUMIFS(T_SelfStock[Self_Qty],T_SelfStock[RM_Code],$A745,T_SelfStock[WeekIndex],62),"")</f>
        <v/>
      </c>
      <c r="BO762">
        <f>IFERROR(SUMIFS(T_SelfStock[Self_Qty],T_SelfStock[RM_Code],$A745,T_SelfStock[WeekIndex],63),"")</f>
        <v/>
      </c>
      <c r="BP762">
        <f>IFERROR(SUMIFS(T_SelfStock[Self_Qty],T_SelfStock[RM_Code],$A745,T_SelfStock[WeekIndex],64),"")</f>
        <v/>
      </c>
      <c r="BQ762">
        <f>IFERROR(SUMIFS(T_SelfStock[Self_Qty],T_SelfStock[RM_Code],$A745,T_SelfStock[WeekIndex],65),"")</f>
        <v/>
      </c>
      <c r="BR762">
        <f>IFERROR(SUMIFS(T_SelfStock[Self_Qty],T_SelfStock[RM_Code],$A745,T_SelfStock[WeekIndex],66),"")</f>
        <v/>
      </c>
      <c r="BS762">
        <f>IFERROR(SUMIFS(T_SelfStock[Self_Qty],T_SelfStock[RM_Code],$A745,T_SelfStock[WeekIndex],67),"")</f>
        <v/>
      </c>
      <c r="BT762">
        <f>IFERROR(SUMIFS(T_SelfStock[Self_Qty],T_SelfStock[RM_Code],$A745,T_SelfStock[WeekIndex],68),"")</f>
        <v/>
      </c>
      <c r="BU762">
        <f>IFERROR(SUMIFS(T_SelfStock[Self_Qty],T_SelfStock[RM_Code],$A745,T_SelfStock[WeekIndex],69),"")</f>
        <v/>
      </c>
      <c r="BV762">
        <f>IFERROR(SUMIFS(T_SelfStock[Self_Qty],T_SelfStock[RM_Code],$A745,T_SelfStock[WeekIndex],70),"")</f>
        <v/>
      </c>
      <c r="BW762">
        <f>IFERROR(SUMIFS(T_SelfStock[Self_Qty],T_SelfStock[RM_Code],$A745,T_SelfStock[WeekIndex],71),"")</f>
        <v/>
      </c>
      <c r="BX762">
        <f>IFERROR(SUMIFS(T_SelfStock[Self_Qty],T_SelfStock[RM_Code],$A745,T_SelfStock[WeekIndex],72),"")</f>
        <v/>
      </c>
      <c r="BY762">
        <f>IFERROR(SUMIFS(T_SelfStock[Self_Qty],T_SelfStock[RM_Code],$A745,T_SelfStock[WeekIndex],73),"")</f>
        <v/>
      </c>
      <c r="BZ762">
        <f>IFERROR(SUMIFS(T_SelfStock[Self_Qty],T_SelfStock[RM_Code],$A745,T_SelfStock[WeekIndex],74),"")</f>
        <v/>
      </c>
      <c r="CA762">
        <f>IFERROR(SUMIFS(T_SelfStock[Self_Qty],T_SelfStock[RM_Code],$A745,T_SelfStock[WeekIndex],75),"")</f>
        <v/>
      </c>
      <c r="CB762">
        <f>IFERROR(SUMIFS(T_SelfStock[Self_Qty],T_SelfStock[RM_Code],$A745,T_SelfStock[WeekIndex],76),"")</f>
        <v/>
      </c>
      <c r="CC762">
        <f>IFERROR(SUMIFS(T_SelfStock[Self_Qty],T_SelfStock[RM_Code],$A745,T_SelfStock[WeekIndex],77),"")</f>
        <v/>
      </c>
      <c r="CD762">
        <f>IFERROR(SUMIFS(T_SelfStock[Self_Qty],T_SelfStock[RM_Code],$A745,T_SelfStock[WeekIndex],78),"")</f>
        <v/>
      </c>
      <c r="CE762">
        <f>IFERROR(SUMIFS(T_SelfStock[Self_Qty],T_SelfStock[RM_Code],$A745,T_SelfStock[WeekIndex],79),"")</f>
        <v/>
      </c>
      <c r="CF762">
        <f>IFERROR(SUMIFS(T_SelfStock[Self_Qty],T_SelfStock[RM_Code],$A745,T_SelfStock[WeekIndex],80),"")</f>
        <v/>
      </c>
      <c r="CG762">
        <f>IFERROR(SUMIFS(T_SelfStock[Self_Qty],T_SelfStock[RM_Code],$A745,T_SelfStock[WeekIndex],81),"")</f>
        <v/>
      </c>
      <c r="CH762">
        <f>IFERROR(SUMIFS(T_SelfStock[Self_Qty],T_SelfStock[RM_Code],$A745,T_SelfStock[WeekIndex],82),"")</f>
        <v/>
      </c>
      <c r="CI762">
        <f>IFERROR(SUMIFS(T_SelfStock[Self_Qty],T_SelfStock[RM_Code],$A745,T_SelfStock[WeekIndex],83),"")</f>
        <v/>
      </c>
      <c r="CJ762">
        <f>IFERROR(SUMIFS(T_SelfStock[Self_Qty],T_SelfStock[RM_Code],$A745,T_SelfStock[WeekIndex],84),"")</f>
        <v/>
      </c>
      <c r="CK762">
        <f>IFERROR(SUMIFS(T_SelfStock[Self_Qty],T_SelfStock[RM_Code],$A745,T_SelfStock[WeekIndex],85),"")</f>
        <v/>
      </c>
      <c r="CL762">
        <f>IFERROR(SUMIFS(T_SelfStock[Self_Qty],T_SelfStock[RM_Code],$A745,T_SelfStock[WeekIndex],86),"")</f>
        <v/>
      </c>
      <c r="CM762">
        <f>IFERROR(SUMIFS(T_SelfStock[Self_Qty],T_SelfStock[RM_Code],$A745,T_SelfStock[WeekIndex],87),"")</f>
        <v/>
      </c>
      <c r="CN762">
        <f>IFERROR(SUMIFS(T_SelfStock[Self_Qty],T_SelfStock[RM_Code],$A745,T_SelfStock[WeekIndex],88),"")</f>
        <v/>
      </c>
      <c r="CO762">
        <f>IFERROR(SUMIFS(T_SelfStock[Self_Qty],T_SelfStock[RM_Code],$A745,T_SelfStock[WeekIndex],89),"")</f>
        <v/>
      </c>
      <c r="CP762">
        <f>IFERROR(SUMIFS(T_SelfStock[Self_Qty],T_SelfStock[RM_Code],$A745,T_SelfStock[WeekIndex],90),"")</f>
        <v/>
      </c>
      <c r="CQ762">
        <f>IFERROR(SUMIFS(T_SelfStock[Self_Qty],T_SelfStock[RM_Code],$A745,T_SelfStock[WeekIndex],91),"")</f>
        <v/>
      </c>
      <c r="CR762">
        <f>IFERROR(SUMIFS(T_SelfStock[Self_Qty],T_SelfStock[RM_Code],$A745,T_SelfStock[WeekIndex],92),"")</f>
        <v/>
      </c>
      <c r="CS762">
        <f>IFERROR(SUMIFS(T_SelfStock[Self_Qty],T_SelfStock[RM_Code],$A745,T_SelfStock[WeekIndex],93),"")</f>
        <v/>
      </c>
      <c r="CT762">
        <f>IFERROR(SUMIFS(T_SelfStock[Self_Qty],T_SelfStock[RM_Code],$A745,T_SelfStock[WeekIndex],94),"")</f>
        <v/>
      </c>
      <c r="CU762">
        <f>IFERROR(SUMIFS(T_SelfStock[Self_Qty],T_SelfStock[RM_Code],$A745,T_SelfStock[WeekIndex],95),"")</f>
        <v/>
      </c>
      <c r="CV762">
        <f>IFERROR(SUMIFS(T_SelfStock[Self_Qty],T_SelfStock[RM_Code],$A745,T_SelfStock[WeekIndex],96),"")</f>
        <v/>
      </c>
      <c r="CW762">
        <f>IFERROR(SUMIFS(T_SelfStock[Self_Qty],T_SelfStock[RM_Code],$A745,T_SelfStock[WeekIndex],97),"")</f>
        <v/>
      </c>
      <c r="CX762">
        <f>IFERROR(SUMIFS(T_SelfStock[Self_Qty],T_SelfStock[RM_Code],$A745,T_SelfStock[WeekIndex],98),"")</f>
        <v/>
      </c>
      <c r="CY762">
        <f>IFERROR(SUMIFS(T_SelfStock[Self_Qty],T_SelfStock[RM_Code],$A745,T_SelfStock[WeekIndex],99),"")</f>
        <v/>
      </c>
      <c r="CZ762">
        <f>IFERROR(SUMIFS(T_SelfStock[Self_Qty],T_SelfStock[RM_Code],$A745,T_SelfStock[WeekIndex],100),"")</f>
        <v/>
      </c>
      <c r="DA762">
        <f>IFERROR(SUMIFS(T_SelfStock[Self_Qty],T_SelfStock[RM_Code],$A745,T_SelfStock[WeekIndex],101),"")</f>
        <v/>
      </c>
      <c r="DB762">
        <f>IFERROR(SUMIFS(T_SelfStock[Self_Qty],T_SelfStock[RM_Code],$A745,T_SelfStock[WeekIndex],102),"")</f>
        <v/>
      </c>
      <c r="DC762">
        <f>IFERROR(SUMIFS(T_SelfStock[Self_Qty],T_SelfStock[RM_Code],$A745,T_SelfStock[WeekIndex],103),"")</f>
        <v/>
      </c>
      <c r="DD762">
        <f>IFERROR(SUMIFS(T_SelfStock[Self_Qty],T_SelfStock[RM_Code],$A745,T_SelfStock[WeekIndex],104),"")</f>
        <v/>
      </c>
    </row>
    <row r="763">
      <c r="B763" s="4" t="inlineStr">
        <is>
          <t>合計在庫(週末時点,kg)</t>
        </is>
      </c>
      <c r="D763" s="24">
        <f>IFERROR(INDEX(E763:DD763,$F$1),"")</f>
        <v/>
      </c>
      <c r="E763">
        <f>'Grid_Stock'!B47</f>
        <v/>
      </c>
      <c r="F763">
        <f>'Grid_Stock'!C47</f>
        <v/>
      </c>
      <c r="G763">
        <f>'Grid_Stock'!D47</f>
        <v/>
      </c>
      <c r="H763">
        <f>'Grid_Stock'!E47</f>
        <v/>
      </c>
      <c r="I763">
        <f>'Grid_Stock'!F47</f>
        <v/>
      </c>
      <c r="J763">
        <f>'Grid_Stock'!G47</f>
        <v/>
      </c>
      <c r="K763">
        <f>'Grid_Stock'!H47</f>
        <v/>
      </c>
      <c r="L763">
        <f>'Grid_Stock'!I47</f>
        <v/>
      </c>
      <c r="M763">
        <f>'Grid_Stock'!J47</f>
        <v/>
      </c>
      <c r="N763">
        <f>'Grid_Stock'!K47</f>
        <v/>
      </c>
      <c r="O763">
        <f>'Grid_Stock'!L47</f>
        <v/>
      </c>
      <c r="P763">
        <f>'Grid_Stock'!M47</f>
        <v/>
      </c>
      <c r="Q763">
        <f>'Grid_Stock'!N47</f>
        <v/>
      </c>
      <c r="R763">
        <f>'Grid_Stock'!O47</f>
        <v/>
      </c>
      <c r="S763">
        <f>'Grid_Stock'!P47</f>
        <v/>
      </c>
      <c r="T763">
        <f>'Grid_Stock'!Q47</f>
        <v/>
      </c>
      <c r="U763">
        <f>'Grid_Stock'!R47</f>
        <v/>
      </c>
      <c r="V763">
        <f>'Grid_Stock'!S47</f>
        <v/>
      </c>
      <c r="W763">
        <f>'Grid_Stock'!T47</f>
        <v/>
      </c>
      <c r="X763">
        <f>'Grid_Stock'!U47</f>
        <v/>
      </c>
      <c r="Y763">
        <f>'Grid_Stock'!V47</f>
        <v/>
      </c>
      <c r="Z763">
        <f>'Grid_Stock'!W47</f>
        <v/>
      </c>
      <c r="AA763">
        <f>'Grid_Stock'!X47</f>
        <v/>
      </c>
      <c r="AB763">
        <f>'Grid_Stock'!Y47</f>
        <v/>
      </c>
      <c r="AC763">
        <f>'Grid_Stock'!Z47</f>
        <v/>
      </c>
      <c r="AD763">
        <f>'Grid_Stock'!AA47</f>
        <v/>
      </c>
      <c r="AE763">
        <f>'Grid_Stock'!AB47</f>
        <v/>
      </c>
      <c r="AF763">
        <f>'Grid_Stock'!AC47</f>
        <v/>
      </c>
      <c r="AG763">
        <f>'Grid_Stock'!AD47</f>
        <v/>
      </c>
      <c r="AH763">
        <f>'Grid_Stock'!AE47</f>
        <v/>
      </c>
      <c r="AI763">
        <f>'Grid_Stock'!AF47</f>
        <v/>
      </c>
      <c r="AJ763">
        <f>'Grid_Stock'!AG47</f>
        <v/>
      </c>
      <c r="AK763">
        <f>'Grid_Stock'!AH47</f>
        <v/>
      </c>
      <c r="AL763">
        <f>'Grid_Stock'!AI47</f>
        <v/>
      </c>
      <c r="AM763">
        <f>'Grid_Stock'!AJ47</f>
        <v/>
      </c>
      <c r="AN763">
        <f>'Grid_Stock'!AK47</f>
        <v/>
      </c>
      <c r="AO763">
        <f>'Grid_Stock'!AL47</f>
        <v/>
      </c>
      <c r="AP763">
        <f>'Grid_Stock'!AM47</f>
        <v/>
      </c>
      <c r="AQ763">
        <f>'Grid_Stock'!AN47</f>
        <v/>
      </c>
      <c r="AR763">
        <f>'Grid_Stock'!AO47</f>
        <v/>
      </c>
      <c r="AS763">
        <f>'Grid_Stock'!AP47</f>
        <v/>
      </c>
      <c r="AT763">
        <f>'Grid_Stock'!AQ47</f>
        <v/>
      </c>
      <c r="AU763">
        <f>'Grid_Stock'!AR47</f>
        <v/>
      </c>
      <c r="AV763">
        <f>'Grid_Stock'!AS47</f>
        <v/>
      </c>
      <c r="AW763">
        <f>'Grid_Stock'!AT47</f>
        <v/>
      </c>
      <c r="AX763">
        <f>'Grid_Stock'!AU47</f>
        <v/>
      </c>
      <c r="AY763">
        <f>'Grid_Stock'!AV47</f>
        <v/>
      </c>
      <c r="AZ763">
        <f>'Grid_Stock'!AW47</f>
        <v/>
      </c>
      <c r="BA763">
        <f>'Grid_Stock'!AX47</f>
        <v/>
      </c>
      <c r="BB763">
        <f>'Grid_Stock'!AY47</f>
        <v/>
      </c>
      <c r="BC763">
        <f>'Grid_Stock'!AZ47</f>
        <v/>
      </c>
      <c r="BD763">
        <f>'Grid_Stock'!BA47</f>
        <v/>
      </c>
      <c r="BE763">
        <f>'Grid_Stock'!BB47</f>
        <v/>
      </c>
      <c r="BF763">
        <f>'Grid_Stock'!BC47</f>
        <v/>
      </c>
      <c r="BG763">
        <f>'Grid_Stock'!BD47</f>
        <v/>
      </c>
      <c r="BH763">
        <f>'Grid_Stock'!BE47</f>
        <v/>
      </c>
      <c r="BI763">
        <f>'Grid_Stock'!BF47</f>
        <v/>
      </c>
      <c r="BJ763">
        <f>'Grid_Stock'!BG47</f>
        <v/>
      </c>
      <c r="BK763">
        <f>'Grid_Stock'!BH47</f>
        <v/>
      </c>
      <c r="BL763">
        <f>'Grid_Stock'!BI47</f>
        <v/>
      </c>
      <c r="BM763">
        <f>'Grid_Stock'!BJ47</f>
        <v/>
      </c>
      <c r="BN763">
        <f>'Grid_Stock'!BK47</f>
        <v/>
      </c>
      <c r="BO763">
        <f>'Grid_Stock'!BL47</f>
        <v/>
      </c>
      <c r="BP763">
        <f>'Grid_Stock'!BM47</f>
        <v/>
      </c>
      <c r="BQ763">
        <f>'Grid_Stock'!BN47</f>
        <v/>
      </c>
      <c r="BR763">
        <f>'Grid_Stock'!BO47</f>
        <v/>
      </c>
      <c r="BS763">
        <f>'Grid_Stock'!BP47</f>
        <v/>
      </c>
      <c r="BT763">
        <f>'Grid_Stock'!BQ47</f>
        <v/>
      </c>
      <c r="BU763">
        <f>'Grid_Stock'!BR47</f>
        <v/>
      </c>
      <c r="BV763">
        <f>'Grid_Stock'!BS47</f>
        <v/>
      </c>
      <c r="BW763">
        <f>'Grid_Stock'!BT47</f>
        <v/>
      </c>
      <c r="BX763">
        <f>'Grid_Stock'!BU47</f>
        <v/>
      </c>
      <c r="BY763">
        <f>'Grid_Stock'!BV47</f>
        <v/>
      </c>
      <c r="BZ763">
        <f>'Grid_Stock'!BW47</f>
        <v/>
      </c>
      <c r="CA763">
        <f>'Grid_Stock'!BX47</f>
        <v/>
      </c>
      <c r="CB763">
        <f>'Grid_Stock'!BY47</f>
        <v/>
      </c>
      <c r="CC763">
        <f>'Grid_Stock'!BZ47</f>
        <v/>
      </c>
      <c r="CD763">
        <f>'Grid_Stock'!CA47</f>
        <v/>
      </c>
      <c r="CE763">
        <f>'Grid_Stock'!CB47</f>
        <v/>
      </c>
      <c r="CF763">
        <f>'Grid_Stock'!CC47</f>
        <v/>
      </c>
      <c r="CG763">
        <f>'Grid_Stock'!CD47</f>
        <v/>
      </c>
      <c r="CH763">
        <f>'Grid_Stock'!CE47</f>
        <v/>
      </c>
      <c r="CI763">
        <f>'Grid_Stock'!CF47</f>
        <v/>
      </c>
      <c r="CJ763">
        <f>'Grid_Stock'!CG47</f>
        <v/>
      </c>
      <c r="CK763">
        <f>'Grid_Stock'!CH47</f>
        <v/>
      </c>
      <c r="CL763">
        <f>'Grid_Stock'!CI47</f>
        <v/>
      </c>
      <c r="CM763">
        <f>'Grid_Stock'!CJ47</f>
        <v/>
      </c>
      <c r="CN763">
        <f>'Grid_Stock'!CK47</f>
        <v/>
      </c>
      <c r="CO763">
        <f>'Grid_Stock'!CL47</f>
        <v/>
      </c>
      <c r="CP763">
        <f>'Grid_Stock'!CM47</f>
        <v/>
      </c>
      <c r="CQ763">
        <f>'Grid_Stock'!CN47</f>
        <v/>
      </c>
      <c r="CR763">
        <f>'Grid_Stock'!CO47</f>
        <v/>
      </c>
      <c r="CS763">
        <f>'Grid_Stock'!CP47</f>
        <v/>
      </c>
      <c r="CT763">
        <f>'Grid_Stock'!CQ47</f>
        <v/>
      </c>
      <c r="CU763">
        <f>'Grid_Stock'!CR47</f>
        <v/>
      </c>
      <c r="CV763">
        <f>'Grid_Stock'!CS47</f>
        <v/>
      </c>
      <c r="CW763">
        <f>'Grid_Stock'!CT47</f>
        <v/>
      </c>
      <c r="CX763">
        <f>'Grid_Stock'!CU47</f>
        <v/>
      </c>
      <c r="CY763">
        <f>'Grid_Stock'!CV47</f>
        <v/>
      </c>
      <c r="CZ763">
        <f>'Grid_Stock'!CW47</f>
        <v/>
      </c>
      <c r="DA763">
        <f>'Grid_Stock'!CX47</f>
        <v/>
      </c>
      <c r="DB763">
        <f>'Grid_Stock'!CY47</f>
        <v/>
      </c>
      <c r="DC763">
        <f>'Grid_Stock'!CZ47</f>
        <v/>
      </c>
      <c r="DD763">
        <f>'Grid_Stock'!DA47</f>
        <v/>
      </c>
    </row>
    <row r="764">
      <c r="B764" s="25" t="inlineStr">
        <is>
          <t>（発注の目安はDashboardの基準在庫[下限/上限]と色分けを参照）</t>
        </is>
      </c>
    </row>
    <row r="766">
      <c r="A766" s="21" t="inlineStr">
        <is>
          <t>CHEM-1480</t>
        </is>
      </c>
      <c r="B766" s="21" t="inlineStr">
        <is>
          <t>NAT-30</t>
        </is>
      </c>
      <c r="C766" s="22" t="n"/>
      <c r="D766" s="21" t="n"/>
      <c r="E766" s="21" t="n"/>
      <c r="F766" s="21" t="n"/>
      <c r="G766" s="21" t="n"/>
      <c r="H766" s="2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  <c r="AA766" s="21" t="n"/>
      <c r="AB766" s="21" t="n"/>
      <c r="AC766" s="21" t="n"/>
      <c r="AD766" s="21" t="n"/>
      <c r="AE766" s="21" t="n"/>
      <c r="AF766" s="21" t="n"/>
      <c r="AG766" s="21" t="n"/>
      <c r="AH766" s="21" t="n"/>
      <c r="AI766" s="21" t="n"/>
      <c r="AJ766" s="21" t="n"/>
      <c r="AK766" s="21" t="n"/>
      <c r="AL766" s="21" t="n"/>
      <c r="AM766" s="21" t="n"/>
      <c r="AN766" s="21" t="n"/>
      <c r="AO766" s="21" t="n"/>
      <c r="AP766" s="21" t="n"/>
      <c r="AQ766" s="21" t="n"/>
      <c r="AR766" s="21" t="n"/>
      <c r="AS766" s="21" t="n"/>
      <c r="AT766" s="21" t="n"/>
      <c r="AU766" s="21" t="n"/>
      <c r="AV766" s="21" t="n"/>
      <c r="AW766" s="21" t="n"/>
      <c r="AX766" s="21" t="n"/>
      <c r="AY766" s="21" t="n"/>
      <c r="AZ766" s="21" t="n"/>
      <c r="BA766" s="21" t="n"/>
      <c r="BB766" s="21" t="n"/>
      <c r="BC766" s="21" t="n"/>
      <c r="BD766" s="21" t="n"/>
      <c r="BE766" s="21" t="n"/>
      <c r="BF766" s="21" t="n"/>
      <c r="BG766" s="21" t="n"/>
      <c r="BH766" s="21" t="n"/>
      <c r="BI766" s="21" t="n"/>
      <c r="BJ766" s="21" t="n"/>
      <c r="BK766" s="21" t="n"/>
      <c r="BL766" s="21" t="n"/>
      <c r="BM766" s="21" t="n"/>
      <c r="BN766" s="21" t="n"/>
      <c r="BO766" s="21" t="n"/>
      <c r="BP766" s="21" t="n"/>
      <c r="BQ766" s="21" t="n"/>
      <c r="BR766" s="21" t="n"/>
      <c r="BS766" s="21" t="n"/>
      <c r="BT766" s="21" t="n"/>
      <c r="BU766" s="21" t="n"/>
      <c r="BV766" s="21" t="n"/>
      <c r="BW766" s="21" t="n"/>
      <c r="BX766" s="21" t="n"/>
      <c r="BY766" s="21" t="n"/>
      <c r="BZ766" s="21" t="n"/>
      <c r="CA766" s="21" t="n"/>
      <c r="CB766" s="21" t="n"/>
      <c r="CC766" s="21" t="n"/>
      <c r="CD766" s="21" t="n"/>
      <c r="CE766" s="21" t="n"/>
      <c r="CF766" s="21" t="n"/>
      <c r="CG766" s="21" t="n"/>
      <c r="CH766" s="21" t="n"/>
      <c r="CI766" s="21" t="n"/>
      <c r="CJ766" s="21" t="n"/>
      <c r="CK766" s="21" t="n"/>
      <c r="CL766" s="21" t="n"/>
      <c r="CM766" s="21" t="n"/>
      <c r="CN766" s="21" t="n"/>
      <c r="CO766" s="21" t="n"/>
      <c r="CP766" s="21" t="n"/>
      <c r="CQ766" s="21" t="n"/>
      <c r="CR766" s="21" t="n"/>
      <c r="CS766" s="21" t="n"/>
      <c r="CT766" s="21" t="n"/>
      <c r="CU766" s="21" t="n"/>
      <c r="CV766" s="21" t="n"/>
      <c r="CW766" s="21" t="n"/>
      <c r="CX766" s="21" t="n"/>
      <c r="CY766" s="21" t="n"/>
      <c r="CZ766" s="21" t="n"/>
      <c r="DA766" s="21" t="n"/>
      <c r="DB766" s="21" t="n"/>
      <c r="DC766" s="21" t="n"/>
      <c r="DD766" s="21" t="n"/>
    </row>
    <row r="767">
      <c r="B767" t="inlineStr">
        <is>
          <t>TSP-206</t>
        </is>
      </c>
      <c r="C767" t="inlineStr">
        <is>
          <t>No. of batches</t>
        </is>
      </c>
      <c r="D767">
        <f>IFERROR(INDEX(E767:DD767,$F$1),"")</f>
        <v/>
      </c>
      <c r="E767">
        <f>IFERROR(INDEX(PP_Grid[#Data],$DE767,2),0)</f>
        <v/>
      </c>
      <c r="F767">
        <f>IFERROR(INDEX(PP_Grid[#Data],$DE767,3),0)</f>
        <v/>
      </c>
      <c r="G767">
        <f>IFERROR(INDEX(PP_Grid[#Data],$DE767,4),0)</f>
        <v/>
      </c>
      <c r="H767">
        <f>IFERROR(INDEX(PP_Grid[#Data],$DE767,5),0)</f>
        <v/>
      </c>
      <c r="I767">
        <f>IFERROR(INDEX(PP_Grid[#Data],$DE767,6),0)</f>
        <v/>
      </c>
      <c r="J767">
        <f>IFERROR(INDEX(PP_Grid[#Data],$DE767,7),0)</f>
        <v/>
      </c>
      <c r="K767">
        <f>IFERROR(INDEX(PP_Grid[#Data],$DE767,8),0)</f>
        <v/>
      </c>
      <c r="L767">
        <f>IFERROR(INDEX(PP_Grid[#Data],$DE767,9),0)</f>
        <v/>
      </c>
      <c r="M767">
        <f>IFERROR(INDEX(PP_Grid[#Data],$DE767,10),0)</f>
        <v/>
      </c>
      <c r="N767">
        <f>IFERROR(INDEX(PP_Grid[#Data],$DE767,11),0)</f>
        <v/>
      </c>
      <c r="O767">
        <f>IFERROR(INDEX(PP_Grid[#Data],$DE767,12),0)</f>
        <v/>
      </c>
      <c r="P767">
        <f>IFERROR(INDEX(PP_Grid[#Data],$DE767,13),0)</f>
        <v/>
      </c>
      <c r="Q767">
        <f>IFERROR(INDEX(PP_Grid[#Data],$DE767,14),0)</f>
        <v/>
      </c>
      <c r="R767">
        <f>IFERROR(INDEX(PP_Grid[#Data],$DE767,15),0)</f>
        <v/>
      </c>
      <c r="S767">
        <f>IFERROR(INDEX(PP_Grid[#Data],$DE767,16),0)</f>
        <v/>
      </c>
      <c r="T767">
        <f>IFERROR(INDEX(PP_Grid[#Data],$DE767,17),0)</f>
        <v/>
      </c>
      <c r="U767">
        <f>IFERROR(INDEX(PP_Grid[#Data],$DE767,18),0)</f>
        <v/>
      </c>
      <c r="V767">
        <f>IFERROR(INDEX(PP_Grid[#Data],$DE767,19),0)</f>
        <v/>
      </c>
      <c r="W767">
        <f>IFERROR(INDEX(PP_Grid[#Data],$DE767,20),0)</f>
        <v/>
      </c>
      <c r="X767">
        <f>IFERROR(INDEX(PP_Grid[#Data],$DE767,21),0)</f>
        <v/>
      </c>
      <c r="Y767">
        <f>IFERROR(INDEX(PP_Grid[#Data],$DE767,22),0)</f>
        <v/>
      </c>
      <c r="Z767">
        <f>IFERROR(INDEX(PP_Grid[#Data],$DE767,23),0)</f>
        <v/>
      </c>
      <c r="AA767">
        <f>IFERROR(INDEX(PP_Grid[#Data],$DE767,24),0)</f>
        <v/>
      </c>
      <c r="AB767">
        <f>IFERROR(INDEX(PP_Grid[#Data],$DE767,25),0)</f>
        <v/>
      </c>
      <c r="AC767">
        <f>IFERROR(INDEX(PP_Grid[#Data],$DE767,26),0)</f>
        <v/>
      </c>
      <c r="AD767">
        <f>IFERROR(INDEX(PP_Grid[#Data],$DE767,27),0)</f>
        <v/>
      </c>
      <c r="AE767">
        <f>IFERROR(INDEX(PP_Grid[#Data],$DE767,28),0)</f>
        <v/>
      </c>
      <c r="AF767">
        <f>IFERROR(INDEX(PP_Grid[#Data],$DE767,29),0)</f>
        <v/>
      </c>
      <c r="AG767">
        <f>IFERROR(INDEX(PP_Grid[#Data],$DE767,30),0)</f>
        <v/>
      </c>
      <c r="AH767">
        <f>IFERROR(INDEX(PP_Grid[#Data],$DE767,31),0)</f>
        <v/>
      </c>
      <c r="AI767">
        <f>IFERROR(INDEX(PP_Grid[#Data],$DE767,32),0)</f>
        <v/>
      </c>
      <c r="AJ767">
        <f>IFERROR(INDEX(PP_Grid[#Data],$DE767,33),0)</f>
        <v/>
      </c>
      <c r="AK767">
        <f>IFERROR(INDEX(PP_Grid[#Data],$DE767,34),0)</f>
        <v/>
      </c>
      <c r="AL767">
        <f>IFERROR(INDEX(PP_Grid[#Data],$DE767,35),0)</f>
        <v/>
      </c>
      <c r="AM767">
        <f>IFERROR(INDEX(PP_Grid[#Data],$DE767,36),0)</f>
        <v/>
      </c>
      <c r="AN767">
        <f>IFERROR(INDEX(PP_Grid[#Data],$DE767,37),0)</f>
        <v/>
      </c>
      <c r="AO767">
        <f>IFERROR(INDEX(PP_Grid[#Data],$DE767,38),0)</f>
        <v/>
      </c>
      <c r="AP767">
        <f>IFERROR(INDEX(PP_Grid[#Data],$DE767,39),0)</f>
        <v/>
      </c>
      <c r="AQ767">
        <f>IFERROR(INDEX(PP_Grid[#Data],$DE767,40),0)</f>
        <v/>
      </c>
      <c r="AR767">
        <f>IFERROR(INDEX(PP_Grid[#Data],$DE767,41),0)</f>
        <v/>
      </c>
      <c r="AS767">
        <f>IFERROR(INDEX(PP_Grid[#Data],$DE767,42),0)</f>
        <v/>
      </c>
      <c r="AT767">
        <f>IFERROR(INDEX(PP_Grid[#Data],$DE767,43),0)</f>
        <v/>
      </c>
      <c r="AU767">
        <f>IFERROR(INDEX(PP_Grid[#Data],$DE767,44),0)</f>
        <v/>
      </c>
      <c r="AV767">
        <f>IFERROR(INDEX(PP_Grid[#Data],$DE767,45),0)</f>
        <v/>
      </c>
      <c r="AW767">
        <f>IFERROR(INDEX(PP_Grid[#Data],$DE767,46),0)</f>
        <v/>
      </c>
      <c r="AX767">
        <f>IFERROR(INDEX(PP_Grid[#Data],$DE767,47),0)</f>
        <v/>
      </c>
      <c r="AY767">
        <f>IFERROR(INDEX(PP_Grid[#Data],$DE767,48),0)</f>
        <v/>
      </c>
      <c r="AZ767">
        <f>IFERROR(INDEX(PP_Grid[#Data],$DE767,49),0)</f>
        <v/>
      </c>
      <c r="BA767">
        <f>IFERROR(INDEX(PP_Grid[#Data],$DE767,50),0)</f>
        <v/>
      </c>
      <c r="BB767">
        <f>IFERROR(INDEX(PP_Grid[#Data],$DE767,51),0)</f>
        <v/>
      </c>
      <c r="BC767">
        <f>IFERROR(INDEX(PP_Grid[#Data],$DE767,52),0)</f>
        <v/>
      </c>
      <c r="BD767">
        <f>IFERROR(INDEX(PP_Grid[#Data],$DE767,53),0)</f>
        <v/>
      </c>
      <c r="BE767">
        <f>IFERROR(INDEX(PP_Grid[#Data],$DE767,54),0)</f>
        <v/>
      </c>
      <c r="BF767">
        <f>IFERROR(INDEX(PP_Grid[#Data],$DE767,55),0)</f>
        <v/>
      </c>
      <c r="BG767">
        <f>IFERROR(INDEX(PP_Grid[#Data],$DE767,56),0)</f>
        <v/>
      </c>
      <c r="BH767">
        <f>IFERROR(INDEX(PP_Grid[#Data],$DE767,57),0)</f>
        <v/>
      </c>
      <c r="BI767">
        <f>IFERROR(INDEX(PP_Grid[#Data],$DE767,58),0)</f>
        <v/>
      </c>
      <c r="BJ767">
        <f>IFERROR(INDEX(PP_Grid[#Data],$DE767,59),0)</f>
        <v/>
      </c>
      <c r="BK767">
        <f>IFERROR(INDEX(PP_Grid[#Data],$DE767,60),0)</f>
        <v/>
      </c>
      <c r="BL767">
        <f>IFERROR(INDEX(PP_Grid[#Data],$DE767,61),0)</f>
        <v/>
      </c>
      <c r="BM767">
        <f>IFERROR(INDEX(PP_Grid[#Data],$DE767,62),0)</f>
        <v/>
      </c>
      <c r="BN767">
        <f>IFERROR(INDEX(PP_Grid[#Data],$DE767,63),0)</f>
        <v/>
      </c>
      <c r="BO767">
        <f>IFERROR(INDEX(PP_Grid[#Data],$DE767,64),0)</f>
        <v/>
      </c>
      <c r="BP767">
        <f>IFERROR(INDEX(PP_Grid[#Data],$DE767,65),0)</f>
        <v/>
      </c>
      <c r="BQ767">
        <f>IFERROR(INDEX(PP_Grid[#Data],$DE767,66),0)</f>
        <v/>
      </c>
      <c r="BR767">
        <f>IFERROR(INDEX(PP_Grid[#Data],$DE767,67),0)</f>
        <v/>
      </c>
      <c r="BS767">
        <f>IFERROR(INDEX(PP_Grid[#Data],$DE767,68),0)</f>
        <v/>
      </c>
      <c r="BT767">
        <f>IFERROR(INDEX(PP_Grid[#Data],$DE767,69),0)</f>
        <v/>
      </c>
      <c r="BU767">
        <f>IFERROR(INDEX(PP_Grid[#Data],$DE767,70),0)</f>
        <v/>
      </c>
      <c r="BV767">
        <f>IFERROR(INDEX(PP_Grid[#Data],$DE767,71),0)</f>
        <v/>
      </c>
      <c r="BW767">
        <f>IFERROR(INDEX(PP_Grid[#Data],$DE767,72),0)</f>
        <v/>
      </c>
      <c r="BX767">
        <f>IFERROR(INDEX(PP_Grid[#Data],$DE767,73),0)</f>
        <v/>
      </c>
      <c r="BY767">
        <f>IFERROR(INDEX(PP_Grid[#Data],$DE767,74),0)</f>
        <v/>
      </c>
      <c r="BZ767">
        <f>IFERROR(INDEX(PP_Grid[#Data],$DE767,75),0)</f>
        <v/>
      </c>
      <c r="CA767">
        <f>IFERROR(INDEX(PP_Grid[#Data],$DE767,76),0)</f>
        <v/>
      </c>
      <c r="CB767">
        <f>IFERROR(INDEX(PP_Grid[#Data],$DE767,77),0)</f>
        <v/>
      </c>
      <c r="CC767">
        <f>IFERROR(INDEX(PP_Grid[#Data],$DE767,78),0)</f>
        <v/>
      </c>
      <c r="CD767">
        <f>IFERROR(INDEX(PP_Grid[#Data],$DE767,79),0)</f>
        <v/>
      </c>
      <c r="CE767">
        <f>IFERROR(INDEX(PP_Grid[#Data],$DE767,80),0)</f>
        <v/>
      </c>
      <c r="CF767">
        <f>IFERROR(INDEX(PP_Grid[#Data],$DE767,81),0)</f>
        <v/>
      </c>
      <c r="CG767">
        <f>IFERROR(INDEX(PP_Grid[#Data],$DE767,82),0)</f>
        <v/>
      </c>
      <c r="CH767">
        <f>IFERROR(INDEX(PP_Grid[#Data],$DE767,83),0)</f>
        <v/>
      </c>
      <c r="CI767">
        <f>IFERROR(INDEX(PP_Grid[#Data],$DE767,84),0)</f>
        <v/>
      </c>
      <c r="CJ767">
        <f>IFERROR(INDEX(PP_Grid[#Data],$DE767,85),0)</f>
        <v/>
      </c>
      <c r="CK767">
        <f>IFERROR(INDEX(PP_Grid[#Data],$DE767,86),0)</f>
        <v/>
      </c>
      <c r="CL767">
        <f>IFERROR(INDEX(PP_Grid[#Data],$DE767,87),0)</f>
        <v/>
      </c>
      <c r="CM767">
        <f>IFERROR(INDEX(PP_Grid[#Data],$DE767,88),0)</f>
        <v/>
      </c>
      <c r="CN767">
        <f>IFERROR(INDEX(PP_Grid[#Data],$DE767,89),0)</f>
        <v/>
      </c>
      <c r="CO767">
        <f>IFERROR(INDEX(PP_Grid[#Data],$DE767,90),0)</f>
        <v/>
      </c>
      <c r="CP767">
        <f>IFERROR(INDEX(PP_Grid[#Data],$DE767,91),0)</f>
        <v/>
      </c>
      <c r="CQ767">
        <f>IFERROR(INDEX(PP_Grid[#Data],$DE767,92),0)</f>
        <v/>
      </c>
      <c r="CR767">
        <f>IFERROR(INDEX(PP_Grid[#Data],$DE767,93),0)</f>
        <v/>
      </c>
      <c r="CS767">
        <f>IFERROR(INDEX(PP_Grid[#Data],$DE767,94),0)</f>
        <v/>
      </c>
      <c r="CT767">
        <f>IFERROR(INDEX(PP_Grid[#Data],$DE767,95),0)</f>
        <v/>
      </c>
      <c r="CU767">
        <f>IFERROR(INDEX(PP_Grid[#Data],$DE767,96),0)</f>
        <v/>
      </c>
      <c r="CV767">
        <f>IFERROR(INDEX(PP_Grid[#Data],$DE767,97),0)</f>
        <v/>
      </c>
      <c r="CW767">
        <f>IFERROR(INDEX(PP_Grid[#Data],$DE767,98),0)</f>
        <v/>
      </c>
      <c r="CX767">
        <f>IFERROR(INDEX(PP_Grid[#Data],$DE767,99),0)</f>
        <v/>
      </c>
      <c r="CY767">
        <f>IFERROR(INDEX(PP_Grid[#Data],$DE767,100),0)</f>
        <v/>
      </c>
      <c r="CZ767">
        <f>IFERROR(INDEX(PP_Grid[#Data],$DE767,101),0)</f>
        <v/>
      </c>
      <c r="DA767">
        <f>IFERROR(INDEX(PP_Grid[#Data],$DE767,102),0)</f>
        <v/>
      </c>
      <c r="DB767">
        <f>IFERROR(INDEX(PP_Grid[#Data],$DE767,103),0)</f>
        <v/>
      </c>
      <c r="DC767">
        <f>IFERROR(INDEX(PP_Grid[#Data],$DE767,104),0)</f>
        <v/>
      </c>
      <c r="DD767">
        <f>IFERROR(INDEX(PP_Grid[#Data],$DE767,105),0)</f>
        <v/>
      </c>
      <c r="DE767" s="7">
        <f>IFERROR(MATCH($B767,PP_Grid[Intermediate],0),99999)</f>
        <v/>
      </c>
    </row>
    <row r="768">
      <c r="B768" t="inlineStr">
        <is>
          <t>使用量(kg)</t>
        </is>
      </c>
      <c r="C768">
        <f>SUMIFS(M_BOM[RM_Qty_Per_Batch],M_BOM[Intermediate],$B767,M_BOM[RM_Code],$A766)</f>
        <v/>
      </c>
      <c r="D768">
        <f>IFERROR(INDEX(E768:DD768,$F$1),"")</f>
        <v/>
      </c>
      <c r="E768">
        <f>$C768*E767</f>
        <v/>
      </c>
      <c r="F768">
        <f>$C768*F767</f>
        <v/>
      </c>
      <c r="G768">
        <f>$C768*G767</f>
        <v/>
      </c>
      <c r="H768">
        <f>$C768*H767</f>
        <v/>
      </c>
      <c r="I768">
        <f>$C768*I767</f>
        <v/>
      </c>
      <c r="J768">
        <f>$C768*J767</f>
        <v/>
      </c>
      <c r="K768">
        <f>$C768*K767</f>
        <v/>
      </c>
      <c r="L768">
        <f>$C768*L767</f>
        <v/>
      </c>
      <c r="M768">
        <f>$C768*M767</f>
        <v/>
      </c>
      <c r="N768">
        <f>$C768*N767</f>
        <v/>
      </c>
      <c r="O768">
        <f>$C768*O767</f>
        <v/>
      </c>
      <c r="P768">
        <f>$C768*P767</f>
        <v/>
      </c>
      <c r="Q768">
        <f>$C768*Q767</f>
        <v/>
      </c>
      <c r="R768">
        <f>$C768*R767</f>
        <v/>
      </c>
      <c r="S768">
        <f>$C768*S767</f>
        <v/>
      </c>
      <c r="T768">
        <f>$C768*T767</f>
        <v/>
      </c>
      <c r="U768">
        <f>$C768*U767</f>
        <v/>
      </c>
      <c r="V768">
        <f>$C768*V767</f>
        <v/>
      </c>
      <c r="W768">
        <f>$C768*W767</f>
        <v/>
      </c>
      <c r="X768">
        <f>$C768*X767</f>
        <v/>
      </c>
      <c r="Y768">
        <f>$C768*Y767</f>
        <v/>
      </c>
      <c r="Z768">
        <f>$C768*Z767</f>
        <v/>
      </c>
      <c r="AA768">
        <f>$C768*AA767</f>
        <v/>
      </c>
      <c r="AB768">
        <f>$C768*AB767</f>
        <v/>
      </c>
      <c r="AC768">
        <f>$C768*AC767</f>
        <v/>
      </c>
      <c r="AD768">
        <f>$C768*AD767</f>
        <v/>
      </c>
      <c r="AE768">
        <f>$C768*AE767</f>
        <v/>
      </c>
      <c r="AF768">
        <f>$C768*AF767</f>
        <v/>
      </c>
      <c r="AG768">
        <f>$C768*AG767</f>
        <v/>
      </c>
      <c r="AH768">
        <f>$C768*AH767</f>
        <v/>
      </c>
      <c r="AI768">
        <f>$C768*AI767</f>
        <v/>
      </c>
      <c r="AJ768">
        <f>$C768*AJ767</f>
        <v/>
      </c>
      <c r="AK768">
        <f>$C768*AK767</f>
        <v/>
      </c>
      <c r="AL768">
        <f>$C768*AL767</f>
        <v/>
      </c>
      <c r="AM768">
        <f>$C768*AM767</f>
        <v/>
      </c>
      <c r="AN768">
        <f>$C768*AN767</f>
        <v/>
      </c>
      <c r="AO768">
        <f>$C768*AO767</f>
        <v/>
      </c>
      <c r="AP768">
        <f>$C768*AP767</f>
        <v/>
      </c>
      <c r="AQ768">
        <f>$C768*AQ767</f>
        <v/>
      </c>
      <c r="AR768">
        <f>$C768*AR767</f>
        <v/>
      </c>
      <c r="AS768">
        <f>$C768*AS767</f>
        <v/>
      </c>
      <c r="AT768">
        <f>$C768*AT767</f>
        <v/>
      </c>
      <c r="AU768">
        <f>$C768*AU767</f>
        <v/>
      </c>
      <c r="AV768">
        <f>$C768*AV767</f>
        <v/>
      </c>
      <c r="AW768">
        <f>$C768*AW767</f>
        <v/>
      </c>
      <c r="AX768">
        <f>$C768*AX767</f>
        <v/>
      </c>
      <c r="AY768">
        <f>$C768*AY767</f>
        <v/>
      </c>
      <c r="AZ768">
        <f>$C768*AZ767</f>
        <v/>
      </c>
      <c r="BA768">
        <f>$C768*BA767</f>
        <v/>
      </c>
      <c r="BB768">
        <f>$C768*BB767</f>
        <v/>
      </c>
      <c r="BC768">
        <f>$C768*BC767</f>
        <v/>
      </c>
      <c r="BD768">
        <f>$C768*BD767</f>
        <v/>
      </c>
      <c r="BE768">
        <f>$C768*BE767</f>
        <v/>
      </c>
      <c r="BF768">
        <f>$C768*BF767</f>
        <v/>
      </c>
      <c r="BG768">
        <f>$C768*BG767</f>
        <v/>
      </c>
      <c r="BH768">
        <f>$C768*BH767</f>
        <v/>
      </c>
      <c r="BI768">
        <f>$C768*BI767</f>
        <v/>
      </c>
      <c r="BJ768">
        <f>$C768*BJ767</f>
        <v/>
      </c>
      <c r="BK768">
        <f>$C768*BK767</f>
        <v/>
      </c>
      <c r="BL768">
        <f>$C768*BL767</f>
        <v/>
      </c>
      <c r="BM768">
        <f>$C768*BM767</f>
        <v/>
      </c>
      <c r="BN768">
        <f>$C768*BN767</f>
        <v/>
      </c>
      <c r="BO768">
        <f>$C768*BO767</f>
        <v/>
      </c>
      <c r="BP768">
        <f>$C768*BP767</f>
        <v/>
      </c>
      <c r="BQ768">
        <f>$C768*BQ767</f>
        <v/>
      </c>
      <c r="BR768">
        <f>$C768*BR767</f>
        <v/>
      </c>
      <c r="BS768">
        <f>$C768*BS767</f>
        <v/>
      </c>
      <c r="BT768">
        <f>$C768*BT767</f>
        <v/>
      </c>
      <c r="BU768">
        <f>$C768*BU767</f>
        <v/>
      </c>
      <c r="BV768">
        <f>$C768*BV767</f>
        <v/>
      </c>
      <c r="BW768">
        <f>$C768*BW767</f>
        <v/>
      </c>
      <c r="BX768">
        <f>$C768*BX767</f>
        <v/>
      </c>
      <c r="BY768">
        <f>$C768*BY767</f>
        <v/>
      </c>
      <c r="BZ768">
        <f>$C768*BZ767</f>
        <v/>
      </c>
      <c r="CA768">
        <f>$C768*CA767</f>
        <v/>
      </c>
      <c r="CB768">
        <f>$C768*CB767</f>
        <v/>
      </c>
      <c r="CC768">
        <f>$C768*CC767</f>
        <v/>
      </c>
      <c r="CD768">
        <f>$C768*CD767</f>
        <v/>
      </c>
      <c r="CE768">
        <f>$C768*CE767</f>
        <v/>
      </c>
      <c r="CF768">
        <f>$C768*CF767</f>
        <v/>
      </c>
      <c r="CG768">
        <f>$C768*CG767</f>
        <v/>
      </c>
      <c r="CH768">
        <f>$C768*CH767</f>
        <v/>
      </c>
      <c r="CI768">
        <f>$C768*CI767</f>
        <v/>
      </c>
      <c r="CJ768">
        <f>$C768*CJ767</f>
        <v/>
      </c>
      <c r="CK768">
        <f>$C768*CK767</f>
        <v/>
      </c>
      <c r="CL768">
        <f>$C768*CL767</f>
        <v/>
      </c>
      <c r="CM768">
        <f>$C768*CM767</f>
        <v/>
      </c>
      <c r="CN768">
        <f>$C768*CN767</f>
        <v/>
      </c>
      <c r="CO768">
        <f>$C768*CO767</f>
        <v/>
      </c>
      <c r="CP768">
        <f>$C768*CP767</f>
        <v/>
      </c>
      <c r="CQ768">
        <f>$C768*CQ767</f>
        <v/>
      </c>
      <c r="CR768">
        <f>$C768*CR767</f>
        <v/>
      </c>
      <c r="CS768">
        <f>$C768*CS767</f>
        <v/>
      </c>
      <c r="CT768">
        <f>$C768*CT767</f>
        <v/>
      </c>
      <c r="CU768">
        <f>$C768*CU767</f>
        <v/>
      </c>
      <c r="CV768">
        <f>$C768*CV767</f>
        <v/>
      </c>
      <c r="CW768">
        <f>$C768*CW767</f>
        <v/>
      </c>
      <c r="CX768">
        <f>$C768*CX767</f>
        <v/>
      </c>
      <c r="CY768">
        <f>$C768*CY767</f>
        <v/>
      </c>
      <c r="CZ768">
        <f>$C768*CZ767</f>
        <v/>
      </c>
      <c r="DA768">
        <f>$C768*DA767</f>
        <v/>
      </c>
      <c r="DB768">
        <f>$C768*DB767</f>
        <v/>
      </c>
      <c r="DC768">
        <f>$C768*DC767</f>
        <v/>
      </c>
      <c r="DD768">
        <f>$C768*DD767</f>
        <v/>
      </c>
    </row>
    <row r="769">
      <c r="B769" s="4" t="inlineStr">
        <is>
          <t>合計使用量(kg)/週</t>
        </is>
      </c>
      <c r="D769" s="23">
        <f>IFERROR(INDEX(E769:DD769,$F$1),"")</f>
        <v/>
      </c>
      <c r="E769">
        <f>'Grid_Requirement'!B50</f>
        <v/>
      </c>
      <c r="F769">
        <f>'Grid_Requirement'!C50</f>
        <v/>
      </c>
      <c r="G769">
        <f>'Grid_Requirement'!D50</f>
        <v/>
      </c>
      <c r="H769">
        <f>'Grid_Requirement'!E50</f>
        <v/>
      </c>
      <c r="I769">
        <f>'Grid_Requirement'!F50</f>
        <v/>
      </c>
      <c r="J769">
        <f>'Grid_Requirement'!G50</f>
        <v/>
      </c>
      <c r="K769">
        <f>'Grid_Requirement'!H50</f>
        <v/>
      </c>
      <c r="L769">
        <f>'Grid_Requirement'!I50</f>
        <v/>
      </c>
      <c r="M769">
        <f>'Grid_Requirement'!J50</f>
        <v/>
      </c>
      <c r="N769">
        <f>'Grid_Requirement'!K50</f>
        <v/>
      </c>
      <c r="O769">
        <f>'Grid_Requirement'!L50</f>
        <v/>
      </c>
      <c r="P769">
        <f>'Grid_Requirement'!M50</f>
        <v/>
      </c>
      <c r="Q769">
        <f>'Grid_Requirement'!N50</f>
        <v/>
      </c>
      <c r="R769">
        <f>'Grid_Requirement'!O50</f>
        <v/>
      </c>
      <c r="S769">
        <f>'Grid_Requirement'!P50</f>
        <v/>
      </c>
      <c r="T769">
        <f>'Grid_Requirement'!Q50</f>
        <v/>
      </c>
      <c r="U769">
        <f>'Grid_Requirement'!R50</f>
        <v/>
      </c>
      <c r="V769">
        <f>'Grid_Requirement'!S50</f>
        <v/>
      </c>
      <c r="W769">
        <f>'Grid_Requirement'!T50</f>
        <v/>
      </c>
      <c r="X769">
        <f>'Grid_Requirement'!U50</f>
        <v/>
      </c>
      <c r="Y769">
        <f>'Grid_Requirement'!V50</f>
        <v/>
      </c>
      <c r="Z769">
        <f>'Grid_Requirement'!W50</f>
        <v/>
      </c>
      <c r="AA769">
        <f>'Grid_Requirement'!X50</f>
        <v/>
      </c>
      <c r="AB769">
        <f>'Grid_Requirement'!Y50</f>
        <v/>
      </c>
      <c r="AC769">
        <f>'Grid_Requirement'!Z50</f>
        <v/>
      </c>
      <c r="AD769">
        <f>'Grid_Requirement'!AA50</f>
        <v/>
      </c>
      <c r="AE769">
        <f>'Grid_Requirement'!AB50</f>
        <v/>
      </c>
      <c r="AF769">
        <f>'Grid_Requirement'!AC50</f>
        <v/>
      </c>
      <c r="AG769">
        <f>'Grid_Requirement'!AD50</f>
        <v/>
      </c>
      <c r="AH769">
        <f>'Grid_Requirement'!AE50</f>
        <v/>
      </c>
      <c r="AI769">
        <f>'Grid_Requirement'!AF50</f>
        <v/>
      </c>
      <c r="AJ769">
        <f>'Grid_Requirement'!AG50</f>
        <v/>
      </c>
      <c r="AK769">
        <f>'Grid_Requirement'!AH50</f>
        <v/>
      </c>
      <c r="AL769">
        <f>'Grid_Requirement'!AI50</f>
        <v/>
      </c>
      <c r="AM769">
        <f>'Grid_Requirement'!AJ50</f>
        <v/>
      </c>
      <c r="AN769">
        <f>'Grid_Requirement'!AK50</f>
        <v/>
      </c>
      <c r="AO769">
        <f>'Grid_Requirement'!AL50</f>
        <v/>
      </c>
      <c r="AP769">
        <f>'Grid_Requirement'!AM50</f>
        <v/>
      </c>
      <c r="AQ769">
        <f>'Grid_Requirement'!AN50</f>
        <v/>
      </c>
      <c r="AR769">
        <f>'Grid_Requirement'!AO50</f>
        <v/>
      </c>
      <c r="AS769">
        <f>'Grid_Requirement'!AP50</f>
        <v/>
      </c>
      <c r="AT769">
        <f>'Grid_Requirement'!AQ50</f>
        <v/>
      </c>
      <c r="AU769">
        <f>'Grid_Requirement'!AR50</f>
        <v/>
      </c>
      <c r="AV769">
        <f>'Grid_Requirement'!AS50</f>
        <v/>
      </c>
      <c r="AW769">
        <f>'Grid_Requirement'!AT50</f>
        <v/>
      </c>
      <c r="AX769">
        <f>'Grid_Requirement'!AU50</f>
        <v/>
      </c>
      <c r="AY769">
        <f>'Grid_Requirement'!AV50</f>
        <v/>
      </c>
      <c r="AZ769">
        <f>'Grid_Requirement'!AW50</f>
        <v/>
      </c>
      <c r="BA769">
        <f>'Grid_Requirement'!AX50</f>
        <v/>
      </c>
      <c r="BB769">
        <f>'Grid_Requirement'!AY50</f>
        <v/>
      </c>
      <c r="BC769">
        <f>'Grid_Requirement'!AZ50</f>
        <v/>
      </c>
      <c r="BD769">
        <f>'Grid_Requirement'!BA50</f>
        <v/>
      </c>
      <c r="BE769">
        <f>'Grid_Requirement'!BB50</f>
        <v/>
      </c>
      <c r="BF769">
        <f>'Grid_Requirement'!BC50</f>
        <v/>
      </c>
      <c r="BG769">
        <f>'Grid_Requirement'!BD50</f>
        <v/>
      </c>
      <c r="BH769">
        <f>'Grid_Requirement'!BE50</f>
        <v/>
      </c>
      <c r="BI769">
        <f>'Grid_Requirement'!BF50</f>
        <v/>
      </c>
      <c r="BJ769">
        <f>'Grid_Requirement'!BG50</f>
        <v/>
      </c>
      <c r="BK769">
        <f>'Grid_Requirement'!BH50</f>
        <v/>
      </c>
      <c r="BL769">
        <f>'Grid_Requirement'!BI50</f>
        <v/>
      </c>
      <c r="BM769">
        <f>'Grid_Requirement'!BJ50</f>
        <v/>
      </c>
      <c r="BN769">
        <f>'Grid_Requirement'!BK50</f>
        <v/>
      </c>
      <c r="BO769">
        <f>'Grid_Requirement'!BL50</f>
        <v/>
      </c>
      <c r="BP769">
        <f>'Grid_Requirement'!BM50</f>
        <v/>
      </c>
      <c r="BQ769">
        <f>'Grid_Requirement'!BN50</f>
        <v/>
      </c>
      <c r="BR769">
        <f>'Grid_Requirement'!BO50</f>
        <v/>
      </c>
      <c r="BS769">
        <f>'Grid_Requirement'!BP50</f>
        <v/>
      </c>
      <c r="BT769">
        <f>'Grid_Requirement'!BQ50</f>
        <v/>
      </c>
      <c r="BU769">
        <f>'Grid_Requirement'!BR50</f>
        <v/>
      </c>
      <c r="BV769">
        <f>'Grid_Requirement'!BS50</f>
        <v/>
      </c>
      <c r="BW769">
        <f>'Grid_Requirement'!BT50</f>
        <v/>
      </c>
      <c r="BX769">
        <f>'Grid_Requirement'!BU50</f>
        <v/>
      </c>
      <c r="BY769">
        <f>'Grid_Requirement'!BV50</f>
        <v/>
      </c>
      <c r="BZ769">
        <f>'Grid_Requirement'!BW50</f>
        <v/>
      </c>
      <c r="CA769">
        <f>'Grid_Requirement'!BX50</f>
        <v/>
      </c>
      <c r="CB769">
        <f>'Grid_Requirement'!BY50</f>
        <v/>
      </c>
      <c r="CC769">
        <f>'Grid_Requirement'!BZ50</f>
        <v/>
      </c>
      <c r="CD769">
        <f>'Grid_Requirement'!CA50</f>
        <v/>
      </c>
      <c r="CE769">
        <f>'Grid_Requirement'!CB50</f>
        <v/>
      </c>
      <c r="CF769">
        <f>'Grid_Requirement'!CC50</f>
        <v/>
      </c>
      <c r="CG769">
        <f>'Grid_Requirement'!CD50</f>
        <v/>
      </c>
      <c r="CH769">
        <f>'Grid_Requirement'!CE50</f>
        <v/>
      </c>
      <c r="CI769">
        <f>'Grid_Requirement'!CF50</f>
        <v/>
      </c>
      <c r="CJ769">
        <f>'Grid_Requirement'!CG50</f>
        <v/>
      </c>
      <c r="CK769">
        <f>'Grid_Requirement'!CH50</f>
        <v/>
      </c>
      <c r="CL769">
        <f>'Grid_Requirement'!CI50</f>
        <v/>
      </c>
      <c r="CM769">
        <f>'Grid_Requirement'!CJ50</f>
        <v/>
      </c>
      <c r="CN769">
        <f>'Grid_Requirement'!CK50</f>
        <v/>
      </c>
      <c r="CO769">
        <f>'Grid_Requirement'!CL50</f>
        <v/>
      </c>
      <c r="CP769">
        <f>'Grid_Requirement'!CM50</f>
        <v/>
      </c>
      <c r="CQ769">
        <f>'Grid_Requirement'!CN50</f>
        <v/>
      </c>
      <c r="CR769">
        <f>'Grid_Requirement'!CO50</f>
        <v/>
      </c>
      <c r="CS769">
        <f>'Grid_Requirement'!CP50</f>
        <v/>
      </c>
      <c r="CT769">
        <f>'Grid_Requirement'!CQ50</f>
        <v/>
      </c>
      <c r="CU769">
        <f>'Grid_Requirement'!CR50</f>
        <v/>
      </c>
      <c r="CV769">
        <f>'Grid_Requirement'!CS50</f>
        <v/>
      </c>
      <c r="CW769">
        <f>'Grid_Requirement'!CT50</f>
        <v/>
      </c>
      <c r="CX769">
        <f>'Grid_Requirement'!CU50</f>
        <v/>
      </c>
      <c r="CY769">
        <f>'Grid_Requirement'!CV50</f>
        <v/>
      </c>
      <c r="CZ769">
        <f>'Grid_Requirement'!CW50</f>
        <v/>
      </c>
      <c r="DA769">
        <f>'Grid_Requirement'!CX50</f>
        <v/>
      </c>
      <c r="DB769">
        <f>'Grid_Requirement'!CY50</f>
        <v/>
      </c>
      <c r="DC769">
        <f>'Grid_Requirement'!CZ50</f>
        <v/>
      </c>
      <c r="DD769">
        <f>'Grid_Requirement'!DA50</f>
        <v/>
      </c>
    </row>
    <row r="770">
      <c r="B770" t="inlineStr">
        <is>
          <t>TTAF在庫(実績,kg)</t>
        </is>
      </c>
      <c r="D770">
        <f>IFERROR(INDEX(E770:DD770,$F$1),"")</f>
        <v/>
      </c>
      <c r="E770">
        <f>IFERROR(SUMIFS(T_TTAFStock[TTAF_Qty],T_TTAFStock[RM_Code],$A766,T_TTAFStock[WeekIndex],1),"")</f>
        <v/>
      </c>
      <c r="F770">
        <f>IFERROR(SUMIFS(T_TTAFStock[TTAF_Qty],T_TTAFStock[RM_Code],$A766,T_TTAFStock[WeekIndex],2),"")</f>
        <v/>
      </c>
      <c r="G770">
        <f>IFERROR(SUMIFS(T_TTAFStock[TTAF_Qty],T_TTAFStock[RM_Code],$A766,T_TTAFStock[WeekIndex],3),"")</f>
        <v/>
      </c>
      <c r="H770">
        <f>IFERROR(SUMIFS(T_TTAFStock[TTAF_Qty],T_TTAFStock[RM_Code],$A766,T_TTAFStock[WeekIndex],4),"")</f>
        <v/>
      </c>
      <c r="I770">
        <f>IFERROR(SUMIFS(T_TTAFStock[TTAF_Qty],T_TTAFStock[RM_Code],$A766,T_TTAFStock[WeekIndex],5),"")</f>
        <v/>
      </c>
      <c r="J770">
        <f>IFERROR(SUMIFS(T_TTAFStock[TTAF_Qty],T_TTAFStock[RM_Code],$A766,T_TTAFStock[WeekIndex],6),"")</f>
        <v/>
      </c>
      <c r="K770">
        <f>IFERROR(SUMIFS(T_TTAFStock[TTAF_Qty],T_TTAFStock[RM_Code],$A766,T_TTAFStock[WeekIndex],7),"")</f>
        <v/>
      </c>
      <c r="L770">
        <f>IFERROR(SUMIFS(T_TTAFStock[TTAF_Qty],T_TTAFStock[RM_Code],$A766,T_TTAFStock[WeekIndex],8),"")</f>
        <v/>
      </c>
      <c r="M770">
        <f>IFERROR(SUMIFS(T_TTAFStock[TTAF_Qty],T_TTAFStock[RM_Code],$A766,T_TTAFStock[WeekIndex],9),"")</f>
        <v/>
      </c>
      <c r="N770">
        <f>IFERROR(SUMIFS(T_TTAFStock[TTAF_Qty],T_TTAFStock[RM_Code],$A766,T_TTAFStock[WeekIndex],10),"")</f>
        <v/>
      </c>
      <c r="O770">
        <f>IFERROR(SUMIFS(T_TTAFStock[TTAF_Qty],T_TTAFStock[RM_Code],$A766,T_TTAFStock[WeekIndex],11),"")</f>
        <v/>
      </c>
      <c r="P770">
        <f>IFERROR(SUMIFS(T_TTAFStock[TTAF_Qty],T_TTAFStock[RM_Code],$A766,T_TTAFStock[WeekIndex],12),"")</f>
        <v/>
      </c>
      <c r="Q770">
        <f>IFERROR(SUMIFS(T_TTAFStock[TTAF_Qty],T_TTAFStock[RM_Code],$A766,T_TTAFStock[WeekIndex],13),"")</f>
        <v/>
      </c>
      <c r="R770">
        <f>IFERROR(SUMIFS(T_TTAFStock[TTAF_Qty],T_TTAFStock[RM_Code],$A766,T_TTAFStock[WeekIndex],14),"")</f>
        <v/>
      </c>
      <c r="S770">
        <f>IFERROR(SUMIFS(T_TTAFStock[TTAF_Qty],T_TTAFStock[RM_Code],$A766,T_TTAFStock[WeekIndex],15),"")</f>
        <v/>
      </c>
      <c r="T770">
        <f>IFERROR(SUMIFS(T_TTAFStock[TTAF_Qty],T_TTAFStock[RM_Code],$A766,T_TTAFStock[WeekIndex],16),"")</f>
        <v/>
      </c>
      <c r="U770">
        <f>IFERROR(SUMIFS(T_TTAFStock[TTAF_Qty],T_TTAFStock[RM_Code],$A766,T_TTAFStock[WeekIndex],17),"")</f>
        <v/>
      </c>
      <c r="V770">
        <f>IFERROR(SUMIFS(T_TTAFStock[TTAF_Qty],T_TTAFStock[RM_Code],$A766,T_TTAFStock[WeekIndex],18),"")</f>
        <v/>
      </c>
      <c r="W770">
        <f>IFERROR(SUMIFS(T_TTAFStock[TTAF_Qty],T_TTAFStock[RM_Code],$A766,T_TTAFStock[WeekIndex],19),"")</f>
        <v/>
      </c>
      <c r="X770">
        <f>IFERROR(SUMIFS(T_TTAFStock[TTAF_Qty],T_TTAFStock[RM_Code],$A766,T_TTAFStock[WeekIndex],20),"")</f>
        <v/>
      </c>
      <c r="Y770">
        <f>IFERROR(SUMIFS(T_TTAFStock[TTAF_Qty],T_TTAFStock[RM_Code],$A766,T_TTAFStock[WeekIndex],21),"")</f>
        <v/>
      </c>
      <c r="Z770">
        <f>IFERROR(SUMIFS(T_TTAFStock[TTAF_Qty],T_TTAFStock[RM_Code],$A766,T_TTAFStock[WeekIndex],22),"")</f>
        <v/>
      </c>
      <c r="AA770">
        <f>IFERROR(SUMIFS(T_TTAFStock[TTAF_Qty],T_TTAFStock[RM_Code],$A766,T_TTAFStock[WeekIndex],23),"")</f>
        <v/>
      </c>
      <c r="AB770">
        <f>IFERROR(SUMIFS(T_TTAFStock[TTAF_Qty],T_TTAFStock[RM_Code],$A766,T_TTAFStock[WeekIndex],24),"")</f>
        <v/>
      </c>
      <c r="AC770">
        <f>IFERROR(SUMIFS(T_TTAFStock[TTAF_Qty],T_TTAFStock[RM_Code],$A766,T_TTAFStock[WeekIndex],25),"")</f>
        <v/>
      </c>
      <c r="AD770">
        <f>IFERROR(SUMIFS(T_TTAFStock[TTAF_Qty],T_TTAFStock[RM_Code],$A766,T_TTAFStock[WeekIndex],26),"")</f>
        <v/>
      </c>
      <c r="AE770">
        <f>IFERROR(SUMIFS(T_TTAFStock[TTAF_Qty],T_TTAFStock[RM_Code],$A766,T_TTAFStock[WeekIndex],27),"")</f>
        <v/>
      </c>
      <c r="AF770">
        <f>IFERROR(SUMIFS(T_TTAFStock[TTAF_Qty],T_TTAFStock[RM_Code],$A766,T_TTAFStock[WeekIndex],28),"")</f>
        <v/>
      </c>
      <c r="AG770">
        <f>IFERROR(SUMIFS(T_TTAFStock[TTAF_Qty],T_TTAFStock[RM_Code],$A766,T_TTAFStock[WeekIndex],29),"")</f>
        <v/>
      </c>
      <c r="AH770">
        <f>IFERROR(SUMIFS(T_TTAFStock[TTAF_Qty],T_TTAFStock[RM_Code],$A766,T_TTAFStock[WeekIndex],30),"")</f>
        <v/>
      </c>
      <c r="AI770">
        <f>IFERROR(SUMIFS(T_TTAFStock[TTAF_Qty],T_TTAFStock[RM_Code],$A766,T_TTAFStock[WeekIndex],31),"")</f>
        <v/>
      </c>
      <c r="AJ770">
        <f>IFERROR(SUMIFS(T_TTAFStock[TTAF_Qty],T_TTAFStock[RM_Code],$A766,T_TTAFStock[WeekIndex],32),"")</f>
        <v/>
      </c>
      <c r="AK770">
        <f>IFERROR(SUMIFS(T_TTAFStock[TTAF_Qty],T_TTAFStock[RM_Code],$A766,T_TTAFStock[WeekIndex],33),"")</f>
        <v/>
      </c>
      <c r="AL770">
        <f>IFERROR(SUMIFS(T_TTAFStock[TTAF_Qty],T_TTAFStock[RM_Code],$A766,T_TTAFStock[WeekIndex],34),"")</f>
        <v/>
      </c>
      <c r="AM770">
        <f>IFERROR(SUMIFS(T_TTAFStock[TTAF_Qty],T_TTAFStock[RM_Code],$A766,T_TTAFStock[WeekIndex],35),"")</f>
        <v/>
      </c>
      <c r="AN770">
        <f>IFERROR(SUMIFS(T_TTAFStock[TTAF_Qty],T_TTAFStock[RM_Code],$A766,T_TTAFStock[WeekIndex],36),"")</f>
        <v/>
      </c>
      <c r="AO770">
        <f>IFERROR(SUMIFS(T_TTAFStock[TTAF_Qty],T_TTAFStock[RM_Code],$A766,T_TTAFStock[WeekIndex],37),"")</f>
        <v/>
      </c>
      <c r="AP770">
        <f>IFERROR(SUMIFS(T_TTAFStock[TTAF_Qty],T_TTAFStock[RM_Code],$A766,T_TTAFStock[WeekIndex],38),"")</f>
        <v/>
      </c>
      <c r="AQ770">
        <f>IFERROR(SUMIFS(T_TTAFStock[TTAF_Qty],T_TTAFStock[RM_Code],$A766,T_TTAFStock[WeekIndex],39),"")</f>
        <v/>
      </c>
      <c r="AR770">
        <f>IFERROR(SUMIFS(T_TTAFStock[TTAF_Qty],T_TTAFStock[RM_Code],$A766,T_TTAFStock[WeekIndex],40),"")</f>
        <v/>
      </c>
      <c r="AS770">
        <f>IFERROR(SUMIFS(T_TTAFStock[TTAF_Qty],T_TTAFStock[RM_Code],$A766,T_TTAFStock[WeekIndex],41),"")</f>
        <v/>
      </c>
      <c r="AT770">
        <f>IFERROR(SUMIFS(T_TTAFStock[TTAF_Qty],T_TTAFStock[RM_Code],$A766,T_TTAFStock[WeekIndex],42),"")</f>
        <v/>
      </c>
      <c r="AU770">
        <f>IFERROR(SUMIFS(T_TTAFStock[TTAF_Qty],T_TTAFStock[RM_Code],$A766,T_TTAFStock[WeekIndex],43),"")</f>
        <v/>
      </c>
      <c r="AV770">
        <f>IFERROR(SUMIFS(T_TTAFStock[TTAF_Qty],T_TTAFStock[RM_Code],$A766,T_TTAFStock[WeekIndex],44),"")</f>
        <v/>
      </c>
      <c r="AW770">
        <f>IFERROR(SUMIFS(T_TTAFStock[TTAF_Qty],T_TTAFStock[RM_Code],$A766,T_TTAFStock[WeekIndex],45),"")</f>
        <v/>
      </c>
      <c r="AX770">
        <f>IFERROR(SUMIFS(T_TTAFStock[TTAF_Qty],T_TTAFStock[RM_Code],$A766,T_TTAFStock[WeekIndex],46),"")</f>
        <v/>
      </c>
      <c r="AY770">
        <f>IFERROR(SUMIFS(T_TTAFStock[TTAF_Qty],T_TTAFStock[RM_Code],$A766,T_TTAFStock[WeekIndex],47),"")</f>
        <v/>
      </c>
      <c r="AZ770">
        <f>IFERROR(SUMIFS(T_TTAFStock[TTAF_Qty],T_TTAFStock[RM_Code],$A766,T_TTAFStock[WeekIndex],48),"")</f>
        <v/>
      </c>
      <c r="BA770">
        <f>IFERROR(SUMIFS(T_TTAFStock[TTAF_Qty],T_TTAFStock[RM_Code],$A766,T_TTAFStock[WeekIndex],49),"")</f>
        <v/>
      </c>
      <c r="BB770">
        <f>IFERROR(SUMIFS(T_TTAFStock[TTAF_Qty],T_TTAFStock[RM_Code],$A766,T_TTAFStock[WeekIndex],50),"")</f>
        <v/>
      </c>
      <c r="BC770">
        <f>IFERROR(SUMIFS(T_TTAFStock[TTAF_Qty],T_TTAFStock[RM_Code],$A766,T_TTAFStock[WeekIndex],51),"")</f>
        <v/>
      </c>
      <c r="BD770">
        <f>IFERROR(SUMIFS(T_TTAFStock[TTAF_Qty],T_TTAFStock[RM_Code],$A766,T_TTAFStock[WeekIndex],52),"")</f>
        <v/>
      </c>
      <c r="BE770">
        <f>IFERROR(SUMIFS(T_TTAFStock[TTAF_Qty],T_TTAFStock[RM_Code],$A766,T_TTAFStock[WeekIndex],53),"")</f>
        <v/>
      </c>
      <c r="BF770">
        <f>IFERROR(SUMIFS(T_TTAFStock[TTAF_Qty],T_TTAFStock[RM_Code],$A766,T_TTAFStock[WeekIndex],54),"")</f>
        <v/>
      </c>
      <c r="BG770">
        <f>IFERROR(SUMIFS(T_TTAFStock[TTAF_Qty],T_TTAFStock[RM_Code],$A766,T_TTAFStock[WeekIndex],55),"")</f>
        <v/>
      </c>
      <c r="BH770">
        <f>IFERROR(SUMIFS(T_TTAFStock[TTAF_Qty],T_TTAFStock[RM_Code],$A766,T_TTAFStock[WeekIndex],56),"")</f>
        <v/>
      </c>
      <c r="BI770">
        <f>IFERROR(SUMIFS(T_TTAFStock[TTAF_Qty],T_TTAFStock[RM_Code],$A766,T_TTAFStock[WeekIndex],57),"")</f>
        <v/>
      </c>
      <c r="BJ770">
        <f>IFERROR(SUMIFS(T_TTAFStock[TTAF_Qty],T_TTAFStock[RM_Code],$A766,T_TTAFStock[WeekIndex],58),"")</f>
        <v/>
      </c>
      <c r="BK770">
        <f>IFERROR(SUMIFS(T_TTAFStock[TTAF_Qty],T_TTAFStock[RM_Code],$A766,T_TTAFStock[WeekIndex],59),"")</f>
        <v/>
      </c>
      <c r="BL770">
        <f>IFERROR(SUMIFS(T_TTAFStock[TTAF_Qty],T_TTAFStock[RM_Code],$A766,T_TTAFStock[WeekIndex],60),"")</f>
        <v/>
      </c>
      <c r="BM770">
        <f>IFERROR(SUMIFS(T_TTAFStock[TTAF_Qty],T_TTAFStock[RM_Code],$A766,T_TTAFStock[WeekIndex],61),"")</f>
        <v/>
      </c>
      <c r="BN770">
        <f>IFERROR(SUMIFS(T_TTAFStock[TTAF_Qty],T_TTAFStock[RM_Code],$A766,T_TTAFStock[WeekIndex],62),"")</f>
        <v/>
      </c>
      <c r="BO770">
        <f>IFERROR(SUMIFS(T_TTAFStock[TTAF_Qty],T_TTAFStock[RM_Code],$A766,T_TTAFStock[WeekIndex],63),"")</f>
        <v/>
      </c>
      <c r="BP770">
        <f>IFERROR(SUMIFS(T_TTAFStock[TTAF_Qty],T_TTAFStock[RM_Code],$A766,T_TTAFStock[WeekIndex],64),"")</f>
        <v/>
      </c>
      <c r="BQ770">
        <f>IFERROR(SUMIFS(T_TTAFStock[TTAF_Qty],T_TTAFStock[RM_Code],$A766,T_TTAFStock[WeekIndex],65),"")</f>
        <v/>
      </c>
      <c r="BR770">
        <f>IFERROR(SUMIFS(T_TTAFStock[TTAF_Qty],T_TTAFStock[RM_Code],$A766,T_TTAFStock[WeekIndex],66),"")</f>
        <v/>
      </c>
      <c r="BS770">
        <f>IFERROR(SUMIFS(T_TTAFStock[TTAF_Qty],T_TTAFStock[RM_Code],$A766,T_TTAFStock[WeekIndex],67),"")</f>
        <v/>
      </c>
      <c r="BT770">
        <f>IFERROR(SUMIFS(T_TTAFStock[TTAF_Qty],T_TTAFStock[RM_Code],$A766,T_TTAFStock[WeekIndex],68),"")</f>
        <v/>
      </c>
      <c r="BU770">
        <f>IFERROR(SUMIFS(T_TTAFStock[TTAF_Qty],T_TTAFStock[RM_Code],$A766,T_TTAFStock[WeekIndex],69),"")</f>
        <v/>
      </c>
      <c r="BV770">
        <f>IFERROR(SUMIFS(T_TTAFStock[TTAF_Qty],T_TTAFStock[RM_Code],$A766,T_TTAFStock[WeekIndex],70),"")</f>
        <v/>
      </c>
      <c r="BW770">
        <f>IFERROR(SUMIFS(T_TTAFStock[TTAF_Qty],T_TTAFStock[RM_Code],$A766,T_TTAFStock[WeekIndex],71),"")</f>
        <v/>
      </c>
      <c r="BX770">
        <f>IFERROR(SUMIFS(T_TTAFStock[TTAF_Qty],T_TTAFStock[RM_Code],$A766,T_TTAFStock[WeekIndex],72),"")</f>
        <v/>
      </c>
      <c r="BY770">
        <f>IFERROR(SUMIFS(T_TTAFStock[TTAF_Qty],T_TTAFStock[RM_Code],$A766,T_TTAFStock[WeekIndex],73),"")</f>
        <v/>
      </c>
      <c r="BZ770">
        <f>IFERROR(SUMIFS(T_TTAFStock[TTAF_Qty],T_TTAFStock[RM_Code],$A766,T_TTAFStock[WeekIndex],74),"")</f>
        <v/>
      </c>
      <c r="CA770">
        <f>IFERROR(SUMIFS(T_TTAFStock[TTAF_Qty],T_TTAFStock[RM_Code],$A766,T_TTAFStock[WeekIndex],75),"")</f>
        <v/>
      </c>
      <c r="CB770">
        <f>IFERROR(SUMIFS(T_TTAFStock[TTAF_Qty],T_TTAFStock[RM_Code],$A766,T_TTAFStock[WeekIndex],76),"")</f>
        <v/>
      </c>
      <c r="CC770">
        <f>IFERROR(SUMIFS(T_TTAFStock[TTAF_Qty],T_TTAFStock[RM_Code],$A766,T_TTAFStock[WeekIndex],77),"")</f>
        <v/>
      </c>
      <c r="CD770">
        <f>IFERROR(SUMIFS(T_TTAFStock[TTAF_Qty],T_TTAFStock[RM_Code],$A766,T_TTAFStock[WeekIndex],78),"")</f>
        <v/>
      </c>
      <c r="CE770">
        <f>IFERROR(SUMIFS(T_TTAFStock[TTAF_Qty],T_TTAFStock[RM_Code],$A766,T_TTAFStock[WeekIndex],79),"")</f>
        <v/>
      </c>
      <c r="CF770">
        <f>IFERROR(SUMIFS(T_TTAFStock[TTAF_Qty],T_TTAFStock[RM_Code],$A766,T_TTAFStock[WeekIndex],80),"")</f>
        <v/>
      </c>
      <c r="CG770">
        <f>IFERROR(SUMIFS(T_TTAFStock[TTAF_Qty],T_TTAFStock[RM_Code],$A766,T_TTAFStock[WeekIndex],81),"")</f>
        <v/>
      </c>
      <c r="CH770">
        <f>IFERROR(SUMIFS(T_TTAFStock[TTAF_Qty],T_TTAFStock[RM_Code],$A766,T_TTAFStock[WeekIndex],82),"")</f>
        <v/>
      </c>
      <c r="CI770">
        <f>IFERROR(SUMIFS(T_TTAFStock[TTAF_Qty],T_TTAFStock[RM_Code],$A766,T_TTAFStock[WeekIndex],83),"")</f>
        <v/>
      </c>
      <c r="CJ770">
        <f>IFERROR(SUMIFS(T_TTAFStock[TTAF_Qty],T_TTAFStock[RM_Code],$A766,T_TTAFStock[WeekIndex],84),"")</f>
        <v/>
      </c>
      <c r="CK770">
        <f>IFERROR(SUMIFS(T_TTAFStock[TTAF_Qty],T_TTAFStock[RM_Code],$A766,T_TTAFStock[WeekIndex],85),"")</f>
        <v/>
      </c>
      <c r="CL770">
        <f>IFERROR(SUMIFS(T_TTAFStock[TTAF_Qty],T_TTAFStock[RM_Code],$A766,T_TTAFStock[WeekIndex],86),"")</f>
        <v/>
      </c>
      <c r="CM770">
        <f>IFERROR(SUMIFS(T_TTAFStock[TTAF_Qty],T_TTAFStock[RM_Code],$A766,T_TTAFStock[WeekIndex],87),"")</f>
        <v/>
      </c>
      <c r="CN770">
        <f>IFERROR(SUMIFS(T_TTAFStock[TTAF_Qty],T_TTAFStock[RM_Code],$A766,T_TTAFStock[WeekIndex],88),"")</f>
        <v/>
      </c>
      <c r="CO770">
        <f>IFERROR(SUMIFS(T_TTAFStock[TTAF_Qty],T_TTAFStock[RM_Code],$A766,T_TTAFStock[WeekIndex],89),"")</f>
        <v/>
      </c>
      <c r="CP770">
        <f>IFERROR(SUMIFS(T_TTAFStock[TTAF_Qty],T_TTAFStock[RM_Code],$A766,T_TTAFStock[WeekIndex],90),"")</f>
        <v/>
      </c>
      <c r="CQ770">
        <f>IFERROR(SUMIFS(T_TTAFStock[TTAF_Qty],T_TTAFStock[RM_Code],$A766,T_TTAFStock[WeekIndex],91),"")</f>
        <v/>
      </c>
      <c r="CR770">
        <f>IFERROR(SUMIFS(T_TTAFStock[TTAF_Qty],T_TTAFStock[RM_Code],$A766,T_TTAFStock[WeekIndex],92),"")</f>
        <v/>
      </c>
      <c r="CS770">
        <f>IFERROR(SUMIFS(T_TTAFStock[TTAF_Qty],T_TTAFStock[RM_Code],$A766,T_TTAFStock[WeekIndex],93),"")</f>
        <v/>
      </c>
      <c r="CT770">
        <f>IFERROR(SUMIFS(T_TTAFStock[TTAF_Qty],T_TTAFStock[RM_Code],$A766,T_TTAFStock[WeekIndex],94),"")</f>
        <v/>
      </c>
      <c r="CU770">
        <f>IFERROR(SUMIFS(T_TTAFStock[TTAF_Qty],T_TTAFStock[RM_Code],$A766,T_TTAFStock[WeekIndex],95),"")</f>
        <v/>
      </c>
      <c r="CV770">
        <f>IFERROR(SUMIFS(T_TTAFStock[TTAF_Qty],T_TTAFStock[RM_Code],$A766,T_TTAFStock[WeekIndex],96),"")</f>
        <v/>
      </c>
      <c r="CW770">
        <f>IFERROR(SUMIFS(T_TTAFStock[TTAF_Qty],T_TTAFStock[RM_Code],$A766,T_TTAFStock[WeekIndex],97),"")</f>
        <v/>
      </c>
      <c r="CX770">
        <f>IFERROR(SUMIFS(T_TTAFStock[TTAF_Qty],T_TTAFStock[RM_Code],$A766,T_TTAFStock[WeekIndex],98),"")</f>
        <v/>
      </c>
      <c r="CY770">
        <f>IFERROR(SUMIFS(T_TTAFStock[TTAF_Qty],T_TTAFStock[RM_Code],$A766,T_TTAFStock[WeekIndex],99),"")</f>
        <v/>
      </c>
      <c r="CZ770">
        <f>IFERROR(SUMIFS(T_TTAFStock[TTAF_Qty],T_TTAFStock[RM_Code],$A766,T_TTAFStock[WeekIndex],100),"")</f>
        <v/>
      </c>
      <c r="DA770">
        <f>IFERROR(SUMIFS(T_TTAFStock[TTAF_Qty],T_TTAFStock[RM_Code],$A766,T_TTAFStock[WeekIndex],101),"")</f>
        <v/>
      </c>
      <c r="DB770">
        <f>IFERROR(SUMIFS(T_TTAFStock[TTAF_Qty],T_TTAFStock[RM_Code],$A766,T_TTAFStock[WeekIndex],102),"")</f>
        <v/>
      </c>
      <c r="DC770">
        <f>IFERROR(SUMIFS(T_TTAFStock[TTAF_Qty],T_TTAFStock[RM_Code],$A766,T_TTAFStock[WeekIndex],103),"")</f>
        <v/>
      </c>
      <c r="DD770">
        <f>IFERROR(SUMIFS(T_TTAFStock[TTAF_Qty],T_TTAFStock[RM_Code],$A766,T_TTAFStock[WeekIndex],104),"")</f>
        <v/>
      </c>
    </row>
    <row r="771">
      <c r="B771" t="inlineStr">
        <is>
          <t>自社在庫(実績,kg)</t>
        </is>
      </c>
      <c r="D771">
        <f>IFERROR(INDEX(E771:DD771,$F$1),"")</f>
        <v/>
      </c>
      <c r="E771">
        <f>IFERROR(SUMIFS(T_SelfStock[Self_Qty],T_SelfStock[RM_Code],$A766,T_SelfStock[WeekIndex],1),"")</f>
        <v/>
      </c>
      <c r="F771">
        <f>IFERROR(SUMIFS(T_SelfStock[Self_Qty],T_SelfStock[RM_Code],$A766,T_SelfStock[WeekIndex],2),"")</f>
        <v/>
      </c>
      <c r="G771">
        <f>IFERROR(SUMIFS(T_SelfStock[Self_Qty],T_SelfStock[RM_Code],$A766,T_SelfStock[WeekIndex],3),"")</f>
        <v/>
      </c>
      <c r="H771">
        <f>IFERROR(SUMIFS(T_SelfStock[Self_Qty],T_SelfStock[RM_Code],$A766,T_SelfStock[WeekIndex],4),"")</f>
        <v/>
      </c>
      <c r="I771">
        <f>IFERROR(SUMIFS(T_SelfStock[Self_Qty],T_SelfStock[RM_Code],$A766,T_SelfStock[WeekIndex],5),"")</f>
        <v/>
      </c>
      <c r="J771">
        <f>IFERROR(SUMIFS(T_SelfStock[Self_Qty],T_SelfStock[RM_Code],$A766,T_SelfStock[WeekIndex],6),"")</f>
        <v/>
      </c>
      <c r="K771">
        <f>IFERROR(SUMIFS(T_SelfStock[Self_Qty],T_SelfStock[RM_Code],$A766,T_SelfStock[WeekIndex],7),"")</f>
        <v/>
      </c>
      <c r="L771">
        <f>IFERROR(SUMIFS(T_SelfStock[Self_Qty],T_SelfStock[RM_Code],$A766,T_SelfStock[WeekIndex],8),"")</f>
        <v/>
      </c>
      <c r="M771">
        <f>IFERROR(SUMIFS(T_SelfStock[Self_Qty],T_SelfStock[RM_Code],$A766,T_SelfStock[WeekIndex],9),"")</f>
        <v/>
      </c>
      <c r="N771">
        <f>IFERROR(SUMIFS(T_SelfStock[Self_Qty],T_SelfStock[RM_Code],$A766,T_SelfStock[WeekIndex],10),"")</f>
        <v/>
      </c>
      <c r="O771">
        <f>IFERROR(SUMIFS(T_SelfStock[Self_Qty],T_SelfStock[RM_Code],$A766,T_SelfStock[WeekIndex],11),"")</f>
        <v/>
      </c>
      <c r="P771">
        <f>IFERROR(SUMIFS(T_SelfStock[Self_Qty],T_SelfStock[RM_Code],$A766,T_SelfStock[WeekIndex],12),"")</f>
        <v/>
      </c>
      <c r="Q771">
        <f>IFERROR(SUMIFS(T_SelfStock[Self_Qty],T_SelfStock[RM_Code],$A766,T_SelfStock[WeekIndex],13),"")</f>
        <v/>
      </c>
      <c r="R771">
        <f>IFERROR(SUMIFS(T_SelfStock[Self_Qty],T_SelfStock[RM_Code],$A766,T_SelfStock[WeekIndex],14),"")</f>
        <v/>
      </c>
      <c r="S771">
        <f>IFERROR(SUMIFS(T_SelfStock[Self_Qty],T_SelfStock[RM_Code],$A766,T_SelfStock[WeekIndex],15),"")</f>
        <v/>
      </c>
      <c r="T771">
        <f>IFERROR(SUMIFS(T_SelfStock[Self_Qty],T_SelfStock[RM_Code],$A766,T_SelfStock[WeekIndex],16),"")</f>
        <v/>
      </c>
      <c r="U771">
        <f>IFERROR(SUMIFS(T_SelfStock[Self_Qty],T_SelfStock[RM_Code],$A766,T_SelfStock[WeekIndex],17),"")</f>
        <v/>
      </c>
      <c r="V771">
        <f>IFERROR(SUMIFS(T_SelfStock[Self_Qty],T_SelfStock[RM_Code],$A766,T_SelfStock[WeekIndex],18),"")</f>
        <v/>
      </c>
      <c r="W771">
        <f>IFERROR(SUMIFS(T_SelfStock[Self_Qty],T_SelfStock[RM_Code],$A766,T_SelfStock[WeekIndex],19),"")</f>
        <v/>
      </c>
      <c r="X771">
        <f>IFERROR(SUMIFS(T_SelfStock[Self_Qty],T_SelfStock[RM_Code],$A766,T_SelfStock[WeekIndex],20),"")</f>
        <v/>
      </c>
      <c r="Y771">
        <f>IFERROR(SUMIFS(T_SelfStock[Self_Qty],T_SelfStock[RM_Code],$A766,T_SelfStock[WeekIndex],21),"")</f>
        <v/>
      </c>
      <c r="Z771">
        <f>IFERROR(SUMIFS(T_SelfStock[Self_Qty],T_SelfStock[RM_Code],$A766,T_SelfStock[WeekIndex],22),"")</f>
        <v/>
      </c>
      <c r="AA771">
        <f>IFERROR(SUMIFS(T_SelfStock[Self_Qty],T_SelfStock[RM_Code],$A766,T_SelfStock[WeekIndex],23),"")</f>
        <v/>
      </c>
      <c r="AB771">
        <f>IFERROR(SUMIFS(T_SelfStock[Self_Qty],T_SelfStock[RM_Code],$A766,T_SelfStock[WeekIndex],24),"")</f>
        <v/>
      </c>
      <c r="AC771">
        <f>IFERROR(SUMIFS(T_SelfStock[Self_Qty],T_SelfStock[RM_Code],$A766,T_SelfStock[WeekIndex],25),"")</f>
        <v/>
      </c>
      <c r="AD771">
        <f>IFERROR(SUMIFS(T_SelfStock[Self_Qty],T_SelfStock[RM_Code],$A766,T_SelfStock[WeekIndex],26),"")</f>
        <v/>
      </c>
      <c r="AE771">
        <f>IFERROR(SUMIFS(T_SelfStock[Self_Qty],T_SelfStock[RM_Code],$A766,T_SelfStock[WeekIndex],27),"")</f>
        <v/>
      </c>
      <c r="AF771">
        <f>IFERROR(SUMIFS(T_SelfStock[Self_Qty],T_SelfStock[RM_Code],$A766,T_SelfStock[WeekIndex],28),"")</f>
        <v/>
      </c>
      <c r="AG771">
        <f>IFERROR(SUMIFS(T_SelfStock[Self_Qty],T_SelfStock[RM_Code],$A766,T_SelfStock[WeekIndex],29),"")</f>
        <v/>
      </c>
      <c r="AH771">
        <f>IFERROR(SUMIFS(T_SelfStock[Self_Qty],T_SelfStock[RM_Code],$A766,T_SelfStock[WeekIndex],30),"")</f>
        <v/>
      </c>
      <c r="AI771">
        <f>IFERROR(SUMIFS(T_SelfStock[Self_Qty],T_SelfStock[RM_Code],$A766,T_SelfStock[WeekIndex],31),"")</f>
        <v/>
      </c>
      <c r="AJ771">
        <f>IFERROR(SUMIFS(T_SelfStock[Self_Qty],T_SelfStock[RM_Code],$A766,T_SelfStock[WeekIndex],32),"")</f>
        <v/>
      </c>
      <c r="AK771">
        <f>IFERROR(SUMIFS(T_SelfStock[Self_Qty],T_SelfStock[RM_Code],$A766,T_SelfStock[WeekIndex],33),"")</f>
        <v/>
      </c>
      <c r="AL771">
        <f>IFERROR(SUMIFS(T_SelfStock[Self_Qty],T_SelfStock[RM_Code],$A766,T_SelfStock[WeekIndex],34),"")</f>
        <v/>
      </c>
      <c r="AM771">
        <f>IFERROR(SUMIFS(T_SelfStock[Self_Qty],T_SelfStock[RM_Code],$A766,T_SelfStock[WeekIndex],35),"")</f>
        <v/>
      </c>
      <c r="AN771">
        <f>IFERROR(SUMIFS(T_SelfStock[Self_Qty],T_SelfStock[RM_Code],$A766,T_SelfStock[WeekIndex],36),"")</f>
        <v/>
      </c>
      <c r="AO771">
        <f>IFERROR(SUMIFS(T_SelfStock[Self_Qty],T_SelfStock[RM_Code],$A766,T_SelfStock[WeekIndex],37),"")</f>
        <v/>
      </c>
      <c r="AP771">
        <f>IFERROR(SUMIFS(T_SelfStock[Self_Qty],T_SelfStock[RM_Code],$A766,T_SelfStock[WeekIndex],38),"")</f>
        <v/>
      </c>
      <c r="AQ771">
        <f>IFERROR(SUMIFS(T_SelfStock[Self_Qty],T_SelfStock[RM_Code],$A766,T_SelfStock[WeekIndex],39),"")</f>
        <v/>
      </c>
      <c r="AR771">
        <f>IFERROR(SUMIFS(T_SelfStock[Self_Qty],T_SelfStock[RM_Code],$A766,T_SelfStock[WeekIndex],40),"")</f>
        <v/>
      </c>
      <c r="AS771">
        <f>IFERROR(SUMIFS(T_SelfStock[Self_Qty],T_SelfStock[RM_Code],$A766,T_SelfStock[WeekIndex],41),"")</f>
        <v/>
      </c>
      <c r="AT771">
        <f>IFERROR(SUMIFS(T_SelfStock[Self_Qty],T_SelfStock[RM_Code],$A766,T_SelfStock[WeekIndex],42),"")</f>
        <v/>
      </c>
      <c r="AU771">
        <f>IFERROR(SUMIFS(T_SelfStock[Self_Qty],T_SelfStock[RM_Code],$A766,T_SelfStock[WeekIndex],43),"")</f>
        <v/>
      </c>
      <c r="AV771">
        <f>IFERROR(SUMIFS(T_SelfStock[Self_Qty],T_SelfStock[RM_Code],$A766,T_SelfStock[WeekIndex],44),"")</f>
        <v/>
      </c>
      <c r="AW771">
        <f>IFERROR(SUMIFS(T_SelfStock[Self_Qty],T_SelfStock[RM_Code],$A766,T_SelfStock[WeekIndex],45),"")</f>
        <v/>
      </c>
      <c r="AX771">
        <f>IFERROR(SUMIFS(T_SelfStock[Self_Qty],T_SelfStock[RM_Code],$A766,T_SelfStock[WeekIndex],46),"")</f>
        <v/>
      </c>
      <c r="AY771">
        <f>IFERROR(SUMIFS(T_SelfStock[Self_Qty],T_SelfStock[RM_Code],$A766,T_SelfStock[WeekIndex],47),"")</f>
        <v/>
      </c>
      <c r="AZ771">
        <f>IFERROR(SUMIFS(T_SelfStock[Self_Qty],T_SelfStock[RM_Code],$A766,T_SelfStock[WeekIndex],48),"")</f>
        <v/>
      </c>
      <c r="BA771">
        <f>IFERROR(SUMIFS(T_SelfStock[Self_Qty],T_SelfStock[RM_Code],$A766,T_SelfStock[WeekIndex],49),"")</f>
        <v/>
      </c>
      <c r="BB771">
        <f>IFERROR(SUMIFS(T_SelfStock[Self_Qty],T_SelfStock[RM_Code],$A766,T_SelfStock[WeekIndex],50),"")</f>
        <v/>
      </c>
      <c r="BC771">
        <f>IFERROR(SUMIFS(T_SelfStock[Self_Qty],T_SelfStock[RM_Code],$A766,T_SelfStock[WeekIndex],51),"")</f>
        <v/>
      </c>
      <c r="BD771">
        <f>IFERROR(SUMIFS(T_SelfStock[Self_Qty],T_SelfStock[RM_Code],$A766,T_SelfStock[WeekIndex],52),"")</f>
        <v/>
      </c>
      <c r="BE771">
        <f>IFERROR(SUMIFS(T_SelfStock[Self_Qty],T_SelfStock[RM_Code],$A766,T_SelfStock[WeekIndex],53),"")</f>
        <v/>
      </c>
      <c r="BF771">
        <f>IFERROR(SUMIFS(T_SelfStock[Self_Qty],T_SelfStock[RM_Code],$A766,T_SelfStock[WeekIndex],54),"")</f>
        <v/>
      </c>
      <c r="BG771">
        <f>IFERROR(SUMIFS(T_SelfStock[Self_Qty],T_SelfStock[RM_Code],$A766,T_SelfStock[WeekIndex],55),"")</f>
        <v/>
      </c>
      <c r="BH771">
        <f>IFERROR(SUMIFS(T_SelfStock[Self_Qty],T_SelfStock[RM_Code],$A766,T_SelfStock[WeekIndex],56),"")</f>
        <v/>
      </c>
      <c r="BI771">
        <f>IFERROR(SUMIFS(T_SelfStock[Self_Qty],T_SelfStock[RM_Code],$A766,T_SelfStock[WeekIndex],57),"")</f>
        <v/>
      </c>
      <c r="BJ771">
        <f>IFERROR(SUMIFS(T_SelfStock[Self_Qty],T_SelfStock[RM_Code],$A766,T_SelfStock[WeekIndex],58),"")</f>
        <v/>
      </c>
      <c r="BK771">
        <f>IFERROR(SUMIFS(T_SelfStock[Self_Qty],T_SelfStock[RM_Code],$A766,T_SelfStock[WeekIndex],59),"")</f>
        <v/>
      </c>
      <c r="BL771">
        <f>IFERROR(SUMIFS(T_SelfStock[Self_Qty],T_SelfStock[RM_Code],$A766,T_SelfStock[WeekIndex],60),"")</f>
        <v/>
      </c>
      <c r="BM771">
        <f>IFERROR(SUMIFS(T_SelfStock[Self_Qty],T_SelfStock[RM_Code],$A766,T_SelfStock[WeekIndex],61),"")</f>
        <v/>
      </c>
      <c r="BN771">
        <f>IFERROR(SUMIFS(T_SelfStock[Self_Qty],T_SelfStock[RM_Code],$A766,T_SelfStock[WeekIndex],62),"")</f>
        <v/>
      </c>
      <c r="BO771">
        <f>IFERROR(SUMIFS(T_SelfStock[Self_Qty],T_SelfStock[RM_Code],$A766,T_SelfStock[WeekIndex],63),"")</f>
        <v/>
      </c>
      <c r="BP771">
        <f>IFERROR(SUMIFS(T_SelfStock[Self_Qty],T_SelfStock[RM_Code],$A766,T_SelfStock[WeekIndex],64),"")</f>
        <v/>
      </c>
      <c r="BQ771">
        <f>IFERROR(SUMIFS(T_SelfStock[Self_Qty],T_SelfStock[RM_Code],$A766,T_SelfStock[WeekIndex],65),"")</f>
        <v/>
      </c>
      <c r="BR771">
        <f>IFERROR(SUMIFS(T_SelfStock[Self_Qty],T_SelfStock[RM_Code],$A766,T_SelfStock[WeekIndex],66),"")</f>
        <v/>
      </c>
      <c r="BS771">
        <f>IFERROR(SUMIFS(T_SelfStock[Self_Qty],T_SelfStock[RM_Code],$A766,T_SelfStock[WeekIndex],67),"")</f>
        <v/>
      </c>
      <c r="BT771">
        <f>IFERROR(SUMIFS(T_SelfStock[Self_Qty],T_SelfStock[RM_Code],$A766,T_SelfStock[WeekIndex],68),"")</f>
        <v/>
      </c>
      <c r="BU771">
        <f>IFERROR(SUMIFS(T_SelfStock[Self_Qty],T_SelfStock[RM_Code],$A766,T_SelfStock[WeekIndex],69),"")</f>
        <v/>
      </c>
      <c r="BV771">
        <f>IFERROR(SUMIFS(T_SelfStock[Self_Qty],T_SelfStock[RM_Code],$A766,T_SelfStock[WeekIndex],70),"")</f>
        <v/>
      </c>
      <c r="BW771">
        <f>IFERROR(SUMIFS(T_SelfStock[Self_Qty],T_SelfStock[RM_Code],$A766,T_SelfStock[WeekIndex],71),"")</f>
        <v/>
      </c>
      <c r="BX771">
        <f>IFERROR(SUMIFS(T_SelfStock[Self_Qty],T_SelfStock[RM_Code],$A766,T_SelfStock[WeekIndex],72),"")</f>
        <v/>
      </c>
      <c r="BY771">
        <f>IFERROR(SUMIFS(T_SelfStock[Self_Qty],T_SelfStock[RM_Code],$A766,T_SelfStock[WeekIndex],73),"")</f>
        <v/>
      </c>
      <c r="BZ771">
        <f>IFERROR(SUMIFS(T_SelfStock[Self_Qty],T_SelfStock[RM_Code],$A766,T_SelfStock[WeekIndex],74),"")</f>
        <v/>
      </c>
      <c r="CA771">
        <f>IFERROR(SUMIFS(T_SelfStock[Self_Qty],T_SelfStock[RM_Code],$A766,T_SelfStock[WeekIndex],75),"")</f>
        <v/>
      </c>
      <c r="CB771">
        <f>IFERROR(SUMIFS(T_SelfStock[Self_Qty],T_SelfStock[RM_Code],$A766,T_SelfStock[WeekIndex],76),"")</f>
        <v/>
      </c>
      <c r="CC771">
        <f>IFERROR(SUMIFS(T_SelfStock[Self_Qty],T_SelfStock[RM_Code],$A766,T_SelfStock[WeekIndex],77),"")</f>
        <v/>
      </c>
      <c r="CD771">
        <f>IFERROR(SUMIFS(T_SelfStock[Self_Qty],T_SelfStock[RM_Code],$A766,T_SelfStock[WeekIndex],78),"")</f>
        <v/>
      </c>
      <c r="CE771">
        <f>IFERROR(SUMIFS(T_SelfStock[Self_Qty],T_SelfStock[RM_Code],$A766,T_SelfStock[WeekIndex],79),"")</f>
        <v/>
      </c>
      <c r="CF771">
        <f>IFERROR(SUMIFS(T_SelfStock[Self_Qty],T_SelfStock[RM_Code],$A766,T_SelfStock[WeekIndex],80),"")</f>
        <v/>
      </c>
      <c r="CG771">
        <f>IFERROR(SUMIFS(T_SelfStock[Self_Qty],T_SelfStock[RM_Code],$A766,T_SelfStock[WeekIndex],81),"")</f>
        <v/>
      </c>
      <c r="CH771">
        <f>IFERROR(SUMIFS(T_SelfStock[Self_Qty],T_SelfStock[RM_Code],$A766,T_SelfStock[WeekIndex],82),"")</f>
        <v/>
      </c>
      <c r="CI771">
        <f>IFERROR(SUMIFS(T_SelfStock[Self_Qty],T_SelfStock[RM_Code],$A766,T_SelfStock[WeekIndex],83),"")</f>
        <v/>
      </c>
      <c r="CJ771">
        <f>IFERROR(SUMIFS(T_SelfStock[Self_Qty],T_SelfStock[RM_Code],$A766,T_SelfStock[WeekIndex],84),"")</f>
        <v/>
      </c>
      <c r="CK771">
        <f>IFERROR(SUMIFS(T_SelfStock[Self_Qty],T_SelfStock[RM_Code],$A766,T_SelfStock[WeekIndex],85),"")</f>
        <v/>
      </c>
      <c r="CL771">
        <f>IFERROR(SUMIFS(T_SelfStock[Self_Qty],T_SelfStock[RM_Code],$A766,T_SelfStock[WeekIndex],86),"")</f>
        <v/>
      </c>
      <c r="CM771">
        <f>IFERROR(SUMIFS(T_SelfStock[Self_Qty],T_SelfStock[RM_Code],$A766,T_SelfStock[WeekIndex],87),"")</f>
        <v/>
      </c>
      <c r="CN771">
        <f>IFERROR(SUMIFS(T_SelfStock[Self_Qty],T_SelfStock[RM_Code],$A766,T_SelfStock[WeekIndex],88),"")</f>
        <v/>
      </c>
      <c r="CO771">
        <f>IFERROR(SUMIFS(T_SelfStock[Self_Qty],T_SelfStock[RM_Code],$A766,T_SelfStock[WeekIndex],89),"")</f>
        <v/>
      </c>
      <c r="CP771">
        <f>IFERROR(SUMIFS(T_SelfStock[Self_Qty],T_SelfStock[RM_Code],$A766,T_SelfStock[WeekIndex],90),"")</f>
        <v/>
      </c>
      <c r="CQ771">
        <f>IFERROR(SUMIFS(T_SelfStock[Self_Qty],T_SelfStock[RM_Code],$A766,T_SelfStock[WeekIndex],91),"")</f>
        <v/>
      </c>
      <c r="CR771">
        <f>IFERROR(SUMIFS(T_SelfStock[Self_Qty],T_SelfStock[RM_Code],$A766,T_SelfStock[WeekIndex],92),"")</f>
        <v/>
      </c>
      <c r="CS771">
        <f>IFERROR(SUMIFS(T_SelfStock[Self_Qty],T_SelfStock[RM_Code],$A766,T_SelfStock[WeekIndex],93),"")</f>
        <v/>
      </c>
      <c r="CT771">
        <f>IFERROR(SUMIFS(T_SelfStock[Self_Qty],T_SelfStock[RM_Code],$A766,T_SelfStock[WeekIndex],94),"")</f>
        <v/>
      </c>
      <c r="CU771">
        <f>IFERROR(SUMIFS(T_SelfStock[Self_Qty],T_SelfStock[RM_Code],$A766,T_SelfStock[WeekIndex],95),"")</f>
        <v/>
      </c>
      <c r="CV771">
        <f>IFERROR(SUMIFS(T_SelfStock[Self_Qty],T_SelfStock[RM_Code],$A766,T_SelfStock[WeekIndex],96),"")</f>
        <v/>
      </c>
      <c r="CW771">
        <f>IFERROR(SUMIFS(T_SelfStock[Self_Qty],T_SelfStock[RM_Code],$A766,T_SelfStock[WeekIndex],97),"")</f>
        <v/>
      </c>
      <c r="CX771">
        <f>IFERROR(SUMIFS(T_SelfStock[Self_Qty],T_SelfStock[RM_Code],$A766,T_SelfStock[WeekIndex],98),"")</f>
        <v/>
      </c>
      <c r="CY771">
        <f>IFERROR(SUMIFS(T_SelfStock[Self_Qty],T_SelfStock[RM_Code],$A766,T_SelfStock[WeekIndex],99),"")</f>
        <v/>
      </c>
      <c r="CZ771">
        <f>IFERROR(SUMIFS(T_SelfStock[Self_Qty],T_SelfStock[RM_Code],$A766,T_SelfStock[WeekIndex],100),"")</f>
        <v/>
      </c>
      <c r="DA771">
        <f>IFERROR(SUMIFS(T_SelfStock[Self_Qty],T_SelfStock[RM_Code],$A766,T_SelfStock[WeekIndex],101),"")</f>
        <v/>
      </c>
      <c r="DB771">
        <f>IFERROR(SUMIFS(T_SelfStock[Self_Qty],T_SelfStock[RM_Code],$A766,T_SelfStock[WeekIndex],102),"")</f>
        <v/>
      </c>
      <c r="DC771">
        <f>IFERROR(SUMIFS(T_SelfStock[Self_Qty],T_SelfStock[RM_Code],$A766,T_SelfStock[WeekIndex],103),"")</f>
        <v/>
      </c>
      <c r="DD771">
        <f>IFERROR(SUMIFS(T_SelfStock[Self_Qty],T_SelfStock[RM_Code],$A766,T_SelfStock[WeekIndex],104),"")</f>
        <v/>
      </c>
    </row>
    <row r="772">
      <c r="B772" s="4" t="inlineStr">
        <is>
          <t>合計在庫(週末時点,kg)</t>
        </is>
      </c>
      <c r="D772" s="24">
        <f>IFERROR(INDEX(E772:DD772,$F$1),"")</f>
        <v/>
      </c>
      <c r="E772">
        <f>'Grid_Stock'!B50</f>
        <v/>
      </c>
      <c r="F772">
        <f>'Grid_Stock'!C50</f>
        <v/>
      </c>
      <c r="G772">
        <f>'Grid_Stock'!D50</f>
        <v/>
      </c>
      <c r="H772">
        <f>'Grid_Stock'!E50</f>
        <v/>
      </c>
      <c r="I772">
        <f>'Grid_Stock'!F50</f>
        <v/>
      </c>
      <c r="J772">
        <f>'Grid_Stock'!G50</f>
        <v/>
      </c>
      <c r="K772">
        <f>'Grid_Stock'!H50</f>
        <v/>
      </c>
      <c r="L772">
        <f>'Grid_Stock'!I50</f>
        <v/>
      </c>
      <c r="M772">
        <f>'Grid_Stock'!J50</f>
        <v/>
      </c>
      <c r="N772">
        <f>'Grid_Stock'!K50</f>
        <v/>
      </c>
      <c r="O772">
        <f>'Grid_Stock'!L50</f>
        <v/>
      </c>
      <c r="P772">
        <f>'Grid_Stock'!M50</f>
        <v/>
      </c>
      <c r="Q772">
        <f>'Grid_Stock'!N50</f>
        <v/>
      </c>
      <c r="R772">
        <f>'Grid_Stock'!O50</f>
        <v/>
      </c>
      <c r="S772">
        <f>'Grid_Stock'!P50</f>
        <v/>
      </c>
      <c r="T772">
        <f>'Grid_Stock'!Q50</f>
        <v/>
      </c>
      <c r="U772">
        <f>'Grid_Stock'!R50</f>
        <v/>
      </c>
      <c r="V772">
        <f>'Grid_Stock'!S50</f>
        <v/>
      </c>
      <c r="W772">
        <f>'Grid_Stock'!T50</f>
        <v/>
      </c>
      <c r="X772">
        <f>'Grid_Stock'!U50</f>
        <v/>
      </c>
      <c r="Y772">
        <f>'Grid_Stock'!V50</f>
        <v/>
      </c>
      <c r="Z772">
        <f>'Grid_Stock'!W50</f>
        <v/>
      </c>
      <c r="AA772">
        <f>'Grid_Stock'!X50</f>
        <v/>
      </c>
      <c r="AB772">
        <f>'Grid_Stock'!Y50</f>
        <v/>
      </c>
      <c r="AC772">
        <f>'Grid_Stock'!Z50</f>
        <v/>
      </c>
      <c r="AD772">
        <f>'Grid_Stock'!AA50</f>
        <v/>
      </c>
      <c r="AE772">
        <f>'Grid_Stock'!AB50</f>
        <v/>
      </c>
      <c r="AF772">
        <f>'Grid_Stock'!AC50</f>
        <v/>
      </c>
      <c r="AG772">
        <f>'Grid_Stock'!AD50</f>
        <v/>
      </c>
      <c r="AH772">
        <f>'Grid_Stock'!AE50</f>
        <v/>
      </c>
      <c r="AI772">
        <f>'Grid_Stock'!AF50</f>
        <v/>
      </c>
      <c r="AJ772">
        <f>'Grid_Stock'!AG50</f>
        <v/>
      </c>
      <c r="AK772">
        <f>'Grid_Stock'!AH50</f>
        <v/>
      </c>
      <c r="AL772">
        <f>'Grid_Stock'!AI50</f>
        <v/>
      </c>
      <c r="AM772">
        <f>'Grid_Stock'!AJ50</f>
        <v/>
      </c>
      <c r="AN772">
        <f>'Grid_Stock'!AK50</f>
        <v/>
      </c>
      <c r="AO772">
        <f>'Grid_Stock'!AL50</f>
        <v/>
      </c>
      <c r="AP772">
        <f>'Grid_Stock'!AM50</f>
        <v/>
      </c>
      <c r="AQ772">
        <f>'Grid_Stock'!AN50</f>
        <v/>
      </c>
      <c r="AR772">
        <f>'Grid_Stock'!AO50</f>
        <v/>
      </c>
      <c r="AS772">
        <f>'Grid_Stock'!AP50</f>
        <v/>
      </c>
      <c r="AT772">
        <f>'Grid_Stock'!AQ50</f>
        <v/>
      </c>
      <c r="AU772">
        <f>'Grid_Stock'!AR50</f>
        <v/>
      </c>
      <c r="AV772">
        <f>'Grid_Stock'!AS50</f>
        <v/>
      </c>
      <c r="AW772">
        <f>'Grid_Stock'!AT50</f>
        <v/>
      </c>
      <c r="AX772">
        <f>'Grid_Stock'!AU50</f>
        <v/>
      </c>
      <c r="AY772">
        <f>'Grid_Stock'!AV50</f>
        <v/>
      </c>
      <c r="AZ772">
        <f>'Grid_Stock'!AW50</f>
        <v/>
      </c>
      <c r="BA772">
        <f>'Grid_Stock'!AX50</f>
        <v/>
      </c>
      <c r="BB772">
        <f>'Grid_Stock'!AY50</f>
        <v/>
      </c>
      <c r="BC772">
        <f>'Grid_Stock'!AZ50</f>
        <v/>
      </c>
      <c r="BD772">
        <f>'Grid_Stock'!BA50</f>
        <v/>
      </c>
      <c r="BE772">
        <f>'Grid_Stock'!BB50</f>
        <v/>
      </c>
      <c r="BF772">
        <f>'Grid_Stock'!BC50</f>
        <v/>
      </c>
      <c r="BG772">
        <f>'Grid_Stock'!BD50</f>
        <v/>
      </c>
      <c r="BH772">
        <f>'Grid_Stock'!BE50</f>
        <v/>
      </c>
      <c r="BI772">
        <f>'Grid_Stock'!BF50</f>
        <v/>
      </c>
      <c r="BJ772">
        <f>'Grid_Stock'!BG50</f>
        <v/>
      </c>
      <c r="BK772">
        <f>'Grid_Stock'!BH50</f>
        <v/>
      </c>
      <c r="BL772">
        <f>'Grid_Stock'!BI50</f>
        <v/>
      </c>
      <c r="BM772">
        <f>'Grid_Stock'!BJ50</f>
        <v/>
      </c>
      <c r="BN772">
        <f>'Grid_Stock'!BK50</f>
        <v/>
      </c>
      <c r="BO772">
        <f>'Grid_Stock'!BL50</f>
        <v/>
      </c>
      <c r="BP772">
        <f>'Grid_Stock'!BM50</f>
        <v/>
      </c>
      <c r="BQ772">
        <f>'Grid_Stock'!BN50</f>
        <v/>
      </c>
      <c r="BR772">
        <f>'Grid_Stock'!BO50</f>
        <v/>
      </c>
      <c r="BS772">
        <f>'Grid_Stock'!BP50</f>
        <v/>
      </c>
      <c r="BT772">
        <f>'Grid_Stock'!BQ50</f>
        <v/>
      </c>
      <c r="BU772">
        <f>'Grid_Stock'!BR50</f>
        <v/>
      </c>
      <c r="BV772">
        <f>'Grid_Stock'!BS50</f>
        <v/>
      </c>
      <c r="BW772">
        <f>'Grid_Stock'!BT50</f>
        <v/>
      </c>
      <c r="BX772">
        <f>'Grid_Stock'!BU50</f>
        <v/>
      </c>
      <c r="BY772">
        <f>'Grid_Stock'!BV50</f>
        <v/>
      </c>
      <c r="BZ772">
        <f>'Grid_Stock'!BW50</f>
        <v/>
      </c>
      <c r="CA772">
        <f>'Grid_Stock'!BX50</f>
        <v/>
      </c>
      <c r="CB772">
        <f>'Grid_Stock'!BY50</f>
        <v/>
      </c>
      <c r="CC772">
        <f>'Grid_Stock'!BZ50</f>
        <v/>
      </c>
      <c r="CD772">
        <f>'Grid_Stock'!CA50</f>
        <v/>
      </c>
      <c r="CE772">
        <f>'Grid_Stock'!CB50</f>
        <v/>
      </c>
      <c r="CF772">
        <f>'Grid_Stock'!CC50</f>
        <v/>
      </c>
      <c r="CG772">
        <f>'Grid_Stock'!CD50</f>
        <v/>
      </c>
      <c r="CH772">
        <f>'Grid_Stock'!CE50</f>
        <v/>
      </c>
      <c r="CI772">
        <f>'Grid_Stock'!CF50</f>
        <v/>
      </c>
      <c r="CJ772">
        <f>'Grid_Stock'!CG50</f>
        <v/>
      </c>
      <c r="CK772">
        <f>'Grid_Stock'!CH50</f>
        <v/>
      </c>
      <c r="CL772">
        <f>'Grid_Stock'!CI50</f>
        <v/>
      </c>
      <c r="CM772">
        <f>'Grid_Stock'!CJ50</f>
        <v/>
      </c>
      <c r="CN772">
        <f>'Grid_Stock'!CK50</f>
        <v/>
      </c>
      <c r="CO772">
        <f>'Grid_Stock'!CL50</f>
        <v/>
      </c>
      <c r="CP772">
        <f>'Grid_Stock'!CM50</f>
        <v/>
      </c>
      <c r="CQ772">
        <f>'Grid_Stock'!CN50</f>
        <v/>
      </c>
      <c r="CR772">
        <f>'Grid_Stock'!CO50</f>
        <v/>
      </c>
      <c r="CS772">
        <f>'Grid_Stock'!CP50</f>
        <v/>
      </c>
      <c r="CT772">
        <f>'Grid_Stock'!CQ50</f>
        <v/>
      </c>
      <c r="CU772">
        <f>'Grid_Stock'!CR50</f>
        <v/>
      </c>
      <c r="CV772">
        <f>'Grid_Stock'!CS50</f>
        <v/>
      </c>
      <c r="CW772">
        <f>'Grid_Stock'!CT50</f>
        <v/>
      </c>
      <c r="CX772">
        <f>'Grid_Stock'!CU50</f>
        <v/>
      </c>
      <c r="CY772">
        <f>'Grid_Stock'!CV50</f>
        <v/>
      </c>
      <c r="CZ772">
        <f>'Grid_Stock'!CW50</f>
        <v/>
      </c>
      <c r="DA772">
        <f>'Grid_Stock'!CX50</f>
        <v/>
      </c>
      <c r="DB772">
        <f>'Grid_Stock'!CY50</f>
        <v/>
      </c>
      <c r="DC772">
        <f>'Grid_Stock'!CZ50</f>
        <v/>
      </c>
      <c r="DD772">
        <f>'Grid_Stock'!DA50</f>
        <v/>
      </c>
    </row>
    <row r="773">
      <c r="B773" s="25" t="inlineStr">
        <is>
          <t>（発注の目安はDashboardの基準在庫[下限/上限]と色分けを参照）</t>
        </is>
      </c>
    </row>
    <row r="775">
      <c r="A775" s="21" t="inlineStr">
        <is>
          <t>CHEM-1520</t>
        </is>
      </c>
      <c r="B775" s="21" t="inlineStr">
        <is>
          <t>Puralox TH100-100L1</t>
        </is>
      </c>
      <c r="C775" s="22" t="n"/>
      <c r="D775" s="21" t="n"/>
      <c r="E775" s="21" t="n"/>
      <c r="F775" s="21" t="n"/>
      <c r="G775" s="21" t="n"/>
      <c r="H775" s="2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  <c r="AA775" s="21" t="n"/>
      <c r="AB775" s="21" t="n"/>
      <c r="AC775" s="21" t="n"/>
      <c r="AD775" s="21" t="n"/>
      <c r="AE775" s="21" t="n"/>
      <c r="AF775" s="21" t="n"/>
      <c r="AG775" s="21" t="n"/>
      <c r="AH775" s="21" t="n"/>
      <c r="AI775" s="21" t="n"/>
      <c r="AJ775" s="21" t="n"/>
      <c r="AK775" s="21" t="n"/>
      <c r="AL775" s="21" t="n"/>
      <c r="AM775" s="21" t="n"/>
      <c r="AN775" s="21" t="n"/>
      <c r="AO775" s="21" t="n"/>
      <c r="AP775" s="21" t="n"/>
      <c r="AQ775" s="21" t="n"/>
      <c r="AR775" s="21" t="n"/>
      <c r="AS775" s="21" t="n"/>
      <c r="AT775" s="21" t="n"/>
      <c r="AU775" s="21" t="n"/>
      <c r="AV775" s="21" t="n"/>
      <c r="AW775" s="21" t="n"/>
      <c r="AX775" s="21" t="n"/>
      <c r="AY775" s="21" t="n"/>
      <c r="AZ775" s="21" t="n"/>
      <c r="BA775" s="21" t="n"/>
      <c r="BB775" s="21" t="n"/>
      <c r="BC775" s="21" t="n"/>
      <c r="BD775" s="21" t="n"/>
      <c r="BE775" s="21" t="n"/>
      <c r="BF775" s="21" t="n"/>
      <c r="BG775" s="21" t="n"/>
      <c r="BH775" s="21" t="n"/>
      <c r="BI775" s="21" t="n"/>
      <c r="BJ775" s="21" t="n"/>
      <c r="BK775" s="21" t="n"/>
      <c r="BL775" s="21" t="n"/>
      <c r="BM775" s="21" t="n"/>
      <c r="BN775" s="21" t="n"/>
      <c r="BO775" s="21" t="n"/>
      <c r="BP775" s="21" t="n"/>
      <c r="BQ775" s="21" t="n"/>
      <c r="BR775" s="21" t="n"/>
      <c r="BS775" s="21" t="n"/>
      <c r="BT775" s="21" t="n"/>
      <c r="BU775" s="21" t="n"/>
      <c r="BV775" s="21" t="n"/>
      <c r="BW775" s="21" t="n"/>
      <c r="BX775" s="21" t="n"/>
      <c r="BY775" s="21" t="n"/>
      <c r="BZ775" s="21" t="n"/>
      <c r="CA775" s="21" t="n"/>
      <c r="CB775" s="21" t="n"/>
      <c r="CC775" s="21" t="n"/>
      <c r="CD775" s="21" t="n"/>
      <c r="CE775" s="21" t="n"/>
      <c r="CF775" s="21" t="n"/>
      <c r="CG775" s="21" t="n"/>
      <c r="CH775" s="21" t="n"/>
      <c r="CI775" s="21" t="n"/>
      <c r="CJ775" s="21" t="n"/>
      <c r="CK775" s="21" t="n"/>
      <c r="CL775" s="21" t="n"/>
      <c r="CM775" s="21" t="n"/>
      <c r="CN775" s="21" t="n"/>
      <c r="CO775" s="21" t="n"/>
      <c r="CP775" s="21" t="n"/>
      <c r="CQ775" s="21" t="n"/>
      <c r="CR775" s="21" t="n"/>
      <c r="CS775" s="21" t="n"/>
      <c r="CT775" s="21" t="n"/>
      <c r="CU775" s="21" t="n"/>
      <c r="CV775" s="21" t="n"/>
      <c r="CW775" s="21" t="n"/>
      <c r="CX775" s="21" t="n"/>
      <c r="CY775" s="21" t="n"/>
      <c r="CZ775" s="21" t="n"/>
      <c r="DA775" s="21" t="n"/>
      <c r="DB775" s="21" t="n"/>
      <c r="DC775" s="21" t="n"/>
      <c r="DD775" s="21" t="n"/>
    </row>
    <row r="776">
      <c r="B776" t="inlineStr">
        <is>
          <t>TSP-218</t>
        </is>
      </c>
      <c r="C776" t="inlineStr">
        <is>
          <t>No. of batches</t>
        </is>
      </c>
      <c r="D776">
        <f>IFERROR(INDEX(E776:DD776,$F$1),"")</f>
        <v/>
      </c>
      <c r="E776">
        <f>IFERROR(INDEX(PP_Grid[#Data],$DE776,2),0)</f>
        <v/>
      </c>
      <c r="F776">
        <f>IFERROR(INDEX(PP_Grid[#Data],$DE776,3),0)</f>
        <v/>
      </c>
      <c r="G776">
        <f>IFERROR(INDEX(PP_Grid[#Data],$DE776,4),0)</f>
        <v/>
      </c>
      <c r="H776">
        <f>IFERROR(INDEX(PP_Grid[#Data],$DE776,5),0)</f>
        <v/>
      </c>
      <c r="I776">
        <f>IFERROR(INDEX(PP_Grid[#Data],$DE776,6),0)</f>
        <v/>
      </c>
      <c r="J776">
        <f>IFERROR(INDEX(PP_Grid[#Data],$DE776,7),0)</f>
        <v/>
      </c>
      <c r="K776">
        <f>IFERROR(INDEX(PP_Grid[#Data],$DE776,8),0)</f>
        <v/>
      </c>
      <c r="L776">
        <f>IFERROR(INDEX(PP_Grid[#Data],$DE776,9),0)</f>
        <v/>
      </c>
      <c r="M776">
        <f>IFERROR(INDEX(PP_Grid[#Data],$DE776,10),0)</f>
        <v/>
      </c>
      <c r="N776">
        <f>IFERROR(INDEX(PP_Grid[#Data],$DE776,11),0)</f>
        <v/>
      </c>
      <c r="O776">
        <f>IFERROR(INDEX(PP_Grid[#Data],$DE776,12),0)</f>
        <v/>
      </c>
      <c r="P776">
        <f>IFERROR(INDEX(PP_Grid[#Data],$DE776,13),0)</f>
        <v/>
      </c>
      <c r="Q776">
        <f>IFERROR(INDEX(PP_Grid[#Data],$DE776,14),0)</f>
        <v/>
      </c>
      <c r="R776">
        <f>IFERROR(INDEX(PP_Grid[#Data],$DE776,15),0)</f>
        <v/>
      </c>
      <c r="S776">
        <f>IFERROR(INDEX(PP_Grid[#Data],$DE776,16),0)</f>
        <v/>
      </c>
      <c r="T776">
        <f>IFERROR(INDEX(PP_Grid[#Data],$DE776,17),0)</f>
        <v/>
      </c>
      <c r="U776">
        <f>IFERROR(INDEX(PP_Grid[#Data],$DE776,18),0)</f>
        <v/>
      </c>
      <c r="V776">
        <f>IFERROR(INDEX(PP_Grid[#Data],$DE776,19),0)</f>
        <v/>
      </c>
      <c r="W776">
        <f>IFERROR(INDEX(PP_Grid[#Data],$DE776,20),0)</f>
        <v/>
      </c>
      <c r="X776">
        <f>IFERROR(INDEX(PP_Grid[#Data],$DE776,21),0)</f>
        <v/>
      </c>
      <c r="Y776">
        <f>IFERROR(INDEX(PP_Grid[#Data],$DE776,22),0)</f>
        <v/>
      </c>
      <c r="Z776">
        <f>IFERROR(INDEX(PP_Grid[#Data],$DE776,23),0)</f>
        <v/>
      </c>
      <c r="AA776">
        <f>IFERROR(INDEX(PP_Grid[#Data],$DE776,24),0)</f>
        <v/>
      </c>
      <c r="AB776">
        <f>IFERROR(INDEX(PP_Grid[#Data],$DE776,25),0)</f>
        <v/>
      </c>
      <c r="AC776">
        <f>IFERROR(INDEX(PP_Grid[#Data],$DE776,26),0)</f>
        <v/>
      </c>
      <c r="AD776">
        <f>IFERROR(INDEX(PP_Grid[#Data],$DE776,27),0)</f>
        <v/>
      </c>
      <c r="AE776">
        <f>IFERROR(INDEX(PP_Grid[#Data],$DE776,28),0)</f>
        <v/>
      </c>
      <c r="AF776">
        <f>IFERROR(INDEX(PP_Grid[#Data],$DE776,29),0)</f>
        <v/>
      </c>
      <c r="AG776">
        <f>IFERROR(INDEX(PP_Grid[#Data],$DE776,30),0)</f>
        <v/>
      </c>
      <c r="AH776">
        <f>IFERROR(INDEX(PP_Grid[#Data],$DE776,31),0)</f>
        <v/>
      </c>
      <c r="AI776">
        <f>IFERROR(INDEX(PP_Grid[#Data],$DE776,32),0)</f>
        <v/>
      </c>
      <c r="AJ776">
        <f>IFERROR(INDEX(PP_Grid[#Data],$DE776,33),0)</f>
        <v/>
      </c>
      <c r="AK776">
        <f>IFERROR(INDEX(PP_Grid[#Data],$DE776,34),0)</f>
        <v/>
      </c>
      <c r="AL776">
        <f>IFERROR(INDEX(PP_Grid[#Data],$DE776,35),0)</f>
        <v/>
      </c>
      <c r="AM776">
        <f>IFERROR(INDEX(PP_Grid[#Data],$DE776,36),0)</f>
        <v/>
      </c>
      <c r="AN776">
        <f>IFERROR(INDEX(PP_Grid[#Data],$DE776,37),0)</f>
        <v/>
      </c>
      <c r="AO776">
        <f>IFERROR(INDEX(PP_Grid[#Data],$DE776,38),0)</f>
        <v/>
      </c>
      <c r="AP776">
        <f>IFERROR(INDEX(PP_Grid[#Data],$DE776,39),0)</f>
        <v/>
      </c>
      <c r="AQ776">
        <f>IFERROR(INDEX(PP_Grid[#Data],$DE776,40),0)</f>
        <v/>
      </c>
      <c r="AR776">
        <f>IFERROR(INDEX(PP_Grid[#Data],$DE776,41),0)</f>
        <v/>
      </c>
      <c r="AS776">
        <f>IFERROR(INDEX(PP_Grid[#Data],$DE776,42),0)</f>
        <v/>
      </c>
      <c r="AT776">
        <f>IFERROR(INDEX(PP_Grid[#Data],$DE776,43),0)</f>
        <v/>
      </c>
      <c r="AU776">
        <f>IFERROR(INDEX(PP_Grid[#Data],$DE776,44),0)</f>
        <v/>
      </c>
      <c r="AV776">
        <f>IFERROR(INDEX(PP_Grid[#Data],$DE776,45),0)</f>
        <v/>
      </c>
      <c r="AW776">
        <f>IFERROR(INDEX(PP_Grid[#Data],$DE776,46),0)</f>
        <v/>
      </c>
      <c r="AX776">
        <f>IFERROR(INDEX(PP_Grid[#Data],$DE776,47),0)</f>
        <v/>
      </c>
      <c r="AY776">
        <f>IFERROR(INDEX(PP_Grid[#Data],$DE776,48),0)</f>
        <v/>
      </c>
      <c r="AZ776">
        <f>IFERROR(INDEX(PP_Grid[#Data],$DE776,49),0)</f>
        <v/>
      </c>
      <c r="BA776">
        <f>IFERROR(INDEX(PP_Grid[#Data],$DE776,50),0)</f>
        <v/>
      </c>
      <c r="BB776">
        <f>IFERROR(INDEX(PP_Grid[#Data],$DE776,51),0)</f>
        <v/>
      </c>
      <c r="BC776">
        <f>IFERROR(INDEX(PP_Grid[#Data],$DE776,52),0)</f>
        <v/>
      </c>
      <c r="BD776">
        <f>IFERROR(INDEX(PP_Grid[#Data],$DE776,53),0)</f>
        <v/>
      </c>
      <c r="BE776">
        <f>IFERROR(INDEX(PP_Grid[#Data],$DE776,54),0)</f>
        <v/>
      </c>
      <c r="BF776">
        <f>IFERROR(INDEX(PP_Grid[#Data],$DE776,55),0)</f>
        <v/>
      </c>
      <c r="BG776">
        <f>IFERROR(INDEX(PP_Grid[#Data],$DE776,56),0)</f>
        <v/>
      </c>
      <c r="BH776">
        <f>IFERROR(INDEX(PP_Grid[#Data],$DE776,57),0)</f>
        <v/>
      </c>
      <c r="BI776">
        <f>IFERROR(INDEX(PP_Grid[#Data],$DE776,58),0)</f>
        <v/>
      </c>
      <c r="BJ776">
        <f>IFERROR(INDEX(PP_Grid[#Data],$DE776,59),0)</f>
        <v/>
      </c>
      <c r="BK776">
        <f>IFERROR(INDEX(PP_Grid[#Data],$DE776,60),0)</f>
        <v/>
      </c>
      <c r="BL776">
        <f>IFERROR(INDEX(PP_Grid[#Data],$DE776,61),0)</f>
        <v/>
      </c>
      <c r="BM776">
        <f>IFERROR(INDEX(PP_Grid[#Data],$DE776,62),0)</f>
        <v/>
      </c>
      <c r="BN776">
        <f>IFERROR(INDEX(PP_Grid[#Data],$DE776,63),0)</f>
        <v/>
      </c>
      <c r="BO776">
        <f>IFERROR(INDEX(PP_Grid[#Data],$DE776,64),0)</f>
        <v/>
      </c>
      <c r="BP776">
        <f>IFERROR(INDEX(PP_Grid[#Data],$DE776,65),0)</f>
        <v/>
      </c>
      <c r="BQ776">
        <f>IFERROR(INDEX(PP_Grid[#Data],$DE776,66),0)</f>
        <v/>
      </c>
      <c r="BR776">
        <f>IFERROR(INDEX(PP_Grid[#Data],$DE776,67),0)</f>
        <v/>
      </c>
      <c r="BS776">
        <f>IFERROR(INDEX(PP_Grid[#Data],$DE776,68),0)</f>
        <v/>
      </c>
      <c r="BT776">
        <f>IFERROR(INDEX(PP_Grid[#Data],$DE776,69),0)</f>
        <v/>
      </c>
      <c r="BU776">
        <f>IFERROR(INDEX(PP_Grid[#Data],$DE776,70),0)</f>
        <v/>
      </c>
      <c r="BV776">
        <f>IFERROR(INDEX(PP_Grid[#Data],$DE776,71),0)</f>
        <v/>
      </c>
      <c r="BW776">
        <f>IFERROR(INDEX(PP_Grid[#Data],$DE776,72),0)</f>
        <v/>
      </c>
      <c r="BX776">
        <f>IFERROR(INDEX(PP_Grid[#Data],$DE776,73),0)</f>
        <v/>
      </c>
      <c r="BY776">
        <f>IFERROR(INDEX(PP_Grid[#Data],$DE776,74),0)</f>
        <v/>
      </c>
      <c r="BZ776">
        <f>IFERROR(INDEX(PP_Grid[#Data],$DE776,75),0)</f>
        <v/>
      </c>
      <c r="CA776">
        <f>IFERROR(INDEX(PP_Grid[#Data],$DE776,76),0)</f>
        <v/>
      </c>
      <c r="CB776">
        <f>IFERROR(INDEX(PP_Grid[#Data],$DE776,77),0)</f>
        <v/>
      </c>
      <c r="CC776">
        <f>IFERROR(INDEX(PP_Grid[#Data],$DE776,78),0)</f>
        <v/>
      </c>
      <c r="CD776">
        <f>IFERROR(INDEX(PP_Grid[#Data],$DE776,79),0)</f>
        <v/>
      </c>
      <c r="CE776">
        <f>IFERROR(INDEX(PP_Grid[#Data],$DE776,80),0)</f>
        <v/>
      </c>
      <c r="CF776">
        <f>IFERROR(INDEX(PP_Grid[#Data],$DE776,81),0)</f>
        <v/>
      </c>
      <c r="CG776">
        <f>IFERROR(INDEX(PP_Grid[#Data],$DE776,82),0)</f>
        <v/>
      </c>
      <c r="CH776">
        <f>IFERROR(INDEX(PP_Grid[#Data],$DE776,83),0)</f>
        <v/>
      </c>
      <c r="CI776">
        <f>IFERROR(INDEX(PP_Grid[#Data],$DE776,84),0)</f>
        <v/>
      </c>
      <c r="CJ776">
        <f>IFERROR(INDEX(PP_Grid[#Data],$DE776,85),0)</f>
        <v/>
      </c>
      <c r="CK776">
        <f>IFERROR(INDEX(PP_Grid[#Data],$DE776,86),0)</f>
        <v/>
      </c>
      <c r="CL776">
        <f>IFERROR(INDEX(PP_Grid[#Data],$DE776,87),0)</f>
        <v/>
      </c>
      <c r="CM776">
        <f>IFERROR(INDEX(PP_Grid[#Data],$DE776,88),0)</f>
        <v/>
      </c>
      <c r="CN776">
        <f>IFERROR(INDEX(PP_Grid[#Data],$DE776,89),0)</f>
        <v/>
      </c>
      <c r="CO776">
        <f>IFERROR(INDEX(PP_Grid[#Data],$DE776,90),0)</f>
        <v/>
      </c>
      <c r="CP776">
        <f>IFERROR(INDEX(PP_Grid[#Data],$DE776,91),0)</f>
        <v/>
      </c>
      <c r="CQ776">
        <f>IFERROR(INDEX(PP_Grid[#Data],$DE776,92),0)</f>
        <v/>
      </c>
      <c r="CR776">
        <f>IFERROR(INDEX(PP_Grid[#Data],$DE776,93),0)</f>
        <v/>
      </c>
      <c r="CS776">
        <f>IFERROR(INDEX(PP_Grid[#Data],$DE776,94),0)</f>
        <v/>
      </c>
      <c r="CT776">
        <f>IFERROR(INDEX(PP_Grid[#Data],$DE776,95),0)</f>
        <v/>
      </c>
      <c r="CU776">
        <f>IFERROR(INDEX(PP_Grid[#Data],$DE776,96),0)</f>
        <v/>
      </c>
      <c r="CV776">
        <f>IFERROR(INDEX(PP_Grid[#Data],$DE776,97),0)</f>
        <v/>
      </c>
      <c r="CW776">
        <f>IFERROR(INDEX(PP_Grid[#Data],$DE776,98),0)</f>
        <v/>
      </c>
      <c r="CX776">
        <f>IFERROR(INDEX(PP_Grid[#Data],$DE776,99),0)</f>
        <v/>
      </c>
      <c r="CY776">
        <f>IFERROR(INDEX(PP_Grid[#Data],$DE776,100),0)</f>
        <v/>
      </c>
      <c r="CZ776">
        <f>IFERROR(INDEX(PP_Grid[#Data],$DE776,101),0)</f>
        <v/>
      </c>
      <c r="DA776">
        <f>IFERROR(INDEX(PP_Grid[#Data],$DE776,102),0)</f>
        <v/>
      </c>
      <c r="DB776">
        <f>IFERROR(INDEX(PP_Grid[#Data],$DE776,103),0)</f>
        <v/>
      </c>
      <c r="DC776">
        <f>IFERROR(INDEX(PP_Grid[#Data],$DE776,104),0)</f>
        <v/>
      </c>
      <c r="DD776">
        <f>IFERROR(INDEX(PP_Grid[#Data],$DE776,105),0)</f>
        <v/>
      </c>
      <c r="DE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SUMIFS(M_BOM[RM_Qty_Per_Batch],M_BOM[Intermediate],$B776,M_BOM[RM_Code],$A775)</f>
        <v/>
      </c>
      <c r="D777">
        <f>IFERROR(INDEX(E777:DD777,$F$1),"")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  <c r="DD777">
        <f>$C777*DD776</f>
        <v/>
      </c>
    </row>
    <row r="778">
      <c r="B778" t="inlineStr">
        <is>
          <t>TSP-369</t>
        </is>
      </c>
      <c r="C778" t="inlineStr">
        <is>
          <t>No. of batches</t>
        </is>
      </c>
      <c r="D778">
        <f>IFERROR(INDEX(E778:DD778,$F$1),"")</f>
        <v/>
      </c>
      <c r="E778">
        <f>IFERROR(INDEX(PP_Grid[#Data],$DE778,2),0)</f>
        <v/>
      </c>
      <c r="F778">
        <f>IFERROR(INDEX(PP_Grid[#Data],$DE778,3),0)</f>
        <v/>
      </c>
      <c r="G778">
        <f>IFERROR(INDEX(PP_Grid[#Data],$DE778,4),0)</f>
        <v/>
      </c>
      <c r="H778">
        <f>IFERROR(INDEX(PP_Grid[#Data],$DE778,5),0)</f>
        <v/>
      </c>
      <c r="I778">
        <f>IFERROR(INDEX(PP_Grid[#Data],$DE778,6),0)</f>
        <v/>
      </c>
      <c r="J778">
        <f>IFERROR(INDEX(PP_Grid[#Data],$DE778,7),0)</f>
        <v/>
      </c>
      <c r="K778">
        <f>IFERROR(INDEX(PP_Grid[#Data],$DE778,8),0)</f>
        <v/>
      </c>
      <c r="L778">
        <f>IFERROR(INDEX(PP_Grid[#Data],$DE778,9),0)</f>
        <v/>
      </c>
      <c r="M778">
        <f>IFERROR(INDEX(PP_Grid[#Data],$DE778,10),0)</f>
        <v/>
      </c>
      <c r="N778">
        <f>IFERROR(INDEX(PP_Grid[#Data],$DE778,11),0)</f>
        <v/>
      </c>
      <c r="O778">
        <f>IFERROR(INDEX(PP_Grid[#Data],$DE778,12),0)</f>
        <v/>
      </c>
      <c r="P778">
        <f>IFERROR(INDEX(PP_Grid[#Data],$DE778,13),0)</f>
        <v/>
      </c>
      <c r="Q778">
        <f>IFERROR(INDEX(PP_Grid[#Data],$DE778,14),0)</f>
        <v/>
      </c>
      <c r="R778">
        <f>IFERROR(INDEX(PP_Grid[#Data],$DE778,15),0)</f>
        <v/>
      </c>
      <c r="S778">
        <f>IFERROR(INDEX(PP_Grid[#Data],$DE778,16),0)</f>
        <v/>
      </c>
      <c r="T778">
        <f>IFERROR(INDEX(PP_Grid[#Data],$DE778,17),0)</f>
        <v/>
      </c>
      <c r="U778">
        <f>IFERROR(INDEX(PP_Grid[#Data],$DE778,18),0)</f>
        <v/>
      </c>
      <c r="V778">
        <f>IFERROR(INDEX(PP_Grid[#Data],$DE778,19),0)</f>
        <v/>
      </c>
      <c r="W778">
        <f>IFERROR(INDEX(PP_Grid[#Data],$DE778,20),0)</f>
        <v/>
      </c>
      <c r="X778">
        <f>IFERROR(INDEX(PP_Grid[#Data],$DE778,21),0)</f>
        <v/>
      </c>
      <c r="Y778">
        <f>IFERROR(INDEX(PP_Grid[#Data],$DE778,22),0)</f>
        <v/>
      </c>
      <c r="Z778">
        <f>IFERROR(INDEX(PP_Grid[#Data],$DE778,23),0)</f>
        <v/>
      </c>
      <c r="AA778">
        <f>IFERROR(INDEX(PP_Grid[#Data],$DE778,24),0)</f>
        <v/>
      </c>
      <c r="AB778">
        <f>IFERROR(INDEX(PP_Grid[#Data],$DE778,25),0)</f>
        <v/>
      </c>
      <c r="AC778">
        <f>IFERROR(INDEX(PP_Grid[#Data],$DE778,26),0)</f>
        <v/>
      </c>
      <c r="AD778">
        <f>IFERROR(INDEX(PP_Grid[#Data],$DE778,27),0)</f>
        <v/>
      </c>
      <c r="AE778">
        <f>IFERROR(INDEX(PP_Grid[#Data],$DE778,28),0)</f>
        <v/>
      </c>
      <c r="AF778">
        <f>IFERROR(INDEX(PP_Grid[#Data],$DE778,29),0)</f>
        <v/>
      </c>
      <c r="AG778">
        <f>IFERROR(INDEX(PP_Grid[#Data],$DE778,30),0)</f>
        <v/>
      </c>
      <c r="AH778">
        <f>IFERROR(INDEX(PP_Grid[#Data],$DE778,31),0)</f>
        <v/>
      </c>
      <c r="AI778">
        <f>IFERROR(INDEX(PP_Grid[#Data],$DE778,32),0)</f>
        <v/>
      </c>
      <c r="AJ778">
        <f>IFERROR(INDEX(PP_Grid[#Data],$DE778,33),0)</f>
        <v/>
      </c>
      <c r="AK778">
        <f>IFERROR(INDEX(PP_Grid[#Data],$DE778,34),0)</f>
        <v/>
      </c>
      <c r="AL778">
        <f>IFERROR(INDEX(PP_Grid[#Data],$DE778,35),0)</f>
        <v/>
      </c>
      <c r="AM778">
        <f>IFERROR(INDEX(PP_Grid[#Data],$DE778,36),0)</f>
        <v/>
      </c>
      <c r="AN778">
        <f>IFERROR(INDEX(PP_Grid[#Data],$DE778,37),0)</f>
        <v/>
      </c>
      <c r="AO778">
        <f>IFERROR(INDEX(PP_Grid[#Data],$DE778,38),0)</f>
        <v/>
      </c>
      <c r="AP778">
        <f>IFERROR(INDEX(PP_Grid[#Data],$DE778,39),0)</f>
        <v/>
      </c>
      <c r="AQ778">
        <f>IFERROR(INDEX(PP_Grid[#Data],$DE778,40),0)</f>
        <v/>
      </c>
      <c r="AR778">
        <f>IFERROR(INDEX(PP_Grid[#Data],$DE778,41),0)</f>
        <v/>
      </c>
      <c r="AS778">
        <f>IFERROR(INDEX(PP_Grid[#Data],$DE778,42),0)</f>
        <v/>
      </c>
      <c r="AT778">
        <f>IFERROR(INDEX(PP_Grid[#Data],$DE778,43),0)</f>
        <v/>
      </c>
      <c r="AU778">
        <f>IFERROR(INDEX(PP_Grid[#Data],$DE778,44),0)</f>
        <v/>
      </c>
      <c r="AV778">
        <f>IFERROR(INDEX(PP_Grid[#Data],$DE778,45),0)</f>
        <v/>
      </c>
      <c r="AW778">
        <f>IFERROR(INDEX(PP_Grid[#Data],$DE778,46),0)</f>
        <v/>
      </c>
      <c r="AX778">
        <f>IFERROR(INDEX(PP_Grid[#Data],$DE778,47),0)</f>
        <v/>
      </c>
      <c r="AY778">
        <f>IFERROR(INDEX(PP_Grid[#Data],$DE778,48),0)</f>
        <v/>
      </c>
      <c r="AZ778">
        <f>IFERROR(INDEX(PP_Grid[#Data],$DE778,49),0)</f>
        <v/>
      </c>
      <c r="BA778">
        <f>IFERROR(INDEX(PP_Grid[#Data],$DE778,50),0)</f>
        <v/>
      </c>
      <c r="BB778">
        <f>IFERROR(INDEX(PP_Grid[#Data],$DE778,51),0)</f>
        <v/>
      </c>
      <c r="BC778">
        <f>IFERROR(INDEX(PP_Grid[#Data],$DE778,52),0)</f>
        <v/>
      </c>
      <c r="BD778">
        <f>IFERROR(INDEX(PP_Grid[#Data],$DE778,53),0)</f>
        <v/>
      </c>
      <c r="BE778">
        <f>IFERROR(INDEX(PP_Grid[#Data],$DE778,54),0)</f>
        <v/>
      </c>
      <c r="BF778">
        <f>IFERROR(INDEX(PP_Grid[#Data],$DE778,55),0)</f>
        <v/>
      </c>
      <c r="BG778">
        <f>IFERROR(INDEX(PP_Grid[#Data],$DE778,56),0)</f>
        <v/>
      </c>
      <c r="BH778">
        <f>IFERROR(INDEX(PP_Grid[#Data],$DE778,57),0)</f>
        <v/>
      </c>
      <c r="BI778">
        <f>IFERROR(INDEX(PP_Grid[#Data],$DE778,58),0)</f>
        <v/>
      </c>
      <c r="BJ778">
        <f>IFERROR(INDEX(PP_Grid[#Data],$DE778,59),0)</f>
        <v/>
      </c>
      <c r="BK778">
        <f>IFERROR(INDEX(PP_Grid[#Data],$DE778,60),0)</f>
        <v/>
      </c>
      <c r="BL778">
        <f>IFERROR(INDEX(PP_Grid[#Data],$DE778,61),0)</f>
        <v/>
      </c>
      <c r="BM778">
        <f>IFERROR(INDEX(PP_Grid[#Data],$DE778,62),0)</f>
        <v/>
      </c>
      <c r="BN778">
        <f>IFERROR(INDEX(PP_Grid[#Data],$DE778,63),0)</f>
        <v/>
      </c>
      <c r="BO778">
        <f>IFERROR(INDEX(PP_Grid[#Data],$DE778,64),0)</f>
        <v/>
      </c>
      <c r="BP778">
        <f>IFERROR(INDEX(PP_Grid[#Data],$DE778,65),0)</f>
        <v/>
      </c>
      <c r="BQ778">
        <f>IFERROR(INDEX(PP_Grid[#Data],$DE778,66),0)</f>
        <v/>
      </c>
      <c r="BR778">
        <f>IFERROR(INDEX(PP_Grid[#Data],$DE778,67),0)</f>
        <v/>
      </c>
      <c r="BS778">
        <f>IFERROR(INDEX(PP_Grid[#Data],$DE778,68),0)</f>
        <v/>
      </c>
      <c r="BT778">
        <f>IFERROR(INDEX(PP_Grid[#Data],$DE778,69),0)</f>
        <v/>
      </c>
      <c r="BU778">
        <f>IFERROR(INDEX(PP_Grid[#Data],$DE778,70),0)</f>
        <v/>
      </c>
      <c r="BV778">
        <f>IFERROR(INDEX(PP_Grid[#Data],$DE778,71),0)</f>
        <v/>
      </c>
      <c r="BW778">
        <f>IFERROR(INDEX(PP_Grid[#Data],$DE778,72),0)</f>
        <v/>
      </c>
      <c r="BX778">
        <f>IFERROR(INDEX(PP_Grid[#Data],$DE778,73),0)</f>
        <v/>
      </c>
      <c r="BY778">
        <f>IFERROR(INDEX(PP_Grid[#Data],$DE778,74),0)</f>
        <v/>
      </c>
      <c r="BZ778">
        <f>IFERROR(INDEX(PP_Grid[#Data],$DE778,75),0)</f>
        <v/>
      </c>
      <c r="CA778">
        <f>IFERROR(INDEX(PP_Grid[#Data],$DE778,76),0)</f>
        <v/>
      </c>
      <c r="CB778">
        <f>IFERROR(INDEX(PP_Grid[#Data],$DE778,77),0)</f>
        <v/>
      </c>
      <c r="CC778">
        <f>IFERROR(INDEX(PP_Grid[#Data],$DE778,78),0)</f>
        <v/>
      </c>
      <c r="CD778">
        <f>IFERROR(INDEX(PP_Grid[#Data],$DE778,79),0)</f>
        <v/>
      </c>
      <c r="CE778">
        <f>IFERROR(INDEX(PP_Grid[#Data],$DE778,80),0)</f>
        <v/>
      </c>
      <c r="CF778">
        <f>IFERROR(INDEX(PP_Grid[#Data],$DE778,81),0)</f>
        <v/>
      </c>
      <c r="CG778">
        <f>IFERROR(INDEX(PP_Grid[#Data],$DE778,82),0)</f>
        <v/>
      </c>
      <c r="CH778">
        <f>IFERROR(INDEX(PP_Grid[#Data],$DE778,83),0)</f>
        <v/>
      </c>
      <c r="CI778">
        <f>IFERROR(INDEX(PP_Grid[#Data],$DE778,84),0)</f>
        <v/>
      </c>
      <c r="CJ778">
        <f>IFERROR(INDEX(PP_Grid[#Data],$DE778,85),0)</f>
        <v/>
      </c>
      <c r="CK778">
        <f>IFERROR(INDEX(PP_Grid[#Data],$DE778,86),0)</f>
        <v/>
      </c>
      <c r="CL778">
        <f>IFERROR(INDEX(PP_Grid[#Data],$DE778,87),0)</f>
        <v/>
      </c>
      <c r="CM778">
        <f>IFERROR(INDEX(PP_Grid[#Data],$DE778,88),0)</f>
        <v/>
      </c>
      <c r="CN778">
        <f>IFERROR(INDEX(PP_Grid[#Data],$DE778,89),0)</f>
        <v/>
      </c>
      <c r="CO778">
        <f>IFERROR(INDEX(PP_Grid[#Data],$DE778,90),0)</f>
        <v/>
      </c>
      <c r="CP778">
        <f>IFERROR(INDEX(PP_Grid[#Data],$DE778,91),0)</f>
        <v/>
      </c>
      <c r="CQ778">
        <f>IFERROR(INDEX(PP_Grid[#Data],$DE778,92),0)</f>
        <v/>
      </c>
      <c r="CR778">
        <f>IFERROR(INDEX(PP_Grid[#Data],$DE778,93),0)</f>
        <v/>
      </c>
      <c r="CS778">
        <f>IFERROR(INDEX(PP_Grid[#Data],$DE778,94),0)</f>
        <v/>
      </c>
      <c r="CT778">
        <f>IFERROR(INDEX(PP_Grid[#Data],$DE778,95),0)</f>
        <v/>
      </c>
      <c r="CU778">
        <f>IFERROR(INDEX(PP_Grid[#Data],$DE778,96),0)</f>
        <v/>
      </c>
      <c r="CV778">
        <f>IFERROR(INDEX(PP_Grid[#Data],$DE778,97),0)</f>
        <v/>
      </c>
      <c r="CW778">
        <f>IFERROR(INDEX(PP_Grid[#Data],$DE778,98),0)</f>
        <v/>
      </c>
      <c r="CX778">
        <f>IFERROR(INDEX(PP_Grid[#Data],$DE778,99),0)</f>
        <v/>
      </c>
      <c r="CY778">
        <f>IFERROR(INDEX(PP_Grid[#Data],$DE778,100),0)</f>
        <v/>
      </c>
      <c r="CZ778">
        <f>IFERROR(INDEX(PP_Grid[#Data],$DE778,101),0)</f>
        <v/>
      </c>
      <c r="DA778">
        <f>IFERROR(INDEX(PP_Grid[#Data],$DE778,102),0)</f>
        <v/>
      </c>
      <c r="DB778">
        <f>IFERROR(INDEX(PP_Grid[#Data],$DE778,103),0)</f>
        <v/>
      </c>
      <c r="DC778">
        <f>IFERROR(INDEX(PP_Grid[#Data],$DE778,104),0)</f>
        <v/>
      </c>
      <c r="DD778">
        <f>IFERROR(INDEX(PP_Grid[#Data],$DE778,105),0)</f>
        <v/>
      </c>
      <c r="DE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SUMIFS(M_BOM[RM_Qty_Per_Batch],M_BOM[Intermediate],$B778,M_BOM[RM_Code],$A775)</f>
        <v/>
      </c>
      <c r="D779">
        <f>IFERROR(INDEX(E779:DD779,$F$1),"")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  <c r="DD779">
        <f>$C779*DD778</f>
        <v/>
      </c>
    </row>
    <row r="780">
      <c r="B780" t="inlineStr">
        <is>
          <t>TSP-402</t>
        </is>
      </c>
      <c r="C780" t="inlineStr">
        <is>
          <t>No. of batches</t>
        </is>
      </c>
      <c r="D780">
        <f>IFERROR(INDEX(E780:DD780,$F$1),"")</f>
        <v/>
      </c>
      <c r="E780">
        <f>IFERROR(INDEX(PP_Grid[#Data],$DE780,2),0)</f>
        <v/>
      </c>
      <c r="F780">
        <f>IFERROR(INDEX(PP_Grid[#Data],$DE780,3),0)</f>
        <v/>
      </c>
      <c r="G780">
        <f>IFERROR(INDEX(PP_Grid[#Data],$DE780,4),0)</f>
        <v/>
      </c>
      <c r="H780">
        <f>IFERROR(INDEX(PP_Grid[#Data],$DE780,5),0)</f>
        <v/>
      </c>
      <c r="I780">
        <f>IFERROR(INDEX(PP_Grid[#Data],$DE780,6),0)</f>
        <v/>
      </c>
      <c r="J780">
        <f>IFERROR(INDEX(PP_Grid[#Data],$DE780,7),0)</f>
        <v/>
      </c>
      <c r="K780">
        <f>IFERROR(INDEX(PP_Grid[#Data],$DE780,8),0)</f>
        <v/>
      </c>
      <c r="L780">
        <f>IFERROR(INDEX(PP_Grid[#Data],$DE780,9),0)</f>
        <v/>
      </c>
      <c r="M780">
        <f>IFERROR(INDEX(PP_Grid[#Data],$DE780,10),0)</f>
        <v/>
      </c>
      <c r="N780">
        <f>IFERROR(INDEX(PP_Grid[#Data],$DE780,11),0)</f>
        <v/>
      </c>
      <c r="O780">
        <f>IFERROR(INDEX(PP_Grid[#Data],$DE780,12),0)</f>
        <v/>
      </c>
      <c r="P780">
        <f>IFERROR(INDEX(PP_Grid[#Data],$DE780,13),0)</f>
        <v/>
      </c>
      <c r="Q780">
        <f>IFERROR(INDEX(PP_Grid[#Data],$DE780,14),0)</f>
        <v/>
      </c>
      <c r="R780">
        <f>IFERROR(INDEX(PP_Grid[#Data],$DE780,15),0)</f>
        <v/>
      </c>
      <c r="S780">
        <f>IFERROR(INDEX(PP_Grid[#Data],$DE780,16),0)</f>
        <v/>
      </c>
      <c r="T780">
        <f>IFERROR(INDEX(PP_Grid[#Data],$DE780,17),0)</f>
        <v/>
      </c>
      <c r="U780">
        <f>IFERROR(INDEX(PP_Grid[#Data],$DE780,18),0)</f>
        <v/>
      </c>
      <c r="V780">
        <f>IFERROR(INDEX(PP_Grid[#Data],$DE780,19),0)</f>
        <v/>
      </c>
      <c r="W780">
        <f>IFERROR(INDEX(PP_Grid[#Data],$DE780,20),0)</f>
        <v/>
      </c>
      <c r="X780">
        <f>IFERROR(INDEX(PP_Grid[#Data],$DE780,21),0)</f>
        <v/>
      </c>
      <c r="Y780">
        <f>IFERROR(INDEX(PP_Grid[#Data],$DE780,22),0)</f>
        <v/>
      </c>
      <c r="Z780">
        <f>IFERROR(INDEX(PP_Grid[#Data],$DE780,23),0)</f>
        <v/>
      </c>
      <c r="AA780">
        <f>IFERROR(INDEX(PP_Grid[#Data],$DE780,24),0)</f>
        <v/>
      </c>
      <c r="AB780">
        <f>IFERROR(INDEX(PP_Grid[#Data],$DE780,25),0)</f>
        <v/>
      </c>
      <c r="AC780">
        <f>IFERROR(INDEX(PP_Grid[#Data],$DE780,26),0)</f>
        <v/>
      </c>
      <c r="AD780">
        <f>IFERROR(INDEX(PP_Grid[#Data],$DE780,27),0)</f>
        <v/>
      </c>
      <c r="AE780">
        <f>IFERROR(INDEX(PP_Grid[#Data],$DE780,28),0)</f>
        <v/>
      </c>
      <c r="AF780">
        <f>IFERROR(INDEX(PP_Grid[#Data],$DE780,29),0)</f>
        <v/>
      </c>
      <c r="AG780">
        <f>IFERROR(INDEX(PP_Grid[#Data],$DE780,30),0)</f>
        <v/>
      </c>
      <c r="AH780">
        <f>IFERROR(INDEX(PP_Grid[#Data],$DE780,31),0)</f>
        <v/>
      </c>
      <c r="AI780">
        <f>IFERROR(INDEX(PP_Grid[#Data],$DE780,32),0)</f>
        <v/>
      </c>
      <c r="AJ780">
        <f>IFERROR(INDEX(PP_Grid[#Data],$DE780,33),0)</f>
        <v/>
      </c>
      <c r="AK780">
        <f>IFERROR(INDEX(PP_Grid[#Data],$DE780,34),0)</f>
        <v/>
      </c>
      <c r="AL780">
        <f>IFERROR(INDEX(PP_Grid[#Data],$DE780,35),0)</f>
        <v/>
      </c>
      <c r="AM780">
        <f>IFERROR(INDEX(PP_Grid[#Data],$DE780,36),0)</f>
        <v/>
      </c>
      <c r="AN780">
        <f>IFERROR(INDEX(PP_Grid[#Data],$DE780,37),0)</f>
        <v/>
      </c>
      <c r="AO780">
        <f>IFERROR(INDEX(PP_Grid[#Data],$DE780,38),0)</f>
        <v/>
      </c>
      <c r="AP780">
        <f>IFERROR(INDEX(PP_Grid[#Data],$DE780,39),0)</f>
        <v/>
      </c>
      <c r="AQ780">
        <f>IFERROR(INDEX(PP_Grid[#Data],$DE780,40),0)</f>
        <v/>
      </c>
      <c r="AR780">
        <f>IFERROR(INDEX(PP_Grid[#Data],$DE780,41),0)</f>
        <v/>
      </c>
      <c r="AS780">
        <f>IFERROR(INDEX(PP_Grid[#Data],$DE780,42),0)</f>
        <v/>
      </c>
      <c r="AT780">
        <f>IFERROR(INDEX(PP_Grid[#Data],$DE780,43),0)</f>
        <v/>
      </c>
      <c r="AU780">
        <f>IFERROR(INDEX(PP_Grid[#Data],$DE780,44),0)</f>
        <v/>
      </c>
      <c r="AV780">
        <f>IFERROR(INDEX(PP_Grid[#Data],$DE780,45),0)</f>
        <v/>
      </c>
      <c r="AW780">
        <f>IFERROR(INDEX(PP_Grid[#Data],$DE780,46),0)</f>
        <v/>
      </c>
      <c r="AX780">
        <f>IFERROR(INDEX(PP_Grid[#Data],$DE780,47),0)</f>
        <v/>
      </c>
      <c r="AY780">
        <f>IFERROR(INDEX(PP_Grid[#Data],$DE780,48),0)</f>
        <v/>
      </c>
      <c r="AZ780">
        <f>IFERROR(INDEX(PP_Grid[#Data],$DE780,49),0)</f>
        <v/>
      </c>
      <c r="BA780">
        <f>IFERROR(INDEX(PP_Grid[#Data],$DE780,50),0)</f>
        <v/>
      </c>
      <c r="BB780">
        <f>IFERROR(INDEX(PP_Grid[#Data],$DE780,51),0)</f>
        <v/>
      </c>
      <c r="BC780">
        <f>IFERROR(INDEX(PP_Grid[#Data],$DE780,52),0)</f>
        <v/>
      </c>
      <c r="BD780">
        <f>IFERROR(INDEX(PP_Grid[#Data],$DE780,53),0)</f>
        <v/>
      </c>
      <c r="BE780">
        <f>IFERROR(INDEX(PP_Grid[#Data],$DE780,54),0)</f>
        <v/>
      </c>
      <c r="BF780">
        <f>IFERROR(INDEX(PP_Grid[#Data],$DE780,55),0)</f>
        <v/>
      </c>
      <c r="BG780">
        <f>IFERROR(INDEX(PP_Grid[#Data],$DE780,56),0)</f>
        <v/>
      </c>
      <c r="BH780">
        <f>IFERROR(INDEX(PP_Grid[#Data],$DE780,57),0)</f>
        <v/>
      </c>
      <c r="BI780">
        <f>IFERROR(INDEX(PP_Grid[#Data],$DE780,58),0)</f>
        <v/>
      </c>
      <c r="BJ780">
        <f>IFERROR(INDEX(PP_Grid[#Data],$DE780,59),0)</f>
        <v/>
      </c>
      <c r="BK780">
        <f>IFERROR(INDEX(PP_Grid[#Data],$DE780,60),0)</f>
        <v/>
      </c>
      <c r="BL780">
        <f>IFERROR(INDEX(PP_Grid[#Data],$DE780,61),0)</f>
        <v/>
      </c>
      <c r="BM780">
        <f>IFERROR(INDEX(PP_Grid[#Data],$DE780,62),0)</f>
        <v/>
      </c>
      <c r="BN780">
        <f>IFERROR(INDEX(PP_Grid[#Data],$DE780,63),0)</f>
        <v/>
      </c>
      <c r="BO780">
        <f>IFERROR(INDEX(PP_Grid[#Data],$DE780,64),0)</f>
        <v/>
      </c>
      <c r="BP780">
        <f>IFERROR(INDEX(PP_Grid[#Data],$DE780,65),0)</f>
        <v/>
      </c>
      <c r="BQ780">
        <f>IFERROR(INDEX(PP_Grid[#Data],$DE780,66),0)</f>
        <v/>
      </c>
      <c r="BR780">
        <f>IFERROR(INDEX(PP_Grid[#Data],$DE780,67),0)</f>
        <v/>
      </c>
      <c r="BS780">
        <f>IFERROR(INDEX(PP_Grid[#Data],$DE780,68),0)</f>
        <v/>
      </c>
      <c r="BT780">
        <f>IFERROR(INDEX(PP_Grid[#Data],$DE780,69),0)</f>
        <v/>
      </c>
      <c r="BU780">
        <f>IFERROR(INDEX(PP_Grid[#Data],$DE780,70),0)</f>
        <v/>
      </c>
      <c r="BV780">
        <f>IFERROR(INDEX(PP_Grid[#Data],$DE780,71),0)</f>
        <v/>
      </c>
      <c r="BW780">
        <f>IFERROR(INDEX(PP_Grid[#Data],$DE780,72),0)</f>
        <v/>
      </c>
      <c r="BX780">
        <f>IFERROR(INDEX(PP_Grid[#Data],$DE780,73),0)</f>
        <v/>
      </c>
      <c r="BY780">
        <f>IFERROR(INDEX(PP_Grid[#Data],$DE780,74),0)</f>
        <v/>
      </c>
      <c r="BZ780">
        <f>IFERROR(INDEX(PP_Grid[#Data],$DE780,75),0)</f>
        <v/>
      </c>
      <c r="CA780">
        <f>IFERROR(INDEX(PP_Grid[#Data],$DE780,76),0)</f>
        <v/>
      </c>
      <c r="CB780">
        <f>IFERROR(INDEX(PP_Grid[#Data],$DE780,77),0)</f>
        <v/>
      </c>
      <c r="CC780">
        <f>IFERROR(INDEX(PP_Grid[#Data],$DE780,78),0)</f>
        <v/>
      </c>
      <c r="CD780">
        <f>IFERROR(INDEX(PP_Grid[#Data],$DE780,79),0)</f>
        <v/>
      </c>
      <c r="CE780">
        <f>IFERROR(INDEX(PP_Grid[#Data],$DE780,80),0)</f>
        <v/>
      </c>
      <c r="CF780">
        <f>IFERROR(INDEX(PP_Grid[#Data],$DE780,81),0)</f>
        <v/>
      </c>
      <c r="CG780">
        <f>IFERROR(INDEX(PP_Grid[#Data],$DE780,82),0)</f>
        <v/>
      </c>
      <c r="CH780">
        <f>IFERROR(INDEX(PP_Grid[#Data],$DE780,83),0)</f>
        <v/>
      </c>
      <c r="CI780">
        <f>IFERROR(INDEX(PP_Grid[#Data],$DE780,84),0)</f>
        <v/>
      </c>
      <c r="CJ780">
        <f>IFERROR(INDEX(PP_Grid[#Data],$DE780,85),0)</f>
        <v/>
      </c>
      <c r="CK780">
        <f>IFERROR(INDEX(PP_Grid[#Data],$DE780,86),0)</f>
        <v/>
      </c>
      <c r="CL780">
        <f>IFERROR(INDEX(PP_Grid[#Data],$DE780,87),0)</f>
        <v/>
      </c>
      <c r="CM780">
        <f>IFERROR(INDEX(PP_Grid[#Data],$DE780,88),0)</f>
        <v/>
      </c>
      <c r="CN780">
        <f>IFERROR(INDEX(PP_Grid[#Data],$DE780,89),0)</f>
        <v/>
      </c>
      <c r="CO780">
        <f>IFERROR(INDEX(PP_Grid[#Data],$DE780,90),0)</f>
        <v/>
      </c>
      <c r="CP780">
        <f>IFERROR(INDEX(PP_Grid[#Data],$DE780,91),0)</f>
        <v/>
      </c>
      <c r="CQ780">
        <f>IFERROR(INDEX(PP_Grid[#Data],$DE780,92),0)</f>
        <v/>
      </c>
      <c r="CR780">
        <f>IFERROR(INDEX(PP_Grid[#Data],$DE780,93),0)</f>
        <v/>
      </c>
      <c r="CS780">
        <f>IFERROR(INDEX(PP_Grid[#Data],$DE780,94),0)</f>
        <v/>
      </c>
      <c r="CT780">
        <f>IFERROR(INDEX(PP_Grid[#Data],$DE780,95),0)</f>
        <v/>
      </c>
      <c r="CU780">
        <f>IFERROR(INDEX(PP_Grid[#Data],$DE780,96),0)</f>
        <v/>
      </c>
      <c r="CV780">
        <f>IFERROR(INDEX(PP_Grid[#Data],$DE780,97),0)</f>
        <v/>
      </c>
      <c r="CW780">
        <f>IFERROR(INDEX(PP_Grid[#Data],$DE780,98),0)</f>
        <v/>
      </c>
      <c r="CX780">
        <f>IFERROR(INDEX(PP_Grid[#Data],$DE780,99),0)</f>
        <v/>
      </c>
      <c r="CY780">
        <f>IFERROR(INDEX(PP_Grid[#Data],$DE780,100),0)</f>
        <v/>
      </c>
      <c r="CZ780">
        <f>IFERROR(INDEX(PP_Grid[#Data],$DE780,101),0)</f>
        <v/>
      </c>
      <c r="DA780">
        <f>IFERROR(INDEX(PP_Grid[#Data],$DE780,102),0)</f>
        <v/>
      </c>
      <c r="DB780">
        <f>IFERROR(INDEX(PP_Grid[#Data],$DE780,103),0)</f>
        <v/>
      </c>
      <c r="DC780">
        <f>IFERROR(INDEX(PP_Grid[#Data],$DE780,104),0)</f>
        <v/>
      </c>
      <c r="DD780">
        <f>IFERROR(INDEX(PP_Grid[#Data],$DE780,105),0)</f>
        <v/>
      </c>
      <c r="DE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SUMIFS(M_BOM[RM_Qty_Per_Batch],M_BOM[Intermediate],$B780,M_BOM[RM_Code],$A775)</f>
        <v/>
      </c>
      <c r="D781">
        <f>IFERROR(INDEX(E781:DD781,$F$1),"")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  <c r="DD781">
        <f>$C781*DD780</f>
        <v/>
      </c>
    </row>
    <row r="782">
      <c r="B782" t="inlineStr">
        <is>
          <t>TSP-403</t>
        </is>
      </c>
      <c r="C782" t="inlineStr">
        <is>
          <t>No. of batches</t>
        </is>
      </c>
      <c r="D782">
        <f>IFERROR(INDEX(E782:DD782,$F$1),"")</f>
        <v/>
      </c>
      <c r="E782">
        <f>IFERROR(INDEX(PP_Grid[#Data],$DE782,2),0)</f>
        <v/>
      </c>
      <c r="F782">
        <f>IFERROR(INDEX(PP_Grid[#Data],$DE782,3),0)</f>
        <v/>
      </c>
      <c r="G782">
        <f>IFERROR(INDEX(PP_Grid[#Data],$DE782,4),0)</f>
        <v/>
      </c>
      <c r="H782">
        <f>IFERROR(INDEX(PP_Grid[#Data],$DE782,5),0)</f>
        <v/>
      </c>
      <c r="I782">
        <f>IFERROR(INDEX(PP_Grid[#Data],$DE782,6),0)</f>
        <v/>
      </c>
      <c r="J782">
        <f>IFERROR(INDEX(PP_Grid[#Data],$DE782,7),0)</f>
        <v/>
      </c>
      <c r="K782">
        <f>IFERROR(INDEX(PP_Grid[#Data],$DE782,8),0)</f>
        <v/>
      </c>
      <c r="L782">
        <f>IFERROR(INDEX(PP_Grid[#Data],$DE782,9),0)</f>
        <v/>
      </c>
      <c r="M782">
        <f>IFERROR(INDEX(PP_Grid[#Data],$DE782,10),0)</f>
        <v/>
      </c>
      <c r="N782">
        <f>IFERROR(INDEX(PP_Grid[#Data],$DE782,11),0)</f>
        <v/>
      </c>
      <c r="O782">
        <f>IFERROR(INDEX(PP_Grid[#Data],$DE782,12),0)</f>
        <v/>
      </c>
      <c r="P782">
        <f>IFERROR(INDEX(PP_Grid[#Data],$DE782,13),0)</f>
        <v/>
      </c>
      <c r="Q782">
        <f>IFERROR(INDEX(PP_Grid[#Data],$DE782,14),0)</f>
        <v/>
      </c>
      <c r="R782">
        <f>IFERROR(INDEX(PP_Grid[#Data],$DE782,15),0)</f>
        <v/>
      </c>
      <c r="S782">
        <f>IFERROR(INDEX(PP_Grid[#Data],$DE782,16),0)</f>
        <v/>
      </c>
      <c r="T782">
        <f>IFERROR(INDEX(PP_Grid[#Data],$DE782,17),0)</f>
        <v/>
      </c>
      <c r="U782">
        <f>IFERROR(INDEX(PP_Grid[#Data],$DE782,18),0)</f>
        <v/>
      </c>
      <c r="V782">
        <f>IFERROR(INDEX(PP_Grid[#Data],$DE782,19),0)</f>
        <v/>
      </c>
      <c r="W782">
        <f>IFERROR(INDEX(PP_Grid[#Data],$DE782,20),0)</f>
        <v/>
      </c>
      <c r="X782">
        <f>IFERROR(INDEX(PP_Grid[#Data],$DE782,21),0)</f>
        <v/>
      </c>
      <c r="Y782">
        <f>IFERROR(INDEX(PP_Grid[#Data],$DE782,22),0)</f>
        <v/>
      </c>
      <c r="Z782">
        <f>IFERROR(INDEX(PP_Grid[#Data],$DE782,23),0)</f>
        <v/>
      </c>
      <c r="AA782">
        <f>IFERROR(INDEX(PP_Grid[#Data],$DE782,24),0)</f>
        <v/>
      </c>
      <c r="AB782">
        <f>IFERROR(INDEX(PP_Grid[#Data],$DE782,25),0)</f>
        <v/>
      </c>
      <c r="AC782">
        <f>IFERROR(INDEX(PP_Grid[#Data],$DE782,26),0)</f>
        <v/>
      </c>
      <c r="AD782">
        <f>IFERROR(INDEX(PP_Grid[#Data],$DE782,27),0)</f>
        <v/>
      </c>
      <c r="AE782">
        <f>IFERROR(INDEX(PP_Grid[#Data],$DE782,28),0)</f>
        <v/>
      </c>
      <c r="AF782">
        <f>IFERROR(INDEX(PP_Grid[#Data],$DE782,29),0)</f>
        <v/>
      </c>
      <c r="AG782">
        <f>IFERROR(INDEX(PP_Grid[#Data],$DE782,30),0)</f>
        <v/>
      </c>
      <c r="AH782">
        <f>IFERROR(INDEX(PP_Grid[#Data],$DE782,31),0)</f>
        <v/>
      </c>
      <c r="AI782">
        <f>IFERROR(INDEX(PP_Grid[#Data],$DE782,32),0)</f>
        <v/>
      </c>
      <c r="AJ782">
        <f>IFERROR(INDEX(PP_Grid[#Data],$DE782,33),0)</f>
        <v/>
      </c>
      <c r="AK782">
        <f>IFERROR(INDEX(PP_Grid[#Data],$DE782,34),0)</f>
        <v/>
      </c>
      <c r="AL782">
        <f>IFERROR(INDEX(PP_Grid[#Data],$DE782,35),0)</f>
        <v/>
      </c>
      <c r="AM782">
        <f>IFERROR(INDEX(PP_Grid[#Data],$DE782,36),0)</f>
        <v/>
      </c>
      <c r="AN782">
        <f>IFERROR(INDEX(PP_Grid[#Data],$DE782,37),0)</f>
        <v/>
      </c>
      <c r="AO782">
        <f>IFERROR(INDEX(PP_Grid[#Data],$DE782,38),0)</f>
        <v/>
      </c>
      <c r="AP782">
        <f>IFERROR(INDEX(PP_Grid[#Data],$DE782,39),0)</f>
        <v/>
      </c>
      <c r="AQ782">
        <f>IFERROR(INDEX(PP_Grid[#Data],$DE782,40),0)</f>
        <v/>
      </c>
      <c r="AR782">
        <f>IFERROR(INDEX(PP_Grid[#Data],$DE782,41),0)</f>
        <v/>
      </c>
      <c r="AS782">
        <f>IFERROR(INDEX(PP_Grid[#Data],$DE782,42),0)</f>
        <v/>
      </c>
      <c r="AT782">
        <f>IFERROR(INDEX(PP_Grid[#Data],$DE782,43),0)</f>
        <v/>
      </c>
      <c r="AU782">
        <f>IFERROR(INDEX(PP_Grid[#Data],$DE782,44),0)</f>
        <v/>
      </c>
      <c r="AV782">
        <f>IFERROR(INDEX(PP_Grid[#Data],$DE782,45),0)</f>
        <v/>
      </c>
      <c r="AW782">
        <f>IFERROR(INDEX(PP_Grid[#Data],$DE782,46),0)</f>
        <v/>
      </c>
      <c r="AX782">
        <f>IFERROR(INDEX(PP_Grid[#Data],$DE782,47),0)</f>
        <v/>
      </c>
      <c r="AY782">
        <f>IFERROR(INDEX(PP_Grid[#Data],$DE782,48),0)</f>
        <v/>
      </c>
      <c r="AZ782">
        <f>IFERROR(INDEX(PP_Grid[#Data],$DE782,49),0)</f>
        <v/>
      </c>
      <c r="BA782">
        <f>IFERROR(INDEX(PP_Grid[#Data],$DE782,50),0)</f>
        <v/>
      </c>
      <c r="BB782">
        <f>IFERROR(INDEX(PP_Grid[#Data],$DE782,51),0)</f>
        <v/>
      </c>
      <c r="BC782">
        <f>IFERROR(INDEX(PP_Grid[#Data],$DE782,52),0)</f>
        <v/>
      </c>
      <c r="BD782">
        <f>IFERROR(INDEX(PP_Grid[#Data],$DE782,53),0)</f>
        <v/>
      </c>
      <c r="BE782">
        <f>IFERROR(INDEX(PP_Grid[#Data],$DE782,54),0)</f>
        <v/>
      </c>
      <c r="BF782">
        <f>IFERROR(INDEX(PP_Grid[#Data],$DE782,55),0)</f>
        <v/>
      </c>
      <c r="BG782">
        <f>IFERROR(INDEX(PP_Grid[#Data],$DE782,56),0)</f>
        <v/>
      </c>
      <c r="BH782">
        <f>IFERROR(INDEX(PP_Grid[#Data],$DE782,57),0)</f>
        <v/>
      </c>
      <c r="BI782">
        <f>IFERROR(INDEX(PP_Grid[#Data],$DE782,58),0)</f>
        <v/>
      </c>
      <c r="BJ782">
        <f>IFERROR(INDEX(PP_Grid[#Data],$DE782,59),0)</f>
        <v/>
      </c>
      <c r="BK782">
        <f>IFERROR(INDEX(PP_Grid[#Data],$DE782,60),0)</f>
        <v/>
      </c>
      <c r="BL782">
        <f>IFERROR(INDEX(PP_Grid[#Data],$DE782,61),0)</f>
        <v/>
      </c>
      <c r="BM782">
        <f>IFERROR(INDEX(PP_Grid[#Data],$DE782,62),0)</f>
        <v/>
      </c>
      <c r="BN782">
        <f>IFERROR(INDEX(PP_Grid[#Data],$DE782,63),0)</f>
        <v/>
      </c>
      <c r="BO782">
        <f>IFERROR(INDEX(PP_Grid[#Data],$DE782,64),0)</f>
        <v/>
      </c>
      <c r="BP782">
        <f>IFERROR(INDEX(PP_Grid[#Data],$DE782,65),0)</f>
        <v/>
      </c>
      <c r="BQ782">
        <f>IFERROR(INDEX(PP_Grid[#Data],$DE782,66),0)</f>
        <v/>
      </c>
      <c r="BR782">
        <f>IFERROR(INDEX(PP_Grid[#Data],$DE782,67),0)</f>
        <v/>
      </c>
      <c r="BS782">
        <f>IFERROR(INDEX(PP_Grid[#Data],$DE782,68),0)</f>
        <v/>
      </c>
      <c r="BT782">
        <f>IFERROR(INDEX(PP_Grid[#Data],$DE782,69),0)</f>
        <v/>
      </c>
      <c r="BU782">
        <f>IFERROR(INDEX(PP_Grid[#Data],$DE782,70),0)</f>
        <v/>
      </c>
      <c r="BV782">
        <f>IFERROR(INDEX(PP_Grid[#Data],$DE782,71),0)</f>
        <v/>
      </c>
      <c r="BW782">
        <f>IFERROR(INDEX(PP_Grid[#Data],$DE782,72),0)</f>
        <v/>
      </c>
      <c r="BX782">
        <f>IFERROR(INDEX(PP_Grid[#Data],$DE782,73),0)</f>
        <v/>
      </c>
      <c r="BY782">
        <f>IFERROR(INDEX(PP_Grid[#Data],$DE782,74),0)</f>
        <v/>
      </c>
      <c r="BZ782">
        <f>IFERROR(INDEX(PP_Grid[#Data],$DE782,75),0)</f>
        <v/>
      </c>
      <c r="CA782">
        <f>IFERROR(INDEX(PP_Grid[#Data],$DE782,76),0)</f>
        <v/>
      </c>
      <c r="CB782">
        <f>IFERROR(INDEX(PP_Grid[#Data],$DE782,77),0)</f>
        <v/>
      </c>
      <c r="CC782">
        <f>IFERROR(INDEX(PP_Grid[#Data],$DE782,78),0)</f>
        <v/>
      </c>
      <c r="CD782">
        <f>IFERROR(INDEX(PP_Grid[#Data],$DE782,79),0)</f>
        <v/>
      </c>
      <c r="CE782">
        <f>IFERROR(INDEX(PP_Grid[#Data],$DE782,80),0)</f>
        <v/>
      </c>
      <c r="CF782">
        <f>IFERROR(INDEX(PP_Grid[#Data],$DE782,81),0)</f>
        <v/>
      </c>
      <c r="CG782">
        <f>IFERROR(INDEX(PP_Grid[#Data],$DE782,82),0)</f>
        <v/>
      </c>
      <c r="CH782">
        <f>IFERROR(INDEX(PP_Grid[#Data],$DE782,83),0)</f>
        <v/>
      </c>
      <c r="CI782">
        <f>IFERROR(INDEX(PP_Grid[#Data],$DE782,84),0)</f>
        <v/>
      </c>
      <c r="CJ782">
        <f>IFERROR(INDEX(PP_Grid[#Data],$DE782,85),0)</f>
        <v/>
      </c>
      <c r="CK782">
        <f>IFERROR(INDEX(PP_Grid[#Data],$DE782,86),0)</f>
        <v/>
      </c>
      <c r="CL782">
        <f>IFERROR(INDEX(PP_Grid[#Data],$DE782,87),0)</f>
        <v/>
      </c>
      <c r="CM782">
        <f>IFERROR(INDEX(PP_Grid[#Data],$DE782,88),0)</f>
        <v/>
      </c>
      <c r="CN782">
        <f>IFERROR(INDEX(PP_Grid[#Data],$DE782,89),0)</f>
        <v/>
      </c>
      <c r="CO782">
        <f>IFERROR(INDEX(PP_Grid[#Data],$DE782,90),0)</f>
        <v/>
      </c>
      <c r="CP782">
        <f>IFERROR(INDEX(PP_Grid[#Data],$DE782,91),0)</f>
        <v/>
      </c>
      <c r="CQ782">
        <f>IFERROR(INDEX(PP_Grid[#Data],$DE782,92),0)</f>
        <v/>
      </c>
      <c r="CR782">
        <f>IFERROR(INDEX(PP_Grid[#Data],$DE782,93),0)</f>
        <v/>
      </c>
      <c r="CS782">
        <f>IFERROR(INDEX(PP_Grid[#Data],$DE782,94),0)</f>
        <v/>
      </c>
      <c r="CT782">
        <f>IFERROR(INDEX(PP_Grid[#Data],$DE782,95),0)</f>
        <v/>
      </c>
      <c r="CU782">
        <f>IFERROR(INDEX(PP_Grid[#Data],$DE782,96),0)</f>
        <v/>
      </c>
      <c r="CV782">
        <f>IFERROR(INDEX(PP_Grid[#Data],$DE782,97),0)</f>
        <v/>
      </c>
      <c r="CW782">
        <f>IFERROR(INDEX(PP_Grid[#Data],$DE782,98),0)</f>
        <v/>
      </c>
      <c r="CX782">
        <f>IFERROR(INDEX(PP_Grid[#Data],$DE782,99),0)</f>
        <v/>
      </c>
      <c r="CY782">
        <f>IFERROR(INDEX(PP_Grid[#Data],$DE782,100),0)</f>
        <v/>
      </c>
      <c r="CZ782">
        <f>IFERROR(INDEX(PP_Grid[#Data],$DE782,101),0)</f>
        <v/>
      </c>
      <c r="DA782">
        <f>IFERROR(INDEX(PP_Grid[#Data],$DE782,102),0)</f>
        <v/>
      </c>
      <c r="DB782">
        <f>IFERROR(INDEX(PP_Grid[#Data],$DE782,103),0)</f>
        <v/>
      </c>
      <c r="DC782">
        <f>IFERROR(INDEX(PP_Grid[#Data],$DE782,104),0)</f>
        <v/>
      </c>
      <c r="DD782">
        <f>IFERROR(INDEX(PP_Grid[#Data],$DE782,105),0)</f>
        <v/>
      </c>
      <c r="DE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SUMIFS(M_BOM[RM_Qty_Per_Batch],M_BOM[Intermediate],$B782,M_BOM[RM_Code],$A775)</f>
        <v/>
      </c>
      <c r="D783">
        <f>IFERROR(INDEX(E783:DD783,$F$1),"")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  <c r="DD783">
        <f>$C783*DD782</f>
        <v/>
      </c>
    </row>
    <row r="784">
      <c r="B784" t="inlineStr">
        <is>
          <t>TSP-404</t>
        </is>
      </c>
      <c r="C784" t="inlineStr">
        <is>
          <t>No. of batches</t>
        </is>
      </c>
      <c r="D784">
        <f>IFERROR(INDEX(E784:DD784,$F$1),"")</f>
        <v/>
      </c>
      <c r="E784">
        <f>IFERROR(INDEX(PP_Grid[#Data],$DE784,2),0)</f>
        <v/>
      </c>
      <c r="F784">
        <f>IFERROR(INDEX(PP_Grid[#Data],$DE784,3),0)</f>
        <v/>
      </c>
      <c r="G784">
        <f>IFERROR(INDEX(PP_Grid[#Data],$DE784,4),0)</f>
        <v/>
      </c>
      <c r="H784">
        <f>IFERROR(INDEX(PP_Grid[#Data],$DE784,5),0)</f>
        <v/>
      </c>
      <c r="I784">
        <f>IFERROR(INDEX(PP_Grid[#Data],$DE784,6),0)</f>
        <v/>
      </c>
      <c r="J784">
        <f>IFERROR(INDEX(PP_Grid[#Data],$DE784,7),0)</f>
        <v/>
      </c>
      <c r="K784">
        <f>IFERROR(INDEX(PP_Grid[#Data],$DE784,8),0)</f>
        <v/>
      </c>
      <c r="L784">
        <f>IFERROR(INDEX(PP_Grid[#Data],$DE784,9),0)</f>
        <v/>
      </c>
      <c r="M784">
        <f>IFERROR(INDEX(PP_Grid[#Data],$DE784,10),0)</f>
        <v/>
      </c>
      <c r="N784">
        <f>IFERROR(INDEX(PP_Grid[#Data],$DE784,11),0)</f>
        <v/>
      </c>
      <c r="O784">
        <f>IFERROR(INDEX(PP_Grid[#Data],$DE784,12),0)</f>
        <v/>
      </c>
      <c r="P784">
        <f>IFERROR(INDEX(PP_Grid[#Data],$DE784,13),0)</f>
        <v/>
      </c>
      <c r="Q784">
        <f>IFERROR(INDEX(PP_Grid[#Data],$DE784,14),0)</f>
        <v/>
      </c>
      <c r="R784">
        <f>IFERROR(INDEX(PP_Grid[#Data],$DE784,15),0)</f>
        <v/>
      </c>
      <c r="S784">
        <f>IFERROR(INDEX(PP_Grid[#Data],$DE784,16),0)</f>
        <v/>
      </c>
      <c r="T784">
        <f>IFERROR(INDEX(PP_Grid[#Data],$DE784,17),0)</f>
        <v/>
      </c>
      <c r="U784">
        <f>IFERROR(INDEX(PP_Grid[#Data],$DE784,18),0)</f>
        <v/>
      </c>
      <c r="V784">
        <f>IFERROR(INDEX(PP_Grid[#Data],$DE784,19),0)</f>
        <v/>
      </c>
      <c r="W784">
        <f>IFERROR(INDEX(PP_Grid[#Data],$DE784,20),0)</f>
        <v/>
      </c>
      <c r="X784">
        <f>IFERROR(INDEX(PP_Grid[#Data],$DE784,21),0)</f>
        <v/>
      </c>
      <c r="Y784">
        <f>IFERROR(INDEX(PP_Grid[#Data],$DE784,22),0)</f>
        <v/>
      </c>
      <c r="Z784">
        <f>IFERROR(INDEX(PP_Grid[#Data],$DE784,23),0)</f>
        <v/>
      </c>
      <c r="AA784">
        <f>IFERROR(INDEX(PP_Grid[#Data],$DE784,24),0)</f>
        <v/>
      </c>
      <c r="AB784">
        <f>IFERROR(INDEX(PP_Grid[#Data],$DE784,25),0)</f>
        <v/>
      </c>
      <c r="AC784">
        <f>IFERROR(INDEX(PP_Grid[#Data],$DE784,26),0)</f>
        <v/>
      </c>
      <c r="AD784">
        <f>IFERROR(INDEX(PP_Grid[#Data],$DE784,27),0)</f>
        <v/>
      </c>
      <c r="AE784">
        <f>IFERROR(INDEX(PP_Grid[#Data],$DE784,28),0)</f>
        <v/>
      </c>
      <c r="AF784">
        <f>IFERROR(INDEX(PP_Grid[#Data],$DE784,29),0)</f>
        <v/>
      </c>
      <c r="AG784">
        <f>IFERROR(INDEX(PP_Grid[#Data],$DE784,30),0)</f>
        <v/>
      </c>
      <c r="AH784">
        <f>IFERROR(INDEX(PP_Grid[#Data],$DE784,31),0)</f>
        <v/>
      </c>
      <c r="AI784">
        <f>IFERROR(INDEX(PP_Grid[#Data],$DE784,32),0)</f>
        <v/>
      </c>
      <c r="AJ784">
        <f>IFERROR(INDEX(PP_Grid[#Data],$DE784,33),0)</f>
        <v/>
      </c>
      <c r="AK784">
        <f>IFERROR(INDEX(PP_Grid[#Data],$DE784,34),0)</f>
        <v/>
      </c>
      <c r="AL784">
        <f>IFERROR(INDEX(PP_Grid[#Data],$DE784,35),0)</f>
        <v/>
      </c>
      <c r="AM784">
        <f>IFERROR(INDEX(PP_Grid[#Data],$DE784,36),0)</f>
        <v/>
      </c>
      <c r="AN784">
        <f>IFERROR(INDEX(PP_Grid[#Data],$DE784,37),0)</f>
        <v/>
      </c>
      <c r="AO784">
        <f>IFERROR(INDEX(PP_Grid[#Data],$DE784,38),0)</f>
        <v/>
      </c>
      <c r="AP784">
        <f>IFERROR(INDEX(PP_Grid[#Data],$DE784,39),0)</f>
        <v/>
      </c>
      <c r="AQ784">
        <f>IFERROR(INDEX(PP_Grid[#Data],$DE784,40),0)</f>
        <v/>
      </c>
      <c r="AR784">
        <f>IFERROR(INDEX(PP_Grid[#Data],$DE784,41),0)</f>
        <v/>
      </c>
      <c r="AS784">
        <f>IFERROR(INDEX(PP_Grid[#Data],$DE784,42),0)</f>
        <v/>
      </c>
      <c r="AT784">
        <f>IFERROR(INDEX(PP_Grid[#Data],$DE784,43),0)</f>
        <v/>
      </c>
      <c r="AU784">
        <f>IFERROR(INDEX(PP_Grid[#Data],$DE784,44),0)</f>
        <v/>
      </c>
      <c r="AV784">
        <f>IFERROR(INDEX(PP_Grid[#Data],$DE784,45),0)</f>
        <v/>
      </c>
      <c r="AW784">
        <f>IFERROR(INDEX(PP_Grid[#Data],$DE784,46),0)</f>
        <v/>
      </c>
      <c r="AX784">
        <f>IFERROR(INDEX(PP_Grid[#Data],$DE784,47),0)</f>
        <v/>
      </c>
      <c r="AY784">
        <f>IFERROR(INDEX(PP_Grid[#Data],$DE784,48),0)</f>
        <v/>
      </c>
      <c r="AZ784">
        <f>IFERROR(INDEX(PP_Grid[#Data],$DE784,49),0)</f>
        <v/>
      </c>
      <c r="BA784">
        <f>IFERROR(INDEX(PP_Grid[#Data],$DE784,50),0)</f>
        <v/>
      </c>
      <c r="BB784">
        <f>IFERROR(INDEX(PP_Grid[#Data],$DE784,51),0)</f>
        <v/>
      </c>
      <c r="BC784">
        <f>IFERROR(INDEX(PP_Grid[#Data],$DE784,52),0)</f>
        <v/>
      </c>
      <c r="BD784">
        <f>IFERROR(INDEX(PP_Grid[#Data],$DE784,53),0)</f>
        <v/>
      </c>
      <c r="BE784">
        <f>IFERROR(INDEX(PP_Grid[#Data],$DE784,54),0)</f>
        <v/>
      </c>
      <c r="BF784">
        <f>IFERROR(INDEX(PP_Grid[#Data],$DE784,55),0)</f>
        <v/>
      </c>
      <c r="BG784">
        <f>IFERROR(INDEX(PP_Grid[#Data],$DE784,56),0)</f>
        <v/>
      </c>
      <c r="BH784">
        <f>IFERROR(INDEX(PP_Grid[#Data],$DE784,57),0)</f>
        <v/>
      </c>
      <c r="BI784">
        <f>IFERROR(INDEX(PP_Grid[#Data],$DE784,58),0)</f>
        <v/>
      </c>
      <c r="BJ784">
        <f>IFERROR(INDEX(PP_Grid[#Data],$DE784,59),0)</f>
        <v/>
      </c>
      <c r="BK784">
        <f>IFERROR(INDEX(PP_Grid[#Data],$DE784,60),0)</f>
        <v/>
      </c>
      <c r="BL784">
        <f>IFERROR(INDEX(PP_Grid[#Data],$DE784,61),0)</f>
        <v/>
      </c>
      <c r="BM784">
        <f>IFERROR(INDEX(PP_Grid[#Data],$DE784,62),0)</f>
        <v/>
      </c>
      <c r="BN784">
        <f>IFERROR(INDEX(PP_Grid[#Data],$DE784,63),0)</f>
        <v/>
      </c>
      <c r="BO784">
        <f>IFERROR(INDEX(PP_Grid[#Data],$DE784,64),0)</f>
        <v/>
      </c>
      <c r="BP784">
        <f>IFERROR(INDEX(PP_Grid[#Data],$DE784,65),0)</f>
        <v/>
      </c>
      <c r="BQ784">
        <f>IFERROR(INDEX(PP_Grid[#Data],$DE784,66),0)</f>
        <v/>
      </c>
      <c r="BR784">
        <f>IFERROR(INDEX(PP_Grid[#Data],$DE784,67),0)</f>
        <v/>
      </c>
      <c r="BS784">
        <f>IFERROR(INDEX(PP_Grid[#Data],$DE784,68),0)</f>
        <v/>
      </c>
      <c r="BT784">
        <f>IFERROR(INDEX(PP_Grid[#Data],$DE784,69),0)</f>
        <v/>
      </c>
      <c r="BU784">
        <f>IFERROR(INDEX(PP_Grid[#Data],$DE784,70),0)</f>
        <v/>
      </c>
      <c r="BV784">
        <f>IFERROR(INDEX(PP_Grid[#Data],$DE784,71),0)</f>
        <v/>
      </c>
      <c r="BW784">
        <f>IFERROR(INDEX(PP_Grid[#Data],$DE784,72),0)</f>
        <v/>
      </c>
      <c r="BX784">
        <f>IFERROR(INDEX(PP_Grid[#Data],$DE784,73),0)</f>
        <v/>
      </c>
      <c r="BY784">
        <f>IFERROR(INDEX(PP_Grid[#Data],$DE784,74),0)</f>
        <v/>
      </c>
      <c r="BZ784">
        <f>IFERROR(INDEX(PP_Grid[#Data],$DE784,75),0)</f>
        <v/>
      </c>
      <c r="CA784">
        <f>IFERROR(INDEX(PP_Grid[#Data],$DE784,76),0)</f>
        <v/>
      </c>
      <c r="CB784">
        <f>IFERROR(INDEX(PP_Grid[#Data],$DE784,77),0)</f>
        <v/>
      </c>
      <c r="CC784">
        <f>IFERROR(INDEX(PP_Grid[#Data],$DE784,78),0)</f>
        <v/>
      </c>
      <c r="CD784">
        <f>IFERROR(INDEX(PP_Grid[#Data],$DE784,79),0)</f>
        <v/>
      </c>
      <c r="CE784">
        <f>IFERROR(INDEX(PP_Grid[#Data],$DE784,80),0)</f>
        <v/>
      </c>
      <c r="CF784">
        <f>IFERROR(INDEX(PP_Grid[#Data],$DE784,81),0)</f>
        <v/>
      </c>
      <c r="CG784">
        <f>IFERROR(INDEX(PP_Grid[#Data],$DE784,82),0)</f>
        <v/>
      </c>
      <c r="CH784">
        <f>IFERROR(INDEX(PP_Grid[#Data],$DE784,83),0)</f>
        <v/>
      </c>
      <c r="CI784">
        <f>IFERROR(INDEX(PP_Grid[#Data],$DE784,84),0)</f>
        <v/>
      </c>
      <c r="CJ784">
        <f>IFERROR(INDEX(PP_Grid[#Data],$DE784,85),0)</f>
        <v/>
      </c>
      <c r="CK784">
        <f>IFERROR(INDEX(PP_Grid[#Data],$DE784,86),0)</f>
        <v/>
      </c>
      <c r="CL784">
        <f>IFERROR(INDEX(PP_Grid[#Data],$DE784,87),0)</f>
        <v/>
      </c>
      <c r="CM784">
        <f>IFERROR(INDEX(PP_Grid[#Data],$DE784,88),0)</f>
        <v/>
      </c>
      <c r="CN784">
        <f>IFERROR(INDEX(PP_Grid[#Data],$DE784,89),0)</f>
        <v/>
      </c>
      <c r="CO784">
        <f>IFERROR(INDEX(PP_Grid[#Data],$DE784,90),0)</f>
        <v/>
      </c>
      <c r="CP784">
        <f>IFERROR(INDEX(PP_Grid[#Data],$DE784,91),0)</f>
        <v/>
      </c>
      <c r="CQ784">
        <f>IFERROR(INDEX(PP_Grid[#Data],$DE784,92),0)</f>
        <v/>
      </c>
      <c r="CR784">
        <f>IFERROR(INDEX(PP_Grid[#Data],$DE784,93),0)</f>
        <v/>
      </c>
      <c r="CS784">
        <f>IFERROR(INDEX(PP_Grid[#Data],$DE784,94),0)</f>
        <v/>
      </c>
      <c r="CT784">
        <f>IFERROR(INDEX(PP_Grid[#Data],$DE784,95),0)</f>
        <v/>
      </c>
      <c r="CU784">
        <f>IFERROR(INDEX(PP_Grid[#Data],$DE784,96),0)</f>
        <v/>
      </c>
      <c r="CV784">
        <f>IFERROR(INDEX(PP_Grid[#Data],$DE784,97),0)</f>
        <v/>
      </c>
      <c r="CW784">
        <f>IFERROR(INDEX(PP_Grid[#Data],$DE784,98),0)</f>
        <v/>
      </c>
      <c r="CX784">
        <f>IFERROR(INDEX(PP_Grid[#Data],$DE784,99),0)</f>
        <v/>
      </c>
      <c r="CY784">
        <f>IFERROR(INDEX(PP_Grid[#Data],$DE784,100),0)</f>
        <v/>
      </c>
      <c r="CZ784">
        <f>IFERROR(INDEX(PP_Grid[#Data],$DE784,101),0)</f>
        <v/>
      </c>
      <c r="DA784">
        <f>IFERROR(INDEX(PP_Grid[#Data],$DE784,102),0)</f>
        <v/>
      </c>
      <c r="DB784">
        <f>IFERROR(INDEX(PP_Grid[#Data],$DE784,103),0)</f>
        <v/>
      </c>
      <c r="DC784">
        <f>IFERROR(INDEX(PP_Grid[#Data],$DE784,104),0)</f>
        <v/>
      </c>
      <c r="DD784">
        <f>IFERROR(INDEX(PP_Grid[#Data],$DE784,105),0)</f>
        <v/>
      </c>
      <c r="DE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SUMIFS(M_BOM[RM_Qty_Per_Batch],M_BOM[Intermediate],$B784,M_BOM[RM_Code],$A775)</f>
        <v/>
      </c>
      <c r="D785">
        <f>IFERROR(INDEX(E785:DD785,$F$1),"")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  <c r="DD785">
        <f>$C785*DD784</f>
        <v/>
      </c>
    </row>
    <row r="786">
      <c r="B786" t="inlineStr">
        <is>
          <t>TSP-405</t>
        </is>
      </c>
      <c r="C786" t="inlineStr">
        <is>
          <t>No. of batches</t>
        </is>
      </c>
      <c r="D786">
        <f>IFERROR(INDEX(E786:DD786,$F$1),"")</f>
        <v/>
      </c>
      <c r="E786">
        <f>IFERROR(INDEX(PP_Grid[#Data],$DE786,2),0)</f>
        <v/>
      </c>
      <c r="F786">
        <f>IFERROR(INDEX(PP_Grid[#Data],$DE786,3),0)</f>
        <v/>
      </c>
      <c r="G786">
        <f>IFERROR(INDEX(PP_Grid[#Data],$DE786,4),0)</f>
        <v/>
      </c>
      <c r="H786">
        <f>IFERROR(INDEX(PP_Grid[#Data],$DE786,5),0)</f>
        <v/>
      </c>
      <c r="I786">
        <f>IFERROR(INDEX(PP_Grid[#Data],$DE786,6),0)</f>
        <v/>
      </c>
      <c r="J786">
        <f>IFERROR(INDEX(PP_Grid[#Data],$DE786,7),0)</f>
        <v/>
      </c>
      <c r="K786">
        <f>IFERROR(INDEX(PP_Grid[#Data],$DE786,8),0)</f>
        <v/>
      </c>
      <c r="L786">
        <f>IFERROR(INDEX(PP_Grid[#Data],$DE786,9),0)</f>
        <v/>
      </c>
      <c r="M786">
        <f>IFERROR(INDEX(PP_Grid[#Data],$DE786,10),0)</f>
        <v/>
      </c>
      <c r="N786">
        <f>IFERROR(INDEX(PP_Grid[#Data],$DE786,11),0)</f>
        <v/>
      </c>
      <c r="O786">
        <f>IFERROR(INDEX(PP_Grid[#Data],$DE786,12),0)</f>
        <v/>
      </c>
      <c r="P786">
        <f>IFERROR(INDEX(PP_Grid[#Data],$DE786,13),0)</f>
        <v/>
      </c>
      <c r="Q786">
        <f>IFERROR(INDEX(PP_Grid[#Data],$DE786,14),0)</f>
        <v/>
      </c>
      <c r="R786">
        <f>IFERROR(INDEX(PP_Grid[#Data],$DE786,15),0)</f>
        <v/>
      </c>
      <c r="S786">
        <f>IFERROR(INDEX(PP_Grid[#Data],$DE786,16),0)</f>
        <v/>
      </c>
      <c r="T786">
        <f>IFERROR(INDEX(PP_Grid[#Data],$DE786,17),0)</f>
        <v/>
      </c>
      <c r="U786">
        <f>IFERROR(INDEX(PP_Grid[#Data],$DE786,18),0)</f>
        <v/>
      </c>
      <c r="V786">
        <f>IFERROR(INDEX(PP_Grid[#Data],$DE786,19),0)</f>
        <v/>
      </c>
      <c r="W786">
        <f>IFERROR(INDEX(PP_Grid[#Data],$DE786,20),0)</f>
        <v/>
      </c>
      <c r="X786">
        <f>IFERROR(INDEX(PP_Grid[#Data],$DE786,21),0)</f>
        <v/>
      </c>
      <c r="Y786">
        <f>IFERROR(INDEX(PP_Grid[#Data],$DE786,22),0)</f>
        <v/>
      </c>
      <c r="Z786">
        <f>IFERROR(INDEX(PP_Grid[#Data],$DE786,23),0)</f>
        <v/>
      </c>
      <c r="AA786">
        <f>IFERROR(INDEX(PP_Grid[#Data],$DE786,24),0)</f>
        <v/>
      </c>
      <c r="AB786">
        <f>IFERROR(INDEX(PP_Grid[#Data],$DE786,25),0)</f>
        <v/>
      </c>
      <c r="AC786">
        <f>IFERROR(INDEX(PP_Grid[#Data],$DE786,26),0)</f>
        <v/>
      </c>
      <c r="AD786">
        <f>IFERROR(INDEX(PP_Grid[#Data],$DE786,27),0)</f>
        <v/>
      </c>
      <c r="AE786">
        <f>IFERROR(INDEX(PP_Grid[#Data],$DE786,28),0)</f>
        <v/>
      </c>
      <c r="AF786">
        <f>IFERROR(INDEX(PP_Grid[#Data],$DE786,29),0)</f>
        <v/>
      </c>
      <c r="AG786">
        <f>IFERROR(INDEX(PP_Grid[#Data],$DE786,30),0)</f>
        <v/>
      </c>
      <c r="AH786">
        <f>IFERROR(INDEX(PP_Grid[#Data],$DE786,31),0)</f>
        <v/>
      </c>
      <c r="AI786">
        <f>IFERROR(INDEX(PP_Grid[#Data],$DE786,32),0)</f>
        <v/>
      </c>
      <c r="AJ786">
        <f>IFERROR(INDEX(PP_Grid[#Data],$DE786,33),0)</f>
        <v/>
      </c>
      <c r="AK786">
        <f>IFERROR(INDEX(PP_Grid[#Data],$DE786,34),0)</f>
        <v/>
      </c>
      <c r="AL786">
        <f>IFERROR(INDEX(PP_Grid[#Data],$DE786,35),0)</f>
        <v/>
      </c>
      <c r="AM786">
        <f>IFERROR(INDEX(PP_Grid[#Data],$DE786,36),0)</f>
        <v/>
      </c>
      <c r="AN786">
        <f>IFERROR(INDEX(PP_Grid[#Data],$DE786,37),0)</f>
        <v/>
      </c>
      <c r="AO786">
        <f>IFERROR(INDEX(PP_Grid[#Data],$DE786,38),0)</f>
        <v/>
      </c>
      <c r="AP786">
        <f>IFERROR(INDEX(PP_Grid[#Data],$DE786,39),0)</f>
        <v/>
      </c>
      <c r="AQ786">
        <f>IFERROR(INDEX(PP_Grid[#Data],$DE786,40),0)</f>
        <v/>
      </c>
      <c r="AR786">
        <f>IFERROR(INDEX(PP_Grid[#Data],$DE786,41),0)</f>
        <v/>
      </c>
      <c r="AS786">
        <f>IFERROR(INDEX(PP_Grid[#Data],$DE786,42),0)</f>
        <v/>
      </c>
      <c r="AT786">
        <f>IFERROR(INDEX(PP_Grid[#Data],$DE786,43),0)</f>
        <v/>
      </c>
      <c r="AU786">
        <f>IFERROR(INDEX(PP_Grid[#Data],$DE786,44),0)</f>
        <v/>
      </c>
      <c r="AV786">
        <f>IFERROR(INDEX(PP_Grid[#Data],$DE786,45),0)</f>
        <v/>
      </c>
      <c r="AW786">
        <f>IFERROR(INDEX(PP_Grid[#Data],$DE786,46),0)</f>
        <v/>
      </c>
      <c r="AX786">
        <f>IFERROR(INDEX(PP_Grid[#Data],$DE786,47),0)</f>
        <v/>
      </c>
      <c r="AY786">
        <f>IFERROR(INDEX(PP_Grid[#Data],$DE786,48),0)</f>
        <v/>
      </c>
      <c r="AZ786">
        <f>IFERROR(INDEX(PP_Grid[#Data],$DE786,49),0)</f>
        <v/>
      </c>
      <c r="BA786">
        <f>IFERROR(INDEX(PP_Grid[#Data],$DE786,50),0)</f>
        <v/>
      </c>
      <c r="BB786">
        <f>IFERROR(INDEX(PP_Grid[#Data],$DE786,51),0)</f>
        <v/>
      </c>
      <c r="BC786">
        <f>IFERROR(INDEX(PP_Grid[#Data],$DE786,52),0)</f>
        <v/>
      </c>
      <c r="BD786">
        <f>IFERROR(INDEX(PP_Grid[#Data],$DE786,53),0)</f>
        <v/>
      </c>
      <c r="BE786">
        <f>IFERROR(INDEX(PP_Grid[#Data],$DE786,54),0)</f>
        <v/>
      </c>
      <c r="BF786">
        <f>IFERROR(INDEX(PP_Grid[#Data],$DE786,55),0)</f>
        <v/>
      </c>
      <c r="BG786">
        <f>IFERROR(INDEX(PP_Grid[#Data],$DE786,56),0)</f>
        <v/>
      </c>
      <c r="BH786">
        <f>IFERROR(INDEX(PP_Grid[#Data],$DE786,57),0)</f>
        <v/>
      </c>
      <c r="BI786">
        <f>IFERROR(INDEX(PP_Grid[#Data],$DE786,58),0)</f>
        <v/>
      </c>
      <c r="BJ786">
        <f>IFERROR(INDEX(PP_Grid[#Data],$DE786,59),0)</f>
        <v/>
      </c>
      <c r="BK786">
        <f>IFERROR(INDEX(PP_Grid[#Data],$DE786,60),0)</f>
        <v/>
      </c>
      <c r="BL786">
        <f>IFERROR(INDEX(PP_Grid[#Data],$DE786,61),0)</f>
        <v/>
      </c>
      <c r="BM786">
        <f>IFERROR(INDEX(PP_Grid[#Data],$DE786,62),0)</f>
        <v/>
      </c>
      <c r="BN786">
        <f>IFERROR(INDEX(PP_Grid[#Data],$DE786,63),0)</f>
        <v/>
      </c>
      <c r="BO786">
        <f>IFERROR(INDEX(PP_Grid[#Data],$DE786,64),0)</f>
        <v/>
      </c>
      <c r="BP786">
        <f>IFERROR(INDEX(PP_Grid[#Data],$DE786,65),0)</f>
        <v/>
      </c>
      <c r="BQ786">
        <f>IFERROR(INDEX(PP_Grid[#Data],$DE786,66),0)</f>
        <v/>
      </c>
      <c r="BR786">
        <f>IFERROR(INDEX(PP_Grid[#Data],$DE786,67),0)</f>
        <v/>
      </c>
      <c r="BS786">
        <f>IFERROR(INDEX(PP_Grid[#Data],$DE786,68),0)</f>
        <v/>
      </c>
      <c r="BT786">
        <f>IFERROR(INDEX(PP_Grid[#Data],$DE786,69),0)</f>
        <v/>
      </c>
      <c r="BU786">
        <f>IFERROR(INDEX(PP_Grid[#Data],$DE786,70),0)</f>
        <v/>
      </c>
      <c r="BV786">
        <f>IFERROR(INDEX(PP_Grid[#Data],$DE786,71),0)</f>
        <v/>
      </c>
      <c r="BW786">
        <f>IFERROR(INDEX(PP_Grid[#Data],$DE786,72),0)</f>
        <v/>
      </c>
      <c r="BX786">
        <f>IFERROR(INDEX(PP_Grid[#Data],$DE786,73),0)</f>
        <v/>
      </c>
      <c r="BY786">
        <f>IFERROR(INDEX(PP_Grid[#Data],$DE786,74),0)</f>
        <v/>
      </c>
      <c r="BZ786">
        <f>IFERROR(INDEX(PP_Grid[#Data],$DE786,75),0)</f>
        <v/>
      </c>
      <c r="CA786">
        <f>IFERROR(INDEX(PP_Grid[#Data],$DE786,76),0)</f>
        <v/>
      </c>
      <c r="CB786">
        <f>IFERROR(INDEX(PP_Grid[#Data],$DE786,77),0)</f>
        <v/>
      </c>
      <c r="CC786">
        <f>IFERROR(INDEX(PP_Grid[#Data],$DE786,78),0)</f>
        <v/>
      </c>
      <c r="CD786">
        <f>IFERROR(INDEX(PP_Grid[#Data],$DE786,79),0)</f>
        <v/>
      </c>
      <c r="CE786">
        <f>IFERROR(INDEX(PP_Grid[#Data],$DE786,80),0)</f>
        <v/>
      </c>
      <c r="CF786">
        <f>IFERROR(INDEX(PP_Grid[#Data],$DE786,81),0)</f>
        <v/>
      </c>
      <c r="CG786">
        <f>IFERROR(INDEX(PP_Grid[#Data],$DE786,82),0)</f>
        <v/>
      </c>
      <c r="CH786">
        <f>IFERROR(INDEX(PP_Grid[#Data],$DE786,83),0)</f>
        <v/>
      </c>
      <c r="CI786">
        <f>IFERROR(INDEX(PP_Grid[#Data],$DE786,84),0)</f>
        <v/>
      </c>
      <c r="CJ786">
        <f>IFERROR(INDEX(PP_Grid[#Data],$DE786,85),0)</f>
        <v/>
      </c>
      <c r="CK786">
        <f>IFERROR(INDEX(PP_Grid[#Data],$DE786,86),0)</f>
        <v/>
      </c>
      <c r="CL786">
        <f>IFERROR(INDEX(PP_Grid[#Data],$DE786,87),0)</f>
        <v/>
      </c>
      <c r="CM786">
        <f>IFERROR(INDEX(PP_Grid[#Data],$DE786,88),0)</f>
        <v/>
      </c>
      <c r="CN786">
        <f>IFERROR(INDEX(PP_Grid[#Data],$DE786,89),0)</f>
        <v/>
      </c>
      <c r="CO786">
        <f>IFERROR(INDEX(PP_Grid[#Data],$DE786,90),0)</f>
        <v/>
      </c>
      <c r="CP786">
        <f>IFERROR(INDEX(PP_Grid[#Data],$DE786,91),0)</f>
        <v/>
      </c>
      <c r="CQ786">
        <f>IFERROR(INDEX(PP_Grid[#Data],$DE786,92),0)</f>
        <v/>
      </c>
      <c r="CR786">
        <f>IFERROR(INDEX(PP_Grid[#Data],$DE786,93),0)</f>
        <v/>
      </c>
      <c r="CS786">
        <f>IFERROR(INDEX(PP_Grid[#Data],$DE786,94),0)</f>
        <v/>
      </c>
      <c r="CT786">
        <f>IFERROR(INDEX(PP_Grid[#Data],$DE786,95),0)</f>
        <v/>
      </c>
      <c r="CU786">
        <f>IFERROR(INDEX(PP_Grid[#Data],$DE786,96),0)</f>
        <v/>
      </c>
      <c r="CV786">
        <f>IFERROR(INDEX(PP_Grid[#Data],$DE786,97),0)</f>
        <v/>
      </c>
      <c r="CW786">
        <f>IFERROR(INDEX(PP_Grid[#Data],$DE786,98),0)</f>
        <v/>
      </c>
      <c r="CX786">
        <f>IFERROR(INDEX(PP_Grid[#Data],$DE786,99),0)</f>
        <v/>
      </c>
      <c r="CY786">
        <f>IFERROR(INDEX(PP_Grid[#Data],$DE786,100),0)</f>
        <v/>
      </c>
      <c r="CZ786">
        <f>IFERROR(INDEX(PP_Grid[#Data],$DE786,101),0)</f>
        <v/>
      </c>
      <c r="DA786">
        <f>IFERROR(INDEX(PP_Grid[#Data],$DE786,102),0)</f>
        <v/>
      </c>
      <c r="DB786">
        <f>IFERROR(INDEX(PP_Grid[#Data],$DE786,103),0)</f>
        <v/>
      </c>
      <c r="DC786">
        <f>IFERROR(INDEX(PP_Grid[#Data],$DE786,104),0)</f>
        <v/>
      </c>
      <c r="DD786">
        <f>IFERROR(INDEX(PP_Grid[#Data],$DE786,105),0)</f>
        <v/>
      </c>
      <c r="DE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SUMIFS(M_BOM[RM_Qty_Per_Batch],M_BOM[Intermediate],$B786,M_BOM[RM_Code],$A775)</f>
        <v/>
      </c>
      <c r="D787">
        <f>IFERROR(INDEX(E787:DD787,$F$1),"")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  <c r="DD787">
        <f>$C787*DD786</f>
        <v/>
      </c>
    </row>
    <row r="788">
      <c r="B788" t="inlineStr">
        <is>
          <t>TSP-558</t>
        </is>
      </c>
      <c r="C788" t="inlineStr">
        <is>
          <t>No. of batches</t>
        </is>
      </c>
      <c r="D788">
        <f>IFERROR(INDEX(E788:DD788,$F$1),"")</f>
        <v/>
      </c>
      <c r="E788">
        <f>IFERROR(INDEX(PP_Grid[#Data],$DE788,2),0)</f>
        <v/>
      </c>
      <c r="F788">
        <f>IFERROR(INDEX(PP_Grid[#Data],$DE788,3),0)</f>
        <v/>
      </c>
      <c r="G788">
        <f>IFERROR(INDEX(PP_Grid[#Data],$DE788,4),0)</f>
        <v/>
      </c>
      <c r="H788">
        <f>IFERROR(INDEX(PP_Grid[#Data],$DE788,5),0)</f>
        <v/>
      </c>
      <c r="I788">
        <f>IFERROR(INDEX(PP_Grid[#Data],$DE788,6),0)</f>
        <v/>
      </c>
      <c r="J788">
        <f>IFERROR(INDEX(PP_Grid[#Data],$DE788,7),0)</f>
        <v/>
      </c>
      <c r="K788">
        <f>IFERROR(INDEX(PP_Grid[#Data],$DE788,8),0)</f>
        <v/>
      </c>
      <c r="L788">
        <f>IFERROR(INDEX(PP_Grid[#Data],$DE788,9),0)</f>
        <v/>
      </c>
      <c r="M788">
        <f>IFERROR(INDEX(PP_Grid[#Data],$DE788,10),0)</f>
        <v/>
      </c>
      <c r="N788">
        <f>IFERROR(INDEX(PP_Grid[#Data],$DE788,11),0)</f>
        <v/>
      </c>
      <c r="O788">
        <f>IFERROR(INDEX(PP_Grid[#Data],$DE788,12),0)</f>
        <v/>
      </c>
      <c r="P788">
        <f>IFERROR(INDEX(PP_Grid[#Data],$DE788,13),0)</f>
        <v/>
      </c>
      <c r="Q788">
        <f>IFERROR(INDEX(PP_Grid[#Data],$DE788,14),0)</f>
        <v/>
      </c>
      <c r="R788">
        <f>IFERROR(INDEX(PP_Grid[#Data],$DE788,15),0)</f>
        <v/>
      </c>
      <c r="S788">
        <f>IFERROR(INDEX(PP_Grid[#Data],$DE788,16),0)</f>
        <v/>
      </c>
      <c r="T788">
        <f>IFERROR(INDEX(PP_Grid[#Data],$DE788,17),0)</f>
        <v/>
      </c>
      <c r="U788">
        <f>IFERROR(INDEX(PP_Grid[#Data],$DE788,18),0)</f>
        <v/>
      </c>
      <c r="V788">
        <f>IFERROR(INDEX(PP_Grid[#Data],$DE788,19),0)</f>
        <v/>
      </c>
      <c r="W788">
        <f>IFERROR(INDEX(PP_Grid[#Data],$DE788,20),0)</f>
        <v/>
      </c>
      <c r="X788">
        <f>IFERROR(INDEX(PP_Grid[#Data],$DE788,21),0)</f>
        <v/>
      </c>
      <c r="Y788">
        <f>IFERROR(INDEX(PP_Grid[#Data],$DE788,22),0)</f>
        <v/>
      </c>
      <c r="Z788">
        <f>IFERROR(INDEX(PP_Grid[#Data],$DE788,23),0)</f>
        <v/>
      </c>
      <c r="AA788">
        <f>IFERROR(INDEX(PP_Grid[#Data],$DE788,24),0)</f>
        <v/>
      </c>
      <c r="AB788">
        <f>IFERROR(INDEX(PP_Grid[#Data],$DE788,25),0)</f>
        <v/>
      </c>
      <c r="AC788">
        <f>IFERROR(INDEX(PP_Grid[#Data],$DE788,26),0)</f>
        <v/>
      </c>
      <c r="AD788">
        <f>IFERROR(INDEX(PP_Grid[#Data],$DE788,27),0)</f>
        <v/>
      </c>
      <c r="AE788">
        <f>IFERROR(INDEX(PP_Grid[#Data],$DE788,28),0)</f>
        <v/>
      </c>
      <c r="AF788">
        <f>IFERROR(INDEX(PP_Grid[#Data],$DE788,29),0)</f>
        <v/>
      </c>
      <c r="AG788">
        <f>IFERROR(INDEX(PP_Grid[#Data],$DE788,30),0)</f>
        <v/>
      </c>
      <c r="AH788">
        <f>IFERROR(INDEX(PP_Grid[#Data],$DE788,31),0)</f>
        <v/>
      </c>
      <c r="AI788">
        <f>IFERROR(INDEX(PP_Grid[#Data],$DE788,32),0)</f>
        <v/>
      </c>
      <c r="AJ788">
        <f>IFERROR(INDEX(PP_Grid[#Data],$DE788,33),0)</f>
        <v/>
      </c>
      <c r="AK788">
        <f>IFERROR(INDEX(PP_Grid[#Data],$DE788,34),0)</f>
        <v/>
      </c>
      <c r="AL788">
        <f>IFERROR(INDEX(PP_Grid[#Data],$DE788,35),0)</f>
        <v/>
      </c>
      <c r="AM788">
        <f>IFERROR(INDEX(PP_Grid[#Data],$DE788,36),0)</f>
        <v/>
      </c>
      <c r="AN788">
        <f>IFERROR(INDEX(PP_Grid[#Data],$DE788,37),0)</f>
        <v/>
      </c>
      <c r="AO788">
        <f>IFERROR(INDEX(PP_Grid[#Data],$DE788,38),0)</f>
        <v/>
      </c>
      <c r="AP788">
        <f>IFERROR(INDEX(PP_Grid[#Data],$DE788,39),0)</f>
        <v/>
      </c>
      <c r="AQ788">
        <f>IFERROR(INDEX(PP_Grid[#Data],$DE788,40),0)</f>
        <v/>
      </c>
      <c r="AR788">
        <f>IFERROR(INDEX(PP_Grid[#Data],$DE788,41),0)</f>
        <v/>
      </c>
      <c r="AS788">
        <f>IFERROR(INDEX(PP_Grid[#Data],$DE788,42),0)</f>
        <v/>
      </c>
      <c r="AT788">
        <f>IFERROR(INDEX(PP_Grid[#Data],$DE788,43),0)</f>
        <v/>
      </c>
      <c r="AU788">
        <f>IFERROR(INDEX(PP_Grid[#Data],$DE788,44),0)</f>
        <v/>
      </c>
      <c r="AV788">
        <f>IFERROR(INDEX(PP_Grid[#Data],$DE788,45),0)</f>
        <v/>
      </c>
      <c r="AW788">
        <f>IFERROR(INDEX(PP_Grid[#Data],$DE788,46),0)</f>
        <v/>
      </c>
      <c r="AX788">
        <f>IFERROR(INDEX(PP_Grid[#Data],$DE788,47),0)</f>
        <v/>
      </c>
      <c r="AY788">
        <f>IFERROR(INDEX(PP_Grid[#Data],$DE788,48),0)</f>
        <v/>
      </c>
      <c r="AZ788">
        <f>IFERROR(INDEX(PP_Grid[#Data],$DE788,49),0)</f>
        <v/>
      </c>
      <c r="BA788">
        <f>IFERROR(INDEX(PP_Grid[#Data],$DE788,50),0)</f>
        <v/>
      </c>
      <c r="BB788">
        <f>IFERROR(INDEX(PP_Grid[#Data],$DE788,51),0)</f>
        <v/>
      </c>
      <c r="BC788">
        <f>IFERROR(INDEX(PP_Grid[#Data],$DE788,52),0)</f>
        <v/>
      </c>
      <c r="BD788">
        <f>IFERROR(INDEX(PP_Grid[#Data],$DE788,53),0)</f>
        <v/>
      </c>
      <c r="BE788">
        <f>IFERROR(INDEX(PP_Grid[#Data],$DE788,54),0)</f>
        <v/>
      </c>
      <c r="BF788">
        <f>IFERROR(INDEX(PP_Grid[#Data],$DE788,55),0)</f>
        <v/>
      </c>
      <c r="BG788">
        <f>IFERROR(INDEX(PP_Grid[#Data],$DE788,56),0)</f>
        <v/>
      </c>
      <c r="BH788">
        <f>IFERROR(INDEX(PP_Grid[#Data],$DE788,57),0)</f>
        <v/>
      </c>
      <c r="BI788">
        <f>IFERROR(INDEX(PP_Grid[#Data],$DE788,58),0)</f>
        <v/>
      </c>
      <c r="BJ788">
        <f>IFERROR(INDEX(PP_Grid[#Data],$DE788,59),0)</f>
        <v/>
      </c>
      <c r="BK788">
        <f>IFERROR(INDEX(PP_Grid[#Data],$DE788,60),0)</f>
        <v/>
      </c>
      <c r="BL788">
        <f>IFERROR(INDEX(PP_Grid[#Data],$DE788,61),0)</f>
        <v/>
      </c>
      <c r="BM788">
        <f>IFERROR(INDEX(PP_Grid[#Data],$DE788,62),0)</f>
        <v/>
      </c>
      <c r="BN788">
        <f>IFERROR(INDEX(PP_Grid[#Data],$DE788,63),0)</f>
        <v/>
      </c>
      <c r="BO788">
        <f>IFERROR(INDEX(PP_Grid[#Data],$DE788,64),0)</f>
        <v/>
      </c>
      <c r="BP788">
        <f>IFERROR(INDEX(PP_Grid[#Data],$DE788,65),0)</f>
        <v/>
      </c>
      <c r="BQ788">
        <f>IFERROR(INDEX(PP_Grid[#Data],$DE788,66),0)</f>
        <v/>
      </c>
      <c r="BR788">
        <f>IFERROR(INDEX(PP_Grid[#Data],$DE788,67),0)</f>
        <v/>
      </c>
      <c r="BS788">
        <f>IFERROR(INDEX(PP_Grid[#Data],$DE788,68),0)</f>
        <v/>
      </c>
      <c r="BT788">
        <f>IFERROR(INDEX(PP_Grid[#Data],$DE788,69),0)</f>
        <v/>
      </c>
      <c r="BU788">
        <f>IFERROR(INDEX(PP_Grid[#Data],$DE788,70),0)</f>
        <v/>
      </c>
      <c r="BV788">
        <f>IFERROR(INDEX(PP_Grid[#Data],$DE788,71),0)</f>
        <v/>
      </c>
      <c r="BW788">
        <f>IFERROR(INDEX(PP_Grid[#Data],$DE788,72),0)</f>
        <v/>
      </c>
      <c r="BX788">
        <f>IFERROR(INDEX(PP_Grid[#Data],$DE788,73),0)</f>
        <v/>
      </c>
      <c r="BY788">
        <f>IFERROR(INDEX(PP_Grid[#Data],$DE788,74),0)</f>
        <v/>
      </c>
      <c r="BZ788">
        <f>IFERROR(INDEX(PP_Grid[#Data],$DE788,75),0)</f>
        <v/>
      </c>
      <c r="CA788">
        <f>IFERROR(INDEX(PP_Grid[#Data],$DE788,76),0)</f>
        <v/>
      </c>
      <c r="CB788">
        <f>IFERROR(INDEX(PP_Grid[#Data],$DE788,77),0)</f>
        <v/>
      </c>
      <c r="CC788">
        <f>IFERROR(INDEX(PP_Grid[#Data],$DE788,78),0)</f>
        <v/>
      </c>
      <c r="CD788">
        <f>IFERROR(INDEX(PP_Grid[#Data],$DE788,79),0)</f>
        <v/>
      </c>
      <c r="CE788">
        <f>IFERROR(INDEX(PP_Grid[#Data],$DE788,80),0)</f>
        <v/>
      </c>
      <c r="CF788">
        <f>IFERROR(INDEX(PP_Grid[#Data],$DE788,81),0)</f>
        <v/>
      </c>
      <c r="CG788">
        <f>IFERROR(INDEX(PP_Grid[#Data],$DE788,82),0)</f>
        <v/>
      </c>
      <c r="CH788">
        <f>IFERROR(INDEX(PP_Grid[#Data],$DE788,83),0)</f>
        <v/>
      </c>
      <c r="CI788">
        <f>IFERROR(INDEX(PP_Grid[#Data],$DE788,84),0)</f>
        <v/>
      </c>
      <c r="CJ788">
        <f>IFERROR(INDEX(PP_Grid[#Data],$DE788,85),0)</f>
        <v/>
      </c>
      <c r="CK788">
        <f>IFERROR(INDEX(PP_Grid[#Data],$DE788,86),0)</f>
        <v/>
      </c>
      <c r="CL788">
        <f>IFERROR(INDEX(PP_Grid[#Data],$DE788,87),0)</f>
        <v/>
      </c>
      <c r="CM788">
        <f>IFERROR(INDEX(PP_Grid[#Data],$DE788,88),0)</f>
        <v/>
      </c>
      <c r="CN788">
        <f>IFERROR(INDEX(PP_Grid[#Data],$DE788,89),0)</f>
        <v/>
      </c>
      <c r="CO788">
        <f>IFERROR(INDEX(PP_Grid[#Data],$DE788,90),0)</f>
        <v/>
      </c>
      <c r="CP788">
        <f>IFERROR(INDEX(PP_Grid[#Data],$DE788,91),0)</f>
        <v/>
      </c>
      <c r="CQ788">
        <f>IFERROR(INDEX(PP_Grid[#Data],$DE788,92),0)</f>
        <v/>
      </c>
      <c r="CR788">
        <f>IFERROR(INDEX(PP_Grid[#Data],$DE788,93),0)</f>
        <v/>
      </c>
      <c r="CS788">
        <f>IFERROR(INDEX(PP_Grid[#Data],$DE788,94),0)</f>
        <v/>
      </c>
      <c r="CT788">
        <f>IFERROR(INDEX(PP_Grid[#Data],$DE788,95),0)</f>
        <v/>
      </c>
      <c r="CU788">
        <f>IFERROR(INDEX(PP_Grid[#Data],$DE788,96),0)</f>
        <v/>
      </c>
      <c r="CV788">
        <f>IFERROR(INDEX(PP_Grid[#Data],$DE788,97),0)</f>
        <v/>
      </c>
      <c r="CW788">
        <f>IFERROR(INDEX(PP_Grid[#Data],$DE788,98),0)</f>
        <v/>
      </c>
      <c r="CX788">
        <f>IFERROR(INDEX(PP_Grid[#Data],$DE788,99),0)</f>
        <v/>
      </c>
      <c r="CY788">
        <f>IFERROR(INDEX(PP_Grid[#Data],$DE788,100),0)</f>
        <v/>
      </c>
      <c r="CZ788">
        <f>IFERROR(INDEX(PP_Grid[#Data],$DE788,101),0)</f>
        <v/>
      </c>
      <c r="DA788">
        <f>IFERROR(INDEX(PP_Grid[#Data],$DE788,102),0)</f>
        <v/>
      </c>
      <c r="DB788">
        <f>IFERROR(INDEX(PP_Grid[#Data],$DE788,103),0)</f>
        <v/>
      </c>
      <c r="DC788">
        <f>IFERROR(INDEX(PP_Grid[#Data],$DE788,104),0)</f>
        <v/>
      </c>
      <c r="DD788">
        <f>IFERROR(INDEX(PP_Grid[#Data],$DE788,105),0)</f>
        <v/>
      </c>
      <c r="DE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SUMIFS(M_BOM[RM_Qty_Per_Batch],M_BOM[Intermediate],$B788,M_BOM[RM_Code],$A775)</f>
        <v/>
      </c>
      <c r="D789">
        <f>IFERROR(INDEX(E789:DD789,$F$1),"")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  <c r="DD789">
        <f>$C789*DD788</f>
        <v/>
      </c>
    </row>
    <row r="790">
      <c r="B790" t="inlineStr">
        <is>
          <t>TSP-618</t>
        </is>
      </c>
      <c r="C790" t="inlineStr">
        <is>
          <t>No. of batches</t>
        </is>
      </c>
      <c r="D790">
        <f>IFERROR(INDEX(E790:DD790,$F$1),"")</f>
        <v/>
      </c>
      <c r="E790">
        <f>IFERROR(INDEX(PP_Grid[#Data],$DE790,2),0)</f>
        <v/>
      </c>
      <c r="F790">
        <f>IFERROR(INDEX(PP_Grid[#Data],$DE790,3),0)</f>
        <v/>
      </c>
      <c r="G790">
        <f>IFERROR(INDEX(PP_Grid[#Data],$DE790,4),0)</f>
        <v/>
      </c>
      <c r="H790">
        <f>IFERROR(INDEX(PP_Grid[#Data],$DE790,5),0)</f>
        <v/>
      </c>
      <c r="I790">
        <f>IFERROR(INDEX(PP_Grid[#Data],$DE790,6),0)</f>
        <v/>
      </c>
      <c r="J790">
        <f>IFERROR(INDEX(PP_Grid[#Data],$DE790,7),0)</f>
        <v/>
      </c>
      <c r="K790">
        <f>IFERROR(INDEX(PP_Grid[#Data],$DE790,8),0)</f>
        <v/>
      </c>
      <c r="L790">
        <f>IFERROR(INDEX(PP_Grid[#Data],$DE790,9),0)</f>
        <v/>
      </c>
      <c r="M790">
        <f>IFERROR(INDEX(PP_Grid[#Data],$DE790,10),0)</f>
        <v/>
      </c>
      <c r="N790">
        <f>IFERROR(INDEX(PP_Grid[#Data],$DE790,11),0)</f>
        <v/>
      </c>
      <c r="O790">
        <f>IFERROR(INDEX(PP_Grid[#Data],$DE790,12),0)</f>
        <v/>
      </c>
      <c r="P790">
        <f>IFERROR(INDEX(PP_Grid[#Data],$DE790,13),0)</f>
        <v/>
      </c>
      <c r="Q790">
        <f>IFERROR(INDEX(PP_Grid[#Data],$DE790,14),0)</f>
        <v/>
      </c>
      <c r="R790">
        <f>IFERROR(INDEX(PP_Grid[#Data],$DE790,15),0)</f>
        <v/>
      </c>
      <c r="S790">
        <f>IFERROR(INDEX(PP_Grid[#Data],$DE790,16),0)</f>
        <v/>
      </c>
      <c r="T790">
        <f>IFERROR(INDEX(PP_Grid[#Data],$DE790,17),0)</f>
        <v/>
      </c>
      <c r="U790">
        <f>IFERROR(INDEX(PP_Grid[#Data],$DE790,18),0)</f>
        <v/>
      </c>
      <c r="V790">
        <f>IFERROR(INDEX(PP_Grid[#Data],$DE790,19),0)</f>
        <v/>
      </c>
      <c r="W790">
        <f>IFERROR(INDEX(PP_Grid[#Data],$DE790,20),0)</f>
        <v/>
      </c>
      <c r="X790">
        <f>IFERROR(INDEX(PP_Grid[#Data],$DE790,21),0)</f>
        <v/>
      </c>
      <c r="Y790">
        <f>IFERROR(INDEX(PP_Grid[#Data],$DE790,22),0)</f>
        <v/>
      </c>
      <c r="Z790">
        <f>IFERROR(INDEX(PP_Grid[#Data],$DE790,23),0)</f>
        <v/>
      </c>
      <c r="AA790">
        <f>IFERROR(INDEX(PP_Grid[#Data],$DE790,24),0)</f>
        <v/>
      </c>
      <c r="AB790">
        <f>IFERROR(INDEX(PP_Grid[#Data],$DE790,25),0)</f>
        <v/>
      </c>
      <c r="AC790">
        <f>IFERROR(INDEX(PP_Grid[#Data],$DE790,26),0)</f>
        <v/>
      </c>
      <c r="AD790">
        <f>IFERROR(INDEX(PP_Grid[#Data],$DE790,27),0)</f>
        <v/>
      </c>
      <c r="AE790">
        <f>IFERROR(INDEX(PP_Grid[#Data],$DE790,28),0)</f>
        <v/>
      </c>
      <c r="AF790">
        <f>IFERROR(INDEX(PP_Grid[#Data],$DE790,29),0)</f>
        <v/>
      </c>
      <c r="AG790">
        <f>IFERROR(INDEX(PP_Grid[#Data],$DE790,30),0)</f>
        <v/>
      </c>
      <c r="AH790">
        <f>IFERROR(INDEX(PP_Grid[#Data],$DE790,31),0)</f>
        <v/>
      </c>
      <c r="AI790">
        <f>IFERROR(INDEX(PP_Grid[#Data],$DE790,32),0)</f>
        <v/>
      </c>
      <c r="AJ790">
        <f>IFERROR(INDEX(PP_Grid[#Data],$DE790,33),0)</f>
        <v/>
      </c>
      <c r="AK790">
        <f>IFERROR(INDEX(PP_Grid[#Data],$DE790,34),0)</f>
        <v/>
      </c>
      <c r="AL790">
        <f>IFERROR(INDEX(PP_Grid[#Data],$DE790,35),0)</f>
        <v/>
      </c>
      <c r="AM790">
        <f>IFERROR(INDEX(PP_Grid[#Data],$DE790,36),0)</f>
        <v/>
      </c>
      <c r="AN790">
        <f>IFERROR(INDEX(PP_Grid[#Data],$DE790,37),0)</f>
        <v/>
      </c>
      <c r="AO790">
        <f>IFERROR(INDEX(PP_Grid[#Data],$DE790,38),0)</f>
        <v/>
      </c>
      <c r="AP790">
        <f>IFERROR(INDEX(PP_Grid[#Data],$DE790,39),0)</f>
        <v/>
      </c>
      <c r="AQ790">
        <f>IFERROR(INDEX(PP_Grid[#Data],$DE790,40),0)</f>
        <v/>
      </c>
      <c r="AR790">
        <f>IFERROR(INDEX(PP_Grid[#Data],$DE790,41),0)</f>
        <v/>
      </c>
      <c r="AS790">
        <f>IFERROR(INDEX(PP_Grid[#Data],$DE790,42),0)</f>
        <v/>
      </c>
      <c r="AT790">
        <f>IFERROR(INDEX(PP_Grid[#Data],$DE790,43),0)</f>
        <v/>
      </c>
      <c r="AU790">
        <f>IFERROR(INDEX(PP_Grid[#Data],$DE790,44),0)</f>
        <v/>
      </c>
      <c r="AV790">
        <f>IFERROR(INDEX(PP_Grid[#Data],$DE790,45),0)</f>
        <v/>
      </c>
      <c r="AW790">
        <f>IFERROR(INDEX(PP_Grid[#Data],$DE790,46),0)</f>
        <v/>
      </c>
      <c r="AX790">
        <f>IFERROR(INDEX(PP_Grid[#Data],$DE790,47),0)</f>
        <v/>
      </c>
      <c r="AY790">
        <f>IFERROR(INDEX(PP_Grid[#Data],$DE790,48),0)</f>
        <v/>
      </c>
      <c r="AZ790">
        <f>IFERROR(INDEX(PP_Grid[#Data],$DE790,49),0)</f>
        <v/>
      </c>
      <c r="BA790">
        <f>IFERROR(INDEX(PP_Grid[#Data],$DE790,50),0)</f>
        <v/>
      </c>
      <c r="BB790">
        <f>IFERROR(INDEX(PP_Grid[#Data],$DE790,51),0)</f>
        <v/>
      </c>
      <c r="BC790">
        <f>IFERROR(INDEX(PP_Grid[#Data],$DE790,52),0)</f>
        <v/>
      </c>
      <c r="BD790">
        <f>IFERROR(INDEX(PP_Grid[#Data],$DE790,53),0)</f>
        <v/>
      </c>
      <c r="BE790">
        <f>IFERROR(INDEX(PP_Grid[#Data],$DE790,54),0)</f>
        <v/>
      </c>
      <c r="BF790">
        <f>IFERROR(INDEX(PP_Grid[#Data],$DE790,55),0)</f>
        <v/>
      </c>
      <c r="BG790">
        <f>IFERROR(INDEX(PP_Grid[#Data],$DE790,56),0)</f>
        <v/>
      </c>
      <c r="BH790">
        <f>IFERROR(INDEX(PP_Grid[#Data],$DE790,57),0)</f>
        <v/>
      </c>
      <c r="BI790">
        <f>IFERROR(INDEX(PP_Grid[#Data],$DE790,58),0)</f>
        <v/>
      </c>
      <c r="BJ790">
        <f>IFERROR(INDEX(PP_Grid[#Data],$DE790,59),0)</f>
        <v/>
      </c>
      <c r="BK790">
        <f>IFERROR(INDEX(PP_Grid[#Data],$DE790,60),0)</f>
        <v/>
      </c>
      <c r="BL790">
        <f>IFERROR(INDEX(PP_Grid[#Data],$DE790,61),0)</f>
        <v/>
      </c>
      <c r="BM790">
        <f>IFERROR(INDEX(PP_Grid[#Data],$DE790,62),0)</f>
        <v/>
      </c>
      <c r="BN790">
        <f>IFERROR(INDEX(PP_Grid[#Data],$DE790,63),0)</f>
        <v/>
      </c>
      <c r="BO790">
        <f>IFERROR(INDEX(PP_Grid[#Data],$DE790,64),0)</f>
        <v/>
      </c>
      <c r="BP790">
        <f>IFERROR(INDEX(PP_Grid[#Data],$DE790,65),0)</f>
        <v/>
      </c>
      <c r="BQ790">
        <f>IFERROR(INDEX(PP_Grid[#Data],$DE790,66),0)</f>
        <v/>
      </c>
      <c r="BR790">
        <f>IFERROR(INDEX(PP_Grid[#Data],$DE790,67),0)</f>
        <v/>
      </c>
      <c r="BS790">
        <f>IFERROR(INDEX(PP_Grid[#Data],$DE790,68),0)</f>
        <v/>
      </c>
      <c r="BT790">
        <f>IFERROR(INDEX(PP_Grid[#Data],$DE790,69),0)</f>
        <v/>
      </c>
      <c r="BU790">
        <f>IFERROR(INDEX(PP_Grid[#Data],$DE790,70),0)</f>
        <v/>
      </c>
      <c r="BV790">
        <f>IFERROR(INDEX(PP_Grid[#Data],$DE790,71),0)</f>
        <v/>
      </c>
      <c r="BW790">
        <f>IFERROR(INDEX(PP_Grid[#Data],$DE790,72),0)</f>
        <v/>
      </c>
      <c r="BX790">
        <f>IFERROR(INDEX(PP_Grid[#Data],$DE790,73),0)</f>
        <v/>
      </c>
      <c r="BY790">
        <f>IFERROR(INDEX(PP_Grid[#Data],$DE790,74),0)</f>
        <v/>
      </c>
      <c r="BZ790">
        <f>IFERROR(INDEX(PP_Grid[#Data],$DE790,75),0)</f>
        <v/>
      </c>
      <c r="CA790">
        <f>IFERROR(INDEX(PP_Grid[#Data],$DE790,76),0)</f>
        <v/>
      </c>
      <c r="CB790">
        <f>IFERROR(INDEX(PP_Grid[#Data],$DE790,77),0)</f>
        <v/>
      </c>
      <c r="CC790">
        <f>IFERROR(INDEX(PP_Grid[#Data],$DE790,78),0)</f>
        <v/>
      </c>
      <c r="CD790">
        <f>IFERROR(INDEX(PP_Grid[#Data],$DE790,79),0)</f>
        <v/>
      </c>
      <c r="CE790">
        <f>IFERROR(INDEX(PP_Grid[#Data],$DE790,80),0)</f>
        <v/>
      </c>
      <c r="CF790">
        <f>IFERROR(INDEX(PP_Grid[#Data],$DE790,81),0)</f>
        <v/>
      </c>
      <c r="CG790">
        <f>IFERROR(INDEX(PP_Grid[#Data],$DE790,82),0)</f>
        <v/>
      </c>
      <c r="CH790">
        <f>IFERROR(INDEX(PP_Grid[#Data],$DE790,83),0)</f>
        <v/>
      </c>
      <c r="CI790">
        <f>IFERROR(INDEX(PP_Grid[#Data],$DE790,84),0)</f>
        <v/>
      </c>
      <c r="CJ790">
        <f>IFERROR(INDEX(PP_Grid[#Data],$DE790,85),0)</f>
        <v/>
      </c>
      <c r="CK790">
        <f>IFERROR(INDEX(PP_Grid[#Data],$DE790,86),0)</f>
        <v/>
      </c>
      <c r="CL790">
        <f>IFERROR(INDEX(PP_Grid[#Data],$DE790,87),0)</f>
        <v/>
      </c>
      <c r="CM790">
        <f>IFERROR(INDEX(PP_Grid[#Data],$DE790,88),0)</f>
        <v/>
      </c>
      <c r="CN790">
        <f>IFERROR(INDEX(PP_Grid[#Data],$DE790,89),0)</f>
        <v/>
      </c>
      <c r="CO790">
        <f>IFERROR(INDEX(PP_Grid[#Data],$DE790,90),0)</f>
        <v/>
      </c>
      <c r="CP790">
        <f>IFERROR(INDEX(PP_Grid[#Data],$DE790,91),0)</f>
        <v/>
      </c>
      <c r="CQ790">
        <f>IFERROR(INDEX(PP_Grid[#Data],$DE790,92),0)</f>
        <v/>
      </c>
      <c r="CR790">
        <f>IFERROR(INDEX(PP_Grid[#Data],$DE790,93),0)</f>
        <v/>
      </c>
      <c r="CS790">
        <f>IFERROR(INDEX(PP_Grid[#Data],$DE790,94),0)</f>
        <v/>
      </c>
      <c r="CT790">
        <f>IFERROR(INDEX(PP_Grid[#Data],$DE790,95),0)</f>
        <v/>
      </c>
      <c r="CU790">
        <f>IFERROR(INDEX(PP_Grid[#Data],$DE790,96),0)</f>
        <v/>
      </c>
      <c r="CV790">
        <f>IFERROR(INDEX(PP_Grid[#Data],$DE790,97),0)</f>
        <v/>
      </c>
      <c r="CW790">
        <f>IFERROR(INDEX(PP_Grid[#Data],$DE790,98),0)</f>
        <v/>
      </c>
      <c r="CX790">
        <f>IFERROR(INDEX(PP_Grid[#Data],$DE790,99),0)</f>
        <v/>
      </c>
      <c r="CY790">
        <f>IFERROR(INDEX(PP_Grid[#Data],$DE790,100),0)</f>
        <v/>
      </c>
      <c r="CZ790">
        <f>IFERROR(INDEX(PP_Grid[#Data],$DE790,101),0)</f>
        <v/>
      </c>
      <c r="DA790">
        <f>IFERROR(INDEX(PP_Grid[#Data],$DE790,102),0)</f>
        <v/>
      </c>
      <c r="DB790">
        <f>IFERROR(INDEX(PP_Grid[#Data],$DE790,103),0)</f>
        <v/>
      </c>
      <c r="DC790">
        <f>IFERROR(INDEX(PP_Grid[#Data],$DE790,104),0)</f>
        <v/>
      </c>
      <c r="DD790">
        <f>IFERROR(INDEX(PP_Grid[#Data],$DE790,105),0)</f>
        <v/>
      </c>
      <c r="DE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SUMIFS(M_BOM[RM_Qty_Per_Batch],M_BOM[Intermediate],$B790,M_BOM[RM_Code],$A775)</f>
        <v/>
      </c>
      <c r="D791">
        <f>IFERROR(INDEX(E791:DD791,$F$1),"")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  <c r="DD791">
        <f>$C791*DD790</f>
        <v/>
      </c>
    </row>
    <row r="792">
      <c r="B792" t="inlineStr">
        <is>
          <t>TSP-620</t>
        </is>
      </c>
      <c r="C792" t="inlineStr">
        <is>
          <t>No. of batches</t>
        </is>
      </c>
      <c r="D792">
        <f>IFERROR(INDEX(E792:DD792,$F$1),"")</f>
        <v/>
      </c>
      <c r="E792">
        <f>IFERROR(INDEX(PP_Grid[#Data],$DE792,2),0)</f>
        <v/>
      </c>
      <c r="F792">
        <f>IFERROR(INDEX(PP_Grid[#Data],$DE792,3),0)</f>
        <v/>
      </c>
      <c r="G792">
        <f>IFERROR(INDEX(PP_Grid[#Data],$DE792,4),0)</f>
        <v/>
      </c>
      <c r="H792">
        <f>IFERROR(INDEX(PP_Grid[#Data],$DE792,5),0)</f>
        <v/>
      </c>
      <c r="I792">
        <f>IFERROR(INDEX(PP_Grid[#Data],$DE792,6),0)</f>
        <v/>
      </c>
      <c r="J792">
        <f>IFERROR(INDEX(PP_Grid[#Data],$DE792,7),0)</f>
        <v/>
      </c>
      <c r="K792">
        <f>IFERROR(INDEX(PP_Grid[#Data],$DE792,8),0)</f>
        <v/>
      </c>
      <c r="L792">
        <f>IFERROR(INDEX(PP_Grid[#Data],$DE792,9),0)</f>
        <v/>
      </c>
      <c r="M792">
        <f>IFERROR(INDEX(PP_Grid[#Data],$DE792,10),0)</f>
        <v/>
      </c>
      <c r="N792">
        <f>IFERROR(INDEX(PP_Grid[#Data],$DE792,11),0)</f>
        <v/>
      </c>
      <c r="O792">
        <f>IFERROR(INDEX(PP_Grid[#Data],$DE792,12),0)</f>
        <v/>
      </c>
      <c r="P792">
        <f>IFERROR(INDEX(PP_Grid[#Data],$DE792,13),0)</f>
        <v/>
      </c>
      <c r="Q792">
        <f>IFERROR(INDEX(PP_Grid[#Data],$DE792,14),0)</f>
        <v/>
      </c>
      <c r="R792">
        <f>IFERROR(INDEX(PP_Grid[#Data],$DE792,15),0)</f>
        <v/>
      </c>
      <c r="S792">
        <f>IFERROR(INDEX(PP_Grid[#Data],$DE792,16),0)</f>
        <v/>
      </c>
      <c r="T792">
        <f>IFERROR(INDEX(PP_Grid[#Data],$DE792,17),0)</f>
        <v/>
      </c>
      <c r="U792">
        <f>IFERROR(INDEX(PP_Grid[#Data],$DE792,18),0)</f>
        <v/>
      </c>
      <c r="V792">
        <f>IFERROR(INDEX(PP_Grid[#Data],$DE792,19),0)</f>
        <v/>
      </c>
      <c r="W792">
        <f>IFERROR(INDEX(PP_Grid[#Data],$DE792,20),0)</f>
        <v/>
      </c>
      <c r="X792">
        <f>IFERROR(INDEX(PP_Grid[#Data],$DE792,21),0)</f>
        <v/>
      </c>
      <c r="Y792">
        <f>IFERROR(INDEX(PP_Grid[#Data],$DE792,22),0)</f>
        <v/>
      </c>
      <c r="Z792">
        <f>IFERROR(INDEX(PP_Grid[#Data],$DE792,23),0)</f>
        <v/>
      </c>
      <c r="AA792">
        <f>IFERROR(INDEX(PP_Grid[#Data],$DE792,24),0)</f>
        <v/>
      </c>
      <c r="AB792">
        <f>IFERROR(INDEX(PP_Grid[#Data],$DE792,25),0)</f>
        <v/>
      </c>
      <c r="AC792">
        <f>IFERROR(INDEX(PP_Grid[#Data],$DE792,26),0)</f>
        <v/>
      </c>
      <c r="AD792">
        <f>IFERROR(INDEX(PP_Grid[#Data],$DE792,27),0)</f>
        <v/>
      </c>
      <c r="AE792">
        <f>IFERROR(INDEX(PP_Grid[#Data],$DE792,28),0)</f>
        <v/>
      </c>
      <c r="AF792">
        <f>IFERROR(INDEX(PP_Grid[#Data],$DE792,29),0)</f>
        <v/>
      </c>
      <c r="AG792">
        <f>IFERROR(INDEX(PP_Grid[#Data],$DE792,30),0)</f>
        <v/>
      </c>
      <c r="AH792">
        <f>IFERROR(INDEX(PP_Grid[#Data],$DE792,31),0)</f>
        <v/>
      </c>
      <c r="AI792">
        <f>IFERROR(INDEX(PP_Grid[#Data],$DE792,32),0)</f>
        <v/>
      </c>
      <c r="AJ792">
        <f>IFERROR(INDEX(PP_Grid[#Data],$DE792,33),0)</f>
        <v/>
      </c>
      <c r="AK792">
        <f>IFERROR(INDEX(PP_Grid[#Data],$DE792,34),0)</f>
        <v/>
      </c>
      <c r="AL792">
        <f>IFERROR(INDEX(PP_Grid[#Data],$DE792,35),0)</f>
        <v/>
      </c>
      <c r="AM792">
        <f>IFERROR(INDEX(PP_Grid[#Data],$DE792,36),0)</f>
        <v/>
      </c>
      <c r="AN792">
        <f>IFERROR(INDEX(PP_Grid[#Data],$DE792,37),0)</f>
        <v/>
      </c>
      <c r="AO792">
        <f>IFERROR(INDEX(PP_Grid[#Data],$DE792,38),0)</f>
        <v/>
      </c>
      <c r="AP792">
        <f>IFERROR(INDEX(PP_Grid[#Data],$DE792,39),0)</f>
        <v/>
      </c>
      <c r="AQ792">
        <f>IFERROR(INDEX(PP_Grid[#Data],$DE792,40),0)</f>
        <v/>
      </c>
      <c r="AR792">
        <f>IFERROR(INDEX(PP_Grid[#Data],$DE792,41),0)</f>
        <v/>
      </c>
      <c r="AS792">
        <f>IFERROR(INDEX(PP_Grid[#Data],$DE792,42),0)</f>
        <v/>
      </c>
      <c r="AT792">
        <f>IFERROR(INDEX(PP_Grid[#Data],$DE792,43),0)</f>
        <v/>
      </c>
      <c r="AU792">
        <f>IFERROR(INDEX(PP_Grid[#Data],$DE792,44),0)</f>
        <v/>
      </c>
      <c r="AV792">
        <f>IFERROR(INDEX(PP_Grid[#Data],$DE792,45),0)</f>
        <v/>
      </c>
      <c r="AW792">
        <f>IFERROR(INDEX(PP_Grid[#Data],$DE792,46),0)</f>
        <v/>
      </c>
      <c r="AX792">
        <f>IFERROR(INDEX(PP_Grid[#Data],$DE792,47),0)</f>
        <v/>
      </c>
      <c r="AY792">
        <f>IFERROR(INDEX(PP_Grid[#Data],$DE792,48),0)</f>
        <v/>
      </c>
      <c r="AZ792">
        <f>IFERROR(INDEX(PP_Grid[#Data],$DE792,49),0)</f>
        <v/>
      </c>
      <c r="BA792">
        <f>IFERROR(INDEX(PP_Grid[#Data],$DE792,50),0)</f>
        <v/>
      </c>
      <c r="BB792">
        <f>IFERROR(INDEX(PP_Grid[#Data],$DE792,51),0)</f>
        <v/>
      </c>
      <c r="BC792">
        <f>IFERROR(INDEX(PP_Grid[#Data],$DE792,52),0)</f>
        <v/>
      </c>
      <c r="BD792">
        <f>IFERROR(INDEX(PP_Grid[#Data],$DE792,53),0)</f>
        <v/>
      </c>
      <c r="BE792">
        <f>IFERROR(INDEX(PP_Grid[#Data],$DE792,54),0)</f>
        <v/>
      </c>
      <c r="BF792">
        <f>IFERROR(INDEX(PP_Grid[#Data],$DE792,55),0)</f>
        <v/>
      </c>
      <c r="BG792">
        <f>IFERROR(INDEX(PP_Grid[#Data],$DE792,56),0)</f>
        <v/>
      </c>
      <c r="BH792">
        <f>IFERROR(INDEX(PP_Grid[#Data],$DE792,57),0)</f>
        <v/>
      </c>
      <c r="BI792">
        <f>IFERROR(INDEX(PP_Grid[#Data],$DE792,58),0)</f>
        <v/>
      </c>
      <c r="BJ792">
        <f>IFERROR(INDEX(PP_Grid[#Data],$DE792,59),0)</f>
        <v/>
      </c>
      <c r="BK792">
        <f>IFERROR(INDEX(PP_Grid[#Data],$DE792,60),0)</f>
        <v/>
      </c>
      <c r="BL792">
        <f>IFERROR(INDEX(PP_Grid[#Data],$DE792,61),0)</f>
        <v/>
      </c>
      <c r="BM792">
        <f>IFERROR(INDEX(PP_Grid[#Data],$DE792,62),0)</f>
        <v/>
      </c>
      <c r="BN792">
        <f>IFERROR(INDEX(PP_Grid[#Data],$DE792,63),0)</f>
        <v/>
      </c>
      <c r="BO792">
        <f>IFERROR(INDEX(PP_Grid[#Data],$DE792,64),0)</f>
        <v/>
      </c>
      <c r="BP792">
        <f>IFERROR(INDEX(PP_Grid[#Data],$DE792,65),0)</f>
        <v/>
      </c>
      <c r="BQ792">
        <f>IFERROR(INDEX(PP_Grid[#Data],$DE792,66),0)</f>
        <v/>
      </c>
      <c r="BR792">
        <f>IFERROR(INDEX(PP_Grid[#Data],$DE792,67),0)</f>
        <v/>
      </c>
      <c r="BS792">
        <f>IFERROR(INDEX(PP_Grid[#Data],$DE792,68),0)</f>
        <v/>
      </c>
      <c r="BT792">
        <f>IFERROR(INDEX(PP_Grid[#Data],$DE792,69),0)</f>
        <v/>
      </c>
      <c r="BU792">
        <f>IFERROR(INDEX(PP_Grid[#Data],$DE792,70),0)</f>
        <v/>
      </c>
      <c r="BV792">
        <f>IFERROR(INDEX(PP_Grid[#Data],$DE792,71),0)</f>
        <v/>
      </c>
      <c r="BW792">
        <f>IFERROR(INDEX(PP_Grid[#Data],$DE792,72),0)</f>
        <v/>
      </c>
      <c r="BX792">
        <f>IFERROR(INDEX(PP_Grid[#Data],$DE792,73),0)</f>
        <v/>
      </c>
      <c r="BY792">
        <f>IFERROR(INDEX(PP_Grid[#Data],$DE792,74),0)</f>
        <v/>
      </c>
      <c r="BZ792">
        <f>IFERROR(INDEX(PP_Grid[#Data],$DE792,75),0)</f>
        <v/>
      </c>
      <c r="CA792">
        <f>IFERROR(INDEX(PP_Grid[#Data],$DE792,76),0)</f>
        <v/>
      </c>
      <c r="CB792">
        <f>IFERROR(INDEX(PP_Grid[#Data],$DE792,77),0)</f>
        <v/>
      </c>
      <c r="CC792">
        <f>IFERROR(INDEX(PP_Grid[#Data],$DE792,78),0)</f>
        <v/>
      </c>
      <c r="CD792">
        <f>IFERROR(INDEX(PP_Grid[#Data],$DE792,79),0)</f>
        <v/>
      </c>
      <c r="CE792">
        <f>IFERROR(INDEX(PP_Grid[#Data],$DE792,80),0)</f>
        <v/>
      </c>
      <c r="CF792">
        <f>IFERROR(INDEX(PP_Grid[#Data],$DE792,81),0)</f>
        <v/>
      </c>
      <c r="CG792">
        <f>IFERROR(INDEX(PP_Grid[#Data],$DE792,82),0)</f>
        <v/>
      </c>
      <c r="CH792">
        <f>IFERROR(INDEX(PP_Grid[#Data],$DE792,83),0)</f>
        <v/>
      </c>
      <c r="CI792">
        <f>IFERROR(INDEX(PP_Grid[#Data],$DE792,84),0)</f>
        <v/>
      </c>
      <c r="CJ792">
        <f>IFERROR(INDEX(PP_Grid[#Data],$DE792,85),0)</f>
        <v/>
      </c>
      <c r="CK792">
        <f>IFERROR(INDEX(PP_Grid[#Data],$DE792,86),0)</f>
        <v/>
      </c>
      <c r="CL792">
        <f>IFERROR(INDEX(PP_Grid[#Data],$DE792,87),0)</f>
        <v/>
      </c>
      <c r="CM792">
        <f>IFERROR(INDEX(PP_Grid[#Data],$DE792,88),0)</f>
        <v/>
      </c>
      <c r="CN792">
        <f>IFERROR(INDEX(PP_Grid[#Data],$DE792,89),0)</f>
        <v/>
      </c>
      <c r="CO792">
        <f>IFERROR(INDEX(PP_Grid[#Data],$DE792,90),0)</f>
        <v/>
      </c>
      <c r="CP792">
        <f>IFERROR(INDEX(PP_Grid[#Data],$DE792,91),0)</f>
        <v/>
      </c>
      <c r="CQ792">
        <f>IFERROR(INDEX(PP_Grid[#Data],$DE792,92),0)</f>
        <v/>
      </c>
      <c r="CR792">
        <f>IFERROR(INDEX(PP_Grid[#Data],$DE792,93),0)</f>
        <v/>
      </c>
      <c r="CS792">
        <f>IFERROR(INDEX(PP_Grid[#Data],$DE792,94),0)</f>
        <v/>
      </c>
      <c r="CT792">
        <f>IFERROR(INDEX(PP_Grid[#Data],$DE792,95),0)</f>
        <v/>
      </c>
      <c r="CU792">
        <f>IFERROR(INDEX(PP_Grid[#Data],$DE792,96),0)</f>
        <v/>
      </c>
      <c r="CV792">
        <f>IFERROR(INDEX(PP_Grid[#Data],$DE792,97),0)</f>
        <v/>
      </c>
      <c r="CW792">
        <f>IFERROR(INDEX(PP_Grid[#Data],$DE792,98),0)</f>
        <v/>
      </c>
      <c r="CX792">
        <f>IFERROR(INDEX(PP_Grid[#Data],$DE792,99),0)</f>
        <v/>
      </c>
      <c r="CY792">
        <f>IFERROR(INDEX(PP_Grid[#Data],$DE792,100),0)</f>
        <v/>
      </c>
      <c r="CZ792">
        <f>IFERROR(INDEX(PP_Grid[#Data],$DE792,101),0)</f>
        <v/>
      </c>
      <c r="DA792">
        <f>IFERROR(INDEX(PP_Grid[#Data],$DE792,102),0)</f>
        <v/>
      </c>
      <c r="DB792">
        <f>IFERROR(INDEX(PP_Grid[#Data],$DE792,103),0)</f>
        <v/>
      </c>
      <c r="DC792">
        <f>IFERROR(INDEX(PP_Grid[#Data],$DE792,104),0)</f>
        <v/>
      </c>
      <c r="DD792">
        <f>IFERROR(INDEX(PP_Grid[#Data],$DE792,105),0)</f>
        <v/>
      </c>
      <c r="DE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SUMIFS(M_BOM[RM_Qty_Per_Batch],M_BOM[Intermediate],$B792,M_BOM[RM_Code],$A775)</f>
        <v/>
      </c>
      <c r="D793">
        <f>IFERROR(INDEX(E793:DD793,$F$1),"")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  <c r="DD793">
        <f>$C793*DD792</f>
        <v/>
      </c>
    </row>
    <row r="794">
      <c r="B794" t="inlineStr">
        <is>
          <t>TSP-623</t>
        </is>
      </c>
      <c r="C794" t="inlineStr">
        <is>
          <t>No. of batches</t>
        </is>
      </c>
      <c r="D794">
        <f>IFERROR(INDEX(E794:DD794,$F$1),"")</f>
        <v/>
      </c>
      <c r="E794">
        <f>IFERROR(INDEX(PP_Grid[#Data],$DE794,2),0)</f>
        <v/>
      </c>
      <c r="F794">
        <f>IFERROR(INDEX(PP_Grid[#Data],$DE794,3),0)</f>
        <v/>
      </c>
      <c r="G794">
        <f>IFERROR(INDEX(PP_Grid[#Data],$DE794,4),0)</f>
        <v/>
      </c>
      <c r="H794">
        <f>IFERROR(INDEX(PP_Grid[#Data],$DE794,5),0)</f>
        <v/>
      </c>
      <c r="I794">
        <f>IFERROR(INDEX(PP_Grid[#Data],$DE794,6),0)</f>
        <v/>
      </c>
      <c r="J794">
        <f>IFERROR(INDEX(PP_Grid[#Data],$DE794,7),0)</f>
        <v/>
      </c>
      <c r="K794">
        <f>IFERROR(INDEX(PP_Grid[#Data],$DE794,8),0)</f>
        <v/>
      </c>
      <c r="L794">
        <f>IFERROR(INDEX(PP_Grid[#Data],$DE794,9),0)</f>
        <v/>
      </c>
      <c r="M794">
        <f>IFERROR(INDEX(PP_Grid[#Data],$DE794,10),0)</f>
        <v/>
      </c>
      <c r="N794">
        <f>IFERROR(INDEX(PP_Grid[#Data],$DE794,11),0)</f>
        <v/>
      </c>
      <c r="O794">
        <f>IFERROR(INDEX(PP_Grid[#Data],$DE794,12),0)</f>
        <v/>
      </c>
      <c r="P794">
        <f>IFERROR(INDEX(PP_Grid[#Data],$DE794,13),0)</f>
        <v/>
      </c>
      <c r="Q794">
        <f>IFERROR(INDEX(PP_Grid[#Data],$DE794,14),0)</f>
        <v/>
      </c>
      <c r="R794">
        <f>IFERROR(INDEX(PP_Grid[#Data],$DE794,15),0)</f>
        <v/>
      </c>
      <c r="S794">
        <f>IFERROR(INDEX(PP_Grid[#Data],$DE794,16),0)</f>
        <v/>
      </c>
      <c r="T794">
        <f>IFERROR(INDEX(PP_Grid[#Data],$DE794,17),0)</f>
        <v/>
      </c>
      <c r="U794">
        <f>IFERROR(INDEX(PP_Grid[#Data],$DE794,18),0)</f>
        <v/>
      </c>
      <c r="V794">
        <f>IFERROR(INDEX(PP_Grid[#Data],$DE794,19),0)</f>
        <v/>
      </c>
      <c r="W794">
        <f>IFERROR(INDEX(PP_Grid[#Data],$DE794,20),0)</f>
        <v/>
      </c>
      <c r="X794">
        <f>IFERROR(INDEX(PP_Grid[#Data],$DE794,21),0)</f>
        <v/>
      </c>
      <c r="Y794">
        <f>IFERROR(INDEX(PP_Grid[#Data],$DE794,22),0)</f>
        <v/>
      </c>
      <c r="Z794">
        <f>IFERROR(INDEX(PP_Grid[#Data],$DE794,23),0)</f>
        <v/>
      </c>
      <c r="AA794">
        <f>IFERROR(INDEX(PP_Grid[#Data],$DE794,24),0)</f>
        <v/>
      </c>
      <c r="AB794">
        <f>IFERROR(INDEX(PP_Grid[#Data],$DE794,25),0)</f>
        <v/>
      </c>
      <c r="AC794">
        <f>IFERROR(INDEX(PP_Grid[#Data],$DE794,26),0)</f>
        <v/>
      </c>
      <c r="AD794">
        <f>IFERROR(INDEX(PP_Grid[#Data],$DE794,27),0)</f>
        <v/>
      </c>
      <c r="AE794">
        <f>IFERROR(INDEX(PP_Grid[#Data],$DE794,28),0)</f>
        <v/>
      </c>
      <c r="AF794">
        <f>IFERROR(INDEX(PP_Grid[#Data],$DE794,29),0)</f>
        <v/>
      </c>
      <c r="AG794">
        <f>IFERROR(INDEX(PP_Grid[#Data],$DE794,30),0)</f>
        <v/>
      </c>
      <c r="AH794">
        <f>IFERROR(INDEX(PP_Grid[#Data],$DE794,31),0)</f>
        <v/>
      </c>
      <c r="AI794">
        <f>IFERROR(INDEX(PP_Grid[#Data],$DE794,32),0)</f>
        <v/>
      </c>
      <c r="AJ794">
        <f>IFERROR(INDEX(PP_Grid[#Data],$DE794,33),0)</f>
        <v/>
      </c>
      <c r="AK794">
        <f>IFERROR(INDEX(PP_Grid[#Data],$DE794,34),0)</f>
        <v/>
      </c>
      <c r="AL794">
        <f>IFERROR(INDEX(PP_Grid[#Data],$DE794,35),0)</f>
        <v/>
      </c>
      <c r="AM794">
        <f>IFERROR(INDEX(PP_Grid[#Data],$DE794,36),0)</f>
        <v/>
      </c>
      <c r="AN794">
        <f>IFERROR(INDEX(PP_Grid[#Data],$DE794,37),0)</f>
        <v/>
      </c>
      <c r="AO794">
        <f>IFERROR(INDEX(PP_Grid[#Data],$DE794,38),0)</f>
        <v/>
      </c>
      <c r="AP794">
        <f>IFERROR(INDEX(PP_Grid[#Data],$DE794,39),0)</f>
        <v/>
      </c>
      <c r="AQ794">
        <f>IFERROR(INDEX(PP_Grid[#Data],$DE794,40),0)</f>
        <v/>
      </c>
      <c r="AR794">
        <f>IFERROR(INDEX(PP_Grid[#Data],$DE794,41),0)</f>
        <v/>
      </c>
      <c r="AS794">
        <f>IFERROR(INDEX(PP_Grid[#Data],$DE794,42),0)</f>
        <v/>
      </c>
      <c r="AT794">
        <f>IFERROR(INDEX(PP_Grid[#Data],$DE794,43),0)</f>
        <v/>
      </c>
      <c r="AU794">
        <f>IFERROR(INDEX(PP_Grid[#Data],$DE794,44),0)</f>
        <v/>
      </c>
      <c r="AV794">
        <f>IFERROR(INDEX(PP_Grid[#Data],$DE794,45),0)</f>
        <v/>
      </c>
      <c r="AW794">
        <f>IFERROR(INDEX(PP_Grid[#Data],$DE794,46),0)</f>
        <v/>
      </c>
      <c r="AX794">
        <f>IFERROR(INDEX(PP_Grid[#Data],$DE794,47),0)</f>
        <v/>
      </c>
      <c r="AY794">
        <f>IFERROR(INDEX(PP_Grid[#Data],$DE794,48),0)</f>
        <v/>
      </c>
      <c r="AZ794">
        <f>IFERROR(INDEX(PP_Grid[#Data],$DE794,49),0)</f>
        <v/>
      </c>
      <c r="BA794">
        <f>IFERROR(INDEX(PP_Grid[#Data],$DE794,50),0)</f>
        <v/>
      </c>
      <c r="BB794">
        <f>IFERROR(INDEX(PP_Grid[#Data],$DE794,51),0)</f>
        <v/>
      </c>
      <c r="BC794">
        <f>IFERROR(INDEX(PP_Grid[#Data],$DE794,52),0)</f>
        <v/>
      </c>
      <c r="BD794">
        <f>IFERROR(INDEX(PP_Grid[#Data],$DE794,53),0)</f>
        <v/>
      </c>
      <c r="BE794">
        <f>IFERROR(INDEX(PP_Grid[#Data],$DE794,54),0)</f>
        <v/>
      </c>
      <c r="BF794">
        <f>IFERROR(INDEX(PP_Grid[#Data],$DE794,55),0)</f>
        <v/>
      </c>
      <c r="BG794">
        <f>IFERROR(INDEX(PP_Grid[#Data],$DE794,56),0)</f>
        <v/>
      </c>
      <c r="BH794">
        <f>IFERROR(INDEX(PP_Grid[#Data],$DE794,57),0)</f>
        <v/>
      </c>
      <c r="BI794">
        <f>IFERROR(INDEX(PP_Grid[#Data],$DE794,58),0)</f>
        <v/>
      </c>
      <c r="BJ794">
        <f>IFERROR(INDEX(PP_Grid[#Data],$DE794,59),0)</f>
        <v/>
      </c>
      <c r="BK794">
        <f>IFERROR(INDEX(PP_Grid[#Data],$DE794,60),0)</f>
        <v/>
      </c>
      <c r="BL794">
        <f>IFERROR(INDEX(PP_Grid[#Data],$DE794,61),0)</f>
        <v/>
      </c>
      <c r="BM794">
        <f>IFERROR(INDEX(PP_Grid[#Data],$DE794,62),0)</f>
        <v/>
      </c>
      <c r="BN794">
        <f>IFERROR(INDEX(PP_Grid[#Data],$DE794,63),0)</f>
        <v/>
      </c>
      <c r="BO794">
        <f>IFERROR(INDEX(PP_Grid[#Data],$DE794,64),0)</f>
        <v/>
      </c>
      <c r="BP794">
        <f>IFERROR(INDEX(PP_Grid[#Data],$DE794,65),0)</f>
        <v/>
      </c>
      <c r="BQ794">
        <f>IFERROR(INDEX(PP_Grid[#Data],$DE794,66),0)</f>
        <v/>
      </c>
      <c r="BR794">
        <f>IFERROR(INDEX(PP_Grid[#Data],$DE794,67),0)</f>
        <v/>
      </c>
      <c r="BS794">
        <f>IFERROR(INDEX(PP_Grid[#Data],$DE794,68),0)</f>
        <v/>
      </c>
      <c r="BT794">
        <f>IFERROR(INDEX(PP_Grid[#Data],$DE794,69),0)</f>
        <v/>
      </c>
      <c r="BU794">
        <f>IFERROR(INDEX(PP_Grid[#Data],$DE794,70),0)</f>
        <v/>
      </c>
      <c r="BV794">
        <f>IFERROR(INDEX(PP_Grid[#Data],$DE794,71),0)</f>
        <v/>
      </c>
      <c r="BW794">
        <f>IFERROR(INDEX(PP_Grid[#Data],$DE794,72),0)</f>
        <v/>
      </c>
      <c r="BX794">
        <f>IFERROR(INDEX(PP_Grid[#Data],$DE794,73),0)</f>
        <v/>
      </c>
      <c r="BY794">
        <f>IFERROR(INDEX(PP_Grid[#Data],$DE794,74),0)</f>
        <v/>
      </c>
      <c r="BZ794">
        <f>IFERROR(INDEX(PP_Grid[#Data],$DE794,75),0)</f>
        <v/>
      </c>
      <c r="CA794">
        <f>IFERROR(INDEX(PP_Grid[#Data],$DE794,76),0)</f>
        <v/>
      </c>
      <c r="CB794">
        <f>IFERROR(INDEX(PP_Grid[#Data],$DE794,77),0)</f>
        <v/>
      </c>
      <c r="CC794">
        <f>IFERROR(INDEX(PP_Grid[#Data],$DE794,78),0)</f>
        <v/>
      </c>
      <c r="CD794">
        <f>IFERROR(INDEX(PP_Grid[#Data],$DE794,79),0)</f>
        <v/>
      </c>
      <c r="CE794">
        <f>IFERROR(INDEX(PP_Grid[#Data],$DE794,80),0)</f>
        <v/>
      </c>
      <c r="CF794">
        <f>IFERROR(INDEX(PP_Grid[#Data],$DE794,81),0)</f>
        <v/>
      </c>
      <c r="CG794">
        <f>IFERROR(INDEX(PP_Grid[#Data],$DE794,82),0)</f>
        <v/>
      </c>
      <c r="CH794">
        <f>IFERROR(INDEX(PP_Grid[#Data],$DE794,83),0)</f>
        <v/>
      </c>
      <c r="CI794">
        <f>IFERROR(INDEX(PP_Grid[#Data],$DE794,84),0)</f>
        <v/>
      </c>
      <c r="CJ794">
        <f>IFERROR(INDEX(PP_Grid[#Data],$DE794,85),0)</f>
        <v/>
      </c>
      <c r="CK794">
        <f>IFERROR(INDEX(PP_Grid[#Data],$DE794,86),0)</f>
        <v/>
      </c>
      <c r="CL794">
        <f>IFERROR(INDEX(PP_Grid[#Data],$DE794,87),0)</f>
        <v/>
      </c>
      <c r="CM794">
        <f>IFERROR(INDEX(PP_Grid[#Data],$DE794,88),0)</f>
        <v/>
      </c>
      <c r="CN794">
        <f>IFERROR(INDEX(PP_Grid[#Data],$DE794,89),0)</f>
        <v/>
      </c>
      <c r="CO794">
        <f>IFERROR(INDEX(PP_Grid[#Data],$DE794,90),0)</f>
        <v/>
      </c>
      <c r="CP794">
        <f>IFERROR(INDEX(PP_Grid[#Data],$DE794,91),0)</f>
        <v/>
      </c>
      <c r="CQ794">
        <f>IFERROR(INDEX(PP_Grid[#Data],$DE794,92),0)</f>
        <v/>
      </c>
      <c r="CR794">
        <f>IFERROR(INDEX(PP_Grid[#Data],$DE794,93),0)</f>
        <v/>
      </c>
      <c r="CS794">
        <f>IFERROR(INDEX(PP_Grid[#Data],$DE794,94),0)</f>
        <v/>
      </c>
      <c r="CT794">
        <f>IFERROR(INDEX(PP_Grid[#Data],$DE794,95),0)</f>
        <v/>
      </c>
      <c r="CU794">
        <f>IFERROR(INDEX(PP_Grid[#Data],$DE794,96),0)</f>
        <v/>
      </c>
      <c r="CV794">
        <f>IFERROR(INDEX(PP_Grid[#Data],$DE794,97),0)</f>
        <v/>
      </c>
      <c r="CW794">
        <f>IFERROR(INDEX(PP_Grid[#Data],$DE794,98),0)</f>
        <v/>
      </c>
      <c r="CX794">
        <f>IFERROR(INDEX(PP_Grid[#Data],$DE794,99),0)</f>
        <v/>
      </c>
      <c r="CY794">
        <f>IFERROR(INDEX(PP_Grid[#Data],$DE794,100),0)</f>
        <v/>
      </c>
      <c r="CZ794">
        <f>IFERROR(INDEX(PP_Grid[#Data],$DE794,101),0)</f>
        <v/>
      </c>
      <c r="DA794">
        <f>IFERROR(INDEX(PP_Grid[#Data],$DE794,102),0)</f>
        <v/>
      </c>
      <c r="DB794">
        <f>IFERROR(INDEX(PP_Grid[#Data],$DE794,103),0)</f>
        <v/>
      </c>
      <c r="DC794">
        <f>IFERROR(INDEX(PP_Grid[#Data],$DE794,104),0)</f>
        <v/>
      </c>
      <c r="DD794">
        <f>IFERROR(INDEX(PP_Grid[#Data],$DE794,105),0)</f>
        <v/>
      </c>
      <c r="DE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SUMIFS(M_BOM[RM_Qty_Per_Batch],M_BOM[Intermediate],$B794,M_BOM[RM_Code],$A775)</f>
        <v/>
      </c>
      <c r="D795">
        <f>IFERROR(INDEX(E795:DD795,$F$1),"")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  <c r="DD795">
        <f>$C795*DD794</f>
        <v/>
      </c>
    </row>
    <row r="796">
      <c r="B796" t="inlineStr">
        <is>
          <t>TSP-903</t>
        </is>
      </c>
      <c r="C796" t="inlineStr">
        <is>
          <t>No. of batches</t>
        </is>
      </c>
      <c r="D796">
        <f>IFERROR(INDEX(E796:DD796,$F$1),"")</f>
        <v/>
      </c>
      <c r="E796">
        <f>IFERROR(INDEX(PP_Grid[#Data],$DE796,2),0)</f>
        <v/>
      </c>
      <c r="F796">
        <f>IFERROR(INDEX(PP_Grid[#Data],$DE796,3),0)</f>
        <v/>
      </c>
      <c r="G796">
        <f>IFERROR(INDEX(PP_Grid[#Data],$DE796,4),0)</f>
        <v/>
      </c>
      <c r="H796">
        <f>IFERROR(INDEX(PP_Grid[#Data],$DE796,5),0)</f>
        <v/>
      </c>
      <c r="I796">
        <f>IFERROR(INDEX(PP_Grid[#Data],$DE796,6),0)</f>
        <v/>
      </c>
      <c r="J796">
        <f>IFERROR(INDEX(PP_Grid[#Data],$DE796,7),0)</f>
        <v/>
      </c>
      <c r="K796">
        <f>IFERROR(INDEX(PP_Grid[#Data],$DE796,8),0)</f>
        <v/>
      </c>
      <c r="L796">
        <f>IFERROR(INDEX(PP_Grid[#Data],$DE796,9),0)</f>
        <v/>
      </c>
      <c r="M796">
        <f>IFERROR(INDEX(PP_Grid[#Data],$DE796,10),0)</f>
        <v/>
      </c>
      <c r="N796">
        <f>IFERROR(INDEX(PP_Grid[#Data],$DE796,11),0)</f>
        <v/>
      </c>
      <c r="O796">
        <f>IFERROR(INDEX(PP_Grid[#Data],$DE796,12),0)</f>
        <v/>
      </c>
      <c r="P796">
        <f>IFERROR(INDEX(PP_Grid[#Data],$DE796,13),0)</f>
        <v/>
      </c>
      <c r="Q796">
        <f>IFERROR(INDEX(PP_Grid[#Data],$DE796,14),0)</f>
        <v/>
      </c>
      <c r="R796">
        <f>IFERROR(INDEX(PP_Grid[#Data],$DE796,15),0)</f>
        <v/>
      </c>
      <c r="S796">
        <f>IFERROR(INDEX(PP_Grid[#Data],$DE796,16),0)</f>
        <v/>
      </c>
      <c r="T796">
        <f>IFERROR(INDEX(PP_Grid[#Data],$DE796,17),0)</f>
        <v/>
      </c>
      <c r="U796">
        <f>IFERROR(INDEX(PP_Grid[#Data],$DE796,18),0)</f>
        <v/>
      </c>
      <c r="V796">
        <f>IFERROR(INDEX(PP_Grid[#Data],$DE796,19),0)</f>
        <v/>
      </c>
      <c r="W796">
        <f>IFERROR(INDEX(PP_Grid[#Data],$DE796,20),0)</f>
        <v/>
      </c>
      <c r="X796">
        <f>IFERROR(INDEX(PP_Grid[#Data],$DE796,21),0)</f>
        <v/>
      </c>
      <c r="Y796">
        <f>IFERROR(INDEX(PP_Grid[#Data],$DE796,22),0)</f>
        <v/>
      </c>
      <c r="Z796">
        <f>IFERROR(INDEX(PP_Grid[#Data],$DE796,23),0)</f>
        <v/>
      </c>
      <c r="AA796">
        <f>IFERROR(INDEX(PP_Grid[#Data],$DE796,24),0)</f>
        <v/>
      </c>
      <c r="AB796">
        <f>IFERROR(INDEX(PP_Grid[#Data],$DE796,25),0)</f>
        <v/>
      </c>
      <c r="AC796">
        <f>IFERROR(INDEX(PP_Grid[#Data],$DE796,26),0)</f>
        <v/>
      </c>
      <c r="AD796">
        <f>IFERROR(INDEX(PP_Grid[#Data],$DE796,27),0)</f>
        <v/>
      </c>
      <c r="AE796">
        <f>IFERROR(INDEX(PP_Grid[#Data],$DE796,28),0)</f>
        <v/>
      </c>
      <c r="AF796">
        <f>IFERROR(INDEX(PP_Grid[#Data],$DE796,29),0)</f>
        <v/>
      </c>
      <c r="AG796">
        <f>IFERROR(INDEX(PP_Grid[#Data],$DE796,30),0)</f>
        <v/>
      </c>
      <c r="AH796">
        <f>IFERROR(INDEX(PP_Grid[#Data],$DE796,31),0)</f>
        <v/>
      </c>
      <c r="AI796">
        <f>IFERROR(INDEX(PP_Grid[#Data],$DE796,32),0)</f>
        <v/>
      </c>
      <c r="AJ796">
        <f>IFERROR(INDEX(PP_Grid[#Data],$DE796,33),0)</f>
        <v/>
      </c>
      <c r="AK796">
        <f>IFERROR(INDEX(PP_Grid[#Data],$DE796,34),0)</f>
        <v/>
      </c>
      <c r="AL796">
        <f>IFERROR(INDEX(PP_Grid[#Data],$DE796,35),0)</f>
        <v/>
      </c>
      <c r="AM796">
        <f>IFERROR(INDEX(PP_Grid[#Data],$DE796,36),0)</f>
        <v/>
      </c>
      <c r="AN796">
        <f>IFERROR(INDEX(PP_Grid[#Data],$DE796,37),0)</f>
        <v/>
      </c>
      <c r="AO796">
        <f>IFERROR(INDEX(PP_Grid[#Data],$DE796,38),0)</f>
        <v/>
      </c>
      <c r="AP796">
        <f>IFERROR(INDEX(PP_Grid[#Data],$DE796,39),0)</f>
        <v/>
      </c>
      <c r="AQ796">
        <f>IFERROR(INDEX(PP_Grid[#Data],$DE796,40),0)</f>
        <v/>
      </c>
      <c r="AR796">
        <f>IFERROR(INDEX(PP_Grid[#Data],$DE796,41),0)</f>
        <v/>
      </c>
      <c r="AS796">
        <f>IFERROR(INDEX(PP_Grid[#Data],$DE796,42),0)</f>
        <v/>
      </c>
      <c r="AT796">
        <f>IFERROR(INDEX(PP_Grid[#Data],$DE796,43),0)</f>
        <v/>
      </c>
      <c r="AU796">
        <f>IFERROR(INDEX(PP_Grid[#Data],$DE796,44),0)</f>
        <v/>
      </c>
      <c r="AV796">
        <f>IFERROR(INDEX(PP_Grid[#Data],$DE796,45),0)</f>
        <v/>
      </c>
      <c r="AW796">
        <f>IFERROR(INDEX(PP_Grid[#Data],$DE796,46),0)</f>
        <v/>
      </c>
      <c r="AX796">
        <f>IFERROR(INDEX(PP_Grid[#Data],$DE796,47),0)</f>
        <v/>
      </c>
      <c r="AY796">
        <f>IFERROR(INDEX(PP_Grid[#Data],$DE796,48),0)</f>
        <v/>
      </c>
      <c r="AZ796">
        <f>IFERROR(INDEX(PP_Grid[#Data],$DE796,49),0)</f>
        <v/>
      </c>
      <c r="BA796">
        <f>IFERROR(INDEX(PP_Grid[#Data],$DE796,50),0)</f>
        <v/>
      </c>
      <c r="BB796">
        <f>IFERROR(INDEX(PP_Grid[#Data],$DE796,51),0)</f>
        <v/>
      </c>
      <c r="BC796">
        <f>IFERROR(INDEX(PP_Grid[#Data],$DE796,52),0)</f>
        <v/>
      </c>
      <c r="BD796">
        <f>IFERROR(INDEX(PP_Grid[#Data],$DE796,53),0)</f>
        <v/>
      </c>
      <c r="BE796">
        <f>IFERROR(INDEX(PP_Grid[#Data],$DE796,54),0)</f>
        <v/>
      </c>
      <c r="BF796">
        <f>IFERROR(INDEX(PP_Grid[#Data],$DE796,55),0)</f>
        <v/>
      </c>
      <c r="BG796">
        <f>IFERROR(INDEX(PP_Grid[#Data],$DE796,56),0)</f>
        <v/>
      </c>
      <c r="BH796">
        <f>IFERROR(INDEX(PP_Grid[#Data],$DE796,57),0)</f>
        <v/>
      </c>
      <c r="BI796">
        <f>IFERROR(INDEX(PP_Grid[#Data],$DE796,58),0)</f>
        <v/>
      </c>
      <c r="BJ796">
        <f>IFERROR(INDEX(PP_Grid[#Data],$DE796,59),0)</f>
        <v/>
      </c>
      <c r="BK796">
        <f>IFERROR(INDEX(PP_Grid[#Data],$DE796,60),0)</f>
        <v/>
      </c>
      <c r="BL796">
        <f>IFERROR(INDEX(PP_Grid[#Data],$DE796,61),0)</f>
        <v/>
      </c>
      <c r="BM796">
        <f>IFERROR(INDEX(PP_Grid[#Data],$DE796,62),0)</f>
        <v/>
      </c>
      <c r="BN796">
        <f>IFERROR(INDEX(PP_Grid[#Data],$DE796,63),0)</f>
        <v/>
      </c>
      <c r="BO796">
        <f>IFERROR(INDEX(PP_Grid[#Data],$DE796,64),0)</f>
        <v/>
      </c>
      <c r="BP796">
        <f>IFERROR(INDEX(PP_Grid[#Data],$DE796,65),0)</f>
        <v/>
      </c>
      <c r="BQ796">
        <f>IFERROR(INDEX(PP_Grid[#Data],$DE796,66),0)</f>
        <v/>
      </c>
      <c r="BR796">
        <f>IFERROR(INDEX(PP_Grid[#Data],$DE796,67),0)</f>
        <v/>
      </c>
      <c r="BS796">
        <f>IFERROR(INDEX(PP_Grid[#Data],$DE796,68),0)</f>
        <v/>
      </c>
      <c r="BT796">
        <f>IFERROR(INDEX(PP_Grid[#Data],$DE796,69),0)</f>
        <v/>
      </c>
      <c r="BU796">
        <f>IFERROR(INDEX(PP_Grid[#Data],$DE796,70),0)</f>
        <v/>
      </c>
      <c r="BV796">
        <f>IFERROR(INDEX(PP_Grid[#Data],$DE796,71),0)</f>
        <v/>
      </c>
      <c r="BW796">
        <f>IFERROR(INDEX(PP_Grid[#Data],$DE796,72),0)</f>
        <v/>
      </c>
      <c r="BX796">
        <f>IFERROR(INDEX(PP_Grid[#Data],$DE796,73),0)</f>
        <v/>
      </c>
      <c r="BY796">
        <f>IFERROR(INDEX(PP_Grid[#Data],$DE796,74),0)</f>
        <v/>
      </c>
      <c r="BZ796">
        <f>IFERROR(INDEX(PP_Grid[#Data],$DE796,75),0)</f>
        <v/>
      </c>
      <c r="CA796">
        <f>IFERROR(INDEX(PP_Grid[#Data],$DE796,76),0)</f>
        <v/>
      </c>
      <c r="CB796">
        <f>IFERROR(INDEX(PP_Grid[#Data],$DE796,77),0)</f>
        <v/>
      </c>
      <c r="CC796">
        <f>IFERROR(INDEX(PP_Grid[#Data],$DE796,78),0)</f>
        <v/>
      </c>
      <c r="CD796">
        <f>IFERROR(INDEX(PP_Grid[#Data],$DE796,79),0)</f>
        <v/>
      </c>
      <c r="CE796">
        <f>IFERROR(INDEX(PP_Grid[#Data],$DE796,80),0)</f>
        <v/>
      </c>
      <c r="CF796">
        <f>IFERROR(INDEX(PP_Grid[#Data],$DE796,81),0)</f>
        <v/>
      </c>
      <c r="CG796">
        <f>IFERROR(INDEX(PP_Grid[#Data],$DE796,82),0)</f>
        <v/>
      </c>
      <c r="CH796">
        <f>IFERROR(INDEX(PP_Grid[#Data],$DE796,83),0)</f>
        <v/>
      </c>
      <c r="CI796">
        <f>IFERROR(INDEX(PP_Grid[#Data],$DE796,84),0)</f>
        <v/>
      </c>
      <c r="CJ796">
        <f>IFERROR(INDEX(PP_Grid[#Data],$DE796,85),0)</f>
        <v/>
      </c>
      <c r="CK796">
        <f>IFERROR(INDEX(PP_Grid[#Data],$DE796,86),0)</f>
        <v/>
      </c>
      <c r="CL796">
        <f>IFERROR(INDEX(PP_Grid[#Data],$DE796,87),0)</f>
        <v/>
      </c>
      <c r="CM796">
        <f>IFERROR(INDEX(PP_Grid[#Data],$DE796,88),0)</f>
        <v/>
      </c>
      <c r="CN796">
        <f>IFERROR(INDEX(PP_Grid[#Data],$DE796,89),0)</f>
        <v/>
      </c>
      <c r="CO796">
        <f>IFERROR(INDEX(PP_Grid[#Data],$DE796,90),0)</f>
        <v/>
      </c>
      <c r="CP796">
        <f>IFERROR(INDEX(PP_Grid[#Data],$DE796,91),0)</f>
        <v/>
      </c>
      <c r="CQ796">
        <f>IFERROR(INDEX(PP_Grid[#Data],$DE796,92),0)</f>
        <v/>
      </c>
      <c r="CR796">
        <f>IFERROR(INDEX(PP_Grid[#Data],$DE796,93),0)</f>
        <v/>
      </c>
      <c r="CS796">
        <f>IFERROR(INDEX(PP_Grid[#Data],$DE796,94),0)</f>
        <v/>
      </c>
      <c r="CT796">
        <f>IFERROR(INDEX(PP_Grid[#Data],$DE796,95),0)</f>
        <v/>
      </c>
      <c r="CU796">
        <f>IFERROR(INDEX(PP_Grid[#Data],$DE796,96),0)</f>
        <v/>
      </c>
      <c r="CV796">
        <f>IFERROR(INDEX(PP_Grid[#Data],$DE796,97),0)</f>
        <v/>
      </c>
      <c r="CW796">
        <f>IFERROR(INDEX(PP_Grid[#Data],$DE796,98),0)</f>
        <v/>
      </c>
      <c r="CX796">
        <f>IFERROR(INDEX(PP_Grid[#Data],$DE796,99),0)</f>
        <v/>
      </c>
      <c r="CY796">
        <f>IFERROR(INDEX(PP_Grid[#Data],$DE796,100),0)</f>
        <v/>
      </c>
      <c r="CZ796">
        <f>IFERROR(INDEX(PP_Grid[#Data],$DE796,101),0)</f>
        <v/>
      </c>
      <c r="DA796">
        <f>IFERROR(INDEX(PP_Grid[#Data],$DE796,102),0)</f>
        <v/>
      </c>
      <c r="DB796">
        <f>IFERROR(INDEX(PP_Grid[#Data],$DE796,103),0)</f>
        <v/>
      </c>
      <c r="DC796">
        <f>IFERROR(INDEX(PP_Grid[#Data],$DE796,104),0)</f>
        <v/>
      </c>
      <c r="DD796">
        <f>IFERROR(INDEX(PP_Grid[#Data],$DE796,105),0)</f>
        <v/>
      </c>
      <c r="DE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SUMIFS(M_BOM[RM_Qty_Per_Batch],M_BOM[Intermediate],$B796,M_BOM[RM_Code],$A775)</f>
        <v/>
      </c>
      <c r="D797">
        <f>IFERROR(INDEX(E797:DD797,$F$1),"")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  <c r="DD797">
        <f>$C797*DD796</f>
        <v/>
      </c>
    </row>
    <row r="798">
      <c r="B798" t="inlineStr">
        <is>
          <t>TSP-1444</t>
        </is>
      </c>
      <c r="C798" t="inlineStr">
        <is>
          <t>No. of batches</t>
        </is>
      </c>
      <c r="D798">
        <f>IFERROR(INDEX(E798:DD798,$F$1),"")</f>
        <v/>
      </c>
      <c r="E798">
        <f>IFERROR(INDEX(PP_Grid[#Data],$DE798,2),0)</f>
        <v/>
      </c>
      <c r="F798">
        <f>IFERROR(INDEX(PP_Grid[#Data],$DE798,3),0)</f>
        <v/>
      </c>
      <c r="G798">
        <f>IFERROR(INDEX(PP_Grid[#Data],$DE798,4),0)</f>
        <v/>
      </c>
      <c r="H798">
        <f>IFERROR(INDEX(PP_Grid[#Data],$DE798,5),0)</f>
        <v/>
      </c>
      <c r="I798">
        <f>IFERROR(INDEX(PP_Grid[#Data],$DE798,6),0)</f>
        <v/>
      </c>
      <c r="J798">
        <f>IFERROR(INDEX(PP_Grid[#Data],$DE798,7),0)</f>
        <v/>
      </c>
      <c r="K798">
        <f>IFERROR(INDEX(PP_Grid[#Data],$DE798,8),0)</f>
        <v/>
      </c>
      <c r="L798">
        <f>IFERROR(INDEX(PP_Grid[#Data],$DE798,9),0)</f>
        <v/>
      </c>
      <c r="M798">
        <f>IFERROR(INDEX(PP_Grid[#Data],$DE798,10),0)</f>
        <v/>
      </c>
      <c r="N798">
        <f>IFERROR(INDEX(PP_Grid[#Data],$DE798,11),0)</f>
        <v/>
      </c>
      <c r="O798">
        <f>IFERROR(INDEX(PP_Grid[#Data],$DE798,12),0)</f>
        <v/>
      </c>
      <c r="P798">
        <f>IFERROR(INDEX(PP_Grid[#Data],$DE798,13),0)</f>
        <v/>
      </c>
      <c r="Q798">
        <f>IFERROR(INDEX(PP_Grid[#Data],$DE798,14),0)</f>
        <v/>
      </c>
      <c r="R798">
        <f>IFERROR(INDEX(PP_Grid[#Data],$DE798,15),0)</f>
        <v/>
      </c>
      <c r="S798">
        <f>IFERROR(INDEX(PP_Grid[#Data],$DE798,16),0)</f>
        <v/>
      </c>
      <c r="T798">
        <f>IFERROR(INDEX(PP_Grid[#Data],$DE798,17),0)</f>
        <v/>
      </c>
      <c r="U798">
        <f>IFERROR(INDEX(PP_Grid[#Data],$DE798,18),0)</f>
        <v/>
      </c>
      <c r="V798">
        <f>IFERROR(INDEX(PP_Grid[#Data],$DE798,19),0)</f>
        <v/>
      </c>
      <c r="W798">
        <f>IFERROR(INDEX(PP_Grid[#Data],$DE798,20),0)</f>
        <v/>
      </c>
      <c r="X798">
        <f>IFERROR(INDEX(PP_Grid[#Data],$DE798,21),0)</f>
        <v/>
      </c>
      <c r="Y798">
        <f>IFERROR(INDEX(PP_Grid[#Data],$DE798,22),0)</f>
        <v/>
      </c>
      <c r="Z798">
        <f>IFERROR(INDEX(PP_Grid[#Data],$DE798,23),0)</f>
        <v/>
      </c>
      <c r="AA798">
        <f>IFERROR(INDEX(PP_Grid[#Data],$DE798,24),0)</f>
        <v/>
      </c>
      <c r="AB798">
        <f>IFERROR(INDEX(PP_Grid[#Data],$DE798,25),0)</f>
        <v/>
      </c>
      <c r="AC798">
        <f>IFERROR(INDEX(PP_Grid[#Data],$DE798,26),0)</f>
        <v/>
      </c>
      <c r="AD798">
        <f>IFERROR(INDEX(PP_Grid[#Data],$DE798,27),0)</f>
        <v/>
      </c>
      <c r="AE798">
        <f>IFERROR(INDEX(PP_Grid[#Data],$DE798,28),0)</f>
        <v/>
      </c>
      <c r="AF798">
        <f>IFERROR(INDEX(PP_Grid[#Data],$DE798,29),0)</f>
        <v/>
      </c>
      <c r="AG798">
        <f>IFERROR(INDEX(PP_Grid[#Data],$DE798,30),0)</f>
        <v/>
      </c>
      <c r="AH798">
        <f>IFERROR(INDEX(PP_Grid[#Data],$DE798,31),0)</f>
        <v/>
      </c>
      <c r="AI798">
        <f>IFERROR(INDEX(PP_Grid[#Data],$DE798,32),0)</f>
        <v/>
      </c>
      <c r="AJ798">
        <f>IFERROR(INDEX(PP_Grid[#Data],$DE798,33),0)</f>
        <v/>
      </c>
      <c r="AK798">
        <f>IFERROR(INDEX(PP_Grid[#Data],$DE798,34),0)</f>
        <v/>
      </c>
      <c r="AL798">
        <f>IFERROR(INDEX(PP_Grid[#Data],$DE798,35),0)</f>
        <v/>
      </c>
      <c r="AM798">
        <f>IFERROR(INDEX(PP_Grid[#Data],$DE798,36),0)</f>
        <v/>
      </c>
      <c r="AN798">
        <f>IFERROR(INDEX(PP_Grid[#Data],$DE798,37),0)</f>
        <v/>
      </c>
      <c r="AO798">
        <f>IFERROR(INDEX(PP_Grid[#Data],$DE798,38),0)</f>
        <v/>
      </c>
      <c r="AP798">
        <f>IFERROR(INDEX(PP_Grid[#Data],$DE798,39),0)</f>
        <v/>
      </c>
      <c r="AQ798">
        <f>IFERROR(INDEX(PP_Grid[#Data],$DE798,40),0)</f>
        <v/>
      </c>
      <c r="AR798">
        <f>IFERROR(INDEX(PP_Grid[#Data],$DE798,41),0)</f>
        <v/>
      </c>
      <c r="AS798">
        <f>IFERROR(INDEX(PP_Grid[#Data],$DE798,42),0)</f>
        <v/>
      </c>
      <c r="AT798">
        <f>IFERROR(INDEX(PP_Grid[#Data],$DE798,43),0)</f>
        <v/>
      </c>
      <c r="AU798">
        <f>IFERROR(INDEX(PP_Grid[#Data],$DE798,44),0)</f>
        <v/>
      </c>
      <c r="AV798">
        <f>IFERROR(INDEX(PP_Grid[#Data],$DE798,45),0)</f>
        <v/>
      </c>
      <c r="AW798">
        <f>IFERROR(INDEX(PP_Grid[#Data],$DE798,46),0)</f>
        <v/>
      </c>
      <c r="AX798">
        <f>IFERROR(INDEX(PP_Grid[#Data],$DE798,47),0)</f>
        <v/>
      </c>
      <c r="AY798">
        <f>IFERROR(INDEX(PP_Grid[#Data],$DE798,48),0)</f>
        <v/>
      </c>
      <c r="AZ798">
        <f>IFERROR(INDEX(PP_Grid[#Data],$DE798,49),0)</f>
        <v/>
      </c>
      <c r="BA798">
        <f>IFERROR(INDEX(PP_Grid[#Data],$DE798,50),0)</f>
        <v/>
      </c>
      <c r="BB798">
        <f>IFERROR(INDEX(PP_Grid[#Data],$DE798,51),0)</f>
        <v/>
      </c>
      <c r="BC798">
        <f>IFERROR(INDEX(PP_Grid[#Data],$DE798,52),0)</f>
        <v/>
      </c>
      <c r="BD798">
        <f>IFERROR(INDEX(PP_Grid[#Data],$DE798,53),0)</f>
        <v/>
      </c>
      <c r="BE798">
        <f>IFERROR(INDEX(PP_Grid[#Data],$DE798,54),0)</f>
        <v/>
      </c>
      <c r="BF798">
        <f>IFERROR(INDEX(PP_Grid[#Data],$DE798,55),0)</f>
        <v/>
      </c>
      <c r="BG798">
        <f>IFERROR(INDEX(PP_Grid[#Data],$DE798,56),0)</f>
        <v/>
      </c>
      <c r="BH798">
        <f>IFERROR(INDEX(PP_Grid[#Data],$DE798,57),0)</f>
        <v/>
      </c>
      <c r="BI798">
        <f>IFERROR(INDEX(PP_Grid[#Data],$DE798,58),0)</f>
        <v/>
      </c>
      <c r="BJ798">
        <f>IFERROR(INDEX(PP_Grid[#Data],$DE798,59),0)</f>
        <v/>
      </c>
      <c r="BK798">
        <f>IFERROR(INDEX(PP_Grid[#Data],$DE798,60),0)</f>
        <v/>
      </c>
      <c r="BL798">
        <f>IFERROR(INDEX(PP_Grid[#Data],$DE798,61),0)</f>
        <v/>
      </c>
      <c r="BM798">
        <f>IFERROR(INDEX(PP_Grid[#Data],$DE798,62),0)</f>
        <v/>
      </c>
      <c r="BN798">
        <f>IFERROR(INDEX(PP_Grid[#Data],$DE798,63),0)</f>
        <v/>
      </c>
      <c r="BO798">
        <f>IFERROR(INDEX(PP_Grid[#Data],$DE798,64),0)</f>
        <v/>
      </c>
      <c r="BP798">
        <f>IFERROR(INDEX(PP_Grid[#Data],$DE798,65),0)</f>
        <v/>
      </c>
      <c r="BQ798">
        <f>IFERROR(INDEX(PP_Grid[#Data],$DE798,66),0)</f>
        <v/>
      </c>
      <c r="BR798">
        <f>IFERROR(INDEX(PP_Grid[#Data],$DE798,67),0)</f>
        <v/>
      </c>
      <c r="BS798">
        <f>IFERROR(INDEX(PP_Grid[#Data],$DE798,68),0)</f>
        <v/>
      </c>
      <c r="BT798">
        <f>IFERROR(INDEX(PP_Grid[#Data],$DE798,69),0)</f>
        <v/>
      </c>
      <c r="BU798">
        <f>IFERROR(INDEX(PP_Grid[#Data],$DE798,70),0)</f>
        <v/>
      </c>
      <c r="BV798">
        <f>IFERROR(INDEX(PP_Grid[#Data],$DE798,71),0)</f>
        <v/>
      </c>
      <c r="BW798">
        <f>IFERROR(INDEX(PP_Grid[#Data],$DE798,72),0)</f>
        <v/>
      </c>
      <c r="BX798">
        <f>IFERROR(INDEX(PP_Grid[#Data],$DE798,73),0)</f>
        <v/>
      </c>
      <c r="BY798">
        <f>IFERROR(INDEX(PP_Grid[#Data],$DE798,74),0)</f>
        <v/>
      </c>
      <c r="BZ798">
        <f>IFERROR(INDEX(PP_Grid[#Data],$DE798,75),0)</f>
        <v/>
      </c>
      <c r="CA798">
        <f>IFERROR(INDEX(PP_Grid[#Data],$DE798,76),0)</f>
        <v/>
      </c>
      <c r="CB798">
        <f>IFERROR(INDEX(PP_Grid[#Data],$DE798,77),0)</f>
        <v/>
      </c>
      <c r="CC798">
        <f>IFERROR(INDEX(PP_Grid[#Data],$DE798,78),0)</f>
        <v/>
      </c>
      <c r="CD798">
        <f>IFERROR(INDEX(PP_Grid[#Data],$DE798,79),0)</f>
        <v/>
      </c>
      <c r="CE798">
        <f>IFERROR(INDEX(PP_Grid[#Data],$DE798,80),0)</f>
        <v/>
      </c>
      <c r="CF798">
        <f>IFERROR(INDEX(PP_Grid[#Data],$DE798,81),0)</f>
        <v/>
      </c>
      <c r="CG798">
        <f>IFERROR(INDEX(PP_Grid[#Data],$DE798,82),0)</f>
        <v/>
      </c>
      <c r="CH798">
        <f>IFERROR(INDEX(PP_Grid[#Data],$DE798,83),0)</f>
        <v/>
      </c>
      <c r="CI798">
        <f>IFERROR(INDEX(PP_Grid[#Data],$DE798,84),0)</f>
        <v/>
      </c>
      <c r="CJ798">
        <f>IFERROR(INDEX(PP_Grid[#Data],$DE798,85),0)</f>
        <v/>
      </c>
      <c r="CK798">
        <f>IFERROR(INDEX(PP_Grid[#Data],$DE798,86),0)</f>
        <v/>
      </c>
      <c r="CL798">
        <f>IFERROR(INDEX(PP_Grid[#Data],$DE798,87),0)</f>
        <v/>
      </c>
      <c r="CM798">
        <f>IFERROR(INDEX(PP_Grid[#Data],$DE798,88),0)</f>
        <v/>
      </c>
      <c r="CN798">
        <f>IFERROR(INDEX(PP_Grid[#Data],$DE798,89),0)</f>
        <v/>
      </c>
      <c r="CO798">
        <f>IFERROR(INDEX(PP_Grid[#Data],$DE798,90),0)</f>
        <v/>
      </c>
      <c r="CP798">
        <f>IFERROR(INDEX(PP_Grid[#Data],$DE798,91),0)</f>
        <v/>
      </c>
      <c r="CQ798">
        <f>IFERROR(INDEX(PP_Grid[#Data],$DE798,92),0)</f>
        <v/>
      </c>
      <c r="CR798">
        <f>IFERROR(INDEX(PP_Grid[#Data],$DE798,93),0)</f>
        <v/>
      </c>
      <c r="CS798">
        <f>IFERROR(INDEX(PP_Grid[#Data],$DE798,94),0)</f>
        <v/>
      </c>
      <c r="CT798">
        <f>IFERROR(INDEX(PP_Grid[#Data],$DE798,95),0)</f>
        <v/>
      </c>
      <c r="CU798">
        <f>IFERROR(INDEX(PP_Grid[#Data],$DE798,96),0)</f>
        <v/>
      </c>
      <c r="CV798">
        <f>IFERROR(INDEX(PP_Grid[#Data],$DE798,97),0)</f>
        <v/>
      </c>
      <c r="CW798">
        <f>IFERROR(INDEX(PP_Grid[#Data],$DE798,98),0)</f>
        <v/>
      </c>
      <c r="CX798">
        <f>IFERROR(INDEX(PP_Grid[#Data],$DE798,99),0)</f>
        <v/>
      </c>
      <c r="CY798">
        <f>IFERROR(INDEX(PP_Grid[#Data],$DE798,100),0)</f>
        <v/>
      </c>
      <c r="CZ798">
        <f>IFERROR(INDEX(PP_Grid[#Data],$DE798,101),0)</f>
        <v/>
      </c>
      <c r="DA798">
        <f>IFERROR(INDEX(PP_Grid[#Data],$DE798,102),0)</f>
        <v/>
      </c>
      <c r="DB798">
        <f>IFERROR(INDEX(PP_Grid[#Data],$DE798,103),0)</f>
        <v/>
      </c>
      <c r="DC798">
        <f>IFERROR(INDEX(PP_Grid[#Data],$DE798,104),0)</f>
        <v/>
      </c>
      <c r="DD798">
        <f>IFERROR(INDEX(PP_Grid[#Data],$DE798,105),0)</f>
        <v/>
      </c>
      <c r="DE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SUMIFS(M_BOM[RM_Qty_Per_Batch],M_BOM[Intermediate],$B798,M_BOM[RM_Code],$A775)</f>
        <v/>
      </c>
      <c r="D799">
        <f>IFERROR(INDEX(E799:DD799,$F$1),"")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  <c r="DD799">
        <f>$C799*DD798</f>
        <v/>
      </c>
    </row>
    <row r="800">
      <c r="B800" t="inlineStr">
        <is>
          <t>TSP-1445</t>
        </is>
      </c>
      <c r="C800" t="inlineStr">
        <is>
          <t>No. of batches</t>
        </is>
      </c>
      <c r="D800">
        <f>IFERROR(INDEX(E800:DD800,$F$1),"")</f>
        <v/>
      </c>
      <c r="E800">
        <f>IFERROR(INDEX(PP_Grid[#Data],$DE800,2),0)</f>
        <v/>
      </c>
      <c r="F800">
        <f>IFERROR(INDEX(PP_Grid[#Data],$DE800,3),0)</f>
        <v/>
      </c>
      <c r="G800">
        <f>IFERROR(INDEX(PP_Grid[#Data],$DE800,4),0)</f>
        <v/>
      </c>
      <c r="H800">
        <f>IFERROR(INDEX(PP_Grid[#Data],$DE800,5),0)</f>
        <v/>
      </c>
      <c r="I800">
        <f>IFERROR(INDEX(PP_Grid[#Data],$DE800,6),0)</f>
        <v/>
      </c>
      <c r="J800">
        <f>IFERROR(INDEX(PP_Grid[#Data],$DE800,7),0)</f>
        <v/>
      </c>
      <c r="K800">
        <f>IFERROR(INDEX(PP_Grid[#Data],$DE800,8),0)</f>
        <v/>
      </c>
      <c r="L800">
        <f>IFERROR(INDEX(PP_Grid[#Data],$DE800,9),0)</f>
        <v/>
      </c>
      <c r="M800">
        <f>IFERROR(INDEX(PP_Grid[#Data],$DE800,10),0)</f>
        <v/>
      </c>
      <c r="N800">
        <f>IFERROR(INDEX(PP_Grid[#Data],$DE800,11),0)</f>
        <v/>
      </c>
      <c r="O800">
        <f>IFERROR(INDEX(PP_Grid[#Data],$DE800,12),0)</f>
        <v/>
      </c>
      <c r="P800">
        <f>IFERROR(INDEX(PP_Grid[#Data],$DE800,13),0)</f>
        <v/>
      </c>
      <c r="Q800">
        <f>IFERROR(INDEX(PP_Grid[#Data],$DE800,14),0)</f>
        <v/>
      </c>
      <c r="R800">
        <f>IFERROR(INDEX(PP_Grid[#Data],$DE800,15),0)</f>
        <v/>
      </c>
      <c r="S800">
        <f>IFERROR(INDEX(PP_Grid[#Data],$DE800,16),0)</f>
        <v/>
      </c>
      <c r="T800">
        <f>IFERROR(INDEX(PP_Grid[#Data],$DE800,17),0)</f>
        <v/>
      </c>
      <c r="U800">
        <f>IFERROR(INDEX(PP_Grid[#Data],$DE800,18),0)</f>
        <v/>
      </c>
      <c r="V800">
        <f>IFERROR(INDEX(PP_Grid[#Data],$DE800,19),0)</f>
        <v/>
      </c>
      <c r="W800">
        <f>IFERROR(INDEX(PP_Grid[#Data],$DE800,20),0)</f>
        <v/>
      </c>
      <c r="X800">
        <f>IFERROR(INDEX(PP_Grid[#Data],$DE800,21),0)</f>
        <v/>
      </c>
      <c r="Y800">
        <f>IFERROR(INDEX(PP_Grid[#Data],$DE800,22),0)</f>
        <v/>
      </c>
      <c r="Z800">
        <f>IFERROR(INDEX(PP_Grid[#Data],$DE800,23),0)</f>
        <v/>
      </c>
      <c r="AA800">
        <f>IFERROR(INDEX(PP_Grid[#Data],$DE800,24),0)</f>
        <v/>
      </c>
      <c r="AB800">
        <f>IFERROR(INDEX(PP_Grid[#Data],$DE800,25),0)</f>
        <v/>
      </c>
      <c r="AC800">
        <f>IFERROR(INDEX(PP_Grid[#Data],$DE800,26),0)</f>
        <v/>
      </c>
      <c r="AD800">
        <f>IFERROR(INDEX(PP_Grid[#Data],$DE800,27),0)</f>
        <v/>
      </c>
      <c r="AE800">
        <f>IFERROR(INDEX(PP_Grid[#Data],$DE800,28),0)</f>
        <v/>
      </c>
      <c r="AF800">
        <f>IFERROR(INDEX(PP_Grid[#Data],$DE800,29),0)</f>
        <v/>
      </c>
      <c r="AG800">
        <f>IFERROR(INDEX(PP_Grid[#Data],$DE800,30),0)</f>
        <v/>
      </c>
      <c r="AH800">
        <f>IFERROR(INDEX(PP_Grid[#Data],$DE800,31),0)</f>
        <v/>
      </c>
      <c r="AI800">
        <f>IFERROR(INDEX(PP_Grid[#Data],$DE800,32),0)</f>
        <v/>
      </c>
      <c r="AJ800">
        <f>IFERROR(INDEX(PP_Grid[#Data],$DE800,33),0)</f>
        <v/>
      </c>
      <c r="AK800">
        <f>IFERROR(INDEX(PP_Grid[#Data],$DE800,34),0)</f>
        <v/>
      </c>
      <c r="AL800">
        <f>IFERROR(INDEX(PP_Grid[#Data],$DE800,35),0)</f>
        <v/>
      </c>
      <c r="AM800">
        <f>IFERROR(INDEX(PP_Grid[#Data],$DE800,36),0)</f>
        <v/>
      </c>
      <c r="AN800">
        <f>IFERROR(INDEX(PP_Grid[#Data],$DE800,37),0)</f>
        <v/>
      </c>
      <c r="AO800">
        <f>IFERROR(INDEX(PP_Grid[#Data],$DE800,38),0)</f>
        <v/>
      </c>
      <c r="AP800">
        <f>IFERROR(INDEX(PP_Grid[#Data],$DE800,39),0)</f>
        <v/>
      </c>
      <c r="AQ800">
        <f>IFERROR(INDEX(PP_Grid[#Data],$DE800,40),0)</f>
        <v/>
      </c>
      <c r="AR800">
        <f>IFERROR(INDEX(PP_Grid[#Data],$DE800,41),0)</f>
        <v/>
      </c>
      <c r="AS800">
        <f>IFERROR(INDEX(PP_Grid[#Data],$DE800,42),0)</f>
        <v/>
      </c>
      <c r="AT800">
        <f>IFERROR(INDEX(PP_Grid[#Data],$DE800,43),0)</f>
        <v/>
      </c>
      <c r="AU800">
        <f>IFERROR(INDEX(PP_Grid[#Data],$DE800,44),0)</f>
        <v/>
      </c>
      <c r="AV800">
        <f>IFERROR(INDEX(PP_Grid[#Data],$DE800,45),0)</f>
        <v/>
      </c>
      <c r="AW800">
        <f>IFERROR(INDEX(PP_Grid[#Data],$DE800,46),0)</f>
        <v/>
      </c>
      <c r="AX800">
        <f>IFERROR(INDEX(PP_Grid[#Data],$DE800,47),0)</f>
        <v/>
      </c>
      <c r="AY800">
        <f>IFERROR(INDEX(PP_Grid[#Data],$DE800,48),0)</f>
        <v/>
      </c>
      <c r="AZ800">
        <f>IFERROR(INDEX(PP_Grid[#Data],$DE800,49),0)</f>
        <v/>
      </c>
      <c r="BA800">
        <f>IFERROR(INDEX(PP_Grid[#Data],$DE800,50),0)</f>
        <v/>
      </c>
      <c r="BB800">
        <f>IFERROR(INDEX(PP_Grid[#Data],$DE800,51),0)</f>
        <v/>
      </c>
      <c r="BC800">
        <f>IFERROR(INDEX(PP_Grid[#Data],$DE800,52),0)</f>
        <v/>
      </c>
      <c r="BD800">
        <f>IFERROR(INDEX(PP_Grid[#Data],$DE800,53),0)</f>
        <v/>
      </c>
      <c r="BE800">
        <f>IFERROR(INDEX(PP_Grid[#Data],$DE800,54),0)</f>
        <v/>
      </c>
      <c r="BF800">
        <f>IFERROR(INDEX(PP_Grid[#Data],$DE800,55),0)</f>
        <v/>
      </c>
      <c r="BG800">
        <f>IFERROR(INDEX(PP_Grid[#Data],$DE800,56),0)</f>
        <v/>
      </c>
      <c r="BH800">
        <f>IFERROR(INDEX(PP_Grid[#Data],$DE800,57),0)</f>
        <v/>
      </c>
      <c r="BI800">
        <f>IFERROR(INDEX(PP_Grid[#Data],$DE800,58),0)</f>
        <v/>
      </c>
      <c r="BJ800">
        <f>IFERROR(INDEX(PP_Grid[#Data],$DE800,59),0)</f>
        <v/>
      </c>
      <c r="BK800">
        <f>IFERROR(INDEX(PP_Grid[#Data],$DE800,60),0)</f>
        <v/>
      </c>
      <c r="BL800">
        <f>IFERROR(INDEX(PP_Grid[#Data],$DE800,61),0)</f>
        <v/>
      </c>
      <c r="BM800">
        <f>IFERROR(INDEX(PP_Grid[#Data],$DE800,62),0)</f>
        <v/>
      </c>
      <c r="BN800">
        <f>IFERROR(INDEX(PP_Grid[#Data],$DE800,63),0)</f>
        <v/>
      </c>
      <c r="BO800">
        <f>IFERROR(INDEX(PP_Grid[#Data],$DE800,64),0)</f>
        <v/>
      </c>
      <c r="BP800">
        <f>IFERROR(INDEX(PP_Grid[#Data],$DE800,65),0)</f>
        <v/>
      </c>
      <c r="BQ800">
        <f>IFERROR(INDEX(PP_Grid[#Data],$DE800,66),0)</f>
        <v/>
      </c>
      <c r="BR800">
        <f>IFERROR(INDEX(PP_Grid[#Data],$DE800,67),0)</f>
        <v/>
      </c>
      <c r="BS800">
        <f>IFERROR(INDEX(PP_Grid[#Data],$DE800,68),0)</f>
        <v/>
      </c>
      <c r="BT800">
        <f>IFERROR(INDEX(PP_Grid[#Data],$DE800,69),0)</f>
        <v/>
      </c>
      <c r="BU800">
        <f>IFERROR(INDEX(PP_Grid[#Data],$DE800,70),0)</f>
        <v/>
      </c>
      <c r="BV800">
        <f>IFERROR(INDEX(PP_Grid[#Data],$DE800,71),0)</f>
        <v/>
      </c>
      <c r="BW800">
        <f>IFERROR(INDEX(PP_Grid[#Data],$DE800,72),0)</f>
        <v/>
      </c>
      <c r="BX800">
        <f>IFERROR(INDEX(PP_Grid[#Data],$DE800,73),0)</f>
        <v/>
      </c>
      <c r="BY800">
        <f>IFERROR(INDEX(PP_Grid[#Data],$DE800,74),0)</f>
        <v/>
      </c>
      <c r="BZ800">
        <f>IFERROR(INDEX(PP_Grid[#Data],$DE800,75),0)</f>
        <v/>
      </c>
      <c r="CA800">
        <f>IFERROR(INDEX(PP_Grid[#Data],$DE800,76),0)</f>
        <v/>
      </c>
      <c r="CB800">
        <f>IFERROR(INDEX(PP_Grid[#Data],$DE800,77),0)</f>
        <v/>
      </c>
      <c r="CC800">
        <f>IFERROR(INDEX(PP_Grid[#Data],$DE800,78),0)</f>
        <v/>
      </c>
      <c r="CD800">
        <f>IFERROR(INDEX(PP_Grid[#Data],$DE800,79),0)</f>
        <v/>
      </c>
      <c r="CE800">
        <f>IFERROR(INDEX(PP_Grid[#Data],$DE800,80),0)</f>
        <v/>
      </c>
      <c r="CF800">
        <f>IFERROR(INDEX(PP_Grid[#Data],$DE800,81),0)</f>
        <v/>
      </c>
      <c r="CG800">
        <f>IFERROR(INDEX(PP_Grid[#Data],$DE800,82),0)</f>
        <v/>
      </c>
      <c r="CH800">
        <f>IFERROR(INDEX(PP_Grid[#Data],$DE800,83),0)</f>
        <v/>
      </c>
      <c r="CI800">
        <f>IFERROR(INDEX(PP_Grid[#Data],$DE800,84),0)</f>
        <v/>
      </c>
      <c r="CJ800">
        <f>IFERROR(INDEX(PP_Grid[#Data],$DE800,85),0)</f>
        <v/>
      </c>
      <c r="CK800">
        <f>IFERROR(INDEX(PP_Grid[#Data],$DE800,86),0)</f>
        <v/>
      </c>
      <c r="CL800">
        <f>IFERROR(INDEX(PP_Grid[#Data],$DE800,87),0)</f>
        <v/>
      </c>
      <c r="CM800">
        <f>IFERROR(INDEX(PP_Grid[#Data],$DE800,88),0)</f>
        <v/>
      </c>
      <c r="CN800">
        <f>IFERROR(INDEX(PP_Grid[#Data],$DE800,89),0)</f>
        <v/>
      </c>
      <c r="CO800">
        <f>IFERROR(INDEX(PP_Grid[#Data],$DE800,90),0)</f>
        <v/>
      </c>
      <c r="CP800">
        <f>IFERROR(INDEX(PP_Grid[#Data],$DE800,91),0)</f>
        <v/>
      </c>
      <c r="CQ800">
        <f>IFERROR(INDEX(PP_Grid[#Data],$DE800,92),0)</f>
        <v/>
      </c>
      <c r="CR800">
        <f>IFERROR(INDEX(PP_Grid[#Data],$DE800,93),0)</f>
        <v/>
      </c>
      <c r="CS800">
        <f>IFERROR(INDEX(PP_Grid[#Data],$DE800,94),0)</f>
        <v/>
      </c>
      <c r="CT800">
        <f>IFERROR(INDEX(PP_Grid[#Data],$DE800,95),0)</f>
        <v/>
      </c>
      <c r="CU800">
        <f>IFERROR(INDEX(PP_Grid[#Data],$DE800,96),0)</f>
        <v/>
      </c>
      <c r="CV800">
        <f>IFERROR(INDEX(PP_Grid[#Data],$DE800,97),0)</f>
        <v/>
      </c>
      <c r="CW800">
        <f>IFERROR(INDEX(PP_Grid[#Data],$DE800,98),0)</f>
        <v/>
      </c>
      <c r="CX800">
        <f>IFERROR(INDEX(PP_Grid[#Data],$DE800,99),0)</f>
        <v/>
      </c>
      <c r="CY800">
        <f>IFERROR(INDEX(PP_Grid[#Data],$DE800,100),0)</f>
        <v/>
      </c>
      <c r="CZ800">
        <f>IFERROR(INDEX(PP_Grid[#Data],$DE800,101),0)</f>
        <v/>
      </c>
      <c r="DA800">
        <f>IFERROR(INDEX(PP_Grid[#Data],$DE800,102),0)</f>
        <v/>
      </c>
      <c r="DB800">
        <f>IFERROR(INDEX(PP_Grid[#Data],$DE800,103),0)</f>
        <v/>
      </c>
      <c r="DC800">
        <f>IFERROR(INDEX(PP_Grid[#Data],$DE800,104),0)</f>
        <v/>
      </c>
      <c r="DD800">
        <f>IFERROR(INDEX(PP_Grid[#Data],$DE800,105),0)</f>
        <v/>
      </c>
      <c r="DE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SUMIFS(M_BOM[RM_Qty_Per_Batch],M_BOM[Intermediate],$B800,M_BOM[RM_Code],$A775)</f>
        <v/>
      </c>
      <c r="D801">
        <f>IFERROR(INDEX(E801:DD801,$F$1),"")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  <c r="DD801">
        <f>$C801*DD800</f>
        <v/>
      </c>
    </row>
    <row r="802">
      <c r="B802" t="inlineStr">
        <is>
          <t>TSP-1446</t>
        </is>
      </c>
      <c r="C802" t="inlineStr">
        <is>
          <t>No. of batches</t>
        </is>
      </c>
      <c r="D802">
        <f>IFERROR(INDEX(E802:DD802,$F$1),"")</f>
        <v/>
      </c>
      <c r="E802">
        <f>IFERROR(INDEX(PP_Grid[#Data],$DE802,2),0)</f>
        <v/>
      </c>
      <c r="F802">
        <f>IFERROR(INDEX(PP_Grid[#Data],$DE802,3),0)</f>
        <v/>
      </c>
      <c r="G802">
        <f>IFERROR(INDEX(PP_Grid[#Data],$DE802,4),0)</f>
        <v/>
      </c>
      <c r="H802">
        <f>IFERROR(INDEX(PP_Grid[#Data],$DE802,5),0)</f>
        <v/>
      </c>
      <c r="I802">
        <f>IFERROR(INDEX(PP_Grid[#Data],$DE802,6),0)</f>
        <v/>
      </c>
      <c r="J802">
        <f>IFERROR(INDEX(PP_Grid[#Data],$DE802,7),0)</f>
        <v/>
      </c>
      <c r="K802">
        <f>IFERROR(INDEX(PP_Grid[#Data],$DE802,8),0)</f>
        <v/>
      </c>
      <c r="L802">
        <f>IFERROR(INDEX(PP_Grid[#Data],$DE802,9),0)</f>
        <v/>
      </c>
      <c r="M802">
        <f>IFERROR(INDEX(PP_Grid[#Data],$DE802,10),0)</f>
        <v/>
      </c>
      <c r="N802">
        <f>IFERROR(INDEX(PP_Grid[#Data],$DE802,11),0)</f>
        <v/>
      </c>
      <c r="O802">
        <f>IFERROR(INDEX(PP_Grid[#Data],$DE802,12),0)</f>
        <v/>
      </c>
      <c r="P802">
        <f>IFERROR(INDEX(PP_Grid[#Data],$DE802,13),0)</f>
        <v/>
      </c>
      <c r="Q802">
        <f>IFERROR(INDEX(PP_Grid[#Data],$DE802,14),0)</f>
        <v/>
      </c>
      <c r="R802">
        <f>IFERROR(INDEX(PP_Grid[#Data],$DE802,15),0)</f>
        <v/>
      </c>
      <c r="S802">
        <f>IFERROR(INDEX(PP_Grid[#Data],$DE802,16),0)</f>
        <v/>
      </c>
      <c r="T802">
        <f>IFERROR(INDEX(PP_Grid[#Data],$DE802,17),0)</f>
        <v/>
      </c>
      <c r="U802">
        <f>IFERROR(INDEX(PP_Grid[#Data],$DE802,18),0)</f>
        <v/>
      </c>
      <c r="V802">
        <f>IFERROR(INDEX(PP_Grid[#Data],$DE802,19),0)</f>
        <v/>
      </c>
      <c r="W802">
        <f>IFERROR(INDEX(PP_Grid[#Data],$DE802,20),0)</f>
        <v/>
      </c>
      <c r="X802">
        <f>IFERROR(INDEX(PP_Grid[#Data],$DE802,21),0)</f>
        <v/>
      </c>
      <c r="Y802">
        <f>IFERROR(INDEX(PP_Grid[#Data],$DE802,22),0)</f>
        <v/>
      </c>
      <c r="Z802">
        <f>IFERROR(INDEX(PP_Grid[#Data],$DE802,23),0)</f>
        <v/>
      </c>
      <c r="AA802">
        <f>IFERROR(INDEX(PP_Grid[#Data],$DE802,24),0)</f>
        <v/>
      </c>
      <c r="AB802">
        <f>IFERROR(INDEX(PP_Grid[#Data],$DE802,25),0)</f>
        <v/>
      </c>
      <c r="AC802">
        <f>IFERROR(INDEX(PP_Grid[#Data],$DE802,26),0)</f>
        <v/>
      </c>
      <c r="AD802">
        <f>IFERROR(INDEX(PP_Grid[#Data],$DE802,27),0)</f>
        <v/>
      </c>
      <c r="AE802">
        <f>IFERROR(INDEX(PP_Grid[#Data],$DE802,28),0)</f>
        <v/>
      </c>
      <c r="AF802">
        <f>IFERROR(INDEX(PP_Grid[#Data],$DE802,29),0)</f>
        <v/>
      </c>
      <c r="AG802">
        <f>IFERROR(INDEX(PP_Grid[#Data],$DE802,30),0)</f>
        <v/>
      </c>
      <c r="AH802">
        <f>IFERROR(INDEX(PP_Grid[#Data],$DE802,31),0)</f>
        <v/>
      </c>
      <c r="AI802">
        <f>IFERROR(INDEX(PP_Grid[#Data],$DE802,32),0)</f>
        <v/>
      </c>
      <c r="AJ802">
        <f>IFERROR(INDEX(PP_Grid[#Data],$DE802,33),0)</f>
        <v/>
      </c>
      <c r="AK802">
        <f>IFERROR(INDEX(PP_Grid[#Data],$DE802,34),0)</f>
        <v/>
      </c>
      <c r="AL802">
        <f>IFERROR(INDEX(PP_Grid[#Data],$DE802,35),0)</f>
        <v/>
      </c>
      <c r="AM802">
        <f>IFERROR(INDEX(PP_Grid[#Data],$DE802,36),0)</f>
        <v/>
      </c>
      <c r="AN802">
        <f>IFERROR(INDEX(PP_Grid[#Data],$DE802,37),0)</f>
        <v/>
      </c>
      <c r="AO802">
        <f>IFERROR(INDEX(PP_Grid[#Data],$DE802,38),0)</f>
        <v/>
      </c>
      <c r="AP802">
        <f>IFERROR(INDEX(PP_Grid[#Data],$DE802,39),0)</f>
        <v/>
      </c>
      <c r="AQ802">
        <f>IFERROR(INDEX(PP_Grid[#Data],$DE802,40),0)</f>
        <v/>
      </c>
      <c r="AR802">
        <f>IFERROR(INDEX(PP_Grid[#Data],$DE802,41),0)</f>
        <v/>
      </c>
      <c r="AS802">
        <f>IFERROR(INDEX(PP_Grid[#Data],$DE802,42),0)</f>
        <v/>
      </c>
      <c r="AT802">
        <f>IFERROR(INDEX(PP_Grid[#Data],$DE802,43),0)</f>
        <v/>
      </c>
      <c r="AU802">
        <f>IFERROR(INDEX(PP_Grid[#Data],$DE802,44),0)</f>
        <v/>
      </c>
      <c r="AV802">
        <f>IFERROR(INDEX(PP_Grid[#Data],$DE802,45),0)</f>
        <v/>
      </c>
      <c r="AW802">
        <f>IFERROR(INDEX(PP_Grid[#Data],$DE802,46),0)</f>
        <v/>
      </c>
      <c r="AX802">
        <f>IFERROR(INDEX(PP_Grid[#Data],$DE802,47),0)</f>
        <v/>
      </c>
      <c r="AY802">
        <f>IFERROR(INDEX(PP_Grid[#Data],$DE802,48),0)</f>
        <v/>
      </c>
      <c r="AZ802">
        <f>IFERROR(INDEX(PP_Grid[#Data],$DE802,49),0)</f>
        <v/>
      </c>
      <c r="BA802">
        <f>IFERROR(INDEX(PP_Grid[#Data],$DE802,50),0)</f>
        <v/>
      </c>
      <c r="BB802">
        <f>IFERROR(INDEX(PP_Grid[#Data],$DE802,51),0)</f>
        <v/>
      </c>
      <c r="BC802">
        <f>IFERROR(INDEX(PP_Grid[#Data],$DE802,52),0)</f>
        <v/>
      </c>
      <c r="BD802">
        <f>IFERROR(INDEX(PP_Grid[#Data],$DE802,53),0)</f>
        <v/>
      </c>
      <c r="BE802">
        <f>IFERROR(INDEX(PP_Grid[#Data],$DE802,54),0)</f>
        <v/>
      </c>
      <c r="BF802">
        <f>IFERROR(INDEX(PP_Grid[#Data],$DE802,55),0)</f>
        <v/>
      </c>
      <c r="BG802">
        <f>IFERROR(INDEX(PP_Grid[#Data],$DE802,56),0)</f>
        <v/>
      </c>
      <c r="BH802">
        <f>IFERROR(INDEX(PP_Grid[#Data],$DE802,57),0)</f>
        <v/>
      </c>
      <c r="BI802">
        <f>IFERROR(INDEX(PP_Grid[#Data],$DE802,58),0)</f>
        <v/>
      </c>
      <c r="BJ802">
        <f>IFERROR(INDEX(PP_Grid[#Data],$DE802,59),0)</f>
        <v/>
      </c>
      <c r="BK802">
        <f>IFERROR(INDEX(PP_Grid[#Data],$DE802,60),0)</f>
        <v/>
      </c>
      <c r="BL802">
        <f>IFERROR(INDEX(PP_Grid[#Data],$DE802,61),0)</f>
        <v/>
      </c>
      <c r="BM802">
        <f>IFERROR(INDEX(PP_Grid[#Data],$DE802,62),0)</f>
        <v/>
      </c>
      <c r="BN802">
        <f>IFERROR(INDEX(PP_Grid[#Data],$DE802,63),0)</f>
        <v/>
      </c>
      <c r="BO802">
        <f>IFERROR(INDEX(PP_Grid[#Data],$DE802,64),0)</f>
        <v/>
      </c>
      <c r="BP802">
        <f>IFERROR(INDEX(PP_Grid[#Data],$DE802,65),0)</f>
        <v/>
      </c>
      <c r="BQ802">
        <f>IFERROR(INDEX(PP_Grid[#Data],$DE802,66),0)</f>
        <v/>
      </c>
      <c r="BR802">
        <f>IFERROR(INDEX(PP_Grid[#Data],$DE802,67),0)</f>
        <v/>
      </c>
      <c r="BS802">
        <f>IFERROR(INDEX(PP_Grid[#Data],$DE802,68),0)</f>
        <v/>
      </c>
      <c r="BT802">
        <f>IFERROR(INDEX(PP_Grid[#Data],$DE802,69),0)</f>
        <v/>
      </c>
      <c r="BU802">
        <f>IFERROR(INDEX(PP_Grid[#Data],$DE802,70),0)</f>
        <v/>
      </c>
      <c r="BV802">
        <f>IFERROR(INDEX(PP_Grid[#Data],$DE802,71),0)</f>
        <v/>
      </c>
      <c r="BW802">
        <f>IFERROR(INDEX(PP_Grid[#Data],$DE802,72),0)</f>
        <v/>
      </c>
      <c r="BX802">
        <f>IFERROR(INDEX(PP_Grid[#Data],$DE802,73),0)</f>
        <v/>
      </c>
      <c r="BY802">
        <f>IFERROR(INDEX(PP_Grid[#Data],$DE802,74),0)</f>
        <v/>
      </c>
      <c r="BZ802">
        <f>IFERROR(INDEX(PP_Grid[#Data],$DE802,75),0)</f>
        <v/>
      </c>
      <c r="CA802">
        <f>IFERROR(INDEX(PP_Grid[#Data],$DE802,76),0)</f>
        <v/>
      </c>
      <c r="CB802">
        <f>IFERROR(INDEX(PP_Grid[#Data],$DE802,77),0)</f>
        <v/>
      </c>
      <c r="CC802">
        <f>IFERROR(INDEX(PP_Grid[#Data],$DE802,78),0)</f>
        <v/>
      </c>
      <c r="CD802">
        <f>IFERROR(INDEX(PP_Grid[#Data],$DE802,79),0)</f>
        <v/>
      </c>
      <c r="CE802">
        <f>IFERROR(INDEX(PP_Grid[#Data],$DE802,80),0)</f>
        <v/>
      </c>
      <c r="CF802">
        <f>IFERROR(INDEX(PP_Grid[#Data],$DE802,81),0)</f>
        <v/>
      </c>
      <c r="CG802">
        <f>IFERROR(INDEX(PP_Grid[#Data],$DE802,82),0)</f>
        <v/>
      </c>
      <c r="CH802">
        <f>IFERROR(INDEX(PP_Grid[#Data],$DE802,83),0)</f>
        <v/>
      </c>
      <c r="CI802">
        <f>IFERROR(INDEX(PP_Grid[#Data],$DE802,84),0)</f>
        <v/>
      </c>
      <c r="CJ802">
        <f>IFERROR(INDEX(PP_Grid[#Data],$DE802,85),0)</f>
        <v/>
      </c>
      <c r="CK802">
        <f>IFERROR(INDEX(PP_Grid[#Data],$DE802,86),0)</f>
        <v/>
      </c>
      <c r="CL802">
        <f>IFERROR(INDEX(PP_Grid[#Data],$DE802,87),0)</f>
        <v/>
      </c>
      <c r="CM802">
        <f>IFERROR(INDEX(PP_Grid[#Data],$DE802,88),0)</f>
        <v/>
      </c>
      <c r="CN802">
        <f>IFERROR(INDEX(PP_Grid[#Data],$DE802,89),0)</f>
        <v/>
      </c>
      <c r="CO802">
        <f>IFERROR(INDEX(PP_Grid[#Data],$DE802,90),0)</f>
        <v/>
      </c>
      <c r="CP802">
        <f>IFERROR(INDEX(PP_Grid[#Data],$DE802,91),0)</f>
        <v/>
      </c>
      <c r="CQ802">
        <f>IFERROR(INDEX(PP_Grid[#Data],$DE802,92),0)</f>
        <v/>
      </c>
      <c r="CR802">
        <f>IFERROR(INDEX(PP_Grid[#Data],$DE802,93),0)</f>
        <v/>
      </c>
      <c r="CS802">
        <f>IFERROR(INDEX(PP_Grid[#Data],$DE802,94),0)</f>
        <v/>
      </c>
      <c r="CT802">
        <f>IFERROR(INDEX(PP_Grid[#Data],$DE802,95),0)</f>
        <v/>
      </c>
      <c r="CU802">
        <f>IFERROR(INDEX(PP_Grid[#Data],$DE802,96),0)</f>
        <v/>
      </c>
      <c r="CV802">
        <f>IFERROR(INDEX(PP_Grid[#Data],$DE802,97),0)</f>
        <v/>
      </c>
      <c r="CW802">
        <f>IFERROR(INDEX(PP_Grid[#Data],$DE802,98),0)</f>
        <v/>
      </c>
      <c r="CX802">
        <f>IFERROR(INDEX(PP_Grid[#Data],$DE802,99),0)</f>
        <v/>
      </c>
      <c r="CY802">
        <f>IFERROR(INDEX(PP_Grid[#Data],$DE802,100),0)</f>
        <v/>
      </c>
      <c r="CZ802">
        <f>IFERROR(INDEX(PP_Grid[#Data],$DE802,101),0)</f>
        <v/>
      </c>
      <c r="DA802">
        <f>IFERROR(INDEX(PP_Grid[#Data],$DE802,102),0)</f>
        <v/>
      </c>
      <c r="DB802">
        <f>IFERROR(INDEX(PP_Grid[#Data],$DE802,103),0)</f>
        <v/>
      </c>
      <c r="DC802">
        <f>IFERROR(INDEX(PP_Grid[#Data],$DE802,104),0)</f>
        <v/>
      </c>
      <c r="DD802">
        <f>IFERROR(INDEX(PP_Grid[#Data],$DE802,105),0)</f>
        <v/>
      </c>
      <c r="DE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SUMIFS(M_BOM[RM_Qty_Per_Batch],M_BOM[Intermediate],$B802,M_BOM[RM_Code],$A775)</f>
        <v/>
      </c>
      <c r="D803">
        <f>IFERROR(INDEX(E803:DD803,$F$1),"")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  <c r="DD803">
        <f>$C803*DD802</f>
        <v/>
      </c>
    </row>
    <row r="804">
      <c r="B804" t="inlineStr">
        <is>
          <t>VSP-602</t>
        </is>
      </c>
      <c r="C804" t="inlineStr">
        <is>
          <t>No. of batches</t>
        </is>
      </c>
      <c r="D804">
        <f>IFERROR(INDEX(E804:DD804,$F$1),"")</f>
        <v/>
      </c>
      <c r="E804">
        <f>IFERROR(INDEX(PP_Grid[#Data],$DE804,2),0)</f>
        <v/>
      </c>
      <c r="F804">
        <f>IFERROR(INDEX(PP_Grid[#Data],$DE804,3),0)</f>
        <v/>
      </c>
      <c r="G804">
        <f>IFERROR(INDEX(PP_Grid[#Data],$DE804,4),0)</f>
        <v/>
      </c>
      <c r="H804">
        <f>IFERROR(INDEX(PP_Grid[#Data],$DE804,5),0)</f>
        <v/>
      </c>
      <c r="I804">
        <f>IFERROR(INDEX(PP_Grid[#Data],$DE804,6),0)</f>
        <v/>
      </c>
      <c r="J804">
        <f>IFERROR(INDEX(PP_Grid[#Data],$DE804,7),0)</f>
        <v/>
      </c>
      <c r="K804">
        <f>IFERROR(INDEX(PP_Grid[#Data],$DE804,8),0)</f>
        <v/>
      </c>
      <c r="L804">
        <f>IFERROR(INDEX(PP_Grid[#Data],$DE804,9),0)</f>
        <v/>
      </c>
      <c r="M804">
        <f>IFERROR(INDEX(PP_Grid[#Data],$DE804,10),0)</f>
        <v/>
      </c>
      <c r="N804">
        <f>IFERROR(INDEX(PP_Grid[#Data],$DE804,11),0)</f>
        <v/>
      </c>
      <c r="O804">
        <f>IFERROR(INDEX(PP_Grid[#Data],$DE804,12),0)</f>
        <v/>
      </c>
      <c r="P804">
        <f>IFERROR(INDEX(PP_Grid[#Data],$DE804,13),0)</f>
        <v/>
      </c>
      <c r="Q804">
        <f>IFERROR(INDEX(PP_Grid[#Data],$DE804,14),0)</f>
        <v/>
      </c>
      <c r="R804">
        <f>IFERROR(INDEX(PP_Grid[#Data],$DE804,15),0)</f>
        <v/>
      </c>
      <c r="S804">
        <f>IFERROR(INDEX(PP_Grid[#Data],$DE804,16),0)</f>
        <v/>
      </c>
      <c r="T804">
        <f>IFERROR(INDEX(PP_Grid[#Data],$DE804,17),0)</f>
        <v/>
      </c>
      <c r="U804">
        <f>IFERROR(INDEX(PP_Grid[#Data],$DE804,18),0)</f>
        <v/>
      </c>
      <c r="V804">
        <f>IFERROR(INDEX(PP_Grid[#Data],$DE804,19),0)</f>
        <v/>
      </c>
      <c r="W804">
        <f>IFERROR(INDEX(PP_Grid[#Data],$DE804,20),0)</f>
        <v/>
      </c>
      <c r="X804">
        <f>IFERROR(INDEX(PP_Grid[#Data],$DE804,21),0)</f>
        <v/>
      </c>
      <c r="Y804">
        <f>IFERROR(INDEX(PP_Grid[#Data],$DE804,22),0)</f>
        <v/>
      </c>
      <c r="Z804">
        <f>IFERROR(INDEX(PP_Grid[#Data],$DE804,23),0)</f>
        <v/>
      </c>
      <c r="AA804">
        <f>IFERROR(INDEX(PP_Grid[#Data],$DE804,24),0)</f>
        <v/>
      </c>
      <c r="AB804">
        <f>IFERROR(INDEX(PP_Grid[#Data],$DE804,25),0)</f>
        <v/>
      </c>
      <c r="AC804">
        <f>IFERROR(INDEX(PP_Grid[#Data],$DE804,26),0)</f>
        <v/>
      </c>
      <c r="AD804">
        <f>IFERROR(INDEX(PP_Grid[#Data],$DE804,27),0)</f>
        <v/>
      </c>
      <c r="AE804">
        <f>IFERROR(INDEX(PP_Grid[#Data],$DE804,28),0)</f>
        <v/>
      </c>
      <c r="AF804">
        <f>IFERROR(INDEX(PP_Grid[#Data],$DE804,29),0)</f>
        <v/>
      </c>
      <c r="AG804">
        <f>IFERROR(INDEX(PP_Grid[#Data],$DE804,30),0)</f>
        <v/>
      </c>
      <c r="AH804">
        <f>IFERROR(INDEX(PP_Grid[#Data],$DE804,31),0)</f>
        <v/>
      </c>
      <c r="AI804">
        <f>IFERROR(INDEX(PP_Grid[#Data],$DE804,32),0)</f>
        <v/>
      </c>
      <c r="AJ804">
        <f>IFERROR(INDEX(PP_Grid[#Data],$DE804,33),0)</f>
        <v/>
      </c>
      <c r="AK804">
        <f>IFERROR(INDEX(PP_Grid[#Data],$DE804,34),0)</f>
        <v/>
      </c>
      <c r="AL804">
        <f>IFERROR(INDEX(PP_Grid[#Data],$DE804,35),0)</f>
        <v/>
      </c>
      <c r="AM804">
        <f>IFERROR(INDEX(PP_Grid[#Data],$DE804,36),0)</f>
        <v/>
      </c>
      <c r="AN804">
        <f>IFERROR(INDEX(PP_Grid[#Data],$DE804,37),0)</f>
        <v/>
      </c>
      <c r="AO804">
        <f>IFERROR(INDEX(PP_Grid[#Data],$DE804,38),0)</f>
        <v/>
      </c>
      <c r="AP804">
        <f>IFERROR(INDEX(PP_Grid[#Data],$DE804,39),0)</f>
        <v/>
      </c>
      <c r="AQ804">
        <f>IFERROR(INDEX(PP_Grid[#Data],$DE804,40),0)</f>
        <v/>
      </c>
      <c r="AR804">
        <f>IFERROR(INDEX(PP_Grid[#Data],$DE804,41),0)</f>
        <v/>
      </c>
      <c r="AS804">
        <f>IFERROR(INDEX(PP_Grid[#Data],$DE804,42),0)</f>
        <v/>
      </c>
      <c r="AT804">
        <f>IFERROR(INDEX(PP_Grid[#Data],$DE804,43),0)</f>
        <v/>
      </c>
      <c r="AU804">
        <f>IFERROR(INDEX(PP_Grid[#Data],$DE804,44),0)</f>
        <v/>
      </c>
      <c r="AV804">
        <f>IFERROR(INDEX(PP_Grid[#Data],$DE804,45),0)</f>
        <v/>
      </c>
      <c r="AW804">
        <f>IFERROR(INDEX(PP_Grid[#Data],$DE804,46),0)</f>
        <v/>
      </c>
      <c r="AX804">
        <f>IFERROR(INDEX(PP_Grid[#Data],$DE804,47),0)</f>
        <v/>
      </c>
      <c r="AY804">
        <f>IFERROR(INDEX(PP_Grid[#Data],$DE804,48),0)</f>
        <v/>
      </c>
      <c r="AZ804">
        <f>IFERROR(INDEX(PP_Grid[#Data],$DE804,49),0)</f>
        <v/>
      </c>
      <c r="BA804">
        <f>IFERROR(INDEX(PP_Grid[#Data],$DE804,50),0)</f>
        <v/>
      </c>
      <c r="BB804">
        <f>IFERROR(INDEX(PP_Grid[#Data],$DE804,51),0)</f>
        <v/>
      </c>
      <c r="BC804">
        <f>IFERROR(INDEX(PP_Grid[#Data],$DE804,52),0)</f>
        <v/>
      </c>
      <c r="BD804">
        <f>IFERROR(INDEX(PP_Grid[#Data],$DE804,53),0)</f>
        <v/>
      </c>
      <c r="BE804">
        <f>IFERROR(INDEX(PP_Grid[#Data],$DE804,54),0)</f>
        <v/>
      </c>
      <c r="BF804">
        <f>IFERROR(INDEX(PP_Grid[#Data],$DE804,55),0)</f>
        <v/>
      </c>
      <c r="BG804">
        <f>IFERROR(INDEX(PP_Grid[#Data],$DE804,56),0)</f>
        <v/>
      </c>
      <c r="BH804">
        <f>IFERROR(INDEX(PP_Grid[#Data],$DE804,57),0)</f>
        <v/>
      </c>
      <c r="BI804">
        <f>IFERROR(INDEX(PP_Grid[#Data],$DE804,58),0)</f>
        <v/>
      </c>
      <c r="BJ804">
        <f>IFERROR(INDEX(PP_Grid[#Data],$DE804,59),0)</f>
        <v/>
      </c>
      <c r="BK804">
        <f>IFERROR(INDEX(PP_Grid[#Data],$DE804,60),0)</f>
        <v/>
      </c>
      <c r="BL804">
        <f>IFERROR(INDEX(PP_Grid[#Data],$DE804,61),0)</f>
        <v/>
      </c>
      <c r="BM804">
        <f>IFERROR(INDEX(PP_Grid[#Data],$DE804,62),0)</f>
        <v/>
      </c>
      <c r="BN804">
        <f>IFERROR(INDEX(PP_Grid[#Data],$DE804,63),0)</f>
        <v/>
      </c>
      <c r="BO804">
        <f>IFERROR(INDEX(PP_Grid[#Data],$DE804,64),0)</f>
        <v/>
      </c>
      <c r="BP804">
        <f>IFERROR(INDEX(PP_Grid[#Data],$DE804,65),0)</f>
        <v/>
      </c>
      <c r="BQ804">
        <f>IFERROR(INDEX(PP_Grid[#Data],$DE804,66),0)</f>
        <v/>
      </c>
      <c r="BR804">
        <f>IFERROR(INDEX(PP_Grid[#Data],$DE804,67),0)</f>
        <v/>
      </c>
      <c r="BS804">
        <f>IFERROR(INDEX(PP_Grid[#Data],$DE804,68),0)</f>
        <v/>
      </c>
      <c r="BT804">
        <f>IFERROR(INDEX(PP_Grid[#Data],$DE804,69),0)</f>
        <v/>
      </c>
      <c r="BU804">
        <f>IFERROR(INDEX(PP_Grid[#Data],$DE804,70),0)</f>
        <v/>
      </c>
      <c r="BV804">
        <f>IFERROR(INDEX(PP_Grid[#Data],$DE804,71),0)</f>
        <v/>
      </c>
      <c r="BW804">
        <f>IFERROR(INDEX(PP_Grid[#Data],$DE804,72),0)</f>
        <v/>
      </c>
      <c r="BX804">
        <f>IFERROR(INDEX(PP_Grid[#Data],$DE804,73),0)</f>
        <v/>
      </c>
      <c r="BY804">
        <f>IFERROR(INDEX(PP_Grid[#Data],$DE804,74),0)</f>
        <v/>
      </c>
      <c r="BZ804">
        <f>IFERROR(INDEX(PP_Grid[#Data],$DE804,75),0)</f>
        <v/>
      </c>
      <c r="CA804">
        <f>IFERROR(INDEX(PP_Grid[#Data],$DE804,76),0)</f>
        <v/>
      </c>
      <c r="CB804">
        <f>IFERROR(INDEX(PP_Grid[#Data],$DE804,77),0)</f>
        <v/>
      </c>
      <c r="CC804">
        <f>IFERROR(INDEX(PP_Grid[#Data],$DE804,78),0)</f>
        <v/>
      </c>
      <c r="CD804">
        <f>IFERROR(INDEX(PP_Grid[#Data],$DE804,79),0)</f>
        <v/>
      </c>
      <c r="CE804">
        <f>IFERROR(INDEX(PP_Grid[#Data],$DE804,80),0)</f>
        <v/>
      </c>
      <c r="CF804">
        <f>IFERROR(INDEX(PP_Grid[#Data],$DE804,81),0)</f>
        <v/>
      </c>
      <c r="CG804">
        <f>IFERROR(INDEX(PP_Grid[#Data],$DE804,82),0)</f>
        <v/>
      </c>
      <c r="CH804">
        <f>IFERROR(INDEX(PP_Grid[#Data],$DE804,83),0)</f>
        <v/>
      </c>
      <c r="CI804">
        <f>IFERROR(INDEX(PP_Grid[#Data],$DE804,84),0)</f>
        <v/>
      </c>
      <c r="CJ804">
        <f>IFERROR(INDEX(PP_Grid[#Data],$DE804,85),0)</f>
        <v/>
      </c>
      <c r="CK804">
        <f>IFERROR(INDEX(PP_Grid[#Data],$DE804,86),0)</f>
        <v/>
      </c>
      <c r="CL804">
        <f>IFERROR(INDEX(PP_Grid[#Data],$DE804,87),0)</f>
        <v/>
      </c>
      <c r="CM804">
        <f>IFERROR(INDEX(PP_Grid[#Data],$DE804,88),0)</f>
        <v/>
      </c>
      <c r="CN804">
        <f>IFERROR(INDEX(PP_Grid[#Data],$DE804,89),0)</f>
        <v/>
      </c>
      <c r="CO804">
        <f>IFERROR(INDEX(PP_Grid[#Data],$DE804,90),0)</f>
        <v/>
      </c>
      <c r="CP804">
        <f>IFERROR(INDEX(PP_Grid[#Data],$DE804,91),0)</f>
        <v/>
      </c>
      <c r="CQ804">
        <f>IFERROR(INDEX(PP_Grid[#Data],$DE804,92),0)</f>
        <v/>
      </c>
      <c r="CR804">
        <f>IFERROR(INDEX(PP_Grid[#Data],$DE804,93),0)</f>
        <v/>
      </c>
      <c r="CS804">
        <f>IFERROR(INDEX(PP_Grid[#Data],$DE804,94),0)</f>
        <v/>
      </c>
      <c r="CT804">
        <f>IFERROR(INDEX(PP_Grid[#Data],$DE804,95),0)</f>
        <v/>
      </c>
      <c r="CU804">
        <f>IFERROR(INDEX(PP_Grid[#Data],$DE804,96),0)</f>
        <v/>
      </c>
      <c r="CV804">
        <f>IFERROR(INDEX(PP_Grid[#Data],$DE804,97),0)</f>
        <v/>
      </c>
      <c r="CW804">
        <f>IFERROR(INDEX(PP_Grid[#Data],$DE804,98),0)</f>
        <v/>
      </c>
      <c r="CX804">
        <f>IFERROR(INDEX(PP_Grid[#Data],$DE804,99),0)</f>
        <v/>
      </c>
      <c r="CY804">
        <f>IFERROR(INDEX(PP_Grid[#Data],$DE804,100),0)</f>
        <v/>
      </c>
      <c r="CZ804">
        <f>IFERROR(INDEX(PP_Grid[#Data],$DE804,101),0)</f>
        <v/>
      </c>
      <c r="DA804">
        <f>IFERROR(INDEX(PP_Grid[#Data],$DE804,102),0)</f>
        <v/>
      </c>
      <c r="DB804">
        <f>IFERROR(INDEX(PP_Grid[#Data],$DE804,103),0)</f>
        <v/>
      </c>
      <c r="DC804">
        <f>IFERROR(INDEX(PP_Grid[#Data],$DE804,104),0)</f>
        <v/>
      </c>
      <c r="DD804">
        <f>IFERROR(INDEX(PP_Grid[#Data],$DE804,105),0)</f>
        <v/>
      </c>
      <c r="DE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SUMIFS(M_BOM[RM_Qty_Per_Batch],M_BOM[Intermediate],$B804,M_BOM[RM_Code],$A775)</f>
        <v/>
      </c>
      <c r="D805">
        <f>IFERROR(INDEX(E805:DD805,$F$1),"")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  <c r="DD805">
        <f>$C805*DD804</f>
        <v/>
      </c>
    </row>
    <row r="806">
      <c r="B806" t="inlineStr">
        <is>
          <t>VSP-740</t>
        </is>
      </c>
      <c r="C806" t="inlineStr">
        <is>
          <t>No. of batches</t>
        </is>
      </c>
      <c r="D806">
        <f>IFERROR(INDEX(E806:DD806,$F$1),"")</f>
        <v/>
      </c>
      <c r="E806">
        <f>IFERROR(INDEX(PP_Grid[#Data],$DE806,2),0)</f>
        <v/>
      </c>
      <c r="F806">
        <f>IFERROR(INDEX(PP_Grid[#Data],$DE806,3),0)</f>
        <v/>
      </c>
      <c r="G806">
        <f>IFERROR(INDEX(PP_Grid[#Data],$DE806,4),0)</f>
        <v/>
      </c>
      <c r="H806">
        <f>IFERROR(INDEX(PP_Grid[#Data],$DE806,5),0)</f>
        <v/>
      </c>
      <c r="I806">
        <f>IFERROR(INDEX(PP_Grid[#Data],$DE806,6),0)</f>
        <v/>
      </c>
      <c r="J806">
        <f>IFERROR(INDEX(PP_Grid[#Data],$DE806,7),0)</f>
        <v/>
      </c>
      <c r="K806">
        <f>IFERROR(INDEX(PP_Grid[#Data],$DE806,8),0)</f>
        <v/>
      </c>
      <c r="L806">
        <f>IFERROR(INDEX(PP_Grid[#Data],$DE806,9),0)</f>
        <v/>
      </c>
      <c r="M806">
        <f>IFERROR(INDEX(PP_Grid[#Data],$DE806,10),0)</f>
        <v/>
      </c>
      <c r="N806">
        <f>IFERROR(INDEX(PP_Grid[#Data],$DE806,11),0)</f>
        <v/>
      </c>
      <c r="O806">
        <f>IFERROR(INDEX(PP_Grid[#Data],$DE806,12),0)</f>
        <v/>
      </c>
      <c r="P806">
        <f>IFERROR(INDEX(PP_Grid[#Data],$DE806,13),0)</f>
        <v/>
      </c>
      <c r="Q806">
        <f>IFERROR(INDEX(PP_Grid[#Data],$DE806,14),0)</f>
        <v/>
      </c>
      <c r="R806">
        <f>IFERROR(INDEX(PP_Grid[#Data],$DE806,15),0)</f>
        <v/>
      </c>
      <c r="S806">
        <f>IFERROR(INDEX(PP_Grid[#Data],$DE806,16),0)</f>
        <v/>
      </c>
      <c r="T806">
        <f>IFERROR(INDEX(PP_Grid[#Data],$DE806,17),0)</f>
        <v/>
      </c>
      <c r="U806">
        <f>IFERROR(INDEX(PP_Grid[#Data],$DE806,18),0)</f>
        <v/>
      </c>
      <c r="V806">
        <f>IFERROR(INDEX(PP_Grid[#Data],$DE806,19),0)</f>
        <v/>
      </c>
      <c r="W806">
        <f>IFERROR(INDEX(PP_Grid[#Data],$DE806,20),0)</f>
        <v/>
      </c>
      <c r="X806">
        <f>IFERROR(INDEX(PP_Grid[#Data],$DE806,21),0)</f>
        <v/>
      </c>
      <c r="Y806">
        <f>IFERROR(INDEX(PP_Grid[#Data],$DE806,22),0)</f>
        <v/>
      </c>
      <c r="Z806">
        <f>IFERROR(INDEX(PP_Grid[#Data],$DE806,23),0)</f>
        <v/>
      </c>
      <c r="AA806">
        <f>IFERROR(INDEX(PP_Grid[#Data],$DE806,24),0)</f>
        <v/>
      </c>
      <c r="AB806">
        <f>IFERROR(INDEX(PP_Grid[#Data],$DE806,25),0)</f>
        <v/>
      </c>
      <c r="AC806">
        <f>IFERROR(INDEX(PP_Grid[#Data],$DE806,26),0)</f>
        <v/>
      </c>
      <c r="AD806">
        <f>IFERROR(INDEX(PP_Grid[#Data],$DE806,27),0)</f>
        <v/>
      </c>
      <c r="AE806">
        <f>IFERROR(INDEX(PP_Grid[#Data],$DE806,28),0)</f>
        <v/>
      </c>
      <c r="AF806">
        <f>IFERROR(INDEX(PP_Grid[#Data],$DE806,29),0)</f>
        <v/>
      </c>
      <c r="AG806">
        <f>IFERROR(INDEX(PP_Grid[#Data],$DE806,30),0)</f>
        <v/>
      </c>
      <c r="AH806">
        <f>IFERROR(INDEX(PP_Grid[#Data],$DE806,31),0)</f>
        <v/>
      </c>
      <c r="AI806">
        <f>IFERROR(INDEX(PP_Grid[#Data],$DE806,32),0)</f>
        <v/>
      </c>
      <c r="AJ806">
        <f>IFERROR(INDEX(PP_Grid[#Data],$DE806,33),0)</f>
        <v/>
      </c>
      <c r="AK806">
        <f>IFERROR(INDEX(PP_Grid[#Data],$DE806,34),0)</f>
        <v/>
      </c>
      <c r="AL806">
        <f>IFERROR(INDEX(PP_Grid[#Data],$DE806,35),0)</f>
        <v/>
      </c>
      <c r="AM806">
        <f>IFERROR(INDEX(PP_Grid[#Data],$DE806,36),0)</f>
        <v/>
      </c>
      <c r="AN806">
        <f>IFERROR(INDEX(PP_Grid[#Data],$DE806,37),0)</f>
        <v/>
      </c>
      <c r="AO806">
        <f>IFERROR(INDEX(PP_Grid[#Data],$DE806,38),0)</f>
        <v/>
      </c>
      <c r="AP806">
        <f>IFERROR(INDEX(PP_Grid[#Data],$DE806,39),0)</f>
        <v/>
      </c>
      <c r="AQ806">
        <f>IFERROR(INDEX(PP_Grid[#Data],$DE806,40),0)</f>
        <v/>
      </c>
      <c r="AR806">
        <f>IFERROR(INDEX(PP_Grid[#Data],$DE806,41),0)</f>
        <v/>
      </c>
      <c r="AS806">
        <f>IFERROR(INDEX(PP_Grid[#Data],$DE806,42),0)</f>
        <v/>
      </c>
      <c r="AT806">
        <f>IFERROR(INDEX(PP_Grid[#Data],$DE806,43),0)</f>
        <v/>
      </c>
      <c r="AU806">
        <f>IFERROR(INDEX(PP_Grid[#Data],$DE806,44),0)</f>
        <v/>
      </c>
      <c r="AV806">
        <f>IFERROR(INDEX(PP_Grid[#Data],$DE806,45),0)</f>
        <v/>
      </c>
      <c r="AW806">
        <f>IFERROR(INDEX(PP_Grid[#Data],$DE806,46),0)</f>
        <v/>
      </c>
      <c r="AX806">
        <f>IFERROR(INDEX(PP_Grid[#Data],$DE806,47),0)</f>
        <v/>
      </c>
      <c r="AY806">
        <f>IFERROR(INDEX(PP_Grid[#Data],$DE806,48),0)</f>
        <v/>
      </c>
      <c r="AZ806">
        <f>IFERROR(INDEX(PP_Grid[#Data],$DE806,49),0)</f>
        <v/>
      </c>
      <c r="BA806">
        <f>IFERROR(INDEX(PP_Grid[#Data],$DE806,50),0)</f>
        <v/>
      </c>
      <c r="BB806">
        <f>IFERROR(INDEX(PP_Grid[#Data],$DE806,51),0)</f>
        <v/>
      </c>
      <c r="BC806">
        <f>IFERROR(INDEX(PP_Grid[#Data],$DE806,52),0)</f>
        <v/>
      </c>
      <c r="BD806">
        <f>IFERROR(INDEX(PP_Grid[#Data],$DE806,53),0)</f>
        <v/>
      </c>
      <c r="BE806">
        <f>IFERROR(INDEX(PP_Grid[#Data],$DE806,54),0)</f>
        <v/>
      </c>
      <c r="BF806">
        <f>IFERROR(INDEX(PP_Grid[#Data],$DE806,55),0)</f>
        <v/>
      </c>
      <c r="BG806">
        <f>IFERROR(INDEX(PP_Grid[#Data],$DE806,56),0)</f>
        <v/>
      </c>
      <c r="BH806">
        <f>IFERROR(INDEX(PP_Grid[#Data],$DE806,57),0)</f>
        <v/>
      </c>
      <c r="BI806">
        <f>IFERROR(INDEX(PP_Grid[#Data],$DE806,58),0)</f>
        <v/>
      </c>
      <c r="BJ806">
        <f>IFERROR(INDEX(PP_Grid[#Data],$DE806,59),0)</f>
        <v/>
      </c>
      <c r="BK806">
        <f>IFERROR(INDEX(PP_Grid[#Data],$DE806,60),0)</f>
        <v/>
      </c>
      <c r="BL806">
        <f>IFERROR(INDEX(PP_Grid[#Data],$DE806,61),0)</f>
        <v/>
      </c>
      <c r="BM806">
        <f>IFERROR(INDEX(PP_Grid[#Data],$DE806,62),0)</f>
        <v/>
      </c>
      <c r="BN806">
        <f>IFERROR(INDEX(PP_Grid[#Data],$DE806,63),0)</f>
        <v/>
      </c>
      <c r="BO806">
        <f>IFERROR(INDEX(PP_Grid[#Data],$DE806,64),0)</f>
        <v/>
      </c>
      <c r="BP806">
        <f>IFERROR(INDEX(PP_Grid[#Data],$DE806,65),0)</f>
        <v/>
      </c>
      <c r="BQ806">
        <f>IFERROR(INDEX(PP_Grid[#Data],$DE806,66),0)</f>
        <v/>
      </c>
      <c r="BR806">
        <f>IFERROR(INDEX(PP_Grid[#Data],$DE806,67),0)</f>
        <v/>
      </c>
      <c r="BS806">
        <f>IFERROR(INDEX(PP_Grid[#Data],$DE806,68),0)</f>
        <v/>
      </c>
      <c r="BT806">
        <f>IFERROR(INDEX(PP_Grid[#Data],$DE806,69),0)</f>
        <v/>
      </c>
      <c r="BU806">
        <f>IFERROR(INDEX(PP_Grid[#Data],$DE806,70),0)</f>
        <v/>
      </c>
      <c r="BV806">
        <f>IFERROR(INDEX(PP_Grid[#Data],$DE806,71),0)</f>
        <v/>
      </c>
      <c r="BW806">
        <f>IFERROR(INDEX(PP_Grid[#Data],$DE806,72),0)</f>
        <v/>
      </c>
      <c r="BX806">
        <f>IFERROR(INDEX(PP_Grid[#Data],$DE806,73),0)</f>
        <v/>
      </c>
      <c r="BY806">
        <f>IFERROR(INDEX(PP_Grid[#Data],$DE806,74),0)</f>
        <v/>
      </c>
      <c r="BZ806">
        <f>IFERROR(INDEX(PP_Grid[#Data],$DE806,75),0)</f>
        <v/>
      </c>
      <c r="CA806">
        <f>IFERROR(INDEX(PP_Grid[#Data],$DE806,76),0)</f>
        <v/>
      </c>
      <c r="CB806">
        <f>IFERROR(INDEX(PP_Grid[#Data],$DE806,77),0)</f>
        <v/>
      </c>
      <c r="CC806">
        <f>IFERROR(INDEX(PP_Grid[#Data],$DE806,78),0)</f>
        <v/>
      </c>
      <c r="CD806">
        <f>IFERROR(INDEX(PP_Grid[#Data],$DE806,79),0)</f>
        <v/>
      </c>
      <c r="CE806">
        <f>IFERROR(INDEX(PP_Grid[#Data],$DE806,80),0)</f>
        <v/>
      </c>
      <c r="CF806">
        <f>IFERROR(INDEX(PP_Grid[#Data],$DE806,81),0)</f>
        <v/>
      </c>
      <c r="CG806">
        <f>IFERROR(INDEX(PP_Grid[#Data],$DE806,82),0)</f>
        <v/>
      </c>
      <c r="CH806">
        <f>IFERROR(INDEX(PP_Grid[#Data],$DE806,83),0)</f>
        <v/>
      </c>
      <c r="CI806">
        <f>IFERROR(INDEX(PP_Grid[#Data],$DE806,84),0)</f>
        <v/>
      </c>
      <c r="CJ806">
        <f>IFERROR(INDEX(PP_Grid[#Data],$DE806,85),0)</f>
        <v/>
      </c>
      <c r="CK806">
        <f>IFERROR(INDEX(PP_Grid[#Data],$DE806,86),0)</f>
        <v/>
      </c>
      <c r="CL806">
        <f>IFERROR(INDEX(PP_Grid[#Data],$DE806,87),0)</f>
        <v/>
      </c>
      <c r="CM806">
        <f>IFERROR(INDEX(PP_Grid[#Data],$DE806,88),0)</f>
        <v/>
      </c>
      <c r="CN806">
        <f>IFERROR(INDEX(PP_Grid[#Data],$DE806,89),0)</f>
        <v/>
      </c>
      <c r="CO806">
        <f>IFERROR(INDEX(PP_Grid[#Data],$DE806,90),0)</f>
        <v/>
      </c>
      <c r="CP806">
        <f>IFERROR(INDEX(PP_Grid[#Data],$DE806,91),0)</f>
        <v/>
      </c>
      <c r="CQ806">
        <f>IFERROR(INDEX(PP_Grid[#Data],$DE806,92),0)</f>
        <v/>
      </c>
      <c r="CR806">
        <f>IFERROR(INDEX(PP_Grid[#Data],$DE806,93),0)</f>
        <v/>
      </c>
      <c r="CS806">
        <f>IFERROR(INDEX(PP_Grid[#Data],$DE806,94),0)</f>
        <v/>
      </c>
      <c r="CT806">
        <f>IFERROR(INDEX(PP_Grid[#Data],$DE806,95),0)</f>
        <v/>
      </c>
      <c r="CU806">
        <f>IFERROR(INDEX(PP_Grid[#Data],$DE806,96),0)</f>
        <v/>
      </c>
      <c r="CV806">
        <f>IFERROR(INDEX(PP_Grid[#Data],$DE806,97),0)</f>
        <v/>
      </c>
      <c r="CW806">
        <f>IFERROR(INDEX(PP_Grid[#Data],$DE806,98),0)</f>
        <v/>
      </c>
      <c r="CX806">
        <f>IFERROR(INDEX(PP_Grid[#Data],$DE806,99),0)</f>
        <v/>
      </c>
      <c r="CY806">
        <f>IFERROR(INDEX(PP_Grid[#Data],$DE806,100),0)</f>
        <v/>
      </c>
      <c r="CZ806">
        <f>IFERROR(INDEX(PP_Grid[#Data],$DE806,101),0)</f>
        <v/>
      </c>
      <c r="DA806">
        <f>IFERROR(INDEX(PP_Grid[#Data],$DE806,102),0)</f>
        <v/>
      </c>
      <c r="DB806">
        <f>IFERROR(INDEX(PP_Grid[#Data],$DE806,103),0)</f>
        <v/>
      </c>
      <c r="DC806">
        <f>IFERROR(INDEX(PP_Grid[#Data],$DE806,104),0)</f>
        <v/>
      </c>
      <c r="DD806">
        <f>IFERROR(INDEX(PP_Grid[#Data],$DE806,105),0)</f>
        <v/>
      </c>
      <c r="DE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SUMIFS(M_BOM[RM_Qty_Per_Batch],M_BOM[Intermediate],$B806,M_BOM[RM_Code],$A775)</f>
        <v/>
      </c>
      <c r="D807">
        <f>IFERROR(INDEX(E807:DD807,$F$1),"")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  <c r="DD807">
        <f>$C807*DD806</f>
        <v/>
      </c>
    </row>
    <row r="808">
      <c r="B808" t="inlineStr">
        <is>
          <t>TPP-350</t>
        </is>
      </c>
      <c r="C808" t="inlineStr">
        <is>
          <t>No. of batches</t>
        </is>
      </c>
      <c r="D808">
        <f>IFERROR(INDEX(E808:DD808,$F$1),"")</f>
        <v/>
      </c>
      <c r="E808">
        <f>IFERROR(INDEX(PP_Grid[#Data],$DE808,2),0)</f>
        <v/>
      </c>
      <c r="F808">
        <f>IFERROR(INDEX(PP_Grid[#Data],$DE808,3),0)</f>
        <v/>
      </c>
      <c r="G808">
        <f>IFERROR(INDEX(PP_Grid[#Data],$DE808,4),0)</f>
        <v/>
      </c>
      <c r="H808">
        <f>IFERROR(INDEX(PP_Grid[#Data],$DE808,5),0)</f>
        <v/>
      </c>
      <c r="I808">
        <f>IFERROR(INDEX(PP_Grid[#Data],$DE808,6),0)</f>
        <v/>
      </c>
      <c r="J808">
        <f>IFERROR(INDEX(PP_Grid[#Data],$DE808,7),0)</f>
        <v/>
      </c>
      <c r="K808">
        <f>IFERROR(INDEX(PP_Grid[#Data],$DE808,8),0)</f>
        <v/>
      </c>
      <c r="L808">
        <f>IFERROR(INDEX(PP_Grid[#Data],$DE808,9),0)</f>
        <v/>
      </c>
      <c r="M808">
        <f>IFERROR(INDEX(PP_Grid[#Data],$DE808,10),0)</f>
        <v/>
      </c>
      <c r="N808">
        <f>IFERROR(INDEX(PP_Grid[#Data],$DE808,11),0)</f>
        <v/>
      </c>
      <c r="O808">
        <f>IFERROR(INDEX(PP_Grid[#Data],$DE808,12),0)</f>
        <v/>
      </c>
      <c r="P808">
        <f>IFERROR(INDEX(PP_Grid[#Data],$DE808,13),0)</f>
        <v/>
      </c>
      <c r="Q808">
        <f>IFERROR(INDEX(PP_Grid[#Data],$DE808,14),0)</f>
        <v/>
      </c>
      <c r="R808">
        <f>IFERROR(INDEX(PP_Grid[#Data],$DE808,15),0)</f>
        <v/>
      </c>
      <c r="S808">
        <f>IFERROR(INDEX(PP_Grid[#Data],$DE808,16),0)</f>
        <v/>
      </c>
      <c r="T808">
        <f>IFERROR(INDEX(PP_Grid[#Data],$DE808,17),0)</f>
        <v/>
      </c>
      <c r="U808">
        <f>IFERROR(INDEX(PP_Grid[#Data],$DE808,18),0)</f>
        <v/>
      </c>
      <c r="V808">
        <f>IFERROR(INDEX(PP_Grid[#Data],$DE808,19),0)</f>
        <v/>
      </c>
      <c r="W808">
        <f>IFERROR(INDEX(PP_Grid[#Data],$DE808,20),0)</f>
        <v/>
      </c>
      <c r="X808">
        <f>IFERROR(INDEX(PP_Grid[#Data],$DE808,21),0)</f>
        <v/>
      </c>
      <c r="Y808">
        <f>IFERROR(INDEX(PP_Grid[#Data],$DE808,22),0)</f>
        <v/>
      </c>
      <c r="Z808">
        <f>IFERROR(INDEX(PP_Grid[#Data],$DE808,23),0)</f>
        <v/>
      </c>
      <c r="AA808">
        <f>IFERROR(INDEX(PP_Grid[#Data],$DE808,24),0)</f>
        <v/>
      </c>
      <c r="AB808">
        <f>IFERROR(INDEX(PP_Grid[#Data],$DE808,25),0)</f>
        <v/>
      </c>
      <c r="AC808">
        <f>IFERROR(INDEX(PP_Grid[#Data],$DE808,26),0)</f>
        <v/>
      </c>
      <c r="AD808">
        <f>IFERROR(INDEX(PP_Grid[#Data],$DE808,27),0)</f>
        <v/>
      </c>
      <c r="AE808">
        <f>IFERROR(INDEX(PP_Grid[#Data],$DE808,28),0)</f>
        <v/>
      </c>
      <c r="AF808">
        <f>IFERROR(INDEX(PP_Grid[#Data],$DE808,29),0)</f>
        <v/>
      </c>
      <c r="AG808">
        <f>IFERROR(INDEX(PP_Grid[#Data],$DE808,30),0)</f>
        <v/>
      </c>
      <c r="AH808">
        <f>IFERROR(INDEX(PP_Grid[#Data],$DE808,31),0)</f>
        <v/>
      </c>
      <c r="AI808">
        <f>IFERROR(INDEX(PP_Grid[#Data],$DE808,32),0)</f>
        <v/>
      </c>
      <c r="AJ808">
        <f>IFERROR(INDEX(PP_Grid[#Data],$DE808,33),0)</f>
        <v/>
      </c>
      <c r="AK808">
        <f>IFERROR(INDEX(PP_Grid[#Data],$DE808,34),0)</f>
        <v/>
      </c>
      <c r="AL808">
        <f>IFERROR(INDEX(PP_Grid[#Data],$DE808,35),0)</f>
        <v/>
      </c>
      <c r="AM808">
        <f>IFERROR(INDEX(PP_Grid[#Data],$DE808,36),0)</f>
        <v/>
      </c>
      <c r="AN808">
        <f>IFERROR(INDEX(PP_Grid[#Data],$DE808,37),0)</f>
        <v/>
      </c>
      <c r="AO808">
        <f>IFERROR(INDEX(PP_Grid[#Data],$DE808,38),0)</f>
        <v/>
      </c>
      <c r="AP808">
        <f>IFERROR(INDEX(PP_Grid[#Data],$DE808,39),0)</f>
        <v/>
      </c>
      <c r="AQ808">
        <f>IFERROR(INDEX(PP_Grid[#Data],$DE808,40),0)</f>
        <v/>
      </c>
      <c r="AR808">
        <f>IFERROR(INDEX(PP_Grid[#Data],$DE808,41),0)</f>
        <v/>
      </c>
      <c r="AS808">
        <f>IFERROR(INDEX(PP_Grid[#Data],$DE808,42),0)</f>
        <v/>
      </c>
      <c r="AT808">
        <f>IFERROR(INDEX(PP_Grid[#Data],$DE808,43),0)</f>
        <v/>
      </c>
      <c r="AU808">
        <f>IFERROR(INDEX(PP_Grid[#Data],$DE808,44),0)</f>
        <v/>
      </c>
      <c r="AV808">
        <f>IFERROR(INDEX(PP_Grid[#Data],$DE808,45),0)</f>
        <v/>
      </c>
      <c r="AW808">
        <f>IFERROR(INDEX(PP_Grid[#Data],$DE808,46),0)</f>
        <v/>
      </c>
      <c r="AX808">
        <f>IFERROR(INDEX(PP_Grid[#Data],$DE808,47),0)</f>
        <v/>
      </c>
      <c r="AY808">
        <f>IFERROR(INDEX(PP_Grid[#Data],$DE808,48),0)</f>
        <v/>
      </c>
      <c r="AZ808">
        <f>IFERROR(INDEX(PP_Grid[#Data],$DE808,49),0)</f>
        <v/>
      </c>
      <c r="BA808">
        <f>IFERROR(INDEX(PP_Grid[#Data],$DE808,50),0)</f>
        <v/>
      </c>
      <c r="BB808">
        <f>IFERROR(INDEX(PP_Grid[#Data],$DE808,51),0)</f>
        <v/>
      </c>
      <c r="BC808">
        <f>IFERROR(INDEX(PP_Grid[#Data],$DE808,52),0)</f>
        <v/>
      </c>
      <c r="BD808">
        <f>IFERROR(INDEX(PP_Grid[#Data],$DE808,53),0)</f>
        <v/>
      </c>
      <c r="BE808">
        <f>IFERROR(INDEX(PP_Grid[#Data],$DE808,54),0)</f>
        <v/>
      </c>
      <c r="BF808">
        <f>IFERROR(INDEX(PP_Grid[#Data],$DE808,55),0)</f>
        <v/>
      </c>
      <c r="BG808">
        <f>IFERROR(INDEX(PP_Grid[#Data],$DE808,56),0)</f>
        <v/>
      </c>
      <c r="BH808">
        <f>IFERROR(INDEX(PP_Grid[#Data],$DE808,57),0)</f>
        <v/>
      </c>
      <c r="BI808">
        <f>IFERROR(INDEX(PP_Grid[#Data],$DE808,58),0)</f>
        <v/>
      </c>
      <c r="BJ808">
        <f>IFERROR(INDEX(PP_Grid[#Data],$DE808,59),0)</f>
        <v/>
      </c>
      <c r="BK808">
        <f>IFERROR(INDEX(PP_Grid[#Data],$DE808,60),0)</f>
        <v/>
      </c>
      <c r="BL808">
        <f>IFERROR(INDEX(PP_Grid[#Data],$DE808,61),0)</f>
        <v/>
      </c>
      <c r="BM808">
        <f>IFERROR(INDEX(PP_Grid[#Data],$DE808,62),0)</f>
        <v/>
      </c>
      <c r="BN808">
        <f>IFERROR(INDEX(PP_Grid[#Data],$DE808,63),0)</f>
        <v/>
      </c>
      <c r="BO808">
        <f>IFERROR(INDEX(PP_Grid[#Data],$DE808,64),0)</f>
        <v/>
      </c>
      <c r="BP808">
        <f>IFERROR(INDEX(PP_Grid[#Data],$DE808,65),0)</f>
        <v/>
      </c>
      <c r="BQ808">
        <f>IFERROR(INDEX(PP_Grid[#Data],$DE808,66),0)</f>
        <v/>
      </c>
      <c r="BR808">
        <f>IFERROR(INDEX(PP_Grid[#Data],$DE808,67),0)</f>
        <v/>
      </c>
      <c r="BS808">
        <f>IFERROR(INDEX(PP_Grid[#Data],$DE808,68),0)</f>
        <v/>
      </c>
      <c r="BT808">
        <f>IFERROR(INDEX(PP_Grid[#Data],$DE808,69),0)</f>
        <v/>
      </c>
      <c r="BU808">
        <f>IFERROR(INDEX(PP_Grid[#Data],$DE808,70),0)</f>
        <v/>
      </c>
      <c r="BV808">
        <f>IFERROR(INDEX(PP_Grid[#Data],$DE808,71),0)</f>
        <v/>
      </c>
      <c r="BW808">
        <f>IFERROR(INDEX(PP_Grid[#Data],$DE808,72),0)</f>
        <v/>
      </c>
      <c r="BX808">
        <f>IFERROR(INDEX(PP_Grid[#Data],$DE808,73),0)</f>
        <v/>
      </c>
      <c r="BY808">
        <f>IFERROR(INDEX(PP_Grid[#Data],$DE808,74),0)</f>
        <v/>
      </c>
      <c r="BZ808">
        <f>IFERROR(INDEX(PP_Grid[#Data],$DE808,75),0)</f>
        <v/>
      </c>
      <c r="CA808">
        <f>IFERROR(INDEX(PP_Grid[#Data],$DE808,76),0)</f>
        <v/>
      </c>
      <c r="CB808">
        <f>IFERROR(INDEX(PP_Grid[#Data],$DE808,77),0)</f>
        <v/>
      </c>
      <c r="CC808">
        <f>IFERROR(INDEX(PP_Grid[#Data],$DE808,78),0)</f>
        <v/>
      </c>
      <c r="CD808">
        <f>IFERROR(INDEX(PP_Grid[#Data],$DE808,79),0)</f>
        <v/>
      </c>
      <c r="CE808">
        <f>IFERROR(INDEX(PP_Grid[#Data],$DE808,80),0)</f>
        <v/>
      </c>
      <c r="CF808">
        <f>IFERROR(INDEX(PP_Grid[#Data],$DE808,81),0)</f>
        <v/>
      </c>
      <c r="CG808">
        <f>IFERROR(INDEX(PP_Grid[#Data],$DE808,82),0)</f>
        <v/>
      </c>
      <c r="CH808">
        <f>IFERROR(INDEX(PP_Grid[#Data],$DE808,83),0)</f>
        <v/>
      </c>
      <c r="CI808">
        <f>IFERROR(INDEX(PP_Grid[#Data],$DE808,84),0)</f>
        <v/>
      </c>
      <c r="CJ808">
        <f>IFERROR(INDEX(PP_Grid[#Data],$DE808,85),0)</f>
        <v/>
      </c>
      <c r="CK808">
        <f>IFERROR(INDEX(PP_Grid[#Data],$DE808,86),0)</f>
        <v/>
      </c>
      <c r="CL808">
        <f>IFERROR(INDEX(PP_Grid[#Data],$DE808,87),0)</f>
        <v/>
      </c>
      <c r="CM808">
        <f>IFERROR(INDEX(PP_Grid[#Data],$DE808,88),0)</f>
        <v/>
      </c>
      <c r="CN808">
        <f>IFERROR(INDEX(PP_Grid[#Data],$DE808,89),0)</f>
        <v/>
      </c>
      <c r="CO808">
        <f>IFERROR(INDEX(PP_Grid[#Data],$DE808,90),0)</f>
        <v/>
      </c>
      <c r="CP808">
        <f>IFERROR(INDEX(PP_Grid[#Data],$DE808,91),0)</f>
        <v/>
      </c>
      <c r="CQ808">
        <f>IFERROR(INDEX(PP_Grid[#Data],$DE808,92),0)</f>
        <v/>
      </c>
      <c r="CR808">
        <f>IFERROR(INDEX(PP_Grid[#Data],$DE808,93),0)</f>
        <v/>
      </c>
      <c r="CS808">
        <f>IFERROR(INDEX(PP_Grid[#Data],$DE808,94),0)</f>
        <v/>
      </c>
      <c r="CT808">
        <f>IFERROR(INDEX(PP_Grid[#Data],$DE808,95),0)</f>
        <v/>
      </c>
      <c r="CU808">
        <f>IFERROR(INDEX(PP_Grid[#Data],$DE808,96),0)</f>
        <v/>
      </c>
      <c r="CV808">
        <f>IFERROR(INDEX(PP_Grid[#Data],$DE808,97),0)</f>
        <v/>
      </c>
      <c r="CW808">
        <f>IFERROR(INDEX(PP_Grid[#Data],$DE808,98),0)</f>
        <v/>
      </c>
      <c r="CX808">
        <f>IFERROR(INDEX(PP_Grid[#Data],$DE808,99),0)</f>
        <v/>
      </c>
      <c r="CY808">
        <f>IFERROR(INDEX(PP_Grid[#Data],$DE808,100),0)</f>
        <v/>
      </c>
      <c r="CZ808">
        <f>IFERROR(INDEX(PP_Grid[#Data],$DE808,101),0)</f>
        <v/>
      </c>
      <c r="DA808">
        <f>IFERROR(INDEX(PP_Grid[#Data],$DE808,102),0)</f>
        <v/>
      </c>
      <c r="DB808">
        <f>IFERROR(INDEX(PP_Grid[#Data],$DE808,103),0)</f>
        <v/>
      </c>
      <c r="DC808">
        <f>IFERROR(INDEX(PP_Grid[#Data],$DE808,104),0)</f>
        <v/>
      </c>
      <c r="DD808">
        <f>IFERROR(INDEX(PP_Grid[#Data],$DE808,105),0)</f>
        <v/>
      </c>
      <c r="DE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SUMIFS(M_BOM[RM_Qty_Per_Batch],M_BOM[Intermediate],$B808,M_BOM[RM_Code],$A775)</f>
        <v/>
      </c>
      <c r="D809">
        <f>IFERROR(INDEX(E809:DD809,$F$1),"")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  <c r="DD809">
        <f>$C809*DD808</f>
        <v/>
      </c>
    </row>
    <row r="810">
      <c r="B810" t="inlineStr">
        <is>
          <t>TPP-378</t>
        </is>
      </c>
      <c r="C810" t="inlineStr">
        <is>
          <t>No. of batches</t>
        </is>
      </c>
      <c r="D810">
        <f>IFERROR(INDEX(E810:DD810,$F$1),"")</f>
        <v/>
      </c>
      <c r="E810">
        <f>IFERROR(INDEX(PP_Grid[#Data],$DE810,2),0)</f>
        <v/>
      </c>
      <c r="F810">
        <f>IFERROR(INDEX(PP_Grid[#Data],$DE810,3),0)</f>
        <v/>
      </c>
      <c r="G810">
        <f>IFERROR(INDEX(PP_Grid[#Data],$DE810,4),0)</f>
        <v/>
      </c>
      <c r="H810">
        <f>IFERROR(INDEX(PP_Grid[#Data],$DE810,5),0)</f>
        <v/>
      </c>
      <c r="I810">
        <f>IFERROR(INDEX(PP_Grid[#Data],$DE810,6),0)</f>
        <v/>
      </c>
      <c r="J810">
        <f>IFERROR(INDEX(PP_Grid[#Data],$DE810,7),0)</f>
        <v/>
      </c>
      <c r="K810">
        <f>IFERROR(INDEX(PP_Grid[#Data],$DE810,8),0)</f>
        <v/>
      </c>
      <c r="L810">
        <f>IFERROR(INDEX(PP_Grid[#Data],$DE810,9),0)</f>
        <v/>
      </c>
      <c r="M810">
        <f>IFERROR(INDEX(PP_Grid[#Data],$DE810,10),0)</f>
        <v/>
      </c>
      <c r="N810">
        <f>IFERROR(INDEX(PP_Grid[#Data],$DE810,11),0)</f>
        <v/>
      </c>
      <c r="O810">
        <f>IFERROR(INDEX(PP_Grid[#Data],$DE810,12),0)</f>
        <v/>
      </c>
      <c r="P810">
        <f>IFERROR(INDEX(PP_Grid[#Data],$DE810,13),0)</f>
        <v/>
      </c>
      <c r="Q810">
        <f>IFERROR(INDEX(PP_Grid[#Data],$DE810,14),0)</f>
        <v/>
      </c>
      <c r="R810">
        <f>IFERROR(INDEX(PP_Grid[#Data],$DE810,15),0)</f>
        <v/>
      </c>
      <c r="S810">
        <f>IFERROR(INDEX(PP_Grid[#Data],$DE810,16),0)</f>
        <v/>
      </c>
      <c r="T810">
        <f>IFERROR(INDEX(PP_Grid[#Data],$DE810,17),0)</f>
        <v/>
      </c>
      <c r="U810">
        <f>IFERROR(INDEX(PP_Grid[#Data],$DE810,18),0)</f>
        <v/>
      </c>
      <c r="V810">
        <f>IFERROR(INDEX(PP_Grid[#Data],$DE810,19),0)</f>
        <v/>
      </c>
      <c r="W810">
        <f>IFERROR(INDEX(PP_Grid[#Data],$DE810,20),0)</f>
        <v/>
      </c>
      <c r="X810">
        <f>IFERROR(INDEX(PP_Grid[#Data],$DE810,21),0)</f>
        <v/>
      </c>
      <c r="Y810">
        <f>IFERROR(INDEX(PP_Grid[#Data],$DE810,22),0)</f>
        <v/>
      </c>
      <c r="Z810">
        <f>IFERROR(INDEX(PP_Grid[#Data],$DE810,23),0)</f>
        <v/>
      </c>
      <c r="AA810">
        <f>IFERROR(INDEX(PP_Grid[#Data],$DE810,24),0)</f>
        <v/>
      </c>
      <c r="AB810">
        <f>IFERROR(INDEX(PP_Grid[#Data],$DE810,25),0)</f>
        <v/>
      </c>
      <c r="AC810">
        <f>IFERROR(INDEX(PP_Grid[#Data],$DE810,26),0)</f>
        <v/>
      </c>
      <c r="AD810">
        <f>IFERROR(INDEX(PP_Grid[#Data],$DE810,27),0)</f>
        <v/>
      </c>
      <c r="AE810">
        <f>IFERROR(INDEX(PP_Grid[#Data],$DE810,28),0)</f>
        <v/>
      </c>
      <c r="AF810">
        <f>IFERROR(INDEX(PP_Grid[#Data],$DE810,29),0)</f>
        <v/>
      </c>
      <c r="AG810">
        <f>IFERROR(INDEX(PP_Grid[#Data],$DE810,30),0)</f>
        <v/>
      </c>
      <c r="AH810">
        <f>IFERROR(INDEX(PP_Grid[#Data],$DE810,31),0)</f>
        <v/>
      </c>
      <c r="AI810">
        <f>IFERROR(INDEX(PP_Grid[#Data],$DE810,32),0)</f>
        <v/>
      </c>
      <c r="AJ810">
        <f>IFERROR(INDEX(PP_Grid[#Data],$DE810,33),0)</f>
        <v/>
      </c>
      <c r="AK810">
        <f>IFERROR(INDEX(PP_Grid[#Data],$DE810,34),0)</f>
        <v/>
      </c>
      <c r="AL810">
        <f>IFERROR(INDEX(PP_Grid[#Data],$DE810,35),0)</f>
        <v/>
      </c>
      <c r="AM810">
        <f>IFERROR(INDEX(PP_Grid[#Data],$DE810,36),0)</f>
        <v/>
      </c>
      <c r="AN810">
        <f>IFERROR(INDEX(PP_Grid[#Data],$DE810,37),0)</f>
        <v/>
      </c>
      <c r="AO810">
        <f>IFERROR(INDEX(PP_Grid[#Data],$DE810,38),0)</f>
        <v/>
      </c>
      <c r="AP810">
        <f>IFERROR(INDEX(PP_Grid[#Data],$DE810,39),0)</f>
        <v/>
      </c>
      <c r="AQ810">
        <f>IFERROR(INDEX(PP_Grid[#Data],$DE810,40),0)</f>
        <v/>
      </c>
      <c r="AR810">
        <f>IFERROR(INDEX(PP_Grid[#Data],$DE810,41),0)</f>
        <v/>
      </c>
      <c r="AS810">
        <f>IFERROR(INDEX(PP_Grid[#Data],$DE810,42),0)</f>
        <v/>
      </c>
      <c r="AT810">
        <f>IFERROR(INDEX(PP_Grid[#Data],$DE810,43),0)</f>
        <v/>
      </c>
      <c r="AU810">
        <f>IFERROR(INDEX(PP_Grid[#Data],$DE810,44),0)</f>
        <v/>
      </c>
      <c r="AV810">
        <f>IFERROR(INDEX(PP_Grid[#Data],$DE810,45),0)</f>
        <v/>
      </c>
      <c r="AW810">
        <f>IFERROR(INDEX(PP_Grid[#Data],$DE810,46),0)</f>
        <v/>
      </c>
      <c r="AX810">
        <f>IFERROR(INDEX(PP_Grid[#Data],$DE810,47),0)</f>
        <v/>
      </c>
      <c r="AY810">
        <f>IFERROR(INDEX(PP_Grid[#Data],$DE810,48),0)</f>
        <v/>
      </c>
      <c r="AZ810">
        <f>IFERROR(INDEX(PP_Grid[#Data],$DE810,49),0)</f>
        <v/>
      </c>
      <c r="BA810">
        <f>IFERROR(INDEX(PP_Grid[#Data],$DE810,50),0)</f>
        <v/>
      </c>
      <c r="BB810">
        <f>IFERROR(INDEX(PP_Grid[#Data],$DE810,51),0)</f>
        <v/>
      </c>
      <c r="BC810">
        <f>IFERROR(INDEX(PP_Grid[#Data],$DE810,52),0)</f>
        <v/>
      </c>
      <c r="BD810">
        <f>IFERROR(INDEX(PP_Grid[#Data],$DE810,53),0)</f>
        <v/>
      </c>
      <c r="BE810">
        <f>IFERROR(INDEX(PP_Grid[#Data],$DE810,54),0)</f>
        <v/>
      </c>
      <c r="BF810">
        <f>IFERROR(INDEX(PP_Grid[#Data],$DE810,55),0)</f>
        <v/>
      </c>
      <c r="BG810">
        <f>IFERROR(INDEX(PP_Grid[#Data],$DE810,56),0)</f>
        <v/>
      </c>
      <c r="BH810">
        <f>IFERROR(INDEX(PP_Grid[#Data],$DE810,57),0)</f>
        <v/>
      </c>
      <c r="BI810">
        <f>IFERROR(INDEX(PP_Grid[#Data],$DE810,58),0)</f>
        <v/>
      </c>
      <c r="BJ810">
        <f>IFERROR(INDEX(PP_Grid[#Data],$DE810,59),0)</f>
        <v/>
      </c>
      <c r="BK810">
        <f>IFERROR(INDEX(PP_Grid[#Data],$DE810,60),0)</f>
        <v/>
      </c>
      <c r="BL810">
        <f>IFERROR(INDEX(PP_Grid[#Data],$DE810,61),0)</f>
        <v/>
      </c>
      <c r="BM810">
        <f>IFERROR(INDEX(PP_Grid[#Data],$DE810,62),0)</f>
        <v/>
      </c>
      <c r="BN810">
        <f>IFERROR(INDEX(PP_Grid[#Data],$DE810,63),0)</f>
        <v/>
      </c>
      <c r="BO810">
        <f>IFERROR(INDEX(PP_Grid[#Data],$DE810,64),0)</f>
        <v/>
      </c>
      <c r="BP810">
        <f>IFERROR(INDEX(PP_Grid[#Data],$DE810,65),0)</f>
        <v/>
      </c>
      <c r="BQ810">
        <f>IFERROR(INDEX(PP_Grid[#Data],$DE810,66),0)</f>
        <v/>
      </c>
      <c r="BR810">
        <f>IFERROR(INDEX(PP_Grid[#Data],$DE810,67),0)</f>
        <v/>
      </c>
      <c r="BS810">
        <f>IFERROR(INDEX(PP_Grid[#Data],$DE810,68),0)</f>
        <v/>
      </c>
      <c r="BT810">
        <f>IFERROR(INDEX(PP_Grid[#Data],$DE810,69),0)</f>
        <v/>
      </c>
      <c r="BU810">
        <f>IFERROR(INDEX(PP_Grid[#Data],$DE810,70),0)</f>
        <v/>
      </c>
      <c r="BV810">
        <f>IFERROR(INDEX(PP_Grid[#Data],$DE810,71),0)</f>
        <v/>
      </c>
      <c r="BW810">
        <f>IFERROR(INDEX(PP_Grid[#Data],$DE810,72),0)</f>
        <v/>
      </c>
      <c r="BX810">
        <f>IFERROR(INDEX(PP_Grid[#Data],$DE810,73),0)</f>
        <v/>
      </c>
      <c r="BY810">
        <f>IFERROR(INDEX(PP_Grid[#Data],$DE810,74),0)</f>
        <v/>
      </c>
      <c r="BZ810">
        <f>IFERROR(INDEX(PP_Grid[#Data],$DE810,75),0)</f>
        <v/>
      </c>
      <c r="CA810">
        <f>IFERROR(INDEX(PP_Grid[#Data],$DE810,76),0)</f>
        <v/>
      </c>
      <c r="CB810">
        <f>IFERROR(INDEX(PP_Grid[#Data],$DE810,77),0)</f>
        <v/>
      </c>
      <c r="CC810">
        <f>IFERROR(INDEX(PP_Grid[#Data],$DE810,78),0)</f>
        <v/>
      </c>
      <c r="CD810">
        <f>IFERROR(INDEX(PP_Grid[#Data],$DE810,79),0)</f>
        <v/>
      </c>
      <c r="CE810">
        <f>IFERROR(INDEX(PP_Grid[#Data],$DE810,80),0)</f>
        <v/>
      </c>
      <c r="CF810">
        <f>IFERROR(INDEX(PP_Grid[#Data],$DE810,81),0)</f>
        <v/>
      </c>
      <c r="CG810">
        <f>IFERROR(INDEX(PP_Grid[#Data],$DE810,82),0)</f>
        <v/>
      </c>
      <c r="CH810">
        <f>IFERROR(INDEX(PP_Grid[#Data],$DE810,83),0)</f>
        <v/>
      </c>
      <c r="CI810">
        <f>IFERROR(INDEX(PP_Grid[#Data],$DE810,84),0)</f>
        <v/>
      </c>
      <c r="CJ810">
        <f>IFERROR(INDEX(PP_Grid[#Data],$DE810,85),0)</f>
        <v/>
      </c>
      <c r="CK810">
        <f>IFERROR(INDEX(PP_Grid[#Data],$DE810,86),0)</f>
        <v/>
      </c>
      <c r="CL810">
        <f>IFERROR(INDEX(PP_Grid[#Data],$DE810,87),0)</f>
        <v/>
      </c>
      <c r="CM810">
        <f>IFERROR(INDEX(PP_Grid[#Data],$DE810,88),0)</f>
        <v/>
      </c>
      <c r="CN810">
        <f>IFERROR(INDEX(PP_Grid[#Data],$DE810,89),0)</f>
        <v/>
      </c>
      <c r="CO810">
        <f>IFERROR(INDEX(PP_Grid[#Data],$DE810,90),0)</f>
        <v/>
      </c>
      <c r="CP810">
        <f>IFERROR(INDEX(PP_Grid[#Data],$DE810,91),0)</f>
        <v/>
      </c>
      <c r="CQ810">
        <f>IFERROR(INDEX(PP_Grid[#Data],$DE810,92),0)</f>
        <v/>
      </c>
      <c r="CR810">
        <f>IFERROR(INDEX(PP_Grid[#Data],$DE810,93),0)</f>
        <v/>
      </c>
      <c r="CS810">
        <f>IFERROR(INDEX(PP_Grid[#Data],$DE810,94),0)</f>
        <v/>
      </c>
      <c r="CT810">
        <f>IFERROR(INDEX(PP_Grid[#Data],$DE810,95),0)</f>
        <v/>
      </c>
      <c r="CU810">
        <f>IFERROR(INDEX(PP_Grid[#Data],$DE810,96),0)</f>
        <v/>
      </c>
      <c r="CV810">
        <f>IFERROR(INDEX(PP_Grid[#Data],$DE810,97),0)</f>
        <v/>
      </c>
      <c r="CW810">
        <f>IFERROR(INDEX(PP_Grid[#Data],$DE810,98),0)</f>
        <v/>
      </c>
      <c r="CX810">
        <f>IFERROR(INDEX(PP_Grid[#Data],$DE810,99),0)</f>
        <v/>
      </c>
      <c r="CY810">
        <f>IFERROR(INDEX(PP_Grid[#Data],$DE810,100),0)</f>
        <v/>
      </c>
      <c r="CZ810">
        <f>IFERROR(INDEX(PP_Grid[#Data],$DE810,101),0)</f>
        <v/>
      </c>
      <c r="DA810">
        <f>IFERROR(INDEX(PP_Grid[#Data],$DE810,102),0)</f>
        <v/>
      </c>
      <c r="DB810">
        <f>IFERROR(INDEX(PP_Grid[#Data],$DE810,103),0)</f>
        <v/>
      </c>
      <c r="DC810">
        <f>IFERROR(INDEX(PP_Grid[#Data],$DE810,104),0)</f>
        <v/>
      </c>
      <c r="DD810">
        <f>IFERROR(INDEX(PP_Grid[#Data],$DE810,105),0)</f>
        <v/>
      </c>
      <c r="DE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SUMIFS(M_BOM[RM_Qty_Per_Batch],M_BOM[Intermediate],$B810,M_BOM[RM_Code],$A775)</f>
        <v/>
      </c>
      <c r="D811">
        <f>IFERROR(INDEX(E811:DD811,$F$1),"")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  <c r="DD811">
        <f>$C811*DD810</f>
        <v/>
      </c>
    </row>
    <row r="812">
      <c r="B812" t="inlineStr">
        <is>
          <t>TPP-527</t>
        </is>
      </c>
      <c r="C812" t="inlineStr">
        <is>
          <t>No. of batches</t>
        </is>
      </c>
      <c r="D812">
        <f>IFERROR(INDEX(E812:DD812,$F$1),"")</f>
        <v/>
      </c>
      <c r="E812">
        <f>IFERROR(INDEX(PP_Grid[#Data],$DE812,2),0)</f>
        <v/>
      </c>
      <c r="F812">
        <f>IFERROR(INDEX(PP_Grid[#Data],$DE812,3),0)</f>
        <v/>
      </c>
      <c r="G812">
        <f>IFERROR(INDEX(PP_Grid[#Data],$DE812,4),0)</f>
        <v/>
      </c>
      <c r="H812">
        <f>IFERROR(INDEX(PP_Grid[#Data],$DE812,5),0)</f>
        <v/>
      </c>
      <c r="I812">
        <f>IFERROR(INDEX(PP_Grid[#Data],$DE812,6),0)</f>
        <v/>
      </c>
      <c r="J812">
        <f>IFERROR(INDEX(PP_Grid[#Data],$DE812,7),0)</f>
        <v/>
      </c>
      <c r="K812">
        <f>IFERROR(INDEX(PP_Grid[#Data],$DE812,8),0)</f>
        <v/>
      </c>
      <c r="L812">
        <f>IFERROR(INDEX(PP_Grid[#Data],$DE812,9),0)</f>
        <v/>
      </c>
      <c r="M812">
        <f>IFERROR(INDEX(PP_Grid[#Data],$DE812,10),0)</f>
        <v/>
      </c>
      <c r="N812">
        <f>IFERROR(INDEX(PP_Grid[#Data],$DE812,11),0)</f>
        <v/>
      </c>
      <c r="O812">
        <f>IFERROR(INDEX(PP_Grid[#Data],$DE812,12),0)</f>
        <v/>
      </c>
      <c r="P812">
        <f>IFERROR(INDEX(PP_Grid[#Data],$DE812,13),0)</f>
        <v/>
      </c>
      <c r="Q812">
        <f>IFERROR(INDEX(PP_Grid[#Data],$DE812,14),0)</f>
        <v/>
      </c>
      <c r="R812">
        <f>IFERROR(INDEX(PP_Grid[#Data],$DE812,15),0)</f>
        <v/>
      </c>
      <c r="S812">
        <f>IFERROR(INDEX(PP_Grid[#Data],$DE812,16),0)</f>
        <v/>
      </c>
      <c r="T812">
        <f>IFERROR(INDEX(PP_Grid[#Data],$DE812,17),0)</f>
        <v/>
      </c>
      <c r="U812">
        <f>IFERROR(INDEX(PP_Grid[#Data],$DE812,18),0)</f>
        <v/>
      </c>
      <c r="V812">
        <f>IFERROR(INDEX(PP_Grid[#Data],$DE812,19),0)</f>
        <v/>
      </c>
      <c r="W812">
        <f>IFERROR(INDEX(PP_Grid[#Data],$DE812,20),0)</f>
        <v/>
      </c>
      <c r="X812">
        <f>IFERROR(INDEX(PP_Grid[#Data],$DE812,21),0)</f>
        <v/>
      </c>
      <c r="Y812">
        <f>IFERROR(INDEX(PP_Grid[#Data],$DE812,22),0)</f>
        <v/>
      </c>
      <c r="Z812">
        <f>IFERROR(INDEX(PP_Grid[#Data],$DE812,23),0)</f>
        <v/>
      </c>
      <c r="AA812">
        <f>IFERROR(INDEX(PP_Grid[#Data],$DE812,24),0)</f>
        <v/>
      </c>
      <c r="AB812">
        <f>IFERROR(INDEX(PP_Grid[#Data],$DE812,25),0)</f>
        <v/>
      </c>
      <c r="AC812">
        <f>IFERROR(INDEX(PP_Grid[#Data],$DE812,26),0)</f>
        <v/>
      </c>
      <c r="AD812">
        <f>IFERROR(INDEX(PP_Grid[#Data],$DE812,27),0)</f>
        <v/>
      </c>
      <c r="AE812">
        <f>IFERROR(INDEX(PP_Grid[#Data],$DE812,28),0)</f>
        <v/>
      </c>
      <c r="AF812">
        <f>IFERROR(INDEX(PP_Grid[#Data],$DE812,29),0)</f>
        <v/>
      </c>
      <c r="AG812">
        <f>IFERROR(INDEX(PP_Grid[#Data],$DE812,30),0)</f>
        <v/>
      </c>
      <c r="AH812">
        <f>IFERROR(INDEX(PP_Grid[#Data],$DE812,31),0)</f>
        <v/>
      </c>
      <c r="AI812">
        <f>IFERROR(INDEX(PP_Grid[#Data],$DE812,32),0)</f>
        <v/>
      </c>
      <c r="AJ812">
        <f>IFERROR(INDEX(PP_Grid[#Data],$DE812,33),0)</f>
        <v/>
      </c>
      <c r="AK812">
        <f>IFERROR(INDEX(PP_Grid[#Data],$DE812,34),0)</f>
        <v/>
      </c>
      <c r="AL812">
        <f>IFERROR(INDEX(PP_Grid[#Data],$DE812,35),0)</f>
        <v/>
      </c>
      <c r="AM812">
        <f>IFERROR(INDEX(PP_Grid[#Data],$DE812,36),0)</f>
        <v/>
      </c>
      <c r="AN812">
        <f>IFERROR(INDEX(PP_Grid[#Data],$DE812,37),0)</f>
        <v/>
      </c>
      <c r="AO812">
        <f>IFERROR(INDEX(PP_Grid[#Data],$DE812,38),0)</f>
        <v/>
      </c>
      <c r="AP812">
        <f>IFERROR(INDEX(PP_Grid[#Data],$DE812,39),0)</f>
        <v/>
      </c>
      <c r="AQ812">
        <f>IFERROR(INDEX(PP_Grid[#Data],$DE812,40),0)</f>
        <v/>
      </c>
      <c r="AR812">
        <f>IFERROR(INDEX(PP_Grid[#Data],$DE812,41),0)</f>
        <v/>
      </c>
      <c r="AS812">
        <f>IFERROR(INDEX(PP_Grid[#Data],$DE812,42),0)</f>
        <v/>
      </c>
      <c r="AT812">
        <f>IFERROR(INDEX(PP_Grid[#Data],$DE812,43),0)</f>
        <v/>
      </c>
      <c r="AU812">
        <f>IFERROR(INDEX(PP_Grid[#Data],$DE812,44),0)</f>
        <v/>
      </c>
      <c r="AV812">
        <f>IFERROR(INDEX(PP_Grid[#Data],$DE812,45),0)</f>
        <v/>
      </c>
      <c r="AW812">
        <f>IFERROR(INDEX(PP_Grid[#Data],$DE812,46),0)</f>
        <v/>
      </c>
      <c r="AX812">
        <f>IFERROR(INDEX(PP_Grid[#Data],$DE812,47),0)</f>
        <v/>
      </c>
      <c r="AY812">
        <f>IFERROR(INDEX(PP_Grid[#Data],$DE812,48),0)</f>
        <v/>
      </c>
      <c r="AZ812">
        <f>IFERROR(INDEX(PP_Grid[#Data],$DE812,49),0)</f>
        <v/>
      </c>
      <c r="BA812">
        <f>IFERROR(INDEX(PP_Grid[#Data],$DE812,50),0)</f>
        <v/>
      </c>
      <c r="BB812">
        <f>IFERROR(INDEX(PP_Grid[#Data],$DE812,51),0)</f>
        <v/>
      </c>
      <c r="BC812">
        <f>IFERROR(INDEX(PP_Grid[#Data],$DE812,52),0)</f>
        <v/>
      </c>
      <c r="BD812">
        <f>IFERROR(INDEX(PP_Grid[#Data],$DE812,53),0)</f>
        <v/>
      </c>
      <c r="BE812">
        <f>IFERROR(INDEX(PP_Grid[#Data],$DE812,54),0)</f>
        <v/>
      </c>
      <c r="BF812">
        <f>IFERROR(INDEX(PP_Grid[#Data],$DE812,55),0)</f>
        <v/>
      </c>
      <c r="BG812">
        <f>IFERROR(INDEX(PP_Grid[#Data],$DE812,56),0)</f>
        <v/>
      </c>
      <c r="BH812">
        <f>IFERROR(INDEX(PP_Grid[#Data],$DE812,57),0)</f>
        <v/>
      </c>
      <c r="BI812">
        <f>IFERROR(INDEX(PP_Grid[#Data],$DE812,58),0)</f>
        <v/>
      </c>
      <c r="BJ812">
        <f>IFERROR(INDEX(PP_Grid[#Data],$DE812,59),0)</f>
        <v/>
      </c>
      <c r="BK812">
        <f>IFERROR(INDEX(PP_Grid[#Data],$DE812,60),0)</f>
        <v/>
      </c>
      <c r="BL812">
        <f>IFERROR(INDEX(PP_Grid[#Data],$DE812,61),0)</f>
        <v/>
      </c>
      <c r="BM812">
        <f>IFERROR(INDEX(PP_Grid[#Data],$DE812,62),0)</f>
        <v/>
      </c>
      <c r="BN812">
        <f>IFERROR(INDEX(PP_Grid[#Data],$DE812,63),0)</f>
        <v/>
      </c>
      <c r="BO812">
        <f>IFERROR(INDEX(PP_Grid[#Data],$DE812,64),0)</f>
        <v/>
      </c>
      <c r="BP812">
        <f>IFERROR(INDEX(PP_Grid[#Data],$DE812,65),0)</f>
        <v/>
      </c>
      <c r="BQ812">
        <f>IFERROR(INDEX(PP_Grid[#Data],$DE812,66),0)</f>
        <v/>
      </c>
      <c r="BR812">
        <f>IFERROR(INDEX(PP_Grid[#Data],$DE812,67),0)</f>
        <v/>
      </c>
      <c r="BS812">
        <f>IFERROR(INDEX(PP_Grid[#Data],$DE812,68),0)</f>
        <v/>
      </c>
      <c r="BT812">
        <f>IFERROR(INDEX(PP_Grid[#Data],$DE812,69),0)</f>
        <v/>
      </c>
      <c r="BU812">
        <f>IFERROR(INDEX(PP_Grid[#Data],$DE812,70),0)</f>
        <v/>
      </c>
      <c r="BV812">
        <f>IFERROR(INDEX(PP_Grid[#Data],$DE812,71),0)</f>
        <v/>
      </c>
      <c r="BW812">
        <f>IFERROR(INDEX(PP_Grid[#Data],$DE812,72),0)</f>
        <v/>
      </c>
      <c r="BX812">
        <f>IFERROR(INDEX(PP_Grid[#Data],$DE812,73),0)</f>
        <v/>
      </c>
      <c r="BY812">
        <f>IFERROR(INDEX(PP_Grid[#Data],$DE812,74),0)</f>
        <v/>
      </c>
      <c r="BZ812">
        <f>IFERROR(INDEX(PP_Grid[#Data],$DE812,75),0)</f>
        <v/>
      </c>
      <c r="CA812">
        <f>IFERROR(INDEX(PP_Grid[#Data],$DE812,76),0)</f>
        <v/>
      </c>
      <c r="CB812">
        <f>IFERROR(INDEX(PP_Grid[#Data],$DE812,77),0)</f>
        <v/>
      </c>
      <c r="CC812">
        <f>IFERROR(INDEX(PP_Grid[#Data],$DE812,78),0)</f>
        <v/>
      </c>
      <c r="CD812">
        <f>IFERROR(INDEX(PP_Grid[#Data],$DE812,79),0)</f>
        <v/>
      </c>
      <c r="CE812">
        <f>IFERROR(INDEX(PP_Grid[#Data],$DE812,80),0)</f>
        <v/>
      </c>
      <c r="CF812">
        <f>IFERROR(INDEX(PP_Grid[#Data],$DE812,81),0)</f>
        <v/>
      </c>
      <c r="CG812">
        <f>IFERROR(INDEX(PP_Grid[#Data],$DE812,82),0)</f>
        <v/>
      </c>
      <c r="CH812">
        <f>IFERROR(INDEX(PP_Grid[#Data],$DE812,83),0)</f>
        <v/>
      </c>
      <c r="CI812">
        <f>IFERROR(INDEX(PP_Grid[#Data],$DE812,84),0)</f>
        <v/>
      </c>
      <c r="CJ812">
        <f>IFERROR(INDEX(PP_Grid[#Data],$DE812,85),0)</f>
        <v/>
      </c>
      <c r="CK812">
        <f>IFERROR(INDEX(PP_Grid[#Data],$DE812,86),0)</f>
        <v/>
      </c>
      <c r="CL812">
        <f>IFERROR(INDEX(PP_Grid[#Data],$DE812,87),0)</f>
        <v/>
      </c>
      <c r="CM812">
        <f>IFERROR(INDEX(PP_Grid[#Data],$DE812,88),0)</f>
        <v/>
      </c>
      <c r="CN812">
        <f>IFERROR(INDEX(PP_Grid[#Data],$DE812,89),0)</f>
        <v/>
      </c>
      <c r="CO812">
        <f>IFERROR(INDEX(PP_Grid[#Data],$DE812,90),0)</f>
        <v/>
      </c>
      <c r="CP812">
        <f>IFERROR(INDEX(PP_Grid[#Data],$DE812,91),0)</f>
        <v/>
      </c>
      <c r="CQ812">
        <f>IFERROR(INDEX(PP_Grid[#Data],$DE812,92),0)</f>
        <v/>
      </c>
      <c r="CR812">
        <f>IFERROR(INDEX(PP_Grid[#Data],$DE812,93),0)</f>
        <v/>
      </c>
      <c r="CS812">
        <f>IFERROR(INDEX(PP_Grid[#Data],$DE812,94),0)</f>
        <v/>
      </c>
      <c r="CT812">
        <f>IFERROR(INDEX(PP_Grid[#Data],$DE812,95),0)</f>
        <v/>
      </c>
      <c r="CU812">
        <f>IFERROR(INDEX(PP_Grid[#Data],$DE812,96),0)</f>
        <v/>
      </c>
      <c r="CV812">
        <f>IFERROR(INDEX(PP_Grid[#Data],$DE812,97),0)</f>
        <v/>
      </c>
      <c r="CW812">
        <f>IFERROR(INDEX(PP_Grid[#Data],$DE812,98),0)</f>
        <v/>
      </c>
      <c r="CX812">
        <f>IFERROR(INDEX(PP_Grid[#Data],$DE812,99),0)</f>
        <v/>
      </c>
      <c r="CY812">
        <f>IFERROR(INDEX(PP_Grid[#Data],$DE812,100),0)</f>
        <v/>
      </c>
      <c r="CZ812">
        <f>IFERROR(INDEX(PP_Grid[#Data],$DE812,101),0)</f>
        <v/>
      </c>
      <c r="DA812">
        <f>IFERROR(INDEX(PP_Grid[#Data],$DE812,102),0)</f>
        <v/>
      </c>
      <c r="DB812">
        <f>IFERROR(INDEX(PP_Grid[#Data],$DE812,103),0)</f>
        <v/>
      </c>
      <c r="DC812">
        <f>IFERROR(INDEX(PP_Grid[#Data],$DE812,104),0)</f>
        <v/>
      </c>
      <c r="DD812">
        <f>IFERROR(INDEX(PP_Grid[#Data],$DE812,105),0)</f>
        <v/>
      </c>
      <c r="DE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SUMIFS(M_BOM[RM_Qty_Per_Batch],M_BOM[Intermediate],$B812,M_BOM[RM_Code],$A775)</f>
        <v/>
      </c>
      <c r="D813">
        <f>IFERROR(INDEX(E813:DD813,$F$1),"")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  <c r="DD813">
        <f>$C813*DD812</f>
        <v/>
      </c>
    </row>
    <row r="814">
      <c r="B814" t="inlineStr">
        <is>
          <t>TPP-968</t>
        </is>
      </c>
      <c r="C814" t="inlineStr">
        <is>
          <t>No. of batches</t>
        </is>
      </c>
      <c r="D814">
        <f>IFERROR(INDEX(E814:DD814,$F$1),"")</f>
        <v/>
      </c>
      <c r="E814">
        <f>IFERROR(INDEX(PP_Grid[#Data],$DE814,2),0)</f>
        <v/>
      </c>
      <c r="F814">
        <f>IFERROR(INDEX(PP_Grid[#Data],$DE814,3),0)</f>
        <v/>
      </c>
      <c r="G814">
        <f>IFERROR(INDEX(PP_Grid[#Data],$DE814,4),0)</f>
        <v/>
      </c>
      <c r="H814">
        <f>IFERROR(INDEX(PP_Grid[#Data],$DE814,5),0)</f>
        <v/>
      </c>
      <c r="I814">
        <f>IFERROR(INDEX(PP_Grid[#Data],$DE814,6),0)</f>
        <v/>
      </c>
      <c r="J814">
        <f>IFERROR(INDEX(PP_Grid[#Data],$DE814,7),0)</f>
        <v/>
      </c>
      <c r="K814">
        <f>IFERROR(INDEX(PP_Grid[#Data],$DE814,8),0)</f>
        <v/>
      </c>
      <c r="L814">
        <f>IFERROR(INDEX(PP_Grid[#Data],$DE814,9),0)</f>
        <v/>
      </c>
      <c r="M814">
        <f>IFERROR(INDEX(PP_Grid[#Data],$DE814,10),0)</f>
        <v/>
      </c>
      <c r="N814">
        <f>IFERROR(INDEX(PP_Grid[#Data],$DE814,11),0)</f>
        <v/>
      </c>
      <c r="O814">
        <f>IFERROR(INDEX(PP_Grid[#Data],$DE814,12),0)</f>
        <v/>
      </c>
      <c r="P814">
        <f>IFERROR(INDEX(PP_Grid[#Data],$DE814,13),0)</f>
        <v/>
      </c>
      <c r="Q814">
        <f>IFERROR(INDEX(PP_Grid[#Data],$DE814,14),0)</f>
        <v/>
      </c>
      <c r="R814">
        <f>IFERROR(INDEX(PP_Grid[#Data],$DE814,15),0)</f>
        <v/>
      </c>
      <c r="S814">
        <f>IFERROR(INDEX(PP_Grid[#Data],$DE814,16),0)</f>
        <v/>
      </c>
      <c r="T814">
        <f>IFERROR(INDEX(PP_Grid[#Data],$DE814,17),0)</f>
        <v/>
      </c>
      <c r="U814">
        <f>IFERROR(INDEX(PP_Grid[#Data],$DE814,18),0)</f>
        <v/>
      </c>
      <c r="V814">
        <f>IFERROR(INDEX(PP_Grid[#Data],$DE814,19),0)</f>
        <v/>
      </c>
      <c r="W814">
        <f>IFERROR(INDEX(PP_Grid[#Data],$DE814,20),0)</f>
        <v/>
      </c>
      <c r="X814">
        <f>IFERROR(INDEX(PP_Grid[#Data],$DE814,21),0)</f>
        <v/>
      </c>
      <c r="Y814">
        <f>IFERROR(INDEX(PP_Grid[#Data],$DE814,22),0)</f>
        <v/>
      </c>
      <c r="Z814">
        <f>IFERROR(INDEX(PP_Grid[#Data],$DE814,23),0)</f>
        <v/>
      </c>
      <c r="AA814">
        <f>IFERROR(INDEX(PP_Grid[#Data],$DE814,24),0)</f>
        <v/>
      </c>
      <c r="AB814">
        <f>IFERROR(INDEX(PP_Grid[#Data],$DE814,25),0)</f>
        <v/>
      </c>
      <c r="AC814">
        <f>IFERROR(INDEX(PP_Grid[#Data],$DE814,26),0)</f>
        <v/>
      </c>
      <c r="AD814">
        <f>IFERROR(INDEX(PP_Grid[#Data],$DE814,27),0)</f>
        <v/>
      </c>
      <c r="AE814">
        <f>IFERROR(INDEX(PP_Grid[#Data],$DE814,28),0)</f>
        <v/>
      </c>
      <c r="AF814">
        <f>IFERROR(INDEX(PP_Grid[#Data],$DE814,29),0)</f>
        <v/>
      </c>
      <c r="AG814">
        <f>IFERROR(INDEX(PP_Grid[#Data],$DE814,30),0)</f>
        <v/>
      </c>
      <c r="AH814">
        <f>IFERROR(INDEX(PP_Grid[#Data],$DE814,31),0)</f>
        <v/>
      </c>
      <c r="AI814">
        <f>IFERROR(INDEX(PP_Grid[#Data],$DE814,32),0)</f>
        <v/>
      </c>
      <c r="AJ814">
        <f>IFERROR(INDEX(PP_Grid[#Data],$DE814,33),0)</f>
        <v/>
      </c>
      <c r="AK814">
        <f>IFERROR(INDEX(PP_Grid[#Data],$DE814,34),0)</f>
        <v/>
      </c>
      <c r="AL814">
        <f>IFERROR(INDEX(PP_Grid[#Data],$DE814,35),0)</f>
        <v/>
      </c>
      <c r="AM814">
        <f>IFERROR(INDEX(PP_Grid[#Data],$DE814,36),0)</f>
        <v/>
      </c>
      <c r="AN814">
        <f>IFERROR(INDEX(PP_Grid[#Data],$DE814,37),0)</f>
        <v/>
      </c>
      <c r="AO814">
        <f>IFERROR(INDEX(PP_Grid[#Data],$DE814,38),0)</f>
        <v/>
      </c>
      <c r="AP814">
        <f>IFERROR(INDEX(PP_Grid[#Data],$DE814,39),0)</f>
        <v/>
      </c>
      <c r="AQ814">
        <f>IFERROR(INDEX(PP_Grid[#Data],$DE814,40),0)</f>
        <v/>
      </c>
      <c r="AR814">
        <f>IFERROR(INDEX(PP_Grid[#Data],$DE814,41),0)</f>
        <v/>
      </c>
      <c r="AS814">
        <f>IFERROR(INDEX(PP_Grid[#Data],$DE814,42),0)</f>
        <v/>
      </c>
      <c r="AT814">
        <f>IFERROR(INDEX(PP_Grid[#Data],$DE814,43),0)</f>
        <v/>
      </c>
      <c r="AU814">
        <f>IFERROR(INDEX(PP_Grid[#Data],$DE814,44),0)</f>
        <v/>
      </c>
      <c r="AV814">
        <f>IFERROR(INDEX(PP_Grid[#Data],$DE814,45),0)</f>
        <v/>
      </c>
      <c r="AW814">
        <f>IFERROR(INDEX(PP_Grid[#Data],$DE814,46),0)</f>
        <v/>
      </c>
      <c r="AX814">
        <f>IFERROR(INDEX(PP_Grid[#Data],$DE814,47),0)</f>
        <v/>
      </c>
      <c r="AY814">
        <f>IFERROR(INDEX(PP_Grid[#Data],$DE814,48),0)</f>
        <v/>
      </c>
      <c r="AZ814">
        <f>IFERROR(INDEX(PP_Grid[#Data],$DE814,49),0)</f>
        <v/>
      </c>
      <c r="BA814">
        <f>IFERROR(INDEX(PP_Grid[#Data],$DE814,50),0)</f>
        <v/>
      </c>
      <c r="BB814">
        <f>IFERROR(INDEX(PP_Grid[#Data],$DE814,51),0)</f>
        <v/>
      </c>
      <c r="BC814">
        <f>IFERROR(INDEX(PP_Grid[#Data],$DE814,52),0)</f>
        <v/>
      </c>
      <c r="BD814">
        <f>IFERROR(INDEX(PP_Grid[#Data],$DE814,53),0)</f>
        <v/>
      </c>
      <c r="BE814">
        <f>IFERROR(INDEX(PP_Grid[#Data],$DE814,54),0)</f>
        <v/>
      </c>
      <c r="BF814">
        <f>IFERROR(INDEX(PP_Grid[#Data],$DE814,55),0)</f>
        <v/>
      </c>
      <c r="BG814">
        <f>IFERROR(INDEX(PP_Grid[#Data],$DE814,56),0)</f>
        <v/>
      </c>
      <c r="BH814">
        <f>IFERROR(INDEX(PP_Grid[#Data],$DE814,57),0)</f>
        <v/>
      </c>
      <c r="BI814">
        <f>IFERROR(INDEX(PP_Grid[#Data],$DE814,58),0)</f>
        <v/>
      </c>
      <c r="BJ814">
        <f>IFERROR(INDEX(PP_Grid[#Data],$DE814,59),0)</f>
        <v/>
      </c>
      <c r="BK814">
        <f>IFERROR(INDEX(PP_Grid[#Data],$DE814,60),0)</f>
        <v/>
      </c>
      <c r="BL814">
        <f>IFERROR(INDEX(PP_Grid[#Data],$DE814,61),0)</f>
        <v/>
      </c>
      <c r="BM814">
        <f>IFERROR(INDEX(PP_Grid[#Data],$DE814,62),0)</f>
        <v/>
      </c>
      <c r="BN814">
        <f>IFERROR(INDEX(PP_Grid[#Data],$DE814,63),0)</f>
        <v/>
      </c>
      <c r="BO814">
        <f>IFERROR(INDEX(PP_Grid[#Data],$DE814,64),0)</f>
        <v/>
      </c>
      <c r="BP814">
        <f>IFERROR(INDEX(PP_Grid[#Data],$DE814,65),0)</f>
        <v/>
      </c>
      <c r="BQ814">
        <f>IFERROR(INDEX(PP_Grid[#Data],$DE814,66),0)</f>
        <v/>
      </c>
      <c r="BR814">
        <f>IFERROR(INDEX(PP_Grid[#Data],$DE814,67),0)</f>
        <v/>
      </c>
      <c r="BS814">
        <f>IFERROR(INDEX(PP_Grid[#Data],$DE814,68),0)</f>
        <v/>
      </c>
      <c r="BT814">
        <f>IFERROR(INDEX(PP_Grid[#Data],$DE814,69),0)</f>
        <v/>
      </c>
      <c r="BU814">
        <f>IFERROR(INDEX(PP_Grid[#Data],$DE814,70),0)</f>
        <v/>
      </c>
      <c r="BV814">
        <f>IFERROR(INDEX(PP_Grid[#Data],$DE814,71),0)</f>
        <v/>
      </c>
      <c r="BW814">
        <f>IFERROR(INDEX(PP_Grid[#Data],$DE814,72),0)</f>
        <v/>
      </c>
      <c r="BX814">
        <f>IFERROR(INDEX(PP_Grid[#Data],$DE814,73),0)</f>
        <v/>
      </c>
      <c r="BY814">
        <f>IFERROR(INDEX(PP_Grid[#Data],$DE814,74),0)</f>
        <v/>
      </c>
      <c r="BZ814">
        <f>IFERROR(INDEX(PP_Grid[#Data],$DE814,75),0)</f>
        <v/>
      </c>
      <c r="CA814">
        <f>IFERROR(INDEX(PP_Grid[#Data],$DE814,76),0)</f>
        <v/>
      </c>
      <c r="CB814">
        <f>IFERROR(INDEX(PP_Grid[#Data],$DE814,77),0)</f>
        <v/>
      </c>
      <c r="CC814">
        <f>IFERROR(INDEX(PP_Grid[#Data],$DE814,78),0)</f>
        <v/>
      </c>
      <c r="CD814">
        <f>IFERROR(INDEX(PP_Grid[#Data],$DE814,79),0)</f>
        <v/>
      </c>
      <c r="CE814">
        <f>IFERROR(INDEX(PP_Grid[#Data],$DE814,80),0)</f>
        <v/>
      </c>
      <c r="CF814">
        <f>IFERROR(INDEX(PP_Grid[#Data],$DE814,81),0)</f>
        <v/>
      </c>
      <c r="CG814">
        <f>IFERROR(INDEX(PP_Grid[#Data],$DE814,82),0)</f>
        <v/>
      </c>
      <c r="CH814">
        <f>IFERROR(INDEX(PP_Grid[#Data],$DE814,83),0)</f>
        <v/>
      </c>
      <c r="CI814">
        <f>IFERROR(INDEX(PP_Grid[#Data],$DE814,84),0)</f>
        <v/>
      </c>
      <c r="CJ814">
        <f>IFERROR(INDEX(PP_Grid[#Data],$DE814,85),0)</f>
        <v/>
      </c>
      <c r="CK814">
        <f>IFERROR(INDEX(PP_Grid[#Data],$DE814,86),0)</f>
        <v/>
      </c>
      <c r="CL814">
        <f>IFERROR(INDEX(PP_Grid[#Data],$DE814,87),0)</f>
        <v/>
      </c>
      <c r="CM814">
        <f>IFERROR(INDEX(PP_Grid[#Data],$DE814,88),0)</f>
        <v/>
      </c>
      <c r="CN814">
        <f>IFERROR(INDEX(PP_Grid[#Data],$DE814,89),0)</f>
        <v/>
      </c>
      <c r="CO814">
        <f>IFERROR(INDEX(PP_Grid[#Data],$DE814,90),0)</f>
        <v/>
      </c>
      <c r="CP814">
        <f>IFERROR(INDEX(PP_Grid[#Data],$DE814,91),0)</f>
        <v/>
      </c>
      <c r="CQ814">
        <f>IFERROR(INDEX(PP_Grid[#Data],$DE814,92),0)</f>
        <v/>
      </c>
      <c r="CR814">
        <f>IFERROR(INDEX(PP_Grid[#Data],$DE814,93),0)</f>
        <v/>
      </c>
      <c r="CS814">
        <f>IFERROR(INDEX(PP_Grid[#Data],$DE814,94),0)</f>
        <v/>
      </c>
      <c r="CT814">
        <f>IFERROR(INDEX(PP_Grid[#Data],$DE814,95),0)</f>
        <v/>
      </c>
      <c r="CU814">
        <f>IFERROR(INDEX(PP_Grid[#Data],$DE814,96),0)</f>
        <v/>
      </c>
      <c r="CV814">
        <f>IFERROR(INDEX(PP_Grid[#Data],$DE814,97),0)</f>
        <v/>
      </c>
      <c r="CW814">
        <f>IFERROR(INDEX(PP_Grid[#Data],$DE814,98),0)</f>
        <v/>
      </c>
      <c r="CX814">
        <f>IFERROR(INDEX(PP_Grid[#Data],$DE814,99),0)</f>
        <v/>
      </c>
      <c r="CY814">
        <f>IFERROR(INDEX(PP_Grid[#Data],$DE814,100),0)</f>
        <v/>
      </c>
      <c r="CZ814">
        <f>IFERROR(INDEX(PP_Grid[#Data],$DE814,101),0)</f>
        <v/>
      </c>
      <c r="DA814">
        <f>IFERROR(INDEX(PP_Grid[#Data],$DE814,102),0)</f>
        <v/>
      </c>
      <c r="DB814">
        <f>IFERROR(INDEX(PP_Grid[#Data],$DE814,103),0)</f>
        <v/>
      </c>
      <c r="DC814">
        <f>IFERROR(INDEX(PP_Grid[#Data],$DE814,104),0)</f>
        <v/>
      </c>
      <c r="DD814">
        <f>IFERROR(INDEX(PP_Grid[#Data],$DE814,105),0)</f>
        <v/>
      </c>
      <c r="DE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SUMIFS(M_BOM[RM_Qty_Per_Batch],M_BOM[Intermediate],$B814,M_BOM[RM_Code],$A775)</f>
        <v/>
      </c>
      <c r="D815">
        <f>IFERROR(INDEX(E815:DD815,$F$1),"")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  <c r="DD815">
        <f>$C815*DD814</f>
        <v/>
      </c>
    </row>
    <row r="816">
      <c r="B816" t="inlineStr">
        <is>
          <t>TPP-970</t>
        </is>
      </c>
      <c r="C816" t="inlineStr">
        <is>
          <t>No. of batches</t>
        </is>
      </c>
      <c r="D816">
        <f>IFERROR(INDEX(E816:DD816,$F$1),"")</f>
        <v/>
      </c>
      <c r="E816">
        <f>IFERROR(INDEX(PP_Grid[#Data],$DE816,2),0)</f>
        <v/>
      </c>
      <c r="F816">
        <f>IFERROR(INDEX(PP_Grid[#Data],$DE816,3),0)</f>
        <v/>
      </c>
      <c r="G816">
        <f>IFERROR(INDEX(PP_Grid[#Data],$DE816,4),0)</f>
        <v/>
      </c>
      <c r="H816">
        <f>IFERROR(INDEX(PP_Grid[#Data],$DE816,5),0)</f>
        <v/>
      </c>
      <c r="I816">
        <f>IFERROR(INDEX(PP_Grid[#Data],$DE816,6),0)</f>
        <v/>
      </c>
      <c r="J816">
        <f>IFERROR(INDEX(PP_Grid[#Data],$DE816,7),0)</f>
        <v/>
      </c>
      <c r="K816">
        <f>IFERROR(INDEX(PP_Grid[#Data],$DE816,8),0)</f>
        <v/>
      </c>
      <c r="L816">
        <f>IFERROR(INDEX(PP_Grid[#Data],$DE816,9),0)</f>
        <v/>
      </c>
      <c r="M816">
        <f>IFERROR(INDEX(PP_Grid[#Data],$DE816,10),0)</f>
        <v/>
      </c>
      <c r="N816">
        <f>IFERROR(INDEX(PP_Grid[#Data],$DE816,11),0)</f>
        <v/>
      </c>
      <c r="O816">
        <f>IFERROR(INDEX(PP_Grid[#Data],$DE816,12),0)</f>
        <v/>
      </c>
      <c r="P816">
        <f>IFERROR(INDEX(PP_Grid[#Data],$DE816,13),0)</f>
        <v/>
      </c>
      <c r="Q816">
        <f>IFERROR(INDEX(PP_Grid[#Data],$DE816,14),0)</f>
        <v/>
      </c>
      <c r="R816">
        <f>IFERROR(INDEX(PP_Grid[#Data],$DE816,15),0)</f>
        <v/>
      </c>
      <c r="S816">
        <f>IFERROR(INDEX(PP_Grid[#Data],$DE816,16),0)</f>
        <v/>
      </c>
      <c r="T816">
        <f>IFERROR(INDEX(PP_Grid[#Data],$DE816,17),0)</f>
        <v/>
      </c>
      <c r="U816">
        <f>IFERROR(INDEX(PP_Grid[#Data],$DE816,18),0)</f>
        <v/>
      </c>
      <c r="V816">
        <f>IFERROR(INDEX(PP_Grid[#Data],$DE816,19),0)</f>
        <v/>
      </c>
      <c r="W816">
        <f>IFERROR(INDEX(PP_Grid[#Data],$DE816,20),0)</f>
        <v/>
      </c>
      <c r="X816">
        <f>IFERROR(INDEX(PP_Grid[#Data],$DE816,21),0)</f>
        <v/>
      </c>
      <c r="Y816">
        <f>IFERROR(INDEX(PP_Grid[#Data],$DE816,22),0)</f>
        <v/>
      </c>
      <c r="Z816">
        <f>IFERROR(INDEX(PP_Grid[#Data],$DE816,23),0)</f>
        <v/>
      </c>
      <c r="AA816">
        <f>IFERROR(INDEX(PP_Grid[#Data],$DE816,24),0)</f>
        <v/>
      </c>
      <c r="AB816">
        <f>IFERROR(INDEX(PP_Grid[#Data],$DE816,25),0)</f>
        <v/>
      </c>
      <c r="AC816">
        <f>IFERROR(INDEX(PP_Grid[#Data],$DE816,26),0)</f>
        <v/>
      </c>
      <c r="AD816">
        <f>IFERROR(INDEX(PP_Grid[#Data],$DE816,27),0)</f>
        <v/>
      </c>
      <c r="AE816">
        <f>IFERROR(INDEX(PP_Grid[#Data],$DE816,28),0)</f>
        <v/>
      </c>
      <c r="AF816">
        <f>IFERROR(INDEX(PP_Grid[#Data],$DE816,29),0)</f>
        <v/>
      </c>
      <c r="AG816">
        <f>IFERROR(INDEX(PP_Grid[#Data],$DE816,30),0)</f>
        <v/>
      </c>
      <c r="AH816">
        <f>IFERROR(INDEX(PP_Grid[#Data],$DE816,31),0)</f>
        <v/>
      </c>
      <c r="AI816">
        <f>IFERROR(INDEX(PP_Grid[#Data],$DE816,32),0)</f>
        <v/>
      </c>
      <c r="AJ816">
        <f>IFERROR(INDEX(PP_Grid[#Data],$DE816,33),0)</f>
        <v/>
      </c>
      <c r="AK816">
        <f>IFERROR(INDEX(PP_Grid[#Data],$DE816,34),0)</f>
        <v/>
      </c>
      <c r="AL816">
        <f>IFERROR(INDEX(PP_Grid[#Data],$DE816,35),0)</f>
        <v/>
      </c>
      <c r="AM816">
        <f>IFERROR(INDEX(PP_Grid[#Data],$DE816,36),0)</f>
        <v/>
      </c>
      <c r="AN816">
        <f>IFERROR(INDEX(PP_Grid[#Data],$DE816,37),0)</f>
        <v/>
      </c>
      <c r="AO816">
        <f>IFERROR(INDEX(PP_Grid[#Data],$DE816,38),0)</f>
        <v/>
      </c>
      <c r="AP816">
        <f>IFERROR(INDEX(PP_Grid[#Data],$DE816,39),0)</f>
        <v/>
      </c>
      <c r="AQ816">
        <f>IFERROR(INDEX(PP_Grid[#Data],$DE816,40),0)</f>
        <v/>
      </c>
      <c r="AR816">
        <f>IFERROR(INDEX(PP_Grid[#Data],$DE816,41),0)</f>
        <v/>
      </c>
      <c r="AS816">
        <f>IFERROR(INDEX(PP_Grid[#Data],$DE816,42),0)</f>
        <v/>
      </c>
      <c r="AT816">
        <f>IFERROR(INDEX(PP_Grid[#Data],$DE816,43),0)</f>
        <v/>
      </c>
      <c r="AU816">
        <f>IFERROR(INDEX(PP_Grid[#Data],$DE816,44),0)</f>
        <v/>
      </c>
      <c r="AV816">
        <f>IFERROR(INDEX(PP_Grid[#Data],$DE816,45),0)</f>
        <v/>
      </c>
      <c r="AW816">
        <f>IFERROR(INDEX(PP_Grid[#Data],$DE816,46),0)</f>
        <v/>
      </c>
      <c r="AX816">
        <f>IFERROR(INDEX(PP_Grid[#Data],$DE816,47),0)</f>
        <v/>
      </c>
      <c r="AY816">
        <f>IFERROR(INDEX(PP_Grid[#Data],$DE816,48),0)</f>
        <v/>
      </c>
      <c r="AZ816">
        <f>IFERROR(INDEX(PP_Grid[#Data],$DE816,49),0)</f>
        <v/>
      </c>
      <c r="BA816">
        <f>IFERROR(INDEX(PP_Grid[#Data],$DE816,50),0)</f>
        <v/>
      </c>
      <c r="BB816">
        <f>IFERROR(INDEX(PP_Grid[#Data],$DE816,51),0)</f>
        <v/>
      </c>
      <c r="BC816">
        <f>IFERROR(INDEX(PP_Grid[#Data],$DE816,52),0)</f>
        <v/>
      </c>
      <c r="BD816">
        <f>IFERROR(INDEX(PP_Grid[#Data],$DE816,53),0)</f>
        <v/>
      </c>
      <c r="BE816">
        <f>IFERROR(INDEX(PP_Grid[#Data],$DE816,54),0)</f>
        <v/>
      </c>
      <c r="BF816">
        <f>IFERROR(INDEX(PP_Grid[#Data],$DE816,55),0)</f>
        <v/>
      </c>
      <c r="BG816">
        <f>IFERROR(INDEX(PP_Grid[#Data],$DE816,56),0)</f>
        <v/>
      </c>
      <c r="BH816">
        <f>IFERROR(INDEX(PP_Grid[#Data],$DE816,57),0)</f>
        <v/>
      </c>
      <c r="BI816">
        <f>IFERROR(INDEX(PP_Grid[#Data],$DE816,58),0)</f>
        <v/>
      </c>
      <c r="BJ816">
        <f>IFERROR(INDEX(PP_Grid[#Data],$DE816,59),0)</f>
        <v/>
      </c>
      <c r="BK816">
        <f>IFERROR(INDEX(PP_Grid[#Data],$DE816,60),0)</f>
        <v/>
      </c>
      <c r="BL816">
        <f>IFERROR(INDEX(PP_Grid[#Data],$DE816,61),0)</f>
        <v/>
      </c>
      <c r="BM816">
        <f>IFERROR(INDEX(PP_Grid[#Data],$DE816,62),0)</f>
        <v/>
      </c>
      <c r="BN816">
        <f>IFERROR(INDEX(PP_Grid[#Data],$DE816,63),0)</f>
        <v/>
      </c>
      <c r="BO816">
        <f>IFERROR(INDEX(PP_Grid[#Data],$DE816,64),0)</f>
        <v/>
      </c>
      <c r="BP816">
        <f>IFERROR(INDEX(PP_Grid[#Data],$DE816,65),0)</f>
        <v/>
      </c>
      <c r="BQ816">
        <f>IFERROR(INDEX(PP_Grid[#Data],$DE816,66),0)</f>
        <v/>
      </c>
      <c r="BR816">
        <f>IFERROR(INDEX(PP_Grid[#Data],$DE816,67),0)</f>
        <v/>
      </c>
      <c r="BS816">
        <f>IFERROR(INDEX(PP_Grid[#Data],$DE816,68),0)</f>
        <v/>
      </c>
      <c r="BT816">
        <f>IFERROR(INDEX(PP_Grid[#Data],$DE816,69),0)</f>
        <v/>
      </c>
      <c r="BU816">
        <f>IFERROR(INDEX(PP_Grid[#Data],$DE816,70),0)</f>
        <v/>
      </c>
      <c r="BV816">
        <f>IFERROR(INDEX(PP_Grid[#Data],$DE816,71),0)</f>
        <v/>
      </c>
      <c r="BW816">
        <f>IFERROR(INDEX(PP_Grid[#Data],$DE816,72),0)</f>
        <v/>
      </c>
      <c r="BX816">
        <f>IFERROR(INDEX(PP_Grid[#Data],$DE816,73),0)</f>
        <v/>
      </c>
      <c r="BY816">
        <f>IFERROR(INDEX(PP_Grid[#Data],$DE816,74),0)</f>
        <v/>
      </c>
      <c r="BZ816">
        <f>IFERROR(INDEX(PP_Grid[#Data],$DE816,75),0)</f>
        <v/>
      </c>
      <c r="CA816">
        <f>IFERROR(INDEX(PP_Grid[#Data],$DE816,76),0)</f>
        <v/>
      </c>
      <c r="CB816">
        <f>IFERROR(INDEX(PP_Grid[#Data],$DE816,77),0)</f>
        <v/>
      </c>
      <c r="CC816">
        <f>IFERROR(INDEX(PP_Grid[#Data],$DE816,78),0)</f>
        <v/>
      </c>
      <c r="CD816">
        <f>IFERROR(INDEX(PP_Grid[#Data],$DE816,79),0)</f>
        <v/>
      </c>
      <c r="CE816">
        <f>IFERROR(INDEX(PP_Grid[#Data],$DE816,80),0)</f>
        <v/>
      </c>
      <c r="CF816">
        <f>IFERROR(INDEX(PP_Grid[#Data],$DE816,81),0)</f>
        <v/>
      </c>
      <c r="CG816">
        <f>IFERROR(INDEX(PP_Grid[#Data],$DE816,82),0)</f>
        <v/>
      </c>
      <c r="CH816">
        <f>IFERROR(INDEX(PP_Grid[#Data],$DE816,83),0)</f>
        <v/>
      </c>
      <c r="CI816">
        <f>IFERROR(INDEX(PP_Grid[#Data],$DE816,84),0)</f>
        <v/>
      </c>
      <c r="CJ816">
        <f>IFERROR(INDEX(PP_Grid[#Data],$DE816,85),0)</f>
        <v/>
      </c>
      <c r="CK816">
        <f>IFERROR(INDEX(PP_Grid[#Data],$DE816,86),0)</f>
        <v/>
      </c>
      <c r="CL816">
        <f>IFERROR(INDEX(PP_Grid[#Data],$DE816,87),0)</f>
        <v/>
      </c>
      <c r="CM816">
        <f>IFERROR(INDEX(PP_Grid[#Data],$DE816,88),0)</f>
        <v/>
      </c>
      <c r="CN816">
        <f>IFERROR(INDEX(PP_Grid[#Data],$DE816,89),0)</f>
        <v/>
      </c>
      <c r="CO816">
        <f>IFERROR(INDEX(PP_Grid[#Data],$DE816,90),0)</f>
        <v/>
      </c>
      <c r="CP816">
        <f>IFERROR(INDEX(PP_Grid[#Data],$DE816,91),0)</f>
        <v/>
      </c>
      <c r="CQ816">
        <f>IFERROR(INDEX(PP_Grid[#Data],$DE816,92),0)</f>
        <v/>
      </c>
      <c r="CR816">
        <f>IFERROR(INDEX(PP_Grid[#Data],$DE816,93),0)</f>
        <v/>
      </c>
      <c r="CS816">
        <f>IFERROR(INDEX(PP_Grid[#Data],$DE816,94),0)</f>
        <v/>
      </c>
      <c r="CT816">
        <f>IFERROR(INDEX(PP_Grid[#Data],$DE816,95),0)</f>
        <v/>
      </c>
      <c r="CU816">
        <f>IFERROR(INDEX(PP_Grid[#Data],$DE816,96),0)</f>
        <v/>
      </c>
      <c r="CV816">
        <f>IFERROR(INDEX(PP_Grid[#Data],$DE816,97),0)</f>
        <v/>
      </c>
      <c r="CW816">
        <f>IFERROR(INDEX(PP_Grid[#Data],$DE816,98),0)</f>
        <v/>
      </c>
      <c r="CX816">
        <f>IFERROR(INDEX(PP_Grid[#Data],$DE816,99),0)</f>
        <v/>
      </c>
      <c r="CY816">
        <f>IFERROR(INDEX(PP_Grid[#Data],$DE816,100),0)</f>
        <v/>
      </c>
      <c r="CZ816">
        <f>IFERROR(INDEX(PP_Grid[#Data],$DE816,101),0)</f>
        <v/>
      </c>
      <c r="DA816">
        <f>IFERROR(INDEX(PP_Grid[#Data],$DE816,102),0)</f>
        <v/>
      </c>
      <c r="DB816">
        <f>IFERROR(INDEX(PP_Grid[#Data],$DE816,103),0)</f>
        <v/>
      </c>
      <c r="DC816">
        <f>IFERROR(INDEX(PP_Grid[#Data],$DE816,104),0)</f>
        <v/>
      </c>
      <c r="DD816">
        <f>IFERROR(INDEX(PP_Grid[#Data],$DE816,105),0)</f>
        <v/>
      </c>
      <c r="DE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SUMIFS(M_BOM[RM_Qty_Per_Batch],M_BOM[Intermediate],$B816,M_BOM[RM_Code],$A775)</f>
        <v/>
      </c>
      <c r="D817">
        <f>IFERROR(INDEX(E817:DD817,$F$1),"")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  <c r="DD817">
        <f>$C817*DD816</f>
        <v/>
      </c>
    </row>
    <row r="818">
      <c r="B818" t="inlineStr">
        <is>
          <t>No of times used</t>
        </is>
      </c>
      <c r="C818" t="inlineStr">
        <is>
          <t>No. of batches</t>
        </is>
      </c>
      <c r="D818">
        <f>IFERROR(INDEX(E818:DD818,$F$1),"")</f>
        <v/>
      </c>
      <c r="E818">
        <f>IFERROR(INDEX(PP_Grid[#Data],$DE818,2),0)</f>
        <v/>
      </c>
      <c r="F818">
        <f>IFERROR(INDEX(PP_Grid[#Data],$DE818,3),0)</f>
        <v/>
      </c>
      <c r="G818">
        <f>IFERROR(INDEX(PP_Grid[#Data],$DE818,4),0)</f>
        <v/>
      </c>
      <c r="H818">
        <f>IFERROR(INDEX(PP_Grid[#Data],$DE818,5),0)</f>
        <v/>
      </c>
      <c r="I818">
        <f>IFERROR(INDEX(PP_Grid[#Data],$DE818,6),0)</f>
        <v/>
      </c>
      <c r="J818">
        <f>IFERROR(INDEX(PP_Grid[#Data],$DE818,7),0)</f>
        <v/>
      </c>
      <c r="K818">
        <f>IFERROR(INDEX(PP_Grid[#Data],$DE818,8),0)</f>
        <v/>
      </c>
      <c r="L818">
        <f>IFERROR(INDEX(PP_Grid[#Data],$DE818,9),0)</f>
        <v/>
      </c>
      <c r="M818">
        <f>IFERROR(INDEX(PP_Grid[#Data],$DE818,10),0)</f>
        <v/>
      </c>
      <c r="N818">
        <f>IFERROR(INDEX(PP_Grid[#Data],$DE818,11),0)</f>
        <v/>
      </c>
      <c r="O818">
        <f>IFERROR(INDEX(PP_Grid[#Data],$DE818,12),0)</f>
        <v/>
      </c>
      <c r="P818">
        <f>IFERROR(INDEX(PP_Grid[#Data],$DE818,13),0)</f>
        <v/>
      </c>
      <c r="Q818">
        <f>IFERROR(INDEX(PP_Grid[#Data],$DE818,14),0)</f>
        <v/>
      </c>
      <c r="R818">
        <f>IFERROR(INDEX(PP_Grid[#Data],$DE818,15),0)</f>
        <v/>
      </c>
      <c r="S818">
        <f>IFERROR(INDEX(PP_Grid[#Data],$DE818,16),0)</f>
        <v/>
      </c>
      <c r="T818">
        <f>IFERROR(INDEX(PP_Grid[#Data],$DE818,17),0)</f>
        <v/>
      </c>
      <c r="U818">
        <f>IFERROR(INDEX(PP_Grid[#Data],$DE818,18),0)</f>
        <v/>
      </c>
      <c r="V818">
        <f>IFERROR(INDEX(PP_Grid[#Data],$DE818,19),0)</f>
        <v/>
      </c>
      <c r="W818">
        <f>IFERROR(INDEX(PP_Grid[#Data],$DE818,20),0)</f>
        <v/>
      </c>
      <c r="X818">
        <f>IFERROR(INDEX(PP_Grid[#Data],$DE818,21),0)</f>
        <v/>
      </c>
      <c r="Y818">
        <f>IFERROR(INDEX(PP_Grid[#Data],$DE818,22),0)</f>
        <v/>
      </c>
      <c r="Z818">
        <f>IFERROR(INDEX(PP_Grid[#Data],$DE818,23),0)</f>
        <v/>
      </c>
      <c r="AA818">
        <f>IFERROR(INDEX(PP_Grid[#Data],$DE818,24),0)</f>
        <v/>
      </c>
      <c r="AB818">
        <f>IFERROR(INDEX(PP_Grid[#Data],$DE818,25),0)</f>
        <v/>
      </c>
      <c r="AC818">
        <f>IFERROR(INDEX(PP_Grid[#Data],$DE818,26),0)</f>
        <v/>
      </c>
      <c r="AD818">
        <f>IFERROR(INDEX(PP_Grid[#Data],$DE818,27),0)</f>
        <v/>
      </c>
      <c r="AE818">
        <f>IFERROR(INDEX(PP_Grid[#Data],$DE818,28),0)</f>
        <v/>
      </c>
      <c r="AF818">
        <f>IFERROR(INDEX(PP_Grid[#Data],$DE818,29),0)</f>
        <v/>
      </c>
      <c r="AG818">
        <f>IFERROR(INDEX(PP_Grid[#Data],$DE818,30),0)</f>
        <v/>
      </c>
      <c r="AH818">
        <f>IFERROR(INDEX(PP_Grid[#Data],$DE818,31),0)</f>
        <v/>
      </c>
      <c r="AI818">
        <f>IFERROR(INDEX(PP_Grid[#Data],$DE818,32),0)</f>
        <v/>
      </c>
      <c r="AJ818">
        <f>IFERROR(INDEX(PP_Grid[#Data],$DE818,33),0)</f>
        <v/>
      </c>
      <c r="AK818">
        <f>IFERROR(INDEX(PP_Grid[#Data],$DE818,34),0)</f>
        <v/>
      </c>
      <c r="AL818">
        <f>IFERROR(INDEX(PP_Grid[#Data],$DE818,35),0)</f>
        <v/>
      </c>
      <c r="AM818">
        <f>IFERROR(INDEX(PP_Grid[#Data],$DE818,36),0)</f>
        <v/>
      </c>
      <c r="AN818">
        <f>IFERROR(INDEX(PP_Grid[#Data],$DE818,37),0)</f>
        <v/>
      </c>
      <c r="AO818">
        <f>IFERROR(INDEX(PP_Grid[#Data],$DE818,38),0)</f>
        <v/>
      </c>
      <c r="AP818">
        <f>IFERROR(INDEX(PP_Grid[#Data],$DE818,39),0)</f>
        <v/>
      </c>
      <c r="AQ818">
        <f>IFERROR(INDEX(PP_Grid[#Data],$DE818,40),0)</f>
        <v/>
      </c>
      <c r="AR818">
        <f>IFERROR(INDEX(PP_Grid[#Data],$DE818,41),0)</f>
        <v/>
      </c>
      <c r="AS818">
        <f>IFERROR(INDEX(PP_Grid[#Data],$DE818,42),0)</f>
        <v/>
      </c>
      <c r="AT818">
        <f>IFERROR(INDEX(PP_Grid[#Data],$DE818,43),0)</f>
        <v/>
      </c>
      <c r="AU818">
        <f>IFERROR(INDEX(PP_Grid[#Data],$DE818,44),0)</f>
        <v/>
      </c>
      <c r="AV818">
        <f>IFERROR(INDEX(PP_Grid[#Data],$DE818,45),0)</f>
        <v/>
      </c>
      <c r="AW818">
        <f>IFERROR(INDEX(PP_Grid[#Data],$DE818,46),0)</f>
        <v/>
      </c>
      <c r="AX818">
        <f>IFERROR(INDEX(PP_Grid[#Data],$DE818,47),0)</f>
        <v/>
      </c>
      <c r="AY818">
        <f>IFERROR(INDEX(PP_Grid[#Data],$DE818,48),0)</f>
        <v/>
      </c>
      <c r="AZ818">
        <f>IFERROR(INDEX(PP_Grid[#Data],$DE818,49),0)</f>
        <v/>
      </c>
      <c r="BA818">
        <f>IFERROR(INDEX(PP_Grid[#Data],$DE818,50),0)</f>
        <v/>
      </c>
      <c r="BB818">
        <f>IFERROR(INDEX(PP_Grid[#Data],$DE818,51),0)</f>
        <v/>
      </c>
      <c r="BC818">
        <f>IFERROR(INDEX(PP_Grid[#Data],$DE818,52),0)</f>
        <v/>
      </c>
      <c r="BD818">
        <f>IFERROR(INDEX(PP_Grid[#Data],$DE818,53),0)</f>
        <v/>
      </c>
      <c r="BE818">
        <f>IFERROR(INDEX(PP_Grid[#Data],$DE818,54),0)</f>
        <v/>
      </c>
      <c r="BF818">
        <f>IFERROR(INDEX(PP_Grid[#Data],$DE818,55),0)</f>
        <v/>
      </c>
      <c r="BG818">
        <f>IFERROR(INDEX(PP_Grid[#Data],$DE818,56),0)</f>
        <v/>
      </c>
      <c r="BH818">
        <f>IFERROR(INDEX(PP_Grid[#Data],$DE818,57),0)</f>
        <v/>
      </c>
      <c r="BI818">
        <f>IFERROR(INDEX(PP_Grid[#Data],$DE818,58),0)</f>
        <v/>
      </c>
      <c r="BJ818">
        <f>IFERROR(INDEX(PP_Grid[#Data],$DE818,59),0)</f>
        <v/>
      </c>
      <c r="BK818">
        <f>IFERROR(INDEX(PP_Grid[#Data],$DE818,60),0)</f>
        <v/>
      </c>
      <c r="BL818">
        <f>IFERROR(INDEX(PP_Grid[#Data],$DE818,61),0)</f>
        <v/>
      </c>
      <c r="BM818">
        <f>IFERROR(INDEX(PP_Grid[#Data],$DE818,62),0)</f>
        <v/>
      </c>
      <c r="BN818">
        <f>IFERROR(INDEX(PP_Grid[#Data],$DE818,63),0)</f>
        <v/>
      </c>
      <c r="BO818">
        <f>IFERROR(INDEX(PP_Grid[#Data],$DE818,64),0)</f>
        <v/>
      </c>
      <c r="BP818">
        <f>IFERROR(INDEX(PP_Grid[#Data],$DE818,65),0)</f>
        <v/>
      </c>
      <c r="BQ818">
        <f>IFERROR(INDEX(PP_Grid[#Data],$DE818,66),0)</f>
        <v/>
      </c>
      <c r="BR818">
        <f>IFERROR(INDEX(PP_Grid[#Data],$DE818,67),0)</f>
        <v/>
      </c>
      <c r="BS818">
        <f>IFERROR(INDEX(PP_Grid[#Data],$DE818,68),0)</f>
        <v/>
      </c>
      <c r="BT818">
        <f>IFERROR(INDEX(PP_Grid[#Data],$DE818,69),0)</f>
        <v/>
      </c>
      <c r="BU818">
        <f>IFERROR(INDEX(PP_Grid[#Data],$DE818,70),0)</f>
        <v/>
      </c>
      <c r="BV818">
        <f>IFERROR(INDEX(PP_Grid[#Data],$DE818,71),0)</f>
        <v/>
      </c>
      <c r="BW818">
        <f>IFERROR(INDEX(PP_Grid[#Data],$DE818,72),0)</f>
        <v/>
      </c>
      <c r="BX818">
        <f>IFERROR(INDEX(PP_Grid[#Data],$DE818,73),0)</f>
        <v/>
      </c>
      <c r="BY818">
        <f>IFERROR(INDEX(PP_Grid[#Data],$DE818,74),0)</f>
        <v/>
      </c>
      <c r="BZ818">
        <f>IFERROR(INDEX(PP_Grid[#Data],$DE818,75),0)</f>
        <v/>
      </c>
      <c r="CA818">
        <f>IFERROR(INDEX(PP_Grid[#Data],$DE818,76),0)</f>
        <v/>
      </c>
      <c r="CB818">
        <f>IFERROR(INDEX(PP_Grid[#Data],$DE818,77),0)</f>
        <v/>
      </c>
      <c r="CC818">
        <f>IFERROR(INDEX(PP_Grid[#Data],$DE818,78),0)</f>
        <v/>
      </c>
      <c r="CD818">
        <f>IFERROR(INDEX(PP_Grid[#Data],$DE818,79),0)</f>
        <v/>
      </c>
      <c r="CE818">
        <f>IFERROR(INDEX(PP_Grid[#Data],$DE818,80),0)</f>
        <v/>
      </c>
      <c r="CF818">
        <f>IFERROR(INDEX(PP_Grid[#Data],$DE818,81),0)</f>
        <v/>
      </c>
      <c r="CG818">
        <f>IFERROR(INDEX(PP_Grid[#Data],$DE818,82),0)</f>
        <v/>
      </c>
      <c r="CH818">
        <f>IFERROR(INDEX(PP_Grid[#Data],$DE818,83),0)</f>
        <v/>
      </c>
      <c r="CI818">
        <f>IFERROR(INDEX(PP_Grid[#Data],$DE818,84),0)</f>
        <v/>
      </c>
      <c r="CJ818">
        <f>IFERROR(INDEX(PP_Grid[#Data],$DE818,85),0)</f>
        <v/>
      </c>
      <c r="CK818">
        <f>IFERROR(INDEX(PP_Grid[#Data],$DE818,86),0)</f>
        <v/>
      </c>
      <c r="CL818">
        <f>IFERROR(INDEX(PP_Grid[#Data],$DE818,87),0)</f>
        <v/>
      </c>
      <c r="CM818">
        <f>IFERROR(INDEX(PP_Grid[#Data],$DE818,88),0)</f>
        <v/>
      </c>
      <c r="CN818">
        <f>IFERROR(INDEX(PP_Grid[#Data],$DE818,89),0)</f>
        <v/>
      </c>
      <c r="CO818">
        <f>IFERROR(INDEX(PP_Grid[#Data],$DE818,90),0)</f>
        <v/>
      </c>
      <c r="CP818">
        <f>IFERROR(INDEX(PP_Grid[#Data],$DE818,91),0)</f>
        <v/>
      </c>
      <c r="CQ818">
        <f>IFERROR(INDEX(PP_Grid[#Data],$DE818,92),0)</f>
        <v/>
      </c>
      <c r="CR818">
        <f>IFERROR(INDEX(PP_Grid[#Data],$DE818,93),0)</f>
        <v/>
      </c>
      <c r="CS818">
        <f>IFERROR(INDEX(PP_Grid[#Data],$DE818,94),0)</f>
        <v/>
      </c>
      <c r="CT818">
        <f>IFERROR(INDEX(PP_Grid[#Data],$DE818,95),0)</f>
        <v/>
      </c>
      <c r="CU818">
        <f>IFERROR(INDEX(PP_Grid[#Data],$DE818,96),0)</f>
        <v/>
      </c>
      <c r="CV818">
        <f>IFERROR(INDEX(PP_Grid[#Data],$DE818,97),0)</f>
        <v/>
      </c>
      <c r="CW818">
        <f>IFERROR(INDEX(PP_Grid[#Data],$DE818,98),0)</f>
        <v/>
      </c>
      <c r="CX818">
        <f>IFERROR(INDEX(PP_Grid[#Data],$DE818,99),0)</f>
        <v/>
      </c>
      <c r="CY818">
        <f>IFERROR(INDEX(PP_Grid[#Data],$DE818,100),0)</f>
        <v/>
      </c>
      <c r="CZ818">
        <f>IFERROR(INDEX(PP_Grid[#Data],$DE818,101),0)</f>
        <v/>
      </c>
      <c r="DA818">
        <f>IFERROR(INDEX(PP_Grid[#Data],$DE818,102),0)</f>
        <v/>
      </c>
      <c r="DB818">
        <f>IFERROR(INDEX(PP_Grid[#Data],$DE818,103),0)</f>
        <v/>
      </c>
      <c r="DC818">
        <f>IFERROR(INDEX(PP_Grid[#Data],$DE818,104),0)</f>
        <v/>
      </c>
      <c r="DD818">
        <f>IFERROR(INDEX(PP_Grid[#Data],$DE818,105),0)</f>
        <v/>
      </c>
      <c r="DE818" s="7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SUMIFS(M_BOM[RM_Qty_Per_Batch],M_BOM[Intermediate],$B818,M_BOM[RM_Code],$A775)</f>
        <v/>
      </c>
      <c r="D819">
        <f>IFERROR(INDEX(E819:DD819,$F$1),"")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  <c r="DD819">
        <f>$C819*DD818</f>
        <v/>
      </c>
    </row>
    <row r="820">
      <c r="B820" s="4" t="inlineStr">
        <is>
          <t>合計使用量(kg)/週</t>
        </is>
      </c>
      <c r="D820" s="23">
        <f>IFERROR(INDEX(E820:DD820,$F$1),"")</f>
        <v/>
      </c>
      <c r="E820">
        <f>'Grid_Requirement'!B52</f>
        <v/>
      </c>
      <c r="F820">
        <f>'Grid_Requirement'!C52</f>
        <v/>
      </c>
      <c r="G820">
        <f>'Grid_Requirement'!D52</f>
        <v/>
      </c>
      <c r="H820">
        <f>'Grid_Requirement'!E52</f>
        <v/>
      </c>
      <c r="I820">
        <f>'Grid_Requirement'!F52</f>
        <v/>
      </c>
      <c r="J820">
        <f>'Grid_Requirement'!G52</f>
        <v/>
      </c>
      <c r="K820">
        <f>'Grid_Requirement'!H52</f>
        <v/>
      </c>
      <c r="L820">
        <f>'Grid_Requirement'!I52</f>
        <v/>
      </c>
      <c r="M820">
        <f>'Grid_Requirement'!J52</f>
        <v/>
      </c>
      <c r="N820">
        <f>'Grid_Requirement'!K52</f>
        <v/>
      </c>
      <c r="O820">
        <f>'Grid_Requirement'!L52</f>
        <v/>
      </c>
      <c r="P820">
        <f>'Grid_Requirement'!M52</f>
        <v/>
      </c>
      <c r="Q820">
        <f>'Grid_Requirement'!N52</f>
        <v/>
      </c>
      <c r="R820">
        <f>'Grid_Requirement'!O52</f>
        <v/>
      </c>
      <c r="S820">
        <f>'Grid_Requirement'!P52</f>
        <v/>
      </c>
      <c r="T820">
        <f>'Grid_Requirement'!Q52</f>
        <v/>
      </c>
      <c r="U820">
        <f>'Grid_Requirement'!R52</f>
        <v/>
      </c>
      <c r="V820">
        <f>'Grid_Requirement'!S52</f>
        <v/>
      </c>
      <c r="W820">
        <f>'Grid_Requirement'!T52</f>
        <v/>
      </c>
      <c r="X820">
        <f>'Grid_Requirement'!U52</f>
        <v/>
      </c>
      <c r="Y820">
        <f>'Grid_Requirement'!V52</f>
        <v/>
      </c>
      <c r="Z820">
        <f>'Grid_Requirement'!W52</f>
        <v/>
      </c>
      <c r="AA820">
        <f>'Grid_Requirement'!X52</f>
        <v/>
      </c>
      <c r="AB820">
        <f>'Grid_Requirement'!Y52</f>
        <v/>
      </c>
      <c r="AC820">
        <f>'Grid_Requirement'!Z52</f>
        <v/>
      </c>
      <c r="AD820">
        <f>'Grid_Requirement'!AA52</f>
        <v/>
      </c>
      <c r="AE820">
        <f>'Grid_Requirement'!AB52</f>
        <v/>
      </c>
      <c r="AF820">
        <f>'Grid_Requirement'!AC52</f>
        <v/>
      </c>
      <c r="AG820">
        <f>'Grid_Requirement'!AD52</f>
        <v/>
      </c>
      <c r="AH820">
        <f>'Grid_Requirement'!AE52</f>
        <v/>
      </c>
      <c r="AI820">
        <f>'Grid_Requirement'!AF52</f>
        <v/>
      </c>
      <c r="AJ820">
        <f>'Grid_Requirement'!AG52</f>
        <v/>
      </c>
      <c r="AK820">
        <f>'Grid_Requirement'!AH52</f>
        <v/>
      </c>
      <c r="AL820">
        <f>'Grid_Requirement'!AI52</f>
        <v/>
      </c>
      <c r="AM820">
        <f>'Grid_Requirement'!AJ52</f>
        <v/>
      </c>
      <c r="AN820">
        <f>'Grid_Requirement'!AK52</f>
        <v/>
      </c>
      <c r="AO820">
        <f>'Grid_Requirement'!AL52</f>
        <v/>
      </c>
      <c r="AP820">
        <f>'Grid_Requirement'!AM52</f>
        <v/>
      </c>
      <c r="AQ820">
        <f>'Grid_Requirement'!AN52</f>
        <v/>
      </c>
      <c r="AR820">
        <f>'Grid_Requirement'!AO52</f>
        <v/>
      </c>
      <c r="AS820">
        <f>'Grid_Requirement'!AP52</f>
        <v/>
      </c>
      <c r="AT820">
        <f>'Grid_Requirement'!AQ52</f>
        <v/>
      </c>
      <c r="AU820">
        <f>'Grid_Requirement'!AR52</f>
        <v/>
      </c>
      <c r="AV820">
        <f>'Grid_Requirement'!AS52</f>
        <v/>
      </c>
      <c r="AW820">
        <f>'Grid_Requirement'!AT52</f>
        <v/>
      </c>
      <c r="AX820">
        <f>'Grid_Requirement'!AU52</f>
        <v/>
      </c>
      <c r="AY820">
        <f>'Grid_Requirement'!AV52</f>
        <v/>
      </c>
      <c r="AZ820">
        <f>'Grid_Requirement'!AW52</f>
        <v/>
      </c>
      <c r="BA820">
        <f>'Grid_Requirement'!AX52</f>
        <v/>
      </c>
      <c r="BB820">
        <f>'Grid_Requirement'!AY52</f>
        <v/>
      </c>
      <c r="BC820">
        <f>'Grid_Requirement'!AZ52</f>
        <v/>
      </c>
      <c r="BD820">
        <f>'Grid_Requirement'!BA52</f>
        <v/>
      </c>
      <c r="BE820">
        <f>'Grid_Requirement'!BB52</f>
        <v/>
      </c>
      <c r="BF820">
        <f>'Grid_Requirement'!BC52</f>
        <v/>
      </c>
      <c r="BG820">
        <f>'Grid_Requirement'!BD52</f>
        <v/>
      </c>
      <c r="BH820">
        <f>'Grid_Requirement'!BE52</f>
        <v/>
      </c>
      <c r="BI820">
        <f>'Grid_Requirement'!BF52</f>
        <v/>
      </c>
      <c r="BJ820">
        <f>'Grid_Requirement'!BG52</f>
        <v/>
      </c>
      <c r="BK820">
        <f>'Grid_Requirement'!BH52</f>
        <v/>
      </c>
      <c r="BL820">
        <f>'Grid_Requirement'!BI52</f>
        <v/>
      </c>
      <c r="BM820">
        <f>'Grid_Requirement'!BJ52</f>
        <v/>
      </c>
      <c r="BN820">
        <f>'Grid_Requirement'!BK52</f>
        <v/>
      </c>
      <c r="BO820">
        <f>'Grid_Requirement'!BL52</f>
        <v/>
      </c>
      <c r="BP820">
        <f>'Grid_Requirement'!BM52</f>
        <v/>
      </c>
      <c r="BQ820">
        <f>'Grid_Requirement'!BN52</f>
        <v/>
      </c>
      <c r="BR820">
        <f>'Grid_Requirement'!BO52</f>
        <v/>
      </c>
      <c r="BS820">
        <f>'Grid_Requirement'!BP52</f>
        <v/>
      </c>
      <c r="BT820">
        <f>'Grid_Requirement'!BQ52</f>
        <v/>
      </c>
      <c r="BU820">
        <f>'Grid_Requirement'!BR52</f>
        <v/>
      </c>
      <c r="BV820">
        <f>'Grid_Requirement'!BS52</f>
        <v/>
      </c>
      <c r="BW820">
        <f>'Grid_Requirement'!BT52</f>
        <v/>
      </c>
      <c r="BX820">
        <f>'Grid_Requirement'!BU52</f>
        <v/>
      </c>
      <c r="BY820">
        <f>'Grid_Requirement'!BV52</f>
        <v/>
      </c>
      <c r="BZ820">
        <f>'Grid_Requirement'!BW52</f>
        <v/>
      </c>
      <c r="CA820">
        <f>'Grid_Requirement'!BX52</f>
        <v/>
      </c>
      <c r="CB820">
        <f>'Grid_Requirement'!BY52</f>
        <v/>
      </c>
      <c r="CC820">
        <f>'Grid_Requirement'!BZ52</f>
        <v/>
      </c>
      <c r="CD820">
        <f>'Grid_Requirement'!CA52</f>
        <v/>
      </c>
      <c r="CE820">
        <f>'Grid_Requirement'!CB52</f>
        <v/>
      </c>
      <c r="CF820">
        <f>'Grid_Requirement'!CC52</f>
        <v/>
      </c>
      <c r="CG820">
        <f>'Grid_Requirement'!CD52</f>
        <v/>
      </c>
      <c r="CH820">
        <f>'Grid_Requirement'!CE52</f>
        <v/>
      </c>
      <c r="CI820">
        <f>'Grid_Requirement'!CF52</f>
        <v/>
      </c>
      <c r="CJ820">
        <f>'Grid_Requirement'!CG52</f>
        <v/>
      </c>
      <c r="CK820">
        <f>'Grid_Requirement'!CH52</f>
        <v/>
      </c>
      <c r="CL820">
        <f>'Grid_Requirement'!CI52</f>
        <v/>
      </c>
      <c r="CM820">
        <f>'Grid_Requirement'!CJ52</f>
        <v/>
      </c>
      <c r="CN820">
        <f>'Grid_Requirement'!CK52</f>
        <v/>
      </c>
      <c r="CO820">
        <f>'Grid_Requirement'!CL52</f>
        <v/>
      </c>
      <c r="CP820">
        <f>'Grid_Requirement'!CM52</f>
        <v/>
      </c>
      <c r="CQ820">
        <f>'Grid_Requirement'!CN52</f>
        <v/>
      </c>
      <c r="CR820">
        <f>'Grid_Requirement'!CO52</f>
        <v/>
      </c>
      <c r="CS820">
        <f>'Grid_Requirement'!CP52</f>
        <v/>
      </c>
      <c r="CT820">
        <f>'Grid_Requirement'!CQ52</f>
        <v/>
      </c>
      <c r="CU820">
        <f>'Grid_Requirement'!CR52</f>
        <v/>
      </c>
      <c r="CV820">
        <f>'Grid_Requirement'!CS52</f>
        <v/>
      </c>
      <c r="CW820">
        <f>'Grid_Requirement'!CT52</f>
        <v/>
      </c>
      <c r="CX820">
        <f>'Grid_Requirement'!CU52</f>
        <v/>
      </c>
      <c r="CY820">
        <f>'Grid_Requirement'!CV52</f>
        <v/>
      </c>
      <c r="CZ820">
        <f>'Grid_Requirement'!CW52</f>
        <v/>
      </c>
      <c r="DA820">
        <f>'Grid_Requirement'!CX52</f>
        <v/>
      </c>
      <c r="DB820">
        <f>'Grid_Requirement'!CY52</f>
        <v/>
      </c>
      <c r="DC820">
        <f>'Grid_Requirement'!CZ52</f>
        <v/>
      </c>
      <c r="DD820">
        <f>'Grid_Requirement'!DA52</f>
        <v/>
      </c>
    </row>
    <row r="821">
      <c r="B821" t="inlineStr">
        <is>
          <t>TTAF在庫(実績,kg)</t>
        </is>
      </c>
      <c r="D821">
        <f>IFERROR(INDEX(E821:DD821,$F$1),"")</f>
        <v/>
      </c>
      <c r="E821">
        <f>IFERROR(SUMIFS(T_TTAFStock[TTAF_Qty],T_TTAFStock[RM_Code],$A775,T_TTAFStock[WeekIndex],1),"")</f>
        <v/>
      </c>
      <c r="F821">
        <f>IFERROR(SUMIFS(T_TTAFStock[TTAF_Qty],T_TTAFStock[RM_Code],$A775,T_TTAFStock[WeekIndex],2),"")</f>
        <v/>
      </c>
      <c r="G821">
        <f>IFERROR(SUMIFS(T_TTAFStock[TTAF_Qty],T_TTAFStock[RM_Code],$A775,T_TTAFStock[WeekIndex],3),"")</f>
        <v/>
      </c>
      <c r="H821">
        <f>IFERROR(SUMIFS(T_TTAFStock[TTAF_Qty],T_TTAFStock[RM_Code],$A775,T_TTAFStock[WeekIndex],4),"")</f>
        <v/>
      </c>
      <c r="I821">
        <f>IFERROR(SUMIFS(T_TTAFStock[TTAF_Qty],T_TTAFStock[RM_Code],$A775,T_TTAFStock[WeekIndex],5),"")</f>
        <v/>
      </c>
      <c r="J821">
        <f>IFERROR(SUMIFS(T_TTAFStock[TTAF_Qty],T_TTAFStock[RM_Code],$A775,T_TTAFStock[WeekIndex],6),"")</f>
        <v/>
      </c>
      <c r="K821">
        <f>IFERROR(SUMIFS(T_TTAFStock[TTAF_Qty],T_TTAFStock[RM_Code],$A775,T_TTAFStock[WeekIndex],7),"")</f>
        <v/>
      </c>
      <c r="L821">
        <f>IFERROR(SUMIFS(T_TTAFStock[TTAF_Qty],T_TTAFStock[RM_Code],$A775,T_TTAFStock[WeekIndex],8),"")</f>
        <v/>
      </c>
      <c r="M821">
        <f>IFERROR(SUMIFS(T_TTAFStock[TTAF_Qty],T_TTAFStock[RM_Code],$A775,T_TTAFStock[WeekIndex],9),"")</f>
        <v/>
      </c>
      <c r="N821">
        <f>IFERROR(SUMIFS(T_TTAFStock[TTAF_Qty],T_TTAFStock[RM_Code],$A775,T_TTAFStock[WeekIndex],10),"")</f>
        <v/>
      </c>
      <c r="O821">
        <f>IFERROR(SUMIFS(T_TTAFStock[TTAF_Qty],T_TTAFStock[RM_Code],$A775,T_TTAFStock[WeekIndex],11),"")</f>
        <v/>
      </c>
      <c r="P821">
        <f>IFERROR(SUMIFS(T_TTAFStock[TTAF_Qty],T_TTAFStock[RM_Code],$A775,T_TTAFStock[WeekIndex],12),"")</f>
        <v/>
      </c>
      <c r="Q821">
        <f>IFERROR(SUMIFS(T_TTAFStock[TTAF_Qty],T_TTAFStock[RM_Code],$A775,T_TTAFStock[WeekIndex],13),"")</f>
        <v/>
      </c>
      <c r="R821">
        <f>IFERROR(SUMIFS(T_TTAFStock[TTAF_Qty],T_TTAFStock[RM_Code],$A775,T_TTAFStock[WeekIndex],14),"")</f>
        <v/>
      </c>
      <c r="S821">
        <f>IFERROR(SUMIFS(T_TTAFStock[TTAF_Qty],T_TTAFStock[RM_Code],$A775,T_TTAFStock[WeekIndex],15),"")</f>
        <v/>
      </c>
      <c r="T821">
        <f>IFERROR(SUMIFS(T_TTAFStock[TTAF_Qty],T_TTAFStock[RM_Code],$A775,T_TTAFStock[WeekIndex],16),"")</f>
        <v/>
      </c>
      <c r="U821">
        <f>IFERROR(SUMIFS(T_TTAFStock[TTAF_Qty],T_TTAFStock[RM_Code],$A775,T_TTAFStock[WeekIndex],17),"")</f>
        <v/>
      </c>
      <c r="V821">
        <f>IFERROR(SUMIFS(T_TTAFStock[TTAF_Qty],T_TTAFStock[RM_Code],$A775,T_TTAFStock[WeekIndex],18),"")</f>
        <v/>
      </c>
      <c r="W821">
        <f>IFERROR(SUMIFS(T_TTAFStock[TTAF_Qty],T_TTAFStock[RM_Code],$A775,T_TTAFStock[WeekIndex],19),"")</f>
        <v/>
      </c>
      <c r="X821">
        <f>IFERROR(SUMIFS(T_TTAFStock[TTAF_Qty],T_TTAFStock[RM_Code],$A775,T_TTAFStock[WeekIndex],20),"")</f>
        <v/>
      </c>
      <c r="Y821">
        <f>IFERROR(SUMIFS(T_TTAFStock[TTAF_Qty],T_TTAFStock[RM_Code],$A775,T_TTAFStock[WeekIndex],21),"")</f>
        <v/>
      </c>
      <c r="Z821">
        <f>IFERROR(SUMIFS(T_TTAFStock[TTAF_Qty],T_TTAFStock[RM_Code],$A775,T_TTAFStock[WeekIndex],22),"")</f>
        <v/>
      </c>
      <c r="AA821">
        <f>IFERROR(SUMIFS(T_TTAFStock[TTAF_Qty],T_TTAFStock[RM_Code],$A775,T_TTAFStock[WeekIndex],23),"")</f>
        <v/>
      </c>
      <c r="AB821">
        <f>IFERROR(SUMIFS(T_TTAFStock[TTAF_Qty],T_TTAFStock[RM_Code],$A775,T_TTAFStock[WeekIndex],24),"")</f>
        <v/>
      </c>
      <c r="AC821">
        <f>IFERROR(SUMIFS(T_TTAFStock[TTAF_Qty],T_TTAFStock[RM_Code],$A775,T_TTAFStock[WeekIndex],25),"")</f>
        <v/>
      </c>
      <c r="AD821">
        <f>IFERROR(SUMIFS(T_TTAFStock[TTAF_Qty],T_TTAFStock[RM_Code],$A775,T_TTAFStock[WeekIndex],26),"")</f>
        <v/>
      </c>
      <c r="AE821">
        <f>IFERROR(SUMIFS(T_TTAFStock[TTAF_Qty],T_TTAFStock[RM_Code],$A775,T_TTAFStock[WeekIndex],27),"")</f>
        <v/>
      </c>
      <c r="AF821">
        <f>IFERROR(SUMIFS(T_TTAFStock[TTAF_Qty],T_TTAFStock[RM_Code],$A775,T_TTAFStock[WeekIndex],28),"")</f>
        <v/>
      </c>
      <c r="AG821">
        <f>IFERROR(SUMIFS(T_TTAFStock[TTAF_Qty],T_TTAFStock[RM_Code],$A775,T_TTAFStock[WeekIndex],29),"")</f>
        <v/>
      </c>
      <c r="AH821">
        <f>IFERROR(SUMIFS(T_TTAFStock[TTAF_Qty],T_TTAFStock[RM_Code],$A775,T_TTAFStock[WeekIndex],30),"")</f>
        <v/>
      </c>
      <c r="AI821">
        <f>IFERROR(SUMIFS(T_TTAFStock[TTAF_Qty],T_TTAFStock[RM_Code],$A775,T_TTAFStock[WeekIndex],31),"")</f>
        <v/>
      </c>
      <c r="AJ821">
        <f>IFERROR(SUMIFS(T_TTAFStock[TTAF_Qty],T_TTAFStock[RM_Code],$A775,T_TTAFStock[WeekIndex],32),"")</f>
        <v/>
      </c>
      <c r="AK821">
        <f>IFERROR(SUMIFS(T_TTAFStock[TTAF_Qty],T_TTAFStock[RM_Code],$A775,T_TTAFStock[WeekIndex],33),"")</f>
        <v/>
      </c>
      <c r="AL821">
        <f>IFERROR(SUMIFS(T_TTAFStock[TTAF_Qty],T_TTAFStock[RM_Code],$A775,T_TTAFStock[WeekIndex],34),"")</f>
        <v/>
      </c>
      <c r="AM821">
        <f>IFERROR(SUMIFS(T_TTAFStock[TTAF_Qty],T_TTAFStock[RM_Code],$A775,T_TTAFStock[WeekIndex],35),"")</f>
        <v/>
      </c>
      <c r="AN821">
        <f>IFERROR(SUMIFS(T_TTAFStock[TTAF_Qty],T_TTAFStock[RM_Code],$A775,T_TTAFStock[WeekIndex],36),"")</f>
        <v/>
      </c>
      <c r="AO821">
        <f>IFERROR(SUMIFS(T_TTAFStock[TTAF_Qty],T_TTAFStock[RM_Code],$A775,T_TTAFStock[WeekIndex],37),"")</f>
        <v/>
      </c>
      <c r="AP821">
        <f>IFERROR(SUMIFS(T_TTAFStock[TTAF_Qty],T_TTAFStock[RM_Code],$A775,T_TTAFStock[WeekIndex],38),"")</f>
        <v/>
      </c>
      <c r="AQ821">
        <f>IFERROR(SUMIFS(T_TTAFStock[TTAF_Qty],T_TTAFStock[RM_Code],$A775,T_TTAFStock[WeekIndex],39),"")</f>
        <v/>
      </c>
      <c r="AR821">
        <f>IFERROR(SUMIFS(T_TTAFStock[TTAF_Qty],T_TTAFStock[RM_Code],$A775,T_TTAFStock[WeekIndex],40),"")</f>
        <v/>
      </c>
      <c r="AS821">
        <f>IFERROR(SUMIFS(T_TTAFStock[TTAF_Qty],T_TTAFStock[RM_Code],$A775,T_TTAFStock[WeekIndex],41),"")</f>
        <v/>
      </c>
      <c r="AT821">
        <f>IFERROR(SUMIFS(T_TTAFStock[TTAF_Qty],T_TTAFStock[RM_Code],$A775,T_TTAFStock[WeekIndex],42),"")</f>
        <v/>
      </c>
      <c r="AU821">
        <f>IFERROR(SUMIFS(T_TTAFStock[TTAF_Qty],T_TTAFStock[RM_Code],$A775,T_TTAFStock[WeekIndex],43),"")</f>
        <v/>
      </c>
      <c r="AV821">
        <f>IFERROR(SUMIFS(T_TTAFStock[TTAF_Qty],T_TTAFStock[RM_Code],$A775,T_TTAFStock[WeekIndex],44),"")</f>
        <v/>
      </c>
      <c r="AW821">
        <f>IFERROR(SUMIFS(T_TTAFStock[TTAF_Qty],T_TTAFStock[RM_Code],$A775,T_TTAFStock[WeekIndex],45),"")</f>
        <v/>
      </c>
      <c r="AX821">
        <f>IFERROR(SUMIFS(T_TTAFStock[TTAF_Qty],T_TTAFStock[RM_Code],$A775,T_TTAFStock[WeekIndex],46),"")</f>
        <v/>
      </c>
      <c r="AY821">
        <f>IFERROR(SUMIFS(T_TTAFStock[TTAF_Qty],T_TTAFStock[RM_Code],$A775,T_TTAFStock[WeekIndex],47),"")</f>
        <v/>
      </c>
      <c r="AZ821">
        <f>IFERROR(SUMIFS(T_TTAFStock[TTAF_Qty],T_TTAFStock[RM_Code],$A775,T_TTAFStock[WeekIndex],48),"")</f>
        <v/>
      </c>
      <c r="BA821">
        <f>IFERROR(SUMIFS(T_TTAFStock[TTAF_Qty],T_TTAFStock[RM_Code],$A775,T_TTAFStock[WeekIndex],49),"")</f>
        <v/>
      </c>
      <c r="BB821">
        <f>IFERROR(SUMIFS(T_TTAFStock[TTAF_Qty],T_TTAFStock[RM_Code],$A775,T_TTAFStock[WeekIndex],50),"")</f>
        <v/>
      </c>
      <c r="BC821">
        <f>IFERROR(SUMIFS(T_TTAFStock[TTAF_Qty],T_TTAFStock[RM_Code],$A775,T_TTAFStock[WeekIndex],51),"")</f>
        <v/>
      </c>
      <c r="BD821">
        <f>IFERROR(SUMIFS(T_TTAFStock[TTAF_Qty],T_TTAFStock[RM_Code],$A775,T_TTAFStock[WeekIndex],52),"")</f>
        <v/>
      </c>
      <c r="BE821">
        <f>IFERROR(SUMIFS(T_TTAFStock[TTAF_Qty],T_TTAFStock[RM_Code],$A775,T_TTAFStock[WeekIndex],53),"")</f>
        <v/>
      </c>
      <c r="BF821">
        <f>IFERROR(SUMIFS(T_TTAFStock[TTAF_Qty],T_TTAFStock[RM_Code],$A775,T_TTAFStock[WeekIndex],54),"")</f>
        <v/>
      </c>
      <c r="BG821">
        <f>IFERROR(SUMIFS(T_TTAFStock[TTAF_Qty],T_TTAFStock[RM_Code],$A775,T_TTAFStock[WeekIndex],55),"")</f>
        <v/>
      </c>
      <c r="BH821">
        <f>IFERROR(SUMIFS(T_TTAFStock[TTAF_Qty],T_TTAFStock[RM_Code],$A775,T_TTAFStock[WeekIndex],56),"")</f>
        <v/>
      </c>
      <c r="BI821">
        <f>IFERROR(SUMIFS(T_TTAFStock[TTAF_Qty],T_TTAFStock[RM_Code],$A775,T_TTAFStock[WeekIndex],57),"")</f>
        <v/>
      </c>
      <c r="BJ821">
        <f>IFERROR(SUMIFS(T_TTAFStock[TTAF_Qty],T_TTAFStock[RM_Code],$A775,T_TTAFStock[WeekIndex],58),"")</f>
        <v/>
      </c>
      <c r="BK821">
        <f>IFERROR(SUMIFS(T_TTAFStock[TTAF_Qty],T_TTAFStock[RM_Code],$A775,T_TTAFStock[WeekIndex],59),"")</f>
        <v/>
      </c>
      <c r="BL821">
        <f>IFERROR(SUMIFS(T_TTAFStock[TTAF_Qty],T_TTAFStock[RM_Code],$A775,T_TTAFStock[WeekIndex],60),"")</f>
        <v/>
      </c>
      <c r="BM821">
        <f>IFERROR(SUMIFS(T_TTAFStock[TTAF_Qty],T_TTAFStock[RM_Code],$A775,T_TTAFStock[WeekIndex],61),"")</f>
        <v/>
      </c>
      <c r="BN821">
        <f>IFERROR(SUMIFS(T_TTAFStock[TTAF_Qty],T_TTAFStock[RM_Code],$A775,T_TTAFStock[WeekIndex],62),"")</f>
        <v/>
      </c>
      <c r="BO821">
        <f>IFERROR(SUMIFS(T_TTAFStock[TTAF_Qty],T_TTAFStock[RM_Code],$A775,T_TTAFStock[WeekIndex],63),"")</f>
        <v/>
      </c>
      <c r="BP821">
        <f>IFERROR(SUMIFS(T_TTAFStock[TTAF_Qty],T_TTAFStock[RM_Code],$A775,T_TTAFStock[WeekIndex],64),"")</f>
        <v/>
      </c>
      <c r="BQ821">
        <f>IFERROR(SUMIFS(T_TTAFStock[TTAF_Qty],T_TTAFStock[RM_Code],$A775,T_TTAFStock[WeekIndex],65),"")</f>
        <v/>
      </c>
      <c r="BR821">
        <f>IFERROR(SUMIFS(T_TTAFStock[TTAF_Qty],T_TTAFStock[RM_Code],$A775,T_TTAFStock[WeekIndex],66),"")</f>
        <v/>
      </c>
      <c r="BS821">
        <f>IFERROR(SUMIFS(T_TTAFStock[TTAF_Qty],T_TTAFStock[RM_Code],$A775,T_TTAFStock[WeekIndex],67),"")</f>
        <v/>
      </c>
      <c r="BT821">
        <f>IFERROR(SUMIFS(T_TTAFStock[TTAF_Qty],T_TTAFStock[RM_Code],$A775,T_TTAFStock[WeekIndex],68),"")</f>
        <v/>
      </c>
      <c r="BU821">
        <f>IFERROR(SUMIFS(T_TTAFStock[TTAF_Qty],T_TTAFStock[RM_Code],$A775,T_TTAFStock[WeekIndex],69),"")</f>
        <v/>
      </c>
      <c r="BV821">
        <f>IFERROR(SUMIFS(T_TTAFStock[TTAF_Qty],T_TTAFStock[RM_Code],$A775,T_TTAFStock[WeekIndex],70),"")</f>
        <v/>
      </c>
      <c r="BW821">
        <f>IFERROR(SUMIFS(T_TTAFStock[TTAF_Qty],T_TTAFStock[RM_Code],$A775,T_TTAFStock[WeekIndex],71),"")</f>
        <v/>
      </c>
      <c r="BX821">
        <f>IFERROR(SUMIFS(T_TTAFStock[TTAF_Qty],T_TTAFStock[RM_Code],$A775,T_TTAFStock[WeekIndex],72),"")</f>
        <v/>
      </c>
      <c r="BY821">
        <f>IFERROR(SUMIFS(T_TTAFStock[TTAF_Qty],T_TTAFStock[RM_Code],$A775,T_TTAFStock[WeekIndex],73),"")</f>
        <v/>
      </c>
      <c r="BZ821">
        <f>IFERROR(SUMIFS(T_TTAFStock[TTAF_Qty],T_TTAFStock[RM_Code],$A775,T_TTAFStock[WeekIndex],74),"")</f>
        <v/>
      </c>
      <c r="CA821">
        <f>IFERROR(SUMIFS(T_TTAFStock[TTAF_Qty],T_TTAFStock[RM_Code],$A775,T_TTAFStock[WeekIndex],75),"")</f>
        <v/>
      </c>
      <c r="CB821">
        <f>IFERROR(SUMIFS(T_TTAFStock[TTAF_Qty],T_TTAFStock[RM_Code],$A775,T_TTAFStock[WeekIndex],76),"")</f>
        <v/>
      </c>
      <c r="CC821">
        <f>IFERROR(SUMIFS(T_TTAFStock[TTAF_Qty],T_TTAFStock[RM_Code],$A775,T_TTAFStock[WeekIndex],77),"")</f>
        <v/>
      </c>
      <c r="CD821">
        <f>IFERROR(SUMIFS(T_TTAFStock[TTAF_Qty],T_TTAFStock[RM_Code],$A775,T_TTAFStock[WeekIndex],78),"")</f>
        <v/>
      </c>
      <c r="CE821">
        <f>IFERROR(SUMIFS(T_TTAFStock[TTAF_Qty],T_TTAFStock[RM_Code],$A775,T_TTAFStock[WeekIndex],79),"")</f>
        <v/>
      </c>
      <c r="CF821">
        <f>IFERROR(SUMIFS(T_TTAFStock[TTAF_Qty],T_TTAFStock[RM_Code],$A775,T_TTAFStock[WeekIndex],80),"")</f>
        <v/>
      </c>
      <c r="CG821">
        <f>IFERROR(SUMIFS(T_TTAFStock[TTAF_Qty],T_TTAFStock[RM_Code],$A775,T_TTAFStock[WeekIndex],81),"")</f>
        <v/>
      </c>
      <c r="CH821">
        <f>IFERROR(SUMIFS(T_TTAFStock[TTAF_Qty],T_TTAFStock[RM_Code],$A775,T_TTAFStock[WeekIndex],82),"")</f>
        <v/>
      </c>
      <c r="CI821">
        <f>IFERROR(SUMIFS(T_TTAFStock[TTAF_Qty],T_TTAFStock[RM_Code],$A775,T_TTAFStock[WeekIndex],83),"")</f>
        <v/>
      </c>
      <c r="CJ821">
        <f>IFERROR(SUMIFS(T_TTAFStock[TTAF_Qty],T_TTAFStock[RM_Code],$A775,T_TTAFStock[WeekIndex],84),"")</f>
        <v/>
      </c>
      <c r="CK821">
        <f>IFERROR(SUMIFS(T_TTAFStock[TTAF_Qty],T_TTAFStock[RM_Code],$A775,T_TTAFStock[WeekIndex],85),"")</f>
        <v/>
      </c>
      <c r="CL821">
        <f>IFERROR(SUMIFS(T_TTAFStock[TTAF_Qty],T_TTAFStock[RM_Code],$A775,T_TTAFStock[WeekIndex],86),"")</f>
        <v/>
      </c>
      <c r="CM821">
        <f>IFERROR(SUMIFS(T_TTAFStock[TTAF_Qty],T_TTAFStock[RM_Code],$A775,T_TTAFStock[WeekIndex],87),"")</f>
        <v/>
      </c>
      <c r="CN821">
        <f>IFERROR(SUMIFS(T_TTAFStock[TTAF_Qty],T_TTAFStock[RM_Code],$A775,T_TTAFStock[WeekIndex],88),"")</f>
        <v/>
      </c>
      <c r="CO821">
        <f>IFERROR(SUMIFS(T_TTAFStock[TTAF_Qty],T_TTAFStock[RM_Code],$A775,T_TTAFStock[WeekIndex],89),"")</f>
        <v/>
      </c>
      <c r="CP821">
        <f>IFERROR(SUMIFS(T_TTAFStock[TTAF_Qty],T_TTAFStock[RM_Code],$A775,T_TTAFStock[WeekIndex],90),"")</f>
        <v/>
      </c>
      <c r="CQ821">
        <f>IFERROR(SUMIFS(T_TTAFStock[TTAF_Qty],T_TTAFStock[RM_Code],$A775,T_TTAFStock[WeekIndex],91),"")</f>
        <v/>
      </c>
      <c r="CR821">
        <f>IFERROR(SUMIFS(T_TTAFStock[TTAF_Qty],T_TTAFStock[RM_Code],$A775,T_TTAFStock[WeekIndex],92),"")</f>
        <v/>
      </c>
      <c r="CS821">
        <f>IFERROR(SUMIFS(T_TTAFStock[TTAF_Qty],T_TTAFStock[RM_Code],$A775,T_TTAFStock[WeekIndex],93),"")</f>
        <v/>
      </c>
      <c r="CT821">
        <f>IFERROR(SUMIFS(T_TTAFStock[TTAF_Qty],T_TTAFStock[RM_Code],$A775,T_TTAFStock[WeekIndex],94),"")</f>
        <v/>
      </c>
      <c r="CU821">
        <f>IFERROR(SUMIFS(T_TTAFStock[TTAF_Qty],T_TTAFStock[RM_Code],$A775,T_TTAFStock[WeekIndex],95),"")</f>
        <v/>
      </c>
      <c r="CV821">
        <f>IFERROR(SUMIFS(T_TTAFStock[TTAF_Qty],T_TTAFStock[RM_Code],$A775,T_TTAFStock[WeekIndex],96),"")</f>
        <v/>
      </c>
      <c r="CW821">
        <f>IFERROR(SUMIFS(T_TTAFStock[TTAF_Qty],T_TTAFStock[RM_Code],$A775,T_TTAFStock[WeekIndex],97),"")</f>
        <v/>
      </c>
      <c r="CX821">
        <f>IFERROR(SUMIFS(T_TTAFStock[TTAF_Qty],T_TTAFStock[RM_Code],$A775,T_TTAFStock[WeekIndex],98),"")</f>
        <v/>
      </c>
      <c r="CY821">
        <f>IFERROR(SUMIFS(T_TTAFStock[TTAF_Qty],T_TTAFStock[RM_Code],$A775,T_TTAFStock[WeekIndex],99),"")</f>
        <v/>
      </c>
      <c r="CZ821">
        <f>IFERROR(SUMIFS(T_TTAFStock[TTAF_Qty],T_TTAFStock[RM_Code],$A775,T_TTAFStock[WeekIndex],100),"")</f>
        <v/>
      </c>
      <c r="DA821">
        <f>IFERROR(SUMIFS(T_TTAFStock[TTAF_Qty],T_TTAFStock[RM_Code],$A775,T_TTAFStock[WeekIndex],101),"")</f>
        <v/>
      </c>
      <c r="DB821">
        <f>IFERROR(SUMIFS(T_TTAFStock[TTAF_Qty],T_TTAFStock[RM_Code],$A775,T_TTAFStock[WeekIndex],102),"")</f>
        <v/>
      </c>
      <c r="DC821">
        <f>IFERROR(SUMIFS(T_TTAFStock[TTAF_Qty],T_TTAFStock[RM_Code],$A775,T_TTAFStock[WeekIndex],103),"")</f>
        <v/>
      </c>
      <c r="DD821">
        <f>IFERROR(SUMIFS(T_TTAFStock[TTAF_Qty],T_TTAFStock[RM_Code],$A775,T_TTAFStock[WeekIndex],104),"")</f>
        <v/>
      </c>
    </row>
    <row r="822">
      <c r="B822" t="inlineStr">
        <is>
          <t>自社在庫(実績,kg)</t>
        </is>
      </c>
      <c r="D822">
        <f>IFERROR(INDEX(E822:DD822,$F$1),"")</f>
        <v/>
      </c>
      <c r="E822">
        <f>IFERROR(SUMIFS(T_SelfStock[Self_Qty],T_SelfStock[RM_Code],$A775,T_SelfStock[WeekIndex],1),"")</f>
        <v/>
      </c>
      <c r="F822">
        <f>IFERROR(SUMIFS(T_SelfStock[Self_Qty],T_SelfStock[RM_Code],$A775,T_SelfStock[WeekIndex],2),"")</f>
        <v/>
      </c>
      <c r="G822">
        <f>IFERROR(SUMIFS(T_SelfStock[Self_Qty],T_SelfStock[RM_Code],$A775,T_SelfStock[WeekIndex],3),"")</f>
        <v/>
      </c>
      <c r="H822">
        <f>IFERROR(SUMIFS(T_SelfStock[Self_Qty],T_SelfStock[RM_Code],$A775,T_SelfStock[WeekIndex],4),"")</f>
        <v/>
      </c>
      <c r="I822">
        <f>IFERROR(SUMIFS(T_SelfStock[Self_Qty],T_SelfStock[RM_Code],$A775,T_SelfStock[WeekIndex],5),"")</f>
        <v/>
      </c>
      <c r="J822">
        <f>IFERROR(SUMIFS(T_SelfStock[Self_Qty],T_SelfStock[RM_Code],$A775,T_SelfStock[WeekIndex],6),"")</f>
        <v/>
      </c>
      <c r="K822">
        <f>IFERROR(SUMIFS(T_SelfStock[Self_Qty],T_SelfStock[RM_Code],$A775,T_SelfStock[WeekIndex],7),"")</f>
        <v/>
      </c>
      <c r="L822">
        <f>IFERROR(SUMIFS(T_SelfStock[Self_Qty],T_SelfStock[RM_Code],$A775,T_SelfStock[WeekIndex],8),"")</f>
        <v/>
      </c>
      <c r="M822">
        <f>IFERROR(SUMIFS(T_SelfStock[Self_Qty],T_SelfStock[RM_Code],$A775,T_SelfStock[WeekIndex],9),"")</f>
        <v/>
      </c>
      <c r="N822">
        <f>IFERROR(SUMIFS(T_SelfStock[Self_Qty],T_SelfStock[RM_Code],$A775,T_SelfStock[WeekIndex],10),"")</f>
        <v/>
      </c>
      <c r="O822">
        <f>IFERROR(SUMIFS(T_SelfStock[Self_Qty],T_SelfStock[RM_Code],$A775,T_SelfStock[WeekIndex],11),"")</f>
        <v/>
      </c>
      <c r="P822">
        <f>IFERROR(SUMIFS(T_SelfStock[Self_Qty],T_SelfStock[RM_Code],$A775,T_SelfStock[WeekIndex],12),"")</f>
        <v/>
      </c>
      <c r="Q822">
        <f>IFERROR(SUMIFS(T_SelfStock[Self_Qty],T_SelfStock[RM_Code],$A775,T_SelfStock[WeekIndex],13),"")</f>
        <v/>
      </c>
      <c r="R822">
        <f>IFERROR(SUMIFS(T_SelfStock[Self_Qty],T_SelfStock[RM_Code],$A775,T_SelfStock[WeekIndex],14),"")</f>
        <v/>
      </c>
      <c r="S822">
        <f>IFERROR(SUMIFS(T_SelfStock[Self_Qty],T_SelfStock[RM_Code],$A775,T_SelfStock[WeekIndex],15),"")</f>
        <v/>
      </c>
      <c r="T822">
        <f>IFERROR(SUMIFS(T_SelfStock[Self_Qty],T_SelfStock[RM_Code],$A775,T_SelfStock[WeekIndex],16),"")</f>
        <v/>
      </c>
      <c r="U822">
        <f>IFERROR(SUMIFS(T_SelfStock[Self_Qty],T_SelfStock[RM_Code],$A775,T_SelfStock[WeekIndex],17),"")</f>
        <v/>
      </c>
      <c r="V822">
        <f>IFERROR(SUMIFS(T_SelfStock[Self_Qty],T_SelfStock[RM_Code],$A775,T_SelfStock[WeekIndex],18),"")</f>
        <v/>
      </c>
      <c r="W822">
        <f>IFERROR(SUMIFS(T_SelfStock[Self_Qty],T_SelfStock[RM_Code],$A775,T_SelfStock[WeekIndex],19),"")</f>
        <v/>
      </c>
      <c r="X822">
        <f>IFERROR(SUMIFS(T_SelfStock[Self_Qty],T_SelfStock[RM_Code],$A775,T_SelfStock[WeekIndex],20),"")</f>
        <v/>
      </c>
      <c r="Y822">
        <f>IFERROR(SUMIFS(T_SelfStock[Self_Qty],T_SelfStock[RM_Code],$A775,T_SelfStock[WeekIndex],21),"")</f>
        <v/>
      </c>
      <c r="Z822">
        <f>IFERROR(SUMIFS(T_SelfStock[Self_Qty],T_SelfStock[RM_Code],$A775,T_SelfStock[WeekIndex],22),"")</f>
        <v/>
      </c>
      <c r="AA822">
        <f>IFERROR(SUMIFS(T_SelfStock[Self_Qty],T_SelfStock[RM_Code],$A775,T_SelfStock[WeekIndex],23),"")</f>
        <v/>
      </c>
      <c r="AB822">
        <f>IFERROR(SUMIFS(T_SelfStock[Self_Qty],T_SelfStock[RM_Code],$A775,T_SelfStock[WeekIndex],24),"")</f>
        <v/>
      </c>
      <c r="AC822">
        <f>IFERROR(SUMIFS(T_SelfStock[Self_Qty],T_SelfStock[RM_Code],$A775,T_SelfStock[WeekIndex],25),"")</f>
        <v/>
      </c>
      <c r="AD822">
        <f>IFERROR(SUMIFS(T_SelfStock[Self_Qty],T_SelfStock[RM_Code],$A775,T_SelfStock[WeekIndex],26),"")</f>
        <v/>
      </c>
      <c r="AE822">
        <f>IFERROR(SUMIFS(T_SelfStock[Self_Qty],T_SelfStock[RM_Code],$A775,T_SelfStock[WeekIndex],27),"")</f>
        <v/>
      </c>
      <c r="AF822">
        <f>IFERROR(SUMIFS(T_SelfStock[Self_Qty],T_SelfStock[RM_Code],$A775,T_SelfStock[WeekIndex],28),"")</f>
        <v/>
      </c>
      <c r="AG822">
        <f>IFERROR(SUMIFS(T_SelfStock[Self_Qty],T_SelfStock[RM_Code],$A775,T_SelfStock[WeekIndex],29),"")</f>
        <v/>
      </c>
      <c r="AH822">
        <f>IFERROR(SUMIFS(T_SelfStock[Self_Qty],T_SelfStock[RM_Code],$A775,T_SelfStock[WeekIndex],30),"")</f>
        <v/>
      </c>
      <c r="AI822">
        <f>IFERROR(SUMIFS(T_SelfStock[Self_Qty],T_SelfStock[RM_Code],$A775,T_SelfStock[WeekIndex],31),"")</f>
        <v/>
      </c>
      <c r="AJ822">
        <f>IFERROR(SUMIFS(T_SelfStock[Self_Qty],T_SelfStock[RM_Code],$A775,T_SelfStock[WeekIndex],32),"")</f>
        <v/>
      </c>
      <c r="AK822">
        <f>IFERROR(SUMIFS(T_SelfStock[Self_Qty],T_SelfStock[RM_Code],$A775,T_SelfStock[WeekIndex],33),"")</f>
        <v/>
      </c>
      <c r="AL822">
        <f>IFERROR(SUMIFS(T_SelfStock[Self_Qty],T_SelfStock[RM_Code],$A775,T_SelfStock[WeekIndex],34),"")</f>
        <v/>
      </c>
      <c r="AM822">
        <f>IFERROR(SUMIFS(T_SelfStock[Self_Qty],T_SelfStock[RM_Code],$A775,T_SelfStock[WeekIndex],35),"")</f>
        <v/>
      </c>
      <c r="AN822">
        <f>IFERROR(SUMIFS(T_SelfStock[Self_Qty],T_SelfStock[RM_Code],$A775,T_SelfStock[WeekIndex],36),"")</f>
        <v/>
      </c>
      <c r="AO822">
        <f>IFERROR(SUMIFS(T_SelfStock[Self_Qty],T_SelfStock[RM_Code],$A775,T_SelfStock[WeekIndex],37),"")</f>
        <v/>
      </c>
      <c r="AP822">
        <f>IFERROR(SUMIFS(T_SelfStock[Self_Qty],T_SelfStock[RM_Code],$A775,T_SelfStock[WeekIndex],38),"")</f>
        <v/>
      </c>
      <c r="AQ822">
        <f>IFERROR(SUMIFS(T_SelfStock[Self_Qty],T_SelfStock[RM_Code],$A775,T_SelfStock[WeekIndex],39),"")</f>
        <v/>
      </c>
      <c r="AR822">
        <f>IFERROR(SUMIFS(T_SelfStock[Self_Qty],T_SelfStock[RM_Code],$A775,T_SelfStock[WeekIndex],40),"")</f>
        <v/>
      </c>
      <c r="AS822">
        <f>IFERROR(SUMIFS(T_SelfStock[Self_Qty],T_SelfStock[RM_Code],$A775,T_SelfStock[WeekIndex],41),"")</f>
        <v/>
      </c>
      <c r="AT822">
        <f>IFERROR(SUMIFS(T_SelfStock[Self_Qty],T_SelfStock[RM_Code],$A775,T_SelfStock[WeekIndex],42),"")</f>
        <v/>
      </c>
      <c r="AU822">
        <f>IFERROR(SUMIFS(T_SelfStock[Self_Qty],T_SelfStock[RM_Code],$A775,T_SelfStock[WeekIndex],43),"")</f>
        <v/>
      </c>
      <c r="AV822">
        <f>IFERROR(SUMIFS(T_SelfStock[Self_Qty],T_SelfStock[RM_Code],$A775,T_SelfStock[WeekIndex],44),"")</f>
        <v/>
      </c>
      <c r="AW822">
        <f>IFERROR(SUMIFS(T_SelfStock[Self_Qty],T_SelfStock[RM_Code],$A775,T_SelfStock[WeekIndex],45),"")</f>
        <v/>
      </c>
      <c r="AX822">
        <f>IFERROR(SUMIFS(T_SelfStock[Self_Qty],T_SelfStock[RM_Code],$A775,T_SelfStock[WeekIndex],46),"")</f>
        <v/>
      </c>
      <c r="AY822">
        <f>IFERROR(SUMIFS(T_SelfStock[Self_Qty],T_SelfStock[RM_Code],$A775,T_SelfStock[WeekIndex],47),"")</f>
        <v/>
      </c>
      <c r="AZ822">
        <f>IFERROR(SUMIFS(T_SelfStock[Self_Qty],T_SelfStock[RM_Code],$A775,T_SelfStock[WeekIndex],48),"")</f>
        <v/>
      </c>
      <c r="BA822">
        <f>IFERROR(SUMIFS(T_SelfStock[Self_Qty],T_SelfStock[RM_Code],$A775,T_SelfStock[WeekIndex],49),"")</f>
        <v/>
      </c>
      <c r="BB822">
        <f>IFERROR(SUMIFS(T_SelfStock[Self_Qty],T_SelfStock[RM_Code],$A775,T_SelfStock[WeekIndex],50),"")</f>
        <v/>
      </c>
      <c r="BC822">
        <f>IFERROR(SUMIFS(T_SelfStock[Self_Qty],T_SelfStock[RM_Code],$A775,T_SelfStock[WeekIndex],51),"")</f>
        <v/>
      </c>
      <c r="BD822">
        <f>IFERROR(SUMIFS(T_SelfStock[Self_Qty],T_SelfStock[RM_Code],$A775,T_SelfStock[WeekIndex],52),"")</f>
        <v/>
      </c>
      <c r="BE822">
        <f>IFERROR(SUMIFS(T_SelfStock[Self_Qty],T_SelfStock[RM_Code],$A775,T_SelfStock[WeekIndex],53),"")</f>
        <v/>
      </c>
      <c r="BF822">
        <f>IFERROR(SUMIFS(T_SelfStock[Self_Qty],T_SelfStock[RM_Code],$A775,T_SelfStock[WeekIndex],54),"")</f>
        <v/>
      </c>
      <c r="BG822">
        <f>IFERROR(SUMIFS(T_SelfStock[Self_Qty],T_SelfStock[RM_Code],$A775,T_SelfStock[WeekIndex],55),"")</f>
        <v/>
      </c>
      <c r="BH822">
        <f>IFERROR(SUMIFS(T_SelfStock[Self_Qty],T_SelfStock[RM_Code],$A775,T_SelfStock[WeekIndex],56),"")</f>
        <v/>
      </c>
      <c r="BI822">
        <f>IFERROR(SUMIFS(T_SelfStock[Self_Qty],T_SelfStock[RM_Code],$A775,T_SelfStock[WeekIndex],57),"")</f>
        <v/>
      </c>
      <c r="BJ822">
        <f>IFERROR(SUMIFS(T_SelfStock[Self_Qty],T_SelfStock[RM_Code],$A775,T_SelfStock[WeekIndex],58),"")</f>
        <v/>
      </c>
      <c r="BK822">
        <f>IFERROR(SUMIFS(T_SelfStock[Self_Qty],T_SelfStock[RM_Code],$A775,T_SelfStock[WeekIndex],59),"")</f>
        <v/>
      </c>
      <c r="BL822">
        <f>IFERROR(SUMIFS(T_SelfStock[Self_Qty],T_SelfStock[RM_Code],$A775,T_SelfStock[WeekIndex],60),"")</f>
        <v/>
      </c>
      <c r="BM822">
        <f>IFERROR(SUMIFS(T_SelfStock[Self_Qty],T_SelfStock[RM_Code],$A775,T_SelfStock[WeekIndex],61),"")</f>
        <v/>
      </c>
      <c r="BN822">
        <f>IFERROR(SUMIFS(T_SelfStock[Self_Qty],T_SelfStock[RM_Code],$A775,T_SelfStock[WeekIndex],62),"")</f>
        <v/>
      </c>
      <c r="BO822">
        <f>IFERROR(SUMIFS(T_SelfStock[Self_Qty],T_SelfStock[RM_Code],$A775,T_SelfStock[WeekIndex],63),"")</f>
        <v/>
      </c>
      <c r="BP822">
        <f>IFERROR(SUMIFS(T_SelfStock[Self_Qty],T_SelfStock[RM_Code],$A775,T_SelfStock[WeekIndex],64),"")</f>
        <v/>
      </c>
      <c r="BQ822">
        <f>IFERROR(SUMIFS(T_SelfStock[Self_Qty],T_SelfStock[RM_Code],$A775,T_SelfStock[WeekIndex],65),"")</f>
        <v/>
      </c>
      <c r="BR822">
        <f>IFERROR(SUMIFS(T_SelfStock[Self_Qty],T_SelfStock[RM_Code],$A775,T_SelfStock[WeekIndex],66),"")</f>
        <v/>
      </c>
      <c r="BS822">
        <f>IFERROR(SUMIFS(T_SelfStock[Self_Qty],T_SelfStock[RM_Code],$A775,T_SelfStock[WeekIndex],67),"")</f>
        <v/>
      </c>
      <c r="BT822">
        <f>IFERROR(SUMIFS(T_SelfStock[Self_Qty],T_SelfStock[RM_Code],$A775,T_SelfStock[WeekIndex],68),"")</f>
        <v/>
      </c>
      <c r="BU822">
        <f>IFERROR(SUMIFS(T_SelfStock[Self_Qty],T_SelfStock[RM_Code],$A775,T_SelfStock[WeekIndex],69),"")</f>
        <v/>
      </c>
      <c r="BV822">
        <f>IFERROR(SUMIFS(T_SelfStock[Self_Qty],T_SelfStock[RM_Code],$A775,T_SelfStock[WeekIndex],70),"")</f>
        <v/>
      </c>
      <c r="BW822">
        <f>IFERROR(SUMIFS(T_SelfStock[Self_Qty],T_SelfStock[RM_Code],$A775,T_SelfStock[WeekIndex],71),"")</f>
        <v/>
      </c>
      <c r="BX822">
        <f>IFERROR(SUMIFS(T_SelfStock[Self_Qty],T_SelfStock[RM_Code],$A775,T_SelfStock[WeekIndex],72),"")</f>
        <v/>
      </c>
      <c r="BY822">
        <f>IFERROR(SUMIFS(T_SelfStock[Self_Qty],T_SelfStock[RM_Code],$A775,T_SelfStock[WeekIndex],73),"")</f>
        <v/>
      </c>
      <c r="BZ822">
        <f>IFERROR(SUMIFS(T_SelfStock[Self_Qty],T_SelfStock[RM_Code],$A775,T_SelfStock[WeekIndex],74),"")</f>
        <v/>
      </c>
      <c r="CA822">
        <f>IFERROR(SUMIFS(T_SelfStock[Self_Qty],T_SelfStock[RM_Code],$A775,T_SelfStock[WeekIndex],75),"")</f>
        <v/>
      </c>
      <c r="CB822">
        <f>IFERROR(SUMIFS(T_SelfStock[Self_Qty],T_SelfStock[RM_Code],$A775,T_SelfStock[WeekIndex],76),"")</f>
        <v/>
      </c>
      <c r="CC822">
        <f>IFERROR(SUMIFS(T_SelfStock[Self_Qty],T_SelfStock[RM_Code],$A775,T_SelfStock[WeekIndex],77),"")</f>
        <v/>
      </c>
      <c r="CD822">
        <f>IFERROR(SUMIFS(T_SelfStock[Self_Qty],T_SelfStock[RM_Code],$A775,T_SelfStock[WeekIndex],78),"")</f>
        <v/>
      </c>
      <c r="CE822">
        <f>IFERROR(SUMIFS(T_SelfStock[Self_Qty],T_SelfStock[RM_Code],$A775,T_SelfStock[WeekIndex],79),"")</f>
        <v/>
      </c>
      <c r="CF822">
        <f>IFERROR(SUMIFS(T_SelfStock[Self_Qty],T_SelfStock[RM_Code],$A775,T_SelfStock[WeekIndex],80),"")</f>
        <v/>
      </c>
      <c r="CG822">
        <f>IFERROR(SUMIFS(T_SelfStock[Self_Qty],T_SelfStock[RM_Code],$A775,T_SelfStock[WeekIndex],81),"")</f>
        <v/>
      </c>
      <c r="CH822">
        <f>IFERROR(SUMIFS(T_SelfStock[Self_Qty],T_SelfStock[RM_Code],$A775,T_SelfStock[WeekIndex],82),"")</f>
        <v/>
      </c>
      <c r="CI822">
        <f>IFERROR(SUMIFS(T_SelfStock[Self_Qty],T_SelfStock[RM_Code],$A775,T_SelfStock[WeekIndex],83),"")</f>
        <v/>
      </c>
      <c r="CJ822">
        <f>IFERROR(SUMIFS(T_SelfStock[Self_Qty],T_SelfStock[RM_Code],$A775,T_SelfStock[WeekIndex],84),"")</f>
        <v/>
      </c>
      <c r="CK822">
        <f>IFERROR(SUMIFS(T_SelfStock[Self_Qty],T_SelfStock[RM_Code],$A775,T_SelfStock[WeekIndex],85),"")</f>
        <v/>
      </c>
      <c r="CL822">
        <f>IFERROR(SUMIFS(T_SelfStock[Self_Qty],T_SelfStock[RM_Code],$A775,T_SelfStock[WeekIndex],86),"")</f>
        <v/>
      </c>
      <c r="CM822">
        <f>IFERROR(SUMIFS(T_SelfStock[Self_Qty],T_SelfStock[RM_Code],$A775,T_SelfStock[WeekIndex],87),"")</f>
        <v/>
      </c>
      <c r="CN822">
        <f>IFERROR(SUMIFS(T_SelfStock[Self_Qty],T_SelfStock[RM_Code],$A775,T_SelfStock[WeekIndex],88),"")</f>
        <v/>
      </c>
      <c r="CO822">
        <f>IFERROR(SUMIFS(T_SelfStock[Self_Qty],T_SelfStock[RM_Code],$A775,T_SelfStock[WeekIndex],89),"")</f>
        <v/>
      </c>
      <c r="CP822">
        <f>IFERROR(SUMIFS(T_SelfStock[Self_Qty],T_SelfStock[RM_Code],$A775,T_SelfStock[WeekIndex],90),"")</f>
        <v/>
      </c>
      <c r="CQ822">
        <f>IFERROR(SUMIFS(T_SelfStock[Self_Qty],T_SelfStock[RM_Code],$A775,T_SelfStock[WeekIndex],91),"")</f>
        <v/>
      </c>
      <c r="CR822">
        <f>IFERROR(SUMIFS(T_SelfStock[Self_Qty],T_SelfStock[RM_Code],$A775,T_SelfStock[WeekIndex],92),"")</f>
        <v/>
      </c>
      <c r="CS822">
        <f>IFERROR(SUMIFS(T_SelfStock[Self_Qty],T_SelfStock[RM_Code],$A775,T_SelfStock[WeekIndex],93),"")</f>
        <v/>
      </c>
      <c r="CT822">
        <f>IFERROR(SUMIFS(T_SelfStock[Self_Qty],T_SelfStock[RM_Code],$A775,T_SelfStock[WeekIndex],94),"")</f>
        <v/>
      </c>
      <c r="CU822">
        <f>IFERROR(SUMIFS(T_SelfStock[Self_Qty],T_SelfStock[RM_Code],$A775,T_SelfStock[WeekIndex],95),"")</f>
        <v/>
      </c>
      <c r="CV822">
        <f>IFERROR(SUMIFS(T_SelfStock[Self_Qty],T_SelfStock[RM_Code],$A775,T_SelfStock[WeekIndex],96),"")</f>
        <v/>
      </c>
      <c r="CW822">
        <f>IFERROR(SUMIFS(T_SelfStock[Self_Qty],T_SelfStock[RM_Code],$A775,T_SelfStock[WeekIndex],97),"")</f>
        <v/>
      </c>
      <c r="CX822">
        <f>IFERROR(SUMIFS(T_SelfStock[Self_Qty],T_SelfStock[RM_Code],$A775,T_SelfStock[WeekIndex],98),"")</f>
        <v/>
      </c>
      <c r="CY822">
        <f>IFERROR(SUMIFS(T_SelfStock[Self_Qty],T_SelfStock[RM_Code],$A775,T_SelfStock[WeekIndex],99),"")</f>
        <v/>
      </c>
      <c r="CZ822">
        <f>IFERROR(SUMIFS(T_SelfStock[Self_Qty],T_SelfStock[RM_Code],$A775,T_SelfStock[WeekIndex],100),"")</f>
        <v/>
      </c>
      <c r="DA822">
        <f>IFERROR(SUMIFS(T_SelfStock[Self_Qty],T_SelfStock[RM_Code],$A775,T_SelfStock[WeekIndex],101),"")</f>
        <v/>
      </c>
      <c r="DB822">
        <f>IFERROR(SUMIFS(T_SelfStock[Self_Qty],T_SelfStock[RM_Code],$A775,T_SelfStock[WeekIndex],102),"")</f>
        <v/>
      </c>
      <c r="DC822">
        <f>IFERROR(SUMIFS(T_SelfStock[Self_Qty],T_SelfStock[RM_Code],$A775,T_SelfStock[WeekIndex],103),"")</f>
        <v/>
      </c>
      <c r="DD822">
        <f>IFERROR(SUMIFS(T_SelfStock[Self_Qty],T_SelfStock[RM_Code],$A775,T_SelfStock[WeekIndex],104),"")</f>
        <v/>
      </c>
    </row>
    <row r="823">
      <c r="B823" s="4" t="inlineStr">
        <is>
          <t>合計在庫(週末時点,kg)</t>
        </is>
      </c>
      <c r="D823" s="24">
        <f>IFERROR(INDEX(E823:DD823,$F$1),"")</f>
        <v/>
      </c>
      <c r="E823">
        <f>'Grid_Stock'!B52</f>
        <v/>
      </c>
      <c r="F823">
        <f>'Grid_Stock'!C52</f>
        <v/>
      </c>
      <c r="G823">
        <f>'Grid_Stock'!D52</f>
        <v/>
      </c>
      <c r="H823">
        <f>'Grid_Stock'!E52</f>
        <v/>
      </c>
      <c r="I823">
        <f>'Grid_Stock'!F52</f>
        <v/>
      </c>
      <c r="J823">
        <f>'Grid_Stock'!G52</f>
        <v/>
      </c>
      <c r="K823">
        <f>'Grid_Stock'!H52</f>
        <v/>
      </c>
      <c r="L823">
        <f>'Grid_Stock'!I52</f>
        <v/>
      </c>
      <c r="M823">
        <f>'Grid_Stock'!J52</f>
        <v/>
      </c>
      <c r="N823">
        <f>'Grid_Stock'!K52</f>
        <v/>
      </c>
      <c r="O823">
        <f>'Grid_Stock'!L52</f>
        <v/>
      </c>
      <c r="P823">
        <f>'Grid_Stock'!M52</f>
        <v/>
      </c>
      <c r="Q823">
        <f>'Grid_Stock'!N52</f>
        <v/>
      </c>
      <c r="R823">
        <f>'Grid_Stock'!O52</f>
        <v/>
      </c>
      <c r="S823">
        <f>'Grid_Stock'!P52</f>
        <v/>
      </c>
      <c r="T823">
        <f>'Grid_Stock'!Q52</f>
        <v/>
      </c>
      <c r="U823">
        <f>'Grid_Stock'!R52</f>
        <v/>
      </c>
      <c r="V823">
        <f>'Grid_Stock'!S52</f>
        <v/>
      </c>
      <c r="W823">
        <f>'Grid_Stock'!T52</f>
        <v/>
      </c>
      <c r="X823">
        <f>'Grid_Stock'!U52</f>
        <v/>
      </c>
      <c r="Y823">
        <f>'Grid_Stock'!V52</f>
        <v/>
      </c>
      <c r="Z823">
        <f>'Grid_Stock'!W52</f>
        <v/>
      </c>
      <c r="AA823">
        <f>'Grid_Stock'!X52</f>
        <v/>
      </c>
      <c r="AB823">
        <f>'Grid_Stock'!Y52</f>
        <v/>
      </c>
      <c r="AC823">
        <f>'Grid_Stock'!Z52</f>
        <v/>
      </c>
      <c r="AD823">
        <f>'Grid_Stock'!AA52</f>
        <v/>
      </c>
      <c r="AE823">
        <f>'Grid_Stock'!AB52</f>
        <v/>
      </c>
      <c r="AF823">
        <f>'Grid_Stock'!AC52</f>
        <v/>
      </c>
      <c r="AG823">
        <f>'Grid_Stock'!AD52</f>
        <v/>
      </c>
      <c r="AH823">
        <f>'Grid_Stock'!AE52</f>
        <v/>
      </c>
      <c r="AI823">
        <f>'Grid_Stock'!AF52</f>
        <v/>
      </c>
      <c r="AJ823">
        <f>'Grid_Stock'!AG52</f>
        <v/>
      </c>
      <c r="AK823">
        <f>'Grid_Stock'!AH52</f>
        <v/>
      </c>
      <c r="AL823">
        <f>'Grid_Stock'!AI52</f>
        <v/>
      </c>
      <c r="AM823">
        <f>'Grid_Stock'!AJ52</f>
        <v/>
      </c>
      <c r="AN823">
        <f>'Grid_Stock'!AK52</f>
        <v/>
      </c>
      <c r="AO823">
        <f>'Grid_Stock'!AL52</f>
        <v/>
      </c>
      <c r="AP823">
        <f>'Grid_Stock'!AM52</f>
        <v/>
      </c>
      <c r="AQ823">
        <f>'Grid_Stock'!AN52</f>
        <v/>
      </c>
      <c r="AR823">
        <f>'Grid_Stock'!AO52</f>
        <v/>
      </c>
      <c r="AS823">
        <f>'Grid_Stock'!AP52</f>
        <v/>
      </c>
      <c r="AT823">
        <f>'Grid_Stock'!AQ52</f>
        <v/>
      </c>
      <c r="AU823">
        <f>'Grid_Stock'!AR52</f>
        <v/>
      </c>
      <c r="AV823">
        <f>'Grid_Stock'!AS52</f>
        <v/>
      </c>
      <c r="AW823">
        <f>'Grid_Stock'!AT52</f>
        <v/>
      </c>
      <c r="AX823">
        <f>'Grid_Stock'!AU52</f>
        <v/>
      </c>
      <c r="AY823">
        <f>'Grid_Stock'!AV52</f>
        <v/>
      </c>
      <c r="AZ823">
        <f>'Grid_Stock'!AW52</f>
        <v/>
      </c>
      <c r="BA823">
        <f>'Grid_Stock'!AX52</f>
        <v/>
      </c>
      <c r="BB823">
        <f>'Grid_Stock'!AY52</f>
        <v/>
      </c>
      <c r="BC823">
        <f>'Grid_Stock'!AZ52</f>
        <v/>
      </c>
      <c r="BD823">
        <f>'Grid_Stock'!BA52</f>
        <v/>
      </c>
      <c r="BE823">
        <f>'Grid_Stock'!BB52</f>
        <v/>
      </c>
      <c r="BF823">
        <f>'Grid_Stock'!BC52</f>
        <v/>
      </c>
      <c r="BG823">
        <f>'Grid_Stock'!BD52</f>
        <v/>
      </c>
      <c r="BH823">
        <f>'Grid_Stock'!BE52</f>
        <v/>
      </c>
      <c r="BI823">
        <f>'Grid_Stock'!BF52</f>
        <v/>
      </c>
      <c r="BJ823">
        <f>'Grid_Stock'!BG52</f>
        <v/>
      </c>
      <c r="BK823">
        <f>'Grid_Stock'!BH52</f>
        <v/>
      </c>
      <c r="BL823">
        <f>'Grid_Stock'!BI52</f>
        <v/>
      </c>
      <c r="BM823">
        <f>'Grid_Stock'!BJ52</f>
        <v/>
      </c>
      <c r="BN823">
        <f>'Grid_Stock'!BK52</f>
        <v/>
      </c>
      <c r="BO823">
        <f>'Grid_Stock'!BL52</f>
        <v/>
      </c>
      <c r="BP823">
        <f>'Grid_Stock'!BM52</f>
        <v/>
      </c>
      <c r="BQ823">
        <f>'Grid_Stock'!BN52</f>
        <v/>
      </c>
      <c r="BR823">
        <f>'Grid_Stock'!BO52</f>
        <v/>
      </c>
      <c r="BS823">
        <f>'Grid_Stock'!BP52</f>
        <v/>
      </c>
      <c r="BT823">
        <f>'Grid_Stock'!BQ52</f>
        <v/>
      </c>
      <c r="BU823">
        <f>'Grid_Stock'!BR52</f>
        <v/>
      </c>
      <c r="BV823">
        <f>'Grid_Stock'!BS52</f>
        <v/>
      </c>
      <c r="BW823">
        <f>'Grid_Stock'!BT52</f>
        <v/>
      </c>
      <c r="BX823">
        <f>'Grid_Stock'!BU52</f>
        <v/>
      </c>
      <c r="BY823">
        <f>'Grid_Stock'!BV52</f>
        <v/>
      </c>
      <c r="BZ823">
        <f>'Grid_Stock'!BW52</f>
        <v/>
      </c>
      <c r="CA823">
        <f>'Grid_Stock'!BX52</f>
        <v/>
      </c>
      <c r="CB823">
        <f>'Grid_Stock'!BY52</f>
        <v/>
      </c>
      <c r="CC823">
        <f>'Grid_Stock'!BZ52</f>
        <v/>
      </c>
      <c r="CD823">
        <f>'Grid_Stock'!CA52</f>
        <v/>
      </c>
      <c r="CE823">
        <f>'Grid_Stock'!CB52</f>
        <v/>
      </c>
      <c r="CF823">
        <f>'Grid_Stock'!CC52</f>
        <v/>
      </c>
      <c r="CG823">
        <f>'Grid_Stock'!CD52</f>
        <v/>
      </c>
      <c r="CH823">
        <f>'Grid_Stock'!CE52</f>
        <v/>
      </c>
      <c r="CI823">
        <f>'Grid_Stock'!CF52</f>
        <v/>
      </c>
      <c r="CJ823">
        <f>'Grid_Stock'!CG52</f>
        <v/>
      </c>
      <c r="CK823">
        <f>'Grid_Stock'!CH52</f>
        <v/>
      </c>
      <c r="CL823">
        <f>'Grid_Stock'!CI52</f>
        <v/>
      </c>
      <c r="CM823">
        <f>'Grid_Stock'!CJ52</f>
        <v/>
      </c>
      <c r="CN823">
        <f>'Grid_Stock'!CK52</f>
        <v/>
      </c>
      <c r="CO823">
        <f>'Grid_Stock'!CL52</f>
        <v/>
      </c>
      <c r="CP823">
        <f>'Grid_Stock'!CM52</f>
        <v/>
      </c>
      <c r="CQ823">
        <f>'Grid_Stock'!CN52</f>
        <v/>
      </c>
      <c r="CR823">
        <f>'Grid_Stock'!CO52</f>
        <v/>
      </c>
      <c r="CS823">
        <f>'Grid_Stock'!CP52</f>
        <v/>
      </c>
      <c r="CT823">
        <f>'Grid_Stock'!CQ52</f>
        <v/>
      </c>
      <c r="CU823">
        <f>'Grid_Stock'!CR52</f>
        <v/>
      </c>
      <c r="CV823">
        <f>'Grid_Stock'!CS52</f>
        <v/>
      </c>
      <c r="CW823">
        <f>'Grid_Stock'!CT52</f>
        <v/>
      </c>
      <c r="CX823">
        <f>'Grid_Stock'!CU52</f>
        <v/>
      </c>
      <c r="CY823">
        <f>'Grid_Stock'!CV52</f>
        <v/>
      </c>
      <c r="CZ823">
        <f>'Grid_Stock'!CW52</f>
        <v/>
      </c>
      <c r="DA823">
        <f>'Grid_Stock'!CX52</f>
        <v/>
      </c>
      <c r="DB823">
        <f>'Grid_Stock'!CY52</f>
        <v/>
      </c>
      <c r="DC823">
        <f>'Grid_Stock'!CZ52</f>
        <v/>
      </c>
      <c r="DD823">
        <f>'Grid_Stock'!DA52</f>
        <v/>
      </c>
    </row>
    <row r="824">
      <c r="B824" s="25" t="inlineStr">
        <is>
          <t>（発注の目安はDashboardの基準在庫[下限/上限]と色分けを参照）</t>
        </is>
      </c>
    </row>
    <row r="826">
      <c r="A826" s="21" t="inlineStr">
        <is>
          <t>CHEM-1670</t>
        </is>
      </c>
      <c r="B826" s="21" t="inlineStr">
        <is>
          <t>ALESPER 1065</t>
        </is>
      </c>
      <c r="C826" s="22" t="n"/>
      <c r="D826" s="21" t="n"/>
      <c r="E826" s="21" t="n"/>
      <c r="F826" s="21" t="n"/>
      <c r="G826" s="21" t="n"/>
      <c r="H826" s="2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  <c r="AA826" s="21" t="n"/>
      <c r="AB826" s="21" t="n"/>
      <c r="AC826" s="21" t="n"/>
      <c r="AD826" s="21" t="n"/>
      <c r="AE826" s="21" t="n"/>
      <c r="AF826" s="21" t="n"/>
      <c r="AG826" s="21" t="n"/>
      <c r="AH826" s="21" t="n"/>
      <c r="AI826" s="21" t="n"/>
      <c r="AJ826" s="21" t="n"/>
      <c r="AK826" s="21" t="n"/>
      <c r="AL826" s="21" t="n"/>
      <c r="AM826" s="21" t="n"/>
      <c r="AN826" s="21" t="n"/>
      <c r="AO826" s="21" t="n"/>
      <c r="AP826" s="21" t="n"/>
      <c r="AQ826" s="21" t="n"/>
      <c r="AR826" s="21" t="n"/>
      <c r="AS826" s="21" t="n"/>
      <c r="AT826" s="21" t="n"/>
      <c r="AU826" s="21" t="n"/>
      <c r="AV826" s="21" t="n"/>
      <c r="AW826" s="21" t="n"/>
      <c r="AX826" s="21" t="n"/>
      <c r="AY826" s="21" t="n"/>
      <c r="AZ826" s="21" t="n"/>
      <c r="BA826" s="21" t="n"/>
      <c r="BB826" s="21" t="n"/>
      <c r="BC826" s="21" t="n"/>
      <c r="BD826" s="21" t="n"/>
      <c r="BE826" s="21" t="n"/>
      <c r="BF826" s="21" t="n"/>
      <c r="BG826" s="21" t="n"/>
      <c r="BH826" s="21" t="n"/>
      <c r="BI826" s="21" t="n"/>
      <c r="BJ826" s="21" t="n"/>
      <c r="BK826" s="21" t="n"/>
      <c r="BL826" s="21" t="n"/>
      <c r="BM826" s="21" t="n"/>
      <c r="BN826" s="21" t="n"/>
      <c r="BO826" s="21" t="n"/>
      <c r="BP826" s="21" t="n"/>
      <c r="BQ826" s="21" t="n"/>
      <c r="BR826" s="21" t="n"/>
      <c r="BS826" s="21" t="n"/>
      <c r="BT826" s="21" t="n"/>
      <c r="BU826" s="21" t="n"/>
      <c r="BV826" s="21" t="n"/>
      <c r="BW826" s="21" t="n"/>
      <c r="BX826" s="21" t="n"/>
      <c r="BY826" s="21" t="n"/>
      <c r="BZ826" s="21" t="n"/>
      <c r="CA826" s="21" t="n"/>
      <c r="CB826" s="21" t="n"/>
      <c r="CC826" s="21" t="n"/>
      <c r="CD826" s="21" t="n"/>
      <c r="CE826" s="21" t="n"/>
      <c r="CF826" s="21" t="n"/>
      <c r="CG826" s="21" t="n"/>
      <c r="CH826" s="21" t="n"/>
      <c r="CI826" s="21" t="n"/>
      <c r="CJ826" s="21" t="n"/>
      <c r="CK826" s="21" t="n"/>
      <c r="CL826" s="21" t="n"/>
      <c r="CM826" s="21" t="n"/>
      <c r="CN826" s="21" t="n"/>
      <c r="CO826" s="21" t="n"/>
      <c r="CP826" s="21" t="n"/>
      <c r="CQ826" s="21" t="n"/>
      <c r="CR826" s="21" t="n"/>
      <c r="CS826" s="21" t="n"/>
      <c r="CT826" s="21" t="n"/>
      <c r="CU826" s="21" t="n"/>
      <c r="CV826" s="21" t="n"/>
      <c r="CW826" s="21" t="n"/>
      <c r="CX826" s="21" t="n"/>
      <c r="CY826" s="21" t="n"/>
      <c r="CZ826" s="21" t="n"/>
      <c r="DA826" s="21" t="n"/>
      <c r="DB826" s="21" t="n"/>
      <c r="DC826" s="21" t="n"/>
      <c r="DD826" s="21" t="n"/>
    </row>
    <row r="827">
      <c r="B827" t="inlineStr">
        <is>
          <t>TSP-218</t>
        </is>
      </c>
      <c r="C827" t="inlineStr">
        <is>
          <t>No. of batches</t>
        </is>
      </c>
      <c r="D827">
        <f>IFERROR(INDEX(E827:DD827,$F$1),"")</f>
        <v/>
      </c>
      <c r="E827">
        <f>IFERROR(INDEX(PP_Grid[#Data],$DE827,2),0)</f>
        <v/>
      </c>
      <c r="F827">
        <f>IFERROR(INDEX(PP_Grid[#Data],$DE827,3),0)</f>
        <v/>
      </c>
      <c r="G827">
        <f>IFERROR(INDEX(PP_Grid[#Data],$DE827,4),0)</f>
        <v/>
      </c>
      <c r="H827">
        <f>IFERROR(INDEX(PP_Grid[#Data],$DE827,5),0)</f>
        <v/>
      </c>
      <c r="I827">
        <f>IFERROR(INDEX(PP_Grid[#Data],$DE827,6),0)</f>
        <v/>
      </c>
      <c r="J827">
        <f>IFERROR(INDEX(PP_Grid[#Data],$DE827,7),0)</f>
        <v/>
      </c>
      <c r="K827">
        <f>IFERROR(INDEX(PP_Grid[#Data],$DE827,8),0)</f>
        <v/>
      </c>
      <c r="L827">
        <f>IFERROR(INDEX(PP_Grid[#Data],$DE827,9),0)</f>
        <v/>
      </c>
      <c r="M827">
        <f>IFERROR(INDEX(PP_Grid[#Data],$DE827,10),0)</f>
        <v/>
      </c>
      <c r="N827">
        <f>IFERROR(INDEX(PP_Grid[#Data],$DE827,11),0)</f>
        <v/>
      </c>
      <c r="O827">
        <f>IFERROR(INDEX(PP_Grid[#Data],$DE827,12),0)</f>
        <v/>
      </c>
      <c r="P827">
        <f>IFERROR(INDEX(PP_Grid[#Data],$DE827,13),0)</f>
        <v/>
      </c>
      <c r="Q827">
        <f>IFERROR(INDEX(PP_Grid[#Data],$DE827,14),0)</f>
        <v/>
      </c>
      <c r="R827">
        <f>IFERROR(INDEX(PP_Grid[#Data],$DE827,15),0)</f>
        <v/>
      </c>
      <c r="S827">
        <f>IFERROR(INDEX(PP_Grid[#Data],$DE827,16),0)</f>
        <v/>
      </c>
      <c r="T827">
        <f>IFERROR(INDEX(PP_Grid[#Data],$DE827,17),0)</f>
        <v/>
      </c>
      <c r="U827">
        <f>IFERROR(INDEX(PP_Grid[#Data],$DE827,18),0)</f>
        <v/>
      </c>
      <c r="V827">
        <f>IFERROR(INDEX(PP_Grid[#Data],$DE827,19),0)</f>
        <v/>
      </c>
      <c r="W827">
        <f>IFERROR(INDEX(PP_Grid[#Data],$DE827,20),0)</f>
        <v/>
      </c>
      <c r="X827">
        <f>IFERROR(INDEX(PP_Grid[#Data],$DE827,21),0)</f>
        <v/>
      </c>
      <c r="Y827">
        <f>IFERROR(INDEX(PP_Grid[#Data],$DE827,22),0)</f>
        <v/>
      </c>
      <c r="Z827">
        <f>IFERROR(INDEX(PP_Grid[#Data],$DE827,23),0)</f>
        <v/>
      </c>
      <c r="AA827">
        <f>IFERROR(INDEX(PP_Grid[#Data],$DE827,24),0)</f>
        <v/>
      </c>
      <c r="AB827">
        <f>IFERROR(INDEX(PP_Grid[#Data],$DE827,25),0)</f>
        <v/>
      </c>
      <c r="AC827">
        <f>IFERROR(INDEX(PP_Grid[#Data],$DE827,26),0)</f>
        <v/>
      </c>
      <c r="AD827">
        <f>IFERROR(INDEX(PP_Grid[#Data],$DE827,27),0)</f>
        <v/>
      </c>
      <c r="AE827">
        <f>IFERROR(INDEX(PP_Grid[#Data],$DE827,28),0)</f>
        <v/>
      </c>
      <c r="AF827">
        <f>IFERROR(INDEX(PP_Grid[#Data],$DE827,29),0)</f>
        <v/>
      </c>
      <c r="AG827">
        <f>IFERROR(INDEX(PP_Grid[#Data],$DE827,30),0)</f>
        <v/>
      </c>
      <c r="AH827">
        <f>IFERROR(INDEX(PP_Grid[#Data],$DE827,31),0)</f>
        <v/>
      </c>
      <c r="AI827">
        <f>IFERROR(INDEX(PP_Grid[#Data],$DE827,32),0)</f>
        <v/>
      </c>
      <c r="AJ827">
        <f>IFERROR(INDEX(PP_Grid[#Data],$DE827,33),0)</f>
        <v/>
      </c>
      <c r="AK827">
        <f>IFERROR(INDEX(PP_Grid[#Data],$DE827,34),0)</f>
        <v/>
      </c>
      <c r="AL827">
        <f>IFERROR(INDEX(PP_Grid[#Data],$DE827,35),0)</f>
        <v/>
      </c>
      <c r="AM827">
        <f>IFERROR(INDEX(PP_Grid[#Data],$DE827,36),0)</f>
        <v/>
      </c>
      <c r="AN827">
        <f>IFERROR(INDEX(PP_Grid[#Data],$DE827,37),0)</f>
        <v/>
      </c>
      <c r="AO827">
        <f>IFERROR(INDEX(PP_Grid[#Data],$DE827,38),0)</f>
        <v/>
      </c>
      <c r="AP827">
        <f>IFERROR(INDEX(PP_Grid[#Data],$DE827,39),0)</f>
        <v/>
      </c>
      <c r="AQ827">
        <f>IFERROR(INDEX(PP_Grid[#Data],$DE827,40),0)</f>
        <v/>
      </c>
      <c r="AR827">
        <f>IFERROR(INDEX(PP_Grid[#Data],$DE827,41),0)</f>
        <v/>
      </c>
      <c r="AS827">
        <f>IFERROR(INDEX(PP_Grid[#Data],$DE827,42),0)</f>
        <v/>
      </c>
      <c r="AT827">
        <f>IFERROR(INDEX(PP_Grid[#Data],$DE827,43),0)</f>
        <v/>
      </c>
      <c r="AU827">
        <f>IFERROR(INDEX(PP_Grid[#Data],$DE827,44),0)</f>
        <v/>
      </c>
      <c r="AV827">
        <f>IFERROR(INDEX(PP_Grid[#Data],$DE827,45),0)</f>
        <v/>
      </c>
      <c r="AW827">
        <f>IFERROR(INDEX(PP_Grid[#Data],$DE827,46),0)</f>
        <v/>
      </c>
      <c r="AX827">
        <f>IFERROR(INDEX(PP_Grid[#Data],$DE827,47),0)</f>
        <v/>
      </c>
      <c r="AY827">
        <f>IFERROR(INDEX(PP_Grid[#Data],$DE827,48),0)</f>
        <v/>
      </c>
      <c r="AZ827">
        <f>IFERROR(INDEX(PP_Grid[#Data],$DE827,49),0)</f>
        <v/>
      </c>
      <c r="BA827">
        <f>IFERROR(INDEX(PP_Grid[#Data],$DE827,50),0)</f>
        <v/>
      </c>
      <c r="BB827">
        <f>IFERROR(INDEX(PP_Grid[#Data],$DE827,51),0)</f>
        <v/>
      </c>
      <c r="BC827">
        <f>IFERROR(INDEX(PP_Grid[#Data],$DE827,52),0)</f>
        <v/>
      </c>
      <c r="BD827">
        <f>IFERROR(INDEX(PP_Grid[#Data],$DE827,53),0)</f>
        <v/>
      </c>
      <c r="BE827">
        <f>IFERROR(INDEX(PP_Grid[#Data],$DE827,54),0)</f>
        <v/>
      </c>
      <c r="BF827">
        <f>IFERROR(INDEX(PP_Grid[#Data],$DE827,55),0)</f>
        <v/>
      </c>
      <c r="BG827">
        <f>IFERROR(INDEX(PP_Grid[#Data],$DE827,56),0)</f>
        <v/>
      </c>
      <c r="BH827">
        <f>IFERROR(INDEX(PP_Grid[#Data],$DE827,57),0)</f>
        <v/>
      </c>
      <c r="BI827">
        <f>IFERROR(INDEX(PP_Grid[#Data],$DE827,58),0)</f>
        <v/>
      </c>
      <c r="BJ827">
        <f>IFERROR(INDEX(PP_Grid[#Data],$DE827,59),0)</f>
        <v/>
      </c>
      <c r="BK827">
        <f>IFERROR(INDEX(PP_Grid[#Data],$DE827,60),0)</f>
        <v/>
      </c>
      <c r="BL827">
        <f>IFERROR(INDEX(PP_Grid[#Data],$DE827,61),0)</f>
        <v/>
      </c>
      <c r="BM827">
        <f>IFERROR(INDEX(PP_Grid[#Data],$DE827,62),0)</f>
        <v/>
      </c>
      <c r="BN827">
        <f>IFERROR(INDEX(PP_Grid[#Data],$DE827,63),0)</f>
        <v/>
      </c>
      <c r="BO827">
        <f>IFERROR(INDEX(PP_Grid[#Data],$DE827,64),0)</f>
        <v/>
      </c>
      <c r="BP827">
        <f>IFERROR(INDEX(PP_Grid[#Data],$DE827,65),0)</f>
        <v/>
      </c>
      <c r="BQ827">
        <f>IFERROR(INDEX(PP_Grid[#Data],$DE827,66),0)</f>
        <v/>
      </c>
      <c r="BR827">
        <f>IFERROR(INDEX(PP_Grid[#Data],$DE827,67),0)</f>
        <v/>
      </c>
      <c r="BS827">
        <f>IFERROR(INDEX(PP_Grid[#Data],$DE827,68),0)</f>
        <v/>
      </c>
      <c r="BT827">
        <f>IFERROR(INDEX(PP_Grid[#Data],$DE827,69),0)</f>
        <v/>
      </c>
      <c r="BU827">
        <f>IFERROR(INDEX(PP_Grid[#Data],$DE827,70),0)</f>
        <v/>
      </c>
      <c r="BV827">
        <f>IFERROR(INDEX(PP_Grid[#Data],$DE827,71),0)</f>
        <v/>
      </c>
      <c r="BW827">
        <f>IFERROR(INDEX(PP_Grid[#Data],$DE827,72),0)</f>
        <v/>
      </c>
      <c r="BX827">
        <f>IFERROR(INDEX(PP_Grid[#Data],$DE827,73),0)</f>
        <v/>
      </c>
      <c r="BY827">
        <f>IFERROR(INDEX(PP_Grid[#Data],$DE827,74),0)</f>
        <v/>
      </c>
      <c r="BZ827">
        <f>IFERROR(INDEX(PP_Grid[#Data],$DE827,75),0)</f>
        <v/>
      </c>
      <c r="CA827">
        <f>IFERROR(INDEX(PP_Grid[#Data],$DE827,76),0)</f>
        <v/>
      </c>
      <c r="CB827">
        <f>IFERROR(INDEX(PP_Grid[#Data],$DE827,77),0)</f>
        <v/>
      </c>
      <c r="CC827">
        <f>IFERROR(INDEX(PP_Grid[#Data],$DE827,78),0)</f>
        <v/>
      </c>
      <c r="CD827">
        <f>IFERROR(INDEX(PP_Grid[#Data],$DE827,79),0)</f>
        <v/>
      </c>
      <c r="CE827">
        <f>IFERROR(INDEX(PP_Grid[#Data],$DE827,80),0)</f>
        <v/>
      </c>
      <c r="CF827">
        <f>IFERROR(INDEX(PP_Grid[#Data],$DE827,81),0)</f>
        <v/>
      </c>
      <c r="CG827">
        <f>IFERROR(INDEX(PP_Grid[#Data],$DE827,82),0)</f>
        <v/>
      </c>
      <c r="CH827">
        <f>IFERROR(INDEX(PP_Grid[#Data],$DE827,83),0)</f>
        <v/>
      </c>
      <c r="CI827">
        <f>IFERROR(INDEX(PP_Grid[#Data],$DE827,84),0)</f>
        <v/>
      </c>
      <c r="CJ827">
        <f>IFERROR(INDEX(PP_Grid[#Data],$DE827,85),0)</f>
        <v/>
      </c>
      <c r="CK827">
        <f>IFERROR(INDEX(PP_Grid[#Data],$DE827,86),0)</f>
        <v/>
      </c>
      <c r="CL827">
        <f>IFERROR(INDEX(PP_Grid[#Data],$DE827,87),0)</f>
        <v/>
      </c>
      <c r="CM827">
        <f>IFERROR(INDEX(PP_Grid[#Data],$DE827,88),0)</f>
        <v/>
      </c>
      <c r="CN827">
        <f>IFERROR(INDEX(PP_Grid[#Data],$DE827,89),0)</f>
        <v/>
      </c>
      <c r="CO827">
        <f>IFERROR(INDEX(PP_Grid[#Data],$DE827,90),0)</f>
        <v/>
      </c>
      <c r="CP827">
        <f>IFERROR(INDEX(PP_Grid[#Data],$DE827,91),0)</f>
        <v/>
      </c>
      <c r="CQ827">
        <f>IFERROR(INDEX(PP_Grid[#Data],$DE827,92),0)</f>
        <v/>
      </c>
      <c r="CR827">
        <f>IFERROR(INDEX(PP_Grid[#Data],$DE827,93),0)</f>
        <v/>
      </c>
      <c r="CS827">
        <f>IFERROR(INDEX(PP_Grid[#Data],$DE827,94),0)</f>
        <v/>
      </c>
      <c r="CT827">
        <f>IFERROR(INDEX(PP_Grid[#Data],$DE827,95),0)</f>
        <v/>
      </c>
      <c r="CU827">
        <f>IFERROR(INDEX(PP_Grid[#Data],$DE827,96),0)</f>
        <v/>
      </c>
      <c r="CV827">
        <f>IFERROR(INDEX(PP_Grid[#Data],$DE827,97),0)</f>
        <v/>
      </c>
      <c r="CW827">
        <f>IFERROR(INDEX(PP_Grid[#Data],$DE827,98),0)</f>
        <v/>
      </c>
      <c r="CX827">
        <f>IFERROR(INDEX(PP_Grid[#Data],$DE827,99),0)</f>
        <v/>
      </c>
      <c r="CY827">
        <f>IFERROR(INDEX(PP_Grid[#Data],$DE827,100),0)</f>
        <v/>
      </c>
      <c r="CZ827">
        <f>IFERROR(INDEX(PP_Grid[#Data],$DE827,101),0)</f>
        <v/>
      </c>
      <c r="DA827">
        <f>IFERROR(INDEX(PP_Grid[#Data],$DE827,102),0)</f>
        <v/>
      </c>
      <c r="DB827">
        <f>IFERROR(INDEX(PP_Grid[#Data],$DE827,103),0)</f>
        <v/>
      </c>
      <c r="DC827">
        <f>IFERROR(INDEX(PP_Grid[#Data],$DE827,104),0)</f>
        <v/>
      </c>
      <c r="DD827">
        <f>IFERROR(INDEX(PP_Grid[#Data],$DE827,105),0)</f>
        <v/>
      </c>
      <c r="DE827" s="7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SUMIFS(M_BOM[RM_Qty_Per_Batch],M_BOM[Intermediate],$B827,M_BOM[RM_Code],$A826)</f>
        <v/>
      </c>
      <c r="D828">
        <f>IFERROR(INDEX(E828:DD828,$F$1),"")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  <c r="DD828">
        <f>$C828*DD827</f>
        <v/>
      </c>
    </row>
    <row r="829">
      <c r="B829" t="inlineStr">
        <is>
          <t>TSP-558</t>
        </is>
      </c>
      <c r="C829" t="inlineStr">
        <is>
          <t>No. of batches</t>
        </is>
      </c>
      <c r="D829">
        <f>IFERROR(INDEX(E829:DD829,$F$1),"")</f>
        <v/>
      </c>
      <c r="E829">
        <f>IFERROR(INDEX(PP_Grid[#Data],$DE829,2),0)</f>
        <v/>
      </c>
      <c r="F829">
        <f>IFERROR(INDEX(PP_Grid[#Data],$DE829,3),0)</f>
        <v/>
      </c>
      <c r="G829">
        <f>IFERROR(INDEX(PP_Grid[#Data],$DE829,4),0)</f>
        <v/>
      </c>
      <c r="H829">
        <f>IFERROR(INDEX(PP_Grid[#Data],$DE829,5),0)</f>
        <v/>
      </c>
      <c r="I829">
        <f>IFERROR(INDEX(PP_Grid[#Data],$DE829,6),0)</f>
        <v/>
      </c>
      <c r="J829">
        <f>IFERROR(INDEX(PP_Grid[#Data],$DE829,7),0)</f>
        <v/>
      </c>
      <c r="K829">
        <f>IFERROR(INDEX(PP_Grid[#Data],$DE829,8),0)</f>
        <v/>
      </c>
      <c r="L829">
        <f>IFERROR(INDEX(PP_Grid[#Data],$DE829,9),0)</f>
        <v/>
      </c>
      <c r="M829">
        <f>IFERROR(INDEX(PP_Grid[#Data],$DE829,10),0)</f>
        <v/>
      </c>
      <c r="N829">
        <f>IFERROR(INDEX(PP_Grid[#Data],$DE829,11),0)</f>
        <v/>
      </c>
      <c r="O829">
        <f>IFERROR(INDEX(PP_Grid[#Data],$DE829,12),0)</f>
        <v/>
      </c>
      <c r="P829">
        <f>IFERROR(INDEX(PP_Grid[#Data],$DE829,13),0)</f>
        <v/>
      </c>
      <c r="Q829">
        <f>IFERROR(INDEX(PP_Grid[#Data],$DE829,14),0)</f>
        <v/>
      </c>
      <c r="R829">
        <f>IFERROR(INDEX(PP_Grid[#Data],$DE829,15),0)</f>
        <v/>
      </c>
      <c r="S829">
        <f>IFERROR(INDEX(PP_Grid[#Data],$DE829,16),0)</f>
        <v/>
      </c>
      <c r="T829">
        <f>IFERROR(INDEX(PP_Grid[#Data],$DE829,17),0)</f>
        <v/>
      </c>
      <c r="U829">
        <f>IFERROR(INDEX(PP_Grid[#Data],$DE829,18),0)</f>
        <v/>
      </c>
      <c r="V829">
        <f>IFERROR(INDEX(PP_Grid[#Data],$DE829,19),0)</f>
        <v/>
      </c>
      <c r="W829">
        <f>IFERROR(INDEX(PP_Grid[#Data],$DE829,20),0)</f>
        <v/>
      </c>
      <c r="X829">
        <f>IFERROR(INDEX(PP_Grid[#Data],$DE829,21),0)</f>
        <v/>
      </c>
      <c r="Y829">
        <f>IFERROR(INDEX(PP_Grid[#Data],$DE829,22),0)</f>
        <v/>
      </c>
      <c r="Z829">
        <f>IFERROR(INDEX(PP_Grid[#Data],$DE829,23),0)</f>
        <v/>
      </c>
      <c r="AA829">
        <f>IFERROR(INDEX(PP_Grid[#Data],$DE829,24),0)</f>
        <v/>
      </c>
      <c r="AB829">
        <f>IFERROR(INDEX(PP_Grid[#Data],$DE829,25),0)</f>
        <v/>
      </c>
      <c r="AC829">
        <f>IFERROR(INDEX(PP_Grid[#Data],$DE829,26),0)</f>
        <v/>
      </c>
      <c r="AD829">
        <f>IFERROR(INDEX(PP_Grid[#Data],$DE829,27),0)</f>
        <v/>
      </c>
      <c r="AE829">
        <f>IFERROR(INDEX(PP_Grid[#Data],$DE829,28),0)</f>
        <v/>
      </c>
      <c r="AF829">
        <f>IFERROR(INDEX(PP_Grid[#Data],$DE829,29),0)</f>
        <v/>
      </c>
      <c r="AG829">
        <f>IFERROR(INDEX(PP_Grid[#Data],$DE829,30),0)</f>
        <v/>
      </c>
      <c r="AH829">
        <f>IFERROR(INDEX(PP_Grid[#Data],$DE829,31),0)</f>
        <v/>
      </c>
      <c r="AI829">
        <f>IFERROR(INDEX(PP_Grid[#Data],$DE829,32),0)</f>
        <v/>
      </c>
      <c r="AJ829">
        <f>IFERROR(INDEX(PP_Grid[#Data],$DE829,33),0)</f>
        <v/>
      </c>
      <c r="AK829">
        <f>IFERROR(INDEX(PP_Grid[#Data],$DE829,34),0)</f>
        <v/>
      </c>
      <c r="AL829">
        <f>IFERROR(INDEX(PP_Grid[#Data],$DE829,35),0)</f>
        <v/>
      </c>
      <c r="AM829">
        <f>IFERROR(INDEX(PP_Grid[#Data],$DE829,36),0)</f>
        <v/>
      </c>
      <c r="AN829">
        <f>IFERROR(INDEX(PP_Grid[#Data],$DE829,37),0)</f>
        <v/>
      </c>
      <c r="AO829">
        <f>IFERROR(INDEX(PP_Grid[#Data],$DE829,38),0)</f>
        <v/>
      </c>
      <c r="AP829">
        <f>IFERROR(INDEX(PP_Grid[#Data],$DE829,39),0)</f>
        <v/>
      </c>
      <c r="AQ829">
        <f>IFERROR(INDEX(PP_Grid[#Data],$DE829,40),0)</f>
        <v/>
      </c>
      <c r="AR829">
        <f>IFERROR(INDEX(PP_Grid[#Data],$DE829,41),0)</f>
        <v/>
      </c>
      <c r="AS829">
        <f>IFERROR(INDEX(PP_Grid[#Data],$DE829,42),0)</f>
        <v/>
      </c>
      <c r="AT829">
        <f>IFERROR(INDEX(PP_Grid[#Data],$DE829,43),0)</f>
        <v/>
      </c>
      <c r="AU829">
        <f>IFERROR(INDEX(PP_Grid[#Data],$DE829,44),0)</f>
        <v/>
      </c>
      <c r="AV829">
        <f>IFERROR(INDEX(PP_Grid[#Data],$DE829,45),0)</f>
        <v/>
      </c>
      <c r="AW829">
        <f>IFERROR(INDEX(PP_Grid[#Data],$DE829,46),0)</f>
        <v/>
      </c>
      <c r="AX829">
        <f>IFERROR(INDEX(PP_Grid[#Data],$DE829,47),0)</f>
        <v/>
      </c>
      <c r="AY829">
        <f>IFERROR(INDEX(PP_Grid[#Data],$DE829,48),0)</f>
        <v/>
      </c>
      <c r="AZ829">
        <f>IFERROR(INDEX(PP_Grid[#Data],$DE829,49),0)</f>
        <v/>
      </c>
      <c r="BA829">
        <f>IFERROR(INDEX(PP_Grid[#Data],$DE829,50),0)</f>
        <v/>
      </c>
      <c r="BB829">
        <f>IFERROR(INDEX(PP_Grid[#Data],$DE829,51),0)</f>
        <v/>
      </c>
      <c r="BC829">
        <f>IFERROR(INDEX(PP_Grid[#Data],$DE829,52),0)</f>
        <v/>
      </c>
      <c r="BD829">
        <f>IFERROR(INDEX(PP_Grid[#Data],$DE829,53),0)</f>
        <v/>
      </c>
      <c r="BE829">
        <f>IFERROR(INDEX(PP_Grid[#Data],$DE829,54),0)</f>
        <v/>
      </c>
      <c r="BF829">
        <f>IFERROR(INDEX(PP_Grid[#Data],$DE829,55),0)</f>
        <v/>
      </c>
      <c r="BG829">
        <f>IFERROR(INDEX(PP_Grid[#Data],$DE829,56),0)</f>
        <v/>
      </c>
      <c r="BH829">
        <f>IFERROR(INDEX(PP_Grid[#Data],$DE829,57),0)</f>
        <v/>
      </c>
      <c r="BI829">
        <f>IFERROR(INDEX(PP_Grid[#Data],$DE829,58),0)</f>
        <v/>
      </c>
      <c r="BJ829">
        <f>IFERROR(INDEX(PP_Grid[#Data],$DE829,59),0)</f>
        <v/>
      </c>
      <c r="BK829">
        <f>IFERROR(INDEX(PP_Grid[#Data],$DE829,60),0)</f>
        <v/>
      </c>
      <c r="BL829">
        <f>IFERROR(INDEX(PP_Grid[#Data],$DE829,61),0)</f>
        <v/>
      </c>
      <c r="BM829">
        <f>IFERROR(INDEX(PP_Grid[#Data],$DE829,62),0)</f>
        <v/>
      </c>
      <c r="BN829">
        <f>IFERROR(INDEX(PP_Grid[#Data],$DE829,63),0)</f>
        <v/>
      </c>
      <c r="BO829">
        <f>IFERROR(INDEX(PP_Grid[#Data],$DE829,64),0)</f>
        <v/>
      </c>
      <c r="BP829">
        <f>IFERROR(INDEX(PP_Grid[#Data],$DE829,65),0)</f>
        <v/>
      </c>
      <c r="BQ829">
        <f>IFERROR(INDEX(PP_Grid[#Data],$DE829,66),0)</f>
        <v/>
      </c>
      <c r="BR829">
        <f>IFERROR(INDEX(PP_Grid[#Data],$DE829,67),0)</f>
        <v/>
      </c>
      <c r="BS829">
        <f>IFERROR(INDEX(PP_Grid[#Data],$DE829,68),0)</f>
        <v/>
      </c>
      <c r="BT829">
        <f>IFERROR(INDEX(PP_Grid[#Data],$DE829,69),0)</f>
        <v/>
      </c>
      <c r="BU829">
        <f>IFERROR(INDEX(PP_Grid[#Data],$DE829,70),0)</f>
        <v/>
      </c>
      <c r="BV829">
        <f>IFERROR(INDEX(PP_Grid[#Data],$DE829,71),0)</f>
        <v/>
      </c>
      <c r="BW829">
        <f>IFERROR(INDEX(PP_Grid[#Data],$DE829,72),0)</f>
        <v/>
      </c>
      <c r="BX829">
        <f>IFERROR(INDEX(PP_Grid[#Data],$DE829,73),0)</f>
        <v/>
      </c>
      <c r="BY829">
        <f>IFERROR(INDEX(PP_Grid[#Data],$DE829,74),0)</f>
        <v/>
      </c>
      <c r="BZ829">
        <f>IFERROR(INDEX(PP_Grid[#Data],$DE829,75),0)</f>
        <v/>
      </c>
      <c r="CA829">
        <f>IFERROR(INDEX(PP_Grid[#Data],$DE829,76),0)</f>
        <v/>
      </c>
      <c r="CB829">
        <f>IFERROR(INDEX(PP_Grid[#Data],$DE829,77),0)</f>
        <v/>
      </c>
      <c r="CC829">
        <f>IFERROR(INDEX(PP_Grid[#Data],$DE829,78),0)</f>
        <v/>
      </c>
      <c r="CD829">
        <f>IFERROR(INDEX(PP_Grid[#Data],$DE829,79),0)</f>
        <v/>
      </c>
      <c r="CE829">
        <f>IFERROR(INDEX(PP_Grid[#Data],$DE829,80),0)</f>
        <v/>
      </c>
      <c r="CF829">
        <f>IFERROR(INDEX(PP_Grid[#Data],$DE829,81),0)</f>
        <v/>
      </c>
      <c r="CG829">
        <f>IFERROR(INDEX(PP_Grid[#Data],$DE829,82),0)</f>
        <v/>
      </c>
      <c r="CH829">
        <f>IFERROR(INDEX(PP_Grid[#Data],$DE829,83),0)</f>
        <v/>
      </c>
      <c r="CI829">
        <f>IFERROR(INDEX(PP_Grid[#Data],$DE829,84),0)</f>
        <v/>
      </c>
      <c r="CJ829">
        <f>IFERROR(INDEX(PP_Grid[#Data],$DE829,85),0)</f>
        <v/>
      </c>
      <c r="CK829">
        <f>IFERROR(INDEX(PP_Grid[#Data],$DE829,86),0)</f>
        <v/>
      </c>
      <c r="CL829">
        <f>IFERROR(INDEX(PP_Grid[#Data],$DE829,87),0)</f>
        <v/>
      </c>
      <c r="CM829">
        <f>IFERROR(INDEX(PP_Grid[#Data],$DE829,88),0)</f>
        <v/>
      </c>
      <c r="CN829">
        <f>IFERROR(INDEX(PP_Grid[#Data],$DE829,89),0)</f>
        <v/>
      </c>
      <c r="CO829">
        <f>IFERROR(INDEX(PP_Grid[#Data],$DE829,90),0)</f>
        <v/>
      </c>
      <c r="CP829">
        <f>IFERROR(INDEX(PP_Grid[#Data],$DE829,91),0)</f>
        <v/>
      </c>
      <c r="CQ829">
        <f>IFERROR(INDEX(PP_Grid[#Data],$DE829,92),0)</f>
        <v/>
      </c>
      <c r="CR829">
        <f>IFERROR(INDEX(PP_Grid[#Data],$DE829,93),0)</f>
        <v/>
      </c>
      <c r="CS829">
        <f>IFERROR(INDEX(PP_Grid[#Data],$DE829,94),0)</f>
        <v/>
      </c>
      <c r="CT829">
        <f>IFERROR(INDEX(PP_Grid[#Data],$DE829,95),0)</f>
        <v/>
      </c>
      <c r="CU829">
        <f>IFERROR(INDEX(PP_Grid[#Data],$DE829,96),0)</f>
        <v/>
      </c>
      <c r="CV829">
        <f>IFERROR(INDEX(PP_Grid[#Data],$DE829,97),0)</f>
        <v/>
      </c>
      <c r="CW829">
        <f>IFERROR(INDEX(PP_Grid[#Data],$DE829,98),0)</f>
        <v/>
      </c>
      <c r="CX829">
        <f>IFERROR(INDEX(PP_Grid[#Data],$DE829,99),0)</f>
        <v/>
      </c>
      <c r="CY829">
        <f>IFERROR(INDEX(PP_Grid[#Data],$DE829,100),0)</f>
        <v/>
      </c>
      <c r="CZ829">
        <f>IFERROR(INDEX(PP_Grid[#Data],$DE829,101),0)</f>
        <v/>
      </c>
      <c r="DA829">
        <f>IFERROR(INDEX(PP_Grid[#Data],$DE829,102),0)</f>
        <v/>
      </c>
      <c r="DB829">
        <f>IFERROR(INDEX(PP_Grid[#Data],$DE829,103),0)</f>
        <v/>
      </c>
      <c r="DC829">
        <f>IFERROR(INDEX(PP_Grid[#Data],$DE829,104),0)</f>
        <v/>
      </c>
      <c r="DD829">
        <f>IFERROR(INDEX(PP_Grid[#Data],$DE829,105),0)</f>
        <v/>
      </c>
      <c r="DE829" s="7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SUMIFS(M_BOM[RM_Qty_Per_Batch],M_BOM[Intermediate],$B829,M_BOM[RM_Code],$A826)</f>
        <v/>
      </c>
      <c r="D830">
        <f>IFERROR(INDEX(E830:DD830,$F$1),"")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  <c r="DD830">
        <f>$C830*DD829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IFERROR(INDEX(E831:DD831,$F$1),"")</f>
        <v/>
      </c>
      <c r="E831">
        <f>IFERROR(INDEX(PP_Grid[#Data],$DE831,2),0)</f>
        <v/>
      </c>
      <c r="F831">
        <f>IFERROR(INDEX(PP_Grid[#Data],$DE831,3),0)</f>
        <v/>
      </c>
      <c r="G831">
        <f>IFERROR(INDEX(PP_Grid[#Data],$DE831,4),0)</f>
        <v/>
      </c>
      <c r="H831">
        <f>IFERROR(INDEX(PP_Grid[#Data],$DE831,5),0)</f>
        <v/>
      </c>
      <c r="I831">
        <f>IFERROR(INDEX(PP_Grid[#Data],$DE831,6),0)</f>
        <v/>
      </c>
      <c r="J831">
        <f>IFERROR(INDEX(PP_Grid[#Data],$DE831,7),0)</f>
        <v/>
      </c>
      <c r="K831">
        <f>IFERROR(INDEX(PP_Grid[#Data],$DE831,8),0)</f>
        <v/>
      </c>
      <c r="L831">
        <f>IFERROR(INDEX(PP_Grid[#Data],$DE831,9),0)</f>
        <v/>
      </c>
      <c r="M831">
        <f>IFERROR(INDEX(PP_Grid[#Data],$DE831,10),0)</f>
        <v/>
      </c>
      <c r="N831">
        <f>IFERROR(INDEX(PP_Grid[#Data],$DE831,11),0)</f>
        <v/>
      </c>
      <c r="O831">
        <f>IFERROR(INDEX(PP_Grid[#Data],$DE831,12),0)</f>
        <v/>
      </c>
      <c r="P831">
        <f>IFERROR(INDEX(PP_Grid[#Data],$DE831,13),0)</f>
        <v/>
      </c>
      <c r="Q831">
        <f>IFERROR(INDEX(PP_Grid[#Data],$DE831,14),0)</f>
        <v/>
      </c>
      <c r="R831">
        <f>IFERROR(INDEX(PP_Grid[#Data],$DE831,15),0)</f>
        <v/>
      </c>
      <c r="S831">
        <f>IFERROR(INDEX(PP_Grid[#Data],$DE831,16),0)</f>
        <v/>
      </c>
      <c r="T831">
        <f>IFERROR(INDEX(PP_Grid[#Data],$DE831,17),0)</f>
        <v/>
      </c>
      <c r="U831">
        <f>IFERROR(INDEX(PP_Grid[#Data],$DE831,18),0)</f>
        <v/>
      </c>
      <c r="V831">
        <f>IFERROR(INDEX(PP_Grid[#Data],$DE831,19),0)</f>
        <v/>
      </c>
      <c r="W831">
        <f>IFERROR(INDEX(PP_Grid[#Data],$DE831,20),0)</f>
        <v/>
      </c>
      <c r="X831">
        <f>IFERROR(INDEX(PP_Grid[#Data],$DE831,21),0)</f>
        <v/>
      </c>
      <c r="Y831">
        <f>IFERROR(INDEX(PP_Grid[#Data],$DE831,22),0)</f>
        <v/>
      </c>
      <c r="Z831">
        <f>IFERROR(INDEX(PP_Grid[#Data],$DE831,23),0)</f>
        <v/>
      </c>
      <c r="AA831">
        <f>IFERROR(INDEX(PP_Grid[#Data],$DE831,24),0)</f>
        <v/>
      </c>
      <c r="AB831">
        <f>IFERROR(INDEX(PP_Grid[#Data],$DE831,25),0)</f>
        <v/>
      </c>
      <c r="AC831">
        <f>IFERROR(INDEX(PP_Grid[#Data],$DE831,26),0)</f>
        <v/>
      </c>
      <c r="AD831">
        <f>IFERROR(INDEX(PP_Grid[#Data],$DE831,27),0)</f>
        <v/>
      </c>
      <c r="AE831">
        <f>IFERROR(INDEX(PP_Grid[#Data],$DE831,28),0)</f>
        <v/>
      </c>
      <c r="AF831">
        <f>IFERROR(INDEX(PP_Grid[#Data],$DE831,29),0)</f>
        <v/>
      </c>
      <c r="AG831">
        <f>IFERROR(INDEX(PP_Grid[#Data],$DE831,30),0)</f>
        <v/>
      </c>
      <c r="AH831">
        <f>IFERROR(INDEX(PP_Grid[#Data],$DE831,31),0)</f>
        <v/>
      </c>
      <c r="AI831">
        <f>IFERROR(INDEX(PP_Grid[#Data],$DE831,32),0)</f>
        <v/>
      </c>
      <c r="AJ831">
        <f>IFERROR(INDEX(PP_Grid[#Data],$DE831,33),0)</f>
        <v/>
      </c>
      <c r="AK831">
        <f>IFERROR(INDEX(PP_Grid[#Data],$DE831,34),0)</f>
        <v/>
      </c>
      <c r="AL831">
        <f>IFERROR(INDEX(PP_Grid[#Data],$DE831,35),0)</f>
        <v/>
      </c>
      <c r="AM831">
        <f>IFERROR(INDEX(PP_Grid[#Data],$DE831,36),0)</f>
        <v/>
      </c>
      <c r="AN831">
        <f>IFERROR(INDEX(PP_Grid[#Data],$DE831,37),0)</f>
        <v/>
      </c>
      <c r="AO831">
        <f>IFERROR(INDEX(PP_Grid[#Data],$DE831,38),0)</f>
        <v/>
      </c>
      <c r="AP831">
        <f>IFERROR(INDEX(PP_Grid[#Data],$DE831,39),0)</f>
        <v/>
      </c>
      <c r="AQ831">
        <f>IFERROR(INDEX(PP_Grid[#Data],$DE831,40),0)</f>
        <v/>
      </c>
      <c r="AR831">
        <f>IFERROR(INDEX(PP_Grid[#Data],$DE831,41),0)</f>
        <v/>
      </c>
      <c r="AS831">
        <f>IFERROR(INDEX(PP_Grid[#Data],$DE831,42),0)</f>
        <v/>
      </c>
      <c r="AT831">
        <f>IFERROR(INDEX(PP_Grid[#Data],$DE831,43),0)</f>
        <v/>
      </c>
      <c r="AU831">
        <f>IFERROR(INDEX(PP_Grid[#Data],$DE831,44),0)</f>
        <v/>
      </c>
      <c r="AV831">
        <f>IFERROR(INDEX(PP_Grid[#Data],$DE831,45),0)</f>
        <v/>
      </c>
      <c r="AW831">
        <f>IFERROR(INDEX(PP_Grid[#Data],$DE831,46),0)</f>
        <v/>
      </c>
      <c r="AX831">
        <f>IFERROR(INDEX(PP_Grid[#Data],$DE831,47),0)</f>
        <v/>
      </c>
      <c r="AY831">
        <f>IFERROR(INDEX(PP_Grid[#Data],$DE831,48),0)</f>
        <v/>
      </c>
      <c r="AZ831">
        <f>IFERROR(INDEX(PP_Grid[#Data],$DE831,49),0)</f>
        <v/>
      </c>
      <c r="BA831">
        <f>IFERROR(INDEX(PP_Grid[#Data],$DE831,50),0)</f>
        <v/>
      </c>
      <c r="BB831">
        <f>IFERROR(INDEX(PP_Grid[#Data],$DE831,51),0)</f>
        <v/>
      </c>
      <c r="BC831">
        <f>IFERROR(INDEX(PP_Grid[#Data],$DE831,52),0)</f>
        <v/>
      </c>
      <c r="BD831">
        <f>IFERROR(INDEX(PP_Grid[#Data],$DE831,53),0)</f>
        <v/>
      </c>
      <c r="BE831">
        <f>IFERROR(INDEX(PP_Grid[#Data],$DE831,54),0)</f>
        <v/>
      </c>
      <c r="BF831">
        <f>IFERROR(INDEX(PP_Grid[#Data],$DE831,55),0)</f>
        <v/>
      </c>
      <c r="BG831">
        <f>IFERROR(INDEX(PP_Grid[#Data],$DE831,56),0)</f>
        <v/>
      </c>
      <c r="BH831">
        <f>IFERROR(INDEX(PP_Grid[#Data],$DE831,57),0)</f>
        <v/>
      </c>
      <c r="BI831">
        <f>IFERROR(INDEX(PP_Grid[#Data],$DE831,58),0)</f>
        <v/>
      </c>
      <c r="BJ831">
        <f>IFERROR(INDEX(PP_Grid[#Data],$DE831,59),0)</f>
        <v/>
      </c>
      <c r="BK831">
        <f>IFERROR(INDEX(PP_Grid[#Data],$DE831,60),0)</f>
        <v/>
      </c>
      <c r="BL831">
        <f>IFERROR(INDEX(PP_Grid[#Data],$DE831,61),0)</f>
        <v/>
      </c>
      <c r="BM831">
        <f>IFERROR(INDEX(PP_Grid[#Data],$DE831,62),0)</f>
        <v/>
      </c>
      <c r="BN831">
        <f>IFERROR(INDEX(PP_Grid[#Data],$DE831,63),0)</f>
        <v/>
      </c>
      <c r="BO831">
        <f>IFERROR(INDEX(PP_Grid[#Data],$DE831,64),0)</f>
        <v/>
      </c>
      <c r="BP831">
        <f>IFERROR(INDEX(PP_Grid[#Data],$DE831,65),0)</f>
        <v/>
      </c>
      <c r="BQ831">
        <f>IFERROR(INDEX(PP_Grid[#Data],$DE831,66),0)</f>
        <v/>
      </c>
      <c r="BR831">
        <f>IFERROR(INDEX(PP_Grid[#Data],$DE831,67),0)</f>
        <v/>
      </c>
      <c r="BS831">
        <f>IFERROR(INDEX(PP_Grid[#Data],$DE831,68),0)</f>
        <v/>
      </c>
      <c r="BT831">
        <f>IFERROR(INDEX(PP_Grid[#Data],$DE831,69),0)</f>
        <v/>
      </c>
      <c r="BU831">
        <f>IFERROR(INDEX(PP_Grid[#Data],$DE831,70),0)</f>
        <v/>
      </c>
      <c r="BV831">
        <f>IFERROR(INDEX(PP_Grid[#Data],$DE831,71),0)</f>
        <v/>
      </c>
      <c r="BW831">
        <f>IFERROR(INDEX(PP_Grid[#Data],$DE831,72),0)</f>
        <v/>
      </c>
      <c r="BX831">
        <f>IFERROR(INDEX(PP_Grid[#Data],$DE831,73),0)</f>
        <v/>
      </c>
      <c r="BY831">
        <f>IFERROR(INDEX(PP_Grid[#Data],$DE831,74),0)</f>
        <v/>
      </c>
      <c r="BZ831">
        <f>IFERROR(INDEX(PP_Grid[#Data],$DE831,75),0)</f>
        <v/>
      </c>
      <c r="CA831">
        <f>IFERROR(INDEX(PP_Grid[#Data],$DE831,76),0)</f>
        <v/>
      </c>
      <c r="CB831">
        <f>IFERROR(INDEX(PP_Grid[#Data],$DE831,77),0)</f>
        <v/>
      </c>
      <c r="CC831">
        <f>IFERROR(INDEX(PP_Grid[#Data],$DE831,78),0)</f>
        <v/>
      </c>
      <c r="CD831">
        <f>IFERROR(INDEX(PP_Grid[#Data],$DE831,79),0)</f>
        <v/>
      </c>
      <c r="CE831">
        <f>IFERROR(INDEX(PP_Grid[#Data],$DE831,80),0)</f>
        <v/>
      </c>
      <c r="CF831">
        <f>IFERROR(INDEX(PP_Grid[#Data],$DE831,81),0)</f>
        <v/>
      </c>
      <c r="CG831">
        <f>IFERROR(INDEX(PP_Grid[#Data],$DE831,82),0)</f>
        <v/>
      </c>
      <c r="CH831">
        <f>IFERROR(INDEX(PP_Grid[#Data],$DE831,83),0)</f>
        <v/>
      </c>
      <c r="CI831">
        <f>IFERROR(INDEX(PP_Grid[#Data],$DE831,84),0)</f>
        <v/>
      </c>
      <c r="CJ831">
        <f>IFERROR(INDEX(PP_Grid[#Data],$DE831,85),0)</f>
        <v/>
      </c>
      <c r="CK831">
        <f>IFERROR(INDEX(PP_Grid[#Data],$DE831,86),0)</f>
        <v/>
      </c>
      <c r="CL831">
        <f>IFERROR(INDEX(PP_Grid[#Data],$DE831,87),0)</f>
        <v/>
      </c>
      <c r="CM831">
        <f>IFERROR(INDEX(PP_Grid[#Data],$DE831,88),0)</f>
        <v/>
      </c>
      <c r="CN831">
        <f>IFERROR(INDEX(PP_Grid[#Data],$DE831,89),0)</f>
        <v/>
      </c>
      <c r="CO831">
        <f>IFERROR(INDEX(PP_Grid[#Data],$DE831,90),0)</f>
        <v/>
      </c>
      <c r="CP831">
        <f>IFERROR(INDEX(PP_Grid[#Data],$DE831,91),0)</f>
        <v/>
      </c>
      <c r="CQ831">
        <f>IFERROR(INDEX(PP_Grid[#Data],$DE831,92),0)</f>
        <v/>
      </c>
      <c r="CR831">
        <f>IFERROR(INDEX(PP_Grid[#Data],$DE831,93),0)</f>
        <v/>
      </c>
      <c r="CS831">
        <f>IFERROR(INDEX(PP_Grid[#Data],$DE831,94),0)</f>
        <v/>
      </c>
      <c r="CT831">
        <f>IFERROR(INDEX(PP_Grid[#Data],$DE831,95),0)</f>
        <v/>
      </c>
      <c r="CU831">
        <f>IFERROR(INDEX(PP_Grid[#Data],$DE831,96),0)</f>
        <v/>
      </c>
      <c r="CV831">
        <f>IFERROR(INDEX(PP_Grid[#Data],$DE831,97),0)</f>
        <v/>
      </c>
      <c r="CW831">
        <f>IFERROR(INDEX(PP_Grid[#Data],$DE831,98),0)</f>
        <v/>
      </c>
      <c r="CX831">
        <f>IFERROR(INDEX(PP_Grid[#Data],$DE831,99),0)</f>
        <v/>
      </c>
      <c r="CY831">
        <f>IFERROR(INDEX(PP_Grid[#Data],$DE831,100),0)</f>
        <v/>
      </c>
      <c r="CZ831">
        <f>IFERROR(INDEX(PP_Grid[#Data],$DE831,101),0)</f>
        <v/>
      </c>
      <c r="DA831">
        <f>IFERROR(INDEX(PP_Grid[#Data],$DE831,102),0)</f>
        <v/>
      </c>
      <c r="DB831">
        <f>IFERROR(INDEX(PP_Grid[#Data],$DE831,103),0)</f>
        <v/>
      </c>
      <c r="DC831">
        <f>IFERROR(INDEX(PP_Grid[#Data],$DE831,104),0)</f>
        <v/>
      </c>
      <c r="DD831">
        <f>IFERROR(INDEX(PP_Grid[#Data],$DE831,105),0)</f>
        <v/>
      </c>
      <c r="DE831" s="7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SUMIFS(M_BOM[RM_Qty_Per_Batch],M_BOM[Intermediate],$B831,M_BOM[RM_Code],$A826)</f>
        <v/>
      </c>
      <c r="D832">
        <f>IFERROR(INDEX(E832:DD832,$F$1),"")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  <c r="DD832">
        <f>$C832*DD831</f>
        <v/>
      </c>
    </row>
    <row r="833">
      <c r="B833" t="inlineStr">
        <is>
          <t>TSP-1444</t>
        </is>
      </c>
      <c r="C833" t="inlineStr">
        <is>
          <t>No. of batches</t>
        </is>
      </c>
      <c r="D833">
        <f>IFERROR(INDEX(E833:DD833,$F$1),"")</f>
        <v/>
      </c>
      <c r="E833">
        <f>IFERROR(INDEX(PP_Grid[#Data],$DE833,2),0)</f>
        <v/>
      </c>
      <c r="F833">
        <f>IFERROR(INDEX(PP_Grid[#Data],$DE833,3),0)</f>
        <v/>
      </c>
      <c r="G833">
        <f>IFERROR(INDEX(PP_Grid[#Data],$DE833,4),0)</f>
        <v/>
      </c>
      <c r="H833">
        <f>IFERROR(INDEX(PP_Grid[#Data],$DE833,5),0)</f>
        <v/>
      </c>
      <c r="I833">
        <f>IFERROR(INDEX(PP_Grid[#Data],$DE833,6),0)</f>
        <v/>
      </c>
      <c r="J833">
        <f>IFERROR(INDEX(PP_Grid[#Data],$DE833,7),0)</f>
        <v/>
      </c>
      <c r="K833">
        <f>IFERROR(INDEX(PP_Grid[#Data],$DE833,8),0)</f>
        <v/>
      </c>
      <c r="L833">
        <f>IFERROR(INDEX(PP_Grid[#Data],$DE833,9),0)</f>
        <v/>
      </c>
      <c r="M833">
        <f>IFERROR(INDEX(PP_Grid[#Data],$DE833,10),0)</f>
        <v/>
      </c>
      <c r="N833">
        <f>IFERROR(INDEX(PP_Grid[#Data],$DE833,11),0)</f>
        <v/>
      </c>
      <c r="O833">
        <f>IFERROR(INDEX(PP_Grid[#Data],$DE833,12),0)</f>
        <v/>
      </c>
      <c r="P833">
        <f>IFERROR(INDEX(PP_Grid[#Data],$DE833,13),0)</f>
        <v/>
      </c>
      <c r="Q833">
        <f>IFERROR(INDEX(PP_Grid[#Data],$DE833,14),0)</f>
        <v/>
      </c>
      <c r="R833">
        <f>IFERROR(INDEX(PP_Grid[#Data],$DE833,15),0)</f>
        <v/>
      </c>
      <c r="S833">
        <f>IFERROR(INDEX(PP_Grid[#Data],$DE833,16),0)</f>
        <v/>
      </c>
      <c r="T833">
        <f>IFERROR(INDEX(PP_Grid[#Data],$DE833,17),0)</f>
        <v/>
      </c>
      <c r="U833">
        <f>IFERROR(INDEX(PP_Grid[#Data],$DE833,18),0)</f>
        <v/>
      </c>
      <c r="V833">
        <f>IFERROR(INDEX(PP_Grid[#Data],$DE833,19),0)</f>
        <v/>
      </c>
      <c r="W833">
        <f>IFERROR(INDEX(PP_Grid[#Data],$DE833,20),0)</f>
        <v/>
      </c>
      <c r="X833">
        <f>IFERROR(INDEX(PP_Grid[#Data],$DE833,21),0)</f>
        <v/>
      </c>
      <c r="Y833">
        <f>IFERROR(INDEX(PP_Grid[#Data],$DE833,22),0)</f>
        <v/>
      </c>
      <c r="Z833">
        <f>IFERROR(INDEX(PP_Grid[#Data],$DE833,23),0)</f>
        <v/>
      </c>
      <c r="AA833">
        <f>IFERROR(INDEX(PP_Grid[#Data],$DE833,24),0)</f>
        <v/>
      </c>
      <c r="AB833">
        <f>IFERROR(INDEX(PP_Grid[#Data],$DE833,25),0)</f>
        <v/>
      </c>
      <c r="AC833">
        <f>IFERROR(INDEX(PP_Grid[#Data],$DE833,26),0)</f>
        <v/>
      </c>
      <c r="AD833">
        <f>IFERROR(INDEX(PP_Grid[#Data],$DE833,27),0)</f>
        <v/>
      </c>
      <c r="AE833">
        <f>IFERROR(INDEX(PP_Grid[#Data],$DE833,28),0)</f>
        <v/>
      </c>
      <c r="AF833">
        <f>IFERROR(INDEX(PP_Grid[#Data],$DE833,29),0)</f>
        <v/>
      </c>
      <c r="AG833">
        <f>IFERROR(INDEX(PP_Grid[#Data],$DE833,30),0)</f>
        <v/>
      </c>
      <c r="AH833">
        <f>IFERROR(INDEX(PP_Grid[#Data],$DE833,31),0)</f>
        <v/>
      </c>
      <c r="AI833">
        <f>IFERROR(INDEX(PP_Grid[#Data],$DE833,32),0)</f>
        <v/>
      </c>
      <c r="AJ833">
        <f>IFERROR(INDEX(PP_Grid[#Data],$DE833,33),0)</f>
        <v/>
      </c>
      <c r="AK833">
        <f>IFERROR(INDEX(PP_Grid[#Data],$DE833,34),0)</f>
        <v/>
      </c>
      <c r="AL833">
        <f>IFERROR(INDEX(PP_Grid[#Data],$DE833,35),0)</f>
        <v/>
      </c>
      <c r="AM833">
        <f>IFERROR(INDEX(PP_Grid[#Data],$DE833,36),0)</f>
        <v/>
      </c>
      <c r="AN833">
        <f>IFERROR(INDEX(PP_Grid[#Data],$DE833,37),0)</f>
        <v/>
      </c>
      <c r="AO833">
        <f>IFERROR(INDEX(PP_Grid[#Data],$DE833,38),0)</f>
        <v/>
      </c>
      <c r="AP833">
        <f>IFERROR(INDEX(PP_Grid[#Data],$DE833,39),0)</f>
        <v/>
      </c>
      <c r="AQ833">
        <f>IFERROR(INDEX(PP_Grid[#Data],$DE833,40),0)</f>
        <v/>
      </c>
      <c r="AR833">
        <f>IFERROR(INDEX(PP_Grid[#Data],$DE833,41),0)</f>
        <v/>
      </c>
      <c r="AS833">
        <f>IFERROR(INDEX(PP_Grid[#Data],$DE833,42),0)</f>
        <v/>
      </c>
      <c r="AT833">
        <f>IFERROR(INDEX(PP_Grid[#Data],$DE833,43),0)</f>
        <v/>
      </c>
      <c r="AU833">
        <f>IFERROR(INDEX(PP_Grid[#Data],$DE833,44),0)</f>
        <v/>
      </c>
      <c r="AV833">
        <f>IFERROR(INDEX(PP_Grid[#Data],$DE833,45),0)</f>
        <v/>
      </c>
      <c r="AW833">
        <f>IFERROR(INDEX(PP_Grid[#Data],$DE833,46),0)</f>
        <v/>
      </c>
      <c r="AX833">
        <f>IFERROR(INDEX(PP_Grid[#Data],$DE833,47),0)</f>
        <v/>
      </c>
      <c r="AY833">
        <f>IFERROR(INDEX(PP_Grid[#Data],$DE833,48),0)</f>
        <v/>
      </c>
      <c r="AZ833">
        <f>IFERROR(INDEX(PP_Grid[#Data],$DE833,49),0)</f>
        <v/>
      </c>
      <c r="BA833">
        <f>IFERROR(INDEX(PP_Grid[#Data],$DE833,50),0)</f>
        <v/>
      </c>
      <c r="BB833">
        <f>IFERROR(INDEX(PP_Grid[#Data],$DE833,51),0)</f>
        <v/>
      </c>
      <c r="BC833">
        <f>IFERROR(INDEX(PP_Grid[#Data],$DE833,52),0)</f>
        <v/>
      </c>
      <c r="BD833">
        <f>IFERROR(INDEX(PP_Grid[#Data],$DE833,53),0)</f>
        <v/>
      </c>
      <c r="BE833">
        <f>IFERROR(INDEX(PP_Grid[#Data],$DE833,54),0)</f>
        <v/>
      </c>
      <c r="BF833">
        <f>IFERROR(INDEX(PP_Grid[#Data],$DE833,55),0)</f>
        <v/>
      </c>
      <c r="BG833">
        <f>IFERROR(INDEX(PP_Grid[#Data],$DE833,56),0)</f>
        <v/>
      </c>
      <c r="BH833">
        <f>IFERROR(INDEX(PP_Grid[#Data],$DE833,57),0)</f>
        <v/>
      </c>
      <c r="BI833">
        <f>IFERROR(INDEX(PP_Grid[#Data],$DE833,58),0)</f>
        <v/>
      </c>
      <c r="BJ833">
        <f>IFERROR(INDEX(PP_Grid[#Data],$DE833,59),0)</f>
        <v/>
      </c>
      <c r="BK833">
        <f>IFERROR(INDEX(PP_Grid[#Data],$DE833,60),0)</f>
        <v/>
      </c>
      <c r="BL833">
        <f>IFERROR(INDEX(PP_Grid[#Data],$DE833,61),0)</f>
        <v/>
      </c>
      <c r="BM833">
        <f>IFERROR(INDEX(PP_Grid[#Data],$DE833,62),0)</f>
        <v/>
      </c>
      <c r="BN833">
        <f>IFERROR(INDEX(PP_Grid[#Data],$DE833,63),0)</f>
        <v/>
      </c>
      <c r="BO833">
        <f>IFERROR(INDEX(PP_Grid[#Data],$DE833,64),0)</f>
        <v/>
      </c>
      <c r="BP833">
        <f>IFERROR(INDEX(PP_Grid[#Data],$DE833,65),0)</f>
        <v/>
      </c>
      <c r="BQ833">
        <f>IFERROR(INDEX(PP_Grid[#Data],$DE833,66),0)</f>
        <v/>
      </c>
      <c r="BR833">
        <f>IFERROR(INDEX(PP_Grid[#Data],$DE833,67),0)</f>
        <v/>
      </c>
      <c r="BS833">
        <f>IFERROR(INDEX(PP_Grid[#Data],$DE833,68),0)</f>
        <v/>
      </c>
      <c r="BT833">
        <f>IFERROR(INDEX(PP_Grid[#Data],$DE833,69),0)</f>
        <v/>
      </c>
      <c r="BU833">
        <f>IFERROR(INDEX(PP_Grid[#Data],$DE833,70),0)</f>
        <v/>
      </c>
      <c r="BV833">
        <f>IFERROR(INDEX(PP_Grid[#Data],$DE833,71),0)</f>
        <v/>
      </c>
      <c r="BW833">
        <f>IFERROR(INDEX(PP_Grid[#Data],$DE833,72),0)</f>
        <v/>
      </c>
      <c r="BX833">
        <f>IFERROR(INDEX(PP_Grid[#Data],$DE833,73),0)</f>
        <v/>
      </c>
      <c r="BY833">
        <f>IFERROR(INDEX(PP_Grid[#Data],$DE833,74),0)</f>
        <v/>
      </c>
      <c r="BZ833">
        <f>IFERROR(INDEX(PP_Grid[#Data],$DE833,75),0)</f>
        <v/>
      </c>
      <c r="CA833">
        <f>IFERROR(INDEX(PP_Grid[#Data],$DE833,76),0)</f>
        <v/>
      </c>
      <c r="CB833">
        <f>IFERROR(INDEX(PP_Grid[#Data],$DE833,77),0)</f>
        <v/>
      </c>
      <c r="CC833">
        <f>IFERROR(INDEX(PP_Grid[#Data],$DE833,78),0)</f>
        <v/>
      </c>
      <c r="CD833">
        <f>IFERROR(INDEX(PP_Grid[#Data],$DE833,79),0)</f>
        <v/>
      </c>
      <c r="CE833">
        <f>IFERROR(INDEX(PP_Grid[#Data],$DE833,80),0)</f>
        <v/>
      </c>
      <c r="CF833">
        <f>IFERROR(INDEX(PP_Grid[#Data],$DE833,81),0)</f>
        <v/>
      </c>
      <c r="CG833">
        <f>IFERROR(INDEX(PP_Grid[#Data],$DE833,82),0)</f>
        <v/>
      </c>
      <c r="CH833">
        <f>IFERROR(INDEX(PP_Grid[#Data],$DE833,83),0)</f>
        <v/>
      </c>
      <c r="CI833">
        <f>IFERROR(INDEX(PP_Grid[#Data],$DE833,84),0)</f>
        <v/>
      </c>
      <c r="CJ833">
        <f>IFERROR(INDEX(PP_Grid[#Data],$DE833,85),0)</f>
        <v/>
      </c>
      <c r="CK833">
        <f>IFERROR(INDEX(PP_Grid[#Data],$DE833,86),0)</f>
        <v/>
      </c>
      <c r="CL833">
        <f>IFERROR(INDEX(PP_Grid[#Data],$DE833,87),0)</f>
        <v/>
      </c>
      <c r="CM833">
        <f>IFERROR(INDEX(PP_Grid[#Data],$DE833,88),0)</f>
        <v/>
      </c>
      <c r="CN833">
        <f>IFERROR(INDEX(PP_Grid[#Data],$DE833,89),0)</f>
        <v/>
      </c>
      <c r="CO833">
        <f>IFERROR(INDEX(PP_Grid[#Data],$DE833,90),0)</f>
        <v/>
      </c>
      <c r="CP833">
        <f>IFERROR(INDEX(PP_Grid[#Data],$DE833,91),0)</f>
        <v/>
      </c>
      <c r="CQ833">
        <f>IFERROR(INDEX(PP_Grid[#Data],$DE833,92),0)</f>
        <v/>
      </c>
      <c r="CR833">
        <f>IFERROR(INDEX(PP_Grid[#Data],$DE833,93),0)</f>
        <v/>
      </c>
      <c r="CS833">
        <f>IFERROR(INDEX(PP_Grid[#Data],$DE833,94),0)</f>
        <v/>
      </c>
      <c r="CT833">
        <f>IFERROR(INDEX(PP_Grid[#Data],$DE833,95),0)</f>
        <v/>
      </c>
      <c r="CU833">
        <f>IFERROR(INDEX(PP_Grid[#Data],$DE833,96),0)</f>
        <v/>
      </c>
      <c r="CV833">
        <f>IFERROR(INDEX(PP_Grid[#Data],$DE833,97),0)</f>
        <v/>
      </c>
      <c r="CW833">
        <f>IFERROR(INDEX(PP_Grid[#Data],$DE833,98),0)</f>
        <v/>
      </c>
      <c r="CX833">
        <f>IFERROR(INDEX(PP_Grid[#Data],$DE833,99),0)</f>
        <v/>
      </c>
      <c r="CY833">
        <f>IFERROR(INDEX(PP_Grid[#Data],$DE833,100),0)</f>
        <v/>
      </c>
      <c r="CZ833">
        <f>IFERROR(INDEX(PP_Grid[#Data],$DE833,101),0)</f>
        <v/>
      </c>
      <c r="DA833">
        <f>IFERROR(INDEX(PP_Grid[#Data],$DE833,102),0)</f>
        <v/>
      </c>
      <c r="DB833">
        <f>IFERROR(INDEX(PP_Grid[#Data],$DE833,103),0)</f>
        <v/>
      </c>
      <c r="DC833">
        <f>IFERROR(INDEX(PP_Grid[#Data],$DE833,104),0)</f>
        <v/>
      </c>
      <c r="DD833">
        <f>IFERROR(INDEX(PP_Grid[#Data],$DE833,105),0)</f>
        <v/>
      </c>
      <c r="DE833" s="7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SUMIFS(M_BOM[RM_Qty_Per_Batch],M_BOM[Intermediate],$B833,M_BOM[RM_Code],$A826)</f>
        <v/>
      </c>
      <c r="D834">
        <f>IFERROR(INDEX(E834:DD834,$F$1),"")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  <c r="DD834">
        <f>$C834*DD833</f>
        <v/>
      </c>
    </row>
    <row r="835">
      <c r="B835" t="inlineStr">
        <is>
          <t>TSP-1445</t>
        </is>
      </c>
      <c r="C835" t="inlineStr">
        <is>
          <t>No. of batches</t>
        </is>
      </c>
      <c r="D835">
        <f>IFERROR(INDEX(E835:DD835,$F$1),"")</f>
        <v/>
      </c>
      <c r="E835">
        <f>IFERROR(INDEX(PP_Grid[#Data],$DE835,2),0)</f>
        <v/>
      </c>
      <c r="F835">
        <f>IFERROR(INDEX(PP_Grid[#Data],$DE835,3),0)</f>
        <v/>
      </c>
      <c r="G835">
        <f>IFERROR(INDEX(PP_Grid[#Data],$DE835,4),0)</f>
        <v/>
      </c>
      <c r="H835">
        <f>IFERROR(INDEX(PP_Grid[#Data],$DE835,5),0)</f>
        <v/>
      </c>
      <c r="I835">
        <f>IFERROR(INDEX(PP_Grid[#Data],$DE835,6),0)</f>
        <v/>
      </c>
      <c r="J835">
        <f>IFERROR(INDEX(PP_Grid[#Data],$DE835,7),0)</f>
        <v/>
      </c>
      <c r="K835">
        <f>IFERROR(INDEX(PP_Grid[#Data],$DE835,8),0)</f>
        <v/>
      </c>
      <c r="L835">
        <f>IFERROR(INDEX(PP_Grid[#Data],$DE835,9),0)</f>
        <v/>
      </c>
      <c r="M835">
        <f>IFERROR(INDEX(PP_Grid[#Data],$DE835,10),0)</f>
        <v/>
      </c>
      <c r="N835">
        <f>IFERROR(INDEX(PP_Grid[#Data],$DE835,11),0)</f>
        <v/>
      </c>
      <c r="O835">
        <f>IFERROR(INDEX(PP_Grid[#Data],$DE835,12),0)</f>
        <v/>
      </c>
      <c r="P835">
        <f>IFERROR(INDEX(PP_Grid[#Data],$DE835,13),0)</f>
        <v/>
      </c>
      <c r="Q835">
        <f>IFERROR(INDEX(PP_Grid[#Data],$DE835,14),0)</f>
        <v/>
      </c>
      <c r="R835">
        <f>IFERROR(INDEX(PP_Grid[#Data],$DE835,15),0)</f>
        <v/>
      </c>
      <c r="S835">
        <f>IFERROR(INDEX(PP_Grid[#Data],$DE835,16),0)</f>
        <v/>
      </c>
      <c r="T835">
        <f>IFERROR(INDEX(PP_Grid[#Data],$DE835,17),0)</f>
        <v/>
      </c>
      <c r="U835">
        <f>IFERROR(INDEX(PP_Grid[#Data],$DE835,18),0)</f>
        <v/>
      </c>
      <c r="V835">
        <f>IFERROR(INDEX(PP_Grid[#Data],$DE835,19),0)</f>
        <v/>
      </c>
      <c r="W835">
        <f>IFERROR(INDEX(PP_Grid[#Data],$DE835,20),0)</f>
        <v/>
      </c>
      <c r="X835">
        <f>IFERROR(INDEX(PP_Grid[#Data],$DE835,21),0)</f>
        <v/>
      </c>
      <c r="Y835">
        <f>IFERROR(INDEX(PP_Grid[#Data],$DE835,22),0)</f>
        <v/>
      </c>
      <c r="Z835">
        <f>IFERROR(INDEX(PP_Grid[#Data],$DE835,23),0)</f>
        <v/>
      </c>
      <c r="AA835">
        <f>IFERROR(INDEX(PP_Grid[#Data],$DE835,24),0)</f>
        <v/>
      </c>
      <c r="AB835">
        <f>IFERROR(INDEX(PP_Grid[#Data],$DE835,25),0)</f>
        <v/>
      </c>
      <c r="AC835">
        <f>IFERROR(INDEX(PP_Grid[#Data],$DE835,26),0)</f>
        <v/>
      </c>
      <c r="AD835">
        <f>IFERROR(INDEX(PP_Grid[#Data],$DE835,27),0)</f>
        <v/>
      </c>
      <c r="AE835">
        <f>IFERROR(INDEX(PP_Grid[#Data],$DE835,28),0)</f>
        <v/>
      </c>
      <c r="AF835">
        <f>IFERROR(INDEX(PP_Grid[#Data],$DE835,29),0)</f>
        <v/>
      </c>
      <c r="AG835">
        <f>IFERROR(INDEX(PP_Grid[#Data],$DE835,30),0)</f>
        <v/>
      </c>
      <c r="AH835">
        <f>IFERROR(INDEX(PP_Grid[#Data],$DE835,31),0)</f>
        <v/>
      </c>
      <c r="AI835">
        <f>IFERROR(INDEX(PP_Grid[#Data],$DE835,32),0)</f>
        <v/>
      </c>
      <c r="AJ835">
        <f>IFERROR(INDEX(PP_Grid[#Data],$DE835,33),0)</f>
        <v/>
      </c>
      <c r="AK835">
        <f>IFERROR(INDEX(PP_Grid[#Data],$DE835,34),0)</f>
        <v/>
      </c>
      <c r="AL835">
        <f>IFERROR(INDEX(PP_Grid[#Data],$DE835,35),0)</f>
        <v/>
      </c>
      <c r="AM835">
        <f>IFERROR(INDEX(PP_Grid[#Data],$DE835,36),0)</f>
        <v/>
      </c>
      <c r="AN835">
        <f>IFERROR(INDEX(PP_Grid[#Data],$DE835,37),0)</f>
        <v/>
      </c>
      <c r="AO835">
        <f>IFERROR(INDEX(PP_Grid[#Data],$DE835,38),0)</f>
        <v/>
      </c>
      <c r="AP835">
        <f>IFERROR(INDEX(PP_Grid[#Data],$DE835,39),0)</f>
        <v/>
      </c>
      <c r="AQ835">
        <f>IFERROR(INDEX(PP_Grid[#Data],$DE835,40),0)</f>
        <v/>
      </c>
      <c r="AR835">
        <f>IFERROR(INDEX(PP_Grid[#Data],$DE835,41),0)</f>
        <v/>
      </c>
      <c r="AS835">
        <f>IFERROR(INDEX(PP_Grid[#Data],$DE835,42),0)</f>
        <v/>
      </c>
      <c r="AT835">
        <f>IFERROR(INDEX(PP_Grid[#Data],$DE835,43),0)</f>
        <v/>
      </c>
      <c r="AU835">
        <f>IFERROR(INDEX(PP_Grid[#Data],$DE835,44),0)</f>
        <v/>
      </c>
      <c r="AV835">
        <f>IFERROR(INDEX(PP_Grid[#Data],$DE835,45),0)</f>
        <v/>
      </c>
      <c r="AW835">
        <f>IFERROR(INDEX(PP_Grid[#Data],$DE835,46),0)</f>
        <v/>
      </c>
      <c r="AX835">
        <f>IFERROR(INDEX(PP_Grid[#Data],$DE835,47),0)</f>
        <v/>
      </c>
      <c r="AY835">
        <f>IFERROR(INDEX(PP_Grid[#Data],$DE835,48),0)</f>
        <v/>
      </c>
      <c r="AZ835">
        <f>IFERROR(INDEX(PP_Grid[#Data],$DE835,49),0)</f>
        <v/>
      </c>
      <c r="BA835">
        <f>IFERROR(INDEX(PP_Grid[#Data],$DE835,50),0)</f>
        <v/>
      </c>
      <c r="BB835">
        <f>IFERROR(INDEX(PP_Grid[#Data],$DE835,51),0)</f>
        <v/>
      </c>
      <c r="BC835">
        <f>IFERROR(INDEX(PP_Grid[#Data],$DE835,52),0)</f>
        <v/>
      </c>
      <c r="BD835">
        <f>IFERROR(INDEX(PP_Grid[#Data],$DE835,53),0)</f>
        <v/>
      </c>
      <c r="BE835">
        <f>IFERROR(INDEX(PP_Grid[#Data],$DE835,54),0)</f>
        <v/>
      </c>
      <c r="BF835">
        <f>IFERROR(INDEX(PP_Grid[#Data],$DE835,55),0)</f>
        <v/>
      </c>
      <c r="BG835">
        <f>IFERROR(INDEX(PP_Grid[#Data],$DE835,56),0)</f>
        <v/>
      </c>
      <c r="BH835">
        <f>IFERROR(INDEX(PP_Grid[#Data],$DE835,57),0)</f>
        <v/>
      </c>
      <c r="BI835">
        <f>IFERROR(INDEX(PP_Grid[#Data],$DE835,58),0)</f>
        <v/>
      </c>
      <c r="BJ835">
        <f>IFERROR(INDEX(PP_Grid[#Data],$DE835,59),0)</f>
        <v/>
      </c>
      <c r="BK835">
        <f>IFERROR(INDEX(PP_Grid[#Data],$DE835,60),0)</f>
        <v/>
      </c>
      <c r="BL835">
        <f>IFERROR(INDEX(PP_Grid[#Data],$DE835,61),0)</f>
        <v/>
      </c>
      <c r="BM835">
        <f>IFERROR(INDEX(PP_Grid[#Data],$DE835,62),0)</f>
        <v/>
      </c>
      <c r="BN835">
        <f>IFERROR(INDEX(PP_Grid[#Data],$DE835,63),0)</f>
        <v/>
      </c>
      <c r="BO835">
        <f>IFERROR(INDEX(PP_Grid[#Data],$DE835,64),0)</f>
        <v/>
      </c>
      <c r="BP835">
        <f>IFERROR(INDEX(PP_Grid[#Data],$DE835,65),0)</f>
        <v/>
      </c>
      <c r="BQ835">
        <f>IFERROR(INDEX(PP_Grid[#Data],$DE835,66),0)</f>
        <v/>
      </c>
      <c r="BR835">
        <f>IFERROR(INDEX(PP_Grid[#Data],$DE835,67),0)</f>
        <v/>
      </c>
      <c r="BS835">
        <f>IFERROR(INDEX(PP_Grid[#Data],$DE835,68),0)</f>
        <v/>
      </c>
      <c r="BT835">
        <f>IFERROR(INDEX(PP_Grid[#Data],$DE835,69),0)</f>
        <v/>
      </c>
      <c r="BU835">
        <f>IFERROR(INDEX(PP_Grid[#Data],$DE835,70),0)</f>
        <v/>
      </c>
      <c r="BV835">
        <f>IFERROR(INDEX(PP_Grid[#Data],$DE835,71),0)</f>
        <v/>
      </c>
      <c r="BW835">
        <f>IFERROR(INDEX(PP_Grid[#Data],$DE835,72),0)</f>
        <v/>
      </c>
      <c r="BX835">
        <f>IFERROR(INDEX(PP_Grid[#Data],$DE835,73),0)</f>
        <v/>
      </c>
      <c r="BY835">
        <f>IFERROR(INDEX(PP_Grid[#Data],$DE835,74),0)</f>
        <v/>
      </c>
      <c r="BZ835">
        <f>IFERROR(INDEX(PP_Grid[#Data],$DE835,75),0)</f>
        <v/>
      </c>
      <c r="CA835">
        <f>IFERROR(INDEX(PP_Grid[#Data],$DE835,76),0)</f>
        <v/>
      </c>
      <c r="CB835">
        <f>IFERROR(INDEX(PP_Grid[#Data],$DE835,77),0)</f>
        <v/>
      </c>
      <c r="CC835">
        <f>IFERROR(INDEX(PP_Grid[#Data],$DE835,78),0)</f>
        <v/>
      </c>
      <c r="CD835">
        <f>IFERROR(INDEX(PP_Grid[#Data],$DE835,79),0)</f>
        <v/>
      </c>
      <c r="CE835">
        <f>IFERROR(INDEX(PP_Grid[#Data],$DE835,80),0)</f>
        <v/>
      </c>
      <c r="CF835">
        <f>IFERROR(INDEX(PP_Grid[#Data],$DE835,81),0)</f>
        <v/>
      </c>
      <c r="CG835">
        <f>IFERROR(INDEX(PP_Grid[#Data],$DE835,82),0)</f>
        <v/>
      </c>
      <c r="CH835">
        <f>IFERROR(INDEX(PP_Grid[#Data],$DE835,83),0)</f>
        <v/>
      </c>
      <c r="CI835">
        <f>IFERROR(INDEX(PP_Grid[#Data],$DE835,84),0)</f>
        <v/>
      </c>
      <c r="CJ835">
        <f>IFERROR(INDEX(PP_Grid[#Data],$DE835,85),0)</f>
        <v/>
      </c>
      <c r="CK835">
        <f>IFERROR(INDEX(PP_Grid[#Data],$DE835,86),0)</f>
        <v/>
      </c>
      <c r="CL835">
        <f>IFERROR(INDEX(PP_Grid[#Data],$DE835,87),0)</f>
        <v/>
      </c>
      <c r="CM835">
        <f>IFERROR(INDEX(PP_Grid[#Data],$DE835,88),0)</f>
        <v/>
      </c>
      <c r="CN835">
        <f>IFERROR(INDEX(PP_Grid[#Data],$DE835,89),0)</f>
        <v/>
      </c>
      <c r="CO835">
        <f>IFERROR(INDEX(PP_Grid[#Data],$DE835,90),0)</f>
        <v/>
      </c>
      <c r="CP835">
        <f>IFERROR(INDEX(PP_Grid[#Data],$DE835,91),0)</f>
        <v/>
      </c>
      <c r="CQ835">
        <f>IFERROR(INDEX(PP_Grid[#Data],$DE835,92),0)</f>
        <v/>
      </c>
      <c r="CR835">
        <f>IFERROR(INDEX(PP_Grid[#Data],$DE835,93),0)</f>
        <v/>
      </c>
      <c r="CS835">
        <f>IFERROR(INDEX(PP_Grid[#Data],$DE835,94),0)</f>
        <v/>
      </c>
      <c r="CT835">
        <f>IFERROR(INDEX(PP_Grid[#Data],$DE835,95),0)</f>
        <v/>
      </c>
      <c r="CU835">
        <f>IFERROR(INDEX(PP_Grid[#Data],$DE835,96),0)</f>
        <v/>
      </c>
      <c r="CV835">
        <f>IFERROR(INDEX(PP_Grid[#Data],$DE835,97),0)</f>
        <v/>
      </c>
      <c r="CW835">
        <f>IFERROR(INDEX(PP_Grid[#Data],$DE835,98),0)</f>
        <v/>
      </c>
      <c r="CX835">
        <f>IFERROR(INDEX(PP_Grid[#Data],$DE835,99),0)</f>
        <v/>
      </c>
      <c r="CY835">
        <f>IFERROR(INDEX(PP_Grid[#Data],$DE835,100),0)</f>
        <v/>
      </c>
      <c r="CZ835">
        <f>IFERROR(INDEX(PP_Grid[#Data],$DE835,101),0)</f>
        <v/>
      </c>
      <c r="DA835">
        <f>IFERROR(INDEX(PP_Grid[#Data],$DE835,102),0)</f>
        <v/>
      </c>
      <c r="DB835">
        <f>IFERROR(INDEX(PP_Grid[#Data],$DE835,103),0)</f>
        <v/>
      </c>
      <c r="DC835">
        <f>IFERROR(INDEX(PP_Grid[#Data],$DE835,104),0)</f>
        <v/>
      </c>
      <c r="DD835">
        <f>IFERROR(INDEX(PP_Grid[#Data],$DE835,105),0)</f>
        <v/>
      </c>
      <c r="DE835" s="7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SUMIFS(M_BOM[RM_Qty_Per_Batch],M_BOM[Intermediate],$B835,M_BOM[RM_Code],$A826)</f>
        <v/>
      </c>
      <c r="D836">
        <f>IFERROR(INDEX(E836:DD836,$F$1),"")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  <c r="DD836">
        <f>$C836*DD835</f>
        <v/>
      </c>
    </row>
    <row r="837">
      <c r="B837" t="inlineStr">
        <is>
          <t>TSP-1446</t>
        </is>
      </c>
      <c r="C837" t="inlineStr">
        <is>
          <t>No. of batches</t>
        </is>
      </c>
      <c r="D837">
        <f>IFERROR(INDEX(E837:DD837,$F$1),"")</f>
        <v/>
      </c>
      <c r="E837">
        <f>IFERROR(INDEX(PP_Grid[#Data],$DE837,2),0)</f>
        <v/>
      </c>
      <c r="F837">
        <f>IFERROR(INDEX(PP_Grid[#Data],$DE837,3),0)</f>
        <v/>
      </c>
      <c r="G837">
        <f>IFERROR(INDEX(PP_Grid[#Data],$DE837,4),0)</f>
        <v/>
      </c>
      <c r="H837">
        <f>IFERROR(INDEX(PP_Grid[#Data],$DE837,5),0)</f>
        <v/>
      </c>
      <c r="I837">
        <f>IFERROR(INDEX(PP_Grid[#Data],$DE837,6),0)</f>
        <v/>
      </c>
      <c r="J837">
        <f>IFERROR(INDEX(PP_Grid[#Data],$DE837,7),0)</f>
        <v/>
      </c>
      <c r="K837">
        <f>IFERROR(INDEX(PP_Grid[#Data],$DE837,8),0)</f>
        <v/>
      </c>
      <c r="L837">
        <f>IFERROR(INDEX(PP_Grid[#Data],$DE837,9),0)</f>
        <v/>
      </c>
      <c r="M837">
        <f>IFERROR(INDEX(PP_Grid[#Data],$DE837,10),0)</f>
        <v/>
      </c>
      <c r="N837">
        <f>IFERROR(INDEX(PP_Grid[#Data],$DE837,11),0)</f>
        <v/>
      </c>
      <c r="O837">
        <f>IFERROR(INDEX(PP_Grid[#Data],$DE837,12),0)</f>
        <v/>
      </c>
      <c r="P837">
        <f>IFERROR(INDEX(PP_Grid[#Data],$DE837,13),0)</f>
        <v/>
      </c>
      <c r="Q837">
        <f>IFERROR(INDEX(PP_Grid[#Data],$DE837,14),0)</f>
        <v/>
      </c>
      <c r="R837">
        <f>IFERROR(INDEX(PP_Grid[#Data],$DE837,15),0)</f>
        <v/>
      </c>
      <c r="S837">
        <f>IFERROR(INDEX(PP_Grid[#Data],$DE837,16),0)</f>
        <v/>
      </c>
      <c r="T837">
        <f>IFERROR(INDEX(PP_Grid[#Data],$DE837,17),0)</f>
        <v/>
      </c>
      <c r="U837">
        <f>IFERROR(INDEX(PP_Grid[#Data],$DE837,18),0)</f>
        <v/>
      </c>
      <c r="V837">
        <f>IFERROR(INDEX(PP_Grid[#Data],$DE837,19),0)</f>
        <v/>
      </c>
      <c r="W837">
        <f>IFERROR(INDEX(PP_Grid[#Data],$DE837,20),0)</f>
        <v/>
      </c>
      <c r="X837">
        <f>IFERROR(INDEX(PP_Grid[#Data],$DE837,21),0)</f>
        <v/>
      </c>
      <c r="Y837">
        <f>IFERROR(INDEX(PP_Grid[#Data],$DE837,22),0)</f>
        <v/>
      </c>
      <c r="Z837">
        <f>IFERROR(INDEX(PP_Grid[#Data],$DE837,23),0)</f>
        <v/>
      </c>
      <c r="AA837">
        <f>IFERROR(INDEX(PP_Grid[#Data],$DE837,24),0)</f>
        <v/>
      </c>
      <c r="AB837">
        <f>IFERROR(INDEX(PP_Grid[#Data],$DE837,25),0)</f>
        <v/>
      </c>
      <c r="AC837">
        <f>IFERROR(INDEX(PP_Grid[#Data],$DE837,26),0)</f>
        <v/>
      </c>
      <c r="AD837">
        <f>IFERROR(INDEX(PP_Grid[#Data],$DE837,27),0)</f>
        <v/>
      </c>
      <c r="AE837">
        <f>IFERROR(INDEX(PP_Grid[#Data],$DE837,28),0)</f>
        <v/>
      </c>
      <c r="AF837">
        <f>IFERROR(INDEX(PP_Grid[#Data],$DE837,29),0)</f>
        <v/>
      </c>
      <c r="AG837">
        <f>IFERROR(INDEX(PP_Grid[#Data],$DE837,30),0)</f>
        <v/>
      </c>
      <c r="AH837">
        <f>IFERROR(INDEX(PP_Grid[#Data],$DE837,31),0)</f>
        <v/>
      </c>
      <c r="AI837">
        <f>IFERROR(INDEX(PP_Grid[#Data],$DE837,32),0)</f>
        <v/>
      </c>
      <c r="AJ837">
        <f>IFERROR(INDEX(PP_Grid[#Data],$DE837,33),0)</f>
        <v/>
      </c>
      <c r="AK837">
        <f>IFERROR(INDEX(PP_Grid[#Data],$DE837,34),0)</f>
        <v/>
      </c>
      <c r="AL837">
        <f>IFERROR(INDEX(PP_Grid[#Data],$DE837,35),0)</f>
        <v/>
      </c>
      <c r="AM837">
        <f>IFERROR(INDEX(PP_Grid[#Data],$DE837,36),0)</f>
        <v/>
      </c>
      <c r="AN837">
        <f>IFERROR(INDEX(PP_Grid[#Data],$DE837,37),0)</f>
        <v/>
      </c>
      <c r="AO837">
        <f>IFERROR(INDEX(PP_Grid[#Data],$DE837,38),0)</f>
        <v/>
      </c>
      <c r="AP837">
        <f>IFERROR(INDEX(PP_Grid[#Data],$DE837,39),0)</f>
        <v/>
      </c>
      <c r="AQ837">
        <f>IFERROR(INDEX(PP_Grid[#Data],$DE837,40),0)</f>
        <v/>
      </c>
      <c r="AR837">
        <f>IFERROR(INDEX(PP_Grid[#Data],$DE837,41),0)</f>
        <v/>
      </c>
      <c r="AS837">
        <f>IFERROR(INDEX(PP_Grid[#Data],$DE837,42),0)</f>
        <v/>
      </c>
      <c r="AT837">
        <f>IFERROR(INDEX(PP_Grid[#Data],$DE837,43),0)</f>
        <v/>
      </c>
      <c r="AU837">
        <f>IFERROR(INDEX(PP_Grid[#Data],$DE837,44),0)</f>
        <v/>
      </c>
      <c r="AV837">
        <f>IFERROR(INDEX(PP_Grid[#Data],$DE837,45),0)</f>
        <v/>
      </c>
      <c r="AW837">
        <f>IFERROR(INDEX(PP_Grid[#Data],$DE837,46),0)</f>
        <v/>
      </c>
      <c r="AX837">
        <f>IFERROR(INDEX(PP_Grid[#Data],$DE837,47),0)</f>
        <v/>
      </c>
      <c r="AY837">
        <f>IFERROR(INDEX(PP_Grid[#Data],$DE837,48),0)</f>
        <v/>
      </c>
      <c r="AZ837">
        <f>IFERROR(INDEX(PP_Grid[#Data],$DE837,49),0)</f>
        <v/>
      </c>
      <c r="BA837">
        <f>IFERROR(INDEX(PP_Grid[#Data],$DE837,50),0)</f>
        <v/>
      </c>
      <c r="BB837">
        <f>IFERROR(INDEX(PP_Grid[#Data],$DE837,51),0)</f>
        <v/>
      </c>
      <c r="BC837">
        <f>IFERROR(INDEX(PP_Grid[#Data],$DE837,52),0)</f>
        <v/>
      </c>
      <c r="BD837">
        <f>IFERROR(INDEX(PP_Grid[#Data],$DE837,53),0)</f>
        <v/>
      </c>
      <c r="BE837">
        <f>IFERROR(INDEX(PP_Grid[#Data],$DE837,54),0)</f>
        <v/>
      </c>
      <c r="BF837">
        <f>IFERROR(INDEX(PP_Grid[#Data],$DE837,55),0)</f>
        <v/>
      </c>
      <c r="BG837">
        <f>IFERROR(INDEX(PP_Grid[#Data],$DE837,56),0)</f>
        <v/>
      </c>
      <c r="BH837">
        <f>IFERROR(INDEX(PP_Grid[#Data],$DE837,57),0)</f>
        <v/>
      </c>
      <c r="BI837">
        <f>IFERROR(INDEX(PP_Grid[#Data],$DE837,58),0)</f>
        <v/>
      </c>
      <c r="BJ837">
        <f>IFERROR(INDEX(PP_Grid[#Data],$DE837,59),0)</f>
        <v/>
      </c>
      <c r="BK837">
        <f>IFERROR(INDEX(PP_Grid[#Data],$DE837,60),0)</f>
        <v/>
      </c>
      <c r="BL837">
        <f>IFERROR(INDEX(PP_Grid[#Data],$DE837,61),0)</f>
        <v/>
      </c>
      <c r="BM837">
        <f>IFERROR(INDEX(PP_Grid[#Data],$DE837,62),0)</f>
        <v/>
      </c>
      <c r="BN837">
        <f>IFERROR(INDEX(PP_Grid[#Data],$DE837,63),0)</f>
        <v/>
      </c>
      <c r="BO837">
        <f>IFERROR(INDEX(PP_Grid[#Data],$DE837,64),0)</f>
        <v/>
      </c>
      <c r="BP837">
        <f>IFERROR(INDEX(PP_Grid[#Data],$DE837,65),0)</f>
        <v/>
      </c>
      <c r="BQ837">
        <f>IFERROR(INDEX(PP_Grid[#Data],$DE837,66),0)</f>
        <v/>
      </c>
      <c r="BR837">
        <f>IFERROR(INDEX(PP_Grid[#Data],$DE837,67),0)</f>
        <v/>
      </c>
      <c r="BS837">
        <f>IFERROR(INDEX(PP_Grid[#Data],$DE837,68),0)</f>
        <v/>
      </c>
      <c r="BT837">
        <f>IFERROR(INDEX(PP_Grid[#Data],$DE837,69),0)</f>
        <v/>
      </c>
      <c r="BU837">
        <f>IFERROR(INDEX(PP_Grid[#Data],$DE837,70),0)</f>
        <v/>
      </c>
      <c r="BV837">
        <f>IFERROR(INDEX(PP_Grid[#Data],$DE837,71),0)</f>
        <v/>
      </c>
      <c r="BW837">
        <f>IFERROR(INDEX(PP_Grid[#Data],$DE837,72),0)</f>
        <v/>
      </c>
      <c r="BX837">
        <f>IFERROR(INDEX(PP_Grid[#Data],$DE837,73),0)</f>
        <v/>
      </c>
      <c r="BY837">
        <f>IFERROR(INDEX(PP_Grid[#Data],$DE837,74),0)</f>
        <v/>
      </c>
      <c r="BZ837">
        <f>IFERROR(INDEX(PP_Grid[#Data],$DE837,75),0)</f>
        <v/>
      </c>
      <c r="CA837">
        <f>IFERROR(INDEX(PP_Grid[#Data],$DE837,76),0)</f>
        <v/>
      </c>
      <c r="CB837">
        <f>IFERROR(INDEX(PP_Grid[#Data],$DE837,77),0)</f>
        <v/>
      </c>
      <c r="CC837">
        <f>IFERROR(INDEX(PP_Grid[#Data],$DE837,78),0)</f>
        <v/>
      </c>
      <c r="CD837">
        <f>IFERROR(INDEX(PP_Grid[#Data],$DE837,79),0)</f>
        <v/>
      </c>
      <c r="CE837">
        <f>IFERROR(INDEX(PP_Grid[#Data],$DE837,80),0)</f>
        <v/>
      </c>
      <c r="CF837">
        <f>IFERROR(INDEX(PP_Grid[#Data],$DE837,81),0)</f>
        <v/>
      </c>
      <c r="CG837">
        <f>IFERROR(INDEX(PP_Grid[#Data],$DE837,82),0)</f>
        <v/>
      </c>
      <c r="CH837">
        <f>IFERROR(INDEX(PP_Grid[#Data],$DE837,83),0)</f>
        <v/>
      </c>
      <c r="CI837">
        <f>IFERROR(INDEX(PP_Grid[#Data],$DE837,84),0)</f>
        <v/>
      </c>
      <c r="CJ837">
        <f>IFERROR(INDEX(PP_Grid[#Data],$DE837,85),0)</f>
        <v/>
      </c>
      <c r="CK837">
        <f>IFERROR(INDEX(PP_Grid[#Data],$DE837,86),0)</f>
        <v/>
      </c>
      <c r="CL837">
        <f>IFERROR(INDEX(PP_Grid[#Data],$DE837,87),0)</f>
        <v/>
      </c>
      <c r="CM837">
        <f>IFERROR(INDEX(PP_Grid[#Data],$DE837,88),0)</f>
        <v/>
      </c>
      <c r="CN837">
        <f>IFERROR(INDEX(PP_Grid[#Data],$DE837,89),0)</f>
        <v/>
      </c>
      <c r="CO837">
        <f>IFERROR(INDEX(PP_Grid[#Data],$DE837,90),0)</f>
        <v/>
      </c>
      <c r="CP837">
        <f>IFERROR(INDEX(PP_Grid[#Data],$DE837,91),0)</f>
        <v/>
      </c>
      <c r="CQ837">
        <f>IFERROR(INDEX(PP_Grid[#Data],$DE837,92),0)</f>
        <v/>
      </c>
      <c r="CR837">
        <f>IFERROR(INDEX(PP_Grid[#Data],$DE837,93),0)</f>
        <v/>
      </c>
      <c r="CS837">
        <f>IFERROR(INDEX(PP_Grid[#Data],$DE837,94),0)</f>
        <v/>
      </c>
      <c r="CT837">
        <f>IFERROR(INDEX(PP_Grid[#Data],$DE837,95),0)</f>
        <v/>
      </c>
      <c r="CU837">
        <f>IFERROR(INDEX(PP_Grid[#Data],$DE837,96),0)</f>
        <v/>
      </c>
      <c r="CV837">
        <f>IFERROR(INDEX(PP_Grid[#Data],$DE837,97),0)</f>
        <v/>
      </c>
      <c r="CW837">
        <f>IFERROR(INDEX(PP_Grid[#Data],$DE837,98),0)</f>
        <v/>
      </c>
      <c r="CX837">
        <f>IFERROR(INDEX(PP_Grid[#Data],$DE837,99),0)</f>
        <v/>
      </c>
      <c r="CY837">
        <f>IFERROR(INDEX(PP_Grid[#Data],$DE837,100),0)</f>
        <v/>
      </c>
      <c r="CZ837">
        <f>IFERROR(INDEX(PP_Grid[#Data],$DE837,101),0)</f>
        <v/>
      </c>
      <c r="DA837">
        <f>IFERROR(INDEX(PP_Grid[#Data],$DE837,102),0)</f>
        <v/>
      </c>
      <c r="DB837">
        <f>IFERROR(INDEX(PP_Grid[#Data],$DE837,103),0)</f>
        <v/>
      </c>
      <c r="DC837">
        <f>IFERROR(INDEX(PP_Grid[#Data],$DE837,104),0)</f>
        <v/>
      </c>
      <c r="DD837">
        <f>IFERROR(INDEX(PP_Grid[#Data],$DE837,105),0)</f>
        <v/>
      </c>
      <c r="DE837" s="7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SUMIFS(M_BOM[RM_Qty_Per_Batch],M_BOM[Intermediate],$B837,M_BOM[RM_Code],$A826)</f>
        <v/>
      </c>
      <c r="D838">
        <f>IFERROR(INDEX(E838:DD838,$F$1),"")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  <c r="DD838">
        <f>$C838*DD837</f>
        <v/>
      </c>
    </row>
    <row r="839">
      <c r="B839" t="inlineStr">
        <is>
          <t>TSP-1499</t>
        </is>
      </c>
      <c r="C839" t="inlineStr">
        <is>
          <t>No. of batches</t>
        </is>
      </c>
      <c r="D839">
        <f>IFERROR(INDEX(E839:DD839,$F$1),"")</f>
        <v/>
      </c>
      <c r="E839">
        <f>IFERROR(INDEX(PP_Grid[#Data],$DE839,2),0)</f>
        <v/>
      </c>
      <c r="F839">
        <f>IFERROR(INDEX(PP_Grid[#Data],$DE839,3),0)</f>
        <v/>
      </c>
      <c r="G839">
        <f>IFERROR(INDEX(PP_Grid[#Data],$DE839,4),0)</f>
        <v/>
      </c>
      <c r="H839">
        <f>IFERROR(INDEX(PP_Grid[#Data],$DE839,5),0)</f>
        <v/>
      </c>
      <c r="I839">
        <f>IFERROR(INDEX(PP_Grid[#Data],$DE839,6),0)</f>
        <v/>
      </c>
      <c r="J839">
        <f>IFERROR(INDEX(PP_Grid[#Data],$DE839,7),0)</f>
        <v/>
      </c>
      <c r="K839">
        <f>IFERROR(INDEX(PP_Grid[#Data],$DE839,8),0)</f>
        <v/>
      </c>
      <c r="L839">
        <f>IFERROR(INDEX(PP_Grid[#Data],$DE839,9),0)</f>
        <v/>
      </c>
      <c r="M839">
        <f>IFERROR(INDEX(PP_Grid[#Data],$DE839,10),0)</f>
        <v/>
      </c>
      <c r="N839">
        <f>IFERROR(INDEX(PP_Grid[#Data],$DE839,11),0)</f>
        <v/>
      </c>
      <c r="O839">
        <f>IFERROR(INDEX(PP_Grid[#Data],$DE839,12),0)</f>
        <v/>
      </c>
      <c r="P839">
        <f>IFERROR(INDEX(PP_Grid[#Data],$DE839,13),0)</f>
        <v/>
      </c>
      <c r="Q839">
        <f>IFERROR(INDEX(PP_Grid[#Data],$DE839,14),0)</f>
        <v/>
      </c>
      <c r="R839">
        <f>IFERROR(INDEX(PP_Grid[#Data],$DE839,15),0)</f>
        <v/>
      </c>
      <c r="S839">
        <f>IFERROR(INDEX(PP_Grid[#Data],$DE839,16),0)</f>
        <v/>
      </c>
      <c r="T839">
        <f>IFERROR(INDEX(PP_Grid[#Data],$DE839,17),0)</f>
        <v/>
      </c>
      <c r="U839">
        <f>IFERROR(INDEX(PP_Grid[#Data],$DE839,18),0)</f>
        <v/>
      </c>
      <c r="V839">
        <f>IFERROR(INDEX(PP_Grid[#Data],$DE839,19),0)</f>
        <v/>
      </c>
      <c r="W839">
        <f>IFERROR(INDEX(PP_Grid[#Data],$DE839,20),0)</f>
        <v/>
      </c>
      <c r="X839">
        <f>IFERROR(INDEX(PP_Grid[#Data],$DE839,21),0)</f>
        <v/>
      </c>
      <c r="Y839">
        <f>IFERROR(INDEX(PP_Grid[#Data],$DE839,22),0)</f>
        <v/>
      </c>
      <c r="Z839">
        <f>IFERROR(INDEX(PP_Grid[#Data],$DE839,23),0)</f>
        <v/>
      </c>
      <c r="AA839">
        <f>IFERROR(INDEX(PP_Grid[#Data],$DE839,24),0)</f>
        <v/>
      </c>
      <c r="AB839">
        <f>IFERROR(INDEX(PP_Grid[#Data],$DE839,25),0)</f>
        <v/>
      </c>
      <c r="AC839">
        <f>IFERROR(INDEX(PP_Grid[#Data],$DE839,26),0)</f>
        <v/>
      </c>
      <c r="AD839">
        <f>IFERROR(INDEX(PP_Grid[#Data],$DE839,27),0)</f>
        <v/>
      </c>
      <c r="AE839">
        <f>IFERROR(INDEX(PP_Grid[#Data],$DE839,28),0)</f>
        <v/>
      </c>
      <c r="AF839">
        <f>IFERROR(INDEX(PP_Grid[#Data],$DE839,29),0)</f>
        <v/>
      </c>
      <c r="AG839">
        <f>IFERROR(INDEX(PP_Grid[#Data],$DE839,30),0)</f>
        <v/>
      </c>
      <c r="AH839">
        <f>IFERROR(INDEX(PP_Grid[#Data],$DE839,31),0)</f>
        <v/>
      </c>
      <c r="AI839">
        <f>IFERROR(INDEX(PP_Grid[#Data],$DE839,32),0)</f>
        <v/>
      </c>
      <c r="AJ839">
        <f>IFERROR(INDEX(PP_Grid[#Data],$DE839,33),0)</f>
        <v/>
      </c>
      <c r="AK839">
        <f>IFERROR(INDEX(PP_Grid[#Data],$DE839,34),0)</f>
        <v/>
      </c>
      <c r="AL839">
        <f>IFERROR(INDEX(PP_Grid[#Data],$DE839,35),0)</f>
        <v/>
      </c>
      <c r="AM839">
        <f>IFERROR(INDEX(PP_Grid[#Data],$DE839,36),0)</f>
        <v/>
      </c>
      <c r="AN839">
        <f>IFERROR(INDEX(PP_Grid[#Data],$DE839,37),0)</f>
        <v/>
      </c>
      <c r="AO839">
        <f>IFERROR(INDEX(PP_Grid[#Data],$DE839,38),0)</f>
        <v/>
      </c>
      <c r="AP839">
        <f>IFERROR(INDEX(PP_Grid[#Data],$DE839,39),0)</f>
        <v/>
      </c>
      <c r="AQ839">
        <f>IFERROR(INDEX(PP_Grid[#Data],$DE839,40),0)</f>
        <v/>
      </c>
      <c r="AR839">
        <f>IFERROR(INDEX(PP_Grid[#Data],$DE839,41),0)</f>
        <v/>
      </c>
      <c r="AS839">
        <f>IFERROR(INDEX(PP_Grid[#Data],$DE839,42),0)</f>
        <v/>
      </c>
      <c r="AT839">
        <f>IFERROR(INDEX(PP_Grid[#Data],$DE839,43),0)</f>
        <v/>
      </c>
      <c r="AU839">
        <f>IFERROR(INDEX(PP_Grid[#Data],$DE839,44),0)</f>
        <v/>
      </c>
      <c r="AV839">
        <f>IFERROR(INDEX(PP_Grid[#Data],$DE839,45),0)</f>
        <v/>
      </c>
      <c r="AW839">
        <f>IFERROR(INDEX(PP_Grid[#Data],$DE839,46),0)</f>
        <v/>
      </c>
      <c r="AX839">
        <f>IFERROR(INDEX(PP_Grid[#Data],$DE839,47),0)</f>
        <v/>
      </c>
      <c r="AY839">
        <f>IFERROR(INDEX(PP_Grid[#Data],$DE839,48),0)</f>
        <v/>
      </c>
      <c r="AZ839">
        <f>IFERROR(INDEX(PP_Grid[#Data],$DE839,49),0)</f>
        <v/>
      </c>
      <c r="BA839">
        <f>IFERROR(INDEX(PP_Grid[#Data],$DE839,50),0)</f>
        <v/>
      </c>
      <c r="BB839">
        <f>IFERROR(INDEX(PP_Grid[#Data],$DE839,51),0)</f>
        <v/>
      </c>
      <c r="BC839">
        <f>IFERROR(INDEX(PP_Grid[#Data],$DE839,52),0)</f>
        <v/>
      </c>
      <c r="BD839">
        <f>IFERROR(INDEX(PP_Grid[#Data],$DE839,53),0)</f>
        <v/>
      </c>
      <c r="BE839">
        <f>IFERROR(INDEX(PP_Grid[#Data],$DE839,54),0)</f>
        <v/>
      </c>
      <c r="BF839">
        <f>IFERROR(INDEX(PP_Grid[#Data],$DE839,55),0)</f>
        <v/>
      </c>
      <c r="BG839">
        <f>IFERROR(INDEX(PP_Grid[#Data],$DE839,56),0)</f>
        <v/>
      </c>
      <c r="BH839">
        <f>IFERROR(INDEX(PP_Grid[#Data],$DE839,57),0)</f>
        <v/>
      </c>
      <c r="BI839">
        <f>IFERROR(INDEX(PP_Grid[#Data],$DE839,58),0)</f>
        <v/>
      </c>
      <c r="BJ839">
        <f>IFERROR(INDEX(PP_Grid[#Data],$DE839,59),0)</f>
        <v/>
      </c>
      <c r="BK839">
        <f>IFERROR(INDEX(PP_Grid[#Data],$DE839,60),0)</f>
        <v/>
      </c>
      <c r="BL839">
        <f>IFERROR(INDEX(PP_Grid[#Data],$DE839,61),0)</f>
        <v/>
      </c>
      <c r="BM839">
        <f>IFERROR(INDEX(PP_Grid[#Data],$DE839,62),0)</f>
        <v/>
      </c>
      <c r="BN839">
        <f>IFERROR(INDEX(PP_Grid[#Data],$DE839,63),0)</f>
        <v/>
      </c>
      <c r="BO839">
        <f>IFERROR(INDEX(PP_Grid[#Data],$DE839,64),0)</f>
        <v/>
      </c>
      <c r="BP839">
        <f>IFERROR(INDEX(PP_Grid[#Data],$DE839,65),0)</f>
        <v/>
      </c>
      <c r="BQ839">
        <f>IFERROR(INDEX(PP_Grid[#Data],$DE839,66),0)</f>
        <v/>
      </c>
      <c r="BR839">
        <f>IFERROR(INDEX(PP_Grid[#Data],$DE839,67),0)</f>
        <v/>
      </c>
      <c r="BS839">
        <f>IFERROR(INDEX(PP_Grid[#Data],$DE839,68),0)</f>
        <v/>
      </c>
      <c r="BT839">
        <f>IFERROR(INDEX(PP_Grid[#Data],$DE839,69),0)</f>
        <v/>
      </c>
      <c r="BU839">
        <f>IFERROR(INDEX(PP_Grid[#Data],$DE839,70),0)</f>
        <v/>
      </c>
      <c r="BV839">
        <f>IFERROR(INDEX(PP_Grid[#Data],$DE839,71),0)</f>
        <v/>
      </c>
      <c r="BW839">
        <f>IFERROR(INDEX(PP_Grid[#Data],$DE839,72),0)</f>
        <v/>
      </c>
      <c r="BX839">
        <f>IFERROR(INDEX(PP_Grid[#Data],$DE839,73),0)</f>
        <v/>
      </c>
      <c r="BY839">
        <f>IFERROR(INDEX(PP_Grid[#Data],$DE839,74),0)</f>
        <v/>
      </c>
      <c r="BZ839">
        <f>IFERROR(INDEX(PP_Grid[#Data],$DE839,75),0)</f>
        <v/>
      </c>
      <c r="CA839">
        <f>IFERROR(INDEX(PP_Grid[#Data],$DE839,76),0)</f>
        <v/>
      </c>
      <c r="CB839">
        <f>IFERROR(INDEX(PP_Grid[#Data],$DE839,77),0)</f>
        <v/>
      </c>
      <c r="CC839">
        <f>IFERROR(INDEX(PP_Grid[#Data],$DE839,78),0)</f>
        <v/>
      </c>
      <c r="CD839">
        <f>IFERROR(INDEX(PP_Grid[#Data],$DE839,79),0)</f>
        <v/>
      </c>
      <c r="CE839">
        <f>IFERROR(INDEX(PP_Grid[#Data],$DE839,80),0)</f>
        <v/>
      </c>
      <c r="CF839">
        <f>IFERROR(INDEX(PP_Grid[#Data],$DE839,81),0)</f>
        <v/>
      </c>
      <c r="CG839">
        <f>IFERROR(INDEX(PP_Grid[#Data],$DE839,82),0)</f>
        <v/>
      </c>
      <c r="CH839">
        <f>IFERROR(INDEX(PP_Grid[#Data],$DE839,83),0)</f>
        <v/>
      </c>
      <c r="CI839">
        <f>IFERROR(INDEX(PP_Grid[#Data],$DE839,84),0)</f>
        <v/>
      </c>
      <c r="CJ839">
        <f>IFERROR(INDEX(PP_Grid[#Data],$DE839,85),0)</f>
        <v/>
      </c>
      <c r="CK839">
        <f>IFERROR(INDEX(PP_Grid[#Data],$DE839,86),0)</f>
        <v/>
      </c>
      <c r="CL839">
        <f>IFERROR(INDEX(PP_Grid[#Data],$DE839,87),0)</f>
        <v/>
      </c>
      <c r="CM839">
        <f>IFERROR(INDEX(PP_Grid[#Data],$DE839,88),0)</f>
        <v/>
      </c>
      <c r="CN839">
        <f>IFERROR(INDEX(PP_Grid[#Data],$DE839,89),0)</f>
        <v/>
      </c>
      <c r="CO839">
        <f>IFERROR(INDEX(PP_Grid[#Data],$DE839,90),0)</f>
        <v/>
      </c>
      <c r="CP839">
        <f>IFERROR(INDEX(PP_Grid[#Data],$DE839,91),0)</f>
        <v/>
      </c>
      <c r="CQ839">
        <f>IFERROR(INDEX(PP_Grid[#Data],$DE839,92),0)</f>
        <v/>
      </c>
      <c r="CR839">
        <f>IFERROR(INDEX(PP_Grid[#Data],$DE839,93),0)</f>
        <v/>
      </c>
      <c r="CS839">
        <f>IFERROR(INDEX(PP_Grid[#Data],$DE839,94),0)</f>
        <v/>
      </c>
      <c r="CT839">
        <f>IFERROR(INDEX(PP_Grid[#Data],$DE839,95),0)</f>
        <v/>
      </c>
      <c r="CU839">
        <f>IFERROR(INDEX(PP_Grid[#Data],$DE839,96),0)</f>
        <v/>
      </c>
      <c r="CV839">
        <f>IFERROR(INDEX(PP_Grid[#Data],$DE839,97),0)</f>
        <v/>
      </c>
      <c r="CW839">
        <f>IFERROR(INDEX(PP_Grid[#Data],$DE839,98),0)</f>
        <v/>
      </c>
      <c r="CX839">
        <f>IFERROR(INDEX(PP_Grid[#Data],$DE839,99),0)</f>
        <v/>
      </c>
      <c r="CY839">
        <f>IFERROR(INDEX(PP_Grid[#Data],$DE839,100),0)</f>
        <v/>
      </c>
      <c r="CZ839">
        <f>IFERROR(INDEX(PP_Grid[#Data],$DE839,101),0)</f>
        <v/>
      </c>
      <c r="DA839">
        <f>IFERROR(INDEX(PP_Grid[#Data],$DE839,102),0)</f>
        <v/>
      </c>
      <c r="DB839">
        <f>IFERROR(INDEX(PP_Grid[#Data],$DE839,103),0)</f>
        <v/>
      </c>
      <c r="DC839">
        <f>IFERROR(INDEX(PP_Grid[#Data],$DE839,104),0)</f>
        <v/>
      </c>
      <c r="DD839">
        <f>IFERROR(INDEX(PP_Grid[#Data],$DE839,105),0)</f>
        <v/>
      </c>
      <c r="DE839" s="7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SUMIFS(M_BOM[RM_Qty_Per_Batch],M_BOM[Intermediate],$B839,M_BOM[RM_Code],$A826)</f>
        <v/>
      </c>
      <c r="D840">
        <f>IFERROR(INDEX(E840:DD840,$F$1),"")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  <c r="DD840">
        <f>$C840*DD839</f>
        <v/>
      </c>
    </row>
    <row r="841">
      <c r="B841" s="4" t="inlineStr">
        <is>
          <t>合計使用量(kg)/週</t>
        </is>
      </c>
      <c r="D841" s="23">
        <f>IFERROR(INDEX(E841:DD841,$F$1),"")</f>
        <v/>
      </c>
      <c r="E841">
        <f>'Grid_Requirement'!B3</f>
        <v/>
      </c>
      <c r="F841">
        <f>'Grid_Requirement'!C3</f>
        <v/>
      </c>
      <c r="G841">
        <f>'Grid_Requirement'!D3</f>
        <v/>
      </c>
      <c r="H841">
        <f>'Grid_Requirement'!E3</f>
        <v/>
      </c>
      <c r="I841">
        <f>'Grid_Requirement'!F3</f>
        <v/>
      </c>
      <c r="J841">
        <f>'Grid_Requirement'!G3</f>
        <v/>
      </c>
      <c r="K841">
        <f>'Grid_Requirement'!H3</f>
        <v/>
      </c>
      <c r="L841">
        <f>'Grid_Requirement'!I3</f>
        <v/>
      </c>
      <c r="M841">
        <f>'Grid_Requirement'!J3</f>
        <v/>
      </c>
      <c r="N841">
        <f>'Grid_Requirement'!K3</f>
        <v/>
      </c>
      <c r="O841">
        <f>'Grid_Requirement'!L3</f>
        <v/>
      </c>
      <c r="P841">
        <f>'Grid_Requirement'!M3</f>
        <v/>
      </c>
      <c r="Q841">
        <f>'Grid_Requirement'!N3</f>
        <v/>
      </c>
      <c r="R841">
        <f>'Grid_Requirement'!O3</f>
        <v/>
      </c>
      <c r="S841">
        <f>'Grid_Requirement'!P3</f>
        <v/>
      </c>
      <c r="T841">
        <f>'Grid_Requirement'!Q3</f>
        <v/>
      </c>
      <c r="U841">
        <f>'Grid_Requirement'!R3</f>
        <v/>
      </c>
      <c r="V841">
        <f>'Grid_Requirement'!S3</f>
        <v/>
      </c>
      <c r="W841">
        <f>'Grid_Requirement'!T3</f>
        <v/>
      </c>
      <c r="X841">
        <f>'Grid_Requirement'!U3</f>
        <v/>
      </c>
      <c r="Y841">
        <f>'Grid_Requirement'!V3</f>
        <v/>
      </c>
      <c r="Z841">
        <f>'Grid_Requirement'!W3</f>
        <v/>
      </c>
      <c r="AA841">
        <f>'Grid_Requirement'!X3</f>
        <v/>
      </c>
      <c r="AB841">
        <f>'Grid_Requirement'!Y3</f>
        <v/>
      </c>
      <c r="AC841">
        <f>'Grid_Requirement'!Z3</f>
        <v/>
      </c>
      <c r="AD841">
        <f>'Grid_Requirement'!AA3</f>
        <v/>
      </c>
      <c r="AE841">
        <f>'Grid_Requirement'!AB3</f>
        <v/>
      </c>
      <c r="AF841">
        <f>'Grid_Requirement'!AC3</f>
        <v/>
      </c>
      <c r="AG841">
        <f>'Grid_Requirement'!AD3</f>
        <v/>
      </c>
      <c r="AH841">
        <f>'Grid_Requirement'!AE3</f>
        <v/>
      </c>
      <c r="AI841">
        <f>'Grid_Requirement'!AF3</f>
        <v/>
      </c>
      <c r="AJ841">
        <f>'Grid_Requirement'!AG3</f>
        <v/>
      </c>
      <c r="AK841">
        <f>'Grid_Requirement'!AH3</f>
        <v/>
      </c>
      <c r="AL841">
        <f>'Grid_Requirement'!AI3</f>
        <v/>
      </c>
      <c r="AM841">
        <f>'Grid_Requirement'!AJ3</f>
        <v/>
      </c>
      <c r="AN841">
        <f>'Grid_Requirement'!AK3</f>
        <v/>
      </c>
      <c r="AO841">
        <f>'Grid_Requirement'!AL3</f>
        <v/>
      </c>
      <c r="AP841">
        <f>'Grid_Requirement'!AM3</f>
        <v/>
      </c>
      <c r="AQ841">
        <f>'Grid_Requirement'!AN3</f>
        <v/>
      </c>
      <c r="AR841">
        <f>'Grid_Requirement'!AO3</f>
        <v/>
      </c>
      <c r="AS841">
        <f>'Grid_Requirement'!AP3</f>
        <v/>
      </c>
      <c r="AT841">
        <f>'Grid_Requirement'!AQ3</f>
        <v/>
      </c>
      <c r="AU841">
        <f>'Grid_Requirement'!AR3</f>
        <v/>
      </c>
      <c r="AV841">
        <f>'Grid_Requirement'!AS3</f>
        <v/>
      </c>
      <c r="AW841">
        <f>'Grid_Requirement'!AT3</f>
        <v/>
      </c>
      <c r="AX841">
        <f>'Grid_Requirement'!AU3</f>
        <v/>
      </c>
      <c r="AY841">
        <f>'Grid_Requirement'!AV3</f>
        <v/>
      </c>
      <c r="AZ841">
        <f>'Grid_Requirement'!AW3</f>
        <v/>
      </c>
      <c r="BA841">
        <f>'Grid_Requirement'!AX3</f>
        <v/>
      </c>
      <c r="BB841">
        <f>'Grid_Requirement'!AY3</f>
        <v/>
      </c>
      <c r="BC841">
        <f>'Grid_Requirement'!AZ3</f>
        <v/>
      </c>
      <c r="BD841">
        <f>'Grid_Requirement'!BA3</f>
        <v/>
      </c>
      <c r="BE841">
        <f>'Grid_Requirement'!BB3</f>
        <v/>
      </c>
      <c r="BF841">
        <f>'Grid_Requirement'!BC3</f>
        <v/>
      </c>
      <c r="BG841">
        <f>'Grid_Requirement'!BD3</f>
        <v/>
      </c>
      <c r="BH841">
        <f>'Grid_Requirement'!BE3</f>
        <v/>
      </c>
      <c r="BI841">
        <f>'Grid_Requirement'!BF3</f>
        <v/>
      </c>
      <c r="BJ841">
        <f>'Grid_Requirement'!BG3</f>
        <v/>
      </c>
      <c r="BK841">
        <f>'Grid_Requirement'!BH3</f>
        <v/>
      </c>
      <c r="BL841">
        <f>'Grid_Requirement'!BI3</f>
        <v/>
      </c>
      <c r="BM841">
        <f>'Grid_Requirement'!BJ3</f>
        <v/>
      </c>
      <c r="BN841">
        <f>'Grid_Requirement'!BK3</f>
        <v/>
      </c>
      <c r="BO841">
        <f>'Grid_Requirement'!BL3</f>
        <v/>
      </c>
      <c r="BP841">
        <f>'Grid_Requirement'!BM3</f>
        <v/>
      </c>
      <c r="BQ841">
        <f>'Grid_Requirement'!BN3</f>
        <v/>
      </c>
      <c r="BR841">
        <f>'Grid_Requirement'!BO3</f>
        <v/>
      </c>
      <c r="BS841">
        <f>'Grid_Requirement'!BP3</f>
        <v/>
      </c>
      <c r="BT841">
        <f>'Grid_Requirement'!BQ3</f>
        <v/>
      </c>
      <c r="BU841">
        <f>'Grid_Requirement'!BR3</f>
        <v/>
      </c>
      <c r="BV841">
        <f>'Grid_Requirement'!BS3</f>
        <v/>
      </c>
      <c r="BW841">
        <f>'Grid_Requirement'!BT3</f>
        <v/>
      </c>
      <c r="BX841">
        <f>'Grid_Requirement'!BU3</f>
        <v/>
      </c>
      <c r="BY841">
        <f>'Grid_Requirement'!BV3</f>
        <v/>
      </c>
      <c r="BZ841">
        <f>'Grid_Requirement'!BW3</f>
        <v/>
      </c>
      <c r="CA841">
        <f>'Grid_Requirement'!BX3</f>
        <v/>
      </c>
      <c r="CB841">
        <f>'Grid_Requirement'!BY3</f>
        <v/>
      </c>
      <c r="CC841">
        <f>'Grid_Requirement'!BZ3</f>
        <v/>
      </c>
      <c r="CD841">
        <f>'Grid_Requirement'!CA3</f>
        <v/>
      </c>
      <c r="CE841">
        <f>'Grid_Requirement'!CB3</f>
        <v/>
      </c>
      <c r="CF841">
        <f>'Grid_Requirement'!CC3</f>
        <v/>
      </c>
      <c r="CG841">
        <f>'Grid_Requirement'!CD3</f>
        <v/>
      </c>
      <c r="CH841">
        <f>'Grid_Requirement'!CE3</f>
        <v/>
      </c>
      <c r="CI841">
        <f>'Grid_Requirement'!CF3</f>
        <v/>
      </c>
      <c r="CJ841">
        <f>'Grid_Requirement'!CG3</f>
        <v/>
      </c>
      <c r="CK841">
        <f>'Grid_Requirement'!CH3</f>
        <v/>
      </c>
      <c r="CL841">
        <f>'Grid_Requirement'!CI3</f>
        <v/>
      </c>
      <c r="CM841">
        <f>'Grid_Requirement'!CJ3</f>
        <v/>
      </c>
      <c r="CN841">
        <f>'Grid_Requirement'!CK3</f>
        <v/>
      </c>
      <c r="CO841">
        <f>'Grid_Requirement'!CL3</f>
        <v/>
      </c>
      <c r="CP841">
        <f>'Grid_Requirement'!CM3</f>
        <v/>
      </c>
      <c r="CQ841">
        <f>'Grid_Requirement'!CN3</f>
        <v/>
      </c>
      <c r="CR841">
        <f>'Grid_Requirement'!CO3</f>
        <v/>
      </c>
      <c r="CS841">
        <f>'Grid_Requirement'!CP3</f>
        <v/>
      </c>
      <c r="CT841">
        <f>'Grid_Requirement'!CQ3</f>
        <v/>
      </c>
      <c r="CU841">
        <f>'Grid_Requirement'!CR3</f>
        <v/>
      </c>
      <c r="CV841">
        <f>'Grid_Requirement'!CS3</f>
        <v/>
      </c>
      <c r="CW841">
        <f>'Grid_Requirement'!CT3</f>
        <v/>
      </c>
      <c r="CX841">
        <f>'Grid_Requirement'!CU3</f>
        <v/>
      </c>
      <c r="CY841">
        <f>'Grid_Requirement'!CV3</f>
        <v/>
      </c>
      <c r="CZ841">
        <f>'Grid_Requirement'!CW3</f>
        <v/>
      </c>
      <c r="DA841">
        <f>'Grid_Requirement'!CX3</f>
        <v/>
      </c>
      <c r="DB841">
        <f>'Grid_Requirement'!CY3</f>
        <v/>
      </c>
      <c r="DC841">
        <f>'Grid_Requirement'!CZ3</f>
        <v/>
      </c>
      <c r="DD841">
        <f>'Grid_Requirement'!DA3</f>
        <v/>
      </c>
    </row>
    <row r="842">
      <c r="B842" t="inlineStr">
        <is>
          <t>TTAF在庫(実績,kg)</t>
        </is>
      </c>
      <c r="D842">
        <f>IFERROR(INDEX(E842:DD842,$F$1),"")</f>
        <v/>
      </c>
      <c r="E842">
        <f>IFERROR(SUMIFS(T_TTAFStock[TTAF_Qty],T_TTAFStock[RM_Code],$A826,T_TTAFStock[WeekIndex],1),"")</f>
        <v/>
      </c>
      <c r="F842">
        <f>IFERROR(SUMIFS(T_TTAFStock[TTAF_Qty],T_TTAFStock[RM_Code],$A826,T_TTAFStock[WeekIndex],2),"")</f>
        <v/>
      </c>
      <c r="G842">
        <f>IFERROR(SUMIFS(T_TTAFStock[TTAF_Qty],T_TTAFStock[RM_Code],$A826,T_TTAFStock[WeekIndex],3),"")</f>
        <v/>
      </c>
      <c r="H842">
        <f>IFERROR(SUMIFS(T_TTAFStock[TTAF_Qty],T_TTAFStock[RM_Code],$A826,T_TTAFStock[WeekIndex],4),"")</f>
        <v/>
      </c>
      <c r="I842">
        <f>IFERROR(SUMIFS(T_TTAFStock[TTAF_Qty],T_TTAFStock[RM_Code],$A826,T_TTAFStock[WeekIndex],5),"")</f>
        <v/>
      </c>
      <c r="J842">
        <f>IFERROR(SUMIFS(T_TTAFStock[TTAF_Qty],T_TTAFStock[RM_Code],$A826,T_TTAFStock[WeekIndex],6),"")</f>
        <v/>
      </c>
      <c r="K842">
        <f>IFERROR(SUMIFS(T_TTAFStock[TTAF_Qty],T_TTAFStock[RM_Code],$A826,T_TTAFStock[WeekIndex],7),"")</f>
        <v/>
      </c>
      <c r="L842">
        <f>IFERROR(SUMIFS(T_TTAFStock[TTAF_Qty],T_TTAFStock[RM_Code],$A826,T_TTAFStock[WeekIndex],8),"")</f>
        <v/>
      </c>
      <c r="M842">
        <f>IFERROR(SUMIFS(T_TTAFStock[TTAF_Qty],T_TTAFStock[RM_Code],$A826,T_TTAFStock[WeekIndex],9),"")</f>
        <v/>
      </c>
      <c r="N842">
        <f>IFERROR(SUMIFS(T_TTAFStock[TTAF_Qty],T_TTAFStock[RM_Code],$A826,T_TTAFStock[WeekIndex],10),"")</f>
        <v/>
      </c>
      <c r="O842">
        <f>IFERROR(SUMIFS(T_TTAFStock[TTAF_Qty],T_TTAFStock[RM_Code],$A826,T_TTAFStock[WeekIndex],11),"")</f>
        <v/>
      </c>
      <c r="P842">
        <f>IFERROR(SUMIFS(T_TTAFStock[TTAF_Qty],T_TTAFStock[RM_Code],$A826,T_TTAFStock[WeekIndex],12),"")</f>
        <v/>
      </c>
      <c r="Q842">
        <f>IFERROR(SUMIFS(T_TTAFStock[TTAF_Qty],T_TTAFStock[RM_Code],$A826,T_TTAFStock[WeekIndex],13),"")</f>
        <v/>
      </c>
      <c r="R842">
        <f>IFERROR(SUMIFS(T_TTAFStock[TTAF_Qty],T_TTAFStock[RM_Code],$A826,T_TTAFStock[WeekIndex],14),"")</f>
        <v/>
      </c>
      <c r="S842">
        <f>IFERROR(SUMIFS(T_TTAFStock[TTAF_Qty],T_TTAFStock[RM_Code],$A826,T_TTAFStock[WeekIndex],15),"")</f>
        <v/>
      </c>
      <c r="T842">
        <f>IFERROR(SUMIFS(T_TTAFStock[TTAF_Qty],T_TTAFStock[RM_Code],$A826,T_TTAFStock[WeekIndex],16),"")</f>
        <v/>
      </c>
      <c r="U842">
        <f>IFERROR(SUMIFS(T_TTAFStock[TTAF_Qty],T_TTAFStock[RM_Code],$A826,T_TTAFStock[WeekIndex],17),"")</f>
        <v/>
      </c>
      <c r="V842">
        <f>IFERROR(SUMIFS(T_TTAFStock[TTAF_Qty],T_TTAFStock[RM_Code],$A826,T_TTAFStock[WeekIndex],18),"")</f>
        <v/>
      </c>
      <c r="W842">
        <f>IFERROR(SUMIFS(T_TTAFStock[TTAF_Qty],T_TTAFStock[RM_Code],$A826,T_TTAFStock[WeekIndex],19),"")</f>
        <v/>
      </c>
      <c r="X842">
        <f>IFERROR(SUMIFS(T_TTAFStock[TTAF_Qty],T_TTAFStock[RM_Code],$A826,T_TTAFStock[WeekIndex],20),"")</f>
        <v/>
      </c>
      <c r="Y842">
        <f>IFERROR(SUMIFS(T_TTAFStock[TTAF_Qty],T_TTAFStock[RM_Code],$A826,T_TTAFStock[WeekIndex],21),"")</f>
        <v/>
      </c>
      <c r="Z842">
        <f>IFERROR(SUMIFS(T_TTAFStock[TTAF_Qty],T_TTAFStock[RM_Code],$A826,T_TTAFStock[WeekIndex],22),"")</f>
        <v/>
      </c>
      <c r="AA842">
        <f>IFERROR(SUMIFS(T_TTAFStock[TTAF_Qty],T_TTAFStock[RM_Code],$A826,T_TTAFStock[WeekIndex],23),"")</f>
        <v/>
      </c>
      <c r="AB842">
        <f>IFERROR(SUMIFS(T_TTAFStock[TTAF_Qty],T_TTAFStock[RM_Code],$A826,T_TTAFStock[WeekIndex],24),"")</f>
        <v/>
      </c>
      <c r="AC842">
        <f>IFERROR(SUMIFS(T_TTAFStock[TTAF_Qty],T_TTAFStock[RM_Code],$A826,T_TTAFStock[WeekIndex],25),"")</f>
        <v/>
      </c>
      <c r="AD842">
        <f>IFERROR(SUMIFS(T_TTAFStock[TTAF_Qty],T_TTAFStock[RM_Code],$A826,T_TTAFStock[WeekIndex],26),"")</f>
        <v/>
      </c>
      <c r="AE842">
        <f>IFERROR(SUMIFS(T_TTAFStock[TTAF_Qty],T_TTAFStock[RM_Code],$A826,T_TTAFStock[WeekIndex],27),"")</f>
        <v/>
      </c>
      <c r="AF842">
        <f>IFERROR(SUMIFS(T_TTAFStock[TTAF_Qty],T_TTAFStock[RM_Code],$A826,T_TTAFStock[WeekIndex],28),"")</f>
        <v/>
      </c>
      <c r="AG842">
        <f>IFERROR(SUMIFS(T_TTAFStock[TTAF_Qty],T_TTAFStock[RM_Code],$A826,T_TTAFStock[WeekIndex],29),"")</f>
        <v/>
      </c>
      <c r="AH842">
        <f>IFERROR(SUMIFS(T_TTAFStock[TTAF_Qty],T_TTAFStock[RM_Code],$A826,T_TTAFStock[WeekIndex],30),"")</f>
        <v/>
      </c>
      <c r="AI842">
        <f>IFERROR(SUMIFS(T_TTAFStock[TTAF_Qty],T_TTAFStock[RM_Code],$A826,T_TTAFStock[WeekIndex],31),"")</f>
        <v/>
      </c>
      <c r="AJ842">
        <f>IFERROR(SUMIFS(T_TTAFStock[TTAF_Qty],T_TTAFStock[RM_Code],$A826,T_TTAFStock[WeekIndex],32),"")</f>
        <v/>
      </c>
      <c r="AK842">
        <f>IFERROR(SUMIFS(T_TTAFStock[TTAF_Qty],T_TTAFStock[RM_Code],$A826,T_TTAFStock[WeekIndex],33),"")</f>
        <v/>
      </c>
      <c r="AL842">
        <f>IFERROR(SUMIFS(T_TTAFStock[TTAF_Qty],T_TTAFStock[RM_Code],$A826,T_TTAFStock[WeekIndex],34),"")</f>
        <v/>
      </c>
      <c r="AM842">
        <f>IFERROR(SUMIFS(T_TTAFStock[TTAF_Qty],T_TTAFStock[RM_Code],$A826,T_TTAFStock[WeekIndex],35),"")</f>
        <v/>
      </c>
      <c r="AN842">
        <f>IFERROR(SUMIFS(T_TTAFStock[TTAF_Qty],T_TTAFStock[RM_Code],$A826,T_TTAFStock[WeekIndex],36),"")</f>
        <v/>
      </c>
      <c r="AO842">
        <f>IFERROR(SUMIFS(T_TTAFStock[TTAF_Qty],T_TTAFStock[RM_Code],$A826,T_TTAFStock[WeekIndex],37),"")</f>
        <v/>
      </c>
      <c r="AP842">
        <f>IFERROR(SUMIFS(T_TTAFStock[TTAF_Qty],T_TTAFStock[RM_Code],$A826,T_TTAFStock[WeekIndex],38),"")</f>
        <v/>
      </c>
      <c r="AQ842">
        <f>IFERROR(SUMIFS(T_TTAFStock[TTAF_Qty],T_TTAFStock[RM_Code],$A826,T_TTAFStock[WeekIndex],39),"")</f>
        <v/>
      </c>
      <c r="AR842">
        <f>IFERROR(SUMIFS(T_TTAFStock[TTAF_Qty],T_TTAFStock[RM_Code],$A826,T_TTAFStock[WeekIndex],40),"")</f>
        <v/>
      </c>
      <c r="AS842">
        <f>IFERROR(SUMIFS(T_TTAFStock[TTAF_Qty],T_TTAFStock[RM_Code],$A826,T_TTAFStock[WeekIndex],41),"")</f>
        <v/>
      </c>
      <c r="AT842">
        <f>IFERROR(SUMIFS(T_TTAFStock[TTAF_Qty],T_TTAFStock[RM_Code],$A826,T_TTAFStock[WeekIndex],42),"")</f>
        <v/>
      </c>
      <c r="AU842">
        <f>IFERROR(SUMIFS(T_TTAFStock[TTAF_Qty],T_TTAFStock[RM_Code],$A826,T_TTAFStock[WeekIndex],43),"")</f>
        <v/>
      </c>
      <c r="AV842">
        <f>IFERROR(SUMIFS(T_TTAFStock[TTAF_Qty],T_TTAFStock[RM_Code],$A826,T_TTAFStock[WeekIndex],44),"")</f>
        <v/>
      </c>
      <c r="AW842">
        <f>IFERROR(SUMIFS(T_TTAFStock[TTAF_Qty],T_TTAFStock[RM_Code],$A826,T_TTAFStock[WeekIndex],45),"")</f>
        <v/>
      </c>
      <c r="AX842">
        <f>IFERROR(SUMIFS(T_TTAFStock[TTAF_Qty],T_TTAFStock[RM_Code],$A826,T_TTAFStock[WeekIndex],46),"")</f>
        <v/>
      </c>
      <c r="AY842">
        <f>IFERROR(SUMIFS(T_TTAFStock[TTAF_Qty],T_TTAFStock[RM_Code],$A826,T_TTAFStock[WeekIndex],47),"")</f>
        <v/>
      </c>
      <c r="AZ842">
        <f>IFERROR(SUMIFS(T_TTAFStock[TTAF_Qty],T_TTAFStock[RM_Code],$A826,T_TTAFStock[WeekIndex],48),"")</f>
        <v/>
      </c>
      <c r="BA842">
        <f>IFERROR(SUMIFS(T_TTAFStock[TTAF_Qty],T_TTAFStock[RM_Code],$A826,T_TTAFStock[WeekIndex],49),"")</f>
        <v/>
      </c>
      <c r="BB842">
        <f>IFERROR(SUMIFS(T_TTAFStock[TTAF_Qty],T_TTAFStock[RM_Code],$A826,T_TTAFStock[WeekIndex],50),"")</f>
        <v/>
      </c>
      <c r="BC842">
        <f>IFERROR(SUMIFS(T_TTAFStock[TTAF_Qty],T_TTAFStock[RM_Code],$A826,T_TTAFStock[WeekIndex],51),"")</f>
        <v/>
      </c>
      <c r="BD842">
        <f>IFERROR(SUMIFS(T_TTAFStock[TTAF_Qty],T_TTAFStock[RM_Code],$A826,T_TTAFStock[WeekIndex],52),"")</f>
        <v/>
      </c>
      <c r="BE842">
        <f>IFERROR(SUMIFS(T_TTAFStock[TTAF_Qty],T_TTAFStock[RM_Code],$A826,T_TTAFStock[WeekIndex],53),"")</f>
        <v/>
      </c>
      <c r="BF842">
        <f>IFERROR(SUMIFS(T_TTAFStock[TTAF_Qty],T_TTAFStock[RM_Code],$A826,T_TTAFStock[WeekIndex],54),"")</f>
        <v/>
      </c>
      <c r="BG842">
        <f>IFERROR(SUMIFS(T_TTAFStock[TTAF_Qty],T_TTAFStock[RM_Code],$A826,T_TTAFStock[WeekIndex],55),"")</f>
        <v/>
      </c>
      <c r="BH842">
        <f>IFERROR(SUMIFS(T_TTAFStock[TTAF_Qty],T_TTAFStock[RM_Code],$A826,T_TTAFStock[WeekIndex],56),"")</f>
        <v/>
      </c>
      <c r="BI842">
        <f>IFERROR(SUMIFS(T_TTAFStock[TTAF_Qty],T_TTAFStock[RM_Code],$A826,T_TTAFStock[WeekIndex],57),"")</f>
        <v/>
      </c>
      <c r="BJ842">
        <f>IFERROR(SUMIFS(T_TTAFStock[TTAF_Qty],T_TTAFStock[RM_Code],$A826,T_TTAFStock[WeekIndex],58),"")</f>
        <v/>
      </c>
      <c r="BK842">
        <f>IFERROR(SUMIFS(T_TTAFStock[TTAF_Qty],T_TTAFStock[RM_Code],$A826,T_TTAFStock[WeekIndex],59),"")</f>
        <v/>
      </c>
      <c r="BL842">
        <f>IFERROR(SUMIFS(T_TTAFStock[TTAF_Qty],T_TTAFStock[RM_Code],$A826,T_TTAFStock[WeekIndex],60),"")</f>
        <v/>
      </c>
      <c r="BM842">
        <f>IFERROR(SUMIFS(T_TTAFStock[TTAF_Qty],T_TTAFStock[RM_Code],$A826,T_TTAFStock[WeekIndex],61),"")</f>
        <v/>
      </c>
      <c r="BN842">
        <f>IFERROR(SUMIFS(T_TTAFStock[TTAF_Qty],T_TTAFStock[RM_Code],$A826,T_TTAFStock[WeekIndex],62),"")</f>
        <v/>
      </c>
      <c r="BO842">
        <f>IFERROR(SUMIFS(T_TTAFStock[TTAF_Qty],T_TTAFStock[RM_Code],$A826,T_TTAFStock[WeekIndex],63),"")</f>
        <v/>
      </c>
      <c r="BP842">
        <f>IFERROR(SUMIFS(T_TTAFStock[TTAF_Qty],T_TTAFStock[RM_Code],$A826,T_TTAFStock[WeekIndex],64),"")</f>
        <v/>
      </c>
      <c r="BQ842">
        <f>IFERROR(SUMIFS(T_TTAFStock[TTAF_Qty],T_TTAFStock[RM_Code],$A826,T_TTAFStock[WeekIndex],65),"")</f>
        <v/>
      </c>
      <c r="BR842">
        <f>IFERROR(SUMIFS(T_TTAFStock[TTAF_Qty],T_TTAFStock[RM_Code],$A826,T_TTAFStock[WeekIndex],66),"")</f>
        <v/>
      </c>
      <c r="BS842">
        <f>IFERROR(SUMIFS(T_TTAFStock[TTAF_Qty],T_TTAFStock[RM_Code],$A826,T_TTAFStock[WeekIndex],67),"")</f>
        <v/>
      </c>
      <c r="BT842">
        <f>IFERROR(SUMIFS(T_TTAFStock[TTAF_Qty],T_TTAFStock[RM_Code],$A826,T_TTAFStock[WeekIndex],68),"")</f>
        <v/>
      </c>
      <c r="BU842">
        <f>IFERROR(SUMIFS(T_TTAFStock[TTAF_Qty],T_TTAFStock[RM_Code],$A826,T_TTAFStock[WeekIndex],69),"")</f>
        <v/>
      </c>
      <c r="BV842">
        <f>IFERROR(SUMIFS(T_TTAFStock[TTAF_Qty],T_TTAFStock[RM_Code],$A826,T_TTAFStock[WeekIndex],70),"")</f>
        <v/>
      </c>
      <c r="BW842">
        <f>IFERROR(SUMIFS(T_TTAFStock[TTAF_Qty],T_TTAFStock[RM_Code],$A826,T_TTAFStock[WeekIndex],71),"")</f>
        <v/>
      </c>
      <c r="BX842">
        <f>IFERROR(SUMIFS(T_TTAFStock[TTAF_Qty],T_TTAFStock[RM_Code],$A826,T_TTAFStock[WeekIndex],72),"")</f>
        <v/>
      </c>
      <c r="BY842">
        <f>IFERROR(SUMIFS(T_TTAFStock[TTAF_Qty],T_TTAFStock[RM_Code],$A826,T_TTAFStock[WeekIndex],73),"")</f>
        <v/>
      </c>
      <c r="BZ842">
        <f>IFERROR(SUMIFS(T_TTAFStock[TTAF_Qty],T_TTAFStock[RM_Code],$A826,T_TTAFStock[WeekIndex],74),"")</f>
        <v/>
      </c>
      <c r="CA842">
        <f>IFERROR(SUMIFS(T_TTAFStock[TTAF_Qty],T_TTAFStock[RM_Code],$A826,T_TTAFStock[WeekIndex],75),"")</f>
        <v/>
      </c>
      <c r="CB842">
        <f>IFERROR(SUMIFS(T_TTAFStock[TTAF_Qty],T_TTAFStock[RM_Code],$A826,T_TTAFStock[WeekIndex],76),"")</f>
        <v/>
      </c>
      <c r="CC842">
        <f>IFERROR(SUMIFS(T_TTAFStock[TTAF_Qty],T_TTAFStock[RM_Code],$A826,T_TTAFStock[WeekIndex],77),"")</f>
        <v/>
      </c>
      <c r="CD842">
        <f>IFERROR(SUMIFS(T_TTAFStock[TTAF_Qty],T_TTAFStock[RM_Code],$A826,T_TTAFStock[WeekIndex],78),"")</f>
        <v/>
      </c>
      <c r="CE842">
        <f>IFERROR(SUMIFS(T_TTAFStock[TTAF_Qty],T_TTAFStock[RM_Code],$A826,T_TTAFStock[WeekIndex],79),"")</f>
        <v/>
      </c>
      <c r="CF842">
        <f>IFERROR(SUMIFS(T_TTAFStock[TTAF_Qty],T_TTAFStock[RM_Code],$A826,T_TTAFStock[WeekIndex],80),"")</f>
        <v/>
      </c>
      <c r="CG842">
        <f>IFERROR(SUMIFS(T_TTAFStock[TTAF_Qty],T_TTAFStock[RM_Code],$A826,T_TTAFStock[WeekIndex],81),"")</f>
        <v/>
      </c>
      <c r="CH842">
        <f>IFERROR(SUMIFS(T_TTAFStock[TTAF_Qty],T_TTAFStock[RM_Code],$A826,T_TTAFStock[WeekIndex],82),"")</f>
        <v/>
      </c>
      <c r="CI842">
        <f>IFERROR(SUMIFS(T_TTAFStock[TTAF_Qty],T_TTAFStock[RM_Code],$A826,T_TTAFStock[WeekIndex],83),"")</f>
        <v/>
      </c>
      <c r="CJ842">
        <f>IFERROR(SUMIFS(T_TTAFStock[TTAF_Qty],T_TTAFStock[RM_Code],$A826,T_TTAFStock[WeekIndex],84),"")</f>
        <v/>
      </c>
      <c r="CK842">
        <f>IFERROR(SUMIFS(T_TTAFStock[TTAF_Qty],T_TTAFStock[RM_Code],$A826,T_TTAFStock[WeekIndex],85),"")</f>
        <v/>
      </c>
      <c r="CL842">
        <f>IFERROR(SUMIFS(T_TTAFStock[TTAF_Qty],T_TTAFStock[RM_Code],$A826,T_TTAFStock[WeekIndex],86),"")</f>
        <v/>
      </c>
      <c r="CM842">
        <f>IFERROR(SUMIFS(T_TTAFStock[TTAF_Qty],T_TTAFStock[RM_Code],$A826,T_TTAFStock[WeekIndex],87),"")</f>
        <v/>
      </c>
      <c r="CN842">
        <f>IFERROR(SUMIFS(T_TTAFStock[TTAF_Qty],T_TTAFStock[RM_Code],$A826,T_TTAFStock[WeekIndex],88),"")</f>
        <v/>
      </c>
      <c r="CO842">
        <f>IFERROR(SUMIFS(T_TTAFStock[TTAF_Qty],T_TTAFStock[RM_Code],$A826,T_TTAFStock[WeekIndex],89),"")</f>
        <v/>
      </c>
      <c r="CP842">
        <f>IFERROR(SUMIFS(T_TTAFStock[TTAF_Qty],T_TTAFStock[RM_Code],$A826,T_TTAFStock[WeekIndex],90),"")</f>
        <v/>
      </c>
      <c r="CQ842">
        <f>IFERROR(SUMIFS(T_TTAFStock[TTAF_Qty],T_TTAFStock[RM_Code],$A826,T_TTAFStock[WeekIndex],91),"")</f>
        <v/>
      </c>
      <c r="CR842">
        <f>IFERROR(SUMIFS(T_TTAFStock[TTAF_Qty],T_TTAFStock[RM_Code],$A826,T_TTAFStock[WeekIndex],92),"")</f>
        <v/>
      </c>
      <c r="CS842">
        <f>IFERROR(SUMIFS(T_TTAFStock[TTAF_Qty],T_TTAFStock[RM_Code],$A826,T_TTAFStock[WeekIndex],93),"")</f>
        <v/>
      </c>
      <c r="CT842">
        <f>IFERROR(SUMIFS(T_TTAFStock[TTAF_Qty],T_TTAFStock[RM_Code],$A826,T_TTAFStock[WeekIndex],94),"")</f>
        <v/>
      </c>
      <c r="CU842">
        <f>IFERROR(SUMIFS(T_TTAFStock[TTAF_Qty],T_TTAFStock[RM_Code],$A826,T_TTAFStock[WeekIndex],95),"")</f>
        <v/>
      </c>
      <c r="CV842">
        <f>IFERROR(SUMIFS(T_TTAFStock[TTAF_Qty],T_TTAFStock[RM_Code],$A826,T_TTAFStock[WeekIndex],96),"")</f>
        <v/>
      </c>
      <c r="CW842">
        <f>IFERROR(SUMIFS(T_TTAFStock[TTAF_Qty],T_TTAFStock[RM_Code],$A826,T_TTAFStock[WeekIndex],97),"")</f>
        <v/>
      </c>
      <c r="CX842">
        <f>IFERROR(SUMIFS(T_TTAFStock[TTAF_Qty],T_TTAFStock[RM_Code],$A826,T_TTAFStock[WeekIndex],98),"")</f>
        <v/>
      </c>
      <c r="CY842">
        <f>IFERROR(SUMIFS(T_TTAFStock[TTAF_Qty],T_TTAFStock[RM_Code],$A826,T_TTAFStock[WeekIndex],99),"")</f>
        <v/>
      </c>
      <c r="CZ842">
        <f>IFERROR(SUMIFS(T_TTAFStock[TTAF_Qty],T_TTAFStock[RM_Code],$A826,T_TTAFStock[WeekIndex],100),"")</f>
        <v/>
      </c>
      <c r="DA842">
        <f>IFERROR(SUMIFS(T_TTAFStock[TTAF_Qty],T_TTAFStock[RM_Code],$A826,T_TTAFStock[WeekIndex],101),"")</f>
        <v/>
      </c>
      <c r="DB842">
        <f>IFERROR(SUMIFS(T_TTAFStock[TTAF_Qty],T_TTAFStock[RM_Code],$A826,T_TTAFStock[WeekIndex],102),"")</f>
        <v/>
      </c>
      <c r="DC842">
        <f>IFERROR(SUMIFS(T_TTAFStock[TTAF_Qty],T_TTAFStock[RM_Code],$A826,T_TTAFStock[WeekIndex],103),"")</f>
        <v/>
      </c>
      <c r="DD842">
        <f>IFERROR(SUMIFS(T_TTAFStock[TTAF_Qty],T_TTAFStock[RM_Code],$A826,T_TTAFStock[WeekIndex],104),"")</f>
        <v/>
      </c>
    </row>
    <row r="843">
      <c r="B843" t="inlineStr">
        <is>
          <t>自社在庫(実績,kg)</t>
        </is>
      </c>
      <c r="D843">
        <f>IFERROR(INDEX(E843:DD843,$F$1),"")</f>
        <v/>
      </c>
      <c r="E843">
        <f>IFERROR(SUMIFS(T_SelfStock[Self_Qty],T_SelfStock[RM_Code],$A826,T_SelfStock[WeekIndex],1),"")</f>
        <v/>
      </c>
      <c r="F843">
        <f>IFERROR(SUMIFS(T_SelfStock[Self_Qty],T_SelfStock[RM_Code],$A826,T_SelfStock[WeekIndex],2),"")</f>
        <v/>
      </c>
      <c r="G843">
        <f>IFERROR(SUMIFS(T_SelfStock[Self_Qty],T_SelfStock[RM_Code],$A826,T_SelfStock[WeekIndex],3),"")</f>
        <v/>
      </c>
      <c r="H843">
        <f>IFERROR(SUMIFS(T_SelfStock[Self_Qty],T_SelfStock[RM_Code],$A826,T_SelfStock[WeekIndex],4),"")</f>
        <v/>
      </c>
      <c r="I843">
        <f>IFERROR(SUMIFS(T_SelfStock[Self_Qty],T_SelfStock[RM_Code],$A826,T_SelfStock[WeekIndex],5),"")</f>
        <v/>
      </c>
      <c r="J843">
        <f>IFERROR(SUMIFS(T_SelfStock[Self_Qty],T_SelfStock[RM_Code],$A826,T_SelfStock[WeekIndex],6),"")</f>
        <v/>
      </c>
      <c r="K843">
        <f>IFERROR(SUMIFS(T_SelfStock[Self_Qty],T_SelfStock[RM_Code],$A826,T_SelfStock[WeekIndex],7),"")</f>
        <v/>
      </c>
      <c r="L843">
        <f>IFERROR(SUMIFS(T_SelfStock[Self_Qty],T_SelfStock[RM_Code],$A826,T_SelfStock[WeekIndex],8),"")</f>
        <v/>
      </c>
      <c r="M843">
        <f>IFERROR(SUMIFS(T_SelfStock[Self_Qty],T_SelfStock[RM_Code],$A826,T_SelfStock[WeekIndex],9),"")</f>
        <v/>
      </c>
      <c r="N843">
        <f>IFERROR(SUMIFS(T_SelfStock[Self_Qty],T_SelfStock[RM_Code],$A826,T_SelfStock[WeekIndex],10),"")</f>
        <v/>
      </c>
      <c r="O843">
        <f>IFERROR(SUMIFS(T_SelfStock[Self_Qty],T_SelfStock[RM_Code],$A826,T_SelfStock[WeekIndex],11),"")</f>
        <v/>
      </c>
      <c r="P843">
        <f>IFERROR(SUMIFS(T_SelfStock[Self_Qty],T_SelfStock[RM_Code],$A826,T_SelfStock[WeekIndex],12),"")</f>
        <v/>
      </c>
      <c r="Q843">
        <f>IFERROR(SUMIFS(T_SelfStock[Self_Qty],T_SelfStock[RM_Code],$A826,T_SelfStock[WeekIndex],13),"")</f>
        <v/>
      </c>
      <c r="R843">
        <f>IFERROR(SUMIFS(T_SelfStock[Self_Qty],T_SelfStock[RM_Code],$A826,T_SelfStock[WeekIndex],14),"")</f>
        <v/>
      </c>
      <c r="S843">
        <f>IFERROR(SUMIFS(T_SelfStock[Self_Qty],T_SelfStock[RM_Code],$A826,T_SelfStock[WeekIndex],15),"")</f>
        <v/>
      </c>
      <c r="T843">
        <f>IFERROR(SUMIFS(T_SelfStock[Self_Qty],T_SelfStock[RM_Code],$A826,T_SelfStock[WeekIndex],16),"")</f>
        <v/>
      </c>
      <c r="U843">
        <f>IFERROR(SUMIFS(T_SelfStock[Self_Qty],T_SelfStock[RM_Code],$A826,T_SelfStock[WeekIndex],17),"")</f>
        <v/>
      </c>
      <c r="V843">
        <f>IFERROR(SUMIFS(T_SelfStock[Self_Qty],T_SelfStock[RM_Code],$A826,T_SelfStock[WeekIndex],18),"")</f>
        <v/>
      </c>
      <c r="W843">
        <f>IFERROR(SUMIFS(T_SelfStock[Self_Qty],T_SelfStock[RM_Code],$A826,T_SelfStock[WeekIndex],19),"")</f>
        <v/>
      </c>
      <c r="X843">
        <f>IFERROR(SUMIFS(T_SelfStock[Self_Qty],T_SelfStock[RM_Code],$A826,T_SelfStock[WeekIndex],20),"")</f>
        <v/>
      </c>
      <c r="Y843">
        <f>IFERROR(SUMIFS(T_SelfStock[Self_Qty],T_SelfStock[RM_Code],$A826,T_SelfStock[WeekIndex],21),"")</f>
        <v/>
      </c>
      <c r="Z843">
        <f>IFERROR(SUMIFS(T_SelfStock[Self_Qty],T_SelfStock[RM_Code],$A826,T_SelfStock[WeekIndex],22),"")</f>
        <v/>
      </c>
      <c r="AA843">
        <f>IFERROR(SUMIFS(T_SelfStock[Self_Qty],T_SelfStock[RM_Code],$A826,T_SelfStock[WeekIndex],23),"")</f>
        <v/>
      </c>
      <c r="AB843">
        <f>IFERROR(SUMIFS(T_SelfStock[Self_Qty],T_SelfStock[RM_Code],$A826,T_SelfStock[WeekIndex],24),"")</f>
        <v/>
      </c>
      <c r="AC843">
        <f>IFERROR(SUMIFS(T_SelfStock[Self_Qty],T_SelfStock[RM_Code],$A826,T_SelfStock[WeekIndex],25),"")</f>
        <v/>
      </c>
      <c r="AD843">
        <f>IFERROR(SUMIFS(T_SelfStock[Self_Qty],T_SelfStock[RM_Code],$A826,T_SelfStock[WeekIndex],26),"")</f>
        <v/>
      </c>
      <c r="AE843">
        <f>IFERROR(SUMIFS(T_SelfStock[Self_Qty],T_SelfStock[RM_Code],$A826,T_SelfStock[WeekIndex],27),"")</f>
        <v/>
      </c>
      <c r="AF843">
        <f>IFERROR(SUMIFS(T_SelfStock[Self_Qty],T_SelfStock[RM_Code],$A826,T_SelfStock[WeekIndex],28),"")</f>
        <v/>
      </c>
      <c r="AG843">
        <f>IFERROR(SUMIFS(T_SelfStock[Self_Qty],T_SelfStock[RM_Code],$A826,T_SelfStock[WeekIndex],29),"")</f>
        <v/>
      </c>
      <c r="AH843">
        <f>IFERROR(SUMIFS(T_SelfStock[Self_Qty],T_SelfStock[RM_Code],$A826,T_SelfStock[WeekIndex],30),"")</f>
        <v/>
      </c>
      <c r="AI843">
        <f>IFERROR(SUMIFS(T_SelfStock[Self_Qty],T_SelfStock[RM_Code],$A826,T_SelfStock[WeekIndex],31),"")</f>
        <v/>
      </c>
      <c r="AJ843">
        <f>IFERROR(SUMIFS(T_SelfStock[Self_Qty],T_SelfStock[RM_Code],$A826,T_SelfStock[WeekIndex],32),"")</f>
        <v/>
      </c>
      <c r="AK843">
        <f>IFERROR(SUMIFS(T_SelfStock[Self_Qty],T_SelfStock[RM_Code],$A826,T_SelfStock[WeekIndex],33),"")</f>
        <v/>
      </c>
      <c r="AL843">
        <f>IFERROR(SUMIFS(T_SelfStock[Self_Qty],T_SelfStock[RM_Code],$A826,T_SelfStock[WeekIndex],34),"")</f>
        <v/>
      </c>
      <c r="AM843">
        <f>IFERROR(SUMIFS(T_SelfStock[Self_Qty],T_SelfStock[RM_Code],$A826,T_SelfStock[WeekIndex],35),"")</f>
        <v/>
      </c>
      <c r="AN843">
        <f>IFERROR(SUMIFS(T_SelfStock[Self_Qty],T_SelfStock[RM_Code],$A826,T_SelfStock[WeekIndex],36),"")</f>
        <v/>
      </c>
      <c r="AO843">
        <f>IFERROR(SUMIFS(T_SelfStock[Self_Qty],T_SelfStock[RM_Code],$A826,T_SelfStock[WeekIndex],37),"")</f>
        <v/>
      </c>
      <c r="AP843">
        <f>IFERROR(SUMIFS(T_SelfStock[Self_Qty],T_SelfStock[RM_Code],$A826,T_SelfStock[WeekIndex],38),"")</f>
        <v/>
      </c>
      <c r="AQ843">
        <f>IFERROR(SUMIFS(T_SelfStock[Self_Qty],T_SelfStock[RM_Code],$A826,T_SelfStock[WeekIndex],39),"")</f>
        <v/>
      </c>
      <c r="AR843">
        <f>IFERROR(SUMIFS(T_SelfStock[Self_Qty],T_SelfStock[RM_Code],$A826,T_SelfStock[WeekIndex],40),"")</f>
        <v/>
      </c>
      <c r="AS843">
        <f>IFERROR(SUMIFS(T_SelfStock[Self_Qty],T_SelfStock[RM_Code],$A826,T_SelfStock[WeekIndex],41),"")</f>
        <v/>
      </c>
      <c r="AT843">
        <f>IFERROR(SUMIFS(T_SelfStock[Self_Qty],T_SelfStock[RM_Code],$A826,T_SelfStock[WeekIndex],42),"")</f>
        <v/>
      </c>
      <c r="AU843">
        <f>IFERROR(SUMIFS(T_SelfStock[Self_Qty],T_SelfStock[RM_Code],$A826,T_SelfStock[WeekIndex],43),"")</f>
        <v/>
      </c>
      <c r="AV843">
        <f>IFERROR(SUMIFS(T_SelfStock[Self_Qty],T_SelfStock[RM_Code],$A826,T_SelfStock[WeekIndex],44),"")</f>
        <v/>
      </c>
      <c r="AW843">
        <f>IFERROR(SUMIFS(T_SelfStock[Self_Qty],T_SelfStock[RM_Code],$A826,T_SelfStock[WeekIndex],45),"")</f>
        <v/>
      </c>
      <c r="AX843">
        <f>IFERROR(SUMIFS(T_SelfStock[Self_Qty],T_SelfStock[RM_Code],$A826,T_SelfStock[WeekIndex],46),"")</f>
        <v/>
      </c>
      <c r="AY843">
        <f>IFERROR(SUMIFS(T_SelfStock[Self_Qty],T_SelfStock[RM_Code],$A826,T_SelfStock[WeekIndex],47),"")</f>
        <v/>
      </c>
      <c r="AZ843">
        <f>IFERROR(SUMIFS(T_SelfStock[Self_Qty],T_SelfStock[RM_Code],$A826,T_SelfStock[WeekIndex],48),"")</f>
        <v/>
      </c>
      <c r="BA843">
        <f>IFERROR(SUMIFS(T_SelfStock[Self_Qty],T_SelfStock[RM_Code],$A826,T_SelfStock[WeekIndex],49),"")</f>
        <v/>
      </c>
      <c r="BB843">
        <f>IFERROR(SUMIFS(T_SelfStock[Self_Qty],T_SelfStock[RM_Code],$A826,T_SelfStock[WeekIndex],50),"")</f>
        <v/>
      </c>
      <c r="BC843">
        <f>IFERROR(SUMIFS(T_SelfStock[Self_Qty],T_SelfStock[RM_Code],$A826,T_SelfStock[WeekIndex],51),"")</f>
        <v/>
      </c>
      <c r="BD843">
        <f>IFERROR(SUMIFS(T_SelfStock[Self_Qty],T_SelfStock[RM_Code],$A826,T_SelfStock[WeekIndex],52),"")</f>
        <v/>
      </c>
      <c r="BE843">
        <f>IFERROR(SUMIFS(T_SelfStock[Self_Qty],T_SelfStock[RM_Code],$A826,T_SelfStock[WeekIndex],53),"")</f>
        <v/>
      </c>
      <c r="BF843">
        <f>IFERROR(SUMIFS(T_SelfStock[Self_Qty],T_SelfStock[RM_Code],$A826,T_SelfStock[WeekIndex],54),"")</f>
        <v/>
      </c>
      <c r="BG843">
        <f>IFERROR(SUMIFS(T_SelfStock[Self_Qty],T_SelfStock[RM_Code],$A826,T_SelfStock[WeekIndex],55),"")</f>
        <v/>
      </c>
      <c r="BH843">
        <f>IFERROR(SUMIFS(T_SelfStock[Self_Qty],T_SelfStock[RM_Code],$A826,T_SelfStock[WeekIndex],56),"")</f>
        <v/>
      </c>
      <c r="BI843">
        <f>IFERROR(SUMIFS(T_SelfStock[Self_Qty],T_SelfStock[RM_Code],$A826,T_SelfStock[WeekIndex],57),"")</f>
        <v/>
      </c>
      <c r="BJ843">
        <f>IFERROR(SUMIFS(T_SelfStock[Self_Qty],T_SelfStock[RM_Code],$A826,T_SelfStock[WeekIndex],58),"")</f>
        <v/>
      </c>
      <c r="BK843">
        <f>IFERROR(SUMIFS(T_SelfStock[Self_Qty],T_SelfStock[RM_Code],$A826,T_SelfStock[WeekIndex],59),"")</f>
        <v/>
      </c>
      <c r="BL843">
        <f>IFERROR(SUMIFS(T_SelfStock[Self_Qty],T_SelfStock[RM_Code],$A826,T_SelfStock[WeekIndex],60),"")</f>
        <v/>
      </c>
      <c r="BM843">
        <f>IFERROR(SUMIFS(T_SelfStock[Self_Qty],T_SelfStock[RM_Code],$A826,T_SelfStock[WeekIndex],61),"")</f>
        <v/>
      </c>
      <c r="BN843">
        <f>IFERROR(SUMIFS(T_SelfStock[Self_Qty],T_SelfStock[RM_Code],$A826,T_SelfStock[WeekIndex],62),"")</f>
        <v/>
      </c>
      <c r="BO843">
        <f>IFERROR(SUMIFS(T_SelfStock[Self_Qty],T_SelfStock[RM_Code],$A826,T_SelfStock[WeekIndex],63),"")</f>
        <v/>
      </c>
      <c r="BP843">
        <f>IFERROR(SUMIFS(T_SelfStock[Self_Qty],T_SelfStock[RM_Code],$A826,T_SelfStock[WeekIndex],64),"")</f>
        <v/>
      </c>
      <c r="BQ843">
        <f>IFERROR(SUMIFS(T_SelfStock[Self_Qty],T_SelfStock[RM_Code],$A826,T_SelfStock[WeekIndex],65),"")</f>
        <v/>
      </c>
      <c r="BR843">
        <f>IFERROR(SUMIFS(T_SelfStock[Self_Qty],T_SelfStock[RM_Code],$A826,T_SelfStock[WeekIndex],66),"")</f>
        <v/>
      </c>
      <c r="BS843">
        <f>IFERROR(SUMIFS(T_SelfStock[Self_Qty],T_SelfStock[RM_Code],$A826,T_SelfStock[WeekIndex],67),"")</f>
        <v/>
      </c>
      <c r="BT843">
        <f>IFERROR(SUMIFS(T_SelfStock[Self_Qty],T_SelfStock[RM_Code],$A826,T_SelfStock[WeekIndex],68),"")</f>
        <v/>
      </c>
      <c r="BU843">
        <f>IFERROR(SUMIFS(T_SelfStock[Self_Qty],T_SelfStock[RM_Code],$A826,T_SelfStock[WeekIndex],69),"")</f>
        <v/>
      </c>
      <c r="BV843">
        <f>IFERROR(SUMIFS(T_SelfStock[Self_Qty],T_SelfStock[RM_Code],$A826,T_SelfStock[WeekIndex],70),"")</f>
        <v/>
      </c>
      <c r="BW843">
        <f>IFERROR(SUMIFS(T_SelfStock[Self_Qty],T_SelfStock[RM_Code],$A826,T_SelfStock[WeekIndex],71),"")</f>
        <v/>
      </c>
      <c r="BX843">
        <f>IFERROR(SUMIFS(T_SelfStock[Self_Qty],T_SelfStock[RM_Code],$A826,T_SelfStock[WeekIndex],72),"")</f>
        <v/>
      </c>
      <c r="BY843">
        <f>IFERROR(SUMIFS(T_SelfStock[Self_Qty],T_SelfStock[RM_Code],$A826,T_SelfStock[WeekIndex],73),"")</f>
        <v/>
      </c>
      <c r="BZ843">
        <f>IFERROR(SUMIFS(T_SelfStock[Self_Qty],T_SelfStock[RM_Code],$A826,T_SelfStock[WeekIndex],74),"")</f>
        <v/>
      </c>
      <c r="CA843">
        <f>IFERROR(SUMIFS(T_SelfStock[Self_Qty],T_SelfStock[RM_Code],$A826,T_SelfStock[WeekIndex],75),"")</f>
        <v/>
      </c>
      <c r="CB843">
        <f>IFERROR(SUMIFS(T_SelfStock[Self_Qty],T_SelfStock[RM_Code],$A826,T_SelfStock[WeekIndex],76),"")</f>
        <v/>
      </c>
      <c r="CC843">
        <f>IFERROR(SUMIFS(T_SelfStock[Self_Qty],T_SelfStock[RM_Code],$A826,T_SelfStock[WeekIndex],77),"")</f>
        <v/>
      </c>
      <c r="CD843">
        <f>IFERROR(SUMIFS(T_SelfStock[Self_Qty],T_SelfStock[RM_Code],$A826,T_SelfStock[WeekIndex],78),"")</f>
        <v/>
      </c>
      <c r="CE843">
        <f>IFERROR(SUMIFS(T_SelfStock[Self_Qty],T_SelfStock[RM_Code],$A826,T_SelfStock[WeekIndex],79),"")</f>
        <v/>
      </c>
      <c r="CF843">
        <f>IFERROR(SUMIFS(T_SelfStock[Self_Qty],T_SelfStock[RM_Code],$A826,T_SelfStock[WeekIndex],80),"")</f>
        <v/>
      </c>
      <c r="CG843">
        <f>IFERROR(SUMIFS(T_SelfStock[Self_Qty],T_SelfStock[RM_Code],$A826,T_SelfStock[WeekIndex],81),"")</f>
        <v/>
      </c>
      <c r="CH843">
        <f>IFERROR(SUMIFS(T_SelfStock[Self_Qty],T_SelfStock[RM_Code],$A826,T_SelfStock[WeekIndex],82),"")</f>
        <v/>
      </c>
      <c r="CI843">
        <f>IFERROR(SUMIFS(T_SelfStock[Self_Qty],T_SelfStock[RM_Code],$A826,T_SelfStock[WeekIndex],83),"")</f>
        <v/>
      </c>
      <c r="CJ843">
        <f>IFERROR(SUMIFS(T_SelfStock[Self_Qty],T_SelfStock[RM_Code],$A826,T_SelfStock[WeekIndex],84),"")</f>
        <v/>
      </c>
      <c r="CK843">
        <f>IFERROR(SUMIFS(T_SelfStock[Self_Qty],T_SelfStock[RM_Code],$A826,T_SelfStock[WeekIndex],85),"")</f>
        <v/>
      </c>
      <c r="CL843">
        <f>IFERROR(SUMIFS(T_SelfStock[Self_Qty],T_SelfStock[RM_Code],$A826,T_SelfStock[WeekIndex],86),"")</f>
        <v/>
      </c>
      <c r="CM843">
        <f>IFERROR(SUMIFS(T_SelfStock[Self_Qty],T_SelfStock[RM_Code],$A826,T_SelfStock[WeekIndex],87),"")</f>
        <v/>
      </c>
      <c r="CN843">
        <f>IFERROR(SUMIFS(T_SelfStock[Self_Qty],T_SelfStock[RM_Code],$A826,T_SelfStock[WeekIndex],88),"")</f>
        <v/>
      </c>
      <c r="CO843">
        <f>IFERROR(SUMIFS(T_SelfStock[Self_Qty],T_SelfStock[RM_Code],$A826,T_SelfStock[WeekIndex],89),"")</f>
        <v/>
      </c>
      <c r="CP843">
        <f>IFERROR(SUMIFS(T_SelfStock[Self_Qty],T_SelfStock[RM_Code],$A826,T_SelfStock[WeekIndex],90),"")</f>
        <v/>
      </c>
      <c r="CQ843">
        <f>IFERROR(SUMIFS(T_SelfStock[Self_Qty],T_SelfStock[RM_Code],$A826,T_SelfStock[WeekIndex],91),"")</f>
        <v/>
      </c>
      <c r="CR843">
        <f>IFERROR(SUMIFS(T_SelfStock[Self_Qty],T_SelfStock[RM_Code],$A826,T_SelfStock[WeekIndex],92),"")</f>
        <v/>
      </c>
      <c r="CS843">
        <f>IFERROR(SUMIFS(T_SelfStock[Self_Qty],T_SelfStock[RM_Code],$A826,T_SelfStock[WeekIndex],93),"")</f>
        <v/>
      </c>
      <c r="CT843">
        <f>IFERROR(SUMIFS(T_SelfStock[Self_Qty],T_SelfStock[RM_Code],$A826,T_SelfStock[WeekIndex],94),"")</f>
        <v/>
      </c>
      <c r="CU843">
        <f>IFERROR(SUMIFS(T_SelfStock[Self_Qty],T_SelfStock[RM_Code],$A826,T_SelfStock[WeekIndex],95),"")</f>
        <v/>
      </c>
      <c r="CV843">
        <f>IFERROR(SUMIFS(T_SelfStock[Self_Qty],T_SelfStock[RM_Code],$A826,T_SelfStock[WeekIndex],96),"")</f>
        <v/>
      </c>
      <c r="CW843">
        <f>IFERROR(SUMIFS(T_SelfStock[Self_Qty],T_SelfStock[RM_Code],$A826,T_SelfStock[WeekIndex],97),"")</f>
        <v/>
      </c>
      <c r="CX843">
        <f>IFERROR(SUMIFS(T_SelfStock[Self_Qty],T_SelfStock[RM_Code],$A826,T_SelfStock[WeekIndex],98),"")</f>
        <v/>
      </c>
      <c r="CY843">
        <f>IFERROR(SUMIFS(T_SelfStock[Self_Qty],T_SelfStock[RM_Code],$A826,T_SelfStock[WeekIndex],99),"")</f>
        <v/>
      </c>
      <c r="CZ843">
        <f>IFERROR(SUMIFS(T_SelfStock[Self_Qty],T_SelfStock[RM_Code],$A826,T_SelfStock[WeekIndex],100),"")</f>
        <v/>
      </c>
      <c r="DA843">
        <f>IFERROR(SUMIFS(T_SelfStock[Self_Qty],T_SelfStock[RM_Code],$A826,T_SelfStock[WeekIndex],101),"")</f>
        <v/>
      </c>
      <c r="DB843">
        <f>IFERROR(SUMIFS(T_SelfStock[Self_Qty],T_SelfStock[RM_Code],$A826,T_SelfStock[WeekIndex],102),"")</f>
        <v/>
      </c>
      <c r="DC843">
        <f>IFERROR(SUMIFS(T_SelfStock[Self_Qty],T_SelfStock[RM_Code],$A826,T_SelfStock[WeekIndex],103),"")</f>
        <v/>
      </c>
      <c r="DD843">
        <f>IFERROR(SUMIFS(T_SelfStock[Self_Qty],T_SelfStock[RM_Code],$A826,T_SelfStock[WeekIndex],104),"")</f>
        <v/>
      </c>
    </row>
    <row r="844">
      <c r="B844" s="4" t="inlineStr">
        <is>
          <t>合計在庫(週末時点,kg)</t>
        </is>
      </c>
      <c r="D844" s="24">
        <f>IFERROR(INDEX(E844:DD844,$F$1),"")</f>
        <v/>
      </c>
      <c r="E844">
        <f>'Grid_Stock'!B3</f>
        <v/>
      </c>
      <c r="F844">
        <f>'Grid_Stock'!C3</f>
        <v/>
      </c>
      <c r="G844">
        <f>'Grid_Stock'!D3</f>
        <v/>
      </c>
      <c r="H844">
        <f>'Grid_Stock'!E3</f>
        <v/>
      </c>
      <c r="I844">
        <f>'Grid_Stock'!F3</f>
        <v/>
      </c>
      <c r="J844">
        <f>'Grid_Stock'!G3</f>
        <v/>
      </c>
      <c r="K844">
        <f>'Grid_Stock'!H3</f>
        <v/>
      </c>
      <c r="L844">
        <f>'Grid_Stock'!I3</f>
        <v/>
      </c>
      <c r="M844">
        <f>'Grid_Stock'!J3</f>
        <v/>
      </c>
      <c r="N844">
        <f>'Grid_Stock'!K3</f>
        <v/>
      </c>
      <c r="O844">
        <f>'Grid_Stock'!L3</f>
        <v/>
      </c>
      <c r="P844">
        <f>'Grid_Stock'!M3</f>
        <v/>
      </c>
      <c r="Q844">
        <f>'Grid_Stock'!N3</f>
        <v/>
      </c>
      <c r="R844">
        <f>'Grid_Stock'!O3</f>
        <v/>
      </c>
      <c r="S844">
        <f>'Grid_Stock'!P3</f>
        <v/>
      </c>
      <c r="T844">
        <f>'Grid_Stock'!Q3</f>
        <v/>
      </c>
      <c r="U844">
        <f>'Grid_Stock'!R3</f>
        <v/>
      </c>
      <c r="V844">
        <f>'Grid_Stock'!S3</f>
        <v/>
      </c>
      <c r="W844">
        <f>'Grid_Stock'!T3</f>
        <v/>
      </c>
      <c r="X844">
        <f>'Grid_Stock'!U3</f>
        <v/>
      </c>
      <c r="Y844">
        <f>'Grid_Stock'!V3</f>
        <v/>
      </c>
      <c r="Z844">
        <f>'Grid_Stock'!W3</f>
        <v/>
      </c>
      <c r="AA844">
        <f>'Grid_Stock'!X3</f>
        <v/>
      </c>
      <c r="AB844">
        <f>'Grid_Stock'!Y3</f>
        <v/>
      </c>
      <c r="AC844">
        <f>'Grid_Stock'!Z3</f>
        <v/>
      </c>
      <c r="AD844">
        <f>'Grid_Stock'!AA3</f>
        <v/>
      </c>
      <c r="AE844">
        <f>'Grid_Stock'!AB3</f>
        <v/>
      </c>
      <c r="AF844">
        <f>'Grid_Stock'!AC3</f>
        <v/>
      </c>
      <c r="AG844">
        <f>'Grid_Stock'!AD3</f>
        <v/>
      </c>
      <c r="AH844">
        <f>'Grid_Stock'!AE3</f>
        <v/>
      </c>
      <c r="AI844">
        <f>'Grid_Stock'!AF3</f>
        <v/>
      </c>
      <c r="AJ844">
        <f>'Grid_Stock'!AG3</f>
        <v/>
      </c>
      <c r="AK844">
        <f>'Grid_Stock'!AH3</f>
        <v/>
      </c>
      <c r="AL844">
        <f>'Grid_Stock'!AI3</f>
        <v/>
      </c>
      <c r="AM844">
        <f>'Grid_Stock'!AJ3</f>
        <v/>
      </c>
      <c r="AN844">
        <f>'Grid_Stock'!AK3</f>
        <v/>
      </c>
      <c r="AO844">
        <f>'Grid_Stock'!AL3</f>
        <v/>
      </c>
      <c r="AP844">
        <f>'Grid_Stock'!AM3</f>
        <v/>
      </c>
      <c r="AQ844">
        <f>'Grid_Stock'!AN3</f>
        <v/>
      </c>
      <c r="AR844">
        <f>'Grid_Stock'!AO3</f>
        <v/>
      </c>
      <c r="AS844">
        <f>'Grid_Stock'!AP3</f>
        <v/>
      </c>
      <c r="AT844">
        <f>'Grid_Stock'!AQ3</f>
        <v/>
      </c>
      <c r="AU844">
        <f>'Grid_Stock'!AR3</f>
        <v/>
      </c>
      <c r="AV844">
        <f>'Grid_Stock'!AS3</f>
        <v/>
      </c>
      <c r="AW844">
        <f>'Grid_Stock'!AT3</f>
        <v/>
      </c>
      <c r="AX844">
        <f>'Grid_Stock'!AU3</f>
        <v/>
      </c>
      <c r="AY844">
        <f>'Grid_Stock'!AV3</f>
        <v/>
      </c>
      <c r="AZ844">
        <f>'Grid_Stock'!AW3</f>
        <v/>
      </c>
      <c r="BA844">
        <f>'Grid_Stock'!AX3</f>
        <v/>
      </c>
      <c r="BB844">
        <f>'Grid_Stock'!AY3</f>
        <v/>
      </c>
      <c r="BC844">
        <f>'Grid_Stock'!AZ3</f>
        <v/>
      </c>
      <c r="BD844">
        <f>'Grid_Stock'!BA3</f>
        <v/>
      </c>
      <c r="BE844">
        <f>'Grid_Stock'!BB3</f>
        <v/>
      </c>
      <c r="BF844">
        <f>'Grid_Stock'!BC3</f>
        <v/>
      </c>
      <c r="BG844">
        <f>'Grid_Stock'!BD3</f>
        <v/>
      </c>
      <c r="BH844">
        <f>'Grid_Stock'!BE3</f>
        <v/>
      </c>
      <c r="BI844">
        <f>'Grid_Stock'!BF3</f>
        <v/>
      </c>
      <c r="BJ844">
        <f>'Grid_Stock'!BG3</f>
        <v/>
      </c>
      <c r="BK844">
        <f>'Grid_Stock'!BH3</f>
        <v/>
      </c>
      <c r="BL844">
        <f>'Grid_Stock'!BI3</f>
        <v/>
      </c>
      <c r="BM844">
        <f>'Grid_Stock'!BJ3</f>
        <v/>
      </c>
      <c r="BN844">
        <f>'Grid_Stock'!BK3</f>
        <v/>
      </c>
      <c r="BO844">
        <f>'Grid_Stock'!BL3</f>
        <v/>
      </c>
      <c r="BP844">
        <f>'Grid_Stock'!BM3</f>
        <v/>
      </c>
      <c r="BQ844">
        <f>'Grid_Stock'!BN3</f>
        <v/>
      </c>
      <c r="BR844">
        <f>'Grid_Stock'!BO3</f>
        <v/>
      </c>
      <c r="BS844">
        <f>'Grid_Stock'!BP3</f>
        <v/>
      </c>
      <c r="BT844">
        <f>'Grid_Stock'!BQ3</f>
        <v/>
      </c>
      <c r="BU844">
        <f>'Grid_Stock'!BR3</f>
        <v/>
      </c>
      <c r="BV844">
        <f>'Grid_Stock'!BS3</f>
        <v/>
      </c>
      <c r="BW844">
        <f>'Grid_Stock'!BT3</f>
        <v/>
      </c>
      <c r="BX844">
        <f>'Grid_Stock'!BU3</f>
        <v/>
      </c>
      <c r="BY844">
        <f>'Grid_Stock'!BV3</f>
        <v/>
      </c>
      <c r="BZ844">
        <f>'Grid_Stock'!BW3</f>
        <v/>
      </c>
      <c r="CA844">
        <f>'Grid_Stock'!BX3</f>
        <v/>
      </c>
      <c r="CB844">
        <f>'Grid_Stock'!BY3</f>
        <v/>
      </c>
      <c r="CC844">
        <f>'Grid_Stock'!BZ3</f>
        <v/>
      </c>
      <c r="CD844">
        <f>'Grid_Stock'!CA3</f>
        <v/>
      </c>
      <c r="CE844">
        <f>'Grid_Stock'!CB3</f>
        <v/>
      </c>
      <c r="CF844">
        <f>'Grid_Stock'!CC3</f>
        <v/>
      </c>
      <c r="CG844">
        <f>'Grid_Stock'!CD3</f>
        <v/>
      </c>
      <c r="CH844">
        <f>'Grid_Stock'!CE3</f>
        <v/>
      </c>
      <c r="CI844">
        <f>'Grid_Stock'!CF3</f>
        <v/>
      </c>
      <c r="CJ844">
        <f>'Grid_Stock'!CG3</f>
        <v/>
      </c>
      <c r="CK844">
        <f>'Grid_Stock'!CH3</f>
        <v/>
      </c>
      <c r="CL844">
        <f>'Grid_Stock'!CI3</f>
        <v/>
      </c>
      <c r="CM844">
        <f>'Grid_Stock'!CJ3</f>
        <v/>
      </c>
      <c r="CN844">
        <f>'Grid_Stock'!CK3</f>
        <v/>
      </c>
      <c r="CO844">
        <f>'Grid_Stock'!CL3</f>
        <v/>
      </c>
      <c r="CP844">
        <f>'Grid_Stock'!CM3</f>
        <v/>
      </c>
      <c r="CQ844">
        <f>'Grid_Stock'!CN3</f>
        <v/>
      </c>
      <c r="CR844">
        <f>'Grid_Stock'!CO3</f>
        <v/>
      </c>
      <c r="CS844">
        <f>'Grid_Stock'!CP3</f>
        <v/>
      </c>
      <c r="CT844">
        <f>'Grid_Stock'!CQ3</f>
        <v/>
      </c>
      <c r="CU844">
        <f>'Grid_Stock'!CR3</f>
        <v/>
      </c>
      <c r="CV844">
        <f>'Grid_Stock'!CS3</f>
        <v/>
      </c>
      <c r="CW844">
        <f>'Grid_Stock'!CT3</f>
        <v/>
      </c>
      <c r="CX844">
        <f>'Grid_Stock'!CU3</f>
        <v/>
      </c>
      <c r="CY844">
        <f>'Grid_Stock'!CV3</f>
        <v/>
      </c>
      <c r="CZ844">
        <f>'Grid_Stock'!CW3</f>
        <v/>
      </c>
      <c r="DA844">
        <f>'Grid_Stock'!CX3</f>
        <v/>
      </c>
      <c r="DB844">
        <f>'Grid_Stock'!CY3</f>
        <v/>
      </c>
      <c r="DC844">
        <f>'Grid_Stock'!CZ3</f>
        <v/>
      </c>
      <c r="DD844">
        <f>'Grid_Stock'!DA3</f>
        <v/>
      </c>
    </row>
    <row r="845">
      <c r="B845" s="25" t="inlineStr">
        <is>
          <t>（発注の目安はDashboardの基準在庫[下限/上限]と色分けを参照）</t>
        </is>
      </c>
    </row>
    <row r="847">
      <c r="A847" s="21" t="inlineStr">
        <is>
          <t>CHEM-1450</t>
        </is>
      </c>
      <c r="B847" s="21" t="inlineStr">
        <is>
          <t>Noptechs</t>
        </is>
      </c>
      <c r="C847" s="22" t="n"/>
      <c r="D847" s="21" t="n"/>
      <c r="E847" s="21" t="n"/>
      <c r="F847" s="21" t="n"/>
      <c r="G847" s="21" t="n"/>
      <c r="H847" s="2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  <c r="AA847" s="21" t="n"/>
      <c r="AB847" s="21" t="n"/>
      <c r="AC847" s="21" t="n"/>
      <c r="AD847" s="21" t="n"/>
      <c r="AE847" s="21" t="n"/>
      <c r="AF847" s="21" t="n"/>
      <c r="AG847" s="21" t="n"/>
      <c r="AH847" s="21" t="n"/>
      <c r="AI847" s="21" t="n"/>
      <c r="AJ847" s="21" t="n"/>
      <c r="AK847" s="21" t="n"/>
      <c r="AL847" s="21" t="n"/>
      <c r="AM847" s="21" t="n"/>
      <c r="AN847" s="21" t="n"/>
      <c r="AO847" s="21" t="n"/>
      <c r="AP847" s="21" t="n"/>
      <c r="AQ847" s="21" t="n"/>
      <c r="AR847" s="21" t="n"/>
      <c r="AS847" s="21" t="n"/>
      <c r="AT847" s="21" t="n"/>
      <c r="AU847" s="21" t="n"/>
      <c r="AV847" s="21" t="n"/>
      <c r="AW847" s="21" t="n"/>
      <c r="AX847" s="21" t="n"/>
      <c r="AY847" s="21" t="n"/>
      <c r="AZ847" s="21" t="n"/>
      <c r="BA847" s="21" t="n"/>
      <c r="BB847" s="21" t="n"/>
      <c r="BC847" s="21" t="n"/>
      <c r="BD847" s="21" t="n"/>
      <c r="BE847" s="21" t="n"/>
      <c r="BF847" s="21" t="n"/>
      <c r="BG847" s="21" t="n"/>
      <c r="BH847" s="21" t="n"/>
      <c r="BI847" s="21" t="n"/>
      <c r="BJ847" s="21" t="n"/>
      <c r="BK847" s="21" t="n"/>
      <c r="BL847" s="21" t="n"/>
      <c r="BM847" s="21" t="n"/>
      <c r="BN847" s="21" t="n"/>
      <c r="BO847" s="21" t="n"/>
      <c r="BP847" s="21" t="n"/>
      <c r="BQ847" s="21" t="n"/>
      <c r="BR847" s="21" t="n"/>
      <c r="BS847" s="21" t="n"/>
      <c r="BT847" s="21" t="n"/>
      <c r="BU847" s="21" t="n"/>
      <c r="BV847" s="21" t="n"/>
      <c r="BW847" s="21" t="n"/>
      <c r="BX847" s="21" t="n"/>
      <c r="BY847" s="21" t="n"/>
      <c r="BZ847" s="21" t="n"/>
      <c r="CA847" s="21" t="n"/>
      <c r="CB847" s="21" t="n"/>
      <c r="CC847" s="21" t="n"/>
      <c r="CD847" s="21" t="n"/>
      <c r="CE847" s="21" t="n"/>
      <c r="CF847" s="21" t="n"/>
      <c r="CG847" s="21" t="n"/>
      <c r="CH847" s="21" t="n"/>
      <c r="CI847" s="21" t="n"/>
      <c r="CJ847" s="21" t="n"/>
      <c r="CK847" s="21" t="n"/>
      <c r="CL847" s="21" t="n"/>
      <c r="CM847" s="21" t="n"/>
      <c r="CN847" s="21" t="n"/>
      <c r="CO847" s="21" t="n"/>
      <c r="CP847" s="21" t="n"/>
      <c r="CQ847" s="21" t="n"/>
      <c r="CR847" s="21" t="n"/>
      <c r="CS847" s="21" t="n"/>
      <c r="CT847" s="21" t="n"/>
      <c r="CU847" s="21" t="n"/>
      <c r="CV847" s="21" t="n"/>
      <c r="CW847" s="21" t="n"/>
      <c r="CX847" s="21" t="n"/>
      <c r="CY847" s="21" t="n"/>
      <c r="CZ847" s="21" t="n"/>
      <c r="DA847" s="21" t="n"/>
      <c r="DB847" s="21" t="n"/>
      <c r="DC847" s="21" t="n"/>
      <c r="DD847" s="21" t="n"/>
    </row>
    <row r="848">
      <c r="B848" t="inlineStr">
        <is>
          <t>TSP-218</t>
        </is>
      </c>
      <c r="C848" t="inlineStr">
        <is>
          <t>No. of batches</t>
        </is>
      </c>
      <c r="D848">
        <f>IFERROR(INDEX(E848:DD848,$F$1),"")</f>
        <v/>
      </c>
      <c r="E848">
        <f>IFERROR(INDEX(PP_Grid[#Data],$DE848,2),0)</f>
        <v/>
      </c>
      <c r="F848">
        <f>IFERROR(INDEX(PP_Grid[#Data],$DE848,3),0)</f>
        <v/>
      </c>
      <c r="G848">
        <f>IFERROR(INDEX(PP_Grid[#Data],$DE848,4),0)</f>
        <v/>
      </c>
      <c r="H848">
        <f>IFERROR(INDEX(PP_Grid[#Data],$DE848,5),0)</f>
        <v/>
      </c>
      <c r="I848">
        <f>IFERROR(INDEX(PP_Grid[#Data],$DE848,6),0)</f>
        <v/>
      </c>
      <c r="J848">
        <f>IFERROR(INDEX(PP_Grid[#Data],$DE848,7),0)</f>
        <v/>
      </c>
      <c r="K848">
        <f>IFERROR(INDEX(PP_Grid[#Data],$DE848,8),0)</f>
        <v/>
      </c>
      <c r="L848">
        <f>IFERROR(INDEX(PP_Grid[#Data],$DE848,9),0)</f>
        <v/>
      </c>
      <c r="M848">
        <f>IFERROR(INDEX(PP_Grid[#Data],$DE848,10),0)</f>
        <v/>
      </c>
      <c r="N848">
        <f>IFERROR(INDEX(PP_Grid[#Data],$DE848,11),0)</f>
        <v/>
      </c>
      <c r="O848">
        <f>IFERROR(INDEX(PP_Grid[#Data],$DE848,12),0)</f>
        <v/>
      </c>
      <c r="P848">
        <f>IFERROR(INDEX(PP_Grid[#Data],$DE848,13),0)</f>
        <v/>
      </c>
      <c r="Q848">
        <f>IFERROR(INDEX(PP_Grid[#Data],$DE848,14),0)</f>
        <v/>
      </c>
      <c r="R848">
        <f>IFERROR(INDEX(PP_Grid[#Data],$DE848,15),0)</f>
        <v/>
      </c>
      <c r="S848">
        <f>IFERROR(INDEX(PP_Grid[#Data],$DE848,16),0)</f>
        <v/>
      </c>
      <c r="T848">
        <f>IFERROR(INDEX(PP_Grid[#Data],$DE848,17),0)</f>
        <v/>
      </c>
      <c r="U848">
        <f>IFERROR(INDEX(PP_Grid[#Data],$DE848,18),0)</f>
        <v/>
      </c>
      <c r="V848">
        <f>IFERROR(INDEX(PP_Grid[#Data],$DE848,19),0)</f>
        <v/>
      </c>
      <c r="W848">
        <f>IFERROR(INDEX(PP_Grid[#Data],$DE848,20),0)</f>
        <v/>
      </c>
      <c r="X848">
        <f>IFERROR(INDEX(PP_Grid[#Data],$DE848,21),0)</f>
        <v/>
      </c>
      <c r="Y848">
        <f>IFERROR(INDEX(PP_Grid[#Data],$DE848,22),0)</f>
        <v/>
      </c>
      <c r="Z848">
        <f>IFERROR(INDEX(PP_Grid[#Data],$DE848,23),0)</f>
        <v/>
      </c>
      <c r="AA848">
        <f>IFERROR(INDEX(PP_Grid[#Data],$DE848,24),0)</f>
        <v/>
      </c>
      <c r="AB848">
        <f>IFERROR(INDEX(PP_Grid[#Data],$DE848,25),0)</f>
        <v/>
      </c>
      <c r="AC848">
        <f>IFERROR(INDEX(PP_Grid[#Data],$DE848,26),0)</f>
        <v/>
      </c>
      <c r="AD848">
        <f>IFERROR(INDEX(PP_Grid[#Data],$DE848,27),0)</f>
        <v/>
      </c>
      <c r="AE848">
        <f>IFERROR(INDEX(PP_Grid[#Data],$DE848,28),0)</f>
        <v/>
      </c>
      <c r="AF848">
        <f>IFERROR(INDEX(PP_Grid[#Data],$DE848,29),0)</f>
        <v/>
      </c>
      <c r="AG848">
        <f>IFERROR(INDEX(PP_Grid[#Data],$DE848,30),0)</f>
        <v/>
      </c>
      <c r="AH848">
        <f>IFERROR(INDEX(PP_Grid[#Data],$DE848,31),0)</f>
        <v/>
      </c>
      <c r="AI848">
        <f>IFERROR(INDEX(PP_Grid[#Data],$DE848,32),0)</f>
        <v/>
      </c>
      <c r="AJ848">
        <f>IFERROR(INDEX(PP_Grid[#Data],$DE848,33),0)</f>
        <v/>
      </c>
      <c r="AK848">
        <f>IFERROR(INDEX(PP_Grid[#Data],$DE848,34),0)</f>
        <v/>
      </c>
      <c r="AL848">
        <f>IFERROR(INDEX(PP_Grid[#Data],$DE848,35),0)</f>
        <v/>
      </c>
      <c r="AM848">
        <f>IFERROR(INDEX(PP_Grid[#Data],$DE848,36),0)</f>
        <v/>
      </c>
      <c r="AN848">
        <f>IFERROR(INDEX(PP_Grid[#Data],$DE848,37),0)</f>
        <v/>
      </c>
      <c r="AO848">
        <f>IFERROR(INDEX(PP_Grid[#Data],$DE848,38),0)</f>
        <v/>
      </c>
      <c r="AP848">
        <f>IFERROR(INDEX(PP_Grid[#Data],$DE848,39),0)</f>
        <v/>
      </c>
      <c r="AQ848">
        <f>IFERROR(INDEX(PP_Grid[#Data],$DE848,40),0)</f>
        <v/>
      </c>
      <c r="AR848">
        <f>IFERROR(INDEX(PP_Grid[#Data],$DE848,41),0)</f>
        <v/>
      </c>
      <c r="AS848">
        <f>IFERROR(INDEX(PP_Grid[#Data],$DE848,42),0)</f>
        <v/>
      </c>
      <c r="AT848">
        <f>IFERROR(INDEX(PP_Grid[#Data],$DE848,43),0)</f>
        <v/>
      </c>
      <c r="AU848">
        <f>IFERROR(INDEX(PP_Grid[#Data],$DE848,44),0)</f>
        <v/>
      </c>
      <c r="AV848">
        <f>IFERROR(INDEX(PP_Grid[#Data],$DE848,45),0)</f>
        <v/>
      </c>
      <c r="AW848">
        <f>IFERROR(INDEX(PP_Grid[#Data],$DE848,46),0)</f>
        <v/>
      </c>
      <c r="AX848">
        <f>IFERROR(INDEX(PP_Grid[#Data],$DE848,47),0)</f>
        <v/>
      </c>
      <c r="AY848">
        <f>IFERROR(INDEX(PP_Grid[#Data],$DE848,48),0)</f>
        <v/>
      </c>
      <c r="AZ848">
        <f>IFERROR(INDEX(PP_Grid[#Data],$DE848,49),0)</f>
        <v/>
      </c>
      <c r="BA848">
        <f>IFERROR(INDEX(PP_Grid[#Data],$DE848,50),0)</f>
        <v/>
      </c>
      <c r="BB848">
        <f>IFERROR(INDEX(PP_Grid[#Data],$DE848,51),0)</f>
        <v/>
      </c>
      <c r="BC848">
        <f>IFERROR(INDEX(PP_Grid[#Data],$DE848,52),0)</f>
        <v/>
      </c>
      <c r="BD848">
        <f>IFERROR(INDEX(PP_Grid[#Data],$DE848,53),0)</f>
        <v/>
      </c>
      <c r="BE848">
        <f>IFERROR(INDEX(PP_Grid[#Data],$DE848,54),0)</f>
        <v/>
      </c>
      <c r="BF848">
        <f>IFERROR(INDEX(PP_Grid[#Data],$DE848,55),0)</f>
        <v/>
      </c>
      <c r="BG848">
        <f>IFERROR(INDEX(PP_Grid[#Data],$DE848,56),0)</f>
        <v/>
      </c>
      <c r="BH848">
        <f>IFERROR(INDEX(PP_Grid[#Data],$DE848,57),0)</f>
        <v/>
      </c>
      <c r="BI848">
        <f>IFERROR(INDEX(PP_Grid[#Data],$DE848,58),0)</f>
        <v/>
      </c>
      <c r="BJ848">
        <f>IFERROR(INDEX(PP_Grid[#Data],$DE848,59),0)</f>
        <v/>
      </c>
      <c r="BK848">
        <f>IFERROR(INDEX(PP_Grid[#Data],$DE848,60),0)</f>
        <v/>
      </c>
      <c r="BL848">
        <f>IFERROR(INDEX(PP_Grid[#Data],$DE848,61),0)</f>
        <v/>
      </c>
      <c r="BM848">
        <f>IFERROR(INDEX(PP_Grid[#Data],$DE848,62),0)</f>
        <v/>
      </c>
      <c r="BN848">
        <f>IFERROR(INDEX(PP_Grid[#Data],$DE848,63),0)</f>
        <v/>
      </c>
      <c r="BO848">
        <f>IFERROR(INDEX(PP_Grid[#Data],$DE848,64),0)</f>
        <v/>
      </c>
      <c r="BP848">
        <f>IFERROR(INDEX(PP_Grid[#Data],$DE848,65),0)</f>
        <v/>
      </c>
      <c r="BQ848">
        <f>IFERROR(INDEX(PP_Grid[#Data],$DE848,66),0)</f>
        <v/>
      </c>
      <c r="BR848">
        <f>IFERROR(INDEX(PP_Grid[#Data],$DE848,67),0)</f>
        <v/>
      </c>
      <c r="BS848">
        <f>IFERROR(INDEX(PP_Grid[#Data],$DE848,68),0)</f>
        <v/>
      </c>
      <c r="BT848">
        <f>IFERROR(INDEX(PP_Grid[#Data],$DE848,69),0)</f>
        <v/>
      </c>
      <c r="BU848">
        <f>IFERROR(INDEX(PP_Grid[#Data],$DE848,70),0)</f>
        <v/>
      </c>
      <c r="BV848">
        <f>IFERROR(INDEX(PP_Grid[#Data],$DE848,71),0)</f>
        <v/>
      </c>
      <c r="BW848">
        <f>IFERROR(INDEX(PP_Grid[#Data],$DE848,72),0)</f>
        <v/>
      </c>
      <c r="BX848">
        <f>IFERROR(INDEX(PP_Grid[#Data],$DE848,73),0)</f>
        <v/>
      </c>
      <c r="BY848">
        <f>IFERROR(INDEX(PP_Grid[#Data],$DE848,74),0)</f>
        <v/>
      </c>
      <c r="BZ848">
        <f>IFERROR(INDEX(PP_Grid[#Data],$DE848,75),0)</f>
        <v/>
      </c>
      <c r="CA848">
        <f>IFERROR(INDEX(PP_Grid[#Data],$DE848,76),0)</f>
        <v/>
      </c>
      <c r="CB848">
        <f>IFERROR(INDEX(PP_Grid[#Data],$DE848,77),0)</f>
        <v/>
      </c>
      <c r="CC848">
        <f>IFERROR(INDEX(PP_Grid[#Data],$DE848,78),0)</f>
        <v/>
      </c>
      <c r="CD848">
        <f>IFERROR(INDEX(PP_Grid[#Data],$DE848,79),0)</f>
        <v/>
      </c>
      <c r="CE848">
        <f>IFERROR(INDEX(PP_Grid[#Data],$DE848,80),0)</f>
        <v/>
      </c>
      <c r="CF848">
        <f>IFERROR(INDEX(PP_Grid[#Data],$DE848,81),0)</f>
        <v/>
      </c>
      <c r="CG848">
        <f>IFERROR(INDEX(PP_Grid[#Data],$DE848,82),0)</f>
        <v/>
      </c>
      <c r="CH848">
        <f>IFERROR(INDEX(PP_Grid[#Data],$DE848,83),0)</f>
        <v/>
      </c>
      <c r="CI848">
        <f>IFERROR(INDEX(PP_Grid[#Data],$DE848,84),0)</f>
        <v/>
      </c>
      <c r="CJ848">
        <f>IFERROR(INDEX(PP_Grid[#Data],$DE848,85),0)</f>
        <v/>
      </c>
      <c r="CK848">
        <f>IFERROR(INDEX(PP_Grid[#Data],$DE848,86),0)</f>
        <v/>
      </c>
      <c r="CL848">
        <f>IFERROR(INDEX(PP_Grid[#Data],$DE848,87),0)</f>
        <v/>
      </c>
      <c r="CM848">
        <f>IFERROR(INDEX(PP_Grid[#Data],$DE848,88),0)</f>
        <v/>
      </c>
      <c r="CN848">
        <f>IFERROR(INDEX(PP_Grid[#Data],$DE848,89),0)</f>
        <v/>
      </c>
      <c r="CO848">
        <f>IFERROR(INDEX(PP_Grid[#Data],$DE848,90),0)</f>
        <v/>
      </c>
      <c r="CP848">
        <f>IFERROR(INDEX(PP_Grid[#Data],$DE848,91),0)</f>
        <v/>
      </c>
      <c r="CQ848">
        <f>IFERROR(INDEX(PP_Grid[#Data],$DE848,92),0)</f>
        <v/>
      </c>
      <c r="CR848">
        <f>IFERROR(INDEX(PP_Grid[#Data],$DE848,93),0)</f>
        <v/>
      </c>
      <c r="CS848">
        <f>IFERROR(INDEX(PP_Grid[#Data],$DE848,94),0)</f>
        <v/>
      </c>
      <c r="CT848">
        <f>IFERROR(INDEX(PP_Grid[#Data],$DE848,95),0)</f>
        <v/>
      </c>
      <c r="CU848">
        <f>IFERROR(INDEX(PP_Grid[#Data],$DE848,96),0)</f>
        <v/>
      </c>
      <c r="CV848">
        <f>IFERROR(INDEX(PP_Grid[#Data],$DE848,97),0)</f>
        <v/>
      </c>
      <c r="CW848">
        <f>IFERROR(INDEX(PP_Grid[#Data],$DE848,98),0)</f>
        <v/>
      </c>
      <c r="CX848">
        <f>IFERROR(INDEX(PP_Grid[#Data],$DE848,99),0)</f>
        <v/>
      </c>
      <c r="CY848">
        <f>IFERROR(INDEX(PP_Grid[#Data],$DE848,100),0)</f>
        <v/>
      </c>
      <c r="CZ848">
        <f>IFERROR(INDEX(PP_Grid[#Data],$DE848,101),0)</f>
        <v/>
      </c>
      <c r="DA848">
        <f>IFERROR(INDEX(PP_Grid[#Data],$DE848,102),0)</f>
        <v/>
      </c>
      <c r="DB848">
        <f>IFERROR(INDEX(PP_Grid[#Data],$DE848,103),0)</f>
        <v/>
      </c>
      <c r="DC848">
        <f>IFERROR(INDEX(PP_Grid[#Data],$DE848,104),0)</f>
        <v/>
      </c>
      <c r="DD848">
        <f>IFERROR(INDEX(PP_Grid[#Data],$DE848,105),0)</f>
        <v/>
      </c>
      <c r="DE848" s="7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SUMIFS(M_BOM[RM_Qty_Per_Batch],M_BOM[Intermediate],$B848,M_BOM[RM_Code],$A847)</f>
        <v/>
      </c>
      <c r="D849">
        <f>IFERROR(INDEX(E849:DD849,$F$1),"")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  <c r="DD849">
        <f>$C849*DD848</f>
        <v/>
      </c>
    </row>
    <row r="850">
      <c r="B850" t="inlineStr">
        <is>
          <t>TSP-225</t>
        </is>
      </c>
      <c r="C850" t="inlineStr">
        <is>
          <t>No. of batches</t>
        </is>
      </c>
      <c r="D850">
        <f>IFERROR(INDEX(E850:DD850,$F$1),"")</f>
        <v/>
      </c>
      <c r="E850">
        <f>IFERROR(INDEX(PP_Grid[#Data],$DE850,2),0)</f>
        <v/>
      </c>
      <c r="F850">
        <f>IFERROR(INDEX(PP_Grid[#Data],$DE850,3),0)</f>
        <v/>
      </c>
      <c r="G850">
        <f>IFERROR(INDEX(PP_Grid[#Data],$DE850,4),0)</f>
        <v/>
      </c>
      <c r="H850">
        <f>IFERROR(INDEX(PP_Grid[#Data],$DE850,5),0)</f>
        <v/>
      </c>
      <c r="I850">
        <f>IFERROR(INDEX(PP_Grid[#Data],$DE850,6),0)</f>
        <v/>
      </c>
      <c r="J850">
        <f>IFERROR(INDEX(PP_Grid[#Data],$DE850,7),0)</f>
        <v/>
      </c>
      <c r="K850">
        <f>IFERROR(INDEX(PP_Grid[#Data],$DE850,8),0)</f>
        <v/>
      </c>
      <c r="L850">
        <f>IFERROR(INDEX(PP_Grid[#Data],$DE850,9),0)</f>
        <v/>
      </c>
      <c r="M850">
        <f>IFERROR(INDEX(PP_Grid[#Data],$DE850,10),0)</f>
        <v/>
      </c>
      <c r="N850">
        <f>IFERROR(INDEX(PP_Grid[#Data],$DE850,11),0)</f>
        <v/>
      </c>
      <c r="O850">
        <f>IFERROR(INDEX(PP_Grid[#Data],$DE850,12),0)</f>
        <v/>
      </c>
      <c r="P850">
        <f>IFERROR(INDEX(PP_Grid[#Data],$DE850,13),0)</f>
        <v/>
      </c>
      <c r="Q850">
        <f>IFERROR(INDEX(PP_Grid[#Data],$DE850,14),0)</f>
        <v/>
      </c>
      <c r="R850">
        <f>IFERROR(INDEX(PP_Grid[#Data],$DE850,15),0)</f>
        <v/>
      </c>
      <c r="S850">
        <f>IFERROR(INDEX(PP_Grid[#Data],$DE850,16),0)</f>
        <v/>
      </c>
      <c r="T850">
        <f>IFERROR(INDEX(PP_Grid[#Data],$DE850,17),0)</f>
        <v/>
      </c>
      <c r="U850">
        <f>IFERROR(INDEX(PP_Grid[#Data],$DE850,18),0)</f>
        <v/>
      </c>
      <c r="V850">
        <f>IFERROR(INDEX(PP_Grid[#Data],$DE850,19),0)</f>
        <v/>
      </c>
      <c r="W850">
        <f>IFERROR(INDEX(PP_Grid[#Data],$DE850,20),0)</f>
        <v/>
      </c>
      <c r="X850">
        <f>IFERROR(INDEX(PP_Grid[#Data],$DE850,21),0)</f>
        <v/>
      </c>
      <c r="Y850">
        <f>IFERROR(INDEX(PP_Grid[#Data],$DE850,22),0)</f>
        <v/>
      </c>
      <c r="Z850">
        <f>IFERROR(INDEX(PP_Grid[#Data],$DE850,23),0)</f>
        <v/>
      </c>
      <c r="AA850">
        <f>IFERROR(INDEX(PP_Grid[#Data],$DE850,24),0)</f>
        <v/>
      </c>
      <c r="AB850">
        <f>IFERROR(INDEX(PP_Grid[#Data],$DE850,25),0)</f>
        <v/>
      </c>
      <c r="AC850">
        <f>IFERROR(INDEX(PP_Grid[#Data],$DE850,26),0)</f>
        <v/>
      </c>
      <c r="AD850">
        <f>IFERROR(INDEX(PP_Grid[#Data],$DE850,27),0)</f>
        <v/>
      </c>
      <c r="AE850">
        <f>IFERROR(INDEX(PP_Grid[#Data],$DE850,28),0)</f>
        <v/>
      </c>
      <c r="AF850">
        <f>IFERROR(INDEX(PP_Grid[#Data],$DE850,29),0)</f>
        <v/>
      </c>
      <c r="AG850">
        <f>IFERROR(INDEX(PP_Grid[#Data],$DE850,30),0)</f>
        <v/>
      </c>
      <c r="AH850">
        <f>IFERROR(INDEX(PP_Grid[#Data],$DE850,31),0)</f>
        <v/>
      </c>
      <c r="AI850">
        <f>IFERROR(INDEX(PP_Grid[#Data],$DE850,32),0)</f>
        <v/>
      </c>
      <c r="AJ850">
        <f>IFERROR(INDEX(PP_Grid[#Data],$DE850,33),0)</f>
        <v/>
      </c>
      <c r="AK850">
        <f>IFERROR(INDEX(PP_Grid[#Data],$DE850,34),0)</f>
        <v/>
      </c>
      <c r="AL850">
        <f>IFERROR(INDEX(PP_Grid[#Data],$DE850,35),0)</f>
        <v/>
      </c>
      <c r="AM850">
        <f>IFERROR(INDEX(PP_Grid[#Data],$DE850,36),0)</f>
        <v/>
      </c>
      <c r="AN850">
        <f>IFERROR(INDEX(PP_Grid[#Data],$DE850,37),0)</f>
        <v/>
      </c>
      <c r="AO850">
        <f>IFERROR(INDEX(PP_Grid[#Data],$DE850,38),0)</f>
        <v/>
      </c>
      <c r="AP850">
        <f>IFERROR(INDEX(PP_Grid[#Data],$DE850,39),0)</f>
        <v/>
      </c>
      <c r="AQ850">
        <f>IFERROR(INDEX(PP_Grid[#Data],$DE850,40),0)</f>
        <v/>
      </c>
      <c r="AR850">
        <f>IFERROR(INDEX(PP_Grid[#Data],$DE850,41),0)</f>
        <v/>
      </c>
      <c r="AS850">
        <f>IFERROR(INDEX(PP_Grid[#Data],$DE850,42),0)</f>
        <v/>
      </c>
      <c r="AT850">
        <f>IFERROR(INDEX(PP_Grid[#Data],$DE850,43),0)</f>
        <v/>
      </c>
      <c r="AU850">
        <f>IFERROR(INDEX(PP_Grid[#Data],$DE850,44),0)</f>
        <v/>
      </c>
      <c r="AV850">
        <f>IFERROR(INDEX(PP_Grid[#Data],$DE850,45),0)</f>
        <v/>
      </c>
      <c r="AW850">
        <f>IFERROR(INDEX(PP_Grid[#Data],$DE850,46),0)</f>
        <v/>
      </c>
      <c r="AX850">
        <f>IFERROR(INDEX(PP_Grid[#Data],$DE850,47),0)</f>
        <v/>
      </c>
      <c r="AY850">
        <f>IFERROR(INDEX(PP_Grid[#Data],$DE850,48),0)</f>
        <v/>
      </c>
      <c r="AZ850">
        <f>IFERROR(INDEX(PP_Grid[#Data],$DE850,49),0)</f>
        <v/>
      </c>
      <c r="BA850">
        <f>IFERROR(INDEX(PP_Grid[#Data],$DE850,50),0)</f>
        <v/>
      </c>
      <c r="BB850">
        <f>IFERROR(INDEX(PP_Grid[#Data],$DE850,51),0)</f>
        <v/>
      </c>
      <c r="BC850">
        <f>IFERROR(INDEX(PP_Grid[#Data],$DE850,52),0)</f>
        <v/>
      </c>
      <c r="BD850">
        <f>IFERROR(INDEX(PP_Grid[#Data],$DE850,53),0)</f>
        <v/>
      </c>
      <c r="BE850">
        <f>IFERROR(INDEX(PP_Grid[#Data],$DE850,54),0)</f>
        <v/>
      </c>
      <c r="BF850">
        <f>IFERROR(INDEX(PP_Grid[#Data],$DE850,55),0)</f>
        <v/>
      </c>
      <c r="BG850">
        <f>IFERROR(INDEX(PP_Grid[#Data],$DE850,56),0)</f>
        <v/>
      </c>
      <c r="BH850">
        <f>IFERROR(INDEX(PP_Grid[#Data],$DE850,57),0)</f>
        <v/>
      </c>
      <c r="BI850">
        <f>IFERROR(INDEX(PP_Grid[#Data],$DE850,58),0)</f>
        <v/>
      </c>
      <c r="BJ850">
        <f>IFERROR(INDEX(PP_Grid[#Data],$DE850,59),0)</f>
        <v/>
      </c>
      <c r="BK850">
        <f>IFERROR(INDEX(PP_Grid[#Data],$DE850,60),0)</f>
        <v/>
      </c>
      <c r="BL850">
        <f>IFERROR(INDEX(PP_Grid[#Data],$DE850,61),0)</f>
        <v/>
      </c>
      <c r="BM850">
        <f>IFERROR(INDEX(PP_Grid[#Data],$DE850,62),0)</f>
        <v/>
      </c>
      <c r="BN850">
        <f>IFERROR(INDEX(PP_Grid[#Data],$DE850,63),0)</f>
        <v/>
      </c>
      <c r="BO850">
        <f>IFERROR(INDEX(PP_Grid[#Data],$DE850,64),0)</f>
        <v/>
      </c>
      <c r="BP850">
        <f>IFERROR(INDEX(PP_Grid[#Data],$DE850,65),0)</f>
        <v/>
      </c>
      <c r="BQ850">
        <f>IFERROR(INDEX(PP_Grid[#Data],$DE850,66),0)</f>
        <v/>
      </c>
      <c r="BR850">
        <f>IFERROR(INDEX(PP_Grid[#Data],$DE850,67),0)</f>
        <v/>
      </c>
      <c r="BS850">
        <f>IFERROR(INDEX(PP_Grid[#Data],$DE850,68),0)</f>
        <v/>
      </c>
      <c r="BT850">
        <f>IFERROR(INDEX(PP_Grid[#Data],$DE850,69),0)</f>
        <v/>
      </c>
      <c r="BU850">
        <f>IFERROR(INDEX(PP_Grid[#Data],$DE850,70),0)</f>
        <v/>
      </c>
      <c r="BV850">
        <f>IFERROR(INDEX(PP_Grid[#Data],$DE850,71),0)</f>
        <v/>
      </c>
      <c r="BW850">
        <f>IFERROR(INDEX(PP_Grid[#Data],$DE850,72),0)</f>
        <v/>
      </c>
      <c r="BX850">
        <f>IFERROR(INDEX(PP_Grid[#Data],$DE850,73),0)</f>
        <v/>
      </c>
      <c r="BY850">
        <f>IFERROR(INDEX(PP_Grid[#Data],$DE850,74),0)</f>
        <v/>
      </c>
      <c r="BZ850">
        <f>IFERROR(INDEX(PP_Grid[#Data],$DE850,75),0)</f>
        <v/>
      </c>
      <c r="CA850">
        <f>IFERROR(INDEX(PP_Grid[#Data],$DE850,76),0)</f>
        <v/>
      </c>
      <c r="CB850">
        <f>IFERROR(INDEX(PP_Grid[#Data],$DE850,77),0)</f>
        <v/>
      </c>
      <c r="CC850">
        <f>IFERROR(INDEX(PP_Grid[#Data],$DE850,78),0)</f>
        <v/>
      </c>
      <c r="CD850">
        <f>IFERROR(INDEX(PP_Grid[#Data],$DE850,79),0)</f>
        <v/>
      </c>
      <c r="CE850">
        <f>IFERROR(INDEX(PP_Grid[#Data],$DE850,80),0)</f>
        <v/>
      </c>
      <c r="CF850">
        <f>IFERROR(INDEX(PP_Grid[#Data],$DE850,81),0)</f>
        <v/>
      </c>
      <c r="CG850">
        <f>IFERROR(INDEX(PP_Grid[#Data],$DE850,82),0)</f>
        <v/>
      </c>
      <c r="CH850">
        <f>IFERROR(INDEX(PP_Grid[#Data],$DE850,83),0)</f>
        <v/>
      </c>
      <c r="CI850">
        <f>IFERROR(INDEX(PP_Grid[#Data],$DE850,84),0)</f>
        <v/>
      </c>
      <c r="CJ850">
        <f>IFERROR(INDEX(PP_Grid[#Data],$DE850,85),0)</f>
        <v/>
      </c>
      <c r="CK850">
        <f>IFERROR(INDEX(PP_Grid[#Data],$DE850,86),0)</f>
        <v/>
      </c>
      <c r="CL850">
        <f>IFERROR(INDEX(PP_Grid[#Data],$DE850,87),0)</f>
        <v/>
      </c>
      <c r="CM850">
        <f>IFERROR(INDEX(PP_Grid[#Data],$DE850,88),0)</f>
        <v/>
      </c>
      <c r="CN850">
        <f>IFERROR(INDEX(PP_Grid[#Data],$DE850,89),0)</f>
        <v/>
      </c>
      <c r="CO850">
        <f>IFERROR(INDEX(PP_Grid[#Data],$DE850,90),0)</f>
        <v/>
      </c>
      <c r="CP850">
        <f>IFERROR(INDEX(PP_Grid[#Data],$DE850,91),0)</f>
        <v/>
      </c>
      <c r="CQ850">
        <f>IFERROR(INDEX(PP_Grid[#Data],$DE850,92),0)</f>
        <v/>
      </c>
      <c r="CR850">
        <f>IFERROR(INDEX(PP_Grid[#Data],$DE850,93),0)</f>
        <v/>
      </c>
      <c r="CS850">
        <f>IFERROR(INDEX(PP_Grid[#Data],$DE850,94),0)</f>
        <v/>
      </c>
      <c r="CT850">
        <f>IFERROR(INDEX(PP_Grid[#Data],$DE850,95),0)</f>
        <v/>
      </c>
      <c r="CU850">
        <f>IFERROR(INDEX(PP_Grid[#Data],$DE850,96),0)</f>
        <v/>
      </c>
      <c r="CV850">
        <f>IFERROR(INDEX(PP_Grid[#Data],$DE850,97),0)</f>
        <v/>
      </c>
      <c r="CW850">
        <f>IFERROR(INDEX(PP_Grid[#Data],$DE850,98),0)</f>
        <v/>
      </c>
      <c r="CX850">
        <f>IFERROR(INDEX(PP_Grid[#Data],$DE850,99),0)</f>
        <v/>
      </c>
      <c r="CY850">
        <f>IFERROR(INDEX(PP_Grid[#Data],$DE850,100),0)</f>
        <v/>
      </c>
      <c r="CZ850">
        <f>IFERROR(INDEX(PP_Grid[#Data],$DE850,101),0)</f>
        <v/>
      </c>
      <c r="DA850">
        <f>IFERROR(INDEX(PP_Grid[#Data],$DE850,102),0)</f>
        <v/>
      </c>
      <c r="DB850">
        <f>IFERROR(INDEX(PP_Grid[#Data],$DE850,103),0)</f>
        <v/>
      </c>
      <c r="DC850">
        <f>IFERROR(INDEX(PP_Grid[#Data],$DE850,104),0)</f>
        <v/>
      </c>
      <c r="DD850">
        <f>IFERROR(INDEX(PP_Grid[#Data],$DE850,105),0)</f>
        <v/>
      </c>
      <c r="DE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SUMIFS(M_BOM[RM_Qty_Per_Batch],M_BOM[Intermediate],$B850,M_BOM[RM_Code],$A847)</f>
        <v/>
      </c>
      <c r="D851">
        <f>IFERROR(INDEX(E851:DD851,$F$1),"")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  <c r="DD851">
        <f>$C851*DD850</f>
        <v/>
      </c>
    </row>
    <row r="852">
      <c r="B852" t="inlineStr">
        <is>
          <t>TSP-558</t>
        </is>
      </c>
      <c r="C852" t="inlineStr">
        <is>
          <t>No. of batches</t>
        </is>
      </c>
      <c r="D852">
        <f>IFERROR(INDEX(E852:DD852,$F$1),"")</f>
        <v/>
      </c>
      <c r="E852">
        <f>IFERROR(INDEX(PP_Grid[#Data],$DE852,2),0)</f>
        <v/>
      </c>
      <c r="F852">
        <f>IFERROR(INDEX(PP_Grid[#Data],$DE852,3),0)</f>
        <v/>
      </c>
      <c r="G852">
        <f>IFERROR(INDEX(PP_Grid[#Data],$DE852,4),0)</f>
        <v/>
      </c>
      <c r="H852">
        <f>IFERROR(INDEX(PP_Grid[#Data],$DE852,5),0)</f>
        <v/>
      </c>
      <c r="I852">
        <f>IFERROR(INDEX(PP_Grid[#Data],$DE852,6),0)</f>
        <v/>
      </c>
      <c r="J852">
        <f>IFERROR(INDEX(PP_Grid[#Data],$DE852,7),0)</f>
        <v/>
      </c>
      <c r="K852">
        <f>IFERROR(INDEX(PP_Grid[#Data],$DE852,8),0)</f>
        <v/>
      </c>
      <c r="L852">
        <f>IFERROR(INDEX(PP_Grid[#Data],$DE852,9),0)</f>
        <v/>
      </c>
      <c r="M852">
        <f>IFERROR(INDEX(PP_Grid[#Data],$DE852,10),0)</f>
        <v/>
      </c>
      <c r="N852">
        <f>IFERROR(INDEX(PP_Grid[#Data],$DE852,11),0)</f>
        <v/>
      </c>
      <c r="O852">
        <f>IFERROR(INDEX(PP_Grid[#Data],$DE852,12),0)</f>
        <v/>
      </c>
      <c r="P852">
        <f>IFERROR(INDEX(PP_Grid[#Data],$DE852,13),0)</f>
        <v/>
      </c>
      <c r="Q852">
        <f>IFERROR(INDEX(PP_Grid[#Data],$DE852,14),0)</f>
        <v/>
      </c>
      <c r="R852">
        <f>IFERROR(INDEX(PP_Grid[#Data],$DE852,15),0)</f>
        <v/>
      </c>
      <c r="S852">
        <f>IFERROR(INDEX(PP_Grid[#Data],$DE852,16),0)</f>
        <v/>
      </c>
      <c r="T852">
        <f>IFERROR(INDEX(PP_Grid[#Data],$DE852,17),0)</f>
        <v/>
      </c>
      <c r="U852">
        <f>IFERROR(INDEX(PP_Grid[#Data],$DE852,18),0)</f>
        <v/>
      </c>
      <c r="V852">
        <f>IFERROR(INDEX(PP_Grid[#Data],$DE852,19),0)</f>
        <v/>
      </c>
      <c r="W852">
        <f>IFERROR(INDEX(PP_Grid[#Data],$DE852,20),0)</f>
        <v/>
      </c>
      <c r="X852">
        <f>IFERROR(INDEX(PP_Grid[#Data],$DE852,21),0)</f>
        <v/>
      </c>
      <c r="Y852">
        <f>IFERROR(INDEX(PP_Grid[#Data],$DE852,22),0)</f>
        <v/>
      </c>
      <c r="Z852">
        <f>IFERROR(INDEX(PP_Grid[#Data],$DE852,23),0)</f>
        <v/>
      </c>
      <c r="AA852">
        <f>IFERROR(INDEX(PP_Grid[#Data],$DE852,24),0)</f>
        <v/>
      </c>
      <c r="AB852">
        <f>IFERROR(INDEX(PP_Grid[#Data],$DE852,25),0)</f>
        <v/>
      </c>
      <c r="AC852">
        <f>IFERROR(INDEX(PP_Grid[#Data],$DE852,26),0)</f>
        <v/>
      </c>
      <c r="AD852">
        <f>IFERROR(INDEX(PP_Grid[#Data],$DE852,27),0)</f>
        <v/>
      </c>
      <c r="AE852">
        <f>IFERROR(INDEX(PP_Grid[#Data],$DE852,28),0)</f>
        <v/>
      </c>
      <c r="AF852">
        <f>IFERROR(INDEX(PP_Grid[#Data],$DE852,29),0)</f>
        <v/>
      </c>
      <c r="AG852">
        <f>IFERROR(INDEX(PP_Grid[#Data],$DE852,30),0)</f>
        <v/>
      </c>
      <c r="AH852">
        <f>IFERROR(INDEX(PP_Grid[#Data],$DE852,31),0)</f>
        <v/>
      </c>
      <c r="AI852">
        <f>IFERROR(INDEX(PP_Grid[#Data],$DE852,32),0)</f>
        <v/>
      </c>
      <c r="AJ852">
        <f>IFERROR(INDEX(PP_Grid[#Data],$DE852,33),0)</f>
        <v/>
      </c>
      <c r="AK852">
        <f>IFERROR(INDEX(PP_Grid[#Data],$DE852,34),0)</f>
        <v/>
      </c>
      <c r="AL852">
        <f>IFERROR(INDEX(PP_Grid[#Data],$DE852,35),0)</f>
        <v/>
      </c>
      <c r="AM852">
        <f>IFERROR(INDEX(PP_Grid[#Data],$DE852,36),0)</f>
        <v/>
      </c>
      <c r="AN852">
        <f>IFERROR(INDEX(PP_Grid[#Data],$DE852,37),0)</f>
        <v/>
      </c>
      <c r="AO852">
        <f>IFERROR(INDEX(PP_Grid[#Data],$DE852,38),0)</f>
        <v/>
      </c>
      <c r="AP852">
        <f>IFERROR(INDEX(PP_Grid[#Data],$DE852,39),0)</f>
        <v/>
      </c>
      <c r="AQ852">
        <f>IFERROR(INDEX(PP_Grid[#Data],$DE852,40),0)</f>
        <v/>
      </c>
      <c r="AR852">
        <f>IFERROR(INDEX(PP_Grid[#Data],$DE852,41),0)</f>
        <v/>
      </c>
      <c r="AS852">
        <f>IFERROR(INDEX(PP_Grid[#Data],$DE852,42),0)</f>
        <v/>
      </c>
      <c r="AT852">
        <f>IFERROR(INDEX(PP_Grid[#Data],$DE852,43),0)</f>
        <v/>
      </c>
      <c r="AU852">
        <f>IFERROR(INDEX(PP_Grid[#Data],$DE852,44),0)</f>
        <v/>
      </c>
      <c r="AV852">
        <f>IFERROR(INDEX(PP_Grid[#Data],$DE852,45),0)</f>
        <v/>
      </c>
      <c r="AW852">
        <f>IFERROR(INDEX(PP_Grid[#Data],$DE852,46),0)</f>
        <v/>
      </c>
      <c r="AX852">
        <f>IFERROR(INDEX(PP_Grid[#Data],$DE852,47),0)</f>
        <v/>
      </c>
      <c r="AY852">
        <f>IFERROR(INDEX(PP_Grid[#Data],$DE852,48),0)</f>
        <v/>
      </c>
      <c r="AZ852">
        <f>IFERROR(INDEX(PP_Grid[#Data],$DE852,49),0)</f>
        <v/>
      </c>
      <c r="BA852">
        <f>IFERROR(INDEX(PP_Grid[#Data],$DE852,50),0)</f>
        <v/>
      </c>
      <c r="BB852">
        <f>IFERROR(INDEX(PP_Grid[#Data],$DE852,51),0)</f>
        <v/>
      </c>
      <c r="BC852">
        <f>IFERROR(INDEX(PP_Grid[#Data],$DE852,52),0)</f>
        <v/>
      </c>
      <c r="BD852">
        <f>IFERROR(INDEX(PP_Grid[#Data],$DE852,53),0)</f>
        <v/>
      </c>
      <c r="BE852">
        <f>IFERROR(INDEX(PP_Grid[#Data],$DE852,54),0)</f>
        <v/>
      </c>
      <c r="BF852">
        <f>IFERROR(INDEX(PP_Grid[#Data],$DE852,55),0)</f>
        <v/>
      </c>
      <c r="BG852">
        <f>IFERROR(INDEX(PP_Grid[#Data],$DE852,56),0)</f>
        <v/>
      </c>
      <c r="BH852">
        <f>IFERROR(INDEX(PP_Grid[#Data],$DE852,57),0)</f>
        <v/>
      </c>
      <c r="BI852">
        <f>IFERROR(INDEX(PP_Grid[#Data],$DE852,58),0)</f>
        <v/>
      </c>
      <c r="BJ852">
        <f>IFERROR(INDEX(PP_Grid[#Data],$DE852,59),0)</f>
        <v/>
      </c>
      <c r="BK852">
        <f>IFERROR(INDEX(PP_Grid[#Data],$DE852,60),0)</f>
        <v/>
      </c>
      <c r="BL852">
        <f>IFERROR(INDEX(PP_Grid[#Data],$DE852,61),0)</f>
        <v/>
      </c>
      <c r="BM852">
        <f>IFERROR(INDEX(PP_Grid[#Data],$DE852,62),0)</f>
        <v/>
      </c>
      <c r="BN852">
        <f>IFERROR(INDEX(PP_Grid[#Data],$DE852,63),0)</f>
        <v/>
      </c>
      <c r="BO852">
        <f>IFERROR(INDEX(PP_Grid[#Data],$DE852,64),0)</f>
        <v/>
      </c>
      <c r="BP852">
        <f>IFERROR(INDEX(PP_Grid[#Data],$DE852,65),0)</f>
        <v/>
      </c>
      <c r="BQ852">
        <f>IFERROR(INDEX(PP_Grid[#Data],$DE852,66),0)</f>
        <v/>
      </c>
      <c r="BR852">
        <f>IFERROR(INDEX(PP_Grid[#Data],$DE852,67),0)</f>
        <v/>
      </c>
      <c r="BS852">
        <f>IFERROR(INDEX(PP_Grid[#Data],$DE852,68),0)</f>
        <v/>
      </c>
      <c r="BT852">
        <f>IFERROR(INDEX(PP_Grid[#Data],$DE852,69),0)</f>
        <v/>
      </c>
      <c r="BU852">
        <f>IFERROR(INDEX(PP_Grid[#Data],$DE852,70),0)</f>
        <v/>
      </c>
      <c r="BV852">
        <f>IFERROR(INDEX(PP_Grid[#Data],$DE852,71),0)</f>
        <v/>
      </c>
      <c r="BW852">
        <f>IFERROR(INDEX(PP_Grid[#Data],$DE852,72),0)</f>
        <v/>
      </c>
      <c r="BX852">
        <f>IFERROR(INDEX(PP_Grid[#Data],$DE852,73),0)</f>
        <v/>
      </c>
      <c r="BY852">
        <f>IFERROR(INDEX(PP_Grid[#Data],$DE852,74),0)</f>
        <v/>
      </c>
      <c r="BZ852">
        <f>IFERROR(INDEX(PP_Grid[#Data],$DE852,75),0)</f>
        <v/>
      </c>
      <c r="CA852">
        <f>IFERROR(INDEX(PP_Grid[#Data],$DE852,76),0)</f>
        <v/>
      </c>
      <c r="CB852">
        <f>IFERROR(INDEX(PP_Grid[#Data],$DE852,77),0)</f>
        <v/>
      </c>
      <c r="CC852">
        <f>IFERROR(INDEX(PP_Grid[#Data],$DE852,78),0)</f>
        <v/>
      </c>
      <c r="CD852">
        <f>IFERROR(INDEX(PP_Grid[#Data],$DE852,79),0)</f>
        <v/>
      </c>
      <c r="CE852">
        <f>IFERROR(INDEX(PP_Grid[#Data],$DE852,80),0)</f>
        <v/>
      </c>
      <c r="CF852">
        <f>IFERROR(INDEX(PP_Grid[#Data],$DE852,81),0)</f>
        <v/>
      </c>
      <c r="CG852">
        <f>IFERROR(INDEX(PP_Grid[#Data],$DE852,82),0)</f>
        <v/>
      </c>
      <c r="CH852">
        <f>IFERROR(INDEX(PP_Grid[#Data],$DE852,83),0)</f>
        <v/>
      </c>
      <c r="CI852">
        <f>IFERROR(INDEX(PP_Grid[#Data],$DE852,84),0)</f>
        <v/>
      </c>
      <c r="CJ852">
        <f>IFERROR(INDEX(PP_Grid[#Data],$DE852,85),0)</f>
        <v/>
      </c>
      <c r="CK852">
        <f>IFERROR(INDEX(PP_Grid[#Data],$DE852,86),0)</f>
        <v/>
      </c>
      <c r="CL852">
        <f>IFERROR(INDEX(PP_Grid[#Data],$DE852,87),0)</f>
        <v/>
      </c>
      <c r="CM852">
        <f>IFERROR(INDEX(PP_Grid[#Data],$DE852,88),0)</f>
        <v/>
      </c>
      <c r="CN852">
        <f>IFERROR(INDEX(PP_Grid[#Data],$DE852,89),0)</f>
        <v/>
      </c>
      <c r="CO852">
        <f>IFERROR(INDEX(PP_Grid[#Data],$DE852,90),0)</f>
        <v/>
      </c>
      <c r="CP852">
        <f>IFERROR(INDEX(PP_Grid[#Data],$DE852,91),0)</f>
        <v/>
      </c>
      <c r="CQ852">
        <f>IFERROR(INDEX(PP_Grid[#Data],$DE852,92),0)</f>
        <v/>
      </c>
      <c r="CR852">
        <f>IFERROR(INDEX(PP_Grid[#Data],$DE852,93),0)</f>
        <v/>
      </c>
      <c r="CS852">
        <f>IFERROR(INDEX(PP_Grid[#Data],$DE852,94),0)</f>
        <v/>
      </c>
      <c r="CT852">
        <f>IFERROR(INDEX(PP_Grid[#Data],$DE852,95),0)</f>
        <v/>
      </c>
      <c r="CU852">
        <f>IFERROR(INDEX(PP_Grid[#Data],$DE852,96),0)</f>
        <v/>
      </c>
      <c r="CV852">
        <f>IFERROR(INDEX(PP_Grid[#Data],$DE852,97),0)</f>
        <v/>
      </c>
      <c r="CW852">
        <f>IFERROR(INDEX(PP_Grid[#Data],$DE852,98),0)</f>
        <v/>
      </c>
      <c r="CX852">
        <f>IFERROR(INDEX(PP_Grid[#Data],$DE852,99),0)</f>
        <v/>
      </c>
      <c r="CY852">
        <f>IFERROR(INDEX(PP_Grid[#Data],$DE852,100),0)</f>
        <v/>
      </c>
      <c r="CZ852">
        <f>IFERROR(INDEX(PP_Grid[#Data],$DE852,101),0)</f>
        <v/>
      </c>
      <c r="DA852">
        <f>IFERROR(INDEX(PP_Grid[#Data],$DE852,102),0)</f>
        <v/>
      </c>
      <c r="DB852">
        <f>IFERROR(INDEX(PP_Grid[#Data],$DE852,103),0)</f>
        <v/>
      </c>
      <c r="DC852">
        <f>IFERROR(INDEX(PP_Grid[#Data],$DE852,104),0)</f>
        <v/>
      </c>
      <c r="DD852">
        <f>IFERROR(INDEX(PP_Grid[#Data],$DE852,105),0)</f>
        <v/>
      </c>
      <c r="DE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SUMIFS(M_BOM[RM_Qty_Per_Batch],M_BOM[Intermediate],$B852,M_BOM[RM_Code],$A847)</f>
        <v/>
      </c>
      <c r="D853">
        <f>IFERROR(INDEX(E853:DD853,$F$1),"")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  <c r="DD853">
        <f>$C853*DD852</f>
        <v/>
      </c>
    </row>
    <row r="854">
      <c r="B854" s="4" t="inlineStr">
        <is>
          <t>合計使用量(kg)/週</t>
        </is>
      </c>
      <c r="D854" s="23">
        <f>IFERROR(INDEX(E854:DD854,$F$1),"")</f>
        <v/>
      </c>
      <c r="E854">
        <f>'Grid_Requirement'!B48</f>
        <v/>
      </c>
      <c r="F854">
        <f>'Grid_Requirement'!C48</f>
        <v/>
      </c>
      <c r="G854">
        <f>'Grid_Requirement'!D48</f>
        <v/>
      </c>
      <c r="H854">
        <f>'Grid_Requirement'!E48</f>
        <v/>
      </c>
      <c r="I854">
        <f>'Grid_Requirement'!F48</f>
        <v/>
      </c>
      <c r="J854">
        <f>'Grid_Requirement'!G48</f>
        <v/>
      </c>
      <c r="K854">
        <f>'Grid_Requirement'!H48</f>
        <v/>
      </c>
      <c r="L854">
        <f>'Grid_Requirement'!I48</f>
        <v/>
      </c>
      <c r="M854">
        <f>'Grid_Requirement'!J48</f>
        <v/>
      </c>
      <c r="N854">
        <f>'Grid_Requirement'!K48</f>
        <v/>
      </c>
      <c r="O854">
        <f>'Grid_Requirement'!L48</f>
        <v/>
      </c>
      <c r="P854">
        <f>'Grid_Requirement'!M48</f>
        <v/>
      </c>
      <c r="Q854">
        <f>'Grid_Requirement'!N48</f>
        <v/>
      </c>
      <c r="R854">
        <f>'Grid_Requirement'!O48</f>
        <v/>
      </c>
      <c r="S854">
        <f>'Grid_Requirement'!P48</f>
        <v/>
      </c>
      <c r="T854">
        <f>'Grid_Requirement'!Q48</f>
        <v/>
      </c>
      <c r="U854">
        <f>'Grid_Requirement'!R48</f>
        <v/>
      </c>
      <c r="V854">
        <f>'Grid_Requirement'!S48</f>
        <v/>
      </c>
      <c r="W854">
        <f>'Grid_Requirement'!T48</f>
        <v/>
      </c>
      <c r="X854">
        <f>'Grid_Requirement'!U48</f>
        <v/>
      </c>
      <c r="Y854">
        <f>'Grid_Requirement'!V48</f>
        <v/>
      </c>
      <c r="Z854">
        <f>'Grid_Requirement'!W48</f>
        <v/>
      </c>
      <c r="AA854">
        <f>'Grid_Requirement'!X48</f>
        <v/>
      </c>
      <c r="AB854">
        <f>'Grid_Requirement'!Y48</f>
        <v/>
      </c>
      <c r="AC854">
        <f>'Grid_Requirement'!Z48</f>
        <v/>
      </c>
      <c r="AD854">
        <f>'Grid_Requirement'!AA48</f>
        <v/>
      </c>
      <c r="AE854">
        <f>'Grid_Requirement'!AB48</f>
        <v/>
      </c>
      <c r="AF854">
        <f>'Grid_Requirement'!AC48</f>
        <v/>
      </c>
      <c r="AG854">
        <f>'Grid_Requirement'!AD48</f>
        <v/>
      </c>
      <c r="AH854">
        <f>'Grid_Requirement'!AE48</f>
        <v/>
      </c>
      <c r="AI854">
        <f>'Grid_Requirement'!AF48</f>
        <v/>
      </c>
      <c r="AJ854">
        <f>'Grid_Requirement'!AG48</f>
        <v/>
      </c>
      <c r="AK854">
        <f>'Grid_Requirement'!AH48</f>
        <v/>
      </c>
      <c r="AL854">
        <f>'Grid_Requirement'!AI48</f>
        <v/>
      </c>
      <c r="AM854">
        <f>'Grid_Requirement'!AJ48</f>
        <v/>
      </c>
      <c r="AN854">
        <f>'Grid_Requirement'!AK48</f>
        <v/>
      </c>
      <c r="AO854">
        <f>'Grid_Requirement'!AL48</f>
        <v/>
      </c>
      <c r="AP854">
        <f>'Grid_Requirement'!AM48</f>
        <v/>
      </c>
      <c r="AQ854">
        <f>'Grid_Requirement'!AN48</f>
        <v/>
      </c>
      <c r="AR854">
        <f>'Grid_Requirement'!AO48</f>
        <v/>
      </c>
      <c r="AS854">
        <f>'Grid_Requirement'!AP48</f>
        <v/>
      </c>
      <c r="AT854">
        <f>'Grid_Requirement'!AQ48</f>
        <v/>
      </c>
      <c r="AU854">
        <f>'Grid_Requirement'!AR48</f>
        <v/>
      </c>
      <c r="AV854">
        <f>'Grid_Requirement'!AS48</f>
        <v/>
      </c>
      <c r="AW854">
        <f>'Grid_Requirement'!AT48</f>
        <v/>
      </c>
      <c r="AX854">
        <f>'Grid_Requirement'!AU48</f>
        <v/>
      </c>
      <c r="AY854">
        <f>'Grid_Requirement'!AV48</f>
        <v/>
      </c>
      <c r="AZ854">
        <f>'Grid_Requirement'!AW48</f>
        <v/>
      </c>
      <c r="BA854">
        <f>'Grid_Requirement'!AX48</f>
        <v/>
      </c>
      <c r="BB854">
        <f>'Grid_Requirement'!AY48</f>
        <v/>
      </c>
      <c r="BC854">
        <f>'Grid_Requirement'!AZ48</f>
        <v/>
      </c>
      <c r="BD854">
        <f>'Grid_Requirement'!BA48</f>
        <v/>
      </c>
      <c r="BE854">
        <f>'Grid_Requirement'!BB48</f>
        <v/>
      </c>
      <c r="BF854">
        <f>'Grid_Requirement'!BC48</f>
        <v/>
      </c>
      <c r="BG854">
        <f>'Grid_Requirement'!BD48</f>
        <v/>
      </c>
      <c r="BH854">
        <f>'Grid_Requirement'!BE48</f>
        <v/>
      </c>
      <c r="BI854">
        <f>'Grid_Requirement'!BF48</f>
        <v/>
      </c>
      <c r="BJ854">
        <f>'Grid_Requirement'!BG48</f>
        <v/>
      </c>
      <c r="BK854">
        <f>'Grid_Requirement'!BH48</f>
        <v/>
      </c>
      <c r="BL854">
        <f>'Grid_Requirement'!BI48</f>
        <v/>
      </c>
      <c r="BM854">
        <f>'Grid_Requirement'!BJ48</f>
        <v/>
      </c>
      <c r="BN854">
        <f>'Grid_Requirement'!BK48</f>
        <v/>
      </c>
      <c r="BO854">
        <f>'Grid_Requirement'!BL48</f>
        <v/>
      </c>
      <c r="BP854">
        <f>'Grid_Requirement'!BM48</f>
        <v/>
      </c>
      <c r="BQ854">
        <f>'Grid_Requirement'!BN48</f>
        <v/>
      </c>
      <c r="BR854">
        <f>'Grid_Requirement'!BO48</f>
        <v/>
      </c>
      <c r="BS854">
        <f>'Grid_Requirement'!BP48</f>
        <v/>
      </c>
      <c r="BT854">
        <f>'Grid_Requirement'!BQ48</f>
        <v/>
      </c>
      <c r="BU854">
        <f>'Grid_Requirement'!BR48</f>
        <v/>
      </c>
      <c r="BV854">
        <f>'Grid_Requirement'!BS48</f>
        <v/>
      </c>
      <c r="BW854">
        <f>'Grid_Requirement'!BT48</f>
        <v/>
      </c>
      <c r="BX854">
        <f>'Grid_Requirement'!BU48</f>
        <v/>
      </c>
      <c r="BY854">
        <f>'Grid_Requirement'!BV48</f>
        <v/>
      </c>
      <c r="BZ854">
        <f>'Grid_Requirement'!BW48</f>
        <v/>
      </c>
      <c r="CA854">
        <f>'Grid_Requirement'!BX48</f>
        <v/>
      </c>
      <c r="CB854">
        <f>'Grid_Requirement'!BY48</f>
        <v/>
      </c>
      <c r="CC854">
        <f>'Grid_Requirement'!BZ48</f>
        <v/>
      </c>
      <c r="CD854">
        <f>'Grid_Requirement'!CA48</f>
        <v/>
      </c>
      <c r="CE854">
        <f>'Grid_Requirement'!CB48</f>
        <v/>
      </c>
      <c r="CF854">
        <f>'Grid_Requirement'!CC48</f>
        <v/>
      </c>
      <c r="CG854">
        <f>'Grid_Requirement'!CD48</f>
        <v/>
      </c>
      <c r="CH854">
        <f>'Grid_Requirement'!CE48</f>
        <v/>
      </c>
      <c r="CI854">
        <f>'Grid_Requirement'!CF48</f>
        <v/>
      </c>
      <c r="CJ854">
        <f>'Grid_Requirement'!CG48</f>
        <v/>
      </c>
      <c r="CK854">
        <f>'Grid_Requirement'!CH48</f>
        <v/>
      </c>
      <c r="CL854">
        <f>'Grid_Requirement'!CI48</f>
        <v/>
      </c>
      <c r="CM854">
        <f>'Grid_Requirement'!CJ48</f>
        <v/>
      </c>
      <c r="CN854">
        <f>'Grid_Requirement'!CK48</f>
        <v/>
      </c>
      <c r="CO854">
        <f>'Grid_Requirement'!CL48</f>
        <v/>
      </c>
      <c r="CP854">
        <f>'Grid_Requirement'!CM48</f>
        <v/>
      </c>
      <c r="CQ854">
        <f>'Grid_Requirement'!CN48</f>
        <v/>
      </c>
      <c r="CR854">
        <f>'Grid_Requirement'!CO48</f>
        <v/>
      </c>
      <c r="CS854">
        <f>'Grid_Requirement'!CP48</f>
        <v/>
      </c>
      <c r="CT854">
        <f>'Grid_Requirement'!CQ48</f>
        <v/>
      </c>
      <c r="CU854">
        <f>'Grid_Requirement'!CR48</f>
        <v/>
      </c>
      <c r="CV854">
        <f>'Grid_Requirement'!CS48</f>
        <v/>
      </c>
      <c r="CW854">
        <f>'Grid_Requirement'!CT48</f>
        <v/>
      </c>
      <c r="CX854">
        <f>'Grid_Requirement'!CU48</f>
        <v/>
      </c>
      <c r="CY854">
        <f>'Grid_Requirement'!CV48</f>
        <v/>
      </c>
      <c r="CZ854">
        <f>'Grid_Requirement'!CW48</f>
        <v/>
      </c>
      <c r="DA854">
        <f>'Grid_Requirement'!CX48</f>
        <v/>
      </c>
      <c r="DB854">
        <f>'Grid_Requirement'!CY48</f>
        <v/>
      </c>
      <c r="DC854">
        <f>'Grid_Requirement'!CZ48</f>
        <v/>
      </c>
      <c r="DD854">
        <f>'Grid_Requirement'!DA48</f>
        <v/>
      </c>
    </row>
    <row r="855">
      <c r="B855" t="inlineStr">
        <is>
          <t>TTAF在庫(実績,kg)</t>
        </is>
      </c>
      <c r="D855">
        <f>IFERROR(INDEX(E855:DD855,$F$1),"")</f>
        <v/>
      </c>
      <c r="E855">
        <f>IFERROR(SUMIFS(T_TTAFStock[TTAF_Qty],T_TTAFStock[RM_Code],$A847,T_TTAFStock[WeekIndex],1),"")</f>
        <v/>
      </c>
      <c r="F855">
        <f>IFERROR(SUMIFS(T_TTAFStock[TTAF_Qty],T_TTAFStock[RM_Code],$A847,T_TTAFStock[WeekIndex],2),"")</f>
        <v/>
      </c>
      <c r="G855">
        <f>IFERROR(SUMIFS(T_TTAFStock[TTAF_Qty],T_TTAFStock[RM_Code],$A847,T_TTAFStock[WeekIndex],3),"")</f>
        <v/>
      </c>
      <c r="H855">
        <f>IFERROR(SUMIFS(T_TTAFStock[TTAF_Qty],T_TTAFStock[RM_Code],$A847,T_TTAFStock[WeekIndex],4),"")</f>
        <v/>
      </c>
      <c r="I855">
        <f>IFERROR(SUMIFS(T_TTAFStock[TTAF_Qty],T_TTAFStock[RM_Code],$A847,T_TTAFStock[WeekIndex],5),"")</f>
        <v/>
      </c>
      <c r="J855">
        <f>IFERROR(SUMIFS(T_TTAFStock[TTAF_Qty],T_TTAFStock[RM_Code],$A847,T_TTAFStock[WeekIndex],6),"")</f>
        <v/>
      </c>
      <c r="K855">
        <f>IFERROR(SUMIFS(T_TTAFStock[TTAF_Qty],T_TTAFStock[RM_Code],$A847,T_TTAFStock[WeekIndex],7),"")</f>
        <v/>
      </c>
      <c r="L855">
        <f>IFERROR(SUMIFS(T_TTAFStock[TTAF_Qty],T_TTAFStock[RM_Code],$A847,T_TTAFStock[WeekIndex],8),"")</f>
        <v/>
      </c>
      <c r="M855">
        <f>IFERROR(SUMIFS(T_TTAFStock[TTAF_Qty],T_TTAFStock[RM_Code],$A847,T_TTAFStock[WeekIndex],9),"")</f>
        <v/>
      </c>
      <c r="N855">
        <f>IFERROR(SUMIFS(T_TTAFStock[TTAF_Qty],T_TTAFStock[RM_Code],$A847,T_TTAFStock[WeekIndex],10),"")</f>
        <v/>
      </c>
      <c r="O855">
        <f>IFERROR(SUMIFS(T_TTAFStock[TTAF_Qty],T_TTAFStock[RM_Code],$A847,T_TTAFStock[WeekIndex],11),"")</f>
        <v/>
      </c>
      <c r="P855">
        <f>IFERROR(SUMIFS(T_TTAFStock[TTAF_Qty],T_TTAFStock[RM_Code],$A847,T_TTAFStock[WeekIndex],12),"")</f>
        <v/>
      </c>
      <c r="Q855">
        <f>IFERROR(SUMIFS(T_TTAFStock[TTAF_Qty],T_TTAFStock[RM_Code],$A847,T_TTAFStock[WeekIndex],13),"")</f>
        <v/>
      </c>
      <c r="R855">
        <f>IFERROR(SUMIFS(T_TTAFStock[TTAF_Qty],T_TTAFStock[RM_Code],$A847,T_TTAFStock[WeekIndex],14),"")</f>
        <v/>
      </c>
      <c r="S855">
        <f>IFERROR(SUMIFS(T_TTAFStock[TTAF_Qty],T_TTAFStock[RM_Code],$A847,T_TTAFStock[WeekIndex],15),"")</f>
        <v/>
      </c>
      <c r="T855">
        <f>IFERROR(SUMIFS(T_TTAFStock[TTAF_Qty],T_TTAFStock[RM_Code],$A847,T_TTAFStock[WeekIndex],16),"")</f>
        <v/>
      </c>
      <c r="U855">
        <f>IFERROR(SUMIFS(T_TTAFStock[TTAF_Qty],T_TTAFStock[RM_Code],$A847,T_TTAFStock[WeekIndex],17),"")</f>
        <v/>
      </c>
      <c r="V855">
        <f>IFERROR(SUMIFS(T_TTAFStock[TTAF_Qty],T_TTAFStock[RM_Code],$A847,T_TTAFStock[WeekIndex],18),"")</f>
        <v/>
      </c>
      <c r="W855">
        <f>IFERROR(SUMIFS(T_TTAFStock[TTAF_Qty],T_TTAFStock[RM_Code],$A847,T_TTAFStock[WeekIndex],19),"")</f>
        <v/>
      </c>
      <c r="X855">
        <f>IFERROR(SUMIFS(T_TTAFStock[TTAF_Qty],T_TTAFStock[RM_Code],$A847,T_TTAFStock[WeekIndex],20),"")</f>
        <v/>
      </c>
      <c r="Y855">
        <f>IFERROR(SUMIFS(T_TTAFStock[TTAF_Qty],T_TTAFStock[RM_Code],$A847,T_TTAFStock[WeekIndex],21),"")</f>
        <v/>
      </c>
      <c r="Z855">
        <f>IFERROR(SUMIFS(T_TTAFStock[TTAF_Qty],T_TTAFStock[RM_Code],$A847,T_TTAFStock[WeekIndex],22),"")</f>
        <v/>
      </c>
      <c r="AA855">
        <f>IFERROR(SUMIFS(T_TTAFStock[TTAF_Qty],T_TTAFStock[RM_Code],$A847,T_TTAFStock[WeekIndex],23),"")</f>
        <v/>
      </c>
      <c r="AB855">
        <f>IFERROR(SUMIFS(T_TTAFStock[TTAF_Qty],T_TTAFStock[RM_Code],$A847,T_TTAFStock[WeekIndex],24),"")</f>
        <v/>
      </c>
      <c r="AC855">
        <f>IFERROR(SUMIFS(T_TTAFStock[TTAF_Qty],T_TTAFStock[RM_Code],$A847,T_TTAFStock[WeekIndex],25),"")</f>
        <v/>
      </c>
      <c r="AD855">
        <f>IFERROR(SUMIFS(T_TTAFStock[TTAF_Qty],T_TTAFStock[RM_Code],$A847,T_TTAFStock[WeekIndex],26),"")</f>
        <v/>
      </c>
      <c r="AE855">
        <f>IFERROR(SUMIFS(T_TTAFStock[TTAF_Qty],T_TTAFStock[RM_Code],$A847,T_TTAFStock[WeekIndex],27),"")</f>
        <v/>
      </c>
      <c r="AF855">
        <f>IFERROR(SUMIFS(T_TTAFStock[TTAF_Qty],T_TTAFStock[RM_Code],$A847,T_TTAFStock[WeekIndex],28),"")</f>
        <v/>
      </c>
      <c r="AG855">
        <f>IFERROR(SUMIFS(T_TTAFStock[TTAF_Qty],T_TTAFStock[RM_Code],$A847,T_TTAFStock[WeekIndex],29),"")</f>
        <v/>
      </c>
      <c r="AH855">
        <f>IFERROR(SUMIFS(T_TTAFStock[TTAF_Qty],T_TTAFStock[RM_Code],$A847,T_TTAFStock[WeekIndex],30),"")</f>
        <v/>
      </c>
      <c r="AI855">
        <f>IFERROR(SUMIFS(T_TTAFStock[TTAF_Qty],T_TTAFStock[RM_Code],$A847,T_TTAFStock[WeekIndex],31),"")</f>
        <v/>
      </c>
      <c r="AJ855">
        <f>IFERROR(SUMIFS(T_TTAFStock[TTAF_Qty],T_TTAFStock[RM_Code],$A847,T_TTAFStock[WeekIndex],32),"")</f>
        <v/>
      </c>
      <c r="AK855">
        <f>IFERROR(SUMIFS(T_TTAFStock[TTAF_Qty],T_TTAFStock[RM_Code],$A847,T_TTAFStock[WeekIndex],33),"")</f>
        <v/>
      </c>
      <c r="AL855">
        <f>IFERROR(SUMIFS(T_TTAFStock[TTAF_Qty],T_TTAFStock[RM_Code],$A847,T_TTAFStock[WeekIndex],34),"")</f>
        <v/>
      </c>
      <c r="AM855">
        <f>IFERROR(SUMIFS(T_TTAFStock[TTAF_Qty],T_TTAFStock[RM_Code],$A847,T_TTAFStock[WeekIndex],35),"")</f>
        <v/>
      </c>
      <c r="AN855">
        <f>IFERROR(SUMIFS(T_TTAFStock[TTAF_Qty],T_TTAFStock[RM_Code],$A847,T_TTAFStock[WeekIndex],36),"")</f>
        <v/>
      </c>
      <c r="AO855">
        <f>IFERROR(SUMIFS(T_TTAFStock[TTAF_Qty],T_TTAFStock[RM_Code],$A847,T_TTAFStock[WeekIndex],37),"")</f>
        <v/>
      </c>
      <c r="AP855">
        <f>IFERROR(SUMIFS(T_TTAFStock[TTAF_Qty],T_TTAFStock[RM_Code],$A847,T_TTAFStock[WeekIndex],38),"")</f>
        <v/>
      </c>
      <c r="AQ855">
        <f>IFERROR(SUMIFS(T_TTAFStock[TTAF_Qty],T_TTAFStock[RM_Code],$A847,T_TTAFStock[WeekIndex],39),"")</f>
        <v/>
      </c>
      <c r="AR855">
        <f>IFERROR(SUMIFS(T_TTAFStock[TTAF_Qty],T_TTAFStock[RM_Code],$A847,T_TTAFStock[WeekIndex],40),"")</f>
        <v/>
      </c>
      <c r="AS855">
        <f>IFERROR(SUMIFS(T_TTAFStock[TTAF_Qty],T_TTAFStock[RM_Code],$A847,T_TTAFStock[WeekIndex],41),"")</f>
        <v/>
      </c>
      <c r="AT855">
        <f>IFERROR(SUMIFS(T_TTAFStock[TTAF_Qty],T_TTAFStock[RM_Code],$A847,T_TTAFStock[WeekIndex],42),"")</f>
        <v/>
      </c>
      <c r="AU855">
        <f>IFERROR(SUMIFS(T_TTAFStock[TTAF_Qty],T_TTAFStock[RM_Code],$A847,T_TTAFStock[WeekIndex],43),"")</f>
        <v/>
      </c>
      <c r="AV855">
        <f>IFERROR(SUMIFS(T_TTAFStock[TTAF_Qty],T_TTAFStock[RM_Code],$A847,T_TTAFStock[WeekIndex],44),"")</f>
        <v/>
      </c>
      <c r="AW855">
        <f>IFERROR(SUMIFS(T_TTAFStock[TTAF_Qty],T_TTAFStock[RM_Code],$A847,T_TTAFStock[WeekIndex],45),"")</f>
        <v/>
      </c>
      <c r="AX855">
        <f>IFERROR(SUMIFS(T_TTAFStock[TTAF_Qty],T_TTAFStock[RM_Code],$A847,T_TTAFStock[WeekIndex],46),"")</f>
        <v/>
      </c>
      <c r="AY855">
        <f>IFERROR(SUMIFS(T_TTAFStock[TTAF_Qty],T_TTAFStock[RM_Code],$A847,T_TTAFStock[WeekIndex],47),"")</f>
        <v/>
      </c>
      <c r="AZ855">
        <f>IFERROR(SUMIFS(T_TTAFStock[TTAF_Qty],T_TTAFStock[RM_Code],$A847,T_TTAFStock[WeekIndex],48),"")</f>
        <v/>
      </c>
      <c r="BA855">
        <f>IFERROR(SUMIFS(T_TTAFStock[TTAF_Qty],T_TTAFStock[RM_Code],$A847,T_TTAFStock[WeekIndex],49),"")</f>
        <v/>
      </c>
      <c r="BB855">
        <f>IFERROR(SUMIFS(T_TTAFStock[TTAF_Qty],T_TTAFStock[RM_Code],$A847,T_TTAFStock[WeekIndex],50),"")</f>
        <v/>
      </c>
      <c r="BC855">
        <f>IFERROR(SUMIFS(T_TTAFStock[TTAF_Qty],T_TTAFStock[RM_Code],$A847,T_TTAFStock[WeekIndex],51),"")</f>
        <v/>
      </c>
      <c r="BD855">
        <f>IFERROR(SUMIFS(T_TTAFStock[TTAF_Qty],T_TTAFStock[RM_Code],$A847,T_TTAFStock[WeekIndex],52),"")</f>
        <v/>
      </c>
      <c r="BE855">
        <f>IFERROR(SUMIFS(T_TTAFStock[TTAF_Qty],T_TTAFStock[RM_Code],$A847,T_TTAFStock[WeekIndex],53),"")</f>
        <v/>
      </c>
      <c r="BF855">
        <f>IFERROR(SUMIFS(T_TTAFStock[TTAF_Qty],T_TTAFStock[RM_Code],$A847,T_TTAFStock[WeekIndex],54),"")</f>
        <v/>
      </c>
      <c r="BG855">
        <f>IFERROR(SUMIFS(T_TTAFStock[TTAF_Qty],T_TTAFStock[RM_Code],$A847,T_TTAFStock[WeekIndex],55),"")</f>
        <v/>
      </c>
      <c r="BH855">
        <f>IFERROR(SUMIFS(T_TTAFStock[TTAF_Qty],T_TTAFStock[RM_Code],$A847,T_TTAFStock[WeekIndex],56),"")</f>
        <v/>
      </c>
      <c r="BI855">
        <f>IFERROR(SUMIFS(T_TTAFStock[TTAF_Qty],T_TTAFStock[RM_Code],$A847,T_TTAFStock[WeekIndex],57),"")</f>
        <v/>
      </c>
      <c r="BJ855">
        <f>IFERROR(SUMIFS(T_TTAFStock[TTAF_Qty],T_TTAFStock[RM_Code],$A847,T_TTAFStock[WeekIndex],58),"")</f>
        <v/>
      </c>
      <c r="BK855">
        <f>IFERROR(SUMIFS(T_TTAFStock[TTAF_Qty],T_TTAFStock[RM_Code],$A847,T_TTAFStock[WeekIndex],59),"")</f>
        <v/>
      </c>
      <c r="BL855">
        <f>IFERROR(SUMIFS(T_TTAFStock[TTAF_Qty],T_TTAFStock[RM_Code],$A847,T_TTAFStock[WeekIndex],60),"")</f>
        <v/>
      </c>
      <c r="BM855">
        <f>IFERROR(SUMIFS(T_TTAFStock[TTAF_Qty],T_TTAFStock[RM_Code],$A847,T_TTAFStock[WeekIndex],61),"")</f>
        <v/>
      </c>
      <c r="BN855">
        <f>IFERROR(SUMIFS(T_TTAFStock[TTAF_Qty],T_TTAFStock[RM_Code],$A847,T_TTAFStock[WeekIndex],62),"")</f>
        <v/>
      </c>
      <c r="BO855">
        <f>IFERROR(SUMIFS(T_TTAFStock[TTAF_Qty],T_TTAFStock[RM_Code],$A847,T_TTAFStock[WeekIndex],63),"")</f>
        <v/>
      </c>
      <c r="BP855">
        <f>IFERROR(SUMIFS(T_TTAFStock[TTAF_Qty],T_TTAFStock[RM_Code],$A847,T_TTAFStock[WeekIndex],64),"")</f>
        <v/>
      </c>
      <c r="BQ855">
        <f>IFERROR(SUMIFS(T_TTAFStock[TTAF_Qty],T_TTAFStock[RM_Code],$A847,T_TTAFStock[WeekIndex],65),"")</f>
        <v/>
      </c>
      <c r="BR855">
        <f>IFERROR(SUMIFS(T_TTAFStock[TTAF_Qty],T_TTAFStock[RM_Code],$A847,T_TTAFStock[WeekIndex],66),"")</f>
        <v/>
      </c>
      <c r="BS855">
        <f>IFERROR(SUMIFS(T_TTAFStock[TTAF_Qty],T_TTAFStock[RM_Code],$A847,T_TTAFStock[WeekIndex],67),"")</f>
        <v/>
      </c>
      <c r="BT855">
        <f>IFERROR(SUMIFS(T_TTAFStock[TTAF_Qty],T_TTAFStock[RM_Code],$A847,T_TTAFStock[WeekIndex],68),"")</f>
        <v/>
      </c>
      <c r="BU855">
        <f>IFERROR(SUMIFS(T_TTAFStock[TTAF_Qty],T_TTAFStock[RM_Code],$A847,T_TTAFStock[WeekIndex],69),"")</f>
        <v/>
      </c>
      <c r="BV855">
        <f>IFERROR(SUMIFS(T_TTAFStock[TTAF_Qty],T_TTAFStock[RM_Code],$A847,T_TTAFStock[WeekIndex],70),"")</f>
        <v/>
      </c>
      <c r="BW855">
        <f>IFERROR(SUMIFS(T_TTAFStock[TTAF_Qty],T_TTAFStock[RM_Code],$A847,T_TTAFStock[WeekIndex],71),"")</f>
        <v/>
      </c>
      <c r="BX855">
        <f>IFERROR(SUMIFS(T_TTAFStock[TTAF_Qty],T_TTAFStock[RM_Code],$A847,T_TTAFStock[WeekIndex],72),"")</f>
        <v/>
      </c>
      <c r="BY855">
        <f>IFERROR(SUMIFS(T_TTAFStock[TTAF_Qty],T_TTAFStock[RM_Code],$A847,T_TTAFStock[WeekIndex],73),"")</f>
        <v/>
      </c>
      <c r="BZ855">
        <f>IFERROR(SUMIFS(T_TTAFStock[TTAF_Qty],T_TTAFStock[RM_Code],$A847,T_TTAFStock[WeekIndex],74),"")</f>
        <v/>
      </c>
      <c r="CA855">
        <f>IFERROR(SUMIFS(T_TTAFStock[TTAF_Qty],T_TTAFStock[RM_Code],$A847,T_TTAFStock[WeekIndex],75),"")</f>
        <v/>
      </c>
      <c r="CB855">
        <f>IFERROR(SUMIFS(T_TTAFStock[TTAF_Qty],T_TTAFStock[RM_Code],$A847,T_TTAFStock[WeekIndex],76),"")</f>
        <v/>
      </c>
      <c r="CC855">
        <f>IFERROR(SUMIFS(T_TTAFStock[TTAF_Qty],T_TTAFStock[RM_Code],$A847,T_TTAFStock[WeekIndex],77),"")</f>
        <v/>
      </c>
      <c r="CD855">
        <f>IFERROR(SUMIFS(T_TTAFStock[TTAF_Qty],T_TTAFStock[RM_Code],$A847,T_TTAFStock[WeekIndex],78),"")</f>
        <v/>
      </c>
      <c r="CE855">
        <f>IFERROR(SUMIFS(T_TTAFStock[TTAF_Qty],T_TTAFStock[RM_Code],$A847,T_TTAFStock[WeekIndex],79),"")</f>
        <v/>
      </c>
      <c r="CF855">
        <f>IFERROR(SUMIFS(T_TTAFStock[TTAF_Qty],T_TTAFStock[RM_Code],$A847,T_TTAFStock[WeekIndex],80),"")</f>
        <v/>
      </c>
      <c r="CG855">
        <f>IFERROR(SUMIFS(T_TTAFStock[TTAF_Qty],T_TTAFStock[RM_Code],$A847,T_TTAFStock[WeekIndex],81),"")</f>
        <v/>
      </c>
      <c r="CH855">
        <f>IFERROR(SUMIFS(T_TTAFStock[TTAF_Qty],T_TTAFStock[RM_Code],$A847,T_TTAFStock[WeekIndex],82),"")</f>
        <v/>
      </c>
      <c r="CI855">
        <f>IFERROR(SUMIFS(T_TTAFStock[TTAF_Qty],T_TTAFStock[RM_Code],$A847,T_TTAFStock[WeekIndex],83),"")</f>
        <v/>
      </c>
      <c r="CJ855">
        <f>IFERROR(SUMIFS(T_TTAFStock[TTAF_Qty],T_TTAFStock[RM_Code],$A847,T_TTAFStock[WeekIndex],84),"")</f>
        <v/>
      </c>
      <c r="CK855">
        <f>IFERROR(SUMIFS(T_TTAFStock[TTAF_Qty],T_TTAFStock[RM_Code],$A847,T_TTAFStock[WeekIndex],85),"")</f>
        <v/>
      </c>
      <c r="CL855">
        <f>IFERROR(SUMIFS(T_TTAFStock[TTAF_Qty],T_TTAFStock[RM_Code],$A847,T_TTAFStock[WeekIndex],86),"")</f>
        <v/>
      </c>
      <c r="CM855">
        <f>IFERROR(SUMIFS(T_TTAFStock[TTAF_Qty],T_TTAFStock[RM_Code],$A847,T_TTAFStock[WeekIndex],87),"")</f>
        <v/>
      </c>
      <c r="CN855">
        <f>IFERROR(SUMIFS(T_TTAFStock[TTAF_Qty],T_TTAFStock[RM_Code],$A847,T_TTAFStock[WeekIndex],88),"")</f>
        <v/>
      </c>
      <c r="CO855">
        <f>IFERROR(SUMIFS(T_TTAFStock[TTAF_Qty],T_TTAFStock[RM_Code],$A847,T_TTAFStock[WeekIndex],89),"")</f>
        <v/>
      </c>
      <c r="CP855">
        <f>IFERROR(SUMIFS(T_TTAFStock[TTAF_Qty],T_TTAFStock[RM_Code],$A847,T_TTAFStock[WeekIndex],90),"")</f>
        <v/>
      </c>
      <c r="CQ855">
        <f>IFERROR(SUMIFS(T_TTAFStock[TTAF_Qty],T_TTAFStock[RM_Code],$A847,T_TTAFStock[WeekIndex],91),"")</f>
        <v/>
      </c>
      <c r="CR855">
        <f>IFERROR(SUMIFS(T_TTAFStock[TTAF_Qty],T_TTAFStock[RM_Code],$A847,T_TTAFStock[WeekIndex],92),"")</f>
        <v/>
      </c>
      <c r="CS855">
        <f>IFERROR(SUMIFS(T_TTAFStock[TTAF_Qty],T_TTAFStock[RM_Code],$A847,T_TTAFStock[WeekIndex],93),"")</f>
        <v/>
      </c>
      <c r="CT855">
        <f>IFERROR(SUMIFS(T_TTAFStock[TTAF_Qty],T_TTAFStock[RM_Code],$A847,T_TTAFStock[WeekIndex],94),"")</f>
        <v/>
      </c>
      <c r="CU855">
        <f>IFERROR(SUMIFS(T_TTAFStock[TTAF_Qty],T_TTAFStock[RM_Code],$A847,T_TTAFStock[WeekIndex],95),"")</f>
        <v/>
      </c>
      <c r="CV855">
        <f>IFERROR(SUMIFS(T_TTAFStock[TTAF_Qty],T_TTAFStock[RM_Code],$A847,T_TTAFStock[WeekIndex],96),"")</f>
        <v/>
      </c>
      <c r="CW855">
        <f>IFERROR(SUMIFS(T_TTAFStock[TTAF_Qty],T_TTAFStock[RM_Code],$A847,T_TTAFStock[WeekIndex],97),"")</f>
        <v/>
      </c>
      <c r="CX855">
        <f>IFERROR(SUMIFS(T_TTAFStock[TTAF_Qty],T_TTAFStock[RM_Code],$A847,T_TTAFStock[WeekIndex],98),"")</f>
        <v/>
      </c>
      <c r="CY855">
        <f>IFERROR(SUMIFS(T_TTAFStock[TTAF_Qty],T_TTAFStock[RM_Code],$A847,T_TTAFStock[WeekIndex],99),"")</f>
        <v/>
      </c>
      <c r="CZ855">
        <f>IFERROR(SUMIFS(T_TTAFStock[TTAF_Qty],T_TTAFStock[RM_Code],$A847,T_TTAFStock[WeekIndex],100),"")</f>
        <v/>
      </c>
      <c r="DA855">
        <f>IFERROR(SUMIFS(T_TTAFStock[TTAF_Qty],T_TTAFStock[RM_Code],$A847,T_TTAFStock[WeekIndex],101),"")</f>
        <v/>
      </c>
      <c r="DB855">
        <f>IFERROR(SUMIFS(T_TTAFStock[TTAF_Qty],T_TTAFStock[RM_Code],$A847,T_TTAFStock[WeekIndex],102),"")</f>
        <v/>
      </c>
      <c r="DC855">
        <f>IFERROR(SUMIFS(T_TTAFStock[TTAF_Qty],T_TTAFStock[RM_Code],$A847,T_TTAFStock[WeekIndex],103),"")</f>
        <v/>
      </c>
      <c r="DD855">
        <f>IFERROR(SUMIFS(T_TTAFStock[TTAF_Qty],T_TTAFStock[RM_Code],$A847,T_TTAFStock[WeekIndex],104),"")</f>
        <v/>
      </c>
    </row>
    <row r="856">
      <c r="B856" t="inlineStr">
        <is>
          <t>自社在庫(実績,kg)</t>
        </is>
      </c>
      <c r="D856">
        <f>IFERROR(INDEX(E856:DD856,$F$1),"")</f>
        <v/>
      </c>
      <c r="E856">
        <f>IFERROR(SUMIFS(T_SelfStock[Self_Qty],T_SelfStock[RM_Code],$A847,T_SelfStock[WeekIndex],1),"")</f>
        <v/>
      </c>
      <c r="F856">
        <f>IFERROR(SUMIFS(T_SelfStock[Self_Qty],T_SelfStock[RM_Code],$A847,T_SelfStock[WeekIndex],2),"")</f>
        <v/>
      </c>
      <c r="G856">
        <f>IFERROR(SUMIFS(T_SelfStock[Self_Qty],T_SelfStock[RM_Code],$A847,T_SelfStock[WeekIndex],3),"")</f>
        <v/>
      </c>
      <c r="H856">
        <f>IFERROR(SUMIFS(T_SelfStock[Self_Qty],T_SelfStock[RM_Code],$A847,T_SelfStock[WeekIndex],4),"")</f>
        <v/>
      </c>
      <c r="I856">
        <f>IFERROR(SUMIFS(T_SelfStock[Self_Qty],T_SelfStock[RM_Code],$A847,T_SelfStock[WeekIndex],5),"")</f>
        <v/>
      </c>
      <c r="J856">
        <f>IFERROR(SUMIFS(T_SelfStock[Self_Qty],T_SelfStock[RM_Code],$A847,T_SelfStock[WeekIndex],6),"")</f>
        <v/>
      </c>
      <c r="K856">
        <f>IFERROR(SUMIFS(T_SelfStock[Self_Qty],T_SelfStock[RM_Code],$A847,T_SelfStock[WeekIndex],7),"")</f>
        <v/>
      </c>
      <c r="L856">
        <f>IFERROR(SUMIFS(T_SelfStock[Self_Qty],T_SelfStock[RM_Code],$A847,T_SelfStock[WeekIndex],8),"")</f>
        <v/>
      </c>
      <c r="M856">
        <f>IFERROR(SUMIFS(T_SelfStock[Self_Qty],T_SelfStock[RM_Code],$A847,T_SelfStock[WeekIndex],9),"")</f>
        <v/>
      </c>
      <c r="N856">
        <f>IFERROR(SUMIFS(T_SelfStock[Self_Qty],T_SelfStock[RM_Code],$A847,T_SelfStock[WeekIndex],10),"")</f>
        <v/>
      </c>
      <c r="O856">
        <f>IFERROR(SUMIFS(T_SelfStock[Self_Qty],T_SelfStock[RM_Code],$A847,T_SelfStock[WeekIndex],11),"")</f>
        <v/>
      </c>
      <c r="P856">
        <f>IFERROR(SUMIFS(T_SelfStock[Self_Qty],T_SelfStock[RM_Code],$A847,T_SelfStock[WeekIndex],12),"")</f>
        <v/>
      </c>
      <c r="Q856">
        <f>IFERROR(SUMIFS(T_SelfStock[Self_Qty],T_SelfStock[RM_Code],$A847,T_SelfStock[WeekIndex],13),"")</f>
        <v/>
      </c>
      <c r="R856">
        <f>IFERROR(SUMIFS(T_SelfStock[Self_Qty],T_SelfStock[RM_Code],$A847,T_SelfStock[WeekIndex],14),"")</f>
        <v/>
      </c>
      <c r="S856">
        <f>IFERROR(SUMIFS(T_SelfStock[Self_Qty],T_SelfStock[RM_Code],$A847,T_SelfStock[WeekIndex],15),"")</f>
        <v/>
      </c>
      <c r="T856">
        <f>IFERROR(SUMIFS(T_SelfStock[Self_Qty],T_SelfStock[RM_Code],$A847,T_SelfStock[WeekIndex],16),"")</f>
        <v/>
      </c>
      <c r="U856">
        <f>IFERROR(SUMIFS(T_SelfStock[Self_Qty],T_SelfStock[RM_Code],$A847,T_SelfStock[WeekIndex],17),"")</f>
        <v/>
      </c>
      <c r="V856">
        <f>IFERROR(SUMIFS(T_SelfStock[Self_Qty],T_SelfStock[RM_Code],$A847,T_SelfStock[WeekIndex],18),"")</f>
        <v/>
      </c>
      <c r="W856">
        <f>IFERROR(SUMIFS(T_SelfStock[Self_Qty],T_SelfStock[RM_Code],$A847,T_SelfStock[WeekIndex],19),"")</f>
        <v/>
      </c>
      <c r="X856">
        <f>IFERROR(SUMIFS(T_SelfStock[Self_Qty],T_SelfStock[RM_Code],$A847,T_SelfStock[WeekIndex],20),"")</f>
        <v/>
      </c>
      <c r="Y856">
        <f>IFERROR(SUMIFS(T_SelfStock[Self_Qty],T_SelfStock[RM_Code],$A847,T_SelfStock[WeekIndex],21),"")</f>
        <v/>
      </c>
      <c r="Z856">
        <f>IFERROR(SUMIFS(T_SelfStock[Self_Qty],T_SelfStock[RM_Code],$A847,T_SelfStock[WeekIndex],22),"")</f>
        <v/>
      </c>
      <c r="AA856">
        <f>IFERROR(SUMIFS(T_SelfStock[Self_Qty],T_SelfStock[RM_Code],$A847,T_SelfStock[WeekIndex],23),"")</f>
        <v/>
      </c>
      <c r="AB856">
        <f>IFERROR(SUMIFS(T_SelfStock[Self_Qty],T_SelfStock[RM_Code],$A847,T_SelfStock[WeekIndex],24),"")</f>
        <v/>
      </c>
      <c r="AC856">
        <f>IFERROR(SUMIFS(T_SelfStock[Self_Qty],T_SelfStock[RM_Code],$A847,T_SelfStock[WeekIndex],25),"")</f>
        <v/>
      </c>
      <c r="AD856">
        <f>IFERROR(SUMIFS(T_SelfStock[Self_Qty],T_SelfStock[RM_Code],$A847,T_SelfStock[WeekIndex],26),"")</f>
        <v/>
      </c>
      <c r="AE856">
        <f>IFERROR(SUMIFS(T_SelfStock[Self_Qty],T_SelfStock[RM_Code],$A847,T_SelfStock[WeekIndex],27),"")</f>
        <v/>
      </c>
      <c r="AF856">
        <f>IFERROR(SUMIFS(T_SelfStock[Self_Qty],T_SelfStock[RM_Code],$A847,T_SelfStock[WeekIndex],28),"")</f>
        <v/>
      </c>
      <c r="AG856">
        <f>IFERROR(SUMIFS(T_SelfStock[Self_Qty],T_SelfStock[RM_Code],$A847,T_SelfStock[WeekIndex],29),"")</f>
        <v/>
      </c>
      <c r="AH856">
        <f>IFERROR(SUMIFS(T_SelfStock[Self_Qty],T_SelfStock[RM_Code],$A847,T_SelfStock[WeekIndex],30),"")</f>
        <v/>
      </c>
      <c r="AI856">
        <f>IFERROR(SUMIFS(T_SelfStock[Self_Qty],T_SelfStock[RM_Code],$A847,T_SelfStock[WeekIndex],31),"")</f>
        <v/>
      </c>
      <c r="AJ856">
        <f>IFERROR(SUMIFS(T_SelfStock[Self_Qty],T_SelfStock[RM_Code],$A847,T_SelfStock[WeekIndex],32),"")</f>
        <v/>
      </c>
      <c r="AK856">
        <f>IFERROR(SUMIFS(T_SelfStock[Self_Qty],T_SelfStock[RM_Code],$A847,T_SelfStock[WeekIndex],33),"")</f>
        <v/>
      </c>
      <c r="AL856">
        <f>IFERROR(SUMIFS(T_SelfStock[Self_Qty],T_SelfStock[RM_Code],$A847,T_SelfStock[WeekIndex],34),"")</f>
        <v/>
      </c>
      <c r="AM856">
        <f>IFERROR(SUMIFS(T_SelfStock[Self_Qty],T_SelfStock[RM_Code],$A847,T_SelfStock[WeekIndex],35),"")</f>
        <v/>
      </c>
      <c r="AN856">
        <f>IFERROR(SUMIFS(T_SelfStock[Self_Qty],T_SelfStock[RM_Code],$A847,T_SelfStock[WeekIndex],36),"")</f>
        <v/>
      </c>
      <c r="AO856">
        <f>IFERROR(SUMIFS(T_SelfStock[Self_Qty],T_SelfStock[RM_Code],$A847,T_SelfStock[WeekIndex],37),"")</f>
        <v/>
      </c>
      <c r="AP856">
        <f>IFERROR(SUMIFS(T_SelfStock[Self_Qty],T_SelfStock[RM_Code],$A847,T_SelfStock[WeekIndex],38),"")</f>
        <v/>
      </c>
      <c r="AQ856">
        <f>IFERROR(SUMIFS(T_SelfStock[Self_Qty],T_SelfStock[RM_Code],$A847,T_SelfStock[WeekIndex],39),"")</f>
        <v/>
      </c>
      <c r="AR856">
        <f>IFERROR(SUMIFS(T_SelfStock[Self_Qty],T_SelfStock[RM_Code],$A847,T_SelfStock[WeekIndex],40),"")</f>
        <v/>
      </c>
      <c r="AS856">
        <f>IFERROR(SUMIFS(T_SelfStock[Self_Qty],T_SelfStock[RM_Code],$A847,T_SelfStock[WeekIndex],41),"")</f>
        <v/>
      </c>
      <c r="AT856">
        <f>IFERROR(SUMIFS(T_SelfStock[Self_Qty],T_SelfStock[RM_Code],$A847,T_SelfStock[WeekIndex],42),"")</f>
        <v/>
      </c>
      <c r="AU856">
        <f>IFERROR(SUMIFS(T_SelfStock[Self_Qty],T_SelfStock[RM_Code],$A847,T_SelfStock[WeekIndex],43),"")</f>
        <v/>
      </c>
      <c r="AV856">
        <f>IFERROR(SUMIFS(T_SelfStock[Self_Qty],T_SelfStock[RM_Code],$A847,T_SelfStock[WeekIndex],44),"")</f>
        <v/>
      </c>
      <c r="AW856">
        <f>IFERROR(SUMIFS(T_SelfStock[Self_Qty],T_SelfStock[RM_Code],$A847,T_SelfStock[WeekIndex],45),"")</f>
        <v/>
      </c>
      <c r="AX856">
        <f>IFERROR(SUMIFS(T_SelfStock[Self_Qty],T_SelfStock[RM_Code],$A847,T_SelfStock[WeekIndex],46),"")</f>
        <v/>
      </c>
      <c r="AY856">
        <f>IFERROR(SUMIFS(T_SelfStock[Self_Qty],T_SelfStock[RM_Code],$A847,T_SelfStock[WeekIndex],47),"")</f>
        <v/>
      </c>
      <c r="AZ856">
        <f>IFERROR(SUMIFS(T_SelfStock[Self_Qty],T_SelfStock[RM_Code],$A847,T_SelfStock[WeekIndex],48),"")</f>
        <v/>
      </c>
      <c r="BA856">
        <f>IFERROR(SUMIFS(T_SelfStock[Self_Qty],T_SelfStock[RM_Code],$A847,T_SelfStock[WeekIndex],49),"")</f>
        <v/>
      </c>
      <c r="BB856">
        <f>IFERROR(SUMIFS(T_SelfStock[Self_Qty],T_SelfStock[RM_Code],$A847,T_SelfStock[WeekIndex],50),"")</f>
        <v/>
      </c>
      <c r="BC856">
        <f>IFERROR(SUMIFS(T_SelfStock[Self_Qty],T_SelfStock[RM_Code],$A847,T_SelfStock[WeekIndex],51),"")</f>
        <v/>
      </c>
      <c r="BD856">
        <f>IFERROR(SUMIFS(T_SelfStock[Self_Qty],T_SelfStock[RM_Code],$A847,T_SelfStock[WeekIndex],52),"")</f>
        <v/>
      </c>
      <c r="BE856">
        <f>IFERROR(SUMIFS(T_SelfStock[Self_Qty],T_SelfStock[RM_Code],$A847,T_SelfStock[WeekIndex],53),"")</f>
        <v/>
      </c>
      <c r="BF856">
        <f>IFERROR(SUMIFS(T_SelfStock[Self_Qty],T_SelfStock[RM_Code],$A847,T_SelfStock[WeekIndex],54),"")</f>
        <v/>
      </c>
      <c r="BG856">
        <f>IFERROR(SUMIFS(T_SelfStock[Self_Qty],T_SelfStock[RM_Code],$A847,T_SelfStock[WeekIndex],55),"")</f>
        <v/>
      </c>
      <c r="BH856">
        <f>IFERROR(SUMIFS(T_SelfStock[Self_Qty],T_SelfStock[RM_Code],$A847,T_SelfStock[WeekIndex],56),"")</f>
        <v/>
      </c>
      <c r="BI856">
        <f>IFERROR(SUMIFS(T_SelfStock[Self_Qty],T_SelfStock[RM_Code],$A847,T_SelfStock[WeekIndex],57),"")</f>
        <v/>
      </c>
      <c r="BJ856">
        <f>IFERROR(SUMIFS(T_SelfStock[Self_Qty],T_SelfStock[RM_Code],$A847,T_SelfStock[WeekIndex],58),"")</f>
        <v/>
      </c>
      <c r="BK856">
        <f>IFERROR(SUMIFS(T_SelfStock[Self_Qty],T_SelfStock[RM_Code],$A847,T_SelfStock[WeekIndex],59),"")</f>
        <v/>
      </c>
      <c r="BL856">
        <f>IFERROR(SUMIFS(T_SelfStock[Self_Qty],T_SelfStock[RM_Code],$A847,T_SelfStock[WeekIndex],60),"")</f>
        <v/>
      </c>
      <c r="BM856">
        <f>IFERROR(SUMIFS(T_SelfStock[Self_Qty],T_SelfStock[RM_Code],$A847,T_SelfStock[WeekIndex],61),"")</f>
        <v/>
      </c>
      <c r="BN856">
        <f>IFERROR(SUMIFS(T_SelfStock[Self_Qty],T_SelfStock[RM_Code],$A847,T_SelfStock[WeekIndex],62),"")</f>
        <v/>
      </c>
      <c r="BO856">
        <f>IFERROR(SUMIFS(T_SelfStock[Self_Qty],T_SelfStock[RM_Code],$A847,T_SelfStock[WeekIndex],63),"")</f>
        <v/>
      </c>
      <c r="BP856">
        <f>IFERROR(SUMIFS(T_SelfStock[Self_Qty],T_SelfStock[RM_Code],$A847,T_SelfStock[WeekIndex],64),"")</f>
        <v/>
      </c>
      <c r="BQ856">
        <f>IFERROR(SUMIFS(T_SelfStock[Self_Qty],T_SelfStock[RM_Code],$A847,T_SelfStock[WeekIndex],65),"")</f>
        <v/>
      </c>
      <c r="BR856">
        <f>IFERROR(SUMIFS(T_SelfStock[Self_Qty],T_SelfStock[RM_Code],$A847,T_SelfStock[WeekIndex],66),"")</f>
        <v/>
      </c>
      <c r="BS856">
        <f>IFERROR(SUMIFS(T_SelfStock[Self_Qty],T_SelfStock[RM_Code],$A847,T_SelfStock[WeekIndex],67),"")</f>
        <v/>
      </c>
      <c r="BT856">
        <f>IFERROR(SUMIFS(T_SelfStock[Self_Qty],T_SelfStock[RM_Code],$A847,T_SelfStock[WeekIndex],68),"")</f>
        <v/>
      </c>
      <c r="BU856">
        <f>IFERROR(SUMIFS(T_SelfStock[Self_Qty],T_SelfStock[RM_Code],$A847,T_SelfStock[WeekIndex],69),"")</f>
        <v/>
      </c>
      <c r="BV856">
        <f>IFERROR(SUMIFS(T_SelfStock[Self_Qty],T_SelfStock[RM_Code],$A847,T_SelfStock[WeekIndex],70),"")</f>
        <v/>
      </c>
      <c r="BW856">
        <f>IFERROR(SUMIFS(T_SelfStock[Self_Qty],T_SelfStock[RM_Code],$A847,T_SelfStock[WeekIndex],71),"")</f>
        <v/>
      </c>
      <c r="BX856">
        <f>IFERROR(SUMIFS(T_SelfStock[Self_Qty],T_SelfStock[RM_Code],$A847,T_SelfStock[WeekIndex],72),"")</f>
        <v/>
      </c>
      <c r="BY856">
        <f>IFERROR(SUMIFS(T_SelfStock[Self_Qty],T_SelfStock[RM_Code],$A847,T_SelfStock[WeekIndex],73),"")</f>
        <v/>
      </c>
      <c r="BZ856">
        <f>IFERROR(SUMIFS(T_SelfStock[Self_Qty],T_SelfStock[RM_Code],$A847,T_SelfStock[WeekIndex],74),"")</f>
        <v/>
      </c>
      <c r="CA856">
        <f>IFERROR(SUMIFS(T_SelfStock[Self_Qty],T_SelfStock[RM_Code],$A847,T_SelfStock[WeekIndex],75),"")</f>
        <v/>
      </c>
      <c r="CB856">
        <f>IFERROR(SUMIFS(T_SelfStock[Self_Qty],T_SelfStock[RM_Code],$A847,T_SelfStock[WeekIndex],76),"")</f>
        <v/>
      </c>
      <c r="CC856">
        <f>IFERROR(SUMIFS(T_SelfStock[Self_Qty],T_SelfStock[RM_Code],$A847,T_SelfStock[WeekIndex],77),"")</f>
        <v/>
      </c>
      <c r="CD856">
        <f>IFERROR(SUMIFS(T_SelfStock[Self_Qty],T_SelfStock[RM_Code],$A847,T_SelfStock[WeekIndex],78),"")</f>
        <v/>
      </c>
      <c r="CE856">
        <f>IFERROR(SUMIFS(T_SelfStock[Self_Qty],T_SelfStock[RM_Code],$A847,T_SelfStock[WeekIndex],79),"")</f>
        <v/>
      </c>
      <c r="CF856">
        <f>IFERROR(SUMIFS(T_SelfStock[Self_Qty],T_SelfStock[RM_Code],$A847,T_SelfStock[WeekIndex],80),"")</f>
        <v/>
      </c>
      <c r="CG856">
        <f>IFERROR(SUMIFS(T_SelfStock[Self_Qty],T_SelfStock[RM_Code],$A847,T_SelfStock[WeekIndex],81),"")</f>
        <v/>
      </c>
      <c r="CH856">
        <f>IFERROR(SUMIFS(T_SelfStock[Self_Qty],T_SelfStock[RM_Code],$A847,T_SelfStock[WeekIndex],82),"")</f>
        <v/>
      </c>
      <c r="CI856">
        <f>IFERROR(SUMIFS(T_SelfStock[Self_Qty],T_SelfStock[RM_Code],$A847,T_SelfStock[WeekIndex],83),"")</f>
        <v/>
      </c>
      <c r="CJ856">
        <f>IFERROR(SUMIFS(T_SelfStock[Self_Qty],T_SelfStock[RM_Code],$A847,T_SelfStock[WeekIndex],84),"")</f>
        <v/>
      </c>
      <c r="CK856">
        <f>IFERROR(SUMIFS(T_SelfStock[Self_Qty],T_SelfStock[RM_Code],$A847,T_SelfStock[WeekIndex],85),"")</f>
        <v/>
      </c>
      <c r="CL856">
        <f>IFERROR(SUMIFS(T_SelfStock[Self_Qty],T_SelfStock[RM_Code],$A847,T_SelfStock[WeekIndex],86),"")</f>
        <v/>
      </c>
      <c r="CM856">
        <f>IFERROR(SUMIFS(T_SelfStock[Self_Qty],T_SelfStock[RM_Code],$A847,T_SelfStock[WeekIndex],87),"")</f>
        <v/>
      </c>
      <c r="CN856">
        <f>IFERROR(SUMIFS(T_SelfStock[Self_Qty],T_SelfStock[RM_Code],$A847,T_SelfStock[WeekIndex],88),"")</f>
        <v/>
      </c>
      <c r="CO856">
        <f>IFERROR(SUMIFS(T_SelfStock[Self_Qty],T_SelfStock[RM_Code],$A847,T_SelfStock[WeekIndex],89),"")</f>
        <v/>
      </c>
      <c r="CP856">
        <f>IFERROR(SUMIFS(T_SelfStock[Self_Qty],T_SelfStock[RM_Code],$A847,T_SelfStock[WeekIndex],90),"")</f>
        <v/>
      </c>
      <c r="CQ856">
        <f>IFERROR(SUMIFS(T_SelfStock[Self_Qty],T_SelfStock[RM_Code],$A847,T_SelfStock[WeekIndex],91),"")</f>
        <v/>
      </c>
      <c r="CR856">
        <f>IFERROR(SUMIFS(T_SelfStock[Self_Qty],T_SelfStock[RM_Code],$A847,T_SelfStock[WeekIndex],92),"")</f>
        <v/>
      </c>
      <c r="CS856">
        <f>IFERROR(SUMIFS(T_SelfStock[Self_Qty],T_SelfStock[RM_Code],$A847,T_SelfStock[WeekIndex],93),"")</f>
        <v/>
      </c>
      <c r="CT856">
        <f>IFERROR(SUMIFS(T_SelfStock[Self_Qty],T_SelfStock[RM_Code],$A847,T_SelfStock[WeekIndex],94),"")</f>
        <v/>
      </c>
      <c r="CU856">
        <f>IFERROR(SUMIFS(T_SelfStock[Self_Qty],T_SelfStock[RM_Code],$A847,T_SelfStock[WeekIndex],95),"")</f>
        <v/>
      </c>
      <c r="CV856">
        <f>IFERROR(SUMIFS(T_SelfStock[Self_Qty],T_SelfStock[RM_Code],$A847,T_SelfStock[WeekIndex],96),"")</f>
        <v/>
      </c>
      <c r="CW856">
        <f>IFERROR(SUMIFS(T_SelfStock[Self_Qty],T_SelfStock[RM_Code],$A847,T_SelfStock[WeekIndex],97),"")</f>
        <v/>
      </c>
      <c r="CX856">
        <f>IFERROR(SUMIFS(T_SelfStock[Self_Qty],T_SelfStock[RM_Code],$A847,T_SelfStock[WeekIndex],98),"")</f>
        <v/>
      </c>
      <c r="CY856">
        <f>IFERROR(SUMIFS(T_SelfStock[Self_Qty],T_SelfStock[RM_Code],$A847,T_SelfStock[WeekIndex],99),"")</f>
        <v/>
      </c>
      <c r="CZ856">
        <f>IFERROR(SUMIFS(T_SelfStock[Self_Qty],T_SelfStock[RM_Code],$A847,T_SelfStock[WeekIndex],100),"")</f>
        <v/>
      </c>
      <c r="DA856">
        <f>IFERROR(SUMIFS(T_SelfStock[Self_Qty],T_SelfStock[RM_Code],$A847,T_SelfStock[WeekIndex],101),"")</f>
        <v/>
      </c>
      <c r="DB856">
        <f>IFERROR(SUMIFS(T_SelfStock[Self_Qty],T_SelfStock[RM_Code],$A847,T_SelfStock[WeekIndex],102),"")</f>
        <v/>
      </c>
      <c r="DC856">
        <f>IFERROR(SUMIFS(T_SelfStock[Self_Qty],T_SelfStock[RM_Code],$A847,T_SelfStock[WeekIndex],103),"")</f>
        <v/>
      </c>
      <c r="DD856">
        <f>IFERROR(SUMIFS(T_SelfStock[Self_Qty],T_SelfStock[RM_Code],$A847,T_SelfStock[WeekIndex],104),"")</f>
        <v/>
      </c>
    </row>
    <row r="857">
      <c r="B857" s="4" t="inlineStr">
        <is>
          <t>合計在庫(週末時点,kg)</t>
        </is>
      </c>
      <c r="D857" s="24">
        <f>IFERROR(INDEX(E857:DD857,$F$1),"")</f>
        <v/>
      </c>
      <c r="E857">
        <f>'Grid_Stock'!B48</f>
        <v/>
      </c>
      <c r="F857">
        <f>'Grid_Stock'!C48</f>
        <v/>
      </c>
      <c r="G857">
        <f>'Grid_Stock'!D48</f>
        <v/>
      </c>
      <c r="H857">
        <f>'Grid_Stock'!E48</f>
        <v/>
      </c>
      <c r="I857">
        <f>'Grid_Stock'!F48</f>
        <v/>
      </c>
      <c r="J857">
        <f>'Grid_Stock'!G48</f>
        <v/>
      </c>
      <c r="K857">
        <f>'Grid_Stock'!H48</f>
        <v/>
      </c>
      <c r="L857">
        <f>'Grid_Stock'!I48</f>
        <v/>
      </c>
      <c r="M857">
        <f>'Grid_Stock'!J48</f>
        <v/>
      </c>
      <c r="N857">
        <f>'Grid_Stock'!K48</f>
        <v/>
      </c>
      <c r="O857">
        <f>'Grid_Stock'!L48</f>
        <v/>
      </c>
      <c r="P857">
        <f>'Grid_Stock'!M48</f>
        <v/>
      </c>
      <c r="Q857">
        <f>'Grid_Stock'!N48</f>
        <v/>
      </c>
      <c r="R857">
        <f>'Grid_Stock'!O48</f>
        <v/>
      </c>
      <c r="S857">
        <f>'Grid_Stock'!P48</f>
        <v/>
      </c>
      <c r="T857">
        <f>'Grid_Stock'!Q48</f>
        <v/>
      </c>
      <c r="U857">
        <f>'Grid_Stock'!R48</f>
        <v/>
      </c>
      <c r="V857">
        <f>'Grid_Stock'!S48</f>
        <v/>
      </c>
      <c r="W857">
        <f>'Grid_Stock'!T48</f>
        <v/>
      </c>
      <c r="X857">
        <f>'Grid_Stock'!U48</f>
        <v/>
      </c>
      <c r="Y857">
        <f>'Grid_Stock'!V48</f>
        <v/>
      </c>
      <c r="Z857">
        <f>'Grid_Stock'!W48</f>
        <v/>
      </c>
      <c r="AA857">
        <f>'Grid_Stock'!X48</f>
        <v/>
      </c>
      <c r="AB857">
        <f>'Grid_Stock'!Y48</f>
        <v/>
      </c>
      <c r="AC857">
        <f>'Grid_Stock'!Z48</f>
        <v/>
      </c>
      <c r="AD857">
        <f>'Grid_Stock'!AA48</f>
        <v/>
      </c>
      <c r="AE857">
        <f>'Grid_Stock'!AB48</f>
        <v/>
      </c>
      <c r="AF857">
        <f>'Grid_Stock'!AC48</f>
        <v/>
      </c>
      <c r="AG857">
        <f>'Grid_Stock'!AD48</f>
        <v/>
      </c>
      <c r="AH857">
        <f>'Grid_Stock'!AE48</f>
        <v/>
      </c>
      <c r="AI857">
        <f>'Grid_Stock'!AF48</f>
        <v/>
      </c>
      <c r="AJ857">
        <f>'Grid_Stock'!AG48</f>
        <v/>
      </c>
      <c r="AK857">
        <f>'Grid_Stock'!AH48</f>
        <v/>
      </c>
      <c r="AL857">
        <f>'Grid_Stock'!AI48</f>
        <v/>
      </c>
      <c r="AM857">
        <f>'Grid_Stock'!AJ48</f>
        <v/>
      </c>
      <c r="AN857">
        <f>'Grid_Stock'!AK48</f>
        <v/>
      </c>
      <c r="AO857">
        <f>'Grid_Stock'!AL48</f>
        <v/>
      </c>
      <c r="AP857">
        <f>'Grid_Stock'!AM48</f>
        <v/>
      </c>
      <c r="AQ857">
        <f>'Grid_Stock'!AN48</f>
        <v/>
      </c>
      <c r="AR857">
        <f>'Grid_Stock'!AO48</f>
        <v/>
      </c>
      <c r="AS857">
        <f>'Grid_Stock'!AP48</f>
        <v/>
      </c>
      <c r="AT857">
        <f>'Grid_Stock'!AQ48</f>
        <v/>
      </c>
      <c r="AU857">
        <f>'Grid_Stock'!AR48</f>
        <v/>
      </c>
      <c r="AV857">
        <f>'Grid_Stock'!AS48</f>
        <v/>
      </c>
      <c r="AW857">
        <f>'Grid_Stock'!AT48</f>
        <v/>
      </c>
      <c r="AX857">
        <f>'Grid_Stock'!AU48</f>
        <v/>
      </c>
      <c r="AY857">
        <f>'Grid_Stock'!AV48</f>
        <v/>
      </c>
      <c r="AZ857">
        <f>'Grid_Stock'!AW48</f>
        <v/>
      </c>
      <c r="BA857">
        <f>'Grid_Stock'!AX48</f>
        <v/>
      </c>
      <c r="BB857">
        <f>'Grid_Stock'!AY48</f>
        <v/>
      </c>
      <c r="BC857">
        <f>'Grid_Stock'!AZ48</f>
        <v/>
      </c>
      <c r="BD857">
        <f>'Grid_Stock'!BA48</f>
        <v/>
      </c>
      <c r="BE857">
        <f>'Grid_Stock'!BB48</f>
        <v/>
      </c>
      <c r="BF857">
        <f>'Grid_Stock'!BC48</f>
        <v/>
      </c>
      <c r="BG857">
        <f>'Grid_Stock'!BD48</f>
        <v/>
      </c>
      <c r="BH857">
        <f>'Grid_Stock'!BE48</f>
        <v/>
      </c>
      <c r="BI857">
        <f>'Grid_Stock'!BF48</f>
        <v/>
      </c>
      <c r="BJ857">
        <f>'Grid_Stock'!BG48</f>
        <v/>
      </c>
      <c r="BK857">
        <f>'Grid_Stock'!BH48</f>
        <v/>
      </c>
      <c r="BL857">
        <f>'Grid_Stock'!BI48</f>
        <v/>
      </c>
      <c r="BM857">
        <f>'Grid_Stock'!BJ48</f>
        <v/>
      </c>
      <c r="BN857">
        <f>'Grid_Stock'!BK48</f>
        <v/>
      </c>
      <c r="BO857">
        <f>'Grid_Stock'!BL48</f>
        <v/>
      </c>
      <c r="BP857">
        <f>'Grid_Stock'!BM48</f>
        <v/>
      </c>
      <c r="BQ857">
        <f>'Grid_Stock'!BN48</f>
        <v/>
      </c>
      <c r="BR857">
        <f>'Grid_Stock'!BO48</f>
        <v/>
      </c>
      <c r="BS857">
        <f>'Grid_Stock'!BP48</f>
        <v/>
      </c>
      <c r="BT857">
        <f>'Grid_Stock'!BQ48</f>
        <v/>
      </c>
      <c r="BU857">
        <f>'Grid_Stock'!BR48</f>
        <v/>
      </c>
      <c r="BV857">
        <f>'Grid_Stock'!BS48</f>
        <v/>
      </c>
      <c r="BW857">
        <f>'Grid_Stock'!BT48</f>
        <v/>
      </c>
      <c r="BX857">
        <f>'Grid_Stock'!BU48</f>
        <v/>
      </c>
      <c r="BY857">
        <f>'Grid_Stock'!BV48</f>
        <v/>
      </c>
      <c r="BZ857">
        <f>'Grid_Stock'!BW48</f>
        <v/>
      </c>
      <c r="CA857">
        <f>'Grid_Stock'!BX48</f>
        <v/>
      </c>
      <c r="CB857">
        <f>'Grid_Stock'!BY48</f>
        <v/>
      </c>
      <c r="CC857">
        <f>'Grid_Stock'!BZ48</f>
        <v/>
      </c>
      <c r="CD857">
        <f>'Grid_Stock'!CA48</f>
        <v/>
      </c>
      <c r="CE857">
        <f>'Grid_Stock'!CB48</f>
        <v/>
      </c>
      <c r="CF857">
        <f>'Grid_Stock'!CC48</f>
        <v/>
      </c>
      <c r="CG857">
        <f>'Grid_Stock'!CD48</f>
        <v/>
      </c>
      <c r="CH857">
        <f>'Grid_Stock'!CE48</f>
        <v/>
      </c>
      <c r="CI857">
        <f>'Grid_Stock'!CF48</f>
        <v/>
      </c>
      <c r="CJ857">
        <f>'Grid_Stock'!CG48</f>
        <v/>
      </c>
      <c r="CK857">
        <f>'Grid_Stock'!CH48</f>
        <v/>
      </c>
      <c r="CL857">
        <f>'Grid_Stock'!CI48</f>
        <v/>
      </c>
      <c r="CM857">
        <f>'Grid_Stock'!CJ48</f>
        <v/>
      </c>
      <c r="CN857">
        <f>'Grid_Stock'!CK48</f>
        <v/>
      </c>
      <c r="CO857">
        <f>'Grid_Stock'!CL48</f>
        <v/>
      </c>
      <c r="CP857">
        <f>'Grid_Stock'!CM48</f>
        <v/>
      </c>
      <c r="CQ857">
        <f>'Grid_Stock'!CN48</f>
        <v/>
      </c>
      <c r="CR857">
        <f>'Grid_Stock'!CO48</f>
        <v/>
      </c>
      <c r="CS857">
        <f>'Grid_Stock'!CP48</f>
        <v/>
      </c>
      <c r="CT857">
        <f>'Grid_Stock'!CQ48</f>
        <v/>
      </c>
      <c r="CU857">
        <f>'Grid_Stock'!CR48</f>
        <v/>
      </c>
      <c r="CV857">
        <f>'Grid_Stock'!CS48</f>
        <v/>
      </c>
      <c r="CW857">
        <f>'Grid_Stock'!CT48</f>
        <v/>
      </c>
      <c r="CX857">
        <f>'Grid_Stock'!CU48</f>
        <v/>
      </c>
      <c r="CY857">
        <f>'Grid_Stock'!CV48</f>
        <v/>
      </c>
      <c r="CZ857">
        <f>'Grid_Stock'!CW48</f>
        <v/>
      </c>
      <c r="DA857">
        <f>'Grid_Stock'!CX48</f>
        <v/>
      </c>
      <c r="DB857">
        <f>'Grid_Stock'!CY48</f>
        <v/>
      </c>
      <c r="DC857">
        <f>'Grid_Stock'!CZ48</f>
        <v/>
      </c>
      <c r="DD857">
        <f>'Grid_Stock'!DA48</f>
        <v/>
      </c>
    </row>
    <row r="858">
      <c r="B858" s="25" t="inlineStr">
        <is>
          <t>（発注の目安はDashboardの基準在庫[下限/上限]と色分けを参照）</t>
        </is>
      </c>
    </row>
    <row r="860">
      <c r="A860" s="21" t="inlineStr">
        <is>
          <t>CHEM-1610</t>
        </is>
      </c>
      <c r="B860" s="21" t="inlineStr">
        <is>
          <t>Optalys 138</t>
        </is>
      </c>
      <c r="C860" s="22" t="n"/>
      <c r="D860" s="21" t="n"/>
      <c r="E860" s="21" t="n"/>
      <c r="F860" s="21" t="n"/>
      <c r="G860" s="21" t="n"/>
      <c r="H860" s="2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  <c r="AA860" s="21" t="n"/>
      <c r="AB860" s="21" t="n"/>
      <c r="AC860" s="21" t="n"/>
      <c r="AD860" s="21" t="n"/>
      <c r="AE860" s="21" t="n"/>
      <c r="AF860" s="21" t="n"/>
      <c r="AG860" s="21" t="n"/>
      <c r="AH860" s="21" t="n"/>
      <c r="AI860" s="21" t="n"/>
      <c r="AJ860" s="21" t="n"/>
      <c r="AK860" s="21" t="n"/>
      <c r="AL860" s="21" t="n"/>
      <c r="AM860" s="21" t="n"/>
      <c r="AN860" s="21" t="n"/>
      <c r="AO860" s="21" t="n"/>
      <c r="AP860" s="21" t="n"/>
      <c r="AQ860" s="21" t="n"/>
      <c r="AR860" s="21" t="n"/>
      <c r="AS860" s="21" t="n"/>
      <c r="AT860" s="21" t="n"/>
      <c r="AU860" s="21" t="n"/>
      <c r="AV860" s="21" t="n"/>
      <c r="AW860" s="21" t="n"/>
      <c r="AX860" s="21" t="n"/>
      <c r="AY860" s="21" t="n"/>
      <c r="AZ860" s="21" t="n"/>
      <c r="BA860" s="21" t="n"/>
      <c r="BB860" s="21" t="n"/>
      <c r="BC860" s="21" t="n"/>
      <c r="BD860" s="21" t="n"/>
      <c r="BE860" s="21" t="n"/>
      <c r="BF860" s="21" t="n"/>
      <c r="BG860" s="21" t="n"/>
      <c r="BH860" s="21" t="n"/>
      <c r="BI860" s="21" t="n"/>
      <c r="BJ860" s="21" t="n"/>
      <c r="BK860" s="21" t="n"/>
      <c r="BL860" s="21" t="n"/>
      <c r="BM860" s="21" t="n"/>
      <c r="BN860" s="21" t="n"/>
      <c r="BO860" s="21" t="n"/>
      <c r="BP860" s="21" t="n"/>
      <c r="BQ860" s="21" t="n"/>
      <c r="BR860" s="21" t="n"/>
      <c r="BS860" s="21" t="n"/>
      <c r="BT860" s="21" t="n"/>
      <c r="BU860" s="21" t="n"/>
      <c r="BV860" s="21" t="n"/>
      <c r="BW860" s="21" t="n"/>
      <c r="BX860" s="21" t="n"/>
      <c r="BY860" s="21" t="n"/>
      <c r="BZ860" s="21" t="n"/>
      <c r="CA860" s="21" t="n"/>
      <c r="CB860" s="21" t="n"/>
      <c r="CC860" s="21" t="n"/>
      <c r="CD860" s="21" t="n"/>
      <c r="CE860" s="21" t="n"/>
      <c r="CF860" s="21" t="n"/>
      <c r="CG860" s="21" t="n"/>
      <c r="CH860" s="21" t="n"/>
      <c r="CI860" s="21" t="n"/>
      <c r="CJ860" s="21" t="n"/>
      <c r="CK860" s="21" t="n"/>
      <c r="CL860" s="21" t="n"/>
      <c r="CM860" s="21" t="n"/>
      <c r="CN860" s="21" t="n"/>
      <c r="CO860" s="21" t="n"/>
      <c r="CP860" s="21" t="n"/>
      <c r="CQ860" s="21" t="n"/>
      <c r="CR860" s="21" t="n"/>
      <c r="CS860" s="21" t="n"/>
      <c r="CT860" s="21" t="n"/>
      <c r="CU860" s="21" t="n"/>
      <c r="CV860" s="21" t="n"/>
      <c r="CW860" s="21" t="n"/>
      <c r="CX860" s="21" t="n"/>
      <c r="CY860" s="21" t="n"/>
      <c r="CZ860" s="21" t="n"/>
      <c r="DA860" s="21" t="n"/>
      <c r="DB860" s="21" t="n"/>
      <c r="DC860" s="21" t="n"/>
      <c r="DD860" s="21" t="n"/>
    </row>
    <row r="861">
      <c r="B861" t="inlineStr">
        <is>
          <t>TSP-219</t>
        </is>
      </c>
      <c r="C861" t="inlineStr">
        <is>
          <t>No. of batches</t>
        </is>
      </c>
      <c r="D861">
        <f>IFERROR(INDEX(E861:DD861,$F$1),"")</f>
        <v/>
      </c>
      <c r="E861">
        <f>IFERROR(INDEX(PP_Grid[#Data],$DE861,2),0)</f>
        <v/>
      </c>
      <c r="F861">
        <f>IFERROR(INDEX(PP_Grid[#Data],$DE861,3),0)</f>
        <v/>
      </c>
      <c r="G861">
        <f>IFERROR(INDEX(PP_Grid[#Data],$DE861,4),0)</f>
        <v/>
      </c>
      <c r="H861">
        <f>IFERROR(INDEX(PP_Grid[#Data],$DE861,5),0)</f>
        <v/>
      </c>
      <c r="I861">
        <f>IFERROR(INDEX(PP_Grid[#Data],$DE861,6),0)</f>
        <v/>
      </c>
      <c r="J861">
        <f>IFERROR(INDEX(PP_Grid[#Data],$DE861,7),0)</f>
        <v/>
      </c>
      <c r="K861">
        <f>IFERROR(INDEX(PP_Grid[#Data],$DE861,8),0)</f>
        <v/>
      </c>
      <c r="L861">
        <f>IFERROR(INDEX(PP_Grid[#Data],$DE861,9),0)</f>
        <v/>
      </c>
      <c r="M861">
        <f>IFERROR(INDEX(PP_Grid[#Data],$DE861,10),0)</f>
        <v/>
      </c>
      <c r="N861">
        <f>IFERROR(INDEX(PP_Grid[#Data],$DE861,11),0)</f>
        <v/>
      </c>
      <c r="O861">
        <f>IFERROR(INDEX(PP_Grid[#Data],$DE861,12),0)</f>
        <v/>
      </c>
      <c r="P861">
        <f>IFERROR(INDEX(PP_Grid[#Data],$DE861,13),0)</f>
        <v/>
      </c>
      <c r="Q861">
        <f>IFERROR(INDEX(PP_Grid[#Data],$DE861,14),0)</f>
        <v/>
      </c>
      <c r="R861">
        <f>IFERROR(INDEX(PP_Grid[#Data],$DE861,15),0)</f>
        <v/>
      </c>
      <c r="S861">
        <f>IFERROR(INDEX(PP_Grid[#Data],$DE861,16),0)</f>
        <v/>
      </c>
      <c r="T861">
        <f>IFERROR(INDEX(PP_Grid[#Data],$DE861,17),0)</f>
        <v/>
      </c>
      <c r="U861">
        <f>IFERROR(INDEX(PP_Grid[#Data],$DE861,18),0)</f>
        <v/>
      </c>
      <c r="V861">
        <f>IFERROR(INDEX(PP_Grid[#Data],$DE861,19),0)</f>
        <v/>
      </c>
      <c r="W861">
        <f>IFERROR(INDEX(PP_Grid[#Data],$DE861,20),0)</f>
        <v/>
      </c>
      <c r="X861">
        <f>IFERROR(INDEX(PP_Grid[#Data],$DE861,21),0)</f>
        <v/>
      </c>
      <c r="Y861">
        <f>IFERROR(INDEX(PP_Grid[#Data],$DE861,22),0)</f>
        <v/>
      </c>
      <c r="Z861">
        <f>IFERROR(INDEX(PP_Grid[#Data],$DE861,23),0)</f>
        <v/>
      </c>
      <c r="AA861">
        <f>IFERROR(INDEX(PP_Grid[#Data],$DE861,24),0)</f>
        <v/>
      </c>
      <c r="AB861">
        <f>IFERROR(INDEX(PP_Grid[#Data],$DE861,25),0)</f>
        <v/>
      </c>
      <c r="AC861">
        <f>IFERROR(INDEX(PP_Grid[#Data],$DE861,26),0)</f>
        <v/>
      </c>
      <c r="AD861">
        <f>IFERROR(INDEX(PP_Grid[#Data],$DE861,27),0)</f>
        <v/>
      </c>
      <c r="AE861">
        <f>IFERROR(INDEX(PP_Grid[#Data],$DE861,28),0)</f>
        <v/>
      </c>
      <c r="AF861">
        <f>IFERROR(INDEX(PP_Grid[#Data],$DE861,29),0)</f>
        <v/>
      </c>
      <c r="AG861">
        <f>IFERROR(INDEX(PP_Grid[#Data],$DE861,30),0)</f>
        <v/>
      </c>
      <c r="AH861">
        <f>IFERROR(INDEX(PP_Grid[#Data],$DE861,31),0)</f>
        <v/>
      </c>
      <c r="AI861">
        <f>IFERROR(INDEX(PP_Grid[#Data],$DE861,32),0)</f>
        <v/>
      </c>
      <c r="AJ861">
        <f>IFERROR(INDEX(PP_Grid[#Data],$DE861,33),0)</f>
        <v/>
      </c>
      <c r="AK861">
        <f>IFERROR(INDEX(PP_Grid[#Data],$DE861,34),0)</f>
        <v/>
      </c>
      <c r="AL861">
        <f>IFERROR(INDEX(PP_Grid[#Data],$DE861,35),0)</f>
        <v/>
      </c>
      <c r="AM861">
        <f>IFERROR(INDEX(PP_Grid[#Data],$DE861,36),0)</f>
        <v/>
      </c>
      <c r="AN861">
        <f>IFERROR(INDEX(PP_Grid[#Data],$DE861,37),0)</f>
        <v/>
      </c>
      <c r="AO861">
        <f>IFERROR(INDEX(PP_Grid[#Data],$DE861,38),0)</f>
        <v/>
      </c>
      <c r="AP861">
        <f>IFERROR(INDEX(PP_Grid[#Data],$DE861,39),0)</f>
        <v/>
      </c>
      <c r="AQ861">
        <f>IFERROR(INDEX(PP_Grid[#Data],$DE861,40),0)</f>
        <v/>
      </c>
      <c r="AR861">
        <f>IFERROR(INDEX(PP_Grid[#Data],$DE861,41),0)</f>
        <v/>
      </c>
      <c r="AS861">
        <f>IFERROR(INDEX(PP_Grid[#Data],$DE861,42),0)</f>
        <v/>
      </c>
      <c r="AT861">
        <f>IFERROR(INDEX(PP_Grid[#Data],$DE861,43),0)</f>
        <v/>
      </c>
      <c r="AU861">
        <f>IFERROR(INDEX(PP_Grid[#Data],$DE861,44),0)</f>
        <v/>
      </c>
      <c r="AV861">
        <f>IFERROR(INDEX(PP_Grid[#Data],$DE861,45),0)</f>
        <v/>
      </c>
      <c r="AW861">
        <f>IFERROR(INDEX(PP_Grid[#Data],$DE861,46),0)</f>
        <v/>
      </c>
      <c r="AX861">
        <f>IFERROR(INDEX(PP_Grid[#Data],$DE861,47),0)</f>
        <v/>
      </c>
      <c r="AY861">
        <f>IFERROR(INDEX(PP_Grid[#Data],$DE861,48),0)</f>
        <v/>
      </c>
      <c r="AZ861">
        <f>IFERROR(INDEX(PP_Grid[#Data],$DE861,49),0)</f>
        <v/>
      </c>
      <c r="BA861">
        <f>IFERROR(INDEX(PP_Grid[#Data],$DE861,50),0)</f>
        <v/>
      </c>
      <c r="BB861">
        <f>IFERROR(INDEX(PP_Grid[#Data],$DE861,51),0)</f>
        <v/>
      </c>
      <c r="BC861">
        <f>IFERROR(INDEX(PP_Grid[#Data],$DE861,52),0)</f>
        <v/>
      </c>
      <c r="BD861">
        <f>IFERROR(INDEX(PP_Grid[#Data],$DE861,53),0)</f>
        <v/>
      </c>
      <c r="BE861">
        <f>IFERROR(INDEX(PP_Grid[#Data],$DE861,54),0)</f>
        <v/>
      </c>
      <c r="BF861">
        <f>IFERROR(INDEX(PP_Grid[#Data],$DE861,55),0)</f>
        <v/>
      </c>
      <c r="BG861">
        <f>IFERROR(INDEX(PP_Grid[#Data],$DE861,56),0)</f>
        <v/>
      </c>
      <c r="BH861">
        <f>IFERROR(INDEX(PP_Grid[#Data],$DE861,57),0)</f>
        <v/>
      </c>
      <c r="BI861">
        <f>IFERROR(INDEX(PP_Grid[#Data],$DE861,58),0)</f>
        <v/>
      </c>
      <c r="BJ861">
        <f>IFERROR(INDEX(PP_Grid[#Data],$DE861,59),0)</f>
        <v/>
      </c>
      <c r="BK861">
        <f>IFERROR(INDEX(PP_Grid[#Data],$DE861,60),0)</f>
        <v/>
      </c>
      <c r="BL861">
        <f>IFERROR(INDEX(PP_Grid[#Data],$DE861,61),0)</f>
        <v/>
      </c>
      <c r="BM861">
        <f>IFERROR(INDEX(PP_Grid[#Data],$DE861,62),0)</f>
        <v/>
      </c>
      <c r="BN861">
        <f>IFERROR(INDEX(PP_Grid[#Data],$DE861,63),0)</f>
        <v/>
      </c>
      <c r="BO861">
        <f>IFERROR(INDEX(PP_Grid[#Data],$DE861,64),0)</f>
        <v/>
      </c>
      <c r="BP861">
        <f>IFERROR(INDEX(PP_Grid[#Data],$DE861,65),0)</f>
        <v/>
      </c>
      <c r="BQ861">
        <f>IFERROR(INDEX(PP_Grid[#Data],$DE861,66),0)</f>
        <v/>
      </c>
      <c r="BR861">
        <f>IFERROR(INDEX(PP_Grid[#Data],$DE861,67),0)</f>
        <v/>
      </c>
      <c r="BS861">
        <f>IFERROR(INDEX(PP_Grid[#Data],$DE861,68),0)</f>
        <v/>
      </c>
      <c r="BT861">
        <f>IFERROR(INDEX(PP_Grid[#Data],$DE861,69),0)</f>
        <v/>
      </c>
      <c r="BU861">
        <f>IFERROR(INDEX(PP_Grid[#Data],$DE861,70),0)</f>
        <v/>
      </c>
      <c r="BV861">
        <f>IFERROR(INDEX(PP_Grid[#Data],$DE861,71),0)</f>
        <v/>
      </c>
      <c r="BW861">
        <f>IFERROR(INDEX(PP_Grid[#Data],$DE861,72),0)</f>
        <v/>
      </c>
      <c r="BX861">
        <f>IFERROR(INDEX(PP_Grid[#Data],$DE861,73),0)</f>
        <v/>
      </c>
      <c r="BY861">
        <f>IFERROR(INDEX(PP_Grid[#Data],$DE861,74),0)</f>
        <v/>
      </c>
      <c r="BZ861">
        <f>IFERROR(INDEX(PP_Grid[#Data],$DE861,75),0)</f>
        <v/>
      </c>
      <c r="CA861">
        <f>IFERROR(INDEX(PP_Grid[#Data],$DE861,76),0)</f>
        <v/>
      </c>
      <c r="CB861">
        <f>IFERROR(INDEX(PP_Grid[#Data],$DE861,77),0)</f>
        <v/>
      </c>
      <c r="CC861">
        <f>IFERROR(INDEX(PP_Grid[#Data],$DE861,78),0)</f>
        <v/>
      </c>
      <c r="CD861">
        <f>IFERROR(INDEX(PP_Grid[#Data],$DE861,79),0)</f>
        <v/>
      </c>
      <c r="CE861">
        <f>IFERROR(INDEX(PP_Grid[#Data],$DE861,80),0)</f>
        <v/>
      </c>
      <c r="CF861">
        <f>IFERROR(INDEX(PP_Grid[#Data],$DE861,81),0)</f>
        <v/>
      </c>
      <c r="CG861">
        <f>IFERROR(INDEX(PP_Grid[#Data],$DE861,82),0)</f>
        <v/>
      </c>
      <c r="CH861">
        <f>IFERROR(INDEX(PP_Grid[#Data],$DE861,83),0)</f>
        <v/>
      </c>
      <c r="CI861">
        <f>IFERROR(INDEX(PP_Grid[#Data],$DE861,84),0)</f>
        <v/>
      </c>
      <c r="CJ861">
        <f>IFERROR(INDEX(PP_Grid[#Data],$DE861,85),0)</f>
        <v/>
      </c>
      <c r="CK861">
        <f>IFERROR(INDEX(PP_Grid[#Data],$DE861,86),0)</f>
        <v/>
      </c>
      <c r="CL861">
        <f>IFERROR(INDEX(PP_Grid[#Data],$DE861,87),0)</f>
        <v/>
      </c>
      <c r="CM861">
        <f>IFERROR(INDEX(PP_Grid[#Data],$DE861,88),0)</f>
        <v/>
      </c>
      <c r="CN861">
        <f>IFERROR(INDEX(PP_Grid[#Data],$DE861,89),0)</f>
        <v/>
      </c>
      <c r="CO861">
        <f>IFERROR(INDEX(PP_Grid[#Data],$DE861,90),0)</f>
        <v/>
      </c>
      <c r="CP861">
        <f>IFERROR(INDEX(PP_Grid[#Data],$DE861,91),0)</f>
        <v/>
      </c>
      <c r="CQ861">
        <f>IFERROR(INDEX(PP_Grid[#Data],$DE861,92),0)</f>
        <v/>
      </c>
      <c r="CR861">
        <f>IFERROR(INDEX(PP_Grid[#Data],$DE861,93),0)</f>
        <v/>
      </c>
      <c r="CS861">
        <f>IFERROR(INDEX(PP_Grid[#Data],$DE861,94),0)</f>
        <v/>
      </c>
      <c r="CT861">
        <f>IFERROR(INDEX(PP_Grid[#Data],$DE861,95),0)</f>
        <v/>
      </c>
      <c r="CU861">
        <f>IFERROR(INDEX(PP_Grid[#Data],$DE861,96),0)</f>
        <v/>
      </c>
      <c r="CV861">
        <f>IFERROR(INDEX(PP_Grid[#Data],$DE861,97),0)</f>
        <v/>
      </c>
      <c r="CW861">
        <f>IFERROR(INDEX(PP_Grid[#Data],$DE861,98),0)</f>
        <v/>
      </c>
      <c r="CX861">
        <f>IFERROR(INDEX(PP_Grid[#Data],$DE861,99),0)</f>
        <v/>
      </c>
      <c r="CY861">
        <f>IFERROR(INDEX(PP_Grid[#Data],$DE861,100),0)</f>
        <v/>
      </c>
      <c r="CZ861">
        <f>IFERROR(INDEX(PP_Grid[#Data],$DE861,101),0)</f>
        <v/>
      </c>
      <c r="DA861">
        <f>IFERROR(INDEX(PP_Grid[#Data],$DE861,102),0)</f>
        <v/>
      </c>
      <c r="DB861">
        <f>IFERROR(INDEX(PP_Grid[#Data],$DE861,103),0)</f>
        <v/>
      </c>
      <c r="DC861">
        <f>IFERROR(INDEX(PP_Grid[#Data],$DE861,104),0)</f>
        <v/>
      </c>
      <c r="DD861">
        <f>IFERROR(INDEX(PP_Grid[#Data],$DE861,105),0)</f>
        <v/>
      </c>
      <c r="DE861" s="7">
        <f>IFERROR(MATCH($B861,PP_Grid[Intermediate],0),99999)</f>
        <v/>
      </c>
    </row>
    <row r="862">
      <c r="B862" t="inlineStr">
        <is>
          <t>使用量(kg)</t>
        </is>
      </c>
      <c r="C862">
        <f>SUMIFS(M_BOM[RM_Qty_Per_Batch],M_BOM[Intermediate],$B861,M_BOM[RM_Code],$A860)</f>
        <v/>
      </c>
      <c r="D862">
        <f>IFERROR(INDEX(E862:DD862,$F$1),"")</f>
        <v/>
      </c>
      <c r="E862">
        <f>$C862*E861</f>
        <v/>
      </c>
      <c r="F862">
        <f>$C862*F861</f>
        <v/>
      </c>
      <c r="G862">
        <f>$C862*G861</f>
        <v/>
      </c>
      <c r="H862">
        <f>$C862*H861</f>
        <v/>
      </c>
      <c r="I862">
        <f>$C862*I861</f>
        <v/>
      </c>
      <c r="J862">
        <f>$C862*J861</f>
        <v/>
      </c>
      <c r="K862">
        <f>$C862*K861</f>
        <v/>
      </c>
      <c r="L862">
        <f>$C862*L861</f>
        <v/>
      </c>
      <c r="M862">
        <f>$C862*M861</f>
        <v/>
      </c>
      <c r="N862">
        <f>$C862*N861</f>
        <v/>
      </c>
      <c r="O862">
        <f>$C862*O861</f>
        <v/>
      </c>
      <c r="P862">
        <f>$C862*P861</f>
        <v/>
      </c>
      <c r="Q862">
        <f>$C862*Q861</f>
        <v/>
      </c>
      <c r="R862">
        <f>$C862*R861</f>
        <v/>
      </c>
      <c r="S862">
        <f>$C862*S861</f>
        <v/>
      </c>
      <c r="T862">
        <f>$C862*T861</f>
        <v/>
      </c>
      <c r="U862">
        <f>$C862*U861</f>
        <v/>
      </c>
      <c r="V862">
        <f>$C862*V861</f>
        <v/>
      </c>
      <c r="W862">
        <f>$C862*W861</f>
        <v/>
      </c>
      <c r="X862">
        <f>$C862*X861</f>
        <v/>
      </c>
      <c r="Y862">
        <f>$C862*Y861</f>
        <v/>
      </c>
      <c r="Z862">
        <f>$C862*Z861</f>
        <v/>
      </c>
      <c r="AA862">
        <f>$C862*AA861</f>
        <v/>
      </c>
      <c r="AB862">
        <f>$C862*AB861</f>
        <v/>
      </c>
      <c r="AC862">
        <f>$C862*AC861</f>
        <v/>
      </c>
      <c r="AD862">
        <f>$C862*AD861</f>
        <v/>
      </c>
      <c r="AE862">
        <f>$C862*AE861</f>
        <v/>
      </c>
      <c r="AF862">
        <f>$C862*AF861</f>
        <v/>
      </c>
      <c r="AG862">
        <f>$C862*AG861</f>
        <v/>
      </c>
      <c r="AH862">
        <f>$C862*AH861</f>
        <v/>
      </c>
      <c r="AI862">
        <f>$C862*AI861</f>
        <v/>
      </c>
      <c r="AJ862">
        <f>$C862*AJ861</f>
        <v/>
      </c>
      <c r="AK862">
        <f>$C862*AK861</f>
        <v/>
      </c>
      <c r="AL862">
        <f>$C862*AL861</f>
        <v/>
      </c>
      <c r="AM862">
        <f>$C862*AM861</f>
        <v/>
      </c>
      <c r="AN862">
        <f>$C862*AN861</f>
        <v/>
      </c>
      <c r="AO862">
        <f>$C862*AO861</f>
        <v/>
      </c>
      <c r="AP862">
        <f>$C862*AP861</f>
        <v/>
      </c>
      <c r="AQ862">
        <f>$C862*AQ861</f>
        <v/>
      </c>
      <c r="AR862">
        <f>$C862*AR861</f>
        <v/>
      </c>
      <c r="AS862">
        <f>$C862*AS861</f>
        <v/>
      </c>
      <c r="AT862">
        <f>$C862*AT861</f>
        <v/>
      </c>
      <c r="AU862">
        <f>$C862*AU861</f>
        <v/>
      </c>
      <c r="AV862">
        <f>$C862*AV861</f>
        <v/>
      </c>
      <c r="AW862">
        <f>$C862*AW861</f>
        <v/>
      </c>
      <c r="AX862">
        <f>$C862*AX861</f>
        <v/>
      </c>
      <c r="AY862">
        <f>$C862*AY861</f>
        <v/>
      </c>
      <c r="AZ862">
        <f>$C862*AZ861</f>
        <v/>
      </c>
      <c r="BA862">
        <f>$C862*BA861</f>
        <v/>
      </c>
      <c r="BB862">
        <f>$C862*BB861</f>
        <v/>
      </c>
      <c r="BC862">
        <f>$C862*BC861</f>
        <v/>
      </c>
      <c r="BD862">
        <f>$C862*BD861</f>
        <v/>
      </c>
      <c r="BE862">
        <f>$C862*BE861</f>
        <v/>
      </c>
      <c r="BF862">
        <f>$C862*BF861</f>
        <v/>
      </c>
      <c r="BG862">
        <f>$C862*BG861</f>
        <v/>
      </c>
      <c r="BH862">
        <f>$C862*BH861</f>
        <v/>
      </c>
      <c r="BI862">
        <f>$C862*BI861</f>
        <v/>
      </c>
      <c r="BJ862">
        <f>$C862*BJ861</f>
        <v/>
      </c>
      <c r="BK862">
        <f>$C862*BK861</f>
        <v/>
      </c>
      <c r="BL862">
        <f>$C862*BL861</f>
        <v/>
      </c>
      <c r="BM862">
        <f>$C862*BM861</f>
        <v/>
      </c>
      <c r="BN862">
        <f>$C862*BN861</f>
        <v/>
      </c>
      <c r="BO862">
        <f>$C862*BO861</f>
        <v/>
      </c>
      <c r="BP862">
        <f>$C862*BP861</f>
        <v/>
      </c>
      <c r="BQ862">
        <f>$C862*BQ861</f>
        <v/>
      </c>
      <c r="BR862">
        <f>$C862*BR861</f>
        <v/>
      </c>
      <c r="BS862">
        <f>$C862*BS861</f>
        <v/>
      </c>
      <c r="BT862">
        <f>$C862*BT861</f>
        <v/>
      </c>
      <c r="BU862">
        <f>$C862*BU861</f>
        <v/>
      </c>
      <c r="BV862">
        <f>$C862*BV861</f>
        <v/>
      </c>
      <c r="BW862">
        <f>$C862*BW861</f>
        <v/>
      </c>
      <c r="BX862">
        <f>$C862*BX861</f>
        <v/>
      </c>
      <c r="BY862">
        <f>$C862*BY861</f>
        <v/>
      </c>
      <c r="BZ862">
        <f>$C862*BZ861</f>
        <v/>
      </c>
      <c r="CA862">
        <f>$C862*CA861</f>
        <v/>
      </c>
      <c r="CB862">
        <f>$C862*CB861</f>
        <v/>
      </c>
      <c r="CC862">
        <f>$C862*CC861</f>
        <v/>
      </c>
      <c r="CD862">
        <f>$C862*CD861</f>
        <v/>
      </c>
      <c r="CE862">
        <f>$C862*CE861</f>
        <v/>
      </c>
      <c r="CF862">
        <f>$C862*CF861</f>
        <v/>
      </c>
      <c r="CG862">
        <f>$C862*CG861</f>
        <v/>
      </c>
      <c r="CH862">
        <f>$C862*CH861</f>
        <v/>
      </c>
      <c r="CI862">
        <f>$C862*CI861</f>
        <v/>
      </c>
      <c r="CJ862">
        <f>$C862*CJ861</f>
        <v/>
      </c>
      <c r="CK862">
        <f>$C862*CK861</f>
        <v/>
      </c>
      <c r="CL862">
        <f>$C862*CL861</f>
        <v/>
      </c>
      <c r="CM862">
        <f>$C862*CM861</f>
        <v/>
      </c>
      <c r="CN862">
        <f>$C862*CN861</f>
        <v/>
      </c>
      <c r="CO862">
        <f>$C862*CO861</f>
        <v/>
      </c>
      <c r="CP862">
        <f>$C862*CP861</f>
        <v/>
      </c>
      <c r="CQ862">
        <f>$C862*CQ861</f>
        <v/>
      </c>
      <c r="CR862">
        <f>$C862*CR861</f>
        <v/>
      </c>
      <c r="CS862">
        <f>$C862*CS861</f>
        <v/>
      </c>
      <c r="CT862">
        <f>$C862*CT861</f>
        <v/>
      </c>
      <c r="CU862">
        <f>$C862*CU861</f>
        <v/>
      </c>
      <c r="CV862">
        <f>$C862*CV861</f>
        <v/>
      </c>
      <c r="CW862">
        <f>$C862*CW861</f>
        <v/>
      </c>
      <c r="CX862">
        <f>$C862*CX861</f>
        <v/>
      </c>
      <c r="CY862">
        <f>$C862*CY861</f>
        <v/>
      </c>
      <c r="CZ862">
        <f>$C862*CZ861</f>
        <v/>
      </c>
      <c r="DA862">
        <f>$C862*DA861</f>
        <v/>
      </c>
      <c r="DB862">
        <f>$C862*DB861</f>
        <v/>
      </c>
      <c r="DC862">
        <f>$C862*DC861</f>
        <v/>
      </c>
      <c r="DD862">
        <f>$C862*DD861</f>
        <v/>
      </c>
    </row>
    <row r="863">
      <c r="B863" t="inlineStr">
        <is>
          <t>TSP-1449</t>
        </is>
      </c>
      <c r="C863" t="inlineStr">
        <is>
          <t>No. of batches</t>
        </is>
      </c>
      <c r="D863">
        <f>IFERROR(INDEX(E863:DD863,$F$1),"")</f>
        <v/>
      </c>
      <c r="E863">
        <f>IFERROR(INDEX(PP_Grid[#Data],$DE863,2),0)</f>
        <v/>
      </c>
      <c r="F863">
        <f>IFERROR(INDEX(PP_Grid[#Data],$DE863,3),0)</f>
        <v/>
      </c>
      <c r="G863">
        <f>IFERROR(INDEX(PP_Grid[#Data],$DE863,4),0)</f>
        <v/>
      </c>
      <c r="H863">
        <f>IFERROR(INDEX(PP_Grid[#Data],$DE863,5),0)</f>
        <v/>
      </c>
      <c r="I863">
        <f>IFERROR(INDEX(PP_Grid[#Data],$DE863,6),0)</f>
        <v/>
      </c>
      <c r="J863">
        <f>IFERROR(INDEX(PP_Grid[#Data],$DE863,7),0)</f>
        <v/>
      </c>
      <c r="K863">
        <f>IFERROR(INDEX(PP_Grid[#Data],$DE863,8),0)</f>
        <v/>
      </c>
      <c r="L863">
        <f>IFERROR(INDEX(PP_Grid[#Data],$DE863,9),0)</f>
        <v/>
      </c>
      <c r="M863">
        <f>IFERROR(INDEX(PP_Grid[#Data],$DE863,10),0)</f>
        <v/>
      </c>
      <c r="N863">
        <f>IFERROR(INDEX(PP_Grid[#Data],$DE863,11),0)</f>
        <v/>
      </c>
      <c r="O863">
        <f>IFERROR(INDEX(PP_Grid[#Data],$DE863,12),0)</f>
        <v/>
      </c>
      <c r="P863">
        <f>IFERROR(INDEX(PP_Grid[#Data],$DE863,13),0)</f>
        <v/>
      </c>
      <c r="Q863">
        <f>IFERROR(INDEX(PP_Grid[#Data],$DE863,14),0)</f>
        <v/>
      </c>
      <c r="R863">
        <f>IFERROR(INDEX(PP_Grid[#Data],$DE863,15),0)</f>
        <v/>
      </c>
      <c r="S863">
        <f>IFERROR(INDEX(PP_Grid[#Data],$DE863,16),0)</f>
        <v/>
      </c>
      <c r="T863">
        <f>IFERROR(INDEX(PP_Grid[#Data],$DE863,17),0)</f>
        <v/>
      </c>
      <c r="U863">
        <f>IFERROR(INDEX(PP_Grid[#Data],$DE863,18),0)</f>
        <v/>
      </c>
      <c r="V863">
        <f>IFERROR(INDEX(PP_Grid[#Data],$DE863,19),0)</f>
        <v/>
      </c>
      <c r="W863">
        <f>IFERROR(INDEX(PP_Grid[#Data],$DE863,20),0)</f>
        <v/>
      </c>
      <c r="X863">
        <f>IFERROR(INDEX(PP_Grid[#Data],$DE863,21),0)</f>
        <v/>
      </c>
      <c r="Y863">
        <f>IFERROR(INDEX(PP_Grid[#Data],$DE863,22),0)</f>
        <v/>
      </c>
      <c r="Z863">
        <f>IFERROR(INDEX(PP_Grid[#Data],$DE863,23),0)</f>
        <v/>
      </c>
      <c r="AA863">
        <f>IFERROR(INDEX(PP_Grid[#Data],$DE863,24),0)</f>
        <v/>
      </c>
      <c r="AB863">
        <f>IFERROR(INDEX(PP_Grid[#Data],$DE863,25),0)</f>
        <v/>
      </c>
      <c r="AC863">
        <f>IFERROR(INDEX(PP_Grid[#Data],$DE863,26),0)</f>
        <v/>
      </c>
      <c r="AD863">
        <f>IFERROR(INDEX(PP_Grid[#Data],$DE863,27),0)</f>
        <v/>
      </c>
      <c r="AE863">
        <f>IFERROR(INDEX(PP_Grid[#Data],$DE863,28),0)</f>
        <v/>
      </c>
      <c r="AF863">
        <f>IFERROR(INDEX(PP_Grid[#Data],$DE863,29),0)</f>
        <v/>
      </c>
      <c r="AG863">
        <f>IFERROR(INDEX(PP_Grid[#Data],$DE863,30),0)</f>
        <v/>
      </c>
      <c r="AH863">
        <f>IFERROR(INDEX(PP_Grid[#Data],$DE863,31),0)</f>
        <v/>
      </c>
      <c r="AI863">
        <f>IFERROR(INDEX(PP_Grid[#Data],$DE863,32),0)</f>
        <v/>
      </c>
      <c r="AJ863">
        <f>IFERROR(INDEX(PP_Grid[#Data],$DE863,33),0)</f>
        <v/>
      </c>
      <c r="AK863">
        <f>IFERROR(INDEX(PP_Grid[#Data],$DE863,34),0)</f>
        <v/>
      </c>
      <c r="AL863">
        <f>IFERROR(INDEX(PP_Grid[#Data],$DE863,35),0)</f>
        <v/>
      </c>
      <c r="AM863">
        <f>IFERROR(INDEX(PP_Grid[#Data],$DE863,36),0)</f>
        <v/>
      </c>
      <c r="AN863">
        <f>IFERROR(INDEX(PP_Grid[#Data],$DE863,37),0)</f>
        <v/>
      </c>
      <c r="AO863">
        <f>IFERROR(INDEX(PP_Grid[#Data],$DE863,38),0)</f>
        <v/>
      </c>
      <c r="AP863">
        <f>IFERROR(INDEX(PP_Grid[#Data],$DE863,39),0)</f>
        <v/>
      </c>
      <c r="AQ863">
        <f>IFERROR(INDEX(PP_Grid[#Data],$DE863,40),0)</f>
        <v/>
      </c>
      <c r="AR863">
        <f>IFERROR(INDEX(PP_Grid[#Data],$DE863,41),0)</f>
        <v/>
      </c>
      <c r="AS863">
        <f>IFERROR(INDEX(PP_Grid[#Data],$DE863,42),0)</f>
        <v/>
      </c>
      <c r="AT863">
        <f>IFERROR(INDEX(PP_Grid[#Data],$DE863,43),0)</f>
        <v/>
      </c>
      <c r="AU863">
        <f>IFERROR(INDEX(PP_Grid[#Data],$DE863,44),0)</f>
        <v/>
      </c>
      <c r="AV863">
        <f>IFERROR(INDEX(PP_Grid[#Data],$DE863,45),0)</f>
        <v/>
      </c>
      <c r="AW863">
        <f>IFERROR(INDEX(PP_Grid[#Data],$DE863,46),0)</f>
        <v/>
      </c>
      <c r="AX863">
        <f>IFERROR(INDEX(PP_Grid[#Data],$DE863,47),0)</f>
        <v/>
      </c>
      <c r="AY863">
        <f>IFERROR(INDEX(PP_Grid[#Data],$DE863,48),0)</f>
        <v/>
      </c>
      <c r="AZ863">
        <f>IFERROR(INDEX(PP_Grid[#Data],$DE863,49),0)</f>
        <v/>
      </c>
      <c r="BA863">
        <f>IFERROR(INDEX(PP_Grid[#Data],$DE863,50),0)</f>
        <v/>
      </c>
      <c r="BB863">
        <f>IFERROR(INDEX(PP_Grid[#Data],$DE863,51),0)</f>
        <v/>
      </c>
      <c r="BC863">
        <f>IFERROR(INDEX(PP_Grid[#Data],$DE863,52),0)</f>
        <v/>
      </c>
      <c r="BD863">
        <f>IFERROR(INDEX(PP_Grid[#Data],$DE863,53),0)</f>
        <v/>
      </c>
      <c r="BE863">
        <f>IFERROR(INDEX(PP_Grid[#Data],$DE863,54),0)</f>
        <v/>
      </c>
      <c r="BF863">
        <f>IFERROR(INDEX(PP_Grid[#Data],$DE863,55),0)</f>
        <v/>
      </c>
      <c r="BG863">
        <f>IFERROR(INDEX(PP_Grid[#Data],$DE863,56),0)</f>
        <v/>
      </c>
      <c r="BH863">
        <f>IFERROR(INDEX(PP_Grid[#Data],$DE863,57),0)</f>
        <v/>
      </c>
      <c r="BI863">
        <f>IFERROR(INDEX(PP_Grid[#Data],$DE863,58),0)</f>
        <v/>
      </c>
      <c r="BJ863">
        <f>IFERROR(INDEX(PP_Grid[#Data],$DE863,59),0)</f>
        <v/>
      </c>
      <c r="BK863">
        <f>IFERROR(INDEX(PP_Grid[#Data],$DE863,60),0)</f>
        <v/>
      </c>
      <c r="BL863">
        <f>IFERROR(INDEX(PP_Grid[#Data],$DE863,61),0)</f>
        <v/>
      </c>
      <c r="BM863">
        <f>IFERROR(INDEX(PP_Grid[#Data],$DE863,62),0)</f>
        <v/>
      </c>
      <c r="BN863">
        <f>IFERROR(INDEX(PP_Grid[#Data],$DE863,63),0)</f>
        <v/>
      </c>
      <c r="BO863">
        <f>IFERROR(INDEX(PP_Grid[#Data],$DE863,64),0)</f>
        <v/>
      </c>
      <c r="BP863">
        <f>IFERROR(INDEX(PP_Grid[#Data],$DE863,65),0)</f>
        <v/>
      </c>
      <c r="BQ863">
        <f>IFERROR(INDEX(PP_Grid[#Data],$DE863,66),0)</f>
        <v/>
      </c>
      <c r="BR863">
        <f>IFERROR(INDEX(PP_Grid[#Data],$DE863,67),0)</f>
        <v/>
      </c>
      <c r="BS863">
        <f>IFERROR(INDEX(PP_Grid[#Data],$DE863,68),0)</f>
        <v/>
      </c>
      <c r="BT863">
        <f>IFERROR(INDEX(PP_Grid[#Data],$DE863,69),0)</f>
        <v/>
      </c>
      <c r="BU863">
        <f>IFERROR(INDEX(PP_Grid[#Data],$DE863,70),0)</f>
        <v/>
      </c>
      <c r="BV863">
        <f>IFERROR(INDEX(PP_Grid[#Data],$DE863,71),0)</f>
        <v/>
      </c>
      <c r="BW863">
        <f>IFERROR(INDEX(PP_Grid[#Data],$DE863,72),0)</f>
        <v/>
      </c>
      <c r="BX863">
        <f>IFERROR(INDEX(PP_Grid[#Data],$DE863,73),0)</f>
        <v/>
      </c>
      <c r="BY863">
        <f>IFERROR(INDEX(PP_Grid[#Data],$DE863,74),0)</f>
        <v/>
      </c>
      <c r="BZ863">
        <f>IFERROR(INDEX(PP_Grid[#Data],$DE863,75),0)</f>
        <v/>
      </c>
      <c r="CA863">
        <f>IFERROR(INDEX(PP_Grid[#Data],$DE863,76),0)</f>
        <v/>
      </c>
      <c r="CB863">
        <f>IFERROR(INDEX(PP_Grid[#Data],$DE863,77),0)</f>
        <v/>
      </c>
      <c r="CC863">
        <f>IFERROR(INDEX(PP_Grid[#Data],$DE863,78),0)</f>
        <v/>
      </c>
      <c r="CD863">
        <f>IFERROR(INDEX(PP_Grid[#Data],$DE863,79),0)</f>
        <v/>
      </c>
      <c r="CE863">
        <f>IFERROR(INDEX(PP_Grid[#Data],$DE863,80),0)</f>
        <v/>
      </c>
      <c r="CF863">
        <f>IFERROR(INDEX(PP_Grid[#Data],$DE863,81),0)</f>
        <v/>
      </c>
      <c r="CG863">
        <f>IFERROR(INDEX(PP_Grid[#Data],$DE863,82),0)</f>
        <v/>
      </c>
      <c r="CH863">
        <f>IFERROR(INDEX(PP_Grid[#Data],$DE863,83),0)</f>
        <v/>
      </c>
      <c r="CI863">
        <f>IFERROR(INDEX(PP_Grid[#Data],$DE863,84),0)</f>
        <v/>
      </c>
      <c r="CJ863">
        <f>IFERROR(INDEX(PP_Grid[#Data],$DE863,85),0)</f>
        <v/>
      </c>
      <c r="CK863">
        <f>IFERROR(INDEX(PP_Grid[#Data],$DE863,86),0)</f>
        <v/>
      </c>
      <c r="CL863">
        <f>IFERROR(INDEX(PP_Grid[#Data],$DE863,87),0)</f>
        <v/>
      </c>
      <c r="CM863">
        <f>IFERROR(INDEX(PP_Grid[#Data],$DE863,88),0)</f>
        <v/>
      </c>
      <c r="CN863">
        <f>IFERROR(INDEX(PP_Grid[#Data],$DE863,89),0)</f>
        <v/>
      </c>
      <c r="CO863">
        <f>IFERROR(INDEX(PP_Grid[#Data],$DE863,90),0)</f>
        <v/>
      </c>
      <c r="CP863">
        <f>IFERROR(INDEX(PP_Grid[#Data],$DE863,91),0)</f>
        <v/>
      </c>
      <c r="CQ863">
        <f>IFERROR(INDEX(PP_Grid[#Data],$DE863,92),0)</f>
        <v/>
      </c>
      <c r="CR863">
        <f>IFERROR(INDEX(PP_Grid[#Data],$DE863,93),0)</f>
        <v/>
      </c>
      <c r="CS863">
        <f>IFERROR(INDEX(PP_Grid[#Data],$DE863,94),0)</f>
        <v/>
      </c>
      <c r="CT863">
        <f>IFERROR(INDEX(PP_Grid[#Data],$DE863,95),0)</f>
        <v/>
      </c>
      <c r="CU863">
        <f>IFERROR(INDEX(PP_Grid[#Data],$DE863,96),0)</f>
        <v/>
      </c>
      <c r="CV863">
        <f>IFERROR(INDEX(PP_Grid[#Data],$DE863,97),0)</f>
        <v/>
      </c>
      <c r="CW863">
        <f>IFERROR(INDEX(PP_Grid[#Data],$DE863,98),0)</f>
        <v/>
      </c>
      <c r="CX863">
        <f>IFERROR(INDEX(PP_Grid[#Data],$DE863,99),0)</f>
        <v/>
      </c>
      <c r="CY863">
        <f>IFERROR(INDEX(PP_Grid[#Data],$DE863,100),0)</f>
        <v/>
      </c>
      <c r="CZ863">
        <f>IFERROR(INDEX(PP_Grid[#Data],$DE863,101),0)</f>
        <v/>
      </c>
      <c r="DA863">
        <f>IFERROR(INDEX(PP_Grid[#Data],$DE863,102),0)</f>
        <v/>
      </c>
      <c r="DB863">
        <f>IFERROR(INDEX(PP_Grid[#Data],$DE863,103),0)</f>
        <v/>
      </c>
      <c r="DC863">
        <f>IFERROR(INDEX(PP_Grid[#Data],$DE863,104),0)</f>
        <v/>
      </c>
      <c r="DD863">
        <f>IFERROR(INDEX(PP_Grid[#Data],$DE863,105),0)</f>
        <v/>
      </c>
      <c r="DE863" s="7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SUMIFS(M_BOM[RM_Qty_Per_Batch],M_BOM[Intermediate],$B863,M_BOM[RM_Code],$A860)</f>
        <v/>
      </c>
      <c r="D864">
        <f>IFERROR(INDEX(E864:DD864,$F$1),"")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  <c r="DD864">
        <f>$C864*DD863</f>
        <v/>
      </c>
    </row>
    <row r="865">
      <c r="B865" t="inlineStr">
        <is>
          <t>VSP-600</t>
        </is>
      </c>
      <c r="C865" t="inlineStr">
        <is>
          <t>No. of batches</t>
        </is>
      </c>
      <c r="D865">
        <f>IFERROR(INDEX(E865:DD865,$F$1),"")</f>
        <v/>
      </c>
      <c r="E865">
        <f>IFERROR(INDEX(PP_Grid[#Data],$DE865,2),0)</f>
        <v/>
      </c>
      <c r="F865">
        <f>IFERROR(INDEX(PP_Grid[#Data],$DE865,3),0)</f>
        <v/>
      </c>
      <c r="G865">
        <f>IFERROR(INDEX(PP_Grid[#Data],$DE865,4),0)</f>
        <v/>
      </c>
      <c r="H865">
        <f>IFERROR(INDEX(PP_Grid[#Data],$DE865,5),0)</f>
        <v/>
      </c>
      <c r="I865">
        <f>IFERROR(INDEX(PP_Grid[#Data],$DE865,6),0)</f>
        <v/>
      </c>
      <c r="J865">
        <f>IFERROR(INDEX(PP_Grid[#Data],$DE865,7),0)</f>
        <v/>
      </c>
      <c r="K865">
        <f>IFERROR(INDEX(PP_Grid[#Data],$DE865,8),0)</f>
        <v/>
      </c>
      <c r="L865">
        <f>IFERROR(INDEX(PP_Grid[#Data],$DE865,9),0)</f>
        <v/>
      </c>
      <c r="M865">
        <f>IFERROR(INDEX(PP_Grid[#Data],$DE865,10),0)</f>
        <v/>
      </c>
      <c r="N865">
        <f>IFERROR(INDEX(PP_Grid[#Data],$DE865,11),0)</f>
        <v/>
      </c>
      <c r="O865">
        <f>IFERROR(INDEX(PP_Grid[#Data],$DE865,12),0)</f>
        <v/>
      </c>
      <c r="P865">
        <f>IFERROR(INDEX(PP_Grid[#Data],$DE865,13),0)</f>
        <v/>
      </c>
      <c r="Q865">
        <f>IFERROR(INDEX(PP_Grid[#Data],$DE865,14),0)</f>
        <v/>
      </c>
      <c r="R865">
        <f>IFERROR(INDEX(PP_Grid[#Data],$DE865,15),0)</f>
        <v/>
      </c>
      <c r="S865">
        <f>IFERROR(INDEX(PP_Grid[#Data],$DE865,16),0)</f>
        <v/>
      </c>
      <c r="T865">
        <f>IFERROR(INDEX(PP_Grid[#Data],$DE865,17),0)</f>
        <v/>
      </c>
      <c r="U865">
        <f>IFERROR(INDEX(PP_Grid[#Data],$DE865,18),0)</f>
        <v/>
      </c>
      <c r="V865">
        <f>IFERROR(INDEX(PP_Grid[#Data],$DE865,19),0)</f>
        <v/>
      </c>
      <c r="W865">
        <f>IFERROR(INDEX(PP_Grid[#Data],$DE865,20),0)</f>
        <v/>
      </c>
      <c r="X865">
        <f>IFERROR(INDEX(PP_Grid[#Data],$DE865,21),0)</f>
        <v/>
      </c>
      <c r="Y865">
        <f>IFERROR(INDEX(PP_Grid[#Data],$DE865,22),0)</f>
        <v/>
      </c>
      <c r="Z865">
        <f>IFERROR(INDEX(PP_Grid[#Data],$DE865,23),0)</f>
        <v/>
      </c>
      <c r="AA865">
        <f>IFERROR(INDEX(PP_Grid[#Data],$DE865,24),0)</f>
        <v/>
      </c>
      <c r="AB865">
        <f>IFERROR(INDEX(PP_Grid[#Data],$DE865,25),0)</f>
        <v/>
      </c>
      <c r="AC865">
        <f>IFERROR(INDEX(PP_Grid[#Data],$DE865,26),0)</f>
        <v/>
      </c>
      <c r="AD865">
        <f>IFERROR(INDEX(PP_Grid[#Data],$DE865,27),0)</f>
        <v/>
      </c>
      <c r="AE865">
        <f>IFERROR(INDEX(PP_Grid[#Data],$DE865,28),0)</f>
        <v/>
      </c>
      <c r="AF865">
        <f>IFERROR(INDEX(PP_Grid[#Data],$DE865,29),0)</f>
        <v/>
      </c>
      <c r="AG865">
        <f>IFERROR(INDEX(PP_Grid[#Data],$DE865,30),0)</f>
        <v/>
      </c>
      <c r="AH865">
        <f>IFERROR(INDEX(PP_Grid[#Data],$DE865,31),0)</f>
        <v/>
      </c>
      <c r="AI865">
        <f>IFERROR(INDEX(PP_Grid[#Data],$DE865,32),0)</f>
        <v/>
      </c>
      <c r="AJ865">
        <f>IFERROR(INDEX(PP_Grid[#Data],$DE865,33),0)</f>
        <v/>
      </c>
      <c r="AK865">
        <f>IFERROR(INDEX(PP_Grid[#Data],$DE865,34),0)</f>
        <v/>
      </c>
      <c r="AL865">
        <f>IFERROR(INDEX(PP_Grid[#Data],$DE865,35),0)</f>
        <v/>
      </c>
      <c r="AM865">
        <f>IFERROR(INDEX(PP_Grid[#Data],$DE865,36),0)</f>
        <v/>
      </c>
      <c r="AN865">
        <f>IFERROR(INDEX(PP_Grid[#Data],$DE865,37),0)</f>
        <v/>
      </c>
      <c r="AO865">
        <f>IFERROR(INDEX(PP_Grid[#Data],$DE865,38),0)</f>
        <v/>
      </c>
      <c r="AP865">
        <f>IFERROR(INDEX(PP_Grid[#Data],$DE865,39),0)</f>
        <v/>
      </c>
      <c r="AQ865">
        <f>IFERROR(INDEX(PP_Grid[#Data],$DE865,40),0)</f>
        <v/>
      </c>
      <c r="AR865">
        <f>IFERROR(INDEX(PP_Grid[#Data],$DE865,41),0)</f>
        <v/>
      </c>
      <c r="AS865">
        <f>IFERROR(INDEX(PP_Grid[#Data],$DE865,42),0)</f>
        <v/>
      </c>
      <c r="AT865">
        <f>IFERROR(INDEX(PP_Grid[#Data],$DE865,43),0)</f>
        <v/>
      </c>
      <c r="AU865">
        <f>IFERROR(INDEX(PP_Grid[#Data],$DE865,44),0)</f>
        <v/>
      </c>
      <c r="AV865">
        <f>IFERROR(INDEX(PP_Grid[#Data],$DE865,45),0)</f>
        <v/>
      </c>
      <c r="AW865">
        <f>IFERROR(INDEX(PP_Grid[#Data],$DE865,46),0)</f>
        <v/>
      </c>
      <c r="AX865">
        <f>IFERROR(INDEX(PP_Grid[#Data],$DE865,47),0)</f>
        <v/>
      </c>
      <c r="AY865">
        <f>IFERROR(INDEX(PP_Grid[#Data],$DE865,48),0)</f>
        <v/>
      </c>
      <c r="AZ865">
        <f>IFERROR(INDEX(PP_Grid[#Data],$DE865,49),0)</f>
        <v/>
      </c>
      <c r="BA865">
        <f>IFERROR(INDEX(PP_Grid[#Data],$DE865,50),0)</f>
        <v/>
      </c>
      <c r="BB865">
        <f>IFERROR(INDEX(PP_Grid[#Data],$DE865,51),0)</f>
        <v/>
      </c>
      <c r="BC865">
        <f>IFERROR(INDEX(PP_Grid[#Data],$DE865,52),0)</f>
        <v/>
      </c>
      <c r="BD865">
        <f>IFERROR(INDEX(PP_Grid[#Data],$DE865,53),0)</f>
        <v/>
      </c>
      <c r="BE865">
        <f>IFERROR(INDEX(PP_Grid[#Data],$DE865,54),0)</f>
        <v/>
      </c>
      <c r="BF865">
        <f>IFERROR(INDEX(PP_Grid[#Data],$DE865,55),0)</f>
        <v/>
      </c>
      <c r="BG865">
        <f>IFERROR(INDEX(PP_Grid[#Data],$DE865,56),0)</f>
        <v/>
      </c>
      <c r="BH865">
        <f>IFERROR(INDEX(PP_Grid[#Data],$DE865,57),0)</f>
        <v/>
      </c>
      <c r="BI865">
        <f>IFERROR(INDEX(PP_Grid[#Data],$DE865,58),0)</f>
        <v/>
      </c>
      <c r="BJ865">
        <f>IFERROR(INDEX(PP_Grid[#Data],$DE865,59),0)</f>
        <v/>
      </c>
      <c r="BK865">
        <f>IFERROR(INDEX(PP_Grid[#Data],$DE865,60),0)</f>
        <v/>
      </c>
      <c r="BL865">
        <f>IFERROR(INDEX(PP_Grid[#Data],$DE865,61),0)</f>
        <v/>
      </c>
      <c r="BM865">
        <f>IFERROR(INDEX(PP_Grid[#Data],$DE865,62),0)</f>
        <v/>
      </c>
      <c r="BN865">
        <f>IFERROR(INDEX(PP_Grid[#Data],$DE865,63),0)</f>
        <v/>
      </c>
      <c r="BO865">
        <f>IFERROR(INDEX(PP_Grid[#Data],$DE865,64),0)</f>
        <v/>
      </c>
      <c r="BP865">
        <f>IFERROR(INDEX(PP_Grid[#Data],$DE865,65),0)</f>
        <v/>
      </c>
      <c r="BQ865">
        <f>IFERROR(INDEX(PP_Grid[#Data],$DE865,66),0)</f>
        <v/>
      </c>
      <c r="BR865">
        <f>IFERROR(INDEX(PP_Grid[#Data],$DE865,67),0)</f>
        <v/>
      </c>
      <c r="BS865">
        <f>IFERROR(INDEX(PP_Grid[#Data],$DE865,68),0)</f>
        <v/>
      </c>
      <c r="BT865">
        <f>IFERROR(INDEX(PP_Grid[#Data],$DE865,69),0)</f>
        <v/>
      </c>
      <c r="BU865">
        <f>IFERROR(INDEX(PP_Grid[#Data],$DE865,70),0)</f>
        <v/>
      </c>
      <c r="BV865">
        <f>IFERROR(INDEX(PP_Grid[#Data],$DE865,71),0)</f>
        <v/>
      </c>
      <c r="BW865">
        <f>IFERROR(INDEX(PP_Grid[#Data],$DE865,72),0)</f>
        <v/>
      </c>
      <c r="BX865">
        <f>IFERROR(INDEX(PP_Grid[#Data],$DE865,73),0)</f>
        <v/>
      </c>
      <c r="BY865">
        <f>IFERROR(INDEX(PP_Grid[#Data],$DE865,74),0)</f>
        <v/>
      </c>
      <c r="BZ865">
        <f>IFERROR(INDEX(PP_Grid[#Data],$DE865,75),0)</f>
        <v/>
      </c>
      <c r="CA865">
        <f>IFERROR(INDEX(PP_Grid[#Data],$DE865,76),0)</f>
        <v/>
      </c>
      <c r="CB865">
        <f>IFERROR(INDEX(PP_Grid[#Data],$DE865,77),0)</f>
        <v/>
      </c>
      <c r="CC865">
        <f>IFERROR(INDEX(PP_Grid[#Data],$DE865,78),0)</f>
        <v/>
      </c>
      <c r="CD865">
        <f>IFERROR(INDEX(PP_Grid[#Data],$DE865,79),0)</f>
        <v/>
      </c>
      <c r="CE865">
        <f>IFERROR(INDEX(PP_Grid[#Data],$DE865,80),0)</f>
        <v/>
      </c>
      <c r="CF865">
        <f>IFERROR(INDEX(PP_Grid[#Data],$DE865,81),0)</f>
        <v/>
      </c>
      <c r="CG865">
        <f>IFERROR(INDEX(PP_Grid[#Data],$DE865,82),0)</f>
        <v/>
      </c>
      <c r="CH865">
        <f>IFERROR(INDEX(PP_Grid[#Data],$DE865,83),0)</f>
        <v/>
      </c>
      <c r="CI865">
        <f>IFERROR(INDEX(PP_Grid[#Data],$DE865,84),0)</f>
        <v/>
      </c>
      <c r="CJ865">
        <f>IFERROR(INDEX(PP_Grid[#Data],$DE865,85),0)</f>
        <v/>
      </c>
      <c r="CK865">
        <f>IFERROR(INDEX(PP_Grid[#Data],$DE865,86),0)</f>
        <v/>
      </c>
      <c r="CL865">
        <f>IFERROR(INDEX(PP_Grid[#Data],$DE865,87),0)</f>
        <v/>
      </c>
      <c r="CM865">
        <f>IFERROR(INDEX(PP_Grid[#Data],$DE865,88),0)</f>
        <v/>
      </c>
      <c r="CN865">
        <f>IFERROR(INDEX(PP_Grid[#Data],$DE865,89),0)</f>
        <v/>
      </c>
      <c r="CO865">
        <f>IFERROR(INDEX(PP_Grid[#Data],$DE865,90),0)</f>
        <v/>
      </c>
      <c r="CP865">
        <f>IFERROR(INDEX(PP_Grid[#Data],$DE865,91),0)</f>
        <v/>
      </c>
      <c r="CQ865">
        <f>IFERROR(INDEX(PP_Grid[#Data],$DE865,92),0)</f>
        <v/>
      </c>
      <c r="CR865">
        <f>IFERROR(INDEX(PP_Grid[#Data],$DE865,93),0)</f>
        <v/>
      </c>
      <c r="CS865">
        <f>IFERROR(INDEX(PP_Grid[#Data],$DE865,94),0)</f>
        <v/>
      </c>
      <c r="CT865">
        <f>IFERROR(INDEX(PP_Grid[#Data],$DE865,95),0)</f>
        <v/>
      </c>
      <c r="CU865">
        <f>IFERROR(INDEX(PP_Grid[#Data],$DE865,96),0)</f>
        <v/>
      </c>
      <c r="CV865">
        <f>IFERROR(INDEX(PP_Grid[#Data],$DE865,97),0)</f>
        <v/>
      </c>
      <c r="CW865">
        <f>IFERROR(INDEX(PP_Grid[#Data],$DE865,98),0)</f>
        <v/>
      </c>
      <c r="CX865">
        <f>IFERROR(INDEX(PP_Grid[#Data],$DE865,99),0)</f>
        <v/>
      </c>
      <c r="CY865">
        <f>IFERROR(INDEX(PP_Grid[#Data],$DE865,100),0)</f>
        <v/>
      </c>
      <c r="CZ865">
        <f>IFERROR(INDEX(PP_Grid[#Data],$DE865,101),0)</f>
        <v/>
      </c>
      <c r="DA865">
        <f>IFERROR(INDEX(PP_Grid[#Data],$DE865,102),0)</f>
        <v/>
      </c>
      <c r="DB865">
        <f>IFERROR(INDEX(PP_Grid[#Data],$DE865,103),0)</f>
        <v/>
      </c>
      <c r="DC865">
        <f>IFERROR(INDEX(PP_Grid[#Data],$DE865,104),0)</f>
        <v/>
      </c>
      <c r="DD865">
        <f>IFERROR(INDEX(PP_Grid[#Data],$DE865,105),0)</f>
        <v/>
      </c>
      <c r="DE865" s="7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SUMIFS(M_BOM[RM_Qty_Per_Batch],M_BOM[Intermediate],$B865,M_BOM[RM_Code],$A860)</f>
        <v/>
      </c>
      <c r="D866">
        <f>IFERROR(INDEX(E866:DD866,$F$1),"")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  <c r="DD866">
        <f>$C866*DD865</f>
        <v/>
      </c>
    </row>
    <row r="867">
      <c r="B867" t="inlineStr">
        <is>
          <t>VSP-601</t>
        </is>
      </c>
      <c r="C867" t="inlineStr">
        <is>
          <t>No. of batches</t>
        </is>
      </c>
      <c r="D867">
        <f>IFERROR(INDEX(E867:DD867,$F$1),"")</f>
        <v/>
      </c>
      <c r="E867">
        <f>IFERROR(INDEX(PP_Grid[#Data],$DE867,2),0)</f>
        <v/>
      </c>
      <c r="F867">
        <f>IFERROR(INDEX(PP_Grid[#Data],$DE867,3),0)</f>
        <v/>
      </c>
      <c r="G867">
        <f>IFERROR(INDEX(PP_Grid[#Data],$DE867,4),0)</f>
        <v/>
      </c>
      <c r="H867">
        <f>IFERROR(INDEX(PP_Grid[#Data],$DE867,5),0)</f>
        <v/>
      </c>
      <c r="I867">
        <f>IFERROR(INDEX(PP_Grid[#Data],$DE867,6),0)</f>
        <v/>
      </c>
      <c r="J867">
        <f>IFERROR(INDEX(PP_Grid[#Data],$DE867,7),0)</f>
        <v/>
      </c>
      <c r="K867">
        <f>IFERROR(INDEX(PP_Grid[#Data],$DE867,8),0)</f>
        <v/>
      </c>
      <c r="L867">
        <f>IFERROR(INDEX(PP_Grid[#Data],$DE867,9),0)</f>
        <v/>
      </c>
      <c r="M867">
        <f>IFERROR(INDEX(PP_Grid[#Data],$DE867,10),0)</f>
        <v/>
      </c>
      <c r="N867">
        <f>IFERROR(INDEX(PP_Grid[#Data],$DE867,11),0)</f>
        <v/>
      </c>
      <c r="O867">
        <f>IFERROR(INDEX(PP_Grid[#Data],$DE867,12),0)</f>
        <v/>
      </c>
      <c r="P867">
        <f>IFERROR(INDEX(PP_Grid[#Data],$DE867,13),0)</f>
        <v/>
      </c>
      <c r="Q867">
        <f>IFERROR(INDEX(PP_Grid[#Data],$DE867,14),0)</f>
        <v/>
      </c>
      <c r="R867">
        <f>IFERROR(INDEX(PP_Grid[#Data],$DE867,15),0)</f>
        <v/>
      </c>
      <c r="S867">
        <f>IFERROR(INDEX(PP_Grid[#Data],$DE867,16),0)</f>
        <v/>
      </c>
      <c r="T867">
        <f>IFERROR(INDEX(PP_Grid[#Data],$DE867,17),0)</f>
        <v/>
      </c>
      <c r="U867">
        <f>IFERROR(INDEX(PP_Grid[#Data],$DE867,18),0)</f>
        <v/>
      </c>
      <c r="V867">
        <f>IFERROR(INDEX(PP_Grid[#Data],$DE867,19),0)</f>
        <v/>
      </c>
      <c r="W867">
        <f>IFERROR(INDEX(PP_Grid[#Data],$DE867,20),0)</f>
        <v/>
      </c>
      <c r="X867">
        <f>IFERROR(INDEX(PP_Grid[#Data],$DE867,21),0)</f>
        <v/>
      </c>
      <c r="Y867">
        <f>IFERROR(INDEX(PP_Grid[#Data],$DE867,22),0)</f>
        <v/>
      </c>
      <c r="Z867">
        <f>IFERROR(INDEX(PP_Grid[#Data],$DE867,23),0)</f>
        <v/>
      </c>
      <c r="AA867">
        <f>IFERROR(INDEX(PP_Grid[#Data],$DE867,24),0)</f>
        <v/>
      </c>
      <c r="AB867">
        <f>IFERROR(INDEX(PP_Grid[#Data],$DE867,25),0)</f>
        <v/>
      </c>
      <c r="AC867">
        <f>IFERROR(INDEX(PP_Grid[#Data],$DE867,26),0)</f>
        <v/>
      </c>
      <c r="AD867">
        <f>IFERROR(INDEX(PP_Grid[#Data],$DE867,27),0)</f>
        <v/>
      </c>
      <c r="AE867">
        <f>IFERROR(INDEX(PP_Grid[#Data],$DE867,28),0)</f>
        <v/>
      </c>
      <c r="AF867">
        <f>IFERROR(INDEX(PP_Grid[#Data],$DE867,29),0)</f>
        <v/>
      </c>
      <c r="AG867">
        <f>IFERROR(INDEX(PP_Grid[#Data],$DE867,30),0)</f>
        <v/>
      </c>
      <c r="AH867">
        <f>IFERROR(INDEX(PP_Grid[#Data],$DE867,31),0)</f>
        <v/>
      </c>
      <c r="AI867">
        <f>IFERROR(INDEX(PP_Grid[#Data],$DE867,32),0)</f>
        <v/>
      </c>
      <c r="AJ867">
        <f>IFERROR(INDEX(PP_Grid[#Data],$DE867,33),0)</f>
        <v/>
      </c>
      <c r="AK867">
        <f>IFERROR(INDEX(PP_Grid[#Data],$DE867,34),0)</f>
        <v/>
      </c>
      <c r="AL867">
        <f>IFERROR(INDEX(PP_Grid[#Data],$DE867,35),0)</f>
        <v/>
      </c>
      <c r="AM867">
        <f>IFERROR(INDEX(PP_Grid[#Data],$DE867,36),0)</f>
        <v/>
      </c>
      <c r="AN867">
        <f>IFERROR(INDEX(PP_Grid[#Data],$DE867,37),0)</f>
        <v/>
      </c>
      <c r="AO867">
        <f>IFERROR(INDEX(PP_Grid[#Data],$DE867,38),0)</f>
        <v/>
      </c>
      <c r="AP867">
        <f>IFERROR(INDEX(PP_Grid[#Data],$DE867,39),0)</f>
        <v/>
      </c>
      <c r="AQ867">
        <f>IFERROR(INDEX(PP_Grid[#Data],$DE867,40),0)</f>
        <v/>
      </c>
      <c r="AR867">
        <f>IFERROR(INDEX(PP_Grid[#Data],$DE867,41),0)</f>
        <v/>
      </c>
      <c r="AS867">
        <f>IFERROR(INDEX(PP_Grid[#Data],$DE867,42),0)</f>
        <v/>
      </c>
      <c r="AT867">
        <f>IFERROR(INDEX(PP_Grid[#Data],$DE867,43),0)</f>
        <v/>
      </c>
      <c r="AU867">
        <f>IFERROR(INDEX(PP_Grid[#Data],$DE867,44),0)</f>
        <v/>
      </c>
      <c r="AV867">
        <f>IFERROR(INDEX(PP_Grid[#Data],$DE867,45),0)</f>
        <v/>
      </c>
      <c r="AW867">
        <f>IFERROR(INDEX(PP_Grid[#Data],$DE867,46),0)</f>
        <v/>
      </c>
      <c r="AX867">
        <f>IFERROR(INDEX(PP_Grid[#Data],$DE867,47),0)</f>
        <v/>
      </c>
      <c r="AY867">
        <f>IFERROR(INDEX(PP_Grid[#Data],$DE867,48),0)</f>
        <v/>
      </c>
      <c r="AZ867">
        <f>IFERROR(INDEX(PP_Grid[#Data],$DE867,49),0)</f>
        <v/>
      </c>
      <c r="BA867">
        <f>IFERROR(INDEX(PP_Grid[#Data],$DE867,50),0)</f>
        <v/>
      </c>
      <c r="BB867">
        <f>IFERROR(INDEX(PP_Grid[#Data],$DE867,51),0)</f>
        <v/>
      </c>
      <c r="BC867">
        <f>IFERROR(INDEX(PP_Grid[#Data],$DE867,52),0)</f>
        <v/>
      </c>
      <c r="BD867">
        <f>IFERROR(INDEX(PP_Grid[#Data],$DE867,53),0)</f>
        <v/>
      </c>
      <c r="BE867">
        <f>IFERROR(INDEX(PP_Grid[#Data],$DE867,54),0)</f>
        <v/>
      </c>
      <c r="BF867">
        <f>IFERROR(INDEX(PP_Grid[#Data],$DE867,55),0)</f>
        <v/>
      </c>
      <c r="BG867">
        <f>IFERROR(INDEX(PP_Grid[#Data],$DE867,56),0)</f>
        <v/>
      </c>
      <c r="BH867">
        <f>IFERROR(INDEX(PP_Grid[#Data],$DE867,57),0)</f>
        <v/>
      </c>
      <c r="BI867">
        <f>IFERROR(INDEX(PP_Grid[#Data],$DE867,58),0)</f>
        <v/>
      </c>
      <c r="BJ867">
        <f>IFERROR(INDEX(PP_Grid[#Data],$DE867,59),0)</f>
        <v/>
      </c>
      <c r="BK867">
        <f>IFERROR(INDEX(PP_Grid[#Data],$DE867,60),0)</f>
        <v/>
      </c>
      <c r="BL867">
        <f>IFERROR(INDEX(PP_Grid[#Data],$DE867,61),0)</f>
        <v/>
      </c>
      <c r="BM867">
        <f>IFERROR(INDEX(PP_Grid[#Data],$DE867,62),0)</f>
        <v/>
      </c>
      <c r="BN867">
        <f>IFERROR(INDEX(PP_Grid[#Data],$DE867,63),0)</f>
        <v/>
      </c>
      <c r="BO867">
        <f>IFERROR(INDEX(PP_Grid[#Data],$DE867,64),0)</f>
        <v/>
      </c>
      <c r="BP867">
        <f>IFERROR(INDEX(PP_Grid[#Data],$DE867,65),0)</f>
        <v/>
      </c>
      <c r="BQ867">
        <f>IFERROR(INDEX(PP_Grid[#Data],$DE867,66),0)</f>
        <v/>
      </c>
      <c r="BR867">
        <f>IFERROR(INDEX(PP_Grid[#Data],$DE867,67),0)</f>
        <v/>
      </c>
      <c r="BS867">
        <f>IFERROR(INDEX(PP_Grid[#Data],$DE867,68),0)</f>
        <v/>
      </c>
      <c r="BT867">
        <f>IFERROR(INDEX(PP_Grid[#Data],$DE867,69),0)</f>
        <v/>
      </c>
      <c r="BU867">
        <f>IFERROR(INDEX(PP_Grid[#Data],$DE867,70),0)</f>
        <v/>
      </c>
      <c r="BV867">
        <f>IFERROR(INDEX(PP_Grid[#Data],$DE867,71),0)</f>
        <v/>
      </c>
      <c r="BW867">
        <f>IFERROR(INDEX(PP_Grid[#Data],$DE867,72),0)</f>
        <v/>
      </c>
      <c r="BX867">
        <f>IFERROR(INDEX(PP_Grid[#Data],$DE867,73),0)</f>
        <v/>
      </c>
      <c r="BY867">
        <f>IFERROR(INDEX(PP_Grid[#Data],$DE867,74),0)</f>
        <v/>
      </c>
      <c r="BZ867">
        <f>IFERROR(INDEX(PP_Grid[#Data],$DE867,75),0)</f>
        <v/>
      </c>
      <c r="CA867">
        <f>IFERROR(INDEX(PP_Grid[#Data],$DE867,76),0)</f>
        <v/>
      </c>
      <c r="CB867">
        <f>IFERROR(INDEX(PP_Grid[#Data],$DE867,77),0)</f>
        <v/>
      </c>
      <c r="CC867">
        <f>IFERROR(INDEX(PP_Grid[#Data],$DE867,78),0)</f>
        <v/>
      </c>
      <c r="CD867">
        <f>IFERROR(INDEX(PP_Grid[#Data],$DE867,79),0)</f>
        <v/>
      </c>
      <c r="CE867">
        <f>IFERROR(INDEX(PP_Grid[#Data],$DE867,80),0)</f>
        <v/>
      </c>
      <c r="CF867">
        <f>IFERROR(INDEX(PP_Grid[#Data],$DE867,81),0)</f>
        <v/>
      </c>
      <c r="CG867">
        <f>IFERROR(INDEX(PP_Grid[#Data],$DE867,82),0)</f>
        <v/>
      </c>
      <c r="CH867">
        <f>IFERROR(INDEX(PP_Grid[#Data],$DE867,83),0)</f>
        <v/>
      </c>
      <c r="CI867">
        <f>IFERROR(INDEX(PP_Grid[#Data],$DE867,84),0)</f>
        <v/>
      </c>
      <c r="CJ867">
        <f>IFERROR(INDEX(PP_Grid[#Data],$DE867,85),0)</f>
        <v/>
      </c>
      <c r="CK867">
        <f>IFERROR(INDEX(PP_Grid[#Data],$DE867,86),0)</f>
        <v/>
      </c>
      <c r="CL867">
        <f>IFERROR(INDEX(PP_Grid[#Data],$DE867,87),0)</f>
        <v/>
      </c>
      <c r="CM867">
        <f>IFERROR(INDEX(PP_Grid[#Data],$DE867,88),0)</f>
        <v/>
      </c>
      <c r="CN867">
        <f>IFERROR(INDEX(PP_Grid[#Data],$DE867,89),0)</f>
        <v/>
      </c>
      <c r="CO867">
        <f>IFERROR(INDEX(PP_Grid[#Data],$DE867,90),0)</f>
        <v/>
      </c>
      <c r="CP867">
        <f>IFERROR(INDEX(PP_Grid[#Data],$DE867,91),0)</f>
        <v/>
      </c>
      <c r="CQ867">
        <f>IFERROR(INDEX(PP_Grid[#Data],$DE867,92),0)</f>
        <v/>
      </c>
      <c r="CR867">
        <f>IFERROR(INDEX(PP_Grid[#Data],$DE867,93),0)</f>
        <v/>
      </c>
      <c r="CS867">
        <f>IFERROR(INDEX(PP_Grid[#Data],$DE867,94),0)</f>
        <v/>
      </c>
      <c r="CT867">
        <f>IFERROR(INDEX(PP_Grid[#Data],$DE867,95),0)</f>
        <v/>
      </c>
      <c r="CU867">
        <f>IFERROR(INDEX(PP_Grid[#Data],$DE867,96),0)</f>
        <v/>
      </c>
      <c r="CV867">
        <f>IFERROR(INDEX(PP_Grid[#Data],$DE867,97),0)</f>
        <v/>
      </c>
      <c r="CW867">
        <f>IFERROR(INDEX(PP_Grid[#Data],$DE867,98),0)</f>
        <v/>
      </c>
      <c r="CX867">
        <f>IFERROR(INDEX(PP_Grid[#Data],$DE867,99),0)</f>
        <v/>
      </c>
      <c r="CY867">
        <f>IFERROR(INDEX(PP_Grid[#Data],$DE867,100),0)</f>
        <v/>
      </c>
      <c r="CZ867">
        <f>IFERROR(INDEX(PP_Grid[#Data],$DE867,101),0)</f>
        <v/>
      </c>
      <c r="DA867">
        <f>IFERROR(INDEX(PP_Grid[#Data],$DE867,102),0)</f>
        <v/>
      </c>
      <c r="DB867">
        <f>IFERROR(INDEX(PP_Grid[#Data],$DE867,103),0)</f>
        <v/>
      </c>
      <c r="DC867">
        <f>IFERROR(INDEX(PP_Grid[#Data],$DE867,104),0)</f>
        <v/>
      </c>
      <c r="DD867">
        <f>IFERROR(INDEX(PP_Grid[#Data],$DE867,105),0)</f>
        <v/>
      </c>
      <c r="DE867" s="7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SUMIFS(M_BOM[RM_Qty_Per_Batch],M_BOM[Intermediate],$B867,M_BOM[RM_Code],$A860)</f>
        <v/>
      </c>
      <c r="D868">
        <f>IFERROR(INDEX(E868:DD868,$F$1),"")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  <c r="DD868">
        <f>$C868*DD867</f>
        <v/>
      </c>
    </row>
    <row r="869">
      <c r="B869" t="inlineStr">
        <is>
          <t>VSP-603</t>
        </is>
      </c>
      <c r="C869" t="inlineStr">
        <is>
          <t>No. of batches</t>
        </is>
      </c>
      <c r="D869">
        <f>IFERROR(INDEX(E869:DD869,$F$1),"")</f>
        <v/>
      </c>
      <c r="E869">
        <f>IFERROR(INDEX(PP_Grid[#Data],$DE869,2),0)</f>
        <v/>
      </c>
      <c r="F869">
        <f>IFERROR(INDEX(PP_Grid[#Data],$DE869,3),0)</f>
        <v/>
      </c>
      <c r="G869">
        <f>IFERROR(INDEX(PP_Grid[#Data],$DE869,4),0)</f>
        <v/>
      </c>
      <c r="H869">
        <f>IFERROR(INDEX(PP_Grid[#Data],$DE869,5),0)</f>
        <v/>
      </c>
      <c r="I869">
        <f>IFERROR(INDEX(PP_Grid[#Data],$DE869,6),0)</f>
        <v/>
      </c>
      <c r="J869">
        <f>IFERROR(INDEX(PP_Grid[#Data],$DE869,7),0)</f>
        <v/>
      </c>
      <c r="K869">
        <f>IFERROR(INDEX(PP_Grid[#Data],$DE869,8),0)</f>
        <v/>
      </c>
      <c r="L869">
        <f>IFERROR(INDEX(PP_Grid[#Data],$DE869,9),0)</f>
        <v/>
      </c>
      <c r="M869">
        <f>IFERROR(INDEX(PP_Grid[#Data],$DE869,10),0)</f>
        <v/>
      </c>
      <c r="N869">
        <f>IFERROR(INDEX(PP_Grid[#Data],$DE869,11),0)</f>
        <v/>
      </c>
      <c r="O869">
        <f>IFERROR(INDEX(PP_Grid[#Data],$DE869,12),0)</f>
        <v/>
      </c>
      <c r="P869">
        <f>IFERROR(INDEX(PP_Grid[#Data],$DE869,13),0)</f>
        <v/>
      </c>
      <c r="Q869">
        <f>IFERROR(INDEX(PP_Grid[#Data],$DE869,14),0)</f>
        <v/>
      </c>
      <c r="R869">
        <f>IFERROR(INDEX(PP_Grid[#Data],$DE869,15),0)</f>
        <v/>
      </c>
      <c r="S869">
        <f>IFERROR(INDEX(PP_Grid[#Data],$DE869,16),0)</f>
        <v/>
      </c>
      <c r="T869">
        <f>IFERROR(INDEX(PP_Grid[#Data],$DE869,17),0)</f>
        <v/>
      </c>
      <c r="U869">
        <f>IFERROR(INDEX(PP_Grid[#Data],$DE869,18),0)</f>
        <v/>
      </c>
      <c r="V869">
        <f>IFERROR(INDEX(PP_Grid[#Data],$DE869,19),0)</f>
        <v/>
      </c>
      <c r="W869">
        <f>IFERROR(INDEX(PP_Grid[#Data],$DE869,20),0)</f>
        <v/>
      </c>
      <c r="X869">
        <f>IFERROR(INDEX(PP_Grid[#Data],$DE869,21),0)</f>
        <v/>
      </c>
      <c r="Y869">
        <f>IFERROR(INDEX(PP_Grid[#Data],$DE869,22),0)</f>
        <v/>
      </c>
      <c r="Z869">
        <f>IFERROR(INDEX(PP_Grid[#Data],$DE869,23),0)</f>
        <v/>
      </c>
      <c r="AA869">
        <f>IFERROR(INDEX(PP_Grid[#Data],$DE869,24),0)</f>
        <v/>
      </c>
      <c r="AB869">
        <f>IFERROR(INDEX(PP_Grid[#Data],$DE869,25),0)</f>
        <v/>
      </c>
      <c r="AC869">
        <f>IFERROR(INDEX(PP_Grid[#Data],$DE869,26),0)</f>
        <v/>
      </c>
      <c r="AD869">
        <f>IFERROR(INDEX(PP_Grid[#Data],$DE869,27),0)</f>
        <v/>
      </c>
      <c r="AE869">
        <f>IFERROR(INDEX(PP_Grid[#Data],$DE869,28),0)</f>
        <v/>
      </c>
      <c r="AF869">
        <f>IFERROR(INDEX(PP_Grid[#Data],$DE869,29),0)</f>
        <v/>
      </c>
      <c r="AG869">
        <f>IFERROR(INDEX(PP_Grid[#Data],$DE869,30),0)</f>
        <v/>
      </c>
      <c r="AH869">
        <f>IFERROR(INDEX(PP_Grid[#Data],$DE869,31),0)</f>
        <v/>
      </c>
      <c r="AI869">
        <f>IFERROR(INDEX(PP_Grid[#Data],$DE869,32),0)</f>
        <v/>
      </c>
      <c r="AJ869">
        <f>IFERROR(INDEX(PP_Grid[#Data],$DE869,33),0)</f>
        <v/>
      </c>
      <c r="AK869">
        <f>IFERROR(INDEX(PP_Grid[#Data],$DE869,34),0)</f>
        <v/>
      </c>
      <c r="AL869">
        <f>IFERROR(INDEX(PP_Grid[#Data],$DE869,35),0)</f>
        <v/>
      </c>
      <c r="AM869">
        <f>IFERROR(INDEX(PP_Grid[#Data],$DE869,36),0)</f>
        <v/>
      </c>
      <c r="AN869">
        <f>IFERROR(INDEX(PP_Grid[#Data],$DE869,37),0)</f>
        <v/>
      </c>
      <c r="AO869">
        <f>IFERROR(INDEX(PP_Grid[#Data],$DE869,38),0)</f>
        <v/>
      </c>
      <c r="AP869">
        <f>IFERROR(INDEX(PP_Grid[#Data],$DE869,39),0)</f>
        <v/>
      </c>
      <c r="AQ869">
        <f>IFERROR(INDEX(PP_Grid[#Data],$DE869,40),0)</f>
        <v/>
      </c>
      <c r="AR869">
        <f>IFERROR(INDEX(PP_Grid[#Data],$DE869,41),0)</f>
        <v/>
      </c>
      <c r="AS869">
        <f>IFERROR(INDEX(PP_Grid[#Data],$DE869,42),0)</f>
        <v/>
      </c>
      <c r="AT869">
        <f>IFERROR(INDEX(PP_Grid[#Data],$DE869,43),0)</f>
        <v/>
      </c>
      <c r="AU869">
        <f>IFERROR(INDEX(PP_Grid[#Data],$DE869,44),0)</f>
        <v/>
      </c>
      <c r="AV869">
        <f>IFERROR(INDEX(PP_Grid[#Data],$DE869,45),0)</f>
        <v/>
      </c>
      <c r="AW869">
        <f>IFERROR(INDEX(PP_Grid[#Data],$DE869,46),0)</f>
        <v/>
      </c>
      <c r="AX869">
        <f>IFERROR(INDEX(PP_Grid[#Data],$DE869,47),0)</f>
        <v/>
      </c>
      <c r="AY869">
        <f>IFERROR(INDEX(PP_Grid[#Data],$DE869,48),0)</f>
        <v/>
      </c>
      <c r="AZ869">
        <f>IFERROR(INDEX(PP_Grid[#Data],$DE869,49),0)</f>
        <v/>
      </c>
      <c r="BA869">
        <f>IFERROR(INDEX(PP_Grid[#Data],$DE869,50),0)</f>
        <v/>
      </c>
      <c r="BB869">
        <f>IFERROR(INDEX(PP_Grid[#Data],$DE869,51),0)</f>
        <v/>
      </c>
      <c r="BC869">
        <f>IFERROR(INDEX(PP_Grid[#Data],$DE869,52),0)</f>
        <v/>
      </c>
      <c r="BD869">
        <f>IFERROR(INDEX(PP_Grid[#Data],$DE869,53),0)</f>
        <v/>
      </c>
      <c r="BE869">
        <f>IFERROR(INDEX(PP_Grid[#Data],$DE869,54),0)</f>
        <v/>
      </c>
      <c r="BF869">
        <f>IFERROR(INDEX(PP_Grid[#Data],$DE869,55),0)</f>
        <v/>
      </c>
      <c r="BG869">
        <f>IFERROR(INDEX(PP_Grid[#Data],$DE869,56),0)</f>
        <v/>
      </c>
      <c r="BH869">
        <f>IFERROR(INDEX(PP_Grid[#Data],$DE869,57),0)</f>
        <v/>
      </c>
      <c r="BI869">
        <f>IFERROR(INDEX(PP_Grid[#Data],$DE869,58),0)</f>
        <v/>
      </c>
      <c r="BJ869">
        <f>IFERROR(INDEX(PP_Grid[#Data],$DE869,59),0)</f>
        <v/>
      </c>
      <c r="BK869">
        <f>IFERROR(INDEX(PP_Grid[#Data],$DE869,60),0)</f>
        <v/>
      </c>
      <c r="BL869">
        <f>IFERROR(INDEX(PP_Grid[#Data],$DE869,61),0)</f>
        <v/>
      </c>
      <c r="BM869">
        <f>IFERROR(INDEX(PP_Grid[#Data],$DE869,62),0)</f>
        <v/>
      </c>
      <c r="BN869">
        <f>IFERROR(INDEX(PP_Grid[#Data],$DE869,63),0)</f>
        <v/>
      </c>
      <c r="BO869">
        <f>IFERROR(INDEX(PP_Grid[#Data],$DE869,64),0)</f>
        <v/>
      </c>
      <c r="BP869">
        <f>IFERROR(INDEX(PP_Grid[#Data],$DE869,65),0)</f>
        <v/>
      </c>
      <c r="BQ869">
        <f>IFERROR(INDEX(PP_Grid[#Data],$DE869,66),0)</f>
        <v/>
      </c>
      <c r="BR869">
        <f>IFERROR(INDEX(PP_Grid[#Data],$DE869,67),0)</f>
        <v/>
      </c>
      <c r="BS869">
        <f>IFERROR(INDEX(PP_Grid[#Data],$DE869,68),0)</f>
        <v/>
      </c>
      <c r="BT869">
        <f>IFERROR(INDEX(PP_Grid[#Data],$DE869,69),0)</f>
        <v/>
      </c>
      <c r="BU869">
        <f>IFERROR(INDEX(PP_Grid[#Data],$DE869,70),0)</f>
        <v/>
      </c>
      <c r="BV869">
        <f>IFERROR(INDEX(PP_Grid[#Data],$DE869,71),0)</f>
        <v/>
      </c>
      <c r="BW869">
        <f>IFERROR(INDEX(PP_Grid[#Data],$DE869,72),0)</f>
        <v/>
      </c>
      <c r="BX869">
        <f>IFERROR(INDEX(PP_Grid[#Data],$DE869,73),0)</f>
        <v/>
      </c>
      <c r="BY869">
        <f>IFERROR(INDEX(PP_Grid[#Data],$DE869,74),0)</f>
        <v/>
      </c>
      <c r="BZ869">
        <f>IFERROR(INDEX(PP_Grid[#Data],$DE869,75),0)</f>
        <v/>
      </c>
      <c r="CA869">
        <f>IFERROR(INDEX(PP_Grid[#Data],$DE869,76),0)</f>
        <v/>
      </c>
      <c r="CB869">
        <f>IFERROR(INDEX(PP_Grid[#Data],$DE869,77),0)</f>
        <v/>
      </c>
      <c r="CC869">
        <f>IFERROR(INDEX(PP_Grid[#Data],$DE869,78),0)</f>
        <v/>
      </c>
      <c r="CD869">
        <f>IFERROR(INDEX(PP_Grid[#Data],$DE869,79),0)</f>
        <v/>
      </c>
      <c r="CE869">
        <f>IFERROR(INDEX(PP_Grid[#Data],$DE869,80),0)</f>
        <v/>
      </c>
      <c r="CF869">
        <f>IFERROR(INDEX(PP_Grid[#Data],$DE869,81),0)</f>
        <v/>
      </c>
      <c r="CG869">
        <f>IFERROR(INDEX(PP_Grid[#Data],$DE869,82),0)</f>
        <v/>
      </c>
      <c r="CH869">
        <f>IFERROR(INDEX(PP_Grid[#Data],$DE869,83),0)</f>
        <v/>
      </c>
      <c r="CI869">
        <f>IFERROR(INDEX(PP_Grid[#Data],$DE869,84),0)</f>
        <v/>
      </c>
      <c r="CJ869">
        <f>IFERROR(INDEX(PP_Grid[#Data],$DE869,85),0)</f>
        <v/>
      </c>
      <c r="CK869">
        <f>IFERROR(INDEX(PP_Grid[#Data],$DE869,86),0)</f>
        <v/>
      </c>
      <c r="CL869">
        <f>IFERROR(INDEX(PP_Grid[#Data],$DE869,87),0)</f>
        <v/>
      </c>
      <c r="CM869">
        <f>IFERROR(INDEX(PP_Grid[#Data],$DE869,88),0)</f>
        <v/>
      </c>
      <c r="CN869">
        <f>IFERROR(INDEX(PP_Grid[#Data],$DE869,89),0)</f>
        <v/>
      </c>
      <c r="CO869">
        <f>IFERROR(INDEX(PP_Grid[#Data],$DE869,90),0)</f>
        <v/>
      </c>
      <c r="CP869">
        <f>IFERROR(INDEX(PP_Grid[#Data],$DE869,91),0)</f>
        <v/>
      </c>
      <c r="CQ869">
        <f>IFERROR(INDEX(PP_Grid[#Data],$DE869,92),0)</f>
        <v/>
      </c>
      <c r="CR869">
        <f>IFERROR(INDEX(PP_Grid[#Data],$DE869,93),0)</f>
        <v/>
      </c>
      <c r="CS869">
        <f>IFERROR(INDEX(PP_Grid[#Data],$DE869,94),0)</f>
        <v/>
      </c>
      <c r="CT869">
        <f>IFERROR(INDEX(PP_Grid[#Data],$DE869,95),0)</f>
        <v/>
      </c>
      <c r="CU869">
        <f>IFERROR(INDEX(PP_Grid[#Data],$DE869,96),0)</f>
        <v/>
      </c>
      <c r="CV869">
        <f>IFERROR(INDEX(PP_Grid[#Data],$DE869,97),0)</f>
        <v/>
      </c>
      <c r="CW869">
        <f>IFERROR(INDEX(PP_Grid[#Data],$DE869,98),0)</f>
        <v/>
      </c>
      <c r="CX869">
        <f>IFERROR(INDEX(PP_Grid[#Data],$DE869,99),0)</f>
        <v/>
      </c>
      <c r="CY869">
        <f>IFERROR(INDEX(PP_Grid[#Data],$DE869,100),0)</f>
        <v/>
      </c>
      <c r="CZ869">
        <f>IFERROR(INDEX(PP_Grid[#Data],$DE869,101),0)</f>
        <v/>
      </c>
      <c r="DA869">
        <f>IFERROR(INDEX(PP_Grid[#Data],$DE869,102),0)</f>
        <v/>
      </c>
      <c r="DB869">
        <f>IFERROR(INDEX(PP_Grid[#Data],$DE869,103),0)</f>
        <v/>
      </c>
      <c r="DC869">
        <f>IFERROR(INDEX(PP_Grid[#Data],$DE869,104),0)</f>
        <v/>
      </c>
      <c r="DD869">
        <f>IFERROR(INDEX(PP_Grid[#Data],$DE869,105),0)</f>
        <v/>
      </c>
      <c r="DE869" s="7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SUMIFS(M_BOM[RM_Qty_Per_Batch],M_BOM[Intermediate],$B869,M_BOM[RM_Code],$A860)</f>
        <v/>
      </c>
      <c r="D870">
        <f>IFERROR(INDEX(E870:DD870,$F$1),"")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  <c r="DD870">
        <f>$C870*DD869</f>
        <v/>
      </c>
    </row>
    <row r="871">
      <c r="B871" t="inlineStr">
        <is>
          <t>VSP-604</t>
        </is>
      </c>
      <c r="C871" t="inlineStr">
        <is>
          <t>No. of batches</t>
        </is>
      </c>
      <c r="D871">
        <f>IFERROR(INDEX(E871:DD871,$F$1),"")</f>
        <v/>
      </c>
      <c r="E871">
        <f>IFERROR(INDEX(PP_Grid[#Data],$DE871,2),0)</f>
        <v/>
      </c>
      <c r="F871">
        <f>IFERROR(INDEX(PP_Grid[#Data],$DE871,3),0)</f>
        <v/>
      </c>
      <c r="G871">
        <f>IFERROR(INDEX(PP_Grid[#Data],$DE871,4),0)</f>
        <v/>
      </c>
      <c r="H871">
        <f>IFERROR(INDEX(PP_Grid[#Data],$DE871,5),0)</f>
        <v/>
      </c>
      <c r="I871">
        <f>IFERROR(INDEX(PP_Grid[#Data],$DE871,6),0)</f>
        <v/>
      </c>
      <c r="J871">
        <f>IFERROR(INDEX(PP_Grid[#Data],$DE871,7),0)</f>
        <v/>
      </c>
      <c r="K871">
        <f>IFERROR(INDEX(PP_Grid[#Data],$DE871,8),0)</f>
        <v/>
      </c>
      <c r="L871">
        <f>IFERROR(INDEX(PP_Grid[#Data],$DE871,9),0)</f>
        <v/>
      </c>
      <c r="M871">
        <f>IFERROR(INDEX(PP_Grid[#Data],$DE871,10),0)</f>
        <v/>
      </c>
      <c r="N871">
        <f>IFERROR(INDEX(PP_Grid[#Data],$DE871,11),0)</f>
        <v/>
      </c>
      <c r="O871">
        <f>IFERROR(INDEX(PP_Grid[#Data],$DE871,12),0)</f>
        <v/>
      </c>
      <c r="P871">
        <f>IFERROR(INDEX(PP_Grid[#Data],$DE871,13),0)</f>
        <v/>
      </c>
      <c r="Q871">
        <f>IFERROR(INDEX(PP_Grid[#Data],$DE871,14),0)</f>
        <v/>
      </c>
      <c r="R871">
        <f>IFERROR(INDEX(PP_Grid[#Data],$DE871,15),0)</f>
        <v/>
      </c>
      <c r="S871">
        <f>IFERROR(INDEX(PP_Grid[#Data],$DE871,16),0)</f>
        <v/>
      </c>
      <c r="T871">
        <f>IFERROR(INDEX(PP_Grid[#Data],$DE871,17),0)</f>
        <v/>
      </c>
      <c r="U871">
        <f>IFERROR(INDEX(PP_Grid[#Data],$DE871,18),0)</f>
        <v/>
      </c>
      <c r="V871">
        <f>IFERROR(INDEX(PP_Grid[#Data],$DE871,19),0)</f>
        <v/>
      </c>
      <c r="W871">
        <f>IFERROR(INDEX(PP_Grid[#Data],$DE871,20),0)</f>
        <v/>
      </c>
      <c r="X871">
        <f>IFERROR(INDEX(PP_Grid[#Data],$DE871,21),0)</f>
        <v/>
      </c>
      <c r="Y871">
        <f>IFERROR(INDEX(PP_Grid[#Data],$DE871,22),0)</f>
        <v/>
      </c>
      <c r="Z871">
        <f>IFERROR(INDEX(PP_Grid[#Data],$DE871,23),0)</f>
        <v/>
      </c>
      <c r="AA871">
        <f>IFERROR(INDEX(PP_Grid[#Data],$DE871,24),0)</f>
        <v/>
      </c>
      <c r="AB871">
        <f>IFERROR(INDEX(PP_Grid[#Data],$DE871,25),0)</f>
        <v/>
      </c>
      <c r="AC871">
        <f>IFERROR(INDEX(PP_Grid[#Data],$DE871,26),0)</f>
        <v/>
      </c>
      <c r="AD871">
        <f>IFERROR(INDEX(PP_Grid[#Data],$DE871,27),0)</f>
        <v/>
      </c>
      <c r="AE871">
        <f>IFERROR(INDEX(PP_Grid[#Data],$DE871,28),0)</f>
        <v/>
      </c>
      <c r="AF871">
        <f>IFERROR(INDEX(PP_Grid[#Data],$DE871,29),0)</f>
        <v/>
      </c>
      <c r="AG871">
        <f>IFERROR(INDEX(PP_Grid[#Data],$DE871,30),0)</f>
        <v/>
      </c>
      <c r="AH871">
        <f>IFERROR(INDEX(PP_Grid[#Data],$DE871,31),0)</f>
        <v/>
      </c>
      <c r="AI871">
        <f>IFERROR(INDEX(PP_Grid[#Data],$DE871,32),0)</f>
        <v/>
      </c>
      <c r="AJ871">
        <f>IFERROR(INDEX(PP_Grid[#Data],$DE871,33),0)</f>
        <v/>
      </c>
      <c r="AK871">
        <f>IFERROR(INDEX(PP_Grid[#Data],$DE871,34),0)</f>
        <v/>
      </c>
      <c r="AL871">
        <f>IFERROR(INDEX(PP_Grid[#Data],$DE871,35),0)</f>
        <v/>
      </c>
      <c r="AM871">
        <f>IFERROR(INDEX(PP_Grid[#Data],$DE871,36),0)</f>
        <v/>
      </c>
      <c r="AN871">
        <f>IFERROR(INDEX(PP_Grid[#Data],$DE871,37),0)</f>
        <v/>
      </c>
      <c r="AO871">
        <f>IFERROR(INDEX(PP_Grid[#Data],$DE871,38),0)</f>
        <v/>
      </c>
      <c r="AP871">
        <f>IFERROR(INDEX(PP_Grid[#Data],$DE871,39),0)</f>
        <v/>
      </c>
      <c r="AQ871">
        <f>IFERROR(INDEX(PP_Grid[#Data],$DE871,40),0)</f>
        <v/>
      </c>
      <c r="AR871">
        <f>IFERROR(INDEX(PP_Grid[#Data],$DE871,41),0)</f>
        <v/>
      </c>
      <c r="AS871">
        <f>IFERROR(INDEX(PP_Grid[#Data],$DE871,42),0)</f>
        <v/>
      </c>
      <c r="AT871">
        <f>IFERROR(INDEX(PP_Grid[#Data],$DE871,43),0)</f>
        <v/>
      </c>
      <c r="AU871">
        <f>IFERROR(INDEX(PP_Grid[#Data],$DE871,44),0)</f>
        <v/>
      </c>
      <c r="AV871">
        <f>IFERROR(INDEX(PP_Grid[#Data],$DE871,45),0)</f>
        <v/>
      </c>
      <c r="AW871">
        <f>IFERROR(INDEX(PP_Grid[#Data],$DE871,46),0)</f>
        <v/>
      </c>
      <c r="AX871">
        <f>IFERROR(INDEX(PP_Grid[#Data],$DE871,47),0)</f>
        <v/>
      </c>
      <c r="AY871">
        <f>IFERROR(INDEX(PP_Grid[#Data],$DE871,48),0)</f>
        <v/>
      </c>
      <c r="AZ871">
        <f>IFERROR(INDEX(PP_Grid[#Data],$DE871,49),0)</f>
        <v/>
      </c>
      <c r="BA871">
        <f>IFERROR(INDEX(PP_Grid[#Data],$DE871,50),0)</f>
        <v/>
      </c>
      <c r="BB871">
        <f>IFERROR(INDEX(PP_Grid[#Data],$DE871,51),0)</f>
        <v/>
      </c>
      <c r="BC871">
        <f>IFERROR(INDEX(PP_Grid[#Data],$DE871,52),0)</f>
        <v/>
      </c>
      <c r="BD871">
        <f>IFERROR(INDEX(PP_Grid[#Data],$DE871,53),0)</f>
        <v/>
      </c>
      <c r="BE871">
        <f>IFERROR(INDEX(PP_Grid[#Data],$DE871,54),0)</f>
        <v/>
      </c>
      <c r="BF871">
        <f>IFERROR(INDEX(PP_Grid[#Data],$DE871,55),0)</f>
        <v/>
      </c>
      <c r="BG871">
        <f>IFERROR(INDEX(PP_Grid[#Data],$DE871,56),0)</f>
        <v/>
      </c>
      <c r="BH871">
        <f>IFERROR(INDEX(PP_Grid[#Data],$DE871,57),0)</f>
        <v/>
      </c>
      <c r="BI871">
        <f>IFERROR(INDEX(PP_Grid[#Data],$DE871,58),0)</f>
        <v/>
      </c>
      <c r="BJ871">
        <f>IFERROR(INDEX(PP_Grid[#Data],$DE871,59),0)</f>
        <v/>
      </c>
      <c r="BK871">
        <f>IFERROR(INDEX(PP_Grid[#Data],$DE871,60),0)</f>
        <v/>
      </c>
      <c r="BL871">
        <f>IFERROR(INDEX(PP_Grid[#Data],$DE871,61),0)</f>
        <v/>
      </c>
      <c r="BM871">
        <f>IFERROR(INDEX(PP_Grid[#Data],$DE871,62),0)</f>
        <v/>
      </c>
      <c r="BN871">
        <f>IFERROR(INDEX(PP_Grid[#Data],$DE871,63),0)</f>
        <v/>
      </c>
      <c r="BO871">
        <f>IFERROR(INDEX(PP_Grid[#Data],$DE871,64),0)</f>
        <v/>
      </c>
      <c r="BP871">
        <f>IFERROR(INDEX(PP_Grid[#Data],$DE871,65),0)</f>
        <v/>
      </c>
      <c r="BQ871">
        <f>IFERROR(INDEX(PP_Grid[#Data],$DE871,66),0)</f>
        <v/>
      </c>
      <c r="BR871">
        <f>IFERROR(INDEX(PP_Grid[#Data],$DE871,67),0)</f>
        <v/>
      </c>
      <c r="BS871">
        <f>IFERROR(INDEX(PP_Grid[#Data],$DE871,68),0)</f>
        <v/>
      </c>
      <c r="BT871">
        <f>IFERROR(INDEX(PP_Grid[#Data],$DE871,69),0)</f>
        <v/>
      </c>
      <c r="BU871">
        <f>IFERROR(INDEX(PP_Grid[#Data],$DE871,70),0)</f>
        <v/>
      </c>
      <c r="BV871">
        <f>IFERROR(INDEX(PP_Grid[#Data],$DE871,71),0)</f>
        <v/>
      </c>
      <c r="BW871">
        <f>IFERROR(INDEX(PP_Grid[#Data],$DE871,72),0)</f>
        <v/>
      </c>
      <c r="BX871">
        <f>IFERROR(INDEX(PP_Grid[#Data],$DE871,73),0)</f>
        <v/>
      </c>
      <c r="BY871">
        <f>IFERROR(INDEX(PP_Grid[#Data],$DE871,74),0)</f>
        <v/>
      </c>
      <c r="BZ871">
        <f>IFERROR(INDEX(PP_Grid[#Data],$DE871,75),0)</f>
        <v/>
      </c>
      <c r="CA871">
        <f>IFERROR(INDEX(PP_Grid[#Data],$DE871,76),0)</f>
        <v/>
      </c>
      <c r="CB871">
        <f>IFERROR(INDEX(PP_Grid[#Data],$DE871,77),0)</f>
        <v/>
      </c>
      <c r="CC871">
        <f>IFERROR(INDEX(PP_Grid[#Data],$DE871,78),0)</f>
        <v/>
      </c>
      <c r="CD871">
        <f>IFERROR(INDEX(PP_Grid[#Data],$DE871,79),0)</f>
        <v/>
      </c>
      <c r="CE871">
        <f>IFERROR(INDEX(PP_Grid[#Data],$DE871,80),0)</f>
        <v/>
      </c>
      <c r="CF871">
        <f>IFERROR(INDEX(PP_Grid[#Data],$DE871,81),0)</f>
        <v/>
      </c>
      <c r="CG871">
        <f>IFERROR(INDEX(PP_Grid[#Data],$DE871,82),0)</f>
        <v/>
      </c>
      <c r="CH871">
        <f>IFERROR(INDEX(PP_Grid[#Data],$DE871,83),0)</f>
        <v/>
      </c>
      <c r="CI871">
        <f>IFERROR(INDEX(PP_Grid[#Data],$DE871,84),0)</f>
        <v/>
      </c>
      <c r="CJ871">
        <f>IFERROR(INDEX(PP_Grid[#Data],$DE871,85),0)</f>
        <v/>
      </c>
      <c r="CK871">
        <f>IFERROR(INDEX(PP_Grid[#Data],$DE871,86),0)</f>
        <v/>
      </c>
      <c r="CL871">
        <f>IFERROR(INDEX(PP_Grid[#Data],$DE871,87),0)</f>
        <v/>
      </c>
      <c r="CM871">
        <f>IFERROR(INDEX(PP_Grid[#Data],$DE871,88),0)</f>
        <v/>
      </c>
      <c r="CN871">
        <f>IFERROR(INDEX(PP_Grid[#Data],$DE871,89),0)</f>
        <v/>
      </c>
      <c r="CO871">
        <f>IFERROR(INDEX(PP_Grid[#Data],$DE871,90),0)</f>
        <v/>
      </c>
      <c r="CP871">
        <f>IFERROR(INDEX(PP_Grid[#Data],$DE871,91),0)</f>
        <v/>
      </c>
      <c r="CQ871">
        <f>IFERROR(INDEX(PP_Grid[#Data],$DE871,92),0)</f>
        <v/>
      </c>
      <c r="CR871">
        <f>IFERROR(INDEX(PP_Grid[#Data],$DE871,93),0)</f>
        <v/>
      </c>
      <c r="CS871">
        <f>IFERROR(INDEX(PP_Grid[#Data],$DE871,94),0)</f>
        <v/>
      </c>
      <c r="CT871">
        <f>IFERROR(INDEX(PP_Grid[#Data],$DE871,95),0)</f>
        <v/>
      </c>
      <c r="CU871">
        <f>IFERROR(INDEX(PP_Grid[#Data],$DE871,96),0)</f>
        <v/>
      </c>
      <c r="CV871">
        <f>IFERROR(INDEX(PP_Grid[#Data],$DE871,97),0)</f>
        <v/>
      </c>
      <c r="CW871">
        <f>IFERROR(INDEX(PP_Grid[#Data],$DE871,98),0)</f>
        <v/>
      </c>
      <c r="CX871">
        <f>IFERROR(INDEX(PP_Grid[#Data],$DE871,99),0)</f>
        <v/>
      </c>
      <c r="CY871">
        <f>IFERROR(INDEX(PP_Grid[#Data],$DE871,100),0)</f>
        <v/>
      </c>
      <c r="CZ871">
        <f>IFERROR(INDEX(PP_Grid[#Data],$DE871,101),0)</f>
        <v/>
      </c>
      <c r="DA871">
        <f>IFERROR(INDEX(PP_Grid[#Data],$DE871,102),0)</f>
        <v/>
      </c>
      <c r="DB871">
        <f>IFERROR(INDEX(PP_Grid[#Data],$DE871,103),0)</f>
        <v/>
      </c>
      <c r="DC871">
        <f>IFERROR(INDEX(PP_Grid[#Data],$DE871,104),0)</f>
        <v/>
      </c>
      <c r="DD871">
        <f>IFERROR(INDEX(PP_Grid[#Data],$DE871,105),0)</f>
        <v/>
      </c>
      <c r="DE871" s="7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SUMIFS(M_BOM[RM_Qty_Per_Batch],M_BOM[Intermediate],$B871,M_BOM[RM_Code],$A860)</f>
        <v/>
      </c>
      <c r="D872">
        <f>IFERROR(INDEX(E872:DD872,$F$1),"")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  <c r="DD872">
        <f>$C872*DD871</f>
        <v/>
      </c>
    </row>
    <row r="873">
      <c r="B873" t="inlineStr">
        <is>
          <t>VSP-606</t>
        </is>
      </c>
      <c r="C873" t="inlineStr">
        <is>
          <t>No. of batches</t>
        </is>
      </c>
      <c r="D873">
        <f>IFERROR(INDEX(E873:DD873,$F$1),"")</f>
        <v/>
      </c>
      <c r="E873">
        <f>IFERROR(INDEX(PP_Grid[#Data],$DE873,2),0)</f>
        <v/>
      </c>
      <c r="F873">
        <f>IFERROR(INDEX(PP_Grid[#Data],$DE873,3),0)</f>
        <v/>
      </c>
      <c r="G873">
        <f>IFERROR(INDEX(PP_Grid[#Data],$DE873,4),0)</f>
        <v/>
      </c>
      <c r="H873">
        <f>IFERROR(INDEX(PP_Grid[#Data],$DE873,5),0)</f>
        <v/>
      </c>
      <c r="I873">
        <f>IFERROR(INDEX(PP_Grid[#Data],$DE873,6),0)</f>
        <v/>
      </c>
      <c r="J873">
        <f>IFERROR(INDEX(PP_Grid[#Data],$DE873,7),0)</f>
        <v/>
      </c>
      <c r="K873">
        <f>IFERROR(INDEX(PP_Grid[#Data],$DE873,8),0)</f>
        <v/>
      </c>
      <c r="L873">
        <f>IFERROR(INDEX(PP_Grid[#Data],$DE873,9),0)</f>
        <v/>
      </c>
      <c r="M873">
        <f>IFERROR(INDEX(PP_Grid[#Data],$DE873,10),0)</f>
        <v/>
      </c>
      <c r="N873">
        <f>IFERROR(INDEX(PP_Grid[#Data],$DE873,11),0)</f>
        <v/>
      </c>
      <c r="O873">
        <f>IFERROR(INDEX(PP_Grid[#Data],$DE873,12),0)</f>
        <v/>
      </c>
      <c r="P873">
        <f>IFERROR(INDEX(PP_Grid[#Data],$DE873,13),0)</f>
        <v/>
      </c>
      <c r="Q873">
        <f>IFERROR(INDEX(PP_Grid[#Data],$DE873,14),0)</f>
        <v/>
      </c>
      <c r="R873">
        <f>IFERROR(INDEX(PP_Grid[#Data],$DE873,15),0)</f>
        <v/>
      </c>
      <c r="S873">
        <f>IFERROR(INDEX(PP_Grid[#Data],$DE873,16),0)</f>
        <v/>
      </c>
      <c r="T873">
        <f>IFERROR(INDEX(PP_Grid[#Data],$DE873,17),0)</f>
        <v/>
      </c>
      <c r="U873">
        <f>IFERROR(INDEX(PP_Grid[#Data],$DE873,18),0)</f>
        <v/>
      </c>
      <c r="V873">
        <f>IFERROR(INDEX(PP_Grid[#Data],$DE873,19),0)</f>
        <v/>
      </c>
      <c r="W873">
        <f>IFERROR(INDEX(PP_Grid[#Data],$DE873,20),0)</f>
        <v/>
      </c>
      <c r="X873">
        <f>IFERROR(INDEX(PP_Grid[#Data],$DE873,21),0)</f>
        <v/>
      </c>
      <c r="Y873">
        <f>IFERROR(INDEX(PP_Grid[#Data],$DE873,22),0)</f>
        <v/>
      </c>
      <c r="Z873">
        <f>IFERROR(INDEX(PP_Grid[#Data],$DE873,23),0)</f>
        <v/>
      </c>
      <c r="AA873">
        <f>IFERROR(INDEX(PP_Grid[#Data],$DE873,24),0)</f>
        <v/>
      </c>
      <c r="AB873">
        <f>IFERROR(INDEX(PP_Grid[#Data],$DE873,25),0)</f>
        <v/>
      </c>
      <c r="AC873">
        <f>IFERROR(INDEX(PP_Grid[#Data],$DE873,26),0)</f>
        <v/>
      </c>
      <c r="AD873">
        <f>IFERROR(INDEX(PP_Grid[#Data],$DE873,27),0)</f>
        <v/>
      </c>
      <c r="AE873">
        <f>IFERROR(INDEX(PP_Grid[#Data],$DE873,28),0)</f>
        <v/>
      </c>
      <c r="AF873">
        <f>IFERROR(INDEX(PP_Grid[#Data],$DE873,29),0)</f>
        <v/>
      </c>
      <c r="AG873">
        <f>IFERROR(INDEX(PP_Grid[#Data],$DE873,30),0)</f>
        <v/>
      </c>
      <c r="AH873">
        <f>IFERROR(INDEX(PP_Grid[#Data],$DE873,31),0)</f>
        <v/>
      </c>
      <c r="AI873">
        <f>IFERROR(INDEX(PP_Grid[#Data],$DE873,32),0)</f>
        <v/>
      </c>
      <c r="AJ873">
        <f>IFERROR(INDEX(PP_Grid[#Data],$DE873,33),0)</f>
        <v/>
      </c>
      <c r="AK873">
        <f>IFERROR(INDEX(PP_Grid[#Data],$DE873,34),0)</f>
        <v/>
      </c>
      <c r="AL873">
        <f>IFERROR(INDEX(PP_Grid[#Data],$DE873,35),0)</f>
        <v/>
      </c>
      <c r="AM873">
        <f>IFERROR(INDEX(PP_Grid[#Data],$DE873,36),0)</f>
        <v/>
      </c>
      <c r="AN873">
        <f>IFERROR(INDEX(PP_Grid[#Data],$DE873,37),0)</f>
        <v/>
      </c>
      <c r="AO873">
        <f>IFERROR(INDEX(PP_Grid[#Data],$DE873,38),0)</f>
        <v/>
      </c>
      <c r="AP873">
        <f>IFERROR(INDEX(PP_Grid[#Data],$DE873,39),0)</f>
        <v/>
      </c>
      <c r="AQ873">
        <f>IFERROR(INDEX(PP_Grid[#Data],$DE873,40),0)</f>
        <v/>
      </c>
      <c r="AR873">
        <f>IFERROR(INDEX(PP_Grid[#Data],$DE873,41),0)</f>
        <v/>
      </c>
      <c r="AS873">
        <f>IFERROR(INDEX(PP_Grid[#Data],$DE873,42),0)</f>
        <v/>
      </c>
      <c r="AT873">
        <f>IFERROR(INDEX(PP_Grid[#Data],$DE873,43),0)</f>
        <v/>
      </c>
      <c r="AU873">
        <f>IFERROR(INDEX(PP_Grid[#Data],$DE873,44),0)</f>
        <v/>
      </c>
      <c r="AV873">
        <f>IFERROR(INDEX(PP_Grid[#Data],$DE873,45),0)</f>
        <v/>
      </c>
      <c r="AW873">
        <f>IFERROR(INDEX(PP_Grid[#Data],$DE873,46),0)</f>
        <v/>
      </c>
      <c r="AX873">
        <f>IFERROR(INDEX(PP_Grid[#Data],$DE873,47),0)</f>
        <v/>
      </c>
      <c r="AY873">
        <f>IFERROR(INDEX(PP_Grid[#Data],$DE873,48),0)</f>
        <v/>
      </c>
      <c r="AZ873">
        <f>IFERROR(INDEX(PP_Grid[#Data],$DE873,49),0)</f>
        <v/>
      </c>
      <c r="BA873">
        <f>IFERROR(INDEX(PP_Grid[#Data],$DE873,50),0)</f>
        <v/>
      </c>
      <c r="BB873">
        <f>IFERROR(INDEX(PP_Grid[#Data],$DE873,51),0)</f>
        <v/>
      </c>
      <c r="BC873">
        <f>IFERROR(INDEX(PP_Grid[#Data],$DE873,52),0)</f>
        <v/>
      </c>
      <c r="BD873">
        <f>IFERROR(INDEX(PP_Grid[#Data],$DE873,53),0)</f>
        <v/>
      </c>
      <c r="BE873">
        <f>IFERROR(INDEX(PP_Grid[#Data],$DE873,54),0)</f>
        <v/>
      </c>
      <c r="BF873">
        <f>IFERROR(INDEX(PP_Grid[#Data],$DE873,55),0)</f>
        <v/>
      </c>
      <c r="BG873">
        <f>IFERROR(INDEX(PP_Grid[#Data],$DE873,56),0)</f>
        <v/>
      </c>
      <c r="BH873">
        <f>IFERROR(INDEX(PP_Grid[#Data],$DE873,57),0)</f>
        <v/>
      </c>
      <c r="BI873">
        <f>IFERROR(INDEX(PP_Grid[#Data],$DE873,58),0)</f>
        <v/>
      </c>
      <c r="BJ873">
        <f>IFERROR(INDEX(PP_Grid[#Data],$DE873,59),0)</f>
        <v/>
      </c>
      <c r="BK873">
        <f>IFERROR(INDEX(PP_Grid[#Data],$DE873,60),0)</f>
        <v/>
      </c>
      <c r="BL873">
        <f>IFERROR(INDEX(PP_Grid[#Data],$DE873,61),0)</f>
        <v/>
      </c>
      <c r="BM873">
        <f>IFERROR(INDEX(PP_Grid[#Data],$DE873,62),0)</f>
        <v/>
      </c>
      <c r="BN873">
        <f>IFERROR(INDEX(PP_Grid[#Data],$DE873,63),0)</f>
        <v/>
      </c>
      <c r="BO873">
        <f>IFERROR(INDEX(PP_Grid[#Data],$DE873,64),0)</f>
        <v/>
      </c>
      <c r="BP873">
        <f>IFERROR(INDEX(PP_Grid[#Data],$DE873,65),0)</f>
        <v/>
      </c>
      <c r="BQ873">
        <f>IFERROR(INDEX(PP_Grid[#Data],$DE873,66),0)</f>
        <v/>
      </c>
      <c r="BR873">
        <f>IFERROR(INDEX(PP_Grid[#Data],$DE873,67),0)</f>
        <v/>
      </c>
      <c r="BS873">
        <f>IFERROR(INDEX(PP_Grid[#Data],$DE873,68),0)</f>
        <v/>
      </c>
      <c r="BT873">
        <f>IFERROR(INDEX(PP_Grid[#Data],$DE873,69),0)</f>
        <v/>
      </c>
      <c r="BU873">
        <f>IFERROR(INDEX(PP_Grid[#Data],$DE873,70),0)</f>
        <v/>
      </c>
      <c r="BV873">
        <f>IFERROR(INDEX(PP_Grid[#Data],$DE873,71),0)</f>
        <v/>
      </c>
      <c r="BW873">
        <f>IFERROR(INDEX(PP_Grid[#Data],$DE873,72),0)</f>
        <v/>
      </c>
      <c r="BX873">
        <f>IFERROR(INDEX(PP_Grid[#Data],$DE873,73),0)</f>
        <v/>
      </c>
      <c r="BY873">
        <f>IFERROR(INDEX(PP_Grid[#Data],$DE873,74),0)</f>
        <v/>
      </c>
      <c r="BZ873">
        <f>IFERROR(INDEX(PP_Grid[#Data],$DE873,75),0)</f>
        <v/>
      </c>
      <c r="CA873">
        <f>IFERROR(INDEX(PP_Grid[#Data],$DE873,76),0)</f>
        <v/>
      </c>
      <c r="CB873">
        <f>IFERROR(INDEX(PP_Grid[#Data],$DE873,77),0)</f>
        <v/>
      </c>
      <c r="CC873">
        <f>IFERROR(INDEX(PP_Grid[#Data],$DE873,78),0)</f>
        <v/>
      </c>
      <c r="CD873">
        <f>IFERROR(INDEX(PP_Grid[#Data],$DE873,79),0)</f>
        <v/>
      </c>
      <c r="CE873">
        <f>IFERROR(INDEX(PP_Grid[#Data],$DE873,80),0)</f>
        <v/>
      </c>
      <c r="CF873">
        <f>IFERROR(INDEX(PP_Grid[#Data],$DE873,81),0)</f>
        <v/>
      </c>
      <c r="CG873">
        <f>IFERROR(INDEX(PP_Grid[#Data],$DE873,82),0)</f>
        <v/>
      </c>
      <c r="CH873">
        <f>IFERROR(INDEX(PP_Grid[#Data],$DE873,83),0)</f>
        <v/>
      </c>
      <c r="CI873">
        <f>IFERROR(INDEX(PP_Grid[#Data],$DE873,84),0)</f>
        <v/>
      </c>
      <c r="CJ873">
        <f>IFERROR(INDEX(PP_Grid[#Data],$DE873,85),0)</f>
        <v/>
      </c>
      <c r="CK873">
        <f>IFERROR(INDEX(PP_Grid[#Data],$DE873,86),0)</f>
        <v/>
      </c>
      <c r="CL873">
        <f>IFERROR(INDEX(PP_Grid[#Data],$DE873,87),0)</f>
        <v/>
      </c>
      <c r="CM873">
        <f>IFERROR(INDEX(PP_Grid[#Data],$DE873,88),0)</f>
        <v/>
      </c>
      <c r="CN873">
        <f>IFERROR(INDEX(PP_Grid[#Data],$DE873,89),0)</f>
        <v/>
      </c>
      <c r="CO873">
        <f>IFERROR(INDEX(PP_Grid[#Data],$DE873,90),0)</f>
        <v/>
      </c>
      <c r="CP873">
        <f>IFERROR(INDEX(PP_Grid[#Data],$DE873,91),0)</f>
        <v/>
      </c>
      <c r="CQ873">
        <f>IFERROR(INDEX(PP_Grid[#Data],$DE873,92),0)</f>
        <v/>
      </c>
      <c r="CR873">
        <f>IFERROR(INDEX(PP_Grid[#Data],$DE873,93),0)</f>
        <v/>
      </c>
      <c r="CS873">
        <f>IFERROR(INDEX(PP_Grid[#Data],$DE873,94),0)</f>
        <v/>
      </c>
      <c r="CT873">
        <f>IFERROR(INDEX(PP_Grid[#Data],$DE873,95),0)</f>
        <v/>
      </c>
      <c r="CU873">
        <f>IFERROR(INDEX(PP_Grid[#Data],$DE873,96),0)</f>
        <v/>
      </c>
      <c r="CV873">
        <f>IFERROR(INDEX(PP_Grid[#Data],$DE873,97),0)</f>
        <v/>
      </c>
      <c r="CW873">
        <f>IFERROR(INDEX(PP_Grid[#Data],$DE873,98),0)</f>
        <v/>
      </c>
      <c r="CX873">
        <f>IFERROR(INDEX(PP_Grid[#Data],$DE873,99),0)</f>
        <v/>
      </c>
      <c r="CY873">
        <f>IFERROR(INDEX(PP_Grid[#Data],$DE873,100),0)</f>
        <v/>
      </c>
      <c r="CZ873">
        <f>IFERROR(INDEX(PP_Grid[#Data],$DE873,101),0)</f>
        <v/>
      </c>
      <c r="DA873">
        <f>IFERROR(INDEX(PP_Grid[#Data],$DE873,102),0)</f>
        <v/>
      </c>
      <c r="DB873">
        <f>IFERROR(INDEX(PP_Grid[#Data],$DE873,103),0)</f>
        <v/>
      </c>
      <c r="DC873">
        <f>IFERROR(INDEX(PP_Grid[#Data],$DE873,104),0)</f>
        <v/>
      </c>
      <c r="DD873">
        <f>IFERROR(INDEX(PP_Grid[#Data],$DE873,105),0)</f>
        <v/>
      </c>
      <c r="DE873" s="7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SUMIFS(M_BOM[RM_Qty_Per_Batch],M_BOM[Intermediate],$B873,M_BOM[RM_Code],$A860)</f>
        <v/>
      </c>
      <c r="D874">
        <f>IFERROR(INDEX(E874:DD874,$F$1),"")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  <c r="DD874">
        <f>$C874*DD873</f>
        <v/>
      </c>
    </row>
    <row r="875">
      <c r="B875" t="inlineStr">
        <is>
          <t>VSP-738</t>
        </is>
      </c>
      <c r="C875" t="inlineStr">
        <is>
          <t>No. of batches</t>
        </is>
      </c>
      <c r="D875">
        <f>IFERROR(INDEX(E875:DD875,$F$1),"")</f>
        <v/>
      </c>
      <c r="E875">
        <f>IFERROR(INDEX(PP_Grid[#Data],$DE875,2),0)</f>
        <v/>
      </c>
      <c r="F875">
        <f>IFERROR(INDEX(PP_Grid[#Data],$DE875,3),0)</f>
        <v/>
      </c>
      <c r="G875">
        <f>IFERROR(INDEX(PP_Grid[#Data],$DE875,4),0)</f>
        <v/>
      </c>
      <c r="H875">
        <f>IFERROR(INDEX(PP_Grid[#Data],$DE875,5),0)</f>
        <v/>
      </c>
      <c r="I875">
        <f>IFERROR(INDEX(PP_Grid[#Data],$DE875,6),0)</f>
        <v/>
      </c>
      <c r="J875">
        <f>IFERROR(INDEX(PP_Grid[#Data],$DE875,7),0)</f>
        <v/>
      </c>
      <c r="K875">
        <f>IFERROR(INDEX(PP_Grid[#Data],$DE875,8),0)</f>
        <v/>
      </c>
      <c r="L875">
        <f>IFERROR(INDEX(PP_Grid[#Data],$DE875,9),0)</f>
        <v/>
      </c>
      <c r="M875">
        <f>IFERROR(INDEX(PP_Grid[#Data],$DE875,10),0)</f>
        <v/>
      </c>
      <c r="N875">
        <f>IFERROR(INDEX(PP_Grid[#Data],$DE875,11),0)</f>
        <v/>
      </c>
      <c r="O875">
        <f>IFERROR(INDEX(PP_Grid[#Data],$DE875,12),0)</f>
        <v/>
      </c>
      <c r="P875">
        <f>IFERROR(INDEX(PP_Grid[#Data],$DE875,13),0)</f>
        <v/>
      </c>
      <c r="Q875">
        <f>IFERROR(INDEX(PP_Grid[#Data],$DE875,14),0)</f>
        <v/>
      </c>
      <c r="R875">
        <f>IFERROR(INDEX(PP_Grid[#Data],$DE875,15),0)</f>
        <v/>
      </c>
      <c r="S875">
        <f>IFERROR(INDEX(PP_Grid[#Data],$DE875,16),0)</f>
        <v/>
      </c>
      <c r="T875">
        <f>IFERROR(INDEX(PP_Grid[#Data],$DE875,17),0)</f>
        <v/>
      </c>
      <c r="U875">
        <f>IFERROR(INDEX(PP_Grid[#Data],$DE875,18),0)</f>
        <v/>
      </c>
      <c r="V875">
        <f>IFERROR(INDEX(PP_Grid[#Data],$DE875,19),0)</f>
        <v/>
      </c>
      <c r="W875">
        <f>IFERROR(INDEX(PP_Grid[#Data],$DE875,20),0)</f>
        <v/>
      </c>
      <c r="X875">
        <f>IFERROR(INDEX(PP_Grid[#Data],$DE875,21),0)</f>
        <v/>
      </c>
      <c r="Y875">
        <f>IFERROR(INDEX(PP_Grid[#Data],$DE875,22),0)</f>
        <v/>
      </c>
      <c r="Z875">
        <f>IFERROR(INDEX(PP_Grid[#Data],$DE875,23),0)</f>
        <v/>
      </c>
      <c r="AA875">
        <f>IFERROR(INDEX(PP_Grid[#Data],$DE875,24),0)</f>
        <v/>
      </c>
      <c r="AB875">
        <f>IFERROR(INDEX(PP_Grid[#Data],$DE875,25),0)</f>
        <v/>
      </c>
      <c r="AC875">
        <f>IFERROR(INDEX(PP_Grid[#Data],$DE875,26),0)</f>
        <v/>
      </c>
      <c r="AD875">
        <f>IFERROR(INDEX(PP_Grid[#Data],$DE875,27),0)</f>
        <v/>
      </c>
      <c r="AE875">
        <f>IFERROR(INDEX(PP_Grid[#Data],$DE875,28),0)</f>
        <v/>
      </c>
      <c r="AF875">
        <f>IFERROR(INDEX(PP_Grid[#Data],$DE875,29),0)</f>
        <v/>
      </c>
      <c r="AG875">
        <f>IFERROR(INDEX(PP_Grid[#Data],$DE875,30),0)</f>
        <v/>
      </c>
      <c r="AH875">
        <f>IFERROR(INDEX(PP_Grid[#Data],$DE875,31),0)</f>
        <v/>
      </c>
      <c r="AI875">
        <f>IFERROR(INDEX(PP_Grid[#Data],$DE875,32),0)</f>
        <v/>
      </c>
      <c r="AJ875">
        <f>IFERROR(INDEX(PP_Grid[#Data],$DE875,33),0)</f>
        <v/>
      </c>
      <c r="AK875">
        <f>IFERROR(INDEX(PP_Grid[#Data],$DE875,34),0)</f>
        <v/>
      </c>
      <c r="AL875">
        <f>IFERROR(INDEX(PP_Grid[#Data],$DE875,35),0)</f>
        <v/>
      </c>
      <c r="AM875">
        <f>IFERROR(INDEX(PP_Grid[#Data],$DE875,36),0)</f>
        <v/>
      </c>
      <c r="AN875">
        <f>IFERROR(INDEX(PP_Grid[#Data],$DE875,37),0)</f>
        <v/>
      </c>
      <c r="AO875">
        <f>IFERROR(INDEX(PP_Grid[#Data],$DE875,38),0)</f>
        <v/>
      </c>
      <c r="AP875">
        <f>IFERROR(INDEX(PP_Grid[#Data],$DE875,39),0)</f>
        <v/>
      </c>
      <c r="AQ875">
        <f>IFERROR(INDEX(PP_Grid[#Data],$DE875,40),0)</f>
        <v/>
      </c>
      <c r="AR875">
        <f>IFERROR(INDEX(PP_Grid[#Data],$DE875,41),0)</f>
        <v/>
      </c>
      <c r="AS875">
        <f>IFERROR(INDEX(PP_Grid[#Data],$DE875,42),0)</f>
        <v/>
      </c>
      <c r="AT875">
        <f>IFERROR(INDEX(PP_Grid[#Data],$DE875,43),0)</f>
        <v/>
      </c>
      <c r="AU875">
        <f>IFERROR(INDEX(PP_Grid[#Data],$DE875,44),0)</f>
        <v/>
      </c>
      <c r="AV875">
        <f>IFERROR(INDEX(PP_Grid[#Data],$DE875,45),0)</f>
        <v/>
      </c>
      <c r="AW875">
        <f>IFERROR(INDEX(PP_Grid[#Data],$DE875,46),0)</f>
        <v/>
      </c>
      <c r="AX875">
        <f>IFERROR(INDEX(PP_Grid[#Data],$DE875,47),0)</f>
        <v/>
      </c>
      <c r="AY875">
        <f>IFERROR(INDEX(PP_Grid[#Data],$DE875,48),0)</f>
        <v/>
      </c>
      <c r="AZ875">
        <f>IFERROR(INDEX(PP_Grid[#Data],$DE875,49),0)</f>
        <v/>
      </c>
      <c r="BA875">
        <f>IFERROR(INDEX(PP_Grid[#Data],$DE875,50),0)</f>
        <v/>
      </c>
      <c r="BB875">
        <f>IFERROR(INDEX(PP_Grid[#Data],$DE875,51),0)</f>
        <v/>
      </c>
      <c r="BC875">
        <f>IFERROR(INDEX(PP_Grid[#Data],$DE875,52),0)</f>
        <v/>
      </c>
      <c r="BD875">
        <f>IFERROR(INDEX(PP_Grid[#Data],$DE875,53),0)</f>
        <v/>
      </c>
      <c r="BE875">
        <f>IFERROR(INDEX(PP_Grid[#Data],$DE875,54),0)</f>
        <v/>
      </c>
      <c r="BF875">
        <f>IFERROR(INDEX(PP_Grid[#Data],$DE875,55),0)</f>
        <v/>
      </c>
      <c r="BG875">
        <f>IFERROR(INDEX(PP_Grid[#Data],$DE875,56),0)</f>
        <v/>
      </c>
      <c r="BH875">
        <f>IFERROR(INDEX(PP_Grid[#Data],$DE875,57),0)</f>
        <v/>
      </c>
      <c r="BI875">
        <f>IFERROR(INDEX(PP_Grid[#Data],$DE875,58),0)</f>
        <v/>
      </c>
      <c r="BJ875">
        <f>IFERROR(INDEX(PP_Grid[#Data],$DE875,59),0)</f>
        <v/>
      </c>
      <c r="BK875">
        <f>IFERROR(INDEX(PP_Grid[#Data],$DE875,60),0)</f>
        <v/>
      </c>
      <c r="BL875">
        <f>IFERROR(INDEX(PP_Grid[#Data],$DE875,61),0)</f>
        <v/>
      </c>
      <c r="BM875">
        <f>IFERROR(INDEX(PP_Grid[#Data],$DE875,62),0)</f>
        <v/>
      </c>
      <c r="BN875">
        <f>IFERROR(INDEX(PP_Grid[#Data],$DE875,63),0)</f>
        <v/>
      </c>
      <c r="BO875">
        <f>IFERROR(INDEX(PP_Grid[#Data],$DE875,64),0)</f>
        <v/>
      </c>
      <c r="BP875">
        <f>IFERROR(INDEX(PP_Grid[#Data],$DE875,65),0)</f>
        <v/>
      </c>
      <c r="BQ875">
        <f>IFERROR(INDEX(PP_Grid[#Data],$DE875,66),0)</f>
        <v/>
      </c>
      <c r="BR875">
        <f>IFERROR(INDEX(PP_Grid[#Data],$DE875,67),0)</f>
        <v/>
      </c>
      <c r="BS875">
        <f>IFERROR(INDEX(PP_Grid[#Data],$DE875,68),0)</f>
        <v/>
      </c>
      <c r="BT875">
        <f>IFERROR(INDEX(PP_Grid[#Data],$DE875,69),0)</f>
        <v/>
      </c>
      <c r="BU875">
        <f>IFERROR(INDEX(PP_Grid[#Data],$DE875,70),0)</f>
        <v/>
      </c>
      <c r="BV875">
        <f>IFERROR(INDEX(PP_Grid[#Data],$DE875,71),0)</f>
        <v/>
      </c>
      <c r="BW875">
        <f>IFERROR(INDEX(PP_Grid[#Data],$DE875,72),0)</f>
        <v/>
      </c>
      <c r="BX875">
        <f>IFERROR(INDEX(PP_Grid[#Data],$DE875,73),0)</f>
        <v/>
      </c>
      <c r="BY875">
        <f>IFERROR(INDEX(PP_Grid[#Data],$DE875,74),0)</f>
        <v/>
      </c>
      <c r="BZ875">
        <f>IFERROR(INDEX(PP_Grid[#Data],$DE875,75),0)</f>
        <v/>
      </c>
      <c r="CA875">
        <f>IFERROR(INDEX(PP_Grid[#Data],$DE875,76),0)</f>
        <v/>
      </c>
      <c r="CB875">
        <f>IFERROR(INDEX(PP_Grid[#Data],$DE875,77),0)</f>
        <v/>
      </c>
      <c r="CC875">
        <f>IFERROR(INDEX(PP_Grid[#Data],$DE875,78),0)</f>
        <v/>
      </c>
      <c r="CD875">
        <f>IFERROR(INDEX(PP_Grid[#Data],$DE875,79),0)</f>
        <v/>
      </c>
      <c r="CE875">
        <f>IFERROR(INDEX(PP_Grid[#Data],$DE875,80),0)</f>
        <v/>
      </c>
      <c r="CF875">
        <f>IFERROR(INDEX(PP_Grid[#Data],$DE875,81),0)</f>
        <v/>
      </c>
      <c r="CG875">
        <f>IFERROR(INDEX(PP_Grid[#Data],$DE875,82),0)</f>
        <v/>
      </c>
      <c r="CH875">
        <f>IFERROR(INDEX(PP_Grid[#Data],$DE875,83),0)</f>
        <v/>
      </c>
      <c r="CI875">
        <f>IFERROR(INDEX(PP_Grid[#Data],$DE875,84),0)</f>
        <v/>
      </c>
      <c r="CJ875">
        <f>IFERROR(INDEX(PP_Grid[#Data],$DE875,85),0)</f>
        <v/>
      </c>
      <c r="CK875">
        <f>IFERROR(INDEX(PP_Grid[#Data],$DE875,86),0)</f>
        <v/>
      </c>
      <c r="CL875">
        <f>IFERROR(INDEX(PP_Grid[#Data],$DE875,87),0)</f>
        <v/>
      </c>
      <c r="CM875">
        <f>IFERROR(INDEX(PP_Grid[#Data],$DE875,88),0)</f>
        <v/>
      </c>
      <c r="CN875">
        <f>IFERROR(INDEX(PP_Grid[#Data],$DE875,89),0)</f>
        <v/>
      </c>
      <c r="CO875">
        <f>IFERROR(INDEX(PP_Grid[#Data],$DE875,90),0)</f>
        <v/>
      </c>
      <c r="CP875">
        <f>IFERROR(INDEX(PP_Grid[#Data],$DE875,91),0)</f>
        <v/>
      </c>
      <c r="CQ875">
        <f>IFERROR(INDEX(PP_Grid[#Data],$DE875,92),0)</f>
        <v/>
      </c>
      <c r="CR875">
        <f>IFERROR(INDEX(PP_Grid[#Data],$DE875,93),0)</f>
        <v/>
      </c>
      <c r="CS875">
        <f>IFERROR(INDEX(PP_Grid[#Data],$DE875,94),0)</f>
        <v/>
      </c>
      <c r="CT875">
        <f>IFERROR(INDEX(PP_Grid[#Data],$DE875,95),0)</f>
        <v/>
      </c>
      <c r="CU875">
        <f>IFERROR(INDEX(PP_Grid[#Data],$DE875,96),0)</f>
        <v/>
      </c>
      <c r="CV875">
        <f>IFERROR(INDEX(PP_Grid[#Data],$DE875,97),0)</f>
        <v/>
      </c>
      <c r="CW875">
        <f>IFERROR(INDEX(PP_Grid[#Data],$DE875,98),0)</f>
        <v/>
      </c>
      <c r="CX875">
        <f>IFERROR(INDEX(PP_Grid[#Data],$DE875,99),0)</f>
        <v/>
      </c>
      <c r="CY875">
        <f>IFERROR(INDEX(PP_Grid[#Data],$DE875,100),0)</f>
        <v/>
      </c>
      <c r="CZ875">
        <f>IFERROR(INDEX(PP_Grid[#Data],$DE875,101),0)</f>
        <v/>
      </c>
      <c r="DA875">
        <f>IFERROR(INDEX(PP_Grid[#Data],$DE875,102),0)</f>
        <v/>
      </c>
      <c r="DB875">
        <f>IFERROR(INDEX(PP_Grid[#Data],$DE875,103),0)</f>
        <v/>
      </c>
      <c r="DC875">
        <f>IFERROR(INDEX(PP_Grid[#Data],$DE875,104),0)</f>
        <v/>
      </c>
      <c r="DD875">
        <f>IFERROR(INDEX(PP_Grid[#Data],$DE875,105),0)</f>
        <v/>
      </c>
      <c r="DE875" s="7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SUMIFS(M_BOM[RM_Qty_Per_Batch],M_BOM[Intermediate],$B875,M_BOM[RM_Code],$A860)</f>
        <v/>
      </c>
      <c r="D876">
        <f>IFERROR(INDEX(E876:DD876,$F$1),"")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  <c r="DD876">
        <f>$C876*DD875</f>
        <v/>
      </c>
    </row>
    <row r="877">
      <c r="B877" t="inlineStr">
        <is>
          <t>VSP-739</t>
        </is>
      </c>
      <c r="C877" t="inlineStr">
        <is>
          <t>No. of batches</t>
        </is>
      </c>
      <c r="D877">
        <f>IFERROR(INDEX(E877:DD877,$F$1),"")</f>
        <v/>
      </c>
      <c r="E877">
        <f>IFERROR(INDEX(PP_Grid[#Data],$DE877,2),0)</f>
        <v/>
      </c>
      <c r="F877">
        <f>IFERROR(INDEX(PP_Grid[#Data],$DE877,3),0)</f>
        <v/>
      </c>
      <c r="G877">
        <f>IFERROR(INDEX(PP_Grid[#Data],$DE877,4),0)</f>
        <v/>
      </c>
      <c r="H877">
        <f>IFERROR(INDEX(PP_Grid[#Data],$DE877,5),0)</f>
        <v/>
      </c>
      <c r="I877">
        <f>IFERROR(INDEX(PP_Grid[#Data],$DE877,6),0)</f>
        <v/>
      </c>
      <c r="J877">
        <f>IFERROR(INDEX(PP_Grid[#Data],$DE877,7),0)</f>
        <v/>
      </c>
      <c r="K877">
        <f>IFERROR(INDEX(PP_Grid[#Data],$DE877,8),0)</f>
        <v/>
      </c>
      <c r="L877">
        <f>IFERROR(INDEX(PP_Grid[#Data],$DE877,9),0)</f>
        <v/>
      </c>
      <c r="M877">
        <f>IFERROR(INDEX(PP_Grid[#Data],$DE877,10),0)</f>
        <v/>
      </c>
      <c r="N877">
        <f>IFERROR(INDEX(PP_Grid[#Data],$DE877,11),0)</f>
        <v/>
      </c>
      <c r="O877">
        <f>IFERROR(INDEX(PP_Grid[#Data],$DE877,12),0)</f>
        <v/>
      </c>
      <c r="P877">
        <f>IFERROR(INDEX(PP_Grid[#Data],$DE877,13),0)</f>
        <v/>
      </c>
      <c r="Q877">
        <f>IFERROR(INDEX(PP_Grid[#Data],$DE877,14),0)</f>
        <v/>
      </c>
      <c r="R877">
        <f>IFERROR(INDEX(PP_Grid[#Data],$DE877,15),0)</f>
        <v/>
      </c>
      <c r="S877">
        <f>IFERROR(INDEX(PP_Grid[#Data],$DE877,16),0)</f>
        <v/>
      </c>
      <c r="T877">
        <f>IFERROR(INDEX(PP_Grid[#Data],$DE877,17),0)</f>
        <v/>
      </c>
      <c r="U877">
        <f>IFERROR(INDEX(PP_Grid[#Data],$DE877,18),0)</f>
        <v/>
      </c>
      <c r="V877">
        <f>IFERROR(INDEX(PP_Grid[#Data],$DE877,19),0)</f>
        <v/>
      </c>
      <c r="W877">
        <f>IFERROR(INDEX(PP_Grid[#Data],$DE877,20),0)</f>
        <v/>
      </c>
      <c r="X877">
        <f>IFERROR(INDEX(PP_Grid[#Data],$DE877,21),0)</f>
        <v/>
      </c>
      <c r="Y877">
        <f>IFERROR(INDEX(PP_Grid[#Data],$DE877,22),0)</f>
        <v/>
      </c>
      <c r="Z877">
        <f>IFERROR(INDEX(PP_Grid[#Data],$DE877,23),0)</f>
        <v/>
      </c>
      <c r="AA877">
        <f>IFERROR(INDEX(PP_Grid[#Data],$DE877,24),0)</f>
        <v/>
      </c>
      <c r="AB877">
        <f>IFERROR(INDEX(PP_Grid[#Data],$DE877,25),0)</f>
        <v/>
      </c>
      <c r="AC877">
        <f>IFERROR(INDEX(PP_Grid[#Data],$DE877,26),0)</f>
        <v/>
      </c>
      <c r="AD877">
        <f>IFERROR(INDEX(PP_Grid[#Data],$DE877,27),0)</f>
        <v/>
      </c>
      <c r="AE877">
        <f>IFERROR(INDEX(PP_Grid[#Data],$DE877,28),0)</f>
        <v/>
      </c>
      <c r="AF877">
        <f>IFERROR(INDEX(PP_Grid[#Data],$DE877,29),0)</f>
        <v/>
      </c>
      <c r="AG877">
        <f>IFERROR(INDEX(PP_Grid[#Data],$DE877,30),0)</f>
        <v/>
      </c>
      <c r="AH877">
        <f>IFERROR(INDEX(PP_Grid[#Data],$DE877,31),0)</f>
        <v/>
      </c>
      <c r="AI877">
        <f>IFERROR(INDEX(PP_Grid[#Data],$DE877,32),0)</f>
        <v/>
      </c>
      <c r="AJ877">
        <f>IFERROR(INDEX(PP_Grid[#Data],$DE877,33),0)</f>
        <v/>
      </c>
      <c r="AK877">
        <f>IFERROR(INDEX(PP_Grid[#Data],$DE877,34),0)</f>
        <v/>
      </c>
      <c r="AL877">
        <f>IFERROR(INDEX(PP_Grid[#Data],$DE877,35),0)</f>
        <v/>
      </c>
      <c r="AM877">
        <f>IFERROR(INDEX(PP_Grid[#Data],$DE877,36),0)</f>
        <v/>
      </c>
      <c r="AN877">
        <f>IFERROR(INDEX(PP_Grid[#Data],$DE877,37),0)</f>
        <v/>
      </c>
      <c r="AO877">
        <f>IFERROR(INDEX(PP_Grid[#Data],$DE877,38),0)</f>
        <v/>
      </c>
      <c r="AP877">
        <f>IFERROR(INDEX(PP_Grid[#Data],$DE877,39),0)</f>
        <v/>
      </c>
      <c r="AQ877">
        <f>IFERROR(INDEX(PP_Grid[#Data],$DE877,40),0)</f>
        <v/>
      </c>
      <c r="AR877">
        <f>IFERROR(INDEX(PP_Grid[#Data],$DE877,41),0)</f>
        <v/>
      </c>
      <c r="AS877">
        <f>IFERROR(INDEX(PP_Grid[#Data],$DE877,42),0)</f>
        <v/>
      </c>
      <c r="AT877">
        <f>IFERROR(INDEX(PP_Grid[#Data],$DE877,43),0)</f>
        <v/>
      </c>
      <c r="AU877">
        <f>IFERROR(INDEX(PP_Grid[#Data],$DE877,44),0)</f>
        <v/>
      </c>
      <c r="AV877">
        <f>IFERROR(INDEX(PP_Grid[#Data],$DE877,45),0)</f>
        <v/>
      </c>
      <c r="AW877">
        <f>IFERROR(INDEX(PP_Grid[#Data],$DE877,46),0)</f>
        <v/>
      </c>
      <c r="AX877">
        <f>IFERROR(INDEX(PP_Grid[#Data],$DE877,47),0)</f>
        <v/>
      </c>
      <c r="AY877">
        <f>IFERROR(INDEX(PP_Grid[#Data],$DE877,48),0)</f>
        <v/>
      </c>
      <c r="AZ877">
        <f>IFERROR(INDEX(PP_Grid[#Data],$DE877,49),0)</f>
        <v/>
      </c>
      <c r="BA877">
        <f>IFERROR(INDEX(PP_Grid[#Data],$DE877,50),0)</f>
        <v/>
      </c>
      <c r="BB877">
        <f>IFERROR(INDEX(PP_Grid[#Data],$DE877,51),0)</f>
        <v/>
      </c>
      <c r="BC877">
        <f>IFERROR(INDEX(PP_Grid[#Data],$DE877,52),0)</f>
        <v/>
      </c>
      <c r="BD877">
        <f>IFERROR(INDEX(PP_Grid[#Data],$DE877,53),0)</f>
        <v/>
      </c>
      <c r="BE877">
        <f>IFERROR(INDEX(PP_Grid[#Data],$DE877,54),0)</f>
        <v/>
      </c>
      <c r="BF877">
        <f>IFERROR(INDEX(PP_Grid[#Data],$DE877,55),0)</f>
        <v/>
      </c>
      <c r="BG877">
        <f>IFERROR(INDEX(PP_Grid[#Data],$DE877,56),0)</f>
        <v/>
      </c>
      <c r="BH877">
        <f>IFERROR(INDEX(PP_Grid[#Data],$DE877,57),0)</f>
        <v/>
      </c>
      <c r="BI877">
        <f>IFERROR(INDEX(PP_Grid[#Data],$DE877,58),0)</f>
        <v/>
      </c>
      <c r="BJ877">
        <f>IFERROR(INDEX(PP_Grid[#Data],$DE877,59),0)</f>
        <v/>
      </c>
      <c r="BK877">
        <f>IFERROR(INDEX(PP_Grid[#Data],$DE877,60),0)</f>
        <v/>
      </c>
      <c r="BL877">
        <f>IFERROR(INDEX(PP_Grid[#Data],$DE877,61),0)</f>
        <v/>
      </c>
      <c r="BM877">
        <f>IFERROR(INDEX(PP_Grid[#Data],$DE877,62),0)</f>
        <v/>
      </c>
      <c r="BN877">
        <f>IFERROR(INDEX(PP_Grid[#Data],$DE877,63),0)</f>
        <v/>
      </c>
      <c r="BO877">
        <f>IFERROR(INDEX(PP_Grid[#Data],$DE877,64),0)</f>
        <v/>
      </c>
      <c r="BP877">
        <f>IFERROR(INDEX(PP_Grid[#Data],$DE877,65),0)</f>
        <v/>
      </c>
      <c r="BQ877">
        <f>IFERROR(INDEX(PP_Grid[#Data],$DE877,66),0)</f>
        <v/>
      </c>
      <c r="BR877">
        <f>IFERROR(INDEX(PP_Grid[#Data],$DE877,67),0)</f>
        <v/>
      </c>
      <c r="BS877">
        <f>IFERROR(INDEX(PP_Grid[#Data],$DE877,68),0)</f>
        <v/>
      </c>
      <c r="BT877">
        <f>IFERROR(INDEX(PP_Grid[#Data],$DE877,69),0)</f>
        <v/>
      </c>
      <c r="BU877">
        <f>IFERROR(INDEX(PP_Grid[#Data],$DE877,70),0)</f>
        <v/>
      </c>
      <c r="BV877">
        <f>IFERROR(INDEX(PP_Grid[#Data],$DE877,71),0)</f>
        <v/>
      </c>
      <c r="BW877">
        <f>IFERROR(INDEX(PP_Grid[#Data],$DE877,72),0)</f>
        <v/>
      </c>
      <c r="BX877">
        <f>IFERROR(INDEX(PP_Grid[#Data],$DE877,73),0)</f>
        <v/>
      </c>
      <c r="BY877">
        <f>IFERROR(INDEX(PP_Grid[#Data],$DE877,74),0)</f>
        <v/>
      </c>
      <c r="BZ877">
        <f>IFERROR(INDEX(PP_Grid[#Data],$DE877,75),0)</f>
        <v/>
      </c>
      <c r="CA877">
        <f>IFERROR(INDEX(PP_Grid[#Data],$DE877,76),0)</f>
        <v/>
      </c>
      <c r="CB877">
        <f>IFERROR(INDEX(PP_Grid[#Data],$DE877,77),0)</f>
        <v/>
      </c>
      <c r="CC877">
        <f>IFERROR(INDEX(PP_Grid[#Data],$DE877,78),0)</f>
        <v/>
      </c>
      <c r="CD877">
        <f>IFERROR(INDEX(PP_Grid[#Data],$DE877,79),0)</f>
        <v/>
      </c>
      <c r="CE877">
        <f>IFERROR(INDEX(PP_Grid[#Data],$DE877,80),0)</f>
        <v/>
      </c>
      <c r="CF877">
        <f>IFERROR(INDEX(PP_Grid[#Data],$DE877,81),0)</f>
        <v/>
      </c>
      <c r="CG877">
        <f>IFERROR(INDEX(PP_Grid[#Data],$DE877,82),0)</f>
        <v/>
      </c>
      <c r="CH877">
        <f>IFERROR(INDEX(PP_Grid[#Data],$DE877,83),0)</f>
        <v/>
      </c>
      <c r="CI877">
        <f>IFERROR(INDEX(PP_Grid[#Data],$DE877,84),0)</f>
        <v/>
      </c>
      <c r="CJ877">
        <f>IFERROR(INDEX(PP_Grid[#Data],$DE877,85),0)</f>
        <v/>
      </c>
      <c r="CK877">
        <f>IFERROR(INDEX(PP_Grid[#Data],$DE877,86),0)</f>
        <v/>
      </c>
      <c r="CL877">
        <f>IFERROR(INDEX(PP_Grid[#Data],$DE877,87),0)</f>
        <v/>
      </c>
      <c r="CM877">
        <f>IFERROR(INDEX(PP_Grid[#Data],$DE877,88),0)</f>
        <v/>
      </c>
      <c r="CN877">
        <f>IFERROR(INDEX(PP_Grid[#Data],$DE877,89),0)</f>
        <v/>
      </c>
      <c r="CO877">
        <f>IFERROR(INDEX(PP_Grid[#Data],$DE877,90),0)</f>
        <v/>
      </c>
      <c r="CP877">
        <f>IFERROR(INDEX(PP_Grid[#Data],$DE877,91),0)</f>
        <v/>
      </c>
      <c r="CQ877">
        <f>IFERROR(INDEX(PP_Grid[#Data],$DE877,92),0)</f>
        <v/>
      </c>
      <c r="CR877">
        <f>IFERROR(INDEX(PP_Grid[#Data],$DE877,93),0)</f>
        <v/>
      </c>
      <c r="CS877">
        <f>IFERROR(INDEX(PP_Grid[#Data],$DE877,94),0)</f>
        <v/>
      </c>
      <c r="CT877">
        <f>IFERROR(INDEX(PP_Grid[#Data],$DE877,95),0)</f>
        <v/>
      </c>
      <c r="CU877">
        <f>IFERROR(INDEX(PP_Grid[#Data],$DE877,96),0)</f>
        <v/>
      </c>
      <c r="CV877">
        <f>IFERROR(INDEX(PP_Grid[#Data],$DE877,97),0)</f>
        <v/>
      </c>
      <c r="CW877">
        <f>IFERROR(INDEX(PP_Grid[#Data],$DE877,98),0)</f>
        <v/>
      </c>
      <c r="CX877">
        <f>IFERROR(INDEX(PP_Grid[#Data],$DE877,99),0)</f>
        <v/>
      </c>
      <c r="CY877">
        <f>IFERROR(INDEX(PP_Grid[#Data],$DE877,100),0)</f>
        <v/>
      </c>
      <c r="CZ877">
        <f>IFERROR(INDEX(PP_Grid[#Data],$DE877,101),0)</f>
        <v/>
      </c>
      <c r="DA877">
        <f>IFERROR(INDEX(PP_Grid[#Data],$DE877,102),0)</f>
        <v/>
      </c>
      <c r="DB877">
        <f>IFERROR(INDEX(PP_Grid[#Data],$DE877,103),0)</f>
        <v/>
      </c>
      <c r="DC877">
        <f>IFERROR(INDEX(PP_Grid[#Data],$DE877,104),0)</f>
        <v/>
      </c>
      <c r="DD877">
        <f>IFERROR(INDEX(PP_Grid[#Data],$DE877,105),0)</f>
        <v/>
      </c>
      <c r="DE877" s="7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SUMIFS(M_BOM[RM_Qty_Per_Batch],M_BOM[Intermediate],$B877,M_BOM[RM_Code],$A860)</f>
        <v/>
      </c>
      <c r="D878">
        <f>IFERROR(INDEX(E878:DD878,$F$1),"")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  <c r="DD878">
        <f>$C878*DD877</f>
        <v/>
      </c>
    </row>
    <row r="879">
      <c r="B879" t="inlineStr">
        <is>
          <t>VSP-820</t>
        </is>
      </c>
      <c r="C879" t="inlineStr">
        <is>
          <t>No. of batches</t>
        </is>
      </c>
      <c r="D879">
        <f>IFERROR(INDEX(E879:DD879,$F$1),"")</f>
        <v/>
      </c>
      <c r="E879">
        <f>IFERROR(INDEX(PP_Grid[#Data],$DE879,2),0)</f>
        <v/>
      </c>
      <c r="F879">
        <f>IFERROR(INDEX(PP_Grid[#Data],$DE879,3),0)</f>
        <v/>
      </c>
      <c r="G879">
        <f>IFERROR(INDEX(PP_Grid[#Data],$DE879,4),0)</f>
        <v/>
      </c>
      <c r="H879">
        <f>IFERROR(INDEX(PP_Grid[#Data],$DE879,5),0)</f>
        <v/>
      </c>
      <c r="I879">
        <f>IFERROR(INDEX(PP_Grid[#Data],$DE879,6),0)</f>
        <v/>
      </c>
      <c r="J879">
        <f>IFERROR(INDEX(PP_Grid[#Data],$DE879,7),0)</f>
        <v/>
      </c>
      <c r="K879">
        <f>IFERROR(INDEX(PP_Grid[#Data],$DE879,8),0)</f>
        <v/>
      </c>
      <c r="L879">
        <f>IFERROR(INDEX(PP_Grid[#Data],$DE879,9),0)</f>
        <v/>
      </c>
      <c r="M879">
        <f>IFERROR(INDEX(PP_Grid[#Data],$DE879,10),0)</f>
        <v/>
      </c>
      <c r="N879">
        <f>IFERROR(INDEX(PP_Grid[#Data],$DE879,11),0)</f>
        <v/>
      </c>
      <c r="O879">
        <f>IFERROR(INDEX(PP_Grid[#Data],$DE879,12),0)</f>
        <v/>
      </c>
      <c r="P879">
        <f>IFERROR(INDEX(PP_Grid[#Data],$DE879,13),0)</f>
        <v/>
      </c>
      <c r="Q879">
        <f>IFERROR(INDEX(PP_Grid[#Data],$DE879,14),0)</f>
        <v/>
      </c>
      <c r="R879">
        <f>IFERROR(INDEX(PP_Grid[#Data],$DE879,15),0)</f>
        <v/>
      </c>
      <c r="S879">
        <f>IFERROR(INDEX(PP_Grid[#Data],$DE879,16),0)</f>
        <v/>
      </c>
      <c r="T879">
        <f>IFERROR(INDEX(PP_Grid[#Data],$DE879,17),0)</f>
        <v/>
      </c>
      <c r="U879">
        <f>IFERROR(INDEX(PP_Grid[#Data],$DE879,18),0)</f>
        <v/>
      </c>
      <c r="V879">
        <f>IFERROR(INDEX(PP_Grid[#Data],$DE879,19),0)</f>
        <v/>
      </c>
      <c r="W879">
        <f>IFERROR(INDEX(PP_Grid[#Data],$DE879,20),0)</f>
        <v/>
      </c>
      <c r="X879">
        <f>IFERROR(INDEX(PP_Grid[#Data],$DE879,21),0)</f>
        <v/>
      </c>
      <c r="Y879">
        <f>IFERROR(INDEX(PP_Grid[#Data],$DE879,22),0)</f>
        <v/>
      </c>
      <c r="Z879">
        <f>IFERROR(INDEX(PP_Grid[#Data],$DE879,23),0)</f>
        <v/>
      </c>
      <c r="AA879">
        <f>IFERROR(INDEX(PP_Grid[#Data],$DE879,24),0)</f>
        <v/>
      </c>
      <c r="AB879">
        <f>IFERROR(INDEX(PP_Grid[#Data],$DE879,25),0)</f>
        <v/>
      </c>
      <c r="AC879">
        <f>IFERROR(INDEX(PP_Grid[#Data],$DE879,26),0)</f>
        <v/>
      </c>
      <c r="AD879">
        <f>IFERROR(INDEX(PP_Grid[#Data],$DE879,27),0)</f>
        <v/>
      </c>
      <c r="AE879">
        <f>IFERROR(INDEX(PP_Grid[#Data],$DE879,28),0)</f>
        <v/>
      </c>
      <c r="AF879">
        <f>IFERROR(INDEX(PP_Grid[#Data],$DE879,29),0)</f>
        <v/>
      </c>
      <c r="AG879">
        <f>IFERROR(INDEX(PP_Grid[#Data],$DE879,30),0)</f>
        <v/>
      </c>
      <c r="AH879">
        <f>IFERROR(INDEX(PP_Grid[#Data],$DE879,31),0)</f>
        <v/>
      </c>
      <c r="AI879">
        <f>IFERROR(INDEX(PP_Grid[#Data],$DE879,32),0)</f>
        <v/>
      </c>
      <c r="AJ879">
        <f>IFERROR(INDEX(PP_Grid[#Data],$DE879,33),0)</f>
        <v/>
      </c>
      <c r="AK879">
        <f>IFERROR(INDEX(PP_Grid[#Data],$DE879,34),0)</f>
        <v/>
      </c>
      <c r="AL879">
        <f>IFERROR(INDEX(PP_Grid[#Data],$DE879,35),0)</f>
        <v/>
      </c>
      <c r="AM879">
        <f>IFERROR(INDEX(PP_Grid[#Data],$DE879,36),0)</f>
        <v/>
      </c>
      <c r="AN879">
        <f>IFERROR(INDEX(PP_Grid[#Data],$DE879,37),0)</f>
        <v/>
      </c>
      <c r="AO879">
        <f>IFERROR(INDEX(PP_Grid[#Data],$DE879,38),0)</f>
        <v/>
      </c>
      <c r="AP879">
        <f>IFERROR(INDEX(PP_Grid[#Data],$DE879,39),0)</f>
        <v/>
      </c>
      <c r="AQ879">
        <f>IFERROR(INDEX(PP_Grid[#Data],$DE879,40),0)</f>
        <v/>
      </c>
      <c r="AR879">
        <f>IFERROR(INDEX(PP_Grid[#Data],$DE879,41),0)</f>
        <v/>
      </c>
      <c r="AS879">
        <f>IFERROR(INDEX(PP_Grid[#Data],$DE879,42),0)</f>
        <v/>
      </c>
      <c r="AT879">
        <f>IFERROR(INDEX(PP_Grid[#Data],$DE879,43),0)</f>
        <v/>
      </c>
      <c r="AU879">
        <f>IFERROR(INDEX(PP_Grid[#Data],$DE879,44),0)</f>
        <v/>
      </c>
      <c r="AV879">
        <f>IFERROR(INDEX(PP_Grid[#Data],$DE879,45),0)</f>
        <v/>
      </c>
      <c r="AW879">
        <f>IFERROR(INDEX(PP_Grid[#Data],$DE879,46),0)</f>
        <v/>
      </c>
      <c r="AX879">
        <f>IFERROR(INDEX(PP_Grid[#Data],$DE879,47),0)</f>
        <v/>
      </c>
      <c r="AY879">
        <f>IFERROR(INDEX(PP_Grid[#Data],$DE879,48),0)</f>
        <v/>
      </c>
      <c r="AZ879">
        <f>IFERROR(INDEX(PP_Grid[#Data],$DE879,49),0)</f>
        <v/>
      </c>
      <c r="BA879">
        <f>IFERROR(INDEX(PP_Grid[#Data],$DE879,50),0)</f>
        <v/>
      </c>
      <c r="BB879">
        <f>IFERROR(INDEX(PP_Grid[#Data],$DE879,51),0)</f>
        <v/>
      </c>
      <c r="BC879">
        <f>IFERROR(INDEX(PP_Grid[#Data],$DE879,52),0)</f>
        <v/>
      </c>
      <c r="BD879">
        <f>IFERROR(INDEX(PP_Grid[#Data],$DE879,53),0)</f>
        <v/>
      </c>
      <c r="BE879">
        <f>IFERROR(INDEX(PP_Grid[#Data],$DE879,54),0)</f>
        <v/>
      </c>
      <c r="BF879">
        <f>IFERROR(INDEX(PP_Grid[#Data],$DE879,55),0)</f>
        <v/>
      </c>
      <c r="BG879">
        <f>IFERROR(INDEX(PP_Grid[#Data],$DE879,56),0)</f>
        <v/>
      </c>
      <c r="BH879">
        <f>IFERROR(INDEX(PP_Grid[#Data],$DE879,57),0)</f>
        <v/>
      </c>
      <c r="BI879">
        <f>IFERROR(INDEX(PP_Grid[#Data],$DE879,58),0)</f>
        <v/>
      </c>
      <c r="BJ879">
        <f>IFERROR(INDEX(PP_Grid[#Data],$DE879,59),0)</f>
        <v/>
      </c>
      <c r="BK879">
        <f>IFERROR(INDEX(PP_Grid[#Data],$DE879,60),0)</f>
        <v/>
      </c>
      <c r="BL879">
        <f>IFERROR(INDEX(PP_Grid[#Data],$DE879,61),0)</f>
        <v/>
      </c>
      <c r="BM879">
        <f>IFERROR(INDEX(PP_Grid[#Data],$DE879,62),0)</f>
        <v/>
      </c>
      <c r="BN879">
        <f>IFERROR(INDEX(PP_Grid[#Data],$DE879,63),0)</f>
        <v/>
      </c>
      <c r="BO879">
        <f>IFERROR(INDEX(PP_Grid[#Data],$DE879,64),0)</f>
        <v/>
      </c>
      <c r="BP879">
        <f>IFERROR(INDEX(PP_Grid[#Data],$DE879,65),0)</f>
        <v/>
      </c>
      <c r="BQ879">
        <f>IFERROR(INDEX(PP_Grid[#Data],$DE879,66),0)</f>
        <v/>
      </c>
      <c r="BR879">
        <f>IFERROR(INDEX(PP_Grid[#Data],$DE879,67),0)</f>
        <v/>
      </c>
      <c r="BS879">
        <f>IFERROR(INDEX(PP_Grid[#Data],$DE879,68),0)</f>
        <v/>
      </c>
      <c r="BT879">
        <f>IFERROR(INDEX(PP_Grid[#Data],$DE879,69),0)</f>
        <v/>
      </c>
      <c r="BU879">
        <f>IFERROR(INDEX(PP_Grid[#Data],$DE879,70),0)</f>
        <v/>
      </c>
      <c r="BV879">
        <f>IFERROR(INDEX(PP_Grid[#Data],$DE879,71),0)</f>
        <v/>
      </c>
      <c r="BW879">
        <f>IFERROR(INDEX(PP_Grid[#Data],$DE879,72),0)</f>
        <v/>
      </c>
      <c r="BX879">
        <f>IFERROR(INDEX(PP_Grid[#Data],$DE879,73),0)</f>
        <v/>
      </c>
      <c r="BY879">
        <f>IFERROR(INDEX(PP_Grid[#Data],$DE879,74),0)</f>
        <v/>
      </c>
      <c r="BZ879">
        <f>IFERROR(INDEX(PP_Grid[#Data],$DE879,75),0)</f>
        <v/>
      </c>
      <c r="CA879">
        <f>IFERROR(INDEX(PP_Grid[#Data],$DE879,76),0)</f>
        <v/>
      </c>
      <c r="CB879">
        <f>IFERROR(INDEX(PP_Grid[#Data],$DE879,77),0)</f>
        <v/>
      </c>
      <c r="CC879">
        <f>IFERROR(INDEX(PP_Grid[#Data],$DE879,78),0)</f>
        <v/>
      </c>
      <c r="CD879">
        <f>IFERROR(INDEX(PP_Grid[#Data],$DE879,79),0)</f>
        <v/>
      </c>
      <c r="CE879">
        <f>IFERROR(INDEX(PP_Grid[#Data],$DE879,80),0)</f>
        <v/>
      </c>
      <c r="CF879">
        <f>IFERROR(INDEX(PP_Grid[#Data],$DE879,81),0)</f>
        <v/>
      </c>
      <c r="CG879">
        <f>IFERROR(INDEX(PP_Grid[#Data],$DE879,82),0)</f>
        <v/>
      </c>
      <c r="CH879">
        <f>IFERROR(INDEX(PP_Grid[#Data],$DE879,83),0)</f>
        <v/>
      </c>
      <c r="CI879">
        <f>IFERROR(INDEX(PP_Grid[#Data],$DE879,84),0)</f>
        <v/>
      </c>
      <c r="CJ879">
        <f>IFERROR(INDEX(PP_Grid[#Data],$DE879,85),0)</f>
        <v/>
      </c>
      <c r="CK879">
        <f>IFERROR(INDEX(PP_Grid[#Data],$DE879,86),0)</f>
        <v/>
      </c>
      <c r="CL879">
        <f>IFERROR(INDEX(PP_Grid[#Data],$DE879,87),0)</f>
        <v/>
      </c>
      <c r="CM879">
        <f>IFERROR(INDEX(PP_Grid[#Data],$DE879,88),0)</f>
        <v/>
      </c>
      <c r="CN879">
        <f>IFERROR(INDEX(PP_Grid[#Data],$DE879,89),0)</f>
        <v/>
      </c>
      <c r="CO879">
        <f>IFERROR(INDEX(PP_Grid[#Data],$DE879,90),0)</f>
        <v/>
      </c>
      <c r="CP879">
        <f>IFERROR(INDEX(PP_Grid[#Data],$DE879,91),0)</f>
        <v/>
      </c>
      <c r="CQ879">
        <f>IFERROR(INDEX(PP_Grid[#Data],$DE879,92),0)</f>
        <v/>
      </c>
      <c r="CR879">
        <f>IFERROR(INDEX(PP_Grid[#Data],$DE879,93),0)</f>
        <v/>
      </c>
      <c r="CS879">
        <f>IFERROR(INDEX(PP_Grid[#Data],$DE879,94),0)</f>
        <v/>
      </c>
      <c r="CT879">
        <f>IFERROR(INDEX(PP_Grid[#Data],$DE879,95),0)</f>
        <v/>
      </c>
      <c r="CU879">
        <f>IFERROR(INDEX(PP_Grid[#Data],$DE879,96),0)</f>
        <v/>
      </c>
      <c r="CV879">
        <f>IFERROR(INDEX(PP_Grid[#Data],$DE879,97),0)</f>
        <v/>
      </c>
      <c r="CW879">
        <f>IFERROR(INDEX(PP_Grid[#Data],$DE879,98),0)</f>
        <v/>
      </c>
      <c r="CX879">
        <f>IFERROR(INDEX(PP_Grid[#Data],$DE879,99),0)</f>
        <v/>
      </c>
      <c r="CY879">
        <f>IFERROR(INDEX(PP_Grid[#Data],$DE879,100),0)</f>
        <v/>
      </c>
      <c r="CZ879">
        <f>IFERROR(INDEX(PP_Grid[#Data],$DE879,101),0)</f>
        <v/>
      </c>
      <c r="DA879">
        <f>IFERROR(INDEX(PP_Grid[#Data],$DE879,102),0)</f>
        <v/>
      </c>
      <c r="DB879">
        <f>IFERROR(INDEX(PP_Grid[#Data],$DE879,103),0)</f>
        <v/>
      </c>
      <c r="DC879">
        <f>IFERROR(INDEX(PP_Grid[#Data],$DE879,104),0)</f>
        <v/>
      </c>
      <c r="DD879">
        <f>IFERROR(INDEX(PP_Grid[#Data],$DE879,105),0)</f>
        <v/>
      </c>
      <c r="DE879" s="7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SUMIFS(M_BOM[RM_Qty_Per_Batch],M_BOM[Intermediate],$B879,M_BOM[RM_Code],$A860)</f>
        <v/>
      </c>
      <c r="D880">
        <f>IFERROR(INDEX(E880:DD880,$F$1),"")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  <c r="DD880">
        <f>$C880*DD879</f>
        <v/>
      </c>
    </row>
    <row r="881">
      <c r="B881" t="inlineStr">
        <is>
          <t>VSP-869</t>
        </is>
      </c>
      <c r="C881" t="inlineStr">
        <is>
          <t>No. of batches</t>
        </is>
      </c>
      <c r="D881">
        <f>IFERROR(INDEX(E881:DD881,$F$1),"")</f>
        <v/>
      </c>
      <c r="E881">
        <f>IFERROR(INDEX(PP_Grid[#Data],$DE881,2),0)</f>
        <v/>
      </c>
      <c r="F881">
        <f>IFERROR(INDEX(PP_Grid[#Data],$DE881,3),0)</f>
        <v/>
      </c>
      <c r="G881">
        <f>IFERROR(INDEX(PP_Grid[#Data],$DE881,4),0)</f>
        <v/>
      </c>
      <c r="H881">
        <f>IFERROR(INDEX(PP_Grid[#Data],$DE881,5),0)</f>
        <v/>
      </c>
      <c r="I881">
        <f>IFERROR(INDEX(PP_Grid[#Data],$DE881,6),0)</f>
        <v/>
      </c>
      <c r="J881">
        <f>IFERROR(INDEX(PP_Grid[#Data],$DE881,7),0)</f>
        <v/>
      </c>
      <c r="K881">
        <f>IFERROR(INDEX(PP_Grid[#Data],$DE881,8),0)</f>
        <v/>
      </c>
      <c r="L881">
        <f>IFERROR(INDEX(PP_Grid[#Data],$DE881,9),0)</f>
        <v/>
      </c>
      <c r="M881">
        <f>IFERROR(INDEX(PP_Grid[#Data],$DE881,10),0)</f>
        <v/>
      </c>
      <c r="N881">
        <f>IFERROR(INDEX(PP_Grid[#Data],$DE881,11),0)</f>
        <v/>
      </c>
      <c r="O881">
        <f>IFERROR(INDEX(PP_Grid[#Data],$DE881,12),0)</f>
        <v/>
      </c>
      <c r="P881">
        <f>IFERROR(INDEX(PP_Grid[#Data],$DE881,13),0)</f>
        <v/>
      </c>
      <c r="Q881">
        <f>IFERROR(INDEX(PP_Grid[#Data],$DE881,14),0)</f>
        <v/>
      </c>
      <c r="R881">
        <f>IFERROR(INDEX(PP_Grid[#Data],$DE881,15),0)</f>
        <v/>
      </c>
      <c r="S881">
        <f>IFERROR(INDEX(PP_Grid[#Data],$DE881,16),0)</f>
        <v/>
      </c>
      <c r="T881">
        <f>IFERROR(INDEX(PP_Grid[#Data],$DE881,17),0)</f>
        <v/>
      </c>
      <c r="U881">
        <f>IFERROR(INDEX(PP_Grid[#Data],$DE881,18),0)</f>
        <v/>
      </c>
      <c r="V881">
        <f>IFERROR(INDEX(PP_Grid[#Data],$DE881,19),0)</f>
        <v/>
      </c>
      <c r="W881">
        <f>IFERROR(INDEX(PP_Grid[#Data],$DE881,20),0)</f>
        <v/>
      </c>
      <c r="X881">
        <f>IFERROR(INDEX(PP_Grid[#Data],$DE881,21),0)</f>
        <v/>
      </c>
      <c r="Y881">
        <f>IFERROR(INDEX(PP_Grid[#Data],$DE881,22),0)</f>
        <v/>
      </c>
      <c r="Z881">
        <f>IFERROR(INDEX(PP_Grid[#Data],$DE881,23),0)</f>
        <v/>
      </c>
      <c r="AA881">
        <f>IFERROR(INDEX(PP_Grid[#Data],$DE881,24),0)</f>
        <v/>
      </c>
      <c r="AB881">
        <f>IFERROR(INDEX(PP_Grid[#Data],$DE881,25),0)</f>
        <v/>
      </c>
      <c r="AC881">
        <f>IFERROR(INDEX(PP_Grid[#Data],$DE881,26),0)</f>
        <v/>
      </c>
      <c r="AD881">
        <f>IFERROR(INDEX(PP_Grid[#Data],$DE881,27),0)</f>
        <v/>
      </c>
      <c r="AE881">
        <f>IFERROR(INDEX(PP_Grid[#Data],$DE881,28),0)</f>
        <v/>
      </c>
      <c r="AF881">
        <f>IFERROR(INDEX(PP_Grid[#Data],$DE881,29),0)</f>
        <v/>
      </c>
      <c r="AG881">
        <f>IFERROR(INDEX(PP_Grid[#Data],$DE881,30),0)</f>
        <v/>
      </c>
      <c r="AH881">
        <f>IFERROR(INDEX(PP_Grid[#Data],$DE881,31),0)</f>
        <v/>
      </c>
      <c r="AI881">
        <f>IFERROR(INDEX(PP_Grid[#Data],$DE881,32),0)</f>
        <v/>
      </c>
      <c r="AJ881">
        <f>IFERROR(INDEX(PP_Grid[#Data],$DE881,33),0)</f>
        <v/>
      </c>
      <c r="AK881">
        <f>IFERROR(INDEX(PP_Grid[#Data],$DE881,34),0)</f>
        <v/>
      </c>
      <c r="AL881">
        <f>IFERROR(INDEX(PP_Grid[#Data],$DE881,35),0)</f>
        <v/>
      </c>
      <c r="AM881">
        <f>IFERROR(INDEX(PP_Grid[#Data],$DE881,36),0)</f>
        <v/>
      </c>
      <c r="AN881">
        <f>IFERROR(INDEX(PP_Grid[#Data],$DE881,37),0)</f>
        <v/>
      </c>
      <c r="AO881">
        <f>IFERROR(INDEX(PP_Grid[#Data],$DE881,38),0)</f>
        <v/>
      </c>
      <c r="AP881">
        <f>IFERROR(INDEX(PP_Grid[#Data],$DE881,39),0)</f>
        <v/>
      </c>
      <c r="AQ881">
        <f>IFERROR(INDEX(PP_Grid[#Data],$DE881,40),0)</f>
        <v/>
      </c>
      <c r="AR881">
        <f>IFERROR(INDEX(PP_Grid[#Data],$DE881,41),0)</f>
        <v/>
      </c>
      <c r="AS881">
        <f>IFERROR(INDEX(PP_Grid[#Data],$DE881,42),0)</f>
        <v/>
      </c>
      <c r="AT881">
        <f>IFERROR(INDEX(PP_Grid[#Data],$DE881,43),0)</f>
        <v/>
      </c>
      <c r="AU881">
        <f>IFERROR(INDEX(PP_Grid[#Data],$DE881,44),0)</f>
        <v/>
      </c>
      <c r="AV881">
        <f>IFERROR(INDEX(PP_Grid[#Data],$DE881,45),0)</f>
        <v/>
      </c>
      <c r="AW881">
        <f>IFERROR(INDEX(PP_Grid[#Data],$DE881,46),0)</f>
        <v/>
      </c>
      <c r="AX881">
        <f>IFERROR(INDEX(PP_Grid[#Data],$DE881,47),0)</f>
        <v/>
      </c>
      <c r="AY881">
        <f>IFERROR(INDEX(PP_Grid[#Data],$DE881,48),0)</f>
        <v/>
      </c>
      <c r="AZ881">
        <f>IFERROR(INDEX(PP_Grid[#Data],$DE881,49),0)</f>
        <v/>
      </c>
      <c r="BA881">
        <f>IFERROR(INDEX(PP_Grid[#Data],$DE881,50),0)</f>
        <v/>
      </c>
      <c r="BB881">
        <f>IFERROR(INDEX(PP_Grid[#Data],$DE881,51),0)</f>
        <v/>
      </c>
      <c r="BC881">
        <f>IFERROR(INDEX(PP_Grid[#Data],$DE881,52),0)</f>
        <v/>
      </c>
      <c r="BD881">
        <f>IFERROR(INDEX(PP_Grid[#Data],$DE881,53),0)</f>
        <v/>
      </c>
      <c r="BE881">
        <f>IFERROR(INDEX(PP_Grid[#Data],$DE881,54),0)</f>
        <v/>
      </c>
      <c r="BF881">
        <f>IFERROR(INDEX(PP_Grid[#Data],$DE881,55),0)</f>
        <v/>
      </c>
      <c r="BG881">
        <f>IFERROR(INDEX(PP_Grid[#Data],$DE881,56),0)</f>
        <v/>
      </c>
      <c r="BH881">
        <f>IFERROR(INDEX(PP_Grid[#Data],$DE881,57),0)</f>
        <v/>
      </c>
      <c r="BI881">
        <f>IFERROR(INDEX(PP_Grid[#Data],$DE881,58),0)</f>
        <v/>
      </c>
      <c r="BJ881">
        <f>IFERROR(INDEX(PP_Grid[#Data],$DE881,59),0)</f>
        <v/>
      </c>
      <c r="BK881">
        <f>IFERROR(INDEX(PP_Grid[#Data],$DE881,60),0)</f>
        <v/>
      </c>
      <c r="BL881">
        <f>IFERROR(INDEX(PP_Grid[#Data],$DE881,61),0)</f>
        <v/>
      </c>
      <c r="BM881">
        <f>IFERROR(INDEX(PP_Grid[#Data],$DE881,62),0)</f>
        <v/>
      </c>
      <c r="BN881">
        <f>IFERROR(INDEX(PP_Grid[#Data],$DE881,63),0)</f>
        <v/>
      </c>
      <c r="BO881">
        <f>IFERROR(INDEX(PP_Grid[#Data],$DE881,64),0)</f>
        <v/>
      </c>
      <c r="BP881">
        <f>IFERROR(INDEX(PP_Grid[#Data],$DE881,65),0)</f>
        <v/>
      </c>
      <c r="BQ881">
        <f>IFERROR(INDEX(PP_Grid[#Data],$DE881,66),0)</f>
        <v/>
      </c>
      <c r="BR881">
        <f>IFERROR(INDEX(PP_Grid[#Data],$DE881,67),0)</f>
        <v/>
      </c>
      <c r="BS881">
        <f>IFERROR(INDEX(PP_Grid[#Data],$DE881,68),0)</f>
        <v/>
      </c>
      <c r="BT881">
        <f>IFERROR(INDEX(PP_Grid[#Data],$DE881,69),0)</f>
        <v/>
      </c>
      <c r="BU881">
        <f>IFERROR(INDEX(PP_Grid[#Data],$DE881,70),0)</f>
        <v/>
      </c>
      <c r="BV881">
        <f>IFERROR(INDEX(PP_Grid[#Data],$DE881,71),0)</f>
        <v/>
      </c>
      <c r="BW881">
        <f>IFERROR(INDEX(PP_Grid[#Data],$DE881,72),0)</f>
        <v/>
      </c>
      <c r="BX881">
        <f>IFERROR(INDEX(PP_Grid[#Data],$DE881,73),0)</f>
        <v/>
      </c>
      <c r="BY881">
        <f>IFERROR(INDEX(PP_Grid[#Data],$DE881,74),0)</f>
        <v/>
      </c>
      <c r="BZ881">
        <f>IFERROR(INDEX(PP_Grid[#Data],$DE881,75),0)</f>
        <v/>
      </c>
      <c r="CA881">
        <f>IFERROR(INDEX(PP_Grid[#Data],$DE881,76),0)</f>
        <v/>
      </c>
      <c r="CB881">
        <f>IFERROR(INDEX(PP_Grid[#Data],$DE881,77),0)</f>
        <v/>
      </c>
      <c r="CC881">
        <f>IFERROR(INDEX(PP_Grid[#Data],$DE881,78),0)</f>
        <v/>
      </c>
      <c r="CD881">
        <f>IFERROR(INDEX(PP_Grid[#Data],$DE881,79),0)</f>
        <v/>
      </c>
      <c r="CE881">
        <f>IFERROR(INDEX(PP_Grid[#Data],$DE881,80),0)</f>
        <v/>
      </c>
      <c r="CF881">
        <f>IFERROR(INDEX(PP_Grid[#Data],$DE881,81),0)</f>
        <v/>
      </c>
      <c r="CG881">
        <f>IFERROR(INDEX(PP_Grid[#Data],$DE881,82),0)</f>
        <v/>
      </c>
      <c r="CH881">
        <f>IFERROR(INDEX(PP_Grid[#Data],$DE881,83),0)</f>
        <v/>
      </c>
      <c r="CI881">
        <f>IFERROR(INDEX(PP_Grid[#Data],$DE881,84),0)</f>
        <v/>
      </c>
      <c r="CJ881">
        <f>IFERROR(INDEX(PP_Grid[#Data],$DE881,85),0)</f>
        <v/>
      </c>
      <c r="CK881">
        <f>IFERROR(INDEX(PP_Grid[#Data],$DE881,86),0)</f>
        <v/>
      </c>
      <c r="CL881">
        <f>IFERROR(INDEX(PP_Grid[#Data],$DE881,87),0)</f>
        <v/>
      </c>
      <c r="CM881">
        <f>IFERROR(INDEX(PP_Grid[#Data],$DE881,88),0)</f>
        <v/>
      </c>
      <c r="CN881">
        <f>IFERROR(INDEX(PP_Grid[#Data],$DE881,89),0)</f>
        <v/>
      </c>
      <c r="CO881">
        <f>IFERROR(INDEX(PP_Grid[#Data],$DE881,90),0)</f>
        <v/>
      </c>
      <c r="CP881">
        <f>IFERROR(INDEX(PP_Grid[#Data],$DE881,91),0)</f>
        <v/>
      </c>
      <c r="CQ881">
        <f>IFERROR(INDEX(PP_Grid[#Data],$DE881,92),0)</f>
        <v/>
      </c>
      <c r="CR881">
        <f>IFERROR(INDEX(PP_Grid[#Data],$DE881,93),0)</f>
        <v/>
      </c>
      <c r="CS881">
        <f>IFERROR(INDEX(PP_Grid[#Data],$DE881,94),0)</f>
        <v/>
      </c>
      <c r="CT881">
        <f>IFERROR(INDEX(PP_Grid[#Data],$DE881,95),0)</f>
        <v/>
      </c>
      <c r="CU881">
        <f>IFERROR(INDEX(PP_Grid[#Data],$DE881,96),0)</f>
        <v/>
      </c>
      <c r="CV881">
        <f>IFERROR(INDEX(PP_Grid[#Data],$DE881,97),0)</f>
        <v/>
      </c>
      <c r="CW881">
        <f>IFERROR(INDEX(PP_Grid[#Data],$DE881,98),0)</f>
        <v/>
      </c>
      <c r="CX881">
        <f>IFERROR(INDEX(PP_Grid[#Data],$DE881,99),0)</f>
        <v/>
      </c>
      <c r="CY881">
        <f>IFERROR(INDEX(PP_Grid[#Data],$DE881,100),0)</f>
        <v/>
      </c>
      <c r="CZ881">
        <f>IFERROR(INDEX(PP_Grid[#Data],$DE881,101),0)</f>
        <v/>
      </c>
      <c r="DA881">
        <f>IFERROR(INDEX(PP_Grid[#Data],$DE881,102),0)</f>
        <v/>
      </c>
      <c r="DB881">
        <f>IFERROR(INDEX(PP_Grid[#Data],$DE881,103),0)</f>
        <v/>
      </c>
      <c r="DC881">
        <f>IFERROR(INDEX(PP_Grid[#Data],$DE881,104),0)</f>
        <v/>
      </c>
      <c r="DD881">
        <f>IFERROR(INDEX(PP_Grid[#Data],$DE881,105),0)</f>
        <v/>
      </c>
      <c r="DE881" s="7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SUMIFS(M_BOM[RM_Qty_Per_Batch],M_BOM[Intermediate],$B881,M_BOM[RM_Code],$A860)</f>
        <v/>
      </c>
      <c r="D882">
        <f>IFERROR(INDEX(E882:DD882,$F$1),"")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  <c r="DD882">
        <f>$C882*DD881</f>
        <v/>
      </c>
    </row>
    <row r="883">
      <c r="B883" t="inlineStr">
        <is>
          <t>VSP-989</t>
        </is>
      </c>
      <c r="C883" t="inlineStr">
        <is>
          <t>No. of batches</t>
        </is>
      </c>
      <c r="D883">
        <f>IFERROR(INDEX(E883:DD883,$F$1),"")</f>
        <v/>
      </c>
      <c r="E883">
        <f>IFERROR(INDEX(PP_Grid[#Data],$DE883,2),0)</f>
        <v/>
      </c>
      <c r="F883">
        <f>IFERROR(INDEX(PP_Grid[#Data],$DE883,3),0)</f>
        <v/>
      </c>
      <c r="G883">
        <f>IFERROR(INDEX(PP_Grid[#Data],$DE883,4),0)</f>
        <v/>
      </c>
      <c r="H883">
        <f>IFERROR(INDEX(PP_Grid[#Data],$DE883,5),0)</f>
        <v/>
      </c>
      <c r="I883">
        <f>IFERROR(INDEX(PP_Grid[#Data],$DE883,6),0)</f>
        <v/>
      </c>
      <c r="J883">
        <f>IFERROR(INDEX(PP_Grid[#Data],$DE883,7),0)</f>
        <v/>
      </c>
      <c r="K883">
        <f>IFERROR(INDEX(PP_Grid[#Data],$DE883,8),0)</f>
        <v/>
      </c>
      <c r="L883">
        <f>IFERROR(INDEX(PP_Grid[#Data],$DE883,9),0)</f>
        <v/>
      </c>
      <c r="M883">
        <f>IFERROR(INDEX(PP_Grid[#Data],$DE883,10),0)</f>
        <v/>
      </c>
      <c r="N883">
        <f>IFERROR(INDEX(PP_Grid[#Data],$DE883,11),0)</f>
        <v/>
      </c>
      <c r="O883">
        <f>IFERROR(INDEX(PP_Grid[#Data],$DE883,12),0)</f>
        <v/>
      </c>
      <c r="P883">
        <f>IFERROR(INDEX(PP_Grid[#Data],$DE883,13),0)</f>
        <v/>
      </c>
      <c r="Q883">
        <f>IFERROR(INDEX(PP_Grid[#Data],$DE883,14),0)</f>
        <v/>
      </c>
      <c r="R883">
        <f>IFERROR(INDEX(PP_Grid[#Data],$DE883,15),0)</f>
        <v/>
      </c>
      <c r="S883">
        <f>IFERROR(INDEX(PP_Grid[#Data],$DE883,16),0)</f>
        <v/>
      </c>
      <c r="T883">
        <f>IFERROR(INDEX(PP_Grid[#Data],$DE883,17),0)</f>
        <v/>
      </c>
      <c r="U883">
        <f>IFERROR(INDEX(PP_Grid[#Data],$DE883,18),0)</f>
        <v/>
      </c>
      <c r="V883">
        <f>IFERROR(INDEX(PP_Grid[#Data],$DE883,19),0)</f>
        <v/>
      </c>
      <c r="W883">
        <f>IFERROR(INDEX(PP_Grid[#Data],$DE883,20),0)</f>
        <v/>
      </c>
      <c r="X883">
        <f>IFERROR(INDEX(PP_Grid[#Data],$DE883,21),0)</f>
        <v/>
      </c>
      <c r="Y883">
        <f>IFERROR(INDEX(PP_Grid[#Data],$DE883,22),0)</f>
        <v/>
      </c>
      <c r="Z883">
        <f>IFERROR(INDEX(PP_Grid[#Data],$DE883,23),0)</f>
        <v/>
      </c>
      <c r="AA883">
        <f>IFERROR(INDEX(PP_Grid[#Data],$DE883,24),0)</f>
        <v/>
      </c>
      <c r="AB883">
        <f>IFERROR(INDEX(PP_Grid[#Data],$DE883,25),0)</f>
        <v/>
      </c>
      <c r="AC883">
        <f>IFERROR(INDEX(PP_Grid[#Data],$DE883,26),0)</f>
        <v/>
      </c>
      <c r="AD883">
        <f>IFERROR(INDEX(PP_Grid[#Data],$DE883,27),0)</f>
        <v/>
      </c>
      <c r="AE883">
        <f>IFERROR(INDEX(PP_Grid[#Data],$DE883,28),0)</f>
        <v/>
      </c>
      <c r="AF883">
        <f>IFERROR(INDEX(PP_Grid[#Data],$DE883,29),0)</f>
        <v/>
      </c>
      <c r="AG883">
        <f>IFERROR(INDEX(PP_Grid[#Data],$DE883,30),0)</f>
        <v/>
      </c>
      <c r="AH883">
        <f>IFERROR(INDEX(PP_Grid[#Data],$DE883,31),0)</f>
        <v/>
      </c>
      <c r="AI883">
        <f>IFERROR(INDEX(PP_Grid[#Data],$DE883,32),0)</f>
        <v/>
      </c>
      <c r="AJ883">
        <f>IFERROR(INDEX(PP_Grid[#Data],$DE883,33),0)</f>
        <v/>
      </c>
      <c r="AK883">
        <f>IFERROR(INDEX(PP_Grid[#Data],$DE883,34),0)</f>
        <v/>
      </c>
      <c r="AL883">
        <f>IFERROR(INDEX(PP_Grid[#Data],$DE883,35),0)</f>
        <v/>
      </c>
      <c r="AM883">
        <f>IFERROR(INDEX(PP_Grid[#Data],$DE883,36),0)</f>
        <v/>
      </c>
      <c r="AN883">
        <f>IFERROR(INDEX(PP_Grid[#Data],$DE883,37),0)</f>
        <v/>
      </c>
      <c r="AO883">
        <f>IFERROR(INDEX(PP_Grid[#Data],$DE883,38),0)</f>
        <v/>
      </c>
      <c r="AP883">
        <f>IFERROR(INDEX(PP_Grid[#Data],$DE883,39),0)</f>
        <v/>
      </c>
      <c r="AQ883">
        <f>IFERROR(INDEX(PP_Grid[#Data],$DE883,40),0)</f>
        <v/>
      </c>
      <c r="AR883">
        <f>IFERROR(INDEX(PP_Grid[#Data],$DE883,41),0)</f>
        <v/>
      </c>
      <c r="AS883">
        <f>IFERROR(INDEX(PP_Grid[#Data],$DE883,42),0)</f>
        <v/>
      </c>
      <c r="AT883">
        <f>IFERROR(INDEX(PP_Grid[#Data],$DE883,43),0)</f>
        <v/>
      </c>
      <c r="AU883">
        <f>IFERROR(INDEX(PP_Grid[#Data],$DE883,44),0)</f>
        <v/>
      </c>
      <c r="AV883">
        <f>IFERROR(INDEX(PP_Grid[#Data],$DE883,45),0)</f>
        <v/>
      </c>
      <c r="AW883">
        <f>IFERROR(INDEX(PP_Grid[#Data],$DE883,46),0)</f>
        <v/>
      </c>
      <c r="AX883">
        <f>IFERROR(INDEX(PP_Grid[#Data],$DE883,47),0)</f>
        <v/>
      </c>
      <c r="AY883">
        <f>IFERROR(INDEX(PP_Grid[#Data],$DE883,48),0)</f>
        <v/>
      </c>
      <c r="AZ883">
        <f>IFERROR(INDEX(PP_Grid[#Data],$DE883,49),0)</f>
        <v/>
      </c>
      <c r="BA883">
        <f>IFERROR(INDEX(PP_Grid[#Data],$DE883,50),0)</f>
        <v/>
      </c>
      <c r="BB883">
        <f>IFERROR(INDEX(PP_Grid[#Data],$DE883,51),0)</f>
        <v/>
      </c>
      <c r="BC883">
        <f>IFERROR(INDEX(PP_Grid[#Data],$DE883,52),0)</f>
        <v/>
      </c>
      <c r="BD883">
        <f>IFERROR(INDEX(PP_Grid[#Data],$DE883,53),0)</f>
        <v/>
      </c>
      <c r="BE883">
        <f>IFERROR(INDEX(PP_Grid[#Data],$DE883,54),0)</f>
        <v/>
      </c>
      <c r="BF883">
        <f>IFERROR(INDEX(PP_Grid[#Data],$DE883,55),0)</f>
        <v/>
      </c>
      <c r="BG883">
        <f>IFERROR(INDEX(PP_Grid[#Data],$DE883,56),0)</f>
        <v/>
      </c>
      <c r="BH883">
        <f>IFERROR(INDEX(PP_Grid[#Data],$DE883,57),0)</f>
        <v/>
      </c>
      <c r="BI883">
        <f>IFERROR(INDEX(PP_Grid[#Data],$DE883,58),0)</f>
        <v/>
      </c>
      <c r="BJ883">
        <f>IFERROR(INDEX(PP_Grid[#Data],$DE883,59),0)</f>
        <v/>
      </c>
      <c r="BK883">
        <f>IFERROR(INDEX(PP_Grid[#Data],$DE883,60),0)</f>
        <v/>
      </c>
      <c r="BL883">
        <f>IFERROR(INDEX(PP_Grid[#Data],$DE883,61),0)</f>
        <v/>
      </c>
      <c r="BM883">
        <f>IFERROR(INDEX(PP_Grid[#Data],$DE883,62),0)</f>
        <v/>
      </c>
      <c r="BN883">
        <f>IFERROR(INDEX(PP_Grid[#Data],$DE883,63),0)</f>
        <v/>
      </c>
      <c r="BO883">
        <f>IFERROR(INDEX(PP_Grid[#Data],$DE883,64),0)</f>
        <v/>
      </c>
      <c r="BP883">
        <f>IFERROR(INDEX(PP_Grid[#Data],$DE883,65),0)</f>
        <v/>
      </c>
      <c r="BQ883">
        <f>IFERROR(INDEX(PP_Grid[#Data],$DE883,66),0)</f>
        <v/>
      </c>
      <c r="BR883">
        <f>IFERROR(INDEX(PP_Grid[#Data],$DE883,67),0)</f>
        <v/>
      </c>
      <c r="BS883">
        <f>IFERROR(INDEX(PP_Grid[#Data],$DE883,68),0)</f>
        <v/>
      </c>
      <c r="BT883">
        <f>IFERROR(INDEX(PP_Grid[#Data],$DE883,69),0)</f>
        <v/>
      </c>
      <c r="BU883">
        <f>IFERROR(INDEX(PP_Grid[#Data],$DE883,70),0)</f>
        <v/>
      </c>
      <c r="BV883">
        <f>IFERROR(INDEX(PP_Grid[#Data],$DE883,71),0)</f>
        <v/>
      </c>
      <c r="BW883">
        <f>IFERROR(INDEX(PP_Grid[#Data],$DE883,72),0)</f>
        <v/>
      </c>
      <c r="BX883">
        <f>IFERROR(INDEX(PP_Grid[#Data],$DE883,73),0)</f>
        <v/>
      </c>
      <c r="BY883">
        <f>IFERROR(INDEX(PP_Grid[#Data],$DE883,74),0)</f>
        <v/>
      </c>
      <c r="BZ883">
        <f>IFERROR(INDEX(PP_Grid[#Data],$DE883,75),0)</f>
        <v/>
      </c>
      <c r="CA883">
        <f>IFERROR(INDEX(PP_Grid[#Data],$DE883,76),0)</f>
        <v/>
      </c>
      <c r="CB883">
        <f>IFERROR(INDEX(PP_Grid[#Data],$DE883,77),0)</f>
        <v/>
      </c>
      <c r="CC883">
        <f>IFERROR(INDEX(PP_Grid[#Data],$DE883,78),0)</f>
        <v/>
      </c>
      <c r="CD883">
        <f>IFERROR(INDEX(PP_Grid[#Data],$DE883,79),0)</f>
        <v/>
      </c>
      <c r="CE883">
        <f>IFERROR(INDEX(PP_Grid[#Data],$DE883,80),0)</f>
        <v/>
      </c>
      <c r="CF883">
        <f>IFERROR(INDEX(PP_Grid[#Data],$DE883,81),0)</f>
        <v/>
      </c>
      <c r="CG883">
        <f>IFERROR(INDEX(PP_Grid[#Data],$DE883,82),0)</f>
        <v/>
      </c>
      <c r="CH883">
        <f>IFERROR(INDEX(PP_Grid[#Data],$DE883,83),0)</f>
        <v/>
      </c>
      <c r="CI883">
        <f>IFERROR(INDEX(PP_Grid[#Data],$DE883,84),0)</f>
        <v/>
      </c>
      <c r="CJ883">
        <f>IFERROR(INDEX(PP_Grid[#Data],$DE883,85),0)</f>
        <v/>
      </c>
      <c r="CK883">
        <f>IFERROR(INDEX(PP_Grid[#Data],$DE883,86),0)</f>
        <v/>
      </c>
      <c r="CL883">
        <f>IFERROR(INDEX(PP_Grid[#Data],$DE883,87),0)</f>
        <v/>
      </c>
      <c r="CM883">
        <f>IFERROR(INDEX(PP_Grid[#Data],$DE883,88),0)</f>
        <v/>
      </c>
      <c r="CN883">
        <f>IFERROR(INDEX(PP_Grid[#Data],$DE883,89),0)</f>
        <v/>
      </c>
      <c r="CO883">
        <f>IFERROR(INDEX(PP_Grid[#Data],$DE883,90),0)</f>
        <v/>
      </c>
      <c r="CP883">
        <f>IFERROR(INDEX(PP_Grid[#Data],$DE883,91),0)</f>
        <v/>
      </c>
      <c r="CQ883">
        <f>IFERROR(INDEX(PP_Grid[#Data],$DE883,92),0)</f>
        <v/>
      </c>
      <c r="CR883">
        <f>IFERROR(INDEX(PP_Grid[#Data],$DE883,93),0)</f>
        <v/>
      </c>
      <c r="CS883">
        <f>IFERROR(INDEX(PP_Grid[#Data],$DE883,94),0)</f>
        <v/>
      </c>
      <c r="CT883">
        <f>IFERROR(INDEX(PP_Grid[#Data],$DE883,95),0)</f>
        <v/>
      </c>
      <c r="CU883">
        <f>IFERROR(INDEX(PP_Grid[#Data],$DE883,96),0)</f>
        <v/>
      </c>
      <c r="CV883">
        <f>IFERROR(INDEX(PP_Grid[#Data],$DE883,97),0)</f>
        <v/>
      </c>
      <c r="CW883">
        <f>IFERROR(INDEX(PP_Grid[#Data],$DE883,98),0)</f>
        <v/>
      </c>
      <c r="CX883">
        <f>IFERROR(INDEX(PP_Grid[#Data],$DE883,99),0)</f>
        <v/>
      </c>
      <c r="CY883">
        <f>IFERROR(INDEX(PP_Grid[#Data],$DE883,100),0)</f>
        <v/>
      </c>
      <c r="CZ883">
        <f>IFERROR(INDEX(PP_Grid[#Data],$DE883,101),0)</f>
        <v/>
      </c>
      <c r="DA883">
        <f>IFERROR(INDEX(PP_Grid[#Data],$DE883,102),0)</f>
        <v/>
      </c>
      <c r="DB883">
        <f>IFERROR(INDEX(PP_Grid[#Data],$DE883,103),0)</f>
        <v/>
      </c>
      <c r="DC883">
        <f>IFERROR(INDEX(PP_Grid[#Data],$DE883,104),0)</f>
        <v/>
      </c>
      <c r="DD883">
        <f>IFERROR(INDEX(PP_Grid[#Data],$DE883,105),0)</f>
        <v/>
      </c>
      <c r="DE883" s="7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SUMIFS(M_BOM[RM_Qty_Per_Batch],M_BOM[Intermediate],$B883,M_BOM[RM_Code],$A860)</f>
        <v/>
      </c>
      <c r="D884">
        <f>IFERROR(INDEX(E884:DD884,$F$1),"")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  <c r="DD884">
        <f>$C884*DD883</f>
        <v/>
      </c>
    </row>
    <row r="885">
      <c r="B885" s="4" t="inlineStr">
        <is>
          <t>合計使用量(kg)/週</t>
        </is>
      </c>
      <c r="D885" s="23">
        <f>IFERROR(INDEX(E885:DD885,$F$1),"")</f>
        <v/>
      </c>
      <c r="E885">
        <f>'Grid_Requirement'!B91</f>
        <v/>
      </c>
      <c r="F885">
        <f>'Grid_Requirement'!C91</f>
        <v/>
      </c>
      <c r="G885">
        <f>'Grid_Requirement'!D91</f>
        <v/>
      </c>
      <c r="H885">
        <f>'Grid_Requirement'!E91</f>
        <v/>
      </c>
      <c r="I885">
        <f>'Grid_Requirement'!F91</f>
        <v/>
      </c>
      <c r="J885">
        <f>'Grid_Requirement'!G91</f>
        <v/>
      </c>
      <c r="K885">
        <f>'Grid_Requirement'!H91</f>
        <v/>
      </c>
      <c r="L885">
        <f>'Grid_Requirement'!I91</f>
        <v/>
      </c>
      <c r="M885">
        <f>'Grid_Requirement'!J91</f>
        <v/>
      </c>
      <c r="N885">
        <f>'Grid_Requirement'!K91</f>
        <v/>
      </c>
      <c r="O885">
        <f>'Grid_Requirement'!L91</f>
        <v/>
      </c>
      <c r="P885">
        <f>'Grid_Requirement'!M91</f>
        <v/>
      </c>
      <c r="Q885">
        <f>'Grid_Requirement'!N91</f>
        <v/>
      </c>
      <c r="R885">
        <f>'Grid_Requirement'!O91</f>
        <v/>
      </c>
      <c r="S885">
        <f>'Grid_Requirement'!P91</f>
        <v/>
      </c>
      <c r="T885">
        <f>'Grid_Requirement'!Q91</f>
        <v/>
      </c>
      <c r="U885">
        <f>'Grid_Requirement'!R91</f>
        <v/>
      </c>
      <c r="V885">
        <f>'Grid_Requirement'!S91</f>
        <v/>
      </c>
      <c r="W885">
        <f>'Grid_Requirement'!T91</f>
        <v/>
      </c>
      <c r="X885">
        <f>'Grid_Requirement'!U91</f>
        <v/>
      </c>
      <c r="Y885">
        <f>'Grid_Requirement'!V91</f>
        <v/>
      </c>
      <c r="Z885">
        <f>'Grid_Requirement'!W91</f>
        <v/>
      </c>
      <c r="AA885">
        <f>'Grid_Requirement'!X91</f>
        <v/>
      </c>
      <c r="AB885">
        <f>'Grid_Requirement'!Y91</f>
        <v/>
      </c>
      <c r="AC885">
        <f>'Grid_Requirement'!Z91</f>
        <v/>
      </c>
      <c r="AD885">
        <f>'Grid_Requirement'!AA91</f>
        <v/>
      </c>
      <c r="AE885">
        <f>'Grid_Requirement'!AB91</f>
        <v/>
      </c>
      <c r="AF885">
        <f>'Grid_Requirement'!AC91</f>
        <v/>
      </c>
      <c r="AG885">
        <f>'Grid_Requirement'!AD91</f>
        <v/>
      </c>
      <c r="AH885">
        <f>'Grid_Requirement'!AE91</f>
        <v/>
      </c>
      <c r="AI885">
        <f>'Grid_Requirement'!AF91</f>
        <v/>
      </c>
      <c r="AJ885">
        <f>'Grid_Requirement'!AG91</f>
        <v/>
      </c>
      <c r="AK885">
        <f>'Grid_Requirement'!AH91</f>
        <v/>
      </c>
      <c r="AL885">
        <f>'Grid_Requirement'!AI91</f>
        <v/>
      </c>
      <c r="AM885">
        <f>'Grid_Requirement'!AJ91</f>
        <v/>
      </c>
      <c r="AN885">
        <f>'Grid_Requirement'!AK91</f>
        <v/>
      </c>
      <c r="AO885">
        <f>'Grid_Requirement'!AL91</f>
        <v/>
      </c>
      <c r="AP885">
        <f>'Grid_Requirement'!AM91</f>
        <v/>
      </c>
      <c r="AQ885">
        <f>'Grid_Requirement'!AN91</f>
        <v/>
      </c>
      <c r="AR885">
        <f>'Grid_Requirement'!AO91</f>
        <v/>
      </c>
      <c r="AS885">
        <f>'Grid_Requirement'!AP91</f>
        <v/>
      </c>
      <c r="AT885">
        <f>'Grid_Requirement'!AQ91</f>
        <v/>
      </c>
      <c r="AU885">
        <f>'Grid_Requirement'!AR91</f>
        <v/>
      </c>
      <c r="AV885">
        <f>'Grid_Requirement'!AS91</f>
        <v/>
      </c>
      <c r="AW885">
        <f>'Grid_Requirement'!AT91</f>
        <v/>
      </c>
      <c r="AX885">
        <f>'Grid_Requirement'!AU91</f>
        <v/>
      </c>
      <c r="AY885">
        <f>'Grid_Requirement'!AV91</f>
        <v/>
      </c>
      <c r="AZ885">
        <f>'Grid_Requirement'!AW91</f>
        <v/>
      </c>
      <c r="BA885">
        <f>'Grid_Requirement'!AX91</f>
        <v/>
      </c>
      <c r="BB885">
        <f>'Grid_Requirement'!AY91</f>
        <v/>
      </c>
      <c r="BC885">
        <f>'Grid_Requirement'!AZ91</f>
        <v/>
      </c>
      <c r="BD885">
        <f>'Grid_Requirement'!BA91</f>
        <v/>
      </c>
      <c r="BE885">
        <f>'Grid_Requirement'!BB91</f>
        <v/>
      </c>
      <c r="BF885">
        <f>'Grid_Requirement'!BC91</f>
        <v/>
      </c>
      <c r="BG885">
        <f>'Grid_Requirement'!BD91</f>
        <v/>
      </c>
      <c r="BH885">
        <f>'Grid_Requirement'!BE91</f>
        <v/>
      </c>
      <c r="BI885">
        <f>'Grid_Requirement'!BF91</f>
        <v/>
      </c>
      <c r="BJ885">
        <f>'Grid_Requirement'!BG91</f>
        <v/>
      </c>
      <c r="BK885">
        <f>'Grid_Requirement'!BH91</f>
        <v/>
      </c>
      <c r="BL885">
        <f>'Grid_Requirement'!BI91</f>
        <v/>
      </c>
      <c r="BM885">
        <f>'Grid_Requirement'!BJ91</f>
        <v/>
      </c>
      <c r="BN885">
        <f>'Grid_Requirement'!BK91</f>
        <v/>
      </c>
      <c r="BO885">
        <f>'Grid_Requirement'!BL91</f>
        <v/>
      </c>
      <c r="BP885">
        <f>'Grid_Requirement'!BM91</f>
        <v/>
      </c>
      <c r="BQ885">
        <f>'Grid_Requirement'!BN91</f>
        <v/>
      </c>
      <c r="BR885">
        <f>'Grid_Requirement'!BO91</f>
        <v/>
      </c>
      <c r="BS885">
        <f>'Grid_Requirement'!BP91</f>
        <v/>
      </c>
      <c r="BT885">
        <f>'Grid_Requirement'!BQ91</f>
        <v/>
      </c>
      <c r="BU885">
        <f>'Grid_Requirement'!BR91</f>
        <v/>
      </c>
      <c r="BV885">
        <f>'Grid_Requirement'!BS91</f>
        <v/>
      </c>
      <c r="BW885">
        <f>'Grid_Requirement'!BT91</f>
        <v/>
      </c>
      <c r="BX885">
        <f>'Grid_Requirement'!BU91</f>
        <v/>
      </c>
      <c r="BY885">
        <f>'Grid_Requirement'!BV91</f>
        <v/>
      </c>
      <c r="BZ885">
        <f>'Grid_Requirement'!BW91</f>
        <v/>
      </c>
      <c r="CA885">
        <f>'Grid_Requirement'!BX91</f>
        <v/>
      </c>
      <c r="CB885">
        <f>'Grid_Requirement'!BY91</f>
        <v/>
      </c>
      <c r="CC885">
        <f>'Grid_Requirement'!BZ91</f>
        <v/>
      </c>
      <c r="CD885">
        <f>'Grid_Requirement'!CA91</f>
        <v/>
      </c>
      <c r="CE885">
        <f>'Grid_Requirement'!CB91</f>
        <v/>
      </c>
      <c r="CF885">
        <f>'Grid_Requirement'!CC91</f>
        <v/>
      </c>
      <c r="CG885">
        <f>'Grid_Requirement'!CD91</f>
        <v/>
      </c>
      <c r="CH885">
        <f>'Grid_Requirement'!CE91</f>
        <v/>
      </c>
      <c r="CI885">
        <f>'Grid_Requirement'!CF91</f>
        <v/>
      </c>
      <c r="CJ885">
        <f>'Grid_Requirement'!CG91</f>
        <v/>
      </c>
      <c r="CK885">
        <f>'Grid_Requirement'!CH91</f>
        <v/>
      </c>
      <c r="CL885">
        <f>'Grid_Requirement'!CI91</f>
        <v/>
      </c>
      <c r="CM885">
        <f>'Grid_Requirement'!CJ91</f>
        <v/>
      </c>
      <c r="CN885">
        <f>'Grid_Requirement'!CK91</f>
        <v/>
      </c>
      <c r="CO885">
        <f>'Grid_Requirement'!CL91</f>
        <v/>
      </c>
      <c r="CP885">
        <f>'Grid_Requirement'!CM91</f>
        <v/>
      </c>
      <c r="CQ885">
        <f>'Grid_Requirement'!CN91</f>
        <v/>
      </c>
      <c r="CR885">
        <f>'Grid_Requirement'!CO91</f>
        <v/>
      </c>
      <c r="CS885">
        <f>'Grid_Requirement'!CP91</f>
        <v/>
      </c>
      <c r="CT885">
        <f>'Grid_Requirement'!CQ91</f>
        <v/>
      </c>
      <c r="CU885">
        <f>'Grid_Requirement'!CR91</f>
        <v/>
      </c>
      <c r="CV885">
        <f>'Grid_Requirement'!CS91</f>
        <v/>
      </c>
      <c r="CW885">
        <f>'Grid_Requirement'!CT91</f>
        <v/>
      </c>
      <c r="CX885">
        <f>'Grid_Requirement'!CU91</f>
        <v/>
      </c>
      <c r="CY885">
        <f>'Grid_Requirement'!CV91</f>
        <v/>
      </c>
      <c r="CZ885">
        <f>'Grid_Requirement'!CW91</f>
        <v/>
      </c>
      <c r="DA885">
        <f>'Grid_Requirement'!CX91</f>
        <v/>
      </c>
      <c r="DB885">
        <f>'Grid_Requirement'!CY91</f>
        <v/>
      </c>
      <c r="DC885">
        <f>'Grid_Requirement'!CZ91</f>
        <v/>
      </c>
      <c r="DD885">
        <f>'Grid_Requirement'!DA91</f>
        <v/>
      </c>
    </row>
    <row r="886">
      <c r="B886" t="inlineStr">
        <is>
          <t>TTAF在庫(実績,kg)</t>
        </is>
      </c>
      <c r="D886">
        <f>IFERROR(INDEX(E886:DD886,$F$1),"")</f>
        <v/>
      </c>
      <c r="E886">
        <f>IFERROR(SUMIFS(T_TTAFStock[TTAF_Qty],T_TTAFStock[RM_Code],$A860,T_TTAFStock[WeekIndex],1),"")</f>
        <v/>
      </c>
      <c r="F886">
        <f>IFERROR(SUMIFS(T_TTAFStock[TTAF_Qty],T_TTAFStock[RM_Code],$A860,T_TTAFStock[WeekIndex],2),"")</f>
        <v/>
      </c>
      <c r="G886">
        <f>IFERROR(SUMIFS(T_TTAFStock[TTAF_Qty],T_TTAFStock[RM_Code],$A860,T_TTAFStock[WeekIndex],3),"")</f>
        <v/>
      </c>
      <c r="H886">
        <f>IFERROR(SUMIFS(T_TTAFStock[TTAF_Qty],T_TTAFStock[RM_Code],$A860,T_TTAFStock[WeekIndex],4),"")</f>
        <v/>
      </c>
      <c r="I886">
        <f>IFERROR(SUMIFS(T_TTAFStock[TTAF_Qty],T_TTAFStock[RM_Code],$A860,T_TTAFStock[WeekIndex],5),"")</f>
        <v/>
      </c>
      <c r="J886">
        <f>IFERROR(SUMIFS(T_TTAFStock[TTAF_Qty],T_TTAFStock[RM_Code],$A860,T_TTAFStock[WeekIndex],6),"")</f>
        <v/>
      </c>
      <c r="K886">
        <f>IFERROR(SUMIFS(T_TTAFStock[TTAF_Qty],T_TTAFStock[RM_Code],$A860,T_TTAFStock[WeekIndex],7),"")</f>
        <v/>
      </c>
      <c r="L886">
        <f>IFERROR(SUMIFS(T_TTAFStock[TTAF_Qty],T_TTAFStock[RM_Code],$A860,T_TTAFStock[WeekIndex],8),"")</f>
        <v/>
      </c>
      <c r="M886">
        <f>IFERROR(SUMIFS(T_TTAFStock[TTAF_Qty],T_TTAFStock[RM_Code],$A860,T_TTAFStock[WeekIndex],9),"")</f>
        <v/>
      </c>
      <c r="N886">
        <f>IFERROR(SUMIFS(T_TTAFStock[TTAF_Qty],T_TTAFStock[RM_Code],$A860,T_TTAFStock[WeekIndex],10),"")</f>
        <v/>
      </c>
      <c r="O886">
        <f>IFERROR(SUMIFS(T_TTAFStock[TTAF_Qty],T_TTAFStock[RM_Code],$A860,T_TTAFStock[WeekIndex],11),"")</f>
        <v/>
      </c>
      <c r="P886">
        <f>IFERROR(SUMIFS(T_TTAFStock[TTAF_Qty],T_TTAFStock[RM_Code],$A860,T_TTAFStock[WeekIndex],12),"")</f>
        <v/>
      </c>
      <c r="Q886">
        <f>IFERROR(SUMIFS(T_TTAFStock[TTAF_Qty],T_TTAFStock[RM_Code],$A860,T_TTAFStock[WeekIndex],13),"")</f>
        <v/>
      </c>
      <c r="R886">
        <f>IFERROR(SUMIFS(T_TTAFStock[TTAF_Qty],T_TTAFStock[RM_Code],$A860,T_TTAFStock[WeekIndex],14),"")</f>
        <v/>
      </c>
      <c r="S886">
        <f>IFERROR(SUMIFS(T_TTAFStock[TTAF_Qty],T_TTAFStock[RM_Code],$A860,T_TTAFStock[WeekIndex],15),"")</f>
        <v/>
      </c>
      <c r="T886">
        <f>IFERROR(SUMIFS(T_TTAFStock[TTAF_Qty],T_TTAFStock[RM_Code],$A860,T_TTAFStock[WeekIndex],16),"")</f>
        <v/>
      </c>
      <c r="U886">
        <f>IFERROR(SUMIFS(T_TTAFStock[TTAF_Qty],T_TTAFStock[RM_Code],$A860,T_TTAFStock[WeekIndex],17),"")</f>
        <v/>
      </c>
      <c r="V886">
        <f>IFERROR(SUMIFS(T_TTAFStock[TTAF_Qty],T_TTAFStock[RM_Code],$A860,T_TTAFStock[WeekIndex],18),"")</f>
        <v/>
      </c>
      <c r="W886">
        <f>IFERROR(SUMIFS(T_TTAFStock[TTAF_Qty],T_TTAFStock[RM_Code],$A860,T_TTAFStock[WeekIndex],19),"")</f>
        <v/>
      </c>
      <c r="X886">
        <f>IFERROR(SUMIFS(T_TTAFStock[TTAF_Qty],T_TTAFStock[RM_Code],$A860,T_TTAFStock[WeekIndex],20),"")</f>
        <v/>
      </c>
      <c r="Y886">
        <f>IFERROR(SUMIFS(T_TTAFStock[TTAF_Qty],T_TTAFStock[RM_Code],$A860,T_TTAFStock[WeekIndex],21),"")</f>
        <v/>
      </c>
      <c r="Z886">
        <f>IFERROR(SUMIFS(T_TTAFStock[TTAF_Qty],T_TTAFStock[RM_Code],$A860,T_TTAFStock[WeekIndex],22),"")</f>
        <v/>
      </c>
      <c r="AA886">
        <f>IFERROR(SUMIFS(T_TTAFStock[TTAF_Qty],T_TTAFStock[RM_Code],$A860,T_TTAFStock[WeekIndex],23),"")</f>
        <v/>
      </c>
      <c r="AB886">
        <f>IFERROR(SUMIFS(T_TTAFStock[TTAF_Qty],T_TTAFStock[RM_Code],$A860,T_TTAFStock[WeekIndex],24),"")</f>
        <v/>
      </c>
      <c r="AC886">
        <f>IFERROR(SUMIFS(T_TTAFStock[TTAF_Qty],T_TTAFStock[RM_Code],$A860,T_TTAFStock[WeekIndex],25),"")</f>
        <v/>
      </c>
      <c r="AD886">
        <f>IFERROR(SUMIFS(T_TTAFStock[TTAF_Qty],T_TTAFStock[RM_Code],$A860,T_TTAFStock[WeekIndex],26),"")</f>
        <v/>
      </c>
      <c r="AE886">
        <f>IFERROR(SUMIFS(T_TTAFStock[TTAF_Qty],T_TTAFStock[RM_Code],$A860,T_TTAFStock[WeekIndex],27),"")</f>
        <v/>
      </c>
      <c r="AF886">
        <f>IFERROR(SUMIFS(T_TTAFStock[TTAF_Qty],T_TTAFStock[RM_Code],$A860,T_TTAFStock[WeekIndex],28),"")</f>
        <v/>
      </c>
      <c r="AG886">
        <f>IFERROR(SUMIFS(T_TTAFStock[TTAF_Qty],T_TTAFStock[RM_Code],$A860,T_TTAFStock[WeekIndex],29),"")</f>
        <v/>
      </c>
      <c r="AH886">
        <f>IFERROR(SUMIFS(T_TTAFStock[TTAF_Qty],T_TTAFStock[RM_Code],$A860,T_TTAFStock[WeekIndex],30),"")</f>
        <v/>
      </c>
      <c r="AI886">
        <f>IFERROR(SUMIFS(T_TTAFStock[TTAF_Qty],T_TTAFStock[RM_Code],$A860,T_TTAFStock[WeekIndex],31),"")</f>
        <v/>
      </c>
      <c r="AJ886">
        <f>IFERROR(SUMIFS(T_TTAFStock[TTAF_Qty],T_TTAFStock[RM_Code],$A860,T_TTAFStock[WeekIndex],32),"")</f>
        <v/>
      </c>
      <c r="AK886">
        <f>IFERROR(SUMIFS(T_TTAFStock[TTAF_Qty],T_TTAFStock[RM_Code],$A860,T_TTAFStock[WeekIndex],33),"")</f>
        <v/>
      </c>
      <c r="AL886">
        <f>IFERROR(SUMIFS(T_TTAFStock[TTAF_Qty],T_TTAFStock[RM_Code],$A860,T_TTAFStock[WeekIndex],34),"")</f>
        <v/>
      </c>
      <c r="AM886">
        <f>IFERROR(SUMIFS(T_TTAFStock[TTAF_Qty],T_TTAFStock[RM_Code],$A860,T_TTAFStock[WeekIndex],35),"")</f>
        <v/>
      </c>
      <c r="AN886">
        <f>IFERROR(SUMIFS(T_TTAFStock[TTAF_Qty],T_TTAFStock[RM_Code],$A860,T_TTAFStock[WeekIndex],36),"")</f>
        <v/>
      </c>
      <c r="AO886">
        <f>IFERROR(SUMIFS(T_TTAFStock[TTAF_Qty],T_TTAFStock[RM_Code],$A860,T_TTAFStock[WeekIndex],37),"")</f>
        <v/>
      </c>
      <c r="AP886">
        <f>IFERROR(SUMIFS(T_TTAFStock[TTAF_Qty],T_TTAFStock[RM_Code],$A860,T_TTAFStock[WeekIndex],38),"")</f>
        <v/>
      </c>
      <c r="AQ886">
        <f>IFERROR(SUMIFS(T_TTAFStock[TTAF_Qty],T_TTAFStock[RM_Code],$A860,T_TTAFStock[WeekIndex],39),"")</f>
        <v/>
      </c>
      <c r="AR886">
        <f>IFERROR(SUMIFS(T_TTAFStock[TTAF_Qty],T_TTAFStock[RM_Code],$A860,T_TTAFStock[WeekIndex],40),"")</f>
        <v/>
      </c>
      <c r="AS886">
        <f>IFERROR(SUMIFS(T_TTAFStock[TTAF_Qty],T_TTAFStock[RM_Code],$A860,T_TTAFStock[WeekIndex],41),"")</f>
        <v/>
      </c>
      <c r="AT886">
        <f>IFERROR(SUMIFS(T_TTAFStock[TTAF_Qty],T_TTAFStock[RM_Code],$A860,T_TTAFStock[WeekIndex],42),"")</f>
        <v/>
      </c>
      <c r="AU886">
        <f>IFERROR(SUMIFS(T_TTAFStock[TTAF_Qty],T_TTAFStock[RM_Code],$A860,T_TTAFStock[WeekIndex],43),"")</f>
        <v/>
      </c>
      <c r="AV886">
        <f>IFERROR(SUMIFS(T_TTAFStock[TTAF_Qty],T_TTAFStock[RM_Code],$A860,T_TTAFStock[WeekIndex],44),"")</f>
        <v/>
      </c>
      <c r="AW886">
        <f>IFERROR(SUMIFS(T_TTAFStock[TTAF_Qty],T_TTAFStock[RM_Code],$A860,T_TTAFStock[WeekIndex],45),"")</f>
        <v/>
      </c>
      <c r="AX886">
        <f>IFERROR(SUMIFS(T_TTAFStock[TTAF_Qty],T_TTAFStock[RM_Code],$A860,T_TTAFStock[WeekIndex],46),"")</f>
        <v/>
      </c>
      <c r="AY886">
        <f>IFERROR(SUMIFS(T_TTAFStock[TTAF_Qty],T_TTAFStock[RM_Code],$A860,T_TTAFStock[WeekIndex],47),"")</f>
        <v/>
      </c>
      <c r="AZ886">
        <f>IFERROR(SUMIFS(T_TTAFStock[TTAF_Qty],T_TTAFStock[RM_Code],$A860,T_TTAFStock[WeekIndex],48),"")</f>
        <v/>
      </c>
      <c r="BA886">
        <f>IFERROR(SUMIFS(T_TTAFStock[TTAF_Qty],T_TTAFStock[RM_Code],$A860,T_TTAFStock[WeekIndex],49),"")</f>
        <v/>
      </c>
      <c r="BB886">
        <f>IFERROR(SUMIFS(T_TTAFStock[TTAF_Qty],T_TTAFStock[RM_Code],$A860,T_TTAFStock[WeekIndex],50),"")</f>
        <v/>
      </c>
      <c r="BC886">
        <f>IFERROR(SUMIFS(T_TTAFStock[TTAF_Qty],T_TTAFStock[RM_Code],$A860,T_TTAFStock[WeekIndex],51),"")</f>
        <v/>
      </c>
      <c r="BD886">
        <f>IFERROR(SUMIFS(T_TTAFStock[TTAF_Qty],T_TTAFStock[RM_Code],$A860,T_TTAFStock[WeekIndex],52),"")</f>
        <v/>
      </c>
      <c r="BE886">
        <f>IFERROR(SUMIFS(T_TTAFStock[TTAF_Qty],T_TTAFStock[RM_Code],$A860,T_TTAFStock[WeekIndex],53),"")</f>
        <v/>
      </c>
      <c r="BF886">
        <f>IFERROR(SUMIFS(T_TTAFStock[TTAF_Qty],T_TTAFStock[RM_Code],$A860,T_TTAFStock[WeekIndex],54),"")</f>
        <v/>
      </c>
      <c r="BG886">
        <f>IFERROR(SUMIFS(T_TTAFStock[TTAF_Qty],T_TTAFStock[RM_Code],$A860,T_TTAFStock[WeekIndex],55),"")</f>
        <v/>
      </c>
      <c r="BH886">
        <f>IFERROR(SUMIFS(T_TTAFStock[TTAF_Qty],T_TTAFStock[RM_Code],$A860,T_TTAFStock[WeekIndex],56),"")</f>
        <v/>
      </c>
      <c r="BI886">
        <f>IFERROR(SUMIFS(T_TTAFStock[TTAF_Qty],T_TTAFStock[RM_Code],$A860,T_TTAFStock[WeekIndex],57),"")</f>
        <v/>
      </c>
      <c r="BJ886">
        <f>IFERROR(SUMIFS(T_TTAFStock[TTAF_Qty],T_TTAFStock[RM_Code],$A860,T_TTAFStock[WeekIndex],58),"")</f>
        <v/>
      </c>
      <c r="BK886">
        <f>IFERROR(SUMIFS(T_TTAFStock[TTAF_Qty],T_TTAFStock[RM_Code],$A860,T_TTAFStock[WeekIndex],59),"")</f>
        <v/>
      </c>
      <c r="BL886">
        <f>IFERROR(SUMIFS(T_TTAFStock[TTAF_Qty],T_TTAFStock[RM_Code],$A860,T_TTAFStock[WeekIndex],60),"")</f>
        <v/>
      </c>
      <c r="BM886">
        <f>IFERROR(SUMIFS(T_TTAFStock[TTAF_Qty],T_TTAFStock[RM_Code],$A860,T_TTAFStock[WeekIndex],61),"")</f>
        <v/>
      </c>
      <c r="BN886">
        <f>IFERROR(SUMIFS(T_TTAFStock[TTAF_Qty],T_TTAFStock[RM_Code],$A860,T_TTAFStock[WeekIndex],62),"")</f>
        <v/>
      </c>
      <c r="BO886">
        <f>IFERROR(SUMIFS(T_TTAFStock[TTAF_Qty],T_TTAFStock[RM_Code],$A860,T_TTAFStock[WeekIndex],63),"")</f>
        <v/>
      </c>
      <c r="BP886">
        <f>IFERROR(SUMIFS(T_TTAFStock[TTAF_Qty],T_TTAFStock[RM_Code],$A860,T_TTAFStock[WeekIndex],64),"")</f>
        <v/>
      </c>
      <c r="BQ886">
        <f>IFERROR(SUMIFS(T_TTAFStock[TTAF_Qty],T_TTAFStock[RM_Code],$A860,T_TTAFStock[WeekIndex],65),"")</f>
        <v/>
      </c>
      <c r="BR886">
        <f>IFERROR(SUMIFS(T_TTAFStock[TTAF_Qty],T_TTAFStock[RM_Code],$A860,T_TTAFStock[WeekIndex],66),"")</f>
        <v/>
      </c>
      <c r="BS886">
        <f>IFERROR(SUMIFS(T_TTAFStock[TTAF_Qty],T_TTAFStock[RM_Code],$A860,T_TTAFStock[WeekIndex],67),"")</f>
        <v/>
      </c>
      <c r="BT886">
        <f>IFERROR(SUMIFS(T_TTAFStock[TTAF_Qty],T_TTAFStock[RM_Code],$A860,T_TTAFStock[WeekIndex],68),"")</f>
        <v/>
      </c>
      <c r="BU886">
        <f>IFERROR(SUMIFS(T_TTAFStock[TTAF_Qty],T_TTAFStock[RM_Code],$A860,T_TTAFStock[WeekIndex],69),"")</f>
        <v/>
      </c>
      <c r="BV886">
        <f>IFERROR(SUMIFS(T_TTAFStock[TTAF_Qty],T_TTAFStock[RM_Code],$A860,T_TTAFStock[WeekIndex],70),"")</f>
        <v/>
      </c>
      <c r="BW886">
        <f>IFERROR(SUMIFS(T_TTAFStock[TTAF_Qty],T_TTAFStock[RM_Code],$A860,T_TTAFStock[WeekIndex],71),"")</f>
        <v/>
      </c>
      <c r="BX886">
        <f>IFERROR(SUMIFS(T_TTAFStock[TTAF_Qty],T_TTAFStock[RM_Code],$A860,T_TTAFStock[WeekIndex],72),"")</f>
        <v/>
      </c>
      <c r="BY886">
        <f>IFERROR(SUMIFS(T_TTAFStock[TTAF_Qty],T_TTAFStock[RM_Code],$A860,T_TTAFStock[WeekIndex],73),"")</f>
        <v/>
      </c>
      <c r="BZ886">
        <f>IFERROR(SUMIFS(T_TTAFStock[TTAF_Qty],T_TTAFStock[RM_Code],$A860,T_TTAFStock[WeekIndex],74),"")</f>
        <v/>
      </c>
      <c r="CA886">
        <f>IFERROR(SUMIFS(T_TTAFStock[TTAF_Qty],T_TTAFStock[RM_Code],$A860,T_TTAFStock[WeekIndex],75),"")</f>
        <v/>
      </c>
      <c r="CB886">
        <f>IFERROR(SUMIFS(T_TTAFStock[TTAF_Qty],T_TTAFStock[RM_Code],$A860,T_TTAFStock[WeekIndex],76),"")</f>
        <v/>
      </c>
      <c r="CC886">
        <f>IFERROR(SUMIFS(T_TTAFStock[TTAF_Qty],T_TTAFStock[RM_Code],$A860,T_TTAFStock[WeekIndex],77),"")</f>
        <v/>
      </c>
      <c r="CD886">
        <f>IFERROR(SUMIFS(T_TTAFStock[TTAF_Qty],T_TTAFStock[RM_Code],$A860,T_TTAFStock[WeekIndex],78),"")</f>
        <v/>
      </c>
      <c r="CE886">
        <f>IFERROR(SUMIFS(T_TTAFStock[TTAF_Qty],T_TTAFStock[RM_Code],$A860,T_TTAFStock[WeekIndex],79),"")</f>
        <v/>
      </c>
      <c r="CF886">
        <f>IFERROR(SUMIFS(T_TTAFStock[TTAF_Qty],T_TTAFStock[RM_Code],$A860,T_TTAFStock[WeekIndex],80),"")</f>
        <v/>
      </c>
      <c r="CG886">
        <f>IFERROR(SUMIFS(T_TTAFStock[TTAF_Qty],T_TTAFStock[RM_Code],$A860,T_TTAFStock[WeekIndex],81),"")</f>
        <v/>
      </c>
      <c r="CH886">
        <f>IFERROR(SUMIFS(T_TTAFStock[TTAF_Qty],T_TTAFStock[RM_Code],$A860,T_TTAFStock[WeekIndex],82),"")</f>
        <v/>
      </c>
      <c r="CI886">
        <f>IFERROR(SUMIFS(T_TTAFStock[TTAF_Qty],T_TTAFStock[RM_Code],$A860,T_TTAFStock[WeekIndex],83),"")</f>
        <v/>
      </c>
      <c r="CJ886">
        <f>IFERROR(SUMIFS(T_TTAFStock[TTAF_Qty],T_TTAFStock[RM_Code],$A860,T_TTAFStock[WeekIndex],84),"")</f>
        <v/>
      </c>
      <c r="CK886">
        <f>IFERROR(SUMIFS(T_TTAFStock[TTAF_Qty],T_TTAFStock[RM_Code],$A860,T_TTAFStock[WeekIndex],85),"")</f>
        <v/>
      </c>
      <c r="CL886">
        <f>IFERROR(SUMIFS(T_TTAFStock[TTAF_Qty],T_TTAFStock[RM_Code],$A860,T_TTAFStock[WeekIndex],86),"")</f>
        <v/>
      </c>
      <c r="CM886">
        <f>IFERROR(SUMIFS(T_TTAFStock[TTAF_Qty],T_TTAFStock[RM_Code],$A860,T_TTAFStock[WeekIndex],87),"")</f>
        <v/>
      </c>
      <c r="CN886">
        <f>IFERROR(SUMIFS(T_TTAFStock[TTAF_Qty],T_TTAFStock[RM_Code],$A860,T_TTAFStock[WeekIndex],88),"")</f>
        <v/>
      </c>
      <c r="CO886">
        <f>IFERROR(SUMIFS(T_TTAFStock[TTAF_Qty],T_TTAFStock[RM_Code],$A860,T_TTAFStock[WeekIndex],89),"")</f>
        <v/>
      </c>
      <c r="CP886">
        <f>IFERROR(SUMIFS(T_TTAFStock[TTAF_Qty],T_TTAFStock[RM_Code],$A860,T_TTAFStock[WeekIndex],90),"")</f>
        <v/>
      </c>
      <c r="CQ886">
        <f>IFERROR(SUMIFS(T_TTAFStock[TTAF_Qty],T_TTAFStock[RM_Code],$A860,T_TTAFStock[WeekIndex],91),"")</f>
        <v/>
      </c>
      <c r="CR886">
        <f>IFERROR(SUMIFS(T_TTAFStock[TTAF_Qty],T_TTAFStock[RM_Code],$A860,T_TTAFStock[WeekIndex],92),"")</f>
        <v/>
      </c>
      <c r="CS886">
        <f>IFERROR(SUMIFS(T_TTAFStock[TTAF_Qty],T_TTAFStock[RM_Code],$A860,T_TTAFStock[WeekIndex],93),"")</f>
        <v/>
      </c>
      <c r="CT886">
        <f>IFERROR(SUMIFS(T_TTAFStock[TTAF_Qty],T_TTAFStock[RM_Code],$A860,T_TTAFStock[WeekIndex],94),"")</f>
        <v/>
      </c>
      <c r="CU886">
        <f>IFERROR(SUMIFS(T_TTAFStock[TTAF_Qty],T_TTAFStock[RM_Code],$A860,T_TTAFStock[WeekIndex],95),"")</f>
        <v/>
      </c>
      <c r="CV886">
        <f>IFERROR(SUMIFS(T_TTAFStock[TTAF_Qty],T_TTAFStock[RM_Code],$A860,T_TTAFStock[WeekIndex],96),"")</f>
        <v/>
      </c>
      <c r="CW886">
        <f>IFERROR(SUMIFS(T_TTAFStock[TTAF_Qty],T_TTAFStock[RM_Code],$A860,T_TTAFStock[WeekIndex],97),"")</f>
        <v/>
      </c>
      <c r="CX886">
        <f>IFERROR(SUMIFS(T_TTAFStock[TTAF_Qty],T_TTAFStock[RM_Code],$A860,T_TTAFStock[WeekIndex],98),"")</f>
        <v/>
      </c>
      <c r="CY886">
        <f>IFERROR(SUMIFS(T_TTAFStock[TTAF_Qty],T_TTAFStock[RM_Code],$A860,T_TTAFStock[WeekIndex],99),"")</f>
        <v/>
      </c>
      <c r="CZ886">
        <f>IFERROR(SUMIFS(T_TTAFStock[TTAF_Qty],T_TTAFStock[RM_Code],$A860,T_TTAFStock[WeekIndex],100),"")</f>
        <v/>
      </c>
      <c r="DA886">
        <f>IFERROR(SUMIFS(T_TTAFStock[TTAF_Qty],T_TTAFStock[RM_Code],$A860,T_TTAFStock[WeekIndex],101),"")</f>
        <v/>
      </c>
      <c r="DB886">
        <f>IFERROR(SUMIFS(T_TTAFStock[TTAF_Qty],T_TTAFStock[RM_Code],$A860,T_TTAFStock[WeekIndex],102),"")</f>
        <v/>
      </c>
      <c r="DC886">
        <f>IFERROR(SUMIFS(T_TTAFStock[TTAF_Qty],T_TTAFStock[RM_Code],$A860,T_TTAFStock[WeekIndex],103),"")</f>
        <v/>
      </c>
      <c r="DD886">
        <f>IFERROR(SUMIFS(T_TTAFStock[TTAF_Qty],T_TTAFStock[RM_Code],$A860,T_TTAFStock[WeekIndex],104),"")</f>
        <v/>
      </c>
    </row>
    <row r="887">
      <c r="B887" t="inlineStr">
        <is>
          <t>自社在庫(実績,kg)</t>
        </is>
      </c>
      <c r="D887">
        <f>IFERROR(INDEX(E887:DD887,$F$1),"")</f>
        <v/>
      </c>
      <c r="E887">
        <f>IFERROR(SUMIFS(T_SelfStock[Self_Qty],T_SelfStock[RM_Code],$A860,T_SelfStock[WeekIndex],1),"")</f>
        <v/>
      </c>
      <c r="F887">
        <f>IFERROR(SUMIFS(T_SelfStock[Self_Qty],T_SelfStock[RM_Code],$A860,T_SelfStock[WeekIndex],2),"")</f>
        <v/>
      </c>
      <c r="G887">
        <f>IFERROR(SUMIFS(T_SelfStock[Self_Qty],T_SelfStock[RM_Code],$A860,T_SelfStock[WeekIndex],3),"")</f>
        <v/>
      </c>
      <c r="H887">
        <f>IFERROR(SUMIFS(T_SelfStock[Self_Qty],T_SelfStock[RM_Code],$A860,T_SelfStock[WeekIndex],4),"")</f>
        <v/>
      </c>
      <c r="I887">
        <f>IFERROR(SUMIFS(T_SelfStock[Self_Qty],T_SelfStock[RM_Code],$A860,T_SelfStock[WeekIndex],5),"")</f>
        <v/>
      </c>
      <c r="J887">
        <f>IFERROR(SUMIFS(T_SelfStock[Self_Qty],T_SelfStock[RM_Code],$A860,T_SelfStock[WeekIndex],6),"")</f>
        <v/>
      </c>
      <c r="K887">
        <f>IFERROR(SUMIFS(T_SelfStock[Self_Qty],T_SelfStock[RM_Code],$A860,T_SelfStock[WeekIndex],7),"")</f>
        <v/>
      </c>
      <c r="L887">
        <f>IFERROR(SUMIFS(T_SelfStock[Self_Qty],T_SelfStock[RM_Code],$A860,T_SelfStock[WeekIndex],8),"")</f>
        <v/>
      </c>
      <c r="M887">
        <f>IFERROR(SUMIFS(T_SelfStock[Self_Qty],T_SelfStock[RM_Code],$A860,T_SelfStock[WeekIndex],9),"")</f>
        <v/>
      </c>
      <c r="N887">
        <f>IFERROR(SUMIFS(T_SelfStock[Self_Qty],T_SelfStock[RM_Code],$A860,T_SelfStock[WeekIndex],10),"")</f>
        <v/>
      </c>
      <c r="O887">
        <f>IFERROR(SUMIFS(T_SelfStock[Self_Qty],T_SelfStock[RM_Code],$A860,T_SelfStock[WeekIndex],11),"")</f>
        <v/>
      </c>
      <c r="P887">
        <f>IFERROR(SUMIFS(T_SelfStock[Self_Qty],T_SelfStock[RM_Code],$A860,T_SelfStock[WeekIndex],12),"")</f>
        <v/>
      </c>
      <c r="Q887">
        <f>IFERROR(SUMIFS(T_SelfStock[Self_Qty],T_SelfStock[RM_Code],$A860,T_SelfStock[WeekIndex],13),"")</f>
        <v/>
      </c>
      <c r="R887">
        <f>IFERROR(SUMIFS(T_SelfStock[Self_Qty],T_SelfStock[RM_Code],$A860,T_SelfStock[WeekIndex],14),"")</f>
        <v/>
      </c>
      <c r="S887">
        <f>IFERROR(SUMIFS(T_SelfStock[Self_Qty],T_SelfStock[RM_Code],$A860,T_SelfStock[WeekIndex],15),"")</f>
        <v/>
      </c>
      <c r="T887">
        <f>IFERROR(SUMIFS(T_SelfStock[Self_Qty],T_SelfStock[RM_Code],$A860,T_SelfStock[WeekIndex],16),"")</f>
        <v/>
      </c>
      <c r="U887">
        <f>IFERROR(SUMIFS(T_SelfStock[Self_Qty],T_SelfStock[RM_Code],$A860,T_SelfStock[WeekIndex],17),"")</f>
        <v/>
      </c>
      <c r="V887">
        <f>IFERROR(SUMIFS(T_SelfStock[Self_Qty],T_SelfStock[RM_Code],$A860,T_SelfStock[WeekIndex],18),"")</f>
        <v/>
      </c>
      <c r="W887">
        <f>IFERROR(SUMIFS(T_SelfStock[Self_Qty],T_SelfStock[RM_Code],$A860,T_SelfStock[WeekIndex],19),"")</f>
        <v/>
      </c>
      <c r="X887">
        <f>IFERROR(SUMIFS(T_SelfStock[Self_Qty],T_SelfStock[RM_Code],$A860,T_SelfStock[WeekIndex],20),"")</f>
        <v/>
      </c>
      <c r="Y887">
        <f>IFERROR(SUMIFS(T_SelfStock[Self_Qty],T_SelfStock[RM_Code],$A860,T_SelfStock[WeekIndex],21),"")</f>
        <v/>
      </c>
      <c r="Z887">
        <f>IFERROR(SUMIFS(T_SelfStock[Self_Qty],T_SelfStock[RM_Code],$A860,T_SelfStock[WeekIndex],22),"")</f>
        <v/>
      </c>
      <c r="AA887">
        <f>IFERROR(SUMIFS(T_SelfStock[Self_Qty],T_SelfStock[RM_Code],$A860,T_SelfStock[WeekIndex],23),"")</f>
        <v/>
      </c>
      <c r="AB887">
        <f>IFERROR(SUMIFS(T_SelfStock[Self_Qty],T_SelfStock[RM_Code],$A860,T_SelfStock[WeekIndex],24),"")</f>
        <v/>
      </c>
      <c r="AC887">
        <f>IFERROR(SUMIFS(T_SelfStock[Self_Qty],T_SelfStock[RM_Code],$A860,T_SelfStock[WeekIndex],25),"")</f>
        <v/>
      </c>
      <c r="AD887">
        <f>IFERROR(SUMIFS(T_SelfStock[Self_Qty],T_SelfStock[RM_Code],$A860,T_SelfStock[WeekIndex],26),"")</f>
        <v/>
      </c>
      <c r="AE887">
        <f>IFERROR(SUMIFS(T_SelfStock[Self_Qty],T_SelfStock[RM_Code],$A860,T_SelfStock[WeekIndex],27),"")</f>
        <v/>
      </c>
      <c r="AF887">
        <f>IFERROR(SUMIFS(T_SelfStock[Self_Qty],T_SelfStock[RM_Code],$A860,T_SelfStock[WeekIndex],28),"")</f>
        <v/>
      </c>
      <c r="AG887">
        <f>IFERROR(SUMIFS(T_SelfStock[Self_Qty],T_SelfStock[RM_Code],$A860,T_SelfStock[WeekIndex],29),"")</f>
        <v/>
      </c>
      <c r="AH887">
        <f>IFERROR(SUMIFS(T_SelfStock[Self_Qty],T_SelfStock[RM_Code],$A860,T_SelfStock[WeekIndex],30),"")</f>
        <v/>
      </c>
      <c r="AI887">
        <f>IFERROR(SUMIFS(T_SelfStock[Self_Qty],T_SelfStock[RM_Code],$A860,T_SelfStock[WeekIndex],31),"")</f>
        <v/>
      </c>
      <c r="AJ887">
        <f>IFERROR(SUMIFS(T_SelfStock[Self_Qty],T_SelfStock[RM_Code],$A860,T_SelfStock[WeekIndex],32),"")</f>
        <v/>
      </c>
      <c r="AK887">
        <f>IFERROR(SUMIFS(T_SelfStock[Self_Qty],T_SelfStock[RM_Code],$A860,T_SelfStock[WeekIndex],33),"")</f>
        <v/>
      </c>
      <c r="AL887">
        <f>IFERROR(SUMIFS(T_SelfStock[Self_Qty],T_SelfStock[RM_Code],$A860,T_SelfStock[WeekIndex],34),"")</f>
        <v/>
      </c>
      <c r="AM887">
        <f>IFERROR(SUMIFS(T_SelfStock[Self_Qty],T_SelfStock[RM_Code],$A860,T_SelfStock[WeekIndex],35),"")</f>
        <v/>
      </c>
      <c r="AN887">
        <f>IFERROR(SUMIFS(T_SelfStock[Self_Qty],T_SelfStock[RM_Code],$A860,T_SelfStock[WeekIndex],36),"")</f>
        <v/>
      </c>
      <c r="AO887">
        <f>IFERROR(SUMIFS(T_SelfStock[Self_Qty],T_SelfStock[RM_Code],$A860,T_SelfStock[WeekIndex],37),"")</f>
        <v/>
      </c>
      <c r="AP887">
        <f>IFERROR(SUMIFS(T_SelfStock[Self_Qty],T_SelfStock[RM_Code],$A860,T_SelfStock[WeekIndex],38),"")</f>
        <v/>
      </c>
      <c r="AQ887">
        <f>IFERROR(SUMIFS(T_SelfStock[Self_Qty],T_SelfStock[RM_Code],$A860,T_SelfStock[WeekIndex],39),"")</f>
        <v/>
      </c>
      <c r="AR887">
        <f>IFERROR(SUMIFS(T_SelfStock[Self_Qty],T_SelfStock[RM_Code],$A860,T_SelfStock[WeekIndex],40),"")</f>
        <v/>
      </c>
      <c r="AS887">
        <f>IFERROR(SUMIFS(T_SelfStock[Self_Qty],T_SelfStock[RM_Code],$A860,T_SelfStock[WeekIndex],41),"")</f>
        <v/>
      </c>
      <c r="AT887">
        <f>IFERROR(SUMIFS(T_SelfStock[Self_Qty],T_SelfStock[RM_Code],$A860,T_SelfStock[WeekIndex],42),"")</f>
        <v/>
      </c>
      <c r="AU887">
        <f>IFERROR(SUMIFS(T_SelfStock[Self_Qty],T_SelfStock[RM_Code],$A860,T_SelfStock[WeekIndex],43),"")</f>
        <v/>
      </c>
      <c r="AV887">
        <f>IFERROR(SUMIFS(T_SelfStock[Self_Qty],T_SelfStock[RM_Code],$A860,T_SelfStock[WeekIndex],44),"")</f>
        <v/>
      </c>
      <c r="AW887">
        <f>IFERROR(SUMIFS(T_SelfStock[Self_Qty],T_SelfStock[RM_Code],$A860,T_SelfStock[WeekIndex],45),"")</f>
        <v/>
      </c>
      <c r="AX887">
        <f>IFERROR(SUMIFS(T_SelfStock[Self_Qty],T_SelfStock[RM_Code],$A860,T_SelfStock[WeekIndex],46),"")</f>
        <v/>
      </c>
      <c r="AY887">
        <f>IFERROR(SUMIFS(T_SelfStock[Self_Qty],T_SelfStock[RM_Code],$A860,T_SelfStock[WeekIndex],47),"")</f>
        <v/>
      </c>
      <c r="AZ887">
        <f>IFERROR(SUMIFS(T_SelfStock[Self_Qty],T_SelfStock[RM_Code],$A860,T_SelfStock[WeekIndex],48),"")</f>
        <v/>
      </c>
      <c r="BA887">
        <f>IFERROR(SUMIFS(T_SelfStock[Self_Qty],T_SelfStock[RM_Code],$A860,T_SelfStock[WeekIndex],49),"")</f>
        <v/>
      </c>
      <c r="BB887">
        <f>IFERROR(SUMIFS(T_SelfStock[Self_Qty],T_SelfStock[RM_Code],$A860,T_SelfStock[WeekIndex],50),"")</f>
        <v/>
      </c>
      <c r="BC887">
        <f>IFERROR(SUMIFS(T_SelfStock[Self_Qty],T_SelfStock[RM_Code],$A860,T_SelfStock[WeekIndex],51),"")</f>
        <v/>
      </c>
      <c r="BD887">
        <f>IFERROR(SUMIFS(T_SelfStock[Self_Qty],T_SelfStock[RM_Code],$A860,T_SelfStock[WeekIndex],52),"")</f>
        <v/>
      </c>
      <c r="BE887">
        <f>IFERROR(SUMIFS(T_SelfStock[Self_Qty],T_SelfStock[RM_Code],$A860,T_SelfStock[WeekIndex],53),"")</f>
        <v/>
      </c>
      <c r="BF887">
        <f>IFERROR(SUMIFS(T_SelfStock[Self_Qty],T_SelfStock[RM_Code],$A860,T_SelfStock[WeekIndex],54),"")</f>
        <v/>
      </c>
      <c r="BG887">
        <f>IFERROR(SUMIFS(T_SelfStock[Self_Qty],T_SelfStock[RM_Code],$A860,T_SelfStock[WeekIndex],55),"")</f>
        <v/>
      </c>
      <c r="BH887">
        <f>IFERROR(SUMIFS(T_SelfStock[Self_Qty],T_SelfStock[RM_Code],$A860,T_SelfStock[WeekIndex],56),"")</f>
        <v/>
      </c>
      <c r="BI887">
        <f>IFERROR(SUMIFS(T_SelfStock[Self_Qty],T_SelfStock[RM_Code],$A860,T_SelfStock[WeekIndex],57),"")</f>
        <v/>
      </c>
      <c r="BJ887">
        <f>IFERROR(SUMIFS(T_SelfStock[Self_Qty],T_SelfStock[RM_Code],$A860,T_SelfStock[WeekIndex],58),"")</f>
        <v/>
      </c>
      <c r="BK887">
        <f>IFERROR(SUMIFS(T_SelfStock[Self_Qty],T_SelfStock[RM_Code],$A860,T_SelfStock[WeekIndex],59),"")</f>
        <v/>
      </c>
      <c r="BL887">
        <f>IFERROR(SUMIFS(T_SelfStock[Self_Qty],T_SelfStock[RM_Code],$A860,T_SelfStock[WeekIndex],60),"")</f>
        <v/>
      </c>
      <c r="BM887">
        <f>IFERROR(SUMIFS(T_SelfStock[Self_Qty],T_SelfStock[RM_Code],$A860,T_SelfStock[WeekIndex],61),"")</f>
        <v/>
      </c>
      <c r="BN887">
        <f>IFERROR(SUMIFS(T_SelfStock[Self_Qty],T_SelfStock[RM_Code],$A860,T_SelfStock[WeekIndex],62),"")</f>
        <v/>
      </c>
      <c r="BO887">
        <f>IFERROR(SUMIFS(T_SelfStock[Self_Qty],T_SelfStock[RM_Code],$A860,T_SelfStock[WeekIndex],63),"")</f>
        <v/>
      </c>
      <c r="BP887">
        <f>IFERROR(SUMIFS(T_SelfStock[Self_Qty],T_SelfStock[RM_Code],$A860,T_SelfStock[WeekIndex],64),"")</f>
        <v/>
      </c>
      <c r="BQ887">
        <f>IFERROR(SUMIFS(T_SelfStock[Self_Qty],T_SelfStock[RM_Code],$A860,T_SelfStock[WeekIndex],65),"")</f>
        <v/>
      </c>
      <c r="BR887">
        <f>IFERROR(SUMIFS(T_SelfStock[Self_Qty],T_SelfStock[RM_Code],$A860,T_SelfStock[WeekIndex],66),"")</f>
        <v/>
      </c>
      <c r="BS887">
        <f>IFERROR(SUMIFS(T_SelfStock[Self_Qty],T_SelfStock[RM_Code],$A860,T_SelfStock[WeekIndex],67),"")</f>
        <v/>
      </c>
      <c r="BT887">
        <f>IFERROR(SUMIFS(T_SelfStock[Self_Qty],T_SelfStock[RM_Code],$A860,T_SelfStock[WeekIndex],68),"")</f>
        <v/>
      </c>
      <c r="BU887">
        <f>IFERROR(SUMIFS(T_SelfStock[Self_Qty],T_SelfStock[RM_Code],$A860,T_SelfStock[WeekIndex],69),"")</f>
        <v/>
      </c>
      <c r="BV887">
        <f>IFERROR(SUMIFS(T_SelfStock[Self_Qty],T_SelfStock[RM_Code],$A860,T_SelfStock[WeekIndex],70),"")</f>
        <v/>
      </c>
      <c r="BW887">
        <f>IFERROR(SUMIFS(T_SelfStock[Self_Qty],T_SelfStock[RM_Code],$A860,T_SelfStock[WeekIndex],71),"")</f>
        <v/>
      </c>
      <c r="BX887">
        <f>IFERROR(SUMIFS(T_SelfStock[Self_Qty],T_SelfStock[RM_Code],$A860,T_SelfStock[WeekIndex],72),"")</f>
        <v/>
      </c>
      <c r="BY887">
        <f>IFERROR(SUMIFS(T_SelfStock[Self_Qty],T_SelfStock[RM_Code],$A860,T_SelfStock[WeekIndex],73),"")</f>
        <v/>
      </c>
      <c r="BZ887">
        <f>IFERROR(SUMIFS(T_SelfStock[Self_Qty],T_SelfStock[RM_Code],$A860,T_SelfStock[WeekIndex],74),"")</f>
        <v/>
      </c>
      <c r="CA887">
        <f>IFERROR(SUMIFS(T_SelfStock[Self_Qty],T_SelfStock[RM_Code],$A860,T_SelfStock[WeekIndex],75),"")</f>
        <v/>
      </c>
      <c r="CB887">
        <f>IFERROR(SUMIFS(T_SelfStock[Self_Qty],T_SelfStock[RM_Code],$A860,T_SelfStock[WeekIndex],76),"")</f>
        <v/>
      </c>
      <c r="CC887">
        <f>IFERROR(SUMIFS(T_SelfStock[Self_Qty],T_SelfStock[RM_Code],$A860,T_SelfStock[WeekIndex],77),"")</f>
        <v/>
      </c>
      <c r="CD887">
        <f>IFERROR(SUMIFS(T_SelfStock[Self_Qty],T_SelfStock[RM_Code],$A860,T_SelfStock[WeekIndex],78),"")</f>
        <v/>
      </c>
      <c r="CE887">
        <f>IFERROR(SUMIFS(T_SelfStock[Self_Qty],T_SelfStock[RM_Code],$A860,T_SelfStock[WeekIndex],79),"")</f>
        <v/>
      </c>
      <c r="CF887">
        <f>IFERROR(SUMIFS(T_SelfStock[Self_Qty],T_SelfStock[RM_Code],$A860,T_SelfStock[WeekIndex],80),"")</f>
        <v/>
      </c>
      <c r="CG887">
        <f>IFERROR(SUMIFS(T_SelfStock[Self_Qty],T_SelfStock[RM_Code],$A860,T_SelfStock[WeekIndex],81),"")</f>
        <v/>
      </c>
      <c r="CH887">
        <f>IFERROR(SUMIFS(T_SelfStock[Self_Qty],T_SelfStock[RM_Code],$A860,T_SelfStock[WeekIndex],82),"")</f>
        <v/>
      </c>
      <c r="CI887">
        <f>IFERROR(SUMIFS(T_SelfStock[Self_Qty],T_SelfStock[RM_Code],$A860,T_SelfStock[WeekIndex],83),"")</f>
        <v/>
      </c>
      <c r="CJ887">
        <f>IFERROR(SUMIFS(T_SelfStock[Self_Qty],T_SelfStock[RM_Code],$A860,T_SelfStock[WeekIndex],84),"")</f>
        <v/>
      </c>
      <c r="CK887">
        <f>IFERROR(SUMIFS(T_SelfStock[Self_Qty],T_SelfStock[RM_Code],$A860,T_SelfStock[WeekIndex],85),"")</f>
        <v/>
      </c>
      <c r="CL887">
        <f>IFERROR(SUMIFS(T_SelfStock[Self_Qty],T_SelfStock[RM_Code],$A860,T_SelfStock[WeekIndex],86),"")</f>
        <v/>
      </c>
      <c r="CM887">
        <f>IFERROR(SUMIFS(T_SelfStock[Self_Qty],T_SelfStock[RM_Code],$A860,T_SelfStock[WeekIndex],87),"")</f>
        <v/>
      </c>
      <c r="CN887">
        <f>IFERROR(SUMIFS(T_SelfStock[Self_Qty],T_SelfStock[RM_Code],$A860,T_SelfStock[WeekIndex],88),"")</f>
        <v/>
      </c>
      <c r="CO887">
        <f>IFERROR(SUMIFS(T_SelfStock[Self_Qty],T_SelfStock[RM_Code],$A860,T_SelfStock[WeekIndex],89),"")</f>
        <v/>
      </c>
      <c r="CP887">
        <f>IFERROR(SUMIFS(T_SelfStock[Self_Qty],T_SelfStock[RM_Code],$A860,T_SelfStock[WeekIndex],90),"")</f>
        <v/>
      </c>
      <c r="CQ887">
        <f>IFERROR(SUMIFS(T_SelfStock[Self_Qty],T_SelfStock[RM_Code],$A860,T_SelfStock[WeekIndex],91),"")</f>
        <v/>
      </c>
      <c r="CR887">
        <f>IFERROR(SUMIFS(T_SelfStock[Self_Qty],T_SelfStock[RM_Code],$A860,T_SelfStock[WeekIndex],92),"")</f>
        <v/>
      </c>
      <c r="CS887">
        <f>IFERROR(SUMIFS(T_SelfStock[Self_Qty],T_SelfStock[RM_Code],$A860,T_SelfStock[WeekIndex],93),"")</f>
        <v/>
      </c>
      <c r="CT887">
        <f>IFERROR(SUMIFS(T_SelfStock[Self_Qty],T_SelfStock[RM_Code],$A860,T_SelfStock[WeekIndex],94),"")</f>
        <v/>
      </c>
      <c r="CU887">
        <f>IFERROR(SUMIFS(T_SelfStock[Self_Qty],T_SelfStock[RM_Code],$A860,T_SelfStock[WeekIndex],95),"")</f>
        <v/>
      </c>
      <c r="CV887">
        <f>IFERROR(SUMIFS(T_SelfStock[Self_Qty],T_SelfStock[RM_Code],$A860,T_SelfStock[WeekIndex],96),"")</f>
        <v/>
      </c>
      <c r="CW887">
        <f>IFERROR(SUMIFS(T_SelfStock[Self_Qty],T_SelfStock[RM_Code],$A860,T_SelfStock[WeekIndex],97),"")</f>
        <v/>
      </c>
      <c r="CX887">
        <f>IFERROR(SUMIFS(T_SelfStock[Self_Qty],T_SelfStock[RM_Code],$A860,T_SelfStock[WeekIndex],98),"")</f>
        <v/>
      </c>
      <c r="CY887">
        <f>IFERROR(SUMIFS(T_SelfStock[Self_Qty],T_SelfStock[RM_Code],$A860,T_SelfStock[WeekIndex],99),"")</f>
        <v/>
      </c>
      <c r="CZ887">
        <f>IFERROR(SUMIFS(T_SelfStock[Self_Qty],T_SelfStock[RM_Code],$A860,T_SelfStock[WeekIndex],100),"")</f>
        <v/>
      </c>
      <c r="DA887">
        <f>IFERROR(SUMIFS(T_SelfStock[Self_Qty],T_SelfStock[RM_Code],$A860,T_SelfStock[WeekIndex],101),"")</f>
        <v/>
      </c>
      <c r="DB887">
        <f>IFERROR(SUMIFS(T_SelfStock[Self_Qty],T_SelfStock[RM_Code],$A860,T_SelfStock[WeekIndex],102),"")</f>
        <v/>
      </c>
      <c r="DC887">
        <f>IFERROR(SUMIFS(T_SelfStock[Self_Qty],T_SelfStock[RM_Code],$A860,T_SelfStock[WeekIndex],103),"")</f>
        <v/>
      </c>
      <c r="DD887">
        <f>IFERROR(SUMIFS(T_SelfStock[Self_Qty],T_SelfStock[RM_Code],$A860,T_SelfStock[WeekIndex],104),"")</f>
        <v/>
      </c>
    </row>
    <row r="888">
      <c r="B888" s="4" t="inlineStr">
        <is>
          <t>合計在庫(週末時点,kg)</t>
        </is>
      </c>
      <c r="D888" s="24">
        <f>IFERROR(INDEX(E888:DD888,$F$1),"")</f>
        <v/>
      </c>
      <c r="E888">
        <f>'Grid_Stock'!B91</f>
        <v/>
      </c>
      <c r="F888">
        <f>'Grid_Stock'!C91</f>
        <v/>
      </c>
      <c r="G888">
        <f>'Grid_Stock'!D91</f>
        <v/>
      </c>
      <c r="H888">
        <f>'Grid_Stock'!E91</f>
        <v/>
      </c>
      <c r="I888">
        <f>'Grid_Stock'!F91</f>
        <v/>
      </c>
      <c r="J888">
        <f>'Grid_Stock'!G91</f>
        <v/>
      </c>
      <c r="K888">
        <f>'Grid_Stock'!H91</f>
        <v/>
      </c>
      <c r="L888">
        <f>'Grid_Stock'!I91</f>
        <v/>
      </c>
      <c r="M888">
        <f>'Grid_Stock'!J91</f>
        <v/>
      </c>
      <c r="N888">
        <f>'Grid_Stock'!K91</f>
        <v/>
      </c>
      <c r="O888">
        <f>'Grid_Stock'!L91</f>
        <v/>
      </c>
      <c r="P888">
        <f>'Grid_Stock'!M91</f>
        <v/>
      </c>
      <c r="Q888">
        <f>'Grid_Stock'!N91</f>
        <v/>
      </c>
      <c r="R888">
        <f>'Grid_Stock'!O91</f>
        <v/>
      </c>
      <c r="S888">
        <f>'Grid_Stock'!P91</f>
        <v/>
      </c>
      <c r="T888">
        <f>'Grid_Stock'!Q91</f>
        <v/>
      </c>
      <c r="U888">
        <f>'Grid_Stock'!R91</f>
        <v/>
      </c>
      <c r="V888">
        <f>'Grid_Stock'!S91</f>
        <v/>
      </c>
      <c r="W888">
        <f>'Grid_Stock'!T91</f>
        <v/>
      </c>
      <c r="X888">
        <f>'Grid_Stock'!U91</f>
        <v/>
      </c>
      <c r="Y888">
        <f>'Grid_Stock'!V91</f>
        <v/>
      </c>
      <c r="Z888">
        <f>'Grid_Stock'!W91</f>
        <v/>
      </c>
      <c r="AA888">
        <f>'Grid_Stock'!X91</f>
        <v/>
      </c>
      <c r="AB888">
        <f>'Grid_Stock'!Y91</f>
        <v/>
      </c>
      <c r="AC888">
        <f>'Grid_Stock'!Z91</f>
        <v/>
      </c>
      <c r="AD888">
        <f>'Grid_Stock'!AA91</f>
        <v/>
      </c>
      <c r="AE888">
        <f>'Grid_Stock'!AB91</f>
        <v/>
      </c>
      <c r="AF888">
        <f>'Grid_Stock'!AC91</f>
        <v/>
      </c>
      <c r="AG888">
        <f>'Grid_Stock'!AD91</f>
        <v/>
      </c>
      <c r="AH888">
        <f>'Grid_Stock'!AE91</f>
        <v/>
      </c>
      <c r="AI888">
        <f>'Grid_Stock'!AF91</f>
        <v/>
      </c>
      <c r="AJ888">
        <f>'Grid_Stock'!AG91</f>
        <v/>
      </c>
      <c r="AK888">
        <f>'Grid_Stock'!AH91</f>
        <v/>
      </c>
      <c r="AL888">
        <f>'Grid_Stock'!AI91</f>
        <v/>
      </c>
      <c r="AM888">
        <f>'Grid_Stock'!AJ91</f>
        <v/>
      </c>
      <c r="AN888">
        <f>'Grid_Stock'!AK91</f>
        <v/>
      </c>
      <c r="AO888">
        <f>'Grid_Stock'!AL91</f>
        <v/>
      </c>
      <c r="AP888">
        <f>'Grid_Stock'!AM91</f>
        <v/>
      </c>
      <c r="AQ888">
        <f>'Grid_Stock'!AN91</f>
        <v/>
      </c>
      <c r="AR888">
        <f>'Grid_Stock'!AO91</f>
        <v/>
      </c>
      <c r="AS888">
        <f>'Grid_Stock'!AP91</f>
        <v/>
      </c>
      <c r="AT888">
        <f>'Grid_Stock'!AQ91</f>
        <v/>
      </c>
      <c r="AU888">
        <f>'Grid_Stock'!AR91</f>
        <v/>
      </c>
      <c r="AV888">
        <f>'Grid_Stock'!AS91</f>
        <v/>
      </c>
      <c r="AW888">
        <f>'Grid_Stock'!AT91</f>
        <v/>
      </c>
      <c r="AX888">
        <f>'Grid_Stock'!AU91</f>
        <v/>
      </c>
      <c r="AY888">
        <f>'Grid_Stock'!AV91</f>
        <v/>
      </c>
      <c r="AZ888">
        <f>'Grid_Stock'!AW91</f>
        <v/>
      </c>
      <c r="BA888">
        <f>'Grid_Stock'!AX91</f>
        <v/>
      </c>
      <c r="BB888">
        <f>'Grid_Stock'!AY91</f>
        <v/>
      </c>
      <c r="BC888">
        <f>'Grid_Stock'!AZ91</f>
        <v/>
      </c>
      <c r="BD888">
        <f>'Grid_Stock'!BA91</f>
        <v/>
      </c>
      <c r="BE888">
        <f>'Grid_Stock'!BB91</f>
        <v/>
      </c>
      <c r="BF888">
        <f>'Grid_Stock'!BC91</f>
        <v/>
      </c>
      <c r="BG888">
        <f>'Grid_Stock'!BD91</f>
        <v/>
      </c>
      <c r="BH888">
        <f>'Grid_Stock'!BE91</f>
        <v/>
      </c>
      <c r="BI888">
        <f>'Grid_Stock'!BF91</f>
        <v/>
      </c>
      <c r="BJ888">
        <f>'Grid_Stock'!BG91</f>
        <v/>
      </c>
      <c r="BK888">
        <f>'Grid_Stock'!BH91</f>
        <v/>
      </c>
      <c r="BL888">
        <f>'Grid_Stock'!BI91</f>
        <v/>
      </c>
      <c r="BM888">
        <f>'Grid_Stock'!BJ91</f>
        <v/>
      </c>
      <c r="BN888">
        <f>'Grid_Stock'!BK91</f>
        <v/>
      </c>
      <c r="BO888">
        <f>'Grid_Stock'!BL91</f>
        <v/>
      </c>
      <c r="BP888">
        <f>'Grid_Stock'!BM91</f>
        <v/>
      </c>
      <c r="BQ888">
        <f>'Grid_Stock'!BN91</f>
        <v/>
      </c>
      <c r="BR888">
        <f>'Grid_Stock'!BO91</f>
        <v/>
      </c>
      <c r="BS888">
        <f>'Grid_Stock'!BP91</f>
        <v/>
      </c>
      <c r="BT888">
        <f>'Grid_Stock'!BQ91</f>
        <v/>
      </c>
      <c r="BU888">
        <f>'Grid_Stock'!BR91</f>
        <v/>
      </c>
      <c r="BV888">
        <f>'Grid_Stock'!BS91</f>
        <v/>
      </c>
      <c r="BW888">
        <f>'Grid_Stock'!BT91</f>
        <v/>
      </c>
      <c r="BX888">
        <f>'Grid_Stock'!BU91</f>
        <v/>
      </c>
      <c r="BY888">
        <f>'Grid_Stock'!BV91</f>
        <v/>
      </c>
      <c r="BZ888">
        <f>'Grid_Stock'!BW91</f>
        <v/>
      </c>
      <c r="CA888">
        <f>'Grid_Stock'!BX91</f>
        <v/>
      </c>
      <c r="CB888">
        <f>'Grid_Stock'!BY91</f>
        <v/>
      </c>
      <c r="CC888">
        <f>'Grid_Stock'!BZ91</f>
        <v/>
      </c>
      <c r="CD888">
        <f>'Grid_Stock'!CA91</f>
        <v/>
      </c>
      <c r="CE888">
        <f>'Grid_Stock'!CB91</f>
        <v/>
      </c>
      <c r="CF888">
        <f>'Grid_Stock'!CC91</f>
        <v/>
      </c>
      <c r="CG888">
        <f>'Grid_Stock'!CD91</f>
        <v/>
      </c>
      <c r="CH888">
        <f>'Grid_Stock'!CE91</f>
        <v/>
      </c>
      <c r="CI888">
        <f>'Grid_Stock'!CF91</f>
        <v/>
      </c>
      <c r="CJ888">
        <f>'Grid_Stock'!CG91</f>
        <v/>
      </c>
      <c r="CK888">
        <f>'Grid_Stock'!CH91</f>
        <v/>
      </c>
      <c r="CL888">
        <f>'Grid_Stock'!CI91</f>
        <v/>
      </c>
      <c r="CM888">
        <f>'Grid_Stock'!CJ91</f>
        <v/>
      </c>
      <c r="CN888">
        <f>'Grid_Stock'!CK91</f>
        <v/>
      </c>
      <c r="CO888">
        <f>'Grid_Stock'!CL91</f>
        <v/>
      </c>
      <c r="CP888">
        <f>'Grid_Stock'!CM91</f>
        <v/>
      </c>
      <c r="CQ888">
        <f>'Grid_Stock'!CN91</f>
        <v/>
      </c>
      <c r="CR888">
        <f>'Grid_Stock'!CO91</f>
        <v/>
      </c>
      <c r="CS888">
        <f>'Grid_Stock'!CP91</f>
        <v/>
      </c>
      <c r="CT888">
        <f>'Grid_Stock'!CQ91</f>
        <v/>
      </c>
      <c r="CU888">
        <f>'Grid_Stock'!CR91</f>
        <v/>
      </c>
      <c r="CV888">
        <f>'Grid_Stock'!CS91</f>
        <v/>
      </c>
      <c r="CW888">
        <f>'Grid_Stock'!CT91</f>
        <v/>
      </c>
      <c r="CX888">
        <f>'Grid_Stock'!CU91</f>
        <v/>
      </c>
      <c r="CY888">
        <f>'Grid_Stock'!CV91</f>
        <v/>
      </c>
      <c r="CZ888">
        <f>'Grid_Stock'!CW91</f>
        <v/>
      </c>
      <c r="DA888">
        <f>'Grid_Stock'!CX91</f>
        <v/>
      </c>
      <c r="DB888">
        <f>'Grid_Stock'!CY91</f>
        <v/>
      </c>
      <c r="DC888">
        <f>'Grid_Stock'!CZ91</f>
        <v/>
      </c>
      <c r="DD888">
        <f>'Grid_Stock'!DA91</f>
        <v/>
      </c>
    </row>
    <row r="889">
      <c r="B889" s="25" t="inlineStr">
        <is>
          <t>（発注の目安はDashboardの基準在庫[下限/上限]と色分けを参照）</t>
        </is>
      </c>
    </row>
    <row r="891">
      <c r="A891" s="21" t="inlineStr">
        <is>
          <t>CHEM-1600</t>
        </is>
      </c>
      <c r="B891" s="21" t="inlineStr">
        <is>
          <t>BF-1P</t>
        </is>
      </c>
      <c r="C891" s="22" t="n"/>
      <c r="D891" s="21" t="n"/>
      <c r="E891" s="21" t="n"/>
      <c r="F891" s="21" t="n"/>
      <c r="G891" s="21" t="n"/>
      <c r="H891" s="2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  <c r="AA891" s="21" t="n"/>
      <c r="AB891" s="21" t="n"/>
      <c r="AC891" s="21" t="n"/>
      <c r="AD891" s="21" t="n"/>
      <c r="AE891" s="21" t="n"/>
      <c r="AF891" s="21" t="n"/>
      <c r="AG891" s="21" t="n"/>
      <c r="AH891" s="21" t="n"/>
      <c r="AI891" s="21" t="n"/>
      <c r="AJ891" s="21" t="n"/>
      <c r="AK891" s="21" t="n"/>
      <c r="AL891" s="21" t="n"/>
      <c r="AM891" s="21" t="n"/>
      <c r="AN891" s="21" t="n"/>
      <c r="AO891" s="21" t="n"/>
      <c r="AP891" s="21" t="n"/>
      <c r="AQ891" s="21" t="n"/>
      <c r="AR891" s="21" t="n"/>
      <c r="AS891" s="21" t="n"/>
      <c r="AT891" s="21" t="n"/>
      <c r="AU891" s="21" t="n"/>
      <c r="AV891" s="21" t="n"/>
      <c r="AW891" s="21" t="n"/>
      <c r="AX891" s="21" t="n"/>
      <c r="AY891" s="21" t="n"/>
      <c r="AZ891" s="21" t="n"/>
      <c r="BA891" s="21" t="n"/>
      <c r="BB891" s="21" t="n"/>
      <c r="BC891" s="21" t="n"/>
      <c r="BD891" s="21" t="n"/>
      <c r="BE891" s="21" t="n"/>
      <c r="BF891" s="21" t="n"/>
      <c r="BG891" s="21" t="n"/>
      <c r="BH891" s="21" t="n"/>
      <c r="BI891" s="21" t="n"/>
      <c r="BJ891" s="21" t="n"/>
      <c r="BK891" s="21" t="n"/>
      <c r="BL891" s="21" t="n"/>
      <c r="BM891" s="21" t="n"/>
      <c r="BN891" s="21" t="n"/>
      <c r="BO891" s="21" t="n"/>
      <c r="BP891" s="21" t="n"/>
      <c r="BQ891" s="21" t="n"/>
      <c r="BR891" s="21" t="n"/>
      <c r="BS891" s="21" t="n"/>
      <c r="BT891" s="21" t="n"/>
      <c r="BU891" s="21" t="n"/>
      <c r="BV891" s="21" t="n"/>
      <c r="BW891" s="21" t="n"/>
      <c r="BX891" s="21" t="n"/>
      <c r="BY891" s="21" t="n"/>
      <c r="BZ891" s="21" t="n"/>
      <c r="CA891" s="21" t="n"/>
      <c r="CB891" s="21" t="n"/>
      <c r="CC891" s="21" t="n"/>
      <c r="CD891" s="21" t="n"/>
      <c r="CE891" s="21" t="n"/>
      <c r="CF891" s="21" t="n"/>
      <c r="CG891" s="21" t="n"/>
      <c r="CH891" s="21" t="n"/>
      <c r="CI891" s="21" t="n"/>
      <c r="CJ891" s="21" t="n"/>
      <c r="CK891" s="21" t="n"/>
      <c r="CL891" s="21" t="n"/>
      <c r="CM891" s="21" t="n"/>
      <c r="CN891" s="21" t="n"/>
      <c r="CO891" s="21" t="n"/>
      <c r="CP891" s="21" t="n"/>
      <c r="CQ891" s="21" t="n"/>
      <c r="CR891" s="21" t="n"/>
      <c r="CS891" s="21" t="n"/>
      <c r="CT891" s="21" t="n"/>
      <c r="CU891" s="21" t="n"/>
      <c r="CV891" s="21" t="n"/>
      <c r="CW891" s="21" t="n"/>
      <c r="CX891" s="21" t="n"/>
      <c r="CY891" s="21" t="n"/>
      <c r="CZ891" s="21" t="n"/>
      <c r="DA891" s="21" t="n"/>
      <c r="DB891" s="21" t="n"/>
      <c r="DC891" s="21" t="n"/>
      <c r="DD891" s="21" t="n"/>
    </row>
    <row r="892">
      <c r="B892" t="inlineStr">
        <is>
          <t>TSP-219</t>
        </is>
      </c>
      <c r="C892" t="inlineStr">
        <is>
          <t>No. of batches</t>
        </is>
      </c>
      <c r="D892">
        <f>IFERROR(INDEX(E892:DD892,$F$1),"")</f>
        <v/>
      </c>
      <c r="E892">
        <f>IFERROR(INDEX(PP_Grid[#Data],$DE892,2),0)</f>
        <v/>
      </c>
      <c r="F892">
        <f>IFERROR(INDEX(PP_Grid[#Data],$DE892,3),0)</f>
        <v/>
      </c>
      <c r="G892">
        <f>IFERROR(INDEX(PP_Grid[#Data],$DE892,4),0)</f>
        <v/>
      </c>
      <c r="H892">
        <f>IFERROR(INDEX(PP_Grid[#Data],$DE892,5),0)</f>
        <v/>
      </c>
      <c r="I892">
        <f>IFERROR(INDEX(PP_Grid[#Data],$DE892,6),0)</f>
        <v/>
      </c>
      <c r="J892">
        <f>IFERROR(INDEX(PP_Grid[#Data],$DE892,7),0)</f>
        <v/>
      </c>
      <c r="K892">
        <f>IFERROR(INDEX(PP_Grid[#Data],$DE892,8),0)</f>
        <v/>
      </c>
      <c r="L892">
        <f>IFERROR(INDEX(PP_Grid[#Data],$DE892,9),0)</f>
        <v/>
      </c>
      <c r="M892">
        <f>IFERROR(INDEX(PP_Grid[#Data],$DE892,10),0)</f>
        <v/>
      </c>
      <c r="N892">
        <f>IFERROR(INDEX(PP_Grid[#Data],$DE892,11),0)</f>
        <v/>
      </c>
      <c r="O892">
        <f>IFERROR(INDEX(PP_Grid[#Data],$DE892,12),0)</f>
        <v/>
      </c>
      <c r="P892">
        <f>IFERROR(INDEX(PP_Grid[#Data],$DE892,13),0)</f>
        <v/>
      </c>
      <c r="Q892">
        <f>IFERROR(INDEX(PP_Grid[#Data],$DE892,14),0)</f>
        <v/>
      </c>
      <c r="R892">
        <f>IFERROR(INDEX(PP_Grid[#Data],$DE892,15),0)</f>
        <v/>
      </c>
      <c r="S892">
        <f>IFERROR(INDEX(PP_Grid[#Data],$DE892,16),0)</f>
        <v/>
      </c>
      <c r="T892">
        <f>IFERROR(INDEX(PP_Grid[#Data],$DE892,17),0)</f>
        <v/>
      </c>
      <c r="U892">
        <f>IFERROR(INDEX(PP_Grid[#Data],$DE892,18),0)</f>
        <v/>
      </c>
      <c r="V892">
        <f>IFERROR(INDEX(PP_Grid[#Data],$DE892,19),0)</f>
        <v/>
      </c>
      <c r="W892">
        <f>IFERROR(INDEX(PP_Grid[#Data],$DE892,20),0)</f>
        <v/>
      </c>
      <c r="X892">
        <f>IFERROR(INDEX(PP_Grid[#Data],$DE892,21),0)</f>
        <v/>
      </c>
      <c r="Y892">
        <f>IFERROR(INDEX(PP_Grid[#Data],$DE892,22),0)</f>
        <v/>
      </c>
      <c r="Z892">
        <f>IFERROR(INDEX(PP_Grid[#Data],$DE892,23),0)</f>
        <v/>
      </c>
      <c r="AA892">
        <f>IFERROR(INDEX(PP_Grid[#Data],$DE892,24),0)</f>
        <v/>
      </c>
      <c r="AB892">
        <f>IFERROR(INDEX(PP_Grid[#Data],$DE892,25),0)</f>
        <v/>
      </c>
      <c r="AC892">
        <f>IFERROR(INDEX(PP_Grid[#Data],$DE892,26),0)</f>
        <v/>
      </c>
      <c r="AD892">
        <f>IFERROR(INDEX(PP_Grid[#Data],$DE892,27),0)</f>
        <v/>
      </c>
      <c r="AE892">
        <f>IFERROR(INDEX(PP_Grid[#Data],$DE892,28),0)</f>
        <v/>
      </c>
      <c r="AF892">
        <f>IFERROR(INDEX(PP_Grid[#Data],$DE892,29),0)</f>
        <v/>
      </c>
      <c r="AG892">
        <f>IFERROR(INDEX(PP_Grid[#Data],$DE892,30),0)</f>
        <v/>
      </c>
      <c r="AH892">
        <f>IFERROR(INDEX(PP_Grid[#Data],$DE892,31),0)</f>
        <v/>
      </c>
      <c r="AI892">
        <f>IFERROR(INDEX(PP_Grid[#Data],$DE892,32),0)</f>
        <v/>
      </c>
      <c r="AJ892">
        <f>IFERROR(INDEX(PP_Grid[#Data],$DE892,33),0)</f>
        <v/>
      </c>
      <c r="AK892">
        <f>IFERROR(INDEX(PP_Grid[#Data],$DE892,34),0)</f>
        <v/>
      </c>
      <c r="AL892">
        <f>IFERROR(INDEX(PP_Grid[#Data],$DE892,35),0)</f>
        <v/>
      </c>
      <c r="AM892">
        <f>IFERROR(INDEX(PP_Grid[#Data],$DE892,36),0)</f>
        <v/>
      </c>
      <c r="AN892">
        <f>IFERROR(INDEX(PP_Grid[#Data],$DE892,37),0)</f>
        <v/>
      </c>
      <c r="AO892">
        <f>IFERROR(INDEX(PP_Grid[#Data],$DE892,38),0)</f>
        <v/>
      </c>
      <c r="AP892">
        <f>IFERROR(INDEX(PP_Grid[#Data],$DE892,39),0)</f>
        <v/>
      </c>
      <c r="AQ892">
        <f>IFERROR(INDEX(PP_Grid[#Data],$DE892,40),0)</f>
        <v/>
      </c>
      <c r="AR892">
        <f>IFERROR(INDEX(PP_Grid[#Data],$DE892,41),0)</f>
        <v/>
      </c>
      <c r="AS892">
        <f>IFERROR(INDEX(PP_Grid[#Data],$DE892,42),0)</f>
        <v/>
      </c>
      <c r="AT892">
        <f>IFERROR(INDEX(PP_Grid[#Data],$DE892,43),0)</f>
        <v/>
      </c>
      <c r="AU892">
        <f>IFERROR(INDEX(PP_Grid[#Data],$DE892,44),0)</f>
        <v/>
      </c>
      <c r="AV892">
        <f>IFERROR(INDEX(PP_Grid[#Data],$DE892,45),0)</f>
        <v/>
      </c>
      <c r="AW892">
        <f>IFERROR(INDEX(PP_Grid[#Data],$DE892,46),0)</f>
        <v/>
      </c>
      <c r="AX892">
        <f>IFERROR(INDEX(PP_Grid[#Data],$DE892,47),0)</f>
        <v/>
      </c>
      <c r="AY892">
        <f>IFERROR(INDEX(PP_Grid[#Data],$DE892,48),0)</f>
        <v/>
      </c>
      <c r="AZ892">
        <f>IFERROR(INDEX(PP_Grid[#Data],$DE892,49),0)</f>
        <v/>
      </c>
      <c r="BA892">
        <f>IFERROR(INDEX(PP_Grid[#Data],$DE892,50),0)</f>
        <v/>
      </c>
      <c r="BB892">
        <f>IFERROR(INDEX(PP_Grid[#Data],$DE892,51),0)</f>
        <v/>
      </c>
      <c r="BC892">
        <f>IFERROR(INDEX(PP_Grid[#Data],$DE892,52),0)</f>
        <v/>
      </c>
      <c r="BD892">
        <f>IFERROR(INDEX(PP_Grid[#Data],$DE892,53),0)</f>
        <v/>
      </c>
      <c r="BE892">
        <f>IFERROR(INDEX(PP_Grid[#Data],$DE892,54),0)</f>
        <v/>
      </c>
      <c r="BF892">
        <f>IFERROR(INDEX(PP_Grid[#Data],$DE892,55),0)</f>
        <v/>
      </c>
      <c r="BG892">
        <f>IFERROR(INDEX(PP_Grid[#Data],$DE892,56),0)</f>
        <v/>
      </c>
      <c r="BH892">
        <f>IFERROR(INDEX(PP_Grid[#Data],$DE892,57),0)</f>
        <v/>
      </c>
      <c r="BI892">
        <f>IFERROR(INDEX(PP_Grid[#Data],$DE892,58),0)</f>
        <v/>
      </c>
      <c r="BJ892">
        <f>IFERROR(INDEX(PP_Grid[#Data],$DE892,59),0)</f>
        <v/>
      </c>
      <c r="BK892">
        <f>IFERROR(INDEX(PP_Grid[#Data],$DE892,60),0)</f>
        <v/>
      </c>
      <c r="BL892">
        <f>IFERROR(INDEX(PP_Grid[#Data],$DE892,61),0)</f>
        <v/>
      </c>
      <c r="BM892">
        <f>IFERROR(INDEX(PP_Grid[#Data],$DE892,62),0)</f>
        <v/>
      </c>
      <c r="BN892">
        <f>IFERROR(INDEX(PP_Grid[#Data],$DE892,63),0)</f>
        <v/>
      </c>
      <c r="BO892">
        <f>IFERROR(INDEX(PP_Grid[#Data],$DE892,64),0)</f>
        <v/>
      </c>
      <c r="BP892">
        <f>IFERROR(INDEX(PP_Grid[#Data],$DE892,65),0)</f>
        <v/>
      </c>
      <c r="BQ892">
        <f>IFERROR(INDEX(PP_Grid[#Data],$DE892,66),0)</f>
        <v/>
      </c>
      <c r="BR892">
        <f>IFERROR(INDEX(PP_Grid[#Data],$DE892,67),0)</f>
        <v/>
      </c>
      <c r="BS892">
        <f>IFERROR(INDEX(PP_Grid[#Data],$DE892,68),0)</f>
        <v/>
      </c>
      <c r="BT892">
        <f>IFERROR(INDEX(PP_Grid[#Data],$DE892,69),0)</f>
        <v/>
      </c>
      <c r="BU892">
        <f>IFERROR(INDEX(PP_Grid[#Data],$DE892,70),0)</f>
        <v/>
      </c>
      <c r="BV892">
        <f>IFERROR(INDEX(PP_Grid[#Data],$DE892,71),0)</f>
        <v/>
      </c>
      <c r="BW892">
        <f>IFERROR(INDEX(PP_Grid[#Data],$DE892,72),0)</f>
        <v/>
      </c>
      <c r="BX892">
        <f>IFERROR(INDEX(PP_Grid[#Data],$DE892,73),0)</f>
        <v/>
      </c>
      <c r="BY892">
        <f>IFERROR(INDEX(PP_Grid[#Data],$DE892,74),0)</f>
        <v/>
      </c>
      <c r="BZ892">
        <f>IFERROR(INDEX(PP_Grid[#Data],$DE892,75),0)</f>
        <v/>
      </c>
      <c r="CA892">
        <f>IFERROR(INDEX(PP_Grid[#Data],$DE892,76),0)</f>
        <v/>
      </c>
      <c r="CB892">
        <f>IFERROR(INDEX(PP_Grid[#Data],$DE892,77),0)</f>
        <v/>
      </c>
      <c r="CC892">
        <f>IFERROR(INDEX(PP_Grid[#Data],$DE892,78),0)</f>
        <v/>
      </c>
      <c r="CD892">
        <f>IFERROR(INDEX(PP_Grid[#Data],$DE892,79),0)</f>
        <v/>
      </c>
      <c r="CE892">
        <f>IFERROR(INDEX(PP_Grid[#Data],$DE892,80),0)</f>
        <v/>
      </c>
      <c r="CF892">
        <f>IFERROR(INDEX(PP_Grid[#Data],$DE892,81),0)</f>
        <v/>
      </c>
      <c r="CG892">
        <f>IFERROR(INDEX(PP_Grid[#Data],$DE892,82),0)</f>
        <v/>
      </c>
      <c r="CH892">
        <f>IFERROR(INDEX(PP_Grid[#Data],$DE892,83),0)</f>
        <v/>
      </c>
      <c r="CI892">
        <f>IFERROR(INDEX(PP_Grid[#Data],$DE892,84),0)</f>
        <v/>
      </c>
      <c r="CJ892">
        <f>IFERROR(INDEX(PP_Grid[#Data],$DE892,85),0)</f>
        <v/>
      </c>
      <c r="CK892">
        <f>IFERROR(INDEX(PP_Grid[#Data],$DE892,86),0)</f>
        <v/>
      </c>
      <c r="CL892">
        <f>IFERROR(INDEX(PP_Grid[#Data],$DE892,87),0)</f>
        <v/>
      </c>
      <c r="CM892">
        <f>IFERROR(INDEX(PP_Grid[#Data],$DE892,88),0)</f>
        <v/>
      </c>
      <c r="CN892">
        <f>IFERROR(INDEX(PP_Grid[#Data],$DE892,89),0)</f>
        <v/>
      </c>
      <c r="CO892">
        <f>IFERROR(INDEX(PP_Grid[#Data],$DE892,90),0)</f>
        <v/>
      </c>
      <c r="CP892">
        <f>IFERROR(INDEX(PP_Grid[#Data],$DE892,91),0)</f>
        <v/>
      </c>
      <c r="CQ892">
        <f>IFERROR(INDEX(PP_Grid[#Data],$DE892,92),0)</f>
        <v/>
      </c>
      <c r="CR892">
        <f>IFERROR(INDEX(PP_Grid[#Data],$DE892,93),0)</f>
        <v/>
      </c>
      <c r="CS892">
        <f>IFERROR(INDEX(PP_Grid[#Data],$DE892,94),0)</f>
        <v/>
      </c>
      <c r="CT892">
        <f>IFERROR(INDEX(PP_Grid[#Data],$DE892,95),0)</f>
        <v/>
      </c>
      <c r="CU892">
        <f>IFERROR(INDEX(PP_Grid[#Data],$DE892,96),0)</f>
        <v/>
      </c>
      <c r="CV892">
        <f>IFERROR(INDEX(PP_Grid[#Data],$DE892,97),0)</f>
        <v/>
      </c>
      <c r="CW892">
        <f>IFERROR(INDEX(PP_Grid[#Data],$DE892,98),0)</f>
        <v/>
      </c>
      <c r="CX892">
        <f>IFERROR(INDEX(PP_Grid[#Data],$DE892,99),0)</f>
        <v/>
      </c>
      <c r="CY892">
        <f>IFERROR(INDEX(PP_Grid[#Data],$DE892,100),0)</f>
        <v/>
      </c>
      <c r="CZ892">
        <f>IFERROR(INDEX(PP_Grid[#Data],$DE892,101),0)</f>
        <v/>
      </c>
      <c r="DA892">
        <f>IFERROR(INDEX(PP_Grid[#Data],$DE892,102),0)</f>
        <v/>
      </c>
      <c r="DB892">
        <f>IFERROR(INDEX(PP_Grid[#Data],$DE892,103),0)</f>
        <v/>
      </c>
      <c r="DC892">
        <f>IFERROR(INDEX(PP_Grid[#Data],$DE892,104),0)</f>
        <v/>
      </c>
      <c r="DD892">
        <f>IFERROR(INDEX(PP_Grid[#Data],$DE892,105),0)</f>
        <v/>
      </c>
      <c r="DE892" s="7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SUMIFS(M_BOM[RM_Qty_Per_Batch],M_BOM[Intermediate],$B892,M_BOM[RM_Code],$A891)</f>
        <v/>
      </c>
      <c r="D893">
        <f>IFERROR(INDEX(E893:DD893,$F$1),"")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  <c r="DD893">
        <f>$C893*DD892</f>
        <v/>
      </c>
    </row>
    <row r="894">
      <c r="B894" t="inlineStr">
        <is>
          <t>TSP-828</t>
        </is>
      </c>
      <c r="C894" t="inlineStr">
        <is>
          <t>No. of batches</t>
        </is>
      </c>
      <c r="D894">
        <f>IFERROR(INDEX(E894:DD894,$F$1),"")</f>
        <v/>
      </c>
      <c r="E894">
        <f>IFERROR(INDEX(PP_Grid[#Data],$DE894,2),0)</f>
        <v/>
      </c>
      <c r="F894">
        <f>IFERROR(INDEX(PP_Grid[#Data],$DE894,3),0)</f>
        <v/>
      </c>
      <c r="G894">
        <f>IFERROR(INDEX(PP_Grid[#Data],$DE894,4),0)</f>
        <v/>
      </c>
      <c r="H894">
        <f>IFERROR(INDEX(PP_Grid[#Data],$DE894,5),0)</f>
        <v/>
      </c>
      <c r="I894">
        <f>IFERROR(INDEX(PP_Grid[#Data],$DE894,6),0)</f>
        <v/>
      </c>
      <c r="J894">
        <f>IFERROR(INDEX(PP_Grid[#Data],$DE894,7),0)</f>
        <v/>
      </c>
      <c r="K894">
        <f>IFERROR(INDEX(PP_Grid[#Data],$DE894,8),0)</f>
        <v/>
      </c>
      <c r="L894">
        <f>IFERROR(INDEX(PP_Grid[#Data],$DE894,9),0)</f>
        <v/>
      </c>
      <c r="M894">
        <f>IFERROR(INDEX(PP_Grid[#Data],$DE894,10),0)</f>
        <v/>
      </c>
      <c r="N894">
        <f>IFERROR(INDEX(PP_Grid[#Data],$DE894,11),0)</f>
        <v/>
      </c>
      <c r="O894">
        <f>IFERROR(INDEX(PP_Grid[#Data],$DE894,12),0)</f>
        <v/>
      </c>
      <c r="P894">
        <f>IFERROR(INDEX(PP_Grid[#Data],$DE894,13),0)</f>
        <v/>
      </c>
      <c r="Q894">
        <f>IFERROR(INDEX(PP_Grid[#Data],$DE894,14),0)</f>
        <v/>
      </c>
      <c r="R894">
        <f>IFERROR(INDEX(PP_Grid[#Data],$DE894,15),0)</f>
        <v/>
      </c>
      <c r="S894">
        <f>IFERROR(INDEX(PP_Grid[#Data],$DE894,16),0)</f>
        <v/>
      </c>
      <c r="T894">
        <f>IFERROR(INDEX(PP_Grid[#Data],$DE894,17),0)</f>
        <v/>
      </c>
      <c r="U894">
        <f>IFERROR(INDEX(PP_Grid[#Data],$DE894,18),0)</f>
        <v/>
      </c>
      <c r="V894">
        <f>IFERROR(INDEX(PP_Grid[#Data],$DE894,19),0)</f>
        <v/>
      </c>
      <c r="W894">
        <f>IFERROR(INDEX(PP_Grid[#Data],$DE894,20),0)</f>
        <v/>
      </c>
      <c r="X894">
        <f>IFERROR(INDEX(PP_Grid[#Data],$DE894,21),0)</f>
        <v/>
      </c>
      <c r="Y894">
        <f>IFERROR(INDEX(PP_Grid[#Data],$DE894,22),0)</f>
        <v/>
      </c>
      <c r="Z894">
        <f>IFERROR(INDEX(PP_Grid[#Data],$DE894,23),0)</f>
        <v/>
      </c>
      <c r="AA894">
        <f>IFERROR(INDEX(PP_Grid[#Data],$DE894,24),0)</f>
        <v/>
      </c>
      <c r="AB894">
        <f>IFERROR(INDEX(PP_Grid[#Data],$DE894,25),0)</f>
        <v/>
      </c>
      <c r="AC894">
        <f>IFERROR(INDEX(PP_Grid[#Data],$DE894,26),0)</f>
        <v/>
      </c>
      <c r="AD894">
        <f>IFERROR(INDEX(PP_Grid[#Data],$DE894,27),0)</f>
        <v/>
      </c>
      <c r="AE894">
        <f>IFERROR(INDEX(PP_Grid[#Data],$DE894,28),0)</f>
        <v/>
      </c>
      <c r="AF894">
        <f>IFERROR(INDEX(PP_Grid[#Data],$DE894,29),0)</f>
        <v/>
      </c>
      <c r="AG894">
        <f>IFERROR(INDEX(PP_Grid[#Data],$DE894,30),0)</f>
        <v/>
      </c>
      <c r="AH894">
        <f>IFERROR(INDEX(PP_Grid[#Data],$DE894,31),0)</f>
        <v/>
      </c>
      <c r="AI894">
        <f>IFERROR(INDEX(PP_Grid[#Data],$DE894,32),0)</f>
        <v/>
      </c>
      <c r="AJ894">
        <f>IFERROR(INDEX(PP_Grid[#Data],$DE894,33),0)</f>
        <v/>
      </c>
      <c r="AK894">
        <f>IFERROR(INDEX(PP_Grid[#Data],$DE894,34),0)</f>
        <v/>
      </c>
      <c r="AL894">
        <f>IFERROR(INDEX(PP_Grid[#Data],$DE894,35),0)</f>
        <v/>
      </c>
      <c r="AM894">
        <f>IFERROR(INDEX(PP_Grid[#Data],$DE894,36),0)</f>
        <v/>
      </c>
      <c r="AN894">
        <f>IFERROR(INDEX(PP_Grid[#Data],$DE894,37),0)</f>
        <v/>
      </c>
      <c r="AO894">
        <f>IFERROR(INDEX(PP_Grid[#Data],$DE894,38),0)</f>
        <v/>
      </c>
      <c r="AP894">
        <f>IFERROR(INDEX(PP_Grid[#Data],$DE894,39),0)</f>
        <v/>
      </c>
      <c r="AQ894">
        <f>IFERROR(INDEX(PP_Grid[#Data],$DE894,40),0)</f>
        <v/>
      </c>
      <c r="AR894">
        <f>IFERROR(INDEX(PP_Grid[#Data],$DE894,41),0)</f>
        <v/>
      </c>
      <c r="AS894">
        <f>IFERROR(INDEX(PP_Grid[#Data],$DE894,42),0)</f>
        <v/>
      </c>
      <c r="AT894">
        <f>IFERROR(INDEX(PP_Grid[#Data],$DE894,43),0)</f>
        <v/>
      </c>
      <c r="AU894">
        <f>IFERROR(INDEX(PP_Grid[#Data],$DE894,44),0)</f>
        <v/>
      </c>
      <c r="AV894">
        <f>IFERROR(INDEX(PP_Grid[#Data],$DE894,45),0)</f>
        <v/>
      </c>
      <c r="AW894">
        <f>IFERROR(INDEX(PP_Grid[#Data],$DE894,46),0)</f>
        <v/>
      </c>
      <c r="AX894">
        <f>IFERROR(INDEX(PP_Grid[#Data],$DE894,47),0)</f>
        <v/>
      </c>
      <c r="AY894">
        <f>IFERROR(INDEX(PP_Grid[#Data],$DE894,48),0)</f>
        <v/>
      </c>
      <c r="AZ894">
        <f>IFERROR(INDEX(PP_Grid[#Data],$DE894,49),0)</f>
        <v/>
      </c>
      <c r="BA894">
        <f>IFERROR(INDEX(PP_Grid[#Data],$DE894,50),0)</f>
        <v/>
      </c>
      <c r="BB894">
        <f>IFERROR(INDEX(PP_Grid[#Data],$DE894,51),0)</f>
        <v/>
      </c>
      <c r="BC894">
        <f>IFERROR(INDEX(PP_Grid[#Data],$DE894,52),0)</f>
        <v/>
      </c>
      <c r="BD894">
        <f>IFERROR(INDEX(PP_Grid[#Data],$DE894,53),0)</f>
        <v/>
      </c>
      <c r="BE894">
        <f>IFERROR(INDEX(PP_Grid[#Data],$DE894,54),0)</f>
        <v/>
      </c>
      <c r="BF894">
        <f>IFERROR(INDEX(PP_Grid[#Data],$DE894,55),0)</f>
        <v/>
      </c>
      <c r="BG894">
        <f>IFERROR(INDEX(PP_Grid[#Data],$DE894,56),0)</f>
        <v/>
      </c>
      <c r="BH894">
        <f>IFERROR(INDEX(PP_Grid[#Data],$DE894,57),0)</f>
        <v/>
      </c>
      <c r="BI894">
        <f>IFERROR(INDEX(PP_Grid[#Data],$DE894,58),0)</f>
        <v/>
      </c>
      <c r="BJ894">
        <f>IFERROR(INDEX(PP_Grid[#Data],$DE894,59),0)</f>
        <v/>
      </c>
      <c r="BK894">
        <f>IFERROR(INDEX(PP_Grid[#Data],$DE894,60),0)</f>
        <v/>
      </c>
      <c r="BL894">
        <f>IFERROR(INDEX(PP_Grid[#Data],$DE894,61),0)</f>
        <v/>
      </c>
      <c r="BM894">
        <f>IFERROR(INDEX(PP_Grid[#Data],$DE894,62),0)</f>
        <v/>
      </c>
      <c r="BN894">
        <f>IFERROR(INDEX(PP_Grid[#Data],$DE894,63),0)</f>
        <v/>
      </c>
      <c r="BO894">
        <f>IFERROR(INDEX(PP_Grid[#Data],$DE894,64),0)</f>
        <v/>
      </c>
      <c r="BP894">
        <f>IFERROR(INDEX(PP_Grid[#Data],$DE894,65),0)</f>
        <v/>
      </c>
      <c r="BQ894">
        <f>IFERROR(INDEX(PP_Grid[#Data],$DE894,66),0)</f>
        <v/>
      </c>
      <c r="BR894">
        <f>IFERROR(INDEX(PP_Grid[#Data],$DE894,67),0)</f>
        <v/>
      </c>
      <c r="BS894">
        <f>IFERROR(INDEX(PP_Grid[#Data],$DE894,68),0)</f>
        <v/>
      </c>
      <c r="BT894">
        <f>IFERROR(INDEX(PP_Grid[#Data],$DE894,69),0)</f>
        <v/>
      </c>
      <c r="BU894">
        <f>IFERROR(INDEX(PP_Grid[#Data],$DE894,70),0)</f>
        <v/>
      </c>
      <c r="BV894">
        <f>IFERROR(INDEX(PP_Grid[#Data],$DE894,71),0)</f>
        <v/>
      </c>
      <c r="BW894">
        <f>IFERROR(INDEX(PP_Grid[#Data],$DE894,72),0)</f>
        <v/>
      </c>
      <c r="BX894">
        <f>IFERROR(INDEX(PP_Grid[#Data],$DE894,73),0)</f>
        <v/>
      </c>
      <c r="BY894">
        <f>IFERROR(INDEX(PP_Grid[#Data],$DE894,74),0)</f>
        <v/>
      </c>
      <c r="BZ894">
        <f>IFERROR(INDEX(PP_Grid[#Data],$DE894,75),0)</f>
        <v/>
      </c>
      <c r="CA894">
        <f>IFERROR(INDEX(PP_Grid[#Data],$DE894,76),0)</f>
        <v/>
      </c>
      <c r="CB894">
        <f>IFERROR(INDEX(PP_Grid[#Data],$DE894,77),0)</f>
        <v/>
      </c>
      <c r="CC894">
        <f>IFERROR(INDEX(PP_Grid[#Data],$DE894,78),0)</f>
        <v/>
      </c>
      <c r="CD894">
        <f>IFERROR(INDEX(PP_Grid[#Data],$DE894,79),0)</f>
        <v/>
      </c>
      <c r="CE894">
        <f>IFERROR(INDEX(PP_Grid[#Data],$DE894,80),0)</f>
        <v/>
      </c>
      <c r="CF894">
        <f>IFERROR(INDEX(PP_Grid[#Data],$DE894,81),0)</f>
        <v/>
      </c>
      <c r="CG894">
        <f>IFERROR(INDEX(PP_Grid[#Data],$DE894,82),0)</f>
        <v/>
      </c>
      <c r="CH894">
        <f>IFERROR(INDEX(PP_Grid[#Data],$DE894,83),0)</f>
        <v/>
      </c>
      <c r="CI894">
        <f>IFERROR(INDEX(PP_Grid[#Data],$DE894,84),0)</f>
        <v/>
      </c>
      <c r="CJ894">
        <f>IFERROR(INDEX(PP_Grid[#Data],$DE894,85),0)</f>
        <v/>
      </c>
      <c r="CK894">
        <f>IFERROR(INDEX(PP_Grid[#Data],$DE894,86),0)</f>
        <v/>
      </c>
      <c r="CL894">
        <f>IFERROR(INDEX(PP_Grid[#Data],$DE894,87),0)</f>
        <v/>
      </c>
      <c r="CM894">
        <f>IFERROR(INDEX(PP_Grid[#Data],$DE894,88),0)</f>
        <v/>
      </c>
      <c r="CN894">
        <f>IFERROR(INDEX(PP_Grid[#Data],$DE894,89),0)</f>
        <v/>
      </c>
      <c r="CO894">
        <f>IFERROR(INDEX(PP_Grid[#Data],$DE894,90),0)</f>
        <v/>
      </c>
      <c r="CP894">
        <f>IFERROR(INDEX(PP_Grid[#Data],$DE894,91),0)</f>
        <v/>
      </c>
      <c r="CQ894">
        <f>IFERROR(INDEX(PP_Grid[#Data],$DE894,92),0)</f>
        <v/>
      </c>
      <c r="CR894">
        <f>IFERROR(INDEX(PP_Grid[#Data],$DE894,93),0)</f>
        <v/>
      </c>
      <c r="CS894">
        <f>IFERROR(INDEX(PP_Grid[#Data],$DE894,94),0)</f>
        <v/>
      </c>
      <c r="CT894">
        <f>IFERROR(INDEX(PP_Grid[#Data],$DE894,95),0)</f>
        <v/>
      </c>
      <c r="CU894">
        <f>IFERROR(INDEX(PP_Grid[#Data],$DE894,96),0)</f>
        <v/>
      </c>
      <c r="CV894">
        <f>IFERROR(INDEX(PP_Grid[#Data],$DE894,97),0)</f>
        <v/>
      </c>
      <c r="CW894">
        <f>IFERROR(INDEX(PP_Grid[#Data],$DE894,98),0)</f>
        <v/>
      </c>
      <c r="CX894">
        <f>IFERROR(INDEX(PP_Grid[#Data],$DE894,99),0)</f>
        <v/>
      </c>
      <c r="CY894">
        <f>IFERROR(INDEX(PP_Grid[#Data],$DE894,100),0)</f>
        <v/>
      </c>
      <c r="CZ894">
        <f>IFERROR(INDEX(PP_Grid[#Data],$DE894,101),0)</f>
        <v/>
      </c>
      <c r="DA894">
        <f>IFERROR(INDEX(PP_Grid[#Data],$DE894,102),0)</f>
        <v/>
      </c>
      <c r="DB894">
        <f>IFERROR(INDEX(PP_Grid[#Data],$DE894,103),0)</f>
        <v/>
      </c>
      <c r="DC894">
        <f>IFERROR(INDEX(PP_Grid[#Data],$DE894,104),0)</f>
        <v/>
      </c>
      <c r="DD894">
        <f>IFERROR(INDEX(PP_Grid[#Data],$DE894,105),0)</f>
        <v/>
      </c>
      <c r="DE894" s="7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SUMIFS(M_BOM[RM_Qty_Per_Batch],M_BOM[Intermediate],$B894,M_BOM[RM_Code],$A891)</f>
        <v/>
      </c>
      <c r="D895">
        <f>IFERROR(INDEX(E895:DD895,$F$1),"")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  <c r="DD895">
        <f>$C895*DD894</f>
        <v/>
      </c>
    </row>
    <row r="896">
      <c r="B896" t="inlineStr">
        <is>
          <t>TSZ-616</t>
        </is>
      </c>
      <c r="C896" t="inlineStr">
        <is>
          <t>No. of batches</t>
        </is>
      </c>
      <c r="D896">
        <f>IFERROR(INDEX(E896:DD896,$F$1),"")</f>
        <v/>
      </c>
      <c r="E896">
        <f>IFERROR(INDEX(PP_Grid[#Data],$DE896,2),0)</f>
        <v/>
      </c>
      <c r="F896">
        <f>IFERROR(INDEX(PP_Grid[#Data],$DE896,3),0)</f>
        <v/>
      </c>
      <c r="G896">
        <f>IFERROR(INDEX(PP_Grid[#Data],$DE896,4),0)</f>
        <v/>
      </c>
      <c r="H896">
        <f>IFERROR(INDEX(PP_Grid[#Data],$DE896,5),0)</f>
        <v/>
      </c>
      <c r="I896">
        <f>IFERROR(INDEX(PP_Grid[#Data],$DE896,6),0)</f>
        <v/>
      </c>
      <c r="J896">
        <f>IFERROR(INDEX(PP_Grid[#Data],$DE896,7),0)</f>
        <v/>
      </c>
      <c r="K896">
        <f>IFERROR(INDEX(PP_Grid[#Data],$DE896,8),0)</f>
        <v/>
      </c>
      <c r="L896">
        <f>IFERROR(INDEX(PP_Grid[#Data],$DE896,9),0)</f>
        <v/>
      </c>
      <c r="M896">
        <f>IFERROR(INDEX(PP_Grid[#Data],$DE896,10),0)</f>
        <v/>
      </c>
      <c r="N896">
        <f>IFERROR(INDEX(PP_Grid[#Data],$DE896,11),0)</f>
        <v/>
      </c>
      <c r="O896">
        <f>IFERROR(INDEX(PP_Grid[#Data],$DE896,12),0)</f>
        <v/>
      </c>
      <c r="P896">
        <f>IFERROR(INDEX(PP_Grid[#Data],$DE896,13),0)</f>
        <v/>
      </c>
      <c r="Q896">
        <f>IFERROR(INDEX(PP_Grid[#Data],$DE896,14),0)</f>
        <v/>
      </c>
      <c r="R896">
        <f>IFERROR(INDEX(PP_Grid[#Data],$DE896,15),0)</f>
        <v/>
      </c>
      <c r="S896">
        <f>IFERROR(INDEX(PP_Grid[#Data],$DE896,16),0)</f>
        <v/>
      </c>
      <c r="T896">
        <f>IFERROR(INDEX(PP_Grid[#Data],$DE896,17),0)</f>
        <v/>
      </c>
      <c r="U896">
        <f>IFERROR(INDEX(PP_Grid[#Data],$DE896,18),0)</f>
        <v/>
      </c>
      <c r="V896">
        <f>IFERROR(INDEX(PP_Grid[#Data],$DE896,19),0)</f>
        <v/>
      </c>
      <c r="W896">
        <f>IFERROR(INDEX(PP_Grid[#Data],$DE896,20),0)</f>
        <v/>
      </c>
      <c r="X896">
        <f>IFERROR(INDEX(PP_Grid[#Data],$DE896,21),0)</f>
        <v/>
      </c>
      <c r="Y896">
        <f>IFERROR(INDEX(PP_Grid[#Data],$DE896,22),0)</f>
        <v/>
      </c>
      <c r="Z896">
        <f>IFERROR(INDEX(PP_Grid[#Data],$DE896,23),0)</f>
        <v/>
      </c>
      <c r="AA896">
        <f>IFERROR(INDEX(PP_Grid[#Data],$DE896,24),0)</f>
        <v/>
      </c>
      <c r="AB896">
        <f>IFERROR(INDEX(PP_Grid[#Data],$DE896,25),0)</f>
        <v/>
      </c>
      <c r="AC896">
        <f>IFERROR(INDEX(PP_Grid[#Data],$DE896,26),0)</f>
        <v/>
      </c>
      <c r="AD896">
        <f>IFERROR(INDEX(PP_Grid[#Data],$DE896,27),0)</f>
        <v/>
      </c>
      <c r="AE896">
        <f>IFERROR(INDEX(PP_Grid[#Data],$DE896,28),0)</f>
        <v/>
      </c>
      <c r="AF896">
        <f>IFERROR(INDEX(PP_Grid[#Data],$DE896,29),0)</f>
        <v/>
      </c>
      <c r="AG896">
        <f>IFERROR(INDEX(PP_Grid[#Data],$DE896,30),0)</f>
        <v/>
      </c>
      <c r="AH896">
        <f>IFERROR(INDEX(PP_Grid[#Data],$DE896,31),0)</f>
        <v/>
      </c>
      <c r="AI896">
        <f>IFERROR(INDEX(PP_Grid[#Data],$DE896,32),0)</f>
        <v/>
      </c>
      <c r="AJ896">
        <f>IFERROR(INDEX(PP_Grid[#Data],$DE896,33),0)</f>
        <v/>
      </c>
      <c r="AK896">
        <f>IFERROR(INDEX(PP_Grid[#Data],$DE896,34),0)</f>
        <v/>
      </c>
      <c r="AL896">
        <f>IFERROR(INDEX(PP_Grid[#Data],$DE896,35),0)</f>
        <v/>
      </c>
      <c r="AM896">
        <f>IFERROR(INDEX(PP_Grid[#Data],$DE896,36),0)</f>
        <v/>
      </c>
      <c r="AN896">
        <f>IFERROR(INDEX(PP_Grid[#Data],$DE896,37),0)</f>
        <v/>
      </c>
      <c r="AO896">
        <f>IFERROR(INDEX(PP_Grid[#Data],$DE896,38),0)</f>
        <v/>
      </c>
      <c r="AP896">
        <f>IFERROR(INDEX(PP_Grid[#Data],$DE896,39),0)</f>
        <v/>
      </c>
      <c r="AQ896">
        <f>IFERROR(INDEX(PP_Grid[#Data],$DE896,40),0)</f>
        <v/>
      </c>
      <c r="AR896">
        <f>IFERROR(INDEX(PP_Grid[#Data],$DE896,41),0)</f>
        <v/>
      </c>
      <c r="AS896">
        <f>IFERROR(INDEX(PP_Grid[#Data],$DE896,42),0)</f>
        <v/>
      </c>
      <c r="AT896">
        <f>IFERROR(INDEX(PP_Grid[#Data],$DE896,43),0)</f>
        <v/>
      </c>
      <c r="AU896">
        <f>IFERROR(INDEX(PP_Grid[#Data],$DE896,44),0)</f>
        <v/>
      </c>
      <c r="AV896">
        <f>IFERROR(INDEX(PP_Grid[#Data],$DE896,45),0)</f>
        <v/>
      </c>
      <c r="AW896">
        <f>IFERROR(INDEX(PP_Grid[#Data],$DE896,46),0)</f>
        <v/>
      </c>
      <c r="AX896">
        <f>IFERROR(INDEX(PP_Grid[#Data],$DE896,47),0)</f>
        <v/>
      </c>
      <c r="AY896">
        <f>IFERROR(INDEX(PP_Grid[#Data],$DE896,48),0)</f>
        <v/>
      </c>
      <c r="AZ896">
        <f>IFERROR(INDEX(PP_Grid[#Data],$DE896,49),0)</f>
        <v/>
      </c>
      <c r="BA896">
        <f>IFERROR(INDEX(PP_Grid[#Data],$DE896,50),0)</f>
        <v/>
      </c>
      <c r="BB896">
        <f>IFERROR(INDEX(PP_Grid[#Data],$DE896,51),0)</f>
        <v/>
      </c>
      <c r="BC896">
        <f>IFERROR(INDEX(PP_Grid[#Data],$DE896,52),0)</f>
        <v/>
      </c>
      <c r="BD896">
        <f>IFERROR(INDEX(PP_Grid[#Data],$DE896,53),0)</f>
        <v/>
      </c>
      <c r="BE896">
        <f>IFERROR(INDEX(PP_Grid[#Data],$DE896,54),0)</f>
        <v/>
      </c>
      <c r="BF896">
        <f>IFERROR(INDEX(PP_Grid[#Data],$DE896,55),0)</f>
        <v/>
      </c>
      <c r="BG896">
        <f>IFERROR(INDEX(PP_Grid[#Data],$DE896,56),0)</f>
        <v/>
      </c>
      <c r="BH896">
        <f>IFERROR(INDEX(PP_Grid[#Data],$DE896,57),0)</f>
        <v/>
      </c>
      <c r="BI896">
        <f>IFERROR(INDEX(PP_Grid[#Data],$DE896,58),0)</f>
        <v/>
      </c>
      <c r="BJ896">
        <f>IFERROR(INDEX(PP_Grid[#Data],$DE896,59),0)</f>
        <v/>
      </c>
      <c r="BK896">
        <f>IFERROR(INDEX(PP_Grid[#Data],$DE896,60),0)</f>
        <v/>
      </c>
      <c r="BL896">
        <f>IFERROR(INDEX(PP_Grid[#Data],$DE896,61),0)</f>
        <v/>
      </c>
      <c r="BM896">
        <f>IFERROR(INDEX(PP_Grid[#Data],$DE896,62),0)</f>
        <v/>
      </c>
      <c r="BN896">
        <f>IFERROR(INDEX(PP_Grid[#Data],$DE896,63),0)</f>
        <v/>
      </c>
      <c r="BO896">
        <f>IFERROR(INDEX(PP_Grid[#Data],$DE896,64),0)</f>
        <v/>
      </c>
      <c r="BP896">
        <f>IFERROR(INDEX(PP_Grid[#Data],$DE896,65),0)</f>
        <v/>
      </c>
      <c r="BQ896">
        <f>IFERROR(INDEX(PP_Grid[#Data],$DE896,66),0)</f>
        <v/>
      </c>
      <c r="BR896">
        <f>IFERROR(INDEX(PP_Grid[#Data],$DE896,67),0)</f>
        <v/>
      </c>
      <c r="BS896">
        <f>IFERROR(INDEX(PP_Grid[#Data],$DE896,68),0)</f>
        <v/>
      </c>
      <c r="BT896">
        <f>IFERROR(INDEX(PP_Grid[#Data],$DE896,69),0)</f>
        <v/>
      </c>
      <c r="BU896">
        <f>IFERROR(INDEX(PP_Grid[#Data],$DE896,70),0)</f>
        <v/>
      </c>
      <c r="BV896">
        <f>IFERROR(INDEX(PP_Grid[#Data],$DE896,71),0)</f>
        <v/>
      </c>
      <c r="BW896">
        <f>IFERROR(INDEX(PP_Grid[#Data],$DE896,72),0)</f>
        <v/>
      </c>
      <c r="BX896">
        <f>IFERROR(INDEX(PP_Grid[#Data],$DE896,73),0)</f>
        <v/>
      </c>
      <c r="BY896">
        <f>IFERROR(INDEX(PP_Grid[#Data],$DE896,74),0)</f>
        <v/>
      </c>
      <c r="BZ896">
        <f>IFERROR(INDEX(PP_Grid[#Data],$DE896,75),0)</f>
        <v/>
      </c>
      <c r="CA896">
        <f>IFERROR(INDEX(PP_Grid[#Data],$DE896,76),0)</f>
        <v/>
      </c>
      <c r="CB896">
        <f>IFERROR(INDEX(PP_Grid[#Data],$DE896,77),0)</f>
        <v/>
      </c>
      <c r="CC896">
        <f>IFERROR(INDEX(PP_Grid[#Data],$DE896,78),0)</f>
        <v/>
      </c>
      <c r="CD896">
        <f>IFERROR(INDEX(PP_Grid[#Data],$DE896,79),0)</f>
        <v/>
      </c>
      <c r="CE896">
        <f>IFERROR(INDEX(PP_Grid[#Data],$DE896,80),0)</f>
        <v/>
      </c>
      <c r="CF896">
        <f>IFERROR(INDEX(PP_Grid[#Data],$DE896,81),0)</f>
        <v/>
      </c>
      <c r="CG896">
        <f>IFERROR(INDEX(PP_Grid[#Data],$DE896,82),0)</f>
        <v/>
      </c>
      <c r="CH896">
        <f>IFERROR(INDEX(PP_Grid[#Data],$DE896,83),0)</f>
        <v/>
      </c>
      <c r="CI896">
        <f>IFERROR(INDEX(PP_Grid[#Data],$DE896,84),0)</f>
        <v/>
      </c>
      <c r="CJ896">
        <f>IFERROR(INDEX(PP_Grid[#Data],$DE896,85),0)</f>
        <v/>
      </c>
      <c r="CK896">
        <f>IFERROR(INDEX(PP_Grid[#Data],$DE896,86),0)</f>
        <v/>
      </c>
      <c r="CL896">
        <f>IFERROR(INDEX(PP_Grid[#Data],$DE896,87),0)</f>
        <v/>
      </c>
      <c r="CM896">
        <f>IFERROR(INDEX(PP_Grid[#Data],$DE896,88),0)</f>
        <v/>
      </c>
      <c r="CN896">
        <f>IFERROR(INDEX(PP_Grid[#Data],$DE896,89),0)</f>
        <v/>
      </c>
      <c r="CO896">
        <f>IFERROR(INDEX(PP_Grid[#Data],$DE896,90),0)</f>
        <v/>
      </c>
      <c r="CP896">
        <f>IFERROR(INDEX(PP_Grid[#Data],$DE896,91),0)</f>
        <v/>
      </c>
      <c r="CQ896">
        <f>IFERROR(INDEX(PP_Grid[#Data],$DE896,92),0)</f>
        <v/>
      </c>
      <c r="CR896">
        <f>IFERROR(INDEX(PP_Grid[#Data],$DE896,93),0)</f>
        <v/>
      </c>
      <c r="CS896">
        <f>IFERROR(INDEX(PP_Grid[#Data],$DE896,94),0)</f>
        <v/>
      </c>
      <c r="CT896">
        <f>IFERROR(INDEX(PP_Grid[#Data],$DE896,95),0)</f>
        <v/>
      </c>
      <c r="CU896">
        <f>IFERROR(INDEX(PP_Grid[#Data],$DE896,96),0)</f>
        <v/>
      </c>
      <c r="CV896">
        <f>IFERROR(INDEX(PP_Grid[#Data],$DE896,97),0)</f>
        <v/>
      </c>
      <c r="CW896">
        <f>IFERROR(INDEX(PP_Grid[#Data],$DE896,98),0)</f>
        <v/>
      </c>
      <c r="CX896">
        <f>IFERROR(INDEX(PP_Grid[#Data],$DE896,99),0)</f>
        <v/>
      </c>
      <c r="CY896">
        <f>IFERROR(INDEX(PP_Grid[#Data],$DE896,100),0)</f>
        <v/>
      </c>
      <c r="CZ896">
        <f>IFERROR(INDEX(PP_Grid[#Data],$DE896,101),0)</f>
        <v/>
      </c>
      <c r="DA896">
        <f>IFERROR(INDEX(PP_Grid[#Data],$DE896,102),0)</f>
        <v/>
      </c>
      <c r="DB896">
        <f>IFERROR(INDEX(PP_Grid[#Data],$DE896,103),0)</f>
        <v/>
      </c>
      <c r="DC896">
        <f>IFERROR(INDEX(PP_Grid[#Data],$DE896,104),0)</f>
        <v/>
      </c>
      <c r="DD896">
        <f>IFERROR(INDEX(PP_Grid[#Data],$DE896,105),0)</f>
        <v/>
      </c>
      <c r="DE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SUMIFS(M_BOM[RM_Qty_Per_Batch],M_BOM[Intermediate],$B896,M_BOM[RM_Code],$A891)</f>
        <v/>
      </c>
      <c r="D897">
        <f>IFERROR(INDEX(E897:DD897,$F$1),"")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  <c r="DD897">
        <f>$C897*DD896</f>
        <v/>
      </c>
    </row>
    <row r="898">
      <c r="B898" t="inlineStr">
        <is>
          <t>TSP-1449</t>
        </is>
      </c>
      <c r="C898" t="inlineStr">
        <is>
          <t>No. of batches</t>
        </is>
      </c>
      <c r="D898">
        <f>IFERROR(INDEX(E898:DD898,$F$1),"")</f>
        <v/>
      </c>
      <c r="E898">
        <f>IFERROR(INDEX(PP_Grid[#Data],$DE898,2),0)</f>
        <v/>
      </c>
      <c r="F898">
        <f>IFERROR(INDEX(PP_Grid[#Data],$DE898,3),0)</f>
        <v/>
      </c>
      <c r="G898">
        <f>IFERROR(INDEX(PP_Grid[#Data],$DE898,4),0)</f>
        <v/>
      </c>
      <c r="H898">
        <f>IFERROR(INDEX(PP_Grid[#Data],$DE898,5),0)</f>
        <v/>
      </c>
      <c r="I898">
        <f>IFERROR(INDEX(PP_Grid[#Data],$DE898,6),0)</f>
        <v/>
      </c>
      <c r="J898">
        <f>IFERROR(INDEX(PP_Grid[#Data],$DE898,7),0)</f>
        <v/>
      </c>
      <c r="K898">
        <f>IFERROR(INDEX(PP_Grid[#Data],$DE898,8),0)</f>
        <v/>
      </c>
      <c r="L898">
        <f>IFERROR(INDEX(PP_Grid[#Data],$DE898,9),0)</f>
        <v/>
      </c>
      <c r="M898">
        <f>IFERROR(INDEX(PP_Grid[#Data],$DE898,10),0)</f>
        <v/>
      </c>
      <c r="N898">
        <f>IFERROR(INDEX(PP_Grid[#Data],$DE898,11),0)</f>
        <v/>
      </c>
      <c r="O898">
        <f>IFERROR(INDEX(PP_Grid[#Data],$DE898,12),0)</f>
        <v/>
      </c>
      <c r="P898">
        <f>IFERROR(INDEX(PP_Grid[#Data],$DE898,13),0)</f>
        <v/>
      </c>
      <c r="Q898">
        <f>IFERROR(INDEX(PP_Grid[#Data],$DE898,14),0)</f>
        <v/>
      </c>
      <c r="R898">
        <f>IFERROR(INDEX(PP_Grid[#Data],$DE898,15),0)</f>
        <v/>
      </c>
      <c r="S898">
        <f>IFERROR(INDEX(PP_Grid[#Data],$DE898,16),0)</f>
        <v/>
      </c>
      <c r="T898">
        <f>IFERROR(INDEX(PP_Grid[#Data],$DE898,17),0)</f>
        <v/>
      </c>
      <c r="U898">
        <f>IFERROR(INDEX(PP_Grid[#Data],$DE898,18),0)</f>
        <v/>
      </c>
      <c r="V898">
        <f>IFERROR(INDEX(PP_Grid[#Data],$DE898,19),0)</f>
        <v/>
      </c>
      <c r="W898">
        <f>IFERROR(INDEX(PP_Grid[#Data],$DE898,20),0)</f>
        <v/>
      </c>
      <c r="X898">
        <f>IFERROR(INDEX(PP_Grid[#Data],$DE898,21),0)</f>
        <v/>
      </c>
      <c r="Y898">
        <f>IFERROR(INDEX(PP_Grid[#Data],$DE898,22),0)</f>
        <v/>
      </c>
      <c r="Z898">
        <f>IFERROR(INDEX(PP_Grid[#Data],$DE898,23),0)</f>
        <v/>
      </c>
      <c r="AA898">
        <f>IFERROR(INDEX(PP_Grid[#Data],$DE898,24),0)</f>
        <v/>
      </c>
      <c r="AB898">
        <f>IFERROR(INDEX(PP_Grid[#Data],$DE898,25),0)</f>
        <v/>
      </c>
      <c r="AC898">
        <f>IFERROR(INDEX(PP_Grid[#Data],$DE898,26),0)</f>
        <v/>
      </c>
      <c r="AD898">
        <f>IFERROR(INDEX(PP_Grid[#Data],$DE898,27),0)</f>
        <v/>
      </c>
      <c r="AE898">
        <f>IFERROR(INDEX(PP_Grid[#Data],$DE898,28),0)</f>
        <v/>
      </c>
      <c r="AF898">
        <f>IFERROR(INDEX(PP_Grid[#Data],$DE898,29),0)</f>
        <v/>
      </c>
      <c r="AG898">
        <f>IFERROR(INDEX(PP_Grid[#Data],$DE898,30),0)</f>
        <v/>
      </c>
      <c r="AH898">
        <f>IFERROR(INDEX(PP_Grid[#Data],$DE898,31),0)</f>
        <v/>
      </c>
      <c r="AI898">
        <f>IFERROR(INDEX(PP_Grid[#Data],$DE898,32),0)</f>
        <v/>
      </c>
      <c r="AJ898">
        <f>IFERROR(INDEX(PP_Grid[#Data],$DE898,33),0)</f>
        <v/>
      </c>
      <c r="AK898">
        <f>IFERROR(INDEX(PP_Grid[#Data],$DE898,34),0)</f>
        <v/>
      </c>
      <c r="AL898">
        <f>IFERROR(INDEX(PP_Grid[#Data],$DE898,35),0)</f>
        <v/>
      </c>
      <c r="AM898">
        <f>IFERROR(INDEX(PP_Grid[#Data],$DE898,36),0)</f>
        <v/>
      </c>
      <c r="AN898">
        <f>IFERROR(INDEX(PP_Grid[#Data],$DE898,37),0)</f>
        <v/>
      </c>
      <c r="AO898">
        <f>IFERROR(INDEX(PP_Grid[#Data],$DE898,38),0)</f>
        <v/>
      </c>
      <c r="AP898">
        <f>IFERROR(INDEX(PP_Grid[#Data],$DE898,39),0)</f>
        <v/>
      </c>
      <c r="AQ898">
        <f>IFERROR(INDEX(PP_Grid[#Data],$DE898,40),0)</f>
        <v/>
      </c>
      <c r="AR898">
        <f>IFERROR(INDEX(PP_Grid[#Data],$DE898,41),0)</f>
        <v/>
      </c>
      <c r="AS898">
        <f>IFERROR(INDEX(PP_Grid[#Data],$DE898,42),0)</f>
        <v/>
      </c>
      <c r="AT898">
        <f>IFERROR(INDEX(PP_Grid[#Data],$DE898,43),0)</f>
        <v/>
      </c>
      <c r="AU898">
        <f>IFERROR(INDEX(PP_Grid[#Data],$DE898,44),0)</f>
        <v/>
      </c>
      <c r="AV898">
        <f>IFERROR(INDEX(PP_Grid[#Data],$DE898,45),0)</f>
        <v/>
      </c>
      <c r="AW898">
        <f>IFERROR(INDEX(PP_Grid[#Data],$DE898,46),0)</f>
        <v/>
      </c>
      <c r="AX898">
        <f>IFERROR(INDEX(PP_Grid[#Data],$DE898,47),0)</f>
        <v/>
      </c>
      <c r="AY898">
        <f>IFERROR(INDEX(PP_Grid[#Data],$DE898,48),0)</f>
        <v/>
      </c>
      <c r="AZ898">
        <f>IFERROR(INDEX(PP_Grid[#Data],$DE898,49),0)</f>
        <v/>
      </c>
      <c r="BA898">
        <f>IFERROR(INDEX(PP_Grid[#Data],$DE898,50),0)</f>
        <v/>
      </c>
      <c r="BB898">
        <f>IFERROR(INDEX(PP_Grid[#Data],$DE898,51),0)</f>
        <v/>
      </c>
      <c r="BC898">
        <f>IFERROR(INDEX(PP_Grid[#Data],$DE898,52),0)</f>
        <v/>
      </c>
      <c r="BD898">
        <f>IFERROR(INDEX(PP_Grid[#Data],$DE898,53),0)</f>
        <v/>
      </c>
      <c r="BE898">
        <f>IFERROR(INDEX(PP_Grid[#Data],$DE898,54),0)</f>
        <v/>
      </c>
      <c r="BF898">
        <f>IFERROR(INDEX(PP_Grid[#Data],$DE898,55),0)</f>
        <v/>
      </c>
      <c r="BG898">
        <f>IFERROR(INDEX(PP_Grid[#Data],$DE898,56),0)</f>
        <v/>
      </c>
      <c r="BH898">
        <f>IFERROR(INDEX(PP_Grid[#Data],$DE898,57),0)</f>
        <v/>
      </c>
      <c r="BI898">
        <f>IFERROR(INDEX(PP_Grid[#Data],$DE898,58),0)</f>
        <v/>
      </c>
      <c r="BJ898">
        <f>IFERROR(INDEX(PP_Grid[#Data],$DE898,59),0)</f>
        <v/>
      </c>
      <c r="BK898">
        <f>IFERROR(INDEX(PP_Grid[#Data],$DE898,60),0)</f>
        <v/>
      </c>
      <c r="BL898">
        <f>IFERROR(INDEX(PP_Grid[#Data],$DE898,61),0)</f>
        <v/>
      </c>
      <c r="BM898">
        <f>IFERROR(INDEX(PP_Grid[#Data],$DE898,62),0)</f>
        <v/>
      </c>
      <c r="BN898">
        <f>IFERROR(INDEX(PP_Grid[#Data],$DE898,63),0)</f>
        <v/>
      </c>
      <c r="BO898">
        <f>IFERROR(INDEX(PP_Grid[#Data],$DE898,64),0)</f>
        <v/>
      </c>
      <c r="BP898">
        <f>IFERROR(INDEX(PP_Grid[#Data],$DE898,65),0)</f>
        <v/>
      </c>
      <c r="BQ898">
        <f>IFERROR(INDEX(PP_Grid[#Data],$DE898,66),0)</f>
        <v/>
      </c>
      <c r="BR898">
        <f>IFERROR(INDEX(PP_Grid[#Data],$DE898,67),0)</f>
        <v/>
      </c>
      <c r="BS898">
        <f>IFERROR(INDEX(PP_Grid[#Data],$DE898,68),0)</f>
        <v/>
      </c>
      <c r="BT898">
        <f>IFERROR(INDEX(PP_Grid[#Data],$DE898,69),0)</f>
        <v/>
      </c>
      <c r="BU898">
        <f>IFERROR(INDEX(PP_Grid[#Data],$DE898,70),0)</f>
        <v/>
      </c>
      <c r="BV898">
        <f>IFERROR(INDEX(PP_Grid[#Data],$DE898,71),0)</f>
        <v/>
      </c>
      <c r="BW898">
        <f>IFERROR(INDEX(PP_Grid[#Data],$DE898,72),0)</f>
        <v/>
      </c>
      <c r="BX898">
        <f>IFERROR(INDEX(PP_Grid[#Data],$DE898,73),0)</f>
        <v/>
      </c>
      <c r="BY898">
        <f>IFERROR(INDEX(PP_Grid[#Data],$DE898,74),0)</f>
        <v/>
      </c>
      <c r="BZ898">
        <f>IFERROR(INDEX(PP_Grid[#Data],$DE898,75),0)</f>
        <v/>
      </c>
      <c r="CA898">
        <f>IFERROR(INDEX(PP_Grid[#Data],$DE898,76),0)</f>
        <v/>
      </c>
      <c r="CB898">
        <f>IFERROR(INDEX(PP_Grid[#Data],$DE898,77),0)</f>
        <v/>
      </c>
      <c r="CC898">
        <f>IFERROR(INDEX(PP_Grid[#Data],$DE898,78),0)</f>
        <v/>
      </c>
      <c r="CD898">
        <f>IFERROR(INDEX(PP_Grid[#Data],$DE898,79),0)</f>
        <v/>
      </c>
      <c r="CE898">
        <f>IFERROR(INDEX(PP_Grid[#Data],$DE898,80),0)</f>
        <v/>
      </c>
      <c r="CF898">
        <f>IFERROR(INDEX(PP_Grid[#Data],$DE898,81),0)</f>
        <v/>
      </c>
      <c r="CG898">
        <f>IFERROR(INDEX(PP_Grid[#Data],$DE898,82),0)</f>
        <v/>
      </c>
      <c r="CH898">
        <f>IFERROR(INDEX(PP_Grid[#Data],$DE898,83),0)</f>
        <v/>
      </c>
      <c r="CI898">
        <f>IFERROR(INDEX(PP_Grid[#Data],$DE898,84),0)</f>
        <v/>
      </c>
      <c r="CJ898">
        <f>IFERROR(INDEX(PP_Grid[#Data],$DE898,85),0)</f>
        <v/>
      </c>
      <c r="CK898">
        <f>IFERROR(INDEX(PP_Grid[#Data],$DE898,86),0)</f>
        <v/>
      </c>
      <c r="CL898">
        <f>IFERROR(INDEX(PP_Grid[#Data],$DE898,87),0)</f>
        <v/>
      </c>
      <c r="CM898">
        <f>IFERROR(INDEX(PP_Grid[#Data],$DE898,88),0)</f>
        <v/>
      </c>
      <c r="CN898">
        <f>IFERROR(INDEX(PP_Grid[#Data],$DE898,89),0)</f>
        <v/>
      </c>
      <c r="CO898">
        <f>IFERROR(INDEX(PP_Grid[#Data],$DE898,90),0)</f>
        <v/>
      </c>
      <c r="CP898">
        <f>IFERROR(INDEX(PP_Grid[#Data],$DE898,91),0)</f>
        <v/>
      </c>
      <c r="CQ898">
        <f>IFERROR(INDEX(PP_Grid[#Data],$DE898,92),0)</f>
        <v/>
      </c>
      <c r="CR898">
        <f>IFERROR(INDEX(PP_Grid[#Data],$DE898,93),0)</f>
        <v/>
      </c>
      <c r="CS898">
        <f>IFERROR(INDEX(PP_Grid[#Data],$DE898,94),0)</f>
        <v/>
      </c>
      <c r="CT898">
        <f>IFERROR(INDEX(PP_Grid[#Data],$DE898,95),0)</f>
        <v/>
      </c>
      <c r="CU898">
        <f>IFERROR(INDEX(PP_Grid[#Data],$DE898,96),0)</f>
        <v/>
      </c>
      <c r="CV898">
        <f>IFERROR(INDEX(PP_Grid[#Data],$DE898,97),0)</f>
        <v/>
      </c>
      <c r="CW898">
        <f>IFERROR(INDEX(PP_Grid[#Data],$DE898,98),0)</f>
        <v/>
      </c>
      <c r="CX898">
        <f>IFERROR(INDEX(PP_Grid[#Data],$DE898,99),0)</f>
        <v/>
      </c>
      <c r="CY898">
        <f>IFERROR(INDEX(PP_Grid[#Data],$DE898,100),0)</f>
        <v/>
      </c>
      <c r="CZ898">
        <f>IFERROR(INDEX(PP_Grid[#Data],$DE898,101),0)</f>
        <v/>
      </c>
      <c r="DA898">
        <f>IFERROR(INDEX(PP_Grid[#Data],$DE898,102),0)</f>
        <v/>
      </c>
      <c r="DB898">
        <f>IFERROR(INDEX(PP_Grid[#Data],$DE898,103),0)</f>
        <v/>
      </c>
      <c r="DC898">
        <f>IFERROR(INDEX(PP_Grid[#Data],$DE898,104),0)</f>
        <v/>
      </c>
      <c r="DD898">
        <f>IFERROR(INDEX(PP_Grid[#Data],$DE898,105),0)</f>
        <v/>
      </c>
      <c r="DE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SUMIFS(M_BOM[RM_Qty_Per_Batch],M_BOM[Intermediate],$B898,M_BOM[RM_Code],$A891)</f>
        <v/>
      </c>
      <c r="D899">
        <f>IFERROR(INDEX(E899:DD899,$F$1),"")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  <c r="DD899">
        <f>$C899*DD898</f>
        <v/>
      </c>
    </row>
    <row r="900">
      <c r="B900" t="inlineStr">
        <is>
          <t>VSP-567</t>
        </is>
      </c>
      <c r="C900" t="inlineStr">
        <is>
          <t>No. of batches</t>
        </is>
      </c>
      <c r="D900">
        <f>IFERROR(INDEX(E900:DD900,$F$1),"")</f>
        <v/>
      </c>
      <c r="E900">
        <f>IFERROR(INDEX(PP_Grid[#Data],$DE900,2),0)</f>
        <v/>
      </c>
      <c r="F900">
        <f>IFERROR(INDEX(PP_Grid[#Data],$DE900,3),0)</f>
        <v/>
      </c>
      <c r="G900">
        <f>IFERROR(INDEX(PP_Grid[#Data],$DE900,4),0)</f>
        <v/>
      </c>
      <c r="H900">
        <f>IFERROR(INDEX(PP_Grid[#Data],$DE900,5),0)</f>
        <v/>
      </c>
      <c r="I900">
        <f>IFERROR(INDEX(PP_Grid[#Data],$DE900,6),0)</f>
        <v/>
      </c>
      <c r="J900">
        <f>IFERROR(INDEX(PP_Grid[#Data],$DE900,7),0)</f>
        <v/>
      </c>
      <c r="K900">
        <f>IFERROR(INDEX(PP_Grid[#Data],$DE900,8),0)</f>
        <v/>
      </c>
      <c r="L900">
        <f>IFERROR(INDEX(PP_Grid[#Data],$DE900,9),0)</f>
        <v/>
      </c>
      <c r="M900">
        <f>IFERROR(INDEX(PP_Grid[#Data],$DE900,10),0)</f>
        <v/>
      </c>
      <c r="N900">
        <f>IFERROR(INDEX(PP_Grid[#Data],$DE900,11),0)</f>
        <v/>
      </c>
      <c r="O900">
        <f>IFERROR(INDEX(PP_Grid[#Data],$DE900,12),0)</f>
        <v/>
      </c>
      <c r="P900">
        <f>IFERROR(INDEX(PP_Grid[#Data],$DE900,13),0)</f>
        <v/>
      </c>
      <c r="Q900">
        <f>IFERROR(INDEX(PP_Grid[#Data],$DE900,14),0)</f>
        <v/>
      </c>
      <c r="R900">
        <f>IFERROR(INDEX(PP_Grid[#Data],$DE900,15),0)</f>
        <v/>
      </c>
      <c r="S900">
        <f>IFERROR(INDEX(PP_Grid[#Data],$DE900,16),0)</f>
        <v/>
      </c>
      <c r="T900">
        <f>IFERROR(INDEX(PP_Grid[#Data],$DE900,17),0)</f>
        <v/>
      </c>
      <c r="U900">
        <f>IFERROR(INDEX(PP_Grid[#Data],$DE900,18),0)</f>
        <v/>
      </c>
      <c r="V900">
        <f>IFERROR(INDEX(PP_Grid[#Data],$DE900,19),0)</f>
        <v/>
      </c>
      <c r="W900">
        <f>IFERROR(INDEX(PP_Grid[#Data],$DE900,20),0)</f>
        <v/>
      </c>
      <c r="X900">
        <f>IFERROR(INDEX(PP_Grid[#Data],$DE900,21),0)</f>
        <v/>
      </c>
      <c r="Y900">
        <f>IFERROR(INDEX(PP_Grid[#Data],$DE900,22),0)</f>
        <v/>
      </c>
      <c r="Z900">
        <f>IFERROR(INDEX(PP_Grid[#Data],$DE900,23),0)</f>
        <v/>
      </c>
      <c r="AA900">
        <f>IFERROR(INDEX(PP_Grid[#Data],$DE900,24),0)</f>
        <v/>
      </c>
      <c r="AB900">
        <f>IFERROR(INDEX(PP_Grid[#Data],$DE900,25),0)</f>
        <v/>
      </c>
      <c r="AC900">
        <f>IFERROR(INDEX(PP_Grid[#Data],$DE900,26),0)</f>
        <v/>
      </c>
      <c r="AD900">
        <f>IFERROR(INDEX(PP_Grid[#Data],$DE900,27),0)</f>
        <v/>
      </c>
      <c r="AE900">
        <f>IFERROR(INDEX(PP_Grid[#Data],$DE900,28),0)</f>
        <v/>
      </c>
      <c r="AF900">
        <f>IFERROR(INDEX(PP_Grid[#Data],$DE900,29),0)</f>
        <v/>
      </c>
      <c r="AG900">
        <f>IFERROR(INDEX(PP_Grid[#Data],$DE900,30),0)</f>
        <v/>
      </c>
      <c r="AH900">
        <f>IFERROR(INDEX(PP_Grid[#Data],$DE900,31),0)</f>
        <v/>
      </c>
      <c r="AI900">
        <f>IFERROR(INDEX(PP_Grid[#Data],$DE900,32),0)</f>
        <v/>
      </c>
      <c r="AJ900">
        <f>IFERROR(INDEX(PP_Grid[#Data],$DE900,33),0)</f>
        <v/>
      </c>
      <c r="AK900">
        <f>IFERROR(INDEX(PP_Grid[#Data],$DE900,34),0)</f>
        <v/>
      </c>
      <c r="AL900">
        <f>IFERROR(INDEX(PP_Grid[#Data],$DE900,35),0)</f>
        <v/>
      </c>
      <c r="AM900">
        <f>IFERROR(INDEX(PP_Grid[#Data],$DE900,36),0)</f>
        <v/>
      </c>
      <c r="AN900">
        <f>IFERROR(INDEX(PP_Grid[#Data],$DE900,37),0)</f>
        <v/>
      </c>
      <c r="AO900">
        <f>IFERROR(INDEX(PP_Grid[#Data],$DE900,38),0)</f>
        <v/>
      </c>
      <c r="AP900">
        <f>IFERROR(INDEX(PP_Grid[#Data],$DE900,39),0)</f>
        <v/>
      </c>
      <c r="AQ900">
        <f>IFERROR(INDEX(PP_Grid[#Data],$DE900,40),0)</f>
        <v/>
      </c>
      <c r="AR900">
        <f>IFERROR(INDEX(PP_Grid[#Data],$DE900,41),0)</f>
        <v/>
      </c>
      <c r="AS900">
        <f>IFERROR(INDEX(PP_Grid[#Data],$DE900,42),0)</f>
        <v/>
      </c>
      <c r="AT900">
        <f>IFERROR(INDEX(PP_Grid[#Data],$DE900,43),0)</f>
        <v/>
      </c>
      <c r="AU900">
        <f>IFERROR(INDEX(PP_Grid[#Data],$DE900,44),0)</f>
        <v/>
      </c>
      <c r="AV900">
        <f>IFERROR(INDEX(PP_Grid[#Data],$DE900,45),0)</f>
        <v/>
      </c>
      <c r="AW900">
        <f>IFERROR(INDEX(PP_Grid[#Data],$DE900,46),0)</f>
        <v/>
      </c>
      <c r="AX900">
        <f>IFERROR(INDEX(PP_Grid[#Data],$DE900,47),0)</f>
        <v/>
      </c>
      <c r="AY900">
        <f>IFERROR(INDEX(PP_Grid[#Data],$DE900,48),0)</f>
        <v/>
      </c>
      <c r="AZ900">
        <f>IFERROR(INDEX(PP_Grid[#Data],$DE900,49),0)</f>
        <v/>
      </c>
      <c r="BA900">
        <f>IFERROR(INDEX(PP_Grid[#Data],$DE900,50),0)</f>
        <v/>
      </c>
      <c r="BB900">
        <f>IFERROR(INDEX(PP_Grid[#Data],$DE900,51),0)</f>
        <v/>
      </c>
      <c r="BC900">
        <f>IFERROR(INDEX(PP_Grid[#Data],$DE900,52),0)</f>
        <v/>
      </c>
      <c r="BD900">
        <f>IFERROR(INDEX(PP_Grid[#Data],$DE900,53),0)</f>
        <v/>
      </c>
      <c r="BE900">
        <f>IFERROR(INDEX(PP_Grid[#Data],$DE900,54),0)</f>
        <v/>
      </c>
      <c r="BF900">
        <f>IFERROR(INDEX(PP_Grid[#Data],$DE900,55),0)</f>
        <v/>
      </c>
      <c r="BG900">
        <f>IFERROR(INDEX(PP_Grid[#Data],$DE900,56),0)</f>
        <v/>
      </c>
      <c r="BH900">
        <f>IFERROR(INDEX(PP_Grid[#Data],$DE900,57),0)</f>
        <v/>
      </c>
      <c r="BI900">
        <f>IFERROR(INDEX(PP_Grid[#Data],$DE900,58),0)</f>
        <v/>
      </c>
      <c r="BJ900">
        <f>IFERROR(INDEX(PP_Grid[#Data],$DE900,59),0)</f>
        <v/>
      </c>
      <c r="BK900">
        <f>IFERROR(INDEX(PP_Grid[#Data],$DE900,60),0)</f>
        <v/>
      </c>
      <c r="BL900">
        <f>IFERROR(INDEX(PP_Grid[#Data],$DE900,61),0)</f>
        <v/>
      </c>
      <c r="BM900">
        <f>IFERROR(INDEX(PP_Grid[#Data],$DE900,62),0)</f>
        <v/>
      </c>
      <c r="BN900">
        <f>IFERROR(INDEX(PP_Grid[#Data],$DE900,63),0)</f>
        <v/>
      </c>
      <c r="BO900">
        <f>IFERROR(INDEX(PP_Grid[#Data],$DE900,64),0)</f>
        <v/>
      </c>
      <c r="BP900">
        <f>IFERROR(INDEX(PP_Grid[#Data],$DE900,65),0)</f>
        <v/>
      </c>
      <c r="BQ900">
        <f>IFERROR(INDEX(PP_Grid[#Data],$DE900,66),0)</f>
        <v/>
      </c>
      <c r="BR900">
        <f>IFERROR(INDEX(PP_Grid[#Data],$DE900,67),0)</f>
        <v/>
      </c>
      <c r="BS900">
        <f>IFERROR(INDEX(PP_Grid[#Data],$DE900,68),0)</f>
        <v/>
      </c>
      <c r="BT900">
        <f>IFERROR(INDEX(PP_Grid[#Data],$DE900,69),0)</f>
        <v/>
      </c>
      <c r="BU900">
        <f>IFERROR(INDEX(PP_Grid[#Data],$DE900,70),0)</f>
        <v/>
      </c>
      <c r="BV900">
        <f>IFERROR(INDEX(PP_Grid[#Data],$DE900,71),0)</f>
        <v/>
      </c>
      <c r="BW900">
        <f>IFERROR(INDEX(PP_Grid[#Data],$DE900,72),0)</f>
        <v/>
      </c>
      <c r="BX900">
        <f>IFERROR(INDEX(PP_Grid[#Data],$DE900,73),0)</f>
        <v/>
      </c>
      <c r="BY900">
        <f>IFERROR(INDEX(PP_Grid[#Data],$DE900,74),0)</f>
        <v/>
      </c>
      <c r="BZ900">
        <f>IFERROR(INDEX(PP_Grid[#Data],$DE900,75),0)</f>
        <v/>
      </c>
      <c r="CA900">
        <f>IFERROR(INDEX(PP_Grid[#Data],$DE900,76),0)</f>
        <v/>
      </c>
      <c r="CB900">
        <f>IFERROR(INDEX(PP_Grid[#Data],$DE900,77),0)</f>
        <v/>
      </c>
      <c r="CC900">
        <f>IFERROR(INDEX(PP_Grid[#Data],$DE900,78),0)</f>
        <v/>
      </c>
      <c r="CD900">
        <f>IFERROR(INDEX(PP_Grid[#Data],$DE900,79),0)</f>
        <v/>
      </c>
      <c r="CE900">
        <f>IFERROR(INDEX(PP_Grid[#Data],$DE900,80),0)</f>
        <v/>
      </c>
      <c r="CF900">
        <f>IFERROR(INDEX(PP_Grid[#Data],$DE900,81),0)</f>
        <v/>
      </c>
      <c r="CG900">
        <f>IFERROR(INDEX(PP_Grid[#Data],$DE900,82),0)</f>
        <v/>
      </c>
      <c r="CH900">
        <f>IFERROR(INDEX(PP_Grid[#Data],$DE900,83),0)</f>
        <v/>
      </c>
      <c r="CI900">
        <f>IFERROR(INDEX(PP_Grid[#Data],$DE900,84),0)</f>
        <v/>
      </c>
      <c r="CJ900">
        <f>IFERROR(INDEX(PP_Grid[#Data],$DE900,85),0)</f>
        <v/>
      </c>
      <c r="CK900">
        <f>IFERROR(INDEX(PP_Grid[#Data],$DE900,86),0)</f>
        <v/>
      </c>
      <c r="CL900">
        <f>IFERROR(INDEX(PP_Grid[#Data],$DE900,87),0)</f>
        <v/>
      </c>
      <c r="CM900">
        <f>IFERROR(INDEX(PP_Grid[#Data],$DE900,88),0)</f>
        <v/>
      </c>
      <c r="CN900">
        <f>IFERROR(INDEX(PP_Grid[#Data],$DE900,89),0)</f>
        <v/>
      </c>
      <c r="CO900">
        <f>IFERROR(INDEX(PP_Grid[#Data],$DE900,90),0)</f>
        <v/>
      </c>
      <c r="CP900">
        <f>IFERROR(INDEX(PP_Grid[#Data],$DE900,91),0)</f>
        <v/>
      </c>
      <c r="CQ900">
        <f>IFERROR(INDEX(PP_Grid[#Data],$DE900,92),0)</f>
        <v/>
      </c>
      <c r="CR900">
        <f>IFERROR(INDEX(PP_Grid[#Data],$DE900,93),0)</f>
        <v/>
      </c>
      <c r="CS900">
        <f>IFERROR(INDEX(PP_Grid[#Data],$DE900,94),0)</f>
        <v/>
      </c>
      <c r="CT900">
        <f>IFERROR(INDEX(PP_Grid[#Data],$DE900,95),0)</f>
        <v/>
      </c>
      <c r="CU900">
        <f>IFERROR(INDEX(PP_Grid[#Data],$DE900,96),0)</f>
        <v/>
      </c>
      <c r="CV900">
        <f>IFERROR(INDEX(PP_Grid[#Data],$DE900,97),0)</f>
        <v/>
      </c>
      <c r="CW900">
        <f>IFERROR(INDEX(PP_Grid[#Data],$DE900,98),0)</f>
        <v/>
      </c>
      <c r="CX900">
        <f>IFERROR(INDEX(PP_Grid[#Data],$DE900,99),0)</f>
        <v/>
      </c>
      <c r="CY900">
        <f>IFERROR(INDEX(PP_Grid[#Data],$DE900,100),0)</f>
        <v/>
      </c>
      <c r="CZ900">
        <f>IFERROR(INDEX(PP_Grid[#Data],$DE900,101),0)</f>
        <v/>
      </c>
      <c r="DA900">
        <f>IFERROR(INDEX(PP_Grid[#Data],$DE900,102),0)</f>
        <v/>
      </c>
      <c r="DB900">
        <f>IFERROR(INDEX(PP_Grid[#Data],$DE900,103),0)</f>
        <v/>
      </c>
      <c r="DC900">
        <f>IFERROR(INDEX(PP_Grid[#Data],$DE900,104),0)</f>
        <v/>
      </c>
      <c r="DD900">
        <f>IFERROR(INDEX(PP_Grid[#Data],$DE900,105),0)</f>
        <v/>
      </c>
      <c r="DE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SUMIFS(M_BOM[RM_Qty_Per_Batch],M_BOM[Intermediate],$B900,M_BOM[RM_Code],$A891)</f>
        <v/>
      </c>
      <c r="D901">
        <f>IFERROR(INDEX(E901:DD901,$F$1),"")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  <c r="DD901">
        <f>$C901*DD900</f>
        <v/>
      </c>
    </row>
    <row r="902">
      <c r="B902" t="inlineStr">
        <is>
          <t>VSP-600</t>
        </is>
      </c>
      <c r="C902" t="inlineStr">
        <is>
          <t>No. of batches</t>
        </is>
      </c>
      <c r="D902">
        <f>IFERROR(INDEX(E902:DD902,$F$1),"")</f>
        <v/>
      </c>
      <c r="E902">
        <f>IFERROR(INDEX(PP_Grid[#Data],$DE902,2),0)</f>
        <v/>
      </c>
      <c r="F902">
        <f>IFERROR(INDEX(PP_Grid[#Data],$DE902,3),0)</f>
        <v/>
      </c>
      <c r="G902">
        <f>IFERROR(INDEX(PP_Grid[#Data],$DE902,4),0)</f>
        <v/>
      </c>
      <c r="H902">
        <f>IFERROR(INDEX(PP_Grid[#Data],$DE902,5),0)</f>
        <v/>
      </c>
      <c r="I902">
        <f>IFERROR(INDEX(PP_Grid[#Data],$DE902,6),0)</f>
        <v/>
      </c>
      <c r="J902">
        <f>IFERROR(INDEX(PP_Grid[#Data],$DE902,7),0)</f>
        <v/>
      </c>
      <c r="K902">
        <f>IFERROR(INDEX(PP_Grid[#Data],$DE902,8),0)</f>
        <v/>
      </c>
      <c r="L902">
        <f>IFERROR(INDEX(PP_Grid[#Data],$DE902,9),0)</f>
        <v/>
      </c>
      <c r="M902">
        <f>IFERROR(INDEX(PP_Grid[#Data],$DE902,10),0)</f>
        <v/>
      </c>
      <c r="N902">
        <f>IFERROR(INDEX(PP_Grid[#Data],$DE902,11),0)</f>
        <v/>
      </c>
      <c r="O902">
        <f>IFERROR(INDEX(PP_Grid[#Data],$DE902,12),0)</f>
        <v/>
      </c>
      <c r="P902">
        <f>IFERROR(INDEX(PP_Grid[#Data],$DE902,13),0)</f>
        <v/>
      </c>
      <c r="Q902">
        <f>IFERROR(INDEX(PP_Grid[#Data],$DE902,14),0)</f>
        <v/>
      </c>
      <c r="R902">
        <f>IFERROR(INDEX(PP_Grid[#Data],$DE902,15),0)</f>
        <v/>
      </c>
      <c r="S902">
        <f>IFERROR(INDEX(PP_Grid[#Data],$DE902,16),0)</f>
        <v/>
      </c>
      <c r="T902">
        <f>IFERROR(INDEX(PP_Grid[#Data],$DE902,17),0)</f>
        <v/>
      </c>
      <c r="U902">
        <f>IFERROR(INDEX(PP_Grid[#Data],$DE902,18),0)</f>
        <v/>
      </c>
      <c r="V902">
        <f>IFERROR(INDEX(PP_Grid[#Data],$DE902,19),0)</f>
        <v/>
      </c>
      <c r="W902">
        <f>IFERROR(INDEX(PP_Grid[#Data],$DE902,20),0)</f>
        <v/>
      </c>
      <c r="X902">
        <f>IFERROR(INDEX(PP_Grid[#Data],$DE902,21),0)</f>
        <v/>
      </c>
      <c r="Y902">
        <f>IFERROR(INDEX(PP_Grid[#Data],$DE902,22),0)</f>
        <v/>
      </c>
      <c r="Z902">
        <f>IFERROR(INDEX(PP_Grid[#Data],$DE902,23),0)</f>
        <v/>
      </c>
      <c r="AA902">
        <f>IFERROR(INDEX(PP_Grid[#Data],$DE902,24),0)</f>
        <v/>
      </c>
      <c r="AB902">
        <f>IFERROR(INDEX(PP_Grid[#Data],$DE902,25),0)</f>
        <v/>
      </c>
      <c r="AC902">
        <f>IFERROR(INDEX(PP_Grid[#Data],$DE902,26),0)</f>
        <v/>
      </c>
      <c r="AD902">
        <f>IFERROR(INDEX(PP_Grid[#Data],$DE902,27),0)</f>
        <v/>
      </c>
      <c r="AE902">
        <f>IFERROR(INDEX(PP_Grid[#Data],$DE902,28),0)</f>
        <v/>
      </c>
      <c r="AF902">
        <f>IFERROR(INDEX(PP_Grid[#Data],$DE902,29),0)</f>
        <v/>
      </c>
      <c r="AG902">
        <f>IFERROR(INDEX(PP_Grid[#Data],$DE902,30),0)</f>
        <v/>
      </c>
      <c r="AH902">
        <f>IFERROR(INDEX(PP_Grid[#Data],$DE902,31),0)</f>
        <v/>
      </c>
      <c r="AI902">
        <f>IFERROR(INDEX(PP_Grid[#Data],$DE902,32),0)</f>
        <v/>
      </c>
      <c r="AJ902">
        <f>IFERROR(INDEX(PP_Grid[#Data],$DE902,33),0)</f>
        <v/>
      </c>
      <c r="AK902">
        <f>IFERROR(INDEX(PP_Grid[#Data],$DE902,34),0)</f>
        <v/>
      </c>
      <c r="AL902">
        <f>IFERROR(INDEX(PP_Grid[#Data],$DE902,35),0)</f>
        <v/>
      </c>
      <c r="AM902">
        <f>IFERROR(INDEX(PP_Grid[#Data],$DE902,36),0)</f>
        <v/>
      </c>
      <c r="AN902">
        <f>IFERROR(INDEX(PP_Grid[#Data],$DE902,37),0)</f>
        <v/>
      </c>
      <c r="AO902">
        <f>IFERROR(INDEX(PP_Grid[#Data],$DE902,38),0)</f>
        <v/>
      </c>
      <c r="AP902">
        <f>IFERROR(INDEX(PP_Grid[#Data],$DE902,39),0)</f>
        <v/>
      </c>
      <c r="AQ902">
        <f>IFERROR(INDEX(PP_Grid[#Data],$DE902,40),0)</f>
        <v/>
      </c>
      <c r="AR902">
        <f>IFERROR(INDEX(PP_Grid[#Data],$DE902,41),0)</f>
        <v/>
      </c>
      <c r="AS902">
        <f>IFERROR(INDEX(PP_Grid[#Data],$DE902,42),0)</f>
        <v/>
      </c>
      <c r="AT902">
        <f>IFERROR(INDEX(PP_Grid[#Data],$DE902,43),0)</f>
        <v/>
      </c>
      <c r="AU902">
        <f>IFERROR(INDEX(PP_Grid[#Data],$DE902,44),0)</f>
        <v/>
      </c>
      <c r="AV902">
        <f>IFERROR(INDEX(PP_Grid[#Data],$DE902,45),0)</f>
        <v/>
      </c>
      <c r="AW902">
        <f>IFERROR(INDEX(PP_Grid[#Data],$DE902,46),0)</f>
        <v/>
      </c>
      <c r="AX902">
        <f>IFERROR(INDEX(PP_Grid[#Data],$DE902,47),0)</f>
        <v/>
      </c>
      <c r="AY902">
        <f>IFERROR(INDEX(PP_Grid[#Data],$DE902,48),0)</f>
        <v/>
      </c>
      <c r="AZ902">
        <f>IFERROR(INDEX(PP_Grid[#Data],$DE902,49),0)</f>
        <v/>
      </c>
      <c r="BA902">
        <f>IFERROR(INDEX(PP_Grid[#Data],$DE902,50),0)</f>
        <v/>
      </c>
      <c r="BB902">
        <f>IFERROR(INDEX(PP_Grid[#Data],$DE902,51),0)</f>
        <v/>
      </c>
      <c r="BC902">
        <f>IFERROR(INDEX(PP_Grid[#Data],$DE902,52),0)</f>
        <v/>
      </c>
      <c r="BD902">
        <f>IFERROR(INDEX(PP_Grid[#Data],$DE902,53),0)</f>
        <v/>
      </c>
      <c r="BE902">
        <f>IFERROR(INDEX(PP_Grid[#Data],$DE902,54),0)</f>
        <v/>
      </c>
      <c r="BF902">
        <f>IFERROR(INDEX(PP_Grid[#Data],$DE902,55),0)</f>
        <v/>
      </c>
      <c r="BG902">
        <f>IFERROR(INDEX(PP_Grid[#Data],$DE902,56),0)</f>
        <v/>
      </c>
      <c r="BH902">
        <f>IFERROR(INDEX(PP_Grid[#Data],$DE902,57),0)</f>
        <v/>
      </c>
      <c r="BI902">
        <f>IFERROR(INDEX(PP_Grid[#Data],$DE902,58),0)</f>
        <v/>
      </c>
      <c r="BJ902">
        <f>IFERROR(INDEX(PP_Grid[#Data],$DE902,59),0)</f>
        <v/>
      </c>
      <c r="BK902">
        <f>IFERROR(INDEX(PP_Grid[#Data],$DE902,60),0)</f>
        <v/>
      </c>
      <c r="BL902">
        <f>IFERROR(INDEX(PP_Grid[#Data],$DE902,61),0)</f>
        <v/>
      </c>
      <c r="BM902">
        <f>IFERROR(INDEX(PP_Grid[#Data],$DE902,62),0)</f>
        <v/>
      </c>
      <c r="BN902">
        <f>IFERROR(INDEX(PP_Grid[#Data],$DE902,63),0)</f>
        <v/>
      </c>
      <c r="BO902">
        <f>IFERROR(INDEX(PP_Grid[#Data],$DE902,64),0)</f>
        <v/>
      </c>
      <c r="BP902">
        <f>IFERROR(INDEX(PP_Grid[#Data],$DE902,65),0)</f>
        <v/>
      </c>
      <c r="BQ902">
        <f>IFERROR(INDEX(PP_Grid[#Data],$DE902,66),0)</f>
        <v/>
      </c>
      <c r="BR902">
        <f>IFERROR(INDEX(PP_Grid[#Data],$DE902,67),0)</f>
        <v/>
      </c>
      <c r="BS902">
        <f>IFERROR(INDEX(PP_Grid[#Data],$DE902,68),0)</f>
        <v/>
      </c>
      <c r="BT902">
        <f>IFERROR(INDEX(PP_Grid[#Data],$DE902,69),0)</f>
        <v/>
      </c>
      <c r="BU902">
        <f>IFERROR(INDEX(PP_Grid[#Data],$DE902,70),0)</f>
        <v/>
      </c>
      <c r="BV902">
        <f>IFERROR(INDEX(PP_Grid[#Data],$DE902,71),0)</f>
        <v/>
      </c>
      <c r="BW902">
        <f>IFERROR(INDEX(PP_Grid[#Data],$DE902,72),0)</f>
        <v/>
      </c>
      <c r="BX902">
        <f>IFERROR(INDEX(PP_Grid[#Data],$DE902,73),0)</f>
        <v/>
      </c>
      <c r="BY902">
        <f>IFERROR(INDEX(PP_Grid[#Data],$DE902,74),0)</f>
        <v/>
      </c>
      <c r="BZ902">
        <f>IFERROR(INDEX(PP_Grid[#Data],$DE902,75),0)</f>
        <v/>
      </c>
      <c r="CA902">
        <f>IFERROR(INDEX(PP_Grid[#Data],$DE902,76),0)</f>
        <v/>
      </c>
      <c r="CB902">
        <f>IFERROR(INDEX(PP_Grid[#Data],$DE902,77),0)</f>
        <v/>
      </c>
      <c r="CC902">
        <f>IFERROR(INDEX(PP_Grid[#Data],$DE902,78),0)</f>
        <v/>
      </c>
      <c r="CD902">
        <f>IFERROR(INDEX(PP_Grid[#Data],$DE902,79),0)</f>
        <v/>
      </c>
      <c r="CE902">
        <f>IFERROR(INDEX(PP_Grid[#Data],$DE902,80),0)</f>
        <v/>
      </c>
      <c r="CF902">
        <f>IFERROR(INDEX(PP_Grid[#Data],$DE902,81),0)</f>
        <v/>
      </c>
      <c r="CG902">
        <f>IFERROR(INDEX(PP_Grid[#Data],$DE902,82),0)</f>
        <v/>
      </c>
      <c r="CH902">
        <f>IFERROR(INDEX(PP_Grid[#Data],$DE902,83),0)</f>
        <v/>
      </c>
      <c r="CI902">
        <f>IFERROR(INDEX(PP_Grid[#Data],$DE902,84),0)</f>
        <v/>
      </c>
      <c r="CJ902">
        <f>IFERROR(INDEX(PP_Grid[#Data],$DE902,85),0)</f>
        <v/>
      </c>
      <c r="CK902">
        <f>IFERROR(INDEX(PP_Grid[#Data],$DE902,86),0)</f>
        <v/>
      </c>
      <c r="CL902">
        <f>IFERROR(INDEX(PP_Grid[#Data],$DE902,87),0)</f>
        <v/>
      </c>
      <c r="CM902">
        <f>IFERROR(INDEX(PP_Grid[#Data],$DE902,88),0)</f>
        <v/>
      </c>
      <c r="CN902">
        <f>IFERROR(INDEX(PP_Grid[#Data],$DE902,89),0)</f>
        <v/>
      </c>
      <c r="CO902">
        <f>IFERROR(INDEX(PP_Grid[#Data],$DE902,90),0)</f>
        <v/>
      </c>
      <c r="CP902">
        <f>IFERROR(INDEX(PP_Grid[#Data],$DE902,91),0)</f>
        <v/>
      </c>
      <c r="CQ902">
        <f>IFERROR(INDEX(PP_Grid[#Data],$DE902,92),0)</f>
        <v/>
      </c>
      <c r="CR902">
        <f>IFERROR(INDEX(PP_Grid[#Data],$DE902,93),0)</f>
        <v/>
      </c>
      <c r="CS902">
        <f>IFERROR(INDEX(PP_Grid[#Data],$DE902,94),0)</f>
        <v/>
      </c>
      <c r="CT902">
        <f>IFERROR(INDEX(PP_Grid[#Data],$DE902,95),0)</f>
        <v/>
      </c>
      <c r="CU902">
        <f>IFERROR(INDEX(PP_Grid[#Data],$DE902,96),0)</f>
        <v/>
      </c>
      <c r="CV902">
        <f>IFERROR(INDEX(PP_Grid[#Data],$DE902,97),0)</f>
        <v/>
      </c>
      <c r="CW902">
        <f>IFERROR(INDEX(PP_Grid[#Data],$DE902,98),0)</f>
        <v/>
      </c>
      <c r="CX902">
        <f>IFERROR(INDEX(PP_Grid[#Data],$DE902,99),0)</f>
        <v/>
      </c>
      <c r="CY902">
        <f>IFERROR(INDEX(PP_Grid[#Data],$DE902,100),0)</f>
        <v/>
      </c>
      <c r="CZ902">
        <f>IFERROR(INDEX(PP_Grid[#Data],$DE902,101),0)</f>
        <v/>
      </c>
      <c r="DA902">
        <f>IFERROR(INDEX(PP_Grid[#Data],$DE902,102),0)</f>
        <v/>
      </c>
      <c r="DB902">
        <f>IFERROR(INDEX(PP_Grid[#Data],$DE902,103),0)</f>
        <v/>
      </c>
      <c r="DC902">
        <f>IFERROR(INDEX(PP_Grid[#Data],$DE902,104),0)</f>
        <v/>
      </c>
      <c r="DD902">
        <f>IFERROR(INDEX(PP_Grid[#Data],$DE902,105),0)</f>
        <v/>
      </c>
      <c r="DE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SUMIFS(M_BOM[RM_Qty_Per_Batch],M_BOM[Intermediate],$B902,M_BOM[RM_Code],$A891)</f>
        <v/>
      </c>
      <c r="D903">
        <f>IFERROR(INDEX(E903:DD903,$F$1),"")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  <c r="DD903">
        <f>$C903*DD902</f>
        <v/>
      </c>
    </row>
    <row r="904">
      <c r="B904" t="inlineStr">
        <is>
          <t>VSP-601</t>
        </is>
      </c>
      <c r="C904" t="inlineStr">
        <is>
          <t>No. of batches</t>
        </is>
      </c>
      <c r="D904">
        <f>IFERROR(INDEX(E904:DD904,$F$1),"")</f>
        <v/>
      </c>
      <c r="E904">
        <f>IFERROR(INDEX(PP_Grid[#Data],$DE904,2),0)</f>
        <v/>
      </c>
      <c r="F904">
        <f>IFERROR(INDEX(PP_Grid[#Data],$DE904,3),0)</f>
        <v/>
      </c>
      <c r="G904">
        <f>IFERROR(INDEX(PP_Grid[#Data],$DE904,4),0)</f>
        <v/>
      </c>
      <c r="H904">
        <f>IFERROR(INDEX(PP_Grid[#Data],$DE904,5),0)</f>
        <v/>
      </c>
      <c r="I904">
        <f>IFERROR(INDEX(PP_Grid[#Data],$DE904,6),0)</f>
        <v/>
      </c>
      <c r="J904">
        <f>IFERROR(INDEX(PP_Grid[#Data],$DE904,7),0)</f>
        <v/>
      </c>
      <c r="K904">
        <f>IFERROR(INDEX(PP_Grid[#Data],$DE904,8),0)</f>
        <v/>
      </c>
      <c r="L904">
        <f>IFERROR(INDEX(PP_Grid[#Data],$DE904,9),0)</f>
        <v/>
      </c>
      <c r="M904">
        <f>IFERROR(INDEX(PP_Grid[#Data],$DE904,10),0)</f>
        <v/>
      </c>
      <c r="N904">
        <f>IFERROR(INDEX(PP_Grid[#Data],$DE904,11),0)</f>
        <v/>
      </c>
      <c r="O904">
        <f>IFERROR(INDEX(PP_Grid[#Data],$DE904,12),0)</f>
        <v/>
      </c>
      <c r="P904">
        <f>IFERROR(INDEX(PP_Grid[#Data],$DE904,13),0)</f>
        <v/>
      </c>
      <c r="Q904">
        <f>IFERROR(INDEX(PP_Grid[#Data],$DE904,14),0)</f>
        <v/>
      </c>
      <c r="R904">
        <f>IFERROR(INDEX(PP_Grid[#Data],$DE904,15),0)</f>
        <v/>
      </c>
      <c r="S904">
        <f>IFERROR(INDEX(PP_Grid[#Data],$DE904,16),0)</f>
        <v/>
      </c>
      <c r="T904">
        <f>IFERROR(INDEX(PP_Grid[#Data],$DE904,17),0)</f>
        <v/>
      </c>
      <c r="U904">
        <f>IFERROR(INDEX(PP_Grid[#Data],$DE904,18),0)</f>
        <v/>
      </c>
      <c r="V904">
        <f>IFERROR(INDEX(PP_Grid[#Data],$DE904,19),0)</f>
        <v/>
      </c>
      <c r="W904">
        <f>IFERROR(INDEX(PP_Grid[#Data],$DE904,20),0)</f>
        <v/>
      </c>
      <c r="X904">
        <f>IFERROR(INDEX(PP_Grid[#Data],$DE904,21),0)</f>
        <v/>
      </c>
      <c r="Y904">
        <f>IFERROR(INDEX(PP_Grid[#Data],$DE904,22),0)</f>
        <v/>
      </c>
      <c r="Z904">
        <f>IFERROR(INDEX(PP_Grid[#Data],$DE904,23),0)</f>
        <v/>
      </c>
      <c r="AA904">
        <f>IFERROR(INDEX(PP_Grid[#Data],$DE904,24),0)</f>
        <v/>
      </c>
      <c r="AB904">
        <f>IFERROR(INDEX(PP_Grid[#Data],$DE904,25),0)</f>
        <v/>
      </c>
      <c r="AC904">
        <f>IFERROR(INDEX(PP_Grid[#Data],$DE904,26),0)</f>
        <v/>
      </c>
      <c r="AD904">
        <f>IFERROR(INDEX(PP_Grid[#Data],$DE904,27),0)</f>
        <v/>
      </c>
      <c r="AE904">
        <f>IFERROR(INDEX(PP_Grid[#Data],$DE904,28),0)</f>
        <v/>
      </c>
      <c r="AF904">
        <f>IFERROR(INDEX(PP_Grid[#Data],$DE904,29),0)</f>
        <v/>
      </c>
      <c r="AG904">
        <f>IFERROR(INDEX(PP_Grid[#Data],$DE904,30),0)</f>
        <v/>
      </c>
      <c r="AH904">
        <f>IFERROR(INDEX(PP_Grid[#Data],$DE904,31),0)</f>
        <v/>
      </c>
      <c r="AI904">
        <f>IFERROR(INDEX(PP_Grid[#Data],$DE904,32),0)</f>
        <v/>
      </c>
      <c r="AJ904">
        <f>IFERROR(INDEX(PP_Grid[#Data],$DE904,33),0)</f>
        <v/>
      </c>
      <c r="AK904">
        <f>IFERROR(INDEX(PP_Grid[#Data],$DE904,34),0)</f>
        <v/>
      </c>
      <c r="AL904">
        <f>IFERROR(INDEX(PP_Grid[#Data],$DE904,35),0)</f>
        <v/>
      </c>
      <c r="AM904">
        <f>IFERROR(INDEX(PP_Grid[#Data],$DE904,36),0)</f>
        <v/>
      </c>
      <c r="AN904">
        <f>IFERROR(INDEX(PP_Grid[#Data],$DE904,37),0)</f>
        <v/>
      </c>
      <c r="AO904">
        <f>IFERROR(INDEX(PP_Grid[#Data],$DE904,38),0)</f>
        <v/>
      </c>
      <c r="AP904">
        <f>IFERROR(INDEX(PP_Grid[#Data],$DE904,39),0)</f>
        <v/>
      </c>
      <c r="AQ904">
        <f>IFERROR(INDEX(PP_Grid[#Data],$DE904,40),0)</f>
        <v/>
      </c>
      <c r="AR904">
        <f>IFERROR(INDEX(PP_Grid[#Data],$DE904,41),0)</f>
        <v/>
      </c>
      <c r="AS904">
        <f>IFERROR(INDEX(PP_Grid[#Data],$DE904,42),0)</f>
        <v/>
      </c>
      <c r="AT904">
        <f>IFERROR(INDEX(PP_Grid[#Data],$DE904,43),0)</f>
        <v/>
      </c>
      <c r="AU904">
        <f>IFERROR(INDEX(PP_Grid[#Data],$DE904,44),0)</f>
        <v/>
      </c>
      <c r="AV904">
        <f>IFERROR(INDEX(PP_Grid[#Data],$DE904,45),0)</f>
        <v/>
      </c>
      <c r="AW904">
        <f>IFERROR(INDEX(PP_Grid[#Data],$DE904,46),0)</f>
        <v/>
      </c>
      <c r="AX904">
        <f>IFERROR(INDEX(PP_Grid[#Data],$DE904,47),0)</f>
        <v/>
      </c>
      <c r="AY904">
        <f>IFERROR(INDEX(PP_Grid[#Data],$DE904,48),0)</f>
        <v/>
      </c>
      <c r="AZ904">
        <f>IFERROR(INDEX(PP_Grid[#Data],$DE904,49),0)</f>
        <v/>
      </c>
      <c r="BA904">
        <f>IFERROR(INDEX(PP_Grid[#Data],$DE904,50),0)</f>
        <v/>
      </c>
      <c r="BB904">
        <f>IFERROR(INDEX(PP_Grid[#Data],$DE904,51),0)</f>
        <v/>
      </c>
      <c r="BC904">
        <f>IFERROR(INDEX(PP_Grid[#Data],$DE904,52),0)</f>
        <v/>
      </c>
      <c r="BD904">
        <f>IFERROR(INDEX(PP_Grid[#Data],$DE904,53),0)</f>
        <v/>
      </c>
      <c r="BE904">
        <f>IFERROR(INDEX(PP_Grid[#Data],$DE904,54),0)</f>
        <v/>
      </c>
      <c r="BF904">
        <f>IFERROR(INDEX(PP_Grid[#Data],$DE904,55),0)</f>
        <v/>
      </c>
      <c r="BG904">
        <f>IFERROR(INDEX(PP_Grid[#Data],$DE904,56),0)</f>
        <v/>
      </c>
      <c r="BH904">
        <f>IFERROR(INDEX(PP_Grid[#Data],$DE904,57),0)</f>
        <v/>
      </c>
      <c r="BI904">
        <f>IFERROR(INDEX(PP_Grid[#Data],$DE904,58),0)</f>
        <v/>
      </c>
      <c r="BJ904">
        <f>IFERROR(INDEX(PP_Grid[#Data],$DE904,59),0)</f>
        <v/>
      </c>
      <c r="BK904">
        <f>IFERROR(INDEX(PP_Grid[#Data],$DE904,60),0)</f>
        <v/>
      </c>
      <c r="BL904">
        <f>IFERROR(INDEX(PP_Grid[#Data],$DE904,61),0)</f>
        <v/>
      </c>
      <c r="BM904">
        <f>IFERROR(INDEX(PP_Grid[#Data],$DE904,62),0)</f>
        <v/>
      </c>
      <c r="BN904">
        <f>IFERROR(INDEX(PP_Grid[#Data],$DE904,63),0)</f>
        <v/>
      </c>
      <c r="BO904">
        <f>IFERROR(INDEX(PP_Grid[#Data],$DE904,64),0)</f>
        <v/>
      </c>
      <c r="BP904">
        <f>IFERROR(INDEX(PP_Grid[#Data],$DE904,65),0)</f>
        <v/>
      </c>
      <c r="BQ904">
        <f>IFERROR(INDEX(PP_Grid[#Data],$DE904,66),0)</f>
        <v/>
      </c>
      <c r="BR904">
        <f>IFERROR(INDEX(PP_Grid[#Data],$DE904,67),0)</f>
        <v/>
      </c>
      <c r="BS904">
        <f>IFERROR(INDEX(PP_Grid[#Data],$DE904,68),0)</f>
        <v/>
      </c>
      <c r="BT904">
        <f>IFERROR(INDEX(PP_Grid[#Data],$DE904,69),0)</f>
        <v/>
      </c>
      <c r="BU904">
        <f>IFERROR(INDEX(PP_Grid[#Data],$DE904,70),0)</f>
        <v/>
      </c>
      <c r="BV904">
        <f>IFERROR(INDEX(PP_Grid[#Data],$DE904,71),0)</f>
        <v/>
      </c>
      <c r="BW904">
        <f>IFERROR(INDEX(PP_Grid[#Data],$DE904,72),0)</f>
        <v/>
      </c>
      <c r="BX904">
        <f>IFERROR(INDEX(PP_Grid[#Data],$DE904,73),0)</f>
        <v/>
      </c>
      <c r="BY904">
        <f>IFERROR(INDEX(PP_Grid[#Data],$DE904,74),0)</f>
        <v/>
      </c>
      <c r="BZ904">
        <f>IFERROR(INDEX(PP_Grid[#Data],$DE904,75),0)</f>
        <v/>
      </c>
      <c r="CA904">
        <f>IFERROR(INDEX(PP_Grid[#Data],$DE904,76),0)</f>
        <v/>
      </c>
      <c r="CB904">
        <f>IFERROR(INDEX(PP_Grid[#Data],$DE904,77),0)</f>
        <v/>
      </c>
      <c r="CC904">
        <f>IFERROR(INDEX(PP_Grid[#Data],$DE904,78),0)</f>
        <v/>
      </c>
      <c r="CD904">
        <f>IFERROR(INDEX(PP_Grid[#Data],$DE904,79),0)</f>
        <v/>
      </c>
      <c r="CE904">
        <f>IFERROR(INDEX(PP_Grid[#Data],$DE904,80),0)</f>
        <v/>
      </c>
      <c r="CF904">
        <f>IFERROR(INDEX(PP_Grid[#Data],$DE904,81),0)</f>
        <v/>
      </c>
      <c r="CG904">
        <f>IFERROR(INDEX(PP_Grid[#Data],$DE904,82),0)</f>
        <v/>
      </c>
      <c r="CH904">
        <f>IFERROR(INDEX(PP_Grid[#Data],$DE904,83),0)</f>
        <v/>
      </c>
      <c r="CI904">
        <f>IFERROR(INDEX(PP_Grid[#Data],$DE904,84),0)</f>
        <v/>
      </c>
      <c r="CJ904">
        <f>IFERROR(INDEX(PP_Grid[#Data],$DE904,85),0)</f>
        <v/>
      </c>
      <c r="CK904">
        <f>IFERROR(INDEX(PP_Grid[#Data],$DE904,86),0)</f>
        <v/>
      </c>
      <c r="CL904">
        <f>IFERROR(INDEX(PP_Grid[#Data],$DE904,87),0)</f>
        <v/>
      </c>
      <c r="CM904">
        <f>IFERROR(INDEX(PP_Grid[#Data],$DE904,88),0)</f>
        <v/>
      </c>
      <c r="CN904">
        <f>IFERROR(INDEX(PP_Grid[#Data],$DE904,89),0)</f>
        <v/>
      </c>
      <c r="CO904">
        <f>IFERROR(INDEX(PP_Grid[#Data],$DE904,90),0)</f>
        <v/>
      </c>
      <c r="CP904">
        <f>IFERROR(INDEX(PP_Grid[#Data],$DE904,91),0)</f>
        <v/>
      </c>
      <c r="CQ904">
        <f>IFERROR(INDEX(PP_Grid[#Data],$DE904,92),0)</f>
        <v/>
      </c>
      <c r="CR904">
        <f>IFERROR(INDEX(PP_Grid[#Data],$DE904,93),0)</f>
        <v/>
      </c>
      <c r="CS904">
        <f>IFERROR(INDEX(PP_Grid[#Data],$DE904,94),0)</f>
        <v/>
      </c>
      <c r="CT904">
        <f>IFERROR(INDEX(PP_Grid[#Data],$DE904,95),0)</f>
        <v/>
      </c>
      <c r="CU904">
        <f>IFERROR(INDEX(PP_Grid[#Data],$DE904,96),0)</f>
        <v/>
      </c>
      <c r="CV904">
        <f>IFERROR(INDEX(PP_Grid[#Data],$DE904,97),0)</f>
        <v/>
      </c>
      <c r="CW904">
        <f>IFERROR(INDEX(PP_Grid[#Data],$DE904,98),0)</f>
        <v/>
      </c>
      <c r="CX904">
        <f>IFERROR(INDEX(PP_Grid[#Data],$DE904,99),0)</f>
        <v/>
      </c>
      <c r="CY904">
        <f>IFERROR(INDEX(PP_Grid[#Data],$DE904,100),0)</f>
        <v/>
      </c>
      <c r="CZ904">
        <f>IFERROR(INDEX(PP_Grid[#Data],$DE904,101),0)</f>
        <v/>
      </c>
      <c r="DA904">
        <f>IFERROR(INDEX(PP_Grid[#Data],$DE904,102),0)</f>
        <v/>
      </c>
      <c r="DB904">
        <f>IFERROR(INDEX(PP_Grid[#Data],$DE904,103),0)</f>
        <v/>
      </c>
      <c r="DC904">
        <f>IFERROR(INDEX(PP_Grid[#Data],$DE904,104),0)</f>
        <v/>
      </c>
      <c r="DD904">
        <f>IFERROR(INDEX(PP_Grid[#Data],$DE904,105),0)</f>
        <v/>
      </c>
      <c r="DE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SUMIFS(M_BOM[RM_Qty_Per_Batch],M_BOM[Intermediate],$B904,M_BOM[RM_Code],$A891)</f>
        <v/>
      </c>
      <c r="D905">
        <f>IFERROR(INDEX(E905:DD905,$F$1),"")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  <c r="DD905">
        <f>$C905*DD904</f>
        <v/>
      </c>
    </row>
    <row r="906">
      <c r="B906" t="inlineStr">
        <is>
          <t>VSP-603</t>
        </is>
      </c>
      <c r="C906" t="inlineStr">
        <is>
          <t>No. of batches</t>
        </is>
      </c>
      <c r="D906">
        <f>IFERROR(INDEX(E906:DD906,$F$1),"")</f>
        <v/>
      </c>
      <c r="E906">
        <f>IFERROR(INDEX(PP_Grid[#Data],$DE906,2),0)</f>
        <v/>
      </c>
      <c r="F906">
        <f>IFERROR(INDEX(PP_Grid[#Data],$DE906,3),0)</f>
        <v/>
      </c>
      <c r="G906">
        <f>IFERROR(INDEX(PP_Grid[#Data],$DE906,4),0)</f>
        <v/>
      </c>
      <c r="H906">
        <f>IFERROR(INDEX(PP_Grid[#Data],$DE906,5),0)</f>
        <v/>
      </c>
      <c r="I906">
        <f>IFERROR(INDEX(PP_Grid[#Data],$DE906,6),0)</f>
        <v/>
      </c>
      <c r="J906">
        <f>IFERROR(INDEX(PP_Grid[#Data],$DE906,7),0)</f>
        <v/>
      </c>
      <c r="K906">
        <f>IFERROR(INDEX(PP_Grid[#Data],$DE906,8),0)</f>
        <v/>
      </c>
      <c r="L906">
        <f>IFERROR(INDEX(PP_Grid[#Data],$DE906,9),0)</f>
        <v/>
      </c>
      <c r="M906">
        <f>IFERROR(INDEX(PP_Grid[#Data],$DE906,10),0)</f>
        <v/>
      </c>
      <c r="N906">
        <f>IFERROR(INDEX(PP_Grid[#Data],$DE906,11),0)</f>
        <v/>
      </c>
      <c r="O906">
        <f>IFERROR(INDEX(PP_Grid[#Data],$DE906,12),0)</f>
        <v/>
      </c>
      <c r="P906">
        <f>IFERROR(INDEX(PP_Grid[#Data],$DE906,13),0)</f>
        <v/>
      </c>
      <c r="Q906">
        <f>IFERROR(INDEX(PP_Grid[#Data],$DE906,14),0)</f>
        <v/>
      </c>
      <c r="R906">
        <f>IFERROR(INDEX(PP_Grid[#Data],$DE906,15),0)</f>
        <v/>
      </c>
      <c r="S906">
        <f>IFERROR(INDEX(PP_Grid[#Data],$DE906,16),0)</f>
        <v/>
      </c>
      <c r="T906">
        <f>IFERROR(INDEX(PP_Grid[#Data],$DE906,17),0)</f>
        <v/>
      </c>
      <c r="U906">
        <f>IFERROR(INDEX(PP_Grid[#Data],$DE906,18),0)</f>
        <v/>
      </c>
      <c r="V906">
        <f>IFERROR(INDEX(PP_Grid[#Data],$DE906,19),0)</f>
        <v/>
      </c>
      <c r="W906">
        <f>IFERROR(INDEX(PP_Grid[#Data],$DE906,20),0)</f>
        <v/>
      </c>
      <c r="X906">
        <f>IFERROR(INDEX(PP_Grid[#Data],$DE906,21),0)</f>
        <v/>
      </c>
      <c r="Y906">
        <f>IFERROR(INDEX(PP_Grid[#Data],$DE906,22),0)</f>
        <v/>
      </c>
      <c r="Z906">
        <f>IFERROR(INDEX(PP_Grid[#Data],$DE906,23),0)</f>
        <v/>
      </c>
      <c r="AA906">
        <f>IFERROR(INDEX(PP_Grid[#Data],$DE906,24),0)</f>
        <v/>
      </c>
      <c r="AB906">
        <f>IFERROR(INDEX(PP_Grid[#Data],$DE906,25),0)</f>
        <v/>
      </c>
      <c r="AC906">
        <f>IFERROR(INDEX(PP_Grid[#Data],$DE906,26),0)</f>
        <v/>
      </c>
      <c r="AD906">
        <f>IFERROR(INDEX(PP_Grid[#Data],$DE906,27),0)</f>
        <v/>
      </c>
      <c r="AE906">
        <f>IFERROR(INDEX(PP_Grid[#Data],$DE906,28),0)</f>
        <v/>
      </c>
      <c r="AF906">
        <f>IFERROR(INDEX(PP_Grid[#Data],$DE906,29),0)</f>
        <v/>
      </c>
      <c r="AG906">
        <f>IFERROR(INDEX(PP_Grid[#Data],$DE906,30),0)</f>
        <v/>
      </c>
      <c r="AH906">
        <f>IFERROR(INDEX(PP_Grid[#Data],$DE906,31),0)</f>
        <v/>
      </c>
      <c r="AI906">
        <f>IFERROR(INDEX(PP_Grid[#Data],$DE906,32),0)</f>
        <v/>
      </c>
      <c r="AJ906">
        <f>IFERROR(INDEX(PP_Grid[#Data],$DE906,33),0)</f>
        <v/>
      </c>
      <c r="AK906">
        <f>IFERROR(INDEX(PP_Grid[#Data],$DE906,34),0)</f>
        <v/>
      </c>
      <c r="AL906">
        <f>IFERROR(INDEX(PP_Grid[#Data],$DE906,35),0)</f>
        <v/>
      </c>
      <c r="AM906">
        <f>IFERROR(INDEX(PP_Grid[#Data],$DE906,36),0)</f>
        <v/>
      </c>
      <c r="AN906">
        <f>IFERROR(INDEX(PP_Grid[#Data],$DE906,37),0)</f>
        <v/>
      </c>
      <c r="AO906">
        <f>IFERROR(INDEX(PP_Grid[#Data],$DE906,38),0)</f>
        <v/>
      </c>
      <c r="AP906">
        <f>IFERROR(INDEX(PP_Grid[#Data],$DE906,39),0)</f>
        <v/>
      </c>
      <c r="AQ906">
        <f>IFERROR(INDEX(PP_Grid[#Data],$DE906,40),0)</f>
        <v/>
      </c>
      <c r="AR906">
        <f>IFERROR(INDEX(PP_Grid[#Data],$DE906,41),0)</f>
        <v/>
      </c>
      <c r="AS906">
        <f>IFERROR(INDEX(PP_Grid[#Data],$DE906,42),0)</f>
        <v/>
      </c>
      <c r="AT906">
        <f>IFERROR(INDEX(PP_Grid[#Data],$DE906,43),0)</f>
        <v/>
      </c>
      <c r="AU906">
        <f>IFERROR(INDEX(PP_Grid[#Data],$DE906,44),0)</f>
        <v/>
      </c>
      <c r="AV906">
        <f>IFERROR(INDEX(PP_Grid[#Data],$DE906,45),0)</f>
        <v/>
      </c>
      <c r="AW906">
        <f>IFERROR(INDEX(PP_Grid[#Data],$DE906,46),0)</f>
        <v/>
      </c>
      <c r="AX906">
        <f>IFERROR(INDEX(PP_Grid[#Data],$DE906,47),0)</f>
        <v/>
      </c>
      <c r="AY906">
        <f>IFERROR(INDEX(PP_Grid[#Data],$DE906,48),0)</f>
        <v/>
      </c>
      <c r="AZ906">
        <f>IFERROR(INDEX(PP_Grid[#Data],$DE906,49),0)</f>
        <v/>
      </c>
      <c r="BA906">
        <f>IFERROR(INDEX(PP_Grid[#Data],$DE906,50),0)</f>
        <v/>
      </c>
      <c r="BB906">
        <f>IFERROR(INDEX(PP_Grid[#Data],$DE906,51),0)</f>
        <v/>
      </c>
      <c r="BC906">
        <f>IFERROR(INDEX(PP_Grid[#Data],$DE906,52),0)</f>
        <v/>
      </c>
      <c r="BD906">
        <f>IFERROR(INDEX(PP_Grid[#Data],$DE906,53),0)</f>
        <v/>
      </c>
      <c r="BE906">
        <f>IFERROR(INDEX(PP_Grid[#Data],$DE906,54),0)</f>
        <v/>
      </c>
      <c r="BF906">
        <f>IFERROR(INDEX(PP_Grid[#Data],$DE906,55),0)</f>
        <v/>
      </c>
      <c r="BG906">
        <f>IFERROR(INDEX(PP_Grid[#Data],$DE906,56),0)</f>
        <v/>
      </c>
      <c r="BH906">
        <f>IFERROR(INDEX(PP_Grid[#Data],$DE906,57),0)</f>
        <v/>
      </c>
      <c r="BI906">
        <f>IFERROR(INDEX(PP_Grid[#Data],$DE906,58),0)</f>
        <v/>
      </c>
      <c r="BJ906">
        <f>IFERROR(INDEX(PP_Grid[#Data],$DE906,59),0)</f>
        <v/>
      </c>
      <c r="BK906">
        <f>IFERROR(INDEX(PP_Grid[#Data],$DE906,60),0)</f>
        <v/>
      </c>
      <c r="BL906">
        <f>IFERROR(INDEX(PP_Grid[#Data],$DE906,61),0)</f>
        <v/>
      </c>
      <c r="BM906">
        <f>IFERROR(INDEX(PP_Grid[#Data],$DE906,62),0)</f>
        <v/>
      </c>
      <c r="BN906">
        <f>IFERROR(INDEX(PP_Grid[#Data],$DE906,63),0)</f>
        <v/>
      </c>
      <c r="BO906">
        <f>IFERROR(INDEX(PP_Grid[#Data],$DE906,64),0)</f>
        <v/>
      </c>
      <c r="BP906">
        <f>IFERROR(INDEX(PP_Grid[#Data],$DE906,65),0)</f>
        <v/>
      </c>
      <c r="BQ906">
        <f>IFERROR(INDEX(PP_Grid[#Data],$DE906,66),0)</f>
        <v/>
      </c>
      <c r="BR906">
        <f>IFERROR(INDEX(PP_Grid[#Data],$DE906,67),0)</f>
        <v/>
      </c>
      <c r="BS906">
        <f>IFERROR(INDEX(PP_Grid[#Data],$DE906,68),0)</f>
        <v/>
      </c>
      <c r="BT906">
        <f>IFERROR(INDEX(PP_Grid[#Data],$DE906,69),0)</f>
        <v/>
      </c>
      <c r="BU906">
        <f>IFERROR(INDEX(PP_Grid[#Data],$DE906,70),0)</f>
        <v/>
      </c>
      <c r="BV906">
        <f>IFERROR(INDEX(PP_Grid[#Data],$DE906,71),0)</f>
        <v/>
      </c>
      <c r="BW906">
        <f>IFERROR(INDEX(PP_Grid[#Data],$DE906,72),0)</f>
        <v/>
      </c>
      <c r="BX906">
        <f>IFERROR(INDEX(PP_Grid[#Data],$DE906,73),0)</f>
        <v/>
      </c>
      <c r="BY906">
        <f>IFERROR(INDEX(PP_Grid[#Data],$DE906,74),0)</f>
        <v/>
      </c>
      <c r="BZ906">
        <f>IFERROR(INDEX(PP_Grid[#Data],$DE906,75),0)</f>
        <v/>
      </c>
      <c r="CA906">
        <f>IFERROR(INDEX(PP_Grid[#Data],$DE906,76),0)</f>
        <v/>
      </c>
      <c r="CB906">
        <f>IFERROR(INDEX(PP_Grid[#Data],$DE906,77),0)</f>
        <v/>
      </c>
      <c r="CC906">
        <f>IFERROR(INDEX(PP_Grid[#Data],$DE906,78),0)</f>
        <v/>
      </c>
      <c r="CD906">
        <f>IFERROR(INDEX(PP_Grid[#Data],$DE906,79),0)</f>
        <v/>
      </c>
      <c r="CE906">
        <f>IFERROR(INDEX(PP_Grid[#Data],$DE906,80),0)</f>
        <v/>
      </c>
      <c r="CF906">
        <f>IFERROR(INDEX(PP_Grid[#Data],$DE906,81),0)</f>
        <v/>
      </c>
      <c r="CG906">
        <f>IFERROR(INDEX(PP_Grid[#Data],$DE906,82),0)</f>
        <v/>
      </c>
      <c r="CH906">
        <f>IFERROR(INDEX(PP_Grid[#Data],$DE906,83),0)</f>
        <v/>
      </c>
      <c r="CI906">
        <f>IFERROR(INDEX(PP_Grid[#Data],$DE906,84),0)</f>
        <v/>
      </c>
      <c r="CJ906">
        <f>IFERROR(INDEX(PP_Grid[#Data],$DE906,85),0)</f>
        <v/>
      </c>
      <c r="CK906">
        <f>IFERROR(INDEX(PP_Grid[#Data],$DE906,86),0)</f>
        <v/>
      </c>
      <c r="CL906">
        <f>IFERROR(INDEX(PP_Grid[#Data],$DE906,87),0)</f>
        <v/>
      </c>
      <c r="CM906">
        <f>IFERROR(INDEX(PP_Grid[#Data],$DE906,88),0)</f>
        <v/>
      </c>
      <c r="CN906">
        <f>IFERROR(INDEX(PP_Grid[#Data],$DE906,89),0)</f>
        <v/>
      </c>
      <c r="CO906">
        <f>IFERROR(INDEX(PP_Grid[#Data],$DE906,90),0)</f>
        <v/>
      </c>
      <c r="CP906">
        <f>IFERROR(INDEX(PP_Grid[#Data],$DE906,91),0)</f>
        <v/>
      </c>
      <c r="CQ906">
        <f>IFERROR(INDEX(PP_Grid[#Data],$DE906,92),0)</f>
        <v/>
      </c>
      <c r="CR906">
        <f>IFERROR(INDEX(PP_Grid[#Data],$DE906,93),0)</f>
        <v/>
      </c>
      <c r="CS906">
        <f>IFERROR(INDEX(PP_Grid[#Data],$DE906,94),0)</f>
        <v/>
      </c>
      <c r="CT906">
        <f>IFERROR(INDEX(PP_Grid[#Data],$DE906,95),0)</f>
        <v/>
      </c>
      <c r="CU906">
        <f>IFERROR(INDEX(PP_Grid[#Data],$DE906,96),0)</f>
        <v/>
      </c>
      <c r="CV906">
        <f>IFERROR(INDEX(PP_Grid[#Data],$DE906,97),0)</f>
        <v/>
      </c>
      <c r="CW906">
        <f>IFERROR(INDEX(PP_Grid[#Data],$DE906,98),0)</f>
        <v/>
      </c>
      <c r="CX906">
        <f>IFERROR(INDEX(PP_Grid[#Data],$DE906,99),0)</f>
        <v/>
      </c>
      <c r="CY906">
        <f>IFERROR(INDEX(PP_Grid[#Data],$DE906,100),0)</f>
        <v/>
      </c>
      <c r="CZ906">
        <f>IFERROR(INDEX(PP_Grid[#Data],$DE906,101),0)</f>
        <v/>
      </c>
      <c r="DA906">
        <f>IFERROR(INDEX(PP_Grid[#Data],$DE906,102),0)</f>
        <v/>
      </c>
      <c r="DB906">
        <f>IFERROR(INDEX(PP_Grid[#Data],$DE906,103),0)</f>
        <v/>
      </c>
      <c r="DC906">
        <f>IFERROR(INDEX(PP_Grid[#Data],$DE906,104),0)</f>
        <v/>
      </c>
      <c r="DD906">
        <f>IFERROR(INDEX(PP_Grid[#Data],$DE906,105),0)</f>
        <v/>
      </c>
      <c r="DE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SUMIFS(M_BOM[RM_Qty_Per_Batch],M_BOM[Intermediate],$B906,M_BOM[RM_Code],$A891)</f>
        <v/>
      </c>
      <c r="D907">
        <f>IFERROR(INDEX(E907:DD907,$F$1),"")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  <c r="DD907">
        <f>$C907*DD906</f>
        <v/>
      </c>
    </row>
    <row r="908">
      <c r="B908" t="inlineStr">
        <is>
          <t>VSP-604</t>
        </is>
      </c>
      <c r="C908" t="inlineStr">
        <is>
          <t>No. of batches</t>
        </is>
      </c>
      <c r="D908">
        <f>IFERROR(INDEX(E908:DD908,$F$1),"")</f>
        <v/>
      </c>
      <c r="E908">
        <f>IFERROR(INDEX(PP_Grid[#Data],$DE908,2),0)</f>
        <v/>
      </c>
      <c r="F908">
        <f>IFERROR(INDEX(PP_Grid[#Data],$DE908,3),0)</f>
        <v/>
      </c>
      <c r="G908">
        <f>IFERROR(INDEX(PP_Grid[#Data],$DE908,4),0)</f>
        <v/>
      </c>
      <c r="H908">
        <f>IFERROR(INDEX(PP_Grid[#Data],$DE908,5),0)</f>
        <v/>
      </c>
      <c r="I908">
        <f>IFERROR(INDEX(PP_Grid[#Data],$DE908,6),0)</f>
        <v/>
      </c>
      <c r="J908">
        <f>IFERROR(INDEX(PP_Grid[#Data],$DE908,7),0)</f>
        <v/>
      </c>
      <c r="K908">
        <f>IFERROR(INDEX(PP_Grid[#Data],$DE908,8),0)</f>
        <v/>
      </c>
      <c r="L908">
        <f>IFERROR(INDEX(PP_Grid[#Data],$DE908,9),0)</f>
        <v/>
      </c>
      <c r="M908">
        <f>IFERROR(INDEX(PP_Grid[#Data],$DE908,10),0)</f>
        <v/>
      </c>
      <c r="N908">
        <f>IFERROR(INDEX(PP_Grid[#Data],$DE908,11),0)</f>
        <v/>
      </c>
      <c r="O908">
        <f>IFERROR(INDEX(PP_Grid[#Data],$DE908,12),0)</f>
        <v/>
      </c>
      <c r="P908">
        <f>IFERROR(INDEX(PP_Grid[#Data],$DE908,13),0)</f>
        <v/>
      </c>
      <c r="Q908">
        <f>IFERROR(INDEX(PP_Grid[#Data],$DE908,14),0)</f>
        <v/>
      </c>
      <c r="R908">
        <f>IFERROR(INDEX(PP_Grid[#Data],$DE908,15),0)</f>
        <v/>
      </c>
      <c r="S908">
        <f>IFERROR(INDEX(PP_Grid[#Data],$DE908,16),0)</f>
        <v/>
      </c>
      <c r="T908">
        <f>IFERROR(INDEX(PP_Grid[#Data],$DE908,17),0)</f>
        <v/>
      </c>
      <c r="U908">
        <f>IFERROR(INDEX(PP_Grid[#Data],$DE908,18),0)</f>
        <v/>
      </c>
      <c r="V908">
        <f>IFERROR(INDEX(PP_Grid[#Data],$DE908,19),0)</f>
        <v/>
      </c>
      <c r="W908">
        <f>IFERROR(INDEX(PP_Grid[#Data],$DE908,20),0)</f>
        <v/>
      </c>
      <c r="X908">
        <f>IFERROR(INDEX(PP_Grid[#Data],$DE908,21),0)</f>
        <v/>
      </c>
      <c r="Y908">
        <f>IFERROR(INDEX(PP_Grid[#Data],$DE908,22),0)</f>
        <v/>
      </c>
      <c r="Z908">
        <f>IFERROR(INDEX(PP_Grid[#Data],$DE908,23),0)</f>
        <v/>
      </c>
      <c r="AA908">
        <f>IFERROR(INDEX(PP_Grid[#Data],$DE908,24),0)</f>
        <v/>
      </c>
      <c r="AB908">
        <f>IFERROR(INDEX(PP_Grid[#Data],$DE908,25),0)</f>
        <v/>
      </c>
      <c r="AC908">
        <f>IFERROR(INDEX(PP_Grid[#Data],$DE908,26),0)</f>
        <v/>
      </c>
      <c r="AD908">
        <f>IFERROR(INDEX(PP_Grid[#Data],$DE908,27),0)</f>
        <v/>
      </c>
      <c r="AE908">
        <f>IFERROR(INDEX(PP_Grid[#Data],$DE908,28),0)</f>
        <v/>
      </c>
      <c r="AF908">
        <f>IFERROR(INDEX(PP_Grid[#Data],$DE908,29),0)</f>
        <v/>
      </c>
      <c r="AG908">
        <f>IFERROR(INDEX(PP_Grid[#Data],$DE908,30),0)</f>
        <v/>
      </c>
      <c r="AH908">
        <f>IFERROR(INDEX(PP_Grid[#Data],$DE908,31),0)</f>
        <v/>
      </c>
      <c r="AI908">
        <f>IFERROR(INDEX(PP_Grid[#Data],$DE908,32),0)</f>
        <v/>
      </c>
      <c r="AJ908">
        <f>IFERROR(INDEX(PP_Grid[#Data],$DE908,33),0)</f>
        <v/>
      </c>
      <c r="AK908">
        <f>IFERROR(INDEX(PP_Grid[#Data],$DE908,34),0)</f>
        <v/>
      </c>
      <c r="AL908">
        <f>IFERROR(INDEX(PP_Grid[#Data],$DE908,35),0)</f>
        <v/>
      </c>
      <c r="AM908">
        <f>IFERROR(INDEX(PP_Grid[#Data],$DE908,36),0)</f>
        <v/>
      </c>
      <c r="AN908">
        <f>IFERROR(INDEX(PP_Grid[#Data],$DE908,37),0)</f>
        <v/>
      </c>
      <c r="AO908">
        <f>IFERROR(INDEX(PP_Grid[#Data],$DE908,38),0)</f>
        <v/>
      </c>
      <c r="AP908">
        <f>IFERROR(INDEX(PP_Grid[#Data],$DE908,39),0)</f>
        <v/>
      </c>
      <c r="AQ908">
        <f>IFERROR(INDEX(PP_Grid[#Data],$DE908,40),0)</f>
        <v/>
      </c>
      <c r="AR908">
        <f>IFERROR(INDEX(PP_Grid[#Data],$DE908,41),0)</f>
        <v/>
      </c>
      <c r="AS908">
        <f>IFERROR(INDEX(PP_Grid[#Data],$DE908,42),0)</f>
        <v/>
      </c>
      <c r="AT908">
        <f>IFERROR(INDEX(PP_Grid[#Data],$DE908,43),0)</f>
        <v/>
      </c>
      <c r="AU908">
        <f>IFERROR(INDEX(PP_Grid[#Data],$DE908,44),0)</f>
        <v/>
      </c>
      <c r="AV908">
        <f>IFERROR(INDEX(PP_Grid[#Data],$DE908,45),0)</f>
        <v/>
      </c>
      <c r="AW908">
        <f>IFERROR(INDEX(PP_Grid[#Data],$DE908,46),0)</f>
        <v/>
      </c>
      <c r="AX908">
        <f>IFERROR(INDEX(PP_Grid[#Data],$DE908,47),0)</f>
        <v/>
      </c>
      <c r="AY908">
        <f>IFERROR(INDEX(PP_Grid[#Data],$DE908,48),0)</f>
        <v/>
      </c>
      <c r="AZ908">
        <f>IFERROR(INDEX(PP_Grid[#Data],$DE908,49),0)</f>
        <v/>
      </c>
      <c r="BA908">
        <f>IFERROR(INDEX(PP_Grid[#Data],$DE908,50),0)</f>
        <v/>
      </c>
      <c r="BB908">
        <f>IFERROR(INDEX(PP_Grid[#Data],$DE908,51),0)</f>
        <v/>
      </c>
      <c r="BC908">
        <f>IFERROR(INDEX(PP_Grid[#Data],$DE908,52),0)</f>
        <v/>
      </c>
      <c r="BD908">
        <f>IFERROR(INDEX(PP_Grid[#Data],$DE908,53),0)</f>
        <v/>
      </c>
      <c r="BE908">
        <f>IFERROR(INDEX(PP_Grid[#Data],$DE908,54),0)</f>
        <v/>
      </c>
      <c r="BF908">
        <f>IFERROR(INDEX(PP_Grid[#Data],$DE908,55),0)</f>
        <v/>
      </c>
      <c r="BG908">
        <f>IFERROR(INDEX(PP_Grid[#Data],$DE908,56),0)</f>
        <v/>
      </c>
      <c r="BH908">
        <f>IFERROR(INDEX(PP_Grid[#Data],$DE908,57),0)</f>
        <v/>
      </c>
      <c r="BI908">
        <f>IFERROR(INDEX(PP_Grid[#Data],$DE908,58),0)</f>
        <v/>
      </c>
      <c r="BJ908">
        <f>IFERROR(INDEX(PP_Grid[#Data],$DE908,59),0)</f>
        <v/>
      </c>
      <c r="BK908">
        <f>IFERROR(INDEX(PP_Grid[#Data],$DE908,60),0)</f>
        <v/>
      </c>
      <c r="BL908">
        <f>IFERROR(INDEX(PP_Grid[#Data],$DE908,61),0)</f>
        <v/>
      </c>
      <c r="BM908">
        <f>IFERROR(INDEX(PP_Grid[#Data],$DE908,62),0)</f>
        <v/>
      </c>
      <c r="BN908">
        <f>IFERROR(INDEX(PP_Grid[#Data],$DE908,63),0)</f>
        <v/>
      </c>
      <c r="BO908">
        <f>IFERROR(INDEX(PP_Grid[#Data],$DE908,64),0)</f>
        <v/>
      </c>
      <c r="BP908">
        <f>IFERROR(INDEX(PP_Grid[#Data],$DE908,65),0)</f>
        <v/>
      </c>
      <c r="BQ908">
        <f>IFERROR(INDEX(PP_Grid[#Data],$DE908,66),0)</f>
        <v/>
      </c>
      <c r="BR908">
        <f>IFERROR(INDEX(PP_Grid[#Data],$DE908,67),0)</f>
        <v/>
      </c>
      <c r="BS908">
        <f>IFERROR(INDEX(PP_Grid[#Data],$DE908,68),0)</f>
        <v/>
      </c>
      <c r="BT908">
        <f>IFERROR(INDEX(PP_Grid[#Data],$DE908,69),0)</f>
        <v/>
      </c>
      <c r="BU908">
        <f>IFERROR(INDEX(PP_Grid[#Data],$DE908,70),0)</f>
        <v/>
      </c>
      <c r="BV908">
        <f>IFERROR(INDEX(PP_Grid[#Data],$DE908,71),0)</f>
        <v/>
      </c>
      <c r="BW908">
        <f>IFERROR(INDEX(PP_Grid[#Data],$DE908,72),0)</f>
        <v/>
      </c>
      <c r="BX908">
        <f>IFERROR(INDEX(PP_Grid[#Data],$DE908,73),0)</f>
        <v/>
      </c>
      <c r="BY908">
        <f>IFERROR(INDEX(PP_Grid[#Data],$DE908,74),0)</f>
        <v/>
      </c>
      <c r="BZ908">
        <f>IFERROR(INDEX(PP_Grid[#Data],$DE908,75),0)</f>
        <v/>
      </c>
      <c r="CA908">
        <f>IFERROR(INDEX(PP_Grid[#Data],$DE908,76),0)</f>
        <v/>
      </c>
      <c r="CB908">
        <f>IFERROR(INDEX(PP_Grid[#Data],$DE908,77),0)</f>
        <v/>
      </c>
      <c r="CC908">
        <f>IFERROR(INDEX(PP_Grid[#Data],$DE908,78),0)</f>
        <v/>
      </c>
      <c r="CD908">
        <f>IFERROR(INDEX(PP_Grid[#Data],$DE908,79),0)</f>
        <v/>
      </c>
      <c r="CE908">
        <f>IFERROR(INDEX(PP_Grid[#Data],$DE908,80),0)</f>
        <v/>
      </c>
      <c r="CF908">
        <f>IFERROR(INDEX(PP_Grid[#Data],$DE908,81),0)</f>
        <v/>
      </c>
      <c r="CG908">
        <f>IFERROR(INDEX(PP_Grid[#Data],$DE908,82),0)</f>
        <v/>
      </c>
      <c r="CH908">
        <f>IFERROR(INDEX(PP_Grid[#Data],$DE908,83),0)</f>
        <v/>
      </c>
      <c r="CI908">
        <f>IFERROR(INDEX(PP_Grid[#Data],$DE908,84),0)</f>
        <v/>
      </c>
      <c r="CJ908">
        <f>IFERROR(INDEX(PP_Grid[#Data],$DE908,85),0)</f>
        <v/>
      </c>
      <c r="CK908">
        <f>IFERROR(INDEX(PP_Grid[#Data],$DE908,86),0)</f>
        <v/>
      </c>
      <c r="CL908">
        <f>IFERROR(INDEX(PP_Grid[#Data],$DE908,87),0)</f>
        <v/>
      </c>
      <c r="CM908">
        <f>IFERROR(INDEX(PP_Grid[#Data],$DE908,88),0)</f>
        <v/>
      </c>
      <c r="CN908">
        <f>IFERROR(INDEX(PP_Grid[#Data],$DE908,89),0)</f>
        <v/>
      </c>
      <c r="CO908">
        <f>IFERROR(INDEX(PP_Grid[#Data],$DE908,90),0)</f>
        <v/>
      </c>
      <c r="CP908">
        <f>IFERROR(INDEX(PP_Grid[#Data],$DE908,91),0)</f>
        <v/>
      </c>
      <c r="CQ908">
        <f>IFERROR(INDEX(PP_Grid[#Data],$DE908,92),0)</f>
        <v/>
      </c>
      <c r="CR908">
        <f>IFERROR(INDEX(PP_Grid[#Data],$DE908,93),0)</f>
        <v/>
      </c>
      <c r="CS908">
        <f>IFERROR(INDEX(PP_Grid[#Data],$DE908,94),0)</f>
        <v/>
      </c>
      <c r="CT908">
        <f>IFERROR(INDEX(PP_Grid[#Data],$DE908,95),0)</f>
        <v/>
      </c>
      <c r="CU908">
        <f>IFERROR(INDEX(PP_Grid[#Data],$DE908,96),0)</f>
        <v/>
      </c>
      <c r="CV908">
        <f>IFERROR(INDEX(PP_Grid[#Data],$DE908,97),0)</f>
        <v/>
      </c>
      <c r="CW908">
        <f>IFERROR(INDEX(PP_Grid[#Data],$DE908,98),0)</f>
        <v/>
      </c>
      <c r="CX908">
        <f>IFERROR(INDEX(PP_Grid[#Data],$DE908,99),0)</f>
        <v/>
      </c>
      <c r="CY908">
        <f>IFERROR(INDEX(PP_Grid[#Data],$DE908,100),0)</f>
        <v/>
      </c>
      <c r="CZ908">
        <f>IFERROR(INDEX(PP_Grid[#Data],$DE908,101),0)</f>
        <v/>
      </c>
      <c r="DA908">
        <f>IFERROR(INDEX(PP_Grid[#Data],$DE908,102),0)</f>
        <v/>
      </c>
      <c r="DB908">
        <f>IFERROR(INDEX(PP_Grid[#Data],$DE908,103),0)</f>
        <v/>
      </c>
      <c r="DC908">
        <f>IFERROR(INDEX(PP_Grid[#Data],$DE908,104),0)</f>
        <v/>
      </c>
      <c r="DD908">
        <f>IFERROR(INDEX(PP_Grid[#Data],$DE908,105),0)</f>
        <v/>
      </c>
      <c r="DE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SUMIFS(M_BOM[RM_Qty_Per_Batch],M_BOM[Intermediate],$B908,M_BOM[RM_Code],$A891)</f>
        <v/>
      </c>
      <c r="D909">
        <f>IFERROR(INDEX(E909:DD909,$F$1),"")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  <c r="DD909">
        <f>$C909*DD908</f>
        <v/>
      </c>
    </row>
    <row r="910">
      <c r="B910" t="inlineStr">
        <is>
          <t>VSP-606</t>
        </is>
      </c>
      <c r="C910" t="inlineStr">
        <is>
          <t>No. of batches</t>
        </is>
      </c>
      <c r="D910">
        <f>IFERROR(INDEX(E910:DD910,$F$1),"")</f>
        <v/>
      </c>
      <c r="E910">
        <f>IFERROR(INDEX(PP_Grid[#Data],$DE910,2),0)</f>
        <v/>
      </c>
      <c r="F910">
        <f>IFERROR(INDEX(PP_Grid[#Data],$DE910,3),0)</f>
        <v/>
      </c>
      <c r="G910">
        <f>IFERROR(INDEX(PP_Grid[#Data],$DE910,4),0)</f>
        <v/>
      </c>
      <c r="H910">
        <f>IFERROR(INDEX(PP_Grid[#Data],$DE910,5),0)</f>
        <v/>
      </c>
      <c r="I910">
        <f>IFERROR(INDEX(PP_Grid[#Data],$DE910,6),0)</f>
        <v/>
      </c>
      <c r="J910">
        <f>IFERROR(INDEX(PP_Grid[#Data],$DE910,7),0)</f>
        <v/>
      </c>
      <c r="K910">
        <f>IFERROR(INDEX(PP_Grid[#Data],$DE910,8),0)</f>
        <v/>
      </c>
      <c r="L910">
        <f>IFERROR(INDEX(PP_Grid[#Data],$DE910,9),0)</f>
        <v/>
      </c>
      <c r="M910">
        <f>IFERROR(INDEX(PP_Grid[#Data],$DE910,10),0)</f>
        <v/>
      </c>
      <c r="N910">
        <f>IFERROR(INDEX(PP_Grid[#Data],$DE910,11),0)</f>
        <v/>
      </c>
      <c r="O910">
        <f>IFERROR(INDEX(PP_Grid[#Data],$DE910,12),0)</f>
        <v/>
      </c>
      <c r="P910">
        <f>IFERROR(INDEX(PP_Grid[#Data],$DE910,13),0)</f>
        <v/>
      </c>
      <c r="Q910">
        <f>IFERROR(INDEX(PP_Grid[#Data],$DE910,14),0)</f>
        <v/>
      </c>
      <c r="R910">
        <f>IFERROR(INDEX(PP_Grid[#Data],$DE910,15),0)</f>
        <v/>
      </c>
      <c r="S910">
        <f>IFERROR(INDEX(PP_Grid[#Data],$DE910,16),0)</f>
        <v/>
      </c>
      <c r="T910">
        <f>IFERROR(INDEX(PP_Grid[#Data],$DE910,17),0)</f>
        <v/>
      </c>
      <c r="U910">
        <f>IFERROR(INDEX(PP_Grid[#Data],$DE910,18),0)</f>
        <v/>
      </c>
      <c r="V910">
        <f>IFERROR(INDEX(PP_Grid[#Data],$DE910,19),0)</f>
        <v/>
      </c>
      <c r="W910">
        <f>IFERROR(INDEX(PP_Grid[#Data],$DE910,20),0)</f>
        <v/>
      </c>
      <c r="X910">
        <f>IFERROR(INDEX(PP_Grid[#Data],$DE910,21),0)</f>
        <v/>
      </c>
      <c r="Y910">
        <f>IFERROR(INDEX(PP_Grid[#Data],$DE910,22),0)</f>
        <v/>
      </c>
      <c r="Z910">
        <f>IFERROR(INDEX(PP_Grid[#Data],$DE910,23),0)</f>
        <v/>
      </c>
      <c r="AA910">
        <f>IFERROR(INDEX(PP_Grid[#Data],$DE910,24),0)</f>
        <v/>
      </c>
      <c r="AB910">
        <f>IFERROR(INDEX(PP_Grid[#Data],$DE910,25),0)</f>
        <v/>
      </c>
      <c r="AC910">
        <f>IFERROR(INDEX(PP_Grid[#Data],$DE910,26),0)</f>
        <v/>
      </c>
      <c r="AD910">
        <f>IFERROR(INDEX(PP_Grid[#Data],$DE910,27),0)</f>
        <v/>
      </c>
      <c r="AE910">
        <f>IFERROR(INDEX(PP_Grid[#Data],$DE910,28),0)</f>
        <v/>
      </c>
      <c r="AF910">
        <f>IFERROR(INDEX(PP_Grid[#Data],$DE910,29),0)</f>
        <v/>
      </c>
      <c r="AG910">
        <f>IFERROR(INDEX(PP_Grid[#Data],$DE910,30),0)</f>
        <v/>
      </c>
      <c r="AH910">
        <f>IFERROR(INDEX(PP_Grid[#Data],$DE910,31),0)</f>
        <v/>
      </c>
      <c r="AI910">
        <f>IFERROR(INDEX(PP_Grid[#Data],$DE910,32),0)</f>
        <v/>
      </c>
      <c r="AJ910">
        <f>IFERROR(INDEX(PP_Grid[#Data],$DE910,33),0)</f>
        <v/>
      </c>
      <c r="AK910">
        <f>IFERROR(INDEX(PP_Grid[#Data],$DE910,34),0)</f>
        <v/>
      </c>
      <c r="AL910">
        <f>IFERROR(INDEX(PP_Grid[#Data],$DE910,35),0)</f>
        <v/>
      </c>
      <c r="AM910">
        <f>IFERROR(INDEX(PP_Grid[#Data],$DE910,36),0)</f>
        <v/>
      </c>
      <c r="AN910">
        <f>IFERROR(INDEX(PP_Grid[#Data],$DE910,37),0)</f>
        <v/>
      </c>
      <c r="AO910">
        <f>IFERROR(INDEX(PP_Grid[#Data],$DE910,38),0)</f>
        <v/>
      </c>
      <c r="AP910">
        <f>IFERROR(INDEX(PP_Grid[#Data],$DE910,39),0)</f>
        <v/>
      </c>
      <c r="AQ910">
        <f>IFERROR(INDEX(PP_Grid[#Data],$DE910,40),0)</f>
        <v/>
      </c>
      <c r="AR910">
        <f>IFERROR(INDEX(PP_Grid[#Data],$DE910,41),0)</f>
        <v/>
      </c>
      <c r="AS910">
        <f>IFERROR(INDEX(PP_Grid[#Data],$DE910,42),0)</f>
        <v/>
      </c>
      <c r="AT910">
        <f>IFERROR(INDEX(PP_Grid[#Data],$DE910,43),0)</f>
        <v/>
      </c>
      <c r="AU910">
        <f>IFERROR(INDEX(PP_Grid[#Data],$DE910,44),0)</f>
        <v/>
      </c>
      <c r="AV910">
        <f>IFERROR(INDEX(PP_Grid[#Data],$DE910,45),0)</f>
        <v/>
      </c>
      <c r="AW910">
        <f>IFERROR(INDEX(PP_Grid[#Data],$DE910,46),0)</f>
        <v/>
      </c>
      <c r="AX910">
        <f>IFERROR(INDEX(PP_Grid[#Data],$DE910,47),0)</f>
        <v/>
      </c>
      <c r="AY910">
        <f>IFERROR(INDEX(PP_Grid[#Data],$DE910,48),0)</f>
        <v/>
      </c>
      <c r="AZ910">
        <f>IFERROR(INDEX(PP_Grid[#Data],$DE910,49),0)</f>
        <v/>
      </c>
      <c r="BA910">
        <f>IFERROR(INDEX(PP_Grid[#Data],$DE910,50),0)</f>
        <v/>
      </c>
      <c r="BB910">
        <f>IFERROR(INDEX(PP_Grid[#Data],$DE910,51),0)</f>
        <v/>
      </c>
      <c r="BC910">
        <f>IFERROR(INDEX(PP_Grid[#Data],$DE910,52),0)</f>
        <v/>
      </c>
      <c r="BD910">
        <f>IFERROR(INDEX(PP_Grid[#Data],$DE910,53),0)</f>
        <v/>
      </c>
      <c r="BE910">
        <f>IFERROR(INDEX(PP_Grid[#Data],$DE910,54),0)</f>
        <v/>
      </c>
      <c r="BF910">
        <f>IFERROR(INDEX(PP_Grid[#Data],$DE910,55),0)</f>
        <v/>
      </c>
      <c r="BG910">
        <f>IFERROR(INDEX(PP_Grid[#Data],$DE910,56),0)</f>
        <v/>
      </c>
      <c r="BH910">
        <f>IFERROR(INDEX(PP_Grid[#Data],$DE910,57),0)</f>
        <v/>
      </c>
      <c r="BI910">
        <f>IFERROR(INDEX(PP_Grid[#Data],$DE910,58),0)</f>
        <v/>
      </c>
      <c r="BJ910">
        <f>IFERROR(INDEX(PP_Grid[#Data],$DE910,59),0)</f>
        <v/>
      </c>
      <c r="BK910">
        <f>IFERROR(INDEX(PP_Grid[#Data],$DE910,60),0)</f>
        <v/>
      </c>
      <c r="BL910">
        <f>IFERROR(INDEX(PP_Grid[#Data],$DE910,61),0)</f>
        <v/>
      </c>
      <c r="BM910">
        <f>IFERROR(INDEX(PP_Grid[#Data],$DE910,62),0)</f>
        <v/>
      </c>
      <c r="BN910">
        <f>IFERROR(INDEX(PP_Grid[#Data],$DE910,63),0)</f>
        <v/>
      </c>
      <c r="BO910">
        <f>IFERROR(INDEX(PP_Grid[#Data],$DE910,64),0)</f>
        <v/>
      </c>
      <c r="BP910">
        <f>IFERROR(INDEX(PP_Grid[#Data],$DE910,65),0)</f>
        <v/>
      </c>
      <c r="BQ910">
        <f>IFERROR(INDEX(PP_Grid[#Data],$DE910,66),0)</f>
        <v/>
      </c>
      <c r="BR910">
        <f>IFERROR(INDEX(PP_Grid[#Data],$DE910,67),0)</f>
        <v/>
      </c>
      <c r="BS910">
        <f>IFERROR(INDEX(PP_Grid[#Data],$DE910,68),0)</f>
        <v/>
      </c>
      <c r="BT910">
        <f>IFERROR(INDEX(PP_Grid[#Data],$DE910,69),0)</f>
        <v/>
      </c>
      <c r="BU910">
        <f>IFERROR(INDEX(PP_Grid[#Data],$DE910,70),0)</f>
        <v/>
      </c>
      <c r="BV910">
        <f>IFERROR(INDEX(PP_Grid[#Data],$DE910,71),0)</f>
        <v/>
      </c>
      <c r="BW910">
        <f>IFERROR(INDEX(PP_Grid[#Data],$DE910,72),0)</f>
        <v/>
      </c>
      <c r="BX910">
        <f>IFERROR(INDEX(PP_Grid[#Data],$DE910,73),0)</f>
        <v/>
      </c>
      <c r="BY910">
        <f>IFERROR(INDEX(PP_Grid[#Data],$DE910,74),0)</f>
        <v/>
      </c>
      <c r="BZ910">
        <f>IFERROR(INDEX(PP_Grid[#Data],$DE910,75),0)</f>
        <v/>
      </c>
      <c r="CA910">
        <f>IFERROR(INDEX(PP_Grid[#Data],$DE910,76),0)</f>
        <v/>
      </c>
      <c r="CB910">
        <f>IFERROR(INDEX(PP_Grid[#Data],$DE910,77),0)</f>
        <v/>
      </c>
      <c r="CC910">
        <f>IFERROR(INDEX(PP_Grid[#Data],$DE910,78),0)</f>
        <v/>
      </c>
      <c r="CD910">
        <f>IFERROR(INDEX(PP_Grid[#Data],$DE910,79),0)</f>
        <v/>
      </c>
      <c r="CE910">
        <f>IFERROR(INDEX(PP_Grid[#Data],$DE910,80),0)</f>
        <v/>
      </c>
      <c r="CF910">
        <f>IFERROR(INDEX(PP_Grid[#Data],$DE910,81),0)</f>
        <v/>
      </c>
      <c r="CG910">
        <f>IFERROR(INDEX(PP_Grid[#Data],$DE910,82),0)</f>
        <v/>
      </c>
      <c r="CH910">
        <f>IFERROR(INDEX(PP_Grid[#Data],$DE910,83),0)</f>
        <v/>
      </c>
      <c r="CI910">
        <f>IFERROR(INDEX(PP_Grid[#Data],$DE910,84),0)</f>
        <v/>
      </c>
      <c r="CJ910">
        <f>IFERROR(INDEX(PP_Grid[#Data],$DE910,85),0)</f>
        <v/>
      </c>
      <c r="CK910">
        <f>IFERROR(INDEX(PP_Grid[#Data],$DE910,86),0)</f>
        <v/>
      </c>
      <c r="CL910">
        <f>IFERROR(INDEX(PP_Grid[#Data],$DE910,87),0)</f>
        <v/>
      </c>
      <c r="CM910">
        <f>IFERROR(INDEX(PP_Grid[#Data],$DE910,88),0)</f>
        <v/>
      </c>
      <c r="CN910">
        <f>IFERROR(INDEX(PP_Grid[#Data],$DE910,89),0)</f>
        <v/>
      </c>
      <c r="CO910">
        <f>IFERROR(INDEX(PP_Grid[#Data],$DE910,90),0)</f>
        <v/>
      </c>
      <c r="CP910">
        <f>IFERROR(INDEX(PP_Grid[#Data],$DE910,91),0)</f>
        <v/>
      </c>
      <c r="CQ910">
        <f>IFERROR(INDEX(PP_Grid[#Data],$DE910,92),0)</f>
        <v/>
      </c>
      <c r="CR910">
        <f>IFERROR(INDEX(PP_Grid[#Data],$DE910,93),0)</f>
        <v/>
      </c>
      <c r="CS910">
        <f>IFERROR(INDEX(PP_Grid[#Data],$DE910,94),0)</f>
        <v/>
      </c>
      <c r="CT910">
        <f>IFERROR(INDEX(PP_Grid[#Data],$DE910,95),0)</f>
        <v/>
      </c>
      <c r="CU910">
        <f>IFERROR(INDEX(PP_Grid[#Data],$DE910,96),0)</f>
        <v/>
      </c>
      <c r="CV910">
        <f>IFERROR(INDEX(PP_Grid[#Data],$DE910,97),0)</f>
        <v/>
      </c>
      <c r="CW910">
        <f>IFERROR(INDEX(PP_Grid[#Data],$DE910,98),0)</f>
        <v/>
      </c>
      <c r="CX910">
        <f>IFERROR(INDEX(PP_Grid[#Data],$DE910,99),0)</f>
        <v/>
      </c>
      <c r="CY910">
        <f>IFERROR(INDEX(PP_Grid[#Data],$DE910,100),0)</f>
        <v/>
      </c>
      <c r="CZ910">
        <f>IFERROR(INDEX(PP_Grid[#Data],$DE910,101),0)</f>
        <v/>
      </c>
      <c r="DA910">
        <f>IFERROR(INDEX(PP_Grid[#Data],$DE910,102),0)</f>
        <v/>
      </c>
      <c r="DB910">
        <f>IFERROR(INDEX(PP_Grid[#Data],$DE910,103),0)</f>
        <v/>
      </c>
      <c r="DC910">
        <f>IFERROR(INDEX(PP_Grid[#Data],$DE910,104),0)</f>
        <v/>
      </c>
      <c r="DD910">
        <f>IFERROR(INDEX(PP_Grid[#Data],$DE910,105),0)</f>
        <v/>
      </c>
      <c r="DE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SUMIFS(M_BOM[RM_Qty_Per_Batch],M_BOM[Intermediate],$B910,M_BOM[RM_Code],$A891)</f>
        <v/>
      </c>
      <c r="D911">
        <f>IFERROR(INDEX(E911:DD911,$F$1),"")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  <c r="DD911">
        <f>$C911*DD910</f>
        <v/>
      </c>
    </row>
    <row r="912">
      <c r="B912" t="inlineStr">
        <is>
          <t>VSP-607</t>
        </is>
      </c>
      <c r="C912" t="inlineStr">
        <is>
          <t>No. of batches</t>
        </is>
      </c>
      <c r="D912">
        <f>IFERROR(INDEX(E912:DD912,$F$1),"")</f>
        <v/>
      </c>
      <c r="E912">
        <f>IFERROR(INDEX(PP_Grid[#Data],$DE912,2),0)</f>
        <v/>
      </c>
      <c r="F912">
        <f>IFERROR(INDEX(PP_Grid[#Data],$DE912,3),0)</f>
        <v/>
      </c>
      <c r="G912">
        <f>IFERROR(INDEX(PP_Grid[#Data],$DE912,4),0)</f>
        <v/>
      </c>
      <c r="H912">
        <f>IFERROR(INDEX(PP_Grid[#Data],$DE912,5),0)</f>
        <v/>
      </c>
      <c r="I912">
        <f>IFERROR(INDEX(PP_Grid[#Data],$DE912,6),0)</f>
        <v/>
      </c>
      <c r="J912">
        <f>IFERROR(INDEX(PP_Grid[#Data],$DE912,7),0)</f>
        <v/>
      </c>
      <c r="K912">
        <f>IFERROR(INDEX(PP_Grid[#Data],$DE912,8),0)</f>
        <v/>
      </c>
      <c r="L912">
        <f>IFERROR(INDEX(PP_Grid[#Data],$DE912,9),0)</f>
        <v/>
      </c>
      <c r="M912">
        <f>IFERROR(INDEX(PP_Grid[#Data],$DE912,10),0)</f>
        <v/>
      </c>
      <c r="N912">
        <f>IFERROR(INDEX(PP_Grid[#Data],$DE912,11),0)</f>
        <v/>
      </c>
      <c r="O912">
        <f>IFERROR(INDEX(PP_Grid[#Data],$DE912,12),0)</f>
        <v/>
      </c>
      <c r="P912">
        <f>IFERROR(INDEX(PP_Grid[#Data],$DE912,13),0)</f>
        <v/>
      </c>
      <c r="Q912">
        <f>IFERROR(INDEX(PP_Grid[#Data],$DE912,14),0)</f>
        <v/>
      </c>
      <c r="R912">
        <f>IFERROR(INDEX(PP_Grid[#Data],$DE912,15),0)</f>
        <v/>
      </c>
      <c r="S912">
        <f>IFERROR(INDEX(PP_Grid[#Data],$DE912,16),0)</f>
        <v/>
      </c>
      <c r="T912">
        <f>IFERROR(INDEX(PP_Grid[#Data],$DE912,17),0)</f>
        <v/>
      </c>
      <c r="U912">
        <f>IFERROR(INDEX(PP_Grid[#Data],$DE912,18),0)</f>
        <v/>
      </c>
      <c r="V912">
        <f>IFERROR(INDEX(PP_Grid[#Data],$DE912,19),0)</f>
        <v/>
      </c>
      <c r="W912">
        <f>IFERROR(INDEX(PP_Grid[#Data],$DE912,20),0)</f>
        <v/>
      </c>
      <c r="X912">
        <f>IFERROR(INDEX(PP_Grid[#Data],$DE912,21),0)</f>
        <v/>
      </c>
      <c r="Y912">
        <f>IFERROR(INDEX(PP_Grid[#Data],$DE912,22),0)</f>
        <v/>
      </c>
      <c r="Z912">
        <f>IFERROR(INDEX(PP_Grid[#Data],$DE912,23),0)</f>
        <v/>
      </c>
      <c r="AA912">
        <f>IFERROR(INDEX(PP_Grid[#Data],$DE912,24),0)</f>
        <v/>
      </c>
      <c r="AB912">
        <f>IFERROR(INDEX(PP_Grid[#Data],$DE912,25),0)</f>
        <v/>
      </c>
      <c r="AC912">
        <f>IFERROR(INDEX(PP_Grid[#Data],$DE912,26),0)</f>
        <v/>
      </c>
      <c r="AD912">
        <f>IFERROR(INDEX(PP_Grid[#Data],$DE912,27),0)</f>
        <v/>
      </c>
      <c r="AE912">
        <f>IFERROR(INDEX(PP_Grid[#Data],$DE912,28),0)</f>
        <v/>
      </c>
      <c r="AF912">
        <f>IFERROR(INDEX(PP_Grid[#Data],$DE912,29),0)</f>
        <v/>
      </c>
      <c r="AG912">
        <f>IFERROR(INDEX(PP_Grid[#Data],$DE912,30),0)</f>
        <v/>
      </c>
      <c r="AH912">
        <f>IFERROR(INDEX(PP_Grid[#Data],$DE912,31),0)</f>
        <v/>
      </c>
      <c r="AI912">
        <f>IFERROR(INDEX(PP_Grid[#Data],$DE912,32),0)</f>
        <v/>
      </c>
      <c r="AJ912">
        <f>IFERROR(INDEX(PP_Grid[#Data],$DE912,33),0)</f>
        <v/>
      </c>
      <c r="AK912">
        <f>IFERROR(INDEX(PP_Grid[#Data],$DE912,34),0)</f>
        <v/>
      </c>
      <c r="AL912">
        <f>IFERROR(INDEX(PP_Grid[#Data],$DE912,35),0)</f>
        <v/>
      </c>
      <c r="AM912">
        <f>IFERROR(INDEX(PP_Grid[#Data],$DE912,36),0)</f>
        <v/>
      </c>
      <c r="AN912">
        <f>IFERROR(INDEX(PP_Grid[#Data],$DE912,37),0)</f>
        <v/>
      </c>
      <c r="AO912">
        <f>IFERROR(INDEX(PP_Grid[#Data],$DE912,38),0)</f>
        <v/>
      </c>
      <c r="AP912">
        <f>IFERROR(INDEX(PP_Grid[#Data],$DE912,39),0)</f>
        <v/>
      </c>
      <c r="AQ912">
        <f>IFERROR(INDEX(PP_Grid[#Data],$DE912,40),0)</f>
        <v/>
      </c>
      <c r="AR912">
        <f>IFERROR(INDEX(PP_Grid[#Data],$DE912,41),0)</f>
        <v/>
      </c>
      <c r="AS912">
        <f>IFERROR(INDEX(PP_Grid[#Data],$DE912,42),0)</f>
        <v/>
      </c>
      <c r="AT912">
        <f>IFERROR(INDEX(PP_Grid[#Data],$DE912,43),0)</f>
        <v/>
      </c>
      <c r="AU912">
        <f>IFERROR(INDEX(PP_Grid[#Data],$DE912,44),0)</f>
        <v/>
      </c>
      <c r="AV912">
        <f>IFERROR(INDEX(PP_Grid[#Data],$DE912,45),0)</f>
        <v/>
      </c>
      <c r="AW912">
        <f>IFERROR(INDEX(PP_Grid[#Data],$DE912,46),0)</f>
        <v/>
      </c>
      <c r="AX912">
        <f>IFERROR(INDEX(PP_Grid[#Data],$DE912,47),0)</f>
        <v/>
      </c>
      <c r="AY912">
        <f>IFERROR(INDEX(PP_Grid[#Data],$DE912,48),0)</f>
        <v/>
      </c>
      <c r="AZ912">
        <f>IFERROR(INDEX(PP_Grid[#Data],$DE912,49),0)</f>
        <v/>
      </c>
      <c r="BA912">
        <f>IFERROR(INDEX(PP_Grid[#Data],$DE912,50),0)</f>
        <v/>
      </c>
      <c r="BB912">
        <f>IFERROR(INDEX(PP_Grid[#Data],$DE912,51),0)</f>
        <v/>
      </c>
      <c r="BC912">
        <f>IFERROR(INDEX(PP_Grid[#Data],$DE912,52),0)</f>
        <v/>
      </c>
      <c r="BD912">
        <f>IFERROR(INDEX(PP_Grid[#Data],$DE912,53),0)</f>
        <v/>
      </c>
      <c r="BE912">
        <f>IFERROR(INDEX(PP_Grid[#Data],$DE912,54),0)</f>
        <v/>
      </c>
      <c r="BF912">
        <f>IFERROR(INDEX(PP_Grid[#Data],$DE912,55),0)</f>
        <v/>
      </c>
      <c r="BG912">
        <f>IFERROR(INDEX(PP_Grid[#Data],$DE912,56),0)</f>
        <v/>
      </c>
      <c r="BH912">
        <f>IFERROR(INDEX(PP_Grid[#Data],$DE912,57),0)</f>
        <v/>
      </c>
      <c r="BI912">
        <f>IFERROR(INDEX(PP_Grid[#Data],$DE912,58),0)</f>
        <v/>
      </c>
      <c r="BJ912">
        <f>IFERROR(INDEX(PP_Grid[#Data],$DE912,59),0)</f>
        <v/>
      </c>
      <c r="BK912">
        <f>IFERROR(INDEX(PP_Grid[#Data],$DE912,60),0)</f>
        <v/>
      </c>
      <c r="BL912">
        <f>IFERROR(INDEX(PP_Grid[#Data],$DE912,61),0)</f>
        <v/>
      </c>
      <c r="BM912">
        <f>IFERROR(INDEX(PP_Grid[#Data],$DE912,62),0)</f>
        <v/>
      </c>
      <c r="BN912">
        <f>IFERROR(INDEX(PP_Grid[#Data],$DE912,63),0)</f>
        <v/>
      </c>
      <c r="BO912">
        <f>IFERROR(INDEX(PP_Grid[#Data],$DE912,64),0)</f>
        <v/>
      </c>
      <c r="BP912">
        <f>IFERROR(INDEX(PP_Grid[#Data],$DE912,65),0)</f>
        <v/>
      </c>
      <c r="BQ912">
        <f>IFERROR(INDEX(PP_Grid[#Data],$DE912,66),0)</f>
        <v/>
      </c>
      <c r="BR912">
        <f>IFERROR(INDEX(PP_Grid[#Data],$DE912,67),0)</f>
        <v/>
      </c>
      <c r="BS912">
        <f>IFERROR(INDEX(PP_Grid[#Data],$DE912,68),0)</f>
        <v/>
      </c>
      <c r="BT912">
        <f>IFERROR(INDEX(PP_Grid[#Data],$DE912,69),0)</f>
        <v/>
      </c>
      <c r="BU912">
        <f>IFERROR(INDEX(PP_Grid[#Data],$DE912,70),0)</f>
        <v/>
      </c>
      <c r="BV912">
        <f>IFERROR(INDEX(PP_Grid[#Data],$DE912,71),0)</f>
        <v/>
      </c>
      <c r="BW912">
        <f>IFERROR(INDEX(PP_Grid[#Data],$DE912,72),0)</f>
        <v/>
      </c>
      <c r="BX912">
        <f>IFERROR(INDEX(PP_Grid[#Data],$DE912,73),0)</f>
        <v/>
      </c>
      <c r="BY912">
        <f>IFERROR(INDEX(PP_Grid[#Data],$DE912,74),0)</f>
        <v/>
      </c>
      <c r="BZ912">
        <f>IFERROR(INDEX(PP_Grid[#Data],$DE912,75),0)</f>
        <v/>
      </c>
      <c r="CA912">
        <f>IFERROR(INDEX(PP_Grid[#Data],$DE912,76),0)</f>
        <v/>
      </c>
      <c r="CB912">
        <f>IFERROR(INDEX(PP_Grid[#Data],$DE912,77),0)</f>
        <v/>
      </c>
      <c r="CC912">
        <f>IFERROR(INDEX(PP_Grid[#Data],$DE912,78),0)</f>
        <v/>
      </c>
      <c r="CD912">
        <f>IFERROR(INDEX(PP_Grid[#Data],$DE912,79),0)</f>
        <v/>
      </c>
      <c r="CE912">
        <f>IFERROR(INDEX(PP_Grid[#Data],$DE912,80),0)</f>
        <v/>
      </c>
      <c r="CF912">
        <f>IFERROR(INDEX(PP_Grid[#Data],$DE912,81),0)</f>
        <v/>
      </c>
      <c r="CG912">
        <f>IFERROR(INDEX(PP_Grid[#Data],$DE912,82),0)</f>
        <v/>
      </c>
      <c r="CH912">
        <f>IFERROR(INDEX(PP_Grid[#Data],$DE912,83),0)</f>
        <v/>
      </c>
      <c r="CI912">
        <f>IFERROR(INDEX(PP_Grid[#Data],$DE912,84),0)</f>
        <v/>
      </c>
      <c r="CJ912">
        <f>IFERROR(INDEX(PP_Grid[#Data],$DE912,85),0)</f>
        <v/>
      </c>
      <c r="CK912">
        <f>IFERROR(INDEX(PP_Grid[#Data],$DE912,86),0)</f>
        <v/>
      </c>
      <c r="CL912">
        <f>IFERROR(INDEX(PP_Grid[#Data],$DE912,87),0)</f>
        <v/>
      </c>
      <c r="CM912">
        <f>IFERROR(INDEX(PP_Grid[#Data],$DE912,88),0)</f>
        <v/>
      </c>
      <c r="CN912">
        <f>IFERROR(INDEX(PP_Grid[#Data],$DE912,89),0)</f>
        <v/>
      </c>
      <c r="CO912">
        <f>IFERROR(INDEX(PP_Grid[#Data],$DE912,90),0)</f>
        <v/>
      </c>
      <c r="CP912">
        <f>IFERROR(INDEX(PP_Grid[#Data],$DE912,91),0)</f>
        <v/>
      </c>
      <c r="CQ912">
        <f>IFERROR(INDEX(PP_Grid[#Data],$DE912,92),0)</f>
        <v/>
      </c>
      <c r="CR912">
        <f>IFERROR(INDEX(PP_Grid[#Data],$DE912,93),0)</f>
        <v/>
      </c>
      <c r="CS912">
        <f>IFERROR(INDEX(PP_Grid[#Data],$DE912,94),0)</f>
        <v/>
      </c>
      <c r="CT912">
        <f>IFERROR(INDEX(PP_Grid[#Data],$DE912,95),0)</f>
        <v/>
      </c>
      <c r="CU912">
        <f>IFERROR(INDEX(PP_Grid[#Data],$DE912,96),0)</f>
        <v/>
      </c>
      <c r="CV912">
        <f>IFERROR(INDEX(PP_Grid[#Data],$DE912,97),0)</f>
        <v/>
      </c>
      <c r="CW912">
        <f>IFERROR(INDEX(PP_Grid[#Data],$DE912,98),0)</f>
        <v/>
      </c>
      <c r="CX912">
        <f>IFERROR(INDEX(PP_Grid[#Data],$DE912,99),0)</f>
        <v/>
      </c>
      <c r="CY912">
        <f>IFERROR(INDEX(PP_Grid[#Data],$DE912,100),0)</f>
        <v/>
      </c>
      <c r="CZ912">
        <f>IFERROR(INDEX(PP_Grid[#Data],$DE912,101),0)</f>
        <v/>
      </c>
      <c r="DA912">
        <f>IFERROR(INDEX(PP_Grid[#Data],$DE912,102),0)</f>
        <v/>
      </c>
      <c r="DB912">
        <f>IFERROR(INDEX(PP_Grid[#Data],$DE912,103),0)</f>
        <v/>
      </c>
      <c r="DC912">
        <f>IFERROR(INDEX(PP_Grid[#Data],$DE912,104),0)</f>
        <v/>
      </c>
      <c r="DD912">
        <f>IFERROR(INDEX(PP_Grid[#Data],$DE912,105),0)</f>
        <v/>
      </c>
      <c r="DE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SUMIFS(M_BOM[RM_Qty_Per_Batch],M_BOM[Intermediate],$B912,M_BOM[RM_Code],$A891)</f>
        <v/>
      </c>
      <c r="D913">
        <f>IFERROR(INDEX(E913:DD913,$F$1),"")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  <c r="DD913">
        <f>$C913*DD912</f>
        <v/>
      </c>
    </row>
    <row r="914">
      <c r="B914" t="inlineStr">
        <is>
          <t>VSP-738</t>
        </is>
      </c>
      <c r="C914" t="inlineStr">
        <is>
          <t>No. of batches</t>
        </is>
      </c>
      <c r="D914">
        <f>IFERROR(INDEX(E914:DD914,$F$1),"")</f>
        <v/>
      </c>
      <c r="E914">
        <f>IFERROR(INDEX(PP_Grid[#Data],$DE914,2),0)</f>
        <v/>
      </c>
      <c r="F914">
        <f>IFERROR(INDEX(PP_Grid[#Data],$DE914,3),0)</f>
        <v/>
      </c>
      <c r="G914">
        <f>IFERROR(INDEX(PP_Grid[#Data],$DE914,4),0)</f>
        <v/>
      </c>
      <c r="H914">
        <f>IFERROR(INDEX(PP_Grid[#Data],$DE914,5),0)</f>
        <v/>
      </c>
      <c r="I914">
        <f>IFERROR(INDEX(PP_Grid[#Data],$DE914,6),0)</f>
        <v/>
      </c>
      <c r="J914">
        <f>IFERROR(INDEX(PP_Grid[#Data],$DE914,7),0)</f>
        <v/>
      </c>
      <c r="K914">
        <f>IFERROR(INDEX(PP_Grid[#Data],$DE914,8),0)</f>
        <v/>
      </c>
      <c r="L914">
        <f>IFERROR(INDEX(PP_Grid[#Data],$DE914,9),0)</f>
        <v/>
      </c>
      <c r="M914">
        <f>IFERROR(INDEX(PP_Grid[#Data],$DE914,10),0)</f>
        <v/>
      </c>
      <c r="N914">
        <f>IFERROR(INDEX(PP_Grid[#Data],$DE914,11),0)</f>
        <v/>
      </c>
      <c r="O914">
        <f>IFERROR(INDEX(PP_Grid[#Data],$DE914,12),0)</f>
        <v/>
      </c>
      <c r="P914">
        <f>IFERROR(INDEX(PP_Grid[#Data],$DE914,13),0)</f>
        <v/>
      </c>
      <c r="Q914">
        <f>IFERROR(INDEX(PP_Grid[#Data],$DE914,14),0)</f>
        <v/>
      </c>
      <c r="R914">
        <f>IFERROR(INDEX(PP_Grid[#Data],$DE914,15),0)</f>
        <v/>
      </c>
      <c r="S914">
        <f>IFERROR(INDEX(PP_Grid[#Data],$DE914,16),0)</f>
        <v/>
      </c>
      <c r="T914">
        <f>IFERROR(INDEX(PP_Grid[#Data],$DE914,17),0)</f>
        <v/>
      </c>
      <c r="U914">
        <f>IFERROR(INDEX(PP_Grid[#Data],$DE914,18),0)</f>
        <v/>
      </c>
      <c r="V914">
        <f>IFERROR(INDEX(PP_Grid[#Data],$DE914,19),0)</f>
        <v/>
      </c>
      <c r="W914">
        <f>IFERROR(INDEX(PP_Grid[#Data],$DE914,20),0)</f>
        <v/>
      </c>
      <c r="X914">
        <f>IFERROR(INDEX(PP_Grid[#Data],$DE914,21),0)</f>
        <v/>
      </c>
      <c r="Y914">
        <f>IFERROR(INDEX(PP_Grid[#Data],$DE914,22),0)</f>
        <v/>
      </c>
      <c r="Z914">
        <f>IFERROR(INDEX(PP_Grid[#Data],$DE914,23),0)</f>
        <v/>
      </c>
      <c r="AA914">
        <f>IFERROR(INDEX(PP_Grid[#Data],$DE914,24),0)</f>
        <v/>
      </c>
      <c r="AB914">
        <f>IFERROR(INDEX(PP_Grid[#Data],$DE914,25),0)</f>
        <v/>
      </c>
      <c r="AC914">
        <f>IFERROR(INDEX(PP_Grid[#Data],$DE914,26),0)</f>
        <v/>
      </c>
      <c r="AD914">
        <f>IFERROR(INDEX(PP_Grid[#Data],$DE914,27),0)</f>
        <v/>
      </c>
      <c r="AE914">
        <f>IFERROR(INDEX(PP_Grid[#Data],$DE914,28),0)</f>
        <v/>
      </c>
      <c r="AF914">
        <f>IFERROR(INDEX(PP_Grid[#Data],$DE914,29),0)</f>
        <v/>
      </c>
      <c r="AG914">
        <f>IFERROR(INDEX(PP_Grid[#Data],$DE914,30),0)</f>
        <v/>
      </c>
      <c r="AH914">
        <f>IFERROR(INDEX(PP_Grid[#Data],$DE914,31),0)</f>
        <v/>
      </c>
      <c r="AI914">
        <f>IFERROR(INDEX(PP_Grid[#Data],$DE914,32),0)</f>
        <v/>
      </c>
      <c r="AJ914">
        <f>IFERROR(INDEX(PP_Grid[#Data],$DE914,33),0)</f>
        <v/>
      </c>
      <c r="AK914">
        <f>IFERROR(INDEX(PP_Grid[#Data],$DE914,34),0)</f>
        <v/>
      </c>
      <c r="AL914">
        <f>IFERROR(INDEX(PP_Grid[#Data],$DE914,35),0)</f>
        <v/>
      </c>
      <c r="AM914">
        <f>IFERROR(INDEX(PP_Grid[#Data],$DE914,36),0)</f>
        <v/>
      </c>
      <c r="AN914">
        <f>IFERROR(INDEX(PP_Grid[#Data],$DE914,37),0)</f>
        <v/>
      </c>
      <c r="AO914">
        <f>IFERROR(INDEX(PP_Grid[#Data],$DE914,38),0)</f>
        <v/>
      </c>
      <c r="AP914">
        <f>IFERROR(INDEX(PP_Grid[#Data],$DE914,39),0)</f>
        <v/>
      </c>
      <c r="AQ914">
        <f>IFERROR(INDEX(PP_Grid[#Data],$DE914,40),0)</f>
        <v/>
      </c>
      <c r="AR914">
        <f>IFERROR(INDEX(PP_Grid[#Data],$DE914,41),0)</f>
        <v/>
      </c>
      <c r="AS914">
        <f>IFERROR(INDEX(PP_Grid[#Data],$DE914,42),0)</f>
        <v/>
      </c>
      <c r="AT914">
        <f>IFERROR(INDEX(PP_Grid[#Data],$DE914,43),0)</f>
        <v/>
      </c>
      <c r="AU914">
        <f>IFERROR(INDEX(PP_Grid[#Data],$DE914,44),0)</f>
        <v/>
      </c>
      <c r="AV914">
        <f>IFERROR(INDEX(PP_Grid[#Data],$DE914,45),0)</f>
        <v/>
      </c>
      <c r="AW914">
        <f>IFERROR(INDEX(PP_Grid[#Data],$DE914,46),0)</f>
        <v/>
      </c>
      <c r="AX914">
        <f>IFERROR(INDEX(PP_Grid[#Data],$DE914,47),0)</f>
        <v/>
      </c>
      <c r="AY914">
        <f>IFERROR(INDEX(PP_Grid[#Data],$DE914,48),0)</f>
        <v/>
      </c>
      <c r="AZ914">
        <f>IFERROR(INDEX(PP_Grid[#Data],$DE914,49),0)</f>
        <v/>
      </c>
      <c r="BA914">
        <f>IFERROR(INDEX(PP_Grid[#Data],$DE914,50),0)</f>
        <v/>
      </c>
      <c r="BB914">
        <f>IFERROR(INDEX(PP_Grid[#Data],$DE914,51),0)</f>
        <v/>
      </c>
      <c r="BC914">
        <f>IFERROR(INDEX(PP_Grid[#Data],$DE914,52),0)</f>
        <v/>
      </c>
      <c r="BD914">
        <f>IFERROR(INDEX(PP_Grid[#Data],$DE914,53),0)</f>
        <v/>
      </c>
      <c r="BE914">
        <f>IFERROR(INDEX(PP_Grid[#Data],$DE914,54),0)</f>
        <v/>
      </c>
      <c r="BF914">
        <f>IFERROR(INDEX(PP_Grid[#Data],$DE914,55),0)</f>
        <v/>
      </c>
      <c r="BG914">
        <f>IFERROR(INDEX(PP_Grid[#Data],$DE914,56),0)</f>
        <v/>
      </c>
      <c r="BH914">
        <f>IFERROR(INDEX(PP_Grid[#Data],$DE914,57),0)</f>
        <v/>
      </c>
      <c r="BI914">
        <f>IFERROR(INDEX(PP_Grid[#Data],$DE914,58),0)</f>
        <v/>
      </c>
      <c r="BJ914">
        <f>IFERROR(INDEX(PP_Grid[#Data],$DE914,59),0)</f>
        <v/>
      </c>
      <c r="BK914">
        <f>IFERROR(INDEX(PP_Grid[#Data],$DE914,60),0)</f>
        <v/>
      </c>
      <c r="BL914">
        <f>IFERROR(INDEX(PP_Grid[#Data],$DE914,61),0)</f>
        <v/>
      </c>
      <c r="BM914">
        <f>IFERROR(INDEX(PP_Grid[#Data],$DE914,62),0)</f>
        <v/>
      </c>
      <c r="BN914">
        <f>IFERROR(INDEX(PP_Grid[#Data],$DE914,63),0)</f>
        <v/>
      </c>
      <c r="BO914">
        <f>IFERROR(INDEX(PP_Grid[#Data],$DE914,64),0)</f>
        <v/>
      </c>
      <c r="BP914">
        <f>IFERROR(INDEX(PP_Grid[#Data],$DE914,65),0)</f>
        <v/>
      </c>
      <c r="BQ914">
        <f>IFERROR(INDEX(PP_Grid[#Data],$DE914,66),0)</f>
        <v/>
      </c>
      <c r="BR914">
        <f>IFERROR(INDEX(PP_Grid[#Data],$DE914,67),0)</f>
        <v/>
      </c>
      <c r="BS914">
        <f>IFERROR(INDEX(PP_Grid[#Data],$DE914,68),0)</f>
        <v/>
      </c>
      <c r="BT914">
        <f>IFERROR(INDEX(PP_Grid[#Data],$DE914,69),0)</f>
        <v/>
      </c>
      <c r="BU914">
        <f>IFERROR(INDEX(PP_Grid[#Data],$DE914,70),0)</f>
        <v/>
      </c>
      <c r="BV914">
        <f>IFERROR(INDEX(PP_Grid[#Data],$DE914,71),0)</f>
        <v/>
      </c>
      <c r="BW914">
        <f>IFERROR(INDEX(PP_Grid[#Data],$DE914,72),0)</f>
        <v/>
      </c>
      <c r="BX914">
        <f>IFERROR(INDEX(PP_Grid[#Data],$DE914,73),0)</f>
        <v/>
      </c>
      <c r="BY914">
        <f>IFERROR(INDEX(PP_Grid[#Data],$DE914,74),0)</f>
        <v/>
      </c>
      <c r="BZ914">
        <f>IFERROR(INDEX(PP_Grid[#Data],$DE914,75),0)</f>
        <v/>
      </c>
      <c r="CA914">
        <f>IFERROR(INDEX(PP_Grid[#Data],$DE914,76),0)</f>
        <v/>
      </c>
      <c r="CB914">
        <f>IFERROR(INDEX(PP_Grid[#Data],$DE914,77),0)</f>
        <v/>
      </c>
      <c r="CC914">
        <f>IFERROR(INDEX(PP_Grid[#Data],$DE914,78),0)</f>
        <v/>
      </c>
      <c r="CD914">
        <f>IFERROR(INDEX(PP_Grid[#Data],$DE914,79),0)</f>
        <v/>
      </c>
      <c r="CE914">
        <f>IFERROR(INDEX(PP_Grid[#Data],$DE914,80),0)</f>
        <v/>
      </c>
      <c r="CF914">
        <f>IFERROR(INDEX(PP_Grid[#Data],$DE914,81),0)</f>
        <v/>
      </c>
      <c r="CG914">
        <f>IFERROR(INDEX(PP_Grid[#Data],$DE914,82),0)</f>
        <v/>
      </c>
      <c r="CH914">
        <f>IFERROR(INDEX(PP_Grid[#Data],$DE914,83),0)</f>
        <v/>
      </c>
      <c r="CI914">
        <f>IFERROR(INDEX(PP_Grid[#Data],$DE914,84),0)</f>
        <v/>
      </c>
      <c r="CJ914">
        <f>IFERROR(INDEX(PP_Grid[#Data],$DE914,85),0)</f>
        <v/>
      </c>
      <c r="CK914">
        <f>IFERROR(INDEX(PP_Grid[#Data],$DE914,86),0)</f>
        <v/>
      </c>
      <c r="CL914">
        <f>IFERROR(INDEX(PP_Grid[#Data],$DE914,87),0)</f>
        <v/>
      </c>
      <c r="CM914">
        <f>IFERROR(INDEX(PP_Grid[#Data],$DE914,88),0)</f>
        <v/>
      </c>
      <c r="CN914">
        <f>IFERROR(INDEX(PP_Grid[#Data],$DE914,89),0)</f>
        <v/>
      </c>
      <c r="CO914">
        <f>IFERROR(INDEX(PP_Grid[#Data],$DE914,90),0)</f>
        <v/>
      </c>
      <c r="CP914">
        <f>IFERROR(INDEX(PP_Grid[#Data],$DE914,91),0)</f>
        <v/>
      </c>
      <c r="CQ914">
        <f>IFERROR(INDEX(PP_Grid[#Data],$DE914,92),0)</f>
        <v/>
      </c>
      <c r="CR914">
        <f>IFERROR(INDEX(PP_Grid[#Data],$DE914,93),0)</f>
        <v/>
      </c>
      <c r="CS914">
        <f>IFERROR(INDEX(PP_Grid[#Data],$DE914,94),0)</f>
        <v/>
      </c>
      <c r="CT914">
        <f>IFERROR(INDEX(PP_Grid[#Data],$DE914,95),0)</f>
        <v/>
      </c>
      <c r="CU914">
        <f>IFERROR(INDEX(PP_Grid[#Data],$DE914,96),0)</f>
        <v/>
      </c>
      <c r="CV914">
        <f>IFERROR(INDEX(PP_Grid[#Data],$DE914,97),0)</f>
        <v/>
      </c>
      <c r="CW914">
        <f>IFERROR(INDEX(PP_Grid[#Data],$DE914,98),0)</f>
        <v/>
      </c>
      <c r="CX914">
        <f>IFERROR(INDEX(PP_Grid[#Data],$DE914,99),0)</f>
        <v/>
      </c>
      <c r="CY914">
        <f>IFERROR(INDEX(PP_Grid[#Data],$DE914,100),0)</f>
        <v/>
      </c>
      <c r="CZ914">
        <f>IFERROR(INDEX(PP_Grid[#Data],$DE914,101),0)</f>
        <v/>
      </c>
      <c r="DA914">
        <f>IFERROR(INDEX(PP_Grid[#Data],$DE914,102),0)</f>
        <v/>
      </c>
      <c r="DB914">
        <f>IFERROR(INDEX(PP_Grid[#Data],$DE914,103),0)</f>
        <v/>
      </c>
      <c r="DC914">
        <f>IFERROR(INDEX(PP_Grid[#Data],$DE914,104),0)</f>
        <v/>
      </c>
      <c r="DD914">
        <f>IFERROR(INDEX(PP_Grid[#Data],$DE914,105),0)</f>
        <v/>
      </c>
      <c r="DE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SUMIFS(M_BOM[RM_Qty_Per_Batch],M_BOM[Intermediate],$B914,M_BOM[RM_Code],$A891)</f>
        <v/>
      </c>
      <c r="D915">
        <f>IFERROR(INDEX(E915:DD915,$F$1),"")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  <c r="DD915">
        <f>$C915*DD914</f>
        <v/>
      </c>
    </row>
    <row r="916">
      <c r="B916" t="inlineStr">
        <is>
          <t>VSP-739</t>
        </is>
      </c>
      <c r="C916" t="inlineStr">
        <is>
          <t>No. of batches</t>
        </is>
      </c>
      <c r="D916">
        <f>IFERROR(INDEX(E916:DD916,$F$1),"")</f>
        <v/>
      </c>
      <c r="E916">
        <f>IFERROR(INDEX(PP_Grid[#Data],$DE916,2),0)</f>
        <v/>
      </c>
      <c r="F916">
        <f>IFERROR(INDEX(PP_Grid[#Data],$DE916,3),0)</f>
        <v/>
      </c>
      <c r="G916">
        <f>IFERROR(INDEX(PP_Grid[#Data],$DE916,4),0)</f>
        <v/>
      </c>
      <c r="H916">
        <f>IFERROR(INDEX(PP_Grid[#Data],$DE916,5),0)</f>
        <v/>
      </c>
      <c r="I916">
        <f>IFERROR(INDEX(PP_Grid[#Data],$DE916,6),0)</f>
        <v/>
      </c>
      <c r="J916">
        <f>IFERROR(INDEX(PP_Grid[#Data],$DE916,7),0)</f>
        <v/>
      </c>
      <c r="K916">
        <f>IFERROR(INDEX(PP_Grid[#Data],$DE916,8),0)</f>
        <v/>
      </c>
      <c r="L916">
        <f>IFERROR(INDEX(PP_Grid[#Data],$DE916,9),0)</f>
        <v/>
      </c>
      <c r="M916">
        <f>IFERROR(INDEX(PP_Grid[#Data],$DE916,10),0)</f>
        <v/>
      </c>
      <c r="N916">
        <f>IFERROR(INDEX(PP_Grid[#Data],$DE916,11),0)</f>
        <v/>
      </c>
      <c r="O916">
        <f>IFERROR(INDEX(PP_Grid[#Data],$DE916,12),0)</f>
        <v/>
      </c>
      <c r="P916">
        <f>IFERROR(INDEX(PP_Grid[#Data],$DE916,13),0)</f>
        <v/>
      </c>
      <c r="Q916">
        <f>IFERROR(INDEX(PP_Grid[#Data],$DE916,14),0)</f>
        <v/>
      </c>
      <c r="R916">
        <f>IFERROR(INDEX(PP_Grid[#Data],$DE916,15),0)</f>
        <v/>
      </c>
      <c r="S916">
        <f>IFERROR(INDEX(PP_Grid[#Data],$DE916,16),0)</f>
        <v/>
      </c>
      <c r="T916">
        <f>IFERROR(INDEX(PP_Grid[#Data],$DE916,17),0)</f>
        <v/>
      </c>
      <c r="U916">
        <f>IFERROR(INDEX(PP_Grid[#Data],$DE916,18),0)</f>
        <v/>
      </c>
      <c r="V916">
        <f>IFERROR(INDEX(PP_Grid[#Data],$DE916,19),0)</f>
        <v/>
      </c>
      <c r="W916">
        <f>IFERROR(INDEX(PP_Grid[#Data],$DE916,20),0)</f>
        <v/>
      </c>
      <c r="X916">
        <f>IFERROR(INDEX(PP_Grid[#Data],$DE916,21),0)</f>
        <v/>
      </c>
      <c r="Y916">
        <f>IFERROR(INDEX(PP_Grid[#Data],$DE916,22),0)</f>
        <v/>
      </c>
      <c r="Z916">
        <f>IFERROR(INDEX(PP_Grid[#Data],$DE916,23),0)</f>
        <v/>
      </c>
      <c r="AA916">
        <f>IFERROR(INDEX(PP_Grid[#Data],$DE916,24),0)</f>
        <v/>
      </c>
      <c r="AB916">
        <f>IFERROR(INDEX(PP_Grid[#Data],$DE916,25),0)</f>
        <v/>
      </c>
      <c r="AC916">
        <f>IFERROR(INDEX(PP_Grid[#Data],$DE916,26),0)</f>
        <v/>
      </c>
      <c r="AD916">
        <f>IFERROR(INDEX(PP_Grid[#Data],$DE916,27),0)</f>
        <v/>
      </c>
      <c r="AE916">
        <f>IFERROR(INDEX(PP_Grid[#Data],$DE916,28),0)</f>
        <v/>
      </c>
      <c r="AF916">
        <f>IFERROR(INDEX(PP_Grid[#Data],$DE916,29),0)</f>
        <v/>
      </c>
      <c r="AG916">
        <f>IFERROR(INDEX(PP_Grid[#Data],$DE916,30),0)</f>
        <v/>
      </c>
      <c r="AH916">
        <f>IFERROR(INDEX(PP_Grid[#Data],$DE916,31),0)</f>
        <v/>
      </c>
      <c r="AI916">
        <f>IFERROR(INDEX(PP_Grid[#Data],$DE916,32),0)</f>
        <v/>
      </c>
      <c r="AJ916">
        <f>IFERROR(INDEX(PP_Grid[#Data],$DE916,33),0)</f>
        <v/>
      </c>
      <c r="AK916">
        <f>IFERROR(INDEX(PP_Grid[#Data],$DE916,34),0)</f>
        <v/>
      </c>
      <c r="AL916">
        <f>IFERROR(INDEX(PP_Grid[#Data],$DE916,35),0)</f>
        <v/>
      </c>
      <c r="AM916">
        <f>IFERROR(INDEX(PP_Grid[#Data],$DE916,36),0)</f>
        <v/>
      </c>
      <c r="AN916">
        <f>IFERROR(INDEX(PP_Grid[#Data],$DE916,37),0)</f>
        <v/>
      </c>
      <c r="AO916">
        <f>IFERROR(INDEX(PP_Grid[#Data],$DE916,38),0)</f>
        <v/>
      </c>
      <c r="AP916">
        <f>IFERROR(INDEX(PP_Grid[#Data],$DE916,39),0)</f>
        <v/>
      </c>
      <c r="AQ916">
        <f>IFERROR(INDEX(PP_Grid[#Data],$DE916,40),0)</f>
        <v/>
      </c>
      <c r="AR916">
        <f>IFERROR(INDEX(PP_Grid[#Data],$DE916,41),0)</f>
        <v/>
      </c>
      <c r="AS916">
        <f>IFERROR(INDEX(PP_Grid[#Data],$DE916,42),0)</f>
        <v/>
      </c>
      <c r="AT916">
        <f>IFERROR(INDEX(PP_Grid[#Data],$DE916,43),0)</f>
        <v/>
      </c>
      <c r="AU916">
        <f>IFERROR(INDEX(PP_Grid[#Data],$DE916,44),0)</f>
        <v/>
      </c>
      <c r="AV916">
        <f>IFERROR(INDEX(PP_Grid[#Data],$DE916,45),0)</f>
        <v/>
      </c>
      <c r="AW916">
        <f>IFERROR(INDEX(PP_Grid[#Data],$DE916,46),0)</f>
        <v/>
      </c>
      <c r="AX916">
        <f>IFERROR(INDEX(PP_Grid[#Data],$DE916,47),0)</f>
        <v/>
      </c>
      <c r="AY916">
        <f>IFERROR(INDEX(PP_Grid[#Data],$DE916,48),0)</f>
        <v/>
      </c>
      <c r="AZ916">
        <f>IFERROR(INDEX(PP_Grid[#Data],$DE916,49),0)</f>
        <v/>
      </c>
      <c r="BA916">
        <f>IFERROR(INDEX(PP_Grid[#Data],$DE916,50),0)</f>
        <v/>
      </c>
      <c r="BB916">
        <f>IFERROR(INDEX(PP_Grid[#Data],$DE916,51),0)</f>
        <v/>
      </c>
      <c r="BC916">
        <f>IFERROR(INDEX(PP_Grid[#Data],$DE916,52),0)</f>
        <v/>
      </c>
      <c r="BD916">
        <f>IFERROR(INDEX(PP_Grid[#Data],$DE916,53),0)</f>
        <v/>
      </c>
      <c r="BE916">
        <f>IFERROR(INDEX(PP_Grid[#Data],$DE916,54),0)</f>
        <v/>
      </c>
      <c r="BF916">
        <f>IFERROR(INDEX(PP_Grid[#Data],$DE916,55),0)</f>
        <v/>
      </c>
      <c r="BG916">
        <f>IFERROR(INDEX(PP_Grid[#Data],$DE916,56),0)</f>
        <v/>
      </c>
      <c r="BH916">
        <f>IFERROR(INDEX(PP_Grid[#Data],$DE916,57),0)</f>
        <v/>
      </c>
      <c r="BI916">
        <f>IFERROR(INDEX(PP_Grid[#Data],$DE916,58),0)</f>
        <v/>
      </c>
      <c r="BJ916">
        <f>IFERROR(INDEX(PP_Grid[#Data],$DE916,59),0)</f>
        <v/>
      </c>
      <c r="BK916">
        <f>IFERROR(INDEX(PP_Grid[#Data],$DE916,60),0)</f>
        <v/>
      </c>
      <c r="BL916">
        <f>IFERROR(INDEX(PP_Grid[#Data],$DE916,61),0)</f>
        <v/>
      </c>
      <c r="BM916">
        <f>IFERROR(INDEX(PP_Grid[#Data],$DE916,62),0)</f>
        <v/>
      </c>
      <c r="BN916">
        <f>IFERROR(INDEX(PP_Grid[#Data],$DE916,63),0)</f>
        <v/>
      </c>
      <c r="BO916">
        <f>IFERROR(INDEX(PP_Grid[#Data],$DE916,64),0)</f>
        <v/>
      </c>
      <c r="BP916">
        <f>IFERROR(INDEX(PP_Grid[#Data],$DE916,65),0)</f>
        <v/>
      </c>
      <c r="BQ916">
        <f>IFERROR(INDEX(PP_Grid[#Data],$DE916,66),0)</f>
        <v/>
      </c>
      <c r="BR916">
        <f>IFERROR(INDEX(PP_Grid[#Data],$DE916,67),0)</f>
        <v/>
      </c>
      <c r="BS916">
        <f>IFERROR(INDEX(PP_Grid[#Data],$DE916,68),0)</f>
        <v/>
      </c>
      <c r="BT916">
        <f>IFERROR(INDEX(PP_Grid[#Data],$DE916,69),0)</f>
        <v/>
      </c>
      <c r="BU916">
        <f>IFERROR(INDEX(PP_Grid[#Data],$DE916,70),0)</f>
        <v/>
      </c>
      <c r="BV916">
        <f>IFERROR(INDEX(PP_Grid[#Data],$DE916,71),0)</f>
        <v/>
      </c>
      <c r="BW916">
        <f>IFERROR(INDEX(PP_Grid[#Data],$DE916,72),0)</f>
        <v/>
      </c>
      <c r="BX916">
        <f>IFERROR(INDEX(PP_Grid[#Data],$DE916,73),0)</f>
        <v/>
      </c>
      <c r="BY916">
        <f>IFERROR(INDEX(PP_Grid[#Data],$DE916,74),0)</f>
        <v/>
      </c>
      <c r="BZ916">
        <f>IFERROR(INDEX(PP_Grid[#Data],$DE916,75),0)</f>
        <v/>
      </c>
      <c r="CA916">
        <f>IFERROR(INDEX(PP_Grid[#Data],$DE916,76),0)</f>
        <v/>
      </c>
      <c r="CB916">
        <f>IFERROR(INDEX(PP_Grid[#Data],$DE916,77),0)</f>
        <v/>
      </c>
      <c r="CC916">
        <f>IFERROR(INDEX(PP_Grid[#Data],$DE916,78),0)</f>
        <v/>
      </c>
      <c r="CD916">
        <f>IFERROR(INDEX(PP_Grid[#Data],$DE916,79),0)</f>
        <v/>
      </c>
      <c r="CE916">
        <f>IFERROR(INDEX(PP_Grid[#Data],$DE916,80),0)</f>
        <v/>
      </c>
      <c r="CF916">
        <f>IFERROR(INDEX(PP_Grid[#Data],$DE916,81),0)</f>
        <v/>
      </c>
      <c r="CG916">
        <f>IFERROR(INDEX(PP_Grid[#Data],$DE916,82),0)</f>
        <v/>
      </c>
      <c r="CH916">
        <f>IFERROR(INDEX(PP_Grid[#Data],$DE916,83),0)</f>
        <v/>
      </c>
      <c r="CI916">
        <f>IFERROR(INDEX(PP_Grid[#Data],$DE916,84),0)</f>
        <v/>
      </c>
      <c r="CJ916">
        <f>IFERROR(INDEX(PP_Grid[#Data],$DE916,85),0)</f>
        <v/>
      </c>
      <c r="CK916">
        <f>IFERROR(INDEX(PP_Grid[#Data],$DE916,86),0)</f>
        <v/>
      </c>
      <c r="CL916">
        <f>IFERROR(INDEX(PP_Grid[#Data],$DE916,87),0)</f>
        <v/>
      </c>
      <c r="CM916">
        <f>IFERROR(INDEX(PP_Grid[#Data],$DE916,88),0)</f>
        <v/>
      </c>
      <c r="CN916">
        <f>IFERROR(INDEX(PP_Grid[#Data],$DE916,89),0)</f>
        <v/>
      </c>
      <c r="CO916">
        <f>IFERROR(INDEX(PP_Grid[#Data],$DE916,90),0)</f>
        <v/>
      </c>
      <c r="CP916">
        <f>IFERROR(INDEX(PP_Grid[#Data],$DE916,91),0)</f>
        <v/>
      </c>
      <c r="CQ916">
        <f>IFERROR(INDEX(PP_Grid[#Data],$DE916,92),0)</f>
        <v/>
      </c>
      <c r="CR916">
        <f>IFERROR(INDEX(PP_Grid[#Data],$DE916,93),0)</f>
        <v/>
      </c>
      <c r="CS916">
        <f>IFERROR(INDEX(PP_Grid[#Data],$DE916,94),0)</f>
        <v/>
      </c>
      <c r="CT916">
        <f>IFERROR(INDEX(PP_Grid[#Data],$DE916,95),0)</f>
        <v/>
      </c>
      <c r="CU916">
        <f>IFERROR(INDEX(PP_Grid[#Data],$DE916,96),0)</f>
        <v/>
      </c>
      <c r="CV916">
        <f>IFERROR(INDEX(PP_Grid[#Data],$DE916,97),0)</f>
        <v/>
      </c>
      <c r="CW916">
        <f>IFERROR(INDEX(PP_Grid[#Data],$DE916,98),0)</f>
        <v/>
      </c>
      <c r="CX916">
        <f>IFERROR(INDEX(PP_Grid[#Data],$DE916,99),0)</f>
        <v/>
      </c>
      <c r="CY916">
        <f>IFERROR(INDEX(PP_Grid[#Data],$DE916,100),0)</f>
        <v/>
      </c>
      <c r="CZ916">
        <f>IFERROR(INDEX(PP_Grid[#Data],$DE916,101),0)</f>
        <v/>
      </c>
      <c r="DA916">
        <f>IFERROR(INDEX(PP_Grid[#Data],$DE916,102),0)</f>
        <v/>
      </c>
      <c r="DB916">
        <f>IFERROR(INDEX(PP_Grid[#Data],$DE916,103),0)</f>
        <v/>
      </c>
      <c r="DC916">
        <f>IFERROR(INDEX(PP_Grid[#Data],$DE916,104),0)</f>
        <v/>
      </c>
      <c r="DD916">
        <f>IFERROR(INDEX(PP_Grid[#Data],$DE916,105),0)</f>
        <v/>
      </c>
      <c r="DE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SUMIFS(M_BOM[RM_Qty_Per_Batch],M_BOM[Intermediate],$B916,M_BOM[RM_Code],$A891)</f>
        <v/>
      </c>
      <c r="D917">
        <f>IFERROR(INDEX(E917:DD917,$F$1),"")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  <c r="DD917">
        <f>$C917*DD916</f>
        <v/>
      </c>
    </row>
    <row r="918">
      <c r="B918" t="inlineStr">
        <is>
          <t>VSP-820</t>
        </is>
      </c>
      <c r="C918" t="inlineStr">
        <is>
          <t>No. of batches</t>
        </is>
      </c>
      <c r="D918">
        <f>IFERROR(INDEX(E918:DD918,$F$1),"")</f>
        <v/>
      </c>
      <c r="E918">
        <f>IFERROR(INDEX(PP_Grid[#Data],$DE918,2),0)</f>
        <v/>
      </c>
      <c r="F918">
        <f>IFERROR(INDEX(PP_Grid[#Data],$DE918,3),0)</f>
        <v/>
      </c>
      <c r="G918">
        <f>IFERROR(INDEX(PP_Grid[#Data],$DE918,4),0)</f>
        <v/>
      </c>
      <c r="H918">
        <f>IFERROR(INDEX(PP_Grid[#Data],$DE918,5),0)</f>
        <v/>
      </c>
      <c r="I918">
        <f>IFERROR(INDEX(PP_Grid[#Data],$DE918,6),0)</f>
        <v/>
      </c>
      <c r="J918">
        <f>IFERROR(INDEX(PP_Grid[#Data],$DE918,7),0)</f>
        <v/>
      </c>
      <c r="K918">
        <f>IFERROR(INDEX(PP_Grid[#Data],$DE918,8),0)</f>
        <v/>
      </c>
      <c r="L918">
        <f>IFERROR(INDEX(PP_Grid[#Data],$DE918,9),0)</f>
        <v/>
      </c>
      <c r="M918">
        <f>IFERROR(INDEX(PP_Grid[#Data],$DE918,10),0)</f>
        <v/>
      </c>
      <c r="N918">
        <f>IFERROR(INDEX(PP_Grid[#Data],$DE918,11),0)</f>
        <v/>
      </c>
      <c r="O918">
        <f>IFERROR(INDEX(PP_Grid[#Data],$DE918,12),0)</f>
        <v/>
      </c>
      <c r="P918">
        <f>IFERROR(INDEX(PP_Grid[#Data],$DE918,13),0)</f>
        <v/>
      </c>
      <c r="Q918">
        <f>IFERROR(INDEX(PP_Grid[#Data],$DE918,14),0)</f>
        <v/>
      </c>
      <c r="R918">
        <f>IFERROR(INDEX(PP_Grid[#Data],$DE918,15),0)</f>
        <v/>
      </c>
      <c r="S918">
        <f>IFERROR(INDEX(PP_Grid[#Data],$DE918,16),0)</f>
        <v/>
      </c>
      <c r="T918">
        <f>IFERROR(INDEX(PP_Grid[#Data],$DE918,17),0)</f>
        <v/>
      </c>
      <c r="U918">
        <f>IFERROR(INDEX(PP_Grid[#Data],$DE918,18),0)</f>
        <v/>
      </c>
      <c r="V918">
        <f>IFERROR(INDEX(PP_Grid[#Data],$DE918,19),0)</f>
        <v/>
      </c>
      <c r="W918">
        <f>IFERROR(INDEX(PP_Grid[#Data],$DE918,20),0)</f>
        <v/>
      </c>
      <c r="X918">
        <f>IFERROR(INDEX(PP_Grid[#Data],$DE918,21),0)</f>
        <v/>
      </c>
      <c r="Y918">
        <f>IFERROR(INDEX(PP_Grid[#Data],$DE918,22),0)</f>
        <v/>
      </c>
      <c r="Z918">
        <f>IFERROR(INDEX(PP_Grid[#Data],$DE918,23),0)</f>
        <v/>
      </c>
      <c r="AA918">
        <f>IFERROR(INDEX(PP_Grid[#Data],$DE918,24),0)</f>
        <v/>
      </c>
      <c r="AB918">
        <f>IFERROR(INDEX(PP_Grid[#Data],$DE918,25),0)</f>
        <v/>
      </c>
      <c r="AC918">
        <f>IFERROR(INDEX(PP_Grid[#Data],$DE918,26),0)</f>
        <v/>
      </c>
      <c r="AD918">
        <f>IFERROR(INDEX(PP_Grid[#Data],$DE918,27),0)</f>
        <v/>
      </c>
      <c r="AE918">
        <f>IFERROR(INDEX(PP_Grid[#Data],$DE918,28),0)</f>
        <v/>
      </c>
      <c r="AF918">
        <f>IFERROR(INDEX(PP_Grid[#Data],$DE918,29),0)</f>
        <v/>
      </c>
      <c r="AG918">
        <f>IFERROR(INDEX(PP_Grid[#Data],$DE918,30),0)</f>
        <v/>
      </c>
      <c r="AH918">
        <f>IFERROR(INDEX(PP_Grid[#Data],$DE918,31),0)</f>
        <v/>
      </c>
      <c r="AI918">
        <f>IFERROR(INDEX(PP_Grid[#Data],$DE918,32),0)</f>
        <v/>
      </c>
      <c r="AJ918">
        <f>IFERROR(INDEX(PP_Grid[#Data],$DE918,33),0)</f>
        <v/>
      </c>
      <c r="AK918">
        <f>IFERROR(INDEX(PP_Grid[#Data],$DE918,34),0)</f>
        <v/>
      </c>
      <c r="AL918">
        <f>IFERROR(INDEX(PP_Grid[#Data],$DE918,35),0)</f>
        <v/>
      </c>
      <c r="AM918">
        <f>IFERROR(INDEX(PP_Grid[#Data],$DE918,36),0)</f>
        <v/>
      </c>
      <c r="AN918">
        <f>IFERROR(INDEX(PP_Grid[#Data],$DE918,37),0)</f>
        <v/>
      </c>
      <c r="AO918">
        <f>IFERROR(INDEX(PP_Grid[#Data],$DE918,38),0)</f>
        <v/>
      </c>
      <c r="AP918">
        <f>IFERROR(INDEX(PP_Grid[#Data],$DE918,39),0)</f>
        <v/>
      </c>
      <c r="AQ918">
        <f>IFERROR(INDEX(PP_Grid[#Data],$DE918,40),0)</f>
        <v/>
      </c>
      <c r="AR918">
        <f>IFERROR(INDEX(PP_Grid[#Data],$DE918,41),0)</f>
        <v/>
      </c>
      <c r="AS918">
        <f>IFERROR(INDEX(PP_Grid[#Data],$DE918,42),0)</f>
        <v/>
      </c>
      <c r="AT918">
        <f>IFERROR(INDEX(PP_Grid[#Data],$DE918,43),0)</f>
        <v/>
      </c>
      <c r="AU918">
        <f>IFERROR(INDEX(PP_Grid[#Data],$DE918,44),0)</f>
        <v/>
      </c>
      <c r="AV918">
        <f>IFERROR(INDEX(PP_Grid[#Data],$DE918,45),0)</f>
        <v/>
      </c>
      <c r="AW918">
        <f>IFERROR(INDEX(PP_Grid[#Data],$DE918,46),0)</f>
        <v/>
      </c>
      <c r="AX918">
        <f>IFERROR(INDEX(PP_Grid[#Data],$DE918,47),0)</f>
        <v/>
      </c>
      <c r="AY918">
        <f>IFERROR(INDEX(PP_Grid[#Data],$DE918,48),0)</f>
        <v/>
      </c>
      <c r="AZ918">
        <f>IFERROR(INDEX(PP_Grid[#Data],$DE918,49),0)</f>
        <v/>
      </c>
      <c r="BA918">
        <f>IFERROR(INDEX(PP_Grid[#Data],$DE918,50),0)</f>
        <v/>
      </c>
      <c r="BB918">
        <f>IFERROR(INDEX(PP_Grid[#Data],$DE918,51),0)</f>
        <v/>
      </c>
      <c r="BC918">
        <f>IFERROR(INDEX(PP_Grid[#Data],$DE918,52),0)</f>
        <v/>
      </c>
      <c r="BD918">
        <f>IFERROR(INDEX(PP_Grid[#Data],$DE918,53),0)</f>
        <v/>
      </c>
      <c r="BE918">
        <f>IFERROR(INDEX(PP_Grid[#Data],$DE918,54),0)</f>
        <v/>
      </c>
      <c r="BF918">
        <f>IFERROR(INDEX(PP_Grid[#Data],$DE918,55),0)</f>
        <v/>
      </c>
      <c r="BG918">
        <f>IFERROR(INDEX(PP_Grid[#Data],$DE918,56),0)</f>
        <v/>
      </c>
      <c r="BH918">
        <f>IFERROR(INDEX(PP_Grid[#Data],$DE918,57),0)</f>
        <v/>
      </c>
      <c r="BI918">
        <f>IFERROR(INDEX(PP_Grid[#Data],$DE918,58),0)</f>
        <v/>
      </c>
      <c r="BJ918">
        <f>IFERROR(INDEX(PP_Grid[#Data],$DE918,59),0)</f>
        <v/>
      </c>
      <c r="BK918">
        <f>IFERROR(INDEX(PP_Grid[#Data],$DE918,60),0)</f>
        <v/>
      </c>
      <c r="BL918">
        <f>IFERROR(INDEX(PP_Grid[#Data],$DE918,61),0)</f>
        <v/>
      </c>
      <c r="BM918">
        <f>IFERROR(INDEX(PP_Grid[#Data],$DE918,62),0)</f>
        <v/>
      </c>
      <c r="BN918">
        <f>IFERROR(INDEX(PP_Grid[#Data],$DE918,63),0)</f>
        <v/>
      </c>
      <c r="BO918">
        <f>IFERROR(INDEX(PP_Grid[#Data],$DE918,64),0)</f>
        <v/>
      </c>
      <c r="BP918">
        <f>IFERROR(INDEX(PP_Grid[#Data],$DE918,65),0)</f>
        <v/>
      </c>
      <c r="BQ918">
        <f>IFERROR(INDEX(PP_Grid[#Data],$DE918,66),0)</f>
        <v/>
      </c>
      <c r="BR918">
        <f>IFERROR(INDEX(PP_Grid[#Data],$DE918,67),0)</f>
        <v/>
      </c>
      <c r="BS918">
        <f>IFERROR(INDEX(PP_Grid[#Data],$DE918,68),0)</f>
        <v/>
      </c>
      <c r="BT918">
        <f>IFERROR(INDEX(PP_Grid[#Data],$DE918,69),0)</f>
        <v/>
      </c>
      <c r="BU918">
        <f>IFERROR(INDEX(PP_Grid[#Data],$DE918,70),0)</f>
        <v/>
      </c>
      <c r="BV918">
        <f>IFERROR(INDEX(PP_Grid[#Data],$DE918,71),0)</f>
        <v/>
      </c>
      <c r="BW918">
        <f>IFERROR(INDEX(PP_Grid[#Data],$DE918,72),0)</f>
        <v/>
      </c>
      <c r="BX918">
        <f>IFERROR(INDEX(PP_Grid[#Data],$DE918,73),0)</f>
        <v/>
      </c>
      <c r="BY918">
        <f>IFERROR(INDEX(PP_Grid[#Data],$DE918,74),0)</f>
        <v/>
      </c>
      <c r="BZ918">
        <f>IFERROR(INDEX(PP_Grid[#Data],$DE918,75),0)</f>
        <v/>
      </c>
      <c r="CA918">
        <f>IFERROR(INDEX(PP_Grid[#Data],$DE918,76),0)</f>
        <v/>
      </c>
      <c r="CB918">
        <f>IFERROR(INDEX(PP_Grid[#Data],$DE918,77),0)</f>
        <v/>
      </c>
      <c r="CC918">
        <f>IFERROR(INDEX(PP_Grid[#Data],$DE918,78),0)</f>
        <v/>
      </c>
      <c r="CD918">
        <f>IFERROR(INDEX(PP_Grid[#Data],$DE918,79),0)</f>
        <v/>
      </c>
      <c r="CE918">
        <f>IFERROR(INDEX(PP_Grid[#Data],$DE918,80),0)</f>
        <v/>
      </c>
      <c r="CF918">
        <f>IFERROR(INDEX(PP_Grid[#Data],$DE918,81),0)</f>
        <v/>
      </c>
      <c r="CG918">
        <f>IFERROR(INDEX(PP_Grid[#Data],$DE918,82),0)</f>
        <v/>
      </c>
      <c r="CH918">
        <f>IFERROR(INDEX(PP_Grid[#Data],$DE918,83),0)</f>
        <v/>
      </c>
      <c r="CI918">
        <f>IFERROR(INDEX(PP_Grid[#Data],$DE918,84),0)</f>
        <v/>
      </c>
      <c r="CJ918">
        <f>IFERROR(INDEX(PP_Grid[#Data],$DE918,85),0)</f>
        <v/>
      </c>
      <c r="CK918">
        <f>IFERROR(INDEX(PP_Grid[#Data],$DE918,86),0)</f>
        <v/>
      </c>
      <c r="CL918">
        <f>IFERROR(INDEX(PP_Grid[#Data],$DE918,87),0)</f>
        <v/>
      </c>
      <c r="CM918">
        <f>IFERROR(INDEX(PP_Grid[#Data],$DE918,88),0)</f>
        <v/>
      </c>
      <c r="CN918">
        <f>IFERROR(INDEX(PP_Grid[#Data],$DE918,89),0)</f>
        <v/>
      </c>
      <c r="CO918">
        <f>IFERROR(INDEX(PP_Grid[#Data],$DE918,90),0)</f>
        <v/>
      </c>
      <c r="CP918">
        <f>IFERROR(INDEX(PP_Grid[#Data],$DE918,91),0)</f>
        <v/>
      </c>
      <c r="CQ918">
        <f>IFERROR(INDEX(PP_Grid[#Data],$DE918,92),0)</f>
        <v/>
      </c>
      <c r="CR918">
        <f>IFERROR(INDEX(PP_Grid[#Data],$DE918,93),0)</f>
        <v/>
      </c>
      <c r="CS918">
        <f>IFERROR(INDEX(PP_Grid[#Data],$DE918,94),0)</f>
        <v/>
      </c>
      <c r="CT918">
        <f>IFERROR(INDEX(PP_Grid[#Data],$DE918,95),0)</f>
        <v/>
      </c>
      <c r="CU918">
        <f>IFERROR(INDEX(PP_Grid[#Data],$DE918,96),0)</f>
        <v/>
      </c>
      <c r="CV918">
        <f>IFERROR(INDEX(PP_Grid[#Data],$DE918,97),0)</f>
        <v/>
      </c>
      <c r="CW918">
        <f>IFERROR(INDEX(PP_Grid[#Data],$DE918,98),0)</f>
        <v/>
      </c>
      <c r="CX918">
        <f>IFERROR(INDEX(PP_Grid[#Data],$DE918,99),0)</f>
        <v/>
      </c>
      <c r="CY918">
        <f>IFERROR(INDEX(PP_Grid[#Data],$DE918,100),0)</f>
        <v/>
      </c>
      <c r="CZ918">
        <f>IFERROR(INDEX(PP_Grid[#Data],$DE918,101),0)</f>
        <v/>
      </c>
      <c r="DA918">
        <f>IFERROR(INDEX(PP_Grid[#Data],$DE918,102),0)</f>
        <v/>
      </c>
      <c r="DB918">
        <f>IFERROR(INDEX(PP_Grid[#Data],$DE918,103),0)</f>
        <v/>
      </c>
      <c r="DC918">
        <f>IFERROR(INDEX(PP_Grid[#Data],$DE918,104),0)</f>
        <v/>
      </c>
      <c r="DD918">
        <f>IFERROR(INDEX(PP_Grid[#Data],$DE918,105),0)</f>
        <v/>
      </c>
      <c r="DE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SUMIFS(M_BOM[RM_Qty_Per_Batch],M_BOM[Intermediate],$B918,M_BOM[RM_Code],$A891)</f>
        <v/>
      </c>
      <c r="D919">
        <f>IFERROR(INDEX(E919:DD919,$F$1),"")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  <c r="DD919">
        <f>$C919*DD918</f>
        <v/>
      </c>
    </row>
    <row r="920">
      <c r="B920" t="inlineStr">
        <is>
          <t>VSP-869</t>
        </is>
      </c>
      <c r="C920" t="inlineStr">
        <is>
          <t>No. of batches</t>
        </is>
      </c>
      <c r="D920">
        <f>IFERROR(INDEX(E920:DD920,$F$1),"")</f>
        <v/>
      </c>
      <c r="E920">
        <f>IFERROR(INDEX(PP_Grid[#Data],$DE920,2),0)</f>
        <v/>
      </c>
      <c r="F920">
        <f>IFERROR(INDEX(PP_Grid[#Data],$DE920,3),0)</f>
        <v/>
      </c>
      <c r="G920">
        <f>IFERROR(INDEX(PP_Grid[#Data],$DE920,4),0)</f>
        <v/>
      </c>
      <c r="H920">
        <f>IFERROR(INDEX(PP_Grid[#Data],$DE920,5),0)</f>
        <v/>
      </c>
      <c r="I920">
        <f>IFERROR(INDEX(PP_Grid[#Data],$DE920,6),0)</f>
        <v/>
      </c>
      <c r="J920">
        <f>IFERROR(INDEX(PP_Grid[#Data],$DE920,7),0)</f>
        <v/>
      </c>
      <c r="K920">
        <f>IFERROR(INDEX(PP_Grid[#Data],$DE920,8),0)</f>
        <v/>
      </c>
      <c r="L920">
        <f>IFERROR(INDEX(PP_Grid[#Data],$DE920,9),0)</f>
        <v/>
      </c>
      <c r="M920">
        <f>IFERROR(INDEX(PP_Grid[#Data],$DE920,10),0)</f>
        <v/>
      </c>
      <c r="N920">
        <f>IFERROR(INDEX(PP_Grid[#Data],$DE920,11),0)</f>
        <v/>
      </c>
      <c r="O920">
        <f>IFERROR(INDEX(PP_Grid[#Data],$DE920,12),0)</f>
        <v/>
      </c>
      <c r="P920">
        <f>IFERROR(INDEX(PP_Grid[#Data],$DE920,13),0)</f>
        <v/>
      </c>
      <c r="Q920">
        <f>IFERROR(INDEX(PP_Grid[#Data],$DE920,14),0)</f>
        <v/>
      </c>
      <c r="R920">
        <f>IFERROR(INDEX(PP_Grid[#Data],$DE920,15),0)</f>
        <v/>
      </c>
      <c r="S920">
        <f>IFERROR(INDEX(PP_Grid[#Data],$DE920,16),0)</f>
        <v/>
      </c>
      <c r="T920">
        <f>IFERROR(INDEX(PP_Grid[#Data],$DE920,17),0)</f>
        <v/>
      </c>
      <c r="U920">
        <f>IFERROR(INDEX(PP_Grid[#Data],$DE920,18),0)</f>
        <v/>
      </c>
      <c r="V920">
        <f>IFERROR(INDEX(PP_Grid[#Data],$DE920,19),0)</f>
        <v/>
      </c>
      <c r="W920">
        <f>IFERROR(INDEX(PP_Grid[#Data],$DE920,20),0)</f>
        <v/>
      </c>
      <c r="X920">
        <f>IFERROR(INDEX(PP_Grid[#Data],$DE920,21),0)</f>
        <v/>
      </c>
      <c r="Y920">
        <f>IFERROR(INDEX(PP_Grid[#Data],$DE920,22),0)</f>
        <v/>
      </c>
      <c r="Z920">
        <f>IFERROR(INDEX(PP_Grid[#Data],$DE920,23),0)</f>
        <v/>
      </c>
      <c r="AA920">
        <f>IFERROR(INDEX(PP_Grid[#Data],$DE920,24),0)</f>
        <v/>
      </c>
      <c r="AB920">
        <f>IFERROR(INDEX(PP_Grid[#Data],$DE920,25),0)</f>
        <v/>
      </c>
      <c r="AC920">
        <f>IFERROR(INDEX(PP_Grid[#Data],$DE920,26),0)</f>
        <v/>
      </c>
      <c r="AD920">
        <f>IFERROR(INDEX(PP_Grid[#Data],$DE920,27),0)</f>
        <v/>
      </c>
      <c r="AE920">
        <f>IFERROR(INDEX(PP_Grid[#Data],$DE920,28),0)</f>
        <v/>
      </c>
      <c r="AF920">
        <f>IFERROR(INDEX(PP_Grid[#Data],$DE920,29),0)</f>
        <v/>
      </c>
      <c r="AG920">
        <f>IFERROR(INDEX(PP_Grid[#Data],$DE920,30),0)</f>
        <v/>
      </c>
      <c r="AH920">
        <f>IFERROR(INDEX(PP_Grid[#Data],$DE920,31),0)</f>
        <v/>
      </c>
      <c r="AI920">
        <f>IFERROR(INDEX(PP_Grid[#Data],$DE920,32),0)</f>
        <v/>
      </c>
      <c r="AJ920">
        <f>IFERROR(INDEX(PP_Grid[#Data],$DE920,33),0)</f>
        <v/>
      </c>
      <c r="AK920">
        <f>IFERROR(INDEX(PP_Grid[#Data],$DE920,34),0)</f>
        <v/>
      </c>
      <c r="AL920">
        <f>IFERROR(INDEX(PP_Grid[#Data],$DE920,35),0)</f>
        <v/>
      </c>
      <c r="AM920">
        <f>IFERROR(INDEX(PP_Grid[#Data],$DE920,36),0)</f>
        <v/>
      </c>
      <c r="AN920">
        <f>IFERROR(INDEX(PP_Grid[#Data],$DE920,37),0)</f>
        <v/>
      </c>
      <c r="AO920">
        <f>IFERROR(INDEX(PP_Grid[#Data],$DE920,38),0)</f>
        <v/>
      </c>
      <c r="AP920">
        <f>IFERROR(INDEX(PP_Grid[#Data],$DE920,39),0)</f>
        <v/>
      </c>
      <c r="AQ920">
        <f>IFERROR(INDEX(PP_Grid[#Data],$DE920,40),0)</f>
        <v/>
      </c>
      <c r="AR920">
        <f>IFERROR(INDEX(PP_Grid[#Data],$DE920,41),0)</f>
        <v/>
      </c>
      <c r="AS920">
        <f>IFERROR(INDEX(PP_Grid[#Data],$DE920,42),0)</f>
        <v/>
      </c>
      <c r="AT920">
        <f>IFERROR(INDEX(PP_Grid[#Data],$DE920,43),0)</f>
        <v/>
      </c>
      <c r="AU920">
        <f>IFERROR(INDEX(PP_Grid[#Data],$DE920,44),0)</f>
        <v/>
      </c>
      <c r="AV920">
        <f>IFERROR(INDEX(PP_Grid[#Data],$DE920,45),0)</f>
        <v/>
      </c>
      <c r="AW920">
        <f>IFERROR(INDEX(PP_Grid[#Data],$DE920,46),0)</f>
        <v/>
      </c>
      <c r="AX920">
        <f>IFERROR(INDEX(PP_Grid[#Data],$DE920,47),0)</f>
        <v/>
      </c>
      <c r="AY920">
        <f>IFERROR(INDEX(PP_Grid[#Data],$DE920,48),0)</f>
        <v/>
      </c>
      <c r="AZ920">
        <f>IFERROR(INDEX(PP_Grid[#Data],$DE920,49),0)</f>
        <v/>
      </c>
      <c r="BA920">
        <f>IFERROR(INDEX(PP_Grid[#Data],$DE920,50),0)</f>
        <v/>
      </c>
      <c r="BB920">
        <f>IFERROR(INDEX(PP_Grid[#Data],$DE920,51),0)</f>
        <v/>
      </c>
      <c r="BC920">
        <f>IFERROR(INDEX(PP_Grid[#Data],$DE920,52),0)</f>
        <v/>
      </c>
      <c r="BD920">
        <f>IFERROR(INDEX(PP_Grid[#Data],$DE920,53),0)</f>
        <v/>
      </c>
      <c r="BE920">
        <f>IFERROR(INDEX(PP_Grid[#Data],$DE920,54),0)</f>
        <v/>
      </c>
      <c r="BF920">
        <f>IFERROR(INDEX(PP_Grid[#Data],$DE920,55),0)</f>
        <v/>
      </c>
      <c r="BG920">
        <f>IFERROR(INDEX(PP_Grid[#Data],$DE920,56),0)</f>
        <v/>
      </c>
      <c r="BH920">
        <f>IFERROR(INDEX(PP_Grid[#Data],$DE920,57),0)</f>
        <v/>
      </c>
      <c r="BI920">
        <f>IFERROR(INDEX(PP_Grid[#Data],$DE920,58),0)</f>
        <v/>
      </c>
      <c r="BJ920">
        <f>IFERROR(INDEX(PP_Grid[#Data],$DE920,59),0)</f>
        <v/>
      </c>
      <c r="BK920">
        <f>IFERROR(INDEX(PP_Grid[#Data],$DE920,60),0)</f>
        <v/>
      </c>
      <c r="BL920">
        <f>IFERROR(INDEX(PP_Grid[#Data],$DE920,61),0)</f>
        <v/>
      </c>
      <c r="BM920">
        <f>IFERROR(INDEX(PP_Grid[#Data],$DE920,62),0)</f>
        <v/>
      </c>
      <c r="BN920">
        <f>IFERROR(INDEX(PP_Grid[#Data],$DE920,63),0)</f>
        <v/>
      </c>
      <c r="BO920">
        <f>IFERROR(INDEX(PP_Grid[#Data],$DE920,64),0)</f>
        <v/>
      </c>
      <c r="BP920">
        <f>IFERROR(INDEX(PP_Grid[#Data],$DE920,65),0)</f>
        <v/>
      </c>
      <c r="BQ920">
        <f>IFERROR(INDEX(PP_Grid[#Data],$DE920,66),0)</f>
        <v/>
      </c>
      <c r="BR920">
        <f>IFERROR(INDEX(PP_Grid[#Data],$DE920,67),0)</f>
        <v/>
      </c>
      <c r="BS920">
        <f>IFERROR(INDEX(PP_Grid[#Data],$DE920,68),0)</f>
        <v/>
      </c>
      <c r="BT920">
        <f>IFERROR(INDEX(PP_Grid[#Data],$DE920,69),0)</f>
        <v/>
      </c>
      <c r="BU920">
        <f>IFERROR(INDEX(PP_Grid[#Data],$DE920,70),0)</f>
        <v/>
      </c>
      <c r="BV920">
        <f>IFERROR(INDEX(PP_Grid[#Data],$DE920,71),0)</f>
        <v/>
      </c>
      <c r="BW920">
        <f>IFERROR(INDEX(PP_Grid[#Data],$DE920,72),0)</f>
        <v/>
      </c>
      <c r="BX920">
        <f>IFERROR(INDEX(PP_Grid[#Data],$DE920,73),0)</f>
        <v/>
      </c>
      <c r="BY920">
        <f>IFERROR(INDEX(PP_Grid[#Data],$DE920,74),0)</f>
        <v/>
      </c>
      <c r="BZ920">
        <f>IFERROR(INDEX(PP_Grid[#Data],$DE920,75),0)</f>
        <v/>
      </c>
      <c r="CA920">
        <f>IFERROR(INDEX(PP_Grid[#Data],$DE920,76),0)</f>
        <v/>
      </c>
      <c r="CB920">
        <f>IFERROR(INDEX(PP_Grid[#Data],$DE920,77),0)</f>
        <v/>
      </c>
      <c r="CC920">
        <f>IFERROR(INDEX(PP_Grid[#Data],$DE920,78),0)</f>
        <v/>
      </c>
      <c r="CD920">
        <f>IFERROR(INDEX(PP_Grid[#Data],$DE920,79),0)</f>
        <v/>
      </c>
      <c r="CE920">
        <f>IFERROR(INDEX(PP_Grid[#Data],$DE920,80),0)</f>
        <v/>
      </c>
      <c r="CF920">
        <f>IFERROR(INDEX(PP_Grid[#Data],$DE920,81),0)</f>
        <v/>
      </c>
      <c r="CG920">
        <f>IFERROR(INDEX(PP_Grid[#Data],$DE920,82),0)</f>
        <v/>
      </c>
      <c r="CH920">
        <f>IFERROR(INDEX(PP_Grid[#Data],$DE920,83),0)</f>
        <v/>
      </c>
      <c r="CI920">
        <f>IFERROR(INDEX(PP_Grid[#Data],$DE920,84),0)</f>
        <v/>
      </c>
      <c r="CJ920">
        <f>IFERROR(INDEX(PP_Grid[#Data],$DE920,85),0)</f>
        <v/>
      </c>
      <c r="CK920">
        <f>IFERROR(INDEX(PP_Grid[#Data],$DE920,86),0)</f>
        <v/>
      </c>
      <c r="CL920">
        <f>IFERROR(INDEX(PP_Grid[#Data],$DE920,87),0)</f>
        <v/>
      </c>
      <c r="CM920">
        <f>IFERROR(INDEX(PP_Grid[#Data],$DE920,88),0)</f>
        <v/>
      </c>
      <c r="CN920">
        <f>IFERROR(INDEX(PP_Grid[#Data],$DE920,89),0)</f>
        <v/>
      </c>
      <c r="CO920">
        <f>IFERROR(INDEX(PP_Grid[#Data],$DE920,90),0)</f>
        <v/>
      </c>
      <c r="CP920">
        <f>IFERROR(INDEX(PP_Grid[#Data],$DE920,91),0)</f>
        <v/>
      </c>
      <c r="CQ920">
        <f>IFERROR(INDEX(PP_Grid[#Data],$DE920,92),0)</f>
        <v/>
      </c>
      <c r="CR920">
        <f>IFERROR(INDEX(PP_Grid[#Data],$DE920,93),0)</f>
        <v/>
      </c>
      <c r="CS920">
        <f>IFERROR(INDEX(PP_Grid[#Data],$DE920,94),0)</f>
        <v/>
      </c>
      <c r="CT920">
        <f>IFERROR(INDEX(PP_Grid[#Data],$DE920,95),0)</f>
        <v/>
      </c>
      <c r="CU920">
        <f>IFERROR(INDEX(PP_Grid[#Data],$DE920,96),0)</f>
        <v/>
      </c>
      <c r="CV920">
        <f>IFERROR(INDEX(PP_Grid[#Data],$DE920,97),0)</f>
        <v/>
      </c>
      <c r="CW920">
        <f>IFERROR(INDEX(PP_Grid[#Data],$DE920,98),0)</f>
        <v/>
      </c>
      <c r="CX920">
        <f>IFERROR(INDEX(PP_Grid[#Data],$DE920,99),0)</f>
        <v/>
      </c>
      <c r="CY920">
        <f>IFERROR(INDEX(PP_Grid[#Data],$DE920,100),0)</f>
        <v/>
      </c>
      <c r="CZ920">
        <f>IFERROR(INDEX(PP_Grid[#Data],$DE920,101),0)</f>
        <v/>
      </c>
      <c r="DA920">
        <f>IFERROR(INDEX(PP_Grid[#Data],$DE920,102),0)</f>
        <v/>
      </c>
      <c r="DB920">
        <f>IFERROR(INDEX(PP_Grid[#Data],$DE920,103),0)</f>
        <v/>
      </c>
      <c r="DC920">
        <f>IFERROR(INDEX(PP_Grid[#Data],$DE920,104),0)</f>
        <v/>
      </c>
      <c r="DD920">
        <f>IFERROR(INDEX(PP_Grid[#Data],$DE920,105),0)</f>
        <v/>
      </c>
      <c r="DE920" s="7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SUMIFS(M_BOM[RM_Qty_Per_Batch],M_BOM[Intermediate],$B920,M_BOM[RM_Code],$A891)</f>
        <v/>
      </c>
      <c r="D921">
        <f>IFERROR(INDEX(E921:DD921,$F$1),"")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  <c r="DD921">
        <f>$C921*DD920</f>
        <v/>
      </c>
    </row>
    <row r="922">
      <c r="B922" t="inlineStr">
        <is>
          <t>VSP-989</t>
        </is>
      </c>
      <c r="C922" t="inlineStr">
        <is>
          <t>No. of batches</t>
        </is>
      </c>
      <c r="D922">
        <f>IFERROR(INDEX(E922:DD922,$F$1),"")</f>
        <v/>
      </c>
      <c r="E922">
        <f>IFERROR(INDEX(PP_Grid[#Data],$DE922,2),0)</f>
        <v/>
      </c>
      <c r="F922">
        <f>IFERROR(INDEX(PP_Grid[#Data],$DE922,3),0)</f>
        <v/>
      </c>
      <c r="G922">
        <f>IFERROR(INDEX(PP_Grid[#Data],$DE922,4),0)</f>
        <v/>
      </c>
      <c r="H922">
        <f>IFERROR(INDEX(PP_Grid[#Data],$DE922,5),0)</f>
        <v/>
      </c>
      <c r="I922">
        <f>IFERROR(INDEX(PP_Grid[#Data],$DE922,6),0)</f>
        <v/>
      </c>
      <c r="J922">
        <f>IFERROR(INDEX(PP_Grid[#Data],$DE922,7),0)</f>
        <v/>
      </c>
      <c r="K922">
        <f>IFERROR(INDEX(PP_Grid[#Data],$DE922,8),0)</f>
        <v/>
      </c>
      <c r="L922">
        <f>IFERROR(INDEX(PP_Grid[#Data],$DE922,9),0)</f>
        <v/>
      </c>
      <c r="M922">
        <f>IFERROR(INDEX(PP_Grid[#Data],$DE922,10),0)</f>
        <v/>
      </c>
      <c r="N922">
        <f>IFERROR(INDEX(PP_Grid[#Data],$DE922,11),0)</f>
        <v/>
      </c>
      <c r="O922">
        <f>IFERROR(INDEX(PP_Grid[#Data],$DE922,12),0)</f>
        <v/>
      </c>
      <c r="P922">
        <f>IFERROR(INDEX(PP_Grid[#Data],$DE922,13),0)</f>
        <v/>
      </c>
      <c r="Q922">
        <f>IFERROR(INDEX(PP_Grid[#Data],$DE922,14),0)</f>
        <v/>
      </c>
      <c r="R922">
        <f>IFERROR(INDEX(PP_Grid[#Data],$DE922,15),0)</f>
        <v/>
      </c>
      <c r="S922">
        <f>IFERROR(INDEX(PP_Grid[#Data],$DE922,16),0)</f>
        <v/>
      </c>
      <c r="T922">
        <f>IFERROR(INDEX(PP_Grid[#Data],$DE922,17),0)</f>
        <v/>
      </c>
      <c r="U922">
        <f>IFERROR(INDEX(PP_Grid[#Data],$DE922,18),0)</f>
        <v/>
      </c>
      <c r="V922">
        <f>IFERROR(INDEX(PP_Grid[#Data],$DE922,19),0)</f>
        <v/>
      </c>
      <c r="W922">
        <f>IFERROR(INDEX(PP_Grid[#Data],$DE922,20),0)</f>
        <v/>
      </c>
      <c r="X922">
        <f>IFERROR(INDEX(PP_Grid[#Data],$DE922,21),0)</f>
        <v/>
      </c>
      <c r="Y922">
        <f>IFERROR(INDEX(PP_Grid[#Data],$DE922,22),0)</f>
        <v/>
      </c>
      <c r="Z922">
        <f>IFERROR(INDEX(PP_Grid[#Data],$DE922,23),0)</f>
        <v/>
      </c>
      <c r="AA922">
        <f>IFERROR(INDEX(PP_Grid[#Data],$DE922,24),0)</f>
        <v/>
      </c>
      <c r="AB922">
        <f>IFERROR(INDEX(PP_Grid[#Data],$DE922,25),0)</f>
        <v/>
      </c>
      <c r="AC922">
        <f>IFERROR(INDEX(PP_Grid[#Data],$DE922,26),0)</f>
        <v/>
      </c>
      <c r="AD922">
        <f>IFERROR(INDEX(PP_Grid[#Data],$DE922,27),0)</f>
        <v/>
      </c>
      <c r="AE922">
        <f>IFERROR(INDEX(PP_Grid[#Data],$DE922,28),0)</f>
        <v/>
      </c>
      <c r="AF922">
        <f>IFERROR(INDEX(PP_Grid[#Data],$DE922,29),0)</f>
        <v/>
      </c>
      <c r="AG922">
        <f>IFERROR(INDEX(PP_Grid[#Data],$DE922,30),0)</f>
        <v/>
      </c>
      <c r="AH922">
        <f>IFERROR(INDEX(PP_Grid[#Data],$DE922,31),0)</f>
        <v/>
      </c>
      <c r="AI922">
        <f>IFERROR(INDEX(PP_Grid[#Data],$DE922,32),0)</f>
        <v/>
      </c>
      <c r="AJ922">
        <f>IFERROR(INDEX(PP_Grid[#Data],$DE922,33),0)</f>
        <v/>
      </c>
      <c r="AK922">
        <f>IFERROR(INDEX(PP_Grid[#Data],$DE922,34),0)</f>
        <v/>
      </c>
      <c r="AL922">
        <f>IFERROR(INDEX(PP_Grid[#Data],$DE922,35),0)</f>
        <v/>
      </c>
      <c r="AM922">
        <f>IFERROR(INDEX(PP_Grid[#Data],$DE922,36),0)</f>
        <v/>
      </c>
      <c r="AN922">
        <f>IFERROR(INDEX(PP_Grid[#Data],$DE922,37),0)</f>
        <v/>
      </c>
      <c r="AO922">
        <f>IFERROR(INDEX(PP_Grid[#Data],$DE922,38),0)</f>
        <v/>
      </c>
      <c r="AP922">
        <f>IFERROR(INDEX(PP_Grid[#Data],$DE922,39),0)</f>
        <v/>
      </c>
      <c r="AQ922">
        <f>IFERROR(INDEX(PP_Grid[#Data],$DE922,40),0)</f>
        <v/>
      </c>
      <c r="AR922">
        <f>IFERROR(INDEX(PP_Grid[#Data],$DE922,41),0)</f>
        <v/>
      </c>
      <c r="AS922">
        <f>IFERROR(INDEX(PP_Grid[#Data],$DE922,42),0)</f>
        <v/>
      </c>
      <c r="AT922">
        <f>IFERROR(INDEX(PP_Grid[#Data],$DE922,43),0)</f>
        <v/>
      </c>
      <c r="AU922">
        <f>IFERROR(INDEX(PP_Grid[#Data],$DE922,44),0)</f>
        <v/>
      </c>
      <c r="AV922">
        <f>IFERROR(INDEX(PP_Grid[#Data],$DE922,45),0)</f>
        <v/>
      </c>
      <c r="AW922">
        <f>IFERROR(INDEX(PP_Grid[#Data],$DE922,46),0)</f>
        <v/>
      </c>
      <c r="AX922">
        <f>IFERROR(INDEX(PP_Grid[#Data],$DE922,47),0)</f>
        <v/>
      </c>
      <c r="AY922">
        <f>IFERROR(INDEX(PP_Grid[#Data],$DE922,48),0)</f>
        <v/>
      </c>
      <c r="AZ922">
        <f>IFERROR(INDEX(PP_Grid[#Data],$DE922,49),0)</f>
        <v/>
      </c>
      <c r="BA922">
        <f>IFERROR(INDEX(PP_Grid[#Data],$DE922,50),0)</f>
        <v/>
      </c>
      <c r="BB922">
        <f>IFERROR(INDEX(PP_Grid[#Data],$DE922,51),0)</f>
        <v/>
      </c>
      <c r="BC922">
        <f>IFERROR(INDEX(PP_Grid[#Data],$DE922,52),0)</f>
        <v/>
      </c>
      <c r="BD922">
        <f>IFERROR(INDEX(PP_Grid[#Data],$DE922,53),0)</f>
        <v/>
      </c>
      <c r="BE922">
        <f>IFERROR(INDEX(PP_Grid[#Data],$DE922,54),0)</f>
        <v/>
      </c>
      <c r="BF922">
        <f>IFERROR(INDEX(PP_Grid[#Data],$DE922,55),0)</f>
        <v/>
      </c>
      <c r="BG922">
        <f>IFERROR(INDEX(PP_Grid[#Data],$DE922,56),0)</f>
        <v/>
      </c>
      <c r="BH922">
        <f>IFERROR(INDEX(PP_Grid[#Data],$DE922,57),0)</f>
        <v/>
      </c>
      <c r="BI922">
        <f>IFERROR(INDEX(PP_Grid[#Data],$DE922,58),0)</f>
        <v/>
      </c>
      <c r="BJ922">
        <f>IFERROR(INDEX(PP_Grid[#Data],$DE922,59),0)</f>
        <v/>
      </c>
      <c r="BK922">
        <f>IFERROR(INDEX(PP_Grid[#Data],$DE922,60),0)</f>
        <v/>
      </c>
      <c r="BL922">
        <f>IFERROR(INDEX(PP_Grid[#Data],$DE922,61),0)</f>
        <v/>
      </c>
      <c r="BM922">
        <f>IFERROR(INDEX(PP_Grid[#Data],$DE922,62),0)</f>
        <v/>
      </c>
      <c r="BN922">
        <f>IFERROR(INDEX(PP_Grid[#Data],$DE922,63),0)</f>
        <v/>
      </c>
      <c r="BO922">
        <f>IFERROR(INDEX(PP_Grid[#Data],$DE922,64),0)</f>
        <v/>
      </c>
      <c r="BP922">
        <f>IFERROR(INDEX(PP_Grid[#Data],$DE922,65),0)</f>
        <v/>
      </c>
      <c r="BQ922">
        <f>IFERROR(INDEX(PP_Grid[#Data],$DE922,66),0)</f>
        <v/>
      </c>
      <c r="BR922">
        <f>IFERROR(INDEX(PP_Grid[#Data],$DE922,67),0)</f>
        <v/>
      </c>
      <c r="BS922">
        <f>IFERROR(INDEX(PP_Grid[#Data],$DE922,68),0)</f>
        <v/>
      </c>
      <c r="BT922">
        <f>IFERROR(INDEX(PP_Grid[#Data],$DE922,69),0)</f>
        <v/>
      </c>
      <c r="BU922">
        <f>IFERROR(INDEX(PP_Grid[#Data],$DE922,70),0)</f>
        <v/>
      </c>
      <c r="BV922">
        <f>IFERROR(INDEX(PP_Grid[#Data],$DE922,71),0)</f>
        <v/>
      </c>
      <c r="BW922">
        <f>IFERROR(INDEX(PP_Grid[#Data],$DE922,72),0)</f>
        <v/>
      </c>
      <c r="BX922">
        <f>IFERROR(INDEX(PP_Grid[#Data],$DE922,73),0)</f>
        <v/>
      </c>
      <c r="BY922">
        <f>IFERROR(INDEX(PP_Grid[#Data],$DE922,74),0)</f>
        <v/>
      </c>
      <c r="BZ922">
        <f>IFERROR(INDEX(PP_Grid[#Data],$DE922,75),0)</f>
        <v/>
      </c>
      <c r="CA922">
        <f>IFERROR(INDEX(PP_Grid[#Data],$DE922,76),0)</f>
        <v/>
      </c>
      <c r="CB922">
        <f>IFERROR(INDEX(PP_Grid[#Data],$DE922,77),0)</f>
        <v/>
      </c>
      <c r="CC922">
        <f>IFERROR(INDEX(PP_Grid[#Data],$DE922,78),0)</f>
        <v/>
      </c>
      <c r="CD922">
        <f>IFERROR(INDEX(PP_Grid[#Data],$DE922,79),0)</f>
        <v/>
      </c>
      <c r="CE922">
        <f>IFERROR(INDEX(PP_Grid[#Data],$DE922,80),0)</f>
        <v/>
      </c>
      <c r="CF922">
        <f>IFERROR(INDEX(PP_Grid[#Data],$DE922,81),0)</f>
        <v/>
      </c>
      <c r="CG922">
        <f>IFERROR(INDEX(PP_Grid[#Data],$DE922,82),0)</f>
        <v/>
      </c>
      <c r="CH922">
        <f>IFERROR(INDEX(PP_Grid[#Data],$DE922,83),0)</f>
        <v/>
      </c>
      <c r="CI922">
        <f>IFERROR(INDEX(PP_Grid[#Data],$DE922,84),0)</f>
        <v/>
      </c>
      <c r="CJ922">
        <f>IFERROR(INDEX(PP_Grid[#Data],$DE922,85),0)</f>
        <v/>
      </c>
      <c r="CK922">
        <f>IFERROR(INDEX(PP_Grid[#Data],$DE922,86),0)</f>
        <v/>
      </c>
      <c r="CL922">
        <f>IFERROR(INDEX(PP_Grid[#Data],$DE922,87),0)</f>
        <v/>
      </c>
      <c r="CM922">
        <f>IFERROR(INDEX(PP_Grid[#Data],$DE922,88),0)</f>
        <v/>
      </c>
      <c r="CN922">
        <f>IFERROR(INDEX(PP_Grid[#Data],$DE922,89),0)</f>
        <v/>
      </c>
      <c r="CO922">
        <f>IFERROR(INDEX(PP_Grid[#Data],$DE922,90),0)</f>
        <v/>
      </c>
      <c r="CP922">
        <f>IFERROR(INDEX(PP_Grid[#Data],$DE922,91),0)</f>
        <v/>
      </c>
      <c r="CQ922">
        <f>IFERROR(INDEX(PP_Grid[#Data],$DE922,92),0)</f>
        <v/>
      </c>
      <c r="CR922">
        <f>IFERROR(INDEX(PP_Grid[#Data],$DE922,93),0)</f>
        <v/>
      </c>
      <c r="CS922">
        <f>IFERROR(INDEX(PP_Grid[#Data],$DE922,94),0)</f>
        <v/>
      </c>
      <c r="CT922">
        <f>IFERROR(INDEX(PP_Grid[#Data],$DE922,95),0)</f>
        <v/>
      </c>
      <c r="CU922">
        <f>IFERROR(INDEX(PP_Grid[#Data],$DE922,96),0)</f>
        <v/>
      </c>
      <c r="CV922">
        <f>IFERROR(INDEX(PP_Grid[#Data],$DE922,97),0)</f>
        <v/>
      </c>
      <c r="CW922">
        <f>IFERROR(INDEX(PP_Grid[#Data],$DE922,98),0)</f>
        <v/>
      </c>
      <c r="CX922">
        <f>IFERROR(INDEX(PP_Grid[#Data],$DE922,99),0)</f>
        <v/>
      </c>
      <c r="CY922">
        <f>IFERROR(INDEX(PP_Grid[#Data],$DE922,100),0)</f>
        <v/>
      </c>
      <c r="CZ922">
        <f>IFERROR(INDEX(PP_Grid[#Data],$DE922,101),0)</f>
        <v/>
      </c>
      <c r="DA922">
        <f>IFERROR(INDEX(PP_Grid[#Data],$DE922,102),0)</f>
        <v/>
      </c>
      <c r="DB922">
        <f>IFERROR(INDEX(PP_Grid[#Data],$DE922,103),0)</f>
        <v/>
      </c>
      <c r="DC922">
        <f>IFERROR(INDEX(PP_Grid[#Data],$DE922,104),0)</f>
        <v/>
      </c>
      <c r="DD922">
        <f>IFERROR(INDEX(PP_Grid[#Data],$DE922,105),0)</f>
        <v/>
      </c>
      <c r="DE922" s="7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SUMIFS(M_BOM[RM_Qty_Per_Batch],M_BOM[Intermediate],$B922,M_BOM[RM_Code],$A891)</f>
        <v/>
      </c>
      <c r="D923">
        <f>IFERROR(INDEX(E923:DD923,$F$1),"")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  <c r="DD923">
        <f>$C923*DD922</f>
        <v/>
      </c>
    </row>
    <row r="924">
      <c r="B924" t="inlineStr">
        <is>
          <t>VSZ-745</t>
        </is>
      </c>
      <c r="C924" t="inlineStr">
        <is>
          <t>No. of batches</t>
        </is>
      </c>
      <c r="D924">
        <f>IFERROR(INDEX(E924:DD924,$F$1),"")</f>
        <v/>
      </c>
      <c r="E924">
        <f>IFERROR(INDEX(PP_Grid[#Data],$DE924,2),0)</f>
        <v/>
      </c>
      <c r="F924">
        <f>IFERROR(INDEX(PP_Grid[#Data],$DE924,3),0)</f>
        <v/>
      </c>
      <c r="G924">
        <f>IFERROR(INDEX(PP_Grid[#Data],$DE924,4),0)</f>
        <v/>
      </c>
      <c r="H924">
        <f>IFERROR(INDEX(PP_Grid[#Data],$DE924,5),0)</f>
        <v/>
      </c>
      <c r="I924">
        <f>IFERROR(INDEX(PP_Grid[#Data],$DE924,6),0)</f>
        <v/>
      </c>
      <c r="J924">
        <f>IFERROR(INDEX(PP_Grid[#Data],$DE924,7),0)</f>
        <v/>
      </c>
      <c r="K924">
        <f>IFERROR(INDEX(PP_Grid[#Data],$DE924,8),0)</f>
        <v/>
      </c>
      <c r="L924">
        <f>IFERROR(INDEX(PP_Grid[#Data],$DE924,9),0)</f>
        <v/>
      </c>
      <c r="M924">
        <f>IFERROR(INDEX(PP_Grid[#Data],$DE924,10),0)</f>
        <v/>
      </c>
      <c r="N924">
        <f>IFERROR(INDEX(PP_Grid[#Data],$DE924,11),0)</f>
        <v/>
      </c>
      <c r="O924">
        <f>IFERROR(INDEX(PP_Grid[#Data],$DE924,12),0)</f>
        <v/>
      </c>
      <c r="P924">
        <f>IFERROR(INDEX(PP_Grid[#Data],$DE924,13),0)</f>
        <v/>
      </c>
      <c r="Q924">
        <f>IFERROR(INDEX(PP_Grid[#Data],$DE924,14),0)</f>
        <v/>
      </c>
      <c r="R924">
        <f>IFERROR(INDEX(PP_Grid[#Data],$DE924,15),0)</f>
        <v/>
      </c>
      <c r="S924">
        <f>IFERROR(INDEX(PP_Grid[#Data],$DE924,16),0)</f>
        <v/>
      </c>
      <c r="T924">
        <f>IFERROR(INDEX(PP_Grid[#Data],$DE924,17),0)</f>
        <v/>
      </c>
      <c r="U924">
        <f>IFERROR(INDEX(PP_Grid[#Data],$DE924,18),0)</f>
        <v/>
      </c>
      <c r="V924">
        <f>IFERROR(INDEX(PP_Grid[#Data],$DE924,19),0)</f>
        <v/>
      </c>
      <c r="W924">
        <f>IFERROR(INDEX(PP_Grid[#Data],$DE924,20),0)</f>
        <v/>
      </c>
      <c r="X924">
        <f>IFERROR(INDEX(PP_Grid[#Data],$DE924,21),0)</f>
        <v/>
      </c>
      <c r="Y924">
        <f>IFERROR(INDEX(PP_Grid[#Data],$DE924,22),0)</f>
        <v/>
      </c>
      <c r="Z924">
        <f>IFERROR(INDEX(PP_Grid[#Data],$DE924,23),0)</f>
        <v/>
      </c>
      <c r="AA924">
        <f>IFERROR(INDEX(PP_Grid[#Data],$DE924,24),0)</f>
        <v/>
      </c>
      <c r="AB924">
        <f>IFERROR(INDEX(PP_Grid[#Data],$DE924,25),0)</f>
        <v/>
      </c>
      <c r="AC924">
        <f>IFERROR(INDEX(PP_Grid[#Data],$DE924,26),0)</f>
        <v/>
      </c>
      <c r="AD924">
        <f>IFERROR(INDEX(PP_Grid[#Data],$DE924,27),0)</f>
        <v/>
      </c>
      <c r="AE924">
        <f>IFERROR(INDEX(PP_Grid[#Data],$DE924,28),0)</f>
        <v/>
      </c>
      <c r="AF924">
        <f>IFERROR(INDEX(PP_Grid[#Data],$DE924,29),0)</f>
        <v/>
      </c>
      <c r="AG924">
        <f>IFERROR(INDEX(PP_Grid[#Data],$DE924,30),0)</f>
        <v/>
      </c>
      <c r="AH924">
        <f>IFERROR(INDEX(PP_Grid[#Data],$DE924,31),0)</f>
        <v/>
      </c>
      <c r="AI924">
        <f>IFERROR(INDEX(PP_Grid[#Data],$DE924,32),0)</f>
        <v/>
      </c>
      <c r="AJ924">
        <f>IFERROR(INDEX(PP_Grid[#Data],$DE924,33),0)</f>
        <v/>
      </c>
      <c r="AK924">
        <f>IFERROR(INDEX(PP_Grid[#Data],$DE924,34),0)</f>
        <v/>
      </c>
      <c r="AL924">
        <f>IFERROR(INDEX(PP_Grid[#Data],$DE924,35),0)</f>
        <v/>
      </c>
      <c r="AM924">
        <f>IFERROR(INDEX(PP_Grid[#Data],$DE924,36),0)</f>
        <v/>
      </c>
      <c r="AN924">
        <f>IFERROR(INDEX(PP_Grid[#Data],$DE924,37),0)</f>
        <v/>
      </c>
      <c r="AO924">
        <f>IFERROR(INDEX(PP_Grid[#Data],$DE924,38),0)</f>
        <v/>
      </c>
      <c r="AP924">
        <f>IFERROR(INDEX(PP_Grid[#Data],$DE924,39),0)</f>
        <v/>
      </c>
      <c r="AQ924">
        <f>IFERROR(INDEX(PP_Grid[#Data],$DE924,40),0)</f>
        <v/>
      </c>
      <c r="AR924">
        <f>IFERROR(INDEX(PP_Grid[#Data],$DE924,41),0)</f>
        <v/>
      </c>
      <c r="AS924">
        <f>IFERROR(INDEX(PP_Grid[#Data],$DE924,42),0)</f>
        <v/>
      </c>
      <c r="AT924">
        <f>IFERROR(INDEX(PP_Grid[#Data],$DE924,43),0)</f>
        <v/>
      </c>
      <c r="AU924">
        <f>IFERROR(INDEX(PP_Grid[#Data],$DE924,44),0)</f>
        <v/>
      </c>
      <c r="AV924">
        <f>IFERROR(INDEX(PP_Grid[#Data],$DE924,45),0)</f>
        <v/>
      </c>
      <c r="AW924">
        <f>IFERROR(INDEX(PP_Grid[#Data],$DE924,46),0)</f>
        <v/>
      </c>
      <c r="AX924">
        <f>IFERROR(INDEX(PP_Grid[#Data],$DE924,47),0)</f>
        <v/>
      </c>
      <c r="AY924">
        <f>IFERROR(INDEX(PP_Grid[#Data],$DE924,48),0)</f>
        <v/>
      </c>
      <c r="AZ924">
        <f>IFERROR(INDEX(PP_Grid[#Data],$DE924,49),0)</f>
        <v/>
      </c>
      <c r="BA924">
        <f>IFERROR(INDEX(PP_Grid[#Data],$DE924,50),0)</f>
        <v/>
      </c>
      <c r="BB924">
        <f>IFERROR(INDEX(PP_Grid[#Data],$DE924,51),0)</f>
        <v/>
      </c>
      <c r="BC924">
        <f>IFERROR(INDEX(PP_Grid[#Data],$DE924,52),0)</f>
        <v/>
      </c>
      <c r="BD924">
        <f>IFERROR(INDEX(PP_Grid[#Data],$DE924,53),0)</f>
        <v/>
      </c>
      <c r="BE924">
        <f>IFERROR(INDEX(PP_Grid[#Data],$DE924,54),0)</f>
        <v/>
      </c>
      <c r="BF924">
        <f>IFERROR(INDEX(PP_Grid[#Data],$DE924,55),0)</f>
        <v/>
      </c>
      <c r="BG924">
        <f>IFERROR(INDEX(PP_Grid[#Data],$DE924,56),0)</f>
        <v/>
      </c>
      <c r="BH924">
        <f>IFERROR(INDEX(PP_Grid[#Data],$DE924,57),0)</f>
        <v/>
      </c>
      <c r="BI924">
        <f>IFERROR(INDEX(PP_Grid[#Data],$DE924,58),0)</f>
        <v/>
      </c>
      <c r="BJ924">
        <f>IFERROR(INDEX(PP_Grid[#Data],$DE924,59),0)</f>
        <v/>
      </c>
      <c r="BK924">
        <f>IFERROR(INDEX(PP_Grid[#Data],$DE924,60),0)</f>
        <v/>
      </c>
      <c r="BL924">
        <f>IFERROR(INDEX(PP_Grid[#Data],$DE924,61),0)</f>
        <v/>
      </c>
      <c r="BM924">
        <f>IFERROR(INDEX(PP_Grid[#Data],$DE924,62),0)</f>
        <v/>
      </c>
      <c r="BN924">
        <f>IFERROR(INDEX(PP_Grid[#Data],$DE924,63),0)</f>
        <v/>
      </c>
      <c r="BO924">
        <f>IFERROR(INDEX(PP_Grid[#Data],$DE924,64),0)</f>
        <v/>
      </c>
      <c r="BP924">
        <f>IFERROR(INDEX(PP_Grid[#Data],$DE924,65),0)</f>
        <v/>
      </c>
      <c r="BQ924">
        <f>IFERROR(INDEX(PP_Grid[#Data],$DE924,66),0)</f>
        <v/>
      </c>
      <c r="BR924">
        <f>IFERROR(INDEX(PP_Grid[#Data],$DE924,67),0)</f>
        <v/>
      </c>
      <c r="BS924">
        <f>IFERROR(INDEX(PP_Grid[#Data],$DE924,68),0)</f>
        <v/>
      </c>
      <c r="BT924">
        <f>IFERROR(INDEX(PP_Grid[#Data],$DE924,69),0)</f>
        <v/>
      </c>
      <c r="BU924">
        <f>IFERROR(INDEX(PP_Grid[#Data],$DE924,70),0)</f>
        <v/>
      </c>
      <c r="BV924">
        <f>IFERROR(INDEX(PP_Grid[#Data],$DE924,71),0)</f>
        <v/>
      </c>
      <c r="BW924">
        <f>IFERROR(INDEX(PP_Grid[#Data],$DE924,72),0)</f>
        <v/>
      </c>
      <c r="BX924">
        <f>IFERROR(INDEX(PP_Grid[#Data],$DE924,73),0)</f>
        <v/>
      </c>
      <c r="BY924">
        <f>IFERROR(INDEX(PP_Grid[#Data],$DE924,74),0)</f>
        <v/>
      </c>
      <c r="BZ924">
        <f>IFERROR(INDEX(PP_Grid[#Data],$DE924,75),0)</f>
        <v/>
      </c>
      <c r="CA924">
        <f>IFERROR(INDEX(PP_Grid[#Data],$DE924,76),0)</f>
        <v/>
      </c>
      <c r="CB924">
        <f>IFERROR(INDEX(PP_Grid[#Data],$DE924,77),0)</f>
        <v/>
      </c>
      <c r="CC924">
        <f>IFERROR(INDEX(PP_Grid[#Data],$DE924,78),0)</f>
        <v/>
      </c>
      <c r="CD924">
        <f>IFERROR(INDEX(PP_Grid[#Data],$DE924,79),0)</f>
        <v/>
      </c>
      <c r="CE924">
        <f>IFERROR(INDEX(PP_Grid[#Data],$DE924,80),0)</f>
        <v/>
      </c>
      <c r="CF924">
        <f>IFERROR(INDEX(PP_Grid[#Data],$DE924,81),0)</f>
        <v/>
      </c>
      <c r="CG924">
        <f>IFERROR(INDEX(PP_Grid[#Data],$DE924,82),0)</f>
        <v/>
      </c>
      <c r="CH924">
        <f>IFERROR(INDEX(PP_Grid[#Data],$DE924,83),0)</f>
        <v/>
      </c>
      <c r="CI924">
        <f>IFERROR(INDEX(PP_Grid[#Data],$DE924,84),0)</f>
        <v/>
      </c>
      <c r="CJ924">
        <f>IFERROR(INDEX(PP_Grid[#Data],$DE924,85),0)</f>
        <v/>
      </c>
      <c r="CK924">
        <f>IFERROR(INDEX(PP_Grid[#Data],$DE924,86),0)</f>
        <v/>
      </c>
      <c r="CL924">
        <f>IFERROR(INDEX(PP_Grid[#Data],$DE924,87),0)</f>
        <v/>
      </c>
      <c r="CM924">
        <f>IFERROR(INDEX(PP_Grid[#Data],$DE924,88),0)</f>
        <v/>
      </c>
      <c r="CN924">
        <f>IFERROR(INDEX(PP_Grid[#Data],$DE924,89),0)</f>
        <v/>
      </c>
      <c r="CO924">
        <f>IFERROR(INDEX(PP_Grid[#Data],$DE924,90),0)</f>
        <v/>
      </c>
      <c r="CP924">
        <f>IFERROR(INDEX(PP_Grid[#Data],$DE924,91),0)</f>
        <v/>
      </c>
      <c r="CQ924">
        <f>IFERROR(INDEX(PP_Grid[#Data],$DE924,92),0)</f>
        <v/>
      </c>
      <c r="CR924">
        <f>IFERROR(INDEX(PP_Grid[#Data],$DE924,93),0)</f>
        <v/>
      </c>
      <c r="CS924">
        <f>IFERROR(INDEX(PP_Grid[#Data],$DE924,94),0)</f>
        <v/>
      </c>
      <c r="CT924">
        <f>IFERROR(INDEX(PP_Grid[#Data],$DE924,95),0)</f>
        <v/>
      </c>
      <c r="CU924">
        <f>IFERROR(INDEX(PP_Grid[#Data],$DE924,96),0)</f>
        <v/>
      </c>
      <c r="CV924">
        <f>IFERROR(INDEX(PP_Grid[#Data],$DE924,97),0)</f>
        <v/>
      </c>
      <c r="CW924">
        <f>IFERROR(INDEX(PP_Grid[#Data],$DE924,98),0)</f>
        <v/>
      </c>
      <c r="CX924">
        <f>IFERROR(INDEX(PP_Grid[#Data],$DE924,99),0)</f>
        <v/>
      </c>
      <c r="CY924">
        <f>IFERROR(INDEX(PP_Grid[#Data],$DE924,100),0)</f>
        <v/>
      </c>
      <c r="CZ924">
        <f>IFERROR(INDEX(PP_Grid[#Data],$DE924,101),0)</f>
        <v/>
      </c>
      <c r="DA924">
        <f>IFERROR(INDEX(PP_Grid[#Data],$DE924,102),0)</f>
        <v/>
      </c>
      <c r="DB924">
        <f>IFERROR(INDEX(PP_Grid[#Data],$DE924,103),0)</f>
        <v/>
      </c>
      <c r="DC924">
        <f>IFERROR(INDEX(PP_Grid[#Data],$DE924,104),0)</f>
        <v/>
      </c>
      <c r="DD924">
        <f>IFERROR(INDEX(PP_Grid[#Data],$DE924,105),0)</f>
        <v/>
      </c>
      <c r="DE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SUMIFS(M_BOM[RM_Qty_Per_Batch],M_BOM[Intermediate],$B924,M_BOM[RM_Code],$A891)</f>
        <v/>
      </c>
      <c r="D925">
        <f>IFERROR(INDEX(E925:DD925,$F$1),"")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  <c r="DD925">
        <f>$C925*DD924</f>
        <v/>
      </c>
    </row>
    <row r="926">
      <c r="B926" t="inlineStr">
        <is>
          <t>TSP-1388</t>
        </is>
      </c>
      <c r="C926" t="inlineStr">
        <is>
          <t>No. of batches</t>
        </is>
      </c>
      <c r="D926">
        <f>IFERROR(INDEX(E926:DD926,$F$1),"")</f>
        <v/>
      </c>
      <c r="E926">
        <f>IFERROR(INDEX(PP_Grid[#Data],$DE926,2),0)</f>
        <v/>
      </c>
      <c r="F926">
        <f>IFERROR(INDEX(PP_Grid[#Data],$DE926,3),0)</f>
        <v/>
      </c>
      <c r="G926">
        <f>IFERROR(INDEX(PP_Grid[#Data],$DE926,4),0)</f>
        <v/>
      </c>
      <c r="H926">
        <f>IFERROR(INDEX(PP_Grid[#Data],$DE926,5),0)</f>
        <v/>
      </c>
      <c r="I926">
        <f>IFERROR(INDEX(PP_Grid[#Data],$DE926,6),0)</f>
        <v/>
      </c>
      <c r="J926">
        <f>IFERROR(INDEX(PP_Grid[#Data],$DE926,7),0)</f>
        <v/>
      </c>
      <c r="K926">
        <f>IFERROR(INDEX(PP_Grid[#Data],$DE926,8),0)</f>
        <v/>
      </c>
      <c r="L926">
        <f>IFERROR(INDEX(PP_Grid[#Data],$DE926,9),0)</f>
        <v/>
      </c>
      <c r="M926">
        <f>IFERROR(INDEX(PP_Grid[#Data],$DE926,10),0)</f>
        <v/>
      </c>
      <c r="N926">
        <f>IFERROR(INDEX(PP_Grid[#Data],$DE926,11),0)</f>
        <v/>
      </c>
      <c r="O926">
        <f>IFERROR(INDEX(PP_Grid[#Data],$DE926,12),0)</f>
        <v/>
      </c>
      <c r="P926">
        <f>IFERROR(INDEX(PP_Grid[#Data],$DE926,13),0)</f>
        <v/>
      </c>
      <c r="Q926">
        <f>IFERROR(INDEX(PP_Grid[#Data],$DE926,14),0)</f>
        <v/>
      </c>
      <c r="R926">
        <f>IFERROR(INDEX(PP_Grid[#Data],$DE926,15),0)</f>
        <v/>
      </c>
      <c r="S926">
        <f>IFERROR(INDEX(PP_Grid[#Data],$DE926,16),0)</f>
        <v/>
      </c>
      <c r="T926">
        <f>IFERROR(INDEX(PP_Grid[#Data],$DE926,17),0)</f>
        <v/>
      </c>
      <c r="U926">
        <f>IFERROR(INDEX(PP_Grid[#Data],$DE926,18),0)</f>
        <v/>
      </c>
      <c r="V926">
        <f>IFERROR(INDEX(PP_Grid[#Data],$DE926,19),0)</f>
        <v/>
      </c>
      <c r="W926">
        <f>IFERROR(INDEX(PP_Grid[#Data],$DE926,20),0)</f>
        <v/>
      </c>
      <c r="X926">
        <f>IFERROR(INDEX(PP_Grid[#Data],$DE926,21),0)</f>
        <v/>
      </c>
      <c r="Y926">
        <f>IFERROR(INDEX(PP_Grid[#Data],$DE926,22),0)</f>
        <v/>
      </c>
      <c r="Z926">
        <f>IFERROR(INDEX(PP_Grid[#Data],$DE926,23),0)</f>
        <v/>
      </c>
      <c r="AA926">
        <f>IFERROR(INDEX(PP_Grid[#Data],$DE926,24),0)</f>
        <v/>
      </c>
      <c r="AB926">
        <f>IFERROR(INDEX(PP_Grid[#Data],$DE926,25),0)</f>
        <v/>
      </c>
      <c r="AC926">
        <f>IFERROR(INDEX(PP_Grid[#Data],$DE926,26),0)</f>
        <v/>
      </c>
      <c r="AD926">
        <f>IFERROR(INDEX(PP_Grid[#Data],$DE926,27),0)</f>
        <v/>
      </c>
      <c r="AE926">
        <f>IFERROR(INDEX(PP_Grid[#Data],$DE926,28),0)</f>
        <v/>
      </c>
      <c r="AF926">
        <f>IFERROR(INDEX(PP_Grid[#Data],$DE926,29),0)</f>
        <v/>
      </c>
      <c r="AG926">
        <f>IFERROR(INDEX(PP_Grid[#Data],$DE926,30),0)</f>
        <v/>
      </c>
      <c r="AH926">
        <f>IFERROR(INDEX(PP_Grid[#Data],$DE926,31),0)</f>
        <v/>
      </c>
      <c r="AI926">
        <f>IFERROR(INDEX(PP_Grid[#Data],$DE926,32),0)</f>
        <v/>
      </c>
      <c r="AJ926">
        <f>IFERROR(INDEX(PP_Grid[#Data],$DE926,33),0)</f>
        <v/>
      </c>
      <c r="AK926">
        <f>IFERROR(INDEX(PP_Grid[#Data],$DE926,34),0)</f>
        <v/>
      </c>
      <c r="AL926">
        <f>IFERROR(INDEX(PP_Grid[#Data],$DE926,35),0)</f>
        <v/>
      </c>
      <c r="AM926">
        <f>IFERROR(INDEX(PP_Grid[#Data],$DE926,36),0)</f>
        <v/>
      </c>
      <c r="AN926">
        <f>IFERROR(INDEX(PP_Grid[#Data],$DE926,37),0)</f>
        <v/>
      </c>
      <c r="AO926">
        <f>IFERROR(INDEX(PP_Grid[#Data],$DE926,38),0)</f>
        <v/>
      </c>
      <c r="AP926">
        <f>IFERROR(INDEX(PP_Grid[#Data],$DE926,39),0)</f>
        <v/>
      </c>
      <c r="AQ926">
        <f>IFERROR(INDEX(PP_Grid[#Data],$DE926,40),0)</f>
        <v/>
      </c>
      <c r="AR926">
        <f>IFERROR(INDEX(PP_Grid[#Data],$DE926,41),0)</f>
        <v/>
      </c>
      <c r="AS926">
        <f>IFERROR(INDEX(PP_Grid[#Data],$DE926,42),0)</f>
        <v/>
      </c>
      <c r="AT926">
        <f>IFERROR(INDEX(PP_Grid[#Data],$DE926,43),0)</f>
        <v/>
      </c>
      <c r="AU926">
        <f>IFERROR(INDEX(PP_Grid[#Data],$DE926,44),0)</f>
        <v/>
      </c>
      <c r="AV926">
        <f>IFERROR(INDEX(PP_Grid[#Data],$DE926,45),0)</f>
        <v/>
      </c>
      <c r="AW926">
        <f>IFERROR(INDEX(PP_Grid[#Data],$DE926,46),0)</f>
        <v/>
      </c>
      <c r="AX926">
        <f>IFERROR(INDEX(PP_Grid[#Data],$DE926,47),0)</f>
        <v/>
      </c>
      <c r="AY926">
        <f>IFERROR(INDEX(PP_Grid[#Data],$DE926,48),0)</f>
        <v/>
      </c>
      <c r="AZ926">
        <f>IFERROR(INDEX(PP_Grid[#Data],$DE926,49),0)</f>
        <v/>
      </c>
      <c r="BA926">
        <f>IFERROR(INDEX(PP_Grid[#Data],$DE926,50),0)</f>
        <v/>
      </c>
      <c r="BB926">
        <f>IFERROR(INDEX(PP_Grid[#Data],$DE926,51),0)</f>
        <v/>
      </c>
      <c r="BC926">
        <f>IFERROR(INDEX(PP_Grid[#Data],$DE926,52),0)</f>
        <v/>
      </c>
      <c r="BD926">
        <f>IFERROR(INDEX(PP_Grid[#Data],$DE926,53),0)</f>
        <v/>
      </c>
      <c r="BE926">
        <f>IFERROR(INDEX(PP_Grid[#Data],$DE926,54),0)</f>
        <v/>
      </c>
      <c r="BF926">
        <f>IFERROR(INDEX(PP_Grid[#Data],$DE926,55),0)</f>
        <v/>
      </c>
      <c r="BG926">
        <f>IFERROR(INDEX(PP_Grid[#Data],$DE926,56),0)</f>
        <v/>
      </c>
      <c r="BH926">
        <f>IFERROR(INDEX(PP_Grid[#Data],$DE926,57),0)</f>
        <v/>
      </c>
      <c r="BI926">
        <f>IFERROR(INDEX(PP_Grid[#Data],$DE926,58),0)</f>
        <v/>
      </c>
      <c r="BJ926">
        <f>IFERROR(INDEX(PP_Grid[#Data],$DE926,59),0)</f>
        <v/>
      </c>
      <c r="BK926">
        <f>IFERROR(INDEX(PP_Grid[#Data],$DE926,60),0)</f>
        <v/>
      </c>
      <c r="BL926">
        <f>IFERROR(INDEX(PP_Grid[#Data],$DE926,61),0)</f>
        <v/>
      </c>
      <c r="BM926">
        <f>IFERROR(INDEX(PP_Grid[#Data],$DE926,62),0)</f>
        <v/>
      </c>
      <c r="BN926">
        <f>IFERROR(INDEX(PP_Grid[#Data],$DE926,63),0)</f>
        <v/>
      </c>
      <c r="BO926">
        <f>IFERROR(INDEX(PP_Grid[#Data],$DE926,64),0)</f>
        <v/>
      </c>
      <c r="BP926">
        <f>IFERROR(INDEX(PP_Grid[#Data],$DE926,65),0)</f>
        <v/>
      </c>
      <c r="BQ926">
        <f>IFERROR(INDEX(PP_Grid[#Data],$DE926,66),0)</f>
        <v/>
      </c>
      <c r="BR926">
        <f>IFERROR(INDEX(PP_Grid[#Data],$DE926,67),0)</f>
        <v/>
      </c>
      <c r="BS926">
        <f>IFERROR(INDEX(PP_Grid[#Data],$DE926,68),0)</f>
        <v/>
      </c>
      <c r="BT926">
        <f>IFERROR(INDEX(PP_Grid[#Data],$DE926,69),0)</f>
        <v/>
      </c>
      <c r="BU926">
        <f>IFERROR(INDEX(PP_Grid[#Data],$DE926,70),0)</f>
        <v/>
      </c>
      <c r="BV926">
        <f>IFERROR(INDEX(PP_Grid[#Data],$DE926,71),0)</f>
        <v/>
      </c>
      <c r="BW926">
        <f>IFERROR(INDEX(PP_Grid[#Data],$DE926,72),0)</f>
        <v/>
      </c>
      <c r="BX926">
        <f>IFERROR(INDEX(PP_Grid[#Data],$DE926,73),0)</f>
        <v/>
      </c>
      <c r="BY926">
        <f>IFERROR(INDEX(PP_Grid[#Data],$DE926,74),0)</f>
        <v/>
      </c>
      <c r="BZ926">
        <f>IFERROR(INDEX(PP_Grid[#Data],$DE926,75),0)</f>
        <v/>
      </c>
      <c r="CA926">
        <f>IFERROR(INDEX(PP_Grid[#Data],$DE926,76),0)</f>
        <v/>
      </c>
      <c r="CB926">
        <f>IFERROR(INDEX(PP_Grid[#Data],$DE926,77),0)</f>
        <v/>
      </c>
      <c r="CC926">
        <f>IFERROR(INDEX(PP_Grid[#Data],$DE926,78),0)</f>
        <v/>
      </c>
      <c r="CD926">
        <f>IFERROR(INDEX(PP_Grid[#Data],$DE926,79),0)</f>
        <v/>
      </c>
      <c r="CE926">
        <f>IFERROR(INDEX(PP_Grid[#Data],$DE926,80),0)</f>
        <v/>
      </c>
      <c r="CF926">
        <f>IFERROR(INDEX(PP_Grid[#Data],$DE926,81),0)</f>
        <v/>
      </c>
      <c r="CG926">
        <f>IFERROR(INDEX(PP_Grid[#Data],$DE926,82),0)</f>
        <v/>
      </c>
      <c r="CH926">
        <f>IFERROR(INDEX(PP_Grid[#Data],$DE926,83),0)</f>
        <v/>
      </c>
      <c r="CI926">
        <f>IFERROR(INDEX(PP_Grid[#Data],$DE926,84),0)</f>
        <v/>
      </c>
      <c r="CJ926">
        <f>IFERROR(INDEX(PP_Grid[#Data],$DE926,85),0)</f>
        <v/>
      </c>
      <c r="CK926">
        <f>IFERROR(INDEX(PP_Grid[#Data],$DE926,86),0)</f>
        <v/>
      </c>
      <c r="CL926">
        <f>IFERROR(INDEX(PP_Grid[#Data],$DE926,87),0)</f>
        <v/>
      </c>
      <c r="CM926">
        <f>IFERROR(INDEX(PP_Grid[#Data],$DE926,88),0)</f>
        <v/>
      </c>
      <c r="CN926">
        <f>IFERROR(INDEX(PP_Grid[#Data],$DE926,89),0)</f>
        <v/>
      </c>
      <c r="CO926">
        <f>IFERROR(INDEX(PP_Grid[#Data],$DE926,90),0)</f>
        <v/>
      </c>
      <c r="CP926">
        <f>IFERROR(INDEX(PP_Grid[#Data],$DE926,91),0)</f>
        <v/>
      </c>
      <c r="CQ926">
        <f>IFERROR(INDEX(PP_Grid[#Data],$DE926,92),0)</f>
        <v/>
      </c>
      <c r="CR926">
        <f>IFERROR(INDEX(PP_Grid[#Data],$DE926,93),0)</f>
        <v/>
      </c>
      <c r="CS926">
        <f>IFERROR(INDEX(PP_Grid[#Data],$DE926,94),0)</f>
        <v/>
      </c>
      <c r="CT926">
        <f>IFERROR(INDEX(PP_Grid[#Data],$DE926,95),0)</f>
        <v/>
      </c>
      <c r="CU926">
        <f>IFERROR(INDEX(PP_Grid[#Data],$DE926,96),0)</f>
        <v/>
      </c>
      <c r="CV926">
        <f>IFERROR(INDEX(PP_Grid[#Data],$DE926,97),0)</f>
        <v/>
      </c>
      <c r="CW926">
        <f>IFERROR(INDEX(PP_Grid[#Data],$DE926,98),0)</f>
        <v/>
      </c>
      <c r="CX926">
        <f>IFERROR(INDEX(PP_Grid[#Data],$DE926,99),0)</f>
        <v/>
      </c>
      <c r="CY926">
        <f>IFERROR(INDEX(PP_Grid[#Data],$DE926,100),0)</f>
        <v/>
      </c>
      <c r="CZ926">
        <f>IFERROR(INDEX(PP_Grid[#Data],$DE926,101),0)</f>
        <v/>
      </c>
      <c r="DA926">
        <f>IFERROR(INDEX(PP_Grid[#Data],$DE926,102),0)</f>
        <v/>
      </c>
      <c r="DB926">
        <f>IFERROR(INDEX(PP_Grid[#Data],$DE926,103),0)</f>
        <v/>
      </c>
      <c r="DC926">
        <f>IFERROR(INDEX(PP_Grid[#Data],$DE926,104),0)</f>
        <v/>
      </c>
      <c r="DD926">
        <f>IFERROR(INDEX(PP_Grid[#Data],$DE926,105),0)</f>
        <v/>
      </c>
      <c r="DE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SUMIFS(M_BOM[RM_Qty_Per_Batch],M_BOM[Intermediate],$B926,M_BOM[RM_Code],$A891)</f>
        <v/>
      </c>
      <c r="D927">
        <f>IFERROR(INDEX(E927:DD927,$F$1),"")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  <c r="DD927">
        <f>$C927*DD926</f>
        <v/>
      </c>
    </row>
    <row r="928">
      <c r="B928" t="inlineStr">
        <is>
          <t>TSP-924</t>
        </is>
      </c>
      <c r="C928" t="inlineStr">
        <is>
          <t>No. of batches</t>
        </is>
      </c>
      <c r="D928">
        <f>IFERROR(INDEX(E928:DD928,$F$1),"")</f>
        <v/>
      </c>
      <c r="E928">
        <f>IFERROR(INDEX(PP_Grid[#Data],$DE928,2),0)</f>
        <v/>
      </c>
      <c r="F928">
        <f>IFERROR(INDEX(PP_Grid[#Data],$DE928,3),0)</f>
        <v/>
      </c>
      <c r="G928">
        <f>IFERROR(INDEX(PP_Grid[#Data],$DE928,4),0)</f>
        <v/>
      </c>
      <c r="H928">
        <f>IFERROR(INDEX(PP_Grid[#Data],$DE928,5),0)</f>
        <v/>
      </c>
      <c r="I928">
        <f>IFERROR(INDEX(PP_Grid[#Data],$DE928,6),0)</f>
        <v/>
      </c>
      <c r="J928">
        <f>IFERROR(INDEX(PP_Grid[#Data],$DE928,7),0)</f>
        <v/>
      </c>
      <c r="K928">
        <f>IFERROR(INDEX(PP_Grid[#Data],$DE928,8),0)</f>
        <v/>
      </c>
      <c r="L928">
        <f>IFERROR(INDEX(PP_Grid[#Data],$DE928,9),0)</f>
        <v/>
      </c>
      <c r="M928">
        <f>IFERROR(INDEX(PP_Grid[#Data],$DE928,10),0)</f>
        <v/>
      </c>
      <c r="N928">
        <f>IFERROR(INDEX(PP_Grid[#Data],$DE928,11),0)</f>
        <v/>
      </c>
      <c r="O928">
        <f>IFERROR(INDEX(PP_Grid[#Data],$DE928,12),0)</f>
        <v/>
      </c>
      <c r="P928">
        <f>IFERROR(INDEX(PP_Grid[#Data],$DE928,13),0)</f>
        <v/>
      </c>
      <c r="Q928">
        <f>IFERROR(INDEX(PP_Grid[#Data],$DE928,14),0)</f>
        <v/>
      </c>
      <c r="R928">
        <f>IFERROR(INDEX(PP_Grid[#Data],$DE928,15),0)</f>
        <v/>
      </c>
      <c r="S928">
        <f>IFERROR(INDEX(PP_Grid[#Data],$DE928,16),0)</f>
        <v/>
      </c>
      <c r="T928">
        <f>IFERROR(INDEX(PP_Grid[#Data],$DE928,17),0)</f>
        <v/>
      </c>
      <c r="U928">
        <f>IFERROR(INDEX(PP_Grid[#Data],$DE928,18),0)</f>
        <v/>
      </c>
      <c r="V928">
        <f>IFERROR(INDEX(PP_Grid[#Data],$DE928,19),0)</f>
        <v/>
      </c>
      <c r="W928">
        <f>IFERROR(INDEX(PP_Grid[#Data],$DE928,20),0)</f>
        <v/>
      </c>
      <c r="X928">
        <f>IFERROR(INDEX(PP_Grid[#Data],$DE928,21),0)</f>
        <v/>
      </c>
      <c r="Y928">
        <f>IFERROR(INDEX(PP_Grid[#Data],$DE928,22),0)</f>
        <v/>
      </c>
      <c r="Z928">
        <f>IFERROR(INDEX(PP_Grid[#Data],$DE928,23),0)</f>
        <v/>
      </c>
      <c r="AA928">
        <f>IFERROR(INDEX(PP_Grid[#Data],$DE928,24),0)</f>
        <v/>
      </c>
      <c r="AB928">
        <f>IFERROR(INDEX(PP_Grid[#Data],$DE928,25),0)</f>
        <v/>
      </c>
      <c r="AC928">
        <f>IFERROR(INDEX(PP_Grid[#Data],$DE928,26),0)</f>
        <v/>
      </c>
      <c r="AD928">
        <f>IFERROR(INDEX(PP_Grid[#Data],$DE928,27),0)</f>
        <v/>
      </c>
      <c r="AE928">
        <f>IFERROR(INDEX(PP_Grid[#Data],$DE928,28),0)</f>
        <v/>
      </c>
      <c r="AF928">
        <f>IFERROR(INDEX(PP_Grid[#Data],$DE928,29),0)</f>
        <v/>
      </c>
      <c r="AG928">
        <f>IFERROR(INDEX(PP_Grid[#Data],$DE928,30),0)</f>
        <v/>
      </c>
      <c r="AH928">
        <f>IFERROR(INDEX(PP_Grid[#Data],$DE928,31),0)</f>
        <v/>
      </c>
      <c r="AI928">
        <f>IFERROR(INDEX(PP_Grid[#Data],$DE928,32),0)</f>
        <v/>
      </c>
      <c r="AJ928">
        <f>IFERROR(INDEX(PP_Grid[#Data],$DE928,33),0)</f>
        <v/>
      </c>
      <c r="AK928">
        <f>IFERROR(INDEX(PP_Grid[#Data],$DE928,34),0)</f>
        <v/>
      </c>
      <c r="AL928">
        <f>IFERROR(INDEX(PP_Grid[#Data],$DE928,35),0)</f>
        <v/>
      </c>
      <c r="AM928">
        <f>IFERROR(INDEX(PP_Grid[#Data],$DE928,36),0)</f>
        <v/>
      </c>
      <c r="AN928">
        <f>IFERROR(INDEX(PP_Grid[#Data],$DE928,37),0)</f>
        <v/>
      </c>
      <c r="AO928">
        <f>IFERROR(INDEX(PP_Grid[#Data],$DE928,38),0)</f>
        <v/>
      </c>
      <c r="AP928">
        <f>IFERROR(INDEX(PP_Grid[#Data],$DE928,39),0)</f>
        <v/>
      </c>
      <c r="AQ928">
        <f>IFERROR(INDEX(PP_Grid[#Data],$DE928,40),0)</f>
        <v/>
      </c>
      <c r="AR928">
        <f>IFERROR(INDEX(PP_Grid[#Data],$DE928,41),0)</f>
        <v/>
      </c>
      <c r="AS928">
        <f>IFERROR(INDEX(PP_Grid[#Data],$DE928,42),0)</f>
        <v/>
      </c>
      <c r="AT928">
        <f>IFERROR(INDEX(PP_Grid[#Data],$DE928,43),0)</f>
        <v/>
      </c>
      <c r="AU928">
        <f>IFERROR(INDEX(PP_Grid[#Data],$DE928,44),0)</f>
        <v/>
      </c>
      <c r="AV928">
        <f>IFERROR(INDEX(PP_Grid[#Data],$DE928,45),0)</f>
        <v/>
      </c>
      <c r="AW928">
        <f>IFERROR(INDEX(PP_Grid[#Data],$DE928,46),0)</f>
        <v/>
      </c>
      <c r="AX928">
        <f>IFERROR(INDEX(PP_Grid[#Data],$DE928,47),0)</f>
        <v/>
      </c>
      <c r="AY928">
        <f>IFERROR(INDEX(PP_Grid[#Data],$DE928,48),0)</f>
        <v/>
      </c>
      <c r="AZ928">
        <f>IFERROR(INDEX(PP_Grid[#Data],$DE928,49),0)</f>
        <v/>
      </c>
      <c r="BA928">
        <f>IFERROR(INDEX(PP_Grid[#Data],$DE928,50),0)</f>
        <v/>
      </c>
      <c r="BB928">
        <f>IFERROR(INDEX(PP_Grid[#Data],$DE928,51),0)</f>
        <v/>
      </c>
      <c r="BC928">
        <f>IFERROR(INDEX(PP_Grid[#Data],$DE928,52),0)</f>
        <v/>
      </c>
      <c r="BD928">
        <f>IFERROR(INDEX(PP_Grid[#Data],$DE928,53),0)</f>
        <v/>
      </c>
      <c r="BE928">
        <f>IFERROR(INDEX(PP_Grid[#Data],$DE928,54),0)</f>
        <v/>
      </c>
      <c r="BF928">
        <f>IFERROR(INDEX(PP_Grid[#Data],$DE928,55),0)</f>
        <v/>
      </c>
      <c r="BG928">
        <f>IFERROR(INDEX(PP_Grid[#Data],$DE928,56),0)</f>
        <v/>
      </c>
      <c r="BH928">
        <f>IFERROR(INDEX(PP_Grid[#Data],$DE928,57),0)</f>
        <v/>
      </c>
      <c r="BI928">
        <f>IFERROR(INDEX(PP_Grid[#Data],$DE928,58),0)</f>
        <v/>
      </c>
      <c r="BJ928">
        <f>IFERROR(INDEX(PP_Grid[#Data],$DE928,59),0)</f>
        <v/>
      </c>
      <c r="BK928">
        <f>IFERROR(INDEX(PP_Grid[#Data],$DE928,60),0)</f>
        <v/>
      </c>
      <c r="BL928">
        <f>IFERROR(INDEX(PP_Grid[#Data],$DE928,61),0)</f>
        <v/>
      </c>
      <c r="BM928">
        <f>IFERROR(INDEX(PP_Grid[#Data],$DE928,62),0)</f>
        <v/>
      </c>
      <c r="BN928">
        <f>IFERROR(INDEX(PP_Grid[#Data],$DE928,63),0)</f>
        <v/>
      </c>
      <c r="BO928">
        <f>IFERROR(INDEX(PP_Grid[#Data],$DE928,64),0)</f>
        <v/>
      </c>
      <c r="BP928">
        <f>IFERROR(INDEX(PP_Grid[#Data],$DE928,65),0)</f>
        <v/>
      </c>
      <c r="BQ928">
        <f>IFERROR(INDEX(PP_Grid[#Data],$DE928,66),0)</f>
        <v/>
      </c>
      <c r="BR928">
        <f>IFERROR(INDEX(PP_Grid[#Data],$DE928,67),0)</f>
        <v/>
      </c>
      <c r="BS928">
        <f>IFERROR(INDEX(PP_Grid[#Data],$DE928,68),0)</f>
        <v/>
      </c>
      <c r="BT928">
        <f>IFERROR(INDEX(PP_Grid[#Data],$DE928,69),0)</f>
        <v/>
      </c>
      <c r="BU928">
        <f>IFERROR(INDEX(PP_Grid[#Data],$DE928,70),0)</f>
        <v/>
      </c>
      <c r="BV928">
        <f>IFERROR(INDEX(PP_Grid[#Data],$DE928,71),0)</f>
        <v/>
      </c>
      <c r="BW928">
        <f>IFERROR(INDEX(PP_Grid[#Data],$DE928,72),0)</f>
        <v/>
      </c>
      <c r="BX928">
        <f>IFERROR(INDEX(PP_Grid[#Data],$DE928,73),0)</f>
        <v/>
      </c>
      <c r="BY928">
        <f>IFERROR(INDEX(PP_Grid[#Data],$DE928,74),0)</f>
        <v/>
      </c>
      <c r="BZ928">
        <f>IFERROR(INDEX(PP_Grid[#Data],$DE928,75),0)</f>
        <v/>
      </c>
      <c r="CA928">
        <f>IFERROR(INDEX(PP_Grid[#Data],$DE928,76),0)</f>
        <v/>
      </c>
      <c r="CB928">
        <f>IFERROR(INDEX(PP_Grid[#Data],$DE928,77),0)</f>
        <v/>
      </c>
      <c r="CC928">
        <f>IFERROR(INDEX(PP_Grid[#Data],$DE928,78),0)</f>
        <v/>
      </c>
      <c r="CD928">
        <f>IFERROR(INDEX(PP_Grid[#Data],$DE928,79),0)</f>
        <v/>
      </c>
      <c r="CE928">
        <f>IFERROR(INDEX(PP_Grid[#Data],$DE928,80),0)</f>
        <v/>
      </c>
      <c r="CF928">
        <f>IFERROR(INDEX(PP_Grid[#Data],$DE928,81),0)</f>
        <v/>
      </c>
      <c r="CG928">
        <f>IFERROR(INDEX(PP_Grid[#Data],$DE928,82),0)</f>
        <v/>
      </c>
      <c r="CH928">
        <f>IFERROR(INDEX(PP_Grid[#Data],$DE928,83),0)</f>
        <v/>
      </c>
      <c r="CI928">
        <f>IFERROR(INDEX(PP_Grid[#Data],$DE928,84),0)</f>
        <v/>
      </c>
      <c r="CJ928">
        <f>IFERROR(INDEX(PP_Grid[#Data],$DE928,85),0)</f>
        <v/>
      </c>
      <c r="CK928">
        <f>IFERROR(INDEX(PP_Grid[#Data],$DE928,86),0)</f>
        <v/>
      </c>
      <c r="CL928">
        <f>IFERROR(INDEX(PP_Grid[#Data],$DE928,87),0)</f>
        <v/>
      </c>
      <c r="CM928">
        <f>IFERROR(INDEX(PP_Grid[#Data],$DE928,88),0)</f>
        <v/>
      </c>
      <c r="CN928">
        <f>IFERROR(INDEX(PP_Grid[#Data],$DE928,89),0)</f>
        <v/>
      </c>
      <c r="CO928">
        <f>IFERROR(INDEX(PP_Grid[#Data],$DE928,90),0)</f>
        <v/>
      </c>
      <c r="CP928">
        <f>IFERROR(INDEX(PP_Grid[#Data],$DE928,91),0)</f>
        <v/>
      </c>
      <c r="CQ928">
        <f>IFERROR(INDEX(PP_Grid[#Data],$DE928,92),0)</f>
        <v/>
      </c>
      <c r="CR928">
        <f>IFERROR(INDEX(PP_Grid[#Data],$DE928,93),0)</f>
        <v/>
      </c>
      <c r="CS928">
        <f>IFERROR(INDEX(PP_Grid[#Data],$DE928,94),0)</f>
        <v/>
      </c>
      <c r="CT928">
        <f>IFERROR(INDEX(PP_Grid[#Data],$DE928,95),0)</f>
        <v/>
      </c>
      <c r="CU928">
        <f>IFERROR(INDEX(PP_Grid[#Data],$DE928,96),0)</f>
        <v/>
      </c>
      <c r="CV928">
        <f>IFERROR(INDEX(PP_Grid[#Data],$DE928,97),0)</f>
        <v/>
      </c>
      <c r="CW928">
        <f>IFERROR(INDEX(PP_Grid[#Data],$DE928,98),0)</f>
        <v/>
      </c>
      <c r="CX928">
        <f>IFERROR(INDEX(PP_Grid[#Data],$DE928,99),0)</f>
        <v/>
      </c>
      <c r="CY928">
        <f>IFERROR(INDEX(PP_Grid[#Data],$DE928,100),0)</f>
        <v/>
      </c>
      <c r="CZ928">
        <f>IFERROR(INDEX(PP_Grid[#Data],$DE928,101),0)</f>
        <v/>
      </c>
      <c r="DA928">
        <f>IFERROR(INDEX(PP_Grid[#Data],$DE928,102),0)</f>
        <v/>
      </c>
      <c r="DB928">
        <f>IFERROR(INDEX(PP_Grid[#Data],$DE928,103),0)</f>
        <v/>
      </c>
      <c r="DC928">
        <f>IFERROR(INDEX(PP_Grid[#Data],$DE928,104),0)</f>
        <v/>
      </c>
      <c r="DD928">
        <f>IFERROR(INDEX(PP_Grid[#Data],$DE928,105),0)</f>
        <v/>
      </c>
      <c r="DE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SUMIFS(M_BOM[RM_Qty_Per_Batch],M_BOM[Intermediate],$B928,M_BOM[RM_Code],$A891)</f>
        <v/>
      </c>
      <c r="D929">
        <f>IFERROR(INDEX(E929:DD929,$F$1),"")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  <c r="DD929">
        <f>$C929*DD928</f>
        <v/>
      </c>
    </row>
    <row r="930">
      <c r="B930" t="inlineStr">
        <is>
          <t>TSP-925</t>
        </is>
      </c>
      <c r="C930" t="inlineStr">
        <is>
          <t>No. of batches</t>
        </is>
      </c>
      <c r="D930">
        <f>IFERROR(INDEX(E930:DD930,$F$1),"")</f>
        <v/>
      </c>
      <c r="E930">
        <f>IFERROR(INDEX(PP_Grid[#Data],$DE930,2),0)</f>
        <v/>
      </c>
      <c r="F930">
        <f>IFERROR(INDEX(PP_Grid[#Data],$DE930,3),0)</f>
        <v/>
      </c>
      <c r="G930">
        <f>IFERROR(INDEX(PP_Grid[#Data],$DE930,4),0)</f>
        <v/>
      </c>
      <c r="H930">
        <f>IFERROR(INDEX(PP_Grid[#Data],$DE930,5),0)</f>
        <v/>
      </c>
      <c r="I930">
        <f>IFERROR(INDEX(PP_Grid[#Data],$DE930,6),0)</f>
        <v/>
      </c>
      <c r="J930">
        <f>IFERROR(INDEX(PP_Grid[#Data],$DE930,7),0)</f>
        <v/>
      </c>
      <c r="K930">
        <f>IFERROR(INDEX(PP_Grid[#Data],$DE930,8),0)</f>
        <v/>
      </c>
      <c r="L930">
        <f>IFERROR(INDEX(PP_Grid[#Data],$DE930,9),0)</f>
        <v/>
      </c>
      <c r="M930">
        <f>IFERROR(INDEX(PP_Grid[#Data],$DE930,10),0)</f>
        <v/>
      </c>
      <c r="N930">
        <f>IFERROR(INDEX(PP_Grid[#Data],$DE930,11),0)</f>
        <v/>
      </c>
      <c r="O930">
        <f>IFERROR(INDEX(PP_Grid[#Data],$DE930,12),0)</f>
        <v/>
      </c>
      <c r="P930">
        <f>IFERROR(INDEX(PP_Grid[#Data],$DE930,13),0)</f>
        <v/>
      </c>
      <c r="Q930">
        <f>IFERROR(INDEX(PP_Grid[#Data],$DE930,14),0)</f>
        <v/>
      </c>
      <c r="R930">
        <f>IFERROR(INDEX(PP_Grid[#Data],$DE930,15),0)</f>
        <v/>
      </c>
      <c r="S930">
        <f>IFERROR(INDEX(PP_Grid[#Data],$DE930,16),0)</f>
        <v/>
      </c>
      <c r="T930">
        <f>IFERROR(INDEX(PP_Grid[#Data],$DE930,17),0)</f>
        <v/>
      </c>
      <c r="U930">
        <f>IFERROR(INDEX(PP_Grid[#Data],$DE930,18),0)</f>
        <v/>
      </c>
      <c r="V930">
        <f>IFERROR(INDEX(PP_Grid[#Data],$DE930,19),0)</f>
        <v/>
      </c>
      <c r="W930">
        <f>IFERROR(INDEX(PP_Grid[#Data],$DE930,20),0)</f>
        <v/>
      </c>
      <c r="X930">
        <f>IFERROR(INDEX(PP_Grid[#Data],$DE930,21),0)</f>
        <v/>
      </c>
      <c r="Y930">
        <f>IFERROR(INDEX(PP_Grid[#Data],$DE930,22),0)</f>
        <v/>
      </c>
      <c r="Z930">
        <f>IFERROR(INDEX(PP_Grid[#Data],$DE930,23),0)</f>
        <v/>
      </c>
      <c r="AA930">
        <f>IFERROR(INDEX(PP_Grid[#Data],$DE930,24),0)</f>
        <v/>
      </c>
      <c r="AB930">
        <f>IFERROR(INDEX(PP_Grid[#Data],$DE930,25),0)</f>
        <v/>
      </c>
      <c r="AC930">
        <f>IFERROR(INDEX(PP_Grid[#Data],$DE930,26),0)</f>
        <v/>
      </c>
      <c r="AD930">
        <f>IFERROR(INDEX(PP_Grid[#Data],$DE930,27),0)</f>
        <v/>
      </c>
      <c r="AE930">
        <f>IFERROR(INDEX(PP_Grid[#Data],$DE930,28),0)</f>
        <v/>
      </c>
      <c r="AF930">
        <f>IFERROR(INDEX(PP_Grid[#Data],$DE930,29),0)</f>
        <v/>
      </c>
      <c r="AG930">
        <f>IFERROR(INDEX(PP_Grid[#Data],$DE930,30),0)</f>
        <v/>
      </c>
      <c r="AH930">
        <f>IFERROR(INDEX(PP_Grid[#Data],$DE930,31),0)</f>
        <v/>
      </c>
      <c r="AI930">
        <f>IFERROR(INDEX(PP_Grid[#Data],$DE930,32),0)</f>
        <v/>
      </c>
      <c r="AJ930">
        <f>IFERROR(INDEX(PP_Grid[#Data],$DE930,33),0)</f>
        <v/>
      </c>
      <c r="AK930">
        <f>IFERROR(INDEX(PP_Grid[#Data],$DE930,34),0)</f>
        <v/>
      </c>
      <c r="AL930">
        <f>IFERROR(INDEX(PP_Grid[#Data],$DE930,35),0)</f>
        <v/>
      </c>
      <c r="AM930">
        <f>IFERROR(INDEX(PP_Grid[#Data],$DE930,36),0)</f>
        <v/>
      </c>
      <c r="AN930">
        <f>IFERROR(INDEX(PP_Grid[#Data],$DE930,37),0)</f>
        <v/>
      </c>
      <c r="AO930">
        <f>IFERROR(INDEX(PP_Grid[#Data],$DE930,38),0)</f>
        <v/>
      </c>
      <c r="AP930">
        <f>IFERROR(INDEX(PP_Grid[#Data],$DE930,39),0)</f>
        <v/>
      </c>
      <c r="AQ930">
        <f>IFERROR(INDEX(PP_Grid[#Data],$DE930,40),0)</f>
        <v/>
      </c>
      <c r="AR930">
        <f>IFERROR(INDEX(PP_Grid[#Data],$DE930,41),0)</f>
        <v/>
      </c>
      <c r="AS930">
        <f>IFERROR(INDEX(PP_Grid[#Data],$DE930,42),0)</f>
        <v/>
      </c>
      <c r="AT930">
        <f>IFERROR(INDEX(PP_Grid[#Data],$DE930,43),0)</f>
        <v/>
      </c>
      <c r="AU930">
        <f>IFERROR(INDEX(PP_Grid[#Data],$DE930,44),0)</f>
        <v/>
      </c>
      <c r="AV930">
        <f>IFERROR(INDEX(PP_Grid[#Data],$DE930,45),0)</f>
        <v/>
      </c>
      <c r="AW930">
        <f>IFERROR(INDEX(PP_Grid[#Data],$DE930,46),0)</f>
        <v/>
      </c>
      <c r="AX930">
        <f>IFERROR(INDEX(PP_Grid[#Data],$DE930,47),0)</f>
        <v/>
      </c>
      <c r="AY930">
        <f>IFERROR(INDEX(PP_Grid[#Data],$DE930,48),0)</f>
        <v/>
      </c>
      <c r="AZ930">
        <f>IFERROR(INDEX(PP_Grid[#Data],$DE930,49),0)</f>
        <v/>
      </c>
      <c r="BA930">
        <f>IFERROR(INDEX(PP_Grid[#Data],$DE930,50),0)</f>
        <v/>
      </c>
      <c r="BB930">
        <f>IFERROR(INDEX(PP_Grid[#Data],$DE930,51),0)</f>
        <v/>
      </c>
      <c r="BC930">
        <f>IFERROR(INDEX(PP_Grid[#Data],$DE930,52),0)</f>
        <v/>
      </c>
      <c r="BD930">
        <f>IFERROR(INDEX(PP_Grid[#Data],$DE930,53),0)</f>
        <v/>
      </c>
      <c r="BE930">
        <f>IFERROR(INDEX(PP_Grid[#Data],$DE930,54),0)</f>
        <v/>
      </c>
      <c r="BF930">
        <f>IFERROR(INDEX(PP_Grid[#Data],$DE930,55),0)</f>
        <v/>
      </c>
      <c r="BG930">
        <f>IFERROR(INDEX(PP_Grid[#Data],$DE930,56),0)</f>
        <v/>
      </c>
      <c r="BH930">
        <f>IFERROR(INDEX(PP_Grid[#Data],$DE930,57),0)</f>
        <v/>
      </c>
      <c r="BI930">
        <f>IFERROR(INDEX(PP_Grid[#Data],$DE930,58),0)</f>
        <v/>
      </c>
      <c r="BJ930">
        <f>IFERROR(INDEX(PP_Grid[#Data],$DE930,59),0)</f>
        <v/>
      </c>
      <c r="BK930">
        <f>IFERROR(INDEX(PP_Grid[#Data],$DE930,60),0)</f>
        <v/>
      </c>
      <c r="BL930">
        <f>IFERROR(INDEX(PP_Grid[#Data],$DE930,61),0)</f>
        <v/>
      </c>
      <c r="BM930">
        <f>IFERROR(INDEX(PP_Grid[#Data],$DE930,62),0)</f>
        <v/>
      </c>
      <c r="BN930">
        <f>IFERROR(INDEX(PP_Grid[#Data],$DE930,63),0)</f>
        <v/>
      </c>
      <c r="BO930">
        <f>IFERROR(INDEX(PP_Grid[#Data],$DE930,64),0)</f>
        <v/>
      </c>
      <c r="BP930">
        <f>IFERROR(INDEX(PP_Grid[#Data],$DE930,65),0)</f>
        <v/>
      </c>
      <c r="BQ930">
        <f>IFERROR(INDEX(PP_Grid[#Data],$DE930,66),0)</f>
        <v/>
      </c>
      <c r="BR930">
        <f>IFERROR(INDEX(PP_Grid[#Data],$DE930,67),0)</f>
        <v/>
      </c>
      <c r="BS930">
        <f>IFERROR(INDEX(PP_Grid[#Data],$DE930,68),0)</f>
        <v/>
      </c>
      <c r="BT930">
        <f>IFERROR(INDEX(PP_Grid[#Data],$DE930,69),0)</f>
        <v/>
      </c>
      <c r="BU930">
        <f>IFERROR(INDEX(PP_Grid[#Data],$DE930,70),0)</f>
        <v/>
      </c>
      <c r="BV930">
        <f>IFERROR(INDEX(PP_Grid[#Data],$DE930,71),0)</f>
        <v/>
      </c>
      <c r="BW930">
        <f>IFERROR(INDEX(PP_Grid[#Data],$DE930,72),0)</f>
        <v/>
      </c>
      <c r="BX930">
        <f>IFERROR(INDEX(PP_Grid[#Data],$DE930,73),0)</f>
        <v/>
      </c>
      <c r="BY930">
        <f>IFERROR(INDEX(PP_Grid[#Data],$DE930,74),0)</f>
        <v/>
      </c>
      <c r="BZ930">
        <f>IFERROR(INDEX(PP_Grid[#Data],$DE930,75),0)</f>
        <v/>
      </c>
      <c r="CA930">
        <f>IFERROR(INDEX(PP_Grid[#Data],$DE930,76),0)</f>
        <v/>
      </c>
      <c r="CB930">
        <f>IFERROR(INDEX(PP_Grid[#Data],$DE930,77),0)</f>
        <v/>
      </c>
      <c r="CC930">
        <f>IFERROR(INDEX(PP_Grid[#Data],$DE930,78),0)</f>
        <v/>
      </c>
      <c r="CD930">
        <f>IFERROR(INDEX(PP_Grid[#Data],$DE930,79),0)</f>
        <v/>
      </c>
      <c r="CE930">
        <f>IFERROR(INDEX(PP_Grid[#Data],$DE930,80),0)</f>
        <v/>
      </c>
      <c r="CF930">
        <f>IFERROR(INDEX(PP_Grid[#Data],$DE930,81),0)</f>
        <v/>
      </c>
      <c r="CG930">
        <f>IFERROR(INDEX(PP_Grid[#Data],$DE930,82),0)</f>
        <v/>
      </c>
      <c r="CH930">
        <f>IFERROR(INDEX(PP_Grid[#Data],$DE930,83),0)</f>
        <v/>
      </c>
      <c r="CI930">
        <f>IFERROR(INDEX(PP_Grid[#Data],$DE930,84),0)</f>
        <v/>
      </c>
      <c r="CJ930">
        <f>IFERROR(INDEX(PP_Grid[#Data],$DE930,85),0)</f>
        <v/>
      </c>
      <c r="CK930">
        <f>IFERROR(INDEX(PP_Grid[#Data],$DE930,86),0)</f>
        <v/>
      </c>
      <c r="CL930">
        <f>IFERROR(INDEX(PP_Grid[#Data],$DE930,87),0)</f>
        <v/>
      </c>
      <c r="CM930">
        <f>IFERROR(INDEX(PP_Grid[#Data],$DE930,88),0)</f>
        <v/>
      </c>
      <c r="CN930">
        <f>IFERROR(INDEX(PP_Grid[#Data],$DE930,89),0)</f>
        <v/>
      </c>
      <c r="CO930">
        <f>IFERROR(INDEX(PP_Grid[#Data],$DE930,90),0)</f>
        <v/>
      </c>
      <c r="CP930">
        <f>IFERROR(INDEX(PP_Grid[#Data],$DE930,91),0)</f>
        <v/>
      </c>
      <c r="CQ930">
        <f>IFERROR(INDEX(PP_Grid[#Data],$DE930,92),0)</f>
        <v/>
      </c>
      <c r="CR930">
        <f>IFERROR(INDEX(PP_Grid[#Data],$DE930,93),0)</f>
        <v/>
      </c>
      <c r="CS930">
        <f>IFERROR(INDEX(PP_Grid[#Data],$DE930,94),0)</f>
        <v/>
      </c>
      <c r="CT930">
        <f>IFERROR(INDEX(PP_Grid[#Data],$DE930,95),0)</f>
        <v/>
      </c>
      <c r="CU930">
        <f>IFERROR(INDEX(PP_Grid[#Data],$DE930,96),0)</f>
        <v/>
      </c>
      <c r="CV930">
        <f>IFERROR(INDEX(PP_Grid[#Data],$DE930,97),0)</f>
        <v/>
      </c>
      <c r="CW930">
        <f>IFERROR(INDEX(PP_Grid[#Data],$DE930,98),0)</f>
        <v/>
      </c>
      <c r="CX930">
        <f>IFERROR(INDEX(PP_Grid[#Data],$DE930,99),0)</f>
        <v/>
      </c>
      <c r="CY930">
        <f>IFERROR(INDEX(PP_Grid[#Data],$DE930,100),0)</f>
        <v/>
      </c>
      <c r="CZ930">
        <f>IFERROR(INDEX(PP_Grid[#Data],$DE930,101),0)</f>
        <v/>
      </c>
      <c r="DA930">
        <f>IFERROR(INDEX(PP_Grid[#Data],$DE930,102),0)</f>
        <v/>
      </c>
      <c r="DB930">
        <f>IFERROR(INDEX(PP_Grid[#Data],$DE930,103),0)</f>
        <v/>
      </c>
      <c r="DC930">
        <f>IFERROR(INDEX(PP_Grid[#Data],$DE930,104),0)</f>
        <v/>
      </c>
      <c r="DD930">
        <f>IFERROR(INDEX(PP_Grid[#Data],$DE930,105),0)</f>
        <v/>
      </c>
      <c r="DE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SUMIFS(M_BOM[RM_Qty_Per_Batch],M_BOM[Intermediate],$B930,M_BOM[RM_Code],$A891)</f>
        <v/>
      </c>
      <c r="D931">
        <f>IFERROR(INDEX(E931:DD931,$F$1),"")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  <c r="DD931">
        <f>$C931*DD930</f>
        <v/>
      </c>
    </row>
    <row r="932">
      <c r="B932" s="4" t="inlineStr">
        <is>
          <t>合計使用量(kg)/週</t>
        </is>
      </c>
      <c r="D932" s="23">
        <f>IFERROR(INDEX(E932:DD932,$F$1),"")</f>
        <v/>
      </c>
      <c r="E932">
        <f>'Grid_Requirement'!B22</f>
        <v/>
      </c>
      <c r="F932">
        <f>'Grid_Requirement'!C22</f>
        <v/>
      </c>
      <c r="G932">
        <f>'Grid_Requirement'!D22</f>
        <v/>
      </c>
      <c r="H932">
        <f>'Grid_Requirement'!E22</f>
        <v/>
      </c>
      <c r="I932">
        <f>'Grid_Requirement'!F22</f>
        <v/>
      </c>
      <c r="J932">
        <f>'Grid_Requirement'!G22</f>
        <v/>
      </c>
      <c r="K932">
        <f>'Grid_Requirement'!H22</f>
        <v/>
      </c>
      <c r="L932">
        <f>'Grid_Requirement'!I22</f>
        <v/>
      </c>
      <c r="M932">
        <f>'Grid_Requirement'!J22</f>
        <v/>
      </c>
      <c r="N932">
        <f>'Grid_Requirement'!K22</f>
        <v/>
      </c>
      <c r="O932">
        <f>'Grid_Requirement'!L22</f>
        <v/>
      </c>
      <c r="P932">
        <f>'Grid_Requirement'!M22</f>
        <v/>
      </c>
      <c r="Q932">
        <f>'Grid_Requirement'!N22</f>
        <v/>
      </c>
      <c r="R932">
        <f>'Grid_Requirement'!O22</f>
        <v/>
      </c>
      <c r="S932">
        <f>'Grid_Requirement'!P22</f>
        <v/>
      </c>
      <c r="T932">
        <f>'Grid_Requirement'!Q22</f>
        <v/>
      </c>
      <c r="U932">
        <f>'Grid_Requirement'!R22</f>
        <v/>
      </c>
      <c r="V932">
        <f>'Grid_Requirement'!S22</f>
        <v/>
      </c>
      <c r="W932">
        <f>'Grid_Requirement'!T22</f>
        <v/>
      </c>
      <c r="X932">
        <f>'Grid_Requirement'!U22</f>
        <v/>
      </c>
      <c r="Y932">
        <f>'Grid_Requirement'!V22</f>
        <v/>
      </c>
      <c r="Z932">
        <f>'Grid_Requirement'!W22</f>
        <v/>
      </c>
      <c r="AA932">
        <f>'Grid_Requirement'!X22</f>
        <v/>
      </c>
      <c r="AB932">
        <f>'Grid_Requirement'!Y22</f>
        <v/>
      </c>
      <c r="AC932">
        <f>'Grid_Requirement'!Z22</f>
        <v/>
      </c>
      <c r="AD932">
        <f>'Grid_Requirement'!AA22</f>
        <v/>
      </c>
      <c r="AE932">
        <f>'Grid_Requirement'!AB22</f>
        <v/>
      </c>
      <c r="AF932">
        <f>'Grid_Requirement'!AC22</f>
        <v/>
      </c>
      <c r="AG932">
        <f>'Grid_Requirement'!AD22</f>
        <v/>
      </c>
      <c r="AH932">
        <f>'Grid_Requirement'!AE22</f>
        <v/>
      </c>
      <c r="AI932">
        <f>'Grid_Requirement'!AF22</f>
        <v/>
      </c>
      <c r="AJ932">
        <f>'Grid_Requirement'!AG22</f>
        <v/>
      </c>
      <c r="AK932">
        <f>'Grid_Requirement'!AH22</f>
        <v/>
      </c>
      <c r="AL932">
        <f>'Grid_Requirement'!AI22</f>
        <v/>
      </c>
      <c r="AM932">
        <f>'Grid_Requirement'!AJ22</f>
        <v/>
      </c>
      <c r="AN932">
        <f>'Grid_Requirement'!AK22</f>
        <v/>
      </c>
      <c r="AO932">
        <f>'Grid_Requirement'!AL22</f>
        <v/>
      </c>
      <c r="AP932">
        <f>'Grid_Requirement'!AM22</f>
        <v/>
      </c>
      <c r="AQ932">
        <f>'Grid_Requirement'!AN22</f>
        <v/>
      </c>
      <c r="AR932">
        <f>'Grid_Requirement'!AO22</f>
        <v/>
      </c>
      <c r="AS932">
        <f>'Grid_Requirement'!AP22</f>
        <v/>
      </c>
      <c r="AT932">
        <f>'Grid_Requirement'!AQ22</f>
        <v/>
      </c>
      <c r="AU932">
        <f>'Grid_Requirement'!AR22</f>
        <v/>
      </c>
      <c r="AV932">
        <f>'Grid_Requirement'!AS22</f>
        <v/>
      </c>
      <c r="AW932">
        <f>'Grid_Requirement'!AT22</f>
        <v/>
      </c>
      <c r="AX932">
        <f>'Grid_Requirement'!AU22</f>
        <v/>
      </c>
      <c r="AY932">
        <f>'Grid_Requirement'!AV22</f>
        <v/>
      </c>
      <c r="AZ932">
        <f>'Grid_Requirement'!AW22</f>
        <v/>
      </c>
      <c r="BA932">
        <f>'Grid_Requirement'!AX22</f>
        <v/>
      </c>
      <c r="BB932">
        <f>'Grid_Requirement'!AY22</f>
        <v/>
      </c>
      <c r="BC932">
        <f>'Grid_Requirement'!AZ22</f>
        <v/>
      </c>
      <c r="BD932">
        <f>'Grid_Requirement'!BA22</f>
        <v/>
      </c>
      <c r="BE932">
        <f>'Grid_Requirement'!BB22</f>
        <v/>
      </c>
      <c r="BF932">
        <f>'Grid_Requirement'!BC22</f>
        <v/>
      </c>
      <c r="BG932">
        <f>'Grid_Requirement'!BD22</f>
        <v/>
      </c>
      <c r="BH932">
        <f>'Grid_Requirement'!BE22</f>
        <v/>
      </c>
      <c r="BI932">
        <f>'Grid_Requirement'!BF22</f>
        <v/>
      </c>
      <c r="BJ932">
        <f>'Grid_Requirement'!BG22</f>
        <v/>
      </c>
      <c r="BK932">
        <f>'Grid_Requirement'!BH22</f>
        <v/>
      </c>
      <c r="BL932">
        <f>'Grid_Requirement'!BI22</f>
        <v/>
      </c>
      <c r="BM932">
        <f>'Grid_Requirement'!BJ22</f>
        <v/>
      </c>
      <c r="BN932">
        <f>'Grid_Requirement'!BK22</f>
        <v/>
      </c>
      <c r="BO932">
        <f>'Grid_Requirement'!BL22</f>
        <v/>
      </c>
      <c r="BP932">
        <f>'Grid_Requirement'!BM22</f>
        <v/>
      </c>
      <c r="BQ932">
        <f>'Grid_Requirement'!BN22</f>
        <v/>
      </c>
      <c r="BR932">
        <f>'Grid_Requirement'!BO22</f>
        <v/>
      </c>
      <c r="BS932">
        <f>'Grid_Requirement'!BP22</f>
        <v/>
      </c>
      <c r="BT932">
        <f>'Grid_Requirement'!BQ22</f>
        <v/>
      </c>
      <c r="BU932">
        <f>'Grid_Requirement'!BR22</f>
        <v/>
      </c>
      <c r="BV932">
        <f>'Grid_Requirement'!BS22</f>
        <v/>
      </c>
      <c r="BW932">
        <f>'Grid_Requirement'!BT22</f>
        <v/>
      </c>
      <c r="BX932">
        <f>'Grid_Requirement'!BU22</f>
        <v/>
      </c>
      <c r="BY932">
        <f>'Grid_Requirement'!BV22</f>
        <v/>
      </c>
      <c r="BZ932">
        <f>'Grid_Requirement'!BW22</f>
        <v/>
      </c>
      <c r="CA932">
        <f>'Grid_Requirement'!BX22</f>
        <v/>
      </c>
      <c r="CB932">
        <f>'Grid_Requirement'!BY22</f>
        <v/>
      </c>
      <c r="CC932">
        <f>'Grid_Requirement'!BZ22</f>
        <v/>
      </c>
      <c r="CD932">
        <f>'Grid_Requirement'!CA22</f>
        <v/>
      </c>
      <c r="CE932">
        <f>'Grid_Requirement'!CB22</f>
        <v/>
      </c>
      <c r="CF932">
        <f>'Grid_Requirement'!CC22</f>
        <v/>
      </c>
      <c r="CG932">
        <f>'Grid_Requirement'!CD22</f>
        <v/>
      </c>
      <c r="CH932">
        <f>'Grid_Requirement'!CE22</f>
        <v/>
      </c>
      <c r="CI932">
        <f>'Grid_Requirement'!CF22</f>
        <v/>
      </c>
      <c r="CJ932">
        <f>'Grid_Requirement'!CG22</f>
        <v/>
      </c>
      <c r="CK932">
        <f>'Grid_Requirement'!CH22</f>
        <v/>
      </c>
      <c r="CL932">
        <f>'Grid_Requirement'!CI22</f>
        <v/>
      </c>
      <c r="CM932">
        <f>'Grid_Requirement'!CJ22</f>
        <v/>
      </c>
      <c r="CN932">
        <f>'Grid_Requirement'!CK22</f>
        <v/>
      </c>
      <c r="CO932">
        <f>'Grid_Requirement'!CL22</f>
        <v/>
      </c>
      <c r="CP932">
        <f>'Grid_Requirement'!CM22</f>
        <v/>
      </c>
      <c r="CQ932">
        <f>'Grid_Requirement'!CN22</f>
        <v/>
      </c>
      <c r="CR932">
        <f>'Grid_Requirement'!CO22</f>
        <v/>
      </c>
      <c r="CS932">
        <f>'Grid_Requirement'!CP22</f>
        <v/>
      </c>
      <c r="CT932">
        <f>'Grid_Requirement'!CQ22</f>
        <v/>
      </c>
      <c r="CU932">
        <f>'Grid_Requirement'!CR22</f>
        <v/>
      </c>
      <c r="CV932">
        <f>'Grid_Requirement'!CS22</f>
        <v/>
      </c>
      <c r="CW932">
        <f>'Grid_Requirement'!CT22</f>
        <v/>
      </c>
      <c r="CX932">
        <f>'Grid_Requirement'!CU22</f>
        <v/>
      </c>
      <c r="CY932">
        <f>'Grid_Requirement'!CV22</f>
        <v/>
      </c>
      <c r="CZ932">
        <f>'Grid_Requirement'!CW22</f>
        <v/>
      </c>
      <c r="DA932">
        <f>'Grid_Requirement'!CX22</f>
        <v/>
      </c>
      <c r="DB932">
        <f>'Grid_Requirement'!CY22</f>
        <v/>
      </c>
      <c r="DC932">
        <f>'Grid_Requirement'!CZ22</f>
        <v/>
      </c>
      <c r="DD932">
        <f>'Grid_Requirement'!DA22</f>
        <v/>
      </c>
    </row>
    <row r="933">
      <c r="B933" t="inlineStr">
        <is>
          <t>TTAF在庫(実績,kg)</t>
        </is>
      </c>
      <c r="D933">
        <f>IFERROR(INDEX(E933:DD933,$F$1),"")</f>
        <v/>
      </c>
      <c r="E933">
        <f>IFERROR(SUMIFS(T_TTAFStock[TTAF_Qty],T_TTAFStock[RM_Code],$A891,T_TTAFStock[WeekIndex],1),"")</f>
        <v/>
      </c>
      <c r="F933">
        <f>IFERROR(SUMIFS(T_TTAFStock[TTAF_Qty],T_TTAFStock[RM_Code],$A891,T_TTAFStock[WeekIndex],2),"")</f>
        <v/>
      </c>
      <c r="G933">
        <f>IFERROR(SUMIFS(T_TTAFStock[TTAF_Qty],T_TTAFStock[RM_Code],$A891,T_TTAFStock[WeekIndex],3),"")</f>
        <v/>
      </c>
      <c r="H933">
        <f>IFERROR(SUMIFS(T_TTAFStock[TTAF_Qty],T_TTAFStock[RM_Code],$A891,T_TTAFStock[WeekIndex],4),"")</f>
        <v/>
      </c>
      <c r="I933">
        <f>IFERROR(SUMIFS(T_TTAFStock[TTAF_Qty],T_TTAFStock[RM_Code],$A891,T_TTAFStock[WeekIndex],5),"")</f>
        <v/>
      </c>
      <c r="J933">
        <f>IFERROR(SUMIFS(T_TTAFStock[TTAF_Qty],T_TTAFStock[RM_Code],$A891,T_TTAFStock[WeekIndex],6),"")</f>
        <v/>
      </c>
      <c r="K933">
        <f>IFERROR(SUMIFS(T_TTAFStock[TTAF_Qty],T_TTAFStock[RM_Code],$A891,T_TTAFStock[WeekIndex],7),"")</f>
        <v/>
      </c>
      <c r="L933">
        <f>IFERROR(SUMIFS(T_TTAFStock[TTAF_Qty],T_TTAFStock[RM_Code],$A891,T_TTAFStock[WeekIndex],8),"")</f>
        <v/>
      </c>
      <c r="M933">
        <f>IFERROR(SUMIFS(T_TTAFStock[TTAF_Qty],T_TTAFStock[RM_Code],$A891,T_TTAFStock[WeekIndex],9),"")</f>
        <v/>
      </c>
      <c r="N933">
        <f>IFERROR(SUMIFS(T_TTAFStock[TTAF_Qty],T_TTAFStock[RM_Code],$A891,T_TTAFStock[WeekIndex],10),"")</f>
        <v/>
      </c>
      <c r="O933">
        <f>IFERROR(SUMIFS(T_TTAFStock[TTAF_Qty],T_TTAFStock[RM_Code],$A891,T_TTAFStock[WeekIndex],11),"")</f>
        <v/>
      </c>
      <c r="P933">
        <f>IFERROR(SUMIFS(T_TTAFStock[TTAF_Qty],T_TTAFStock[RM_Code],$A891,T_TTAFStock[WeekIndex],12),"")</f>
        <v/>
      </c>
      <c r="Q933">
        <f>IFERROR(SUMIFS(T_TTAFStock[TTAF_Qty],T_TTAFStock[RM_Code],$A891,T_TTAFStock[WeekIndex],13),"")</f>
        <v/>
      </c>
      <c r="R933">
        <f>IFERROR(SUMIFS(T_TTAFStock[TTAF_Qty],T_TTAFStock[RM_Code],$A891,T_TTAFStock[WeekIndex],14),"")</f>
        <v/>
      </c>
      <c r="S933">
        <f>IFERROR(SUMIFS(T_TTAFStock[TTAF_Qty],T_TTAFStock[RM_Code],$A891,T_TTAFStock[WeekIndex],15),"")</f>
        <v/>
      </c>
      <c r="T933">
        <f>IFERROR(SUMIFS(T_TTAFStock[TTAF_Qty],T_TTAFStock[RM_Code],$A891,T_TTAFStock[WeekIndex],16),"")</f>
        <v/>
      </c>
      <c r="U933">
        <f>IFERROR(SUMIFS(T_TTAFStock[TTAF_Qty],T_TTAFStock[RM_Code],$A891,T_TTAFStock[WeekIndex],17),"")</f>
        <v/>
      </c>
      <c r="V933">
        <f>IFERROR(SUMIFS(T_TTAFStock[TTAF_Qty],T_TTAFStock[RM_Code],$A891,T_TTAFStock[WeekIndex],18),"")</f>
        <v/>
      </c>
      <c r="W933">
        <f>IFERROR(SUMIFS(T_TTAFStock[TTAF_Qty],T_TTAFStock[RM_Code],$A891,T_TTAFStock[WeekIndex],19),"")</f>
        <v/>
      </c>
      <c r="X933">
        <f>IFERROR(SUMIFS(T_TTAFStock[TTAF_Qty],T_TTAFStock[RM_Code],$A891,T_TTAFStock[WeekIndex],20),"")</f>
        <v/>
      </c>
      <c r="Y933">
        <f>IFERROR(SUMIFS(T_TTAFStock[TTAF_Qty],T_TTAFStock[RM_Code],$A891,T_TTAFStock[WeekIndex],21),"")</f>
        <v/>
      </c>
      <c r="Z933">
        <f>IFERROR(SUMIFS(T_TTAFStock[TTAF_Qty],T_TTAFStock[RM_Code],$A891,T_TTAFStock[WeekIndex],22),"")</f>
        <v/>
      </c>
      <c r="AA933">
        <f>IFERROR(SUMIFS(T_TTAFStock[TTAF_Qty],T_TTAFStock[RM_Code],$A891,T_TTAFStock[WeekIndex],23),"")</f>
        <v/>
      </c>
      <c r="AB933">
        <f>IFERROR(SUMIFS(T_TTAFStock[TTAF_Qty],T_TTAFStock[RM_Code],$A891,T_TTAFStock[WeekIndex],24),"")</f>
        <v/>
      </c>
      <c r="AC933">
        <f>IFERROR(SUMIFS(T_TTAFStock[TTAF_Qty],T_TTAFStock[RM_Code],$A891,T_TTAFStock[WeekIndex],25),"")</f>
        <v/>
      </c>
      <c r="AD933">
        <f>IFERROR(SUMIFS(T_TTAFStock[TTAF_Qty],T_TTAFStock[RM_Code],$A891,T_TTAFStock[WeekIndex],26),"")</f>
        <v/>
      </c>
      <c r="AE933">
        <f>IFERROR(SUMIFS(T_TTAFStock[TTAF_Qty],T_TTAFStock[RM_Code],$A891,T_TTAFStock[WeekIndex],27),"")</f>
        <v/>
      </c>
      <c r="AF933">
        <f>IFERROR(SUMIFS(T_TTAFStock[TTAF_Qty],T_TTAFStock[RM_Code],$A891,T_TTAFStock[WeekIndex],28),"")</f>
        <v/>
      </c>
      <c r="AG933">
        <f>IFERROR(SUMIFS(T_TTAFStock[TTAF_Qty],T_TTAFStock[RM_Code],$A891,T_TTAFStock[WeekIndex],29),"")</f>
        <v/>
      </c>
      <c r="AH933">
        <f>IFERROR(SUMIFS(T_TTAFStock[TTAF_Qty],T_TTAFStock[RM_Code],$A891,T_TTAFStock[WeekIndex],30),"")</f>
        <v/>
      </c>
      <c r="AI933">
        <f>IFERROR(SUMIFS(T_TTAFStock[TTAF_Qty],T_TTAFStock[RM_Code],$A891,T_TTAFStock[WeekIndex],31),"")</f>
        <v/>
      </c>
      <c r="AJ933">
        <f>IFERROR(SUMIFS(T_TTAFStock[TTAF_Qty],T_TTAFStock[RM_Code],$A891,T_TTAFStock[WeekIndex],32),"")</f>
        <v/>
      </c>
      <c r="AK933">
        <f>IFERROR(SUMIFS(T_TTAFStock[TTAF_Qty],T_TTAFStock[RM_Code],$A891,T_TTAFStock[WeekIndex],33),"")</f>
        <v/>
      </c>
      <c r="AL933">
        <f>IFERROR(SUMIFS(T_TTAFStock[TTAF_Qty],T_TTAFStock[RM_Code],$A891,T_TTAFStock[WeekIndex],34),"")</f>
        <v/>
      </c>
      <c r="AM933">
        <f>IFERROR(SUMIFS(T_TTAFStock[TTAF_Qty],T_TTAFStock[RM_Code],$A891,T_TTAFStock[WeekIndex],35),"")</f>
        <v/>
      </c>
      <c r="AN933">
        <f>IFERROR(SUMIFS(T_TTAFStock[TTAF_Qty],T_TTAFStock[RM_Code],$A891,T_TTAFStock[WeekIndex],36),"")</f>
        <v/>
      </c>
      <c r="AO933">
        <f>IFERROR(SUMIFS(T_TTAFStock[TTAF_Qty],T_TTAFStock[RM_Code],$A891,T_TTAFStock[WeekIndex],37),"")</f>
        <v/>
      </c>
      <c r="AP933">
        <f>IFERROR(SUMIFS(T_TTAFStock[TTAF_Qty],T_TTAFStock[RM_Code],$A891,T_TTAFStock[WeekIndex],38),"")</f>
        <v/>
      </c>
      <c r="AQ933">
        <f>IFERROR(SUMIFS(T_TTAFStock[TTAF_Qty],T_TTAFStock[RM_Code],$A891,T_TTAFStock[WeekIndex],39),"")</f>
        <v/>
      </c>
      <c r="AR933">
        <f>IFERROR(SUMIFS(T_TTAFStock[TTAF_Qty],T_TTAFStock[RM_Code],$A891,T_TTAFStock[WeekIndex],40),"")</f>
        <v/>
      </c>
      <c r="AS933">
        <f>IFERROR(SUMIFS(T_TTAFStock[TTAF_Qty],T_TTAFStock[RM_Code],$A891,T_TTAFStock[WeekIndex],41),"")</f>
        <v/>
      </c>
      <c r="AT933">
        <f>IFERROR(SUMIFS(T_TTAFStock[TTAF_Qty],T_TTAFStock[RM_Code],$A891,T_TTAFStock[WeekIndex],42),"")</f>
        <v/>
      </c>
      <c r="AU933">
        <f>IFERROR(SUMIFS(T_TTAFStock[TTAF_Qty],T_TTAFStock[RM_Code],$A891,T_TTAFStock[WeekIndex],43),"")</f>
        <v/>
      </c>
      <c r="AV933">
        <f>IFERROR(SUMIFS(T_TTAFStock[TTAF_Qty],T_TTAFStock[RM_Code],$A891,T_TTAFStock[WeekIndex],44),"")</f>
        <v/>
      </c>
      <c r="AW933">
        <f>IFERROR(SUMIFS(T_TTAFStock[TTAF_Qty],T_TTAFStock[RM_Code],$A891,T_TTAFStock[WeekIndex],45),"")</f>
        <v/>
      </c>
      <c r="AX933">
        <f>IFERROR(SUMIFS(T_TTAFStock[TTAF_Qty],T_TTAFStock[RM_Code],$A891,T_TTAFStock[WeekIndex],46),"")</f>
        <v/>
      </c>
      <c r="AY933">
        <f>IFERROR(SUMIFS(T_TTAFStock[TTAF_Qty],T_TTAFStock[RM_Code],$A891,T_TTAFStock[WeekIndex],47),"")</f>
        <v/>
      </c>
      <c r="AZ933">
        <f>IFERROR(SUMIFS(T_TTAFStock[TTAF_Qty],T_TTAFStock[RM_Code],$A891,T_TTAFStock[WeekIndex],48),"")</f>
        <v/>
      </c>
      <c r="BA933">
        <f>IFERROR(SUMIFS(T_TTAFStock[TTAF_Qty],T_TTAFStock[RM_Code],$A891,T_TTAFStock[WeekIndex],49),"")</f>
        <v/>
      </c>
      <c r="BB933">
        <f>IFERROR(SUMIFS(T_TTAFStock[TTAF_Qty],T_TTAFStock[RM_Code],$A891,T_TTAFStock[WeekIndex],50),"")</f>
        <v/>
      </c>
      <c r="BC933">
        <f>IFERROR(SUMIFS(T_TTAFStock[TTAF_Qty],T_TTAFStock[RM_Code],$A891,T_TTAFStock[WeekIndex],51),"")</f>
        <v/>
      </c>
      <c r="BD933">
        <f>IFERROR(SUMIFS(T_TTAFStock[TTAF_Qty],T_TTAFStock[RM_Code],$A891,T_TTAFStock[WeekIndex],52),"")</f>
        <v/>
      </c>
      <c r="BE933">
        <f>IFERROR(SUMIFS(T_TTAFStock[TTAF_Qty],T_TTAFStock[RM_Code],$A891,T_TTAFStock[WeekIndex],53),"")</f>
        <v/>
      </c>
      <c r="BF933">
        <f>IFERROR(SUMIFS(T_TTAFStock[TTAF_Qty],T_TTAFStock[RM_Code],$A891,T_TTAFStock[WeekIndex],54),"")</f>
        <v/>
      </c>
      <c r="BG933">
        <f>IFERROR(SUMIFS(T_TTAFStock[TTAF_Qty],T_TTAFStock[RM_Code],$A891,T_TTAFStock[WeekIndex],55),"")</f>
        <v/>
      </c>
      <c r="BH933">
        <f>IFERROR(SUMIFS(T_TTAFStock[TTAF_Qty],T_TTAFStock[RM_Code],$A891,T_TTAFStock[WeekIndex],56),"")</f>
        <v/>
      </c>
      <c r="BI933">
        <f>IFERROR(SUMIFS(T_TTAFStock[TTAF_Qty],T_TTAFStock[RM_Code],$A891,T_TTAFStock[WeekIndex],57),"")</f>
        <v/>
      </c>
      <c r="BJ933">
        <f>IFERROR(SUMIFS(T_TTAFStock[TTAF_Qty],T_TTAFStock[RM_Code],$A891,T_TTAFStock[WeekIndex],58),"")</f>
        <v/>
      </c>
      <c r="BK933">
        <f>IFERROR(SUMIFS(T_TTAFStock[TTAF_Qty],T_TTAFStock[RM_Code],$A891,T_TTAFStock[WeekIndex],59),"")</f>
        <v/>
      </c>
      <c r="BL933">
        <f>IFERROR(SUMIFS(T_TTAFStock[TTAF_Qty],T_TTAFStock[RM_Code],$A891,T_TTAFStock[WeekIndex],60),"")</f>
        <v/>
      </c>
      <c r="BM933">
        <f>IFERROR(SUMIFS(T_TTAFStock[TTAF_Qty],T_TTAFStock[RM_Code],$A891,T_TTAFStock[WeekIndex],61),"")</f>
        <v/>
      </c>
      <c r="BN933">
        <f>IFERROR(SUMIFS(T_TTAFStock[TTAF_Qty],T_TTAFStock[RM_Code],$A891,T_TTAFStock[WeekIndex],62),"")</f>
        <v/>
      </c>
      <c r="BO933">
        <f>IFERROR(SUMIFS(T_TTAFStock[TTAF_Qty],T_TTAFStock[RM_Code],$A891,T_TTAFStock[WeekIndex],63),"")</f>
        <v/>
      </c>
      <c r="BP933">
        <f>IFERROR(SUMIFS(T_TTAFStock[TTAF_Qty],T_TTAFStock[RM_Code],$A891,T_TTAFStock[WeekIndex],64),"")</f>
        <v/>
      </c>
      <c r="BQ933">
        <f>IFERROR(SUMIFS(T_TTAFStock[TTAF_Qty],T_TTAFStock[RM_Code],$A891,T_TTAFStock[WeekIndex],65),"")</f>
        <v/>
      </c>
      <c r="BR933">
        <f>IFERROR(SUMIFS(T_TTAFStock[TTAF_Qty],T_TTAFStock[RM_Code],$A891,T_TTAFStock[WeekIndex],66),"")</f>
        <v/>
      </c>
      <c r="BS933">
        <f>IFERROR(SUMIFS(T_TTAFStock[TTAF_Qty],T_TTAFStock[RM_Code],$A891,T_TTAFStock[WeekIndex],67),"")</f>
        <v/>
      </c>
      <c r="BT933">
        <f>IFERROR(SUMIFS(T_TTAFStock[TTAF_Qty],T_TTAFStock[RM_Code],$A891,T_TTAFStock[WeekIndex],68),"")</f>
        <v/>
      </c>
      <c r="BU933">
        <f>IFERROR(SUMIFS(T_TTAFStock[TTAF_Qty],T_TTAFStock[RM_Code],$A891,T_TTAFStock[WeekIndex],69),"")</f>
        <v/>
      </c>
      <c r="BV933">
        <f>IFERROR(SUMIFS(T_TTAFStock[TTAF_Qty],T_TTAFStock[RM_Code],$A891,T_TTAFStock[WeekIndex],70),"")</f>
        <v/>
      </c>
      <c r="BW933">
        <f>IFERROR(SUMIFS(T_TTAFStock[TTAF_Qty],T_TTAFStock[RM_Code],$A891,T_TTAFStock[WeekIndex],71),"")</f>
        <v/>
      </c>
      <c r="BX933">
        <f>IFERROR(SUMIFS(T_TTAFStock[TTAF_Qty],T_TTAFStock[RM_Code],$A891,T_TTAFStock[WeekIndex],72),"")</f>
        <v/>
      </c>
      <c r="BY933">
        <f>IFERROR(SUMIFS(T_TTAFStock[TTAF_Qty],T_TTAFStock[RM_Code],$A891,T_TTAFStock[WeekIndex],73),"")</f>
        <v/>
      </c>
      <c r="BZ933">
        <f>IFERROR(SUMIFS(T_TTAFStock[TTAF_Qty],T_TTAFStock[RM_Code],$A891,T_TTAFStock[WeekIndex],74),"")</f>
        <v/>
      </c>
      <c r="CA933">
        <f>IFERROR(SUMIFS(T_TTAFStock[TTAF_Qty],T_TTAFStock[RM_Code],$A891,T_TTAFStock[WeekIndex],75),"")</f>
        <v/>
      </c>
      <c r="CB933">
        <f>IFERROR(SUMIFS(T_TTAFStock[TTAF_Qty],T_TTAFStock[RM_Code],$A891,T_TTAFStock[WeekIndex],76),"")</f>
        <v/>
      </c>
      <c r="CC933">
        <f>IFERROR(SUMIFS(T_TTAFStock[TTAF_Qty],T_TTAFStock[RM_Code],$A891,T_TTAFStock[WeekIndex],77),"")</f>
        <v/>
      </c>
      <c r="CD933">
        <f>IFERROR(SUMIFS(T_TTAFStock[TTAF_Qty],T_TTAFStock[RM_Code],$A891,T_TTAFStock[WeekIndex],78),"")</f>
        <v/>
      </c>
      <c r="CE933">
        <f>IFERROR(SUMIFS(T_TTAFStock[TTAF_Qty],T_TTAFStock[RM_Code],$A891,T_TTAFStock[WeekIndex],79),"")</f>
        <v/>
      </c>
      <c r="CF933">
        <f>IFERROR(SUMIFS(T_TTAFStock[TTAF_Qty],T_TTAFStock[RM_Code],$A891,T_TTAFStock[WeekIndex],80),"")</f>
        <v/>
      </c>
      <c r="CG933">
        <f>IFERROR(SUMIFS(T_TTAFStock[TTAF_Qty],T_TTAFStock[RM_Code],$A891,T_TTAFStock[WeekIndex],81),"")</f>
        <v/>
      </c>
      <c r="CH933">
        <f>IFERROR(SUMIFS(T_TTAFStock[TTAF_Qty],T_TTAFStock[RM_Code],$A891,T_TTAFStock[WeekIndex],82),"")</f>
        <v/>
      </c>
      <c r="CI933">
        <f>IFERROR(SUMIFS(T_TTAFStock[TTAF_Qty],T_TTAFStock[RM_Code],$A891,T_TTAFStock[WeekIndex],83),"")</f>
        <v/>
      </c>
      <c r="CJ933">
        <f>IFERROR(SUMIFS(T_TTAFStock[TTAF_Qty],T_TTAFStock[RM_Code],$A891,T_TTAFStock[WeekIndex],84),"")</f>
        <v/>
      </c>
      <c r="CK933">
        <f>IFERROR(SUMIFS(T_TTAFStock[TTAF_Qty],T_TTAFStock[RM_Code],$A891,T_TTAFStock[WeekIndex],85),"")</f>
        <v/>
      </c>
      <c r="CL933">
        <f>IFERROR(SUMIFS(T_TTAFStock[TTAF_Qty],T_TTAFStock[RM_Code],$A891,T_TTAFStock[WeekIndex],86),"")</f>
        <v/>
      </c>
      <c r="CM933">
        <f>IFERROR(SUMIFS(T_TTAFStock[TTAF_Qty],T_TTAFStock[RM_Code],$A891,T_TTAFStock[WeekIndex],87),"")</f>
        <v/>
      </c>
      <c r="CN933">
        <f>IFERROR(SUMIFS(T_TTAFStock[TTAF_Qty],T_TTAFStock[RM_Code],$A891,T_TTAFStock[WeekIndex],88),"")</f>
        <v/>
      </c>
      <c r="CO933">
        <f>IFERROR(SUMIFS(T_TTAFStock[TTAF_Qty],T_TTAFStock[RM_Code],$A891,T_TTAFStock[WeekIndex],89),"")</f>
        <v/>
      </c>
      <c r="CP933">
        <f>IFERROR(SUMIFS(T_TTAFStock[TTAF_Qty],T_TTAFStock[RM_Code],$A891,T_TTAFStock[WeekIndex],90),"")</f>
        <v/>
      </c>
      <c r="CQ933">
        <f>IFERROR(SUMIFS(T_TTAFStock[TTAF_Qty],T_TTAFStock[RM_Code],$A891,T_TTAFStock[WeekIndex],91),"")</f>
        <v/>
      </c>
      <c r="CR933">
        <f>IFERROR(SUMIFS(T_TTAFStock[TTAF_Qty],T_TTAFStock[RM_Code],$A891,T_TTAFStock[WeekIndex],92),"")</f>
        <v/>
      </c>
      <c r="CS933">
        <f>IFERROR(SUMIFS(T_TTAFStock[TTAF_Qty],T_TTAFStock[RM_Code],$A891,T_TTAFStock[WeekIndex],93),"")</f>
        <v/>
      </c>
      <c r="CT933">
        <f>IFERROR(SUMIFS(T_TTAFStock[TTAF_Qty],T_TTAFStock[RM_Code],$A891,T_TTAFStock[WeekIndex],94),"")</f>
        <v/>
      </c>
      <c r="CU933">
        <f>IFERROR(SUMIFS(T_TTAFStock[TTAF_Qty],T_TTAFStock[RM_Code],$A891,T_TTAFStock[WeekIndex],95),"")</f>
        <v/>
      </c>
      <c r="CV933">
        <f>IFERROR(SUMIFS(T_TTAFStock[TTAF_Qty],T_TTAFStock[RM_Code],$A891,T_TTAFStock[WeekIndex],96),"")</f>
        <v/>
      </c>
      <c r="CW933">
        <f>IFERROR(SUMIFS(T_TTAFStock[TTAF_Qty],T_TTAFStock[RM_Code],$A891,T_TTAFStock[WeekIndex],97),"")</f>
        <v/>
      </c>
      <c r="CX933">
        <f>IFERROR(SUMIFS(T_TTAFStock[TTAF_Qty],T_TTAFStock[RM_Code],$A891,T_TTAFStock[WeekIndex],98),"")</f>
        <v/>
      </c>
      <c r="CY933">
        <f>IFERROR(SUMIFS(T_TTAFStock[TTAF_Qty],T_TTAFStock[RM_Code],$A891,T_TTAFStock[WeekIndex],99),"")</f>
        <v/>
      </c>
      <c r="CZ933">
        <f>IFERROR(SUMIFS(T_TTAFStock[TTAF_Qty],T_TTAFStock[RM_Code],$A891,T_TTAFStock[WeekIndex],100),"")</f>
        <v/>
      </c>
      <c r="DA933">
        <f>IFERROR(SUMIFS(T_TTAFStock[TTAF_Qty],T_TTAFStock[RM_Code],$A891,T_TTAFStock[WeekIndex],101),"")</f>
        <v/>
      </c>
      <c r="DB933">
        <f>IFERROR(SUMIFS(T_TTAFStock[TTAF_Qty],T_TTAFStock[RM_Code],$A891,T_TTAFStock[WeekIndex],102),"")</f>
        <v/>
      </c>
      <c r="DC933">
        <f>IFERROR(SUMIFS(T_TTAFStock[TTAF_Qty],T_TTAFStock[RM_Code],$A891,T_TTAFStock[WeekIndex],103),"")</f>
        <v/>
      </c>
      <c r="DD933">
        <f>IFERROR(SUMIFS(T_TTAFStock[TTAF_Qty],T_TTAFStock[RM_Code],$A891,T_TTAFStock[WeekIndex],104),"")</f>
        <v/>
      </c>
    </row>
    <row r="934">
      <c r="B934" t="inlineStr">
        <is>
          <t>自社在庫(実績,kg)</t>
        </is>
      </c>
      <c r="D934">
        <f>IFERROR(INDEX(E934:DD934,$F$1),"")</f>
        <v/>
      </c>
      <c r="E934">
        <f>IFERROR(SUMIFS(T_SelfStock[Self_Qty],T_SelfStock[RM_Code],$A891,T_SelfStock[WeekIndex],1),"")</f>
        <v/>
      </c>
      <c r="F934">
        <f>IFERROR(SUMIFS(T_SelfStock[Self_Qty],T_SelfStock[RM_Code],$A891,T_SelfStock[WeekIndex],2),"")</f>
        <v/>
      </c>
      <c r="G934">
        <f>IFERROR(SUMIFS(T_SelfStock[Self_Qty],T_SelfStock[RM_Code],$A891,T_SelfStock[WeekIndex],3),"")</f>
        <v/>
      </c>
      <c r="H934">
        <f>IFERROR(SUMIFS(T_SelfStock[Self_Qty],T_SelfStock[RM_Code],$A891,T_SelfStock[WeekIndex],4),"")</f>
        <v/>
      </c>
      <c r="I934">
        <f>IFERROR(SUMIFS(T_SelfStock[Self_Qty],T_SelfStock[RM_Code],$A891,T_SelfStock[WeekIndex],5),"")</f>
        <v/>
      </c>
      <c r="J934">
        <f>IFERROR(SUMIFS(T_SelfStock[Self_Qty],T_SelfStock[RM_Code],$A891,T_SelfStock[WeekIndex],6),"")</f>
        <v/>
      </c>
      <c r="K934">
        <f>IFERROR(SUMIFS(T_SelfStock[Self_Qty],T_SelfStock[RM_Code],$A891,T_SelfStock[WeekIndex],7),"")</f>
        <v/>
      </c>
      <c r="L934">
        <f>IFERROR(SUMIFS(T_SelfStock[Self_Qty],T_SelfStock[RM_Code],$A891,T_SelfStock[WeekIndex],8),"")</f>
        <v/>
      </c>
      <c r="M934">
        <f>IFERROR(SUMIFS(T_SelfStock[Self_Qty],T_SelfStock[RM_Code],$A891,T_SelfStock[WeekIndex],9),"")</f>
        <v/>
      </c>
      <c r="N934">
        <f>IFERROR(SUMIFS(T_SelfStock[Self_Qty],T_SelfStock[RM_Code],$A891,T_SelfStock[WeekIndex],10),"")</f>
        <v/>
      </c>
      <c r="O934">
        <f>IFERROR(SUMIFS(T_SelfStock[Self_Qty],T_SelfStock[RM_Code],$A891,T_SelfStock[WeekIndex],11),"")</f>
        <v/>
      </c>
      <c r="P934">
        <f>IFERROR(SUMIFS(T_SelfStock[Self_Qty],T_SelfStock[RM_Code],$A891,T_SelfStock[WeekIndex],12),"")</f>
        <v/>
      </c>
      <c r="Q934">
        <f>IFERROR(SUMIFS(T_SelfStock[Self_Qty],T_SelfStock[RM_Code],$A891,T_SelfStock[WeekIndex],13),"")</f>
        <v/>
      </c>
      <c r="R934">
        <f>IFERROR(SUMIFS(T_SelfStock[Self_Qty],T_SelfStock[RM_Code],$A891,T_SelfStock[WeekIndex],14),"")</f>
        <v/>
      </c>
      <c r="S934">
        <f>IFERROR(SUMIFS(T_SelfStock[Self_Qty],T_SelfStock[RM_Code],$A891,T_SelfStock[WeekIndex],15),"")</f>
        <v/>
      </c>
      <c r="T934">
        <f>IFERROR(SUMIFS(T_SelfStock[Self_Qty],T_SelfStock[RM_Code],$A891,T_SelfStock[WeekIndex],16),"")</f>
        <v/>
      </c>
      <c r="U934">
        <f>IFERROR(SUMIFS(T_SelfStock[Self_Qty],T_SelfStock[RM_Code],$A891,T_SelfStock[WeekIndex],17),"")</f>
        <v/>
      </c>
      <c r="V934">
        <f>IFERROR(SUMIFS(T_SelfStock[Self_Qty],T_SelfStock[RM_Code],$A891,T_SelfStock[WeekIndex],18),"")</f>
        <v/>
      </c>
      <c r="W934">
        <f>IFERROR(SUMIFS(T_SelfStock[Self_Qty],T_SelfStock[RM_Code],$A891,T_SelfStock[WeekIndex],19),"")</f>
        <v/>
      </c>
      <c r="X934">
        <f>IFERROR(SUMIFS(T_SelfStock[Self_Qty],T_SelfStock[RM_Code],$A891,T_SelfStock[WeekIndex],20),"")</f>
        <v/>
      </c>
      <c r="Y934">
        <f>IFERROR(SUMIFS(T_SelfStock[Self_Qty],T_SelfStock[RM_Code],$A891,T_SelfStock[WeekIndex],21),"")</f>
        <v/>
      </c>
      <c r="Z934">
        <f>IFERROR(SUMIFS(T_SelfStock[Self_Qty],T_SelfStock[RM_Code],$A891,T_SelfStock[WeekIndex],22),"")</f>
        <v/>
      </c>
      <c r="AA934">
        <f>IFERROR(SUMIFS(T_SelfStock[Self_Qty],T_SelfStock[RM_Code],$A891,T_SelfStock[WeekIndex],23),"")</f>
        <v/>
      </c>
      <c r="AB934">
        <f>IFERROR(SUMIFS(T_SelfStock[Self_Qty],T_SelfStock[RM_Code],$A891,T_SelfStock[WeekIndex],24),"")</f>
        <v/>
      </c>
      <c r="AC934">
        <f>IFERROR(SUMIFS(T_SelfStock[Self_Qty],T_SelfStock[RM_Code],$A891,T_SelfStock[WeekIndex],25),"")</f>
        <v/>
      </c>
      <c r="AD934">
        <f>IFERROR(SUMIFS(T_SelfStock[Self_Qty],T_SelfStock[RM_Code],$A891,T_SelfStock[WeekIndex],26),"")</f>
        <v/>
      </c>
      <c r="AE934">
        <f>IFERROR(SUMIFS(T_SelfStock[Self_Qty],T_SelfStock[RM_Code],$A891,T_SelfStock[WeekIndex],27),"")</f>
        <v/>
      </c>
      <c r="AF934">
        <f>IFERROR(SUMIFS(T_SelfStock[Self_Qty],T_SelfStock[RM_Code],$A891,T_SelfStock[WeekIndex],28),"")</f>
        <v/>
      </c>
      <c r="AG934">
        <f>IFERROR(SUMIFS(T_SelfStock[Self_Qty],T_SelfStock[RM_Code],$A891,T_SelfStock[WeekIndex],29),"")</f>
        <v/>
      </c>
      <c r="AH934">
        <f>IFERROR(SUMIFS(T_SelfStock[Self_Qty],T_SelfStock[RM_Code],$A891,T_SelfStock[WeekIndex],30),"")</f>
        <v/>
      </c>
      <c r="AI934">
        <f>IFERROR(SUMIFS(T_SelfStock[Self_Qty],T_SelfStock[RM_Code],$A891,T_SelfStock[WeekIndex],31),"")</f>
        <v/>
      </c>
      <c r="AJ934">
        <f>IFERROR(SUMIFS(T_SelfStock[Self_Qty],T_SelfStock[RM_Code],$A891,T_SelfStock[WeekIndex],32),"")</f>
        <v/>
      </c>
      <c r="AK934">
        <f>IFERROR(SUMIFS(T_SelfStock[Self_Qty],T_SelfStock[RM_Code],$A891,T_SelfStock[WeekIndex],33),"")</f>
        <v/>
      </c>
      <c r="AL934">
        <f>IFERROR(SUMIFS(T_SelfStock[Self_Qty],T_SelfStock[RM_Code],$A891,T_SelfStock[WeekIndex],34),"")</f>
        <v/>
      </c>
      <c r="AM934">
        <f>IFERROR(SUMIFS(T_SelfStock[Self_Qty],T_SelfStock[RM_Code],$A891,T_SelfStock[WeekIndex],35),"")</f>
        <v/>
      </c>
      <c r="AN934">
        <f>IFERROR(SUMIFS(T_SelfStock[Self_Qty],T_SelfStock[RM_Code],$A891,T_SelfStock[WeekIndex],36),"")</f>
        <v/>
      </c>
      <c r="AO934">
        <f>IFERROR(SUMIFS(T_SelfStock[Self_Qty],T_SelfStock[RM_Code],$A891,T_SelfStock[WeekIndex],37),"")</f>
        <v/>
      </c>
      <c r="AP934">
        <f>IFERROR(SUMIFS(T_SelfStock[Self_Qty],T_SelfStock[RM_Code],$A891,T_SelfStock[WeekIndex],38),"")</f>
        <v/>
      </c>
      <c r="AQ934">
        <f>IFERROR(SUMIFS(T_SelfStock[Self_Qty],T_SelfStock[RM_Code],$A891,T_SelfStock[WeekIndex],39),"")</f>
        <v/>
      </c>
      <c r="AR934">
        <f>IFERROR(SUMIFS(T_SelfStock[Self_Qty],T_SelfStock[RM_Code],$A891,T_SelfStock[WeekIndex],40),"")</f>
        <v/>
      </c>
      <c r="AS934">
        <f>IFERROR(SUMIFS(T_SelfStock[Self_Qty],T_SelfStock[RM_Code],$A891,T_SelfStock[WeekIndex],41),"")</f>
        <v/>
      </c>
      <c r="AT934">
        <f>IFERROR(SUMIFS(T_SelfStock[Self_Qty],T_SelfStock[RM_Code],$A891,T_SelfStock[WeekIndex],42),"")</f>
        <v/>
      </c>
      <c r="AU934">
        <f>IFERROR(SUMIFS(T_SelfStock[Self_Qty],T_SelfStock[RM_Code],$A891,T_SelfStock[WeekIndex],43),"")</f>
        <v/>
      </c>
      <c r="AV934">
        <f>IFERROR(SUMIFS(T_SelfStock[Self_Qty],T_SelfStock[RM_Code],$A891,T_SelfStock[WeekIndex],44),"")</f>
        <v/>
      </c>
      <c r="AW934">
        <f>IFERROR(SUMIFS(T_SelfStock[Self_Qty],T_SelfStock[RM_Code],$A891,T_SelfStock[WeekIndex],45),"")</f>
        <v/>
      </c>
      <c r="AX934">
        <f>IFERROR(SUMIFS(T_SelfStock[Self_Qty],T_SelfStock[RM_Code],$A891,T_SelfStock[WeekIndex],46),"")</f>
        <v/>
      </c>
      <c r="AY934">
        <f>IFERROR(SUMIFS(T_SelfStock[Self_Qty],T_SelfStock[RM_Code],$A891,T_SelfStock[WeekIndex],47),"")</f>
        <v/>
      </c>
      <c r="AZ934">
        <f>IFERROR(SUMIFS(T_SelfStock[Self_Qty],T_SelfStock[RM_Code],$A891,T_SelfStock[WeekIndex],48),"")</f>
        <v/>
      </c>
      <c r="BA934">
        <f>IFERROR(SUMIFS(T_SelfStock[Self_Qty],T_SelfStock[RM_Code],$A891,T_SelfStock[WeekIndex],49),"")</f>
        <v/>
      </c>
      <c r="BB934">
        <f>IFERROR(SUMIFS(T_SelfStock[Self_Qty],T_SelfStock[RM_Code],$A891,T_SelfStock[WeekIndex],50),"")</f>
        <v/>
      </c>
      <c r="BC934">
        <f>IFERROR(SUMIFS(T_SelfStock[Self_Qty],T_SelfStock[RM_Code],$A891,T_SelfStock[WeekIndex],51),"")</f>
        <v/>
      </c>
      <c r="BD934">
        <f>IFERROR(SUMIFS(T_SelfStock[Self_Qty],T_SelfStock[RM_Code],$A891,T_SelfStock[WeekIndex],52),"")</f>
        <v/>
      </c>
      <c r="BE934">
        <f>IFERROR(SUMIFS(T_SelfStock[Self_Qty],T_SelfStock[RM_Code],$A891,T_SelfStock[WeekIndex],53),"")</f>
        <v/>
      </c>
      <c r="BF934">
        <f>IFERROR(SUMIFS(T_SelfStock[Self_Qty],T_SelfStock[RM_Code],$A891,T_SelfStock[WeekIndex],54),"")</f>
        <v/>
      </c>
      <c r="BG934">
        <f>IFERROR(SUMIFS(T_SelfStock[Self_Qty],T_SelfStock[RM_Code],$A891,T_SelfStock[WeekIndex],55),"")</f>
        <v/>
      </c>
      <c r="BH934">
        <f>IFERROR(SUMIFS(T_SelfStock[Self_Qty],T_SelfStock[RM_Code],$A891,T_SelfStock[WeekIndex],56),"")</f>
        <v/>
      </c>
      <c r="BI934">
        <f>IFERROR(SUMIFS(T_SelfStock[Self_Qty],T_SelfStock[RM_Code],$A891,T_SelfStock[WeekIndex],57),"")</f>
        <v/>
      </c>
      <c r="BJ934">
        <f>IFERROR(SUMIFS(T_SelfStock[Self_Qty],T_SelfStock[RM_Code],$A891,T_SelfStock[WeekIndex],58),"")</f>
        <v/>
      </c>
      <c r="BK934">
        <f>IFERROR(SUMIFS(T_SelfStock[Self_Qty],T_SelfStock[RM_Code],$A891,T_SelfStock[WeekIndex],59),"")</f>
        <v/>
      </c>
      <c r="BL934">
        <f>IFERROR(SUMIFS(T_SelfStock[Self_Qty],T_SelfStock[RM_Code],$A891,T_SelfStock[WeekIndex],60),"")</f>
        <v/>
      </c>
      <c r="BM934">
        <f>IFERROR(SUMIFS(T_SelfStock[Self_Qty],T_SelfStock[RM_Code],$A891,T_SelfStock[WeekIndex],61),"")</f>
        <v/>
      </c>
      <c r="BN934">
        <f>IFERROR(SUMIFS(T_SelfStock[Self_Qty],T_SelfStock[RM_Code],$A891,T_SelfStock[WeekIndex],62),"")</f>
        <v/>
      </c>
      <c r="BO934">
        <f>IFERROR(SUMIFS(T_SelfStock[Self_Qty],T_SelfStock[RM_Code],$A891,T_SelfStock[WeekIndex],63),"")</f>
        <v/>
      </c>
      <c r="BP934">
        <f>IFERROR(SUMIFS(T_SelfStock[Self_Qty],T_SelfStock[RM_Code],$A891,T_SelfStock[WeekIndex],64),"")</f>
        <v/>
      </c>
      <c r="BQ934">
        <f>IFERROR(SUMIFS(T_SelfStock[Self_Qty],T_SelfStock[RM_Code],$A891,T_SelfStock[WeekIndex],65),"")</f>
        <v/>
      </c>
      <c r="BR934">
        <f>IFERROR(SUMIFS(T_SelfStock[Self_Qty],T_SelfStock[RM_Code],$A891,T_SelfStock[WeekIndex],66),"")</f>
        <v/>
      </c>
      <c r="BS934">
        <f>IFERROR(SUMIFS(T_SelfStock[Self_Qty],T_SelfStock[RM_Code],$A891,T_SelfStock[WeekIndex],67),"")</f>
        <v/>
      </c>
      <c r="BT934">
        <f>IFERROR(SUMIFS(T_SelfStock[Self_Qty],T_SelfStock[RM_Code],$A891,T_SelfStock[WeekIndex],68),"")</f>
        <v/>
      </c>
      <c r="BU934">
        <f>IFERROR(SUMIFS(T_SelfStock[Self_Qty],T_SelfStock[RM_Code],$A891,T_SelfStock[WeekIndex],69),"")</f>
        <v/>
      </c>
      <c r="BV934">
        <f>IFERROR(SUMIFS(T_SelfStock[Self_Qty],T_SelfStock[RM_Code],$A891,T_SelfStock[WeekIndex],70),"")</f>
        <v/>
      </c>
      <c r="BW934">
        <f>IFERROR(SUMIFS(T_SelfStock[Self_Qty],T_SelfStock[RM_Code],$A891,T_SelfStock[WeekIndex],71),"")</f>
        <v/>
      </c>
      <c r="BX934">
        <f>IFERROR(SUMIFS(T_SelfStock[Self_Qty],T_SelfStock[RM_Code],$A891,T_SelfStock[WeekIndex],72),"")</f>
        <v/>
      </c>
      <c r="BY934">
        <f>IFERROR(SUMIFS(T_SelfStock[Self_Qty],T_SelfStock[RM_Code],$A891,T_SelfStock[WeekIndex],73),"")</f>
        <v/>
      </c>
      <c r="BZ934">
        <f>IFERROR(SUMIFS(T_SelfStock[Self_Qty],T_SelfStock[RM_Code],$A891,T_SelfStock[WeekIndex],74),"")</f>
        <v/>
      </c>
      <c r="CA934">
        <f>IFERROR(SUMIFS(T_SelfStock[Self_Qty],T_SelfStock[RM_Code],$A891,T_SelfStock[WeekIndex],75),"")</f>
        <v/>
      </c>
      <c r="CB934">
        <f>IFERROR(SUMIFS(T_SelfStock[Self_Qty],T_SelfStock[RM_Code],$A891,T_SelfStock[WeekIndex],76),"")</f>
        <v/>
      </c>
      <c r="CC934">
        <f>IFERROR(SUMIFS(T_SelfStock[Self_Qty],T_SelfStock[RM_Code],$A891,T_SelfStock[WeekIndex],77),"")</f>
        <v/>
      </c>
      <c r="CD934">
        <f>IFERROR(SUMIFS(T_SelfStock[Self_Qty],T_SelfStock[RM_Code],$A891,T_SelfStock[WeekIndex],78),"")</f>
        <v/>
      </c>
      <c r="CE934">
        <f>IFERROR(SUMIFS(T_SelfStock[Self_Qty],T_SelfStock[RM_Code],$A891,T_SelfStock[WeekIndex],79),"")</f>
        <v/>
      </c>
      <c r="CF934">
        <f>IFERROR(SUMIFS(T_SelfStock[Self_Qty],T_SelfStock[RM_Code],$A891,T_SelfStock[WeekIndex],80),"")</f>
        <v/>
      </c>
      <c r="CG934">
        <f>IFERROR(SUMIFS(T_SelfStock[Self_Qty],T_SelfStock[RM_Code],$A891,T_SelfStock[WeekIndex],81),"")</f>
        <v/>
      </c>
      <c r="CH934">
        <f>IFERROR(SUMIFS(T_SelfStock[Self_Qty],T_SelfStock[RM_Code],$A891,T_SelfStock[WeekIndex],82),"")</f>
        <v/>
      </c>
      <c r="CI934">
        <f>IFERROR(SUMIFS(T_SelfStock[Self_Qty],T_SelfStock[RM_Code],$A891,T_SelfStock[WeekIndex],83),"")</f>
        <v/>
      </c>
      <c r="CJ934">
        <f>IFERROR(SUMIFS(T_SelfStock[Self_Qty],T_SelfStock[RM_Code],$A891,T_SelfStock[WeekIndex],84),"")</f>
        <v/>
      </c>
      <c r="CK934">
        <f>IFERROR(SUMIFS(T_SelfStock[Self_Qty],T_SelfStock[RM_Code],$A891,T_SelfStock[WeekIndex],85),"")</f>
        <v/>
      </c>
      <c r="CL934">
        <f>IFERROR(SUMIFS(T_SelfStock[Self_Qty],T_SelfStock[RM_Code],$A891,T_SelfStock[WeekIndex],86),"")</f>
        <v/>
      </c>
      <c r="CM934">
        <f>IFERROR(SUMIFS(T_SelfStock[Self_Qty],T_SelfStock[RM_Code],$A891,T_SelfStock[WeekIndex],87),"")</f>
        <v/>
      </c>
      <c r="CN934">
        <f>IFERROR(SUMIFS(T_SelfStock[Self_Qty],T_SelfStock[RM_Code],$A891,T_SelfStock[WeekIndex],88),"")</f>
        <v/>
      </c>
      <c r="CO934">
        <f>IFERROR(SUMIFS(T_SelfStock[Self_Qty],T_SelfStock[RM_Code],$A891,T_SelfStock[WeekIndex],89),"")</f>
        <v/>
      </c>
      <c r="CP934">
        <f>IFERROR(SUMIFS(T_SelfStock[Self_Qty],T_SelfStock[RM_Code],$A891,T_SelfStock[WeekIndex],90),"")</f>
        <v/>
      </c>
      <c r="CQ934">
        <f>IFERROR(SUMIFS(T_SelfStock[Self_Qty],T_SelfStock[RM_Code],$A891,T_SelfStock[WeekIndex],91),"")</f>
        <v/>
      </c>
      <c r="CR934">
        <f>IFERROR(SUMIFS(T_SelfStock[Self_Qty],T_SelfStock[RM_Code],$A891,T_SelfStock[WeekIndex],92),"")</f>
        <v/>
      </c>
      <c r="CS934">
        <f>IFERROR(SUMIFS(T_SelfStock[Self_Qty],T_SelfStock[RM_Code],$A891,T_SelfStock[WeekIndex],93),"")</f>
        <v/>
      </c>
      <c r="CT934">
        <f>IFERROR(SUMIFS(T_SelfStock[Self_Qty],T_SelfStock[RM_Code],$A891,T_SelfStock[WeekIndex],94),"")</f>
        <v/>
      </c>
      <c r="CU934">
        <f>IFERROR(SUMIFS(T_SelfStock[Self_Qty],T_SelfStock[RM_Code],$A891,T_SelfStock[WeekIndex],95),"")</f>
        <v/>
      </c>
      <c r="CV934">
        <f>IFERROR(SUMIFS(T_SelfStock[Self_Qty],T_SelfStock[RM_Code],$A891,T_SelfStock[WeekIndex],96),"")</f>
        <v/>
      </c>
      <c r="CW934">
        <f>IFERROR(SUMIFS(T_SelfStock[Self_Qty],T_SelfStock[RM_Code],$A891,T_SelfStock[WeekIndex],97),"")</f>
        <v/>
      </c>
      <c r="CX934">
        <f>IFERROR(SUMIFS(T_SelfStock[Self_Qty],T_SelfStock[RM_Code],$A891,T_SelfStock[WeekIndex],98),"")</f>
        <v/>
      </c>
      <c r="CY934">
        <f>IFERROR(SUMIFS(T_SelfStock[Self_Qty],T_SelfStock[RM_Code],$A891,T_SelfStock[WeekIndex],99),"")</f>
        <v/>
      </c>
      <c r="CZ934">
        <f>IFERROR(SUMIFS(T_SelfStock[Self_Qty],T_SelfStock[RM_Code],$A891,T_SelfStock[WeekIndex],100),"")</f>
        <v/>
      </c>
      <c r="DA934">
        <f>IFERROR(SUMIFS(T_SelfStock[Self_Qty],T_SelfStock[RM_Code],$A891,T_SelfStock[WeekIndex],101),"")</f>
        <v/>
      </c>
      <c r="DB934">
        <f>IFERROR(SUMIFS(T_SelfStock[Self_Qty],T_SelfStock[RM_Code],$A891,T_SelfStock[WeekIndex],102),"")</f>
        <v/>
      </c>
      <c r="DC934">
        <f>IFERROR(SUMIFS(T_SelfStock[Self_Qty],T_SelfStock[RM_Code],$A891,T_SelfStock[WeekIndex],103),"")</f>
        <v/>
      </c>
      <c r="DD934">
        <f>IFERROR(SUMIFS(T_SelfStock[Self_Qty],T_SelfStock[RM_Code],$A891,T_SelfStock[WeekIndex],104),"")</f>
        <v/>
      </c>
    </row>
    <row r="935">
      <c r="B935" s="4" t="inlineStr">
        <is>
          <t>合計在庫(週末時点,kg)</t>
        </is>
      </c>
      <c r="D935" s="24">
        <f>IFERROR(INDEX(E935:DD935,$F$1),"")</f>
        <v/>
      </c>
      <c r="E935">
        <f>'Grid_Stock'!B22</f>
        <v/>
      </c>
      <c r="F935">
        <f>'Grid_Stock'!C22</f>
        <v/>
      </c>
      <c r="G935">
        <f>'Grid_Stock'!D22</f>
        <v/>
      </c>
      <c r="H935">
        <f>'Grid_Stock'!E22</f>
        <v/>
      </c>
      <c r="I935">
        <f>'Grid_Stock'!F22</f>
        <v/>
      </c>
      <c r="J935">
        <f>'Grid_Stock'!G22</f>
        <v/>
      </c>
      <c r="K935">
        <f>'Grid_Stock'!H22</f>
        <v/>
      </c>
      <c r="L935">
        <f>'Grid_Stock'!I22</f>
        <v/>
      </c>
      <c r="M935">
        <f>'Grid_Stock'!J22</f>
        <v/>
      </c>
      <c r="N935">
        <f>'Grid_Stock'!K22</f>
        <v/>
      </c>
      <c r="O935">
        <f>'Grid_Stock'!L22</f>
        <v/>
      </c>
      <c r="P935">
        <f>'Grid_Stock'!M22</f>
        <v/>
      </c>
      <c r="Q935">
        <f>'Grid_Stock'!N22</f>
        <v/>
      </c>
      <c r="R935">
        <f>'Grid_Stock'!O22</f>
        <v/>
      </c>
      <c r="S935">
        <f>'Grid_Stock'!P22</f>
        <v/>
      </c>
      <c r="T935">
        <f>'Grid_Stock'!Q22</f>
        <v/>
      </c>
      <c r="U935">
        <f>'Grid_Stock'!R22</f>
        <v/>
      </c>
      <c r="V935">
        <f>'Grid_Stock'!S22</f>
        <v/>
      </c>
      <c r="W935">
        <f>'Grid_Stock'!T22</f>
        <v/>
      </c>
      <c r="X935">
        <f>'Grid_Stock'!U22</f>
        <v/>
      </c>
      <c r="Y935">
        <f>'Grid_Stock'!V22</f>
        <v/>
      </c>
      <c r="Z935">
        <f>'Grid_Stock'!W22</f>
        <v/>
      </c>
      <c r="AA935">
        <f>'Grid_Stock'!X22</f>
        <v/>
      </c>
      <c r="AB935">
        <f>'Grid_Stock'!Y22</f>
        <v/>
      </c>
      <c r="AC935">
        <f>'Grid_Stock'!Z22</f>
        <v/>
      </c>
      <c r="AD935">
        <f>'Grid_Stock'!AA22</f>
        <v/>
      </c>
      <c r="AE935">
        <f>'Grid_Stock'!AB22</f>
        <v/>
      </c>
      <c r="AF935">
        <f>'Grid_Stock'!AC22</f>
        <v/>
      </c>
      <c r="AG935">
        <f>'Grid_Stock'!AD22</f>
        <v/>
      </c>
      <c r="AH935">
        <f>'Grid_Stock'!AE22</f>
        <v/>
      </c>
      <c r="AI935">
        <f>'Grid_Stock'!AF22</f>
        <v/>
      </c>
      <c r="AJ935">
        <f>'Grid_Stock'!AG22</f>
        <v/>
      </c>
      <c r="AK935">
        <f>'Grid_Stock'!AH22</f>
        <v/>
      </c>
      <c r="AL935">
        <f>'Grid_Stock'!AI22</f>
        <v/>
      </c>
      <c r="AM935">
        <f>'Grid_Stock'!AJ22</f>
        <v/>
      </c>
      <c r="AN935">
        <f>'Grid_Stock'!AK22</f>
        <v/>
      </c>
      <c r="AO935">
        <f>'Grid_Stock'!AL22</f>
        <v/>
      </c>
      <c r="AP935">
        <f>'Grid_Stock'!AM22</f>
        <v/>
      </c>
      <c r="AQ935">
        <f>'Grid_Stock'!AN22</f>
        <v/>
      </c>
      <c r="AR935">
        <f>'Grid_Stock'!AO22</f>
        <v/>
      </c>
      <c r="AS935">
        <f>'Grid_Stock'!AP22</f>
        <v/>
      </c>
      <c r="AT935">
        <f>'Grid_Stock'!AQ22</f>
        <v/>
      </c>
      <c r="AU935">
        <f>'Grid_Stock'!AR22</f>
        <v/>
      </c>
      <c r="AV935">
        <f>'Grid_Stock'!AS22</f>
        <v/>
      </c>
      <c r="AW935">
        <f>'Grid_Stock'!AT22</f>
        <v/>
      </c>
      <c r="AX935">
        <f>'Grid_Stock'!AU22</f>
        <v/>
      </c>
      <c r="AY935">
        <f>'Grid_Stock'!AV22</f>
        <v/>
      </c>
      <c r="AZ935">
        <f>'Grid_Stock'!AW22</f>
        <v/>
      </c>
      <c r="BA935">
        <f>'Grid_Stock'!AX22</f>
        <v/>
      </c>
      <c r="BB935">
        <f>'Grid_Stock'!AY22</f>
        <v/>
      </c>
      <c r="BC935">
        <f>'Grid_Stock'!AZ22</f>
        <v/>
      </c>
      <c r="BD935">
        <f>'Grid_Stock'!BA22</f>
        <v/>
      </c>
      <c r="BE935">
        <f>'Grid_Stock'!BB22</f>
        <v/>
      </c>
      <c r="BF935">
        <f>'Grid_Stock'!BC22</f>
        <v/>
      </c>
      <c r="BG935">
        <f>'Grid_Stock'!BD22</f>
        <v/>
      </c>
      <c r="BH935">
        <f>'Grid_Stock'!BE22</f>
        <v/>
      </c>
      <c r="BI935">
        <f>'Grid_Stock'!BF22</f>
        <v/>
      </c>
      <c r="BJ935">
        <f>'Grid_Stock'!BG22</f>
        <v/>
      </c>
      <c r="BK935">
        <f>'Grid_Stock'!BH22</f>
        <v/>
      </c>
      <c r="BL935">
        <f>'Grid_Stock'!BI22</f>
        <v/>
      </c>
      <c r="BM935">
        <f>'Grid_Stock'!BJ22</f>
        <v/>
      </c>
      <c r="BN935">
        <f>'Grid_Stock'!BK22</f>
        <v/>
      </c>
      <c r="BO935">
        <f>'Grid_Stock'!BL22</f>
        <v/>
      </c>
      <c r="BP935">
        <f>'Grid_Stock'!BM22</f>
        <v/>
      </c>
      <c r="BQ935">
        <f>'Grid_Stock'!BN22</f>
        <v/>
      </c>
      <c r="BR935">
        <f>'Grid_Stock'!BO22</f>
        <v/>
      </c>
      <c r="BS935">
        <f>'Grid_Stock'!BP22</f>
        <v/>
      </c>
      <c r="BT935">
        <f>'Grid_Stock'!BQ22</f>
        <v/>
      </c>
      <c r="BU935">
        <f>'Grid_Stock'!BR22</f>
        <v/>
      </c>
      <c r="BV935">
        <f>'Grid_Stock'!BS22</f>
        <v/>
      </c>
      <c r="BW935">
        <f>'Grid_Stock'!BT22</f>
        <v/>
      </c>
      <c r="BX935">
        <f>'Grid_Stock'!BU22</f>
        <v/>
      </c>
      <c r="BY935">
        <f>'Grid_Stock'!BV22</f>
        <v/>
      </c>
      <c r="BZ935">
        <f>'Grid_Stock'!BW22</f>
        <v/>
      </c>
      <c r="CA935">
        <f>'Grid_Stock'!BX22</f>
        <v/>
      </c>
      <c r="CB935">
        <f>'Grid_Stock'!BY22</f>
        <v/>
      </c>
      <c r="CC935">
        <f>'Grid_Stock'!BZ22</f>
        <v/>
      </c>
      <c r="CD935">
        <f>'Grid_Stock'!CA22</f>
        <v/>
      </c>
      <c r="CE935">
        <f>'Grid_Stock'!CB22</f>
        <v/>
      </c>
      <c r="CF935">
        <f>'Grid_Stock'!CC22</f>
        <v/>
      </c>
      <c r="CG935">
        <f>'Grid_Stock'!CD22</f>
        <v/>
      </c>
      <c r="CH935">
        <f>'Grid_Stock'!CE22</f>
        <v/>
      </c>
      <c r="CI935">
        <f>'Grid_Stock'!CF22</f>
        <v/>
      </c>
      <c r="CJ935">
        <f>'Grid_Stock'!CG22</f>
        <v/>
      </c>
      <c r="CK935">
        <f>'Grid_Stock'!CH22</f>
        <v/>
      </c>
      <c r="CL935">
        <f>'Grid_Stock'!CI22</f>
        <v/>
      </c>
      <c r="CM935">
        <f>'Grid_Stock'!CJ22</f>
        <v/>
      </c>
      <c r="CN935">
        <f>'Grid_Stock'!CK22</f>
        <v/>
      </c>
      <c r="CO935">
        <f>'Grid_Stock'!CL22</f>
        <v/>
      </c>
      <c r="CP935">
        <f>'Grid_Stock'!CM22</f>
        <v/>
      </c>
      <c r="CQ935">
        <f>'Grid_Stock'!CN22</f>
        <v/>
      </c>
      <c r="CR935">
        <f>'Grid_Stock'!CO22</f>
        <v/>
      </c>
      <c r="CS935">
        <f>'Grid_Stock'!CP22</f>
        <v/>
      </c>
      <c r="CT935">
        <f>'Grid_Stock'!CQ22</f>
        <v/>
      </c>
      <c r="CU935">
        <f>'Grid_Stock'!CR22</f>
        <v/>
      </c>
      <c r="CV935">
        <f>'Grid_Stock'!CS22</f>
        <v/>
      </c>
      <c r="CW935">
        <f>'Grid_Stock'!CT22</f>
        <v/>
      </c>
      <c r="CX935">
        <f>'Grid_Stock'!CU22</f>
        <v/>
      </c>
      <c r="CY935">
        <f>'Grid_Stock'!CV22</f>
        <v/>
      </c>
      <c r="CZ935">
        <f>'Grid_Stock'!CW22</f>
        <v/>
      </c>
      <c r="DA935">
        <f>'Grid_Stock'!CX22</f>
        <v/>
      </c>
      <c r="DB935">
        <f>'Grid_Stock'!CY22</f>
        <v/>
      </c>
      <c r="DC935">
        <f>'Grid_Stock'!CZ22</f>
        <v/>
      </c>
      <c r="DD935">
        <f>'Grid_Stock'!DA22</f>
        <v/>
      </c>
    </row>
    <row r="936">
      <c r="B936" s="25" t="inlineStr">
        <is>
          <t>（発注の目安はDashboardの基準在庫[下限/上限]と色分けを参照）</t>
        </is>
      </c>
    </row>
    <row r="938">
      <c r="A938" s="21" t="inlineStr">
        <is>
          <t>CHEM-1510</t>
        </is>
      </c>
      <c r="B938" s="21" t="inlineStr">
        <is>
          <t>BA-070</t>
        </is>
      </c>
      <c r="C938" s="22" t="n"/>
      <c r="D938" s="21" t="n"/>
      <c r="E938" s="21" t="n"/>
      <c r="F938" s="21" t="n"/>
      <c r="G938" s="21" t="n"/>
      <c r="H938" s="2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  <c r="AA938" s="21" t="n"/>
      <c r="AB938" s="21" t="n"/>
      <c r="AC938" s="21" t="n"/>
      <c r="AD938" s="21" t="n"/>
      <c r="AE938" s="21" t="n"/>
      <c r="AF938" s="21" t="n"/>
      <c r="AG938" s="21" t="n"/>
      <c r="AH938" s="21" t="n"/>
      <c r="AI938" s="21" t="n"/>
      <c r="AJ938" s="21" t="n"/>
      <c r="AK938" s="21" t="n"/>
      <c r="AL938" s="21" t="n"/>
      <c r="AM938" s="21" t="n"/>
      <c r="AN938" s="21" t="n"/>
      <c r="AO938" s="21" t="n"/>
      <c r="AP938" s="21" t="n"/>
      <c r="AQ938" s="21" t="n"/>
      <c r="AR938" s="21" t="n"/>
      <c r="AS938" s="21" t="n"/>
      <c r="AT938" s="21" t="n"/>
      <c r="AU938" s="21" t="n"/>
      <c r="AV938" s="21" t="n"/>
      <c r="AW938" s="21" t="n"/>
      <c r="AX938" s="21" t="n"/>
      <c r="AY938" s="21" t="n"/>
      <c r="AZ938" s="21" t="n"/>
      <c r="BA938" s="21" t="n"/>
      <c r="BB938" s="21" t="n"/>
      <c r="BC938" s="21" t="n"/>
      <c r="BD938" s="21" t="n"/>
      <c r="BE938" s="21" t="n"/>
      <c r="BF938" s="21" t="n"/>
      <c r="BG938" s="21" t="n"/>
      <c r="BH938" s="21" t="n"/>
      <c r="BI938" s="21" t="n"/>
      <c r="BJ938" s="21" t="n"/>
      <c r="BK938" s="21" t="n"/>
      <c r="BL938" s="21" t="n"/>
      <c r="BM938" s="21" t="n"/>
      <c r="BN938" s="21" t="n"/>
      <c r="BO938" s="21" t="n"/>
      <c r="BP938" s="21" t="n"/>
      <c r="BQ938" s="21" t="n"/>
      <c r="BR938" s="21" t="n"/>
      <c r="BS938" s="21" t="n"/>
      <c r="BT938" s="21" t="n"/>
      <c r="BU938" s="21" t="n"/>
      <c r="BV938" s="21" t="n"/>
      <c r="BW938" s="21" t="n"/>
      <c r="BX938" s="21" t="n"/>
      <c r="BY938" s="21" t="n"/>
      <c r="BZ938" s="21" t="n"/>
      <c r="CA938" s="21" t="n"/>
      <c r="CB938" s="21" t="n"/>
      <c r="CC938" s="21" t="n"/>
      <c r="CD938" s="21" t="n"/>
      <c r="CE938" s="21" t="n"/>
      <c r="CF938" s="21" t="n"/>
      <c r="CG938" s="21" t="n"/>
      <c r="CH938" s="21" t="n"/>
      <c r="CI938" s="21" t="n"/>
      <c r="CJ938" s="21" t="n"/>
      <c r="CK938" s="21" t="n"/>
      <c r="CL938" s="21" t="n"/>
      <c r="CM938" s="21" t="n"/>
      <c r="CN938" s="21" t="n"/>
      <c r="CO938" s="21" t="n"/>
      <c r="CP938" s="21" t="n"/>
      <c r="CQ938" s="21" t="n"/>
      <c r="CR938" s="21" t="n"/>
      <c r="CS938" s="21" t="n"/>
      <c r="CT938" s="21" t="n"/>
      <c r="CU938" s="21" t="n"/>
      <c r="CV938" s="21" t="n"/>
      <c r="CW938" s="21" t="n"/>
      <c r="CX938" s="21" t="n"/>
      <c r="CY938" s="21" t="n"/>
      <c r="CZ938" s="21" t="n"/>
      <c r="DA938" s="21" t="n"/>
      <c r="DB938" s="21" t="n"/>
      <c r="DC938" s="21" t="n"/>
      <c r="DD938" s="21" t="n"/>
    </row>
    <row r="939">
      <c r="B939" t="inlineStr">
        <is>
          <t>TSP-219</t>
        </is>
      </c>
      <c r="C939" t="inlineStr">
        <is>
          <t>No. of batches</t>
        </is>
      </c>
      <c r="D939">
        <f>IFERROR(INDEX(E939:DD939,$F$1),"")</f>
        <v/>
      </c>
      <c r="E939">
        <f>IFERROR(INDEX(PP_Grid[#Data],$DE939,2),0)</f>
        <v/>
      </c>
      <c r="F939">
        <f>IFERROR(INDEX(PP_Grid[#Data],$DE939,3),0)</f>
        <v/>
      </c>
      <c r="G939">
        <f>IFERROR(INDEX(PP_Grid[#Data],$DE939,4),0)</f>
        <v/>
      </c>
      <c r="H939">
        <f>IFERROR(INDEX(PP_Grid[#Data],$DE939,5),0)</f>
        <v/>
      </c>
      <c r="I939">
        <f>IFERROR(INDEX(PP_Grid[#Data],$DE939,6),0)</f>
        <v/>
      </c>
      <c r="J939">
        <f>IFERROR(INDEX(PP_Grid[#Data],$DE939,7),0)</f>
        <v/>
      </c>
      <c r="K939">
        <f>IFERROR(INDEX(PP_Grid[#Data],$DE939,8),0)</f>
        <v/>
      </c>
      <c r="L939">
        <f>IFERROR(INDEX(PP_Grid[#Data],$DE939,9),0)</f>
        <v/>
      </c>
      <c r="M939">
        <f>IFERROR(INDEX(PP_Grid[#Data],$DE939,10),0)</f>
        <v/>
      </c>
      <c r="N939">
        <f>IFERROR(INDEX(PP_Grid[#Data],$DE939,11),0)</f>
        <v/>
      </c>
      <c r="O939">
        <f>IFERROR(INDEX(PP_Grid[#Data],$DE939,12),0)</f>
        <v/>
      </c>
      <c r="P939">
        <f>IFERROR(INDEX(PP_Grid[#Data],$DE939,13),0)</f>
        <v/>
      </c>
      <c r="Q939">
        <f>IFERROR(INDEX(PP_Grid[#Data],$DE939,14),0)</f>
        <v/>
      </c>
      <c r="R939">
        <f>IFERROR(INDEX(PP_Grid[#Data],$DE939,15),0)</f>
        <v/>
      </c>
      <c r="S939">
        <f>IFERROR(INDEX(PP_Grid[#Data],$DE939,16),0)</f>
        <v/>
      </c>
      <c r="T939">
        <f>IFERROR(INDEX(PP_Grid[#Data],$DE939,17),0)</f>
        <v/>
      </c>
      <c r="U939">
        <f>IFERROR(INDEX(PP_Grid[#Data],$DE939,18),0)</f>
        <v/>
      </c>
      <c r="V939">
        <f>IFERROR(INDEX(PP_Grid[#Data],$DE939,19),0)</f>
        <v/>
      </c>
      <c r="W939">
        <f>IFERROR(INDEX(PP_Grid[#Data],$DE939,20),0)</f>
        <v/>
      </c>
      <c r="X939">
        <f>IFERROR(INDEX(PP_Grid[#Data],$DE939,21),0)</f>
        <v/>
      </c>
      <c r="Y939">
        <f>IFERROR(INDEX(PP_Grid[#Data],$DE939,22),0)</f>
        <v/>
      </c>
      <c r="Z939">
        <f>IFERROR(INDEX(PP_Grid[#Data],$DE939,23),0)</f>
        <v/>
      </c>
      <c r="AA939">
        <f>IFERROR(INDEX(PP_Grid[#Data],$DE939,24),0)</f>
        <v/>
      </c>
      <c r="AB939">
        <f>IFERROR(INDEX(PP_Grid[#Data],$DE939,25),0)</f>
        <v/>
      </c>
      <c r="AC939">
        <f>IFERROR(INDEX(PP_Grid[#Data],$DE939,26),0)</f>
        <v/>
      </c>
      <c r="AD939">
        <f>IFERROR(INDEX(PP_Grid[#Data],$DE939,27),0)</f>
        <v/>
      </c>
      <c r="AE939">
        <f>IFERROR(INDEX(PP_Grid[#Data],$DE939,28),0)</f>
        <v/>
      </c>
      <c r="AF939">
        <f>IFERROR(INDEX(PP_Grid[#Data],$DE939,29),0)</f>
        <v/>
      </c>
      <c r="AG939">
        <f>IFERROR(INDEX(PP_Grid[#Data],$DE939,30),0)</f>
        <v/>
      </c>
      <c r="AH939">
        <f>IFERROR(INDEX(PP_Grid[#Data],$DE939,31),0)</f>
        <v/>
      </c>
      <c r="AI939">
        <f>IFERROR(INDEX(PP_Grid[#Data],$DE939,32),0)</f>
        <v/>
      </c>
      <c r="AJ939">
        <f>IFERROR(INDEX(PP_Grid[#Data],$DE939,33),0)</f>
        <v/>
      </c>
      <c r="AK939">
        <f>IFERROR(INDEX(PP_Grid[#Data],$DE939,34),0)</f>
        <v/>
      </c>
      <c r="AL939">
        <f>IFERROR(INDEX(PP_Grid[#Data],$DE939,35),0)</f>
        <v/>
      </c>
      <c r="AM939">
        <f>IFERROR(INDEX(PP_Grid[#Data],$DE939,36),0)</f>
        <v/>
      </c>
      <c r="AN939">
        <f>IFERROR(INDEX(PP_Grid[#Data],$DE939,37),0)</f>
        <v/>
      </c>
      <c r="AO939">
        <f>IFERROR(INDEX(PP_Grid[#Data],$DE939,38),0)</f>
        <v/>
      </c>
      <c r="AP939">
        <f>IFERROR(INDEX(PP_Grid[#Data],$DE939,39),0)</f>
        <v/>
      </c>
      <c r="AQ939">
        <f>IFERROR(INDEX(PP_Grid[#Data],$DE939,40),0)</f>
        <v/>
      </c>
      <c r="AR939">
        <f>IFERROR(INDEX(PP_Grid[#Data],$DE939,41),0)</f>
        <v/>
      </c>
      <c r="AS939">
        <f>IFERROR(INDEX(PP_Grid[#Data],$DE939,42),0)</f>
        <v/>
      </c>
      <c r="AT939">
        <f>IFERROR(INDEX(PP_Grid[#Data],$DE939,43),0)</f>
        <v/>
      </c>
      <c r="AU939">
        <f>IFERROR(INDEX(PP_Grid[#Data],$DE939,44),0)</f>
        <v/>
      </c>
      <c r="AV939">
        <f>IFERROR(INDEX(PP_Grid[#Data],$DE939,45),0)</f>
        <v/>
      </c>
      <c r="AW939">
        <f>IFERROR(INDEX(PP_Grid[#Data],$DE939,46),0)</f>
        <v/>
      </c>
      <c r="AX939">
        <f>IFERROR(INDEX(PP_Grid[#Data],$DE939,47),0)</f>
        <v/>
      </c>
      <c r="AY939">
        <f>IFERROR(INDEX(PP_Grid[#Data],$DE939,48),0)</f>
        <v/>
      </c>
      <c r="AZ939">
        <f>IFERROR(INDEX(PP_Grid[#Data],$DE939,49),0)</f>
        <v/>
      </c>
      <c r="BA939">
        <f>IFERROR(INDEX(PP_Grid[#Data],$DE939,50),0)</f>
        <v/>
      </c>
      <c r="BB939">
        <f>IFERROR(INDEX(PP_Grid[#Data],$DE939,51),0)</f>
        <v/>
      </c>
      <c r="BC939">
        <f>IFERROR(INDEX(PP_Grid[#Data],$DE939,52),0)</f>
        <v/>
      </c>
      <c r="BD939">
        <f>IFERROR(INDEX(PP_Grid[#Data],$DE939,53),0)</f>
        <v/>
      </c>
      <c r="BE939">
        <f>IFERROR(INDEX(PP_Grid[#Data],$DE939,54),0)</f>
        <v/>
      </c>
      <c r="BF939">
        <f>IFERROR(INDEX(PP_Grid[#Data],$DE939,55),0)</f>
        <v/>
      </c>
      <c r="BG939">
        <f>IFERROR(INDEX(PP_Grid[#Data],$DE939,56),0)</f>
        <v/>
      </c>
      <c r="BH939">
        <f>IFERROR(INDEX(PP_Grid[#Data],$DE939,57),0)</f>
        <v/>
      </c>
      <c r="BI939">
        <f>IFERROR(INDEX(PP_Grid[#Data],$DE939,58),0)</f>
        <v/>
      </c>
      <c r="BJ939">
        <f>IFERROR(INDEX(PP_Grid[#Data],$DE939,59),0)</f>
        <v/>
      </c>
      <c r="BK939">
        <f>IFERROR(INDEX(PP_Grid[#Data],$DE939,60),0)</f>
        <v/>
      </c>
      <c r="BL939">
        <f>IFERROR(INDEX(PP_Grid[#Data],$DE939,61),0)</f>
        <v/>
      </c>
      <c r="BM939">
        <f>IFERROR(INDEX(PP_Grid[#Data],$DE939,62),0)</f>
        <v/>
      </c>
      <c r="BN939">
        <f>IFERROR(INDEX(PP_Grid[#Data],$DE939,63),0)</f>
        <v/>
      </c>
      <c r="BO939">
        <f>IFERROR(INDEX(PP_Grid[#Data],$DE939,64),0)</f>
        <v/>
      </c>
      <c r="BP939">
        <f>IFERROR(INDEX(PP_Grid[#Data],$DE939,65),0)</f>
        <v/>
      </c>
      <c r="BQ939">
        <f>IFERROR(INDEX(PP_Grid[#Data],$DE939,66),0)</f>
        <v/>
      </c>
      <c r="BR939">
        <f>IFERROR(INDEX(PP_Grid[#Data],$DE939,67),0)</f>
        <v/>
      </c>
      <c r="BS939">
        <f>IFERROR(INDEX(PP_Grid[#Data],$DE939,68),0)</f>
        <v/>
      </c>
      <c r="BT939">
        <f>IFERROR(INDEX(PP_Grid[#Data],$DE939,69),0)</f>
        <v/>
      </c>
      <c r="BU939">
        <f>IFERROR(INDEX(PP_Grid[#Data],$DE939,70),0)</f>
        <v/>
      </c>
      <c r="BV939">
        <f>IFERROR(INDEX(PP_Grid[#Data],$DE939,71),0)</f>
        <v/>
      </c>
      <c r="BW939">
        <f>IFERROR(INDEX(PP_Grid[#Data],$DE939,72),0)</f>
        <v/>
      </c>
      <c r="BX939">
        <f>IFERROR(INDEX(PP_Grid[#Data],$DE939,73),0)</f>
        <v/>
      </c>
      <c r="BY939">
        <f>IFERROR(INDEX(PP_Grid[#Data],$DE939,74),0)</f>
        <v/>
      </c>
      <c r="BZ939">
        <f>IFERROR(INDEX(PP_Grid[#Data],$DE939,75),0)</f>
        <v/>
      </c>
      <c r="CA939">
        <f>IFERROR(INDEX(PP_Grid[#Data],$DE939,76),0)</f>
        <v/>
      </c>
      <c r="CB939">
        <f>IFERROR(INDEX(PP_Grid[#Data],$DE939,77),0)</f>
        <v/>
      </c>
      <c r="CC939">
        <f>IFERROR(INDEX(PP_Grid[#Data],$DE939,78),0)</f>
        <v/>
      </c>
      <c r="CD939">
        <f>IFERROR(INDEX(PP_Grid[#Data],$DE939,79),0)</f>
        <v/>
      </c>
      <c r="CE939">
        <f>IFERROR(INDEX(PP_Grid[#Data],$DE939,80),0)</f>
        <v/>
      </c>
      <c r="CF939">
        <f>IFERROR(INDEX(PP_Grid[#Data],$DE939,81),0)</f>
        <v/>
      </c>
      <c r="CG939">
        <f>IFERROR(INDEX(PP_Grid[#Data],$DE939,82),0)</f>
        <v/>
      </c>
      <c r="CH939">
        <f>IFERROR(INDEX(PP_Grid[#Data],$DE939,83),0)</f>
        <v/>
      </c>
      <c r="CI939">
        <f>IFERROR(INDEX(PP_Grid[#Data],$DE939,84),0)</f>
        <v/>
      </c>
      <c r="CJ939">
        <f>IFERROR(INDEX(PP_Grid[#Data],$DE939,85),0)</f>
        <v/>
      </c>
      <c r="CK939">
        <f>IFERROR(INDEX(PP_Grid[#Data],$DE939,86),0)</f>
        <v/>
      </c>
      <c r="CL939">
        <f>IFERROR(INDEX(PP_Grid[#Data],$DE939,87),0)</f>
        <v/>
      </c>
      <c r="CM939">
        <f>IFERROR(INDEX(PP_Grid[#Data],$DE939,88),0)</f>
        <v/>
      </c>
      <c r="CN939">
        <f>IFERROR(INDEX(PP_Grid[#Data],$DE939,89),0)</f>
        <v/>
      </c>
      <c r="CO939">
        <f>IFERROR(INDEX(PP_Grid[#Data],$DE939,90),0)</f>
        <v/>
      </c>
      <c r="CP939">
        <f>IFERROR(INDEX(PP_Grid[#Data],$DE939,91),0)</f>
        <v/>
      </c>
      <c r="CQ939">
        <f>IFERROR(INDEX(PP_Grid[#Data],$DE939,92),0)</f>
        <v/>
      </c>
      <c r="CR939">
        <f>IFERROR(INDEX(PP_Grid[#Data],$DE939,93),0)</f>
        <v/>
      </c>
      <c r="CS939">
        <f>IFERROR(INDEX(PP_Grid[#Data],$DE939,94),0)</f>
        <v/>
      </c>
      <c r="CT939">
        <f>IFERROR(INDEX(PP_Grid[#Data],$DE939,95),0)</f>
        <v/>
      </c>
      <c r="CU939">
        <f>IFERROR(INDEX(PP_Grid[#Data],$DE939,96),0)</f>
        <v/>
      </c>
      <c r="CV939">
        <f>IFERROR(INDEX(PP_Grid[#Data],$DE939,97),0)</f>
        <v/>
      </c>
      <c r="CW939">
        <f>IFERROR(INDEX(PP_Grid[#Data],$DE939,98),0)</f>
        <v/>
      </c>
      <c r="CX939">
        <f>IFERROR(INDEX(PP_Grid[#Data],$DE939,99),0)</f>
        <v/>
      </c>
      <c r="CY939">
        <f>IFERROR(INDEX(PP_Grid[#Data],$DE939,100),0)</f>
        <v/>
      </c>
      <c r="CZ939">
        <f>IFERROR(INDEX(PP_Grid[#Data],$DE939,101),0)</f>
        <v/>
      </c>
      <c r="DA939">
        <f>IFERROR(INDEX(PP_Grid[#Data],$DE939,102),0)</f>
        <v/>
      </c>
      <c r="DB939">
        <f>IFERROR(INDEX(PP_Grid[#Data],$DE939,103),0)</f>
        <v/>
      </c>
      <c r="DC939">
        <f>IFERROR(INDEX(PP_Grid[#Data],$DE939,104),0)</f>
        <v/>
      </c>
      <c r="DD939">
        <f>IFERROR(INDEX(PP_Grid[#Data],$DE939,105),0)</f>
        <v/>
      </c>
      <c r="DE939" s="7">
        <f>IFERROR(MATCH($B939,PP_Grid[Intermediate],0),99999)</f>
        <v/>
      </c>
    </row>
    <row r="940">
      <c r="B940" t="inlineStr">
        <is>
          <t>使用量(kg)</t>
        </is>
      </c>
      <c r="C940">
        <f>SUMIFS(M_BOM[RM_Qty_Per_Batch],M_BOM[Intermediate],$B939,M_BOM[RM_Code],$A938)</f>
        <v/>
      </c>
      <c r="D940">
        <f>IFERROR(INDEX(E940:DD940,$F$1),"")</f>
        <v/>
      </c>
      <c r="E940">
        <f>$C940*E939</f>
        <v/>
      </c>
      <c r="F940">
        <f>$C940*F939</f>
        <v/>
      </c>
      <c r="G940">
        <f>$C940*G939</f>
        <v/>
      </c>
      <c r="H940">
        <f>$C940*H939</f>
        <v/>
      </c>
      <c r="I940">
        <f>$C940*I939</f>
        <v/>
      </c>
      <c r="J940">
        <f>$C940*J939</f>
        <v/>
      </c>
      <c r="K940">
        <f>$C940*K939</f>
        <v/>
      </c>
      <c r="L940">
        <f>$C940*L939</f>
        <v/>
      </c>
      <c r="M940">
        <f>$C940*M939</f>
        <v/>
      </c>
      <c r="N940">
        <f>$C940*N939</f>
        <v/>
      </c>
      <c r="O940">
        <f>$C940*O939</f>
        <v/>
      </c>
      <c r="P940">
        <f>$C940*P939</f>
        <v/>
      </c>
      <c r="Q940">
        <f>$C940*Q939</f>
        <v/>
      </c>
      <c r="R940">
        <f>$C940*R939</f>
        <v/>
      </c>
      <c r="S940">
        <f>$C940*S939</f>
        <v/>
      </c>
      <c r="T940">
        <f>$C940*T939</f>
        <v/>
      </c>
      <c r="U940">
        <f>$C940*U939</f>
        <v/>
      </c>
      <c r="V940">
        <f>$C940*V939</f>
        <v/>
      </c>
      <c r="W940">
        <f>$C940*W939</f>
        <v/>
      </c>
      <c r="X940">
        <f>$C940*X939</f>
        <v/>
      </c>
      <c r="Y940">
        <f>$C940*Y939</f>
        <v/>
      </c>
      <c r="Z940">
        <f>$C940*Z939</f>
        <v/>
      </c>
      <c r="AA940">
        <f>$C940*AA939</f>
        <v/>
      </c>
      <c r="AB940">
        <f>$C940*AB939</f>
        <v/>
      </c>
      <c r="AC940">
        <f>$C940*AC939</f>
        <v/>
      </c>
      <c r="AD940">
        <f>$C940*AD939</f>
        <v/>
      </c>
      <c r="AE940">
        <f>$C940*AE939</f>
        <v/>
      </c>
      <c r="AF940">
        <f>$C940*AF939</f>
        <v/>
      </c>
      <c r="AG940">
        <f>$C940*AG939</f>
        <v/>
      </c>
      <c r="AH940">
        <f>$C940*AH939</f>
        <v/>
      </c>
      <c r="AI940">
        <f>$C940*AI939</f>
        <v/>
      </c>
      <c r="AJ940">
        <f>$C940*AJ939</f>
        <v/>
      </c>
      <c r="AK940">
        <f>$C940*AK939</f>
        <v/>
      </c>
      <c r="AL940">
        <f>$C940*AL939</f>
        <v/>
      </c>
      <c r="AM940">
        <f>$C940*AM939</f>
        <v/>
      </c>
      <c r="AN940">
        <f>$C940*AN939</f>
        <v/>
      </c>
      <c r="AO940">
        <f>$C940*AO939</f>
        <v/>
      </c>
      <c r="AP940">
        <f>$C940*AP939</f>
        <v/>
      </c>
      <c r="AQ940">
        <f>$C940*AQ939</f>
        <v/>
      </c>
      <c r="AR940">
        <f>$C940*AR939</f>
        <v/>
      </c>
      <c r="AS940">
        <f>$C940*AS939</f>
        <v/>
      </c>
      <c r="AT940">
        <f>$C940*AT939</f>
        <v/>
      </c>
      <c r="AU940">
        <f>$C940*AU939</f>
        <v/>
      </c>
      <c r="AV940">
        <f>$C940*AV939</f>
        <v/>
      </c>
      <c r="AW940">
        <f>$C940*AW939</f>
        <v/>
      </c>
      <c r="AX940">
        <f>$C940*AX939</f>
        <v/>
      </c>
      <c r="AY940">
        <f>$C940*AY939</f>
        <v/>
      </c>
      <c r="AZ940">
        <f>$C940*AZ939</f>
        <v/>
      </c>
      <c r="BA940">
        <f>$C940*BA939</f>
        <v/>
      </c>
      <c r="BB940">
        <f>$C940*BB939</f>
        <v/>
      </c>
      <c r="BC940">
        <f>$C940*BC939</f>
        <v/>
      </c>
      <c r="BD940">
        <f>$C940*BD939</f>
        <v/>
      </c>
      <c r="BE940">
        <f>$C940*BE939</f>
        <v/>
      </c>
      <c r="BF940">
        <f>$C940*BF939</f>
        <v/>
      </c>
      <c r="BG940">
        <f>$C940*BG939</f>
        <v/>
      </c>
      <c r="BH940">
        <f>$C940*BH939</f>
        <v/>
      </c>
      <c r="BI940">
        <f>$C940*BI939</f>
        <v/>
      </c>
      <c r="BJ940">
        <f>$C940*BJ939</f>
        <v/>
      </c>
      <c r="BK940">
        <f>$C940*BK939</f>
        <v/>
      </c>
      <c r="BL940">
        <f>$C940*BL939</f>
        <v/>
      </c>
      <c r="BM940">
        <f>$C940*BM939</f>
        <v/>
      </c>
      <c r="BN940">
        <f>$C940*BN939</f>
        <v/>
      </c>
      <c r="BO940">
        <f>$C940*BO939</f>
        <v/>
      </c>
      <c r="BP940">
        <f>$C940*BP939</f>
        <v/>
      </c>
      <c r="BQ940">
        <f>$C940*BQ939</f>
        <v/>
      </c>
      <c r="BR940">
        <f>$C940*BR939</f>
        <v/>
      </c>
      <c r="BS940">
        <f>$C940*BS939</f>
        <v/>
      </c>
      <c r="BT940">
        <f>$C940*BT939</f>
        <v/>
      </c>
      <c r="BU940">
        <f>$C940*BU939</f>
        <v/>
      </c>
      <c r="BV940">
        <f>$C940*BV939</f>
        <v/>
      </c>
      <c r="BW940">
        <f>$C940*BW939</f>
        <v/>
      </c>
      <c r="BX940">
        <f>$C940*BX939</f>
        <v/>
      </c>
      <c r="BY940">
        <f>$C940*BY939</f>
        <v/>
      </c>
      <c r="BZ940">
        <f>$C940*BZ939</f>
        <v/>
      </c>
      <c r="CA940">
        <f>$C940*CA939</f>
        <v/>
      </c>
      <c r="CB940">
        <f>$C940*CB939</f>
        <v/>
      </c>
      <c r="CC940">
        <f>$C940*CC939</f>
        <v/>
      </c>
      <c r="CD940">
        <f>$C940*CD939</f>
        <v/>
      </c>
      <c r="CE940">
        <f>$C940*CE939</f>
        <v/>
      </c>
      <c r="CF940">
        <f>$C940*CF939</f>
        <v/>
      </c>
      <c r="CG940">
        <f>$C940*CG939</f>
        <v/>
      </c>
      <c r="CH940">
        <f>$C940*CH939</f>
        <v/>
      </c>
      <c r="CI940">
        <f>$C940*CI939</f>
        <v/>
      </c>
      <c r="CJ940">
        <f>$C940*CJ939</f>
        <v/>
      </c>
      <c r="CK940">
        <f>$C940*CK939</f>
        <v/>
      </c>
      <c r="CL940">
        <f>$C940*CL939</f>
        <v/>
      </c>
      <c r="CM940">
        <f>$C940*CM939</f>
        <v/>
      </c>
      <c r="CN940">
        <f>$C940*CN939</f>
        <v/>
      </c>
      <c r="CO940">
        <f>$C940*CO939</f>
        <v/>
      </c>
      <c r="CP940">
        <f>$C940*CP939</f>
        <v/>
      </c>
      <c r="CQ940">
        <f>$C940*CQ939</f>
        <v/>
      </c>
      <c r="CR940">
        <f>$C940*CR939</f>
        <v/>
      </c>
      <c r="CS940">
        <f>$C940*CS939</f>
        <v/>
      </c>
      <c r="CT940">
        <f>$C940*CT939</f>
        <v/>
      </c>
      <c r="CU940">
        <f>$C940*CU939</f>
        <v/>
      </c>
      <c r="CV940">
        <f>$C940*CV939</f>
        <v/>
      </c>
      <c r="CW940">
        <f>$C940*CW939</f>
        <v/>
      </c>
      <c r="CX940">
        <f>$C940*CX939</f>
        <v/>
      </c>
      <c r="CY940">
        <f>$C940*CY939</f>
        <v/>
      </c>
      <c r="CZ940">
        <f>$C940*CZ939</f>
        <v/>
      </c>
      <c r="DA940">
        <f>$C940*DA939</f>
        <v/>
      </c>
      <c r="DB940">
        <f>$C940*DB939</f>
        <v/>
      </c>
      <c r="DC940">
        <f>$C940*DC939</f>
        <v/>
      </c>
      <c r="DD940">
        <f>$C940*DD939</f>
        <v/>
      </c>
    </row>
    <row r="941">
      <c r="B941" t="inlineStr">
        <is>
          <t>TSP-360</t>
        </is>
      </c>
      <c r="C941" t="inlineStr">
        <is>
          <t>No. of batches</t>
        </is>
      </c>
      <c r="D941">
        <f>IFERROR(INDEX(E941:DD941,$F$1),"")</f>
        <v/>
      </c>
      <c r="E941">
        <f>IFERROR(INDEX(PP_Grid[#Data],$DE941,2),0)</f>
        <v/>
      </c>
      <c r="F941">
        <f>IFERROR(INDEX(PP_Grid[#Data],$DE941,3),0)</f>
        <v/>
      </c>
      <c r="G941">
        <f>IFERROR(INDEX(PP_Grid[#Data],$DE941,4),0)</f>
        <v/>
      </c>
      <c r="H941">
        <f>IFERROR(INDEX(PP_Grid[#Data],$DE941,5),0)</f>
        <v/>
      </c>
      <c r="I941">
        <f>IFERROR(INDEX(PP_Grid[#Data],$DE941,6),0)</f>
        <v/>
      </c>
      <c r="J941">
        <f>IFERROR(INDEX(PP_Grid[#Data],$DE941,7),0)</f>
        <v/>
      </c>
      <c r="K941">
        <f>IFERROR(INDEX(PP_Grid[#Data],$DE941,8),0)</f>
        <v/>
      </c>
      <c r="L941">
        <f>IFERROR(INDEX(PP_Grid[#Data],$DE941,9),0)</f>
        <v/>
      </c>
      <c r="M941">
        <f>IFERROR(INDEX(PP_Grid[#Data],$DE941,10),0)</f>
        <v/>
      </c>
      <c r="N941">
        <f>IFERROR(INDEX(PP_Grid[#Data],$DE941,11),0)</f>
        <v/>
      </c>
      <c r="O941">
        <f>IFERROR(INDEX(PP_Grid[#Data],$DE941,12),0)</f>
        <v/>
      </c>
      <c r="P941">
        <f>IFERROR(INDEX(PP_Grid[#Data],$DE941,13),0)</f>
        <v/>
      </c>
      <c r="Q941">
        <f>IFERROR(INDEX(PP_Grid[#Data],$DE941,14),0)</f>
        <v/>
      </c>
      <c r="R941">
        <f>IFERROR(INDEX(PP_Grid[#Data],$DE941,15),0)</f>
        <v/>
      </c>
      <c r="S941">
        <f>IFERROR(INDEX(PP_Grid[#Data],$DE941,16),0)</f>
        <v/>
      </c>
      <c r="T941">
        <f>IFERROR(INDEX(PP_Grid[#Data],$DE941,17),0)</f>
        <v/>
      </c>
      <c r="U941">
        <f>IFERROR(INDEX(PP_Grid[#Data],$DE941,18),0)</f>
        <v/>
      </c>
      <c r="V941">
        <f>IFERROR(INDEX(PP_Grid[#Data],$DE941,19),0)</f>
        <v/>
      </c>
      <c r="W941">
        <f>IFERROR(INDEX(PP_Grid[#Data],$DE941,20),0)</f>
        <v/>
      </c>
      <c r="X941">
        <f>IFERROR(INDEX(PP_Grid[#Data],$DE941,21),0)</f>
        <v/>
      </c>
      <c r="Y941">
        <f>IFERROR(INDEX(PP_Grid[#Data],$DE941,22),0)</f>
        <v/>
      </c>
      <c r="Z941">
        <f>IFERROR(INDEX(PP_Grid[#Data],$DE941,23),0)</f>
        <v/>
      </c>
      <c r="AA941">
        <f>IFERROR(INDEX(PP_Grid[#Data],$DE941,24),0)</f>
        <v/>
      </c>
      <c r="AB941">
        <f>IFERROR(INDEX(PP_Grid[#Data],$DE941,25),0)</f>
        <v/>
      </c>
      <c r="AC941">
        <f>IFERROR(INDEX(PP_Grid[#Data],$DE941,26),0)</f>
        <v/>
      </c>
      <c r="AD941">
        <f>IFERROR(INDEX(PP_Grid[#Data],$DE941,27),0)</f>
        <v/>
      </c>
      <c r="AE941">
        <f>IFERROR(INDEX(PP_Grid[#Data],$DE941,28),0)</f>
        <v/>
      </c>
      <c r="AF941">
        <f>IFERROR(INDEX(PP_Grid[#Data],$DE941,29),0)</f>
        <v/>
      </c>
      <c r="AG941">
        <f>IFERROR(INDEX(PP_Grid[#Data],$DE941,30),0)</f>
        <v/>
      </c>
      <c r="AH941">
        <f>IFERROR(INDEX(PP_Grid[#Data],$DE941,31),0)</f>
        <v/>
      </c>
      <c r="AI941">
        <f>IFERROR(INDEX(PP_Grid[#Data],$DE941,32),0)</f>
        <v/>
      </c>
      <c r="AJ941">
        <f>IFERROR(INDEX(PP_Grid[#Data],$DE941,33),0)</f>
        <v/>
      </c>
      <c r="AK941">
        <f>IFERROR(INDEX(PP_Grid[#Data],$DE941,34),0)</f>
        <v/>
      </c>
      <c r="AL941">
        <f>IFERROR(INDEX(PP_Grid[#Data],$DE941,35),0)</f>
        <v/>
      </c>
      <c r="AM941">
        <f>IFERROR(INDEX(PP_Grid[#Data],$DE941,36),0)</f>
        <v/>
      </c>
      <c r="AN941">
        <f>IFERROR(INDEX(PP_Grid[#Data],$DE941,37),0)</f>
        <v/>
      </c>
      <c r="AO941">
        <f>IFERROR(INDEX(PP_Grid[#Data],$DE941,38),0)</f>
        <v/>
      </c>
      <c r="AP941">
        <f>IFERROR(INDEX(PP_Grid[#Data],$DE941,39),0)</f>
        <v/>
      </c>
      <c r="AQ941">
        <f>IFERROR(INDEX(PP_Grid[#Data],$DE941,40),0)</f>
        <v/>
      </c>
      <c r="AR941">
        <f>IFERROR(INDEX(PP_Grid[#Data],$DE941,41),0)</f>
        <v/>
      </c>
      <c r="AS941">
        <f>IFERROR(INDEX(PP_Grid[#Data],$DE941,42),0)</f>
        <v/>
      </c>
      <c r="AT941">
        <f>IFERROR(INDEX(PP_Grid[#Data],$DE941,43),0)</f>
        <v/>
      </c>
      <c r="AU941">
        <f>IFERROR(INDEX(PP_Grid[#Data],$DE941,44),0)</f>
        <v/>
      </c>
      <c r="AV941">
        <f>IFERROR(INDEX(PP_Grid[#Data],$DE941,45),0)</f>
        <v/>
      </c>
      <c r="AW941">
        <f>IFERROR(INDEX(PP_Grid[#Data],$DE941,46),0)</f>
        <v/>
      </c>
      <c r="AX941">
        <f>IFERROR(INDEX(PP_Grid[#Data],$DE941,47),0)</f>
        <v/>
      </c>
      <c r="AY941">
        <f>IFERROR(INDEX(PP_Grid[#Data],$DE941,48),0)</f>
        <v/>
      </c>
      <c r="AZ941">
        <f>IFERROR(INDEX(PP_Grid[#Data],$DE941,49),0)</f>
        <v/>
      </c>
      <c r="BA941">
        <f>IFERROR(INDEX(PP_Grid[#Data],$DE941,50),0)</f>
        <v/>
      </c>
      <c r="BB941">
        <f>IFERROR(INDEX(PP_Grid[#Data],$DE941,51),0)</f>
        <v/>
      </c>
      <c r="BC941">
        <f>IFERROR(INDEX(PP_Grid[#Data],$DE941,52),0)</f>
        <v/>
      </c>
      <c r="BD941">
        <f>IFERROR(INDEX(PP_Grid[#Data],$DE941,53),0)</f>
        <v/>
      </c>
      <c r="BE941">
        <f>IFERROR(INDEX(PP_Grid[#Data],$DE941,54),0)</f>
        <v/>
      </c>
      <c r="BF941">
        <f>IFERROR(INDEX(PP_Grid[#Data],$DE941,55),0)</f>
        <v/>
      </c>
      <c r="BG941">
        <f>IFERROR(INDEX(PP_Grid[#Data],$DE941,56),0)</f>
        <v/>
      </c>
      <c r="BH941">
        <f>IFERROR(INDEX(PP_Grid[#Data],$DE941,57),0)</f>
        <v/>
      </c>
      <c r="BI941">
        <f>IFERROR(INDEX(PP_Grid[#Data],$DE941,58),0)</f>
        <v/>
      </c>
      <c r="BJ941">
        <f>IFERROR(INDEX(PP_Grid[#Data],$DE941,59),0)</f>
        <v/>
      </c>
      <c r="BK941">
        <f>IFERROR(INDEX(PP_Grid[#Data],$DE941,60),0)</f>
        <v/>
      </c>
      <c r="BL941">
        <f>IFERROR(INDEX(PP_Grid[#Data],$DE941,61),0)</f>
        <v/>
      </c>
      <c r="BM941">
        <f>IFERROR(INDEX(PP_Grid[#Data],$DE941,62),0)</f>
        <v/>
      </c>
      <c r="BN941">
        <f>IFERROR(INDEX(PP_Grid[#Data],$DE941,63),0)</f>
        <v/>
      </c>
      <c r="BO941">
        <f>IFERROR(INDEX(PP_Grid[#Data],$DE941,64),0)</f>
        <v/>
      </c>
      <c r="BP941">
        <f>IFERROR(INDEX(PP_Grid[#Data],$DE941,65),0)</f>
        <v/>
      </c>
      <c r="BQ941">
        <f>IFERROR(INDEX(PP_Grid[#Data],$DE941,66),0)</f>
        <v/>
      </c>
      <c r="BR941">
        <f>IFERROR(INDEX(PP_Grid[#Data],$DE941,67),0)</f>
        <v/>
      </c>
      <c r="BS941">
        <f>IFERROR(INDEX(PP_Grid[#Data],$DE941,68),0)</f>
        <v/>
      </c>
      <c r="BT941">
        <f>IFERROR(INDEX(PP_Grid[#Data],$DE941,69),0)</f>
        <v/>
      </c>
      <c r="BU941">
        <f>IFERROR(INDEX(PP_Grid[#Data],$DE941,70),0)</f>
        <v/>
      </c>
      <c r="BV941">
        <f>IFERROR(INDEX(PP_Grid[#Data],$DE941,71),0)</f>
        <v/>
      </c>
      <c r="BW941">
        <f>IFERROR(INDEX(PP_Grid[#Data],$DE941,72),0)</f>
        <v/>
      </c>
      <c r="BX941">
        <f>IFERROR(INDEX(PP_Grid[#Data],$DE941,73),0)</f>
        <v/>
      </c>
      <c r="BY941">
        <f>IFERROR(INDEX(PP_Grid[#Data],$DE941,74),0)</f>
        <v/>
      </c>
      <c r="BZ941">
        <f>IFERROR(INDEX(PP_Grid[#Data],$DE941,75),0)</f>
        <v/>
      </c>
      <c r="CA941">
        <f>IFERROR(INDEX(PP_Grid[#Data],$DE941,76),0)</f>
        <v/>
      </c>
      <c r="CB941">
        <f>IFERROR(INDEX(PP_Grid[#Data],$DE941,77),0)</f>
        <v/>
      </c>
      <c r="CC941">
        <f>IFERROR(INDEX(PP_Grid[#Data],$DE941,78),0)</f>
        <v/>
      </c>
      <c r="CD941">
        <f>IFERROR(INDEX(PP_Grid[#Data],$DE941,79),0)</f>
        <v/>
      </c>
      <c r="CE941">
        <f>IFERROR(INDEX(PP_Grid[#Data],$DE941,80),0)</f>
        <v/>
      </c>
      <c r="CF941">
        <f>IFERROR(INDEX(PP_Grid[#Data],$DE941,81),0)</f>
        <v/>
      </c>
      <c r="CG941">
        <f>IFERROR(INDEX(PP_Grid[#Data],$DE941,82),0)</f>
        <v/>
      </c>
      <c r="CH941">
        <f>IFERROR(INDEX(PP_Grid[#Data],$DE941,83),0)</f>
        <v/>
      </c>
      <c r="CI941">
        <f>IFERROR(INDEX(PP_Grid[#Data],$DE941,84),0)</f>
        <v/>
      </c>
      <c r="CJ941">
        <f>IFERROR(INDEX(PP_Grid[#Data],$DE941,85),0)</f>
        <v/>
      </c>
      <c r="CK941">
        <f>IFERROR(INDEX(PP_Grid[#Data],$DE941,86),0)</f>
        <v/>
      </c>
      <c r="CL941">
        <f>IFERROR(INDEX(PP_Grid[#Data],$DE941,87),0)</f>
        <v/>
      </c>
      <c r="CM941">
        <f>IFERROR(INDEX(PP_Grid[#Data],$DE941,88),0)</f>
        <v/>
      </c>
      <c r="CN941">
        <f>IFERROR(INDEX(PP_Grid[#Data],$DE941,89),0)</f>
        <v/>
      </c>
      <c r="CO941">
        <f>IFERROR(INDEX(PP_Grid[#Data],$DE941,90),0)</f>
        <v/>
      </c>
      <c r="CP941">
        <f>IFERROR(INDEX(PP_Grid[#Data],$DE941,91),0)</f>
        <v/>
      </c>
      <c r="CQ941">
        <f>IFERROR(INDEX(PP_Grid[#Data],$DE941,92),0)</f>
        <v/>
      </c>
      <c r="CR941">
        <f>IFERROR(INDEX(PP_Grid[#Data],$DE941,93),0)</f>
        <v/>
      </c>
      <c r="CS941">
        <f>IFERROR(INDEX(PP_Grid[#Data],$DE941,94),0)</f>
        <v/>
      </c>
      <c r="CT941">
        <f>IFERROR(INDEX(PP_Grid[#Data],$DE941,95),0)</f>
        <v/>
      </c>
      <c r="CU941">
        <f>IFERROR(INDEX(PP_Grid[#Data],$DE941,96),0)</f>
        <v/>
      </c>
      <c r="CV941">
        <f>IFERROR(INDEX(PP_Grid[#Data],$DE941,97),0)</f>
        <v/>
      </c>
      <c r="CW941">
        <f>IFERROR(INDEX(PP_Grid[#Data],$DE941,98),0)</f>
        <v/>
      </c>
      <c r="CX941">
        <f>IFERROR(INDEX(PP_Grid[#Data],$DE941,99),0)</f>
        <v/>
      </c>
      <c r="CY941">
        <f>IFERROR(INDEX(PP_Grid[#Data],$DE941,100),0)</f>
        <v/>
      </c>
      <c r="CZ941">
        <f>IFERROR(INDEX(PP_Grid[#Data],$DE941,101),0)</f>
        <v/>
      </c>
      <c r="DA941">
        <f>IFERROR(INDEX(PP_Grid[#Data],$DE941,102),0)</f>
        <v/>
      </c>
      <c r="DB941">
        <f>IFERROR(INDEX(PP_Grid[#Data],$DE941,103),0)</f>
        <v/>
      </c>
      <c r="DC941">
        <f>IFERROR(INDEX(PP_Grid[#Data],$DE941,104),0)</f>
        <v/>
      </c>
      <c r="DD941">
        <f>IFERROR(INDEX(PP_Grid[#Data],$DE941,105),0)</f>
        <v/>
      </c>
      <c r="DE941" s="7">
        <f>IFERROR(MATCH($B941,PP_Grid[Intermediate],0),99999)</f>
        <v/>
      </c>
    </row>
    <row r="942">
      <c r="B942" t="inlineStr">
        <is>
          <t>使用量(kg)</t>
        </is>
      </c>
      <c r="C942">
        <f>SUMIFS(M_BOM[RM_Qty_Per_Batch],M_BOM[Intermediate],$B941,M_BOM[RM_Code],$A938)</f>
        <v/>
      </c>
      <c r="D942">
        <f>IFERROR(INDEX(E942:DD942,$F$1),"")</f>
        <v/>
      </c>
      <c r="E942">
        <f>$C942*E941</f>
        <v/>
      </c>
      <c r="F942">
        <f>$C942*F941</f>
        <v/>
      </c>
      <c r="G942">
        <f>$C942*G941</f>
        <v/>
      </c>
      <c r="H942">
        <f>$C942*H941</f>
        <v/>
      </c>
      <c r="I942">
        <f>$C942*I941</f>
        <v/>
      </c>
      <c r="J942">
        <f>$C942*J941</f>
        <v/>
      </c>
      <c r="K942">
        <f>$C942*K941</f>
        <v/>
      </c>
      <c r="L942">
        <f>$C942*L941</f>
        <v/>
      </c>
      <c r="M942">
        <f>$C942*M941</f>
        <v/>
      </c>
      <c r="N942">
        <f>$C942*N941</f>
        <v/>
      </c>
      <c r="O942">
        <f>$C942*O941</f>
        <v/>
      </c>
      <c r="P942">
        <f>$C942*P941</f>
        <v/>
      </c>
      <c r="Q942">
        <f>$C942*Q941</f>
        <v/>
      </c>
      <c r="R942">
        <f>$C942*R941</f>
        <v/>
      </c>
      <c r="S942">
        <f>$C942*S941</f>
        <v/>
      </c>
      <c r="T942">
        <f>$C942*T941</f>
        <v/>
      </c>
      <c r="U942">
        <f>$C942*U941</f>
        <v/>
      </c>
      <c r="V942">
        <f>$C942*V941</f>
        <v/>
      </c>
      <c r="W942">
        <f>$C942*W941</f>
        <v/>
      </c>
      <c r="X942">
        <f>$C942*X941</f>
        <v/>
      </c>
      <c r="Y942">
        <f>$C942*Y941</f>
        <v/>
      </c>
      <c r="Z942">
        <f>$C942*Z941</f>
        <v/>
      </c>
      <c r="AA942">
        <f>$C942*AA941</f>
        <v/>
      </c>
      <c r="AB942">
        <f>$C942*AB941</f>
        <v/>
      </c>
      <c r="AC942">
        <f>$C942*AC941</f>
        <v/>
      </c>
      <c r="AD942">
        <f>$C942*AD941</f>
        <v/>
      </c>
      <c r="AE942">
        <f>$C942*AE941</f>
        <v/>
      </c>
      <c r="AF942">
        <f>$C942*AF941</f>
        <v/>
      </c>
      <c r="AG942">
        <f>$C942*AG941</f>
        <v/>
      </c>
      <c r="AH942">
        <f>$C942*AH941</f>
        <v/>
      </c>
      <c r="AI942">
        <f>$C942*AI941</f>
        <v/>
      </c>
      <c r="AJ942">
        <f>$C942*AJ941</f>
        <v/>
      </c>
      <c r="AK942">
        <f>$C942*AK941</f>
        <v/>
      </c>
      <c r="AL942">
        <f>$C942*AL941</f>
        <v/>
      </c>
      <c r="AM942">
        <f>$C942*AM941</f>
        <v/>
      </c>
      <c r="AN942">
        <f>$C942*AN941</f>
        <v/>
      </c>
      <c r="AO942">
        <f>$C942*AO941</f>
        <v/>
      </c>
      <c r="AP942">
        <f>$C942*AP941</f>
        <v/>
      </c>
      <c r="AQ942">
        <f>$C942*AQ941</f>
        <v/>
      </c>
      <c r="AR942">
        <f>$C942*AR941</f>
        <v/>
      </c>
      <c r="AS942">
        <f>$C942*AS941</f>
        <v/>
      </c>
      <c r="AT942">
        <f>$C942*AT941</f>
        <v/>
      </c>
      <c r="AU942">
        <f>$C942*AU941</f>
        <v/>
      </c>
      <c r="AV942">
        <f>$C942*AV941</f>
        <v/>
      </c>
      <c r="AW942">
        <f>$C942*AW941</f>
        <v/>
      </c>
      <c r="AX942">
        <f>$C942*AX941</f>
        <v/>
      </c>
      <c r="AY942">
        <f>$C942*AY941</f>
        <v/>
      </c>
      <c r="AZ942">
        <f>$C942*AZ941</f>
        <v/>
      </c>
      <c r="BA942">
        <f>$C942*BA941</f>
        <v/>
      </c>
      <c r="BB942">
        <f>$C942*BB941</f>
        <v/>
      </c>
      <c r="BC942">
        <f>$C942*BC941</f>
        <v/>
      </c>
      <c r="BD942">
        <f>$C942*BD941</f>
        <v/>
      </c>
      <c r="BE942">
        <f>$C942*BE941</f>
        <v/>
      </c>
      <c r="BF942">
        <f>$C942*BF941</f>
        <v/>
      </c>
      <c r="BG942">
        <f>$C942*BG941</f>
        <v/>
      </c>
      <c r="BH942">
        <f>$C942*BH941</f>
        <v/>
      </c>
      <c r="BI942">
        <f>$C942*BI941</f>
        <v/>
      </c>
      <c r="BJ942">
        <f>$C942*BJ941</f>
        <v/>
      </c>
      <c r="BK942">
        <f>$C942*BK941</f>
        <v/>
      </c>
      <c r="BL942">
        <f>$C942*BL941</f>
        <v/>
      </c>
      <c r="BM942">
        <f>$C942*BM941</f>
        <v/>
      </c>
      <c r="BN942">
        <f>$C942*BN941</f>
        <v/>
      </c>
      <c r="BO942">
        <f>$C942*BO941</f>
        <v/>
      </c>
      <c r="BP942">
        <f>$C942*BP941</f>
        <v/>
      </c>
      <c r="BQ942">
        <f>$C942*BQ941</f>
        <v/>
      </c>
      <c r="BR942">
        <f>$C942*BR941</f>
        <v/>
      </c>
      <c r="BS942">
        <f>$C942*BS941</f>
        <v/>
      </c>
      <c r="BT942">
        <f>$C942*BT941</f>
        <v/>
      </c>
      <c r="BU942">
        <f>$C942*BU941</f>
        <v/>
      </c>
      <c r="BV942">
        <f>$C942*BV941</f>
        <v/>
      </c>
      <c r="BW942">
        <f>$C942*BW941</f>
        <v/>
      </c>
      <c r="BX942">
        <f>$C942*BX941</f>
        <v/>
      </c>
      <c r="BY942">
        <f>$C942*BY941</f>
        <v/>
      </c>
      <c r="BZ942">
        <f>$C942*BZ941</f>
        <v/>
      </c>
      <c r="CA942">
        <f>$C942*CA941</f>
        <v/>
      </c>
      <c r="CB942">
        <f>$C942*CB941</f>
        <v/>
      </c>
      <c r="CC942">
        <f>$C942*CC941</f>
        <v/>
      </c>
      <c r="CD942">
        <f>$C942*CD941</f>
        <v/>
      </c>
      <c r="CE942">
        <f>$C942*CE941</f>
        <v/>
      </c>
      <c r="CF942">
        <f>$C942*CF941</f>
        <v/>
      </c>
      <c r="CG942">
        <f>$C942*CG941</f>
        <v/>
      </c>
      <c r="CH942">
        <f>$C942*CH941</f>
        <v/>
      </c>
      <c r="CI942">
        <f>$C942*CI941</f>
        <v/>
      </c>
      <c r="CJ942">
        <f>$C942*CJ941</f>
        <v/>
      </c>
      <c r="CK942">
        <f>$C942*CK941</f>
        <v/>
      </c>
      <c r="CL942">
        <f>$C942*CL941</f>
        <v/>
      </c>
      <c r="CM942">
        <f>$C942*CM941</f>
        <v/>
      </c>
      <c r="CN942">
        <f>$C942*CN941</f>
        <v/>
      </c>
      <c r="CO942">
        <f>$C942*CO941</f>
        <v/>
      </c>
      <c r="CP942">
        <f>$C942*CP941</f>
        <v/>
      </c>
      <c r="CQ942">
        <f>$C942*CQ941</f>
        <v/>
      </c>
      <c r="CR942">
        <f>$C942*CR941</f>
        <v/>
      </c>
      <c r="CS942">
        <f>$C942*CS941</f>
        <v/>
      </c>
      <c r="CT942">
        <f>$C942*CT941</f>
        <v/>
      </c>
      <c r="CU942">
        <f>$C942*CU941</f>
        <v/>
      </c>
      <c r="CV942">
        <f>$C942*CV941</f>
        <v/>
      </c>
      <c r="CW942">
        <f>$C942*CW941</f>
        <v/>
      </c>
      <c r="CX942">
        <f>$C942*CX941</f>
        <v/>
      </c>
      <c r="CY942">
        <f>$C942*CY941</f>
        <v/>
      </c>
      <c r="CZ942">
        <f>$C942*CZ941</f>
        <v/>
      </c>
      <c r="DA942">
        <f>$C942*DA941</f>
        <v/>
      </c>
      <c r="DB942">
        <f>$C942*DB941</f>
        <v/>
      </c>
      <c r="DC942">
        <f>$C942*DC941</f>
        <v/>
      </c>
      <c r="DD942">
        <f>$C942*DD941</f>
        <v/>
      </c>
    </row>
    <row r="943">
      <c r="B943" t="inlineStr">
        <is>
          <t>TSP-367</t>
        </is>
      </c>
      <c r="C943" t="inlineStr">
        <is>
          <t>No. of batches</t>
        </is>
      </c>
      <c r="D943">
        <f>IFERROR(INDEX(E943:DD943,$F$1),"")</f>
        <v/>
      </c>
      <c r="E943">
        <f>IFERROR(INDEX(PP_Grid[#Data],$DE943,2),0)</f>
        <v/>
      </c>
      <c r="F943">
        <f>IFERROR(INDEX(PP_Grid[#Data],$DE943,3),0)</f>
        <v/>
      </c>
      <c r="G943">
        <f>IFERROR(INDEX(PP_Grid[#Data],$DE943,4),0)</f>
        <v/>
      </c>
      <c r="H943">
        <f>IFERROR(INDEX(PP_Grid[#Data],$DE943,5),0)</f>
        <v/>
      </c>
      <c r="I943">
        <f>IFERROR(INDEX(PP_Grid[#Data],$DE943,6),0)</f>
        <v/>
      </c>
      <c r="J943">
        <f>IFERROR(INDEX(PP_Grid[#Data],$DE943,7),0)</f>
        <v/>
      </c>
      <c r="K943">
        <f>IFERROR(INDEX(PP_Grid[#Data],$DE943,8),0)</f>
        <v/>
      </c>
      <c r="L943">
        <f>IFERROR(INDEX(PP_Grid[#Data],$DE943,9),0)</f>
        <v/>
      </c>
      <c r="M943">
        <f>IFERROR(INDEX(PP_Grid[#Data],$DE943,10),0)</f>
        <v/>
      </c>
      <c r="N943">
        <f>IFERROR(INDEX(PP_Grid[#Data],$DE943,11),0)</f>
        <v/>
      </c>
      <c r="O943">
        <f>IFERROR(INDEX(PP_Grid[#Data],$DE943,12),0)</f>
        <v/>
      </c>
      <c r="P943">
        <f>IFERROR(INDEX(PP_Grid[#Data],$DE943,13),0)</f>
        <v/>
      </c>
      <c r="Q943">
        <f>IFERROR(INDEX(PP_Grid[#Data],$DE943,14),0)</f>
        <v/>
      </c>
      <c r="R943">
        <f>IFERROR(INDEX(PP_Grid[#Data],$DE943,15),0)</f>
        <v/>
      </c>
      <c r="S943">
        <f>IFERROR(INDEX(PP_Grid[#Data],$DE943,16),0)</f>
        <v/>
      </c>
      <c r="T943">
        <f>IFERROR(INDEX(PP_Grid[#Data],$DE943,17),0)</f>
        <v/>
      </c>
      <c r="U943">
        <f>IFERROR(INDEX(PP_Grid[#Data],$DE943,18),0)</f>
        <v/>
      </c>
      <c r="V943">
        <f>IFERROR(INDEX(PP_Grid[#Data],$DE943,19),0)</f>
        <v/>
      </c>
      <c r="W943">
        <f>IFERROR(INDEX(PP_Grid[#Data],$DE943,20),0)</f>
        <v/>
      </c>
      <c r="X943">
        <f>IFERROR(INDEX(PP_Grid[#Data],$DE943,21),0)</f>
        <v/>
      </c>
      <c r="Y943">
        <f>IFERROR(INDEX(PP_Grid[#Data],$DE943,22),0)</f>
        <v/>
      </c>
      <c r="Z943">
        <f>IFERROR(INDEX(PP_Grid[#Data],$DE943,23),0)</f>
        <v/>
      </c>
      <c r="AA943">
        <f>IFERROR(INDEX(PP_Grid[#Data],$DE943,24),0)</f>
        <v/>
      </c>
      <c r="AB943">
        <f>IFERROR(INDEX(PP_Grid[#Data],$DE943,25),0)</f>
        <v/>
      </c>
      <c r="AC943">
        <f>IFERROR(INDEX(PP_Grid[#Data],$DE943,26),0)</f>
        <v/>
      </c>
      <c r="AD943">
        <f>IFERROR(INDEX(PP_Grid[#Data],$DE943,27),0)</f>
        <v/>
      </c>
      <c r="AE943">
        <f>IFERROR(INDEX(PP_Grid[#Data],$DE943,28),0)</f>
        <v/>
      </c>
      <c r="AF943">
        <f>IFERROR(INDEX(PP_Grid[#Data],$DE943,29),0)</f>
        <v/>
      </c>
      <c r="AG943">
        <f>IFERROR(INDEX(PP_Grid[#Data],$DE943,30),0)</f>
        <v/>
      </c>
      <c r="AH943">
        <f>IFERROR(INDEX(PP_Grid[#Data],$DE943,31),0)</f>
        <v/>
      </c>
      <c r="AI943">
        <f>IFERROR(INDEX(PP_Grid[#Data],$DE943,32),0)</f>
        <v/>
      </c>
      <c r="AJ943">
        <f>IFERROR(INDEX(PP_Grid[#Data],$DE943,33),0)</f>
        <v/>
      </c>
      <c r="AK943">
        <f>IFERROR(INDEX(PP_Grid[#Data],$DE943,34),0)</f>
        <v/>
      </c>
      <c r="AL943">
        <f>IFERROR(INDEX(PP_Grid[#Data],$DE943,35),0)</f>
        <v/>
      </c>
      <c r="AM943">
        <f>IFERROR(INDEX(PP_Grid[#Data],$DE943,36),0)</f>
        <v/>
      </c>
      <c r="AN943">
        <f>IFERROR(INDEX(PP_Grid[#Data],$DE943,37),0)</f>
        <v/>
      </c>
      <c r="AO943">
        <f>IFERROR(INDEX(PP_Grid[#Data],$DE943,38),0)</f>
        <v/>
      </c>
      <c r="AP943">
        <f>IFERROR(INDEX(PP_Grid[#Data],$DE943,39),0)</f>
        <v/>
      </c>
      <c r="AQ943">
        <f>IFERROR(INDEX(PP_Grid[#Data],$DE943,40),0)</f>
        <v/>
      </c>
      <c r="AR943">
        <f>IFERROR(INDEX(PP_Grid[#Data],$DE943,41),0)</f>
        <v/>
      </c>
      <c r="AS943">
        <f>IFERROR(INDEX(PP_Grid[#Data],$DE943,42),0)</f>
        <v/>
      </c>
      <c r="AT943">
        <f>IFERROR(INDEX(PP_Grid[#Data],$DE943,43),0)</f>
        <v/>
      </c>
      <c r="AU943">
        <f>IFERROR(INDEX(PP_Grid[#Data],$DE943,44),0)</f>
        <v/>
      </c>
      <c r="AV943">
        <f>IFERROR(INDEX(PP_Grid[#Data],$DE943,45),0)</f>
        <v/>
      </c>
      <c r="AW943">
        <f>IFERROR(INDEX(PP_Grid[#Data],$DE943,46),0)</f>
        <v/>
      </c>
      <c r="AX943">
        <f>IFERROR(INDEX(PP_Grid[#Data],$DE943,47),0)</f>
        <v/>
      </c>
      <c r="AY943">
        <f>IFERROR(INDEX(PP_Grid[#Data],$DE943,48),0)</f>
        <v/>
      </c>
      <c r="AZ943">
        <f>IFERROR(INDEX(PP_Grid[#Data],$DE943,49),0)</f>
        <v/>
      </c>
      <c r="BA943">
        <f>IFERROR(INDEX(PP_Grid[#Data],$DE943,50),0)</f>
        <v/>
      </c>
      <c r="BB943">
        <f>IFERROR(INDEX(PP_Grid[#Data],$DE943,51),0)</f>
        <v/>
      </c>
      <c r="BC943">
        <f>IFERROR(INDEX(PP_Grid[#Data],$DE943,52),0)</f>
        <v/>
      </c>
      <c r="BD943">
        <f>IFERROR(INDEX(PP_Grid[#Data],$DE943,53),0)</f>
        <v/>
      </c>
      <c r="BE943">
        <f>IFERROR(INDEX(PP_Grid[#Data],$DE943,54),0)</f>
        <v/>
      </c>
      <c r="BF943">
        <f>IFERROR(INDEX(PP_Grid[#Data],$DE943,55),0)</f>
        <v/>
      </c>
      <c r="BG943">
        <f>IFERROR(INDEX(PP_Grid[#Data],$DE943,56),0)</f>
        <v/>
      </c>
      <c r="BH943">
        <f>IFERROR(INDEX(PP_Grid[#Data],$DE943,57),0)</f>
        <v/>
      </c>
      <c r="BI943">
        <f>IFERROR(INDEX(PP_Grid[#Data],$DE943,58),0)</f>
        <v/>
      </c>
      <c r="BJ943">
        <f>IFERROR(INDEX(PP_Grid[#Data],$DE943,59),0)</f>
        <v/>
      </c>
      <c r="BK943">
        <f>IFERROR(INDEX(PP_Grid[#Data],$DE943,60),0)</f>
        <v/>
      </c>
      <c r="BL943">
        <f>IFERROR(INDEX(PP_Grid[#Data],$DE943,61),0)</f>
        <v/>
      </c>
      <c r="BM943">
        <f>IFERROR(INDEX(PP_Grid[#Data],$DE943,62),0)</f>
        <v/>
      </c>
      <c r="BN943">
        <f>IFERROR(INDEX(PP_Grid[#Data],$DE943,63),0)</f>
        <v/>
      </c>
      <c r="BO943">
        <f>IFERROR(INDEX(PP_Grid[#Data],$DE943,64),0)</f>
        <v/>
      </c>
      <c r="BP943">
        <f>IFERROR(INDEX(PP_Grid[#Data],$DE943,65),0)</f>
        <v/>
      </c>
      <c r="BQ943">
        <f>IFERROR(INDEX(PP_Grid[#Data],$DE943,66),0)</f>
        <v/>
      </c>
      <c r="BR943">
        <f>IFERROR(INDEX(PP_Grid[#Data],$DE943,67),0)</f>
        <v/>
      </c>
      <c r="BS943">
        <f>IFERROR(INDEX(PP_Grid[#Data],$DE943,68),0)</f>
        <v/>
      </c>
      <c r="BT943">
        <f>IFERROR(INDEX(PP_Grid[#Data],$DE943,69),0)</f>
        <v/>
      </c>
      <c r="BU943">
        <f>IFERROR(INDEX(PP_Grid[#Data],$DE943,70),0)</f>
        <v/>
      </c>
      <c r="BV943">
        <f>IFERROR(INDEX(PP_Grid[#Data],$DE943,71),0)</f>
        <v/>
      </c>
      <c r="BW943">
        <f>IFERROR(INDEX(PP_Grid[#Data],$DE943,72),0)</f>
        <v/>
      </c>
      <c r="BX943">
        <f>IFERROR(INDEX(PP_Grid[#Data],$DE943,73),0)</f>
        <v/>
      </c>
      <c r="BY943">
        <f>IFERROR(INDEX(PP_Grid[#Data],$DE943,74),0)</f>
        <v/>
      </c>
      <c r="BZ943">
        <f>IFERROR(INDEX(PP_Grid[#Data],$DE943,75),0)</f>
        <v/>
      </c>
      <c r="CA943">
        <f>IFERROR(INDEX(PP_Grid[#Data],$DE943,76),0)</f>
        <v/>
      </c>
      <c r="CB943">
        <f>IFERROR(INDEX(PP_Grid[#Data],$DE943,77),0)</f>
        <v/>
      </c>
      <c r="CC943">
        <f>IFERROR(INDEX(PP_Grid[#Data],$DE943,78),0)</f>
        <v/>
      </c>
      <c r="CD943">
        <f>IFERROR(INDEX(PP_Grid[#Data],$DE943,79),0)</f>
        <v/>
      </c>
      <c r="CE943">
        <f>IFERROR(INDEX(PP_Grid[#Data],$DE943,80),0)</f>
        <v/>
      </c>
      <c r="CF943">
        <f>IFERROR(INDEX(PP_Grid[#Data],$DE943,81),0)</f>
        <v/>
      </c>
      <c r="CG943">
        <f>IFERROR(INDEX(PP_Grid[#Data],$DE943,82),0)</f>
        <v/>
      </c>
      <c r="CH943">
        <f>IFERROR(INDEX(PP_Grid[#Data],$DE943,83),0)</f>
        <v/>
      </c>
      <c r="CI943">
        <f>IFERROR(INDEX(PP_Grid[#Data],$DE943,84),0)</f>
        <v/>
      </c>
      <c r="CJ943">
        <f>IFERROR(INDEX(PP_Grid[#Data],$DE943,85),0)</f>
        <v/>
      </c>
      <c r="CK943">
        <f>IFERROR(INDEX(PP_Grid[#Data],$DE943,86),0)</f>
        <v/>
      </c>
      <c r="CL943">
        <f>IFERROR(INDEX(PP_Grid[#Data],$DE943,87),0)</f>
        <v/>
      </c>
      <c r="CM943">
        <f>IFERROR(INDEX(PP_Grid[#Data],$DE943,88),0)</f>
        <v/>
      </c>
      <c r="CN943">
        <f>IFERROR(INDEX(PP_Grid[#Data],$DE943,89),0)</f>
        <v/>
      </c>
      <c r="CO943">
        <f>IFERROR(INDEX(PP_Grid[#Data],$DE943,90),0)</f>
        <v/>
      </c>
      <c r="CP943">
        <f>IFERROR(INDEX(PP_Grid[#Data],$DE943,91),0)</f>
        <v/>
      </c>
      <c r="CQ943">
        <f>IFERROR(INDEX(PP_Grid[#Data],$DE943,92),0)</f>
        <v/>
      </c>
      <c r="CR943">
        <f>IFERROR(INDEX(PP_Grid[#Data],$DE943,93),0)</f>
        <v/>
      </c>
      <c r="CS943">
        <f>IFERROR(INDEX(PP_Grid[#Data],$DE943,94),0)</f>
        <v/>
      </c>
      <c r="CT943">
        <f>IFERROR(INDEX(PP_Grid[#Data],$DE943,95),0)</f>
        <v/>
      </c>
      <c r="CU943">
        <f>IFERROR(INDEX(PP_Grid[#Data],$DE943,96),0)</f>
        <v/>
      </c>
      <c r="CV943">
        <f>IFERROR(INDEX(PP_Grid[#Data],$DE943,97),0)</f>
        <v/>
      </c>
      <c r="CW943">
        <f>IFERROR(INDEX(PP_Grid[#Data],$DE943,98),0)</f>
        <v/>
      </c>
      <c r="CX943">
        <f>IFERROR(INDEX(PP_Grid[#Data],$DE943,99),0)</f>
        <v/>
      </c>
      <c r="CY943">
        <f>IFERROR(INDEX(PP_Grid[#Data],$DE943,100),0)</f>
        <v/>
      </c>
      <c r="CZ943">
        <f>IFERROR(INDEX(PP_Grid[#Data],$DE943,101),0)</f>
        <v/>
      </c>
      <c r="DA943">
        <f>IFERROR(INDEX(PP_Grid[#Data],$DE943,102),0)</f>
        <v/>
      </c>
      <c r="DB943">
        <f>IFERROR(INDEX(PP_Grid[#Data],$DE943,103),0)</f>
        <v/>
      </c>
      <c r="DC943">
        <f>IFERROR(INDEX(PP_Grid[#Data],$DE943,104),0)</f>
        <v/>
      </c>
      <c r="DD943">
        <f>IFERROR(INDEX(PP_Grid[#Data],$DE943,105),0)</f>
        <v/>
      </c>
      <c r="DE943" s="7">
        <f>IFERROR(MATCH($B943,PP_Grid[Intermediate],0),99999)</f>
        <v/>
      </c>
    </row>
    <row r="944">
      <c r="B944" t="inlineStr">
        <is>
          <t>使用量(kg)</t>
        </is>
      </c>
      <c r="C944">
        <f>SUMIFS(M_BOM[RM_Qty_Per_Batch],M_BOM[Intermediate],$B943,M_BOM[RM_Code],$A938)</f>
        <v/>
      </c>
      <c r="D944">
        <f>IFERROR(INDEX(E944:DD944,$F$1),"")</f>
        <v/>
      </c>
      <c r="E944">
        <f>$C944*E943</f>
        <v/>
      </c>
      <c r="F944">
        <f>$C944*F943</f>
        <v/>
      </c>
      <c r="G944">
        <f>$C944*G943</f>
        <v/>
      </c>
      <c r="H944">
        <f>$C944*H943</f>
        <v/>
      </c>
      <c r="I944">
        <f>$C944*I943</f>
        <v/>
      </c>
      <c r="J944">
        <f>$C944*J943</f>
        <v/>
      </c>
      <c r="K944">
        <f>$C944*K943</f>
        <v/>
      </c>
      <c r="L944">
        <f>$C944*L943</f>
        <v/>
      </c>
      <c r="M944">
        <f>$C944*M943</f>
        <v/>
      </c>
      <c r="N944">
        <f>$C944*N943</f>
        <v/>
      </c>
      <c r="O944">
        <f>$C944*O943</f>
        <v/>
      </c>
      <c r="P944">
        <f>$C944*P943</f>
        <v/>
      </c>
      <c r="Q944">
        <f>$C944*Q943</f>
        <v/>
      </c>
      <c r="R944">
        <f>$C944*R943</f>
        <v/>
      </c>
      <c r="S944">
        <f>$C944*S943</f>
        <v/>
      </c>
      <c r="T944">
        <f>$C944*T943</f>
        <v/>
      </c>
      <c r="U944">
        <f>$C944*U943</f>
        <v/>
      </c>
      <c r="V944">
        <f>$C944*V943</f>
        <v/>
      </c>
      <c r="W944">
        <f>$C944*W943</f>
        <v/>
      </c>
      <c r="X944">
        <f>$C944*X943</f>
        <v/>
      </c>
      <c r="Y944">
        <f>$C944*Y943</f>
        <v/>
      </c>
      <c r="Z944">
        <f>$C944*Z943</f>
        <v/>
      </c>
      <c r="AA944">
        <f>$C944*AA943</f>
        <v/>
      </c>
      <c r="AB944">
        <f>$C944*AB943</f>
        <v/>
      </c>
      <c r="AC944">
        <f>$C944*AC943</f>
        <v/>
      </c>
      <c r="AD944">
        <f>$C944*AD943</f>
        <v/>
      </c>
      <c r="AE944">
        <f>$C944*AE943</f>
        <v/>
      </c>
      <c r="AF944">
        <f>$C944*AF943</f>
        <v/>
      </c>
      <c r="AG944">
        <f>$C944*AG943</f>
        <v/>
      </c>
      <c r="AH944">
        <f>$C944*AH943</f>
        <v/>
      </c>
      <c r="AI944">
        <f>$C944*AI943</f>
        <v/>
      </c>
      <c r="AJ944">
        <f>$C944*AJ943</f>
        <v/>
      </c>
      <c r="AK944">
        <f>$C944*AK943</f>
        <v/>
      </c>
      <c r="AL944">
        <f>$C944*AL943</f>
        <v/>
      </c>
      <c r="AM944">
        <f>$C944*AM943</f>
        <v/>
      </c>
      <c r="AN944">
        <f>$C944*AN943</f>
        <v/>
      </c>
      <c r="AO944">
        <f>$C944*AO943</f>
        <v/>
      </c>
      <c r="AP944">
        <f>$C944*AP943</f>
        <v/>
      </c>
      <c r="AQ944">
        <f>$C944*AQ943</f>
        <v/>
      </c>
      <c r="AR944">
        <f>$C944*AR943</f>
        <v/>
      </c>
      <c r="AS944">
        <f>$C944*AS943</f>
        <v/>
      </c>
      <c r="AT944">
        <f>$C944*AT943</f>
        <v/>
      </c>
      <c r="AU944">
        <f>$C944*AU943</f>
        <v/>
      </c>
      <c r="AV944">
        <f>$C944*AV943</f>
        <v/>
      </c>
      <c r="AW944">
        <f>$C944*AW943</f>
        <v/>
      </c>
      <c r="AX944">
        <f>$C944*AX943</f>
        <v/>
      </c>
      <c r="AY944">
        <f>$C944*AY943</f>
        <v/>
      </c>
      <c r="AZ944">
        <f>$C944*AZ943</f>
        <v/>
      </c>
      <c r="BA944">
        <f>$C944*BA943</f>
        <v/>
      </c>
      <c r="BB944">
        <f>$C944*BB943</f>
        <v/>
      </c>
      <c r="BC944">
        <f>$C944*BC943</f>
        <v/>
      </c>
      <c r="BD944">
        <f>$C944*BD943</f>
        <v/>
      </c>
      <c r="BE944">
        <f>$C944*BE943</f>
        <v/>
      </c>
      <c r="BF944">
        <f>$C944*BF943</f>
        <v/>
      </c>
      <c r="BG944">
        <f>$C944*BG943</f>
        <v/>
      </c>
      <c r="BH944">
        <f>$C944*BH943</f>
        <v/>
      </c>
      <c r="BI944">
        <f>$C944*BI943</f>
        <v/>
      </c>
      <c r="BJ944">
        <f>$C944*BJ943</f>
        <v/>
      </c>
      <c r="BK944">
        <f>$C944*BK943</f>
        <v/>
      </c>
      <c r="BL944">
        <f>$C944*BL943</f>
        <v/>
      </c>
      <c r="BM944">
        <f>$C944*BM943</f>
        <v/>
      </c>
      <c r="BN944">
        <f>$C944*BN943</f>
        <v/>
      </c>
      <c r="BO944">
        <f>$C944*BO943</f>
        <v/>
      </c>
      <c r="BP944">
        <f>$C944*BP943</f>
        <v/>
      </c>
      <c r="BQ944">
        <f>$C944*BQ943</f>
        <v/>
      </c>
      <c r="BR944">
        <f>$C944*BR943</f>
        <v/>
      </c>
      <c r="BS944">
        <f>$C944*BS943</f>
        <v/>
      </c>
      <c r="BT944">
        <f>$C944*BT943</f>
        <v/>
      </c>
      <c r="BU944">
        <f>$C944*BU943</f>
        <v/>
      </c>
      <c r="BV944">
        <f>$C944*BV943</f>
        <v/>
      </c>
      <c r="BW944">
        <f>$C944*BW943</f>
        <v/>
      </c>
      <c r="BX944">
        <f>$C944*BX943</f>
        <v/>
      </c>
      <c r="BY944">
        <f>$C944*BY943</f>
        <v/>
      </c>
      <c r="BZ944">
        <f>$C944*BZ943</f>
        <v/>
      </c>
      <c r="CA944">
        <f>$C944*CA943</f>
        <v/>
      </c>
      <c r="CB944">
        <f>$C944*CB943</f>
        <v/>
      </c>
      <c r="CC944">
        <f>$C944*CC943</f>
        <v/>
      </c>
      <c r="CD944">
        <f>$C944*CD943</f>
        <v/>
      </c>
      <c r="CE944">
        <f>$C944*CE943</f>
        <v/>
      </c>
      <c r="CF944">
        <f>$C944*CF943</f>
        <v/>
      </c>
      <c r="CG944">
        <f>$C944*CG943</f>
        <v/>
      </c>
      <c r="CH944">
        <f>$C944*CH943</f>
        <v/>
      </c>
      <c r="CI944">
        <f>$C944*CI943</f>
        <v/>
      </c>
      <c r="CJ944">
        <f>$C944*CJ943</f>
        <v/>
      </c>
      <c r="CK944">
        <f>$C944*CK943</f>
        <v/>
      </c>
      <c r="CL944">
        <f>$C944*CL943</f>
        <v/>
      </c>
      <c r="CM944">
        <f>$C944*CM943</f>
        <v/>
      </c>
      <c r="CN944">
        <f>$C944*CN943</f>
        <v/>
      </c>
      <c r="CO944">
        <f>$C944*CO943</f>
        <v/>
      </c>
      <c r="CP944">
        <f>$C944*CP943</f>
        <v/>
      </c>
      <c r="CQ944">
        <f>$C944*CQ943</f>
        <v/>
      </c>
      <c r="CR944">
        <f>$C944*CR943</f>
        <v/>
      </c>
      <c r="CS944">
        <f>$C944*CS943</f>
        <v/>
      </c>
      <c r="CT944">
        <f>$C944*CT943</f>
        <v/>
      </c>
      <c r="CU944">
        <f>$C944*CU943</f>
        <v/>
      </c>
      <c r="CV944">
        <f>$C944*CV943</f>
        <v/>
      </c>
      <c r="CW944">
        <f>$C944*CW943</f>
        <v/>
      </c>
      <c r="CX944">
        <f>$C944*CX943</f>
        <v/>
      </c>
      <c r="CY944">
        <f>$C944*CY943</f>
        <v/>
      </c>
      <c r="CZ944">
        <f>$C944*CZ943</f>
        <v/>
      </c>
      <c r="DA944">
        <f>$C944*DA943</f>
        <v/>
      </c>
      <c r="DB944">
        <f>$C944*DB943</f>
        <v/>
      </c>
      <c r="DC944">
        <f>$C944*DC943</f>
        <v/>
      </c>
      <c r="DD944">
        <f>$C944*DD943</f>
        <v/>
      </c>
    </row>
    <row r="945">
      <c r="B945" t="inlineStr">
        <is>
          <t>TSP-544</t>
        </is>
      </c>
      <c r="C945" t="inlineStr">
        <is>
          <t>No. of batches</t>
        </is>
      </c>
      <c r="D945">
        <f>IFERROR(INDEX(E945:DD945,$F$1),"")</f>
        <v/>
      </c>
      <c r="E945">
        <f>IFERROR(INDEX(PP_Grid[#Data],$DE945,2),0)</f>
        <v/>
      </c>
      <c r="F945">
        <f>IFERROR(INDEX(PP_Grid[#Data],$DE945,3),0)</f>
        <v/>
      </c>
      <c r="G945">
        <f>IFERROR(INDEX(PP_Grid[#Data],$DE945,4),0)</f>
        <v/>
      </c>
      <c r="H945">
        <f>IFERROR(INDEX(PP_Grid[#Data],$DE945,5),0)</f>
        <v/>
      </c>
      <c r="I945">
        <f>IFERROR(INDEX(PP_Grid[#Data],$DE945,6),0)</f>
        <v/>
      </c>
      <c r="J945">
        <f>IFERROR(INDEX(PP_Grid[#Data],$DE945,7),0)</f>
        <v/>
      </c>
      <c r="K945">
        <f>IFERROR(INDEX(PP_Grid[#Data],$DE945,8),0)</f>
        <v/>
      </c>
      <c r="L945">
        <f>IFERROR(INDEX(PP_Grid[#Data],$DE945,9),0)</f>
        <v/>
      </c>
      <c r="M945">
        <f>IFERROR(INDEX(PP_Grid[#Data],$DE945,10),0)</f>
        <v/>
      </c>
      <c r="N945">
        <f>IFERROR(INDEX(PP_Grid[#Data],$DE945,11),0)</f>
        <v/>
      </c>
      <c r="O945">
        <f>IFERROR(INDEX(PP_Grid[#Data],$DE945,12),0)</f>
        <v/>
      </c>
      <c r="P945">
        <f>IFERROR(INDEX(PP_Grid[#Data],$DE945,13),0)</f>
        <v/>
      </c>
      <c r="Q945">
        <f>IFERROR(INDEX(PP_Grid[#Data],$DE945,14),0)</f>
        <v/>
      </c>
      <c r="R945">
        <f>IFERROR(INDEX(PP_Grid[#Data],$DE945,15),0)</f>
        <v/>
      </c>
      <c r="S945">
        <f>IFERROR(INDEX(PP_Grid[#Data],$DE945,16),0)</f>
        <v/>
      </c>
      <c r="T945">
        <f>IFERROR(INDEX(PP_Grid[#Data],$DE945,17),0)</f>
        <v/>
      </c>
      <c r="U945">
        <f>IFERROR(INDEX(PP_Grid[#Data],$DE945,18),0)</f>
        <v/>
      </c>
      <c r="V945">
        <f>IFERROR(INDEX(PP_Grid[#Data],$DE945,19),0)</f>
        <v/>
      </c>
      <c r="W945">
        <f>IFERROR(INDEX(PP_Grid[#Data],$DE945,20),0)</f>
        <v/>
      </c>
      <c r="X945">
        <f>IFERROR(INDEX(PP_Grid[#Data],$DE945,21),0)</f>
        <v/>
      </c>
      <c r="Y945">
        <f>IFERROR(INDEX(PP_Grid[#Data],$DE945,22),0)</f>
        <v/>
      </c>
      <c r="Z945">
        <f>IFERROR(INDEX(PP_Grid[#Data],$DE945,23),0)</f>
        <v/>
      </c>
      <c r="AA945">
        <f>IFERROR(INDEX(PP_Grid[#Data],$DE945,24),0)</f>
        <v/>
      </c>
      <c r="AB945">
        <f>IFERROR(INDEX(PP_Grid[#Data],$DE945,25),0)</f>
        <v/>
      </c>
      <c r="AC945">
        <f>IFERROR(INDEX(PP_Grid[#Data],$DE945,26),0)</f>
        <v/>
      </c>
      <c r="AD945">
        <f>IFERROR(INDEX(PP_Grid[#Data],$DE945,27),0)</f>
        <v/>
      </c>
      <c r="AE945">
        <f>IFERROR(INDEX(PP_Grid[#Data],$DE945,28),0)</f>
        <v/>
      </c>
      <c r="AF945">
        <f>IFERROR(INDEX(PP_Grid[#Data],$DE945,29),0)</f>
        <v/>
      </c>
      <c r="AG945">
        <f>IFERROR(INDEX(PP_Grid[#Data],$DE945,30),0)</f>
        <v/>
      </c>
      <c r="AH945">
        <f>IFERROR(INDEX(PP_Grid[#Data],$DE945,31),0)</f>
        <v/>
      </c>
      <c r="AI945">
        <f>IFERROR(INDEX(PP_Grid[#Data],$DE945,32),0)</f>
        <v/>
      </c>
      <c r="AJ945">
        <f>IFERROR(INDEX(PP_Grid[#Data],$DE945,33),0)</f>
        <v/>
      </c>
      <c r="AK945">
        <f>IFERROR(INDEX(PP_Grid[#Data],$DE945,34),0)</f>
        <v/>
      </c>
      <c r="AL945">
        <f>IFERROR(INDEX(PP_Grid[#Data],$DE945,35),0)</f>
        <v/>
      </c>
      <c r="AM945">
        <f>IFERROR(INDEX(PP_Grid[#Data],$DE945,36),0)</f>
        <v/>
      </c>
      <c r="AN945">
        <f>IFERROR(INDEX(PP_Grid[#Data],$DE945,37),0)</f>
        <v/>
      </c>
      <c r="AO945">
        <f>IFERROR(INDEX(PP_Grid[#Data],$DE945,38),0)</f>
        <v/>
      </c>
      <c r="AP945">
        <f>IFERROR(INDEX(PP_Grid[#Data],$DE945,39),0)</f>
        <v/>
      </c>
      <c r="AQ945">
        <f>IFERROR(INDEX(PP_Grid[#Data],$DE945,40),0)</f>
        <v/>
      </c>
      <c r="AR945">
        <f>IFERROR(INDEX(PP_Grid[#Data],$DE945,41),0)</f>
        <v/>
      </c>
      <c r="AS945">
        <f>IFERROR(INDEX(PP_Grid[#Data],$DE945,42),0)</f>
        <v/>
      </c>
      <c r="AT945">
        <f>IFERROR(INDEX(PP_Grid[#Data],$DE945,43),0)</f>
        <v/>
      </c>
      <c r="AU945">
        <f>IFERROR(INDEX(PP_Grid[#Data],$DE945,44),0)</f>
        <v/>
      </c>
      <c r="AV945">
        <f>IFERROR(INDEX(PP_Grid[#Data],$DE945,45),0)</f>
        <v/>
      </c>
      <c r="AW945">
        <f>IFERROR(INDEX(PP_Grid[#Data],$DE945,46),0)</f>
        <v/>
      </c>
      <c r="AX945">
        <f>IFERROR(INDEX(PP_Grid[#Data],$DE945,47),0)</f>
        <v/>
      </c>
      <c r="AY945">
        <f>IFERROR(INDEX(PP_Grid[#Data],$DE945,48),0)</f>
        <v/>
      </c>
      <c r="AZ945">
        <f>IFERROR(INDEX(PP_Grid[#Data],$DE945,49),0)</f>
        <v/>
      </c>
      <c r="BA945">
        <f>IFERROR(INDEX(PP_Grid[#Data],$DE945,50),0)</f>
        <v/>
      </c>
      <c r="BB945">
        <f>IFERROR(INDEX(PP_Grid[#Data],$DE945,51),0)</f>
        <v/>
      </c>
      <c r="BC945">
        <f>IFERROR(INDEX(PP_Grid[#Data],$DE945,52),0)</f>
        <v/>
      </c>
      <c r="BD945">
        <f>IFERROR(INDEX(PP_Grid[#Data],$DE945,53),0)</f>
        <v/>
      </c>
      <c r="BE945">
        <f>IFERROR(INDEX(PP_Grid[#Data],$DE945,54),0)</f>
        <v/>
      </c>
      <c r="BF945">
        <f>IFERROR(INDEX(PP_Grid[#Data],$DE945,55),0)</f>
        <v/>
      </c>
      <c r="BG945">
        <f>IFERROR(INDEX(PP_Grid[#Data],$DE945,56),0)</f>
        <v/>
      </c>
      <c r="BH945">
        <f>IFERROR(INDEX(PP_Grid[#Data],$DE945,57),0)</f>
        <v/>
      </c>
      <c r="BI945">
        <f>IFERROR(INDEX(PP_Grid[#Data],$DE945,58),0)</f>
        <v/>
      </c>
      <c r="BJ945">
        <f>IFERROR(INDEX(PP_Grid[#Data],$DE945,59),0)</f>
        <v/>
      </c>
      <c r="BK945">
        <f>IFERROR(INDEX(PP_Grid[#Data],$DE945,60),0)</f>
        <v/>
      </c>
      <c r="BL945">
        <f>IFERROR(INDEX(PP_Grid[#Data],$DE945,61),0)</f>
        <v/>
      </c>
      <c r="BM945">
        <f>IFERROR(INDEX(PP_Grid[#Data],$DE945,62),0)</f>
        <v/>
      </c>
      <c r="BN945">
        <f>IFERROR(INDEX(PP_Grid[#Data],$DE945,63),0)</f>
        <v/>
      </c>
      <c r="BO945">
        <f>IFERROR(INDEX(PP_Grid[#Data],$DE945,64),0)</f>
        <v/>
      </c>
      <c r="BP945">
        <f>IFERROR(INDEX(PP_Grid[#Data],$DE945,65),0)</f>
        <v/>
      </c>
      <c r="BQ945">
        <f>IFERROR(INDEX(PP_Grid[#Data],$DE945,66),0)</f>
        <v/>
      </c>
      <c r="BR945">
        <f>IFERROR(INDEX(PP_Grid[#Data],$DE945,67),0)</f>
        <v/>
      </c>
      <c r="BS945">
        <f>IFERROR(INDEX(PP_Grid[#Data],$DE945,68),0)</f>
        <v/>
      </c>
      <c r="BT945">
        <f>IFERROR(INDEX(PP_Grid[#Data],$DE945,69),0)</f>
        <v/>
      </c>
      <c r="BU945">
        <f>IFERROR(INDEX(PP_Grid[#Data],$DE945,70),0)</f>
        <v/>
      </c>
      <c r="BV945">
        <f>IFERROR(INDEX(PP_Grid[#Data],$DE945,71),0)</f>
        <v/>
      </c>
      <c r="BW945">
        <f>IFERROR(INDEX(PP_Grid[#Data],$DE945,72),0)</f>
        <v/>
      </c>
      <c r="BX945">
        <f>IFERROR(INDEX(PP_Grid[#Data],$DE945,73),0)</f>
        <v/>
      </c>
      <c r="BY945">
        <f>IFERROR(INDEX(PP_Grid[#Data],$DE945,74),0)</f>
        <v/>
      </c>
      <c r="BZ945">
        <f>IFERROR(INDEX(PP_Grid[#Data],$DE945,75),0)</f>
        <v/>
      </c>
      <c r="CA945">
        <f>IFERROR(INDEX(PP_Grid[#Data],$DE945,76),0)</f>
        <v/>
      </c>
      <c r="CB945">
        <f>IFERROR(INDEX(PP_Grid[#Data],$DE945,77),0)</f>
        <v/>
      </c>
      <c r="CC945">
        <f>IFERROR(INDEX(PP_Grid[#Data],$DE945,78),0)</f>
        <v/>
      </c>
      <c r="CD945">
        <f>IFERROR(INDEX(PP_Grid[#Data],$DE945,79),0)</f>
        <v/>
      </c>
      <c r="CE945">
        <f>IFERROR(INDEX(PP_Grid[#Data],$DE945,80),0)</f>
        <v/>
      </c>
      <c r="CF945">
        <f>IFERROR(INDEX(PP_Grid[#Data],$DE945,81),0)</f>
        <v/>
      </c>
      <c r="CG945">
        <f>IFERROR(INDEX(PP_Grid[#Data],$DE945,82),0)</f>
        <v/>
      </c>
      <c r="CH945">
        <f>IFERROR(INDEX(PP_Grid[#Data],$DE945,83),0)</f>
        <v/>
      </c>
      <c r="CI945">
        <f>IFERROR(INDEX(PP_Grid[#Data],$DE945,84),0)</f>
        <v/>
      </c>
      <c r="CJ945">
        <f>IFERROR(INDEX(PP_Grid[#Data],$DE945,85),0)</f>
        <v/>
      </c>
      <c r="CK945">
        <f>IFERROR(INDEX(PP_Grid[#Data],$DE945,86),0)</f>
        <v/>
      </c>
      <c r="CL945">
        <f>IFERROR(INDEX(PP_Grid[#Data],$DE945,87),0)</f>
        <v/>
      </c>
      <c r="CM945">
        <f>IFERROR(INDEX(PP_Grid[#Data],$DE945,88),0)</f>
        <v/>
      </c>
      <c r="CN945">
        <f>IFERROR(INDEX(PP_Grid[#Data],$DE945,89),0)</f>
        <v/>
      </c>
      <c r="CO945">
        <f>IFERROR(INDEX(PP_Grid[#Data],$DE945,90),0)</f>
        <v/>
      </c>
      <c r="CP945">
        <f>IFERROR(INDEX(PP_Grid[#Data],$DE945,91),0)</f>
        <v/>
      </c>
      <c r="CQ945">
        <f>IFERROR(INDEX(PP_Grid[#Data],$DE945,92),0)</f>
        <v/>
      </c>
      <c r="CR945">
        <f>IFERROR(INDEX(PP_Grid[#Data],$DE945,93),0)</f>
        <v/>
      </c>
      <c r="CS945">
        <f>IFERROR(INDEX(PP_Grid[#Data],$DE945,94),0)</f>
        <v/>
      </c>
      <c r="CT945">
        <f>IFERROR(INDEX(PP_Grid[#Data],$DE945,95),0)</f>
        <v/>
      </c>
      <c r="CU945">
        <f>IFERROR(INDEX(PP_Grid[#Data],$DE945,96),0)</f>
        <v/>
      </c>
      <c r="CV945">
        <f>IFERROR(INDEX(PP_Grid[#Data],$DE945,97),0)</f>
        <v/>
      </c>
      <c r="CW945">
        <f>IFERROR(INDEX(PP_Grid[#Data],$DE945,98),0)</f>
        <v/>
      </c>
      <c r="CX945">
        <f>IFERROR(INDEX(PP_Grid[#Data],$DE945,99),0)</f>
        <v/>
      </c>
      <c r="CY945">
        <f>IFERROR(INDEX(PP_Grid[#Data],$DE945,100),0)</f>
        <v/>
      </c>
      <c r="CZ945">
        <f>IFERROR(INDEX(PP_Grid[#Data],$DE945,101),0)</f>
        <v/>
      </c>
      <c r="DA945">
        <f>IFERROR(INDEX(PP_Grid[#Data],$DE945,102),0)</f>
        <v/>
      </c>
      <c r="DB945">
        <f>IFERROR(INDEX(PP_Grid[#Data],$DE945,103),0)</f>
        <v/>
      </c>
      <c r="DC945">
        <f>IFERROR(INDEX(PP_Grid[#Data],$DE945,104),0)</f>
        <v/>
      </c>
      <c r="DD945">
        <f>IFERROR(INDEX(PP_Grid[#Data],$DE945,105),0)</f>
        <v/>
      </c>
      <c r="DE945" s="7">
        <f>IFERROR(MATCH($B945,PP_Grid[Intermediate],0),99999)</f>
        <v/>
      </c>
    </row>
    <row r="946">
      <c r="B946" t="inlineStr">
        <is>
          <t>使用量(kg)</t>
        </is>
      </c>
      <c r="C946">
        <f>SUMIFS(M_BOM[RM_Qty_Per_Batch],M_BOM[Intermediate],$B945,M_BOM[RM_Code],$A938)</f>
        <v/>
      </c>
      <c r="D946">
        <f>IFERROR(INDEX(E946:DD946,$F$1),"")</f>
        <v/>
      </c>
      <c r="E946">
        <f>$C946*E945</f>
        <v/>
      </c>
      <c r="F946">
        <f>$C946*F945</f>
        <v/>
      </c>
      <c r="G946">
        <f>$C946*G945</f>
        <v/>
      </c>
      <c r="H946">
        <f>$C946*H945</f>
        <v/>
      </c>
      <c r="I946">
        <f>$C946*I945</f>
        <v/>
      </c>
      <c r="J946">
        <f>$C946*J945</f>
        <v/>
      </c>
      <c r="K946">
        <f>$C946*K945</f>
        <v/>
      </c>
      <c r="L946">
        <f>$C946*L945</f>
        <v/>
      </c>
      <c r="M946">
        <f>$C946*M945</f>
        <v/>
      </c>
      <c r="N946">
        <f>$C946*N945</f>
        <v/>
      </c>
      <c r="O946">
        <f>$C946*O945</f>
        <v/>
      </c>
      <c r="P946">
        <f>$C946*P945</f>
        <v/>
      </c>
      <c r="Q946">
        <f>$C946*Q945</f>
        <v/>
      </c>
      <c r="R946">
        <f>$C946*R945</f>
        <v/>
      </c>
      <c r="S946">
        <f>$C946*S945</f>
        <v/>
      </c>
      <c r="T946">
        <f>$C946*T945</f>
        <v/>
      </c>
      <c r="U946">
        <f>$C946*U945</f>
        <v/>
      </c>
      <c r="V946">
        <f>$C946*V945</f>
        <v/>
      </c>
      <c r="W946">
        <f>$C946*W945</f>
        <v/>
      </c>
      <c r="X946">
        <f>$C946*X945</f>
        <v/>
      </c>
      <c r="Y946">
        <f>$C946*Y945</f>
        <v/>
      </c>
      <c r="Z946">
        <f>$C946*Z945</f>
        <v/>
      </c>
      <c r="AA946">
        <f>$C946*AA945</f>
        <v/>
      </c>
      <c r="AB946">
        <f>$C946*AB945</f>
        <v/>
      </c>
      <c r="AC946">
        <f>$C946*AC945</f>
        <v/>
      </c>
      <c r="AD946">
        <f>$C946*AD945</f>
        <v/>
      </c>
      <c r="AE946">
        <f>$C946*AE945</f>
        <v/>
      </c>
      <c r="AF946">
        <f>$C946*AF945</f>
        <v/>
      </c>
      <c r="AG946">
        <f>$C946*AG945</f>
        <v/>
      </c>
      <c r="AH946">
        <f>$C946*AH945</f>
        <v/>
      </c>
      <c r="AI946">
        <f>$C946*AI945</f>
        <v/>
      </c>
      <c r="AJ946">
        <f>$C946*AJ945</f>
        <v/>
      </c>
      <c r="AK946">
        <f>$C946*AK945</f>
        <v/>
      </c>
      <c r="AL946">
        <f>$C946*AL945</f>
        <v/>
      </c>
      <c r="AM946">
        <f>$C946*AM945</f>
        <v/>
      </c>
      <c r="AN946">
        <f>$C946*AN945</f>
        <v/>
      </c>
      <c r="AO946">
        <f>$C946*AO945</f>
        <v/>
      </c>
      <c r="AP946">
        <f>$C946*AP945</f>
        <v/>
      </c>
      <c r="AQ946">
        <f>$C946*AQ945</f>
        <v/>
      </c>
      <c r="AR946">
        <f>$C946*AR945</f>
        <v/>
      </c>
      <c r="AS946">
        <f>$C946*AS945</f>
        <v/>
      </c>
      <c r="AT946">
        <f>$C946*AT945</f>
        <v/>
      </c>
      <c r="AU946">
        <f>$C946*AU945</f>
        <v/>
      </c>
      <c r="AV946">
        <f>$C946*AV945</f>
        <v/>
      </c>
      <c r="AW946">
        <f>$C946*AW945</f>
        <v/>
      </c>
      <c r="AX946">
        <f>$C946*AX945</f>
        <v/>
      </c>
      <c r="AY946">
        <f>$C946*AY945</f>
        <v/>
      </c>
      <c r="AZ946">
        <f>$C946*AZ945</f>
        <v/>
      </c>
      <c r="BA946">
        <f>$C946*BA945</f>
        <v/>
      </c>
      <c r="BB946">
        <f>$C946*BB945</f>
        <v/>
      </c>
      <c r="BC946">
        <f>$C946*BC945</f>
        <v/>
      </c>
      <c r="BD946">
        <f>$C946*BD945</f>
        <v/>
      </c>
      <c r="BE946">
        <f>$C946*BE945</f>
        <v/>
      </c>
      <c r="BF946">
        <f>$C946*BF945</f>
        <v/>
      </c>
      <c r="BG946">
        <f>$C946*BG945</f>
        <v/>
      </c>
      <c r="BH946">
        <f>$C946*BH945</f>
        <v/>
      </c>
      <c r="BI946">
        <f>$C946*BI945</f>
        <v/>
      </c>
      <c r="BJ946">
        <f>$C946*BJ945</f>
        <v/>
      </c>
      <c r="BK946">
        <f>$C946*BK945</f>
        <v/>
      </c>
      <c r="BL946">
        <f>$C946*BL945</f>
        <v/>
      </c>
      <c r="BM946">
        <f>$C946*BM945</f>
        <v/>
      </c>
      <c r="BN946">
        <f>$C946*BN945</f>
        <v/>
      </c>
      <c r="BO946">
        <f>$C946*BO945</f>
        <v/>
      </c>
      <c r="BP946">
        <f>$C946*BP945</f>
        <v/>
      </c>
      <c r="BQ946">
        <f>$C946*BQ945</f>
        <v/>
      </c>
      <c r="BR946">
        <f>$C946*BR945</f>
        <v/>
      </c>
      <c r="BS946">
        <f>$C946*BS945</f>
        <v/>
      </c>
      <c r="BT946">
        <f>$C946*BT945</f>
        <v/>
      </c>
      <c r="BU946">
        <f>$C946*BU945</f>
        <v/>
      </c>
      <c r="BV946">
        <f>$C946*BV945</f>
        <v/>
      </c>
      <c r="BW946">
        <f>$C946*BW945</f>
        <v/>
      </c>
      <c r="BX946">
        <f>$C946*BX945</f>
        <v/>
      </c>
      <c r="BY946">
        <f>$C946*BY945</f>
        <v/>
      </c>
      <c r="BZ946">
        <f>$C946*BZ945</f>
        <v/>
      </c>
      <c r="CA946">
        <f>$C946*CA945</f>
        <v/>
      </c>
      <c r="CB946">
        <f>$C946*CB945</f>
        <v/>
      </c>
      <c r="CC946">
        <f>$C946*CC945</f>
        <v/>
      </c>
      <c r="CD946">
        <f>$C946*CD945</f>
        <v/>
      </c>
      <c r="CE946">
        <f>$C946*CE945</f>
        <v/>
      </c>
      <c r="CF946">
        <f>$C946*CF945</f>
        <v/>
      </c>
      <c r="CG946">
        <f>$C946*CG945</f>
        <v/>
      </c>
      <c r="CH946">
        <f>$C946*CH945</f>
        <v/>
      </c>
      <c r="CI946">
        <f>$C946*CI945</f>
        <v/>
      </c>
      <c r="CJ946">
        <f>$C946*CJ945</f>
        <v/>
      </c>
      <c r="CK946">
        <f>$C946*CK945</f>
        <v/>
      </c>
      <c r="CL946">
        <f>$C946*CL945</f>
        <v/>
      </c>
      <c r="CM946">
        <f>$C946*CM945</f>
        <v/>
      </c>
      <c r="CN946">
        <f>$C946*CN945</f>
        <v/>
      </c>
      <c r="CO946">
        <f>$C946*CO945</f>
        <v/>
      </c>
      <c r="CP946">
        <f>$C946*CP945</f>
        <v/>
      </c>
      <c r="CQ946">
        <f>$C946*CQ945</f>
        <v/>
      </c>
      <c r="CR946">
        <f>$C946*CR945</f>
        <v/>
      </c>
      <c r="CS946">
        <f>$C946*CS945</f>
        <v/>
      </c>
      <c r="CT946">
        <f>$C946*CT945</f>
        <v/>
      </c>
      <c r="CU946">
        <f>$C946*CU945</f>
        <v/>
      </c>
      <c r="CV946">
        <f>$C946*CV945</f>
        <v/>
      </c>
      <c r="CW946">
        <f>$C946*CW945</f>
        <v/>
      </c>
      <c r="CX946">
        <f>$C946*CX945</f>
        <v/>
      </c>
      <c r="CY946">
        <f>$C946*CY945</f>
        <v/>
      </c>
      <c r="CZ946">
        <f>$C946*CZ945</f>
        <v/>
      </c>
      <c r="DA946">
        <f>$C946*DA945</f>
        <v/>
      </c>
      <c r="DB946">
        <f>$C946*DB945</f>
        <v/>
      </c>
      <c r="DC946">
        <f>$C946*DC945</f>
        <v/>
      </c>
      <c r="DD946">
        <f>$C946*DD945</f>
        <v/>
      </c>
    </row>
    <row r="947">
      <c r="B947" t="inlineStr">
        <is>
          <t>TSP-710</t>
        </is>
      </c>
      <c r="C947" t="inlineStr">
        <is>
          <t>No. of batches</t>
        </is>
      </c>
      <c r="D947">
        <f>IFERROR(INDEX(E947:DD947,$F$1),"")</f>
        <v/>
      </c>
      <c r="E947">
        <f>IFERROR(INDEX(PP_Grid[#Data],$DE947,2),0)</f>
        <v/>
      </c>
      <c r="F947">
        <f>IFERROR(INDEX(PP_Grid[#Data],$DE947,3),0)</f>
        <v/>
      </c>
      <c r="G947">
        <f>IFERROR(INDEX(PP_Grid[#Data],$DE947,4),0)</f>
        <v/>
      </c>
      <c r="H947">
        <f>IFERROR(INDEX(PP_Grid[#Data],$DE947,5),0)</f>
        <v/>
      </c>
      <c r="I947">
        <f>IFERROR(INDEX(PP_Grid[#Data],$DE947,6),0)</f>
        <v/>
      </c>
      <c r="J947">
        <f>IFERROR(INDEX(PP_Grid[#Data],$DE947,7),0)</f>
        <v/>
      </c>
      <c r="K947">
        <f>IFERROR(INDEX(PP_Grid[#Data],$DE947,8),0)</f>
        <v/>
      </c>
      <c r="L947">
        <f>IFERROR(INDEX(PP_Grid[#Data],$DE947,9),0)</f>
        <v/>
      </c>
      <c r="M947">
        <f>IFERROR(INDEX(PP_Grid[#Data],$DE947,10),0)</f>
        <v/>
      </c>
      <c r="N947">
        <f>IFERROR(INDEX(PP_Grid[#Data],$DE947,11),0)</f>
        <v/>
      </c>
      <c r="O947">
        <f>IFERROR(INDEX(PP_Grid[#Data],$DE947,12),0)</f>
        <v/>
      </c>
      <c r="P947">
        <f>IFERROR(INDEX(PP_Grid[#Data],$DE947,13),0)</f>
        <v/>
      </c>
      <c r="Q947">
        <f>IFERROR(INDEX(PP_Grid[#Data],$DE947,14),0)</f>
        <v/>
      </c>
      <c r="R947">
        <f>IFERROR(INDEX(PP_Grid[#Data],$DE947,15),0)</f>
        <v/>
      </c>
      <c r="S947">
        <f>IFERROR(INDEX(PP_Grid[#Data],$DE947,16),0)</f>
        <v/>
      </c>
      <c r="T947">
        <f>IFERROR(INDEX(PP_Grid[#Data],$DE947,17),0)</f>
        <v/>
      </c>
      <c r="U947">
        <f>IFERROR(INDEX(PP_Grid[#Data],$DE947,18),0)</f>
        <v/>
      </c>
      <c r="V947">
        <f>IFERROR(INDEX(PP_Grid[#Data],$DE947,19),0)</f>
        <v/>
      </c>
      <c r="W947">
        <f>IFERROR(INDEX(PP_Grid[#Data],$DE947,20),0)</f>
        <v/>
      </c>
      <c r="X947">
        <f>IFERROR(INDEX(PP_Grid[#Data],$DE947,21),0)</f>
        <v/>
      </c>
      <c r="Y947">
        <f>IFERROR(INDEX(PP_Grid[#Data],$DE947,22),0)</f>
        <v/>
      </c>
      <c r="Z947">
        <f>IFERROR(INDEX(PP_Grid[#Data],$DE947,23),0)</f>
        <v/>
      </c>
      <c r="AA947">
        <f>IFERROR(INDEX(PP_Grid[#Data],$DE947,24),0)</f>
        <v/>
      </c>
      <c r="AB947">
        <f>IFERROR(INDEX(PP_Grid[#Data],$DE947,25),0)</f>
        <v/>
      </c>
      <c r="AC947">
        <f>IFERROR(INDEX(PP_Grid[#Data],$DE947,26),0)</f>
        <v/>
      </c>
      <c r="AD947">
        <f>IFERROR(INDEX(PP_Grid[#Data],$DE947,27),0)</f>
        <v/>
      </c>
      <c r="AE947">
        <f>IFERROR(INDEX(PP_Grid[#Data],$DE947,28),0)</f>
        <v/>
      </c>
      <c r="AF947">
        <f>IFERROR(INDEX(PP_Grid[#Data],$DE947,29),0)</f>
        <v/>
      </c>
      <c r="AG947">
        <f>IFERROR(INDEX(PP_Grid[#Data],$DE947,30),0)</f>
        <v/>
      </c>
      <c r="AH947">
        <f>IFERROR(INDEX(PP_Grid[#Data],$DE947,31),0)</f>
        <v/>
      </c>
      <c r="AI947">
        <f>IFERROR(INDEX(PP_Grid[#Data],$DE947,32),0)</f>
        <v/>
      </c>
      <c r="AJ947">
        <f>IFERROR(INDEX(PP_Grid[#Data],$DE947,33),0)</f>
        <v/>
      </c>
      <c r="AK947">
        <f>IFERROR(INDEX(PP_Grid[#Data],$DE947,34),0)</f>
        <v/>
      </c>
      <c r="AL947">
        <f>IFERROR(INDEX(PP_Grid[#Data],$DE947,35),0)</f>
        <v/>
      </c>
      <c r="AM947">
        <f>IFERROR(INDEX(PP_Grid[#Data],$DE947,36),0)</f>
        <v/>
      </c>
      <c r="AN947">
        <f>IFERROR(INDEX(PP_Grid[#Data],$DE947,37),0)</f>
        <v/>
      </c>
      <c r="AO947">
        <f>IFERROR(INDEX(PP_Grid[#Data],$DE947,38),0)</f>
        <v/>
      </c>
      <c r="AP947">
        <f>IFERROR(INDEX(PP_Grid[#Data],$DE947,39),0)</f>
        <v/>
      </c>
      <c r="AQ947">
        <f>IFERROR(INDEX(PP_Grid[#Data],$DE947,40),0)</f>
        <v/>
      </c>
      <c r="AR947">
        <f>IFERROR(INDEX(PP_Grid[#Data],$DE947,41),0)</f>
        <v/>
      </c>
      <c r="AS947">
        <f>IFERROR(INDEX(PP_Grid[#Data],$DE947,42),0)</f>
        <v/>
      </c>
      <c r="AT947">
        <f>IFERROR(INDEX(PP_Grid[#Data],$DE947,43),0)</f>
        <v/>
      </c>
      <c r="AU947">
        <f>IFERROR(INDEX(PP_Grid[#Data],$DE947,44),0)</f>
        <v/>
      </c>
      <c r="AV947">
        <f>IFERROR(INDEX(PP_Grid[#Data],$DE947,45),0)</f>
        <v/>
      </c>
      <c r="AW947">
        <f>IFERROR(INDEX(PP_Grid[#Data],$DE947,46),0)</f>
        <v/>
      </c>
      <c r="AX947">
        <f>IFERROR(INDEX(PP_Grid[#Data],$DE947,47),0)</f>
        <v/>
      </c>
      <c r="AY947">
        <f>IFERROR(INDEX(PP_Grid[#Data],$DE947,48),0)</f>
        <v/>
      </c>
      <c r="AZ947">
        <f>IFERROR(INDEX(PP_Grid[#Data],$DE947,49),0)</f>
        <v/>
      </c>
      <c r="BA947">
        <f>IFERROR(INDEX(PP_Grid[#Data],$DE947,50),0)</f>
        <v/>
      </c>
      <c r="BB947">
        <f>IFERROR(INDEX(PP_Grid[#Data],$DE947,51),0)</f>
        <v/>
      </c>
      <c r="BC947">
        <f>IFERROR(INDEX(PP_Grid[#Data],$DE947,52),0)</f>
        <v/>
      </c>
      <c r="BD947">
        <f>IFERROR(INDEX(PP_Grid[#Data],$DE947,53),0)</f>
        <v/>
      </c>
      <c r="BE947">
        <f>IFERROR(INDEX(PP_Grid[#Data],$DE947,54),0)</f>
        <v/>
      </c>
      <c r="BF947">
        <f>IFERROR(INDEX(PP_Grid[#Data],$DE947,55),0)</f>
        <v/>
      </c>
      <c r="BG947">
        <f>IFERROR(INDEX(PP_Grid[#Data],$DE947,56),0)</f>
        <v/>
      </c>
      <c r="BH947">
        <f>IFERROR(INDEX(PP_Grid[#Data],$DE947,57),0)</f>
        <v/>
      </c>
      <c r="BI947">
        <f>IFERROR(INDEX(PP_Grid[#Data],$DE947,58),0)</f>
        <v/>
      </c>
      <c r="BJ947">
        <f>IFERROR(INDEX(PP_Grid[#Data],$DE947,59),0)</f>
        <v/>
      </c>
      <c r="BK947">
        <f>IFERROR(INDEX(PP_Grid[#Data],$DE947,60),0)</f>
        <v/>
      </c>
      <c r="BL947">
        <f>IFERROR(INDEX(PP_Grid[#Data],$DE947,61),0)</f>
        <v/>
      </c>
      <c r="BM947">
        <f>IFERROR(INDEX(PP_Grid[#Data],$DE947,62),0)</f>
        <v/>
      </c>
      <c r="BN947">
        <f>IFERROR(INDEX(PP_Grid[#Data],$DE947,63),0)</f>
        <v/>
      </c>
      <c r="BO947">
        <f>IFERROR(INDEX(PP_Grid[#Data],$DE947,64),0)</f>
        <v/>
      </c>
      <c r="BP947">
        <f>IFERROR(INDEX(PP_Grid[#Data],$DE947,65),0)</f>
        <v/>
      </c>
      <c r="BQ947">
        <f>IFERROR(INDEX(PP_Grid[#Data],$DE947,66),0)</f>
        <v/>
      </c>
      <c r="BR947">
        <f>IFERROR(INDEX(PP_Grid[#Data],$DE947,67),0)</f>
        <v/>
      </c>
      <c r="BS947">
        <f>IFERROR(INDEX(PP_Grid[#Data],$DE947,68),0)</f>
        <v/>
      </c>
      <c r="BT947">
        <f>IFERROR(INDEX(PP_Grid[#Data],$DE947,69),0)</f>
        <v/>
      </c>
      <c r="BU947">
        <f>IFERROR(INDEX(PP_Grid[#Data],$DE947,70),0)</f>
        <v/>
      </c>
      <c r="BV947">
        <f>IFERROR(INDEX(PP_Grid[#Data],$DE947,71),0)</f>
        <v/>
      </c>
      <c r="BW947">
        <f>IFERROR(INDEX(PP_Grid[#Data],$DE947,72),0)</f>
        <v/>
      </c>
      <c r="BX947">
        <f>IFERROR(INDEX(PP_Grid[#Data],$DE947,73),0)</f>
        <v/>
      </c>
      <c r="BY947">
        <f>IFERROR(INDEX(PP_Grid[#Data],$DE947,74),0)</f>
        <v/>
      </c>
      <c r="BZ947">
        <f>IFERROR(INDEX(PP_Grid[#Data],$DE947,75),0)</f>
        <v/>
      </c>
      <c r="CA947">
        <f>IFERROR(INDEX(PP_Grid[#Data],$DE947,76),0)</f>
        <v/>
      </c>
      <c r="CB947">
        <f>IFERROR(INDEX(PP_Grid[#Data],$DE947,77),0)</f>
        <v/>
      </c>
      <c r="CC947">
        <f>IFERROR(INDEX(PP_Grid[#Data],$DE947,78),0)</f>
        <v/>
      </c>
      <c r="CD947">
        <f>IFERROR(INDEX(PP_Grid[#Data],$DE947,79),0)</f>
        <v/>
      </c>
      <c r="CE947">
        <f>IFERROR(INDEX(PP_Grid[#Data],$DE947,80),0)</f>
        <v/>
      </c>
      <c r="CF947">
        <f>IFERROR(INDEX(PP_Grid[#Data],$DE947,81),0)</f>
        <v/>
      </c>
      <c r="CG947">
        <f>IFERROR(INDEX(PP_Grid[#Data],$DE947,82),0)</f>
        <v/>
      </c>
      <c r="CH947">
        <f>IFERROR(INDEX(PP_Grid[#Data],$DE947,83),0)</f>
        <v/>
      </c>
      <c r="CI947">
        <f>IFERROR(INDEX(PP_Grid[#Data],$DE947,84),0)</f>
        <v/>
      </c>
      <c r="CJ947">
        <f>IFERROR(INDEX(PP_Grid[#Data],$DE947,85),0)</f>
        <v/>
      </c>
      <c r="CK947">
        <f>IFERROR(INDEX(PP_Grid[#Data],$DE947,86),0)</f>
        <v/>
      </c>
      <c r="CL947">
        <f>IFERROR(INDEX(PP_Grid[#Data],$DE947,87),0)</f>
        <v/>
      </c>
      <c r="CM947">
        <f>IFERROR(INDEX(PP_Grid[#Data],$DE947,88),0)</f>
        <v/>
      </c>
      <c r="CN947">
        <f>IFERROR(INDEX(PP_Grid[#Data],$DE947,89),0)</f>
        <v/>
      </c>
      <c r="CO947">
        <f>IFERROR(INDEX(PP_Grid[#Data],$DE947,90),0)</f>
        <v/>
      </c>
      <c r="CP947">
        <f>IFERROR(INDEX(PP_Grid[#Data],$DE947,91),0)</f>
        <v/>
      </c>
      <c r="CQ947">
        <f>IFERROR(INDEX(PP_Grid[#Data],$DE947,92),0)</f>
        <v/>
      </c>
      <c r="CR947">
        <f>IFERROR(INDEX(PP_Grid[#Data],$DE947,93),0)</f>
        <v/>
      </c>
      <c r="CS947">
        <f>IFERROR(INDEX(PP_Grid[#Data],$DE947,94),0)</f>
        <v/>
      </c>
      <c r="CT947">
        <f>IFERROR(INDEX(PP_Grid[#Data],$DE947,95),0)</f>
        <v/>
      </c>
      <c r="CU947">
        <f>IFERROR(INDEX(PP_Grid[#Data],$DE947,96),0)</f>
        <v/>
      </c>
      <c r="CV947">
        <f>IFERROR(INDEX(PP_Grid[#Data],$DE947,97),0)</f>
        <v/>
      </c>
      <c r="CW947">
        <f>IFERROR(INDEX(PP_Grid[#Data],$DE947,98),0)</f>
        <v/>
      </c>
      <c r="CX947">
        <f>IFERROR(INDEX(PP_Grid[#Data],$DE947,99),0)</f>
        <v/>
      </c>
      <c r="CY947">
        <f>IFERROR(INDEX(PP_Grid[#Data],$DE947,100),0)</f>
        <v/>
      </c>
      <c r="CZ947">
        <f>IFERROR(INDEX(PP_Grid[#Data],$DE947,101),0)</f>
        <v/>
      </c>
      <c r="DA947">
        <f>IFERROR(INDEX(PP_Grid[#Data],$DE947,102),0)</f>
        <v/>
      </c>
      <c r="DB947">
        <f>IFERROR(INDEX(PP_Grid[#Data],$DE947,103),0)</f>
        <v/>
      </c>
      <c r="DC947">
        <f>IFERROR(INDEX(PP_Grid[#Data],$DE947,104),0)</f>
        <v/>
      </c>
      <c r="DD947">
        <f>IFERROR(INDEX(PP_Grid[#Data],$DE947,105),0)</f>
        <v/>
      </c>
      <c r="DE947" s="7">
        <f>IFERROR(MATCH($B947,PP_Grid[Intermediate],0),99999)</f>
        <v/>
      </c>
    </row>
    <row r="948">
      <c r="B948" t="inlineStr">
        <is>
          <t>使用量(kg)</t>
        </is>
      </c>
      <c r="C948">
        <f>SUMIFS(M_BOM[RM_Qty_Per_Batch],M_BOM[Intermediate],$B947,M_BOM[RM_Code],$A938)</f>
        <v/>
      </c>
      <c r="D948">
        <f>IFERROR(INDEX(E948:DD948,$F$1),"")</f>
        <v/>
      </c>
      <c r="E948">
        <f>$C948*E947</f>
        <v/>
      </c>
      <c r="F948">
        <f>$C948*F947</f>
        <v/>
      </c>
      <c r="G948">
        <f>$C948*G947</f>
        <v/>
      </c>
      <c r="H948">
        <f>$C948*H947</f>
        <v/>
      </c>
      <c r="I948">
        <f>$C948*I947</f>
        <v/>
      </c>
      <c r="J948">
        <f>$C948*J947</f>
        <v/>
      </c>
      <c r="K948">
        <f>$C948*K947</f>
        <v/>
      </c>
      <c r="L948">
        <f>$C948*L947</f>
        <v/>
      </c>
      <c r="M948">
        <f>$C948*M947</f>
        <v/>
      </c>
      <c r="N948">
        <f>$C948*N947</f>
        <v/>
      </c>
      <c r="O948">
        <f>$C948*O947</f>
        <v/>
      </c>
      <c r="P948">
        <f>$C948*P947</f>
        <v/>
      </c>
      <c r="Q948">
        <f>$C948*Q947</f>
        <v/>
      </c>
      <c r="R948">
        <f>$C948*R947</f>
        <v/>
      </c>
      <c r="S948">
        <f>$C948*S947</f>
        <v/>
      </c>
      <c r="T948">
        <f>$C948*T947</f>
        <v/>
      </c>
      <c r="U948">
        <f>$C948*U947</f>
        <v/>
      </c>
      <c r="V948">
        <f>$C948*V947</f>
        <v/>
      </c>
      <c r="W948">
        <f>$C948*W947</f>
        <v/>
      </c>
      <c r="X948">
        <f>$C948*X947</f>
        <v/>
      </c>
      <c r="Y948">
        <f>$C948*Y947</f>
        <v/>
      </c>
      <c r="Z948">
        <f>$C948*Z947</f>
        <v/>
      </c>
      <c r="AA948">
        <f>$C948*AA947</f>
        <v/>
      </c>
      <c r="AB948">
        <f>$C948*AB947</f>
        <v/>
      </c>
      <c r="AC948">
        <f>$C948*AC947</f>
        <v/>
      </c>
      <c r="AD948">
        <f>$C948*AD947</f>
        <v/>
      </c>
      <c r="AE948">
        <f>$C948*AE947</f>
        <v/>
      </c>
      <c r="AF948">
        <f>$C948*AF947</f>
        <v/>
      </c>
      <c r="AG948">
        <f>$C948*AG947</f>
        <v/>
      </c>
      <c r="AH948">
        <f>$C948*AH947</f>
        <v/>
      </c>
      <c r="AI948">
        <f>$C948*AI947</f>
        <v/>
      </c>
      <c r="AJ948">
        <f>$C948*AJ947</f>
        <v/>
      </c>
      <c r="AK948">
        <f>$C948*AK947</f>
        <v/>
      </c>
      <c r="AL948">
        <f>$C948*AL947</f>
        <v/>
      </c>
      <c r="AM948">
        <f>$C948*AM947</f>
        <v/>
      </c>
      <c r="AN948">
        <f>$C948*AN947</f>
        <v/>
      </c>
      <c r="AO948">
        <f>$C948*AO947</f>
        <v/>
      </c>
      <c r="AP948">
        <f>$C948*AP947</f>
        <v/>
      </c>
      <c r="AQ948">
        <f>$C948*AQ947</f>
        <v/>
      </c>
      <c r="AR948">
        <f>$C948*AR947</f>
        <v/>
      </c>
      <c r="AS948">
        <f>$C948*AS947</f>
        <v/>
      </c>
      <c r="AT948">
        <f>$C948*AT947</f>
        <v/>
      </c>
      <c r="AU948">
        <f>$C948*AU947</f>
        <v/>
      </c>
      <c r="AV948">
        <f>$C948*AV947</f>
        <v/>
      </c>
      <c r="AW948">
        <f>$C948*AW947</f>
        <v/>
      </c>
      <c r="AX948">
        <f>$C948*AX947</f>
        <v/>
      </c>
      <c r="AY948">
        <f>$C948*AY947</f>
        <v/>
      </c>
      <c r="AZ948">
        <f>$C948*AZ947</f>
        <v/>
      </c>
      <c r="BA948">
        <f>$C948*BA947</f>
        <v/>
      </c>
      <c r="BB948">
        <f>$C948*BB947</f>
        <v/>
      </c>
      <c r="BC948">
        <f>$C948*BC947</f>
        <v/>
      </c>
      <c r="BD948">
        <f>$C948*BD947</f>
        <v/>
      </c>
      <c r="BE948">
        <f>$C948*BE947</f>
        <v/>
      </c>
      <c r="BF948">
        <f>$C948*BF947</f>
        <v/>
      </c>
      <c r="BG948">
        <f>$C948*BG947</f>
        <v/>
      </c>
      <c r="BH948">
        <f>$C948*BH947</f>
        <v/>
      </c>
      <c r="BI948">
        <f>$C948*BI947</f>
        <v/>
      </c>
      <c r="BJ948">
        <f>$C948*BJ947</f>
        <v/>
      </c>
      <c r="BK948">
        <f>$C948*BK947</f>
        <v/>
      </c>
      <c r="BL948">
        <f>$C948*BL947</f>
        <v/>
      </c>
      <c r="BM948">
        <f>$C948*BM947</f>
        <v/>
      </c>
      <c r="BN948">
        <f>$C948*BN947</f>
        <v/>
      </c>
      <c r="BO948">
        <f>$C948*BO947</f>
        <v/>
      </c>
      <c r="BP948">
        <f>$C948*BP947</f>
        <v/>
      </c>
      <c r="BQ948">
        <f>$C948*BQ947</f>
        <v/>
      </c>
      <c r="BR948">
        <f>$C948*BR947</f>
        <v/>
      </c>
      <c r="BS948">
        <f>$C948*BS947</f>
        <v/>
      </c>
      <c r="BT948">
        <f>$C948*BT947</f>
        <v/>
      </c>
      <c r="BU948">
        <f>$C948*BU947</f>
        <v/>
      </c>
      <c r="BV948">
        <f>$C948*BV947</f>
        <v/>
      </c>
      <c r="BW948">
        <f>$C948*BW947</f>
        <v/>
      </c>
      <c r="BX948">
        <f>$C948*BX947</f>
        <v/>
      </c>
      <c r="BY948">
        <f>$C948*BY947</f>
        <v/>
      </c>
      <c r="BZ948">
        <f>$C948*BZ947</f>
        <v/>
      </c>
      <c r="CA948">
        <f>$C948*CA947</f>
        <v/>
      </c>
      <c r="CB948">
        <f>$C948*CB947</f>
        <v/>
      </c>
      <c r="CC948">
        <f>$C948*CC947</f>
        <v/>
      </c>
      <c r="CD948">
        <f>$C948*CD947</f>
        <v/>
      </c>
      <c r="CE948">
        <f>$C948*CE947</f>
        <v/>
      </c>
      <c r="CF948">
        <f>$C948*CF947</f>
        <v/>
      </c>
      <c r="CG948">
        <f>$C948*CG947</f>
        <v/>
      </c>
      <c r="CH948">
        <f>$C948*CH947</f>
        <v/>
      </c>
      <c r="CI948">
        <f>$C948*CI947</f>
        <v/>
      </c>
      <c r="CJ948">
        <f>$C948*CJ947</f>
        <v/>
      </c>
      <c r="CK948">
        <f>$C948*CK947</f>
        <v/>
      </c>
      <c r="CL948">
        <f>$C948*CL947</f>
        <v/>
      </c>
      <c r="CM948">
        <f>$C948*CM947</f>
        <v/>
      </c>
      <c r="CN948">
        <f>$C948*CN947</f>
        <v/>
      </c>
      <c r="CO948">
        <f>$C948*CO947</f>
        <v/>
      </c>
      <c r="CP948">
        <f>$C948*CP947</f>
        <v/>
      </c>
      <c r="CQ948">
        <f>$C948*CQ947</f>
        <v/>
      </c>
      <c r="CR948">
        <f>$C948*CR947</f>
        <v/>
      </c>
      <c r="CS948">
        <f>$C948*CS947</f>
        <v/>
      </c>
      <c r="CT948">
        <f>$C948*CT947</f>
        <v/>
      </c>
      <c r="CU948">
        <f>$C948*CU947</f>
        <v/>
      </c>
      <c r="CV948">
        <f>$C948*CV947</f>
        <v/>
      </c>
      <c r="CW948">
        <f>$C948*CW947</f>
        <v/>
      </c>
      <c r="CX948">
        <f>$C948*CX947</f>
        <v/>
      </c>
      <c r="CY948">
        <f>$C948*CY947</f>
        <v/>
      </c>
      <c r="CZ948">
        <f>$C948*CZ947</f>
        <v/>
      </c>
      <c r="DA948">
        <f>$C948*DA947</f>
        <v/>
      </c>
      <c r="DB948">
        <f>$C948*DB947</f>
        <v/>
      </c>
      <c r="DC948">
        <f>$C948*DC947</f>
        <v/>
      </c>
      <c r="DD948">
        <f>$C948*DD947</f>
        <v/>
      </c>
    </row>
    <row r="949">
      <c r="B949" t="inlineStr">
        <is>
          <t>TSZ-616</t>
        </is>
      </c>
      <c r="C949" t="inlineStr">
        <is>
          <t>No. of batches</t>
        </is>
      </c>
      <c r="D949">
        <f>IFERROR(INDEX(E949:DD949,$F$1),"")</f>
        <v/>
      </c>
      <c r="E949">
        <f>IFERROR(INDEX(PP_Grid[#Data],$DE949,2),0)</f>
        <v/>
      </c>
      <c r="F949">
        <f>IFERROR(INDEX(PP_Grid[#Data],$DE949,3),0)</f>
        <v/>
      </c>
      <c r="G949">
        <f>IFERROR(INDEX(PP_Grid[#Data],$DE949,4),0)</f>
        <v/>
      </c>
      <c r="H949">
        <f>IFERROR(INDEX(PP_Grid[#Data],$DE949,5),0)</f>
        <v/>
      </c>
      <c r="I949">
        <f>IFERROR(INDEX(PP_Grid[#Data],$DE949,6),0)</f>
        <v/>
      </c>
      <c r="J949">
        <f>IFERROR(INDEX(PP_Grid[#Data],$DE949,7),0)</f>
        <v/>
      </c>
      <c r="K949">
        <f>IFERROR(INDEX(PP_Grid[#Data],$DE949,8),0)</f>
        <v/>
      </c>
      <c r="L949">
        <f>IFERROR(INDEX(PP_Grid[#Data],$DE949,9),0)</f>
        <v/>
      </c>
      <c r="M949">
        <f>IFERROR(INDEX(PP_Grid[#Data],$DE949,10),0)</f>
        <v/>
      </c>
      <c r="N949">
        <f>IFERROR(INDEX(PP_Grid[#Data],$DE949,11),0)</f>
        <v/>
      </c>
      <c r="O949">
        <f>IFERROR(INDEX(PP_Grid[#Data],$DE949,12),0)</f>
        <v/>
      </c>
      <c r="P949">
        <f>IFERROR(INDEX(PP_Grid[#Data],$DE949,13),0)</f>
        <v/>
      </c>
      <c r="Q949">
        <f>IFERROR(INDEX(PP_Grid[#Data],$DE949,14),0)</f>
        <v/>
      </c>
      <c r="R949">
        <f>IFERROR(INDEX(PP_Grid[#Data],$DE949,15),0)</f>
        <v/>
      </c>
      <c r="S949">
        <f>IFERROR(INDEX(PP_Grid[#Data],$DE949,16),0)</f>
        <v/>
      </c>
      <c r="T949">
        <f>IFERROR(INDEX(PP_Grid[#Data],$DE949,17),0)</f>
        <v/>
      </c>
      <c r="U949">
        <f>IFERROR(INDEX(PP_Grid[#Data],$DE949,18),0)</f>
        <v/>
      </c>
      <c r="V949">
        <f>IFERROR(INDEX(PP_Grid[#Data],$DE949,19),0)</f>
        <v/>
      </c>
      <c r="W949">
        <f>IFERROR(INDEX(PP_Grid[#Data],$DE949,20),0)</f>
        <v/>
      </c>
      <c r="X949">
        <f>IFERROR(INDEX(PP_Grid[#Data],$DE949,21),0)</f>
        <v/>
      </c>
      <c r="Y949">
        <f>IFERROR(INDEX(PP_Grid[#Data],$DE949,22),0)</f>
        <v/>
      </c>
      <c r="Z949">
        <f>IFERROR(INDEX(PP_Grid[#Data],$DE949,23),0)</f>
        <v/>
      </c>
      <c r="AA949">
        <f>IFERROR(INDEX(PP_Grid[#Data],$DE949,24),0)</f>
        <v/>
      </c>
      <c r="AB949">
        <f>IFERROR(INDEX(PP_Grid[#Data],$DE949,25),0)</f>
        <v/>
      </c>
      <c r="AC949">
        <f>IFERROR(INDEX(PP_Grid[#Data],$DE949,26),0)</f>
        <v/>
      </c>
      <c r="AD949">
        <f>IFERROR(INDEX(PP_Grid[#Data],$DE949,27),0)</f>
        <v/>
      </c>
      <c r="AE949">
        <f>IFERROR(INDEX(PP_Grid[#Data],$DE949,28),0)</f>
        <v/>
      </c>
      <c r="AF949">
        <f>IFERROR(INDEX(PP_Grid[#Data],$DE949,29),0)</f>
        <v/>
      </c>
      <c r="AG949">
        <f>IFERROR(INDEX(PP_Grid[#Data],$DE949,30),0)</f>
        <v/>
      </c>
      <c r="AH949">
        <f>IFERROR(INDEX(PP_Grid[#Data],$DE949,31),0)</f>
        <v/>
      </c>
      <c r="AI949">
        <f>IFERROR(INDEX(PP_Grid[#Data],$DE949,32),0)</f>
        <v/>
      </c>
      <c r="AJ949">
        <f>IFERROR(INDEX(PP_Grid[#Data],$DE949,33),0)</f>
        <v/>
      </c>
      <c r="AK949">
        <f>IFERROR(INDEX(PP_Grid[#Data],$DE949,34),0)</f>
        <v/>
      </c>
      <c r="AL949">
        <f>IFERROR(INDEX(PP_Grid[#Data],$DE949,35),0)</f>
        <v/>
      </c>
      <c r="AM949">
        <f>IFERROR(INDEX(PP_Grid[#Data],$DE949,36),0)</f>
        <v/>
      </c>
      <c r="AN949">
        <f>IFERROR(INDEX(PP_Grid[#Data],$DE949,37),0)</f>
        <v/>
      </c>
      <c r="AO949">
        <f>IFERROR(INDEX(PP_Grid[#Data],$DE949,38),0)</f>
        <v/>
      </c>
      <c r="AP949">
        <f>IFERROR(INDEX(PP_Grid[#Data],$DE949,39),0)</f>
        <v/>
      </c>
      <c r="AQ949">
        <f>IFERROR(INDEX(PP_Grid[#Data],$DE949,40),0)</f>
        <v/>
      </c>
      <c r="AR949">
        <f>IFERROR(INDEX(PP_Grid[#Data],$DE949,41),0)</f>
        <v/>
      </c>
      <c r="AS949">
        <f>IFERROR(INDEX(PP_Grid[#Data],$DE949,42),0)</f>
        <v/>
      </c>
      <c r="AT949">
        <f>IFERROR(INDEX(PP_Grid[#Data],$DE949,43),0)</f>
        <v/>
      </c>
      <c r="AU949">
        <f>IFERROR(INDEX(PP_Grid[#Data],$DE949,44),0)</f>
        <v/>
      </c>
      <c r="AV949">
        <f>IFERROR(INDEX(PP_Grid[#Data],$DE949,45),0)</f>
        <v/>
      </c>
      <c r="AW949">
        <f>IFERROR(INDEX(PP_Grid[#Data],$DE949,46),0)</f>
        <v/>
      </c>
      <c r="AX949">
        <f>IFERROR(INDEX(PP_Grid[#Data],$DE949,47),0)</f>
        <v/>
      </c>
      <c r="AY949">
        <f>IFERROR(INDEX(PP_Grid[#Data],$DE949,48),0)</f>
        <v/>
      </c>
      <c r="AZ949">
        <f>IFERROR(INDEX(PP_Grid[#Data],$DE949,49),0)</f>
        <v/>
      </c>
      <c r="BA949">
        <f>IFERROR(INDEX(PP_Grid[#Data],$DE949,50),0)</f>
        <v/>
      </c>
      <c r="BB949">
        <f>IFERROR(INDEX(PP_Grid[#Data],$DE949,51),0)</f>
        <v/>
      </c>
      <c r="BC949">
        <f>IFERROR(INDEX(PP_Grid[#Data],$DE949,52),0)</f>
        <v/>
      </c>
      <c r="BD949">
        <f>IFERROR(INDEX(PP_Grid[#Data],$DE949,53),0)</f>
        <v/>
      </c>
      <c r="BE949">
        <f>IFERROR(INDEX(PP_Grid[#Data],$DE949,54),0)</f>
        <v/>
      </c>
      <c r="BF949">
        <f>IFERROR(INDEX(PP_Grid[#Data],$DE949,55),0)</f>
        <v/>
      </c>
      <c r="BG949">
        <f>IFERROR(INDEX(PP_Grid[#Data],$DE949,56),0)</f>
        <v/>
      </c>
      <c r="BH949">
        <f>IFERROR(INDEX(PP_Grid[#Data],$DE949,57),0)</f>
        <v/>
      </c>
      <c r="BI949">
        <f>IFERROR(INDEX(PP_Grid[#Data],$DE949,58),0)</f>
        <v/>
      </c>
      <c r="BJ949">
        <f>IFERROR(INDEX(PP_Grid[#Data],$DE949,59),0)</f>
        <v/>
      </c>
      <c r="BK949">
        <f>IFERROR(INDEX(PP_Grid[#Data],$DE949,60),0)</f>
        <v/>
      </c>
      <c r="BL949">
        <f>IFERROR(INDEX(PP_Grid[#Data],$DE949,61),0)</f>
        <v/>
      </c>
      <c r="BM949">
        <f>IFERROR(INDEX(PP_Grid[#Data],$DE949,62),0)</f>
        <v/>
      </c>
      <c r="BN949">
        <f>IFERROR(INDEX(PP_Grid[#Data],$DE949,63),0)</f>
        <v/>
      </c>
      <c r="BO949">
        <f>IFERROR(INDEX(PP_Grid[#Data],$DE949,64),0)</f>
        <v/>
      </c>
      <c r="BP949">
        <f>IFERROR(INDEX(PP_Grid[#Data],$DE949,65),0)</f>
        <v/>
      </c>
      <c r="BQ949">
        <f>IFERROR(INDEX(PP_Grid[#Data],$DE949,66),0)</f>
        <v/>
      </c>
      <c r="BR949">
        <f>IFERROR(INDEX(PP_Grid[#Data],$DE949,67),0)</f>
        <v/>
      </c>
      <c r="BS949">
        <f>IFERROR(INDEX(PP_Grid[#Data],$DE949,68),0)</f>
        <v/>
      </c>
      <c r="BT949">
        <f>IFERROR(INDEX(PP_Grid[#Data],$DE949,69),0)</f>
        <v/>
      </c>
      <c r="BU949">
        <f>IFERROR(INDEX(PP_Grid[#Data],$DE949,70),0)</f>
        <v/>
      </c>
      <c r="BV949">
        <f>IFERROR(INDEX(PP_Grid[#Data],$DE949,71),0)</f>
        <v/>
      </c>
      <c r="BW949">
        <f>IFERROR(INDEX(PP_Grid[#Data],$DE949,72),0)</f>
        <v/>
      </c>
      <c r="BX949">
        <f>IFERROR(INDEX(PP_Grid[#Data],$DE949,73),0)</f>
        <v/>
      </c>
      <c r="BY949">
        <f>IFERROR(INDEX(PP_Grid[#Data],$DE949,74),0)</f>
        <v/>
      </c>
      <c r="BZ949">
        <f>IFERROR(INDEX(PP_Grid[#Data],$DE949,75),0)</f>
        <v/>
      </c>
      <c r="CA949">
        <f>IFERROR(INDEX(PP_Grid[#Data],$DE949,76),0)</f>
        <v/>
      </c>
      <c r="CB949">
        <f>IFERROR(INDEX(PP_Grid[#Data],$DE949,77),0)</f>
        <v/>
      </c>
      <c r="CC949">
        <f>IFERROR(INDEX(PP_Grid[#Data],$DE949,78),0)</f>
        <v/>
      </c>
      <c r="CD949">
        <f>IFERROR(INDEX(PP_Grid[#Data],$DE949,79),0)</f>
        <v/>
      </c>
      <c r="CE949">
        <f>IFERROR(INDEX(PP_Grid[#Data],$DE949,80),0)</f>
        <v/>
      </c>
      <c r="CF949">
        <f>IFERROR(INDEX(PP_Grid[#Data],$DE949,81),0)</f>
        <v/>
      </c>
      <c r="CG949">
        <f>IFERROR(INDEX(PP_Grid[#Data],$DE949,82),0)</f>
        <v/>
      </c>
      <c r="CH949">
        <f>IFERROR(INDEX(PP_Grid[#Data],$DE949,83),0)</f>
        <v/>
      </c>
      <c r="CI949">
        <f>IFERROR(INDEX(PP_Grid[#Data],$DE949,84),0)</f>
        <v/>
      </c>
      <c r="CJ949">
        <f>IFERROR(INDEX(PP_Grid[#Data],$DE949,85),0)</f>
        <v/>
      </c>
      <c r="CK949">
        <f>IFERROR(INDEX(PP_Grid[#Data],$DE949,86),0)</f>
        <v/>
      </c>
      <c r="CL949">
        <f>IFERROR(INDEX(PP_Grid[#Data],$DE949,87),0)</f>
        <v/>
      </c>
      <c r="CM949">
        <f>IFERROR(INDEX(PP_Grid[#Data],$DE949,88),0)</f>
        <v/>
      </c>
      <c r="CN949">
        <f>IFERROR(INDEX(PP_Grid[#Data],$DE949,89),0)</f>
        <v/>
      </c>
      <c r="CO949">
        <f>IFERROR(INDEX(PP_Grid[#Data],$DE949,90),0)</f>
        <v/>
      </c>
      <c r="CP949">
        <f>IFERROR(INDEX(PP_Grid[#Data],$DE949,91),0)</f>
        <v/>
      </c>
      <c r="CQ949">
        <f>IFERROR(INDEX(PP_Grid[#Data],$DE949,92),0)</f>
        <v/>
      </c>
      <c r="CR949">
        <f>IFERROR(INDEX(PP_Grid[#Data],$DE949,93),0)</f>
        <v/>
      </c>
      <c r="CS949">
        <f>IFERROR(INDEX(PP_Grid[#Data],$DE949,94),0)</f>
        <v/>
      </c>
      <c r="CT949">
        <f>IFERROR(INDEX(PP_Grid[#Data],$DE949,95),0)</f>
        <v/>
      </c>
      <c r="CU949">
        <f>IFERROR(INDEX(PP_Grid[#Data],$DE949,96),0)</f>
        <v/>
      </c>
      <c r="CV949">
        <f>IFERROR(INDEX(PP_Grid[#Data],$DE949,97),0)</f>
        <v/>
      </c>
      <c r="CW949">
        <f>IFERROR(INDEX(PP_Grid[#Data],$DE949,98),0)</f>
        <v/>
      </c>
      <c r="CX949">
        <f>IFERROR(INDEX(PP_Grid[#Data],$DE949,99),0)</f>
        <v/>
      </c>
      <c r="CY949">
        <f>IFERROR(INDEX(PP_Grid[#Data],$DE949,100),0)</f>
        <v/>
      </c>
      <c r="CZ949">
        <f>IFERROR(INDEX(PP_Grid[#Data],$DE949,101),0)</f>
        <v/>
      </c>
      <c r="DA949">
        <f>IFERROR(INDEX(PP_Grid[#Data],$DE949,102),0)</f>
        <v/>
      </c>
      <c r="DB949">
        <f>IFERROR(INDEX(PP_Grid[#Data],$DE949,103),0)</f>
        <v/>
      </c>
      <c r="DC949">
        <f>IFERROR(INDEX(PP_Grid[#Data],$DE949,104),0)</f>
        <v/>
      </c>
      <c r="DD949">
        <f>IFERROR(INDEX(PP_Grid[#Data],$DE949,105),0)</f>
        <v/>
      </c>
      <c r="DE949" s="7">
        <f>IFERROR(MATCH($B949,PP_Grid[Intermediate],0),99999)</f>
        <v/>
      </c>
    </row>
    <row r="950">
      <c r="B950" t="inlineStr">
        <is>
          <t>使用量(kg)</t>
        </is>
      </c>
      <c r="C950">
        <f>SUMIFS(M_BOM[RM_Qty_Per_Batch],M_BOM[Intermediate],$B949,M_BOM[RM_Code],$A938)</f>
        <v/>
      </c>
      <c r="D950">
        <f>IFERROR(INDEX(E950:DD950,$F$1),"")</f>
        <v/>
      </c>
      <c r="E950">
        <f>$C950*E949</f>
        <v/>
      </c>
      <c r="F950">
        <f>$C950*F949</f>
        <v/>
      </c>
      <c r="G950">
        <f>$C950*G949</f>
        <v/>
      </c>
      <c r="H950">
        <f>$C950*H949</f>
        <v/>
      </c>
      <c r="I950">
        <f>$C950*I949</f>
        <v/>
      </c>
      <c r="J950">
        <f>$C950*J949</f>
        <v/>
      </c>
      <c r="K950">
        <f>$C950*K949</f>
        <v/>
      </c>
      <c r="L950">
        <f>$C950*L949</f>
        <v/>
      </c>
      <c r="M950">
        <f>$C950*M949</f>
        <v/>
      </c>
      <c r="N950">
        <f>$C950*N949</f>
        <v/>
      </c>
      <c r="O950">
        <f>$C950*O949</f>
        <v/>
      </c>
      <c r="P950">
        <f>$C950*P949</f>
        <v/>
      </c>
      <c r="Q950">
        <f>$C950*Q949</f>
        <v/>
      </c>
      <c r="R950">
        <f>$C950*R949</f>
        <v/>
      </c>
      <c r="S950">
        <f>$C950*S949</f>
        <v/>
      </c>
      <c r="T950">
        <f>$C950*T949</f>
        <v/>
      </c>
      <c r="U950">
        <f>$C950*U949</f>
        <v/>
      </c>
      <c r="V950">
        <f>$C950*V949</f>
        <v/>
      </c>
      <c r="W950">
        <f>$C950*W949</f>
        <v/>
      </c>
      <c r="X950">
        <f>$C950*X949</f>
        <v/>
      </c>
      <c r="Y950">
        <f>$C950*Y949</f>
        <v/>
      </c>
      <c r="Z950">
        <f>$C950*Z949</f>
        <v/>
      </c>
      <c r="AA950">
        <f>$C950*AA949</f>
        <v/>
      </c>
      <c r="AB950">
        <f>$C950*AB949</f>
        <v/>
      </c>
      <c r="AC950">
        <f>$C950*AC949</f>
        <v/>
      </c>
      <c r="AD950">
        <f>$C950*AD949</f>
        <v/>
      </c>
      <c r="AE950">
        <f>$C950*AE949</f>
        <v/>
      </c>
      <c r="AF950">
        <f>$C950*AF949</f>
        <v/>
      </c>
      <c r="AG950">
        <f>$C950*AG949</f>
        <v/>
      </c>
      <c r="AH950">
        <f>$C950*AH949</f>
        <v/>
      </c>
      <c r="AI950">
        <f>$C950*AI949</f>
        <v/>
      </c>
      <c r="AJ950">
        <f>$C950*AJ949</f>
        <v/>
      </c>
      <c r="AK950">
        <f>$C950*AK949</f>
        <v/>
      </c>
      <c r="AL950">
        <f>$C950*AL949</f>
        <v/>
      </c>
      <c r="AM950">
        <f>$C950*AM949</f>
        <v/>
      </c>
      <c r="AN950">
        <f>$C950*AN949</f>
        <v/>
      </c>
      <c r="AO950">
        <f>$C950*AO949</f>
        <v/>
      </c>
      <c r="AP950">
        <f>$C950*AP949</f>
        <v/>
      </c>
      <c r="AQ950">
        <f>$C950*AQ949</f>
        <v/>
      </c>
      <c r="AR950">
        <f>$C950*AR949</f>
        <v/>
      </c>
      <c r="AS950">
        <f>$C950*AS949</f>
        <v/>
      </c>
      <c r="AT950">
        <f>$C950*AT949</f>
        <v/>
      </c>
      <c r="AU950">
        <f>$C950*AU949</f>
        <v/>
      </c>
      <c r="AV950">
        <f>$C950*AV949</f>
        <v/>
      </c>
      <c r="AW950">
        <f>$C950*AW949</f>
        <v/>
      </c>
      <c r="AX950">
        <f>$C950*AX949</f>
        <v/>
      </c>
      <c r="AY950">
        <f>$C950*AY949</f>
        <v/>
      </c>
      <c r="AZ950">
        <f>$C950*AZ949</f>
        <v/>
      </c>
      <c r="BA950">
        <f>$C950*BA949</f>
        <v/>
      </c>
      <c r="BB950">
        <f>$C950*BB949</f>
        <v/>
      </c>
      <c r="BC950">
        <f>$C950*BC949</f>
        <v/>
      </c>
      <c r="BD950">
        <f>$C950*BD949</f>
        <v/>
      </c>
      <c r="BE950">
        <f>$C950*BE949</f>
        <v/>
      </c>
      <c r="BF950">
        <f>$C950*BF949</f>
        <v/>
      </c>
      <c r="BG950">
        <f>$C950*BG949</f>
        <v/>
      </c>
      <c r="BH950">
        <f>$C950*BH949</f>
        <v/>
      </c>
      <c r="BI950">
        <f>$C950*BI949</f>
        <v/>
      </c>
      <c r="BJ950">
        <f>$C950*BJ949</f>
        <v/>
      </c>
      <c r="BK950">
        <f>$C950*BK949</f>
        <v/>
      </c>
      <c r="BL950">
        <f>$C950*BL949</f>
        <v/>
      </c>
      <c r="BM950">
        <f>$C950*BM949</f>
        <v/>
      </c>
      <c r="BN950">
        <f>$C950*BN949</f>
        <v/>
      </c>
      <c r="BO950">
        <f>$C950*BO949</f>
        <v/>
      </c>
      <c r="BP950">
        <f>$C950*BP949</f>
        <v/>
      </c>
      <c r="BQ950">
        <f>$C950*BQ949</f>
        <v/>
      </c>
      <c r="BR950">
        <f>$C950*BR949</f>
        <v/>
      </c>
      <c r="BS950">
        <f>$C950*BS949</f>
        <v/>
      </c>
      <c r="BT950">
        <f>$C950*BT949</f>
        <v/>
      </c>
      <c r="BU950">
        <f>$C950*BU949</f>
        <v/>
      </c>
      <c r="BV950">
        <f>$C950*BV949</f>
        <v/>
      </c>
      <c r="BW950">
        <f>$C950*BW949</f>
        <v/>
      </c>
      <c r="BX950">
        <f>$C950*BX949</f>
        <v/>
      </c>
      <c r="BY950">
        <f>$C950*BY949</f>
        <v/>
      </c>
      <c r="BZ950">
        <f>$C950*BZ949</f>
        <v/>
      </c>
      <c r="CA950">
        <f>$C950*CA949</f>
        <v/>
      </c>
      <c r="CB950">
        <f>$C950*CB949</f>
        <v/>
      </c>
      <c r="CC950">
        <f>$C950*CC949</f>
        <v/>
      </c>
      <c r="CD950">
        <f>$C950*CD949</f>
        <v/>
      </c>
      <c r="CE950">
        <f>$C950*CE949</f>
        <v/>
      </c>
      <c r="CF950">
        <f>$C950*CF949</f>
        <v/>
      </c>
      <c r="CG950">
        <f>$C950*CG949</f>
        <v/>
      </c>
      <c r="CH950">
        <f>$C950*CH949</f>
        <v/>
      </c>
      <c r="CI950">
        <f>$C950*CI949</f>
        <v/>
      </c>
      <c r="CJ950">
        <f>$C950*CJ949</f>
        <v/>
      </c>
      <c r="CK950">
        <f>$C950*CK949</f>
        <v/>
      </c>
      <c r="CL950">
        <f>$C950*CL949</f>
        <v/>
      </c>
      <c r="CM950">
        <f>$C950*CM949</f>
        <v/>
      </c>
      <c r="CN950">
        <f>$C950*CN949</f>
        <v/>
      </c>
      <c r="CO950">
        <f>$C950*CO949</f>
        <v/>
      </c>
      <c r="CP950">
        <f>$C950*CP949</f>
        <v/>
      </c>
      <c r="CQ950">
        <f>$C950*CQ949</f>
        <v/>
      </c>
      <c r="CR950">
        <f>$C950*CR949</f>
        <v/>
      </c>
      <c r="CS950">
        <f>$C950*CS949</f>
        <v/>
      </c>
      <c r="CT950">
        <f>$C950*CT949</f>
        <v/>
      </c>
      <c r="CU950">
        <f>$C950*CU949</f>
        <v/>
      </c>
      <c r="CV950">
        <f>$C950*CV949</f>
        <v/>
      </c>
      <c r="CW950">
        <f>$C950*CW949</f>
        <v/>
      </c>
      <c r="CX950">
        <f>$C950*CX949</f>
        <v/>
      </c>
      <c r="CY950">
        <f>$C950*CY949</f>
        <v/>
      </c>
      <c r="CZ950">
        <f>$C950*CZ949</f>
        <v/>
      </c>
      <c r="DA950">
        <f>$C950*DA949</f>
        <v/>
      </c>
      <c r="DB950">
        <f>$C950*DB949</f>
        <v/>
      </c>
      <c r="DC950">
        <f>$C950*DC949</f>
        <v/>
      </c>
      <c r="DD950">
        <f>$C950*DD949</f>
        <v/>
      </c>
    </row>
    <row r="951">
      <c r="B951" t="inlineStr">
        <is>
          <t>VSP-739</t>
        </is>
      </c>
      <c r="C951" t="inlineStr">
        <is>
          <t>No. of batches</t>
        </is>
      </c>
      <c r="D951">
        <f>IFERROR(INDEX(E951:DD951,$F$1),"")</f>
        <v/>
      </c>
      <c r="E951">
        <f>IFERROR(INDEX(PP_Grid[#Data],$DE951,2),0)</f>
        <v/>
      </c>
      <c r="F951">
        <f>IFERROR(INDEX(PP_Grid[#Data],$DE951,3),0)</f>
        <v/>
      </c>
      <c r="G951">
        <f>IFERROR(INDEX(PP_Grid[#Data],$DE951,4),0)</f>
        <v/>
      </c>
      <c r="H951">
        <f>IFERROR(INDEX(PP_Grid[#Data],$DE951,5),0)</f>
        <v/>
      </c>
      <c r="I951">
        <f>IFERROR(INDEX(PP_Grid[#Data],$DE951,6),0)</f>
        <v/>
      </c>
      <c r="J951">
        <f>IFERROR(INDEX(PP_Grid[#Data],$DE951,7),0)</f>
        <v/>
      </c>
      <c r="K951">
        <f>IFERROR(INDEX(PP_Grid[#Data],$DE951,8),0)</f>
        <v/>
      </c>
      <c r="L951">
        <f>IFERROR(INDEX(PP_Grid[#Data],$DE951,9),0)</f>
        <v/>
      </c>
      <c r="M951">
        <f>IFERROR(INDEX(PP_Grid[#Data],$DE951,10),0)</f>
        <v/>
      </c>
      <c r="N951">
        <f>IFERROR(INDEX(PP_Grid[#Data],$DE951,11),0)</f>
        <v/>
      </c>
      <c r="O951">
        <f>IFERROR(INDEX(PP_Grid[#Data],$DE951,12),0)</f>
        <v/>
      </c>
      <c r="P951">
        <f>IFERROR(INDEX(PP_Grid[#Data],$DE951,13),0)</f>
        <v/>
      </c>
      <c r="Q951">
        <f>IFERROR(INDEX(PP_Grid[#Data],$DE951,14),0)</f>
        <v/>
      </c>
      <c r="R951">
        <f>IFERROR(INDEX(PP_Grid[#Data],$DE951,15),0)</f>
        <v/>
      </c>
      <c r="S951">
        <f>IFERROR(INDEX(PP_Grid[#Data],$DE951,16),0)</f>
        <v/>
      </c>
      <c r="T951">
        <f>IFERROR(INDEX(PP_Grid[#Data],$DE951,17),0)</f>
        <v/>
      </c>
      <c r="U951">
        <f>IFERROR(INDEX(PP_Grid[#Data],$DE951,18),0)</f>
        <v/>
      </c>
      <c r="V951">
        <f>IFERROR(INDEX(PP_Grid[#Data],$DE951,19),0)</f>
        <v/>
      </c>
      <c r="W951">
        <f>IFERROR(INDEX(PP_Grid[#Data],$DE951,20),0)</f>
        <v/>
      </c>
      <c r="X951">
        <f>IFERROR(INDEX(PP_Grid[#Data],$DE951,21),0)</f>
        <v/>
      </c>
      <c r="Y951">
        <f>IFERROR(INDEX(PP_Grid[#Data],$DE951,22),0)</f>
        <v/>
      </c>
      <c r="Z951">
        <f>IFERROR(INDEX(PP_Grid[#Data],$DE951,23),0)</f>
        <v/>
      </c>
      <c r="AA951">
        <f>IFERROR(INDEX(PP_Grid[#Data],$DE951,24),0)</f>
        <v/>
      </c>
      <c r="AB951">
        <f>IFERROR(INDEX(PP_Grid[#Data],$DE951,25),0)</f>
        <v/>
      </c>
      <c r="AC951">
        <f>IFERROR(INDEX(PP_Grid[#Data],$DE951,26),0)</f>
        <v/>
      </c>
      <c r="AD951">
        <f>IFERROR(INDEX(PP_Grid[#Data],$DE951,27),0)</f>
        <v/>
      </c>
      <c r="AE951">
        <f>IFERROR(INDEX(PP_Grid[#Data],$DE951,28),0)</f>
        <v/>
      </c>
      <c r="AF951">
        <f>IFERROR(INDEX(PP_Grid[#Data],$DE951,29),0)</f>
        <v/>
      </c>
      <c r="AG951">
        <f>IFERROR(INDEX(PP_Grid[#Data],$DE951,30),0)</f>
        <v/>
      </c>
      <c r="AH951">
        <f>IFERROR(INDEX(PP_Grid[#Data],$DE951,31),0)</f>
        <v/>
      </c>
      <c r="AI951">
        <f>IFERROR(INDEX(PP_Grid[#Data],$DE951,32),0)</f>
        <v/>
      </c>
      <c r="AJ951">
        <f>IFERROR(INDEX(PP_Grid[#Data],$DE951,33),0)</f>
        <v/>
      </c>
      <c r="AK951">
        <f>IFERROR(INDEX(PP_Grid[#Data],$DE951,34),0)</f>
        <v/>
      </c>
      <c r="AL951">
        <f>IFERROR(INDEX(PP_Grid[#Data],$DE951,35),0)</f>
        <v/>
      </c>
      <c r="AM951">
        <f>IFERROR(INDEX(PP_Grid[#Data],$DE951,36),0)</f>
        <v/>
      </c>
      <c r="AN951">
        <f>IFERROR(INDEX(PP_Grid[#Data],$DE951,37),0)</f>
        <v/>
      </c>
      <c r="AO951">
        <f>IFERROR(INDEX(PP_Grid[#Data],$DE951,38),0)</f>
        <v/>
      </c>
      <c r="AP951">
        <f>IFERROR(INDEX(PP_Grid[#Data],$DE951,39),0)</f>
        <v/>
      </c>
      <c r="AQ951">
        <f>IFERROR(INDEX(PP_Grid[#Data],$DE951,40),0)</f>
        <v/>
      </c>
      <c r="AR951">
        <f>IFERROR(INDEX(PP_Grid[#Data],$DE951,41),0)</f>
        <v/>
      </c>
      <c r="AS951">
        <f>IFERROR(INDEX(PP_Grid[#Data],$DE951,42),0)</f>
        <v/>
      </c>
      <c r="AT951">
        <f>IFERROR(INDEX(PP_Grid[#Data],$DE951,43),0)</f>
        <v/>
      </c>
      <c r="AU951">
        <f>IFERROR(INDEX(PP_Grid[#Data],$DE951,44),0)</f>
        <v/>
      </c>
      <c r="AV951">
        <f>IFERROR(INDEX(PP_Grid[#Data],$DE951,45),0)</f>
        <v/>
      </c>
      <c r="AW951">
        <f>IFERROR(INDEX(PP_Grid[#Data],$DE951,46),0)</f>
        <v/>
      </c>
      <c r="AX951">
        <f>IFERROR(INDEX(PP_Grid[#Data],$DE951,47),0)</f>
        <v/>
      </c>
      <c r="AY951">
        <f>IFERROR(INDEX(PP_Grid[#Data],$DE951,48),0)</f>
        <v/>
      </c>
      <c r="AZ951">
        <f>IFERROR(INDEX(PP_Grid[#Data],$DE951,49),0)</f>
        <v/>
      </c>
      <c r="BA951">
        <f>IFERROR(INDEX(PP_Grid[#Data],$DE951,50),0)</f>
        <v/>
      </c>
      <c r="BB951">
        <f>IFERROR(INDEX(PP_Grid[#Data],$DE951,51),0)</f>
        <v/>
      </c>
      <c r="BC951">
        <f>IFERROR(INDEX(PP_Grid[#Data],$DE951,52),0)</f>
        <v/>
      </c>
      <c r="BD951">
        <f>IFERROR(INDEX(PP_Grid[#Data],$DE951,53),0)</f>
        <v/>
      </c>
      <c r="BE951">
        <f>IFERROR(INDEX(PP_Grid[#Data],$DE951,54),0)</f>
        <v/>
      </c>
      <c r="BF951">
        <f>IFERROR(INDEX(PP_Grid[#Data],$DE951,55),0)</f>
        <v/>
      </c>
      <c r="BG951">
        <f>IFERROR(INDEX(PP_Grid[#Data],$DE951,56),0)</f>
        <v/>
      </c>
      <c r="BH951">
        <f>IFERROR(INDEX(PP_Grid[#Data],$DE951,57),0)</f>
        <v/>
      </c>
      <c r="BI951">
        <f>IFERROR(INDEX(PP_Grid[#Data],$DE951,58),0)</f>
        <v/>
      </c>
      <c r="BJ951">
        <f>IFERROR(INDEX(PP_Grid[#Data],$DE951,59),0)</f>
        <v/>
      </c>
      <c r="BK951">
        <f>IFERROR(INDEX(PP_Grid[#Data],$DE951,60),0)</f>
        <v/>
      </c>
      <c r="BL951">
        <f>IFERROR(INDEX(PP_Grid[#Data],$DE951,61),0)</f>
        <v/>
      </c>
      <c r="BM951">
        <f>IFERROR(INDEX(PP_Grid[#Data],$DE951,62),0)</f>
        <v/>
      </c>
      <c r="BN951">
        <f>IFERROR(INDEX(PP_Grid[#Data],$DE951,63),0)</f>
        <v/>
      </c>
      <c r="BO951">
        <f>IFERROR(INDEX(PP_Grid[#Data],$DE951,64),0)</f>
        <v/>
      </c>
      <c r="BP951">
        <f>IFERROR(INDEX(PP_Grid[#Data],$DE951,65),0)</f>
        <v/>
      </c>
      <c r="BQ951">
        <f>IFERROR(INDEX(PP_Grid[#Data],$DE951,66),0)</f>
        <v/>
      </c>
      <c r="BR951">
        <f>IFERROR(INDEX(PP_Grid[#Data],$DE951,67),0)</f>
        <v/>
      </c>
      <c r="BS951">
        <f>IFERROR(INDEX(PP_Grid[#Data],$DE951,68),0)</f>
        <v/>
      </c>
      <c r="BT951">
        <f>IFERROR(INDEX(PP_Grid[#Data],$DE951,69),0)</f>
        <v/>
      </c>
      <c r="BU951">
        <f>IFERROR(INDEX(PP_Grid[#Data],$DE951,70),0)</f>
        <v/>
      </c>
      <c r="BV951">
        <f>IFERROR(INDEX(PP_Grid[#Data],$DE951,71),0)</f>
        <v/>
      </c>
      <c r="BW951">
        <f>IFERROR(INDEX(PP_Grid[#Data],$DE951,72),0)</f>
        <v/>
      </c>
      <c r="BX951">
        <f>IFERROR(INDEX(PP_Grid[#Data],$DE951,73),0)</f>
        <v/>
      </c>
      <c r="BY951">
        <f>IFERROR(INDEX(PP_Grid[#Data],$DE951,74),0)</f>
        <v/>
      </c>
      <c r="BZ951">
        <f>IFERROR(INDEX(PP_Grid[#Data],$DE951,75),0)</f>
        <v/>
      </c>
      <c r="CA951">
        <f>IFERROR(INDEX(PP_Grid[#Data],$DE951,76),0)</f>
        <v/>
      </c>
      <c r="CB951">
        <f>IFERROR(INDEX(PP_Grid[#Data],$DE951,77),0)</f>
        <v/>
      </c>
      <c r="CC951">
        <f>IFERROR(INDEX(PP_Grid[#Data],$DE951,78),0)</f>
        <v/>
      </c>
      <c r="CD951">
        <f>IFERROR(INDEX(PP_Grid[#Data],$DE951,79),0)</f>
        <v/>
      </c>
      <c r="CE951">
        <f>IFERROR(INDEX(PP_Grid[#Data],$DE951,80),0)</f>
        <v/>
      </c>
      <c r="CF951">
        <f>IFERROR(INDEX(PP_Grid[#Data],$DE951,81),0)</f>
        <v/>
      </c>
      <c r="CG951">
        <f>IFERROR(INDEX(PP_Grid[#Data],$DE951,82),0)</f>
        <v/>
      </c>
      <c r="CH951">
        <f>IFERROR(INDEX(PP_Grid[#Data],$DE951,83),0)</f>
        <v/>
      </c>
      <c r="CI951">
        <f>IFERROR(INDEX(PP_Grid[#Data],$DE951,84),0)</f>
        <v/>
      </c>
      <c r="CJ951">
        <f>IFERROR(INDEX(PP_Grid[#Data],$DE951,85),0)</f>
        <v/>
      </c>
      <c r="CK951">
        <f>IFERROR(INDEX(PP_Grid[#Data],$DE951,86),0)</f>
        <v/>
      </c>
      <c r="CL951">
        <f>IFERROR(INDEX(PP_Grid[#Data],$DE951,87),0)</f>
        <v/>
      </c>
      <c r="CM951">
        <f>IFERROR(INDEX(PP_Grid[#Data],$DE951,88),0)</f>
        <v/>
      </c>
      <c r="CN951">
        <f>IFERROR(INDEX(PP_Grid[#Data],$DE951,89),0)</f>
        <v/>
      </c>
      <c r="CO951">
        <f>IFERROR(INDEX(PP_Grid[#Data],$DE951,90),0)</f>
        <v/>
      </c>
      <c r="CP951">
        <f>IFERROR(INDEX(PP_Grid[#Data],$DE951,91),0)</f>
        <v/>
      </c>
      <c r="CQ951">
        <f>IFERROR(INDEX(PP_Grid[#Data],$DE951,92),0)</f>
        <v/>
      </c>
      <c r="CR951">
        <f>IFERROR(INDEX(PP_Grid[#Data],$DE951,93),0)</f>
        <v/>
      </c>
      <c r="CS951">
        <f>IFERROR(INDEX(PP_Grid[#Data],$DE951,94),0)</f>
        <v/>
      </c>
      <c r="CT951">
        <f>IFERROR(INDEX(PP_Grid[#Data],$DE951,95),0)</f>
        <v/>
      </c>
      <c r="CU951">
        <f>IFERROR(INDEX(PP_Grid[#Data],$DE951,96),0)</f>
        <v/>
      </c>
      <c r="CV951">
        <f>IFERROR(INDEX(PP_Grid[#Data],$DE951,97),0)</f>
        <v/>
      </c>
      <c r="CW951">
        <f>IFERROR(INDEX(PP_Grid[#Data],$DE951,98),0)</f>
        <v/>
      </c>
      <c r="CX951">
        <f>IFERROR(INDEX(PP_Grid[#Data],$DE951,99),0)</f>
        <v/>
      </c>
      <c r="CY951">
        <f>IFERROR(INDEX(PP_Grid[#Data],$DE951,100),0)</f>
        <v/>
      </c>
      <c r="CZ951">
        <f>IFERROR(INDEX(PP_Grid[#Data],$DE951,101),0)</f>
        <v/>
      </c>
      <c r="DA951">
        <f>IFERROR(INDEX(PP_Grid[#Data],$DE951,102),0)</f>
        <v/>
      </c>
      <c r="DB951">
        <f>IFERROR(INDEX(PP_Grid[#Data],$DE951,103),0)</f>
        <v/>
      </c>
      <c r="DC951">
        <f>IFERROR(INDEX(PP_Grid[#Data],$DE951,104),0)</f>
        <v/>
      </c>
      <c r="DD951">
        <f>IFERROR(INDEX(PP_Grid[#Data],$DE951,105),0)</f>
        <v/>
      </c>
      <c r="DE951" s="7">
        <f>IFERROR(MATCH($B951,PP_Grid[Intermediate],0),99999)</f>
        <v/>
      </c>
    </row>
    <row r="952">
      <c r="B952" t="inlineStr">
        <is>
          <t>使用量(kg)</t>
        </is>
      </c>
      <c r="C952">
        <f>SUMIFS(M_BOM[RM_Qty_Per_Batch],M_BOM[Intermediate],$B951,M_BOM[RM_Code],$A938)</f>
        <v/>
      </c>
      <c r="D952">
        <f>IFERROR(INDEX(E952:DD952,$F$1),"")</f>
        <v/>
      </c>
      <c r="E952">
        <f>$C952*E951</f>
        <v/>
      </c>
      <c r="F952">
        <f>$C952*F951</f>
        <v/>
      </c>
      <c r="G952">
        <f>$C952*G951</f>
        <v/>
      </c>
      <c r="H952">
        <f>$C952*H951</f>
        <v/>
      </c>
      <c r="I952">
        <f>$C952*I951</f>
        <v/>
      </c>
      <c r="J952">
        <f>$C952*J951</f>
        <v/>
      </c>
      <c r="K952">
        <f>$C952*K951</f>
        <v/>
      </c>
      <c r="L952">
        <f>$C952*L951</f>
        <v/>
      </c>
      <c r="M952">
        <f>$C952*M951</f>
        <v/>
      </c>
      <c r="N952">
        <f>$C952*N951</f>
        <v/>
      </c>
      <c r="O952">
        <f>$C952*O951</f>
        <v/>
      </c>
      <c r="P952">
        <f>$C952*P951</f>
        <v/>
      </c>
      <c r="Q952">
        <f>$C952*Q951</f>
        <v/>
      </c>
      <c r="R952">
        <f>$C952*R951</f>
        <v/>
      </c>
      <c r="S952">
        <f>$C952*S951</f>
        <v/>
      </c>
      <c r="T952">
        <f>$C952*T951</f>
        <v/>
      </c>
      <c r="U952">
        <f>$C952*U951</f>
        <v/>
      </c>
      <c r="V952">
        <f>$C952*V951</f>
        <v/>
      </c>
      <c r="W952">
        <f>$C952*W951</f>
        <v/>
      </c>
      <c r="X952">
        <f>$C952*X951</f>
        <v/>
      </c>
      <c r="Y952">
        <f>$C952*Y951</f>
        <v/>
      </c>
      <c r="Z952">
        <f>$C952*Z951</f>
        <v/>
      </c>
      <c r="AA952">
        <f>$C952*AA951</f>
        <v/>
      </c>
      <c r="AB952">
        <f>$C952*AB951</f>
        <v/>
      </c>
      <c r="AC952">
        <f>$C952*AC951</f>
        <v/>
      </c>
      <c r="AD952">
        <f>$C952*AD951</f>
        <v/>
      </c>
      <c r="AE952">
        <f>$C952*AE951</f>
        <v/>
      </c>
      <c r="AF952">
        <f>$C952*AF951</f>
        <v/>
      </c>
      <c r="AG952">
        <f>$C952*AG951</f>
        <v/>
      </c>
      <c r="AH952">
        <f>$C952*AH951</f>
        <v/>
      </c>
      <c r="AI952">
        <f>$C952*AI951</f>
        <v/>
      </c>
      <c r="AJ952">
        <f>$C952*AJ951</f>
        <v/>
      </c>
      <c r="AK952">
        <f>$C952*AK951</f>
        <v/>
      </c>
      <c r="AL952">
        <f>$C952*AL951</f>
        <v/>
      </c>
      <c r="AM952">
        <f>$C952*AM951</f>
        <v/>
      </c>
      <c r="AN952">
        <f>$C952*AN951</f>
        <v/>
      </c>
      <c r="AO952">
        <f>$C952*AO951</f>
        <v/>
      </c>
      <c r="AP952">
        <f>$C952*AP951</f>
        <v/>
      </c>
      <c r="AQ952">
        <f>$C952*AQ951</f>
        <v/>
      </c>
      <c r="AR952">
        <f>$C952*AR951</f>
        <v/>
      </c>
      <c r="AS952">
        <f>$C952*AS951</f>
        <v/>
      </c>
      <c r="AT952">
        <f>$C952*AT951</f>
        <v/>
      </c>
      <c r="AU952">
        <f>$C952*AU951</f>
        <v/>
      </c>
      <c r="AV952">
        <f>$C952*AV951</f>
        <v/>
      </c>
      <c r="AW952">
        <f>$C952*AW951</f>
        <v/>
      </c>
      <c r="AX952">
        <f>$C952*AX951</f>
        <v/>
      </c>
      <c r="AY952">
        <f>$C952*AY951</f>
        <v/>
      </c>
      <c r="AZ952">
        <f>$C952*AZ951</f>
        <v/>
      </c>
      <c r="BA952">
        <f>$C952*BA951</f>
        <v/>
      </c>
      <c r="BB952">
        <f>$C952*BB951</f>
        <v/>
      </c>
      <c r="BC952">
        <f>$C952*BC951</f>
        <v/>
      </c>
      <c r="BD952">
        <f>$C952*BD951</f>
        <v/>
      </c>
      <c r="BE952">
        <f>$C952*BE951</f>
        <v/>
      </c>
      <c r="BF952">
        <f>$C952*BF951</f>
        <v/>
      </c>
      <c r="BG952">
        <f>$C952*BG951</f>
        <v/>
      </c>
      <c r="BH952">
        <f>$C952*BH951</f>
        <v/>
      </c>
      <c r="BI952">
        <f>$C952*BI951</f>
        <v/>
      </c>
      <c r="BJ952">
        <f>$C952*BJ951</f>
        <v/>
      </c>
      <c r="BK952">
        <f>$C952*BK951</f>
        <v/>
      </c>
      <c r="BL952">
        <f>$C952*BL951</f>
        <v/>
      </c>
      <c r="BM952">
        <f>$C952*BM951</f>
        <v/>
      </c>
      <c r="BN952">
        <f>$C952*BN951</f>
        <v/>
      </c>
      <c r="BO952">
        <f>$C952*BO951</f>
        <v/>
      </c>
      <c r="BP952">
        <f>$C952*BP951</f>
        <v/>
      </c>
      <c r="BQ952">
        <f>$C952*BQ951</f>
        <v/>
      </c>
      <c r="BR952">
        <f>$C952*BR951</f>
        <v/>
      </c>
      <c r="BS952">
        <f>$C952*BS951</f>
        <v/>
      </c>
      <c r="BT952">
        <f>$C952*BT951</f>
        <v/>
      </c>
      <c r="BU952">
        <f>$C952*BU951</f>
        <v/>
      </c>
      <c r="BV952">
        <f>$C952*BV951</f>
        <v/>
      </c>
      <c r="BW952">
        <f>$C952*BW951</f>
        <v/>
      </c>
      <c r="BX952">
        <f>$C952*BX951</f>
        <v/>
      </c>
      <c r="BY952">
        <f>$C952*BY951</f>
        <v/>
      </c>
      <c r="BZ952">
        <f>$C952*BZ951</f>
        <v/>
      </c>
      <c r="CA952">
        <f>$C952*CA951</f>
        <v/>
      </c>
      <c r="CB952">
        <f>$C952*CB951</f>
        <v/>
      </c>
      <c r="CC952">
        <f>$C952*CC951</f>
        <v/>
      </c>
      <c r="CD952">
        <f>$C952*CD951</f>
        <v/>
      </c>
      <c r="CE952">
        <f>$C952*CE951</f>
        <v/>
      </c>
      <c r="CF952">
        <f>$C952*CF951</f>
        <v/>
      </c>
      <c r="CG952">
        <f>$C952*CG951</f>
        <v/>
      </c>
      <c r="CH952">
        <f>$C952*CH951</f>
        <v/>
      </c>
      <c r="CI952">
        <f>$C952*CI951</f>
        <v/>
      </c>
      <c r="CJ952">
        <f>$C952*CJ951</f>
        <v/>
      </c>
      <c r="CK952">
        <f>$C952*CK951</f>
        <v/>
      </c>
      <c r="CL952">
        <f>$C952*CL951</f>
        <v/>
      </c>
      <c r="CM952">
        <f>$C952*CM951</f>
        <v/>
      </c>
      <c r="CN952">
        <f>$C952*CN951</f>
        <v/>
      </c>
      <c r="CO952">
        <f>$C952*CO951</f>
        <v/>
      </c>
      <c r="CP952">
        <f>$C952*CP951</f>
        <v/>
      </c>
      <c r="CQ952">
        <f>$C952*CQ951</f>
        <v/>
      </c>
      <c r="CR952">
        <f>$C952*CR951</f>
        <v/>
      </c>
      <c r="CS952">
        <f>$C952*CS951</f>
        <v/>
      </c>
      <c r="CT952">
        <f>$C952*CT951</f>
        <v/>
      </c>
      <c r="CU952">
        <f>$C952*CU951</f>
        <v/>
      </c>
      <c r="CV952">
        <f>$C952*CV951</f>
        <v/>
      </c>
      <c r="CW952">
        <f>$C952*CW951</f>
        <v/>
      </c>
      <c r="CX952">
        <f>$C952*CX951</f>
        <v/>
      </c>
      <c r="CY952">
        <f>$C952*CY951</f>
        <v/>
      </c>
      <c r="CZ952">
        <f>$C952*CZ951</f>
        <v/>
      </c>
      <c r="DA952">
        <f>$C952*DA951</f>
        <v/>
      </c>
      <c r="DB952">
        <f>$C952*DB951</f>
        <v/>
      </c>
      <c r="DC952">
        <f>$C952*DC951</f>
        <v/>
      </c>
      <c r="DD952">
        <f>$C952*DD951</f>
        <v/>
      </c>
    </row>
    <row r="953">
      <c r="B953" t="inlineStr">
        <is>
          <t>VSP-820</t>
        </is>
      </c>
      <c r="C953" t="inlineStr">
        <is>
          <t>No. of batches</t>
        </is>
      </c>
      <c r="D953">
        <f>IFERROR(INDEX(E953:DD953,$F$1),"")</f>
        <v/>
      </c>
      <c r="E953">
        <f>IFERROR(INDEX(PP_Grid[#Data],$DE953,2),0)</f>
        <v/>
      </c>
      <c r="F953">
        <f>IFERROR(INDEX(PP_Grid[#Data],$DE953,3),0)</f>
        <v/>
      </c>
      <c r="G953">
        <f>IFERROR(INDEX(PP_Grid[#Data],$DE953,4),0)</f>
        <v/>
      </c>
      <c r="H953">
        <f>IFERROR(INDEX(PP_Grid[#Data],$DE953,5),0)</f>
        <v/>
      </c>
      <c r="I953">
        <f>IFERROR(INDEX(PP_Grid[#Data],$DE953,6),0)</f>
        <v/>
      </c>
      <c r="J953">
        <f>IFERROR(INDEX(PP_Grid[#Data],$DE953,7),0)</f>
        <v/>
      </c>
      <c r="K953">
        <f>IFERROR(INDEX(PP_Grid[#Data],$DE953,8),0)</f>
        <v/>
      </c>
      <c r="L953">
        <f>IFERROR(INDEX(PP_Grid[#Data],$DE953,9),0)</f>
        <v/>
      </c>
      <c r="M953">
        <f>IFERROR(INDEX(PP_Grid[#Data],$DE953,10),0)</f>
        <v/>
      </c>
      <c r="N953">
        <f>IFERROR(INDEX(PP_Grid[#Data],$DE953,11),0)</f>
        <v/>
      </c>
      <c r="O953">
        <f>IFERROR(INDEX(PP_Grid[#Data],$DE953,12),0)</f>
        <v/>
      </c>
      <c r="P953">
        <f>IFERROR(INDEX(PP_Grid[#Data],$DE953,13),0)</f>
        <v/>
      </c>
      <c r="Q953">
        <f>IFERROR(INDEX(PP_Grid[#Data],$DE953,14),0)</f>
        <v/>
      </c>
      <c r="R953">
        <f>IFERROR(INDEX(PP_Grid[#Data],$DE953,15),0)</f>
        <v/>
      </c>
      <c r="S953">
        <f>IFERROR(INDEX(PP_Grid[#Data],$DE953,16),0)</f>
        <v/>
      </c>
      <c r="T953">
        <f>IFERROR(INDEX(PP_Grid[#Data],$DE953,17),0)</f>
        <v/>
      </c>
      <c r="U953">
        <f>IFERROR(INDEX(PP_Grid[#Data],$DE953,18),0)</f>
        <v/>
      </c>
      <c r="V953">
        <f>IFERROR(INDEX(PP_Grid[#Data],$DE953,19),0)</f>
        <v/>
      </c>
      <c r="W953">
        <f>IFERROR(INDEX(PP_Grid[#Data],$DE953,20),0)</f>
        <v/>
      </c>
      <c r="X953">
        <f>IFERROR(INDEX(PP_Grid[#Data],$DE953,21),0)</f>
        <v/>
      </c>
      <c r="Y953">
        <f>IFERROR(INDEX(PP_Grid[#Data],$DE953,22),0)</f>
        <v/>
      </c>
      <c r="Z953">
        <f>IFERROR(INDEX(PP_Grid[#Data],$DE953,23),0)</f>
        <v/>
      </c>
      <c r="AA953">
        <f>IFERROR(INDEX(PP_Grid[#Data],$DE953,24),0)</f>
        <v/>
      </c>
      <c r="AB953">
        <f>IFERROR(INDEX(PP_Grid[#Data],$DE953,25),0)</f>
        <v/>
      </c>
      <c r="AC953">
        <f>IFERROR(INDEX(PP_Grid[#Data],$DE953,26),0)</f>
        <v/>
      </c>
      <c r="AD953">
        <f>IFERROR(INDEX(PP_Grid[#Data],$DE953,27),0)</f>
        <v/>
      </c>
      <c r="AE953">
        <f>IFERROR(INDEX(PP_Grid[#Data],$DE953,28),0)</f>
        <v/>
      </c>
      <c r="AF953">
        <f>IFERROR(INDEX(PP_Grid[#Data],$DE953,29),0)</f>
        <v/>
      </c>
      <c r="AG953">
        <f>IFERROR(INDEX(PP_Grid[#Data],$DE953,30),0)</f>
        <v/>
      </c>
      <c r="AH953">
        <f>IFERROR(INDEX(PP_Grid[#Data],$DE953,31),0)</f>
        <v/>
      </c>
      <c r="AI953">
        <f>IFERROR(INDEX(PP_Grid[#Data],$DE953,32),0)</f>
        <v/>
      </c>
      <c r="AJ953">
        <f>IFERROR(INDEX(PP_Grid[#Data],$DE953,33),0)</f>
        <v/>
      </c>
      <c r="AK953">
        <f>IFERROR(INDEX(PP_Grid[#Data],$DE953,34),0)</f>
        <v/>
      </c>
      <c r="AL953">
        <f>IFERROR(INDEX(PP_Grid[#Data],$DE953,35),0)</f>
        <v/>
      </c>
      <c r="AM953">
        <f>IFERROR(INDEX(PP_Grid[#Data],$DE953,36),0)</f>
        <v/>
      </c>
      <c r="AN953">
        <f>IFERROR(INDEX(PP_Grid[#Data],$DE953,37),0)</f>
        <v/>
      </c>
      <c r="AO953">
        <f>IFERROR(INDEX(PP_Grid[#Data],$DE953,38),0)</f>
        <v/>
      </c>
      <c r="AP953">
        <f>IFERROR(INDEX(PP_Grid[#Data],$DE953,39),0)</f>
        <v/>
      </c>
      <c r="AQ953">
        <f>IFERROR(INDEX(PP_Grid[#Data],$DE953,40),0)</f>
        <v/>
      </c>
      <c r="AR953">
        <f>IFERROR(INDEX(PP_Grid[#Data],$DE953,41),0)</f>
        <v/>
      </c>
      <c r="AS953">
        <f>IFERROR(INDEX(PP_Grid[#Data],$DE953,42),0)</f>
        <v/>
      </c>
      <c r="AT953">
        <f>IFERROR(INDEX(PP_Grid[#Data],$DE953,43),0)</f>
        <v/>
      </c>
      <c r="AU953">
        <f>IFERROR(INDEX(PP_Grid[#Data],$DE953,44),0)</f>
        <v/>
      </c>
      <c r="AV953">
        <f>IFERROR(INDEX(PP_Grid[#Data],$DE953,45),0)</f>
        <v/>
      </c>
      <c r="AW953">
        <f>IFERROR(INDEX(PP_Grid[#Data],$DE953,46),0)</f>
        <v/>
      </c>
      <c r="AX953">
        <f>IFERROR(INDEX(PP_Grid[#Data],$DE953,47),0)</f>
        <v/>
      </c>
      <c r="AY953">
        <f>IFERROR(INDEX(PP_Grid[#Data],$DE953,48),0)</f>
        <v/>
      </c>
      <c r="AZ953">
        <f>IFERROR(INDEX(PP_Grid[#Data],$DE953,49),0)</f>
        <v/>
      </c>
      <c r="BA953">
        <f>IFERROR(INDEX(PP_Grid[#Data],$DE953,50),0)</f>
        <v/>
      </c>
      <c r="BB953">
        <f>IFERROR(INDEX(PP_Grid[#Data],$DE953,51),0)</f>
        <v/>
      </c>
      <c r="BC953">
        <f>IFERROR(INDEX(PP_Grid[#Data],$DE953,52),0)</f>
        <v/>
      </c>
      <c r="BD953">
        <f>IFERROR(INDEX(PP_Grid[#Data],$DE953,53),0)</f>
        <v/>
      </c>
      <c r="BE953">
        <f>IFERROR(INDEX(PP_Grid[#Data],$DE953,54),0)</f>
        <v/>
      </c>
      <c r="BF953">
        <f>IFERROR(INDEX(PP_Grid[#Data],$DE953,55),0)</f>
        <v/>
      </c>
      <c r="BG953">
        <f>IFERROR(INDEX(PP_Grid[#Data],$DE953,56),0)</f>
        <v/>
      </c>
      <c r="BH953">
        <f>IFERROR(INDEX(PP_Grid[#Data],$DE953,57),0)</f>
        <v/>
      </c>
      <c r="BI953">
        <f>IFERROR(INDEX(PP_Grid[#Data],$DE953,58),0)</f>
        <v/>
      </c>
      <c r="BJ953">
        <f>IFERROR(INDEX(PP_Grid[#Data],$DE953,59),0)</f>
        <v/>
      </c>
      <c r="BK953">
        <f>IFERROR(INDEX(PP_Grid[#Data],$DE953,60),0)</f>
        <v/>
      </c>
      <c r="BL953">
        <f>IFERROR(INDEX(PP_Grid[#Data],$DE953,61),0)</f>
        <v/>
      </c>
      <c r="BM953">
        <f>IFERROR(INDEX(PP_Grid[#Data],$DE953,62),0)</f>
        <v/>
      </c>
      <c r="BN953">
        <f>IFERROR(INDEX(PP_Grid[#Data],$DE953,63),0)</f>
        <v/>
      </c>
      <c r="BO953">
        <f>IFERROR(INDEX(PP_Grid[#Data],$DE953,64),0)</f>
        <v/>
      </c>
      <c r="BP953">
        <f>IFERROR(INDEX(PP_Grid[#Data],$DE953,65),0)</f>
        <v/>
      </c>
      <c r="BQ953">
        <f>IFERROR(INDEX(PP_Grid[#Data],$DE953,66),0)</f>
        <v/>
      </c>
      <c r="BR953">
        <f>IFERROR(INDEX(PP_Grid[#Data],$DE953,67),0)</f>
        <v/>
      </c>
      <c r="BS953">
        <f>IFERROR(INDEX(PP_Grid[#Data],$DE953,68),0)</f>
        <v/>
      </c>
      <c r="BT953">
        <f>IFERROR(INDEX(PP_Grid[#Data],$DE953,69),0)</f>
        <v/>
      </c>
      <c r="BU953">
        <f>IFERROR(INDEX(PP_Grid[#Data],$DE953,70),0)</f>
        <v/>
      </c>
      <c r="BV953">
        <f>IFERROR(INDEX(PP_Grid[#Data],$DE953,71),0)</f>
        <v/>
      </c>
      <c r="BW953">
        <f>IFERROR(INDEX(PP_Grid[#Data],$DE953,72),0)</f>
        <v/>
      </c>
      <c r="BX953">
        <f>IFERROR(INDEX(PP_Grid[#Data],$DE953,73),0)</f>
        <v/>
      </c>
      <c r="BY953">
        <f>IFERROR(INDEX(PP_Grid[#Data],$DE953,74),0)</f>
        <v/>
      </c>
      <c r="BZ953">
        <f>IFERROR(INDEX(PP_Grid[#Data],$DE953,75),0)</f>
        <v/>
      </c>
      <c r="CA953">
        <f>IFERROR(INDEX(PP_Grid[#Data],$DE953,76),0)</f>
        <v/>
      </c>
      <c r="CB953">
        <f>IFERROR(INDEX(PP_Grid[#Data],$DE953,77),0)</f>
        <v/>
      </c>
      <c r="CC953">
        <f>IFERROR(INDEX(PP_Grid[#Data],$DE953,78),0)</f>
        <v/>
      </c>
      <c r="CD953">
        <f>IFERROR(INDEX(PP_Grid[#Data],$DE953,79),0)</f>
        <v/>
      </c>
      <c r="CE953">
        <f>IFERROR(INDEX(PP_Grid[#Data],$DE953,80),0)</f>
        <v/>
      </c>
      <c r="CF953">
        <f>IFERROR(INDEX(PP_Grid[#Data],$DE953,81),0)</f>
        <v/>
      </c>
      <c r="CG953">
        <f>IFERROR(INDEX(PP_Grid[#Data],$DE953,82),0)</f>
        <v/>
      </c>
      <c r="CH953">
        <f>IFERROR(INDEX(PP_Grid[#Data],$DE953,83),0)</f>
        <v/>
      </c>
      <c r="CI953">
        <f>IFERROR(INDEX(PP_Grid[#Data],$DE953,84),0)</f>
        <v/>
      </c>
      <c r="CJ953">
        <f>IFERROR(INDEX(PP_Grid[#Data],$DE953,85),0)</f>
        <v/>
      </c>
      <c r="CK953">
        <f>IFERROR(INDEX(PP_Grid[#Data],$DE953,86),0)</f>
        <v/>
      </c>
      <c r="CL953">
        <f>IFERROR(INDEX(PP_Grid[#Data],$DE953,87),0)</f>
        <v/>
      </c>
      <c r="CM953">
        <f>IFERROR(INDEX(PP_Grid[#Data],$DE953,88),0)</f>
        <v/>
      </c>
      <c r="CN953">
        <f>IFERROR(INDEX(PP_Grid[#Data],$DE953,89),0)</f>
        <v/>
      </c>
      <c r="CO953">
        <f>IFERROR(INDEX(PP_Grid[#Data],$DE953,90),0)</f>
        <v/>
      </c>
      <c r="CP953">
        <f>IFERROR(INDEX(PP_Grid[#Data],$DE953,91),0)</f>
        <v/>
      </c>
      <c r="CQ953">
        <f>IFERROR(INDEX(PP_Grid[#Data],$DE953,92),0)</f>
        <v/>
      </c>
      <c r="CR953">
        <f>IFERROR(INDEX(PP_Grid[#Data],$DE953,93),0)</f>
        <v/>
      </c>
      <c r="CS953">
        <f>IFERROR(INDEX(PP_Grid[#Data],$DE953,94),0)</f>
        <v/>
      </c>
      <c r="CT953">
        <f>IFERROR(INDEX(PP_Grid[#Data],$DE953,95),0)</f>
        <v/>
      </c>
      <c r="CU953">
        <f>IFERROR(INDEX(PP_Grid[#Data],$DE953,96),0)</f>
        <v/>
      </c>
      <c r="CV953">
        <f>IFERROR(INDEX(PP_Grid[#Data],$DE953,97),0)</f>
        <v/>
      </c>
      <c r="CW953">
        <f>IFERROR(INDEX(PP_Grid[#Data],$DE953,98),0)</f>
        <v/>
      </c>
      <c r="CX953">
        <f>IFERROR(INDEX(PP_Grid[#Data],$DE953,99),0)</f>
        <v/>
      </c>
      <c r="CY953">
        <f>IFERROR(INDEX(PP_Grid[#Data],$DE953,100),0)</f>
        <v/>
      </c>
      <c r="CZ953">
        <f>IFERROR(INDEX(PP_Grid[#Data],$DE953,101),0)</f>
        <v/>
      </c>
      <c r="DA953">
        <f>IFERROR(INDEX(PP_Grid[#Data],$DE953,102),0)</f>
        <v/>
      </c>
      <c r="DB953">
        <f>IFERROR(INDEX(PP_Grid[#Data],$DE953,103),0)</f>
        <v/>
      </c>
      <c r="DC953">
        <f>IFERROR(INDEX(PP_Grid[#Data],$DE953,104),0)</f>
        <v/>
      </c>
      <c r="DD953">
        <f>IFERROR(INDEX(PP_Grid[#Data],$DE953,105),0)</f>
        <v/>
      </c>
      <c r="DE953" s="7">
        <f>IFERROR(MATCH($B953,PP_Grid[Intermediate],0),99999)</f>
        <v/>
      </c>
    </row>
    <row r="954">
      <c r="B954" t="inlineStr">
        <is>
          <t>使用量(kg)</t>
        </is>
      </c>
      <c r="C954">
        <f>SUMIFS(M_BOM[RM_Qty_Per_Batch],M_BOM[Intermediate],$B953,M_BOM[RM_Code],$A938)</f>
        <v/>
      </c>
      <c r="D954">
        <f>IFERROR(INDEX(E954:DD954,$F$1),"")</f>
        <v/>
      </c>
      <c r="E954">
        <f>$C954*E953</f>
        <v/>
      </c>
      <c r="F954">
        <f>$C954*F953</f>
        <v/>
      </c>
      <c r="G954">
        <f>$C954*G953</f>
        <v/>
      </c>
      <c r="H954">
        <f>$C954*H953</f>
        <v/>
      </c>
      <c r="I954">
        <f>$C954*I953</f>
        <v/>
      </c>
      <c r="J954">
        <f>$C954*J953</f>
        <v/>
      </c>
      <c r="K954">
        <f>$C954*K953</f>
        <v/>
      </c>
      <c r="L954">
        <f>$C954*L953</f>
        <v/>
      </c>
      <c r="M954">
        <f>$C954*M953</f>
        <v/>
      </c>
      <c r="N954">
        <f>$C954*N953</f>
        <v/>
      </c>
      <c r="O954">
        <f>$C954*O953</f>
        <v/>
      </c>
      <c r="P954">
        <f>$C954*P953</f>
        <v/>
      </c>
      <c r="Q954">
        <f>$C954*Q953</f>
        <v/>
      </c>
      <c r="R954">
        <f>$C954*R953</f>
        <v/>
      </c>
      <c r="S954">
        <f>$C954*S953</f>
        <v/>
      </c>
      <c r="T954">
        <f>$C954*T953</f>
        <v/>
      </c>
      <c r="U954">
        <f>$C954*U953</f>
        <v/>
      </c>
      <c r="V954">
        <f>$C954*V953</f>
        <v/>
      </c>
      <c r="W954">
        <f>$C954*W953</f>
        <v/>
      </c>
      <c r="X954">
        <f>$C954*X953</f>
        <v/>
      </c>
      <c r="Y954">
        <f>$C954*Y953</f>
        <v/>
      </c>
      <c r="Z954">
        <f>$C954*Z953</f>
        <v/>
      </c>
      <c r="AA954">
        <f>$C954*AA953</f>
        <v/>
      </c>
      <c r="AB954">
        <f>$C954*AB953</f>
        <v/>
      </c>
      <c r="AC954">
        <f>$C954*AC953</f>
        <v/>
      </c>
      <c r="AD954">
        <f>$C954*AD953</f>
        <v/>
      </c>
      <c r="AE954">
        <f>$C954*AE953</f>
        <v/>
      </c>
      <c r="AF954">
        <f>$C954*AF953</f>
        <v/>
      </c>
      <c r="AG954">
        <f>$C954*AG953</f>
        <v/>
      </c>
      <c r="AH954">
        <f>$C954*AH953</f>
        <v/>
      </c>
      <c r="AI954">
        <f>$C954*AI953</f>
        <v/>
      </c>
      <c r="AJ954">
        <f>$C954*AJ953</f>
        <v/>
      </c>
      <c r="AK954">
        <f>$C954*AK953</f>
        <v/>
      </c>
      <c r="AL954">
        <f>$C954*AL953</f>
        <v/>
      </c>
      <c r="AM954">
        <f>$C954*AM953</f>
        <v/>
      </c>
      <c r="AN954">
        <f>$C954*AN953</f>
        <v/>
      </c>
      <c r="AO954">
        <f>$C954*AO953</f>
        <v/>
      </c>
      <c r="AP954">
        <f>$C954*AP953</f>
        <v/>
      </c>
      <c r="AQ954">
        <f>$C954*AQ953</f>
        <v/>
      </c>
      <c r="AR954">
        <f>$C954*AR953</f>
        <v/>
      </c>
      <c r="AS954">
        <f>$C954*AS953</f>
        <v/>
      </c>
      <c r="AT954">
        <f>$C954*AT953</f>
        <v/>
      </c>
      <c r="AU954">
        <f>$C954*AU953</f>
        <v/>
      </c>
      <c r="AV954">
        <f>$C954*AV953</f>
        <v/>
      </c>
      <c r="AW954">
        <f>$C954*AW953</f>
        <v/>
      </c>
      <c r="AX954">
        <f>$C954*AX953</f>
        <v/>
      </c>
      <c r="AY954">
        <f>$C954*AY953</f>
        <v/>
      </c>
      <c r="AZ954">
        <f>$C954*AZ953</f>
        <v/>
      </c>
      <c r="BA954">
        <f>$C954*BA953</f>
        <v/>
      </c>
      <c r="BB954">
        <f>$C954*BB953</f>
        <v/>
      </c>
      <c r="BC954">
        <f>$C954*BC953</f>
        <v/>
      </c>
      <c r="BD954">
        <f>$C954*BD953</f>
        <v/>
      </c>
      <c r="BE954">
        <f>$C954*BE953</f>
        <v/>
      </c>
      <c r="BF954">
        <f>$C954*BF953</f>
        <v/>
      </c>
      <c r="BG954">
        <f>$C954*BG953</f>
        <v/>
      </c>
      <c r="BH954">
        <f>$C954*BH953</f>
        <v/>
      </c>
      <c r="BI954">
        <f>$C954*BI953</f>
        <v/>
      </c>
      <c r="BJ954">
        <f>$C954*BJ953</f>
        <v/>
      </c>
      <c r="BK954">
        <f>$C954*BK953</f>
        <v/>
      </c>
      <c r="BL954">
        <f>$C954*BL953</f>
        <v/>
      </c>
      <c r="BM954">
        <f>$C954*BM953</f>
        <v/>
      </c>
      <c r="BN954">
        <f>$C954*BN953</f>
        <v/>
      </c>
      <c r="BO954">
        <f>$C954*BO953</f>
        <v/>
      </c>
      <c r="BP954">
        <f>$C954*BP953</f>
        <v/>
      </c>
      <c r="BQ954">
        <f>$C954*BQ953</f>
        <v/>
      </c>
      <c r="BR954">
        <f>$C954*BR953</f>
        <v/>
      </c>
      <c r="BS954">
        <f>$C954*BS953</f>
        <v/>
      </c>
      <c r="BT954">
        <f>$C954*BT953</f>
        <v/>
      </c>
      <c r="BU954">
        <f>$C954*BU953</f>
        <v/>
      </c>
      <c r="BV954">
        <f>$C954*BV953</f>
        <v/>
      </c>
      <c r="BW954">
        <f>$C954*BW953</f>
        <v/>
      </c>
      <c r="BX954">
        <f>$C954*BX953</f>
        <v/>
      </c>
      <c r="BY954">
        <f>$C954*BY953</f>
        <v/>
      </c>
      <c r="BZ954">
        <f>$C954*BZ953</f>
        <v/>
      </c>
      <c r="CA954">
        <f>$C954*CA953</f>
        <v/>
      </c>
      <c r="CB954">
        <f>$C954*CB953</f>
        <v/>
      </c>
      <c r="CC954">
        <f>$C954*CC953</f>
        <v/>
      </c>
      <c r="CD954">
        <f>$C954*CD953</f>
        <v/>
      </c>
      <c r="CE954">
        <f>$C954*CE953</f>
        <v/>
      </c>
      <c r="CF954">
        <f>$C954*CF953</f>
        <v/>
      </c>
      <c r="CG954">
        <f>$C954*CG953</f>
        <v/>
      </c>
      <c r="CH954">
        <f>$C954*CH953</f>
        <v/>
      </c>
      <c r="CI954">
        <f>$C954*CI953</f>
        <v/>
      </c>
      <c r="CJ954">
        <f>$C954*CJ953</f>
        <v/>
      </c>
      <c r="CK954">
        <f>$C954*CK953</f>
        <v/>
      </c>
      <c r="CL954">
        <f>$C954*CL953</f>
        <v/>
      </c>
      <c r="CM954">
        <f>$C954*CM953</f>
        <v/>
      </c>
      <c r="CN954">
        <f>$C954*CN953</f>
        <v/>
      </c>
      <c r="CO954">
        <f>$C954*CO953</f>
        <v/>
      </c>
      <c r="CP954">
        <f>$C954*CP953</f>
        <v/>
      </c>
      <c r="CQ954">
        <f>$C954*CQ953</f>
        <v/>
      </c>
      <c r="CR954">
        <f>$C954*CR953</f>
        <v/>
      </c>
      <c r="CS954">
        <f>$C954*CS953</f>
        <v/>
      </c>
      <c r="CT954">
        <f>$C954*CT953</f>
        <v/>
      </c>
      <c r="CU954">
        <f>$C954*CU953</f>
        <v/>
      </c>
      <c r="CV954">
        <f>$C954*CV953</f>
        <v/>
      </c>
      <c r="CW954">
        <f>$C954*CW953</f>
        <v/>
      </c>
      <c r="CX954">
        <f>$C954*CX953</f>
        <v/>
      </c>
      <c r="CY954">
        <f>$C954*CY953</f>
        <v/>
      </c>
      <c r="CZ954">
        <f>$C954*CZ953</f>
        <v/>
      </c>
      <c r="DA954">
        <f>$C954*DA953</f>
        <v/>
      </c>
      <c r="DB954">
        <f>$C954*DB953</f>
        <v/>
      </c>
      <c r="DC954">
        <f>$C954*DC953</f>
        <v/>
      </c>
      <c r="DD954">
        <f>$C954*DD953</f>
        <v/>
      </c>
    </row>
    <row r="955">
      <c r="B955" t="inlineStr">
        <is>
          <t>VSP-869</t>
        </is>
      </c>
      <c r="C955" t="inlineStr">
        <is>
          <t>No. of batches</t>
        </is>
      </c>
      <c r="D955">
        <f>IFERROR(INDEX(E955:DD955,$F$1),"")</f>
        <v/>
      </c>
      <c r="E955">
        <f>IFERROR(INDEX(PP_Grid[#Data],$DE955,2),0)</f>
        <v/>
      </c>
      <c r="F955">
        <f>IFERROR(INDEX(PP_Grid[#Data],$DE955,3),0)</f>
        <v/>
      </c>
      <c r="G955">
        <f>IFERROR(INDEX(PP_Grid[#Data],$DE955,4),0)</f>
        <v/>
      </c>
      <c r="H955">
        <f>IFERROR(INDEX(PP_Grid[#Data],$DE955,5),0)</f>
        <v/>
      </c>
      <c r="I955">
        <f>IFERROR(INDEX(PP_Grid[#Data],$DE955,6),0)</f>
        <v/>
      </c>
      <c r="J955">
        <f>IFERROR(INDEX(PP_Grid[#Data],$DE955,7),0)</f>
        <v/>
      </c>
      <c r="K955">
        <f>IFERROR(INDEX(PP_Grid[#Data],$DE955,8),0)</f>
        <v/>
      </c>
      <c r="L955">
        <f>IFERROR(INDEX(PP_Grid[#Data],$DE955,9),0)</f>
        <v/>
      </c>
      <c r="M955">
        <f>IFERROR(INDEX(PP_Grid[#Data],$DE955,10),0)</f>
        <v/>
      </c>
      <c r="N955">
        <f>IFERROR(INDEX(PP_Grid[#Data],$DE955,11),0)</f>
        <v/>
      </c>
      <c r="O955">
        <f>IFERROR(INDEX(PP_Grid[#Data],$DE955,12),0)</f>
        <v/>
      </c>
      <c r="P955">
        <f>IFERROR(INDEX(PP_Grid[#Data],$DE955,13),0)</f>
        <v/>
      </c>
      <c r="Q955">
        <f>IFERROR(INDEX(PP_Grid[#Data],$DE955,14),0)</f>
        <v/>
      </c>
      <c r="R955">
        <f>IFERROR(INDEX(PP_Grid[#Data],$DE955,15),0)</f>
        <v/>
      </c>
      <c r="S955">
        <f>IFERROR(INDEX(PP_Grid[#Data],$DE955,16),0)</f>
        <v/>
      </c>
      <c r="T955">
        <f>IFERROR(INDEX(PP_Grid[#Data],$DE955,17),0)</f>
        <v/>
      </c>
      <c r="U955">
        <f>IFERROR(INDEX(PP_Grid[#Data],$DE955,18),0)</f>
        <v/>
      </c>
      <c r="V955">
        <f>IFERROR(INDEX(PP_Grid[#Data],$DE955,19),0)</f>
        <v/>
      </c>
      <c r="W955">
        <f>IFERROR(INDEX(PP_Grid[#Data],$DE955,20),0)</f>
        <v/>
      </c>
      <c r="X955">
        <f>IFERROR(INDEX(PP_Grid[#Data],$DE955,21),0)</f>
        <v/>
      </c>
      <c r="Y955">
        <f>IFERROR(INDEX(PP_Grid[#Data],$DE955,22),0)</f>
        <v/>
      </c>
      <c r="Z955">
        <f>IFERROR(INDEX(PP_Grid[#Data],$DE955,23),0)</f>
        <v/>
      </c>
      <c r="AA955">
        <f>IFERROR(INDEX(PP_Grid[#Data],$DE955,24),0)</f>
        <v/>
      </c>
      <c r="AB955">
        <f>IFERROR(INDEX(PP_Grid[#Data],$DE955,25),0)</f>
        <v/>
      </c>
      <c r="AC955">
        <f>IFERROR(INDEX(PP_Grid[#Data],$DE955,26),0)</f>
        <v/>
      </c>
      <c r="AD955">
        <f>IFERROR(INDEX(PP_Grid[#Data],$DE955,27),0)</f>
        <v/>
      </c>
      <c r="AE955">
        <f>IFERROR(INDEX(PP_Grid[#Data],$DE955,28),0)</f>
        <v/>
      </c>
      <c r="AF955">
        <f>IFERROR(INDEX(PP_Grid[#Data],$DE955,29),0)</f>
        <v/>
      </c>
      <c r="AG955">
        <f>IFERROR(INDEX(PP_Grid[#Data],$DE955,30),0)</f>
        <v/>
      </c>
      <c r="AH955">
        <f>IFERROR(INDEX(PP_Grid[#Data],$DE955,31),0)</f>
        <v/>
      </c>
      <c r="AI955">
        <f>IFERROR(INDEX(PP_Grid[#Data],$DE955,32),0)</f>
        <v/>
      </c>
      <c r="AJ955">
        <f>IFERROR(INDEX(PP_Grid[#Data],$DE955,33),0)</f>
        <v/>
      </c>
      <c r="AK955">
        <f>IFERROR(INDEX(PP_Grid[#Data],$DE955,34),0)</f>
        <v/>
      </c>
      <c r="AL955">
        <f>IFERROR(INDEX(PP_Grid[#Data],$DE955,35),0)</f>
        <v/>
      </c>
      <c r="AM955">
        <f>IFERROR(INDEX(PP_Grid[#Data],$DE955,36),0)</f>
        <v/>
      </c>
      <c r="AN955">
        <f>IFERROR(INDEX(PP_Grid[#Data],$DE955,37),0)</f>
        <v/>
      </c>
      <c r="AO955">
        <f>IFERROR(INDEX(PP_Grid[#Data],$DE955,38),0)</f>
        <v/>
      </c>
      <c r="AP955">
        <f>IFERROR(INDEX(PP_Grid[#Data],$DE955,39),0)</f>
        <v/>
      </c>
      <c r="AQ955">
        <f>IFERROR(INDEX(PP_Grid[#Data],$DE955,40),0)</f>
        <v/>
      </c>
      <c r="AR955">
        <f>IFERROR(INDEX(PP_Grid[#Data],$DE955,41),0)</f>
        <v/>
      </c>
      <c r="AS955">
        <f>IFERROR(INDEX(PP_Grid[#Data],$DE955,42),0)</f>
        <v/>
      </c>
      <c r="AT955">
        <f>IFERROR(INDEX(PP_Grid[#Data],$DE955,43),0)</f>
        <v/>
      </c>
      <c r="AU955">
        <f>IFERROR(INDEX(PP_Grid[#Data],$DE955,44),0)</f>
        <v/>
      </c>
      <c r="AV955">
        <f>IFERROR(INDEX(PP_Grid[#Data],$DE955,45),0)</f>
        <v/>
      </c>
      <c r="AW955">
        <f>IFERROR(INDEX(PP_Grid[#Data],$DE955,46),0)</f>
        <v/>
      </c>
      <c r="AX955">
        <f>IFERROR(INDEX(PP_Grid[#Data],$DE955,47),0)</f>
        <v/>
      </c>
      <c r="AY955">
        <f>IFERROR(INDEX(PP_Grid[#Data],$DE955,48),0)</f>
        <v/>
      </c>
      <c r="AZ955">
        <f>IFERROR(INDEX(PP_Grid[#Data],$DE955,49),0)</f>
        <v/>
      </c>
      <c r="BA955">
        <f>IFERROR(INDEX(PP_Grid[#Data],$DE955,50),0)</f>
        <v/>
      </c>
      <c r="BB955">
        <f>IFERROR(INDEX(PP_Grid[#Data],$DE955,51),0)</f>
        <v/>
      </c>
      <c r="BC955">
        <f>IFERROR(INDEX(PP_Grid[#Data],$DE955,52),0)</f>
        <v/>
      </c>
      <c r="BD955">
        <f>IFERROR(INDEX(PP_Grid[#Data],$DE955,53),0)</f>
        <v/>
      </c>
      <c r="BE955">
        <f>IFERROR(INDEX(PP_Grid[#Data],$DE955,54),0)</f>
        <v/>
      </c>
      <c r="BF955">
        <f>IFERROR(INDEX(PP_Grid[#Data],$DE955,55),0)</f>
        <v/>
      </c>
      <c r="BG955">
        <f>IFERROR(INDEX(PP_Grid[#Data],$DE955,56),0)</f>
        <v/>
      </c>
      <c r="BH955">
        <f>IFERROR(INDEX(PP_Grid[#Data],$DE955,57),0)</f>
        <v/>
      </c>
      <c r="BI955">
        <f>IFERROR(INDEX(PP_Grid[#Data],$DE955,58),0)</f>
        <v/>
      </c>
      <c r="BJ955">
        <f>IFERROR(INDEX(PP_Grid[#Data],$DE955,59),0)</f>
        <v/>
      </c>
      <c r="BK955">
        <f>IFERROR(INDEX(PP_Grid[#Data],$DE955,60),0)</f>
        <v/>
      </c>
      <c r="BL955">
        <f>IFERROR(INDEX(PP_Grid[#Data],$DE955,61),0)</f>
        <v/>
      </c>
      <c r="BM955">
        <f>IFERROR(INDEX(PP_Grid[#Data],$DE955,62),0)</f>
        <v/>
      </c>
      <c r="BN955">
        <f>IFERROR(INDEX(PP_Grid[#Data],$DE955,63),0)</f>
        <v/>
      </c>
      <c r="BO955">
        <f>IFERROR(INDEX(PP_Grid[#Data],$DE955,64),0)</f>
        <v/>
      </c>
      <c r="BP955">
        <f>IFERROR(INDEX(PP_Grid[#Data],$DE955,65),0)</f>
        <v/>
      </c>
      <c r="BQ955">
        <f>IFERROR(INDEX(PP_Grid[#Data],$DE955,66),0)</f>
        <v/>
      </c>
      <c r="BR955">
        <f>IFERROR(INDEX(PP_Grid[#Data],$DE955,67),0)</f>
        <v/>
      </c>
      <c r="BS955">
        <f>IFERROR(INDEX(PP_Grid[#Data],$DE955,68),0)</f>
        <v/>
      </c>
      <c r="BT955">
        <f>IFERROR(INDEX(PP_Grid[#Data],$DE955,69),0)</f>
        <v/>
      </c>
      <c r="BU955">
        <f>IFERROR(INDEX(PP_Grid[#Data],$DE955,70),0)</f>
        <v/>
      </c>
      <c r="BV955">
        <f>IFERROR(INDEX(PP_Grid[#Data],$DE955,71),0)</f>
        <v/>
      </c>
      <c r="BW955">
        <f>IFERROR(INDEX(PP_Grid[#Data],$DE955,72),0)</f>
        <v/>
      </c>
      <c r="BX955">
        <f>IFERROR(INDEX(PP_Grid[#Data],$DE955,73),0)</f>
        <v/>
      </c>
      <c r="BY955">
        <f>IFERROR(INDEX(PP_Grid[#Data],$DE955,74),0)</f>
        <v/>
      </c>
      <c r="BZ955">
        <f>IFERROR(INDEX(PP_Grid[#Data],$DE955,75),0)</f>
        <v/>
      </c>
      <c r="CA955">
        <f>IFERROR(INDEX(PP_Grid[#Data],$DE955,76),0)</f>
        <v/>
      </c>
      <c r="CB955">
        <f>IFERROR(INDEX(PP_Grid[#Data],$DE955,77),0)</f>
        <v/>
      </c>
      <c r="CC955">
        <f>IFERROR(INDEX(PP_Grid[#Data],$DE955,78),0)</f>
        <v/>
      </c>
      <c r="CD955">
        <f>IFERROR(INDEX(PP_Grid[#Data],$DE955,79),0)</f>
        <v/>
      </c>
      <c r="CE955">
        <f>IFERROR(INDEX(PP_Grid[#Data],$DE955,80),0)</f>
        <v/>
      </c>
      <c r="CF955">
        <f>IFERROR(INDEX(PP_Grid[#Data],$DE955,81),0)</f>
        <v/>
      </c>
      <c r="CG955">
        <f>IFERROR(INDEX(PP_Grid[#Data],$DE955,82),0)</f>
        <v/>
      </c>
      <c r="CH955">
        <f>IFERROR(INDEX(PP_Grid[#Data],$DE955,83),0)</f>
        <v/>
      </c>
      <c r="CI955">
        <f>IFERROR(INDEX(PP_Grid[#Data],$DE955,84),0)</f>
        <v/>
      </c>
      <c r="CJ955">
        <f>IFERROR(INDEX(PP_Grid[#Data],$DE955,85),0)</f>
        <v/>
      </c>
      <c r="CK955">
        <f>IFERROR(INDEX(PP_Grid[#Data],$DE955,86),0)</f>
        <v/>
      </c>
      <c r="CL955">
        <f>IFERROR(INDEX(PP_Grid[#Data],$DE955,87),0)</f>
        <v/>
      </c>
      <c r="CM955">
        <f>IFERROR(INDEX(PP_Grid[#Data],$DE955,88),0)</f>
        <v/>
      </c>
      <c r="CN955">
        <f>IFERROR(INDEX(PP_Grid[#Data],$DE955,89),0)</f>
        <v/>
      </c>
      <c r="CO955">
        <f>IFERROR(INDEX(PP_Grid[#Data],$DE955,90),0)</f>
        <v/>
      </c>
      <c r="CP955">
        <f>IFERROR(INDEX(PP_Grid[#Data],$DE955,91),0)</f>
        <v/>
      </c>
      <c r="CQ955">
        <f>IFERROR(INDEX(PP_Grid[#Data],$DE955,92),0)</f>
        <v/>
      </c>
      <c r="CR955">
        <f>IFERROR(INDEX(PP_Grid[#Data],$DE955,93),0)</f>
        <v/>
      </c>
      <c r="CS955">
        <f>IFERROR(INDEX(PP_Grid[#Data],$DE955,94),0)</f>
        <v/>
      </c>
      <c r="CT955">
        <f>IFERROR(INDEX(PP_Grid[#Data],$DE955,95),0)</f>
        <v/>
      </c>
      <c r="CU955">
        <f>IFERROR(INDEX(PP_Grid[#Data],$DE955,96),0)</f>
        <v/>
      </c>
      <c r="CV955">
        <f>IFERROR(INDEX(PP_Grid[#Data],$DE955,97),0)</f>
        <v/>
      </c>
      <c r="CW955">
        <f>IFERROR(INDEX(PP_Grid[#Data],$DE955,98),0)</f>
        <v/>
      </c>
      <c r="CX955">
        <f>IFERROR(INDEX(PP_Grid[#Data],$DE955,99),0)</f>
        <v/>
      </c>
      <c r="CY955">
        <f>IFERROR(INDEX(PP_Grid[#Data],$DE955,100),0)</f>
        <v/>
      </c>
      <c r="CZ955">
        <f>IFERROR(INDEX(PP_Grid[#Data],$DE955,101),0)</f>
        <v/>
      </c>
      <c r="DA955">
        <f>IFERROR(INDEX(PP_Grid[#Data],$DE955,102),0)</f>
        <v/>
      </c>
      <c r="DB955">
        <f>IFERROR(INDEX(PP_Grid[#Data],$DE955,103),0)</f>
        <v/>
      </c>
      <c r="DC955">
        <f>IFERROR(INDEX(PP_Grid[#Data],$DE955,104),0)</f>
        <v/>
      </c>
      <c r="DD955">
        <f>IFERROR(INDEX(PP_Grid[#Data],$DE955,105),0)</f>
        <v/>
      </c>
      <c r="DE955" s="7">
        <f>IFERROR(MATCH($B955,PP_Grid[Intermediate],0),99999)</f>
        <v/>
      </c>
    </row>
    <row r="956">
      <c r="B956" t="inlineStr">
        <is>
          <t>使用量(kg)</t>
        </is>
      </c>
      <c r="C956">
        <f>SUMIFS(M_BOM[RM_Qty_Per_Batch],M_BOM[Intermediate],$B955,M_BOM[RM_Code],$A938)</f>
        <v/>
      </c>
      <c r="D956">
        <f>IFERROR(INDEX(E956:DD956,$F$1),"")</f>
        <v/>
      </c>
      <c r="E956">
        <f>$C956*E955</f>
        <v/>
      </c>
      <c r="F956">
        <f>$C956*F955</f>
        <v/>
      </c>
      <c r="G956">
        <f>$C956*G955</f>
        <v/>
      </c>
      <c r="H956">
        <f>$C956*H955</f>
        <v/>
      </c>
      <c r="I956">
        <f>$C956*I955</f>
        <v/>
      </c>
      <c r="J956">
        <f>$C956*J955</f>
        <v/>
      </c>
      <c r="K956">
        <f>$C956*K955</f>
        <v/>
      </c>
      <c r="L956">
        <f>$C956*L955</f>
        <v/>
      </c>
      <c r="M956">
        <f>$C956*M955</f>
        <v/>
      </c>
      <c r="N956">
        <f>$C956*N955</f>
        <v/>
      </c>
      <c r="O956">
        <f>$C956*O955</f>
        <v/>
      </c>
      <c r="P956">
        <f>$C956*P955</f>
        <v/>
      </c>
      <c r="Q956">
        <f>$C956*Q955</f>
        <v/>
      </c>
      <c r="R956">
        <f>$C956*R955</f>
        <v/>
      </c>
      <c r="S956">
        <f>$C956*S955</f>
        <v/>
      </c>
      <c r="T956">
        <f>$C956*T955</f>
        <v/>
      </c>
      <c r="U956">
        <f>$C956*U955</f>
        <v/>
      </c>
      <c r="V956">
        <f>$C956*V955</f>
        <v/>
      </c>
      <c r="W956">
        <f>$C956*W955</f>
        <v/>
      </c>
      <c r="X956">
        <f>$C956*X955</f>
        <v/>
      </c>
      <c r="Y956">
        <f>$C956*Y955</f>
        <v/>
      </c>
      <c r="Z956">
        <f>$C956*Z955</f>
        <v/>
      </c>
      <c r="AA956">
        <f>$C956*AA955</f>
        <v/>
      </c>
      <c r="AB956">
        <f>$C956*AB955</f>
        <v/>
      </c>
      <c r="AC956">
        <f>$C956*AC955</f>
        <v/>
      </c>
      <c r="AD956">
        <f>$C956*AD955</f>
        <v/>
      </c>
      <c r="AE956">
        <f>$C956*AE955</f>
        <v/>
      </c>
      <c r="AF956">
        <f>$C956*AF955</f>
        <v/>
      </c>
      <c r="AG956">
        <f>$C956*AG955</f>
        <v/>
      </c>
      <c r="AH956">
        <f>$C956*AH955</f>
        <v/>
      </c>
      <c r="AI956">
        <f>$C956*AI955</f>
        <v/>
      </c>
      <c r="AJ956">
        <f>$C956*AJ955</f>
        <v/>
      </c>
      <c r="AK956">
        <f>$C956*AK955</f>
        <v/>
      </c>
      <c r="AL956">
        <f>$C956*AL955</f>
        <v/>
      </c>
      <c r="AM956">
        <f>$C956*AM955</f>
        <v/>
      </c>
      <c r="AN956">
        <f>$C956*AN955</f>
        <v/>
      </c>
      <c r="AO956">
        <f>$C956*AO955</f>
        <v/>
      </c>
      <c r="AP956">
        <f>$C956*AP955</f>
        <v/>
      </c>
      <c r="AQ956">
        <f>$C956*AQ955</f>
        <v/>
      </c>
      <c r="AR956">
        <f>$C956*AR955</f>
        <v/>
      </c>
      <c r="AS956">
        <f>$C956*AS955</f>
        <v/>
      </c>
      <c r="AT956">
        <f>$C956*AT955</f>
        <v/>
      </c>
      <c r="AU956">
        <f>$C956*AU955</f>
        <v/>
      </c>
      <c r="AV956">
        <f>$C956*AV955</f>
        <v/>
      </c>
      <c r="AW956">
        <f>$C956*AW955</f>
        <v/>
      </c>
      <c r="AX956">
        <f>$C956*AX955</f>
        <v/>
      </c>
      <c r="AY956">
        <f>$C956*AY955</f>
        <v/>
      </c>
      <c r="AZ956">
        <f>$C956*AZ955</f>
        <v/>
      </c>
      <c r="BA956">
        <f>$C956*BA955</f>
        <v/>
      </c>
      <c r="BB956">
        <f>$C956*BB955</f>
        <v/>
      </c>
      <c r="BC956">
        <f>$C956*BC955</f>
        <v/>
      </c>
      <c r="BD956">
        <f>$C956*BD955</f>
        <v/>
      </c>
      <c r="BE956">
        <f>$C956*BE955</f>
        <v/>
      </c>
      <c r="BF956">
        <f>$C956*BF955</f>
        <v/>
      </c>
      <c r="BG956">
        <f>$C956*BG955</f>
        <v/>
      </c>
      <c r="BH956">
        <f>$C956*BH955</f>
        <v/>
      </c>
      <c r="BI956">
        <f>$C956*BI955</f>
        <v/>
      </c>
      <c r="BJ956">
        <f>$C956*BJ955</f>
        <v/>
      </c>
      <c r="BK956">
        <f>$C956*BK955</f>
        <v/>
      </c>
      <c r="BL956">
        <f>$C956*BL955</f>
        <v/>
      </c>
      <c r="BM956">
        <f>$C956*BM955</f>
        <v/>
      </c>
      <c r="BN956">
        <f>$C956*BN955</f>
        <v/>
      </c>
      <c r="BO956">
        <f>$C956*BO955</f>
        <v/>
      </c>
      <c r="BP956">
        <f>$C956*BP955</f>
        <v/>
      </c>
      <c r="BQ956">
        <f>$C956*BQ955</f>
        <v/>
      </c>
      <c r="BR956">
        <f>$C956*BR955</f>
        <v/>
      </c>
      <c r="BS956">
        <f>$C956*BS955</f>
        <v/>
      </c>
      <c r="BT956">
        <f>$C956*BT955</f>
        <v/>
      </c>
      <c r="BU956">
        <f>$C956*BU955</f>
        <v/>
      </c>
      <c r="BV956">
        <f>$C956*BV955</f>
        <v/>
      </c>
      <c r="BW956">
        <f>$C956*BW955</f>
        <v/>
      </c>
      <c r="BX956">
        <f>$C956*BX955</f>
        <v/>
      </c>
      <c r="BY956">
        <f>$C956*BY955</f>
        <v/>
      </c>
      <c r="BZ956">
        <f>$C956*BZ955</f>
        <v/>
      </c>
      <c r="CA956">
        <f>$C956*CA955</f>
        <v/>
      </c>
      <c r="CB956">
        <f>$C956*CB955</f>
        <v/>
      </c>
      <c r="CC956">
        <f>$C956*CC955</f>
        <v/>
      </c>
      <c r="CD956">
        <f>$C956*CD955</f>
        <v/>
      </c>
      <c r="CE956">
        <f>$C956*CE955</f>
        <v/>
      </c>
      <c r="CF956">
        <f>$C956*CF955</f>
        <v/>
      </c>
      <c r="CG956">
        <f>$C956*CG955</f>
        <v/>
      </c>
      <c r="CH956">
        <f>$C956*CH955</f>
        <v/>
      </c>
      <c r="CI956">
        <f>$C956*CI955</f>
        <v/>
      </c>
      <c r="CJ956">
        <f>$C956*CJ955</f>
        <v/>
      </c>
      <c r="CK956">
        <f>$C956*CK955</f>
        <v/>
      </c>
      <c r="CL956">
        <f>$C956*CL955</f>
        <v/>
      </c>
      <c r="CM956">
        <f>$C956*CM955</f>
        <v/>
      </c>
      <c r="CN956">
        <f>$C956*CN955</f>
        <v/>
      </c>
      <c r="CO956">
        <f>$C956*CO955</f>
        <v/>
      </c>
      <c r="CP956">
        <f>$C956*CP955</f>
        <v/>
      </c>
      <c r="CQ956">
        <f>$C956*CQ955</f>
        <v/>
      </c>
      <c r="CR956">
        <f>$C956*CR955</f>
        <v/>
      </c>
      <c r="CS956">
        <f>$C956*CS955</f>
        <v/>
      </c>
      <c r="CT956">
        <f>$C956*CT955</f>
        <v/>
      </c>
      <c r="CU956">
        <f>$C956*CU955</f>
        <v/>
      </c>
      <c r="CV956">
        <f>$C956*CV955</f>
        <v/>
      </c>
      <c r="CW956">
        <f>$C956*CW955</f>
        <v/>
      </c>
      <c r="CX956">
        <f>$C956*CX955</f>
        <v/>
      </c>
      <c r="CY956">
        <f>$C956*CY955</f>
        <v/>
      </c>
      <c r="CZ956">
        <f>$C956*CZ955</f>
        <v/>
      </c>
      <c r="DA956">
        <f>$C956*DA955</f>
        <v/>
      </c>
      <c r="DB956">
        <f>$C956*DB955</f>
        <v/>
      </c>
      <c r="DC956">
        <f>$C956*DC955</f>
        <v/>
      </c>
      <c r="DD956">
        <f>$C956*DD955</f>
        <v/>
      </c>
    </row>
    <row r="957">
      <c r="B957" t="inlineStr">
        <is>
          <t>VSP-989</t>
        </is>
      </c>
      <c r="C957" t="inlineStr">
        <is>
          <t>No. of batches</t>
        </is>
      </c>
      <c r="D957">
        <f>IFERROR(INDEX(E957:DD957,$F$1),"")</f>
        <v/>
      </c>
      <c r="E957">
        <f>IFERROR(INDEX(PP_Grid[#Data],$DE957,2),0)</f>
        <v/>
      </c>
      <c r="F957">
        <f>IFERROR(INDEX(PP_Grid[#Data],$DE957,3),0)</f>
        <v/>
      </c>
      <c r="G957">
        <f>IFERROR(INDEX(PP_Grid[#Data],$DE957,4),0)</f>
        <v/>
      </c>
      <c r="H957">
        <f>IFERROR(INDEX(PP_Grid[#Data],$DE957,5),0)</f>
        <v/>
      </c>
      <c r="I957">
        <f>IFERROR(INDEX(PP_Grid[#Data],$DE957,6),0)</f>
        <v/>
      </c>
      <c r="J957">
        <f>IFERROR(INDEX(PP_Grid[#Data],$DE957,7),0)</f>
        <v/>
      </c>
      <c r="K957">
        <f>IFERROR(INDEX(PP_Grid[#Data],$DE957,8),0)</f>
        <v/>
      </c>
      <c r="L957">
        <f>IFERROR(INDEX(PP_Grid[#Data],$DE957,9),0)</f>
        <v/>
      </c>
      <c r="M957">
        <f>IFERROR(INDEX(PP_Grid[#Data],$DE957,10),0)</f>
        <v/>
      </c>
      <c r="N957">
        <f>IFERROR(INDEX(PP_Grid[#Data],$DE957,11),0)</f>
        <v/>
      </c>
      <c r="O957">
        <f>IFERROR(INDEX(PP_Grid[#Data],$DE957,12),0)</f>
        <v/>
      </c>
      <c r="P957">
        <f>IFERROR(INDEX(PP_Grid[#Data],$DE957,13),0)</f>
        <v/>
      </c>
      <c r="Q957">
        <f>IFERROR(INDEX(PP_Grid[#Data],$DE957,14),0)</f>
        <v/>
      </c>
      <c r="R957">
        <f>IFERROR(INDEX(PP_Grid[#Data],$DE957,15),0)</f>
        <v/>
      </c>
      <c r="S957">
        <f>IFERROR(INDEX(PP_Grid[#Data],$DE957,16),0)</f>
        <v/>
      </c>
      <c r="T957">
        <f>IFERROR(INDEX(PP_Grid[#Data],$DE957,17),0)</f>
        <v/>
      </c>
      <c r="U957">
        <f>IFERROR(INDEX(PP_Grid[#Data],$DE957,18),0)</f>
        <v/>
      </c>
      <c r="V957">
        <f>IFERROR(INDEX(PP_Grid[#Data],$DE957,19),0)</f>
        <v/>
      </c>
      <c r="W957">
        <f>IFERROR(INDEX(PP_Grid[#Data],$DE957,20),0)</f>
        <v/>
      </c>
      <c r="X957">
        <f>IFERROR(INDEX(PP_Grid[#Data],$DE957,21),0)</f>
        <v/>
      </c>
      <c r="Y957">
        <f>IFERROR(INDEX(PP_Grid[#Data],$DE957,22),0)</f>
        <v/>
      </c>
      <c r="Z957">
        <f>IFERROR(INDEX(PP_Grid[#Data],$DE957,23),0)</f>
        <v/>
      </c>
      <c r="AA957">
        <f>IFERROR(INDEX(PP_Grid[#Data],$DE957,24),0)</f>
        <v/>
      </c>
      <c r="AB957">
        <f>IFERROR(INDEX(PP_Grid[#Data],$DE957,25),0)</f>
        <v/>
      </c>
      <c r="AC957">
        <f>IFERROR(INDEX(PP_Grid[#Data],$DE957,26),0)</f>
        <v/>
      </c>
      <c r="AD957">
        <f>IFERROR(INDEX(PP_Grid[#Data],$DE957,27),0)</f>
        <v/>
      </c>
      <c r="AE957">
        <f>IFERROR(INDEX(PP_Grid[#Data],$DE957,28),0)</f>
        <v/>
      </c>
      <c r="AF957">
        <f>IFERROR(INDEX(PP_Grid[#Data],$DE957,29),0)</f>
        <v/>
      </c>
      <c r="AG957">
        <f>IFERROR(INDEX(PP_Grid[#Data],$DE957,30),0)</f>
        <v/>
      </c>
      <c r="AH957">
        <f>IFERROR(INDEX(PP_Grid[#Data],$DE957,31),0)</f>
        <v/>
      </c>
      <c r="AI957">
        <f>IFERROR(INDEX(PP_Grid[#Data],$DE957,32),0)</f>
        <v/>
      </c>
      <c r="AJ957">
        <f>IFERROR(INDEX(PP_Grid[#Data],$DE957,33),0)</f>
        <v/>
      </c>
      <c r="AK957">
        <f>IFERROR(INDEX(PP_Grid[#Data],$DE957,34),0)</f>
        <v/>
      </c>
      <c r="AL957">
        <f>IFERROR(INDEX(PP_Grid[#Data],$DE957,35),0)</f>
        <v/>
      </c>
      <c r="AM957">
        <f>IFERROR(INDEX(PP_Grid[#Data],$DE957,36),0)</f>
        <v/>
      </c>
      <c r="AN957">
        <f>IFERROR(INDEX(PP_Grid[#Data],$DE957,37),0)</f>
        <v/>
      </c>
      <c r="AO957">
        <f>IFERROR(INDEX(PP_Grid[#Data],$DE957,38),0)</f>
        <v/>
      </c>
      <c r="AP957">
        <f>IFERROR(INDEX(PP_Grid[#Data],$DE957,39),0)</f>
        <v/>
      </c>
      <c r="AQ957">
        <f>IFERROR(INDEX(PP_Grid[#Data],$DE957,40),0)</f>
        <v/>
      </c>
      <c r="AR957">
        <f>IFERROR(INDEX(PP_Grid[#Data],$DE957,41),0)</f>
        <v/>
      </c>
      <c r="AS957">
        <f>IFERROR(INDEX(PP_Grid[#Data],$DE957,42),0)</f>
        <v/>
      </c>
      <c r="AT957">
        <f>IFERROR(INDEX(PP_Grid[#Data],$DE957,43),0)</f>
        <v/>
      </c>
      <c r="AU957">
        <f>IFERROR(INDEX(PP_Grid[#Data],$DE957,44),0)</f>
        <v/>
      </c>
      <c r="AV957">
        <f>IFERROR(INDEX(PP_Grid[#Data],$DE957,45),0)</f>
        <v/>
      </c>
      <c r="AW957">
        <f>IFERROR(INDEX(PP_Grid[#Data],$DE957,46),0)</f>
        <v/>
      </c>
      <c r="AX957">
        <f>IFERROR(INDEX(PP_Grid[#Data],$DE957,47),0)</f>
        <v/>
      </c>
      <c r="AY957">
        <f>IFERROR(INDEX(PP_Grid[#Data],$DE957,48),0)</f>
        <v/>
      </c>
      <c r="AZ957">
        <f>IFERROR(INDEX(PP_Grid[#Data],$DE957,49),0)</f>
        <v/>
      </c>
      <c r="BA957">
        <f>IFERROR(INDEX(PP_Grid[#Data],$DE957,50),0)</f>
        <v/>
      </c>
      <c r="BB957">
        <f>IFERROR(INDEX(PP_Grid[#Data],$DE957,51),0)</f>
        <v/>
      </c>
      <c r="BC957">
        <f>IFERROR(INDEX(PP_Grid[#Data],$DE957,52),0)</f>
        <v/>
      </c>
      <c r="BD957">
        <f>IFERROR(INDEX(PP_Grid[#Data],$DE957,53),0)</f>
        <v/>
      </c>
      <c r="BE957">
        <f>IFERROR(INDEX(PP_Grid[#Data],$DE957,54),0)</f>
        <v/>
      </c>
      <c r="BF957">
        <f>IFERROR(INDEX(PP_Grid[#Data],$DE957,55),0)</f>
        <v/>
      </c>
      <c r="BG957">
        <f>IFERROR(INDEX(PP_Grid[#Data],$DE957,56),0)</f>
        <v/>
      </c>
      <c r="BH957">
        <f>IFERROR(INDEX(PP_Grid[#Data],$DE957,57),0)</f>
        <v/>
      </c>
      <c r="BI957">
        <f>IFERROR(INDEX(PP_Grid[#Data],$DE957,58),0)</f>
        <v/>
      </c>
      <c r="BJ957">
        <f>IFERROR(INDEX(PP_Grid[#Data],$DE957,59),0)</f>
        <v/>
      </c>
      <c r="BK957">
        <f>IFERROR(INDEX(PP_Grid[#Data],$DE957,60),0)</f>
        <v/>
      </c>
      <c r="BL957">
        <f>IFERROR(INDEX(PP_Grid[#Data],$DE957,61),0)</f>
        <v/>
      </c>
      <c r="BM957">
        <f>IFERROR(INDEX(PP_Grid[#Data],$DE957,62),0)</f>
        <v/>
      </c>
      <c r="BN957">
        <f>IFERROR(INDEX(PP_Grid[#Data],$DE957,63),0)</f>
        <v/>
      </c>
      <c r="BO957">
        <f>IFERROR(INDEX(PP_Grid[#Data],$DE957,64),0)</f>
        <v/>
      </c>
      <c r="BP957">
        <f>IFERROR(INDEX(PP_Grid[#Data],$DE957,65),0)</f>
        <v/>
      </c>
      <c r="BQ957">
        <f>IFERROR(INDEX(PP_Grid[#Data],$DE957,66),0)</f>
        <v/>
      </c>
      <c r="BR957">
        <f>IFERROR(INDEX(PP_Grid[#Data],$DE957,67),0)</f>
        <v/>
      </c>
      <c r="BS957">
        <f>IFERROR(INDEX(PP_Grid[#Data],$DE957,68),0)</f>
        <v/>
      </c>
      <c r="BT957">
        <f>IFERROR(INDEX(PP_Grid[#Data],$DE957,69),0)</f>
        <v/>
      </c>
      <c r="BU957">
        <f>IFERROR(INDEX(PP_Grid[#Data],$DE957,70),0)</f>
        <v/>
      </c>
      <c r="BV957">
        <f>IFERROR(INDEX(PP_Grid[#Data],$DE957,71),0)</f>
        <v/>
      </c>
      <c r="BW957">
        <f>IFERROR(INDEX(PP_Grid[#Data],$DE957,72),0)</f>
        <v/>
      </c>
      <c r="BX957">
        <f>IFERROR(INDEX(PP_Grid[#Data],$DE957,73),0)</f>
        <v/>
      </c>
      <c r="BY957">
        <f>IFERROR(INDEX(PP_Grid[#Data],$DE957,74),0)</f>
        <v/>
      </c>
      <c r="BZ957">
        <f>IFERROR(INDEX(PP_Grid[#Data],$DE957,75),0)</f>
        <v/>
      </c>
      <c r="CA957">
        <f>IFERROR(INDEX(PP_Grid[#Data],$DE957,76),0)</f>
        <v/>
      </c>
      <c r="CB957">
        <f>IFERROR(INDEX(PP_Grid[#Data],$DE957,77),0)</f>
        <v/>
      </c>
      <c r="CC957">
        <f>IFERROR(INDEX(PP_Grid[#Data],$DE957,78),0)</f>
        <v/>
      </c>
      <c r="CD957">
        <f>IFERROR(INDEX(PP_Grid[#Data],$DE957,79),0)</f>
        <v/>
      </c>
      <c r="CE957">
        <f>IFERROR(INDEX(PP_Grid[#Data],$DE957,80),0)</f>
        <v/>
      </c>
      <c r="CF957">
        <f>IFERROR(INDEX(PP_Grid[#Data],$DE957,81),0)</f>
        <v/>
      </c>
      <c r="CG957">
        <f>IFERROR(INDEX(PP_Grid[#Data],$DE957,82),0)</f>
        <v/>
      </c>
      <c r="CH957">
        <f>IFERROR(INDEX(PP_Grid[#Data],$DE957,83),0)</f>
        <v/>
      </c>
      <c r="CI957">
        <f>IFERROR(INDEX(PP_Grid[#Data],$DE957,84),0)</f>
        <v/>
      </c>
      <c r="CJ957">
        <f>IFERROR(INDEX(PP_Grid[#Data],$DE957,85),0)</f>
        <v/>
      </c>
      <c r="CK957">
        <f>IFERROR(INDEX(PP_Grid[#Data],$DE957,86),0)</f>
        <v/>
      </c>
      <c r="CL957">
        <f>IFERROR(INDEX(PP_Grid[#Data],$DE957,87),0)</f>
        <v/>
      </c>
      <c r="CM957">
        <f>IFERROR(INDEX(PP_Grid[#Data],$DE957,88),0)</f>
        <v/>
      </c>
      <c r="CN957">
        <f>IFERROR(INDEX(PP_Grid[#Data],$DE957,89),0)</f>
        <v/>
      </c>
      <c r="CO957">
        <f>IFERROR(INDEX(PP_Grid[#Data],$DE957,90),0)</f>
        <v/>
      </c>
      <c r="CP957">
        <f>IFERROR(INDEX(PP_Grid[#Data],$DE957,91),0)</f>
        <v/>
      </c>
      <c r="CQ957">
        <f>IFERROR(INDEX(PP_Grid[#Data],$DE957,92),0)</f>
        <v/>
      </c>
      <c r="CR957">
        <f>IFERROR(INDEX(PP_Grid[#Data],$DE957,93),0)</f>
        <v/>
      </c>
      <c r="CS957">
        <f>IFERROR(INDEX(PP_Grid[#Data],$DE957,94),0)</f>
        <v/>
      </c>
      <c r="CT957">
        <f>IFERROR(INDEX(PP_Grid[#Data],$DE957,95),0)</f>
        <v/>
      </c>
      <c r="CU957">
        <f>IFERROR(INDEX(PP_Grid[#Data],$DE957,96),0)</f>
        <v/>
      </c>
      <c r="CV957">
        <f>IFERROR(INDEX(PP_Grid[#Data],$DE957,97),0)</f>
        <v/>
      </c>
      <c r="CW957">
        <f>IFERROR(INDEX(PP_Grid[#Data],$DE957,98),0)</f>
        <v/>
      </c>
      <c r="CX957">
        <f>IFERROR(INDEX(PP_Grid[#Data],$DE957,99),0)</f>
        <v/>
      </c>
      <c r="CY957">
        <f>IFERROR(INDEX(PP_Grid[#Data],$DE957,100),0)</f>
        <v/>
      </c>
      <c r="CZ957">
        <f>IFERROR(INDEX(PP_Grid[#Data],$DE957,101),0)</f>
        <v/>
      </c>
      <c r="DA957">
        <f>IFERROR(INDEX(PP_Grid[#Data],$DE957,102),0)</f>
        <v/>
      </c>
      <c r="DB957">
        <f>IFERROR(INDEX(PP_Grid[#Data],$DE957,103),0)</f>
        <v/>
      </c>
      <c r="DC957">
        <f>IFERROR(INDEX(PP_Grid[#Data],$DE957,104),0)</f>
        <v/>
      </c>
      <c r="DD957">
        <f>IFERROR(INDEX(PP_Grid[#Data],$DE957,105),0)</f>
        <v/>
      </c>
      <c r="DE957" s="7">
        <f>IFERROR(MATCH($B957,PP_Grid[Intermediate],0),99999)</f>
        <v/>
      </c>
    </row>
    <row r="958">
      <c r="B958" t="inlineStr">
        <is>
          <t>使用量(kg)</t>
        </is>
      </c>
      <c r="C958">
        <f>SUMIFS(M_BOM[RM_Qty_Per_Batch],M_BOM[Intermediate],$B957,M_BOM[RM_Code],$A938)</f>
        <v/>
      </c>
      <c r="D958">
        <f>IFERROR(INDEX(E958:DD958,$F$1),"")</f>
        <v/>
      </c>
      <c r="E958">
        <f>$C958*E957</f>
        <v/>
      </c>
      <c r="F958">
        <f>$C958*F957</f>
        <v/>
      </c>
      <c r="G958">
        <f>$C958*G957</f>
        <v/>
      </c>
      <c r="H958">
        <f>$C958*H957</f>
        <v/>
      </c>
      <c r="I958">
        <f>$C958*I957</f>
        <v/>
      </c>
      <c r="J958">
        <f>$C958*J957</f>
        <v/>
      </c>
      <c r="K958">
        <f>$C958*K957</f>
        <v/>
      </c>
      <c r="L958">
        <f>$C958*L957</f>
        <v/>
      </c>
      <c r="M958">
        <f>$C958*M957</f>
        <v/>
      </c>
      <c r="N958">
        <f>$C958*N957</f>
        <v/>
      </c>
      <c r="O958">
        <f>$C958*O957</f>
        <v/>
      </c>
      <c r="P958">
        <f>$C958*P957</f>
        <v/>
      </c>
      <c r="Q958">
        <f>$C958*Q957</f>
        <v/>
      </c>
      <c r="R958">
        <f>$C958*R957</f>
        <v/>
      </c>
      <c r="S958">
        <f>$C958*S957</f>
        <v/>
      </c>
      <c r="T958">
        <f>$C958*T957</f>
        <v/>
      </c>
      <c r="U958">
        <f>$C958*U957</f>
        <v/>
      </c>
      <c r="V958">
        <f>$C958*V957</f>
        <v/>
      </c>
      <c r="W958">
        <f>$C958*W957</f>
        <v/>
      </c>
      <c r="X958">
        <f>$C958*X957</f>
        <v/>
      </c>
      <c r="Y958">
        <f>$C958*Y957</f>
        <v/>
      </c>
      <c r="Z958">
        <f>$C958*Z957</f>
        <v/>
      </c>
      <c r="AA958">
        <f>$C958*AA957</f>
        <v/>
      </c>
      <c r="AB958">
        <f>$C958*AB957</f>
        <v/>
      </c>
      <c r="AC958">
        <f>$C958*AC957</f>
        <v/>
      </c>
      <c r="AD958">
        <f>$C958*AD957</f>
        <v/>
      </c>
      <c r="AE958">
        <f>$C958*AE957</f>
        <v/>
      </c>
      <c r="AF958">
        <f>$C958*AF957</f>
        <v/>
      </c>
      <c r="AG958">
        <f>$C958*AG957</f>
        <v/>
      </c>
      <c r="AH958">
        <f>$C958*AH957</f>
        <v/>
      </c>
      <c r="AI958">
        <f>$C958*AI957</f>
        <v/>
      </c>
      <c r="AJ958">
        <f>$C958*AJ957</f>
        <v/>
      </c>
      <c r="AK958">
        <f>$C958*AK957</f>
        <v/>
      </c>
      <c r="AL958">
        <f>$C958*AL957</f>
        <v/>
      </c>
      <c r="AM958">
        <f>$C958*AM957</f>
        <v/>
      </c>
      <c r="AN958">
        <f>$C958*AN957</f>
        <v/>
      </c>
      <c r="AO958">
        <f>$C958*AO957</f>
        <v/>
      </c>
      <c r="AP958">
        <f>$C958*AP957</f>
        <v/>
      </c>
      <c r="AQ958">
        <f>$C958*AQ957</f>
        <v/>
      </c>
      <c r="AR958">
        <f>$C958*AR957</f>
        <v/>
      </c>
      <c r="AS958">
        <f>$C958*AS957</f>
        <v/>
      </c>
      <c r="AT958">
        <f>$C958*AT957</f>
        <v/>
      </c>
      <c r="AU958">
        <f>$C958*AU957</f>
        <v/>
      </c>
      <c r="AV958">
        <f>$C958*AV957</f>
        <v/>
      </c>
      <c r="AW958">
        <f>$C958*AW957</f>
        <v/>
      </c>
      <c r="AX958">
        <f>$C958*AX957</f>
        <v/>
      </c>
      <c r="AY958">
        <f>$C958*AY957</f>
        <v/>
      </c>
      <c r="AZ958">
        <f>$C958*AZ957</f>
        <v/>
      </c>
      <c r="BA958">
        <f>$C958*BA957</f>
        <v/>
      </c>
      <c r="BB958">
        <f>$C958*BB957</f>
        <v/>
      </c>
      <c r="BC958">
        <f>$C958*BC957</f>
        <v/>
      </c>
      <c r="BD958">
        <f>$C958*BD957</f>
        <v/>
      </c>
      <c r="BE958">
        <f>$C958*BE957</f>
        <v/>
      </c>
      <c r="BF958">
        <f>$C958*BF957</f>
        <v/>
      </c>
      <c r="BG958">
        <f>$C958*BG957</f>
        <v/>
      </c>
      <c r="BH958">
        <f>$C958*BH957</f>
        <v/>
      </c>
      <c r="BI958">
        <f>$C958*BI957</f>
        <v/>
      </c>
      <c r="BJ958">
        <f>$C958*BJ957</f>
        <v/>
      </c>
      <c r="BK958">
        <f>$C958*BK957</f>
        <v/>
      </c>
      <c r="BL958">
        <f>$C958*BL957</f>
        <v/>
      </c>
      <c r="BM958">
        <f>$C958*BM957</f>
        <v/>
      </c>
      <c r="BN958">
        <f>$C958*BN957</f>
        <v/>
      </c>
      <c r="BO958">
        <f>$C958*BO957</f>
        <v/>
      </c>
      <c r="BP958">
        <f>$C958*BP957</f>
        <v/>
      </c>
      <c r="BQ958">
        <f>$C958*BQ957</f>
        <v/>
      </c>
      <c r="BR958">
        <f>$C958*BR957</f>
        <v/>
      </c>
      <c r="BS958">
        <f>$C958*BS957</f>
        <v/>
      </c>
      <c r="BT958">
        <f>$C958*BT957</f>
        <v/>
      </c>
      <c r="BU958">
        <f>$C958*BU957</f>
        <v/>
      </c>
      <c r="BV958">
        <f>$C958*BV957</f>
        <v/>
      </c>
      <c r="BW958">
        <f>$C958*BW957</f>
        <v/>
      </c>
      <c r="BX958">
        <f>$C958*BX957</f>
        <v/>
      </c>
      <c r="BY958">
        <f>$C958*BY957</f>
        <v/>
      </c>
      <c r="BZ958">
        <f>$C958*BZ957</f>
        <v/>
      </c>
      <c r="CA958">
        <f>$C958*CA957</f>
        <v/>
      </c>
      <c r="CB958">
        <f>$C958*CB957</f>
        <v/>
      </c>
      <c r="CC958">
        <f>$C958*CC957</f>
        <v/>
      </c>
      <c r="CD958">
        <f>$C958*CD957</f>
        <v/>
      </c>
      <c r="CE958">
        <f>$C958*CE957</f>
        <v/>
      </c>
      <c r="CF958">
        <f>$C958*CF957</f>
        <v/>
      </c>
      <c r="CG958">
        <f>$C958*CG957</f>
        <v/>
      </c>
      <c r="CH958">
        <f>$C958*CH957</f>
        <v/>
      </c>
      <c r="CI958">
        <f>$C958*CI957</f>
        <v/>
      </c>
      <c r="CJ958">
        <f>$C958*CJ957</f>
        <v/>
      </c>
      <c r="CK958">
        <f>$C958*CK957</f>
        <v/>
      </c>
      <c r="CL958">
        <f>$C958*CL957</f>
        <v/>
      </c>
      <c r="CM958">
        <f>$C958*CM957</f>
        <v/>
      </c>
      <c r="CN958">
        <f>$C958*CN957</f>
        <v/>
      </c>
      <c r="CO958">
        <f>$C958*CO957</f>
        <v/>
      </c>
      <c r="CP958">
        <f>$C958*CP957</f>
        <v/>
      </c>
      <c r="CQ958">
        <f>$C958*CQ957</f>
        <v/>
      </c>
      <c r="CR958">
        <f>$C958*CR957</f>
        <v/>
      </c>
      <c r="CS958">
        <f>$C958*CS957</f>
        <v/>
      </c>
      <c r="CT958">
        <f>$C958*CT957</f>
        <v/>
      </c>
      <c r="CU958">
        <f>$C958*CU957</f>
        <v/>
      </c>
      <c r="CV958">
        <f>$C958*CV957</f>
        <v/>
      </c>
      <c r="CW958">
        <f>$C958*CW957</f>
        <v/>
      </c>
      <c r="CX958">
        <f>$C958*CX957</f>
        <v/>
      </c>
      <c r="CY958">
        <f>$C958*CY957</f>
        <v/>
      </c>
      <c r="CZ958">
        <f>$C958*CZ957</f>
        <v/>
      </c>
      <c r="DA958">
        <f>$C958*DA957</f>
        <v/>
      </c>
      <c r="DB958">
        <f>$C958*DB957</f>
        <v/>
      </c>
      <c r="DC958">
        <f>$C958*DC957</f>
        <v/>
      </c>
      <c r="DD958">
        <f>$C958*DD957</f>
        <v/>
      </c>
    </row>
    <row r="959">
      <c r="B959" t="inlineStr">
        <is>
          <t>TSP-1388</t>
        </is>
      </c>
      <c r="C959" t="inlineStr">
        <is>
          <t>No. of batches</t>
        </is>
      </c>
      <c r="D959">
        <f>IFERROR(INDEX(E959:DD959,$F$1),"")</f>
        <v/>
      </c>
      <c r="E959">
        <f>IFERROR(INDEX(PP_Grid[#Data],$DE959,2),0)</f>
        <v/>
      </c>
      <c r="F959">
        <f>IFERROR(INDEX(PP_Grid[#Data],$DE959,3),0)</f>
        <v/>
      </c>
      <c r="G959">
        <f>IFERROR(INDEX(PP_Grid[#Data],$DE959,4),0)</f>
        <v/>
      </c>
      <c r="H959">
        <f>IFERROR(INDEX(PP_Grid[#Data],$DE959,5),0)</f>
        <v/>
      </c>
      <c r="I959">
        <f>IFERROR(INDEX(PP_Grid[#Data],$DE959,6),0)</f>
        <v/>
      </c>
      <c r="J959">
        <f>IFERROR(INDEX(PP_Grid[#Data],$DE959,7),0)</f>
        <v/>
      </c>
      <c r="K959">
        <f>IFERROR(INDEX(PP_Grid[#Data],$DE959,8),0)</f>
        <v/>
      </c>
      <c r="L959">
        <f>IFERROR(INDEX(PP_Grid[#Data],$DE959,9),0)</f>
        <v/>
      </c>
      <c r="M959">
        <f>IFERROR(INDEX(PP_Grid[#Data],$DE959,10),0)</f>
        <v/>
      </c>
      <c r="N959">
        <f>IFERROR(INDEX(PP_Grid[#Data],$DE959,11),0)</f>
        <v/>
      </c>
      <c r="O959">
        <f>IFERROR(INDEX(PP_Grid[#Data],$DE959,12),0)</f>
        <v/>
      </c>
      <c r="P959">
        <f>IFERROR(INDEX(PP_Grid[#Data],$DE959,13),0)</f>
        <v/>
      </c>
      <c r="Q959">
        <f>IFERROR(INDEX(PP_Grid[#Data],$DE959,14),0)</f>
        <v/>
      </c>
      <c r="R959">
        <f>IFERROR(INDEX(PP_Grid[#Data],$DE959,15),0)</f>
        <v/>
      </c>
      <c r="S959">
        <f>IFERROR(INDEX(PP_Grid[#Data],$DE959,16),0)</f>
        <v/>
      </c>
      <c r="T959">
        <f>IFERROR(INDEX(PP_Grid[#Data],$DE959,17),0)</f>
        <v/>
      </c>
      <c r="U959">
        <f>IFERROR(INDEX(PP_Grid[#Data],$DE959,18),0)</f>
        <v/>
      </c>
      <c r="V959">
        <f>IFERROR(INDEX(PP_Grid[#Data],$DE959,19),0)</f>
        <v/>
      </c>
      <c r="W959">
        <f>IFERROR(INDEX(PP_Grid[#Data],$DE959,20),0)</f>
        <v/>
      </c>
      <c r="X959">
        <f>IFERROR(INDEX(PP_Grid[#Data],$DE959,21),0)</f>
        <v/>
      </c>
      <c r="Y959">
        <f>IFERROR(INDEX(PP_Grid[#Data],$DE959,22),0)</f>
        <v/>
      </c>
      <c r="Z959">
        <f>IFERROR(INDEX(PP_Grid[#Data],$DE959,23),0)</f>
        <v/>
      </c>
      <c r="AA959">
        <f>IFERROR(INDEX(PP_Grid[#Data],$DE959,24),0)</f>
        <v/>
      </c>
      <c r="AB959">
        <f>IFERROR(INDEX(PP_Grid[#Data],$DE959,25),0)</f>
        <v/>
      </c>
      <c r="AC959">
        <f>IFERROR(INDEX(PP_Grid[#Data],$DE959,26),0)</f>
        <v/>
      </c>
      <c r="AD959">
        <f>IFERROR(INDEX(PP_Grid[#Data],$DE959,27),0)</f>
        <v/>
      </c>
      <c r="AE959">
        <f>IFERROR(INDEX(PP_Grid[#Data],$DE959,28),0)</f>
        <v/>
      </c>
      <c r="AF959">
        <f>IFERROR(INDEX(PP_Grid[#Data],$DE959,29),0)</f>
        <v/>
      </c>
      <c r="AG959">
        <f>IFERROR(INDEX(PP_Grid[#Data],$DE959,30),0)</f>
        <v/>
      </c>
      <c r="AH959">
        <f>IFERROR(INDEX(PP_Grid[#Data],$DE959,31),0)</f>
        <v/>
      </c>
      <c r="AI959">
        <f>IFERROR(INDEX(PP_Grid[#Data],$DE959,32),0)</f>
        <v/>
      </c>
      <c r="AJ959">
        <f>IFERROR(INDEX(PP_Grid[#Data],$DE959,33),0)</f>
        <v/>
      </c>
      <c r="AK959">
        <f>IFERROR(INDEX(PP_Grid[#Data],$DE959,34),0)</f>
        <v/>
      </c>
      <c r="AL959">
        <f>IFERROR(INDEX(PP_Grid[#Data],$DE959,35),0)</f>
        <v/>
      </c>
      <c r="AM959">
        <f>IFERROR(INDEX(PP_Grid[#Data],$DE959,36),0)</f>
        <v/>
      </c>
      <c r="AN959">
        <f>IFERROR(INDEX(PP_Grid[#Data],$DE959,37),0)</f>
        <v/>
      </c>
      <c r="AO959">
        <f>IFERROR(INDEX(PP_Grid[#Data],$DE959,38),0)</f>
        <v/>
      </c>
      <c r="AP959">
        <f>IFERROR(INDEX(PP_Grid[#Data],$DE959,39),0)</f>
        <v/>
      </c>
      <c r="AQ959">
        <f>IFERROR(INDEX(PP_Grid[#Data],$DE959,40),0)</f>
        <v/>
      </c>
      <c r="AR959">
        <f>IFERROR(INDEX(PP_Grid[#Data],$DE959,41),0)</f>
        <v/>
      </c>
      <c r="AS959">
        <f>IFERROR(INDEX(PP_Grid[#Data],$DE959,42),0)</f>
        <v/>
      </c>
      <c r="AT959">
        <f>IFERROR(INDEX(PP_Grid[#Data],$DE959,43),0)</f>
        <v/>
      </c>
      <c r="AU959">
        <f>IFERROR(INDEX(PP_Grid[#Data],$DE959,44),0)</f>
        <v/>
      </c>
      <c r="AV959">
        <f>IFERROR(INDEX(PP_Grid[#Data],$DE959,45),0)</f>
        <v/>
      </c>
      <c r="AW959">
        <f>IFERROR(INDEX(PP_Grid[#Data],$DE959,46),0)</f>
        <v/>
      </c>
      <c r="AX959">
        <f>IFERROR(INDEX(PP_Grid[#Data],$DE959,47),0)</f>
        <v/>
      </c>
      <c r="AY959">
        <f>IFERROR(INDEX(PP_Grid[#Data],$DE959,48),0)</f>
        <v/>
      </c>
      <c r="AZ959">
        <f>IFERROR(INDEX(PP_Grid[#Data],$DE959,49),0)</f>
        <v/>
      </c>
      <c r="BA959">
        <f>IFERROR(INDEX(PP_Grid[#Data],$DE959,50),0)</f>
        <v/>
      </c>
      <c r="BB959">
        <f>IFERROR(INDEX(PP_Grid[#Data],$DE959,51),0)</f>
        <v/>
      </c>
      <c r="BC959">
        <f>IFERROR(INDEX(PP_Grid[#Data],$DE959,52),0)</f>
        <v/>
      </c>
      <c r="BD959">
        <f>IFERROR(INDEX(PP_Grid[#Data],$DE959,53),0)</f>
        <v/>
      </c>
      <c r="BE959">
        <f>IFERROR(INDEX(PP_Grid[#Data],$DE959,54),0)</f>
        <v/>
      </c>
      <c r="BF959">
        <f>IFERROR(INDEX(PP_Grid[#Data],$DE959,55),0)</f>
        <v/>
      </c>
      <c r="BG959">
        <f>IFERROR(INDEX(PP_Grid[#Data],$DE959,56),0)</f>
        <v/>
      </c>
      <c r="BH959">
        <f>IFERROR(INDEX(PP_Grid[#Data],$DE959,57),0)</f>
        <v/>
      </c>
      <c r="BI959">
        <f>IFERROR(INDEX(PP_Grid[#Data],$DE959,58),0)</f>
        <v/>
      </c>
      <c r="BJ959">
        <f>IFERROR(INDEX(PP_Grid[#Data],$DE959,59),0)</f>
        <v/>
      </c>
      <c r="BK959">
        <f>IFERROR(INDEX(PP_Grid[#Data],$DE959,60),0)</f>
        <v/>
      </c>
      <c r="BL959">
        <f>IFERROR(INDEX(PP_Grid[#Data],$DE959,61),0)</f>
        <v/>
      </c>
      <c r="BM959">
        <f>IFERROR(INDEX(PP_Grid[#Data],$DE959,62),0)</f>
        <v/>
      </c>
      <c r="BN959">
        <f>IFERROR(INDEX(PP_Grid[#Data],$DE959,63),0)</f>
        <v/>
      </c>
      <c r="BO959">
        <f>IFERROR(INDEX(PP_Grid[#Data],$DE959,64),0)</f>
        <v/>
      </c>
      <c r="BP959">
        <f>IFERROR(INDEX(PP_Grid[#Data],$DE959,65),0)</f>
        <v/>
      </c>
      <c r="BQ959">
        <f>IFERROR(INDEX(PP_Grid[#Data],$DE959,66),0)</f>
        <v/>
      </c>
      <c r="BR959">
        <f>IFERROR(INDEX(PP_Grid[#Data],$DE959,67),0)</f>
        <v/>
      </c>
      <c r="BS959">
        <f>IFERROR(INDEX(PP_Grid[#Data],$DE959,68),0)</f>
        <v/>
      </c>
      <c r="BT959">
        <f>IFERROR(INDEX(PP_Grid[#Data],$DE959,69),0)</f>
        <v/>
      </c>
      <c r="BU959">
        <f>IFERROR(INDEX(PP_Grid[#Data],$DE959,70),0)</f>
        <v/>
      </c>
      <c r="BV959">
        <f>IFERROR(INDEX(PP_Grid[#Data],$DE959,71),0)</f>
        <v/>
      </c>
      <c r="BW959">
        <f>IFERROR(INDEX(PP_Grid[#Data],$DE959,72),0)</f>
        <v/>
      </c>
      <c r="BX959">
        <f>IFERROR(INDEX(PP_Grid[#Data],$DE959,73),0)</f>
        <v/>
      </c>
      <c r="BY959">
        <f>IFERROR(INDEX(PP_Grid[#Data],$DE959,74),0)</f>
        <v/>
      </c>
      <c r="BZ959">
        <f>IFERROR(INDEX(PP_Grid[#Data],$DE959,75),0)</f>
        <v/>
      </c>
      <c r="CA959">
        <f>IFERROR(INDEX(PP_Grid[#Data],$DE959,76),0)</f>
        <v/>
      </c>
      <c r="CB959">
        <f>IFERROR(INDEX(PP_Grid[#Data],$DE959,77),0)</f>
        <v/>
      </c>
      <c r="CC959">
        <f>IFERROR(INDEX(PP_Grid[#Data],$DE959,78),0)</f>
        <v/>
      </c>
      <c r="CD959">
        <f>IFERROR(INDEX(PP_Grid[#Data],$DE959,79),0)</f>
        <v/>
      </c>
      <c r="CE959">
        <f>IFERROR(INDEX(PP_Grid[#Data],$DE959,80),0)</f>
        <v/>
      </c>
      <c r="CF959">
        <f>IFERROR(INDEX(PP_Grid[#Data],$DE959,81),0)</f>
        <v/>
      </c>
      <c r="CG959">
        <f>IFERROR(INDEX(PP_Grid[#Data],$DE959,82),0)</f>
        <v/>
      </c>
      <c r="CH959">
        <f>IFERROR(INDEX(PP_Grid[#Data],$DE959,83),0)</f>
        <v/>
      </c>
      <c r="CI959">
        <f>IFERROR(INDEX(PP_Grid[#Data],$DE959,84),0)</f>
        <v/>
      </c>
      <c r="CJ959">
        <f>IFERROR(INDEX(PP_Grid[#Data],$DE959,85),0)</f>
        <v/>
      </c>
      <c r="CK959">
        <f>IFERROR(INDEX(PP_Grid[#Data],$DE959,86),0)</f>
        <v/>
      </c>
      <c r="CL959">
        <f>IFERROR(INDEX(PP_Grid[#Data],$DE959,87),0)</f>
        <v/>
      </c>
      <c r="CM959">
        <f>IFERROR(INDEX(PP_Grid[#Data],$DE959,88),0)</f>
        <v/>
      </c>
      <c r="CN959">
        <f>IFERROR(INDEX(PP_Grid[#Data],$DE959,89),0)</f>
        <v/>
      </c>
      <c r="CO959">
        <f>IFERROR(INDEX(PP_Grid[#Data],$DE959,90),0)</f>
        <v/>
      </c>
      <c r="CP959">
        <f>IFERROR(INDEX(PP_Grid[#Data],$DE959,91),0)</f>
        <v/>
      </c>
      <c r="CQ959">
        <f>IFERROR(INDEX(PP_Grid[#Data],$DE959,92),0)</f>
        <v/>
      </c>
      <c r="CR959">
        <f>IFERROR(INDEX(PP_Grid[#Data],$DE959,93),0)</f>
        <v/>
      </c>
      <c r="CS959">
        <f>IFERROR(INDEX(PP_Grid[#Data],$DE959,94),0)</f>
        <v/>
      </c>
      <c r="CT959">
        <f>IFERROR(INDEX(PP_Grid[#Data],$DE959,95),0)</f>
        <v/>
      </c>
      <c r="CU959">
        <f>IFERROR(INDEX(PP_Grid[#Data],$DE959,96),0)</f>
        <v/>
      </c>
      <c r="CV959">
        <f>IFERROR(INDEX(PP_Grid[#Data],$DE959,97),0)</f>
        <v/>
      </c>
      <c r="CW959">
        <f>IFERROR(INDEX(PP_Grid[#Data],$DE959,98),0)</f>
        <v/>
      </c>
      <c r="CX959">
        <f>IFERROR(INDEX(PP_Grid[#Data],$DE959,99),0)</f>
        <v/>
      </c>
      <c r="CY959">
        <f>IFERROR(INDEX(PP_Grid[#Data],$DE959,100),0)</f>
        <v/>
      </c>
      <c r="CZ959">
        <f>IFERROR(INDEX(PP_Grid[#Data],$DE959,101),0)</f>
        <v/>
      </c>
      <c r="DA959">
        <f>IFERROR(INDEX(PP_Grid[#Data],$DE959,102),0)</f>
        <v/>
      </c>
      <c r="DB959">
        <f>IFERROR(INDEX(PP_Grid[#Data],$DE959,103),0)</f>
        <v/>
      </c>
      <c r="DC959">
        <f>IFERROR(INDEX(PP_Grid[#Data],$DE959,104),0)</f>
        <v/>
      </c>
      <c r="DD959">
        <f>IFERROR(INDEX(PP_Grid[#Data],$DE959,105),0)</f>
        <v/>
      </c>
      <c r="DE959" s="7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SUMIFS(M_BOM[RM_Qty_Per_Batch],M_BOM[Intermediate],$B959,M_BOM[RM_Code],$A938)</f>
        <v/>
      </c>
      <c r="D960">
        <f>IFERROR(INDEX(E960:DD960,$F$1),"")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  <c r="DD960">
        <f>$C960*DD959</f>
        <v/>
      </c>
    </row>
    <row r="961">
      <c r="B961" t="inlineStr">
        <is>
          <t>TSP-924</t>
        </is>
      </c>
      <c r="C961" t="inlineStr">
        <is>
          <t>No. of batches</t>
        </is>
      </c>
      <c r="D961">
        <f>IFERROR(INDEX(E961:DD961,$F$1),"")</f>
        <v/>
      </c>
      <c r="E961">
        <f>IFERROR(INDEX(PP_Grid[#Data],$DE961,2),0)</f>
        <v/>
      </c>
      <c r="F961">
        <f>IFERROR(INDEX(PP_Grid[#Data],$DE961,3),0)</f>
        <v/>
      </c>
      <c r="G961">
        <f>IFERROR(INDEX(PP_Grid[#Data],$DE961,4),0)</f>
        <v/>
      </c>
      <c r="H961">
        <f>IFERROR(INDEX(PP_Grid[#Data],$DE961,5),0)</f>
        <v/>
      </c>
      <c r="I961">
        <f>IFERROR(INDEX(PP_Grid[#Data],$DE961,6),0)</f>
        <v/>
      </c>
      <c r="J961">
        <f>IFERROR(INDEX(PP_Grid[#Data],$DE961,7),0)</f>
        <v/>
      </c>
      <c r="K961">
        <f>IFERROR(INDEX(PP_Grid[#Data],$DE961,8),0)</f>
        <v/>
      </c>
      <c r="L961">
        <f>IFERROR(INDEX(PP_Grid[#Data],$DE961,9),0)</f>
        <v/>
      </c>
      <c r="M961">
        <f>IFERROR(INDEX(PP_Grid[#Data],$DE961,10),0)</f>
        <v/>
      </c>
      <c r="N961">
        <f>IFERROR(INDEX(PP_Grid[#Data],$DE961,11),0)</f>
        <v/>
      </c>
      <c r="O961">
        <f>IFERROR(INDEX(PP_Grid[#Data],$DE961,12),0)</f>
        <v/>
      </c>
      <c r="P961">
        <f>IFERROR(INDEX(PP_Grid[#Data],$DE961,13),0)</f>
        <v/>
      </c>
      <c r="Q961">
        <f>IFERROR(INDEX(PP_Grid[#Data],$DE961,14),0)</f>
        <v/>
      </c>
      <c r="R961">
        <f>IFERROR(INDEX(PP_Grid[#Data],$DE961,15),0)</f>
        <v/>
      </c>
      <c r="S961">
        <f>IFERROR(INDEX(PP_Grid[#Data],$DE961,16),0)</f>
        <v/>
      </c>
      <c r="T961">
        <f>IFERROR(INDEX(PP_Grid[#Data],$DE961,17),0)</f>
        <v/>
      </c>
      <c r="U961">
        <f>IFERROR(INDEX(PP_Grid[#Data],$DE961,18),0)</f>
        <v/>
      </c>
      <c r="V961">
        <f>IFERROR(INDEX(PP_Grid[#Data],$DE961,19),0)</f>
        <v/>
      </c>
      <c r="W961">
        <f>IFERROR(INDEX(PP_Grid[#Data],$DE961,20),0)</f>
        <v/>
      </c>
      <c r="X961">
        <f>IFERROR(INDEX(PP_Grid[#Data],$DE961,21),0)</f>
        <v/>
      </c>
      <c r="Y961">
        <f>IFERROR(INDEX(PP_Grid[#Data],$DE961,22),0)</f>
        <v/>
      </c>
      <c r="Z961">
        <f>IFERROR(INDEX(PP_Grid[#Data],$DE961,23),0)</f>
        <v/>
      </c>
      <c r="AA961">
        <f>IFERROR(INDEX(PP_Grid[#Data],$DE961,24),0)</f>
        <v/>
      </c>
      <c r="AB961">
        <f>IFERROR(INDEX(PP_Grid[#Data],$DE961,25),0)</f>
        <v/>
      </c>
      <c r="AC961">
        <f>IFERROR(INDEX(PP_Grid[#Data],$DE961,26),0)</f>
        <v/>
      </c>
      <c r="AD961">
        <f>IFERROR(INDEX(PP_Grid[#Data],$DE961,27),0)</f>
        <v/>
      </c>
      <c r="AE961">
        <f>IFERROR(INDEX(PP_Grid[#Data],$DE961,28),0)</f>
        <v/>
      </c>
      <c r="AF961">
        <f>IFERROR(INDEX(PP_Grid[#Data],$DE961,29),0)</f>
        <v/>
      </c>
      <c r="AG961">
        <f>IFERROR(INDEX(PP_Grid[#Data],$DE961,30),0)</f>
        <v/>
      </c>
      <c r="AH961">
        <f>IFERROR(INDEX(PP_Grid[#Data],$DE961,31),0)</f>
        <v/>
      </c>
      <c r="AI961">
        <f>IFERROR(INDEX(PP_Grid[#Data],$DE961,32),0)</f>
        <v/>
      </c>
      <c r="AJ961">
        <f>IFERROR(INDEX(PP_Grid[#Data],$DE961,33),0)</f>
        <v/>
      </c>
      <c r="AK961">
        <f>IFERROR(INDEX(PP_Grid[#Data],$DE961,34),0)</f>
        <v/>
      </c>
      <c r="AL961">
        <f>IFERROR(INDEX(PP_Grid[#Data],$DE961,35),0)</f>
        <v/>
      </c>
      <c r="AM961">
        <f>IFERROR(INDEX(PP_Grid[#Data],$DE961,36),0)</f>
        <v/>
      </c>
      <c r="AN961">
        <f>IFERROR(INDEX(PP_Grid[#Data],$DE961,37),0)</f>
        <v/>
      </c>
      <c r="AO961">
        <f>IFERROR(INDEX(PP_Grid[#Data],$DE961,38),0)</f>
        <v/>
      </c>
      <c r="AP961">
        <f>IFERROR(INDEX(PP_Grid[#Data],$DE961,39),0)</f>
        <v/>
      </c>
      <c r="AQ961">
        <f>IFERROR(INDEX(PP_Grid[#Data],$DE961,40),0)</f>
        <v/>
      </c>
      <c r="AR961">
        <f>IFERROR(INDEX(PP_Grid[#Data],$DE961,41),0)</f>
        <v/>
      </c>
      <c r="AS961">
        <f>IFERROR(INDEX(PP_Grid[#Data],$DE961,42),0)</f>
        <v/>
      </c>
      <c r="AT961">
        <f>IFERROR(INDEX(PP_Grid[#Data],$DE961,43),0)</f>
        <v/>
      </c>
      <c r="AU961">
        <f>IFERROR(INDEX(PP_Grid[#Data],$DE961,44),0)</f>
        <v/>
      </c>
      <c r="AV961">
        <f>IFERROR(INDEX(PP_Grid[#Data],$DE961,45),0)</f>
        <v/>
      </c>
      <c r="AW961">
        <f>IFERROR(INDEX(PP_Grid[#Data],$DE961,46),0)</f>
        <v/>
      </c>
      <c r="AX961">
        <f>IFERROR(INDEX(PP_Grid[#Data],$DE961,47),0)</f>
        <v/>
      </c>
      <c r="AY961">
        <f>IFERROR(INDEX(PP_Grid[#Data],$DE961,48),0)</f>
        <v/>
      </c>
      <c r="AZ961">
        <f>IFERROR(INDEX(PP_Grid[#Data],$DE961,49),0)</f>
        <v/>
      </c>
      <c r="BA961">
        <f>IFERROR(INDEX(PP_Grid[#Data],$DE961,50),0)</f>
        <v/>
      </c>
      <c r="BB961">
        <f>IFERROR(INDEX(PP_Grid[#Data],$DE961,51),0)</f>
        <v/>
      </c>
      <c r="BC961">
        <f>IFERROR(INDEX(PP_Grid[#Data],$DE961,52),0)</f>
        <v/>
      </c>
      <c r="BD961">
        <f>IFERROR(INDEX(PP_Grid[#Data],$DE961,53),0)</f>
        <v/>
      </c>
      <c r="BE961">
        <f>IFERROR(INDEX(PP_Grid[#Data],$DE961,54),0)</f>
        <v/>
      </c>
      <c r="BF961">
        <f>IFERROR(INDEX(PP_Grid[#Data],$DE961,55),0)</f>
        <v/>
      </c>
      <c r="BG961">
        <f>IFERROR(INDEX(PP_Grid[#Data],$DE961,56),0)</f>
        <v/>
      </c>
      <c r="BH961">
        <f>IFERROR(INDEX(PP_Grid[#Data],$DE961,57),0)</f>
        <v/>
      </c>
      <c r="BI961">
        <f>IFERROR(INDEX(PP_Grid[#Data],$DE961,58),0)</f>
        <v/>
      </c>
      <c r="BJ961">
        <f>IFERROR(INDEX(PP_Grid[#Data],$DE961,59),0)</f>
        <v/>
      </c>
      <c r="BK961">
        <f>IFERROR(INDEX(PP_Grid[#Data],$DE961,60),0)</f>
        <v/>
      </c>
      <c r="BL961">
        <f>IFERROR(INDEX(PP_Grid[#Data],$DE961,61),0)</f>
        <v/>
      </c>
      <c r="BM961">
        <f>IFERROR(INDEX(PP_Grid[#Data],$DE961,62),0)</f>
        <v/>
      </c>
      <c r="BN961">
        <f>IFERROR(INDEX(PP_Grid[#Data],$DE961,63),0)</f>
        <v/>
      </c>
      <c r="BO961">
        <f>IFERROR(INDEX(PP_Grid[#Data],$DE961,64),0)</f>
        <v/>
      </c>
      <c r="BP961">
        <f>IFERROR(INDEX(PP_Grid[#Data],$DE961,65),0)</f>
        <v/>
      </c>
      <c r="BQ961">
        <f>IFERROR(INDEX(PP_Grid[#Data],$DE961,66),0)</f>
        <v/>
      </c>
      <c r="BR961">
        <f>IFERROR(INDEX(PP_Grid[#Data],$DE961,67),0)</f>
        <v/>
      </c>
      <c r="BS961">
        <f>IFERROR(INDEX(PP_Grid[#Data],$DE961,68),0)</f>
        <v/>
      </c>
      <c r="BT961">
        <f>IFERROR(INDEX(PP_Grid[#Data],$DE961,69),0)</f>
        <v/>
      </c>
      <c r="BU961">
        <f>IFERROR(INDEX(PP_Grid[#Data],$DE961,70),0)</f>
        <v/>
      </c>
      <c r="BV961">
        <f>IFERROR(INDEX(PP_Grid[#Data],$DE961,71),0)</f>
        <v/>
      </c>
      <c r="BW961">
        <f>IFERROR(INDEX(PP_Grid[#Data],$DE961,72),0)</f>
        <v/>
      </c>
      <c r="BX961">
        <f>IFERROR(INDEX(PP_Grid[#Data],$DE961,73),0)</f>
        <v/>
      </c>
      <c r="BY961">
        <f>IFERROR(INDEX(PP_Grid[#Data],$DE961,74),0)</f>
        <v/>
      </c>
      <c r="BZ961">
        <f>IFERROR(INDEX(PP_Grid[#Data],$DE961,75),0)</f>
        <v/>
      </c>
      <c r="CA961">
        <f>IFERROR(INDEX(PP_Grid[#Data],$DE961,76),0)</f>
        <v/>
      </c>
      <c r="CB961">
        <f>IFERROR(INDEX(PP_Grid[#Data],$DE961,77),0)</f>
        <v/>
      </c>
      <c r="CC961">
        <f>IFERROR(INDEX(PP_Grid[#Data],$DE961,78),0)</f>
        <v/>
      </c>
      <c r="CD961">
        <f>IFERROR(INDEX(PP_Grid[#Data],$DE961,79),0)</f>
        <v/>
      </c>
      <c r="CE961">
        <f>IFERROR(INDEX(PP_Grid[#Data],$DE961,80),0)</f>
        <v/>
      </c>
      <c r="CF961">
        <f>IFERROR(INDEX(PP_Grid[#Data],$DE961,81),0)</f>
        <v/>
      </c>
      <c r="CG961">
        <f>IFERROR(INDEX(PP_Grid[#Data],$DE961,82),0)</f>
        <v/>
      </c>
      <c r="CH961">
        <f>IFERROR(INDEX(PP_Grid[#Data],$DE961,83),0)</f>
        <v/>
      </c>
      <c r="CI961">
        <f>IFERROR(INDEX(PP_Grid[#Data],$DE961,84),0)</f>
        <v/>
      </c>
      <c r="CJ961">
        <f>IFERROR(INDEX(PP_Grid[#Data],$DE961,85),0)</f>
        <v/>
      </c>
      <c r="CK961">
        <f>IFERROR(INDEX(PP_Grid[#Data],$DE961,86),0)</f>
        <v/>
      </c>
      <c r="CL961">
        <f>IFERROR(INDEX(PP_Grid[#Data],$DE961,87),0)</f>
        <v/>
      </c>
      <c r="CM961">
        <f>IFERROR(INDEX(PP_Grid[#Data],$DE961,88),0)</f>
        <v/>
      </c>
      <c r="CN961">
        <f>IFERROR(INDEX(PP_Grid[#Data],$DE961,89),0)</f>
        <v/>
      </c>
      <c r="CO961">
        <f>IFERROR(INDEX(PP_Grid[#Data],$DE961,90),0)</f>
        <v/>
      </c>
      <c r="CP961">
        <f>IFERROR(INDEX(PP_Grid[#Data],$DE961,91),0)</f>
        <v/>
      </c>
      <c r="CQ961">
        <f>IFERROR(INDEX(PP_Grid[#Data],$DE961,92),0)</f>
        <v/>
      </c>
      <c r="CR961">
        <f>IFERROR(INDEX(PP_Grid[#Data],$DE961,93),0)</f>
        <v/>
      </c>
      <c r="CS961">
        <f>IFERROR(INDEX(PP_Grid[#Data],$DE961,94),0)</f>
        <v/>
      </c>
      <c r="CT961">
        <f>IFERROR(INDEX(PP_Grid[#Data],$DE961,95),0)</f>
        <v/>
      </c>
      <c r="CU961">
        <f>IFERROR(INDEX(PP_Grid[#Data],$DE961,96),0)</f>
        <v/>
      </c>
      <c r="CV961">
        <f>IFERROR(INDEX(PP_Grid[#Data],$DE961,97),0)</f>
        <v/>
      </c>
      <c r="CW961">
        <f>IFERROR(INDEX(PP_Grid[#Data],$DE961,98),0)</f>
        <v/>
      </c>
      <c r="CX961">
        <f>IFERROR(INDEX(PP_Grid[#Data],$DE961,99),0)</f>
        <v/>
      </c>
      <c r="CY961">
        <f>IFERROR(INDEX(PP_Grid[#Data],$DE961,100),0)</f>
        <v/>
      </c>
      <c r="CZ961">
        <f>IFERROR(INDEX(PP_Grid[#Data],$DE961,101),0)</f>
        <v/>
      </c>
      <c r="DA961">
        <f>IFERROR(INDEX(PP_Grid[#Data],$DE961,102),0)</f>
        <v/>
      </c>
      <c r="DB961">
        <f>IFERROR(INDEX(PP_Grid[#Data],$DE961,103),0)</f>
        <v/>
      </c>
      <c r="DC961">
        <f>IFERROR(INDEX(PP_Grid[#Data],$DE961,104),0)</f>
        <v/>
      </c>
      <c r="DD961">
        <f>IFERROR(INDEX(PP_Grid[#Data],$DE961,105),0)</f>
        <v/>
      </c>
      <c r="DE961" s="7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SUMIFS(M_BOM[RM_Qty_Per_Batch],M_BOM[Intermediate],$B961,M_BOM[RM_Code],$A938)</f>
        <v/>
      </c>
      <c r="D962">
        <f>IFERROR(INDEX(E962:DD962,$F$1),"")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  <c r="DD962">
        <f>$C962*DD961</f>
        <v/>
      </c>
    </row>
    <row r="963">
      <c r="B963" t="inlineStr">
        <is>
          <t>TSP-925</t>
        </is>
      </c>
      <c r="C963" t="inlineStr">
        <is>
          <t>No. of batches</t>
        </is>
      </c>
      <c r="D963">
        <f>IFERROR(INDEX(E963:DD963,$F$1),"")</f>
        <v/>
      </c>
      <c r="E963">
        <f>IFERROR(INDEX(PP_Grid[#Data],$DE963,2),0)</f>
        <v/>
      </c>
      <c r="F963">
        <f>IFERROR(INDEX(PP_Grid[#Data],$DE963,3),0)</f>
        <v/>
      </c>
      <c r="G963">
        <f>IFERROR(INDEX(PP_Grid[#Data],$DE963,4),0)</f>
        <v/>
      </c>
      <c r="H963">
        <f>IFERROR(INDEX(PP_Grid[#Data],$DE963,5),0)</f>
        <v/>
      </c>
      <c r="I963">
        <f>IFERROR(INDEX(PP_Grid[#Data],$DE963,6),0)</f>
        <v/>
      </c>
      <c r="J963">
        <f>IFERROR(INDEX(PP_Grid[#Data],$DE963,7),0)</f>
        <v/>
      </c>
      <c r="K963">
        <f>IFERROR(INDEX(PP_Grid[#Data],$DE963,8),0)</f>
        <v/>
      </c>
      <c r="L963">
        <f>IFERROR(INDEX(PP_Grid[#Data],$DE963,9),0)</f>
        <v/>
      </c>
      <c r="M963">
        <f>IFERROR(INDEX(PP_Grid[#Data],$DE963,10),0)</f>
        <v/>
      </c>
      <c r="N963">
        <f>IFERROR(INDEX(PP_Grid[#Data],$DE963,11),0)</f>
        <v/>
      </c>
      <c r="O963">
        <f>IFERROR(INDEX(PP_Grid[#Data],$DE963,12),0)</f>
        <v/>
      </c>
      <c r="P963">
        <f>IFERROR(INDEX(PP_Grid[#Data],$DE963,13),0)</f>
        <v/>
      </c>
      <c r="Q963">
        <f>IFERROR(INDEX(PP_Grid[#Data],$DE963,14),0)</f>
        <v/>
      </c>
      <c r="R963">
        <f>IFERROR(INDEX(PP_Grid[#Data],$DE963,15),0)</f>
        <v/>
      </c>
      <c r="S963">
        <f>IFERROR(INDEX(PP_Grid[#Data],$DE963,16),0)</f>
        <v/>
      </c>
      <c r="T963">
        <f>IFERROR(INDEX(PP_Grid[#Data],$DE963,17),0)</f>
        <v/>
      </c>
      <c r="U963">
        <f>IFERROR(INDEX(PP_Grid[#Data],$DE963,18),0)</f>
        <v/>
      </c>
      <c r="V963">
        <f>IFERROR(INDEX(PP_Grid[#Data],$DE963,19),0)</f>
        <v/>
      </c>
      <c r="W963">
        <f>IFERROR(INDEX(PP_Grid[#Data],$DE963,20),0)</f>
        <v/>
      </c>
      <c r="X963">
        <f>IFERROR(INDEX(PP_Grid[#Data],$DE963,21),0)</f>
        <v/>
      </c>
      <c r="Y963">
        <f>IFERROR(INDEX(PP_Grid[#Data],$DE963,22),0)</f>
        <v/>
      </c>
      <c r="Z963">
        <f>IFERROR(INDEX(PP_Grid[#Data],$DE963,23),0)</f>
        <v/>
      </c>
      <c r="AA963">
        <f>IFERROR(INDEX(PP_Grid[#Data],$DE963,24),0)</f>
        <v/>
      </c>
      <c r="AB963">
        <f>IFERROR(INDEX(PP_Grid[#Data],$DE963,25),0)</f>
        <v/>
      </c>
      <c r="AC963">
        <f>IFERROR(INDEX(PP_Grid[#Data],$DE963,26),0)</f>
        <v/>
      </c>
      <c r="AD963">
        <f>IFERROR(INDEX(PP_Grid[#Data],$DE963,27),0)</f>
        <v/>
      </c>
      <c r="AE963">
        <f>IFERROR(INDEX(PP_Grid[#Data],$DE963,28),0)</f>
        <v/>
      </c>
      <c r="AF963">
        <f>IFERROR(INDEX(PP_Grid[#Data],$DE963,29),0)</f>
        <v/>
      </c>
      <c r="AG963">
        <f>IFERROR(INDEX(PP_Grid[#Data],$DE963,30),0)</f>
        <v/>
      </c>
      <c r="AH963">
        <f>IFERROR(INDEX(PP_Grid[#Data],$DE963,31),0)</f>
        <v/>
      </c>
      <c r="AI963">
        <f>IFERROR(INDEX(PP_Grid[#Data],$DE963,32),0)</f>
        <v/>
      </c>
      <c r="AJ963">
        <f>IFERROR(INDEX(PP_Grid[#Data],$DE963,33),0)</f>
        <v/>
      </c>
      <c r="AK963">
        <f>IFERROR(INDEX(PP_Grid[#Data],$DE963,34),0)</f>
        <v/>
      </c>
      <c r="AL963">
        <f>IFERROR(INDEX(PP_Grid[#Data],$DE963,35),0)</f>
        <v/>
      </c>
      <c r="AM963">
        <f>IFERROR(INDEX(PP_Grid[#Data],$DE963,36),0)</f>
        <v/>
      </c>
      <c r="AN963">
        <f>IFERROR(INDEX(PP_Grid[#Data],$DE963,37),0)</f>
        <v/>
      </c>
      <c r="AO963">
        <f>IFERROR(INDEX(PP_Grid[#Data],$DE963,38),0)</f>
        <v/>
      </c>
      <c r="AP963">
        <f>IFERROR(INDEX(PP_Grid[#Data],$DE963,39),0)</f>
        <v/>
      </c>
      <c r="AQ963">
        <f>IFERROR(INDEX(PP_Grid[#Data],$DE963,40),0)</f>
        <v/>
      </c>
      <c r="AR963">
        <f>IFERROR(INDEX(PP_Grid[#Data],$DE963,41),0)</f>
        <v/>
      </c>
      <c r="AS963">
        <f>IFERROR(INDEX(PP_Grid[#Data],$DE963,42),0)</f>
        <v/>
      </c>
      <c r="AT963">
        <f>IFERROR(INDEX(PP_Grid[#Data],$DE963,43),0)</f>
        <v/>
      </c>
      <c r="AU963">
        <f>IFERROR(INDEX(PP_Grid[#Data],$DE963,44),0)</f>
        <v/>
      </c>
      <c r="AV963">
        <f>IFERROR(INDEX(PP_Grid[#Data],$DE963,45),0)</f>
        <v/>
      </c>
      <c r="AW963">
        <f>IFERROR(INDEX(PP_Grid[#Data],$DE963,46),0)</f>
        <v/>
      </c>
      <c r="AX963">
        <f>IFERROR(INDEX(PP_Grid[#Data],$DE963,47),0)</f>
        <v/>
      </c>
      <c r="AY963">
        <f>IFERROR(INDEX(PP_Grid[#Data],$DE963,48),0)</f>
        <v/>
      </c>
      <c r="AZ963">
        <f>IFERROR(INDEX(PP_Grid[#Data],$DE963,49),0)</f>
        <v/>
      </c>
      <c r="BA963">
        <f>IFERROR(INDEX(PP_Grid[#Data],$DE963,50),0)</f>
        <v/>
      </c>
      <c r="BB963">
        <f>IFERROR(INDEX(PP_Grid[#Data],$DE963,51),0)</f>
        <v/>
      </c>
      <c r="BC963">
        <f>IFERROR(INDEX(PP_Grid[#Data],$DE963,52),0)</f>
        <v/>
      </c>
      <c r="BD963">
        <f>IFERROR(INDEX(PP_Grid[#Data],$DE963,53),0)</f>
        <v/>
      </c>
      <c r="BE963">
        <f>IFERROR(INDEX(PP_Grid[#Data],$DE963,54),0)</f>
        <v/>
      </c>
      <c r="BF963">
        <f>IFERROR(INDEX(PP_Grid[#Data],$DE963,55),0)</f>
        <v/>
      </c>
      <c r="BG963">
        <f>IFERROR(INDEX(PP_Grid[#Data],$DE963,56),0)</f>
        <v/>
      </c>
      <c r="BH963">
        <f>IFERROR(INDEX(PP_Grid[#Data],$DE963,57),0)</f>
        <v/>
      </c>
      <c r="BI963">
        <f>IFERROR(INDEX(PP_Grid[#Data],$DE963,58),0)</f>
        <v/>
      </c>
      <c r="BJ963">
        <f>IFERROR(INDEX(PP_Grid[#Data],$DE963,59),0)</f>
        <v/>
      </c>
      <c r="BK963">
        <f>IFERROR(INDEX(PP_Grid[#Data],$DE963,60),0)</f>
        <v/>
      </c>
      <c r="BL963">
        <f>IFERROR(INDEX(PP_Grid[#Data],$DE963,61),0)</f>
        <v/>
      </c>
      <c r="BM963">
        <f>IFERROR(INDEX(PP_Grid[#Data],$DE963,62),0)</f>
        <v/>
      </c>
      <c r="BN963">
        <f>IFERROR(INDEX(PP_Grid[#Data],$DE963,63),0)</f>
        <v/>
      </c>
      <c r="BO963">
        <f>IFERROR(INDEX(PP_Grid[#Data],$DE963,64),0)</f>
        <v/>
      </c>
      <c r="BP963">
        <f>IFERROR(INDEX(PP_Grid[#Data],$DE963,65),0)</f>
        <v/>
      </c>
      <c r="BQ963">
        <f>IFERROR(INDEX(PP_Grid[#Data],$DE963,66),0)</f>
        <v/>
      </c>
      <c r="BR963">
        <f>IFERROR(INDEX(PP_Grid[#Data],$DE963,67),0)</f>
        <v/>
      </c>
      <c r="BS963">
        <f>IFERROR(INDEX(PP_Grid[#Data],$DE963,68),0)</f>
        <v/>
      </c>
      <c r="BT963">
        <f>IFERROR(INDEX(PP_Grid[#Data],$DE963,69),0)</f>
        <v/>
      </c>
      <c r="BU963">
        <f>IFERROR(INDEX(PP_Grid[#Data],$DE963,70),0)</f>
        <v/>
      </c>
      <c r="BV963">
        <f>IFERROR(INDEX(PP_Grid[#Data],$DE963,71),0)</f>
        <v/>
      </c>
      <c r="BW963">
        <f>IFERROR(INDEX(PP_Grid[#Data],$DE963,72),0)</f>
        <v/>
      </c>
      <c r="BX963">
        <f>IFERROR(INDEX(PP_Grid[#Data],$DE963,73),0)</f>
        <v/>
      </c>
      <c r="BY963">
        <f>IFERROR(INDEX(PP_Grid[#Data],$DE963,74),0)</f>
        <v/>
      </c>
      <c r="BZ963">
        <f>IFERROR(INDEX(PP_Grid[#Data],$DE963,75),0)</f>
        <v/>
      </c>
      <c r="CA963">
        <f>IFERROR(INDEX(PP_Grid[#Data],$DE963,76),0)</f>
        <v/>
      </c>
      <c r="CB963">
        <f>IFERROR(INDEX(PP_Grid[#Data],$DE963,77),0)</f>
        <v/>
      </c>
      <c r="CC963">
        <f>IFERROR(INDEX(PP_Grid[#Data],$DE963,78),0)</f>
        <v/>
      </c>
      <c r="CD963">
        <f>IFERROR(INDEX(PP_Grid[#Data],$DE963,79),0)</f>
        <v/>
      </c>
      <c r="CE963">
        <f>IFERROR(INDEX(PP_Grid[#Data],$DE963,80),0)</f>
        <v/>
      </c>
      <c r="CF963">
        <f>IFERROR(INDEX(PP_Grid[#Data],$DE963,81),0)</f>
        <v/>
      </c>
      <c r="CG963">
        <f>IFERROR(INDEX(PP_Grid[#Data],$DE963,82),0)</f>
        <v/>
      </c>
      <c r="CH963">
        <f>IFERROR(INDEX(PP_Grid[#Data],$DE963,83),0)</f>
        <v/>
      </c>
      <c r="CI963">
        <f>IFERROR(INDEX(PP_Grid[#Data],$DE963,84),0)</f>
        <v/>
      </c>
      <c r="CJ963">
        <f>IFERROR(INDEX(PP_Grid[#Data],$DE963,85),0)</f>
        <v/>
      </c>
      <c r="CK963">
        <f>IFERROR(INDEX(PP_Grid[#Data],$DE963,86),0)</f>
        <v/>
      </c>
      <c r="CL963">
        <f>IFERROR(INDEX(PP_Grid[#Data],$DE963,87),0)</f>
        <v/>
      </c>
      <c r="CM963">
        <f>IFERROR(INDEX(PP_Grid[#Data],$DE963,88),0)</f>
        <v/>
      </c>
      <c r="CN963">
        <f>IFERROR(INDEX(PP_Grid[#Data],$DE963,89),0)</f>
        <v/>
      </c>
      <c r="CO963">
        <f>IFERROR(INDEX(PP_Grid[#Data],$DE963,90),0)</f>
        <v/>
      </c>
      <c r="CP963">
        <f>IFERROR(INDEX(PP_Grid[#Data],$DE963,91),0)</f>
        <v/>
      </c>
      <c r="CQ963">
        <f>IFERROR(INDEX(PP_Grid[#Data],$DE963,92),0)</f>
        <v/>
      </c>
      <c r="CR963">
        <f>IFERROR(INDEX(PP_Grid[#Data],$DE963,93),0)</f>
        <v/>
      </c>
      <c r="CS963">
        <f>IFERROR(INDEX(PP_Grid[#Data],$DE963,94),0)</f>
        <v/>
      </c>
      <c r="CT963">
        <f>IFERROR(INDEX(PP_Grid[#Data],$DE963,95),0)</f>
        <v/>
      </c>
      <c r="CU963">
        <f>IFERROR(INDEX(PP_Grid[#Data],$DE963,96),0)</f>
        <v/>
      </c>
      <c r="CV963">
        <f>IFERROR(INDEX(PP_Grid[#Data],$DE963,97),0)</f>
        <v/>
      </c>
      <c r="CW963">
        <f>IFERROR(INDEX(PP_Grid[#Data],$DE963,98),0)</f>
        <v/>
      </c>
      <c r="CX963">
        <f>IFERROR(INDEX(PP_Grid[#Data],$DE963,99),0)</f>
        <v/>
      </c>
      <c r="CY963">
        <f>IFERROR(INDEX(PP_Grid[#Data],$DE963,100),0)</f>
        <v/>
      </c>
      <c r="CZ963">
        <f>IFERROR(INDEX(PP_Grid[#Data],$DE963,101),0)</f>
        <v/>
      </c>
      <c r="DA963">
        <f>IFERROR(INDEX(PP_Grid[#Data],$DE963,102),0)</f>
        <v/>
      </c>
      <c r="DB963">
        <f>IFERROR(INDEX(PP_Grid[#Data],$DE963,103),0)</f>
        <v/>
      </c>
      <c r="DC963">
        <f>IFERROR(INDEX(PP_Grid[#Data],$DE963,104),0)</f>
        <v/>
      </c>
      <c r="DD963">
        <f>IFERROR(INDEX(PP_Grid[#Data],$DE963,105),0)</f>
        <v/>
      </c>
      <c r="DE963" s="7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SUMIFS(M_BOM[RM_Qty_Per_Batch],M_BOM[Intermediate],$B963,M_BOM[RM_Code],$A938)</f>
        <v/>
      </c>
      <c r="D964">
        <f>IFERROR(INDEX(E964:DD964,$F$1),"")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  <c r="DD964">
        <f>$C964*DD963</f>
        <v/>
      </c>
    </row>
    <row r="965">
      <c r="B965" s="4" t="inlineStr">
        <is>
          <t>合計使用量(kg)/週</t>
        </is>
      </c>
      <c r="D965" s="23">
        <f>IFERROR(INDEX(E965:DD965,$F$1),"")</f>
        <v/>
      </c>
      <c r="E965">
        <f>'Grid_Requirement'!B55</f>
        <v/>
      </c>
      <c r="F965">
        <f>'Grid_Requirement'!C55</f>
        <v/>
      </c>
      <c r="G965">
        <f>'Grid_Requirement'!D55</f>
        <v/>
      </c>
      <c r="H965">
        <f>'Grid_Requirement'!E55</f>
        <v/>
      </c>
      <c r="I965">
        <f>'Grid_Requirement'!F55</f>
        <v/>
      </c>
      <c r="J965">
        <f>'Grid_Requirement'!G55</f>
        <v/>
      </c>
      <c r="K965">
        <f>'Grid_Requirement'!H55</f>
        <v/>
      </c>
      <c r="L965">
        <f>'Grid_Requirement'!I55</f>
        <v/>
      </c>
      <c r="M965">
        <f>'Grid_Requirement'!J55</f>
        <v/>
      </c>
      <c r="N965">
        <f>'Grid_Requirement'!K55</f>
        <v/>
      </c>
      <c r="O965">
        <f>'Grid_Requirement'!L55</f>
        <v/>
      </c>
      <c r="P965">
        <f>'Grid_Requirement'!M55</f>
        <v/>
      </c>
      <c r="Q965">
        <f>'Grid_Requirement'!N55</f>
        <v/>
      </c>
      <c r="R965">
        <f>'Grid_Requirement'!O55</f>
        <v/>
      </c>
      <c r="S965">
        <f>'Grid_Requirement'!P55</f>
        <v/>
      </c>
      <c r="T965">
        <f>'Grid_Requirement'!Q55</f>
        <v/>
      </c>
      <c r="U965">
        <f>'Grid_Requirement'!R55</f>
        <v/>
      </c>
      <c r="V965">
        <f>'Grid_Requirement'!S55</f>
        <v/>
      </c>
      <c r="W965">
        <f>'Grid_Requirement'!T55</f>
        <v/>
      </c>
      <c r="X965">
        <f>'Grid_Requirement'!U55</f>
        <v/>
      </c>
      <c r="Y965">
        <f>'Grid_Requirement'!V55</f>
        <v/>
      </c>
      <c r="Z965">
        <f>'Grid_Requirement'!W55</f>
        <v/>
      </c>
      <c r="AA965">
        <f>'Grid_Requirement'!X55</f>
        <v/>
      </c>
      <c r="AB965">
        <f>'Grid_Requirement'!Y55</f>
        <v/>
      </c>
      <c r="AC965">
        <f>'Grid_Requirement'!Z55</f>
        <v/>
      </c>
      <c r="AD965">
        <f>'Grid_Requirement'!AA55</f>
        <v/>
      </c>
      <c r="AE965">
        <f>'Grid_Requirement'!AB55</f>
        <v/>
      </c>
      <c r="AF965">
        <f>'Grid_Requirement'!AC55</f>
        <v/>
      </c>
      <c r="AG965">
        <f>'Grid_Requirement'!AD55</f>
        <v/>
      </c>
      <c r="AH965">
        <f>'Grid_Requirement'!AE55</f>
        <v/>
      </c>
      <c r="AI965">
        <f>'Grid_Requirement'!AF55</f>
        <v/>
      </c>
      <c r="AJ965">
        <f>'Grid_Requirement'!AG55</f>
        <v/>
      </c>
      <c r="AK965">
        <f>'Grid_Requirement'!AH55</f>
        <v/>
      </c>
      <c r="AL965">
        <f>'Grid_Requirement'!AI55</f>
        <v/>
      </c>
      <c r="AM965">
        <f>'Grid_Requirement'!AJ55</f>
        <v/>
      </c>
      <c r="AN965">
        <f>'Grid_Requirement'!AK55</f>
        <v/>
      </c>
      <c r="AO965">
        <f>'Grid_Requirement'!AL55</f>
        <v/>
      </c>
      <c r="AP965">
        <f>'Grid_Requirement'!AM55</f>
        <v/>
      </c>
      <c r="AQ965">
        <f>'Grid_Requirement'!AN55</f>
        <v/>
      </c>
      <c r="AR965">
        <f>'Grid_Requirement'!AO55</f>
        <v/>
      </c>
      <c r="AS965">
        <f>'Grid_Requirement'!AP55</f>
        <v/>
      </c>
      <c r="AT965">
        <f>'Grid_Requirement'!AQ55</f>
        <v/>
      </c>
      <c r="AU965">
        <f>'Grid_Requirement'!AR55</f>
        <v/>
      </c>
      <c r="AV965">
        <f>'Grid_Requirement'!AS55</f>
        <v/>
      </c>
      <c r="AW965">
        <f>'Grid_Requirement'!AT55</f>
        <v/>
      </c>
      <c r="AX965">
        <f>'Grid_Requirement'!AU55</f>
        <v/>
      </c>
      <c r="AY965">
        <f>'Grid_Requirement'!AV55</f>
        <v/>
      </c>
      <c r="AZ965">
        <f>'Grid_Requirement'!AW55</f>
        <v/>
      </c>
      <c r="BA965">
        <f>'Grid_Requirement'!AX55</f>
        <v/>
      </c>
      <c r="BB965">
        <f>'Grid_Requirement'!AY55</f>
        <v/>
      </c>
      <c r="BC965">
        <f>'Grid_Requirement'!AZ55</f>
        <v/>
      </c>
      <c r="BD965">
        <f>'Grid_Requirement'!BA55</f>
        <v/>
      </c>
      <c r="BE965">
        <f>'Grid_Requirement'!BB55</f>
        <v/>
      </c>
      <c r="BF965">
        <f>'Grid_Requirement'!BC55</f>
        <v/>
      </c>
      <c r="BG965">
        <f>'Grid_Requirement'!BD55</f>
        <v/>
      </c>
      <c r="BH965">
        <f>'Grid_Requirement'!BE55</f>
        <v/>
      </c>
      <c r="BI965">
        <f>'Grid_Requirement'!BF55</f>
        <v/>
      </c>
      <c r="BJ965">
        <f>'Grid_Requirement'!BG55</f>
        <v/>
      </c>
      <c r="BK965">
        <f>'Grid_Requirement'!BH55</f>
        <v/>
      </c>
      <c r="BL965">
        <f>'Grid_Requirement'!BI55</f>
        <v/>
      </c>
      <c r="BM965">
        <f>'Grid_Requirement'!BJ55</f>
        <v/>
      </c>
      <c r="BN965">
        <f>'Grid_Requirement'!BK55</f>
        <v/>
      </c>
      <c r="BO965">
        <f>'Grid_Requirement'!BL55</f>
        <v/>
      </c>
      <c r="BP965">
        <f>'Grid_Requirement'!BM55</f>
        <v/>
      </c>
      <c r="BQ965">
        <f>'Grid_Requirement'!BN55</f>
        <v/>
      </c>
      <c r="BR965">
        <f>'Grid_Requirement'!BO55</f>
        <v/>
      </c>
      <c r="BS965">
        <f>'Grid_Requirement'!BP55</f>
        <v/>
      </c>
      <c r="BT965">
        <f>'Grid_Requirement'!BQ55</f>
        <v/>
      </c>
      <c r="BU965">
        <f>'Grid_Requirement'!BR55</f>
        <v/>
      </c>
      <c r="BV965">
        <f>'Grid_Requirement'!BS55</f>
        <v/>
      </c>
      <c r="BW965">
        <f>'Grid_Requirement'!BT55</f>
        <v/>
      </c>
      <c r="BX965">
        <f>'Grid_Requirement'!BU55</f>
        <v/>
      </c>
      <c r="BY965">
        <f>'Grid_Requirement'!BV55</f>
        <v/>
      </c>
      <c r="BZ965">
        <f>'Grid_Requirement'!BW55</f>
        <v/>
      </c>
      <c r="CA965">
        <f>'Grid_Requirement'!BX55</f>
        <v/>
      </c>
      <c r="CB965">
        <f>'Grid_Requirement'!BY55</f>
        <v/>
      </c>
      <c r="CC965">
        <f>'Grid_Requirement'!BZ55</f>
        <v/>
      </c>
      <c r="CD965">
        <f>'Grid_Requirement'!CA55</f>
        <v/>
      </c>
      <c r="CE965">
        <f>'Grid_Requirement'!CB55</f>
        <v/>
      </c>
      <c r="CF965">
        <f>'Grid_Requirement'!CC55</f>
        <v/>
      </c>
      <c r="CG965">
        <f>'Grid_Requirement'!CD55</f>
        <v/>
      </c>
      <c r="CH965">
        <f>'Grid_Requirement'!CE55</f>
        <v/>
      </c>
      <c r="CI965">
        <f>'Grid_Requirement'!CF55</f>
        <v/>
      </c>
      <c r="CJ965">
        <f>'Grid_Requirement'!CG55</f>
        <v/>
      </c>
      <c r="CK965">
        <f>'Grid_Requirement'!CH55</f>
        <v/>
      </c>
      <c r="CL965">
        <f>'Grid_Requirement'!CI55</f>
        <v/>
      </c>
      <c r="CM965">
        <f>'Grid_Requirement'!CJ55</f>
        <v/>
      </c>
      <c r="CN965">
        <f>'Grid_Requirement'!CK55</f>
        <v/>
      </c>
      <c r="CO965">
        <f>'Grid_Requirement'!CL55</f>
        <v/>
      </c>
      <c r="CP965">
        <f>'Grid_Requirement'!CM55</f>
        <v/>
      </c>
      <c r="CQ965">
        <f>'Grid_Requirement'!CN55</f>
        <v/>
      </c>
      <c r="CR965">
        <f>'Grid_Requirement'!CO55</f>
        <v/>
      </c>
      <c r="CS965">
        <f>'Grid_Requirement'!CP55</f>
        <v/>
      </c>
      <c r="CT965">
        <f>'Grid_Requirement'!CQ55</f>
        <v/>
      </c>
      <c r="CU965">
        <f>'Grid_Requirement'!CR55</f>
        <v/>
      </c>
      <c r="CV965">
        <f>'Grid_Requirement'!CS55</f>
        <v/>
      </c>
      <c r="CW965">
        <f>'Grid_Requirement'!CT55</f>
        <v/>
      </c>
      <c r="CX965">
        <f>'Grid_Requirement'!CU55</f>
        <v/>
      </c>
      <c r="CY965">
        <f>'Grid_Requirement'!CV55</f>
        <v/>
      </c>
      <c r="CZ965">
        <f>'Grid_Requirement'!CW55</f>
        <v/>
      </c>
      <c r="DA965">
        <f>'Grid_Requirement'!CX55</f>
        <v/>
      </c>
      <c r="DB965">
        <f>'Grid_Requirement'!CY55</f>
        <v/>
      </c>
      <c r="DC965">
        <f>'Grid_Requirement'!CZ55</f>
        <v/>
      </c>
      <c r="DD965">
        <f>'Grid_Requirement'!DA55</f>
        <v/>
      </c>
    </row>
    <row r="966">
      <c r="B966" t="inlineStr">
        <is>
          <t>TTAF在庫(実績,kg)</t>
        </is>
      </c>
      <c r="D966">
        <f>IFERROR(INDEX(E966:DD966,$F$1),"")</f>
        <v/>
      </c>
      <c r="E966">
        <f>IFERROR(SUMIFS(T_TTAFStock[TTAF_Qty],T_TTAFStock[RM_Code],$A938,T_TTAFStock[WeekIndex],1),"")</f>
        <v/>
      </c>
      <c r="F966">
        <f>IFERROR(SUMIFS(T_TTAFStock[TTAF_Qty],T_TTAFStock[RM_Code],$A938,T_TTAFStock[WeekIndex],2),"")</f>
        <v/>
      </c>
      <c r="G966">
        <f>IFERROR(SUMIFS(T_TTAFStock[TTAF_Qty],T_TTAFStock[RM_Code],$A938,T_TTAFStock[WeekIndex],3),"")</f>
        <v/>
      </c>
      <c r="H966">
        <f>IFERROR(SUMIFS(T_TTAFStock[TTAF_Qty],T_TTAFStock[RM_Code],$A938,T_TTAFStock[WeekIndex],4),"")</f>
        <v/>
      </c>
      <c r="I966">
        <f>IFERROR(SUMIFS(T_TTAFStock[TTAF_Qty],T_TTAFStock[RM_Code],$A938,T_TTAFStock[WeekIndex],5),"")</f>
        <v/>
      </c>
      <c r="J966">
        <f>IFERROR(SUMIFS(T_TTAFStock[TTAF_Qty],T_TTAFStock[RM_Code],$A938,T_TTAFStock[WeekIndex],6),"")</f>
        <v/>
      </c>
      <c r="K966">
        <f>IFERROR(SUMIFS(T_TTAFStock[TTAF_Qty],T_TTAFStock[RM_Code],$A938,T_TTAFStock[WeekIndex],7),"")</f>
        <v/>
      </c>
      <c r="L966">
        <f>IFERROR(SUMIFS(T_TTAFStock[TTAF_Qty],T_TTAFStock[RM_Code],$A938,T_TTAFStock[WeekIndex],8),"")</f>
        <v/>
      </c>
      <c r="M966">
        <f>IFERROR(SUMIFS(T_TTAFStock[TTAF_Qty],T_TTAFStock[RM_Code],$A938,T_TTAFStock[WeekIndex],9),"")</f>
        <v/>
      </c>
      <c r="N966">
        <f>IFERROR(SUMIFS(T_TTAFStock[TTAF_Qty],T_TTAFStock[RM_Code],$A938,T_TTAFStock[WeekIndex],10),"")</f>
        <v/>
      </c>
      <c r="O966">
        <f>IFERROR(SUMIFS(T_TTAFStock[TTAF_Qty],T_TTAFStock[RM_Code],$A938,T_TTAFStock[WeekIndex],11),"")</f>
        <v/>
      </c>
      <c r="P966">
        <f>IFERROR(SUMIFS(T_TTAFStock[TTAF_Qty],T_TTAFStock[RM_Code],$A938,T_TTAFStock[WeekIndex],12),"")</f>
        <v/>
      </c>
      <c r="Q966">
        <f>IFERROR(SUMIFS(T_TTAFStock[TTAF_Qty],T_TTAFStock[RM_Code],$A938,T_TTAFStock[WeekIndex],13),"")</f>
        <v/>
      </c>
      <c r="R966">
        <f>IFERROR(SUMIFS(T_TTAFStock[TTAF_Qty],T_TTAFStock[RM_Code],$A938,T_TTAFStock[WeekIndex],14),"")</f>
        <v/>
      </c>
      <c r="S966">
        <f>IFERROR(SUMIFS(T_TTAFStock[TTAF_Qty],T_TTAFStock[RM_Code],$A938,T_TTAFStock[WeekIndex],15),"")</f>
        <v/>
      </c>
      <c r="T966">
        <f>IFERROR(SUMIFS(T_TTAFStock[TTAF_Qty],T_TTAFStock[RM_Code],$A938,T_TTAFStock[WeekIndex],16),"")</f>
        <v/>
      </c>
      <c r="U966">
        <f>IFERROR(SUMIFS(T_TTAFStock[TTAF_Qty],T_TTAFStock[RM_Code],$A938,T_TTAFStock[WeekIndex],17),"")</f>
        <v/>
      </c>
      <c r="V966">
        <f>IFERROR(SUMIFS(T_TTAFStock[TTAF_Qty],T_TTAFStock[RM_Code],$A938,T_TTAFStock[WeekIndex],18),"")</f>
        <v/>
      </c>
      <c r="W966">
        <f>IFERROR(SUMIFS(T_TTAFStock[TTAF_Qty],T_TTAFStock[RM_Code],$A938,T_TTAFStock[WeekIndex],19),"")</f>
        <v/>
      </c>
      <c r="X966">
        <f>IFERROR(SUMIFS(T_TTAFStock[TTAF_Qty],T_TTAFStock[RM_Code],$A938,T_TTAFStock[WeekIndex],20),"")</f>
        <v/>
      </c>
      <c r="Y966">
        <f>IFERROR(SUMIFS(T_TTAFStock[TTAF_Qty],T_TTAFStock[RM_Code],$A938,T_TTAFStock[WeekIndex],21),"")</f>
        <v/>
      </c>
      <c r="Z966">
        <f>IFERROR(SUMIFS(T_TTAFStock[TTAF_Qty],T_TTAFStock[RM_Code],$A938,T_TTAFStock[WeekIndex],22),"")</f>
        <v/>
      </c>
      <c r="AA966">
        <f>IFERROR(SUMIFS(T_TTAFStock[TTAF_Qty],T_TTAFStock[RM_Code],$A938,T_TTAFStock[WeekIndex],23),"")</f>
        <v/>
      </c>
      <c r="AB966">
        <f>IFERROR(SUMIFS(T_TTAFStock[TTAF_Qty],T_TTAFStock[RM_Code],$A938,T_TTAFStock[WeekIndex],24),"")</f>
        <v/>
      </c>
      <c r="AC966">
        <f>IFERROR(SUMIFS(T_TTAFStock[TTAF_Qty],T_TTAFStock[RM_Code],$A938,T_TTAFStock[WeekIndex],25),"")</f>
        <v/>
      </c>
      <c r="AD966">
        <f>IFERROR(SUMIFS(T_TTAFStock[TTAF_Qty],T_TTAFStock[RM_Code],$A938,T_TTAFStock[WeekIndex],26),"")</f>
        <v/>
      </c>
      <c r="AE966">
        <f>IFERROR(SUMIFS(T_TTAFStock[TTAF_Qty],T_TTAFStock[RM_Code],$A938,T_TTAFStock[WeekIndex],27),"")</f>
        <v/>
      </c>
      <c r="AF966">
        <f>IFERROR(SUMIFS(T_TTAFStock[TTAF_Qty],T_TTAFStock[RM_Code],$A938,T_TTAFStock[WeekIndex],28),"")</f>
        <v/>
      </c>
      <c r="AG966">
        <f>IFERROR(SUMIFS(T_TTAFStock[TTAF_Qty],T_TTAFStock[RM_Code],$A938,T_TTAFStock[WeekIndex],29),"")</f>
        <v/>
      </c>
      <c r="AH966">
        <f>IFERROR(SUMIFS(T_TTAFStock[TTAF_Qty],T_TTAFStock[RM_Code],$A938,T_TTAFStock[WeekIndex],30),"")</f>
        <v/>
      </c>
      <c r="AI966">
        <f>IFERROR(SUMIFS(T_TTAFStock[TTAF_Qty],T_TTAFStock[RM_Code],$A938,T_TTAFStock[WeekIndex],31),"")</f>
        <v/>
      </c>
      <c r="AJ966">
        <f>IFERROR(SUMIFS(T_TTAFStock[TTAF_Qty],T_TTAFStock[RM_Code],$A938,T_TTAFStock[WeekIndex],32),"")</f>
        <v/>
      </c>
      <c r="AK966">
        <f>IFERROR(SUMIFS(T_TTAFStock[TTAF_Qty],T_TTAFStock[RM_Code],$A938,T_TTAFStock[WeekIndex],33),"")</f>
        <v/>
      </c>
      <c r="AL966">
        <f>IFERROR(SUMIFS(T_TTAFStock[TTAF_Qty],T_TTAFStock[RM_Code],$A938,T_TTAFStock[WeekIndex],34),"")</f>
        <v/>
      </c>
      <c r="AM966">
        <f>IFERROR(SUMIFS(T_TTAFStock[TTAF_Qty],T_TTAFStock[RM_Code],$A938,T_TTAFStock[WeekIndex],35),"")</f>
        <v/>
      </c>
      <c r="AN966">
        <f>IFERROR(SUMIFS(T_TTAFStock[TTAF_Qty],T_TTAFStock[RM_Code],$A938,T_TTAFStock[WeekIndex],36),"")</f>
        <v/>
      </c>
      <c r="AO966">
        <f>IFERROR(SUMIFS(T_TTAFStock[TTAF_Qty],T_TTAFStock[RM_Code],$A938,T_TTAFStock[WeekIndex],37),"")</f>
        <v/>
      </c>
      <c r="AP966">
        <f>IFERROR(SUMIFS(T_TTAFStock[TTAF_Qty],T_TTAFStock[RM_Code],$A938,T_TTAFStock[WeekIndex],38),"")</f>
        <v/>
      </c>
      <c r="AQ966">
        <f>IFERROR(SUMIFS(T_TTAFStock[TTAF_Qty],T_TTAFStock[RM_Code],$A938,T_TTAFStock[WeekIndex],39),"")</f>
        <v/>
      </c>
      <c r="AR966">
        <f>IFERROR(SUMIFS(T_TTAFStock[TTAF_Qty],T_TTAFStock[RM_Code],$A938,T_TTAFStock[WeekIndex],40),"")</f>
        <v/>
      </c>
      <c r="AS966">
        <f>IFERROR(SUMIFS(T_TTAFStock[TTAF_Qty],T_TTAFStock[RM_Code],$A938,T_TTAFStock[WeekIndex],41),"")</f>
        <v/>
      </c>
      <c r="AT966">
        <f>IFERROR(SUMIFS(T_TTAFStock[TTAF_Qty],T_TTAFStock[RM_Code],$A938,T_TTAFStock[WeekIndex],42),"")</f>
        <v/>
      </c>
      <c r="AU966">
        <f>IFERROR(SUMIFS(T_TTAFStock[TTAF_Qty],T_TTAFStock[RM_Code],$A938,T_TTAFStock[WeekIndex],43),"")</f>
        <v/>
      </c>
      <c r="AV966">
        <f>IFERROR(SUMIFS(T_TTAFStock[TTAF_Qty],T_TTAFStock[RM_Code],$A938,T_TTAFStock[WeekIndex],44),"")</f>
        <v/>
      </c>
      <c r="AW966">
        <f>IFERROR(SUMIFS(T_TTAFStock[TTAF_Qty],T_TTAFStock[RM_Code],$A938,T_TTAFStock[WeekIndex],45),"")</f>
        <v/>
      </c>
      <c r="AX966">
        <f>IFERROR(SUMIFS(T_TTAFStock[TTAF_Qty],T_TTAFStock[RM_Code],$A938,T_TTAFStock[WeekIndex],46),"")</f>
        <v/>
      </c>
      <c r="AY966">
        <f>IFERROR(SUMIFS(T_TTAFStock[TTAF_Qty],T_TTAFStock[RM_Code],$A938,T_TTAFStock[WeekIndex],47),"")</f>
        <v/>
      </c>
      <c r="AZ966">
        <f>IFERROR(SUMIFS(T_TTAFStock[TTAF_Qty],T_TTAFStock[RM_Code],$A938,T_TTAFStock[WeekIndex],48),"")</f>
        <v/>
      </c>
      <c r="BA966">
        <f>IFERROR(SUMIFS(T_TTAFStock[TTAF_Qty],T_TTAFStock[RM_Code],$A938,T_TTAFStock[WeekIndex],49),"")</f>
        <v/>
      </c>
      <c r="BB966">
        <f>IFERROR(SUMIFS(T_TTAFStock[TTAF_Qty],T_TTAFStock[RM_Code],$A938,T_TTAFStock[WeekIndex],50),"")</f>
        <v/>
      </c>
      <c r="BC966">
        <f>IFERROR(SUMIFS(T_TTAFStock[TTAF_Qty],T_TTAFStock[RM_Code],$A938,T_TTAFStock[WeekIndex],51),"")</f>
        <v/>
      </c>
      <c r="BD966">
        <f>IFERROR(SUMIFS(T_TTAFStock[TTAF_Qty],T_TTAFStock[RM_Code],$A938,T_TTAFStock[WeekIndex],52),"")</f>
        <v/>
      </c>
      <c r="BE966">
        <f>IFERROR(SUMIFS(T_TTAFStock[TTAF_Qty],T_TTAFStock[RM_Code],$A938,T_TTAFStock[WeekIndex],53),"")</f>
        <v/>
      </c>
      <c r="BF966">
        <f>IFERROR(SUMIFS(T_TTAFStock[TTAF_Qty],T_TTAFStock[RM_Code],$A938,T_TTAFStock[WeekIndex],54),"")</f>
        <v/>
      </c>
      <c r="BG966">
        <f>IFERROR(SUMIFS(T_TTAFStock[TTAF_Qty],T_TTAFStock[RM_Code],$A938,T_TTAFStock[WeekIndex],55),"")</f>
        <v/>
      </c>
      <c r="BH966">
        <f>IFERROR(SUMIFS(T_TTAFStock[TTAF_Qty],T_TTAFStock[RM_Code],$A938,T_TTAFStock[WeekIndex],56),"")</f>
        <v/>
      </c>
      <c r="BI966">
        <f>IFERROR(SUMIFS(T_TTAFStock[TTAF_Qty],T_TTAFStock[RM_Code],$A938,T_TTAFStock[WeekIndex],57),"")</f>
        <v/>
      </c>
      <c r="BJ966">
        <f>IFERROR(SUMIFS(T_TTAFStock[TTAF_Qty],T_TTAFStock[RM_Code],$A938,T_TTAFStock[WeekIndex],58),"")</f>
        <v/>
      </c>
      <c r="BK966">
        <f>IFERROR(SUMIFS(T_TTAFStock[TTAF_Qty],T_TTAFStock[RM_Code],$A938,T_TTAFStock[WeekIndex],59),"")</f>
        <v/>
      </c>
      <c r="BL966">
        <f>IFERROR(SUMIFS(T_TTAFStock[TTAF_Qty],T_TTAFStock[RM_Code],$A938,T_TTAFStock[WeekIndex],60),"")</f>
        <v/>
      </c>
      <c r="BM966">
        <f>IFERROR(SUMIFS(T_TTAFStock[TTAF_Qty],T_TTAFStock[RM_Code],$A938,T_TTAFStock[WeekIndex],61),"")</f>
        <v/>
      </c>
      <c r="BN966">
        <f>IFERROR(SUMIFS(T_TTAFStock[TTAF_Qty],T_TTAFStock[RM_Code],$A938,T_TTAFStock[WeekIndex],62),"")</f>
        <v/>
      </c>
      <c r="BO966">
        <f>IFERROR(SUMIFS(T_TTAFStock[TTAF_Qty],T_TTAFStock[RM_Code],$A938,T_TTAFStock[WeekIndex],63),"")</f>
        <v/>
      </c>
      <c r="BP966">
        <f>IFERROR(SUMIFS(T_TTAFStock[TTAF_Qty],T_TTAFStock[RM_Code],$A938,T_TTAFStock[WeekIndex],64),"")</f>
        <v/>
      </c>
      <c r="BQ966">
        <f>IFERROR(SUMIFS(T_TTAFStock[TTAF_Qty],T_TTAFStock[RM_Code],$A938,T_TTAFStock[WeekIndex],65),"")</f>
        <v/>
      </c>
      <c r="BR966">
        <f>IFERROR(SUMIFS(T_TTAFStock[TTAF_Qty],T_TTAFStock[RM_Code],$A938,T_TTAFStock[WeekIndex],66),"")</f>
        <v/>
      </c>
      <c r="BS966">
        <f>IFERROR(SUMIFS(T_TTAFStock[TTAF_Qty],T_TTAFStock[RM_Code],$A938,T_TTAFStock[WeekIndex],67),"")</f>
        <v/>
      </c>
      <c r="BT966">
        <f>IFERROR(SUMIFS(T_TTAFStock[TTAF_Qty],T_TTAFStock[RM_Code],$A938,T_TTAFStock[WeekIndex],68),"")</f>
        <v/>
      </c>
      <c r="BU966">
        <f>IFERROR(SUMIFS(T_TTAFStock[TTAF_Qty],T_TTAFStock[RM_Code],$A938,T_TTAFStock[WeekIndex],69),"")</f>
        <v/>
      </c>
      <c r="BV966">
        <f>IFERROR(SUMIFS(T_TTAFStock[TTAF_Qty],T_TTAFStock[RM_Code],$A938,T_TTAFStock[WeekIndex],70),"")</f>
        <v/>
      </c>
      <c r="BW966">
        <f>IFERROR(SUMIFS(T_TTAFStock[TTAF_Qty],T_TTAFStock[RM_Code],$A938,T_TTAFStock[WeekIndex],71),"")</f>
        <v/>
      </c>
      <c r="BX966">
        <f>IFERROR(SUMIFS(T_TTAFStock[TTAF_Qty],T_TTAFStock[RM_Code],$A938,T_TTAFStock[WeekIndex],72),"")</f>
        <v/>
      </c>
      <c r="BY966">
        <f>IFERROR(SUMIFS(T_TTAFStock[TTAF_Qty],T_TTAFStock[RM_Code],$A938,T_TTAFStock[WeekIndex],73),"")</f>
        <v/>
      </c>
      <c r="BZ966">
        <f>IFERROR(SUMIFS(T_TTAFStock[TTAF_Qty],T_TTAFStock[RM_Code],$A938,T_TTAFStock[WeekIndex],74),"")</f>
        <v/>
      </c>
      <c r="CA966">
        <f>IFERROR(SUMIFS(T_TTAFStock[TTAF_Qty],T_TTAFStock[RM_Code],$A938,T_TTAFStock[WeekIndex],75),"")</f>
        <v/>
      </c>
      <c r="CB966">
        <f>IFERROR(SUMIFS(T_TTAFStock[TTAF_Qty],T_TTAFStock[RM_Code],$A938,T_TTAFStock[WeekIndex],76),"")</f>
        <v/>
      </c>
      <c r="CC966">
        <f>IFERROR(SUMIFS(T_TTAFStock[TTAF_Qty],T_TTAFStock[RM_Code],$A938,T_TTAFStock[WeekIndex],77),"")</f>
        <v/>
      </c>
      <c r="CD966">
        <f>IFERROR(SUMIFS(T_TTAFStock[TTAF_Qty],T_TTAFStock[RM_Code],$A938,T_TTAFStock[WeekIndex],78),"")</f>
        <v/>
      </c>
      <c r="CE966">
        <f>IFERROR(SUMIFS(T_TTAFStock[TTAF_Qty],T_TTAFStock[RM_Code],$A938,T_TTAFStock[WeekIndex],79),"")</f>
        <v/>
      </c>
      <c r="CF966">
        <f>IFERROR(SUMIFS(T_TTAFStock[TTAF_Qty],T_TTAFStock[RM_Code],$A938,T_TTAFStock[WeekIndex],80),"")</f>
        <v/>
      </c>
      <c r="CG966">
        <f>IFERROR(SUMIFS(T_TTAFStock[TTAF_Qty],T_TTAFStock[RM_Code],$A938,T_TTAFStock[WeekIndex],81),"")</f>
        <v/>
      </c>
      <c r="CH966">
        <f>IFERROR(SUMIFS(T_TTAFStock[TTAF_Qty],T_TTAFStock[RM_Code],$A938,T_TTAFStock[WeekIndex],82),"")</f>
        <v/>
      </c>
      <c r="CI966">
        <f>IFERROR(SUMIFS(T_TTAFStock[TTAF_Qty],T_TTAFStock[RM_Code],$A938,T_TTAFStock[WeekIndex],83),"")</f>
        <v/>
      </c>
      <c r="CJ966">
        <f>IFERROR(SUMIFS(T_TTAFStock[TTAF_Qty],T_TTAFStock[RM_Code],$A938,T_TTAFStock[WeekIndex],84),"")</f>
        <v/>
      </c>
      <c r="CK966">
        <f>IFERROR(SUMIFS(T_TTAFStock[TTAF_Qty],T_TTAFStock[RM_Code],$A938,T_TTAFStock[WeekIndex],85),"")</f>
        <v/>
      </c>
      <c r="CL966">
        <f>IFERROR(SUMIFS(T_TTAFStock[TTAF_Qty],T_TTAFStock[RM_Code],$A938,T_TTAFStock[WeekIndex],86),"")</f>
        <v/>
      </c>
      <c r="CM966">
        <f>IFERROR(SUMIFS(T_TTAFStock[TTAF_Qty],T_TTAFStock[RM_Code],$A938,T_TTAFStock[WeekIndex],87),"")</f>
        <v/>
      </c>
      <c r="CN966">
        <f>IFERROR(SUMIFS(T_TTAFStock[TTAF_Qty],T_TTAFStock[RM_Code],$A938,T_TTAFStock[WeekIndex],88),"")</f>
        <v/>
      </c>
      <c r="CO966">
        <f>IFERROR(SUMIFS(T_TTAFStock[TTAF_Qty],T_TTAFStock[RM_Code],$A938,T_TTAFStock[WeekIndex],89),"")</f>
        <v/>
      </c>
      <c r="CP966">
        <f>IFERROR(SUMIFS(T_TTAFStock[TTAF_Qty],T_TTAFStock[RM_Code],$A938,T_TTAFStock[WeekIndex],90),"")</f>
        <v/>
      </c>
      <c r="CQ966">
        <f>IFERROR(SUMIFS(T_TTAFStock[TTAF_Qty],T_TTAFStock[RM_Code],$A938,T_TTAFStock[WeekIndex],91),"")</f>
        <v/>
      </c>
      <c r="CR966">
        <f>IFERROR(SUMIFS(T_TTAFStock[TTAF_Qty],T_TTAFStock[RM_Code],$A938,T_TTAFStock[WeekIndex],92),"")</f>
        <v/>
      </c>
      <c r="CS966">
        <f>IFERROR(SUMIFS(T_TTAFStock[TTAF_Qty],T_TTAFStock[RM_Code],$A938,T_TTAFStock[WeekIndex],93),"")</f>
        <v/>
      </c>
      <c r="CT966">
        <f>IFERROR(SUMIFS(T_TTAFStock[TTAF_Qty],T_TTAFStock[RM_Code],$A938,T_TTAFStock[WeekIndex],94),"")</f>
        <v/>
      </c>
      <c r="CU966">
        <f>IFERROR(SUMIFS(T_TTAFStock[TTAF_Qty],T_TTAFStock[RM_Code],$A938,T_TTAFStock[WeekIndex],95),"")</f>
        <v/>
      </c>
      <c r="CV966">
        <f>IFERROR(SUMIFS(T_TTAFStock[TTAF_Qty],T_TTAFStock[RM_Code],$A938,T_TTAFStock[WeekIndex],96),"")</f>
        <v/>
      </c>
      <c r="CW966">
        <f>IFERROR(SUMIFS(T_TTAFStock[TTAF_Qty],T_TTAFStock[RM_Code],$A938,T_TTAFStock[WeekIndex],97),"")</f>
        <v/>
      </c>
      <c r="CX966">
        <f>IFERROR(SUMIFS(T_TTAFStock[TTAF_Qty],T_TTAFStock[RM_Code],$A938,T_TTAFStock[WeekIndex],98),"")</f>
        <v/>
      </c>
      <c r="CY966">
        <f>IFERROR(SUMIFS(T_TTAFStock[TTAF_Qty],T_TTAFStock[RM_Code],$A938,T_TTAFStock[WeekIndex],99),"")</f>
        <v/>
      </c>
      <c r="CZ966">
        <f>IFERROR(SUMIFS(T_TTAFStock[TTAF_Qty],T_TTAFStock[RM_Code],$A938,T_TTAFStock[WeekIndex],100),"")</f>
        <v/>
      </c>
      <c r="DA966">
        <f>IFERROR(SUMIFS(T_TTAFStock[TTAF_Qty],T_TTAFStock[RM_Code],$A938,T_TTAFStock[WeekIndex],101),"")</f>
        <v/>
      </c>
      <c r="DB966">
        <f>IFERROR(SUMIFS(T_TTAFStock[TTAF_Qty],T_TTAFStock[RM_Code],$A938,T_TTAFStock[WeekIndex],102),"")</f>
        <v/>
      </c>
      <c r="DC966">
        <f>IFERROR(SUMIFS(T_TTAFStock[TTAF_Qty],T_TTAFStock[RM_Code],$A938,T_TTAFStock[WeekIndex],103),"")</f>
        <v/>
      </c>
      <c r="DD966">
        <f>IFERROR(SUMIFS(T_TTAFStock[TTAF_Qty],T_TTAFStock[RM_Code],$A938,T_TTAFStock[WeekIndex],104),"")</f>
        <v/>
      </c>
    </row>
    <row r="967">
      <c r="B967" t="inlineStr">
        <is>
          <t>自社在庫(実績,kg)</t>
        </is>
      </c>
      <c r="D967">
        <f>IFERROR(INDEX(E967:DD967,$F$1),"")</f>
        <v/>
      </c>
      <c r="E967">
        <f>IFERROR(SUMIFS(T_SelfStock[Self_Qty],T_SelfStock[RM_Code],$A938,T_SelfStock[WeekIndex],1),"")</f>
        <v/>
      </c>
      <c r="F967">
        <f>IFERROR(SUMIFS(T_SelfStock[Self_Qty],T_SelfStock[RM_Code],$A938,T_SelfStock[WeekIndex],2),"")</f>
        <v/>
      </c>
      <c r="G967">
        <f>IFERROR(SUMIFS(T_SelfStock[Self_Qty],T_SelfStock[RM_Code],$A938,T_SelfStock[WeekIndex],3),"")</f>
        <v/>
      </c>
      <c r="H967">
        <f>IFERROR(SUMIFS(T_SelfStock[Self_Qty],T_SelfStock[RM_Code],$A938,T_SelfStock[WeekIndex],4),"")</f>
        <v/>
      </c>
      <c r="I967">
        <f>IFERROR(SUMIFS(T_SelfStock[Self_Qty],T_SelfStock[RM_Code],$A938,T_SelfStock[WeekIndex],5),"")</f>
        <v/>
      </c>
      <c r="J967">
        <f>IFERROR(SUMIFS(T_SelfStock[Self_Qty],T_SelfStock[RM_Code],$A938,T_SelfStock[WeekIndex],6),"")</f>
        <v/>
      </c>
      <c r="K967">
        <f>IFERROR(SUMIFS(T_SelfStock[Self_Qty],T_SelfStock[RM_Code],$A938,T_SelfStock[WeekIndex],7),"")</f>
        <v/>
      </c>
      <c r="L967">
        <f>IFERROR(SUMIFS(T_SelfStock[Self_Qty],T_SelfStock[RM_Code],$A938,T_SelfStock[WeekIndex],8),"")</f>
        <v/>
      </c>
      <c r="M967">
        <f>IFERROR(SUMIFS(T_SelfStock[Self_Qty],T_SelfStock[RM_Code],$A938,T_SelfStock[WeekIndex],9),"")</f>
        <v/>
      </c>
      <c r="N967">
        <f>IFERROR(SUMIFS(T_SelfStock[Self_Qty],T_SelfStock[RM_Code],$A938,T_SelfStock[WeekIndex],10),"")</f>
        <v/>
      </c>
      <c r="O967">
        <f>IFERROR(SUMIFS(T_SelfStock[Self_Qty],T_SelfStock[RM_Code],$A938,T_SelfStock[WeekIndex],11),"")</f>
        <v/>
      </c>
      <c r="P967">
        <f>IFERROR(SUMIFS(T_SelfStock[Self_Qty],T_SelfStock[RM_Code],$A938,T_SelfStock[WeekIndex],12),"")</f>
        <v/>
      </c>
      <c r="Q967">
        <f>IFERROR(SUMIFS(T_SelfStock[Self_Qty],T_SelfStock[RM_Code],$A938,T_SelfStock[WeekIndex],13),"")</f>
        <v/>
      </c>
      <c r="R967">
        <f>IFERROR(SUMIFS(T_SelfStock[Self_Qty],T_SelfStock[RM_Code],$A938,T_SelfStock[WeekIndex],14),"")</f>
        <v/>
      </c>
      <c r="S967">
        <f>IFERROR(SUMIFS(T_SelfStock[Self_Qty],T_SelfStock[RM_Code],$A938,T_SelfStock[WeekIndex],15),"")</f>
        <v/>
      </c>
      <c r="T967">
        <f>IFERROR(SUMIFS(T_SelfStock[Self_Qty],T_SelfStock[RM_Code],$A938,T_SelfStock[WeekIndex],16),"")</f>
        <v/>
      </c>
      <c r="U967">
        <f>IFERROR(SUMIFS(T_SelfStock[Self_Qty],T_SelfStock[RM_Code],$A938,T_SelfStock[WeekIndex],17),"")</f>
        <v/>
      </c>
      <c r="V967">
        <f>IFERROR(SUMIFS(T_SelfStock[Self_Qty],T_SelfStock[RM_Code],$A938,T_SelfStock[WeekIndex],18),"")</f>
        <v/>
      </c>
      <c r="W967">
        <f>IFERROR(SUMIFS(T_SelfStock[Self_Qty],T_SelfStock[RM_Code],$A938,T_SelfStock[WeekIndex],19),"")</f>
        <v/>
      </c>
      <c r="X967">
        <f>IFERROR(SUMIFS(T_SelfStock[Self_Qty],T_SelfStock[RM_Code],$A938,T_SelfStock[WeekIndex],20),"")</f>
        <v/>
      </c>
      <c r="Y967">
        <f>IFERROR(SUMIFS(T_SelfStock[Self_Qty],T_SelfStock[RM_Code],$A938,T_SelfStock[WeekIndex],21),"")</f>
        <v/>
      </c>
      <c r="Z967">
        <f>IFERROR(SUMIFS(T_SelfStock[Self_Qty],T_SelfStock[RM_Code],$A938,T_SelfStock[WeekIndex],22),"")</f>
        <v/>
      </c>
      <c r="AA967">
        <f>IFERROR(SUMIFS(T_SelfStock[Self_Qty],T_SelfStock[RM_Code],$A938,T_SelfStock[WeekIndex],23),"")</f>
        <v/>
      </c>
      <c r="AB967">
        <f>IFERROR(SUMIFS(T_SelfStock[Self_Qty],T_SelfStock[RM_Code],$A938,T_SelfStock[WeekIndex],24),"")</f>
        <v/>
      </c>
      <c r="AC967">
        <f>IFERROR(SUMIFS(T_SelfStock[Self_Qty],T_SelfStock[RM_Code],$A938,T_SelfStock[WeekIndex],25),"")</f>
        <v/>
      </c>
      <c r="AD967">
        <f>IFERROR(SUMIFS(T_SelfStock[Self_Qty],T_SelfStock[RM_Code],$A938,T_SelfStock[WeekIndex],26),"")</f>
        <v/>
      </c>
      <c r="AE967">
        <f>IFERROR(SUMIFS(T_SelfStock[Self_Qty],T_SelfStock[RM_Code],$A938,T_SelfStock[WeekIndex],27),"")</f>
        <v/>
      </c>
      <c r="AF967">
        <f>IFERROR(SUMIFS(T_SelfStock[Self_Qty],T_SelfStock[RM_Code],$A938,T_SelfStock[WeekIndex],28),"")</f>
        <v/>
      </c>
      <c r="AG967">
        <f>IFERROR(SUMIFS(T_SelfStock[Self_Qty],T_SelfStock[RM_Code],$A938,T_SelfStock[WeekIndex],29),"")</f>
        <v/>
      </c>
      <c r="AH967">
        <f>IFERROR(SUMIFS(T_SelfStock[Self_Qty],T_SelfStock[RM_Code],$A938,T_SelfStock[WeekIndex],30),"")</f>
        <v/>
      </c>
      <c r="AI967">
        <f>IFERROR(SUMIFS(T_SelfStock[Self_Qty],T_SelfStock[RM_Code],$A938,T_SelfStock[WeekIndex],31),"")</f>
        <v/>
      </c>
      <c r="AJ967">
        <f>IFERROR(SUMIFS(T_SelfStock[Self_Qty],T_SelfStock[RM_Code],$A938,T_SelfStock[WeekIndex],32),"")</f>
        <v/>
      </c>
      <c r="AK967">
        <f>IFERROR(SUMIFS(T_SelfStock[Self_Qty],T_SelfStock[RM_Code],$A938,T_SelfStock[WeekIndex],33),"")</f>
        <v/>
      </c>
      <c r="AL967">
        <f>IFERROR(SUMIFS(T_SelfStock[Self_Qty],T_SelfStock[RM_Code],$A938,T_SelfStock[WeekIndex],34),"")</f>
        <v/>
      </c>
      <c r="AM967">
        <f>IFERROR(SUMIFS(T_SelfStock[Self_Qty],T_SelfStock[RM_Code],$A938,T_SelfStock[WeekIndex],35),"")</f>
        <v/>
      </c>
      <c r="AN967">
        <f>IFERROR(SUMIFS(T_SelfStock[Self_Qty],T_SelfStock[RM_Code],$A938,T_SelfStock[WeekIndex],36),"")</f>
        <v/>
      </c>
      <c r="AO967">
        <f>IFERROR(SUMIFS(T_SelfStock[Self_Qty],T_SelfStock[RM_Code],$A938,T_SelfStock[WeekIndex],37),"")</f>
        <v/>
      </c>
      <c r="AP967">
        <f>IFERROR(SUMIFS(T_SelfStock[Self_Qty],T_SelfStock[RM_Code],$A938,T_SelfStock[WeekIndex],38),"")</f>
        <v/>
      </c>
      <c r="AQ967">
        <f>IFERROR(SUMIFS(T_SelfStock[Self_Qty],T_SelfStock[RM_Code],$A938,T_SelfStock[WeekIndex],39),"")</f>
        <v/>
      </c>
      <c r="AR967">
        <f>IFERROR(SUMIFS(T_SelfStock[Self_Qty],T_SelfStock[RM_Code],$A938,T_SelfStock[WeekIndex],40),"")</f>
        <v/>
      </c>
      <c r="AS967">
        <f>IFERROR(SUMIFS(T_SelfStock[Self_Qty],T_SelfStock[RM_Code],$A938,T_SelfStock[WeekIndex],41),"")</f>
        <v/>
      </c>
      <c r="AT967">
        <f>IFERROR(SUMIFS(T_SelfStock[Self_Qty],T_SelfStock[RM_Code],$A938,T_SelfStock[WeekIndex],42),"")</f>
        <v/>
      </c>
      <c r="AU967">
        <f>IFERROR(SUMIFS(T_SelfStock[Self_Qty],T_SelfStock[RM_Code],$A938,T_SelfStock[WeekIndex],43),"")</f>
        <v/>
      </c>
      <c r="AV967">
        <f>IFERROR(SUMIFS(T_SelfStock[Self_Qty],T_SelfStock[RM_Code],$A938,T_SelfStock[WeekIndex],44),"")</f>
        <v/>
      </c>
      <c r="AW967">
        <f>IFERROR(SUMIFS(T_SelfStock[Self_Qty],T_SelfStock[RM_Code],$A938,T_SelfStock[WeekIndex],45),"")</f>
        <v/>
      </c>
      <c r="AX967">
        <f>IFERROR(SUMIFS(T_SelfStock[Self_Qty],T_SelfStock[RM_Code],$A938,T_SelfStock[WeekIndex],46),"")</f>
        <v/>
      </c>
      <c r="AY967">
        <f>IFERROR(SUMIFS(T_SelfStock[Self_Qty],T_SelfStock[RM_Code],$A938,T_SelfStock[WeekIndex],47),"")</f>
        <v/>
      </c>
      <c r="AZ967">
        <f>IFERROR(SUMIFS(T_SelfStock[Self_Qty],T_SelfStock[RM_Code],$A938,T_SelfStock[WeekIndex],48),"")</f>
        <v/>
      </c>
      <c r="BA967">
        <f>IFERROR(SUMIFS(T_SelfStock[Self_Qty],T_SelfStock[RM_Code],$A938,T_SelfStock[WeekIndex],49),"")</f>
        <v/>
      </c>
      <c r="BB967">
        <f>IFERROR(SUMIFS(T_SelfStock[Self_Qty],T_SelfStock[RM_Code],$A938,T_SelfStock[WeekIndex],50),"")</f>
        <v/>
      </c>
      <c r="BC967">
        <f>IFERROR(SUMIFS(T_SelfStock[Self_Qty],T_SelfStock[RM_Code],$A938,T_SelfStock[WeekIndex],51),"")</f>
        <v/>
      </c>
      <c r="BD967">
        <f>IFERROR(SUMIFS(T_SelfStock[Self_Qty],T_SelfStock[RM_Code],$A938,T_SelfStock[WeekIndex],52),"")</f>
        <v/>
      </c>
      <c r="BE967">
        <f>IFERROR(SUMIFS(T_SelfStock[Self_Qty],T_SelfStock[RM_Code],$A938,T_SelfStock[WeekIndex],53),"")</f>
        <v/>
      </c>
      <c r="BF967">
        <f>IFERROR(SUMIFS(T_SelfStock[Self_Qty],T_SelfStock[RM_Code],$A938,T_SelfStock[WeekIndex],54),"")</f>
        <v/>
      </c>
      <c r="BG967">
        <f>IFERROR(SUMIFS(T_SelfStock[Self_Qty],T_SelfStock[RM_Code],$A938,T_SelfStock[WeekIndex],55),"")</f>
        <v/>
      </c>
      <c r="BH967">
        <f>IFERROR(SUMIFS(T_SelfStock[Self_Qty],T_SelfStock[RM_Code],$A938,T_SelfStock[WeekIndex],56),"")</f>
        <v/>
      </c>
      <c r="BI967">
        <f>IFERROR(SUMIFS(T_SelfStock[Self_Qty],T_SelfStock[RM_Code],$A938,T_SelfStock[WeekIndex],57),"")</f>
        <v/>
      </c>
      <c r="BJ967">
        <f>IFERROR(SUMIFS(T_SelfStock[Self_Qty],T_SelfStock[RM_Code],$A938,T_SelfStock[WeekIndex],58),"")</f>
        <v/>
      </c>
      <c r="BK967">
        <f>IFERROR(SUMIFS(T_SelfStock[Self_Qty],T_SelfStock[RM_Code],$A938,T_SelfStock[WeekIndex],59),"")</f>
        <v/>
      </c>
      <c r="BL967">
        <f>IFERROR(SUMIFS(T_SelfStock[Self_Qty],T_SelfStock[RM_Code],$A938,T_SelfStock[WeekIndex],60),"")</f>
        <v/>
      </c>
      <c r="BM967">
        <f>IFERROR(SUMIFS(T_SelfStock[Self_Qty],T_SelfStock[RM_Code],$A938,T_SelfStock[WeekIndex],61),"")</f>
        <v/>
      </c>
      <c r="BN967">
        <f>IFERROR(SUMIFS(T_SelfStock[Self_Qty],T_SelfStock[RM_Code],$A938,T_SelfStock[WeekIndex],62),"")</f>
        <v/>
      </c>
      <c r="BO967">
        <f>IFERROR(SUMIFS(T_SelfStock[Self_Qty],T_SelfStock[RM_Code],$A938,T_SelfStock[WeekIndex],63),"")</f>
        <v/>
      </c>
      <c r="BP967">
        <f>IFERROR(SUMIFS(T_SelfStock[Self_Qty],T_SelfStock[RM_Code],$A938,T_SelfStock[WeekIndex],64),"")</f>
        <v/>
      </c>
      <c r="BQ967">
        <f>IFERROR(SUMIFS(T_SelfStock[Self_Qty],T_SelfStock[RM_Code],$A938,T_SelfStock[WeekIndex],65),"")</f>
        <v/>
      </c>
      <c r="BR967">
        <f>IFERROR(SUMIFS(T_SelfStock[Self_Qty],T_SelfStock[RM_Code],$A938,T_SelfStock[WeekIndex],66),"")</f>
        <v/>
      </c>
      <c r="BS967">
        <f>IFERROR(SUMIFS(T_SelfStock[Self_Qty],T_SelfStock[RM_Code],$A938,T_SelfStock[WeekIndex],67),"")</f>
        <v/>
      </c>
      <c r="BT967">
        <f>IFERROR(SUMIFS(T_SelfStock[Self_Qty],T_SelfStock[RM_Code],$A938,T_SelfStock[WeekIndex],68),"")</f>
        <v/>
      </c>
      <c r="BU967">
        <f>IFERROR(SUMIFS(T_SelfStock[Self_Qty],T_SelfStock[RM_Code],$A938,T_SelfStock[WeekIndex],69),"")</f>
        <v/>
      </c>
      <c r="BV967">
        <f>IFERROR(SUMIFS(T_SelfStock[Self_Qty],T_SelfStock[RM_Code],$A938,T_SelfStock[WeekIndex],70),"")</f>
        <v/>
      </c>
      <c r="BW967">
        <f>IFERROR(SUMIFS(T_SelfStock[Self_Qty],T_SelfStock[RM_Code],$A938,T_SelfStock[WeekIndex],71),"")</f>
        <v/>
      </c>
      <c r="BX967">
        <f>IFERROR(SUMIFS(T_SelfStock[Self_Qty],T_SelfStock[RM_Code],$A938,T_SelfStock[WeekIndex],72),"")</f>
        <v/>
      </c>
      <c r="BY967">
        <f>IFERROR(SUMIFS(T_SelfStock[Self_Qty],T_SelfStock[RM_Code],$A938,T_SelfStock[WeekIndex],73),"")</f>
        <v/>
      </c>
      <c r="BZ967">
        <f>IFERROR(SUMIFS(T_SelfStock[Self_Qty],T_SelfStock[RM_Code],$A938,T_SelfStock[WeekIndex],74),"")</f>
        <v/>
      </c>
      <c r="CA967">
        <f>IFERROR(SUMIFS(T_SelfStock[Self_Qty],T_SelfStock[RM_Code],$A938,T_SelfStock[WeekIndex],75),"")</f>
        <v/>
      </c>
      <c r="CB967">
        <f>IFERROR(SUMIFS(T_SelfStock[Self_Qty],T_SelfStock[RM_Code],$A938,T_SelfStock[WeekIndex],76),"")</f>
        <v/>
      </c>
      <c r="CC967">
        <f>IFERROR(SUMIFS(T_SelfStock[Self_Qty],T_SelfStock[RM_Code],$A938,T_SelfStock[WeekIndex],77),"")</f>
        <v/>
      </c>
      <c r="CD967">
        <f>IFERROR(SUMIFS(T_SelfStock[Self_Qty],T_SelfStock[RM_Code],$A938,T_SelfStock[WeekIndex],78),"")</f>
        <v/>
      </c>
      <c r="CE967">
        <f>IFERROR(SUMIFS(T_SelfStock[Self_Qty],T_SelfStock[RM_Code],$A938,T_SelfStock[WeekIndex],79),"")</f>
        <v/>
      </c>
      <c r="CF967">
        <f>IFERROR(SUMIFS(T_SelfStock[Self_Qty],T_SelfStock[RM_Code],$A938,T_SelfStock[WeekIndex],80),"")</f>
        <v/>
      </c>
      <c r="CG967">
        <f>IFERROR(SUMIFS(T_SelfStock[Self_Qty],T_SelfStock[RM_Code],$A938,T_SelfStock[WeekIndex],81),"")</f>
        <v/>
      </c>
      <c r="CH967">
        <f>IFERROR(SUMIFS(T_SelfStock[Self_Qty],T_SelfStock[RM_Code],$A938,T_SelfStock[WeekIndex],82),"")</f>
        <v/>
      </c>
      <c r="CI967">
        <f>IFERROR(SUMIFS(T_SelfStock[Self_Qty],T_SelfStock[RM_Code],$A938,T_SelfStock[WeekIndex],83),"")</f>
        <v/>
      </c>
      <c r="CJ967">
        <f>IFERROR(SUMIFS(T_SelfStock[Self_Qty],T_SelfStock[RM_Code],$A938,T_SelfStock[WeekIndex],84),"")</f>
        <v/>
      </c>
      <c r="CK967">
        <f>IFERROR(SUMIFS(T_SelfStock[Self_Qty],T_SelfStock[RM_Code],$A938,T_SelfStock[WeekIndex],85),"")</f>
        <v/>
      </c>
      <c r="CL967">
        <f>IFERROR(SUMIFS(T_SelfStock[Self_Qty],T_SelfStock[RM_Code],$A938,T_SelfStock[WeekIndex],86),"")</f>
        <v/>
      </c>
      <c r="CM967">
        <f>IFERROR(SUMIFS(T_SelfStock[Self_Qty],T_SelfStock[RM_Code],$A938,T_SelfStock[WeekIndex],87),"")</f>
        <v/>
      </c>
      <c r="CN967">
        <f>IFERROR(SUMIFS(T_SelfStock[Self_Qty],T_SelfStock[RM_Code],$A938,T_SelfStock[WeekIndex],88),"")</f>
        <v/>
      </c>
      <c r="CO967">
        <f>IFERROR(SUMIFS(T_SelfStock[Self_Qty],T_SelfStock[RM_Code],$A938,T_SelfStock[WeekIndex],89),"")</f>
        <v/>
      </c>
      <c r="CP967">
        <f>IFERROR(SUMIFS(T_SelfStock[Self_Qty],T_SelfStock[RM_Code],$A938,T_SelfStock[WeekIndex],90),"")</f>
        <v/>
      </c>
      <c r="CQ967">
        <f>IFERROR(SUMIFS(T_SelfStock[Self_Qty],T_SelfStock[RM_Code],$A938,T_SelfStock[WeekIndex],91),"")</f>
        <v/>
      </c>
      <c r="CR967">
        <f>IFERROR(SUMIFS(T_SelfStock[Self_Qty],T_SelfStock[RM_Code],$A938,T_SelfStock[WeekIndex],92),"")</f>
        <v/>
      </c>
      <c r="CS967">
        <f>IFERROR(SUMIFS(T_SelfStock[Self_Qty],T_SelfStock[RM_Code],$A938,T_SelfStock[WeekIndex],93),"")</f>
        <v/>
      </c>
      <c r="CT967">
        <f>IFERROR(SUMIFS(T_SelfStock[Self_Qty],T_SelfStock[RM_Code],$A938,T_SelfStock[WeekIndex],94),"")</f>
        <v/>
      </c>
      <c r="CU967">
        <f>IFERROR(SUMIFS(T_SelfStock[Self_Qty],T_SelfStock[RM_Code],$A938,T_SelfStock[WeekIndex],95),"")</f>
        <v/>
      </c>
      <c r="CV967">
        <f>IFERROR(SUMIFS(T_SelfStock[Self_Qty],T_SelfStock[RM_Code],$A938,T_SelfStock[WeekIndex],96),"")</f>
        <v/>
      </c>
      <c r="CW967">
        <f>IFERROR(SUMIFS(T_SelfStock[Self_Qty],T_SelfStock[RM_Code],$A938,T_SelfStock[WeekIndex],97),"")</f>
        <v/>
      </c>
      <c r="CX967">
        <f>IFERROR(SUMIFS(T_SelfStock[Self_Qty],T_SelfStock[RM_Code],$A938,T_SelfStock[WeekIndex],98),"")</f>
        <v/>
      </c>
      <c r="CY967">
        <f>IFERROR(SUMIFS(T_SelfStock[Self_Qty],T_SelfStock[RM_Code],$A938,T_SelfStock[WeekIndex],99),"")</f>
        <v/>
      </c>
      <c r="CZ967">
        <f>IFERROR(SUMIFS(T_SelfStock[Self_Qty],T_SelfStock[RM_Code],$A938,T_SelfStock[WeekIndex],100),"")</f>
        <v/>
      </c>
      <c r="DA967">
        <f>IFERROR(SUMIFS(T_SelfStock[Self_Qty],T_SelfStock[RM_Code],$A938,T_SelfStock[WeekIndex],101),"")</f>
        <v/>
      </c>
      <c r="DB967">
        <f>IFERROR(SUMIFS(T_SelfStock[Self_Qty],T_SelfStock[RM_Code],$A938,T_SelfStock[WeekIndex],102),"")</f>
        <v/>
      </c>
      <c r="DC967">
        <f>IFERROR(SUMIFS(T_SelfStock[Self_Qty],T_SelfStock[RM_Code],$A938,T_SelfStock[WeekIndex],103),"")</f>
        <v/>
      </c>
      <c r="DD967">
        <f>IFERROR(SUMIFS(T_SelfStock[Self_Qty],T_SelfStock[RM_Code],$A938,T_SelfStock[WeekIndex],104),"")</f>
        <v/>
      </c>
    </row>
    <row r="968">
      <c r="B968" s="4" t="inlineStr">
        <is>
          <t>合計在庫(週末時点,kg)</t>
        </is>
      </c>
      <c r="D968" s="24">
        <f>IFERROR(INDEX(E968:DD968,$F$1),"")</f>
        <v/>
      </c>
      <c r="E968">
        <f>'Grid_Stock'!B55</f>
        <v/>
      </c>
      <c r="F968">
        <f>'Grid_Stock'!C55</f>
        <v/>
      </c>
      <c r="G968">
        <f>'Grid_Stock'!D55</f>
        <v/>
      </c>
      <c r="H968">
        <f>'Grid_Stock'!E55</f>
        <v/>
      </c>
      <c r="I968">
        <f>'Grid_Stock'!F55</f>
        <v/>
      </c>
      <c r="J968">
        <f>'Grid_Stock'!G55</f>
        <v/>
      </c>
      <c r="K968">
        <f>'Grid_Stock'!H55</f>
        <v/>
      </c>
      <c r="L968">
        <f>'Grid_Stock'!I55</f>
        <v/>
      </c>
      <c r="M968">
        <f>'Grid_Stock'!J55</f>
        <v/>
      </c>
      <c r="N968">
        <f>'Grid_Stock'!K55</f>
        <v/>
      </c>
      <c r="O968">
        <f>'Grid_Stock'!L55</f>
        <v/>
      </c>
      <c r="P968">
        <f>'Grid_Stock'!M55</f>
        <v/>
      </c>
      <c r="Q968">
        <f>'Grid_Stock'!N55</f>
        <v/>
      </c>
      <c r="R968">
        <f>'Grid_Stock'!O55</f>
        <v/>
      </c>
      <c r="S968">
        <f>'Grid_Stock'!P55</f>
        <v/>
      </c>
      <c r="T968">
        <f>'Grid_Stock'!Q55</f>
        <v/>
      </c>
      <c r="U968">
        <f>'Grid_Stock'!R55</f>
        <v/>
      </c>
      <c r="V968">
        <f>'Grid_Stock'!S55</f>
        <v/>
      </c>
      <c r="W968">
        <f>'Grid_Stock'!T55</f>
        <v/>
      </c>
      <c r="X968">
        <f>'Grid_Stock'!U55</f>
        <v/>
      </c>
      <c r="Y968">
        <f>'Grid_Stock'!V55</f>
        <v/>
      </c>
      <c r="Z968">
        <f>'Grid_Stock'!W55</f>
        <v/>
      </c>
      <c r="AA968">
        <f>'Grid_Stock'!X55</f>
        <v/>
      </c>
      <c r="AB968">
        <f>'Grid_Stock'!Y55</f>
        <v/>
      </c>
      <c r="AC968">
        <f>'Grid_Stock'!Z55</f>
        <v/>
      </c>
      <c r="AD968">
        <f>'Grid_Stock'!AA55</f>
        <v/>
      </c>
      <c r="AE968">
        <f>'Grid_Stock'!AB55</f>
        <v/>
      </c>
      <c r="AF968">
        <f>'Grid_Stock'!AC55</f>
        <v/>
      </c>
      <c r="AG968">
        <f>'Grid_Stock'!AD55</f>
        <v/>
      </c>
      <c r="AH968">
        <f>'Grid_Stock'!AE55</f>
        <v/>
      </c>
      <c r="AI968">
        <f>'Grid_Stock'!AF55</f>
        <v/>
      </c>
      <c r="AJ968">
        <f>'Grid_Stock'!AG55</f>
        <v/>
      </c>
      <c r="AK968">
        <f>'Grid_Stock'!AH55</f>
        <v/>
      </c>
      <c r="AL968">
        <f>'Grid_Stock'!AI55</f>
        <v/>
      </c>
      <c r="AM968">
        <f>'Grid_Stock'!AJ55</f>
        <v/>
      </c>
      <c r="AN968">
        <f>'Grid_Stock'!AK55</f>
        <v/>
      </c>
      <c r="AO968">
        <f>'Grid_Stock'!AL55</f>
        <v/>
      </c>
      <c r="AP968">
        <f>'Grid_Stock'!AM55</f>
        <v/>
      </c>
      <c r="AQ968">
        <f>'Grid_Stock'!AN55</f>
        <v/>
      </c>
      <c r="AR968">
        <f>'Grid_Stock'!AO55</f>
        <v/>
      </c>
      <c r="AS968">
        <f>'Grid_Stock'!AP55</f>
        <v/>
      </c>
      <c r="AT968">
        <f>'Grid_Stock'!AQ55</f>
        <v/>
      </c>
      <c r="AU968">
        <f>'Grid_Stock'!AR55</f>
        <v/>
      </c>
      <c r="AV968">
        <f>'Grid_Stock'!AS55</f>
        <v/>
      </c>
      <c r="AW968">
        <f>'Grid_Stock'!AT55</f>
        <v/>
      </c>
      <c r="AX968">
        <f>'Grid_Stock'!AU55</f>
        <v/>
      </c>
      <c r="AY968">
        <f>'Grid_Stock'!AV55</f>
        <v/>
      </c>
      <c r="AZ968">
        <f>'Grid_Stock'!AW55</f>
        <v/>
      </c>
      <c r="BA968">
        <f>'Grid_Stock'!AX55</f>
        <v/>
      </c>
      <c r="BB968">
        <f>'Grid_Stock'!AY55</f>
        <v/>
      </c>
      <c r="BC968">
        <f>'Grid_Stock'!AZ55</f>
        <v/>
      </c>
      <c r="BD968">
        <f>'Grid_Stock'!BA55</f>
        <v/>
      </c>
      <c r="BE968">
        <f>'Grid_Stock'!BB55</f>
        <v/>
      </c>
      <c r="BF968">
        <f>'Grid_Stock'!BC55</f>
        <v/>
      </c>
      <c r="BG968">
        <f>'Grid_Stock'!BD55</f>
        <v/>
      </c>
      <c r="BH968">
        <f>'Grid_Stock'!BE55</f>
        <v/>
      </c>
      <c r="BI968">
        <f>'Grid_Stock'!BF55</f>
        <v/>
      </c>
      <c r="BJ968">
        <f>'Grid_Stock'!BG55</f>
        <v/>
      </c>
      <c r="BK968">
        <f>'Grid_Stock'!BH55</f>
        <v/>
      </c>
      <c r="BL968">
        <f>'Grid_Stock'!BI55</f>
        <v/>
      </c>
      <c r="BM968">
        <f>'Grid_Stock'!BJ55</f>
        <v/>
      </c>
      <c r="BN968">
        <f>'Grid_Stock'!BK55</f>
        <v/>
      </c>
      <c r="BO968">
        <f>'Grid_Stock'!BL55</f>
        <v/>
      </c>
      <c r="BP968">
        <f>'Grid_Stock'!BM55</f>
        <v/>
      </c>
      <c r="BQ968">
        <f>'Grid_Stock'!BN55</f>
        <v/>
      </c>
      <c r="BR968">
        <f>'Grid_Stock'!BO55</f>
        <v/>
      </c>
      <c r="BS968">
        <f>'Grid_Stock'!BP55</f>
        <v/>
      </c>
      <c r="BT968">
        <f>'Grid_Stock'!BQ55</f>
        <v/>
      </c>
      <c r="BU968">
        <f>'Grid_Stock'!BR55</f>
        <v/>
      </c>
      <c r="BV968">
        <f>'Grid_Stock'!BS55</f>
        <v/>
      </c>
      <c r="BW968">
        <f>'Grid_Stock'!BT55</f>
        <v/>
      </c>
      <c r="BX968">
        <f>'Grid_Stock'!BU55</f>
        <v/>
      </c>
      <c r="BY968">
        <f>'Grid_Stock'!BV55</f>
        <v/>
      </c>
      <c r="BZ968">
        <f>'Grid_Stock'!BW55</f>
        <v/>
      </c>
      <c r="CA968">
        <f>'Grid_Stock'!BX55</f>
        <v/>
      </c>
      <c r="CB968">
        <f>'Grid_Stock'!BY55</f>
        <v/>
      </c>
      <c r="CC968">
        <f>'Grid_Stock'!BZ55</f>
        <v/>
      </c>
      <c r="CD968">
        <f>'Grid_Stock'!CA55</f>
        <v/>
      </c>
      <c r="CE968">
        <f>'Grid_Stock'!CB55</f>
        <v/>
      </c>
      <c r="CF968">
        <f>'Grid_Stock'!CC55</f>
        <v/>
      </c>
      <c r="CG968">
        <f>'Grid_Stock'!CD55</f>
        <v/>
      </c>
      <c r="CH968">
        <f>'Grid_Stock'!CE55</f>
        <v/>
      </c>
      <c r="CI968">
        <f>'Grid_Stock'!CF55</f>
        <v/>
      </c>
      <c r="CJ968">
        <f>'Grid_Stock'!CG55</f>
        <v/>
      </c>
      <c r="CK968">
        <f>'Grid_Stock'!CH55</f>
        <v/>
      </c>
      <c r="CL968">
        <f>'Grid_Stock'!CI55</f>
        <v/>
      </c>
      <c r="CM968">
        <f>'Grid_Stock'!CJ55</f>
        <v/>
      </c>
      <c r="CN968">
        <f>'Grid_Stock'!CK55</f>
        <v/>
      </c>
      <c r="CO968">
        <f>'Grid_Stock'!CL55</f>
        <v/>
      </c>
      <c r="CP968">
        <f>'Grid_Stock'!CM55</f>
        <v/>
      </c>
      <c r="CQ968">
        <f>'Grid_Stock'!CN55</f>
        <v/>
      </c>
      <c r="CR968">
        <f>'Grid_Stock'!CO55</f>
        <v/>
      </c>
      <c r="CS968">
        <f>'Grid_Stock'!CP55</f>
        <v/>
      </c>
      <c r="CT968">
        <f>'Grid_Stock'!CQ55</f>
        <v/>
      </c>
      <c r="CU968">
        <f>'Grid_Stock'!CR55</f>
        <v/>
      </c>
      <c r="CV968">
        <f>'Grid_Stock'!CS55</f>
        <v/>
      </c>
      <c r="CW968">
        <f>'Grid_Stock'!CT55</f>
        <v/>
      </c>
      <c r="CX968">
        <f>'Grid_Stock'!CU55</f>
        <v/>
      </c>
      <c r="CY968">
        <f>'Grid_Stock'!CV55</f>
        <v/>
      </c>
      <c r="CZ968">
        <f>'Grid_Stock'!CW55</f>
        <v/>
      </c>
      <c r="DA968">
        <f>'Grid_Stock'!CX55</f>
        <v/>
      </c>
      <c r="DB968">
        <f>'Grid_Stock'!CY55</f>
        <v/>
      </c>
      <c r="DC968">
        <f>'Grid_Stock'!CZ55</f>
        <v/>
      </c>
      <c r="DD968">
        <f>'Grid_Stock'!DA55</f>
        <v/>
      </c>
    </row>
    <row r="969">
      <c r="B969" s="25" t="inlineStr">
        <is>
          <t>（発注の目安はDashboardの基準在庫[下限/上限]と色分けを参照）</t>
        </is>
      </c>
    </row>
    <row r="971">
      <c r="A971" s="21" t="inlineStr">
        <is>
          <t>0JN</t>
        </is>
      </c>
      <c r="B971" s="21" t="inlineStr">
        <is>
          <t>N30S/10 : 11R-11 (F2090) Poland</t>
        </is>
      </c>
      <c r="C971" s="22" t="n"/>
      <c r="D971" s="21" t="n"/>
      <c r="E971" s="21" t="n"/>
      <c r="F971" s="21" t="n"/>
      <c r="G971" s="21" t="n"/>
      <c r="H971" s="2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  <c r="AA971" s="21" t="n"/>
      <c r="AB971" s="21" t="n"/>
      <c r="AC971" s="21" t="n"/>
      <c r="AD971" s="21" t="n"/>
      <c r="AE971" s="21" t="n"/>
      <c r="AF971" s="21" t="n"/>
      <c r="AG971" s="21" t="n"/>
      <c r="AH971" s="21" t="n"/>
      <c r="AI971" s="21" t="n"/>
      <c r="AJ971" s="21" t="n"/>
      <c r="AK971" s="21" t="n"/>
      <c r="AL971" s="21" t="n"/>
      <c r="AM971" s="21" t="n"/>
      <c r="AN971" s="21" t="n"/>
      <c r="AO971" s="21" t="n"/>
      <c r="AP971" s="21" t="n"/>
      <c r="AQ971" s="21" t="n"/>
      <c r="AR971" s="21" t="n"/>
      <c r="AS971" s="21" t="n"/>
      <c r="AT971" s="21" t="n"/>
      <c r="AU971" s="21" t="n"/>
      <c r="AV971" s="21" t="n"/>
      <c r="AW971" s="21" t="n"/>
      <c r="AX971" s="21" t="n"/>
      <c r="AY971" s="21" t="n"/>
      <c r="AZ971" s="21" t="n"/>
      <c r="BA971" s="21" t="n"/>
      <c r="BB971" s="21" t="n"/>
      <c r="BC971" s="21" t="n"/>
      <c r="BD971" s="21" t="n"/>
      <c r="BE971" s="21" t="n"/>
      <c r="BF971" s="21" t="n"/>
      <c r="BG971" s="21" t="n"/>
      <c r="BH971" s="21" t="n"/>
      <c r="BI971" s="21" t="n"/>
      <c r="BJ971" s="21" t="n"/>
      <c r="BK971" s="21" t="n"/>
      <c r="BL971" s="21" t="n"/>
      <c r="BM971" s="21" t="n"/>
      <c r="BN971" s="21" t="n"/>
      <c r="BO971" s="21" t="n"/>
      <c r="BP971" s="21" t="n"/>
      <c r="BQ971" s="21" t="n"/>
      <c r="BR971" s="21" t="n"/>
      <c r="BS971" s="21" t="n"/>
      <c r="BT971" s="21" t="n"/>
      <c r="BU971" s="21" t="n"/>
      <c r="BV971" s="21" t="n"/>
      <c r="BW971" s="21" t="n"/>
      <c r="BX971" s="21" t="n"/>
      <c r="BY971" s="21" t="n"/>
      <c r="BZ971" s="21" t="n"/>
      <c r="CA971" s="21" t="n"/>
      <c r="CB971" s="21" t="n"/>
      <c r="CC971" s="21" t="n"/>
      <c r="CD971" s="21" t="n"/>
      <c r="CE971" s="21" t="n"/>
      <c r="CF971" s="21" t="n"/>
      <c r="CG971" s="21" t="n"/>
      <c r="CH971" s="21" t="n"/>
      <c r="CI971" s="21" t="n"/>
      <c r="CJ971" s="21" t="n"/>
      <c r="CK971" s="21" t="n"/>
      <c r="CL971" s="21" t="n"/>
      <c r="CM971" s="21" t="n"/>
      <c r="CN971" s="21" t="n"/>
      <c r="CO971" s="21" t="n"/>
      <c r="CP971" s="21" t="n"/>
      <c r="CQ971" s="21" t="n"/>
      <c r="CR971" s="21" t="n"/>
      <c r="CS971" s="21" t="n"/>
      <c r="CT971" s="21" t="n"/>
      <c r="CU971" s="21" t="n"/>
      <c r="CV971" s="21" t="n"/>
      <c r="CW971" s="21" t="n"/>
      <c r="CX971" s="21" t="n"/>
      <c r="CY971" s="21" t="n"/>
      <c r="CZ971" s="21" t="n"/>
      <c r="DA971" s="21" t="n"/>
      <c r="DB971" s="21" t="n"/>
      <c r="DC971" s="21" t="n"/>
      <c r="DD971" s="21" t="n"/>
    </row>
    <row r="972">
      <c r="B972" t="inlineStr">
        <is>
          <t>TSP-219</t>
        </is>
      </c>
      <c r="C972" t="inlineStr">
        <is>
          <t>No. of batches</t>
        </is>
      </c>
      <c r="D972">
        <f>IFERROR(INDEX(E972:DD972,$F$1),"")</f>
        <v/>
      </c>
      <c r="E972">
        <f>IFERROR(INDEX(PP_Grid[#Data],$DE972,2),0)</f>
        <v/>
      </c>
      <c r="F972">
        <f>IFERROR(INDEX(PP_Grid[#Data],$DE972,3),0)</f>
        <v/>
      </c>
      <c r="G972">
        <f>IFERROR(INDEX(PP_Grid[#Data],$DE972,4),0)</f>
        <v/>
      </c>
      <c r="H972">
        <f>IFERROR(INDEX(PP_Grid[#Data],$DE972,5),0)</f>
        <v/>
      </c>
      <c r="I972">
        <f>IFERROR(INDEX(PP_Grid[#Data],$DE972,6),0)</f>
        <v/>
      </c>
      <c r="J972">
        <f>IFERROR(INDEX(PP_Grid[#Data],$DE972,7),0)</f>
        <v/>
      </c>
      <c r="K972">
        <f>IFERROR(INDEX(PP_Grid[#Data],$DE972,8),0)</f>
        <v/>
      </c>
      <c r="L972">
        <f>IFERROR(INDEX(PP_Grid[#Data],$DE972,9),0)</f>
        <v/>
      </c>
      <c r="M972">
        <f>IFERROR(INDEX(PP_Grid[#Data],$DE972,10),0)</f>
        <v/>
      </c>
      <c r="N972">
        <f>IFERROR(INDEX(PP_Grid[#Data],$DE972,11),0)</f>
        <v/>
      </c>
      <c r="O972">
        <f>IFERROR(INDEX(PP_Grid[#Data],$DE972,12),0)</f>
        <v/>
      </c>
      <c r="P972">
        <f>IFERROR(INDEX(PP_Grid[#Data],$DE972,13),0)</f>
        <v/>
      </c>
      <c r="Q972">
        <f>IFERROR(INDEX(PP_Grid[#Data],$DE972,14),0)</f>
        <v/>
      </c>
      <c r="R972">
        <f>IFERROR(INDEX(PP_Grid[#Data],$DE972,15),0)</f>
        <v/>
      </c>
      <c r="S972">
        <f>IFERROR(INDEX(PP_Grid[#Data],$DE972,16),0)</f>
        <v/>
      </c>
      <c r="T972">
        <f>IFERROR(INDEX(PP_Grid[#Data],$DE972,17),0)</f>
        <v/>
      </c>
      <c r="U972">
        <f>IFERROR(INDEX(PP_Grid[#Data],$DE972,18),0)</f>
        <v/>
      </c>
      <c r="V972">
        <f>IFERROR(INDEX(PP_Grid[#Data],$DE972,19),0)</f>
        <v/>
      </c>
      <c r="W972">
        <f>IFERROR(INDEX(PP_Grid[#Data],$DE972,20),0)</f>
        <v/>
      </c>
      <c r="X972">
        <f>IFERROR(INDEX(PP_Grid[#Data],$DE972,21),0)</f>
        <v/>
      </c>
      <c r="Y972">
        <f>IFERROR(INDEX(PP_Grid[#Data],$DE972,22),0)</f>
        <v/>
      </c>
      <c r="Z972">
        <f>IFERROR(INDEX(PP_Grid[#Data],$DE972,23),0)</f>
        <v/>
      </c>
      <c r="AA972">
        <f>IFERROR(INDEX(PP_Grid[#Data],$DE972,24),0)</f>
        <v/>
      </c>
      <c r="AB972">
        <f>IFERROR(INDEX(PP_Grid[#Data],$DE972,25),0)</f>
        <v/>
      </c>
      <c r="AC972">
        <f>IFERROR(INDEX(PP_Grid[#Data],$DE972,26),0)</f>
        <v/>
      </c>
      <c r="AD972">
        <f>IFERROR(INDEX(PP_Grid[#Data],$DE972,27),0)</f>
        <v/>
      </c>
      <c r="AE972">
        <f>IFERROR(INDEX(PP_Grid[#Data],$DE972,28),0)</f>
        <v/>
      </c>
      <c r="AF972">
        <f>IFERROR(INDEX(PP_Grid[#Data],$DE972,29),0)</f>
        <v/>
      </c>
      <c r="AG972">
        <f>IFERROR(INDEX(PP_Grid[#Data],$DE972,30),0)</f>
        <v/>
      </c>
      <c r="AH972">
        <f>IFERROR(INDEX(PP_Grid[#Data],$DE972,31),0)</f>
        <v/>
      </c>
      <c r="AI972">
        <f>IFERROR(INDEX(PP_Grid[#Data],$DE972,32),0)</f>
        <v/>
      </c>
      <c r="AJ972">
        <f>IFERROR(INDEX(PP_Grid[#Data],$DE972,33),0)</f>
        <v/>
      </c>
      <c r="AK972">
        <f>IFERROR(INDEX(PP_Grid[#Data],$DE972,34),0)</f>
        <v/>
      </c>
      <c r="AL972">
        <f>IFERROR(INDEX(PP_Grid[#Data],$DE972,35),0)</f>
        <v/>
      </c>
      <c r="AM972">
        <f>IFERROR(INDEX(PP_Grid[#Data],$DE972,36),0)</f>
        <v/>
      </c>
      <c r="AN972">
        <f>IFERROR(INDEX(PP_Grid[#Data],$DE972,37),0)</f>
        <v/>
      </c>
      <c r="AO972">
        <f>IFERROR(INDEX(PP_Grid[#Data],$DE972,38),0)</f>
        <v/>
      </c>
      <c r="AP972">
        <f>IFERROR(INDEX(PP_Grid[#Data],$DE972,39),0)</f>
        <v/>
      </c>
      <c r="AQ972">
        <f>IFERROR(INDEX(PP_Grid[#Data],$DE972,40),0)</f>
        <v/>
      </c>
      <c r="AR972">
        <f>IFERROR(INDEX(PP_Grid[#Data],$DE972,41),0)</f>
        <v/>
      </c>
      <c r="AS972">
        <f>IFERROR(INDEX(PP_Grid[#Data],$DE972,42),0)</f>
        <v/>
      </c>
      <c r="AT972">
        <f>IFERROR(INDEX(PP_Grid[#Data],$DE972,43),0)</f>
        <v/>
      </c>
      <c r="AU972">
        <f>IFERROR(INDEX(PP_Grid[#Data],$DE972,44),0)</f>
        <v/>
      </c>
      <c r="AV972">
        <f>IFERROR(INDEX(PP_Grid[#Data],$DE972,45),0)</f>
        <v/>
      </c>
      <c r="AW972">
        <f>IFERROR(INDEX(PP_Grid[#Data],$DE972,46),0)</f>
        <v/>
      </c>
      <c r="AX972">
        <f>IFERROR(INDEX(PP_Grid[#Data],$DE972,47),0)</f>
        <v/>
      </c>
      <c r="AY972">
        <f>IFERROR(INDEX(PP_Grid[#Data],$DE972,48),0)</f>
        <v/>
      </c>
      <c r="AZ972">
        <f>IFERROR(INDEX(PP_Grid[#Data],$DE972,49),0)</f>
        <v/>
      </c>
      <c r="BA972">
        <f>IFERROR(INDEX(PP_Grid[#Data],$DE972,50),0)</f>
        <v/>
      </c>
      <c r="BB972">
        <f>IFERROR(INDEX(PP_Grid[#Data],$DE972,51),0)</f>
        <v/>
      </c>
      <c r="BC972">
        <f>IFERROR(INDEX(PP_Grid[#Data],$DE972,52),0)</f>
        <v/>
      </c>
      <c r="BD972">
        <f>IFERROR(INDEX(PP_Grid[#Data],$DE972,53),0)</f>
        <v/>
      </c>
      <c r="BE972">
        <f>IFERROR(INDEX(PP_Grid[#Data],$DE972,54),0)</f>
        <v/>
      </c>
      <c r="BF972">
        <f>IFERROR(INDEX(PP_Grid[#Data],$DE972,55),0)</f>
        <v/>
      </c>
      <c r="BG972">
        <f>IFERROR(INDEX(PP_Grid[#Data],$DE972,56),0)</f>
        <v/>
      </c>
      <c r="BH972">
        <f>IFERROR(INDEX(PP_Grid[#Data],$DE972,57),0)</f>
        <v/>
      </c>
      <c r="BI972">
        <f>IFERROR(INDEX(PP_Grid[#Data],$DE972,58),0)</f>
        <v/>
      </c>
      <c r="BJ972">
        <f>IFERROR(INDEX(PP_Grid[#Data],$DE972,59),0)</f>
        <v/>
      </c>
      <c r="BK972">
        <f>IFERROR(INDEX(PP_Grid[#Data],$DE972,60),0)</f>
        <v/>
      </c>
      <c r="BL972">
        <f>IFERROR(INDEX(PP_Grid[#Data],$DE972,61),0)</f>
        <v/>
      </c>
      <c r="BM972">
        <f>IFERROR(INDEX(PP_Grid[#Data],$DE972,62),0)</f>
        <v/>
      </c>
      <c r="BN972">
        <f>IFERROR(INDEX(PP_Grid[#Data],$DE972,63),0)</f>
        <v/>
      </c>
      <c r="BO972">
        <f>IFERROR(INDEX(PP_Grid[#Data],$DE972,64),0)</f>
        <v/>
      </c>
      <c r="BP972">
        <f>IFERROR(INDEX(PP_Grid[#Data],$DE972,65),0)</f>
        <v/>
      </c>
      <c r="BQ972">
        <f>IFERROR(INDEX(PP_Grid[#Data],$DE972,66),0)</f>
        <v/>
      </c>
      <c r="BR972">
        <f>IFERROR(INDEX(PP_Grid[#Data],$DE972,67),0)</f>
        <v/>
      </c>
      <c r="BS972">
        <f>IFERROR(INDEX(PP_Grid[#Data],$DE972,68),0)</f>
        <v/>
      </c>
      <c r="BT972">
        <f>IFERROR(INDEX(PP_Grid[#Data],$DE972,69),0)</f>
        <v/>
      </c>
      <c r="BU972">
        <f>IFERROR(INDEX(PP_Grid[#Data],$DE972,70),0)</f>
        <v/>
      </c>
      <c r="BV972">
        <f>IFERROR(INDEX(PP_Grid[#Data],$DE972,71),0)</f>
        <v/>
      </c>
      <c r="BW972">
        <f>IFERROR(INDEX(PP_Grid[#Data],$DE972,72),0)</f>
        <v/>
      </c>
      <c r="BX972">
        <f>IFERROR(INDEX(PP_Grid[#Data],$DE972,73),0)</f>
        <v/>
      </c>
      <c r="BY972">
        <f>IFERROR(INDEX(PP_Grid[#Data],$DE972,74),0)</f>
        <v/>
      </c>
      <c r="BZ972">
        <f>IFERROR(INDEX(PP_Grid[#Data],$DE972,75),0)</f>
        <v/>
      </c>
      <c r="CA972">
        <f>IFERROR(INDEX(PP_Grid[#Data],$DE972,76),0)</f>
        <v/>
      </c>
      <c r="CB972">
        <f>IFERROR(INDEX(PP_Grid[#Data],$DE972,77),0)</f>
        <v/>
      </c>
      <c r="CC972">
        <f>IFERROR(INDEX(PP_Grid[#Data],$DE972,78),0)</f>
        <v/>
      </c>
      <c r="CD972">
        <f>IFERROR(INDEX(PP_Grid[#Data],$DE972,79),0)</f>
        <v/>
      </c>
      <c r="CE972">
        <f>IFERROR(INDEX(PP_Grid[#Data],$DE972,80),0)</f>
        <v/>
      </c>
      <c r="CF972">
        <f>IFERROR(INDEX(PP_Grid[#Data],$DE972,81),0)</f>
        <v/>
      </c>
      <c r="CG972">
        <f>IFERROR(INDEX(PP_Grid[#Data],$DE972,82),0)</f>
        <v/>
      </c>
      <c r="CH972">
        <f>IFERROR(INDEX(PP_Grid[#Data],$DE972,83),0)</f>
        <v/>
      </c>
      <c r="CI972">
        <f>IFERROR(INDEX(PP_Grid[#Data],$DE972,84),0)</f>
        <v/>
      </c>
      <c r="CJ972">
        <f>IFERROR(INDEX(PP_Grid[#Data],$DE972,85),0)</f>
        <v/>
      </c>
      <c r="CK972">
        <f>IFERROR(INDEX(PP_Grid[#Data],$DE972,86),0)</f>
        <v/>
      </c>
      <c r="CL972">
        <f>IFERROR(INDEX(PP_Grid[#Data],$DE972,87),0)</f>
        <v/>
      </c>
      <c r="CM972">
        <f>IFERROR(INDEX(PP_Grid[#Data],$DE972,88),0)</f>
        <v/>
      </c>
      <c r="CN972">
        <f>IFERROR(INDEX(PP_Grid[#Data],$DE972,89),0)</f>
        <v/>
      </c>
      <c r="CO972">
        <f>IFERROR(INDEX(PP_Grid[#Data],$DE972,90),0)</f>
        <v/>
      </c>
      <c r="CP972">
        <f>IFERROR(INDEX(PP_Grid[#Data],$DE972,91),0)</f>
        <v/>
      </c>
      <c r="CQ972">
        <f>IFERROR(INDEX(PP_Grid[#Data],$DE972,92),0)</f>
        <v/>
      </c>
      <c r="CR972">
        <f>IFERROR(INDEX(PP_Grid[#Data],$DE972,93),0)</f>
        <v/>
      </c>
      <c r="CS972">
        <f>IFERROR(INDEX(PP_Grid[#Data],$DE972,94),0)</f>
        <v/>
      </c>
      <c r="CT972">
        <f>IFERROR(INDEX(PP_Grid[#Data],$DE972,95),0)</f>
        <v/>
      </c>
      <c r="CU972">
        <f>IFERROR(INDEX(PP_Grid[#Data],$DE972,96),0)</f>
        <v/>
      </c>
      <c r="CV972">
        <f>IFERROR(INDEX(PP_Grid[#Data],$DE972,97),0)</f>
        <v/>
      </c>
      <c r="CW972">
        <f>IFERROR(INDEX(PP_Grid[#Data],$DE972,98),0)</f>
        <v/>
      </c>
      <c r="CX972">
        <f>IFERROR(INDEX(PP_Grid[#Data],$DE972,99),0)</f>
        <v/>
      </c>
      <c r="CY972">
        <f>IFERROR(INDEX(PP_Grid[#Data],$DE972,100),0)</f>
        <v/>
      </c>
      <c r="CZ972">
        <f>IFERROR(INDEX(PP_Grid[#Data],$DE972,101),0)</f>
        <v/>
      </c>
      <c r="DA972">
        <f>IFERROR(INDEX(PP_Grid[#Data],$DE972,102),0)</f>
        <v/>
      </c>
      <c r="DB972">
        <f>IFERROR(INDEX(PP_Grid[#Data],$DE972,103),0)</f>
        <v/>
      </c>
      <c r="DC972">
        <f>IFERROR(INDEX(PP_Grid[#Data],$DE972,104),0)</f>
        <v/>
      </c>
      <c r="DD972">
        <f>IFERROR(INDEX(PP_Grid[#Data],$DE972,105),0)</f>
        <v/>
      </c>
      <c r="DE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SUMIFS(M_BOM[RM_Qty_Per_Batch],M_BOM[Intermediate],$B972,M_BOM[RM_Code],$A971)</f>
        <v/>
      </c>
      <c r="D973">
        <f>IFERROR(INDEX(E973:DD973,$F$1),"")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  <c r="DD973">
        <f>$C973*DD972</f>
        <v/>
      </c>
    </row>
    <row r="974">
      <c r="B974" t="inlineStr">
        <is>
          <t>TVS-833</t>
        </is>
      </c>
      <c r="C974" t="inlineStr">
        <is>
          <t>No. of batches</t>
        </is>
      </c>
      <c r="D974">
        <f>IFERROR(INDEX(E974:DD974,$F$1),"")</f>
        <v/>
      </c>
      <c r="E974">
        <f>IFERROR(INDEX(PP_Grid[#Data],$DE974,2),0)</f>
        <v/>
      </c>
      <c r="F974">
        <f>IFERROR(INDEX(PP_Grid[#Data],$DE974,3),0)</f>
        <v/>
      </c>
      <c r="G974">
        <f>IFERROR(INDEX(PP_Grid[#Data],$DE974,4),0)</f>
        <v/>
      </c>
      <c r="H974">
        <f>IFERROR(INDEX(PP_Grid[#Data],$DE974,5),0)</f>
        <v/>
      </c>
      <c r="I974">
        <f>IFERROR(INDEX(PP_Grid[#Data],$DE974,6),0)</f>
        <v/>
      </c>
      <c r="J974">
        <f>IFERROR(INDEX(PP_Grid[#Data],$DE974,7),0)</f>
        <v/>
      </c>
      <c r="K974">
        <f>IFERROR(INDEX(PP_Grid[#Data],$DE974,8),0)</f>
        <v/>
      </c>
      <c r="L974">
        <f>IFERROR(INDEX(PP_Grid[#Data],$DE974,9),0)</f>
        <v/>
      </c>
      <c r="M974">
        <f>IFERROR(INDEX(PP_Grid[#Data],$DE974,10),0)</f>
        <v/>
      </c>
      <c r="N974">
        <f>IFERROR(INDEX(PP_Grid[#Data],$DE974,11),0)</f>
        <v/>
      </c>
      <c r="O974">
        <f>IFERROR(INDEX(PP_Grid[#Data],$DE974,12),0)</f>
        <v/>
      </c>
      <c r="P974">
        <f>IFERROR(INDEX(PP_Grid[#Data],$DE974,13),0)</f>
        <v/>
      </c>
      <c r="Q974">
        <f>IFERROR(INDEX(PP_Grid[#Data],$DE974,14),0)</f>
        <v/>
      </c>
      <c r="R974">
        <f>IFERROR(INDEX(PP_Grid[#Data],$DE974,15),0)</f>
        <v/>
      </c>
      <c r="S974">
        <f>IFERROR(INDEX(PP_Grid[#Data],$DE974,16),0)</f>
        <v/>
      </c>
      <c r="T974">
        <f>IFERROR(INDEX(PP_Grid[#Data],$DE974,17),0)</f>
        <v/>
      </c>
      <c r="U974">
        <f>IFERROR(INDEX(PP_Grid[#Data],$DE974,18),0)</f>
        <v/>
      </c>
      <c r="V974">
        <f>IFERROR(INDEX(PP_Grid[#Data],$DE974,19),0)</f>
        <v/>
      </c>
      <c r="W974">
        <f>IFERROR(INDEX(PP_Grid[#Data],$DE974,20),0)</f>
        <v/>
      </c>
      <c r="X974">
        <f>IFERROR(INDEX(PP_Grid[#Data],$DE974,21),0)</f>
        <v/>
      </c>
      <c r="Y974">
        <f>IFERROR(INDEX(PP_Grid[#Data],$DE974,22),0)</f>
        <v/>
      </c>
      <c r="Z974">
        <f>IFERROR(INDEX(PP_Grid[#Data],$DE974,23),0)</f>
        <v/>
      </c>
      <c r="AA974">
        <f>IFERROR(INDEX(PP_Grid[#Data],$DE974,24),0)</f>
        <v/>
      </c>
      <c r="AB974">
        <f>IFERROR(INDEX(PP_Grid[#Data],$DE974,25),0)</f>
        <v/>
      </c>
      <c r="AC974">
        <f>IFERROR(INDEX(PP_Grid[#Data],$DE974,26),0)</f>
        <v/>
      </c>
      <c r="AD974">
        <f>IFERROR(INDEX(PP_Grid[#Data],$DE974,27),0)</f>
        <v/>
      </c>
      <c r="AE974">
        <f>IFERROR(INDEX(PP_Grid[#Data],$DE974,28),0)</f>
        <v/>
      </c>
      <c r="AF974">
        <f>IFERROR(INDEX(PP_Grid[#Data],$DE974,29),0)</f>
        <v/>
      </c>
      <c r="AG974">
        <f>IFERROR(INDEX(PP_Grid[#Data],$DE974,30),0)</f>
        <v/>
      </c>
      <c r="AH974">
        <f>IFERROR(INDEX(PP_Grid[#Data],$DE974,31),0)</f>
        <v/>
      </c>
      <c r="AI974">
        <f>IFERROR(INDEX(PP_Grid[#Data],$DE974,32),0)</f>
        <v/>
      </c>
      <c r="AJ974">
        <f>IFERROR(INDEX(PP_Grid[#Data],$DE974,33),0)</f>
        <v/>
      </c>
      <c r="AK974">
        <f>IFERROR(INDEX(PP_Grid[#Data],$DE974,34),0)</f>
        <v/>
      </c>
      <c r="AL974">
        <f>IFERROR(INDEX(PP_Grid[#Data],$DE974,35),0)</f>
        <v/>
      </c>
      <c r="AM974">
        <f>IFERROR(INDEX(PP_Grid[#Data],$DE974,36),0)</f>
        <v/>
      </c>
      <c r="AN974">
        <f>IFERROR(INDEX(PP_Grid[#Data],$DE974,37),0)</f>
        <v/>
      </c>
      <c r="AO974">
        <f>IFERROR(INDEX(PP_Grid[#Data],$DE974,38),0)</f>
        <v/>
      </c>
      <c r="AP974">
        <f>IFERROR(INDEX(PP_Grid[#Data],$DE974,39),0)</f>
        <v/>
      </c>
      <c r="AQ974">
        <f>IFERROR(INDEX(PP_Grid[#Data],$DE974,40),0)</f>
        <v/>
      </c>
      <c r="AR974">
        <f>IFERROR(INDEX(PP_Grid[#Data],$DE974,41),0)</f>
        <v/>
      </c>
      <c r="AS974">
        <f>IFERROR(INDEX(PP_Grid[#Data],$DE974,42),0)</f>
        <v/>
      </c>
      <c r="AT974">
        <f>IFERROR(INDEX(PP_Grid[#Data],$DE974,43),0)</f>
        <v/>
      </c>
      <c r="AU974">
        <f>IFERROR(INDEX(PP_Grid[#Data],$DE974,44),0)</f>
        <v/>
      </c>
      <c r="AV974">
        <f>IFERROR(INDEX(PP_Grid[#Data],$DE974,45),0)</f>
        <v/>
      </c>
      <c r="AW974">
        <f>IFERROR(INDEX(PP_Grid[#Data],$DE974,46),0)</f>
        <v/>
      </c>
      <c r="AX974">
        <f>IFERROR(INDEX(PP_Grid[#Data],$DE974,47),0)</f>
        <v/>
      </c>
      <c r="AY974">
        <f>IFERROR(INDEX(PP_Grid[#Data],$DE974,48),0)</f>
        <v/>
      </c>
      <c r="AZ974">
        <f>IFERROR(INDEX(PP_Grid[#Data],$DE974,49),0)</f>
        <v/>
      </c>
      <c r="BA974">
        <f>IFERROR(INDEX(PP_Grid[#Data],$DE974,50),0)</f>
        <v/>
      </c>
      <c r="BB974">
        <f>IFERROR(INDEX(PP_Grid[#Data],$DE974,51),0)</f>
        <v/>
      </c>
      <c r="BC974">
        <f>IFERROR(INDEX(PP_Grid[#Data],$DE974,52),0)</f>
        <v/>
      </c>
      <c r="BD974">
        <f>IFERROR(INDEX(PP_Grid[#Data],$DE974,53),0)</f>
        <v/>
      </c>
      <c r="BE974">
        <f>IFERROR(INDEX(PP_Grid[#Data],$DE974,54),0)</f>
        <v/>
      </c>
      <c r="BF974">
        <f>IFERROR(INDEX(PP_Grid[#Data],$DE974,55),0)</f>
        <v/>
      </c>
      <c r="BG974">
        <f>IFERROR(INDEX(PP_Grid[#Data],$DE974,56),0)</f>
        <v/>
      </c>
      <c r="BH974">
        <f>IFERROR(INDEX(PP_Grid[#Data],$DE974,57),0)</f>
        <v/>
      </c>
      <c r="BI974">
        <f>IFERROR(INDEX(PP_Grid[#Data],$DE974,58),0)</f>
        <v/>
      </c>
      <c r="BJ974">
        <f>IFERROR(INDEX(PP_Grid[#Data],$DE974,59),0)</f>
        <v/>
      </c>
      <c r="BK974">
        <f>IFERROR(INDEX(PP_Grid[#Data],$DE974,60),0)</f>
        <v/>
      </c>
      <c r="BL974">
        <f>IFERROR(INDEX(PP_Grid[#Data],$DE974,61),0)</f>
        <v/>
      </c>
      <c r="BM974">
        <f>IFERROR(INDEX(PP_Grid[#Data],$DE974,62),0)</f>
        <v/>
      </c>
      <c r="BN974">
        <f>IFERROR(INDEX(PP_Grid[#Data],$DE974,63),0)</f>
        <v/>
      </c>
      <c r="BO974">
        <f>IFERROR(INDEX(PP_Grid[#Data],$DE974,64),0)</f>
        <v/>
      </c>
      <c r="BP974">
        <f>IFERROR(INDEX(PP_Grid[#Data],$DE974,65),0)</f>
        <v/>
      </c>
      <c r="BQ974">
        <f>IFERROR(INDEX(PP_Grid[#Data],$DE974,66),0)</f>
        <v/>
      </c>
      <c r="BR974">
        <f>IFERROR(INDEX(PP_Grid[#Data],$DE974,67),0)</f>
        <v/>
      </c>
      <c r="BS974">
        <f>IFERROR(INDEX(PP_Grid[#Data],$DE974,68),0)</f>
        <v/>
      </c>
      <c r="BT974">
        <f>IFERROR(INDEX(PP_Grid[#Data],$DE974,69),0)</f>
        <v/>
      </c>
      <c r="BU974">
        <f>IFERROR(INDEX(PP_Grid[#Data],$DE974,70),0)</f>
        <v/>
      </c>
      <c r="BV974">
        <f>IFERROR(INDEX(PP_Grid[#Data],$DE974,71),0)</f>
        <v/>
      </c>
      <c r="BW974">
        <f>IFERROR(INDEX(PP_Grid[#Data],$DE974,72),0)</f>
        <v/>
      </c>
      <c r="BX974">
        <f>IFERROR(INDEX(PP_Grid[#Data],$DE974,73),0)</f>
        <v/>
      </c>
      <c r="BY974">
        <f>IFERROR(INDEX(PP_Grid[#Data],$DE974,74),0)</f>
        <v/>
      </c>
      <c r="BZ974">
        <f>IFERROR(INDEX(PP_Grid[#Data],$DE974,75),0)</f>
        <v/>
      </c>
      <c r="CA974">
        <f>IFERROR(INDEX(PP_Grid[#Data],$DE974,76),0)</f>
        <v/>
      </c>
      <c r="CB974">
        <f>IFERROR(INDEX(PP_Grid[#Data],$DE974,77),0)</f>
        <v/>
      </c>
      <c r="CC974">
        <f>IFERROR(INDEX(PP_Grid[#Data],$DE974,78),0)</f>
        <v/>
      </c>
      <c r="CD974">
        <f>IFERROR(INDEX(PP_Grid[#Data],$DE974,79),0)</f>
        <v/>
      </c>
      <c r="CE974">
        <f>IFERROR(INDEX(PP_Grid[#Data],$DE974,80),0)</f>
        <v/>
      </c>
      <c r="CF974">
        <f>IFERROR(INDEX(PP_Grid[#Data],$DE974,81),0)</f>
        <v/>
      </c>
      <c r="CG974">
        <f>IFERROR(INDEX(PP_Grid[#Data],$DE974,82),0)</f>
        <v/>
      </c>
      <c r="CH974">
        <f>IFERROR(INDEX(PP_Grid[#Data],$DE974,83),0)</f>
        <v/>
      </c>
      <c r="CI974">
        <f>IFERROR(INDEX(PP_Grid[#Data],$DE974,84),0)</f>
        <v/>
      </c>
      <c r="CJ974">
        <f>IFERROR(INDEX(PP_Grid[#Data],$DE974,85),0)</f>
        <v/>
      </c>
      <c r="CK974">
        <f>IFERROR(INDEX(PP_Grid[#Data],$DE974,86),0)</f>
        <v/>
      </c>
      <c r="CL974">
        <f>IFERROR(INDEX(PP_Grid[#Data],$DE974,87),0)</f>
        <v/>
      </c>
      <c r="CM974">
        <f>IFERROR(INDEX(PP_Grid[#Data],$DE974,88),0)</f>
        <v/>
      </c>
      <c r="CN974">
        <f>IFERROR(INDEX(PP_Grid[#Data],$DE974,89),0)</f>
        <v/>
      </c>
      <c r="CO974">
        <f>IFERROR(INDEX(PP_Grid[#Data],$DE974,90),0)</f>
        <v/>
      </c>
      <c r="CP974">
        <f>IFERROR(INDEX(PP_Grid[#Data],$DE974,91),0)</f>
        <v/>
      </c>
      <c r="CQ974">
        <f>IFERROR(INDEX(PP_Grid[#Data],$DE974,92),0)</f>
        <v/>
      </c>
      <c r="CR974">
        <f>IFERROR(INDEX(PP_Grid[#Data],$DE974,93),0)</f>
        <v/>
      </c>
      <c r="CS974">
        <f>IFERROR(INDEX(PP_Grid[#Data],$DE974,94),0)</f>
        <v/>
      </c>
      <c r="CT974">
        <f>IFERROR(INDEX(PP_Grid[#Data],$DE974,95),0)</f>
        <v/>
      </c>
      <c r="CU974">
        <f>IFERROR(INDEX(PP_Grid[#Data],$DE974,96),0)</f>
        <v/>
      </c>
      <c r="CV974">
        <f>IFERROR(INDEX(PP_Grid[#Data],$DE974,97),0)</f>
        <v/>
      </c>
      <c r="CW974">
        <f>IFERROR(INDEX(PP_Grid[#Data],$DE974,98),0)</f>
        <v/>
      </c>
      <c r="CX974">
        <f>IFERROR(INDEX(PP_Grid[#Data],$DE974,99),0)</f>
        <v/>
      </c>
      <c r="CY974">
        <f>IFERROR(INDEX(PP_Grid[#Data],$DE974,100),0)</f>
        <v/>
      </c>
      <c r="CZ974">
        <f>IFERROR(INDEX(PP_Grid[#Data],$DE974,101),0)</f>
        <v/>
      </c>
      <c r="DA974">
        <f>IFERROR(INDEX(PP_Grid[#Data],$DE974,102),0)</f>
        <v/>
      </c>
      <c r="DB974">
        <f>IFERROR(INDEX(PP_Grid[#Data],$DE974,103),0)</f>
        <v/>
      </c>
      <c r="DC974">
        <f>IFERROR(INDEX(PP_Grid[#Data],$DE974,104),0)</f>
        <v/>
      </c>
      <c r="DD974">
        <f>IFERROR(INDEX(PP_Grid[#Data],$DE974,105),0)</f>
        <v/>
      </c>
      <c r="DE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SUMIFS(M_BOM[RM_Qty_Per_Batch],M_BOM[Intermediate],$B974,M_BOM[RM_Code],$A971)</f>
        <v/>
      </c>
      <c r="D975">
        <f>IFERROR(INDEX(E975:DD975,$F$1),"")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  <c r="DD975">
        <f>$C975*DD974</f>
        <v/>
      </c>
    </row>
    <row r="976">
      <c r="B976" t="inlineStr">
        <is>
          <t>TSP-1449</t>
        </is>
      </c>
      <c r="C976" t="inlineStr">
        <is>
          <t>No. of batches</t>
        </is>
      </c>
      <c r="D976">
        <f>IFERROR(INDEX(E976:DD976,$F$1),"")</f>
        <v/>
      </c>
      <c r="E976">
        <f>IFERROR(INDEX(PP_Grid[#Data],$DE976,2),0)</f>
        <v/>
      </c>
      <c r="F976">
        <f>IFERROR(INDEX(PP_Grid[#Data],$DE976,3),0)</f>
        <v/>
      </c>
      <c r="G976">
        <f>IFERROR(INDEX(PP_Grid[#Data],$DE976,4),0)</f>
        <v/>
      </c>
      <c r="H976">
        <f>IFERROR(INDEX(PP_Grid[#Data],$DE976,5),0)</f>
        <v/>
      </c>
      <c r="I976">
        <f>IFERROR(INDEX(PP_Grid[#Data],$DE976,6),0)</f>
        <v/>
      </c>
      <c r="J976">
        <f>IFERROR(INDEX(PP_Grid[#Data],$DE976,7),0)</f>
        <v/>
      </c>
      <c r="K976">
        <f>IFERROR(INDEX(PP_Grid[#Data],$DE976,8),0)</f>
        <v/>
      </c>
      <c r="L976">
        <f>IFERROR(INDEX(PP_Grid[#Data],$DE976,9),0)</f>
        <v/>
      </c>
      <c r="M976">
        <f>IFERROR(INDEX(PP_Grid[#Data],$DE976,10),0)</f>
        <v/>
      </c>
      <c r="N976">
        <f>IFERROR(INDEX(PP_Grid[#Data],$DE976,11),0)</f>
        <v/>
      </c>
      <c r="O976">
        <f>IFERROR(INDEX(PP_Grid[#Data],$DE976,12),0)</f>
        <v/>
      </c>
      <c r="P976">
        <f>IFERROR(INDEX(PP_Grid[#Data],$DE976,13),0)</f>
        <v/>
      </c>
      <c r="Q976">
        <f>IFERROR(INDEX(PP_Grid[#Data],$DE976,14),0)</f>
        <v/>
      </c>
      <c r="R976">
        <f>IFERROR(INDEX(PP_Grid[#Data],$DE976,15),0)</f>
        <v/>
      </c>
      <c r="S976">
        <f>IFERROR(INDEX(PP_Grid[#Data],$DE976,16),0)</f>
        <v/>
      </c>
      <c r="T976">
        <f>IFERROR(INDEX(PP_Grid[#Data],$DE976,17),0)</f>
        <v/>
      </c>
      <c r="U976">
        <f>IFERROR(INDEX(PP_Grid[#Data],$DE976,18),0)</f>
        <v/>
      </c>
      <c r="V976">
        <f>IFERROR(INDEX(PP_Grid[#Data],$DE976,19),0)</f>
        <v/>
      </c>
      <c r="W976">
        <f>IFERROR(INDEX(PP_Grid[#Data],$DE976,20),0)</f>
        <v/>
      </c>
      <c r="X976">
        <f>IFERROR(INDEX(PP_Grid[#Data],$DE976,21),0)</f>
        <v/>
      </c>
      <c r="Y976">
        <f>IFERROR(INDEX(PP_Grid[#Data],$DE976,22),0)</f>
        <v/>
      </c>
      <c r="Z976">
        <f>IFERROR(INDEX(PP_Grid[#Data],$DE976,23),0)</f>
        <v/>
      </c>
      <c r="AA976">
        <f>IFERROR(INDEX(PP_Grid[#Data],$DE976,24),0)</f>
        <v/>
      </c>
      <c r="AB976">
        <f>IFERROR(INDEX(PP_Grid[#Data],$DE976,25),0)</f>
        <v/>
      </c>
      <c r="AC976">
        <f>IFERROR(INDEX(PP_Grid[#Data],$DE976,26),0)</f>
        <v/>
      </c>
      <c r="AD976">
        <f>IFERROR(INDEX(PP_Grid[#Data],$DE976,27),0)</f>
        <v/>
      </c>
      <c r="AE976">
        <f>IFERROR(INDEX(PP_Grid[#Data],$DE976,28),0)</f>
        <v/>
      </c>
      <c r="AF976">
        <f>IFERROR(INDEX(PP_Grid[#Data],$DE976,29),0)</f>
        <v/>
      </c>
      <c r="AG976">
        <f>IFERROR(INDEX(PP_Grid[#Data],$DE976,30),0)</f>
        <v/>
      </c>
      <c r="AH976">
        <f>IFERROR(INDEX(PP_Grid[#Data],$DE976,31),0)</f>
        <v/>
      </c>
      <c r="AI976">
        <f>IFERROR(INDEX(PP_Grid[#Data],$DE976,32),0)</f>
        <v/>
      </c>
      <c r="AJ976">
        <f>IFERROR(INDEX(PP_Grid[#Data],$DE976,33),0)</f>
        <v/>
      </c>
      <c r="AK976">
        <f>IFERROR(INDEX(PP_Grid[#Data],$DE976,34),0)</f>
        <v/>
      </c>
      <c r="AL976">
        <f>IFERROR(INDEX(PP_Grid[#Data],$DE976,35),0)</f>
        <v/>
      </c>
      <c r="AM976">
        <f>IFERROR(INDEX(PP_Grid[#Data],$DE976,36),0)</f>
        <v/>
      </c>
      <c r="AN976">
        <f>IFERROR(INDEX(PP_Grid[#Data],$DE976,37),0)</f>
        <v/>
      </c>
      <c r="AO976">
        <f>IFERROR(INDEX(PP_Grid[#Data],$DE976,38),0)</f>
        <v/>
      </c>
      <c r="AP976">
        <f>IFERROR(INDEX(PP_Grid[#Data],$DE976,39),0)</f>
        <v/>
      </c>
      <c r="AQ976">
        <f>IFERROR(INDEX(PP_Grid[#Data],$DE976,40),0)</f>
        <v/>
      </c>
      <c r="AR976">
        <f>IFERROR(INDEX(PP_Grid[#Data],$DE976,41),0)</f>
        <v/>
      </c>
      <c r="AS976">
        <f>IFERROR(INDEX(PP_Grid[#Data],$DE976,42),0)</f>
        <v/>
      </c>
      <c r="AT976">
        <f>IFERROR(INDEX(PP_Grid[#Data],$DE976,43),0)</f>
        <v/>
      </c>
      <c r="AU976">
        <f>IFERROR(INDEX(PP_Grid[#Data],$DE976,44),0)</f>
        <v/>
      </c>
      <c r="AV976">
        <f>IFERROR(INDEX(PP_Grid[#Data],$DE976,45),0)</f>
        <v/>
      </c>
      <c r="AW976">
        <f>IFERROR(INDEX(PP_Grid[#Data],$DE976,46),0)</f>
        <v/>
      </c>
      <c r="AX976">
        <f>IFERROR(INDEX(PP_Grid[#Data],$DE976,47),0)</f>
        <v/>
      </c>
      <c r="AY976">
        <f>IFERROR(INDEX(PP_Grid[#Data],$DE976,48),0)</f>
        <v/>
      </c>
      <c r="AZ976">
        <f>IFERROR(INDEX(PP_Grid[#Data],$DE976,49),0)</f>
        <v/>
      </c>
      <c r="BA976">
        <f>IFERROR(INDEX(PP_Grid[#Data],$DE976,50),0)</f>
        <v/>
      </c>
      <c r="BB976">
        <f>IFERROR(INDEX(PP_Grid[#Data],$DE976,51),0)</f>
        <v/>
      </c>
      <c r="BC976">
        <f>IFERROR(INDEX(PP_Grid[#Data],$DE976,52),0)</f>
        <v/>
      </c>
      <c r="BD976">
        <f>IFERROR(INDEX(PP_Grid[#Data],$DE976,53),0)</f>
        <v/>
      </c>
      <c r="BE976">
        <f>IFERROR(INDEX(PP_Grid[#Data],$DE976,54),0)</f>
        <v/>
      </c>
      <c r="BF976">
        <f>IFERROR(INDEX(PP_Grid[#Data],$DE976,55),0)</f>
        <v/>
      </c>
      <c r="BG976">
        <f>IFERROR(INDEX(PP_Grid[#Data],$DE976,56),0)</f>
        <v/>
      </c>
      <c r="BH976">
        <f>IFERROR(INDEX(PP_Grid[#Data],$DE976,57),0)</f>
        <v/>
      </c>
      <c r="BI976">
        <f>IFERROR(INDEX(PP_Grid[#Data],$DE976,58),0)</f>
        <v/>
      </c>
      <c r="BJ976">
        <f>IFERROR(INDEX(PP_Grid[#Data],$DE976,59),0)</f>
        <v/>
      </c>
      <c r="BK976">
        <f>IFERROR(INDEX(PP_Grid[#Data],$DE976,60),0)</f>
        <v/>
      </c>
      <c r="BL976">
        <f>IFERROR(INDEX(PP_Grid[#Data],$DE976,61),0)</f>
        <v/>
      </c>
      <c r="BM976">
        <f>IFERROR(INDEX(PP_Grid[#Data],$DE976,62),0)</f>
        <v/>
      </c>
      <c r="BN976">
        <f>IFERROR(INDEX(PP_Grid[#Data],$DE976,63),0)</f>
        <v/>
      </c>
      <c r="BO976">
        <f>IFERROR(INDEX(PP_Grid[#Data],$DE976,64),0)</f>
        <v/>
      </c>
      <c r="BP976">
        <f>IFERROR(INDEX(PP_Grid[#Data],$DE976,65),0)</f>
        <v/>
      </c>
      <c r="BQ976">
        <f>IFERROR(INDEX(PP_Grid[#Data],$DE976,66),0)</f>
        <v/>
      </c>
      <c r="BR976">
        <f>IFERROR(INDEX(PP_Grid[#Data],$DE976,67),0)</f>
        <v/>
      </c>
      <c r="BS976">
        <f>IFERROR(INDEX(PP_Grid[#Data],$DE976,68),0)</f>
        <v/>
      </c>
      <c r="BT976">
        <f>IFERROR(INDEX(PP_Grid[#Data],$DE976,69),0)</f>
        <v/>
      </c>
      <c r="BU976">
        <f>IFERROR(INDEX(PP_Grid[#Data],$DE976,70),0)</f>
        <v/>
      </c>
      <c r="BV976">
        <f>IFERROR(INDEX(PP_Grid[#Data],$DE976,71),0)</f>
        <v/>
      </c>
      <c r="BW976">
        <f>IFERROR(INDEX(PP_Grid[#Data],$DE976,72),0)</f>
        <v/>
      </c>
      <c r="BX976">
        <f>IFERROR(INDEX(PP_Grid[#Data],$DE976,73),0)</f>
        <v/>
      </c>
      <c r="BY976">
        <f>IFERROR(INDEX(PP_Grid[#Data],$DE976,74),0)</f>
        <v/>
      </c>
      <c r="BZ976">
        <f>IFERROR(INDEX(PP_Grid[#Data],$DE976,75),0)</f>
        <v/>
      </c>
      <c r="CA976">
        <f>IFERROR(INDEX(PP_Grid[#Data],$DE976,76),0)</f>
        <v/>
      </c>
      <c r="CB976">
        <f>IFERROR(INDEX(PP_Grid[#Data],$DE976,77),0)</f>
        <v/>
      </c>
      <c r="CC976">
        <f>IFERROR(INDEX(PP_Grid[#Data],$DE976,78),0)</f>
        <v/>
      </c>
      <c r="CD976">
        <f>IFERROR(INDEX(PP_Grid[#Data],$DE976,79),0)</f>
        <v/>
      </c>
      <c r="CE976">
        <f>IFERROR(INDEX(PP_Grid[#Data],$DE976,80),0)</f>
        <v/>
      </c>
      <c r="CF976">
        <f>IFERROR(INDEX(PP_Grid[#Data],$DE976,81),0)</f>
        <v/>
      </c>
      <c r="CG976">
        <f>IFERROR(INDEX(PP_Grid[#Data],$DE976,82),0)</f>
        <v/>
      </c>
      <c r="CH976">
        <f>IFERROR(INDEX(PP_Grid[#Data],$DE976,83),0)</f>
        <v/>
      </c>
      <c r="CI976">
        <f>IFERROR(INDEX(PP_Grid[#Data],$DE976,84),0)</f>
        <v/>
      </c>
      <c r="CJ976">
        <f>IFERROR(INDEX(PP_Grid[#Data],$DE976,85),0)</f>
        <v/>
      </c>
      <c r="CK976">
        <f>IFERROR(INDEX(PP_Grid[#Data],$DE976,86),0)</f>
        <v/>
      </c>
      <c r="CL976">
        <f>IFERROR(INDEX(PP_Grid[#Data],$DE976,87),0)</f>
        <v/>
      </c>
      <c r="CM976">
        <f>IFERROR(INDEX(PP_Grid[#Data],$DE976,88),0)</f>
        <v/>
      </c>
      <c r="CN976">
        <f>IFERROR(INDEX(PP_Grid[#Data],$DE976,89),0)</f>
        <v/>
      </c>
      <c r="CO976">
        <f>IFERROR(INDEX(PP_Grid[#Data],$DE976,90),0)</f>
        <v/>
      </c>
      <c r="CP976">
        <f>IFERROR(INDEX(PP_Grid[#Data],$DE976,91),0)</f>
        <v/>
      </c>
      <c r="CQ976">
        <f>IFERROR(INDEX(PP_Grid[#Data],$DE976,92),0)</f>
        <v/>
      </c>
      <c r="CR976">
        <f>IFERROR(INDEX(PP_Grid[#Data],$DE976,93),0)</f>
        <v/>
      </c>
      <c r="CS976">
        <f>IFERROR(INDEX(PP_Grid[#Data],$DE976,94),0)</f>
        <v/>
      </c>
      <c r="CT976">
        <f>IFERROR(INDEX(PP_Grid[#Data],$DE976,95),0)</f>
        <v/>
      </c>
      <c r="CU976">
        <f>IFERROR(INDEX(PP_Grid[#Data],$DE976,96),0)</f>
        <v/>
      </c>
      <c r="CV976">
        <f>IFERROR(INDEX(PP_Grid[#Data],$DE976,97),0)</f>
        <v/>
      </c>
      <c r="CW976">
        <f>IFERROR(INDEX(PP_Grid[#Data],$DE976,98),0)</f>
        <v/>
      </c>
      <c r="CX976">
        <f>IFERROR(INDEX(PP_Grid[#Data],$DE976,99),0)</f>
        <v/>
      </c>
      <c r="CY976">
        <f>IFERROR(INDEX(PP_Grid[#Data],$DE976,100),0)</f>
        <v/>
      </c>
      <c r="CZ976">
        <f>IFERROR(INDEX(PP_Grid[#Data],$DE976,101),0)</f>
        <v/>
      </c>
      <c r="DA976">
        <f>IFERROR(INDEX(PP_Grid[#Data],$DE976,102),0)</f>
        <v/>
      </c>
      <c r="DB976">
        <f>IFERROR(INDEX(PP_Grid[#Data],$DE976,103),0)</f>
        <v/>
      </c>
      <c r="DC976">
        <f>IFERROR(INDEX(PP_Grid[#Data],$DE976,104),0)</f>
        <v/>
      </c>
      <c r="DD976">
        <f>IFERROR(INDEX(PP_Grid[#Data],$DE976,105),0)</f>
        <v/>
      </c>
      <c r="DE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SUMIFS(M_BOM[RM_Qty_Per_Batch],M_BOM[Intermediate],$B976,M_BOM[RM_Code],$A971)</f>
        <v/>
      </c>
      <c r="D977">
        <f>IFERROR(INDEX(E977:DD977,$F$1),"")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  <c r="DD977">
        <f>$C977*DD976</f>
        <v/>
      </c>
    </row>
    <row r="978">
      <c r="B978" t="inlineStr">
        <is>
          <t>VSP-600</t>
        </is>
      </c>
      <c r="C978" t="inlineStr">
        <is>
          <t>No. of batches</t>
        </is>
      </c>
      <c r="D978">
        <f>IFERROR(INDEX(E978:DD978,$F$1),"")</f>
        <v/>
      </c>
      <c r="E978">
        <f>IFERROR(INDEX(PP_Grid[#Data],$DE978,2),0)</f>
        <v/>
      </c>
      <c r="F978">
        <f>IFERROR(INDEX(PP_Grid[#Data],$DE978,3),0)</f>
        <v/>
      </c>
      <c r="G978">
        <f>IFERROR(INDEX(PP_Grid[#Data],$DE978,4),0)</f>
        <v/>
      </c>
      <c r="H978">
        <f>IFERROR(INDEX(PP_Grid[#Data],$DE978,5),0)</f>
        <v/>
      </c>
      <c r="I978">
        <f>IFERROR(INDEX(PP_Grid[#Data],$DE978,6),0)</f>
        <v/>
      </c>
      <c r="J978">
        <f>IFERROR(INDEX(PP_Grid[#Data],$DE978,7),0)</f>
        <v/>
      </c>
      <c r="K978">
        <f>IFERROR(INDEX(PP_Grid[#Data],$DE978,8),0)</f>
        <v/>
      </c>
      <c r="L978">
        <f>IFERROR(INDEX(PP_Grid[#Data],$DE978,9),0)</f>
        <v/>
      </c>
      <c r="M978">
        <f>IFERROR(INDEX(PP_Grid[#Data],$DE978,10),0)</f>
        <v/>
      </c>
      <c r="N978">
        <f>IFERROR(INDEX(PP_Grid[#Data],$DE978,11),0)</f>
        <v/>
      </c>
      <c r="O978">
        <f>IFERROR(INDEX(PP_Grid[#Data],$DE978,12),0)</f>
        <v/>
      </c>
      <c r="P978">
        <f>IFERROR(INDEX(PP_Grid[#Data],$DE978,13),0)</f>
        <v/>
      </c>
      <c r="Q978">
        <f>IFERROR(INDEX(PP_Grid[#Data],$DE978,14),0)</f>
        <v/>
      </c>
      <c r="R978">
        <f>IFERROR(INDEX(PP_Grid[#Data],$DE978,15),0)</f>
        <v/>
      </c>
      <c r="S978">
        <f>IFERROR(INDEX(PP_Grid[#Data],$DE978,16),0)</f>
        <v/>
      </c>
      <c r="T978">
        <f>IFERROR(INDEX(PP_Grid[#Data],$DE978,17),0)</f>
        <v/>
      </c>
      <c r="U978">
        <f>IFERROR(INDEX(PP_Grid[#Data],$DE978,18),0)</f>
        <v/>
      </c>
      <c r="V978">
        <f>IFERROR(INDEX(PP_Grid[#Data],$DE978,19),0)</f>
        <v/>
      </c>
      <c r="W978">
        <f>IFERROR(INDEX(PP_Grid[#Data],$DE978,20),0)</f>
        <v/>
      </c>
      <c r="X978">
        <f>IFERROR(INDEX(PP_Grid[#Data],$DE978,21),0)</f>
        <v/>
      </c>
      <c r="Y978">
        <f>IFERROR(INDEX(PP_Grid[#Data],$DE978,22),0)</f>
        <v/>
      </c>
      <c r="Z978">
        <f>IFERROR(INDEX(PP_Grid[#Data],$DE978,23),0)</f>
        <v/>
      </c>
      <c r="AA978">
        <f>IFERROR(INDEX(PP_Grid[#Data],$DE978,24),0)</f>
        <v/>
      </c>
      <c r="AB978">
        <f>IFERROR(INDEX(PP_Grid[#Data],$DE978,25),0)</f>
        <v/>
      </c>
      <c r="AC978">
        <f>IFERROR(INDEX(PP_Grid[#Data],$DE978,26),0)</f>
        <v/>
      </c>
      <c r="AD978">
        <f>IFERROR(INDEX(PP_Grid[#Data],$DE978,27),0)</f>
        <v/>
      </c>
      <c r="AE978">
        <f>IFERROR(INDEX(PP_Grid[#Data],$DE978,28),0)</f>
        <v/>
      </c>
      <c r="AF978">
        <f>IFERROR(INDEX(PP_Grid[#Data],$DE978,29),0)</f>
        <v/>
      </c>
      <c r="AG978">
        <f>IFERROR(INDEX(PP_Grid[#Data],$DE978,30),0)</f>
        <v/>
      </c>
      <c r="AH978">
        <f>IFERROR(INDEX(PP_Grid[#Data],$DE978,31),0)</f>
        <v/>
      </c>
      <c r="AI978">
        <f>IFERROR(INDEX(PP_Grid[#Data],$DE978,32),0)</f>
        <v/>
      </c>
      <c r="AJ978">
        <f>IFERROR(INDEX(PP_Grid[#Data],$DE978,33),0)</f>
        <v/>
      </c>
      <c r="AK978">
        <f>IFERROR(INDEX(PP_Grid[#Data],$DE978,34),0)</f>
        <v/>
      </c>
      <c r="AL978">
        <f>IFERROR(INDEX(PP_Grid[#Data],$DE978,35),0)</f>
        <v/>
      </c>
      <c r="AM978">
        <f>IFERROR(INDEX(PP_Grid[#Data],$DE978,36),0)</f>
        <v/>
      </c>
      <c r="AN978">
        <f>IFERROR(INDEX(PP_Grid[#Data],$DE978,37),0)</f>
        <v/>
      </c>
      <c r="AO978">
        <f>IFERROR(INDEX(PP_Grid[#Data],$DE978,38),0)</f>
        <v/>
      </c>
      <c r="AP978">
        <f>IFERROR(INDEX(PP_Grid[#Data],$DE978,39),0)</f>
        <v/>
      </c>
      <c r="AQ978">
        <f>IFERROR(INDEX(PP_Grid[#Data],$DE978,40),0)</f>
        <v/>
      </c>
      <c r="AR978">
        <f>IFERROR(INDEX(PP_Grid[#Data],$DE978,41),0)</f>
        <v/>
      </c>
      <c r="AS978">
        <f>IFERROR(INDEX(PP_Grid[#Data],$DE978,42),0)</f>
        <v/>
      </c>
      <c r="AT978">
        <f>IFERROR(INDEX(PP_Grid[#Data],$DE978,43),0)</f>
        <v/>
      </c>
      <c r="AU978">
        <f>IFERROR(INDEX(PP_Grid[#Data],$DE978,44),0)</f>
        <v/>
      </c>
      <c r="AV978">
        <f>IFERROR(INDEX(PP_Grid[#Data],$DE978,45),0)</f>
        <v/>
      </c>
      <c r="AW978">
        <f>IFERROR(INDEX(PP_Grid[#Data],$DE978,46),0)</f>
        <v/>
      </c>
      <c r="AX978">
        <f>IFERROR(INDEX(PP_Grid[#Data],$DE978,47),0)</f>
        <v/>
      </c>
      <c r="AY978">
        <f>IFERROR(INDEX(PP_Grid[#Data],$DE978,48),0)</f>
        <v/>
      </c>
      <c r="AZ978">
        <f>IFERROR(INDEX(PP_Grid[#Data],$DE978,49),0)</f>
        <v/>
      </c>
      <c r="BA978">
        <f>IFERROR(INDEX(PP_Grid[#Data],$DE978,50),0)</f>
        <v/>
      </c>
      <c r="BB978">
        <f>IFERROR(INDEX(PP_Grid[#Data],$DE978,51),0)</f>
        <v/>
      </c>
      <c r="BC978">
        <f>IFERROR(INDEX(PP_Grid[#Data],$DE978,52),0)</f>
        <v/>
      </c>
      <c r="BD978">
        <f>IFERROR(INDEX(PP_Grid[#Data],$DE978,53),0)</f>
        <v/>
      </c>
      <c r="BE978">
        <f>IFERROR(INDEX(PP_Grid[#Data],$DE978,54),0)</f>
        <v/>
      </c>
      <c r="BF978">
        <f>IFERROR(INDEX(PP_Grid[#Data],$DE978,55),0)</f>
        <v/>
      </c>
      <c r="BG978">
        <f>IFERROR(INDEX(PP_Grid[#Data],$DE978,56),0)</f>
        <v/>
      </c>
      <c r="BH978">
        <f>IFERROR(INDEX(PP_Grid[#Data],$DE978,57),0)</f>
        <v/>
      </c>
      <c r="BI978">
        <f>IFERROR(INDEX(PP_Grid[#Data],$DE978,58),0)</f>
        <v/>
      </c>
      <c r="BJ978">
        <f>IFERROR(INDEX(PP_Grid[#Data],$DE978,59),0)</f>
        <v/>
      </c>
      <c r="BK978">
        <f>IFERROR(INDEX(PP_Grid[#Data],$DE978,60),0)</f>
        <v/>
      </c>
      <c r="BL978">
        <f>IFERROR(INDEX(PP_Grid[#Data],$DE978,61),0)</f>
        <v/>
      </c>
      <c r="BM978">
        <f>IFERROR(INDEX(PP_Grid[#Data],$DE978,62),0)</f>
        <v/>
      </c>
      <c r="BN978">
        <f>IFERROR(INDEX(PP_Grid[#Data],$DE978,63),0)</f>
        <v/>
      </c>
      <c r="BO978">
        <f>IFERROR(INDEX(PP_Grid[#Data],$DE978,64),0)</f>
        <v/>
      </c>
      <c r="BP978">
        <f>IFERROR(INDEX(PP_Grid[#Data],$DE978,65),0)</f>
        <v/>
      </c>
      <c r="BQ978">
        <f>IFERROR(INDEX(PP_Grid[#Data],$DE978,66),0)</f>
        <v/>
      </c>
      <c r="BR978">
        <f>IFERROR(INDEX(PP_Grid[#Data],$DE978,67),0)</f>
        <v/>
      </c>
      <c r="BS978">
        <f>IFERROR(INDEX(PP_Grid[#Data],$DE978,68),0)</f>
        <v/>
      </c>
      <c r="BT978">
        <f>IFERROR(INDEX(PP_Grid[#Data],$DE978,69),0)</f>
        <v/>
      </c>
      <c r="BU978">
        <f>IFERROR(INDEX(PP_Grid[#Data],$DE978,70),0)</f>
        <v/>
      </c>
      <c r="BV978">
        <f>IFERROR(INDEX(PP_Grid[#Data],$DE978,71),0)</f>
        <v/>
      </c>
      <c r="BW978">
        <f>IFERROR(INDEX(PP_Grid[#Data],$DE978,72),0)</f>
        <v/>
      </c>
      <c r="BX978">
        <f>IFERROR(INDEX(PP_Grid[#Data],$DE978,73),0)</f>
        <v/>
      </c>
      <c r="BY978">
        <f>IFERROR(INDEX(PP_Grid[#Data],$DE978,74),0)</f>
        <v/>
      </c>
      <c r="BZ978">
        <f>IFERROR(INDEX(PP_Grid[#Data],$DE978,75),0)</f>
        <v/>
      </c>
      <c r="CA978">
        <f>IFERROR(INDEX(PP_Grid[#Data],$DE978,76),0)</f>
        <v/>
      </c>
      <c r="CB978">
        <f>IFERROR(INDEX(PP_Grid[#Data],$DE978,77),0)</f>
        <v/>
      </c>
      <c r="CC978">
        <f>IFERROR(INDEX(PP_Grid[#Data],$DE978,78),0)</f>
        <v/>
      </c>
      <c r="CD978">
        <f>IFERROR(INDEX(PP_Grid[#Data],$DE978,79),0)</f>
        <v/>
      </c>
      <c r="CE978">
        <f>IFERROR(INDEX(PP_Grid[#Data],$DE978,80),0)</f>
        <v/>
      </c>
      <c r="CF978">
        <f>IFERROR(INDEX(PP_Grid[#Data],$DE978,81),0)</f>
        <v/>
      </c>
      <c r="CG978">
        <f>IFERROR(INDEX(PP_Grid[#Data],$DE978,82),0)</f>
        <v/>
      </c>
      <c r="CH978">
        <f>IFERROR(INDEX(PP_Grid[#Data],$DE978,83),0)</f>
        <v/>
      </c>
      <c r="CI978">
        <f>IFERROR(INDEX(PP_Grid[#Data],$DE978,84),0)</f>
        <v/>
      </c>
      <c r="CJ978">
        <f>IFERROR(INDEX(PP_Grid[#Data],$DE978,85),0)</f>
        <v/>
      </c>
      <c r="CK978">
        <f>IFERROR(INDEX(PP_Grid[#Data],$DE978,86),0)</f>
        <v/>
      </c>
      <c r="CL978">
        <f>IFERROR(INDEX(PP_Grid[#Data],$DE978,87),0)</f>
        <v/>
      </c>
      <c r="CM978">
        <f>IFERROR(INDEX(PP_Grid[#Data],$DE978,88),0)</f>
        <v/>
      </c>
      <c r="CN978">
        <f>IFERROR(INDEX(PP_Grid[#Data],$DE978,89),0)</f>
        <v/>
      </c>
      <c r="CO978">
        <f>IFERROR(INDEX(PP_Grid[#Data],$DE978,90),0)</f>
        <v/>
      </c>
      <c r="CP978">
        <f>IFERROR(INDEX(PP_Grid[#Data],$DE978,91),0)</f>
        <v/>
      </c>
      <c r="CQ978">
        <f>IFERROR(INDEX(PP_Grid[#Data],$DE978,92),0)</f>
        <v/>
      </c>
      <c r="CR978">
        <f>IFERROR(INDEX(PP_Grid[#Data],$DE978,93),0)</f>
        <v/>
      </c>
      <c r="CS978">
        <f>IFERROR(INDEX(PP_Grid[#Data],$DE978,94),0)</f>
        <v/>
      </c>
      <c r="CT978">
        <f>IFERROR(INDEX(PP_Grid[#Data],$DE978,95),0)</f>
        <v/>
      </c>
      <c r="CU978">
        <f>IFERROR(INDEX(PP_Grid[#Data],$DE978,96),0)</f>
        <v/>
      </c>
      <c r="CV978">
        <f>IFERROR(INDEX(PP_Grid[#Data],$DE978,97),0)</f>
        <v/>
      </c>
      <c r="CW978">
        <f>IFERROR(INDEX(PP_Grid[#Data],$DE978,98),0)</f>
        <v/>
      </c>
      <c r="CX978">
        <f>IFERROR(INDEX(PP_Grid[#Data],$DE978,99),0)</f>
        <v/>
      </c>
      <c r="CY978">
        <f>IFERROR(INDEX(PP_Grid[#Data],$DE978,100),0)</f>
        <v/>
      </c>
      <c r="CZ978">
        <f>IFERROR(INDEX(PP_Grid[#Data],$DE978,101),0)</f>
        <v/>
      </c>
      <c r="DA978">
        <f>IFERROR(INDEX(PP_Grid[#Data],$DE978,102),0)</f>
        <v/>
      </c>
      <c r="DB978">
        <f>IFERROR(INDEX(PP_Grid[#Data],$DE978,103),0)</f>
        <v/>
      </c>
      <c r="DC978">
        <f>IFERROR(INDEX(PP_Grid[#Data],$DE978,104),0)</f>
        <v/>
      </c>
      <c r="DD978">
        <f>IFERROR(INDEX(PP_Grid[#Data],$DE978,105),0)</f>
        <v/>
      </c>
      <c r="DE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SUMIFS(M_BOM[RM_Qty_Per_Batch],M_BOM[Intermediate],$B978,M_BOM[RM_Code],$A971)</f>
        <v/>
      </c>
      <c r="D979">
        <f>IFERROR(INDEX(E979:DD979,$F$1),"")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  <c r="DD979">
        <f>$C979*DD978</f>
        <v/>
      </c>
    </row>
    <row r="980">
      <c r="B980" t="inlineStr">
        <is>
          <t>VSP-601</t>
        </is>
      </c>
      <c r="C980" t="inlineStr">
        <is>
          <t>No. of batches</t>
        </is>
      </c>
      <c r="D980">
        <f>IFERROR(INDEX(E980:DD980,$F$1),"")</f>
        <v/>
      </c>
      <c r="E980">
        <f>IFERROR(INDEX(PP_Grid[#Data],$DE980,2),0)</f>
        <v/>
      </c>
      <c r="F980">
        <f>IFERROR(INDEX(PP_Grid[#Data],$DE980,3),0)</f>
        <v/>
      </c>
      <c r="G980">
        <f>IFERROR(INDEX(PP_Grid[#Data],$DE980,4),0)</f>
        <v/>
      </c>
      <c r="H980">
        <f>IFERROR(INDEX(PP_Grid[#Data],$DE980,5),0)</f>
        <v/>
      </c>
      <c r="I980">
        <f>IFERROR(INDEX(PP_Grid[#Data],$DE980,6),0)</f>
        <v/>
      </c>
      <c r="J980">
        <f>IFERROR(INDEX(PP_Grid[#Data],$DE980,7),0)</f>
        <v/>
      </c>
      <c r="K980">
        <f>IFERROR(INDEX(PP_Grid[#Data],$DE980,8),0)</f>
        <v/>
      </c>
      <c r="L980">
        <f>IFERROR(INDEX(PP_Grid[#Data],$DE980,9),0)</f>
        <v/>
      </c>
      <c r="M980">
        <f>IFERROR(INDEX(PP_Grid[#Data],$DE980,10),0)</f>
        <v/>
      </c>
      <c r="N980">
        <f>IFERROR(INDEX(PP_Grid[#Data],$DE980,11),0)</f>
        <v/>
      </c>
      <c r="O980">
        <f>IFERROR(INDEX(PP_Grid[#Data],$DE980,12),0)</f>
        <v/>
      </c>
      <c r="P980">
        <f>IFERROR(INDEX(PP_Grid[#Data],$DE980,13),0)</f>
        <v/>
      </c>
      <c r="Q980">
        <f>IFERROR(INDEX(PP_Grid[#Data],$DE980,14),0)</f>
        <v/>
      </c>
      <c r="R980">
        <f>IFERROR(INDEX(PP_Grid[#Data],$DE980,15),0)</f>
        <v/>
      </c>
      <c r="S980">
        <f>IFERROR(INDEX(PP_Grid[#Data],$DE980,16),0)</f>
        <v/>
      </c>
      <c r="T980">
        <f>IFERROR(INDEX(PP_Grid[#Data],$DE980,17),0)</f>
        <v/>
      </c>
      <c r="U980">
        <f>IFERROR(INDEX(PP_Grid[#Data],$DE980,18),0)</f>
        <v/>
      </c>
      <c r="V980">
        <f>IFERROR(INDEX(PP_Grid[#Data],$DE980,19),0)</f>
        <v/>
      </c>
      <c r="W980">
        <f>IFERROR(INDEX(PP_Grid[#Data],$DE980,20),0)</f>
        <v/>
      </c>
      <c r="X980">
        <f>IFERROR(INDEX(PP_Grid[#Data],$DE980,21),0)</f>
        <v/>
      </c>
      <c r="Y980">
        <f>IFERROR(INDEX(PP_Grid[#Data],$DE980,22),0)</f>
        <v/>
      </c>
      <c r="Z980">
        <f>IFERROR(INDEX(PP_Grid[#Data],$DE980,23),0)</f>
        <v/>
      </c>
      <c r="AA980">
        <f>IFERROR(INDEX(PP_Grid[#Data],$DE980,24),0)</f>
        <v/>
      </c>
      <c r="AB980">
        <f>IFERROR(INDEX(PP_Grid[#Data],$DE980,25),0)</f>
        <v/>
      </c>
      <c r="AC980">
        <f>IFERROR(INDEX(PP_Grid[#Data],$DE980,26),0)</f>
        <v/>
      </c>
      <c r="AD980">
        <f>IFERROR(INDEX(PP_Grid[#Data],$DE980,27),0)</f>
        <v/>
      </c>
      <c r="AE980">
        <f>IFERROR(INDEX(PP_Grid[#Data],$DE980,28),0)</f>
        <v/>
      </c>
      <c r="AF980">
        <f>IFERROR(INDEX(PP_Grid[#Data],$DE980,29),0)</f>
        <v/>
      </c>
      <c r="AG980">
        <f>IFERROR(INDEX(PP_Grid[#Data],$DE980,30),0)</f>
        <v/>
      </c>
      <c r="AH980">
        <f>IFERROR(INDEX(PP_Grid[#Data],$DE980,31),0)</f>
        <v/>
      </c>
      <c r="AI980">
        <f>IFERROR(INDEX(PP_Grid[#Data],$DE980,32),0)</f>
        <v/>
      </c>
      <c r="AJ980">
        <f>IFERROR(INDEX(PP_Grid[#Data],$DE980,33),0)</f>
        <v/>
      </c>
      <c r="AK980">
        <f>IFERROR(INDEX(PP_Grid[#Data],$DE980,34),0)</f>
        <v/>
      </c>
      <c r="AL980">
        <f>IFERROR(INDEX(PP_Grid[#Data],$DE980,35),0)</f>
        <v/>
      </c>
      <c r="AM980">
        <f>IFERROR(INDEX(PP_Grid[#Data],$DE980,36),0)</f>
        <v/>
      </c>
      <c r="AN980">
        <f>IFERROR(INDEX(PP_Grid[#Data],$DE980,37),0)</f>
        <v/>
      </c>
      <c r="AO980">
        <f>IFERROR(INDEX(PP_Grid[#Data],$DE980,38),0)</f>
        <v/>
      </c>
      <c r="AP980">
        <f>IFERROR(INDEX(PP_Grid[#Data],$DE980,39),0)</f>
        <v/>
      </c>
      <c r="AQ980">
        <f>IFERROR(INDEX(PP_Grid[#Data],$DE980,40),0)</f>
        <v/>
      </c>
      <c r="AR980">
        <f>IFERROR(INDEX(PP_Grid[#Data],$DE980,41),0)</f>
        <v/>
      </c>
      <c r="AS980">
        <f>IFERROR(INDEX(PP_Grid[#Data],$DE980,42),0)</f>
        <v/>
      </c>
      <c r="AT980">
        <f>IFERROR(INDEX(PP_Grid[#Data],$DE980,43),0)</f>
        <v/>
      </c>
      <c r="AU980">
        <f>IFERROR(INDEX(PP_Grid[#Data],$DE980,44),0)</f>
        <v/>
      </c>
      <c r="AV980">
        <f>IFERROR(INDEX(PP_Grid[#Data],$DE980,45),0)</f>
        <v/>
      </c>
      <c r="AW980">
        <f>IFERROR(INDEX(PP_Grid[#Data],$DE980,46),0)</f>
        <v/>
      </c>
      <c r="AX980">
        <f>IFERROR(INDEX(PP_Grid[#Data],$DE980,47),0)</f>
        <v/>
      </c>
      <c r="AY980">
        <f>IFERROR(INDEX(PP_Grid[#Data],$DE980,48),0)</f>
        <v/>
      </c>
      <c r="AZ980">
        <f>IFERROR(INDEX(PP_Grid[#Data],$DE980,49),0)</f>
        <v/>
      </c>
      <c r="BA980">
        <f>IFERROR(INDEX(PP_Grid[#Data],$DE980,50),0)</f>
        <v/>
      </c>
      <c r="BB980">
        <f>IFERROR(INDEX(PP_Grid[#Data],$DE980,51),0)</f>
        <v/>
      </c>
      <c r="BC980">
        <f>IFERROR(INDEX(PP_Grid[#Data],$DE980,52),0)</f>
        <v/>
      </c>
      <c r="BD980">
        <f>IFERROR(INDEX(PP_Grid[#Data],$DE980,53),0)</f>
        <v/>
      </c>
      <c r="BE980">
        <f>IFERROR(INDEX(PP_Grid[#Data],$DE980,54),0)</f>
        <v/>
      </c>
      <c r="BF980">
        <f>IFERROR(INDEX(PP_Grid[#Data],$DE980,55),0)</f>
        <v/>
      </c>
      <c r="BG980">
        <f>IFERROR(INDEX(PP_Grid[#Data],$DE980,56),0)</f>
        <v/>
      </c>
      <c r="BH980">
        <f>IFERROR(INDEX(PP_Grid[#Data],$DE980,57),0)</f>
        <v/>
      </c>
      <c r="BI980">
        <f>IFERROR(INDEX(PP_Grid[#Data],$DE980,58),0)</f>
        <v/>
      </c>
      <c r="BJ980">
        <f>IFERROR(INDEX(PP_Grid[#Data],$DE980,59),0)</f>
        <v/>
      </c>
      <c r="BK980">
        <f>IFERROR(INDEX(PP_Grid[#Data],$DE980,60),0)</f>
        <v/>
      </c>
      <c r="BL980">
        <f>IFERROR(INDEX(PP_Grid[#Data],$DE980,61),0)</f>
        <v/>
      </c>
      <c r="BM980">
        <f>IFERROR(INDEX(PP_Grid[#Data],$DE980,62),0)</f>
        <v/>
      </c>
      <c r="BN980">
        <f>IFERROR(INDEX(PP_Grid[#Data],$DE980,63),0)</f>
        <v/>
      </c>
      <c r="BO980">
        <f>IFERROR(INDEX(PP_Grid[#Data],$DE980,64),0)</f>
        <v/>
      </c>
      <c r="BP980">
        <f>IFERROR(INDEX(PP_Grid[#Data],$DE980,65),0)</f>
        <v/>
      </c>
      <c r="BQ980">
        <f>IFERROR(INDEX(PP_Grid[#Data],$DE980,66),0)</f>
        <v/>
      </c>
      <c r="BR980">
        <f>IFERROR(INDEX(PP_Grid[#Data],$DE980,67),0)</f>
        <v/>
      </c>
      <c r="BS980">
        <f>IFERROR(INDEX(PP_Grid[#Data],$DE980,68),0)</f>
        <v/>
      </c>
      <c r="BT980">
        <f>IFERROR(INDEX(PP_Grid[#Data],$DE980,69),0)</f>
        <v/>
      </c>
      <c r="BU980">
        <f>IFERROR(INDEX(PP_Grid[#Data],$DE980,70),0)</f>
        <v/>
      </c>
      <c r="BV980">
        <f>IFERROR(INDEX(PP_Grid[#Data],$DE980,71),0)</f>
        <v/>
      </c>
      <c r="BW980">
        <f>IFERROR(INDEX(PP_Grid[#Data],$DE980,72),0)</f>
        <v/>
      </c>
      <c r="BX980">
        <f>IFERROR(INDEX(PP_Grid[#Data],$DE980,73),0)</f>
        <v/>
      </c>
      <c r="BY980">
        <f>IFERROR(INDEX(PP_Grid[#Data],$DE980,74),0)</f>
        <v/>
      </c>
      <c r="BZ980">
        <f>IFERROR(INDEX(PP_Grid[#Data],$DE980,75),0)</f>
        <v/>
      </c>
      <c r="CA980">
        <f>IFERROR(INDEX(PP_Grid[#Data],$DE980,76),0)</f>
        <v/>
      </c>
      <c r="CB980">
        <f>IFERROR(INDEX(PP_Grid[#Data],$DE980,77),0)</f>
        <v/>
      </c>
      <c r="CC980">
        <f>IFERROR(INDEX(PP_Grid[#Data],$DE980,78),0)</f>
        <v/>
      </c>
      <c r="CD980">
        <f>IFERROR(INDEX(PP_Grid[#Data],$DE980,79),0)</f>
        <v/>
      </c>
      <c r="CE980">
        <f>IFERROR(INDEX(PP_Grid[#Data],$DE980,80),0)</f>
        <v/>
      </c>
      <c r="CF980">
        <f>IFERROR(INDEX(PP_Grid[#Data],$DE980,81),0)</f>
        <v/>
      </c>
      <c r="CG980">
        <f>IFERROR(INDEX(PP_Grid[#Data],$DE980,82),0)</f>
        <v/>
      </c>
      <c r="CH980">
        <f>IFERROR(INDEX(PP_Grid[#Data],$DE980,83),0)</f>
        <v/>
      </c>
      <c r="CI980">
        <f>IFERROR(INDEX(PP_Grid[#Data],$DE980,84),0)</f>
        <v/>
      </c>
      <c r="CJ980">
        <f>IFERROR(INDEX(PP_Grid[#Data],$DE980,85),0)</f>
        <v/>
      </c>
      <c r="CK980">
        <f>IFERROR(INDEX(PP_Grid[#Data],$DE980,86),0)</f>
        <v/>
      </c>
      <c r="CL980">
        <f>IFERROR(INDEX(PP_Grid[#Data],$DE980,87),0)</f>
        <v/>
      </c>
      <c r="CM980">
        <f>IFERROR(INDEX(PP_Grid[#Data],$DE980,88),0)</f>
        <v/>
      </c>
      <c r="CN980">
        <f>IFERROR(INDEX(PP_Grid[#Data],$DE980,89),0)</f>
        <v/>
      </c>
      <c r="CO980">
        <f>IFERROR(INDEX(PP_Grid[#Data],$DE980,90),0)</f>
        <v/>
      </c>
      <c r="CP980">
        <f>IFERROR(INDEX(PP_Grid[#Data],$DE980,91),0)</f>
        <v/>
      </c>
      <c r="CQ980">
        <f>IFERROR(INDEX(PP_Grid[#Data],$DE980,92),0)</f>
        <v/>
      </c>
      <c r="CR980">
        <f>IFERROR(INDEX(PP_Grid[#Data],$DE980,93),0)</f>
        <v/>
      </c>
      <c r="CS980">
        <f>IFERROR(INDEX(PP_Grid[#Data],$DE980,94),0)</f>
        <v/>
      </c>
      <c r="CT980">
        <f>IFERROR(INDEX(PP_Grid[#Data],$DE980,95),0)</f>
        <v/>
      </c>
      <c r="CU980">
        <f>IFERROR(INDEX(PP_Grid[#Data],$DE980,96),0)</f>
        <v/>
      </c>
      <c r="CV980">
        <f>IFERROR(INDEX(PP_Grid[#Data],$DE980,97),0)</f>
        <v/>
      </c>
      <c r="CW980">
        <f>IFERROR(INDEX(PP_Grid[#Data],$DE980,98),0)</f>
        <v/>
      </c>
      <c r="CX980">
        <f>IFERROR(INDEX(PP_Grid[#Data],$DE980,99),0)</f>
        <v/>
      </c>
      <c r="CY980">
        <f>IFERROR(INDEX(PP_Grid[#Data],$DE980,100),0)</f>
        <v/>
      </c>
      <c r="CZ980">
        <f>IFERROR(INDEX(PP_Grid[#Data],$DE980,101),0)</f>
        <v/>
      </c>
      <c r="DA980">
        <f>IFERROR(INDEX(PP_Grid[#Data],$DE980,102),0)</f>
        <v/>
      </c>
      <c r="DB980">
        <f>IFERROR(INDEX(PP_Grid[#Data],$DE980,103),0)</f>
        <v/>
      </c>
      <c r="DC980">
        <f>IFERROR(INDEX(PP_Grid[#Data],$DE980,104),0)</f>
        <v/>
      </c>
      <c r="DD980">
        <f>IFERROR(INDEX(PP_Grid[#Data],$DE980,105),0)</f>
        <v/>
      </c>
      <c r="DE980" s="7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SUMIFS(M_BOM[RM_Qty_Per_Batch],M_BOM[Intermediate],$B980,M_BOM[RM_Code],$A971)</f>
        <v/>
      </c>
      <c r="D981">
        <f>IFERROR(INDEX(E981:DD981,$F$1),"")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  <c r="DD981">
        <f>$C981*DD980</f>
        <v/>
      </c>
    </row>
    <row r="982">
      <c r="B982" t="inlineStr">
        <is>
          <t>VSP-603</t>
        </is>
      </c>
      <c r="C982" t="inlineStr">
        <is>
          <t>No. of batches</t>
        </is>
      </c>
      <c r="D982">
        <f>IFERROR(INDEX(E982:DD982,$F$1),"")</f>
        <v/>
      </c>
      <c r="E982">
        <f>IFERROR(INDEX(PP_Grid[#Data],$DE982,2),0)</f>
        <v/>
      </c>
      <c r="F982">
        <f>IFERROR(INDEX(PP_Grid[#Data],$DE982,3),0)</f>
        <v/>
      </c>
      <c r="G982">
        <f>IFERROR(INDEX(PP_Grid[#Data],$DE982,4),0)</f>
        <v/>
      </c>
      <c r="H982">
        <f>IFERROR(INDEX(PP_Grid[#Data],$DE982,5),0)</f>
        <v/>
      </c>
      <c r="I982">
        <f>IFERROR(INDEX(PP_Grid[#Data],$DE982,6),0)</f>
        <v/>
      </c>
      <c r="J982">
        <f>IFERROR(INDEX(PP_Grid[#Data],$DE982,7),0)</f>
        <v/>
      </c>
      <c r="K982">
        <f>IFERROR(INDEX(PP_Grid[#Data],$DE982,8),0)</f>
        <v/>
      </c>
      <c r="L982">
        <f>IFERROR(INDEX(PP_Grid[#Data],$DE982,9),0)</f>
        <v/>
      </c>
      <c r="M982">
        <f>IFERROR(INDEX(PP_Grid[#Data],$DE982,10),0)</f>
        <v/>
      </c>
      <c r="N982">
        <f>IFERROR(INDEX(PP_Grid[#Data],$DE982,11),0)</f>
        <v/>
      </c>
      <c r="O982">
        <f>IFERROR(INDEX(PP_Grid[#Data],$DE982,12),0)</f>
        <v/>
      </c>
      <c r="P982">
        <f>IFERROR(INDEX(PP_Grid[#Data],$DE982,13),0)</f>
        <v/>
      </c>
      <c r="Q982">
        <f>IFERROR(INDEX(PP_Grid[#Data],$DE982,14),0)</f>
        <v/>
      </c>
      <c r="R982">
        <f>IFERROR(INDEX(PP_Grid[#Data],$DE982,15),0)</f>
        <v/>
      </c>
      <c r="S982">
        <f>IFERROR(INDEX(PP_Grid[#Data],$DE982,16),0)</f>
        <v/>
      </c>
      <c r="T982">
        <f>IFERROR(INDEX(PP_Grid[#Data],$DE982,17),0)</f>
        <v/>
      </c>
      <c r="U982">
        <f>IFERROR(INDEX(PP_Grid[#Data],$DE982,18),0)</f>
        <v/>
      </c>
      <c r="V982">
        <f>IFERROR(INDEX(PP_Grid[#Data],$DE982,19),0)</f>
        <v/>
      </c>
      <c r="W982">
        <f>IFERROR(INDEX(PP_Grid[#Data],$DE982,20),0)</f>
        <v/>
      </c>
      <c r="X982">
        <f>IFERROR(INDEX(PP_Grid[#Data],$DE982,21),0)</f>
        <v/>
      </c>
      <c r="Y982">
        <f>IFERROR(INDEX(PP_Grid[#Data],$DE982,22),0)</f>
        <v/>
      </c>
      <c r="Z982">
        <f>IFERROR(INDEX(PP_Grid[#Data],$DE982,23),0)</f>
        <v/>
      </c>
      <c r="AA982">
        <f>IFERROR(INDEX(PP_Grid[#Data],$DE982,24),0)</f>
        <v/>
      </c>
      <c r="AB982">
        <f>IFERROR(INDEX(PP_Grid[#Data],$DE982,25),0)</f>
        <v/>
      </c>
      <c r="AC982">
        <f>IFERROR(INDEX(PP_Grid[#Data],$DE982,26),0)</f>
        <v/>
      </c>
      <c r="AD982">
        <f>IFERROR(INDEX(PP_Grid[#Data],$DE982,27),0)</f>
        <v/>
      </c>
      <c r="AE982">
        <f>IFERROR(INDEX(PP_Grid[#Data],$DE982,28),0)</f>
        <v/>
      </c>
      <c r="AF982">
        <f>IFERROR(INDEX(PP_Grid[#Data],$DE982,29),0)</f>
        <v/>
      </c>
      <c r="AG982">
        <f>IFERROR(INDEX(PP_Grid[#Data],$DE982,30),0)</f>
        <v/>
      </c>
      <c r="AH982">
        <f>IFERROR(INDEX(PP_Grid[#Data],$DE982,31),0)</f>
        <v/>
      </c>
      <c r="AI982">
        <f>IFERROR(INDEX(PP_Grid[#Data],$DE982,32),0)</f>
        <v/>
      </c>
      <c r="AJ982">
        <f>IFERROR(INDEX(PP_Grid[#Data],$DE982,33),0)</f>
        <v/>
      </c>
      <c r="AK982">
        <f>IFERROR(INDEX(PP_Grid[#Data],$DE982,34),0)</f>
        <v/>
      </c>
      <c r="AL982">
        <f>IFERROR(INDEX(PP_Grid[#Data],$DE982,35),0)</f>
        <v/>
      </c>
      <c r="AM982">
        <f>IFERROR(INDEX(PP_Grid[#Data],$DE982,36),0)</f>
        <v/>
      </c>
      <c r="AN982">
        <f>IFERROR(INDEX(PP_Grid[#Data],$DE982,37),0)</f>
        <v/>
      </c>
      <c r="AO982">
        <f>IFERROR(INDEX(PP_Grid[#Data],$DE982,38),0)</f>
        <v/>
      </c>
      <c r="AP982">
        <f>IFERROR(INDEX(PP_Grid[#Data],$DE982,39),0)</f>
        <v/>
      </c>
      <c r="AQ982">
        <f>IFERROR(INDEX(PP_Grid[#Data],$DE982,40),0)</f>
        <v/>
      </c>
      <c r="AR982">
        <f>IFERROR(INDEX(PP_Grid[#Data],$DE982,41),0)</f>
        <v/>
      </c>
      <c r="AS982">
        <f>IFERROR(INDEX(PP_Grid[#Data],$DE982,42),0)</f>
        <v/>
      </c>
      <c r="AT982">
        <f>IFERROR(INDEX(PP_Grid[#Data],$DE982,43),0)</f>
        <v/>
      </c>
      <c r="AU982">
        <f>IFERROR(INDEX(PP_Grid[#Data],$DE982,44),0)</f>
        <v/>
      </c>
      <c r="AV982">
        <f>IFERROR(INDEX(PP_Grid[#Data],$DE982,45),0)</f>
        <v/>
      </c>
      <c r="AW982">
        <f>IFERROR(INDEX(PP_Grid[#Data],$DE982,46),0)</f>
        <v/>
      </c>
      <c r="AX982">
        <f>IFERROR(INDEX(PP_Grid[#Data],$DE982,47),0)</f>
        <v/>
      </c>
      <c r="AY982">
        <f>IFERROR(INDEX(PP_Grid[#Data],$DE982,48),0)</f>
        <v/>
      </c>
      <c r="AZ982">
        <f>IFERROR(INDEX(PP_Grid[#Data],$DE982,49),0)</f>
        <v/>
      </c>
      <c r="BA982">
        <f>IFERROR(INDEX(PP_Grid[#Data],$DE982,50),0)</f>
        <v/>
      </c>
      <c r="BB982">
        <f>IFERROR(INDEX(PP_Grid[#Data],$DE982,51),0)</f>
        <v/>
      </c>
      <c r="BC982">
        <f>IFERROR(INDEX(PP_Grid[#Data],$DE982,52),0)</f>
        <v/>
      </c>
      <c r="BD982">
        <f>IFERROR(INDEX(PP_Grid[#Data],$DE982,53),0)</f>
        <v/>
      </c>
      <c r="BE982">
        <f>IFERROR(INDEX(PP_Grid[#Data],$DE982,54),0)</f>
        <v/>
      </c>
      <c r="BF982">
        <f>IFERROR(INDEX(PP_Grid[#Data],$DE982,55),0)</f>
        <v/>
      </c>
      <c r="BG982">
        <f>IFERROR(INDEX(PP_Grid[#Data],$DE982,56),0)</f>
        <v/>
      </c>
      <c r="BH982">
        <f>IFERROR(INDEX(PP_Grid[#Data],$DE982,57),0)</f>
        <v/>
      </c>
      <c r="BI982">
        <f>IFERROR(INDEX(PP_Grid[#Data],$DE982,58),0)</f>
        <v/>
      </c>
      <c r="BJ982">
        <f>IFERROR(INDEX(PP_Grid[#Data],$DE982,59),0)</f>
        <v/>
      </c>
      <c r="BK982">
        <f>IFERROR(INDEX(PP_Grid[#Data],$DE982,60),0)</f>
        <v/>
      </c>
      <c r="BL982">
        <f>IFERROR(INDEX(PP_Grid[#Data],$DE982,61),0)</f>
        <v/>
      </c>
      <c r="BM982">
        <f>IFERROR(INDEX(PP_Grid[#Data],$DE982,62),0)</f>
        <v/>
      </c>
      <c r="BN982">
        <f>IFERROR(INDEX(PP_Grid[#Data],$DE982,63),0)</f>
        <v/>
      </c>
      <c r="BO982">
        <f>IFERROR(INDEX(PP_Grid[#Data],$DE982,64),0)</f>
        <v/>
      </c>
      <c r="BP982">
        <f>IFERROR(INDEX(PP_Grid[#Data],$DE982,65),0)</f>
        <v/>
      </c>
      <c r="BQ982">
        <f>IFERROR(INDEX(PP_Grid[#Data],$DE982,66),0)</f>
        <v/>
      </c>
      <c r="BR982">
        <f>IFERROR(INDEX(PP_Grid[#Data],$DE982,67),0)</f>
        <v/>
      </c>
      <c r="BS982">
        <f>IFERROR(INDEX(PP_Grid[#Data],$DE982,68),0)</f>
        <v/>
      </c>
      <c r="BT982">
        <f>IFERROR(INDEX(PP_Grid[#Data],$DE982,69),0)</f>
        <v/>
      </c>
      <c r="BU982">
        <f>IFERROR(INDEX(PP_Grid[#Data],$DE982,70),0)</f>
        <v/>
      </c>
      <c r="BV982">
        <f>IFERROR(INDEX(PP_Grid[#Data],$DE982,71),0)</f>
        <v/>
      </c>
      <c r="BW982">
        <f>IFERROR(INDEX(PP_Grid[#Data],$DE982,72),0)</f>
        <v/>
      </c>
      <c r="BX982">
        <f>IFERROR(INDEX(PP_Grid[#Data],$DE982,73),0)</f>
        <v/>
      </c>
      <c r="BY982">
        <f>IFERROR(INDEX(PP_Grid[#Data],$DE982,74),0)</f>
        <v/>
      </c>
      <c r="BZ982">
        <f>IFERROR(INDEX(PP_Grid[#Data],$DE982,75),0)</f>
        <v/>
      </c>
      <c r="CA982">
        <f>IFERROR(INDEX(PP_Grid[#Data],$DE982,76),0)</f>
        <v/>
      </c>
      <c r="CB982">
        <f>IFERROR(INDEX(PP_Grid[#Data],$DE982,77),0)</f>
        <v/>
      </c>
      <c r="CC982">
        <f>IFERROR(INDEX(PP_Grid[#Data],$DE982,78),0)</f>
        <v/>
      </c>
      <c r="CD982">
        <f>IFERROR(INDEX(PP_Grid[#Data],$DE982,79),0)</f>
        <v/>
      </c>
      <c r="CE982">
        <f>IFERROR(INDEX(PP_Grid[#Data],$DE982,80),0)</f>
        <v/>
      </c>
      <c r="CF982">
        <f>IFERROR(INDEX(PP_Grid[#Data],$DE982,81),0)</f>
        <v/>
      </c>
      <c r="CG982">
        <f>IFERROR(INDEX(PP_Grid[#Data],$DE982,82),0)</f>
        <v/>
      </c>
      <c r="CH982">
        <f>IFERROR(INDEX(PP_Grid[#Data],$DE982,83),0)</f>
        <v/>
      </c>
      <c r="CI982">
        <f>IFERROR(INDEX(PP_Grid[#Data],$DE982,84),0)</f>
        <v/>
      </c>
      <c r="CJ982">
        <f>IFERROR(INDEX(PP_Grid[#Data],$DE982,85),0)</f>
        <v/>
      </c>
      <c r="CK982">
        <f>IFERROR(INDEX(PP_Grid[#Data],$DE982,86),0)</f>
        <v/>
      </c>
      <c r="CL982">
        <f>IFERROR(INDEX(PP_Grid[#Data],$DE982,87),0)</f>
        <v/>
      </c>
      <c r="CM982">
        <f>IFERROR(INDEX(PP_Grid[#Data],$DE982,88),0)</f>
        <v/>
      </c>
      <c r="CN982">
        <f>IFERROR(INDEX(PP_Grid[#Data],$DE982,89),0)</f>
        <v/>
      </c>
      <c r="CO982">
        <f>IFERROR(INDEX(PP_Grid[#Data],$DE982,90),0)</f>
        <v/>
      </c>
      <c r="CP982">
        <f>IFERROR(INDEX(PP_Grid[#Data],$DE982,91),0)</f>
        <v/>
      </c>
      <c r="CQ982">
        <f>IFERROR(INDEX(PP_Grid[#Data],$DE982,92),0)</f>
        <v/>
      </c>
      <c r="CR982">
        <f>IFERROR(INDEX(PP_Grid[#Data],$DE982,93),0)</f>
        <v/>
      </c>
      <c r="CS982">
        <f>IFERROR(INDEX(PP_Grid[#Data],$DE982,94),0)</f>
        <v/>
      </c>
      <c r="CT982">
        <f>IFERROR(INDEX(PP_Grid[#Data],$DE982,95),0)</f>
        <v/>
      </c>
      <c r="CU982">
        <f>IFERROR(INDEX(PP_Grid[#Data],$DE982,96),0)</f>
        <v/>
      </c>
      <c r="CV982">
        <f>IFERROR(INDEX(PP_Grid[#Data],$DE982,97),0)</f>
        <v/>
      </c>
      <c r="CW982">
        <f>IFERROR(INDEX(PP_Grid[#Data],$DE982,98),0)</f>
        <v/>
      </c>
      <c r="CX982">
        <f>IFERROR(INDEX(PP_Grid[#Data],$DE982,99),0)</f>
        <v/>
      </c>
      <c r="CY982">
        <f>IFERROR(INDEX(PP_Grid[#Data],$DE982,100),0)</f>
        <v/>
      </c>
      <c r="CZ982">
        <f>IFERROR(INDEX(PP_Grid[#Data],$DE982,101),0)</f>
        <v/>
      </c>
      <c r="DA982">
        <f>IFERROR(INDEX(PP_Grid[#Data],$DE982,102),0)</f>
        <v/>
      </c>
      <c r="DB982">
        <f>IFERROR(INDEX(PP_Grid[#Data],$DE982,103),0)</f>
        <v/>
      </c>
      <c r="DC982">
        <f>IFERROR(INDEX(PP_Grid[#Data],$DE982,104),0)</f>
        <v/>
      </c>
      <c r="DD982">
        <f>IFERROR(INDEX(PP_Grid[#Data],$DE982,105),0)</f>
        <v/>
      </c>
      <c r="DE982" s="7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SUMIFS(M_BOM[RM_Qty_Per_Batch],M_BOM[Intermediate],$B982,M_BOM[RM_Code],$A971)</f>
        <v/>
      </c>
      <c r="D983">
        <f>IFERROR(INDEX(E983:DD983,$F$1),"")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  <c r="DD983">
        <f>$C983*DD982</f>
        <v/>
      </c>
    </row>
    <row r="984">
      <c r="B984" t="inlineStr">
        <is>
          <t>VSP-604</t>
        </is>
      </c>
      <c r="C984" t="inlineStr">
        <is>
          <t>No. of batches</t>
        </is>
      </c>
      <c r="D984">
        <f>IFERROR(INDEX(E984:DD984,$F$1),"")</f>
        <v/>
      </c>
      <c r="E984">
        <f>IFERROR(INDEX(PP_Grid[#Data],$DE984,2),0)</f>
        <v/>
      </c>
      <c r="F984">
        <f>IFERROR(INDEX(PP_Grid[#Data],$DE984,3),0)</f>
        <v/>
      </c>
      <c r="G984">
        <f>IFERROR(INDEX(PP_Grid[#Data],$DE984,4),0)</f>
        <v/>
      </c>
      <c r="H984">
        <f>IFERROR(INDEX(PP_Grid[#Data],$DE984,5),0)</f>
        <v/>
      </c>
      <c r="I984">
        <f>IFERROR(INDEX(PP_Grid[#Data],$DE984,6),0)</f>
        <v/>
      </c>
      <c r="J984">
        <f>IFERROR(INDEX(PP_Grid[#Data],$DE984,7),0)</f>
        <v/>
      </c>
      <c r="K984">
        <f>IFERROR(INDEX(PP_Grid[#Data],$DE984,8),0)</f>
        <v/>
      </c>
      <c r="L984">
        <f>IFERROR(INDEX(PP_Grid[#Data],$DE984,9),0)</f>
        <v/>
      </c>
      <c r="M984">
        <f>IFERROR(INDEX(PP_Grid[#Data],$DE984,10),0)</f>
        <v/>
      </c>
      <c r="N984">
        <f>IFERROR(INDEX(PP_Grid[#Data],$DE984,11),0)</f>
        <v/>
      </c>
      <c r="O984">
        <f>IFERROR(INDEX(PP_Grid[#Data],$DE984,12),0)</f>
        <v/>
      </c>
      <c r="P984">
        <f>IFERROR(INDEX(PP_Grid[#Data],$DE984,13),0)</f>
        <v/>
      </c>
      <c r="Q984">
        <f>IFERROR(INDEX(PP_Grid[#Data],$DE984,14),0)</f>
        <v/>
      </c>
      <c r="R984">
        <f>IFERROR(INDEX(PP_Grid[#Data],$DE984,15),0)</f>
        <v/>
      </c>
      <c r="S984">
        <f>IFERROR(INDEX(PP_Grid[#Data],$DE984,16),0)</f>
        <v/>
      </c>
      <c r="T984">
        <f>IFERROR(INDEX(PP_Grid[#Data],$DE984,17),0)</f>
        <v/>
      </c>
      <c r="U984">
        <f>IFERROR(INDEX(PP_Grid[#Data],$DE984,18),0)</f>
        <v/>
      </c>
      <c r="V984">
        <f>IFERROR(INDEX(PP_Grid[#Data],$DE984,19),0)</f>
        <v/>
      </c>
      <c r="W984">
        <f>IFERROR(INDEX(PP_Grid[#Data],$DE984,20),0)</f>
        <v/>
      </c>
      <c r="X984">
        <f>IFERROR(INDEX(PP_Grid[#Data],$DE984,21),0)</f>
        <v/>
      </c>
      <c r="Y984">
        <f>IFERROR(INDEX(PP_Grid[#Data],$DE984,22),0)</f>
        <v/>
      </c>
      <c r="Z984">
        <f>IFERROR(INDEX(PP_Grid[#Data],$DE984,23),0)</f>
        <v/>
      </c>
      <c r="AA984">
        <f>IFERROR(INDEX(PP_Grid[#Data],$DE984,24),0)</f>
        <v/>
      </c>
      <c r="AB984">
        <f>IFERROR(INDEX(PP_Grid[#Data],$DE984,25),0)</f>
        <v/>
      </c>
      <c r="AC984">
        <f>IFERROR(INDEX(PP_Grid[#Data],$DE984,26),0)</f>
        <v/>
      </c>
      <c r="AD984">
        <f>IFERROR(INDEX(PP_Grid[#Data],$DE984,27),0)</f>
        <v/>
      </c>
      <c r="AE984">
        <f>IFERROR(INDEX(PP_Grid[#Data],$DE984,28),0)</f>
        <v/>
      </c>
      <c r="AF984">
        <f>IFERROR(INDEX(PP_Grid[#Data],$DE984,29),0)</f>
        <v/>
      </c>
      <c r="AG984">
        <f>IFERROR(INDEX(PP_Grid[#Data],$DE984,30),0)</f>
        <v/>
      </c>
      <c r="AH984">
        <f>IFERROR(INDEX(PP_Grid[#Data],$DE984,31),0)</f>
        <v/>
      </c>
      <c r="AI984">
        <f>IFERROR(INDEX(PP_Grid[#Data],$DE984,32),0)</f>
        <v/>
      </c>
      <c r="AJ984">
        <f>IFERROR(INDEX(PP_Grid[#Data],$DE984,33),0)</f>
        <v/>
      </c>
      <c r="AK984">
        <f>IFERROR(INDEX(PP_Grid[#Data],$DE984,34),0)</f>
        <v/>
      </c>
      <c r="AL984">
        <f>IFERROR(INDEX(PP_Grid[#Data],$DE984,35),0)</f>
        <v/>
      </c>
      <c r="AM984">
        <f>IFERROR(INDEX(PP_Grid[#Data],$DE984,36),0)</f>
        <v/>
      </c>
      <c r="AN984">
        <f>IFERROR(INDEX(PP_Grid[#Data],$DE984,37),0)</f>
        <v/>
      </c>
      <c r="AO984">
        <f>IFERROR(INDEX(PP_Grid[#Data],$DE984,38),0)</f>
        <v/>
      </c>
      <c r="AP984">
        <f>IFERROR(INDEX(PP_Grid[#Data],$DE984,39),0)</f>
        <v/>
      </c>
      <c r="AQ984">
        <f>IFERROR(INDEX(PP_Grid[#Data],$DE984,40),0)</f>
        <v/>
      </c>
      <c r="AR984">
        <f>IFERROR(INDEX(PP_Grid[#Data],$DE984,41),0)</f>
        <v/>
      </c>
      <c r="AS984">
        <f>IFERROR(INDEX(PP_Grid[#Data],$DE984,42),0)</f>
        <v/>
      </c>
      <c r="AT984">
        <f>IFERROR(INDEX(PP_Grid[#Data],$DE984,43),0)</f>
        <v/>
      </c>
      <c r="AU984">
        <f>IFERROR(INDEX(PP_Grid[#Data],$DE984,44),0)</f>
        <v/>
      </c>
      <c r="AV984">
        <f>IFERROR(INDEX(PP_Grid[#Data],$DE984,45),0)</f>
        <v/>
      </c>
      <c r="AW984">
        <f>IFERROR(INDEX(PP_Grid[#Data],$DE984,46),0)</f>
        <v/>
      </c>
      <c r="AX984">
        <f>IFERROR(INDEX(PP_Grid[#Data],$DE984,47),0)</f>
        <v/>
      </c>
      <c r="AY984">
        <f>IFERROR(INDEX(PP_Grid[#Data],$DE984,48),0)</f>
        <v/>
      </c>
      <c r="AZ984">
        <f>IFERROR(INDEX(PP_Grid[#Data],$DE984,49),0)</f>
        <v/>
      </c>
      <c r="BA984">
        <f>IFERROR(INDEX(PP_Grid[#Data],$DE984,50),0)</f>
        <v/>
      </c>
      <c r="BB984">
        <f>IFERROR(INDEX(PP_Grid[#Data],$DE984,51),0)</f>
        <v/>
      </c>
      <c r="BC984">
        <f>IFERROR(INDEX(PP_Grid[#Data],$DE984,52),0)</f>
        <v/>
      </c>
      <c r="BD984">
        <f>IFERROR(INDEX(PP_Grid[#Data],$DE984,53),0)</f>
        <v/>
      </c>
      <c r="BE984">
        <f>IFERROR(INDEX(PP_Grid[#Data],$DE984,54),0)</f>
        <v/>
      </c>
      <c r="BF984">
        <f>IFERROR(INDEX(PP_Grid[#Data],$DE984,55),0)</f>
        <v/>
      </c>
      <c r="BG984">
        <f>IFERROR(INDEX(PP_Grid[#Data],$DE984,56),0)</f>
        <v/>
      </c>
      <c r="BH984">
        <f>IFERROR(INDEX(PP_Grid[#Data],$DE984,57),0)</f>
        <v/>
      </c>
      <c r="BI984">
        <f>IFERROR(INDEX(PP_Grid[#Data],$DE984,58),0)</f>
        <v/>
      </c>
      <c r="BJ984">
        <f>IFERROR(INDEX(PP_Grid[#Data],$DE984,59),0)</f>
        <v/>
      </c>
      <c r="BK984">
        <f>IFERROR(INDEX(PP_Grid[#Data],$DE984,60),0)</f>
        <v/>
      </c>
      <c r="BL984">
        <f>IFERROR(INDEX(PP_Grid[#Data],$DE984,61),0)</f>
        <v/>
      </c>
      <c r="BM984">
        <f>IFERROR(INDEX(PP_Grid[#Data],$DE984,62),0)</f>
        <v/>
      </c>
      <c r="BN984">
        <f>IFERROR(INDEX(PP_Grid[#Data],$DE984,63),0)</f>
        <v/>
      </c>
      <c r="BO984">
        <f>IFERROR(INDEX(PP_Grid[#Data],$DE984,64),0)</f>
        <v/>
      </c>
      <c r="BP984">
        <f>IFERROR(INDEX(PP_Grid[#Data],$DE984,65),0)</f>
        <v/>
      </c>
      <c r="BQ984">
        <f>IFERROR(INDEX(PP_Grid[#Data],$DE984,66),0)</f>
        <v/>
      </c>
      <c r="BR984">
        <f>IFERROR(INDEX(PP_Grid[#Data],$DE984,67),0)</f>
        <v/>
      </c>
      <c r="BS984">
        <f>IFERROR(INDEX(PP_Grid[#Data],$DE984,68),0)</f>
        <v/>
      </c>
      <c r="BT984">
        <f>IFERROR(INDEX(PP_Grid[#Data],$DE984,69),0)</f>
        <v/>
      </c>
      <c r="BU984">
        <f>IFERROR(INDEX(PP_Grid[#Data],$DE984,70),0)</f>
        <v/>
      </c>
      <c r="BV984">
        <f>IFERROR(INDEX(PP_Grid[#Data],$DE984,71),0)</f>
        <v/>
      </c>
      <c r="BW984">
        <f>IFERROR(INDEX(PP_Grid[#Data],$DE984,72),0)</f>
        <v/>
      </c>
      <c r="BX984">
        <f>IFERROR(INDEX(PP_Grid[#Data],$DE984,73),0)</f>
        <v/>
      </c>
      <c r="BY984">
        <f>IFERROR(INDEX(PP_Grid[#Data],$DE984,74),0)</f>
        <v/>
      </c>
      <c r="BZ984">
        <f>IFERROR(INDEX(PP_Grid[#Data],$DE984,75),0)</f>
        <v/>
      </c>
      <c r="CA984">
        <f>IFERROR(INDEX(PP_Grid[#Data],$DE984,76),0)</f>
        <v/>
      </c>
      <c r="CB984">
        <f>IFERROR(INDEX(PP_Grid[#Data],$DE984,77),0)</f>
        <v/>
      </c>
      <c r="CC984">
        <f>IFERROR(INDEX(PP_Grid[#Data],$DE984,78),0)</f>
        <v/>
      </c>
      <c r="CD984">
        <f>IFERROR(INDEX(PP_Grid[#Data],$DE984,79),0)</f>
        <v/>
      </c>
      <c r="CE984">
        <f>IFERROR(INDEX(PP_Grid[#Data],$DE984,80),0)</f>
        <v/>
      </c>
      <c r="CF984">
        <f>IFERROR(INDEX(PP_Grid[#Data],$DE984,81),0)</f>
        <v/>
      </c>
      <c r="CG984">
        <f>IFERROR(INDEX(PP_Grid[#Data],$DE984,82),0)</f>
        <v/>
      </c>
      <c r="CH984">
        <f>IFERROR(INDEX(PP_Grid[#Data],$DE984,83),0)</f>
        <v/>
      </c>
      <c r="CI984">
        <f>IFERROR(INDEX(PP_Grid[#Data],$DE984,84),0)</f>
        <v/>
      </c>
      <c r="CJ984">
        <f>IFERROR(INDEX(PP_Grid[#Data],$DE984,85),0)</f>
        <v/>
      </c>
      <c r="CK984">
        <f>IFERROR(INDEX(PP_Grid[#Data],$DE984,86),0)</f>
        <v/>
      </c>
      <c r="CL984">
        <f>IFERROR(INDEX(PP_Grid[#Data],$DE984,87),0)</f>
        <v/>
      </c>
      <c r="CM984">
        <f>IFERROR(INDEX(PP_Grid[#Data],$DE984,88),0)</f>
        <v/>
      </c>
      <c r="CN984">
        <f>IFERROR(INDEX(PP_Grid[#Data],$DE984,89),0)</f>
        <v/>
      </c>
      <c r="CO984">
        <f>IFERROR(INDEX(PP_Grid[#Data],$DE984,90),0)</f>
        <v/>
      </c>
      <c r="CP984">
        <f>IFERROR(INDEX(PP_Grid[#Data],$DE984,91),0)</f>
        <v/>
      </c>
      <c r="CQ984">
        <f>IFERROR(INDEX(PP_Grid[#Data],$DE984,92),0)</f>
        <v/>
      </c>
      <c r="CR984">
        <f>IFERROR(INDEX(PP_Grid[#Data],$DE984,93),0)</f>
        <v/>
      </c>
      <c r="CS984">
        <f>IFERROR(INDEX(PP_Grid[#Data],$DE984,94),0)</f>
        <v/>
      </c>
      <c r="CT984">
        <f>IFERROR(INDEX(PP_Grid[#Data],$DE984,95),0)</f>
        <v/>
      </c>
      <c r="CU984">
        <f>IFERROR(INDEX(PP_Grid[#Data],$DE984,96),0)</f>
        <v/>
      </c>
      <c r="CV984">
        <f>IFERROR(INDEX(PP_Grid[#Data],$DE984,97),0)</f>
        <v/>
      </c>
      <c r="CW984">
        <f>IFERROR(INDEX(PP_Grid[#Data],$DE984,98),0)</f>
        <v/>
      </c>
      <c r="CX984">
        <f>IFERROR(INDEX(PP_Grid[#Data],$DE984,99),0)</f>
        <v/>
      </c>
      <c r="CY984">
        <f>IFERROR(INDEX(PP_Grid[#Data],$DE984,100),0)</f>
        <v/>
      </c>
      <c r="CZ984">
        <f>IFERROR(INDEX(PP_Grid[#Data],$DE984,101),0)</f>
        <v/>
      </c>
      <c r="DA984">
        <f>IFERROR(INDEX(PP_Grid[#Data],$DE984,102),0)</f>
        <v/>
      </c>
      <c r="DB984">
        <f>IFERROR(INDEX(PP_Grid[#Data],$DE984,103),0)</f>
        <v/>
      </c>
      <c r="DC984">
        <f>IFERROR(INDEX(PP_Grid[#Data],$DE984,104),0)</f>
        <v/>
      </c>
      <c r="DD984">
        <f>IFERROR(INDEX(PP_Grid[#Data],$DE984,105),0)</f>
        <v/>
      </c>
      <c r="DE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SUMIFS(M_BOM[RM_Qty_Per_Batch],M_BOM[Intermediate],$B984,M_BOM[RM_Code],$A971)</f>
        <v/>
      </c>
      <c r="D985">
        <f>IFERROR(INDEX(E985:DD985,$F$1),"")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  <c r="DD985">
        <f>$C985*DD984</f>
        <v/>
      </c>
    </row>
    <row r="986">
      <c r="B986" t="inlineStr">
        <is>
          <t>VSP-606</t>
        </is>
      </c>
      <c r="C986" t="inlineStr">
        <is>
          <t>No. of batches</t>
        </is>
      </c>
      <c r="D986">
        <f>IFERROR(INDEX(E986:DD986,$F$1),"")</f>
        <v/>
      </c>
      <c r="E986">
        <f>IFERROR(INDEX(PP_Grid[#Data],$DE986,2),0)</f>
        <v/>
      </c>
      <c r="F986">
        <f>IFERROR(INDEX(PP_Grid[#Data],$DE986,3),0)</f>
        <v/>
      </c>
      <c r="G986">
        <f>IFERROR(INDEX(PP_Grid[#Data],$DE986,4),0)</f>
        <v/>
      </c>
      <c r="H986">
        <f>IFERROR(INDEX(PP_Grid[#Data],$DE986,5),0)</f>
        <v/>
      </c>
      <c r="I986">
        <f>IFERROR(INDEX(PP_Grid[#Data],$DE986,6),0)</f>
        <v/>
      </c>
      <c r="J986">
        <f>IFERROR(INDEX(PP_Grid[#Data],$DE986,7),0)</f>
        <v/>
      </c>
      <c r="K986">
        <f>IFERROR(INDEX(PP_Grid[#Data],$DE986,8),0)</f>
        <v/>
      </c>
      <c r="L986">
        <f>IFERROR(INDEX(PP_Grid[#Data],$DE986,9),0)</f>
        <v/>
      </c>
      <c r="M986">
        <f>IFERROR(INDEX(PP_Grid[#Data],$DE986,10),0)</f>
        <v/>
      </c>
      <c r="N986">
        <f>IFERROR(INDEX(PP_Grid[#Data],$DE986,11),0)</f>
        <v/>
      </c>
      <c r="O986">
        <f>IFERROR(INDEX(PP_Grid[#Data],$DE986,12),0)</f>
        <v/>
      </c>
      <c r="P986">
        <f>IFERROR(INDEX(PP_Grid[#Data],$DE986,13),0)</f>
        <v/>
      </c>
      <c r="Q986">
        <f>IFERROR(INDEX(PP_Grid[#Data],$DE986,14),0)</f>
        <v/>
      </c>
      <c r="R986">
        <f>IFERROR(INDEX(PP_Grid[#Data],$DE986,15),0)</f>
        <v/>
      </c>
      <c r="S986">
        <f>IFERROR(INDEX(PP_Grid[#Data],$DE986,16),0)</f>
        <v/>
      </c>
      <c r="T986">
        <f>IFERROR(INDEX(PP_Grid[#Data],$DE986,17),0)</f>
        <v/>
      </c>
      <c r="U986">
        <f>IFERROR(INDEX(PP_Grid[#Data],$DE986,18),0)</f>
        <v/>
      </c>
      <c r="V986">
        <f>IFERROR(INDEX(PP_Grid[#Data],$DE986,19),0)</f>
        <v/>
      </c>
      <c r="W986">
        <f>IFERROR(INDEX(PP_Grid[#Data],$DE986,20),0)</f>
        <v/>
      </c>
      <c r="X986">
        <f>IFERROR(INDEX(PP_Grid[#Data],$DE986,21),0)</f>
        <v/>
      </c>
      <c r="Y986">
        <f>IFERROR(INDEX(PP_Grid[#Data],$DE986,22),0)</f>
        <v/>
      </c>
      <c r="Z986">
        <f>IFERROR(INDEX(PP_Grid[#Data],$DE986,23),0)</f>
        <v/>
      </c>
      <c r="AA986">
        <f>IFERROR(INDEX(PP_Grid[#Data],$DE986,24),0)</f>
        <v/>
      </c>
      <c r="AB986">
        <f>IFERROR(INDEX(PP_Grid[#Data],$DE986,25),0)</f>
        <v/>
      </c>
      <c r="AC986">
        <f>IFERROR(INDEX(PP_Grid[#Data],$DE986,26),0)</f>
        <v/>
      </c>
      <c r="AD986">
        <f>IFERROR(INDEX(PP_Grid[#Data],$DE986,27),0)</f>
        <v/>
      </c>
      <c r="AE986">
        <f>IFERROR(INDEX(PP_Grid[#Data],$DE986,28),0)</f>
        <v/>
      </c>
      <c r="AF986">
        <f>IFERROR(INDEX(PP_Grid[#Data],$DE986,29),0)</f>
        <v/>
      </c>
      <c r="AG986">
        <f>IFERROR(INDEX(PP_Grid[#Data],$DE986,30),0)</f>
        <v/>
      </c>
      <c r="AH986">
        <f>IFERROR(INDEX(PP_Grid[#Data],$DE986,31),0)</f>
        <v/>
      </c>
      <c r="AI986">
        <f>IFERROR(INDEX(PP_Grid[#Data],$DE986,32),0)</f>
        <v/>
      </c>
      <c r="AJ986">
        <f>IFERROR(INDEX(PP_Grid[#Data],$DE986,33),0)</f>
        <v/>
      </c>
      <c r="AK986">
        <f>IFERROR(INDEX(PP_Grid[#Data],$DE986,34),0)</f>
        <v/>
      </c>
      <c r="AL986">
        <f>IFERROR(INDEX(PP_Grid[#Data],$DE986,35),0)</f>
        <v/>
      </c>
      <c r="AM986">
        <f>IFERROR(INDEX(PP_Grid[#Data],$DE986,36),0)</f>
        <v/>
      </c>
      <c r="AN986">
        <f>IFERROR(INDEX(PP_Grid[#Data],$DE986,37),0)</f>
        <v/>
      </c>
      <c r="AO986">
        <f>IFERROR(INDEX(PP_Grid[#Data],$DE986,38),0)</f>
        <v/>
      </c>
      <c r="AP986">
        <f>IFERROR(INDEX(PP_Grid[#Data],$DE986,39),0)</f>
        <v/>
      </c>
      <c r="AQ986">
        <f>IFERROR(INDEX(PP_Grid[#Data],$DE986,40),0)</f>
        <v/>
      </c>
      <c r="AR986">
        <f>IFERROR(INDEX(PP_Grid[#Data],$DE986,41),0)</f>
        <v/>
      </c>
      <c r="AS986">
        <f>IFERROR(INDEX(PP_Grid[#Data],$DE986,42),0)</f>
        <v/>
      </c>
      <c r="AT986">
        <f>IFERROR(INDEX(PP_Grid[#Data],$DE986,43),0)</f>
        <v/>
      </c>
      <c r="AU986">
        <f>IFERROR(INDEX(PP_Grid[#Data],$DE986,44),0)</f>
        <v/>
      </c>
      <c r="AV986">
        <f>IFERROR(INDEX(PP_Grid[#Data],$DE986,45),0)</f>
        <v/>
      </c>
      <c r="AW986">
        <f>IFERROR(INDEX(PP_Grid[#Data],$DE986,46),0)</f>
        <v/>
      </c>
      <c r="AX986">
        <f>IFERROR(INDEX(PP_Grid[#Data],$DE986,47),0)</f>
        <v/>
      </c>
      <c r="AY986">
        <f>IFERROR(INDEX(PP_Grid[#Data],$DE986,48),0)</f>
        <v/>
      </c>
      <c r="AZ986">
        <f>IFERROR(INDEX(PP_Grid[#Data],$DE986,49),0)</f>
        <v/>
      </c>
      <c r="BA986">
        <f>IFERROR(INDEX(PP_Grid[#Data],$DE986,50),0)</f>
        <v/>
      </c>
      <c r="BB986">
        <f>IFERROR(INDEX(PP_Grid[#Data],$DE986,51),0)</f>
        <v/>
      </c>
      <c r="BC986">
        <f>IFERROR(INDEX(PP_Grid[#Data],$DE986,52),0)</f>
        <v/>
      </c>
      <c r="BD986">
        <f>IFERROR(INDEX(PP_Grid[#Data],$DE986,53),0)</f>
        <v/>
      </c>
      <c r="BE986">
        <f>IFERROR(INDEX(PP_Grid[#Data],$DE986,54),0)</f>
        <v/>
      </c>
      <c r="BF986">
        <f>IFERROR(INDEX(PP_Grid[#Data],$DE986,55),0)</f>
        <v/>
      </c>
      <c r="BG986">
        <f>IFERROR(INDEX(PP_Grid[#Data],$DE986,56),0)</f>
        <v/>
      </c>
      <c r="BH986">
        <f>IFERROR(INDEX(PP_Grid[#Data],$DE986,57),0)</f>
        <v/>
      </c>
      <c r="BI986">
        <f>IFERROR(INDEX(PP_Grid[#Data],$DE986,58),0)</f>
        <v/>
      </c>
      <c r="BJ986">
        <f>IFERROR(INDEX(PP_Grid[#Data],$DE986,59),0)</f>
        <v/>
      </c>
      <c r="BK986">
        <f>IFERROR(INDEX(PP_Grid[#Data],$DE986,60),0)</f>
        <v/>
      </c>
      <c r="BL986">
        <f>IFERROR(INDEX(PP_Grid[#Data],$DE986,61),0)</f>
        <v/>
      </c>
      <c r="BM986">
        <f>IFERROR(INDEX(PP_Grid[#Data],$DE986,62),0)</f>
        <v/>
      </c>
      <c r="BN986">
        <f>IFERROR(INDEX(PP_Grid[#Data],$DE986,63),0)</f>
        <v/>
      </c>
      <c r="BO986">
        <f>IFERROR(INDEX(PP_Grid[#Data],$DE986,64),0)</f>
        <v/>
      </c>
      <c r="BP986">
        <f>IFERROR(INDEX(PP_Grid[#Data],$DE986,65),0)</f>
        <v/>
      </c>
      <c r="BQ986">
        <f>IFERROR(INDEX(PP_Grid[#Data],$DE986,66),0)</f>
        <v/>
      </c>
      <c r="BR986">
        <f>IFERROR(INDEX(PP_Grid[#Data],$DE986,67),0)</f>
        <v/>
      </c>
      <c r="BS986">
        <f>IFERROR(INDEX(PP_Grid[#Data],$DE986,68),0)</f>
        <v/>
      </c>
      <c r="BT986">
        <f>IFERROR(INDEX(PP_Grid[#Data],$DE986,69),0)</f>
        <v/>
      </c>
      <c r="BU986">
        <f>IFERROR(INDEX(PP_Grid[#Data],$DE986,70),0)</f>
        <v/>
      </c>
      <c r="BV986">
        <f>IFERROR(INDEX(PP_Grid[#Data],$DE986,71),0)</f>
        <v/>
      </c>
      <c r="BW986">
        <f>IFERROR(INDEX(PP_Grid[#Data],$DE986,72),0)</f>
        <v/>
      </c>
      <c r="BX986">
        <f>IFERROR(INDEX(PP_Grid[#Data],$DE986,73),0)</f>
        <v/>
      </c>
      <c r="BY986">
        <f>IFERROR(INDEX(PP_Grid[#Data],$DE986,74),0)</f>
        <v/>
      </c>
      <c r="BZ986">
        <f>IFERROR(INDEX(PP_Grid[#Data],$DE986,75),0)</f>
        <v/>
      </c>
      <c r="CA986">
        <f>IFERROR(INDEX(PP_Grid[#Data],$DE986,76),0)</f>
        <v/>
      </c>
      <c r="CB986">
        <f>IFERROR(INDEX(PP_Grid[#Data],$DE986,77),0)</f>
        <v/>
      </c>
      <c r="CC986">
        <f>IFERROR(INDEX(PP_Grid[#Data],$DE986,78),0)</f>
        <v/>
      </c>
      <c r="CD986">
        <f>IFERROR(INDEX(PP_Grid[#Data],$DE986,79),0)</f>
        <v/>
      </c>
      <c r="CE986">
        <f>IFERROR(INDEX(PP_Grid[#Data],$DE986,80),0)</f>
        <v/>
      </c>
      <c r="CF986">
        <f>IFERROR(INDEX(PP_Grid[#Data],$DE986,81),0)</f>
        <v/>
      </c>
      <c r="CG986">
        <f>IFERROR(INDEX(PP_Grid[#Data],$DE986,82),0)</f>
        <v/>
      </c>
      <c r="CH986">
        <f>IFERROR(INDEX(PP_Grid[#Data],$DE986,83),0)</f>
        <v/>
      </c>
      <c r="CI986">
        <f>IFERROR(INDEX(PP_Grid[#Data],$DE986,84),0)</f>
        <v/>
      </c>
      <c r="CJ986">
        <f>IFERROR(INDEX(PP_Grid[#Data],$DE986,85),0)</f>
        <v/>
      </c>
      <c r="CK986">
        <f>IFERROR(INDEX(PP_Grid[#Data],$DE986,86),0)</f>
        <v/>
      </c>
      <c r="CL986">
        <f>IFERROR(INDEX(PP_Grid[#Data],$DE986,87),0)</f>
        <v/>
      </c>
      <c r="CM986">
        <f>IFERROR(INDEX(PP_Grid[#Data],$DE986,88),0)</f>
        <v/>
      </c>
      <c r="CN986">
        <f>IFERROR(INDEX(PP_Grid[#Data],$DE986,89),0)</f>
        <v/>
      </c>
      <c r="CO986">
        <f>IFERROR(INDEX(PP_Grid[#Data],$DE986,90),0)</f>
        <v/>
      </c>
      <c r="CP986">
        <f>IFERROR(INDEX(PP_Grid[#Data],$DE986,91),0)</f>
        <v/>
      </c>
      <c r="CQ986">
        <f>IFERROR(INDEX(PP_Grid[#Data],$DE986,92),0)</f>
        <v/>
      </c>
      <c r="CR986">
        <f>IFERROR(INDEX(PP_Grid[#Data],$DE986,93),0)</f>
        <v/>
      </c>
      <c r="CS986">
        <f>IFERROR(INDEX(PP_Grid[#Data],$DE986,94),0)</f>
        <v/>
      </c>
      <c r="CT986">
        <f>IFERROR(INDEX(PP_Grid[#Data],$DE986,95),0)</f>
        <v/>
      </c>
      <c r="CU986">
        <f>IFERROR(INDEX(PP_Grid[#Data],$DE986,96),0)</f>
        <v/>
      </c>
      <c r="CV986">
        <f>IFERROR(INDEX(PP_Grid[#Data],$DE986,97),0)</f>
        <v/>
      </c>
      <c r="CW986">
        <f>IFERROR(INDEX(PP_Grid[#Data],$DE986,98),0)</f>
        <v/>
      </c>
      <c r="CX986">
        <f>IFERROR(INDEX(PP_Grid[#Data],$DE986,99),0)</f>
        <v/>
      </c>
      <c r="CY986">
        <f>IFERROR(INDEX(PP_Grid[#Data],$DE986,100),0)</f>
        <v/>
      </c>
      <c r="CZ986">
        <f>IFERROR(INDEX(PP_Grid[#Data],$DE986,101),0)</f>
        <v/>
      </c>
      <c r="DA986">
        <f>IFERROR(INDEX(PP_Grid[#Data],$DE986,102),0)</f>
        <v/>
      </c>
      <c r="DB986">
        <f>IFERROR(INDEX(PP_Grid[#Data],$DE986,103),0)</f>
        <v/>
      </c>
      <c r="DC986">
        <f>IFERROR(INDEX(PP_Grid[#Data],$DE986,104),0)</f>
        <v/>
      </c>
      <c r="DD986">
        <f>IFERROR(INDEX(PP_Grid[#Data],$DE986,105),0)</f>
        <v/>
      </c>
      <c r="DE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SUMIFS(M_BOM[RM_Qty_Per_Batch],M_BOM[Intermediate],$B986,M_BOM[RM_Code],$A971)</f>
        <v/>
      </c>
      <c r="D987">
        <f>IFERROR(INDEX(E987:DD987,$F$1),"")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  <c r="DD987">
        <f>$C987*DD986</f>
        <v/>
      </c>
    </row>
    <row r="988">
      <c r="B988" t="inlineStr">
        <is>
          <t>VSP-607</t>
        </is>
      </c>
      <c r="C988" t="inlineStr">
        <is>
          <t>No. of batches</t>
        </is>
      </c>
      <c r="D988">
        <f>IFERROR(INDEX(E988:DD988,$F$1),"")</f>
        <v/>
      </c>
      <c r="E988">
        <f>IFERROR(INDEX(PP_Grid[#Data],$DE988,2),0)</f>
        <v/>
      </c>
      <c r="F988">
        <f>IFERROR(INDEX(PP_Grid[#Data],$DE988,3),0)</f>
        <v/>
      </c>
      <c r="G988">
        <f>IFERROR(INDEX(PP_Grid[#Data],$DE988,4),0)</f>
        <v/>
      </c>
      <c r="H988">
        <f>IFERROR(INDEX(PP_Grid[#Data],$DE988,5),0)</f>
        <v/>
      </c>
      <c r="I988">
        <f>IFERROR(INDEX(PP_Grid[#Data],$DE988,6),0)</f>
        <v/>
      </c>
      <c r="J988">
        <f>IFERROR(INDEX(PP_Grid[#Data],$DE988,7),0)</f>
        <v/>
      </c>
      <c r="K988">
        <f>IFERROR(INDEX(PP_Grid[#Data],$DE988,8),0)</f>
        <v/>
      </c>
      <c r="L988">
        <f>IFERROR(INDEX(PP_Grid[#Data],$DE988,9),0)</f>
        <v/>
      </c>
      <c r="M988">
        <f>IFERROR(INDEX(PP_Grid[#Data],$DE988,10),0)</f>
        <v/>
      </c>
      <c r="N988">
        <f>IFERROR(INDEX(PP_Grid[#Data],$DE988,11),0)</f>
        <v/>
      </c>
      <c r="O988">
        <f>IFERROR(INDEX(PP_Grid[#Data],$DE988,12),0)</f>
        <v/>
      </c>
      <c r="P988">
        <f>IFERROR(INDEX(PP_Grid[#Data],$DE988,13),0)</f>
        <v/>
      </c>
      <c r="Q988">
        <f>IFERROR(INDEX(PP_Grid[#Data],$DE988,14),0)</f>
        <v/>
      </c>
      <c r="R988">
        <f>IFERROR(INDEX(PP_Grid[#Data],$DE988,15),0)</f>
        <v/>
      </c>
      <c r="S988">
        <f>IFERROR(INDEX(PP_Grid[#Data],$DE988,16),0)</f>
        <v/>
      </c>
      <c r="T988">
        <f>IFERROR(INDEX(PP_Grid[#Data],$DE988,17),0)</f>
        <v/>
      </c>
      <c r="U988">
        <f>IFERROR(INDEX(PP_Grid[#Data],$DE988,18),0)</f>
        <v/>
      </c>
      <c r="V988">
        <f>IFERROR(INDEX(PP_Grid[#Data],$DE988,19),0)</f>
        <v/>
      </c>
      <c r="W988">
        <f>IFERROR(INDEX(PP_Grid[#Data],$DE988,20),0)</f>
        <v/>
      </c>
      <c r="X988">
        <f>IFERROR(INDEX(PP_Grid[#Data],$DE988,21),0)</f>
        <v/>
      </c>
      <c r="Y988">
        <f>IFERROR(INDEX(PP_Grid[#Data],$DE988,22),0)</f>
        <v/>
      </c>
      <c r="Z988">
        <f>IFERROR(INDEX(PP_Grid[#Data],$DE988,23),0)</f>
        <v/>
      </c>
      <c r="AA988">
        <f>IFERROR(INDEX(PP_Grid[#Data],$DE988,24),0)</f>
        <v/>
      </c>
      <c r="AB988">
        <f>IFERROR(INDEX(PP_Grid[#Data],$DE988,25),0)</f>
        <v/>
      </c>
      <c r="AC988">
        <f>IFERROR(INDEX(PP_Grid[#Data],$DE988,26),0)</f>
        <v/>
      </c>
      <c r="AD988">
        <f>IFERROR(INDEX(PP_Grid[#Data],$DE988,27),0)</f>
        <v/>
      </c>
      <c r="AE988">
        <f>IFERROR(INDEX(PP_Grid[#Data],$DE988,28),0)</f>
        <v/>
      </c>
      <c r="AF988">
        <f>IFERROR(INDEX(PP_Grid[#Data],$DE988,29),0)</f>
        <v/>
      </c>
      <c r="AG988">
        <f>IFERROR(INDEX(PP_Grid[#Data],$DE988,30),0)</f>
        <v/>
      </c>
      <c r="AH988">
        <f>IFERROR(INDEX(PP_Grid[#Data],$DE988,31),0)</f>
        <v/>
      </c>
      <c r="AI988">
        <f>IFERROR(INDEX(PP_Grid[#Data],$DE988,32),0)</f>
        <v/>
      </c>
      <c r="AJ988">
        <f>IFERROR(INDEX(PP_Grid[#Data],$DE988,33),0)</f>
        <v/>
      </c>
      <c r="AK988">
        <f>IFERROR(INDEX(PP_Grid[#Data],$DE988,34),0)</f>
        <v/>
      </c>
      <c r="AL988">
        <f>IFERROR(INDEX(PP_Grid[#Data],$DE988,35),0)</f>
        <v/>
      </c>
      <c r="AM988">
        <f>IFERROR(INDEX(PP_Grid[#Data],$DE988,36),0)</f>
        <v/>
      </c>
      <c r="AN988">
        <f>IFERROR(INDEX(PP_Grid[#Data],$DE988,37),0)</f>
        <v/>
      </c>
      <c r="AO988">
        <f>IFERROR(INDEX(PP_Grid[#Data],$DE988,38),0)</f>
        <v/>
      </c>
      <c r="AP988">
        <f>IFERROR(INDEX(PP_Grid[#Data],$DE988,39),0)</f>
        <v/>
      </c>
      <c r="AQ988">
        <f>IFERROR(INDEX(PP_Grid[#Data],$DE988,40),0)</f>
        <v/>
      </c>
      <c r="AR988">
        <f>IFERROR(INDEX(PP_Grid[#Data],$DE988,41),0)</f>
        <v/>
      </c>
      <c r="AS988">
        <f>IFERROR(INDEX(PP_Grid[#Data],$DE988,42),0)</f>
        <v/>
      </c>
      <c r="AT988">
        <f>IFERROR(INDEX(PP_Grid[#Data],$DE988,43),0)</f>
        <v/>
      </c>
      <c r="AU988">
        <f>IFERROR(INDEX(PP_Grid[#Data],$DE988,44),0)</f>
        <v/>
      </c>
      <c r="AV988">
        <f>IFERROR(INDEX(PP_Grid[#Data],$DE988,45),0)</f>
        <v/>
      </c>
      <c r="AW988">
        <f>IFERROR(INDEX(PP_Grid[#Data],$DE988,46),0)</f>
        <v/>
      </c>
      <c r="AX988">
        <f>IFERROR(INDEX(PP_Grid[#Data],$DE988,47),0)</f>
        <v/>
      </c>
      <c r="AY988">
        <f>IFERROR(INDEX(PP_Grid[#Data],$DE988,48),0)</f>
        <v/>
      </c>
      <c r="AZ988">
        <f>IFERROR(INDEX(PP_Grid[#Data],$DE988,49),0)</f>
        <v/>
      </c>
      <c r="BA988">
        <f>IFERROR(INDEX(PP_Grid[#Data],$DE988,50),0)</f>
        <v/>
      </c>
      <c r="BB988">
        <f>IFERROR(INDEX(PP_Grid[#Data],$DE988,51),0)</f>
        <v/>
      </c>
      <c r="BC988">
        <f>IFERROR(INDEX(PP_Grid[#Data],$DE988,52),0)</f>
        <v/>
      </c>
      <c r="BD988">
        <f>IFERROR(INDEX(PP_Grid[#Data],$DE988,53),0)</f>
        <v/>
      </c>
      <c r="BE988">
        <f>IFERROR(INDEX(PP_Grid[#Data],$DE988,54),0)</f>
        <v/>
      </c>
      <c r="BF988">
        <f>IFERROR(INDEX(PP_Grid[#Data],$DE988,55),0)</f>
        <v/>
      </c>
      <c r="BG988">
        <f>IFERROR(INDEX(PP_Grid[#Data],$DE988,56),0)</f>
        <v/>
      </c>
      <c r="BH988">
        <f>IFERROR(INDEX(PP_Grid[#Data],$DE988,57),0)</f>
        <v/>
      </c>
      <c r="BI988">
        <f>IFERROR(INDEX(PP_Grid[#Data],$DE988,58),0)</f>
        <v/>
      </c>
      <c r="BJ988">
        <f>IFERROR(INDEX(PP_Grid[#Data],$DE988,59),0)</f>
        <v/>
      </c>
      <c r="BK988">
        <f>IFERROR(INDEX(PP_Grid[#Data],$DE988,60),0)</f>
        <v/>
      </c>
      <c r="BL988">
        <f>IFERROR(INDEX(PP_Grid[#Data],$DE988,61),0)</f>
        <v/>
      </c>
      <c r="BM988">
        <f>IFERROR(INDEX(PP_Grid[#Data],$DE988,62),0)</f>
        <v/>
      </c>
      <c r="BN988">
        <f>IFERROR(INDEX(PP_Grid[#Data],$DE988,63),0)</f>
        <v/>
      </c>
      <c r="BO988">
        <f>IFERROR(INDEX(PP_Grid[#Data],$DE988,64),0)</f>
        <v/>
      </c>
      <c r="BP988">
        <f>IFERROR(INDEX(PP_Grid[#Data],$DE988,65),0)</f>
        <v/>
      </c>
      <c r="BQ988">
        <f>IFERROR(INDEX(PP_Grid[#Data],$DE988,66),0)</f>
        <v/>
      </c>
      <c r="BR988">
        <f>IFERROR(INDEX(PP_Grid[#Data],$DE988,67),0)</f>
        <v/>
      </c>
      <c r="BS988">
        <f>IFERROR(INDEX(PP_Grid[#Data],$DE988,68),0)</f>
        <v/>
      </c>
      <c r="BT988">
        <f>IFERROR(INDEX(PP_Grid[#Data],$DE988,69),0)</f>
        <v/>
      </c>
      <c r="BU988">
        <f>IFERROR(INDEX(PP_Grid[#Data],$DE988,70),0)</f>
        <v/>
      </c>
      <c r="BV988">
        <f>IFERROR(INDEX(PP_Grid[#Data],$DE988,71),0)</f>
        <v/>
      </c>
      <c r="BW988">
        <f>IFERROR(INDEX(PP_Grid[#Data],$DE988,72),0)</f>
        <v/>
      </c>
      <c r="BX988">
        <f>IFERROR(INDEX(PP_Grid[#Data],$DE988,73),0)</f>
        <v/>
      </c>
      <c r="BY988">
        <f>IFERROR(INDEX(PP_Grid[#Data],$DE988,74),0)</f>
        <v/>
      </c>
      <c r="BZ988">
        <f>IFERROR(INDEX(PP_Grid[#Data],$DE988,75),0)</f>
        <v/>
      </c>
      <c r="CA988">
        <f>IFERROR(INDEX(PP_Grid[#Data],$DE988,76),0)</f>
        <v/>
      </c>
      <c r="CB988">
        <f>IFERROR(INDEX(PP_Grid[#Data],$DE988,77),0)</f>
        <v/>
      </c>
      <c r="CC988">
        <f>IFERROR(INDEX(PP_Grid[#Data],$DE988,78),0)</f>
        <v/>
      </c>
      <c r="CD988">
        <f>IFERROR(INDEX(PP_Grid[#Data],$DE988,79),0)</f>
        <v/>
      </c>
      <c r="CE988">
        <f>IFERROR(INDEX(PP_Grid[#Data],$DE988,80),0)</f>
        <v/>
      </c>
      <c r="CF988">
        <f>IFERROR(INDEX(PP_Grid[#Data],$DE988,81),0)</f>
        <v/>
      </c>
      <c r="CG988">
        <f>IFERROR(INDEX(PP_Grid[#Data],$DE988,82),0)</f>
        <v/>
      </c>
      <c r="CH988">
        <f>IFERROR(INDEX(PP_Grid[#Data],$DE988,83),0)</f>
        <v/>
      </c>
      <c r="CI988">
        <f>IFERROR(INDEX(PP_Grid[#Data],$DE988,84),0)</f>
        <v/>
      </c>
      <c r="CJ988">
        <f>IFERROR(INDEX(PP_Grid[#Data],$DE988,85),0)</f>
        <v/>
      </c>
      <c r="CK988">
        <f>IFERROR(INDEX(PP_Grid[#Data],$DE988,86),0)</f>
        <v/>
      </c>
      <c r="CL988">
        <f>IFERROR(INDEX(PP_Grid[#Data],$DE988,87),0)</f>
        <v/>
      </c>
      <c r="CM988">
        <f>IFERROR(INDEX(PP_Grid[#Data],$DE988,88),0)</f>
        <v/>
      </c>
      <c r="CN988">
        <f>IFERROR(INDEX(PP_Grid[#Data],$DE988,89),0)</f>
        <v/>
      </c>
      <c r="CO988">
        <f>IFERROR(INDEX(PP_Grid[#Data],$DE988,90),0)</f>
        <v/>
      </c>
      <c r="CP988">
        <f>IFERROR(INDEX(PP_Grid[#Data],$DE988,91),0)</f>
        <v/>
      </c>
      <c r="CQ988">
        <f>IFERROR(INDEX(PP_Grid[#Data],$DE988,92),0)</f>
        <v/>
      </c>
      <c r="CR988">
        <f>IFERROR(INDEX(PP_Grid[#Data],$DE988,93),0)</f>
        <v/>
      </c>
      <c r="CS988">
        <f>IFERROR(INDEX(PP_Grid[#Data],$DE988,94),0)</f>
        <v/>
      </c>
      <c r="CT988">
        <f>IFERROR(INDEX(PP_Grid[#Data],$DE988,95),0)</f>
        <v/>
      </c>
      <c r="CU988">
        <f>IFERROR(INDEX(PP_Grid[#Data],$DE988,96),0)</f>
        <v/>
      </c>
      <c r="CV988">
        <f>IFERROR(INDEX(PP_Grid[#Data],$DE988,97),0)</f>
        <v/>
      </c>
      <c r="CW988">
        <f>IFERROR(INDEX(PP_Grid[#Data],$DE988,98),0)</f>
        <v/>
      </c>
      <c r="CX988">
        <f>IFERROR(INDEX(PP_Grid[#Data],$DE988,99),0)</f>
        <v/>
      </c>
      <c r="CY988">
        <f>IFERROR(INDEX(PP_Grid[#Data],$DE988,100),0)</f>
        <v/>
      </c>
      <c r="CZ988">
        <f>IFERROR(INDEX(PP_Grid[#Data],$DE988,101),0)</f>
        <v/>
      </c>
      <c r="DA988">
        <f>IFERROR(INDEX(PP_Grid[#Data],$DE988,102),0)</f>
        <v/>
      </c>
      <c r="DB988">
        <f>IFERROR(INDEX(PP_Grid[#Data],$DE988,103),0)</f>
        <v/>
      </c>
      <c r="DC988">
        <f>IFERROR(INDEX(PP_Grid[#Data],$DE988,104),0)</f>
        <v/>
      </c>
      <c r="DD988">
        <f>IFERROR(INDEX(PP_Grid[#Data],$DE988,105),0)</f>
        <v/>
      </c>
      <c r="DE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SUMIFS(M_BOM[RM_Qty_Per_Batch],M_BOM[Intermediate],$B988,M_BOM[RM_Code],$A971)</f>
        <v/>
      </c>
      <c r="D989">
        <f>IFERROR(INDEX(E989:DD989,$F$1),"")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  <c r="DD989">
        <f>$C989*DD988</f>
        <v/>
      </c>
    </row>
    <row r="990">
      <c r="B990" t="inlineStr">
        <is>
          <t>VSP-738</t>
        </is>
      </c>
      <c r="C990" t="inlineStr">
        <is>
          <t>No. of batches</t>
        </is>
      </c>
      <c r="D990">
        <f>IFERROR(INDEX(E990:DD990,$F$1),"")</f>
        <v/>
      </c>
      <c r="E990">
        <f>IFERROR(INDEX(PP_Grid[#Data],$DE990,2),0)</f>
        <v/>
      </c>
      <c r="F990">
        <f>IFERROR(INDEX(PP_Grid[#Data],$DE990,3),0)</f>
        <v/>
      </c>
      <c r="G990">
        <f>IFERROR(INDEX(PP_Grid[#Data],$DE990,4),0)</f>
        <v/>
      </c>
      <c r="H990">
        <f>IFERROR(INDEX(PP_Grid[#Data],$DE990,5),0)</f>
        <v/>
      </c>
      <c r="I990">
        <f>IFERROR(INDEX(PP_Grid[#Data],$DE990,6),0)</f>
        <v/>
      </c>
      <c r="J990">
        <f>IFERROR(INDEX(PP_Grid[#Data],$DE990,7),0)</f>
        <v/>
      </c>
      <c r="K990">
        <f>IFERROR(INDEX(PP_Grid[#Data],$DE990,8),0)</f>
        <v/>
      </c>
      <c r="L990">
        <f>IFERROR(INDEX(PP_Grid[#Data],$DE990,9),0)</f>
        <v/>
      </c>
      <c r="M990">
        <f>IFERROR(INDEX(PP_Grid[#Data],$DE990,10),0)</f>
        <v/>
      </c>
      <c r="N990">
        <f>IFERROR(INDEX(PP_Grid[#Data],$DE990,11),0)</f>
        <v/>
      </c>
      <c r="O990">
        <f>IFERROR(INDEX(PP_Grid[#Data],$DE990,12),0)</f>
        <v/>
      </c>
      <c r="P990">
        <f>IFERROR(INDEX(PP_Grid[#Data],$DE990,13),0)</f>
        <v/>
      </c>
      <c r="Q990">
        <f>IFERROR(INDEX(PP_Grid[#Data],$DE990,14),0)</f>
        <v/>
      </c>
      <c r="R990">
        <f>IFERROR(INDEX(PP_Grid[#Data],$DE990,15),0)</f>
        <v/>
      </c>
      <c r="S990">
        <f>IFERROR(INDEX(PP_Grid[#Data],$DE990,16),0)</f>
        <v/>
      </c>
      <c r="T990">
        <f>IFERROR(INDEX(PP_Grid[#Data],$DE990,17),0)</f>
        <v/>
      </c>
      <c r="U990">
        <f>IFERROR(INDEX(PP_Grid[#Data],$DE990,18),0)</f>
        <v/>
      </c>
      <c r="V990">
        <f>IFERROR(INDEX(PP_Grid[#Data],$DE990,19),0)</f>
        <v/>
      </c>
      <c r="W990">
        <f>IFERROR(INDEX(PP_Grid[#Data],$DE990,20),0)</f>
        <v/>
      </c>
      <c r="X990">
        <f>IFERROR(INDEX(PP_Grid[#Data],$DE990,21),0)</f>
        <v/>
      </c>
      <c r="Y990">
        <f>IFERROR(INDEX(PP_Grid[#Data],$DE990,22),0)</f>
        <v/>
      </c>
      <c r="Z990">
        <f>IFERROR(INDEX(PP_Grid[#Data],$DE990,23),0)</f>
        <v/>
      </c>
      <c r="AA990">
        <f>IFERROR(INDEX(PP_Grid[#Data],$DE990,24),0)</f>
        <v/>
      </c>
      <c r="AB990">
        <f>IFERROR(INDEX(PP_Grid[#Data],$DE990,25),0)</f>
        <v/>
      </c>
      <c r="AC990">
        <f>IFERROR(INDEX(PP_Grid[#Data],$DE990,26),0)</f>
        <v/>
      </c>
      <c r="AD990">
        <f>IFERROR(INDEX(PP_Grid[#Data],$DE990,27),0)</f>
        <v/>
      </c>
      <c r="AE990">
        <f>IFERROR(INDEX(PP_Grid[#Data],$DE990,28),0)</f>
        <v/>
      </c>
      <c r="AF990">
        <f>IFERROR(INDEX(PP_Grid[#Data],$DE990,29),0)</f>
        <v/>
      </c>
      <c r="AG990">
        <f>IFERROR(INDEX(PP_Grid[#Data],$DE990,30),0)</f>
        <v/>
      </c>
      <c r="AH990">
        <f>IFERROR(INDEX(PP_Grid[#Data],$DE990,31),0)</f>
        <v/>
      </c>
      <c r="AI990">
        <f>IFERROR(INDEX(PP_Grid[#Data],$DE990,32),0)</f>
        <v/>
      </c>
      <c r="AJ990">
        <f>IFERROR(INDEX(PP_Grid[#Data],$DE990,33),0)</f>
        <v/>
      </c>
      <c r="AK990">
        <f>IFERROR(INDEX(PP_Grid[#Data],$DE990,34),0)</f>
        <v/>
      </c>
      <c r="AL990">
        <f>IFERROR(INDEX(PP_Grid[#Data],$DE990,35),0)</f>
        <v/>
      </c>
      <c r="AM990">
        <f>IFERROR(INDEX(PP_Grid[#Data],$DE990,36),0)</f>
        <v/>
      </c>
      <c r="AN990">
        <f>IFERROR(INDEX(PP_Grid[#Data],$DE990,37),0)</f>
        <v/>
      </c>
      <c r="AO990">
        <f>IFERROR(INDEX(PP_Grid[#Data],$DE990,38),0)</f>
        <v/>
      </c>
      <c r="AP990">
        <f>IFERROR(INDEX(PP_Grid[#Data],$DE990,39),0)</f>
        <v/>
      </c>
      <c r="AQ990">
        <f>IFERROR(INDEX(PP_Grid[#Data],$DE990,40),0)</f>
        <v/>
      </c>
      <c r="AR990">
        <f>IFERROR(INDEX(PP_Grid[#Data],$DE990,41),0)</f>
        <v/>
      </c>
      <c r="AS990">
        <f>IFERROR(INDEX(PP_Grid[#Data],$DE990,42),0)</f>
        <v/>
      </c>
      <c r="AT990">
        <f>IFERROR(INDEX(PP_Grid[#Data],$DE990,43),0)</f>
        <v/>
      </c>
      <c r="AU990">
        <f>IFERROR(INDEX(PP_Grid[#Data],$DE990,44),0)</f>
        <v/>
      </c>
      <c r="AV990">
        <f>IFERROR(INDEX(PP_Grid[#Data],$DE990,45),0)</f>
        <v/>
      </c>
      <c r="AW990">
        <f>IFERROR(INDEX(PP_Grid[#Data],$DE990,46),0)</f>
        <v/>
      </c>
      <c r="AX990">
        <f>IFERROR(INDEX(PP_Grid[#Data],$DE990,47),0)</f>
        <v/>
      </c>
      <c r="AY990">
        <f>IFERROR(INDEX(PP_Grid[#Data],$DE990,48),0)</f>
        <v/>
      </c>
      <c r="AZ990">
        <f>IFERROR(INDEX(PP_Grid[#Data],$DE990,49),0)</f>
        <v/>
      </c>
      <c r="BA990">
        <f>IFERROR(INDEX(PP_Grid[#Data],$DE990,50),0)</f>
        <v/>
      </c>
      <c r="BB990">
        <f>IFERROR(INDEX(PP_Grid[#Data],$DE990,51),0)</f>
        <v/>
      </c>
      <c r="BC990">
        <f>IFERROR(INDEX(PP_Grid[#Data],$DE990,52),0)</f>
        <v/>
      </c>
      <c r="BD990">
        <f>IFERROR(INDEX(PP_Grid[#Data],$DE990,53),0)</f>
        <v/>
      </c>
      <c r="BE990">
        <f>IFERROR(INDEX(PP_Grid[#Data],$DE990,54),0)</f>
        <v/>
      </c>
      <c r="BF990">
        <f>IFERROR(INDEX(PP_Grid[#Data],$DE990,55),0)</f>
        <v/>
      </c>
      <c r="BG990">
        <f>IFERROR(INDEX(PP_Grid[#Data],$DE990,56),0)</f>
        <v/>
      </c>
      <c r="BH990">
        <f>IFERROR(INDEX(PP_Grid[#Data],$DE990,57),0)</f>
        <v/>
      </c>
      <c r="BI990">
        <f>IFERROR(INDEX(PP_Grid[#Data],$DE990,58),0)</f>
        <v/>
      </c>
      <c r="BJ990">
        <f>IFERROR(INDEX(PP_Grid[#Data],$DE990,59),0)</f>
        <v/>
      </c>
      <c r="BK990">
        <f>IFERROR(INDEX(PP_Grid[#Data],$DE990,60),0)</f>
        <v/>
      </c>
      <c r="BL990">
        <f>IFERROR(INDEX(PP_Grid[#Data],$DE990,61),0)</f>
        <v/>
      </c>
      <c r="BM990">
        <f>IFERROR(INDEX(PP_Grid[#Data],$DE990,62),0)</f>
        <v/>
      </c>
      <c r="BN990">
        <f>IFERROR(INDEX(PP_Grid[#Data],$DE990,63),0)</f>
        <v/>
      </c>
      <c r="BO990">
        <f>IFERROR(INDEX(PP_Grid[#Data],$DE990,64),0)</f>
        <v/>
      </c>
      <c r="BP990">
        <f>IFERROR(INDEX(PP_Grid[#Data],$DE990,65),0)</f>
        <v/>
      </c>
      <c r="BQ990">
        <f>IFERROR(INDEX(PP_Grid[#Data],$DE990,66),0)</f>
        <v/>
      </c>
      <c r="BR990">
        <f>IFERROR(INDEX(PP_Grid[#Data],$DE990,67),0)</f>
        <v/>
      </c>
      <c r="BS990">
        <f>IFERROR(INDEX(PP_Grid[#Data],$DE990,68),0)</f>
        <v/>
      </c>
      <c r="BT990">
        <f>IFERROR(INDEX(PP_Grid[#Data],$DE990,69),0)</f>
        <v/>
      </c>
      <c r="BU990">
        <f>IFERROR(INDEX(PP_Grid[#Data],$DE990,70),0)</f>
        <v/>
      </c>
      <c r="BV990">
        <f>IFERROR(INDEX(PP_Grid[#Data],$DE990,71),0)</f>
        <v/>
      </c>
      <c r="BW990">
        <f>IFERROR(INDEX(PP_Grid[#Data],$DE990,72),0)</f>
        <v/>
      </c>
      <c r="BX990">
        <f>IFERROR(INDEX(PP_Grid[#Data],$DE990,73),0)</f>
        <v/>
      </c>
      <c r="BY990">
        <f>IFERROR(INDEX(PP_Grid[#Data],$DE990,74),0)</f>
        <v/>
      </c>
      <c r="BZ990">
        <f>IFERROR(INDEX(PP_Grid[#Data],$DE990,75),0)</f>
        <v/>
      </c>
      <c r="CA990">
        <f>IFERROR(INDEX(PP_Grid[#Data],$DE990,76),0)</f>
        <v/>
      </c>
      <c r="CB990">
        <f>IFERROR(INDEX(PP_Grid[#Data],$DE990,77),0)</f>
        <v/>
      </c>
      <c r="CC990">
        <f>IFERROR(INDEX(PP_Grid[#Data],$DE990,78),0)</f>
        <v/>
      </c>
      <c r="CD990">
        <f>IFERROR(INDEX(PP_Grid[#Data],$DE990,79),0)</f>
        <v/>
      </c>
      <c r="CE990">
        <f>IFERROR(INDEX(PP_Grid[#Data],$DE990,80),0)</f>
        <v/>
      </c>
      <c r="CF990">
        <f>IFERROR(INDEX(PP_Grid[#Data],$DE990,81),0)</f>
        <v/>
      </c>
      <c r="CG990">
        <f>IFERROR(INDEX(PP_Grid[#Data],$DE990,82),0)</f>
        <v/>
      </c>
      <c r="CH990">
        <f>IFERROR(INDEX(PP_Grid[#Data],$DE990,83),0)</f>
        <v/>
      </c>
      <c r="CI990">
        <f>IFERROR(INDEX(PP_Grid[#Data],$DE990,84),0)</f>
        <v/>
      </c>
      <c r="CJ990">
        <f>IFERROR(INDEX(PP_Grid[#Data],$DE990,85),0)</f>
        <v/>
      </c>
      <c r="CK990">
        <f>IFERROR(INDEX(PP_Grid[#Data],$DE990,86),0)</f>
        <v/>
      </c>
      <c r="CL990">
        <f>IFERROR(INDEX(PP_Grid[#Data],$DE990,87),0)</f>
        <v/>
      </c>
      <c r="CM990">
        <f>IFERROR(INDEX(PP_Grid[#Data],$DE990,88),0)</f>
        <v/>
      </c>
      <c r="CN990">
        <f>IFERROR(INDEX(PP_Grid[#Data],$DE990,89),0)</f>
        <v/>
      </c>
      <c r="CO990">
        <f>IFERROR(INDEX(PP_Grid[#Data],$DE990,90),0)</f>
        <v/>
      </c>
      <c r="CP990">
        <f>IFERROR(INDEX(PP_Grid[#Data],$DE990,91),0)</f>
        <v/>
      </c>
      <c r="CQ990">
        <f>IFERROR(INDEX(PP_Grid[#Data],$DE990,92),0)</f>
        <v/>
      </c>
      <c r="CR990">
        <f>IFERROR(INDEX(PP_Grid[#Data],$DE990,93),0)</f>
        <v/>
      </c>
      <c r="CS990">
        <f>IFERROR(INDEX(PP_Grid[#Data],$DE990,94),0)</f>
        <v/>
      </c>
      <c r="CT990">
        <f>IFERROR(INDEX(PP_Grid[#Data],$DE990,95),0)</f>
        <v/>
      </c>
      <c r="CU990">
        <f>IFERROR(INDEX(PP_Grid[#Data],$DE990,96),0)</f>
        <v/>
      </c>
      <c r="CV990">
        <f>IFERROR(INDEX(PP_Grid[#Data],$DE990,97),0)</f>
        <v/>
      </c>
      <c r="CW990">
        <f>IFERROR(INDEX(PP_Grid[#Data],$DE990,98),0)</f>
        <v/>
      </c>
      <c r="CX990">
        <f>IFERROR(INDEX(PP_Grid[#Data],$DE990,99),0)</f>
        <v/>
      </c>
      <c r="CY990">
        <f>IFERROR(INDEX(PP_Grid[#Data],$DE990,100),0)</f>
        <v/>
      </c>
      <c r="CZ990">
        <f>IFERROR(INDEX(PP_Grid[#Data],$DE990,101),0)</f>
        <v/>
      </c>
      <c r="DA990">
        <f>IFERROR(INDEX(PP_Grid[#Data],$DE990,102),0)</f>
        <v/>
      </c>
      <c r="DB990">
        <f>IFERROR(INDEX(PP_Grid[#Data],$DE990,103),0)</f>
        <v/>
      </c>
      <c r="DC990">
        <f>IFERROR(INDEX(PP_Grid[#Data],$DE990,104),0)</f>
        <v/>
      </c>
      <c r="DD990">
        <f>IFERROR(INDEX(PP_Grid[#Data],$DE990,105),0)</f>
        <v/>
      </c>
      <c r="DE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SUMIFS(M_BOM[RM_Qty_Per_Batch],M_BOM[Intermediate],$B990,M_BOM[RM_Code],$A971)</f>
        <v/>
      </c>
      <c r="D991">
        <f>IFERROR(INDEX(E991:DD991,$F$1),"")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  <c r="DD991">
        <f>$C991*DD990</f>
        <v/>
      </c>
    </row>
    <row r="992">
      <c r="B992" t="inlineStr">
        <is>
          <t>VSP-739</t>
        </is>
      </c>
      <c r="C992" t="inlineStr">
        <is>
          <t>No. of batches</t>
        </is>
      </c>
      <c r="D992">
        <f>IFERROR(INDEX(E992:DD992,$F$1),"")</f>
        <v/>
      </c>
      <c r="E992">
        <f>IFERROR(INDEX(PP_Grid[#Data],$DE992,2),0)</f>
        <v/>
      </c>
      <c r="F992">
        <f>IFERROR(INDEX(PP_Grid[#Data],$DE992,3),0)</f>
        <v/>
      </c>
      <c r="G992">
        <f>IFERROR(INDEX(PP_Grid[#Data],$DE992,4),0)</f>
        <v/>
      </c>
      <c r="H992">
        <f>IFERROR(INDEX(PP_Grid[#Data],$DE992,5),0)</f>
        <v/>
      </c>
      <c r="I992">
        <f>IFERROR(INDEX(PP_Grid[#Data],$DE992,6),0)</f>
        <v/>
      </c>
      <c r="J992">
        <f>IFERROR(INDEX(PP_Grid[#Data],$DE992,7),0)</f>
        <v/>
      </c>
      <c r="K992">
        <f>IFERROR(INDEX(PP_Grid[#Data],$DE992,8),0)</f>
        <v/>
      </c>
      <c r="L992">
        <f>IFERROR(INDEX(PP_Grid[#Data],$DE992,9),0)</f>
        <v/>
      </c>
      <c r="M992">
        <f>IFERROR(INDEX(PP_Grid[#Data],$DE992,10),0)</f>
        <v/>
      </c>
      <c r="N992">
        <f>IFERROR(INDEX(PP_Grid[#Data],$DE992,11),0)</f>
        <v/>
      </c>
      <c r="O992">
        <f>IFERROR(INDEX(PP_Grid[#Data],$DE992,12),0)</f>
        <v/>
      </c>
      <c r="P992">
        <f>IFERROR(INDEX(PP_Grid[#Data],$DE992,13),0)</f>
        <v/>
      </c>
      <c r="Q992">
        <f>IFERROR(INDEX(PP_Grid[#Data],$DE992,14),0)</f>
        <v/>
      </c>
      <c r="R992">
        <f>IFERROR(INDEX(PP_Grid[#Data],$DE992,15),0)</f>
        <v/>
      </c>
      <c r="S992">
        <f>IFERROR(INDEX(PP_Grid[#Data],$DE992,16),0)</f>
        <v/>
      </c>
      <c r="T992">
        <f>IFERROR(INDEX(PP_Grid[#Data],$DE992,17),0)</f>
        <v/>
      </c>
      <c r="U992">
        <f>IFERROR(INDEX(PP_Grid[#Data],$DE992,18),0)</f>
        <v/>
      </c>
      <c r="V992">
        <f>IFERROR(INDEX(PP_Grid[#Data],$DE992,19),0)</f>
        <v/>
      </c>
      <c r="W992">
        <f>IFERROR(INDEX(PP_Grid[#Data],$DE992,20),0)</f>
        <v/>
      </c>
      <c r="X992">
        <f>IFERROR(INDEX(PP_Grid[#Data],$DE992,21),0)</f>
        <v/>
      </c>
      <c r="Y992">
        <f>IFERROR(INDEX(PP_Grid[#Data],$DE992,22),0)</f>
        <v/>
      </c>
      <c r="Z992">
        <f>IFERROR(INDEX(PP_Grid[#Data],$DE992,23),0)</f>
        <v/>
      </c>
      <c r="AA992">
        <f>IFERROR(INDEX(PP_Grid[#Data],$DE992,24),0)</f>
        <v/>
      </c>
      <c r="AB992">
        <f>IFERROR(INDEX(PP_Grid[#Data],$DE992,25),0)</f>
        <v/>
      </c>
      <c r="AC992">
        <f>IFERROR(INDEX(PP_Grid[#Data],$DE992,26),0)</f>
        <v/>
      </c>
      <c r="AD992">
        <f>IFERROR(INDEX(PP_Grid[#Data],$DE992,27),0)</f>
        <v/>
      </c>
      <c r="AE992">
        <f>IFERROR(INDEX(PP_Grid[#Data],$DE992,28),0)</f>
        <v/>
      </c>
      <c r="AF992">
        <f>IFERROR(INDEX(PP_Grid[#Data],$DE992,29),0)</f>
        <v/>
      </c>
      <c r="AG992">
        <f>IFERROR(INDEX(PP_Grid[#Data],$DE992,30),0)</f>
        <v/>
      </c>
      <c r="AH992">
        <f>IFERROR(INDEX(PP_Grid[#Data],$DE992,31),0)</f>
        <v/>
      </c>
      <c r="AI992">
        <f>IFERROR(INDEX(PP_Grid[#Data],$DE992,32),0)</f>
        <v/>
      </c>
      <c r="AJ992">
        <f>IFERROR(INDEX(PP_Grid[#Data],$DE992,33),0)</f>
        <v/>
      </c>
      <c r="AK992">
        <f>IFERROR(INDEX(PP_Grid[#Data],$DE992,34),0)</f>
        <v/>
      </c>
      <c r="AL992">
        <f>IFERROR(INDEX(PP_Grid[#Data],$DE992,35),0)</f>
        <v/>
      </c>
      <c r="AM992">
        <f>IFERROR(INDEX(PP_Grid[#Data],$DE992,36),0)</f>
        <v/>
      </c>
      <c r="AN992">
        <f>IFERROR(INDEX(PP_Grid[#Data],$DE992,37),0)</f>
        <v/>
      </c>
      <c r="AO992">
        <f>IFERROR(INDEX(PP_Grid[#Data],$DE992,38),0)</f>
        <v/>
      </c>
      <c r="AP992">
        <f>IFERROR(INDEX(PP_Grid[#Data],$DE992,39),0)</f>
        <v/>
      </c>
      <c r="AQ992">
        <f>IFERROR(INDEX(PP_Grid[#Data],$DE992,40),0)</f>
        <v/>
      </c>
      <c r="AR992">
        <f>IFERROR(INDEX(PP_Grid[#Data],$DE992,41),0)</f>
        <v/>
      </c>
      <c r="AS992">
        <f>IFERROR(INDEX(PP_Grid[#Data],$DE992,42),0)</f>
        <v/>
      </c>
      <c r="AT992">
        <f>IFERROR(INDEX(PP_Grid[#Data],$DE992,43),0)</f>
        <v/>
      </c>
      <c r="AU992">
        <f>IFERROR(INDEX(PP_Grid[#Data],$DE992,44),0)</f>
        <v/>
      </c>
      <c r="AV992">
        <f>IFERROR(INDEX(PP_Grid[#Data],$DE992,45),0)</f>
        <v/>
      </c>
      <c r="AW992">
        <f>IFERROR(INDEX(PP_Grid[#Data],$DE992,46),0)</f>
        <v/>
      </c>
      <c r="AX992">
        <f>IFERROR(INDEX(PP_Grid[#Data],$DE992,47),0)</f>
        <v/>
      </c>
      <c r="AY992">
        <f>IFERROR(INDEX(PP_Grid[#Data],$DE992,48),0)</f>
        <v/>
      </c>
      <c r="AZ992">
        <f>IFERROR(INDEX(PP_Grid[#Data],$DE992,49),0)</f>
        <v/>
      </c>
      <c r="BA992">
        <f>IFERROR(INDEX(PP_Grid[#Data],$DE992,50),0)</f>
        <v/>
      </c>
      <c r="BB992">
        <f>IFERROR(INDEX(PP_Grid[#Data],$DE992,51),0)</f>
        <v/>
      </c>
      <c r="BC992">
        <f>IFERROR(INDEX(PP_Grid[#Data],$DE992,52),0)</f>
        <v/>
      </c>
      <c r="BD992">
        <f>IFERROR(INDEX(PP_Grid[#Data],$DE992,53),0)</f>
        <v/>
      </c>
      <c r="BE992">
        <f>IFERROR(INDEX(PP_Grid[#Data],$DE992,54),0)</f>
        <v/>
      </c>
      <c r="BF992">
        <f>IFERROR(INDEX(PP_Grid[#Data],$DE992,55),0)</f>
        <v/>
      </c>
      <c r="BG992">
        <f>IFERROR(INDEX(PP_Grid[#Data],$DE992,56),0)</f>
        <v/>
      </c>
      <c r="BH992">
        <f>IFERROR(INDEX(PP_Grid[#Data],$DE992,57),0)</f>
        <v/>
      </c>
      <c r="BI992">
        <f>IFERROR(INDEX(PP_Grid[#Data],$DE992,58),0)</f>
        <v/>
      </c>
      <c r="BJ992">
        <f>IFERROR(INDEX(PP_Grid[#Data],$DE992,59),0)</f>
        <v/>
      </c>
      <c r="BK992">
        <f>IFERROR(INDEX(PP_Grid[#Data],$DE992,60),0)</f>
        <v/>
      </c>
      <c r="BL992">
        <f>IFERROR(INDEX(PP_Grid[#Data],$DE992,61),0)</f>
        <v/>
      </c>
      <c r="BM992">
        <f>IFERROR(INDEX(PP_Grid[#Data],$DE992,62),0)</f>
        <v/>
      </c>
      <c r="BN992">
        <f>IFERROR(INDEX(PP_Grid[#Data],$DE992,63),0)</f>
        <v/>
      </c>
      <c r="BO992">
        <f>IFERROR(INDEX(PP_Grid[#Data],$DE992,64),0)</f>
        <v/>
      </c>
      <c r="BP992">
        <f>IFERROR(INDEX(PP_Grid[#Data],$DE992,65),0)</f>
        <v/>
      </c>
      <c r="BQ992">
        <f>IFERROR(INDEX(PP_Grid[#Data],$DE992,66),0)</f>
        <v/>
      </c>
      <c r="BR992">
        <f>IFERROR(INDEX(PP_Grid[#Data],$DE992,67),0)</f>
        <v/>
      </c>
      <c r="BS992">
        <f>IFERROR(INDEX(PP_Grid[#Data],$DE992,68),0)</f>
        <v/>
      </c>
      <c r="BT992">
        <f>IFERROR(INDEX(PP_Grid[#Data],$DE992,69),0)</f>
        <v/>
      </c>
      <c r="BU992">
        <f>IFERROR(INDEX(PP_Grid[#Data],$DE992,70),0)</f>
        <v/>
      </c>
      <c r="BV992">
        <f>IFERROR(INDEX(PP_Grid[#Data],$DE992,71),0)</f>
        <v/>
      </c>
      <c r="BW992">
        <f>IFERROR(INDEX(PP_Grid[#Data],$DE992,72),0)</f>
        <v/>
      </c>
      <c r="BX992">
        <f>IFERROR(INDEX(PP_Grid[#Data],$DE992,73),0)</f>
        <v/>
      </c>
      <c r="BY992">
        <f>IFERROR(INDEX(PP_Grid[#Data],$DE992,74),0)</f>
        <v/>
      </c>
      <c r="BZ992">
        <f>IFERROR(INDEX(PP_Grid[#Data],$DE992,75),0)</f>
        <v/>
      </c>
      <c r="CA992">
        <f>IFERROR(INDEX(PP_Grid[#Data],$DE992,76),0)</f>
        <v/>
      </c>
      <c r="CB992">
        <f>IFERROR(INDEX(PP_Grid[#Data],$DE992,77),0)</f>
        <v/>
      </c>
      <c r="CC992">
        <f>IFERROR(INDEX(PP_Grid[#Data],$DE992,78),0)</f>
        <v/>
      </c>
      <c r="CD992">
        <f>IFERROR(INDEX(PP_Grid[#Data],$DE992,79),0)</f>
        <v/>
      </c>
      <c r="CE992">
        <f>IFERROR(INDEX(PP_Grid[#Data],$DE992,80),0)</f>
        <v/>
      </c>
      <c r="CF992">
        <f>IFERROR(INDEX(PP_Grid[#Data],$DE992,81),0)</f>
        <v/>
      </c>
      <c r="CG992">
        <f>IFERROR(INDEX(PP_Grid[#Data],$DE992,82),0)</f>
        <v/>
      </c>
      <c r="CH992">
        <f>IFERROR(INDEX(PP_Grid[#Data],$DE992,83),0)</f>
        <v/>
      </c>
      <c r="CI992">
        <f>IFERROR(INDEX(PP_Grid[#Data],$DE992,84),0)</f>
        <v/>
      </c>
      <c r="CJ992">
        <f>IFERROR(INDEX(PP_Grid[#Data],$DE992,85),0)</f>
        <v/>
      </c>
      <c r="CK992">
        <f>IFERROR(INDEX(PP_Grid[#Data],$DE992,86),0)</f>
        <v/>
      </c>
      <c r="CL992">
        <f>IFERROR(INDEX(PP_Grid[#Data],$DE992,87),0)</f>
        <v/>
      </c>
      <c r="CM992">
        <f>IFERROR(INDEX(PP_Grid[#Data],$DE992,88),0)</f>
        <v/>
      </c>
      <c r="CN992">
        <f>IFERROR(INDEX(PP_Grid[#Data],$DE992,89),0)</f>
        <v/>
      </c>
      <c r="CO992">
        <f>IFERROR(INDEX(PP_Grid[#Data],$DE992,90),0)</f>
        <v/>
      </c>
      <c r="CP992">
        <f>IFERROR(INDEX(PP_Grid[#Data],$DE992,91),0)</f>
        <v/>
      </c>
      <c r="CQ992">
        <f>IFERROR(INDEX(PP_Grid[#Data],$DE992,92),0)</f>
        <v/>
      </c>
      <c r="CR992">
        <f>IFERROR(INDEX(PP_Grid[#Data],$DE992,93),0)</f>
        <v/>
      </c>
      <c r="CS992">
        <f>IFERROR(INDEX(PP_Grid[#Data],$DE992,94),0)</f>
        <v/>
      </c>
      <c r="CT992">
        <f>IFERROR(INDEX(PP_Grid[#Data],$DE992,95),0)</f>
        <v/>
      </c>
      <c r="CU992">
        <f>IFERROR(INDEX(PP_Grid[#Data],$DE992,96),0)</f>
        <v/>
      </c>
      <c r="CV992">
        <f>IFERROR(INDEX(PP_Grid[#Data],$DE992,97),0)</f>
        <v/>
      </c>
      <c r="CW992">
        <f>IFERROR(INDEX(PP_Grid[#Data],$DE992,98),0)</f>
        <v/>
      </c>
      <c r="CX992">
        <f>IFERROR(INDEX(PP_Grid[#Data],$DE992,99),0)</f>
        <v/>
      </c>
      <c r="CY992">
        <f>IFERROR(INDEX(PP_Grid[#Data],$DE992,100),0)</f>
        <v/>
      </c>
      <c r="CZ992">
        <f>IFERROR(INDEX(PP_Grid[#Data],$DE992,101),0)</f>
        <v/>
      </c>
      <c r="DA992">
        <f>IFERROR(INDEX(PP_Grid[#Data],$DE992,102),0)</f>
        <v/>
      </c>
      <c r="DB992">
        <f>IFERROR(INDEX(PP_Grid[#Data],$DE992,103),0)</f>
        <v/>
      </c>
      <c r="DC992">
        <f>IFERROR(INDEX(PP_Grid[#Data],$DE992,104),0)</f>
        <v/>
      </c>
      <c r="DD992">
        <f>IFERROR(INDEX(PP_Grid[#Data],$DE992,105),0)</f>
        <v/>
      </c>
      <c r="DE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SUMIFS(M_BOM[RM_Qty_Per_Batch],M_BOM[Intermediate],$B992,M_BOM[RM_Code],$A971)</f>
        <v/>
      </c>
      <c r="D993">
        <f>IFERROR(INDEX(E993:DD993,$F$1),"")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  <c r="DD993">
        <f>$C993*DD992</f>
        <v/>
      </c>
    </row>
    <row r="994">
      <c r="B994" t="inlineStr">
        <is>
          <t>VSP-820</t>
        </is>
      </c>
      <c r="C994" t="inlineStr">
        <is>
          <t>No. of batches</t>
        </is>
      </c>
      <c r="D994">
        <f>IFERROR(INDEX(E994:DD994,$F$1),"")</f>
        <v/>
      </c>
      <c r="E994">
        <f>IFERROR(INDEX(PP_Grid[#Data],$DE994,2),0)</f>
        <v/>
      </c>
      <c r="F994">
        <f>IFERROR(INDEX(PP_Grid[#Data],$DE994,3),0)</f>
        <v/>
      </c>
      <c r="G994">
        <f>IFERROR(INDEX(PP_Grid[#Data],$DE994,4),0)</f>
        <v/>
      </c>
      <c r="H994">
        <f>IFERROR(INDEX(PP_Grid[#Data],$DE994,5),0)</f>
        <v/>
      </c>
      <c r="I994">
        <f>IFERROR(INDEX(PP_Grid[#Data],$DE994,6),0)</f>
        <v/>
      </c>
      <c r="J994">
        <f>IFERROR(INDEX(PP_Grid[#Data],$DE994,7),0)</f>
        <v/>
      </c>
      <c r="K994">
        <f>IFERROR(INDEX(PP_Grid[#Data],$DE994,8),0)</f>
        <v/>
      </c>
      <c r="L994">
        <f>IFERROR(INDEX(PP_Grid[#Data],$DE994,9),0)</f>
        <v/>
      </c>
      <c r="M994">
        <f>IFERROR(INDEX(PP_Grid[#Data],$DE994,10),0)</f>
        <v/>
      </c>
      <c r="N994">
        <f>IFERROR(INDEX(PP_Grid[#Data],$DE994,11),0)</f>
        <v/>
      </c>
      <c r="O994">
        <f>IFERROR(INDEX(PP_Grid[#Data],$DE994,12),0)</f>
        <v/>
      </c>
      <c r="P994">
        <f>IFERROR(INDEX(PP_Grid[#Data],$DE994,13),0)</f>
        <v/>
      </c>
      <c r="Q994">
        <f>IFERROR(INDEX(PP_Grid[#Data],$DE994,14),0)</f>
        <v/>
      </c>
      <c r="R994">
        <f>IFERROR(INDEX(PP_Grid[#Data],$DE994,15),0)</f>
        <v/>
      </c>
      <c r="S994">
        <f>IFERROR(INDEX(PP_Grid[#Data],$DE994,16),0)</f>
        <v/>
      </c>
      <c r="T994">
        <f>IFERROR(INDEX(PP_Grid[#Data],$DE994,17),0)</f>
        <v/>
      </c>
      <c r="U994">
        <f>IFERROR(INDEX(PP_Grid[#Data],$DE994,18),0)</f>
        <v/>
      </c>
      <c r="V994">
        <f>IFERROR(INDEX(PP_Grid[#Data],$DE994,19),0)</f>
        <v/>
      </c>
      <c r="W994">
        <f>IFERROR(INDEX(PP_Grid[#Data],$DE994,20),0)</f>
        <v/>
      </c>
      <c r="X994">
        <f>IFERROR(INDEX(PP_Grid[#Data],$DE994,21),0)</f>
        <v/>
      </c>
      <c r="Y994">
        <f>IFERROR(INDEX(PP_Grid[#Data],$DE994,22),0)</f>
        <v/>
      </c>
      <c r="Z994">
        <f>IFERROR(INDEX(PP_Grid[#Data],$DE994,23),0)</f>
        <v/>
      </c>
      <c r="AA994">
        <f>IFERROR(INDEX(PP_Grid[#Data],$DE994,24),0)</f>
        <v/>
      </c>
      <c r="AB994">
        <f>IFERROR(INDEX(PP_Grid[#Data],$DE994,25),0)</f>
        <v/>
      </c>
      <c r="AC994">
        <f>IFERROR(INDEX(PP_Grid[#Data],$DE994,26),0)</f>
        <v/>
      </c>
      <c r="AD994">
        <f>IFERROR(INDEX(PP_Grid[#Data],$DE994,27),0)</f>
        <v/>
      </c>
      <c r="AE994">
        <f>IFERROR(INDEX(PP_Grid[#Data],$DE994,28),0)</f>
        <v/>
      </c>
      <c r="AF994">
        <f>IFERROR(INDEX(PP_Grid[#Data],$DE994,29),0)</f>
        <v/>
      </c>
      <c r="AG994">
        <f>IFERROR(INDEX(PP_Grid[#Data],$DE994,30),0)</f>
        <v/>
      </c>
      <c r="AH994">
        <f>IFERROR(INDEX(PP_Grid[#Data],$DE994,31),0)</f>
        <v/>
      </c>
      <c r="AI994">
        <f>IFERROR(INDEX(PP_Grid[#Data],$DE994,32),0)</f>
        <v/>
      </c>
      <c r="AJ994">
        <f>IFERROR(INDEX(PP_Grid[#Data],$DE994,33),0)</f>
        <v/>
      </c>
      <c r="AK994">
        <f>IFERROR(INDEX(PP_Grid[#Data],$DE994,34),0)</f>
        <v/>
      </c>
      <c r="AL994">
        <f>IFERROR(INDEX(PP_Grid[#Data],$DE994,35),0)</f>
        <v/>
      </c>
      <c r="AM994">
        <f>IFERROR(INDEX(PP_Grid[#Data],$DE994,36),0)</f>
        <v/>
      </c>
      <c r="AN994">
        <f>IFERROR(INDEX(PP_Grid[#Data],$DE994,37),0)</f>
        <v/>
      </c>
      <c r="AO994">
        <f>IFERROR(INDEX(PP_Grid[#Data],$DE994,38),0)</f>
        <v/>
      </c>
      <c r="AP994">
        <f>IFERROR(INDEX(PP_Grid[#Data],$DE994,39),0)</f>
        <v/>
      </c>
      <c r="AQ994">
        <f>IFERROR(INDEX(PP_Grid[#Data],$DE994,40),0)</f>
        <v/>
      </c>
      <c r="AR994">
        <f>IFERROR(INDEX(PP_Grid[#Data],$DE994,41),0)</f>
        <v/>
      </c>
      <c r="AS994">
        <f>IFERROR(INDEX(PP_Grid[#Data],$DE994,42),0)</f>
        <v/>
      </c>
      <c r="AT994">
        <f>IFERROR(INDEX(PP_Grid[#Data],$DE994,43),0)</f>
        <v/>
      </c>
      <c r="AU994">
        <f>IFERROR(INDEX(PP_Grid[#Data],$DE994,44),0)</f>
        <v/>
      </c>
      <c r="AV994">
        <f>IFERROR(INDEX(PP_Grid[#Data],$DE994,45),0)</f>
        <v/>
      </c>
      <c r="AW994">
        <f>IFERROR(INDEX(PP_Grid[#Data],$DE994,46),0)</f>
        <v/>
      </c>
      <c r="AX994">
        <f>IFERROR(INDEX(PP_Grid[#Data],$DE994,47),0)</f>
        <v/>
      </c>
      <c r="AY994">
        <f>IFERROR(INDEX(PP_Grid[#Data],$DE994,48),0)</f>
        <v/>
      </c>
      <c r="AZ994">
        <f>IFERROR(INDEX(PP_Grid[#Data],$DE994,49),0)</f>
        <v/>
      </c>
      <c r="BA994">
        <f>IFERROR(INDEX(PP_Grid[#Data],$DE994,50),0)</f>
        <v/>
      </c>
      <c r="BB994">
        <f>IFERROR(INDEX(PP_Grid[#Data],$DE994,51),0)</f>
        <v/>
      </c>
      <c r="BC994">
        <f>IFERROR(INDEX(PP_Grid[#Data],$DE994,52),0)</f>
        <v/>
      </c>
      <c r="BD994">
        <f>IFERROR(INDEX(PP_Grid[#Data],$DE994,53),0)</f>
        <v/>
      </c>
      <c r="BE994">
        <f>IFERROR(INDEX(PP_Grid[#Data],$DE994,54),0)</f>
        <v/>
      </c>
      <c r="BF994">
        <f>IFERROR(INDEX(PP_Grid[#Data],$DE994,55),0)</f>
        <v/>
      </c>
      <c r="BG994">
        <f>IFERROR(INDEX(PP_Grid[#Data],$DE994,56),0)</f>
        <v/>
      </c>
      <c r="BH994">
        <f>IFERROR(INDEX(PP_Grid[#Data],$DE994,57),0)</f>
        <v/>
      </c>
      <c r="BI994">
        <f>IFERROR(INDEX(PP_Grid[#Data],$DE994,58),0)</f>
        <v/>
      </c>
      <c r="BJ994">
        <f>IFERROR(INDEX(PP_Grid[#Data],$DE994,59),0)</f>
        <v/>
      </c>
      <c r="BK994">
        <f>IFERROR(INDEX(PP_Grid[#Data],$DE994,60),0)</f>
        <v/>
      </c>
      <c r="BL994">
        <f>IFERROR(INDEX(PP_Grid[#Data],$DE994,61),0)</f>
        <v/>
      </c>
      <c r="BM994">
        <f>IFERROR(INDEX(PP_Grid[#Data],$DE994,62),0)</f>
        <v/>
      </c>
      <c r="BN994">
        <f>IFERROR(INDEX(PP_Grid[#Data],$DE994,63),0)</f>
        <v/>
      </c>
      <c r="BO994">
        <f>IFERROR(INDEX(PP_Grid[#Data],$DE994,64),0)</f>
        <v/>
      </c>
      <c r="BP994">
        <f>IFERROR(INDEX(PP_Grid[#Data],$DE994,65),0)</f>
        <v/>
      </c>
      <c r="BQ994">
        <f>IFERROR(INDEX(PP_Grid[#Data],$DE994,66),0)</f>
        <v/>
      </c>
      <c r="BR994">
        <f>IFERROR(INDEX(PP_Grid[#Data],$DE994,67),0)</f>
        <v/>
      </c>
      <c r="BS994">
        <f>IFERROR(INDEX(PP_Grid[#Data],$DE994,68),0)</f>
        <v/>
      </c>
      <c r="BT994">
        <f>IFERROR(INDEX(PP_Grid[#Data],$DE994,69),0)</f>
        <v/>
      </c>
      <c r="BU994">
        <f>IFERROR(INDEX(PP_Grid[#Data],$DE994,70),0)</f>
        <v/>
      </c>
      <c r="BV994">
        <f>IFERROR(INDEX(PP_Grid[#Data],$DE994,71),0)</f>
        <v/>
      </c>
      <c r="BW994">
        <f>IFERROR(INDEX(PP_Grid[#Data],$DE994,72),0)</f>
        <v/>
      </c>
      <c r="BX994">
        <f>IFERROR(INDEX(PP_Grid[#Data],$DE994,73),0)</f>
        <v/>
      </c>
      <c r="BY994">
        <f>IFERROR(INDEX(PP_Grid[#Data],$DE994,74),0)</f>
        <v/>
      </c>
      <c r="BZ994">
        <f>IFERROR(INDEX(PP_Grid[#Data],$DE994,75),0)</f>
        <v/>
      </c>
      <c r="CA994">
        <f>IFERROR(INDEX(PP_Grid[#Data],$DE994,76),0)</f>
        <v/>
      </c>
      <c r="CB994">
        <f>IFERROR(INDEX(PP_Grid[#Data],$DE994,77),0)</f>
        <v/>
      </c>
      <c r="CC994">
        <f>IFERROR(INDEX(PP_Grid[#Data],$DE994,78),0)</f>
        <v/>
      </c>
      <c r="CD994">
        <f>IFERROR(INDEX(PP_Grid[#Data],$DE994,79),0)</f>
        <v/>
      </c>
      <c r="CE994">
        <f>IFERROR(INDEX(PP_Grid[#Data],$DE994,80),0)</f>
        <v/>
      </c>
      <c r="CF994">
        <f>IFERROR(INDEX(PP_Grid[#Data],$DE994,81),0)</f>
        <v/>
      </c>
      <c r="CG994">
        <f>IFERROR(INDEX(PP_Grid[#Data],$DE994,82),0)</f>
        <v/>
      </c>
      <c r="CH994">
        <f>IFERROR(INDEX(PP_Grid[#Data],$DE994,83),0)</f>
        <v/>
      </c>
      <c r="CI994">
        <f>IFERROR(INDEX(PP_Grid[#Data],$DE994,84),0)</f>
        <v/>
      </c>
      <c r="CJ994">
        <f>IFERROR(INDEX(PP_Grid[#Data],$DE994,85),0)</f>
        <v/>
      </c>
      <c r="CK994">
        <f>IFERROR(INDEX(PP_Grid[#Data],$DE994,86),0)</f>
        <v/>
      </c>
      <c r="CL994">
        <f>IFERROR(INDEX(PP_Grid[#Data],$DE994,87),0)</f>
        <v/>
      </c>
      <c r="CM994">
        <f>IFERROR(INDEX(PP_Grid[#Data],$DE994,88),0)</f>
        <v/>
      </c>
      <c r="CN994">
        <f>IFERROR(INDEX(PP_Grid[#Data],$DE994,89),0)</f>
        <v/>
      </c>
      <c r="CO994">
        <f>IFERROR(INDEX(PP_Grid[#Data],$DE994,90),0)</f>
        <v/>
      </c>
      <c r="CP994">
        <f>IFERROR(INDEX(PP_Grid[#Data],$DE994,91),0)</f>
        <v/>
      </c>
      <c r="CQ994">
        <f>IFERROR(INDEX(PP_Grid[#Data],$DE994,92),0)</f>
        <v/>
      </c>
      <c r="CR994">
        <f>IFERROR(INDEX(PP_Grid[#Data],$DE994,93),0)</f>
        <v/>
      </c>
      <c r="CS994">
        <f>IFERROR(INDEX(PP_Grid[#Data],$DE994,94),0)</f>
        <v/>
      </c>
      <c r="CT994">
        <f>IFERROR(INDEX(PP_Grid[#Data],$DE994,95),0)</f>
        <v/>
      </c>
      <c r="CU994">
        <f>IFERROR(INDEX(PP_Grid[#Data],$DE994,96),0)</f>
        <v/>
      </c>
      <c r="CV994">
        <f>IFERROR(INDEX(PP_Grid[#Data],$DE994,97),0)</f>
        <v/>
      </c>
      <c r="CW994">
        <f>IFERROR(INDEX(PP_Grid[#Data],$DE994,98),0)</f>
        <v/>
      </c>
      <c r="CX994">
        <f>IFERROR(INDEX(PP_Grid[#Data],$DE994,99),0)</f>
        <v/>
      </c>
      <c r="CY994">
        <f>IFERROR(INDEX(PP_Grid[#Data],$DE994,100),0)</f>
        <v/>
      </c>
      <c r="CZ994">
        <f>IFERROR(INDEX(PP_Grid[#Data],$DE994,101),0)</f>
        <v/>
      </c>
      <c r="DA994">
        <f>IFERROR(INDEX(PP_Grid[#Data],$DE994,102),0)</f>
        <v/>
      </c>
      <c r="DB994">
        <f>IFERROR(INDEX(PP_Grid[#Data],$DE994,103),0)</f>
        <v/>
      </c>
      <c r="DC994">
        <f>IFERROR(INDEX(PP_Grid[#Data],$DE994,104),0)</f>
        <v/>
      </c>
      <c r="DD994">
        <f>IFERROR(INDEX(PP_Grid[#Data],$DE994,105),0)</f>
        <v/>
      </c>
      <c r="DE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SUMIFS(M_BOM[RM_Qty_Per_Batch],M_BOM[Intermediate],$B994,M_BOM[RM_Code],$A971)</f>
        <v/>
      </c>
      <c r="D995">
        <f>IFERROR(INDEX(E995:DD995,$F$1),"")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  <c r="DD995">
        <f>$C995*DD994</f>
        <v/>
      </c>
    </row>
    <row r="996">
      <c r="B996" t="inlineStr">
        <is>
          <t>VSP-869</t>
        </is>
      </c>
      <c r="C996" t="inlineStr">
        <is>
          <t>No. of batches</t>
        </is>
      </c>
      <c r="D996">
        <f>IFERROR(INDEX(E996:DD996,$F$1),"")</f>
        <v/>
      </c>
      <c r="E996">
        <f>IFERROR(INDEX(PP_Grid[#Data],$DE996,2),0)</f>
        <v/>
      </c>
      <c r="F996">
        <f>IFERROR(INDEX(PP_Grid[#Data],$DE996,3),0)</f>
        <v/>
      </c>
      <c r="G996">
        <f>IFERROR(INDEX(PP_Grid[#Data],$DE996,4),0)</f>
        <v/>
      </c>
      <c r="H996">
        <f>IFERROR(INDEX(PP_Grid[#Data],$DE996,5),0)</f>
        <v/>
      </c>
      <c r="I996">
        <f>IFERROR(INDEX(PP_Grid[#Data],$DE996,6),0)</f>
        <v/>
      </c>
      <c r="J996">
        <f>IFERROR(INDEX(PP_Grid[#Data],$DE996,7),0)</f>
        <v/>
      </c>
      <c r="K996">
        <f>IFERROR(INDEX(PP_Grid[#Data],$DE996,8),0)</f>
        <v/>
      </c>
      <c r="L996">
        <f>IFERROR(INDEX(PP_Grid[#Data],$DE996,9),0)</f>
        <v/>
      </c>
      <c r="M996">
        <f>IFERROR(INDEX(PP_Grid[#Data],$DE996,10),0)</f>
        <v/>
      </c>
      <c r="N996">
        <f>IFERROR(INDEX(PP_Grid[#Data],$DE996,11),0)</f>
        <v/>
      </c>
      <c r="O996">
        <f>IFERROR(INDEX(PP_Grid[#Data],$DE996,12),0)</f>
        <v/>
      </c>
      <c r="P996">
        <f>IFERROR(INDEX(PP_Grid[#Data],$DE996,13),0)</f>
        <v/>
      </c>
      <c r="Q996">
        <f>IFERROR(INDEX(PP_Grid[#Data],$DE996,14),0)</f>
        <v/>
      </c>
      <c r="R996">
        <f>IFERROR(INDEX(PP_Grid[#Data],$DE996,15),0)</f>
        <v/>
      </c>
      <c r="S996">
        <f>IFERROR(INDEX(PP_Grid[#Data],$DE996,16),0)</f>
        <v/>
      </c>
      <c r="T996">
        <f>IFERROR(INDEX(PP_Grid[#Data],$DE996,17),0)</f>
        <v/>
      </c>
      <c r="U996">
        <f>IFERROR(INDEX(PP_Grid[#Data],$DE996,18),0)</f>
        <v/>
      </c>
      <c r="V996">
        <f>IFERROR(INDEX(PP_Grid[#Data],$DE996,19),0)</f>
        <v/>
      </c>
      <c r="W996">
        <f>IFERROR(INDEX(PP_Grid[#Data],$DE996,20),0)</f>
        <v/>
      </c>
      <c r="X996">
        <f>IFERROR(INDEX(PP_Grid[#Data],$DE996,21),0)</f>
        <v/>
      </c>
      <c r="Y996">
        <f>IFERROR(INDEX(PP_Grid[#Data],$DE996,22),0)</f>
        <v/>
      </c>
      <c r="Z996">
        <f>IFERROR(INDEX(PP_Grid[#Data],$DE996,23),0)</f>
        <v/>
      </c>
      <c r="AA996">
        <f>IFERROR(INDEX(PP_Grid[#Data],$DE996,24),0)</f>
        <v/>
      </c>
      <c r="AB996">
        <f>IFERROR(INDEX(PP_Grid[#Data],$DE996,25),0)</f>
        <v/>
      </c>
      <c r="AC996">
        <f>IFERROR(INDEX(PP_Grid[#Data],$DE996,26),0)</f>
        <v/>
      </c>
      <c r="AD996">
        <f>IFERROR(INDEX(PP_Grid[#Data],$DE996,27),0)</f>
        <v/>
      </c>
      <c r="AE996">
        <f>IFERROR(INDEX(PP_Grid[#Data],$DE996,28),0)</f>
        <v/>
      </c>
      <c r="AF996">
        <f>IFERROR(INDEX(PP_Grid[#Data],$DE996,29),0)</f>
        <v/>
      </c>
      <c r="AG996">
        <f>IFERROR(INDEX(PP_Grid[#Data],$DE996,30),0)</f>
        <v/>
      </c>
      <c r="AH996">
        <f>IFERROR(INDEX(PP_Grid[#Data],$DE996,31),0)</f>
        <v/>
      </c>
      <c r="AI996">
        <f>IFERROR(INDEX(PP_Grid[#Data],$DE996,32),0)</f>
        <v/>
      </c>
      <c r="AJ996">
        <f>IFERROR(INDEX(PP_Grid[#Data],$DE996,33),0)</f>
        <v/>
      </c>
      <c r="AK996">
        <f>IFERROR(INDEX(PP_Grid[#Data],$DE996,34),0)</f>
        <v/>
      </c>
      <c r="AL996">
        <f>IFERROR(INDEX(PP_Grid[#Data],$DE996,35),0)</f>
        <v/>
      </c>
      <c r="AM996">
        <f>IFERROR(INDEX(PP_Grid[#Data],$DE996,36),0)</f>
        <v/>
      </c>
      <c r="AN996">
        <f>IFERROR(INDEX(PP_Grid[#Data],$DE996,37),0)</f>
        <v/>
      </c>
      <c r="AO996">
        <f>IFERROR(INDEX(PP_Grid[#Data],$DE996,38),0)</f>
        <v/>
      </c>
      <c r="AP996">
        <f>IFERROR(INDEX(PP_Grid[#Data],$DE996,39),0)</f>
        <v/>
      </c>
      <c r="AQ996">
        <f>IFERROR(INDEX(PP_Grid[#Data],$DE996,40),0)</f>
        <v/>
      </c>
      <c r="AR996">
        <f>IFERROR(INDEX(PP_Grid[#Data],$DE996,41),0)</f>
        <v/>
      </c>
      <c r="AS996">
        <f>IFERROR(INDEX(PP_Grid[#Data],$DE996,42),0)</f>
        <v/>
      </c>
      <c r="AT996">
        <f>IFERROR(INDEX(PP_Grid[#Data],$DE996,43),0)</f>
        <v/>
      </c>
      <c r="AU996">
        <f>IFERROR(INDEX(PP_Grid[#Data],$DE996,44),0)</f>
        <v/>
      </c>
      <c r="AV996">
        <f>IFERROR(INDEX(PP_Grid[#Data],$DE996,45),0)</f>
        <v/>
      </c>
      <c r="AW996">
        <f>IFERROR(INDEX(PP_Grid[#Data],$DE996,46),0)</f>
        <v/>
      </c>
      <c r="AX996">
        <f>IFERROR(INDEX(PP_Grid[#Data],$DE996,47),0)</f>
        <v/>
      </c>
      <c r="AY996">
        <f>IFERROR(INDEX(PP_Grid[#Data],$DE996,48),0)</f>
        <v/>
      </c>
      <c r="AZ996">
        <f>IFERROR(INDEX(PP_Grid[#Data],$DE996,49),0)</f>
        <v/>
      </c>
      <c r="BA996">
        <f>IFERROR(INDEX(PP_Grid[#Data],$DE996,50),0)</f>
        <v/>
      </c>
      <c r="BB996">
        <f>IFERROR(INDEX(PP_Grid[#Data],$DE996,51),0)</f>
        <v/>
      </c>
      <c r="BC996">
        <f>IFERROR(INDEX(PP_Grid[#Data],$DE996,52),0)</f>
        <v/>
      </c>
      <c r="BD996">
        <f>IFERROR(INDEX(PP_Grid[#Data],$DE996,53),0)</f>
        <v/>
      </c>
      <c r="BE996">
        <f>IFERROR(INDEX(PP_Grid[#Data],$DE996,54),0)</f>
        <v/>
      </c>
      <c r="BF996">
        <f>IFERROR(INDEX(PP_Grid[#Data],$DE996,55),0)</f>
        <v/>
      </c>
      <c r="BG996">
        <f>IFERROR(INDEX(PP_Grid[#Data],$DE996,56),0)</f>
        <v/>
      </c>
      <c r="BH996">
        <f>IFERROR(INDEX(PP_Grid[#Data],$DE996,57),0)</f>
        <v/>
      </c>
      <c r="BI996">
        <f>IFERROR(INDEX(PP_Grid[#Data],$DE996,58),0)</f>
        <v/>
      </c>
      <c r="BJ996">
        <f>IFERROR(INDEX(PP_Grid[#Data],$DE996,59),0)</f>
        <v/>
      </c>
      <c r="BK996">
        <f>IFERROR(INDEX(PP_Grid[#Data],$DE996,60),0)</f>
        <v/>
      </c>
      <c r="BL996">
        <f>IFERROR(INDEX(PP_Grid[#Data],$DE996,61),0)</f>
        <v/>
      </c>
      <c r="BM996">
        <f>IFERROR(INDEX(PP_Grid[#Data],$DE996,62),0)</f>
        <v/>
      </c>
      <c r="BN996">
        <f>IFERROR(INDEX(PP_Grid[#Data],$DE996,63),0)</f>
        <v/>
      </c>
      <c r="BO996">
        <f>IFERROR(INDEX(PP_Grid[#Data],$DE996,64),0)</f>
        <v/>
      </c>
      <c r="BP996">
        <f>IFERROR(INDEX(PP_Grid[#Data],$DE996,65),0)</f>
        <v/>
      </c>
      <c r="BQ996">
        <f>IFERROR(INDEX(PP_Grid[#Data],$DE996,66),0)</f>
        <v/>
      </c>
      <c r="BR996">
        <f>IFERROR(INDEX(PP_Grid[#Data],$DE996,67),0)</f>
        <v/>
      </c>
      <c r="BS996">
        <f>IFERROR(INDEX(PP_Grid[#Data],$DE996,68),0)</f>
        <v/>
      </c>
      <c r="BT996">
        <f>IFERROR(INDEX(PP_Grid[#Data],$DE996,69),0)</f>
        <v/>
      </c>
      <c r="BU996">
        <f>IFERROR(INDEX(PP_Grid[#Data],$DE996,70),0)</f>
        <v/>
      </c>
      <c r="BV996">
        <f>IFERROR(INDEX(PP_Grid[#Data],$DE996,71),0)</f>
        <v/>
      </c>
      <c r="BW996">
        <f>IFERROR(INDEX(PP_Grid[#Data],$DE996,72),0)</f>
        <v/>
      </c>
      <c r="BX996">
        <f>IFERROR(INDEX(PP_Grid[#Data],$DE996,73),0)</f>
        <v/>
      </c>
      <c r="BY996">
        <f>IFERROR(INDEX(PP_Grid[#Data],$DE996,74),0)</f>
        <v/>
      </c>
      <c r="BZ996">
        <f>IFERROR(INDEX(PP_Grid[#Data],$DE996,75),0)</f>
        <v/>
      </c>
      <c r="CA996">
        <f>IFERROR(INDEX(PP_Grid[#Data],$DE996,76),0)</f>
        <v/>
      </c>
      <c r="CB996">
        <f>IFERROR(INDEX(PP_Grid[#Data],$DE996,77),0)</f>
        <v/>
      </c>
      <c r="CC996">
        <f>IFERROR(INDEX(PP_Grid[#Data],$DE996,78),0)</f>
        <v/>
      </c>
      <c r="CD996">
        <f>IFERROR(INDEX(PP_Grid[#Data],$DE996,79),0)</f>
        <v/>
      </c>
      <c r="CE996">
        <f>IFERROR(INDEX(PP_Grid[#Data],$DE996,80),0)</f>
        <v/>
      </c>
      <c r="CF996">
        <f>IFERROR(INDEX(PP_Grid[#Data],$DE996,81),0)</f>
        <v/>
      </c>
      <c r="CG996">
        <f>IFERROR(INDEX(PP_Grid[#Data],$DE996,82),0)</f>
        <v/>
      </c>
      <c r="CH996">
        <f>IFERROR(INDEX(PP_Grid[#Data],$DE996,83),0)</f>
        <v/>
      </c>
      <c r="CI996">
        <f>IFERROR(INDEX(PP_Grid[#Data],$DE996,84),0)</f>
        <v/>
      </c>
      <c r="CJ996">
        <f>IFERROR(INDEX(PP_Grid[#Data],$DE996,85),0)</f>
        <v/>
      </c>
      <c r="CK996">
        <f>IFERROR(INDEX(PP_Grid[#Data],$DE996,86),0)</f>
        <v/>
      </c>
      <c r="CL996">
        <f>IFERROR(INDEX(PP_Grid[#Data],$DE996,87),0)</f>
        <v/>
      </c>
      <c r="CM996">
        <f>IFERROR(INDEX(PP_Grid[#Data],$DE996,88),0)</f>
        <v/>
      </c>
      <c r="CN996">
        <f>IFERROR(INDEX(PP_Grid[#Data],$DE996,89),0)</f>
        <v/>
      </c>
      <c r="CO996">
        <f>IFERROR(INDEX(PP_Grid[#Data],$DE996,90),0)</f>
        <v/>
      </c>
      <c r="CP996">
        <f>IFERROR(INDEX(PP_Grid[#Data],$DE996,91),0)</f>
        <v/>
      </c>
      <c r="CQ996">
        <f>IFERROR(INDEX(PP_Grid[#Data],$DE996,92),0)</f>
        <v/>
      </c>
      <c r="CR996">
        <f>IFERROR(INDEX(PP_Grid[#Data],$DE996,93),0)</f>
        <v/>
      </c>
      <c r="CS996">
        <f>IFERROR(INDEX(PP_Grid[#Data],$DE996,94),0)</f>
        <v/>
      </c>
      <c r="CT996">
        <f>IFERROR(INDEX(PP_Grid[#Data],$DE996,95),0)</f>
        <v/>
      </c>
      <c r="CU996">
        <f>IFERROR(INDEX(PP_Grid[#Data],$DE996,96),0)</f>
        <v/>
      </c>
      <c r="CV996">
        <f>IFERROR(INDEX(PP_Grid[#Data],$DE996,97),0)</f>
        <v/>
      </c>
      <c r="CW996">
        <f>IFERROR(INDEX(PP_Grid[#Data],$DE996,98),0)</f>
        <v/>
      </c>
      <c r="CX996">
        <f>IFERROR(INDEX(PP_Grid[#Data],$DE996,99),0)</f>
        <v/>
      </c>
      <c r="CY996">
        <f>IFERROR(INDEX(PP_Grid[#Data],$DE996,100),0)</f>
        <v/>
      </c>
      <c r="CZ996">
        <f>IFERROR(INDEX(PP_Grid[#Data],$DE996,101),0)</f>
        <v/>
      </c>
      <c r="DA996">
        <f>IFERROR(INDEX(PP_Grid[#Data],$DE996,102),0)</f>
        <v/>
      </c>
      <c r="DB996">
        <f>IFERROR(INDEX(PP_Grid[#Data],$DE996,103),0)</f>
        <v/>
      </c>
      <c r="DC996">
        <f>IFERROR(INDEX(PP_Grid[#Data],$DE996,104),0)</f>
        <v/>
      </c>
      <c r="DD996">
        <f>IFERROR(INDEX(PP_Grid[#Data],$DE996,105),0)</f>
        <v/>
      </c>
      <c r="DE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SUMIFS(M_BOM[RM_Qty_Per_Batch],M_BOM[Intermediate],$B996,M_BOM[RM_Code],$A971)</f>
        <v/>
      </c>
      <c r="D997">
        <f>IFERROR(INDEX(E997:DD997,$F$1),"")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  <c r="DD997">
        <f>$C997*DD996</f>
        <v/>
      </c>
    </row>
    <row r="998">
      <c r="B998" t="inlineStr">
        <is>
          <t>VSP-989</t>
        </is>
      </c>
      <c r="C998" t="inlineStr">
        <is>
          <t>No. of batches</t>
        </is>
      </c>
      <c r="D998">
        <f>IFERROR(INDEX(E998:DD998,$F$1),"")</f>
        <v/>
      </c>
      <c r="E998">
        <f>IFERROR(INDEX(PP_Grid[#Data],$DE998,2),0)</f>
        <v/>
      </c>
      <c r="F998">
        <f>IFERROR(INDEX(PP_Grid[#Data],$DE998,3),0)</f>
        <v/>
      </c>
      <c r="G998">
        <f>IFERROR(INDEX(PP_Grid[#Data],$DE998,4),0)</f>
        <v/>
      </c>
      <c r="H998">
        <f>IFERROR(INDEX(PP_Grid[#Data],$DE998,5),0)</f>
        <v/>
      </c>
      <c r="I998">
        <f>IFERROR(INDEX(PP_Grid[#Data],$DE998,6),0)</f>
        <v/>
      </c>
      <c r="J998">
        <f>IFERROR(INDEX(PP_Grid[#Data],$DE998,7),0)</f>
        <v/>
      </c>
      <c r="K998">
        <f>IFERROR(INDEX(PP_Grid[#Data],$DE998,8),0)</f>
        <v/>
      </c>
      <c r="L998">
        <f>IFERROR(INDEX(PP_Grid[#Data],$DE998,9),0)</f>
        <v/>
      </c>
      <c r="M998">
        <f>IFERROR(INDEX(PP_Grid[#Data],$DE998,10),0)</f>
        <v/>
      </c>
      <c r="N998">
        <f>IFERROR(INDEX(PP_Grid[#Data],$DE998,11),0)</f>
        <v/>
      </c>
      <c r="O998">
        <f>IFERROR(INDEX(PP_Grid[#Data],$DE998,12),0)</f>
        <v/>
      </c>
      <c r="P998">
        <f>IFERROR(INDEX(PP_Grid[#Data],$DE998,13),0)</f>
        <v/>
      </c>
      <c r="Q998">
        <f>IFERROR(INDEX(PP_Grid[#Data],$DE998,14),0)</f>
        <v/>
      </c>
      <c r="R998">
        <f>IFERROR(INDEX(PP_Grid[#Data],$DE998,15),0)</f>
        <v/>
      </c>
      <c r="S998">
        <f>IFERROR(INDEX(PP_Grid[#Data],$DE998,16),0)</f>
        <v/>
      </c>
      <c r="T998">
        <f>IFERROR(INDEX(PP_Grid[#Data],$DE998,17),0)</f>
        <v/>
      </c>
      <c r="U998">
        <f>IFERROR(INDEX(PP_Grid[#Data],$DE998,18),0)</f>
        <v/>
      </c>
      <c r="V998">
        <f>IFERROR(INDEX(PP_Grid[#Data],$DE998,19),0)</f>
        <v/>
      </c>
      <c r="W998">
        <f>IFERROR(INDEX(PP_Grid[#Data],$DE998,20),0)</f>
        <v/>
      </c>
      <c r="X998">
        <f>IFERROR(INDEX(PP_Grid[#Data],$DE998,21),0)</f>
        <v/>
      </c>
      <c r="Y998">
        <f>IFERROR(INDEX(PP_Grid[#Data],$DE998,22),0)</f>
        <v/>
      </c>
      <c r="Z998">
        <f>IFERROR(INDEX(PP_Grid[#Data],$DE998,23),0)</f>
        <v/>
      </c>
      <c r="AA998">
        <f>IFERROR(INDEX(PP_Grid[#Data],$DE998,24),0)</f>
        <v/>
      </c>
      <c r="AB998">
        <f>IFERROR(INDEX(PP_Grid[#Data],$DE998,25),0)</f>
        <v/>
      </c>
      <c r="AC998">
        <f>IFERROR(INDEX(PP_Grid[#Data],$DE998,26),0)</f>
        <v/>
      </c>
      <c r="AD998">
        <f>IFERROR(INDEX(PP_Grid[#Data],$DE998,27),0)</f>
        <v/>
      </c>
      <c r="AE998">
        <f>IFERROR(INDEX(PP_Grid[#Data],$DE998,28),0)</f>
        <v/>
      </c>
      <c r="AF998">
        <f>IFERROR(INDEX(PP_Grid[#Data],$DE998,29),0)</f>
        <v/>
      </c>
      <c r="AG998">
        <f>IFERROR(INDEX(PP_Grid[#Data],$DE998,30),0)</f>
        <v/>
      </c>
      <c r="AH998">
        <f>IFERROR(INDEX(PP_Grid[#Data],$DE998,31),0)</f>
        <v/>
      </c>
      <c r="AI998">
        <f>IFERROR(INDEX(PP_Grid[#Data],$DE998,32),0)</f>
        <v/>
      </c>
      <c r="AJ998">
        <f>IFERROR(INDEX(PP_Grid[#Data],$DE998,33),0)</f>
        <v/>
      </c>
      <c r="AK998">
        <f>IFERROR(INDEX(PP_Grid[#Data],$DE998,34),0)</f>
        <v/>
      </c>
      <c r="AL998">
        <f>IFERROR(INDEX(PP_Grid[#Data],$DE998,35),0)</f>
        <v/>
      </c>
      <c r="AM998">
        <f>IFERROR(INDEX(PP_Grid[#Data],$DE998,36),0)</f>
        <v/>
      </c>
      <c r="AN998">
        <f>IFERROR(INDEX(PP_Grid[#Data],$DE998,37),0)</f>
        <v/>
      </c>
      <c r="AO998">
        <f>IFERROR(INDEX(PP_Grid[#Data],$DE998,38),0)</f>
        <v/>
      </c>
      <c r="AP998">
        <f>IFERROR(INDEX(PP_Grid[#Data],$DE998,39),0)</f>
        <v/>
      </c>
      <c r="AQ998">
        <f>IFERROR(INDEX(PP_Grid[#Data],$DE998,40),0)</f>
        <v/>
      </c>
      <c r="AR998">
        <f>IFERROR(INDEX(PP_Grid[#Data],$DE998,41),0)</f>
        <v/>
      </c>
      <c r="AS998">
        <f>IFERROR(INDEX(PP_Grid[#Data],$DE998,42),0)</f>
        <v/>
      </c>
      <c r="AT998">
        <f>IFERROR(INDEX(PP_Grid[#Data],$DE998,43),0)</f>
        <v/>
      </c>
      <c r="AU998">
        <f>IFERROR(INDEX(PP_Grid[#Data],$DE998,44),0)</f>
        <v/>
      </c>
      <c r="AV998">
        <f>IFERROR(INDEX(PP_Grid[#Data],$DE998,45),0)</f>
        <v/>
      </c>
      <c r="AW998">
        <f>IFERROR(INDEX(PP_Grid[#Data],$DE998,46),0)</f>
        <v/>
      </c>
      <c r="AX998">
        <f>IFERROR(INDEX(PP_Grid[#Data],$DE998,47),0)</f>
        <v/>
      </c>
      <c r="AY998">
        <f>IFERROR(INDEX(PP_Grid[#Data],$DE998,48),0)</f>
        <v/>
      </c>
      <c r="AZ998">
        <f>IFERROR(INDEX(PP_Grid[#Data],$DE998,49),0)</f>
        <v/>
      </c>
      <c r="BA998">
        <f>IFERROR(INDEX(PP_Grid[#Data],$DE998,50),0)</f>
        <v/>
      </c>
      <c r="BB998">
        <f>IFERROR(INDEX(PP_Grid[#Data],$DE998,51),0)</f>
        <v/>
      </c>
      <c r="BC998">
        <f>IFERROR(INDEX(PP_Grid[#Data],$DE998,52),0)</f>
        <v/>
      </c>
      <c r="BD998">
        <f>IFERROR(INDEX(PP_Grid[#Data],$DE998,53),0)</f>
        <v/>
      </c>
      <c r="BE998">
        <f>IFERROR(INDEX(PP_Grid[#Data],$DE998,54),0)</f>
        <v/>
      </c>
      <c r="BF998">
        <f>IFERROR(INDEX(PP_Grid[#Data],$DE998,55),0)</f>
        <v/>
      </c>
      <c r="BG998">
        <f>IFERROR(INDEX(PP_Grid[#Data],$DE998,56),0)</f>
        <v/>
      </c>
      <c r="BH998">
        <f>IFERROR(INDEX(PP_Grid[#Data],$DE998,57),0)</f>
        <v/>
      </c>
      <c r="BI998">
        <f>IFERROR(INDEX(PP_Grid[#Data],$DE998,58),0)</f>
        <v/>
      </c>
      <c r="BJ998">
        <f>IFERROR(INDEX(PP_Grid[#Data],$DE998,59),0)</f>
        <v/>
      </c>
      <c r="BK998">
        <f>IFERROR(INDEX(PP_Grid[#Data],$DE998,60),0)</f>
        <v/>
      </c>
      <c r="BL998">
        <f>IFERROR(INDEX(PP_Grid[#Data],$DE998,61),0)</f>
        <v/>
      </c>
      <c r="BM998">
        <f>IFERROR(INDEX(PP_Grid[#Data],$DE998,62),0)</f>
        <v/>
      </c>
      <c r="BN998">
        <f>IFERROR(INDEX(PP_Grid[#Data],$DE998,63),0)</f>
        <v/>
      </c>
      <c r="BO998">
        <f>IFERROR(INDEX(PP_Grid[#Data],$DE998,64),0)</f>
        <v/>
      </c>
      <c r="BP998">
        <f>IFERROR(INDEX(PP_Grid[#Data],$DE998,65),0)</f>
        <v/>
      </c>
      <c r="BQ998">
        <f>IFERROR(INDEX(PP_Grid[#Data],$DE998,66),0)</f>
        <v/>
      </c>
      <c r="BR998">
        <f>IFERROR(INDEX(PP_Grid[#Data],$DE998,67),0)</f>
        <v/>
      </c>
      <c r="BS998">
        <f>IFERROR(INDEX(PP_Grid[#Data],$DE998,68),0)</f>
        <v/>
      </c>
      <c r="BT998">
        <f>IFERROR(INDEX(PP_Grid[#Data],$DE998,69),0)</f>
        <v/>
      </c>
      <c r="BU998">
        <f>IFERROR(INDEX(PP_Grid[#Data],$DE998,70),0)</f>
        <v/>
      </c>
      <c r="BV998">
        <f>IFERROR(INDEX(PP_Grid[#Data],$DE998,71),0)</f>
        <v/>
      </c>
      <c r="BW998">
        <f>IFERROR(INDEX(PP_Grid[#Data],$DE998,72),0)</f>
        <v/>
      </c>
      <c r="BX998">
        <f>IFERROR(INDEX(PP_Grid[#Data],$DE998,73),0)</f>
        <v/>
      </c>
      <c r="BY998">
        <f>IFERROR(INDEX(PP_Grid[#Data],$DE998,74),0)</f>
        <v/>
      </c>
      <c r="BZ998">
        <f>IFERROR(INDEX(PP_Grid[#Data],$DE998,75),0)</f>
        <v/>
      </c>
      <c r="CA998">
        <f>IFERROR(INDEX(PP_Grid[#Data],$DE998,76),0)</f>
        <v/>
      </c>
      <c r="CB998">
        <f>IFERROR(INDEX(PP_Grid[#Data],$DE998,77),0)</f>
        <v/>
      </c>
      <c r="CC998">
        <f>IFERROR(INDEX(PP_Grid[#Data],$DE998,78),0)</f>
        <v/>
      </c>
      <c r="CD998">
        <f>IFERROR(INDEX(PP_Grid[#Data],$DE998,79),0)</f>
        <v/>
      </c>
      <c r="CE998">
        <f>IFERROR(INDEX(PP_Grid[#Data],$DE998,80),0)</f>
        <v/>
      </c>
      <c r="CF998">
        <f>IFERROR(INDEX(PP_Grid[#Data],$DE998,81),0)</f>
        <v/>
      </c>
      <c r="CG998">
        <f>IFERROR(INDEX(PP_Grid[#Data],$DE998,82),0)</f>
        <v/>
      </c>
      <c r="CH998">
        <f>IFERROR(INDEX(PP_Grid[#Data],$DE998,83),0)</f>
        <v/>
      </c>
      <c r="CI998">
        <f>IFERROR(INDEX(PP_Grid[#Data],$DE998,84),0)</f>
        <v/>
      </c>
      <c r="CJ998">
        <f>IFERROR(INDEX(PP_Grid[#Data],$DE998,85),0)</f>
        <v/>
      </c>
      <c r="CK998">
        <f>IFERROR(INDEX(PP_Grid[#Data],$DE998,86),0)</f>
        <v/>
      </c>
      <c r="CL998">
        <f>IFERROR(INDEX(PP_Grid[#Data],$DE998,87),0)</f>
        <v/>
      </c>
      <c r="CM998">
        <f>IFERROR(INDEX(PP_Grid[#Data],$DE998,88),0)</f>
        <v/>
      </c>
      <c r="CN998">
        <f>IFERROR(INDEX(PP_Grid[#Data],$DE998,89),0)</f>
        <v/>
      </c>
      <c r="CO998">
        <f>IFERROR(INDEX(PP_Grid[#Data],$DE998,90),0)</f>
        <v/>
      </c>
      <c r="CP998">
        <f>IFERROR(INDEX(PP_Grid[#Data],$DE998,91),0)</f>
        <v/>
      </c>
      <c r="CQ998">
        <f>IFERROR(INDEX(PP_Grid[#Data],$DE998,92),0)</f>
        <v/>
      </c>
      <c r="CR998">
        <f>IFERROR(INDEX(PP_Grid[#Data],$DE998,93),0)</f>
        <v/>
      </c>
      <c r="CS998">
        <f>IFERROR(INDEX(PP_Grid[#Data],$DE998,94),0)</f>
        <v/>
      </c>
      <c r="CT998">
        <f>IFERROR(INDEX(PP_Grid[#Data],$DE998,95),0)</f>
        <v/>
      </c>
      <c r="CU998">
        <f>IFERROR(INDEX(PP_Grid[#Data],$DE998,96),0)</f>
        <v/>
      </c>
      <c r="CV998">
        <f>IFERROR(INDEX(PP_Grid[#Data],$DE998,97),0)</f>
        <v/>
      </c>
      <c r="CW998">
        <f>IFERROR(INDEX(PP_Grid[#Data],$DE998,98),0)</f>
        <v/>
      </c>
      <c r="CX998">
        <f>IFERROR(INDEX(PP_Grid[#Data],$DE998,99),0)</f>
        <v/>
      </c>
      <c r="CY998">
        <f>IFERROR(INDEX(PP_Grid[#Data],$DE998,100),0)</f>
        <v/>
      </c>
      <c r="CZ998">
        <f>IFERROR(INDEX(PP_Grid[#Data],$DE998,101),0)</f>
        <v/>
      </c>
      <c r="DA998">
        <f>IFERROR(INDEX(PP_Grid[#Data],$DE998,102),0)</f>
        <v/>
      </c>
      <c r="DB998">
        <f>IFERROR(INDEX(PP_Grid[#Data],$DE998,103),0)</f>
        <v/>
      </c>
      <c r="DC998">
        <f>IFERROR(INDEX(PP_Grid[#Data],$DE998,104),0)</f>
        <v/>
      </c>
      <c r="DD998">
        <f>IFERROR(INDEX(PP_Grid[#Data],$DE998,105),0)</f>
        <v/>
      </c>
      <c r="DE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SUMIFS(M_BOM[RM_Qty_Per_Batch],M_BOM[Intermediate],$B998,M_BOM[RM_Code],$A971)</f>
        <v/>
      </c>
      <c r="D999">
        <f>IFERROR(INDEX(E999:DD999,$F$1),"")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  <c r="DD999">
        <f>$C999*DD998</f>
        <v/>
      </c>
    </row>
    <row r="1000">
      <c r="B1000" t="inlineStr">
        <is>
          <t>TPP-190</t>
        </is>
      </c>
      <c r="C1000" t="inlineStr">
        <is>
          <t>No. of batches</t>
        </is>
      </c>
      <c r="D1000">
        <f>IFERROR(INDEX(E1000:DD1000,$F$1),"")</f>
        <v/>
      </c>
      <c r="E1000">
        <f>IFERROR(INDEX(PP_Grid[#Data],$DE1000,2),0)</f>
        <v/>
      </c>
      <c r="F1000">
        <f>IFERROR(INDEX(PP_Grid[#Data],$DE1000,3),0)</f>
        <v/>
      </c>
      <c r="G1000">
        <f>IFERROR(INDEX(PP_Grid[#Data],$DE1000,4),0)</f>
        <v/>
      </c>
      <c r="H1000">
        <f>IFERROR(INDEX(PP_Grid[#Data],$DE1000,5),0)</f>
        <v/>
      </c>
      <c r="I1000">
        <f>IFERROR(INDEX(PP_Grid[#Data],$DE1000,6),0)</f>
        <v/>
      </c>
      <c r="J1000">
        <f>IFERROR(INDEX(PP_Grid[#Data],$DE1000,7),0)</f>
        <v/>
      </c>
      <c r="K1000">
        <f>IFERROR(INDEX(PP_Grid[#Data],$DE1000,8),0)</f>
        <v/>
      </c>
      <c r="L1000">
        <f>IFERROR(INDEX(PP_Grid[#Data],$DE1000,9),0)</f>
        <v/>
      </c>
      <c r="M1000">
        <f>IFERROR(INDEX(PP_Grid[#Data],$DE1000,10),0)</f>
        <v/>
      </c>
      <c r="N1000">
        <f>IFERROR(INDEX(PP_Grid[#Data],$DE1000,11),0)</f>
        <v/>
      </c>
      <c r="O1000">
        <f>IFERROR(INDEX(PP_Grid[#Data],$DE1000,12),0)</f>
        <v/>
      </c>
      <c r="P1000">
        <f>IFERROR(INDEX(PP_Grid[#Data],$DE1000,13),0)</f>
        <v/>
      </c>
      <c r="Q1000">
        <f>IFERROR(INDEX(PP_Grid[#Data],$DE1000,14),0)</f>
        <v/>
      </c>
      <c r="R1000">
        <f>IFERROR(INDEX(PP_Grid[#Data],$DE1000,15),0)</f>
        <v/>
      </c>
      <c r="S1000">
        <f>IFERROR(INDEX(PP_Grid[#Data],$DE1000,16),0)</f>
        <v/>
      </c>
      <c r="T1000">
        <f>IFERROR(INDEX(PP_Grid[#Data],$DE1000,17),0)</f>
        <v/>
      </c>
      <c r="U1000">
        <f>IFERROR(INDEX(PP_Grid[#Data],$DE1000,18),0)</f>
        <v/>
      </c>
      <c r="V1000">
        <f>IFERROR(INDEX(PP_Grid[#Data],$DE1000,19),0)</f>
        <v/>
      </c>
      <c r="W1000">
        <f>IFERROR(INDEX(PP_Grid[#Data],$DE1000,20),0)</f>
        <v/>
      </c>
      <c r="X1000">
        <f>IFERROR(INDEX(PP_Grid[#Data],$DE1000,21),0)</f>
        <v/>
      </c>
      <c r="Y1000">
        <f>IFERROR(INDEX(PP_Grid[#Data],$DE1000,22),0)</f>
        <v/>
      </c>
      <c r="Z1000">
        <f>IFERROR(INDEX(PP_Grid[#Data],$DE1000,23),0)</f>
        <v/>
      </c>
      <c r="AA1000">
        <f>IFERROR(INDEX(PP_Grid[#Data],$DE1000,24),0)</f>
        <v/>
      </c>
      <c r="AB1000">
        <f>IFERROR(INDEX(PP_Grid[#Data],$DE1000,25),0)</f>
        <v/>
      </c>
      <c r="AC1000">
        <f>IFERROR(INDEX(PP_Grid[#Data],$DE1000,26),0)</f>
        <v/>
      </c>
      <c r="AD1000">
        <f>IFERROR(INDEX(PP_Grid[#Data],$DE1000,27),0)</f>
        <v/>
      </c>
      <c r="AE1000">
        <f>IFERROR(INDEX(PP_Grid[#Data],$DE1000,28),0)</f>
        <v/>
      </c>
      <c r="AF1000">
        <f>IFERROR(INDEX(PP_Grid[#Data],$DE1000,29),0)</f>
        <v/>
      </c>
      <c r="AG1000">
        <f>IFERROR(INDEX(PP_Grid[#Data],$DE1000,30),0)</f>
        <v/>
      </c>
      <c r="AH1000">
        <f>IFERROR(INDEX(PP_Grid[#Data],$DE1000,31),0)</f>
        <v/>
      </c>
      <c r="AI1000">
        <f>IFERROR(INDEX(PP_Grid[#Data],$DE1000,32),0)</f>
        <v/>
      </c>
      <c r="AJ1000">
        <f>IFERROR(INDEX(PP_Grid[#Data],$DE1000,33),0)</f>
        <v/>
      </c>
      <c r="AK1000">
        <f>IFERROR(INDEX(PP_Grid[#Data],$DE1000,34),0)</f>
        <v/>
      </c>
      <c r="AL1000">
        <f>IFERROR(INDEX(PP_Grid[#Data],$DE1000,35),0)</f>
        <v/>
      </c>
      <c r="AM1000">
        <f>IFERROR(INDEX(PP_Grid[#Data],$DE1000,36),0)</f>
        <v/>
      </c>
      <c r="AN1000">
        <f>IFERROR(INDEX(PP_Grid[#Data],$DE1000,37),0)</f>
        <v/>
      </c>
      <c r="AO1000">
        <f>IFERROR(INDEX(PP_Grid[#Data],$DE1000,38),0)</f>
        <v/>
      </c>
      <c r="AP1000">
        <f>IFERROR(INDEX(PP_Grid[#Data],$DE1000,39),0)</f>
        <v/>
      </c>
      <c r="AQ1000">
        <f>IFERROR(INDEX(PP_Grid[#Data],$DE1000,40),0)</f>
        <v/>
      </c>
      <c r="AR1000">
        <f>IFERROR(INDEX(PP_Grid[#Data],$DE1000,41),0)</f>
        <v/>
      </c>
      <c r="AS1000">
        <f>IFERROR(INDEX(PP_Grid[#Data],$DE1000,42),0)</f>
        <v/>
      </c>
      <c r="AT1000">
        <f>IFERROR(INDEX(PP_Grid[#Data],$DE1000,43),0)</f>
        <v/>
      </c>
      <c r="AU1000">
        <f>IFERROR(INDEX(PP_Grid[#Data],$DE1000,44),0)</f>
        <v/>
      </c>
      <c r="AV1000">
        <f>IFERROR(INDEX(PP_Grid[#Data],$DE1000,45),0)</f>
        <v/>
      </c>
      <c r="AW1000">
        <f>IFERROR(INDEX(PP_Grid[#Data],$DE1000,46),0)</f>
        <v/>
      </c>
      <c r="AX1000">
        <f>IFERROR(INDEX(PP_Grid[#Data],$DE1000,47),0)</f>
        <v/>
      </c>
      <c r="AY1000">
        <f>IFERROR(INDEX(PP_Grid[#Data],$DE1000,48),0)</f>
        <v/>
      </c>
      <c r="AZ1000">
        <f>IFERROR(INDEX(PP_Grid[#Data],$DE1000,49),0)</f>
        <v/>
      </c>
      <c r="BA1000">
        <f>IFERROR(INDEX(PP_Grid[#Data],$DE1000,50),0)</f>
        <v/>
      </c>
      <c r="BB1000">
        <f>IFERROR(INDEX(PP_Grid[#Data],$DE1000,51),0)</f>
        <v/>
      </c>
      <c r="BC1000">
        <f>IFERROR(INDEX(PP_Grid[#Data],$DE1000,52),0)</f>
        <v/>
      </c>
      <c r="BD1000">
        <f>IFERROR(INDEX(PP_Grid[#Data],$DE1000,53),0)</f>
        <v/>
      </c>
      <c r="BE1000">
        <f>IFERROR(INDEX(PP_Grid[#Data],$DE1000,54),0)</f>
        <v/>
      </c>
      <c r="BF1000">
        <f>IFERROR(INDEX(PP_Grid[#Data],$DE1000,55),0)</f>
        <v/>
      </c>
      <c r="BG1000">
        <f>IFERROR(INDEX(PP_Grid[#Data],$DE1000,56),0)</f>
        <v/>
      </c>
      <c r="BH1000">
        <f>IFERROR(INDEX(PP_Grid[#Data],$DE1000,57),0)</f>
        <v/>
      </c>
      <c r="BI1000">
        <f>IFERROR(INDEX(PP_Grid[#Data],$DE1000,58),0)</f>
        <v/>
      </c>
      <c r="BJ1000">
        <f>IFERROR(INDEX(PP_Grid[#Data],$DE1000,59),0)</f>
        <v/>
      </c>
      <c r="BK1000">
        <f>IFERROR(INDEX(PP_Grid[#Data],$DE1000,60),0)</f>
        <v/>
      </c>
      <c r="BL1000">
        <f>IFERROR(INDEX(PP_Grid[#Data],$DE1000,61),0)</f>
        <v/>
      </c>
      <c r="BM1000">
        <f>IFERROR(INDEX(PP_Grid[#Data],$DE1000,62),0)</f>
        <v/>
      </c>
      <c r="BN1000">
        <f>IFERROR(INDEX(PP_Grid[#Data],$DE1000,63),0)</f>
        <v/>
      </c>
      <c r="BO1000">
        <f>IFERROR(INDEX(PP_Grid[#Data],$DE1000,64),0)</f>
        <v/>
      </c>
      <c r="BP1000">
        <f>IFERROR(INDEX(PP_Grid[#Data],$DE1000,65),0)</f>
        <v/>
      </c>
      <c r="BQ1000">
        <f>IFERROR(INDEX(PP_Grid[#Data],$DE1000,66),0)</f>
        <v/>
      </c>
      <c r="BR1000">
        <f>IFERROR(INDEX(PP_Grid[#Data],$DE1000,67),0)</f>
        <v/>
      </c>
      <c r="BS1000">
        <f>IFERROR(INDEX(PP_Grid[#Data],$DE1000,68),0)</f>
        <v/>
      </c>
      <c r="BT1000">
        <f>IFERROR(INDEX(PP_Grid[#Data],$DE1000,69),0)</f>
        <v/>
      </c>
      <c r="BU1000">
        <f>IFERROR(INDEX(PP_Grid[#Data],$DE1000,70),0)</f>
        <v/>
      </c>
      <c r="BV1000">
        <f>IFERROR(INDEX(PP_Grid[#Data],$DE1000,71),0)</f>
        <v/>
      </c>
      <c r="BW1000">
        <f>IFERROR(INDEX(PP_Grid[#Data],$DE1000,72),0)</f>
        <v/>
      </c>
      <c r="BX1000">
        <f>IFERROR(INDEX(PP_Grid[#Data],$DE1000,73),0)</f>
        <v/>
      </c>
      <c r="BY1000">
        <f>IFERROR(INDEX(PP_Grid[#Data],$DE1000,74),0)</f>
        <v/>
      </c>
      <c r="BZ1000">
        <f>IFERROR(INDEX(PP_Grid[#Data],$DE1000,75),0)</f>
        <v/>
      </c>
      <c r="CA1000">
        <f>IFERROR(INDEX(PP_Grid[#Data],$DE1000,76),0)</f>
        <v/>
      </c>
      <c r="CB1000">
        <f>IFERROR(INDEX(PP_Grid[#Data],$DE1000,77),0)</f>
        <v/>
      </c>
      <c r="CC1000">
        <f>IFERROR(INDEX(PP_Grid[#Data],$DE1000,78),0)</f>
        <v/>
      </c>
      <c r="CD1000">
        <f>IFERROR(INDEX(PP_Grid[#Data],$DE1000,79),0)</f>
        <v/>
      </c>
      <c r="CE1000">
        <f>IFERROR(INDEX(PP_Grid[#Data],$DE1000,80),0)</f>
        <v/>
      </c>
      <c r="CF1000">
        <f>IFERROR(INDEX(PP_Grid[#Data],$DE1000,81),0)</f>
        <v/>
      </c>
      <c r="CG1000">
        <f>IFERROR(INDEX(PP_Grid[#Data],$DE1000,82),0)</f>
        <v/>
      </c>
      <c r="CH1000">
        <f>IFERROR(INDEX(PP_Grid[#Data],$DE1000,83),0)</f>
        <v/>
      </c>
      <c r="CI1000">
        <f>IFERROR(INDEX(PP_Grid[#Data],$DE1000,84),0)</f>
        <v/>
      </c>
      <c r="CJ1000">
        <f>IFERROR(INDEX(PP_Grid[#Data],$DE1000,85),0)</f>
        <v/>
      </c>
      <c r="CK1000">
        <f>IFERROR(INDEX(PP_Grid[#Data],$DE1000,86),0)</f>
        <v/>
      </c>
      <c r="CL1000">
        <f>IFERROR(INDEX(PP_Grid[#Data],$DE1000,87),0)</f>
        <v/>
      </c>
      <c r="CM1000">
        <f>IFERROR(INDEX(PP_Grid[#Data],$DE1000,88),0)</f>
        <v/>
      </c>
      <c r="CN1000">
        <f>IFERROR(INDEX(PP_Grid[#Data],$DE1000,89),0)</f>
        <v/>
      </c>
      <c r="CO1000">
        <f>IFERROR(INDEX(PP_Grid[#Data],$DE1000,90),0)</f>
        <v/>
      </c>
      <c r="CP1000">
        <f>IFERROR(INDEX(PP_Grid[#Data],$DE1000,91),0)</f>
        <v/>
      </c>
      <c r="CQ1000">
        <f>IFERROR(INDEX(PP_Grid[#Data],$DE1000,92),0)</f>
        <v/>
      </c>
      <c r="CR1000">
        <f>IFERROR(INDEX(PP_Grid[#Data],$DE1000,93),0)</f>
        <v/>
      </c>
      <c r="CS1000">
        <f>IFERROR(INDEX(PP_Grid[#Data],$DE1000,94),0)</f>
        <v/>
      </c>
      <c r="CT1000">
        <f>IFERROR(INDEX(PP_Grid[#Data],$DE1000,95),0)</f>
        <v/>
      </c>
      <c r="CU1000">
        <f>IFERROR(INDEX(PP_Grid[#Data],$DE1000,96),0)</f>
        <v/>
      </c>
      <c r="CV1000">
        <f>IFERROR(INDEX(PP_Grid[#Data],$DE1000,97),0)</f>
        <v/>
      </c>
      <c r="CW1000">
        <f>IFERROR(INDEX(PP_Grid[#Data],$DE1000,98),0)</f>
        <v/>
      </c>
      <c r="CX1000">
        <f>IFERROR(INDEX(PP_Grid[#Data],$DE1000,99),0)</f>
        <v/>
      </c>
      <c r="CY1000">
        <f>IFERROR(INDEX(PP_Grid[#Data],$DE1000,100),0)</f>
        <v/>
      </c>
      <c r="CZ1000">
        <f>IFERROR(INDEX(PP_Grid[#Data],$DE1000,101),0)</f>
        <v/>
      </c>
      <c r="DA1000">
        <f>IFERROR(INDEX(PP_Grid[#Data],$DE1000,102),0)</f>
        <v/>
      </c>
      <c r="DB1000">
        <f>IFERROR(INDEX(PP_Grid[#Data],$DE1000,103),0)</f>
        <v/>
      </c>
      <c r="DC1000">
        <f>IFERROR(INDEX(PP_Grid[#Data],$DE1000,104),0)</f>
        <v/>
      </c>
      <c r="DD1000">
        <f>IFERROR(INDEX(PP_Grid[#Data],$DE1000,105),0)</f>
        <v/>
      </c>
      <c r="DE1000" s="7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SUMIFS(M_BOM[RM_Qty_Per_Batch],M_BOM[Intermediate],$B1000,M_BOM[RM_Code],$A971)</f>
        <v/>
      </c>
      <c r="D1001">
        <f>IFERROR(INDEX(E1001:DD1001,$F$1),"")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  <c r="DD1001">
        <f>$C1001*DD1000</f>
        <v/>
      </c>
    </row>
    <row r="1002">
      <c r="B1002" t="inlineStr">
        <is>
          <t>TPP-204</t>
        </is>
      </c>
      <c r="C1002" t="inlineStr">
        <is>
          <t>No. of batches</t>
        </is>
      </c>
      <c r="D1002">
        <f>IFERROR(INDEX(E1002:DD1002,$F$1),"")</f>
        <v/>
      </c>
      <c r="E1002">
        <f>IFERROR(INDEX(PP_Grid[#Data],$DE1002,2),0)</f>
        <v/>
      </c>
      <c r="F1002">
        <f>IFERROR(INDEX(PP_Grid[#Data],$DE1002,3),0)</f>
        <v/>
      </c>
      <c r="G1002">
        <f>IFERROR(INDEX(PP_Grid[#Data],$DE1002,4),0)</f>
        <v/>
      </c>
      <c r="H1002">
        <f>IFERROR(INDEX(PP_Grid[#Data],$DE1002,5),0)</f>
        <v/>
      </c>
      <c r="I1002">
        <f>IFERROR(INDEX(PP_Grid[#Data],$DE1002,6),0)</f>
        <v/>
      </c>
      <c r="J1002">
        <f>IFERROR(INDEX(PP_Grid[#Data],$DE1002,7),0)</f>
        <v/>
      </c>
      <c r="K1002">
        <f>IFERROR(INDEX(PP_Grid[#Data],$DE1002,8),0)</f>
        <v/>
      </c>
      <c r="L1002">
        <f>IFERROR(INDEX(PP_Grid[#Data],$DE1002,9),0)</f>
        <v/>
      </c>
      <c r="M1002">
        <f>IFERROR(INDEX(PP_Grid[#Data],$DE1002,10),0)</f>
        <v/>
      </c>
      <c r="N1002">
        <f>IFERROR(INDEX(PP_Grid[#Data],$DE1002,11),0)</f>
        <v/>
      </c>
      <c r="O1002">
        <f>IFERROR(INDEX(PP_Grid[#Data],$DE1002,12),0)</f>
        <v/>
      </c>
      <c r="P1002">
        <f>IFERROR(INDEX(PP_Grid[#Data],$DE1002,13),0)</f>
        <v/>
      </c>
      <c r="Q1002">
        <f>IFERROR(INDEX(PP_Grid[#Data],$DE1002,14),0)</f>
        <v/>
      </c>
      <c r="R1002">
        <f>IFERROR(INDEX(PP_Grid[#Data],$DE1002,15),0)</f>
        <v/>
      </c>
      <c r="S1002">
        <f>IFERROR(INDEX(PP_Grid[#Data],$DE1002,16),0)</f>
        <v/>
      </c>
      <c r="T1002">
        <f>IFERROR(INDEX(PP_Grid[#Data],$DE1002,17),0)</f>
        <v/>
      </c>
      <c r="U1002">
        <f>IFERROR(INDEX(PP_Grid[#Data],$DE1002,18),0)</f>
        <v/>
      </c>
      <c r="V1002">
        <f>IFERROR(INDEX(PP_Grid[#Data],$DE1002,19),0)</f>
        <v/>
      </c>
      <c r="W1002">
        <f>IFERROR(INDEX(PP_Grid[#Data],$DE1002,20),0)</f>
        <v/>
      </c>
      <c r="X1002">
        <f>IFERROR(INDEX(PP_Grid[#Data],$DE1002,21),0)</f>
        <v/>
      </c>
      <c r="Y1002">
        <f>IFERROR(INDEX(PP_Grid[#Data],$DE1002,22),0)</f>
        <v/>
      </c>
      <c r="Z1002">
        <f>IFERROR(INDEX(PP_Grid[#Data],$DE1002,23),0)</f>
        <v/>
      </c>
      <c r="AA1002">
        <f>IFERROR(INDEX(PP_Grid[#Data],$DE1002,24),0)</f>
        <v/>
      </c>
      <c r="AB1002">
        <f>IFERROR(INDEX(PP_Grid[#Data],$DE1002,25),0)</f>
        <v/>
      </c>
      <c r="AC1002">
        <f>IFERROR(INDEX(PP_Grid[#Data],$DE1002,26),0)</f>
        <v/>
      </c>
      <c r="AD1002">
        <f>IFERROR(INDEX(PP_Grid[#Data],$DE1002,27),0)</f>
        <v/>
      </c>
      <c r="AE1002">
        <f>IFERROR(INDEX(PP_Grid[#Data],$DE1002,28),0)</f>
        <v/>
      </c>
      <c r="AF1002">
        <f>IFERROR(INDEX(PP_Grid[#Data],$DE1002,29),0)</f>
        <v/>
      </c>
      <c r="AG1002">
        <f>IFERROR(INDEX(PP_Grid[#Data],$DE1002,30),0)</f>
        <v/>
      </c>
      <c r="AH1002">
        <f>IFERROR(INDEX(PP_Grid[#Data],$DE1002,31),0)</f>
        <v/>
      </c>
      <c r="AI1002">
        <f>IFERROR(INDEX(PP_Grid[#Data],$DE1002,32),0)</f>
        <v/>
      </c>
      <c r="AJ1002">
        <f>IFERROR(INDEX(PP_Grid[#Data],$DE1002,33),0)</f>
        <v/>
      </c>
      <c r="AK1002">
        <f>IFERROR(INDEX(PP_Grid[#Data],$DE1002,34),0)</f>
        <v/>
      </c>
      <c r="AL1002">
        <f>IFERROR(INDEX(PP_Grid[#Data],$DE1002,35),0)</f>
        <v/>
      </c>
      <c r="AM1002">
        <f>IFERROR(INDEX(PP_Grid[#Data],$DE1002,36),0)</f>
        <v/>
      </c>
      <c r="AN1002">
        <f>IFERROR(INDEX(PP_Grid[#Data],$DE1002,37),0)</f>
        <v/>
      </c>
      <c r="AO1002">
        <f>IFERROR(INDEX(PP_Grid[#Data],$DE1002,38),0)</f>
        <v/>
      </c>
      <c r="AP1002">
        <f>IFERROR(INDEX(PP_Grid[#Data],$DE1002,39),0)</f>
        <v/>
      </c>
      <c r="AQ1002">
        <f>IFERROR(INDEX(PP_Grid[#Data],$DE1002,40),0)</f>
        <v/>
      </c>
      <c r="AR1002">
        <f>IFERROR(INDEX(PP_Grid[#Data],$DE1002,41),0)</f>
        <v/>
      </c>
      <c r="AS1002">
        <f>IFERROR(INDEX(PP_Grid[#Data],$DE1002,42),0)</f>
        <v/>
      </c>
      <c r="AT1002">
        <f>IFERROR(INDEX(PP_Grid[#Data],$DE1002,43),0)</f>
        <v/>
      </c>
      <c r="AU1002">
        <f>IFERROR(INDEX(PP_Grid[#Data],$DE1002,44),0)</f>
        <v/>
      </c>
      <c r="AV1002">
        <f>IFERROR(INDEX(PP_Grid[#Data],$DE1002,45),0)</f>
        <v/>
      </c>
      <c r="AW1002">
        <f>IFERROR(INDEX(PP_Grid[#Data],$DE1002,46),0)</f>
        <v/>
      </c>
      <c r="AX1002">
        <f>IFERROR(INDEX(PP_Grid[#Data],$DE1002,47),0)</f>
        <v/>
      </c>
      <c r="AY1002">
        <f>IFERROR(INDEX(PP_Grid[#Data],$DE1002,48),0)</f>
        <v/>
      </c>
      <c r="AZ1002">
        <f>IFERROR(INDEX(PP_Grid[#Data],$DE1002,49),0)</f>
        <v/>
      </c>
      <c r="BA1002">
        <f>IFERROR(INDEX(PP_Grid[#Data],$DE1002,50),0)</f>
        <v/>
      </c>
      <c r="BB1002">
        <f>IFERROR(INDEX(PP_Grid[#Data],$DE1002,51),0)</f>
        <v/>
      </c>
      <c r="BC1002">
        <f>IFERROR(INDEX(PP_Grid[#Data],$DE1002,52),0)</f>
        <v/>
      </c>
      <c r="BD1002">
        <f>IFERROR(INDEX(PP_Grid[#Data],$DE1002,53),0)</f>
        <v/>
      </c>
      <c r="BE1002">
        <f>IFERROR(INDEX(PP_Grid[#Data],$DE1002,54),0)</f>
        <v/>
      </c>
      <c r="BF1002">
        <f>IFERROR(INDEX(PP_Grid[#Data],$DE1002,55),0)</f>
        <v/>
      </c>
      <c r="BG1002">
        <f>IFERROR(INDEX(PP_Grid[#Data],$DE1002,56),0)</f>
        <v/>
      </c>
      <c r="BH1002">
        <f>IFERROR(INDEX(PP_Grid[#Data],$DE1002,57),0)</f>
        <v/>
      </c>
      <c r="BI1002">
        <f>IFERROR(INDEX(PP_Grid[#Data],$DE1002,58),0)</f>
        <v/>
      </c>
      <c r="BJ1002">
        <f>IFERROR(INDEX(PP_Grid[#Data],$DE1002,59),0)</f>
        <v/>
      </c>
      <c r="BK1002">
        <f>IFERROR(INDEX(PP_Grid[#Data],$DE1002,60),0)</f>
        <v/>
      </c>
      <c r="BL1002">
        <f>IFERROR(INDEX(PP_Grid[#Data],$DE1002,61),0)</f>
        <v/>
      </c>
      <c r="BM1002">
        <f>IFERROR(INDEX(PP_Grid[#Data],$DE1002,62),0)</f>
        <v/>
      </c>
      <c r="BN1002">
        <f>IFERROR(INDEX(PP_Grid[#Data],$DE1002,63),0)</f>
        <v/>
      </c>
      <c r="BO1002">
        <f>IFERROR(INDEX(PP_Grid[#Data],$DE1002,64),0)</f>
        <v/>
      </c>
      <c r="BP1002">
        <f>IFERROR(INDEX(PP_Grid[#Data],$DE1002,65),0)</f>
        <v/>
      </c>
      <c r="BQ1002">
        <f>IFERROR(INDEX(PP_Grid[#Data],$DE1002,66),0)</f>
        <v/>
      </c>
      <c r="BR1002">
        <f>IFERROR(INDEX(PP_Grid[#Data],$DE1002,67),0)</f>
        <v/>
      </c>
      <c r="BS1002">
        <f>IFERROR(INDEX(PP_Grid[#Data],$DE1002,68),0)</f>
        <v/>
      </c>
      <c r="BT1002">
        <f>IFERROR(INDEX(PP_Grid[#Data],$DE1002,69),0)</f>
        <v/>
      </c>
      <c r="BU1002">
        <f>IFERROR(INDEX(PP_Grid[#Data],$DE1002,70),0)</f>
        <v/>
      </c>
      <c r="BV1002">
        <f>IFERROR(INDEX(PP_Grid[#Data],$DE1002,71),0)</f>
        <v/>
      </c>
      <c r="BW1002">
        <f>IFERROR(INDEX(PP_Grid[#Data],$DE1002,72),0)</f>
        <v/>
      </c>
      <c r="BX1002">
        <f>IFERROR(INDEX(PP_Grid[#Data],$DE1002,73),0)</f>
        <v/>
      </c>
      <c r="BY1002">
        <f>IFERROR(INDEX(PP_Grid[#Data],$DE1002,74),0)</f>
        <v/>
      </c>
      <c r="BZ1002">
        <f>IFERROR(INDEX(PP_Grid[#Data],$DE1002,75),0)</f>
        <v/>
      </c>
      <c r="CA1002">
        <f>IFERROR(INDEX(PP_Grid[#Data],$DE1002,76),0)</f>
        <v/>
      </c>
      <c r="CB1002">
        <f>IFERROR(INDEX(PP_Grid[#Data],$DE1002,77),0)</f>
        <v/>
      </c>
      <c r="CC1002">
        <f>IFERROR(INDEX(PP_Grid[#Data],$DE1002,78),0)</f>
        <v/>
      </c>
      <c r="CD1002">
        <f>IFERROR(INDEX(PP_Grid[#Data],$DE1002,79),0)</f>
        <v/>
      </c>
      <c r="CE1002">
        <f>IFERROR(INDEX(PP_Grid[#Data],$DE1002,80),0)</f>
        <v/>
      </c>
      <c r="CF1002">
        <f>IFERROR(INDEX(PP_Grid[#Data],$DE1002,81),0)</f>
        <v/>
      </c>
      <c r="CG1002">
        <f>IFERROR(INDEX(PP_Grid[#Data],$DE1002,82),0)</f>
        <v/>
      </c>
      <c r="CH1002">
        <f>IFERROR(INDEX(PP_Grid[#Data],$DE1002,83),0)</f>
        <v/>
      </c>
      <c r="CI1002">
        <f>IFERROR(INDEX(PP_Grid[#Data],$DE1002,84),0)</f>
        <v/>
      </c>
      <c r="CJ1002">
        <f>IFERROR(INDEX(PP_Grid[#Data],$DE1002,85),0)</f>
        <v/>
      </c>
      <c r="CK1002">
        <f>IFERROR(INDEX(PP_Grid[#Data],$DE1002,86),0)</f>
        <v/>
      </c>
      <c r="CL1002">
        <f>IFERROR(INDEX(PP_Grid[#Data],$DE1002,87),0)</f>
        <v/>
      </c>
      <c r="CM1002">
        <f>IFERROR(INDEX(PP_Grid[#Data],$DE1002,88),0)</f>
        <v/>
      </c>
      <c r="CN1002">
        <f>IFERROR(INDEX(PP_Grid[#Data],$DE1002,89),0)</f>
        <v/>
      </c>
      <c r="CO1002">
        <f>IFERROR(INDEX(PP_Grid[#Data],$DE1002,90),0)</f>
        <v/>
      </c>
      <c r="CP1002">
        <f>IFERROR(INDEX(PP_Grid[#Data],$DE1002,91),0)</f>
        <v/>
      </c>
      <c r="CQ1002">
        <f>IFERROR(INDEX(PP_Grid[#Data],$DE1002,92),0)</f>
        <v/>
      </c>
      <c r="CR1002">
        <f>IFERROR(INDEX(PP_Grid[#Data],$DE1002,93),0)</f>
        <v/>
      </c>
      <c r="CS1002">
        <f>IFERROR(INDEX(PP_Grid[#Data],$DE1002,94),0)</f>
        <v/>
      </c>
      <c r="CT1002">
        <f>IFERROR(INDEX(PP_Grid[#Data],$DE1002,95),0)</f>
        <v/>
      </c>
      <c r="CU1002">
        <f>IFERROR(INDEX(PP_Grid[#Data],$DE1002,96),0)</f>
        <v/>
      </c>
      <c r="CV1002">
        <f>IFERROR(INDEX(PP_Grid[#Data],$DE1002,97),0)</f>
        <v/>
      </c>
      <c r="CW1002">
        <f>IFERROR(INDEX(PP_Grid[#Data],$DE1002,98),0)</f>
        <v/>
      </c>
      <c r="CX1002">
        <f>IFERROR(INDEX(PP_Grid[#Data],$DE1002,99),0)</f>
        <v/>
      </c>
      <c r="CY1002">
        <f>IFERROR(INDEX(PP_Grid[#Data],$DE1002,100),0)</f>
        <v/>
      </c>
      <c r="CZ1002">
        <f>IFERROR(INDEX(PP_Grid[#Data],$DE1002,101),0)</f>
        <v/>
      </c>
      <c r="DA1002">
        <f>IFERROR(INDEX(PP_Grid[#Data],$DE1002,102),0)</f>
        <v/>
      </c>
      <c r="DB1002">
        <f>IFERROR(INDEX(PP_Grid[#Data],$DE1002,103),0)</f>
        <v/>
      </c>
      <c r="DC1002">
        <f>IFERROR(INDEX(PP_Grid[#Data],$DE1002,104),0)</f>
        <v/>
      </c>
      <c r="DD1002">
        <f>IFERROR(INDEX(PP_Grid[#Data],$DE1002,105),0)</f>
        <v/>
      </c>
      <c r="DE1002" s="7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SUMIFS(M_BOM[RM_Qty_Per_Batch],M_BOM[Intermediate],$B1002,M_BOM[RM_Code],$A971)</f>
        <v/>
      </c>
      <c r="D1003">
        <f>IFERROR(INDEX(E1003:DD1003,$F$1),"")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  <c r="DD1003">
        <f>$C1003*DD1002</f>
        <v/>
      </c>
    </row>
    <row r="1004">
      <c r="B1004" t="inlineStr">
        <is>
          <t>TPP-350</t>
        </is>
      </c>
      <c r="C1004" t="inlineStr">
        <is>
          <t>No. of batches</t>
        </is>
      </c>
      <c r="D1004">
        <f>IFERROR(INDEX(E1004:DD1004,$F$1),"")</f>
        <v/>
      </c>
      <c r="E1004">
        <f>IFERROR(INDEX(PP_Grid[#Data],$DE1004,2),0)</f>
        <v/>
      </c>
      <c r="F1004">
        <f>IFERROR(INDEX(PP_Grid[#Data],$DE1004,3),0)</f>
        <v/>
      </c>
      <c r="G1004">
        <f>IFERROR(INDEX(PP_Grid[#Data],$DE1004,4),0)</f>
        <v/>
      </c>
      <c r="H1004">
        <f>IFERROR(INDEX(PP_Grid[#Data],$DE1004,5),0)</f>
        <v/>
      </c>
      <c r="I1004">
        <f>IFERROR(INDEX(PP_Grid[#Data],$DE1004,6),0)</f>
        <v/>
      </c>
      <c r="J1004">
        <f>IFERROR(INDEX(PP_Grid[#Data],$DE1004,7),0)</f>
        <v/>
      </c>
      <c r="K1004">
        <f>IFERROR(INDEX(PP_Grid[#Data],$DE1004,8),0)</f>
        <v/>
      </c>
      <c r="L1004">
        <f>IFERROR(INDEX(PP_Grid[#Data],$DE1004,9),0)</f>
        <v/>
      </c>
      <c r="M1004">
        <f>IFERROR(INDEX(PP_Grid[#Data],$DE1004,10),0)</f>
        <v/>
      </c>
      <c r="N1004">
        <f>IFERROR(INDEX(PP_Grid[#Data],$DE1004,11),0)</f>
        <v/>
      </c>
      <c r="O1004">
        <f>IFERROR(INDEX(PP_Grid[#Data],$DE1004,12),0)</f>
        <v/>
      </c>
      <c r="P1004">
        <f>IFERROR(INDEX(PP_Grid[#Data],$DE1004,13),0)</f>
        <v/>
      </c>
      <c r="Q1004">
        <f>IFERROR(INDEX(PP_Grid[#Data],$DE1004,14),0)</f>
        <v/>
      </c>
      <c r="R1004">
        <f>IFERROR(INDEX(PP_Grid[#Data],$DE1004,15),0)</f>
        <v/>
      </c>
      <c r="S1004">
        <f>IFERROR(INDEX(PP_Grid[#Data],$DE1004,16),0)</f>
        <v/>
      </c>
      <c r="T1004">
        <f>IFERROR(INDEX(PP_Grid[#Data],$DE1004,17),0)</f>
        <v/>
      </c>
      <c r="U1004">
        <f>IFERROR(INDEX(PP_Grid[#Data],$DE1004,18),0)</f>
        <v/>
      </c>
      <c r="V1004">
        <f>IFERROR(INDEX(PP_Grid[#Data],$DE1004,19),0)</f>
        <v/>
      </c>
      <c r="W1004">
        <f>IFERROR(INDEX(PP_Grid[#Data],$DE1004,20),0)</f>
        <v/>
      </c>
      <c r="X1004">
        <f>IFERROR(INDEX(PP_Grid[#Data],$DE1004,21),0)</f>
        <v/>
      </c>
      <c r="Y1004">
        <f>IFERROR(INDEX(PP_Grid[#Data],$DE1004,22),0)</f>
        <v/>
      </c>
      <c r="Z1004">
        <f>IFERROR(INDEX(PP_Grid[#Data],$DE1004,23),0)</f>
        <v/>
      </c>
      <c r="AA1004">
        <f>IFERROR(INDEX(PP_Grid[#Data],$DE1004,24),0)</f>
        <v/>
      </c>
      <c r="AB1004">
        <f>IFERROR(INDEX(PP_Grid[#Data],$DE1004,25),0)</f>
        <v/>
      </c>
      <c r="AC1004">
        <f>IFERROR(INDEX(PP_Grid[#Data],$DE1004,26),0)</f>
        <v/>
      </c>
      <c r="AD1004">
        <f>IFERROR(INDEX(PP_Grid[#Data],$DE1004,27),0)</f>
        <v/>
      </c>
      <c r="AE1004">
        <f>IFERROR(INDEX(PP_Grid[#Data],$DE1004,28),0)</f>
        <v/>
      </c>
      <c r="AF1004">
        <f>IFERROR(INDEX(PP_Grid[#Data],$DE1004,29),0)</f>
        <v/>
      </c>
      <c r="AG1004">
        <f>IFERROR(INDEX(PP_Grid[#Data],$DE1004,30),0)</f>
        <v/>
      </c>
      <c r="AH1004">
        <f>IFERROR(INDEX(PP_Grid[#Data],$DE1004,31),0)</f>
        <v/>
      </c>
      <c r="AI1004">
        <f>IFERROR(INDEX(PP_Grid[#Data],$DE1004,32),0)</f>
        <v/>
      </c>
      <c r="AJ1004">
        <f>IFERROR(INDEX(PP_Grid[#Data],$DE1004,33),0)</f>
        <v/>
      </c>
      <c r="AK1004">
        <f>IFERROR(INDEX(PP_Grid[#Data],$DE1004,34),0)</f>
        <v/>
      </c>
      <c r="AL1004">
        <f>IFERROR(INDEX(PP_Grid[#Data],$DE1004,35),0)</f>
        <v/>
      </c>
      <c r="AM1004">
        <f>IFERROR(INDEX(PP_Grid[#Data],$DE1004,36),0)</f>
        <v/>
      </c>
      <c r="AN1004">
        <f>IFERROR(INDEX(PP_Grid[#Data],$DE1004,37),0)</f>
        <v/>
      </c>
      <c r="AO1004">
        <f>IFERROR(INDEX(PP_Grid[#Data],$DE1004,38),0)</f>
        <v/>
      </c>
      <c r="AP1004">
        <f>IFERROR(INDEX(PP_Grid[#Data],$DE1004,39),0)</f>
        <v/>
      </c>
      <c r="AQ1004">
        <f>IFERROR(INDEX(PP_Grid[#Data],$DE1004,40),0)</f>
        <v/>
      </c>
      <c r="AR1004">
        <f>IFERROR(INDEX(PP_Grid[#Data],$DE1004,41),0)</f>
        <v/>
      </c>
      <c r="AS1004">
        <f>IFERROR(INDEX(PP_Grid[#Data],$DE1004,42),0)</f>
        <v/>
      </c>
      <c r="AT1004">
        <f>IFERROR(INDEX(PP_Grid[#Data],$DE1004,43),0)</f>
        <v/>
      </c>
      <c r="AU1004">
        <f>IFERROR(INDEX(PP_Grid[#Data],$DE1004,44),0)</f>
        <v/>
      </c>
      <c r="AV1004">
        <f>IFERROR(INDEX(PP_Grid[#Data],$DE1004,45),0)</f>
        <v/>
      </c>
      <c r="AW1004">
        <f>IFERROR(INDEX(PP_Grid[#Data],$DE1004,46),0)</f>
        <v/>
      </c>
      <c r="AX1004">
        <f>IFERROR(INDEX(PP_Grid[#Data],$DE1004,47),0)</f>
        <v/>
      </c>
      <c r="AY1004">
        <f>IFERROR(INDEX(PP_Grid[#Data],$DE1004,48),0)</f>
        <v/>
      </c>
      <c r="AZ1004">
        <f>IFERROR(INDEX(PP_Grid[#Data],$DE1004,49),0)</f>
        <v/>
      </c>
      <c r="BA1004">
        <f>IFERROR(INDEX(PP_Grid[#Data],$DE1004,50),0)</f>
        <v/>
      </c>
      <c r="BB1004">
        <f>IFERROR(INDEX(PP_Grid[#Data],$DE1004,51),0)</f>
        <v/>
      </c>
      <c r="BC1004">
        <f>IFERROR(INDEX(PP_Grid[#Data],$DE1004,52),0)</f>
        <v/>
      </c>
      <c r="BD1004">
        <f>IFERROR(INDEX(PP_Grid[#Data],$DE1004,53),0)</f>
        <v/>
      </c>
      <c r="BE1004">
        <f>IFERROR(INDEX(PP_Grid[#Data],$DE1004,54),0)</f>
        <v/>
      </c>
      <c r="BF1004">
        <f>IFERROR(INDEX(PP_Grid[#Data],$DE1004,55),0)</f>
        <v/>
      </c>
      <c r="BG1004">
        <f>IFERROR(INDEX(PP_Grid[#Data],$DE1004,56),0)</f>
        <v/>
      </c>
      <c r="BH1004">
        <f>IFERROR(INDEX(PP_Grid[#Data],$DE1004,57),0)</f>
        <v/>
      </c>
      <c r="BI1004">
        <f>IFERROR(INDEX(PP_Grid[#Data],$DE1004,58),0)</f>
        <v/>
      </c>
      <c r="BJ1004">
        <f>IFERROR(INDEX(PP_Grid[#Data],$DE1004,59),0)</f>
        <v/>
      </c>
      <c r="BK1004">
        <f>IFERROR(INDEX(PP_Grid[#Data],$DE1004,60),0)</f>
        <v/>
      </c>
      <c r="BL1004">
        <f>IFERROR(INDEX(PP_Grid[#Data],$DE1004,61),0)</f>
        <v/>
      </c>
      <c r="BM1004">
        <f>IFERROR(INDEX(PP_Grid[#Data],$DE1004,62),0)</f>
        <v/>
      </c>
      <c r="BN1004">
        <f>IFERROR(INDEX(PP_Grid[#Data],$DE1004,63),0)</f>
        <v/>
      </c>
      <c r="BO1004">
        <f>IFERROR(INDEX(PP_Grid[#Data],$DE1004,64),0)</f>
        <v/>
      </c>
      <c r="BP1004">
        <f>IFERROR(INDEX(PP_Grid[#Data],$DE1004,65),0)</f>
        <v/>
      </c>
      <c r="BQ1004">
        <f>IFERROR(INDEX(PP_Grid[#Data],$DE1004,66),0)</f>
        <v/>
      </c>
      <c r="BR1004">
        <f>IFERROR(INDEX(PP_Grid[#Data],$DE1004,67),0)</f>
        <v/>
      </c>
      <c r="BS1004">
        <f>IFERROR(INDEX(PP_Grid[#Data],$DE1004,68),0)</f>
        <v/>
      </c>
      <c r="BT1004">
        <f>IFERROR(INDEX(PP_Grid[#Data],$DE1004,69),0)</f>
        <v/>
      </c>
      <c r="BU1004">
        <f>IFERROR(INDEX(PP_Grid[#Data],$DE1004,70),0)</f>
        <v/>
      </c>
      <c r="BV1004">
        <f>IFERROR(INDEX(PP_Grid[#Data],$DE1004,71),0)</f>
        <v/>
      </c>
      <c r="BW1004">
        <f>IFERROR(INDEX(PP_Grid[#Data],$DE1004,72),0)</f>
        <v/>
      </c>
      <c r="BX1004">
        <f>IFERROR(INDEX(PP_Grid[#Data],$DE1004,73),0)</f>
        <v/>
      </c>
      <c r="BY1004">
        <f>IFERROR(INDEX(PP_Grid[#Data],$DE1004,74),0)</f>
        <v/>
      </c>
      <c r="BZ1004">
        <f>IFERROR(INDEX(PP_Grid[#Data],$DE1004,75),0)</f>
        <v/>
      </c>
      <c r="CA1004">
        <f>IFERROR(INDEX(PP_Grid[#Data],$DE1004,76),0)</f>
        <v/>
      </c>
      <c r="CB1004">
        <f>IFERROR(INDEX(PP_Grid[#Data],$DE1004,77),0)</f>
        <v/>
      </c>
      <c r="CC1004">
        <f>IFERROR(INDEX(PP_Grid[#Data],$DE1004,78),0)</f>
        <v/>
      </c>
      <c r="CD1004">
        <f>IFERROR(INDEX(PP_Grid[#Data],$DE1004,79),0)</f>
        <v/>
      </c>
      <c r="CE1004">
        <f>IFERROR(INDEX(PP_Grid[#Data],$DE1004,80),0)</f>
        <v/>
      </c>
      <c r="CF1004">
        <f>IFERROR(INDEX(PP_Grid[#Data],$DE1004,81),0)</f>
        <v/>
      </c>
      <c r="CG1004">
        <f>IFERROR(INDEX(PP_Grid[#Data],$DE1004,82),0)</f>
        <v/>
      </c>
      <c r="CH1004">
        <f>IFERROR(INDEX(PP_Grid[#Data],$DE1004,83),0)</f>
        <v/>
      </c>
      <c r="CI1004">
        <f>IFERROR(INDEX(PP_Grid[#Data],$DE1004,84),0)</f>
        <v/>
      </c>
      <c r="CJ1004">
        <f>IFERROR(INDEX(PP_Grid[#Data],$DE1004,85),0)</f>
        <v/>
      </c>
      <c r="CK1004">
        <f>IFERROR(INDEX(PP_Grid[#Data],$DE1004,86),0)</f>
        <v/>
      </c>
      <c r="CL1004">
        <f>IFERROR(INDEX(PP_Grid[#Data],$DE1004,87),0)</f>
        <v/>
      </c>
      <c r="CM1004">
        <f>IFERROR(INDEX(PP_Grid[#Data],$DE1004,88),0)</f>
        <v/>
      </c>
      <c r="CN1004">
        <f>IFERROR(INDEX(PP_Grid[#Data],$DE1004,89),0)</f>
        <v/>
      </c>
      <c r="CO1004">
        <f>IFERROR(INDEX(PP_Grid[#Data],$DE1004,90),0)</f>
        <v/>
      </c>
      <c r="CP1004">
        <f>IFERROR(INDEX(PP_Grid[#Data],$DE1004,91),0)</f>
        <v/>
      </c>
      <c r="CQ1004">
        <f>IFERROR(INDEX(PP_Grid[#Data],$DE1004,92),0)</f>
        <v/>
      </c>
      <c r="CR1004">
        <f>IFERROR(INDEX(PP_Grid[#Data],$DE1004,93),0)</f>
        <v/>
      </c>
      <c r="CS1004">
        <f>IFERROR(INDEX(PP_Grid[#Data],$DE1004,94),0)</f>
        <v/>
      </c>
      <c r="CT1004">
        <f>IFERROR(INDEX(PP_Grid[#Data],$DE1004,95),0)</f>
        <v/>
      </c>
      <c r="CU1004">
        <f>IFERROR(INDEX(PP_Grid[#Data],$DE1004,96),0)</f>
        <v/>
      </c>
      <c r="CV1004">
        <f>IFERROR(INDEX(PP_Grid[#Data],$DE1004,97),0)</f>
        <v/>
      </c>
      <c r="CW1004">
        <f>IFERROR(INDEX(PP_Grid[#Data],$DE1004,98),0)</f>
        <v/>
      </c>
      <c r="CX1004">
        <f>IFERROR(INDEX(PP_Grid[#Data],$DE1004,99),0)</f>
        <v/>
      </c>
      <c r="CY1004">
        <f>IFERROR(INDEX(PP_Grid[#Data],$DE1004,100),0)</f>
        <v/>
      </c>
      <c r="CZ1004">
        <f>IFERROR(INDEX(PP_Grid[#Data],$DE1004,101),0)</f>
        <v/>
      </c>
      <c r="DA1004">
        <f>IFERROR(INDEX(PP_Grid[#Data],$DE1004,102),0)</f>
        <v/>
      </c>
      <c r="DB1004">
        <f>IFERROR(INDEX(PP_Grid[#Data],$DE1004,103),0)</f>
        <v/>
      </c>
      <c r="DC1004">
        <f>IFERROR(INDEX(PP_Grid[#Data],$DE1004,104),0)</f>
        <v/>
      </c>
      <c r="DD1004">
        <f>IFERROR(INDEX(PP_Grid[#Data],$DE1004,105),0)</f>
        <v/>
      </c>
      <c r="DE1004" s="7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SUMIFS(M_BOM[RM_Qty_Per_Batch],M_BOM[Intermediate],$B1004,M_BOM[RM_Code],$A971)</f>
        <v/>
      </c>
      <c r="D1005">
        <f>IFERROR(INDEX(E1005:DD1005,$F$1),"")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  <c r="DD1005">
        <f>$C1005*DD1004</f>
        <v/>
      </c>
    </row>
    <row r="1006">
      <c r="B1006" t="inlineStr">
        <is>
          <t>TPP-356</t>
        </is>
      </c>
      <c r="C1006" t="inlineStr">
        <is>
          <t>No. of batches</t>
        </is>
      </c>
      <c r="D1006">
        <f>IFERROR(INDEX(E1006:DD1006,$F$1),"")</f>
        <v/>
      </c>
      <c r="E1006">
        <f>IFERROR(INDEX(PP_Grid[#Data],$DE1006,2),0)</f>
        <v/>
      </c>
      <c r="F1006">
        <f>IFERROR(INDEX(PP_Grid[#Data],$DE1006,3),0)</f>
        <v/>
      </c>
      <c r="G1006">
        <f>IFERROR(INDEX(PP_Grid[#Data],$DE1006,4),0)</f>
        <v/>
      </c>
      <c r="H1006">
        <f>IFERROR(INDEX(PP_Grid[#Data],$DE1006,5),0)</f>
        <v/>
      </c>
      <c r="I1006">
        <f>IFERROR(INDEX(PP_Grid[#Data],$DE1006,6),0)</f>
        <v/>
      </c>
      <c r="J1006">
        <f>IFERROR(INDEX(PP_Grid[#Data],$DE1006,7),0)</f>
        <v/>
      </c>
      <c r="K1006">
        <f>IFERROR(INDEX(PP_Grid[#Data],$DE1006,8),0)</f>
        <v/>
      </c>
      <c r="L1006">
        <f>IFERROR(INDEX(PP_Grid[#Data],$DE1006,9),0)</f>
        <v/>
      </c>
      <c r="M1006">
        <f>IFERROR(INDEX(PP_Grid[#Data],$DE1006,10),0)</f>
        <v/>
      </c>
      <c r="N1006">
        <f>IFERROR(INDEX(PP_Grid[#Data],$DE1006,11),0)</f>
        <v/>
      </c>
      <c r="O1006">
        <f>IFERROR(INDEX(PP_Grid[#Data],$DE1006,12),0)</f>
        <v/>
      </c>
      <c r="P1006">
        <f>IFERROR(INDEX(PP_Grid[#Data],$DE1006,13),0)</f>
        <v/>
      </c>
      <c r="Q1006">
        <f>IFERROR(INDEX(PP_Grid[#Data],$DE1006,14),0)</f>
        <v/>
      </c>
      <c r="R1006">
        <f>IFERROR(INDEX(PP_Grid[#Data],$DE1006,15),0)</f>
        <v/>
      </c>
      <c r="S1006">
        <f>IFERROR(INDEX(PP_Grid[#Data],$DE1006,16),0)</f>
        <v/>
      </c>
      <c r="T1006">
        <f>IFERROR(INDEX(PP_Grid[#Data],$DE1006,17),0)</f>
        <v/>
      </c>
      <c r="U1006">
        <f>IFERROR(INDEX(PP_Grid[#Data],$DE1006,18),0)</f>
        <v/>
      </c>
      <c r="V1006">
        <f>IFERROR(INDEX(PP_Grid[#Data],$DE1006,19),0)</f>
        <v/>
      </c>
      <c r="W1006">
        <f>IFERROR(INDEX(PP_Grid[#Data],$DE1006,20),0)</f>
        <v/>
      </c>
      <c r="X1006">
        <f>IFERROR(INDEX(PP_Grid[#Data],$DE1006,21),0)</f>
        <v/>
      </c>
      <c r="Y1006">
        <f>IFERROR(INDEX(PP_Grid[#Data],$DE1006,22),0)</f>
        <v/>
      </c>
      <c r="Z1006">
        <f>IFERROR(INDEX(PP_Grid[#Data],$DE1006,23),0)</f>
        <v/>
      </c>
      <c r="AA1006">
        <f>IFERROR(INDEX(PP_Grid[#Data],$DE1006,24),0)</f>
        <v/>
      </c>
      <c r="AB1006">
        <f>IFERROR(INDEX(PP_Grid[#Data],$DE1006,25),0)</f>
        <v/>
      </c>
      <c r="AC1006">
        <f>IFERROR(INDEX(PP_Grid[#Data],$DE1006,26),0)</f>
        <v/>
      </c>
      <c r="AD1006">
        <f>IFERROR(INDEX(PP_Grid[#Data],$DE1006,27),0)</f>
        <v/>
      </c>
      <c r="AE1006">
        <f>IFERROR(INDEX(PP_Grid[#Data],$DE1006,28),0)</f>
        <v/>
      </c>
      <c r="AF1006">
        <f>IFERROR(INDEX(PP_Grid[#Data],$DE1006,29),0)</f>
        <v/>
      </c>
      <c r="AG1006">
        <f>IFERROR(INDEX(PP_Grid[#Data],$DE1006,30),0)</f>
        <v/>
      </c>
      <c r="AH1006">
        <f>IFERROR(INDEX(PP_Grid[#Data],$DE1006,31),0)</f>
        <v/>
      </c>
      <c r="AI1006">
        <f>IFERROR(INDEX(PP_Grid[#Data],$DE1006,32),0)</f>
        <v/>
      </c>
      <c r="AJ1006">
        <f>IFERROR(INDEX(PP_Grid[#Data],$DE1006,33),0)</f>
        <v/>
      </c>
      <c r="AK1006">
        <f>IFERROR(INDEX(PP_Grid[#Data],$DE1006,34),0)</f>
        <v/>
      </c>
      <c r="AL1006">
        <f>IFERROR(INDEX(PP_Grid[#Data],$DE1006,35),0)</f>
        <v/>
      </c>
      <c r="AM1006">
        <f>IFERROR(INDEX(PP_Grid[#Data],$DE1006,36),0)</f>
        <v/>
      </c>
      <c r="AN1006">
        <f>IFERROR(INDEX(PP_Grid[#Data],$DE1006,37),0)</f>
        <v/>
      </c>
      <c r="AO1006">
        <f>IFERROR(INDEX(PP_Grid[#Data],$DE1006,38),0)</f>
        <v/>
      </c>
      <c r="AP1006">
        <f>IFERROR(INDEX(PP_Grid[#Data],$DE1006,39),0)</f>
        <v/>
      </c>
      <c r="AQ1006">
        <f>IFERROR(INDEX(PP_Grid[#Data],$DE1006,40),0)</f>
        <v/>
      </c>
      <c r="AR1006">
        <f>IFERROR(INDEX(PP_Grid[#Data],$DE1006,41),0)</f>
        <v/>
      </c>
      <c r="AS1006">
        <f>IFERROR(INDEX(PP_Grid[#Data],$DE1006,42),0)</f>
        <v/>
      </c>
      <c r="AT1006">
        <f>IFERROR(INDEX(PP_Grid[#Data],$DE1006,43),0)</f>
        <v/>
      </c>
      <c r="AU1006">
        <f>IFERROR(INDEX(PP_Grid[#Data],$DE1006,44),0)</f>
        <v/>
      </c>
      <c r="AV1006">
        <f>IFERROR(INDEX(PP_Grid[#Data],$DE1006,45),0)</f>
        <v/>
      </c>
      <c r="AW1006">
        <f>IFERROR(INDEX(PP_Grid[#Data],$DE1006,46),0)</f>
        <v/>
      </c>
      <c r="AX1006">
        <f>IFERROR(INDEX(PP_Grid[#Data],$DE1006,47),0)</f>
        <v/>
      </c>
      <c r="AY1006">
        <f>IFERROR(INDEX(PP_Grid[#Data],$DE1006,48),0)</f>
        <v/>
      </c>
      <c r="AZ1006">
        <f>IFERROR(INDEX(PP_Grid[#Data],$DE1006,49),0)</f>
        <v/>
      </c>
      <c r="BA1006">
        <f>IFERROR(INDEX(PP_Grid[#Data],$DE1006,50),0)</f>
        <v/>
      </c>
      <c r="BB1006">
        <f>IFERROR(INDEX(PP_Grid[#Data],$DE1006,51),0)</f>
        <v/>
      </c>
      <c r="BC1006">
        <f>IFERROR(INDEX(PP_Grid[#Data],$DE1006,52),0)</f>
        <v/>
      </c>
      <c r="BD1006">
        <f>IFERROR(INDEX(PP_Grid[#Data],$DE1006,53),0)</f>
        <v/>
      </c>
      <c r="BE1006">
        <f>IFERROR(INDEX(PP_Grid[#Data],$DE1006,54),0)</f>
        <v/>
      </c>
      <c r="BF1006">
        <f>IFERROR(INDEX(PP_Grid[#Data],$DE1006,55),0)</f>
        <v/>
      </c>
      <c r="BG1006">
        <f>IFERROR(INDEX(PP_Grid[#Data],$DE1006,56),0)</f>
        <v/>
      </c>
      <c r="BH1006">
        <f>IFERROR(INDEX(PP_Grid[#Data],$DE1006,57),0)</f>
        <v/>
      </c>
      <c r="BI1006">
        <f>IFERROR(INDEX(PP_Grid[#Data],$DE1006,58),0)</f>
        <v/>
      </c>
      <c r="BJ1006">
        <f>IFERROR(INDEX(PP_Grid[#Data],$DE1006,59),0)</f>
        <v/>
      </c>
      <c r="BK1006">
        <f>IFERROR(INDEX(PP_Grid[#Data],$DE1006,60),0)</f>
        <v/>
      </c>
      <c r="BL1006">
        <f>IFERROR(INDEX(PP_Grid[#Data],$DE1006,61),0)</f>
        <v/>
      </c>
      <c r="BM1006">
        <f>IFERROR(INDEX(PP_Grid[#Data],$DE1006,62),0)</f>
        <v/>
      </c>
      <c r="BN1006">
        <f>IFERROR(INDEX(PP_Grid[#Data],$DE1006,63),0)</f>
        <v/>
      </c>
      <c r="BO1006">
        <f>IFERROR(INDEX(PP_Grid[#Data],$DE1006,64),0)</f>
        <v/>
      </c>
      <c r="BP1006">
        <f>IFERROR(INDEX(PP_Grid[#Data],$DE1006,65),0)</f>
        <v/>
      </c>
      <c r="BQ1006">
        <f>IFERROR(INDEX(PP_Grid[#Data],$DE1006,66),0)</f>
        <v/>
      </c>
      <c r="BR1006">
        <f>IFERROR(INDEX(PP_Grid[#Data],$DE1006,67),0)</f>
        <v/>
      </c>
      <c r="BS1006">
        <f>IFERROR(INDEX(PP_Grid[#Data],$DE1006,68),0)</f>
        <v/>
      </c>
      <c r="BT1006">
        <f>IFERROR(INDEX(PP_Grid[#Data],$DE1006,69),0)</f>
        <v/>
      </c>
      <c r="BU1006">
        <f>IFERROR(INDEX(PP_Grid[#Data],$DE1006,70),0)</f>
        <v/>
      </c>
      <c r="BV1006">
        <f>IFERROR(INDEX(PP_Grid[#Data],$DE1006,71),0)</f>
        <v/>
      </c>
      <c r="BW1006">
        <f>IFERROR(INDEX(PP_Grid[#Data],$DE1006,72),0)</f>
        <v/>
      </c>
      <c r="BX1006">
        <f>IFERROR(INDEX(PP_Grid[#Data],$DE1006,73),0)</f>
        <v/>
      </c>
      <c r="BY1006">
        <f>IFERROR(INDEX(PP_Grid[#Data],$DE1006,74),0)</f>
        <v/>
      </c>
      <c r="BZ1006">
        <f>IFERROR(INDEX(PP_Grid[#Data],$DE1006,75),0)</f>
        <v/>
      </c>
      <c r="CA1006">
        <f>IFERROR(INDEX(PP_Grid[#Data],$DE1006,76),0)</f>
        <v/>
      </c>
      <c r="CB1006">
        <f>IFERROR(INDEX(PP_Grid[#Data],$DE1006,77),0)</f>
        <v/>
      </c>
      <c r="CC1006">
        <f>IFERROR(INDEX(PP_Grid[#Data],$DE1006,78),0)</f>
        <v/>
      </c>
      <c r="CD1006">
        <f>IFERROR(INDEX(PP_Grid[#Data],$DE1006,79),0)</f>
        <v/>
      </c>
      <c r="CE1006">
        <f>IFERROR(INDEX(PP_Grid[#Data],$DE1006,80),0)</f>
        <v/>
      </c>
      <c r="CF1006">
        <f>IFERROR(INDEX(PP_Grid[#Data],$DE1006,81),0)</f>
        <v/>
      </c>
      <c r="CG1006">
        <f>IFERROR(INDEX(PP_Grid[#Data],$DE1006,82),0)</f>
        <v/>
      </c>
      <c r="CH1006">
        <f>IFERROR(INDEX(PP_Grid[#Data],$DE1006,83),0)</f>
        <v/>
      </c>
      <c r="CI1006">
        <f>IFERROR(INDEX(PP_Grid[#Data],$DE1006,84),0)</f>
        <v/>
      </c>
      <c r="CJ1006">
        <f>IFERROR(INDEX(PP_Grid[#Data],$DE1006,85),0)</f>
        <v/>
      </c>
      <c r="CK1006">
        <f>IFERROR(INDEX(PP_Grid[#Data],$DE1006,86),0)</f>
        <v/>
      </c>
      <c r="CL1006">
        <f>IFERROR(INDEX(PP_Grid[#Data],$DE1006,87),0)</f>
        <v/>
      </c>
      <c r="CM1006">
        <f>IFERROR(INDEX(PP_Grid[#Data],$DE1006,88),0)</f>
        <v/>
      </c>
      <c r="CN1006">
        <f>IFERROR(INDEX(PP_Grid[#Data],$DE1006,89),0)</f>
        <v/>
      </c>
      <c r="CO1006">
        <f>IFERROR(INDEX(PP_Grid[#Data],$DE1006,90),0)</f>
        <v/>
      </c>
      <c r="CP1006">
        <f>IFERROR(INDEX(PP_Grid[#Data],$DE1006,91),0)</f>
        <v/>
      </c>
      <c r="CQ1006">
        <f>IFERROR(INDEX(PP_Grid[#Data],$DE1006,92),0)</f>
        <v/>
      </c>
      <c r="CR1006">
        <f>IFERROR(INDEX(PP_Grid[#Data],$DE1006,93),0)</f>
        <v/>
      </c>
      <c r="CS1006">
        <f>IFERROR(INDEX(PP_Grid[#Data],$DE1006,94),0)</f>
        <v/>
      </c>
      <c r="CT1006">
        <f>IFERROR(INDEX(PP_Grid[#Data],$DE1006,95),0)</f>
        <v/>
      </c>
      <c r="CU1006">
        <f>IFERROR(INDEX(PP_Grid[#Data],$DE1006,96),0)</f>
        <v/>
      </c>
      <c r="CV1006">
        <f>IFERROR(INDEX(PP_Grid[#Data],$DE1006,97),0)</f>
        <v/>
      </c>
      <c r="CW1006">
        <f>IFERROR(INDEX(PP_Grid[#Data],$DE1006,98),0)</f>
        <v/>
      </c>
      <c r="CX1006">
        <f>IFERROR(INDEX(PP_Grid[#Data],$DE1006,99),0)</f>
        <v/>
      </c>
      <c r="CY1006">
        <f>IFERROR(INDEX(PP_Grid[#Data],$DE1006,100),0)</f>
        <v/>
      </c>
      <c r="CZ1006">
        <f>IFERROR(INDEX(PP_Grid[#Data],$DE1006,101),0)</f>
        <v/>
      </c>
      <c r="DA1006">
        <f>IFERROR(INDEX(PP_Grid[#Data],$DE1006,102),0)</f>
        <v/>
      </c>
      <c r="DB1006">
        <f>IFERROR(INDEX(PP_Grid[#Data],$DE1006,103),0)</f>
        <v/>
      </c>
      <c r="DC1006">
        <f>IFERROR(INDEX(PP_Grid[#Data],$DE1006,104),0)</f>
        <v/>
      </c>
      <c r="DD1006">
        <f>IFERROR(INDEX(PP_Grid[#Data],$DE1006,105),0)</f>
        <v/>
      </c>
      <c r="DE1006" s="7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SUMIFS(M_BOM[RM_Qty_Per_Batch],M_BOM[Intermediate],$B1006,M_BOM[RM_Code],$A971)</f>
        <v/>
      </c>
      <c r="D1007">
        <f>IFERROR(INDEX(E1007:DD1007,$F$1),"")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  <c r="DD1007">
        <f>$C1007*DD1006</f>
        <v/>
      </c>
    </row>
    <row r="1008">
      <c r="B1008" t="inlineStr">
        <is>
          <t>TPP-704</t>
        </is>
      </c>
      <c r="C1008" t="inlineStr">
        <is>
          <t>No. of batches</t>
        </is>
      </c>
      <c r="D1008">
        <f>IFERROR(INDEX(E1008:DD1008,$F$1),"")</f>
        <v/>
      </c>
      <c r="E1008">
        <f>IFERROR(INDEX(PP_Grid[#Data],$DE1008,2),0)</f>
        <v/>
      </c>
      <c r="F1008">
        <f>IFERROR(INDEX(PP_Grid[#Data],$DE1008,3),0)</f>
        <v/>
      </c>
      <c r="G1008">
        <f>IFERROR(INDEX(PP_Grid[#Data],$DE1008,4),0)</f>
        <v/>
      </c>
      <c r="H1008">
        <f>IFERROR(INDEX(PP_Grid[#Data],$DE1008,5),0)</f>
        <v/>
      </c>
      <c r="I1008">
        <f>IFERROR(INDEX(PP_Grid[#Data],$DE1008,6),0)</f>
        <v/>
      </c>
      <c r="J1008">
        <f>IFERROR(INDEX(PP_Grid[#Data],$DE1008,7),0)</f>
        <v/>
      </c>
      <c r="K1008">
        <f>IFERROR(INDEX(PP_Grid[#Data],$DE1008,8),0)</f>
        <v/>
      </c>
      <c r="L1008">
        <f>IFERROR(INDEX(PP_Grid[#Data],$DE1008,9),0)</f>
        <v/>
      </c>
      <c r="M1008">
        <f>IFERROR(INDEX(PP_Grid[#Data],$DE1008,10),0)</f>
        <v/>
      </c>
      <c r="N1008">
        <f>IFERROR(INDEX(PP_Grid[#Data],$DE1008,11),0)</f>
        <v/>
      </c>
      <c r="O1008">
        <f>IFERROR(INDEX(PP_Grid[#Data],$DE1008,12),0)</f>
        <v/>
      </c>
      <c r="P1008">
        <f>IFERROR(INDEX(PP_Grid[#Data],$DE1008,13),0)</f>
        <v/>
      </c>
      <c r="Q1008">
        <f>IFERROR(INDEX(PP_Grid[#Data],$DE1008,14),0)</f>
        <v/>
      </c>
      <c r="R1008">
        <f>IFERROR(INDEX(PP_Grid[#Data],$DE1008,15),0)</f>
        <v/>
      </c>
      <c r="S1008">
        <f>IFERROR(INDEX(PP_Grid[#Data],$DE1008,16),0)</f>
        <v/>
      </c>
      <c r="T1008">
        <f>IFERROR(INDEX(PP_Grid[#Data],$DE1008,17),0)</f>
        <v/>
      </c>
      <c r="U1008">
        <f>IFERROR(INDEX(PP_Grid[#Data],$DE1008,18),0)</f>
        <v/>
      </c>
      <c r="V1008">
        <f>IFERROR(INDEX(PP_Grid[#Data],$DE1008,19),0)</f>
        <v/>
      </c>
      <c r="W1008">
        <f>IFERROR(INDEX(PP_Grid[#Data],$DE1008,20),0)</f>
        <v/>
      </c>
      <c r="X1008">
        <f>IFERROR(INDEX(PP_Grid[#Data],$DE1008,21),0)</f>
        <v/>
      </c>
      <c r="Y1008">
        <f>IFERROR(INDEX(PP_Grid[#Data],$DE1008,22),0)</f>
        <v/>
      </c>
      <c r="Z1008">
        <f>IFERROR(INDEX(PP_Grid[#Data],$DE1008,23),0)</f>
        <v/>
      </c>
      <c r="AA1008">
        <f>IFERROR(INDEX(PP_Grid[#Data],$DE1008,24),0)</f>
        <v/>
      </c>
      <c r="AB1008">
        <f>IFERROR(INDEX(PP_Grid[#Data],$DE1008,25),0)</f>
        <v/>
      </c>
      <c r="AC1008">
        <f>IFERROR(INDEX(PP_Grid[#Data],$DE1008,26),0)</f>
        <v/>
      </c>
      <c r="AD1008">
        <f>IFERROR(INDEX(PP_Grid[#Data],$DE1008,27),0)</f>
        <v/>
      </c>
      <c r="AE1008">
        <f>IFERROR(INDEX(PP_Grid[#Data],$DE1008,28),0)</f>
        <v/>
      </c>
      <c r="AF1008">
        <f>IFERROR(INDEX(PP_Grid[#Data],$DE1008,29),0)</f>
        <v/>
      </c>
      <c r="AG1008">
        <f>IFERROR(INDEX(PP_Grid[#Data],$DE1008,30),0)</f>
        <v/>
      </c>
      <c r="AH1008">
        <f>IFERROR(INDEX(PP_Grid[#Data],$DE1008,31),0)</f>
        <v/>
      </c>
      <c r="AI1008">
        <f>IFERROR(INDEX(PP_Grid[#Data],$DE1008,32),0)</f>
        <v/>
      </c>
      <c r="AJ1008">
        <f>IFERROR(INDEX(PP_Grid[#Data],$DE1008,33),0)</f>
        <v/>
      </c>
      <c r="AK1008">
        <f>IFERROR(INDEX(PP_Grid[#Data],$DE1008,34),0)</f>
        <v/>
      </c>
      <c r="AL1008">
        <f>IFERROR(INDEX(PP_Grid[#Data],$DE1008,35),0)</f>
        <v/>
      </c>
      <c r="AM1008">
        <f>IFERROR(INDEX(PP_Grid[#Data],$DE1008,36),0)</f>
        <v/>
      </c>
      <c r="AN1008">
        <f>IFERROR(INDEX(PP_Grid[#Data],$DE1008,37),0)</f>
        <v/>
      </c>
      <c r="AO1008">
        <f>IFERROR(INDEX(PP_Grid[#Data],$DE1008,38),0)</f>
        <v/>
      </c>
      <c r="AP1008">
        <f>IFERROR(INDEX(PP_Grid[#Data],$DE1008,39),0)</f>
        <v/>
      </c>
      <c r="AQ1008">
        <f>IFERROR(INDEX(PP_Grid[#Data],$DE1008,40),0)</f>
        <v/>
      </c>
      <c r="AR1008">
        <f>IFERROR(INDEX(PP_Grid[#Data],$DE1008,41),0)</f>
        <v/>
      </c>
      <c r="AS1008">
        <f>IFERROR(INDEX(PP_Grid[#Data],$DE1008,42),0)</f>
        <v/>
      </c>
      <c r="AT1008">
        <f>IFERROR(INDEX(PP_Grid[#Data],$DE1008,43),0)</f>
        <v/>
      </c>
      <c r="AU1008">
        <f>IFERROR(INDEX(PP_Grid[#Data],$DE1008,44),0)</f>
        <v/>
      </c>
      <c r="AV1008">
        <f>IFERROR(INDEX(PP_Grid[#Data],$DE1008,45),0)</f>
        <v/>
      </c>
      <c r="AW1008">
        <f>IFERROR(INDEX(PP_Grid[#Data],$DE1008,46),0)</f>
        <v/>
      </c>
      <c r="AX1008">
        <f>IFERROR(INDEX(PP_Grid[#Data],$DE1008,47),0)</f>
        <v/>
      </c>
      <c r="AY1008">
        <f>IFERROR(INDEX(PP_Grid[#Data],$DE1008,48),0)</f>
        <v/>
      </c>
      <c r="AZ1008">
        <f>IFERROR(INDEX(PP_Grid[#Data],$DE1008,49),0)</f>
        <v/>
      </c>
      <c r="BA1008">
        <f>IFERROR(INDEX(PP_Grid[#Data],$DE1008,50),0)</f>
        <v/>
      </c>
      <c r="BB1008">
        <f>IFERROR(INDEX(PP_Grid[#Data],$DE1008,51),0)</f>
        <v/>
      </c>
      <c r="BC1008">
        <f>IFERROR(INDEX(PP_Grid[#Data],$DE1008,52),0)</f>
        <v/>
      </c>
      <c r="BD1008">
        <f>IFERROR(INDEX(PP_Grid[#Data],$DE1008,53),0)</f>
        <v/>
      </c>
      <c r="BE1008">
        <f>IFERROR(INDEX(PP_Grid[#Data],$DE1008,54),0)</f>
        <v/>
      </c>
      <c r="BF1008">
        <f>IFERROR(INDEX(PP_Grid[#Data],$DE1008,55),0)</f>
        <v/>
      </c>
      <c r="BG1008">
        <f>IFERROR(INDEX(PP_Grid[#Data],$DE1008,56),0)</f>
        <v/>
      </c>
      <c r="BH1008">
        <f>IFERROR(INDEX(PP_Grid[#Data],$DE1008,57),0)</f>
        <v/>
      </c>
      <c r="BI1008">
        <f>IFERROR(INDEX(PP_Grid[#Data],$DE1008,58),0)</f>
        <v/>
      </c>
      <c r="BJ1008">
        <f>IFERROR(INDEX(PP_Grid[#Data],$DE1008,59),0)</f>
        <v/>
      </c>
      <c r="BK1008">
        <f>IFERROR(INDEX(PP_Grid[#Data],$DE1008,60),0)</f>
        <v/>
      </c>
      <c r="BL1008">
        <f>IFERROR(INDEX(PP_Grid[#Data],$DE1008,61),0)</f>
        <v/>
      </c>
      <c r="BM1008">
        <f>IFERROR(INDEX(PP_Grid[#Data],$DE1008,62),0)</f>
        <v/>
      </c>
      <c r="BN1008">
        <f>IFERROR(INDEX(PP_Grid[#Data],$DE1008,63),0)</f>
        <v/>
      </c>
      <c r="BO1008">
        <f>IFERROR(INDEX(PP_Grid[#Data],$DE1008,64),0)</f>
        <v/>
      </c>
      <c r="BP1008">
        <f>IFERROR(INDEX(PP_Grid[#Data],$DE1008,65),0)</f>
        <v/>
      </c>
      <c r="BQ1008">
        <f>IFERROR(INDEX(PP_Grid[#Data],$DE1008,66),0)</f>
        <v/>
      </c>
      <c r="BR1008">
        <f>IFERROR(INDEX(PP_Grid[#Data],$DE1008,67),0)</f>
        <v/>
      </c>
      <c r="BS1008">
        <f>IFERROR(INDEX(PP_Grid[#Data],$DE1008,68),0)</f>
        <v/>
      </c>
      <c r="BT1008">
        <f>IFERROR(INDEX(PP_Grid[#Data],$DE1008,69),0)</f>
        <v/>
      </c>
      <c r="BU1008">
        <f>IFERROR(INDEX(PP_Grid[#Data],$DE1008,70),0)</f>
        <v/>
      </c>
      <c r="BV1008">
        <f>IFERROR(INDEX(PP_Grid[#Data],$DE1008,71),0)</f>
        <v/>
      </c>
      <c r="BW1008">
        <f>IFERROR(INDEX(PP_Grid[#Data],$DE1008,72),0)</f>
        <v/>
      </c>
      <c r="BX1008">
        <f>IFERROR(INDEX(PP_Grid[#Data],$DE1008,73),0)</f>
        <v/>
      </c>
      <c r="BY1008">
        <f>IFERROR(INDEX(PP_Grid[#Data],$DE1008,74),0)</f>
        <v/>
      </c>
      <c r="BZ1008">
        <f>IFERROR(INDEX(PP_Grid[#Data],$DE1008,75),0)</f>
        <v/>
      </c>
      <c r="CA1008">
        <f>IFERROR(INDEX(PP_Grid[#Data],$DE1008,76),0)</f>
        <v/>
      </c>
      <c r="CB1008">
        <f>IFERROR(INDEX(PP_Grid[#Data],$DE1008,77),0)</f>
        <v/>
      </c>
      <c r="CC1008">
        <f>IFERROR(INDEX(PP_Grid[#Data],$DE1008,78),0)</f>
        <v/>
      </c>
      <c r="CD1008">
        <f>IFERROR(INDEX(PP_Grid[#Data],$DE1008,79),0)</f>
        <v/>
      </c>
      <c r="CE1008">
        <f>IFERROR(INDEX(PP_Grid[#Data],$DE1008,80),0)</f>
        <v/>
      </c>
      <c r="CF1008">
        <f>IFERROR(INDEX(PP_Grid[#Data],$DE1008,81),0)</f>
        <v/>
      </c>
      <c r="CG1008">
        <f>IFERROR(INDEX(PP_Grid[#Data],$DE1008,82),0)</f>
        <v/>
      </c>
      <c r="CH1008">
        <f>IFERROR(INDEX(PP_Grid[#Data],$DE1008,83),0)</f>
        <v/>
      </c>
      <c r="CI1008">
        <f>IFERROR(INDEX(PP_Grid[#Data],$DE1008,84),0)</f>
        <v/>
      </c>
      <c r="CJ1008">
        <f>IFERROR(INDEX(PP_Grid[#Data],$DE1008,85),0)</f>
        <v/>
      </c>
      <c r="CK1008">
        <f>IFERROR(INDEX(PP_Grid[#Data],$DE1008,86),0)</f>
        <v/>
      </c>
      <c r="CL1008">
        <f>IFERROR(INDEX(PP_Grid[#Data],$DE1008,87),0)</f>
        <v/>
      </c>
      <c r="CM1008">
        <f>IFERROR(INDEX(PP_Grid[#Data],$DE1008,88),0)</f>
        <v/>
      </c>
      <c r="CN1008">
        <f>IFERROR(INDEX(PP_Grid[#Data],$DE1008,89),0)</f>
        <v/>
      </c>
      <c r="CO1008">
        <f>IFERROR(INDEX(PP_Grid[#Data],$DE1008,90),0)</f>
        <v/>
      </c>
      <c r="CP1008">
        <f>IFERROR(INDEX(PP_Grid[#Data],$DE1008,91),0)</f>
        <v/>
      </c>
      <c r="CQ1008">
        <f>IFERROR(INDEX(PP_Grid[#Data],$DE1008,92),0)</f>
        <v/>
      </c>
      <c r="CR1008">
        <f>IFERROR(INDEX(PP_Grid[#Data],$DE1008,93),0)</f>
        <v/>
      </c>
      <c r="CS1008">
        <f>IFERROR(INDEX(PP_Grid[#Data],$DE1008,94),0)</f>
        <v/>
      </c>
      <c r="CT1008">
        <f>IFERROR(INDEX(PP_Grid[#Data],$DE1008,95),0)</f>
        <v/>
      </c>
      <c r="CU1008">
        <f>IFERROR(INDEX(PP_Grid[#Data],$DE1008,96),0)</f>
        <v/>
      </c>
      <c r="CV1008">
        <f>IFERROR(INDEX(PP_Grid[#Data],$DE1008,97),0)</f>
        <v/>
      </c>
      <c r="CW1008">
        <f>IFERROR(INDEX(PP_Grid[#Data],$DE1008,98),0)</f>
        <v/>
      </c>
      <c r="CX1008">
        <f>IFERROR(INDEX(PP_Grid[#Data],$DE1008,99),0)</f>
        <v/>
      </c>
      <c r="CY1008">
        <f>IFERROR(INDEX(PP_Grid[#Data],$DE1008,100),0)</f>
        <v/>
      </c>
      <c r="CZ1008">
        <f>IFERROR(INDEX(PP_Grid[#Data],$DE1008,101),0)</f>
        <v/>
      </c>
      <c r="DA1008">
        <f>IFERROR(INDEX(PP_Grid[#Data],$DE1008,102),0)</f>
        <v/>
      </c>
      <c r="DB1008">
        <f>IFERROR(INDEX(PP_Grid[#Data],$DE1008,103),0)</f>
        <v/>
      </c>
      <c r="DC1008">
        <f>IFERROR(INDEX(PP_Grid[#Data],$DE1008,104),0)</f>
        <v/>
      </c>
      <c r="DD1008">
        <f>IFERROR(INDEX(PP_Grid[#Data],$DE1008,105),0)</f>
        <v/>
      </c>
      <c r="DE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SUMIFS(M_BOM[RM_Qty_Per_Batch],M_BOM[Intermediate],$B1008,M_BOM[RM_Code],$A971)</f>
        <v/>
      </c>
      <c r="D1009">
        <f>IFERROR(INDEX(E1009:DD1009,$F$1),"")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  <c r="DD1009">
        <f>$C1009*DD1008</f>
        <v/>
      </c>
    </row>
    <row r="1010">
      <c r="B1010" t="inlineStr">
        <is>
          <t>TPP-650</t>
        </is>
      </c>
      <c r="C1010" t="inlineStr">
        <is>
          <t>No. of batches</t>
        </is>
      </c>
      <c r="D1010">
        <f>IFERROR(INDEX(E1010:DD1010,$F$1),"")</f>
        <v/>
      </c>
      <c r="E1010">
        <f>IFERROR(INDEX(PP_Grid[#Data],$DE1010,2),0)</f>
        <v/>
      </c>
      <c r="F1010">
        <f>IFERROR(INDEX(PP_Grid[#Data],$DE1010,3),0)</f>
        <v/>
      </c>
      <c r="G1010">
        <f>IFERROR(INDEX(PP_Grid[#Data],$DE1010,4),0)</f>
        <v/>
      </c>
      <c r="H1010">
        <f>IFERROR(INDEX(PP_Grid[#Data],$DE1010,5),0)</f>
        <v/>
      </c>
      <c r="I1010">
        <f>IFERROR(INDEX(PP_Grid[#Data],$DE1010,6),0)</f>
        <v/>
      </c>
      <c r="J1010">
        <f>IFERROR(INDEX(PP_Grid[#Data],$DE1010,7),0)</f>
        <v/>
      </c>
      <c r="K1010">
        <f>IFERROR(INDEX(PP_Grid[#Data],$DE1010,8),0)</f>
        <v/>
      </c>
      <c r="L1010">
        <f>IFERROR(INDEX(PP_Grid[#Data],$DE1010,9),0)</f>
        <v/>
      </c>
      <c r="M1010">
        <f>IFERROR(INDEX(PP_Grid[#Data],$DE1010,10),0)</f>
        <v/>
      </c>
      <c r="N1010">
        <f>IFERROR(INDEX(PP_Grid[#Data],$DE1010,11),0)</f>
        <v/>
      </c>
      <c r="O1010">
        <f>IFERROR(INDEX(PP_Grid[#Data],$DE1010,12),0)</f>
        <v/>
      </c>
      <c r="P1010">
        <f>IFERROR(INDEX(PP_Grid[#Data],$DE1010,13),0)</f>
        <v/>
      </c>
      <c r="Q1010">
        <f>IFERROR(INDEX(PP_Grid[#Data],$DE1010,14),0)</f>
        <v/>
      </c>
      <c r="R1010">
        <f>IFERROR(INDEX(PP_Grid[#Data],$DE1010,15),0)</f>
        <v/>
      </c>
      <c r="S1010">
        <f>IFERROR(INDEX(PP_Grid[#Data],$DE1010,16),0)</f>
        <v/>
      </c>
      <c r="T1010">
        <f>IFERROR(INDEX(PP_Grid[#Data],$DE1010,17),0)</f>
        <v/>
      </c>
      <c r="U1010">
        <f>IFERROR(INDEX(PP_Grid[#Data],$DE1010,18),0)</f>
        <v/>
      </c>
      <c r="V1010">
        <f>IFERROR(INDEX(PP_Grid[#Data],$DE1010,19),0)</f>
        <v/>
      </c>
      <c r="W1010">
        <f>IFERROR(INDEX(PP_Grid[#Data],$DE1010,20),0)</f>
        <v/>
      </c>
      <c r="X1010">
        <f>IFERROR(INDEX(PP_Grid[#Data],$DE1010,21),0)</f>
        <v/>
      </c>
      <c r="Y1010">
        <f>IFERROR(INDEX(PP_Grid[#Data],$DE1010,22),0)</f>
        <v/>
      </c>
      <c r="Z1010">
        <f>IFERROR(INDEX(PP_Grid[#Data],$DE1010,23),0)</f>
        <v/>
      </c>
      <c r="AA1010">
        <f>IFERROR(INDEX(PP_Grid[#Data],$DE1010,24),0)</f>
        <v/>
      </c>
      <c r="AB1010">
        <f>IFERROR(INDEX(PP_Grid[#Data],$DE1010,25),0)</f>
        <v/>
      </c>
      <c r="AC1010">
        <f>IFERROR(INDEX(PP_Grid[#Data],$DE1010,26),0)</f>
        <v/>
      </c>
      <c r="AD1010">
        <f>IFERROR(INDEX(PP_Grid[#Data],$DE1010,27),0)</f>
        <v/>
      </c>
      <c r="AE1010">
        <f>IFERROR(INDEX(PP_Grid[#Data],$DE1010,28),0)</f>
        <v/>
      </c>
      <c r="AF1010">
        <f>IFERROR(INDEX(PP_Grid[#Data],$DE1010,29),0)</f>
        <v/>
      </c>
      <c r="AG1010">
        <f>IFERROR(INDEX(PP_Grid[#Data],$DE1010,30),0)</f>
        <v/>
      </c>
      <c r="AH1010">
        <f>IFERROR(INDEX(PP_Grid[#Data],$DE1010,31),0)</f>
        <v/>
      </c>
      <c r="AI1010">
        <f>IFERROR(INDEX(PP_Grid[#Data],$DE1010,32),0)</f>
        <v/>
      </c>
      <c r="AJ1010">
        <f>IFERROR(INDEX(PP_Grid[#Data],$DE1010,33),0)</f>
        <v/>
      </c>
      <c r="AK1010">
        <f>IFERROR(INDEX(PP_Grid[#Data],$DE1010,34),0)</f>
        <v/>
      </c>
      <c r="AL1010">
        <f>IFERROR(INDEX(PP_Grid[#Data],$DE1010,35),0)</f>
        <v/>
      </c>
      <c r="AM1010">
        <f>IFERROR(INDEX(PP_Grid[#Data],$DE1010,36),0)</f>
        <v/>
      </c>
      <c r="AN1010">
        <f>IFERROR(INDEX(PP_Grid[#Data],$DE1010,37),0)</f>
        <v/>
      </c>
      <c r="AO1010">
        <f>IFERROR(INDEX(PP_Grid[#Data],$DE1010,38),0)</f>
        <v/>
      </c>
      <c r="AP1010">
        <f>IFERROR(INDEX(PP_Grid[#Data],$DE1010,39),0)</f>
        <v/>
      </c>
      <c r="AQ1010">
        <f>IFERROR(INDEX(PP_Grid[#Data],$DE1010,40),0)</f>
        <v/>
      </c>
      <c r="AR1010">
        <f>IFERROR(INDEX(PP_Grid[#Data],$DE1010,41),0)</f>
        <v/>
      </c>
      <c r="AS1010">
        <f>IFERROR(INDEX(PP_Grid[#Data],$DE1010,42),0)</f>
        <v/>
      </c>
      <c r="AT1010">
        <f>IFERROR(INDEX(PP_Grid[#Data],$DE1010,43),0)</f>
        <v/>
      </c>
      <c r="AU1010">
        <f>IFERROR(INDEX(PP_Grid[#Data],$DE1010,44),0)</f>
        <v/>
      </c>
      <c r="AV1010">
        <f>IFERROR(INDEX(PP_Grid[#Data],$DE1010,45),0)</f>
        <v/>
      </c>
      <c r="AW1010">
        <f>IFERROR(INDEX(PP_Grid[#Data],$DE1010,46),0)</f>
        <v/>
      </c>
      <c r="AX1010">
        <f>IFERROR(INDEX(PP_Grid[#Data],$DE1010,47),0)</f>
        <v/>
      </c>
      <c r="AY1010">
        <f>IFERROR(INDEX(PP_Grid[#Data],$DE1010,48),0)</f>
        <v/>
      </c>
      <c r="AZ1010">
        <f>IFERROR(INDEX(PP_Grid[#Data],$DE1010,49),0)</f>
        <v/>
      </c>
      <c r="BA1010">
        <f>IFERROR(INDEX(PP_Grid[#Data],$DE1010,50),0)</f>
        <v/>
      </c>
      <c r="BB1010">
        <f>IFERROR(INDEX(PP_Grid[#Data],$DE1010,51),0)</f>
        <v/>
      </c>
      <c r="BC1010">
        <f>IFERROR(INDEX(PP_Grid[#Data],$DE1010,52),0)</f>
        <v/>
      </c>
      <c r="BD1010">
        <f>IFERROR(INDEX(PP_Grid[#Data],$DE1010,53),0)</f>
        <v/>
      </c>
      <c r="BE1010">
        <f>IFERROR(INDEX(PP_Grid[#Data],$DE1010,54),0)</f>
        <v/>
      </c>
      <c r="BF1010">
        <f>IFERROR(INDEX(PP_Grid[#Data],$DE1010,55),0)</f>
        <v/>
      </c>
      <c r="BG1010">
        <f>IFERROR(INDEX(PP_Grid[#Data],$DE1010,56),0)</f>
        <v/>
      </c>
      <c r="BH1010">
        <f>IFERROR(INDEX(PP_Grid[#Data],$DE1010,57),0)</f>
        <v/>
      </c>
      <c r="BI1010">
        <f>IFERROR(INDEX(PP_Grid[#Data],$DE1010,58),0)</f>
        <v/>
      </c>
      <c r="BJ1010">
        <f>IFERROR(INDEX(PP_Grid[#Data],$DE1010,59),0)</f>
        <v/>
      </c>
      <c r="BK1010">
        <f>IFERROR(INDEX(PP_Grid[#Data],$DE1010,60),0)</f>
        <v/>
      </c>
      <c r="BL1010">
        <f>IFERROR(INDEX(PP_Grid[#Data],$DE1010,61),0)</f>
        <v/>
      </c>
      <c r="BM1010">
        <f>IFERROR(INDEX(PP_Grid[#Data],$DE1010,62),0)</f>
        <v/>
      </c>
      <c r="BN1010">
        <f>IFERROR(INDEX(PP_Grid[#Data],$DE1010,63),0)</f>
        <v/>
      </c>
      <c r="BO1010">
        <f>IFERROR(INDEX(PP_Grid[#Data],$DE1010,64),0)</f>
        <v/>
      </c>
      <c r="BP1010">
        <f>IFERROR(INDEX(PP_Grid[#Data],$DE1010,65),0)</f>
        <v/>
      </c>
      <c r="BQ1010">
        <f>IFERROR(INDEX(PP_Grid[#Data],$DE1010,66),0)</f>
        <v/>
      </c>
      <c r="BR1010">
        <f>IFERROR(INDEX(PP_Grid[#Data],$DE1010,67),0)</f>
        <v/>
      </c>
      <c r="BS1010">
        <f>IFERROR(INDEX(PP_Grid[#Data],$DE1010,68),0)</f>
        <v/>
      </c>
      <c r="BT1010">
        <f>IFERROR(INDEX(PP_Grid[#Data],$DE1010,69),0)</f>
        <v/>
      </c>
      <c r="BU1010">
        <f>IFERROR(INDEX(PP_Grid[#Data],$DE1010,70),0)</f>
        <v/>
      </c>
      <c r="BV1010">
        <f>IFERROR(INDEX(PP_Grid[#Data],$DE1010,71),0)</f>
        <v/>
      </c>
      <c r="BW1010">
        <f>IFERROR(INDEX(PP_Grid[#Data],$DE1010,72),0)</f>
        <v/>
      </c>
      <c r="BX1010">
        <f>IFERROR(INDEX(PP_Grid[#Data],$DE1010,73),0)</f>
        <v/>
      </c>
      <c r="BY1010">
        <f>IFERROR(INDEX(PP_Grid[#Data],$DE1010,74),0)</f>
        <v/>
      </c>
      <c r="BZ1010">
        <f>IFERROR(INDEX(PP_Grid[#Data],$DE1010,75),0)</f>
        <v/>
      </c>
      <c r="CA1010">
        <f>IFERROR(INDEX(PP_Grid[#Data],$DE1010,76),0)</f>
        <v/>
      </c>
      <c r="CB1010">
        <f>IFERROR(INDEX(PP_Grid[#Data],$DE1010,77),0)</f>
        <v/>
      </c>
      <c r="CC1010">
        <f>IFERROR(INDEX(PP_Grid[#Data],$DE1010,78),0)</f>
        <v/>
      </c>
      <c r="CD1010">
        <f>IFERROR(INDEX(PP_Grid[#Data],$DE1010,79),0)</f>
        <v/>
      </c>
      <c r="CE1010">
        <f>IFERROR(INDEX(PP_Grid[#Data],$DE1010,80),0)</f>
        <v/>
      </c>
      <c r="CF1010">
        <f>IFERROR(INDEX(PP_Grid[#Data],$DE1010,81),0)</f>
        <v/>
      </c>
      <c r="CG1010">
        <f>IFERROR(INDEX(PP_Grid[#Data],$DE1010,82),0)</f>
        <v/>
      </c>
      <c r="CH1010">
        <f>IFERROR(INDEX(PP_Grid[#Data],$DE1010,83),0)</f>
        <v/>
      </c>
      <c r="CI1010">
        <f>IFERROR(INDEX(PP_Grid[#Data],$DE1010,84),0)</f>
        <v/>
      </c>
      <c r="CJ1010">
        <f>IFERROR(INDEX(PP_Grid[#Data],$DE1010,85),0)</f>
        <v/>
      </c>
      <c r="CK1010">
        <f>IFERROR(INDEX(PP_Grid[#Data],$DE1010,86),0)</f>
        <v/>
      </c>
      <c r="CL1010">
        <f>IFERROR(INDEX(PP_Grid[#Data],$DE1010,87),0)</f>
        <v/>
      </c>
      <c r="CM1010">
        <f>IFERROR(INDEX(PP_Grid[#Data],$DE1010,88),0)</f>
        <v/>
      </c>
      <c r="CN1010">
        <f>IFERROR(INDEX(PP_Grid[#Data],$DE1010,89),0)</f>
        <v/>
      </c>
      <c r="CO1010">
        <f>IFERROR(INDEX(PP_Grid[#Data],$DE1010,90),0)</f>
        <v/>
      </c>
      <c r="CP1010">
        <f>IFERROR(INDEX(PP_Grid[#Data],$DE1010,91),0)</f>
        <v/>
      </c>
      <c r="CQ1010">
        <f>IFERROR(INDEX(PP_Grid[#Data],$DE1010,92),0)</f>
        <v/>
      </c>
      <c r="CR1010">
        <f>IFERROR(INDEX(PP_Grid[#Data],$DE1010,93),0)</f>
        <v/>
      </c>
      <c r="CS1010">
        <f>IFERROR(INDEX(PP_Grid[#Data],$DE1010,94),0)</f>
        <v/>
      </c>
      <c r="CT1010">
        <f>IFERROR(INDEX(PP_Grid[#Data],$DE1010,95),0)</f>
        <v/>
      </c>
      <c r="CU1010">
        <f>IFERROR(INDEX(PP_Grid[#Data],$DE1010,96),0)</f>
        <v/>
      </c>
      <c r="CV1010">
        <f>IFERROR(INDEX(PP_Grid[#Data],$DE1010,97),0)</f>
        <v/>
      </c>
      <c r="CW1010">
        <f>IFERROR(INDEX(PP_Grid[#Data],$DE1010,98),0)</f>
        <v/>
      </c>
      <c r="CX1010">
        <f>IFERROR(INDEX(PP_Grid[#Data],$DE1010,99),0)</f>
        <v/>
      </c>
      <c r="CY1010">
        <f>IFERROR(INDEX(PP_Grid[#Data],$DE1010,100),0)</f>
        <v/>
      </c>
      <c r="CZ1010">
        <f>IFERROR(INDEX(PP_Grid[#Data],$DE1010,101),0)</f>
        <v/>
      </c>
      <c r="DA1010">
        <f>IFERROR(INDEX(PP_Grid[#Data],$DE1010,102),0)</f>
        <v/>
      </c>
      <c r="DB1010">
        <f>IFERROR(INDEX(PP_Grid[#Data],$DE1010,103),0)</f>
        <v/>
      </c>
      <c r="DC1010">
        <f>IFERROR(INDEX(PP_Grid[#Data],$DE1010,104),0)</f>
        <v/>
      </c>
      <c r="DD1010">
        <f>IFERROR(INDEX(PP_Grid[#Data],$DE1010,105),0)</f>
        <v/>
      </c>
      <c r="DE1010" s="7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SUMIFS(M_BOM[RM_Qty_Per_Batch],M_BOM[Intermediate],$B1010,M_BOM[RM_Code],$A971)</f>
        <v/>
      </c>
      <c r="D1011">
        <f>IFERROR(INDEX(E1011:DD1011,$F$1),"")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  <c r="DD1011">
        <f>$C1011*DD1010</f>
        <v/>
      </c>
    </row>
    <row r="1012">
      <c r="B1012" t="inlineStr">
        <is>
          <t>TPP-527</t>
        </is>
      </c>
      <c r="C1012" t="inlineStr">
        <is>
          <t>No. of batches</t>
        </is>
      </c>
      <c r="D1012">
        <f>IFERROR(INDEX(E1012:DD1012,$F$1),"")</f>
        <v/>
      </c>
      <c r="E1012">
        <f>IFERROR(INDEX(PP_Grid[#Data],$DE1012,2),0)</f>
        <v/>
      </c>
      <c r="F1012">
        <f>IFERROR(INDEX(PP_Grid[#Data],$DE1012,3),0)</f>
        <v/>
      </c>
      <c r="G1012">
        <f>IFERROR(INDEX(PP_Grid[#Data],$DE1012,4),0)</f>
        <v/>
      </c>
      <c r="H1012">
        <f>IFERROR(INDEX(PP_Grid[#Data],$DE1012,5),0)</f>
        <v/>
      </c>
      <c r="I1012">
        <f>IFERROR(INDEX(PP_Grid[#Data],$DE1012,6),0)</f>
        <v/>
      </c>
      <c r="J1012">
        <f>IFERROR(INDEX(PP_Grid[#Data],$DE1012,7),0)</f>
        <v/>
      </c>
      <c r="K1012">
        <f>IFERROR(INDEX(PP_Grid[#Data],$DE1012,8),0)</f>
        <v/>
      </c>
      <c r="L1012">
        <f>IFERROR(INDEX(PP_Grid[#Data],$DE1012,9),0)</f>
        <v/>
      </c>
      <c r="M1012">
        <f>IFERROR(INDEX(PP_Grid[#Data],$DE1012,10),0)</f>
        <v/>
      </c>
      <c r="N1012">
        <f>IFERROR(INDEX(PP_Grid[#Data],$DE1012,11),0)</f>
        <v/>
      </c>
      <c r="O1012">
        <f>IFERROR(INDEX(PP_Grid[#Data],$DE1012,12),0)</f>
        <v/>
      </c>
      <c r="P1012">
        <f>IFERROR(INDEX(PP_Grid[#Data],$DE1012,13),0)</f>
        <v/>
      </c>
      <c r="Q1012">
        <f>IFERROR(INDEX(PP_Grid[#Data],$DE1012,14),0)</f>
        <v/>
      </c>
      <c r="R1012">
        <f>IFERROR(INDEX(PP_Grid[#Data],$DE1012,15),0)</f>
        <v/>
      </c>
      <c r="S1012">
        <f>IFERROR(INDEX(PP_Grid[#Data],$DE1012,16),0)</f>
        <v/>
      </c>
      <c r="T1012">
        <f>IFERROR(INDEX(PP_Grid[#Data],$DE1012,17),0)</f>
        <v/>
      </c>
      <c r="U1012">
        <f>IFERROR(INDEX(PP_Grid[#Data],$DE1012,18),0)</f>
        <v/>
      </c>
      <c r="V1012">
        <f>IFERROR(INDEX(PP_Grid[#Data],$DE1012,19),0)</f>
        <v/>
      </c>
      <c r="W1012">
        <f>IFERROR(INDEX(PP_Grid[#Data],$DE1012,20),0)</f>
        <v/>
      </c>
      <c r="X1012">
        <f>IFERROR(INDEX(PP_Grid[#Data],$DE1012,21),0)</f>
        <v/>
      </c>
      <c r="Y1012">
        <f>IFERROR(INDEX(PP_Grid[#Data],$DE1012,22),0)</f>
        <v/>
      </c>
      <c r="Z1012">
        <f>IFERROR(INDEX(PP_Grid[#Data],$DE1012,23),0)</f>
        <v/>
      </c>
      <c r="AA1012">
        <f>IFERROR(INDEX(PP_Grid[#Data],$DE1012,24),0)</f>
        <v/>
      </c>
      <c r="AB1012">
        <f>IFERROR(INDEX(PP_Grid[#Data],$DE1012,25),0)</f>
        <v/>
      </c>
      <c r="AC1012">
        <f>IFERROR(INDEX(PP_Grid[#Data],$DE1012,26),0)</f>
        <v/>
      </c>
      <c r="AD1012">
        <f>IFERROR(INDEX(PP_Grid[#Data],$DE1012,27),0)</f>
        <v/>
      </c>
      <c r="AE1012">
        <f>IFERROR(INDEX(PP_Grid[#Data],$DE1012,28),0)</f>
        <v/>
      </c>
      <c r="AF1012">
        <f>IFERROR(INDEX(PP_Grid[#Data],$DE1012,29),0)</f>
        <v/>
      </c>
      <c r="AG1012">
        <f>IFERROR(INDEX(PP_Grid[#Data],$DE1012,30),0)</f>
        <v/>
      </c>
      <c r="AH1012">
        <f>IFERROR(INDEX(PP_Grid[#Data],$DE1012,31),0)</f>
        <v/>
      </c>
      <c r="AI1012">
        <f>IFERROR(INDEX(PP_Grid[#Data],$DE1012,32),0)</f>
        <v/>
      </c>
      <c r="AJ1012">
        <f>IFERROR(INDEX(PP_Grid[#Data],$DE1012,33),0)</f>
        <v/>
      </c>
      <c r="AK1012">
        <f>IFERROR(INDEX(PP_Grid[#Data],$DE1012,34),0)</f>
        <v/>
      </c>
      <c r="AL1012">
        <f>IFERROR(INDEX(PP_Grid[#Data],$DE1012,35),0)</f>
        <v/>
      </c>
      <c r="AM1012">
        <f>IFERROR(INDEX(PP_Grid[#Data],$DE1012,36),0)</f>
        <v/>
      </c>
      <c r="AN1012">
        <f>IFERROR(INDEX(PP_Grid[#Data],$DE1012,37),0)</f>
        <v/>
      </c>
      <c r="AO1012">
        <f>IFERROR(INDEX(PP_Grid[#Data],$DE1012,38),0)</f>
        <v/>
      </c>
      <c r="AP1012">
        <f>IFERROR(INDEX(PP_Grid[#Data],$DE1012,39),0)</f>
        <v/>
      </c>
      <c r="AQ1012">
        <f>IFERROR(INDEX(PP_Grid[#Data],$DE1012,40),0)</f>
        <v/>
      </c>
      <c r="AR1012">
        <f>IFERROR(INDEX(PP_Grid[#Data],$DE1012,41),0)</f>
        <v/>
      </c>
      <c r="AS1012">
        <f>IFERROR(INDEX(PP_Grid[#Data],$DE1012,42),0)</f>
        <v/>
      </c>
      <c r="AT1012">
        <f>IFERROR(INDEX(PP_Grid[#Data],$DE1012,43),0)</f>
        <v/>
      </c>
      <c r="AU1012">
        <f>IFERROR(INDEX(PP_Grid[#Data],$DE1012,44),0)</f>
        <v/>
      </c>
      <c r="AV1012">
        <f>IFERROR(INDEX(PP_Grid[#Data],$DE1012,45),0)</f>
        <v/>
      </c>
      <c r="AW1012">
        <f>IFERROR(INDEX(PP_Grid[#Data],$DE1012,46),0)</f>
        <v/>
      </c>
      <c r="AX1012">
        <f>IFERROR(INDEX(PP_Grid[#Data],$DE1012,47),0)</f>
        <v/>
      </c>
      <c r="AY1012">
        <f>IFERROR(INDEX(PP_Grid[#Data],$DE1012,48),0)</f>
        <v/>
      </c>
      <c r="AZ1012">
        <f>IFERROR(INDEX(PP_Grid[#Data],$DE1012,49),0)</f>
        <v/>
      </c>
      <c r="BA1012">
        <f>IFERROR(INDEX(PP_Grid[#Data],$DE1012,50),0)</f>
        <v/>
      </c>
      <c r="BB1012">
        <f>IFERROR(INDEX(PP_Grid[#Data],$DE1012,51),0)</f>
        <v/>
      </c>
      <c r="BC1012">
        <f>IFERROR(INDEX(PP_Grid[#Data],$DE1012,52),0)</f>
        <v/>
      </c>
      <c r="BD1012">
        <f>IFERROR(INDEX(PP_Grid[#Data],$DE1012,53),0)</f>
        <v/>
      </c>
      <c r="BE1012">
        <f>IFERROR(INDEX(PP_Grid[#Data],$DE1012,54),0)</f>
        <v/>
      </c>
      <c r="BF1012">
        <f>IFERROR(INDEX(PP_Grid[#Data],$DE1012,55),0)</f>
        <v/>
      </c>
      <c r="BG1012">
        <f>IFERROR(INDEX(PP_Grid[#Data],$DE1012,56),0)</f>
        <v/>
      </c>
      <c r="BH1012">
        <f>IFERROR(INDEX(PP_Grid[#Data],$DE1012,57),0)</f>
        <v/>
      </c>
      <c r="BI1012">
        <f>IFERROR(INDEX(PP_Grid[#Data],$DE1012,58),0)</f>
        <v/>
      </c>
      <c r="BJ1012">
        <f>IFERROR(INDEX(PP_Grid[#Data],$DE1012,59),0)</f>
        <v/>
      </c>
      <c r="BK1012">
        <f>IFERROR(INDEX(PP_Grid[#Data],$DE1012,60),0)</f>
        <v/>
      </c>
      <c r="BL1012">
        <f>IFERROR(INDEX(PP_Grid[#Data],$DE1012,61),0)</f>
        <v/>
      </c>
      <c r="BM1012">
        <f>IFERROR(INDEX(PP_Grid[#Data],$DE1012,62),0)</f>
        <v/>
      </c>
      <c r="BN1012">
        <f>IFERROR(INDEX(PP_Grid[#Data],$DE1012,63),0)</f>
        <v/>
      </c>
      <c r="BO1012">
        <f>IFERROR(INDEX(PP_Grid[#Data],$DE1012,64),0)</f>
        <v/>
      </c>
      <c r="BP1012">
        <f>IFERROR(INDEX(PP_Grid[#Data],$DE1012,65),0)</f>
        <v/>
      </c>
      <c r="BQ1012">
        <f>IFERROR(INDEX(PP_Grid[#Data],$DE1012,66),0)</f>
        <v/>
      </c>
      <c r="BR1012">
        <f>IFERROR(INDEX(PP_Grid[#Data],$DE1012,67),0)</f>
        <v/>
      </c>
      <c r="BS1012">
        <f>IFERROR(INDEX(PP_Grid[#Data],$DE1012,68),0)</f>
        <v/>
      </c>
      <c r="BT1012">
        <f>IFERROR(INDEX(PP_Grid[#Data],$DE1012,69),0)</f>
        <v/>
      </c>
      <c r="BU1012">
        <f>IFERROR(INDEX(PP_Grid[#Data],$DE1012,70),0)</f>
        <v/>
      </c>
      <c r="BV1012">
        <f>IFERROR(INDEX(PP_Grid[#Data],$DE1012,71),0)</f>
        <v/>
      </c>
      <c r="BW1012">
        <f>IFERROR(INDEX(PP_Grid[#Data],$DE1012,72),0)</f>
        <v/>
      </c>
      <c r="BX1012">
        <f>IFERROR(INDEX(PP_Grid[#Data],$DE1012,73),0)</f>
        <v/>
      </c>
      <c r="BY1012">
        <f>IFERROR(INDEX(PP_Grid[#Data],$DE1012,74),0)</f>
        <v/>
      </c>
      <c r="BZ1012">
        <f>IFERROR(INDEX(PP_Grid[#Data],$DE1012,75),0)</f>
        <v/>
      </c>
      <c r="CA1012">
        <f>IFERROR(INDEX(PP_Grid[#Data],$DE1012,76),0)</f>
        <v/>
      </c>
      <c r="CB1012">
        <f>IFERROR(INDEX(PP_Grid[#Data],$DE1012,77),0)</f>
        <v/>
      </c>
      <c r="CC1012">
        <f>IFERROR(INDEX(PP_Grid[#Data],$DE1012,78),0)</f>
        <v/>
      </c>
      <c r="CD1012">
        <f>IFERROR(INDEX(PP_Grid[#Data],$DE1012,79),0)</f>
        <v/>
      </c>
      <c r="CE1012">
        <f>IFERROR(INDEX(PP_Grid[#Data],$DE1012,80),0)</f>
        <v/>
      </c>
      <c r="CF1012">
        <f>IFERROR(INDEX(PP_Grid[#Data],$DE1012,81),0)</f>
        <v/>
      </c>
      <c r="CG1012">
        <f>IFERROR(INDEX(PP_Grid[#Data],$DE1012,82),0)</f>
        <v/>
      </c>
      <c r="CH1012">
        <f>IFERROR(INDEX(PP_Grid[#Data],$DE1012,83),0)</f>
        <v/>
      </c>
      <c r="CI1012">
        <f>IFERROR(INDEX(PP_Grid[#Data],$DE1012,84),0)</f>
        <v/>
      </c>
      <c r="CJ1012">
        <f>IFERROR(INDEX(PP_Grid[#Data],$DE1012,85),0)</f>
        <v/>
      </c>
      <c r="CK1012">
        <f>IFERROR(INDEX(PP_Grid[#Data],$DE1012,86),0)</f>
        <v/>
      </c>
      <c r="CL1012">
        <f>IFERROR(INDEX(PP_Grid[#Data],$DE1012,87),0)</f>
        <v/>
      </c>
      <c r="CM1012">
        <f>IFERROR(INDEX(PP_Grid[#Data],$DE1012,88),0)</f>
        <v/>
      </c>
      <c r="CN1012">
        <f>IFERROR(INDEX(PP_Grid[#Data],$DE1012,89),0)</f>
        <v/>
      </c>
      <c r="CO1012">
        <f>IFERROR(INDEX(PP_Grid[#Data],$DE1012,90),0)</f>
        <v/>
      </c>
      <c r="CP1012">
        <f>IFERROR(INDEX(PP_Grid[#Data],$DE1012,91),0)</f>
        <v/>
      </c>
      <c r="CQ1012">
        <f>IFERROR(INDEX(PP_Grid[#Data],$DE1012,92),0)</f>
        <v/>
      </c>
      <c r="CR1012">
        <f>IFERROR(INDEX(PP_Grid[#Data],$DE1012,93),0)</f>
        <v/>
      </c>
      <c r="CS1012">
        <f>IFERROR(INDEX(PP_Grid[#Data],$DE1012,94),0)</f>
        <v/>
      </c>
      <c r="CT1012">
        <f>IFERROR(INDEX(PP_Grid[#Data],$DE1012,95),0)</f>
        <v/>
      </c>
      <c r="CU1012">
        <f>IFERROR(INDEX(PP_Grid[#Data],$DE1012,96),0)</f>
        <v/>
      </c>
      <c r="CV1012">
        <f>IFERROR(INDEX(PP_Grid[#Data],$DE1012,97),0)</f>
        <v/>
      </c>
      <c r="CW1012">
        <f>IFERROR(INDEX(PP_Grid[#Data],$DE1012,98),0)</f>
        <v/>
      </c>
      <c r="CX1012">
        <f>IFERROR(INDEX(PP_Grid[#Data],$DE1012,99),0)</f>
        <v/>
      </c>
      <c r="CY1012">
        <f>IFERROR(INDEX(PP_Grid[#Data],$DE1012,100),0)</f>
        <v/>
      </c>
      <c r="CZ1012">
        <f>IFERROR(INDEX(PP_Grid[#Data],$DE1012,101),0)</f>
        <v/>
      </c>
      <c r="DA1012">
        <f>IFERROR(INDEX(PP_Grid[#Data],$DE1012,102),0)</f>
        <v/>
      </c>
      <c r="DB1012">
        <f>IFERROR(INDEX(PP_Grid[#Data],$DE1012,103),0)</f>
        <v/>
      </c>
      <c r="DC1012">
        <f>IFERROR(INDEX(PP_Grid[#Data],$DE1012,104),0)</f>
        <v/>
      </c>
      <c r="DD1012">
        <f>IFERROR(INDEX(PP_Grid[#Data],$DE1012,105),0)</f>
        <v/>
      </c>
      <c r="DE1012" s="7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SUMIFS(M_BOM[RM_Qty_Per_Batch],M_BOM[Intermediate],$B1012,M_BOM[RM_Code],$A971)</f>
        <v/>
      </c>
      <c r="D1013">
        <f>IFERROR(INDEX(E1013:DD1013,$F$1),"")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  <c r="DD1013">
        <f>$C1013*DD1012</f>
        <v/>
      </c>
    </row>
    <row r="1014">
      <c r="B1014" t="inlineStr">
        <is>
          <t>TPP-537</t>
        </is>
      </c>
      <c r="C1014" t="inlineStr">
        <is>
          <t>No. of batches</t>
        </is>
      </c>
      <c r="D1014">
        <f>IFERROR(INDEX(E1014:DD1014,$F$1),"")</f>
        <v/>
      </c>
      <c r="E1014">
        <f>IFERROR(INDEX(PP_Grid[#Data],$DE1014,2),0)</f>
        <v/>
      </c>
      <c r="F1014">
        <f>IFERROR(INDEX(PP_Grid[#Data],$DE1014,3),0)</f>
        <v/>
      </c>
      <c r="G1014">
        <f>IFERROR(INDEX(PP_Grid[#Data],$DE1014,4),0)</f>
        <v/>
      </c>
      <c r="H1014">
        <f>IFERROR(INDEX(PP_Grid[#Data],$DE1014,5),0)</f>
        <v/>
      </c>
      <c r="I1014">
        <f>IFERROR(INDEX(PP_Grid[#Data],$DE1014,6),0)</f>
        <v/>
      </c>
      <c r="J1014">
        <f>IFERROR(INDEX(PP_Grid[#Data],$DE1014,7),0)</f>
        <v/>
      </c>
      <c r="K1014">
        <f>IFERROR(INDEX(PP_Grid[#Data],$DE1014,8),0)</f>
        <v/>
      </c>
      <c r="L1014">
        <f>IFERROR(INDEX(PP_Grid[#Data],$DE1014,9),0)</f>
        <v/>
      </c>
      <c r="M1014">
        <f>IFERROR(INDEX(PP_Grid[#Data],$DE1014,10),0)</f>
        <v/>
      </c>
      <c r="N1014">
        <f>IFERROR(INDEX(PP_Grid[#Data],$DE1014,11),0)</f>
        <v/>
      </c>
      <c r="O1014">
        <f>IFERROR(INDEX(PP_Grid[#Data],$DE1014,12),0)</f>
        <v/>
      </c>
      <c r="P1014">
        <f>IFERROR(INDEX(PP_Grid[#Data],$DE1014,13),0)</f>
        <v/>
      </c>
      <c r="Q1014">
        <f>IFERROR(INDEX(PP_Grid[#Data],$DE1014,14),0)</f>
        <v/>
      </c>
      <c r="R1014">
        <f>IFERROR(INDEX(PP_Grid[#Data],$DE1014,15),0)</f>
        <v/>
      </c>
      <c r="S1014">
        <f>IFERROR(INDEX(PP_Grid[#Data],$DE1014,16),0)</f>
        <v/>
      </c>
      <c r="T1014">
        <f>IFERROR(INDEX(PP_Grid[#Data],$DE1014,17),0)</f>
        <v/>
      </c>
      <c r="U1014">
        <f>IFERROR(INDEX(PP_Grid[#Data],$DE1014,18),0)</f>
        <v/>
      </c>
      <c r="V1014">
        <f>IFERROR(INDEX(PP_Grid[#Data],$DE1014,19),0)</f>
        <v/>
      </c>
      <c r="W1014">
        <f>IFERROR(INDEX(PP_Grid[#Data],$DE1014,20),0)</f>
        <v/>
      </c>
      <c r="X1014">
        <f>IFERROR(INDEX(PP_Grid[#Data],$DE1014,21),0)</f>
        <v/>
      </c>
      <c r="Y1014">
        <f>IFERROR(INDEX(PP_Grid[#Data],$DE1014,22),0)</f>
        <v/>
      </c>
      <c r="Z1014">
        <f>IFERROR(INDEX(PP_Grid[#Data],$DE1014,23),0)</f>
        <v/>
      </c>
      <c r="AA1014">
        <f>IFERROR(INDEX(PP_Grid[#Data],$DE1014,24),0)</f>
        <v/>
      </c>
      <c r="AB1014">
        <f>IFERROR(INDEX(PP_Grid[#Data],$DE1014,25),0)</f>
        <v/>
      </c>
      <c r="AC1014">
        <f>IFERROR(INDEX(PP_Grid[#Data],$DE1014,26),0)</f>
        <v/>
      </c>
      <c r="AD1014">
        <f>IFERROR(INDEX(PP_Grid[#Data],$DE1014,27),0)</f>
        <v/>
      </c>
      <c r="AE1014">
        <f>IFERROR(INDEX(PP_Grid[#Data],$DE1014,28),0)</f>
        <v/>
      </c>
      <c r="AF1014">
        <f>IFERROR(INDEX(PP_Grid[#Data],$DE1014,29),0)</f>
        <v/>
      </c>
      <c r="AG1014">
        <f>IFERROR(INDEX(PP_Grid[#Data],$DE1014,30),0)</f>
        <v/>
      </c>
      <c r="AH1014">
        <f>IFERROR(INDEX(PP_Grid[#Data],$DE1014,31),0)</f>
        <v/>
      </c>
      <c r="AI1014">
        <f>IFERROR(INDEX(PP_Grid[#Data],$DE1014,32),0)</f>
        <v/>
      </c>
      <c r="AJ1014">
        <f>IFERROR(INDEX(PP_Grid[#Data],$DE1014,33),0)</f>
        <v/>
      </c>
      <c r="AK1014">
        <f>IFERROR(INDEX(PP_Grid[#Data],$DE1014,34),0)</f>
        <v/>
      </c>
      <c r="AL1014">
        <f>IFERROR(INDEX(PP_Grid[#Data],$DE1014,35),0)</f>
        <v/>
      </c>
      <c r="AM1014">
        <f>IFERROR(INDEX(PP_Grid[#Data],$DE1014,36),0)</f>
        <v/>
      </c>
      <c r="AN1014">
        <f>IFERROR(INDEX(PP_Grid[#Data],$DE1014,37),0)</f>
        <v/>
      </c>
      <c r="AO1014">
        <f>IFERROR(INDEX(PP_Grid[#Data],$DE1014,38),0)</f>
        <v/>
      </c>
      <c r="AP1014">
        <f>IFERROR(INDEX(PP_Grid[#Data],$DE1014,39),0)</f>
        <v/>
      </c>
      <c r="AQ1014">
        <f>IFERROR(INDEX(PP_Grid[#Data],$DE1014,40),0)</f>
        <v/>
      </c>
      <c r="AR1014">
        <f>IFERROR(INDEX(PP_Grid[#Data],$DE1014,41),0)</f>
        <v/>
      </c>
      <c r="AS1014">
        <f>IFERROR(INDEX(PP_Grid[#Data],$DE1014,42),0)</f>
        <v/>
      </c>
      <c r="AT1014">
        <f>IFERROR(INDEX(PP_Grid[#Data],$DE1014,43),0)</f>
        <v/>
      </c>
      <c r="AU1014">
        <f>IFERROR(INDEX(PP_Grid[#Data],$DE1014,44),0)</f>
        <v/>
      </c>
      <c r="AV1014">
        <f>IFERROR(INDEX(PP_Grid[#Data],$DE1014,45),0)</f>
        <v/>
      </c>
      <c r="AW1014">
        <f>IFERROR(INDEX(PP_Grid[#Data],$DE1014,46),0)</f>
        <v/>
      </c>
      <c r="AX1014">
        <f>IFERROR(INDEX(PP_Grid[#Data],$DE1014,47),0)</f>
        <v/>
      </c>
      <c r="AY1014">
        <f>IFERROR(INDEX(PP_Grid[#Data],$DE1014,48),0)</f>
        <v/>
      </c>
      <c r="AZ1014">
        <f>IFERROR(INDEX(PP_Grid[#Data],$DE1014,49),0)</f>
        <v/>
      </c>
      <c r="BA1014">
        <f>IFERROR(INDEX(PP_Grid[#Data],$DE1014,50),0)</f>
        <v/>
      </c>
      <c r="BB1014">
        <f>IFERROR(INDEX(PP_Grid[#Data],$DE1014,51),0)</f>
        <v/>
      </c>
      <c r="BC1014">
        <f>IFERROR(INDEX(PP_Grid[#Data],$DE1014,52),0)</f>
        <v/>
      </c>
      <c r="BD1014">
        <f>IFERROR(INDEX(PP_Grid[#Data],$DE1014,53),0)</f>
        <v/>
      </c>
      <c r="BE1014">
        <f>IFERROR(INDEX(PP_Grid[#Data],$DE1014,54),0)</f>
        <v/>
      </c>
      <c r="BF1014">
        <f>IFERROR(INDEX(PP_Grid[#Data],$DE1014,55),0)</f>
        <v/>
      </c>
      <c r="BG1014">
        <f>IFERROR(INDEX(PP_Grid[#Data],$DE1014,56),0)</f>
        <v/>
      </c>
      <c r="BH1014">
        <f>IFERROR(INDEX(PP_Grid[#Data],$DE1014,57),0)</f>
        <v/>
      </c>
      <c r="BI1014">
        <f>IFERROR(INDEX(PP_Grid[#Data],$DE1014,58),0)</f>
        <v/>
      </c>
      <c r="BJ1014">
        <f>IFERROR(INDEX(PP_Grid[#Data],$DE1014,59),0)</f>
        <v/>
      </c>
      <c r="BK1014">
        <f>IFERROR(INDEX(PP_Grid[#Data],$DE1014,60),0)</f>
        <v/>
      </c>
      <c r="BL1014">
        <f>IFERROR(INDEX(PP_Grid[#Data],$DE1014,61),0)</f>
        <v/>
      </c>
      <c r="BM1014">
        <f>IFERROR(INDEX(PP_Grid[#Data],$DE1014,62),0)</f>
        <v/>
      </c>
      <c r="BN1014">
        <f>IFERROR(INDEX(PP_Grid[#Data],$DE1014,63),0)</f>
        <v/>
      </c>
      <c r="BO1014">
        <f>IFERROR(INDEX(PP_Grid[#Data],$DE1014,64),0)</f>
        <v/>
      </c>
      <c r="BP1014">
        <f>IFERROR(INDEX(PP_Grid[#Data],$DE1014,65),0)</f>
        <v/>
      </c>
      <c r="BQ1014">
        <f>IFERROR(INDEX(PP_Grid[#Data],$DE1014,66),0)</f>
        <v/>
      </c>
      <c r="BR1014">
        <f>IFERROR(INDEX(PP_Grid[#Data],$DE1014,67),0)</f>
        <v/>
      </c>
      <c r="BS1014">
        <f>IFERROR(INDEX(PP_Grid[#Data],$DE1014,68),0)</f>
        <v/>
      </c>
      <c r="BT1014">
        <f>IFERROR(INDEX(PP_Grid[#Data],$DE1014,69),0)</f>
        <v/>
      </c>
      <c r="BU1014">
        <f>IFERROR(INDEX(PP_Grid[#Data],$DE1014,70),0)</f>
        <v/>
      </c>
      <c r="BV1014">
        <f>IFERROR(INDEX(PP_Grid[#Data],$DE1014,71),0)</f>
        <v/>
      </c>
      <c r="BW1014">
        <f>IFERROR(INDEX(PP_Grid[#Data],$DE1014,72),0)</f>
        <v/>
      </c>
      <c r="BX1014">
        <f>IFERROR(INDEX(PP_Grid[#Data],$DE1014,73),0)</f>
        <v/>
      </c>
      <c r="BY1014">
        <f>IFERROR(INDEX(PP_Grid[#Data],$DE1014,74),0)</f>
        <v/>
      </c>
      <c r="BZ1014">
        <f>IFERROR(INDEX(PP_Grid[#Data],$DE1014,75),0)</f>
        <v/>
      </c>
      <c r="CA1014">
        <f>IFERROR(INDEX(PP_Grid[#Data],$DE1014,76),0)</f>
        <v/>
      </c>
      <c r="CB1014">
        <f>IFERROR(INDEX(PP_Grid[#Data],$DE1014,77),0)</f>
        <v/>
      </c>
      <c r="CC1014">
        <f>IFERROR(INDEX(PP_Grid[#Data],$DE1014,78),0)</f>
        <v/>
      </c>
      <c r="CD1014">
        <f>IFERROR(INDEX(PP_Grid[#Data],$DE1014,79),0)</f>
        <v/>
      </c>
      <c r="CE1014">
        <f>IFERROR(INDEX(PP_Grid[#Data],$DE1014,80),0)</f>
        <v/>
      </c>
      <c r="CF1014">
        <f>IFERROR(INDEX(PP_Grid[#Data],$DE1014,81),0)</f>
        <v/>
      </c>
      <c r="CG1014">
        <f>IFERROR(INDEX(PP_Grid[#Data],$DE1014,82),0)</f>
        <v/>
      </c>
      <c r="CH1014">
        <f>IFERROR(INDEX(PP_Grid[#Data],$DE1014,83),0)</f>
        <v/>
      </c>
      <c r="CI1014">
        <f>IFERROR(INDEX(PP_Grid[#Data],$DE1014,84),0)</f>
        <v/>
      </c>
      <c r="CJ1014">
        <f>IFERROR(INDEX(PP_Grid[#Data],$DE1014,85),0)</f>
        <v/>
      </c>
      <c r="CK1014">
        <f>IFERROR(INDEX(PP_Grid[#Data],$DE1014,86),0)</f>
        <v/>
      </c>
      <c r="CL1014">
        <f>IFERROR(INDEX(PP_Grid[#Data],$DE1014,87),0)</f>
        <v/>
      </c>
      <c r="CM1014">
        <f>IFERROR(INDEX(PP_Grid[#Data],$DE1014,88),0)</f>
        <v/>
      </c>
      <c r="CN1014">
        <f>IFERROR(INDEX(PP_Grid[#Data],$DE1014,89),0)</f>
        <v/>
      </c>
      <c r="CO1014">
        <f>IFERROR(INDEX(PP_Grid[#Data],$DE1014,90),0)</f>
        <v/>
      </c>
      <c r="CP1014">
        <f>IFERROR(INDEX(PP_Grid[#Data],$DE1014,91),0)</f>
        <v/>
      </c>
      <c r="CQ1014">
        <f>IFERROR(INDEX(PP_Grid[#Data],$DE1014,92),0)</f>
        <v/>
      </c>
      <c r="CR1014">
        <f>IFERROR(INDEX(PP_Grid[#Data],$DE1014,93),0)</f>
        <v/>
      </c>
      <c r="CS1014">
        <f>IFERROR(INDEX(PP_Grid[#Data],$DE1014,94),0)</f>
        <v/>
      </c>
      <c r="CT1014">
        <f>IFERROR(INDEX(PP_Grid[#Data],$DE1014,95),0)</f>
        <v/>
      </c>
      <c r="CU1014">
        <f>IFERROR(INDEX(PP_Grid[#Data],$DE1014,96),0)</f>
        <v/>
      </c>
      <c r="CV1014">
        <f>IFERROR(INDEX(PP_Grid[#Data],$DE1014,97),0)</f>
        <v/>
      </c>
      <c r="CW1014">
        <f>IFERROR(INDEX(PP_Grid[#Data],$DE1014,98),0)</f>
        <v/>
      </c>
      <c r="CX1014">
        <f>IFERROR(INDEX(PP_Grid[#Data],$DE1014,99),0)</f>
        <v/>
      </c>
      <c r="CY1014">
        <f>IFERROR(INDEX(PP_Grid[#Data],$DE1014,100),0)</f>
        <v/>
      </c>
      <c r="CZ1014">
        <f>IFERROR(INDEX(PP_Grid[#Data],$DE1014,101),0)</f>
        <v/>
      </c>
      <c r="DA1014">
        <f>IFERROR(INDEX(PP_Grid[#Data],$DE1014,102),0)</f>
        <v/>
      </c>
      <c r="DB1014">
        <f>IFERROR(INDEX(PP_Grid[#Data],$DE1014,103),0)</f>
        <v/>
      </c>
      <c r="DC1014">
        <f>IFERROR(INDEX(PP_Grid[#Data],$DE1014,104),0)</f>
        <v/>
      </c>
      <c r="DD1014">
        <f>IFERROR(INDEX(PP_Grid[#Data],$DE1014,105),0)</f>
        <v/>
      </c>
      <c r="DE1014" s="7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SUMIFS(M_BOM[RM_Qty_Per_Batch],M_BOM[Intermediate],$B1014,M_BOM[RM_Code],$A971)</f>
        <v/>
      </c>
      <c r="D1015">
        <f>IFERROR(INDEX(E1015:DD1015,$F$1),"")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  <c r="DD1015">
        <f>$C1015*DD1014</f>
        <v/>
      </c>
    </row>
    <row r="1016">
      <c r="B1016" t="inlineStr">
        <is>
          <t>TPP-609</t>
        </is>
      </c>
      <c r="C1016" t="inlineStr">
        <is>
          <t>No. of batches</t>
        </is>
      </c>
      <c r="D1016">
        <f>IFERROR(INDEX(E1016:DD1016,$F$1),"")</f>
        <v/>
      </c>
      <c r="E1016">
        <f>IFERROR(INDEX(PP_Grid[#Data],$DE1016,2),0)</f>
        <v/>
      </c>
      <c r="F1016">
        <f>IFERROR(INDEX(PP_Grid[#Data],$DE1016,3),0)</f>
        <v/>
      </c>
      <c r="G1016">
        <f>IFERROR(INDEX(PP_Grid[#Data],$DE1016,4),0)</f>
        <v/>
      </c>
      <c r="H1016">
        <f>IFERROR(INDEX(PP_Grid[#Data],$DE1016,5),0)</f>
        <v/>
      </c>
      <c r="I1016">
        <f>IFERROR(INDEX(PP_Grid[#Data],$DE1016,6),0)</f>
        <v/>
      </c>
      <c r="J1016">
        <f>IFERROR(INDEX(PP_Grid[#Data],$DE1016,7),0)</f>
        <v/>
      </c>
      <c r="K1016">
        <f>IFERROR(INDEX(PP_Grid[#Data],$DE1016,8),0)</f>
        <v/>
      </c>
      <c r="L1016">
        <f>IFERROR(INDEX(PP_Grid[#Data],$DE1016,9),0)</f>
        <v/>
      </c>
      <c r="M1016">
        <f>IFERROR(INDEX(PP_Grid[#Data],$DE1016,10),0)</f>
        <v/>
      </c>
      <c r="N1016">
        <f>IFERROR(INDEX(PP_Grid[#Data],$DE1016,11),0)</f>
        <v/>
      </c>
      <c r="O1016">
        <f>IFERROR(INDEX(PP_Grid[#Data],$DE1016,12),0)</f>
        <v/>
      </c>
      <c r="P1016">
        <f>IFERROR(INDEX(PP_Grid[#Data],$DE1016,13),0)</f>
        <v/>
      </c>
      <c r="Q1016">
        <f>IFERROR(INDEX(PP_Grid[#Data],$DE1016,14),0)</f>
        <v/>
      </c>
      <c r="R1016">
        <f>IFERROR(INDEX(PP_Grid[#Data],$DE1016,15),0)</f>
        <v/>
      </c>
      <c r="S1016">
        <f>IFERROR(INDEX(PP_Grid[#Data],$DE1016,16),0)</f>
        <v/>
      </c>
      <c r="T1016">
        <f>IFERROR(INDEX(PP_Grid[#Data],$DE1016,17),0)</f>
        <v/>
      </c>
      <c r="U1016">
        <f>IFERROR(INDEX(PP_Grid[#Data],$DE1016,18),0)</f>
        <v/>
      </c>
      <c r="V1016">
        <f>IFERROR(INDEX(PP_Grid[#Data],$DE1016,19),0)</f>
        <v/>
      </c>
      <c r="W1016">
        <f>IFERROR(INDEX(PP_Grid[#Data],$DE1016,20),0)</f>
        <v/>
      </c>
      <c r="X1016">
        <f>IFERROR(INDEX(PP_Grid[#Data],$DE1016,21),0)</f>
        <v/>
      </c>
      <c r="Y1016">
        <f>IFERROR(INDEX(PP_Grid[#Data],$DE1016,22),0)</f>
        <v/>
      </c>
      <c r="Z1016">
        <f>IFERROR(INDEX(PP_Grid[#Data],$DE1016,23),0)</f>
        <v/>
      </c>
      <c r="AA1016">
        <f>IFERROR(INDEX(PP_Grid[#Data],$DE1016,24),0)</f>
        <v/>
      </c>
      <c r="AB1016">
        <f>IFERROR(INDEX(PP_Grid[#Data],$DE1016,25),0)</f>
        <v/>
      </c>
      <c r="AC1016">
        <f>IFERROR(INDEX(PP_Grid[#Data],$DE1016,26),0)</f>
        <v/>
      </c>
      <c r="AD1016">
        <f>IFERROR(INDEX(PP_Grid[#Data],$DE1016,27),0)</f>
        <v/>
      </c>
      <c r="AE1016">
        <f>IFERROR(INDEX(PP_Grid[#Data],$DE1016,28),0)</f>
        <v/>
      </c>
      <c r="AF1016">
        <f>IFERROR(INDEX(PP_Grid[#Data],$DE1016,29),0)</f>
        <v/>
      </c>
      <c r="AG1016">
        <f>IFERROR(INDEX(PP_Grid[#Data],$DE1016,30),0)</f>
        <v/>
      </c>
      <c r="AH1016">
        <f>IFERROR(INDEX(PP_Grid[#Data],$DE1016,31),0)</f>
        <v/>
      </c>
      <c r="AI1016">
        <f>IFERROR(INDEX(PP_Grid[#Data],$DE1016,32),0)</f>
        <v/>
      </c>
      <c r="AJ1016">
        <f>IFERROR(INDEX(PP_Grid[#Data],$DE1016,33),0)</f>
        <v/>
      </c>
      <c r="AK1016">
        <f>IFERROR(INDEX(PP_Grid[#Data],$DE1016,34),0)</f>
        <v/>
      </c>
      <c r="AL1016">
        <f>IFERROR(INDEX(PP_Grid[#Data],$DE1016,35),0)</f>
        <v/>
      </c>
      <c r="AM1016">
        <f>IFERROR(INDEX(PP_Grid[#Data],$DE1016,36),0)</f>
        <v/>
      </c>
      <c r="AN1016">
        <f>IFERROR(INDEX(PP_Grid[#Data],$DE1016,37),0)</f>
        <v/>
      </c>
      <c r="AO1016">
        <f>IFERROR(INDEX(PP_Grid[#Data],$DE1016,38),0)</f>
        <v/>
      </c>
      <c r="AP1016">
        <f>IFERROR(INDEX(PP_Grid[#Data],$DE1016,39),0)</f>
        <v/>
      </c>
      <c r="AQ1016">
        <f>IFERROR(INDEX(PP_Grid[#Data],$DE1016,40),0)</f>
        <v/>
      </c>
      <c r="AR1016">
        <f>IFERROR(INDEX(PP_Grid[#Data],$DE1016,41),0)</f>
        <v/>
      </c>
      <c r="AS1016">
        <f>IFERROR(INDEX(PP_Grid[#Data],$DE1016,42),0)</f>
        <v/>
      </c>
      <c r="AT1016">
        <f>IFERROR(INDEX(PP_Grid[#Data],$DE1016,43),0)</f>
        <v/>
      </c>
      <c r="AU1016">
        <f>IFERROR(INDEX(PP_Grid[#Data],$DE1016,44),0)</f>
        <v/>
      </c>
      <c r="AV1016">
        <f>IFERROR(INDEX(PP_Grid[#Data],$DE1016,45),0)</f>
        <v/>
      </c>
      <c r="AW1016">
        <f>IFERROR(INDEX(PP_Grid[#Data],$DE1016,46),0)</f>
        <v/>
      </c>
      <c r="AX1016">
        <f>IFERROR(INDEX(PP_Grid[#Data],$DE1016,47),0)</f>
        <v/>
      </c>
      <c r="AY1016">
        <f>IFERROR(INDEX(PP_Grid[#Data],$DE1016,48),0)</f>
        <v/>
      </c>
      <c r="AZ1016">
        <f>IFERROR(INDEX(PP_Grid[#Data],$DE1016,49),0)</f>
        <v/>
      </c>
      <c r="BA1016">
        <f>IFERROR(INDEX(PP_Grid[#Data],$DE1016,50),0)</f>
        <v/>
      </c>
      <c r="BB1016">
        <f>IFERROR(INDEX(PP_Grid[#Data],$DE1016,51),0)</f>
        <v/>
      </c>
      <c r="BC1016">
        <f>IFERROR(INDEX(PP_Grid[#Data],$DE1016,52),0)</f>
        <v/>
      </c>
      <c r="BD1016">
        <f>IFERROR(INDEX(PP_Grid[#Data],$DE1016,53),0)</f>
        <v/>
      </c>
      <c r="BE1016">
        <f>IFERROR(INDEX(PP_Grid[#Data],$DE1016,54),0)</f>
        <v/>
      </c>
      <c r="BF1016">
        <f>IFERROR(INDEX(PP_Grid[#Data],$DE1016,55),0)</f>
        <v/>
      </c>
      <c r="BG1016">
        <f>IFERROR(INDEX(PP_Grid[#Data],$DE1016,56),0)</f>
        <v/>
      </c>
      <c r="BH1016">
        <f>IFERROR(INDEX(PP_Grid[#Data],$DE1016,57),0)</f>
        <v/>
      </c>
      <c r="BI1016">
        <f>IFERROR(INDEX(PP_Grid[#Data],$DE1016,58),0)</f>
        <v/>
      </c>
      <c r="BJ1016">
        <f>IFERROR(INDEX(PP_Grid[#Data],$DE1016,59),0)</f>
        <v/>
      </c>
      <c r="BK1016">
        <f>IFERROR(INDEX(PP_Grid[#Data],$DE1016,60),0)</f>
        <v/>
      </c>
      <c r="BL1016">
        <f>IFERROR(INDEX(PP_Grid[#Data],$DE1016,61),0)</f>
        <v/>
      </c>
      <c r="BM1016">
        <f>IFERROR(INDEX(PP_Grid[#Data],$DE1016,62),0)</f>
        <v/>
      </c>
      <c r="BN1016">
        <f>IFERROR(INDEX(PP_Grid[#Data],$DE1016,63),0)</f>
        <v/>
      </c>
      <c r="BO1016">
        <f>IFERROR(INDEX(PP_Grid[#Data],$DE1016,64),0)</f>
        <v/>
      </c>
      <c r="BP1016">
        <f>IFERROR(INDEX(PP_Grid[#Data],$DE1016,65),0)</f>
        <v/>
      </c>
      <c r="BQ1016">
        <f>IFERROR(INDEX(PP_Grid[#Data],$DE1016,66),0)</f>
        <v/>
      </c>
      <c r="BR1016">
        <f>IFERROR(INDEX(PP_Grid[#Data],$DE1016,67),0)</f>
        <v/>
      </c>
      <c r="BS1016">
        <f>IFERROR(INDEX(PP_Grid[#Data],$DE1016,68),0)</f>
        <v/>
      </c>
      <c r="BT1016">
        <f>IFERROR(INDEX(PP_Grid[#Data],$DE1016,69),0)</f>
        <v/>
      </c>
      <c r="BU1016">
        <f>IFERROR(INDEX(PP_Grid[#Data],$DE1016,70),0)</f>
        <v/>
      </c>
      <c r="BV1016">
        <f>IFERROR(INDEX(PP_Grid[#Data],$DE1016,71),0)</f>
        <v/>
      </c>
      <c r="BW1016">
        <f>IFERROR(INDEX(PP_Grid[#Data],$DE1016,72),0)</f>
        <v/>
      </c>
      <c r="BX1016">
        <f>IFERROR(INDEX(PP_Grid[#Data],$DE1016,73),0)</f>
        <v/>
      </c>
      <c r="BY1016">
        <f>IFERROR(INDEX(PP_Grid[#Data],$DE1016,74),0)</f>
        <v/>
      </c>
      <c r="BZ1016">
        <f>IFERROR(INDEX(PP_Grid[#Data],$DE1016,75),0)</f>
        <v/>
      </c>
      <c r="CA1016">
        <f>IFERROR(INDEX(PP_Grid[#Data],$DE1016,76),0)</f>
        <v/>
      </c>
      <c r="CB1016">
        <f>IFERROR(INDEX(PP_Grid[#Data],$DE1016,77),0)</f>
        <v/>
      </c>
      <c r="CC1016">
        <f>IFERROR(INDEX(PP_Grid[#Data],$DE1016,78),0)</f>
        <v/>
      </c>
      <c r="CD1016">
        <f>IFERROR(INDEX(PP_Grid[#Data],$DE1016,79),0)</f>
        <v/>
      </c>
      <c r="CE1016">
        <f>IFERROR(INDEX(PP_Grid[#Data],$DE1016,80),0)</f>
        <v/>
      </c>
      <c r="CF1016">
        <f>IFERROR(INDEX(PP_Grid[#Data],$DE1016,81),0)</f>
        <v/>
      </c>
      <c r="CG1016">
        <f>IFERROR(INDEX(PP_Grid[#Data],$DE1016,82),0)</f>
        <v/>
      </c>
      <c r="CH1016">
        <f>IFERROR(INDEX(PP_Grid[#Data],$DE1016,83),0)</f>
        <v/>
      </c>
      <c r="CI1016">
        <f>IFERROR(INDEX(PP_Grid[#Data],$DE1016,84),0)</f>
        <v/>
      </c>
      <c r="CJ1016">
        <f>IFERROR(INDEX(PP_Grid[#Data],$DE1016,85),0)</f>
        <v/>
      </c>
      <c r="CK1016">
        <f>IFERROR(INDEX(PP_Grid[#Data],$DE1016,86),0)</f>
        <v/>
      </c>
      <c r="CL1016">
        <f>IFERROR(INDEX(PP_Grid[#Data],$DE1016,87),0)</f>
        <v/>
      </c>
      <c r="CM1016">
        <f>IFERROR(INDEX(PP_Grid[#Data],$DE1016,88),0)</f>
        <v/>
      </c>
      <c r="CN1016">
        <f>IFERROR(INDEX(PP_Grid[#Data],$DE1016,89),0)</f>
        <v/>
      </c>
      <c r="CO1016">
        <f>IFERROR(INDEX(PP_Grid[#Data],$DE1016,90),0)</f>
        <v/>
      </c>
      <c r="CP1016">
        <f>IFERROR(INDEX(PP_Grid[#Data],$DE1016,91),0)</f>
        <v/>
      </c>
      <c r="CQ1016">
        <f>IFERROR(INDEX(PP_Grid[#Data],$DE1016,92),0)</f>
        <v/>
      </c>
      <c r="CR1016">
        <f>IFERROR(INDEX(PP_Grid[#Data],$DE1016,93),0)</f>
        <v/>
      </c>
      <c r="CS1016">
        <f>IFERROR(INDEX(PP_Grid[#Data],$DE1016,94),0)</f>
        <v/>
      </c>
      <c r="CT1016">
        <f>IFERROR(INDEX(PP_Grid[#Data],$DE1016,95),0)</f>
        <v/>
      </c>
      <c r="CU1016">
        <f>IFERROR(INDEX(PP_Grid[#Data],$DE1016,96),0)</f>
        <v/>
      </c>
      <c r="CV1016">
        <f>IFERROR(INDEX(PP_Grid[#Data],$DE1016,97),0)</f>
        <v/>
      </c>
      <c r="CW1016">
        <f>IFERROR(INDEX(PP_Grid[#Data],$DE1016,98),0)</f>
        <v/>
      </c>
      <c r="CX1016">
        <f>IFERROR(INDEX(PP_Grid[#Data],$DE1016,99),0)</f>
        <v/>
      </c>
      <c r="CY1016">
        <f>IFERROR(INDEX(PP_Grid[#Data],$DE1016,100),0)</f>
        <v/>
      </c>
      <c r="CZ1016">
        <f>IFERROR(INDEX(PP_Grid[#Data],$DE1016,101),0)</f>
        <v/>
      </c>
      <c r="DA1016">
        <f>IFERROR(INDEX(PP_Grid[#Data],$DE1016,102),0)</f>
        <v/>
      </c>
      <c r="DB1016">
        <f>IFERROR(INDEX(PP_Grid[#Data],$DE1016,103),0)</f>
        <v/>
      </c>
      <c r="DC1016">
        <f>IFERROR(INDEX(PP_Grid[#Data],$DE1016,104),0)</f>
        <v/>
      </c>
      <c r="DD1016">
        <f>IFERROR(INDEX(PP_Grid[#Data],$DE1016,105),0)</f>
        <v/>
      </c>
      <c r="DE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SUMIFS(M_BOM[RM_Qty_Per_Batch],M_BOM[Intermediate],$B1016,M_BOM[RM_Code],$A971)</f>
        <v/>
      </c>
      <c r="D1017">
        <f>IFERROR(INDEX(E1017:DD1017,$F$1),"")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  <c r="DD1017">
        <f>$C1017*DD1016</f>
        <v/>
      </c>
    </row>
    <row r="1018">
      <c r="B1018" t="inlineStr">
        <is>
          <t>TPP-911</t>
        </is>
      </c>
      <c r="C1018" t="inlineStr">
        <is>
          <t>No. of batches</t>
        </is>
      </c>
      <c r="D1018">
        <f>IFERROR(INDEX(E1018:DD1018,$F$1),"")</f>
        <v/>
      </c>
      <c r="E1018">
        <f>IFERROR(INDEX(PP_Grid[#Data],$DE1018,2),0)</f>
        <v/>
      </c>
      <c r="F1018">
        <f>IFERROR(INDEX(PP_Grid[#Data],$DE1018,3),0)</f>
        <v/>
      </c>
      <c r="G1018">
        <f>IFERROR(INDEX(PP_Grid[#Data],$DE1018,4),0)</f>
        <v/>
      </c>
      <c r="H1018">
        <f>IFERROR(INDEX(PP_Grid[#Data],$DE1018,5),0)</f>
        <v/>
      </c>
      <c r="I1018">
        <f>IFERROR(INDEX(PP_Grid[#Data],$DE1018,6),0)</f>
        <v/>
      </c>
      <c r="J1018">
        <f>IFERROR(INDEX(PP_Grid[#Data],$DE1018,7),0)</f>
        <v/>
      </c>
      <c r="K1018">
        <f>IFERROR(INDEX(PP_Grid[#Data],$DE1018,8),0)</f>
        <v/>
      </c>
      <c r="L1018">
        <f>IFERROR(INDEX(PP_Grid[#Data],$DE1018,9),0)</f>
        <v/>
      </c>
      <c r="M1018">
        <f>IFERROR(INDEX(PP_Grid[#Data],$DE1018,10),0)</f>
        <v/>
      </c>
      <c r="N1018">
        <f>IFERROR(INDEX(PP_Grid[#Data],$DE1018,11),0)</f>
        <v/>
      </c>
      <c r="O1018">
        <f>IFERROR(INDEX(PP_Grid[#Data],$DE1018,12),0)</f>
        <v/>
      </c>
      <c r="P1018">
        <f>IFERROR(INDEX(PP_Grid[#Data],$DE1018,13),0)</f>
        <v/>
      </c>
      <c r="Q1018">
        <f>IFERROR(INDEX(PP_Grid[#Data],$DE1018,14),0)</f>
        <v/>
      </c>
      <c r="R1018">
        <f>IFERROR(INDEX(PP_Grid[#Data],$DE1018,15),0)</f>
        <v/>
      </c>
      <c r="S1018">
        <f>IFERROR(INDEX(PP_Grid[#Data],$DE1018,16),0)</f>
        <v/>
      </c>
      <c r="T1018">
        <f>IFERROR(INDEX(PP_Grid[#Data],$DE1018,17),0)</f>
        <v/>
      </c>
      <c r="U1018">
        <f>IFERROR(INDEX(PP_Grid[#Data],$DE1018,18),0)</f>
        <v/>
      </c>
      <c r="V1018">
        <f>IFERROR(INDEX(PP_Grid[#Data],$DE1018,19),0)</f>
        <v/>
      </c>
      <c r="W1018">
        <f>IFERROR(INDEX(PP_Grid[#Data],$DE1018,20),0)</f>
        <v/>
      </c>
      <c r="X1018">
        <f>IFERROR(INDEX(PP_Grid[#Data],$DE1018,21),0)</f>
        <v/>
      </c>
      <c r="Y1018">
        <f>IFERROR(INDEX(PP_Grid[#Data],$DE1018,22),0)</f>
        <v/>
      </c>
      <c r="Z1018">
        <f>IFERROR(INDEX(PP_Grid[#Data],$DE1018,23),0)</f>
        <v/>
      </c>
      <c r="AA1018">
        <f>IFERROR(INDEX(PP_Grid[#Data],$DE1018,24),0)</f>
        <v/>
      </c>
      <c r="AB1018">
        <f>IFERROR(INDEX(PP_Grid[#Data],$DE1018,25),0)</f>
        <v/>
      </c>
      <c r="AC1018">
        <f>IFERROR(INDEX(PP_Grid[#Data],$DE1018,26),0)</f>
        <v/>
      </c>
      <c r="AD1018">
        <f>IFERROR(INDEX(PP_Grid[#Data],$DE1018,27),0)</f>
        <v/>
      </c>
      <c r="AE1018">
        <f>IFERROR(INDEX(PP_Grid[#Data],$DE1018,28),0)</f>
        <v/>
      </c>
      <c r="AF1018">
        <f>IFERROR(INDEX(PP_Grid[#Data],$DE1018,29),0)</f>
        <v/>
      </c>
      <c r="AG1018">
        <f>IFERROR(INDEX(PP_Grid[#Data],$DE1018,30),0)</f>
        <v/>
      </c>
      <c r="AH1018">
        <f>IFERROR(INDEX(PP_Grid[#Data],$DE1018,31),0)</f>
        <v/>
      </c>
      <c r="AI1018">
        <f>IFERROR(INDEX(PP_Grid[#Data],$DE1018,32),0)</f>
        <v/>
      </c>
      <c r="AJ1018">
        <f>IFERROR(INDEX(PP_Grid[#Data],$DE1018,33),0)</f>
        <v/>
      </c>
      <c r="AK1018">
        <f>IFERROR(INDEX(PP_Grid[#Data],$DE1018,34),0)</f>
        <v/>
      </c>
      <c r="AL1018">
        <f>IFERROR(INDEX(PP_Grid[#Data],$DE1018,35),0)</f>
        <v/>
      </c>
      <c r="AM1018">
        <f>IFERROR(INDEX(PP_Grid[#Data],$DE1018,36),0)</f>
        <v/>
      </c>
      <c r="AN1018">
        <f>IFERROR(INDEX(PP_Grid[#Data],$DE1018,37),0)</f>
        <v/>
      </c>
      <c r="AO1018">
        <f>IFERROR(INDEX(PP_Grid[#Data],$DE1018,38),0)</f>
        <v/>
      </c>
      <c r="AP1018">
        <f>IFERROR(INDEX(PP_Grid[#Data],$DE1018,39),0)</f>
        <v/>
      </c>
      <c r="AQ1018">
        <f>IFERROR(INDEX(PP_Grid[#Data],$DE1018,40),0)</f>
        <v/>
      </c>
      <c r="AR1018">
        <f>IFERROR(INDEX(PP_Grid[#Data],$DE1018,41),0)</f>
        <v/>
      </c>
      <c r="AS1018">
        <f>IFERROR(INDEX(PP_Grid[#Data],$DE1018,42),0)</f>
        <v/>
      </c>
      <c r="AT1018">
        <f>IFERROR(INDEX(PP_Grid[#Data],$DE1018,43),0)</f>
        <v/>
      </c>
      <c r="AU1018">
        <f>IFERROR(INDEX(PP_Grid[#Data],$DE1018,44),0)</f>
        <v/>
      </c>
      <c r="AV1018">
        <f>IFERROR(INDEX(PP_Grid[#Data],$DE1018,45),0)</f>
        <v/>
      </c>
      <c r="AW1018">
        <f>IFERROR(INDEX(PP_Grid[#Data],$DE1018,46),0)</f>
        <v/>
      </c>
      <c r="AX1018">
        <f>IFERROR(INDEX(PP_Grid[#Data],$DE1018,47),0)</f>
        <v/>
      </c>
      <c r="AY1018">
        <f>IFERROR(INDEX(PP_Grid[#Data],$DE1018,48),0)</f>
        <v/>
      </c>
      <c r="AZ1018">
        <f>IFERROR(INDEX(PP_Grid[#Data],$DE1018,49),0)</f>
        <v/>
      </c>
      <c r="BA1018">
        <f>IFERROR(INDEX(PP_Grid[#Data],$DE1018,50),0)</f>
        <v/>
      </c>
      <c r="BB1018">
        <f>IFERROR(INDEX(PP_Grid[#Data],$DE1018,51),0)</f>
        <v/>
      </c>
      <c r="BC1018">
        <f>IFERROR(INDEX(PP_Grid[#Data],$DE1018,52),0)</f>
        <v/>
      </c>
      <c r="BD1018">
        <f>IFERROR(INDEX(PP_Grid[#Data],$DE1018,53),0)</f>
        <v/>
      </c>
      <c r="BE1018">
        <f>IFERROR(INDEX(PP_Grid[#Data],$DE1018,54),0)</f>
        <v/>
      </c>
      <c r="BF1018">
        <f>IFERROR(INDEX(PP_Grid[#Data],$DE1018,55),0)</f>
        <v/>
      </c>
      <c r="BG1018">
        <f>IFERROR(INDEX(PP_Grid[#Data],$DE1018,56),0)</f>
        <v/>
      </c>
      <c r="BH1018">
        <f>IFERROR(INDEX(PP_Grid[#Data],$DE1018,57),0)</f>
        <v/>
      </c>
      <c r="BI1018">
        <f>IFERROR(INDEX(PP_Grid[#Data],$DE1018,58),0)</f>
        <v/>
      </c>
      <c r="BJ1018">
        <f>IFERROR(INDEX(PP_Grid[#Data],$DE1018,59),0)</f>
        <v/>
      </c>
      <c r="BK1018">
        <f>IFERROR(INDEX(PP_Grid[#Data],$DE1018,60),0)</f>
        <v/>
      </c>
      <c r="BL1018">
        <f>IFERROR(INDEX(PP_Grid[#Data],$DE1018,61),0)</f>
        <v/>
      </c>
      <c r="BM1018">
        <f>IFERROR(INDEX(PP_Grid[#Data],$DE1018,62),0)</f>
        <v/>
      </c>
      <c r="BN1018">
        <f>IFERROR(INDEX(PP_Grid[#Data],$DE1018,63),0)</f>
        <v/>
      </c>
      <c r="BO1018">
        <f>IFERROR(INDEX(PP_Grid[#Data],$DE1018,64),0)</f>
        <v/>
      </c>
      <c r="BP1018">
        <f>IFERROR(INDEX(PP_Grid[#Data],$DE1018,65),0)</f>
        <v/>
      </c>
      <c r="BQ1018">
        <f>IFERROR(INDEX(PP_Grid[#Data],$DE1018,66),0)</f>
        <v/>
      </c>
      <c r="BR1018">
        <f>IFERROR(INDEX(PP_Grid[#Data],$DE1018,67),0)</f>
        <v/>
      </c>
      <c r="BS1018">
        <f>IFERROR(INDEX(PP_Grid[#Data],$DE1018,68),0)</f>
        <v/>
      </c>
      <c r="BT1018">
        <f>IFERROR(INDEX(PP_Grid[#Data],$DE1018,69),0)</f>
        <v/>
      </c>
      <c r="BU1018">
        <f>IFERROR(INDEX(PP_Grid[#Data],$DE1018,70),0)</f>
        <v/>
      </c>
      <c r="BV1018">
        <f>IFERROR(INDEX(PP_Grid[#Data],$DE1018,71),0)</f>
        <v/>
      </c>
      <c r="BW1018">
        <f>IFERROR(INDEX(PP_Grid[#Data],$DE1018,72),0)</f>
        <v/>
      </c>
      <c r="BX1018">
        <f>IFERROR(INDEX(PP_Grid[#Data],$DE1018,73),0)</f>
        <v/>
      </c>
      <c r="BY1018">
        <f>IFERROR(INDEX(PP_Grid[#Data],$DE1018,74),0)</f>
        <v/>
      </c>
      <c r="BZ1018">
        <f>IFERROR(INDEX(PP_Grid[#Data],$DE1018,75),0)</f>
        <v/>
      </c>
      <c r="CA1018">
        <f>IFERROR(INDEX(PP_Grid[#Data],$DE1018,76),0)</f>
        <v/>
      </c>
      <c r="CB1018">
        <f>IFERROR(INDEX(PP_Grid[#Data],$DE1018,77),0)</f>
        <v/>
      </c>
      <c r="CC1018">
        <f>IFERROR(INDEX(PP_Grid[#Data],$DE1018,78),0)</f>
        <v/>
      </c>
      <c r="CD1018">
        <f>IFERROR(INDEX(PP_Grid[#Data],$DE1018,79),0)</f>
        <v/>
      </c>
      <c r="CE1018">
        <f>IFERROR(INDEX(PP_Grid[#Data],$DE1018,80),0)</f>
        <v/>
      </c>
      <c r="CF1018">
        <f>IFERROR(INDEX(PP_Grid[#Data],$DE1018,81),0)</f>
        <v/>
      </c>
      <c r="CG1018">
        <f>IFERROR(INDEX(PP_Grid[#Data],$DE1018,82),0)</f>
        <v/>
      </c>
      <c r="CH1018">
        <f>IFERROR(INDEX(PP_Grid[#Data],$DE1018,83),0)</f>
        <v/>
      </c>
      <c r="CI1018">
        <f>IFERROR(INDEX(PP_Grid[#Data],$DE1018,84),0)</f>
        <v/>
      </c>
      <c r="CJ1018">
        <f>IFERROR(INDEX(PP_Grid[#Data],$DE1018,85),0)</f>
        <v/>
      </c>
      <c r="CK1018">
        <f>IFERROR(INDEX(PP_Grid[#Data],$DE1018,86),0)</f>
        <v/>
      </c>
      <c r="CL1018">
        <f>IFERROR(INDEX(PP_Grid[#Data],$DE1018,87),0)</f>
        <v/>
      </c>
      <c r="CM1018">
        <f>IFERROR(INDEX(PP_Grid[#Data],$DE1018,88),0)</f>
        <v/>
      </c>
      <c r="CN1018">
        <f>IFERROR(INDEX(PP_Grid[#Data],$DE1018,89),0)</f>
        <v/>
      </c>
      <c r="CO1018">
        <f>IFERROR(INDEX(PP_Grid[#Data],$DE1018,90),0)</f>
        <v/>
      </c>
      <c r="CP1018">
        <f>IFERROR(INDEX(PP_Grid[#Data],$DE1018,91),0)</f>
        <v/>
      </c>
      <c r="CQ1018">
        <f>IFERROR(INDEX(PP_Grid[#Data],$DE1018,92),0)</f>
        <v/>
      </c>
      <c r="CR1018">
        <f>IFERROR(INDEX(PP_Grid[#Data],$DE1018,93),0)</f>
        <v/>
      </c>
      <c r="CS1018">
        <f>IFERROR(INDEX(PP_Grid[#Data],$DE1018,94),0)</f>
        <v/>
      </c>
      <c r="CT1018">
        <f>IFERROR(INDEX(PP_Grid[#Data],$DE1018,95),0)</f>
        <v/>
      </c>
      <c r="CU1018">
        <f>IFERROR(INDEX(PP_Grid[#Data],$DE1018,96),0)</f>
        <v/>
      </c>
      <c r="CV1018">
        <f>IFERROR(INDEX(PP_Grid[#Data],$DE1018,97),0)</f>
        <v/>
      </c>
      <c r="CW1018">
        <f>IFERROR(INDEX(PP_Grid[#Data],$DE1018,98),0)</f>
        <v/>
      </c>
      <c r="CX1018">
        <f>IFERROR(INDEX(PP_Grid[#Data],$DE1018,99),0)</f>
        <v/>
      </c>
      <c r="CY1018">
        <f>IFERROR(INDEX(PP_Grid[#Data],$DE1018,100),0)</f>
        <v/>
      </c>
      <c r="CZ1018">
        <f>IFERROR(INDEX(PP_Grid[#Data],$DE1018,101),0)</f>
        <v/>
      </c>
      <c r="DA1018">
        <f>IFERROR(INDEX(PP_Grid[#Data],$DE1018,102),0)</f>
        <v/>
      </c>
      <c r="DB1018">
        <f>IFERROR(INDEX(PP_Grid[#Data],$DE1018,103),0)</f>
        <v/>
      </c>
      <c r="DC1018">
        <f>IFERROR(INDEX(PP_Grid[#Data],$DE1018,104),0)</f>
        <v/>
      </c>
      <c r="DD1018">
        <f>IFERROR(INDEX(PP_Grid[#Data],$DE1018,105),0)</f>
        <v/>
      </c>
      <c r="DE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SUMIFS(M_BOM[RM_Qty_Per_Batch],M_BOM[Intermediate],$B1018,M_BOM[RM_Code],$A971)</f>
        <v/>
      </c>
      <c r="D1019">
        <f>IFERROR(INDEX(E1019:DD1019,$F$1),"")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  <c r="DD1019">
        <f>$C1019*DD1018</f>
        <v/>
      </c>
    </row>
    <row r="1020">
      <c r="B1020" t="inlineStr">
        <is>
          <t>TPP-970</t>
        </is>
      </c>
      <c r="C1020" t="inlineStr">
        <is>
          <t>No. of batches</t>
        </is>
      </c>
      <c r="D1020">
        <f>IFERROR(INDEX(E1020:DD1020,$F$1),"")</f>
        <v/>
      </c>
      <c r="E1020">
        <f>IFERROR(INDEX(PP_Grid[#Data],$DE1020,2),0)</f>
        <v/>
      </c>
      <c r="F1020">
        <f>IFERROR(INDEX(PP_Grid[#Data],$DE1020,3),0)</f>
        <v/>
      </c>
      <c r="G1020">
        <f>IFERROR(INDEX(PP_Grid[#Data],$DE1020,4),0)</f>
        <v/>
      </c>
      <c r="H1020">
        <f>IFERROR(INDEX(PP_Grid[#Data],$DE1020,5),0)</f>
        <v/>
      </c>
      <c r="I1020">
        <f>IFERROR(INDEX(PP_Grid[#Data],$DE1020,6),0)</f>
        <v/>
      </c>
      <c r="J1020">
        <f>IFERROR(INDEX(PP_Grid[#Data],$DE1020,7),0)</f>
        <v/>
      </c>
      <c r="K1020">
        <f>IFERROR(INDEX(PP_Grid[#Data],$DE1020,8),0)</f>
        <v/>
      </c>
      <c r="L1020">
        <f>IFERROR(INDEX(PP_Grid[#Data],$DE1020,9),0)</f>
        <v/>
      </c>
      <c r="M1020">
        <f>IFERROR(INDEX(PP_Grid[#Data],$DE1020,10),0)</f>
        <v/>
      </c>
      <c r="N1020">
        <f>IFERROR(INDEX(PP_Grid[#Data],$DE1020,11),0)</f>
        <v/>
      </c>
      <c r="O1020">
        <f>IFERROR(INDEX(PP_Grid[#Data],$DE1020,12),0)</f>
        <v/>
      </c>
      <c r="P1020">
        <f>IFERROR(INDEX(PP_Grid[#Data],$DE1020,13),0)</f>
        <v/>
      </c>
      <c r="Q1020">
        <f>IFERROR(INDEX(PP_Grid[#Data],$DE1020,14),0)</f>
        <v/>
      </c>
      <c r="R1020">
        <f>IFERROR(INDEX(PP_Grid[#Data],$DE1020,15),0)</f>
        <v/>
      </c>
      <c r="S1020">
        <f>IFERROR(INDEX(PP_Grid[#Data],$DE1020,16),0)</f>
        <v/>
      </c>
      <c r="T1020">
        <f>IFERROR(INDEX(PP_Grid[#Data],$DE1020,17),0)</f>
        <v/>
      </c>
      <c r="U1020">
        <f>IFERROR(INDEX(PP_Grid[#Data],$DE1020,18),0)</f>
        <v/>
      </c>
      <c r="V1020">
        <f>IFERROR(INDEX(PP_Grid[#Data],$DE1020,19),0)</f>
        <v/>
      </c>
      <c r="W1020">
        <f>IFERROR(INDEX(PP_Grid[#Data],$DE1020,20),0)</f>
        <v/>
      </c>
      <c r="X1020">
        <f>IFERROR(INDEX(PP_Grid[#Data],$DE1020,21),0)</f>
        <v/>
      </c>
      <c r="Y1020">
        <f>IFERROR(INDEX(PP_Grid[#Data],$DE1020,22),0)</f>
        <v/>
      </c>
      <c r="Z1020">
        <f>IFERROR(INDEX(PP_Grid[#Data],$DE1020,23),0)</f>
        <v/>
      </c>
      <c r="AA1020">
        <f>IFERROR(INDEX(PP_Grid[#Data],$DE1020,24),0)</f>
        <v/>
      </c>
      <c r="AB1020">
        <f>IFERROR(INDEX(PP_Grid[#Data],$DE1020,25),0)</f>
        <v/>
      </c>
      <c r="AC1020">
        <f>IFERROR(INDEX(PP_Grid[#Data],$DE1020,26),0)</f>
        <v/>
      </c>
      <c r="AD1020">
        <f>IFERROR(INDEX(PP_Grid[#Data],$DE1020,27),0)</f>
        <v/>
      </c>
      <c r="AE1020">
        <f>IFERROR(INDEX(PP_Grid[#Data],$DE1020,28),0)</f>
        <v/>
      </c>
      <c r="AF1020">
        <f>IFERROR(INDEX(PP_Grid[#Data],$DE1020,29),0)</f>
        <v/>
      </c>
      <c r="AG1020">
        <f>IFERROR(INDEX(PP_Grid[#Data],$DE1020,30),0)</f>
        <v/>
      </c>
      <c r="AH1020">
        <f>IFERROR(INDEX(PP_Grid[#Data],$DE1020,31),0)</f>
        <v/>
      </c>
      <c r="AI1020">
        <f>IFERROR(INDEX(PP_Grid[#Data],$DE1020,32),0)</f>
        <v/>
      </c>
      <c r="AJ1020">
        <f>IFERROR(INDEX(PP_Grid[#Data],$DE1020,33),0)</f>
        <v/>
      </c>
      <c r="AK1020">
        <f>IFERROR(INDEX(PP_Grid[#Data],$DE1020,34),0)</f>
        <v/>
      </c>
      <c r="AL1020">
        <f>IFERROR(INDEX(PP_Grid[#Data],$DE1020,35),0)</f>
        <v/>
      </c>
      <c r="AM1020">
        <f>IFERROR(INDEX(PP_Grid[#Data],$DE1020,36),0)</f>
        <v/>
      </c>
      <c r="AN1020">
        <f>IFERROR(INDEX(PP_Grid[#Data],$DE1020,37),0)</f>
        <v/>
      </c>
      <c r="AO1020">
        <f>IFERROR(INDEX(PP_Grid[#Data],$DE1020,38),0)</f>
        <v/>
      </c>
      <c r="AP1020">
        <f>IFERROR(INDEX(PP_Grid[#Data],$DE1020,39),0)</f>
        <v/>
      </c>
      <c r="AQ1020">
        <f>IFERROR(INDEX(PP_Grid[#Data],$DE1020,40),0)</f>
        <v/>
      </c>
      <c r="AR1020">
        <f>IFERROR(INDEX(PP_Grid[#Data],$DE1020,41),0)</f>
        <v/>
      </c>
      <c r="AS1020">
        <f>IFERROR(INDEX(PP_Grid[#Data],$DE1020,42),0)</f>
        <v/>
      </c>
      <c r="AT1020">
        <f>IFERROR(INDEX(PP_Grid[#Data],$DE1020,43),0)</f>
        <v/>
      </c>
      <c r="AU1020">
        <f>IFERROR(INDEX(PP_Grid[#Data],$DE1020,44),0)</f>
        <v/>
      </c>
      <c r="AV1020">
        <f>IFERROR(INDEX(PP_Grid[#Data],$DE1020,45),0)</f>
        <v/>
      </c>
      <c r="AW1020">
        <f>IFERROR(INDEX(PP_Grid[#Data],$DE1020,46),0)</f>
        <v/>
      </c>
      <c r="AX1020">
        <f>IFERROR(INDEX(PP_Grid[#Data],$DE1020,47),0)</f>
        <v/>
      </c>
      <c r="AY1020">
        <f>IFERROR(INDEX(PP_Grid[#Data],$DE1020,48),0)</f>
        <v/>
      </c>
      <c r="AZ1020">
        <f>IFERROR(INDEX(PP_Grid[#Data],$DE1020,49),0)</f>
        <v/>
      </c>
      <c r="BA1020">
        <f>IFERROR(INDEX(PP_Grid[#Data],$DE1020,50),0)</f>
        <v/>
      </c>
      <c r="BB1020">
        <f>IFERROR(INDEX(PP_Grid[#Data],$DE1020,51),0)</f>
        <v/>
      </c>
      <c r="BC1020">
        <f>IFERROR(INDEX(PP_Grid[#Data],$DE1020,52),0)</f>
        <v/>
      </c>
      <c r="BD1020">
        <f>IFERROR(INDEX(PP_Grid[#Data],$DE1020,53),0)</f>
        <v/>
      </c>
      <c r="BE1020">
        <f>IFERROR(INDEX(PP_Grid[#Data],$DE1020,54),0)</f>
        <v/>
      </c>
      <c r="BF1020">
        <f>IFERROR(INDEX(PP_Grid[#Data],$DE1020,55),0)</f>
        <v/>
      </c>
      <c r="BG1020">
        <f>IFERROR(INDEX(PP_Grid[#Data],$DE1020,56),0)</f>
        <v/>
      </c>
      <c r="BH1020">
        <f>IFERROR(INDEX(PP_Grid[#Data],$DE1020,57),0)</f>
        <v/>
      </c>
      <c r="BI1020">
        <f>IFERROR(INDEX(PP_Grid[#Data],$DE1020,58),0)</f>
        <v/>
      </c>
      <c r="BJ1020">
        <f>IFERROR(INDEX(PP_Grid[#Data],$DE1020,59),0)</f>
        <v/>
      </c>
      <c r="BK1020">
        <f>IFERROR(INDEX(PP_Grid[#Data],$DE1020,60),0)</f>
        <v/>
      </c>
      <c r="BL1020">
        <f>IFERROR(INDEX(PP_Grid[#Data],$DE1020,61),0)</f>
        <v/>
      </c>
      <c r="BM1020">
        <f>IFERROR(INDEX(PP_Grid[#Data],$DE1020,62),0)</f>
        <v/>
      </c>
      <c r="BN1020">
        <f>IFERROR(INDEX(PP_Grid[#Data],$DE1020,63),0)</f>
        <v/>
      </c>
      <c r="BO1020">
        <f>IFERROR(INDEX(PP_Grid[#Data],$DE1020,64),0)</f>
        <v/>
      </c>
      <c r="BP1020">
        <f>IFERROR(INDEX(PP_Grid[#Data],$DE1020,65),0)</f>
        <v/>
      </c>
      <c r="BQ1020">
        <f>IFERROR(INDEX(PP_Grid[#Data],$DE1020,66),0)</f>
        <v/>
      </c>
      <c r="BR1020">
        <f>IFERROR(INDEX(PP_Grid[#Data],$DE1020,67),0)</f>
        <v/>
      </c>
      <c r="BS1020">
        <f>IFERROR(INDEX(PP_Grid[#Data],$DE1020,68),0)</f>
        <v/>
      </c>
      <c r="BT1020">
        <f>IFERROR(INDEX(PP_Grid[#Data],$DE1020,69),0)</f>
        <v/>
      </c>
      <c r="BU1020">
        <f>IFERROR(INDEX(PP_Grid[#Data],$DE1020,70),0)</f>
        <v/>
      </c>
      <c r="BV1020">
        <f>IFERROR(INDEX(PP_Grid[#Data],$DE1020,71),0)</f>
        <v/>
      </c>
      <c r="BW1020">
        <f>IFERROR(INDEX(PP_Grid[#Data],$DE1020,72),0)</f>
        <v/>
      </c>
      <c r="BX1020">
        <f>IFERROR(INDEX(PP_Grid[#Data],$DE1020,73),0)</f>
        <v/>
      </c>
      <c r="BY1020">
        <f>IFERROR(INDEX(PP_Grid[#Data],$DE1020,74),0)</f>
        <v/>
      </c>
      <c r="BZ1020">
        <f>IFERROR(INDEX(PP_Grid[#Data],$DE1020,75),0)</f>
        <v/>
      </c>
      <c r="CA1020">
        <f>IFERROR(INDEX(PP_Grid[#Data],$DE1020,76),0)</f>
        <v/>
      </c>
      <c r="CB1020">
        <f>IFERROR(INDEX(PP_Grid[#Data],$DE1020,77),0)</f>
        <v/>
      </c>
      <c r="CC1020">
        <f>IFERROR(INDEX(PP_Grid[#Data],$DE1020,78),0)</f>
        <v/>
      </c>
      <c r="CD1020">
        <f>IFERROR(INDEX(PP_Grid[#Data],$DE1020,79),0)</f>
        <v/>
      </c>
      <c r="CE1020">
        <f>IFERROR(INDEX(PP_Grid[#Data],$DE1020,80),0)</f>
        <v/>
      </c>
      <c r="CF1020">
        <f>IFERROR(INDEX(PP_Grid[#Data],$DE1020,81),0)</f>
        <v/>
      </c>
      <c r="CG1020">
        <f>IFERROR(INDEX(PP_Grid[#Data],$DE1020,82),0)</f>
        <v/>
      </c>
      <c r="CH1020">
        <f>IFERROR(INDEX(PP_Grid[#Data],$DE1020,83),0)</f>
        <v/>
      </c>
      <c r="CI1020">
        <f>IFERROR(INDEX(PP_Grid[#Data],$DE1020,84),0)</f>
        <v/>
      </c>
      <c r="CJ1020">
        <f>IFERROR(INDEX(PP_Grid[#Data],$DE1020,85),0)</f>
        <v/>
      </c>
      <c r="CK1020">
        <f>IFERROR(INDEX(PP_Grid[#Data],$DE1020,86),0)</f>
        <v/>
      </c>
      <c r="CL1020">
        <f>IFERROR(INDEX(PP_Grid[#Data],$DE1020,87),0)</f>
        <v/>
      </c>
      <c r="CM1020">
        <f>IFERROR(INDEX(PP_Grid[#Data],$DE1020,88),0)</f>
        <v/>
      </c>
      <c r="CN1020">
        <f>IFERROR(INDEX(PP_Grid[#Data],$DE1020,89),0)</f>
        <v/>
      </c>
      <c r="CO1020">
        <f>IFERROR(INDEX(PP_Grid[#Data],$DE1020,90),0)</f>
        <v/>
      </c>
      <c r="CP1020">
        <f>IFERROR(INDEX(PP_Grid[#Data],$DE1020,91),0)</f>
        <v/>
      </c>
      <c r="CQ1020">
        <f>IFERROR(INDEX(PP_Grid[#Data],$DE1020,92),0)</f>
        <v/>
      </c>
      <c r="CR1020">
        <f>IFERROR(INDEX(PP_Grid[#Data],$DE1020,93),0)</f>
        <v/>
      </c>
      <c r="CS1020">
        <f>IFERROR(INDEX(PP_Grid[#Data],$DE1020,94),0)</f>
        <v/>
      </c>
      <c r="CT1020">
        <f>IFERROR(INDEX(PP_Grid[#Data],$DE1020,95),0)</f>
        <v/>
      </c>
      <c r="CU1020">
        <f>IFERROR(INDEX(PP_Grid[#Data],$DE1020,96),0)</f>
        <v/>
      </c>
      <c r="CV1020">
        <f>IFERROR(INDEX(PP_Grid[#Data],$DE1020,97),0)</f>
        <v/>
      </c>
      <c r="CW1020">
        <f>IFERROR(INDEX(PP_Grid[#Data],$DE1020,98),0)</f>
        <v/>
      </c>
      <c r="CX1020">
        <f>IFERROR(INDEX(PP_Grid[#Data],$DE1020,99),0)</f>
        <v/>
      </c>
      <c r="CY1020">
        <f>IFERROR(INDEX(PP_Grid[#Data],$DE1020,100),0)</f>
        <v/>
      </c>
      <c r="CZ1020">
        <f>IFERROR(INDEX(PP_Grid[#Data],$DE1020,101),0)</f>
        <v/>
      </c>
      <c r="DA1020">
        <f>IFERROR(INDEX(PP_Grid[#Data],$DE1020,102),0)</f>
        <v/>
      </c>
      <c r="DB1020">
        <f>IFERROR(INDEX(PP_Grid[#Data],$DE1020,103),0)</f>
        <v/>
      </c>
      <c r="DC1020">
        <f>IFERROR(INDEX(PP_Grid[#Data],$DE1020,104),0)</f>
        <v/>
      </c>
      <c r="DD1020">
        <f>IFERROR(INDEX(PP_Grid[#Data],$DE1020,105),0)</f>
        <v/>
      </c>
      <c r="DE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SUMIFS(M_BOM[RM_Qty_Per_Batch],M_BOM[Intermediate],$B1020,M_BOM[RM_Code],$A971)</f>
        <v/>
      </c>
      <c r="D1021">
        <f>IFERROR(INDEX(E1021:DD1021,$F$1),"")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  <c r="DD1021">
        <f>$C1021*DD1020</f>
        <v/>
      </c>
    </row>
    <row r="1022">
      <c r="B1022" t="inlineStr">
        <is>
          <t>TPP-912</t>
        </is>
      </c>
      <c r="C1022" t="inlineStr">
        <is>
          <t>No. of batches</t>
        </is>
      </c>
      <c r="D1022">
        <f>IFERROR(INDEX(E1022:DD1022,$F$1),"")</f>
        <v/>
      </c>
      <c r="E1022">
        <f>IFERROR(INDEX(PP_Grid[#Data],$DE1022,2),0)</f>
        <v/>
      </c>
      <c r="F1022">
        <f>IFERROR(INDEX(PP_Grid[#Data],$DE1022,3),0)</f>
        <v/>
      </c>
      <c r="G1022">
        <f>IFERROR(INDEX(PP_Grid[#Data],$DE1022,4),0)</f>
        <v/>
      </c>
      <c r="H1022">
        <f>IFERROR(INDEX(PP_Grid[#Data],$DE1022,5),0)</f>
        <v/>
      </c>
      <c r="I1022">
        <f>IFERROR(INDEX(PP_Grid[#Data],$DE1022,6),0)</f>
        <v/>
      </c>
      <c r="J1022">
        <f>IFERROR(INDEX(PP_Grid[#Data],$DE1022,7),0)</f>
        <v/>
      </c>
      <c r="K1022">
        <f>IFERROR(INDEX(PP_Grid[#Data],$DE1022,8),0)</f>
        <v/>
      </c>
      <c r="L1022">
        <f>IFERROR(INDEX(PP_Grid[#Data],$DE1022,9),0)</f>
        <v/>
      </c>
      <c r="M1022">
        <f>IFERROR(INDEX(PP_Grid[#Data],$DE1022,10),0)</f>
        <v/>
      </c>
      <c r="N1022">
        <f>IFERROR(INDEX(PP_Grid[#Data],$DE1022,11),0)</f>
        <v/>
      </c>
      <c r="O1022">
        <f>IFERROR(INDEX(PP_Grid[#Data],$DE1022,12),0)</f>
        <v/>
      </c>
      <c r="P1022">
        <f>IFERROR(INDEX(PP_Grid[#Data],$DE1022,13),0)</f>
        <v/>
      </c>
      <c r="Q1022">
        <f>IFERROR(INDEX(PP_Grid[#Data],$DE1022,14),0)</f>
        <v/>
      </c>
      <c r="R1022">
        <f>IFERROR(INDEX(PP_Grid[#Data],$DE1022,15),0)</f>
        <v/>
      </c>
      <c r="S1022">
        <f>IFERROR(INDEX(PP_Grid[#Data],$DE1022,16),0)</f>
        <v/>
      </c>
      <c r="T1022">
        <f>IFERROR(INDEX(PP_Grid[#Data],$DE1022,17),0)</f>
        <v/>
      </c>
      <c r="U1022">
        <f>IFERROR(INDEX(PP_Grid[#Data],$DE1022,18),0)</f>
        <v/>
      </c>
      <c r="V1022">
        <f>IFERROR(INDEX(PP_Grid[#Data],$DE1022,19),0)</f>
        <v/>
      </c>
      <c r="W1022">
        <f>IFERROR(INDEX(PP_Grid[#Data],$DE1022,20),0)</f>
        <v/>
      </c>
      <c r="X1022">
        <f>IFERROR(INDEX(PP_Grid[#Data],$DE1022,21),0)</f>
        <v/>
      </c>
      <c r="Y1022">
        <f>IFERROR(INDEX(PP_Grid[#Data],$DE1022,22),0)</f>
        <v/>
      </c>
      <c r="Z1022">
        <f>IFERROR(INDEX(PP_Grid[#Data],$DE1022,23),0)</f>
        <v/>
      </c>
      <c r="AA1022">
        <f>IFERROR(INDEX(PP_Grid[#Data],$DE1022,24),0)</f>
        <v/>
      </c>
      <c r="AB1022">
        <f>IFERROR(INDEX(PP_Grid[#Data],$DE1022,25),0)</f>
        <v/>
      </c>
      <c r="AC1022">
        <f>IFERROR(INDEX(PP_Grid[#Data],$DE1022,26),0)</f>
        <v/>
      </c>
      <c r="AD1022">
        <f>IFERROR(INDEX(PP_Grid[#Data],$DE1022,27),0)</f>
        <v/>
      </c>
      <c r="AE1022">
        <f>IFERROR(INDEX(PP_Grid[#Data],$DE1022,28),0)</f>
        <v/>
      </c>
      <c r="AF1022">
        <f>IFERROR(INDEX(PP_Grid[#Data],$DE1022,29),0)</f>
        <v/>
      </c>
      <c r="AG1022">
        <f>IFERROR(INDEX(PP_Grid[#Data],$DE1022,30),0)</f>
        <v/>
      </c>
      <c r="AH1022">
        <f>IFERROR(INDEX(PP_Grid[#Data],$DE1022,31),0)</f>
        <v/>
      </c>
      <c r="AI1022">
        <f>IFERROR(INDEX(PP_Grid[#Data],$DE1022,32),0)</f>
        <v/>
      </c>
      <c r="AJ1022">
        <f>IFERROR(INDEX(PP_Grid[#Data],$DE1022,33),0)</f>
        <v/>
      </c>
      <c r="AK1022">
        <f>IFERROR(INDEX(PP_Grid[#Data],$DE1022,34),0)</f>
        <v/>
      </c>
      <c r="AL1022">
        <f>IFERROR(INDEX(PP_Grid[#Data],$DE1022,35),0)</f>
        <v/>
      </c>
      <c r="AM1022">
        <f>IFERROR(INDEX(PP_Grid[#Data],$DE1022,36),0)</f>
        <v/>
      </c>
      <c r="AN1022">
        <f>IFERROR(INDEX(PP_Grid[#Data],$DE1022,37),0)</f>
        <v/>
      </c>
      <c r="AO1022">
        <f>IFERROR(INDEX(PP_Grid[#Data],$DE1022,38),0)</f>
        <v/>
      </c>
      <c r="AP1022">
        <f>IFERROR(INDEX(PP_Grid[#Data],$DE1022,39),0)</f>
        <v/>
      </c>
      <c r="AQ1022">
        <f>IFERROR(INDEX(PP_Grid[#Data],$DE1022,40),0)</f>
        <v/>
      </c>
      <c r="AR1022">
        <f>IFERROR(INDEX(PP_Grid[#Data],$DE1022,41),0)</f>
        <v/>
      </c>
      <c r="AS1022">
        <f>IFERROR(INDEX(PP_Grid[#Data],$DE1022,42),0)</f>
        <v/>
      </c>
      <c r="AT1022">
        <f>IFERROR(INDEX(PP_Grid[#Data],$DE1022,43),0)</f>
        <v/>
      </c>
      <c r="AU1022">
        <f>IFERROR(INDEX(PP_Grid[#Data],$DE1022,44),0)</f>
        <v/>
      </c>
      <c r="AV1022">
        <f>IFERROR(INDEX(PP_Grid[#Data],$DE1022,45),0)</f>
        <v/>
      </c>
      <c r="AW1022">
        <f>IFERROR(INDEX(PP_Grid[#Data],$DE1022,46),0)</f>
        <v/>
      </c>
      <c r="AX1022">
        <f>IFERROR(INDEX(PP_Grid[#Data],$DE1022,47),0)</f>
        <v/>
      </c>
      <c r="AY1022">
        <f>IFERROR(INDEX(PP_Grid[#Data],$DE1022,48),0)</f>
        <v/>
      </c>
      <c r="AZ1022">
        <f>IFERROR(INDEX(PP_Grid[#Data],$DE1022,49),0)</f>
        <v/>
      </c>
      <c r="BA1022">
        <f>IFERROR(INDEX(PP_Grid[#Data],$DE1022,50),0)</f>
        <v/>
      </c>
      <c r="BB1022">
        <f>IFERROR(INDEX(PP_Grid[#Data],$DE1022,51),0)</f>
        <v/>
      </c>
      <c r="BC1022">
        <f>IFERROR(INDEX(PP_Grid[#Data],$DE1022,52),0)</f>
        <v/>
      </c>
      <c r="BD1022">
        <f>IFERROR(INDEX(PP_Grid[#Data],$DE1022,53),0)</f>
        <v/>
      </c>
      <c r="BE1022">
        <f>IFERROR(INDEX(PP_Grid[#Data],$DE1022,54),0)</f>
        <v/>
      </c>
      <c r="BF1022">
        <f>IFERROR(INDEX(PP_Grid[#Data],$DE1022,55),0)</f>
        <v/>
      </c>
      <c r="BG1022">
        <f>IFERROR(INDEX(PP_Grid[#Data],$DE1022,56),0)</f>
        <v/>
      </c>
      <c r="BH1022">
        <f>IFERROR(INDEX(PP_Grid[#Data],$DE1022,57),0)</f>
        <v/>
      </c>
      <c r="BI1022">
        <f>IFERROR(INDEX(PP_Grid[#Data],$DE1022,58),0)</f>
        <v/>
      </c>
      <c r="BJ1022">
        <f>IFERROR(INDEX(PP_Grid[#Data],$DE1022,59),0)</f>
        <v/>
      </c>
      <c r="BK1022">
        <f>IFERROR(INDEX(PP_Grid[#Data],$DE1022,60),0)</f>
        <v/>
      </c>
      <c r="BL1022">
        <f>IFERROR(INDEX(PP_Grid[#Data],$DE1022,61),0)</f>
        <v/>
      </c>
      <c r="BM1022">
        <f>IFERROR(INDEX(PP_Grid[#Data],$DE1022,62),0)</f>
        <v/>
      </c>
      <c r="BN1022">
        <f>IFERROR(INDEX(PP_Grid[#Data],$DE1022,63),0)</f>
        <v/>
      </c>
      <c r="BO1022">
        <f>IFERROR(INDEX(PP_Grid[#Data],$DE1022,64),0)</f>
        <v/>
      </c>
      <c r="BP1022">
        <f>IFERROR(INDEX(PP_Grid[#Data],$DE1022,65),0)</f>
        <v/>
      </c>
      <c r="BQ1022">
        <f>IFERROR(INDEX(PP_Grid[#Data],$DE1022,66),0)</f>
        <v/>
      </c>
      <c r="BR1022">
        <f>IFERROR(INDEX(PP_Grid[#Data],$DE1022,67),0)</f>
        <v/>
      </c>
      <c r="BS1022">
        <f>IFERROR(INDEX(PP_Grid[#Data],$DE1022,68),0)</f>
        <v/>
      </c>
      <c r="BT1022">
        <f>IFERROR(INDEX(PP_Grid[#Data],$DE1022,69),0)</f>
        <v/>
      </c>
      <c r="BU1022">
        <f>IFERROR(INDEX(PP_Grid[#Data],$DE1022,70),0)</f>
        <v/>
      </c>
      <c r="BV1022">
        <f>IFERROR(INDEX(PP_Grid[#Data],$DE1022,71),0)</f>
        <v/>
      </c>
      <c r="BW1022">
        <f>IFERROR(INDEX(PP_Grid[#Data],$DE1022,72),0)</f>
        <v/>
      </c>
      <c r="BX1022">
        <f>IFERROR(INDEX(PP_Grid[#Data],$DE1022,73),0)</f>
        <v/>
      </c>
      <c r="BY1022">
        <f>IFERROR(INDEX(PP_Grid[#Data],$DE1022,74),0)</f>
        <v/>
      </c>
      <c r="BZ1022">
        <f>IFERROR(INDEX(PP_Grid[#Data],$DE1022,75),0)</f>
        <v/>
      </c>
      <c r="CA1022">
        <f>IFERROR(INDEX(PP_Grid[#Data],$DE1022,76),0)</f>
        <v/>
      </c>
      <c r="CB1022">
        <f>IFERROR(INDEX(PP_Grid[#Data],$DE1022,77),0)</f>
        <v/>
      </c>
      <c r="CC1022">
        <f>IFERROR(INDEX(PP_Grid[#Data],$DE1022,78),0)</f>
        <v/>
      </c>
      <c r="CD1022">
        <f>IFERROR(INDEX(PP_Grid[#Data],$DE1022,79),0)</f>
        <v/>
      </c>
      <c r="CE1022">
        <f>IFERROR(INDEX(PP_Grid[#Data],$DE1022,80),0)</f>
        <v/>
      </c>
      <c r="CF1022">
        <f>IFERROR(INDEX(PP_Grid[#Data],$DE1022,81),0)</f>
        <v/>
      </c>
      <c r="CG1022">
        <f>IFERROR(INDEX(PP_Grid[#Data],$DE1022,82),0)</f>
        <v/>
      </c>
      <c r="CH1022">
        <f>IFERROR(INDEX(PP_Grid[#Data],$DE1022,83),0)</f>
        <v/>
      </c>
      <c r="CI1022">
        <f>IFERROR(INDEX(PP_Grid[#Data],$DE1022,84),0)</f>
        <v/>
      </c>
      <c r="CJ1022">
        <f>IFERROR(INDEX(PP_Grid[#Data],$DE1022,85),0)</f>
        <v/>
      </c>
      <c r="CK1022">
        <f>IFERROR(INDEX(PP_Grid[#Data],$DE1022,86),0)</f>
        <v/>
      </c>
      <c r="CL1022">
        <f>IFERROR(INDEX(PP_Grid[#Data],$DE1022,87),0)</f>
        <v/>
      </c>
      <c r="CM1022">
        <f>IFERROR(INDEX(PP_Grid[#Data],$DE1022,88),0)</f>
        <v/>
      </c>
      <c r="CN1022">
        <f>IFERROR(INDEX(PP_Grid[#Data],$DE1022,89),0)</f>
        <v/>
      </c>
      <c r="CO1022">
        <f>IFERROR(INDEX(PP_Grid[#Data],$DE1022,90),0)</f>
        <v/>
      </c>
      <c r="CP1022">
        <f>IFERROR(INDEX(PP_Grid[#Data],$DE1022,91),0)</f>
        <v/>
      </c>
      <c r="CQ1022">
        <f>IFERROR(INDEX(PP_Grid[#Data],$DE1022,92),0)</f>
        <v/>
      </c>
      <c r="CR1022">
        <f>IFERROR(INDEX(PP_Grid[#Data],$DE1022,93),0)</f>
        <v/>
      </c>
      <c r="CS1022">
        <f>IFERROR(INDEX(PP_Grid[#Data],$DE1022,94),0)</f>
        <v/>
      </c>
      <c r="CT1022">
        <f>IFERROR(INDEX(PP_Grid[#Data],$DE1022,95),0)</f>
        <v/>
      </c>
      <c r="CU1022">
        <f>IFERROR(INDEX(PP_Grid[#Data],$DE1022,96),0)</f>
        <v/>
      </c>
      <c r="CV1022">
        <f>IFERROR(INDEX(PP_Grid[#Data],$DE1022,97),0)</f>
        <v/>
      </c>
      <c r="CW1022">
        <f>IFERROR(INDEX(PP_Grid[#Data],$DE1022,98),0)</f>
        <v/>
      </c>
      <c r="CX1022">
        <f>IFERROR(INDEX(PP_Grid[#Data],$DE1022,99),0)</f>
        <v/>
      </c>
      <c r="CY1022">
        <f>IFERROR(INDEX(PP_Grid[#Data],$DE1022,100),0)</f>
        <v/>
      </c>
      <c r="CZ1022">
        <f>IFERROR(INDEX(PP_Grid[#Data],$DE1022,101),0)</f>
        <v/>
      </c>
      <c r="DA1022">
        <f>IFERROR(INDEX(PP_Grid[#Data],$DE1022,102),0)</f>
        <v/>
      </c>
      <c r="DB1022">
        <f>IFERROR(INDEX(PP_Grid[#Data],$DE1022,103),0)</f>
        <v/>
      </c>
      <c r="DC1022">
        <f>IFERROR(INDEX(PP_Grid[#Data],$DE1022,104),0)</f>
        <v/>
      </c>
      <c r="DD1022">
        <f>IFERROR(INDEX(PP_Grid[#Data],$DE1022,105),0)</f>
        <v/>
      </c>
      <c r="DE1022" s="7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SUMIFS(M_BOM[RM_Qty_Per_Batch],M_BOM[Intermediate],$B1022,M_BOM[RM_Code],$A971)</f>
        <v/>
      </c>
      <c r="D1023">
        <f>IFERROR(INDEX(E1023:DD1023,$F$1),"")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  <c r="DD1023">
        <f>$C1023*DD1022</f>
        <v/>
      </c>
    </row>
    <row r="1024">
      <c r="B1024" t="inlineStr">
        <is>
          <t>No of times used</t>
        </is>
      </c>
      <c r="C1024" t="inlineStr">
        <is>
          <t>No. of batches</t>
        </is>
      </c>
      <c r="D1024">
        <f>IFERROR(INDEX(E1024:DD1024,$F$1),"")</f>
        <v/>
      </c>
      <c r="E1024">
        <f>IFERROR(INDEX(PP_Grid[#Data],$DE1024,2),0)</f>
        <v/>
      </c>
      <c r="F1024">
        <f>IFERROR(INDEX(PP_Grid[#Data],$DE1024,3),0)</f>
        <v/>
      </c>
      <c r="G1024">
        <f>IFERROR(INDEX(PP_Grid[#Data],$DE1024,4),0)</f>
        <v/>
      </c>
      <c r="H1024">
        <f>IFERROR(INDEX(PP_Grid[#Data],$DE1024,5),0)</f>
        <v/>
      </c>
      <c r="I1024">
        <f>IFERROR(INDEX(PP_Grid[#Data],$DE1024,6),0)</f>
        <v/>
      </c>
      <c r="J1024">
        <f>IFERROR(INDEX(PP_Grid[#Data],$DE1024,7),0)</f>
        <v/>
      </c>
      <c r="K1024">
        <f>IFERROR(INDEX(PP_Grid[#Data],$DE1024,8),0)</f>
        <v/>
      </c>
      <c r="L1024">
        <f>IFERROR(INDEX(PP_Grid[#Data],$DE1024,9),0)</f>
        <v/>
      </c>
      <c r="M1024">
        <f>IFERROR(INDEX(PP_Grid[#Data],$DE1024,10),0)</f>
        <v/>
      </c>
      <c r="N1024">
        <f>IFERROR(INDEX(PP_Grid[#Data],$DE1024,11),0)</f>
        <v/>
      </c>
      <c r="O1024">
        <f>IFERROR(INDEX(PP_Grid[#Data],$DE1024,12),0)</f>
        <v/>
      </c>
      <c r="P1024">
        <f>IFERROR(INDEX(PP_Grid[#Data],$DE1024,13),0)</f>
        <v/>
      </c>
      <c r="Q1024">
        <f>IFERROR(INDEX(PP_Grid[#Data],$DE1024,14),0)</f>
        <v/>
      </c>
      <c r="R1024">
        <f>IFERROR(INDEX(PP_Grid[#Data],$DE1024,15),0)</f>
        <v/>
      </c>
      <c r="S1024">
        <f>IFERROR(INDEX(PP_Grid[#Data],$DE1024,16),0)</f>
        <v/>
      </c>
      <c r="T1024">
        <f>IFERROR(INDEX(PP_Grid[#Data],$DE1024,17),0)</f>
        <v/>
      </c>
      <c r="U1024">
        <f>IFERROR(INDEX(PP_Grid[#Data],$DE1024,18),0)</f>
        <v/>
      </c>
      <c r="V1024">
        <f>IFERROR(INDEX(PP_Grid[#Data],$DE1024,19),0)</f>
        <v/>
      </c>
      <c r="W1024">
        <f>IFERROR(INDEX(PP_Grid[#Data],$DE1024,20),0)</f>
        <v/>
      </c>
      <c r="X1024">
        <f>IFERROR(INDEX(PP_Grid[#Data],$DE1024,21),0)</f>
        <v/>
      </c>
      <c r="Y1024">
        <f>IFERROR(INDEX(PP_Grid[#Data],$DE1024,22),0)</f>
        <v/>
      </c>
      <c r="Z1024">
        <f>IFERROR(INDEX(PP_Grid[#Data],$DE1024,23),0)</f>
        <v/>
      </c>
      <c r="AA1024">
        <f>IFERROR(INDEX(PP_Grid[#Data],$DE1024,24),0)</f>
        <v/>
      </c>
      <c r="AB1024">
        <f>IFERROR(INDEX(PP_Grid[#Data],$DE1024,25),0)</f>
        <v/>
      </c>
      <c r="AC1024">
        <f>IFERROR(INDEX(PP_Grid[#Data],$DE1024,26),0)</f>
        <v/>
      </c>
      <c r="AD1024">
        <f>IFERROR(INDEX(PP_Grid[#Data],$DE1024,27),0)</f>
        <v/>
      </c>
      <c r="AE1024">
        <f>IFERROR(INDEX(PP_Grid[#Data],$DE1024,28),0)</f>
        <v/>
      </c>
      <c r="AF1024">
        <f>IFERROR(INDEX(PP_Grid[#Data],$DE1024,29),0)</f>
        <v/>
      </c>
      <c r="AG1024">
        <f>IFERROR(INDEX(PP_Grid[#Data],$DE1024,30),0)</f>
        <v/>
      </c>
      <c r="AH1024">
        <f>IFERROR(INDEX(PP_Grid[#Data],$DE1024,31),0)</f>
        <v/>
      </c>
      <c r="AI1024">
        <f>IFERROR(INDEX(PP_Grid[#Data],$DE1024,32),0)</f>
        <v/>
      </c>
      <c r="AJ1024">
        <f>IFERROR(INDEX(PP_Grid[#Data],$DE1024,33),0)</f>
        <v/>
      </c>
      <c r="AK1024">
        <f>IFERROR(INDEX(PP_Grid[#Data],$DE1024,34),0)</f>
        <v/>
      </c>
      <c r="AL1024">
        <f>IFERROR(INDEX(PP_Grid[#Data],$DE1024,35),0)</f>
        <v/>
      </c>
      <c r="AM1024">
        <f>IFERROR(INDEX(PP_Grid[#Data],$DE1024,36),0)</f>
        <v/>
      </c>
      <c r="AN1024">
        <f>IFERROR(INDEX(PP_Grid[#Data],$DE1024,37),0)</f>
        <v/>
      </c>
      <c r="AO1024">
        <f>IFERROR(INDEX(PP_Grid[#Data],$DE1024,38),0)</f>
        <v/>
      </c>
      <c r="AP1024">
        <f>IFERROR(INDEX(PP_Grid[#Data],$DE1024,39),0)</f>
        <v/>
      </c>
      <c r="AQ1024">
        <f>IFERROR(INDEX(PP_Grid[#Data],$DE1024,40),0)</f>
        <v/>
      </c>
      <c r="AR1024">
        <f>IFERROR(INDEX(PP_Grid[#Data],$DE1024,41),0)</f>
        <v/>
      </c>
      <c r="AS1024">
        <f>IFERROR(INDEX(PP_Grid[#Data],$DE1024,42),0)</f>
        <v/>
      </c>
      <c r="AT1024">
        <f>IFERROR(INDEX(PP_Grid[#Data],$DE1024,43),0)</f>
        <v/>
      </c>
      <c r="AU1024">
        <f>IFERROR(INDEX(PP_Grid[#Data],$DE1024,44),0)</f>
        <v/>
      </c>
      <c r="AV1024">
        <f>IFERROR(INDEX(PP_Grid[#Data],$DE1024,45),0)</f>
        <v/>
      </c>
      <c r="AW1024">
        <f>IFERROR(INDEX(PP_Grid[#Data],$DE1024,46),0)</f>
        <v/>
      </c>
      <c r="AX1024">
        <f>IFERROR(INDEX(PP_Grid[#Data],$DE1024,47),0)</f>
        <v/>
      </c>
      <c r="AY1024">
        <f>IFERROR(INDEX(PP_Grid[#Data],$DE1024,48),0)</f>
        <v/>
      </c>
      <c r="AZ1024">
        <f>IFERROR(INDEX(PP_Grid[#Data],$DE1024,49),0)</f>
        <v/>
      </c>
      <c r="BA1024">
        <f>IFERROR(INDEX(PP_Grid[#Data],$DE1024,50),0)</f>
        <v/>
      </c>
      <c r="BB1024">
        <f>IFERROR(INDEX(PP_Grid[#Data],$DE1024,51),0)</f>
        <v/>
      </c>
      <c r="BC1024">
        <f>IFERROR(INDEX(PP_Grid[#Data],$DE1024,52),0)</f>
        <v/>
      </c>
      <c r="BD1024">
        <f>IFERROR(INDEX(PP_Grid[#Data],$DE1024,53),0)</f>
        <v/>
      </c>
      <c r="BE1024">
        <f>IFERROR(INDEX(PP_Grid[#Data],$DE1024,54),0)</f>
        <v/>
      </c>
      <c r="BF1024">
        <f>IFERROR(INDEX(PP_Grid[#Data],$DE1024,55),0)</f>
        <v/>
      </c>
      <c r="BG1024">
        <f>IFERROR(INDEX(PP_Grid[#Data],$DE1024,56),0)</f>
        <v/>
      </c>
      <c r="BH1024">
        <f>IFERROR(INDEX(PP_Grid[#Data],$DE1024,57),0)</f>
        <v/>
      </c>
      <c r="BI1024">
        <f>IFERROR(INDEX(PP_Grid[#Data],$DE1024,58),0)</f>
        <v/>
      </c>
      <c r="BJ1024">
        <f>IFERROR(INDEX(PP_Grid[#Data],$DE1024,59),0)</f>
        <v/>
      </c>
      <c r="BK1024">
        <f>IFERROR(INDEX(PP_Grid[#Data],$DE1024,60),0)</f>
        <v/>
      </c>
      <c r="BL1024">
        <f>IFERROR(INDEX(PP_Grid[#Data],$DE1024,61),0)</f>
        <v/>
      </c>
      <c r="BM1024">
        <f>IFERROR(INDEX(PP_Grid[#Data],$DE1024,62),0)</f>
        <v/>
      </c>
      <c r="BN1024">
        <f>IFERROR(INDEX(PP_Grid[#Data],$DE1024,63),0)</f>
        <v/>
      </c>
      <c r="BO1024">
        <f>IFERROR(INDEX(PP_Grid[#Data],$DE1024,64),0)</f>
        <v/>
      </c>
      <c r="BP1024">
        <f>IFERROR(INDEX(PP_Grid[#Data],$DE1024,65),0)</f>
        <v/>
      </c>
      <c r="BQ1024">
        <f>IFERROR(INDEX(PP_Grid[#Data],$DE1024,66),0)</f>
        <v/>
      </c>
      <c r="BR1024">
        <f>IFERROR(INDEX(PP_Grid[#Data],$DE1024,67),0)</f>
        <v/>
      </c>
      <c r="BS1024">
        <f>IFERROR(INDEX(PP_Grid[#Data],$DE1024,68),0)</f>
        <v/>
      </c>
      <c r="BT1024">
        <f>IFERROR(INDEX(PP_Grid[#Data],$DE1024,69),0)</f>
        <v/>
      </c>
      <c r="BU1024">
        <f>IFERROR(INDEX(PP_Grid[#Data],$DE1024,70),0)</f>
        <v/>
      </c>
      <c r="BV1024">
        <f>IFERROR(INDEX(PP_Grid[#Data],$DE1024,71),0)</f>
        <v/>
      </c>
      <c r="BW1024">
        <f>IFERROR(INDEX(PP_Grid[#Data],$DE1024,72),0)</f>
        <v/>
      </c>
      <c r="BX1024">
        <f>IFERROR(INDEX(PP_Grid[#Data],$DE1024,73),0)</f>
        <v/>
      </c>
      <c r="BY1024">
        <f>IFERROR(INDEX(PP_Grid[#Data],$DE1024,74),0)</f>
        <v/>
      </c>
      <c r="BZ1024">
        <f>IFERROR(INDEX(PP_Grid[#Data],$DE1024,75),0)</f>
        <v/>
      </c>
      <c r="CA1024">
        <f>IFERROR(INDEX(PP_Grid[#Data],$DE1024,76),0)</f>
        <v/>
      </c>
      <c r="CB1024">
        <f>IFERROR(INDEX(PP_Grid[#Data],$DE1024,77),0)</f>
        <v/>
      </c>
      <c r="CC1024">
        <f>IFERROR(INDEX(PP_Grid[#Data],$DE1024,78),0)</f>
        <v/>
      </c>
      <c r="CD1024">
        <f>IFERROR(INDEX(PP_Grid[#Data],$DE1024,79),0)</f>
        <v/>
      </c>
      <c r="CE1024">
        <f>IFERROR(INDEX(PP_Grid[#Data],$DE1024,80),0)</f>
        <v/>
      </c>
      <c r="CF1024">
        <f>IFERROR(INDEX(PP_Grid[#Data],$DE1024,81),0)</f>
        <v/>
      </c>
      <c r="CG1024">
        <f>IFERROR(INDEX(PP_Grid[#Data],$DE1024,82),0)</f>
        <v/>
      </c>
      <c r="CH1024">
        <f>IFERROR(INDEX(PP_Grid[#Data],$DE1024,83),0)</f>
        <v/>
      </c>
      <c r="CI1024">
        <f>IFERROR(INDEX(PP_Grid[#Data],$DE1024,84),0)</f>
        <v/>
      </c>
      <c r="CJ1024">
        <f>IFERROR(INDEX(PP_Grid[#Data],$DE1024,85),0)</f>
        <v/>
      </c>
      <c r="CK1024">
        <f>IFERROR(INDEX(PP_Grid[#Data],$DE1024,86),0)</f>
        <v/>
      </c>
      <c r="CL1024">
        <f>IFERROR(INDEX(PP_Grid[#Data],$DE1024,87),0)</f>
        <v/>
      </c>
      <c r="CM1024">
        <f>IFERROR(INDEX(PP_Grid[#Data],$DE1024,88),0)</f>
        <v/>
      </c>
      <c r="CN1024">
        <f>IFERROR(INDEX(PP_Grid[#Data],$DE1024,89),0)</f>
        <v/>
      </c>
      <c r="CO1024">
        <f>IFERROR(INDEX(PP_Grid[#Data],$DE1024,90),0)</f>
        <v/>
      </c>
      <c r="CP1024">
        <f>IFERROR(INDEX(PP_Grid[#Data],$DE1024,91),0)</f>
        <v/>
      </c>
      <c r="CQ1024">
        <f>IFERROR(INDEX(PP_Grid[#Data],$DE1024,92),0)</f>
        <v/>
      </c>
      <c r="CR1024">
        <f>IFERROR(INDEX(PP_Grid[#Data],$DE1024,93),0)</f>
        <v/>
      </c>
      <c r="CS1024">
        <f>IFERROR(INDEX(PP_Grid[#Data],$DE1024,94),0)</f>
        <v/>
      </c>
      <c r="CT1024">
        <f>IFERROR(INDEX(PP_Grid[#Data],$DE1024,95),0)</f>
        <v/>
      </c>
      <c r="CU1024">
        <f>IFERROR(INDEX(PP_Grid[#Data],$DE1024,96),0)</f>
        <v/>
      </c>
      <c r="CV1024">
        <f>IFERROR(INDEX(PP_Grid[#Data],$DE1024,97),0)</f>
        <v/>
      </c>
      <c r="CW1024">
        <f>IFERROR(INDEX(PP_Grid[#Data],$DE1024,98),0)</f>
        <v/>
      </c>
      <c r="CX1024">
        <f>IFERROR(INDEX(PP_Grid[#Data],$DE1024,99),0)</f>
        <v/>
      </c>
      <c r="CY1024">
        <f>IFERROR(INDEX(PP_Grid[#Data],$DE1024,100),0)</f>
        <v/>
      </c>
      <c r="CZ1024">
        <f>IFERROR(INDEX(PP_Grid[#Data],$DE1024,101),0)</f>
        <v/>
      </c>
      <c r="DA1024">
        <f>IFERROR(INDEX(PP_Grid[#Data],$DE1024,102),0)</f>
        <v/>
      </c>
      <c r="DB1024">
        <f>IFERROR(INDEX(PP_Grid[#Data],$DE1024,103),0)</f>
        <v/>
      </c>
      <c r="DC1024">
        <f>IFERROR(INDEX(PP_Grid[#Data],$DE1024,104),0)</f>
        <v/>
      </c>
      <c r="DD1024">
        <f>IFERROR(INDEX(PP_Grid[#Data],$DE1024,105),0)</f>
        <v/>
      </c>
      <c r="DE1024" s="7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SUMIFS(M_BOM[RM_Qty_Per_Batch],M_BOM[Intermediate],$B1024,M_BOM[RM_Code],$A971)</f>
        <v/>
      </c>
      <c r="D1025">
        <f>IFERROR(INDEX(E1025:DD1025,$F$1),"")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  <c r="DD1025">
        <f>$C1025*DD1024</f>
        <v/>
      </c>
    </row>
    <row r="1026">
      <c r="B1026" t="inlineStr">
        <is>
          <t>F2090</t>
        </is>
      </c>
      <c r="C1026" t="inlineStr">
        <is>
          <t>No. of batches</t>
        </is>
      </c>
      <c r="D1026">
        <f>IFERROR(INDEX(E1026:DD1026,$F$1),"")</f>
        <v/>
      </c>
      <c r="E1026">
        <f>IFERROR(INDEX(PP_Grid[#Data],$DE1026,2),0)</f>
        <v/>
      </c>
      <c r="F1026">
        <f>IFERROR(INDEX(PP_Grid[#Data],$DE1026,3),0)</f>
        <v/>
      </c>
      <c r="G1026">
        <f>IFERROR(INDEX(PP_Grid[#Data],$DE1026,4),0)</f>
        <v/>
      </c>
      <c r="H1026">
        <f>IFERROR(INDEX(PP_Grid[#Data],$DE1026,5),0)</f>
        <v/>
      </c>
      <c r="I1026">
        <f>IFERROR(INDEX(PP_Grid[#Data],$DE1026,6),0)</f>
        <v/>
      </c>
      <c r="J1026">
        <f>IFERROR(INDEX(PP_Grid[#Data],$DE1026,7),0)</f>
        <v/>
      </c>
      <c r="K1026">
        <f>IFERROR(INDEX(PP_Grid[#Data],$DE1026,8),0)</f>
        <v/>
      </c>
      <c r="L1026">
        <f>IFERROR(INDEX(PP_Grid[#Data],$DE1026,9),0)</f>
        <v/>
      </c>
      <c r="M1026">
        <f>IFERROR(INDEX(PP_Grid[#Data],$DE1026,10),0)</f>
        <v/>
      </c>
      <c r="N1026">
        <f>IFERROR(INDEX(PP_Grid[#Data],$DE1026,11),0)</f>
        <v/>
      </c>
      <c r="O1026">
        <f>IFERROR(INDEX(PP_Grid[#Data],$DE1026,12),0)</f>
        <v/>
      </c>
      <c r="P1026">
        <f>IFERROR(INDEX(PP_Grid[#Data],$DE1026,13),0)</f>
        <v/>
      </c>
      <c r="Q1026">
        <f>IFERROR(INDEX(PP_Grid[#Data],$DE1026,14),0)</f>
        <v/>
      </c>
      <c r="R1026">
        <f>IFERROR(INDEX(PP_Grid[#Data],$DE1026,15),0)</f>
        <v/>
      </c>
      <c r="S1026">
        <f>IFERROR(INDEX(PP_Grid[#Data],$DE1026,16),0)</f>
        <v/>
      </c>
      <c r="T1026">
        <f>IFERROR(INDEX(PP_Grid[#Data],$DE1026,17),0)</f>
        <v/>
      </c>
      <c r="U1026">
        <f>IFERROR(INDEX(PP_Grid[#Data],$DE1026,18),0)</f>
        <v/>
      </c>
      <c r="V1026">
        <f>IFERROR(INDEX(PP_Grid[#Data],$DE1026,19),0)</f>
        <v/>
      </c>
      <c r="W1026">
        <f>IFERROR(INDEX(PP_Grid[#Data],$DE1026,20),0)</f>
        <v/>
      </c>
      <c r="X1026">
        <f>IFERROR(INDEX(PP_Grid[#Data],$DE1026,21),0)</f>
        <v/>
      </c>
      <c r="Y1026">
        <f>IFERROR(INDEX(PP_Grid[#Data],$DE1026,22),0)</f>
        <v/>
      </c>
      <c r="Z1026">
        <f>IFERROR(INDEX(PP_Grid[#Data],$DE1026,23),0)</f>
        <v/>
      </c>
      <c r="AA1026">
        <f>IFERROR(INDEX(PP_Grid[#Data],$DE1026,24),0)</f>
        <v/>
      </c>
      <c r="AB1026">
        <f>IFERROR(INDEX(PP_Grid[#Data],$DE1026,25),0)</f>
        <v/>
      </c>
      <c r="AC1026">
        <f>IFERROR(INDEX(PP_Grid[#Data],$DE1026,26),0)</f>
        <v/>
      </c>
      <c r="AD1026">
        <f>IFERROR(INDEX(PP_Grid[#Data],$DE1026,27),0)</f>
        <v/>
      </c>
      <c r="AE1026">
        <f>IFERROR(INDEX(PP_Grid[#Data],$DE1026,28),0)</f>
        <v/>
      </c>
      <c r="AF1026">
        <f>IFERROR(INDEX(PP_Grid[#Data],$DE1026,29),0)</f>
        <v/>
      </c>
      <c r="AG1026">
        <f>IFERROR(INDEX(PP_Grid[#Data],$DE1026,30),0)</f>
        <v/>
      </c>
      <c r="AH1026">
        <f>IFERROR(INDEX(PP_Grid[#Data],$DE1026,31),0)</f>
        <v/>
      </c>
      <c r="AI1026">
        <f>IFERROR(INDEX(PP_Grid[#Data],$DE1026,32),0)</f>
        <v/>
      </c>
      <c r="AJ1026">
        <f>IFERROR(INDEX(PP_Grid[#Data],$DE1026,33),0)</f>
        <v/>
      </c>
      <c r="AK1026">
        <f>IFERROR(INDEX(PP_Grid[#Data],$DE1026,34),0)</f>
        <v/>
      </c>
      <c r="AL1026">
        <f>IFERROR(INDEX(PP_Grid[#Data],$DE1026,35),0)</f>
        <v/>
      </c>
      <c r="AM1026">
        <f>IFERROR(INDEX(PP_Grid[#Data],$DE1026,36),0)</f>
        <v/>
      </c>
      <c r="AN1026">
        <f>IFERROR(INDEX(PP_Grid[#Data],$DE1026,37),0)</f>
        <v/>
      </c>
      <c r="AO1026">
        <f>IFERROR(INDEX(PP_Grid[#Data],$DE1026,38),0)</f>
        <v/>
      </c>
      <c r="AP1026">
        <f>IFERROR(INDEX(PP_Grid[#Data],$DE1026,39),0)</f>
        <v/>
      </c>
      <c r="AQ1026">
        <f>IFERROR(INDEX(PP_Grid[#Data],$DE1026,40),0)</f>
        <v/>
      </c>
      <c r="AR1026">
        <f>IFERROR(INDEX(PP_Grid[#Data],$DE1026,41),0)</f>
        <v/>
      </c>
      <c r="AS1026">
        <f>IFERROR(INDEX(PP_Grid[#Data],$DE1026,42),0)</f>
        <v/>
      </c>
      <c r="AT1026">
        <f>IFERROR(INDEX(PP_Grid[#Data],$DE1026,43),0)</f>
        <v/>
      </c>
      <c r="AU1026">
        <f>IFERROR(INDEX(PP_Grid[#Data],$DE1026,44),0)</f>
        <v/>
      </c>
      <c r="AV1026">
        <f>IFERROR(INDEX(PP_Grid[#Data],$DE1026,45),0)</f>
        <v/>
      </c>
      <c r="AW1026">
        <f>IFERROR(INDEX(PP_Grid[#Data],$DE1026,46),0)</f>
        <v/>
      </c>
      <c r="AX1026">
        <f>IFERROR(INDEX(PP_Grid[#Data],$DE1026,47),0)</f>
        <v/>
      </c>
      <c r="AY1026">
        <f>IFERROR(INDEX(PP_Grid[#Data],$DE1026,48),0)</f>
        <v/>
      </c>
      <c r="AZ1026">
        <f>IFERROR(INDEX(PP_Grid[#Data],$DE1026,49),0)</f>
        <v/>
      </c>
      <c r="BA1026">
        <f>IFERROR(INDEX(PP_Grid[#Data],$DE1026,50),0)</f>
        <v/>
      </c>
      <c r="BB1026">
        <f>IFERROR(INDEX(PP_Grid[#Data],$DE1026,51),0)</f>
        <v/>
      </c>
      <c r="BC1026">
        <f>IFERROR(INDEX(PP_Grid[#Data],$DE1026,52),0)</f>
        <v/>
      </c>
      <c r="BD1026">
        <f>IFERROR(INDEX(PP_Grid[#Data],$DE1026,53),0)</f>
        <v/>
      </c>
      <c r="BE1026">
        <f>IFERROR(INDEX(PP_Grid[#Data],$DE1026,54),0)</f>
        <v/>
      </c>
      <c r="BF1026">
        <f>IFERROR(INDEX(PP_Grid[#Data],$DE1026,55),0)</f>
        <v/>
      </c>
      <c r="BG1026">
        <f>IFERROR(INDEX(PP_Grid[#Data],$DE1026,56),0)</f>
        <v/>
      </c>
      <c r="BH1026">
        <f>IFERROR(INDEX(PP_Grid[#Data],$DE1026,57),0)</f>
        <v/>
      </c>
      <c r="BI1026">
        <f>IFERROR(INDEX(PP_Grid[#Data],$DE1026,58),0)</f>
        <v/>
      </c>
      <c r="BJ1026">
        <f>IFERROR(INDEX(PP_Grid[#Data],$DE1026,59),0)</f>
        <v/>
      </c>
      <c r="BK1026">
        <f>IFERROR(INDEX(PP_Grid[#Data],$DE1026,60),0)</f>
        <v/>
      </c>
      <c r="BL1026">
        <f>IFERROR(INDEX(PP_Grid[#Data],$DE1026,61),0)</f>
        <v/>
      </c>
      <c r="BM1026">
        <f>IFERROR(INDEX(PP_Grid[#Data],$DE1026,62),0)</f>
        <v/>
      </c>
      <c r="BN1026">
        <f>IFERROR(INDEX(PP_Grid[#Data],$DE1026,63),0)</f>
        <v/>
      </c>
      <c r="BO1026">
        <f>IFERROR(INDEX(PP_Grid[#Data],$DE1026,64),0)</f>
        <v/>
      </c>
      <c r="BP1026">
        <f>IFERROR(INDEX(PP_Grid[#Data],$DE1026,65),0)</f>
        <v/>
      </c>
      <c r="BQ1026">
        <f>IFERROR(INDEX(PP_Grid[#Data],$DE1026,66),0)</f>
        <v/>
      </c>
      <c r="BR1026">
        <f>IFERROR(INDEX(PP_Grid[#Data],$DE1026,67),0)</f>
        <v/>
      </c>
      <c r="BS1026">
        <f>IFERROR(INDEX(PP_Grid[#Data],$DE1026,68),0)</f>
        <v/>
      </c>
      <c r="BT1026">
        <f>IFERROR(INDEX(PP_Grid[#Data],$DE1026,69),0)</f>
        <v/>
      </c>
      <c r="BU1026">
        <f>IFERROR(INDEX(PP_Grid[#Data],$DE1026,70),0)</f>
        <v/>
      </c>
      <c r="BV1026">
        <f>IFERROR(INDEX(PP_Grid[#Data],$DE1026,71),0)</f>
        <v/>
      </c>
      <c r="BW1026">
        <f>IFERROR(INDEX(PP_Grid[#Data],$DE1026,72),0)</f>
        <v/>
      </c>
      <c r="BX1026">
        <f>IFERROR(INDEX(PP_Grid[#Data],$DE1026,73),0)</f>
        <v/>
      </c>
      <c r="BY1026">
        <f>IFERROR(INDEX(PP_Grid[#Data],$DE1026,74),0)</f>
        <v/>
      </c>
      <c r="BZ1026">
        <f>IFERROR(INDEX(PP_Grid[#Data],$DE1026,75),0)</f>
        <v/>
      </c>
      <c r="CA1026">
        <f>IFERROR(INDEX(PP_Grid[#Data],$DE1026,76),0)</f>
        <v/>
      </c>
      <c r="CB1026">
        <f>IFERROR(INDEX(PP_Grid[#Data],$DE1026,77),0)</f>
        <v/>
      </c>
      <c r="CC1026">
        <f>IFERROR(INDEX(PP_Grid[#Data],$DE1026,78),0)</f>
        <v/>
      </c>
      <c r="CD1026">
        <f>IFERROR(INDEX(PP_Grid[#Data],$DE1026,79),0)</f>
        <v/>
      </c>
      <c r="CE1026">
        <f>IFERROR(INDEX(PP_Grid[#Data],$DE1026,80),0)</f>
        <v/>
      </c>
      <c r="CF1026">
        <f>IFERROR(INDEX(PP_Grid[#Data],$DE1026,81),0)</f>
        <v/>
      </c>
      <c r="CG1026">
        <f>IFERROR(INDEX(PP_Grid[#Data],$DE1026,82),0)</f>
        <v/>
      </c>
      <c r="CH1026">
        <f>IFERROR(INDEX(PP_Grid[#Data],$DE1026,83),0)</f>
        <v/>
      </c>
      <c r="CI1026">
        <f>IFERROR(INDEX(PP_Grid[#Data],$DE1026,84),0)</f>
        <v/>
      </c>
      <c r="CJ1026">
        <f>IFERROR(INDEX(PP_Grid[#Data],$DE1026,85),0)</f>
        <v/>
      </c>
      <c r="CK1026">
        <f>IFERROR(INDEX(PP_Grid[#Data],$DE1026,86),0)</f>
        <v/>
      </c>
      <c r="CL1026">
        <f>IFERROR(INDEX(PP_Grid[#Data],$DE1026,87),0)</f>
        <v/>
      </c>
      <c r="CM1026">
        <f>IFERROR(INDEX(PP_Grid[#Data],$DE1026,88),0)</f>
        <v/>
      </c>
      <c r="CN1026">
        <f>IFERROR(INDEX(PP_Grid[#Data],$DE1026,89),0)</f>
        <v/>
      </c>
      <c r="CO1026">
        <f>IFERROR(INDEX(PP_Grid[#Data],$DE1026,90),0)</f>
        <v/>
      </c>
      <c r="CP1026">
        <f>IFERROR(INDEX(PP_Grid[#Data],$DE1026,91),0)</f>
        <v/>
      </c>
      <c r="CQ1026">
        <f>IFERROR(INDEX(PP_Grid[#Data],$DE1026,92),0)</f>
        <v/>
      </c>
      <c r="CR1026">
        <f>IFERROR(INDEX(PP_Grid[#Data],$DE1026,93),0)</f>
        <v/>
      </c>
      <c r="CS1026">
        <f>IFERROR(INDEX(PP_Grid[#Data],$DE1026,94),0)</f>
        <v/>
      </c>
      <c r="CT1026">
        <f>IFERROR(INDEX(PP_Grid[#Data],$DE1026,95),0)</f>
        <v/>
      </c>
      <c r="CU1026">
        <f>IFERROR(INDEX(PP_Grid[#Data],$DE1026,96),0)</f>
        <v/>
      </c>
      <c r="CV1026">
        <f>IFERROR(INDEX(PP_Grid[#Data],$DE1026,97),0)</f>
        <v/>
      </c>
      <c r="CW1026">
        <f>IFERROR(INDEX(PP_Grid[#Data],$DE1026,98),0)</f>
        <v/>
      </c>
      <c r="CX1026">
        <f>IFERROR(INDEX(PP_Grid[#Data],$DE1026,99),0)</f>
        <v/>
      </c>
      <c r="CY1026">
        <f>IFERROR(INDEX(PP_Grid[#Data],$DE1026,100),0)</f>
        <v/>
      </c>
      <c r="CZ1026">
        <f>IFERROR(INDEX(PP_Grid[#Data],$DE1026,101),0)</f>
        <v/>
      </c>
      <c r="DA1026">
        <f>IFERROR(INDEX(PP_Grid[#Data],$DE1026,102),0)</f>
        <v/>
      </c>
      <c r="DB1026">
        <f>IFERROR(INDEX(PP_Grid[#Data],$DE1026,103),0)</f>
        <v/>
      </c>
      <c r="DC1026">
        <f>IFERROR(INDEX(PP_Grid[#Data],$DE1026,104),0)</f>
        <v/>
      </c>
      <c r="DD1026">
        <f>IFERROR(INDEX(PP_Grid[#Data],$DE1026,105),0)</f>
        <v/>
      </c>
      <c r="DE1026" s="7">
        <f>IFERROR(MATCH($B1026,PP_Grid[Intermediate],0),99999)</f>
        <v/>
      </c>
    </row>
    <row r="1027">
      <c r="B1027" t="inlineStr">
        <is>
          <t>使用量(kg)</t>
        </is>
      </c>
      <c r="C1027">
        <f>SUMIFS(M_BOM[RM_Qty_Per_Batch],M_BOM[Intermediate],$B1026,M_BOM[RM_Code],$A971)</f>
        <v/>
      </c>
      <c r="D1027">
        <f>IFERROR(INDEX(E1027:DD1027,$F$1),"")</f>
        <v/>
      </c>
      <c r="E1027">
        <f>$C1027*E1026</f>
        <v/>
      </c>
      <c r="F1027">
        <f>$C1027*F1026</f>
        <v/>
      </c>
      <c r="G1027">
        <f>$C1027*G1026</f>
        <v/>
      </c>
      <c r="H1027">
        <f>$C1027*H1026</f>
        <v/>
      </c>
      <c r="I1027">
        <f>$C1027*I1026</f>
        <v/>
      </c>
      <c r="J1027">
        <f>$C1027*J1026</f>
        <v/>
      </c>
      <c r="K1027">
        <f>$C1027*K1026</f>
        <v/>
      </c>
      <c r="L1027">
        <f>$C1027*L1026</f>
        <v/>
      </c>
      <c r="M1027">
        <f>$C1027*M1026</f>
        <v/>
      </c>
      <c r="N1027">
        <f>$C1027*N1026</f>
        <v/>
      </c>
      <c r="O1027">
        <f>$C1027*O1026</f>
        <v/>
      </c>
      <c r="P1027">
        <f>$C1027*P1026</f>
        <v/>
      </c>
      <c r="Q1027">
        <f>$C1027*Q1026</f>
        <v/>
      </c>
      <c r="R1027">
        <f>$C1027*R1026</f>
        <v/>
      </c>
      <c r="S1027">
        <f>$C1027*S1026</f>
        <v/>
      </c>
      <c r="T1027">
        <f>$C1027*T1026</f>
        <v/>
      </c>
      <c r="U1027">
        <f>$C1027*U1026</f>
        <v/>
      </c>
      <c r="V1027">
        <f>$C1027*V1026</f>
        <v/>
      </c>
      <c r="W1027">
        <f>$C1027*W1026</f>
        <v/>
      </c>
      <c r="X1027">
        <f>$C1027*X1026</f>
        <v/>
      </c>
      <c r="Y1027">
        <f>$C1027*Y1026</f>
        <v/>
      </c>
      <c r="Z1027">
        <f>$C1027*Z1026</f>
        <v/>
      </c>
      <c r="AA1027">
        <f>$C1027*AA1026</f>
        <v/>
      </c>
      <c r="AB1027">
        <f>$C1027*AB1026</f>
        <v/>
      </c>
      <c r="AC1027">
        <f>$C1027*AC1026</f>
        <v/>
      </c>
      <c r="AD1027">
        <f>$C1027*AD1026</f>
        <v/>
      </c>
      <c r="AE1027">
        <f>$C1027*AE1026</f>
        <v/>
      </c>
      <c r="AF1027">
        <f>$C1027*AF1026</f>
        <v/>
      </c>
      <c r="AG1027">
        <f>$C1027*AG1026</f>
        <v/>
      </c>
      <c r="AH1027">
        <f>$C1027*AH1026</f>
        <v/>
      </c>
      <c r="AI1027">
        <f>$C1027*AI1026</f>
        <v/>
      </c>
      <c r="AJ1027">
        <f>$C1027*AJ1026</f>
        <v/>
      </c>
      <c r="AK1027">
        <f>$C1027*AK1026</f>
        <v/>
      </c>
      <c r="AL1027">
        <f>$C1027*AL1026</f>
        <v/>
      </c>
      <c r="AM1027">
        <f>$C1027*AM1026</f>
        <v/>
      </c>
      <c r="AN1027">
        <f>$C1027*AN1026</f>
        <v/>
      </c>
      <c r="AO1027">
        <f>$C1027*AO1026</f>
        <v/>
      </c>
      <c r="AP1027">
        <f>$C1027*AP1026</f>
        <v/>
      </c>
      <c r="AQ1027">
        <f>$C1027*AQ1026</f>
        <v/>
      </c>
      <c r="AR1027">
        <f>$C1027*AR1026</f>
        <v/>
      </c>
      <c r="AS1027">
        <f>$C1027*AS1026</f>
        <v/>
      </c>
      <c r="AT1027">
        <f>$C1027*AT1026</f>
        <v/>
      </c>
      <c r="AU1027">
        <f>$C1027*AU1026</f>
        <v/>
      </c>
      <c r="AV1027">
        <f>$C1027*AV1026</f>
        <v/>
      </c>
      <c r="AW1027">
        <f>$C1027*AW1026</f>
        <v/>
      </c>
      <c r="AX1027">
        <f>$C1027*AX1026</f>
        <v/>
      </c>
      <c r="AY1027">
        <f>$C1027*AY1026</f>
        <v/>
      </c>
      <c r="AZ1027">
        <f>$C1027*AZ1026</f>
        <v/>
      </c>
      <c r="BA1027">
        <f>$C1027*BA1026</f>
        <v/>
      </c>
      <c r="BB1027">
        <f>$C1027*BB1026</f>
        <v/>
      </c>
      <c r="BC1027">
        <f>$C1027*BC1026</f>
        <v/>
      </c>
      <c r="BD1027">
        <f>$C1027*BD1026</f>
        <v/>
      </c>
      <c r="BE1027">
        <f>$C1027*BE1026</f>
        <v/>
      </c>
      <c r="BF1027">
        <f>$C1027*BF1026</f>
        <v/>
      </c>
      <c r="BG1027">
        <f>$C1027*BG1026</f>
        <v/>
      </c>
      <c r="BH1027">
        <f>$C1027*BH1026</f>
        <v/>
      </c>
      <c r="BI1027">
        <f>$C1027*BI1026</f>
        <v/>
      </c>
      <c r="BJ1027">
        <f>$C1027*BJ1026</f>
        <v/>
      </c>
      <c r="BK1027">
        <f>$C1027*BK1026</f>
        <v/>
      </c>
      <c r="BL1027">
        <f>$C1027*BL1026</f>
        <v/>
      </c>
      <c r="BM1027">
        <f>$C1027*BM1026</f>
        <v/>
      </c>
      <c r="BN1027">
        <f>$C1027*BN1026</f>
        <v/>
      </c>
      <c r="BO1027">
        <f>$C1027*BO1026</f>
        <v/>
      </c>
      <c r="BP1027">
        <f>$C1027*BP1026</f>
        <v/>
      </c>
      <c r="BQ1027">
        <f>$C1027*BQ1026</f>
        <v/>
      </c>
      <c r="BR1027">
        <f>$C1027*BR1026</f>
        <v/>
      </c>
      <c r="BS1027">
        <f>$C1027*BS1026</f>
        <v/>
      </c>
      <c r="BT1027">
        <f>$C1027*BT1026</f>
        <v/>
      </c>
      <c r="BU1027">
        <f>$C1027*BU1026</f>
        <v/>
      </c>
      <c r="BV1027">
        <f>$C1027*BV1026</f>
        <v/>
      </c>
      <c r="BW1027">
        <f>$C1027*BW1026</f>
        <v/>
      </c>
      <c r="BX1027">
        <f>$C1027*BX1026</f>
        <v/>
      </c>
      <c r="BY1027">
        <f>$C1027*BY1026</f>
        <v/>
      </c>
      <c r="BZ1027">
        <f>$C1027*BZ1026</f>
        <v/>
      </c>
      <c r="CA1027">
        <f>$C1027*CA1026</f>
        <v/>
      </c>
      <c r="CB1027">
        <f>$C1027*CB1026</f>
        <v/>
      </c>
      <c r="CC1027">
        <f>$C1027*CC1026</f>
        <v/>
      </c>
      <c r="CD1027">
        <f>$C1027*CD1026</f>
        <v/>
      </c>
      <c r="CE1027">
        <f>$C1027*CE1026</f>
        <v/>
      </c>
      <c r="CF1027">
        <f>$C1027*CF1026</f>
        <v/>
      </c>
      <c r="CG1027">
        <f>$C1027*CG1026</f>
        <v/>
      </c>
      <c r="CH1027">
        <f>$C1027*CH1026</f>
        <v/>
      </c>
      <c r="CI1027">
        <f>$C1027*CI1026</f>
        <v/>
      </c>
      <c r="CJ1027">
        <f>$C1027*CJ1026</f>
        <v/>
      </c>
      <c r="CK1027">
        <f>$C1027*CK1026</f>
        <v/>
      </c>
      <c r="CL1027">
        <f>$C1027*CL1026</f>
        <v/>
      </c>
      <c r="CM1027">
        <f>$C1027*CM1026</f>
        <v/>
      </c>
      <c r="CN1027">
        <f>$C1027*CN1026</f>
        <v/>
      </c>
      <c r="CO1027">
        <f>$C1027*CO1026</f>
        <v/>
      </c>
      <c r="CP1027">
        <f>$C1027*CP1026</f>
        <v/>
      </c>
      <c r="CQ1027">
        <f>$C1027*CQ1026</f>
        <v/>
      </c>
      <c r="CR1027">
        <f>$C1027*CR1026</f>
        <v/>
      </c>
      <c r="CS1027">
        <f>$C1027*CS1026</f>
        <v/>
      </c>
      <c r="CT1027">
        <f>$C1027*CT1026</f>
        <v/>
      </c>
      <c r="CU1027">
        <f>$C1027*CU1026</f>
        <v/>
      </c>
      <c r="CV1027">
        <f>$C1027*CV1026</f>
        <v/>
      </c>
      <c r="CW1027">
        <f>$C1027*CW1026</f>
        <v/>
      </c>
      <c r="CX1027">
        <f>$C1027*CX1026</f>
        <v/>
      </c>
      <c r="CY1027">
        <f>$C1027*CY1026</f>
        <v/>
      </c>
      <c r="CZ1027">
        <f>$C1027*CZ1026</f>
        <v/>
      </c>
      <c r="DA1027">
        <f>$C1027*DA1026</f>
        <v/>
      </c>
      <c r="DB1027">
        <f>$C1027*DB1026</f>
        <v/>
      </c>
      <c r="DC1027">
        <f>$C1027*DC1026</f>
        <v/>
      </c>
      <c r="DD1027">
        <f>$C1027*DD1026</f>
        <v/>
      </c>
    </row>
    <row r="1028">
      <c r="B1028" s="4" t="inlineStr">
        <is>
          <t>合計使用量(kg)/週</t>
        </is>
      </c>
      <c r="D1028" s="23">
        <f>IFERROR(INDEX(E1028:DD1028,$F$1),"")</f>
        <v/>
      </c>
      <c r="E1028">
        <f>'Grid_Requirement'!B25</f>
        <v/>
      </c>
      <c r="F1028">
        <f>'Grid_Requirement'!C25</f>
        <v/>
      </c>
      <c r="G1028">
        <f>'Grid_Requirement'!D25</f>
        <v/>
      </c>
      <c r="H1028">
        <f>'Grid_Requirement'!E25</f>
        <v/>
      </c>
      <c r="I1028">
        <f>'Grid_Requirement'!F25</f>
        <v/>
      </c>
      <c r="J1028">
        <f>'Grid_Requirement'!G25</f>
        <v/>
      </c>
      <c r="K1028">
        <f>'Grid_Requirement'!H25</f>
        <v/>
      </c>
      <c r="L1028">
        <f>'Grid_Requirement'!I25</f>
        <v/>
      </c>
      <c r="M1028">
        <f>'Grid_Requirement'!J25</f>
        <v/>
      </c>
      <c r="N1028">
        <f>'Grid_Requirement'!K25</f>
        <v/>
      </c>
      <c r="O1028">
        <f>'Grid_Requirement'!L25</f>
        <v/>
      </c>
      <c r="P1028">
        <f>'Grid_Requirement'!M25</f>
        <v/>
      </c>
      <c r="Q1028">
        <f>'Grid_Requirement'!N25</f>
        <v/>
      </c>
      <c r="R1028">
        <f>'Grid_Requirement'!O25</f>
        <v/>
      </c>
      <c r="S1028">
        <f>'Grid_Requirement'!P25</f>
        <v/>
      </c>
      <c r="T1028">
        <f>'Grid_Requirement'!Q25</f>
        <v/>
      </c>
      <c r="U1028">
        <f>'Grid_Requirement'!R25</f>
        <v/>
      </c>
      <c r="V1028">
        <f>'Grid_Requirement'!S25</f>
        <v/>
      </c>
      <c r="W1028">
        <f>'Grid_Requirement'!T25</f>
        <v/>
      </c>
      <c r="X1028">
        <f>'Grid_Requirement'!U25</f>
        <v/>
      </c>
      <c r="Y1028">
        <f>'Grid_Requirement'!V25</f>
        <v/>
      </c>
      <c r="Z1028">
        <f>'Grid_Requirement'!W25</f>
        <v/>
      </c>
      <c r="AA1028">
        <f>'Grid_Requirement'!X25</f>
        <v/>
      </c>
      <c r="AB1028">
        <f>'Grid_Requirement'!Y25</f>
        <v/>
      </c>
      <c r="AC1028">
        <f>'Grid_Requirement'!Z25</f>
        <v/>
      </c>
      <c r="AD1028">
        <f>'Grid_Requirement'!AA25</f>
        <v/>
      </c>
      <c r="AE1028">
        <f>'Grid_Requirement'!AB25</f>
        <v/>
      </c>
      <c r="AF1028">
        <f>'Grid_Requirement'!AC25</f>
        <v/>
      </c>
      <c r="AG1028">
        <f>'Grid_Requirement'!AD25</f>
        <v/>
      </c>
      <c r="AH1028">
        <f>'Grid_Requirement'!AE25</f>
        <v/>
      </c>
      <c r="AI1028">
        <f>'Grid_Requirement'!AF25</f>
        <v/>
      </c>
      <c r="AJ1028">
        <f>'Grid_Requirement'!AG25</f>
        <v/>
      </c>
      <c r="AK1028">
        <f>'Grid_Requirement'!AH25</f>
        <v/>
      </c>
      <c r="AL1028">
        <f>'Grid_Requirement'!AI25</f>
        <v/>
      </c>
      <c r="AM1028">
        <f>'Grid_Requirement'!AJ25</f>
        <v/>
      </c>
      <c r="AN1028">
        <f>'Grid_Requirement'!AK25</f>
        <v/>
      </c>
      <c r="AO1028">
        <f>'Grid_Requirement'!AL25</f>
        <v/>
      </c>
      <c r="AP1028">
        <f>'Grid_Requirement'!AM25</f>
        <v/>
      </c>
      <c r="AQ1028">
        <f>'Grid_Requirement'!AN25</f>
        <v/>
      </c>
      <c r="AR1028">
        <f>'Grid_Requirement'!AO25</f>
        <v/>
      </c>
      <c r="AS1028">
        <f>'Grid_Requirement'!AP25</f>
        <v/>
      </c>
      <c r="AT1028">
        <f>'Grid_Requirement'!AQ25</f>
        <v/>
      </c>
      <c r="AU1028">
        <f>'Grid_Requirement'!AR25</f>
        <v/>
      </c>
      <c r="AV1028">
        <f>'Grid_Requirement'!AS25</f>
        <v/>
      </c>
      <c r="AW1028">
        <f>'Grid_Requirement'!AT25</f>
        <v/>
      </c>
      <c r="AX1028">
        <f>'Grid_Requirement'!AU25</f>
        <v/>
      </c>
      <c r="AY1028">
        <f>'Grid_Requirement'!AV25</f>
        <v/>
      </c>
      <c r="AZ1028">
        <f>'Grid_Requirement'!AW25</f>
        <v/>
      </c>
      <c r="BA1028">
        <f>'Grid_Requirement'!AX25</f>
        <v/>
      </c>
      <c r="BB1028">
        <f>'Grid_Requirement'!AY25</f>
        <v/>
      </c>
      <c r="BC1028">
        <f>'Grid_Requirement'!AZ25</f>
        <v/>
      </c>
      <c r="BD1028">
        <f>'Grid_Requirement'!BA25</f>
        <v/>
      </c>
      <c r="BE1028">
        <f>'Grid_Requirement'!BB25</f>
        <v/>
      </c>
      <c r="BF1028">
        <f>'Grid_Requirement'!BC25</f>
        <v/>
      </c>
      <c r="BG1028">
        <f>'Grid_Requirement'!BD25</f>
        <v/>
      </c>
      <c r="BH1028">
        <f>'Grid_Requirement'!BE25</f>
        <v/>
      </c>
      <c r="BI1028">
        <f>'Grid_Requirement'!BF25</f>
        <v/>
      </c>
      <c r="BJ1028">
        <f>'Grid_Requirement'!BG25</f>
        <v/>
      </c>
      <c r="BK1028">
        <f>'Grid_Requirement'!BH25</f>
        <v/>
      </c>
      <c r="BL1028">
        <f>'Grid_Requirement'!BI25</f>
        <v/>
      </c>
      <c r="BM1028">
        <f>'Grid_Requirement'!BJ25</f>
        <v/>
      </c>
      <c r="BN1028">
        <f>'Grid_Requirement'!BK25</f>
        <v/>
      </c>
      <c r="BO1028">
        <f>'Grid_Requirement'!BL25</f>
        <v/>
      </c>
      <c r="BP1028">
        <f>'Grid_Requirement'!BM25</f>
        <v/>
      </c>
      <c r="BQ1028">
        <f>'Grid_Requirement'!BN25</f>
        <v/>
      </c>
      <c r="BR1028">
        <f>'Grid_Requirement'!BO25</f>
        <v/>
      </c>
      <c r="BS1028">
        <f>'Grid_Requirement'!BP25</f>
        <v/>
      </c>
      <c r="BT1028">
        <f>'Grid_Requirement'!BQ25</f>
        <v/>
      </c>
      <c r="BU1028">
        <f>'Grid_Requirement'!BR25</f>
        <v/>
      </c>
      <c r="BV1028">
        <f>'Grid_Requirement'!BS25</f>
        <v/>
      </c>
      <c r="BW1028">
        <f>'Grid_Requirement'!BT25</f>
        <v/>
      </c>
      <c r="BX1028">
        <f>'Grid_Requirement'!BU25</f>
        <v/>
      </c>
      <c r="BY1028">
        <f>'Grid_Requirement'!BV25</f>
        <v/>
      </c>
      <c r="BZ1028">
        <f>'Grid_Requirement'!BW25</f>
        <v/>
      </c>
      <c r="CA1028">
        <f>'Grid_Requirement'!BX25</f>
        <v/>
      </c>
      <c r="CB1028">
        <f>'Grid_Requirement'!BY25</f>
        <v/>
      </c>
      <c r="CC1028">
        <f>'Grid_Requirement'!BZ25</f>
        <v/>
      </c>
      <c r="CD1028">
        <f>'Grid_Requirement'!CA25</f>
        <v/>
      </c>
      <c r="CE1028">
        <f>'Grid_Requirement'!CB25</f>
        <v/>
      </c>
      <c r="CF1028">
        <f>'Grid_Requirement'!CC25</f>
        <v/>
      </c>
      <c r="CG1028">
        <f>'Grid_Requirement'!CD25</f>
        <v/>
      </c>
      <c r="CH1028">
        <f>'Grid_Requirement'!CE25</f>
        <v/>
      </c>
      <c r="CI1028">
        <f>'Grid_Requirement'!CF25</f>
        <v/>
      </c>
      <c r="CJ1028">
        <f>'Grid_Requirement'!CG25</f>
        <v/>
      </c>
      <c r="CK1028">
        <f>'Grid_Requirement'!CH25</f>
        <v/>
      </c>
      <c r="CL1028">
        <f>'Grid_Requirement'!CI25</f>
        <v/>
      </c>
      <c r="CM1028">
        <f>'Grid_Requirement'!CJ25</f>
        <v/>
      </c>
      <c r="CN1028">
        <f>'Grid_Requirement'!CK25</f>
        <v/>
      </c>
      <c r="CO1028">
        <f>'Grid_Requirement'!CL25</f>
        <v/>
      </c>
      <c r="CP1028">
        <f>'Grid_Requirement'!CM25</f>
        <v/>
      </c>
      <c r="CQ1028">
        <f>'Grid_Requirement'!CN25</f>
        <v/>
      </c>
      <c r="CR1028">
        <f>'Grid_Requirement'!CO25</f>
        <v/>
      </c>
      <c r="CS1028">
        <f>'Grid_Requirement'!CP25</f>
        <v/>
      </c>
      <c r="CT1028">
        <f>'Grid_Requirement'!CQ25</f>
        <v/>
      </c>
      <c r="CU1028">
        <f>'Grid_Requirement'!CR25</f>
        <v/>
      </c>
      <c r="CV1028">
        <f>'Grid_Requirement'!CS25</f>
        <v/>
      </c>
      <c r="CW1028">
        <f>'Grid_Requirement'!CT25</f>
        <v/>
      </c>
      <c r="CX1028">
        <f>'Grid_Requirement'!CU25</f>
        <v/>
      </c>
      <c r="CY1028">
        <f>'Grid_Requirement'!CV25</f>
        <v/>
      </c>
      <c r="CZ1028">
        <f>'Grid_Requirement'!CW25</f>
        <v/>
      </c>
      <c r="DA1028">
        <f>'Grid_Requirement'!CX25</f>
        <v/>
      </c>
      <c r="DB1028">
        <f>'Grid_Requirement'!CY25</f>
        <v/>
      </c>
      <c r="DC1028">
        <f>'Grid_Requirement'!CZ25</f>
        <v/>
      </c>
      <c r="DD1028">
        <f>'Grid_Requirement'!DA25</f>
        <v/>
      </c>
    </row>
    <row r="1029">
      <c r="B1029" t="inlineStr">
        <is>
          <t>TTAF在庫(実績,kg)</t>
        </is>
      </c>
      <c r="D1029">
        <f>IFERROR(INDEX(E1029:DD1029,$F$1),"")</f>
        <v/>
      </c>
      <c r="E1029">
        <f>IFERROR(SUMIFS(T_TTAFStock[TTAF_Qty],T_TTAFStock[RM_Code],$A971,T_TTAFStock[WeekIndex],1),"")</f>
        <v/>
      </c>
      <c r="F1029">
        <f>IFERROR(SUMIFS(T_TTAFStock[TTAF_Qty],T_TTAFStock[RM_Code],$A971,T_TTAFStock[WeekIndex],2),"")</f>
        <v/>
      </c>
      <c r="G1029">
        <f>IFERROR(SUMIFS(T_TTAFStock[TTAF_Qty],T_TTAFStock[RM_Code],$A971,T_TTAFStock[WeekIndex],3),"")</f>
        <v/>
      </c>
      <c r="H1029">
        <f>IFERROR(SUMIFS(T_TTAFStock[TTAF_Qty],T_TTAFStock[RM_Code],$A971,T_TTAFStock[WeekIndex],4),"")</f>
        <v/>
      </c>
      <c r="I1029">
        <f>IFERROR(SUMIFS(T_TTAFStock[TTAF_Qty],T_TTAFStock[RM_Code],$A971,T_TTAFStock[WeekIndex],5),"")</f>
        <v/>
      </c>
      <c r="J1029">
        <f>IFERROR(SUMIFS(T_TTAFStock[TTAF_Qty],T_TTAFStock[RM_Code],$A971,T_TTAFStock[WeekIndex],6),"")</f>
        <v/>
      </c>
      <c r="K1029">
        <f>IFERROR(SUMIFS(T_TTAFStock[TTAF_Qty],T_TTAFStock[RM_Code],$A971,T_TTAFStock[WeekIndex],7),"")</f>
        <v/>
      </c>
      <c r="L1029">
        <f>IFERROR(SUMIFS(T_TTAFStock[TTAF_Qty],T_TTAFStock[RM_Code],$A971,T_TTAFStock[WeekIndex],8),"")</f>
        <v/>
      </c>
      <c r="M1029">
        <f>IFERROR(SUMIFS(T_TTAFStock[TTAF_Qty],T_TTAFStock[RM_Code],$A971,T_TTAFStock[WeekIndex],9),"")</f>
        <v/>
      </c>
      <c r="N1029">
        <f>IFERROR(SUMIFS(T_TTAFStock[TTAF_Qty],T_TTAFStock[RM_Code],$A971,T_TTAFStock[WeekIndex],10),"")</f>
        <v/>
      </c>
      <c r="O1029">
        <f>IFERROR(SUMIFS(T_TTAFStock[TTAF_Qty],T_TTAFStock[RM_Code],$A971,T_TTAFStock[WeekIndex],11),"")</f>
        <v/>
      </c>
      <c r="P1029">
        <f>IFERROR(SUMIFS(T_TTAFStock[TTAF_Qty],T_TTAFStock[RM_Code],$A971,T_TTAFStock[WeekIndex],12),"")</f>
        <v/>
      </c>
      <c r="Q1029">
        <f>IFERROR(SUMIFS(T_TTAFStock[TTAF_Qty],T_TTAFStock[RM_Code],$A971,T_TTAFStock[WeekIndex],13),"")</f>
        <v/>
      </c>
      <c r="R1029">
        <f>IFERROR(SUMIFS(T_TTAFStock[TTAF_Qty],T_TTAFStock[RM_Code],$A971,T_TTAFStock[WeekIndex],14),"")</f>
        <v/>
      </c>
      <c r="S1029">
        <f>IFERROR(SUMIFS(T_TTAFStock[TTAF_Qty],T_TTAFStock[RM_Code],$A971,T_TTAFStock[WeekIndex],15),"")</f>
        <v/>
      </c>
      <c r="T1029">
        <f>IFERROR(SUMIFS(T_TTAFStock[TTAF_Qty],T_TTAFStock[RM_Code],$A971,T_TTAFStock[WeekIndex],16),"")</f>
        <v/>
      </c>
      <c r="U1029">
        <f>IFERROR(SUMIFS(T_TTAFStock[TTAF_Qty],T_TTAFStock[RM_Code],$A971,T_TTAFStock[WeekIndex],17),"")</f>
        <v/>
      </c>
      <c r="V1029">
        <f>IFERROR(SUMIFS(T_TTAFStock[TTAF_Qty],T_TTAFStock[RM_Code],$A971,T_TTAFStock[WeekIndex],18),"")</f>
        <v/>
      </c>
      <c r="W1029">
        <f>IFERROR(SUMIFS(T_TTAFStock[TTAF_Qty],T_TTAFStock[RM_Code],$A971,T_TTAFStock[WeekIndex],19),"")</f>
        <v/>
      </c>
      <c r="X1029">
        <f>IFERROR(SUMIFS(T_TTAFStock[TTAF_Qty],T_TTAFStock[RM_Code],$A971,T_TTAFStock[WeekIndex],20),"")</f>
        <v/>
      </c>
      <c r="Y1029">
        <f>IFERROR(SUMIFS(T_TTAFStock[TTAF_Qty],T_TTAFStock[RM_Code],$A971,T_TTAFStock[WeekIndex],21),"")</f>
        <v/>
      </c>
      <c r="Z1029">
        <f>IFERROR(SUMIFS(T_TTAFStock[TTAF_Qty],T_TTAFStock[RM_Code],$A971,T_TTAFStock[WeekIndex],22),"")</f>
        <v/>
      </c>
      <c r="AA1029">
        <f>IFERROR(SUMIFS(T_TTAFStock[TTAF_Qty],T_TTAFStock[RM_Code],$A971,T_TTAFStock[WeekIndex],23),"")</f>
        <v/>
      </c>
      <c r="AB1029">
        <f>IFERROR(SUMIFS(T_TTAFStock[TTAF_Qty],T_TTAFStock[RM_Code],$A971,T_TTAFStock[WeekIndex],24),"")</f>
        <v/>
      </c>
      <c r="AC1029">
        <f>IFERROR(SUMIFS(T_TTAFStock[TTAF_Qty],T_TTAFStock[RM_Code],$A971,T_TTAFStock[WeekIndex],25),"")</f>
        <v/>
      </c>
      <c r="AD1029">
        <f>IFERROR(SUMIFS(T_TTAFStock[TTAF_Qty],T_TTAFStock[RM_Code],$A971,T_TTAFStock[WeekIndex],26),"")</f>
        <v/>
      </c>
      <c r="AE1029">
        <f>IFERROR(SUMIFS(T_TTAFStock[TTAF_Qty],T_TTAFStock[RM_Code],$A971,T_TTAFStock[WeekIndex],27),"")</f>
        <v/>
      </c>
      <c r="AF1029">
        <f>IFERROR(SUMIFS(T_TTAFStock[TTAF_Qty],T_TTAFStock[RM_Code],$A971,T_TTAFStock[WeekIndex],28),"")</f>
        <v/>
      </c>
      <c r="AG1029">
        <f>IFERROR(SUMIFS(T_TTAFStock[TTAF_Qty],T_TTAFStock[RM_Code],$A971,T_TTAFStock[WeekIndex],29),"")</f>
        <v/>
      </c>
      <c r="AH1029">
        <f>IFERROR(SUMIFS(T_TTAFStock[TTAF_Qty],T_TTAFStock[RM_Code],$A971,T_TTAFStock[WeekIndex],30),"")</f>
        <v/>
      </c>
      <c r="AI1029">
        <f>IFERROR(SUMIFS(T_TTAFStock[TTAF_Qty],T_TTAFStock[RM_Code],$A971,T_TTAFStock[WeekIndex],31),"")</f>
        <v/>
      </c>
      <c r="AJ1029">
        <f>IFERROR(SUMIFS(T_TTAFStock[TTAF_Qty],T_TTAFStock[RM_Code],$A971,T_TTAFStock[WeekIndex],32),"")</f>
        <v/>
      </c>
      <c r="AK1029">
        <f>IFERROR(SUMIFS(T_TTAFStock[TTAF_Qty],T_TTAFStock[RM_Code],$A971,T_TTAFStock[WeekIndex],33),"")</f>
        <v/>
      </c>
      <c r="AL1029">
        <f>IFERROR(SUMIFS(T_TTAFStock[TTAF_Qty],T_TTAFStock[RM_Code],$A971,T_TTAFStock[WeekIndex],34),"")</f>
        <v/>
      </c>
      <c r="AM1029">
        <f>IFERROR(SUMIFS(T_TTAFStock[TTAF_Qty],T_TTAFStock[RM_Code],$A971,T_TTAFStock[WeekIndex],35),"")</f>
        <v/>
      </c>
      <c r="AN1029">
        <f>IFERROR(SUMIFS(T_TTAFStock[TTAF_Qty],T_TTAFStock[RM_Code],$A971,T_TTAFStock[WeekIndex],36),"")</f>
        <v/>
      </c>
      <c r="AO1029">
        <f>IFERROR(SUMIFS(T_TTAFStock[TTAF_Qty],T_TTAFStock[RM_Code],$A971,T_TTAFStock[WeekIndex],37),"")</f>
        <v/>
      </c>
      <c r="AP1029">
        <f>IFERROR(SUMIFS(T_TTAFStock[TTAF_Qty],T_TTAFStock[RM_Code],$A971,T_TTAFStock[WeekIndex],38),"")</f>
        <v/>
      </c>
      <c r="AQ1029">
        <f>IFERROR(SUMIFS(T_TTAFStock[TTAF_Qty],T_TTAFStock[RM_Code],$A971,T_TTAFStock[WeekIndex],39),"")</f>
        <v/>
      </c>
      <c r="AR1029">
        <f>IFERROR(SUMIFS(T_TTAFStock[TTAF_Qty],T_TTAFStock[RM_Code],$A971,T_TTAFStock[WeekIndex],40),"")</f>
        <v/>
      </c>
      <c r="AS1029">
        <f>IFERROR(SUMIFS(T_TTAFStock[TTAF_Qty],T_TTAFStock[RM_Code],$A971,T_TTAFStock[WeekIndex],41),"")</f>
        <v/>
      </c>
      <c r="AT1029">
        <f>IFERROR(SUMIFS(T_TTAFStock[TTAF_Qty],T_TTAFStock[RM_Code],$A971,T_TTAFStock[WeekIndex],42),"")</f>
        <v/>
      </c>
      <c r="AU1029">
        <f>IFERROR(SUMIFS(T_TTAFStock[TTAF_Qty],T_TTAFStock[RM_Code],$A971,T_TTAFStock[WeekIndex],43),"")</f>
        <v/>
      </c>
      <c r="AV1029">
        <f>IFERROR(SUMIFS(T_TTAFStock[TTAF_Qty],T_TTAFStock[RM_Code],$A971,T_TTAFStock[WeekIndex],44),"")</f>
        <v/>
      </c>
      <c r="AW1029">
        <f>IFERROR(SUMIFS(T_TTAFStock[TTAF_Qty],T_TTAFStock[RM_Code],$A971,T_TTAFStock[WeekIndex],45),"")</f>
        <v/>
      </c>
      <c r="AX1029">
        <f>IFERROR(SUMIFS(T_TTAFStock[TTAF_Qty],T_TTAFStock[RM_Code],$A971,T_TTAFStock[WeekIndex],46),"")</f>
        <v/>
      </c>
      <c r="AY1029">
        <f>IFERROR(SUMIFS(T_TTAFStock[TTAF_Qty],T_TTAFStock[RM_Code],$A971,T_TTAFStock[WeekIndex],47),"")</f>
        <v/>
      </c>
      <c r="AZ1029">
        <f>IFERROR(SUMIFS(T_TTAFStock[TTAF_Qty],T_TTAFStock[RM_Code],$A971,T_TTAFStock[WeekIndex],48),"")</f>
        <v/>
      </c>
      <c r="BA1029">
        <f>IFERROR(SUMIFS(T_TTAFStock[TTAF_Qty],T_TTAFStock[RM_Code],$A971,T_TTAFStock[WeekIndex],49),"")</f>
        <v/>
      </c>
      <c r="BB1029">
        <f>IFERROR(SUMIFS(T_TTAFStock[TTAF_Qty],T_TTAFStock[RM_Code],$A971,T_TTAFStock[WeekIndex],50),"")</f>
        <v/>
      </c>
      <c r="BC1029">
        <f>IFERROR(SUMIFS(T_TTAFStock[TTAF_Qty],T_TTAFStock[RM_Code],$A971,T_TTAFStock[WeekIndex],51),"")</f>
        <v/>
      </c>
      <c r="BD1029">
        <f>IFERROR(SUMIFS(T_TTAFStock[TTAF_Qty],T_TTAFStock[RM_Code],$A971,T_TTAFStock[WeekIndex],52),"")</f>
        <v/>
      </c>
      <c r="BE1029">
        <f>IFERROR(SUMIFS(T_TTAFStock[TTAF_Qty],T_TTAFStock[RM_Code],$A971,T_TTAFStock[WeekIndex],53),"")</f>
        <v/>
      </c>
      <c r="BF1029">
        <f>IFERROR(SUMIFS(T_TTAFStock[TTAF_Qty],T_TTAFStock[RM_Code],$A971,T_TTAFStock[WeekIndex],54),"")</f>
        <v/>
      </c>
      <c r="BG1029">
        <f>IFERROR(SUMIFS(T_TTAFStock[TTAF_Qty],T_TTAFStock[RM_Code],$A971,T_TTAFStock[WeekIndex],55),"")</f>
        <v/>
      </c>
      <c r="BH1029">
        <f>IFERROR(SUMIFS(T_TTAFStock[TTAF_Qty],T_TTAFStock[RM_Code],$A971,T_TTAFStock[WeekIndex],56),"")</f>
        <v/>
      </c>
      <c r="BI1029">
        <f>IFERROR(SUMIFS(T_TTAFStock[TTAF_Qty],T_TTAFStock[RM_Code],$A971,T_TTAFStock[WeekIndex],57),"")</f>
        <v/>
      </c>
      <c r="BJ1029">
        <f>IFERROR(SUMIFS(T_TTAFStock[TTAF_Qty],T_TTAFStock[RM_Code],$A971,T_TTAFStock[WeekIndex],58),"")</f>
        <v/>
      </c>
      <c r="BK1029">
        <f>IFERROR(SUMIFS(T_TTAFStock[TTAF_Qty],T_TTAFStock[RM_Code],$A971,T_TTAFStock[WeekIndex],59),"")</f>
        <v/>
      </c>
      <c r="BL1029">
        <f>IFERROR(SUMIFS(T_TTAFStock[TTAF_Qty],T_TTAFStock[RM_Code],$A971,T_TTAFStock[WeekIndex],60),"")</f>
        <v/>
      </c>
      <c r="BM1029">
        <f>IFERROR(SUMIFS(T_TTAFStock[TTAF_Qty],T_TTAFStock[RM_Code],$A971,T_TTAFStock[WeekIndex],61),"")</f>
        <v/>
      </c>
      <c r="BN1029">
        <f>IFERROR(SUMIFS(T_TTAFStock[TTAF_Qty],T_TTAFStock[RM_Code],$A971,T_TTAFStock[WeekIndex],62),"")</f>
        <v/>
      </c>
      <c r="BO1029">
        <f>IFERROR(SUMIFS(T_TTAFStock[TTAF_Qty],T_TTAFStock[RM_Code],$A971,T_TTAFStock[WeekIndex],63),"")</f>
        <v/>
      </c>
      <c r="BP1029">
        <f>IFERROR(SUMIFS(T_TTAFStock[TTAF_Qty],T_TTAFStock[RM_Code],$A971,T_TTAFStock[WeekIndex],64),"")</f>
        <v/>
      </c>
      <c r="BQ1029">
        <f>IFERROR(SUMIFS(T_TTAFStock[TTAF_Qty],T_TTAFStock[RM_Code],$A971,T_TTAFStock[WeekIndex],65),"")</f>
        <v/>
      </c>
      <c r="BR1029">
        <f>IFERROR(SUMIFS(T_TTAFStock[TTAF_Qty],T_TTAFStock[RM_Code],$A971,T_TTAFStock[WeekIndex],66),"")</f>
        <v/>
      </c>
      <c r="BS1029">
        <f>IFERROR(SUMIFS(T_TTAFStock[TTAF_Qty],T_TTAFStock[RM_Code],$A971,T_TTAFStock[WeekIndex],67),"")</f>
        <v/>
      </c>
      <c r="BT1029">
        <f>IFERROR(SUMIFS(T_TTAFStock[TTAF_Qty],T_TTAFStock[RM_Code],$A971,T_TTAFStock[WeekIndex],68),"")</f>
        <v/>
      </c>
      <c r="BU1029">
        <f>IFERROR(SUMIFS(T_TTAFStock[TTAF_Qty],T_TTAFStock[RM_Code],$A971,T_TTAFStock[WeekIndex],69),"")</f>
        <v/>
      </c>
      <c r="BV1029">
        <f>IFERROR(SUMIFS(T_TTAFStock[TTAF_Qty],T_TTAFStock[RM_Code],$A971,T_TTAFStock[WeekIndex],70),"")</f>
        <v/>
      </c>
      <c r="BW1029">
        <f>IFERROR(SUMIFS(T_TTAFStock[TTAF_Qty],T_TTAFStock[RM_Code],$A971,T_TTAFStock[WeekIndex],71),"")</f>
        <v/>
      </c>
      <c r="BX1029">
        <f>IFERROR(SUMIFS(T_TTAFStock[TTAF_Qty],T_TTAFStock[RM_Code],$A971,T_TTAFStock[WeekIndex],72),"")</f>
        <v/>
      </c>
      <c r="BY1029">
        <f>IFERROR(SUMIFS(T_TTAFStock[TTAF_Qty],T_TTAFStock[RM_Code],$A971,T_TTAFStock[WeekIndex],73),"")</f>
        <v/>
      </c>
      <c r="BZ1029">
        <f>IFERROR(SUMIFS(T_TTAFStock[TTAF_Qty],T_TTAFStock[RM_Code],$A971,T_TTAFStock[WeekIndex],74),"")</f>
        <v/>
      </c>
      <c r="CA1029">
        <f>IFERROR(SUMIFS(T_TTAFStock[TTAF_Qty],T_TTAFStock[RM_Code],$A971,T_TTAFStock[WeekIndex],75),"")</f>
        <v/>
      </c>
      <c r="CB1029">
        <f>IFERROR(SUMIFS(T_TTAFStock[TTAF_Qty],T_TTAFStock[RM_Code],$A971,T_TTAFStock[WeekIndex],76),"")</f>
        <v/>
      </c>
      <c r="CC1029">
        <f>IFERROR(SUMIFS(T_TTAFStock[TTAF_Qty],T_TTAFStock[RM_Code],$A971,T_TTAFStock[WeekIndex],77),"")</f>
        <v/>
      </c>
      <c r="CD1029">
        <f>IFERROR(SUMIFS(T_TTAFStock[TTAF_Qty],T_TTAFStock[RM_Code],$A971,T_TTAFStock[WeekIndex],78),"")</f>
        <v/>
      </c>
      <c r="CE1029">
        <f>IFERROR(SUMIFS(T_TTAFStock[TTAF_Qty],T_TTAFStock[RM_Code],$A971,T_TTAFStock[WeekIndex],79),"")</f>
        <v/>
      </c>
      <c r="CF1029">
        <f>IFERROR(SUMIFS(T_TTAFStock[TTAF_Qty],T_TTAFStock[RM_Code],$A971,T_TTAFStock[WeekIndex],80),"")</f>
        <v/>
      </c>
      <c r="CG1029">
        <f>IFERROR(SUMIFS(T_TTAFStock[TTAF_Qty],T_TTAFStock[RM_Code],$A971,T_TTAFStock[WeekIndex],81),"")</f>
        <v/>
      </c>
      <c r="CH1029">
        <f>IFERROR(SUMIFS(T_TTAFStock[TTAF_Qty],T_TTAFStock[RM_Code],$A971,T_TTAFStock[WeekIndex],82),"")</f>
        <v/>
      </c>
      <c r="CI1029">
        <f>IFERROR(SUMIFS(T_TTAFStock[TTAF_Qty],T_TTAFStock[RM_Code],$A971,T_TTAFStock[WeekIndex],83),"")</f>
        <v/>
      </c>
      <c r="CJ1029">
        <f>IFERROR(SUMIFS(T_TTAFStock[TTAF_Qty],T_TTAFStock[RM_Code],$A971,T_TTAFStock[WeekIndex],84),"")</f>
        <v/>
      </c>
      <c r="CK1029">
        <f>IFERROR(SUMIFS(T_TTAFStock[TTAF_Qty],T_TTAFStock[RM_Code],$A971,T_TTAFStock[WeekIndex],85),"")</f>
        <v/>
      </c>
      <c r="CL1029">
        <f>IFERROR(SUMIFS(T_TTAFStock[TTAF_Qty],T_TTAFStock[RM_Code],$A971,T_TTAFStock[WeekIndex],86),"")</f>
        <v/>
      </c>
      <c r="CM1029">
        <f>IFERROR(SUMIFS(T_TTAFStock[TTAF_Qty],T_TTAFStock[RM_Code],$A971,T_TTAFStock[WeekIndex],87),"")</f>
        <v/>
      </c>
      <c r="CN1029">
        <f>IFERROR(SUMIFS(T_TTAFStock[TTAF_Qty],T_TTAFStock[RM_Code],$A971,T_TTAFStock[WeekIndex],88),"")</f>
        <v/>
      </c>
      <c r="CO1029">
        <f>IFERROR(SUMIFS(T_TTAFStock[TTAF_Qty],T_TTAFStock[RM_Code],$A971,T_TTAFStock[WeekIndex],89),"")</f>
        <v/>
      </c>
      <c r="CP1029">
        <f>IFERROR(SUMIFS(T_TTAFStock[TTAF_Qty],T_TTAFStock[RM_Code],$A971,T_TTAFStock[WeekIndex],90),"")</f>
        <v/>
      </c>
      <c r="CQ1029">
        <f>IFERROR(SUMIFS(T_TTAFStock[TTAF_Qty],T_TTAFStock[RM_Code],$A971,T_TTAFStock[WeekIndex],91),"")</f>
        <v/>
      </c>
      <c r="CR1029">
        <f>IFERROR(SUMIFS(T_TTAFStock[TTAF_Qty],T_TTAFStock[RM_Code],$A971,T_TTAFStock[WeekIndex],92),"")</f>
        <v/>
      </c>
      <c r="CS1029">
        <f>IFERROR(SUMIFS(T_TTAFStock[TTAF_Qty],T_TTAFStock[RM_Code],$A971,T_TTAFStock[WeekIndex],93),"")</f>
        <v/>
      </c>
      <c r="CT1029">
        <f>IFERROR(SUMIFS(T_TTAFStock[TTAF_Qty],T_TTAFStock[RM_Code],$A971,T_TTAFStock[WeekIndex],94),"")</f>
        <v/>
      </c>
      <c r="CU1029">
        <f>IFERROR(SUMIFS(T_TTAFStock[TTAF_Qty],T_TTAFStock[RM_Code],$A971,T_TTAFStock[WeekIndex],95),"")</f>
        <v/>
      </c>
      <c r="CV1029">
        <f>IFERROR(SUMIFS(T_TTAFStock[TTAF_Qty],T_TTAFStock[RM_Code],$A971,T_TTAFStock[WeekIndex],96),"")</f>
        <v/>
      </c>
      <c r="CW1029">
        <f>IFERROR(SUMIFS(T_TTAFStock[TTAF_Qty],T_TTAFStock[RM_Code],$A971,T_TTAFStock[WeekIndex],97),"")</f>
        <v/>
      </c>
      <c r="CX1029">
        <f>IFERROR(SUMIFS(T_TTAFStock[TTAF_Qty],T_TTAFStock[RM_Code],$A971,T_TTAFStock[WeekIndex],98),"")</f>
        <v/>
      </c>
      <c r="CY1029">
        <f>IFERROR(SUMIFS(T_TTAFStock[TTAF_Qty],T_TTAFStock[RM_Code],$A971,T_TTAFStock[WeekIndex],99),"")</f>
        <v/>
      </c>
      <c r="CZ1029">
        <f>IFERROR(SUMIFS(T_TTAFStock[TTAF_Qty],T_TTAFStock[RM_Code],$A971,T_TTAFStock[WeekIndex],100),"")</f>
        <v/>
      </c>
      <c r="DA1029">
        <f>IFERROR(SUMIFS(T_TTAFStock[TTAF_Qty],T_TTAFStock[RM_Code],$A971,T_TTAFStock[WeekIndex],101),"")</f>
        <v/>
      </c>
      <c r="DB1029">
        <f>IFERROR(SUMIFS(T_TTAFStock[TTAF_Qty],T_TTAFStock[RM_Code],$A971,T_TTAFStock[WeekIndex],102),"")</f>
        <v/>
      </c>
      <c r="DC1029">
        <f>IFERROR(SUMIFS(T_TTAFStock[TTAF_Qty],T_TTAFStock[RM_Code],$A971,T_TTAFStock[WeekIndex],103),"")</f>
        <v/>
      </c>
      <c r="DD1029">
        <f>IFERROR(SUMIFS(T_TTAFStock[TTAF_Qty],T_TTAFStock[RM_Code],$A971,T_TTAFStock[WeekIndex],104),"")</f>
        <v/>
      </c>
    </row>
    <row r="1030">
      <c r="B1030" t="inlineStr">
        <is>
          <t>自社在庫(実績,kg)</t>
        </is>
      </c>
      <c r="D1030">
        <f>IFERROR(INDEX(E1030:DD1030,$F$1),"")</f>
        <v/>
      </c>
      <c r="E1030">
        <f>IFERROR(SUMIFS(T_SelfStock[Self_Qty],T_SelfStock[RM_Code],$A971,T_SelfStock[WeekIndex],1),"")</f>
        <v/>
      </c>
      <c r="F1030">
        <f>IFERROR(SUMIFS(T_SelfStock[Self_Qty],T_SelfStock[RM_Code],$A971,T_SelfStock[WeekIndex],2),"")</f>
        <v/>
      </c>
      <c r="G1030">
        <f>IFERROR(SUMIFS(T_SelfStock[Self_Qty],T_SelfStock[RM_Code],$A971,T_SelfStock[WeekIndex],3),"")</f>
        <v/>
      </c>
      <c r="H1030">
        <f>IFERROR(SUMIFS(T_SelfStock[Self_Qty],T_SelfStock[RM_Code],$A971,T_SelfStock[WeekIndex],4),"")</f>
        <v/>
      </c>
      <c r="I1030">
        <f>IFERROR(SUMIFS(T_SelfStock[Self_Qty],T_SelfStock[RM_Code],$A971,T_SelfStock[WeekIndex],5),"")</f>
        <v/>
      </c>
      <c r="J1030">
        <f>IFERROR(SUMIFS(T_SelfStock[Self_Qty],T_SelfStock[RM_Code],$A971,T_SelfStock[WeekIndex],6),"")</f>
        <v/>
      </c>
      <c r="K1030">
        <f>IFERROR(SUMIFS(T_SelfStock[Self_Qty],T_SelfStock[RM_Code],$A971,T_SelfStock[WeekIndex],7),"")</f>
        <v/>
      </c>
      <c r="L1030">
        <f>IFERROR(SUMIFS(T_SelfStock[Self_Qty],T_SelfStock[RM_Code],$A971,T_SelfStock[WeekIndex],8),"")</f>
        <v/>
      </c>
      <c r="M1030">
        <f>IFERROR(SUMIFS(T_SelfStock[Self_Qty],T_SelfStock[RM_Code],$A971,T_SelfStock[WeekIndex],9),"")</f>
        <v/>
      </c>
      <c r="N1030">
        <f>IFERROR(SUMIFS(T_SelfStock[Self_Qty],T_SelfStock[RM_Code],$A971,T_SelfStock[WeekIndex],10),"")</f>
        <v/>
      </c>
      <c r="O1030">
        <f>IFERROR(SUMIFS(T_SelfStock[Self_Qty],T_SelfStock[RM_Code],$A971,T_SelfStock[WeekIndex],11),"")</f>
        <v/>
      </c>
      <c r="P1030">
        <f>IFERROR(SUMIFS(T_SelfStock[Self_Qty],T_SelfStock[RM_Code],$A971,T_SelfStock[WeekIndex],12),"")</f>
        <v/>
      </c>
      <c r="Q1030">
        <f>IFERROR(SUMIFS(T_SelfStock[Self_Qty],T_SelfStock[RM_Code],$A971,T_SelfStock[WeekIndex],13),"")</f>
        <v/>
      </c>
      <c r="R1030">
        <f>IFERROR(SUMIFS(T_SelfStock[Self_Qty],T_SelfStock[RM_Code],$A971,T_SelfStock[WeekIndex],14),"")</f>
        <v/>
      </c>
      <c r="S1030">
        <f>IFERROR(SUMIFS(T_SelfStock[Self_Qty],T_SelfStock[RM_Code],$A971,T_SelfStock[WeekIndex],15),"")</f>
        <v/>
      </c>
      <c r="T1030">
        <f>IFERROR(SUMIFS(T_SelfStock[Self_Qty],T_SelfStock[RM_Code],$A971,T_SelfStock[WeekIndex],16),"")</f>
        <v/>
      </c>
      <c r="U1030">
        <f>IFERROR(SUMIFS(T_SelfStock[Self_Qty],T_SelfStock[RM_Code],$A971,T_SelfStock[WeekIndex],17),"")</f>
        <v/>
      </c>
      <c r="V1030">
        <f>IFERROR(SUMIFS(T_SelfStock[Self_Qty],T_SelfStock[RM_Code],$A971,T_SelfStock[WeekIndex],18),"")</f>
        <v/>
      </c>
      <c r="W1030">
        <f>IFERROR(SUMIFS(T_SelfStock[Self_Qty],T_SelfStock[RM_Code],$A971,T_SelfStock[WeekIndex],19),"")</f>
        <v/>
      </c>
      <c r="X1030">
        <f>IFERROR(SUMIFS(T_SelfStock[Self_Qty],T_SelfStock[RM_Code],$A971,T_SelfStock[WeekIndex],20),"")</f>
        <v/>
      </c>
      <c r="Y1030">
        <f>IFERROR(SUMIFS(T_SelfStock[Self_Qty],T_SelfStock[RM_Code],$A971,T_SelfStock[WeekIndex],21),"")</f>
        <v/>
      </c>
      <c r="Z1030">
        <f>IFERROR(SUMIFS(T_SelfStock[Self_Qty],T_SelfStock[RM_Code],$A971,T_SelfStock[WeekIndex],22),"")</f>
        <v/>
      </c>
      <c r="AA1030">
        <f>IFERROR(SUMIFS(T_SelfStock[Self_Qty],T_SelfStock[RM_Code],$A971,T_SelfStock[WeekIndex],23),"")</f>
        <v/>
      </c>
      <c r="AB1030">
        <f>IFERROR(SUMIFS(T_SelfStock[Self_Qty],T_SelfStock[RM_Code],$A971,T_SelfStock[WeekIndex],24),"")</f>
        <v/>
      </c>
      <c r="AC1030">
        <f>IFERROR(SUMIFS(T_SelfStock[Self_Qty],T_SelfStock[RM_Code],$A971,T_SelfStock[WeekIndex],25),"")</f>
        <v/>
      </c>
      <c r="AD1030">
        <f>IFERROR(SUMIFS(T_SelfStock[Self_Qty],T_SelfStock[RM_Code],$A971,T_SelfStock[WeekIndex],26),"")</f>
        <v/>
      </c>
      <c r="AE1030">
        <f>IFERROR(SUMIFS(T_SelfStock[Self_Qty],T_SelfStock[RM_Code],$A971,T_SelfStock[WeekIndex],27),"")</f>
        <v/>
      </c>
      <c r="AF1030">
        <f>IFERROR(SUMIFS(T_SelfStock[Self_Qty],T_SelfStock[RM_Code],$A971,T_SelfStock[WeekIndex],28),"")</f>
        <v/>
      </c>
      <c r="AG1030">
        <f>IFERROR(SUMIFS(T_SelfStock[Self_Qty],T_SelfStock[RM_Code],$A971,T_SelfStock[WeekIndex],29),"")</f>
        <v/>
      </c>
      <c r="AH1030">
        <f>IFERROR(SUMIFS(T_SelfStock[Self_Qty],T_SelfStock[RM_Code],$A971,T_SelfStock[WeekIndex],30),"")</f>
        <v/>
      </c>
      <c r="AI1030">
        <f>IFERROR(SUMIFS(T_SelfStock[Self_Qty],T_SelfStock[RM_Code],$A971,T_SelfStock[WeekIndex],31),"")</f>
        <v/>
      </c>
      <c r="AJ1030">
        <f>IFERROR(SUMIFS(T_SelfStock[Self_Qty],T_SelfStock[RM_Code],$A971,T_SelfStock[WeekIndex],32),"")</f>
        <v/>
      </c>
      <c r="AK1030">
        <f>IFERROR(SUMIFS(T_SelfStock[Self_Qty],T_SelfStock[RM_Code],$A971,T_SelfStock[WeekIndex],33),"")</f>
        <v/>
      </c>
      <c r="AL1030">
        <f>IFERROR(SUMIFS(T_SelfStock[Self_Qty],T_SelfStock[RM_Code],$A971,T_SelfStock[WeekIndex],34),"")</f>
        <v/>
      </c>
      <c r="AM1030">
        <f>IFERROR(SUMIFS(T_SelfStock[Self_Qty],T_SelfStock[RM_Code],$A971,T_SelfStock[WeekIndex],35),"")</f>
        <v/>
      </c>
      <c r="AN1030">
        <f>IFERROR(SUMIFS(T_SelfStock[Self_Qty],T_SelfStock[RM_Code],$A971,T_SelfStock[WeekIndex],36),"")</f>
        <v/>
      </c>
      <c r="AO1030">
        <f>IFERROR(SUMIFS(T_SelfStock[Self_Qty],T_SelfStock[RM_Code],$A971,T_SelfStock[WeekIndex],37),"")</f>
        <v/>
      </c>
      <c r="AP1030">
        <f>IFERROR(SUMIFS(T_SelfStock[Self_Qty],T_SelfStock[RM_Code],$A971,T_SelfStock[WeekIndex],38),"")</f>
        <v/>
      </c>
      <c r="AQ1030">
        <f>IFERROR(SUMIFS(T_SelfStock[Self_Qty],T_SelfStock[RM_Code],$A971,T_SelfStock[WeekIndex],39),"")</f>
        <v/>
      </c>
      <c r="AR1030">
        <f>IFERROR(SUMIFS(T_SelfStock[Self_Qty],T_SelfStock[RM_Code],$A971,T_SelfStock[WeekIndex],40),"")</f>
        <v/>
      </c>
      <c r="AS1030">
        <f>IFERROR(SUMIFS(T_SelfStock[Self_Qty],T_SelfStock[RM_Code],$A971,T_SelfStock[WeekIndex],41),"")</f>
        <v/>
      </c>
      <c r="AT1030">
        <f>IFERROR(SUMIFS(T_SelfStock[Self_Qty],T_SelfStock[RM_Code],$A971,T_SelfStock[WeekIndex],42),"")</f>
        <v/>
      </c>
      <c r="AU1030">
        <f>IFERROR(SUMIFS(T_SelfStock[Self_Qty],T_SelfStock[RM_Code],$A971,T_SelfStock[WeekIndex],43),"")</f>
        <v/>
      </c>
      <c r="AV1030">
        <f>IFERROR(SUMIFS(T_SelfStock[Self_Qty],T_SelfStock[RM_Code],$A971,T_SelfStock[WeekIndex],44),"")</f>
        <v/>
      </c>
      <c r="AW1030">
        <f>IFERROR(SUMIFS(T_SelfStock[Self_Qty],T_SelfStock[RM_Code],$A971,T_SelfStock[WeekIndex],45),"")</f>
        <v/>
      </c>
      <c r="AX1030">
        <f>IFERROR(SUMIFS(T_SelfStock[Self_Qty],T_SelfStock[RM_Code],$A971,T_SelfStock[WeekIndex],46),"")</f>
        <v/>
      </c>
      <c r="AY1030">
        <f>IFERROR(SUMIFS(T_SelfStock[Self_Qty],T_SelfStock[RM_Code],$A971,T_SelfStock[WeekIndex],47),"")</f>
        <v/>
      </c>
      <c r="AZ1030">
        <f>IFERROR(SUMIFS(T_SelfStock[Self_Qty],T_SelfStock[RM_Code],$A971,T_SelfStock[WeekIndex],48),"")</f>
        <v/>
      </c>
      <c r="BA1030">
        <f>IFERROR(SUMIFS(T_SelfStock[Self_Qty],T_SelfStock[RM_Code],$A971,T_SelfStock[WeekIndex],49),"")</f>
        <v/>
      </c>
      <c r="BB1030">
        <f>IFERROR(SUMIFS(T_SelfStock[Self_Qty],T_SelfStock[RM_Code],$A971,T_SelfStock[WeekIndex],50),"")</f>
        <v/>
      </c>
      <c r="BC1030">
        <f>IFERROR(SUMIFS(T_SelfStock[Self_Qty],T_SelfStock[RM_Code],$A971,T_SelfStock[WeekIndex],51),"")</f>
        <v/>
      </c>
      <c r="BD1030">
        <f>IFERROR(SUMIFS(T_SelfStock[Self_Qty],T_SelfStock[RM_Code],$A971,T_SelfStock[WeekIndex],52),"")</f>
        <v/>
      </c>
      <c r="BE1030">
        <f>IFERROR(SUMIFS(T_SelfStock[Self_Qty],T_SelfStock[RM_Code],$A971,T_SelfStock[WeekIndex],53),"")</f>
        <v/>
      </c>
      <c r="BF1030">
        <f>IFERROR(SUMIFS(T_SelfStock[Self_Qty],T_SelfStock[RM_Code],$A971,T_SelfStock[WeekIndex],54),"")</f>
        <v/>
      </c>
      <c r="BG1030">
        <f>IFERROR(SUMIFS(T_SelfStock[Self_Qty],T_SelfStock[RM_Code],$A971,T_SelfStock[WeekIndex],55),"")</f>
        <v/>
      </c>
      <c r="BH1030">
        <f>IFERROR(SUMIFS(T_SelfStock[Self_Qty],T_SelfStock[RM_Code],$A971,T_SelfStock[WeekIndex],56),"")</f>
        <v/>
      </c>
      <c r="BI1030">
        <f>IFERROR(SUMIFS(T_SelfStock[Self_Qty],T_SelfStock[RM_Code],$A971,T_SelfStock[WeekIndex],57),"")</f>
        <v/>
      </c>
      <c r="BJ1030">
        <f>IFERROR(SUMIFS(T_SelfStock[Self_Qty],T_SelfStock[RM_Code],$A971,T_SelfStock[WeekIndex],58),"")</f>
        <v/>
      </c>
      <c r="BK1030">
        <f>IFERROR(SUMIFS(T_SelfStock[Self_Qty],T_SelfStock[RM_Code],$A971,T_SelfStock[WeekIndex],59),"")</f>
        <v/>
      </c>
      <c r="BL1030">
        <f>IFERROR(SUMIFS(T_SelfStock[Self_Qty],T_SelfStock[RM_Code],$A971,T_SelfStock[WeekIndex],60),"")</f>
        <v/>
      </c>
      <c r="BM1030">
        <f>IFERROR(SUMIFS(T_SelfStock[Self_Qty],T_SelfStock[RM_Code],$A971,T_SelfStock[WeekIndex],61),"")</f>
        <v/>
      </c>
      <c r="BN1030">
        <f>IFERROR(SUMIFS(T_SelfStock[Self_Qty],T_SelfStock[RM_Code],$A971,T_SelfStock[WeekIndex],62),"")</f>
        <v/>
      </c>
      <c r="BO1030">
        <f>IFERROR(SUMIFS(T_SelfStock[Self_Qty],T_SelfStock[RM_Code],$A971,T_SelfStock[WeekIndex],63),"")</f>
        <v/>
      </c>
      <c r="BP1030">
        <f>IFERROR(SUMIFS(T_SelfStock[Self_Qty],T_SelfStock[RM_Code],$A971,T_SelfStock[WeekIndex],64),"")</f>
        <v/>
      </c>
      <c r="BQ1030">
        <f>IFERROR(SUMIFS(T_SelfStock[Self_Qty],T_SelfStock[RM_Code],$A971,T_SelfStock[WeekIndex],65),"")</f>
        <v/>
      </c>
      <c r="BR1030">
        <f>IFERROR(SUMIFS(T_SelfStock[Self_Qty],T_SelfStock[RM_Code],$A971,T_SelfStock[WeekIndex],66),"")</f>
        <v/>
      </c>
      <c r="BS1030">
        <f>IFERROR(SUMIFS(T_SelfStock[Self_Qty],T_SelfStock[RM_Code],$A971,T_SelfStock[WeekIndex],67),"")</f>
        <v/>
      </c>
      <c r="BT1030">
        <f>IFERROR(SUMIFS(T_SelfStock[Self_Qty],T_SelfStock[RM_Code],$A971,T_SelfStock[WeekIndex],68),"")</f>
        <v/>
      </c>
      <c r="BU1030">
        <f>IFERROR(SUMIFS(T_SelfStock[Self_Qty],T_SelfStock[RM_Code],$A971,T_SelfStock[WeekIndex],69),"")</f>
        <v/>
      </c>
      <c r="BV1030">
        <f>IFERROR(SUMIFS(T_SelfStock[Self_Qty],T_SelfStock[RM_Code],$A971,T_SelfStock[WeekIndex],70),"")</f>
        <v/>
      </c>
      <c r="BW1030">
        <f>IFERROR(SUMIFS(T_SelfStock[Self_Qty],T_SelfStock[RM_Code],$A971,T_SelfStock[WeekIndex],71),"")</f>
        <v/>
      </c>
      <c r="BX1030">
        <f>IFERROR(SUMIFS(T_SelfStock[Self_Qty],T_SelfStock[RM_Code],$A971,T_SelfStock[WeekIndex],72),"")</f>
        <v/>
      </c>
      <c r="BY1030">
        <f>IFERROR(SUMIFS(T_SelfStock[Self_Qty],T_SelfStock[RM_Code],$A971,T_SelfStock[WeekIndex],73),"")</f>
        <v/>
      </c>
      <c r="BZ1030">
        <f>IFERROR(SUMIFS(T_SelfStock[Self_Qty],T_SelfStock[RM_Code],$A971,T_SelfStock[WeekIndex],74),"")</f>
        <v/>
      </c>
      <c r="CA1030">
        <f>IFERROR(SUMIFS(T_SelfStock[Self_Qty],T_SelfStock[RM_Code],$A971,T_SelfStock[WeekIndex],75),"")</f>
        <v/>
      </c>
      <c r="CB1030">
        <f>IFERROR(SUMIFS(T_SelfStock[Self_Qty],T_SelfStock[RM_Code],$A971,T_SelfStock[WeekIndex],76),"")</f>
        <v/>
      </c>
      <c r="CC1030">
        <f>IFERROR(SUMIFS(T_SelfStock[Self_Qty],T_SelfStock[RM_Code],$A971,T_SelfStock[WeekIndex],77),"")</f>
        <v/>
      </c>
      <c r="CD1030">
        <f>IFERROR(SUMIFS(T_SelfStock[Self_Qty],T_SelfStock[RM_Code],$A971,T_SelfStock[WeekIndex],78),"")</f>
        <v/>
      </c>
      <c r="CE1030">
        <f>IFERROR(SUMIFS(T_SelfStock[Self_Qty],T_SelfStock[RM_Code],$A971,T_SelfStock[WeekIndex],79),"")</f>
        <v/>
      </c>
      <c r="CF1030">
        <f>IFERROR(SUMIFS(T_SelfStock[Self_Qty],T_SelfStock[RM_Code],$A971,T_SelfStock[WeekIndex],80),"")</f>
        <v/>
      </c>
      <c r="CG1030">
        <f>IFERROR(SUMIFS(T_SelfStock[Self_Qty],T_SelfStock[RM_Code],$A971,T_SelfStock[WeekIndex],81),"")</f>
        <v/>
      </c>
      <c r="CH1030">
        <f>IFERROR(SUMIFS(T_SelfStock[Self_Qty],T_SelfStock[RM_Code],$A971,T_SelfStock[WeekIndex],82),"")</f>
        <v/>
      </c>
      <c r="CI1030">
        <f>IFERROR(SUMIFS(T_SelfStock[Self_Qty],T_SelfStock[RM_Code],$A971,T_SelfStock[WeekIndex],83),"")</f>
        <v/>
      </c>
      <c r="CJ1030">
        <f>IFERROR(SUMIFS(T_SelfStock[Self_Qty],T_SelfStock[RM_Code],$A971,T_SelfStock[WeekIndex],84),"")</f>
        <v/>
      </c>
      <c r="CK1030">
        <f>IFERROR(SUMIFS(T_SelfStock[Self_Qty],T_SelfStock[RM_Code],$A971,T_SelfStock[WeekIndex],85),"")</f>
        <v/>
      </c>
      <c r="CL1030">
        <f>IFERROR(SUMIFS(T_SelfStock[Self_Qty],T_SelfStock[RM_Code],$A971,T_SelfStock[WeekIndex],86),"")</f>
        <v/>
      </c>
      <c r="CM1030">
        <f>IFERROR(SUMIFS(T_SelfStock[Self_Qty],T_SelfStock[RM_Code],$A971,T_SelfStock[WeekIndex],87),"")</f>
        <v/>
      </c>
      <c r="CN1030">
        <f>IFERROR(SUMIFS(T_SelfStock[Self_Qty],T_SelfStock[RM_Code],$A971,T_SelfStock[WeekIndex],88),"")</f>
        <v/>
      </c>
      <c r="CO1030">
        <f>IFERROR(SUMIFS(T_SelfStock[Self_Qty],T_SelfStock[RM_Code],$A971,T_SelfStock[WeekIndex],89),"")</f>
        <v/>
      </c>
      <c r="CP1030">
        <f>IFERROR(SUMIFS(T_SelfStock[Self_Qty],T_SelfStock[RM_Code],$A971,T_SelfStock[WeekIndex],90),"")</f>
        <v/>
      </c>
      <c r="CQ1030">
        <f>IFERROR(SUMIFS(T_SelfStock[Self_Qty],T_SelfStock[RM_Code],$A971,T_SelfStock[WeekIndex],91),"")</f>
        <v/>
      </c>
      <c r="CR1030">
        <f>IFERROR(SUMIFS(T_SelfStock[Self_Qty],T_SelfStock[RM_Code],$A971,T_SelfStock[WeekIndex],92),"")</f>
        <v/>
      </c>
      <c r="CS1030">
        <f>IFERROR(SUMIFS(T_SelfStock[Self_Qty],T_SelfStock[RM_Code],$A971,T_SelfStock[WeekIndex],93),"")</f>
        <v/>
      </c>
      <c r="CT1030">
        <f>IFERROR(SUMIFS(T_SelfStock[Self_Qty],T_SelfStock[RM_Code],$A971,T_SelfStock[WeekIndex],94),"")</f>
        <v/>
      </c>
      <c r="CU1030">
        <f>IFERROR(SUMIFS(T_SelfStock[Self_Qty],T_SelfStock[RM_Code],$A971,T_SelfStock[WeekIndex],95),"")</f>
        <v/>
      </c>
      <c r="CV1030">
        <f>IFERROR(SUMIFS(T_SelfStock[Self_Qty],T_SelfStock[RM_Code],$A971,T_SelfStock[WeekIndex],96),"")</f>
        <v/>
      </c>
      <c r="CW1030">
        <f>IFERROR(SUMIFS(T_SelfStock[Self_Qty],T_SelfStock[RM_Code],$A971,T_SelfStock[WeekIndex],97),"")</f>
        <v/>
      </c>
      <c r="CX1030">
        <f>IFERROR(SUMIFS(T_SelfStock[Self_Qty],T_SelfStock[RM_Code],$A971,T_SelfStock[WeekIndex],98),"")</f>
        <v/>
      </c>
      <c r="CY1030">
        <f>IFERROR(SUMIFS(T_SelfStock[Self_Qty],T_SelfStock[RM_Code],$A971,T_SelfStock[WeekIndex],99),"")</f>
        <v/>
      </c>
      <c r="CZ1030">
        <f>IFERROR(SUMIFS(T_SelfStock[Self_Qty],T_SelfStock[RM_Code],$A971,T_SelfStock[WeekIndex],100),"")</f>
        <v/>
      </c>
      <c r="DA1030">
        <f>IFERROR(SUMIFS(T_SelfStock[Self_Qty],T_SelfStock[RM_Code],$A971,T_SelfStock[WeekIndex],101),"")</f>
        <v/>
      </c>
      <c r="DB1030">
        <f>IFERROR(SUMIFS(T_SelfStock[Self_Qty],T_SelfStock[RM_Code],$A971,T_SelfStock[WeekIndex],102),"")</f>
        <v/>
      </c>
      <c r="DC1030">
        <f>IFERROR(SUMIFS(T_SelfStock[Self_Qty],T_SelfStock[RM_Code],$A971,T_SelfStock[WeekIndex],103),"")</f>
        <v/>
      </c>
      <c r="DD1030">
        <f>IFERROR(SUMIFS(T_SelfStock[Self_Qty],T_SelfStock[RM_Code],$A971,T_SelfStock[WeekIndex],104),"")</f>
        <v/>
      </c>
    </row>
    <row r="1031">
      <c r="B1031" s="4" t="inlineStr">
        <is>
          <t>合計在庫(週末時点,kg)</t>
        </is>
      </c>
      <c r="D1031" s="24">
        <f>IFERROR(INDEX(E1031:DD1031,$F$1),"")</f>
        <v/>
      </c>
      <c r="E1031">
        <f>'Grid_Stock'!B25</f>
        <v/>
      </c>
      <c r="F1031">
        <f>'Grid_Stock'!C25</f>
        <v/>
      </c>
      <c r="G1031">
        <f>'Grid_Stock'!D25</f>
        <v/>
      </c>
      <c r="H1031">
        <f>'Grid_Stock'!E25</f>
        <v/>
      </c>
      <c r="I1031">
        <f>'Grid_Stock'!F25</f>
        <v/>
      </c>
      <c r="J1031">
        <f>'Grid_Stock'!G25</f>
        <v/>
      </c>
      <c r="K1031">
        <f>'Grid_Stock'!H25</f>
        <v/>
      </c>
      <c r="L1031">
        <f>'Grid_Stock'!I25</f>
        <v/>
      </c>
      <c r="M1031">
        <f>'Grid_Stock'!J25</f>
        <v/>
      </c>
      <c r="N1031">
        <f>'Grid_Stock'!K25</f>
        <v/>
      </c>
      <c r="O1031">
        <f>'Grid_Stock'!L25</f>
        <v/>
      </c>
      <c r="P1031">
        <f>'Grid_Stock'!M25</f>
        <v/>
      </c>
      <c r="Q1031">
        <f>'Grid_Stock'!N25</f>
        <v/>
      </c>
      <c r="R1031">
        <f>'Grid_Stock'!O25</f>
        <v/>
      </c>
      <c r="S1031">
        <f>'Grid_Stock'!P25</f>
        <v/>
      </c>
      <c r="T1031">
        <f>'Grid_Stock'!Q25</f>
        <v/>
      </c>
      <c r="U1031">
        <f>'Grid_Stock'!R25</f>
        <v/>
      </c>
      <c r="V1031">
        <f>'Grid_Stock'!S25</f>
        <v/>
      </c>
      <c r="W1031">
        <f>'Grid_Stock'!T25</f>
        <v/>
      </c>
      <c r="X1031">
        <f>'Grid_Stock'!U25</f>
        <v/>
      </c>
      <c r="Y1031">
        <f>'Grid_Stock'!V25</f>
        <v/>
      </c>
      <c r="Z1031">
        <f>'Grid_Stock'!W25</f>
        <v/>
      </c>
      <c r="AA1031">
        <f>'Grid_Stock'!X25</f>
        <v/>
      </c>
      <c r="AB1031">
        <f>'Grid_Stock'!Y25</f>
        <v/>
      </c>
      <c r="AC1031">
        <f>'Grid_Stock'!Z25</f>
        <v/>
      </c>
      <c r="AD1031">
        <f>'Grid_Stock'!AA25</f>
        <v/>
      </c>
      <c r="AE1031">
        <f>'Grid_Stock'!AB25</f>
        <v/>
      </c>
      <c r="AF1031">
        <f>'Grid_Stock'!AC25</f>
        <v/>
      </c>
      <c r="AG1031">
        <f>'Grid_Stock'!AD25</f>
        <v/>
      </c>
      <c r="AH1031">
        <f>'Grid_Stock'!AE25</f>
        <v/>
      </c>
      <c r="AI1031">
        <f>'Grid_Stock'!AF25</f>
        <v/>
      </c>
      <c r="AJ1031">
        <f>'Grid_Stock'!AG25</f>
        <v/>
      </c>
      <c r="AK1031">
        <f>'Grid_Stock'!AH25</f>
        <v/>
      </c>
      <c r="AL1031">
        <f>'Grid_Stock'!AI25</f>
        <v/>
      </c>
      <c r="AM1031">
        <f>'Grid_Stock'!AJ25</f>
        <v/>
      </c>
      <c r="AN1031">
        <f>'Grid_Stock'!AK25</f>
        <v/>
      </c>
      <c r="AO1031">
        <f>'Grid_Stock'!AL25</f>
        <v/>
      </c>
      <c r="AP1031">
        <f>'Grid_Stock'!AM25</f>
        <v/>
      </c>
      <c r="AQ1031">
        <f>'Grid_Stock'!AN25</f>
        <v/>
      </c>
      <c r="AR1031">
        <f>'Grid_Stock'!AO25</f>
        <v/>
      </c>
      <c r="AS1031">
        <f>'Grid_Stock'!AP25</f>
        <v/>
      </c>
      <c r="AT1031">
        <f>'Grid_Stock'!AQ25</f>
        <v/>
      </c>
      <c r="AU1031">
        <f>'Grid_Stock'!AR25</f>
        <v/>
      </c>
      <c r="AV1031">
        <f>'Grid_Stock'!AS25</f>
        <v/>
      </c>
      <c r="AW1031">
        <f>'Grid_Stock'!AT25</f>
        <v/>
      </c>
      <c r="AX1031">
        <f>'Grid_Stock'!AU25</f>
        <v/>
      </c>
      <c r="AY1031">
        <f>'Grid_Stock'!AV25</f>
        <v/>
      </c>
      <c r="AZ1031">
        <f>'Grid_Stock'!AW25</f>
        <v/>
      </c>
      <c r="BA1031">
        <f>'Grid_Stock'!AX25</f>
        <v/>
      </c>
      <c r="BB1031">
        <f>'Grid_Stock'!AY25</f>
        <v/>
      </c>
      <c r="BC1031">
        <f>'Grid_Stock'!AZ25</f>
        <v/>
      </c>
      <c r="BD1031">
        <f>'Grid_Stock'!BA25</f>
        <v/>
      </c>
      <c r="BE1031">
        <f>'Grid_Stock'!BB25</f>
        <v/>
      </c>
      <c r="BF1031">
        <f>'Grid_Stock'!BC25</f>
        <v/>
      </c>
      <c r="BG1031">
        <f>'Grid_Stock'!BD25</f>
        <v/>
      </c>
      <c r="BH1031">
        <f>'Grid_Stock'!BE25</f>
        <v/>
      </c>
      <c r="BI1031">
        <f>'Grid_Stock'!BF25</f>
        <v/>
      </c>
      <c r="BJ1031">
        <f>'Grid_Stock'!BG25</f>
        <v/>
      </c>
      <c r="BK1031">
        <f>'Grid_Stock'!BH25</f>
        <v/>
      </c>
      <c r="BL1031">
        <f>'Grid_Stock'!BI25</f>
        <v/>
      </c>
      <c r="BM1031">
        <f>'Grid_Stock'!BJ25</f>
        <v/>
      </c>
      <c r="BN1031">
        <f>'Grid_Stock'!BK25</f>
        <v/>
      </c>
      <c r="BO1031">
        <f>'Grid_Stock'!BL25</f>
        <v/>
      </c>
      <c r="BP1031">
        <f>'Grid_Stock'!BM25</f>
        <v/>
      </c>
      <c r="BQ1031">
        <f>'Grid_Stock'!BN25</f>
        <v/>
      </c>
      <c r="BR1031">
        <f>'Grid_Stock'!BO25</f>
        <v/>
      </c>
      <c r="BS1031">
        <f>'Grid_Stock'!BP25</f>
        <v/>
      </c>
      <c r="BT1031">
        <f>'Grid_Stock'!BQ25</f>
        <v/>
      </c>
      <c r="BU1031">
        <f>'Grid_Stock'!BR25</f>
        <v/>
      </c>
      <c r="BV1031">
        <f>'Grid_Stock'!BS25</f>
        <v/>
      </c>
      <c r="BW1031">
        <f>'Grid_Stock'!BT25</f>
        <v/>
      </c>
      <c r="BX1031">
        <f>'Grid_Stock'!BU25</f>
        <v/>
      </c>
      <c r="BY1031">
        <f>'Grid_Stock'!BV25</f>
        <v/>
      </c>
      <c r="BZ1031">
        <f>'Grid_Stock'!BW25</f>
        <v/>
      </c>
      <c r="CA1031">
        <f>'Grid_Stock'!BX25</f>
        <v/>
      </c>
      <c r="CB1031">
        <f>'Grid_Stock'!BY25</f>
        <v/>
      </c>
      <c r="CC1031">
        <f>'Grid_Stock'!BZ25</f>
        <v/>
      </c>
      <c r="CD1031">
        <f>'Grid_Stock'!CA25</f>
        <v/>
      </c>
      <c r="CE1031">
        <f>'Grid_Stock'!CB25</f>
        <v/>
      </c>
      <c r="CF1031">
        <f>'Grid_Stock'!CC25</f>
        <v/>
      </c>
      <c r="CG1031">
        <f>'Grid_Stock'!CD25</f>
        <v/>
      </c>
      <c r="CH1031">
        <f>'Grid_Stock'!CE25</f>
        <v/>
      </c>
      <c r="CI1031">
        <f>'Grid_Stock'!CF25</f>
        <v/>
      </c>
      <c r="CJ1031">
        <f>'Grid_Stock'!CG25</f>
        <v/>
      </c>
      <c r="CK1031">
        <f>'Grid_Stock'!CH25</f>
        <v/>
      </c>
      <c r="CL1031">
        <f>'Grid_Stock'!CI25</f>
        <v/>
      </c>
      <c r="CM1031">
        <f>'Grid_Stock'!CJ25</f>
        <v/>
      </c>
      <c r="CN1031">
        <f>'Grid_Stock'!CK25</f>
        <v/>
      </c>
      <c r="CO1031">
        <f>'Grid_Stock'!CL25</f>
        <v/>
      </c>
      <c r="CP1031">
        <f>'Grid_Stock'!CM25</f>
        <v/>
      </c>
      <c r="CQ1031">
        <f>'Grid_Stock'!CN25</f>
        <v/>
      </c>
      <c r="CR1031">
        <f>'Grid_Stock'!CO25</f>
        <v/>
      </c>
      <c r="CS1031">
        <f>'Grid_Stock'!CP25</f>
        <v/>
      </c>
      <c r="CT1031">
        <f>'Grid_Stock'!CQ25</f>
        <v/>
      </c>
      <c r="CU1031">
        <f>'Grid_Stock'!CR25</f>
        <v/>
      </c>
      <c r="CV1031">
        <f>'Grid_Stock'!CS25</f>
        <v/>
      </c>
      <c r="CW1031">
        <f>'Grid_Stock'!CT25</f>
        <v/>
      </c>
      <c r="CX1031">
        <f>'Grid_Stock'!CU25</f>
        <v/>
      </c>
      <c r="CY1031">
        <f>'Grid_Stock'!CV25</f>
        <v/>
      </c>
      <c r="CZ1031">
        <f>'Grid_Stock'!CW25</f>
        <v/>
      </c>
      <c r="DA1031">
        <f>'Grid_Stock'!CX25</f>
        <v/>
      </c>
      <c r="DB1031">
        <f>'Grid_Stock'!CY25</f>
        <v/>
      </c>
      <c r="DC1031">
        <f>'Grid_Stock'!CZ25</f>
        <v/>
      </c>
      <c r="DD1031">
        <f>'Grid_Stock'!DA25</f>
        <v/>
      </c>
    </row>
    <row r="1032">
      <c r="B1032" s="25" t="inlineStr">
        <is>
          <t>（発注の目安はDashboardの基準在庫[下限/上限]と色分けを参照）</t>
        </is>
      </c>
    </row>
    <row r="1034">
      <c r="A1034" s="21" t="inlineStr">
        <is>
          <t>CHEM-1660</t>
        </is>
      </c>
      <c r="B1034" s="21" t="inlineStr">
        <is>
          <t>GW-3394</t>
        </is>
      </c>
      <c r="C1034" s="22" t="n"/>
      <c r="D1034" s="21" t="n"/>
      <c r="E1034" s="21" t="n"/>
      <c r="F1034" s="21" t="n"/>
      <c r="G1034" s="21" t="n"/>
      <c r="H1034" s="21" t="n"/>
      <c r="I1034" s="21" t="n"/>
      <c r="J1034" s="21" t="n"/>
      <c r="K1034" s="21" t="n"/>
      <c r="L1034" s="21" t="n"/>
      <c r="M1034" s="21" t="n"/>
      <c r="N1034" s="21" t="n"/>
      <c r="O1034" s="21" t="n"/>
      <c r="P1034" s="21" t="n"/>
      <c r="Q1034" s="21" t="n"/>
      <c r="R1034" s="21" t="n"/>
      <c r="S1034" s="21" t="n"/>
      <c r="T1034" s="21" t="n"/>
      <c r="U1034" s="21" t="n"/>
      <c r="V1034" s="21" t="n"/>
      <c r="W1034" s="21" t="n"/>
      <c r="X1034" s="21" t="n"/>
      <c r="Y1034" s="21" t="n"/>
      <c r="Z1034" s="21" t="n"/>
      <c r="AA1034" s="21" t="n"/>
      <c r="AB1034" s="21" t="n"/>
      <c r="AC1034" s="21" t="n"/>
      <c r="AD1034" s="21" t="n"/>
      <c r="AE1034" s="21" t="n"/>
      <c r="AF1034" s="21" t="n"/>
      <c r="AG1034" s="21" t="n"/>
      <c r="AH1034" s="21" t="n"/>
      <c r="AI1034" s="21" t="n"/>
      <c r="AJ1034" s="21" t="n"/>
      <c r="AK1034" s="21" t="n"/>
      <c r="AL1034" s="21" t="n"/>
      <c r="AM1034" s="21" t="n"/>
      <c r="AN1034" s="21" t="n"/>
      <c r="AO1034" s="21" t="n"/>
      <c r="AP1034" s="21" t="n"/>
      <c r="AQ1034" s="21" t="n"/>
      <c r="AR1034" s="21" t="n"/>
      <c r="AS1034" s="21" t="n"/>
      <c r="AT1034" s="21" t="n"/>
      <c r="AU1034" s="21" t="n"/>
      <c r="AV1034" s="21" t="n"/>
      <c r="AW1034" s="21" t="n"/>
      <c r="AX1034" s="21" t="n"/>
      <c r="AY1034" s="21" t="n"/>
      <c r="AZ1034" s="21" t="n"/>
      <c r="BA1034" s="21" t="n"/>
      <c r="BB1034" s="21" t="n"/>
      <c r="BC1034" s="21" t="n"/>
      <c r="BD1034" s="21" t="n"/>
      <c r="BE1034" s="21" t="n"/>
      <c r="BF1034" s="21" t="n"/>
      <c r="BG1034" s="21" t="n"/>
      <c r="BH1034" s="21" t="n"/>
      <c r="BI1034" s="21" t="n"/>
      <c r="BJ1034" s="21" t="n"/>
      <c r="BK1034" s="21" t="n"/>
      <c r="BL1034" s="21" t="n"/>
      <c r="BM1034" s="21" t="n"/>
      <c r="BN1034" s="21" t="n"/>
      <c r="BO1034" s="21" t="n"/>
      <c r="BP1034" s="21" t="n"/>
      <c r="BQ1034" s="21" t="n"/>
      <c r="BR1034" s="21" t="n"/>
      <c r="BS1034" s="21" t="n"/>
      <c r="BT1034" s="21" t="n"/>
      <c r="BU1034" s="21" t="n"/>
      <c r="BV1034" s="21" t="n"/>
      <c r="BW1034" s="21" t="n"/>
      <c r="BX1034" s="21" t="n"/>
      <c r="BY1034" s="21" t="n"/>
      <c r="BZ1034" s="21" t="n"/>
      <c r="CA1034" s="21" t="n"/>
      <c r="CB1034" s="21" t="n"/>
      <c r="CC1034" s="21" t="n"/>
      <c r="CD1034" s="21" t="n"/>
      <c r="CE1034" s="21" t="n"/>
      <c r="CF1034" s="21" t="n"/>
      <c r="CG1034" s="21" t="n"/>
      <c r="CH1034" s="21" t="n"/>
      <c r="CI1034" s="21" t="n"/>
      <c r="CJ1034" s="21" t="n"/>
      <c r="CK1034" s="21" t="n"/>
      <c r="CL1034" s="21" t="n"/>
      <c r="CM1034" s="21" t="n"/>
      <c r="CN1034" s="21" t="n"/>
      <c r="CO1034" s="21" t="n"/>
      <c r="CP1034" s="21" t="n"/>
      <c r="CQ1034" s="21" t="n"/>
      <c r="CR1034" s="21" t="n"/>
      <c r="CS1034" s="21" t="n"/>
      <c r="CT1034" s="21" t="n"/>
      <c r="CU1034" s="21" t="n"/>
      <c r="CV1034" s="21" t="n"/>
      <c r="CW1034" s="21" t="n"/>
      <c r="CX1034" s="21" t="n"/>
      <c r="CY1034" s="21" t="n"/>
      <c r="CZ1034" s="21" t="n"/>
      <c r="DA1034" s="21" t="n"/>
      <c r="DB1034" s="21" t="n"/>
      <c r="DC1034" s="21" t="n"/>
      <c r="DD1034" s="21" t="n"/>
    </row>
    <row r="1035">
      <c r="B1035" t="inlineStr">
        <is>
          <t>TSP-219</t>
        </is>
      </c>
      <c r="C1035" t="inlineStr">
        <is>
          <t>No. of batches</t>
        </is>
      </c>
      <c r="D1035">
        <f>IFERROR(INDEX(E1035:DD1035,$F$1),"")</f>
        <v/>
      </c>
      <c r="E1035">
        <f>IFERROR(INDEX(PP_Grid[#Data],$DE1035,2),0)</f>
        <v/>
      </c>
      <c r="F1035">
        <f>IFERROR(INDEX(PP_Grid[#Data],$DE1035,3),0)</f>
        <v/>
      </c>
      <c r="G1035">
        <f>IFERROR(INDEX(PP_Grid[#Data],$DE1035,4),0)</f>
        <v/>
      </c>
      <c r="H1035">
        <f>IFERROR(INDEX(PP_Grid[#Data],$DE1035,5),0)</f>
        <v/>
      </c>
      <c r="I1035">
        <f>IFERROR(INDEX(PP_Grid[#Data],$DE1035,6),0)</f>
        <v/>
      </c>
      <c r="J1035">
        <f>IFERROR(INDEX(PP_Grid[#Data],$DE1035,7),0)</f>
        <v/>
      </c>
      <c r="K1035">
        <f>IFERROR(INDEX(PP_Grid[#Data],$DE1035,8),0)</f>
        <v/>
      </c>
      <c r="L1035">
        <f>IFERROR(INDEX(PP_Grid[#Data],$DE1035,9),0)</f>
        <v/>
      </c>
      <c r="M1035">
        <f>IFERROR(INDEX(PP_Grid[#Data],$DE1035,10),0)</f>
        <v/>
      </c>
      <c r="N1035">
        <f>IFERROR(INDEX(PP_Grid[#Data],$DE1035,11),0)</f>
        <v/>
      </c>
      <c r="O1035">
        <f>IFERROR(INDEX(PP_Grid[#Data],$DE1035,12),0)</f>
        <v/>
      </c>
      <c r="P1035">
        <f>IFERROR(INDEX(PP_Grid[#Data],$DE1035,13),0)</f>
        <v/>
      </c>
      <c r="Q1035">
        <f>IFERROR(INDEX(PP_Grid[#Data],$DE1035,14),0)</f>
        <v/>
      </c>
      <c r="R1035">
        <f>IFERROR(INDEX(PP_Grid[#Data],$DE1035,15),0)</f>
        <v/>
      </c>
      <c r="S1035">
        <f>IFERROR(INDEX(PP_Grid[#Data],$DE1035,16),0)</f>
        <v/>
      </c>
      <c r="T1035">
        <f>IFERROR(INDEX(PP_Grid[#Data],$DE1035,17),0)</f>
        <v/>
      </c>
      <c r="U1035">
        <f>IFERROR(INDEX(PP_Grid[#Data],$DE1035,18),0)</f>
        <v/>
      </c>
      <c r="V1035">
        <f>IFERROR(INDEX(PP_Grid[#Data],$DE1035,19),0)</f>
        <v/>
      </c>
      <c r="W1035">
        <f>IFERROR(INDEX(PP_Grid[#Data],$DE1035,20),0)</f>
        <v/>
      </c>
      <c r="X1035">
        <f>IFERROR(INDEX(PP_Grid[#Data],$DE1035,21),0)</f>
        <v/>
      </c>
      <c r="Y1035">
        <f>IFERROR(INDEX(PP_Grid[#Data],$DE1035,22),0)</f>
        <v/>
      </c>
      <c r="Z1035">
        <f>IFERROR(INDEX(PP_Grid[#Data],$DE1035,23),0)</f>
        <v/>
      </c>
      <c r="AA1035">
        <f>IFERROR(INDEX(PP_Grid[#Data],$DE1035,24),0)</f>
        <v/>
      </c>
      <c r="AB1035">
        <f>IFERROR(INDEX(PP_Grid[#Data],$DE1035,25),0)</f>
        <v/>
      </c>
      <c r="AC1035">
        <f>IFERROR(INDEX(PP_Grid[#Data],$DE1035,26),0)</f>
        <v/>
      </c>
      <c r="AD1035">
        <f>IFERROR(INDEX(PP_Grid[#Data],$DE1035,27),0)</f>
        <v/>
      </c>
      <c r="AE1035">
        <f>IFERROR(INDEX(PP_Grid[#Data],$DE1035,28),0)</f>
        <v/>
      </c>
      <c r="AF1035">
        <f>IFERROR(INDEX(PP_Grid[#Data],$DE1035,29),0)</f>
        <v/>
      </c>
      <c r="AG1035">
        <f>IFERROR(INDEX(PP_Grid[#Data],$DE1035,30),0)</f>
        <v/>
      </c>
      <c r="AH1035">
        <f>IFERROR(INDEX(PP_Grid[#Data],$DE1035,31),0)</f>
        <v/>
      </c>
      <c r="AI1035">
        <f>IFERROR(INDEX(PP_Grid[#Data],$DE1035,32),0)</f>
        <v/>
      </c>
      <c r="AJ1035">
        <f>IFERROR(INDEX(PP_Grid[#Data],$DE1035,33),0)</f>
        <v/>
      </c>
      <c r="AK1035">
        <f>IFERROR(INDEX(PP_Grid[#Data],$DE1035,34),0)</f>
        <v/>
      </c>
      <c r="AL1035">
        <f>IFERROR(INDEX(PP_Grid[#Data],$DE1035,35),0)</f>
        <v/>
      </c>
      <c r="AM1035">
        <f>IFERROR(INDEX(PP_Grid[#Data],$DE1035,36),0)</f>
        <v/>
      </c>
      <c r="AN1035">
        <f>IFERROR(INDEX(PP_Grid[#Data],$DE1035,37),0)</f>
        <v/>
      </c>
      <c r="AO1035">
        <f>IFERROR(INDEX(PP_Grid[#Data],$DE1035,38),0)</f>
        <v/>
      </c>
      <c r="AP1035">
        <f>IFERROR(INDEX(PP_Grid[#Data],$DE1035,39),0)</f>
        <v/>
      </c>
      <c r="AQ1035">
        <f>IFERROR(INDEX(PP_Grid[#Data],$DE1035,40),0)</f>
        <v/>
      </c>
      <c r="AR1035">
        <f>IFERROR(INDEX(PP_Grid[#Data],$DE1035,41),0)</f>
        <v/>
      </c>
      <c r="AS1035">
        <f>IFERROR(INDEX(PP_Grid[#Data],$DE1035,42),0)</f>
        <v/>
      </c>
      <c r="AT1035">
        <f>IFERROR(INDEX(PP_Grid[#Data],$DE1035,43),0)</f>
        <v/>
      </c>
      <c r="AU1035">
        <f>IFERROR(INDEX(PP_Grid[#Data],$DE1035,44),0)</f>
        <v/>
      </c>
      <c r="AV1035">
        <f>IFERROR(INDEX(PP_Grid[#Data],$DE1035,45),0)</f>
        <v/>
      </c>
      <c r="AW1035">
        <f>IFERROR(INDEX(PP_Grid[#Data],$DE1035,46),0)</f>
        <v/>
      </c>
      <c r="AX1035">
        <f>IFERROR(INDEX(PP_Grid[#Data],$DE1035,47),0)</f>
        <v/>
      </c>
      <c r="AY1035">
        <f>IFERROR(INDEX(PP_Grid[#Data],$DE1035,48),0)</f>
        <v/>
      </c>
      <c r="AZ1035">
        <f>IFERROR(INDEX(PP_Grid[#Data],$DE1035,49),0)</f>
        <v/>
      </c>
      <c r="BA1035">
        <f>IFERROR(INDEX(PP_Grid[#Data],$DE1035,50),0)</f>
        <v/>
      </c>
      <c r="BB1035">
        <f>IFERROR(INDEX(PP_Grid[#Data],$DE1035,51),0)</f>
        <v/>
      </c>
      <c r="BC1035">
        <f>IFERROR(INDEX(PP_Grid[#Data],$DE1035,52),0)</f>
        <v/>
      </c>
      <c r="BD1035">
        <f>IFERROR(INDEX(PP_Grid[#Data],$DE1035,53),0)</f>
        <v/>
      </c>
      <c r="BE1035">
        <f>IFERROR(INDEX(PP_Grid[#Data],$DE1035,54),0)</f>
        <v/>
      </c>
      <c r="BF1035">
        <f>IFERROR(INDEX(PP_Grid[#Data],$DE1035,55),0)</f>
        <v/>
      </c>
      <c r="BG1035">
        <f>IFERROR(INDEX(PP_Grid[#Data],$DE1035,56),0)</f>
        <v/>
      </c>
      <c r="BH1035">
        <f>IFERROR(INDEX(PP_Grid[#Data],$DE1035,57),0)</f>
        <v/>
      </c>
      <c r="BI1035">
        <f>IFERROR(INDEX(PP_Grid[#Data],$DE1035,58),0)</f>
        <v/>
      </c>
      <c r="BJ1035">
        <f>IFERROR(INDEX(PP_Grid[#Data],$DE1035,59),0)</f>
        <v/>
      </c>
      <c r="BK1035">
        <f>IFERROR(INDEX(PP_Grid[#Data],$DE1035,60),0)</f>
        <v/>
      </c>
      <c r="BL1035">
        <f>IFERROR(INDEX(PP_Grid[#Data],$DE1035,61),0)</f>
        <v/>
      </c>
      <c r="BM1035">
        <f>IFERROR(INDEX(PP_Grid[#Data],$DE1035,62),0)</f>
        <v/>
      </c>
      <c r="BN1035">
        <f>IFERROR(INDEX(PP_Grid[#Data],$DE1035,63),0)</f>
        <v/>
      </c>
      <c r="BO1035">
        <f>IFERROR(INDEX(PP_Grid[#Data],$DE1035,64),0)</f>
        <v/>
      </c>
      <c r="BP1035">
        <f>IFERROR(INDEX(PP_Grid[#Data],$DE1035,65),0)</f>
        <v/>
      </c>
      <c r="BQ1035">
        <f>IFERROR(INDEX(PP_Grid[#Data],$DE1035,66),0)</f>
        <v/>
      </c>
      <c r="BR1035">
        <f>IFERROR(INDEX(PP_Grid[#Data],$DE1035,67),0)</f>
        <v/>
      </c>
      <c r="BS1035">
        <f>IFERROR(INDEX(PP_Grid[#Data],$DE1035,68),0)</f>
        <v/>
      </c>
      <c r="BT1035">
        <f>IFERROR(INDEX(PP_Grid[#Data],$DE1035,69),0)</f>
        <v/>
      </c>
      <c r="BU1035">
        <f>IFERROR(INDEX(PP_Grid[#Data],$DE1035,70),0)</f>
        <v/>
      </c>
      <c r="BV1035">
        <f>IFERROR(INDEX(PP_Grid[#Data],$DE1035,71),0)</f>
        <v/>
      </c>
      <c r="BW1035">
        <f>IFERROR(INDEX(PP_Grid[#Data],$DE1035,72),0)</f>
        <v/>
      </c>
      <c r="BX1035">
        <f>IFERROR(INDEX(PP_Grid[#Data],$DE1035,73),0)</f>
        <v/>
      </c>
      <c r="BY1035">
        <f>IFERROR(INDEX(PP_Grid[#Data],$DE1035,74),0)</f>
        <v/>
      </c>
      <c r="BZ1035">
        <f>IFERROR(INDEX(PP_Grid[#Data],$DE1035,75),0)</f>
        <v/>
      </c>
      <c r="CA1035">
        <f>IFERROR(INDEX(PP_Grid[#Data],$DE1035,76),0)</f>
        <v/>
      </c>
      <c r="CB1035">
        <f>IFERROR(INDEX(PP_Grid[#Data],$DE1035,77),0)</f>
        <v/>
      </c>
      <c r="CC1035">
        <f>IFERROR(INDEX(PP_Grid[#Data],$DE1035,78),0)</f>
        <v/>
      </c>
      <c r="CD1035">
        <f>IFERROR(INDEX(PP_Grid[#Data],$DE1035,79),0)</f>
        <v/>
      </c>
      <c r="CE1035">
        <f>IFERROR(INDEX(PP_Grid[#Data],$DE1035,80),0)</f>
        <v/>
      </c>
      <c r="CF1035">
        <f>IFERROR(INDEX(PP_Grid[#Data],$DE1035,81),0)</f>
        <v/>
      </c>
      <c r="CG1035">
        <f>IFERROR(INDEX(PP_Grid[#Data],$DE1035,82),0)</f>
        <v/>
      </c>
      <c r="CH1035">
        <f>IFERROR(INDEX(PP_Grid[#Data],$DE1035,83),0)</f>
        <v/>
      </c>
      <c r="CI1035">
        <f>IFERROR(INDEX(PP_Grid[#Data],$DE1035,84),0)</f>
        <v/>
      </c>
      <c r="CJ1035">
        <f>IFERROR(INDEX(PP_Grid[#Data],$DE1035,85),0)</f>
        <v/>
      </c>
      <c r="CK1035">
        <f>IFERROR(INDEX(PP_Grid[#Data],$DE1035,86),0)</f>
        <v/>
      </c>
      <c r="CL1035">
        <f>IFERROR(INDEX(PP_Grid[#Data],$DE1035,87),0)</f>
        <v/>
      </c>
      <c r="CM1035">
        <f>IFERROR(INDEX(PP_Grid[#Data],$DE1035,88),0)</f>
        <v/>
      </c>
      <c r="CN1035">
        <f>IFERROR(INDEX(PP_Grid[#Data],$DE1035,89),0)</f>
        <v/>
      </c>
      <c r="CO1035">
        <f>IFERROR(INDEX(PP_Grid[#Data],$DE1035,90),0)</f>
        <v/>
      </c>
      <c r="CP1035">
        <f>IFERROR(INDEX(PP_Grid[#Data],$DE1035,91),0)</f>
        <v/>
      </c>
      <c r="CQ1035">
        <f>IFERROR(INDEX(PP_Grid[#Data],$DE1035,92),0)</f>
        <v/>
      </c>
      <c r="CR1035">
        <f>IFERROR(INDEX(PP_Grid[#Data],$DE1035,93),0)</f>
        <v/>
      </c>
      <c r="CS1035">
        <f>IFERROR(INDEX(PP_Grid[#Data],$DE1035,94),0)</f>
        <v/>
      </c>
      <c r="CT1035">
        <f>IFERROR(INDEX(PP_Grid[#Data],$DE1035,95),0)</f>
        <v/>
      </c>
      <c r="CU1035">
        <f>IFERROR(INDEX(PP_Grid[#Data],$DE1035,96),0)</f>
        <v/>
      </c>
      <c r="CV1035">
        <f>IFERROR(INDEX(PP_Grid[#Data],$DE1035,97),0)</f>
        <v/>
      </c>
      <c r="CW1035">
        <f>IFERROR(INDEX(PP_Grid[#Data],$DE1035,98),0)</f>
        <v/>
      </c>
      <c r="CX1035">
        <f>IFERROR(INDEX(PP_Grid[#Data],$DE1035,99),0)</f>
        <v/>
      </c>
      <c r="CY1035">
        <f>IFERROR(INDEX(PP_Grid[#Data],$DE1035,100),0)</f>
        <v/>
      </c>
      <c r="CZ1035">
        <f>IFERROR(INDEX(PP_Grid[#Data],$DE1035,101),0)</f>
        <v/>
      </c>
      <c r="DA1035">
        <f>IFERROR(INDEX(PP_Grid[#Data],$DE1035,102),0)</f>
        <v/>
      </c>
      <c r="DB1035">
        <f>IFERROR(INDEX(PP_Grid[#Data],$DE1035,103),0)</f>
        <v/>
      </c>
      <c r="DC1035">
        <f>IFERROR(INDEX(PP_Grid[#Data],$DE1035,104),0)</f>
        <v/>
      </c>
      <c r="DD1035">
        <f>IFERROR(INDEX(PP_Grid[#Data],$DE1035,105),0)</f>
        <v/>
      </c>
      <c r="DE1035" s="7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SUMIFS(M_BOM[RM_Qty_Per_Batch],M_BOM[Intermediate],$B1035,M_BOM[RM_Code],$A1034)</f>
        <v/>
      </c>
      <c r="D1036">
        <f>IFERROR(INDEX(E1036:DD1036,$F$1),"")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  <c r="DD1036">
        <f>$C1036*DD1035</f>
        <v/>
      </c>
    </row>
    <row r="1037">
      <c r="B1037" t="inlineStr">
        <is>
          <t>TSP-655</t>
        </is>
      </c>
      <c r="C1037" t="inlineStr">
        <is>
          <t>No. of batches</t>
        </is>
      </c>
      <c r="D1037">
        <f>IFERROR(INDEX(E1037:DD1037,$F$1),"")</f>
        <v/>
      </c>
      <c r="E1037">
        <f>IFERROR(INDEX(PP_Grid[#Data],$DE1037,2),0)</f>
        <v/>
      </c>
      <c r="F1037">
        <f>IFERROR(INDEX(PP_Grid[#Data],$DE1037,3),0)</f>
        <v/>
      </c>
      <c r="G1037">
        <f>IFERROR(INDEX(PP_Grid[#Data],$DE1037,4),0)</f>
        <v/>
      </c>
      <c r="H1037">
        <f>IFERROR(INDEX(PP_Grid[#Data],$DE1037,5),0)</f>
        <v/>
      </c>
      <c r="I1037">
        <f>IFERROR(INDEX(PP_Grid[#Data],$DE1037,6),0)</f>
        <v/>
      </c>
      <c r="J1037">
        <f>IFERROR(INDEX(PP_Grid[#Data],$DE1037,7),0)</f>
        <v/>
      </c>
      <c r="K1037">
        <f>IFERROR(INDEX(PP_Grid[#Data],$DE1037,8),0)</f>
        <v/>
      </c>
      <c r="L1037">
        <f>IFERROR(INDEX(PP_Grid[#Data],$DE1037,9),0)</f>
        <v/>
      </c>
      <c r="M1037">
        <f>IFERROR(INDEX(PP_Grid[#Data],$DE1037,10),0)</f>
        <v/>
      </c>
      <c r="N1037">
        <f>IFERROR(INDEX(PP_Grid[#Data],$DE1037,11),0)</f>
        <v/>
      </c>
      <c r="O1037">
        <f>IFERROR(INDEX(PP_Grid[#Data],$DE1037,12),0)</f>
        <v/>
      </c>
      <c r="P1037">
        <f>IFERROR(INDEX(PP_Grid[#Data],$DE1037,13),0)</f>
        <v/>
      </c>
      <c r="Q1037">
        <f>IFERROR(INDEX(PP_Grid[#Data],$DE1037,14),0)</f>
        <v/>
      </c>
      <c r="R1037">
        <f>IFERROR(INDEX(PP_Grid[#Data],$DE1037,15),0)</f>
        <v/>
      </c>
      <c r="S1037">
        <f>IFERROR(INDEX(PP_Grid[#Data],$DE1037,16),0)</f>
        <v/>
      </c>
      <c r="T1037">
        <f>IFERROR(INDEX(PP_Grid[#Data],$DE1037,17),0)</f>
        <v/>
      </c>
      <c r="U1037">
        <f>IFERROR(INDEX(PP_Grid[#Data],$DE1037,18),0)</f>
        <v/>
      </c>
      <c r="V1037">
        <f>IFERROR(INDEX(PP_Grid[#Data],$DE1037,19),0)</f>
        <v/>
      </c>
      <c r="W1037">
        <f>IFERROR(INDEX(PP_Grid[#Data],$DE1037,20),0)</f>
        <v/>
      </c>
      <c r="X1037">
        <f>IFERROR(INDEX(PP_Grid[#Data],$DE1037,21),0)</f>
        <v/>
      </c>
      <c r="Y1037">
        <f>IFERROR(INDEX(PP_Grid[#Data],$DE1037,22),0)</f>
        <v/>
      </c>
      <c r="Z1037">
        <f>IFERROR(INDEX(PP_Grid[#Data],$DE1037,23),0)</f>
        <v/>
      </c>
      <c r="AA1037">
        <f>IFERROR(INDEX(PP_Grid[#Data],$DE1037,24),0)</f>
        <v/>
      </c>
      <c r="AB1037">
        <f>IFERROR(INDEX(PP_Grid[#Data],$DE1037,25),0)</f>
        <v/>
      </c>
      <c r="AC1037">
        <f>IFERROR(INDEX(PP_Grid[#Data],$DE1037,26),0)</f>
        <v/>
      </c>
      <c r="AD1037">
        <f>IFERROR(INDEX(PP_Grid[#Data],$DE1037,27),0)</f>
        <v/>
      </c>
      <c r="AE1037">
        <f>IFERROR(INDEX(PP_Grid[#Data],$DE1037,28),0)</f>
        <v/>
      </c>
      <c r="AF1037">
        <f>IFERROR(INDEX(PP_Grid[#Data],$DE1037,29),0)</f>
        <v/>
      </c>
      <c r="AG1037">
        <f>IFERROR(INDEX(PP_Grid[#Data],$DE1037,30),0)</f>
        <v/>
      </c>
      <c r="AH1037">
        <f>IFERROR(INDEX(PP_Grid[#Data],$DE1037,31),0)</f>
        <v/>
      </c>
      <c r="AI1037">
        <f>IFERROR(INDEX(PP_Grid[#Data],$DE1037,32),0)</f>
        <v/>
      </c>
      <c r="AJ1037">
        <f>IFERROR(INDEX(PP_Grid[#Data],$DE1037,33),0)</f>
        <v/>
      </c>
      <c r="AK1037">
        <f>IFERROR(INDEX(PP_Grid[#Data],$DE1037,34),0)</f>
        <v/>
      </c>
      <c r="AL1037">
        <f>IFERROR(INDEX(PP_Grid[#Data],$DE1037,35),0)</f>
        <v/>
      </c>
      <c r="AM1037">
        <f>IFERROR(INDEX(PP_Grid[#Data],$DE1037,36),0)</f>
        <v/>
      </c>
      <c r="AN1037">
        <f>IFERROR(INDEX(PP_Grid[#Data],$DE1037,37),0)</f>
        <v/>
      </c>
      <c r="AO1037">
        <f>IFERROR(INDEX(PP_Grid[#Data],$DE1037,38),0)</f>
        <v/>
      </c>
      <c r="AP1037">
        <f>IFERROR(INDEX(PP_Grid[#Data],$DE1037,39),0)</f>
        <v/>
      </c>
      <c r="AQ1037">
        <f>IFERROR(INDEX(PP_Grid[#Data],$DE1037,40),0)</f>
        <v/>
      </c>
      <c r="AR1037">
        <f>IFERROR(INDEX(PP_Grid[#Data],$DE1037,41),0)</f>
        <v/>
      </c>
      <c r="AS1037">
        <f>IFERROR(INDEX(PP_Grid[#Data],$DE1037,42),0)</f>
        <v/>
      </c>
      <c r="AT1037">
        <f>IFERROR(INDEX(PP_Grid[#Data],$DE1037,43),0)</f>
        <v/>
      </c>
      <c r="AU1037">
        <f>IFERROR(INDEX(PP_Grid[#Data],$DE1037,44),0)</f>
        <v/>
      </c>
      <c r="AV1037">
        <f>IFERROR(INDEX(PP_Grid[#Data],$DE1037,45),0)</f>
        <v/>
      </c>
      <c r="AW1037">
        <f>IFERROR(INDEX(PP_Grid[#Data],$DE1037,46),0)</f>
        <v/>
      </c>
      <c r="AX1037">
        <f>IFERROR(INDEX(PP_Grid[#Data],$DE1037,47),0)</f>
        <v/>
      </c>
      <c r="AY1037">
        <f>IFERROR(INDEX(PP_Grid[#Data],$DE1037,48),0)</f>
        <v/>
      </c>
      <c r="AZ1037">
        <f>IFERROR(INDEX(PP_Grid[#Data],$DE1037,49),0)</f>
        <v/>
      </c>
      <c r="BA1037">
        <f>IFERROR(INDEX(PP_Grid[#Data],$DE1037,50),0)</f>
        <v/>
      </c>
      <c r="BB1037">
        <f>IFERROR(INDEX(PP_Grid[#Data],$DE1037,51),0)</f>
        <v/>
      </c>
      <c r="BC1037">
        <f>IFERROR(INDEX(PP_Grid[#Data],$DE1037,52),0)</f>
        <v/>
      </c>
      <c r="BD1037">
        <f>IFERROR(INDEX(PP_Grid[#Data],$DE1037,53),0)</f>
        <v/>
      </c>
      <c r="BE1037">
        <f>IFERROR(INDEX(PP_Grid[#Data],$DE1037,54),0)</f>
        <v/>
      </c>
      <c r="BF1037">
        <f>IFERROR(INDEX(PP_Grid[#Data],$DE1037,55),0)</f>
        <v/>
      </c>
      <c r="BG1037">
        <f>IFERROR(INDEX(PP_Grid[#Data],$DE1037,56),0)</f>
        <v/>
      </c>
      <c r="BH1037">
        <f>IFERROR(INDEX(PP_Grid[#Data],$DE1037,57),0)</f>
        <v/>
      </c>
      <c r="BI1037">
        <f>IFERROR(INDEX(PP_Grid[#Data],$DE1037,58),0)</f>
        <v/>
      </c>
      <c r="BJ1037">
        <f>IFERROR(INDEX(PP_Grid[#Data],$DE1037,59),0)</f>
        <v/>
      </c>
      <c r="BK1037">
        <f>IFERROR(INDEX(PP_Grid[#Data],$DE1037,60),0)</f>
        <v/>
      </c>
      <c r="BL1037">
        <f>IFERROR(INDEX(PP_Grid[#Data],$DE1037,61),0)</f>
        <v/>
      </c>
      <c r="BM1037">
        <f>IFERROR(INDEX(PP_Grid[#Data],$DE1037,62),0)</f>
        <v/>
      </c>
      <c r="BN1037">
        <f>IFERROR(INDEX(PP_Grid[#Data],$DE1037,63),0)</f>
        <v/>
      </c>
      <c r="BO1037">
        <f>IFERROR(INDEX(PP_Grid[#Data],$DE1037,64),0)</f>
        <v/>
      </c>
      <c r="BP1037">
        <f>IFERROR(INDEX(PP_Grid[#Data],$DE1037,65),0)</f>
        <v/>
      </c>
      <c r="BQ1037">
        <f>IFERROR(INDEX(PP_Grid[#Data],$DE1037,66),0)</f>
        <v/>
      </c>
      <c r="BR1037">
        <f>IFERROR(INDEX(PP_Grid[#Data],$DE1037,67),0)</f>
        <v/>
      </c>
      <c r="BS1037">
        <f>IFERROR(INDEX(PP_Grid[#Data],$DE1037,68),0)</f>
        <v/>
      </c>
      <c r="BT1037">
        <f>IFERROR(INDEX(PP_Grid[#Data],$DE1037,69),0)</f>
        <v/>
      </c>
      <c r="BU1037">
        <f>IFERROR(INDEX(PP_Grid[#Data],$DE1037,70),0)</f>
        <v/>
      </c>
      <c r="BV1037">
        <f>IFERROR(INDEX(PP_Grid[#Data],$DE1037,71),0)</f>
        <v/>
      </c>
      <c r="BW1037">
        <f>IFERROR(INDEX(PP_Grid[#Data],$DE1037,72),0)</f>
        <v/>
      </c>
      <c r="BX1037">
        <f>IFERROR(INDEX(PP_Grid[#Data],$DE1037,73),0)</f>
        <v/>
      </c>
      <c r="BY1037">
        <f>IFERROR(INDEX(PP_Grid[#Data],$DE1037,74),0)</f>
        <v/>
      </c>
      <c r="BZ1037">
        <f>IFERROR(INDEX(PP_Grid[#Data],$DE1037,75),0)</f>
        <v/>
      </c>
      <c r="CA1037">
        <f>IFERROR(INDEX(PP_Grid[#Data],$DE1037,76),0)</f>
        <v/>
      </c>
      <c r="CB1037">
        <f>IFERROR(INDEX(PP_Grid[#Data],$DE1037,77),0)</f>
        <v/>
      </c>
      <c r="CC1037">
        <f>IFERROR(INDEX(PP_Grid[#Data],$DE1037,78),0)</f>
        <v/>
      </c>
      <c r="CD1037">
        <f>IFERROR(INDEX(PP_Grid[#Data],$DE1037,79),0)</f>
        <v/>
      </c>
      <c r="CE1037">
        <f>IFERROR(INDEX(PP_Grid[#Data],$DE1037,80),0)</f>
        <v/>
      </c>
      <c r="CF1037">
        <f>IFERROR(INDEX(PP_Grid[#Data],$DE1037,81),0)</f>
        <v/>
      </c>
      <c r="CG1037">
        <f>IFERROR(INDEX(PP_Grid[#Data],$DE1037,82),0)</f>
        <v/>
      </c>
      <c r="CH1037">
        <f>IFERROR(INDEX(PP_Grid[#Data],$DE1037,83),0)</f>
        <v/>
      </c>
      <c r="CI1037">
        <f>IFERROR(INDEX(PP_Grid[#Data],$DE1037,84),0)</f>
        <v/>
      </c>
      <c r="CJ1037">
        <f>IFERROR(INDEX(PP_Grid[#Data],$DE1037,85),0)</f>
        <v/>
      </c>
      <c r="CK1037">
        <f>IFERROR(INDEX(PP_Grid[#Data],$DE1037,86),0)</f>
        <v/>
      </c>
      <c r="CL1037">
        <f>IFERROR(INDEX(PP_Grid[#Data],$DE1037,87),0)</f>
        <v/>
      </c>
      <c r="CM1037">
        <f>IFERROR(INDEX(PP_Grid[#Data],$DE1037,88),0)</f>
        <v/>
      </c>
      <c r="CN1037">
        <f>IFERROR(INDEX(PP_Grid[#Data],$DE1037,89),0)</f>
        <v/>
      </c>
      <c r="CO1037">
        <f>IFERROR(INDEX(PP_Grid[#Data],$DE1037,90),0)</f>
        <v/>
      </c>
      <c r="CP1037">
        <f>IFERROR(INDEX(PP_Grid[#Data],$DE1037,91),0)</f>
        <v/>
      </c>
      <c r="CQ1037">
        <f>IFERROR(INDEX(PP_Grid[#Data],$DE1037,92),0)</f>
        <v/>
      </c>
      <c r="CR1037">
        <f>IFERROR(INDEX(PP_Grid[#Data],$DE1037,93),0)</f>
        <v/>
      </c>
      <c r="CS1037">
        <f>IFERROR(INDEX(PP_Grid[#Data],$DE1037,94),0)</f>
        <v/>
      </c>
      <c r="CT1037">
        <f>IFERROR(INDEX(PP_Grid[#Data],$DE1037,95),0)</f>
        <v/>
      </c>
      <c r="CU1037">
        <f>IFERROR(INDEX(PP_Grid[#Data],$DE1037,96),0)</f>
        <v/>
      </c>
      <c r="CV1037">
        <f>IFERROR(INDEX(PP_Grid[#Data],$DE1037,97),0)</f>
        <v/>
      </c>
      <c r="CW1037">
        <f>IFERROR(INDEX(PP_Grid[#Data],$DE1037,98),0)</f>
        <v/>
      </c>
      <c r="CX1037">
        <f>IFERROR(INDEX(PP_Grid[#Data],$DE1037,99),0)</f>
        <v/>
      </c>
      <c r="CY1037">
        <f>IFERROR(INDEX(PP_Grid[#Data],$DE1037,100),0)</f>
        <v/>
      </c>
      <c r="CZ1037">
        <f>IFERROR(INDEX(PP_Grid[#Data],$DE1037,101),0)</f>
        <v/>
      </c>
      <c r="DA1037">
        <f>IFERROR(INDEX(PP_Grid[#Data],$DE1037,102),0)</f>
        <v/>
      </c>
      <c r="DB1037">
        <f>IFERROR(INDEX(PP_Grid[#Data],$DE1037,103),0)</f>
        <v/>
      </c>
      <c r="DC1037">
        <f>IFERROR(INDEX(PP_Grid[#Data],$DE1037,104),0)</f>
        <v/>
      </c>
      <c r="DD1037">
        <f>IFERROR(INDEX(PP_Grid[#Data],$DE1037,105),0)</f>
        <v/>
      </c>
      <c r="DE1037" s="7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SUMIFS(M_BOM[RM_Qty_Per_Batch],M_BOM[Intermediate],$B1037,M_BOM[RM_Code],$A1034)</f>
        <v/>
      </c>
      <c r="D1038">
        <f>IFERROR(INDEX(E1038:DD1038,$F$1),"")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  <c r="DD1038">
        <f>$C1038*DD1037</f>
        <v/>
      </c>
    </row>
    <row r="1039">
      <c r="B1039" t="inlineStr">
        <is>
          <t>TSP-656</t>
        </is>
      </c>
      <c r="C1039" t="inlineStr">
        <is>
          <t>No. of batches</t>
        </is>
      </c>
      <c r="D1039">
        <f>IFERROR(INDEX(E1039:DD1039,$F$1),"")</f>
        <v/>
      </c>
      <c r="E1039">
        <f>IFERROR(INDEX(PP_Grid[#Data],$DE1039,2),0)</f>
        <v/>
      </c>
      <c r="F1039">
        <f>IFERROR(INDEX(PP_Grid[#Data],$DE1039,3),0)</f>
        <v/>
      </c>
      <c r="G1039">
        <f>IFERROR(INDEX(PP_Grid[#Data],$DE1039,4),0)</f>
        <v/>
      </c>
      <c r="H1039">
        <f>IFERROR(INDEX(PP_Grid[#Data],$DE1039,5),0)</f>
        <v/>
      </c>
      <c r="I1039">
        <f>IFERROR(INDEX(PP_Grid[#Data],$DE1039,6),0)</f>
        <v/>
      </c>
      <c r="J1039">
        <f>IFERROR(INDEX(PP_Grid[#Data],$DE1039,7),0)</f>
        <v/>
      </c>
      <c r="K1039">
        <f>IFERROR(INDEX(PP_Grid[#Data],$DE1039,8),0)</f>
        <v/>
      </c>
      <c r="L1039">
        <f>IFERROR(INDEX(PP_Grid[#Data],$DE1039,9),0)</f>
        <v/>
      </c>
      <c r="M1039">
        <f>IFERROR(INDEX(PP_Grid[#Data],$DE1039,10),0)</f>
        <v/>
      </c>
      <c r="N1039">
        <f>IFERROR(INDEX(PP_Grid[#Data],$DE1039,11),0)</f>
        <v/>
      </c>
      <c r="O1039">
        <f>IFERROR(INDEX(PP_Grid[#Data],$DE1039,12),0)</f>
        <v/>
      </c>
      <c r="P1039">
        <f>IFERROR(INDEX(PP_Grid[#Data],$DE1039,13),0)</f>
        <v/>
      </c>
      <c r="Q1039">
        <f>IFERROR(INDEX(PP_Grid[#Data],$DE1039,14),0)</f>
        <v/>
      </c>
      <c r="R1039">
        <f>IFERROR(INDEX(PP_Grid[#Data],$DE1039,15),0)</f>
        <v/>
      </c>
      <c r="S1039">
        <f>IFERROR(INDEX(PP_Grid[#Data],$DE1039,16),0)</f>
        <v/>
      </c>
      <c r="T1039">
        <f>IFERROR(INDEX(PP_Grid[#Data],$DE1039,17),0)</f>
        <v/>
      </c>
      <c r="U1039">
        <f>IFERROR(INDEX(PP_Grid[#Data],$DE1039,18),0)</f>
        <v/>
      </c>
      <c r="V1039">
        <f>IFERROR(INDEX(PP_Grid[#Data],$DE1039,19),0)</f>
        <v/>
      </c>
      <c r="W1039">
        <f>IFERROR(INDEX(PP_Grid[#Data],$DE1039,20),0)</f>
        <v/>
      </c>
      <c r="X1039">
        <f>IFERROR(INDEX(PP_Grid[#Data],$DE1039,21),0)</f>
        <v/>
      </c>
      <c r="Y1039">
        <f>IFERROR(INDEX(PP_Grid[#Data],$DE1039,22),0)</f>
        <v/>
      </c>
      <c r="Z1039">
        <f>IFERROR(INDEX(PP_Grid[#Data],$DE1039,23),0)</f>
        <v/>
      </c>
      <c r="AA1039">
        <f>IFERROR(INDEX(PP_Grid[#Data],$DE1039,24),0)</f>
        <v/>
      </c>
      <c r="AB1039">
        <f>IFERROR(INDEX(PP_Grid[#Data],$DE1039,25),0)</f>
        <v/>
      </c>
      <c r="AC1039">
        <f>IFERROR(INDEX(PP_Grid[#Data],$DE1039,26),0)</f>
        <v/>
      </c>
      <c r="AD1039">
        <f>IFERROR(INDEX(PP_Grid[#Data],$DE1039,27),0)</f>
        <v/>
      </c>
      <c r="AE1039">
        <f>IFERROR(INDEX(PP_Grid[#Data],$DE1039,28),0)</f>
        <v/>
      </c>
      <c r="AF1039">
        <f>IFERROR(INDEX(PP_Grid[#Data],$DE1039,29),0)</f>
        <v/>
      </c>
      <c r="AG1039">
        <f>IFERROR(INDEX(PP_Grid[#Data],$DE1039,30),0)</f>
        <v/>
      </c>
      <c r="AH1039">
        <f>IFERROR(INDEX(PP_Grid[#Data],$DE1039,31),0)</f>
        <v/>
      </c>
      <c r="AI1039">
        <f>IFERROR(INDEX(PP_Grid[#Data],$DE1039,32),0)</f>
        <v/>
      </c>
      <c r="AJ1039">
        <f>IFERROR(INDEX(PP_Grid[#Data],$DE1039,33),0)</f>
        <v/>
      </c>
      <c r="AK1039">
        <f>IFERROR(INDEX(PP_Grid[#Data],$DE1039,34),0)</f>
        <v/>
      </c>
      <c r="AL1039">
        <f>IFERROR(INDEX(PP_Grid[#Data],$DE1039,35),0)</f>
        <v/>
      </c>
      <c r="AM1039">
        <f>IFERROR(INDEX(PP_Grid[#Data],$DE1039,36),0)</f>
        <v/>
      </c>
      <c r="AN1039">
        <f>IFERROR(INDEX(PP_Grid[#Data],$DE1039,37),0)</f>
        <v/>
      </c>
      <c r="AO1039">
        <f>IFERROR(INDEX(PP_Grid[#Data],$DE1039,38),0)</f>
        <v/>
      </c>
      <c r="AP1039">
        <f>IFERROR(INDEX(PP_Grid[#Data],$DE1039,39),0)</f>
        <v/>
      </c>
      <c r="AQ1039">
        <f>IFERROR(INDEX(PP_Grid[#Data],$DE1039,40),0)</f>
        <v/>
      </c>
      <c r="AR1039">
        <f>IFERROR(INDEX(PP_Grid[#Data],$DE1039,41),0)</f>
        <v/>
      </c>
      <c r="AS1039">
        <f>IFERROR(INDEX(PP_Grid[#Data],$DE1039,42),0)</f>
        <v/>
      </c>
      <c r="AT1039">
        <f>IFERROR(INDEX(PP_Grid[#Data],$DE1039,43),0)</f>
        <v/>
      </c>
      <c r="AU1039">
        <f>IFERROR(INDEX(PP_Grid[#Data],$DE1039,44),0)</f>
        <v/>
      </c>
      <c r="AV1039">
        <f>IFERROR(INDEX(PP_Grid[#Data],$DE1039,45),0)</f>
        <v/>
      </c>
      <c r="AW1039">
        <f>IFERROR(INDEX(PP_Grid[#Data],$DE1039,46),0)</f>
        <v/>
      </c>
      <c r="AX1039">
        <f>IFERROR(INDEX(PP_Grid[#Data],$DE1039,47),0)</f>
        <v/>
      </c>
      <c r="AY1039">
        <f>IFERROR(INDEX(PP_Grid[#Data],$DE1039,48),0)</f>
        <v/>
      </c>
      <c r="AZ1039">
        <f>IFERROR(INDEX(PP_Grid[#Data],$DE1039,49),0)</f>
        <v/>
      </c>
      <c r="BA1039">
        <f>IFERROR(INDEX(PP_Grid[#Data],$DE1039,50),0)</f>
        <v/>
      </c>
      <c r="BB1039">
        <f>IFERROR(INDEX(PP_Grid[#Data],$DE1039,51),0)</f>
        <v/>
      </c>
      <c r="BC1039">
        <f>IFERROR(INDEX(PP_Grid[#Data],$DE1039,52),0)</f>
        <v/>
      </c>
      <c r="BD1039">
        <f>IFERROR(INDEX(PP_Grid[#Data],$DE1039,53),0)</f>
        <v/>
      </c>
      <c r="BE1039">
        <f>IFERROR(INDEX(PP_Grid[#Data],$DE1039,54),0)</f>
        <v/>
      </c>
      <c r="BF1039">
        <f>IFERROR(INDEX(PP_Grid[#Data],$DE1039,55),0)</f>
        <v/>
      </c>
      <c r="BG1039">
        <f>IFERROR(INDEX(PP_Grid[#Data],$DE1039,56),0)</f>
        <v/>
      </c>
      <c r="BH1039">
        <f>IFERROR(INDEX(PP_Grid[#Data],$DE1039,57),0)</f>
        <v/>
      </c>
      <c r="BI1039">
        <f>IFERROR(INDEX(PP_Grid[#Data],$DE1039,58),0)</f>
        <v/>
      </c>
      <c r="BJ1039">
        <f>IFERROR(INDEX(PP_Grid[#Data],$DE1039,59),0)</f>
        <v/>
      </c>
      <c r="BK1039">
        <f>IFERROR(INDEX(PP_Grid[#Data],$DE1039,60),0)</f>
        <v/>
      </c>
      <c r="BL1039">
        <f>IFERROR(INDEX(PP_Grid[#Data],$DE1039,61),0)</f>
        <v/>
      </c>
      <c r="BM1039">
        <f>IFERROR(INDEX(PP_Grid[#Data],$DE1039,62),0)</f>
        <v/>
      </c>
      <c r="BN1039">
        <f>IFERROR(INDEX(PP_Grid[#Data],$DE1039,63),0)</f>
        <v/>
      </c>
      <c r="BO1039">
        <f>IFERROR(INDEX(PP_Grid[#Data],$DE1039,64),0)</f>
        <v/>
      </c>
      <c r="BP1039">
        <f>IFERROR(INDEX(PP_Grid[#Data],$DE1039,65),0)</f>
        <v/>
      </c>
      <c r="BQ1039">
        <f>IFERROR(INDEX(PP_Grid[#Data],$DE1039,66),0)</f>
        <v/>
      </c>
      <c r="BR1039">
        <f>IFERROR(INDEX(PP_Grid[#Data],$DE1039,67),0)</f>
        <v/>
      </c>
      <c r="BS1039">
        <f>IFERROR(INDEX(PP_Grid[#Data],$DE1039,68),0)</f>
        <v/>
      </c>
      <c r="BT1039">
        <f>IFERROR(INDEX(PP_Grid[#Data],$DE1039,69),0)</f>
        <v/>
      </c>
      <c r="BU1039">
        <f>IFERROR(INDEX(PP_Grid[#Data],$DE1039,70),0)</f>
        <v/>
      </c>
      <c r="BV1039">
        <f>IFERROR(INDEX(PP_Grid[#Data],$DE1039,71),0)</f>
        <v/>
      </c>
      <c r="BW1039">
        <f>IFERROR(INDEX(PP_Grid[#Data],$DE1039,72),0)</f>
        <v/>
      </c>
      <c r="BX1039">
        <f>IFERROR(INDEX(PP_Grid[#Data],$DE1039,73),0)</f>
        <v/>
      </c>
      <c r="BY1039">
        <f>IFERROR(INDEX(PP_Grid[#Data],$DE1039,74),0)</f>
        <v/>
      </c>
      <c r="BZ1039">
        <f>IFERROR(INDEX(PP_Grid[#Data],$DE1039,75),0)</f>
        <v/>
      </c>
      <c r="CA1039">
        <f>IFERROR(INDEX(PP_Grid[#Data],$DE1039,76),0)</f>
        <v/>
      </c>
      <c r="CB1039">
        <f>IFERROR(INDEX(PP_Grid[#Data],$DE1039,77),0)</f>
        <v/>
      </c>
      <c r="CC1039">
        <f>IFERROR(INDEX(PP_Grid[#Data],$DE1039,78),0)</f>
        <v/>
      </c>
      <c r="CD1039">
        <f>IFERROR(INDEX(PP_Grid[#Data],$DE1039,79),0)</f>
        <v/>
      </c>
      <c r="CE1039">
        <f>IFERROR(INDEX(PP_Grid[#Data],$DE1039,80),0)</f>
        <v/>
      </c>
      <c r="CF1039">
        <f>IFERROR(INDEX(PP_Grid[#Data],$DE1039,81),0)</f>
        <v/>
      </c>
      <c r="CG1039">
        <f>IFERROR(INDEX(PP_Grid[#Data],$DE1039,82),0)</f>
        <v/>
      </c>
      <c r="CH1039">
        <f>IFERROR(INDEX(PP_Grid[#Data],$DE1039,83),0)</f>
        <v/>
      </c>
      <c r="CI1039">
        <f>IFERROR(INDEX(PP_Grid[#Data],$DE1039,84),0)</f>
        <v/>
      </c>
      <c r="CJ1039">
        <f>IFERROR(INDEX(PP_Grid[#Data],$DE1039,85),0)</f>
        <v/>
      </c>
      <c r="CK1039">
        <f>IFERROR(INDEX(PP_Grid[#Data],$DE1039,86),0)</f>
        <v/>
      </c>
      <c r="CL1039">
        <f>IFERROR(INDEX(PP_Grid[#Data],$DE1039,87),0)</f>
        <v/>
      </c>
      <c r="CM1039">
        <f>IFERROR(INDEX(PP_Grid[#Data],$DE1039,88),0)</f>
        <v/>
      </c>
      <c r="CN1039">
        <f>IFERROR(INDEX(PP_Grid[#Data],$DE1039,89),0)</f>
        <v/>
      </c>
      <c r="CO1039">
        <f>IFERROR(INDEX(PP_Grid[#Data],$DE1039,90),0)</f>
        <v/>
      </c>
      <c r="CP1039">
        <f>IFERROR(INDEX(PP_Grid[#Data],$DE1039,91),0)</f>
        <v/>
      </c>
      <c r="CQ1039">
        <f>IFERROR(INDEX(PP_Grid[#Data],$DE1039,92),0)</f>
        <v/>
      </c>
      <c r="CR1039">
        <f>IFERROR(INDEX(PP_Grid[#Data],$DE1039,93),0)</f>
        <v/>
      </c>
      <c r="CS1039">
        <f>IFERROR(INDEX(PP_Grid[#Data],$DE1039,94),0)</f>
        <v/>
      </c>
      <c r="CT1039">
        <f>IFERROR(INDEX(PP_Grid[#Data],$DE1039,95),0)</f>
        <v/>
      </c>
      <c r="CU1039">
        <f>IFERROR(INDEX(PP_Grid[#Data],$DE1039,96),0)</f>
        <v/>
      </c>
      <c r="CV1039">
        <f>IFERROR(INDEX(PP_Grid[#Data],$DE1039,97),0)</f>
        <v/>
      </c>
      <c r="CW1039">
        <f>IFERROR(INDEX(PP_Grid[#Data],$DE1039,98),0)</f>
        <v/>
      </c>
      <c r="CX1039">
        <f>IFERROR(INDEX(PP_Grid[#Data],$DE1039,99),0)</f>
        <v/>
      </c>
      <c r="CY1039">
        <f>IFERROR(INDEX(PP_Grid[#Data],$DE1039,100),0)</f>
        <v/>
      </c>
      <c r="CZ1039">
        <f>IFERROR(INDEX(PP_Grid[#Data],$DE1039,101),0)</f>
        <v/>
      </c>
      <c r="DA1039">
        <f>IFERROR(INDEX(PP_Grid[#Data],$DE1039,102),0)</f>
        <v/>
      </c>
      <c r="DB1039">
        <f>IFERROR(INDEX(PP_Grid[#Data],$DE1039,103),0)</f>
        <v/>
      </c>
      <c r="DC1039">
        <f>IFERROR(INDEX(PP_Grid[#Data],$DE1039,104),0)</f>
        <v/>
      </c>
      <c r="DD1039">
        <f>IFERROR(INDEX(PP_Grid[#Data],$DE1039,105),0)</f>
        <v/>
      </c>
      <c r="DE1039" s="7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SUMIFS(M_BOM[RM_Qty_Per_Batch],M_BOM[Intermediate],$B1039,M_BOM[RM_Code],$A1034)</f>
        <v/>
      </c>
      <c r="D1040">
        <f>IFERROR(INDEX(E1040:DD1040,$F$1),"")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  <c r="DD1040">
        <f>$C1040*DD1039</f>
        <v/>
      </c>
    </row>
    <row r="1041">
      <c r="B1041" t="inlineStr">
        <is>
          <t>VSP-820</t>
        </is>
      </c>
      <c r="C1041" t="inlineStr">
        <is>
          <t>No. of batches</t>
        </is>
      </c>
      <c r="D1041">
        <f>IFERROR(INDEX(E1041:DD1041,$F$1),"")</f>
        <v/>
      </c>
      <c r="E1041">
        <f>IFERROR(INDEX(PP_Grid[#Data],$DE1041,2),0)</f>
        <v/>
      </c>
      <c r="F1041">
        <f>IFERROR(INDEX(PP_Grid[#Data],$DE1041,3),0)</f>
        <v/>
      </c>
      <c r="G1041">
        <f>IFERROR(INDEX(PP_Grid[#Data],$DE1041,4),0)</f>
        <v/>
      </c>
      <c r="H1041">
        <f>IFERROR(INDEX(PP_Grid[#Data],$DE1041,5),0)</f>
        <v/>
      </c>
      <c r="I1041">
        <f>IFERROR(INDEX(PP_Grid[#Data],$DE1041,6),0)</f>
        <v/>
      </c>
      <c r="J1041">
        <f>IFERROR(INDEX(PP_Grid[#Data],$DE1041,7),0)</f>
        <v/>
      </c>
      <c r="K1041">
        <f>IFERROR(INDEX(PP_Grid[#Data],$DE1041,8),0)</f>
        <v/>
      </c>
      <c r="L1041">
        <f>IFERROR(INDEX(PP_Grid[#Data],$DE1041,9),0)</f>
        <v/>
      </c>
      <c r="M1041">
        <f>IFERROR(INDEX(PP_Grid[#Data],$DE1041,10),0)</f>
        <v/>
      </c>
      <c r="N1041">
        <f>IFERROR(INDEX(PP_Grid[#Data],$DE1041,11),0)</f>
        <v/>
      </c>
      <c r="O1041">
        <f>IFERROR(INDEX(PP_Grid[#Data],$DE1041,12),0)</f>
        <v/>
      </c>
      <c r="P1041">
        <f>IFERROR(INDEX(PP_Grid[#Data],$DE1041,13),0)</f>
        <v/>
      </c>
      <c r="Q1041">
        <f>IFERROR(INDEX(PP_Grid[#Data],$DE1041,14),0)</f>
        <v/>
      </c>
      <c r="R1041">
        <f>IFERROR(INDEX(PP_Grid[#Data],$DE1041,15),0)</f>
        <v/>
      </c>
      <c r="S1041">
        <f>IFERROR(INDEX(PP_Grid[#Data],$DE1041,16),0)</f>
        <v/>
      </c>
      <c r="T1041">
        <f>IFERROR(INDEX(PP_Grid[#Data],$DE1041,17),0)</f>
        <v/>
      </c>
      <c r="U1041">
        <f>IFERROR(INDEX(PP_Grid[#Data],$DE1041,18),0)</f>
        <v/>
      </c>
      <c r="V1041">
        <f>IFERROR(INDEX(PP_Grid[#Data],$DE1041,19),0)</f>
        <v/>
      </c>
      <c r="W1041">
        <f>IFERROR(INDEX(PP_Grid[#Data],$DE1041,20),0)</f>
        <v/>
      </c>
      <c r="X1041">
        <f>IFERROR(INDEX(PP_Grid[#Data],$DE1041,21),0)</f>
        <v/>
      </c>
      <c r="Y1041">
        <f>IFERROR(INDEX(PP_Grid[#Data],$DE1041,22),0)</f>
        <v/>
      </c>
      <c r="Z1041">
        <f>IFERROR(INDEX(PP_Grid[#Data],$DE1041,23),0)</f>
        <v/>
      </c>
      <c r="AA1041">
        <f>IFERROR(INDEX(PP_Grid[#Data],$DE1041,24),0)</f>
        <v/>
      </c>
      <c r="AB1041">
        <f>IFERROR(INDEX(PP_Grid[#Data],$DE1041,25),0)</f>
        <v/>
      </c>
      <c r="AC1041">
        <f>IFERROR(INDEX(PP_Grid[#Data],$DE1041,26),0)</f>
        <v/>
      </c>
      <c r="AD1041">
        <f>IFERROR(INDEX(PP_Grid[#Data],$DE1041,27),0)</f>
        <v/>
      </c>
      <c r="AE1041">
        <f>IFERROR(INDEX(PP_Grid[#Data],$DE1041,28),0)</f>
        <v/>
      </c>
      <c r="AF1041">
        <f>IFERROR(INDEX(PP_Grid[#Data],$DE1041,29),0)</f>
        <v/>
      </c>
      <c r="AG1041">
        <f>IFERROR(INDEX(PP_Grid[#Data],$DE1041,30),0)</f>
        <v/>
      </c>
      <c r="AH1041">
        <f>IFERROR(INDEX(PP_Grid[#Data],$DE1041,31),0)</f>
        <v/>
      </c>
      <c r="AI1041">
        <f>IFERROR(INDEX(PP_Grid[#Data],$DE1041,32),0)</f>
        <v/>
      </c>
      <c r="AJ1041">
        <f>IFERROR(INDEX(PP_Grid[#Data],$DE1041,33),0)</f>
        <v/>
      </c>
      <c r="AK1041">
        <f>IFERROR(INDEX(PP_Grid[#Data],$DE1041,34),0)</f>
        <v/>
      </c>
      <c r="AL1041">
        <f>IFERROR(INDEX(PP_Grid[#Data],$DE1041,35),0)</f>
        <v/>
      </c>
      <c r="AM1041">
        <f>IFERROR(INDEX(PP_Grid[#Data],$DE1041,36),0)</f>
        <v/>
      </c>
      <c r="AN1041">
        <f>IFERROR(INDEX(PP_Grid[#Data],$DE1041,37),0)</f>
        <v/>
      </c>
      <c r="AO1041">
        <f>IFERROR(INDEX(PP_Grid[#Data],$DE1041,38),0)</f>
        <v/>
      </c>
      <c r="AP1041">
        <f>IFERROR(INDEX(PP_Grid[#Data],$DE1041,39),0)</f>
        <v/>
      </c>
      <c r="AQ1041">
        <f>IFERROR(INDEX(PP_Grid[#Data],$DE1041,40),0)</f>
        <v/>
      </c>
      <c r="AR1041">
        <f>IFERROR(INDEX(PP_Grid[#Data],$DE1041,41),0)</f>
        <v/>
      </c>
      <c r="AS1041">
        <f>IFERROR(INDEX(PP_Grid[#Data],$DE1041,42),0)</f>
        <v/>
      </c>
      <c r="AT1041">
        <f>IFERROR(INDEX(PP_Grid[#Data],$DE1041,43),0)</f>
        <v/>
      </c>
      <c r="AU1041">
        <f>IFERROR(INDEX(PP_Grid[#Data],$DE1041,44),0)</f>
        <v/>
      </c>
      <c r="AV1041">
        <f>IFERROR(INDEX(PP_Grid[#Data],$DE1041,45),0)</f>
        <v/>
      </c>
      <c r="AW1041">
        <f>IFERROR(INDEX(PP_Grid[#Data],$DE1041,46),0)</f>
        <v/>
      </c>
      <c r="AX1041">
        <f>IFERROR(INDEX(PP_Grid[#Data],$DE1041,47),0)</f>
        <v/>
      </c>
      <c r="AY1041">
        <f>IFERROR(INDEX(PP_Grid[#Data],$DE1041,48),0)</f>
        <v/>
      </c>
      <c r="AZ1041">
        <f>IFERROR(INDEX(PP_Grid[#Data],$DE1041,49),0)</f>
        <v/>
      </c>
      <c r="BA1041">
        <f>IFERROR(INDEX(PP_Grid[#Data],$DE1041,50),0)</f>
        <v/>
      </c>
      <c r="BB1041">
        <f>IFERROR(INDEX(PP_Grid[#Data],$DE1041,51),0)</f>
        <v/>
      </c>
      <c r="BC1041">
        <f>IFERROR(INDEX(PP_Grid[#Data],$DE1041,52),0)</f>
        <v/>
      </c>
      <c r="BD1041">
        <f>IFERROR(INDEX(PP_Grid[#Data],$DE1041,53),0)</f>
        <v/>
      </c>
      <c r="BE1041">
        <f>IFERROR(INDEX(PP_Grid[#Data],$DE1041,54),0)</f>
        <v/>
      </c>
      <c r="BF1041">
        <f>IFERROR(INDEX(PP_Grid[#Data],$DE1041,55),0)</f>
        <v/>
      </c>
      <c r="BG1041">
        <f>IFERROR(INDEX(PP_Grid[#Data],$DE1041,56),0)</f>
        <v/>
      </c>
      <c r="BH1041">
        <f>IFERROR(INDEX(PP_Grid[#Data],$DE1041,57),0)</f>
        <v/>
      </c>
      <c r="BI1041">
        <f>IFERROR(INDEX(PP_Grid[#Data],$DE1041,58),0)</f>
        <v/>
      </c>
      <c r="BJ1041">
        <f>IFERROR(INDEX(PP_Grid[#Data],$DE1041,59),0)</f>
        <v/>
      </c>
      <c r="BK1041">
        <f>IFERROR(INDEX(PP_Grid[#Data],$DE1041,60),0)</f>
        <v/>
      </c>
      <c r="BL1041">
        <f>IFERROR(INDEX(PP_Grid[#Data],$DE1041,61),0)</f>
        <v/>
      </c>
      <c r="BM1041">
        <f>IFERROR(INDEX(PP_Grid[#Data],$DE1041,62),0)</f>
        <v/>
      </c>
      <c r="BN1041">
        <f>IFERROR(INDEX(PP_Grid[#Data],$DE1041,63),0)</f>
        <v/>
      </c>
      <c r="BO1041">
        <f>IFERROR(INDEX(PP_Grid[#Data],$DE1041,64),0)</f>
        <v/>
      </c>
      <c r="BP1041">
        <f>IFERROR(INDEX(PP_Grid[#Data],$DE1041,65),0)</f>
        <v/>
      </c>
      <c r="BQ1041">
        <f>IFERROR(INDEX(PP_Grid[#Data],$DE1041,66),0)</f>
        <v/>
      </c>
      <c r="BR1041">
        <f>IFERROR(INDEX(PP_Grid[#Data],$DE1041,67),0)</f>
        <v/>
      </c>
      <c r="BS1041">
        <f>IFERROR(INDEX(PP_Grid[#Data],$DE1041,68),0)</f>
        <v/>
      </c>
      <c r="BT1041">
        <f>IFERROR(INDEX(PP_Grid[#Data],$DE1041,69),0)</f>
        <v/>
      </c>
      <c r="BU1041">
        <f>IFERROR(INDEX(PP_Grid[#Data],$DE1041,70),0)</f>
        <v/>
      </c>
      <c r="BV1041">
        <f>IFERROR(INDEX(PP_Grid[#Data],$DE1041,71),0)</f>
        <v/>
      </c>
      <c r="BW1041">
        <f>IFERROR(INDEX(PP_Grid[#Data],$DE1041,72),0)</f>
        <v/>
      </c>
      <c r="BX1041">
        <f>IFERROR(INDEX(PP_Grid[#Data],$DE1041,73),0)</f>
        <v/>
      </c>
      <c r="BY1041">
        <f>IFERROR(INDEX(PP_Grid[#Data],$DE1041,74),0)</f>
        <v/>
      </c>
      <c r="BZ1041">
        <f>IFERROR(INDEX(PP_Grid[#Data],$DE1041,75),0)</f>
        <v/>
      </c>
      <c r="CA1041">
        <f>IFERROR(INDEX(PP_Grid[#Data],$DE1041,76),0)</f>
        <v/>
      </c>
      <c r="CB1041">
        <f>IFERROR(INDEX(PP_Grid[#Data],$DE1041,77),0)</f>
        <v/>
      </c>
      <c r="CC1041">
        <f>IFERROR(INDEX(PP_Grid[#Data],$DE1041,78),0)</f>
        <v/>
      </c>
      <c r="CD1041">
        <f>IFERROR(INDEX(PP_Grid[#Data],$DE1041,79),0)</f>
        <v/>
      </c>
      <c r="CE1041">
        <f>IFERROR(INDEX(PP_Grid[#Data],$DE1041,80),0)</f>
        <v/>
      </c>
      <c r="CF1041">
        <f>IFERROR(INDEX(PP_Grid[#Data],$DE1041,81),0)</f>
        <v/>
      </c>
      <c r="CG1041">
        <f>IFERROR(INDEX(PP_Grid[#Data],$DE1041,82),0)</f>
        <v/>
      </c>
      <c r="CH1041">
        <f>IFERROR(INDEX(PP_Grid[#Data],$DE1041,83),0)</f>
        <v/>
      </c>
      <c r="CI1041">
        <f>IFERROR(INDEX(PP_Grid[#Data],$DE1041,84),0)</f>
        <v/>
      </c>
      <c r="CJ1041">
        <f>IFERROR(INDEX(PP_Grid[#Data],$DE1041,85),0)</f>
        <v/>
      </c>
      <c r="CK1041">
        <f>IFERROR(INDEX(PP_Grid[#Data],$DE1041,86),0)</f>
        <v/>
      </c>
      <c r="CL1041">
        <f>IFERROR(INDEX(PP_Grid[#Data],$DE1041,87),0)</f>
        <v/>
      </c>
      <c r="CM1041">
        <f>IFERROR(INDEX(PP_Grid[#Data],$DE1041,88),0)</f>
        <v/>
      </c>
      <c r="CN1041">
        <f>IFERROR(INDEX(PP_Grid[#Data],$DE1041,89),0)</f>
        <v/>
      </c>
      <c r="CO1041">
        <f>IFERROR(INDEX(PP_Grid[#Data],$DE1041,90),0)</f>
        <v/>
      </c>
      <c r="CP1041">
        <f>IFERROR(INDEX(PP_Grid[#Data],$DE1041,91),0)</f>
        <v/>
      </c>
      <c r="CQ1041">
        <f>IFERROR(INDEX(PP_Grid[#Data],$DE1041,92),0)</f>
        <v/>
      </c>
      <c r="CR1041">
        <f>IFERROR(INDEX(PP_Grid[#Data],$DE1041,93),0)</f>
        <v/>
      </c>
      <c r="CS1041">
        <f>IFERROR(INDEX(PP_Grid[#Data],$DE1041,94),0)</f>
        <v/>
      </c>
      <c r="CT1041">
        <f>IFERROR(INDEX(PP_Grid[#Data],$DE1041,95),0)</f>
        <v/>
      </c>
      <c r="CU1041">
        <f>IFERROR(INDEX(PP_Grid[#Data],$DE1041,96),0)</f>
        <v/>
      </c>
      <c r="CV1041">
        <f>IFERROR(INDEX(PP_Grid[#Data],$DE1041,97),0)</f>
        <v/>
      </c>
      <c r="CW1041">
        <f>IFERROR(INDEX(PP_Grid[#Data],$DE1041,98),0)</f>
        <v/>
      </c>
      <c r="CX1041">
        <f>IFERROR(INDEX(PP_Grid[#Data],$DE1041,99),0)</f>
        <v/>
      </c>
      <c r="CY1041">
        <f>IFERROR(INDEX(PP_Grid[#Data],$DE1041,100),0)</f>
        <v/>
      </c>
      <c r="CZ1041">
        <f>IFERROR(INDEX(PP_Grid[#Data],$DE1041,101),0)</f>
        <v/>
      </c>
      <c r="DA1041">
        <f>IFERROR(INDEX(PP_Grid[#Data],$DE1041,102),0)</f>
        <v/>
      </c>
      <c r="DB1041">
        <f>IFERROR(INDEX(PP_Grid[#Data],$DE1041,103),0)</f>
        <v/>
      </c>
      <c r="DC1041">
        <f>IFERROR(INDEX(PP_Grid[#Data],$DE1041,104),0)</f>
        <v/>
      </c>
      <c r="DD1041">
        <f>IFERROR(INDEX(PP_Grid[#Data],$DE1041,105),0)</f>
        <v/>
      </c>
      <c r="DE1041" s="7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SUMIFS(M_BOM[RM_Qty_Per_Batch],M_BOM[Intermediate],$B1041,M_BOM[RM_Code],$A1034)</f>
        <v/>
      </c>
      <c r="D1042">
        <f>IFERROR(INDEX(E1042:DD1042,$F$1),"")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  <c r="DD1042">
        <f>$C1042*DD1041</f>
        <v/>
      </c>
    </row>
    <row r="1043">
      <c r="B1043" t="inlineStr">
        <is>
          <t>VSP-822</t>
        </is>
      </c>
      <c r="C1043" t="inlineStr">
        <is>
          <t>No. of batches</t>
        </is>
      </c>
      <c r="D1043">
        <f>IFERROR(INDEX(E1043:DD1043,$F$1),"")</f>
        <v/>
      </c>
      <c r="E1043">
        <f>IFERROR(INDEX(PP_Grid[#Data],$DE1043,2),0)</f>
        <v/>
      </c>
      <c r="F1043">
        <f>IFERROR(INDEX(PP_Grid[#Data],$DE1043,3),0)</f>
        <v/>
      </c>
      <c r="G1043">
        <f>IFERROR(INDEX(PP_Grid[#Data],$DE1043,4),0)</f>
        <v/>
      </c>
      <c r="H1043">
        <f>IFERROR(INDEX(PP_Grid[#Data],$DE1043,5),0)</f>
        <v/>
      </c>
      <c r="I1043">
        <f>IFERROR(INDEX(PP_Grid[#Data],$DE1043,6),0)</f>
        <v/>
      </c>
      <c r="J1043">
        <f>IFERROR(INDEX(PP_Grid[#Data],$DE1043,7),0)</f>
        <v/>
      </c>
      <c r="K1043">
        <f>IFERROR(INDEX(PP_Grid[#Data],$DE1043,8),0)</f>
        <v/>
      </c>
      <c r="L1043">
        <f>IFERROR(INDEX(PP_Grid[#Data],$DE1043,9),0)</f>
        <v/>
      </c>
      <c r="M1043">
        <f>IFERROR(INDEX(PP_Grid[#Data],$DE1043,10),0)</f>
        <v/>
      </c>
      <c r="N1043">
        <f>IFERROR(INDEX(PP_Grid[#Data],$DE1043,11),0)</f>
        <v/>
      </c>
      <c r="O1043">
        <f>IFERROR(INDEX(PP_Grid[#Data],$DE1043,12),0)</f>
        <v/>
      </c>
      <c r="P1043">
        <f>IFERROR(INDEX(PP_Grid[#Data],$DE1043,13),0)</f>
        <v/>
      </c>
      <c r="Q1043">
        <f>IFERROR(INDEX(PP_Grid[#Data],$DE1043,14),0)</f>
        <v/>
      </c>
      <c r="R1043">
        <f>IFERROR(INDEX(PP_Grid[#Data],$DE1043,15),0)</f>
        <v/>
      </c>
      <c r="S1043">
        <f>IFERROR(INDEX(PP_Grid[#Data],$DE1043,16),0)</f>
        <v/>
      </c>
      <c r="T1043">
        <f>IFERROR(INDEX(PP_Grid[#Data],$DE1043,17),0)</f>
        <v/>
      </c>
      <c r="U1043">
        <f>IFERROR(INDEX(PP_Grid[#Data],$DE1043,18),0)</f>
        <v/>
      </c>
      <c r="V1043">
        <f>IFERROR(INDEX(PP_Grid[#Data],$DE1043,19),0)</f>
        <v/>
      </c>
      <c r="W1043">
        <f>IFERROR(INDEX(PP_Grid[#Data],$DE1043,20),0)</f>
        <v/>
      </c>
      <c r="X1043">
        <f>IFERROR(INDEX(PP_Grid[#Data],$DE1043,21),0)</f>
        <v/>
      </c>
      <c r="Y1043">
        <f>IFERROR(INDEX(PP_Grid[#Data],$DE1043,22),0)</f>
        <v/>
      </c>
      <c r="Z1043">
        <f>IFERROR(INDEX(PP_Grid[#Data],$DE1043,23),0)</f>
        <v/>
      </c>
      <c r="AA1043">
        <f>IFERROR(INDEX(PP_Grid[#Data],$DE1043,24),0)</f>
        <v/>
      </c>
      <c r="AB1043">
        <f>IFERROR(INDEX(PP_Grid[#Data],$DE1043,25),0)</f>
        <v/>
      </c>
      <c r="AC1043">
        <f>IFERROR(INDEX(PP_Grid[#Data],$DE1043,26),0)</f>
        <v/>
      </c>
      <c r="AD1043">
        <f>IFERROR(INDEX(PP_Grid[#Data],$DE1043,27),0)</f>
        <v/>
      </c>
      <c r="AE1043">
        <f>IFERROR(INDEX(PP_Grid[#Data],$DE1043,28),0)</f>
        <v/>
      </c>
      <c r="AF1043">
        <f>IFERROR(INDEX(PP_Grid[#Data],$DE1043,29),0)</f>
        <v/>
      </c>
      <c r="AG1043">
        <f>IFERROR(INDEX(PP_Grid[#Data],$DE1043,30),0)</f>
        <v/>
      </c>
      <c r="AH1043">
        <f>IFERROR(INDEX(PP_Grid[#Data],$DE1043,31),0)</f>
        <v/>
      </c>
      <c r="AI1043">
        <f>IFERROR(INDEX(PP_Grid[#Data],$DE1043,32),0)</f>
        <v/>
      </c>
      <c r="AJ1043">
        <f>IFERROR(INDEX(PP_Grid[#Data],$DE1043,33),0)</f>
        <v/>
      </c>
      <c r="AK1043">
        <f>IFERROR(INDEX(PP_Grid[#Data],$DE1043,34),0)</f>
        <v/>
      </c>
      <c r="AL1043">
        <f>IFERROR(INDEX(PP_Grid[#Data],$DE1043,35),0)</f>
        <v/>
      </c>
      <c r="AM1043">
        <f>IFERROR(INDEX(PP_Grid[#Data],$DE1043,36),0)</f>
        <v/>
      </c>
      <c r="AN1043">
        <f>IFERROR(INDEX(PP_Grid[#Data],$DE1043,37),0)</f>
        <v/>
      </c>
      <c r="AO1043">
        <f>IFERROR(INDEX(PP_Grid[#Data],$DE1043,38),0)</f>
        <v/>
      </c>
      <c r="AP1043">
        <f>IFERROR(INDEX(PP_Grid[#Data],$DE1043,39),0)</f>
        <v/>
      </c>
      <c r="AQ1043">
        <f>IFERROR(INDEX(PP_Grid[#Data],$DE1043,40),0)</f>
        <v/>
      </c>
      <c r="AR1043">
        <f>IFERROR(INDEX(PP_Grid[#Data],$DE1043,41),0)</f>
        <v/>
      </c>
      <c r="AS1043">
        <f>IFERROR(INDEX(PP_Grid[#Data],$DE1043,42),0)</f>
        <v/>
      </c>
      <c r="AT1043">
        <f>IFERROR(INDEX(PP_Grid[#Data],$DE1043,43),0)</f>
        <v/>
      </c>
      <c r="AU1043">
        <f>IFERROR(INDEX(PP_Grid[#Data],$DE1043,44),0)</f>
        <v/>
      </c>
      <c r="AV1043">
        <f>IFERROR(INDEX(PP_Grid[#Data],$DE1043,45),0)</f>
        <v/>
      </c>
      <c r="AW1043">
        <f>IFERROR(INDEX(PP_Grid[#Data],$DE1043,46),0)</f>
        <v/>
      </c>
      <c r="AX1043">
        <f>IFERROR(INDEX(PP_Grid[#Data],$DE1043,47),0)</f>
        <v/>
      </c>
      <c r="AY1043">
        <f>IFERROR(INDEX(PP_Grid[#Data],$DE1043,48),0)</f>
        <v/>
      </c>
      <c r="AZ1043">
        <f>IFERROR(INDEX(PP_Grid[#Data],$DE1043,49),0)</f>
        <v/>
      </c>
      <c r="BA1043">
        <f>IFERROR(INDEX(PP_Grid[#Data],$DE1043,50),0)</f>
        <v/>
      </c>
      <c r="BB1043">
        <f>IFERROR(INDEX(PP_Grid[#Data],$DE1043,51),0)</f>
        <v/>
      </c>
      <c r="BC1043">
        <f>IFERROR(INDEX(PP_Grid[#Data],$DE1043,52),0)</f>
        <v/>
      </c>
      <c r="BD1043">
        <f>IFERROR(INDEX(PP_Grid[#Data],$DE1043,53),0)</f>
        <v/>
      </c>
      <c r="BE1043">
        <f>IFERROR(INDEX(PP_Grid[#Data],$DE1043,54),0)</f>
        <v/>
      </c>
      <c r="BF1043">
        <f>IFERROR(INDEX(PP_Grid[#Data],$DE1043,55),0)</f>
        <v/>
      </c>
      <c r="BG1043">
        <f>IFERROR(INDEX(PP_Grid[#Data],$DE1043,56),0)</f>
        <v/>
      </c>
      <c r="BH1043">
        <f>IFERROR(INDEX(PP_Grid[#Data],$DE1043,57),0)</f>
        <v/>
      </c>
      <c r="BI1043">
        <f>IFERROR(INDEX(PP_Grid[#Data],$DE1043,58),0)</f>
        <v/>
      </c>
      <c r="BJ1043">
        <f>IFERROR(INDEX(PP_Grid[#Data],$DE1043,59),0)</f>
        <v/>
      </c>
      <c r="BK1043">
        <f>IFERROR(INDEX(PP_Grid[#Data],$DE1043,60),0)</f>
        <v/>
      </c>
      <c r="BL1043">
        <f>IFERROR(INDEX(PP_Grid[#Data],$DE1043,61),0)</f>
        <v/>
      </c>
      <c r="BM1043">
        <f>IFERROR(INDEX(PP_Grid[#Data],$DE1043,62),0)</f>
        <v/>
      </c>
      <c r="BN1043">
        <f>IFERROR(INDEX(PP_Grid[#Data],$DE1043,63),0)</f>
        <v/>
      </c>
      <c r="BO1043">
        <f>IFERROR(INDEX(PP_Grid[#Data],$DE1043,64),0)</f>
        <v/>
      </c>
      <c r="BP1043">
        <f>IFERROR(INDEX(PP_Grid[#Data],$DE1043,65),0)</f>
        <v/>
      </c>
      <c r="BQ1043">
        <f>IFERROR(INDEX(PP_Grid[#Data],$DE1043,66),0)</f>
        <v/>
      </c>
      <c r="BR1043">
        <f>IFERROR(INDEX(PP_Grid[#Data],$DE1043,67),0)</f>
        <v/>
      </c>
      <c r="BS1043">
        <f>IFERROR(INDEX(PP_Grid[#Data],$DE1043,68),0)</f>
        <v/>
      </c>
      <c r="BT1043">
        <f>IFERROR(INDEX(PP_Grid[#Data],$DE1043,69),0)</f>
        <v/>
      </c>
      <c r="BU1043">
        <f>IFERROR(INDEX(PP_Grid[#Data],$DE1043,70),0)</f>
        <v/>
      </c>
      <c r="BV1043">
        <f>IFERROR(INDEX(PP_Grid[#Data],$DE1043,71),0)</f>
        <v/>
      </c>
      <c r="BW1043">
        <f>IFERROR(INDEX(PP_Grid[#Data],$DE1043,72),0)</f>
        <v/>
      </c>
      <c r="BX1043">
        <f>IFERROR(INDEX(PP_Grid[#Data],$DE1043,73),0)</f>
        <v/>
      </c>
      <c r="BY1043">
        <f>IFERROR(INDEX(PP_Grid[#Data],$DE1043,74),0)</f>
        <v/>
      </c>
      <c r="BZ1043">
        <f>IFERROR(INDEX(PP_Grid[#Data],$DE1043,75),0)</f>
        <v/>
      </c>
      <c r="CA1043">
        <f>IFERROR(INDEX(PP_Grid[#Data],$DE1043,76),0)</f>
        <v/>
      </c>
      <c r="CB1043">
        <f>IFERROR(INDEX(PP_Grid[#Data],$DE1043,77),0)</f>
        <v/>
      </c>
      <c r="CC1043">
        <f>IFERROR(INDEX(PP_Grid[#Data],$DE1043,78),0)</f>
        <v/>
      </c>
      <c r="CD1043">
        <f>IFERROR(INDEX(PP_Grid[#Data],$DE1043,79),0)</f>
        <v/>
      </c>
      <c r="CE1043">
        <f>IFERROR(INDEX(PP_Grid[#Data],$DE1043,80),0)</f>
        <v/>
      </c>
      <c r="CF1043">
        <f>IFERROR(INDEX(PP_Grid[#Data],$DE1043,81),0)</f>
        <v/>
      </c>
      <c r="CG1043">
        <f>IFERROR(INDEX(PP_Grid[#Data],$DE1043,82),0)</f>
        <v/>
      </c>
      <c r="CH1043">
        <f>IFERROR(INDEX(PP_Grid[#Data],$DE1043,83),0)</f>
        <v/>
      </c>
      <c r="CI1043">
        <f>IFERROR(INDEX(PP_Grid[#Data],$DE1043,84),0)</f>
        <v/>
      </c>
      <c r="CJ1043">
        <f>IFERROR(INDEX(PP_Grid[#Data],$DE1043,85),0)</f>
        <v/>
      </c>
      <c r="CK1043">
        <f>IFERROR(INDEX(PP_Grid[#Data],$DE1043,86),0)</f>
        <v/>
      </c>
      <c r="CL1043">
        <f>IFERROR(INDEX(PP_Grid[#Data],$DE1043,87),0)</f>
        <v/>
      </c>
      <c r="CM1043">
        <f>IFERROR(INDEX(PP_Grid[#Data],$DE1043,88),0)</f>
        <v/>
      </c>
      <c r="CN1043">
        <f>IFERROR(INDEX(PP_Grid[#Data],$DE1043,89),0)</f>
        <v/>
      </c>
      <c r="CO1043">
        <f>IFERROR(INDEX(PP_Grid[#Data],$DE1043,90),0)</f>
        <v/>
      </c>
      <c r="CP1043">
        <f>IFERROR(INDEX(PP_Grid[#Data],$DE1043,91),0)</f>
        <v/>
      </c>
      <c r="CQ1043">
        <f>IFERROR(INDEX(PP_Grid[#Data],$DE1043,92),0)</f>
        <v/>
      </c>
      <c r="CR1043">
        <f>IFERROR(INDEX(PP_Grid[#Data],$DE1043,93),0)</f>
        <v/>
      </c>
      <c r="CS1043">
        <f>IFERROR(INDEX(PP_Grid[#Data],$DE1043,94),0)</f>
        <v/>
      </c>
      <c r="CT1043">
        <f>IFERROR(INDEX(PP_Grid[#Data],$DE1043,95),0)</f>
        <v/>
      </c>
      <c r="CU1043">
        <f>IFERROR(INDEX(PP_Grid[#Data],$DE1043,96),0)</f>
        <v/>
      </c>
      <c r="CV1043">
        <f>IFERROR(INDEX(PP_Grid[#Data],$DE1043,97),0)</f>
        <v/>
      </c>
      <c r="CW1043">
        <f>IFERROR(INDEX(PP_Grid[#Data],$DE1043,98),0)</f>
        <v/>
      </c>
      <c r="CX1043">
        <f>IFERROR(INDEX(PP_Grid[#Data],$DE1043,99),0)</f>
        <v/>
      </c>
      <c r="CY1043">
        <f>IFERROR(INDEX(PP_Grid[#Data],$DE1043,100),0)</f>
        <v/>
      </c>
      <c r="CZ1043">
        <f>IFERROR(INDEX(PP_Grid[#Data],$DE1043,101),0)</f>
        <v/>
      </c>
      <c r="DA1043">
        <f>IFERROR(INDEX(PP_Grid[#Data],$DE1043,102),0)</f>
        <v/>
      </c>
      <c r="DB1043">
        <f>IFERROR(INDEX(PP_Grid[#Data],$DE1043,103),0)</f>
        <v/>
      </c>
      <c r="DC1043">
        <f>IFERROR(INDEX(PP_Grid[#Data],$DE1043,104),0)</f>
        <v/>
      </c>
      <c r="DD1043">
        <f>IFERROR(INDEX(PP_Grid[#Data],$DE1043,105),0)</f>
        <v/>
      </c>
      <c r="DE1043" s="7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SUMIFS(M_BOM[RM_Qty_Per_Batch],M_BOM[Intermediate],$B1043,M_BOM[RM_Code],$A1034)</f>
        <v/>
      </c>
      <c r="D1044">
        <f>IFERROR(INDEX(E1044:DD1044,$F$1),"")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  <c r="DD1044">
        <f>$C1044*DD1043</f>
        <v/>
      </c>
    </row>
    <row r="1045">
      <c r="B1045" t="inlineStr">
        <is>
          <t>VSP-869</t>
        </is>
      </c>
      <c r="C1045" t="inlineStr">
        <is>
          <t>No. of batches</t>
        </is>
      </c>
      <c r="D1045">
        <f>IFERROR(INDEX(E1045:DD1045,$F$1),"")</f>
        <v/>
      </c>
      <c r="E1045">
        <f>IFERROR(INDEX(PP_Grid[#Data],$DE1045,2),0)</f>
        <v/>
      </c>
      <c r="F1045">
        <f>IFERROR(INDEX(PP_Grid[#Data],$DE1045,3),0)</f>
        <v/>
      </c>
      <c r="G1045">
        <f>IFERROR(INDEX(PP_Grid[#Data],$DE1045,4),0)</f>
        <v/>
      </c>
      <c r="H1045">
        <f>IFERROR(INDEX(PP_Grid[#Data],$DE1045,5),0)</f>
        <v/>
      </c>
      <c r="I1045">
        <f>IFERROR(INDEX(PP_Grid[#Data],$DE1045,6),0)</f>
        <v/>
      </c>
      <c r="J1045">
        <f>IFERROR(INDEX(PP_Grid[#Data],$DE1045,7),0)</f>
        <v/>
      </c>
      <c r="K1045">
        <f>IFERROR(INDEX(PP_Grid[#Data],$DE1045,8),0)</f>
        <v/>
      </c>
      <c r="L1045">
        <f>IFERROR(INDEX(PP_Grid[#Data],$DE1045,9),0)</f>
        <v/>
      </c>
      <c r="M1045">
        <f>IFERROR(INDEX(PP_Grid[#Data],$DE1045,10),0)</f>
        <v/>
      </c>
      <c r="N1045">
        <f>IFERROR(INDEX(PP_Grid[#Data],$DE1045,11),0)</f>
        <v/>
      </c>
      <c r="O1045">
        <f>IFERROR(INDEX(PP_Grid[#Data],$DE1045,12),0)</f>
        <v/>
      </c>
      <c r="P1045">
        <f>IFERROR(INDEX(PP_Grid[#Data],$DE1045,13),0)</f>
        <v/>
      </c>
      <c r="Q1045">
        <f>IFERROR(INDEX(PP_Grid[#Data],$DE1045,14),0)</f>
        <v/>
      </c>
      <c r="R1045">
        <f>IFERROR(INDEX(PP_Grid[#Data],$DE1045,15),0)</f>
        <v/>
      </c>
      <c r="S1045">
        <f>IFERROR(INDEX(PP_Grid[#Data],$DE1045,16),0)</f>
        <v/>
      </c>
      <c r="T1045">
        <f>IFERROR(INDEX(PP_Grid[#Data],$DE1045,17),0)</f>
        <v/>
      </c>
      <c r="U1045">
        <f>IFERROR(INDEX(PP_Grid[#Data],$DE1045,18),0)</f>
        <v/>
      </c>
      <c r="V1045">
        <f>IFERROR(INDEX(PP_Grid[#Data],$DE1045,19),0)</f>
        <v/>
      </c>
      <c r="W1045">
        <f>IFERROR(INDEX(PP_Grid[#Data],$DE1045,20),0)</f>
        <v/>
      </c>
      <c r="X1045">
        <f>IFERROR(INDEX(PP_Grid[#Data],$DE1045,21),0)</f>
        <v/>
      </c>
      <c r="Y1045">
        <f>IFERROR(INDEX(PP_Grid[#Data],$DE1045,22),0)</f>
        <v/>
      </c>
      <c r="Z1045">
        <f>IFERROR(INDEX(PP_Grid[#Data],$DE1045,23),0)</f>
        <v/>
      </c>
      <c r="AA1045">
        <f>IFERROR(INDEX(PP_Grid[#Data],$DE1045,24),0)</f>
        <v/>
      </c>
      <c r="AB1045">
        <f>IFERROR(INDEX(PP_Grid[#Data],$DE1045,25),0)</f>
        <v/>
      </c>
      <c r="AC1045">
        <f>IFERROR(INDEX(PP_Grid[#Data],$DE1045,26),0)</f>
        <v/>
      </c>
      <c r="AD1045">
        <f>IFERROR(INDEX(PP_Grid[#Data],$DE1045,27),0)</f>
        <v/>
      </c>
      <c r="AE1045">
        <f>IFERROR(INDEX(PP_Grid[#Data],$DE1045,28),0)</f>
        <v/>
      </c>
      <c r="AF1045">
        <f>IFERROR(INDEX(PP_Grid[#Data],$DE1045,29),0)</f>
        <v/>
      </c>
      <c r="AG1045">
        <f>IFERROR(INDEX(PP_Grid[#Data],$DE1045,30),0)</f>
        <v/>
      </c>
      <c r="AH1045">
        <f>IFERROR(INDEX(PP_Grid[#Data],$DE1045,31),0)</f>
        <v/>
      </c>
      <c r="AI1045">
        <f>IFERROR(INDEX(PP_Grid[#Data],$DE1045,32),0)</f>
        <v/>
      </c>
      <c r="AJ1045">
        <f>IFERROR(INDEX(PP_Grid[#Data],$DE1045,33),0)</f>
        <v/>
      </c>
      <c r="AK1045">
        <f>IFERROR(INDEX(PP_Grid[#Data],$DE1045,34),0)</f>
        <v/>
      </c>
      <c r="AL1045">
        <f>IFERROR(INDEX(PP_Grid[#Data],$DE1045,35),0)</f>
        <v/>
      </c>
      <c r="AM1045">
        <f>IFERROR(INDEX(PP_Grid[#Data],$DE1045,36),0)</f>
        <v/>
      </c>
      <c r="AN1045">
        <f>IFERROR(INDEX(PP_Grid[#Data],$DE1045,37),0)</f>
        <v/>
      </c>
      <c r="AO1045">
        <f>IFERROR(INDEX(PP_Grid[#Data],$DE1045,38),0)</f>
        <v/>
      </c>
      <c r="AP1045">
        <f>IFERROR(INDEX(PP_Grid[#Data],$DE1045,39),0)</f>
        <v/>
      </c>
      <c r="AQ1045">
        <f>IFERROR(INDEX(PP_Grid[#Data],$DE1045,40),0)</f>
        <v/>
      </c>
      <c r="AR1045">
        <f>IFERROR(INDEX(PP_Grid[#Data],$DE1045,41),0)</f>
        <v/>
      </c>
      <c r="AS1045">
        <f>IFERROR(INDEX(PP_Grid[#Data],$DE1045,42),0)</f>
        <v/>
      </c>
      <c r="AT1045">
        <f>IFERROR(INDEX(PP_Grid[#Data],$DE1045,43),0)</f>
        <v/>
      </c>
      <c r="AU1045">
        <f>IFERROR(INDEX(PP_Grid[#Data],$DE1045,44),0)</f>
        <v/>
      </c>
      <c r="AV1045">
        <f>IFERROR(INDEX(PP_Grid[#Data],$DE1045,45),0)</f>
        <v/>
      </c>
      <c r="AW1045">
        <f>IFERROR(INDEX(PP_Grid[#Data],$DE1045,46),0)</f>
        <v/>
      </c>
      <c r="AX1045">
        <f>IFERROR(INDEX(PP_Grid[#Data],$DE1045,47),0)</f>
        <v/>
      </c>
      <c r="AY1045">
        <f>IFERROR(INDEX(PP_Grid[#Data],$DE1045,48),0)</f>
        <v/>
      </c>
      <c r="AZ1045">
        <f>IFERROR(INDEX(PP_Grid[#Data],$DE1045,49),0)</f>
        <v/>
      </c>
      <c r="BA1045">
        <f>IFERROR(INDEX(PP_Grid[#Data],$DE1045,50),0)</f>
        <v/>
      </c>
      <c r="BB1045">
        <f>IFERROR(INDEX(PP_Grid[#Data],$DE1045,51),0)</f>
        <v/>
      </c>
      <c r="BC1045">
        <f>IFERROR(INDEX(PP_Grid[#Data],$DE1045,52),0)</f>
        <v/>
      </c>
      <c r="BD1045">
        <f>IFERROR(INDEX(PP_Grid[#Data],$DE1045,53),0)</f>
        <v/>
      </c>
      <c r="BE1045">
        <f>IFERROR(INDEX(PP_Grid[#Data],$DE1045,54),0)</f>
        <v/>
      </c>
      <c r="BF1045">
        <f>IFERROR(INDEX(PP_Grid[#Data],$DE1045,55),0)</f>
        <v/>
      </c>
      <c r="BG1045">
        <f>IFERROR(INDEX(PP_Grid[#Data],$DE1045,56),0)</f>
        <v/>
      </c>
      <c r="BH1045">
        <f>IFERROR(INDEX(PP_Grid[#Data],$DE1045,57),0)</f>
        <v/>
      </c>
      <c r="BI1045">
        <f>IFERROR(INDEX(PP_Grid[#Data],$DE1045,58),0)</f>
        <v/>
      </c>
      <c r="BJ1045">
        <f>IFERROR(INDEX(PP_Grid[#Data],$DE1045,59),0)</f>
        <v/>
      </c>
      <c r="BK1045">
        <f>IFERROR(INDEX(PP_Grid[#Data],$DE1045,60),0)</f>
        <v/>
      </c>
      <c r="BL1045">
        <f>IFERROR(INDEX(PP_Grid[#Data],$DE1045,61),0)</f>
        <v/>
      </c>
      <c r="BM1045">
        <f>IFERROR(INDEX(PP_Grid[#Data],$DE1045,62),0)</f>
        <v/>
      </c>
      <c r="BN1045">
        <f>IFERROR(INDEX(PP_Grid[#Data],$DE1045,63),0)</f>
        <v/>
      </c>
      <c r="BO1045">
        <f>IFERROR(INDEX(PP_Grid[#Data],$DE1045,64),0)</f>
        <v/>
      </c>
      <c r="BP1045">
        <f>IFERROR(INDEX(PP_Grid[#Data],$DE1045,65),0)</f>
        <v/>
      </c>
      <c r="BQ1045">
        <f>IFERROR(INDEX(PP_Grid[#Data],$DE1045,66),0)</f>
        <v/>
      </c>
      <c r="BR1045">
        <f>IFERROR(INDEX(PP_Grid[#Data],$DE1045,67),0)</f>
        <v/>
      </c>
      <c r="BS1045">
        <f>IFERROR(INDEX(PP_Grid[#Data],$DE1045,68),0)</f>
        <v/>
      </c>
      <c r="BT1045">
        <f>IFERROR(INDEX(PP_Grid[#Data],$DE1045,69),0)</f>
        <v/>
      </c>
      <c r="BU1045">
        <f>IFERROR(INDEX(PP_Grid[#Data],$DE1045,70),0)</f>
        <v/>
      </c>
      <c r="BV1045">
        <f>IFERROR(INDEX(PP_Grid[#Data],$DE1045,71),0)</f>
        <v/>
      </c>
      <c r="BW1045">
        <f>IFERROR(INDEX(PP_Grid[#Data],$DE1045,72),0)</f>
        <v/>
      </c>
      <c r="BX1045">
        <f>IFERROR(INDEX(PP_Grid[#Data],$DE1045,73),0)</f>
        <v/>
      </c>
      <c r="BY1045">
        <f>IFERROR(INDEX(PP_Grid[#Data],$DE1045,74),0)</f>
        <v/>
      </c>
      <c r="BZ1045">
        <f>IFERROR(INDEX(PP_Grid[#Data],$DE1045,75),0)</f>
        <v/>
      </c>
      <c r="CA1045">
        <f>IFERROR(INDEX(PP_Grid[#Data],$DE1045,76),0)</f>
        <v/>
      </c>
      <c r="CB1045">
        <f>IFERROR(INDEX(PP_Grid[#Data],$DE1045,77),0)</f>
        <v/>
      </c>
      <c r="CC1045">
        <f>IFERROR(INDEX(PP_Grid[#Data],$DE1045,78),0)</f>
        <v/>
      </c>
      <c r="CD1045">
        <f>IFERROR(INDEX(PP_Grid[#Data],$DE1045,79),0)</f>
        <v/>
      </c>
      <c r="CE1045">
        <f>IFERROR(INDEX(PP_Grid[#Data],$DE1045,80),0)</f>
        <v/>
      </c>
      <c r="CF1045">
        <f>IFERROR(INDEX(PP_Grid[#Data],$DE1045,81),0)</f>
        <v/>
      </c>
      <c r="CG1045">
        <f>IFERROR(INDEX(PP_Grid[#Data],$DE1045,82),0)</f>
        <v/>
      </c>
      <c r="CH1045">
        <f>IFERROR(INDEX(PP_Grid[#Data],$DE1045,83),0)</f>
        <v/>
      </c>
      <c r="CI1045">
        <f>IFERROR(INDEX(PP_Grid[#Data],$DE1045,84),0)</f>
        <v/>
      </c>
      <c r="CJ1045">
        <f>IFERROR(INDEX(PP_Grid[#Data],$DE1045,85),0)</f>
        <v/>
      </c>
      <c r="CK1045">
        <f>IFERROR(INDEX(PP_Grid[#Data],$DE1045,86),0)</f>
        <v/>
      </c>
      <c r="CL1045">
        <f>IFERROR(INDEX(PP_Grid[#Data],$DE1045,87),0)</f>
        <v/>
      </c>
      <c r="CM1045">
        <f>IFERROR(INDEX(PP_Grid[#Data],$DE1045,88),0)</f>
        <v/>
      </c>
      <c r="CN1045">
        <f>IFERROR(INDEX(PP_Grid[#Data],$DE1045,89),0)</f>
        <v/>
      </c>
      <c r="CO1045">
        <f>IFERROR(INDEX(PP_Grid[#Data],$DE1045,90),0)</f>
        <v/>
      </c>
      <c r="CP1045">
        <f>IFERROR(INDEX(PP_Grid[#Data],$DE1045,91),0)</f>
        <v/>
      </c>
      <c r="CQ1045">
        <f>IFERROR(INDEX(PP_Grid[#Data],$DE1045,92),0)</f>
        <v/>
      </c>
      <c r="CR1045">
        <f>IFERROR(INDEX(PP_Grid[#Data],$DE1045,93),0)</f>
        <v/>
      </c>
      <c r="CS1045">
        <f>IFERROR(INDEX(PP_Grid[#Data],$DE1045,94),0)</f>
        <v/>
      </c>
      <c r="CT1045">
        <f>IFERROR(INDEX(PP_Grid[#Data],$DE1045,95),0)</f>
        <v/>
      </c>
      <c r="CU1045">
        <f>IFERROR(INDEX(PP_Grid[#Data],$DE1045,96),0)</f>
        <v/>
      </c>
      <c r="CV1045">
        <f>IFERROR(INDEX(PP_Grid[#Data],$DE1045,97),0)</f>
        <v/>
      </c>
      <c r="CW1045">
        <f>IFERROR(INDEX(PP_Grid[#Data],$DE1045,98),0)</f>
        <v/>
      </c>
      <c r="CX1045">
        <f>IFERROR(INDEX(PP_Grid[#Data],$DE1045,99),0)</f>
        <v/>
      </c>
      <c r="CY1045">
        <f>IFERROR(INDEX(PP_Grid[#Data],$DE1045,100),0)</f>
        <v/>
      </c>
      <c r="CZ1045">
        <f>IFERROR(INDEX(PP_Grid[#Data],$DE1045,101),0)</f>
        <v/>
      </c>
      <c r="DA1045">
        <f>IFERROR(INDEX(PP_Grid[#Data],$DE1045,102),0)</f>
        <v/>
      </c>
      <c r="DB1045">
        <f>IFERROR(INDEX(PP_Grid[#Data],$DE1045,103),0)</f>
        <v/>
      </c>
      <c r="DC1045">
        <f>IFERROR(INDEX(PP_Grid[#Data],$DE1045,104),0)</f>
        <v/>
      </c>
      <c r="DD1045">
        <f>IFERROR(INDEX(PP_Grid[#Data],$DE1045,105),0)</f>
        <v/>
      </c>
      <c r="DE1045" s="7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SUMIFS(M_BOM[RM_Qty_Per_Batch],M_BOM[Intermediate],$B1045,M_BOM[RM_Code],$A1034)</f>
        <v/>
      </c>
      <c r="D1046">
        <f>IFERROR(INDEX(E1046:DD1046,$F$1),"")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  <c r="DD1046">
        <f>$C1046*DD1045</f>
        <v/>
      </c>
    </row>
    <row r="1047">
      <c r="B1047" t="inlineStr">
        <is>
          <t>VSP-870</t>
        </is>
      </c>
      <c r="C1047" t="inlineStr">
        <is>
          <t>No. of batches</t>
        </is>
      </c>
      <c r="D1047">
        <f>IFERROR(INDEX(E1047:DD1047,$F$1),"")</f>
        <v/>
      </c>
      <c r="E1047">
        <f>IFERROR(INDEX(PP_Grid[#Data],$DE1047,2),0)</f>
        <v/>
      </c>
      <c r="F1047">
        <f>IFERROR(INDEX(PP_Grid[#Data],$DE1047,3),0)</f>
        <v/>
      </c>
      <c r="G1047">
        <f>IFERROR(INDEX(PP_Grid[#Data],$DE1047,4),0)</f>
        <v/>
      </c>
      <c r="H1047">
        <f>IFERROR(INDEX(PP_Grid[#Data],$DE1047,5),0)</f>
        <v/>
      </c>
      <c r="I1047">
        <f>IFERROR(INDEX(PP_Grid[#Data],$DE1047,6),0)</f>
        <v/>
      </c>
      <c r="J1047">
        <f>IFERROR(INDEX(PP_Grid[#Data],$DE1047,7),0)</f>
        <v/>
      </c>
      <c r="K1047">
        <f>IFERROR(INDEX(PP_Grid[#Data],$DE1047,8),0)</f>
        <v/>
      </c>
      <c r="L1047">
        <f>IFERROR(INDEX(PP_Grid[#Data],$DE1047,9),0)</f>
        <v/>
      </c>
      <c r="M1047">
        <f>IFERROR(INDEX(PP_Grid[#Data],$DE1047,10),0)</f>
        <v/>
      </c>
      <c r="N1047">
        <f>IFERROR(INDEX(PP_Grid[#Data],$DE1047,11),0)</f>
        <v/>
      </c>
      <c r="O1047">
        <f>IFERROR(INDEX(PP_Grid[#Data],$DE1047,12),0)</f>
        <v/>
      </c>
      <c r="P1047">
        <f>IFERROR(INDEX(PP_Grid[#Data],$DE1047,13),0)</f>
        <v/>
      </c>
      <c r="Q1047">
        <f>IFERROR(INDEX(PP_Grid[#Data],$DE1047,14),0)</f>
        <v/>
      </c>
      <c r="R1047">
        <f>IFERROR(INDEX(PP_Grid[#Data],$DE1047,15),0)</f>
        <v/>
      </c>
      <c r="S1047">
        <f>IFERROR(INDEX(PP_Grid[#Data],$DE1047,16),0)</f>
        <v/>
      </c>
      <c r="T1047">
        <f>IFERROR(INDEX(PP_Grid[#Data],$DE1047,17),0)</f>
        <v/>
      </c>
      <c r="U1047">
        <f>IFERROR(INDEX(PP_Grid[#Data],$DE1047,18),0)</f>
        <v/>
      </c>
      <c r="V1047">
        <f>IFERROR(INDEX(PP_Grid[#Data],$DE1047,19),0)</f>
        <v/>
      </c>
      <c r="W1047">
        <f>IFERROR(INDEX(PP_Grid[#Data],$DE1047,20),0)</f>
        <v/>
      </c>
      <c r="X1047">
        <f>IFERROR(INDEX(PP_Grid[#Data],$DE1047,21),0)</f>
        <v/>
      </c>
      <c r="Y1047">
        <f>IFERROR(INDEX(PP_Grid[#Data],$DE1047,22),0)</f>
        <v/>
      </c>
      <c r="Z1047">
        <f>IFERROR(INDEX(PP_Grid[#Data],$DE1047,23),0)</f>
        <v/>
      </c>
      <c r="AA1047">
        <f>IFERROR(INDEX(PP_Grid[#Data],$DE1047,24),0)</f>
        <v/>
      </c>
      <c r="AB1047">
        <f>IFERROR(INDEX(PP_Grid[#Data],$DE1047,25),0)</f>
        <v/>
      </c>
      <c r="AC1047">
        <f>IFERROR(INDEX(PP_Grid[#Data],$DE1047,26),0)</f>
        <v/>
      </c>
      <c r="AD1047">
        <f>IFERROR(INDEX(PP_Grid[#Data],$DE1047,27),0)</f>
        <v/>
      </c>
      <c r="AE1047">
        <f>IFERROR(INDEX(PP_Grid[#Data],$DE1047,28),0)</f>
        <v/>
      </c>
      <c r="AF1047">
        <f>IFERROR(INDEX(PP_Grid[#Data],$DE1047,29),0)</f>
        <v/>
      </c>
      <c r="AG1047">
        <f>IFERROR(INDEX(PP_Grid[#Data],$DE1047,30),0)</f>
        <v/>
      </c>
      <c r="AH1047">
        <f>IFERROR(INDEX(PP_Grid[#Data],$DE1047,31),0)</f>
        <v/>
      </c>
      <c r="AI1047">
        <f>IFERROR(INDEX(PP_Grid[#Data],$DE1047,32),0)</f>
        <v/>
      </c>
      <c r="AJ1047">
        <f>IFERROR(INDEX(PP_Grid[#Data],$DE1047,33),0)</f>
        <v/>
      </c>
      <c r="AK1047">
        <f>IFERROR(INDEX(PP_Grid[#Data],$DE1047,34),0)</f>
        <v/>
      </c>
      <c r="AL1047">
        <f>IFERROR(INDEX(PP_Grid[#Data],$DE1047,35),0)</f>
        <v/>
      </c>
      <c r="AM1047">
        <f>IFERROR(INDEX(PP_Grid[#Data],$DE1047,36),0)</f>
        <v/>
      </c>
      <c r="AN1047">
        <f>IFERROR(INDEX(PP_Grid[#Data],$DE1047,37),0)</f>
        <v/>
      </c>
      <c r="AO1047">
        <f>IFERROR(INDEX(PP_Grid[#Data],$DE1047,38),0)</f>
        <v/>
      </c>
      <c r="AP1047">
        <f>IFERROR(INDEX(PP_Grid[#Data],$DE1047,39),0)</f>
        <v/>
      </c>
      <c r="AQ1047">
        <f>IFERROR(INDEX(PP_Grid[#Data],$DE1047,40),0)</f>
        <v/>
      </c>
      <c r="AR1047">
        <f>IFERROR(INDEX(PP_Grid[#Data],$DE1047,41),0)</f>
        <v/>
      </c>
      <c r="AS1047">
        <f>IFERROR(INDEX(PP_Grid[#Data],$DE1047,42),0)</f>
        <v/>
      </c>
      <c r="AT1047">
        <f>IFERROR(INDEX(PP_Grid[#Data],$DE1047,43),0)</f>
        <v/>
      </c>
      <c r="AU1047">
        <f>IFERROR(INDEX(PP_Grid[#Data],$DE1047,44),0)</f>
        <v/>
      </c>
      <c r="AV1047">
        <f>IFERROR(INDEX(PP_Grid[#Data],$DE1047,45),0)</f>
        <v/>
      </c>
      <c r="AW1047">
        <f>IFERROR(INDEX(PP_Grid[#Data],$DE1047,46),0)</f>
        <v/>
      </c>
      <c r="AX1047">
        <f>IFERROR(INDEX(PP_Grid[#Data],$DE1047,47),0)</f>
        <v/>
      </c>
      <c r="AY1047">
        <f>IFERROR(INDEX(PP_Grid[#Data],$DE1047,48),0)</f>
        <v/>
      </c>
      <c r="AZ1047">
        <f>IFERROR(INDEX(PP_Grid[#Data],$DE1047,49),0)</f>
        <v/>
      </c>
      <c r="BA1047">
        <f>IFERROR(INDEX(PP_Grid[#Data],$DE1047,50),0)</f>
        <v/>
      </c>
      <c r="BB1047">
        <f>IFERROR(INDEX(PP_Grid[#Data],$DE1047,51),0)</f>
        <v/>
      </c>
      <c r="BC1047">
        <f>IFERROR(INDEX(PP_Grid[#Data],$DE1047,52),0)</f>
        <v/>
      </c>
      <c r="BD1047">
        <f>IFERROR(INDEX(PP_Grid[#Data],$DE1047,53),0)</f>
        <v/>
      </c>
      <c r="BE1047">
        <f>IFERROR(INDEX(PP_Grid[#Data],$DE1047,54),0)</f>
        <v/>
      </c>
      <c r="BF1047">
        <f>IFERROR(INDEX(PP_Grid[#Data],$DE1047,55),0)</f>
        <v/>
      </c>
      <c r="BG1047">
        <f>IFERROR(INDEX(PP_Grid[#Data],$DE1047,56),0)</f>
        <v/>
      </c>
      <c r="BH1047">
        <f>IFERROR(INDEX(PP_Grid[#Data],$DE1047,57),0)</f>
        <v/>
      </c>
      <c r="BI1047">
        <f>IFERROR(INDEX(PP_Grid[#Data],$DE1047,58),0)</f>
        <v/>
      </c>
      <c r="BJ1047">
        <f>IFERROR(INDEX(PP_Grid[#Data],$DE1047,59),0)</f>
        <v/>
      </c>
      <c r="BK1047">
        <f>IFERROR(INDEX(PP_Grid[#Data],$DE1047,60),0)</f>
        <v/>
      </c>
      <c r="BL1047">
        <f>IFERROR(INDEX(PP_Grid[#Data],$DE1047,61),0)</f>
        <v/>
      </c>
      <c r="BM1047">
        <f>IFERROR(INDEX(PP_Grid[#Data],$DE1047,62),0)</f>
        <v/>
      </c>
      <c r="BN1047">
        <f>IFERROR(INDEX(PP_Grid[#Data],$DE1047,63),0)</f>
        <v/>
      </c>
      <c r="BO1047">
        <f>IFERROR(INDEX(PP_Grid[#Data],$DE1047,64),0)</f>
        <v/>
      </c>
      <c r="BP1047">
        <f>IFERROR(INDEX(PP_Grid[#Data],$DE1047,65),0)</f>
        <v/>
      </c>
      <c r="BQ1047">
        <f>IFERROR(INDEX(PP_Grid[#Data],$DE1047,66),0)</f>
        <v/>
      </c>
      <c r="BR1047">
        <f>IFERROR(INDEX(PP_Grid[#Data],$DE1047,67),0)</f>
        <v/>
      </c>
      <c r="BS1047">
        <f>IFERROR(INDEX(PP_Grid[#Data],$DE1047,68),0)</f>
        <v/>
      </c>
      <c r="BT1047">
        <f>IFERROR(INDEX(PP_Grid[#Data],$DE1047,69),0)</f>
        <v/>
      </c>
      <c r="BU1047">
        <f>IFERROR(INDEX(PP_Grid[#Data],$DE1047,70),0)</f>
        <v/>
      </c>
      <c r="BV1047">
        <f>IFERROR(INDEX(PP_Grid[#Data],$DE1047,71),0)</f>
        <v/>
      </c>
      <c r="BW1047">
        <f>IFERROR(INDEX(PP_Grid[#Data],$DE1047,72),0)</f>
        <v/>
      </c>
      <c r="BX1047">
        <f>IFERROR(INDEX(PP_Grid[#Data],$DE1047,73),0)</f>
        <v/>
      </c>
      <c r="BY1047">
        <f>IFERROR(INDEX(PP_Grid[#Data],$DE1047,74),0)</f>
        <v/>
      </c>
      <c r="BZ1047">
        <f>IFERROR(INDEX(PP_Grid[#Data],$DE1047,75),0)</f>
        <v/>
      </c>
      <c r="CA1047">
        <f>IFERROR(INDEX(PP_Grid[#Data],$DE1047,76),0)</f>
        <v/>
      </c>
      <c r="CB1047">
        <f>IFERROR(INDEX(PP_Grid[#Data],$DE1047,77),0)</f>
        <v/>
      </c>
      <c r="CC1047">
        <f>IFERROR(INDEX(PP_Grid[#Data],$DE1047,78),0)</f>
        <v/>
      </c>
      <c r="CD1047">
        <f>IFERROR(INDEX(PP_Grid[#Data],$DE1047,79),0)</f>
        <v/>
      </c>
      <c r="CE1047">
        <f>IFERROR(INDEX(PP_Grid[#Data],$DE1047,80),0)</f>
        <v/>
      </c>
      <c r="CF1047">
        <f>IFERROR(INDEX(PP_Grid[#Data],$DE1047,81),0)</f>
        <v/>
      </c>
      <c r="CG1047">
        <f>IFERROR(INDEX(PP_Grid[#Data],$DE1047,82),0)</f>
        <v/>
      </c>
      <c r="CH1047">
        <f>IFERROR(INDEX(PP_Grid[#Data],$DE1047,83),0)</f>
        <v/>
      </c>
      <c r="CI1047">
        <f>IFERROR(INDEX(PP_Grid[#Data],$DE1047,84),0)</f>
        <v/>
      </c>
      <c r="CJ1047">
        <f>IFERROR(INDEX(PP_Grid[#Data],$DE1047,85),0)</f>
        <v/>
      </c>
      <c r="CK1047">
        <f>IFERROR(INDEX(PP_Grid[#Data],$DE1047,86),0)</f>
        <v/>
      </c>
      <c r="CL1047">
        <f>IFERROR(INDEX(PP_Grid[#Data],$DE1047,87),0)</f>
        <v/>
      </c>
      <c r="CM1047">
        <f>IFERROR(INDEX(PP_Grid[#Data],$DE1047,88),0)</f>
        <v/>
      </c>
      <c r="CN1047">
        <f>IFERROR(INDEX(PP_Grid[#Data],$DE1047,89),0)</f>
        <v/>
      </c>
      <c r="CO1047">
        <f>IFERROR(INDEX(PP_Grid[#Data],$DE1047,90),0)</f>
        <v/>
      </c>
      <c r="CP1047">
        <f>IFERROR(INDEX(PP_Grid[#Data],$DE1047,91),0)</f>
        <v/>
      </c>
      <c r="CQ1047">
        <f>IFERROR(INDEX(PP_Grid[#Data],$DE1047,92),0)</f>
        <v/>
      </c>
      <c r="CR1047">
        <f>IFERROR(INDEX(PP_Grid[#Data],$DE1047,93),0)</f>
        <v/>
      </c>
      <c r="CS1047">
        <f>IFERROR(INDEX(PP_Grid[#Data],$DE1047,94),0)</f>
        <v/>
      </c>
      <c r="CT1047">
        <f>IFERROR(INDEX(PP_Grid[#Data],$DE1047,95),0)</f>
        <v/>
      </c>
      <c r="CU1047">
        <f>IFERROR(INDEX(PP_Grid[#Data],$DE1047,96),0)</f>
        <v/>
      </c>
      <c r="CV1047">
        <f>IFERROR(INDEX(PP_Grid[#Data],$DE1047,97),0)</f>
        <v/>
      </c>
      <c r="CW1047">
        <f>IFERROR(INDEX(PP_Grid[#Data],$DE1047,98),0)</f>
        <v/>
      </c>
      <c r="CX1047">
        <f>IFERROR(INDEX(PP_Grid[#Data],$DE1047,99),0)</f>
        <v/>
      </c>
      <c r="CY1047">
        <f>IFERROR(INDEX(PP_Grid[#Data],$DE1047,100),0)</f>
        <v/>
      </c>
      <c r="CZ1047">
        <f>IFERROR(INDEX(PP_Grid[#Data],$DE1047,101),0)</f>
        <v/>
      </c>
      <c r="DA1047">
        <f>IFERROR(INDEX(PP_Grid[#Data],$DE1047,102),0)</f>
        <v/>
      </c>
      <c r="DB1047">
        <f>IFERROR(INDEX(PP_Grid[#Data],$DE1047,103),0)</f>
        <v/>
      </c>
      <c r="DC1047">
        <f>IFERROR(INDEX(PP_Grid[#Data],$DE1047,104),0)</f>
        <v/>
      </c>
      <c r="DD1047">
        <f>IFERROR(INDEX(PP_Grid[#Data],$DE1047,105),0)</f>
        <v/>
      </c>
      <c r="DE1047" s="7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SUMIFS(M_BOM[RM_Qty_Per_Batch],M_BOM[Intermediate],$B1047,M_BOM[RM_Code],$A1034)</f>
        <v/>
      </c>
      <c r="D1048">
        <f>IFERROR(INDEX(E1048:DD1048,$F$1),"")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  <c r="DD1048">
        <f>$C1048*DD1047</f>
        <v/>
      </c>
    </row>
    <row r="1049">
      <c r="B1049" t="inlineStr">
        <is>
          <t>VSP-910</t>
        </is>
      </c>
      <c r="C1049" t="inlineStr">
        <is>
          <t>No. of batches</t>
        </is>
      </c>
      <c r="D1049">
        <f>IFERROR(INDEX(E1049:DD1049,$F$1),"")</f>
        <v/>
      </c>
      <c r="E1049">
        <f>IFERROR(INDEX(PP_Grid[#Data],$DE1049,2),0)</f>
        <v/>
      </c>
      <c r="F1049">
        <f>IFERROR(INDEX(PP_Grid[#Data],$DE1049,3),0)</f>
        <v/>
      </c>
      <c r="G1049">
        <f>IFERROR(INDEX(PP_Grid[#Data],$DE1049,4),0)</f>
        <v/>
      </c>
      <c r="H1049">
        <f>IFERROR(INDEX(PP_Grid[#Data],$DE1049,5),0)</f>
        <v/>
      </c>
      <c r="I1049">
        <f>IFERROR(INDEX(PP_Grid[#Data],$DE1049,6),0)</f>
        <v/>
      </c>
      <c r="J1049">
        <f>IFERROR(INDEX(PP_Grid[#Data],$DE1049,7),0)</f>
        <v/>
      </c>
      <c r="K1049">
        <f>IFERROR(INDEX(PP_Grid[#Data],$DE1049,8),0)</f>
        <v/>
      </c>
      <c r="L1049">
        <f>IFERROR(INDEX(PP_Grid[#Data],$DE1049,9),0)</f>
        <v/>
      </c>
      <c r="M1049">
        <f>IFERROR(INDEX(PP_Grid[#Data],$DE1049,10),0)</f>
        <v/>
      </c>
      <c r="N1049">
        <f>IFERROR(INDEX(PP_Grid[#Data],$DE1049,11),0)</f>
        <v/>
      </c>
      <c r="O1049">
        <f>IFERROR(INDEX(PP_Grid[#Data],$DE1049,12),0)</f>
        <v/>
      </c>
      <c r="P1049">
        <f>IFERROR(INDEX(PP_Grid[#Data],$DE1049,13),0)</f>
        <v/>
      </c>
      <c r="Q1049">
        <f>IFERROR(INDEX(PP_Grid[#Data],$DE1049,14),0)</f>
        <v/>
      </c>
      <c r="R1049">
        <f>IFERROR(INDEX(PP_Grid[#Data],$DE1049,15),0)</f>
        <v/>
      </c>
      <c r="S1049">
        <f>IFERROR(INDEX(PP_Grid[#Data],$DE1049,16),0)</f>
        <v/>
      </c>
      <c r="T1049">
        <f>IFERROR(INDEX(PP_Grid[#Data],$DE1049,17),0)</f>
        <v/>
      </c>
      <c r="U1049">
        <f>IFERROR(INDEX(PP_Grid[#Data],$DE1049,18),0)</f>
        <v/>
      </c>
      <c r="V1049">
        <f>IFERROR(INDEX(PP_Grid[#Data],$DE1049,19),0)</f>
        <v/>
      </c>
      <c r="W1049">
        <f>IFERROR(INDEX(PP_Grid[#Data],$DE1049,20),0)</f>
        <v/>
      </c>
      <c r="X1049">
        <f>IFERROR(INDEX(PP_Grid[#Data],$DE1049,21),0)</f>
        <v/>
      </c>
      <c r="Y1049">
        <f>IFERROR(INDEX(PP_Grid[#Data],$DE1049,22),0)</f>
        <v/>
      </c>
      <c r="Z1049">
        <f>IFERROR(INDEX(PP_Grid[#Data],$DE1049,23),0)</f>
        <v/>
      </c>
      <c r="AA1049">
        <f>IFERROR(INDEX(PP_Grid[#Data],$DE1049,24),0)</f>
        <v/>
      </c>
      <c r="AB1049">
        <f>IFERROR(INDEX(PP_Grid[#Data],$DE1049,25),0)</f>
        <v/>
      </c>
      <c r="AC1049">
        <f>IFERROR(INDEX(PP_Grid[#Data],$DE1049,26),0)</f>
        <v/>
      </c>
      <c r="AD1049">
        <f>IFERROR(INDEX(PP_Grid[#Data],$DE1049,27),0)</f>
        <v/>
      </c>
      <c r="AE1049">
        <f>IFERROR(INDEX(PP_Grid[#Data],$DE1049,28),0)</f>
        <v/>
      </c>
      <c r="AF1049">
        <f>IFERROR(INDEX(PP_Grid[#Data],$DE1049,29),0)</f>
        <v/>
      </c>
      <c r="AG1049">
        <f>IFERROR(INDEX(PP_Grid[#Data],$DE1049,30),0)</f>
        <v/>
      </c>
      <c r="AH1049">
        <f>IFERROR(INDEX(PP_Grid[#Data],$DE1049,31),0)</f>
        <v/>
      </c>
      <c r="AI1049">
        <f>IFERROR(INDEX(PP_Grid[#Data],$DE1049,32),0)</f>
        <v/>
      </c>
      <c r="AJ1049">
        <f>IFERROR(INDEX(PP_Grid[#Data],$DE1049,33),0)</f>
        <v/>
      </c>
      <c r="AK1049">
        <f>IFERROR(INDEX(PP_Grid[#Data],$DE1049,34),0)</f>
        <v/>
      </c>
      <c r="AL1049">
        <f>IFERROR(INDEX(PP_Grid[#Data],$DE1049,35),0)</f>
        <v/>
      </c>
      <c r="AM1049">
        <f>IFERROR(INDEX(PP_Grid[#Data],$DE1049,36),0)</f>
        <v/>
      </c>
      <c r="AN1049">
        <f>IFERROR(INDEX(PP_Grid[#Data],$DE1049,37),0)</f>
        <v/>
      </c>
      <c r="AO1049">
        <f>IFERROR(INDEX(PP_Grid[#Data],$DE1049,38),0)</f>
        <v/>
      </c>
      <c r="AP1049">
        <f>IFERROR(INDEX(PP_Grid[#Data],$DE1049,39),0)</f>
        <v/>
      </c>
      <c r="AQ1049">
        <f>IFERROR(INDEX(PP_Grid[#Data],$DE1049,40),0)</f>
        <v/>
      </c>
      <c r="AR1049">
        <f>IFERROR(INDEX(PP_Grid[#Data],$DE1049,41),0)</f>
        <v/>
      </c>
      <c r="AS1049">
        <f>IFERROR(INDEX(PP_Grid[#Data],$DE1049,42),0)</f>
        <v/>
      </c>
      <c r="AT1049">
        <f>IFERROR(INDEX(PP_Grid[#Data],$DE1049,43),0)</f>
        <v/>
      </c>
      <c r="AU1049">
        <f>IFERROR(INDEX(PP_Grid[#Data],$DE1049,44),0)</f>
        <v/>
      </c>
      <c r="AV1049">
        <f>IFERROR(INDEX(PP_Grid[#Data],$DE1049,45),0)</f>
        <v/>
      </c>
      <c r="AW1049">
        <f>IFERROR(INDEX(PP_Grid[#Data],$DE1049,46),0)</f>
        <v/>
      </c>
      <c r="AX1049">
        <f>IFERROR(INDEX(PP_Grid[#Data],$DE1049,47),0)</f>
        <v/>
      </c>
      <c r="AY1049">
        <f>IFERROR(INDEX(PP_Grid[#Data],$DE1049,48),0)</f>
        <v/>
      </c>
      <c r="AZ1049">
        <f>IFERROR(INDEX(PP_Grid[#Data],$DE1049,49),0)</f>
        <v/>
      </c>
      <c r="BA1049">
        <f>IFERROR(INDEX(PP_Grid[#Data],$DE1049,50),0)</f>
        <v/>
      </c>
      <c r="BB1049">
        <f>IFERROR(INDEX(PP_Grid[#Data],$DE1049,51),0)</f>
        <v/>
      </c>
      <c r="BC1049">
        <f>IFERROR(INDEX(PP_Grid[#Data],$DE1049,52),0)</f>
        <v/>
      </c>
      <c r="BD1049">
        <f>IFERROR(INDEX(PP_Grid[#Data],$DE1049,53),0)</f>
        <v/>
      </c>
      <c r="BE1049">
        <f>IFERROR(INDEX(PP_Grid[#Data],$DE1049,54),0)</f>
        <v/>
      </c>
      <c r="BF1049">
        <f>IFERROR(INDEX(PP_Grid[#Data],$DE1049,55),0)</f>
        <v/>
      </c>
      <c r="BG1049">
        <f>IFERROR(INDEX(PP_Grid[#Data],$DE1049,56),0)</f>
        <v/>
      </c>
      <c r="BH1049">
        <f>IFERROR(INDEX(PP_Grid[#Data],$DE1049,57),0)</f>
        <v/>
      </c>
      <c r="BI1049">
        <f>IFERROR(INDEX(PP_Grid[#Data],$DE1049,58),0)</f>
        <v/>
      </c>
      <c r="BJ1049">
        <f>IFERROR(INDEX(PP_Grid[#Data],$DE1049,59),0)</f>
        <v/>
      </c>
      <c r="BK1049">
        <f>IFERROR(INDEX(PP_Grid[#Data],$DE1049,60),0)</f>
        <v/>
      </c>
      <c r="BL1049">
        <f>IFERROR(INDEX(PP_Grid[#Data],$DE1049,61),0)</f>
        <v/>
      </c>
      <c r="BM1049">
        <f>IFERROR(INDEX(PP_Grid[#Data],$DE1049,62),0)</f>
        <v/>
      </c>
      <c r="BN1049">
        <f>IFERROR(INDEX(PP_Grid[#Data],$DE1049,63),0)</f>
        <v/>
      </c>
      <c r="BO1049">
        <f>IFERROR(INDEX(PP_Grid[#Data],$DE1049,64),0)</f>
        <v/>
      </c>
      <c r="BP1049">
        <f>IFERROR(INDEX(PP_Grid[#Data],$DE1049,65),0)</f>
        <v/>
      </c>
      <c r="BQ1049">
        <f>IFERROR(INDEX(PP_Grid[#Data],$DE1049,66),0)</f>
        <v/>
      </c>
      <c r="BR1049">
        <f>IFERROR(INDEX(PP_Grid[#Data],$DE1049,67),0)</f>
        <v/>
      </c>
      <c r="BS1049">
        <f>IFERROR(INDEX(PP_Grid[#Data],$DE1049,68),0)</f>
        <v/>
      </c>
      <c r="BT1049">
        <f>IFERROR(INDEX(PP_Grid[#Data],$DE1049,69),0)</f>
        <v/>
      </c>
      <c r="BU1049">
        <f>IFERROR(INDEX(PP_Grid[#Data],$DE1049,70),0)</f>
        <v/>
      </c>
      <c r="BV1049">
        <f>IFERROR(INDEX(PP_Grid[#Data],$DE1049,71),0)</f>
        <v/>
      </c>
      <c r="BW1049">
        <f>IFERROR(INDEX(PP_Grid[#Data],$DE1049,72),0)</f>
        <v/>
      </c>
      <c r="BX1049">
        <f>IFERROR(INDEX(PP_Grid[#Data],$DE1049,73),0)</f>
        <v/>
      </c>
      <c r="BY1049">
        <f>IFERROR(INDEX(PP_Grid[#Data],$DE1049,74),0)</f>
        <v/>
      </c>
      <c r="BZ1049">
        <f>IFERROR(INDEX(PP_Grid[#Data],$DE1049,75),0)</f>
        <v/>
      </c>
      <c r="CA1049">
        <f>IFERROR(INDEX(PP_Grid[#Data],$DE1049,76),0)</f>
        <v/>
      </c>
      <c r="CB1049">
        <f>IFERROR(INDEX(PP_Grid[#Data],$DE1049,77),0)</f>
        <v/>
      </c>
      <c r="CC1049">
        <f>IFERROR(INDEX(PP_Grid[#Data],$DE1049,78),0)</f>
        <v/>
      </c>
      <c r="CD1049">
        <f>IFERROR(INDEX(PP_Grid[#Data],$DE1049,79),0)</f>
        <v/>
      </c>
      <c r="CE1049">
        <f>IFERROR(INDEX(PP_Grid[#Data],$DE1049,80),0)</f>
        <v/>
      </c>
      <c r="CF1049">
        <f>IFERROR(INDEX(PP_Grid[#Data],$DE1049,81),0)</f>
        <v/>
      </c>
      <c r="CG1049">
        <f>IFERROR(INDEX(PP_Grid[#Data],$DE1049,82),0)</f>
        <v/>
      </c>
      <c r="CH1049">
        <f>IFERROR(INDEX(PP_Grid[#Data],$DE1049,83),0)</f>
        <v/>
      </c>
      <c r="CI1049">
        <f>IFERROR(INDEX(PP_Grid[#Data],$DE1049,84),0)</f>
        <v/>
      </c>
      <c r="CJ1049">
        <f>IFERROR(INDEX(PP_Grid[#Data],$DE1049,85),0)</f>
        <v/>
      </c>
      <c r="CK1049">
        <f>IFERROR(INDEX(PP_Grid[#Data],$DE1049,86),0)</f>
        <v/>
      </c>
      <c r="CL1049">
        <f>IFERROR(INDEX(PP_Grid[#Data],$DE1049,87),0)</f>
        <v/>
      </c>
      <c r="CM1049">
        <f>IFERROR(INDEX(PP_Grid[#Data],$DE1049,88),0)</f>
        <v/>
      </c>
      <c r="CN1049">
        <f>IFERROR(INDEX(PP_Grid[#Data],$DE1049,89),0)</f>
        <v/>
      </c>
      <c r="CO1049">
        <f>IFERROR(INDEX(PP_Grid[#Data],$DE1049,90),0)</f>
        <v/>
      </c>
      <c r="CP1049">
        <f>IFERROR(INDEX(PP_Grid[#Data],$DE1049,91),0)</f>
        <v/>
      </c>
      <c r="CQ1049">
        <f>IFERROR(INDEX(PP_Grid[#Data],$DE1049,92),0)</f>
        <v/>
      </c>
      <c r="CR1049">
        <f>IFERROR(INDEX(PP_Grid[#Data],$DE1049,93),0)</f>
        <v/>
      </c>
      <c r="CS1049">
        <f>IFERROR(INDEX(PP_Grid[#Data],$DE1049,94),0)</f>
        <v/>
      </c>
      <c r="CT1049">
        <f>IFERROR(INDEX(PP_Grid[#Data],$DE1049,95),0)</f>
        <v/>
      </c>
      <c r="CU1049">
        <f>IFERROR(INDEX(PP_Grid[#Data],$DE1049,96),0)</f>
        <v/>
      </c>
      <c r="CV1049">
        <f>IFERROR(INDEX(PP_Grid[#Data],$DE1049,97),0)</f>
        <v/>
      </c>
      <c r="CW1049">
        <f>IFERROR(INDEX(PP_Grid[#Data],$DE1049,98),0)</f>
        <v/>
      </c>
      <c r="CX1049">
        <f>IFERROR(INDEX(PP_Grid[#Data],$DE1049,99),0)</f>
        <v/>
      </c>
      <c r="CY1049">
        <f>IFERROR(INDEX(PP_Grid[#Data],$DE1049,100),0)</f>
        <v/>
      </c>
      <c r="CZ1049">
        <f>IFERROR(INDEX(PP_Grid[#Data],$DE1049,101),0)</f>
        <v/>
      </c>
      <c r="DA1049">
        <f>IFERROR(INDEX(PP_Grid[#Data],$DE1049,102),0)</f>
        <v/>
      </c>
      <c r="DB1049">
        <f>IFERROR(INDEX(PP_Grid[#Data],$DE1049,103),0)</f>
        <v/>
      </c>
      <c r="DC1049">
        <f>IFERROR(INDEX(PP_Grid[#Data],$DE1049,104),0)</f>
        <v/>
      </c>
      <c r="DD1049">
        <f>IFERROR(INDEX(PP_Grid[#Data],$DE1049,105),0)</f>
        <v/>
      </c>
      <c r="DE1049" s="7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SUMIFS(M_BOM[RM_Qty_Per_Batch],M_BOM[Intermediate],$B1049,M_BOM[RM_Code],$A1034)</f>
        <v/>
      </c>
      <c r="D1050">
        <f>IFERROR(INDEX(E1050:DD1050,$F$1),"")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  <c r="DD1050">
        <f>$C1050*DD1049</f>
        <v/>
      </c>
    </row>
    <row r="1051">
      <c r="B1051" t="inlineStr">
        <is>
          <t>VSP-989</t>
        </is>
      </c>
      <c r="C1051" t="inlineStr">
        <is>
          <t>No. of batches</t>
        </is>
      </c>
      <c r="D1051">
        <f>IFERROR(INDEX(E1051:DD1051,$F$1),"")</f>
        <v/>
      </c>
      <c r="E1051">
        <f>IFERROR(INDEX(PP_Grid[#Data],$DE1051,2),0)</f>
        <v/>
      </c>
      <c r="F1051">
        <f>IFERROR(INDEX(PP_Grid[#Data],$DE1051,3),0)</f>
        <v/>
      </c>
      <c r="G1051">
        <f>IFERROR(INDEX(PP_Grid[#Data],$DE1051,4),0)</f>
        <v/>
      </c>
      <c r="H1051">
        <f>IFERROR(INDEX(PP_Grid[#Data],$DE1051,5),0)</f>
        <v/>
      </c>
      <c r="I1051">
        <f>IFERROR(INDEX(PP_Grid[#Data],$DE1051,6),0)</f>
        <v/>
      </c>
      <c r="J1051">
        <f>IFERROR(INDEX(PP_Grid[#Data],$DE1051,7),0)</f>
        <v/>
      </c>
      <c r="K1051">
        <f>IFERROR(INDEX(PP_Grid[#Data],$DE1051,8),0)</f>
        <v/>
      </c>
      <c r="L1051">
        <f>IFERROR(INDEX(PP_Grid[#Data],$DE1051,9),0)</f>
        <v/>
      </c>
      <c r="M1051">
        <f>IFERROR(INDEX(PP_Grid[#Data],$DE1051,10),0)</f>
        <v/>
      </c>
      <c r="N1051">
        <f>IFERROR(INDEX(PP_Grid[#Data],$DE1051,11),0)</f>
        <v/>
      </c>
      <c r="O1051">
        <f>IFERROR(INDEX(PP_Grid[#Data],$DE1051,12),0)</f>
        <v/>
      </c>
      <c r="P1051">
        <f>IFERROR(INDEX(PP_Grid[#Data],$DE1051,13),0)</f>
        <v/>
      </c>
      <c r="Q1051">
        <f>IFERROR(INDEX(PP_Grid[#Data],$DE1051,14),0)</f>
        <v/>
      </c>
      <c r="R1051">
        <f>IFERROR(INDEX(PP_Grid[#Data],$DE1051,15),0)</f>
        <v/>
      </c>
      <c r="S1051">
        <f>IFERROR(INDEX(PP_Grid[#Data],$DE1051,16),0)</f>
        <v/>
      </c>
      <c r="T1051">
        <f>IFERROR(INDEX(PP_Grid[#Data],$DE1051,17),0)</f>
        <v/>
      </c>
      <c r="U1051">
        <f>IFERROR(INDEX(PP_Grid[#Data],$DE1051,18),0)</f>
        <v/>
      </c>
      <c r="V1051">
        <f>IFERROR(INDEX(PP_Grid[#Data],$DE1051,19),0)</f>
        <v/>
      </c>
      <c r="W1051">
        <f>IFERROR(INDEX(PP_Grid[#Data],$DE1051,20),0)</f>
        <v/>
      </c>
      <c r="X1051">
        <f>IFERROR(INDEX(PP_Grid[#Data],$DE1051,21),0)</f>
        <v/>
      </c>
      <c r="Y1051">
        <f>IFERROR(INDEX(PP_Grid[#Data],$DE1051,22),0)</f>
        <v/>
      </c>
      <c r="Z1051">
        <f>IFERROR(INDEX(PP_Grid[#Data],$DE1051,23),0)</f>
        <v/>
      </c>
      <c r="AA1051">
        <f>IFERROR(INDEX(PP_Grid[#Data],$DE1051,24),0)</f>
        <v/>
      </c>
      <c r="AB1051">
        <f>IFERROR(INDEX(PP_Grid[#Data],$DE1051,25),0)</f>
        <v/>
      </c>
      <c r="AC1051">
        <f>IFERROR(INDEX(PP_Grid[#Data],$DE1051,26),0)</f>
        <v/>
      </c>
      <c r="AD1051">
        <f>IFERROR(INDEX(PP_Grid[#Data],$DE1051,27),0)</f>
        <v/>
      </c>
      <c r="AE1051">
        <f>IFERROR(INDEX(PP_Grid[#Data],$DE1051,28),0)</f>
        <v/>
      </c>
      <c r="AF1051">
        <f>IFERROR(INDEX(PP_Grid[#Data],$DE1051,29),0)</f>
        <v/>
      </c>
      <c r="AG1051">
        <f>IFERROR(INDEX(PP_Grid[#Data],$DE1051,30),0)</f>
        <v/>
      </c>
      <c r="AH1051">
        <f>IFERROR(INDEX(PP_Grid[#Data],$DE1051,31),0)</f>
        <v/>
      </c>
      <c r="AI1051">
        <f>IFERROR(INDEX(PP_Grid[#Data],$DE1051,32),0)</f>
        <v/>
      </c>
      <c r="AJ1051">
        <f>IFERROR(INDEX(PP_Grid[#Data],$DE1051,33),0)</f>
        <v/>
      </c>
      <c r="AK1051">
        <f>IFERROR(INDEX(PP_Grid[#Data],$DE1051,34),0)</f>
        <v/>
      </c>
      <c r="AL1051">
        <f>IFERROR(INDEX(PP_Grid[#Data],$DE1051,35),0)</f>
        <v/>
      </c>
      <c r="AM1051">
        <f>IFERROR(INDEX(PP_Grid[#Data],$DE1051,36),0)</f>
        <v/>
      </c>
      <c r="AN1051">
        <f>IFERROR(INDEX(PP_Grid[#Data],$DE1051,37),0)</f>
        <v/>
      </c>
      <c r="AO1051">
        <f>IFERROR(INDEX(PP_Grid[#Data],$DE1051,38),0)</f>
        <v/>
      </c>
      <c r="AP1051">
        <f>IFERROR(INDEX(PP_Grid[#Data],$DE1051,39),0)</f>
        <v/>
      </c>
      <c r="AQ1051">
        <f>IFERROR(INDEX(PP_Grid[#Data],$DE1051,40),0)</f>
        <v/>
      </c>
      <c r="AR1051">
        <f>IFERROR(INDEX(PP_Grid[#Data],$DE1051,41),0)</f>
        <v/>
      </c>
      <c r="AS1051">
        <f>IFERROR(INDEX(PP_Grid[#Data],$DE1051,42),0)</f>
        <v/>
      </c>
      <c r="AT1051">
        <f>IFERROR(INDEX(PP_Grid[#Data],$DE1051,43),0)</f>
        <v/>
      </c>
      <c r="AU1051">
        <f>IFERROR(INDEX(PP_Grid[#Data],$DE1051,44),0)</f>
        <v/>
      </c>
      <c r="AV1051">
        <f>IFERROR(INDEX(PP_Grid[#Data],$DE1051,45),0)</f>
        <v/>
      </c>
      <c r="AW1051">
        <f>IFERROR(INDEX(PP_Grid[#Data],$DE1051,46),0)</f>
        <v/>
      </c>
      <c r="AX1051">
        <f>IFERROR(INDEX(PP_Grid[#Data],$DE1051,47),0)</f>
        <v/>
      </c>
      <c r="AY1051">
        <f>IFERROR(INDEX(PP_Grid[#Data],$DE1051,48),0)</f>
        <v/>
      </c>
      <c r="AZ1051">
        <f>IFERROR(INDEX(PP_Grid[#Data],$DE1051,49),0)</f>
        <v/>
      </c>
      <c r="BA1051">
        <f>IFERROR(INDEX(PP_Grid[#Data],$DE1051,50),0)</f>
        <v/>
      </c>
      <c r="BB1051">
        <f>IFERROR(INDEX(PP_Grid[#Data],$DE1051,51),0)</f>
        <v/>
      </c>
      <c r="BC1051">
        <f>IFERROR(INDEX(PP_Grid[#Data],$DE1051,52),0)</f>
        <v/>
      </c>
      <c r="BD1051">
        <f>IFERROR(INDEX(PP_Grid[#Data],$DE1051,53),0)</f>
        <v/>
      </c>
      <c r="BE1051">
        <f>IFERROR(INDEX(PP_Grid[#Data],$DE1051,54),0)</f>
        <v/>
      </c>
      <c r="BF1051">
        <f>IFERROR(INDEX(PP_Grid[#Data],$DE1051,55),0)</f>
        <v/>
      </c>
      <c r="BG1051">
        <f>IFERROR(INDEX(PP_Grid[#Data],$DE1051,56),0)</f>
        <v/>
      </c>
      <c r="BH1051">
        <f>IFERROR(INDEX(PP_Grid[#Data],$DE1051,57),0)</f>
        <v/>
      </c>
      <c r="BI1051">
        <f>IFERROR(INDEX(PP_Grid[#Data],$DE1051,58),0)</f>
        <v/>
      </c>
      <c r="BJ1051">
        <f>IFERROR(INDEX(PP_Grid[#Data],$DE1051,59),0)</f>
        <v/>
      </c>
      <c r="BK1051">
        <f>IFERROR(INDEX(PP_Grid[#Data],$DE1051,60),0)</f>
        <v/>
      </c>
      <c r="BL1051">
        <f>IFERROR(INDEX(PP_Grid[#Data],$DE1051,61),0)</f>
        <v/>
      </c>
      <c r="BM1051">
        <f>IFERROR(INDEX(PP_Grid[#Data],$DE1051,62),0)</f>
        <v/>
      </c>
      <c r="BN1051">
        <f>IFERROR(INDEX(PP_Grid[#Data],$DE1051,63),0)</f>
        <v/>
      </c>
      <c r="BO1051">
        <f>IFERROR(INDEX(PP_Grid[#Data],$DE1051,64),0)</f>
        <v/>
      </c>
      <c r="BP1051">
        <f>IFERROR(INDEX(PP_Grid[#Data],$DE1051,65),0)</f>
        <v/>
      </c>
      <c r="BQ1051">
        <f>IFERROR(INDEX(PP_Grid[#Data],$DE1051,66),0)</f>
        <v/>
      </c>
      <c r="BR1051">
        <f>IFERROR(INDEX(PP_Grid[#Data],$DE1051,67),0)</f>
        <v/>
      </c>
      <c r="BS1051">
        <f>IFERROR(INDEX(PP_Grid[#Data],$DE1051,68),0)</f>
        <v/>
      </c>
      <c r="BT1051">
        <f>IFERROR(INDEX(PP_Grid[#Data],$DE1051,69),0)</f>
        <v/>
      </c>
      <c r="BU1051">
        <f>IFERROR(INDEX(PP_Grid[#Data],$DE1051,70),0)</f>
        <v/>
      </c>
      <c r="BV1051">
        <f>IFERROR(INDEX(PP_Grid[#Data],$DE1051,71),0)</f>
        <v/>
      </c>
      <c r="BW1051">
        <f>IFERROR(INDEX(PP_Grid[#Data],$DE1051,72),0)</f>
        <v/>
      </c>
      <c r="BX1051">
        <f>IFERROR(INDEX(PP_Grid[#Data],$DE1051,73),0)</f>
        <v/>
      </c>
      <c r="BY1051">
        <f>IFERROR(INDEX(PP_Grid[#Data],$DE1051,74),0)</f>
        <v/>
      </c>
      <c r="BZ1051">
        <f>IFERROR(INDEX(PP_Grid[#Data],$DE1051,75),0)</f>
        <v/>
      </c>
      <c r="CA1051">
        <f>IFERROR(INDEX(PP_Grid[#Data],$DE1051,76),0)</f>
        <v/>
      </c>
      <c r="CB1051">
        <f>IFERROR(INDEX(PP_Grid[#Data],$DE1051,77),0)</f>
        <v/>
      </c>
      <c r="CC1051">
        <f>IFERROR(INDEX(PP_Grid[#Data],$DE1051,78),0)</f>
        <v/>
      </c>
      <c r="CD1051">
        <f>IFERROR(INDEX(PP_Grid[#Data],$DE1051,79),0)</f>
        <v/>
      </c>
      <c r="CE1051">
        <f>IFERROR(INDEX(PP_Grid[#Data],$DE1051,80),0)</f>
        <v/>
      </c>
      <c r="CF1051">
        <f>IFERROR(INDEX(PP_Grid[#Data],$DE1051,81),0)</f>
        <v/>
      </c>
      <c r="CG1051">
        <f>IFERROR(INDEX(PP_Grid[#Data],$DE1051,82),0)</f>
        <v/>
      </c>
      <c r="CH1051">
        <f>IFERROR(INDEX(PP_Grid[#Data],$DE1051,83),0)</f>
        <v/>
      </c>
      <c r="CI1051">
        <f>IFERROR(INDEX(PP_Grid[#Data],$DE1051,84),0)</f>
        <v/>
      </c>
      <c r="CJ1051">
        <f>IFERROR(INDEX(PP_Grid[#Data],$DE1051,85),0)</f>
        <v/>
      </c>
      <c r="CK1051">
        <f>IFERROR(INDEX(PP_Grid[#Data],$DE1051,86),0)</f>
        <v/>
      </c>
      <c r="CL1051">
        <f>IFERROR(INDEX(PP_Grid[#Data],$DE1051,87),0)</f>
        <v/>
      </c>
      <c r="CM1051">
        <f>IFERROR(INDEX(PP_Grid[#Data],$DE1051,88),0)</f>
        <v/>
      </c>
      <c r="CN1051">
        <f>IFERROR(INDEX(PP_Grid[#Data],$DE1051,89),0)</f>
        <v/>
      </c>
      <c r="CO1051">
        <f>IFERROR(INDEX(PP_Grid[#Data],$DE1051,90),0)</f>
        <v/>
      </c>
      <c r="CP1051">
        <f>IFERROR(INDEX(PP_Grid[#Data],$DE1051,91),0)</f>
        <v/>
      </c>
      <c r="CQ1051">
        <f>IFERROR(INDEX(PP_Grid[#Data],$DE1051,92),0)</f>
        <v/>
      </c>
      <c r="CR1051">
        <f>IFERROR(INDEX(PP_Grid[#Data],$DE1051,93),0)</f>
        <v/>
      </c>
      <c r="CS1051">
        <f>IFERROR(INDEX(PP_Grid[#Data],$DE1051,94),0)</f>
        <v/>
      </c>
      <c r="CT1051">
        <f>IFERROR(INDEX(PP_Grid[#Data],$DE1051,95),0)</f>
        <v/>
      </c>
      <c r="CU1051">
        <f>IFERROR(INDEX(PP_Grid[#Data],$DE1051,96),0)</f>
        <v/>
      </c>
      <c r="CV1051">
        <f>IFERROR(INDEX(PP_Grid[#Data],$DE1051,97),0)</f>
        <v/>
      </c>
      <c r="CW1051">
        <f>IFERROR(INDEX(PP_Grid[#Data],$DE1051,98),0)</f>
        <v/>
      </c>
      <c r="CX1051">
        <f>IFERROR(INDEX(PP_Grid[#Data],$DE1051,99),0)</f>
        <v/>
      </c>
      <c r="CY1051">
        <f>IFERROR(INDEX(PP_Grid[#Data],$DE1051,100),0)</f>
        <v/>
      </c>
      <c r="CZ1051">
        <f>IFERROR(INDEX(PP_Grid[#Data],$DE1051,101),0)</f>
        <v/>
      </c>
      <c r="DA1051">
        <f>IFERROR(INDEX(PP_Grid[#Data],$DE1051,102),0)</f>
        <v/>
      </c>
      <c r="DB1051">
        <f>IFERROR(INDEX(PP_Grid[#Data],$DE1051,103),0)</f>
        <v/>
      </c>
      <c r="DC1051">
        <f>IFERROR(INDEX(PP_Grid[#Data],$DE1051,104),0)</f>
        <v/>
      </c>
      <c r="DD1051">
        <f>IFERROR(INDEX(PP_Grid[#Data],$DE1051,105),0)</f>
        <v/>
      </c>
      <c r="DE1051" s="7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SUMIFS(M_BOM[RM_Qty_Per_Batch],M_BOM[Intermediate],$B1051,M_BOM[RM_Code],$A1034)</f>
        <v/>
      </c>
      <c r="D1052">
        <f>IFERROR(INDEX(E1052:DD1052,$F$1),"")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  <c r="DD1052">
        <f>$C1052*DD1051</f>
        <v/>
      </c>
    </row>
    <row r="1053">
      <c r="B1053" t="inlineStr">
        <is>
          <t>VSP-990</t>
        </is>
      </c>
      <c r="C1053" t="inlineStr">
        <is>
          <t>No. of batches</t>
        </is>
      </c>
      <c r="D1053">
        <f>IFERROR(INDEX(E1053:DD1053,$F$1),"")</f>
        <v/>
      </c>
      <c r="E1053">
        <f>IFERROR(INDEX(PP_Grid[#Data],$DE1053,2),0)</f>
        <v/>
      </c>
      <c r="F1053">
        <f>IFERROR(INDEX(PP_Grid[#Data],$DE1053,3),0)</f>
        <v/>
      </c>
      <c r="G1053">
        <f>IFERROR(INDEX(PP_Grid[#Data],$DE1053,4),0)</f>
        <v/>
      </c>
      <c r="H1053">
        <f>IFERROR(INDEX(PP_Grid[#Data],$DE1053,5),0)</f>
        <v/>
      </c>
      <c r="I1053">
        <f>IFERROR(INDEX(PP_Grid[#Data],$DE1053,6),0)</f>
        <v/>
      </c>
      <c r="J1053">
        <f>IFERROR(INDEX(PP_Grid[#Data],$DE1053,7),0)</f>
        <v/>
      </c>
      <c r="K1053">
        <f>IFERROR(INDEX(PP_Grid[#Data],$DE1053,8),0)</f>
        <v/>
      </c>
      <c r="L1053">
        <f>IFERROR(INDEX(PP_Grid[#Data],$DE1053,9),0)</f>
        <v/>
      </c>
      <c r="M1053">
        <f>IFERROR(INDEX(PP_Grid[#Data],$DE1053,10),0)</f>
        <v/>
      </c>
      <c r="N1053">
        <f>IFERROR(INDEX(PP_Grid[#Data],$DE1053,11),0)</f>
        <v/>
      </c>
      <c r="O1053">
        <f>IFERROR(INDEX(PP_Grid[#Data],$DE1053,12),0)</f>
        <v/>
      </c>
      <c r="P1053">
        <f>IFERROR(INDEX(PP_Grid[#Data],$DE1053,13),0)</f>
        <v/>
      </c>
      <c r="Q1053">
        <f>IFERROR(INDEX(PP_Grid[#Data],$DE1053,14),0)</f>
        <v/>
      </c>
      <c r="R1053">
        <f>IFERROR(INDEX(PP_Grid[#Data],$DE1053,15),0)</f>
        <v/>
      </c>
      <c r="S1053">
        <f>IFERROR(INDEX(PP_Grid[#Data],$DE1053,16),0)</f>
        <v/>
      </c>
      <c r="T1053">
        <f>IFERROR(INDEX(PP_Grid[#Data],$DE1053,17),0)</f>
        <v/>
      </c>
      <c r="U1053">
        <f>IFERROR(INDEX(PP_Grid[#Data],$DE1053,18),0)</f>
        <v/>
      </c>
      <c r="V1053">
        <f>IFERROR(INDEX(PP_Grid[#Data],$DE1053,19),0)</f>
        <v/>
      </c>
      <c r="W1053">
        <f>IFERROR(INDEX(PP_Grid[#Data],$DE1053,20),0)</f>
        <v/>
      </c>
      <c r="X1053">
        <f>IFERROR(INDEX(PP_Grid[#Data],$DE1053,21),0)</f>
        <v/>
      </c>
      <c r="Y1053">
        <f>IFERROR(INDEX(PP_Grid[#Data],$DE1053,22),0)</f>
        <v/>
      </c>
      <c r="Z1053">
        <f>IFERROR(INDEX(PP_Grid[#Data],$DE1053,23),0)</f>
        <v/>
      </c>
      <c r="AA1053">
        <f>IFERROR(INDEX(PP_Grid[#Data],$DE1053,24),0)</f>
        <v/>
      </c>
      <c r="AB1053">
        <f>IFERROR(INDEX(PP_Grid[#Data],$DE1053,25),0)</f>
        <v/>
      </c>
      <c r="AC1053">
        <f>IFERROR(INDEX(PP_Grid[#Data],$DE1053,26),0)</f>
        <v/>
      </c>
      <c r="AD1053">
        <f>IFERROR(INDEX(PP_Grid[#Data],$DE1053,27),0)</f>
        <v/>
      </c>
      <c r="AE1053">
        <f>IFERROR(INDEX(PP_Grid[#Data],$DE1053,28),0)</f>
        <v/>
      </c>
      <c r="AF1053">
        <f>IFERROR(INDEX(PP_Grid[#Data],$DE1053,29),0)</f>
        <v/>
      </c>
      <c r="AG1053">
        <f>IFERROR(INDEX(PP_Grid[#Data],$DE1053,30),0)</f>
        <v/>
      </c>
      <c r="AH1053">
        <f>IFERROR(INDEX(PP_Grid[#Data],$DE1053,31),0)</f>
        <v/>
      </c>
      <c r="AI1053">
        <f>IFERROR(INDEX(PP_Grid[#Data],$DE1053,32),0)</f>
        <v/>
      </c>
      <c r="AJ1053">
        <f>IFERROR(INDEX(PP_Grid[#Data],$DE1053,33),0)</f>
        <v/>
      </c>
      <c r="AK1053">
        <f>IFERROR(INDEX(PP_Grid[#Data],$DE1053,34),0)</f>
        <v/>
      </c>
      <c r="AL1053">
        <f>IFERROR(INDEX(PP_Grid[#Data],$DE1053,35),0)</f>
        <v/>
      </c>
      <c r="AM1053">
        <f>IFERROR(INDEX(PP_Grid[#Data],$DE1053,36),0)</f>
        <v/>
      </c>
      <c r="AN1053">
        <f>IFERROR(INDEX(PP_Grid[#Data],$DE1053,37),0)</f>
        <v/>
      </c>
      <c r="AO1053">
        <f>IFERROR(INDEX(PP_Grid[#Data],$DE1053,38),0)</f>
        <v/>
      </c>
      <c r="AP1053">
        <f>IFERROR(INDEX(PP_Grid[#Data],$DE1053,39),0)</f>
        <v/>
      </c>
      <c r="AQ1053">
        <f>IFERROR(INDEX(PP_Grid[#Data],$DE1053,40),0)</f>
        <v/>
      </c>
      <c r="AR1053">
        <f>IFERROR(INDEX(PP_Grid[#Data],$DE1053,41),0)</f>
        <v/>
      </c>
      <c r="AS1053">
        <f>IFERROR(INDEX(PP_Grid[#Data],$DE1053,42),0)</f>
        <v/>
      </c>
      <c r="AT1053">
        <f>IFERROR(INDEX(PP_Grid[#Data],$DE1053,43),0)</f>
        <v/>
      </c>
      <c r="AU1053">
        <f>IFERROR(INDEX(PP_Grid[#Data],$DE1053,44),0)</f>
        <v/>
      </c>
      <c r="AV1053">
        <f>IFERROR(INDEX(PP_Grid[#Data],$DE1053,45),0)</f>
        <v/>
      </c>
      <c r="AW1053">
        <f>IFERROR(INDEX(PP_Grid[#Data],$DE1053,46),0)</f>
        <v/>
      </c>
      <c r="AX1053">
        <f>IFERROR(INDEX(PP_Grid[#Data],$DE1053,47),0)</f>
        <v/>
      </c>
      <c r="AY1053">
        <f>IFERROR(INDEX(PP_Grid[#Data],$DE1053,48),0)</f>
        <v/>
      </c>
      <c r="AZ1053">
        <f>IFERROR(INDEX(PP_Grid[#Data],$DE1053,49),0)</f>
        <v/>
      </c>
      <c r="BA1053">
        <f>IFERROR(INDEX(PP_Grid[#Data],$DE1053,50),0)</f>
        <v/>
      </c>
      <c r="BB1053">
        <f>IFERROR(INDEX(PP_Grid[#Data],$DE1053,51),0)</f>
        <v/>
      </c>
      <c r="BC1053">
        <f>IFERROR(INDEX(PP_Grid[#Data],$DE1053,52),0)</f>
        <v/>
      </c>
      <c r="BD1053">
        <f>IFERROR(INDEX(PP_Grid[#Data],$DE1053,53),0)</f>
        <v/>
      </c>
      <c r="BE1053">
        <f>IFERROR(INDEX(PP_Grid[#Data],$DE1053,54),0)</f>
        <v/>
      </c>
      <c r="BF1053">
        <f>IFERROR(INDEX(PP_Grid[#Data],$DE1053,55),0)</f>
        <v/>
      </c>
      <c r="BG1053">
        <f>IFERROR(INDEX(PP_Grid[#Data],$DE1053,56),0)</f>
        <v/>
      </c>
      <c r="BH1053">
        <f>IFERROR(INDEX(PP_Grid[#Data],$DE1053,57),0)</f>
        <v/>
      </c>
      <c r="BI1053">
        <f>IFERROR(INDEX(PP_Grid[#Data],$DE1053,58),0)</f>
        <v/>
      </c>
      <c r="BJ1053">
        <f>IFERROR(INDEX(PP_Grid[#Data],$DE1053,59),0)</f>
        <v/>
      </c>
      <c r="BK1053">
        <f>IFERROR(INDEX(PP_Grid[#Data],$DE1053,60),0)</f>
        <v/>
      </c>
      <c r="BL1053">
        <f>IFERROR(INDEX(PP_Grid[#Data],$DE1053,61),0)</f>
        <v/>
      </c>
      <c r="BM1053">
        <f>IFERROR(INDEX(PP_Grid[#Data],$DE1053,62),0)</f>
        <v/>
      </c>
      <c r="BN1053">
        <f>IFERROR(INDEX(PP_Grid[#Data],$DE1053,63),0)</f>
        <v/>
      </c>
      <c r="BO1053">
        <f>IFERROR(INDEX(PP_Grid[#Data],$DE1053,64),0)</f>
        <v/>
      </c>
      <c r="BP1053">
        <f>IFERROR(INDEX(PP_Grid[#Data],$DE1053,65),0)</f>
        <v/>
      </c>
      <c r="BQ1053">
        <f>IFERROR(INDEX(PP_Grid[#Data],$DE1053,66),0)</f>
        <v/>
      </c>
      <c r="BR1053">
        <f>IFERROR(INDEX(PP_Grid[#Data],$DE1053,67),0)</f>
        <v/>
      </c>
      <c r="BS1053">
        <f>IFERROR(INDEX(PP_Grid[#Data],$DE1053,68),0)</f>
        <v/>
      </c>
      <c r="BT1053">
        <f>IFERROR(INDEX(PP_Grid[#Data],$DE1053,69),0)</f>
        <v/>
      </c>
      <c r="BU1053">
        <f>IFERROR(INDEX(PP_Grid[#Data],$DE1053,70),0)</f>
        <v/>
      </c>
      <c r="BV1053">
        <f>IFERROR(INDEX(PP_Grid[#Data],$DE1053,71),0)</f>
        <v/>
      </c>
      <c r="BW1053">
        <f>IFERROR(INDEX(PP_Grid[#Data],$DE1053,72),0)</f>
        <v/>
      </c>
      <c r="BX1053">
        <f>IFERROR(INDEX(PP_Grid[#Data],$DE1053,73),0)</f>
        <v/>
      </c>
      <c r="BY1053">
        <f>IFERROR(INDEX(PP_Grid[#Data],$DE1053,74),0)</f>
        <v/>
      </c>
      <c r="BZ1053">
        <f>IFERROR(INDEX(PP_Grid[#Data],$DE1053,75),0)</f>
        <v/>
      </c>
      <c r="CA1053">
        <f>IFERROR(INDEX(PP_Grid[#Data],$DE1053,76),0)</f>
        <v/>
      </c>
      <c r="CB1053">
        <f>IFERROR(INDEX(PP_Grid[#Data],$DE1053,77),0)</f>
        <v/>
      </c>
      <c r="CC1053">
        <f>IFERROR(INDEX(PP_Grid[#Data],$DE1053,78),0)</f>
        <v/>
      </c>
      <c r="CD1053">
        <f>IFERROR(INDEX(PP_Grid[#Data],$DE1053,79),0)</f>
        <v/>
      </c>
      <c r="CE1053">
        <f>IFERROR(INDEX(PP_Grid[#Data],$DE1053,80),0)</f>
        <v/>
      </c>
      <c r="CF1053">
        <f>IFERROR(INDEX(PP_Grid[#Data],$DE1053,81),0)</f>
        <v/>
      </c>
      <c r="CG1053">
        <f>IFERROR(INDEX(PP_Grid[#Data],$DE1053,82),0)</f>
        <v/>
      </c>
      <c r="CH1053">
        <f>IFERROR(INDEX(PP_Grid[#Data],$DE1053,83),0)</f>
        <v/>
      </c>
      <c r="CI1053">
        <f>IFERROR(INDEX(PP_Grid[#Data],$DE1053,84),0)</f>
        <v/>
      </c>
      <c r="CJ1053">
        <f>IFERROR(INDEX(PP_Grid[#Data],$DE1053,85),0)</f>
        <v/>
      </c>
      <c r="CK1053">
        <f>IFERROR(INDEX(PP_Grid[#Data],$DE1053,86),0)</f>
        <v/>
      </c>
      <c r="CL1053">
        <f>IFERROR(INDEX(PP_Grid[#Data],$DE1053,87),0)</f>
        <v/>
      </c>
      <c r="CM1053">
        <f>IFERROR(INDEX(PP_Grid[#Data],$DE1053,88),0)</f>
        <v/>
      </c>
      <c r="CN1053">
        <f>IFERROR(INDEX(PP_Grid[#Data],$DE1053,89),0)</f>
        <v/>
      </c>
      <c r="CO1053">
        <f>IFERROR(INDEX(PP_Grid[#Data],$DE1053,90),0)</f>
        <v/>
      </c>
      <c r="CP1053">
        <f>IFERROR(INDEX(PP_Grid[#Data],$DE1053,91),0)</f>
        <v/>
      </c>
      <c r="CQ1053">
        <f>IFERROR(INDEX(PP_Grid[#Data],$DE1053,92),0)</f>
        <v/>
      </c>
      <c r="CR1053">
        <f>IFERROR(INDEX(PP_Grid[#Data],$DE1053,93),0)</f>
        <v/>
      </c>
      <c r="CS1053">
        <f>IFERROR(INDEX(PP_Grid[#Data],$DE1053,94),0)</f>
        <v/>
      </c>
      <c r="CT1053">
        <f>IFERROR(INDEX(PP_Grid[#Data],$DE1053,95),0)</f>
        <v/>
      </c>
      <c r="CU1053">
        <f>IFERROR(INDEX(PP_Grid[#Data],$DE1053,96),0)</f>
        <v/>
      </c>
      <c r="CV1053">
        <f>IFERROR(INDEX(PP_Grid[#Data],$DE1053,97),0)</f>
        <v/>
      </c>
      <c r="CW1053">
        <f>IFERROR(INDEX(PP_Grid[#Data],$DE1053,98),0)</f>
        <v/>
      </c>
      <c r="CX1053">
        <f>IFERROR(INDEX(PP_Grid[#Data],$DE1053,99),0)</f>
        <v/>
      </c>
      <c r="CY1053">
        <f>IFERROR(INDEX(PP_Grid[#Data],$DE1053,100),0)</f>
        <v/>
      </c>
      <c r="CZ1053">
        <f>IFERROR(INDEX(PP_Grid[#Data],$DE1053,101),0)</f>
        <v/>
      </c>
      <c r="DA1053">
        <f>IFERROR(INDEX(PP_Grid[#Data],$DE1053,102),0)</f>
        <v/>
      </c>
      <c r="DB1053">
        <f>IFERROR(INDEX(PP_Grid[#Data],$DE1053,103),0)</f>
        <v/>
      </c>
      <c r="DC1053">
        <f>IFERROR(INDEX(PP_Grid[#Data],$DE1053,104),0)</f>
        <v/>
      </c>
      <c r="DD1053">
        <f>IFERROR(INDEX(PP_Grid[#Data],$DE1053,105),0)</f>
        <v/>
      </c>
      <c r="DE1053" s="7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SUMIFS(M_BOM[RM_Qty_Per_Batch],M_BOM[Intermediate],$B1053,M_BOM[RM_Code],$A1034)</f>
        <v/>
      </c>
      <c r="D1054">
        <f>IFERROR(INDEX(E1054:DD1054,$F$1),"")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  <c r="DD1054">
        <f>$C1054*DD1053</f>
        <v/>
      </c>
    </row>
    <row r="1055">
      <c r="B1055" s="4" t="inlineStr">
        <is>
          <t>合計使用量(kg)/週</t>
        </is>
      </c>
      <c r="D1055" s="23">
        <f>IFERROR(INDEX(E1055:DD1055,$F$1),"")</f>
        <v/>
      </c>
      <c r="E1055">
        <f>'Grid_Requirement'!B21</f>
        <v/>
      </c>
      <c r="F1055">
        <f>'Grid_Requirement'!C21</f>
        <v/>
      </c>
      <c r="G1055">
        <f>'Grid_Requirement'!D21</f>
        <v/>
      </c>
      <c r="H1055">
        <f>'Grid_Requirement'!E21</f>
        <v/>
      </c>
      <c r="I1055">
        <f>'Grid_Requirement'!F21</f>
        <v/>
      </c>
      <c r="J1055">
        <f>'Grid_Requirement'!G21</f>
        <v/>
      </c>
      <c r="K1055">
        <f>'Grid_Requirement'!H21</f>
        <v/>
      </c>
      <c r="L1055">
        <f>'Grid_Requirement'!I21</f>
        <v/>
      </c>
      <c r="M1055">
        <f>'Grid_Requirement'!J21</f>
        <v/>
      </c>
      <c r="N1055">
        <f>'Grid_Requirement'!K21</f>
        <v/>
      </c>
      <c r="O1055">
        <f>'Grid_Requirement'!L21</f>
        <v/>
      </c>
      <c r="P1055">
        <f>'Grid_Requirement'!M21</f>
        <v/>
      </c>
      <c r="Q1055">
        <f>'Grid_Requirement'!N21</f>
        <v/>
      </c>
      <c r="R1055">
        <f>'Grid_Requirement'!O21</f>
        <v/>
      </c>
      <c r="S1055">
        <f>'Grid_Requirement'!P21</f>
        <v/>
      </c>
      <c r="T1055">
        <f>'Grid_Requirement'!Q21</f>
        <v/>
      </c>
      <c r="U1055">
        <f>'Grid_Requirement'!R21</f>
        <v/>
      </c>
      <c r="V1055">
        <f>'Grid_Requirement'!S21</f>
        <v/>
      </c>
      <c r="W1055">
        <f>'Grid_Requirement'!T21</f>
        <v/>
      </c>
      <c r="X1055">
        <f>'Grid_Requirement'!U21</f>
        <v/>
      </c>
      <c r="Y1055">
        <f>'Grid_Requirement'!V21</f>
        <v/>
      </c>
      <c r="Z1055">
        <f>'Grid_Requirement'!W21</f>
        <v/>
      </c>
      <c r="AA1055">
        <f>'Grid_Requirement'!X21</f>
        <v/>
      </c>
      <c r="AB1055">
        <f>'Grid_Requirement'!Y21</f>
        <v/>
      </c>
      <c r="AC1055">
        <f>'Grid_Requirement'!Z21</f>
        <v/>
      </c>
      <c r="AD1055">
        <f>'Grid_Requirement'!AA21</f>
        <v/>
      </c>
      <c r="AE1055">
        <f>'Grid_Requirement'!AB21</f>
        <v/>
      </c>
      <c r="AF1055">
        <f>'Grid_Requirement'!AC21</f>
        <v/>
      </c>
      <c r="AG1055">
        <f>'Grid_Requirement'!AD21</f>
        <v/>
      </c>
      <c r="AH1055">
        <f>'Grid_Requirement'!AE21</f>
        <v/>
      </c>
      <c r="AI1055">
        <f>'Grid_Requirement'!AF21</f>
        <v/>
      </c>
      <c r="AJ1055">
        <f>'Grid_Requirement'!AG21</f>
        <v/>
      </c>
      <c r="AK1055">
        <f>'Grid_Requirement'!AH21</f>
        <v/>
      </c>
      <c r="AL1055">
        <f>'Grid_Requirement'!AI21</f>
        <v/>
      </c>
      <c r="AM1055">
        <f>'Grid_Requirement'!AJ21</f>
        <v/>
      </c>
      <c r="AN1055">
        <f>'Grid_Requirement'!AK21</f>
        <v/>
      </c>
      <c r="AO1055">
        <f>'Grid_Requirement'!AL21</f>
        <v/>
      </c>
      <c r="AP1055">
        <f>'Grid_Requirement'!AM21</f>
        <v/>
      </c>
      <c r="AQ1055">
        <f>'Grid_Requirement'!AN21</f>
        <v/>
      </c>
      <c r="AR1055">
        <f>'Grid_Requirement'!AO21</f>
        <v/>
      </c>
      <c r="AS1055">
        <f>'Grid_Requirement'!AP21</f>
        <v/>
      </c>
      <c r="AT1055">
        <f>'Grid_Requirement'!AQ21</f>
        <v/>
      </c>
      <c r="AU1055">
        <f>'Grid_Requirement'!AR21</f>
        <v/>
      </c>
      <c r="AV1055">
        <f>'Grid_Requirement'!AS21</f>
        <v/>
      </c>
      <c r="AW1055">
        <f>'Grid_Requirement'!AT21</f>
        <v/>
      </c>
      <c r="AX1055">
        <f>'Grid_Requirement'!AU21</f>
        <v/>
      </c>
      <c r="AY1055">
        <f>'Grid_Requirement'!AV21</f>
        <v/>
      </c>
      <c r="AZ1055">
        <f>'Grid_Requirement'!AW21</f>
        <v/>
      </c>
      <c r="BA1055">
        <f>'Grid_Requirement'!AX21</f>
        <v/>
      </c>
      <c r="BB1055">
        <f>'Grid_Requirement'!AY21</f>
        <v/>
      </c>
      <c r="BC1055">
        <f>'Grid_Requirement'!AZ21</f>
        <v/>
      </c>
      <c r="BD1055">
        <f>'Grid_Requirement'!BA21</f>
        <v/>
      </c>
      <c r="BE1055">
        <f>'Grid_Requirement'!BB21</f>
        <v/>
      </c>
      <c r="BF1055">
        <f>'Grid_Requirement'!BC21</f>
        <v/>
      </c>
      <c r="BG1055">
        <f>'Grid_Requirement'!BD21</f>
        <v/>
      </c>
      <c r="BH1055">
        <f>'Grid_Requirement'!BE21</f>
        <v/>
      </c>
      <c r="BI1055">
        <f>'Grid_Requirement'!BF21</f>
        <v/>
      </c>
      <c r="BJ1055">
        <f>'Grid_Requirement'!BG21</f>
        <v/>
      </c>
      <c r="BK1055">
        <f>'Grid_Requirement'!BH21</f>
        <v/>
      </c>
      <c r="BL1055">
        <f>'Grid_Requirement'!BI21</f>
        <v/>
      </c>
      <c r="BM1055">
        <f>'Grid_Requirement'!BJ21</f>
        <v/>
      </c>
      <c r="BN1055">
        <f>'Grid_Requirement'!BK21</f>
        <v/>
      </c>
      <c r="BO1055">
        <f>'Grid_Requirement'!BL21</f>
        <v/>
      </c>
      <c r="BP1055">
        <f>'Grid_Requirement'!BM21</f>
        <v/>
      </c>
      <c r="BQ1055">
        <f>'Grid_Requirement'!BN21</f>
        <v/>
      </c>
      <c r="BR1055">
        <f>'Grid_Requirement'!BO21</f>
        <v/>
      </c>
      <c r="BS1055">
        <f>'Grid_Requirement'!BP21</f>
        <v/>
      </c>
      <c r="BT1055">
        <f>'Grid_Requirement'!BQ21</f>
        <v/>
      </c>
      <c r="BU1055">
        <f>'Grid_Requirement'!BR21</f>
        <v/>
      </c>
      <c r="BV1055">
        <f>'Grid_Requirement'!BS21</f>
        <v/>
      </c>
      <c r="BW1055">
        <f>'Grid_Requirement'!BT21</f>
        <v/>
      </c>
      <c r="BX1055">
        <f>'Grid_Requirement'!BU21</f>
        <v/>
      </c>
      <c r="BY1055">
        <f>'Grid_Requirement'!BV21</f>
        <v/>
      </c>
      <c r="BZ1055">
        <f>'Grid_Requirement'!BW21</f>
        <v/>
      </c>
      <c r="CA1055">
        <f>'Grid_Requirement'!BX21</f>
        <v/>
      </c>
      <c r="CB1055">
        <f>'Grid_Requirement'!BY21</f>
        <v/>
      </c>
      <c r="CC1055">
        <f>'Grid_Requirement'!BZ21</f>
        <v/>
      </c>
      <c r="CD1055">
        <f>'Grid_Requirement'!CA21</f>
        <v/>
      </c>
      <c r="CE1055">
        <f>'Grid_Requirement'!CB21</f>
        <v/>
      </c>
      <c r="CF1055">
        <f>'Grid_Requirement'!CC21</f>
        <v/>
      </c>
      <c r="CG1055">
        <f>'Grid_Requirement'!CD21</f>
        <v/>
      </c>
      <c r="CH1055">
        <f>'Grid_Requirement'!CE21</f>
        <v/>
      </c>
      <c r="CI1055">
        <f>'Grid_Requirement'!CF21</f>
        <v/>
      </c>
      <c r="CJ1055">
        <f>'Grid_Requirement'!CG21</f>
        <v/>
      </c>
      <c r="CK1055">
        <f>'Grid_Requirement'!CH21</f>
        <v/>
      </c>
      <c r="CL1055">
        <f>'Grid_Requirement'!CI21</f>
        <v/>
      </c>
      <c r="CM1055">
        <f>'Grid_Requirement'!CJ21</f>
        <v/>
      </c>
      <c r="CN1055">
        <f>'Grid_Requirement'!CK21</f>
        <v/>
      </c>
      <c r="CO1055">
        <f>'Grid_Requirement'!CL21</f>
        <v/>
      </c>
      <c r="CP1055">
        <f>'Grid_Requirement'!CM21</f>
        <v/>
      </c>
      <c r="CQ1055">
        <f>'Grid_Requirement'!CN21</f>
        <v/>
      </c>
      <c r="CR1055">
        <f>'Grid_Requirement'!CO21</f>
        <v/>
      </c>
      <c r="CS1055">
        <f>'Grid_Requirement'!CP21</f>
        <v/>
      </c>
      <c r="CT1055">
        <f>'Grid_Requirement'!CQ21</f>
        <v/>
      </c>
      <c r="CU1055">
        <f>'Grid_Requirement'!CR21</f>
        <v/>
      </c>
      <c r="CV1055">
        <f>'Grid_Requirement'!CS21</f>
        <v/>
      </c>
      <c r="CW1055">
        <f>'Grid_Requirement'!CT21</f>
        <v/>
      </c>
      <c r="CX1055">
        <f>'Grid_Requirement'!CU21</f>
        <v/>
      </c>
      <c r="CY1055">
        <f>'Grid_Requirement'!CV21</f>
        <v/>
      </c>
      <c r="CZ1055">
        <f>'Grid_Requirement'!CW21</f>
        <v/>
      </c>
      <c r="DA1055">
        <f>'Grid_Requirement'!CX21</f>
        <v/>
      </c>
      <c r="DB1055">
        <f>'Grid_Requirement'!CY21</f>
        <v/>
      </c>
      <c r="DC1055">
        <f>'Grid_Requirement'!CZ21</f>
        <v/>
      </c>
      <c r="DD1055">
        <f>'Grid_Requirement'!DA21</f>
        <v/>
      </c>
    </row>
    <row r="1056">
      <c r="B1056" t="inlineStr">
        <is>
          <t>TTAF在庫(実績,kg)</t>
        </is>
      </c>
      <c r="D1056">
        <f>IFERROR(INDEX(E1056:DD1056,$F$1),"")</f>
        <v/>
      </c>
      <c r="E1056">
        <f>IFERROR(SUMIFS(T_TTAFStock[TTAF_Qty],T_TTAFStock[RM_Code],$A1034,T_TTAFStock[WeekIndex],1),"")</f>
        <v/>
      </c>
      <c r="F1056">
        <f>IFERROR(SUMIFS(T_TTAFStock[TTAF_Qty],T_TTAFStock[RM_Code],$A1034,T_TTAFStock[WeekIndex],2),"")</f>
        <v/>
      </c>
      <c r="G1056">
        <f>IFERROR(SUMIFS(T_TTAFStock[TTAF_Qty],T_TTAFStock[RM_Code],$A1034,T_TTAFStock[WeekIndex],3),"")</f>
        <v/>
      </c>
      <c r="H1056">
        <f>IFERROR(SUMIFS(T_TTAFStock[TTAF_Qty],T_TTAFStock[RM_Code],$A1034,T_TTAFStock[WeekIndex],4),"")</f>
        <v/>
      </c>
      <c r="I1056">
        <f>IFERROR(SUMIFS(T_TTAFStock[TTAF_Qty],T_TTAFStock[RM_Code],$A1034,T_TTAFStock[WeekIndex],5),"")</f>
        <v/>
      </c>
      <c r="J1056">
        <f>IFERROR(SUMIFS(T_TTAFStock[TTAF_Qty],T_TTAFStock[RM_Code],$A1034,T_TTAFStock[WeekIndex],6),"")</f>
        <v/>
      </c>
      <c r="K1056">
        <f>IFERROR(SUMIFS(T_TTAFStock[TTAF_Qty],T_TTAFStock[RM_Code],$A1034,T_TTAFStock[WeekIndex],7),"")</f>
        <v/>
      </c>
      <c r="L1056">
        <f>IFERROR(SUMIFS(T_TTAFStock[TTAF_Qty],T_TTAFStock[RM_Code],$A1034,T_TTAFStock[WeekIndex],8),"")</f>
        <v/>
      </c>
      <c r="M1056">
        <f>IFERROR(SUMIFS(T_TTAFStock[TTAF_Qty],T_TTAFStock[RM_Code],$A1034,T_TTAFStock[WeekIndex],9),"")</f>
        <v/>
      </c>
      <c r="N1056">
        <f>IFERROR(SUMIFS(T_TTAFStock[TTAF_Qty],T_TTAFStock[RM_Code],$A1034,T_TTAFStock[WeekIndex],10),"")</f>
        <v/>
      </c>
      <c r="O1056">
        <f>IFERROR(SUMIFS(T_TTAFStock[TTAF_Qty],T_TTAFStock[RM_Code],$A1034,T_TTAFStock[WeekIndex],11),"")</f>
        <v/>
      </c>
      <c r="P1056">
        <f>IFERROR(SUMIFS(T_TTAFStock[TTAF_Qty],T_TTAFStock[RM_Code],$A1034,T_TTAFStock[WeekIndex],12),"")</f>
        <v/>
      </c>
      <c r="Q1056">
        <f>IFERROR(SUMIFS(T_TTAFStock[TTAF_Qty],T_TTAFStock[RM_Code],$A1034,T_TTAFStock[WeekIndex],13),"")</f>
        <v/>
      </c>
      <c r="R1056">
        <f>IFERROR(SUMIFS(T_TTAFStock[TTAF_Qty],T_TTAFStock[RM_Code],$A1034,T_TTAFStock[WeekIndex],14),"")</f>
        <v/>
      </c>
      <c r="S1056">
        <f>IFERROR(SUMIFS(T_TTAFStock[TTAF_Qty],T_TTAFStock[RM_Code],$A1034,T_TTAFStock[WeekIndex],15),"")</f>
        <v/>
      </c>
      <c r="T1056">
        <f>IFERROR(SUMIFS(T_TTAFStock[TTAF_Qty],T_TTAFStock[RM_Code],$A1034,T_TTAFStock[WeekIndex],16),"")</f>
        <v/>
      </c>
      <c r="U1056">
        <f>IFERROR(SUMIFS(T_TTAFStock[TTAF_Qty],T_TTAFStock[RM_Code],$A1034,T_TTAFStock[WeekIndex],17),"")</f>
        <v/>
      </c>
      <c r="V1056">
        <f>IFERROR(SUMIFS(T_TTAFStock[TTAF_Qty],T_TTAFStock[RM_Code],$A1034,T_TTAFStock[WeekIndex],18),"")</f>
        <v/>
      </c>
      <c r="W1056">
        <f>IFERROR(SUMIFS(T_TTAFStock[TTAF_Qty],T_TTAFStock[RM_Code],$A1034,T_TTAFStock[WeekIndex],19),"")</f>
        <v/>
      </c>
      <c r="X1056">
        <f>IFERROR(SUMIFS(T_TTAFStock[TTAF_Qty],T_TTAFStock[RM_Code],$A1034,T_TTAFStock[WeekIndex],20),"")</f>
        <v/>
      </c>
      <c r="Y1056">
        <f>IFERROR(SUMIFS(T_TTAFStock[TTAF_Qty],T_TTAFStock[RM_Code],$A1034,T_TTAFStock[WeekIndex],21),"")</f>
        <v/>
      </c>
      <c r="Z1056">
        <f>IFERROR(SUMIFS(T_TTAFStock[TTAF_Qty],T_TTAFStock[RM_Code],$A1034,T_TTAFStock[WeekIndex],22),"")</f>
        <v/>
      </c>
      <c r="AA1056">
        <f>IFERROR(SUMIFS(T_TTAFStock[TTAF_Qty],T_TTAFStock[RM_Code],$A1034,T_TTAFStock[WeekIndex],23),"")</f>
        <v/>
      </c>
      <c r="AB1056">
        <f>IFERROR(SUMIFS(T_TTAFStock[TTAF_Qty],T_TTAFStock[RM_Code],$A1034,T_TTAFStock[WeekIndex],24),"")</f>
        <v/>
      </c>
      <c r="AC1056">
        <f>IFERROR(SUMIFS(T_TTAFStock[TTAF_Qty],T_TTAFStock[RM_Code],$A1034,T_TTAFStock[WeekIndex],25),"")</f>
        <v/>
      </c>
      <c r="AD1056">
        <f>IFERROR(SUMIFS(T_TTAFStock[TTAF_Qty],T_TTAFStock[RM_Code],$A1034,T_TTAFStock[WeekIndex],26),"")</f>
        <v/>
      </c>
      <c r="AE1056">
        <f>IFERROR(SUMIFS(T_TTAFStock[TTAF_Qty],T_TTAFStock[RM_Code],$A1034,T_TTAFStock[WeekIndex],27),"")</f>
        <v/>
      </c>
      <c r="AF1056">
        <f>IFERROR(SUMIFS(T_TTAFStock[TTAF_Qty],T_TTAFStock[RM_Code],$A1034,T_TTAFStock[WeekIndex],28),"")</f>
        <v/>
      </c>
      <c r="AG1056">
        <f>IFERROR(SUMIFS(T_TTAFStock[TTAF_Qty],T_TTAFStock[RM_Code],$A1034,T_TTAFStock[WeekIndex],29),"")</f>
        <v/>
      </c>
      <c r="AH1056">
        <f>IFERROR(SUMIFS(T_TTAFStock[TTAF_Qty],T_TTAFStock[RM_Code],$A1034,T_TTAFStock[WeekIndex],30),"")</f>
        <v/>
      </c>
      <c r="AI1056">
        <f>IFERROR(SUMIFS(T_TTAFStock[TTAF_Qty],T_TTAFStock[RM_Code],$A1034,T_TTAFStock[WeekIndex],31),"")</f>
        <v/>
      </c>
      <c r="AJ1056">
        <f>IFERROR(SUMIFS(T_TTAFStock[TTAF_Qty],T_TTAFStock[RM_Code],$A1034,T_TTAFStock[WeekIndex],32),"")</f>
        <v/>
      </c>
      <c r="AK1056">
        <f>IFERROR(SUMIFS(T_TTAFStock[TTAF_Qty],T_TTAFStock[RM_Code],$A1034,T_TTAFStock[WeekIndex],33),"")</f>
        <v/>
      </c>
      <c r="AL1056">
        <f>IFERROR(SUMIFS(T_TTAFStock[TTAF_Qty],T_TTAFStock[RM_Code],$A1034,T_TTAFStock[WeekIndex],34),"")</f>
        <v/>
      </c>
      <c r="AM1056">
        <f>IFERROR(SUMIFS(T_TTAFStock[TTAF_Qty],T_TTAFStock[RM_Code],$A1034,T_TTAFStock[WeekIndex],35),"")</f>
        <v/>
      </c>
      <c r="AN1056">
        <f>IFERROR(SUMIFS(T_TTAFStock[TTAF_Qty],T_TTAFStock[RM_Code],$A1034,T_TTAFStock[WeekIndex],36),"")</f>
        <v/>
      </c>
      <c r="AO1056">
        <f>IFERROR(SUMIFS(T_TTAFStock[TTAF_Qty],T_TTAFStock[RM_Code],$A1034,T_TTAFStock[WeekIndex],37),"")</f>
        <v/>
      </c>
      <c r="AP1056">
        <f>IFERROR(SUMIFS(T_TTAFStock[TTAF_Qty],T_TTAFStock[RM_Code],$A1034,T_TTAFStock[WeekIndex],38),"")</f>
        <v/>
      </c>
      <c r="AQ1056">
        <f>IFERROR(SUMIFS(T_TTAFStock[TTAF_Qty],T_TTAFStock[RM_Code],$A1034,T_TTAFStock[WeekIndex],39),"")</f>
        <v/>
      </c>
      <c r="AR1056">
        <f>IFERROR(SUMIFS(T_TTAFStock[TTAF_Qty],T_TTAFStock[RM_Code],$A1034,T_TTAFStock[WeekIndex],40),"")</f>
        <v/>
      </c>
      <c r="AS1056">
        <f>IFERROR(SUMIFS(T_TTAFStock[TTAF_Qty],T_TTAFStock[RM_Code],$A1034,T_TTAFStock[WeekIndex],41),"")</f>
        <v/>
      </c>
      <c r="AT1056">
        <f>IFERROR(SUMIFS(T_TTAFStock[TTAF_Qty],T_TTAFStock[RM_Code],$A1034,T_TTAFStock[WeekIndex],42),"")</f>
        <v/>
      </c>
      <c r="AU1056">
        <f>IFERROR(SUMIFS(T_TTAFStock[TTAF_Qty],T_TTAFStock[RM_Code],$A1034,T_TTAFStock[WeekIndex],43),"")</f>
        <v/>
      </c>
      <c r="AV1056">
        <f>IFERROR(SUMIFS(T_TTAFStock[TTAF_Qty],T_TTAFStock[RM_Code],$A1034,T_TTAFStock[WeekIndex],44),"")</f>
        <v/>
      </c>
      <c r="AW1056">
        <f>IFERROR(SUMIFS(T_TTAFStock[TTAF_Qty],T_TTAFStock[RM_Code],$A1034,T_TTAFStock[WeekIndex],45),"")</f>
        <v/>
      </c>
      <c r="AX1056">
        <f>IFERROR(SUMIFS(T_TTAFStock[TTAF_Qty],T_TTAFStock[RM_Code],$A1034,T_TTAFStock[WeekIndex],46),"")</f>
        <v/>
      </c>
      <c r="AY1056">
        <f>IFERROR(SUMIFS(T_TTAFStock[TTAF_Qty],T_TTAFStock[RM_Code],$A1034,T_TTAFStock[WeekIndex],47),"")</f>
        <v/>
      </c>
      <c r="AZ1056">
        <f>IFERROR(SUMIFS(T_TTAFStock[TTAF_Qty],T_TTAFStock[RM_Code],$A1034,T_TTAFStock[WeekIndex],48),"")</f>
        <v/>
      </c>
      <c r="BA1056">
        <f>IFERROR(SUMIFS(T_TTAFStock[TTAF_Qty],T_TTAFStock[RM_Code],$A1034,T_TTAFStock[WeekIndex],49),"")</f>
        <v/>
      </c>
      <c r="BB1056">
        <f>IFERROR(SUMIFS(T_TTAFStock[TTAF_Qty],T_TTAFStock[RM_Code],$A1034,T_TTAFStock[WeekIndex],50),"")</f>
        <v/>
      </c>
      <c r="BC1056">
        <f>IFERROR(SUMIFS(T_TTAFStock[TTAF_Qty],T_TTAFStock[RM_Code],$A1034,T_TTAFStock[WeekIndex],51),"")</f>
        <v/>
      </c>
      <c r="BD1056">
        <f>IFERROR(SUMIFS(T_TTAFStock[TTAF_Qty],T_TTAFStock[RM_Code],$A1034,T_TTAFStock[WeekIndex],52),"")</f>
        <v/>
      </c>
      <c r="BE1056">
        <f>IFERROR(SUMIFS(T_TTAFStock[TTAF_Qty],T_TTAFStock[RM_Code],$A1034,T_TTAFStock[WeekIndex],53),"")</f>
        <v/>
      </c>
      <c r="BF1056">
        <f>IFERROR(SUMIFS(T_TTAFStock[TTAF_Qty],T_TTAFStock[RM_Code],$A1034,T_TTAFStock[WeekIndex],54),"")</f>
        <v/>
      </c>
      <c r="BG1056">
        <f>IFERROR(SUMIFS(T_TTAFStock[TTAF_Qty],T_TTAFStock[RM_Code],$A1034,T_TTAFStock[WeekIndex],55),"")</f>
        <v/>
      </c>
      <c r="BH1056">
        <f>IFERROR(SUMIFS(T_TTAFStock[TTAF_Qty],T_TTAFStock[RM_Code],$A1034,T_TTAFStock[WeekIndex],56),"")</f>
        <v/>
      </c>
      <c r="BI1056">
        <f>IFERROR(SUMIFS(T_TTAFStock[TTAF_Qty],T_TTAFStock[RM_Code],$A1034,T_TTAFStock[WeekIndex],57),"")</f>
        <v/>
      </c>
      <c r="BJ1056">
        <f>IFERROR(SUMIFS(T_TTAFStock[TTAF_Qty],T_TTAFStock[RM_Code],$A1034,T_TTAFStock[WeekIndex],58),"")</f>
        <v/>
      </c>
      <c r="BK1056">
        <f>IFERROR(SUMIFS(T_TTAFStock[TTAF_Qty],T_TTAFStock[RM_Code],$A1034,T_TTAFStock[WeekIndex],59),"")</f>
        <v/>
      </c>
      <c r="BL1056">
        <f>IFERROR(SUMIFS(T_TTAFStock[TTAF_Qty],T_TTAFStock[RM_Code],$A1034,T_TTAFStock[WeekIndex],60),"")</f>
        <v/>
      </c>
      <c r="BM1056">
        <f>IFERROR(SUMIFS(T_TTAFStock[TTAF_Qty],T_TTAFStock[RM_Code],$A1034,T_TTAFStock[WeekIndex],61),"")</f>
        <v/>
      </c>
      <c r="BN1056">
        <f>IFERROR(SUMIFS(T_TTAFStock[TTAF_Qty],T_TTAFStock[RM_Code],$A1034,T_TTAFStock[WeekIndex],62),"")</f>
        <v/>
      </c>
      <c r="BO1056">
        <f>IFERROR(SUMIFS(T_TTAFStock[TTAF_Qty],T_TTAFStock[RM_Code],$A1034,T_TTAFStock[WeekIndex],63),"")</f>
        <v/>
      </c>
      <c r="BP1056">
        <f>IFERROR(SUMIFS(T_TTAFStock[TTAF_Qty],T_TTAFStock[RM_Code],$A1034,T_TTAFStock[WeekIndex],64),"")</f>
        <v/>
      </c>
      <c r="BQ1056">
        <f>IFERROR(SUMIFS(T_TTAFStock[TTAF_Qty],T_TTAFStock[RM_Code],$A1034,T_TTAFStock[WeekIndex],65),"")</f>
        <v/>
      </c>
      <c r="BR1056">
        <f>IFERROR(SUMIFS(T_TTAFStock[TTAF_Qty],T_TTAFStock[RM_Code],$A1034,T_TTAFStock[WeekIndex],66),"")</f>
        <v/>
      </c>
      <c r="BS1056">
        <f>IFERROR(SUMIFS(T_TTAFStock[TTAF_Qty],T_TTAFStock[RM_Code],$A1034,T_TTAFStock[WeekIndex],67),"")</f>
        <v/>
      </c>
      <c r="BT1056">
        <f>IFERROR(SUMIFS(T_TTAFStock[TTAF_Qty],T_TTAFStock[RM_Code],$A1034,T_TTAFStock[WeekIndex],68),"")</f>
        <v/>
      </c>
      <c r="BU1056">
        <f>IFERROR(SUMIFS(T_TTAFStock[TTAF_Qty],T_TTAFStock[RM_Code],$A1034,T_TTAFStock[WeekIndex],69),"")</f>
        <v/>
      </c>
      <c r="BV1056">
        <f>IFERROR(SUMIFS(T_TTAFStock[TTAF_Qty],T_TTAFStock[RM_Code],$A1034,T_TTAFStock[WeekIndex],70),"")</f>
        <v/>
      </c>
      <c r="BW1056">
        <f>IFERROR(SUMIFS(T_TTAFStock[TTAF_Qty],T_TTAFStock[RM_Code],$A1034,T_TTAFStock[WeekIndex],71),"")</f>
        <v/>
      </c>
      <c r="BX1056">
        <f>IFERROR(SUMIFS(T_TTAFStock[TTAF_Qty],T_TTAFStock[RM_Code],$A1034,T_TTAFStock[WeekIndex],72),"")</f>
        <v/>
      </c>
      <c r="BY1056">
        <f>IFERROR(SUMIFS(T_TTAFStock[TTAF_Qty],T_TTAFStock[RM_Code],$A1034,T_TTAFStock[WeekIndex],73),"")</f>
        <v/>
      </c>
      <c r="BZ1056">
        <f>IFERROR(SUMIFS(T_TTAFStock[TTAF_Qty],T_TTAFStock[RM_Code],$A1034,T_TTAFStock[WeekIndex],74),"")</f>
        <v/>
      </c>
      <c r="CA1056">
        <f>IFERROR(SUMIFS(T_TTAFStock[TTAF_Qty],T_TTAFStock[RM_Code],$A1034,T_TTAFStock[WeekIndex],75),"")</f>
        <v/>
      </c>
      <c r="CB1056">
        <f>IFERROR(SUMIFS(T_TTAFStock[TTAF_Qty],T_TTAFStock[RM_Code],$A1034,T_TTAFStock[WeekIndex],76),"")</f>
        <v/>
      </c>
      <c r="CC1056">
        <f>IFERROR(SUMIFS(T_TTAFStock[TTAF_Qty],T_TTAFStock[RM_Code],$A1034,T_TTAFStock[WeekIndex],77),"")</f>
        <v/>
      </c>
      <c r="CD1056">
        <f>IFERROR(SUMIFS(T_TTAFStock[TTAF_Qty],T_TTAFStock[RM_Code],$A1034,T_TTAFStock[WeekIndex],78),"")</f>
        <v/>
      </c>
      <c r="CE1056">
        <f>IFERROR(SUMIFS(T_TTAFStock[TTAF_Qty],T_TTAFStock[RM_Code],$A1034,T_TTAFStock[WeekIndex],79),"")</f>
        <v/>
      </c>
      <c r="CF1056">
        <f>IFERROR(SUMIFS(T_TTAFStock[TTAF_Qty],T_TTAFStock[RM_Code],$A1034,T_TTAFStock[WeekIndex],80),"")</f>
        <v/>
      </c>
      <c r="CG1056">
        <f>IFERROR(SUMIFS(T_TTAFStock[TTAF_Qty],T_TTAFStock[RM_Code],$A1034,T_TTAFStock[WeekIndex],81),"")</f>
        <v/>
      </c>
      <c r="CH1056">
        <f>IFERROR(SUMIFS(T_TTAFStock[TTAF_Qty],T_TTAFStock[RM_Code],$A1034,T_TTAFStock[WeekIndex],82),"")</f>
        <v/>
      </c>
      <c r="CI1056">
        <f>IFERROR(SUMIFS(T_TTAFStock[TTAF_Qty],T_TTAFStock[RM_Code],$A1034,T_TTAFStock[WeekIndex],83),"")</f>
        <v/>
      </c>
      <c r="CJ1056">
        <f>IFERROR(SUMIFS(T_TTAFStock[TTAF_Qty],T_TTAFStock[RM_Code],$A1034,T_TTAFStock[WeekIndex],84),"")</f>
        <v/>
      </c>
      <c r="CK1056">
        <f>IFERROR(SUMIFS(T_TTAFStock[TTAF_Qty],T_TTAFStock[RM_Code],$A1034,T_TTAFStock[WeekIndex],85),"")</f>
        <v/>
      </c>
      <c r="CL1056">
        <f>IFERROR(SUMIFS(T_TTAFStock[TTAF_Qty],T_TTAFStock[RM_Code],$A1034,T_TTAFStock[WeekIndex],86),"")</f>
        <v/>
      </c>
      <c r="CM1056">
        <f>IFERROR(SUMIFS(T_TTAFStock[TTAF_Qty],T_TTAFStock[RM_Code],$A1034,T_TTAFStock[WeekIndex],87),"")</f>
        <v/>
      </c>
      <c r="CN1056">
        <f>IFERROR(SUMIFS(T_TTAFStock[TTAF_Qty],T_TTAFStock[RM_Code],$A1034,T_TTAFStock[WeekIndex],88),"")</f>
        <v/>
      </c>
      <c r="CO1056">
        <f>IFERROR(SUMIFS(T_TTAFStock[TTAF_Qty],T_TTAFStock[RM_Code],$A1034,T_TTAFStock[WeekIndex],89),"")</f>
        <v/>
      </c>
      <c r="CP1056">
        <f>IFERROR(SUMIFS(T_TTAFStock[TTAF_Qty],T_TTAFStock[RM_Code],$A1034,T_TTAFStock[WeekIndex],90),"")</f>
        <v/>
      </c>
      <c r="CQ1056">
        <f>IFERROR(SUMIFS(T_TTAFStock[TTAF_Qty],T_TTAFStock[RM_Code],$A1034,T_TTAFStock[WeekIndex],91),"")</f>
        <v/>
      </c>
      <c r="CR1056">
        <f>IFERROR(SUMIFS(T_TTAFStock[TTAF_Qty],T_TTAFStock[RM_Code],$A1034,T_TTAFStock[WeekIndex],92),"")</f>
        <v/>
      </c>
      <c r="CS1056">
        <f>IFERROR(SUMIFS(T_TTAFStock[TTAF_Qty],T_TTAFStock[RM_Code],$A1034,T_TTAFStock[WeekIndex],93),"")</f>
        <v/>
      </c>
      <c r="CT1056">
        <f>IFERROR(SUMIFS(T_TTAFStock[TTAF_Qty],T_TTAFStock[RM_Code],$A1034,T_TTAFStock[WeekIndex],94),"")</f>
        <v/>
      </c>
      <c r="CU1056">
        <f>IFERROR(SUMIFS(T_TTAFStock[TTAF_Qty],T_TTAFStock[RM_Code],$A1034,T_TTAFStock[WeekIndex],95),"")</f>
        <v/>
      </c>
      <c r="CV1056">
        <f>IFERROR(SUMIFS(T_TTAFStock[TTAF_Qty],T_TTAFStock[RM_Code],$A1034,T_TTAFStock[WeekIndex],96),"")</f>
        <v/>
      </c>
      <c r="CW1056">
        <f>IFERROR(SUMIFS(T_TTAFStock[TTAF_Qty],T_TTAFStock[RM_Code],$A1034,T_TTAFStock[WeekIndex],97),"")</f>
        <v/>
      </c>
      <c r="CX1056">
        <f>IFERROR(SUMIFS(T_TTAFStock[TTAF_Qty],T_TTAFStock[RM_Code],$A1034,T_TTAFStock[WeekIndex],98),"")</f>
        <v/>
      </c>
      <c r="CY1056">
        <f>IFERROR(SUMIFS(T_TTAFStock[TTAF_Qty],T_TTAFStock[RM_Code],$A1034,T_TTAFStock[WeekIndex],99),"")</f>
        <v/>
      </c>
      <c r="CZ1056">
        <f>IFERROR(SUMIFS(T_TTAFStock[TTAF_Qty],T_TTAFStock[RM_Code],$A1034,T_TTAFStock[WeekIndex],100),"")</f>
        <v/>
      </c>
      <c r="DA1056">
        <f>IFERROR(SUMIFS(T_TTAFStock[TTAF_Qty],T_TTAFStock[RM_Code],$A1034,T_TTAFStock[WeekIndex],101),"")</f>
        <v/>
      </c>
      <c r="DB1056">
        <f>IFERROR(SUMIFS(T_TTAFStock[TTAF_Qty],T_TTAFStock[RM_Code],$A1034,T_TTAFStock[WeekIndex],102),"")</f>
        <v/>
      </c>
      <c r="DC1056">
        <f>IFERROR(SUMIFS(T_TTAFStock[TTAF_Qty],T_TTAFStock[RM_Code],$A1034,T_TTAFStock[WeekIndex],103),"")</f>
        <v/>
      </c>
      <c r="DD1056">
        <f>IFERROR(SUMIFS(T_TTAFStock[TTAF_Qty],T_TTAFStock[RM_Code],$A1034,T_TTAFStock[WeekIndex],104),"")</f>
        <v/>
      </c>
    </row>
    <row r="1057">
      <c r="B1057" t="inlineStr">
        <is>
          <t>自社在庫(実績,kg)</t>
        </is>
      </c>
      <c r="D1057">
        <f>IFERROR(INDEX(E1057:DD1057,$F$1),"")</f>
        <v/>
      </c>
      <c r="E1057">
        <f>IFERROR(SUMIFS(T_SelfStock[Self_Qty],T_SelfStock[RM_Code],$A1034,T_SelfStock[WeekIndex],1),"")</f>
        <v/>
      </c>
      <c r="F1057">
        <f>IFERROR(SUMIFS(T_SelfStock[Self_Qty],T_SelfStock[RM_Code],$A1034,T_SelfStock[WeekIndex],2),"")</f>
        <v/>
      </c>
      <c r="G1057">
        <f>IFERROR(SUMIFS(T_SelfStock[Self_Qty],T_SelfStock[RM_Code],$A1034,T_SelfStock[WeekIndex],3),"")</f>
        <v/>
      </c>
      <c r="H1057">
        <f>IFERROR(SUMIFS(T_SelfStock[Self_Qty],T_SelfStock[RM_Code],$A1034,T_SelfStock[WeekIndex],4),"")</f>
        <v/>
      </c>
      <c r="I1057">
        <f>IFERROR(SUMIFS(T_SelfStock[Self_Qty],T_SelfStock[RM_Code],$A1034,T_SelfStock[WeekIndex],5),"")</f>
        <v/>
      </c>
      <c r="J1057">
        <f>IFERROR(SUMIFS(T_SelfStock[Self_Qty],T_SelfStock[RM_Code],$A1034,T_SelfStock[WeekIndex],6),"")</f>
        <v/>
      </c>
      <c r="K1057">
        <f>IFERROR(SUMIFS(T_SelfStock[Self_Qty],T_SelfStock[RM_Code],$A1034,T_SelfStock[WeekIndex],7),"")</f>
        <v/>
      </c>
      <c r="L1057">
        <f>IFERROR(SUMIFS(T_SelfStock[Self_Qty],T_SelfStock[RM_Code],$A1034,T_SelfStock[WeekIndex],8),"")</f>
        <v/>
      </c>
      <c r="M1057">
        <f>IFERROR(SUMIFS(T_SelfStock[Self_Qty],T_SelfStock[RM_Code],$A1034,T_SelfStock[WeekIndex],9),"")</f>
        <v/>
      </c>
      <c r="N1057">
        <f>IFERROR(SUMIFS(T_SelfStock[Self_Qty],T_SelfStock[RM_Code],$A1034,T_SelfStock[WeekIndex],10),"")</f>
        <v/>
      </c>
      <c r="O1057">
        <f>IFERROR(SUMIFS(T_SelfStock[Self_Qty],T_SelfStock[RM_Code],$A1034,T_SelfStock[WeekIndex],11),"")</f>
        <v/>
      </c>
      <c r="P1057">
        <f>IFERROR(SUMIFS(T_SelfStock[Self_Qty],T_SelfStock[RM_Code],$A1034,T_SelfStock[WeekIndex],12),"")</f>
        <v/>
      </c>
      <c r="Q1057">
        <f>IFERROR(SUMIFS(T_SelfStock[Self_Qty],T_SelfStock[RM_Code],$A1034,T_SelfStock[WeekIndex],13),"")</f>
        <v/>
      </c>
      <c r="R1057">
        <f>IFERROR(SUMIFS(T_SelfStock[Self_Qty],T_SelfStock[RM_Code],$A1034,T_SelfStock[WeekIndex],14),"")</f>
        <v/>
      </c>
      <c r="S1057">
        <f>IFERROR(SUMIFS(T_SelfStock[Self_Qty],T_SelfStock[RM_Code],$A1034,T_SelfStock[WeekIndex],15),"")</f>
        <v/>
      </c>
      <c r="T1057">
        <f>IFERROR(SUMIFS(T_SelfStock[Self_Qty],T_SelfStock[RM_Code],$A1034,T_SelfStock[WeekIndex],16),"")</f>
        <v/>
      </c>
      <c r="U1057">
        <f>IFERROR(SUMIFS(T_SelfStock[Self_Qty],T_SelfStock[RM_Code],$A1034,T_SelfStock[WeekIndex],17),"")</f>
        <v/>
      </c>
      <c r="V1057">
        <f>IFERROR(SUMIFS(T_SelfStock[Self_Qty],T_SelfStock[RM_Code],$A1034,T_SelfStock[WeekIndex],18),"")</f>
        <v/>
      </c>
      <c r="W1057">
        <f>IFERROR(SUMIFS(T_SelfStock[Self_Qty],T_SelfStock[RM_Code],$A1034,T_SelfStock[WeekIndex],19),"")</f>
        <v/>
      </c>
      <c r="X1057">
        <f>IFERROR(SUMIFS(T_SelfStock[Self_Qty],T_SelfStock[RM_Code],$A1034,T_SelfStock[WeekIndex],20),"")</f>
        <v/>
      </c>
      <c r="Y1057">
        <f>IFERROR(SUMIFS(T_SelfStock[Self_Qty],T_SelfStock[RM_Code],$A1034,T_SelfStock[WeekIndex],21),"")</f>
        <v/>
      </c>
      <c r="Z1057">
        <f>IFERROR(SUMIFS(T_SelfStock[Self_Qty],T_SelfStock[RM_Code],$A1034,T_SelfStock[WeekIndex],22),"")</f>
        <v/>
      </c>
      <c r="AA1057">
        <f>IFERROR(SUMIFS(T_SelfStock[Self_Qty],T_SelfStock[RM_Code],$A1034,T_SelfStock[WeekIndex],23),"")</f>
        <v/>
      </c>
      <c r="AB1057">
        <f>IFERROR(SUMIFS(T_SelfStock[Self_Qty],T_SelfStock[RM_Code],$A1034,T_SelfStock[WeekIndex],24),"")</f>
        <v/>
      </c>
      <c r="AC1057">
        <f>IFERROR(SUMIFS(T_SelfStock[Self_Qty],T_SelfStock[RM_Code],$A1034,T_SelfStock[WeekIndex],25),"")</f>
        <v/>
      </c>
      <c r="AD1057">
        <f>IFERROR(SUMIFS(T_SelfStock[Self_Qty],T_SelfStock[RM_Code],$A1034,T_SelfStock[WeekIndex],26),"")</f>
        <v/>
      </c>
      <c r="AE1057">
        <f>IFERROR(SUMIFS(T_SelfStock[Self_Qty],T_SelfStock[RM_Code],$A1034,T_SelfStock[WeekIndex],27),"")</f>
        <v/>
      </c>
      <c r="AF1057">
        <f>IFERROR(SUMIFS(T_SelfStock[Self_Qty],T_SelfStock[RM_Code],$A1034,T_SelfStock[WeekIndex],28),"")</f>
        <v/>
      </c>
      <c r="AG1057">
        <f>IFERROR(SUMIFS(T_SelfStock[Self_Qty],T_SelfStock[RM_Code],$A1034,T_SelfStock[WeekIndex],29),"")</f>
        <v/>
      </c>
      <c r="AH1057">
        <f>IFERROR(SUMIFS(T_SelfStock[Self_Qty],T_SelfStock[RM_Code],$A1034,T_SelfStock[WeekIndex],30),"")</f>
        <v/>
      </c>
      <c r="AI1057">
        <f>IFERROR(SUMIFS(T_SelfStock[Self_Qty],T_SelfStock[RM_Code],$A1034,T_SelfStock[WeekIndex],31),"")</f>
        <v/>
      </c>
      <c r="AJ1057">
        <f>IFERROR(SUMIFS(T_SelfStock[Self_Qty],T_SelfStock[RM_Code],$A1034,T_SelfStock[WeekIndex],32),"")</f>
        <v/>
      </c>
      <c r="AK1057">
        <f>IFERROR(SUMIFS(T_SelfStock[Self_Qty],T_SelfStock[RM_Code],$A1034,T_SelfStock[WeekIndex],33),"")</f>
        <v/>
      </c>
      <c r="AL1057">
        <f>IFERROR(SUMIFS(T_SelfStock[Self_Qty],T_SelfStock[RM_Code],$A1034,T_SelfStock[WeekIndex],34),"")</f>
        <v/>
      </c>
      <c r="AM1057">
        <f>IFERROR(SUMIFS(T_SelfStock[Self_Qty],T_SelfStock[RM_Code],$A1034,T_SelfStock[WeekIndex],35),"")</f>
        <v/>
      </c>
      <c r="AN1057">
        <f>IFERROR(SUMIFS(T_SelfStock[Self_Qty],T_SelfStock[RM_Code],$A1034,T_SelfStock[WeekIndex],36),"")</f>
        <v/>
      </c>
      <c r="AO1057">
        <f>IFERROR(SUMIFS(T_SelfStock[Self_Qty],T_SelfStock[RM_Code],$A1034,T_SelfStock[WeekIndex],37),"")</f>
        <v/>
      </c>
      <c r="AP1057">
        <f>IFERROR(SUMIFS(T_SelfStock[Self_Qty],T_SelfStock[RM_Code],$A1034,T_SelfStock[WeekIndex],38),"")</f>
        <v/>
      </c>
      <c r="AQ1057">
        <f>IFERROR(SUMIFS(T_SelfStock[Self_Qty],T_SelfStock[RM_Code],$A1034,T_SelfStock[WeekIndex],39),"")</f>
        <v/>
      </c>
      <c r="AR1057">
        <f>IFERROR(SUMIFS(T_SelfStock[Self_Qty],T_SelfStock[RM_Code],$A1034,T_SelfStock[WeekIndex],40),"")</f>
        <v/>
      </c>
      <c r="AS1057">
        <f>IFERROR(SUMIFS(T_SelfStock[Self_Qty],T_SelfStock[RM_Code],$A1034,T_SelfStock[WeekIndex],41),"")</f>
        <v/>
      </c>
      <c r="AT1057">
        <f>IFERROR(SUMIFS(T_SelfStock[Self_Qty],T_SelfStock[RM_Code],$A1034,T_SelfStock[WeekIndex],42),"")</f>
        <v/>
      </c>
      <c r="AU1057">
        <f>IFERROR(SUMIFS(T_SelfStock[Self_Qty],T_SelfStock[RM_Code],$A1034,T_SelfStock[WeekIndex],43),"")</f>
        <v/>
      </c>
      <c r="AV1057">
        <f>IFERROR(SUMIFS(T_SelfStock[Self_Qty],T_SelfStock[RM_Code],$A1034,T_SelfStock[WeekIndex],44),"")</f>
        <v/>
      </c>
      <c r="AW1057">
        <f>IFERROR(SUMIFS(T_SelfStock[Self_Qty],T_SelfStock[RM_Code],$A1034,T_SelfStock[WeekIndex],45),"")</f>
        <v/>
      </c>
      <c r="AX1057">
        <f>IFERROR(SUMIFS(T_SelfStock[Self_Qty],T_SelfStock[RM_Code],$A1034,T_SelfStock[WeekIndex],46),"")</f>
        <v/>
      </c>
      <c r="AY1057">
        <f>IFERROR(SUMIFS(T_SelfStock[Self_Qty],T_SelfStock[RM_Code],$A1034,T_SelfStock[WeekIndex],47),"")</f>
        <v/>
      </c>
      <c r="AZ1057">
        <f>IFERROR(SUMIFS(T_SelfStock[Self_Qty],T_SelfStock[RM_Code],$A1034,T_SelfStock[WeekIndex],48),"")</f>
        <v/>
      </c>
      <c r="BA1057">
        <f>IFERROR(SUMIFS(T_SelfStock[Self_Qty],T_SelfStock[RM_Code],$A1034,T_SelfStock[WeekIndex],49),"")</f>
        <v/>
      </c>
      <c r="BB1057">
        <f>IFERROR(SUMIFS(T_SelfStock[Self_Qty],T_SelfStock[RM_Code],$A1034,T_SelfStock[WeekIndex],50),"")</f>
        <v/>
      </c>
      <c r="BC1057">
        <f>IFERROR(SUMIFS(T_SelfStock[Self_Qty],T_SelfStock[RM_Code],$A1034,T_SelfStock[WeekIndex],51),"")</f>
        <v/>
      </c>
      <c r="BD1057">
        <f>IFERROR(SUMIFS(T_SelfStock[Self_Qty],T_SelfStock[RM_Code],$A1034,T_SelfStock[WeekIndex],52),"")</f>
        <v/>
      </c>
      <c r="BE1057">
        <f>IFERROR(SUMIFS(T_SelfStock[Self_Qty],T_SelfStock[RM_Code],$A1034,T_SelfStock[WeekIndex],53),"")</f>
        <v/>
      </c>
      <c r="BF1057">
        <f>IFERROR(SUMIFS(T_SelfStock[Self_Qty],T_SelfStock[RM_Code],$A1034,T_SelfStock[WeekIndex],54),"")</f>
        <v/>
      </c>
      <c r="BG1057">
        <f>IFERROR(SUMIFS(T_SelfStock[Self_Qty],T_SelfStock[RM_Code],$A1034,T_SelfStock[WeekIndex],55),"")</f>
        <v/>
      </c>
      <c r="BH1057">
        <f>IFERROR(SUMIFS(T_SelfStock[Self_Qty],T_SelfStock[RM_Code],$A1034,T_SelfStock[WeekIndex],56),"")</f>
        <v/>
      </c>
      <c r="BI1057">
        <f>IFERROR(SUMIFS(T_SelfStock[Self_Qty],T_SelfStock[RM_Code],$A1034,T_SelfStock[WeekIndex],57),"")</f>
        <v/>
      </c>
      <c r="BJ1057">
        <f>IFERROR(SUMIFS(T_SelfStock[Self_Qty],T_SelfStock[RM_Code],$A1034,T_SelfStock[WeekIndex],58),"")</f>
        <v/>
      </c>
      <c r="BK1057">
        <f>IFERROR(SUMIFS(T_SelfStock[Self_Qty],T_SelfStock[RM_Code],$A1034,T_SelfStock[WeekIndex],59),"")</f>
        <v/>
      </c>
      <c r="BL1057">
        <f>IFERROR(SUMIFS(T_SelfStock[Self_Qty],T_SelfStock[RM_Code],$A1034,T_SelfStock[WeekIndex],60),"")</f>
        <v/>
      </c>
      <c r="BM1057">
        <f>IFERROR(SUMIFS(T_SelfStock[Self_Qty],T_SelfStock[RM_Code],$A1034,T_SelfStock[WeekIndex],61),"")</f>
        <v/>
      </c>
      <c r="BN1057">
        <f>IFERROR(SUMIFS(T_SelfStock[Self_Qty],T_SelfStock[RM_Code],$A1034,T_SelfStock[WeekIndex],62),"")</f>
        <v/>
      </c>
      <c r="BO1057">
        <f>IFERROR(SUMIFS(T_SelfStock[Self_Qty],T_SelfStock[RM_Code],$A1034,T_SelfStock[WeekIndex],63),"")</f>
        <v/>
      </c>
      <c r="BP1057">
        <f>IFERROR(SUMIFS(T_SelfStock[Self_Qty],T_SelfStock[RM_Code],$A1034,T_SelfStock[WeekIndex],64),"")</f>
        <v/>
      </c>
      <c r="BQ1057">
        <f>IFERROR(SUMIFS(T_SelfStock[Self_Qty],T_SelfStock[RM_Code],$A1034,T_SelfStock[WeekIndex],65),"")</f>
        <v/>
      </c>
      <c r="BR1057">
        <f>IFERROR(SUMIFS(T_SelfStock[Self_Qty],T_SelfStock[RM_Code],$A1034,T_SelfStock[WeekIndex],66),"")</f>
        <v/>
      </c>
      <c r="BS1057">
        <f>IFERROR(SUMIFS(T_SelfStock[Self_Qty],T_SelfStock[RM_Code],$A1034,T_SelfStock[WeekIndex],67),"")</f>
        <v/>
      </c>
      <c r="BT1057">
        <f>IFERROR(SUMIFS(T_SelfStock[Self_Qty],T_SelfStock[RM_Code],$A1034,T_SelfStock[WeekIndex],68),"")</f>
        <v/>
      </c>
      <c r="BU1057">
        <f>IFERROR(SUMIFS(T_SelfStock[Self_Qty],T_SelfStock[RM_Code],$A1034,T_SelfStock[WeekIndex],69),"")</f>
        <v/>
      </c>
      <c r="BV1057">
        <f>IFERROR(SUMIFS(T_SelfStock[Self_Qty],T_SelfStock[RM_Code],$A1034,T_SelfStock[WeekIndex],70),"")</f>
        <v/>
      </c>
      <c r="BW1057">
        <f>IFERROR(SUMIFS(T_SelfStock[Self_Qty],T_SelfStock[RM_Code],$A1034,T_SelfStock[WeekIndex],71),"")</f>
        <v/>
      </c>
      <c r="BX1057">
        <f>IFERROR(SUMIFS(T_SelfStock[Self_Qty],T_SelfStock[RM_Code],$A1034,T_SelfStock[WeekIndex],72),"")</f>
        <v/>
      </c>
      <c r="BY1057">
        <f>IFERROR(SUMIFS(T_SelfStock[Self_Qty],T_SelfStock[RM_Code],$A1034,T_SelfStock[WeekIndex],73),"")</f>
        <v/>
      </c>
      <c r="BZ1057">
        <f>IFERROR(SUMIFS(T_SelfStock[Self_Qty],T_SelfStock[RM_Code],$A1034,T_SelfStock[WeekIndex],74),"")</f>
        <v/>
      </c>
      <c r="CA1057">
        <f>IFERROR(SUMIFS(T_SelfStock[Self_Qty],T_SelfStock[RM_Code],$A1034,T_SelfStock[WeekIndex],75),"")</f>
        <v/>
      </c>
      <c r="CB1057">
        <f>IFERROR(SUMIFS(T_SelfStock[Self_Qty],T_SelfStock[RM_Code],$A1034,T_SelfStock[WeekIndex],76),"")</f>
        <v/>
      </c>
      <c r="CC1057">
        <f>IFERROR(SUMIFS(T_SelfStock[Self_Qty],T_SelfStock[RM_Code],$A1034,T_SelfStock[WeekIndex],77),"")</f>
        <v/>
      </c>
      <c r="CD1057">
        <f>IFERROR(SUMIFS(T_SelfStock[Self_Qty],T_SelfStock[RM_Code],$A1034,T_SelfStock[WeekIndex],78),"")</f>
        <v/>
      </c>
      <c r="CE1057">
        <f>IFERROR(SUMIFS(T_SelfStock[Self_Qty],T_SelfStock[RM_Code],$A1034,T_SelfStock[WeekIndex],79),"")</f>
        <v/>
      </c>
      <c r="CF1057">
        <f>IFERROR(SUMIFS(T_SelfStock[Self_Qty],T_SelfStock[RM_Code],$A1034,T_SelfStock[WeekIndex],80),"")</f>
        <v/>
      </c>
      <c r="CG1057">
        <f>IFERROR(SUMIFS(T_SelfStock[Self_Qty],T_SelfStock[RM_Code],$A1034,T_SelfStock[WeekIndex],81),"")</f>
        <v/>
      </c>
      <c r="CH1057">
        <f>IFERROR(SUMIFS(T_SelfStock[Self_Qty],T_SelfStock[RM_Code],$A1034,T_SelfStock[WeekIndex],82),"")</f>
        <v/>
      </c>
      <c r="CI1057">
        <f>IFERROR(SUMIFS(T_SelfStock[Self_Qty],T_SelfStock[RM_Code],$A1034,T_SelfStock[WeekIndex],83),"")</f>
        <v/>
      </c>
      <c r="CJ1057">
        <f>IFERROR(SUMIFS(T_SelfStock[Self_Qty],T_SelfStock[RM_Code],$A1034,T_SelfStock[WeekIndex],84),"")</f>
        <v/>
      </c>
      <c r="CK1057">
        <f>IFERROR(SUMIFS(T_SelfStock[Self_Qty],T_SelfStock[RM_Code],$A1034,T_SelfStock[WeekIndex],85),"")</f>
        <v/>
      </c>
      <c r="CL1057">
        <f>IFERROR(SUMIFS(T_SelfStock[Self_Qty],T_SelfStock[RM_Code],$A1034,T_SelfStock[WeekIndex],86),"")</f>
        <v/>
      </c>
      <c r="CM1057">
        <f>IFERROR(SUMIFS(T_SelfStock[Self_Qty],T_SelfStock[RM_Code],$A1034,T_SelfStock[WeekIndex],87),"")</f>
        <v/>
      </c>
      <c r="CN1057">
        <f>IFERROR(SUMIFS(T_SelfStock[Self_Qty],T_SelfStock[RM_Code],$A1034,T_SelfStock[WeekIndex],88),"")</f>
        <v/>
      </c>
      <c r="CO1057">
        <f>IFERROR(SUMIFS(T_SelfStock[Self_Qty],T_SelfStock[RM_Code],$A1034,T_SelfStock[WeekIndex],89),"")</f>
        <v/>
      </c>
      <c r="CP1057">
        <f>IFERROR(SUMIFS(T_SelfStock[Self_Qty],T_SelfStock[RM_Code],$A1034,T_SelfStock[WeekIndex],90),"")</f>
        <v/>
      </c>
      <c r="CQ1057">
        <f>IFERROR(SUMIFS(T_SelfStock[Self_Qty],T_SelfStock[RM_Code],$A1034,T_SelfStock[WeekIndex],91),"")</f>
        <v/>
      </c>
      <c r="CR1057">
        <f>IFERROR(SUMIFS(T_SelfStock[Self_Qty],T_SelfStock[RM_Code],$A1034,T_SelfStock[WeekIndex],92),"")</f>
        <v/>
      </c>
      <c r="CS1057">
        <f>IFERROR(SUMIFS(T_SelfStock[Self_Qty],T_SelfStock[RM_Code],$A1034,T_SelfStock[WeekIndex],93),"")</f>
        <v/>
      </c>
      <c r="CT1057">
        <f>IFERROR(SUMIFS(T_SelfStock[Self_Qty],T_SelfStock[RM_Code],$A1034,T_SelfStock[WeekIndex],94),"")</f>
        <v/>
      </c>
      <c r="CU1057">
        <f>IFERROR(SUMIFS(T_SelfStock[Self_Qty],T_SelfStock[RM_Code],$A1034,T_SelfStock[WeekIndex],95),"")</f>
        <v/>
      </c>
      <c r="CV1057">
        <f>IFERROR(SUMIFS(T_SelfStock[Self_Qty],T_SelfStock[RM_Code],$A1034,T_SelfStock[WeekIndex],96),"")</f>
        <v/>
      </c>
      <c r="CW1057">
        <f>IFERROR(SUMIFS(T_SelfStock[Self_Qty],T_SelfStock[RM_Code],$A1034,T_SelfStock[WeekIndex],97),"")</f>
        <v/>
      </c>
      <c r="CX1057">
        <f>IFERROR(SUMIFS(T_SelfStock[Self_Qty],T_SelfStock[RM_Code],$A1034,T_SelfStock[WeekIndex],98),"")</f>
        <v/>
      </c>
      <c r="CY1057">
        <f>IFERROR(SUMIFS(T_SelfStock[Self_Qty],T_SelfStock[RM_Code],$A1034,T_SelfStock[WeekIndex],99),"")</f>
        <v/>
      </c>
      <c r="CZ1057">
        <f>IFERROR(SUMIFS(T_SelfStock[Self_Qty],T_SelfStock[RM_Code],$A1034,T_SelfStock[WeekIndex],100),"")</f>
        <v/>
      </c>
      <c r="DA1057">
        <f>IFERROR(SUMIFS(T_SelfStock[Self_Qty],T_SelfStock[RM_Code],$A1034,T_SelfStock[WeekIndex],101),"")</f>
        <v/>
      </c>
      <c r="DB1057">
        <f>IFERROR(SUMIFS(T_SelfStock[Self_Qty],T_SelfStock[RM_Code],$A1034,T_SelfStock[WeekIndex],102),"")</f>
        <v/>
      </c>
      <c r="DC1057">
        <f>IFERROR(SUMIFS(T_SelfStock[Self_Qty],T_SelfStock[RM_Code],$A1034,T_SelfStock[WeekIndex],103),"")</f>
        <v/>
      </c>
      <c r="DD1057">
        <f>IFERROR(SUMIFS(T_SelfStock[Self_Qty],T_SelfStock[RM_Code],$A1034,T_SelfStock[WeekIndex],104),"")</f>
        <v/>
      </c>
    </row>
    <row r="1058">
      <c r="B1058" s="4" t="inlineStr">
        <is>
          <t>合計在庫(週末時点,kg)</t>
        </is>
      </c>
      <c r="D1058" s="24">
        <f>IFERROR(INDEX(E1058:DD1058,$F$1),"")</f>
        <v/>
      </c>
      <c r="E1058">
        <f>'Grid_Stock'!B21</f>
        <v/>
      </c>
      <c r="F1058">
        <f>'Grid_Stock'!C21</f>
        <v/>
      </c>
      <c r="G1058">
        <f>'Grid_Stock'!D21</f>
        <v/>
      </c>
      <c r="H1058">
        <f>'Grid_Stock'!E21</f>
        <v/>
      </c>
      <c r="I1058">
        <f>'Grid_Stock'!F21</f>
        <v/>
      </c>
      <c r="J1058">
        <f>'Grid_Stock'!G21</f>
        <v/>
      </c>
      <c r="K1058">
        <f>'Grid_Stock'!H21</f>
        <v/>
      </c>
      <c r="L1058">
        <f>'Grid_Stock'!I21</f>
        <v/>
      </c>
      <c r="M1058">
        <f>'Grid_Stock'!J21</f>
        <v/>
      </c>
      <c r="N1058">
        <f>'Grid_Stock'!K21</f>
        <v/>
      </c>
      <c r="O1058">
        <f>'Grid_Stock'!L21</f>
        <v/>
      </c>
      <c r="P1058">
        <f>'Grid_Stock'!M21</f>
        <v/>
      </c>
      <c r="Q1058">
        <f>'Grid_Stock'!N21</f>
        <v/>
      </c>
      <c r="R1058">
        <f>'Grid_Stock'!O21</f>
        <v/>
      </c>
      <c r="S1058">
        <f>'Grid_Stock'!P21</f>
        <v/>
      </c>
      <c r="T1058">
        <f>'Grid_Stock'!Q21</f>
        <v/>
      </c>
      <c r="U1058">
        <f>'Grid_Stock'!R21</f>
        <v/>
      </c>
      <c r="V1058">
        <f>'Grid_Stock'!S21</f>
        <v/>
      </c>
      <c r="W1058">
        <f>'Grid_Stock'!T21</f>
        <v/>
      </c>
      <c r="X1058">
        <f>'Grid_Stock'!U21</f>
        <v/>
      </c>
      <c r="Y1058">
        <f>'Grid_Stock'!V21</f>
        <v/>
      </c>
      <c r="Z1058">
        <f>'Grid_Stock'!W21</f>
        <v/>
      </c>
      <c r="AA1058">
        <f>'Grid_Stock'!X21</f>
        <v/>
      </c>
      <c r="AB1058">
        <f>'Grid_Stock'!Y21</f>
        <v/>
      </c>
      <c r="AC1058">
        <f>'Grid_Stock'!Z21</f>
        <v/>
      </c>
      <c r="AD1058">
        <f>'Grid_Stock'!AA21</f>
        <v/>
      </c>
      <c r="AE1058">
        <f>'Grid_Stock'!AB21</f>
        <v/>
      </c>
      <c r="AF1058">
        <f>'Grid_Stock'!AC21</f>
        <v/>
      </c>
      <c r="AG1058">
        <f>'Grid_Stock'!AD21</f>
        <v/>
      </c>
      <c r="AH1058">
        <f>'Grid_Stock'!AE21</f>
        <v/>
      </c>
      <c r="AI1058">
        <f>'Grid_Stock'!AF21</f>
        <v/>
      </c>
      <c r="AJ1058">
        <f>'Grid_Stock'!AG21</f>
        <v/>
      </c>
      <c r="AK1058">
        <f>'Grid_Stock'!AH21</f>
        <v/>
      </c>
      <c r="AL1058">
        <f>'Grid_Stock'!AI21</f>
        <v/>
      </c>
      <c r="AM1058">
        <f>'Grid_Stock'!AJ21</f>
        <v/>
      </c>
      <c r="AN1058">
        <f>'Grid_Stock'!AK21</f>
        <v/>
      </c>
      <c r="AO1058">
        <f>'Grid_Stock'!AL21</f>
        <v/>
      </c>
      <c r="AP1058">
        <f>'Grid_Stock'!AM21</f>
        <v/>
      </c>
      <c r="AQ1058">
        <f>'Grid_Stock'!AN21</f>
        <v/>
      </c>
      <c r="AR1058">
        <f>'Grid_Stock'!AO21</f>
        <v/>
      </c>
      <c r="AS1058">
        <f>'Grid_Stock'!AP21</f>
        <v/>
      </c>
      <c r="AT1058">
        <f>'Grid_Stock'!AQ21</f>
        <v/>
      </c>
      <c r="AU1058">
        <f>'Grid_Stock'!AR21</f>
        <v/>
      </c>
      <c r="AV1058">
        <f>'Grid_Stock'!AS21</f>
        <v/>
      </c>
      <c r="AW1058">
        <f>'Grid_Stock'!AT21</f>
        <v/>
      </c>
      <c r="AX1058">
        <f>'Grid_Stock'!AU21</f>
        <v/>
      </c>
      <c r="AY1058">
        <f>'Grid_Stock'!AV21</f>
        <v/>
      </c>
      <c r="AZ1058">
        <f>'Grid_Stock'!AW21</f>
        <v/>
      </c>
      <c r="BA1058">
        <f>'Grid_Stock'!AX21</f>
        <v/>
      </c>
      <c r="BB1058">
        <f>'Grid_Stock'!AY21</f>
        <v/>
      </c>
      <c r="BC1058">
        <f>'Grid_Stock'!AZ21</f>
        <v/>
      </c>
      <c r="BD1058">
        <f>'Grid_Stock'!BA21</f>
        <v/>
      </c>
      <c r="BE1058">
        <f>'Grid_Stock'!BB21</f>
        <v/>
      </c>
      <c r="BF1058">
        <f>'Grid_Stock'!BC21</f>
        <v/>
      </c>
      <c r="BG1058">
        <f>'Grid_Stock'!BD21</f>
        <v/>
      </c>
      <c r="BH1058">
        <f>'Grid_Stock'!BE21</f>
        <v/>
      </c>
      <c r="BI1058">
        <f>'Grid_Stock'!BF21</f>
        <v/>
      </c>
      <c r="BJ1058">
        <f>'Grid_Stock'!BG21</f>
        <v/>
      </c>
      <c r="BK1058">
        <f>'Grid_Stock'!BH21</f>
        <v/>
      </c>
      <c r="BL1058">
        <f>'Grid_Stock'!BI21</f>
        <v/>
      </c>
      <c r="BM1058">
        <f>'Grid_Stock'!BJ21</f>
        <v/>
      </c>
      <c r="BN1058">
        <f>'Grid_Stock'!BK21</f>
        <v/>
      </c>
      <c r="BO1058">
        <f>'Grid_Stock'!BL21</f>
        <v/>
      </c>
      <c r="BP1058">
        <f>'Grid_Stock'!BM21</f>
        <v/>
      </c>
      <c r="BQ1058">
        <f>'Grid_Stock'!BN21</f>
        <v/>
      </c>
      <c r="BR1058">
        <f>'Grid_Stock'!BO21</f>
        <v/>
      </c>
      <c r="BS1058">
        <f>'Grid_Stock'!BP21</f>
        <v/>
      </c>
      <c r="BT1058">
        <f>'Grid_Stock'!BQ21</f>
        <v/>
      </c>
      <c r="BU1058">
        <f>'Grid_Stock'!BR21</f>
        <v/>
      </c>
      <c r="BV1058">
        <f>'Grid_Stock'!BS21</f>
        <v/>
      </c>
      <c r="BW1058">
        <f>'Grid_Stock'!BT21</f>
        <v/>
      </c>
      <c r="BX1058">
        <f>'Grid_Stock'!BU21</f>
        <v/>
      </c>
      <c r="BY1058">
        <f>'Grid_Stock'!BV21</f>
        <v/>
      </c>
      <c r="BZ1058">
        <f>'Grid_Stock'!BW21</f>
        <v/>
      </c>
      <c r="CA1058">
        <f>'Grid_Stock'!BX21</f>
        <v/>
      </c>
      <c r="CB1058">
        <f>'Grid_Stock'!BY21</f>
        <v/>
      </c>
      <c r="CC1058">
        <f>'Grid_Stock'!BZ21</f>
        <v/>
      </c>
      <c r="CD1058">
        <f>'Grid_Stock'!CA21</f>
        <v/>
      </c>
      <c r="CE1058">
        <f>'Grid_Stock'!CB21</f>
        <v/>
      </c>
      <c r="CF1058">
        <f>'Grid_Stock'!CC21</f>
        <v/>
      </c>
      <c r="CG1058">
        <f>'Grid_Stock'!CD21</f>
        <v/>
      </c>
      <c r="CH1058">
        <f>'Grid_Stock'!CE21</f>
        <v/>
      </c>
      <c r="CI1058">
        <f>'Grid_Stock'!CF21</f>
        <v/>
      </c>
      <c r="CJ1058">
        <f>'Grid_Stock'!CG21</f>
        <v/>
      </c>
      <c r="CK1058">
        <f>'Grid_Stock'!CH21</f>
        <v/>
      </c>
      <c r="CL1058">
        <f>'Grid_Stock'!CI21</f>
        <v/>
      </c>
      <c r="CM1058">
        <f>'Grid_Stock'!CJ21</f>
        <v/>
      </c>
      <c r="CN1058">
        <f>'Grid_Stock'!CK21</f>
        <v/>
      </c>
      <c r="CO1058">
        <f>'Grid_Stock'!CL21</f>
        <v/>
      </c>
      <c r="CP1058">
        <f>'Grid_Stock'!CM21</f>
        <v/>
      </c>
      <c r="CQ1058">
        <f>'Grid_Stock'!CN21</f>
        <v/>
      </c>
      <c r="CR1058">
        <f>'Grid_Stock'!CO21</f>
        <v/>
      </c>
      <c r="CS1058">
        <f>'Grid_Stock'!CP21</f>
        <v/>
      </c>
      <c r="CT1058">
        <f>'Grid_Stock'!CQ21</f>
        <v/>
      </c>
      <c r="CU1058">
        <f>'Grid_Stock'!CR21</f>
        <v/>
      </c>
      <c r="CV1058">
        <f>'Grid_Stock'!CS21</f>
        <v/>
      </c>
      <c r="CW1058">
        <f>'Grid_Stock'!CT21</f>
        <v/>
      </c>
      <c r="CX1058">
        <f>'Grid_Stock'!CU21</f>
        <v/>
      </c>
      <c r="CY1058">
        <f>'Grid_Stock'!CV21</f>
        <v/>
      </c>
      <c r="CZ1058">
        <f>'Grid_Stock'!CW21</f>
        <v/>
      </c>
      <c r="DA1058">
        <f>'Grid_Stock'!CX21</f>
        <v/>
      </c>
      <c r="DB1058">
        <f>'Grid_Stock'!CY21</f>
        <v/>
      </c>
      <c r="DC1058">
        <f>'Grid_Stock'!CZ21</f>
        <v/>
      </c>
      <c r="DD1058">
        <f>'Grid_Stock'!DA21</f>
        <v/>
      </c>
    </row>
    <row r="1059">
      <c r="B1059" s="25" t="inlineStr">
        <is>
          <t>（発注の目安はDashboardの基準在庫[下限/上限]と色分けを参照）</t>
        </is>
      </c>
    </row>
    <row r="1061">
      <c r="A1061" s="21" t="inlineStr">
        <is>
          <t>CHEM-1470</t>
        </is>
      </c>
      <c r="B1061" s="21" t="inlineStr">
        <is>
          <t>SCFa-100</t>
        </is>
      </c>
      <c r="C1061" s="22" t="n"/>
      <c r="D1061" s="21" t="n"/>
      <c r="E1061" s="21" t="n"/>
      <c r="F1061" s="21" t="n"/>
      <c r="G1061" s="21" t="n"/>
      <c r="H1061" s="21" t="n"/>
      <c r="I1061" s="21" t="n"/>
      <c r="J1061" s="21" t="n"/>
      <c r="K1061" s="21" t="n"/>
      <c r="L1061" s="21" t="n"/>
      <c r="M1061" s="21" t="n"/>
      <c r="N1061" s="21" t="n"/>
      <c r="O1061" s="21" t="n"/>
      <c r="P1061" s="21" t="n"/>
      <c r="Q1061" s="21" t="n"/>
      <c r="R1061" s="21" t="n"/>
      <c r="S1061" s="21" t="n"/>
      <c r="T1061" s="21" t="n"/>
      <c r="U1061" s="21" t="n"/>
      <c r="V1061" s="21" t="n"/>
      <c r="W1061" s="21" t="n"/>
      <c r="X1061" s="21" t="n"/>
      <c r="Y1061" s="21" t="n"/>
      <c r="Z1061" s="21" t="n"/>
      <c r="AA1061" s="21" t="n"/>
      <c r="AB1061" s="21" t="n"/>
      <c r="AC1061" s="21" t="n"/>
      <c r="AD1061" s="21" t="n"/>
      <c r="AE1061" s="21" t="n"/>
      <c r="AF1061" s="21" t="n"/>
      <c r="AG1061" s="21" t="n"/>
      <c r="AH1061" s="21" t="n"/>
      <c r="AI1061" s="21" t="n"/>
      <c r="AJ1061" s="21" t="n"/>
      <c r="AK1061" s="21" t="n"/>
      <c r="AL1061" s="21" t="n"/>
      <c r="AM1061" s="21" t="n"/>
      <c r="AN1061" s="21" t="n"/>
      <c r="AO1061" s="21" t="n"/>
      <c r="AP1061" s="21" t="n"/>
      <c r="AQ1061" s="21" t="n"/>
      <c r="AR1061" s="21" t="n"/>
      <c r="AS1061" s="21" t="n"/>
      <c r="AT1061" s="21" t="n"/>
      <c r="AU1061" s="21" t="n"/>
      <c r="AV1061" s="21" t="n"/>
      <c r="AW1061" s="21" t="n"/>
      <c r="AX1061" s="21" t="n"/>
      <c r="AY1061" s="21" t="n"/>
      <c r="AZ1061" s="21" t="n"/>
      <c r="BA1061" s="21" t="n"/>
      <c r="BB1061" s="21" t="n"/>
      <c r="BC1061" s="21" t="n"/>
      <c r="BD1061" s="21" t="n"/>
      <c r="BE1061" s="21" t="n"/>
      <c r="BF1061" s="21" t="n"/>
      <c r="BG1061" s="21" t="n"/>
      <c r="BH1061" s="21" t="n"/>
      <c r="BI1061" s="21" t="n"/>
      <c r="BJ1061" s="21" t="n"/>
      <c r="BK1061" s="21" t="n"/>
      <c r="BL1061" s="21" t="n"/>
      <c r="BM1061" s="21" t="n"/>
      <c r="BN1061" s="21" t="n"/>
      <c r="BO1061" s="21" t="n"/>
      <c r="BP1061" s="21" t="n"/>
      <c r="BQ1061" s="21" t="n"/>
      <c r="BR1061" s="21" t="n"/>
      <c r="BS1061" s="21" t="n"/>
      <c r="BT1061" s="21" t="n"/>
      <c r="BU1061" s="21" t="n"/>
      <c r="BV1061" s="21" t="n"/>
      <c r="BW1061" s="21" t="n"/>
      <c r="BX1061" s="21" t="n"/>
      <c r="BY1061" s="21" t="n"/>
      <c r="BZ1061" s="21" t="n"/>
      <c r="CA1061" s="21" t="n"/>
      <c r="CB1061" s="21" t="n"/>
      <c r="CC1061" s="21" t="n"/>
      <c r="CD1061" s="21" t="n"/>
      <c r="CE1061" s="21" t="n"/>
      <c r="CF1061" s="21" t="n"/>
      <c r="CG1061" s="21" t="n"/>
      <c r="CH1061" s="21" t="n"/>
      <c r="CI1061" s="21" t="n"/>
      <c r="CJ1061" s="21" t="n"/>
      <c r="CK1061" s="21" t="n"/>
      <c r="CL1061" s="21" t="n"/>
      <c r="CM1061" s="21" t="n"/>
      <c r="CN1061" s="21" t="n"/>
      <c r="CO1061" s="21" t="n"/>
      <c r="CP1061" s="21" t="n"/>
      <c r="CQ1061" s="21" t="n"/>
      <c r="CR1061" s="21" t="n"/>
      <c r="CS1061" s="21" t="n"/>
      <c r="CT1061" s="21" t="n"/>
      <c r="CU1061" s="21" t="n"/>
      <c r="CV1061" s="21" t="n"/>
      <c r="CW1061" s="21" t="n"/>
      <c r="CX1061" s="21" t="n"/>
      <c r="CY1061" s="21" t="n"/>
      <c r="CZ1061" s="21" t="n"/>
      <c r="DA1061" s="21" t="n"/>
      <c r="DB1061" s="21" t="n"/>
      <c r="DC1061" s="21" t="n"/>
      <c r="DD1061" s="21" t="n"/>
    </row>
    <row r="1062">
      <c r="B1062" t="inlineStr">
        <is>
          <t>TSP-224</t>
        </is>
      </c>
      <c r="C1062" t="inlineStr">
        <is>
          <t>No. of batches</t>
        </is>
      </c>
      <c r="D1062">
        <f>IFERROR(INDEX(E1062:DD1062,$F$1),"")</f>
        <v/>
      </c>
      <c r="E1062">
        <f>IFERROR(INDEX(PP_Grid[#Data],$DE1062,2),0)</f>
        <v/>
      </c>
      <c r="F1062">
        <f>IFERROR(INDEX(PP_Grid[#Data],$DE1062,3),0)</f>
        <v/>
      </c>
      <c r="G1062">
        <f>IFERROR(INDEX(PP_Grid[#Data],$DE1062,4),0)</f>
        <v/>
      </c>
      <c r="H1062">
        <f>IFERROR(INDEX(PP_Grid[#Data],$DE1062,5),0)</f>
        <v/>
      </c>
      <c r="I1062">
        <f>IFERROR(INDEX(PP_Grid[#Data],$DE1062,6),0)</f>
        <v/>
      </c>
      <c r="J1062">
        <f>IFERROR(INDEX(PP_Grid[#Data],$DE1062,7),0)</f>
        <v/>
      </c>
      <c r="K1062">
        <f>IFERROR(INDEX(PP_Grid[#Data],$DE1062,8),0)</f>
        <v/>
      </c>
      <c r="L1062">
        <f>IFERROR(INDEX(PP_Grid[#Data],$DE1062,9),0)</f>
        <v/>
      </c>
      <c r="M1062">
        <f>IFERROR(INDEX(PP_Grid[#Data],$DE1062,10),0)</f>
        <v/>
      </c>
      <c r="N1062">
        <f>IFERROR(INDEX(PP_Grid[#Data],$DE1062,11),0)</f>
        <v/>
      </c>
      <c r="O1062">
        <f>IFERROR(INDEX(PP_Grid[#Data],$DE1062,12),0)</f>
        <v/>
      </c>
      <c r="P1062">
        <f>IFERROR(INDEX(PP_Grid[#Data],$DE1062,13),0)</f>
        <v/>
      </c>
      <c r="Q1062">
        <f>IFERROR(INDEX(PP_Grid[#Data],$DE1062,14),0)</f>
        <v/>
      </c>
      <c r="R1062">
        <f>IFERROR(INDEX(PP_Grid[#Data],$DE1062,15),0)</f>
        <v/>
      </c>
      <c r="S1062">
        <f>IFERROR(INDEX(PP_Grid[#Data],$DE1062,16),0)</f>
        <v/>
      </c>
      <c r="T1062">
        <f>IFERROR(INDEX(PP_Grid[#Data],$DE1062,17),0)</f>
        <v/>
      </c>
      <c r="U1062">
        <f>IFERROR(INDEX(PP_Grid[#Data],$DE1062,18),0)</f>
        <v/>
      </c>
      <c r="V1062">
        <f>IFERROR(INDEX(PP_Grid[#Data],$DE1062,19),0)</f>
        <v/>
      </c>
      <c r="W1062">
        <f>IFERROR(INDEX(PP_Grid[#Data],$DE1062,20),0)</f>
        <v/>
      </c>
      <c r="X1062">
        <f>IFERROR(INDEX(PP_Grid[#Data],$DE1062,21),0)</f>
        <v/>
      </c>
      <c r="Y1062">
        <f>IFERROR(INDEX(PP_Grid[#Data],$DE1062,22),0)</f>
        <v/>
      </c>
      <c r="Z1062">
        <f>IFERROR(INDEX(PP_Grid[#Data],$DE1062,23),0)</f>
        <v/>
      </c>
      <c r="AA1062">
        <f>IFERROR(INDEX(PP_Grid[#Data],$DE1062,24),0)</f>
        <v/>
      </c>
      <c r="AB1062">
        <f>IFERROR(INDEX(PP_Grid[#Data],$DE1062,25),0)</f>
        <v/>
      </c>
      <c r="AC1062">
        <f>IFERROR(INDEX(PP_Grid[#Data],$DE1062,26),0)</f>
        <v/>
      </c>
      <c r="AD1062">
        <f>IFERROR(INDEX(PP_Grid[#Data],$DE1062,27),0)</f>
        <v/>
      </c>
      <c r="AE1062">
        <f>IFERROR(INDEX(PP_Grid[#Data],$DE1062,28),0)</f>
        <v/>
      </c>
      <c r="AF1062">
        <f>IFERROR(INDEX(PP_Grid[#Data],$DE1062,29),0)</f>
        <v/>
      </c>
      <c r="AG1062">
        <f>IFERROR(INDEX(PP_Grid[#Data],$DE1062,30),0)</f>
        <v/>
      </c>
      <c r="AH1062">
        <f>IFERROR(INDEX(PP_Grid[#Data],$DE1062,31),0)</f>
        <v/>
      </c>
      <c r="AI1062">
        <f>IFERROR(INDEX(PP_Grid[#Data],$DE1062,32),0)</f>
        <v/>
      </c>
      <c r="AJ1062">
        <f>IFERROR(INDEX(PP_Grid[#Data],$DE1062,33),0)</f>
        <v/>
      </c>
      <c r="AK1062">
        <f>IFERROR(INDEX(PP_Grid[#Data],$DE1062,34),0)</f>
        <v/>
      </c>
      <c r="AL1062">
        <f>IFERROR(INDEX(PP_Grid[#Data],$DE1062,35),0)</f>
        <v/>
      </c>
      <c r="AM1062">
        <f>IFERROR(INDEX(PP_Grid[#Data],$DE1062,36),0)</f>
        <v/>
      </c>
      <c r="AN1062">
        <f>IFERROR(INDEX(PP_Grid[#Data],$DE1062,37),0)</f>
        <v/>
      </c>
      <c r="AO1062">
        <f>IFERROR(INDEX(PP_Grid[#Data],$DE1062,38),0)</f>
        <v/>
      </c>
      <c r="AP1062">
        <f>IFERROR(INDEX(PP_Grid[#Data],$DE1062,39),0)</f>
        <v/>
      </c>
      <c r="AQ1062">
        <f>IFERROR(INDEX(PP_Grid[#Data],$DE1062,40),0)</f>
        <v/>
      </c>
      <c r="AR1062">
        <f>IFERROR(INDEX(PP_Grid[#Data],$DE1062,41),0)</f>
        <v/>
      </c>
      <c r="AS1062">
        <f>IFERROR(INDEX(PP_Grid[#Data],$DE1062,42),0)</f>
        <v/>
      </c>
      <c r="AT1062">
        <f>IFERROR(INDEX(PP_Grid[#Data],$DE1062,43),0)</f>
        <v/>
      </c>
      <c r="AU1062">
        <f>IFERROR(INDEX(PP_Grid[#Data],$DE1062,44),0)</f>
        <v/>
      </c>
      <c r="AV1062">
        <f>IFERROR(INDEX(PP_Grid[#Data],$DE1062,45),0)</f>
        <v/>
      </c>
      <c r="AW1062">
        <f>IFERROR(INDEX(PP_Grid[#Data],$DE1062,46),0)</f>
        <v/>
      </c>
      <c r="AX1062">
        <f>IFERROR(INDEX(PP_Grid[#Data],$DE1062,47),0)</f>
        <v/>
      </c>
      <c r="AY1062">
        <f>IFERROR(INDEX(PP_Grid[#Data],$DE1062,48),0)</f>
        <v/>
      </c>
      <c r="AZ1062">
        <f>IFERROR(INDEX(PP_Grid[#Data],$DE1062,49),0)</f>
        <v/>
      </c>
      <c r="BA1062">
        <f>IFERROR(INDEX(PP_Grid[#Data],$DE1062,50),0)</f>
        <v/>
      </c>
      <c r="BB1062">
        <f>IFERROR(INDEX(PP_Grid[#Data],$DE1062,51),0)</f>
        <v/>
      </c>
      <c r="BC1062">
        <f>IFERROR(INDEX(PP_Grid[#Data],$DE1062,52),0)</f>
        <v/>
      </c>
      <c r="BD1062">
        <f>IFERROR(INDEX(PP_Grid[#Data],$DE1062,53),0)</f>
        <v/>
      </c>
      <c r="BE1062">
        <f>IFERROR(INDEX(PP_Grid[#Data],$DE1062,54),0)</f>
        <v/>
      </c>
      <c r="BF1062">
        <f>IFERROR(INDEX(PP_Grid[#Data],$DE1062,55),0)</f>
        <v/>
      </c>
      <c r="BG1062">
        <f>IFERROR(INDEX(PP_Grid[#Data],$DE1062,56),0)</f>
        <v/>
      </c>
      <c r="BH1062">
        <f>IFERROR(INDEX(PP_Grid[#Data],$DE1062,57),0)</f>
        <v/>
      </c>
      <c r="BI1062">
        <f>IFERROR(INDEX(PP_Grid[#Data],$DE1062,58),0)</f>
        <v/>
      </c>
      <c r="BJ1062">
        <f>IFERROR(INDEX(PP_Grid[#Data],$DE1062,59),0)</f>
        <v/>
      </c>
      <c r="BK1062">
        <f>IFERROR(INDEX(PP_Grid[#Data],$DE1062,60),0)</f>
        <v/>
      </c>
      <c r="BL1062">
        <f>IFERROR(INDEX(PP_Grid[#Data],$DE1062,61),0)</f>
        <v/>
      </c>
      <c r="BM1062">
        <f>IFERROR(INDEX(PP_Grid[#Data],$DE1062,62),0)</f>
        <v/>
      </c>
      <c r="BN1062">
        <f>IFERROR(INDEX(PP_Grid[#Data],$DE1062,63),0)</f>
        <v/>
      </c>
      <c r="BO1062">
        <f>IFERROR(INDEX(PP_Grid[#Data],$DE1062,64),0)</f>
        <v/>
      </c>
      <c r="BP1062">
        <f>IFERROR(INDEX(PP_Grid[#Data],$DE1062,65),0)</f>
        <v/>
      </c>
      <c r="BQ1062">
        <f>IFERROR(INDEX(PP_Grid[#Data],$DE1062,66),0)</f>
        <v/>
      </c>
      <c r="BR1062">
        <f>IFERROR(INDEX(PP_Grid[#Data],$DE1062,67),0)</f>
        <v/>
      </c>
      <c r="BS1062">
        <f>IFERROR(INDEX(PP_Grid[#Data],$DE1062,68),0)</f>
        <v/>
      </c>
      <c r="BT1062">
        <f>IFERROR(INDEX(PP_Grid[#Data],$DE1062,69),0)</f>
        <v/>
      </c>
      <c r="BU1062">
        <f>IFERROR(INDEX(PP_Grid[#Data],$DE1062,70),0)</f>
        <v/>
      </c>
      <c r="BV1062">
        <f>IFERROR(INDEX(PP_Grid[#Data],$DE1062,71),0)</f>
        <v/>
      </c>
      <c r="BW1062">
        <f>IFERROR(INDEX(PP_Grid[#Data],$DE1062,72),0)</f>
        <v/>
      </c>
      <c r="BX1062">
        <f>IFERROR(INDEX(PP_Grid[#Data],$DE1062,73),0)</f>
        <v/>
      </c>
      <c r="BY1062">
        <f>IFERROR(INDEX(PP_Grid[#Data],$DE1062,74),0)</f>
        <v/>
      </c>
      <c r="BZ1062">
        <f>IFERROR(INDEX(PP_Grid[#Data],$DE1062,75),0)</f>
        <v/>
      </c>
      <c r="CA1062">
        <f>IFERROR(INDEX(PP_Grid[#Data],$DE1062,76),0)</f>
        <v/>
      </c>
      <c r="CB1062">
        <f>IFERROR(INDEX(PP_Grid[#Data],$DE1062,77),0)</f>
        <v/>
      </c>
      <c r="CC1062">
        <f>IFERROR(INDEX(PP_Grid[#Data],$DE1062,78),0)</f>
        <v/>
      </c>
      <c r="CD1062">
        <f>IFERROR(INDEX(PP_Grid[#Data],$DE1062,79),0)</f>
        <v/>
      </c>
      <c r="CE1062">
        <f>IFERROR(INDEX(PP_Grid[#Data],$DE1062,80),0)</f>
        <v/>
      </c>
      <c r="CF1062">
        <f>IFERROR(INDEX(PP_Grid[#Data],$DE1062,81),0)</f>
        <v/>
      </c>
      <c r="CG1062">
        <f>IFERROR(INDEX(PP_Grid[#Data],$DE1062,82),0)</f>
        <v/>
      </c>
      <c r="CH1062">
        <f>IFERROR(INDEX(PP_Grid[#Data],$DE1062,83),0)</f>
        <v/>
      </c>
      <c r="CI1062">
        <f>IFERROR(INDEX(PP_Grid[#Data],$DE1062,84),0)</f>
        <v/>
      </c>
      <c r="CJ1062">
        <f>IFERROR(INDEX(PP_Grid[#Data],$DE1062,85),0)</f>
        <v/>
      </c>
      <c r="CK1062">
        <f>IFERROR(INDEX(PP_Grid[#Data],$DE1062,86),0)</f>
        <v/>
      </c>
      <c r="CL1062">
        <f>IFERROR(INDEX(PP_Grid[#Data],$DE1062,87),0)</f>
        <v/>
      </c>
      <c r="CM1062">
        <f>IFERROR(INDEX(PP_Grid[#Data],$DE1062,88),0)</f>
        <v/>
      </c>
      <c r="CN1062">
        <f>IFERROR(INDEX(PP_Grid[#Data],$DE1062,89),0)</f>
        <v/>
      </c>
      <c r="CO1062">
        <f>IFERROR(INDEX(PP_Grid[#Data],$DE1062,90),0)</f>
        <v/>
      </c>
      <c r="CP1062">
        <f>IFERROR(INDEX(PP_Grid[#Data],$DE1062,91),0)</f>
        <v/>
      </c>
      <c r="CQ1062">
        <f>IFERROR(INDEX(PP_Grid[#Data],$DE1062,92),0)</f>
        <v/>
      </c>
      <c r="CR1062">
        <f>IFERROR(INDEX(PP_Grid[#Data],$DE1062,93),0)</f>
        <v/>
      </c>
      <c r="CS1062">
        <f>IFERROR(INDEX(PP_Grid[#Data],$DE1062,94),0)</f>
        <v/>
      </c>
      <c r="CT1062">
        <f>IFERROR(INDEX(PP_Grid[#Data],$DE1062,95),0)</f>
        <v/>
      </c>
      <c r="CU1062">
        <f>IFERROR(INDEX(PP_Grid[#Data],$DE1062,96),0)</f>
        <v/>
      </c>
      <c r="CV1062">
        <f>IFERROR(INDEX(PP_Grid[#Data],$DE1062,97),0)</f>
        <v/>
      </c>
      <c r="CW1062">
        <f>IFERROR(INDEX(PP_Grid[#Data],$DE1062,98),0)</f>
        <v/>
      </c>
      <c r="CX1062">
        <f>IFERROR(INDEX(PP_Grid[#Data],$DE1062,99),0)</f>
        <v/>
      </c>
      <c r="CY1062">
        <f>IFERROR(INDEX(PP_Grid[#Data],$DE1062,100),0)</f>
        <v/>
      </c>
      <c r="CZ1062">
        <f>IFERROR(INDEX(PP_Grid[#Data],$DE1062,101),0)</f>
        <v/>
      </c>
      <c r="DA1062">
        <f>IFERROR(INDEX(PP_Grid[#Data],$DE1062,102),0)</f>
        <v/>
      </c>
      <c r="DB1062">
        <f>IFERROR(INDEX(PP_Grid[#Data],$DE1062,103),0)</f>
        <v/>
      </c>
      <c r="DC1062">
        <f>IFERROR(INDEX(PP_Grid[#Data],$DE1062,104),0)</f>
        <v/>
      </c>
      <c r="DD1062">
        <f>IFERROR(INDEX(PP_Grid[#Data],$DE1062,105),0)</f>
        <v/>
      </c>
      <c r="DE1062" s="7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SUMIFS(M_BOM[RM_Qty_Per_Batch],M_BOM[Intermediate],$B1062,M_BOM[RM_Code],$A1061)</f>
        <v/>
      </c>
      <c r="D1063">
        <f>IFERROR(INDEX(E1063:DD1063,$F$1),"")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  <c r="DD1063">
        <f>$C1063*DD1062</f>
        <v/>
      </c>
    </row>
    <row r="1064">
      <c r="B1064" t="inlineStr">
        <is>
          <t>TSP-225</t>
        </is>
      </c>
      <c r="C1064" t="inlineStr">
        <is>
          <t>No. of batches</t>
        </is>
      </c>
      <c r="D1064">
        <f>IFERROR(INDEX(E1064:DD1064,$F$1),"")</f>
        <v/>
      </c>
      <c r="E1064">
        <f>IFERROR(INDEX(PP_Grid[#Data],$DE1064,2),0)</f>
        <v/>
      </c>
      <c r="F1064">
        <f>IFERROR(INDEX(PP_Grid[#Data],$DE1064,3),0)</f>
        <v/>
      </c>
      <c r="G1064">
        <f>IFERROR(INDEX(PP_Grid[#Data],$DE1064,4),0)</f>
        <v/>
      </c>
      <c r="H1064">
        <f>IFERROR(INDEX(PP_Grid[#Data],$DE1064,5),0)</f>
        <v/>
      </c>
      <c r="I1064">
        <f>IFERROR(INDEX(PP_Grid[#Data],$DE1064,6),0)</f>
        <v/>
      </c>
      <c r="J1064">
        <f>IFERROR(INDEX(PP_Grid[#Data],$DE1064,7),0)</f>
        <v/>
      </c>
      <c r="K1064">
        <f>IFERROR(INDEX(PP_Grid[#Data],$DE1064,8),0)</f>
        <v/>
      </c>
      <c r="L1064">
        <f>IFERROR(INDEX(PP_Grid[#Data],$DE1064,9),0)</f>
        <v/>
      </c>
      <c r="M1064">
        <f>IFERROR(INDEX(PP_Grid[#Data],$DE1064,10),0)</f>
        <v/>
      </c>
      <c r="N1064">
        <f>IFERROR(INDEX(PP_Grid[#Data],$DE1064,11),0)</f>
        <v/>
      </c>
      <c r="O1064">
        <f>IFERROR(INDEX(PP_Grid[#Data],$DE1064,12),0)</f>
        <v/>
      </c>
      <c r="P1064">
        <f>IFERROR(INDEX(PP_Grid[#Data],$DE1064,13),0)</f>
        <v/>
      </c>
      <c r="Q1064">
        <f>IFERROR(INDEX(PP_Grid[#Data],$DE1064,14),0)</f>
        <v/>
      </c>
      <c r="R1064">
        <f>IFERROR(INDEX(PP_Grid[#Data],$DE1064,15),0)</f>
        <v/>
      </c>
      <c r="S1064">
        <f>IFERROR(INDEX(PP_Grid[#Data],$DE1064,16),0)</f>
        <v/>
      </c>
      <c r="T1064">
        <f>IFERROR(INDEX(PP_Grid[#Data],$DE1064,17),0)</f>
        <v/>
      </c>
      <c r="U1064">
        <f>IFERROR(INDEX(PP_Grid[#Data],$DE1064,18),0)</f>
        <v/>
      </c>
      <c r="V1064">
        <f>IFERROR(INDEX(PP_Grid[#Data],$DE1064,19),0)</f>
        <v/>
      </c>
      <c r="W1064">
        <f>IFERROR(INDEX(PP_Grid[#Data],$DE1064,20),0)</f>
        <v/>
      </c>
      <c r="X1064">
        <f>IFERROR(INDEX(PP_Grid[#Data],$DE1064,21),0)</f>
        <v/>
      </c>
      <c r="Y1064">
        <f>IFERROR(INDEX(PP_Grid[#Data],$DE1064,22),0)</f>
        <v/>
      </c>
      <c r="Z1064">
        <f>IFERROR(INDEX(PP_Grid[#Data],$DE1064,23),0)</f>
        <v/>
      </c>
      <c r="AA1064">
        <f>IFERROR(INDEX(PP_Grid[#Data],$DE1064,24),0)</f>
        <v/>
      </c>
      <c r="AB1064">
        <f>IFERROR(INDEX(PP_Grid[#Data],$DE1064,25),0)</f>
        <v/>
      </c>
      <c r="AC1064">
        <f>IFERROR(INDEX(PP_Grid[#Data],$DE1064,26),0)</f>
        <v/>
      </c>
      <c r="AD1064">
        <f>IFERROR(INDEX(PP_Grid[#Data],$DE1064,27),0)</f>
        <v/>
      </c>
      <c r="AE1064">
        <f>IFERROR(INDEX(PP_Grid[#Data],$DE1064,28),0)</f>
        <v/>
      </c>
      <c r="AF1064">
        <f>IFERROR(INDEX(PP_Grid[#Data],$DE1064,29),0)</f>
        <v/>
      </c>
      <c r="AG1064">
        <f>IFERROR(INDEX(PP_Grid[#Data],$DE1064,30),0)</f>
        <v/>
      </c>
      <c r="AH1064">
        <f>IFERROR(INDEX(PP_Grid[#Data],$DE1064,31),0)</f>
        <v/>
      </c>
      <c r="AI1064">
        <f>IFERROR(INDEX(PP_Grid[#Data],$DE1064,32),0)</f>
        <v/>
      </c>
      <c r="AJ1064">
        <f>IFERROR(INDEX(PP_Grid[#Data],$DE1064,33),0)</f>
        <v/>
      </c>
      <c r="AK1064">
        <f>IFERROR(INDEX(PP_Grid[#Data],$DE1064,34),0)</f>
        <v/>
      </c>
      <c r="AL1064">
        <f>IFERROR(INDEX(PP_Grid[#Data],$DE1064,35),0)</f>
        <v/>
      </c>
      <c r="AM1064">
        <f>IFERROR(INDEX(PP_Grid[#Data],$DE1064,36),0)</f>
        <v/>
      </c>
      <c r="AN1064">
        <f>IFERROR(INDEX(PP_Grid[#Data],$DE1064,37),0)</f>
        <v/>
      </c>
      <c r="AO1064">
        <f>IFERROR(INDEX(PP_Grid[#Data],$DE1064,38),0)</f>
        <v/>
      </c>
      <c r="AP1064">
        <f>IFERROR(INDEX(PP_Grid[#Data],$DE1064,39),0)</f>
        <v/>
      </c>
      <c r="AQ1064">
        <f>IFERROR(INDEX(PP_Grid[#Data],$DE1064,40),0)</f>
        <v/>
      </c>
      <c r="AR1064">
        <f>IFERROR(INDEX(PP_Grid[#Data],$DE1064,41),0)</f>
        <v/>
      </c>
      <c r="AS1064">
        <f>IFERROR(INDEX(PP_Grid[#Data],$DE1064,42),0)</f>
        <v/>
      </c>
      <c r="AT1064">
        <f>IFERROR(INDEX(PP_Grid[#Data],$DE1064,43),0)</f>
        <v/>
      </c>
      <c r="AU1064">
        <f>IFERROR(INDEX(PP_Grid[#Data],$DE1064,44),0)</f>
        <v/>
      </c>
      <c r="AV1064">
        <f>IFERROR(INDEX(PP_Grid[#Data],$DE1064,45),0)</f>
        <v/>
      </c>
      <c r="AW1064">
        <f>IFERROR(INDEX(PP_Grid[#Data],$DE1064,46),0)</f>
        <v/>
      </c>
      <c r="AX1064">
        <f>IFERROR(INDEX(PP_Grid[#Data],$DE1064,47),0)</f>
        <v/>
      </c>
      <c r="AY1064">
        <f>IFERROR(INDEX(PP_Grid[#Data],$DE1064,48),0)</f>
        <v/>
      </c>
      <c r="AZ1064">
        <f>IFERROR(INDEX(PP_Grid[#Data],$DE1064,49),0)</f>
        <v/>
      </c>
      <c r="BA1064">
        <f>IFERROR(INDEX(PP_Grid[#Data],$DE1064,50),0)</f>
        <v/>
      </c>
      <c r="BB1064">
        <f>IFERROR(INDEX(PP_Grid[#Data],$DE1064,51),0)</f>
        <v/>
      </c>
      <c r="BC1064">
        <f>IFERROR(INDEX(PP_Grid[#Data],$DE1064,52),0)</f>
        <v/>
      </c>
      <c r="BD1064">
        <f>IFERROR(INDEX(PP_Grid[#Data],$DE1064,53),0)</f>
        <v/>
      </c>
      <c r="BE1064">
        <f>IFERROR(INDEX(PP_Grid[#Data],$DE1064,54),0)</f>
        <v/>
      </c>
      <c r="BF1064">
        <f>IFERROR(INDEX(PP_Grid[#Data],$DE1064,55),0)</f>
        <v/>
      </c>
      <c r="BG1064">
        <f>IFERROR(INDEX(PP_Grid[#Data],$DE1064,56),0)</f>
        <v/>
      </c>
      <c r="BH1064">
        <f>IFERROR(INDEX(PP_Grid[#Data],$DE1064,57),0)</f>
        <v/>
      </c>
      <c r="BI1064">
        <f>IFERROR(INDEX(PP_Grid[#Data],$DE1064,58),0)</f>
        <v/>
      </c>
      <c r="BJ1064">
        <f>IFERROR(INDEX(PP_Grid[#Data],$DE1064,59),0)</f>
        <v/>
      </c>
      <c r="BK1064">
        <f>IFERROR(INDEX(PP_Grid[#Data],$DE1064,60),0)</f>
        <v/>
      </c>
      <c r="BL1064">
        <f>IFERROR(INDEX(PP_Grid[#Data],$DE1064,61),0)</f>
        <v/>
      </c>
      <c r="BM1064">
        <f>IFERROR(INDEX(PP_Grid[#Data],$DE1064,62),0)</f>
        <v/>
      </c>
      <c r="BN1064">
        <f>IFERROR(INDEX(PP_Grid[#Data],$DE1064,63),0)</f>
        <v/>
      </c>
      <c r="BO1064">
        <f>IFERROR(INDEX(PP_Grid[#Data],$DE1064,64),0)</f>
        <v/>
      </c>
      <c r="BP1064">
        <f>IFERROR(INDEX(PP_Grid[#Data],$DE1064,65),0)</f>
        <v/>
      </c>
      <c r="BQ1064">
        <f>IFERROR(INDEX(PP_Grid[#Data],$DE1064,66),0)</f>
        <v/>
      </c>
      <c r="BR1064">
        <f>IFERROR(INDEX(PP_Grid[#Data],$DE1064,67),0)</f>
        <v/>
      </c>
      <c r="BS1064">
        <f>IFERROR(INDEX(PP_Grid[#Data],$DE1064,68),0)</f>
        <v/>
      </c>
      <c r="BT1064">
        <f>IFERROR(INDEX(PP_Grid[#Data],$DE1064,69),0)</f>
        <v/>
      </c>
      <c r="BU1064">
        <f>IFERROR(INDEX(PP_Grid[#Data],$DE1064,70),0)</f>
        <v/>
      </c>
      <c r="BV1064">
        <f>IFERROR(INDEX(PP_Grid[#Data],$DE1064,71),0)</f>
        <v/>
      </c>
      <c r="BW1064">
        <f>IFERROR(INDEX(PP_Grid[#Data],$DE1064,72),0)</f>
        <v/>
      </c>
      <c r="BX1064">
        <f>IFERROR(INDEX(PP_Grid[#Data],$DE1064,73),0)</f>
        <v/>
      </c>
      <c r="BY1064">
        <f>IFERROR(INDEX(PP_Grid[#Data],$DE1064,74),0)</f>
        <v/>
      </c>
      <c r="BZ1064">
        <f>IFERROR(INDEX(PP_Grid[#Data],$DE1064,75),0)</f>
        <v/>
      </c>
      <c r="CA1064">
        <f>IFERROR(INDEX(PP_Grid[#Data],$DE1064,76),0)</f>
        <v/>
      </c>
      <c r="CB1064">
        <f>IFERROR(INDEX(PP_Grid[#Data],$DE1064,77),0)</f>
        <v/>
      </c>
      <c r="CC1064">
        <f>IFERROR(INDEX(PP_Grid[#Data],$DE1064,78),0)</f>
        <v/>
      </c>
      <c r="CD1064">
        <f>IFERROR(INDEX(PP_Grid[#Data],$DE1064,79),0)</f>
        <v/>
      </c>
      <c r="CE1064">
        <f>IFERROR(INDEX(PP_Grid[#Data],$DE1064,80),0)</f>
        <v/>
      </c>
      <c r="CF1064">
        <f>IFERROR(INDEX(PP_Grid[#Data],$DE1064,81),0)</f>
        <v/>
      </c>
      <c r="CG1064">
        <f>IFERROR(INDEX(PP_Grid[#Data],$DE1064,82),0)</f>
        <v/>
      </c>
      <c r="CH1064">
        <f>IFERROR(INDEX(PP_Grid[#Data],$DE1064,83),0)</f>
        <v/>
      </c>
      <c r="CI1064">
        <f>IFERROR(INDEX(PP_Grid[#Data],$DE1064,84),0)</f>
        <v/>
      </c>
      <c r="CJ1064">
        <f>IFERROR(INDEX(PP_Grid[#Data],$DE1064,85),0)</f>
        <v/>
      </c>
      <c r="CK1064">
        <f>IFERROR(INDEX(PP_Grid[#Data],$DE1064,86),0)</f>
        <v/>
      </c>
      <c r="CL1064">
        <f>IFERROR(INDEX(PP_Grid[#Data],$DE1064,87),0)</f>
        <v/>
      </c>
      <c r="CM1064">
        <f>IFERROR(INDEX(PP_Grid[#Data],$DE1064,88),0)</f>
        <v/>
      </c>
      <c r="CN1064">
        <f>IFERROR(INDEX(PP_Grid[#Data],$DE1064,89),0)</f>
        <v/>
      </c>
      <c r="CO1064">
        <f>IFERROR(INDEX(PP_Grid[#Data],$DE1064,90),0)</f>
        <v/>
      </c>
      <c r="CP1064">
        <f>IFERROR(INDEX(PP_Grid[#Data],$DE1064,91),0)</f>
        <v/>
      </c>
      <c r="CQ1064">
        <f>IFERROR(INDEX(PP_Grid[#Data],$DE1064,92),0)</f>
        <v/>
      </c>
      <c r="CR1064">
        <f>IFERROR(INDEX(PP_Grid[#Data],$DE1064,93),0)</f>
        <v/>
      </c>
      <c r="CS1064">
        <f>IFERROR(INDEX(PP_Grid[#Data],$DE1064,94),0)</f>
        <v/>
      </c>
      <c r="CT1064">
        <f>IFERROR(INDEX(PP_Grid[#Data],$DE1064,95),0)</f>
        <v/>
      </c>
      <c r="CU1064">
        <f>IFERROR(INDEX(PP_Grid[#Data],$DE1064,96),0)</f>
        <v/>
      </c>
      <c r="CV1064">
        <f>IFERROR(INDEX(PP_Grid[#Data],$DE1064,97),0)</f>
        <v/>
      </c>
      <c r="CW1064">
        <f>IFERROR(INDEX(PP_Grid[#Data],$DE1064,98),0)</f>
        <v/>
      </c>
      <c r="CX1064">
        <f>IFERROR(INDEX(PP_Grid[#Data],$DE1064,99),0)</f>
        <v/>
      </c>
      <c r="CY1064">
        <f>IFERROR(INDEX(PP_Grid[#Data],$DE1064,100),0)</f>
        <v/>
      </c>
      <c r="CZ1064">
        <f>IFERROR(INDEX(PP_Grid[#Data],$DE1064,101),0)</f>
        <v/>
      </c>
      <c r="DA1064">
        <f>IFERROR(INDEX(PP_Grid[#Data],$DE1064,102),0)</f>
        <v/>
      </c>
      <c r="DB1064">
        <f>IFERROR(INDEX(PP_Grid[#Data],$DE1064,103),0)</f>
        <v/>
      </c>
      <c r="DC1064">
        <f>IFERROR(INDEX(PP_Grid[#Data],$DE1064,104),0)</f>
        <v/>
      </c>
      <c r="DD1064">
        <f>IFERROR(INDEX(PP_Grid[#Data],$DE1064,105),0)</f>
        <v/>
      </c>
      <c r="DE1064" s="7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SUMIFS(M_BOM[RM_Qty_Per_Batch],M_BOM[Intermediate],$B1064,M_BOM[RM_Code],$A1061)</f>
        <v/>
      </c>
      <c r="D1065">
        <f>IFERROR(INDEX(E1065:DD1065,$F$1),"")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  <c r="DD1065">
        <f>$C1065*DD1064</f>
        <v/>
      </c>
    </row>
    <row r="1066">
      <c r="B1066" s="4" t="inlineStr">
        <is>
          <t>合計使用量(kg)/週</t>
        </is>
      </c>
      <c r="D1066" s="23">
        <f>IFERROR(INDEX(E1066:DD1066,$F$1),"")</f>
        <v/>
      </c>
      <c r="E1066">
        <f>'Grid_Requirement'!B49</f>
        <v/>
      </c>
      <c r="F1066">
        <f>'Grid_Requirement'!C49</f>
        <v/>
      </c>
      <c r="G1066">
        <f>'Grid_Requirement'!D49</f>
        <v/>
      </c>
      <c r="H1066">
        <f>'Grid_Requirement'!E49</f>
        <v/>
      </c>
      <c r="I1066">
        <f>'Grid_Requirement'!F49</f>
        <v/>
      </c>
      <c r="J1066">
        <f>'Grid_Requirement'!G49</f>
        <v/>
      </c>
      <c r="K1066">
        <f>'Grid_Requirement'!H49</f>
        <v/>
      </c>
      <c r="L1066">
        <f>'Grid_Requirement'!I49</f>
        <v/>
      </c>
      <c r="M1066">
        <f>'Grid_Requirement'!J49</f>
        <v/>
      </c>
      <c r="N1066">
        <f>'Grid_Requirement'!K49</f>
        <v/>
      </c>
      <c r="O1066">
        <f>'Grid_Requirement'!L49</f>
        <v/>
      </c>
      <c r="P1066">
        <f>'Grid_Requirement'!M49</f>
        <v/>
      </c>
      <c r="Q1066">
        <f>'Grid_Requirement'!N49</f>
        <v/>
      </c>
      <c r="R1066">
        <f>'Grid_Requirement'!O49</f>
        <v/>
      </c>
      <c r="S1066">
        <f>'Grid_Requirement'!P49</f>
        <v/>
      </c>
      <c r="T1066">
        <f>'Grid_Requirement'!Q49</f>
        <v/>
      </c>
      <c r="U1066">
        <f>'Grid_Requirement'!R49</f>
        <v/>
      </c>
      <c r="V1066">
        <f>'Grid_Requirement'!S49</f>
        <v/>
      </c>
      <c r="W1066">
        <f>'Grid_Requirement'!T49</f>
        <v/>
      </c>
      <c r="X1066">
        <f>'Grid_Requirement'!U49</f>
        <v/>
      </c>
      <c r="Y1066">
        <f>'Grid_Requirement'!V49</f>
        <v/>
      </c>
      <c r="Z1066">
        <f>'Grid_Requirement'!W49</f>
        <v/>
      </c>
      <c r="AA1066">
        <f>'Grid_Requirement'!X49</f>
        <v/>
      </c>
      <c r="AB1066">
        <f>'Grid_Requirement'!Y49</f>
        <v/>
      </c>
      <c r="AC1066">
        <f>'Grid_Requirement'!Z49</f>
        <v/>
      </c>
      <c r="AD1066">
        <f>'Grid_Requirement'!AA49</f>
        <v/>
      </c>
      <c r="AE1066">
        <f>'Grid_Requirement'!AB49</f>
        <v/>
      </c>
      <c r="AF1066">
        <f>'Grid_Requirement'!AC49</f>
        <v/>
      </c>
      <c r="AG1066">
        <f>'Grid_Requirement'!AD49</f>
        <v/>
      </c>
      <c r="AH1066">
        <f>'Grid_Requirement'!AE49</f>
        <v/>
      </c>
      <c r="AI1066">
        <f>'Grid_Requirement'!AF49</f>
        <v/>
      </c>
      <c r="AJ1066">
        <f>'Grid_Requirement'!AG49</f>
        <v/>
      </c>
      <c r="AK1066">
        <f>'Grid_Requirement'!AH49</f>
        <v/>
      </c>
      <c r="AL1066">
        <f>'Grid_Requirement'!AI49</f>
        <v/>
      </c>
      <c r="AM1066">
        <f>'Grid_Requirement'!AJ49</f>
        <v/>
      </c>
      <c r="AN1066">
        <f>'Grid_Requirement'!AK49</f>
        <v/>
      </c>
      <c r="AO1066">
        <f>'Grid_Requirement'!AL49</f>
        <v/>
      </c>
      <c r="AP1066">
        <f>'Grid_Requirement'!AM49</f>
        <v/>
      </c>
      <c r="AQ1066">
        <f>'Grid_Requirement'!AN49</f>
        <v/>
      </c>
      <c r="AR1066">
        <f>'Grid_Requirement'!AO49</f>
        <v/>
      </c>
      <c r="AS1066">
        <f>'Grid_Requirement'!AP49</f>
        <v/>
      </c>
      <c r="AT1066">
        <f>'Grid_Requirement'!AQ49</f>
        <v/>
      </c>
      <c r="AU1066">
        <f>'Grid_Requirement'!AR49</f>
        <v/>
      </c>
      <c r="AV1066">
        <f>'Grid_Requirement'!AS49</f>
        <v/>
      </c>
      <c r="AW1066">
        <f>'Grid_Requirement'!AT49</f>
        <v/>
      </c>
      <c r="AX1066">
        <f>'Grid_Requirement'!AU49</f>
        <v/>
      </c>
      <c r="AY1066">
        <f>'Grid_Requirement'!AV49</f>
        <v/>
      </c>
      <c r="AZ1066">
        <f>'Grid_Requirement'!AW49</f>
        <v/>
      </c>
      <c r="BA1066">
        <f>'Grid_Requirement'!AX49</f>
        <v/>
      </c>
      <c r="BB1066">
        <f>'Grid_Requirement'!AY49</f>
        <v/>
      </c>
      <c r="BC1066">
        <f>'Grid_Requirement'!AZ49</f>
        <v/>
      </c>
      <c r="BD1066">
        <f>'Grid_Requirement'!BA49</f>
        <v/>
      </c>
      <c r="BE1066">
        <f>'Grid_Requirement'!BB49</f>
        <v/>
      </c>
      <c r="BF1066">
        <f>'Grid_Requirement'!BC49</f>
        <v/>
      </c>
      <c r="BG1066">
        <f>'Grid_Requirement'!BD49</f>
        <v/>
      </c>
      <c r="BH1066">
        <f>'Grid_Requirement'!BE49</f>
        <v/>
      </c>
      <c r="BI1066">
        <f>'Grid_Requirement'!BF49</f>
        <v/>
      </c>
      <c r="BJ1066">
        <f>'Grid_Requirement'!BG49</f>
        <v/>
      </c>
      <c r="BK1066">
        <f>'Grid_Requirement'!BH49</f>
        <v/>
      </c>
      <c r="BL1066">
        <f>'Grid_Requirement'!BI49</f>
        <v/>
      </c>
      <c r="BM1066">
        <f>'Grid_Requirement'!BJ49</f>
        <v/>
      </c>
      <c r="BN1066">
        <f>'Grid_Requirement'!BK49</f>
        <v/>
      </c>
      <c r="BO1066">
        <f>'Grid_Requirement'!BL49</f>
        <v/>
      </c>
      <c r="BP1066">
        <f>'Grid_Requirement'!BM49</f>
        <v/>
      </c>
      <c r="BQ1066">
        <f>'Grid_Requirement'!BN49</f>
        <v/>
      </c>
      <c r="BR1066">
        <f>'Grid_Requirement'!BO49</f>
        <v/>
      </c>
      <c r="BS1066">
        <f>'Grid_Requirement'!BP49</f>
        <v/>
      </c>
      <c r="BT1066">
        <f>'Grid_Requirement'!BQ49</f>
        <v/>
      </c>
      <c r="BU1066">
        <f>'Grid_Requirement'!BR49</f>
        <v/>
      </c>
      <c r="BV1066">
        <f>'Grid_Requirement'!BS49</f>
        <v/>
      </c>
      <c r="BW1066">
        <f>'Grid_Requirement'!BT49</f>
        <v/>
      </c>
      <c r="BX1066">
        <f>'Grid_Requirement'!BU49</f>
        <v/>
      </c>
      <c r="BY1066">
        <f>'Grid_Requirement'!BV49</f>
        <v/>
      </c>
      <c r="BZ1066">
        <f>'Grid_Requirement'!BW49</f>
        <v/>
      </c>
      <c r="CA1066">
        <f>'Grid_Requirement'!BX49</f>
        <v/>
      </c>
      <c r="CB1066">
        <f>'Grid_Requirement'!BY49</f>
        <v/>
      </c>
      <c r="CC1066">
        <f>'Grid_Requirement'!BZ49</f>
        <v/>
      </c>
      <c r="CD1066">
        <f>'Grid_Requirement'!CA49</f>
        <v/>
      </c>
      <c r="CE1066">
        <f>'Grid_Requirement'!CB49</f>
        <v/>
      </c>
      <c r="CF1066">
        <f>'Grid_Requirement'!CC49</f>
        <v/>
      </c>
      <c r="CG1066">
        <f>'Grid_Requirement'!CD49</f>
        <v/>
      </c>
      <c r="CH1066">
        <f>'Grid_Requirement'!CE49</f>
        <v/>
      </c>
      <c r="CI1066">
        <f>'Grid_Requirement'!CF49</f>
        <v/>
      </c>
      <c r="CJ1066">
        <f>'Grid_Requirement'!CG49</f>
        <v/>
      </c>
      <c r="CK1066">
        <f>'Grid_Requirement'!CH49</f>
        <v/>
      </c>
      <c r="CL1066">
        <f>'Grid_Requirement'!CI49</f>
        <v/>
      </c>
      <c r="CM1066">
        <f>'Grid_Requirement'!CJ49</f>
        <v/>
      </c>
      <c r="CN1066">
        <f>'Grid_Requirement'!CK49</f>
        <v/>
      </c>
      <c r="CO1066">
        <f>'Grid_Requirement'!CL49</f>
        <v/>
      </c>
      <c r="CP1066">
        <f>'Grid_Requirement'!CM49</f>
        <v/>
      </c>
      <c r="CQ1066">
        <f>'Grid_Requirement'!CN49</f>
        <v/>
      </c>
      <c r="CR1066">
        <f>'Grid_Requirement'!CO49</f>
        <v/>
      </c>
      <c r="CS1066">
        <f>'Grid_Requirement'!CP49</f>
        <v/>
      </c>
      <c r="CT1066">
        <f>'Grid_Requirement'!CQ49</f>
        <v/>
      </c>
      <c r="CU1066">
        <f>'Grid_Requirement'!CR49</f>
        <v/>
      </c>
      <c r="CV1066">
        <f>'Grid_Requirement'!CS49</f>
        <v/>
      </c>
      <c r="CW1066">
        <f>'Grid_Requirement'!CT49</f>
        <v/>
      </c>
      <c r="CX1066">
        <f>'Grid_Requirement'!CU49</f>
        <v/>
      </c>
      <c r="CY1066">
        <f>'Grid_Requirement'!CV49</f>
        <v/>
      </c>
      <c r="CZ1066">
        <f>'Grid_Requirement'!CW49</f>
        <v/>
      </c>
      <c r="DA1066">
        <f>'Grid_Requirement'!CX49</f>
        <v/>
      </c>
      <c r="DB1066">
        <f>'Grid_Requirement'!CY49</f>
        <v/>
      </c>
      <c r="DC1066">
        <f>'Grid_Requirement'!CZ49</f>
        <v/>
      </c>
      <c r="DD1066">
        <f>'Grid_Requirement'!DA49</f>
        <v/>
      </c>
    </row>
    <row r="1067">
      <c r="B1067" t="inlineStr">
        <is>
          <t>TTAF在庫(実績,kg)</t>
        </is>
      </c>
      <c r="D1067">
        <f>IFERROR(INDEX(E1067:DD1067,$F$1),"")</f>
        <v/>
      </c>
      <c r="E1067">
        <f>IFERROR(SUMIFS(T_TTAFStock[TTAF_Qty],T_TTAFStock[RM_Code],$A1061,T_TTAFStock[WeekIndex],1),"")</f>
        <v/>
      </c>
      <c r="F1067">
        <f>IFERROR(SUMIFS(T_TTAFStock[TTAF_Qty],T_TTAFStock[RM_Code],$A1061,T_TTAFStock[WeekIndex],2),"")</f>
        <v/>
      </c>
      <c r="G1067">
        <f>IFERROR(SUMIFS(T_TTAFStock[TTAF_Qty],T_TTAFStock[RM_Code],$A1061,T_TTAFStock[WeekIndex],3),"")</f>
        <v/>
      </c>
      <c r="H1067">
        <f>IFERROR(SUMIFS(T_TTAFStock[TTAF_Qty],T_TTAFStock[RM_Code],$A1061,T_TTAFStock[WeekIndex],4),"")</f>
        <v/>
      </c>
      <c r="I1067">
        <f>IFERROR(SUMIFS(T_TTAFStock[TTAF_Qty],T_TTAFStock[RM_Code],$A1061,T_TTAFStock[WeekIndex],5),"")</f>
        <v/>
      </c>
      <c r="J1067">
        <f>IFERROR(SUMIFS(T_TTAFStock[TTAF_Qty],T_TTAFStock[RM_Code],$A1061,T_TTAFStock[WeekIndex],6),"")</f>
        <v/>
      </c>
      <c r="K1067">
        <f>IFERROR(SUMIFS(T_TTAFStock[TTAF_Qty],T_TTAFStock[RM_Code],$A1061,T_TTAFStock[WeekIndex],7),"")</f>
        <v/>
      </c>
      <c r="L1067">
        <f>IFERROR(SUMIFS(T_TTAFStock[TTAF_Qty],T_TTAFStock[RM_Code],$A1061,T_TTAFStock[WeekIndex],8),"")</f>
        <v/>
      </c>
      <c r="M1067">
        <f>IFERROR(SUMIFS(T_TTAFStock[TTAF_Qty],T_TTAFStock[RM_Code],$A1061,T_TTAFStock[WeekIndex],9),"")</f>
        <v/>
      </c>
      <c r="N1067">
        <f>IFERROR(SUMIFS(T_TTAFStock[TTAF_Qty],T_TTAFStock[RM_Code],$A1061,T_TTAFStock[WeekIndex],10),"")</f>
        <v/>
      </c>
      <c r="O1067">
        <f>IFERROR(SUMIFS(T_TTAFStock[TTAF_Qty],T_TTAFStock[RM_Code],$A1061,T_TTAFStock[WeekIndex],11),"")</f>
        <v/>
      </c>
      <c r="P1067">
        <f>IFERROR(SUMIFS(T_TTAFStock[TTAF_Qty],T_TTAFStock[RM_Code],$A1061,T_TTAFStock[WeekIndex],12),"")</f>
        <v/>
      </c>
      <c r="Q1067">
        <f>IFERROR(SUMIFS(T_TTAFStock[TTAF_Qty],T_TTAFStock[RM_Code],$A1061,T_TTAFStock[WeekIndex],13),"")</f>
        <v/>
      </c>
      <c r="R1067">
        <f>IFERROR(SUMIFS(T_TTAFStock[TTAF_Qty],T_TTAFStock[RM_Code],$A1061,T_TTAFStock[WeekIndex],14),"")</f>
        <v/>
      </c>
      <c r="S1067">
        <f>IFERROR(SUMIFS(T_TTAFStock[TTAF_Qty],T_TTAFStock[RM_Code],$A1061,T_TTAFStock[WeekIndex],15),"")</f>
        <v/>
      </c>
      <c r="T1067">
        <f>IFERROR(SUMIFS(T_TTAFStock[TTAF_Qty],T_TTAFStock[RM_Code],$A1061,T_TTAFStock[WeekIndex],16),"")</f>
        <v/>
      </c>
      <c r="U1067">
        <f>IFERROR(SUMIFS(T_TTAFStock[TTAF_Qty],T_TTAFStock[RM_Code],$A1061,T_TTAFStock[WeekIndex],17),"")</f>
        <v/>
      </c>
      <c r="V1067">
        <f>IFERROR(SUMIFS(T_TTAFStock[TTAF_Qty],T_TTAFStock[RM_Code],$A1061,T_TTAFStock[WeekIndex],18),"")</f>
        <v/>
      </c>
      <c r="W1067">
        <f>IFERROR(SUMIFS(T_TTAFStock[TTAF_Qty],T_TTAFStock[RM_Code],$A1061,T_TTAFStock[WeekIndex],19),"")</f>
        <v/>
      </c>
      <c r="X1067">
        <f>IFERROR(SUMIFS(T_TTAFStock[TTAF_Qty],T_TTAFStock[RM_Code],$A1061,T_TTAFStock[WeekIndex],20),"")</f>
        <v/>
      </c>
      <c r="Y1067">
        <f>IFERROR(SUMIFS(T_TTAFStock[TTAF_Qty],T_TTAFStock[RM_Code],$A1061,T_TTAFStock[WeekIndex],21),"")</f>
        <v/>
      </c>
      <c r="Z1067">
        <f>IFERROR(SUMIFS(T_TTAFStock[TTAF_Qty],T_TTAFStock[RM_Code],$A1061,T_TTAFStock[WeekIndex],22),"")</f>
        <v/>
      </c>
      <c r="AA1067">
        <f>IFERROR(SUMIFS(T_TTAFStock[TTAF_Qty],T_TTAFStock[RM_Code],$A1061,T_TTAFStock[WeekIndex],23),"")</f>
        <v/>
      </c>
      <c r="AB1067">
        <f>IFERROR(SUMIFS(T_TTAFStock[TTAF_Qty],T_TTAFStock[RM_Code],$A1061,T_TTAFStock[WeekIndex],24),"")</f>
        <v/>
      </c>
      <c r="AC1067">
        <f>IFERROR(SUMIFS(T_TTAFStock[TTAF_Qty],T_TTAFStock[RM_Code],$A1061,T_TTAFStock[WeekIndex],25),"")</f>
        <v/>
      </c>
      <c r="AD1067">
        <f>IFERROR(SUMIFS(T_TTAFStock[TTAF_Qty],T_TTAFStock[RM_Code],$A1061,T_TTAFStock[WeekIndex],26),"")</f>
        <v/>
      </c>
      <c r="AE1067">
        <f>IFERROR(SUMIFS(T_TTAFStock[TTAF_Qty],T_TTAFStock[RM_Code],$A1061,T_TTAFStock[WeekIndex],27),"")</f>
        <v/>
      </c>
      <c r="AF1067">
        <f>IFERROR(SUMIFS(T_TTAFStock[TTAF_Qty],T_TTAFStock[RM_Code],$A1061,T_TTAFStock[WeekIndex],28),"")</f>
        <v/>
      </c>
      <c r="AG1067">
        <f>IFERROR(SUMIFS(T_TTAFStock[TTAF_Qty],T_TTAFStock[RM_Code],$A1061,T_TTAFStock[WeekIndex],29),"")</f>
        <v/>
      </c>
      <c r="AH1067">
        <f>IFERROR(SUMIFS(T_TTAFStock[TTAF_Qty],T_TTAFStock[RM_Code],$A1061,T_TTAFStock[WeekIndex],30),"")</f>
        <v/>
      </c>
      <c r="AI1067">
        <f>IFERROR(SUMIFS(T_TTAFStock[TTAF_Qty],T_TTAFStock[RM_Code],$A1061,T_TTAFStock[WeekIndex],31),"")</f>
        <v/>
      </c>
      <c r="AJ1067">
        <f>IFERROR(SUMIFS(T_TTAFStock[TTAF_Qty],T_TTAFStock[RM_Code],$A1061,T_TTAFStock[WeekIndex],32),"")</f>
        <v/>
      </c>
      <c r="AK1067">
        <f>IFERROR(SUMIFS(T_TTAFStock[TTAF_Qty],T_TTAFStock[RM_Code],$A1061,T_TTAFStock[WeekIndex],33),"")</f>
        <v/>
      </c>
      <c r="AL1067">
        <f>IFERROR(SUMIFS(T_TTAFStock[TTAF_Qty],T_TTAFStock[RM_Code],$A1061,T_TTAFStock[WeekIndex],34),"")</f>
        <v/>
      </c>
      <c r="AM1067">
        <f>IFERROR(SUMIFS(T_TTAFStock[TTAF_Qty],T_TTAFStock[RM_Code],$A1061,T_TTAFStock[WeekIndex],35),"")</f>
        <v/>
      </c>
      <c r="AN1067">
        <f>IFERROR(SUMIFS(T_TTAFStock[TTAF_Qty],T_TTAFStock[RM_Code],$A1061,T_TTAFStock[WeekIndex],36),"")</f>
        <v/>
      </c>
      <c r="AO1067">
        <f>IFERROR(SUMIFS(T_TTAFStock[TTAF_Qty],T_TTAFStock[RM_Code],$A1061,T_TTAFStock[WeekIndex],37),"")</f>
        <v/>
      </c>
      <c r="AP1067">
        <f>IFERROR(SUMIFS(T_TTAFStock[TTAF_Qty],T_TTAFStock[RM_Code],$A1061,T_TTAFStock[WeekIndex],38),"")</f>
        <v/>
      </c>
      <c r="AQ1067">
        <f>IFERROR(SUMIFS(T_TTAFStock[TTAF_Qty],T_TTAFStock[RM_Code],$A1061,T_TTAFStock[WeekIndex],39),"")</f>
        <v/>
      </c>
      <c r="AR1067">
        <f>IFERROR(SUMIFS(T_TTAFStock[TTAF_Qty],T_TTAFStock[RM_Code],$A1061,T_TTAFStock[WeekIndex],40),"")</f>
        <v/>
      </c>
      <c r="AS1067">
        <f>IFERROR(SUMIFS(T_TTAFStock[TTAF_Qty],T_TTAFStock[RM_Code],$A1061,T_TTAFStock[WeekIndex],41),"")</f>
        <v/>
      </c>
      <c r="AT1067">
        <f>IFERROR(SUMIFS(T_TTAFStock[TTAF_Qty],T_TTAFStock[RM_Code],$A1061,T_TTAFStock[WeekIndex],42),"")</f>
        <v/>
      </c>
      <c r="AU1067">
        <f>IFERROR(SUMIFS(T_TTAFStock[TTAF_Qty],T_TTAFStock[RM_Code],$A1061,T_TTAFStock[WeekIndex],43),"")</f>
        <v/>
      </c>
      <c r="AV1067">
        <f>IFERROR(SUMIFS(T_TTAFStock[TTAF_Qty],T_TTAFStock[RM_Code],$A1061,T_TTAFStock[WeekIndex],44),"")</f>
        <v/>
      </c>
      <c r="AW1067">
        <f>IFERROR(SUMIFS(T_TTAFStock[TTAF_Qty],T_TTAFStock[RM_Code],$A1061,T_TTAFStock[WeekIndex],45),"")</f>
        <v/>
      </c>
      <c r="AX1067">
        <f>IFERROR(SUMIFS(T_TTAFStock[TTAF_Qty],T_TTAFStock[RM_Code],$A1061,T_TTAFStock[WeekIndex],46),"")</f>
        <v/>
      </c>
      <c r="AY1067">
        <f>IFERROR(SUMIFS(T_TTAFStock[TTAF_Qty],T_TTAFStock[RM_Code],$A1061,T_TTAFStock[WeekIndex],47),"")</f>
        <v/>
      </c>
      <c r="AZ1067">
        <f>IFERROR(SUMIFS(T_TTAFStock[TTAF_Qty],T_TTAFStock[RM_Code],$A1061,T_TTAFStock[WeekIndex],48),"")</f>
        <v/>
      </c>
      <c r="BA1067">
        <f>IFERROR(SUMIFS(T_TTAFStock[TTAF_Qty],T_TTAFStock[RM_Code],$A1061,T_TTAFStock[WeekIndex],49),"")</f>
        <v/>
      </c>
      <c r="BB1067">
        <f>IFERROR(SUMIFS(T_TTAFStock[TTAF_Qty],T_TTAFStock[RM_Code],$A1061,T_TTAFStock[WeekIndex],50),"")</f>
        <v/>
      </c>
      <c r="BC1067">
        <f>IFERROR(SUMIFS(T_TTAFStock[TTAF_Qty],T_TTAFStock[RM_Code],$A1061,T_TTAFStock[WeekIndex],51),"")</f>
        <v/>
      </c>
      <c r="BD1067">
        <f>IFERROR(SUMIFS(T_TTAFStock[TTAF_Qty],T_TTAFStock[RM_Code],$A1061,T_TTAFStock[WeekIndex],52),"")</f>
        <v/>
      </c>
      <c r="BE1067">
        <f>IFERROR(SUMIFS(T_TTAFStock[TTAF_Qty],T_TTAFStock[RM_Code],$A1061,T_TTAFStock[WeekIndex],53),"")</f>
        <v/>
      </c>
      <c r="BF1067">
        <f>IFERROR(SUMIFS(T_TTAFStock[TTAF_Qty],T_TTAFStock[RM_Code],$A1061,T_TTAFStock[WeekIndex],54),"")</f>
        <v/>
      </c>
      <c r="BG1067">
        <f>IFERROR(SUMIFS(T_TTAFStock[TTAF_Qty],T_TTAFStock[RM_Code],$A1061,T_TTAFStock[WeekIndex],55),"")</f>
        <v/>
      </c>
      <c r="BH1067">
        <f>IFERROR(SUMIFS(T_TTAFStock[TTAF_Qty],T_TTAFStock[RM_Code],$A1061,T_TTAFStock[WeekIndex],56),"")</f>
        <v/>
      </c>
      <c r="BI1067">
        <f>IFERROR(SUMIFS(T_TTAFStock[TTAF_Qty],T_TTAFStock[RM_Code],$A1061,T_TTAFStock[WeekIndex],57),"")</f>
        <v/>
      </c>
      <c r="BJ1067">
        <f>IFERROR(SUMIFS(T_TTAFStock[TTAF_Qty],T_TTAFStock[RM_Code],$A1061,T_TTAFStock[WeekIndex],58),"")</f>
        <v/>
      </c>
      <c r="BK1067">
        <f>IFERROR(SUMIFS(T_TTAFStock[TTAF_Qty],T_TTAFStock[RM_Code],$A1061,T_TTAFStock[WeekIndex],59),"")</f>
        <v/>
      </c>
      <c r="BL1067">
        <f>IFERROR(SUMIFS(T_TTAFStock[TTAF_Qty],T_TTAFStock[RM_Code],$A1061,T_TTAFStock[WeekIndex],60),"")</f>
        <v/>
      </c>
      <c r="BM1067">
        <f>IFERROR(SUMIFS(T_TTAFStock[TTAF_Qty],T_TTAFStock[RM_Code],$A1061,T_TTAFStock[WeekIndex],61),"")</f>
        <v/>
      </c>
      <c r="BN1067">
        <f>IFERROR(SUMIFS(T_TTAFStock[TTAF_Qty],T_TTAFStock[RM_Code],$A1061,T_TTAFStock[WeekIndex],62),"")</f>
        <v/>
      </c>
      <c r="BO1067">
        <f>IFERROR(SUMIFS(T_TTAFStock[TTAF_Qty],T_TTAFStock[RM_Code],$A1061,T_TTAFStock[WeekIndex],63),"")</f>
        <v/>
      </c>
      <c r="BP1067">
        <f>IFERROR(SUMIFS(T_TTAFStock[TTAF_Qty],T_TTAFStock[RM_Code],$A1061,T_TTAFStock[WeekIndex],64),"")</f>
        <v/>
      </c>
      <c r="BQ1067">
        <f>IFERROR(SUMIFS(T_TTAFStock[TTAF_Qty],T_TTAFStock[RM_Code],$A1061,T_TTAFStock[WeekIndex],65),"")</f>
        <v/>
      </c>
      <c r="BR1067">
        <f>IFERROR(SUMIFS(T_TTAFStock[TTAF_Qty],T_TTAFStock[RM_Code],$A1061,T_TTAFStock[WeekIndex],66),"")</f>
        <v/>
      </c>
      <c r="BS1067">
        <f>IFERROR(SUMIFS(T_TTAFStock[TTAF_Qty],T_TTAFStock[RM_Code],$A1061,T_TTAFStock[WeekIndex],67),"")</f>
        <v/>
      </c>
      <c r="BT1067">
        <f>IFERROR(SUMIFS(T_TTAFStock[TTAF_Qty],T_TTAFStock[RM_Code],$A1061,T_TTAFStock[WeekIndex],68),"")</f>
        <v/>
      </c>
      <c r="BU1067">
        <f>IFERROR(SUMIFS(T_TTAFStock[TTAF_Qty],T_TTAFStock[RM_Code],$A1061,T_TTAFStock[WeekIndex],69),"")</f>
        <v/>
      </c>
      <c r="BV1067">
        <f>IFERROR(SUMIFS(T_TTAFStock[TTAF_Qty],T_TTAFStock[RM_Code],$A1061,T_TTAFStock[WeekIndex],70),"")</f>
        <v/>
      </c>
      <c r="BW1067">
        <f>IFERROR(SUMIFS(T_TTAFStock[TTAF_Qty],T_TTAFStock[RM_Code],$A1061,T_TTAFStock[WeekIndex],71),"")</f>
        <v/>
      </c>
      <c r="BX1067">
        <f>IFERROR(SUMIFS(T_TTAFStock[TTAF_Qty],T_TTAFStock[RM_Code],$A1061,T_TTAFStock[WeekIndex],72),"")</f>
        <v/>
      </c>
      <c r="BY1067">
        <f>IFERROR(SUMIFS(T_TTAFStock[TTAF_Qty],T_TTAFStock[RM_Code],$A1061,T_TTAFStock[WeekIndex],73),"")</f>
        <v/>
      </c>
      <c r="BZ1067">
        <f>IFERROR(SUMIFS(T_TTAFStock[TTAF_Qty],T_TTAFStock[RM_Code],$A1061,T_TTAFStock[WeekIndex],74),"")</f>
        <v/>
      </c>
      <c r="CA1067">
        <f>IFERROR(SUMIFS(T_TTAFStock[TTAF_Qty],T_TTAFStock[RM_Code],$A1061,T_TTAFStock[WeekIndex],75),"")</f>
        <v/>
      </c>
      <c r="CB1067">
        <f>IFERROR(SUMIFS(T_TTAFStock[TTAF_Qty],T_TTAFStock[RM_Code],$A1061,T_TTAFStock[WeekIndex],76),"")</f>
        <v/>
      </c>
      <c r="CC1067">
        <f>IFERROR(SUMIFS(T_TTAFStock[TTAF_Qty],T_TTAFStock[RM_Code],$A1061,T_TTAFStock[WeekIndex],77),"")</f>
        <v/>
      </c>
      <c r="CD1067">
        <f>IFERROR(SUMIFS(T_TTAFStock[TTAF_Qty],T_TTAFStock[RM_Code],$A1061,T_TTAFStock[WeekIndex],78),"")</f>
        <v/>
      </c>
      <c r="CE1067">
        <f>IFERROR(SUMIFS(T_TTAFStock[TTAF_Qty],T_TTAFStock[RM_Code],$A1061,T_TTAFStock[WeekIndex],79),"")</f>
        <v/>
      </c>
      <c r="CF1067">
        <f>IFERROR(SUMIFS(T_TTAFStock[TTAF_Qty],T_TTAFStock[RM_Code],$A1061,T_TTAFStock[WeekIndex],80),"")</f>
        <v/>
      </c>
      <c r="CG1067">
        <f>IFERROR(SUMIFS(T_TTAFStock[TTAF_Qty],T_TTAFStock[RM_Code],$A1061,T_TTAFStock[WeekIndex],81),"")</f>
        <v/>
      </c>
      <c r="CH1067">
        <f>IFERROR(SUMIFS(T_TTAFStock[TTAF_Qty],T_TTAFStock[RM_Code],$A1061,T_TTAFStock[WeekIndex],82),"")</f>
        <v/>
      </c>
      <c r="CI1067">
        <f>IFERROR(SUMIFS(T_TTAFStock[TTAF_Qty],T_TTAFStock[RM_Code],$A1061,T_TTAFStock[WeekIndex],83),"")</f>
        <v/>
      </c>
      <c r="CJ1067">
        <f>IFERROR(SUMIFS(T_TTAFStock[TTAF_Qty],T_TTAFStock[RM_Code],$A1061,T_TTAFStock[WeekIndex],84),"")</f>
        <v/>
      </c>
      <c r="CK1067">
        <f>IFERROR(SUMIFS(T_TTAFStock[TTAF_Qty],T_TTAFStock[RM_Code],$A1061,T_TTAFStock[WeekIndex],85),"")</f>
        <v/>
      </c>
      <c r="CL1067">
        <f>IFERROR(SUMIFS(T_TTAFStock[TTAF_Qty],T_TTAFStock[RM_Code],$A1061,T_TTAFStock[WeekIndex],86),"")</f>
        <v/>
      </c>
      <c r="CM1067">
        <f>IFERROR(SUMIFS(T_TTAFStock[TTAF_Qty],T_TTAFStock[RM_Code],$A1061,T_TTAFStock[WeekIndex],87),"")</f>
        <v/>
      </c>
      <c r="CN1067">
        <f>IFERROR(SUMIFS(T_TTAFStock[TTAF_Qty],T_TTAFStock[RM_Code],$A1061,T_TTAFStock[WeekIndex],88),"")</f>
        <v/>
      </c>
      <c r="CO1067">
        <f>IFERROR(SUMIFS(T_TTAFStock[TTAF_Qty],T_TTAFStock[RM_Code],$A1061,T_TTAFStock[WeekIndex],89),"")</f>
        <v/>
      </c>
      <c r="CP1067">
        <f>IFERROR(SUMIFS(T_TTAFStock[TTAF_Qty],T_TTAFStock[RM_Code],$A1061,T_TTAFStock[WeekIndex],90),"")</f>
        <v/>
      </c>
      <c r="CQ1067">
        <f>IFERROR(SUMIFS(T_TTAFStock[TTAF_Qty],T_TTAFStock[RM_Code],$A1061,T_TTAFStock[WeekIndex],91),"")</f>
        <v/>
      </c>
      <c r="CR1067">
        <f>IFERROR(SUMIFS(T_TTAFStock[TTAF_Qty],T_TTAFStock[RM_Code],$A1061,T_TTAFStock[WeekIndex],92),"")</f>
        <v/>
      </c>
      <c r="CS1067">
        <f>IFERROR(SUMIFS(T_TTAFStock[TTAF_Qty],T_TTAFStock[RM_Code],$A1061,T_TTAFStock[WeekIndex],93),"")</f>
        <v/>
      </c>
      <c r="CT1067">
        <f>IFERROR(SUMIFS(T_TTAFStock[TTAF_Qty],T_TTAFStock[RM_Code],$A1061,T_TTAFStock[WeekIndex],94),"")</f>
        <v/>
      </c>
      <c r="CU1067">
        <f>IFERROR(SUMIFS(T_TTAFStock[TTAF_Qty],T_TTAFStock[RM_Code],$A1061,T_TTAFStock[WeekIndex],95),"")</f>
        <v/>
      </c>
      <c r="CV1067">
        <f>IFERROR(SUMIFS(T_TTAFStock[TTAF_Qty],T_TTAFStock[RM_Code],$A1061,T_TTAFStock[WeekIndex],96),"")</f>
        <v/>
      </c>
      <c r="CW1067">
        <f>IFERROR(SUMIFS(T_TTAFStock[TTAF_Qty],T_TTAFStock[RM_Code],$A1061,T_TTAFStock[WeekIndex],97),"")</f>
        <v/>
      </c>
      <c r="CX1067">
        <f>IFERROR(SUMIFS(T_TTAFStock[TTAF_Qty],T_TTAFStock[RM_Code],$A1061,T_TTAFStock[WeekIndex],98),"")</f>
        <v/>
      </c>
      <c r="CY1067">
        <f>IFERROR(SUMIFS(T_TTAFStock[TTAF_Qty],T_TTAFStock[RM_Code],$A1061,T_TTAFStock[WeekIndex],99),"")</f>
        <v/>
      </c>
      <c r="CZ1067">
        <f>IFERROR(SUMIFS(T_TTAFStock[TTAF_Qty],T_TTAFStock[RM_Code],$A1061,T_TTAFStock[WeekIndex],100),"")</f>
        <v/>
      </c>
      <c r="DA1067">
        <f>IFERROR(SUMIFS(T_TTAFStock[TTAF_Qty],T_TTAFStock[RM_Code],$A1061,T_TTAFStock[WeekIndex],101),"")</f>
        <v/>
      </c>
      <c r="DB1067">
        <f>IFERROR(SUMIFS(T_TTAFStock[TTAF_Qty],T_TTAFStock[RM_Code],$A1061,T_TTAFStock[WeekIndex],102),"")</f>
        <v/>
      </c>
      <c r="DC1067">
        <f>IFERROR(SUMIFS(T_TTAFStock[TTAF_Qty],T_TTAFStock[RM_Code],$A1061,T_TTAFStock[WeekIndex],103),"")</f>
        <v/>
      </c>
      <c r="DD1067">
        <f>IFERROR(SUMIFS(T_TTAFStock[TTAF_Qty],T_TTAFStock[RM_Code],$A1061,T_TTAFStock[WeekIndex],104),"")</f>
        <v/>
      </c>
    </row>
    <row r="1068">
      <c r="B1068" t="inlineStr">
        <is>
          <t>自社在庫(実績,kg)</t>
        </is>
      </c>
      <c r="D1068">
        <f>IFERROR(INDEX(E1068:DD1068,$F$1),"")</f>
        <v/>
      </c>
      <c r="E1068">
        <f>IFERROR(SUMIFS(T_SelfStock[Self_Qty],T_SelfStock[RM_Code],$A1061,T_SelfStock[WeekIndex],1),"")</f>
        <v/>
      </c>
      <c r="F1068">
        <f>IFERROR(SUMIFS(T_SelfStock[Self_Qty],T_SelfStock[RM_Code],$A1061,T_SelfStock[WeekIndex],2),"")</f>
        <v/>
      </c>
      <c r="G1068">
        <f>IFERROR(SUMIFS(T_SelfStock[Self_Qty],T_SelfStock[RM_Code],$A1061,T_SelfStock[WeekIndex],3),"")</f>
        <v/>
      </c>
      <c r="H1068">
        <f>IFERROR(SUMIFS(T_SelfStock[Self_Qty],T_SelfStock[RM_Code],$A1061,T_SelfStock[WeekIndex],4),"")</f>
        <v/>
      </c>
      <c r="I1068">
        <f>IFERROR(SUMIFS(T_SelfStock[Self_Qty],T_SelfStock[RM_Code],$A1061,T_SelfStock[WeekIndex],5),"")</f>
        <v/>
      </c>
      <c r="J1068">
        <f>IFERROR(SUMIFS(T_SelfStock[Self_Qty],T_SelfStock[RM_Code],$A1061,T_SelfStock[WeekIndex],6),"")</f>
        <v/>
      </c>
      <c r="K1068">
        <f>IFERROR(SUMIFS(T_SelfStock[Self_Qty],T_SelfStock[RM_Code],$A1061,T_SelfStock[WeekIndex],7),"")</f>
        <v/>
      </c>
      <c r="L1068">
        <f>IFERROR(SUMIFS(T_SelfStock[Self_Qty],T_SelfStock[RM_Code],$A1061,T_SelfStock[WeekIndex],8),"")</f>
        <v/>
      </c>
      <c r="M1068">
        <f>IFERROR(SUMIFS(T_SelfStock[Self_Qty],T_SelfStock[RM_Code],$A1061,T_SelfStock[WeekIndex],9),"")</f>
        <v/>
      </c>
      <c r="N1068">
        <f>IFERROR(SUMIFS(T_SelfStock[Self_Qty],T_SelfStock[RM_Code],$A1061,T_SelfStock[WeekIndex],10),"")</f>
        <v/>
      </c>
      <c r="O1068">
        <f>IFERROR(SUMIFS(T_SelfStock[Self_Qty],T_SelfStock[RM_Code],$A1061,T_SelfStock[WeekIndex],11),"")</f>
        <v/>
      </c>
      <c r="P1068">
        <f>IFERROR(SUMIFS(T_SelfStock[Self_Qty],T_SelfStock[RM_Code],$A1061,T_SelfStock[WeekIndex],12),"")</f>
        <v/>
      </c>
      <c r="Q1068">
        <f>IFERROR(SUMIFS(T_SelfStock[Self_Qty],T_SelfStock[RM_Code],$A1061,T_SelfStock[WeekIndex],13),"")</f>
        <v/>
      </c>
      <c r="R1068">
        <f>IFERROR(SUMIFS(T_SelfStock[Self_Qty],T_SelfStock[RM_Code],$A1061,T_SelfStock[WeekIndex],14),"")</f>
        <v/>
      </c>
      <c r="S1068">
        <f>IFERROR(SUMIFS(T_SelfStock[Self_Qty],T_SelfStock[RM_Code],$A1061,T_SelfStock[WeekIndex],15),"")</f>
        <v/>
      </c>
      <c r="T1068">
        <f>IFERROR(SUMIFS(T_SelfStock[Self_Qty],T_SelfStock[RM_Code],$A1061,T_SelfStock[WeekIndex],16),"")</f>
        <v/>
      </c>
      <c r="U1068">
        <f>IFERROR(SUMIFS(T_SelfStock[Self_Qty],T_SelfStock[RM_Code],$A1061,T_SelfStock[WeekIndex],17),"")</f>
        <v/>
      </c>
      <c r="V1068">
        <f>IFERROR(SUMIFS(T_SelfStock[Self_Qty],T_SelfStock[RM_Code],$A1061,T_SelfStock[WeekIndex],18),"")</f>
        <v/>
      </c>
      <c r="W1068">
        <f>IFERROR(SUMIFS(T_SelfStock[Self_Qty],T_SelfStock[RM_Code],$A1061,T_SelfStock[WeekIndex],19),"")</f>
        <v/>
      </c>
      <c r="X1068">
        <f>IFERROR(SUMIFS(T_SelfStock[Self_Qty],T_SelfStock[RM_Code],$A1061,T_SelfStock[WeekIndex],20),"")</f>
        <v/>
      </c>
      <c r="Y1068">
        <f>IFERROR(SUMIFS(T_SelfStock[Self_Qty],T_SelfStock[RM_Code],$A1061,T_SelfStock[WeekIndex],21),"")</f>
        <v/>
      </c>
      <c r="Z1068">
        <f>IFERROR(SUMIFS(T_SelfStock[Self_Qty],T_SelfStock[RM_Code],$A1061,T_SelfStock[WeekIndex],22),"")</f>
        <v/>
      </c>
      <c r="AA1068">
        <f>IFERROR(SUMIFS(T_SelfStock[Self_Qty],T_SelfStock[RM_Code],$A1061,T_SelfStock[WeekIndex],23),"")</f>
        <v/>
      </c>
      <c r="AB1068">
        <f>IFERROR(SUMIFS(T_SelfStock[Self_Qty],T_SelfStock[RM_Code],$A1061,T_SelfStock[WeekIndex],24),"")</f>
        <v/>
      </c>
      <c r="AC1068">
        <f>IFERROR(SUMIFS(T_SelfStock[Self_Qty],T_SelfStock[RM_Code],$A1061,T_SelfStock[WeekIndex],25),"")</f>
        <v/>
      </c>
      <c r="AD1068">
        <f>IFERROR(SUMIFS(T_SelfStock[Self_Qty],T_SelfStock[RM_Code],$A1061,T_SelfStock[WeekIndex],26),"")</f>
        <v/>
      </c>
      <c r="AE1068">
        <f>IFERROR(SUMIFS(T_SelfStock[Self_Qty],T_SelfStock[RM_Code],$A1061,T_SelfStock[WeekIndex],27),"")</f>
        <v/>
      </c>
      <c r="AF1068">
        <f>IFERROR(SUMIFS(T_SelfStock[Self_Qty],T_SelfStock[RM_Code],$A1061,T_SelfStock[WeekIndex],28),"")</f>
        <v/>
      </c>
      <c r="AG1068">
        <f>IFERROR(SUMIFS(T_SelfStock[Self_Qty],T_SelfStock[RM_Code],$A1061,T_SelfStock[WeekIndex],29),"")</f>
        <v/>
      </c>
      <c r="AH1068">
        <f>IFERROR(SUMIFS(T_SelfStock[Self_Qty],T_SelfStock[RM_Code],$A1061,T_SelfStock[WeekIndex],30),"")</f>
        <v/>
      </c>
      <c r="AI1068">
        <f>IFERROR(SUMIFS(T_SelfStock[Self_Qty],T_SelfStock[RM_Code],$A1061,T_SelfStock[WeekIndex],31),"")</f>
        <v/>
      </c>
      <c r="AJ1068">
        <f>IFERROR(SUMIFS(T_SelfStock[Self_Qty],T_SelfStock[RM_Code],$A1061,T_SelfStock[WeekIndex],32),"")</f>
        <v/>
      </c>
      <c r="AK1068">
        <f>IFERROR(SUMIFS(T_SelfStock[Self_Qty],T_SelfStock[RM_Code],$A1061,T_SelfStock[WeekIndex],33),"")</f>
        <v/>
      </c>
      <c r="AL1068">
        <f>IFERROR(SUMIFS(T_SelfStock[Self_Qty],T_SelfStock[RM_Code],$A1061,T_SelfStock[WeekIndex],34),"")</f>
        <v/>
      </c>
      <c r="AM1068">
        <f>IFERROR(SUMIFS(T_SelfStock[Self_Qty],T_SelfStock[RM_Code],$A1061,T_SelfStock[WeekIndex],35),"")</f>
        <v/>
      </c>
      <c r="AN1068">
        <f>IFERROR(SUMIFS(T_SelfStock[Self_Qty],T_SelfStock[RM_Code],$A1061,T_SelfStock[WeekIndex],36),"")</f>
        <v/>
      </c>
      <c r="AO1068">
        <f>IFERROR(SUMIFS(T_SelfStock[Self_Qty],T_SelfStock[RM_Code],$A1061,T_SelfStock[WeekIndex],37),"")</f>
        <v/>
      </c>
      <c r="AP1068">
        <f>IFERROR(SUMIFS(T_SelfStock[Self_Qty],T_SelfStock[RM_Code],$A1061,T_SelfStock[WeekIndex],38),"")</f>
        <v/>
      </c>
      <c r="AQ1068">
        <f>IFERROR(SUMIFS(T_SelfStock[Self_Qty],T_SelfStock[RM_Code],$A1061,T_SelfStock[WeekIndex],39),"")</f>
        <v/>
      </c>
      <c r="AR1068">
        <f>IFERROR(SUMIFS(T_SelfStock[Self_Qty],T_SelfStock[RM_Code],$A1061,T_SelfStock[WeekIndex],40),"")</f>
        <v/>
      </c>
      <c r="AS1068">
        <f>IFERROR(SUMIFS(T_SelfStock[Self_Qty],T_SelfStock[RM_Code],$A1061,T_SelfStock[WeekIndex],41),"")</f>
        <v/>
      </c>
      <c r="AT1068">
        <f>IFERROR(SUMIFS(T_SelfStock[Self_Qty],T_SelfStock[RM_Code],$A1061,T_SelfStock[WeekIndex],42),"")</f>
        <v/>
      </c>
      <c r="AU1068">
        <f>IFERROR(SUMIFS(T_SelfStock[Self_Qty],T_SelfStock[RM_Code],$A1061,T_SelfStock[WeekIndex],43),"")</f>
        <v/>
      </c>
      <c r="AV1068">
        <f>IFERROR(SUMIFS(T_SelfStock[Self_Qty],T_SelfStock[RM_Code],$A1061,T_SelfStock[WeekIndex],44),"")</f>
        <v/>
      </c>
      <c r="AW1068">
        <f>IFERROR(SUMIFS(T_SelfStock[Self_Qty],T_SelfStock[RM_Code],$A1061,T_SelfStock[WeekIndex],45),"")</f>
        <v/>
      </c>
      <c r="AX1068">
        <f>IFERROR(SUMIFS(T_SelfStock[Self_Qty],T_SelfStock[RM_Code],$A1061,T_SelfStock[WeekIndex],46),"")</f>
        <v/>
      </c>
      <c r="AY1068">
        <f>IFERROR(SUMIFS(T_SelfStock[Self_Qty],T_SelfStock[RM_Code],$A1061,T_SelfStock[WeekIndex],47),"")</f>
        <v/>
      </c>
      <c r="AZ1068">
        <f>IFERROR(SUMIFS(T_SelfStock[Self_Qty],T_SelfStock[RM_Code],$A1061,T_SelfStock[WeekIndex],48),"")</f>
        <v/>
      </c>
      <c r="BA1068">
        <f>IFERROR(SUMIFS(T_SelfStock[Self_Qty],T_SelfStock[RM_Code],$A1061,T_SelfStock[WeekIndex],49),"")</f>
        <v/>
      </c>
      <c r="BB1068">
        <f>IFERROR(SUMIFS(T_SelfStock[Self_Qty],T_SelfStock[RM_Code],$A1061,T_SelfStock[WeekIndex],50),"")</f>
        <v/>
      </c>
      <c r="BC1068">
        <f>IFERROR(SUMIFS(T_SelfStock[Self_Qty],T_SelfStock[RM_Code],$A1061,T_SelfStock[WeekIndex],51),"")</f>
        <v/>
      </c>
      <c r="BD1068">
        <f>IFERROR(SUMIFS(T_SelfStock[Self_Qty],T_SelfStock[RM_Code],$A1061,T_SelfStock[WeekIndex],52),"")</f>
        <v/>
      </c>
      <c r="BE1068">
        <f>IFERROR(SUMIFS(T_SelfStock[Self_Qty],T_SelfStock[RM_Code],$A1061,T_SelfStock[WeekIndex],53),"")</f>
        <v/>
      </c>
      <c r="BF1068">
        <f>IFERROR(SUMIFS(T_SelfStock[Self_Qty],T_SelfStock[RM_Code],$A1061,T_SelfStock[WeekIndex],54),"")</f>
        <v/>
      </c>
      <c r="BG1068">
        <f>IFERROR(SUMIFS(T_SelfStock[Self_Qty],T_SelfStock[RM_Code],$A1061,T_SelfStock[WeekIndex],55),"")</f>
        <v/>
      </c>
      <c r="BH1068">
        <f>IFERROR(SUMIFS(T_SelfStock[Self_Qty],T_SelfStock[RM_Code],$A1061,T_SelfStock[WeekIndex],56),"")</f>
        <v/>
      </c>
      <c r="BI1068">
        <f>IFERROR(SUMIFS(T_SelfStock[Self_Qty],T_SelfStock[RM_Code],$A1061,T_SelfStock[WeekIndex],57),"")</f>
        <v/>
      </c>
      <c r="BJ1068">
        <f>IFERROR(SUMIFS(T_SelfStock[Self_Qty],T_SelfStock[RM_Code],$A1061,T_SelfStock[WeekIndex],58),"")</f>
        <v/>
      </c>
      <c r="BK1068">
        <f>IFERROR(SUMIFS(T_SelfStock[Self_Qty],T_SelfStock[RM_Code],$A1061,T_SelfStock[WeekIndex],59),"")</f>
        <v/>
      </c>
      <c r="BL1068">
        <f>IFERROR(SUMIFS(T_SelfStock[Self_Qty],T_SelfStock[RM_Code],$A1061,T_SelfStock[WeekIndex],60),"")</f>
        <v/>
      </c>
      <c r="BM1068">
        <f>IFERROR(SUMIFS(T_SelfStock[Self_Qty],T_SelfStock[RM_Code],$A1061,T_SelfStock[WeekIndex],61),"")</f>
        <v/>
      </c>
      <c r="BN1068">
        <f>IFERROR(SUMIFS(T_SelfStock[Self_Qty],T_SelfStock[RM_Code],$A1061,T_SelfStock[WeekIndex],62),"")</f>
        <v/>
      </c>
      <c r="BO1068">
        <f>IFERROR(SUMIFS(T_SelfStock[Self_Qty],T_SelfStock[RM_Code],$A1061,T_SelfStock[WeekIndex],63),"")</f>
        <v/>
      </c>
      <c r="BP1068">
        <f>IFERROR(SUMIFS(T_SelfStock[Self_Qty],T_SelfStock[RM_Code],$A1061,T_SelfStock[WeekIndex],64),"")</f>
        <v/>
      </c>
      <c r="BQ1068">
        <f>IFERROR(SUMIFS(T_SelfStock[Self_Qty],T_SelfStock[RM_Code],$A1061,T_SelfStock[WeekIndex],65),"")</f>
        <v/>
      </c>
      <c r="BR1068">
        <f>IFERROR(SUMIFS(T_SelfStock[Self_Qty],T_SelfStock[RM_Code],$A1061,T_SelfStock[WeekIndex],66),"")</f>
        <v/>
      </c>
      <c r="BS1068">
        <f>IFERROR(SUMIFS(T_SelfStock[Self_Qty],T_SelfStock[RM_Code],$A1061,T_SelfStock[WeekIndex],67),"")</f>
        <v/>
      </c>
      <c r="BT1068">
        <f>IFERROR(SUMIFS(T_SelfStock[Self_Qty],T_SelfStock[RM_Code],$A1061,T_SelfStock[WeekIndex],68),"")</f>
        <v/>
      </c>
      <c r="BU1068">
        <f>IFERROR(SUMIFS(T_SelfStock[Self_Qty],T_SelfStock[RM_Code],$A1061,T_SelfStock[WeekIndex],69),"")</f>
        <v/>
      </c>
      <c r="BV1068">
        <f>IFERROR(SUMIFS(T_SelfStock[Self_Qty],T_SelfStock[RM_Code],$A1061,T_SelfStock[WeekIndex],70),"")</f>
        <v/>
      </c>
      <c r="BW1068">
        <f>IFERROR(SUMIFS(T_SelfStock[Self_Qty],T_SelfStock[RM_Code],$A1061,T_SelfStock[WeekIndex],71),"")</f>
        <v/>
      </c>
      <c r="BX1068">
        <f>IFERROR(SUMIFS(T_SelfStock[Self_Qty],T_SelfStock[RM_Code],$A1061,T_SelfStock[WeekIndex],72),"")</f>
        <v/>
      </c>
      <c r="BY1068">
        <f>IFERROR(SUMIFS(T_SelfStock[Self_Qty],T_SelfStock[RM_Code],$A1061,T_SelfStock[WeekIndex],73),"")</f>
        <v/>
      </c>
      <c r="BZ1068">
        <f>IFERROR(SUMIFS(T_SelfStock[Self_Qty],T_SelfStock[RM_Code],$A1061,T_SelfStock[WeekIndex],74),"")</f>
        <v/>
      </c>
      <c r="CA1068">
        <f>IFERROR(SUMIFS(T_SelfStock[Self_Qty],T_SelfStock[RM_Code],$A1061,T_SelfStock[WeekIndex],75),"")</f>
        <v/>
      </c>
      <c r="CB1068">
        <f>IFERROR(SUMIFS(T_SelfStock[Self_Qty],T_SelfStock[RM_Code],$A1061,T_SelfStock[WeekIndex],76),"")</f>
        <v/>
      </c>
      <c r="CC1068">
        <f>IFERROR(SUMIFS(T_SelfStock[Self_Qty],T_SelfStock[RM_Code],$A1061,T_SelfStock[WeekIndex],77),"")</f>
        <v/>
      </c>
      <c r="CD1068">
        <f>IFERROR(SUMIFS(T_SelfStock[Self_Qty],T_SelfStock[RM_Code],$A1061,T_SelfStock[WeekIndex],78),"")</f>
        <v/>
      </c>
      <c r="CE1068">
        <f>IFERROR(SUMIFS(T_SelfStock[Self_Qty],T_SelfStock[RM_Code],$A1061,T_SelfStock[WeekIndex],79),"")</f>
        <v/>
      </c>
      <c r="CF1068">
        <f>IFERROR(SUMIFS(T_SelfStock[Self_Qty],T_SelfStock[RM_Code],$A1061,T_SelfStock[WeekIndex],80),"")</f>
        <v/>
      </c>
      <c r="CG1068">
        <f>IFERROR(SUMIFS(T_SelfStock[Self_Qty],T_SelfStock[RM_Code],$A1061,T_SelfStock[WeekIndex],81),"")</f>
        <v/>
      </c>
      <c r="CH1068">
        <f>IFERROR(SUMIFS(T_SelfStock[Self_Qty],T_SelfStock[RM_Code],$A1061,T_SelfStock[WeekIndex],82),"")</f>
        <v/>
      </c>
      <c r="CI1068">
        <f>IFERROR(SUMIFS(T_SelfStock[Self_Qty],T_SelfStock[RM_Code],$A1061,T_SelfStock[WeekIndex],83),"")</f>
        <v/>
      </c>
      <c r="CJ1068">
        <f>IFERROR(SUMIFS(T_SelfStock[Self_Qty],T_SelfStock[RM_Code],$A1061,T_SelfStock[WeekIndex],84),"")</f>
        <v/>
      </c>
      <c r="CK1068">
        <f>IFERROR(SUMIFS(T_SelfStock[Self_Qty],T_SelfStock[RM_Code],$A1061,T_SelfStock[WeekIndex],85),"")</f>
        <v/>
      </c>
      <c r="CL1068">
        <f>IFERROR(SUMIFS(T_SelfStock[Self_Qty],T_SelfStock[RM_Code],$A1061,T_SelfStock[WeekIndex],86),"")</f>
        <v/>
      </c>
      <c r="CM1068">
        <f>IFERROR(SUMIFS(T_SelfStock[Self_Qty],T_SelfStock[RM_Code],$A1061,T_SelfStock[WeekIndex],87),"")</f>
        <v/>
      </c>
      <c r="CN1068">
        <f>IFERROR(SUMIFS(T_SelfStock[Self_Qty],T_SelfStock[RM_Code],$A1061,T_SelfStock[WeekIndex],88),"")</f>
        <v/>
      </c>
      <c r="CO1068">
        <f>IFERROR(SUMIFS(T_SelfStock[Self_Qty],T_SelfStock[RM_Code],$A1061,T_SelfStock[WeekIndex],89),"")</f>
        <v/>
      </c>
      <c r="CP1068">
        <f>IFERROR(SUMIFS(T_SelfStock[Self_Qty],T_SelfStock[RM_Code],$A1061,T_SelfStock[WeekIndex],90),"")</f>
        <v/>
      </c>
      <c r="CQ1068">
        <f>IFERROR(SUMIFS(T_SelfStock[Self_Qty],T_SelfStock[RM_Code],$A1061,T_SelfStock[WeekIndex],91),"")</f>
        <v/>
      </c>
      <c r="CR1068">
        <f>IFERROR(SUMIFS(T_SelfStock[Self_Qty],T_SelfStock[RM_Code],$A1061,T_SelfStock[WeekIndex],92),"")</f>
        <v/>
      </c>
      <c r="CS1068">
        <f>IFERROR(SUMIFS(T_SelfStock[Self_Qty],T_SelfStock[RM_Code],$A1061,T_SelfStock[WeekIndex],93),"")</f>
        <v/>
      </c>
      <c r="CT1068">
        <f>IFERROR(SUMIFS(T_SelfStock[Self_Qty],T_SelfStock[RM_Code],$A1061,T_SelfStock[WeekIndex],94),"")</f>
        <v/>
      </c>
      <c r="CU1068">
        <f>IFERROR(SUMIFS(T_SelfStock[Self_Qty],T_SelfStock[RM_Code],$A1061,T_SelfStock[WeekIndex],95),"")</f>
        <v/>
      </c>
      <c r="CV1068">
        <f>IFERROR(SUMIFS(T_SelfStock[Self_Qty],T_SelfStock[RM_Code],$A1061,T_SelfStock[WeekIndex],96),"")</f>
        <v/>
      </c>
      <c r="CW1068">
        <f>IFERROR(SUMIFS(T_SelfStock[Self_Qty],T_SelfStock[RM_Code],$A1061,T_SelfStock[WeekIndex],97),"")</f>
        <v/>
      </c>
      <c r="CX1068">
        <f>IFERROR(SUMIFS(T_SelfStock[Self_Qty],T_SelfStock[RM_Code],$A1061,T_SelfStock[WeekIndex],98),"")</f>
        <v/>
      </c>
      <c r="CY1068">
        <f>IFERROR(SUMIFS(T_SelfStock[Self_Qty],T_SelfStock[RM_Code],$A1061,T_SelfStock[WeekIndex],99),"")</f>
        <v/>
      </c>
      <c r="CZ1068">
        <f>IFERROR(SUMIFS(T_SelfStock[Self_Qty],T_SelfStock[RM_Code],$A1061,T_SelfStock[WeekIndex],100),"")</f>
        <v/>
      </c>
      <c r="DA1068">
        <f>IFERROR(SUMIFS(T_SelfStock[Self_Qty],T_SelfStock[RM_Code],$A1061,T_SelfStock[WeekIndex],101),"")</f>
        <v/>
      </c>
      <c r="DB1068">
        <f>IFERROR(SUMIFS(T_SelfStock[Self_Qty],T_SelfStock[RM_Code],$A1061,T_SelfStock[WeekIndex],102),"")</f>
        <v/>
      </c>
      <c r="DC1068">
        <f>IFERROR(SUMIFS(T_SelfStock[Self_Qty],T_SelfStock[RM_Code],$A1061,T_SelfStock[WeekIndex],103),"")</f>
        <v/>
      </c>
      <c r="DD1068">
        <f>IFERROR(SUMIFS(T_SelfStock[Self_Qty],T_SelfStock[RM_Code],$A1061,T_SelfStock[WeekIndex],104),"")</f>
        <v/>
      </c>
    </row>
    <row r="1069">
      <c r="B1069" s="4" t="inlineStr">
        <is>
          <t>合計在庫(週末時点,kg)</t>
        </is>
      </c>
      <c r="D1069" s="24">
        <f>IFERROR(INDEX(E1069:DD1069,$F$1),"")</f>
        <v/>
      </c>
      <c r="E1069">
        <f>'Grid_Stock'!B49</f>
        <v/>
      </c>
      <c r="F1069">
        <f>'Grid_Stock'!C49</f>
        <v/>
      </c>
      <c r="G1069">
        <f>'Grid_Stock'!D49</f>
        <v/>
      </c>
      <c r="H1069">
        <f>'Grid_Stock'!E49</f>
        <v/>
      </c>
      <c r="I1069">
        <f>'Grid_Stock'!F49</f>
        <v/>
      </c>
      <c r="J1069">
        <f>'Grid_Stock'!G49</f>
        <v/>
      </c>
      <c r="K1069">
        <f>'Grid_Stock'!H49</f>
        <v/>
      </c>
      <c r="L1069">
        <f>'Grid_Stock'!I49</f>
        <v/>
      </c>
      <c r="M1069">
        <f>'Grid_Stock'!J49</f>
        <v/>
      </c>
      <c r="N1069">
        <f>'Grid_Stock'!K49</f>
        <v/>
      </c>
      <c r="O1069">
        <f>'Grid_Stock'!L49</f>
        <v/>
      </c>
      <c r="P1069">
        <f>'Grid_Stock'!M49</f>
        <v/>
      </c>
      <c r="Q1069">
        <f>'Grid_Stock'!N49</f>
        <v/>
      </c>
      <c r="R1069">
        <f>'Grid_Stock'!O49</f>
        <v/>
      </c>
      <c r="S1069">
        <f>'Grid_Stock'!P49</f>
        <v/>
      </c>
      <c r="T1069">
        <f>'Grid_Stock'!Q49</f>
        <v/>
      </c>
      <c r="U1069">
        <f>'Grid_Stock'!R49</f>
        <v/>
      </c>
      <c r="V1069">
        <f>'Grid_Stock'!S49</f>
        <v/>
      </c>
      <c r="W1069">
        <f>'Grid_Stock'!T49</f>
        <v/>
      </c>
      <c r="X1069">
        <f>'Grid_Stock'!U49</f>
        <v/>
      </c>
      <c r="Y1069">
        <f>'Grid_Stock'!V49</f>
        <v/>
      </c>
      <c r="Z1069">
        <f>'Grid_Stock'!W49</f>
        <v/>
      </c>
      <c r="AA1069">
        <f>'Grid_Stock'!X49</f>
        <v/>
      </c>
      <c r="AB1069">
        <f>'Grid_Stock'!Y49</f>
        <v/>
      </c>
      <c r="AC1069">
        <f>'Grid_Stock'!Z49</f>
        <v/>
      </c>
      <c r="AD1069">
        <f>'Grid_Stock'!AA49</f>
        <v/>
      </c>
      <c r="AE1069">
        <f>'Grid_Stock'!AB49</f>
        <v/>
      </c>
      <c r="AF1069">
        <f>'Grid_Stock'!AC49</f>
        <v/>
      </c>
      <c r="AG1069">
        <f>'Grid_Stock'!AD49</f>
        <v/>
      </c>
      <c r="AH1069">
        <f>'Grid_Stock'!AE49</f>
        <v/>
      </c>
      <c r="AI1069">
        <f>'Grid_Stock'!AF49</f>
        <v/>
      </c>
      <c r="AJ1069">
        <f>'Grid_Stock'!AG49</f>
        <v/>
      </c>
      <c r="AK1069">
        <f>'Grid_Stock'!AH49</f>
        <v/>
      </c>
      <c r="AL1069">
        <f>'Grid_Stock'!AI49</f>
        <v/>
      </c>
      <c r="AM1069">
        <f>'Grid_Stock'!AJ49</f>
        <v/>
      </c>
      <c r="AN1069">
        <f>'Grid_Stock'!AK49</f>
        <v/>
      </c>
      <c r="AO1069">
        <f>'Grid_Stock'!AL49</f>
        <v/>
      </c>
      <c r="AP1069">
        <f>'Grid_Stock'!AM49</f>
        <v/>
      </c>
      <c r="AQ1069">
        <f>'Grid_Stock'!AN49</f>
        <v/>
      </c>
      <c r="AR1069">
        <f>'Grid_Stock'!AO49</f>
        <v/>
      </c>
      <c r="AS1069">
        <f>'Grid_Stock'!AP49</f>
        <v/>
      </c>
      <c r="AT1069">
        <f>'Grid_Stock'!AQ49</f>
        <v/>
      </c>
      <c r="AU1069">
        <f>'Grid_Stock'!AR49</f>
        <v/>
      </c>
      <c r="AV1069">
        <f>'Grid_Stock'!AS49</f>
        <v/>
      </c>
      <c r="AW1069">
        <f>'Grid_Stock'!AT49</f>
        <v/>
      </c>
      <c r="AX1069">
        <f>'Grid_Stock'!AU49</f>
        <v/>
      </c>
      <c r="AY1069">
        <f>'Grid_Stock'!AV49</f>
        <v/>
      </c>
      <c r="AZ1069">
        <f>'Grid_Stock'!AW49</f>
        <v/>
      </c>
      <c r="BA1069">
        <f>'Grid_Stock'!AX49</f>
        <v/>
      </c>
      <c r="BB1069">
        <f>'Grid_Stock'!AY49</f>
        <v/>
      </c>
      <c r="BC1069">
        <f>'Grid_Stock'!AZ49</f>
        <v/>
      </c>
      <c r="BD1069">
        <f>'Grid_Stock'!BA49</f>
        <v/>
      </c>
      <c r="BE1069">
        <f>'Grid_Stock'!BB49</f>
        <v/>
      </c>
      <c r="BF1069">
        <f>'Grid_Stock'!BC49</f>
        <v/>
      </c>
      <c r="BG1069">
        <f>'Grid_Stock'!BD49</f>
        <v/>
      </c>
      <c r="BH1069">
        <f>'Grid_Stock'!BE49</f>
        <v/>
      </c>
      <c r="BI1069">
        <f>'Grid_Stock'!BF49</f>
        <v/>
      </c>
      <c r="BJ1069">
        <f>'Grid_Stock'!BG49</f>
        <v/>
      </c>
      <c r="BK1069">
        <f>'Grid_Stock'!BH49</f>
        <v/>
      </c>
      <c r="BL1069">
        <f>'Grid_Stock'!BI49</f>
        <v/>
      </c>
      <c r="BM1069">
        <f>'Grid_Stock'!BJ49</f>
        <v/>
      </c>
      <c r="BN1069">
        <f>'Grid_Stock'!BK49</f>
        <v/>
      </c>
      <c r="BO1069">
        <f>'Grid_Stock'!BL49</f>
        <v/>
      </c>
      <c r="BP1069">
        <f>'Grid_Stock'!BM49</f>
        <v/>
      </c>
      <c r="BQ1069">
        <f>'Grid_Stock'!BN49</f>
        <v/>
      </c>
      <c r="BR1069">
        <f>'Grid_Stock'!BO49</f>
        <v/>
      </c>
      <c r="BS1069">
        <f>'Grid_Stock'!BP49</f>
        <v/>
      </c>
      <c r="BT1069">
        <f>'Grid_Stock'!BQ49</f>
        <v/>
      </c>
      <c r="BU1069">
        <f>'Grid_Stock'!BR49</f>
        <v/>
      </c>
      <c r="BV1069">
        <f>'Grid_Stock'!BS49</f>
        <v/>
      </c>
      <c r="BW1069">
        <f>'Grid_Stock'!BT49</f>
        <v/>
      </c>
      <c r="BX1069">
        <f>'Grid_Stock'!BU49</f>
        <v/>
      </c>
      <c r="BY1069">
        <f>'Grid_Stock'!BV49</f>
        <v/>
      </c>
      <c r="BZ1069">
        <f>'Grid_Stock'!BW49</f>
        <v/>
      </c>
      <c r="CA1069">
        <f>'Grid_Stock'!BX49</f>
        <v/>
      </c>
      <c r="CB1069">
        <f>'Grid_Stock'!BY49</f>
        <v/>
      </c>
      <c r="CC1069">
        <f>'Grid_Stock'!BZ49</f>
        <v/>
      </c>
      <c r="CD1069">
        <f>'Grid_Stock'!CA49</f>
        <v/>
      </c>
      <c r="CE1069">
        <f>'Grid_Stock'!CB49</f>
        <v/>
      </c>
      <c r="CF1069">
        <f>'Grid_Stock'!CC49</f>
        <v/>
      </c>
      <c r="CG1069">
        <f>'Grid_Stock'!CD49</f>
        <v/>
      </c>
      <c r="CH1069">
        <f>'Grid_Stock'!CE49</f>
        <v/>
      </c>
      <c r="CI1069">
        <f>'Grid_Stock'!CF49</f>
        <v/>
      </c>
      <c r="CJ1069">
        <f>'Grid_Stock'!CG49</f>
        <v/>
      </c>
      <c r="CK1069">
        <f>'Grid_Stock'!CH49</f>
        <v/>
      </c>
      <c r="CL1069">
        <f>'Grid_Stock'!CI49</f>
        <v/>
      </c>
      <c r="CM1069">
        <f>'Grid_Stock'!CJ49</f>
        <v/>
      </c>
      <c r="CN1069">
        <f>'Grid_Stock'!CK49</f>
        <v/>
      </c>
      <c r="CO1069">
        <f>'Grid_Stock'!CL49</f>
        <v/>
      </c>
      <c r="CP1069">
        <f>'Grid_Stock'!CM49</f>
        <v/>
      </c>
      <c r="CQ1069">
        <f>'Grid_Stock'!CN49</f>
        <v/>
      </c>
      <c r="CR1069">
        <f>'Grid_Stock'!CO49</f>
        <v/>
      </c>
      <c r="CS1069">
        <f>'Grid_Stock'!CP49</f>
        <v/>
      </c>
      <c r="CT1069">
        <f>'Grid_Stock'!CQ49</f>
        <v/>
      </c>
      <c r="CU1069">
        <f>'Grid_Stock'!CR49</f>
        <v/>
      </c>
      <c r="CV1069">
        <f>'Grid_Stock'!CS49</f>
        <v/>
      </c>
      <c r="CW1069">
        <f>'Grid_Stock'!CT49</f>
        <v/>
      </c>
      <c r="CX1069">
        <f>'Grid_Stock'!CU49</f>
        <v/>
      </c>
      <c r="CY1069">
        <f>'Grid_Stock'!CV49</f>
        <v/>
      </c>
      <c r="CZ1069">
        <f>'Grid_Stock'!CW49</f>
        <v/>
      </c>
      <c r="DA1069">
        <f>'Grid_Stock'!CX49</f>
        <v/>
      </c>
      <c r="DB1069">
        <f>'Grid_Stock'!CY49</f>
        <v/>
      </c>
      <c r="DC1069">
        <f>'Grid_Stock'!CZ49</f>
        <v/>
      </c>
      <c r="DD1069">
        <f>'Grid_Stock'!DA49</f>
        <v/>
      </c>
    </row>
    <row r="1070">
      <c r="B1070" s="25" t="inlineStr">
        <is>
          <t>（発注の目安はDashboardの基準在庫[下限/上限]と色分けを参照）</t>
        </is>
      </c>
    </row>
    <row r="1072">
      <c r="A1072" s="21" t="inlineStr">
        <is>
          <t>CHEM-1460</t>
        </is>
      </c>
      <c r="B1072" s="21" t="inlineStr">
        <is>
          <t>Optalys 114</t>
        </is>
      </c>
      <c r="C1072" s="22" t="n"/>
      <c r="D1072" s="21" t="n"/>
      <c r="E1072" s="21" t="n"/>
      <c r="F1072" s="21" t="n"/>
      <c r="G1072" s="21" t="n"/>
      <c r="H1072" s="21" t="n"/>
      <c r="I1072" s="21" t="n"/>
      <c r="J1072" s="21" t="n"/>
      <c r="K1072" s="21" t="n"/>
      <c r="L1072" s="21" t="n"/>
      <c r="M1072" s="21" t="n"/>
      <c r="N1072" s="21" t="n"/>
      <c r="O1072" s="21" t="n"/>
      <c r="P1072" s="21" t="n"/>
      <c r="Q1072" s="21" t="n"/>
      <c r="R1072" s="21" t="n"/>
      <c r="S1072" s="21" t="n"/>
      <c r="T1072" s="21" t="n"/>
      <c r="U1072" s="21" t="n"/>
      <c r="V1072" s="21" t="n"/>
      <c r="W1072" s="21" t="n"/>
      <c r="X1072" s="21" t="n"/>
      <c r="Y1072" s="21" t="n"/>
      <c r="Z1072" s="21" t="n"/>
      <c r="AA1072" s="21" t="n"/>
      <c r="AB1072" s="21" t="n"/>
      <c r="AC1072" s="21" t="n"/>
      <c r="AD1072" s="21" t="n"/>
      <c r="AE1072" s="21" t="n"/>
      <c r="AF1072" s="21" t="n"/>
      <c r="AG1072" s="21" t="n"/>
      <c r="AH1072" s="21" t="n"/>
      <c r="AI1072" s="21" t="n"/>
      <c r="AJ1072" s="21" t="n"/>
      <c r="AK1072" s="21" t="n"/>
      <c r="AL1072" s="21" t="n"/>
      <c r="AM1072" s="21" t="n"/>
      <c r="AN1072" s="21" t="n"/>
      <c r="AO1072" s="21" t="n"/>
      <c r="AP1072" s="21" t="n"/>
      <c r="AQ1072" s="21" t="n"/>
      <c r="AR1072" s="21" t="n"/>
      <c r="AS1072" s="21" t="n"/>
      <c r="AT1072" s="21" t="n"/>
      <c r="AU1072" s="21" t="n"/>
      <c r="AV1072" s="21" t="n"/>
      <c r="AW1072" s="21" t="n"/>
      <c r="AX1072" s="21" t="n"/>
      <c r="AY1072" s="21" t="n"/>
      <c r="AZ1072" s="21" t="n"/>
      <c r="BA1072" s="21" t="n"/>
      <c r="BB1072" s="21" t="n"/>
      <c r="BC1072" s="21" t="n"/>
      <c r="BD1072" s="21" t="n"/>
      <c r="BE1072" s="21" t="n"/>
      <c r="BF1072" s="21" t="n"/>
      <c r="BG1072" s="21" t="n"/>
      <c r="BH1072" s="21" t="n"/>
      <c r="BI1072" s="21" t="n"/>
      <c r="BJ1072" s="21" t="n"/>
      <c r="BK1072" s="21" t="n"/>
      <c r="BL1072" s="21" t="n"/>
      <c r="BM1072" s="21" t="n"/>
      <c r="BN1072" s="21" t="n"/>
      <c r="BO1072" s="21" t="n"/>
      <c r="BP1072" s="21" t="n"/>
      <c r="BQ1072" s="21" t="n"/>
      <c r="BR1072" s="21" t="n"/>
      <c r="BS1072" s="21" t="n"/>
      <c r="BT1072" s="21" t="n"/>
      <c r="BU1072" s="21" t="n"/>
      <c r="BV1072" s="21" t="n"/>
      <c r="BW1072" s="21" t="n"/>
      <c r="BX1072" s="21" t="n"/>
      <c r="BY1072" s="21" t="n"/>
      <c r="BZ1072" s="21" t="n"/>
      <c r="CA1072" s="21" t="n"/>
      <c r="CB1072" s="21" t="n"/>
      <c r="CC1072" s="21" t="n"/>
      <c r="CD1072" s="21" t="n"/>
      <c r="CE1072" s="21" t="n"/>
      <c r="CF1072" s="21" t="n"/>
      <c r="CG1072" s="21" t="n"/>
      <c r="CH1072" s="21" t="n"/>
      <c r="CI1072" s="21" t="n"/>
      <c r="CJ1072" s="21" t="n"/>
      <c r="CK1072" s="21" t="n"/>
      <c r="CL1072" s="21" t="n"/>
      <c r="CM1072" s="21" t="n"/>
      <c r="CN1072" s="21" t="n"/>
      <c r="CO1072" s="21" t="n"/>
      <c r="CP1072" s="21" t="n"/>
      <c r="CQ1072" s="21" t="n"/>
      <c r="CR1072" s="21" t="n"/>
      <c r="CS1072" s="21" t="n"/>
      <c r="CT1072" s="21" t="n"/>
      <c r="CU1072" s="21" t="n"/>
      <c r="CV1072" s="21" t="n"/>
      <c r="CW1072" s="21" t="n"/>
      <c r="CX1072" s="21" t="n"/>
      <c r="CY1072" s="21" t="n"/>
      <c r="CZ1072" s="21" t="n"/>
      <c r="DA1072" s="21" t="n"/>
      <c r="DB1072" s="21" t="n"/>
      <c r="DC1072" s="21" t="n"/>
      <c r="DD1072" s="21" t="n"/>
    </row>
    <row r="1073">
      <c r="B1073" t="inlineStr">
        <is>
          <t>TSP-224</t>
        </is>
      </c>
      <c r="C1073" t="inlineStr">
        <is>
          <t>No. of batches</t>
        </is>
      </c>
      <c r="D1073">
        <f>IFERROR(INDEX(E1073:DD1073,$F$1),"")</f>
        <v/>
      </c>
      <c r="E1073">
        <f>IFERROR(INDEX(PP_Grid[#Data],$DE1073,2),0)</f>
        <v/>
      </c>
      <c r="F1073">
        <f>IFERROR(INDEX(PP_Grid[#Data],$DE1073,3),0)</f>
        <v/>
      </c>
      <c r="G1073">
        <f>IFERROR(INDEX(PP_Grid[#Data],$DE1073,4),0)</f>
        <v/>
      </c>
      <c r="H1073">
        <f>IFERROR(INDEX(PP_Grid[#Data],$DE1073,5),0)</f>
        <v/>
      </c>
      <c r="I1073">
        <f>IFERROR(INDEX(PP_Grid[#Data],$DE1073,6),0)</f>
        <v/>
      </c>
      <c r="J1073">
        <f>IFERROR(INDEX(PP_Grid[#Data],$DE1073,7),0)</f>
        <v/>
      </c>
      <c r="K1073">
        <f>IFERROR(INDEX(PP_Grid[#Data],$DE1073,8),0)</f>
        <v/>
      </c>
      <c r="L1073">
        <f>IFERROR(INDEX(PP_Grid[#Data],$DE1073,9),0)</f>
        <v/>
      </c>
      <c r="M1073">
        <f>IFERROR(INDEX(PP_Grid[#Data],$DE1073,10),0)</f>
        <v/>
      </c>
      <c r="N1073">
        <f>IFERROR(INDEX(PP_Grid[#Data],$DE1073,11),0)</f>
        <v/>
      </c>
      <c r="O1073">
        <f>IFERROR(INDEX(PP_Grid[#Data],$DE1073,12),0)</f>
        <v/>
      </c>
      <c r="P1073">
        <f>IFERROR(INDEX(PP_Grid[#Data],$DE1073,13),0)</f>
        <v/>
      </c>
      <c r="Q1073">
        <f>IFERROR(INDEX(PP_Grid[#Data],$DE1073,14),0)</f>
        <v/>
      </c>
      <c r="R1073">
        <f>IFERROR(INDEX(PP_Grid[#Data],$DE1073,15),0)</f>
        <v/>
      </c>
      <c r="S1073">
        <f>IFERROR(INDEX(PP_Grid[#Data],$DE1073,16),0)</f>
        <v/>
      </c>
      <c r="T1073">
        <f>IFERROR(INDEX(PP_Grid[#Data],$DE1073,17),0)</f>
        <v/>
      </c>
      <c r="U1073">
        <f>IFERROR(INDEX(PP_Grid[#Data],$DE1073,18),0)</f>
        <v/>
      </c>
      <c r="V1073">
        <f>IFERROR(INDEX(PP_Grid[#Data],$DE1073,19),0)</f>
        <v/>
      </c>
      <c r="W1073">
        <f>IFERROR(INDEX(PP_Grid[#Data],$DE1073,20),0)</f>
        <v/>
      </c>
      <c r="X1073">
        <f>IFERROR(INDEX(PP_Grid[#Data],$DE1073,21),0)</f>
        <v/>
      </c>
      <c r="Y1073">
        <f>IFERROR(INDEX(PP_Grid[#Data],$DE1073,22),0)</f>
        <v/>
      </c>
      <c r="Z1073">
        <f>IFERROR(INDEX(PP_Grid[#Data],$DE1073,23),0)</f>
        <v/>
      </c>
      <c r="AA1073">
        <f>IFERROR(INDEX(PP_Grid[#Data],$DE1073,24),0)</f>
        <v/>
      </c>
      <c r="AB1073">
        <f>IFERROR(INDEX(PP_Grid[#Data],$DE1073,25),0)</f>
        <v/>
      </c>
      <c r="AC1073">
        <f>IFERROR(INDEX(PP_Grid[#Data],$DE1073,26),0)</f>
        <v/>
      </c>
      <c r="AD1073">
        <f>IFERROR(INDEX(PP_Grid[#Data],$DE1073,27),0)</f>
        <v/>
      </c>
      <c r="AE1073">
        <f>IFERROR(INDEX(PP_Grid[#Data],$DE1073,28),0)</f>
        <v/>
      </c>
      <c r="AF1073">
        <f>IFERROR(INDEX(PP_Grid[#Data],$DE1073,29),0)</f>
        <v/>
      </c>
      <c r="AG1073">
        <f>IFERROR(INDEX(PP_Grid[#Data],$DE1073,30),0)</f>
        <v/>
      </c>
      <c r="AH1073">
        <f>IFERROR(INDEX(PP_Grid[#Data],$DE1073,31),0)</f>
        <v/>
      </c>
      <c r="AI1073">
        <f>IFERROR(INDEX(PP_Grid[#Data],$DE1073,32),0)</f>
        <v/>
      </c>
      <c r="AJ1073">
        <f>IFERROR(INDEX(PP_Grid[#Data],$DE1073,33),0)</f>
        <v/>
      </c>
      <c r="AK1073">
        <f>IFERROR(INDEX(PP_Grid[#Data],$DE1073,34),0)</f>
        <v/>
      </c>
      <c r="AL1073">
        <f>IFERROR(INDEX(PP_Grid[#Data],$DE1073,35),0)</f>
        <v/>
      </c>
      <c r="AM1073">
        <f>IFERROR(INDEX(PP_Grid[#Data],$DE1073,36),0)</f>
        <v/>
      </c>
      <c r="AN1073">
        <f>IFERROR(INDEX(PP_Grid[#Data],$DE1073,37),0)</f>
        <v/>
      </c>
      <c r="AO1073">
        <f>IFERROR(INDEX(PP_Grid[#Data],$DE1073,38),0)</f>
        <v/>
      </c>
      <c r="AP1073">
        <f>IFERROR(INDEX(PP_Grid[#Data],$DE1073,39),0)</f>
        <v/>
      </c>
      <c r="AQ1073">
        <f>IFERROR(INDEX(PP_Grid[#Data],$DE1073,40),0)</f>
        <v/>
      </c>
      <c r="AR1073">
        <f>IFERROR(INDEX(PP_Grid[#Data],$DE1073,41),0)</f>
        <v/>
      </c>
      <c r="AS1073">
        <f>IFERROR(INDEX(PP_Grid[#Data],$DE1073,42),0)</f>
        <v/>
      </c>
      <c r="AT1073">
        <f>IFERROR(INDEX(PP_Grid[#Data],$DE1073,43),0)</f>
        <v/>
      </c>
      <c r="AU1073">
        <f>IFERROR(INDEX(PP_Grid[#Data],$DE1073,44),0)</f>
        <v/>
      </c>
      <c r="AV1073">
        <f>IFERROR(INDEX(PP_Grid[#Data],$DE1073,45),0)</f>
        <v/>
      </c>
      <c r="AW1073">
        <f>IFERROR(INDEX(PP_Grid[#Data],$DE1073,46),0)</f>
        <v/>
      </c>
      <c r="AX1073">
        <f>IFERROR(INDEX(PP_Grid[#Data],$DE1073,47),0)</f>
        <v/>
      </c>
      <c r="AY1073">
        <f>IFERROR(INDEX(PP_Grid[#Data],$DE1073,48),0)</f>
        <v/>
      </c>
      <c r="AZ1073">
        <f>IFERROR(INDEX(PP_Grid[#Data],$DE1073,49),0)</f>
        <v/>
      </c>
      <c r="BA1073">
        <f>IFERROR(INDEX(PP_Grid[#Data],$DE1073,50),0)</f>
        <v/>
      </c>
      <c r="BB1073">
        <f>IFERROR(INDEX(PP_Grid[#Data],$DE1073,51),0)</f>
        <v/>
      </c>
      <c r="BC1073">
        <f>IFERROR(INDEX(PP_Grid[#Data],$DE1073,52),0)</f>
        <v/>
      </c>
      <c r="BD1073">
        <f>IFERROR(INDEX(PP_Grid[#Data],$DE1073,53),0)</f>
        <v/>
      </c>
      <c r="BE1073">
        <f>IFERROR(INDEX(PP_Grid[#Data],$DE1073,54),0)</f>
        <v/>
      </c>
      <c r="BF1073">
        <f>IFERROR(INDEX(PP_Grid[#Data],$DE1073,55),0)</f>
        <v/>
      </c>
      <c r="BG1073">
        <f>IFERROR(INDEX(PP_Grid[#Data],$DE1073,56),0)</f>
        <v/>
      </c>
      <c r="BH1073">
        <f>IFERROR(INDEX(PP_Grid[#Data],$DE1073,57),0)</f>
        <v/>
      </c>
      <c r="BI1073">
        <f>IFERROR(INDEX(PP_Grid[#Data],$DE1073,58),0)</f>
        <v/>
      </c>
      <c r="BJ1073">
        <f>IFERROR(INDEX(PP_Grid[#Data],$DE1073,59),0)</f>
        <v/>
      </c>
      <c r="BK1073">
        <f>IFERROR(INDEX(PP_Grid[#Data],$DE1073,60),0)</f>
        <v/>
      </c>
      <c r="BL1073">
        <f>IFERROR(INDEX(PP_Grid[#Data],$DE1073,61),0)</f>
        <v/>
      </c>
      <c r="BM1073">
        <f>IFERROR(INDEX(PP_Grid[#Data],$DE1073,62),0)</f>
        <v/>
      </c>
      <c r="BN1073">
        <f>IFERROR(INDEX(PP_Grid[#Data],$DE1073,63),0)</f>
        <v/>
      </c>
      <c r="BO1073">
        <f>IFERROR(INDEX(PP_Grid[#Data],$DE1073,64),0)</f>
        <v/>
      </c>
      <c r="BP1073">
        <f>IFERROR(INDEX(PP_Grid[#Data],$DE1073,65),0)</f>
        <v/>
      </c>
      <c r="BQ1073">
        <f>IFERROR(INDEX(PP_Grid[#Data],$DE1073,66),0)</f>
        <v/>
      </c>
      <c r="BR1073">
        <f>IFERROR(INDEX(PP_Grid[#Data],$DE1073,67),0)</f>
        <v/>
      </c>
      <c r="BS1073">
        <f>IFERROR(INDEX(PP_Grid[#Data],$DE1073,68),0)</f>
        <v/>
      </c>
      <c r="BT1073">
        <f>IFERROR(INDEX(PP_Grid[#Data],$DE1073,69),0)</f>
        <v/>
      </c>
      <c r="BU1073">
        <f>IFERROR(INDEX(PP_Grid[#Data],$DE1073,70),0)</f>
        <v/>
      </c>
      <c r="BV1073">
        <f>IFERROR(INDEX(PP_Grid[#Data],$DE1073,71),0)</f>
        <v/>
      </c>
      <c r="BW1073">
        <f>IFERROR(INDEX(PP_Grid[#Data],$DE1073,72),0)</f>
        <v/>
      </c>
      <c r="BX1073">
        <f>IFERROR(INDEX(PP_Grid[#Data],$DE1073,73),0)</f>
        <v/>
      </c>
      <c r="BY1073">
        <f>IFERROR(INDEX(PP_Grid[#Data],$DE1073,74),0)</f>
        <v/>
      </c>
      <c r="BZ1073">
        <f>IFERROR(INDEX(PP_Grid[#Data],$DE1073,75),0)</f>
        <v/>
      </c>
      <c r="CA1073">
        <f>IFERROR(INDEX(PP_Grid[#Data],$DE1073,76),0)</f>
        <v/>
      </c>
      <c r="CB1073">
        <f>IFERROR(INDEX(PP_Grid[#Data],$DE1073,77),0)</f>
        <v/>
      </c>
      <c r="CC1073">
        <f>IFERROR(INDEX(PP_Grid[#Data],$DE1073,78),0)</f>
        <v/>
      </c>
      <c r="CD1073">
        <f>IFERROR(INDEX(PP_Grid[#Data],$DE1073,79),0)</f>
        <v/>
      </c>
      <c r="CE1073">
        <f>IFERROR(INDEX(PP_Grid[#Data],$DE1073,80),0)</f>
        <v/>
      </c>
      <c r="CF1073">
        <f>IFERROR(INDEX(PP_Grid[#Data],$DE1073,81),0)</f>
        <v/>
      </c>
      <c r="CG1073">
        <f>IFERROR(INDEX(PP_Grid[#Data],$DE1073,82),0)</f>
        <v/>
      </c>
      <c r="CH1073">
        <f>IFERROR(INDEX(PP_Grid[#Data],$DE1073,83),0)</f>
        <v/>
      </c>
      <c r="CI1073">
        <f>IFERROR(INDEX(PP_Grid[#Data],$DE1073,84),0)</f>
        <v/>
      </c>
      <c r="CJ1073">
        <f>IFERROR(INDEX(PP_Grid[#Data],$DE1073,85),0)</f>
        <v/>
      </c>
      <c r="CK1073">
        <f>IFERROR(INDEX(PP_Grid[#Data],$DE1073,86),0)</f>
        <v/>
      </c>
      <c r="CL1073">
        <f>IFERROR(INDEX(PP_Grid[#Data],$DE1073,87),0)</f>
        <v/>
      </c>
      <c r="CM1073">
        <f>IFERROR(INDEX(PP_Grid[#Data],$DE1073,88),0)</f>
        <v/>
      </c>
      <c r="CN1073">
        <f>IFERROR(INDEX(PP_Grid[#Data],$DE1073,89),0)</f>
        <v/>
      </c>
      <c r="CO1073">
        <f>IFERROR(INDEX(PP_Grid[#Data],$DE1073,90),0)</f>
        <v/>
      </c>
      <c r="CP1073">
        <f>IFERROR(INDEX(PP_Grid[#Data],$DE1073,91),0)</f>
        <v/>
      </c>
      <c r="CQ1073">
        <f>IFERROR(INDEX(PP_Grid[#Data],$DE1073,92),0)</f>
        <v/>
      </c>
      <c r="CR1073">
        <f>IFERROR(INDEX(PP_Grid[#Data],$DE1073,93),0)</f>
        <v/>
      </c>
      <c r="CS1073">
        <f>IFERROR(INDEX(PP_Grid[#Data],$DE1073,94),0)</f>
        <v/>
      </c>
      <c r="CT1073">
        <f>IFERROR(INDEX(PP_Grid[#Data],$DE1073,95),0)</f>
        <v/>
      </c>
      <c r="CU1073">
        <f>IFERROR(INDEX(PP_Grid[#Data],$DE1073,96),0)</f>
        <v/>
      </c>
      <c r="CV1073">
        <f>IFERROR(INDEX(PP_Grid[#Data],$DE1073,97),0)</f>
        <v/>
      </c>
      <c r="CW1073">
        <f>IFERROR(INDEX(PP_Grid[#Data],$DE1073,98),0)</f>
        <v/>
      </c>
      <c r="CX1073">
        <f>IFERROR(INDEX(PP_Grid[#Data],$DE1073,99),0)</f>
        <v/>
      </c>
      <c r="CY1073">
        <f>IFERROR(INDEX(PP_Grid[#Data],$DE1073,100),0)</f>
        <v/>
      </c>
      <c r="CZ1073">
        <f>IFERROR(INDEX(PP_Grid[#Data],$DE1073,101),0)</f>
        <v/>
      </c>
      <c r="DA1073">
        <f>IFERROR(INDEX(PP_Grid[#Data],$DE1073,102),0)</f>
        <v/>
      </c>
      <c r="DB1073">
        <f>IFERROR(INDEX(PP_Grid[#Data],$DE1073,103),0)</f>
        <v/>
      </c>
      <c r="DC1073">
        <f>IFERROR(INDEX(PP_Grid[#Data],$DE1073,104),0)</f>
        <v/>
      </c>
      <c r="DD1073">
        <f>IFERROR(INDEX(PP_Grid[#Data],$DE1073,105),0)</f>
        <v/>
      </c>
      <c r="DE1073" s="7">
        <f>IFERROR(MATCH($B1073,PP_Grid[Intermediate],0),99999)</f>
        <v/>
      </c>
    </row>
    <row r="1074">
      <c r="B1074" t="inlineStr">
        <is>
          <t>使用量(kg)</t>
        </is>
      </c>
      <c r="C1074">
        <f>SUMIFS(M_BOM[RM_Qty_Per_Batch],M_BOM[Intermediate],$B1073,M_BOM[RM_Code],$A1072)</f>
        <v/>
      </c>
      <c r="D1074">
        <f>IFERROR(INDEX(E1074:DD1074,$F$1),"")</f>
        <v/>
      </c>
      <c r="E1074">
        <f>$C1074*E1073</f>
        <v/>
      </c>
      <c r="F1074">
        <f>$C1074*F1073</f>
        <v/>
      </c>
      <c r="G1074">
        <f>$C1074*G1073</f>
        <v/>
      </c>
      <c r="H1074">
        <f>$C1074*H1073</f>
        <v/>
      </c>
      <c r="I1074">
        <f>$C1074*I1073</f>
        <v/>
      </c>
      <c r="J1074">
        <f>$C1074*J1073</f>
        <v/>
      </c>
      <c r="K1074">
        <f>$C1074*K1073</f>
        <v/>
      </c>
      <c r="L1074">
        <f>$C1074*L1073</f>
        <v/>
      </c>
      <c r="M1074">
        <f>$C1074*M1073</f>
        <v/>
      </c>
      <c r="N1074">
        <f>$C1074*N1073</f>
        <v/>
      </c>
      <c r="O1074">
        <f>$C1074*O1073</f>
        <v/>
      </c>
      <c r="P1074">
        <f>$C1074*P1073</f>
        <v/>
      </c>
      <c r="Q1074">
        <f>$C1074*Q1073</f>
        <v/>
      </c>
      <c r="R1074">
        <f>$C1074*R1073</f>
        <v/>
      </c>
      <c r="S1074">
        <f>$C1074*S1073</f>
        <v/>
      </c>
      <c r="T1074">
        <f>$C1074*T1073</f>
        <v/>
      </c>
      <c r="U1074">
        <f>$C1074*U1073</f>
        <v/>
      </c>
      <c r="V1074">
        <f>$C1074*V1073</f>
        <v/>
      </c>
      <c r="W1074">
        <f>$C1074*W1073</f>
        <v/>
      </c>
      <c r="X1074">
        <f>$C1074*X1073</f>
        <v/>
      </c>
      <c r="Y1074">
        <f>$C1074*Y1073</f>
        <v/>
      </c>
      <c r="Z1074">
        <f>$C1074*Z1073</f>
        <v/>
      </c>
      <c r="AA1074">
        <f>$C1074*AA1073</f>
        <v/>
      </c>
      <c r="AB1074">
        <f>$C1074*AB1073</f>
        <v/>
      </c>
      <c r="AC1074">
        <f>$C1074*AC1073</f>
        <v/>
      </c>
      <c r="AD1074">
        <f>$C1074*AD1073</f>
        <v/>
      </c>
      <c r="AE1074">
        <f>$C1074*AE1073</f>
        <v/>
      </c>
      <c r="AF1074">
        <f>$C1074*AF1073</f>
        <v/>
      </c>
      <c r="AG1074">
        <f>$C1074*AG1073</f>
        <v/>
      </c>
      <c r="AH1074">
        <f>$C1074*AH1073</f>
        <v/>
      </c>
      <c r="AI1074">
        <f>$C1074*AI1073</f>
        <v/>
      </c>
      <c r="AJ1074">
        <f>$C1074*AJ1073</f>
        <v/>
      </c>
      <c r="AK1074">
        <f>$C1074*AK1073</f>
        <v/>
      </c>
      <c r="AL1074">
        <f>$C1074*AL1073</f>
        <v/>
      </c>
      <c r="AM1074">
        <f>$C1074*AM1073</f>
        <v/>
      </c>
      <c r="AN1074">
        <f>$C1074*AN1073</f>
        <v/>
      </c>
      <c r="AO1074">
        <f>$C1074*AO1073</f>
        <v/>
      </c>
      <c r="AP1074">
        <f>$C1074*AP1073</f>
        <v/>
      </c>
      <c r="AQ1074">
        <f>$C1074*AQ1073</f>
        <v/>
      </c>
      <c r="AR1074">
        <f>$C1074*AR1073</f>
        <v/>
      </c>
      <c r="AS1074">
        <f>$C1074*AS1073</f>
        <v/>
      </c>
      <c r="AT1074">
        <f>$C1074*AT1073</f>
        <v/>
      </c>
      <c r="AU1074">
        <f>$C1074*AU1073</f>
        <v/>
      </c>
      <c r="AV1074">
        <f>$C1074*AV1073</f>
        <v/>
      </c>
      <c r="AW1074">
        <f>$C1074*AW1073</f>
        <v/>
      </c>
      <c r="AX1074">
        <f>$C1074*AX1073</f>
        <v/>
      </c>
      <c r="AY1074">
        <f>$C1074*AY1073</f>
        <v/>
      </c>
      <c r="AZ1074">
        <f>$C1074*AZ1073</f>
        <v/>
      </c>
      <c r="BA1074">
        <f>$C1074*BA1073</f>
        <v/>
      </c>
      <c r="BB1074">
        <f>$C1074*BB1073</f>
        <v/>
      </c>
      <c r="BC1074">
        <f>$C1074*BC1073</f>
        <v/>
      </c>
      <c r="BD1074">
        <f>$C1074*BD1073</f>
        <v/>
      </c>
      <c r="BE1074">
        <f>$C1074*BE1073</f>
        <v/>
      </c>
      <c r="BF1074">
        <f>$C1074*BF1073</f>
        <v/>
      </c>
      <c r="BG1074">
        <f>$C1074*BG1073</f>
        <v/>
      </c>
      <c r="BH1074">
        <f>$C1074*BH1073</f>
        <v/>
      </c>
      <c r="BI1074">
        <f>$C1074*BI1073</f>
        <v/>
      </c>
      <c r="BJ1074">
        <f>$C1074*BJ1073</f>
        <v/>
      </c>
      <c r="BK1074">
        <f>$C1074*BK1073</f>
        <v/>
      </c>
      <c r="BL1074">
        <f>$C1074*BL1073</f>
        <v/>
      </c>
      <c r="BM1074">
        <f>$C1074*BM1073</f>
        <v/>
      </c>
      <c r="BN1074">
        <f>$C1074*BN1073</f>
        <v/>
      </c>
      <c r="BO1074">
        <f>$C1074*BO1073</f>
        <v/>
      </c>
      <c r="BP1074">
        <f>$C1074*BP1073</f>
        <v/>
      </c>
      <c r="BQ1074">
        <f>$C1074*BQ1073</f>
        <v/>
      </c>
      <c r="BR1074">
        <f>$C1074*BR1073</f>
        <v/>
      </c>
      <c r="BS1074">
        <f>$C1074*BS1073</f>
        <v/>
      </c>
      <c r="BT1074">
        <f>$C1074*BT1073</f>
        <v/>
      </c>
      <c r="BU1074">
        <f>$C1074*BU1073</f>
        <v/>
      </c>
      <c r="BV1074">
        <f>$C1074*BV1073</f>
        <v/>
      </c>
      <c r="BW1074">
        <f>$C1074*BW1073</f>
        <v/>
      </c>
      <c r="BX1074">
        <f>$C1074*BX1073</f>
        <v/>
      </c>
      <c r="BY1074">
        <f>$C1074*BY1073</f>
        <v/>
      </c>
      <c r="BZ1074">
        <f>$C1074*BZ1073</f>
        <v/>
      </c>
      <c r="CA1074">
        <f>$C1074*CA1073</f>
        <v/>
      </c>
      <c r="CB1074">
        <f>$C1074*CB1073</f>
        <v/>
      </c>
      <c r="CC1074">
        <f>$C1074*CC1073</f>
        <v/>
      </c>
      <c r="CD1074">
        <f>$C1074*CD1073</f>
        <v/>
      </c>
      <c r="CE1074">
        <f>$C1074*CE1073</f>
        <v/>
      </c>
      <c r="CF1074">
        <f>$C1074*CF1073</f>
        <v/>
      </c>
      <c r="CG1074">
        <f>$C1074*CG1073</f>
        <v/>
      </c>
      <c r="CH1074">
        <f>$C1074*CH1073</f>
        <v/>
      </c>
      <c r="CI1074">
        <f>$C1074*CI1073</f>
        <v/>
      </c>
      <c r="CJ1074">
        <f>$C1074*CJ1073</f>
        <v/>
      </c>
      <c r="CK1074">
        <f>$C1074*CK1073</f>
        <v/>
      </c>
      <c r="CL1074">
        <f>$C1074*CL1073</f>
        <v/>
      </c>
      <c r="CM1074">
        <f>$C1074*CM1073</f>
        <v/>
      </c>
      <c r="CN1074">
        <f>$C1074*CN1073</f>
        <v/>
      </c>
      <c r="CO1074">
        <f>$C1074*CO1073</f>
        <v/>
      </c>
      <c r="CP1074">
        <f>$C1074*CP1073</f>
        <v/>
      </c>
      <c r="CQ1074">
        <f>$C1074*CQ1073</f>
        <v/>
      </c>
      <c r="CR1074">
        <f>$C1074*CR1073</f>
        <v/>
      </c>
      <c r="CS1074">
        <f>$C1074*CS1073</f>
        <v/>
      </c>
      <c r="CT1074">
        <f>$C1074*CT1073</f>
        <v/>
      </c>
      <c r="CU1074">
        <f>$C1074*CU1073</f>
        <v/>
      </c>
      <c r="CV1074">
        <f>$C1074*CV1073</f>
        <v/>
      </c>
      <c r="CW1074">
        <f>$C1074*CW1073</f>
        <v/>
      </c>
      <c r="CX1074">
        <f>$C1074*CX1073</f>
        <v/>
      </c>
      <c r="CY1074">
        <f>$C1074*CY1073</f>
        <v/>
      </c>
      <c r="CZ1074">
        <f>$C1074*CZ1073</f>
        <v/>
      </c>
      <c r="DA1074">
        <f>$C1074*DA1073</f>
        <v/>
      </c>
      <c r="DB1074">
        <f>$C1074*DB1073</f>
        <v/>
      </c>
      <c r="DC1074">
        <f>$C1074*DC1073</f>
        <v/>
      </c>
      <c r="DD1074">
        <f>$C1074*DD1073</f>
        <v/>
      </c>
    </row>
    <row r="1075">
      <c r="B1075" t="inlineStr">
        <is>
          <t>TPP-190</t>
        </is>
      </c>
      <c r="C1075" t="inlineStr">
        <is>
          <t>No. of batches</t>
        </is>
      </c>
      <c r="D1075">
        <f>IFERROR(INDEX(E1075:DD1075,$F$1),"")</f>
        <v/>
      </c>
      <c r="E1075">
        <f>IFERROR(INDEX(PP_Grid[#Data],$DE1075,2),0)</f>
        <v/>
      </c>
      <c r="F1075">
        <f>IFERROR(INDEX(PP_Grid[#Data],$DE1075,3),0)</f>
        <v/>
      </c>
      <c r="G1075">
        <f>IFERROR(INDEX(PP_Grid[#Data],$DE1075,4),0)</f>
        <v/>
      </c>
      <c r="H1075">
        <f>IFERROR(INDEX(PP_Grid[#Data],$DE1075,5),0)</f>
        <v/>
      </c>
      <c r="I1075">
        <f>IFERROR(INDEX(PP_Grid[#Data],$DE1075,6),0)</f>
        <v/>
      </c>
      <c r="J1075">
        <f>IFERROR(INDEX(PP_Grid[#Data],$DE1075,7),0)</f>
        <v/>
      </c>
      <c r="K1075">
        <f>IFERROR(INDEX(PP_Grid[#Data],$DE1075,8),0)</f>
        <v/>
      </c>
      <c r="L1075">
        <f>IFERROR(INDEX(PP_Grid[#Data],$DE1075,9),0)</f>
        <v/>
      </c>
      <c r="M1075">
        <f>IFERROR(INDEX(PP_Grid[#Data],$DE1075,10),0)</f>
        <v/>
      </c>
      <c r="N1075">
        <f>IFERROR(INDEX(PP_Grid[#Data],$DE1075,11),0)</f>
        <v/>
      </c>
      <c r="O1075">
        <f>IFERROR(INDEX(PP_Grid[#Data],$DE1075,12),0)</f>
        <v/>
      </c>
      <c r="P1075">
        <f>IFERROR(INDEX(PP_Grid[#Data],$DE1075,13),0)</f>
        <v/>
      </c>
      <c r="Q1075">
        <f>IFERROR(INDEX(PP_Grid[#Data],$DE1075,14),0)</f>
        <v/>
      </c>
      <c r="R1075">
        <f>IFERROR(INDEX(PP_Grid[#Data],$DE1075,15),0)</f>
        <v/>
      </c>
      <c r="S1075">
        <f>IFERROR(INDEX(PP_Grid[#Data],$DE1075,16),0)</f>
        <v/>
      </c>
      <c r="T1075">
        <f>IFERROR(INDEX(PP_Grid[#Data],$DE1075,17),0)</f>
        <v/>
      </c>
      <c r="U1075">
        <f>IFERROR(INDEX(PP_Grid[#Data],$DE1075,18),0)</f>
        <v/>
      </c>
      <c r="V1075">
        <f>IFERROR(INDEX(PP_Grid[#Data],$DE1075,19),0)</f>
        <v/>
      </c>
      <c r="W1075">
        <f>IFERROR(INDEX(PP_Grid[#Data],$DE1075,20),0)</f>
        <v/>
      </c>
      <c r="X1075">
        <f>IFERROR(INDEX(PP_Grid[#Data],$DE1075,21),0)</f>
        <v/>
      </c>
      <c r="Y1075">
        <f>IFERROR(INDEX(PP_Grid[#Data],$DE1075,22),0)</f>
        <v/>
      </c>
      <c r="Z1075">
        <f>IFERROR(INDEX(PP_Grid[#Data],$DE1075,23),0)</f>
        <v/>
      </c>
      <c r="AA1075">
        <f>IFERROR(INDEX(PP_Grid[#Data],$DE1075,24),0)</f>
        <v/>
      </c>
      <c r="AB1075">
        <f>IFERROR(INDEX(PP_Grid[#Data],$DE1075,25),0)</f>
        <v/>
      </c>
      <c r="AC1075">
        <f>IFERROR(INDEX(PP_Grid[#Data],$DE1075,26),0)</f>
        <v/>
      </c>
      <c r="AD1075">
        <f>IFERROR(INDEX(PP_Grid[#Data],$DE1075,27),0)</f>
        <v/>
      </c>
      <c r="AE1075">
        <f>IFERROR(INDEX(PP_Grid[#Data],$DE1075,28),0)</f>
        <v/>
      </c>
      <c r="AF1075">
        <f>IFERROR(INDEX(PP_Grid[#Data],$DE1075,29),0)</f>
        <v/>
      </c>
      <c r="AG1075">
        <f>IFERROR(INDEX(PP_Grid[#Data],$DE1075,30),0)</f>
        <v/>
      </c>
      <c r="AH1075">
        <f>IFERROR(INDEX(PP_Grid[#Data],$DE1075,31),0)</f>
        <v/>
      </c>
      <c r="AI1075">
        <f>IFERROR(INDEX(PP_Grid[#Data],$DE1075,32),0)</f>
        <v/>
      </c>
      <c r="AJ1075">
        <f>IFERROR(INDEX(PP_Grid[#Data],$DE1075,33),0)</f>
        <v/>
      </c>
      <c r="AK1075">
        <f>IFERROR(INDEX(PP_Grid[#Data],$DE1075,34),0)</f>
        <v/>
      </c>
      <c r="AL1075">
        <f>IFERROR(INDEX(PP_Grid[#Data],$DE1075,35),0)</f>
        <v/>
      </c>
      <c r="AM1075">
        <f>IFERROR(INDEX(PP_Grid[#Data],$DE1075,36),0)</f>
        <v/>
      </c>
      <c r="AN1075">
        <f>IFERROR(INDEX(PP_Grid[#Data],$DE1075,37),0)</f>
        <v/>
      </c>
      <c r="AO1075">
        <f>IFERROR(INDEX(PP_Grid[#Data],$DE1075,38),0)</f>
        <v/>
      </c>
      <c r="AP1075">
        <f>IFERROR(INDEX(PP_Grid[#Data],$DE1075,39),0)</f>
        <v/>
      </c>
      <c r="AQ1075">
        <f>IFERROR(INDEX(PP_Grid[#Data],$DE1075,40),0)</f>
        <v/>
      </c>
      <c r="AR1075">
        <f>IFERROR(INDEX(PP_Grid[#Data],$DE1075,41),0)</f>
        <v/>
      </c>
      <c r="AS1075">
        <f>IFERROR(INDEX(PP_Grid[#Data],$DE1075,42),0)</f>
        <v/>
      </c>
      <c r="AT1075">
        <f>IFERROR(INDEX(PP_Grid[#Data],$DE1075,43),0)</f>
        <v/>
      </c>
      <c r="AU1075">
        <f>IFERROR(INDEX(PP_Grid[#Data],$DE1075,44),0)</f>
        <v/>
      </c>
      <c r="AV1075">
        <f>IFERROR(INDEX(PP_Grid[#Data],$DE1075,45),0)</f>
        <v/>
      </c>
      <c r="AW1075">
        <f>IFERROR(INDEX(PP_Grid[#Data],$DE1075,46),0)</f>
        <v/>
      </c>
      <c r="AX1075">
        <f>IFERROR(INDEX(PP_Grid[#Data],$DE1075,47),0)</f>
        <v/>
      </c>
      <c r="AY1075">
        <f>IFERROR(INDEX(PP_Grid[#Data],$DE1075,48),0)</f>
        <v/>
      </c>
      <c r="AZ1075">
        <f>IFERROR(INDEX(PP_Grid[#Data],$DE1075,49),0)</f>
        <v/>
      </c>
      <c r="BA1075">
        <f>IFERROR(INDEX(PP_Grid[#Data],$DE1075,50),0)</f>
        <v/>
      </c>
      <c r="BB1075">
        <f>IFERROR(INDEX(PP_Grid[#Data],$DE1075,51),0)</f>
        <v/>
      </c>
      <c r="BC1075">
        <f>IFERROR(INDEX(PP_Grid[#Data],$DE1075,52),0)</f>
        <v/>
      </c>
      <c r="BD1075">
        <f>IFERROR(INDEX(PP_Grid[#Data],$DE1075,53),0)</f>
        <v/>
      </c>
      <c r="BE1075">
        <f>IFERROR(INDEX(PP_Grid[#Data],$DE1075,54),0)</f>
        <v/>
      </c>
      <c r="BF1075">
        <f>IFERROR(INDEX(PP_Grid[#Data],$DE1075,55),0)</f>
        <v/>
      </c>
      <c r="BG1075">
        <f>IFERROR(INDEX(PP_Grid[#Data],$DE1075,56),0)</f>
        <v/>
      </c>
      <c r="BH1075">
        <f>IFERROR(INDEX(PP_Grid[#Data],$DE1075,57),0)</f>
        <v/>
      </c>
      <c r="BI1075">
        <f>IFERROR(INDEX(PP_Grid[#Data],$DE1075,58),0)</f>
        <v/>
      </c>
      <c r="BJ1075">
        <f>IFERROR(INDEX(PP_Grid[#Data],$DE1075,59),0)</f>
        <v/>
      </c>
      <c r="BK1075">
        <f>IFERROR(INDEX(PP_Grid[#Data],$DE1075,60),0)</f>
        <v/>
      </c>
      <c r="BL1075">
        <f>IFERROR(INDEX(PP_Grid[#Data],$DE1075,61),0)</f>
        <v/>
      </c>
      <c r="BM1075">
        <f>IFERROR(INDEX(PP_Grid[#Data],$DE1075,62),0)</f>
        <v/>
      </c>
      <c r="BN1075">
        <f>IFERROR(INDEX(PP_Grid[#Data],$DE1075,63),0)</f>
        <v/>
      </c>
      <c r="BO1075">
        <f>IFERROR(INDEX(PP_Grid[#Data],$DE1075,64),0)</f>
        <v/>
      </c>
      <c r="BP1075">
        <f>IFERROR(INDEX(PP_Grid[#Data],$DE1075,65),0)</f>
        <v/>
      </c>
      <c r="BQ1075">
        <f>IFERROR(INDEX(PP_Grid[#Data],$DE1075,66),0)</f>
        <v/>
      </c>
      <c r="BR1075">
        <f>IFERROR(INDEX(PP_Grid[#Data],$DE1075,67),0)</f>
        <v/>
      </c>
      <c r="BS1075">
        <f>IFERROR(INDEX(PP_Grid[#Data],$DE1075,68),0)</f>
        <v/>
      </c>
      <c r="BT1075">
        <f>IFERROR(INDEX(PP_Grid[#Data],$DE1075,69),0)</f>
        <v/>
      </c>
      <c r="BU1075">
        <f>IFERROR(INDEX(PP_Grid[#Data],$DE1075,70),0)</f>
        <v/>
      </c>
      <c r="BV1075">
        <f>IFERROR(INDEX(PP_Grid[#Data],$DE1075,71),0)</f>
        <v/>
      </c>
      <c r="BW1075">
        <f>IFERROR(INDEX(PP_Grid[#Data],$DE1075,72),0)</f>
        <v/>
      </c>
      <c r="BX1075">
        <f>IFERROR(INDEX(PP_Grid[#Data],$DE1075,73),0)</f>
        <v/>
      </c>
      <c r="BY1075">
        <f>IFERROR(INDEX(PP_Grid[#Data],$DE1075,74),0)</f>
        <v/>
      </c>
      <c r="BZ1075">
        <f>IFERROR(INDEX(PP_Grid[#Data],$DE1075,75),0)</f>
        <v/>
      </c>
      <c r="CA1075">
        <f>IFERROR(INDEX(PP_Grid[#Data],$DE1075,76),0)</f>
        <v/>
      </c>
      <c r="CB1075">
        <f>IFERROR(INDEX(PP_Grid[#Data],$DE1075,77),0)</f>
        <v/>
      </c>
      <c r="CC1075">
        <f>IFERROR(INDEX(PP_Grid[#Data],$DE1075,78),0)</f>
        <v/>
      </c>
      <c r="CD1075">
        <f>IFERROR(INDEX(PP_Grid[#Data],$DE1075,79),0)</f>
        <v/>
      </c>
      <c r="CE1075">
        <f>IFERROR(INDEX(PP_Grid[#Data],$DE1075,80),0)</f>
        <v/>
      </c>
      <c r="CF1075">
        <f>IFERROR(INDEX(PP_Grid[#Data],$DE1075,81),0)</f>
        <v/>
      </c>
      <c r="CG1075">
        <f>IFERROR(INDEX(PP_Grid[#Data],$DE1075,82),0)</f>
        <v/>
      </c>
      <c r="CH1075">
        <f>IFERROR(INDEX(PP_Grid[#Data],$DE1075,83),0)</f>
        <v/>
      </c>
      <c r="CI1075">
        <f>IFERROR(INDEX(PP_Grid[#Data],$DE1075,84),0)</f>
        <v/>
      </c>
      <c r="CJ1075">
        <f>IFERROR(INDEX(PP_Grid[#Data],$DE1075,85),0)</f>
        <v/>
      </c>
      <c r="CK1075">
        <f>IFERROR(INDEX(PP_Grid[#Data],$DE1075,86),0)</f>
        <v/>
      </c>
      <c r="CL1075">
        <f>IFERROR(INDEX(PP_Grid[#Data],$DE1075,87),0)</f>
        <v/>
      </c>
      <c r="CM1075">
        <f>IFERROR(INDEX(PP_Grid[#Data],$DE1075,88),0)</f>
        <v/>
      </c>
      <c r="CN1075">
        <f>IFERROR(INDEX(PP_Grid[#Data],$DE1075,89),0)</f>
        <v/>
      </c>
      <c r="CO1075">
        <f>IFERROR(INDEX(PP_Grid[#Data],$DE1075,90),0)</f>
        <v/>
      </c>
      <c r="CP1075">
        <f>IFERROR(INDEX(PP_Grid[#Data],$DE1075,91),0)</f>
        <v/>
      </c>
      <c r="CQ1075">
        <f>IFERROR(INDEX(PP_Grid[#Data],$DE1075,92),0)</f>
        <v/>
      </c>
      <c r="CR1075">
        <f>IFERROR(INDEX(PP_Grid[#Data],$DE1075,93),0)</f>
        <v/>
      </c>
      <c r="CS1075">
        <f>IFERROR(INDEX(PP_Grid[#Data],$DE1075,94),0)</f>
        <v/>
      </c>
      <c r="CT1075">
        <f>IFERROR(INDEX(PP_Grid[#Data],$DE1075,95),0)</f>
        <v/>
      </c>
      <c r="CU1075">
        <f>IFERROR(INDEX(PP_Grid[#Data],$DE1075,96),0)</f>
        <v/>
      </c>
      <c r="CV1075">
        <f>IFERROR(INDEX(PP_Grid[#Data],$DE1075,97),0)</f>
        <v/>
      </c>
      <c r="CW1075">
        <f>IFERROR(INDEX(PP_Grid[#Data],$DE1075,98),0)</f>
        <v/>
      </c>
      <c r="CX1075">
        <f>IFERROR(INDEX(PP_Grid[#Data],$DE1075,99),0)</f>
        <v/>
      </c>
      <c r="CY1075">
        <f>IFERROR(INDEX(PP_Grid[#Data],$DE1075,100),0)</f>
        <v/>
      </c>
      <c r="CZ1075">
        <f>IFERROR(INDEX(PP_Grid[#Data],$DE1075,101),0)</f>
        <v/>
      </c>
      <c r="DA1075">
        <f>IFERROR(INDEX(PP_Grid[#Data],$DE1075,102),0)</f>
        <v/>
      </c>
      <c r="DB1075">
        <f>IFERROR(INDEX(PP_Grid[#Data],$DE1075,103),0)</f>
        <v/>
      </c>
      <c r="DC1075">
        <f>IFERROR(INDEX(PP_Grid[#Data],$DE1075,104),0)</f>
        <v/>
      </c>
      <c r="DD1075">
        <f>IFERROR(INDEX(PP_Grid[#Data],$DE1075,105),0)</f>
        <v/>
      </c>
      <c r="DE1075" s="7">
        <f>IFERROR(MATCH($B1075,PP_Grid[Intermediate],0),99999)</f>
        <v/>
      </c>
    </row>
    <row r="1076">
      <c r="B1076" t="inlineStr">
        <is>
          <t>使用量(kg)</t>
        </is>
      </c>
      <c r="C1076">
        <f>SUMIFS(M_BOM[RM_Qty_Per_Batch],M_BOM[Intermediate],$B1075,M_BOM[RM_Code],$A1072)</f>
        <v/>
      </c>
      <c r="D1076">
        <f>IFERROR(INDEX(E1076:DD1076,$F$1),"")</f>
        <v/>
      </c>
      <c r="E1076">
        <f>$C1076*E1075</f>
        <v/>
      </c>
      <c r="F1076">
        <f>$C1076*F1075</f>
        <v/>
      </c>
      <c r="G1076">
        <f>$C1076*G1075</f>
        <v/>
      </c>
      <c r="H1076">
        <f>$C1076*H1075</f>
        <v/>
      </c>
      <c r="I1076">
        <f>$C1076*I1075</f>
        <v/>
      </c>
      <c r="J1076">
        <f>$C1076*J1075</f>
        <v/>
      </c>
      <c r="K1076">
        <f>$C1076*K1075</f>
        <v/>
      </c>
      <c r="L1076">
        <f>$C1076*L1075</f>
        <v/>
      </c>
      <c r="M1076">
        <f>$C1076*M1075</f>
        <v/>
      </c>
      <c r="N1076">
        <f>$C1076*N1075</f>
        <v/>
      </c>
      <c r="O1076">
        <f>$C1076*O1075</f>
        <v/>
      </c>
      <c r="P1076">
        <f>$C1076*P1075</f>
        <v/>
      </c>
      <c r="Q1076">
        <f>$C1076*Q1075</f>
        <v/>
      </c>
      <c r="R1076">
        <f>$C1076*R1075</f>
        <v/>
      </c>
      <c r="S1076">
        <f>$C1076*S1075</f>
        <v/>
      </c>
      <c r="T1076">
        <f>$C1076*T1075</f>
        <v/>
      </c>
      <c r="U1076">
        <f>$C1076*U1075</f>
        <v/>
      </c>
      <c r="V1076">
        <f>$C1076*V1075</f>
        <v/>
      </c>
      <c r="W1076">
        <f>$C1076*W1075</f>
        <v/>
      </c>
      <c r="X1076">
        <f>$C1076*X1075</f>
        <v/>
      </c>
      <c r="Y1076">
        <f>$C1076*Y1075</f>
        <v/>
      </c>
      <c r="Z1076">
        <f>$C1076*Z1075</f>
        <v/>
      </c>
      <c r="AA1076">
        <f>$C1076*AA1075</f>
        <v/>
      </c>
      <c r="AB1076">
        <f>$C1076*AB1075</f>
        <v/>
      </c>
      <c r="AC1076">
        <f>$C1076*AC1075</f>
        <v/>
      </c>
      <c r="AD1076">
        <f>$C1076*AD1075</f>
        <v/>
      </c>
      <c r="AE1076">
        <f>$C1076*AE1075</f>
        <v/>
      </c>
      <c r="AF1076">
        <f>$C1076*AF1075</f>
        <v/>
      </c>
      <c r="AG1076">
        <f>$C1076*AG1075</f>
        <v/>
      </c>
      <c r="AH1076">
        <f>$C1076*AH1075</f>
        <v/>
      </c>
      <c r="AI1076">
        <f>$C1076*AI1075</f>
        <v/>
      </c>
      <c r="AJ1076">
        <f>$C1076*AJ1075</f>
        <v/>
      </c>
      <c r="AK1076">
        <f>$C1076*AK1075</f>
        <v/>
      </c>
      <c r="AL1076">
        <f>$C1076*AL1075</f>
        <v/>
      </c>
      <c r="AM1076">
        <f>$C1076*AM1075</f>
        <v/>
      </c>
      <c r="AN1076">
        <f>$C1076*AN1075</f>
        <v/>
      </c>
      <c r="AO1076">
        <f>$C1076*AO1075</f>
        <v/>
      </c>
      <c r="AP1076">
        <f>$C1076*AP1075</f>
        <v/>
      </c>
      <c r="AQ1076">
        <f>$C1076*AQ1075</f>
        <v/>
      </c>
      <c r="AR1076">
        <f>$C1076*AR1075</f>
        <v/>
      </c>
      <c r="AS1076">
        <f>$C1076*AS1075</f>
        <v/>
      </c>
      <c r="AT1076">
        <f>$C1076*AT1075</f>
        <v/>
      </c>
      <c r="AU1076">
        <f>$C1076*AU1075</f>
        <v/>
      </c>
      <c r="AV1076">
        <f>$C1076*AV1075</f>
        <v/>
      </c>
      <c r="AW1076">
        <f>$C1076*AW1075</f>
        <v/>
      </c>
      <c r="AX1076">
        <f>$C1076*AX1075</f>
        <v/>
      </c>
      <c r="AY1076">
        <f>$C1076*AY1075</f>
        <v/>
      </c>
      <c r="AZ1076">
        <f>$C1076*AZ1075</f>
        <v/>
      </c>
      <c r="BA1076">
        <f>$C1076*BA1075</f>
        <v/>
      </c>
      <c r="BB1076">
        <f>$C1076*BB1075</f>
        <v/>
      </c>
      <c r="BC1076">
        <f>$C1076*BC1075</f>
        <v/>
      </c>
      <c r="BD1076">
        <f>$C1076*BD1075</f>
        <v/>
      </c>
      <c r="BE1076">
        <f>$C1076*BE1075</f>
        <v/>
      </c>
      <c r="BF1076">
        <f>$C1076*BF1075</f>
        <v/>
      </c>
      <c r="BG1076">
        <f>$C1076*BG1075</f>
        <v/>
      </c>
      <c r="BH1076">
        <f>$C1076*BH1075</f>
        <v/>
      </c>
      <c r="BI1076">
        <f>$C1076*BI1075</f>
        <v/>
      </c>
      <c r="BJ1076">
        <f>$C1076*BJ1075</f>
        <v/>
      </c>
      <c r="BK1076">
        <f>$C1076*BK1075</f>
        <v/>
      </c>
      <c r="BL1076">
        <f>$C1076*BL1075</f>
        <v/>
      </c>
      <c r="BM1076">
        <f>$C1076*BM1075</f>
        <v/>
      </c>
      <c r="BN1076">
        <f>$C1076*BN1075</f>
        <v/>
      </c>
      <c r="BO1076">
        <f>$C1076*BO1075</f>
        <v/>
      </c>
      <c r="BP1076">
        <f>$C1076*BP1075</f>
        <v/>
      </c>
      <c r="BQ1076">
        <f>$C1076*BQ1075</f>
        <v/>
      </c>
      <c r="BR1076">
        <f>$C1076*BR1075</f>
        <v/>
      </c>
      <c r="BS1076">
        <f>$C1076*BS1075</f>
        <v/>
      </c>
      <c r="BT1076">
        <f>$C1076*BT1075</f>
        <v/>
      </c>
      <c r="BU1076">
        <f>$C1076*BU1075</f>
        <v/>
      </c>
      <c r="BV1076">
        <f>$C1076*BV1075</f>
        <v/>
      </c>
      <c r="BW1076">
        <f>$C1076*BW1075</f>
        <v/>
      </c>
      <c r="BX1076">
        <f>$C1076*BX1075</f>
        <v/>
      </c>
      <c r="BY1076">
        <f>$C1076*BY1075</f>
        <v/>
      </c>
      <c r="BZ1076">
        <f>$C1076*BZ1075</f>
        <v/>
      </c>
      <c r="CA1076">
        <f>$C1076*CA1075</f>
        <v/>
      </c>
      <c r="CB1076">
        <f>$C1076*CB1075</f>
        <v/>
      </c>
      <c r="CC1076">
        <f>$C1076*CC1075</f>
        <v/>
      </c>
      <c r="CD1076">
        <f>$C1076*CD1075</f>
        <v/>
      </c>
      <c r="CE1076">
        <f>$C1076*CE1075</f>
        <v/>
      </c>
      <c r="CF1076">
        <f>$C1076*CF1075</f>
        <v/>
      </c>
      <c r="CG1076">
        <f>$C1076*CG1075</f>
        <v/>
      </c>
      <c r="CH1076">
        <f>$C1076*CH1075</f>
        <v/>
      </c>
      <c r="CI1076">
        <f>$C1076*CI1075</f>
        <v/>
      </c>
      <c r="CJ1076">
        <f>$C1076*CJ1075</f>
        <v/>
      </c>
      <c r="CK1076">
        <f>$C1076*CK1075</f>
        <v/>
      </c>
      <c r="CL1076">
        <f>$C1076*CL1075</f>
        <v/>
      </c>
      <c r="CM1076">
        <f>$C1076*CM1075</f>
        <v/>
      </c>
      <c r="CN1076">
        <f>$C1076*CN1075</f>
        <v/>
      </c>
      <c r="CO1076">
        <f>$C1076*CO1075</f>
        <v/>
      </c>
      <c r="CP1076">
        <f>$C1076*CP1075</f>
        <v/>
      </c>
      <c r="CQ1076">
        <f>$C1076*CQ1075</f>
        <v/>
      </c>
      <c r="CR1076">
        <f>$C1076*CR1075</f>
        <v/>
      </c>
      <c r="CS1076">
        <f>$C1076*CS1075</f>
        <v/>
      </c>
      <c r="CT1076">
        <f>$C1076*CT1075</f>
        <v/>
      </c>
      <c r="CU1076">
        <f>$C1076*CU1075</f>
        <v/>
      </c>
      <c r="CV1076">
        <f>$C1076*CV1075</f>
        <v/>
      </c>
      <c r="CW1076">
        <f>$C1076*CW1075</f>
        <v/>
      </c>
      <c r="CX1076">
        <f>$C1076*CX1075</f>
        <v/>
      </c>
      <c r="CY1076">
        <f>$C1076*CY1075</f>
        <v/>
      </c>
      <c r="CZ1076">
        <f>$C1076*CZ1075</f>
        <v/>
      </c>
      <c r="DA1076">
        <f>$C1076*DA1075</f>
        <v/>
      </c>
      <c r="DB1076">
        <f>$C1076*DB1075</f>
        <v/>
      </c>
      <c r="DC1076">
        <f>$C1076*DC1075</f>
        <v/>
      </c>
      <c r="DD1076">
        <f>$C1076*DD1075</f>
        <v/>
      </c>
    </row>
    <row r="1077">
      <c r="B1077" t="inlineStr">
        <is>
          <t>No of times used</t>
        </is>
      </c>
      <c r="C1077" t="inlineStr">
        <is>
          <t>No. of batches</t>
        </is>
      </c>
      <c r="D1077">
        <f>IFERROR(INDEX(E1077:DD1077,$F$1),"")</f>
        <v/>
      </c>
      <c r="E1077">
        <f>IFERROR(INDEX(PP_Grid[#Data],$DE1077,2),0)</f>
        <v/>
      </c>
      <c r="F1077">
        <f>IFERROR(INDEX(PP_Grid[#Data],$DE1077,3),0)</f>
        <v/>
      </c>
      <c r="G1077">
        <f>IFERROR(INDEX(PP_Grid[#Data],$DE1077,4),0)</f>
        <v/>
      </c>
      <c r="H1077">
        <f>IFERROR(INDEX(PP_Grid[#Data],$DE1077,5),0)</f>
        <v/>
      </c>
      <c r="I1077">
        <f>IFERROR(INDEX(PP_Grid[#Data],$DE1077,6),0)</f>
        <v/>
      </c>
      <c r="J1077">
        <f>IFERROR(INDEX(PP_Grid[#Data],$DE1077,7),0)</f>
        <v/>
      </c>
      <c r="K1077">
        <f>IFERROR(INDEX(PP_Grid[#Data],$DE1077,8),0)</f>
        <v/>
      </c>
      <c r="L1077">
        <f>IFERROR(INDEX(PP_Grid[#Data],$DE1077,9),0)</f>
        <v/>
      </c>
      <c r="M1077">
        <f>IFERROR(INDEX(PP_Grid[#Data],$DE1077,10),0)</f>
        <v/>
      </c>
      <c r="N1077">
        <f>IFERROR(INDEX(PP_Grid[#Data],$DE1077,11),0)</f>
        <v/>
      </c>
      <c r="O1077">
        <f>IFERROR(INDEX(PP_Grid[#Data],$DE1077,12),0)</f>
        <v/>
      </c>
      <c r="P1077">
        <f>IFERROR(INDEX(PP_Grid[#Data],$DE1077,13),0)</f>
        <v/>
      </c>
      <c r="Q1077">
        <f>IFERROR(INDEX(PP_Grid[#Data],$DE1077,14),0)</f>
        <v/>
      </c>
      <c r="R1077">
        <f>IFERROR(INDEX(PP_Grid[#Data],$DE1077,15),0)</f>
        <v/>
      </c>
      <c r="S1077">
        <f>IFERROR(INDEX(PP_Grid[#Data],$DE1077,16),0)</f>
        <v/>
      </c>
      <c r="T1077">
        <f>IFERROR(INDEX(PP_Grid[#Data],$DE1077,17),0)</f>
        <v/>
      </c>
      <c r="U1077">
        <f>IFERROR(INDEX(PP_Grid[#Data],$DE1077,18),0)</f>
        <v/>
      </c>
      <c r="V1077">
        <f>IFERROR(INDEX(PP_Grid[#Data],$DE1077,19),0)</f>
        <v/>
      </c>
      <c r="W1077">
        <f>IFERROR(INDEX(PP_Grid[#Data],$DE1077,20),0)</f>
        <v/>
      </c>
      <c r="X1077">
        <f>IFERROR(INDEX(PP_Grid[#Data],$DE1077,21),0)</f>
        <v/>
      </c>
      <c r="Y1077">
        <f>IFERROR(INDEX(PP_Grid[#Data],$DE1077,22),0)</f>
        <v/>
      </c>
      <c r="Z1077">
        <f>IFERROR(INDEX(PP_Grid[#Data],$DE1077,23),0)</f>
        <v/>
      </c>
      <c r="AA1077">
        <f>IFERROR(INDEX(PP_Grid[#Data],$DE1077,24),0)</f>
        <v/>
      </c>
      <c r="AB1077">
        <f>IFERROR(INDEX(PP_Grid[#Data],$DE1077,25),0)</f>
        <v/>
      </c>
      <c r="AC1077">
        <f>IFERROR(INDEX(PP_Grid[#Data],$DE1077,26),0)</f>
        <v/>
      </c>
      <c r="AD1077">
        <f>IFERROR(INDEX(PP_Grid[#Data],$DE1077,27),0)</f>
        <v/>
      </c>
      <c r="AE1077">
        <f>IFERROR(INDEX(PP_Grid[#Data],$DE1077,28),0)</f>
        <v/>
      </c>
      <c r="AF1077">
        <f>IFERROR(INDEX(PP_Grid[#Data],$DE1077,29),0)</f>
        <v/>
      </c>
      <c r="AG1077">
        <f>IFERROR(INDEX(PP_Grid[#Data],$DE1077,30),0)</f>
        <v/>
      </c>
      <c r="AH1077">
        <f>IFERROR(INDEX(PP_Grid[#Data],$DE1077,31),0)</f>
        <v/>
      </c>
      <c r="AI1077">
        <f>IFERROR(INDEX(PP_Grid[#Data],$DE1077,32),0)</f>
        <v/>
      </c>
      <c r="AJ1077">
        <f>IFERROR(INDEX(PP_Grid[#Data],$DE1077,33),0)</f>
        <v/>
      </c>
      <c r="AK1077">
        <f>IFERROR(INDEX(PP_Grid[#Data],$DE1077,34),0)</f>
        <v/>
      </c>
      <c r="AL1077">
        <f>IFERROR(INDEX(PP_Grid[#Data],$DE1077,35),0)</f>
        <v/>
      </c>
      <c r="AM1077">
        <f>IFERROR(INDEX(PP_Grid[#Data],$DE1077,36),0)</f>
        <v/>
      </c>
      <c r="AN1077">
        <f>IFERROR(INDEX(PP_Grid[#Data],$DE1077,37),0)</f>
        <v/>
      </c>
      <c r="AO1077">
        <f>IFERROR(INDEX(PP_Grid[#Data],$DE1077,38),0)</f>
        <v/>
      </c>
      <c r="AP1077">
        <f>IFERROR(INDEX(PP_Grid[#Data],$DE1077,39),0)</f>
        <v/>
      </c>
      <c r="AQ1077">
        <f>IFERROR(INDEX(PP_Grid[#Data],$DE1077,40),0)</f>
        <v/>
      </c>
      <c r="AR1077">
        <f>IFERROR(INDEX(PP_Grid[#Data],$DE1077,41),0)</f>
        <v/>
      </c>
      <c r="AS1077">
        <f>IFERROR(INDEX(PP_Grid[#Data],$DE1077,42),0)</f>
        <v/>
      </c>
      <c r="AT1077">
        <f>IFERROR(INDEX(PP_Grid[#Data],$DE1077,43),0)</f>
        <v/>
      </c>
      <c r="AU1077">
        <f>IFERROR(INDEX(PP_Grid[#Data],$DE1077,44),0)</f>
        <v/>
      </c>
      <c r="AV1077">
        <f>IFERROR(INDEX(PP_Grid[#Data],$DE1077,45),0)</f>
        <v/>
      </c>
      <c r="AW1077">
        <f>IFERROR(INDEX(PP_Grid[#Data],$DE1077,46),0)</f>
        <v/>
      </c>
      <c r="AX1077">
        <f>IFERROR(INDEX(PP_Grid[#Data],$DE1077,47),0)</f>
        <v/>
      </c>
      <c r="AY1077">
        <f>IFERROR(INDEX(PP_Grid[#Data],$DE1077,48),0)</f>
        <v/>
      </c>
      <c r="AZ1077">
        <f>IFERROR(INDEX(PP_Grid[#Data],$DE1077,49),0)</f>
        <v/>
      </c>
      <c r="BA1077">
        <f>IFERROR(INDEX(PP_Grid[#Data],$DE1077,50),0)</f>
        <v/>
      </c>
      <c r="BB1077">
        <f>IFERROR(INDEX(PP_Grid[#Data],$DE1077,51),0)</f>
        <v/>
      </c>
      <c r="BC1077">
        <f>IFERROR(INDEX(PP_Grid[#Data],$DE1077,52),0)</f>
        <v/>
      </c>
      <c r="BD1077">
        <f>IFERROR(INDEX(PP_Grid[#Data],$DE1077,53),0)</f>
        <v/>
      </c>
      <c r="BE1077">
        <f>IFERROR(INDEX(PP_Grid[#Data],$DE1077,54),0)</f>
        <v/>
      </c>
      <c r="BF1077">
        <f>IFERROR(INDEX(PP_Grid[#Data],$DE1077,55),0)</f>
        <v/>
      </c>
      <c r="BG1077">
        <f>IFERROR(INDEX(PP_Grid[#Data],$DE1077,56),0)</f>
        <v/>
      </c>
      <c r="BH1077">
        <f>IFERROR(INDEX(PP_Grid[#Data],$DE1077,57),0)</f>
        <v/>
      </c>
      <c r="BI1077">
        <f>IFERROR(INDEX(PP_Grid[#Data],$DE1077,58),0)</f>
        <v/>
      </c>
      <c r="BJ1077">
        <f>IFERROR(INDEX(PP_Grid[#Data],$DE1077,59),0)</f>
        <v/>
      </c>
      <c r="BK1077">
        <f>IFERROR(INDEX(PP_Grid[#Data],$DE1077,60),0)</f>
        <v/>
      </c>
      <c r="BL1077">
        <f>IFERROR(INDEX(PP_Grid[#Data],$DE1077,61),0)</f>
        <v/>
      </c>
      <c r="BM1077">
        <f>IFERROR(INDEX(PP_Grid[#Data],$DE1077,62),0)</f>
        <v/>
      </c>
      <c r="BN1077">
        <f>IFERROR(INDEX(PP_Grid[#Data],$DE1077,63),0)</f>
        <v/>
      </c>
      <c r="BO1077">
        <f>IFERROR(INDEX(PP_Grid[#Data],$DE1077,64),0)</f>
        <v/>
      </c>
      <c r="BP1077">
        <f>IFERROR(INDEX(PP_Grid[#Data],$DE1077,65),0)</f>
        <v/>
      </c>
      <c r="BQ1077">
        <f>IFERROR(INDEX(PP_Grid[#Data],$DE1077,66),0)</f>
        <v/>
      </c>
      <c r="BR1077">
        <f>IFERROR(INDEX(PP_Grid[#Data],$DE1077,67),0)</f>
        <v/>
      </c>
      <c r="BS1077">
        <f>IFERROR(INDEX(PP_Grid[#Data],$DE1077,68),0)</f>
        <v/>
      </c>
      <c r="BT1077">
        <f>IFERROR(INDEX(PP_Grid[#Data],$DE1077,69),0)</f>
        <v/>
      </c>
      <c r="BU1077">
        <f>IFERROR(INDEX(PP_Grid[#Data],$DE1077,70),0)</f>
        <v/>
      </c>
      <c r="BV1077">
        <f>IFERROR(INDEX(PP_Grid[#Data],$DE1077,71),0)</f>
        <v/>
      </c>
      <c r="BW1077">
        <f>IFERROR(INDEX(PP_Grid[#Data],$DE1077,72),0)</f>
        <v/>
      </c>
      <c r="BX1077">
        <f>IFERROR(INDEX(PP_Grid[#Data],$DE1077,73),0)</f>
        <v/>
      </c>
      <c r="BY1077">
        <f>IFERROR(INDEX(PP_Grid[#Data],$DE1077,74),0)</f>
        <v/>
      </c>
      <c r="BZ1077">
        <f>IFERROR(INDEX(PP_Grid[#Data],$DE1077,75),0)</f>
        <v/>
      </c>
      <c r="CA1077">
        <f>IFERROR(INDEX(PP_Grid[#Data],$DE1077,76),0)</f>
        <v/>
      </c>
      <c r="CB1077">
        <f>IFERROR(INDEX(PP_Grid[#Data],$DE1077,77),0)</f>
        <v/>
      </c>
      <c r="CC1077">
        <f>IFERROR(INDEX(PP_Grid[#Data],$DE1077,78),0)</f>
        <v/>
      </c>
      <c r="CD1077">
        <f>IFERROR(INDEX(PP_Grid[#Data],$DE1077,79),0)</f>
        <v/>
      </c>
      <c r="CE1077">
        <f>IFERROR(INDEX(PP_Grid[#Data],$DE1077,80),0)</f>
        <v/>
      </c>
      <c r="CF1077">
        <f>IFERROR(INDEX(PP_Grid[#Data],$DE1077,81),0)</f>
        <v/>
      </c>
      <c r="CG1077">
        <f>IFERROR(INDEX(PP_Grid[#Data],$DE1077,82),0)</f>
        <v/>
      </c>
      <c r="CH1077">
        <f>IFERROR(INDEX(PP_Grid[#Data],$DE1077,83),0)</f>
        <v/>
      </c>
      <c r="CI1077">
        <f>IFERROR(INDEX(PP_Grid[#Data],$DE1077,84),0)</f>
        <v/>
      </c>
      <c r="CJ1077">
        <f>IFERROR(INDEX(PP_Grid[#Data],$DE1077,85),0)</f>
        <v/>
      </c>
      <c r="CK1077">
        <f>IFERROR(INDEX(PP_Grid[#Data],$DE1077,86),0)</f>
        <v/>
      </c>
      <c r="CL1077">
        <f>IFERROR(INDEX(PP_Grid[#Data],$DE1077,87),0)</f>
        <v/>
      </c>
      <c r="CM1077">
        <f>IFERROR(INDEX(PP_Grid[#Data],$DE1077,88),0)</f>
        <v/>
      </c>
      <c r="CN1077">
        <f>IFERROR(INDEX(PP_Grid[#Data],$DE1077,89),0)</f>
        <v/>
      </c>
      <c r="CO1077">
        <f>IFERROR(INDEX(PP_Grid[#Data],$DE1077,90),0)</f>
        <v/>
      </c>
      <c r="CP1077">
        <f>IFERROR(INDEX(PP_Grid[#Data],$DE1077,91),0)</f>
        <v/>
      </c>
      <c r="CQ1077">
        <f>IFERROR(INDEX(PP_Grid[#Data],$DE1077,92),0)</f>
        <v/>
      </c>
      <c r="CR1077">
        <f>IFERROR(INDEX(PP_Grid[#Data],$DE1077,93),0)</f>
        <v/>
      </c>
      <c r="CS1077">
        <f>IFERROR(INDEX(PP_Grid[#Data],$DE1077,94),0)</f>
        <v/>
      </c>
      <c r="CT1077">
        <f>IFERROR(INDEX(PP_Grid[#Data],$DE1077,95),0)</f>
        <v/>
      </c>
      <c r="CU1077">
        <f>IFERROR(INDEX(PP_Grid[#Data],$DE1077,96),0)</f>
        <v/>
      </c>
      <c r="CV1077">
        <f>IFERROR(INDEX(PP_Grid[#Data],$DE1077,97),0)</f>
        <v/>
      </c>
      <c r="CW1077">
        <f>IFERROR(INDEX(PP_Grid[#Data],$DE1077,98),0)</f>
        <v/>
      </c>
      <c r="CX1077">
        <f>IFERROR(INDEX(PP_Grid[#Data],$DE1077,99),0)</f>
        <v/>
      </c>
      <c r="CY1077">
        <f>IFERROR(INDEX(PP_Grid[#Data],$DE1077,100),0)</f>
        <v/>
      </c>
      <c r="CZ1077">
        <f>IFERROR(INDEX(PP_Grid[#Data],$DE1077,101),0)</f>
        <v/>
      </c>
      <c r="DA1077">
        <f>IFERROR(INDEX(PP_Grid[#Data],$DE1077,102),0)</f>
        <v/>
      </c>
      <c r="DB1077">
        <f>IFERROR(INDEX(PP_Grid[#Data],$DE1077,103),0)</f>
        <v/>
      </c>
      <c r="DC1077">
        <f>IFERROR(INDEX(PP_Grid[#Data],$DE1077,104),0)</f>
        <v/>
      </c>
      <c r="DD1077">
        <f>IFERROR(INDEX(PP_Grid[#Data],$DE1077,105),0)</f>
        <v/>
      </c>
      <c r="DE1077" s="7">
        <f>IFERROR(MATCH($B1077,PP_Grid[Intermediate],0),99999)</f>
        <v/>
      </c>
    </row>
    <row r="1078">
      <c r="B1078" t="inlineStr">
        <is>
          <t>使用量(kg)</t>
        </is>
      </c>
      <c r="C1078">
        <f>SUMIFS(M_BOM[RM_Qty_Per_Batch],M_BOM[Intermediate],$B1077,M_BOM[RM_Code],$A1072)</f>
        <v/>
      </c>
      <c r="D1078">
        <f>IFERROR(INDEX(E1078:DD1078,$F$1),"")</f>
        <v/>
      </c>
      <c r="E1078">
        <f>$C1078*E1077</f>
        <v/>
      </c>
      <c r="F1078">
        <f>$C1078*F1077</f>
        <v/>
      </c>
      <c r="G1078">
        <f>$C1078*G1077</f>
        <v/>
      </c>
      <c r="H1078">
        <f>$C1078*H1077</f>
        <v/>
      </c>
      <c r="I1078">
        <f>$C1078*I1077</f>
        <v/>
      </c>
      <c r="J1078">
        <f>$C1078*J1077</f>
        <v/>
      </c>
      <c r="K1078">
        <f>$C1078*K1077</f>
        <v/>
      </c>
      <c r="L1078">
        <f>$C1078*L1077</f>
        <v/>
      </c>
      <c r="M1078">
        <f>$C1078*M1077</f>
        <v/>
      </c>
      <c r="N1078">
        <f>$C1078*N1077</f>
        <v/>
      </c>
      <c r="O1078">
        <f>$C1078*O1077</f>
        <v/>
      </c>
      <c r="P1078">
        <f>$C1078*P1077</f>
        <v/>
      </c>
      <c r="Q1078">
        <f>$C1078*Q1077</f>
        <v/>
      </c>
      <c r="R1078">
        <f>$C1078*R1077</f>
        <v/>
      </c>
      <c r="S1078">
        <f>$C1078*S1077</f>
        <v/>
      </c>
      <c r="T1078">
        <f>$C1078*T1077</f>
        <v/>
      </c>
      <c r="U1078">
        <f>$C1078*U1077</f>
        <v/>
      </c>
      <c r="V1078">
        <f>$C1078*V1077</f>
        <v/>
      </c>
      <c r="W1078">
        <f>$C1078*W1077</f>
        <v/>
      </c>
      <c r="X1078">
        <f>$C1078*X1077</f>
        <v/>
      </c>
      <c r="Y1078">
        <f>$C1078*Y1077</f>
        <v/>
      </c>
      <c r="Z1078">
        <f>$C1078*Z1077</f>
        <v/>
      </c>
      <c r="AA1078">
        <f>$C1078*AA1077</f>
        <v/>
      </c>
      <c r="AB1078">
        <f>$C1078*AB1077</f>
        <v/>
      </c>
      <c r="AC1078">
        <f>$C1078*AC1077</f>
        <v/>
      </c>
      <c r="AD1078">
        <f>$C1078*AD1077</f>
        <v/>
      </c>
      <c r="AE1078">
        <f>$C1078*AE1077</f>
        <v/>
      </c>
      <c r="AF1078">
        <f>$C1078*AF1077</f>
        <v/>
      </c>
      <c r="AG1078">
        <f>$C1078*AG1077</f>
        <v/>
      </c>
      <c r="AH1078">
        <f>$C1078*AH1077</f>
        <v/>
      </c>
      <c r="AI1078">
        <f>$C1078*AI1077</f>
        <v/>
      </c>
      <c r="AJ1078">
        <f>$C1078*AJ1077</f>
        <v/>
      </c>
      <c r="AK1078">
        <f>$C1078*AK1077</f>
        <v/>
      </c>
      <c r="AL1078">
        <f>$C1078*AL1077</f>
        <v/>
      </c>
      <c r="AM1078">
        <f>$C1078*AM1077</f>
        <v/>
      </c>
      <c r="AN1078">
        <f>$C1078*AN1077</f>
        <v/>
      </c>
      <c r="AO1078">
        <f>$C1078*AO1077</f>
        <v/>
      </c>
      <c r="AP1078">
        <f>$C1078*AP1077</f>
        <v/>
      </c>
      <c r="AQ1078">
        <f>$C1078*AQ1077</f>
        <v/>
      </c>
      <c r="AR1078">
        <f>$C1078*AR1077</f>
        <v/>
      </c>
      <c r="AS1078">
        <f>$C1078*AS1077</f>
        <v/>
      </c>
      <c r="AT1078">
        <f>$C1078*AT1077</f>
        <v/>
      </c>
      <c r="AU1078">
        <f>$C1078*AU1077</f>
        <v/>
      </c>
      <c r="AV1078">
        <f>$C1078*AV1077</f>
        <v/>
      </c>
      <c r="AW1078">
        <f>$C1078*AW1077</f>
        <v/>
      </c>
      <c r="AX1078">
        <f>$C1078*AX1077</f>
        <v/>
      </c>
      <c r="AY1078">
        <f>$C1078*AY1077</f>
        <v/>
      </c>
      <c r="AZ1078">
        <f>$C1078*AZ1077</f>
        <v/>
      </c>
      <c r="BA1078">
        <f>$C1078*BA1077</f>
        <v/>
      </c>
      <c r="BB1078">
        <f>$C1078*BB1077</f>
        <v/>
      </c>
      <c r="BC1078">
        <f>$C1078*BC1077</f>
        <v/>
      </c>
      <c r="BD1078">
        <f>$C1078*BD1077</f>
        <v/>
      </c>
      <c r="BE1078">
        <f>$C1078*BE1077</f>
        <v/>
      </c>
      <c r="BF1078">
        <f>$C1078*BF1077</f>
        <v/>
      </c>
      <c r="BG1078">
        <f>$C1078*BG1077</f>
        <v/>
      </c>
      <c r="BH1078">
        <f>$C1078*BH1077</f>
        <v/>
      </c>
      <c r="BI1078">
        <f>$C1078*BI1077</f>
        <v/>
      </c>
      <c r="BJ1078">
        <f>$C1078*BJ1077</f>
        <v/>
      </c>
      <c r="BK1078">
        <f>$C1078*BK1077</f>
        <v/>
      </c>
      <c r="BL1078">
        <f>$C1078*BL1077</f>
        <v/>
      </c>
      <c r="BM1078">
        <f>$C1078*BM1077</f>
        <v/>
      </c>
      <c r="BN1078">
        <f>$C1078*BN1077</f>
        <v/>
      </c>
      <c r="BO1078">
        <f>$C1078*BO1077</f>
        <v/>
      </c>
      <c r="BP1078">
        <f>$C1078*BP1077</f>
        <v/>
      </c>
      <c r="BQ1078">
        <f>$C1078*BQ1077</f>
        <v/>
      </c>
      <c r="BR1078">
        <f>$C1078*BR1077</f>
        <v/>
      </c>
      <c r="BS1078">
        <f>$C1078*BS1077</f>
        <v/>
      </c>
      <c r="BT1078">
        <f>$C1078*BT1077</f>
        <v/>
      </c>
      <c r="BU1078">
        <f>$C1078*BU1077</f>
        <v/>
      </c>
      <c r="BV1078">
        <f>$C1078*BV1077</f>
        <v/>
      </c>
      <c r="BW1078">
        <f>$C1078*BW1077</f>
        <v/>
      </c>
      <c r="BX1078">
        <f>$C1078*BX1077</f>
        <v/>
      </c>
      <c r="BY1078">
        <f>$C1078*BY1077</f>
        <v/>
      </c>
      <c r="BZ1078">
        <f>$C1078*BZ1077</f>
        <v/>
      </c>
      <c r="CA1078">
        <f>$C1078*CA1077</f>
        <v/>
      </c>
      <c r="CB1078">
        <f>$C1078*CB1077</f>
        <v/>
      </c>
      <c r="CC1078">
        <f>$C1078*CC1077</f>
        <v/>
      </c>
      <c r="CD1078">
        <f>$C1078*CD1077</f>
        <v/>
      </c>
      <c r="CE1078">
        <f>$C1078*CE1077</f>
        <v/>
      </c>
      <c r="CF1078">
        <f>$C1078*CF1077</f>
        <v/>
      </c>
      <c r="CG1078">
        <f>$C1078*CG1077</f>
        <v/>
      </c>
      <c r="CH1078">
        <f>$C1078*CH1077</f>
        <v/>
      </c>
      <c r="CI1078">
        <f>$C1078*CI1077</f>
        <v/>
      </c>
      <c r="CJ1078">
        <f>$C1078*CJ1077</f>
        <v/>
      </c>
      <c r="CK1078">
        <f>$C1078*CK1077</f>
        <v/>
      </c>
      <c r="CL1078">
        <f>$C1078*CL1077</f>
        <v/>
      </c>
      <c r="CM1078">
        <f>$C1078*CM1077</f>
        <v/>
      </c>
      <c r="CN1078">
        <f>$C1078*CN1077</f>
        <v/>
      </c>
      <c r="CO1078">
        <f>$C1078*CO1077</f>
        <v/>
      </c>
      <c r="CP1078">
        <f>$C1078*CP1077</f>
        <v/>
      </c>
      <c r="CQ1078">
        <f>$C1078*CQ1077</f>
        <v/>
      </c>
      <c r="CR1078">
        <f>$C1078*CR1077</f>
        <v/>
      </c>
      <c r="CS1078">
        <f>$C1078*CS1077</f>
        <v/>
      </c>
      <c r="CT1078">
        <f>$C1078*CT1077</f>
        <v/>
      </c>
      <c r="CU1078">
        <f>$C1078*CU1077</f>
        <v/>
      </c>
      <c r="CV1078">
        <f>$C1078*CV1077</f>
        <v/>
      </c>
      <c r="CW1078">
        <f>$C1078*CW1077</f>
        <v/>
      </c>
      <c r="CX1078">
        <f>$C1078*CX1077</f>
        <v/>
      </c>
      <c r="CY1078">
        <f>$C1078*CY1077</f>
        <v/>
      </c>
      <c r="CZ1078">
        <f>$C1078*CZ1077</f>
        <v/>
      </c>
      <c r="DA1078">
        <f>$C1078*DA1077</f>
        <v/>
      </c>
      <c r="DB1078">
        <f>$C1078*DB1077</f>
        <v/>
      </c>
      <c r="DC1078">
        <f>$C1078*DC1077</f>
        <v/>
      </c>
      <c r="DD1078">
        <f>$C1078*DD1077</f>
        <v/>
      </c>
    </row>
    <row r="1079">
      <c r="B1079" s="4" t="inlineStr">
        <is>
          <t>合計使用量(kg)/週</t>
        </is>
      </c>
      <c r="D1079" s="23">
        <f>IFERROR(INDEX(E1079:DD1079,$F$1),"")</f>
        <v/>
      </c>
      <c r="E1079">
        <f>'Grid_Requirement'!B89</f>
        <v/>
      </c>
      <c r="F1079">
        <f>'Grid_Requirement'!C89</f>
        <v/>
      </c>
      <c r="G1079">
        <f>'Grid_Requirement'!D89</f>
        <v/>
      </c>
      <c r="H1079">
        <f>'Grid_Requirement'!E89</f>
        <v/>
      </c>
      <c r="I1079">
        <f>'Grid_Requirement'!F89</f>
        <v/>
      </c>
      <c r="J1079">
        <f>'Grid_Requirement'!G89</f>
        <v/>
      </c>
      <c r="K1079">
        <f>'Grid_Requirement'!H89</f>
        <v/>
      </c>
      <c r="L1079">
        <f>'Grid_Requirement'!I89</f>
        <v/>
      </c>
      <c r="M1079">
        <f>'Grid_Requirement'!J89</f>
        <v/>
      </c>
      <c r="N1079">
        <f>'Grid_Requirement'!K89</f>
        <v/>
      </c>
      <c r="O1079">
        <f>'Grid_Requirement'!L89</f>
        <v/>
      </c>
      <c r="P1079">
        <f>'Grid_Requirement'!M89</f>
        <v/>
      </c>
      <c r="Q1079">
        <f>'Grid_Requirement'!N89</f>
        <v/>
      </c>
      <c r="R1079">
        <f>'Grid_Requirement'!O89</f>
        <v/>
      </c>
      <c r="S1079">
        <f>'Grid_Requirement'!P89</f>
        <v/>
      </c>
      <c r="T1079">
        <f>'Grid_Requirement'!Q89</f>
        <v/>
      </c>
      <c r="U1079">
        <f>'Grid_Requirement'!R89</f>
        <v/>
      </c>
      <c r="V1079">
        <f>'Grid_Requirement'!S89</f>
        <v/>
      </c>
      <c r="W1079">
        <f>'Grid_Requirement'!T89</f>
        <v/>
      </c>
      <c r="X1079">
        <f>'Grid_Requirement'!U89</f>
        <v/>
      </c>
      <c r="Y1079">
        <f>'Grid_Requirement'!V89</f>
        <v/>
      </c>
      <c r="Z1079">
        <f>'Grid_Requirement'!W89</f>
        <v/>
      </c>
      <c r="AA1079">
        <f>'Grid_Requirement'!X89</f>
        <v/>
      </c>
      <c r="AB1079">
        <f>'Grid_Requirement'!Y89</f>
        <v/>
      </c>
      <c r="AC1079">
        <f>'Grid_Requirement'!Z89</f>
        <v/>
      </c>
      <c r="AD1079">
        <f>'Grid_Requirement'!AA89</f>
        <v/>
      </c>
      <c r="AE1079">
        <f>'Grid_Requirement'!AB89</f>
        <v/>
      </c>
      <c r="AF1079">
        <f>'Grid_Requirement'!AC89</f>
        <v/>
      </c>
      <c r="AG1079">
        <f>'Grid_Requirement'!AD89</f>
        <v/>
      </c>
      <c r="AH1079">
        <f>'Grid_Requirement'!AE89</f>
        <v/>
      </c>
      <c r="AI1079">
        <f>'Grid_Requirement'!AF89</f>
        <v/>
      </c>
      <c r="AJ1079">
        <f>'Grid_Requirement'!AG89</f>
        <v/>
      </c>
      <c r="AK1079">
        <f>'Grid_Requirement'!AH89</f>
        <v/>
      </c>
      <c r="AL1079">
        <f>'Grid_Requirement'!AI89</f>
        <v/>
      </c>
      <c r="AM1079">
        <f>'Grid_Requirement'!AJ89</f>
        <v/>
      </c>
      <c r="AN1079">
        <f>'Grid_Requirement'!AK89</f>
        <v/>
      </c>
      <c r="AO1079">
        <f>'Grid_Requirement'!AL89</f>
        <v/>
      </c>
      <c r="AP1079">
        <f>'Grid_Requirement'!AM89</f>
        <v/>
      </c>
      <c r="AQ1079">
        <f>'Grid_Requirement'!AN89</f>
        <v/>
      </c>
      <c r="AR1079">
        <f>'Grid_Requirement'!AO89</f>
        <v/>
      </c>
      <c r="AS1079">
        <f>'Grid_Requirement'!AP89</f>
        <v/>
      </c>
      <c r="AT1079">
        <f>'Grid_Requirement'!AQ89</f>
        <v/>
      </c>
      <c r="AU1079">
        <f>'Grid_Requirement'!AR89</f>
        <v/>
      </c>
      <c r="AV1079">
        <f>'Grid_Requirement'!AS89</f>
        <v/>
      </c>
      <c r="AW1079">
        <f>'Grid_Requirement'!AT89</f>
        <v/>
      </c>
      <c r="AX1079">
        <f>'Grid_Requirement'!AU89</f>
        <v/>
      </c>
      <c r="AY1079">
        <f>'Grid_Requirement'!AV89</f>
        <v/>
      </c>
      <c r="AZ1079">
        <f>'Grid_Requirement'!AW89</f>
        <v/>
      </c>
      <c r="BA1079">
        <f>'Grid_Requirement'!AX89</f>
        <v/>
      </c>
      <c r="BB1079">
        <f>'Grid_Requirement'!AY89</f>
        <v/>
      </c>
      <c r="BC1079">
        <f>'Grid_Requirement'!AZ89</f>
        <v/>
      </c>
      <c r="BD1079">
        <f>'Grid_Requirement'!BA89</f>
        <v/>
      </c>
      <c r="BE1079">
        <f>'Grid_Requirement'!BB89</f>
        <v/>
      </c>
      <c r="BF1079">
        <f>'Grid_Requirement'!BC89</f>
        <v/>
      </c>
      <c r="BG1079">
        <f>'Grid_Requirement'!BD89</f>
        <v/>
      </c>
      <c r="BH1079">
        <f>'Grid_Requirement'!BE89</f>
        <v/>
      </c>
      <c r="BI1079">
        <f>'Grid_Requirement'!BF89</f>
        <v/>
      </c>
      <c r="BJ1079">
        <f>'Grid_Requirement'!BG89</f>
        <v/>
      </c>
      <c r="BK1079">
        <f>'Grid_Requirement'!BH89</f>
        <v/>
      </c>
      <c r="BL1079">
        <f>'Grid_Requirement'!BI89</f>
        <v/>
      </c>
      <c r="BM1079">
        <f>'Grid_Requirement'!BJ89</f>
        <v/>
      </c>
      <c r="BN1079">
        <f>'Grid_Requirement'!BK89</f>
        <v/>
      </c>
      <c r="BO1079">
        <f>'Grid_Requirement'!BL89</f>
        <v/>
      </c>
      <c r="BP1079">
        <f>'Grid_Requirement'!BM89</f>
        <v/>
      </c>
      <c r="BQ1079">
        <f>'Grid_Requirement'!BN89</f>
        <v/>
      </c>
      <c r="BR1079">
        <f>'Grid_Requirement'!BO89</f>
        <v/>
      </c>
      <c r="BS1079">
        <f>'Grid_Requirement'!BP89</f>
        <v/>
      </c>
      <c r="BT1079">
        <f>'Grid_Requirement'!BQ89</f>
        <v/>
      </c>
      <c r="BU1079">
        <f>'Grid_Requirement'!BR89</f>
        <v/>
      </c>
      <c r="BV1079">
        <f>'Grid_Requirement'!BS89</f>
        <v/>
      </c>
      <c r="BW1079">
        <f>'Grid_Requirement'!BT89</f>
        <v/>
      </c>
      <c r="BX1079">
        <f>'Grid_Requirement'!BU89</f>
        <v/>
      </c>
      <c r="BY1079">
        <f>'Grid_Requirement'!BV89</f>
        <v/>
      </c>
      <c r="BZ1079">
        <f>'Grid_Requirement'!BW89</f>
        <v/>
      </c>
      <c r="CA1079">
        <f>'Grid_Requirement'!BX89</f>
        <v/>
      </c>
      <c r="CB1079">
        <f>'Grid_Requirement'!BY89</f>
        <v/>
      </c>
      <c r="CC1079">
        <f>'Grid_Requirement'!BZ89</f>
        <v/>
      </c>
      <c r="CD1079">
        <f>'Grid_Requirement'!CA89</f>
        <v/>
      </c>
      <c r="CE1079">
        <f>'Grid_Requirement'!CB89</f>
        <v/>
      </c>
      <c r="CF1079">
        <f>'Grid_Requirement'!CC89</f>
        <v/>
      </c>
      <c r="CG1079">
        <f>'Grid_Requirement'!CD89</f>
        <v/>
      </c>
      <c r="CH1079">
        <f>'Grid_Requirement'!CE89</f>
        <v/>
      </c>
      <c r="CI1079">
        <f>'Grid_Requirement'!CF89</f>
        <v/>
      </c>
      <c r="CJ1079">
        <f>'Grid_Requirement'!CG89</f>
        <v/>
      </c>
      <c r="CK1079">
        <f>'Grid_Requirement'!CH89</f>
        <v/>
      </c>
      <c r="CL1079">
        <f>'Grid_Requirement'!CI89</f>
        <v/>
      </c>
      <c r="CM1079">
        <f>'Grid_Requirement'!CJ89</f>
        <v/>
      </c>
      <c r="CN1079">
        <f>'Grid_Requirement'!CK89</f>
        <v/>
      </c>
      <c r="CO1079">
        <f>'Grid_Requirement'!CL89</f>
        <v/>
      </c>
      <c r="CP1079">
        <f>'Grid_Requirement'!CM89</f>
        <v/>
      </c>
      <c r="CQ1079">
        <f>'Grid_Requirement'!CN89</f>
        <v/>
      </c>
      <c r="CR1079">
        <f>'Grid_Requirement'!CO89</f>
        <v/>
      </c>
      <c r="CS1079">
        <f>'Grid_Requirement'!CP89</f>
        <v/>
      </c>
      <c r="CT1079">
        <f>'Grid_Requirement'!CQ89</f>
        <v/>
      </c>
      <c r="CU1079">
        <f>'Grid_Requirement'!CR89</f>
        <v/>
      </c>
      <c r="CV1079">
        <f>'Grid_Requirement'!CS89</f>
        <v/>
      </c>
      <c r="CW1079">
        <f>'Grid_Requirement'!CT89</f>
        <v/>
      </c>
      <c r="CX1079">
        <f>'Grid_Requirement'!CU89</f>
        <v/>
      </c>
      <c r="CY1079">
        <f>'Grid_Requirement'!CV89</f>
        <v/>
      </c>
      <c r="CZ1079">
        <f>'Grid_Requirement'!CW89</f>
        <v/>
      </c>
      <c r="DA1079">
        <f>'Grid_Requirement'!CX89</f>
        <v/>
      </c>
      <c r="DB1079">
        <f>'Grid_Requirement'!CY89</f>
        <v/>
      </c>
      <c r="DC1079">
        <f>'Grid_Requirement'!CZ89</f>
        <v/>
      </c>
      <c r="DD1079">
        <f>'Grid_Requirement'!DA89</f>
        <v/>
      </c>
    </row>
    <row r="1080">
      <c r="B1080" t="inlineStr">
        <is>
          <t>TTAF在庫(実績,kg)</t>
        </is>
      </c>
      <c r="D1080">
        <f>IFERROR(INDEX(E1080:DD1080,$F$1),"")</f>
        <v/>
      </c>
      <c r="E1080">
        <f>IFERROR(SUMIFS(T_TTAFStock[TTAF_Qty],T_TTAFStock[RM_Code],$A1072,T_TTAFStock[WeekIndex],1),"")</f>
        <v/>
      </c>
      <c r="F1080">
        <f>IFERROR(SUMIFS(T_TTAFStock[TTAF_Qty],T_TTAFStock[RM_Code],$A1072,T_TTAFStock[WeekIndex],2),"")</f>
        <v/>
      </c>
      <c r="G1080">
        <f>IFERROR(SUMIFS(T_TTAFStock[TTAF_Qty],T_TTAFStock[RM_Code],$A1072,T_TTAFStock[WeekIndex],3),"")</f>
        <v/>
      </c>
      <c r="H1080">
        <f>IFERROR(SUMIFS(T_TTAFStock[TTAF_Qty],T_TTAFStock[RM_Code],$A1072,T_TTAFStock[WeekIndex],4),"")</f>
        <v/>
      </c>
      <c r="I1080">
        <f>IFERROR(SUMIFS(T_TTAFStock[TTAF_Qty],T_TTAFStock[RM_Code],$A1072,T_TTAFStock[WeekIndex],5),"")</f>
        <v/>
      </c>
      <c r="J1080">
        <f>IFERROR(SUMIFS(T_TTAFStock[TTAF_Qty],T_TTAFStock[RM_Code],$A1072,T_TTAFStock[WeekIndex],6),"")</f>
        <v/>
      </c>
      <c r="K1080">
        <f>IFERROR(SUMIFS(T_TTAFStock[TTAF_Qty],T_TTAFStock[RM_Code],$A1072,T_TTAFStock[WeekIndex],7),"")</f>
        <v/>
      </c>
      <c r="L1080">
        <f>IFERROR(SUMIFS(T_TTAFStock[TTAF_Qty],T_TTAFStock[RM_Code],$A1072,T_TTAFStock[WeekIndex],8),"")</f>
        <v/>
      </c>
      <c r="M1080">
        <f>IFERROR(SUMIFS(T_TTAFStock[TTAF_Qty],T_TTAFStock[RM_Code],$A1072,T_TTAFStock[WeekIndex],9),"")</f>
        <v/>
      </c>
      <c r="N1080">
        <f>IFERROR(SUMIFS(T_TTAFStock[TTAF_Qty],T_TTAFStock[RM_Code],$A1072,T_TTAFStock[WeekIndex],10),"")</f>
        <v/>
      </c>
      <c r="O1080">
        <f>IFERROR(SUMIFS(T_TTAFStock[TTAF_Qty],T_TTAFStock[RM_Code],$A1072,T_TTAFStock[WeekIndex],11),"")</f>
        <v/>
      </c>
      <c r="P1080">
        <f>IFERROR(SUMIFS(T_TTAFStock[TTAF_Qty],T_TTAFStock[RM_Code],$A1072,T_TTAFStock[WeekIndex],12),"")</f>
        <v/>
      </c>
      <c r="Q1080">
        <f>IFERROR(SUMIFS(T_TTAFStock[TTAF_Qty],T_TTAFStock[RM_Code],$A1072,T_TTAFStock[WeekIndex],13),"")</f>
        <v/>
      </c>
      <c r="R1080">
        <f>IFERROR(SUMIFS(T_TTAFStock[TTAF_Qty],T_TTAFStock[RM_Code],$A1072,T_TTAFStock[WeekIndex],14),"")</f>
        <v/>
      </c>
      <c r="S1080">
        <f>IFERROR(SUMIFS(T_TTAFStock[TTAF_Qty],T_TTAFStock[RM_Code],$A1072,T_TTAFStock[WeekIndex],15),"")</f>
        <v/>
      </c>
      <c r="T1080">
        <f>IFERROR(SUMIFS(T_TTAFStock[TTAF_Qty],T_TTAFStock[RM_Code],$A1072,T_TTAFStock[WeekIndex],16),"")</f>
        <v/>
      </c>
      <c r="U1080">
        <f>IFERROR(SUMIFS(T_TTAFStock[TTAF_Qty],T_TTAFStock[RM_Code],$A1072,T_TTAFStock[WeekIndex],17),"")</f>
        <v/>
      </c>
      <c r="V1080">
        <f>IFERROR(SUMIFS(T_TTAFStock[TTAF_Qty],T_TTAFStock[RM_Code],$A1072,T_TTAFStock[WeekIndex],18),"")</f>
        <v/>
      </c>
      <c r="W1080">
        <f>IFERROR(SUMIFS(T_TTAFStock[TTAF_Qty],T_TTAFStock[RM_Code],$A1072,T_TTAFStock[WeekIndex],19),"")</f>
        <v/>
      </c>
      <c r="X1080">
        <f>IFERROR(SUMIFS(T_TTAFStock[TTAF_Qty],T_TTAFStock[RM_Code],$A1072,T_TTAFStock[WeekIndex],20),"")</f>
        <v/>
      </c>
      <c r="Y1080">
        <f>IFERROR(SUMIFS(T_TTAFStock[TTAF_Qty],T_TTAFStock[RM_Code],$A1072,T_TTAFStock[WeekIndex],21),"")</f>
        <v/>
      </c>
      <c r="Z1080">
        <f>IFERROR(SUMIFS(T_TTAFStock[TTAF_Qty],T_TTAFStock[RM_Code],$A1072,T_TTAFStock[WeekIndex],22),"")</f>
        <v/>
      </c>
      <c r="AA1080">
        <f>IFERROR(SUMIFS(T_TTAFStock[TTAF_Qty],T_TTAFStock[RM_Code],$A1072,T_TTAFStock[WeekIndex],23),"")</f>
        <v/>
      </c>
      <c r="AB1080">
        <f>IFERROR(SUMIFS(T_TTAFStock[TTAF_Qty],T_TTAFStock[RM_Code],$A1072,T_TTAFStock[WeekIndex],24),"")</f>
        <v/>
      </c>
      <c r="AC1080">
        <f>IFERROR(SUMIFS(T_TTAFStock[TTAF_Qty],T_TTAFStock[RM_Code],$A1072,T_TTAFStock[WeekIndex],25),"")</f>
        <v/>
      </c>
      <c r="AD1080">
        <f>IFERROR(SUMIFS(T_TTAFStock[TTAF_Qty],T_TTAFStock[RM_Code],$A1072,T_TTAFStock[WeekIndex],26),"")</f>
        <v/>
      </c>
      <c r="AE1080">
        <f>IFERROR(SUMIFS(T_TTAFStock[TTAF_Qty],T_TTAFStock[RM_Code],$A1072,T_TTAFStock[WeekIndex],27),"")</f>
        <v/>
      </c>
      <c r="AF1080">
        <f>IFERROR(SUMIFS(T_TTAFStock[TTAF_Qty],T_TTAFStock[RM_Code],$A1072,T_TTAFStock[WeekIndex],28),"")</f>
        <v/>
      </c>
      <c r="AG1080">
        <f>IFERROR(SUMIFS(T_TTAFStock[TTAF_Qty],T_TTAFStock[RM_Code],$A1072,T_TTAFStock[WeekIndex],29),"")</f>
        <v/>
      </c>
      <c r="AH1080">
        <f>IFERROR(SUMIFS(T_TTAFStock[TTAF_Qty],T_TTAFStock[RM_Code],$A1072,T_TTAFStock[WeekIndex],30),"")</f>
        <v/>
      </c>
      <c r="AI1080">
        <f>IFERROR(SUMIFS(T_TTAFStock[TTAF_Qty],T_TTAFStock[RM_Code],$A1072,T_TTAFStock[WeekIndex],31),"")</f>
        <v/>
      </c>
      <c r="AJ1080">
        <f>IFERROR(SUMIFS(T_TTAFStock[TTAF_Qty],T_TTAFStock[RM_Code],$A1072,T_TTAFStock[WeekIndex],32),"")</f>
        <v/>
      </c>
      <c r="AK1080">
        <f>IFERROR(SUMIFS(T_TTAFStock[TTAF_Qty],T_TTAFStock[RM_Code],$A1072,T_TTAFStock[WeekIndex],33),"")</f>
        <v/>
      </c>
      <c r="AL1080">
        <f>IFERROR(SUMIFS(T_TTAFStock[TTAF_Qty],T_TTAFStock[RM_Code],$A1072,T_TTAFStock[WeekIndex],34),"")</f>
        <v/>
      </c>
      <c r="AM1080">
        <f>IFERROR(SUMIFS(T_TTAFStock[TTAF_Qty],T_TTAFStock[RM_Code],$A1072,T_TTAFStock[WeekIndex],35),"")</f>
        <v/>
      </c>
      <c r="AN1080">
        <f>IFERROR(SUMIFS(T_TTAFStock[TTAF_Qty],T_TTAFStock[RM_Code],$A1072,T_TTAFStock[WeekIndex],36),"")</f>
        <v/>
      </c>
      <c r="AO1080">
        <f>IFERROR(SUMIFS(T_TTAFStock[TTAF_Qty],T_TTAFStock[RM_Code],$A1072,T_TTAFStock[WeekIndex],37),"")</f>
        <v/>
      </c>
      <c r="AP1080">
        <f>IFERROR(SUMIFS(T_TTAFStock[TTAF_Qty],T_TTAFStock[RM_Code],$A1072,T_TTAFStock[WeekIndex],38),"")</f>
        <v/>
      </c>
      <c r="AQ1080">
        <f>IFERROR(SUMIFS(T_TTAFStock[TTAF_Qty],T_TTAFStock[RM_Code],$A1072,T_TTAFStock[WeekIndex],39),"")</f>
        <v/>
      </c>
      <c r="AR1080">
        <f>IFERROR(SUMIFS(T_TTAFStock[TTAF_Qty],T_TTAFStock[RM_Code],$A1072,T_TTAFStock[WeekIndex],40),"")</f>
        <v/>
      </c>
      <c r="AS1080">
        <f>IFERROR(SUMIFS(T_TTAFStock[TTAF_Qty],T_TTAFStock[RM_Code],$A1072,T_TTAFStock[WeekIndex],41),"")</f>
        <v/>
      </c>
      <c r="AT1080">
        <f>IFERROR(SUMIFS(T_TTAFStock[TTAF_Qty],T_TTAFStock[RM_Code],$A1072,T_TTAFStock[WeekIndex],42),"")</f>
        <v/>
      </c>
      <c r="AU1080">
        <f>IFERROR(SUMIFS(T_TTAFStock[TTAF_Qty],T_TTAFStock[RM_Code],$A1072,T_TTAFStock[WeekIndex],43),"")</f>
        <v/>
      </c>
      <c r="AV1080">
        <f>IFERROR(SUMIFS(T_TTAFStock[TTAF_Qty],T_TTAFStock[RM_Code],$A1072,T_TTAFStock[WeekIndex],44),"")</f>
        <v/>
      </c>
      <c r="AW1080">
        <f>IFERROR(SUMIFS(T_TTAFStock[TTAF_Qty],T_TTAFStock[RM_Code],$A1072,T_TTAFStock[WeekIndex],45),"")</f>
        <v/>
      </c>
      <c r="AX1080">
        <f>IFERROR(SUMIFS(T_TTAFStock[TTAF_Qty],T_TTAFStock[RM_Code],$A1072,T_TTAFStock[WeekIndex],46),"")</f>
        <v/>
      </c>
      <c r="AY1080">
        <f>IFERROR(SUMIFS(T_TTAFStock[TTAF_Qty],T_TTAFStock[RM_Code],$A1072,T_TTAFStock[WeekIndex],47),"")</f>
        <v/>
      </c>
      <c r="AZ1080">
        <f>IFERROR(SUMIFS(T_TTAFStock[TTAF_Qty],T_TTAFStock[RM_Code],$A1072,T_TTAFStock[WeekIndex],48),"")</f>
        <v/>
      </c>
      <c r="BA1080">
        <f>IFERROR(SUMIFS(T_TTAFStock[TTAF_Qty],T_TTAFStock[RM_Code],$A1072,T_TTAFStock[WeekIndex],49),"")</f>
        <v/>
      </c>
      <c r="BB1080">
        <f>IFERROR(SUMIFS(T_TTAFStock[TTAF_Qty],T_TTAFStock[RM_Code],$A1072,T_TTAFStock[WeekIndex],50),"")</f>
        <v/>
      </c>
      <c r="BC1080">
        <f>IFERROR(SUMIFS(T_TTAFStock[TTAF_Qty],T_TTAFStock[RM_Code],$A1072,T_TTAFStock[WeekIndex],51),"")</f>
        <v/>
      </c>
      <c r="BD1080">
        <f>IFERROR(SUMIFS(T_TTAFStock[TTAF_Qty],T_TTAFStock[RM_Code],$A1072,T_TTAFStock[WeekIndex],52),"")</f>
        <v/>
      </c>
      <c r="BE1080">
        <f>IFERROR(SUMIFS(T_TTAFStock[TTAF_Qty],T_TTAFStock[RM_Code],$A1072,T_TTAFStock[WeekIndex],53),"")</f>
        <v/>
      </c>
      <c r="BF1080">
        <f>IFERROR(SUMIFS(T_TTAFStock[TTAF_Qty],T_TTAFStock[RM_Code],$A1072,T_TTAFStock[WeekIndex],54),"")</f>
        <v/>
      </c>
      <c r="BG1080">
        <f>IFERROR(SUMIFS(T_TTAFStock[TTAF_Qty],T_TTAFStock[RM_Code],$A1072,T_TTAFStock[WeekIndex],55),"")</f>
        <v/>
      </c>
      <c r="BH1080">
        <f>IFERROR(SUMIFS(T_TTAFStock[TTAF_Qty],T_TTAFStock[RM_Code],$A1072,T_TTAFStock[WeekIndex],56),"")</f>
        <v/>
      </c>
      <c r="BI1080">
        <f>IFERROR(SUMIFS(T_TTAFStock[TTAF_Qty],T_TTAFStock[RM_Code],$A1072,T_TTAFStock[WeekIndex],57),"")</f>
        <v/>
      </c>
      <c r="BJ1080">
        <f>IFERROR(SUMIFS(T_TTAFStock[TTAF_Qty],T_TTAFStock[RM_Code],$A1072,T_TTAFStock[WeekIndex],58),"")</f>
        <v/>
      </c>
      <c r="BK1080">
        <f>IFERROR(SUMIFS(T_TTAFStock[TTAF_Qty],T_TTAFStock[RM_Code],$A1072,T_TTAFStock[WeekIndex],59),"")</f>
        <v/>
      </c>
      <c r="BL1080">
        <f>IFERROR(SUMIFS(T_TTAFStock[TTAF_Qty],T_TTAFStock[RM_Code],$A1072,T_TTAFStock[WeekIndex],60),"")</f>
        <v/>
      </c>
      <c r="BM1080">
        <f>IFERROR(SUMIFS(T_TTAFStock[TTAF_Qty],T_TTAFStock[RM_Code],$A1072,T_TTAFStock[WeekIndex],61),"")</f>
        <v/>
      </c>
      <c r="BN1080">
        <f>IFERROR(SUMIFS(T_TTAFStock[TTAF_Qty],T_TTAFStock[RM_Code],$A1072,T_TTAFStock[WeekIndex],62),"")</f>
        <v/>
      </c>
      <c r="BO1080">
        <f>IFERROR(SUMIFS(T_TTAFStock[TTAF_Qty],T_TTAFStock[RM_Code],$A1072,T_TTAFStock[WeekIndex],63),"")</f>
        <v/>
      </c>
      <c r="BP1080">
        <f>IFERROR(SUMIFS(T_TTAFStock[TTAF_Qty],T_TTAFStock[RM_Code],$A1072,T_TTAFStock[WeekIndex],64),"")</f>
        <v/>
      </c>
      <c r="BQ1080">
        <f>IFERROR(SUMIFS(T_TTAFStock[TTAF_Qty],T_TTAFStock[RM_Code],$A1072,T_TTAFStock[WeekIndex],65),"")</f>
        <v/>
      </c>
      <c r="BR1080">
        <f>IFERROR(SUMIFS(T_TTAFStock[TTAF_Qty],T_TTAFStock[RM_Code],$A1072,T_TTAFStock[WeekIndex],66),"")</f>
        <v/>
      </c>
      <c r="BS1080">
        <f>IFERROR(SUMIFS(T_TTAFStock[TTAF_Qty],T_TTAFStock[RM_Code],$A1072,T_TTAFStock[WeekIndex],67),"")</f>
        <v/>
      </c>
      <c r="BT1080">
        <f>IFERROR(SUMIFS(T_TTAFStock[TTAF_Qty],T_TTAFStock[RM_Code],$A1072,T_TTAFStock[WeekIndex],68),"")</f>
        <v/>
      </c>
      <c r="BU1080">
        <f>IFERROR(SUMIFS(T_TTAFStock[TTAF_Qty],T_TTAFStock[RM_Code],$A1072,T_TTAFStock[WeekIndex],69),"")</f>
        <v/>
      </c>
      <c r="BV1080">
        <f>IFERROR(SUMIFS(T_TTAFStock[TTAF_Qty],T_TTAFStock[RM_Code],$A1072,T_TTAFStock[WeekIndex],70),"")</f>
        <v/>
      </c>
      <c r="BW1080">
        <f>IFERROR(SUMIFS(T_TTAFStock[TTAF_Qty],T_TTAFStock[RM_Code],$A1072,T_TTAFStock[WeekIndex],71),"")</f>
        <v/>
      </c>
      <c r="BX1080">
        <f>IFERROR(SUMIFS(T_TTAFStock[TTAF_Qty],T_TTAFStock[RM_Code],$A1072,T_TTAFStock[WeekIndex],72),"")</f>
        <v/>
      </c>
      <c r="BY1080">
        <f>IFERROR(SUMIFS(T_TTAFStock[TTAF_Qty],T_TTAFStock[RM_Code],$A1072,T_TTAFStock[WeekIndex],73),"")</f>
        <v/>
      </c>
      <c r="BZ1080">
        <f>IFERROR(SUMIFS(T_TTAFStock[TTAF_Qty],T_TTAFStock[RM_Code],$A1072,T_TTAFStock[WeekIndex],74),"")</f>
        <v/>
      </c>
      <c r="CA1080">
        <f>IFERROR(SUMIFS(T_TTAFStock[TTAF_Qty],T_TTAFStock[RM_Code],$A1072,T_TTAFStock[WeekIndex],75),"")</f>
        <v/>
      </c>
      <c r="CB1080">
        <f>IFERROR(SUMIFS(T_TTAFStock[TTAF_Qty],T_TTAFStock[RM_Code],$A1072,T_TTAFStock[WeekIndex],76),"")</f>
        <v/>
      </c>
      <c r="CC1080">
        <f>IFERROR(SUMIFS(T_TTAFStock[TTAF_Qty],T_TTAFStock[RM_Code],$A1072,T_TTAFStock[WeekIndex],77),"")</f>
        <v/>
      </c>
      <c r="CD1080">
        <f>IFERROR(SUMIFS(T_TTAFStock[TTAF_Qty],T_TTAFStock[RM_Code],$A1072,T_TTAFStock[WeekIndex],78),"")</f>
        <v/>
      </c>
      <c r="CE1080">
        <f>IFERROR(SUMIFS(T_TTAFStock[TTAF_Qty],T_TTAFStock[RM_Code],$A1072,T_TTAFStock[WeekIndex],79),"")</f>
        <v/>
      </c>
      <c r="CF1080">
        <f>IFERROR(SUMIFS(T_TTAFStock[TTAF_Qty],T_TTAFStock[RM_Code],$A1072,T_TTAFStock[WeekIndex],80),"")</f>
        <v/>
      </c>
      <c r="CG1080">
        <f>IFERROR(SUMIFS(T_TTAFStock[TTAF_Qty],T_TTAFStock[RM_Code],$A1072,T_TTAFStock[WeekIndex],81),"")</f>
        <v/>
      </c>
      <c r="CH1080">
        <f>IFERROR(SUMIFS(T_TTAFStock[TTAF_Qty],T_TTAFStock[RM_Code],$A1072,T_TTAFStock[WeekIndex],82),"")</f>
        <v/>
      </c>
      <c r="CI1080">
        <f>IFERROR(SUMIFS(T_TTAFStock[TTAF_Qty],T_TTAFStock[RM_Code],$A1072,T_TTAFStock[WeekIndex],83),"")</f>
        <v/>
      </c>
      <c r="CJ1080">
        <f>IFERROR(SUMIFS(T_TTAFStock[TTAF_Qty],T_TTAFStock[RM_Code],$A1072,T_TTAFStock[WeekIndex],84),"")</f>
        <v/>
      </c>
      <c r="CK1080">
        <f>IFERROR(SUMIFS(T_TTAFStock[TTAF_Qty],T_TTAFStock[RM_Code],$A1072,T_TTAFStock[WeekIndex],85),"")</f>
        <v/>
      </c>
      <c r="CL1080">
        <f>IFERROR(SUMIFS(T_TTAFStock[TTAF_Qty],T_TTAFStock[RM_Code],$A1072,T_TTAFStock[WeekIndex],86),"")</f>
        <v/>
      </c>
      <c r="CM1080">
        <f>IFERROR(SUMIFS(T_TTAFStock[TTAF_Qty],T_TTAFStock[RM_Code],$A1072,T_TTAFStock[WeekIndex],87),"")</f>
        <v/>
      </c>
      <c r="CN1080">
        <f>IFERROR(SUMIFS(T_TTAFStock[TTAF_Qty],T_TTAFStock[RM_Code],$A1072,T_TTAFStock[WeekIndex],88),"")</f>
        <v/>
      </c>
      <c r="CO1080">
        <f>IFERROR(SUMIFS(T_TTAFStock[TTAF_Qty],T_TTAFStock[RM_Code],$A1072,T_TTAFStock[WeekIndex],89),"")</f>
        <v/>
      </c>
      <c r="CP1080">
        <f>IFERROR(SUMIFS(T_TTAFStock[TTAF_Qty],T_TTAFStock[RM_Code],$A1072,T_TTAFStock[WeekIndex],90),"")</f>
        <v/>
      </c>
      <c r="CQ1080">
        <f>IFERROR(SUMIFS(T_TTAFStock[TTAF_Qty],T_TTAFStock[RM_Code],$A1072,T_TTAFStock[WeekIndex],91),"")</f>
        <v/>
      </c>
      <c r="CR1080">
        <f>IFERROR(SUMIFS(T_TTAFStock[TTAF_Qty],T_TTAFStock[RM_Code],$A1072,T_TTAFStock[WeekIndex],92),"")</f>
        <v/>
      </c>
      <c r="CS1080">
        <f>IFERROR(SUMIFS(T_TTAFStock[TTAF_Qty],T_TTAFStock[RM_Code],$A1072,T_TTAFStock[WeekIndex],93),"")</f>
        <v/>
      </c>
      <c r="CT1080">
        <f>IFERROR(SUMIFS(T_TTAFStock[TTAF_Qty],T_TTAFStock[RM_Code],$A1072,T_TTAFStock[WeekIndex],94),"")</f>
        <v/>
      </c>
      <c r="CU1080">
        <f>IFERROR(SUMIFS(T_TTAFStock[TTAF_Qty],T_TTAFStock[RM_Code],$A1072,T_TTAFStock[WeekIndex],95),"")</f>
        <v/>
      </c>
      <c r="CV1080">
        <f>IFERROR(SUMIFS(T_TTAFStock[TTAF_Qty],T_TTAFStock[RM_Code],$A1072,T_TTAFStock[WeekIndex],96),"")</f>
        <v/>
      </c>
      <c r="CW1080">
        <f>IFERROR(SUMIFS(T_TTAFStock[TTAF_Qty],T_TTAFStock[RM_Code],$A1072,T_TTAFStock[WeekIndex],97),"")</f>
        <v/>
      </c>
      <c r="CX1080">
        <f>IFERROR(SUMIFS(T_TTAFStock[TTAF_Qty],T_TTAFStock[RM_Code],$A1072,T_TTAFStock[WeekIndex],98),"")</f>
        <v/>
      </c>
      <c r="CY1080">
        <f>IFERROR(SUMIFS(T_TTAFStock[TTAF_Qty],T_TTAFStock[RM_Code],$A1072,T_TTAFStock[WeekIndex],99),"")</f>
        <v/>
      </c>
      <c r="CZ1080">
        <f>IFERROR(SUMIFS(T_TTAFStock[TTAF_Qty],T_TTAFStock[RM_Code],$A1072,T_TTAFStock[WeekIndex],100),"")</f>
        <v/>
      </c>
      <c r="DA1080">
        <f>IFERROR(SUMIFS(T_TTAFStock[TTAF_Qty],T_TTAFStock[RM_Code],$A1072,T_TTAFStock[WeekIndex],101),"")</f>
        <v/>
      </c>
      <c r="DB1080">
        <f>IFERROR(SUMIFS(T_TTAFStock[TTAF_Qty],T_TTAFStock[RM_Code],$A1072,T_TTAFStock[WeekIndex],102),"")</f>
        <v/>
      </c>
      <c r="DC1080">
        <f>IFERROR(SUMIFS(T_TTAFStock[TTAF_Qty],T_TTAFStock[RM_Code],$A1072,T_TTAFStock[WeekIndex],103),"")</f>
        <v/>
      </c>
      <c r="DD1080">
        <f>IFERROR(SUMIFS(T_TTAFStock[TTAF_Qty],T_TTAFStock[RM_Code],$A1072,T_TTAFStock[WeekIndex],104),"")</f>
        <v/>
      </c>
    </row>
    <row r="1081">
      <c r="B1081" t="inlineStr">
        <is>
          <t>自社在庫(実績,kg)</t>
        </is>
      </c>
      <c r="D1081">
        <f>IFERROR(INDEX(E1081:DD1081,$F$1),"")</f>
        <v/>
      </c>
      <c r="E1081">
        <f>IFERROR(SUMIFS(T_SelfStock[Self_Qty],T_SelfStock[RM_Code],$A1072,T_SelfStock[WeekIndex],1),"")</f>
        <v/>
      </c>
      <c r="F1081">
        <f>IFERROR(SUMIFS(T_SelfStock[Self_Qty],T_SelfStock[RM_Code],$A1072,T_SelfStock[WeekIndex],2),"")</f>
        <v/>
      </c>
      <c r="G1081">
        <f>IFERROR(SUMIFS(T_SelfStock[Self_Qty],T_SelfStock[RM_Code],$A1072,T_SelfStock[WeekIndex],3),"")</f>
        <v/>
      </c>
      <c r="H1081">
        <f>IFERROR(SUMIFS(T_SelfStock[Self_Qty],T_SelfStock[RM_Code],$A1072,T_SelfStock[WeekIndex],4),"")</f>
        <v/>
      </c>
      <c r="I1081">
        <f>IFERROR(SUMIFS(T_SelfStock[Self_Qty],T_SelfStock[RM_Code],$A1072,T_SelfStock[WeekIndex],5),"")</f>
        <v/>
      </c>
      <c r="J1081">
        <f>IFERROR(SUMIFS(T_SelfStock[Self_Qty],T_SelfStock[RM_Code],$A1072,T_SelfStock[WeekIndex],6),"")</f>
        <v/>
      </c>
      <c r="K1081">
        <f>IFERROR(SUMIFS(T_SelfStock[Self_Qty],T_SelfStock[RM_Code],$A1072,T_SelfStock[WeekIndex],7),"")</f>
        <v/>
      </c>
      <c r="L1081">
        <f>IFERROR(SUMIFS(T_SelfStock[Self_Qty],T_SelfStock[RM_Code],$A1072,T_SelfStock[WeekIndex],8),"")</f>
        <v/>
      </c>
      <c r="M1081">
        <f>IFERROR(SUMIFS(T_SelfStock[Self_Qty],T_SelfStock[RM_Code],$A1072,T_SelfStock[WeekIndex],9),"")</f>
        <v/>
      </c>
      <c r="N1081">
        <f>IFERROR(SUMIFS(T_SelfStock[Self_Qty],T_SelfStock[RM_Code],$A1072,T_SelfStock[WeekIndex],10),"")</f>
        <v/>
      </c>
      <c r="O1081">
        <f>IFERROR(SUMIFS(T_SelfStock[Self_Qty],T_SelfStock[RM_Code],$A1072,T_SelfStock[WeekIndex],11),"")</f>
        <v/>
      </c>
      <c r="P1081">
        <f>IFERROR(SUMIFS(T_SelfStock[Self_Qty],T_SelfStock[RM_Code],$A1072,T_SelfStock[WeekIndex],12),"")</f>
        <v/>
      </c>
      <c r="Q1081">
        <f>IFERROR(SUMIFS(T_SelfStock[Self_Qty],T_SelfStock[RM_Code],$A1072,T_SelfStock[WeekIndex],13),"")</f>
        <v/>
      </c>
      <c r="R1081">
        <f>IFERROR(SUMIFS(T_SelfStock[Self_Qty],T_SelfStock[RM_Code],$A1072,T_SelfStock[WeekIndex],14),"")</f>
        <v/>
      </c>
      <c r="S1081">
        <f>IFERROR(SUMIFS(T_SelfStock[Self_Qty],T_SelfStock[RM_Code],$A1072,T_SelfStock[WeekIndex],15),"")</f>
        <v/>
      </c>
      <c r="T1081">
        <f>IFERROR(SUMIFS(T_SelfStock[Self_Qty],T_SelfStock[RM_Code],$A1072,T_SelfStock[WeekIndex],16),"")</f>
        <v/>
      </c>
      <c r="U1081">
        <f>IFERROR(SUMIFS(T_SelfStock[Self_Qty],T_SelfStock[RM_Code],$A1072,T_SelfStock[WeekIndex],17),"")</f>
        <v/>
      </c>
      <c r="V1081">
        <f>IFERROR(SUMIFS(T_SelfStock[Self_Qty],T_SelfStock[RM_Code],$A1072,T_SelfStock[WeekIndex],18),"")</f>
        <v/>
      </c>
      <c r="W1081">
        <f>IFERROR(SUMIFS(T_SelfStock[Self_Qty],T_SelfStock[RM_Code],$A1072,T_SelfStock[WeekIndex],19),"")</f>
        <v/>
      </c>
      <c r="X1081">
        <f>IFERROR(SUMIFS(T_SelfStock[Self_Qty],T_SelfStock[RM_Code],$A1072,T_SelfStock[WeekIndex],20),"")</f>
        <v/>
      </c>
      <c r="Y1081">
        <f>IFERROR(SUMIFS(T_SelfStock[Self_Qty],T_SelfStock[RM_Code],$A1072,T_SelfStock[WeekIndex],21),"")</f>
        <v/>
      </c>
      <c r="Z1081">
        <f>IFERROR(SUMIFS(T_SelfStock[Self_Qty],T_SelfStock[RM_Code],$A1072,T_SelfStock[WeekIndex],22),"")</f>
        <v/>
      </c>
      <c r="AA1081">
        <f>IFERROR(SUMIFS(T_SelfStock[Self_Qty],T_SelfStock[RM_Code],$A1072,T_SelfStock[WeekIndex],23),"")</f>
        <v/>
      </c>
      <c r="AB1081">
        <f>IFERROR(SUMIFS(T_SelfStock[Self_Qty],T_SelfStock[RM_Code],$A1072,T_SelfStock[WeekIndex],24),"")</f>
        <v/>
      </c>
      <c r="AC1081">
        <f>IFERROR(SUMIFS(T_SelfStock[Self_Qty],T_SelfStock[RM_Code],$A1072,T_SelfStock[WeekIndex],25),"")</f>
        <v/>
      </c>
      <c r="AD1081">
        <f>IFERROR(SUMIFS(T_SelfStock[Self_Qty],T_SelfStock[RM_Code],$A1072,T_SelfStock[WeekIndex],26),"")</f>
        <v/>
      </c>
      <c r="AE1081">
        <f>IFERROR(SUMIFS(T_SelfStock[Self_Qty],T_SelfStock[RM_Code],$A1072,T_SelfStock[WeekIndex],27),"")</f>
        <v/>
      </c>
      <c r="AF1081">
        <f>IFERROR(SUMIFS(T_SelfStock[Self_Qty],T_SelfStock[RM_Code],$A1072,T_SelfStock[WeekIndex],28),"")</f>
        <v/>
      </c>
      <c r="AG1081">
        <f>IFERROR(SUMIFS(T_SelfStock[Self_Qty],T_SelfStock[RM_Code],$A1072,T_SelfStock[WeekIndex],29),"")</f>
        <v/>
      </c>
      <c r="AH1081">
        <f>IFERROR(SUMIFS(T_SelfStock[Self_Qty],T_SelfStock[RM_Code],$A1072,T_SelfStock[WeekIndex],30),"")</f>
        <v/>
      </c>
      <c r="AI1081">
        <f>IFERROR(SUMIFS(T_SelfStock[Self_Qty],T_SelfStock[RM_Code],$A1072,T_SelfStock[WeekIndex],31),"")</f>
        <v/>
      </c>
      <c r="AJ1081">
        <f>IFERROR(SUMIFS(T_SelfStock[Self_Qty],T_SelfStock[RM_Code],$A1072,T_SelfStock[WeekIndex],32),"")</f>
        <v/>
      </c>
      <c r="AK1081">
        <f>IFERROR(SUMIFS(T_SelfStock[Self_Qty],T_SelfStock[RM_Code],$A1072,T_SelfStock[WeekIndex],33),"")</f>
        <v/>
      </c>
      <c r="AL1081">
        <f>IFERROR(SUMIFS(T_SelfStock[Self_Qty],T_SelfStock[RM_Code],$A1072,T_SelfStock[WeekIndex],34),"")</f>
        <v/>
      </c>
      <c r="AM1081">
        <f>IFERROR(SUMIFS(T_SelfStock[Self_Qty],T_SelfStock[RM_Code],$A1072,T_SelfStock[WeekIndex],35),"")</f>
        <v/>
      </c>
      <c r="AN1081">
        <f>IFERROR(SUMIFS(T_SelfStock[Self_Qty],T_SelfStock[RM_Code],$A1072,T_SelfStock[WeekIndex],36),"")</f>
        <v/>
      </c>
      <c r="AO1081">
        <f>IFERROR(SUMIFS(T_SelfStock[Self_Qty],T_SelfStock[RM_Code],$A1072,T_SelfStock[WeekIndex],37),"")</f>
        <v/>
      </c>
      <c r="AP1081">
        <f>IFERROR(SUMIFS(T_SelfStock[Self_Qty],T_SelfStock[RM_Code],$A1072,T_SelfStock[WeekIndex],38),"")</f>
        <v/>
      </c>
      <c r="AQ1081">
        <f>IFERROR(SUMIFS(T_SelfStock[Self_Qty],T_SelfStock[RM_Code],$A1072,T_SelfStock[WeekIndex],39),"")</f>
        <v/>
      </c>
      <c r="AR1081">
        <f>IFERROR(SUMIFS(T_SelfStock[Self_Qty],T_SelfStock[RM_Code],$A1072,T_SelfStock[WeekIndex],40),"")</f>
        <v/>
      </c>
      <c r="AS1081">
        <f>IFERROR(SUMIFS(T_SelfStock[Self_Qty],T_SelfStock[RM_Code],$A1072,T_SelfStock[WeekIndex],41),"")</f>
        <v/>
      </c>
      <c r="AT1081">
        <f>IFERROR(SUMIFS(T_SelfStock[Self_Qty],T_SelfStock[RM_Code],$A1072,T_SelfStock[WeekIndex],42),"")</f>
        <v/>
      </c>
      <c r="AU1081">
        <f>IFERROR(SUMIFS(T_SelfStock[Self_Qty],T_SelfStock[RM_Code],$A1072,T_SelfStock[WeekIndex],43),"")</f>
        <v/>
      </c>
      <c r="AV1081">
        <f>IFERROR(SUMIFS(T_SelfStock[Self_Qty],T_SelfStock[RM_Code],$A1072,T_SelfStock[WeekIndex],44),"")</f>
        <v/>
      </c>
      <c r="AW1081">
        <f>IFERROR(SUMIFS(T_SelfStock[Self_Qty],T_SelfStock[RM_Code],$A1072,T_SelfStock[WeekIndex],45),"")</f>
        <v/>
      </c>
      <c r="AX1081">
        <f>IFERROR(SUMIFS(T_SelfStock[Self_Qty],T_SelfStock[RM_Code],$A1072,T_SelfStock[WeekIndex],46),"")</f>
        <v/>
      </c>
      <c r="AY1081">
        <f>IFERROR(SUMIFS(T_SelfStock[Self_Qty],T_SelfStock[RM_Code],$A1072,T_SelfStock[WeekIndex],47),"")</f>
        <v/>
      </c>
      <c r="AZ1081">
        <f>IFERROR(SUMIFS(T_SelfStock[Self_Qty],T_SelfStock[RM_Code],$A1072,T_SelfStock[WeekIndex],48),"")</f>
        <v/>
      </c>
      <c r="BA1081">
        <f>IFERROR(SUMIFS(T_SelfStock[Self_Qty],T_SelfStock[RM_Code],$A1072,T_SelfStock[WeekIndex],49),"")</f>
        <v/>
      </c>
      <c r="BB1081">
        <f>IFERROR(SUMIFS(T_SelfStock[Self_Qty],T_SelfStock[RM_Code],$A1072,T_SelfStock[WeekIndex],50),"")</f>
        <v/>
      </c>
      <c r="BC1081">
        <f>IFERROR(SUMIFS(T_SelfStock[Self_Qty],T_SelfStock[RM_Code],$A1072,T_SelfStock[WeekIndex],51),"")</f>
        <v/>
      </c>
      <c r="BD1081">
        <f>IFERROR(SUMIFS(T_SelfStock[Self_Qty],T_SelfStock[RM_Code],$A1072,T_SelfStock[WeekIndex],52),"")</f>
        <v/>
      </c>
      <c r="BE1081">
        <f>IFERROR(SUMIFS(T_SelfStock[Self_Qty],T_SelfStock[RM_Code],$A1072,T_SelfStock[WeekIndex],53),"")</f>
        <v/>
      </c>
      <c r="BF1081">
        <f>IFERROR(SUMIFS(T_SelfStock[Self_Qty],T_SelfStock[RM_Code],$A1072,T_SelfStock[WeekIndex],54),"")</f>
        <v/>
      </c>
      <c r="BG1081">
        <f>IFERROR(SUMIFS(T_SelfStock[Self_Qty],T_SelfStock[RM_Code],$A1072,T_SelfStock[WeekIndex],55),"")</f>
        <v/>
      </c>
      <c r="BH1081">
        <f>IFERROR(SUMIFS(T_SelfStock[Self_Qty],T_SelfStock[RM_Code],$A1072,T_SelfStock[WeekIndex],56),"")</f>
        <v/>
      </c>
      <c r="BI1081">
        <f>IFERROR(SUMIFS(T_SelfStock[Self_Qty],T_SelfStock[RM_Code],$A1072,T_SelfStock[WeekIndex],57),"")</f>
        <v/>
      </c>
      <c r="BJ1081">
        <f>IFERROR(SUMIFS(T_SelfStock[Self_Qty],T_SelfStock[RM_Code],$A1072,T_SelfStock[WeekIndex],58),"")</f>
        <v/>
      </c>
      <c r="BK1081">
        <f>IFERROR(SUMIFS(T_SelfStock[Self_Qty],T_SelfStock[RM_Code],$A1072,T_SelfStock[WeekIndex],59),"")</f>
        <v/>
      </c>
      <c r="BL1081">
        <f>IFERROR(SUMIFS(T_SelfStock[Self_Qty],T_SelfStock[RM_Code],$A1072,T_SelfStock[WeekIndex],60),"")</f>
        <v/>
      </c>
      <c r="BM1081">
        <f>IFERROR(SUMIFS(T_SelfStock[Self_Qty],T_SelfStock[RM_Code],$A1072,T_SelfStock[WeekIndex],61),"")</f>
        <v/>
      </c>
      <c r="BN1081">
        <f>IFERROR(SUMIFS(T_SelfStock[Self_Qty],T_SelfStock[RM_Code],$A1072,T_SelfStock[WeekIndex],62),"")</f>
        <v/>
      </c>
      <c r="BO1081">
        <f>IFERROR(SUMIFS(T_SelfStock[Self_Qty],T_SelfStock[RM_Code],$A1072,T_SelfStock[WeekIndex],63),"")</f>
        <v/>
      </c>
      <c r="BP1081">
        <f>IFERROR(SUMIFS(T_SelfStock[Self_Qty],T_SelfStock[RM_Code],$A1072,T_SelfStock[WeekIndex],64),"")</f>
        <v/>
      </c>
      <c r="BQ1081">
        <f>IFERROR(SUMIFS(T_SelfStock[Self_Qty],T_SelfStock[RM_Code],$A1072,T_SelfStock[WeekIndex],65),"")</f>
        <v/>
      </c>
      <c r="BR1081">
        <f>IFERROR(SUMIFS(T_SelfStock[Self_Qty],T_SelfStock[RM_Code],$A1072,T_SelfStock[WeekIndex],66),"")</f>
        <v/>
      </c>
      <c r="BS1081">
        <f>IFERROR(SUMIFS(T_SelfStock[Self_Qty],T_SelfStock[RM_Code],$A1072,T_SelfStock[WeekIndex],67),"")</f>
        <v/>
      </c>
      <c r="BT1081">
        <f>IFERROR(SUMIFS(T_SelfStock[Self_Qty],T_SelfStock[RM_Code],$A1072,T_SelfStock[WeekIndex],68),"")</f>
        <v/>
      </c>
      <c r="BU1081">
        <f>IFERROR(SUMIFS(T_SelfStock[Self_Qty],T_SelfStock[RM_Code],$A1072,T_SelfStock[WeekIndex],69),"")</f>
        <v/>
      </c>
      <c r="BV1081">
        <f>IFERROR(SUMIFS(T_SelfStock[Self_Qty],T_SelfStock[RM_Code],$A1072,T_SelfStock[WeekIndex],70),"")</f>
        <v/>
      </c>
      <c r="BW1081">
        <f>IFERROR(SUMIFS(T_SelfStock[Self_Qty],T_SelfStock[RM_Code],$A1072,T_SelfStock[WeekIndex],71),"")</f>
        <v/>
      </c>
      <c r="BX1081">
        <f>IFERROR(SUMIFS(T_SelfStock[Self_Qty],T_SelfStock[RM_Code],$A1072,T_SelfStock[WeekIndex],72),"")</f>
        <v/>
      </c>
      <c r="BY1081">
        <f>IFERROR(SUMIFS(T_SelfStock[Self_Qty],T_SelfStock[RM_Code],$A1072,T_SelfStock[WeekIndex],73),"")</f>
        <v/>
      </c>
      <c r="BZ1081">
        <f>IFERROR(SUMIFS(T_SelfStock[Self_Qty],T_SelfStock[RM_Code],$A1072,T_SelfStock[WeekIndex],74),"")</f>
        <v/>
      </c>
      <c r="CA1081">
        <f>IFERROR(SUMIFS(T_SelfStock[Self_Qty],T_SelfStock[RM_Code],$A1072,T_SelfStock[WeekIndex],75),"")</f>
        <v/>
      </c>
      <c r="CB1081">
        <f>IFERROR(SUMIFS(T_SelfStock[Self_Qty],T_SelfStock[RM_Code],$A1072,T_SelfStock[WeekIndex],76),"")</f>
        <v/>
      </c>
      <c r="CC1081">
        <f>IFERROR(SUMIFS(T_SelfStock[Self_Qty],T_SelfStock[RM_Code],$A1072,T_SelfStock[WeekIndex],77),"")</f>
        <v/>
      </c>
      <c r="CD1081">
        <f>IFERROR(SUMIFS(T_SelfStock[Self_Qty],T_SelfStock[RM_Code],$A1072,T_SelfStock[WeekIndex],78),"")</f>
        <v/>
      </c>
      <c r="CE1081">
        <f>IFERROR(SUMIFS(T_SelfStock[Self_Qty],T_SelfStock[RM_Code],$A1072,T_SelfStock[WeekIndex],79),"")</f>
        <v/>
      </c>
      <c r="CF1081">
        <f>IFERROR(SUMIFS(T_SelfStock[Self_Qty],T_SelfStock[RM_Code],$A1072,T_SelfStock[WeekIndex],80),"")</f>
        <v/>
      </c>
      <c r="CG1081">
        <f>IFERROR(SUMIFS(T_SelfStock[Self_Qty],T_SelfStock[RM_Code],$A1072,T_SelfStock[WeekIndex],81),"")</f>
        <v/>
      </c>
      <c r="CH1081">
        <f>IFERROR(SUMIFS(T_SelfStock[Self_Qty],T_SelfStock[RM_Code],$A1072,T_SelfStock[WeekIndex],82),"")</f>
        <v/>
      </c>
      <c r="CI1081">
        <f>IFERROR(SUMIFS(T_SelfStock[Self_Qty],T_SelfStock[RM_Code],$A1072,T_SelfStock[WeekIndex],83),"")</f>
        <v/>
      </c>
      <c r="CJ1081">
        <f>IFERROR(SUMIFS(T_SelfStock[Self_Qty],T_SelfStock[RM_Code],$A1072,T_SelfStock[WeekIndex],84),"")</f>
        <v/>
      </c>
      <c r="CK1081">
        <f>IFERROR(SUMIFS(T_SelfStock[Self_Qty],T_SelfStock[RM_Code],$A1072,T_SelfStock[WeekIndex],85),"")</f>
        <v/>
      </c>
      <c r="CL1081">
        <f>IFERROR(SUMIFS(T_SelfStock[Self_Qty],T_SelfStock[RM_Code],$A1072,T_SelfStock[WeekIndex],86),"")</f>
        <v/>
      </c>
      <c r="CM1081">
        <f>IFERROR(SUMIFS(T_SelfStock[Self_Qty],T_SelfStock[RM_Code],$A1072,T_SelfStock[WeekIndex],87),"")</f>
        <v/>
      </c>
      <c r="CN1081">
        <f>IFERROR(SUMIFS(T_SelfStock[Self_Qty],T_SelfStock[RM_Code],$A1072,T_SelfStock[WeekIndex],88),"")</f>
        <v/>
      </c>
      <c r="CO1081">
        <f>IFERROR(SUMIFS(T_SelfStock[Self_Qty],T_SelfStock[RM_Code],$A1072,T_SelfStock[WeekIndex],89),"")</f>
        <v/>
      </c>
      <c r="CP1081">
        <f>IFERROR(SUMIFS(T_SelfStock[Self_Qty],T_SelfStock[RM_Code],$A1072,T_SelfStock[WeekIndex],90),"")</f>
        <v/>
      </c>
      <c r="CQ1081">
        <f>IFERROR(SUMIFS(T_SelfStock[Self_Qty],T_SelfStock[RM_Code],$A1072,T_SelfStock[WeekIndex],91),"")</f>
        <v/>
      </c>
      <c r="CR1081">
        <f>IFERROR(SUMIFS(T_SelfStock[Self_Qty],T_SelfStock[RM_Code],$A1072,T_SelfStock[WeekIndex],92),"")</f>
        <v/>
      </c>
      <c r="CS1081">
        <f>IFERROR(SUMIFS(T_SelfStock[Self_Qty],T_SelfStock[RM_Code],$A1072,T_SelfStock[WeekIndex],93),"")</f>
        <v/>
      </c>
      <c r="CT1081">
        <f>IFERROR(SUMIFS(T_SelfStock[Self_Qty],T_SelfStock[RM_Code],$A1072,T_SelfStock[WeekIndex],94),"")</f>
        <v/>
      </c>
      <c r="CU1081">
        <f>IFERROR(SUMIFS(T_SelfStock[Self_Qty],T_SelfStock[RM_Code],$A1072,T_SelfStock[WeekIndex],95),"")</f>
        <v/>
      </c>
      <c r="CV1081">
        <f>IFERROR(SUMIFS(T_SelfStock[Self_Qty],T_SelfStock[RM_Code],$A1072,T_SelfStock[WeekIndex],96),"")</f>
        <v/>
      </c>
      <c r="CW1081">
        <f>IFERROR(SUMIFS(T_SelfStock[Self_Qty],T_SelfStock[RM_Code],$A1072,T_SelfStock[WeekIndex],97),"")</f>
        <v/>
      </c>
      <c r="CX1081">
        <f>IFERROR(SUMIFS(T_SelfStock[Self_Qty],T_SelfStock[RM_Code],$A1072,T_SelfStock[WeekIndex],98),"")</f>
        <v/>
      </c>
      <c r="CY1081">
        <f>IFERROR(SUMIFS(T_SelfStock[Self_Qty],T_SelfStock[RM_Code],$A1072,T_SelfStock[WeekIndex],99),"")</f>
        <v/>
      </c>
      <c r="CZ1081">
        <f>IFERROR(SUMIFS(T_SelfStock[Self_Qty],T_SelfStock[RM_Code],$A1072,T_SelfStock[WeekIndex],100),"")</f>
        <v/>
      </c>
      <c r="DA1081">
        <f>IFERROR(SUMIFS(T_SelfStock[Self_Qty],T_SelfStock[RM_Code],$A1072,T_SelfStock[WeekIndex],101),"")</f>
        <v/>
      </c>
      <c r="DB1081">
        <f>IFERROR(SUMIFS(T_SelfStock[Self_Qty],T_SelfStock[RM_Code],$A1072,T_SelfStock[WeekIndex],102),"")</f>
        <v/>
      </c>
      <c r="DC1081">
        <f>IFERROR(SUMIFS(T_SelfStock[Self_Qty],T_SelfStock[RM_Code],$A1072,T_SelfStock[WeekIndex],103),"")</f>
        <v/>
      </c>
      <c r="DD1081">
        <f>IFERROR(SUMIFS(T_SelfStock[Self_Qty],T_SelfStock[RM_Code],$A1072,T_SelfStock[WeekIndex],104),"")</f>
        <v/>
      </c>
    </row>
    <row r="1082">
      <c r="B1082" s="4" t="inlineStr">
        <is>
          <t>合計在庫(週末時点,kg)</t>
        </is>
      </c>
      <c r="D1082" s="24">
        <f>IFERROR(INDEX(E1082:DD1082,$F$1),"")</f>
        <v/>
      </c>
      <c r="E1082">
        <f>'Grid_Stock'!B89</f>
        <v/>
      </c>
      <c r="F1082">
        <f>'Grid_Stock'!C89</f>
        <v/>
      </c>
      <c r="G1082">
        <f>'Grid_Stock'!D89</f>
        <v/>
      </c>
      <c r="H1082">
        <f>'Grid_Stock'!E89</f>
        <v/>
      </c>
      <c r="I1082">
        <f>'Grid_Stock'!F89</f>
        <v/>
      </c>
      <c r="J1082">
        <f>'Grid_Stock'!G89</f>
        <v/>
      </c>
      <c r="K1082">
        <f>'Grid_Stock'!H89</f>
        <v/>
      </c>
      <c r="L1082">
        <f>'Grid_Stock'!I89</f>
        <v/>
      </c>
      <c r="M1082">
        <f>'Grid_Stock'!J89</f>
        <v/>
      </c>
      <c r="N1082">
        <f>'Grid_Stock'!K89</f>
        <v/>
      </c>
      <c r="O1082">
        <f>'Grid_Stock'!L89</f>
        <v/>
      </c>
      <c r="P1082">
        <f>'Grid_Stock'!M89</f>
        <v/>
      </c>
      <c r="Q1082">
        <f>'Grid_Stock'!N89</f>
        <v/>
      </c>
      <c r="R1082">
        <f>'Grid_Stock'!O89</f>
        <v/>
      </c>
      <c r="S1082">
        <f>'Grid_Stock'!P89</f>
        <v/>
      </c>
      <c r="T1082">
        <f>'Grid_Stock'!Q89</f>
        <v/>
      </c>
      <c r="U1082">
        <f>'Grid_Stock'!R89</f>
        <v/>
      </c>
      <c r="V1082">
        <f>'Grid_Stock'!S89</f>
        <v/>
      </c>
      <c r="W1082">
        <f>'Grid_Stock'!T89</f>
        <v/>
      </c>
      <c r="X1082">
        <f>'Grid_Stock'!U89</f>
        <v/>
      </c>
      <c r="Y1082">
        <f>'Grid_Stock'!V89</f>
        <v/>
      </c>
      <c r="Z1082">
        <f>'Grid_Stock'!W89</f>
        <v/>
      </c>
      <c r="AA1082">
        <f>'Grid_Stock'!X89</f>
        <v/>
      </c>
      <c r="AB1082">
        <f>'Grid_Stock'!Y89</f>
        <v/>
      </c>
      <c r="AC1082">
        <f>'Grid_Stock'!Z89</f>
        <v/>
      </c>
      <c r="AD1082">
        <f>'Grid_Stock'!AA89</f>
        <v/>
      </c>
      <c r="AE1082">
        <f>'Grid_Stock'!AB89</f>
        <v/>
      </c>
      <c r="AF1082">
        <f>'Grid_Stock'!AC89</f>
        <v/>
      </c>
      <c r="AG1082">
        <f>'Grid_Stock'!AD89</f>
        <v/>
      </c>
      <c r="AH1082">
        <f>'Grid_Stock'!AE89</f>
        <v/>
      </c>
      <c r="AI1082">
        <f>'Grid_Stock'!AF89</f>
        <v/>
      </c>
      <c r="AJ1082">
        <f>'Grid_Stock'!AG89</f>
        <v/>
      </c>
      <c r="AK1082">
        <f>'Grid_Stock'!AH89</f>
        <v/>
      </c>
      <c r="AL1082">
        <f>'Grid_Stock'!AI89</f>
        <v/>
      </c>
      <c r="AM1082">
        <f>'Grid_Stock'!AJ89</f>
        <v/>
      </c>
      <c r="AN1082">
        <f>'Grid_Stock'!AK89</f>
        <v/>
      </c>
      <c r="AO1082">
        <f>'Grid_Stock'!AL89</f>
        <v/>
      </c>
      <c r="AP1082">
        <f>'Grid_Stock'!AM89</f>
        <v/>
      </c>
      <c r="AQ1082">
        <f>'Grid_Stock'!AN89</f>
        <v/>
      </c>
      <c r="AR1082">
        <f>'Grid_Stock'!AO89</f>
        <v/>
      </c>
      <c r="AS1082">
        <f>'Grid_Stock'!AP89</f>
        <v/>
      </c>
      <c r="AT1082">
        <f>'Grid_Stock'!AQ89</f>
        <v/>
      </c>
      <c r="AU1082">
        <f>'Grid_Stock'!AR89</f>
        <v/>
      </c>
      <c r="AV1082">
        <f>'Grid_Stock'!AS89</f>
        <v/>
      </c>
      <c r="AW1082">
        <f>'Grid_Stock'!AT89</f>
        <v/>
      </c>
      <c r="AX1082">
        <f>'Grid_Stock'!AU89</f>
        <v/>
      </c>
      <c r="AY1082">
        <f>'Grid_Stock'!AV89</f>
        <v/>
      </c>
      <c r="AZ1082">
        <f>'Grid_Stock'!AW89</f>
        <v/>
      </c>
      <c r="BA1082">
        <f>'Grid_Stock'!AX89</f>
        <v/>
      </c>
      <c r="BB1082">
        <f>'Grid_Stock'!AY89</f>
        <v/>
      </c>
      <c r="BC1082">
        <f>'Grid_Stock'!AZ89</f>
        <v/>
      </c>
      <c r="BD1082">
        <f>'Grid_Stock'!BA89</f>
        <v/>
      </c>
      <c r="BE1082">
        <f>'Grid_Stock'!BB89</f>
        <v/>
      </c>
      <c r="BF1082">
        <f>'Grid_Stock'!BC89</f>
        <v/>
      </c>
      <c r="BG1082">
        <f>'Grid_Stock'!BD89</f>
        <v/>
      </c>
      <c r="BH1082">
        <f>'Grid_Stock'!BE89</f>
        <v/>
      </c>
      <c r="BI1082">
        <f>'Grid_Stock'!BF89</f>
        <v/>
      </c>
      <c r="BJ1082">
        <f>'Grid_Stock'!BG89</f>
        <v/>
      </c>
      <c r="BK1082">
        <f>'Grid_Stock'!BH89</f>
        <v/>
      </c>
      <c r="BL1082">
        <f>'Grid_Stock'!BI89</f>
        <v/>
      </c>
      <c r="BM1082">
        <f>'Grid_Stock'!BJ89</f>
        <v/>
      </c>
      <c r="BN1082">
        <f>'Grid_Stock'!BK89</f>
        <v/>
      </c>
      <c r="BO1082">
        <f>'Grid_Stock'!BL89</f>
        <v/>
      </c>
      <c r="BP1082">
        <f>'Grid_Stock'!BM89</f>
        <v/>
      </c>
      <c r="BQ1082">
        <f>'Grid_Stock'!BN89</f>
        <v/>
      </c>
      <c r="BR1082">
        <f>'Grid_Stock'!BO89</f>
        <v/>
      </c>
      <c r="BS1082">
        <f>'Grid_Stock'!BP89</f>
        <v/>
      </c>
      <c r="BT1082">
        <f>'Grid_Stock'!BQ89</f>
        <v/>
      </c>
      <c r="BU1082">
        <f>'Grid_Stock'!BR89</f>
        <v/>
      </c>
      <c r="BV1082">
        <f>'Grid_Stock'!BS89</f>
        <v/>
      </c>
      <c r="BW1082">
        <f>'Grid_Stock'!BT89</f>
        <v/>
      </c>
      <c r="BX1082">
        <f>'Grid_Stock'!BU89</f>
        <v/>
      </c>
      <c r="BY1082">
        <f>'Grid_Stock'!BV89</f>
        <v/>
      </c>
      <c r="BZ1082">
        <f>'Grid_Stock'!BW89</f>
        <v/>
      </c>
      <c r="CA1082">
        <f>'Grid_Stock'!BX89</f>
        <v/>
      </c>
      <c r="CB1082">
        <f>'Grid_Stock'!BY89</f>
        <v/>
      </c>
      <c r="CC1082">
        <f>'Grid_Stock'!BZ89</f>
        <v/>
      </c>
      <c r="CD1082">
        <f>'Grid_Stock'!CA89</f>
        <v/>
      </c>
      <c r="CE1082">
        <f>'Grid_Stock'!CB89</f>
        <v/>
      </c>
      <c r="CF1082">
        <f>'Grid_Stock'!CC89</f>
        <v/>
      </c>
      <c r="CG1082">
        <f>'Grid_Stock'!CD89</f>
        <v/>
      </c>
      <c r="CH1082">
        <f>'Grid_Stock'!CE89</f>
        <v/>
      </c>
      <c r="CI1082">
        <f>'Grid_Stock'!CF89</f>
        <v/>
      </c>
      <c r="CJ1082">
        <f>'Grid_Stock'!CG89</f>
        <v/>
      </c>
      <c r="CK1082">
        <f>'Grid_Stock'!CH89</f>
        <v/>
      </c>
      <c r="CL1082">
        <f>'Grid_Stock'!CI89</f>
        <v/>
      </c>
      <c r="CM1082">
        <f>'Grid_Stock'!CJ89</f>
        <v/>
      </c>
      <c r="CN1082">
        <f>'Grid_Stock'!CK89</f>
        <v/>
      </c>
      <c r="CO1082">
        <f>'Grid_Stock'!CL89</f>
        <v/>
      </c>
      <c r="CP1082">
        <f>'Grid_Stock'!CM89</f>
        <v/>
      </c>
      <c r="CQ1082">
        <f>'Grid_Stock'!CN89</f>
        <v/>
      </c>
      <c r="CR1082">
        <f>'Grid_Stock'!CO89</f>
        <v/>
      </c>
      <c r="CS1082">
        <f>'Grid_Stock'!CP89</f>
        <v/>
      </c>
      <c r="CT1082">
        <f>'Grid_Stock'!CQ89</f>
        <v/>
      </c>
      <c r="CU1082">
        <f>'Grid_Stock'!CR89</f>
        <v/>
      </c>
      <c r="CV1082">
        <f>'Grid_Stock'!CS89</f>
        <v/>
      </c>
      <c r="CW1082">
        <f>'Grid_Stock'!CT89</f>
        <v/>
      </c>
      <c r="CX1082">
        <f>'Grid_Stock'!CU89</f>
        <v/>
      </c>
      <c r="CY1082">
        <f>'Grid_Stock'!CV89</f>
        <v/>
      </c>
      <c r="CZ1082">
        <f>'Grid_Stock'!CW89</f>
        <v/>
      </c>
      <c r="DA1082">
        <f>'Grid_Stock'!CX89</f>
        <v/>
      </c>
      <c r="DB1082">
        <f>'Grid_Stock'!CY89</f>
        <v/>
      </c>
      <c r="DC1082">
        <f>'Grid_Stock'!CZ89</f>
        <v/>
      </c>
      <c r="DD1082">
        <f>'Grid_Stock'!DA89</f>
        <v/>
      </c>
    </row>
    <row r="1083">
      <c r="B1083" s="25" t="inlineStr">
        <is>
          <t>（発注の目安はDashboardの基準在庫[下限/上限]と色分けを参照）</t>
        </is>
      </c>
    </row>
    <row r="1085">
      <c r="A1085" s="21" t="inlineStr">
        <is>
          <t>CHEM-1240</t>
        </is>
      </c>
      <c r="B1085" s="21" t="inlineStr">
        <is>
          <t>Alumina SOL(AS200)</t>
        </is>
      </c>
      <c r="C1085" s="22" t="n"/>
      <c r="D1085" s="21" t="n"/>
      <c r="E1085" s="21" t="n"/>
      <c r="F1085" s="21" t="n"/>
      <c r="G1085" s="21" t="n"/>
      <c r="H1085" s="21" t="n"/>
      <c r="I1085" s="21" t="n"/>
      <c r="J1085" s="21" t="n"/>
      <c r="K1085" s="21" t="n"/>
      <c r="L1085" s="21" t="n"/>
      <c r="M1085" s="21" t="n"/>
      <c r="N1085" s="21" t="n"/>
      <c r="O1085" s="21" t="n"/>
      <c r="P1085" s="21" t="n"/>
      <c r="Q1085" s="21" t="n"/>
      <c r="R1085" s="21" t="n"/>
      <c r="S1085" s="21" t="n"/>
      <c r="T1085" s="21" t="n"/>
      <c r="U1085" s="21" t="n"/>
      <c r="V1085" s="21" t="n"/>
      <c r="W1085" s="21" t="n"/>
      <c r="X1085" s="21" t="n"/>
      <c r="Y1085" s="21" t="n"/>
      <c r="Z1085" s="21" t="n"/>
      <c r="AA1085" s="21" t="n"/>
      <c r="AB1085" s="21" t="n"/>
      <c r="AC1085" s="21" t="n"/>
      <c r="AD1085" s="21" t="n"/>
      <c r="AE1085" s="21" t="n"/>
      <c r="AF1085" s="21" t="n"/>
      <c r="AG1085" s="21" t="n"/>
      <c r="AH1085" s="21" t="n"/>
      <c r="AI1085" s="21" t="n"/>
      <c r="AJ1085" s="21" t="n"/>
      <c r="AK1085" s="21" t="n"/>
      <c r="AL1085" s="21" t="n"/>
      <c r="AM1085" s="21" t="n"/>
      <c r="AN1085" s="21" t="n"/>
      <c r="AO1085" s="21" t="n"/>
      <c r="AP1085" s="21" t="n"/>
      <c r="AQ1085" s="21" t="n"/>
      <c r="AR1085" s="21" t="n"/>
      <c r="AS1085" s="21" t="n"/>
      <c r="AT1085" s="21" t="n"/>
      <c r="AU1085" s="21" t="n"/>
      <c r="AV1085" s="21" t="n"/>
      <c r="AW1085" s="21" t="n"/>
      <c r="AX1085" s="21" t="n"/>
      <c r="AY1085" s="21" t="n"/>
      <c r="AZ1085" s="21" t="n"/>
      <c r="BA1085" s="21" t="n"/>
      <c r="BB1085" s="21" t="n"/>
      <c r="BC1085" s="21" t="n"/>
      <c r="BD1085" s="21" t="n"/>
      <c r="BE1085" s="21" t="n"/>
      <c r="BF1085" s="21" t="n"/>
      <c r="BG1085" s="21" t="n"/>
      <c r="BH1085" s="21" t="n"/>
      <c r="BI1085" s="21" t="n"/>
      <c r="BJ1085" s="21" t="n"/>
      <c r="BK1085" s="21" t="n"/>
      <c r="BL1085" s="21" t="n"/>
      <c r="BM1085" s="21" t="n"/>
      <c r="BN1085" s="21" t="n"/>
      <c r="BO1085" s="21" t="n"/>
      <c r="BP1085" s="21" t="n"/>
      <c r="BQ1085" s="21" t="n"/>
      <c r="BR1085" s="21" t="n"/>
      <c r="BS1085" s="21" t="n"/>
      <c r="BT1085" s="21" t="n"/>
      <c r="BU1085" s="21" t="n"/>
      <c r="BV1085" s="21" t="n"/>
      <c r="BW1085" s="21" t="n"/>
      <c r="BX1085" s="21" t="n"/>
      <c r="BY1085" s="21" t="n"/>
      <c r="BZ1085" s="21" t="n"/>
      <c r="CA1085" s="21" t="n"/>
      <c r="CB1085" s="21" t="n"/>
      <c r="CC1085" s="21" t="n"/>
      <c r="CD1085" s="21" t="n"/>
      <c r="CE1085" s="21" t="n"/>
      <c r="CF1085" s="21" t="n"/>
      <c r="CG1085" s="21" t="n"/>
      <c r="CH1085" s="21" t="n"/>
      <c r="CI1085" s="21" t="n"/>
      <c r="CJ1085" s="21" t="n"/>
      <c r="CK1085" s="21" t="n"/>
      <c r="CL1085" s="21" t="n"/>
      <c r="CM1085" s="21" t="n"/>
      <c r="CN1085" s="21" t="n"/>
      <c r="CO1085" s="21" t="n"/>
      <c r="CP1085" s="21" t="n"/>
      <c r="CQ1085" s="21" t="n"/>
      <c r="CR1085" s="21" t="n"/>
      <c r="CS1085" s="21" t="n"/>
      <c r="CT1085" s="21" t="n"/>
      <c r="CU1085" s="21" t="n"/>
      <c r="CV1085" s="21" t="n"/>
      <c r="CW1085" s="21" t="n"/>
      <c r="CX1085" s="21" t="n"/>
      <c r="CY1085" s="21" t="n"/>
      <c r="CZ1085" s="21" t="n"/>
      <c r="DA1085" s="21" t="n"/>
      <c r="DB1085" s="21" t="n"/>
      <c r="DC1085" s="21" t="n"/>
      <c r="DD1085" s="21" t="n"/>
    </row>
    <row r="1086">
      <c r="B1086" t="inlineStr">
        <is>
          <t>TSP-224</t>
        </is>
      </c>
      <c r="C1086" t="inlineStr">
        <is>
          <t>No. of batches</t>
        </is>
      </c>
      <c r="D1086">
        <f>IFERROR(INDEX(E1086:DD1086,$F$1),"")</f>
        <v/>
      </c>
      <c r="E1086">
        <f>IFERROR(INDEX(PP_Grid[#Data],$DE1086,2),0)</f>
        <v/>
      </c>
      <c r="F1086">
        <f>IFERROR(INDEX(PP_Grid[#Data],$DE1086,3),0)</f>
        <v/>
      </c>
      <c r="G1086">
        <f>IFERROR(INDEX(PP_Grid[#Data],$DE1086,4),0)</f>
        <v/>
      </c>
      <c r="H1086">
        <f>IFERROR(INDEX(PP_Grid[#Data],$DE1086,5),0)</f>
        <v/>
      </c>
      <c r="I1086">
        <f>IFERROR(INDEX(PP_Grid[#Data],$DE1086,6),0)</f>
        <v/>
      </c>
      <c r="J1086">
        <f>IFERROR(INDEX(PP_Grid[#Data],$DE1086,7),0)</f>
        <v/>
      </c>
      <c r="K1086">
        <f>IFERROR(INDEX(PP_Grid[#Data],$DE1086,8),0)</f>
        <v/>
      </c>
      <c r="L1086">
        <f>IFERROR(INDEX(PP_Grid[#Data],$DE1086,9),0)</f>
        <v/>
      </c>
      <c r="M1086">
        <f>IFERROR(INDEX(PP_Grid[#Data],$DE1086,10),0)</f>
        <v/>
      </c>
      <c r="N1086">
        <f>IFERROR(INDEX(PP_Grid[#Data],$DE1086,11),0)</f>
        <v/>
      </c>
      <c r="O1086">
        <f>IFERROR(INDEX(PP_Grid[#Data],$DE1086,12),0)</f>
        <v/>
      </c>
      <c r="P1086">
        <f>IFERROR(INDEX(PP_Grid[#Data],$DE1086,13),0)</f>
        <v/>
      </c>
      <c r="Q1086">
        <f>IFERROR(INDEX(PP_Grid[#Data],$DE1086,14),0)</f>
        <v/>
      </c>
      <c r="R1086">
        <f>IFERROR(INDEX(PP_Grid[#Data],$DE1086,15),0)</f>
        <v/>
      </c>
      <c r="S1086">
        <f>IFERROR(INDEX(PP_Grid[#Data],$DE1086,16),0)</f>
        <v/>
      </c>
      <c r="T1086">
        <f>IFERROR(INDEX(PP_Grid[#Data],$DE1086,17),0)</f>
        <v/>
      </c>
      <c r="U1086">
        <f>IFERROR(INDEX(PP_Grid[#Data],$DE1086,18),0)</f>
        <v/>
      </c>
      <c r="V1086">
        <f>IFERROR(INDEX(PP_Grid[#Data],$DE1086,19),0)</f>
        <v/>
      </c>
      <c r="W1086">
        <f>IFERROR(INDEX(PP_Grid[#Data],$DE1086,20),0)</f>
        <v/>
      </c>
      <c r="X1086">
        <f>IFERROR(INDEX(PP_Grid[#Data],$DE1086,21),0)</f>
        <v/>
      </c>
      <c r="Y1086">
        <f>IFERROR(INDEX(PP_Grid[#Data],$DE1086,22),0)</f>
        <v/>
      </c>
      <c r="Z1086">
        <f>IFERROR(INDEX(PP_Grid[#Data],$DE1086,23),0)</f>
        <v/>
      </c>
      <c r="AA1086">
        <f>IFERROR(INDEX(PP_Grid[#Data],$DE1086,24),0)</f>
        <v/>
      </c>
      <c r="AB1086">
        <f>IFERROR(INDEX(PP_Grid[#Data],$DE1086,25),0)</f>
        <v/>
      </c>
      <c r="AC1086">
        <f>IFERROR(INDEX(PP_Grid[#Data],$DE1086,26),0)</f>
        <v/>
      </c>
      <c r="AD1086">
        <f>IFERROR(INDEX(PP_Grid[#Data],$DE1086,27),0)</f>
        <v/>
      </c>
      <c r="AE1086">
        <f>IFERROR(INDEX(PP_Grid[#Data],$DE1086,28),0)</f>
        <v/>
      </c>
      <c r="AF1086">
        <f>IFERROR(INDEX(PP_Grid[#Data],$DE1086,29),0)</f>
        <v/>
      </c>
      <c r="AG1086">
        <f>IFERROR(INDEX(PP_Grid[#Data],$DE1086,30),0)</f>
        <v/>
      </c>
      <c r="AH1086">
        <f>IFERROR(INDEX(PP_Grid[#Data],$DE1086,31),0)</f>
        <v/>
      </c>
      <c r="AI1086">
        <f>IFERROR(INDEX(PP_Grid[#Data],$DE1086,32),0)</f>
        <v/>
      </c>
      <c r="AJ1086">
        <f>IFERROR(INDEX(PP_Grid[#Data],$DE1086,33),0)</f>
        <v/>
      </c>
      <c r="AK1086">
        <f>IFERROR(INDEX(PP_Grid[#Data],$DE1086,34),0)</f>
        <v/>
      </c>
      <c r="AL1086">
        <f>IFERROR(INDEX(PP_Grid[#Data],$DE1086,35),0)</f>
        <v/>
      </c>
      <c r="AM1086">
        <f>IFERROR(INDEX(PP_Grid[#Data],$DE1086,36),0)</f>
        <v/>
      </c>
      <c r="AN1086">
        <f>IFERROR(INDEX(PP_Grid[#Data],$DE1086,37),0)</f>
        <v/>
      </c>
      <c r="AO1086">
        <f>IFERROR(INDEX(PP_Grid[#Data],$DE1086,38),0)</f>
        <v/>
      </c>
      <c r="AP1086">
        <f>IFERROR(INDEX(PP_Grid[#Data],$DE1086,39),0)</f>
        <v/>
      </c>
      <c r="AQ1086">
        <f>IFERROR(INDEX(PP_Grid[#Data],$DE1086,40),0)</f>
        <v/>
      </c>
      <c r="AR1086">
        <f>IFERROR(INDEX(PP_Grid[#Data],$DE1086,41),0)</f>
        <v/>
      </c>
      <c r="AS1086">
        <f>IFERROR(INDEX(PP_Grid[#Data],$DE1086,42),0)</f>
        <v/>
      </c>
      <c r="AT1086">
        <f>IFERROR(INDEX(PP_Grid[#Data],$DE1086,43),0)</f>
        <v/>
      </c>
      <c r="AU1086">
        <f>IFERROR(INDEX(PP_Grid[#Data],$DE1086,44),0)</f>
        <v/>
      </c>
      <c r="AV1086">
        <f>IFERROR(INDEX(PP_Grid[#Data],$DE1086,45),0)</f>
        <v/>
      </c>
      <c r="AW1086">
        <f>IFERROR(INDEX(PP_Grid[#Data],$DE1086,46),0)</f>
        <v/>
      </c>
      <c r="AX1086">
        <f>IFERROR(INDEX(PP_Grid[#Data],$DE1086,47),0)</f>
        <v/>
      </c>
      <c r="AY1086">
        <f>IFERROR(INDEX(PP_Grid[#Data],$DE1086,48),0)</f>
        <v/>
      </c>
      <c r="AZ1086">
        <f>IFERROR(INDEX(PP_Grid[#Data],$DE1086,49),0)</f>
        <v/>
      </c>
      <c r="BA1086">
        <f>IFERROR(INDEX(PP_Grid[#Data],$DE1086,50),0)</f>
        <v/>
      </c>
      <c r="BB1086">
        <f>IFERROR(INDEX(PP_Grid[#Data],$DE1086,51),0)</f>
        <v/>
      </c>
      <c r="BC1086">
        <f>IFERROR(INDEX(PP_Grid[#Data],$DE1086,52),0)</f>
        <v/>
      </c>
      <c r="BD1086">
        <f>IFERROR(INDEX(PP_Grid[#Data],$DE1086,53),0)</f>
        <v/>
      </c>
      <c r="BE1086">
        <f>IFERROR(INDEX(PP_Grid[#Data],$DE1086,54),0)</f>
        <v/>
      </c>
      <c r="BF1086">
        <f>IFERROR(INDEX(PP_Grid[#Data],$DE1086,55),0)</f>
        <v/>
      </c>
      <c r="BG1086">
        <f>IFERROR(INDEX(PP_Grid[#Data],$DE1086,56),0)</f>
        <v/>
      </c>
      <c r="BH1086">
        <f>IFERROR(INDEX(PP_Grid[#Data],$DE1086,57),0)</f>
        <v/>
      </c>
      <c r="BI1086">
        <f>IFERROR(INDEX(PP_Grid[#Data],$DE1086,58),0)</f>
        <v/>
      </c>
      <c r="BJ1086">
        <f>IFERROR(INDEX(PP_Grid[#Data],$DE1086,59),0)</f>
        <v/>
      </c>
      <c r="BK1086">
        <f>IFERROR(INDEX(PP_Grid[#Data],$DE1086,60),0)</f>
        <v/>
      </c>
      <c r="BL1086">
        <f>IFERROR(INDEX(PP_Grid[#Data],$DE1086,61),0)</f>
        <v/>
      </c>
      <c r="BM1086">
        <f>IFERROR(INDEX(PP_Grid[#Data],$DE1086,62),0)</f>
        <v/>
      </c>
      <c r="BN1086">
        <f>IFERROR(INDEX(PP_Grid[#Data],$DE1086,63),0)</f>
        <v/>
      </c>
      <c r="BO1086">
        <f>IFERROR(INDEX(PP_Grid[#Data],$DE1086,64),0)</f>
        <v/>
      </c>
      <c r="BP1086">
        <f>IFERROR(INDEX(PP_Grid[#Data],$DE1086,65),0)</f>
        <v/>
      </c>
      <c r="BQ1086">
        <f>IFERROR(INDEX(PP_Grid[#Data],$DE1086,66),0)</f>
        <v/>
      </c>
      <c r="BR1086">
        <f>IFERROR(INDEX(PP_Grid[#Data],$DE1086,67),0)</f>
        <v/>
      </c>
      <c r="BS1086">
        <f>IFERROR(INDEX(PP_Grid[#Data],$DE1086,68),0)</f>
        <v/>
      </c>
      <c r="BT1086">
        <f>IFERROR(INDEX(PP_Grid[#Data],$DE1086,69),0)</f>
        <v/>
      </c>
      <c r="BU1086">
        <f>IFERROR(INDEX(PP_Grid[#Data],$DE1086,70),0)</f>
        <v/>
      </c>
      <c r="BV1086">
        <f>IFERROR(INDEX(PP_Grid[#Data],$DE1086,71),0)</f>
        <v/>
      </c>
      <c r="BW1086">
        <f>IFERROR(INDEX(PP_Grid[#Data],$DE1086,72),0)</f>
        <v/>
      </c>
      <c r="BX1086">
        <f>IFERROR(INDEX(PP_Grid[#Data],$DE1086,73),0)</f>
        <v/>
      </c>
      <c r="BY1086">
        <f>IFERROR(INDEX(PP_Grid[#Data],$DE1086,74),0)</f>
        <v/>
      </c>
      <c r="BZ1086">
        <f>IFERROR(INDEX(PP_Grid[#Data],$DE1086,75),0)</f>
        <v/>
      </c>
      <c r="CA1086">
        <f>IFERROR(INDEX(PP_Grid[#Data],$DE1086,76),0)</f>
        <v/>
      </c>
      <c r="CB1086">
        <f>IFERROR(INDEX(PP_Grid[#Data],$DE1086,77),0)</f>
        <v/>
      </c>
      <c r="CC1086">
        <f>IFERROR(INDEX(PP_Grid[#Data],$DE1086,78),0)</f>
        <v/>
      </c>
      <c r="CD1086">
        <f>IFERROR(INDEX(PP_Grid[#Data],$DE1086,79),0)</f>
        <v/>
      </c>
      <c r="CE1086">
        <f>IFERROR(INDEX(PP_Grid[#Data],$DE1086,80),0)</f>
        <v/>
      </c>
      <c r="CF1086">
        <f>IFERROR(INDEX(PP_Grid[#Data],$DE1086,81),0)</f>
        <v/>
      </c>
      <c r="CG1086">
        <f>IFERROR(INDEX(PP_Grid[#Data],$DE1086,82),0)</f>
        <v/>
      </c>
      <c r="CH1086">
        <f>IFERROR(INDEX(PP_Grid[#Data],$DE1086,83),0)</f>
        <v/>
      </c>
      <c r="CI1086">
        <f>IFERROR(INDEX(PP_Grid[#Data],$DE1086,84),0)</f>
        <v/>
      </c>
      <c r="CJ1086">
        <f>IFERROR(INDEX(PP_Grid[#Data],$DE1086,85),0)</f>
        <v/>
      </c>
      <c r="CK1086">
        <f>IFERROR(INDEX(PP_Grid[#Data],$DE1086,86),0)</f>
        <v/>
      </c>
      <c r="CL1086">
        <f>IFERROR(INDEX(PP_Grid[#Data],$DE1086,87),0)</f>
        <v/>
      </c>
      <c r="CM1086">
        <f>IFERROR(INDEX(PP_Grid[#Data],$DE1086,88),0)</f>
        <v/>
      </c>
      <c r="CN1086">
        <f>IFERROR(INDEX(PP_Grid[#Data],$DE1086,89),0)</f>
        <v/>
      </c>
      <c r="CO1086">
        <f>IFERROR(INDEX(PP_Grid[#Data],$DE1086,90),0)</f>
        <v/>
      </c>
      <c r="CP1086">
        <f>IFERROR(INDEX(PP_Grid[#Data],$DE1086,91),0)</f>
        <v/>
      </c>
      <c r="CQ1086">
        <f>IFERROR(INDEX(PP_Grid[#Data],$DE1086,92),0)</f>
        <v/>
      </c>
      <c r="CR1086">
        <f>IFERROR(INDEX(PP_Grid[#Data],$DE1086,93),0)</f>
        <v/>
      </c>
      <c r="CS1086">
        <f>IFERROR(INDEX(PP_Grid[#Data],$DE1086,94),0)</f>
        <v/>
      </c>
      <c r="CT1086">
        <f>IFERROR(INDEX(PP_Grid[#Data],$DE1086,95),0)</f>
        <v/>
      </c>
      <c r="CU1086">
        <f>IFERROR(INDEX(PP_Grid[#Data],$DE1086,96),0)</f>
        <v/>
      </c>
      <c r="CV1086">
        <f>IFERROR(INDEX(PP_Grid[#Data],$DE1086,97),0)</f>
        <v/>
      </c>
      <c r="CW1086">
        <f>IFERROR(INDEX(PP_Grid[#Data],$DE1086,98),0)</f>
        <v/>
      </c>
      <c r="CX1086">
        <f>IFERROR(INDEX(PP_Grid[#Data],$DE1086,99),0)</f>
        <v/>
      </c>
      <c r="CY1086">
        <f>IFERROR(INDEX(PP_Grid[#Data],$DE1086,100),0)</f>
        <v/>
      </c>
      <c r="CZ1086">
        <f>IFERROR(INDEX(PP_Grid[#Data],$DE1086,101),0)</f>
        <v/>
      </c>
      <c r="DA1086">
        <f>IFERROR(INDEX(PP_Grid[#Data],$DE1086,102),0)</f>
        <v/>
      </c>
      <c r="DB1086">
        <f>IFERROR(INDEX(PP_Grid[#Data],$DE1086,103),0)</f>
        <v/>
      </c>
      <c r="DC1086">
        <f>IFERROR(INDEX(PP_Grid[#Data],$DE1086,104),0)</f>
        <v/>
      </c>
      <c r="DD1086">
        <f>IFERROR(INDEX(PP_Grid[#Data],$DE1086,105),0)</f>
        <v/>
      </c>
      <c r="DE1086" s="7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SUMIFS(M_BOM[RM_Qty_Per_Batch],M_BOM[Intermediate],$B1086,M_BOM[RM_Code],$A1085)</f>
        <v/>
      </c>
      <c r="D1087">
        <f>IFERROR(INDEX(E1087:DD1087,$F$1),"")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  <c r="DD1087">
        <f>$C1087*DD1086</f>
        <v/>
      </c>
    </row>
    <row r="1088">
      <c r="B1088" t="inlineStr">
        <is>
          <t>TSP-390</t>
        </is>
      </c>
      <c r="C1088" t="inlineStr">
        <is>
          <t>No. of batches</t>
        </is>
      </c>
      <c r="D1088">
        <f>IFERROR(INDEX(E1088:DD1088,$F$1),"")</f>
        <v/>
      </c>
      <c r="E1088">
        <f>IFERROR(INDEX(PP_Grid[#Data],$DE1088,2),0)</f>
        <v/>
      </c>
      <c r="F1088">
        <f>IFERROR(INDEX(PP_Grid[#Data],$DE1088,3),0)</f>
        <v/>
      </c>
      <c r="G1088">
        <f>IFERROR(INDEX(PP_Grid[#Data],$DE1088,4),0)</f>
        <v/>
      </c>
      <c r="H1088">
        <f>IFERROR(INDEX(PP_Grid[#Data],$DE1088,5),0)</f>
        <v/>
      </c>
      <c r="I1088">
        <f>IFERROR(INDEX(PP_Grid[#Data],$DE1088,6),0)</f>
        <v/>
      </c>
      <c r="J1088">
        <f>IFERROR(INDEX(PP_Grid[#Data],$DE1088,7),0)</f>
        <v/>
      </c>
      <c r="K1088">
        <f>IFERROR(INDEX(PP_Grid[#Data],$DE1088,8),0)</f>
        <v/>
      </c>
      <c r="L1088">
        <f>IFERROR(INDEX(PP_Grid[#Data],$DE1088,9),0)</f>
        <v/>
      </c>
      <c r="M1088">
        <f>IFERROR(INDEX(PP_Grid[#Data],$DE1088,10),0)</f>
        <v/>
      </c>
      <c r="N1088">
        <f>IFERROR(INDEX(PP_Grid[#Data],$DE1088,11),0)</f>
        <v/>
      </c>
      <c r="O1088">
        <f>IFERROR(INDEX(PP_Grid[#Data],$DE1088,12),0)</f>
        <v/>
      </c>
      <c r="P1088">
        <f>IFERROR(INDEX(PP_Grid[#Data],$DE1088,13),0)</f>
        <v/>
      </c>
      <c r="Q1088">
        <f>IFERROR(INDEX(PP_Grid[#Data],$DE1088,14),0)</f>
        <v/>
      </c>
      <c r="R1088">
        <f>IFERROR(INDEX(PP_Grid[#Data],$DE1088,15),0)</f>
        <v/>
      </c>
      <c r="S1088">
        <f>IFERROR(INDEX(PP_Grid[#Data],$DE1088,16),0)</f>
        <v/>
      </c>
      <c r="T1088">
        <f>IFERROR(INDEX(PP_Grid[#Data],$DE1088,17),0)</f>
        <v/>
      </c>
      <c r="U1088">
        <f>IFERROR(INDEX(PP_Grid[#Data],$DE1088,18),0)</f>
        <v/>
      </c>
      <c r="V1088">
        <f>IFERROR(INDEX(PP_Grid[#Data],$DE1088,19),0)</f>
        <v/>
      </c>
      <c r="W1088">
        <f>IFERROR(INDEX(PP_Grid[#Data],$DE1088,20),0)</f>
        <v/>
      </c>
      <c r="X1088">
        <f>IFERROR(INDEX(PP_Grid[#Data],$DE1088,21),0)</f>
        <v/>
      </c>
      <c r="Y1088">
        <f>IFERROR(INDEX(PP_Grid[#Data],$DE1088,22),0)</f>
        <v/>
      </c>
      <c r="Z1088">
        <f>IFERROR(INDEX(PP_Grid[#Data],$DE1088,23),0)</f>
        <v/>
      </c>
      <c r="AA1088">
        <f>IFERROR(INDEX(PP_Grid[#Data],$DE1088,24),0)</f>
        <v/>
      </c>
      <c r="AB1088">
        <f>IFERROR(INDEX(PP_Grid[#Data],$DE1088,25),0)</f>
        <v/>
      </c>
      <c r="AC1088">
        <f>IFERROR(INDEX(PP_Grid[#Data],$DE1088,26),0)</f>
        <v/>
      </c>
      <c r="AD1088">
        <f>IFERROR(INDEX(PP_Grid[#Data],$DE1088,27),0)</f>
        <v/>
      </c>
      <c r="AE1088">
        <f>IFERROR(INDEX(PP_Grid[#Data],$DE1088,28),0)</f>
        <v/>
      </c>
      <c r="AF1088">
        <f>IFERROR(INDEX(PP_Grid[#Data],$DE1088,29),0)</f>
        <v/>
      </c>
      <c r="AG1088">
        <f>IFERROR(INDEX(PP_Grid[#Data],$DE1088,30),0)</f>
        <v/>
      </c>
      <c r="AH1088">
        <f>IFERROR(INDEX(PP_Grid[#Data],$DE1088,31),0)</f>
        <v/>
      </c>
      <c r="AI1088">
        <f>IFERROR(INDEX(PP_Grid[#Data],$DE1088,32),0)</f>
        <v/>
      </c>
      <c r="AJ1088">
        <f>IFERROR(INDEX(PP_Grid[#Data],$DE1088,33),0)</f>
        <v/>
      </c>
      <c r="AK1088">
        <f>IFERROR(INDEX(PP_Grid[#Data],$DE1088,34),0)</f>
        <v/>
      </c>
      <c r="AL1088">
        <f>IFERROR(INDEX(PP_Grid[#Data],$DE1088,35),0)</f>
        <v/>
      </c>
      <c r="AM1088">
        <f>IFERROR(INDEX(PP_Grid[#Data],$DE1088,36),0)</f>
        <v/>
      </c>
      <c r="AN1088">
        <f>IFERROR(INDEX(PP_Grid[#Data],$DE1088,37),0)</f>
        <v/>
      </c>
      <c r="AO1088">
        <f>IFERROR(INDEX(PP_Grid[#Data],$DE1088,38),0)</f>
        <v/>
      </c>
      <c r="AP1088">
        <f>IFERROR(INDEX(PP_Grid[#Data],$DE1088,39),0)</f>
        <v/>
      </c>
      <c r="AQ1088">
        <f>IFERROR(INDEX(PP_Grid[#Data],$DE1088,40),0)</f>
        <v/>
      </c>
      <c r="AR1088">
        <f>IFERROR(INDEX(PP_Grid[#Data],$DE1088,41),0)</f>
        <v/>
      </c>
      <c r="AS1088">
        <f>IFERROR(INDEX(PP_Grid[#Data],$DE1088,42),0)</f>
        <v/>
      </c>
      <c r="AT1088">
        <f>IFERROR(INDEX(PP_Grid[#Data],$DE1088,43),0)</f>
        <v/>
      </c>
      <c r="AU1088">
        <f>IFERROR(INDEX(PP_Grid[#Data],$DE1088,44),0)</f>
        <v/>
      </c>
      <c r="AV1088">
        <f>IFERROR(INDEX(PP_Grid[#Data],$DE1088,45),0)</f>
        <v/>
      </c>
      <c r="AW1088">
        <f>IFERROR(INDEX(PP_Grid[#Data],$DE1088,46),0)</f>
        <v/>
      </c>
      <c r="AX1088">
        <f>IFERROR(INDEX(PP_Grid[#Data],$DE1088,47),0)</f>
        <v/>
      </c>
      <c r="AY1088">
        <f>IFERROR(INDEX(PP_Grid[#Data],$DE1088,48),0)</f>
        <v/>
      </c>
      <c r="AZ1088">
        <f>IFERROR(INDEX(PP_Grid[#Data],$DE1088,49),0)</f>
        <v/>
      </c>
      <c r="BA1088">
        <f>IFERROR(INDEX(PP_Grid[#Data],$DE1088,50),0)</f>
        <v/>
      </c>
      <c r="BB1088">
        <f>IFERROR(INDEX(PP_Grid[#Data],$DE1088,51),0)</f>
        <v/>
      </c>
      <c r="BC1088">
        <f>IFERROR(INDEX(PP_Grid[#Data],$DE1088,52),0)</f>
        <v/>
      </c>
      <c r="BD1088">
        <f>IFERROR(INDEX(PP_Grid[#Data],$DE1088,53),0)</f>
        <v/>
      </c>
      <c r="BE1088">
        <f>IFERROR(INDEX(PP_Grid[#Data],$DE1088,54),0)</f>
        <v/>
      </c>
      <c r="BF1088">
        <f>IFERROR(INDEX(PP_Grid[#Data],$DE1088,55),0)</f>
        <v/>
      </c>
      <c r="BG1088">
        <f>IFERROR(INDEX(PP_Grid[#Data],$DE1088,56),0)</f>
        <v/>
      </c>
      <c r="BH1088">
        <f>IFERROR(INDEX(PP_Grid[#Data],$DE1088,57),0)</f>
        <v/>
      </c>
      <c r="BI1088">
        <f>IFERROR(INDEX(PP_Grid[#Data],$DE1088,58),0)</f>
        <v/>
      </c>
      <c r="BJ1088">
        <f>IFERROR(INDEX(PP_Grid[#Data],$DE1088,59),0)</f>
        <v/>
      </c>
      <c r="BK1088">
        <f>IFERROR(INDEX(PP_Grid[#Data],$DE1088,60),0)</f>
        <v/>
      </c>
      <c r="BL1088">
        <f>IFERROR(INDEX(PP_Grid[#Data],$DE1088,61),0)</f>
        <v/>
      </c>
      <c r="BM1088">
        <f>IFERROR(INDEX(PP_Grid[#Data],$DE1088,62),0)</f>
        <v/>
      </c>
      <c r="BN1088">
        <f>IFERROR(INDEX(PP_Grid[#Data],$DE1088,63),0)</f>
        <v/>
      </c>
      <c r="BO1088">
        <f>IFERROR(INDEX(PP_Grid[#Data],$DE1088,64),0)</f>
        <v/>
      </c>
      <c r="BP1088">
        <f>IFERROR(INDEX(PP_Grid[#Data],$DE1088,65),0)</f>
        <v/>
      </c>
      <c r="BQ1088">
        <f>IFERROR(INDEX(PP_Grid[#Data],$DE1088,66),0)</f>
        <v/>
      </c>
      <c r="BR1088">
        <f>IFERROR(INDEX(PP_Grid[#Data],$DE1088,67),0)</f>
        <v/>
      </c>
      <c r="BS1088">
        <f>IFERROR(INDEX(PP_Grid[#Data],$DE1088,68),0)</f>
        <v/>
      </c>
      <c r="BT1088">
        <f>IFERROR(INDEX(PP_Grid[#Data],$DE1088,69),0)</f>
        <v/>
      </c>
      <c r="BU1088">
        <f>IFERROR(INDEX(PP_Grid[#Data],$DE1088,70),0)</f>
        <v/>
      </c>
      <c r="BV1088">
        <f>IFERROR(INDEX(PP_Grid[#Data],$DE1088,71),0)</f>
        <v/>
      </c>
      <c r="BW1088">
        <f>IFERROR(INDEX(PP_Grid[#Data],$DE1088,72),0)</f>
        <v/>
      </c>
      <c r="BX1088">
        <f>IFERROR(INDEX(PP_Grid[#Data],$DE1088,73),0)</f>
        <v/>
      </c>
      <c r="BY1088">
        <f>IFERROR(INDEX(PP_Grid[#Data],$DE1088,74),0)</f>
        <v/>
      </c>
      <c r="BZ1088">
        <f>IFERROR(INDEX(PP_Grid[#Data],$DE1088,75),0)</f>
        <v/>
      </c>
      <c r="CA1088">
        <f>IFERROR(INDEX(PP_Grid[#Data],$DE1088,76),0)</f>
        <v/>
      </c>
      <c r="CB1088">
        <f>IFERROR(INDEX(PP_Grid[#Data],$DE1088,77),0)</f>
        <v/>
      </c>
      <c r="CC1088">
        <f>IFERROR(INDEX(PP_Grid[#Data],$DE1088,78),0)</f>
        <v/>
      </c>
      <c r="CD1088">
        <f>IFERROR(INDEX(PP_Grid[#Data],$DE1088,79),0)</f>
        <v/>
      </c>
      <c r="CE1088">
        <f>IFERROR(INDEX(PP_Grid[#Data],$DE1088,80),0)</f>
        <v/>
      </c>
      <c r="CF1088">
        <f>IFERROR(INDEX(PP_Grid[#Data],$DE1088,81),0)</f>
        <v/>
      </c>
      <c r="CG1088">
        <f>IFERROR(INDEX(PP_Grid[#Data],$DE1088,82),0)</f>
        <v/>
      </c>
      <c r="CH1088">
        <f>IFERROR(INDEX(PP_Grid[#Data],$DE1088,83),0)</f>
        <v/>
      </c>
      <c r="CI1088">
        <f>IFERROR(INDEX(PP_Grid[#Data],$DE1088,84),0)</f>
        <v/>
      </c>
      <c r="CJ1088">
        <f>IFERROR(INDEX(PP_Grid[#Data],$DE1088,85),0)</f>
        <v/>
      </c>
      <c r="CK1088">
        <f>IFERROR(INDEX(PP_Grid[#Data],$DE1088,86),0)</f>
        <v/>
      </c>
      <c r="CL1088">
        <f>IFERROR(INDEX(PP_Grid[#Data],$DE1088,87),0)</f>
        <v/>
      </c>
      <c r="CM1088">
        <f>IFERROR(INDEX(PP_Grid[#Data],$DE1088,88),0)</f>
        <v/>
      </c>
      <c r="CN1088">
        <f>IFERROR(INDEX(PP_Grid[#Data],$DE1088,89),0)</f>
        <v/>
      </c>
      <c r="CO1088">
        <f>IFERROR(INDEX(PP_Grid[#Data],$DE1088,90),0)</f>
        <v/>
      </c>
      <c r="CP1088">
        <f>IFERROR(INDEX(PP_Grid[#Data],$DE1088,91),0)</f>
        <v/>
      </c>
      <c r="CQ1088">
        <f>IFERROR(INDEX(PP_Grid[#Data],$DE1088,92),0)</f>
        <v/>
      </c>
      <c r="CR1088">
        <f>IFERROR(INDEX(PP_Grid[#Data],$DE1088,93),0)</f>
        <v/>
      </c>
      <c r="CS1088">
        <f>IFERROR(INDEX(PP_Grid[#Data],$DE1088,94),0)</f>
        <v/>
      </c>
      <c r="CT1088">
        <f>IFERROR(INDEX(PP_Grid[#Data],$DE1088,95),0)</f>
        <v/>
      </c>
      <c r="CU1088">
        <f>IFERROR(INDEX(PP_Grid[#Data],$DE1088,96),0)</f>
        <v/>
      </c>
      <c r="CV1088">
        <f>IFERROR(INDEX(PP_Grid[#Data],$DE1088,97),0)</f>
        <v/>
      </c>
      <c r="CW1088">
        <f>IFERROR(INDEX(PP_Grid[#Data],$DE1088,98),0)</f>
        <v/>
      </c>
      <c r="CX1088">
        <f>IFERROR(INDEX(PP_Grid[#Data],$DE1088,99),0)</f>
        <v/>
      </c>
      <c r="CY1088">
        <f>IFERROR(INDEX(PP_Grid[#Data],$DE1088,100),0)</f>
        <v/>
      </c>
      <c r="CZ1088">
        <f>IFERROR(INDEX(PP_Grid[#Data],$DE1088,101),0)</f>
        <v/>
      </c>
      <c r="DA1088">
        <f>IFERROR(INDEX(PP_Grid[#Data],$DE1088,102),0)</f>
        <v/>
      </c>
      <c r="DB1088">
        <f>IFERROR(INDEX(PP_Grid[#Data],$DE1088,103),0)</f>
        <v/>
      </c>
      <c r="DC1088">
        <f>IFERROR(INDEX(PP_Grid[#Data],$DE1088,104),0)</f>
        <v/>
      </c>
      <c r="DD1088">
        <f>IFERROR(INDEX(PP_Grid[#Data],$DE1088,105),0)</f>
        <v/>
      </c>
      <c r="DE1088" s="7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SUMIFS(M_BOM[RM_Qty_Per_Batch],M_BOM[Intermediate],$B1088,M_BOM[RM_Code],$A1085)</f>
        <v/>
      </c>
      <c r="D1089">
        <f>IFERROR(INDEX(E1089:DD1089,$F$1),"")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  <c r="DD1089">
        <f>$C1089*DD1088</f>
        <v/>
      </c>
    </row>
    <row r="1090">
      <c r="B1090" t="inlineStr">
        <is>
          <t>TSP-399</t>
        </is>
      </c>
      <c r="C1090" t="inlineStr">
        <is>
          <t>No. of batches</t>
        </is>
      </c>
      <c r="D1090">
        <f>IFERROR(INDEX(E1090:DD1090,$F$1),"")</f>
        <v/>
      </c>
      <c r="E1090">
        <f>IFERROR(INDEX(PP_Grid[#Data],$DE1090,2),0)</f>
        <v/>
      </c>
      <c r="F1090">
        <f>IFERROR(INDEX(PP_Grid[#Data],$DE1090,3),0)</f>
        <v/>
      </c>
      <c r="G1090">
        <f>IFERROR(INDEX(PP_Grid[#Data],$DE1090,4),0)</f>
        <v/>
      </c>
      <c r="H1090">
        <f>IFERROR(INDEX(PP_Grid[#Data],$DE1090,5),0)</f>
        <v/>
      </c>
      <c r="I1090">
        <f>IFERROR(INDEX(PP_Grid[#Data],$DE1090,6),0)</f>
        <v/>
      </c>
      <c r="J1090">
        <f>IFERROR(INDEX(PP_Grid[#Data],$DE1090,7),0)</f>
        <v/>
      </c>
      <c r="K1090">
        <f>IFERROR(INDEX(PP_Grid[#Data],$DE1090,8),0)</f>
        <v/>
      </c>
      <c r="L1090">
        <f>IFERROR(INDEX(PP_Grid[#Data],$DE1090,9),0)</f>
        <v/>
      </c>
      <c r="M1090">
        <f>IFERROR(INDEX(PP_Grid[#Data],$DE1090,10),0)</f>
        <v/>
      </c>
      <c r="N1090">
        <f>IFERROR(INDEX(PP_Grid[#Data],$DE1090,11),0)</f>
        <v/>
      </c>
      <c r="O1090">
        <f>IFERROR(INDEX(PP_Grid[#Data],$DE1090,12),0)</f>
        <v/>
      </c>
      <c r="P1090">
        <f>IFERROR(INDEX(PP_Grid[#Data],$DE1090,13),0)</f>
        <v/>
      </c>
      <c r="Q1090">
        <f>IFERROR(INDEX(PP_Grid[#Data],$DE1090,14),0)</f>
        <v/>
      </c>
      <c r="R1090">
        <f>IFERROR(INDEX(PP_Grid[#Data],$DE1090,15),0)</f>
        <v/>
      </c>
      <c r="S1090">
        <f>IFERROR(INDEX(PP_Grid[#Data],$DE1090,16),0)</f>
        <v/>
      </c>
      <c r="T1090">
        <f>IFERROR(INDEX(PP_Grid[#Data],$DE1090,17),0)</f>
        <v/>
      </c>
      <c r="U1090">
        <f>IFERROR(INDEX(PP_Grid[#Data],$DE1090,18),0)</f>
        <v/>
      </c>
      <c r="V1090">
        <f>IFERROR(INDEX(PP_Grid[#Data],$DE1090,19),0)</f>
        <v/>
      </c>
      <c r="W1090">
        <f>IFERROR(INDEX(PP_Grid[#Data],$DE1090,20),0)</f>
        <v/>
      </c>
      <c r="X1090">
        <f>IFERROR(INDEX(PP_Grid[#Data],$DE1090,21),0)</f>
        <v/>
      </c>
      <c r="Y1090">
        <f>IFERROR(INDEX(PP_Grid[#Data],$DE1090,22),0)</f>
        <v/>
      </c>
      <c r="Z1090">
        <f>IFERROR(INDEX(PP_Grid[#Data],$DE1090,23),0)</f>
        <v/>
      </c>
      <c r="AA1090">
        <f>IFERROR(INDEX(PP_Grid[#Data],$DE1090,24),0)</f>
        <v/>
      </c>
      <c r="AB1090">
        <f>IFERROR(INDEX(PP_Grid[#Data],$DE1090,25),0)</f>
        <v/>
      </c>
      <c r="AC1090">
        <f>IFERROR(INDEX(PP_Grid[#Data],$DE1090,26),0)</f>
        <v/>
      </c>
      <c r="AD1090">
        <f>IFERROR(INDEX(PP_Grid[#Data],$DE1090,27),0)</f>
        <v/>
      </c>
      <c r="AE1090">
        <f>IFERROR(INDEX(PP_Grid[#Data],$DE1090,28),0)</f>
        <v/>
      </c>
      <c r="AF1090">
        <f>IFERROR(INDEX(PP_Grid[#Data],$DE1090,29),0)</f>
        <v/>
      </c>
      <c r="AG1090">
        <f>IFERROR(INDEX(PP_Grid[#Data],$DE1090,30),0)</f>
        <v/>
      </c>
      <c r="AH1090">
        <f>IFERROR(INDEX(PP_Grid[#Data],$DE1090,31),0)</f>
        <v/>
      </c>
      <c r="AI1090">
        <f>IFERROR(INDEX(PP_Grid[#Data],$DE1090,32),0)</f>
        <v/>
      </c>
      <c r="AJ1090">
        <f>IFERROR(INDEX(PP_Grid[#Data],$DE1090,33),0)</f>
        <v/>
      </c>
      <c r="AK1090">
        <f>IFERROR(INDEX(PP_Grid[#Data],$DE1090,34),0)</f>
        <v/>
      </c>
      <c r="AL1090">
        <f>IFERROR(INDEX(PP_Grid[#Data],$DE1090,35),0)</f>
        <v/>
      </c>
      <c r="AM1090">
        <f>IFERROR(INDEX(PP_Grid[#Data],$DE1090,36),0)</f>
        <v/>
      </c>
      <c r="AN1090">
        <f>IFERROR(INDEX(PP_Grid[#Data],$DE1090,37),0)</f>
        <v/>
      </c>
      <c r="AO1090">
        <f>IFERROR(INDEX(PP_Grid[#Data],$DE1090,38),0)</f>
        <v/>
      </c>
      <c r="AP1090">
        <f>IFERROR(INDEX(PP_Grid[#Data],$DE1090,39),0)</f>
        <v/>
      </c>
      <c r="AQ1090">
        <f>IFERROR(INDEX(PP_Grid[#Data],$DE1090,40),0)</f>
        <v/>
      </c>
      <c r="AR1090">
        <f>IFERROR(INDEX(PP_Grid[#Data],$DE1090,41),0)</f>
        <v/>
      </c>
      <c r="AS1090">
        <f>IFERROR(INDEX(PP_Grid[#Data],$DE1090,42),0)</f>
        <v/>
      </c>
      <c r="AT1090">
        <f>IFERROR(INDEX(PP_Grid[#Data],$DE1090,43),0)</f>
        <v/>
      </c>
      <c r="AU1090">
        <f>IFERROR(INDEX(PP_Grid[#Data],$DE1090,44),0)</f>
        <v/>
      </c>
      <c r="AV1090">
        <f>IFERROR(INDEX(PP_Grid[#Data],$DE1090,45),0)</f>
        <v/>
      </c>
      <c r="AW1090">
        <f>IFERROR(INDEX(PP_Grid[#Data],$DE1090,46),0)</f>
        <v/>
      </c>
      <c r="AX1090">
        <f>IFERROR(INDEX(PP_Grid[#Data],$DE1090,47),0)</f>
        <v/>
      </c>
      <c r="AY1090">
        <f>IFERROR(INDEX(PP_Grid[#Data],$DE1090,48),0)</f>
        <v/>
      </c>
      <c r="AZ1090">
        <f>IFERROR(INDEX(PP_Grid[#Data],$DE1090,49),0)</f>
        <v/>
      </c>
      <c r="BA1090">
        <f>IFERROR(INDEX(PP_Grid[#Data],$DE1090,50),0)</f>
        <v/>
      </c>
      <c r="BB1090">
        <f>IFERROR(INDEX(PP_Grid[#Data],$DE1090,51),0)</f>
        <v/>
      </c>
      <c r="BC1090">
        <f>IFERROR(INDEX(PP_Grid[#Data],$DE1090,52),0)</f>
        <v/>
      </c>
      <c r="BD1090">
        <f>IFERROR(INDEX(PP_Grid[#Data],$DE1090,53),0)</f>
        <v/>
      </c>
      <c r="BE1090">
        <f>IFERROR(INDEX(PP_Grid[#Data],$DE1090,54),0)</f>
        <v/>
      </c>
      <c r="BF1090">
        <f>IFERROR(INDEX(PP_Grid[#Data],$DE1090,55),0)</f>
        <v/>
      </c>
      <c r="BG1090">
        <f>IFERROR(INDEX(PP_Grid[#Data],$DE1090,56),0)</f>
        <v/>
      </c>
      <c r="BH1090">
        <f>IFERROR(INDEX(PP_Grid[#Data],$DE1090,57),0)</f>
        <v/>
      </c>
      <c r="BI1090">
        <f>IFERROR(INDEX(PP_Grid[#Data],$DE1090,58),0)</f>
        <v/>
      </c>
      <c r="BJ1090">
        <f>IFERROR(INDEX(PP_Grid[#Data],$DE1090,59),0)</f>
        <v/>
      </c>
      <c r="BK1090">
        <f>IFERROR(INDEX(PP_Grid[#Data],$DE1090,60),0)</f>
        <v/>
      </c>
      <c r="BL1090">
        <f>IFERROR(INDEX(PP_Grid[#Data],$DE1090,61),0)</f>
        <v/>
      </c>
      <c r="BM1090">
        <f>IFERROR(INDEX(PP_Grid[#Data],$DE1090,62),0)</f>
        <v/>
      </c>
      <c r="BN1090">
        <f>IFERROR(INDEX(PP_Grid[#Data],$DE1090,63),0)</f>
        <v/>
      </c>
      <c r="BO1090">
        <f>IFERROR(INDEX(PP_Grid[#Data],$DE1090,64),0)</f>
        <v/>
      </c>
      <c r="BP1090">
        <f>IFERROR(INDEX(PP_Grid[#Data],$DE1090,65),0)</f>
        <v/>
      </c>
      <c r="BQ1090">
        <f>IFERROR(INDEX(PP_Grid[#Data],$DE1090,66),0)</f>
        <v/>
      </c>
      <c r="BR1090">
        <f>IFERROR(INDEX(PP_Grid[#Data],$DE1090,67),0)</f>
        <v/>
      </c>
      <c r="BS1090">
        <f>IFERROR(INDEX(PP_Grid[#Data],$DE1090,68),0)</f>
        <v/>
      </c>
      <c r="BT1090">
        <f>IFERROR(INDEX(PP_Grid[#Data],$DE1090,69),0)</f>
        <v/>
      </c>
      <c r="BU1090">
        <f>IFERROR(INDEX(PP_Grid[#Data],$DE1090,70),0)</f>
        <v/>
      </c>
      <c r="BV1090">
        <f>IFERROR(INDEX(PP_Grid[#Data],$DE1090,71),0)</f>
        <v/>
      </c>
      <c r="BW1090">
        <f>IFERROR(INDEX(PP_Grid[#Data],$DE1090,72),0)</f>
        <v/>
      </c>
      <c r="BX1090">
        <f>IFERROR(INDEX(PP_Grid[#Data],$DE1090,73),0)</f>
        <v/>
      </c>
      <c r="BY1090">
        <f>IFERROR(INDEX(PP_Grid[#Data],$DE1090,74),0)</f>
        <v/>
      </c>
      <c r="BZ1090">
        <f>IFERROR(INDEX(PP_Grid[#Data],$DE1090,75),0)</f>
        <v/>
      </c>
      <c r="CA1090">
        <f>IFERROR(INDEX(PP_Grid[#Data],$DE1090,76),0)</f>
        <v/>
      </c>
      <c r="CB1090">
        <f>IFERROR(INDEX(PP_Grid[#Data],$DE1090,77),0)</f>
        <v/>
      </c>
      <c r="CC1090">
        <f>IFERROR(INDEX(PP_Grid[#Data],$DE1090,78),0)</f>
        <v/>
      </c>
      <c r="CD1090">
        <f>IFERROR(INDEX(PP_Grid[#Data],$DE1090,79),0)</f>
        <v/>
      </c>
      <c r="CE1090">
        <f>IFERROR(INDEX(PP_Grid[#Data],$DE1090,80),0)</f>
        <v/>
      </c>
      <c r="CF1090">
        <f>IFERROR(INDEX(PP_Grid[#Data],$DE1090,81),0)</f>
        <v/>
      </c>
      <c r="CG1090">
        <f>IFERROR(INDEX(PP_Grid[#Data],$DE1090,82),0)</f>
        <v/>
      </c>
      <c r="CH1090">
        <f>IFERROR(INDEX(PP_Grid[#Data],$DE1090,83),0)</f>
        <v/>
      </c>
      <c r="CI1090">
        <f>IFERROR(INDEX(PP_Grid[#Data],$DE1090,84),0)</f>
        <v/>
      </c>
      <c r="CJ1090">
        <f>IFERROR(INDEX(PP_Grid[#Data],$DE1090,85),0)</f>
        <v/>
      </c>
      <c r="CK1090">
        <f>IFERROR(INDEX(PP_Grid[#Data],$DE1090,86),0)</f>
        <v/>
      </c>
      <c r="CL1090">
        <f>IFERROR(INDEX(PP_Grid[#Data],$DE1090,87),0)</f>
        <v/>
      </c>
      <c r="CM1090">
        <f>IFERROR(INDEX(PP_Grid[#Data],$DE1090,88),0)</f>
        <v/>
      </c>
      <c r="CN1090">
        <f>IFERROR(INDEX(PP_Grid[#Data],$DE1090,89),0)</f>
        <v/>
      </c>
      <c r="CO1090">
        <f>IFERROR(INDEX(PP_Grid[#Data],$DE1090,90),0)</f>
        <v/>
      </c>
      <c r="CP1090">
        <f>IFERROR(INDEX(PP_Grid[#Data],$DE1090,91),0)</f>
        <v/>
      </c>
      <c r="CQ1090">
        <f>IFERROR(INDEX(PP_Grid[#Data],$DE1090,92),0)</f>
        <v/>
      </c>
      <c r="CR1090">
        <f>IFERROR(INDEX(PP_Grid[#Data],$DE1090,93),0)</f>
        <v/>
      </c>
      <c r="CS1090">
        <f>IFERROR(INDEX(PP_Grid[#Data],$DE1090,94),0)</f>
        <v/>
      </c>
      <c r="CT1090">
        <f>IFERROR(INDEX(PP_Grid[#Data],$DE1090,95),0)</f>
        <v/>
      </c>
      <c r="CU1090">
        <f>IFERROR(INDEX(PP_Grid[#Data],$DE1090,96),0)</f>
        <v/>
      </c>
      <c r="CV1090">
        <f>IFERROR(INDEX(PP_Grid[#Data],$DE1090,97),0)</f>
        <v/>
      </c>
      <c r="CW1090">
        <f>IFERROR(INDEX(PP_Grid[#Data],$DE1090,98),0)</f>
        <v/>
      </c>
      <c r="CX1090">
        <f>IFERROR(INDEX(PP_Grid[#Data],$DE1090,99),0)</f>
        <v/>
      </c>
      <c r="CY1090">
        <f>IFERROR(INDEX(PP_Grid[#Data],$DE1090,100),0)</f>
        <v/>
      </c>
      <c r="CZ1090">
        <f>IFERROR(INDEX(PP_Grid[#Data],$DE1090,101),0)</f>
        <v/>
      </c>
      <c r="DA1090">
        <f>IFERROR(INDEX(PP_Grid[#Data],$DE1090,102),0)</f>
        <v/>
      </c>
      <c r="DB1090">
        <f>IFERROR(INDEX(PP_Grid[#Data],$DE1090,103),0)</f>
        <v/>
      </c>
      <c r="DC1090">
        <f>IFERROR(INDEX(PP_Grid[#Data],$DE1090,104),0)</f>
        <v/>
      </c>
      <c r="DD1090">
        <f>IFERROR(INDEX(PP_Grid[#Data],$DE1090,105),0)</f>
        <v/>
      </c>
      <c r="DE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SUMIFS(M_BOM[RM_Qty_Per_Batch],M_BOM[Intermediate],$B1090,M_BOM[RM_Code],$A1085)</f>
        <v/>
      </c>
      <c r="D1091">
        <f>IFERROR(INDEX(E1091:DD1091,$F$1),"")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  <c r="DD1091">
        <f>$C1091*DD1090</f>
        <v/>
      </c>
    </row>
    <row r="1092">
      <c r="B1092" t="inlineStr">
        <is>
          <t>TSP-668</t>
        </is>
      </c>
      <c r="C1092" t="inlineStr">
        <is>
          <t>No. of batches</t>
        </is>
      </c>
      <c r="D1092">
        <f>IFERROR(INDEX(E1092:DD1092,$F$1),"")</f>
        <v/>
      </c>
      <c r="E1092">
        <f>IFERROR(INDEX(PP_Grid[#Data],$DE1092,2),0)</f>
        <v/>
      </c>
      <c r="F1092">
        <f>IFERROR(INDEX(PP_Grid[#Data],$DE1092,3),0)</f>
        <v/>
      </c>
      <c r="G1092">
        <f>IFERROR(INDEX(PP_Grid[#Data],$DE1092,4),0)</f>
        <v/>
      </c>
      <c r="H1092">
        <f>IFERROR(INDEX(PP_Grid[#Data],$DE1092,5),0)</f>
        <v/>
      </c>
      <c r="I1092">
        <f>IFERROR(INDEX(PP_Grid[#Data],$DE1092,6),0)</f>
        <v/>
      </c>
      <c r="J1092">
        <f>IFERROR(INDEX(PP_Grid[#Data],$DE1092,7),0)</f>
        <v/>
      </c>
      <c r="K1092">
        <f>IFERROR(INDEX(PP_Grid[#Data],$DE1092,8),0)</f>
        <v/>
      </c>
      <c r="L1092">
        <f>IFERROR(INDEX(PP_Grid[#Data],$DE1092,9),0)</f>
        <v/>
      </c>
      <c r="M1092">
        <f>IFERROR(INDEX(PP_Grid[#Data],$DE1092,10),0)</f>
        <v/>
      </c>
      <c r="N1092">
        <f>IFERROR(INDEX(PP_Grid[#Data],$DE1092,11),0)</f>
        <v/>
      </c>
      <c r="O1092">
        <f>IFERROR(INDEX(PP_Grid[#Data],$DE1092,12),0)</f>
        <v/>
      </c>
      <c r="P1092">
        <f>IFERROR(INDEX(PP_Grid[#Data],$DE1092,13),0)</f>
        <v/>
      </c>
      <c r="Q1092">
        <f>IFERROR(INDEX(PP_Grid[#Data],$DE1092,14),0)</f>
        <v/>
      </c>
      <c r="R1092">
        <f>IFERROR(INDEX(PP_Grid[#Data],$DE1092,15),0)</f>
        <v/>
      </c>
      <c r="S1092">
        <f>IFERROR(INDEX(PP_Grid[#Data],$DE1092,16),0)</f>
        <v/>
      </c>
      <c r="T1092">
        <f>IFERROR(INDEX(PP_Grid[#Data],$DE1092,17),0)</f>
        <v/>
      </c>
      <c r="U1092">
        <f>IFERROR(INDEX(PP_Grid[#Data],$DE1092,18),0)</f>
        <v/>
      </c>
      <c r="V1092">
        <f>IFERROR(INDEX(PP_Grid[#Data],$DE1092,19),0)</f>
        <v/>
      </c>
      <c r="W1092">
        <f>IFERROR(INDEX(PP_Grid[#Data],$DE1092,20),0)</f>
        <v/>
      </c>
      <c r="X1092">
        <f>IFERROR(INDEX(PP_Grid[#Data],$DE1092,21),0)</f>
        <v/>
      </c>
      <c r="Y1092">
        <f>IFERROR(INDEX(PP_Grid[#Data],$DE1092,22),0)</f>
        <v/>
      </c>
      <c r="Z1092">
        <f>IFERROR(INDEX(PP_Grid[#Data],$DE1092,23),0)</f>
        <v/>
      </c>
      <c r="AA1092">
        <f>IFERROR(INDEX(PP_Grid[#Data],$DE1092,24),0)</f>
        <v/>
      </c>
      <c r="AB1092">
        <f>IFERROR(INDEX(PP_Grid[#Data],$DE1092,25),0)</f>
        <v/>
      </c>
      <c r="AC1092">
        <f>IFERROR(INDEX(PP_Grid[#Data],$DE1092,26),0)</f>
        <v/>
      </c>
      <c r="AD1092">
        <f>IFERROR(INDEX(PP_Grid[#Data],$DE1092,27),0)</f>
        <v/>
      </c>
      <c r="AE1092">
        <f>IFERROR(INDEX(PP_Grid[#Data],$DE1092,28),0)</f>
        <v/>
      </c>
      <c r="AF1092">
        <f>IFERROR(INDEX(PP_Grid[#Data],$DE1092,29),0)</f>
        <v/>
      </c>
      <c r="AG1092">
        <f>IFERROR(INDEX(PP_Grid[#Data],$DE1092,30),0)</f>
        <v/>
      </c>
      <c r="AH1092">
        <f>IFERROR(INDEX(PP_Grid[#Data],$DE1092,31),0)</f>
        <v/>
      </c>
      <c r="AI1092">
        <f>IFERROR(INDEX(PP_Grid[#Data],$DE1092,32),0)</f>
        <v/>
      </c>
      <c r="AJ1092">
        <f>IFERROR(INDEX(PP_Grid[#Data],$DE1092,33),0)</f>
        <v/>
      </c>
      <c r="AK1092">
        <f>IFERROR(INDEX(PP_Grid[#Data],$DE1092,34),0)</f>
        <v/>
      </c>
      <c r="AL1092">
        <f>IFERROR(INDEX(PP_Grid[#Data],$DE1092,35),0)</f>
        <v/>
      </c>
      <c r="AM1092">
        <f>IFERROR(INDEX(PP_Grid[#Data],$DE1092,36),0)</f>
        <v/>
      </c>
      <c r="AN1092">
        <f>IFERROR(INDEX(PP_Grid[#Data],$DE1092,37),0)</f>
        <v/>
      </c>
      <c r="AO1092">
        <f>IFERROR(INDEX(PP_Grid[#Data],$DE1092,38),0)</f>
        <v/>
      </c>
      <c r="AP1092">
        <f>IFERROR(INDEX(PP_Grid[#Data],$DE1092,39),0)</f>
        <v/>
      </c>
      <c r="AQ1092">
        <f>IFERROR(INDEX(PP_Grid[#Data],$DE1092,40),0)</f>
        <v/>
      </c>
      <c r="AR1092">
        <f>IFERROR(INDEX(PP_Grid[#Data],$DE1092,41),0)</f>
        <v/>
      </c>
      <c r="AS1092">
        <f>IFERROR(INDEX(PP_Grid[#Data],$DE1092,42),0)</f>
        <v/>
      </c>
      <c r="AT1092">
        <f>IFERROR(INDEX(PP_Grid[#Data],$DE1092,43),0)</f>
        <v/>
      </c>
      <c r="AU1092">
        <f>IFERROR(INDEX(PP_Grid[#Data],$DE1092,44),0)</f>
        <v/>
      </c>
      <c r="AV1092">
        <f>IFERROR(INDEX(PP_Grid[#Data],$DE1092,45),0)</f>
        <v/>
      </c>
      <c r="AW1092">
        <f>IFERROR(INDEX(PP_Grid[#Data],$DE1092,46),0)</f>
        <v/>
      </c>
      <c r="AX1092">
        <f>IFERROR(INDEX(PP_Grid[#Data],$DE1092,47),0)</f>
        <v/>
      </c>
      <c r="AY1092">
        <f>IFERROR(INDEX(PP_Grid[#Data],$DE1092,48),0)</f>
        <v/>
      </c>
      <c r="AZ1092">
        <f>IFERROR(INDEX(PP_Grid[#Data],$DE1092,49),0)</f>
        <v/>
      </c>
      <c r="BA1092">
        <f>IFERROR(INDEX(PP_Grid[#Data],$DE1092,50),0)</f>
        <v/>
      </c>
      <c r="BB1092">
        <f>IFERROR(INDEX(PP_Grid[#Data],$DE1092,51),0)</f>
        <v/>
      </c>
      <c r="BC1092">
        <f>IFERROR(INDEX(PP_Grid[#Data],$DE1092,52),0)</f>
        <v/>
      </c>
      <c r="BD1092">
        <f>IFERROR(INDEX(PP_Grid[#Data],$DE1092,53),0)</f>
        <v/>
      </c>
      <c r="BE1092">
        <f>IFERROR(INDEX(PP_Grid[#Data],$DE1092,54),0)</f>
        <v/>
      </c>
      <c r="BF1092">
        <f>IFERROR(INDEX(PP_Grid[#Data],$DE1092,55),0)</f>
        <v/>
      </c>
      <c r="BG1092">
        <f>IFERROR(INDEX(PP_Grid[#Data],$DE1092,56),0)</f>
        <v/>
      </c>
      <c r="BH1092">
        <f>IFERROR(INDEX(PP_Grid[#Data],$DE1092,57),0)</f>
        <v/>
      </c>
      <c r="BI1092">
        <f>IFERROR(INDEX(PP_Grid[#Data],$DE1092,58),0)</f>
        <v/>
      </c>
      <c r="BJ1092">
        <f>IFERROR(INDEX(PP_Grid[#Data],$DE1092,59),0)</f>
        <v/>
      </c>
      <c r="BK1092">
        <f>IFERROR(INDEX(PP_Grid[#Data],$DE1092,60),0)</f>
        <v/>
      </c>
      <c r="BL1092">
        <f>IFERROR(INDEX(PP_Grid[#Data],$DE1092,61),0)</f>
        <v/>
      </c>
      <c r="BM1092">
        <f>IFERROR(INDEX(PP_Grid[#Data],$DE1092,62),0)</f>
        <v/>
      </c>
      <c r="BN1092">
        <f>IFERROR(INDEX(PP_Grid[#Data],$DE1092,63),0)</f>
        <v/>
      </c>
      <c r="BO1092">
        <f>IFERROR(INDEX(PP_Grid[#Data],$DE1092,64),0)</f>
        <v/>
      </c>
      <c r="BP1092">
        <f>IFERROR(INDEX(PP_Grid[#Data],$DE1092,65),0)</f>
        <v/>
      </c>
      <c r="BQ1092">
        <f>IFERROR(INDEX(PP_Grid[#Data],$DE1092,66),0)</f>
        <v/>
      </c>
      <c r="BR1092">
        <f>IFERROR(INDEX(PP_Grid[#Data],$DE1092,67),0)</f>
        <v/>
      </c>
      <c r="BS1092">
        <f>IFERROR(INDEX(PP_Grid[#Data],$DE1092,68),0)</f>
        <v/>
      </c>
      <c r="BT1092">
        <f>IFERROR(INDEX(PP_Grid[#Data],$DE1092,69),0)</f>
        <v/>
      </c>
      <c r="BU1092">
        <f>IFERROR(INDEX(PP_Grid[#Data],$DE1092,70),0)</f>
        <v/>
      </c>
      <c r="BV1092">
        <f>IFERROR(INDEX(PP_Grid[#Data],$DE1092,71),0)</f>
        <v/>
      </c>
      <c r="BW1092">
        <f>IFERROR(INDEX(PP_Grid[#Data],$DE1092,72),0)</f>
        <v/>
      </c>
      <c r="BX1092">
        <f>IFERROR(INDEX(PP_Grid[#Data],$DE1092,73),0)</f>
        <v/>
      </c>
      <c r="BY1092">
        <f>IFERROR(INDEX(PP_Grid[#Data],$DE1092,74),0)</f>
        <v/>
      </c>
      <c r="BZ1092">
        <f>IFERROR(INDEX(PP_Grid[#Data],$DE1092,75),0)</f>
        <v/>
      </c>
      <c r="CA1092">
        <f>IFERROR(INDEX(PP_Grid[#Data],$DE1092,76),0)</f>
        <v/>
      </c>
      <c r="CB1092">
        <f>IFERROR(INDEX(PP_Grid[#Data],$DE1092,77),0)</f>
        <v/>
      </c>
      <c r="CC1092">
        <f>IFERROR(INDEX(PP_Grid[#Data],$DE1092,78),0)</f>
        <v/>
      </c>
      <c r="CD1092">
        <f>IFERROR(INDEX(PP_Grid[#Data],$DE1092,79),0)</f>
        <v/>
      </c>
      <c r="CE1092">
        <f>IFERROR(INDEX(PP_Grid[#Data],$DE1092,80),0)</f>
        <v/>
      </c>
      <c r="CF1092">
        <f>IFERROR(INDEX(PP_Grid[#Data],$DE1092,81),0)</f>
        <v/>
      </c>
      <c r="CG1092">
        <f>IFERROR(INDEX(PP_Grid[#Data],$DE1092,82),0)</f>
        <v/>
      </c>
      <c r="CH1092">
        <f>IFERROR(INDEX(PP_Grid[#Data],$DE1092,83),0)</f>
        <v/>
      </c>
      <c r="CI1092">
        <f>IFERROR(INDEX(PP_Grid[#Data],$DE1092,84),0)</f>
        <v/>
      </c>
      <c r="CJ1092">
        <f>IFERROR(INDEX(PP_Grid[#Data],$DE1092,85),0)</f>
        <v/>
      </c>
      <c r="CK1092">
        <f>IFERROR(INDEX(PP_Grid[#Data],$DE1092,86),0)</f>
        <v/>
      </c>
      <c r="CL1092">
        <f>IFERROR(INDEX(PP_Grid[#Data],$DE1092,87),0)</f>
        <v/>
      </c>
      <c r="CM1092">
        <f>IFERROR(INDEX(PP_Grid[#Data],$DE1092,88),0)</f>
        <v/>
      </c>
      <c r="CN1092">
        <f>IFERROR(INDEX(PP_Grid[#Data],$DE1092,89),0)</f>
        <v/>
      </c>
      <c r="CO1092">
        <f>IFERROR(INDEX(PP_Grid[#Data],$DE1092,90),0)</f>
        <v/>
      </c>
      <c r="CP1092">
        <f>IFERROR(INDEX(PP_Grid[#Data],$DE1092,91),0)</f>
        <v/>
      </c>
      <c r="CQ1092">
        <f>IFERROR(INDEX(PP_Grid[#Data],$DE1092,92),0)</f>
        <v/>
      </c>
      <c r="CR1092">
        <f>IFERROR(INDEX(PP_Grid[#Data],$DE1092,93),0)</f>
        <v/>
      </c>
      <c r="CS1092">
        <f>IFERROR(INDEX(PP_Grid[#Data],$DE1092,94),0)</f>
        <v/>
      </c>
      <c r="CT1092">
        <f>IFERROR(INDEX(PP_Grid[#Data],$DE1092,95),0)</f>
        <v/>
      </c>
      <c r="CU1092">
        <f>IFERROR(INDEX(PP_Grid[#Data],$DE1092,96),0)</f>
        <v/>
      </c>
      <c r="CV1092">
        <f>IFERROR(INDEX(PP_Grid[#Data],$DE1092,97),0)</f>
        <v/>
      </c>
      <c r="CW1092">
        <f>IFERROR(INDEX(PP_Grid[#Data],$DE1092,98),0)</f>
        <v/>
      </c>
      <c r="CX1092">
        <f>IFERROR(INDEX(PP_Grid[#Data],$DE1092,99),0)</f>
        <v/>
      </c>
      <c r="CY1092">
        <f>IFERROR(INDEX(PP_Grid[#Data],$DE1092,100),0)</f>
        <v/>
      </c>
      <c r="CZ1092">
        <f>IFERROR(INDEX(PP_Grid[#Data],$DE1092,101),0)</f>
        <v/>
      </c>
      <c r="DA1092">
        <f>IFERROR(INDEX(PP_Grid[#Data],$DE1092,102),0)</f>
        <v/>
      </c>
      <c r="DB1092">
        <f>IFERROR(INDEX(PP_Grid[#Data],$DE1092,103),0)</f>
        <v/>
      </c>
      <c r="DC1092">
        <f>IFERROR(INDEX(PP_Grid[#Data],$DE1092,104),0)</f>
        <v/>
      </c>
      <c r="DD1092">
        <f>IFERROR(INDEX(PP_Grid[#Data],$DE1092,105),0)</f>
        <v/>
      </c>
      <c r="DE1092" s="7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SUMIFS(M_BOM[RM_Qty_Per_Batch],M_BOM[Intermediate],$B1092,M_BOM[RM_Code],$A1085)</f>
        <v/>
      </c>
      <c r="D1093">
        <f>IFERROR(INDEX(E1093:DD1093,$F$1),"")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  <c r="DD1093">
        <f>$C1093*DD1092</f>
        <v/>
      </c>
    </row>
    <row r="1094">
      <c r="B1094" t="inlineStr">
        <is>
          <t>TSP-669</t>
        </is>
      </c>
      <c r="C1094" t="inlineStr">
        <is>
          <t>No. of batches</t>
        </is>
      </c>
      <c r="D1094">
        <f>IFERROR(INDEX(E1094:DD1094,$F$1),"")</f>
        <v/>
      </c>
      <c r="E1094">
        <f>IFERROR(INDEX(PP_Grid[#Data],$DE1094,2),0)</f>
        <v/>
      </c>
      <c r="F1094">
        <f>IFERROR(INDEX(PP_Grid[#Data],$DE1094,3),0)</f>
        <v/>
      </c>
      <c r="G1094">
        <f>IFERROR(INDEX(PP_Grid[#Data],$DE1094,4),0)</f>
        <v/>
      </c>
      <c r="H1094">
        <f>IFERROR(INDEX(PP_Grid[#Data],$DE1094,5),0)</f>
        <v/>
      </c>
      <c r="I1094">
        <f>IFERROR(INDEX(PP_Grid[#Data],$DE1094,6),0)</f>
        <v/>
      </c>
      <c r="J1094">
        <f>IFERROR(INDEX(PP_Grid[#Data],$DE1094,7),0)</f>
        <v/>
      </c>
      <c r="K1094">
        <f>IFERROR(INDEX(PP_Grid[#Data],$DE1094,8),0)</f>
        <v/>
      </c>
      <c r="L1094">
        <f>IFERROR(INDEX(PP_Grid[#Data],$DE1094,9),0)</f>
        <v/>
      </c>
      <c r="M1094">
        <f>IFERROR(INDEX(PP_Grid[#Data],$DE1094,10),0)</f>
        <v/>
      </c>
      <c r="N1094">
        <f>IFERROR(INDEX(PP_Grid[#Data],$DE1094,11),0)</f>
        <v/>
      </c>
      <c r="O1094">
        <f>IFERROR(INDEX(PP_Grid[#Data],$DE1094,12),0)</f>
        <v/>
      </c>
      <c r="P1094">
        <f>IFERROR(INDEX(PP_Grid[#Data],$DE1094,13),0)</f>
        <v/>
      </c>
      <c r="Q1094">
        <f>IFERROR(INDEX(PP_Grid[#Data],$DE1094,14),0)</f>
        <v/>
      </c>
      <c r="R1094">
        <f>IFERROR(INDEX(PP_Grid[#Data],$DE1094,15),0)</f>
        <v/>
      </c>
      <c r="S1094">
        <f>IFERROR(INDEX(PP_Grid[#Data],$DE1094,16),0)</f>
        <v/>
      </c>
      <c r="T1094">
        <f>IFERROR(INDEX(PP_Grid[#Data],$DE1094,17),0)</f>
        <v/>
      </c>
      <c r="U1094">
        <f>IFERROR(INDEX(PP_Grid[#Data],$DE1094,18),0)</f>
        <v/>
      </c>
      <c r="V1094">
        <f>IFERROR(INDEX(PP_Grid[#Data],$DE1094,19),0)</f>
        <v/>
      </c>
      <c r="W1094">
        <f>IFERROR(INDEX(PP_Grid[#Data],$DE1094,20),0)</f>
        <v/>
      </c>
      <c r="X1094">
        <f>IFERROR(INDEX(PP_Grid[#Data],$DE1094,21),0)</f>
        <v/>
      </c>
      <c r="Y1094">
        <f>IFERROR(INDEX(PP_Grid[#Data],$DE1094,22),0)</f>
        <v/>
      </c>
      <c r="Z1094">
        <f>IFERROR(INDEX(PP_Grid[#Data],$DE1094,23),0)</f>
        <v/>
      </c>
      <c r="AA1094">
        <f>IFERROR(INDEX(PP_Grid[#Data],$DE1094,24),0)</f>
        <v/>
      </c>
      <c r="AB1094">
        <f>IFERROR(INDEX(PP_Grid[#Data],$DE1094,25),0)</f>
        <v/>
      </c>
      <c r="AC1094">
        <f>IFERROR(INDEX(PP_Grid[#Data],$DE1094,26),0)</f>
        <v/>
      </c>
      <c r="AD1094">
        <f>IFERROR(INDEX(PP_Grid[#Data],$DE1094,27),0)</f>
        <v/>
      </c>
      <c r="AE1094">
        <f>IFERROR(INDEX(PP_Grid[#Data],$DE1094,28),0)</f>
        <v/>
      </c>
      <c r="AF1094">
        <f>IFERROR(INDEX(PP_Grid[#Data],$DE1094,29),0)</f>
        <v/>
      </c>
      <c r="AG1094">
        <f>IFERROR(INDEX(PP_Grid[#Data],$DE1094,30),0)</f>
        <v/>
      </c>
      <c r="AH1094">
        <f>IFERROR(INDEX(PP_Grid[#Data],$DE1094,31),0)</f>
        <v/>
      </c>
      <c r="AI1094">
        <f>IFERROR(INDEX(PP_Grid[#Data],$DE1094,32),0)</f>
        <v/>
      </c>
      <c r="AJ1094">
        <f>IFERROR(INDEX(PP_Grid[#Data],$DE1094,33),0)</f>
        <v/>
      </c>
      <c r="AK1094">
        <f>IFERROR(INDEX(PP_Grid[#Data],$DE1094,34),0)</f>
        <v/>
      </c>
      <c r="AL1094">
        <f>IFERROR(INDEX(PP_Grid[#Data],$DE1094,35),0)</f>
        <v/>
      </c>
      <c r="AM1094">
        <f>IFERROR(INDEX(PP_Grid[#Data],$DE1094,36),0)</f>
        <v/>
      </c>
      <c r="AN1094">
        <f>IFERROR(INDEX(PP_Grid[#Data],$DE1094,37),0)</f>
        <v/>
      </c>
      <c r="AO1094">
        <f>IFERROR(INDEX(PP_Grid[#Data],$DE1094,38),0)</f>
        <v/>
      </c>
      <c r="AP1094">
        <f>IFERROR(INDEX(PP_Grid[#Data],$DE1094,39),0)</f>
        <v/>
      </c>
      <c r="AQ1094">
        <f>IFERROR(INDEX(PP_Grid[#Data],$DE1094,40),0)</f>
        <v/>
      </c>
      <c r="AR1094">
        <f>IFERROR(INDEX(PP_Grid[#Data],$DE1094,41),0)</f>
        <v/>
      </c>
      <c r="AS1094">
        <f>IFERROR(INDEX(PP_Grid[#Data],$DE1094,42),0)</f>
        <v/>
      </c>
      <c r="AT1094">
        <f>IFERROR(INDEX(PP_Grid[#Data],$DE1094,43),0)</f>
        <v/>
      </c>
      <c r="AU1094">
        <f>IFERROR(INDEX(PP_Grid[#Data],$DE1094,44),0)</f>
        <v/>
      </c>
      <c r="AV1094">
        <f>IFERROR(INDEX(PP_Grid[#Data],$DE1094,45),0)</f>
        <v/>
      </c>
      <c r="AW1094">
        <f>IFERROR(INDEX(PP_Grid[#Data],$DE1094,46),0)</f>
        <v/>
      </c>
      <c r="AX1094">
        <f>IFERROR(INDEX(PP_Grid[#Data],$DE1094,47),0)</f>
        <v/>
      </c>
      <c r="AY1094">
        <f>IFERROR(INDEX(PP_Grid[#Data],$DE1094,48),0)</f>
        <v/>
      </c>
      <c r="AZ1094">
        <f>IFERROR(INDEX(PP_Grid[#Data],$DE1094,49),0)</f>
        <v/>
      </c>
      <c r="BA1094">
        <f>IFERROR(INDEX(PP_Grid[#Data],$DE1094,50),0)</f>
        <v/>
      </c>
      <c r="BB1094">
        <f>IFERROR(INDEX(PP_Grid[#Data],$DE1094,51),0)</f>
        <v/>
      </c>
      <c r="BC1094">
        <f>IFERROR(INDEX(PP_Grid[#Data],$DE1094,52),0)</f>
        <v/>
      </c>
      <c r="BD1094">
        <f>IFERROR(INDEX(PP_Grid[#Data],$DE1094,53),0)</f>
        <v/>
      </c>
      <c r="BE1094">
        <f>IFERROR(INDEX(PP_Grid[#Data],$DE1094,54),0)</f>
        <v/>
      </c>
      <c r="BF1094">
        <f>IFERROR(INDEX(PP_Grid[#Data],$DE1094,55),0)</f>
        <v/>
      </c>
      <c r="BG1094">
        <f>IFERROR(INDEX(PP_Grid[#Data],$DE1094,56),0)</f>
        <v/>
      </c>
      <c r="BH1094">
        <f>IFERROR(INDEX(PP_Grid[#Data],$DE1094,57),0)</f>
        <v/>
      </c>
      <c r="BI1094">
        <f>IFERROR(INDEX(PP_Grid[#Data],$DE1094,58),0)</f>
        <v/>
      </c>
      <c r="BJ1094">
        <f>IFERROR(INDEX(PP_Grid[#Data],$DE1094,59),0)</f>
        <v/>
      </c>
      <c r="BK1094">
        <f>IFERROR(INDEX(PP_Grid[#Data],$DE1094,60),0)</f>
        <v/>
      </c>
      <c r="BL1094">
        <f>IFERROR(INDEX(PP_Grid[#Data],$DE1094,61),0)</f>
        <v/>
      </c>
      <c r="BM1094">
        <f>IFERROR(INDEX(PP_Grid[#Data],$DE1094,62),0)</f>
        <v/>
      </c>
      <c r="BN1094">
        <f>IFERROR(INDEX(PP_Grid[#Data],$DE1094,63),0)</f>
        <v/>
      </c>
      <c r="BO1094">
        <f>IFERROR(INDEX(PP_Grid[#Data],$DE1094,64),0)</f>
        <v/>
      </c>
      <c r="BP1094">
        <f>IFERROR(INDEX(PP_Grid[#Data],$DE1094,65),0)</f>
        <v/>
      </c>
      <c r="BQ1094">
        <f>IFERROR(INDEX(PP_Grid[#Data],$DE1094,66),0)</f>
        <v/>
      </c>
      <c r="BR1094">
        <f>IFERROR(INDEX(PP_Grid[#Data],$DE1094,67),0)</f>
        <v/>
      </c>
      <c r="BS1094">
        <f>IFERROR(INDEX(PP_Grid[#Data],$DE1094,68),0)</f>
        <v/>
      </c>
      <c r="BT1094">
        <f>IFERROR(INDEX(PP_Grid[#Data],$DE1094,69),0)</f>
        <v/>
      </c>
      <c r="BU1094">
        <f>IFERROR(INDEX(PP_Grid[#Data],$DE1094,70),0)</f>
        <v/>
      </c>
      <c r="BV1094">
        <f>IFERROR(INDEX(PP_Grid[#Data],$DE1094,71),0)</f>
        <v/>
      </c>
      <c r="BW1094">
        <f>IFERROR(INDEX(PP_Grid[#Data],$DE1094,72),0)</f>
        <v/>
      </c>
      <c r="BX1094">
        <f>IFERROR(INDEX(PP_Grid[#Data],$DE1094,73),0)</f>
        <v/>
      </c>
      <c r="BY1094">
        <f>IFERROR(INDEX(PP_Grid[#Data],$DE1094,74),0)</f>
        <v/>
      </c>
      <c r="BZ1094">
        <f>IFERROR(INDEX(PP_Grid[#Data],$DE1094,75),0)</f>
        <v/>
      </c>
      <c r="CA1094">
        <f>IFERROR(INDEX(PP_Grid[#Data],$DE1094,76),0)</f>
        <v/>
      </c>
      <c r="CB1094">
        <f>IFERROR(INDEX(PP_Grid[#Data],$DE1094,77),0)</f>
        <v/>
      </c>
      <c r="CC1094">
        <f>IFERROR(INDEX(PP_Grid[#Data],$DE1094,78),0)</f>
        <v/>
      </c>
      <c r="CD1094">
        <f>IFERROR(INDEX(PP_Grid[#Data],$DE1094,79),0)</f>
        <v/>
      </c>
      <c r="CE1094">
        <f>IFERROR(INDEX(PP_Grid[#Data],$DE1094,80),0)</f>
        <v/>
      </c>
      <c r="CF1094">
        <f>IFERROR(INDEX(PP_Grid[#Data],$DE1094,81),0)</f>
        <v/>
      </c>
      <c r="CG1094">
        <f>IFERROR(INDEX(PP_Grid[#Data],$DE1094,82),0)</f>
        <v/>
      </c>
      <c r="CH1094">
        <f>IFERROR(INDEX(PP_Grid[#Data],$DE1094,83),0)</f>
        <v/>
      </c>
      <c r="CI1094">
        <f>IFERROR(INDEX(PP_Grid[#Data],$DE1094,84),0)</f>
        <v/>
      </c>
      <c r="CJ1094">
        <f>IFERROR(INDEX(PP_Grid[#Data],$DE1094,85),0)</f>
        <v/>
      </c>
      <c r="CK1094">
        <f>IFERROR(INDEX(PP_Grid[#Data],$DE1094,86),0)</f>
        <v/>
      </c>
      <c r="CL1094">
        <f>IFERROR(INDEX(PP_Grid[#Data],$DE1094,87),0)</f>
        <v/>
      </c>
      <c r="CM1094">
        <f>IFERROR(INDEX(PP_Grid[#Data],$DE1094,88),0)</f>
        <v/>
      </c>
      <c r="CN1094">
        <f>IFERROR(INDEX(PP_Grid[#Data],$DE1094,89),0)</f>
        <v/>
      </c>
      <c r="CO1094">
        <f>IFERROR(INDEX(PP_Grid[#Data],$DE1094,90),0)</f>
        <v/>
      </c>
      <c r="CP1094">
        <f>IFERROR(INDEX(PP_Grid[#Data],$DE1094,91),0)</f>
        <v/>
      </c>
      <c r="CQ1094">
        <f>IFERROR(INDEX(PP_Grid[#Data],$DE1094,92),0)</f>
        <v/>
      </c>
      <c r="CR1094">
        <f>IFERROR(INDEX(PP_Grid[#Data],$DE1094,93),0)</f>
        <v/>
      </c>
      <c r="CS1094">
        <f>IFERROR(INDEX(PP_Grid[#Data],$DE1094,94),0)</f>
        <v/>
      </c>
      <c r="CT1094">
        <f>IFERROR(INDEX(PP_Grid[#Data],$DE1094,95),0)</f>
        <v/>
      </c>
      <c r="CU1094">
        <f>IFERROR(INDEX(PP_Grid[#Data],$DE1094,96),0)</f>
        <v/>
      </c>
      <c r="CV1094">
        <f>IFERROR(INDEX(PP_Grid[#Data],$DE1094,97),0)</f>
        <v/>
      </c>
      <c r="CW1094">
        <f>IFERROR(INDEX(PP_Grid[#Data],$DE1094,98),0)</f>
        <v/>
      </c>
      <c r="CX1094">
        <f>IFERROR(INDEX(PP_Grid[#Data],$DE1094,99),0)</f>
        <v/>
      </c>
      <c r="CY1094">
        <f>IFERROR(INDEX(PP_Grid[#Data],$DE1094,100),0)</f>
        <v/>
      </c>
      <c r="CZ1094">
        <f>IFERROR(INDEX(PP_Grid[#Data],$DE1094,101),0)</f>
        <v/>
      </c>
      <c r="DA1094">
        <f>IFERROR(INDEX(PP_Grid[#Data],$DE1094,102),0)</f>
        <v/>
      </c>
      <c r="DB1094">
        <f>IFERROR(INDEX(PP_Grid[#Data],$DE1094,103),0)</f>
        <v/>
      </c>
      <c r="DC1094">
        <f>IFERROR(INDEX(PP_Grid[#Data],$DE1094,104),0)</f>
        <v/>
      </c>
      <c r="DD1094">
        <f>IFERROR(INDEX(PP_Grid[#Data],$DE1094,105),0)</f>
        <v/>
      </c>
      <c r="DE1094" s="7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SUMIFS(M_BOM[RM_Qty_Per_Batch],M_BOM[Intermediate],$B1094,M_BOM[RM_Code],$A1085)</f>
        <v/>
      </c>
      <c r="D1095">
        <f>IFERROR(INDEX(E1095:DD1095,$F$1),"")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  <c r="DD1095">
        <f>$C1095*DD1094</f>
        <v/>
      </c>
    </row>
    <row r="1096">
      <c r="B1096" t="inlineStr">
        <is>
          <t>TSP-670</t>
        </is>
      </c>
      <c r="C1096" t="inlineStr">
        <is>
          <t>No. of batches</t>
        </is>
      </c>
      <c r="D1096">
        <f>IFERROR(INDEX(E1096:DD1096,$F$1),"")</f>
        <v/>
      </c>
      <c r="E1096">
        <f>IFERROR(INDEX(PP_Grid[#Data],$DE1096,2),0)</f>
        <v/>
      </c>
      <c r="F1096">
        <f>IFERROR(INDEX(PP_Grid[#Data],$DE1096,3),0)</f>
        <v/>
      </c>
      <c r="G1096">
        <f>IFERROR(INDEX(PP_Grid[#Data],$DE1096,4),0)</f>
        <v/>
      </c>
      <c r="H1096">
        <f>IFERROR(INDEX(PP_Grid[#Data],$DE1096,5),0)</f>
        <v/>
      </c>
      <c r="I1096">
        <f>IFERROR(INDEX(PP_Grid[#Data],$DE1096,6),0)</f>
        <v/>
      </c>
      <c r="J1096">
        <f>IFERROR(INDEX(PP_Grid[#Data],$DE1096,7),0)</f>
        <v/>
      </c>
      <c r="K1096">
        <f>IFERROR(INDEX(PP_Grid[#Data],$DE1096,8),0)</f>
        <v/>
      </c>
      <c r="L1096">
        <f>IFERROR(INDEX(PP_Grid[#Data],$DE1096,9),0)</f>
        <v/>
      </c>
      <c r="M1096">
        <f>IFERROR(INDEX(PP_Grid[#Data],$DE1096,10),0)</f>
        <v/>
      </c>
      <c r="N1096">
        <f>IFERROR(INDEX(PP_Grid[#Data],$DE1096,11),0)</f>
        <v/>
      </c>
      <c r="O1096">
        <f>IFERROR(INDEX(PP_Grid[#Data],$DE1096,12),0)</f>
        <v/>
      </c>
      <c r="P1096">
        <f>IFERROR(INDEX(PP_Grid[#Data],$DE1096,13),0)</f>
        <v/>
      </c>
      <c r="Q1096">
        <f>IFERROR(INDEX(PP_Grid[#Data],$DE1096,14),0)</f>
        <v/>
      </c>
      <c r="R1096">
        <f>IFERROR(INDEX(PP_Grid[#Data],$DE1096,15),0)</f>
        <v/>
      </c>
      <c r="S1096">
        <f>IFERROR(INDEX(PP_Grid[#Data],$DE1096,16),0)</f>
        <v/>
      </c>
      <c r="T1096">
        <f>IFERROR(INDEX(PP_Grid[#Data],$DE1096,17),0)</f>
        <v/>
      </c>
      <c r="U1096">
        <f>IFERROR(INDEX(PP_Grid[#Data],$DE1096,18),0)</f>
        <v/>
      </c>
      <c r="V1096">
        <f>IFERROR(INDEX(PP_Grid[#Data],$DE1096,19),0)</f>
        <v/>
      </c>
      <c r="W1096">
        <f>IFERROR(INDEX(PP_Grid[#Data],$DE1096,20),0)</f>
        <v/>
      </c>
      <c r="X1096">
        <f>IFERROR(INDEX(PP_Grid[#Data],$DE1096,21),0)</f>
        <v/>
      </c>
      <c r="Y1096">
        <f>IFERROR(INDEX(PP_Grid[#Data],$DE1096,22),0)</f>
        <v/>
      </c>
      <c r="Z1096">
        <f>IFERROR(INDEX(PP_Grid[#Data],$DE1096,23),0)</f>
        <v/>
      </c>
      <c r="AA1096">
        <f>IFERROR(INDEX(PP_Grid[#Data],$DE1096,24),0)</f>
        <v/>
      </c>
      <c r="AB1096">
        <f>IFERROR(INDEX(PP_Grid[#Data],$DE1096,25),0)</f>
        <v/>
      </c>
      <c r="AC1096">
        <f>IFERROR(INDEX(PP_Grid[#Data],$DE1096,26),0)</f>
        <v/>
      </c>
      <c r="AD1096">
        <f>IFERROR(INDEX(PP_Grid[#Data],$DE1096,27),0)</f>
        <v/>
      </c>
      <c r="AE1096">
        <f>IFERROR(INDEX(PP_Grid[#Data],$DE1096,28),0)</f>
        <v/>
      </c>
      <c r="AF1096">
        <f>IFERROR(INDEX(PP_Grid[#Data],$DE1096,29),0)</f>
        <v/>
      </c>
      <c r="AG1096">
        <f>IFERROR(INDEX(PP_Grid[#Data],$DE1096,30),0)</f>
        <v/>
      </c>
      <c r="AH1096">
        <f>IFERROR(INDEX(PP_Grid[#Data],$DE1096,31),0)</f>
        <v/>
      </c>
      <c r="AI1096">
        <f>IFERROR(INDEX(PP_Grid[#Data],$DE1096,32),0)</f>
        <v/>
      </c>
      <c r="AJ1096">
        <f>IFERROR(INDEX(PP_Grid[#Data],$DE1096,33),0)</f>
        <v/>
      </c>
      <c r="AK1096">
        <f>IFERROR(INDEX(PP_Grid[#Data],$DE1096,34),0)</f>
        <v/>
      </c>
      <c r="AL1096">
        <f>IFERROR(INDEX(PP_Grid[#Data],$DE1096,35),0)</f>
        <v/>
      </c>
      <c r="AM1096">
        <f>IFERROR(INDEX(PP_Grid[#Data],$DE1096,36),0)</f>
        <v/>
      </c>
      <c r="AN1096">
        <f>IFERROR(INDEX(PP_Grid[#Data],$DE1096,37),0)</f>
        <v/>
      </c>
      <c r="AO1096">
        <f>IFERROR(INDEX(PP_Grid[#Data],$DE1096,38),0)</f>
        <v/>
      </c>
      <c r="AP1096">
        <f>IFERROR(INDEX(PP_Grid[#Data],$DE1096,39),0)</f>
        <v/>
      </c>
      <c r="AQ1096">
        <f>IFERROR(INDEX(PP_Grid[#Data],$DE1096,40),0)</f>
        <v/>
      </c>
      <c r="AR1096">
        <f>IFERROR(INDEX(PP_Grid[#Data],$DE1096,41),0)</f>
        <v/>
      </c>
      <c r="AS1096">
        <f>IFERROR(INDEX(PP_Grid[#Data],$DE1096,42),0)</f>
        <v/>
      </c>
      <c r="AT1096">
        <f>IFERROR(INDEX(PP_Grid[#Data],$DE1096,43),0)</f>
        <v/>
      </c>
      <c r="AU1096">
        <f>IFERROR(INDEX(PP_Grid[#Data],$DE1096,44),0)</f>
        <v/>
      </c>
      <c r="AV1096">
        <f>IFERROR(INDEX(PP_Grid[#Data],$DE1096,45),0)</f>
        <v/>
      </c>
      <c r="AW1096">
        <f>IFERROR(INDEX(PP_Grid[#Data],$DE1096,46),0)</f>
        <v/>
      </c>
      <c r="AX1096">
        <f>IFERROR(INDEX(PP_Grid[#Data],$DE1096,47),0)</f>
        <v/>
      </c>
      <c r="AY1096">
        <f>IFERROR(INDEX(PP_Grid[#Data],$DE1096,48),0)</f>
        <v/>
      </c>
      <c r="AZ1096">
        <f>IFERROR(INDEX(PP_Grid[#Data],$DE1096,49),0)</f>
        <v/>
      </c>
      <c r="BA1096">
        <f>IFERROR(INDEX(PP_Grid[#Data],$DE1096,50),0)</f>
        <v/>
      </c>
      <c r="BB1096">
        <f>IFERROR(INDEX(PP_Grid[#Data],$DE1096,51),0)</f>
        <v/>
      </c>
      <c r="BC1096">
        <f>IFERROR(INDEX(PP_Grid[#Data],$DE1096,52),0)</f>
        <v/>
      </c>
      <c r="BD1096">
        <f>IFERROR(INDEX(PP_Grid[#Data],$DE1096,53),0)</f>
        <v/>
      </c>
      <c r="BE1096">
        <f>IFERROR(INDEX(PP_Grid[#Data],$DE1096,54),0)</f>
        <v/>
      </c>
      <c r="BF1096">
        <f>IFERROR(INDEX(PP_Grid[#Data],$DE1096,55),0)</f>
        <v/>
      </c>
      <c r="BG1096">
        <f>IFERROR(INDEX(PP_Grid[#Data],$DE1096,56),0)</f>
        <v/>
      </c>
      <c r="BH1096">
        <f>IFERROR(INDEX(PP_Grid[#Data],$DE1096,57),0)</f>
        <v/>
      </c>
      <c r="BI1096">
        <f>IFERROR(INDEX(PP_Grid[#Data],$DE1096,58),0)</f>
        <v/>
      </c>
      <c r="BJ1096">
        <f>IFERROR(INDEX(PP_Grid[#Data],$DE1096,59),0)</f>
        <v/>
      </c>
      <c r="BK1096">
        <f>IFERROR(INDEX(PP_Grid[#Data],$DE1096,60),0)</f>
        <v/>
      </c>
      <c r="BL1096">
        <f>IFERROR(INDEX(PP_Grid[#Data],$DE1096,61),0)</f>
        <v/>
      </c>
      <c r="BM1096">
        <f>IFERROR(INDEX(PP_Grid[#Data],$DE1096,62),0)</f>
        <v/>
      </c>
      <c r="BN1096">
        <f>IFERROR(INDEX(PP_Grid[#Data],$DE1096,63),0)</f>
        <v/>
      </c>
      <c r="BO1096">
        <f>IFERROR(INDEX(PP_Grid[#Data],$DE1096,64),0)</f>
        <v/>
      </c>
      <c r="BP1096">
        <f>IFERROR(INDEX(PP_Grid[#Data],$DE1096,65),0)</f>
        <v/>
      </c>
      <c r="BQ1096">
        <f>IFERROR(INDEX(PP_Grid[#Data],$DE1096,66),0)</f>
        <v/>
      </c>
      <c r="BR1096">
        <f>IFERROR(INDEX(PP_Grid[#Data],$DE1096,67),0)</f>
        <v/>
      </c>
      <c r="BS1096">
        <f>IFERROR(INDEX(PP_Grid[#Data],$DE1096,68),0)</f>
        <v/>
      </c>
      <c r="BT1096">
        <f>IFERROR(INDEX(PP_Grid[#Data],$DE1096,69),0)</f>
        <v/>
      </c>
      <c r="BU1096">
        <f>IFERROR(INDEX(PP_Grid[#Data],$DE1096,70),0)</f>
        <v/>
      </c>
      <c r="BV1096">
        <f>IFERROR(INDEX(PP_Grid[#Data],$DE1096,71),0)</f>
        <v/>
      </c>
      <c r="BW1096">
        <f>IFERROR(INDEX(PP_Grid[#Data],$DE1096,72),0)</f>
        <v/>
      </c>
      <c r="BX1096">
        <f>IFERROR(INDEX(PP_Grid[#Data],$DE1096,73),0)</f>
        <v/>
      </c>
      <c r="BY1096">
        <f>IFERROR(INDEX(PP_Grid[#Data],$DE1096,74),0)</f>
        <v/>
      </c>
      <c r="BZ1096">
        <f>IFERROR(INDEX(PP_Grid[#Data],$DE1096,75),0)</f>
        <v/>
      </c>
      <c r="CA1096">
        <f>IFERROR(INDEX(PP_Grid[#Data],$DE1096,76),0)</f>
        <v/>
      </c>
      <c r="CB1096">
        <f>IFERROR(INDEX(PP_Grid[#Data],$DE1096,77),0)</f>
        <v/>
      </c>
      <c r="CC1096">
        <f>IFERROR(INDEX(PP_Grid[#Data],$DE1096,78),0)</f>
        <v/>
      </c>
      <c r="CD1096">
        <f>IFERROR(INDEX(PP_Grid[#Data],$DE1096,79),0)</f>
        <v/>
      </c>
      <c r="CE1096">
        <f>IFERROR(INDEX(PP_Grid[#Data],$DE1096,80),0)</f>
        <v/>
      </c>
      <c r="CF1096">
        <f>IFERROR(INDEX(PP_Grid[#Data],$DE1096,81),0)</f>
        <v/>
      </c>
      <c r="CG1096">
        <f>IFERROR(INDEX(PP_Grid[#Data],$DE1096,82),0)</f>
        <v/>
      </c>
      <c r="CH1096">
        <f>IFERROR(INDEX(PP_Grid[#Data],$DE1096,83),0)</f>
        <v/>
      </c>
      <c r="CI1096">
        <f>IFERROR(INDEX(PP_Grid[#Data],$DE1096,84),0)</f>
        <v/>
      </c>
      <c r="CJ1096">
        <f>IFERROR(INDEX(PP_Grid[#Data],$DE1096,85),0)</f>
        <v/>
      </c>
      <c r="CK1096">
        <f>IFERROR(INDEX(PP_Grid[#Data],$DE1096,86),0)</f>
        <v/>
      </c>
      <c r="CL1096">
        <f>IFERROR(INDEX(PP_Grid[#Data],$DE1096,87),0)</f>
        <v/>
      </c>
      <c r="CM1096">
        <f>IFERROR(INDEX(PP_Grid[#Data],$DE1096,88),0)</f>
        <v/>
      </c>
      <c r="CN1096">
        <f>IFERROR(INDEX(PP_Grid[#Data],$DE1096,89),0)</f>
        <v/>
      </c>
      <c r="CO1096">
        <f>IFERROR(INDEX(PP_Grid[#Data],$DE1096,90),0)</f>
        <v/>
      </c>
      <c r="CP1096">
        <f>IFERROR(INDEX(PP_Grid[#Data],$DE1096,91),0)</f>
        <v/>
      </c>
      <c r="CQ1096">
        <f>IFERROR(INDEX(PP_Grid[#Data],$DE1096,92),0)</f>
        <v/>
      </c>
      <c r="CR1096">
        <f>IFERROR(INDEX(PP_Grid[#Data],$DE1096,93),0)</f>
        <v/>
      </c>
      <c r="CS1096">
        <f>IFERROR(INDEX(PP_Grid[#Data],$DE1096,94),0)</f>
        <v/>
      </c>
      <c r="CT1096">
        <f>IFERROR(INDEX(PP_Grid[#Data],$DE1096,95),0)</f>
        <v/>
      </c>
      <c r="CU1096">
        <f>IFERROR(INDEX(PP_Grid[#Data],$DE1096,96),0)</f>
        <v/>
      </c>
      <c r="CV1096">
        <f>IFERROR(INDEX(PP_Grid[#Data],$DE1096,97),0)</f>
        <v/>
      </c>
      <c r="CW1096">
        <f>IFERROR(INDEX(PP_Grid[#Data],$DE1096,98),0)</f>
        <v/>
      </c>
      <c r="CX1096">
        <f>IFERROR(INDEX(PP_Grid[#Data],$DE1096,99),0)</f>
        <v/>
      </c>
      <c r="CY1096">
        <f>IFERROR(INDEX(PP_Grid[#Data],$DE1096,100),0)</f>
        <v/>
      </c>
      <c r="CZ1096">
        <f>IFERROR(INDEX(PP_Grid[#Data],$DE1096,101),0)</f>
        <v/>
      </c>
      <c r="DA1096">
        <f>IFERROR(INDEX(PP_Grid[#Data],$DE1096,102),0)</f>
        <v/>
      </c>
      <c r="DB1096">
        <f>IFERROR(INDEX(PP_Grid[#Data],$DE1096,103),0)</f>
        <v/>
      </c>
      <c r="DC1096">
        <f>IFERROR(INDEX(PP_Grid[#Data],$DE1096,104),0)</f>
        <v/>
      </c>
      <c r="DD1096">
        <f>IFERROR(INDEX(PP_Grid[#Data],$DE1096,105),0)</f>
        <v/>
      </c>
      <c r="DE1096" s="7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SUMIFS(M_BOM[RM_Qty_Per_Batch],M_BOM[Intermediate],$B1096,M_BOM[RM_Code],$A1085)</f>
        <v/>
      </c>
      <c r="D1097">
        <f>IFERROR(INDEX(E1097:DD1097,$F$1),"")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  <c r="DD1097">
        <f>$C1097*DD1096</f>
        <v/>
      </c>
    </row>
    <row r="1098">
      <c r="B1098" t="inlineStr">
        <is>
          <t>TSP-699</t>
        </is>
      </c>
      <c r="C1098" t="inlineStr">
        <is>
          <t>No. of batches</t>
        </is>
      </c>
      <c r="D1098">
        <f>IFERROR(INDEX(E1098:DD1098,$F$1),"")</f>
        <v/>
      </c>
      <c r="E1098">
        <f>IFERROR(INDEX(PP_Grid[#Data],$DE1098,2),0)</f>
        <v/>
      </c>
      <c r="F1098">
        <f>IFERROR(INDEX(PP_Grid[#Data],$DE1098,3),0)</f>
        <v/>
      </c>
      <c r="G1098">
        <f>IFERROR(INDEX(PP_Grid[#Data],$DE1098,4),0)</f>
        <v/>
      </c>
      <c r="H1098">
        <f>IFERROR(INDEX(PP_Grid[#Data],$DE1098,5),0)</f>
        <v/>
      </c>
      <c r="I1098">
        <f>IFERROR(INDEX(PP_Grid[#Data],$DE1098,6),0)</f>
        <v/>
      </c>
      <c r="J1098">
        <f>IFERROR(INDEX(PP_Grid[#Data],$DE1098,7),0)</f>
        <v/>
      </c>
      <c r="K1098">
        <f>IFERROR(INDEX(PP_Grid[#Data],$DE1098,8),0)</f>
        <v/>
      </c>
      <c r="L1098">
        <f>IFERROR(INDEX(PP_Grid[#Data],$DE1098,9),0)</f>
        <v/>
      </c>
      <c r="M1098">
        <f>IFERROR(INDEX(PP_Grid[#Data],$DE1098,10),0)</f>
        <v/>
      </c>
      <c r="N1098">
        <f>IFERROR(INDEX(PP_Grid[#Data],$DE1098,11),0)</f>
        <v/>
      </c>
      <c r="O1098">
        <f>IFERROR(INDEX(PP_Grid[#Data],$DE1098,12),0)</f>
        <v/>
      </c>
      <c r="P1098">
        <f>IFERROR(INDEX(PP_Grid[#Data],$DE1098,13),0)</f>
        <v/>
      </c>
      <c r="Q1098">
        <f>IFERROR(INDEX(PP_Grid[#Data],$DE1098,14),0)</f>
        <v/>
      </c>
      <c r="R1098">
        <f>IFERROR(INDEX(PP_Grid[#Data],$DE1098,15),0)</f>
        <v/>
      </c>
      <c r="S1098">
        <f>IFERROR(INDEX(PP_Grid[#Data],$DE1098,16),0)</f>
        <v/>
      </c>
      <c r="T1098">
        <f>IFERROR(INDEX(PP_Grid[#Data],$DE1098,17),0)</f>
        <v/>
      </c>
      <c r="U1098">
        <f>IFERROR(INDEX(PP_Grid[#Data],$DE1098,18),0)</f>
        <v/>
      </c>
      <c r="V1098">
        <f>IFERROR(INDEX(PP_Grid[#Data],$DE1098,19),0)</f>
        <v/>
      </c>
      <c r="W1098">
        <f>IFERROR(INDEX(PP_Grid[#Data],$DE1098,20),0)</f>
        <v/>
      </c>
      <c r="X1098">
        <f>IFERROR(INDEX(PP_Grid[#Data],$DE1098,21),0)</f>
        <v/>
      </c>
      <c r="Y1098">
        <f>IFERROR(INDEX(PP_Grid[#Data],$DE1098,22),0)</f>
        <v/>
      </c>
      <c r="Z1098">
        <f>IFERROR(INDEX(PP_Grid[#Data],$DE1098,23),0)</f>
        <v/>
      </c>
      <c r="AA1098">
        <f>IFERROR(INDEX(PP_Grid[#Data],$DE1098,24),0)</f>
        <v/>
      </c>
      <c r="AB1098">
        <f>IFERROR(INDEX(PP_Grid[#Data],$DE1098,25),0)</f>
        <v/>
      </c>
      <c r="AC1098">
        <f>IFERROR(INDEX(PP_Grid[#Data],$DE1098,26),0)</f>
        <v/>
      </c>
      <c r="AD1098">
        <f>IFERROR(INDEX(PP_Grid[#Data],$DE1098,27),0)</f>
        <v/>
      </c>
      <c r="AE1098">
        <f>IFERROR(INDEX(PP_Grid[#Data],$DE1098,28),0)</f>
        <v/>
      </c>
      <c r="AF1098">
        <f>IFERROR(INDEX(PP_Grid[#Data],$DE1098,29),0)</f>
        <v/>
      </c>
      <c r="AG1098">
        <f>IFERROR(INDEX(PP_Grid[#Data],$DE1098,30),0)</f>
        <v/>
      </c>
      <c r="AH1098">
        <f>IFERROR(INDEX(PP_Grid[#Data],$DE1098,31),0)</f>
        <v/>
      </c>
      <c r="AI1098">
        <f>IFERROR(INDEX(PP_Grid[#Data],$DE1098,32),0)</f>
        <v/>
      </c>
      <c r="AJ1098">
        <f>IFERROR(INDEX(PP_Grid[#Data],$DE1098,33),0)</f>
        <v/>
      </c>
      <c r="AK1098">
        <f>IFERROR(INDEX(PP_Grid[#Data],$DE1098,34),0)</f>
        <v/>
      </c>
      <c r="AL1098">
        <f>IFERROR(INDEX(PP_Grid[#Data],$DE1098,35),0)</f>
        <v/>
      </c>
      <c r="AM1098">
        <f>IFERROR(INDEX(PP_Grid[#Data],$DE1098,36),0)</f>
        <v/>
      </c>
      <c r="AN1098">
        <f>IFERROR(INDEX(PP_Grid[#Data],$DE1098,37),0)</f>
        <v/>
      </c>
      <c r="AO1098">
        <f>IFERROR(INDEX(PP_Grid[#Data],$DE1098,38),0)</f>
        <v/>
      </c>
      <c r="AP1098">
        <f>IFERROR(INDEX(PP_Grid[#Data],$DE1098,39),0)</f>
        <v/>
      </c>
      <c r="AQ1098">
        <f>IFERROR(INDEX(PP_Grid[#Data],$DE1098,40),0)</f>
        <v/>
      </c>
      <c r="AR1098">
        <f>IFERROR(INDEX(PP_Grid[#Data],$DE1098,41),0)</f>
        <v/>
      </c>
      <c r="AS1098">
        <f>IFERROR(INDEX(PP_Grid[#Data],$DE1098,42),0)</f>
        <v/>
      </c>
      <c r="AT1098">
        <f>IFERROR(INDEX(PP_Grid[#Data],$DE1098,43),0)</f>
        <v/>
      </c>
      <c r="AU1098">
        <f>IFERROR(INDEX(PP_Grid[#Data],$DE1098,44),0)</f>
        <v/>
      </c>
      <c r="AV1098">
        <f>IFERROR(INDEX(PP_Grid[#Data],$DE1098,45),0)</f>
        <v/>
      </c>
      <c r="AW1098">
        <f>IFERROR(INDEX(PP_Grid[#Data],$DE1098,46),0)</f>
        <v/>
      </c>
      <c r="AX1098">
        <f>IFERROR(INDEX(PP_Grid[#Data],$DE1098,47),0)</f>
        <v/>
      </c>
      <c r="AY1098">
        <f>IFERROR(INDEX(PP_Grid[#Data],$DE1098,48),0)</f>
        <v/>
      </c>
      <c r="AZ1098">
        <f>IFERROR(INDEX(PP_Grid[#Data],$DE1098,49),0)</f>
        <v/>
      </c>
      <c r="BA1098">
        <f>IFERROR(INDEX(PP_Grid[#Data],$DE1098,50),0)</f>
        <v/>
      </c>
      <c r="BB1098">
        <f>IFERROR(INDEX(PP_Grid[#Data],$DE1098,51),0)</f>
        <v/>
      </c>
      <c r="BC1098">
        <f>IFERROR(INDEX(PP_Grid[#Data],$DE1098,52),0)</f>
        <v/>
      </c>
      <c r="BD1098">
        <f>IFERROR(INDEX(PP_Grid[#Data],$DE1098,53),0)</f>
        <v/>
      </c>
      <c r="BE1098">
        <f>IFERROR(INDEX(PP_Grid[#Data],$DE1098,54),0)</f>
        <v/>
      </c>
      <c r="BF1098">
        <f>IFERROR(INDEX(PP_Grid[#Data],$DE1098,55),0)</f>
        <v/>
      </c>
      <c r="BG1098">
        <f>IFERROR(INDEX(PP_Grid[#Data],$DE1098,56),0)</f>
        <v/>
      </c>
      <c r="BH1098">
        <f>IFERROR(INDEX(PP_Grid[#Data],$DE1098,57),0)</f>
        <v/>
      </c>
      <c r="BI1098">
        <f>IFERROR(INDEX(PP_Grid[#Data],$DE1098,58),0)</f>
        <v/>
      </c>
      <c r="BJ1098">
        <f>IFERROR(INDEX(PP_Grid[#Data],$DE1098,59),0)</f>
        <v/>
      </c>
      <c r="BK1098">
        <f>IFERROR(INDEX(PP_Grid[#Data],$DE1098,60),0)</f>
        <v/>
      </c>
      <c r="BL1098">
        <f>IFERROR(INDEX(PP_Grid[#Data],$DE1098,61),0)</f>
        <v/>
      </c>
      <c r="BM1098">
        <f>IFERROR(INDEX(PP_Grid[#Data],$DE1098,62),0)</f>
        <v/>
      </c>
      <c r="BN1098">
        <f>IFERROR(INDEX(PP_Grid[#Data],$DE1098,63),0)</f>
        <v/>
      </c>
      <c r="BO1098">
        <f>IFERROR(INDEX(PP_Grid[#Data],$DE1098,64),0)</f>
        <v/>
      </c>
      <c r="BP1098">
        <f>IFERROR(INDEX(PP_Grid[#Data],$DE1098,65),0)</f>
        <v/>
      </c>
      <c r="BQ1098">
        <f>IFERROR(INDEX(PP_Grid[#Data],$DE1098,66),0)</f>
        <v/>
      </c>
      <c r="BR1098">
        <f>IFERROR(INDEX(PP_Grid[#Data],$DE1098,67),0)</f>
        <v/>
      </c>
      <c r="BS1098">
        <f>IFERROR(INDEX(PP_Grid[#Data],$DE1098,68),0)</f>
        <v/>
      </c>
      <c r="BT1098">
        <f>IFERROR(INDEX(PP_Grid[#Data],$DE1098,69),0)</f>
        <v/>
      </c>
      <c r="BU1098">
        <f>IFERROR(INDEX(PP_Grid[#Data],$DE1098,70),0)</f>
        <v/>
      </c>
      <c r="BV1098">
        <f>IFERROR(INDEX(PP_Grid[#Data],$DE1098,71),0)</f>
        <v/>
      </c>
      <c r="BW1098">
        <f>IFERROR(INDEX(PP_Grid[#Data],$DE1098,72),0)</f>
        <v/>
      </c>
      <c r="BX1098">
        <f>IFERROR(INDEX(PP_Grid[#Data],$DE1098,73),0)</f>
        <v/>
      </c>
      <c r="BY1098">
        <f>IFERROR(INDEX(PP_Grid[#Data],$DE1098,74),0)</f>
        <v/>
      </c>
      <c r="BZ1098">
        <f>IFERROR(INDEX(PP_Grid[#Data],$DE1098,75),0)</f>
        <v/>
      </c>
      <c r="CA1098">
        <f>IFERROR(INDEX(PP_Grid[#Data],$DE1098,76),0)</f>
        <v/>
      </c>
      <c r="CB1098">
        <f>IFERROR(INDEX(PP_Grid[#Data],$DE1098,77),0)</f>
        <v/>
      </c>
      <c r="CC1098">
        <f>IFERROR(INDEX(PP_Grid[#Data],$DE1098,78),0)</f>
        <v/>
      </c>
      <c r="CD1098">
        <f>IFERROR(INDEX(PP_Grid[#Data],$DE1098,79),0)</f>
        <v/>
      </c>
      <c r="CE1098">
        <f>IFERROR(INDEX(PP_Grid[#Data],$DE1098,80),0)</f>
        <v/>
      </c>
      <c r="CF1098">
        <f>IFERROR(INDEX(PP_Grid[#Data],$DE1098,81),0)</f>
        <v/>
      </c>
      <c r="CG1098">
        <f>IFERROR(INDEX(PP_Grid[#Data],$DE1098,82),0)</f>
        <v/>
      </c>
      <c r="CH1098">
        <f>IFERROR(INDEX(PP_Grid[#Data],$DE1098,83),0)</f>
        <v/>
      </c>
      <c r="CI1098">
        <f>IFERROR(INDEX(PP_Grid[#Data],$DE1098,84),0)</f>
        <v/>
      </c>
      <c r="CJ1098">
        <f>IFERROR(INDEX(PP_Grid[#Data],$DE1098,85),0)</f>
        <v/>
      </c>
      <c r="CK1098">
        <f>IFERROR(INDEX(PP_Grid[#Data],$DE1098,86),0)</f>
        <v/>
      </c>
      <c r="CL1098">
        <f>IFERROR(INDEX(PP_Grid[#Data],$DE1098,87),0)</f>
        <v/>
      </c>
      <c r="CM1098">
        <f>IFERROR(INDEX(PP_Grid[#Data],$DE1098,88),0)</f>
        <v/>
      </c>
      <c r="CN1098">
        <f>IFERROR(INDEX(PP_Grid[#Data],$DE1098,89),0)</f>
        <v/>
      </c>
      <c r="CO1098">
        <f>IFERROR(INDEX(PP_Grid[#Data],$DE1098,90),0)</f>
        <v/>
      </c>
      <c r="CP1098">
        <f>IFERROR(INDEX(PP_Grid[#Data],$DE1098,91),0)</f>
        <v/>
      </c>
      <c r="CQ1098">
        <f>IFERROR(INDEX(PP_Grid[#Data],$DE1098,92),0)</f>
        <v/>
      </c>
      <c r="CR1098">
        <f>IFERROR(INDEX(PP_Grid[#Data],$DE1098,93),0)</f>
        <v/>
      </c>
      <c r="CS1098">
        <f>IFERROR(INDEX(PP_Grid[#Data],$DE1098,94),0)</f>
        <v/>
      </c>
      <c r="CT1098">
        <f>IFERROR(INDEX(PP_Grid[#Data],$DE1098,95),0)</f>
        <v/>
      </c>
      <c r="CU1098">
        <f>IFERROR(INDEX(PP_Grid[#Data],$DE1098,96),0)</f>
        <v/>
      </c>
      <c r="CV1098">
        <f>IFERROR(INDEX(PP_Grid[#Data],$DE1098,97),0)</f>
        <v/>
      </c>
      <c r="CW1098">
        <f>IFERROR(INDEX(PP_Grid[#Data],$DE1098,98),0)</f>
        <v/>
      </c>
      <c r="CX1098">
        <f>IFERROR(INDEX(PP_Grid[#Data],$DE1098,99),0)</f>
        <v/>
      </c>
      <c r="CY1098">
        <f>IFERROR(INDEX(PP_Grid[#Data],$DE1098,100),0)</f>
        <v/>
      </c>
      <c r="CZ1098">
        <f>IFERROR(INDEX(PP_Grid[#Data],$DE1098,101),0)</f>
        <v/>
      </c>
      <c r="DA1098">
        <f>IFERROR(INDEX(PP_Grid[#Data],$DE1098,102),0)</f>
        <v/>
      </c>
      <c r="DB1098">
        <f>IFERROR(INDEX(PP_Grid[#Data],$DE1098,103),0)</f>
        <v/>
      </c>
      <c r="DC1098">
        <f>IFERROR(INDEX(PP_Grid[#Data],$DE1098,104),0)</f>
        <v/>
      </c>
      <c r="DD1098">
        <f>IFERROR(INDEX(PP_Grid[#Data],$DE1098,105),0)</f>
        <v/>
      </c>
      <c r="DE1098" s="7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SUMIFS(M_BOM[RM_Qty_Per_Batch],M_BOM[Intermediate],$B1098,M_BOM[RM_Code],$A1085)</f>
        <v/>
      </c>
      <c r="D1099">
        <f>IFERROR(INDEX(E1099:DD1099,$F$1),"")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  <c r="DD1099">
        <f>$C1099*DD1098</f>
        <v/>
      </c>
    </row>
    <row r="1100">
      <c r="B1100" t="inlineStr">
        <is>
          <t>TSP-1448</t>
        </is>
      </c>
      <c r="C1100" t="inlineStr">
        <is>
          <t>No. of batches</t>
        </is>
      </c>
      <c r="D1100">
        <f>IFERROR(INDEX(E1100:DD1100,$F$1),"")</f>
        <v/>
      </c>
      <c r="E1100">
        <f>IFERROR(INDEX(PP_Grid[#Data],$DE1100,2),0)</f>
        <v/>
      </c>
      <c r="F1100">
        <f>IFERROR(INDEX(PP_Grid[#Data],$DE1100,3),0)</f>
        <v/>
      </c>
      <c r="G1100">
        <f>IFERROR(INDEX(PP_Grid[#Data],$DE1100,4),0)</f>
        <v/>
      </c>
      <c r="H1100">
        <f>IFERROR(INDEX(PP_Grid[#Data],$DE1100,5),0)</f>
        <v/>
      </c>
      <c r="I1100">
        <f>IFERROR(INDEX(PP_Grid[#Data],$DE1100,6),0)</f>
        <v/>
      </c>
      <c r="J1100">
        <f>IFERROR(INDEX(PP_Grid[#Data],$DE1100,7),0)</f>
        <v/>
      </c>
      <c r="K1100">
        <f>IFERROR(INDEX(PP_Grid[#Data],$DE1100,8),0)</f>
        <v/>
      </c>
      <c r="L1100">
        <f>IFERROR(INDEX(PP_Grid[#Data],$DE1100,9),0)</f>
        <v/>
      </c>
      <c r="M1100">
        <f>IFERROR(INDEX(PP_Grid[#Data],$DE1100,10),0)</f>
        <v/>
      </c>
      <c r="N1100">
        <f>IFERROR(INDEX(PP_Grid[#Data],$DE1100,11),0)</f>
        <v/>
      </c>
      <c r="O1100">
        <f>IFERROR(INDEX(PP_Grid[#Data],$DE1100,12),0)</f>
        <v/>
      </c>
      <c r="P1100">
        <f>IFERROR(INDEX(PP_Grid[#Data],$DE1100,13),0)</f>
        <v/>
      </c>
      <c r="Q1100">
        <f>IFERROR(INDEX(PP_Grid[#Data],$DE1100,14),0)</f>
        <v/>
      </c>
      <c r="R1100">
        <f>IFERROR(INDEX(PP_Grid[#Data],$DE1100,15),0)</f>
        <v/>
      </c>
      <c r="S1100">
        <f>IFERROR(INDEX(PP_Grid[#Data],$DE1100,16),0)</f>
        <v/>
      </c>
      <c r="T1100">
        <f>IFERROR(INDEX(PP_Grid[#Data],$DE1100,17),0)</f>
        <v/>
      </c>
      <c r="U1100">
        <f>IFERROR(INDEX(PP_Grid[#Data],$DE1100,18),0)</f>
        <v/>
      </c>
      <c r="V1100">
        <f>IFERROR(INDEX(PP_Grid[#Data],$DE1100,19),0)</f>
        <v/>
      </c>
      <c r="W1100">
        <f>IFERROR(INDEX(PP_Grid[#Data],$DE1100,20),0)</f>
        <v/>
      </c>
      <c r="X1100">
        <f>IFERROR(INDEX(PP_Grid[#Data],$DE1100,21),0)</f>
        <v/>
      </c>
      <c r="Y1100">
        <f>IFERROR(INDEX(PP_Grid[#Data],$DE1100,22),0)</f>
        <v/>
      </c>
      <c r="Z1100">
        <f>IFERROR(INDEX(PP_Grid[#Data],$DE1100,23),0)</f>
        <v/>
      </c>
      <c r="AA1100">
        <f>IFERROR(INDEX(PP_Grid[#Data],$DE1100,24),0)</f>
        <v/>
      </c>
      <c r="AB1100">
        <f>IFERROR(INDEX(PP_Grid[#Data],$DE1100,25),0)</f>
        <v/>
      </c>
      <c r="AC1100">
        <f>IFERROR(INDEX(PP_Grid[#Data],$DE1100,26),0)</f>
        <v/>
      </c>
      <c r="AD1100">
        <f>IFERROR(INDEX(PP_Grid[#Data],$DE1100,27),0)</f>
        <v/>
      </c>
      <c r="AE1100">
        <f>IFERROR(INDEX(PP_Grid[#Data],$DE1100,28),0)</f>
        <v/>
      </c>
      <c r="AF1100">
        <f>IFERROR(INDEX(PP_Grid[#Data],$DE1100,29),0)</f>
        <v/>
      </c>
      <c r="AG1100">
        <f>IFERROR(INDEX(PP_Grid[#Data],$DE1100,30),0)</f>
        <v/>
      </c>
      <c r="AH1100">
        <f>IFERROR(INDEX(PP_Grid[#Data],$DE1100,31),0)</f>
        <v/>
      </c>
      <c r="AI1100">
        <f>IFERROR(INDEX(PP_Grid[#Data],$DE1100,32),0)</f>
        <v/>
      </c>
      <c r="AJ1100">
        <f>IFERROR(INDEX(PP_Grid[#Data],$DE1100,33),0)</f>
        <v/>
      </c>
      <c r="AK1100">
        <f>IFERROR(INDEX(PP_Grid[#Data],$DE1100,34),0)</f>
        <v/>
      </c>
      <c r="AL1100">
        <f>IFERROR(INDEX(PP_Grid[#Data],$DE1100,35),0)</f>
        <v/>
      </c>
      <c r="AM1100">
        <f>IFERROR(INDEX(PP_Grid[#Data],$DE1100,36),0)</f>
        <v/>
      </c>
      <c r="AN1100">
        <f>IFERROR(INDEX(PP_Grid[#Data],$DE1100,37),0)</f>
        <v/>
      </c>
      <c r="AO1100">
        <f>IFERROR(INDEX(PP_Grid[#Data],$DE1100,38),0)</f>
        <v/>
      </c>
      <c r="AP1100">
        <f>IFERROR(INDEX(PP_Grid[#Data],$DE1100,39),0)</f>
        <v/>
      </c>
      <c r="AQ1100">
        <f>IFERROR(INDEX(PP_Grid[#Data],$DE1100,40),0)</f>
        <v/>
      </c>
      <c r="AR1100">
        <f>IFERROR(INDEX(PP_Grid[#Data],$DE1100,41),0)</f>
        <v/>
      </c>
      <c r="AS1100">
        <f>IFERROR(INDEX(PP_Grid[#Data],$DE1100,42),0)</f>
        <v/>
      </c>
      <c r="AT1100">
        <f>IFERROR(INDEX(PP_Grid[#Data],$DE1100,43),0)</f>
        <v/>
      </c>
      <c r="AU1100">
        <f>IFERROR(INDEX(PP_Grid[#Data],$DE1100,44),0)</f>
        <v/>
      </c>
      <c r="AV1100">
        <f>IFERROR(INDEX(PP_Grid[#Data],$DE1100,45),0)</f>
        <v/>
      </c>
      <c r="AW1100">
        <f>IFERROR(INDEX(PP_Grid[#Data],$DE1100,46),0)</f>
        <v/>
      </c>
      <c r="AX1100">
        <f>IFERROR(INDEX(PP_Grid[#Data],$DE1100,47),0)</f>
        <v/>
      </c>
      <c r="AY1100">
        <f>IFERROR(INDEX(PP_Grid[#Data],$DE1100,48),0)</f>
        <v/>
      </c>
      <c r="AZ1100">
        <f>IFERROR(INDEX(PP_Grid[#Data],$DE1100,49),0)</f>
        <v/>
      </c>
      <c r="BA1100">
        <f>IFERROR(INDEX(PP_Grid[#Data],$DE1100,50),0)</f>
        <v/>
      </c>
      <c r="BB1100">
        <f>IFERROR(INDEX(PP_Grid[#Data],$DE1100,51),0)</f>
        <v/>
      </c>
      <c r="BC1100">
        <f>IFERROR(INDEX(PP_Grid[#Data],$DE1100,52),0)</f>
        <v/>
      </c>
      <c r="BD1100">
        <f>IFERROR(INDEX(PP_Grid[#Data],$DE1100,53),0)</f>
        <v/>
      </c>
      <c r="BE1100">
        <f>IFERROR(INDEX(PP_Grid[#Data],$DE1100,54),0)</f>
        <v/>
      </c>
      <c r="BF1100">
        <f>IFERROR(INDEX(PP_Grid[#Data],$DE1100,55),0)</f>
        <v/>
      </c>
      <c r="BG1100">
        <f>IFERROR(INDEX(PP_Grid[#Data],$DE1100,56),0)</f>
        <v/>
      </c>
      <c r="BH1100">
        <f>IFERROR(INDEX(PP_Grid[#Data],$DE1100,57),0)</f>
        <v/>
      </c>
      <c r="BI1100">
        <f>IFERROR(INDEX(PP_Grid[#Data],$DE1100,58),0)</f>
        <v/>
      </c>
      <c r="BJ1100">
        <f>IFERROR(INDEX(PP_Grid[#Data],$DE1100,59),0)</f>
        <v/>
      </c>
      <c r="BK1100">
        <f>IFERROR(INDEX(PP_Grid[#Data],$DE1100,60),0)</f>
        <v/>
      </c>
      <c r="BL1100">
        <f>IFERROR(INDEX(PP_Grid[#Data],$DE1100,61),0)</f>
        <v/>
      </c>
      <c r="BM1100">
        <f>IFERROR(INDEX(PP_Grid[#Data],$DE1100,62),0)</f>
        <v/>
      </c>
      <c r="BN1100">
        <f>IFERROR(INDEX(PP_Grid[#Data],$DE1100,63),0)</f>
        <v/>
      </c>
      <c r="BO1100">
        <f>IFERROR(INDEX(PP_Grid[#Data],$DE1100,64),0)</f>
        <v/>
      </c>
      <c r="BP1100">
        <f>IFERROR(INDEX(PP_Grid[#Data],$DE1100,65),0)</f>
        <v/>
      </c>
      <c r="BQ1100">
        <f>IFERROR(INDEX(PP_Grid[#Data],$DE1100,66),0)</f>
        <v/>
      </c>
      <c r="BR1100">
        <f>IFERROR(INDEX(PP_Grid[#Data],$DE1100,67),0)</f>
        <v/>
      </c>
      <c r="BS1100">
        <f>IFERROR(INDEX(PP_Grid[#Data],$DE1100,68),0)</f>
        <v/>
      </c>
      <c r="BT1100">
        <f>IFERROR(INDEX(PP_Grid[#Data],$DE1100,69),0)</f>
        <v/>
      </c>
      <c r="BU1100">
        <f>IFERROR(INDEX(PP_Grid[#Data],$DE1100,70),0)</f>
        <v/>
      </c>
      <c r="BV1100">
        <f>IFERROR(INDEX(PP_Grid[#Data],$DE1100,71),0)</f>
        <v/>
      </c>
      <c r="BW1100">
        <f>IFERROR(INDEX(PP_Grid[#Data],$DE1100,72),0)</f>
        <v/>
      </c>
      <c r="BX1100">
        <f>IFERROR(INDEX(PP_Grid[#Data],$DE1100,73),0)</f>
        <v/>
      </c>
      <c r="BY1100">
        <f>IFERROR(INDEX(PP_Grid[#Data],$DE1100,74),0)</f>
        <v/>
      </c>
      <c r="BZ1100">
        <f>IFERROR(INDEX(PP_Grid[#Data],$DE1100,75),0)</f>
        <v/>
      </c>
      <c r="CA1100">
        <f>IFERROR(INDEX(PP_Grid[#Data],$DE1100,76),0)</f>
        <v/>
      </c>
      <c r="CB1100">
        <f>IFERROR(INDEX(PP_Grid[#Data],$DE1100,77),0)</f>
        <v/>
      </c>
      <c r="CC1100">
        <f>IFERROR(INDEX(PP_Grid[#Data],$DE1100,78),0)</f>
        <v/>
      </c>
      <c r="CD1100">
        <f>IFERROR(INDEX(PP_Grid[#Data],$DE1100,79),0)</f>
        <v/>
      </c>
      <c r="CE1100">
        <f>IFERROR(INDEX(PP_Grid[#Data],$DE1100,80),0)</f>
        <v/>
      </c>
      <c r="CF1100">
        <f>IFERROR(INDEX(PP_Grid[#Data],$DE1100,81),0)</f>
        <v/>
      </c>
      <c r="CG1100">
        <f>IFERROR(INDEX(PP_Grid[#Data],$DE1100,82),0)</f>
        <v/>
      </c>
      <c r="CH1100">
        <f>IFERROR(INDEX(PP_Grid[#Data],$DE1100,83),0)</f>
        <v/>
      </c>
      <c r="CI1100">
        <f>IFERROR(INDEX(PP_Grid[#Data],$DE1100,84),0)</f>
        <v/>
      </c>
      <c r="CJ1100">
        <f>IFERROR(INDEX(PP_Grid[#Data],$DE1100,85),0)</f>
        <v/>
      </c>
      <c r="CK1100">
        <f>IFERROR(INDEX(PP_Grid[#Data],$DE1100,86),0)</f>
        <v/>
      </c>
      <c r="CL1100">
        <f>IFERROR(INDEX(PP_Grid[#Data],$DE1100,87),0)</f>
        <v/>
      </c>
      <c r="CM1100">
        <f>IFERROR(INDEX(PP_Grid[#Data],$DE1100,88),0)</f>
        <v/>
      </c>
      <c r="CN1100">
        <f>IFERROR(INDEX(PP_Grid[#Data],$DE1100,89),0)</f>
        <v/>
      </c>
      <c r="CO1100">
        <f>IFERROR(INDEX(PP_Grid[#Data],$DE1100,90),0)</f>
        <v/>
      </c>
      <c r="CP1100">
        <f>IFERROR(INDEX(PP_Grid[#Data],$DE1100,91),0)</f>
        <v/>
      </c>
      <c r="CQ1100">
        <f>IFERROR(INDEX(PP_Grid[#Data],$DE1100,92),0)</f>
        <v/>
      </c>
      <c r="CR1100">
        <f>IFERROR(INDEX(PP_Grid[#Data],$DE1100,93),0)</f>
        <v/>
      </c>
      <c r="CS1100">
        <f>IFERROR(INDEX(PP_Grid[#Data],$DE1100,94),0)</f>
        <v/>
      </c>
      <c r="CT1100">
        <f>IFERROR(INDEX(PP_Grid[#Data],$DE1100,95),0)</f>
        <v/>
      </c>
      <c r="CU1100">
        <f>IFERROR(INDEX(PP_Grid[#Data],$DE1100,96),0)</f>
        <v/>
      </c>
      <c r="CV1100">
        <f>IFERROR(INDEX(PP_Grid[#Data],$DE1100,97),0)</f>
        <v/>
      </c>
      <c r="CW1100">
        <f>IFERROR(INDEX(PP_Grid[#Data],$DE1100,98),0)</f>
        <v/>
      </c>
      <c r="CX1100">
        <f>IFERROR(INDEX(PP_Grid[#Data],$DE1100,99),0)</f>
        <v/>
      </c>
      <c r="CY1100">
        <f>IFERROR(INDEX(PP_Grid[#Data],$DE1100,100),0)</f>
        <v/>
      </c>
      <c r="CZ1100">
        <f>IFERROR(INDEX(PP_Grid[#Data],$DE1100,101),0)</f>
        <v/>
      </c>
      <c r="DA1100">
        <f>IFERROR(INDEX(PP_Grid[#Data],$DE1100,102),0)</f>
        <v/>
      </c>
      <c r="DB1100">
        <f>IFERROR(INDEX(PP_Grid[#Data],$DE1100,103),0)</f>
        <v/>
      </c>
      <c r="DC1100">
        <f>IFERROR(INDEX(PP_Grid[#Data],$DE1100,104),0)</f>
        <v/>
      </c>
      <c r="DD1100">
        <f>IFERROR(INDEX(PP_Grid[#Data],$DE1100,105),0)</f>
        <v/>
      </c>
      <c r="DE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SUMIFS(M_BOM[RM_Qty_Per_Batch],M_BOM[Intermediate],$B1100,M_BOM[RM_Code],$A1085)</f>
        <v/>
      </c>
      <c r="D1101">
        <f>IFERROR(INDEX(E1101:DD1101,$F$1),"")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  <c r="DD1101">
        <f>$C1101*DD1100</f>
        <v/>
      </c>
    </row>
    <row r="1102">
      <c r="B1102" t="inlineStr">
        <is>
          <t>TSP-1449</t>
        </is>
      </c>
      <c r="C1102" t="inlineStr">
        <is>
          <t>No. of batches</t>
        </is>
      </c>
      <c r="D1102">
        <f>IFERROR(INDEX(E1102:DD1102,$F$1),"")</f>
        <v/>
      </c>
      <c r="E1102">
        <f>IFERROR(INDEX(PP_Grid[#Data],$DE1102,2),0)</f>
        <v/>
      </c>
      <c r="F1102">
        <f>IFERROR(INDEX(PP_Grid[#Data],$DE1102,3),0)</f>
        <v/>
      </c>
      <c r="G1102">
        <f>IFERROR(INDEX(PP_Grid[#Data],$DE1102,4),0)</f>
        <v/>
      </c>
      <c r="H1102">
        <f>IFERROR(INDEX(PP_Grid[#Data],$DE1102,5),0)</f>
        <v/>
      </c>
      <c r="I1102">
        <f>IFERROR(INDEX(PP_Grid[#Data],$DE1102,6),0)</f>
        <v/>
      </c>
      <c r="J1102">
        <f>IFERROR(INDEX(PP_Grid[#Data],$DE1102,7),0)</f>
        <v/>
      </c>
      <c r="K1102">
        <f>IFERROR(INDEX(PP_Grid[#Data],$DE1102,8),0)</f>
        <v/>
      </c>
      <c r="L1102">
        <f>IFERROR(INDEX(PP_Grid[#Data],$DE1102,9),0)</f>
        <v/>
      </c>
      <c r="M1102">
        <f>IFERROR(INDEX(PP_Grid[#Data],$DE1102,10),0)</f>
        <v/>
      </c>
      <c r="N1102">
        <f>IFERROR(INDEX(PP_Grid[#Data],$DE1102,11),0)</f>
        <v/>
      </c>
      <c r="O1102">
        <f>IFERROR(INDEX(PP_Grid[#Data],$DE1102,12),0)</f>
        <v/>
      </c>
      <c r="P1102">
        <f>IFERROR(INDEX(PP_Grid[#Data],$DE1102,13),0)</f>
        <v/>
      </c>
      <c r="Q1102">
        <f>IFERROR(INDEX(PP_Grid[#Data],$DE1102,14),0)</f>
        <v/>
      </c>
      <c r="R1102">
        <f>IFERROR(INDEX(PP_Grid[#Data],$DE1102,15),0)</f>
        <v/>
      </c>
      <c r="S1102">
        <f>IFERROR(INDEX(PP_Grid[#Data],$DE1102,16),0)</f>
        <v/>
      </c>
      <c r="T1102">
        <f>IFERROR(INDEX(PP_Grid[#Data],$DE1102,17),0)</f>
        <v/>
      </c>
      <c r="U1102">
        <f>IFERROR(INDEX(PP_Grid[#Data],$DE1102,18),0)</f>
        <v/>
      </c>
      <c r="V1102">
        <f>IFERROR(INDEX(PP_Grid[#Data],$DE1102,19),0)</f>
        <v/>
      </c>
      <c r="W1102">
        <f>IFERROR(INDEX(PP_Grid[#Data],$DE1102,20),0)</f>
        <v/>
      </c>
      <c r="X1102">
        <f>IFERROR(INDEX(PP_Grid[#Data],$DE1102,21),0)</f>
        <v/>
      </c>
      <c r="Y1102">
        <f>IFERROR(INDEX(PP_Grid[#Data],$DE1102,22),0)</f>
        <v/>
      </c>
      <c r="Z1102">
        <f>IFERROR(INDEX(PP_Grid[#Data],$DE1102,23),0)</f>
        <v/>
      </c>
      <c r="AA1102">
        <f>IFERROR(INDEX(PP_Grid[#Data],$DE1102,24),0)</f>
        <v/>
      </c>
      <c r="AB1102">
        <f>IFERROR(INDEX(PP_Grid[#Data],$DE1102,25),0)</f>
        <v/>
      </c>
      <c r="AC1102">
        <f>IFERROR(INDEX(PP_Grid[#Data],$DE1102,26),0)</f>
        <v/>
      </c>
      <c r="AD1102">
        <f>IFERROR(INDEX(PP_Grid[#Data],$DE1102,27),0)</f>
        <v/>
      </c>
      <c r="AE1102">
        <f>IFERROR(INDEX(PP_Grid[#Data],$DE1102,28),0)</f>
        <v/>
      </c>
      <c r="AF1102">
        <f>IFERROR(INDEX(PP_Grid[#Data],$DE1102,29),0)</f>
        <v/>
      </c>
      <c r="AG1102">
        <f>IFERROR(INDEX(PP_Grid[#Data],$DE1102,30),0)</f>
        <v/>
      </c>
      <c r="AH1102">
        <f>IFERROR(INDEX(PP_Grid[#Data],$DE1102,31),0)</f>
        <v/>
      </c>
      <c r="AI1102">
        <f>IFERROR(INDEX(PP_Grid[#Data],$DE1102,32),0)</f>
        <v/>
      </c>
      <c r="AJ1102">
        <f>IFERROR(INDEX(PP_Grid[#Data],$DE1102,33),0)</f>
        <v/>
      </c>
      <c r="AK1102">
        <f>IFERROR(INDEX(PP_Grid[#Data],$DE1102,34),0)</f>
        <v/>
      </c>
      <c r="AL1102">
        <f>IFERROR(INDEX(PP_Grid[#Data],$DE1102,35),0)</f>
        <v/>
      </c>
      <c r="AM1102">
        <f>IFERROR(INDEX(PP_Grid[#Data],$DE1102,36),0)</f>
        <v/>
      </c>
      <c r="AN1102">
        <f>IFERROR(INDEX(PP_Grid[#Data],$DE1102,37),0)</f>
        <v/>
      </c>
      <c r="AO1102">
        <f>IFERROR(INDEX(PP_Grid[#Data],$DE1102,38),0)</f>
        <v/>
      </c>
      <c r="AP1102">
        <f>IFERROR(INDEX(PP_Grid[#Data],$DE1102,39),0)</f>
        <v/>
      </c>
      <c r="AQ1102">
        <f>IFERROR(INDEX(PP_Grid[#Data],$DE1102,40),0)</f>
        <v/>
      </c>
      <c r="AR1102">
        <f>IFERROR(INDEX(PP_Grid[#Data],$DE1102,41),0)</f>
        <v/>
      </c>
      <c r="AS1102">
        <f>IFERROR(INDEX(PP_Grid[#Data],$DE1102,42),0)</f>
        <v/>
      </c>
      <c r="AT1102">
        <f>IFERROR(INDEX(PP_Grid[#Data],$DE1102,43),0)</f>
        <v/>
      </c>
      <c r="AU1102">
        <f>IFERROR(INDEX(PP_Grid[#Data],$DE1102,44),0)</f>
        <v/>
      </c>
      <c r="AV1102">
        <f>IFERROR(INDEX(PP_Grid[#Data],$DE1102,45),0)</f>
        <v/>
      </c>
      <c r="AW1102">
        <f>IFERROR(INDEX(PP_Grid[#Data],$DE1102,46),0)</f>
        <v/>
      </c>
      <c r="AX1102">
        <f>IFERROR(INDEX(PP_Grid[#Data],$DE1102,47),0)</f>
        <v/>
      </c>
      <c r="AY1102">
        <f>IFERROR(INDEX(PP_Grid[#Data],$DE1102,48),0)</f>
        <v/>
      </c>
      <c r="AZ1102">
        <f>IFERROR(INDEX(PP_Grid[#Data],$DE1102,49),0)</f>
        <v/>
      </c>
      <c r="BA1102">
        <f>IFERROR(INDEX(PP_Grid[#Data],$DE1102,50),0)</f>
        <v/>
      </c>
      <c r="BB1102">
        <f>IFERROR(INDEX(PP_Grid[#Data],$DE1102,51),0)</f>
        <v/>
      </c>
      <c r="BC1102">
        <f>IFERROR(INDEX(PP_Grid[#Data],$DE1102,52),0)</f>
        <v/>
      </c>
      <c r="BD1102">
        <f>IFERROR(INDEX(PP_Grid[#Data],$DE1102,53),0)</f>
        <v/>
      </c>
      <c r="BE1102">
        <f>IFERROR(INDEX(PP_Grid[#Data],$DE1102,54),0)</f>
        <v/>
      </c>
      <c r="BF1102">
        <f>IFERROR(INDEX(PP_Grid[#Data],$DE1102,55),0)</f>
        <v/>
      </c>
      <c r="BG1102">
        <f>IFERROR(INDEX(PP_Grid[#Data],$DE1102,56),0)</f>
        <v/>
      </c>
      <c r="BH1102">
        <f>IFERROR(INDEX(PP_Grid[#Data],$DE1102,57),0)</f>
        <v/>
      </c>
      <c r="BI1102">
        <f>IFERROR(INDEX(PP_Grid[#Data],$DE1102,58),0)</f>
        <v/>
      </c>
      <c r="BJ1102">
        <f>IFERROR(INDEX(PP_Grid[#Data],$DE1102,59),0)</f>
        <v/>
      </c>
      <c r="BK1102">
        <f>IFERROR(INDEX(PP_Grid[#Data],$DE1102,60),0)</f>
        <v/>
      </c>
      <c r="BL1102">
        <f>IFERROR(INDEX(PP_Grid[#Data],$DE1102,61),0)</f>
        <v/>
      </c>
      <c r="BM1102">
        <f>IFERROR(INDEX(PP_Grid[#Data],$DE1102,62),0)</f>
        <v/>
      </c>
      <c r="BN1102">
        <f>IFERROR(INDEX(PP_Grid[#Data],$DE1102,63),0)</f>
        <v/>
      </c>
      <c r="BO1102">
        <f>IFERROR(INDEX(PP_Grid[#Data],$DE1102,64),0)</f>
        <v/>
      </c>
      <c r="BP1102">
        <f>IFERROR(INDEX(PP_Grid[#Data],$DE1102,65),0)</f>
        <v/>
      </c>
      <c r="BQ1102">
        <f>IFERROR(INDEX(PP_Grid[#Data],$DE1102,66),0)</f>
        <v/>
      </c>
      <c r="BR1102">
        <f>IFERROR(INDEX(PP_Grid[#Data],$DE1102,67),0)</f>
        <v/>
      </c>
      <c r="BS1102">
        <f>IFERROR(INDEX(PP_Grid[#Data],$DE1102,68),0)</f>
        <v/>
      </c>
      <c r="BT1102">
        <f>IFERROR(INDEX(PP_Grid[#Data],$DE1102,69),0)</f>
        <v/>
      </c>
      <c r="BU1102">
        <f>IFERROR(INDEX(PP_Grid[#Data],$DE1102,70),0)</f>
        <v/>
      </c>
      <c r="BV1102">
        <f>IFERROR(INDEX(PP_Grid[#Data],$DE1102,71),0)</f>
        <v/>
      </c>
      <c r="BW1102">
        <f>IFERROR(INDEX(PP_Grid[#Data],$DE1102,72),0)</f>
        <v/>
      </c>
      <c r="BX1102">
        <f>IFERROR(INDEX(PP_Grid[#Data],$DE1102,73),0)</f>
        <v/>
      </c>
      <c r="BY1102">
        <f>IFERROR(INDEX(PP_Grid[#Data],$DE1102,74),0)</f>
        <v/>
      </c>
      <c r="BZ1102">
        <f>IFERROR(INDEX(PP_Grid[#Data],$DE1102,75),0)</f>
        <v/>
      </c>
      <c r="CA1102">
        <f>IFERROR(INDEX(PP_Grid[#Data],$DE1102,76),0)</f>
        <v/>
      </c>
      <c r="CB1102">
        <f>IFERROR(INDEX(PP_Grid[#Data],$DE1102,77),0)</f>
        <v/>
      </c>
      <c r="CC1102">
        <f>IFERROR(INDEX(PP_Grid[#Data],$DE1102,78),0)</f>
        <v/>
      </c>
      <c r="CD1102">
        <f>IFERROR(INDEX(PP_Grid[#Data],$DE1102,79),0)</f>
        <v/>
      </c>
      <c r="CE1102">
        <f>IFERROR(INDEX(PP_Grid[#Data],$DE1102,80),0)</f>
        <v/>
      </c>
      <c r="CF1102">
        <f>IFERROR(INDEX(PP_Grid[#Data],$DE1102,81),0)</f>
        <v/>
      </c>
      <c r="CG1102">
        <f>IFERROR(INDEX(PP_Grid[#Data],$DE1102,82),0)</f>
        <v/>
      </c>
      <c r="CH1102">
        <f>IFERROR(INDEX(PP_Grid[#Data],$DE1102,83),0)</f>
        <v/>
      </c>
      <c r="CI1102">
        <f>IFERROR(INDEX(PP_Grid[#Data],$DE1102,84),0)</f>
        <v/>
      </c>
      <c r="CJ1102">
        <f>IFERROR(INDEX(PP_Grid[#Data],$DE1102,85),0)</f>
        <v/>
      </c>
      <c r="CK1102">
        <f>IFERROR(INDEX(PP_Grid[#Data],$DE1102,86),0)</f>
        <v/>
      </c>
      <c r="CL1102">
        <f>IFERROR(INDEX(PP_Grid[#Data],$DE1102,87),0)</f>
        <v/>
      </c>
      <c r="CM1102">
        <f>IFERROR(INDEX(PP_Grid[#Data],$DE1102,88),0)</f>
        <v/>
      </c>
      <c r="CN1102">
        <f>IFERROR(INDEX(PP_Grid[#Data],$DE1102,89),0)</f>
        <v/>
      </c>
      <c r="CO1102">
        <f>IFERROR(INDEX(PP_Grid[#Data],$DE1102,90),0)</f>
        <v/>
      </c>
      <c r="CP1102">
        <f>IFERROR(INDEX(PP_Grid[#Data],$DE1102,91),0)</f>
        <v/>
      </c>
      <c r="CQ1102">
        <f>IFERROR(INDEX(PP_Grid[#Data],$DE1102,92),0)</f>
        <v/>
      </c>
      <c r="CR1102">
        <f>IFERROR(INDEX(PP_Grid[#Data],$DE1102,93),0)</f>
        <v/>
      </c>
      <c r="CS1102">
        <f>IFERROR(INDEX(PP_Grid[#Data],$DE1102,94),0)</f>
        <v/>
      </c>
      <c r="CT1102">
        <f>IFERROR(INDEX(PP_Grid[#Data],$DE1102,95),0)</f>
        <v/>
      </c>
      <c r="CU1102">
        <f>IFERROR(INDEX(PP_Grid[#Data],$DE1102,96),0)</f>
        <v/>
      </c>
      <c r="CV1102">
        <f>IFERROR(INDEX(PP_Grid[#Data],$DE1102,97),0)</f>
        <v/>
      </c>
      <c r="CW1102">
        <f>IFERROR(INDEX(PP_Grid[#Data],$DE1102,98),0)</f>
        <v/>
      </c>
      <c r="CX1102">
        <f>IFERROR(INDEX(PP_Grid[#Data],$DE1102,99),0)</f>
        <v/>
      </c>
      <c r="CY1102">
        <f>IFERROR(INDEX(PP_Grid[#Data],$DE1102,100),0)</f>
        <v/>
      </c>
      <c r="CZ1102">
        <f>IFERROR(INDEX(PP_Grid[#Data],$DE1102,101),0)</f>
        <v/>
      </c>
      <c r="DA1102">
        <f>IFERROR(INDEX(PP_Grid[#Data],$DE1102,102),0)</f>
        <v/>
      </c>
      <c r="DB1102">
        <f>IFERROR(INDEX(PP_Grid[#Data],$DE1102,103),0)</f>
        <v/>
      </c>
      <c r="DC1102">
        <f>IFERROR(INDEX(PP_Grid[#Data],$DE1102,104),0)</f>
        <v/>
      </c>
      <c r="DD1102">
        <f>IFERROR(INDEX(PP_Grid[#Data],$DE1102,105),0)</f>
        <v/>
      </c>
      <c r="DE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SUMIFS(M_BOM[RM_Qty_Per_Batch],M_BOM[Intermediate],$B1102,M_BOM[RM_Code],$A1085)</f>
        <v/>
      </c>
      <c r="D1103">
        <f>IFERROR(INDEX(E1103:DD1103,$F$1),"")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  <c r="DD1103">
        <f>$C1103*DD1102</f>
        <v/>
      </c>
    </row>
    <row r="1104">
      <c r="B1104" t="inlineStr">
        <is>
          <t>TSP-1558</t>
        </is>
      </c>
      <c r="C1104" t="inlineStr">
        <is>
          <t>No. of batches</t>
        </is>
      </c>
      <c r="D1104">
        <f>IFERROR(INDEX(E1104:DD1104,$F$1),"")</f>
        <v/>
      </c>
      <c r="E1104">
        <f>IFERROR(INDEX(PP_Grid[#Data],$DE1104,2),0)</f>
        <v/>
      </c>
      <c r="F1104">
        <f>IFERROR(INDEX(PP_Grid[#Data],$DE1104,3),0)</f>
        <v/>
      </c>
      <c r="G1104">
        <f>IFERROR(INDEX(PP_Grid[#Data],$DE1104,4),0)</f>
        <v/>
      </c>
      <c r="H1104">
        <f>IFERROR(INDEX(PP_Grid[#Data],$DE1104,5),0)</f>
        <v/>
      </c>
      <c r="I1104">
        <f>IFERROR(INDEX(PP_Grid[#Data],$DE1104,6),0)</f>
        <v/>
      </c>
      <c r="J1104">
        <f>IFERROR(INDEX(PP_Grid[#Data],$DE1104,7),0)</f>
        <v/>
      </c>
      <c r="K1104">
        <f>IFERROR(INDEX(PP_Grid[#Data],$DE1104,8),0)</f>
        <v/>
      </c>
      <c r="L1104">
        <f>IFERROR(INDEX(PP_Grid[#Data],$DE1104,9),0)</f>
        <v/>
      </c>
      <c r="M1104">
        <f>IFERROR(INDEX(PP_Grid[#Data],$DE1104,10),0)</f>
        <v/>
      </c>
      <c r="N1104">
        <f>IFERROR(INDEX(PP_Grid[#Data],$DE1104,11),0)</f>
        <v/>
      </c>
      <c r="O1104">
        <f>IFERROR(INDEX(PP_Grid[#Data],$DE1104,12),0)</f>
        <v/>
      </c>
      <c r="P1104">
        <f>IFERROR(INDEX(PP_Grid[#Data],$DE1104,13),0)</f>
        <v/>
      </c>
      <c r="Q1104">
        <f>IFERROR(INDEX(PP_Grid[#Data],$DE1104,14),0)</f>
        <v/>
      </c>
      <c r="R1104">
        <f>IFERROR(INDEX(PP_Grid[#Data],$DE1104,15),0)</f>
        <v/>
      </c>
      <c r="S1104">
        <f>IFERROR(INDEX(PP_Grid[#Data],$DE1104,16),0)</f>
        <v/>
      </c>
      <c r="T1104">
        <f>IFERROR(INDEX(PP_Grid[#Data],$DE1104,17),0)</f>
        <v/>
      </c>
      <c r="U1104">
        <f>IFERROR(INDEX(PP_Grid[#Data],$DE1104,18),0)</f>
        <v/>
      </c>
      <c r="V1104">
        <f>IFERROR(INDEX(PP_Grid[#Data],$DE1104,19),0)</f>
        <v/>
      </c>
      <c r="W1104">
        <f>IFERROR(INDEX(PP_Grid[#Data],$DE1104,20),0)</f>
        <v/>
      </c>
      <c r="X1104">
        <f>IFERROR(INDEX(PP_Grid[#Data],$DE1104,21),0)</f>
        <v/>
      </c>
      <c r="Y1104">
        <f>IFERROR(INDEX(PP_Grid[#Data],$DE1104,22),0)</f>
        <v/>
      </c>
      <c r="Z1104">
        <f>IFERROR(INDEX(PP_Grid[#Data],$DE1104,23),0)</f>
        <v/>
      </c>
      <c r="AA1104">
        <f>IFERROR(INDEX(PP_Grid[#Data],$DE1104,24),0)</f>
        <v/>
      </c>
      <c r="AB1104">
        <f>IFERROR(INDEX(PP_Grid[#Data],$DE1104,25),0)</f>
        <v/>
      </c>
      <c r="AC1104">
        <f>IFERROR(INDEX(PP_Grid[#Data],$DE1104,26),0)</f>
        <v/>
      </c>
      <c r="AD1104">
        <f>IFERROR(INDEX(PP_Grid[#Data],$DE1104,27),0)</f>
        <v/>
      </c>
      <c r="AE1104">
        <f>IFERROR(INDEX(PP_Grid[#Data],$DE1104,28),0)</f>
        <v/>
      </c>
      <c r="AF1104">
        <f>IFERROR(INDEX(PP_Grid[#Data],$DE1104,29),0)</f>
        <v/>
      </c>
      <c r="AG1104">
        <f>IFERROR(INDEX(PP_Grid[#Data],$DE1104,30),0)</f>
        <v/>
      </c>
      <c r="AH1104">
        <f>IFERROR(INDEX(PP_Grid[#Data],$DE1104,31),0)</f>
        <v/>
      </c>
      <c r="AI1104">
        <f>IFERROR(INDEX(PP_Grid[#Data],$DE1104,32),0)</f>
        <v/>
      </c>
      <c r="AJ1104">
        <f>IFERROR(INDEX(PP_Grid[#Data],$DE1104,33),0)</f>
        <v/>
      </c>
      <c r="AK1104">
        <f>IFERROR(INDEX(PP_Grid[#Data],$DE1104,34),0)</f>
        <v/>
      </c>
      <c r="AL1104">
        <f>IFERROR(INDEX(PP_Grid[#Data],$DE1104,35),0)</f>
        <v/>
      </c>
      <c r="AM1104">
        <f>IFERROR(INDEX(PP_Grid[#Data],$DE1104,36),0)</f>
        <v/>
      </c>
      <c r="AN1104">
        <f>IFERROR(INDEX(PP_Grid[#Data],$DE1104,37),0)</f>
        <v/>
      </c>
      <c r="AO1104">
        <f>IFERROR(INDEX(PP_Grid[#Data],$DE1104,38),0)</f>
        <v/>
      </c>
      <c r="AP1104">
        <f>IFERROR(INDEX(PP_Grid[#Data],$DE1104,39),0)</f>
        <v/>
      </c>
      <c r="AQ1104">
        <f>IFERROR(INDEX(PP_Grid[#Data],$DE1104,40),0)</f>
        <v/>
      </c>
      <c r="AR1104">
        <f>IFERROR(INDEX(PP_Grid[#Data],$DE1104,41),0)</f>
        <v/>
      </c>
      <c r="AS1104">
        <f>IFERROR(INDEX(PP_Grid[#Data],$DE1104,42),0)</f>
        <v/>
      </c>
      <c r="AT1104">
        <f>IFERROR(INDEX(PP_Grid[#Data],$DE1104,43),0)</f>
        <v/>
      </c>
      <c r="AU1104">
        <f>IFERROR(INDEX(PP_Grid[#Data],$DE1104,44),0)</f>
        <v/>
      </c>
      <c r="AV1104">
        <f>IFERROR(INDEX(PP_Grid[#Data],$DE1104,45),0)</f>
        <v/>
      </c>
      <c r="AW1104">
        <f>IFERROR(INDEX(PP_Grid[#Data],$DE1104,46),0)</f>
        <v/>
      </c>
      <c r="AX1104">
        <f>IFERROR(INDEX(PP_Grid[#Data],$DE1104,47),0)</f>
        <v/>
      </c>
      <c r="AY1104">
        <f>IFERROR(INDEX(PP_Grid[#Data],$DE1104,48),0)</f>
        <v/>
      </c>
      <c r="AZ1104">
        <f>IFERROR(INDEX(PP_Grid[#Data],$DE1104,49),0)</f>
        <v/>
      </c>
      <c r="BA1104">
        <f>IFERROR(INDEX(PP_Grid[#Data],$DE1104,50),0)</f>
        <v/>
      </c>
      <c r="BB1104">
        <f>IFERROR(INDEX(PP_Grid[#Data],$DE1104,51),0)</f>
        <v/>
      </c>
      <c r="BC1104">
        <f>IFERROR(INDEX(PP_Grid[#Data],$DE1104,52),0)</f>
        <v/>
      </c>
      <c r="BD1104">
        <f>IFERROR(INDEX(PP_Grid[#Data],$DE1104,53),0)</f>
        <v/>
      </c>
      <c r="BE1104">
        <f>IFERROR(INDEX(PP_Grid[#Data],$DE1104,54),0)</f>
        <v/>
      </c>
      <c r="BF1104">
        <f>IFERROR(INDEX(PP_Grid[#Data],$DE1104,55),0)</f>
        <v/>
      </c>
      <c r="BG1104">
        <f>IFERROR(INDEX(PP_Grid[#Data],$DE1104,56),0)</f>
        <v/>
      </c>
      <c r="BH1104">
        <f>IFERROR(INDEX(PP_Grid[#Data],$DE1104,57),0)</f>
        <v/>
      </c>
      <c r="BI1104">
        <f>IFERROR(INDEX(PP_Grid[#Data],$DE1104,58),0)</f>
        <v/>
      </c>
      <c r="BJ1104">
        <f>IFERROR(INDEX(PP_Grid[#Data],$DE1104,59),0)</f>
        <v/>
      </c>
      <c r="BK1104">
        <f>IFERROR(INDEX(PP_Grid[#Data],$DE1104,60),0)</f>
        <v/>
      </c>
      <c r="BL1104">
        <f>IFERROR(INDEX(PP_Grid[#Data],$DE1104,61),0)</f>
        <v/>
      </c>
      <c r="BM1104">
        <f>IFERROR(INDEX(PP_Grid[#Data],$DE1104,62),0)</f>
        <v/>
      </c>
      <c r="BN1104">
        <f>IFERROR(INDEX(PP_Grid[#Data],$DE1104,63),0)</f>
        <v/>
      </c>
      <c r="BO1104">
        <f>IFERROR(INDEX(PP_Grid[#Data],$DE1104,64),0)</f>
        <v/>
      </c>
      <c r="BP1104">
        <f>IFERROR(INDEX(PP_Grid[#Data],$DE1104,65),0)</f>
        <v/>
      </c>
      <c r="BQ1104">
        <f>IFERROR(INDEX(PP_Grid[#Data],$DE1104,66),0)</f>
        <v/>
      </c>
      <c r="BR1104">
        <f>IFERROR(INDEX(PP_Grid[#Data],$DE1104,67),0)</f>
        <v/>
      </c>
      <c r="BS1104">
        <f>IFERROR(INDEX(PP_Grid[#Data],$DE1104,68),0)</f>
        <v/>
      </c>
      <c r="BT1104">
        <f>IFERROR(INDEX(PP_Grid[#Data],$DE1104,69),0)</f>
        <v/>
      </c>
      <c r="BU1104">
        <f>IFERROR(INDEX(PP_Grid[#Data],$DE1104,70),0)</f>
        <v/>
      </c>
      <c r="BV1104">
        <f>IFERROR(INDEX(PP_Grid[#Data],$DE1104,71),0)</f>
        <v/>
      </c>
      <c r="BW1104">
        <f>IFERROR(INDEX(PP_Grid[#Data],$DE1104,72),0)</f>
        <v/>
      </c>
      <c r="BX1104">
        <f>IFERROR(INDEX(PP_Grid[#Data],$DE1104,73),0)</f>
        <v/>
      </c>
      <c r="BY1104">
        <f>IFERROR(INDEX(PP_Grid[#Data],$DE1104,74),0)</f>
        <v/>
      </c>
      <c r="BZ1104">
        <f>IFERROR(INDEX(PP_Grid[#Data],$DE1104,75),0)</f>
        <v/>
      </c>
      <c r="CA1104">
        <f>IFERROR(INDEX(PP_Grid[#Data],$DE1104,76),0)</f>
        <v/>
      </c>
      <c r="CB1104">
        <f>IFERROR(INDEX(PP_Grid[#Data],$DE1104,77),0)</f>
        <v/>
      </c>
      <c r="CC1104">
        <f>IFERROR(INDEX(PP_Grid[#Data],$DE1104,78),0)</f>
        <v/>
      </c>
      <c r="CD1104">
        <f>IFERROR(INDEX(PP_Grid[#Data],$DE1104,79),0)</f>
        <v/>
      </c>
      <c r="CE1104">
        <f>IFERROR(INDEX(PP_Grid[#Data],$DE1104,80),0)</f>
        <v/>
      </c>
      <c r="CF1104">
        <f>IFERROR(INDEX(PP_Grid[#Data],$DE1104,81),0)</f>
        <v/>
      </c>
      <c r="CG1104">
        <f>IFERROR(INDEX(PP_Grid[#Data],$DE1104,82),0)</f>
        <v/>
      </c>
      <c r="CH1104">
        <f>IFERROR(INDEX(PP_Grid[#Data],$DE1104,83),0)</f>
        <v/>
      </c>
      <c r="CI1104">
        <f>IFERROR(INDEX(PP_Grid[#Data],$DE1104,84),0)</f>
        <v/>
      </c>
      <c r="CJ1104">
        <f>IFERROR(INDEX(PP_Grid[#Data],$DE1104,85),0)</f>
        <v/>
      </c>
      <c r="CK1104">
        <f>IFERROR(INDEX(PP_Grid[#Data],$DE1104,86),0)</f>
        <v/>
      </c>
      <c r="CL1104">
        <f>IFERROR(INDEX(PP_Grid[#Data],$DE1104,87),0)</f>
        <v/>
      </c>
      <c r="CM1104">
        <f>IFERROR(INDEX(PP_Grid[#Data],$DE1104,88),0)</f>
        <v/>
      </c>
      <c r="CN1104">
        <f>IFERROR(INDEX(PP_Grid[#Data],$DE1104,89),0)</f>
        <v/>
      </c>
      <c r="CO1104">
        <f>IFERROR(INDEX(PP_Grid[#Data],$DE1104,90),0)</f>
        <v/>
      </c>
      <c r="CP1104">
        <f>IFERROR(INDEX(PP_Grid[#Data],$DE1104,91),0)</f>
        <v/>
      </c>
      <c r="CQ1104">
        <f>IFERROR(INDEX(PP_Grid[#Data],$DE1104,92),0)</f>
        <v/>
      </c>
      <c r="CR1104">
        <f>IFERROR(INDEX(PP_Grid[#Data],$DE1104,93),0)</f>
        <v/>
      </c>
      <c r="CS1104">
        <f>IFERROR(INDEX(PP_Grid[#Data],$DE1104,94),0)</f>
        <v/>
      </c>
      <c r="CT1104">
        <f>IFERROR(INDEX(PP_Grid[#Data],$DE1104,95),0)</f>
        <v/>
      </c>
      <c r="CU1104">
        <f>IFERROR(INDEX(PP_Grid[#Data],$DE1104,96),0)</f>
        <v/>
      </c>
      <c r="CV1104">
        <f>IFERROR(INDEX(PP_Grid[#Data],$DE1104,97),0)</f>
        <v/>
      </c>
      <c r="CW1104">
        <f>IFERROR(INDEX(PP_Grid[#Data],$DE1104,98),0)</f>
        <v/>
      </c>
      <c r="CX1104">
        <f>IFERROR(INDEX(PP_Grid[#Data],$DE1104,99),0)</f>
        <v/>
      </c>
      <c r="CY1104">
        <f>IFERROR(INDEX(PP_Grid[#Data],$DE1104,100),0)</f>
        <v/>
      </c>
      <c r="CZ1104">
        <f>IFERROR(INDEX(PP_Grid[#Data],$DE1104,101),0)</f>
        <v/>
      </c>
      <c r="DA1104">
        <f>IFERROR(INDEX(PP_Grid[#Data],$DE1104,102),0)</f>
        <v/>
      </c>
      <c r="DB1104">
        <f>IFERROR(INDEX(PP_Grid[#Data],$DE1104,103),0)</f>
        <v/>
      </c>
      <c r="DC1104">
        <f>IFERROR(INDEX(PP_Grid[#Data],$DE1104,104),0)</f>
        <v/>
      </c>
      <c r="DD1104">
        <f>IFERROR(INDEX(PP_Grid[#Data],$DE1104,105),0)</f>
        <v/>
      </c>
      <c r="DE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SUMIFS(M_BOM[RM_Qty_Per_Batch],M_BOM[Intermediate],$B1104,M_BOM[RM_Code],$A1085)</f>
        <v/>
      </c>
      <c r="D1105">
        <f>IFERROR(INDEX(E1105:DD1105,$F$1),"")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  <c r="DD1105">
        <f>$C1105*DD1104</f>
        <v/>
      </c>
    </row>
    <row r="1106">
      <c r="B1106" s="4" t="inlineStr">
        <is>
          <t>合計使用量(kg)/週</t>
        </is>
      </c>
      <c r="D1106" s="23">
        <f>IFERROR(INDEX(E1106:DD1106,$F$1),"")</f>
        <v/>
      </c>
      <c r="E1106">
        <f>'Grid_Requirement'!B24</f>
        <v/>
      </c>
      <c r="F1106">
        <f>'Grid_Requirement'!C24</f>
        <v/>
      </c>
      <c r="G1106">
        <f>'Grid_Requirement'!D24</f>
        <v/>
      </c>
      <c r="H1106">
        <f>'Grid_Requirement'!E24</f>
        <v/>
      </c>
      <c r="I1106">
        <f>'Grid_Requirement'!F24</f>
        <v/>
      </c>
      <c r="J1106">
        <f>'Grid_Requirement'!G24</f>
        <v/>
      </c>
      <c r="K1106">
        <f>'Grid_Requirement'!H24</f>
        <v/>
      </c>
      <c r="L1106">
        <f>'Grid_Requirement'!I24</f>
        <v/>
      </c>
      <c r="M1106">
        <f>'Grid_Requirement'!J24</f>
        <v/>
      </c>
      <c r="N1106">
        <f>'Grid_Requirement'!K24</f>
        <v/>
      </c>
      <c r="O1106">
        <f>'Grid_Requirement'!L24</f>
        <v/>
      </c>
      <c r="P1106">
        <f>'Grid_Requirement'!M24</f>
        <v/>
      </c>
      <c r="Q1106">
        <f>'Grid_Requirement'!N24</f>
        <v/>
      </c>
      <c r="R1106">
        <f>'Grid_Requirement'!O24</f>
        <v/>
      </c>
      <c r="S1106">
        <f>'Grid_Requirement'!P24</f>
        <v/>
      </c>
      <c r="T1106">
        <f>'Grid_Requirement'!Q24</f>
        <v/>
      </c>
      <c r="U1106">
        <f>'Grid_Requirement'!R24</f>
        <v/>
      </c>
      <c r="V1106">
        <f>'Grid_Requirement'!S24</f>
        <v/>
      </c>
      <c r="W1106">
        <f>'Grid_Requirement'!T24</f>
        <v/>
      </c>
      <c r="X1106">
        <f>'Grid_Requirement'!U24</f>
        <v/>
      </c>
      <c r="Y1106">
        <f>'Grid_Requirement'!V24</f>
        <v/>
      </c>
      <c r="Z1106">
        <f>'Grid_Requirement'!W24</f>
        <v/>
      </c>
      <c r="AA1106">
        <f>'Grid_Requirement'!X24</f>
        <v/>
      </c>
      <c r="AB1106">
        <f>'Grid_Requirement'!Y24</f>
        <v/>
      </c>
      <c r="AC1106">
        <f>'Grid_Requirement'!Z24</f>
        <v/>
      </c>
      <c r="AD1106">
        <f>'Grid_Requirement'!AA24</f>
        <v/>
      </c>
      <c r="AE1106">
        <f>'Grid_Requirement'!AB24</f>
        <v/>
      </c>
      <c r="AF1106">
        <f>'Grid_Requirement'!AC24</f>
        <v/>
      </c>
      <c r="AG1106">
        <f>'Grid_Requirement'!AD24</f>
        <v/>
      </c>
      <c r="AH1106">
        <f>'Grid_Requirement'!AE24</f>
        <v/>
      </c>
      <c r="AI1106">
        <f>'Grid_Requirement'!AF24</f>
        <v/>
      </c>
      <c r="AJ1106">
        <f>'Grid_Requirement'!AG24</f>
        <v/>
      </c>
      <c r="AK1106">
        <f>'Grid_Requirement'!AH24</f>
        <v/>
      </c>
      <c r="AL1106">
        <f>'Grid_Requirement'!AI24</f>
        <v/>
      </c>
      <c r="AM1106">
        <f>'Grid_Requirement'!AJ24</f>
        <v/>
      </c>
      <c r="AN1106">
        <f>'Grid_Requirement'!AK24</f>
        <v/>
      </c>
      <c r="AO1106">
        <f>'Grid_Requirement'!AL24</f>
        <v/>
      </c>
      <c r="AP1106">
        <f>'Grid_Requirement'!AM24</f>
        <v/>
      </c>
      <c r="AQ1106">
        <f>'Grid_Requirement'!AN24</f>
        <v/>
      </c>
      <c r="AR1106">
        <f>'Grid_Requirement'!AO24</f>
        <v/>
      </c>
      <c r="AS1106">
        <f>'Grid_Requirement'!AP24</f>
        <v/>
      </c>
      <c r="AT1106">
        <f>'Grid_Requirement'!AQ24</f>
        <v/>
      </c>
      <c r="AU1106">
        <f>'Grid_Requirement'!AR24</f>
        <v/>
      </c>
      <c r="AV1106">
        <f>'Grid_Requirement'!AS24</f>
        <v/>
      </c>
      <c r="AW1106">
        <f>'Grid_Requirement'!AT24</f>
        <v/>
      </c>
      <c r="AX1106">
        <f>'Grid_Requirement'!AU24</f>
        <v/>
      </c>
      <c r="AY1106">
        <f>'Grid_Requirement'!AV24</f>
        <v/>
      </c>
      <c r="AZ1106">
        <f>'Grid_Requirement'!AW24</f>
        <v/>
      </c>
      <c r="BA1106">
        <f>'Grid_Requirement'!AX24</f>
        <v/>
      </c>
      <c r="BB1106">
        <f>'Grid_Requirement'!AY24</f>
        <v/>
      </c>
      <c r="BC1106">
        <f>'Grid_Requirement'!AZ24</f>
        <v/>
      </c>
      <c r="BD1106">
        <f>'Grid_Requirement'!BA24</f>
        <v/>
      </c>
      <c r="BE1106">
        <f>'Grid_Requirement'!BB24</f>
        <v/>
      </c>
      <c r="BF1106">
        <f>'Grid_Requirement'!BC24</f>
        <v/>
      </c>
      <c r="BG1106">
        <f>'Grid_Requirement'!BD24</f>
        <v/>
      </c>
      <c r="BH1106">
        <f>'Grid_Requirement'!BE24</f>
        <v/>
      </c>
      <c r="BI1106">
        <f>'Grid_Requirement'!BF24</f>
        <v/>
      </c>
      <c r="BJ1106">
        <f>'Grid_Requirement'!BG24</f>
        <v/>
      </c>
      <c r="BK1106">
        <f>'Grid_Requirement'!BH24</f>
        <v/>
      </c>
      <c r="BL1106">
        <f>'Grid_Requirement'!BI24</f>
        <v/>
      </c>
      <c r="BM1106">
        <f>'Grid_Requirement'!BJ24</f>
        <v/>
      </c>
      <c r="BN1106">
        <f>'Grid_Requirement'!BK24</f>
        <v/>
      </c>
      <c r="BO1106">
        <f>'Grid_Requirement'!BL24</f>
        <v/>
      </c>
      <c r="BP1106">
        <f>'Grid_Requirement'!BM24</f>
        <v/>
      </c>
      <c r="BQ1106">
        <f>'Grid_Requirement'!BN24</f>
        <v/>
      </c>
      <c r="BR1106">
        <f>'Grid_Requirement'!BO24</f>
        <v/>
      </c>
      <c r="BS1106">
        <f>'Grid_Requirement'!BP24</f>
        <v/>
      </c>
      <c r="BT1106">
        <f>'Grid_Requirement'!BQ24</f>
        <v/>
      </c>
      <c r="BU1106">
        <f>'Grid_Requirement'!BR24</f>
        <v/>
      </c>
      <c r="BV1106">
        <f>'Grid_Requirement'!BS24</f>
        <v/>
      </c>
      <c r="BW1106">
        <f>'Grid_Requirement'!BT24</f>
        <v/>
      </c>
      <c r="BX1106">
        <f>'Grid_Requirement'!BU24</f>
        <v/>
      </c>
      <c r="BY1106">
        <f>'Grid_Requirement'!BV24</f>
        <v/>
      </c>
      <c r="BZ1106">
        <f>'Grid_Requirement'!BW24</f>
        <v/>
      </c>
      <c r="CA1106">
        <f>'Grid_Requirement'!BX24</f>
        <v/>
      </c>
      <c r="CB1106">
        <f>'Grid_Requirement'!BY24</f>
        <v/>
      </c>
      <c r="CC1106">
        <f>'Grid_Requirement'!BZ24</f>
        <v/>
      </c>
      <c r="CD1106">
        <f>'Grid_Requirement'!CA24</f>
        <v/>
      </c>
      <c r="CE1106">
        <f>'Grid_Requirement'!CB24</f>
        <v/>
      </c>
      <c r="CF1106">
        <f>'Grid_Requirement'!CC24</f>
        <v/>
      </c>
      <c r="CG1106">
        <f>'Grid_Requirement'!CD24</f>
        <v/>
      </c>
      <c r="CH1106">
        <f>'Grid_Requirement'!CE24</f>
        <v/>
      </c>
      <c r="CI1106">
        <f>'Grid_Requirement'!CF24</f>
        <v/>
      </c>
      <c r="CJ1106">
        <f>'Grid_Requirement'!CG24</f>
        <v/>
      </c>
      <c r="CK1106">
        <f>'Grid_Requirement'!CH24</f>
        <v/>
      </c>
      <c r="CL1106">
        <f>'Grid_Requirement'!CI24</f>
        <v/>
      </c>
      <c r="CM1106">
        <f>'Grid_Requirement'!CJ24</f>
        <v/>
      </c>
      <c r="CN1106">
        <f>'Grid_Requirement'!CK24</f>
        <v/>
      </c>
      <c r="CO1106">
        <f>'Grid_Requirement'!CL24</f>
        <v/>
      </c>
      <c r="CP1106">
        <f>'Grid_Requirement'!CM24</f>
        <v/>
      </c>
      <c r="CQ1106">
        <f>'Grid_Requirement'!CN24</f>
        <v/>
      </c>
      <c r="CR1106">
        <f>'Grid_Requirement'!CO24</f>
        <v/>
      </c>
      <c r="CS1106">
        <f>'Grid_Requirement'!CP24</f>
        <v/>
      </c>
      <c r="CT1106">
        <f>'Grid_Requirement'!CQ24</f>
        <v/>
      </c>
      <c r="CU1106">
        <f>'Grid_Requirement'!CR24</f>
        <v/>
      </c>
      <c r="CV1106">
        <f>'Grid_Requirement'!CS24</f>
        <v/>
      </c>
      <c r="CW1106">
        <f>'Grid_Requirement'!CT24</f>
        <v/>
      </c>
      <c r="CX1106">
        <f>'Grid_Requirement'!CU24</f>
        <v/>
      </c>
      <c r="CY1106">
        <f>'Grid_Requirement'!CV24</f>
        <v/>
      </c>
      <c r="CZ1106">
        <f>'Grid_Requirement'!CW24</f>
        <v/>
      </c>
      <c r="DA1106">
        <f>'Grid_Requirement'!CX24</f>
        <v/>
      </c>
      <c r="DB1106">
        <f>'Grid_Requirement'!CY24</f>
        <v/>
      </c>
      <c r="DC1106">
        <f>'Grid_Requirement'!CZ24</f>
        <v/>
      </c>
      <c r="DD1106">
        <f>'Grid_Requirement'!DA24</f>
        <v/>
      </c>
    </row>
    <row r="1107">
      <c r="B1107" t="inlineStr">
        <is>
          <t>TTAF在庫(実績,kg)</t>
        </is>
      </c>
      <c r="D1107">
        <f>IFERROR(INDEX(E1107:DD1107,$F$1),"")</f>
        <v/>
      </c>
      <c r="E1107">
        <f>IFERROR(SUMIFS(T_TTAFStock[TTAF_Qty],T_TTAFStock[RM_Code],$A1085,T_TTAFStock[WeekIndex],1),"")</f>
        <v/>
      </c>
      <c r="F1107">
        <f>IFERROR(SUMIFS(T_TTAFStock[TTAF_Qty],T_TTAFStock[RM_Code],$A1085,T_TTAFStock[WeekIndex],2),"")</f>
        <v/>
      </c>
      <c r="G1107">
        <f>IFERROR(SUMIFS(T_TTAFStock[TTAF_Qty],T_TTAFStock[RM_Code],$A1085,T_TTAFStock[WeekIndex],3),"")</f>
        <v/>
      </c>
      <c r="H1107">
        <f>IFERROR(SUMIFS(T_TTAFStock[TTAF_Qty],T_TTAFStock[RM_Code],$A1085,T_TTAFStock[WeekIndex],4),"")</f>
        <v/>
      </c>
      <c r="I1107">
        <f>IFERROR(SUMIFS(T_TTAFStock[TTAF_Qty],T_TTAFStock[RM_Code],$A1085,T_TTAFStock[WeekIndex],5),"")</f>
        <v/>
      </c>
      <c r="J1107">
        <f>IFERROR(SUMIFS(T_TTAFStock[TTAF_Qty],T_TTAFStock[RM_Code],$A1085,T_TTAFStock[WeekIndex],6),"")</f>
        <v/>
      </c>
      <c r="K1107">
        <f>IFERROR(SUMIFS(T_TTAFStock[TTAF_Qty],T_TTAFStock[RM_Code],$A1085,T_TTAFStock[WeekIndex],7),"")</f>
        <v/>
      </c>
      <c r="L1107">
        <f>IFERROR(SUMIFS(T_TTAFStock[TTAF_Qty],T_TTAFStock[RM_Code],$A1085,T_TTAFStock[WeekIndex],8),"")</f>
        <v/>
      </c>
      <c r="M1107">
        <f>IFERROR(SUMIFS(T_TTAFStock[TTAF_Qty],T_TTAFStock[RM_Code],$A1085,T_TTAFStock[WeekIndex],9),"")</f>
        <v/>
      </c>
      <c r="N1107">
        <f>IFERROR(SUMIFS(T_TTAFStock[TTAF_Qty],T_TTAFStock[RM_Code],$A1085,T_TTAFStock[WeekIndex],10),"")</f>
        <v/>
      </c>
      <c r="O1107">
        <f>IFERROR(SUMIFS(T_TTAFStock[TTAF_Qty],T_TTAFStock[RM_Code],$A1085,T_TTAFStock[WeekIndex],11),"")</f>
        <v/>
      </c>
      <c r="P1107">
        <f>IFERROR(SUMIFS(T_TTAFStock[TTAF_Qty],T_TTAFStock[RM_Code],$A1085,T_TTAFStock[WeekIndex],12),"")</f>
        <v/>
      </c>
      <c r="Q1107">
        <f>IFERROR(SUMIFS(T_TTAFStock[TTAF_Qty],T_TTAFStock[RM_Code],$A1085,T_TTAFStock[WeekIndex],13),"")</f>
        <v/>
      </c>
      <c r="R1107">
        <f>IFERROR(SUMIFS(T_TTAFStock[TTAF_Qty],T_TTAFStock[RM_Code],$A1085,T_TTAFStock[WeekIndex],14),"")</f>
        <v/>
      </c>
      <c r="S1107">
        <f>IFERROR(SUMIFS(T_TTAFStock[TTAF_Qty],T_TTAFStock[RM_Code],$A1085,T_TTAFStock[WeekIndex],15),"")</f>
        <v/>
      </c>
      <c r="T1107">
        <f>IFERROR(SUMIFS(T_TTAFStock[TTAF_Qty],T_TTAFStock[RM_Code],$A1085,T_TTAFStock[WeekIndex],16),"")</f>
        <v/>
      </c>
      <c r="U1107">
        <f>IFERROR(SUMIFS(T_TTAFStock[TTAF_Qty],T_TTAFStock[RM_Code],$A1085,T_TTAFStock[WeekIndex],17),"")</f>
        <v/>
      </c>
      <c r="V1107">
        <f>IFERROR(SUMIFS(T_TTAFStock[TTAF_Qty],T_TTAFStock[RM_Code],$A1085,T_TTAFStock[WeekIndex],18),"")</f>
        <v/>
      </c>
      <c r="W1107">
        <f>IFERROR(SUMIFS(T_TTAFStock[TTAF_Qty],T_TTAFStock[RM_Code],$A1085,T_TTAFStock[WeekIndex],19),"")</f>
        <v/>
      </c>
      <c r="X1107">
        <f>IFERROR(SUMIFS(T_TTAFStock[TTAF_Qty],T_TTAFStock[RM_Code],$A1085,T_TTAFStock[WeekIndex],20),"")</f>
        <v/>
      </c>
      <c r="Y1107">
        <f>IFERROR(SUMIFS(T_TTAFStock[TTAF_Qty],T_TTAFStock[RM_Code],$A1085,T_TTAFStock[WeekIndex],21),"")</f>
        <v/>
      </c>
      <c r="Z1107">
        <f>IFERROR(SUMIFS(T_TTAFStock[TTAF_Qty],T_TTAFStock[RM_Code],$A1085,T_TTAFStock[WeekIndex],22),"")</f>
        <v/>
      </c>
      <c r="AA1107">
        <f>IFERROR(SUMIFS(T_TTAFStock[TTAF_Qty],T_TTAFStock[RM_Code],$A1085,T_TTAFStock[WeekIndex],23),"")</f>
        <v/>
      </c>
      <c r="AB1107">
        <f>IFERROR(SUMIFS(T_TTAFStock[TTAF_Qty],T_TTAFStock[RM_Code],$A1085,T_TTAFStock[WeekIndex],24),"")</f>
        <v/>
      </c>
      <c r="AC1107">
        <f>IFERROR(SUMIFS(T_TTAFStock[TTAF_Qty],T_TTAFStock[RM_Code],$A1085,T_TTAFStock[WeekIndex],25),"")</f>
        <v/>
      </c>
      <c r="AD1107">
        <f>IFERROR(SUMIFS(T_TTAFStock[TTAF_Qty],T_TTAFStock[RM_Code],$A1085,T_TTAFStock[WeekIndex],26),"")</f>
        <v/>
      </c>
      <c r="AE1107">
        <f>IFERROR(SUMIFS(T_TTAFStock[TTAF_Qty],T_TTAFStock[RM_Code],$A1085,T_TTAFStock[WeekIndex],27),"")</f>
        <v/>
      </c>
      <c r="AF1107">
        <f>IFERROR(SUMIFS(T_TTAFStock[TTAF_Qty],T_TTAFStock[RM_Code],$A1085,T_TTAFStock[WeekIndex],28),"")</f>
        <v/>
      </c>
      <c r="AG1107">
        <f>IFERROR(SUMIFS(T_TTAFStock[TTAF_Qty],T_TTAFStock[RM_Code],$A1085,T_TTAFStock[WeekIndex],29),"")</f>
        <v/>
      </c>
      <c r="AH1107">
        <f>IFERROR(SUMIFS(T_TTAFStock[TTAF_Qty],T_TTAFStock[RM_Code],$A1085,T_TTAFStock[WeekIndex],30),"")</f>
        <v/>
      </c>
      <c r="AI1107">
        <f>IFERROR(SUMIFS(T_TTAFStock[TTAF_Qty],T_TTAFStock[RM_Code],$A1085,T_TTAFStock[WeekIndex],31),"")</f>
        <v/>
      </c>
      <c r="AJ1107">
        <f>IFERROR(SUMIFS(T_TTAFStock[TTAF_Qty],T_TTAFStock[RM_Code],$A1085,T_TTAFStock[WeekIndex],32),"")</f>
        <v/>
      </c>
      <c r="AK1107">
        <f>IFERROR(SUMIFS(T_TTAFStock[TTAF_Qty],T_TTAFStock[RM_Code],$A1085,T_TTAFStock[WeekIndex],33),"")</f>
        <v/>
      </c>
      <c r="AL1107">
        <f>IFERROR(SUMIFS(T_TTAFStock[TTAF_Qty],T_TTAFStock[RM_Code],$A1085,T_TTAFStock[WeekIndex],34),"")</f>
        <v/>
      </c>
      <c r="AM1107">
        <f>IFERROR(SUMIFS(T_TTAFStock[TTAF_Qty],T_TTAFStock[RM_Code],$A1085,T_TTAFStock[WeekIndex],35),"")</f>
        <v/>
      </c>
      <c r="AN1107">
        <f>IFERROR(SUMIFS(T_TTAFStock[TTAF_Qty],T_TTAFStock[RM_Code],$A1085,T_TTAFStock[WeekIndex],36),"")</f>
        <v/>
      </c>
      <c r="AO1107">
        <f>IFERROR(SUMIFS(T_TTAFStock[TTAF_Qty],T_TTAFStock[RM_Code],$A1085,T_TTAFStock[WeekIndex],37),"")</f>
        <v/>
      </c>
      <c r="AP1107">
        <f>IFERROR(SUMIFS(T_TTAFStock[TTAF_Qty],T_TTAFStock[RM_Code],$A1085,T_TTAFStock[WeekIndex],38),"")</f>
        <v/>
      </c>
      <c r="AQ1107">
        <f>IFERROR(SUMIFS(T_TTAFStock[TTAF_Qty],T_TTAFStock[RM_Code],$A1085,T_TTAFStock[WeekIndex],39),"")</f>
        <v/>
      </c>
      <c r="AR1107">
        <f>IFERROR(SUMIFS(T_TTAFStock[TTAF_Qty],T_TTAFStock[RM_Code],$A1085,T_TTAFStock[WeekIndex],40),"")</f>
        <v/>
      </c>
      <c r="AS1107">
        <f>IFERROR(SUMIFS(T_TTAFStock[TTAF_Qty],T_TTAFStock[RM_Code],$A1085,T_TTAFStock[WeekIndex],41),"")</f>
        <v/>
      </c>
      <c r="AT1107">
        <f>IFERROR(SUMIFS(T_TTAFStock[TTAF_Qty],T_TTAFStock[RM_Code],$A1085,T_TTAFStock[WeekIndex],42),"")</f>
        <v/>
      </c>
      <c r="AU1107">
        <f>IFERROR(SUMIFS(T_TTAFStock[TTAF_Qty],T_TTAFStock[RM_Code],$A1085,T_TTAFStock[WeekIndex],43),"")</f>
        <v/>
      </c>
      <c r="AV1107">
        <f>IFERROR(SUMIFS(T_TTAFStock[TTAF_Qty],T_TTAFStock[RM_Code],$A1085,T_TTAFStock[WeekIndex],44),"")</f>
        <v/>
      </c>
      <c r="AW1107">
        <f>IFERROR(SUMIFS(T_TTAFStock[TTAF_Qty],T_TTAFStock[RM_Code],$A1085,T_TTAFStock[WeekIndex],45),"")</f>
        <v/>
      </c>
      <c r="AX1107">
        <f>IFERROR(SUMIFS(T_TTAFStock[TTAF_Qty],T_TTAFStock[RM_Code],$A1085,T_TTAFStock[WeekIndex],46),"")</f>
        <v/>
      </c>
      <c r="AY1107">
        <f>IFERROR(SUMIFS(T_TTAFStock[TTAF_Qty],T_TTAFStock[RM_Code],$A1085,T_TTAFStock[WeekIndex],47),"")</f>
        <v/>
      </c>
      <c r="AZ1107">
        <f>IFERROR(SUMIFS(T_TTAFStock[TTAF_Qty],T_TTAFStock[RM_Code],$A1085,T_TTAFStock[WeekIndex],48),"")</f>
        <v/>
      </c>
      <c r="BA1107">
        <f>IFERROR(SUMIFS(T_TTAFStock[TTAF_Qty],T_TTAFStock[RM_Code],$A1085,T_TTAFStock[WeekIndex],49),"")</f>
        <v/>
      </c>
      <c r="BB1107">
        <f>IFERROR(SUMIFS(T_TTAFStock[TTAF_Qty],T_TTAFStock[RM_Code],$A1085,T_TTAFStock[WeekIndex],50),"")</f>
        <v/>
      </c>
      <c r="BC1107">
        <f>IFERROR(SUMIFS(T_TTAFStock[TTAF_Qty],T_TTAFStock[RM_Code],$A1085,T_TTAFStock[WeekIndex],51),"")</f>
        <v/>
      </c>
      <c r="BD1107">
        <f>IFERROR(SUMIFS(T_TTAFStock[TTAF_Qty],T_TTAFStock[RM_Code],$A1085,T_TTAFStock[WeekIndex],52),"")</f>
        <v/>
      </c>
      <c r="BE1107">
        <f>IFERROR(SUMIFS(T_TTAFStock[TTAF_Qty],T_TTAFStock[RM_Code],$A1085,T_TTAFStock[WeekIndex],53),"")</f>
        <v/>
      </c>
      <c r="BF1107">
        <f>IFERROR(SUMIFS(T_TTAFStock[TTAF_Qty],T_TTAFStock[RM_Code],$A1085,T_TTAFStock[WeekIndex],54),"")</f>
        <v/>
      </c>
      <c r="BG1107">
        <f>IFERROR(SUMIFS(T_TTAFStock[TTAF_Qty],T_TTAFStock[RM_Code],$A1085,T_TTAFStock[WeekIndex],55),"")</f>
        <v/>
      </c>
      <c r="BH1107">
        <f>IFERROR(SUMIFS(T_TTAFStock[TTAF_Qty],T_TTAFStock[RM_Code],$A1085,T_TTAFStock[WeekIndex],56),"")</f>
        <v/>
      </c>
      <c r="BI1107">
        <f>IFERROR(SUMIFS(T_TTAFStock[TTAF_Qty],T_TTAFStock[RM_Code],$A1085,T_TTAFStock[WeekIndex],57),"")</f>
        <v/>
      </c>
      <c r="BJ1107">
        <f>IFERROR(SUMIFS(T_TTAFStock[TTAF_Qty],T_TTAFStock[RM_Code],$A1085,T_TTAFStock[WeekIndex],58),"")</f>
        <v/>
      </c>
      <c r="BK1107">
        <f>IFERROR(SUMIFS(T_TTAFStock[TTAF_Qty],T_TTAFStock[RM_Code],$A1085,T_TTAFStock[WeekIndex],59),"")</f>
        <v/>
      </c>
      <c r="BL1107">
        <f>IFERROR(SUMIFS(T_TTAFStock[TTAF_Qty],T_TTAFStock[RM_Code],$A1085,T_TTAFStock[WeekIndex],60),"")</f>
        <v/>
      </c>
      <c r="BM1107">
        <f>IFERROR(SUMIFS(T_TTAFStock[TTAF_Qty],T_TTAFStock[RM_Code],$A1085,T_TTAFStock[WeekIndex],61),"")</f>
        <v/>
      </c>
      <c r="BN1107">
        <f>IFERROR(SUMIFS(T_TTAFStock[TTAF_Qty],T_TTAFStock[RM_Code],$A1085,T_TTAFStock[WeekIndex],62),"")</f>
        <v/>
      </c>
      <c r="BO1107">
        <f>IFERROR(SUMIFS(T_TTAFStock[TTAF_Qty],T_TTAFStock[RM_Code],$A1085,T_TTAFStock[WeekIndex],63),"")</f>
        <v/>
      </c>
      <c r="BP1107">
        <f>IFERROR(SUMIFS(T_TTAFStock[TTAF_Qty],T_TTAFStock[RM_Code],$A1085,T_TTAFStock[WeekIndex],64),"")</f>
        <v/>
      </c>
      <c r="BQ1107">
        <f>IFERROR(SUMIFS(T_TTAFStock[TTAF_Qty],T_TTAFStock[RM_Code],$A1085,T_TTAFStock[WeekIndex],65),"")</f>
        <v/>
      </c>
      <c r="BR1107">
        <f>IFERROR(SUMIFS(T_TTAFStock[TTAF_Qty],T_TTAFStock[RM_Code],$A1085,T_TTAFStock[WeekIndex],66),"")</f>
        <v/>
      </c>
      <c r="BS1107">
        <f>IFERROR(SUMIFS(T_TTAFStock[TTAF_Qty],T_TTAFStock[RM_Code],$A1085,T_TTAFStock[WeekIndex],67),"")</f>
        <v/>
      </c>
      <c r="BT1107">
        <f>IFERROR(SUMIFS(T_TTAFStock[TTAF_Qty],T_TTAFStock[RM_Code],$A1085,T_TTAFStock[WeekIndex],68),"")</f>
        <v/>
      </c>
      <c r="BU1107">
        <f>IFERROR(SUMIFS(T_TTAFStock[TTAF_Qty],T_TTAFStock[RM_Code],$A1085,T_TTAFStock[WeekIndex],69),"")</f>
        <v/>
      </c>
      <c r="BV1107">
        <f>IFERROR(SUMIFS(T_TTAFStock[TTAF_Qty],T_TTAFStock[RM_Code],$A1085,T_TTAFStock[WeekIndex],70),"")</f>
        <v/>
      </c>
      <c r="BW1107">
        <f>IFERROR(SUMIFS(T_TTAFStock[TTAF_Qty],T_TTAFStock[RM_Code],$A1085,T_TTAFStock[WeekIndex],71),"")</f>
        <v/>
      </c>
      <c r="BX1107">
        <f>IFERROR(SUMIFS(T_TTAFStock[TTAF_Qty],T_TTAFStock[RM_Code],$A1085,T_TTAFStock[WeekIndex],72),"")</f>
        <v/>
      </c>
      <c r="BY1107">
        <f>IFERROR(SUMIFS(T_TTAFStock[TTAF_Qty],T_TTAFStock[RM_Code],$A1085,T_TTAFStock[WeekIndex],73),"")</f>
        <v/>
      </c>
      <c r="BZ1107">
        <f>IFERROR(SUMIFS(T_TTAFStock[TTAF_Qty],T_TTAFStock[RM_Code],$A1085,T_TTAFStock[WeekIndex],74),"")</f>
        <v/>
      </c>
      <c r="CA1107">
        <f>IFERROR(SUMIFS(T_TTAFStock[TTAF_Qty],T_TTAFStock[RM_Code],$A1085,T_TTAFStock[WeekIndex],75),"")</f>
        <v/>
      </c>
      <c r="CB1107">
        <f>IFERROR(SUMIFS(T_TTAFStock[TTAF_Qty],T_TTAFStock[RM_Code],$A1085,T_TTAFStock[WeekIndex],76),"")</f>
        <v/>
      </c>
      <c r="CC1107">
        <f>IFERROR(SUMIFS(T_TTAFStock[TTAF_Qty],T_TTAFStock[RM_Code],$A1085,T_TTAFStock[WeekIndex],77),"")</f>
        <v/>
      </c>
      <c r="CD1107">
        <f>IFERROR(SUMIFS(T_TTAFStock[TTAF_Qty],T_TTAFStock[RM_Code],$A1085,T_TTAFStock[WeekIndex],78),"")</f>
        <v/>
      </c>
      <c r="CE1107">
        <f>IFERROR(SUMIFS(T_TTAFStock[TTAF_Qty],T_TTAFStock[RM_Code],$A1085,T_TTAFStock[WeekIndex],79),"")</f>
        <v/>
      </c>
      <c r="CF1107">
        <f>IFERROR(SUMIFS(T_TTAFStock[TTAF_Qty],T_TTAFStock[RM_Code],$A1085,T_TTAFStock[WeekIndex],80),"")</f>
        <v/>
      </c>
      <c r="CG1107">
        <f>IFERROR(SUMIFS(T_TTAFStock[TTAF_Qty],T_TTAFStock[RM_Code],$A1085,T_TTAFStock[WeekIndex],81),"")</f>
        <v/>
      </c>
      <c r="CH1107">
        <f>IFERROR(SUMIFS(T_TTAFStock[TTAF_Qty],T_TTAFStock[RM_Code],$A1085,T_TTAFStock[WeekIndex],82),"")</f>
        <v/>
      </c>
      <c r="CI1107">
        <f>IFERROR(SUMIFS(T_TTAFStock[TTAF_Qty],T_TTAFStock[RM_Code],$A1085,T_TTAFStock[WeekIndex],83),"")</f>
        <v/>
      </c>
      <c r="CJ1107">
        <f>IFERROR(SUMIFS(T_TTAFStock[TTAF_Qty],T_TTAFStock[RM_Code],$A1085,T_TTAFStock[WeekIndex],84),"")</f>
        <v/>
      </c>
      <c r="CK1107">
        <f>IFERROR(SUMIFS(T_TTAFStock[TTAF_Qty],T_TTAFStock[RM_Code],$A1085,T_TTAFStock[WeekIndex],85),"")</f>
        <v/>
      </c>
      <c r="CL1107">
        <f>IFERROR(SUMIFS(T_TTAFStock[TTAF_Qty],T_TTAFStock[RM_Code],$A1085,T_TTAFStock[WeekIndex],86),"")</f>
        <v/>
      </c>
      <c r="CM1107">
        <f>IFERROR(SUMIFS(T_TTAFStock[TTAF_Qty],T_TTAFStock[RM_Code],$A1085,T_TTAFStock[WeekIndex],87),"")</f>
        <v/>
      </c>
      <c r="CN1107">
        <f>IFERROR(SUMIFS(T_TTAFStock[TTAF_Qty],T_TTAFStock[RM_Code],$A1085,T_TTAFStock[WeekIndex],88),"")</f>
        <v/>
      </c>
      <c r="CO1107">
        <f>IFERROR(SUMIFS(T_TTAFStock[TTAF_Qty],T_TTAFStock[RM_Code],$A1085,T_TTAFStock[WeekIndex],89),"")</f>
        <v/>
      </c>
      <c r="CP1107">
        <f>IFERROR(SUMIFS(T_TTAFStock[TTAF_Qty],T_TTAFStock[RM_Code],$A1085,T_TTAFStock[WeekIndex],90),"")</f>
        <v/>
      </c>
      <c r="CQ1107">
        <f>IFERROR(SUMIFS(T_TTAFStock[TTAF_Qty],T_TTAFStock[RM_Code],$A1085,T_TTAFStock[WeekIndex],91),"")</f>
        <v/>
      </c>
      <c r="CR1107">
        <f>IFERROR(SUMIFS(T_TTAFStock[TTAF_Qty],T_TTAFStock[RM_Code],$A1085,T_TTAFStock[WeekIndex],92),"")</f>
        <v/>
      </c>
      <c r="CS1107">
        <f>IFERROR(SUMIFS(T_TTAFStock[TTAF_Qty],T_TTAFStock[RM_Code],$A1085,T_TTAFStock[WeekIndex],93),"")</f>
        <v/>
      </c>
      <c r="CT1107">
        <f>IFERROR(SUMIFS(T_TTAFStock[TTAF_Qty],T_TTAFStock[RM_Code],$A1085,T_TTAFStock[WeekIndex],94),"")</f>
        <v/>
      </c>
      <c r="CU1107">
        <f>IFERROR(SUMIFS(T_TTAFStock[TTAF_Qty],T_TTAFStock[RM_Code],$A1085,T_TTAFStock[WeekIndex],95),"")</f>
        <v/>
      </c>
      <c r="CV1107">
        <f>IFERROR(SUMIFS(T_TTAFStock[TTAF_Qty],T_TTAFStock[RM_Code],$A1085,T_TTAFStock[WeekIndex],96),"")</f>
        <v/>
      </c>
      <c r="CW1107">
        <f>IFERROR(SUMIFS(T_TTAFStock[TTAF_Qty],T_TTAFStock[RM_Code],$A1085,T_TTAFStock[WeekIndex],97),"")</f>
        <v/>
      </c>
      <c r="CX1107">
        <f>IFERROR(SUMIFS(T_TTAFStock[TTAF_Qty],T_TTAFStock[RM_Code],$A1085,T_TTAFStock[WeekIndex],98),"")</f>
        <v/>
      </c>
      <c r="CY1107">
        <f>IFERROR(SUMIFS(T_TTAFStock[TTAF_Qty],T_TTAFStock[RM_Code],$A1085,T_TTAFStock[WeekIndex],99),"")</f>
        <v/>
      </c>
      <c r="CZ1107">
        <f>IFERROR(SUMIFS(T_TTAFStock[TTAF_Qty],T_TTAFStock[RM_Code],$A1085,T_TTAFStock[WeekIndex],100),"")</f>
        <v/>
      </c>
      <c r="DA1107">
        <f>IFERROR(SUMIFS(T_TTAFStock[TTAF_Qty],T_TTAFStock[RM_Code],$A1085,T_TTAFStock[WeekIndex],101),"")</f>
        <v/>
      </c>
      <c r="DB1107">
        <f>IFERROR(SUMIFS(T_TTAFStock[TTAF_Qty],T_TTAFStock[RM_Code],$A1085,T_TTAFStock[WeekIndex],102),"")</f>
        <v/>
      </c>
      <c r="DC1107">
        <f>IFERROR(SUMIFS(T_TTAFStock[TTAF_Qty],T_TTAFStock[RM_Code],$A1085,T_TTAFStock[WeekIndex],103),"")</f>
        <v/>
      </c>
      <c r="DD1107">
        <f>IFERROR(SUMIFS(T_TTAFStock[TTAF_Qty],T_TTAFStock[RM_Code],$A1085,T_TTAFStock[WeekIndex],104),"")</f>
        <v/>
      </c>
    </row>
    <row r="1108">
      <c r="B1108" t="inlineStr">
        <is>
          <t>自社在庫(実績,kg)</t>
        </is>
      </c>
      <c r="D1108">
        <f>IFERROR(INDEX(E1108:DD1108,$F$1),"")</f>
        <v/>
      </c>
      <c r="E1108">
        <f>IFERROR(SUMIFS(T_SelfStock[Self_Qty],T_SelfStock[RM_Code],$A1085,T_SelfStock[WeekIndex],1),"")</f>
        <v/>
      </c>
      <c r="F1108">
        <f>IFERROR(SUMIFS(T_SelfStock[Self_Qty],T_SelfStock[RM_Code],$A1085,T_SelfStock[WeekIndex],2),"")</f>
        <v/>
      </c>
      <c r="G1108">
        <f>IFERROR(SUMIFS(T_SelfStock[Self_Qty],T_SelfStock[RM_Code],$A1085,T_SelfStock[WeekIndex],3),"")</f>
        <v/>
      </c>
      <c r="H1108">
        <f>IFERROR(SUMIFS(T_SelfStock[Self_Qty],T_SelfStock[RM_Code],$A1085,T_SelfStock[WeekIndex],4),"")</f>
        <v/>
      </c>
      <c r="I1108">
        <f>IFERROR(SUMIFS(T_SelfStock[Self_Qty],T_SelfStock[RM_Code],$A1085,T_SelfStock[WeekIndex],5),"")</f>
        <v/>
      </c>
      <c r="J1108">
        <f>IFERROR(SUMIFS(T_SelfStock[Self_Qty],T_SelfStock[RM_Code],$A1085,T_SelfStock[WeekIndex],6),"")</f>
        <v/>
      </c>
      <c r="K1108">
        <f>IFERROR(SUMIFS(T_SelfStock[Self_Qty],T_SelfStock[RM_Code],$A1085,T_SelfStock[WeekIndex],7),"")</f>
        <v/>
      </c>
      <c r="L1108">
        <f>IFERROR(SUMIFS(T_SelfStock[Self_Qty],T_SelfStock[RM_Code],$A1085,T_SelfStock[WeekIndex],8),"")</f>
        <v/>
      </c>
      <c r="M1108">
        <f>IFERROR(SUMIFS(T_SelfStock[Self_Qty],T_SelfStock[RM_Code],$A1085,T_SelfStock[WeekIndex],9),"")</f>
        <v/>
      </c>
      <c r="N1108">
        <f>IFERROR(SUMIFS(T_SelfStock[Self_Qty],T_SelfStock[RM_Code],$A1085,T_SelfStock[WeekIndex],10),"")</f>
        <v/>
      </c>
      <c r="O1108">
        <f>IFERROR(SUMIFS(T_SelfStock[Self_Qty],T_SelfStock[RM_Code],$A1085,T_SelfStock[WeekIndex],11),"")</f>
        <v/>
      </c>
      <c r="P1108">
        <f>IFERROR(SUMIFS(T_SelfStock[Self_Qty],T_SelfStock[RM_Code],$A1085,T_SelfStock[WeekIndex],12),"")</f>
        <v/>
      </c>
      <c r="Q1108">
        <f>IFERROR(SUMIFS(T_SelfStock[Self_Qty],T_SelfStock[RM_Code],$A1085,T_SelfStock[WeekIndex],13),"")</f>
        <v/>
      </c>
      <c r="R1108">
        <f>IFERROR(SUMIFS(T_SelfStock[Self_Qty],T_SelfStock[RM_Code],$A1085,T_SelfStock[WeekIndex],14),"")</f>
        <v/>
      </c>
      <c r="S1108">
        <f>IFERROR(SUMIFS(T_SelfStock[Self_Qty],T_SelfStock[RM_Code],$A1085,T_SelfStock[WeekIndex],15),"")</f>
        <v/>
      </c>
      <c r="T1108">
        <f>IFERROR(SUMIFS(T_SelfStock[Self_Qty],T_SelfStock[RM_Code],$A1085,T_SelfStock[WeekIndex],16),"")</f>
        <v/>
      </c>
      <c r="U1108">
        <f>IFERROR(SUMIFS(T_SelfStock[Self_Qty],T_SelfStock[RM_Code],$A1085,T_SelfStock[WeekIndex],17),"")</f>
        <v/>
      </c>
      <c r="V1108">
        <f>IFERROR(SUMIFS(T_SelfStock[Self_Qty],T_SelfStock[RM_Code],$A1085,T_SelfStock[WeekIndex],18),"")</f>
        <v/>
      </c>
      <c r="W1108">
        <f>IFERROR(SUMIFS(T_SelfStock[Self_Qty],T_SelfStock[RM_Code],$A1085,T_SelfStock[WeekIndex],19),"")</f>
        <v/>
      </c>
      <c r="X1108">
        <f>IFERROR(SUMIFS(T_SelfStock[Self_Qty],T_SelfStock[RM_Code],$A1085,T_SelfStock[WeekIndex],20),"")</f>
        <v/>
      </c>
      <c r="Y1108">
        <f>IFERROR(SUMIFS(T_SelfStock[Self_Qty],T_SelfStock[RM_Code],$A1085,T_SelfStock[WeekIndex],21),"")</f>
        <v/>
      </c>
      <c r="Z1108">
        <f>IFERROR(SUMIFS(T_SelfStock[Self_Qty],T_SelfStock[RM_Code],$A1085,T_SelfStock[WeekIndex],22),"")</f>
        <v/>
      </c>
      <c r="AA1108">
        <f>IFERROR(SUMIFS(T_SelfStock[Self_Qty],T_SelfStock[RM_Code],$A1085,T_SelfStock[WeekIndex],23),"")</f>
        <v/>
      </c>
      <c r="AB1108">
        <f>IFERROR(SUMIFS(T_SelfStock[Self_Qty],T_SelfStock[RM_Code],$A1085,T_SelfStock[WeekIndex],24),"")</f>
        <v/>
      </c>
      <c r="AC1108">
        <f>IFERROR(SUMIFS(T_SelfStock[Self_Qty],T_SelfStock[RM_Code],$A1085,T_SelfStock[WeekIndex],25),"")</f>
        <v/>
      </c>
      <c r="AD1108">
        <f>IFERROR(SUMIFS(T_SelfStock[Self_Qty],T_SelfStock[RM_Code],$A1085,T_SelfStock[WeekIndex],26),"")</f>
        <v/>
      </c>
      <c r="AE1108">
        <f>IFERROR(SUMIFS(T_SelfStock[Self_Qty],T_SelfStock[RM_Code],$A1085,T_SelfStock[WeekIndex],27),"")</f>
        <v/>
      </c>
      <c r="AF1108">
        <f>IFERROR(SUMIFS(T_SelfStock[Self_Qty],T_SelfStock[RM_Code],$A1085,T_SelfStock[WeekIndex],28),"")</f>
        <v/>
      </c>
      <c r="AG1108">
        <f>IFERROR(SUMIFS(T_SelfStock[Self_Qty],T_SelfStock[RM_Code],$A1085,T_SelfStock[WeekIndex],29),"")</f>
        <v/>
      </c>
      <c r="AH1108">
        <f>IFERROR(SUMIFS(T_SelfStock[Self_Qty],T_SelfStock[RM_Code],$A1085,T_SelfStock[WeekIndex],30),"")</f>
        <v/>
      </c>
      <c r="AI1108">
        <f>IFERROR(SUMIFS(T_SelfStock[Self_Qty],T_SelfStock[RM_Code],$A1085,T_SelfStock[WeekIndex],31),"")</f>
        <v/>
      </c>
      <c r="AJ1108">
        <f>IFERROR(SUMIFS(T_SelfStock[Self_Qty],T_SelfStock[RM_Code],$A1085,T_SelfStock[WeekIndex],32),"")</f>
        <v/>
      </c>
      <c r="AK1108">
        <f>IFERROR(SUMIFS(T_SelfStock[Self_Qty],T_SelfStock[RM_Code],$A1085,T_SelfStock[WeekIndex],33),"")</f>
        <v/>
      </c>
      <c r="AL1108">
        <f>IFERROR(SUMIFS(T_SelfStock[Self_Qty],T_SelfStock[RM_Code],$A1085,T_SelfStock[WeekIndex],34),"")</f>
        <v/>
      </c>
      <c r="AM1108">
        <f>IFERROR(SUMIFS(T_SelfStock[Self_Qty],T_SelfStock[RM_Code],$A1085,T_SelfStock[WeekIndex],35),"")</f>
        <v/>
      </c>
      <c r="AN1108">
        <f>IFERROR(SUMIFS(T_SelfStock[Self_Qty],T_SelfStock[RM_Code],$A1085,T_SelfStock[WeekIndex],36),"")</f>
        <v/>
      </c>
      <c r="AO1108">
        <f>IFERROR(SUMIFS(T_SelfStock[Self_Qty],T_SelfStock[RM_Code],$A1085,T_SelfStock[WeekIndex],37),"")</f>
        <v/>
      </c>
      <c r="AP1108">
        <f>IFERROR(SUMIFS(T_SelfStock[Self_Qty],T_SelfStock[RM_Code],$A1085,T_SelfStock[WeekIndex],38),"")</f>
        <v/>
      </c>
      <c r="AQ1108">
        <f>IFERROR(SUMIFS(T_SelfStock[Self_Qty],T_SelfStock[RM_Code],$A1085,T_SelfStock[WeekIndex],39),"")</f>
        <v/>
      </c>
      <c r="AR1108">
        <f>IFERROR(SUMIFS(T_SelfStock[Self_Qty],T_SelfStock[RM_Code],$A1085,T_SelfStock[WeekIndex],40),"")</f>
        <v/>
      </c>
      <c r="AS1108">
        <f>IFERROR(SUMIFS(T_SelfStock[Self_Qty],T_SelfStock[RM_Code],$A1085,T_SelfStock[WeekIndex],41),"")</f>
        <v/>
      </c>
      <c r="AT1108">
        <f>IFERROR(SUMIFS(T_SelfStock[Self_Qty],T_SelfStock[RM_Code],$A1085,T_SelfStock[WeekIndex],42),"")</f>
        <v/>
      </c>
      <c r="AU1108">
        <f>IFERROR(SUMIFS(T_SelfStock[Self_Qty],T_SelfStock[RM_Code],$A1085,T_SelfStock[WeekIndex],43),"")</f>
        <v/>
      </c>
      <c r="AV1108">
        <f>IFERROR(SUMIFS(T_SelfStock[Self_Qty],T_SelfStock[RM_Code],$A1085,T_SelfStock[WeekIndex],44),"")</f>
        <v/>
      </c>
      <c r="AW1108">
        <f>IFERROR(SUMIFS(T_SelfStock[Self_Qty],T_SelfStock[RM_Code],$A1085,T_SelfStock[WeekIndex],45),"")</f>
        <v/>
      </c>
      <c r="AX1108">
        <f>IFERROR(SUMIFS(T_SelfStock[Self_Qty],T_SelfStock[RM_Code],$A1085,T_SelfStock[WeekIndex],46),"")</f>
        <v/>
      </c>
      <c r="AY1108">
        <f>IFERROR(SUMIFS(T_SelfStock[Self_Qty],T_SelfStock[RM_Code],$A1085,T_SelfStock[WeekIndex],47),"")</f>
        <v/>
      </c>
      <c r="AZ1108">
        <f>IFERROR(SUMIFS(T_SelfStock[Self_Qty],T_SelfStock[RM_Code],$A1085,T_SelfStock[WeekIndex],48),"")</f>
        <v/>
      </c>
      <c r="BA1108">
        <f>IFERROR(SUMIFS(T_SelfStock[Self_Qty],T_SelfStock[RM_Code],$A1085,T_SelfStock[WeekIndex],49),"")</f>
        <v/>
      </c>
      <c r="BB1108">
        <f>IFERROR(SUMIFS(T_SelfStock[Self_Qty],T_SelfStock[RM_Code],$A1085,T_SelfStock[WeekIndex],50),"")</f>
        <v/>
      </c>
      <c r="BC1108">
        <f>IFERROR(SUMIFS(T_SelfStock[Self_Qty],T_SelfStock[RM_Code],$A1085,T_SelfStock[WeekIndex],51),"")</f>
        <v/>
      </c>
      <c r="BD1108">
        <f>IFERROR(SUMIFS(T_SelfStock[Self_Qty],T_SelfStock[RM_Code],$A1085,T_SelfStock[WeekIndex],52),"")</f>
        <v/>
      </c>
      <c r="BE1108">
        <f>IFERROR(SUMIFS(T_SelfStock[Self_Qty],T_SelfStock[RM_Code],$A1085,T_SelfStock[WeekIndex],53),"")</f>
        <v/>
      </c>
      <c r="BF1108">
        <f>IFERROR(SUMIFS(T_SelfStock[Self_Qty],T_SelfStock[RM_Code],$A1085,T_SelfStock[WeekIndex],54),"")</f>
        <v/>
      </c>
      <c r="BG1108">
        <f>IFERROR(SUMIFS(T_SelfStock[Self_Qty],T_SelfStock[RM_Code],$A1085,T_SelfStock[WeekIndex],55),"")</f>
        <v/>
      </c>
      <c r="BH1108">
        <f>IFERROR(SUMIFS(T_SelfStock[Self_Qty],T_SelfStock[RM_Code],$A1085,T_SelfStock[WeekIndex],56),"")</f>
        <v/>
      </c>
      <c r="BI1108">
        <f>IFERROR(SUMIFS(T_SelfStock[Self_Qty],T_SelfStock[RM_Code],$A1085,T_SelfStock[WeekIndex],57),"")</f>
        <v/>
      </c>
      <c r="BJ1108">
        <f>IFERROR(SUMIFS(T_SelfStock[Self_Qty],T_SelfStock[RM_Code],$A1085,T_SelfStock[WeekIndex],58),"")</f>
        <v/>
      </c>
      <c r="BK1108">
        <f>IFERROR(SUMIFS(T_SelfStock[Self_Qty],T_SelfStock[RM_Code],$A1085,T_SelfStock[WeekIndex],59),"")</f>
        <v/>
      </c>
      <c r="BL1108">
        <f>IFERROR(SUMIFS(T_SelfStock[Self_Qty],T_SelfStock[RM_Code],$A1085,T_SelfStock[WeekIndex],60),"")</f>
        <v/>
      </c>
      <c r="BM1108">
        <f>IFERROR(SUMIFS(T_SelfStock[Self_Qty],T_SelfStock[RM_Code],$A1085,T_SelfStock[WeekIndex],61),"")</f>
        <v/>
      </c>
      <c r="BN1108">
        <f>IFERROR(SUMIFS(T_SelfStock[Self_Qty],T_SelfStock[RM_Code],$A1085,T_SelfStock[WeekIndex],62),"")</f>
        <v/>
      </c>
      <c r="BO1108">
        <f>IFERROR(SUMIFS(T_SelfStock[Self_Qty],T_SelfStock[RM_Code],$A1085,T_SelfStock[WeekIndex],63),"")</f>
        <v/>
      </c>
      <c r="BP1108">
        <f>IFERROR(SUMIFS(T_SelfStock[Self_Qty],T_SelfStock[RM_Code],$A1085,T_SelfStock[WeekIndex],64),"")</f>
        <v/>
      </c>
      <c r="BQ1108">
        <f>IFERROR(SUMIFS(T_SelfStock[Self_Qty],T_SelfStock[RM_Code],$A1085,T_SelfStock[WeekIndex],65),"")</f>
        <v/>
      </c>
      <c r="BR1108">
        <f>IFERROR(SUMIFS(T_SelfStock[Self_Qty],T_SelfStock[RM_Code],$A1085,T_SelfStock[WeekIndex],66),"")</f>
        <v/>
      </c>
      <c r="BS1108">
        <f>IFERROR(SUMIFS(T_SelfStock[Self_Qty],T_SelfStock[RM_Code],$A1085,T_SelfStock[WeekIndex],67),"")</f>
        <v/>
      </c>
      <c r="BT1108">
        <f>IFERROR(SUMIFS(T_SelfStock[Self_Qty],T_SelfStock[RM_Code],$A1085,T_SelfStock[WeekIndex],68),"")</f>
        <v/>
      </c>
      <c r="BU1108">
        <f>IFERROR(SUMIFS(T_SelfStock[Self_Qty],T_SelfStock[RM_Code],$A1085,T_SelfStock[WeekIndex],69),"")</f>
        <v/>
      </c>
      <c r="BV1108">
        <f>IFERROR(SUMIFS(T_SelfStock[Self_Qty],T_SelfStock[RM_Code],$A1085,T_SelfStock[WeekIndex],70),"")</f>
        <v/>
      </c>
      <c r="BW1108">
        <f>IFERROR(SUMIFS(T_SelfStock[Self_Qty],T_SelfStock[RM_Code],$A1085,T_SelfStock[WeekIndex],71),"")</f>
        <v/>
      </c>
      <c r="BX1108">
        <f>IFERROR(SUMIFS(T_SelfStock[Self_Qty],T_SelfStock[RM_Code],$A1085,T_SelfStock[WeekIndex],72),"")</f>
        <v/>
      </c>
      <c r="BY1108">
        <f>IFERROR(SUMIFS(T_SelfStock[Self_Qty],T_SelfStock[RM_Code],$A1085,T_SelfStock[WeekIndex],73),"")</f>
        <v/>
      </c>
      <c r="BZ1108">
        <f>IFERROR(SUMIFS(T_SelfStock[Self_Qty],T_SelfStock[RM_Code],$A1085,T_SelfStock[WeekIndex],74),"")</f>
        <v/>
      </c>
      <c r="CA1108">
        <f>IFERROR(SUMIFS(T_SelfStock[Self_Qty],T_SelfStock[RM_Code],$A1085,T_SelfStock[WeekIndex],75),"")</f>
        <v/>
      </c>
      <c r="CB1108">
        <f>IFERROR(SUMIFS(T_SelfStock[Self_Qty],T_SelfStock[RM_Code],$A1085,T_SelfStock[WeekIndex],76),"")</f>
        <v/>
      </c>
      <c r="CC1108">
        <f>IFERROR(SUMIFS(T_SelfStock[Self_Qty],T_SelfStock[RM_Code],$A1085,T_SelfStock[WeekIndex],77),"")</f>
        <v/>
      </c>
      <c r="CD1108">
        <f>IFERROR(SUMIFS(T_SelfStock[Self_Qty],T_SelfStock[RM_Code],$A1085,T_SelfStock[WeekIndex],78),"")</f>
        <v/>
      </c>
      <c r="CE1108">
        <f>IFERROR(SUMIFS(T_SelfStock[Self_Qty],T_SelfStock[RM_Code],$A1085,T_SelfStock[WeekIndex],79),"")</f>
        <v/>
      </c>
      <c r="CF1108">
        <f>IFERROR(SUMIFS(T_SelfStock[Self_Qty],T_SelfStock[RM_Code],$A1085,T_SelfStock[WeekIndex],80),"")</f>
        <v/>
      </c>
      <c r="CG1108">
        <f>IFERROR(SUMIFS(T_SelfStock[Self_Qty],T_SelfStock[RM_Code],$A1085,T_SelfStock[WeekIndex],81),"")</f>
        <v/>
      </c>
      <c r="CH1108">
        <f>IFERROR(SUMIFS(T_SelfStock[Self_Qty],T_SelfStock[RM_Code],$A1085,T_SelfStock[WeekIndex],82),"")</f>
        <v/>
      </c>
      <c r="CI1108">
        <f>IFERROR(SUMIFS(T_SelfStock[Self_Qty],T_SelfStock[RM_Code],$A1085,T_SelfStock[WeekIndex],83),"")</f>
        <v/>
      </c>
      <c r="CJ1108">
        <f>IFERROR(SUMIFS(T_SelfStock[Self_Qty],T_SelfStock[RM_Code],$A1085,T_SelfStock[WeekIndex],84),"")</f>
        <v/>
      </c>
      <c r="CK1108">
        <f>IFERROR(SUMIFS(T_SelfStock[Self_Qty],T_SelfStock[RM_Code],$A1085,T_SelfStock[WeekIndex],85),"")</f>
        <v/>
      </c>
      <c r="CL1108">
        <f>IFERROR(SUMIFS(T_SelfStock[Self_Qty],T_SelfStock[RM_Code],$A1085,T_SelfStock[WeekIndex],86),"")</f>
        <v/>
      </c>
      <c r="CM1108">
        <f>IFERROR(SUMIFS(T_SelfStock[Self_Qty],T_SelfStock[RM_Code],$A1085,T_SelfStock[WeekIndex],87),"")</f>
        <v/>
      </c>
      <c r="CN1108">
        <f>IFERROR(SUMIFS(T_SelfStock[Self_Qty],T_SelfStock[RM_Code],$A1085,T_SelfStock[WeekIndex],88),"")</f>
        <v/>
      </c>
      <c r="CO1108">
        <f>IFERROR(SUMIFS(T_SelfStock[Self_Qty],T_SelfStock[RM_Code],$A1085,T_SelfStock[WeekIndex],89),"")</f>
        <v/>
      </c>
      <c r="CP1108">
        <f>IFERROR(SUMIFS(T_SelfStock[Self_Qty],T_SelfStock[RM_Code],$A1085,T_SelfStock[WeekIndex],90),"")</f>
        <v/>
      </c>
      <c r="CQ1108">
        <f>IFERROR(SUMIFS(T_SelfStock[Self_Qty],T_SelfStock[RM_Code],$A1085,T_SelfStock[WeekIndex],91),"")</f>
        <v/>
      </c>
      <c r="CR1108">
        <f>IFERROR(SUMIFS(T_SelfStock[Self_Qty],T_SelfStock[RM_Code],$A1085,T_SelfStock[WeekIndex],92),"")</f>
        <v/>
      </c>
      <c r="CS1108">
        <f>IFERROR(SUMIFS(T_SelfStock[Self_Qty],T_SelfStock[RM_Code],$A1085,T_SelfStock[WeekIndex],93),"")</f>
        <v/>
      </c>
      <c r="CT1108">
        <f>IFERROR(SUMIFS(T_SelfStock[Self_Qty],T_SelfStock[RM_Code],$A1085,T_SelfStock[WeekIndex],94),"")</f>
        <v/>
      </c>
      <c r="CU1108">
        <f>IFERROR(SUMIFS(T_SelfStock[Self_Qty],T_SelfStock[RM_Code],$A1085,T_SelfStock[WeekIndex],95),"")</f>
        <v/>
      </c>
      <c r="CV1108">
        <f>IFERROR(SUMIFS(T_SelfStock[Self_Qty],T_SelfStock[RM_Code],$A1085,T_SelfStock[WeekIndex],96),"")</f>
        <v/>
      </c>
      <c r="CW1108">
        <f>IFERROR(SUMIFS(T_SelfStock[Self_Qty],T_SelfStock[RM_Code],$A1085,T_SelfStock[WeekIndex],97),"")</f>
        <v/>
      </c>
      <c r="CX1108">
        <f>IFERROR(SUMIFS(T_SelfStock[Self_Qty],T_SelfStock[RM_Code],$A1085,T_SelfStock[WeekIndex],98),"")</f>
        <v/>
      </c>
      <c r="CY1108">
        <f>IFERROR(SUMIFS(T_SelfStock[Self_Qty],T_SelfStock[RM_Code],$A1085,T_SelfStock[WeekIndex],99),"")</f>
        <v/>
      </c>
      <c r="CZ1108">
        <f>IFERROR(SUMIFS(T_SelfStock[Self_Qty],T_SelfStock[RM_Code],$A1085,T_SelfStock[WeekIndex],100),"")</f>
        <v/>
      </c>
      <c r="DA1108">
        <f>IFERROR(SUMIFS(T_SelfStock[Self_Qty],T_SelfStock[RM_Code],$A1085,T_SelfStock[WeekIndex],101),"")</f>
        <v/>
      </c>
      <c r="DB1108">
        <f>IFERROR(SUMIFS(T_SelfStock[Self_Qty],T_SelfStock[RM_Code],$A1085,T_SelfStock[WeekIndex],102),"")</f>
        <v/>
      </c>
      <c r="DC1108">
        <f>IFERROR(SUMIFS(T_SelfStock[Self_Qty],T_SelfStock[RM_Code],$A1085,T_SelfStock[WeekIndex],103),"")</f>
        <v/>
      </c>
      <c r="DD1108">
        <f>IFERROR(SUMIFS(T_SelfStock[Self_Qty],T_SelfStock[RM_Code],$A1085,T_SelfStock[WeekIndex],104),"")</f>
        <v/>
      </c>
    </row>
    <row r="1109">
      <c r="B1109" s="4" t="inlineStr">
        <is>
          <t>合計在庫(週末時点,kg)</t>
        </is>
      </c>
      <c r="D1109" s="24">
        <f>IFERROR(INDEX(E1109:DD1109,$F$1),"")</f>
        <v/>
      </c>
      <c r="E1109">
        <f>'Grid_Stock'!B24</f>
        <v/>
      </c>
      <c r="F1109">
        <f>'Grid_Stock'!C24</f>
        <v/>
      </c>
      <c r="G1109">
        <f>'Grid_Stock'!D24</f>
        <v/>
      </c>
      <c r="H1109">
        <f>'Grid_Stock'!E24</f>
        <v/>
      </c>
      <c r="I1109">
        <f>'Grid_Stock'!F24</f>
        <v/>
      </c>
      <c r="J1109">
        <f>'Grid_Stock'!G24</f>
        <v/>
      </c>
      <c r="K1109">
        <f>'Grid_Stock'!H24</f>
        <v/>
      </c>
      <c r="L1109">
        <f>'Grid_Stock'!I24</f>
        <v/>
      </c>
      <c r="M1109">
        <f>'Grid_Stock'!J24</f>
        <v/>
      </c>
      <c r="N1109">
        <f>'Grid_Stock'!K24</f>
        <v/>
      </c>
      <c r="O1109">
        <f>'Grid_Stock'!L24</f>
        <v/>
      </c>
      <c r="P1109">
        <f>'Grid_Stock'!M24</f>
        <v/>
      </c>
      <c r="Q1109">
        <f>'Grid_Stock'!N24</f>
        <v/>
      </c>
      <c r="R1109">
        <f>'Grid_Stock'!O24</f>
        <v/>
      </c>
      <c r="S1109">
        <f>'Grid_Stock'!P24</f>
        <v/>
      </c>
      <c r="T1109">
        <f>'Grid_Stock'!Q24</f>
        <v/>
      </c>
      <c r="U1109">
        <f>'Grid_Stock'!R24</f>
        <v/>
      </c>
      <c r="V1109">
        <f>'Grid_Stock'!S24</f>
        <v/>
      </c>
      <c r="W1109">
        <f>'Grid_Stock'!T24</f>
        <v/>
      </c>
      <c r="X1109">
        <f>'Grid_Stock'!U24</f>
        <v/>
      </c>
      <c r="Y1109">
        <f>'Grid_Stock'!V24</f>
        <v/>
      </c>
      <c r="Z1109">
        <f>'Grid_Stock'!W24</f>
        <v/>
      </c>
      <c r="AA1109">
        <f>'Grid_Stock'!X24</f>
        <v/>
      </c>
      <c r="AB1109">
        <f>'Grid_Stock'!Y24</f>
        <v/>
      </c>
      <c r="AC1109">
        <f>'Grid_Stock'!Z24</f>
        <v/>
      </c>
      <c r="AD1109">
        <f>'Grid_Stock'!AA24</f>
        <v/>
      </c>
      <c r="AE1109">
        <f>'Grid_Stock'!AB24</f>
        <v/>
      </c>
      <c r="AF1109">
        <f>'Grid_Stock'!AC24</f>
        <v/>
      </c>
      <c r="AG1109">
        <f>'Grid_Stock'!AD24</f>
        <v/>
      </c>
      <c r="AH1109">
        <f>'Grid_Stock'!AE24</f>
        <v/>
      </c>
      <c r="AI1109">
        <f>'Grid_Stock'!AF24</f>
        <v/>
      </c>
      <c r="AJ1109">
        <f>'Grid_Stock'!AG24</f>
        <v/>
      </c>
      <c r="AK1109">
        <f>'Grid_Stock'!AH24</f>
        <v/>
      </c>
      <c r="AL1109">
        <f>'Grid_Stock'!AI24</f>
        <v/>
      </c>
      <c r="AM1109">
        <f>'Grid_Stock'!AJ24</f>
        <v/>
      </c>
      <c r="AN1109">
        <f>'Grid_Stock'!AK24</f>
        <v/>
      </c>
      <c r="AO1109">
        <f>'Grid_Stock'!AL24</f>
        <v/>
      </c>
      <c r="AP1109">
        <f>'Grid_Stock'!AM24</f>
        <v/>
      </c>
      <c r="AQ1109">
        <f>'Grid_Stock'!AN24</f>
        <v/>
      </c>
      <c r="AR1109">
        <f>'Grid_Stock'!AO24</f>
        <v/>
      </c>
      <c r="AS1109">
        <f>'Grid_Stock'!AP24</f>
        <v/>
      </c>
      <c r="AT1109">
        <f>'Grid_Stock'!AQ24</f>
        <v/>
      </c>
      <c r="AU1109">
        <f>'Grid_Stock'!AR24</f>
        <v/>
      </c>
      <c r="AV1109">
        <f>'Grid_Stock'!AS24</f>
        <v/>
      </c>
      <c r="AW1109">
        <f>'Grid_Stock'!AT24</f>
        <v/>
      </c>
      <c r="AX1109">
        <f>'Grid_Stock'!AU24</f>
        <v/>
      </c>
      <c r="AY1109">
        <f>'Grid_Stock'!AV24</f>
        <v/>
      </c>
      <c r="AZ1109">
        <f>'Grid_Stock'!AW24</f>
        <v/>
      </c>
      <c r="BA1109">
        <f>'Grid_Stock'!AX24</f>
        <v/>
      </c>
      <c r="BB1109">
        <f>'Grid_Stock'!AY24</f>
        <v/>
      </c>
      <c r="BC1109">
        <f>'Grid_Stock'!AZ24</f>
        <v/>
      </c>
      <c r="BD1109">
        <f>'Grid_Stock'!BA24</f>
        <v/>
      </c>
      <c r="BE1109">
        <f>'Grid_Stock'!BB24</f>
        <v/>
      </c>
      <c r="BF1109">
        <f>'Grid_Stock'!BC24</f>
        <v/>
      </c>
      <c r="BG1109">
        <f>'Grid_Stock'!BD24</f>
        <v/>
      </c>
      <c r="BH1109">
        <f>'Grid_Stock'!BE24</f>
        <v/>
      </c>
      <c r="BI1109">
        <f>'Grid_Stock'!BF24</f>
        <v/>
      </c>
      <c r="BJ1109">
        <f>'Grid_Stock'!BG24</f>
        <v/>
      </c>
      <c r="BK1109">
        <f>'Grid_Stock'!BH24</f>
        <v/>
      </c>
      <c r="BL1109">
        <f>'Grid_Stock'!BI24</f>
        <v/>
      </c>
      <c r="BM1109">
        <f>'Grid_Stock'!BJ24</f>
        <v/>
      </c>
      <c r="BN1109">
        <f>'Grid_Stock'!BK24</f>
        <v/>
      </c>
      <c r="BO1109">
        <f>'Grid_Stock'!BL24</f>
        <v/>
      </c>
      <c r="BP1109">
        <f>'Grid_Stock'!BM24</f>
        <v/>
      </c>
      <c r="BQ1109">
        <f>'Grid_Stock'!BN24</f>
        <v/>
      </c>
      <c r="BR1109">
        <f>'Grid_Stock'!BO24</f>
        <v/>
      </c>
      <c r="BS1109">
        <f>'Grid_Stock'!BP24</f>
        <v/>
      </c>
      <c r="BT1109">
        <f>'Grid_Stock'!BQ24</f>
        <v/>
      </c>
      <c r="BU1109">
        <f>'Grid_Stock'!BR24</f>
        <v/>
      </c>
      <c r="BV1109">
        <f>'Grid_Stock'!BS24</f>
        <v/>
      </c>
      <c r="BW1109">
        <f>'Grid_Stock'!BT24</f>
        <v/>
      </c>
      <c r="BX1109">
        <f>'Grid_Stock'!BU24</f>
        <v/>
      </c>
      <c r="BY1109">
        <f>'Grid_Stock'!BV24</f>
        <v/>
      </c>
      <c r="BZ1109">
        <f>'Grid_Stock'!BW24</f>
        <v/>
      </c>
      <c r="CA1109">
        <f>'Grid_Stock'!BX24</f>
        <v/>
      </c>
      <c r="CB1109">
        <f>'Grid_Stock'!BY24</f>
        <v/>
      </c>
      <c r="CC1109">
        <f>'Grid_Stock'!BZ24</f>
        <v/>
      </c>
      <c r="CD1109">
        <f>'Grid_Stock'!CA24</f>
        <v/>
      </c>
      <c r="CE1109">
        <f>'Grid_Stock'!CB24</f>
        <v/>
      </c>
      <c r="CF1109">
        <f>'Grid_Stock'!CC24</f>
        <v/>
      </c>
      <c r="CG1109">
        <f>'Grid_Stock'!CD24</f>
        <v/>
      </c>
      <c r="CH1109">
        <f>'Grid_Stock'!CE24</f>
        <v/>
      </c>
      <c r="CI1109">
        <f>'Grid_Stock'!CF24</f>
        <v/>
      </c>
      <c r="CJ1109">
        <f>'Grid_Stock'!CG24</f>
        <v/>
      </c>
      <c r="CK1109">
        <f>'Grid_Stock'!CH24</f>
        <v/>
      </c>
      <c r="CL1109">
        <f>'Grid_Stock'!CI24</f>
        <v/>
      </c>
      <c r="CM1109">
        <f>'Grid_Stock'!CJ24</f>
        <v/>
      </c>
      <c r="CN1109">
        <f>'Grid_Stock'!CK24</f>
        <v/>
      </c>
      <c r="CO1109">
        <f>'Grid_Stock'!CL24</f>
        <v/>
      </c>
      <c r="CP1109">
        <f>'Grid_Stock'!CM24</f>
        <v/>
      </c>
      <c r="CQ1109">
        <f>'Grid_Stock'!CN24</f>
        <v/>
      </c>
      <c r="CR1109">
        <f>'Grid_Stock'!CO24</f>
        <v/>
      </c>
      <c r="CS1109">
        <f>'Grid_Stock'!CP24</f>
        <v/>
      </c>
      <c r="CT1109">
        <f>'Grid_Stock'!CQ24</f>
        <v/>
      </c>
      <c r="CU1109">
        <f>'Grid_Stock'!CR24</f>
        <v/>
      </c>
      <c r="CV1109">
        <f>'Grid_Stock'!CS24</f>
        <v/>
      </c>
      <c r="CW1109">
        <f>'Grid_Stock'!CT24</f>
        <v/>
      </c>
      <c r="CX1109">
        <f>'Grid_Stock'!CU24</f>
        <v/>
      </c>
      <c r="CY1109">
        <f>'Grid_Stock'!CV24</f>
        <v/>
      </c>
      <c r="CZ1109">
        <f>'Grid_Stock'!CW24</f>
        <v/>
      </c>
      <c r="DA1109">
        <f>'Grid_Stock'!CX24</f>
        <v/>
      </c>
      <c r="DB1109">
        <f>'Grid_Stock'!CY24</f>
        <v/>
      </c>
      <c r="DC1109">
        <f>'Grid_Stock'!CZ24</f>
        <v/>
      </c>
      <c r="DD1109">
        <f>'Grid_Stock'!DA24</f>
        <v/>
      </c>
    </row>
    <row r="1110">
      <c r="B1110" s="25" t="inlineStr">
        <is>
          <t>（発注の目安はDashboardの基準在庫[下限/上限]と色分けを参照）</t>
        </is>
      </c>
    </row>
    <row r="1112">
      <c r="A1112" s="21" t="inlineStr">
        <is>
          <t>CHEM-1560</t>
        </is>
      </c>
      <c r="B1112" s="21" t="inlineStr">
        <is>
          <t>TPZ-511</t>
        </is>
      </c>
      <c r="C1112" s="22" t="n"/>
      <c r="D1112" s="21" t="n"/>
      <c r="E1112" s="21" t="n"/>
      <c r="F1112" s="21" t="n"/>
      <c r="G1112" s="21" t="n"/>
      <c r="H1112" s="21" t="n"/>
      <c r="I1112" s="21" t="n"/>
      <c r="J1112" s="21" t="n"/>
      <c r="K1112" s="21" t="n"/>
      <c r="L1112" s="21" t="n"/>
      <c r="M1112" s="21" t="n"/>
      <c r="N1112" s="21" t="n"/>
      <c r="O1112" s="21" t="n"/>
      <c r="P1112" s="21" t="n"/>
      <c r="Q1112" s="21" t="n"/>
      <c r="R1112" s="21" t="n"/>
      <c r="S1112" s="21" t="n"/>
      <c r="T1112" s="21" t="n"/>
      <c r="U1112" s="21" t="n"/>
      <c r="V1112" s="21" t="n"/>
      <c r="W1112" s="21" t="n"/>
      <c r="X1112" s="21" t="n"/>
      <c r="Y1112" s="21" t="n"/>
      <c r="Z1112" s="21" t="n"/>
      <c r="AA1112" s="21" t="n"/>
      <c r="AB1112" s="21" t="n"/>
      <c r="AC1112" s="21" t="n"/>
      <c r="AD1112" s="21" t="n"/>
      <c r="AE1112" s="21" t="n"/>
      <c r="AF1112" s="21" t="n"/>
      <c r="AG1112" s="21" t="n"/>
      <c r="AH1112" s="21" t="n"/>
      <c r="AI1112" s="21" t="n"/>
      <c r="AJ1112" s="21" t="n"/>
      <c r="AK1112" s="21" t="n"/>
      <c r="AL1112" s="21" t="n"/>
      <c r="AM1112" s="21" t="n"/>
      <c r="AN1112" s="21" t="n"/>
      <c r="AO1112" s="21" t="n"/>
      <c r="AP1112" s="21" t="n"/>
      <c r="AQ1112" s="21" t="n"/>
      <c r="AR1112" s="21" t="n"/>
      <c r="AS1112" s="21" t="n"/>
      <c r="AT1112" s="21" t="n"/>
      <c r="AU1112" s="21" t="n"/>
      <c r="AV1112" s="21" t="n"/>
      <c r="AW1112" s="21" t="n"/>
      <c r="AX1112" s="21" t="n"/>
      <c r="AY1112" s="21" t="n"/>
      <c r="AZ1112" s="21" t="n"/>
      <c r="BA1112" s="21" t="n"/>
      <c r="BB1112" s="21" t="n"/>
      <c r="BC1112" s="21" t="n"/>
      <c r="BD1112" s="21" t="n"/>
      <c r="BE1112" s="21" t="n"/>
      <c r="BF1112" s="21" t="n"/>
      <c r="BG1112" s="21" t="n"/>
      <c r="BH1112" s="21" t="n"/>
      <c r="BI1112" s="21" t="n"/>
      <c r="BJ1112" s="21" t="n"/>
      <c r="BK1112" s="21" t="n"/>
      <c r="BL1112" s="21" t="n"/>
      <c r="BM1112" s="21" t="n"/>
      <c r="BN1112" s="21" t="n"/>
      <c r="BO1112" s="21" t="n"/>
      <c r="BP1112" s="21" t="n"/>
      <c r="BQ1112" s="21" t="n"/>
      <c r="BR1112" s="21" t="n"/>
      <c r="BS1112" s="21" t="n"/>
      <c r="BT1112" s="21" t="n"/>
      <c r="BU1112" s="21" t="n"/>
      <c r="BV1112" s="21" t="n"/>
      <c r="BW1112" s="21" t="n"/>
      <c r="BX1112" s="21" t="n"/>
      <c r="BY1112" s="21" t="n"/>
      <c r="BZ1112" s="21" t="n"/>
      <c r="CA1112" s="21" t="n"/>
      <c r="CB1112" s="21" t="n"/>
      <c r="CC1112" s="21" t="n"/>
      <c r="CD1112" s="21" t="n"/>
      <c r="CE1112" s="21" t="n"/>
      <c r="CF1112" s="21" t="n"/>
      <c r="CG1112" s="21" t="n"/>
      <c r="CH1112" s="21" t="n"/>
      <c r="CI1112" s="21" t="n"/>
      <c r="CJ1112" s="21" t="n"/>
      <c r="CK1112" s="21" t="n"/>
      <c r="CL1112" s="21" t="n"/>
      <c r="CM1112" s="21" t="n"/>
      <c r="CN1112" s="21" t="n"/>
      <c r="CO1112" s="21" t="n"/>
      <c r="CP1112" s="21" t="n"/>
      <c r="CQ1112" s="21" t="n"/>
      <c r="CR1112" s="21" t="n"/>
      <c r="CS1112" s="21" t="n"/>
      <c r="CT1112" s="21" t="n"/>
      <c r="CU1112" s="21" t="n"/>
      <c r="CV1112" s="21" t="n"/>
      <c r="CW1112" s="21" t="n"/>
      <c r="CX1112" s="21" t="n"/>
      <c r="CY1112" s="21" t="n"/>
      <c r="CZ1112" s="21" t="n"/>
      <c r="DA1112" s="21" t="n"/>
      <c r="DB1112" s="21" t="n"/>
      <c r="DC1112" s="21" t="n"/>
      <c r="DD1112" s="21" t="n"/>
    </row>
    <row r="1113">
      <c r="B1113" t="inlineStr">
        <is>
          <t>TSP-360</t>
        </is>
      </c>
      <c r="C1113" t="inlineStr">
        <is>
          <t>No. of batches</t>
        </is>
      </c>
      <c r="D1113">
        <f>IFERROR(INDEX(E1113:DD1113,$F$1),"")</f>
        <v/>
      </c>
      <c r="E1113">
        <f>IFERROR(INDEX(PP_Grid[#Data],$DE1113,2),0)</f>
        <v/>
      </c>
      <c r="F1113">
        <f>IFERROR(INDEX(PP_Grid[#Data],$DE1113,3),0)</f>
        <v/>
      </c>
      <c r="G1113">
        <f>IFERROR(INDEX(PP_Grid[#Data],$DE1113,4),0)</f>
        <v/>
      </c>
      <c r="H1113">
        <f>IFERROR(INDEX(PP_Grid[#Data],$DE1113,5),0)</f>
        <v/>
      </c>
      <c r="I1113">
        <f>IFERROR(INDEX(PP_Grid[#Data],$DE1113,6),0)</f>
        <v/>
      </c>
      <c r="J1113">
        <f>IFERROR(INDEX(PP_Grid[#Data],$DE1113,7),0)</f>
        <v/>
      </c>
      <c r="K1113">
        <f>IFERROR(INDEX(PP_Grid[#Data],$DE1113,8),0)</f>
        <v/>
      </c>
      <c r="L1113">
        <f>IFERROR(INDEX(PP_Grid[#Data],$DE1113,9),0)</f>
        <v/>
      </c>
      <c r="M1113">
        <f>IFERROR(INDEX(PP_Grid[#Data],$DE1113,10),0)</f>
        <v/>
      </c>
      <c r="N1113">
        <f>IFERROR(INDEX(PP_Grid[#Data],$DE1113,11),0)</f>
        <v/>
      </c>
      <c r="O1113">
        <f>IFERROR(INDEX(PP_Grid[#Data],$DE1113,12),0)</f>
        <v/>
      </c>
      <c r="P1113">
        <f>IFERROR(INDEX(PP_Grid[#Data],$DE1113,13),0)</f>
        <v/>
      </c>
      <c r="Q1113">
        <f>IFERROR(INDEX(PP_Grid[#Data],$DE1113,14),0)</f>
        <v/>
      </c>
      <c r="R1113">
        <f>IFERROR(INDEX(PP_Grid[#Data],$DE1113,15),0)</f>
        <v/>
      </c>
      <c r="S1113">
        <f>IFERROR(INDEX(PP_Grid[#Data],$DE1113,16),0)</f>
        <v/>
      </c>
      <c r="T1113">
        <f>IFERROR(INDEX(PP_Grid[#Data],$DE1113,17),0)</f>
        <v/>
      </c>
      <c r="U1113">
        <f>IFERROR(INDEX(PP_Grid[#Data],$DE1113,18),0)</f>
        <v/>
      </c>
      <c r="V1113">
        <f>IFERROR(INDEX(PP_Grid[#Data],$DE1113,19),0)</f>
        <v/>
      </c>
      <c r="W1113">
        <f>IFERROR(INDEX(PP_Grid[#Data],$DE1113,20),0)</f>
        <v/>
      </c>
      <c r="X1113">
        <f>IFERROR(INDEX(PP_Grid[#Data],$DE1113,21),0)</f>
        <v/>
      </c>
      <c r="Y1113">
        <f>IFERROR(INDEX(PP_Grid[#Data],$DE1113,22),0)</f>
        <v/>
      </c>
      <c r="Z1113">
        <f>IFERROR(INDEX(PP_Grid[#Data],$DE1113,23),0)</f>
        <v/>
      </c>
      <c r="AA1113">
        <f>IFERROR(INDEX(PP_Grid[#Data],$DE1113,24),0)</f>
        <v/>
      </c>
      <c r="AB1113">
        <f>IFERROR(INDEX(PP_Grid[#Data],$DE1113,25),0)</f>
        <v/>
      </c>
      <c r="AC1113">
        <f>IFERROR(INDEX(PP_Grid[#Data],$DE1113,26),0)</f>
        <v/>
      </c>
      <c r="AD1113">
        <f>IFERROR(INDEX(PP_Grid[#Data],$DE1113,27),0)</f>
        <v/>
      </c>
      <c r="AE1113">
        <f>IFERROR(INDEX(PP_Grid[#Data],$DE1113,28),0)</f>
        <v/>
      </c>
      <c r="AF1113">
        <f>IFERROR(INDEX(PP_Grid[#Data],$DE1113,29),0)</f>
        <v/>
      </c>
      <c r="AG1113">
        <f>IFERROR(INDEX(PP_Grid[#Data],$DE1113,30),0)</f>
        <v/>
      </c>
      <c r="AH1113">
        <f>IFERROR(INDEX(PP_Grid[#Data],$DE1113,31),0)</f>
        <v/>
      </c>
      <c r="AI1113">
        <f>IFERROR(INDEX(PP_Grid[#Data],$DE1113,32),0)</f>
        <v/>
      </c>
      <c r="AJ1113">
        <f>IFERROR(INDEX(PP_Grid[#Data],$DE1113,33),0)</f>
        <v/>
      </c>
      <c r="AK1113">
        <f>IFERROR(INDEX(PP_Grid[#Data],$DE1113,34),0)</f>
        <v/>
      </c>
      <c r="AL1113">
        <f>IFERROR(INDEX(PP_Grid[#Data],$DE1113,35),0)</f>
        <v/>
      </c>
      <c r="AM1113">
        <f>IFERROR(INDEX(PP_Grid[#Data],$DE1113,36),0)</f>
        <v/>
      </c>
      <c r="AN1113">
        <f>IFERROR(INDEX(PP_Grid[#Data],$DE1113,37),0)</f>
        <v/>
      </c>
      <c r="AO1113">
        <f>IFERROR(INDEX(PP_Grid[#Data],$DE1113,38),0)</f>
        <v/>
      </c>
      <c r="AP1113">
        <f>IFERROR(INDEX(PP_Grid[#Data],$DE1113,39),0)</f>
        <v/>
      </c>
      <c r="AQ1113">
        <f>IFERROR(INDEX(PP_Grid[#Data],$DE1113,40),0)</f>
        <v/>
      </c>
      <c r="AR1113">
        <f>IFERROR(INDEX(PP_Grid[#Data],$DE1113,41),0)</f>
        <v/>
      </c>
      <c r="AS1113">
        <f>IFERROR(INDEX(PP_Grid[#Data],$DE1113,42),0)</f>
        <v/>
      </c>
      <c r="AT1113">
        <f>IFERROR(INDEX(PP_Grid[#Data],$DE1113,43),0)</f>
        <v/>
      </c>
      <c r="AU1113">
        <f>IFERROR(INDEX(PP_Grid[#Data],$DE1113,44),0)</f>
        <v/>
      </c>
      <c r="AV1113">
        <f>IFERROR(INDEX(PP_Grid[#Data],$DE1113,45),0)</f>
        <v/>
      </c>
      <c r="AW1113">
        <f>IFERROR(INDEX(PP_Grid[#Data],$DE1113,46),0)</f>
        <v/>
      </c>
      <c r="AX1113">
        <f>IFERROR(INDEX(PP_Grid[#Data],$DE1113,47),0)</f>
        <v/>
      </c>
      <c r="AY1113">
        <f>IFERROR(INDEX(PP_Grid[#Data],$DE1113,48),0)</f>
        <v/>
      </c>
      <c r="AZ1113">
        <f>IFERROR(INDEX(PP_Grid[#Data],$DE1113,49),0)</f>
        <v/>
      </c>
      <c r="BA1113">
        <f>IFERROR(INDEX(PP_Grid[#Data],$DE1113,50),0)</f>
        <v/>
      </c>
      <c r="BB1113">
        <f>IFERROR(INDEX(PP_Grid[#Data],$DE1113,51),0)</f>
        <v/>
      </c>
      <c r="BC1113">
        <f>IFERROR(INDEX(PP_Grid[#Data],$DE1113,52),0)</f>
        <v/>
      </c>
      <c r="BD1113">
        <f>IFERROR(INDEX(PP_Grid[#Data],$DE1113,53),0)</f>
        <v/>
      </c>
      <c r="BE1113">
        <f>IFERROR(INDEX(PP_Grid[#Data],$DE1113,54),0)</f>
        <v/>
      </c>
      <c r="BF1113">
        <f>IFERROR(INDEX(PP_Grid[#Data],$DE1113,55),0)</f>
        <v/>
      </c>
      <c r="BG1113">
        <f>IFERROR(INDEX(PP_Grid[#Data],$DE1113,56),0)</f>
        <v/>
      </c>
      <c r="BH1113">
        <f>IFERROR(INDEX(PP_Grid[#Data],$DE1113,57),0)</f>
        <v/>
      </c>
      <c r="BI1113">
        <f>IFERROR(INDEX(PP_Grid[#Data],$DE1113,58),0)</f>
        <v/>
      </c>
      <c r="BJ1113">
        <f>IFERROR(INDEX(PP_Grid[#Data],$DE1113,59),0)</f>
        <v/>
      </c>
      <c r="BK1113">
        <f>IFERROR(INDEX(PP_Grid[#Data],$DE1113,60),0)</f>
        <v/>
      </c>
      <c r="BL1113">
        <f>IFERROR(INDEX(PP_Grid[#Data],$DE1113,61),0)</f>
        <v/>
      </c>
      <c r="BM1113">
        <f>IFERROR(INDEX(PP_Grid[#Data],$DE1113,62),0)</f>
        <v/>
      </c>
      <c r="BN1113">
        <f>IFERROR(INDEX(PP_Grid[#Data],$DE1113,63),0)</f>
        <v/>
      </c>
      <c r="BO1113">
        <f>IFERROR(INDEX(PP_Grid[#Data],$DE1113,64),0)</f>
        <v/>
      </c>
      <c r="BP1113">
        <f>IFERROR(INDEX(PP_Grid[#Data],$DE1113,65),0)</f>
        <v/>
      </c>
      <c r="BQ1113">
        <f>IFERROR(INDEX(PP_Grid[#Data],$DE1113,66),0)</f>
        <v/>
      </c>
      <c r="BR1113">
        <f>IFERROR(INDEX(PP_Grid[#Data],$DE1113,67),0)</f>
        <v/>
      </c>
      <c r="BS1113">
        <f>IFERROR(INDEX(PP_Grid[#Data],$DE1113,68),0)</f>
        <v/>
      </c>
      <c r="BT1113">
        <f>IFERROR(INDEX(PP_Grid[#Data],$DE1113,69),0)</f>
        <v/>
      </c>
      <c r="BU1113">
        <f>IFERROR(INDEX(PP_Grid[#Data],$DE1113,70),0)</f>
        <v/>
      </c>
      <c r="BV1113">
        <f>IFERROR(INDEX(PP_Grid[#Data],$DE1113,71),0)</f>
        <v/>
      </c>
      <c r="BW1113">
        <f>IFERROR(INDEX(PP_Grid[#Data],$DE1113,72),0)</f>
        <v/>
      </c>
      <c r="BX1113">
        <f>IFERROR(INDEX(PP_Grid[#Data],$DE1113,73),0)</f>
        <v/>
      </c>
      <c r="BY1113">
        <f>IFERROR(INDEX(PP_Grid[#Data],$DE1113,74),0)</f>
        <v/>
      </c>
      <c r="BZ1113">
        <f>IFERROR(INDEX(PP_Grid[#Data],$DE1113,75),0)</f>
        <v/>
      </c>
      <c r="CA1113">
        <f>IFERROR(INDEX(PP_Grid[#Data],$DE1113,76),0)</f>
        <v/>
      </c>
      <c r="CB1113">
        <f>IFERROR(INDEX(PP_Grid[#Data],$DE1113,77),0)</f>
        <v/>
      </c>
      <c r="CC1113">
        <f>IFERROR(INDEX(PP_Grid[#Data],$DE1113,78),0)</f>
        <v/>
      </c>
      <c r="CD1113">
        <f>IFERROR(INDEX(PP_Grid[#Data],$DE1113,79),0)</f>
        <v/>
      </c>
      <c r="CE1113">
        <f>IFERROR(INDEX(PP_Grid[#Data],$DE1113,80),0)</f>
        <v/>
      </c>
      <c r="CF1113">
        <f>IFERROR(INDEX(PP_Grid[#Data],$DE1113,81),0)</f>
        <v/>
      </c>
      <c r="CG1113">
        <f>IFERROR(INDEX(PP_Grid[#Data],$DE1113,82),0)</f>
        <v/>
      </c>
      <c r="CH1113">
        <f>IFERROR(INDEX(PP_Grid[#Data],$DE1113,83),0)</f>
        <v/>
      </c>
      <c r="CI1113">
        <f>IFERROR(INDEX(PP_Grid[#Data],$DE1113,84),0)</f>
        <v/>
      </c>
      <c r="CJ1113">
        <f>IFERROR(INDEX(PP_Grid[#Data],$DE1113,85),0)</f>
        <v/>
      </c>
      <c r="CK1113">
        <f>IFERROR(INDEX(PP_Grid[#Data],$DE1113,86),0)</f>
        <v/>
      </c>
      <c r="CL1113">
        <f>IFERROR(INDEX(PP_Grid[#Data],$DE1113,87),0)</f>
        <v/>
      </c>
      <c r="CM1113">
        <f>IFERROR(INDEX(PP_Grid[#Data],$DE1113,88),0)</f>
        <v/>
      </c>
      <c r="CN1113">
        <f>IFERROR(INDEX(PP_Grid[#Data],$DE1113,89),0)</f>
        <v/>
      </c>
      <c r="CO1113">
        <f>IFERROR(INDEX(PP_Grid[#Data],$DE1113,90),0)</f>
        <v/>
      </c>
      <c r="CP1113">
        <f>IFERROR(INDEX(PP_Grid[#Data],$DE1113,91),0)</f>
        <v/>
      </c>
      <c r="CQ1113">
        <f>IFERROR(INDEX(PP_Grid[#Data],$DE1113,92),0)</f>
        <v/>
      </c>
      <c r="CR1113">
        <f>IFERROR(INDEX(PP_Grid[#Data],$DE1113,93),0)</f>
        <v/>
      </c>
      <c r="CS1113">
        <f>IFERROR(INDEX(PP_Grid[#Data],$DE1113,94),0)</f>
        <v/>
      </c>
      <c r="CT1113">
        <f>IFERROR(INDEX(PP_Grid[#Data],$DE1113,95),0)</f>
        <v/>
      </c>
      <c r="CU1113">
        <f>IFERROR(INDEX(PP_Grid[#Data],$DE1113,96),0)</f>
        <v/>
      </c>
      <c r="CV1113">
        <f>IFERROR(INDEX(PP_Grid[#Data],$DE1113,97),0)</f>
        <v/>
      </c>
      <c r="CW1113">
        <f>IFERROR(INDEX(PP_Grid[#Data],$DE1113,98),0)</f>
        <v/>
      </c>
      <c r="CX1113">
        <f>IFERROR(INDEX(PP_Grid[#Data],$DE1113,99),0)</f>
        <v/>
      </c>
      <c r="CY1113">
        <f>IFERROR(INDEX(PP_Grid[#Data],$DE1113,100),0)</f>
        <v/>
      </c>
      <c r="CZ1113">
        <f>IFERROR(INDEX(PP_Grid[#Data],$DE1113,101),0)</f>
        <v/>
      </c>
      <c r="DA1113">
        <f>IFERROR(INDEX(PP_Grid[#Data],$DE1113,102),0)</f>
        <v/>
      </c>
      <c r="DB1113">
        <f>IFERROR(INDEX(PP_Grid[#Data],$DE1113,103),0)</f>
        <v/>
      </c>
      <c r="DC1113">
        <f>IFERROR(INDEX(PP_Grid[#Data],$DE1113,104),0)</f>
        <v/>
      </c>
      <c r="DD1113">
        <f>IFERROR(INDEX(PP_Grid[#Data],$DE1113,105),0)</f>
        <v/>
      </c>
      <c r="DE1113" s="7">
        <f>IFERROR(MATCH($B1113,PP_Grid[Intermediate],0),99999)</f>
        <v/>
      </c>
    </row>
    <row r="1114">
      <c r="B1114" t="inlineStr">
        <is>
          <t>使用量(kg)</t>
        </is>
      </c>
      <c r="C1114">
        <f>SUMIFS(M_BOM[RM_Qty_Per_Batch],M_BOM[Intermediate],$B1113,M_BOM[RM_Code],$A1112)</f>
        <v/>
      </c>
      <c r="D1114">
        <f>IFERROR(INDEX(E1114:DD1114,$F$1),"")</f>
        <v/>
      </c>
      <c r="E1114">
        <f>$C1114*E1113</f>
        <v/>
      </c>
      <c r="F1114">
        <f>$C1114*F1113</f>
        <v/>
      </c>
      <c r="G1114">
        <f>$C1114*G1113</f>
        <v/>
      </c>
      <c r="H1114">
        <f>$C1114*H1113</f>
        <v/>
      </c>
      <c r="I1114">
        <f>$C1114*I1113</f>
        <v/>
      </c>
      <c r="J1114">
        <f>$C1114*J1113</f>
        <v/>
      </c>
      <c r="K1114">
        <f>$C1114*K1113</f>
        <v/>
      </c>
      <c r="L1114">
        <f>$C1114*L1113</f>
        <v/>
      </c>
      <c r="M1114">
        <f>$C1114*M1113</f>
        <v/>
      </c>
      <c r="N1114">
        <f>$C1114*N1113</f>
        <v/>
      </c>
      <c r="O1114">
        <f>$C1114*O1113</f>
        <v/>
      </c>
      <c r="P1114">
        <f>$C1114*P1113</f>
        <v/>
      </c>
      <c r="Q1114">
        <f>$C1114*Q1113</f>
        <v/>
      </c>
      <c r="R1114">
        <f>$C1114*R1113</f>
        <v/>
      </c>
      <c r="S1114">
        <f>$C1114*S1113</f>
        <v/>
      </c>
      <c r="T1114">
        <f>$C1114*T1113</f>
        <v/>
      </c>
      <c r="U1114">
        <f>$C1114*U1113</f>
        <v/>
      </c>
      <c r="V1114">
        <f>$C1114*V1113</f>
        <v/>
      </c>
      <c r="W1114">
        <f>$C1114*W1113</f>
        <v/>
      </c>
      <c r="X1114">
        <f>$C1114*X1113</f>
        <v/>
      </c>
      <c r="Y1114">
        <f>$C1114*Y1113</f>
        <v/>
      </c>
      <c r="Z1114">
        <f>$C1114*Z1113</f>
        <v/>
      </c>
      <c r="AA1114">
        <f>$C1114*AA1113</f>
        <v/>
      </c>
      <c r="AB1114">
        <f>$C1114*AB1113</f>
        <v/>
      </c>
      <c r="AC1114">
        <f>$C1114*AC1113</f>
        <v/>
      </c>
      <c r="AD1114">
        <f>$C1114*AD1113</f>
        <v/>
      </c>
      <c r="AE1114">
        <f>$C1114*AE1113</f>
        <v/>
      </c>
      <c r="AF1114">
        <f>$C1114*AF1113</f>
        <v/>
      </c>
      <c r="AG1114">
        <f>$C1114*AG1113</f>
        <v/>
      </c>
      <c r="AH1114">
        <f>$C1114*AH1113</f>
        <v/>
      </c>
      <c r="AI1114">
        <f>$C1114*AI1113</f>
        <v/>
      </c>
      <c r="AJ1114">
        <f>$C1114*AJ1113</f>
        <v/>
      </c>
      <c r="AK1114">
        <f>$C1114*AK1113</f>
        <v/>
      </c>
      <c r="AL1114">
        <f>$C1114*AL1113</f>
        <v/>
      </c>
      <c r="AM1114">
        <f>$C1114*AM1113</f>
        <v/>
      </c>
      <c r="AN1114">
        <f>$C1114*AN1113</f>
        <v/>
      </c>
      <c r="AO1114">
        <f>$C1114*AO1113</f>
        <v/>
      </c>
      <c r="AP1114">
        <f>$C1114*AP1113</f>
        <v/>
      </c>
      <c r="AQ1114">
        <f>$C1114*AQ1113</f>
        <v/>
      </c>
      <c r="AR1114">
        <f>$C1114*AR1113</f>
        <v/>
      </c>
      <c r="AS1114">
        <f>$C1114*AS1113</f>
        <v/>
      </c>
      <c r="AT1114">
        <f>$C1114*AT1113</f>
        <v/>
      </c>
      <c r="AU1114">
        <f>$C1114*AU1113</f>
        <v/>
      </c>
      <c r="AV1114">
        <f>$C1114*AV1113</f>
        <v/>
      </c>
      <c r="AW1114">
        <f>$C1114*AW1113</f>
        <v/>
      </c>
      <c r="AX1114">
        <f>$C1114*AX1113</f>
        <v/>
      </c>
      <c r="AY1114">
        <f>$C1114*AY1113</f>
        <v/>
      </c>
      <c r="AZ1114">
        <f>$C1114*AZ1113</f>
        <v/>
      </c>
      <c r="BA1114">
        <f>$C1114*BA1113</f>
        <v/>
      </c>
      <c r="BB1114">
        <f>$C1114*BB1113</f>
        <v/>
      </c>
      <c r="BC1114">
        <f>$C1114*BC1113</f>
        <v/>
      </c>
      <c r="BD1114">
        <f>$C1114*BD1113</f>
        <v/>
      </c>
      <c r="BE1114">
        <f>$C1114*BE1113</f>
        <v/>
      </c>
      <c r="BF1114">
        <f>$C1114*BF1113</f>
        <v/>
      </c>
      <c r="BG1114">
        <f>$C1114*BG1113</f>
        <v/>
      </c>
      <c r="BH1114">
        <f>$C1114*BH1113</f>
        <v/>
      </c>
      <c r="BI1114">
        <f>$C1114*BI1113</f>
        <v/>
      </c>
      <c r="BJ1114">
        <f>$C1114*BJ1113</f>
        <v/>
      </c>
      <c r="BK1114">
        <f>$C1114*BK1113</f>
        <v/>
      </c>
      <c r="BL1114">
        <f>$C1114*BL1113</f>
        <v/>
      </c>
      <c r="BM1114">
        <f>$C1114*BM1113</f>
        <v/>
      </c>
      <c r="BN1114">
        <f>$C1114*BN1113</f>
        <v/>
      </c>
      <c r="BO1114">
        <f>$C1114*BO1113</f>
        <v/>
      </c>
      <c r="BP1114">
        <f>$C1114*BP1113</f>
        <v/>
      </c>
      <c r="BQ1114">
        <f>$C1114*BQ1113</f>
        <v/>
      </c>
      <c r="BR1114">
        <f>$C1114*BR1113</f>
        <v/>
      </c>
      <c r="BS1114">
        <f>$C1114*BS1113</f>
        <v/>
      </c>
      <c r="BT1114">
        <f>$C1114*BT1113</f>
        <v/>
      </c>
      <c r="BU1114">
        <f>$C1114*BU1113</f>
        <v/>
      </c>
      <c r="BV1114">
        <f>$C1114*BV1113</f>
        <v/>
      </c>
      <c r="BW1114">
        <f>$C1114*BW1113</f>
        <v/>
      </c>
      <c r="BX1114">
        <f>$C1114*BX1113</f>
        <v/>
      </c>
      <c r="BY1114">
        <f>$C1114*BY1113</f>
        <v/>
      </c>
      <c r="BZ1114">
        <f>$C1114*BZ1113</f>
        <v/>
      </c>
      <c r="CA1114">
        <f>$C1114*CA1113</f>
        <v/>
      </c>
      <c r="CB1114">
        <f>$C1114*CB1113</f>
        <v/>
      </c>
      <c r="CC1114">
        <f>$C1114*CC1113</f>
        <v/>
      </c>
      <c r="CD1114">
        <f>$C1114*CD1113</f>
        <v/>
      </c>
      <c r="CE1114">
        <f>$C1114*CE1113</f>
        <v/>
      </c>
      <c r="CF1114">
        <f>$C1114*CF1113</f>
        <v/>
      </c>
      <c r="CG1114">
        <f>$C1114*CG1113</f>
        <v/>
      </c>
      <c r="CH1114">
        <f>$C1114*CH1113</f>
        <v/>
      </c>
      <c r="CI1114">
        <f>$C1114*CI1113</f>
        <v/>
      </c>
      <c r="CJ1114">
        <f>$C1114*CJ1113</f>
        <v/>
      </c>
      <c r="CK1114">
        <f>$C1114*CK1113</f>
        <v/>
      </c>
      <c r="CL1114">
        <f>$C1114*CL1113</f>
        <v/>
      </c>
      <c r="CM1114">
        <f>$C1114*CM1113</f>
        <v/>
      </c>
      <c r="CN1114">
        <f>$C1114*CN1113</f>
        <v/>
      </c>
      <c r="CO1114">
        <f>$C1114*CO1113</f>
        <v/>
      </c>
      <c r="CP1114">
        <f>$C1114*CP1113</f>
        <v/>
      </c>
      <c r="CQ1114">
        <f>$C1114*CQ1113</f>
        <v/>
      </c>
      <c r="CR1114">
        <f>$C1114*CR1113</f>
        <v/>
      </c>
      <c r="CS1114">
        <f>$C1114*CS1113</f>
        <v/>
      </c>
      <c r="CT1114">
        <f>$C1114*CT1113</f>
        <v/>
      </c>
      <c r="CU1114">
        <f>$C1114*CU1113</f>
        <v/>
      </c>
      <c r="CV1114">
        <f>$C1114*CV1113</f>
        <v/>
      </c>
      <c r="CW1114">
        <f>$C1114*CW1113</f>
        <v/>
      </c>
      <c r="CX1114">
        <f>$C1114*CX1113</f>
        <v/>
      </c>
      <c r="CY1114">
        <f>$C1114*CY1113</f>
        <v/>
      </c>
      <c r="CZ1114">
        <f>$C1114*CZ1113</f>
        <v/>
      </c>
      <c r="DA1114">
        <f>$C1114*DA1113</f>
        <v/>
      </c>
      <c r="DB1114">
        <f>$C1114*DB1113</f>
        <v/>
      </c>
      <c r="DC1114">
        <f>$C1114*DC1113</f>
        <v/>
      </c>
      <c r="DD1114">
        <f>$C1114*DD1113</f>
        <v/>
      </c>
    </row>
    <row r="1115">
      <c r="B1115" t="inlineStr">
        <is>
          <t>TSP-544</t>
        </is>
      </c>
      <c r="C1115" t="inlineStr">
        <is>
          <t>No. of batches</t>
        </is>
      </c>
      <c r="D1115">
        <f>IFERROR(INDEX(E1115:DD1115,$F$1),"")</f>
        <v/>
      </c>
      <c r="E1115">
        <f>IFERROR(INDEX(PP_Grid[#Data],$DE1115,2),0)</f>
        <v/>
      </c>
      <c r="F1115">
        <f>IFERROR(INDEX(PP_Grid[#Data],$DE1115,3),0)</f>
        <v/>
      </c>
      <c r="G1115">
        <f>IFERROR(INDEX(PP_Grid[#Data],$DE1115,4),0)</f>
        <v/>
      </c>
      <c r="H1115">
        <f>IFERROR(INDEX(PP_Grid[#Data],$DE1115,5),0)</f>
        <v/>
      </c>
      <c r="I1115">
        <f>IFERROR(INDEX(PP_Grid[#Data],$DE1115,6),0)</f>
        <v/>
      </c>
      <c r="J1115">
        <f>IFERROR(INDEX(PP_Grid[#Data],$DE1115,7),0)</f>
        <v/>
      </c>
      <c r="K1115">
        <f>IFERROR(INDEX(PP_Grid[#Data],$DE1115,8),0)</f>
        <v/>
      </c>
      <c r="L1115">
        <f>IFERROR(INDEX(PP_Grid[#Data],$DE1115,9),0)</f>
        <v/>
      </c>
      <c r="M1115">
        <f>IFERROR(INDEX(PP_Grid[#Data],$DE1115,10),0)</f>
        <v/>
      </c>
      <c r="N1115">
        <f>IFERROR(INDEX(PP_Grid[#Data],$DE1115,11),0)</f>
        <v/>
      </c>
      <c r="O1115">
        <f>IFERROR(INDEX(PP_Grid[#Data],$DE1115,12),0)</f>
        <v/>
      </c>
      <c r="P1115">
        <f>IFERROR(INDEX(PP_Grid[#Data],$DE1115,13),0)</f>
        <v/>
      </c>
      <c r="Q1115">
        <f>IFERROR(INDEX(PP_Grid[#Data],$DE1115,14),0)</f>
        <v/>
      </c>
      <c r="R1115">
        <f>IFERROR(INDEX(PP_Grid[#Data],$DE1115,15),0)</f>
        <v/>
      </c>
      <c r="S1115">
        <f>IFERROR(INDEX(PP_Grid[#Data],$DE1115,16),0)</f>
        <v/>
      </c>
      <c r="T1115">
        <f>IFERROR(INDEX(PP_Grid[#Data],$DE1115,17),0)</f>
        <v/>
      </c>
      <c r="U1115">
        <f>IFERROR(INDEX(PP_Grid[#Data],$DE1115,18),0)</f>
        <v/>
      </c>
      <c r="V1115">
        <f>IFERROR(INDEX(PP_Grid[#Data],$DE1115,19),0)</f>
        <v/>
      </c>
      <c r="W1115">
        <f>IFERROR(INDEX(PP_Grid[#Data],$DE1115,20),0)</f>
        <v/>
      </c>
      <c r="X1115">
        <f>IFERROR(INDEX(PP_Grid[#Data],$DE1115,21),0)</f>
        <v/>
      </c>
      <c r="Y1115">
        <f>IFERROR(INDEX(PP_Grid[#Data],$DE1115,22),0)</f>
        <v/>
      </c>
      <c r="Z1115">
        <f>IFERROR(INDEX(PP_Grid[#Data],$DE1115,23),0)</f>
        <v/>
      </c>
      <c r="AA1115">
        <f>IFERROR(INDEX(PP_Grid[#Data],$DE1115,24),0)</f>
        <v/>
      </c>
      <c r="AB1115">
        <f>IFERROR(INDEX(PP_Grid[#Data],$DE1115,25),0)</f>
        <v/>
      </c>
      <c r="AC1115">
        <f>IFERROR(INDEX(PP_Grid[#Data],$DE1115,26),0)</f>
        <v/>
      </c>
      <c r="AD1115">
        <f>IFERROR(INDEX(PP_Grid[#Data],$DE1115,27),0)</f>
        <v/>
      </c>
      <c r="AE1115">
        <f>IFERROR(INDEX(PP_Grid[#Data],$DE1115,28),0)</f>
        <v/>
      </c>
      <c r="AF1115">
        <f>IFERROR(INDEX(PP_Grid[#Data],$DE1115,29),0)</f>
        <v/>
      </c>
      <c r="AG1115">
        <f>IFERROR(INDEX(PP_Grid[#Data],$DE1115,30),0)</f>
        <v/>
      </c>
      <c r="AH1115">
        <f>IFERROR(INDEX(PP_Grid[#Data],$DE1115,31),0)</f>
        <v/>
      </c>
      <c r="AI1115">
        <f>IFERROR(INDEX(PP_Grid[#Data],$DE1115,32),0)</f>
        <v/>
      </c>
      <c r="AJ1115">
        <f>IFERROR(INDEX(PP_Grid[#Data],$DE1115,33),0)</f>
        <v/>
      </c>
      <c r="AK1115">
        <f>IFERROR(INDEX(PP_Grid[#Data],$DE1115,34),0)</f>
        <v/>
      </c>
      <c r="AL1115">
        <f>IFERROR(INDEX(PP_Grid[#Data],$DE1115,35),0)</f>
        <v/>
      </c>
      <c r="AM1115">
        <f>IFERROR(INDEX(PP_Grid[#Data],$DE1115,36),0)</f>
        <v/>
      </c>
      <c r="AN1115">
        <f>IFERROR(INDEX(PP_Grid[#Data],$DE1115,37),0)</f>
        <v/>
      </c>
      <c r="AO1115">
        <f>IFERROR(INDEX(PP_Grid[#Data],$DE1115,38),0)</f>
        <v/>
      </c>
      <c r="AP1115">
        <f>IFERROR(INDEX(PP_Grid[#Data],$DE1115,39),0)</f>
        <v/>
      </c>
      <c r="AQ1115">
        <f>IFERROR(INDEX(PP_Grid[#Data],$DE1115,40),0)</f>
        <v/>
      </c>
      <c r="AR1115">
        <f>IFERROR(INDEX(PP_Grid[#Data],$DE1115,41),0)</f>
        <v/>
      </c>
      <c r="AS1115">
        <f>IFERROR(INDEX(PP_Grid[#Data],$DE1115,42),0)</f>
        <v/>
      </c>
      <c r="AT1115">
        <f>IFERROR(INDEX(PP_Grid[#Data],$DE1115,43),0)</f>
        <v/>
      </c>
      <c r="AU1115">
        <f>IFERROR(INDEX(PP_Grid[#Data],$DE1115,44),0)</f>
        <v/>
      </c>
      <c r="AV1115">
        <f>IFERROR(INDEX(PP_Grid[#Data],$DE1115,45),0)</f>
        <v/>
      </c>
      <c r="AW1115">
        <f>IFERROR(INDEX(PP_Grid[#Data],$DE1115,46),0)</f>
        <v/>
      </c>
      <c r="AX1115">
        <f>IFERROR(INDEX(PP_Grid[#Data],$DE1115,47),0)</f>
        <v/>
      </c>
      <c r="AY1115">
        <f>IFERROR(INDEX(PP_Grid[#Data],$DE1115,48),0)</f>
        <v/>
      </c>
      <c r="AZ1115">
        <f>IFERROR(INDEX(PP_Grid[#Data],$DE1115,49),0)</f>
        <v/>
      </c>
      <c r="BA1115">
        <f>IFERROR(INDEX(PP_Grid[#Data],$DE1115,50),0)</f>
        <v/>
      </c>
      <c r="BB1115">
        <f>IFERROR(INDEX(PP_Grid[#Data],$DE1115,51),0)</f>
        <v/>
      </c>
      <c r="BC1115">
        <f>IFERROR(INDEX(PP_Grid[#Data],$DE1115,52),0)</f>
        <v/>
      </c>
      <c r="BD1115">
        <f>IFERROR(INDEX(PP_Grid[#Data],$DE1115,53),0)</f>
        <v/>
      </c>
      <c r="BE1115">
        <f>IFERROR(INDEX(PP_Grid[#Data],$DE1115,54),0)</f>
        <v/>
      </c>
      <c r="BF1115">
        <f>IFERROR(INDEX(PP_Grid[#Data],$DE1115,55),0)</f>
        <v/>
      </c>
      <c r="BG1115">
        <f>IFERROR(INDEX(PP_Grid[#Data],$DE1115,56),0)</f>
        <v/>
      </c>
      <c r="BH1115">
        <f>IFERROR(INDEX(PP_Grid[#Data],$DE1115,57),0)</f>
        <v/>
      </c>
      <c r="BI1115">
        <f>IFERROR(INDEX(PP_Grid[#Data],$DE1115,58),0)</f>
        <v/>
      </c>
      <c r="BJ1115">
        <f>IFERROR(INDEX(PP_Grid[#Data],$DE1115,59),0)</f>
        <v/>
      </c>
      <c r="BK1115">
        <f>IFERROR(INDEX(PP_Grid[#Data],$DE1115,60),0)</f>
        <v/>
      </c>
      <c r="BL1115">
        <f>IFERROR(INDEX(PP_Grid[#Data],$DE1115,61),0)</f>
        <v/>
      </c>
      <c r="BM1115">
        <f>IFERROR(INDEX(PP_Grid[#Data],$DE1115,62),0)</f>
        <v/>
      </c>
      <c r="BN1115">
        <f>IFERROR(INDEX(PP_Grid[#Data],$DE1115,63),0)</f>
        <v/>
      </c>
      <c r="BO1115">
        <f>IFERROR(INDEX(PP_Grid[#Data],$DE1115,64),0)</f>
        <v/>
      </c>
      <c r="BP1115">
        <f>IFERROR(INDEX(PP_Grid[#Data],$DE1115,65),0)</f>
        <v/>
      </c>
      <c r="BQ1115">
        <f>IFERROR(INDEX(PP_Grid[#Data],$DE1115,66),0)</f>
        <v/>
      </c>
      <c r="BR1115">
        <f>IFERROR(INDEX(PP_Grid[#Data],$DE1115,67),0)</f>
        <v/>
      </c>
      <c r="BS1115">
        <f>IFERROR(INDEX(PP_Grid[#Data],$DE1115,68),0)</f>
        <v/>
      </c>
      <c r="BT1115">
        <f>IFERROR(INDEX(PP_Grid[#Data],$DE1115,69),0)</f>
        <v/>
      </c>
      <c r="BU1115">
        <f>IFERROR(INDEX(PP_Grid[#Data],$DE1115,70),0)</f>
        <v/>
      </c>
      <c r="BV1115">
        <f>IFERROR(INDEX(PP_Grid[#Data],$DE1115,71),0)</f>
        <v/>
      </c>
      <c r="BW1115">
        <f>IFERROR(INDEX(PP_Grid[#Data],$DE1115,72),0)</f>
        <v/>
      </c>
      <c r="BX1115">
        <f>IFERROR(INDEX(PP_Grid[#Data],$DE1115,73),0)</f>
        <v/>
      </c>
      <c r="BY1115">
        <f>IFERROR(INDEX(PP_Grid[#Data],$DE1115,74),0)</f>
        <v/>
      </c>
      <c r="BZ1115">
        <f>IFERROR(INDEX(PP_Grid[#Data],$DE1115,75),0)</f>
        <v/>
      </c>
      <c r="CA1115">
        <f>IFERROR(INDEX(PP_Grid[#Data],$DE1115,76),0)</f>
        <v/>
      </c>
      <c r="CB1115">
        <f>IFERROR(INDEX(PP_Grid[#Data],$DE1115,77),0)</f>
        <v/>
      </c>
      <c r="CC1115">
        <f>IFERROR(INDEX(PP_Grid[#Data],$DE1115,78),0)</f>
        <v/>
      </c>
      <c r="CD1115">
        <f>IFERROR(INDEX(PP_Grid[#Data],$DE1115,79),0)</f>
        <v/>
      </c>
      <c r="CE1115">
        <f>IFERROR(INDEX(PP_Grid[#Data],$DE1115,80),0)</f>
        <v/>
      </c>
      <c r="CF1115">
        <f>IFERROR(INDEX(PP_Grid[#Data],$DE1115,81),0)</f>
        <v/>
      </c>
      <c r="CG1115">
        <f>IFERROR(INDEX(PP_Grid[#Data],$DE1115,82),0)</f>
        <v/>
      </c>
      <c r="CH1115">
        <f>IFERROR(INDEX(PP_Grid[#Data],$DE1115,83),0)</f>
        <v/>
      </c>
      <c r="CI1115">
        <f>IFERROR(INDEX(PP_Grid[#Data],$DE1115,84),0)</f>
        <v/>
      </c>
      <c r="CJ1115">
        <f>IFERROR(INDEX(PP_Grid[#Data],$DE1115,85),0)</f>
        <v/>
      </c>
      <c r="CK1115">
        <f>IFERROR(INDEX(PP_Grid[#Data],$DE1115,86),0)</f>
        <v/>
      </c>
      <c r="CL1115">
        <f>IFERROR(INDEX(PP_Grid[#Data],$DE1115,87),0)</f>
        <v/>
      </c>
      <c r="CM1115">
        <f>IFERROR(INDEX(PP_Grid[#Data],$DE1115,88),0)</f>
        <v/>
      </c>
      <c r="CN1115">
        <f>IFERROR(INDEX(PP_Grid[#Data],$DE1115,89),0)</f>
        <v/>
      </c>
      <c r="CO1115">
        <f>IFERROR(INDEX(PP_Grid[#Data],$DE1115,90),0)</f>
        <v/>
      </c>
      <c r="CP1115">
        <f>IFERROR(INDEX(PP_Grid[#Data],$DE1115,91),0)</f>
        <v/>
      </c>
      <c r="CQ1115">
        <f>IFERROR(INDEX(PP_Grid[#Data],$DE1115,92),0)</f>
        <v/>
      </c>
      <c r="CR1115">
        <f>IFERROR(INDEX(PP_Grid[#Data],$DE1115,93),0)</f>
        <v/>
      </c>
      <c r="CS1115">
        <f>IFERROR(INDEX(PP_Grid[#Data],$DE1115,94),0)</f>
        <v/>
      </c>
      <c r="CT1115">
        <f>IFERROR(INDEX(PP_Grid[#Data],$DE1115,95),0)</f>
        <v/>
      </c>
      <c r="CU1115">
        <f>IFERROR(INDEX(PP_Grid[#Data],$DE1115,96),0)</f>
        <v/>
      </c>
      <c r="CV1115">
        <f>IFERROR(INDEX(PP_Grid[#Data],$DE1115,97),0)</f>
        <v/>
      </c>
      <c r="CW1115">
        <f>IFERROR(INDEX(PP_Grid[#Data],$DE1115,98),0)</f>
        <v/>
      </c>
      <c r="CX1115">
        <f>IFERROR(INDEX(PP_Grid[#Data],$DE1115,99),0)</f>
        <v/>
      </c>
      <c r="CY1115">
        <f>IFERROR(INDEX(PP_Grid[#Data],$DE1115,100),0)</f>
        <v/>
      </c>
      <c r="CZ1115">
        <f>IFERROR(INDEX(PP_Grid[#Data],$DE1115,101),0)</f>
        <v/>
      </c>
      <c r="DA1115">
        <f>IFERROR(INDEX(PP_Grid[#Data],$DE1115,102),0)</f>
        <v/>
      </c>
      <c r="DB1115">
        <f>IFERROR(INDEX(PP_Grid[#Data],$DE1115,103),0)</f>
        <v/>
      </c>
      <c r="DC1115">
        <f>IFERROR(INDEX(PP_Grid[#Data],$DE1115,104),0)</f>
        <v/>
      </c>
      <c r="DD1115">
        <f>IFERROR(INDEX(PP_Grid[#Data],$DE1115,105),0)</f>
        <v/>
      </c>
      <c r="DE1115" s="7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SUMIFS(M_BOM[RM_Qty_Per_Batch],M_BOM[Intermediate],$B1115,M_BOM[RM_Code],$A1112)</f>
        <v/>
      </c>
      <c r="D1116">
        <f>IFERROR(INDEX(E1116:DD1116,$F$1),"")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  <c r="DD1116">
        <f>$C1116*DD1115</f>
        <v/>
      </c>
    </row>
    <row r="1117">
      <c r="B1117" t="inlineStr">
        <is>
          <t>TSP-710</t>
        </is>
      </c>
      <c r="C1117" t="inlineStr">
        <is>
          <t>No. of batches</t>
        </is>
      </c>
      <c r="D1117">
        <f>IFERROR(INDEX(E1117:DD1117,$F$1),"")</f>
        <v/>
      </c>
      <c r="E1117">
        <f>IFERROR(INDEX(PP_Grid[#Data],$DE1117,2),0)</f>
        <v/>
      </c>
      <c r="F1117">
        <f>IFERROR(INDEX(PP_Grid[#Data],$DE1117,3),0)</f>
        <v/>
      </c>
      <c r="G1117">
        <f>IFERROR(INDEX(PP_Grid[#Data],$DE1117,4),0)</f>
        <v/>
      </c>
      <c r="H1117">
        <f>IFERROR(INDEX(PP_Grid[#Data],$DE1117,5),0)</f>
        <v/>
      </c>
      <c r="I1117">
        <f>IFERROR(INDEX(PP_Grid[#Data],$DE1117,6),0)</f>
        <v/>
      </c>
      <c r="J1117">
        <f>IFERROR(INDEX(PP_Grid[#Data],$DE1117,7),0)</f>
        <v/>
      </c>
      <c r="K1117">
        <f>IFERROR(INDEX(PP_Grid[#Data],$DE1117,8),0)</f>
        <v/>
      </c>
      <c r="L1117">
        <f>IFERROR(INDEX(PP_Grid[#Data],$DE1117,9),0)</f>
        <v/>
      </c>
      <c r="M1117">
        <f>IFERROR(INDEX(PP_Grid[#Data],$DE1117,10),0)</f>
        <v/>
      </c>
      <c r="N1117">
        <f>IFERROR(INDEX(PP_Grid[#Data],$DE1117,11),0)</f>
        <v/>
      </c>
      <c r="O1117">
        <f>IFERROR(INDEX(PP_Grid[#Data],$DE1117,12),0)</f>
        <v/>
      </c>
      <c r="P1117">
        <f>IFERROR(INDEX(PP_Grid[#Data],$DE1117,13),0)</f>
        <v/>
      </c>
      <c r="Q1117">
        <f>IFERROR(INDEX(PP_Grid[#Data],$DE1117,14),0)</f>
        <v/>
      </c>
      <c r="R1117">
        <f>IFERROR(INDEX(PP_Grid[#Data],$DE1117,15),0)</f>
        <v/>
      </c>
      <c r="S1117">
        <f>IFERROR(INDEX(PP_Grid[#Data],$DE1117,16),0)</f>
        <v/>
      </c>
      <c r="T1117">
        <f>IFERROR(INDEX(PP_Grid[#Data],$DE1117,17),0)</f>
        <v/>
      </c>
      <c r="U1117">
        <f>IFERROR(INDEX(PP_Grid[#Data],$DE1117,18),0)</f>
        <v/>
      </c>
      <c r="V1117">
        <f>IFERROR(INDEX(PP_Grid[#Data],$DE1117,19),0)</f>
        <v/>
      </c>
      <c r="W1117">
        <f>IFERROR(INDEX(PP_Grid[#Data],$DE1117,20),0)</f>
        <v/>
      </c>
      <c r="X1117">
        <f>IFERROR(INDEX(PP_Grid[#Data],$DE1117,21),0)</f>
        <v/>
      </c>
      <c r="Y1117">
        <f>IFERROR(INDEX(PP_Grid[#Data],$DE1117,22),0)</f>
        <v/>
      </c>
      <c r="Z1117">
        <f>IFERROR(INDEX(PP_Grid[#Data],$DE1117,23),0)</f>
        <v/>
      </c>
      <c r="AA1117">
        <f>IFERROR(INDEX(PP_Grid[#Data],$DE1117,24),0)</f>
        <v/>
      </c>
      <c r="AB1117">
        <f>IFERROR(INDEX(PP_Grid[#Data],$DE1117,25),0)</f>
        <v/>
      </c>
      <c r="AC1117">
        <f>IFERROR(INDEX(PP_Grid[#Data],$DE1117,26),0)</f>
        <v/>
      </c>
      <c r="AD1117">
        <f>IFERROR(INDEX(PP_Grid[#Data],$DE1117,27),0)</f>
        <v/>
      </c>
      <c r="AE1117">
        <f>IFERROR(INDEX(PP_Grid[#Data],$DE1117,28),0)</f>
        <v/>
      </c>
      <c r="AF1117">
        <f>IFERROR(INDEX(PP_Grid[#Data],$DE1117,29),0)</f>
        <v/>
      </c>
      <c r="AG1117">
        <f>IFERROR(INDEX(PP_Grid[#Data],$DE1117,30),0)</f>
        <v/>
      </c>
      <c r="AH1117">
        <f>IFERROR(INDEX(PP_Grid[#Data],$DE1117,31),0)</f>
        <v/>
      </c>
      <c r="AI1117">
        <f>IFERROR(INDEX(PP_Grid[#Data],$DE1117,32),0)</f>
        <v/>
      </c>
      <c r="AJ1117">
        <f>IFERROR(INDEX(PP_Grid[#Data],$DE1117,33),0)</f>
        <v/>
      </c>
      <c r="AK1117">
        <f>IFERROR(INDEX(PP_Grid[#Data],$DE1117,34),0)</f>
        <v/>
      </c>
      <c r="AL1117">
        <f>IFERROR(INDEX(PP_Grid[#Data],$DE1117,35),0)</f>
        <v/>
      </c>
      <c r="AM1117">
        <f>IFERROR(INDEX(PP_Grid[#Data],$DE1117,36),0)</f>
        <v/>
      </c>
      <c r="AN1117">
        <f>IFERROR(INDEX(PP_Grid[#Data],$DE1117,37),0)</f>
        <v/>
      </c>
      <c r="AO1117">
        <f>IFERROR(INDEX(PP_Grid[#Data],$DE1117,38),0)</f>
        <v/>
      </c>
      <c r="AP1117">
        <f>IFERROR(INDEX(PP_Grid[#Data],$DE1117,39),0)</f>
        <v/>
      </c>
      <c r="AQ1117">
        <f>IFERROR(INDEX(PP_Grid[#Data],$DE1117,40),0)</f>
        <v/>
      </c>
      <c r="AR1117">
        <f>IFERROR(INDEX(PP_Grid[#Data],$DE1117,41),0)</f>
        <v/>
      </c>
      <c r="AS1117">
        <f>IFERROR(INDEX(PP_Grid[#Data],$DE1117,42),0)</f>
        <v/>
      </c>
      <c r="AT1117">
        <f>IFERROR(INDEX(PP_Grid[#Data],$DE1117,43),0)</f>
        <v/>
      </c>
      <c r="AU1117">
        <f>IFERROR(INDEX(PP_Grid[#Data],$DE1117,44),0)</f>
        <v/>
      </c>
      <c r="AV1117">
        <f>IFERROR(INDEX(PP_Grid[#Data],$DE1117,45),0)</f>
        <v/>
      </c>
      <c r="AW1117">
        <f>IFERROR(INDEX(PP_Grid[#Data],$DE1117,46),0)</f>
        <v/>
      </c>
      <c r="AX1117">
        <f>IFERROR(INDEX(PP_Grid[#Data],$DE1117,47),0)</f>
        <v/>
      </c>
      <c r="AY1117">
        <f>IFERROR(INDEX(PP_Grid[#Data],$DE1117,48),0)</f>
        <v/>
      </c>
      <c r="AZ1117">
        <f>IFERROR(INDEX(PP_Grid[#Data],$DE1117,49),0)</f>
        <v/>
      </c>
      <c r="BA1117">
        <f>IFERROR(INDEX(PP_Grid[#Data],$DE1117,50),0)</f>
        <v/>
      </c>
      <c r="BB1117">
        <f>IFERROR(INDEX(PP_Grid[#Data],$DE1117,51),0)</f>
        <v/>
      </c>
      <c r="BC1117">
        <f>IFERROR(INDEX(PP_Grid[#Data],$DE1117,52),0)</f>
        <v/>
      </c>
      <c r="BD1117">
        <f>IFERROR(INDEX(PP_Grid[#Data],$DE1117,53),0)</f>
        <v/>
      </c>
      <c r="BE1117">
        <f>IFERROR(INDEX(PP_Grid[#Data],$DE1117,54),0)</f>
        <v/>
      </c>
      <c r="BF1117">
        <f>IFERROR(INDEX(PP_Grid[#Data],$DE1117,55),0)</f>
        <v/>
      </c>
      <c r="BG1117">
        <f>IFERROR(INDEX(PP_Grid[#Data],$DE1117,56),0)</f>
        <v/>
      </c>
      <c r="BH1117">
        <f>IFERROR(INDEX(PP_Grid[#Data],$DE1117,57),0)</f>
        <v/>
      </c>
      <c r="BI1117">
        <f>IFERROR(INDEX(PP_Grid[#Data],$DE1117,58),0)</f>
        <v/>
      </c>
      <c r="BJ1117">
        <f>IFERROR(INDEX(PP_Grid[#Data],$DE1117,59),0)</f>
        <v/>
      </c>
      <c r="BK1117">
        <f>IFERROR(INDEX(PP_Grid[#Data],$DE1117,60),0)</f>
        <v/>
      </c>
      <c r="BL1117">
        <f>IFERROR(INDEX(PP_Grid[#Data],$DE1117,61),0)</f>
        <v/>
      </c>
      <c r="BM1117">
        <f>IFERROR(INDEX(PP_Grid[#Data],$DE1117,62),0)</f>
        <v/>
      </c>
      <c r="BN1117">
        <f>IFERROR(INDEX(PP_Grid[#Data],$DE1117,63),0)</f>
        <v/>
      </c>
      <c r="BO1117">
        <f>IFERROR(INDEX(PP_Grid[#Data],$DE1117,64),0)</f>
        <v/>
      </c>
      <c r="BP1117">
        <f>IFERROR(INDEX(PP_Grid[#Data],$DE1117,65),0)</f>
        <v/>
      </c>
      <c r="BQ1117">
        <f>IFERROR(INDEX(PP_Grid[#Data],$DE1117,66),0)</f>
        <v/>
      </c>
      <c r="BR1117">
        <f>IFERROR(INDEX(PP_Grid[#Data],$DE1117,67),0)</f>
        <v/>
      </c>
      <c r="BS1117">
        <f>IFERROR(INDEX(PP_Grid[#Data],$DE1117,68),0)</f>
        <v/>
      </c>
      <c r="BT1117">
        <f>IFERROR(INDEX(PP_Grid[#Data],$DE1117,69),0)</f>
        <v/>
      </c>
      <c r="BU1117">
        <f>IFERROR(INDEX(PP_Grid[#Data],$DE1117,70),0)</f>
        <v/>
      </c>
      <c r="BV1117">
        <f>IFERROR(INDEX(PP_Grid[#Data],$DE1117,71),0)</f>
        <v/>
      </c>
      <c r="BW1117">
        <f>IFERROR(INDEX(PP_Grid[#Data],$DE1117,72),0)</f>
        <v/>
      </c>
      <c r="BX1117">
        <f>IFERROR(INDEX(PP_Grid[#Data],$DE1117,73),0)</f>
        <v/>
      </c>
      <c r="BY1117">
        <f>IFERROR(INDEX(PP_Grid[#Data],$DE1117,74),0)</f>
        <v/>
      </c>
      <c r="BZ1117">
        <f>IFERROR(INDEX(PP_Grid[#Data],$DE1117,75),0)</f>
        <v/>
      </c>
      <c r="CA1117">
        <f>IFERROR(INDEX(PP_Grid[#Data],$DE1117,76),0)</f>
        <v/>
      </c>
      <c r="CB1117">
        <f>IFERROR(INDEX(PP_Grid[#Data],$DE1117,77),0)</f>
        <v/>
      </c>
      <c r="CC1117">
        <f>IFERROR(INDEX(PP_Grid[#Data],$DE1117,78),0)</f>
        <v/>
      </c>
      <c r="CD1117">
        <f>IFERROR(INDEX(PP_Grid[#Data],$DE1117,79),0)</f>
        <v/>
      </c>
      <c r="CE1117">
        <f>IFERROR(INDEX(PP_Grid[#Data],$DE1117,80),0)</f>
        <v/>
      </c>
      <c r="CF1117">
        <f>IFERROR(INDEX(PP_Grid[#Data],$DE1117,81),0)</f>
        <v/>
      </c>
      <c r="CG1117">
        <f>IFERROR(INDEX(PP_Grid[#Data],$DE1117,82),0)</f>
        <v/>
      </c>
      <c r="CH1117">
        <f>IFERROR(INDEX(PP_Grid[#Data],$DE1117,83),0)</f>
        <v/>
      </c>
      <c r="CI1117">
        <f>IFERROR(INDEX(PP_Grid[#Data],$DE1117,84),0)</f>
        <v/>
      </c>
      <c r="CJ1117">
        <f>IFERROR(INDEX(PP_Grid[#Data],$DE1117,85),0)</f>
        <v/>
      </c>
      <c r="CK1117">
        <f>IFERROR(INDEX(PP_Grid[#Data],$DE1117,86),0)</f>
        <v/>
      </c>
      <c r="CL1117">
        <f>IFERROR(INDEX(PP_Grid[#Data],$DE1117,87),0)</f>
        <v/>
      </c>
      <c r="CM1117">
        <f>IFERROR(INDEX(PP_Grid[#Data],$DE1117,88),0)</f>
        <v/>
      </c>
      <c r="CN1117">
        <f>IFERROR(INDEX(PP_Grid[#Data],$DE1117,89),0)</f>
        <v/>
      </c>
      <c r="CO1117">
        <f>IFERROR(INDEX(PP_Grid[#Data],$DE1117,90),0)</f>
        <v/>
      </c>
      <c r="CP1117">
        <f>IFERROR(INDEX(PP_Grid[#Data],$DE1117,91),0)</f>
        <v/>
      </c>
      <c r="CQ1117">
        <f>IFERROR(INDEX(PP_Grid[#Data],$DE1117,92),0)</f>
        <v/>
      </c>
      <c r="CR1117">
        <f>IFERROR(INDEX(PP_Grid[#Data],$DE1117,93),0)</f>
        <v/>
      </c>
      <c r="CS1117">
        <f>IFERROR(INDEX(PP_Grid[#Data],$DE1117,94),0)</f>
        <v/>
      </c>
      <c r="CT1117">
        <f>IFERROR(INDEX(PP_Grid[#Data],$DE1117,95),0)</f>
        <v/>
      </c>
      <c r="CU1117">
        <f>IFERROR(INDEX(PP_Grid[#Data],$DE1117,96),0)</f>
        <v/>
      </c>
      <c r="CV1117">
        <f>IFERROR(INDEX(PP_Grid[#Data],$DE1117,97),0)</f>
        <v/>
      </c>
      <c r="CW1117">
        <f>IFERROR(INDEX(PP_Grid[#Data],$DE1117,98),0)</f>
        <v/>
      </c>
      <c r="CX1117">
        <f>IFERROR(INDEX(PP_Grid[#Data],$DE1117,99),0)</f>
        <v/>
      </c>
      <c r="CY1117">
        <f>IFERROR(INDEX(PP_Grid[#Data],$DE1117,100),0)</f>
        <v/>
      </c>
      <c r="CZ1117">
        <f>IFERROR(INDEX(PP_Grid[#Data],$DE1117,101),0)</f>
        <v/>
      </c>
      <c r="DA1117">
        <f>IFERROR(INDEX(PP_Grid[#Data],$DE1117,102),0)</f>
        <v/>
      </c>
      <c r="DB1117">
        <f>IFERROR(INDEX(PP_Grid[#Data],$DE1117,103),0)</f>
        <v/>
      </c>
      <c r="DC1117">
        <f>IFERROR(INDEX(PP_Grid[#Data],$DE1117,104),0)</f>
        <v/>
      </c>
      <c r="DD1117">
        <f>IFERROR(INDEX(PP_Grid[#Data],$DE1117,105),0)</f>
        <v/>
      </c>
      <c r="DE1117" s="7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SUMIFS(M_BOM[RM_Qty_Per_Batch],M_BOM[Intermediate],$B1117,M_BOM[RM_Code],$A1112)</f>
        <v/>
      </c>
      <c r="D1118">
        <f>IFERROR(INDEX(E1118:DD1118,$F$1),"")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  <c r="DD1118">
        <f>$C1118*DD1117</f>
        <v/>
      </c>
    </row>
    <row r="1119">
      <c r="B1119" s="4" t="inlineStr">
        <is>
          <t>合計使用量(kg)/週</t>
        </is>
      </c>
      <c r="D1119" s="23">
        <f>IFERROR(INDEX(E1119:DD1119,$F$1),"")</f>
        <v/>
      </c>
      <c r="E1119">
        <f>'Grid_Requirement'!B51</f>
        <v/>
      </c>
      <c r="F1119">
        <f>'Grid_Requirement'!C51</f>
        <v/>
      </c>
      <c r="G1119">
        <f>'Grid_Requirement'!D51</f>
        <v/>
      </c>
      <c r="H1119">
        <f>'Grid_Requirement'!E51</f>
        <v/>
      </c>
      <c r="I1119">
        <f>'Grid_Requirement'!F51</f>
        <v/>
      </c>
      <c r="J1119">
        <f>'Grid_Requirement'!G51</f>
        <v/>
      </c>
      <c r="K1119">
        <f>'Grid_Requirement'!H51</f>
        <v/>
      </c>
      <c r="L1119">
        <f>'Grid_Requirement'!I51</f>
        <v/>
      </c>
      <c r="M1119">
        <f>'Grid_Requirement'!J51</f>
        <v/>
      </c>
      <c r="N1119">
        <f>'Grid_Requirement'!K51</f>
        <v/>
      </c>
      <c r="O1119">
        <f>'Grid_Requirement'!L51</f>
        <v/>
      </c>
      <c r="P1119">
        <f>'Grid_Requirement'!M51</f>
        <v/>
      </c>
      <c r="Q1119">
        <f>'Grid_Requirement'!N51</f>
        <v/>
      </c>
      <c r="R1119">
        <f>'Grid_Requirement'!O51</f>
        <v/>
      </c>
      <c r="S1119">
        <f>'Grid_Requirement'!P51</f>
        <v/>
      </c>
      <c r="T1119">
        <f>'Grid_Requirement'!Q51</f>
        <v/>
      </c>
      <c r="U1119">
        <f>'Grid_Requirement'!R51</f>
        <v/>
      </c>
      <c r="V1119">
        <f>'Grid_Requirement'!S51</f>
        <v/>
      </c>
      <c r="W1119">
        <f>'Grid_Requirement'!T51</f>
        <v/>
      </c>
      <c r="X1119">
        <f>'Grid_Requirement'!U51</f>
        <v/>
      </c>
      <c r="Y1119">
        <f>'Grid_Requirement'!V51</f>
        <v/>
      </c>
      <c r="Z1119">
        <f>'Grid_Requirement'!W51</f>
        <v/>
      </c>
      <c r="AA1119">
        <f>'Grid_Requirement'!X51</f>
        <v/>
      </c>
      <c r="AB1119">
        <f>'Grid_Requirement'!Y51</f>
        <v/>
      </c>
      <c r="AC1119">
        <f>'Grid_Requirement'!Z51</f>
        <v/>
      </c>
      <c r="AD1119">
        <f>'Grid_Requirement'!AA51</f>
        <v/>
      </c>
      <c r="AE1119">
        <f>'Grid_Requirement'!AB51</f>
        <v/>
      </c>
      <c r="AF1119">
        <f>'Grid_Requirement'!AC51</f>
        <v/>
      </c>
      <c r="AG1119">
        <f>'Grid_Requirement'!AD51</f>
        <v/>
      </c>
      <c r="AH1119">
        <f>'Grid_Requirement'!AE51</f>
        <v/>
      </c>
      <c r="AI1119">
        <f>'Grid_Requirement'!AF51</f>
        <v/>
      </c>
      <c r="AJ1119">
        <f>'Grid_Requirement'!AG51</f>
        <v/>
      </c>
      <c r="AK1119">
        <f>'Grid_Requirement'!AH51</f>
        <v/>
      </c>
      <c r="AL1119">
        <f>'Grid_Requirement'!AI51</f>
        <v/>
      </c>
      <c r="AM1119">
        <f>'Grid_Requirement'!AJ51</f>
        <v/>
      </c>
      <c r="AN1119">
        <f>'Grid_Requirement'!AK51</f>
        <v/>
      </c>
      <c r="AO1119">
        <f>'Grid_Requirement'!AL51</f>
        <v/>
      </c>
      <c r="AP1119">
        <f>'Grid_Requirement'!AM51</f>
        <v/>
      </c>
      <c r="AQ1119">
        <f>'Grid_Requirement'!AN51</f>
        <v/>
      </c>
      <c r="AR1119">
        <f>'Grid_Requirement'!AO51</f>
        <v/>
      </c>
      <c r="AS1119">
        <f>'Grid_Requirement'!AP51</f>
        <v/>
      </c>
      <c r="AT1119">
        <f>'Grid_Requirement'!AQ51</f>
        <v/>
      </c>
      <c r="AU1119">
        <f>'Grid_Requirement'!AR51</f>
        <v/>
      </c>
      <c r="AV1119">
        <f>'Grid_Requirement'!AS51</f>
        <v/>
      </c>
      <c r="AW1119">
        <f>'Grid_Requirement'!AT51</f>
        <v/>
      </c>
      <c r="AX1119">
        <f>'Grid_Requirement'!AU51</f>
        <v/>
      </c>
      <c r="AY1119">
        <f>'Grid_Requirement'!AV51</f>
        <v/>
      </c>
      <c r="AZ1119">
        <f>'Grid_Requirement'!AW51</f>
        <v/>
      </c>
      <c r="BA1119">
        <f>'Grid_Requirement'!AX51</f>
        <v/>
      </c>
      <c r="BB1119">
        <f>'Grid_Requirement'!AY51</f>
        <v/>
      </c>
      <c r="BC1119">
        <f>'Grid_Requirement'!AZ51</f>
        <v/>
      </c>
      <c r="BD1119">
        <f>'Grid_Requirement'!BA51</f>
        <v/>
      </c>
      <c r="BE1119">
        <f>'Grid_Requirement'!BB51</f>
        <v/>
      </c>
      <c r="BF1119">
        <f>'Grid_Requirement'!BC51</f>
        <v/>
      </c>
      <c r="BG1119">
        <f>'Grid_Requirement'!BD51</f>
        <v/>
      </c>
      <c r="BH1119">
        <f>'Grid_Requirement'!BE51</f>
        <v/>
      </c>
      <c r="BI1119">
        <f>'Grid_Requirement'!BF51</f>
        <v/>
      </c>
      <c r="BJ1119">
        <f>'Grid_Requirement'!BG51</f>
        <v/>
      </c>
      <c r="BK1119">
        <f>'Grid_Requirement'!BH51</f>
        <v/>
      </c>
      <c r="BL1119">
        <f>'Grid_Requirement'!BI51</f>
        <v/>
      </c>
      <c r="BM1119">
        <f>'Grid_Requirement'!BJ51</f>
        <v/>
      </c>
      <c r="BN1119">
        <f>'Grid_Requirement'!BK51</f>
        <v/>
      </c>
      <c r="BO1119">
        <f>'Grid_Requirement'!BL51</f>
        <v/>
      </c>
      <c r="BP1119">
        <f>'Grid_Requirement'!BM51</f>
        <v/>
      </c>
      <c r="BQ1119">
        <f>'Grid_Requirement'!BN51</f>
        <v/>
      </c>
      <c r="BR1119">
        <f>'Grid_Requirement'!BO51</f>
        <v/>
      </c>
      <c r="BS1119">
        <f>'Grid_Requirement'!BP51</f>
        <v/>
      </c>
      <c r="BT1119">
        <f>'Grid_Requirement'!BQ51</f>
        <v/>
      </c>
      <c r="BU1119">
        <f>'Grid_Requirement'!BR51</f>
        <v/>
      </c>
      <c r="BV1119">
        <f>'Grid_Requirement'!BS51</f>
        <v/>
      </c>
      <c r="BW1119">
        <f>'Grid_Requirement'!BT51</f>
        <v/>
      </c>
      <c r="BX1119">
        <f>'Grid_Requirement'!BU51</f>
        <v/>
      </c>
      <c r="BY1119">
        <f>'Grid_Requirement'!BV51</f>
        <v/>
      </c>
      <c r="BZ1119">
        <f>'Grid_Requirement'!BW51</f>
        <v/>
      </c>
      <c r="CA1119">
        <f>'Grid_Requirement'!BX51</f>
        <v/>
      </c>
      <c r="CB1119">
        <f>'Grid_Requirement'!BY51</f>
        <v/>
      </c>
      <c r="CC1119">
        <f>'Grid_Requirement'!BZ51</f>
        <v/>
      </c>
      <c r="CD1119">
        <f>'Grid_Requirement'!CA51</f>
        <v/>
      </c>
      <c r="CE1119">
        <f>'Grid_Requirement'!CB51</f>
        <v/>
      </c>
      <c r="CF1119">
        <f>'Grid_Requirement'!CC51</f>
        <v/>
      </c>
      <c r="CG1119">
        <f>'Grid_Requirement'!CD51</f>
        <v/>
      </c>
      <c r="CH1119">
        <f>'Grid_Requirement'!CE51</f>
        <v/>
      </c>
      <c r="CI1119">
        <f>'Grid_Requirement'!CF51</f>
        <v/>
      </c>
      <c r="CJ1119">
        <f>'Grid_Requirement'!CG51</f>
        <v/>
      </c>
      <c r="CK1119">
        <f>'Grid_Requirement'!CH51</f>
        <v/>
      </c>
      <c r="CL1119">
        <f>'Grid_Requirement'!CI51</f>
        <v/>
      </c>
      <c r="CM1119">
        <f>'Grid_Requirement'!CJ51</f>
        <v/>
      </c>
      <c r="CN1119">
        <f>'Grid_Requirement'!CK51</f>
        <v/>
      </c>
      <c r="CO1119">
        <f>'Grid_Requirement'!CL51</f>
        <v/>
      </c>
      <c r="CP1119">
        <f>'Grid_Requirement'!CM51</f>
        <v/>
      </c>
      <c r="CQ1119">
        <f>'Grid_Requirement'!CN51</f>
        <v/>
      </c>
      <c r="CR1119">
        <f>'Grid_Requirement'!CO51</f>
        <v/>
      </c>
      <c r="CS1119">
        <f>'Grid_Requirement'!CP51</f>
        <v/>
      </c>
      <c r="CT1119">
        <f>'Grid_Requirement'!CQ51</f>
        <v/>
      </c>
      <c r="CU1119">
        <f>'Grid_Requirement'!CR51</f>
        <v/>
      </c>
      <c r="CV1119">
        <f>'Grid_Requirement'!CS51</f>
        <v/>
      </c>
      <c r="CW1119">
        <f>'Grid_Requirement'!CT51</f>
        <v/>
      </c>
      <c r="CX1119">
        <f>'Grid_Requirement'!CU51</f>
        <v/>
      </c>
      <c r="CY1119">
        <f>'Grid_Requirement'!CV51</f>
        <v/>
      </c>
      <c r="CZ1119">
        <f>'Grid_Requirement'!CW51</f>
        <v/>
      </c>
      <c r="DA1119">
        <f>'Grid_Requirement'!CX51</f>
        <v/>
      </c>
      <c r="DB1119">
        <f>'Grid_Requirement'!CY51</f>
        <v/>
      </c>
      <c r="DC1119">
        <f>'Grid_Requirement'!CZ51</f>
        <v/>
      </c>
      <c r="DD1119">
        <f>'Grid_Requirement'!DA51</f>
        <v/>
      </c>
    </row>
    <row r="1120">
      <c r="B1120" t="inlineStr">
        <is>
          <t>TTAF在庫(実績,kg)</t>
        </is>
      </c>
      <c r="D1120">
        <f>IFERROR(INDEX(E1120:DD1120,$F$1),"")</f>
        <v/>
      </c>
      <c r="E1120">
        <f>IFERROR(SUMIFS(T_TTAFStock[TTAF_Qty],T_TTAFStock[RM_Code],$A1112,T_TTAFStock[WeekIndex],1),"")</f>
        <v/>
      </c>
      <c r="F1120">
        <f>IFERROR(SUMIFS(T_TTAFStock[TTAF_Qty],T_TTAFStock[RM_Code],$A1112,T_TTAFStock[WeekIndex],2),"")</f>
        <v/>
      </c>
      <c r="G1120">
        <f>IFERROR(SUMIFS(T_TTAFStock[TTAF_Qty],T_TTAFStock[RM_Code],$A1112,T_TTAFStock[WeekIndex],3),"")</f>
        <v/>
      </c>
      <c r="H1120">
        <f>IFERROR(SUMIFS(T_TTAFStock[TTAF_Qty],T_TTAFStock[RM_Code],$A1112,T_TTAFStock[WeekIndex],4),"")</f>
        <v/>
      </c>
      <c r="I1120">
        <f>IFERROR(SUMIFS(T_TTAFStock[TTAF_Qty],T_TTAFStock[RM_Code],$A1112,T_TTAFStock[WeekIndex],5),"")</f>
        <v/>
      </c>
      <c r="J1120">
        <f>IFERROR(SUMIFS(T_TTAFStock[TTAF_Qty],T_TTAFStock[RM_Code],$A1112,T_TTAFStock[WeekIndex],6),"")</f>
        <v/>
      </c>
      <c r="K1120">
        <f>IFERROR(SUMIFS(T_TTAFStock[TTAF_Qty],T_TTAFStock[RM_Code],$A1112,T_TTAFStock[WeekIndex],7),"")</f>
        <v/>
      </c>
      <c r="L1120">
        <f>IFERROR(SUMIFS(T_TTAFStock[TTAF_Qty],T_TTAFStock[RM_Code],$A1112,T_TTAFStock[WeekIndex],8),"")</f>
        <v/>
      </c>
      <c r="M1120">
        <f>IFERROR(SUMIFS(T_TTAFStock[TTAF_Qty],T_TTAFStock[RM_Code],$A1112,T_TTAFStock[WeekIndex],9),"")</f>
        <v/>
      </c>
      <c r="N1120">
        <f>IFERROR(SUMIFS(T_TTAFStock[TTAF_Qty],T_TTAFStock[RM_Code],$A1112,T_TTAFStock[WeekIndex],10),"")</f>
        <v/>
      </c>
      <c r="O1120">
        <f>IFERROR(SUMIFS(T_TTAFStock[TTAF_Qty],T_TTAFStock[RM_Code],$A1112,T_TTAFStock[WeekIndex],11),"")</f>
        <v/>
      </c>
      <c r="P1120">
        <f>IFERROR(SUMIFS(T_TTAFStock[TTAF_Qty],T_TTAFStock[RM_Code],$A1112,T_TTAFStock[WeekIndex],12),"")</f>
        <v/>
      </c>
      <c r="Q1120">
        <f>IFERROR(SUMIFS(T_TTAFStock[TTAF_Qty],T_TTAFStock[RM_Code],$A1112,T_TTAFStock[WeekIndex],13),"")</f>
        <v/>
      </c>
      <c r="R1120">
        <f>IFERROR(SUMIFS(T_TTAFStock[TTAF_Qty],T_TTAFStock[RM_Code],$A1112,T_TTAFStock[WeekIndex],14),"")</f>
        <v/>
      </c>
      <c r="S1120">
        <f>IFERROR(SUMIFS(T_TTAFStock[TTAF_Qty],T_TTAFStock[RM_Code],$A1112,T_TTAFStock[WeekIndex],15),"")</f>
        <v/>
      </c>
      <c r="T1120">
        <f>IFERROR(SUMIFS(T_TTAFStock[TTAF_Qty],T_TTAFStock[RM_Code],$A1112,T_TTAFStock[WeekIndex],16),"")</f>
        <v/>
      </c>
      <c r="U1120">
        <f>IFERROR(SUMIFS(T_TTAFStock[TTAF_Qty],T_TTAFStock[RM_Code],$A1112,T_TTAFStock[WeekIndex],17),"")</f>
        <v/>
      </c>
      <c r="V1120">
        <f>IFERROR(SUMIFS(T_TTAFStock[TTAF_Qty],T_TTAFStock[RM_Code],$A1112,T_TTAFStock[WeekIndex],18),"")</f>
        <v/>
      </c>
      <c r="W1120">
        <f>IFERROR(SUMIFS(T_TTAFStock[TTAF_Qty],T_TTAFStock[RM_Code],$A1112,T_TTAFStock[WeekIndex],19),"")</f>
        <v/>
      </c>
      <c r="X1120">
        <f>IFERROR(SUMIFS(T_TTAFStock[TTAF_Qty],T_TTAFStock[RM_Code],$A1112,T_TTAFStock[WeekIndex],20),"")</f>
        <v/>
      </c>
      <c r="Y1120">
        <f>IFERROR(SUMIFS(T_TTAFStock[TTAF_Qty],T_TTAFStock[RM_Code],$A1112,T_TTAFStock[WeekIndex],21),"")</f>
        <v/>
      </c>
      <c r="Z1120">
        <f>IFERROR(SUMIFS(T_TTAFStock[TTAF_Qty],T_TTAFStock[RM_Code],$A1112,T_TTAFStock[WeekIndex],22),"")</f>
        <v/>
      </c>
      <c r="AA1120">
        <f>IFERROR(SUMIFS(T_TTAFStock[TTAF_Qty],T_TTAFStock[RM_Code],$A1112,T_TTAFStock[WeekIndex],23),"")</f>
        <v/>
      </c>
      <c r="AB1120">
        <f>IFERROR(SUMIFS(T_TTAFStock[TTAF_Qty],T_TTAFStock[RM_Code],$A1112,T_TTAFStock[WeekIndex],24),"")</f>
        <v/>
      </c>
      <c r="AC1120">
        <f>IFERROR(SUMIFS(T_TTAFStock[TTAF_Qty],T_TTAFStock[RM_Code],$A1112,T_TTAFStock[WeekIndex],25),"")</f>
        <v/>
      </c>
      <c r="AD1120">
        <f>IFERROR(SUMIFS(T_TTAFStock[TTAF_Qty],T_TTAFStock[RM_Code],$A1112,T_TTAFStock[WeekIndex],26),"")</f>
        <v/>
      </c>
      <c r="AE1120">
        <f>IFERROR(SUMIFS(T_TTAFStock[TTAF_Qty],T_TTAFStock[RM_Code],$A1112,T_TTAFStock[WeekIndex],27),"")</f>
        <v/>
      </c>
      <c r="AF1120">
        <f>IFERROR(SUMIFS(T_TTAFStock[TTAF_Qty],T_TTAFStock[RM_Code],$A1112,T_TTAFStock[WeekIndex],28),"")</f>
        <v/>
      </c>
      <c r="AG1120">
        <f>IFERROR(SUMIFS(T_TTAFStock[TTAF_Qty],T_TTAFStock[RM_Code],$A1112,T_TTAFStock[WeekIndex],29),"")</f>
        <v/>
      </c>
      <c r="AH1120">
        <f>IFERROR(SUMIFS(T_TTAFStock[TTAF_Qty],T_TTAFStock[RM_Code],$A1112,T_TTAFStock[WeekIndex],30),"")</f>
        <v/>
      </c>
      <c r="AI1120">
        <f>IFERROR(SUMIFS(T_TTAFStock[TTAF_Qty],T_TTAFStock[RM_Code],$A1112,T_TTAFStock[WeekIndex],31),"")</f>
        <v/>
      </c>
      <c r="AJ1120">
        <f>IFERROR(SUMIFS(T_TTAFStock[TTAF_Qty],T_TTAFStock[RM_Code],$A1112,T_TTAFStock[WeekIndex],32),"")</f>
        <v/>
      </c>
      <c r="AK1120">
        <f>IFERROR(SUMIFS(T_TTAFStock[TTAF_Qty],T_TTAFStock[RM_Code],$A1112,T_TTAFStock[WeekIndex],33),"")</f>
        <v/>
      </c>
      <c r="AL1120">
        <f>IFERROR(SUMIFS(T_TTAFStock[TTAF_Qty],T_TTAFStock[RM_Code],$A1112,T_TTAFStock[WeekIndex],34),"")</f>
        <v/>
      </c>
      <c r="AM1120">
        <f>IFERROR(SUMIFS(T_TTAFStock[TTAF_Qty],T_TTAFStock[RM_Code],$A1112,T_TTAFStock[WeekIndex],35),"")</f>
        <v/>
      </c>
      <c r="AN1120">
        <f>IFERROR(SUMIFS(T_TTAFStock[TTAF_Qty],T_TTAFStock[RM_Code],$A1112,T_TTAFStock[WeekIndex],36),"")</f>
        <v/>
      </c>
      <c r="AO1120">
        <f>IFERROR(SUMIFS(T_TTAFStock[TTAF_Qty],T_TTAFStock[RM_Code],$A1112,T_TTAFStock[WeekIndex],37),"")</f>
        <v/>
      </c>
      <c r="AP1120">
        <f>IFERROR(SUMIFS(T_TTAFStock[TTAF_Qty],T_TTAFStock[RM_Code],$A1112,T_TTAFStock[WeekIndex],38),"")</f>
        <v/>
      </c>
      <c r="AQ1120">
        <f>IFERROR(SUMIFS(T_TTAFStock[TTAF_Qty],T_TTAFStock[RM_Code],$A1112,T_TTAFStock[WeekIndex],39),"")</f>
        <v/>
      </c>
      <c r="AR1120">
        <f>IFERROR(SUMIFS(T_TTAFStock[TTAF_Qty],T_TTAFStock[RM_Code],$A1112,T_TTAFStock[WeekIndex],40),"")</f>
        <v/>
      </c>
      <c r="AS1120">
        <f>IFERROR(SUMIFS(T_TTAFStock[TTAF_Qty],T_TTAFStock[RM_Code],$A1112,T_TTAFStock[WeekIndex],41),"")</f>
        <v/>
      </c>
      <c r="AT1120">
        <f>IFERROR(SUMIFS(T_TTAFStock[TTAF_Qty],T_TTAFStock[RM_Code],$A1112,T_TTAFStock[WeekIndex],42),"")</f>
        <v/>
      </c>
      <c r="AU1120">
        <f>IFERROR(SUMIFS(T_TTAFStock[TTAF_Qty],T_TTAFStock[RM_Code],$A1112,T_TTAFStock[WeekIndex],43),"")</f>
        <v/>
      </c>
      <c r="AV1120">
        <f>IFERROR(SUMIFS(T_TTAFStock[TTAF_Qty],T_TTAFStock[RM_Code],$A1112,T_TTAFStock[WeekIndex],44),"")</f>
        <v/>
      </c>
      <c r="AW1120">
        <f>IFERROR(SUMIFS(T_TTAFStock[TTAF_Qty],T_TTAFStock[RM_Code],$A1112,T_TTAFStock[WeekIndex],45),"")</f>
        <v/>
      </c>
      <c r="AX1120">
        <f>IFERROR(SUMIFS(T_TTAFStock[TTAF_Qty],T_TTAFStock[RM_Code],$A1112,T_TTAFStock[WeekIndex],46),"")</f>
        <v/>
      </c>
      <c r="AY1120">
        <f>IFERROR(SUMIFS(T_TTAFStock[TTAF_Qty],T_TTAFStock[RM_Code],$A1112,T_TTAFStock[WeekIndex],47),"")</f>
        <v/>
      </c>
      <c r="AZ1120">
        <f>IFERROR(SUMIFS(T_TTAFStock[TTAF_Qty],T_TTAFStock[RM_Code],$A1112,T_TTAFStock[WeekIndex],48),"")</f>
        <v/>
      </c>
      <c r="BA1120">
        <f>IFERROR(SUMIFS(T_TTAFStock[TTAF_Qty],T_TTAFStock[RM_Code],$A1112,T_TTAFStock[WeekIndex],49),"")</f>
        <v/>
      </c>
      <c r="BB1120">
        <f>IFERROR(SUMIFS(T_TTAFStock[TTAF_Qty],T_TTAFStock[RM_Code],$A1112,T_TTAFStock[WeekIndex],50),"")</f>
        <v/>
      </c>
      <c r="BC1120">
        <f>IFERROR(SUMIFS(T_TTAFStock[TTAF_Qty],T_TTAFStock[RM_Code],$A1112,T_TTAFStock[WeekIndex],51),"")</f>
        <v/>
      </c>
      <c r="BD1120">
        <f>IFERROR(SUMIFS(T_TTAFStock[TTAF_Qty],T_TTAFStock[RM_Code],$A1112,T_TTAFStock[WeekIndex],52),"")</f>
        <v/>
      </c>
      <c r="BE1120">
        <f>IFERROR(SUMIFS(T_TTAFStock[TTAF_Qty],T_TTAFStock[RM_Code],$A1112,T_TTAFStock[WeekIndex],53),"")</f>
        <v/>
      </c>
      <c r="BF1120">
        <f>IFERROR(SUMIFS(T_TTAFStock[TTAF_Qty],T_TTAFStock[RM_Code],$A1112,T_TTAFStock[WeekIndex],54),"")</f>
        <v/>
      </c>
      <c r="BG1120">
        <f>IFERROR(SUMIFS(T_TTAFStock[TTAF_Qty],T_TTAFStock[RM_Code],$A1112,T_TTAFStock[WeekIndex],55),"")</f>
        <v/>
      </c>
      <c r="BH1120">
        <f>IFERROR(SUMIFS(T_TTAFStock[TTAF_Qty],T_TTAFStock[RM_Code],$A1112,T_TTAFStock[WeekIndex],56),"")</f>
        <v/>
      </c>
      <c r="BI1120">
        <f>IFERROR(SUMIFS(T_TTAFStock[TTAF_Qty],T_TTAFStock[RM_Code],$A1112,T_TTAFStock[WeekIndex],57),"")</f>
        <v/>
      </c>
      <c r="BJ1120">
        <f>IFERROR(SUMIFS(T_TTAFStock[TTAF_Qty],T_TTAFStock[RM_Code],$A1112,T_TTAFStock[WeekIndex],58),"")</f>
        <v/>
      </c>
      <c r="BK1120">
        <f>IFERROR(SUMIFS(T_TTAFStock[TTAF_Qty],T_TTAFStock[RM_Code],$A1112,T_TTAFStock[WeekIndex],59),"")</f>
        <v/>
      </c>
      <c r="BL1120">
        <f>IFERROR(SUMIFS(T_TTAFStock[TTAF_Qty],T_TTAFStock[RM_Code],$A1112,T_TTAFStock[WeekIndex],60),"")</f>
        <v/>
      </c>
      <c r="BM1120">
        <f>IFERROR(SUMIFS(T_TTAFStock[TTAF_Qty],T_TTAFStock[RM_Code],$A1112,T_TTAFStock[WeekIndex],61),"")</f>
        <v/>
      </c>
      <c r="BN1120">
        <f>IFERROR(SUMIFS(T_TTAFStock[TTAF_Qty],T_TTAFStock[RM_Code],$A1112,T_TTAFStock[WeekIndex],62),"")</f>
        <v/>
      </c>
      <c r="BO1120">
        <f>IFERROR(SUMIFS(T_TTAFStock[TTAF_Qty],T_TTAFStock[RM_Code],$A1112,T_TTAFStock[WeekIndex],63),"")</f>
        <v/>
      </c>
      <c r="BP1120">
        <f>IFERROR(SUMIFS(T_TTAFStock[TTAF_Qty],T_TTAFStock[RM_Code],$A1112,T_TTAFStock[WeekIndex],64),"")</f>
        <v/>
      </c>
      <c r="BQ1120">
        <f>IFERROR(SUMIFS(T_TTAFStock[TTAF_Qty],T_TTAFStock[RM_Code],$A1112,T_TTAFStock[WeekIndex],65),"")</f>
        <v/>
      </c>
      <c r="BR1120">
        <f>IFERROR(SUMIFS(T_TTAFStock[TTAF_Qty],T_TTAFStock[RM_Code],$A1112,T_TTAFStock[WeekIndex],66),"")</f>
        <v/>
      </c>
      <c r="BS1120">
        <f>IFERROR(SUMIFS(T_TTAFStock[TTAF_Qty],T_TTAFStock[RM_Code],$A1112,T_TTAFStock[WeekIndex],67),"")</f>
        <v/>
      </c>
      <c r="BT1120">
        <f>IFERROR(SUMIFS(T_TTAFStock[TTAF_Qty],T_TTAFStock[RM_Code],$A1112,T_TTAFStock[WeekIndex],68),"")</f>
        <v/>
      </c>
      <c r="BU1120">
        <f>IFERROR(SUMIFS(T_TTAFStock[TTAF_Qty],T_TTAFStock[RM_Code],$A1112,T_TTAFStock[WeekIndex],69),"")</f>
        <v/>
      </c>
      <c r="BV1120">
        <f>IFERROR(SUMIFS(T_TTAFStock[TTAF_Qty],T_TTAFStock[RM_Code],$A1112,T_TTAFStock[WeekIndex],70),"")</f>
        <v/>
      </c>
      <c r="BW1120">
        <f>IFERROR(SUMIFS(T_TTAFStock[TTAF_Qty],T_TTAFStock[RM_Code],$A1112,T_TTAFStock[WeekIndex],71),"")</f>
        <v/>
      </c>
      <c r="BX1120">
        <f>IFERROR(SUMIFS(T_TTAFStock[TTAF_Qty],T_TTAFStock[RM_Code],$A1112,T_TTAFStock[WeekIndex],72),"")</f>
        <v/>
      </c>
      <c r="BY1120">
        <f>IFERROR(SUMIFS(T_TTAFStock[TTAF_Qty],T_TTAFStock[RM_Code],$A1112,T_TTAFStock[WeekIndex],73),"")</f>
        <v/>
      </c>
      <c r="BZ1120">
        <f>IFERROR(SUMIFS(T_TTAFStock[TTAF_Qty],T_TTAFStock[RM_Code],$A1112,T_TTAFStock[WeekIndex],74),"")</f>
        <v/>
      </c>
      <c r="CA1120">
        <f>IFERROR(SUMIFS(T_TTAFStock[TTAF_Qty],T_TTAFStock[RM_Code],$A1112,T_TTAFStock[WeekIndex],75),"")</f>
        <v/>
      </c>
      <c r="CB1120">
        <f>IFERROR(SUMIFS(T_TTAFStock[TTAF_Qty],T_TTAFStock[RM_Code],$A1112,T_TTAFStock[WeekIndex],76),"")</f>
        <v/>
      </c>
      <c r="CC1120">
        <f>IFERROR(SUMIFS(T_TTAFStock[TTAF_Qty],T_TTAFStock[RM_Code],$A1112,T_TTAFStock[WeekIndex],77),"")</f>
        <v/>
      </c>
      <c r="CD1120">
        <f>IFERROR(SUMIFS(T_TTAFStock[TTAF_Qty],T_TTAFStock[RM_Code],$A1112,T_TTAFStock[WeekIndex],78),"")</f>
        <v/>
      </c>
      <c r="CE1120">
        <f>IFERROR(SUMIFS(T_TTAFStock[TTAF_Qty],T_TTAFStock[RM_Code],$A1112,T_TTAFStock[WeekIndex],79),"")</f>
        <v/>
      </c>
      <c r="CF1120">
        <f>IFERROR(SUMIFS(T_TTAFStock[TTAF_Qty],T_TTAFStock[RM_Code],$A1112,T_TTAFStock[WeekIndex],80),"")</f>
        <v/>
      </c>
      <c r="CG1120">
        <f>IFERROR(SUMIFS(T_TTAFStock[TTAF_Qty],T_TTAFStock[RM_Code],$A1112,T_TTAFStock[WeekIndex],81),"")</f>
        <v/>
      </c>
      <c r="CH1120">
        <f>IFERROR(SUMIFS(T_TTAFStock[TTAF_Qty],T_TTAFStock[RM_Code],$A1112,T_TTAFStock[WeekIndex],82),"")</f>
        <v/>
      </c>
      <c r="CI1120">
        <f>IFERROR(SUMIFS(T_TTAFStock[TTAF_Qty],T_TTAFStock[RM_Code],$A1112,T_TTAFStock[WeekIndex],83),"")</f>
        <v/>
      </c>
      <c r="CJ1120">
        <f>IFERROR(SUMIFS(T_TTAFStock[TTAF_Qty],T_TTAFStock[RM_Code],$A1112,T_TTAFStock[WeekIndex],84),"")</f>
        <v/>
      </c>
      <c r="CK1120">
        <f>IFERROR(SUMIFS(T_TTAFStock[TTAF_Qty],T_TTAFStock[RM_Code],$A1112,T_TTAFStock[WeekIndex],85),"")</f>
        <v/>
      </c>
      <c r="CL1120">
        <f>IFERROR(SUMIFS(T_TTAFStock[TTAF_Qty],T_TTAFStock[RM_Code],$A1112,T_TTAFStock[WeekIndex],86),"")</f>
        <v/>
      </c>
      <c r="CM1120">
        <f>IFERROR(SUMIFS(T_TTAFStock[TTAF_Qty],T_TTAFStock[RM_Code],$A1112,T_TTAFStock[WeekIndex],87),"")</f>
        <v/>
      </c>
      <c r="CN1120">
        <f>IFERROR(SUMIFS(T_TTAFStock[TTAF_Qty],T_TTAFStock[RM_Code],$A1112,T_TTAFStock[WeekIndex],88),"")</f>
        <v/>
      </c>
      <c r="CO1120">
        <f>IFERROR(SUMIFS(T_TTAFStock[TTAF_Qty],T_TTAFStock[RM_Code],$A1112,T_TTAFStock[WeekIndex],89),"")</f>
        <v/>
      </c>
      <c r="CP1120">
        <f>IFERROR(SUMIFS(T_TTAFStock[TTAF_Qty],T_TTAFStock[RM_Code],$A1112,T_TTAFStock[WeekIndex],90),"")</f>
        <v/>
      </c>
      <c r="CQ1120">
        <f>IFERROR(SUMIFS(T_TTAFStock[TTAF_Qty],T_TTAFStock[RM_Code],$A1112,T_TTAFStock[WeekIndex],91),"")</f>
        <v/>
      </c>
      <c r="CR1120">
        <f>IFERROR(SUMIFS(T_TTAFStock[TTAF_Qty],T_TTAFStock[RM_Code],$A1112,T_TTAFStock[WeekIndex],92),"")</f>
        <v/>
      </c>
      <c r="CS1120">
        <f>IFERROR(SUMIFS(T_TTAFStock[TTAF_Qty],T_TTAFStock[RM_Code],$A1112,T_TTAFStock[WeekIndex],93),"")</f>
        <v/>
      </c>
      <c r="CT1120">
        <f>IFERROR(SUMIFS(T_TTAFStock[TTAF_Qty],T_TTAFStock[RM_Code],$A1112,T_TTAFStock[WeekIndex],94),"")</f>
        <v/>
      </c>
      <c r="CU1120">
        <f>IFERROR(SUMIFS(T_TTAFStock[TTAF_Qty],T_TTAFStock[RM_Code],$A1112,T_TTAFStock[WeekIndex],95),"")</f>
        <v/>
      </c>
      <c r="CV1120">
        <f>IFERROR(SUMIFS(T_TTAFStock[TTAF_Qty],T_TTAFStock[RM_Code],$A1112,T_TTAFStock[WeekIndex],96),"")</f>
        <v/>
      </c>
      <c r="CW1120">
        <f>IFERROR(SUMIFS(T_TTAFStock[TTAF_Qty],T_TTAFStock[RM_Code],$A1112,T_TTAFStock[WeekIndex],97),"")</f>
        <v/>
      </c>
      <c r="CX1120">
        <f>IFERROR(SUMIFS(T_TTAFStock[TTAF_Qty],T_TTAFStock[RM_Code],$A1112,T_TTAFStock[WeekIndex],98),"")</f>
        <v/>
      </c>
      <c r="CY1120">
        <f>IFERROR(SUMIFS(T_TTAFStock[TTAF_Qty],T_TTAFStock[RM_Code],$A1112,T_TTAFStock[WeekIndex],99),"")</f>
        <v/>
      </c>
      <c r="CZ1120">
        <f>IFERROR(SUMIFS(T_TTAFStock[TTAF_Qty],T_TTAFStock[RM_Code],$A1112,T_TTAFStock[WeekIndex],100),"")</f>
        <v/>
      </c>
      <c r="DA1120">
        <f>IFERROR(SUMIFS(T_TTAFStock[TTAF_Qty],T_TTAFStock[RM_Code],$A1112,T_TTAFStock[WeekIndex],101),"")</f>
        <v/>
      </c>
      <c r="DB1120">
        <f>IFERROR(SUMIFS(T_TTAFStock[TTAF_Qty],T_TTAFStock[RM_Code],$A1112,T_TTAFStock[WeekIndex],102),"")</f>
        <v/>
      </c>
      <c r="DC1120">
        <f>IFERROR(SUMIFS(T_TTAFStock[TTAF_Qty],T_TTAFStock[RM_Code],$A1112,T_TTAFStock[WeekIndex],103),"")</f>
        <v/>
      </c>
      <c r="DD1120">
        <f>IFERROR(SUMIFS(T_TTAFStock[TTAF_Qty],T_TTAFStock[RM_Code],$A1112,T_TTAFStock[WeekIndex],104),"")</f>
        <v/>
      </c>
    </row>
    <row r="1121">
      <c r="B1121" t="inlineStr">
        <is>
          <t>自社在庫(実績,kg)</t>
        </is>
      </c>
      <c r="D1121">
        <f>IFERROR(INDEX(E1121:DD1121,$F$1),"")</f>
        <v/>
      </c>
      <c r="E1121">
        <f>IFERROR(SUMIFS(T_SelfStock[Self_Qty],T_SelfStock[RM_Code],$A1112,T_SelfStock[WeekIndex],1),"")</f>
        <v/>
      </c>
      <c r="F1121">
        <f>IFERROR(SUMIFS(T_SelfStock[Self_Qty],T_SelfStock[RM_Code],$A1112,T_SelfStock[WeekIndex],2),"")</f>
        <v/>
      </c>
      <c r="G1121">
        <f>IFERROR(SUMIFS(T_SelfStock[Self_Qty],T_SelfStock[RM_Code],$A1112,T_SelfStock[WeekIndex],3),"")</f>
        <v/>
      </c>
      <c r="H1121">
        <f>IFERROR(SUMIFS(T_SelfStock[Self_Qty],T_SelfStock[RM_Code],$A1112,T_SelfStock[WeekIndex],4),"")</f>
        <v/>
      </c>
      <c r="I1121">
        <f>IFERROR(SUMIFS(T_SelfStock[Self_Qty],T_SelfStock[RM_Code],$A1112,T_SelfStock[WeekIndex],5),"")</f>
        <v/>
      </c>
      <c r="J1121">
        <f>IFERROR(SUMIFS(T_SelfStock[Self_Qty],T_SelfStock[RM_Code],$A1112,T_SelfStock[WeekIndex],6),"")</f>
        <v/>
      </c>
      <c r="K1121">
        <f>IFERROR(SUMIFS(T_SelfStock[Self_Qty],T_SelfStock[RM_Code],$A1112,T_SelfStock[WeekIndex],7),"")</f>
        <v/>
      </c>
      <c r="L1121">
        <f>IFERROR(SUMIFS(T_SelfStock[Self_Qty],T_SelfStock[RM_Code],$A1112,T_SelfStock[WeekIndex],8),"")</f>
        <v/>
      </c>
      <c r="M1121">
        <f>IFERROR(SUMIFS(T_SelfStock[Self_Qty],T_SelfStock[RM_Code],$A1112,T_SelfStock[WeekIndex],9),"")</f>
        <v/>
      </c>
      <c r="N1121">
        <f>IFERROR(SUMIFS(T_SelfStock[Self_Qty],T_SelfStock[RM_Code],$A1112,T_SelfStock[WeekIndex],10),"")</f>
        <v/>
      </c>
      <c r="O1121">
        <f>IFERROR(SUMIFS(T_SelfStock[Self_Qty],T_SelfStock[RM_Code],$A1112,T_SelfStock[WeekIndex],11),"")</f>
        <v/>
      </c>
      <c r="P1121">
        <f>IFERROR(SUMIFS(T_SelfStock[Self_Qty],T_SelfStock[RM_Code],$A1112,T_SelfStock[WeekIndex],12),"")</f>
        <v/>
      </c>
      <c r="Q1121">
        <f>IFERROR(SUMIFS(T_SelfStock[Self_Qty],T_SelfStock[RM_Code],$A1112,T_SelfStock[WeekIndex],13),"")</f>
        <v/>
      </c>
      <c r="R1121">
        <f>IFERROR(SUMIFS(T_SelfStock[Self_Qty],T_SelfStock[RM_Code],$A1112,T_SelfStock[WeekIndex],14),"")</f>
        <v/>
      </c>
      <c r="S1121">
        <f>IFERROR(SUMIFS(T_SelfStock[Self_Qty],T_SelfStock[RM_Code],$A1112,T_SelfStock[WeekIndex],15),"")</f>
        <v/>
      </c>
      <c r="T1121">
        <f>IFERROR(SUMIFS(T_SelfStock[Self_Qty],T_SelfStock[RM_Code],$A1112,T_SelfStock[WeekIndex],16),"")</f>
        <v/>
      </c>
      <c r="U1121">
        <f>IFERROR(SUMIFS(T_SelfStock[Self_Qty],T_SelfStock[RM_Code],$A1112,T_SelfStock[WeekIndex],17),"")</f>
        <v/>
      </c>
      <c r="V1121">
        <f>IFERROR(SUMIFS(T_SelfStock[Self_Qty],T_SelfStock[RM_Code],$A1112,T_SelfStock[WeekIndex],18),"")</f>
        <v/>
      </c>
      <c r="W1121">
        <f>IFERROR(SUMIFS(T_SelfStock[Self_Qty],T_SelfStock[RM_Code],$A1112,T_SelfStock[WeekIndex],19),"")</f>
        <v/>
      </c>
      <c r="X1121">
        <f>IFERROR(SUMIFS(T_SelfStock[Self_Qty],T_SelfStock[RM_Code],$A1112,T_SelfStock[WeekIndex],20),"")</f>
        <v/>
      </c>
      <c r="Y1121">
        <f>IFERROR(SUMIFS(T_SelfStock[Self_Qty],T_SelfStock[RM_Code],$A1112,T_SelfStock[WeekIndex],21),"")</f>
        <v/>
      </c>
      <c r="Z1121">
        <f>IFERROR(SUMIFS(T_SelfStock[Self_Qty],T_SelfStock[RM_Code],$A1112,T_SelfStock[WeekIndex],22),"")</f>
        <v/>
      </c>
      <c r="AA1121">
        <f>IFERROR(SUMIFS(T_SelfStock[Self_Qty],T_SelfStock[RM_Code],$A1112,T_SelfStock[WeekIndex],23),"")</f>
        <v/>
      </c>
      <c r="AB1121">
        <f>IFERROR(SUMIFS(T_SelfStock[Self_Qty],T_SelfStock[RM_Code],$A1112,T_SelfStock[WeekIndex],24),"")</f>
        <v/>
      </c>
      <c r="AC1121">
        <f>IFERROR(SUMIFS(T_SelfStock[Self_Qty],T_SelfStock[RM_Code],$A1112,T_SelfStock[WeekIndex],25),"")</f>
        <v/>
      </c>
      <c r="AD1121">
        <f>IFERROR(SUMIFS(T_SelfStock[Self_Qty],T_SelfStock[RM_Code],$A1112,T_SelfStock[WeekIndex],26),"")</f>
        <v/>
      </c>
      <c r="AE1121">
        <f>IFERROR(SUMIFS(T_SelfStock[Self_Qty],T_SelfStock[RM_Code],$A1112,T_SelfStock[WeekIndex],27),"")</f>
        <v/>
      </c>
      <c r="AF1121">
        <f>IFERROR(SUMIFS(T_SelfStock[Self_Qty],T_SelfStock[RM_Code],$A1112,T_SelfStock[WeekIndex],28),"")</f>
        <v/>
      </c>
      <c r="AG1121">
        <f>IFERROR(SUMIFS(T_SelfStock[Self_Qty],T_SelfStock[RM_Code],$A1112,T_SelfStock[WeekIndex],29),"")</f>
        <v/>
      </c>
      <c r="AH1121">
        <f>IFERROR(SUMIFS(T_SelfStock[Self_Qty],T_SelfStock[RM_Code],$A1112,T_SelfStock[WeekIndex],30),"")</f>
        <v/>
      </c>
      <c r="AI1121">
        <f>IFERROR(SUMIFS(T_SelfStock[Self_Qty],T_SelfStock[RM_Code],$A1112,T_SelfStock[WeekIndex],31),"")</f>
        <v/>
      </c>
      <c r="AJ1121">
        <f>IFERROR(SUMIFS(T_SelfStock[Self_Qty],T_SelfStock[RM_Code],$A1112,T_SelfStock[WeekIndex],32),"")</f>
        <v/>
      </c>
      <c r="AK1121">
        <f>IFERROR(SUMIFS(T_SelfStock[Self_Qty],T_SelfStock[RM_Code],$A1112,T_SelfStock[WeekIndex],33),"")</f>
        <v/>
      </c>
      <c r="AL1121">
        <f>IFERROR(SUMIFS(T_SelfStock[Self_Qty],T_SelfStock[RM_Code],$A1112,T_SelfStock[WeekIndex],34),"")</f>
        <v/>
      </c>
      <c r="AM1121">
        <f>IFERROR(SUMIFS(T_SelfStock[Self_Qty],T_SelfStock[RM_Code],$A1112,T_SelfStock[WeekIndex],35),"")</f>
        <v/>
      </c>
      <c r="AN1121">
        <f>IFERROR(SUMIFS(T_SelfStock[Self_Qty],T_SelfStock[RM_Code],$A1112,T_SelfStock[WeekIndex],36),"")</f>
        <v/>
      </c>
      <c r="AO1121">
        <f>IFERROR(SUMIFS(T_SelfStock[Self_Qty],T_SelfStock[RM_Code],$A1112,T_SelfStock[WeekIndex],37),"")</f>
        <v/>
      </c>
      <c r="AP1121">
        <f>IFERROR(SUMIFS(T_SelfStock[Self_Qty],T_SelfStock[RM_Code],$A1112,T_SelfStock[WeekIndex],38),"")</f>
        <v/>
      </c>
      <c r="AQ1121">
        <f>IFERROR(SUMIFS(T_SelfStock[Self_Qty],T_SelfStock[RM_Code],$A1112,T_SelfStock[WeekIndex],39),"")</f>
        <v/>
      </c>
      <c r="AR1121">
        <f>IFERROR(SUMIFS(T_SelfStock[Self_Qty],T_SelfStock[RM_Code],$A1112,T_SelfStock[WeekIndex],40),"")</f>
        <v/>
      </c>
      <c r="AS1121">
        <f>IFERROR(SUMIFS(T_SelfStock[Self_Qty],T_SelfStock[RM_Code],$A1112,T_SelfStock[WeekIndex],41),"")</f>
        <v/>
      </c>
      <c r="AT1121">
        <f>IFERROR(SUMIFS(T_SelfStock[Self_Qty],T_SelfStock[RM_Code],$A1112,T_SelfStock[WeekIndex],42),"")</f>
        <v/>
      </c>
      <c r="AU1121">
        <f>IFERROR(SUMIFS(T_SelfStock[Self_Qty],T_SelfStock[RM_Code],$A1112,T_SelfStock[WeekIndex],43),"")</f>
        <v/>
      </c>
      <c r="AV1121">
        <f>IFERROR(SUMIFS(T_SelfStock[Self_Qty],T_SelfStock[RM_Code],$A1112,T_SelfStock[WeekIndex],44),"")</f>
        <v/>
      </c>
      <c r="AW1121">
        <f>IFERROR(SUMIFS(T_SelfStock[Self_Qty],T_SelfStock[RM_Code],$A1112,T_SelfStock[WeekIndex],45),"")</f>
        <v/>
      </c>
      <c r="AX1121">
        <f>IFERROR(SUMIFS(T_SelfStock[Self_Qty],T_SelfStock[RM_Code],$A1112,T_SelfStock[WeekIndex],46),"")</f>
        <v/>
      </c>
      <c r="AY1121">
        <f>IFERROR(SUMIFS(T_SelfStock[Self_Qty],T_SelfStock[RM_Code],$A1112,T_SelfStock[WeekIndex],47),"")</f>
        <v/>
      </c>
      <c r="AZ1121">
        <f>IFERROR(SUMIFS(T_SelfStock[Self_Qty],T_SelfStock[RM_Code],$A1112,T_SelfStock[WeekIndex],48),"")</f>
        <v/>
      </c>
      <c r="BA1121">
        <f>IFERROR(SUMIFS(T_SelfStock[Self_Qty],T_SelfStock[RM_Code],$A1112,T_SelfStock[WeekIndex],49),"")</f>
        <v/>
      </c>
      <c r="BB1121">
        <f>IFERROR(SUMIFS(T_SelfStock[Self_Qty],T_SelfStock[RM_Code],$A1112,T_SelfStock[WeekIndex],50),"")</f>
        <v/>
      </c>
      <c r="BC1121">
        <f>IFERROR(SUMIFS(T_SelfStock[Self_Qty],T_SelfStock[RM_Code],$A1112,T_SelfStock[WeekIndex],51),"")</f>
        <v/>
      </c>
      <c r="BD1121">
        <f>IFERROR(SUMIFS(T_SelfStock[Self_Qty],T_SelfStock[RM_Code],$A1112,T_SelfStock[WeekIndex],52),"")</f>
        <v/>
      </c>
      <c r="BE1121">
        <f>IFERROR(SUMIFS(T_SelfStock[Self_Qty],T_SelfStock[RM_Code],$A1112,T_SelfStock[WeekIndex],53),"")</f>
        <v/>
      </c>
      <c r="BF1121">
        <f>IFERROR(SUMIFS(T_SelfStock[Self_Qty],T_SelfStock[RM_Code],$A1112,T_SelfStock[WeekIndex],54),"")</f>
        <v/>
      </c>
      <c r="BG1121">
        <f>IFERROR(SUMIFS(T_SelfStock[Self_Qty],T_SelfStock[RM_Code],$A1112,T_SelfStock[WeekIndex],55),"")</f>
        <v/>
      </c>
      <c r="BH1121">
        <f>IFERROR(SUMIFS(T_SelfStock[Self_Qty],T_SelfStock[RM_Code],$A1112,T_SelfStock[WeekIndex],56),"")</f>
        <v/>
      </c>
      <c r="BI1121">
        <f>IFERROR(SUMIFS(T_SelfStock[Self_Qty],T_SelfStock[RM_Code],$A1112,T_SelfStock[WeekIndex],57),"")</f>
        <v/>
      </c>
      <c r="BJ1121">
        <f>IFERROR(SUMIFS(T_SelfStock[Self_Qty],T_SelfStock[RM_Code],$A1112,T_SelfStock[WeekIndex],58),"")</f>
        <v/>
      </c>
      <c r="BK1121">
        <f>IFERROR(SUMIFS(T_SelfStock[Self_Qty],T_SelfStock[RM_Code],$A1112,T_SelfStock[WeekIndex],59),"")</f>
        <v/>
      </c>
      <c r="BL1121">
        <f>IFERROR(SUMIFS(T_SelfStock[Self_Qty],T_SelfStock[RM_Code],$A1112,T_SelfStock[WeekIndex],60),"")</f>
        <v/>
      </c>
      <c r="BM1121">
        <f>IFERROR(SUMIFS(T_SelfStock[Self_Qty],T_SelfStock[RM_Code],$A1112,T_SelfStock[WeekIndex],61),"")</f>
        <v/>
      </c>
      <c r="BN1121">
        <f>IFERROR(SUMIFS(T_SelfStock[Self_Qty],T_SelfStock[RM_Code],$A1112,T_SelfStock[WeekIndex],62),"")</f>
        <v/>
      </c>
      <c r="BO1121">
        <f>IFERROR(SUMIFS(T_SelfStock[Self_Qty],T_SelfStock[RM_Code],$A1112,T_SelfStock[WeekIndex],63),"")</f>
        <v/>
      </c>
      <c r="BP1121">
        <f>IFERROR(SUMIFS(T_SelfStock[Self_Qty],T_SelfStock[RM_Code],$A1112,T_SelfStock[WeekIndex],64),"")</f>
        <v/>
      </c>
      <c r="BQ1121">
        <f>IFERROR(SUMIFS(T_SelfStock[Self_Qty],T_SelfStock[RM_Code],$A1112,T_SelfStock[WeekIndex],65),"")</f>
        <v/>
      </c>
      <c r="BR1121">
        <f>IFERROR(SUMIFS(T_SelfStock[Self_Qty],T_SelfStock[RM_Code],$A1112,T_SelfStock[WeekIndex],66),"")</f>
        <v/>
      </c>
      <c r="BS1121">
        <f>IFERROR(SUMIFS(T_SelfStock[Self_Qty],T_SelfStock[RM_Code],$A1112,T_SelfStock[WeekIndex],67),"")</f>
        <v/>
      </c>
      <c r="BT1121">
        <f>IFERROR(SUMIFS(T_SelfStock[Self_Qty],T_SelfStock[RM_Code],$A1112,T_SelfStock[WeekIndex],68),"")</f>
        <v/>
      </c>
      <c r="BU1121">
        <f>IFERROR(SUMIFS(T_SelfStock[Self_Qty],T_SelfStock[RM_Code],$A1112,T_SelfStock[WeekIndex],69),"")</f>
        <v/>
      </c>
      <c r="BV1121">
        <f>IFERROR(SUMIFS(T_SelfStock[Self_Qty],T_SelfStock[RM_Code],$A1112,T_SelfStock[WeekIndex],70),"")</f>
        <v/>
      </c>
      <c r="BW1121">
        <f>IFERROR(SUMIFS(T_SelfStock[Self_Qty],T_SelfStock[RM_Code],$A1112,T_SelfStock[WeekIndex],71),"")</f>
        <v/>
      </c>
      <c r="BX1121">
        <f>IFERROR(SUMIFS(T_SelfStock[Self_Qty],T_SelfStock[RM_Code],$A1112,T_SelfStock[WeekIndex],72),"")</f>
        <v/>
      </c>
      <c r="BY1121">
        <f>IFERROR(SUMIFS(T_SelfStock[Self_Qty],T_SelfStock[RM_Code],$A1112,T_SelfStock[WeekIndex],73),"")</f>
        <v/>
      </c>
      <c r="BZ1121">
        <f>IFERROR(SUMIFS(T_SelfStock[Self_Qty],T_SelfStock[RM_Code],$A1112,T_SelfStock[WeekIndex],74),"")</f>
        <v/>
      </c>
      <c r="CA1121">
        <f>IFERROR(SUMIFS(T_SelfStock[Self_Qty],T_SelfStock[RM_Code],$A1112,T_SelfStock[WeekIndex],75),"")</f>
        <v/>
      </c>
      <c r="CB1121">
        <f>IFERROR(SUMIFS(T_SelfStock[Self_Qty],T_SelfStock[RM_Code],$A1112,T_SelfStock[WeekIndex],76),"")</f>
        <v/>
      </c>
      <c r="CC1121">
        <f>IFERROR(SUMIFS(T_SelfStock[Self_Qty],T_SelfStock[RM_Code],$A1112,T_SelfStock[WeekIndex],77),"")</f>
        <v/>
      </c>
      <c r="CD1121">
        <f>IFERROR(SUMIFS(T_SelfStock[Self_Qty],T_SelfStock[RM_Code],$A1112,T_SelfStock[WeekIndex],78),"")</f>
        <v/>
      </c>
      <c r="CE1121">
        <f>IFERROR(SUMIFS(T_SelfStock[Self_Qty],T_SelfStock[RM_Code],$A1112,T_SelfStock[WeekIndex],79),"")</f>
        <v/>
      </c>
      <c r="CF1121">
        <f>IFERROR(SUMIFS(T_SelfStock[Self_Qty],T_SelfStock[RM_Code],$A1112,T_SelfStock[WeekIndex],80),"")</f>
        <v/>
      </c>
      <c r="CG1121">
        <f>IFERROR(SUMIFS(T_SelfStock[Self_Qty],T_SelfStock[RM_Code],$A1112,T_SelfStock[WeekIndex],81),"")</f>
        <v/>
      </c>
      <c r="CH1121">
        <f>IFERROR(SUMIFS(T_SelfStock[Self_Qty],T_SelfStock[RM_Code],$A1112,T_SelfStock[WeekIndex],82),"")</f>
        <v/>
      </c>
      <c r="CI1121">
        <f>IFERROR(SUMIFS(T_SelfStock[Self_Qty],T_SelfStock[RM_Code],$A1112,T_SelfStock[WeekIndex],83),"")</f>
        <v/>
      </c>
      <c r="CJ1121">
        <f>IFERROR(SUMIFS(T_SelfStock[Self_Qty],T_SelfStock[RM_Code],$A1112,T_SelfStock[WeekIndex],84),"")</f>
        <v/>
      </c>
      <c r="CK1121">
        <f>IFERROR(SUMIFS(T_SelfStock[Self_Qty],T_SelfStock[RM_Code],$A1112,T_SelfStock[WeekIndex],85),"")</f>
        <v/>
      </c>
      <c r="CL1121">
        <f>IFERROR(SUMIFS(T_SelfStock[Self_Qty],T_SelfStock[RM_Code],$A1112,T_SelfStock[WeekIndex],86),"")</f>
        <v/>
      </c>
      <c r="CM1121">
        <f>IFERROR(SUMIFS(T_SelfStock[Self_Qty],T_SelfStock[RM_Code],$A1112,T_SelfStock[WeekIndex],87),"")</f>
        <v/>
      </c>
      <c r="CN1121">
        <f>IFERROR(SUMIFS(T_SelfStock[Self_Qty],T_SelfStock[RM_Code],$A1112,T_SelfStock[WeekIndex],88),"")</f>
        <v/>
      </c>
      <c r="CO1121">
        <f>IFERROR(SUMIFS(T_SelfStock[Self_Qty],T_SelfStock[RM_Code],$A1112,T_SelfStock[WeekIndex],89),"")</f>
        <v/>
      </c>
      <c r="CP1121">
        <f>IFERROR(SUMIFS(T_SelfStock[Self_Qty],T_SelfStock[RM_Code],$A1112,T_SelfStock[WeekIndex],90),"")</f>
        <v/>
      </c>
      <c r="CQ1121">
        <f>IFERROR(SUMIFS(T_SelfStock[Self_Qty],T_SelfStock[RM_Code],$A1112,T_SelfStock[WeekIndex],91),"")</f>
        <v/>
      </c>
      <c r="CR1121">
        <f>IFERROR(SUMIFS(T_SelfStock[Self_Qty],T_SelfStock[RM_Code],$A1112,T_SelfStock[WeekIndex],92),"")</f>
        <v/>
      </c>
      <c r="CS1121">
        <f>IFERROR(SUMIFS(T_SelfStock[Self_Qty],T_SelfStock[RM_Code],$A1112,T_SelfStock[WeekIndex],93),"")</f>
        <v/>
      </c>
      <c r="CT1121">
        <f>IFERROR(SUMIFS(T_SelfStock[Self_Qty],T_SelfStock[RM_Code],$A1112,T_SelfStock[WeekIndex],94),"")</f>
        <v/>
      </c>
      <c r="CU1121">
        <f>IFERROR(SUMIFS(T_SelfStock[Self_Qty],T_SelfStock[RM_Code],$A1112,T_SelfStock[WeekIndex],95),"")</f>
        <v/>
      </c>
      <c r="CV1121">
        <f>IFERROR(SUMIFS(T_SelfStock[Self_Qty],T_SelfStock[RM_Code],$A1112,T_SelfStock[WeekIndex],96),"")</f>
        <v/>
      </c>
      <c r="CW1121">
        <f>IFERROR(SUMIFS(T_SelfStock[Self_Qty],T_SelfStock[RM_Code],$A1112,T_SelfStock[WeekIndex],97),"")</f>
        <v/>
      </c>
      <c r="CX1121">
        <f>IFERROR(SUMIFS(T_SelfStock[Self_Qty],T_SelfStock[RM_Code],$A1112,T_SelfStock[WeekIndex],98),"")</f>
        <v/>
      </c>
      <c r="CY1121">
        <f>IFERROR(SUMIFS(T_SelfStock[Self_Qty],T_SelfStock[RM_Code],$A1112,T_SelfStock[WeekIndex],99),"")</f>
        <v/>
      </c>
      <c r="CZ1121">
        <f>IFERROR(SUMIFS(T_SelfStock[Self_Qty],T_SelfStock[RM_Code],$A1112,T_SelfStock[WeekIndex],100),"")</f>
        <v/>
      </c>
      <c r="DA1121">
        <f>IFERROR(SUMIFS(T_SelfStock[Self_Qty],T_SelfStock[RM_Code],$A1112,T_SelfStock[WeekIndex],101),"")</f>
        <v/>
      </c>
      <c r="DB1121">
        <f>IFERROR(SUMIFS(T_SelfStock[Self_Qty],T_SelfStock[RM_Code],$A1112,T_SelfStock[WeekIndex],102),"")</f>
        <v/>
      </c>
      <c r="DC1121">
        <f>IFERROR(SUMIFS(T_SelfStock[Self_Qty],T_SelfStock[RM_Code],$A1112,T_SelfStock[WeekIndex],103),"")</f>
        <v/>
      </c>
      <c r="DD1121">
        <f>IFERROR(SUMIFS(T_SelfStock[Self_Qty],T_SelfStock[RM_Code],$A1112,T_SelfStock[WeekIndex],104),"")</f>
        <v/>
      </c>
    </row>
    <row r="1122">
      <c r="B1122" s="4" t="inlineStr">
        <is>
          <t>合計在庫(週末時点,kg)</t>
        </is>
      </c>
      <c r="D1122" s="24">
        <f>IFERROR(INDEX(E1122:DD1122,$F$1),"")</f>
        <v/>
      </c>
      <c r="E1122">
        <f>'Grid_Stock'!B51</f>
        <v/>
      </c>
      <c r="F1122">
        <f>'Grid_Stock'!C51</f>
        <v/>
      </c>
      <c r="G1122">
        <f>'Grid_Stock'!D51</f>
        <v/>
      </c>
      <c r="H1122">
        <f>'Grid_Stock'!E51</f>
        <v/>
      </c>
      <c r="I1122">
        <f>'Grid_Stock'!F51</f>
        <v/>
      </c>
      <c r="J1122">
        <f>'Grid_Stock'!G51</f>
        <v/>
      </c>
      <c r="K1122">
        <f>'Grid_Stock'!H51</f>
        <v/>
      </c>
      <c r="L1122">
        <f>'Grid_Stock'!I51</f>
        <v/>
      </c>
      <c r="M1122">
        <f>'Grid_Stock'!J51</f>
        <v/>
      </c>
      <c r="N1122">
        <f>'Grid_Stock'!K51</f>
        <v/>
      </c>
      <c r="O1122">
        <f>'Grid_Stock'!L51</f>
        <v/>
      </c>
      <c r="P1122">
        <f>'Grid_Stock'!M51</f>
        <v/>
      </c>
      <c r="Q1122">
        <f>'Grid_Stock'!N51</f>
        <v/>
      </c>
      <c r="R1122">
        <f>'Grid_Stock'!O51</f>
        <v/>
      </c>
      <c r="S1122">
        <f>'Grid_Stock'!P51</f>
        <v/>
      </c>
      <c r="T1122">
        <f>'Grid_Stock'!Q51</f>
        <v/>
      </c>
      <c r="U1122">
        <f>'Grid_Stock'!R51</f>
        <v/>
      </c>
      <c r="V1122">
        <f>'Grid_Stock'!S51</f>
        <v/>
      </c>
      <c r="W1122">
        <f>'Grid_Stock'!T51</f>
        <v/>
      </c>
      <c r="X1122">
        <f>'Grid_Stock'!U51</f>
        <v/>
      </c>
      <c r="Y1122">
        <f>'Grid_Stock'!V51</f>
        <v/>
      </c>
      <c r="Z1122">
        <f>'Grid_Stock'!W51</f>
        <v/>
      </c>
      <c r="AA1122">
        <f>'Grid_Stock'!X51</f>
        <v/>
      </c>
      <c r="AB1122">
        <f>'Grid_Stock'!Y51</f>
        <v/>
      </c>
      <c r="AC1122">
        <f>'Grid_Stock'!Z51</f>
        <v/>
      </c>
      <c r="AD1122">
        <f>'Grid_Stock'!AA51</f>
        <v/>
      </c>
      <c r="AE1122">
        <f>'Grid_Stock'!AB51</f>
        <v/>
      </c>
      <c r="AF1122">
        <f>'Grid_Stock'!AC51</f>
        <v/>
      </c>
      <c r="AG1122">
        <f>'Grid_Stock'!AD51</f>
        <v/>
      </c>
      <c r="AH1122">
        <f>'Grid_Stock'!AE51</f>
        <v/>
      </c>
      <c r="AI1122">
        <f>'Grid_Stock'!AF51</f>
        <v/>
      </c>
      <c r="AJ1122">
        <f>'Grid_Stock'!AG51</f>
        <v/>
      </c>
      <c r="AK1122">
        <f>'Grid_Stock'!AH51</f>
        <v/>
      </c>
      <c r="AL1122">
        <f>'Grid_Stock'!AI51</f>
        <v/>
      </c>
      <c r="AM1122">
        <f>'Grid_Stock'!AJ51</f>
        <v/>
      </c>
      <c r="AN1122">
        <f>'Grid_Stock'!AK51</f>
        <v/>
      </c>
      <c r="AO1122">
        <f>'Grid_Stock'!AL51</f>
        <v/>
      </c>
      <c r="AP1122">
        <f>'Grid_Stock'!AM51</f>
        <v/>
      </c>
      <c r="AQ1122">
        <f>'Grid_Stock'!AN51</f>
        <v/>
      </c>
      <c r="AR1122">
        <f>'Grid_Stock'!AO51</f>
        <v/>
      </c>
      <c r="AS1122">
        <f>'Grid_Stock'!AP51</f>
        <v/>
      </c>
      <c r="AT1122">
        <f>'Grid_Stock'!AQ51</f>
        <v/>
      </c>
      <c r="AU1122">
        <f>'Grid_Stock'!AR51</f>
        <v/>
      </c>
      <c r="AV1122">
        <f>'Grid_Stock'!AS51</f>
        <v/>
      </c>
      <c r="AW1122">
        <f>'Grid_Stock'!AT51</f>
        <v/>
      </c>
      <c r="AX1122">
        <f>'Grid_Stock'!AU51</f>
        <v/>
      </c>
      <c r="AY1122">
        <f>'Grid_Stock'!AV51</f>
        <v/>
      </c>
      <c r="AZ1122">
        <f>'Grid_Stock'!AW51</f>
        <v/>
      </c>
      <c r="BA1122">
        <f>'Grid_Stock'!AX51</f>
        <v/>
      </c>
      <c r="BB1122">
        <f>'Grid_Stock'!AY51</f>
        <v/>
      </c>
      <c r="BC1122">
        <f>'Grid_Stock'!AZ51</f>
        <v/>
      </c>
      <c r="BD1122">
        <f>'Grid_Stock'!BA51</f>
        <v/>
      </c>
      <c r="BE1122">
        <f>'Grid_Stock'!BB51</f>
        <v/>
      </c>
      <c r="BF1122">
        <f>'Grid_Stock'!BC51</f>
        <v/>
      </c>
      <c r="BG1122">
        <f>'Grid_Stock'!BD51</f>
        <v/>
      </c>
      <c r="BH1122">
        <f>'Grid_Stock'!BE51</f>
        <v/>
      </c>
      <c r="BI1122">
        <f>'Grid_Stock'!BF51</f>
        <v/>
      </c>
      <c r="BJ1122">
        <f>'Grid_Stock'!BG51</f>
        <v/>
      </c>
      <c r="BK1122">
        <f>'Grid_Stock'!BH51</f>
        <v/>
      </c>
      <c r="BL1122">
        <f>'Grid_Stock'!BI51</f>
        <v/>
      </c>
      <c r="BM1122">
        <f>'Grid_Stock'!BJ51</f>
        <v/>
      </c>
      <c r="BN1122">
        <f>'Grid_Stock'!BK51</f>
        <v/>
      </c>
      <c r="BO1122">
        <f>'Grid_Stock'!BL51</f>
        <v/>
      </c>
      <c r="BP1122">
        <f>'Grid_Stock'!BM51</f>
        <v/>
      </c>
      <c r="BQ1122">
        <f>'Grid_Stock'!BN51</f>
        <v/>
      </c>
      <c r="BR1122">
        <f>'Grid_Stock'!BO51</f>
        <v/>
      </c>
      <c r="BS1122">
        <f>'Grid_Stock'!BP51</f>
        <v/>
      </c>
      <c r="BT1122">
        <f>'Grid_Stock'!BQ51</f>
        <v/>
      </c>
      <c r="BU1122">
        <f>'Grid_Stock'!BR51</f>
        <v/>
      </c>
      <c r="BV1122">
        <f>'Grid_Stock'!BS51</f>
        <v/>
      </c>
      <c r="BW1122">
        <f>'Grid_Stock'!BT51</f>
        <v/>
      </c>
      <c r="BX1122">
        <f>'Grid_Stock'!BU51</f>
        <v/>
      </c>
      <c r="BY1122">
        <f>'Grid_Stock'!BV51</f>
        <v/>
      </c>
      <c r="BZ1122">
        <f>'Grid_Stock'!BW51</f>
        <v/>
      </c>
      <c r="CA1122">
        <f>'Grid_Stock'!BX51</f>
        <v/>
      </c>
      <c r="CB1122">
        <f>'Grid_Stock'!BY51</f>
        <v/>
      </c>
      <c r="CC1122">
        <f>'Grid_Stock'!BZ51</f>
        <v/>
      </c>
      <c r="CD1122">
        <f>'Grid_Stock'!CA51</f>
        <v/>
      </c>
      <c r="CE1122">
        <f>'Grid_Stock'!CB51</f>
        <v/>
      </c>
      <c r="CF1122">
        <f>'Grid_Stock'!CC51</f>
        <v/>
      </c>
      <c r="CG1122">
        <f>'Grid_Stock'!CD51</f>
        <v/>
      </c>
      <c r="CH1122">
        <f>'Grid_Stock'!CE51</f>
        <v/>
      </c>
      <c r="CI1122">
        <f>'Grid_Stock'!CF51</f>
        <v/>
      </c>
      <c r="CJ1122">
        <f>'Grid_Stock'!CG51</f>
        <v/>
      </c>
      <c r="CK1122">
        <f>'Grid_Stock'!CH51</f>
        <v/>
      </c>
      <c r="CL1122">
        <f>'Grid_Stock'!CI51</f>
        <v/>
      </c>
      <c r="CM1122">
        <f>'Grid_Stock'!CJ51</f>
        <v/>
      </c>
      <c r="CN1122">
        <f>'Grid_Stock'!CK51</f>
        <v/>
      </c>
      <c r="CO1122">
        <f>'Grid_Stock'!CL51</f>
        <v/>
      </c>
      <c r="CP1122">
        <f>'Grid_Stock'!CM51</f>
        <v/>
      </c>
      <c r="CQ1122">
        <f>'Grid_Stock'!CN51</f>
        <v/>
      </c>
      <c r="CR1122">
        <f>'Grid_Stock'!CO51</f>
        <v/>
      </c>
      <c r="CS1122">
        <f>'Grid_Stock'!CP51</f>
        <v/>
      </c>
      <c r="CT1122">
        <f>'Grid_Stock'!CQ51</f>
        <v/>
      </c>
      <c r="CU1122">
        <f>'Grid_Stock'!CR51</f>
        <v/>
      </c>
      <c r="CV1122">
        <f>'Grid_Stock'!CS51</f>
        <v/>
      </c>
      <c r="CW1122">
        <f>'Grid_Stock'!CT51</f>
        <v/>
      </c>
      <c r="CX1122">
        <f>'Grid_Stock'!CU51</f>
        <v/>
      </c>
      <c r="CY1122">
        <f>'Grid_Stock'!CV51</f>
        <v/>
      </c>
      <c r="CZ1122">
        <f>'Grid_Stock'!CW51</f>
        <v/>
      </c>
      <c r="DA1122">
        <f>'Grid_Stock'!CX51</f>
        <v/>
      </c>
      <c r="DB1122">
        <f>'Grid_Stock'!CY51</f>
        <v/>
      </c>
      <c r="DC1122">
        <f>'Grid_Stock'!CZ51</f>
        <v/>
      </c>
      <c r="DD1122">
        <f>'Grid_Stock'!DA51</f>
        <v/>
      </c>
    </row>
    <row r="1123">
      <c r="B1123" s="25" t="inlineStr">
        <is>
          <t>（発注の目安はDashboardの基準在庫[下限/上限]と色分けを参照）</t>
        </is>
      </c>
    </row>
    <row r="1125">
      <c r="A1125" s="21" t="inlineStr">
        <is>
          <t>CHEM-1580</t>
        </is>
      </c>
      <c r="B1125" s="21" t="inlineStr">
        <is>
          <t>Barium Acetate</t>
        </is>
      </c>
      <c r="C1125" s="22" t="n"/>
      <c r="D1125" s="21" t="n"/>
      <c r="E1125" s="21" t="n"/>
      <c r="F1125" s="21" t="n"/>
      <c r="G1125" s="21" t="n"/>
      <c r="H1125" s="21" t="n"/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  <c r="AA1125" s="21" t="n"/>
      <c r="AB1125" s="21" t="n"/>
      <c r="AC1125" s="21" t="n"/>
      <c r="AD1125" s="21" t="n"/>
      <c r="AE1125" s="21" t="n"/>
      <c r="AF1125" s="21" t="n"/>
      <c r="AG1125" s="21" t="n"/>
      <c r="AH1125" s="21" t="n"/>
      <c r="AI1125" s="21" t="n"/>
      <c r="AJ1125" s="21" t="n"/>
      <c r="AK1125" s="21" t="n"/>
      <c r="AL1125" s="21" t="n"/>
      <c r="AM1125" s="21" t="n"/>
      <c r="AN1125" s="21" t="n"/>
      <c r="AO1125" s="21" t="n"/>
      <c r="AP1125" s="21" t="n"/>
      <c r="AQ1125" s="21" t="n"/>
      <c r="AR1125" s="21" t="n"/>
      <c r="AS1125" s="21" t="n"/>
      <c r="AT1125" s="21" t="n"/>
      <c r="AU1125" s="21" t="n"/>
      <c r="AV1125" s="21" t="n"/>
      <c r="AW1125" s="21" t="n"/>
      <c r="AX1125" s="21" t="n"/>
      <c r="AY1125" s="21" t="n"/>
      <c r="AZ1125" s="21" t="n"/>
      <c r="BA1125" s="21" t="n"/>
      <c r="BB1125" s="21" t="n"/>
      <c r="BC1125" s="21" t="n"/>
      <c r="BD1125" s="21" t="n"/>
      <c r="BE1125" s="21" t="n"/>
      <c r="BF1125" s="21" t="n"/>
      <c r="BG1125" s="21" t="n"/>
      <c r="BH1125" s="21" t="n"/>
      <c r="BI1125" s="21" t="n"/>
      <c r="BJ1125" s="21" t="n"/>
      <c r="BK1125" s="21" t="n"/>
      <c r="BL1125" s="21" t="n"/>
      <c r="BM1125" s="21" t="n"/>
      <c r="BN1125" s="21" t="n"/>
      <c r="BO1125" s="21" t="n"/>
      <c r="BP1125" s="21" t="n"/>
      <c r="BQ1125" s="21" t="n"/>
      <c r="BR1125" s="21" t="n"/>
      <c r="BS1125" s="21" t="n"/>
      <c r="BT1125" s="21" t="n"/>
      <c r="BU1125" s="21" t="n"/>
      <c r="BV1125" s="21" t="n"/>
      <c r="BW1125" s="21" t="n"/>
      <c r="BX1125" s="21" t="n"/>
      <c r="BY1125" s="21" t="n"/>
      <c r="BZ1125" s="21" t="n"/>
      <c r="CA1125" s="21" t="n"/>
      <c r="CB1125" s="21" t="n"/>
      <c r="CC1125" s="21" t="n"/>
      <c r="CD1125" s="21" t="n"/>
      <c r="CE1125" s="21" t="n"/>
      <c r="CF1125" s="21" t="n"/>
      <c r="CG1125" s="21" t="n"/>
      <c r="CH1125" s="21" t="n"/>
      <c r="CI1125" s="21" t="n"/>
      <c r="CJ1125" s="21" t="n"/>
      <c r="CK1125" s="21" t="n"/>
      <c r="CL1125" s="21" t="n"/>
      <c r="CM1125" s="21" t="n"/>
      <c r="CN1125" s="21" t="n"/>
      <c r="CO1125" s="21" t="n"/>
      <c r="CP1125" s="21" t="n"/>
      <c r="CQ1125" s="21" t="n"/>
      <c r="CR1125" s="21" t="n"/>
      <c r="CS1125" s="21" t="n"/>
      <c r="CT1125" s="21" t="n"/>
      <c r="CU1125" s="21" t="n"/>
      <c r="CV1125" s="21" t="n"/>
      <c r="CW1125" s="21" t="n"/>
      <c r="CX1125" s="21" t="n"/>
      <c r="CY1125" s="21" t="n"/>
      <c r="CZ1125" s="21" t="n"/>
      <c r="DA1125" s="21" t="n"/>
      <c r="DB1125" s="21" t="n"/>
      <c r="DC1125" s="21" t="n"/>
      <c r="DD1125" s="21" t="n"/>
    </row>
    <row r="1126">
      <c r="B1126" t="inlineStr">
        <is>
          <t>TSP-360</t>
        </is>
      </c>
      <c r="C1126" t="inlineStr">
        <is>
          <t>No. of batches</t>
        </is>
      </c>
      <c r="D1126">
        <f>IFERROR(INDEX(E1126:DD1126,$F$1),"")</f>
        <v/>
      </c>
      <c r="E1126">
        <f>IFERROR(INDEX(PP_Grid[#Data],$DE1126,2),0)</f>
        <v/>
      </c>
      <c r="F1126">
        <f>IFERROR(INDEX(PP_Grid[#Data],$DE1126,3),0)</f>
        <v/>
      </c>
      <c r="G1126">
        <f>IFERROR(INDEX(PP_Grid[#Data],$DE1126,4),0)</f>
        <v/>
      </c>
      <c r="H1126">
        <f>IFERROR(INDEX(PP_Grid[#Data],$DE1126,5),0)</f>
        <v/>
      </c>
      <c r="I1126">
        <f>IFERROR(INDEX(PP_Grid[#Data],$DE1126,6),0)</f>
        <v/>
      </c>
      <c r="J1126">
        <f>IFERROR(INDEX(PP_Grid[#Data],$DE1126,7),0)</f>
        <v/>
      </c>
      <c r="K1126">
        <f>IFERROR(INDEX(PP_Grid[#Data],$DE1126,8),0)</f>
        <v/>
      </c>
      <c r="L1126">
        <f>IFERROR(INDEX(PP_Grid[#Data],$DE1126,9),0)</f>
        <v/>
      </c>
      <c r="M1126">
        <f>IFERROR(INDEX(PP_Grid[#Data],$DE1126,10),0)</f>
        <v/>
      </c>
      <c r="N1126">
        <f>IFERROR(INDEX(PP_Grid[#Data],$DE1126,11),0)</f>
        <v/>
      </c>
      <c r="O1126">
        <f>IFERROR(INDEX(PP_Grid[#Data],$DE1126,12),0)</f>
        <v/>
      </c>
      <c r="P1126">
        <f>IFERROR(INDEX(PP_Grid[#Data],$DE1126,13),0)</f>
        <v/>
      </c>
      <c r="Q1126">
        <f>IFERROR(INDEX(PP_Grid[#Data],$DE1126,14),0)</f>
        <v/>
      </c>
      <c r="R1126">
        <f>IFERROR(INDEX(PP_Grid[#Data],$DE1126,15),0)</f>
        <v/>
      </c>
      <c r="S1126">
        <f>IFERROR(INDEX(PP_Grid[#Data],$DE1126,16),0)</f>
        <v/>
      </c>
      <c r="T1126">
        <f>IFERROR(INDEX(PP_Grid[#Data],$DE1126,17),0)</f>
        <v/>
      </c>
      <c r="U1126">
        <f>IFERROR(INDEX(PP_Grid[#Data],$DE1126,18),0)</f>
        <v/>
      </c>
      <c r="V1126">
        <f>IFERROR(INDEX(PP_Grid[#Data],$DE1126,19),0)</f>
        <v/>
      </c>
      <c r="W1126">
        <f>IFERROR(INDEX(PP_Grid[#Data],$DE1126,20),0)</f>
        <v/>
      </c>
      <c r="X1126">
        <f>IFERROR(INDEX(PP_Grid[#Data],$DE1126,21),0)</f>
        <v/>
      </c>
      <c r="Y1126">
        <f>IFERROR(INDEX(PP_Grid[#Data],$DE1126,22),0)</f>
        <v/>
      </c>
      <c r="Z1126">
        <f>IFERROR(INDEX(PP_Grid[#Data],$DE1126,23),0)</f>
        <v/>
      </c>
      <c r="AA1126">
        <f>IFERROR(INDEX(PP_Grid[#Data],$DE1126,24),0)</f>
        <v/>
      </c>
      <c r="AB1126">
        <f>IFERROR(INDEX(PP_Grid[#Data],$DE1126,25),0)</f>
        <v/>
      </c>
      <c r="AC1126">
        <f>IFERROR(INDEX(PP_Grid[#Data],$DE1126,26),0)</f>
        <v/>
      </c>
      <c r="AD1126">
        <f>IFERROR(INDEX(PP_Grid[#Data],$DE1126,27),0)</f>
        <v/>
      </c>
      <c r="AE1126">
        <f>IFERROR(INDEX(PP_Grid[#Data],$DE1126,28),0)</f>
        <v/>
      </c>
      <c r="AF1126">
        <f>IFERROR(INDEX(PP_Grid[#Data],$DE1126,29),0)</f>
        <v/>
      </c>
      <c r="AG1126">
        <f>IFERROR(INDEX(PP_Grid[#Data],$DE1126,30),0)</f>
        <v/>
      </c>
      <c r="AH1126">
        <f>IFERROR(INDEX(PP_Grid[#Data],$DE1126,31),0)</f>
        <v/>
      </c>
      <c r="AI1126">
        <f>IFERROR(INDEX(PP_Grid[#Data],$DE1126,32),0)</f>
        <v/>
      </c>
      <c r="AJ1126">
        <f>IFERROR(INDEX(PP_Grid[#Data],$DE1126,33),0)</f>
        <v/>
      </c>
      <c r="AK1126">
        <f>IFERROR(INDEX(PP_Grid[#Data],$DE1126,34),0)</f>
        <v/>
      </c>
      <c r="AL1126">
        <f>IFERROR(INDEX(PP_Grid[#Data],$DE1126,35),0)</f>
        <v/>
      </c>
      <c r="AM1126">
        <f>IFERROR(INDEX(PP_Grid[#Data],$DE1126,36),0)</f>
        <v/>
      </c>
      <c r="AN1126">
        <f>IFERROR(INDEX(PP_Grid[#Data],$DE1126,37),0)</f>
        <v/>
      </c>
      <c r="AO1126">
        <f>IFERROR(INDEX(PP_Grid[#Data],$DE1126,38),0)</f>
        <v/>
      </c>
      <c r="AP1126">
        <f>IFERROR(INDEX(PP_Grid[#Data],$DE1126,39),0)</f>
        <v/>
      </c>
      <c r="AQ1126">
        <f>IFERROR(INDEX(PP_Grid[#Data],$DE1126,40),0)</f>
        <v/>
      </c>
      <c r="AR1126">
        <f>IFERROR(INDEX(PP_Grid[#Data],$DE1126,41),0)</f>
        <v/>
      </c>
      <c r="AS1126">
        <f>IFERROR(INDEX(PP_Grid[#Data],$DE1126,42),0)</f>
        <v/>
      </c>
      <c r="AT1126">
        <f>IFERROR(INDEX(PP_Grid[#Data],$DE1126,43),0)</f>
        <v/>
      </c>
      <c r="AU1126">
        <f>IFERROR(INDEX(PP_Grid[#Data],$DE1126,44),0)</f>
        <v/>
      </c>
      <c r="AV1126">
        <f>IFERROR(INDEX(PP_Grid[#Data],$DE1126,45),0)</f>
        <v/>
      </c>
      <c r="AW1126">
        <f>IFERROR(INDEX(PP_Grid[#Data],$DE1126,46),0)</f>
        <v/>
      </c>
      <c r="AX1126">
        <f>IFERROR(INDEX(PP_Grid[#Data],$DE1126,47),0)</f>
        <v/>
      </c>
      <c r="AY1126">
        <f>IFERROR(INDEX(PP_Grid[#Data],$DE1126,48),0)</f>
        <v/>
      </c>
      <c r="AZ1126">
        <f>IFERROR(INDEX(PP_Grid[#Data],$DE1126,49),0)</f>
        <v/>
      </c>
      <c r="BA1126">
        <f>IFERROR(INDEX(PP_Grid[#Data],$DE1126,50),0)</f>
        <v/>
      </c>
      <c r="BB1126">
        <f>IFERROR(INDEX(PP_Grid[#Data],$DE1126,51),0)</f>
        <v/>
      </c>
      <c r="BC1126">
        <f>IFERROR(INDEX(PP_Grid[#Data],$DE1126,52),0)</f>
        <v/>
      </c>
      <c r="BD1126">
        <f>IFERROR(INDEX(PP_Grid[#Data],$DE1126,53),0)</f>
        <v/>
      </c>
      <c r="BE1126">
        <f>IFERROR(INDEX(PP_Grid[#Data],$DE1126,54),0)</f>
        <v/>
      </c>
      <c r="BF1126">
        <f>IFERROR(INDEX(PP_Grid[#Data],$DE1126,55),0)</f>
        <v/>
      </c>
      <c r="BG1126">
        <f>IFERROR(INDEX(PP_Grid[#Data],$DE1126,56),0)</f>
        <v/>
      </c>
      <c r="BH1126">
        <f>IFERROR(INDEX(PP_Grid[#Data],$DE1126,57),0)</f>
        <v/>
      </c>
      <c r="BI1126">
        <f>IFERROR(INDEX(PP_Grid[#Data],$DE1126,58),0)</f>
        <v/>
      </c>
      <c r="BJ1126">
        <f>IFERROR(INDEX(PP_Grid[#Data],$DE1126,59),0)</f>
        <v/>
      </c>
      <c r="BK1126">
        <f>IFERROR(INDEX(PP_Grid[#Data],$DE1126,60),0)</f>
        <v/>
      </c>
      <c r="BL1126">
        <f>IFERROR(INDEX(PP_Grid[#Data],$DE1126,61),0)</f>
        <v/>
      </c>
      <c r="BM1126">
        <f>IFERROR(INDEX(PP_Grid[#Data],$DE1126,62),0)</f>
        <v/>
      </c>
      <c r="BN1126">
        <f>IFERROR(INDEX(PP_Grid[#Data],$DE1126,63),0)</f>
        <v/>
      </c>
      <c r="BO1126">
        <f>IFERROR(INDEX(PP_Grid[#Data],$DE1126,64),0)</f>
        <v/>
      </c>
      <c r="BP1126">
        <f>IFERROR(INDEX(PP_Grid[#Data],$DE1126,65),0)</f>
        <v/>
      </c>
      <c r="BQ1126">
        <f>IFERROR(INDEX(PP_Grid[#Data],$DE1126,66),0)</f>
        <v/>
      </c>
      <c r="BR1126">
        <f>IFERROR(INDEX(PP_Grid[#Data],$DE1126,67),0)</f>
        <v/>
      </c>
      <c r="BS1126">
        <f>IFERROR(INDEX(PP_Grid[#Data],$DE1126,68),0)</f>
        <v/>
      </c>
      <c r="BT1126">
        <f>IFERROR(INDEX(PP_Grid[#Data],$DE1126,69),0)</f>
        <v/>
      </c>
      <c r="BU1126">
        <f>IFERROR(INDEX(PP_Grid[#Data],$DE1126,70),0)</f>
        <v/>
      </c>
      <c r="BV1126">
        <f>IFERROR(INDEX(PP_Grid[#Data],$DE1126,71),0)</f>
        <v/>
      </c>
      <c r="BW1126">
        <f>IFERROR(INDEX(PP_Grid[#Data],$DE1126,72),0)</f>
        <v/>
      </c>
      <c r="BX1126">
        <f>IFERROR(INDEX(PP_Grid[#Data],$DE1126,73),0)</f>
        <v/>
      </c>
      <c r="BY1126">
        <f>IFERROR(INDEX(PP_Grid[#Data],$DE1126,74),0)</f>
        <v/>
      </c>
      <c r="BZ1126">
        <f>IFERROR(INDEX(PP_Grid[#Data],$DE1126,75),0)</f>
        <v/>
      </c>
      <c r="CA1126">
        <f>IFERROR(INDEX(PP_Grid[#Data],$DE1126,76),0)</f>
        <v/>
      </c>
      <c r="CB1126">
        <f>IFERROR(INDEX(PP_Grid[#Data],$DE1126,77),0)</f>
        <v/>
      </c>
      <c r="CC1126">
        <f>IFERROR(INDEX(PP_Grid[#Data],$DE1126,78),0)</f>
        <v/>
      </c>
      <c r="CD1126">
        <f>IFERROR(INDEX(PP_Grid[#Data],$DE1126,79),0)</f>
        <v/>
      </c>
      <c r="CE1126">
        <f>IFERROR(INDEX(PP_Grid[#Data],$DE1126,80),0)</f>
        <v/>
      </c>
      <c r="CF1126">
        <f>IFERROR(INDEX(PP_Grid[#Data],$DE1126,81),0)</f>
        <v/>
      </c>
      <c r="CG1126">
        <f>IFERROR(INDEX(PP_Grid[#Data],$DE1126,82),0)</f>
        <v/>
      </c>
      <c r="CH1126">
        <f>IFERROR(INDEX(PP_Grid[#Data],$DE1126,83),0)</f>
        <v/>
      </c>
      <c r="CI1126">
        <f>IFERROR(INDEX(PP_Grid[#Data],$DE1126,84),0)</f>
        <v/>
      </c>
      <c r="CJ1126">
        <f>IFERROR(INDEX(PP_Grid[#Data],$DE1126,85),0)</f>
        <v/>
      </c>
      <c r="CK1126">
        <f>IFERROR(INDEX(PP_Grid[#Data],$DE1126,86),0)</f>
        <v/>
      </c>
      <c r="CL1126">
        <f>IFERROR(INDEX(PP_Grid[#Data],$DE1126,87),0)</f>
        <v/>
      </c>
      <c r="CM1126">
        <f>IFERROR(INDEX(PP_Grid[#Data],$DE1126,88),0)</f>
        <v/>
      </c>
      <c r="CN1126">
        <f>IFERROR(INDEX(PP_Grid[#Data],$DE1126,89),0)</f>
        <v/>
      </c>
      <c r="CO1126">
        <f>IFERROR(INDEX(PP_Grid[#Data],$DE1126,90),0)</f>
        <v/>
      </c>
      <c r="CP1126">
        <f>IFERROR(INDEX(PP_Grid[#Data],$DE1126,91),0)</f>
        <v/>
      </c>
      <c r="CQ1126">
        <f>IFERROR(INDEX(PP_Grid[#Data],$DE1126,92),0)</f>
        <v/>
      </c>
      <c r="CR1126">
        <f>IFERROR(INDEX(PP_Grid[#Data],$DE1126,93),0)</f>
        <v/>
      </c>
      <c r="CS1126">
        <f>IFERROR(INDEX(PP_Grid[#Data],$DE1126,94),0)</f>
        <v/>
      </c>
      <c r="CT1126">
        <f>IFERROR(INDEX(PP_Grid[#Data],$DE1126,95),0)</f>
        <v/>
      </c>
      <c r="CU1126">
        <f>IFERROR(INDEX(PP_Grid[#Data],$DE1126,96),0)</f>
        <v/>
      </c>
      <c r="CV1126">
        <f>IFERROR(INDEX(PP_Grid[#Data],$DE1126,97),0)</f>
        <v/>
      </c>
      <c r="CW1126">
        <f>IFERROR(INDEX(PP_Grid[#Data],$DE1126,98),0)</f>
        <v/>
      </c>
      <c r="CX1126">
        <f>IFERROR(INDEX(PP_Grid[#Data],$DE1126,99),0)</f>
        <v/>
      </c>
      <c r="CY1126">
        <f>IFERROR(INDEX(PP_Grid[#Data],$DE1126,100),0)</f>
        <v/>
      </c>
      <c r="CZ1126">
        <f>IFERROR(INDEX(PP_Grid[#Data],$DE1126,101),0)</f>
        <v/>
      </c>
      <c r="DA1126">
        <f>IFERROR(INDEX(PP_Grid[#Data],$DE1126,102),0)</f>
        <v/>
      </c>
      <c r="DB1126">
        <f>IFERROR(INDEX(PP_Grid[#Data],$DE1126,103),0)</f>
        <v/>
      </c>
      <c r="DC1126">
        <f>IFERROR(INDEX(PP_Grid[#Data],$DE1126,104),0)</f>
        <v/>
      </c>
      <c r="DD1126">
        <f>IFERROR(INDEX(PP_Grid[#Data],$DE1126,105),0)</f>
        <v/>
      </c>
      <c r="DE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SUMIFS(M_BOM[RM_Qty_Per_Batch],M_BOM[Intermediate],$B1126,M_BOM[RM_Code],$A1125)</f>
        <v/>
      </c>
      <c r="D1127">
        <f>IFERROR(INDEX(E1127:DD1127,$F$1),"")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  <c r="DD1127">
        <f>$C1127*DD1126</f>
        <v/>
      </c>
    </row>
    <row r="1128">
      <c r="B1128" t="inlineStr">
        <is>
          <t>TSP-367</t>
        </is>
      </c>
      <c r="C1128" t="inlineStr">
        <is>
          <t>No. of batches</t>
        </is>
      </c>
      <c r="D1128">
        <f>IFERROR(INDEX(E1128:DD1128,$F$1),"")</f>
        <v/>
      </c>
      <c r="E1128">
        <f>IFERROR(INDEX(PP_Grid[#Data],$DE1128,2),0)</f>
        <v/>
      </c>
      <c r="F1128">
        <f>IFERROR(INDEX(PP_Grid[#Data],$DE1128,3),0)</f>
        <v/>
      </c>
      <c r="G1128">
        <f>IFERROR(INDEX(PP_Grid[#Data],$DE1128,4),0)</f>
        <v/>
      </c>
      <c r="H1128">
        <f>IFERROR(INDEX(PP_Grid[#Data],$DE1128,5),0)</f>
        <v/>
      </c>
      <c r="I1128">
        <f>IFERROR(INDEX(PP_Grid[#Data],$DE1128,6),0)</f>
        <v/>
      </c>
      <c r="J1128">
        <f>IFERROR(INDEX(PP_Grid[#Data],$DE1128,7),0)</f>
        <v/>
      </c>
      <c r="K1128">
        <f>IFERROR(INDEX(PP_Grid[#Data],$DE1128,8),0)</f>
        <v/>
      </c>
      <c r="L1128">
        <f>IFERROR(INDEX(PP_Grid[#Data],$DE1128,9),0)</f>
        <v/>
      </c>
      <c r="M1128">
        <f>IFERROR(INDEX(PP_Grid[#Data],$DE1128,10),0)</f>
        <v/>
      </c>
      <c r="N1128">
        <f>IFERROR(INDEX(PP_Grid[#Data],$DE1128,11),0)</f>
        <v/>
      </c>
      <c r="O1128">
        <f>IFERROR(INDEX(PP_Grid[#Data],$DE1128,12),0)</f>
        <v/>
      </c>
      <c r="P1128">
        <f>IFERROR(INDEX(PP_Grid[#Data],$DE1128,13),0)</f>
        <v/>
      </c>
      <c r="Q1128">
        <f>IFERROR(INDEX(PP_Grid[#Data],$DE1128,14),0)</f>
        <v/>
      </c>
      <c r="R1128">
        <f>IFERROR(INDEX(PP_Grid[#Data],$DE1128,15),0)</f>
        <v/>
      </c>
      <c r="S1128">
        <f>IFERROR(INDEX(PP_Grid[#Data],$DE1128,16),0)</f>
        <v/>
      </c>
      <c r="T1128">
        <f>IFERROR(INDEX(PP_Grid[#Data],$DE1128,17),0)</f>
        <v/>
      </c>
      <c r="U1128">
        <f>IFERROR(INDEX(PP_Grid[#Data],$DE1128,18),0)</f>
        <v/>
      </c>
      <c r="V1128">
        <f>IFERROR(INDEX(PP_Grid[#Data],$DE1128,19),0)</f>
        <v/>
      </c>
      <c r="W1128">
        <f>IFERROR(INDEX(PP_Grid[#Data],$DE1128,20),0)</f>
        <v/>
      </c>
      <c r="X1128">
        <f>IFERROR(INDEX(PP_Grid[#Data],$DE1128,21),0)</f>
        <v/>
      </c>
      <c r="Y1128">
        <f>IFERROR(INDEX(PP_Grid[#Data],$DE1128,22),0)</f>
        <v/>
      </c>
      <c r="Z1128">
        <f>IFERROR(INDEX(PP_Grid[#Data],$DE1128,23),0)</f>
        <v/>
      </c>
      <c r="AA1128">
        <f>IFERROR(INDEX(PP_Grid[#Data],$DE1128,24),0)</f>
        <v/>
      </c>
      <c r="AB1128">
        <f>IFERROR(INDEX(PP_Grid[#Data],$DE1128,25),0)</f>
        <v/>
      </c>
      <c r="AC1128">
        <f>IFERROR(INDEX(PP_Grid[#Data],$DE1128,26),0)</f>
        <v/>
      </c>
      <c r="AD1128">
        <f>IFERROR(INDEX(PP_Grid[#Data],$DE1128,27),0)</f>
        <v/>
      </c>
      <c r="AE1128">
        <f>IFERROR(INDEX(PP_Grid[#Data],$DE1128,28),0)</f>
        <v/>
      </c>
      <c r="AF1128">
        <f>IFERROR(INDEX(PP_Grid[#Data],$DE1128,29),0)</f>
        <v/>
      </c>
      <c r="AG1128">
        <f>IFERROR(INDEX(PP_Grid[#Data],$DE1128,30),0)</f>
        <v/>
      </c>
      <c r="AH1128">
        <f>IFERROR(INDEX(PP_Grid[#Data],$DE1128,31),0)</f>
        <v/>
      </c>
      <c r="AI1128">
        <f>IFERROR(INDEX(PP_Grid[#Data],$DE1128,32),0)</f>
        <v/>
      </c>
      <c r="AJ1128">
        <f>IFERROR(INDEX(PP_Grid[#Data],$DE1128,33),0)</f>
        <v/>
      </c>
      <c r="AK1128">
        <f>IFERROR(INDEX(PP_Grid[#Data],$DE1128,34),0)</f>
        <v/>
      </c>
      <c r="AL1128">
        <f>IFERROR(INDEX(PP_Grid[#Data],$DE1128,35),0)</f>
        <v/>
      </c>
      <c r="AM1128">
        <f>IFERROR(INDEX(PP_Grid[#Data],$DE1128,36),0)</f>
        <v/>
      </c>
      <c r="AN1128">
        <f>IFERROR(INDEX(PP_Grid[#Data],$DE1128,37),0)</f>
        <v/>
      </c>
      <c r="AO1128">
        <f>IFERROR(INDEX(PP_Grid[#Data],$DE1128,38),0)</f>
        <v/>
      </c>
      <c r="AP1128">
        <f>IFERROR(INDEX(PP_Grid[#Data],$DE1128,39),0)</f>
        <v/>
      </c>
      <c r="AQ1128">
        <f>IFERROR(INDEX(PP_Grid[#Data],$DE1128,40),0)</f>
        <v/>
      </c>
      <c r="AR1128">
        <f>IFERROR(INDEX(PP_Grid[#Data],$DE1128,41),0)</f>
        <v/>
      </c>
      <c r="AS1128">
        <f>IFERROR(INDEX(PP_Grid[#Data],$DE1128,42),0)</f>
        <v/>
      </c>
      <c r="AT1128">
        <f>IFERROR(INDEX(PP_Grid[#Data],$DE1128,43),0)</f>
        <v/>
      </c>
      <c r="AU1128">
        <f>IFERROR(INDEX(PP_Grid[#Data],$DE1128,44),0)</f>
        <v/>
      </c>
      <c r="AV1128">
        <f>IFERROR(INDEX(PP_Grid[#Data],$DE1128,45),0)</f>
        <v/>
      </c>
      <c r="AW1128">
        <f>IFERROR(INDEX(PP_Grid[#Data],$DE1128,46),0)</f>
        <v/>
      </c>
      <c r="AX1128">
        <f>IFERROR(INDEX(PP_Grid[#Data],$DE1128,47),0)</f>
        <v/>
      </c>
      <c r="AY1128">
        <f>IFERROR(INDEX(PP_Grid[#Data],$DE1128,48),0)</f>
        <v/>
      </c>
      <c r="AZ1128">
        <f>IFERROR(INDEX(PP_Grid[#Data],$DE1128,49),0)</f>
        <v/>
      </c>
      <c r="BA1128">
        <f>IFERROR(INDEX(PP_Grid[#Data],$DE1128,50),0)</f>
        <v/>
      </c>
      <c r="BB1128">
        <f>IFERROR(INDEX(PP_Grid[#Data],$DE1128,51),0)</f>
        <v/>
      </c>
      <c r="BC1128">
        <f>IFERROR(INDEX(PP_Grid[#Data],$DE1128,52),0)</f>
        <v/>
      </c>
      <c r="BD1128">
        <f>IFERROR(INDEX(PP_Grid[#Data],$DE1128,53),0)</f>
        <v/>
      </c>
      <c r="BE1128">
        <f>IFERROR(INDEX(PP_Grid[#Data],$DE1128,54),0)</f>
        <v/>
      </c>
      <c r="BF1128">
        <f>IFERROR(INDEX(PP_Grid[#Data],$DE1128,55),0)</f>
        <v/>
      </c>
      <c r="BG1128">
        <f>IFERROR(INDEX(PP_Grid[#Data],$DE1128,56),0)</f>
        <v/>
      </c>
      <c r="BH1128">
        <f>IFERROR(INDEX(PP_Grid[#Data],$DE1128,57),0)</f>
        <v/>
      </c>
      <c r="BI1128">
        <f>IFERROR(INDEX(PP_Grid[#Data],$DE1128,58),0)</f>
        <v/>
      </c>
      <c r="BJ1128">
        <f>IFERROR(INDEX(PP_Grid[#Data],$DE1128,59),0)</f>
        <v/>
      </c>
      <c r="BK1128">
        <f>IFERROR(INDEX(PP_Grid[#Data],$DE1128,60),0)</f>
        <v/>
      </c>
      <c r="BL1128">
        <f>IFERROR(INDEX(PP_Grid[#Data],$DE1128,61),0)</f>
        <v/>
      </c>
      <c r="BM1128">
        <f>IFERROR(INDEX(PP_Grid[#Data],$DE1128,62),0)</f>
        <v/>
      </c>
      <c r="BN1128">
        <f>IFERROR(INDEX(PP_Grid[#Data],$DE1128,63),0)</f>
        <v/>
      </c>
      <c r="BO1128">
        <f>IFERROR(INDEX(PP_Grid[#Data],$DE1128,64),0)</f>
        <v/>
      </c>
      <c r="BP1128">
        <f>IFERROR(INDEX(PP_Grid[#Data],$DE1128,65),0)</f>
        <v/>
      </c>
      <c r="BQ1128">
        <f>IFERROR(INDEX(PP_Grid[#Data],$DE1128,66),0)</f>
        <v/>
      </c>
      <c r="BR1128">
        <f>IFERROR(INDEX(PP_Grid[#Data],$DE1128,67),0)</f>
        <v/>
      </c>
      <c r="BS1128">
        <f>IFERROR(INDEX(PP_Grid[#Data],$DE1128,68),0)</f>
        <v/>
      </c>
      <c r="BT1128">
        <f>IFERROR(INDEX(PP_Grid[#Data],$DE1128,69),0)</f>
        <v/>
      </c>
      <c r="BU1128">
        <f>IFERROR(INDEX(PP_Grid[#Data],$DE1128,70),0)</f>
        <v/>
      </c>
      <c r="BV1128">
        <f>IFERROR(INDEX(PP_Grid[#Data],$DE1128,71),0)</f>
        <v/>
      </c>
      <c r="BW1128">
        <f>IFERROR(INDEX(PP_Grid[#Data],$DE1128,72),0)</f>
        <v/>
      </c>
      <c r="BX1128">
        <f>IFERROR(INDEX(PP_Grid[#Data],$DE1128,73),0)</f>
        <v/>
      </c>
      <c r="BY1128">
        <f>IFERROR(INDEX(PP_Grid[#Data],$DE1128,74),0)</f>
        <v/>
      </c>
      <c r="BZ1128">
        <f>IFERROR(INDEX(PP_Grid[#Data],$DE1128,75),0)</f>
        <v/>
      </c>
      <c r="CA1128">
        <f>IFERROR(INDEX(PP_Grid[#Data],$DE1128,76),0)</f>
        <v/>
      </c>
      <c r="CB1128">
        <f>IFERROR(INDEX(PP_Grid[#Data],$DE1128,77),0)</f>
        <v/>
      </c>
      <c r="CC1128">
        <f>IFERROR(INDEX(PP_Grid[#Data],$DE1128,78),0)</f>
        <v/>
      </c>
      <c r="CD1128">
        <f>IFERROR(INDEX(PP_Grid[#Data],$DE1128,79),0)</f>
        <v/>
      </c>
      <c r="CE1128">
        <f>IFERROR(INDEX(PP_Grid[#Data],$DE1128,80),0)</f>
        <v/>
      </c>
      <c r="CF1128">
        <f>IFERROR(INDEX(PP_Grid[#Data],$DE1128,81),0)</f>
        <v/>
      </c>
      <c r="CG1128">
        <f>IFERROR(INDEX(PP_Grid[#Data],$DE1128,82),0)</f>
        <v/>
      </c>
      <c r="CH1128">
        <f>IFERROR(INDEX(PP_Grid[#Data],$DE1128,83),0)</f>
        <v/>
      </c>
      <c r="CI1128">
        <f>IFERROR(INDEX(PP_Grid[#Data],$DE1128,84),0)</f>
        <v/>
      </c>
      <c r="CJ1128">
        <f>IFERROR(INDEX(PP_Grid[#Data],$DE1128,85),0)</f>
        <v/>
      </c>
      <c r="CK1128">
        <f>IFERROR(INDEX(PP_Grid[#Data],$DE1128,86),0)</f>
        <v/>
      </c>
      <c r="CL1128">
        <f>IFERROR(INDEX(PP_Grid[#Data],$DE1128,87),0)</f>
        <v/>
      </c>
      <c r="CM1128">
        <f>IFERROR(INDEX(PP_Grid[#Data],$DE1128,88),0)</f>
        <v/>
      </c>
      <c r="CN1128">
        <f>IFERROR(INDEX(PP_Grid[#Data],$DE1128,89),0)</f>
        <v/>
      </c>
      <c r="CO1128">
        <f>IFERROR(INDEX(PP_Grid[#Data],$DE1128,90),0)</f>
        <v/>
      </c>
      <c r="CP1128">
        <f>IFERROR(INDEX(PP_Grid[#Data],$DE1128,91),0)</f>
        <v/>
      </c>
      <c r="CQ1128">
        <f>IFERROR(INDEX(PP_Grid[#Data],$DE1128,92),0)</f>
        <v/>
      </c>
      <c r="CR1128">
        <f>IFERROR(INDEX(PP_Grid[#Data],$DE1128,93),0)</f>
        <v/>
      </c>
      <c r="CS1128">
        <f>IFERROR(INDEX(PP_Grid[#Data],$DE1128,94),0)</f>
        <v/>
      </c>
      <c r="CT1128">
        <f>IFERROR(INDEX(PP_Grid[#Data],$DE1128,95),0)</f>
        <v/>
      </c>
      <c r="CU1128">
        <f>IFERROR(INDEX(PP_Grid[#Data],$DE1128,96),0)</f>
        <v/>
      </c>
      <c r="CV1128">
        <f>IFERROR(INDEX(PP_Grid[#Data],$DE1128,97),0)</f>
        <v/>
      </c>
      <c r="CW1128">
        <f>IFERROR(INDEX(PP_Grid[#Data],$DE1128,98),0)</f>
        <v/>
      </c>
      <c r="CX1128">
        <f>IFERROR(INDEX(PP_Grid[#Data],$DE1128,99),0)</f>
        <v/>
      </c>
      <c r="CY1128">
        <f>IFERROR(INDEX(PP_Grid[#Data],$DE1128,100),0)</f>
        <v/>
      </c>
      <c r="CZ1128">
        <f>IFERROR(INDEX(PP_Grid[#Data],$DE1128,101),0)</f>
        <v/>
      </c>
      <c r="DA1128">
        <f>IFERROR(INDEX(PP_Grid[#Data],$DE1128,102),0)</f>
        <v/>
      </c>
      <c r="DB1128">
        <f>IFERROR(INDEX(PP_Grid[#Data],$DE1128,103),0)</f>
        <v/>
      </c>
      <c r="DC1128">
        <f>IFERROR(INDEX(PP_Grid[#Data],$DE1128,104),0)</f>
        <v/>
      </c>
      <c r="DD1128">
        <f>IFERROR(INDEX(PP_Grid[#Data],$DE1128,105),0)</f>
        <v/>
      </c>
      <c r="DE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SUMIFS(M_BOM[RM_Qty_Per_Batch],M_BOM[Intermediate],$B1128,M_BOM[RM_Code],$A1125)</f>
        <v/>
      </c>
      <c r="D1129">
        <f>IFERROR(INDEX(E1129:DD1129,$F$1),"")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  <c r="DD1129">
        <f>$C1129*DD1128</f>
        <v/>
      </c>
    </row>
    <row r="1130">
      <c r="B1130" t="inlineStr">
        <is>
          <t>TSP-544</t>
        </is>
      </c>
      <c r="C1130" t="inlineStr">
        <is>
          <t>No. of batches</t>
        </is>
      </c>
      <c r="D1130">
        <f>IFERROR(INDEX(E1130:DD1130,$F$1),"")</f>
        <v/>
      </c>
      <c r="E1130">
        <f>IFERROR(INDEX(PP_Grid[#Data],$DE1130,2),0)</f>
        <v/>
      </c>
      <c r="F1130">
        <f>IFERROR(INDEX(PP_Grid[#Data],$DE1130,3),0)</f>
        <v/>
      </c>
      <c r="G1130">
        <f>IFERROR(INDEX(PP_Grid[#Data],$DE1130,4),0)</f>
        <v/>
      </c>
      <c r="H1130">
        <f>IFERROR(INDEX(PP_Grid[#Data],$DE1130,5),0)</f>
        <v/>
      </c>
      <c r="I1130">
        <f>IFERROR(INDEX(PP_Grid[#Data],$DE1130,6),0)</f>
        <v/>
      </c>
      <c r="J1130">
        <f>IFERROR(INDEX(PP_Grid[#Data],$DE1130,7),0)</f>
        <v/>
      </c>
      <c r="K1130">
        <f>IFERROR(INDEX(PP_Grid[#Data],$DE1130,8),0)</f>
        <v/>
      </c>
      <c r="L1130">
        <f>IFERROR(INDEX(PP_Grid[#Data],$DE1130,9),0)</f>
        <v/>
      </c>
      <c r="M1130">
        <f>IFERROR(INDEX(PP_Grid[#Data],$DE1130,10),0)</f>
        <v/>
      </c>
      <c r="N1130">
        <f>IFERROR(INDEX(PP_Grid[#Data],$DE1130,11),0)</f>
        <v/>
      </c>
      <c r="O1130">
        <f>IFERROR(INDEX(PP_Grid[#Data],$DE1130,12),0)</f>
        <v/>
      </c>
      <c r="P1130">
        <f>IFERROR(INDEX(PP_Grid[#Data],$DE1130,13),0)</f>
        <v/>
      </c>
      <c r="Q1130">
        <f>IFERROR(INDEX(PP_Grid[#Data],$DE1130,14),0)</f>
        <v/>
      </c>
      <c r="R1130">
        <f>IFERROR(INDEX(PP_Grid[#Data],$DE1130,15),0)</f>
        <v/>
      </c>
      <c r="S1130">
        <f>IFERROR(INDEX(PP_Grid[#Data],$DE1130,16),0)</f>
        <v/>
      </c>
      <c r="T1130">
        <f>IFERROR(INDEX(PP_Grid[#Data],$DE1130,17),0)</f>
        <v/>
      </c>
      <c r="U1130">
        <f>IFERROR(INDEX(PP_Grid[#Data],$DE1130,18),0)</f>
        <v/>
      </c>
      <c r="V1130">
        <f>IFERROR(INDEX(PP_Grid[#Data],$DE1130,19),0)</f>
        <v/>
      </c>
      <c r="W1130">
        <f>IFERROR(INDEX(PP_Grid[#Data],$DE1130,20),0)</f>
        <v/>
      </c>
      <c r="X1130">
        <f>IFERROR(INDEX(PP_Grid[#Data],$DE1130,21),0)</f>
        <v/>
      </c>
      <c r="Y1130">
        <f>IFERROR(INDEX(PP_Grid[#Data],$DE1130,22),0)</f>
        <v/>
      </c>
      <c r="Z1130">
        <f>IFERROR(INDEX(PP_Grid[#Data],$DE1130,23),0)</f>
        <v/>
      </c>
      <c r="AA1130">
        <f>IFERROR(INDEX(PP_Grid[#Data],$DE1130,24),0)</f>
        <v/>
      </c>
      <c r="AB1130">
        <f>IFERROR(INDEX(PP_Grid[#Data],$DE1130,25),0)</f>
        <v/>
      </c>
      <c r="AC1130">
        <f>IFERROR(INDEX(PP_Grid[#Data],$DE1130,26),0)</f>
        <v/>
      </c>
      <c r="AD1130">
        <f>IFERROR(INDEX(PP_Grid[#Data],$DE1130,27),0)</f>
        <v/>
      </c>
      <c r="AE1130">
        <f>IFERROR(INDEX(PP_Grid[#Data],$DE1130,28),0)</f>
        <v/>
      </c>
      <c r="AF1130">
        <f>IFERROR(INDEX(PP_Grid[#Data],$DE1130,29),0)</f>
        <v/>
      </c>
      <c r="AG1130">
        <f>IFERROR(INDEX(PP_Grid[#Data],$DE1130,30),0)</f>
        <v/>
      </c>
      <c r="AH1130">
        <f>IFERROR(INDEX(PP_Grid[#Data],$DE1130,31),0)</f>
        <v/>
      </c>
      <c r="AI1130">
        <f>IFERROR(INDEX(PP_Grid[#Data],$DE1130,32),0)</f>
        <v/>
      </c>
      <c r="AJ1130">
        <f>IFERROR(INDEX(PP_Grid[#Data],$DE1130,33),0)</f>
        <v/>
      </c>
      <c r="AK1130">
        <f>IFERROR(INDEX(PP_Grid[#Data],$DE1130,34),0)</f>
        <v/>
      </c>
      <c r="AL1130">
        <f>IFERROR(INDEX(PP_Grid[#Data],$DE1130,35),0)</f>
        <v/>
      </c>
      <c r="AM1130">
        <f>IFERROR(INDEX(PP_Grid[#Data],$DE1130,36),0)</f>
        <v/>
      </c>
      <c r="AN1130">
        <f>IFERROR(INDEX(PP_Grid[#Data],$DE1130,37),0)</f>
        <v/>
      </c>
      <c r="AO1130">
        <f>IFERROR(INDEX(PP_Grid[#Data],$DE1130,38),0)</f>
        <v/>
      </c>
      <c r="AP1130">
        <f>IFERROR(INDEX(PP_Grid[#Data],$DE1130,39),0)</f>
        <v/>
      </c>
      <c r="AQ1130">
        <f>IFERROR(INDEX(PP_Grid[#Data],$DE1130,40),0)</f>
        <v/>
      </c>
      <c r="AR1130">
        <f>IFERROR(INDEX(PP_Grid[#Data],$DE1130,41),0)</f>
        <v/>
      </c>
      <c r="AS1130">
        <f>IFERROR(INDEX(PP_Grid[#Data],$DE1130,42),0)</f>
        <v/>
      </c>
      <c r="AT1130">
        <f>IFERROR(INDEX(PP_Grid[#Data],$DE1130,43),0)</f>
        <v/>
      </c>
      <c r="AU1130">
        <f>IFERROR(INDEX(PP_Grid[#Data],$DE1130,44),0)</f>
        <v/>
      </c>
      <c r="AV1130">
        <f>IFERROR(INDEX(PP_Grid[#Data],$DE1130,45),0)</f>
        <v/>
      </c>
      <c r="AW1130">
        <f>IFERROR(INDEX(PP_Grid[#Data],$DE1130,46),0)</f>
        <v/>
      </c>
      <c r="AX1130">
        <f>IFERROR(INDEX(PP_Grid[#Data],$DE1130,47),0)</f>
        <v/>
      </c>
      <c r="AY1130">
        <f>IFERROR(INDEX(PP_Grid[#Data],$DE1130,48),0)</f>
        <v/>
      </c>
      <c r="AZ1130">
        <f>IFERROR(INDEX(PP_Grid[#Data],$DE1130,49),0)</f>
        <v/>
      </c>
      <c r="BA1130">
        <f>IFERROR(INDEX(PP_Grid[#Data],$DE1130,50),0)</f>
        <v/>
      </c>
      <c r="BB1130">
        <f>IFERROR(INDEX(PP_Grid[#Data],$DE1130,51),0)</f>
        <v/>
      </c>
      <c r="BC1130">
        <f>IFERROR(INDEX(PP_Grid[#Data],$DE1130,52),0)</f>
        <v/>
      </c>
      <c r="BD1130">
        <f>IFERROR(INDEX(PP_Grid[#Data],$DE1130,53),0)</f>
        <v/>
      </c>
      <c r="BE1130">
        <f>IFERROR(INDEX(PP_Grid[#Data],$DE1130,54),0)</f>
        <v/>
      </c>
      <c r="BF1130">
        <f>IFERROR(INDEX(PP_Grid[#Data],$DE1130,55),0)</f>
        <v/>
      </c>
      <c r="BG1130">
        <f>IFERROR(INDEX(PP_Grid[#Data],$DE1130,56),0)</f>
        <v/>
      </c>
      <c r="BH1130">
        <f>IFERROR(INDEX(PP_Grid[#Data],$DE1130,57),0)</f>
        <v/>
      </c>
      <c r="BI1130">
        <f>IFERROR(INDEX(PP_Grid[#Data],$DE1130,58),0)</f>
        <v/>
      </c>
      <c r="BJ1130">
        <f>IFERROR(INDEX(PP_Grid[#Data],$DE1130,59),0)</f>
        <v/>
      </c>
      <c r="BK1130">
        <f>IFERROR(INDEX(PP_Grid[#Data],$DE1130,60),0)</f>
        <v/>
      </c>
      <c r="BL1130">
        <f>IFERROR(INDEX(PP_Grid[#Data],$DE1130,61),0)</f>
        <v/>
      </c>
      <c r="BM1130">
        <f>IFERROR(INDEX(PP_Grid[#Data],$DE1130,62),0)</f>
        <v/>
      </c>
      <c r="BN1130">
        <f>IFERROR(INDEX(PP_Grid[#Data],$DE1130,63),0)</f>
        <v/>
      </c>
      <c r="BO1130">
        <f>IFERROR(INDEX(PP_Grid[#Data],$DE1130,64),0)</f>
        <v/>
      </c>
      <c r="BP1130">
        <f>IFERROR(INDEX(PP_Grid[#Data],$DE1130,65),0)</f>
        <v/>
      </c>
      <c r="BQ1130">
        <f>IFERROR(INDEX(PP_Grid[#Data],$DE1130,66),0)</f>
        <v/>
      </c>
      <c r="BR1130">
        <f>IFERROR(INDEX(PP_Grid[#Data],$DE1130,67),0)</f>
        <v/>
      </c>
      <c r="BS1130">
        <f>IFERROR(INDEX(PP_Grid[#Data],$DE1130,68),0)</f>
        <v/>
      </c>
      <c r="BT1130">
        <f>IFERROR(INDEX(PP_Grid[#Data],$DE1130,69),0)</f>
        <v/>
      </c>
      <c r="BU1130">
        <f>IFERROR(INDEX(PP_Grid[#Data],$DE1130,70),0)</f>
        <v/>
      </c>
      <c r="BV1130">
        <f>IFERROR(INDEX(PP_Grid[#Data],$DE1130,71),0)</f>
        <v/>
      </c>
      <c r="BW1130">
        <f>IFERROR(INDEX(PP_Grid[#Data],$DE1130,72),0)</f>
        <v/>
      </c>
      <c r="BX1130">
        <f>IFERROR(INDEX(PP_Grid[#Data],$DE1130,73),0)</f>
        <v/>
      </c>
      <c r="BY1130">
        <f>IFERROR(INDEX(PP_Grid[#Data],$DE1130,74),0)</f>
        <v/>
      </c>
      <c r="BZ1130">
        <f>IFERROR(INDEX(PP_Grid[#Data],$DE1130,75),0)</f>
        <v/>
      </c>
      <c r="CA1130">
        <f>IFERROR(INDEX(PP_Grid[#Data],$DE1130,76),0)</f>
        <v/>
      </c>
      <c r="CB1130">
        <f>IFERROR(INDEX(PP_Grid[#Data],$DE1130,77),0)</f>
        <v/>
      </c>
      <c r="CC1130">
        <f>IFERROR(INDEX(PP_Grid[#Data],$DE1130,78),0)</f>
        <v/>
      </c>
      <c r="CD1130">
        <f>IFERROR(INDEX(PP_Grid[#Data],$DE1130,79),0)</f>
        <v/>
      </c>
      <c r="CE1130">
        <f>IFERROR(INDEX(PP_Grid[#Data],$DE1130,80),0)</f>
        <v/>
      </c>
      <c r="CF1130">
        <f>IFERROR(INDEX(PP_Grid[#Data],$DE1130,81),0)</f>
        <v/>
      </c>
      <c r="CG1130">
        <f>IFERROR(INDEX(PP_Grid[#Data],$DE1130,82),0)</f>
        <v/>
      </c>
      <c r="CH1130">
        <f>IFERROR(INDEX(PP_Grid[#Data],$DE1130,83),0)</f>
        <v/>
      </c>
      <c r="CI1130">
        <f>IFERROR(INDEX(PP_Grid[#Data],$DE1130,84),0)</f>
        <v/>
      </c>
      <c r="CJ1130">
        <f>IFERROR(INDEX(PP_Grid[#Data],$DE1130,85),0)</f>
        <v/>
      </c>
      <c r="CK1130">
        <f>IFERROR(INDEX(PP_Grid[#Data],$DE1130,86),0)</f>
        <v/>
      </c>
      <c r="CL1130">
        <f>IFERROR(INDEX(PP_Grid[#Data],$DE1130,87),0)</f>
        <v/>
      </c>
      <c r="CM1130">
        <f>IFERROR(INDEX(PP_Grid[#Data],$DE1130,88),0)</f>
        <v/>
      </c>
      <c r="CN1130">
        <f>IFERROR(INDEX(PP_Grid[#Data],$DE1130,89),0)</f>
        <v/>
      </c>
      <c r="CO1130">
        <f>IFERROR(INDEX(PP_Grid[#Data],$DE1130,90),0)</f>
        <v/>
      </c>
      <c r="CP1130">
        <f>IFERROR(INDEX(PP_Grid[#Data],$DE1130,91),0)</f>
        <v/>
      </c>
      <c r="CQ1130">
        <f>IFERROR(INDEX(PP_Grid[#Data],$DE1130,92),0)</f>
        <v/>
      </c>
      <c r="CR1130">
        <f>IFERROR(INDEX(PP_Grid[#Data],$DE1130,93),0)</f>
        <v/>
      </c>
      <c r="CS1130">
        <f>IFERROR(INDEX(PP_Grid[#Data],$DE1130,94),0)</f>
        <v/>
      </c>
      <c r="CT1130">
        <f>IFERROR(INDEX(PP_Grid[#Data],$DE1130,95),0)</f>
        <v/>
      </c>
      <c r="CU1130">
        <f>IFERROR(INDEX(PP_Grid[#Data],$DE1130,96),0)</f>
        <v/>
      </c>
      <c r="CV1130">
        <f>IFERROR(INDEX(PP_Grid[#Data],$DE1130,97),0)</f>
        <v/>
      </c>
      <c r="CW1130">
        <f>IFERROR(INDEX(PP_Grid[#Data],$DE1130,98),0)</f>
        <v/>
      </c>
      <c r="CX1130">
        <f>IFERROR(INDEX(PP_Grid[#Data],$DE1130,99),0)</f>
        <v/>
      </c>
      <c r="CY1130">
        <f>IFERROR(INDEX(PP_Grid[#Data],$DE1130,100),0)</f>
        <v/>
      </c>
      <c r="CZ1130">
        <f>IFERROR(INDEX(PP_Grid[#Data],$DE1130,101),0)</f>
        <v/>
      </c>
      <c r="DA1130">
        <f>IFERROR(INDEX(PP_Grid[#Data],$DE1130,102),0)</f>
        <v/>
      </c>
      <c r="DB1130">
        <f>IFERROR(INDEX(PP_Grid[#Data],$DE1130,103),0)</f>
        <v/>
      </c>
      <c r="DC1130">
        <f>IFERROR(INDEX(PP_Grid[#Data],$DE1130,104),0)</f>
        <v/>
      </c>
      <c r="DD1130">
        <f>IFERROR(INDEX(PP_Grid[#Data],$DE1130,105),0)</f>
        <v/>
      </c>
      <c r="DE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SUMIFS(M_BOM[RM_Qty_Per_Batch],M_BOM[Intermediate],$B1130,M_BOM[RM_Code],$A1125)</f>
        <v/>
      </c>
      <c r="D1131">
        <f>IFERROR(INDEX(E1131:DD1131,$F$1),"")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  <c r="DD1131">
        <f>$C1131*DD1130</f>
        <v/>
      </c>
    </row>
    <row r="1132">
      <c r="B1132" t="inlineStr">
        <is>
          <t>TSP-710</t>
        </is>
      </c>
      <c r="C1132" t="inlineStr">
        <is>
          <t>No. of batches</t>
        </is>
      </c>
      <c r="D1132">
        <f>IFERROR(INDEX(E1132:DD1132,$F$1),"")</f>
        <v/>
      </c>
      <c r="E1132">
        <f>IFERROR(INDEX(PP_Grid[#Data],$DE1132,2),0)</f>
        <v/>
      </c>
      <c r="F1132">
        <f>IFERROR(INDEX(PP_Grid[#Data],$DE1132,3),0)</f>
        <v/>
      </c>
      <c r="G1132">
        <f>IFERROR(INDEX(PP_Grid[#Data],$DE1132,4),0)</f>
        <v/>
      </c>
      <c r="H1132">
        <f>IFERROR(INDEX(PP_Grid[#Data],$DE1132,5),0)</f>
        <v/>
      </c>
      <c r="I1132">
        <f>IFERROR(INDEX(PP_Grid[#Data],$DE1132,6),0)</f>
        <v/>
      </c>
      <c r="J1132">
        <f>IFERROR(INDEX(PP_Grid[#Data],$DE1132,7),0)</f>
        <v/>
      </c>
      <c r="K1132">
        <f>IFERROR(INDEX(PP_Grid[#Data],$DE1132,8),0)</f>
        <v/>
      </c>
      <c r="L1132">
        <f>IFERROR(INDEX(PP_Grid[#Data],$DE1132,9),0)</f>
        <v/>
      </c>
      <c r="M1132">
        <f>IFERROR(INDEX(PP_Grid[#Data],$DE1132,10),0)</f>
        <v/>
      </c>
      <c r="N1132">
        <f>IFERROR(INDEX(PP_Grid[#Data],$DE1132,11),0)</f>
        <v/>
      </c>
      <c r="O1132">
        <f>IFERROR(INDEX(PP_Grid[#Data],$DE1132,12),0)</f>
        <v/>
      </c>
      <c r="P1132">
        <f>IFERROR(INDEX(PP_Grid[#Data],$DE1132,13),0)</f>
        <v/>
      </c>
      <c r="Q1132">
        <f>IFERROR(INDEX(PP_Grid[#Data],$DE1132,14),0)</f>
        <v/>
      </c>
      <c r="R1132">
        <f>IFERROR(INDEX(PP_Grid[#Data],$DE1132,15),0)</f>
        <v/>
      </c>
      <c r="S1132">
        <f>IFERROR(INDEX(PP_Grid[#Data],$DE1132,16),0)</f>
        <v/>
      </c>
      <c r="T1132">
        <f>IFERROR(INDEX(PP_Grid[#Data],$DE1132,17),0)</f>
        <v/>
      </c>
      <c r="U1132">
        <f>IFERROR(INDEX(PP_Grid[#Data],$DE1132,18),0)</f>
        <v/>
      </c>
      <c r="V1132">
        <f>IFERROR(INDEX(PP_Grid[#Data],$DE1132,19),0)</f>
        <v/>
      </c>
      <c r="W1132">
        <f>IFERROR(INDEX(PP_Grid[#Data],$DE1132,20),0)</f>
        <v/>
      </c>
      <c r="X1132">
        <f>IFERROR(INDEX(PP_Grid[#Data],$DE1132,21),0)</f>
        <v/>
      </c>
      <c r="Y1132">
        <f>IFERROR(INDEX(PP_Grid[#Data],$DE1132,22),0)</f>
        <v/>
      </c>
      <c r="Z1132">
        <f>IFERROR(INDEX(PP_Grid[#Data],$DE1132,23),0)</f>
        <v/>
      </c>
      <c r="AA1132">
        <f>IFERROR(INDEX(PP_Grid[#Data],$DE1132,24),0)</f>
        <v/>
      </c>
      <c r="AB1132">
        <f>IFERROR(INDEX(PP_Grid[#Data],$DE1132,25),0)</f>
        <v/>
      </c>
      <c r="AC1132">
        <f>IFERROR(INDEX(PP_Grid[#Data],$DE1132,26),0)</f>
        <v/>
      </c>
      <c r="AD1132">
        <f>IFERROR(INDEX(PP_Grid[#Data],$DE1132,27),0)</f>
        <v/>
      </c>
      <c r="AE1132">
        <f>IFERROR(INDEX(PP_Grid[#Data],$DE1132,28),0)</f>
        <v/>
      </c>
      <c r="AF1132">
        <f>IFERROR(INDEX(PP_Grid[#Data],$DE1132,29),0)</f>
        <v/>
      </c>
      <c r="AG1132">
        <f>IFERROR(INDEX(PP_Grid[#Data],$DE1132,30),0)</f>
        <v/>
      </c>
      <c r="AH1132">
        <f>IFERROR(INDEX(PP_Grid[#Data],$DE1132,31),0)</f>
        <v/>
      </c>
      <c r="AI1132">
        <f>IFERROR(INDEX(PP_Grid[#Data],$DE1132,32),0)</f>
        <v/>
      </c>
      <c r="AJ1132">
        <f>IFERROR(INDEX(PP_Grid[#Data],$DE1132,33),0)</f>
        <v/>
      </c>
      <c r="AK1132">
        <f>IFERROR(INDEX(PP_Grid[#Data],$DE1132,34),0)</f>
        <v/>
      </c>
      <c r="AL1132">
        <f>IFERROR(INDEX(PP_Grid[#Data],$DE1132,35),0)</f>
        <v/>
      </c>
      <c r="AM1132">
        <f>IFERROR(INDEX(PP_Grid[#Data],$DE1132,36),0)</f>
        <v/>
      </c>
      <c r="AN1132">
        <f>IFERROR(INDEX(PP_Grid[#Data],$DE1132,37),0)</f>
        <v/>
      </c>
      <c r="AO1132">
        <f>IFERROR(INDEX(PP_Grid[#Data],$DE1132,38),0)</f>
        <v/>
      </c>
      <c r="AP1132">
        <f>IFERROR(INDEX(PP_Grid[#Data],$DE1132,39),0)</f>
        <v/>
      </c>
      <c r="AQ1132">
        <f>IFERROR(INDEX(PP_Grid[#Data],$DE1132,40),0)</f>
        <v/>
      </c>
      <c r="AR1132">
        <f>IFERROR(INDEX(PP_Grid[#Data],$DE1132,41),0)</f>
        <v/>
      </c>
      <c r="AS1132">
        <f>IFERROR(INDEX(PP_Grid[#Data],$DE1132,42),0)</f>
        <v/>
      </c>
      <c r="AT1132">
        <f>IFERROR(INDEX(PP_Grid[#Data],$DE1132,43),0)</f>
        <v/>
      </c>
      <c r="AU1132">
        <f>IFERROR(INDEX(PP_Grid[#Data],$DE1132,44),0)</f>
        <v/>
      </c>
      <c r="AV1132">
        <f>IFERROR(INDEX(PP_Grid[#Data],$DE1132,45),0)</f>
        <v/>
      </c>
      <c r="AW1132">
        <f>IFERROR(INDEX(PP_Grid[#Data],$DE1132,46),0)</f>
        <v/>
      </c>
      <c r="AX1132">
        <f>IFERROR(INDEX(PP_Grid[#Data],$DE1132,47),0)</f>
        <v/>
      </c>
      <c r="AY1132">
        <f>IFERROR(INDEX(PP_Grid[#Data],$DE1132,48),0)</f>
        <v/>
      </c>
      <c r="AZ1132">
        <f>IFERROR(INDEX(PP_Grid[#Data],$DE1132,49),0)</f>
        <v/>
      </c>
      <c r="BA1132">
        <f>IFERROR(INDEX(PP_Grid[#Data],$DE1132,50),0)</f>
        <v/>
      </c>
      <c r="BB1132">
        <f>IFERROR(INDEX(PP_Grid[#Data],$DE1132,51),0)</f>
        <v/>
      </c>
      <c r="BC1132">
        <f>IFERROR(INDEX(PP_Grid[#Data],$DE1132,52),0)</f>
        <v/>
      </c>
      <c r="BD1132">
        <f>IFERROR(INDEX(PP_Grid[#Data],$DE1132,53),0)</f>
        <v/>
      </c>
      <c r="BE1132">
        <f>IFERROR(INDEX(PP_Grid[#Data],$DE1132,54),0)</f>
        <v/>
      </c>
      <c r="BF1132">
        <f>IFERROR(INDEX(PP_Grid[#Data],$DE1132,55),0)</f>
        <v/>
      </c>
      <c r="BG1132">
        <f>IFERROR(INDEX(PP_Grid[#Data],$DE1132,56),0)</f>
        <v/>
      </c>
      <c r="BH1132">
        <f>IFERROR(INDEX(PP_Grid[#Data],$DE1132,57),0)</f>
        <v/>
      </c>
      <c r="BI1132">
        <f>IFERROR(INDEX(PP_Grid[#Data],$DE1132,58),0)</f>
        <v/>
      </c>
      <c r="BJ1132">
        <f>IFERROR(INDEX(PP_Grid[#Data],$DE1132,59),0)</f>
        <v/>
      </c>
      <c r="BK1132">
        <f>IFERROR(INDEX(PP_Grid[#Data],$DE1132,60),0)</f>
        <v/>
      </c>
      <c r="BL1132">
        <f>IFERROR(INDEX(PP_Grid[#Data],$DE1132,61),0)</f>
        <v/>
      </c>
      <c r="BM1132">
        <f>IFERROR(INDEX(PP_Grid[#Data],$DE1132,62),0)</f>
        <v/>
      </c>
      <c r="BN1132">
        <f>IFERROR(INDEX(PP_Grid[#Data],$DE1132,63),0)</f>
        <v/>
      </c>
      <c r="BO1132">
        <f>IFERROR(INDEX(PP_Grid[#Data],$DE1132,64),0)</f>
        <v/>
      </c>
      <c r="BP1132">
        <f>IFERROR(INDEX(PP_Grid[#Data],$DE1132,65),0)</f>
        <v/>
      </c>
      <c r="BQ1132">
        <f>IFERROR(INDEX(PP_Grid[#Data],$DE1132,66),0)</f>
        <v/>
      </c>
      <c r="BR1132">
        <f>IFERROR(INDEX(PP_Grid[#Data],$DE1132,67),0)</f>
        <v/>
      </c>
      <c r="BS1132">
        <f>IFERROR(INDEX(PP_Grid[#Data],$DE1132,68),0)</f>
        <v/>
      </c>
      <c r="BT1132">
        <f>IFERROR(INDEX(PP_Grid[#Data],$DE1132,69),0)</f>
        <v/>
      </c>
      <c r="BU1132">
        <f>IFERROR(INDEX(PP_Grid[#Data],$DE1132,70),0)</f>
        <v/>
      </c>
      <c r="BV1132">
        <f>IFERROR(INDEX(PP_Grid[#Data],$DE1132,71),0)</f>
        <v/>
      </c>
      <c r="BW1132">
        <f>IFERROR(INDEX(PP_Grid[#Data],$DE1132,72),0)</f>
        <v/>
      </c>
      <c r="BX1132">
        <f>IFERROR(INDEX(PP_Grid[#Data],$DE1132,73),0)</f>
        <v/>
      </c>
      <c r="BY1132">
        <f>IFERROR(INDEX(PP_Grid[#Data],$DE1132,74),0)</f>
        <v/>
      </c>
      <c r="BZ1132">
        <f>IFERROR(INDEX(PP_Grid[#Data],$DE1132,75),0)</f>
        <v/>
      </c>
      <c r="CA1132">
        <f>IFERROR(INDEX(PP_Grid[#Data],$DE1132,76),0)</f>
        <v/>
      </c>
      <c r="CB1132">
        <f>IFERROR(INDEX(PP_Grid[#Data],$DE1132,77),0)</f>
        <v/>
      </c>
      <c r="CC1132">
        <f>IFERROR(INDEX(PP_Grid[#Data],$DE1132,78),0)</f>
        <v/>
      </c>
      <c r="CD1132">
        <f>IFERROR(INDEX(PP_Grid[#Data],$DE1132,79),0)</f>
        <v/>
      </c>
      <c r="CE1132">
        <f>IFERROR(INDEX(PP_Grid[#Data],$DE1132,80),0)</f>
        <v/>
      </c>
      <c r="CF1132">
        <f>IFERROR(INDEX(PP_Grid[#Data],$DE1132,81),0)</f>
        <v/>
      </c>
      <c r="CG1132">
        <f>IFERROR(INDEX(PP_Grid[#Data],$DE1132,82),0)</f>
        <v/>
      </c>
      <c r="CH1132">
        <f>IFERROR(INDEX(PP_Grid[#Data],$DE1132,83),0)</f>
        <v/>
      </c>
      <c r="CI1132">
        <f>IFERROR(INDEX(PP_Grid[#Data],$DE1132,84),0)</f>
        <v/>
      </c>
      <c r="CJ1132">
        <f>IFERROR(INDEX(PP_Grid[#Data],$DE1132,85),0)</f>
        <v/>
      </c>
      <c r="CK1132">
        <f>IFERROR(INDEX(PP_Grid[#Data],$DE1132,86),0)</f>
        <v/>
      </c>
      <c r="CL1132">
        <f>IFERROR(INDEX(PP_Grid[#Data],$DE1132,87),0)</f>
        <v/>
      </c>
      <c r="CM1132">
        <f>IFERROR(INDEX(PP_Grid[#Data],$DE1132,88),0)</f>
        <v/>
      </c>
      <c r="CN1132">
        <f>IFERROR(INDEX(PP_Grid[#Data],$DE1132,89),0)</f>
        <v/>
      </c>
      <c r="CO1132">
        <f>IFERROR(INDEX(PP_Grid[#Data],$DE1132,90),0)</f>
        <v/>
      </c>
      <c r="CP1132">
        <f>IFERROR(INDEX(PP_Grid[#Data],$DE1132,91),0)</f>
        <v/>
      </c>
      <c r="CQ1132">
        <f>IFERROR(INDEX(PP_Grid[#Data],$DE1132,92),0)</f>
        <v/>
      </c>
      <c r="CR1132">
        <f>IFERROR(INDEX(PP_Grid[#Data],$DE1132,93),0)</f>
        <v/>
      </c>
      <c r="CS1132">
        <f>IFERROR(INDEX(PP_Grid[#Data],$DE1132,94),0)</f>
        <v/>
      </c>
      <c r="CT1132">
        <f>IFERROR(INDEX(PP_Grid[#Data],$DE1132,95),0)</f>
        <v/>
      </c>
      <c r="CU1132">
        <f>IFERROR(INDEX(PP_Grid[#Data],$DE1132,96),0)</f>
        <v/>
      </c>
      <c r="CV1132">
        <f>IFERROR(INDEX(PP_Grid[#Data],$DE1132,97),0)</f>
        <v/>
      </c>
      <c r="CW1132">
        <f>IFERROR(INDEX(PP_Grid[#Data],$DE1132,98),0)</f>
        <v/>
      </c>
      <c r="CX1132">
        <f>IFERROR(INDEX(PP_Grid[#Data],$DE1132,99),0)</f>
        <v/>
      </c>
      <c r="CY1132">
        <f>IFERROR(INDEX(PP_Grid[#Data],$DE1132,100),0)</f>
        <v/>
      </c>
      <c r="CZ1132">
        <f>IFERROR(INDEX(PP_Grid[#Data],$DE1132,101),0)</f>
        <v/>
      </c>
      <c r="DA1132">
        <f>IFERROR(INDEX(PP_Grid[#Data],$DE1132,102),0)</f>
        <v/>
      </c>
      <c r="DB1132">
        <f>IFERROR(INDEX(PP_Grid[#Data],$DE1132,103),0)</f>
        <v/>
      </c>
      <c r="DC1132">
        <f>IFERROR(INDEX(PP_Grid[#Data],$DE1132,104),0)</f>
        <v/>
      </c>
      <c r="DD1132">
        <f>IFERROR(INDEX(PP_Grid[#Data],$DE1132,105),0)</f>
        <v/>
      </c>
      <c r="DE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SUMIFS(M_BOM[RM_Qty_Per_Batch],M_BOM[Intermediate],$B1132,M_BOM[RM_Code],$A1125)</f>
        <v/>
      </c>
      <c r="D1133">
        <f>IFERROR(INDEX(E1133:DD1133,$F$1),"")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  <c r="DD1133">
        <f>$C1133*DD1132</f>
        <v/>
      </c>
    </row>
    <row r="1134">
      <c r="B1134" s="4" t="inlineStr">
        <is>
          <t>合計使用量(kg)/週</t>
        </is>
      </c>
      <c r="D1134" s="23">
        <f>IFERROR(INDEX(E1134:DD1134,$F$1),"")</f>
        <v/>
      </c>
      <c r="E1134">
        <f>'Grid_Requirement'!B53</f>
        <v/>
      </c>
      <c r="F1134">
        <f>'Grid_Requirement'!C53</f>
        <v/>
      </c>
      <c r="G1134">
        <f>'Grid_Requirement'!D53</f>
        <v/>
      </c>
      <c r="H1134">
        <f>'Grid_Requirement'!E53</f>
        <v/>
      </c>
      <c r="I1134">
        <f>'Grid_Requirement'!F53</f>
        <v/>
      </c>
      <c r="J1134">
        <f>'Grid_Requirement'!G53</f>
        <v/>
      </c>
      <c r="K1134">
        <f>'Grid_Requirement'!H53</f>
        <v/>
      </c>
      <c r="L1134">
        <f>'Grid_Requirement'!I53</f>
        <v/>
      </c>
      <c r="M1134">
        <f>'Grid_Requirement'!J53</f>
        <v/>
      </c>
      <c r="N1134">
        <f>'Grid_Requirement'!K53</f>
        <v/>
      </c>
      <c r="O1134">
        <f>'Grid_Requirement'!L53</f>
        <v/>
      </c>
      <c r="P1134">
        <f>'Grid_Requirement'!M53</f>
        <v/>
      </c>
      <c r="Q1134">
        <f>'Grid_Requirement'!N53</f>
        <v/>
      </c>
      <c r="R1134">
        <f>'Grid_Requirement'!O53</f>
        <v/>
      </c>
      <c r="S1134">
        <f>'Grid_Requirement'!P53</f>
        <v/>
      </c>
      <c r="T1134">
        <f>'Grid_Requirement'!Q53</f>
        <v/>
      </c>
      <c r="U1134">
        <f>'Grid_Requirement'!R53</f>
        <v/>
      </c>
      <c r="V1134">
        <f>'Grid_Requirement'!S53</f>
        <v/>
      </c>
      <c r="W1134">
        <f>'Grid_Requirement'!T53</f>
        <v/>
      </c>
      <c r="X1134">
        <f>'Grid_Requirement'!U53</f>
        <v/>
      </c>
      <c r="Y1134">
        <f>'Grid_Requirement'!V53</f>
        <v/>
      </c>
      <c r="Z1134">
        <f>'Grid_Requirement'!W53</f>
        <v/>
      </c>
      <c r="AA1134">
        <f>'Grid_Requirement'!X53</f>
        <v/>
      </c>
      <c r="AB1134">
        <f>'Grid_Requirement'!Y53</f>
        <v/>
      </c>
      <c r="AC1134">
        <f>'Grid_Requirement'!Z53</f>
        <v/>
      </c>
      <c r="AD1134">
        <f>'Grid_Requirement'!AA53</f>
        <v/>
      </c>
      <c r="AE1134">
        <f>'Grid_Requirement'!AB53</f>
        <v/>
      </c>
      <c r="AF1134">
        <f>'Grid_Requirement'!AC53</f>
        <v/>
      </c>
      <c r="AG1134">
        <f>'Grid_Requirement'!AD53</f>
        <v/>
      </c>
      <c r="AH1134">
        <f>'Grid_Requirement'!AE53</f>
        <v/>
      </c>
      <c r="AI1134">
        <f>'Grid_Requirement'!AF53</f>
        <v/>
      </c>
      <c r="AJ1134">
        <f>'Grid_Requirement'!AG53</f>
        <v/>
      </c>
      <c r="AK1134">
        <f>'Grid_Requirement'!AH53</f>
        <v/>
      </c>
      <c r="AL1134">
        <f>'Grid_Requirement'!AI53</f>
        <v/>
      </c>
      <c r="AM1134">
        <f>'Grid_Requirement'!AJ53</f>
        <v/>
      </c>
      <c r="AN1134">
        <f>'Grid_Requirement'!AK53</f>
        <v/>
      </c>
      <c r="AO1134">
        <f>'Grid_Requirement'!AL53</f>
        <v/>
      </c>
      <c r="AP1134">
        <f>'Grid_Requirement'!AM53</f>
        <v/>
      </c>
      <c r="AQ1134">
        <f>'Grid_Requirement'!AN53</f>
        <v/>
      </c>
      <c r="AR1134">
        <f>'Grid_Requirement'!AO53</f>
        <v/>
      </c>
      <c r="AS1134">
        <f>'Grid_Requirement'!AP53</f>
        <v/>
      </c>
      <c r="AT1134">
        <f>'Grid_Requirement'!AQ53</f>
        <v/>
      </c>
      <c r="AU1134">
        <f>'Grid_Requirement'!AR53</f>
        <v/>
      </c>
      <c r="AV1134">
        <f>'Grid_Requirement'!AS53</f>
        <v/>
      </c>
      <c r="AW1134">
        <f>'Grid_Requirement'!AT53</f>
        <v/>
      </c>
      <c r="AX1134">
        <f>'Grid_Requirement'!AU53</f>
        <v/>
      </c>
      <c r="AY1134">
        <f>'Grid_Requirement'!AV53</f>
        <v/>
      </c>
      <c r="AZ1134">
        <f>'Grid_Requirement'!AW53</f>
        <v/>
      </c>
      <c r="BA1134">
        <f>'Grid_Requirement'!AX53</f>
        <v/>
      </c>
      <c r="BB1134">
        <f>'Grid_Requirement'!AY53</f>
        <v/>
      </c>
      <c r="BC1134">
        <f>'Grid_Requirement'!AZ53</f>
        <v/>
      </c>
      <c r="BD1134">
        <f>'Grid_Requirement'!BA53</f>
        <v/>
      </c>
      <c r="BE1134">
        <f>'Grid_Requirement'!BB53</f>
        <v/>
      </c>
      <c r="BF1134">
        <f>'Grid_Requirement'!BC53</f>
        <v/>
      </c>
      <c r="BG1134">
        <f>'Grid_Requirement'!BD53</f>
        <v/>
      </c>
      <c r="BH1134">
        <f>'Grid_Requirement'!BE53</f>
        <v/>
      </c>
      <c r="BI1134">
        <f>'Grid_Requirement'!BF53</f>
        <v/>
      </c>
      <c r="BJ1134">
        <f>'Grid_Requirement'!BG53</f>
        <v/>
      </c>
      <c r="BK1134">
        <f>'Grid_Requirement'!BH53</f>
        <v/>
      </c>
      <c r="BL1134">
        <f>'Grid_Requirement'!BI53</f>
        <v/>
      </c>
      <c r="BM1134">
        <f>'Grid_Requirement'!BJ53</f>
        <v/>
      </c>
      <c r="BN1134">
        <f>'Grid_Requirement'!BK53</f>
        <v/>
      </c>
      <c r="BO1134">
        <f>'Grid_Requirement'!BL53</f>
        <v/>
      </c>
      <c r="BP1134">
        <f>'Grid_Requirement'!BM53</f>
        <v/>
      </c>
      <c r="BQ1134">
        <f>'Grid_Requirement'!BN53</f>
        <v/>
      </c>
      <c r="BR1134">
        <f>'Grid_Requirement'!BO53</f>
        <v/>
      </c>
      <c r="BS1134">
        <f>'Grid_Requirement'!BP53</f>
        <v/>
      </c>
      <c r="BT1134">
        <f>'Grid_Requirement'!BQ53</f>
        <v/>
      </c>
      <c r="BU1134">
        <f>'Grid_Requirement'!BR53</f>
        <v/>
      </c>
      <c r="BV1134">
        <f>'Grid_Requirement'!BS53</f>
        <v/>
      </c>
      <c r="BW1134">
        <f>'Grid_Requirement'!BT53</f>
        <v/>
      </c>
      <c r="BX1134">
        <f>'Grid_Requirement'!BU53</f>
        <v/>
      </c>
      <c r="BY1134">
        <f>'Grid_Requirement'!BV53</f>
        <v/>
      </c>
      <c r="BZ1134">
        <f>'Grid_Requirement'!BW53</f>
        <v/>
      </c>
      <c r="CA1134">
        <f>'Grid_Requirement'!BX53</f>
        <v/>
      </c>
      <c r="CB1134">
        <f>'Grid_Requirement'!BY53</f>
        <v/>
      </c>
      <c r="CC1134">
        <f>'Grid_Requirement'!BZ53</f>
        <v/>
      </c>
      <c r="CD1134">
        <f>'Grid_Requirement'!CA53</f>
        <v/>
      </c>
      <c r="CE1134">
        <f>'Grid_Requirement'!CB53</f>
        <v/>
      </c>
      <c r="CF1134">
        <f>'Grid_Requirement'!CC53</f>
        <v/>
      </c>
      <c r="CG1134">
        <f>'Grid_Requirement'!CD53</f>
        <v/>
      </c>
      <c r="CH1134">
        <f>'Grid_Requirement'!CE53</f>
        <v/>
      </c>
      <c r="CI1134">
        <f>'Grid_Requirement'!CF53</f>
        <v/>
      </c>
      <c r="CJ1134">
        <f>'Grid_Requirement'!CG53</f>
        <v/>
      </c>
      <c r="CK1134">
        <f>'Grid_Requirement'!CH53</f>
        <v/>
      </c>
      <c r="CL1134">
        <f>'Grid_Requirement'!CI53</f>
        <v/>
      </c>
      <c r="CM1134">
        <f>'Grid_Requirement'!CJ53</f>
        <v/>
      </c>
      <c r="CN1134">
        <f>'Grid_Requirement'!CK53</f>
        <v/>
      </c>
      <c r="CO1134">
        <f>'Grid_Requirement'!CL53</f>
        <v/>
      </c>
      <c r="CP1134">
        <f>'Grid_Requirement'!CM53</f>
        <v/>
      </c>
      <c r="CQ1134">
        <f>'Grid_Requirement'!CN53</f>
        <v/>
      </c>
      <c r="CR1134">
        <f>'Grid_Requirement'!CO53</f>
        <v/>
      </c>
      <c r="CS1134">
        <f>'Grid_Requirement'!CP53</f>
        <v/>
      </c>
      <c r="CT1134">
        <f>'Grid_Requirement'!CQ53</f>
        <v/>
      </c>
      <c r="CU1134">
        <f>'Grid_Requirement'!CR53</f>
        <v/>
      </c>
      <c r="CV1134">
        <f>'Grid_Requirement'!CS53</f>
        <v/>
      </c>
      <c r="CW1134">
        <f>'Grid_Requirement'!CT53</f>
        <v/>
      </c>
      <c r="CX1134">
        <f>'Grid_Requirement'!CU53</f>
        <v/>
      </c>
      <c r="CY1134">
        <f>'Grid_Requirement'!CV53</f>
        <v/>
      </c>
      <c r="CZ1134">
        <f>'Grid_Requirement'!CW53</f>
        <v/>
      </c>
      <c r="DA1134">
        <f>'Grid_Requirement'!CX53</f>
        <v/>
      </c>
      <c r="DB1134">
        <f>'Grid_Requirement'!CY53</f>
        <v/>
      </c>
      <c r="DC1134">
        <f>'Grid_Requirement'!CZ53</f>
        <v/>
      </c>
      <c r="DD1134">
        <f>'Grid_Requirement'!DA53</f>
        <v/>
      </c>
    </row>
    <row r="1135">
      <c r="B1135" t="inlineStr">
        <is>
          <t>TTAF在庫(実績,kg)</t>
        </is>
      </c>
      <c r="D1135">
        <f>IFERROR(INDEX(E1135:DD1135,$F$1),"")</f>
        <v/>
      </c>
      <c r="E1135">
        <f>IFERROR(SUMIFS(T_TTAFStock[TTAF_Qty],T_TTAFStock[RM_Code],$A1125,T_TTAFStock[WeekIndex],1),"")</f>
        <v/>
      </c>
      <c r="F1135">
        <f>IFERROR(SUMIFS(T_TTAFStock[TTAF_Qty],T_TTAFStock[RM_Code],$A1125,T_TTAFStock[WeekIndex],2),"")</f>
        <v/>
      </c>
      <c r="G1135">
        <f>IFERROR(SUMIFS(T_TTAFStock[TTAF_Qty],T_TTAFStock[RM_Code],$A1125,T_TTAFStock[WeekIndex],3),"")</f>
        <v/>
      </c>
      <c r="H1135">
        <f>IFERROR(SUMIFS(T_TTAFStock[TTAF_Qty],T_TTAFStock[RM_Code],$A1125,T_TTAFStock[WeekIndex],4),"")</f>
        <v/>
      </c>
      <c r="I1135">
        <f>IFERROR(SUMIFS(T_TTAFStock[TTAF_Qty],T_TTAFStock[RM_Code],$A1125,T_TTAFStock[WeekIndex],5),"")</f>
        <v/>
      </c>
      <c r="J1135">
        <f>IFERROR(SUMIFS(T_TTAFStock[TTAF_Qty],T_TTAFStock[RM_Code],$A1125,T_TTAFStock[WeekIndex],6),"")</f>
        <v/>
      </c>
      <c r="K1135">
        <f>IFERROR(SUMIFS(T_TTAFStock[TTAF_Qty],T_TTAFStock[RM_Code],$A1125,T_TTAFStock[WeekIndex],7),"")</f>
        <v/>
      </c>
      <c r="L1135">
        <f>IFERROR(SUMIFS(T_TTAFStock[TTAF_Qty],T_TTAFStock[RM_Code],$A1125,T_TTAFStock[WeekIndex],8),"")</f>
        <v/>
      </c>
      <c r="M1135">
        <f>IFERROR(SUMIFS(T_TTAFStock[TTAF_Qty],T_TTAFStock[RM_Code],$A1125,T_TTAFStock[WeekIndex],9),"")</f>
        <v/>
      </c>
      <c r="N1135">
        <f>IFERROR(SUMIFS(T_TTAFStock[TTAF_Qty],T_TTAFStock[RM_Code],$A1125,T_TTAFStock[WeekIndex],10),"")</f>
        <v/>
      </c>
      <c r="O1135">
        <f>IFERROR(SUMIFS(T_TTAFStock[TTAF_Qty],T_TTAFStock[RM_Code],$A1125,T_TTAFStock[WeekIndex],11),"")</f>
        <v/>
      </c>
      <c r="P1135">
        <f>IFERROR(SUMIFS(T_TTAFStock[TTAF_Qty],T_TTAFStock[RM_Code],$A1125,T_TTAFStock[WeekIndex],12),"")</f>
        <v/>
      </c>
      <c r="Q1135">
        <f>IFERROR(SUMIFS(T_TTAFStock[TTAF_Qty],T_TTAFStock[RM_Code],$A1125,T_TTAFStock[WeekIndex],13),"")</f>
        <v/>
      </c>
      <c r="R1135">
        <f>IFERROR(SUMIFS(T_TTAFStock[TTAF_Qty],T_TTAFStock[RM_Code],$A1125,T_TTAFStock[WeekIndex],14),"")</f>
        <v/>
      </c>
      <c r="S1135">
        <f>IFERROR(SUMIFS(T_TTAFStock[TTAF_Qty],T_TTAFStock[RM_Code],$A1125,T_TTAFStock[WeekIndex],15),"")</f>
        <v/>
      </c>
      <c r="T1135">
        <f>IFERROR(SUMIFS(T_TTAFStock[TTAF_Qty],T_TTAFStock[RM_Code],$A1125,T_TTAFStock[WeekIndex],16),"")</f>
        <v/>
      </c>
      <c r="U1135">
        <f>IFERROR(SUMIFS(T_TTAFStock[TTAF_Qty],T_TTAFStock[RM_Code],$A1125,T_TTAFStock[WeekIndex],17),"")</f>
        <v/>
      </c>
      <c r="V1135">
        <f>IFERROR(SUMIFS(T_TTAFStock[TTAF_Qty],T_TTAFStock[RM_Code],$A1125,T_TTAFStock[WeekIndex],18),"")</f>
        <v/>
      </c>
      <c r="W1135">
        <f>IFERROR(SUMIFS(T_TTAFStock[TTAF_Qty],T_TTAFStock[RM_Code],$A1125,T_TTAFStock[WeekIndex],19),"")</f>
        <v/>
      </c>
      <c r="X1135">
        <f>IFERROR(SUMIFS(T_TTAFStock[TTAF_Qty],T_TTAFStock[RM_Code],$A1125,T_TTAFStock[WeekIndex],20),"")</f>
        <v/>
      </c>
      <c r="Y1135">
        <f>IFERROR(SUMIFS(T_TTAFStock[TTAF_Qty],T_TTAFStock[RM_Code],$A1125,T_TTAFStock[WeekIndex],21),"")</f>
        <v/>
      </c>
      <c r="Z1135">
        <f>IFERROR(SUMIFS(T_TTAFStock[TTAF_Qty],T_TTAFStock[RM_Code],$A1125,T_TTAFStock[WeekIndex],22),"")</f>
        <v/>
      </c>
      <c r="AA1135">
        <f>IFERROR(SUMIFS(T_TTAFStock[TTAF_Qty],T_TTAFStock[RM_Code],$A1125,T_TTAFStock[WeekIndex],23),"")</f>
        <v/>
      </c>
      <c r="AB1135">
        <f>IFERROR(SUMIFS(T_TTAFStock[TTAF_Qty],T_TTAFStock[RM_Code],$A1125,T_TTAFStock[WeekIndex],24),"")</f>
        <v/>
      </c>
      <c r="AC1135">
        <f>IFERROR(SUMIFS(T_TTAFStock[TTAF_Qty],T_TTAFStock[RM_Code],$A1125,T_TTAFStock[WeekIndex],25),"")</f>
        <v/>
      </c>
      <c r="AD1135">
        <f>IFERROR(SUMIFS(T_TTAFStock[TTAF_Qty],T_TTAFStock[RM_Code],$A1125,T_TTAFStock[WeekIndex],26),"")</f>
        <v/>
      </c>
      <c r="AE1135">
        <f>IFERROR(SUMIFS(T_TTAFStock[TTAF_Qty],T_TTAFStock[RM_Code],$A1125,T_TTAFStock[WeekIndex],27),"")</f>
        <v/>
      </c>
      <c r="AF1135">
        <f>IFERROR(SUMIFS(T_TTAFStock[TTAF_Qty],T_TTAFStock[RM_Code],$A1125,T_TTAFStock[WeekIndex],28),"")</f>
        <v/>
      </c>
      <c r="AG1135">
        <f>IFERROR(SUMIFS(T_TTAFStock[TTAF_Qty],T_TTAFStock[RM_Code],$A1125,T_TTAFStock[WeekIndex],29),"")</f>
        <v/>
      </c>
      <c r="AH1135">
        <f>IFERROR(SUMIFS(T_TTAFStock[TTAF_Qty],T_TTAFStock[RM_Code],$A1125,T_TTAFStock[WeekIndex],30),"")</f>
        <v/>
      </c>
      <c r="AI1135">
        <f>IFERROR(SUMIFS(T_TTAFStock[TTAF_Qty],T_TTAFStock[RM_Code],$A1125,T_TTAFStock[WeekIndex],31),"")</f>
        <v/>
      </c>
      <c r="AJ1135">
        <f>IFERROR(SUMIFS(T_TTAFStock[TTAF_Qty],T_TTAFStock[RM_Code],$A1125,T_TTAFStock[WeekIndex],32),"")</f>
        <v/>
      </c>
      <c r="AK1135">
        <f>IFERROR(SUMIFS(T_TTAFStock[TTAF_Qty],T_TTAFStock[RM_Code],$A1125,T_TTAFStock[WeekIndex],33),"")</f>
        <v/>
      </c>
      <c r="AL1135">
        <f>IFERROR(SUMIFS(T_TTAFStock[TTAF_Qty],T_TTAFStock[RM_Code],$A1125,T_TTAFStock[WeekIndex],34),"")</f>
        <v/>
      </c>
      <c r="AM1135">
        <f>IFERROR(SUMIFS(T_TTAFStock[TTAF_Qty],T_TTAFStock[RM_Code],$A1125,T_TTAFStock[WeekIndex],35),"")</f>
        <v/>
      </c>
      <c r="AN1135">
        <f>IFERROR(SUMIFS(T_TTAFStock[TTAF_Qty],T_TTAFStock[RM_Code],$A1125,T_TTAFStock[WeekIndex],36),"")</f>
        <v/>
      </c>
      <c r="AO1135">
        <f>IFERROR(SUMIFS(T_TTAFStock[TTAF_Qty],T_TTAFStock[RM_Code],$A1125,T_TTAFStock[WeekIndex],37),"")</f>
        <v/>
      </c>
      <c r="AP1135">
        <f>IFERROR(SUMIFS(T_TTAFStock[TTAF_Qty],T_TTAFStock[RM_Code],$A1125,T_TTAFStock[WeekIndex],38),"")</f>
        <v/>
      </c>
      <c r="AQ1135">
        <f>IFERROR(SUMIFS(T_TTAFStock[TTAF_Qty],T_TTAFStock[RM_Code],$A1125,T_TTAFStock[WeekIndex],39),"")</f>
        <v/>
      </c>
      <c r="AR1135">
        <f>IFERROR(SUMIFS(T_TTAFStock[TTAF_Qty],T_TTAFStock[RM_Code],$A1125,T_TTAFStock[WeekIndex],40),"")</f>
        <v/>
      </c>
      <c r="AS1135">
        <f>IFERROR(SUMIFS(T_TTAFStock[TTAF_Qty],T_TTAFStock[RM_Code],$A1125,T_TTAFStock[WeekIndex],41),"")</f>
        <v/>
      </c>
      <c r="AT1135">
        <f>IFERROR(SUMIFS(T_TTAFStock[TTAF_Qty],T_TTAFStock[RM_Code],$A1125,T_TTAFStock[WeekIndex],42),"")</f>
        <v/>
      </c>
      <c r="AU1135">
        <f>IFERROR(SUMIFS(T_TTAFStock[TTAF_Qty],T_TTAFStock[RM_Code],$A1125,T_TTAFStock[WeekIndex],43),"")</f>
        <v/>
      </c>
      <c r="AV1135">
        <f>IFERROR(SUMIFS(T_TTAFStock[TTAF_Qty],T_TTAFStock[RM_Code],$A1125,T_TTAFStock[WeekIndex],44),"")</f>
        <v/>
      </c>
      <c r="AW1135">
        <f>IFERROR(SUMIFS(T_TTAFStock[TTAF_Qty],T_TTAFStock[RM_Code],$A1125,T_TTAFStock[WeekIndex],45),"")</f>
        <v/>
      </c>
      <c r="AX1135">
        <f>IFERROR(SUMIFS(T_TTAFStock[TTAF_Qty],T_TTAFStock[RM_Code],$A1125,T_TTAFStock[WeekIndex],46),"")</f>
        <v/>
      </c>
      <c r="AY1135">
        <f>IFERROR(SUMIFS(T_TTAFStock[TTAF_Qty],T_TTAFStock[RM_Code],$A1125,T_TTAFStock[WeekIndex],47),"")</f>
        <v/>
      </c>
      <c r="AZ1135">
        <f>IFERROR(SUMIFS(T_TTAFStock[TTAF_Qty],T_TTAFStock[RM_Code],$A1125,T_TTAFStock[WeekIndex],48),"")</f>
        <v/>
      </c>
      <c r="BA1135">
        <f>IFERROR(SUMIFS(T_TTAFStock[TTAF_Qty],T_TTAFStock[RM_Code],$A1125,T_TTAFStock[WeekIndex],49),"")</f>
        <v/>
      </c>
      <c r="BB1135">
        <f>IFERROR(SUMIFS(T_TTAFStock[TTAF_Qty],T_TTAFStock[RM_Code],$A1125,T_TTAFStock[WeekIndex],50),"")</f>
        <v/>
      </c>
      <c r="BC1135">
        <f>IFERROR(SUMIFS(T_TTAFStock[TTAF_Qty],T_TTAFStock[RM_Code],$A1125,T_TTAFStock[WeekIndex],51),"")</f>
        <v/>
      </c>
      <c r="BD1135">
        <f>IFERROR(SUMIFS(T_TTAFStock[TTAF_Qty],T_TTAFStock[RM_Code],$A1125,T_TTAFStock[WeekIndex],52),"")</f>
        <v/>
      </c>
      <c r="BE1135">
        <f>IFERROR(SUMIFS(T_TTAFStock[TTAF_Qty],T_TTAFStock[RM_Code],$A1125,T_TTAFStock[WeekIndex],53),"")</f>
        <v/>
      </c>
      <c r="BF1135">
        <f>IFERROR(SUMIFS(T_TTAFStock[TTAF_Qty],T_TTAFStock[RM_Code],$A1125,T_TTAFStock[WeekIndex],54),"")</f>
        <v/>
      </c>
      <c r="BG1135">
        <f>IFERROR(SUMIFS(T_TTAFStock[TTAF_Qty],T_TTAFStock[RM_Code],$A1125,T_TTAFStock[WeekIndex],55),"")</f>
        <v/>
      </c>
      <c r="BH1135">
        <f>IFERROR(SUMIFS(T_TTAFStock[TTAF_Qty],T_TTAFStock[RM_Code],$A1125,T_TTAFStock[WeekIndex],56),"")</f>
        <v/>
      </c>
      <c r="BI1135">
        <f>IFERROR(SUMIFS(T_TTAFStock[TTAF_Qty],T_TTAFStock[RM_Code],$A1125,T_TTAFStock[WeekIndex],57),"")</f>
        <v/>
      </c>
      <c r="BJ1135">
        <f>IFERROR(SUMIFS(T_TTAFStock[TTAF_Qty],T_TTAFStock[RM_Code],$A1125,T_TTAFStock[WeekIndex],58),"")</f>
        <v/>
      </c>
      <c r="BK1135">
        <f>IFERROR(SUMIFS(T_TTAFStock[TTAF_Qty],T_TTAFStock[RM_Code],$A1125,T_TTAFStock[WeekIndex],59),"")</f>
        <v/>
      </c>
      <c r="BL1135">
        <f>IFERROR(SUMIFS(T_TTAFStock[TTAF_Qty],T_TTAFStock[RM_Code],$A1125,T_TTAFStock[WeekIndex],60),"")</f>
        <v/>
      </c>
      <c r="BM1135">
        <f>IFERROR(SUMIFS(T_TTAFStock[TTAF_Qty],T_TTAFStock[RM_Code],$A1125,T_TTAFStock[WeekIndex],61),"")</f>
        <v/>
      </c>
      <c r="BN1135">
        <f>IFERROR(SUMIFS(T_TTAFStock[TTAF_Qty],T_TTAFStock[RM_Code],$A1125,T_TTAFStock[WeekIndex],62),"")</f>
        <v/>
      </c>
      <c r="BO1135">
        <f>IFERROR(SUMIFS(T_TTAFStock[TTAF_Qty],T_TTAFStock[RM_Code],$A1125,T_TTAFStock[WeekIndex],63),"")</f>
        <v/>
      </c>
      <c r="BP1135">
        <f>IFERROR(SUMIFS(T_TTAFStock[TTAF_Qty],T_TTAFStock[RM_Code],$A1125,T_TTAFStock[WeekIndex],64),"")</f>
        <v/>
      </c>
      <c r="BQ1135">
        <f>IFERROR(SUMIFS(T_TTAFStock[TTAF_Qty],T_TTAFStock[RM_Code],$A1125,T_TTAFStock[WeekIndex],65),"")</f>
        <v/>
      </c>
      <c r="BR1135">
        <f>IFERROR(SUMIFS(T_TTAFStock[TTAF_Qty],T_TTAFStock[RM_Code],$A1125,T_TTAFStock[WeekIndex],66),"")</f>
        <v/>
      </c>
      <c r="BS1135">
        <f>IFERROR(SUMIFS(T_TTAFStock[TTAF_Qty],T_TTAFStock[RM_Code],$A1125,T_TTAFStock[WeekIndex],67),"")</f>
        <v/>
      </c>
      <c r="BT1135">
        <f>IFERROR(SUMIFS(T_TTAFStock[TTAF_Qty],T_TTAFStock[RM_Code],$A1125,T_TTAFStock[WeekIndex],68),"")</f>
        <v/>
      </c>
      <c r="BU1135">
        <f>IFERROR(SUMIFS(T_TTAFStock[TTAF_Qty],T_TTAFStock[RM_Code],$A1125,T_TTAFStock[WeekIndex],69),"")</f>
        <v/>
      </c>
      <c r="BV1135">
        <f>IFERROR(SUMIFS(T_TTAFStock[TTAF_Qty],T_TTAFStock[RM_Code],$A1125,T_TTAFStock[WeekIndex],70),"")</f>
        <v/>
      </c>
      <c r="BW1135">
        <f>IFERROR(SUMIFS(T_TTAFStock[TTAF_Qty],T_TTAFStock[RM_Code],$A1125,T_TTAFStock[WeekIndex],71),"")</f>
        <v/>
      </c>
      <c r="BX1135">
        <f>IFERROR(SUMIFS(T_TTAFStock[TTAF_Qty],T_TTAFStock[RM_Code],$A1125,T_TTAFStock[WeekIndex],72),"")</f>
        <v/>
      </c>
      <c r="BY1135">
        <f>IFERROR(SUMIFS(T_TTAFStock[TTAF_Qty],T_TTAFStock[RM_Code],$A1125,T_TTAFStock[WeekIndex],73),"")</f>
        <v/>
      </c>
      <c r="BZ1135">
        <f>IFERROR(SUMIFS(T_TTAFStock[TTAF_Qty],T_TTAFStock[RM_Code],$A1125,T_TTAFStock[WeekIndex],74),"")</f>
        <v/>
      </c>
      <c r="CA1135">
        <f>IFERROR(SUMIFS(T_TTAFStock[TTAF_Qty],T_TTAFStock[RM_Code],$A1125,T_TTAFStock[WeekIndex],75),"")</f>
        <v/>
      </c>
      <c r="CB1135">
        <f>IFERROR(SUMIFS(T_TTAFStock[TTAF_Qty],T_TTAFStock[RM_Code],$A1125,T_TTAFStock[WeekIndex],76),"")</f>
        <v/>
      </c>
      <c r="CC1135">
        <f>IFERROR(SUMIFS(T_TTAFStock[TTAF_Qty],T_TTAFStock[RM_Code],$A1125,T_TTAFStock[WeekIndex],77),"")</f>
        <v/>
      </c>
      <c r="CD1135">
        <f>IFERROR(SUMIFS(T_TTAFStock[TTAF_Qty],T_TTAFStock[RM_Code],$A1125,T_TTAFStock[WeekIndex],78),"")</f>
        <v/>
      </c>
      <c r="CE1135">
        <f>IFERROR(SUMIFS(T_TTAFStock[TTAF_Qty],T_TTAFStock[RM_Code],$A1125,T_TTAFStock[WeekIndex],79),"")</f>
        <v/>
      </c>
      <c r="CF1135">
        <f>IFERROR(SUMIFS(T_TTAFStock[TTAF_Qty],T_TTAFStock[RM_Code],$A1125,T_TTAFStock[WeekIndex],80),"")</f>
        <v/>
      </c>
      <c r="CG1135">
        <f>IFERROR(SUMIFS(T_TTAFStock[TTAF_Qty],T_TTAFStock[RM_Code],$A1125,T_TTAFStock[WeekIndex],81),"")</f>
        <v/>
      </c>
      <c r="CH1135">
        <f>IFERROR(SUMIFS(T_TTAFStock[TTAF_Qty],T_TTAFStock[RM_Code],$A1125,T_TTAFStock[WeekIndex],82),"")</f>
        <v/>
      </c>
      <c r="CI1135">
        <f>IFERROR(SUMIFS(T_TTAFStock[TTAF_Qty],T_TTAFStock[RM_Code],$A1125,T_TTAFStock[WeekIndex],83),"")</f>
        <v/>
      </c>
      <c r="CJ1135">
        <f>IFERROR(SUMIFS(T_TTAFStock[TTAF_Qty],T_TTAFStock[RM_Code],$A1125,T_TTAFStock[WeekIndex],84),"")</f>
        <v/>
      </c>
      <c r="CK1135">
        <f>IFERROR(SUMIFS(T_TTAFStock[TTAF_Qty],T_TTAFStock[RM_Code],$A1125,T_TTAFStock[WeekIndex],85),"")</f>
        <v/>
      </c>
      <c r="CL1135">
        <f>IFERROR(SUMIFS(T_TTAFStock[TTAF_Qty],T_TTAFStock[RM_Code],$A1125,T_TTAFStock[WeekIndex],86),"")</f>
        <v/>
      </c>
      <c r="CM1135">
        <f>IFERROR(SUMIFS(T_TTAFStock[TTAF_Qty],T_TTAFStock[RM_Code],$A1125,T_TTAFStock[WeekIndex],87),"")</f>
        <v/>
      </c>
      <c r="CN1135">
        <f>IFERROR(SUMIFS(T_TTAFStock[TTAF_Qty],T_TTAFStock[RM_Code],$A1125,T_TTAFStock[WeekIndex],88),"")</f>
        <v/>
      </c>
      <c r="CO1135">
        <f>IFERROR(SUMIFS(T_TTAFStock[TTAF_Qty],T_TTAFStock[RM_Code],$A1125,T_TTAFStock[WeekIndex],89),"")</f>
        <v/>
      </c>
      <c r="CP1135">
        <f>IFERROR(SUMIFS(T_TTAFStock[TTAF_Qty],T_TTAFStock[RM_Code],$A1125,T_TTAFStock[WeekIndex],90),"")</f>
        <v/>
      </c>
      <c r="CQ1135">
        <f>IFERROR(SUMIFS(T_TTAFStock[TTAF_Qty],T_TTAFStock[RM_Code],$A1125,T_TTAFStock[WeekIndex],91),"")</f>
        <v/>
      </c>
      <c r="CR1135">
        <f>IFERROR(SUMIFS(T_TTAFStock[TTAF_Qty],T_TTAFStock[RM_Code],$A1125,T_TTAFStock[WeekIndex],92),"")</f>
        <v/>
      </c>
      <c r="CS1135">
        <f>IFERROR(SUMIFS(T_TTAFStock[TTAF_Qty],T_TTAFStock[RM_Code],$A1125,T_TTAFStock[WeekIndex],93),"")</f>
        <v/>
      </c>
      <c r="CT1135">
        <f>IFERROR(SUMIFS(T_TTAFStock[TTAF_Qty],T_TTAFStock[RM_Code],$A1125,T_TTAFStock[WeekIndex],94),"")</f>
        <v/>
      </c>
      <c r="CU1135">
        <f>IFERROR(SUMIFS(T_TTAFStock[TTAF_Qty],T_TTAFStock[RM_Code],$A1125,T_TTAFStock[WeekIndex],95),"")</f>
        <v/>
      </c>
      <c r="CV1135">
        <f>IFERROR(SUMIFS(T_TTAFStock[TTAF_Qty],T_TTAFStock[RM_Code],$A1125,T_TTAFStock[WeekIndex],96),"")</f>
        <v/>
      </c>
      <c r="CW1135">
        <f>IFERROR(SUMIFS(T_TTAFStock[TTAF_Qty],T_TTAFStock[RM_Code],$A1125,T_TTAFStock[WeekIndex],97),"")</f>
        <v/>
      </c>
      <c r="CX1135">
        <f>IFERROR(SUMIFS(T_TTAFStock[TTAF_Qty],T_TTAFStock[RM_Code],$A1125,T_TTAFStock[WeekIndex],98),"")</f>
        <v/>
      </c>
      <c r="CY1135">
        <f>IFERROR(SUMIFS(T_TTAFStock[TTAF_Qty],T_TTAFStock[RM_Code],$A1125,T_TTAFStock[WeekIndex],99),"")</f>
        <v/>
      </c>
      <c r="CZ1135">
        <f>IFERROR(SUMIFS(T_TTAFStock[TTAF_Qty],T_TTAFStock[RM_Code],$A1125,T_TTAFStock[WeekIndex],100),"")</f>
        <v/>
      </c>
      <c r="DA1135">
        <f>IFERROR(SUMIFS(T_TTAFStock[TTAF_Qty],T_TTAFStock[RM_Code],$A1125,T_TTAFStock[WeekIndex],101),"")</f>
        <v/>
      </c>
      <c r="DB1135">
        <f>IFERROR(SUMIFS(T_TTAFStock[TTAF_Qty],T_TTAFStock[RM_Code],$A1125,T_TTAFStock[WeekIndex],102),"")</f>
        <v/>
      </c>
      <c r="DC1135">
        <f>IFERROR(SUMIFS(T_TTAFStock[TTAF_Qty],T_TTAFStock[RM_Code],$A1125,T_TTAFStock[WeekIndex],103),"")</f>
        <v/>
      </c>
      <c r="DD1135">
        <f>IFERROR(SUMIFS(T_TTAFStock[TTAF_Qty],T_TTAFStock[RM_Code],$A1125,T_TTAFStock[WeekIndex],104),"")</f>
        <v/>
      </c>
    </row>
    <row r="1136">
      <c r="B1136" t="inlineStr">
        <is>
          <t>自社在庫(実績,kg)</t>
        </is>
      </c>
      <c r="D1136">
        <f>IFERROR(INDEX(E1136:DD1136,$F$1),"")</f>
        <v/>
      </c>
      <c r="E1136">
        <f>IFERROR(SUMIFS(T_SelfStock[Self_Qty],T_SelfStock[RM_Code],$A1125,T_SelfStock[WeekIndex],1),"")</f>
        <v/>
      </c>
      <c r="F1136">
        <f>IFERROR(SUMIFS(T_SelfStock[Self_Qty],T_SelfStock[RM_Code],$A1125,T_SelfStock[WeekIndex],2),"")</f>
        <v/>
      </c>
      <c r="G1136">
        <f>IFERROR(SUMIFS(T_SelfStock[Self_Qty],T_SelfStock[RM_Code],$A1125,T_SelfStock[WeekIndex],3),"")</f>
        <v/>
      </c>
      <c r="H1136">
        <f>IFERROR(SUMIFS(T_SelfStock[Self_Qty],T_SelfStock[RM_Code],$A1125,T_SelfStock[WeekIndex],4),"")</f>
        <v/>
      </c>
      <c r="I1136">
        <f>IFERROR(SUMIFS(T_SelfStock[Self_Qty],T_SelfStock[RM_Code],$A1125,T_SelfStock[WeekIndex],5),"")</f>
        <v/>
      </c>
      <c r="J1136">
        <f>IFERROR(SUMIFS(T_SelfStock[Self_Qty],T_SelfStock[RM_Code],$A1125,T_SelfStock[WeekIndex],6),"")</f>
        <v/>
      </c>
      <c r="K1136">
        <f>IFERROR(SUMIFS(T_SelfStock[Self_Qty],T_SelfStock[RM_Code],$A1125,T_SelfStock[WeekIndex],7),"")</f>
        <v/>
      </c>
      <c r="L1136">
        <f>IFERROR(SUMIFS(T_SelfStock[Self_Qty],T_SelfStock[RM_Code],$A1125,T_SelfStock[WeekIndex],8),"")</f>
        <v/>
      </c>
      <c r="M1136">
        <f>IFERROR(SUMIFS(T_SelfStock[Self_Qty],T_SelfStock[RM_Code],$A1125,T_SelfStock[WeekIndex],9),"")</f>
        <v/>
      </c>
      <c r="N1136">
        <f>IFERROR(SUMIFS(T_SelfStock[Self_Qty],T_SelfStock[RM_Code],$A1125,T_SelfStock[WeekIndex],10),"")</f>
        <v/>
      </c>
      <c r="O1136">
        <f>IFERROR(SUMIFS(T_SelfStock[Self_Qty],T_SelfStock[RM_Code],$A1125,T_SelfStock[WeekIndex],11),"")</f>
        <v/>
      </c>
      <c r="P1136">
        <f>IFERROR(SUMIFS(T_SelfStock[Self_Qty],T_SelfStock[RM_Code],$A1125,T_SelfStock[WeekIndex],12),"")</f>
        <v/>
      </c>
      <c r="Q1136">
        <f>IFERROR(SUMIFS(T_SelfStock[Self_Qty],T_SelfStock[RM_Code],$A1125,T_SelfStock[WeekIndex],13),"")</f>
        <v/>
      </c>
      <c r="R1136">
        <f>IFERROR(SUMIFS(T_SelfStock[Self_Qty],T_SelfStock[RM_Code],$A1125,T_SelfStock[WeekIndex],14),"")</f>
        <v/>
      </c>
      <c r="S1136">
        <f>IFERROR(SUMIFS(T_SelfStock[Self_Qty],T_SelfStock[RM_Code],$A1125,T_SelfStock[WeekIndex],15),"")</f>
        <v/>
      </c>
      <c r="T1136">
        <f>IFERROR(SUMIFS(T_SelfStock[Self_Qty],T_SelfStock[RM_Code],$A1125,T_SelfStock[WeekIndex],16),"")</f>
        <v/>
      </c>
      <c r="U1136">
        <f>IFERROR(SUMIFS(T_SelfStock[Self_Qty],T_SelfStock[RM_Code],$A1125,T_SelfStock[WeekIndex],17),"")</f>
        <v/>
      </c>
      <c r="V1136">
        <f>IFERROR(SUMIFS(T_SelfStock[Self_Qty],T_SelfStock[RM_Code],$A1125,T_SelfStock[WeekIndex],18),"")</f>
        <v/>
      </c>
      <c r="W1136">
        <f>IFERROR(SUMIFS(T_SelfStock[Self_Qty],T_SelfStock[RM_Code],$A1125,T_SelfStock[WeekIndex],19),"")</f>
        <v/>
      </c>
      <c r="X1136">
        <f>IFERROR(SUMIFS(T_SelfStock[Self_Qty],T_SelfStock[RM_Code],$A1125,T_SelfStock[WeekIndex],20),"")</f>
        <v/>
      </c>
      <c r="Y1136">
        <f>IFERROR(SUMIFS(T_SelfStock[Self_Qty],T_SelfStock[RM_Code],$A1125,T_SelfStock[WeekIndex],21),"")</f>
        <v/>
      </c>
      <c r="Z1136">
        <f>IFERROR(SUMIFS(T_SelfStock[Self_Qty],T_SelfStock[RM_Code],$A1125,T_SelfStock[WeekIndex],22),"")</f>
        <v/>
      </c>
      <c r="AA1136">
        <f>IFERROR(SUMIFS(T_SelfStock[Self_Qty],T_SelfStock[RM_Code],$A1125,T_SelfStock[WeekIndex],23),"")</f>
        <v/>
      </c>
      <c r="AB1136">
        <f>IFERROR(SUMIFS(T_SelfStock[Self_Qty],T_SelfStock[RM_Code],$A1125,T_SelfStock[WeekIndex],24),"")</f>
        <v/>
      </c>
      <c r="AC1136">
        <f>IFERROR(SUMIFS(T_SelfStock[Self_Qty],T_SelfStock[RM_Code],$A1125,T_SelfStock[WeekIndex],25),"")</f>
        <v/>
      </c>
      <c r="AD1136">
        <f>IFERROR(SUMIFS(T_SelfStock[Self_Qty],T_SelfStock[RM_Code],$A1125,T_SelfStock[WeekIndex],26),"")</f>
        <v/>
      </c>
      <c r="AE1136">
        <f>IFERROR(SUMIFS(T_SelfStock[Self_Qty],T_SelfStock[RM_Code],$A1125,T_SelfStock[WeekIndex],27),"")</f>
        <v/>
      </c>
      <c r="AF1136">
        <f>IFERROR(SUMIFS(T_SelfStock[Self_Qty],T_SelfStock[RM_Code],$A1125,T_SelfStock[WeekIndex],28),"")</f>
        <v/>
      </c>
      <c r="AG1136">
        <f>IFERROR(SUMIFS(T_SelfStock[Self_Qty],T_SelfStock[RM_Code],$A1125,T_SelfStock[WeekIndex],29),"")</f>
        <v/>
      </c>
      <c r="AH1136">
        <f>IFERROR(SUMIFS(T_SelfStock[Self_Qty],T_SelfStock[RM_Code],$A1125,T_SelfStock[WeekIndex],30),"")</f>
        <v/>
      </c>
      <c r="AI1136">
        <f>IFERROR(SUMIFS(T_SelfStock[Self_Qty],T_SelfStock[RM_Code],$A1125,T_SelfStock[WeekIndex],31),"")</f>
        <v/>
      </c>
      <c r="AJ1136">
        <f>IFERROR(SUMIFS(T_SelfStock[Self_Qty],T_SelfStock[RM_Code],$A1125,T_SelfStock[WeekIndex],32),"")</f>
        <v/>
      </c>
      <c r="AK1136">
        <f>IFERROR(SUMIFS(T_SelfStock[Self_Qty],T_SelfStock[RM_Code],$A1125,T_SelfStock[WeekIndex],33),"")</f>
        <v/>
      </c>
      <c r="AL1136">
        <f>IFERROR(SUMIFS(T_SelfStock[Self_Qty],T_SelfStock[RM_Code],$A1125,T_SelfStock[WeekIndex],34),"")</f>
        <v/>
      </c>
      <c r="AM1136">
        <f>IFERROR(SUMIFS(T_SelfStock[Self_Qty],T_SelfStock[RM_Code],$A1125,T_SelfStock[WeekIndex],35),"")</f>
        <v/>
      </c>
      <c r="AN1136">
        <f>IFERROR(SUMIFS(T_SelfStock[Self_Qty],T_SelfStock[RM_Code],$A1125,T_SelfStock[WeekIndex],36),"")</f>
        <v/>
      </c>
      <c r="AO1136">
        <f>IFERROR(SUMIFS(T_SelfStock[Self_Qty],T_SelfStock[RM_Code],$A1125,T_SelfStock[WeekIndex],37),"")</f>
        <v/>
      </c>
      <c r="AP1136">
        <f>IFERROR(SUMIFS(T_SelfStock[Self_Qty],T_SelfStock[RM_Code],$A1125,T_SelfStock[WeekIndex],38),"")</f>
        <v/>
      </c>
      <c r="AQ1136">
        <f>IFERROR(SUMIFS(T_SelfStock[Self_Qty],T_SelfStock[RM_Code],$A1125,T_SelfStock[WeekIndex],39),"")</f>
        <v/>
      </c>
      <c r="AR1136">
        <f>IFERROR(SUMIFS(T_SelfStock[Self_Qty],T_SelfStock[RM_Code],$A1125,T_SelfStock[WeekIndex],40),"")</f>
        <v/>
      </c>
      <c r="AS1136">
        <f>IFERROR(SUMIFS(T_SelfStock[Self_Qty],T_SelfStock[RM_Code],$A1125,T_SelfStock[WeekIndex],41),"")</f>
        <v/>
      </c>
      <c r="AT1136">
        <f>IFERROR(SUMIFS(T_SelfStock[Self_Qty],T_SelfStock[RM_Code],$A1125,T_SelfStock[WeekIndex],42),"")</f>
        <v/>
      </c>
      <c r="AU1136">
        <f>IFERROR(SUMIFS(T_SelfStock[Self_Qty],T_SelfStock[RM_Code],$A1125,T_SelfStock[WeekIndex],43),"")</f>
        <v/>
      </c>
      <c r="AV1136">
        <f>IFERROR(SUMIFS(T_SelfStock[Self_Qty],T_SelfStock[RM_Code],$A1125,T_SelfStock[WeekIndex],44),"")</f>
        <v/>
      </c>
      <c r="AW1136">
        <f>IFERROR(SUMIFS(T_SelfStock[Self_Qty],T_SelfStock[RM_Code],$A1125,T_SelfStock[WeekIndex],45),"")</f>
        <v/>
      </c>
      <c r="AX1136">
        <f>IFERROR(SUMIFS(T_SelfStock[Self_Qty],T_SelfStock[RM_Code],$A1125,T_SelfStock[WeekIndex],46),"")</f>
        <v/>
      </c>
      <c r="AY1136">
        <f>IFERROR(SUMIFS(T_SelfStock[Self_Qty],T_SelfStock[RM_Code],$A1125,T_SelfStock[WeekIndex],47),"")</f>
        <v/>
      </c>
      <c r="AZ1136">
        <f>IFERROR(SUMIFS(T_SelfStock[Self_Qty],T_SelfStock[RM_Code],$A1125,T_SelfStock[WeekIndex],48),"")</f>
        <v/>
      </c>
      <c r="BA1136">
        <f>IFERROR(SUMIFS(T_SelfStock[Self_Qty],T_SelfStock[RM_Code],$A1125,T_SelfStock[WeekIndex],49),"")</f>
        <v/>
      </c>
      <c r="BB1136">
        <f>IFERROR(SUMIFS(T_SelfStock[Self_Qty],T_SelfStock[RM_Code],$A1125,T_SelfStock[WeekIndex],50),"")</f>
        <v/>
      </c>
      <c r="BC1136">
        <f>IFERROR(SUMIFS(T_SelfStock[Self_Qty],T_SelfStock[RM_Code],$A1125,T_SelfStock[WeekIndex],51),"")</f>
        <v/>
      </c>
      <c r="BD1136">
        <f>IFERROR(SUMIFS(T_SelfStock[Self_Qty],T_SelfStock[RM_Code],$A1125,T_SelfStock[WeekIndex],52),"")</f>
        <v/>
      </c>
      <c r="BE1136">
        <f>IFERROR(SUMIFS(T_SelfStock[Self_Qty],T_SelfStock[RM_Code],$A1125,T_SelfStock[WeekIndex],53),"")</f>
        <v/>
      </c>
      <c r="BF1136">
        <f>IFERROR(SUMIFS(T_SelfStock[Self_Qty],T_SelfStock[RM_Code],$A1125,T_SelfStock[WeekIndex],54),"")</f>
        <v/>
      </c>
      <c r="BG1136">
        <f>IFERROR(SUMIFS(T_SelfStock[Self_Qty],T_SelfStock[RM_Code],$A1125,T_SelfStock[WeekIndex],55),"")</f>
        <v/>
      </c>
      <c r="BH1136">
        <f>IFERROR(SUMIFS(T_SelfStock[Self_Qty],T_SelfStock[RM_Code],$A1125,T_SelfStock[WeekIndex],56),"")</f>
        <v/>
      </c>
      <c r="BI1136">
        <f>IFERROR(SUMIFS(T_SelfStock[Self_Qty],T_SelfStock[RM_Code],$A1125,T_SelfStock[WeekIndex],57),"")</f>
        <v/>
      </c>
      <c r="BJ1136">
        <f>IFERROR(SUMIFS(T_SelfStock[Self_Qty],T_SelfStock[RM_Code],$A1125,T_SelfStock[WeekIndex],58),"")</f>
        <v/>
      </c>
      <c r="BK1136">
        <f>IFERROR(SUMIFS(T_SelfStock[Self_Qty],T_SelfStock[RM_Code],$A1125,T_SelfStock[WeekIndex],59),"")</f>
        <v/>
      </c>
      <c r="BL1136">
        <f>IFERROR(SUMIFS(T_SelfStock[Self_Qty],T_SelfStock[RM_Code],$A1125,T_SelfStock[WeekIndex],60),"")</f>
        <v/>
      </c>
      <c r="BM1136">
        <f>IFERROR(SUMIFS(T_SelfStock[Self_Qty],T_SelfStock[RM_Code],$A1125,T_SelfStock[WeekIndex],61),"")</f>
        <v/>
      </c>
      <c r="BN1136">
        <f>IFERROR(SUMIFS(T_SelfStock[Self_Qty],T_SelfStock[RM_Code],$A1125,T_SelfStock[WeekIndex],62),"")</f>
        <v/>
      </c>
      <c r="BO1136">
        <f>IFERROR(SUMIFS(T_SelfStock[Self_Qty],T_SelfStock[RM_Code],$A1125,T_SelfStock[WeekIndex],63),"")</f>
        <v/>
      </c>
      <c r="BP1136">
        <f>IFERROR(SUMIFS(T_SelfStock[Self_Qty],T_SelfStock[RM_Code],$A1125,T_SelfStock[WeekIndex],64),"")</f>
        <v/>
      </c>
      <c r="BQ1136">
        <f>IFERROR(SUMIFS(T_SelfStock[Self_Qty],T_SelfStock[RM_Code],$A1125,T_SelfStock[WeekIndex],65),"")</f>
        <v/>
      </c>
      <c r="BR1136">
        <f>IFERROR(SUMIFS(T_SelfStock[Self_Qty],T_SelfStock[RM_Code],$A1125,T_SelfStock[WeekIndex],66),"")</f>
        <v/>
      </c>
      <c r="BS1136">
        <f>IFERROR(SUMIFS(T_SelfStock[Self_Qty],T_SelfStock[RM_Code],$A1125,T_SelfStock[WeekIndex],67),"")</f>
        <v/>
      </c>
      <c r="BT1136">
        <f>IFERROR(SUMIFS(T_SelfStock[Self_Qty],T_SelfStock[RM_Code],$A1125,T_SelfStock[WeekIndex],68),"")</f>
        <v/>
      </c>
      <c r="BU1136">
        <f>IFERROR(SUMIFS(T_SelfStock[Self_Qty],T_SelfStock[RM_Code],$A1125,T_SelfStock[WeekIndex],69),"")</f>
        <v/>
      </c>
      <c r="BV1136">
        <f>IFERROR(SUMIFS(T_SelfStock[Self_Qty],T_SelfStock[RM_Code],$A1125,T_SelfStock[WeekIndex],70),"")</f>
        <v/>
      </c>
      <c r="BW1136">
        <f>IFERROR(SUMIFS(T_SelfStock[Self_Qty],T_SelfStock[RM_Code],$A1125,T_SelfStock[WeekIndex],71),"")</f>
        <v/>
      </c>
      <c r="BX1136">
        <f>IFERROR(SUMIFS(T_SelfStock[Self_Qty],T_SelfStock[RM_Code],$A1125,T_SelfStock[WeekIndex],72),"")</f>
        <v/>
      </c>
      <c r="BY1136">
        <f>IFERROR(SUMIFS(T_SelfStock[Self_Qty],T_SelfStock[RM_Code],$A1125,T_SelfStock[WeekIndex],73),"")</f>
        <v/>
      </c>
      <c r="BZ1136">
        <f>IFERROR(SUMIFS(T_SelfStock[Self_Qty],T_SelfStock[RM_Code],$A1125,T_SelfStock[WeekIndex],74),"")</f>
        <v/>
      </c>
      <c r="CA1136">
        <f>IFERROR(SUMIFS(T_SelfStock[Self_Qty],T_SelfStock[RM_Code],$A1125,T_SelfStock[WeekIndex],75),"")</f>
        <v/>
      </c>
      <c r="CB1136">
        <f>IFERROR(SUMIFS(T_SelfStock[Self_Qty],T_SelfStock[RM_Code],$A1125,T_SelfStock[WeekIndex],76),"")</f>
        <v/>
      </c>
      <c r="CC1136">
        <f>IFERROR(SUMIFS(T_SelfStock[Self_Qty],T_SelfStock[RM_Code],$A1125,T_SelfStock[WeekIndex],77),"")</f>
        <v/>
      </c>
      <c r="CD1136">
        <f>IFERROR(SUMIFS(T_SelfStock[Self_Qty],T_SelfStock[RM_Code],$A1125,T_SelfStock[WeekIndex],78),"")</f>
        <v/>
      </c>
      <c r="CE1136">
        <f>IFERROR(SUMIFS(T_SelfStock[Self_Qty],T_SelfStock[RM_Code],$A1125,T_SelfStock[WeekIndex],79),"")</f>
        <v/>
      </c>
      <c r="CF1136">
        <f>IFERROR(SUMIFS(T_SelfStock[Self_Qty],T_SelfStock[RM_Code],$A1125,T_SelfStock[WeekIndex],80),"")</f>
        <v/>
      </c>
      <c r="CG1136">
        <f>IFERROR(SUMIFS(T_SelfStock[Self_Qty],T_SelfStock[RM_Code],$A1125,T_SelfStock[WeekIndex],81),"")</f>
        <v/>
      </c>
      <c r="CH1136">
        <f>IFERROR(SUMIFS(T_SelfStock[Self_Qty],T_SelfStock[RM_Code],$A1125,T_SelfStock[WeekIndex],82),"")</f>
        <v/>
      </c>
      <c r="CI1136">
        <f>IFERROR(SUMIFS(T_SelfStock[Self_Qty],T_SelfStock[RM_Code],$A1125,T_SelfStock[WeekIndex],83),"")</f>
        <v/>
      </c>
      <c r="CJ1136">
        <f>IFERROR(SUMIFS(T_SelfStock[Self_Qty],T_SelfStock[RM_Code],$A1125,T_SelfStock[WeekIndex],84),"")</f>
        <v/>
      </c>
      <c r="CK1136">
        <f>IFERROR(SUMIFS(T_SelfStock[Self_Qty],T_SelfStock[RM_Code],$A1125,T_SelfStock[WeekIndex],85),"")</f>
        <v/>
      </c>
      <c r="CL1136">
        <f>IFERROR(SUMIFS(T_SelfStock[Self_Qty],T_SelfStock[RM_Code],$A1125,T_SelfStock[WeekIndex],86),"")</f>
        <v/>
      </c>
      <c r="CM1136">
        <f>IFERROR(SUMIFS(T_SelfStock[Self_Qty],T_SelfStock[RM_Code],$A1125,T_SelfStock[WeekIndex],87),"")</f>
        <v/>
      </c>
      <c r="CN1136">
        <f>IFERROR(SUMIFS(T_SelfStock[Self_Qty],T_SelfStock[RM_Code],$A1125,T_SelfStock[WeekIndex],88),"")</f>
        <v/>
      </c>
      <c r="CO1136">
        <f>IFERROR(SUMIFS(T_SelfStock[Self_Qty],T_SelfStock[RM_Code],$A1125,T_SelfStock[WeekIndex],89),"")</f>
        <v/>
      </c>
      <c r="CP1136">
        <f>IFERROR(SUMIFS(T_SelfStock[Self_Qty],T_SelfStock[RM_Code],$A1125,T_SelfStock[WeekIndex],90),"")</f>
        <v/>
      </c>
      <c r="CQ1136">
        <f>IFERROR(SUMIFS(T_SelfStock[Self_Qty],T_SelfStock[RM_Code],$A1125,T_SelfStock[WeekIndex],91),"")</f>
        <v/>
      </c>
      <c r="CR1136">
        <f>IFERROR(SUMIFS(T_SelfStock[Self_Qty],T_SelfStock[RM_Code],$A1125,T_SelfStock[WeekIndex],92),"")</f>
        <v/>
      </c>
      <c r="CS1136">
        <f>IFERROR(SUMIFS(T_SelfStock[Self_Qty],T_SelfStock[RM_Code],$A1125,T_SelfStock[WeekIndex],93),"")</f>
        <v/>
      </c>
      <c r="CT1136">
        <f>IFERROR(SUMIFS(T_SelfStock[Self_Qty],T_SelfStock[RM_Code],$A1125,T_SelfStock[WeekIndex],94),"")</f>
        <v/>
      </c>
      <c r="CU1136">
        <f>IFERROR(SUMIFS(T_SelfStock[Self_Qty],T_SelfStock[RM_Code],$A1125,T_SelfStock[WeekIndex],95),"")</f>
        <v/>
      </c>
      <c r="CV1136">
        <f>IFERROR(SUMIFS(T_SelfStock[Self_Qty],T_SelfStock[RM_Code],$A1125,T_SelfStock[WeekIndex],96),"")</f>
        <v/>
      </c>
      <c r="CW1136">
        <f>IFERROR(SUMIFS(T_SelfStock[Self_Qty],T_SelfStock[RM_Code],$A1125,T_SelfStock[WeekIndex],97),"")</f>
        <v/>
      </c>
      <c r="CX1136">
        <f>IFERROR(SUMIFS(T_SelfStock[Self_Qty],T_SelfStock[RM_Code],$A1125,T_SelfStock[WeekIndex],98),"")</f>
        <v/>
      </c>
      <c r="CY1136">
        <f>IFERROR(SUMIFS(T_SelfStock[Self_Qty],T_SelfStock[RM_Code],$A1125,T_SelfStock[WeekIndex],99),"")</f>
        <v/>
      </c>
      <c r="CZ1136">
        <f>IFERROR(SUMIFS(T_SelfStock[Self_Qty],T_SelfStock[RM_Code],$A1125,T_SelfStock[WeekIndex],100),"")</f>
        <v/>
      </c>
      <c r="DA1136">
        <f>IFERROR(SUMIFS(T_SelfStock[Self_Qty],T_SelfStock[RM_Code],$A1125,T_SelfStock[WeekIndex],101),"")</f>
        <v/>
      </c>
      <c r="DB1136">
        <f>IFERROR(SUMIFS(T_SelfStock[Self_Qty],T_SelfStock[RM_Code],$A1125,T_SelfStock[WeekIndex],102),"")</f>
        <v/>
      </c>
      <c r="DC1136">
        <f>IFERROR(SUMIFS(T_SelfStock[Self_Qty],T_SelfStock[RM_Code],$A1125,T_SelfStock[WeekIndex],103),"")</f>
        <v/>
      </c>
      <c r="DD1136">
        <f>IFERROR(SUMIFS(T_SelfStock[Self_Qty],T_SelfStock[RM_Code],$A1125,T_SelfStock[WeekIndex],104),"")</f>
        <v/>
      </c>
    </row>
    <row r="1137">
      <c r="B1137" s="4" t="inlineStr">
        <is>
          <t>合計在庫(週末時点,kg)</t>
        </is>
      </c>
      <c r="D1137" s="24">
        <f>IFERROR(INDEX(E1137:DD1137,$F$1),"")</f>
        <v/>
      </c>
      <c r="E1137">
        <f>'Grid_Stock'!B53</f>
        <v/>
      </c>
      <c r="F1137">
        <f>'Grid_Stock'!C53</f>
        <v/>
      </c>
      <c r="G1137">
        <f>'Grid_Stock'!D53</f>
        <v/>
      </c>
      <c r="H1137">
        <f>'Grid_Stock'!E53</f>
        <v/>
      </c>
      <c r="I1137">
        <f>'Grid_Stock'!F53</f>
        <v/>
      </c>
      <c r="J1137">
        <f>'Grid_Stock'!G53</f>
        <v/>
      </c>
      <c r="K1137">
        <f>'Grid_Stock'!H53</f>
        <v/>
      </c>
      <c r="L1137">
        <f>'Grid_Stock'!I53</f>
        <v/>
      </c>
      <c r="M1137">
        <f>'Grid_Stock'!J53</f>
        <v/>
      </c>
      <c r="N1137">
        <f>'Grid_Stock'!K53</f>
        <v/>
      </c>
      <c r="O1137">
        <f>'Grid_Stock'!L53</f>
        <v/>
      </c>
      <c r="P1137">
        <f>'Grid_Stock'!M53</f>
        <v/>
      </c>
      <c r="Q1137">
        <f>'Grid_Stock'!N53</f>
        <v/>
      </c>
      <c r="R1137">
        <f>'Grid_Stock'!O53</f>
        <v/>
      </c>
      <c r="S1137">
        <f>'Grid_Stock'!P53</f>
        <v/>
      </c>
      <c r="T1137">
        <f>'Grid_Stock'!Q53</f>
        <v/>
      </c>
      <c r="U1137">
        <f>'Grid_Stock'!R53</f>
        <v/>
      </c>
      <c r="V1137">
        <f>'Grid_Stock'!S53</f>
        <v/>
      </c>
      <c r="W1137">
        <f>'Grid_Stock'!T53</f>
        <v/>
      </c>
      <c r="X1137">
        <f>'Grid_Stock'!U53</f>
        <v/>
      </c>
      <c r="Y1137">
        <f>'Grid_Stock'!V53</f>
        <v/>
      </c>
      <c r="Z1137">
        <f>'Grid_Stock'!W53</f>
        <v/>
      </c>
      <c r="AA1137">
        <f>'Grid_Stock'!X53</f>
        <v/>
      </c>
      <c r="AB1137">
        <f>'Grid_Stock'!Y53</f>
        <v/>
      </c>
      <c r="AC1137">
        <f>'Grid_Stock'!Z53</f>
        <v/>
      </c>
      <c r="AD1137">
        <f>'Grid_Stock'!AA53</f>
        <v/>
      </c>
      <c r="AE1137">
        <f>'Grid_Stock'!AB53</f>
        <v/>
      </c>
      <c r="AF1137">
        <f>'Grid_Stock'!AC53</f>
        <v/>
      </c>
      <c r="AG1137">
        <f>'Grid_Stock'!AD53</f>
        <v/>
      </c>
      <c r="AH1137">
        <f>'Grid_Stock'!AE53</f>
        <v/>
      </c>
      <c r="AI1137">
        <f>'Grid_Stock'!AF53</f>
        <v/>
      </c>
      <c r="AJ1137">
        <f>'Grid_Stock'!AG53</f>
        <v/>
      </c>
      <c r="AK1137">
        <f>'Grid_Stock'!AH53</f>
        <v/>
      </c>
      <c r="AL1137">
        <f>'Grid_Stock'!AI53</f>
        <v/>
      </c>
      <c r="AM1137">
        <f>'Grid_Stock'!AJ53</f>
        <v/>
      </c>
      <c r="AN1137">
        <f>'Grid_Stock'!AK53</f>
        <v/>
      </c>
      <c r="AO1137">
        <f>'Grid_Stock'!AL53</f>
        <v/>
      </c>
      <c r="AP1137">
        <f>'Grid_Stock'!AM53</f>
        <v/>
      </c>
      <c r="AQ1137">
        <f>'Grid_Stock'!AN53</f>
        <v/>
      </c>
      <c r="AR1137">
        <f>'Grid_Stock'!AO53</f>
        <v/>
      </c>
      <c r="AS1137">
        <f>'Grid_Stock'!AP53</f>
        <v/>
      </c>
      <c r="AT1137">
        <f>'Grid_Stock'!AQ53</f>
        <v/>
      </c>
      <c r="AU1137">
        <f>'Grid_Stock'!AR53</f>
        <v/>
      </c>
      <c r="AV1137">
        <f>'Grid_Stock'!AS53</f>
        <v/>
      </c>
      <c r="AW1137">
        <f>'Grid_Stock'!AT53</f>
        <v/>
      </c>
      <c r="AX1137">
        <f>'Grid_Stock'!AU53</f>
        <v/>
      </c>
      <c r="AY1137">
        <f>'Grid_Stock'!AV53</f>
        <v/>
      </c>
      <c r="AZ1137">
        <f>'Grid_Stock'!AW53</f>
        <v/>
      </c>
      <c r="BA1137">
        <f>'Grid_Stock'!AX53</f>
        <v/>
      </c>
      <c r="BB1137">
        <f>'Grid_Stock'!AY53</f>
        <v/>
      </c>
      <c r="BC1137">
        <f>'Grid_Stock'!AZ53</f>
        <v/>
      </c>
      <c r="BD1137">
        <f>'Grid_Stock'!BA53</f>
        <v/>
      </c>
      <c r="BE1137">
        <f>'Grid_Stock'!BB53</f>
        <v/>
      </c>
      <c r="BF1137">
        <f>'Grid_Stock'!BC53</f>
        <v/>
      </c>
      <c r="BG1137">
        <f>'Grid_Stock'!BD53</f>
        <v/>
      </c>
      <c r="BH1137">
        <f>'Grid_Stock'!BE53</f>
        <v/>
      </c>
      <c r="BI1137">
        <f>'Grid_Stock'!BF53</f>
        <v/>
      </c>
      <c r="BJ1137">
        <f>'Grid_Stock'!BG53</f>
        <v/>
      </c>
      <c r="BK1137">
        <f>'Grid_Stock'!BH53</f>
        <v/>
      </c>
      <c r="BL1137">
        <f>'Grid_Stock'!BI53</f>
        <v/>
      </c>
      <c r="BM1137">
        <f>'Grid_Stock'!BJ53</f>
        <v/>
      </c>
      <c r="BN1137">
        <f>'Grid_Stock'!BK53</f>
        <v/>
      </c>
      <c r="BO1137">
        <f>'Grid_Stock'!BL53</f>
        <v/>
      </c>
      <c r="BP1137">
        <f>'Grid_Stock'!BM53</f>
        <v/>
      </c>
      <c r="BQ1137">
        <f>'Grid_Stock'!BN53</f>
        <v/>
      </c>
      <c r="BR1137">
        <f>'Grid_Stock'!BO53</f>
        <v/>
      </c>
      <c r="BS1137">
        <f>'Grid_Stock'!BP53</f>
        <v/>
      </c>
      <c r="BT1137">
        <f>'Grid_Stock'!BQ53</f>
        <v/>
      </c>
      <c r="BU1137">
        <f>'Grid_Stock'!BR53</f>
        <v/>
      </c>
      <c r="BV1137">
        <f>'Grid_Stock'!BS53</f>
        <v/>
      </c>
      <c r="BW1137">
        <f>'Grid_Stock'!BT53</f>
        <v/>
      </c>
      <c r="BX1137">
        <f>'Grid_Stock'!BU53</f>
        <v/>
      </c>
      <c r="BY1137">
        <f>'Grid_Stock'!BV53</f>
        <v/>
      </c>
      <c r="BZ1137">
        <f>'Grid_Stock'!BW53</f>
        <v/>
      </c>
      <c r="CA1137">
        <f>'Grid_Stock'!BX53</f>
        <v/>
      </c>
      <c r="CB1137">
        <f>'Grid_Stock'!BY53</f>
        <v/>
      </c>
      <c r="CC1137">
        <f>'Grid_Stock'!BZ53</f>
        <v/>
      </c>
      <c r="CD1137">
        <f>'Grid_Stock'!CA53</f>
        <v/>
      </c>
      <c r="CE1137">
        <f>'Grid_Stock'!CB53</f>
        <v/>
      </c>
      <c r="CF1137">
        <f>'Grid_Stock'!CC53</f>
        <v/>
      </c>
      <c r="CG1137">
        <f>'Grid_Stock'!CD53</f>
        <v/>
      </c>
      <c r="CH1137">
        <f>'Grid_Stock'!CE53</f>
        <v/>
      </c>
      <c r="CI1137">
        <f>'Grid_Stock'!CF53</f>
        <v/>
      </c>
      <c r="CJ1137">
        <f>'Grid_Stock'!CG53</f>
        <v/>
      </c>
      <c r="CK1137">
        <f>'Grid_Stock'!CH53</f>
        <v/>
      </c>
      <c r="CL1137">
        <f>'Grid_Stock'!CI53</f>
        <v/>
      </c>
      <c r="CM1137">
        <f>'Grid_Stock'!CJ53</f>
        <v/>
      </c>
      <c r="CN1137">
        <f>'Grid_Stock'!CK53</f>
        <v/>
      </c>
      <c r="CO1137">
        <f>'Grid_Stock'!CL53</f>
        <v/>
      </c>
      <c r="CP1137">
        <f>'Grid_Stock'!CM53</f>
        <v/>
      </c>
      <c r="CQ1137">
        <f>'Grid_Stock'!CN53</f>
        <v/>
      </c>
      <c r="CR1137">
        <f>'Grid_Stock'!CO53</f>
        <v/>
      </c>
      <c r="CS1137">
        <f>'Grid_Stock'!CP53</f>
        <v/>
      </c>
      <c r="CT1137">
        <f>'Grid_Stock'!CQ53</f>
        <v/>
      </c>
      <c r="CU1137">
        <f>'Grid_Stock'!CR53</f>
        <v/>
      </c>
      <c r="CV1137">
        <f>'Grid_Stock'!CS53</f>
        <v/>
      </c>
      <c r="CW1137">
        <f>'Grid_Stock'!CT53</f>
        <v/>
      </c>
      <c r="CX1137">
        <f>'Grid_Stock'!CU53</f>
        <v/>
      </c>
      <c r="CY1137">
        <f>'Grid_Stock'!CV53</f>
        <v/>
      </c>
      <c r="CZ1137">
        <f>'Grid_Stock'!CW53</f>
        <v/>
      </c>
      <c r="DA1137">
        <f>'Grid_Stock'!CX53</f>
        <v/>
      </c>
      <c r="DB1137">
        <f>'Grid_Stock'!CY53</f>
        <v/>
      </c>
      <c r="DC1137">
        <f>'Grid_Stock'!CZ53</f>
        <v/>
      </c>
      <c r="DD1137">
        <f>'Grid_Stock'!DA53</f>
        <v/>
      </c>
    </row>
    <row r="1138">
      <c r="B1138" s="25" t="inlineStr">
        <is>
          <t>（発注の目安はDashboardの基準在庫[下限/上限]と色分けを参照）</t>
        </is>
      </c>
    </row>
    <row r="1140">
      <c r="A1140" s="21" t="inlineStr">
        <is>
          <t>CHEM-1490</t>
        </is>
      </c>
      <c r="B1140" s="21" t="inlineStr">
        <is>
          <t>Optalys 227</t>
        </is>
      </c>
      <c r="C1140" s="22" t="n"/>
      <c r="D1140" s="21" t="n"/>
      <c r="E1140" s="21" t="n"/>
      <c r="F1140" s="21" t="n"/>
      <c r="G1140" s="21" t="n"/>
      <c r="H1140" s="21" t="n"/>
      <c r="I1140" s="21" t="n"/>
      <c r="J1140" s="21" t="n"/>
      <c r="K1140" s="21" t="n"/>
      <c r="L1140" s="21" t="n"/>
      <c r="M1140" s="21" t="n"/>
      <c r="N1140" s="21" t="n"/>
      <c r="O1140" s="21" t="n"/>
      <c r="P1140" s="21" t="n"/>
      <c r="Q1140" s="21" t="n"/>
      <c r="R1140" s="21" t="n"/>
      <c r="S1140" s="21" t="n"/>
      <c r="T1140" s="21" t="n"/>
      <c r="U1140" s="21" t="n"/>
      <c r="V1140" s="21" t="n"/>
      <c r="W1140" s="21" t="n"/>
      <c r="X1140" s="21" t="n"/>
      <c r="Y1140" s="21" t="n"/>
      <c r="Z1140" s="21" t="n"/>
      <c r="AA1140" s="21" t="n"/>
      <c r="AB1140" s="21" t="n"/>
      <c r="AC1140" s="21" t="n"/>
      <c r="AD1140" s="21" t="n"/>
      <c r="AE1140" s="21" t="n"/>
      <c r="AF1140" s="21" t="n"/>
      <c r="AG1140" s="21" t="n"/>
      <c r="AH1140" s="21" t="n"/>
      <c r="AI1140" s="21" t="n"/>
      <c r="AJ1140" s="21" t="n"/>
      <c r="AK1140" s="21" t="n"/>
      <c r="AL1140" s="21" t="n"/>
      <c r="AM1140" s="21" t="n"/>
      <c r="AN1140" s="21" t="n"/>
      <c r="AO1140" s="21" t="n"/>
      <c r="AP1140" s="21" t="n"/>
      <c r="AQ1140" s="21" t="n"/>
      <c r="AR1140" s="21" t="n"/>
      <c r="AS1140" s="21" t="n"/>
      <c r="AT1140" s="21" t="n"/>
      <c r="AU1140" s="21" t="n"/>
      <c r="AV1140" s="21" t="n"/>
      <c r="AW1140" s="21" t="n"/>
      <c r="AX1140" s="21" t="n"/>
      <c r="AY1140" s="21" t="n"/>
      <c r="AZ1140" s="21" t="n"/>
      <c r="BA1140" s="21" t="n"/>
      <c r="BB1140" s="21" t="n"/>
      <c r="BC1140" s="21" t="n"/>
      <c r="BD1140" s="21" t="n"/>
      <c r="BE1140" s="21" t="n"/>
      <c r="BF1140" s="21" t="n"/>
      <c r="BG1140" s="21" t="n"/>
      <c r="BH1140" s="21" t="n"/>
      <c r="BI1140" s="21" t="n"/>
      <c r="BJ1140" s="21" t="n"/>
      <c r="BK1140" s="21" t="n"/>
      <c r="BL1140" s="21" t="n"/>
      <c r="BM1140" s="21" t="n"/>
      <c r="BN1140" s="21" t="n"/>
      <c r="BO1140" s="21" t="n"/>
      <c r="BP1140" s="21" t="n"/>
      <c r="BQ1140" s="21" t="n"/>
      <c r="BR1140" s="21" t="n"/>
      <c r="BS1140" s="21" t="n"/>
      <c r="BT1140" s="21" t="n"/>
      <c r="BU1140" s="21" t="n"/>
      <c r="BV1140" s="21" t="n"/>
      <c r="BW1140" s="21" t="n"/>
      <c r="BX1140" s="21" t="n"/>
      <c r="BY1140" s="21" t="n"/>
      <c r="BZ1140" s="21" t="n"/>
      <c r="CA1140" s="21" t="n"/>
      <c r="CB1140" s="21" t="n"/>
      <c r="CC1140" s="21" t="n"/>
      <c r="CD1140" s="21" t="n"/>
      <c r="CE1140" s="21" t="n"/>
      <c r="CF1140" s="21" t="n"/>
      <c r="CG1140" s="21" t="n"/>
      <c r="CH1140" s="21" t="n"/>
      <c r="CI1140" s="21" t="n"/>
      <c r="CJ1140" s="21" t="n"/>
      <c r="CK1140" s="21" t="n"/>
      <c r="CL1140" s="21" t="n"/>
      <c r="CM1140" s="21" t="n"/>
      <c r="CN1140" s="21" t="n"/>
      <c r="CO1140" s="21" t="n"/>
      <c r="CP1140" s="21" t="n"/>
      <c r="CQ1140" s="21" t="n"/>
      <c r="CR1140" s="21" t="n"/>
      <c r="CS1140" s="21" t="n"/>
      <c r="CT1140" s="21" t="n"/>
      <c r="CU1140" s="21" t="n"/>
      <c r="CV1140" s="21" t="n"/>
      <c r="CW1140" s="21" t="n"/>
      <c r="CX1140" s="21" t="n"/>
      <c r="CY1140" s="21" t="n"/>
      <c r="CZ1140" s="21" t="n"/>
      <c r="DA1140" s="21" t="n"/>
      <c r="DB1140" s="21" t="n"/>
      <c r="DC1140" s="21" t="n"/>
      <c r="DD1140" s="21" t="n"/>
    </row>
    <row r="1141">
      <c r="B1141" t="inlineStr">
        <is>
          <t>TSP-390</t>
        </is>
      </c>
      <c r="C1141" t="inlineStr">
        <is>
          <t>No. of batches</t>
        </is>
      </c>
      <c r="D1141">
        <f>IFERROR(INDEX(E1141:DD1141,$F$1),"")</f>
        <v/>
      </c>
      <c r="E1141">
        <f>IFERROR(INDEX(PP_Grid[#Data],$DE1141,2),0)</f>
        <v/>
      </c>
      <c r="F1141">
        <f>IFERROR(INDEX(PP_Grid[#Data],$DE1141,3),0)</f>
        <v/>
      </c>
      <c r="G1141">
        <f>IFERROR(INDEX(PP_Grid[#Data],$DE1141,4),0)</f>
        <v/>
      </c>
      <c r="H1141">
        <f>IFERROR(INDEX(PP_Grid[#Data],$DE1141,5),0)</f>
        <v/>
      </c>
      <c r="I1141">
        <f>IFERROR(INDEX(PP_Grid[#Data],$DE1141,6),0)</f>
        <v/>
      </c>
      <c r="J1141">
        <f>IFERROR(INDEX(PP_Grid[#Data],$DE1141,7),0)</f>
        <v/>
      </c>
      <c r="K1141">
        <f>IFERROR(INDEX(PP_Grid[#Data],$DE1141,8),0)</f>
        <v/>
      </c>
      <c r="L1141">
        <f>IFERROR(INDEX(PP_Grid[#Data],$DE1141,9),0)</f>
        <v/>
      </c>
      <c r="M1141">
        <f>IFERROR(INDEX(PP_Grid[#Data],$DE1141,10),0)</f>
        <v/>
      </c>
      <c r="N1141">
        <f>IFERROR(INDEX(PP_Grid[#Data],$DE1141,11),0)</f>
        <v/>
      </c>
      <c r="O1141">
        <f>IFERROR(INDEX(PP_Grid[#Data],$DE1141,12),0)</f>
        <v/>
      </c>
      <c r="P1141">
        <f>IFERROR(INDEX(PP_Grid[#Data],$DE1141,13),0)</f>
        <v/>
      </c>
      <c r="Q1141">
        <f>IFERROR(INDEX(PP_Grid[#Data],$DE1141,14),0)</f>
        <v/>
      </c>
      <c r="R1141">
        <f>IFERROR(INDEX(PP_Grid[#Data],$DE1141,15),0)</f>
        <v/>
      </c>
      <c r="S1141">
        <f>IFERROR(INDEX(PP_Grid[#Data],$DE1141,16),0)</f>
        <v/>
      </c>
      <c r="T1141">
        <f>IFERROR(INDEX(PP_Grid[#Data],$DE1141,17),0)</f>
        <v/>
      </c>
      <c r="U1141">
        <f>IFERROR(INDEX(PP_Grid[#Data],$DE1141,18),0)</f>
        <v/>
      </c>
      <c r="V1141">
        <f>IFERROR(INDEX(PP_Grid[#Data],$DE1141,19),0)</f>
        <v/>
      </c>
      <c r="W1141">
        <f>IFERROR(INDEX(PP_Grid[#Data],$DE1141,20),0)</f>
        <v/>
      </c>
      <c r="X1141">
        <f>IFERROR(INDEX(PP_Grid[#Data],$DE1141,21),0)</f>
        <v/>
      </c>
      <c r="Y1141">
        <f>IFERROR(INDEX(PP_Grid[#Data],$DE1141,22),0)</f>
        <v/>
      </c>
      <c r="Z1141">
        <f>IFERROR(INDEX(PP_Grid[#Data],$DE1141,23),0)</f>
        <v/>
      </c>
      <c r="AA1141">
        <f>IFERROR(INDEX(PP_Grid[#Data],$DE1141,24),0)</f>
        <v/>
      </c>
      <c r="AB1141">
        <f>IFERROR(INDEX(PP_Grid[#Data],$DE1141,25),0)</f>
        <v/>
      </c>
      <c r="AC1141">
        <f>IFERROR(INDEX(PP_Grid[#Data],$DE1141,26),0)</f>
        <v/>
      </c>
      <c r="AD1141">
        <f>IFERROR(INDEX(PP_Grid[#Data],$DE1141,27),0)</f>
        <v/>
      </c>
      <c r="AE1141">
        <f>IFERROR(INDEX(PP_Grid[#Data],$DE1141,28),0)</f>
        <v/>
      </c>
      <c r="AF1141">
        <f>IFERROR(INDEX(PP_Grid[#Data],$DE1141,29),0)</f>
        <v/>
      </c>
      <c r="AG1141">
        <f>IFERROR(INDEX(PP_Grid[#Data],$DE1141,30),0)</f>
        <v/>
      </c>
      <c r="AH1141">
        <f>IFERROR(INDEX(PP_Grid[#Data],$DE1141,31),0)</f>
        <v/>
      </c>
      <c r="AI1141">
        <f>IFERROR(INDEX(PP_Grid[#Data],$DE1141,32),0)</f>
        <v/>
      </c>
      <c r="AJ1141">
        <f>IFERROR(INDEX(PP_Grid[#Data],$DE1141,33),0)</f>
        <v/>
      </c>
      <c r="AK1141">
        <f>IFERROR(INDEX(PP_Grid[#Data],$DE1141,34),0)</f>
        <v/>
      </c>
      <c r="AL1141">
        <f>IFERROR(INDEX(PP_Grid[#Data],$DE1141,35),0)</f>
        <v/>
      </c>
      <c r="AM1141">
        <f>IFERROR(INDEX(PP_Grid[#Data],$DE1141,36),0)</f>
        <v/>
      </c>
      <c r="AN1141">
        <f>IFERROR(INDEX(PP_Grid[#Data],$DE1141,37),0)</f>
        <v/>
      </c>
      <c r="AO1141">
        <f>IFERROR(INDEX(PP_Grid[#Data],$DE1141,38),0)</f>
        <v/>
      </c>
      <c r="AP1141">
        <f>IFERROR(INDEX(PP_Grid[#Data],$DE1141,39),0)</f>
        <v/>
      </c>
      <c r="AQ1141">
        <f>IFERROR(INDEX(PP_Grid[#Data],$DE1141,40),0)</f>
        <v/>
      </c>
      <c r="AR1141">
        <f>IFERROR(INDEX(PP_Grid[#Data],$DE1141,41),0)</f>
        <v/>
      </c>
      <c r="AS1141">
        <f>IFERROR(INDEX(PP_Grid[#Data],$DE1141,42),0)</f>
        <v/>
      </c>
      <c r="AT1141">
        <f>IFERROR(INDEX(PP_Grid[#Data],$DE1141,43),0)</f>
        <v/>
      </c>
      <c r="AU1141">
        <f>IFERROR(INDEX(PP_Grid[#Data],$DE1141,44),0)</f>
        <v/>
      </c>
      <c r="AV1141">
        <f>IFERROR(INDEX(PP_Grid[#Data],$DE1141,45),0)</f>
        <v/>
      </c>
      <c r="AW1141">
        <f>IFERROR(INDEX(PP_Grid[#Data],$DE1141,46),0)</f>
        <v/>
      </c>
      <c r="AX1141">
        <f>IFERROR(INDEX(PP_Grid[#Data],$DE1141,47),0)</f>
        <v/>
      </c>
      <c r="AY1141">
        <f>IFERROR(INDEX(PP_Grid[#Data],$DE1141,48),0)</f>
        <v/>
      </c>
      <c r="AZ1141">
        <f>IFERROR(INDEX(PP_Grid[#Data],$DE1141,49),0)</f>
        <v/>
      </c>
      <c r="BA1141">
        <f>IFERROR(INDEX(PP_Grid[#Data],$DE1141,50),0)</f>
        <v/>
      </c>
      <c r="BB1141">
        <f>IFERROR(INDEX(PP_Grid[#Data],$DE1141,51),0)</f>
        <v/>
      </c>
      <c r="BC1141">
        <f>IFERROR(INDEX(PP_Grid[#Data],$DE1141,52),0)</f>
        <v/>
      </c>
      <c r="BD1141">
        <f>IFERROR(INDEX(PP_Grid[#Data],$DE1141,53),0)</f>
        <v/>
      </c>
      <c r="BE1141">
        <f>IFERROR(INDEX(PP_Grid[#Data],$DE1141,54),0)</f>
        <v/>
      </c>
      <c r="BF1141">
        <f>IFERROR(INDEX(PP_Grid[#Data],$DE1141,55),0)</f>
        <v/>
      </c>
      <c r="BG1141">
        <f>IFERROR(INDEX(PP_Grid[#Data],$DE1141,56),0)</f>
        <v/>
      </c>
      <c r="BH1141">
        <f>IFERROR(INDEX(PP_Grid[#Data],$DE1141,57),0)</f>
        <v/>
      </c>
      <c r="BI1141">
        <f>IFERROR(INDEX(PP_Grid[#Data],$DE1141,58),0)</f>
        <v/>
      </c>
      <c r="BJ1141">
        <f>IFERROR(INDEX(PP_Grid[#Data],$DE1141,59),0)</f>
        <v/>
      </c>
      <c r="BK1141">
        <f>IFERROR(INDEX(PP_Grid[#Data],$DE1141,60),0)</f>
        <v/>
      </c>
      <c r="BL1141">
        <f>IFERROR(INDEX(PP_Grid[#Data],$DE1141,61),0)</f>
        <v/>
      </c>
      <c r="BM1141">
        <f>IFERROR(INDEX(PP_Grid[#Data],$DE1141,62),0)</f>
        <v/>
      </c>
      <c r="BN1141">
        <f>IFERROR(INDEX(PP_Grid[#Data],$DE1141,63),0)</f>
        <v/>
      </c>
      <c r="BO1141">
        <f>IFERROR(INDEX(PP_Grid[#Data],$DE1141,64),0)</f>
        <v/>
      </c>
      <c r="BP1141">
        <f>IFERROR(INDEX(PP_Grid[#Data],$DE1141,65),0)</f>
        <v/>
      </c>
      <c r="BQ1141">
        <f>IFERROR(INDEX(PP_Grid[#Data],$DE1141,66),0)</f>
        <v/>
      </c>
      <c r="BR1141">
        <f>IFERROR(INDEX(PP_Grid[#Data],$DE1141,67),0)</f>
        <v/>
      </c>
      <c r="BS1141">
        <f>IFERROR(INDEX(PP_Grid[#Data],$DE1141,68),0)</f>
        <v/>
      </c>
      <c r="BT1141">
        <f>IFERROR(INDEX(PP_Grid[#Data],$DE1141,69),0)</f>
        <v/>
      </c>
      <c r="BU1141">
        <f>IFERROR(INDEX(PP_Grid[#Data],$DE1141,70),0)</f>
        <v/>
      </c>
      <c r="BV1141">
        <f>IFERROR(INDEX(PP_Grid[#Data],$DE1141,71),0)</f>
        <v/>
      </c>
      <c r="BW1141">
        <f>IFERROR(INDEX(PP_Grid[#Data],$DE1141,72),0)</f>
        <v/>
      </c>
      <c r="BX1141">
        <f>IFERROR(INDEX(PP_Grid[#Data],$DE1141,73),0)</f>
        <v/>
      </c>
      <c r="BY1141">
        <f>IFERROR(INDEX(PP_Grid[#Data],$DE1141,74),0)</f>
        <v/>
      </c>
      <c r="BZ1141">
        <f>IFERROR(INDEX(PP_Grid[#Data],$DE1141,75),0)</f>
        <v/>
      </c>
      <c r="CA1141">
        <f>IFERROR(INDEX(PP_Grid[#Data],$DE1141,76),0)</f>
        <v/>
      </c>
      <c r="CB1141">
        <f>IFERROR(INDEX(PP_Grid[#Data],$DE1141,77),0)</f>
        <v/>
      </c>
      <c r="CC1141">
        <f>IFERROR(INDEX(PP_Grid[#Data],$DE1141,78),0)</f>
        <v/>
      </c>
      <c r="CD1141">
        <f>IFERROR(INDEX(PP_Grid[#Data],$DE1141,79),0)</f>
        <v/>
      </c>
      <c r="CE1141">
        <f>IFERROR(INDEX(PP_Grid[#Data],$DE1141,80),0)</f>
        <v/>
      </c>
      <c r="CF1141">
        <f>IFERROR(INDEX(PP_Grid[#Data],$DE1141,81),0)</f>
        <v/>
      </c>
      <c r="CG1141">
        <f>IFERROR(INDEX(PP_Grid[#Data],$DE1141,82),0)</f>
        <v/>
      </c>
      <c r="CH1141">
        <f>IFERROR(INDEX(PP_Grid[#Data],$DE1141,83),0)</f>
        <v/>
      </c>
      <c r="CI1141">
        <f>IFERROR(INDEX(PP_Grid[#Data],$DE1141,84),0)</f>
        <v/>
      </c>
      <c r="CJ1141">
        <f>IFERROR(INDEX(PP_Grid[#Data],$DE1141,85),0)</f>
        <v/>
      </c>
      <c r="CK1141">
        <f>IFERROR(INDEX(PP_Grid[#Data],$DE1141,86),0)</f>
        <v/>
      </c>
      <c r="CL1141">
        <f>IFERROR(INDEX(PP_Grid[#Data],$DE1141,87),0)</f>
        <v/>
      </c>
      <c r="CM1141">
        <f>IFERROR(INDEX(PP_Grid[#Data],$DE1141,88),0)</f>
        <v/>
      </c>
      <c r="CN1141">
        <f>IFERROR(INDEX(PP_Grid[#Data],$DE1141,89),0)</f>
        <v/>
      </c>
      <c r="CO1141">
        <f>IFERROR(INDEX(PP_Grid[#Data],$DE1141,90),0)</f>
        <v/>
      </c>
      <c r="CP1141">
        <f>IFERROR(INDEX(PP_Grid[#Data],$DE1141,91),0)</f>
        <v/>
      </c>
      <c r="CQ1141">
        <f>IFERROR(INDEX(PP_Grid[#Data],$DE1141,92),0)</f>
        <v/>
      </c>
      <c r="CR1141">
        <f>IFERROR(INDEX(PP_Grid[#Data],$DE1141,93),0)</f>
        <v/>
      </c>
      <c r="CS1141">
        <f>IFERROR(INDEX(PP_Grid[#Data],$DE1141,94),0)</f>
        <v/>
      </c>
      <c r="CT1141">
        <f>IFERROR(INDEX(PP_Grid[#Data],$DE1141,95),0)</f>
        <v/>
      </c>
      <c r="CU1141">
        <f>IFERROR(INDEX(PP_Grid[#Data],$DE1141,96),0)</f>
        <v/>
      </c>
      <c r="CV1141">
        <f>IFERROR(INDEX(PP_Grid[#Data],$DE1141,97),0)</f>
        <v/>
      </c>
      <c r="CW1141">
        <f>IFERROR(INDEX(PP_Grid[#Data],$DE1141,98),0)</f>
        <v/>
      </c>
      <c r="CX1141">
        <f>IFERROR(INDEX(PP_Grid[#Data],$DE1141,99),0)</f>
        <v/>
      </c>
      <c r="CY1141">
        <f>IFERROR(INDEX(PP_Grid[#Data],$DE1141,100),0)</f>
        <v/>
      </c>
      <c r="CZ1141">
        <f>IFERROR(INDEX(PP_Grid[#Data],$DE1141,101),0)</f>
        <v/>
      </c>
      <c r="DA1141">
        <f>IFERROR(INDEX(PP_Grid[#Data],$DE1141,102),0)</f>
        <v/>
      </c>
      <c r="DB1141">
        <f>IFERROR(INDEX(PP_Grid[#Data],$DE1141,103),0)</f>
        <v/>
      </c>
      <c r="DC1141">
        <f>IFERROR(INDEX(PP_Grid[#Data],$DE1141,104),0)</f>
        <v/>
      </c>
      <c r="DD1141">
        <f>IFERROR(INDEX(PP_Grid[#Data],$DE1141,105),0)</f>
        <v/>
      </c>
      <c r="DE1141" s="7">
        <f>IFERROR(MATCH($B1141,PP_Grid[Intermediate],0),99999)</f>
        <v/>
      </c>
    </row>
    <row r="1142">
      <c r="B1142" t="inlineStr">
        <is>
          <t>使用量(kg)</t>
        </is>
      </c>
      <c r="C1142">
        <f>SUMIFS(M_BOM[RM_Qty_Per_Batch],M_BOM[Intermediate],$B1141,M_BOM[RM_Code],$A1140)</f>
        <v/>
      </c>
      <c r="D1142">
        <f>IFERROR(INDEX(E1142:DD1142,$F$1),"")</f>
        <v/>
      </c>
      <c r="E1142">
        <f>$C1142*E1141</f>
        <v/>
      </c>
      <c r="F1142">
        <f>$C1142*F1141</f>
        <v/>
      </c>
      <c r="G1142">
        <f>$C1142*G1141</f>
        <v/>
      </c>
      <c r="H1142">
        <f>$C1142*H1141</f>
        <v/>
      </c>
      <c r="I1142">
        <f>$C1142*I1141</f>
        <v/>
      </c>
      <c r="J1142">
        <f>$C1142*J1141</f>
        <v/>
      </c>
      <c r="K1142">
        <f>$C1142*K1141</f>
        <v/>
      </c>
      <c r="L1142">
        <f>$C1142*L1141</f>
        <v/>
      </c>
      <c r="M1142">
        <f>$C1142*M1141</f>
        <v/>
      </c>
      <c r="N1142">
        <f>$C1142*N1141</f>
        <v/>
      </c>
      <c r="O1142">
        <f>$C1142*O1141</f>
        <v/>
      </c>
      <c r="P1142">
        <f>$C1142*P1141</f>
        <v/>
      </c>
      <c r="Q1142">
        <f>$C1142*Q1141</f>
        <v/>
      </c>
      <c r="R1142">
        <f>$C1142*R1141</f>
        <v/>
      </c>
      <c r="S1142">
        <f>$C1142*S1141</f>
        <v/>
      </c>
      <c r="T1142">
        <f>$C1142*T1141</f>
        <v/>
      </c>
      <c r="U1142">
        <f>$C1142*U1141</f>
        <v/>
      </c>
      <c r="V1142">
        <f>$C1142*V1141</f>
        <v/>
      </c>
      <c r="W1142">
        <f>$C1142*W1141</f>
        <v/>
      </c>
      <c r="X1142">
        <f>$C1142*X1141</f>
        <v/>
      </c>
      <c r="Y1142">
        <f>$C1142*Y1141</f>
        <v/>
      </c>
      <c r="Z1142">
        <f>$C1142*Z1141</f>
        <v/>
      </c>
      <c r="AA1142">
        <f>$C1142*AA1141</f>
        <v/>
      </c>
      <c r="AB1142">
        <f>$C1142*AB1141</f>
        <v/>
      </c>
      <c r="AC1142">
        <f>$C1142*AC1141</f>
        <v/>
      </c>
      <c r="AD1142">
        <f>$C1142*AD1141</f>
        <v/>
      </c>
      <c r="AE1142">
        <f>$C1142*AE1141</f>
        <v/>
      </c>
      <c r="AF1142">
        <f>$C1142*AF1141</f>
        <v/>
      </c>
      <c r="AG1142">
        <f>$C1142*AG1141</f>
        <v/>
      </c>
      <c r="AH1142">
        <f>$C1142*AH1141</f>
        <v/>
      </c>
      <c r="AI1142">
        <f>$C1142*AI1141</f>
        <v/>
      </c>
      <c r="AJ1142">
        <f>$C1142*AJ1141</f>
        <v/>
      </c>
      <c r="AK1142">
        <f>$C1142*AK1141</f>
        <v/>
      </c>
      <c r="AL1142">
        <f>$C1142*AL1141</f>
        <v/>
      </c>
      <c r="AM1142">
        <f>$C1142*AM1141</f>
        <v/>
      </c>
      <c r="AN1142">
        <f>$C1142*AN1141</f>
        <v/>
      </c>
      <c r="AO1142">
        <f>$C1142*AO1141</f>
        <v/>
      </c>
      <c r="AP1142">
        <f>$C1142*AP1141</f>
        <v/>
      </c>
      <c r="AQ1142">
        <f>$C1142*AQ1141</f>
        <v/>
      </c>
      <c r="AR1142">
        <f>$C1142*AR1141</f>
        <v/>
      </c>
      <c r="AS1142">
        <f>$C1142*AS1141</f>
        <v/>
      </c>
      <c r="AT1142">
        <f>$C1142*AT1141</f>
        <v/>
      </c>
      <c r="AU1142">
        <f>$C1142*AU1141</f>
        <v/>
      </c>
      <c r="AV1142">
        <f>$C1142*AV1141</f>
        <v/>
      </c>
      <c r="AW1142">
        <f>$C1142*AW1141</f>
        <v/>
      </c>
      <c r="AX1142">
        <f>$C1142*AX1141</f>
        <v/>
      </c>
      <c r="AY1142">
        <f>$C1142*AY1141</f>
        <v/>
      </c>
      <c r="AZ1142">
        <f>$C1142*AZ1141</f>
        <v/>
      </c>
      <c r="BA1142">
        <f>$C1142*BA1141</f>
        <v/>
      </c>
      <c r="BB1142">
        <f>$C1142*BB1141</f>
        <v/>
      </c>
      <c r="BC1142">
        <f>$C1142*BC1141</f>
        <v/>
      </c>
      <c r="BD1142">
        <f>$C1142*BD1141</f>
        <v/>
      </c>
      <c r="BE1142">
        <f>$C1142*BE1141</f>
        <v/>
      </c>
      <c r="BF1142">
        <f>$C1142*BF1141</f>
        <v/>
      </c>
      <c r="BG1142">
        <f>$C1142*BG1141</f>
        <v/>
      </c>
      <c r="BH1142">
        <f>$C1142*BH1141</f>
        <v/>
      </c>
      <c r="BI1142">
        <f>$C1142*BI1141</f>
        <v/>
      </c>
      <c r="BJ1142">
        <f>$C1142*BJ1141</f>
        <v/>
      </c>
      <c r="BK1142">
        <f>$C1142*BK1141</f>
        <v/>
      </c>
      <c r="BL1142">
        <f>$C1142*BL1141</f>
        <v/>
      </c>
      <c r="BM1142">
        <f>$C1142*BM1141</f>
        <v/>
      </c>
      <c r="BN1142">
        <f>$C1142*BN1141</f>
        <v/>
      </c>
      <c r="BO1142">
        <f>$C1142*BO1141</f>
        <v/>
      </c>
      <c r="BP1142">
        <f>$C1142*BP1141</f>
        <v/>
      </c>
      <c r="BQ1142">
        <f>$C1142*BQ1141</f>
        <v/>
      </c>
      <c r="BR1142">
        <f>$C1142*BR1141</f>
        <v/>
      </c>
      <c r="BS1142">
        <f>$C1142*BS1141</f>
        <v/>
      </c>
      <c r="BT1142">
        <f>$C1142*BT1141</f>
        <v/>
      </c>
      <c r="BU1142">
        <f>$C1142*BU1141</f>
        <v/>
      </c>
      <c r="BV1142">
        <f>$C1142*BV1141</f>
        <v/>
      </c>
      <c r="BW1142">
        <f>$C1142*BW1141</f>
        <v/>
      </c>
      <c r="BX1142">
        <f>$C1142*BX1141</f>
        <v/>
      </c>
      <c r="BY1142">
        <f>$C1142*BY1141</f>
        <v/>
      </c>
      <c r="BZ1142">
        <f>$C1142*BZ1141</f>
        <v/>
      </c>
      <c r="CA1142">
        <f>$C1142*CA1141</f>
        <v/>
      </c>
      <c r="CB1142">
        <f>$C1142*CB1141</f>
        <v/>
      </c>
      <c r="CC1142">
        <f>$C1142*CC1141</f>
        <v/>
      </c>
      <c r="CD1142">
        <f>$C1142*CD1141</f>
        <v/>
      </c>
      <c r="CE1142">
        <f>$C1142*CE1141</f>
        <v/>
      </c>
      <c r="CF1142">
        <f>$C1142*CF1141</f>
        <v/>
      </c>
      <c r="CG1142">
        <f>$C1142*CG1141</f>
        <v/>
      </c>
      <c r="CH1142">
        <f>$C1142*CH1141</f>
        <v/>
      </c>
      <c r="CI1142">
        <f>$C1142*CI1141</f>
        <v/>
      </c>
      <c r="CJ1142">
        <f>$C1142*CJ1141</f>
        <v/>
      </c>
      <c r="CK1142">
        <f>$C1142*CK1141</f>
        <v/>
      </c>
      <c r="CL1142">
        <f>$C1142*CL1141</f>
        <v/>
      </c>
      <c r="CM1142">
        <f>$C1142*CM1141</f>
        <v/>
      </c>
      <c r="CN1142">
        <f>$C1142*CN1141</f>
        <v/>
      </c>
      <c r="CO1142">
        <f>$C1142*CO1141</f>
        <v/>
      </c>
      <c r="CP1142">
        <f>$C1142*CP1141</f>
        <v/>
      </c>
      <c r="CQ1142">
        <f>$C1142*CQ1141</f>
        <v/>
      </c>
      <c r="CR1142">
        <f>$C1142*CR1141</f>
        <v/>
      </c>
      <c r="CS1142">
        <f>$C1142*CS1141</f>
        <v/>
      </c>
      <c r="CT1142">
        <f>$C1142*CT1141</f>
        <v/>
      </c>
      <c r="CU1142">
        <f>$C1142*CU1141</f>
        <v/>
      </c>
      <c r="CV1142">
        <f>$C1142*CV1141</f>
        <v/>
      </c>
      <c r="CW1142">
        <f>$C1142*CW1141</f>
        <v/>
      </c>
      <c r="CX1142">
        <f>$C1142*CX1141</f>
        <v/>
      </c>
      <c r="CY1142">
        <f>$C1142*CY1141</f>
        <v/>
      </c>
      <c r="CZ1142">
        <f>$C1142*CZ1141</f>
        <v/>
      </c>
      <c r="DA1142">
        <f>$C1142*DA1141</f>
        <v/>
      </c>
      <c r="DB1142">
        <f>$C1142*DB1141</f>
        <v/>
      </c>
      <c r="DC1142">
        <f>$C1142*DC1141</f>
        <v/>
      </c>
      <c r="DD1142">
        <f>$C1142*DD1141</f>
        <v/>
      </c>
    </row>
    <row r="1143">
      <c r="B1143" t="inlineStr">
        <is>
          <t>TSP-399</t>
        </is>
      </c>
      <c r="C1143" t="inlineStr">
        <is>
          <t>No. of batches</t>
        </is>
      </c>
      <c r="D1143">
        <f>IFERROR(INDEX(E1143:DD1143,$F$1),"")</f>
        <v/>
      </c>
      <c r="E1143">
        <f>IFERROR(INDEX(PP_Grid[#Data],$DE1143,2),0)</f>
        <v/>
      </c>
      <c r="F1143">
        <f>IFERROR(INDEX(PP_Grid[#Data],$DE1143,3),0)</f>
        <v/>
      </c>
      <c r="G1143">
        <f>IFERROR(INDEX(PP_Grid[#Data],$DE1143,4),0)</f>
        <v/>
      </c>
      <c r="H1143">
        <f>IFERROR(INDEX(PP_Grid[#Data],$DE1143,5),0)</f>
        <v/>
      </c>
      <c r="I1143">
        <f>IFERROR(INDEX(PP_Grid[#Data],$DE1143,6),0)</f>
        <v/>
      </c>
      <c r="J1143">
        <f>IFERROR(INDEX(PP_Grid[#Data],$DE1143,7),0)</f>
        <v/>
      </c>
      <c r="K1143">
        <f>IFERROR(INDEX(PP_Grid[#Data],$DE1143,8),0)</f>
        <v/>
      </c>
      <c r="L1143">
        <f>IFERROR(INDEX(PP_Grid[#Data],$DE1143,9),0)</f>
        <v/>
      </c>
      <c r="M1143">
        <f>IFERROR(INDEX(PP_Grid[#Data],$DE1143,10),0)</f>
        <v/>
      </c>
      <c r="N1143">
        <f>IFERROR(INDEX(PP_Grid[#Data],$DE1143,11),0)</f>
        <v/>
      </c>
      <c r="O1143">
        <f>IFERROR(INDEX(PP_Grid[#Data],$DE1143,12),0)</f>
        <v/>
      </c>
      <c r="P1143">
        <f>IFERROR(INDEX(PP_Grid[#Data],$DE1143,13),0)</f>
        <v/>
      </c>
      <c r="Q1143">
        <f>IFERROR(INDEX(PP_Grid[#Data],$DE1143,14),0)</f>
        <v/>
      </c>
      <c r="R1143">
        <f>IFERROR(INDEX(PP_Grid[#Data],$DE1143,15),0)</f>
        <v/>
      </c>
      <c r="S1143">
        <f>IFERROR(INDEX(PP_Grid[#Data],$DE1143,16),0)</f>
        <v/>
      </c>
      <c r="T1143">
        <f>IFERROR(INDEX(PP_Grid[#Data],$DE1143,17),0)</f>
        <v/>
      </c>
      <c r="U1143">
        <f>IFERROR(INDEX(PP_Grid[#Data],$DE1143,18),0)</f>
        <v/>
      </c>
      <c r="V1143">
        <f>IFERROR(INDEX(PP_Grid[#Data],$DE1143,19),0)</f>
        <v/>
      </c>
      <c r="W1143">
        <f>IFERROR(INDEX(PP_Grid[#Data],$DE1143,20),0)</f>
        <v/>
      </c>
      <c r="X1143">
        <f>IFERROR(INDEX(PP_Grid[#Data],$DE1143,21),0)</f>
        <v/>
      </c>
      <c r="Y1143">
        <f>IFERROR(INDEX(PP_Grid[#Data],$DE1143,22),0)</f>
        <v/>
      </c>
      <c r="Z1143">
        <f>IFERROR(INDEX(PP_Grid[#Data],$DE1143,23),0)</f>
        <v/>
      </c>
      <c r="AA1143">
        <f>IFERROR(INDEX(PP_Grid[#Data],$DE1143,24),0)</f>
        <v/>
      </c>
      <c r="AB1143">
        <f>IFERROR(INDEX(PP_Grid[#Data],$DE1143,25),0)</f>
        <v/>
      </c>
      <c r="AC1143">
        <f>IFERROR(INDEX(PP_Grid[#Data],$DE1143,26),0)</f>
        <v/>
      </c>
      <c r="AD1143">
        <f>IFERROR(INDEX(PP_Grid[#Data],$DE1143,27),0)</f>
        <v/>
      </c>
      <c r="AE1143">
        <f>IFERROR(INDEX(PP_Grid[#Data],$DE1143,28),0)</f>
        <v/>
      </c>
      <c r="AF1143">
        <f>IFERROR(INDEX(PP_Grid[#Data],$DE1143,29),0)</f>
        <v/>
      </c>
      <c r="AG1143">
        <f>IFERROR(INDEX(PP_Grid[#Data],$DE1143,30),0)</f>
        <v/>
      </c>
      <c r="AH1143">
        <f>IFERROR(INDEX(PP_Grid[#Data],$DE1143,31),0)</f>
        <v/>
      </c>
      <c r="AI1143">
        <f>IFERROR(INDEX(PP_Grid[#Data],$DE1143,32),0)</f>
        <v/>
      </c>
      <c r="AJ1143">
        <f>IFERROR(INDEX(PP_Grid[#Data],$DE1143,33),0)</f>
        <v/>
      </c>
      <c r="AK1143">
        <f>IFERROR(INDEX(PP_Grid[#Data],$DE1143,34),0)</f>
        <v/>
      </c>
      <c r="AL1143">
        <f>IFERROR(INDEX(PP_Grid[#Data],$DE1143,35),0)</f>
        <v/>
      </c>
      <c r="AM1143">
        <f>IFERROR(INDEX(PP_Grid[#Data],$DE1143,36),0)</f>
        <v/>
      </c>
      <c r="AN1143">
        <f>IFERROR(INDEX(PP_Grid[#Data],$DE1143,37),0)</f>
        <v/>
      </c>
      <c r="AO1143">
        <f>IFERROR(INDEX(PP_Grid[#Data],$DE1143,38),0)</f>
        <v/>
      </c>
      <c r="AP1143">
        <f>IFERROR(INDEX(PP_Grid[#Data],$DE1143,39),0)</f>
        <v/>
      </c>
      <c r="AQ1143">
        <f>IFERROR(INDEX(PP_Grid[#Data],$DE1143,40),0)</f>
        <v/>
      </c>
      <c r="AR1143">
        <f>IFERROR(INDEX(PP_Grid[#Data],$DE1143,41),0)</f>
        <v/>
      </c>
      <c r="AS1143">
        <f>IFERROR(INDEX(PP_Grid[#Data],$DE1143,42),0)</f>
        <v/>
      </c>
      <c r="AT1143">
        <f>IFERROR(INDEX(PP_Grid[#Data],$DE1143,43),0)</f>
        <v/>
      </c>
      <c r="AU1143">
        <f>IFERROR(INDEX(PP_Grid[#Data],$DE1143,44),0)</f>
        <v/>
      </c>
      <c r="AV1143">
        <f>IFERROR(INDEX(PP_Grid[#Data],$DE1143,45),0)</f>
        <v/>
      </c>
      <c r="AW1143">
        <f>IFERROR(INDEX(PP_Grid[#Data],$DE1143,46),0)</f>
        <v/>
      </c>
      <c r="AX1143">
        <f>IFERROR(INDEX(PP_Grid[#Data],$DE1143,47),0)</f>
        <v/>
      </c>
      <c r="AY1143">
        <f>IFERROR(INDEX(PP_Grid[#Data],$DE1143,48),0)</f>
        <v/>
      </c>
      <c r="AZ1143">
        <f>IFERROR(INDEX(PP_Grid[#Data],$DE1143,49),0)</f>
        <v/>
      </c>
      <c r="BA1143">
        <f>IFERROR(INDEX(PP_Grid[#Data],$DE1143,50),0)</f>
        <v/>
      </c>
      <c r="BB1143">
        <f>IFERROR(INDEX(PP_Grid[#Data],$DE1143,51),0)</f>
        <v/>
      </c>
      <c r="BC1143">
        <f>IFERROR(INDEX(PP_Grid[#Data],$DE1143,52),0)</f>
        <v/>
      </c>
      <c r="BD1143">
        <f>IFERROR(INDEX(PP_Grid[#Data],$DE1143,53),0)</f>
        <v/>
      </c>
      <c r="BE1143">
        <f>IFERROR(INDEX(PP_Grid[#Data],$DE1143,54),0)</f>
        <v/>
      </c>
      <c r="BF1143">
        <f>IFERROR(INDEX(PP_Grid[#Data],$DE1143,55),0)</f>
        <v/>
      </c>
      <c r="BG1143">
        <f>IFERROR(INDEX(PP_Grid[#Data],$DE1143,56),0)</f>
        <v/>
      </c>
      <c r="BH1143">
        <f>IFERROR(INDEX(PP_Grid[#Data],$DE1143,57),0)</f>
        <v/>
      </c>
      <c r="BI1143">
        <f>IFERROR(INDEX(PP_Grid[#Data],$DE1143,58),0)</f>
        <v/>
      </c>
      <c r="BJ1143">
        <f>IFERROR(INDEX(PP_Grid[#Data],$DE1143,59),0)</f>
        <v/>
      </c>
      <c r="BK1143">
        <f>IFERROR(INDEX(PP_Grid[#Data],$DE1143,60),0)</f>
        <v/>
      </c>
      <c r="BL1143">
        <f>IFERROR(INDEX(PP_Grid[#Data],$DE1143,61),0)</f>
        <v/>
      </c>
      <c r="BM1143">
        <f>IFERROR(INDEX(PP_Grid[#Data],$DE1143,62),0)</f>
        <v/>
      </c>
      <c r="BN1143">
        <f>IFERROR(INDEX(PP_Grid[#Data],$DE1143,63),0)</f>
        <v/>
      </c>
      <c r="BO1143">
        <f>IFERROR(INDEX(PP_Grid[#Data],$DE1143,64),0)</f>
        <v/>
      </c>
      <c r="BP1143">
        <f>IFERROR(INDEX(PP_Grid[#Data],$DE1143,65),0)</f>
        <v/>
      </c>
      <c r="BQ1143">
        <f>IFERROR(INDEX(PP_Grid[#Data],$DE1143,66),0)</f>
        <v/>
      </c>
      <c r="BR1143">
        <f>IFERROR(INDEX(PP_Grid[#Data],$DE1143,67),0)</f>
        <v/>
      </c>
      <c r="BS1143">
        <f>IFERROR(INDEX(PP_Grid[#Data],$DE1143,68),0)</f>
        <v/>
      </c>
      <c r="BT1143">
        <f>IFERROR(INDEX(PP_Grid[#Data],$DE1143,69),0)</f>
        <v/>
      </c>
      <c r="BU1143">
        <f>IFERROR(INDEX(PP_Grid[#Data],$DE1143,70),0)</f>
        <v/>
      </c>
      <c r="BV1143">
        <f>IFERROR(INDEX(PP_Grid[#Data],$DE1143,71),0)</f>
        <v/>
      </c>
      <c r="BW1143">
        <f>IFERROR(INDEX(PP_Grid[#Data],$DE1143,72),0)</f>
        <v/>
      </c>
      <c r="BX1143">
        <f>IFERROR(INDEX(PP_Grid[#Data],$DE1143,73),0)</f>
        <v/>
      </c>
      <c r="BY1143">
        <f>IFERROR(INDEX(PP_Grid[#Data],$DE1143,74),0)</f>
        <v/>
      </c>
      <c r="BZ1143">
        <f>IFERROR(INDEX(PP_Grid[#Data],$DE1143,75),0)</f>
        <v/>
      </c>
      <c r="CA1143">
        <f>IFERROR(INDEX(PP_Grid[#Data],$DE1143,76),0)</f>
        <v/>
      </c>
      <c r="CB1143">
        <f>IFERROR(INDEX(PP_Grid[#Data],$DE1143,77),0)</f>
        <v/>
      </c>
      <c r="CC1143">
        <f>IFERROR(INDEX(PP_Grid[#Data],$DE1143,78),0)</f>
        <v/>
      </c>
      <c r="CD1143">
        <f>IFERROR(INDEX(PP_Grid[#Data],$DE1143,79),0)</f>
        <v/>
      </c>
      <c r="CE1143">
        <f>IFERROR(INDEX(PP_Grid[#Data],$DE1143,80),0)</f>
        <v/>
      </c>
      <c r="CF1143">
        <f>IFERROR(INDEX(PP_Grid[#Data],$DE1143,81),0)</f>
        <v/>
      </c>
      <c r="CG1143">
        <f>IFERROR(INDEX(PP_Grid[#Data],$DE1143,82),0)</f>
        <v/>
      </c>
      <c r="CH1143">
        <f>IFERROR(INDEX(PP_Grid[#Data],$DE1143,83),0)</f>
        <v/>
      </c>
      <c r="CI1143">
        <f>IFERROR(INDEX(PP_Grid[#Data],$DE1143,84),0)</f>
        <v/>
      </c>
      <c r="CJ1143">
        <f>IFERROR(INDEX(PP_Grid[#Data],$DE1143,85),0)</f>
        <v/>
      </c>
      <c r="CK1143">
        <f>IFERROR(INDEX(PP_Grid[#Data],$DE1143,86),0)</f>
        <v/>
      </c>
      <c r="CL1143">
        <f>IFERROR(INDEX(PP_Grid[#Data],$DE1143,87),0)</f>
        <v/>
      </c>
      <c r="CM1143">
        <f>IFERROR(INDEX(PP_Grid[#Data],$DE1143,88),0)</f>
        <v/>
      </c>
      <c r="CN1143">
        <f>IFERROR(INDEX(PP_Grid[#Data],$DE1143,89),0)</f>
        <v/>
      </c>
      <c r="CO1143">
        <f>IFERROR(INDEX(PP_Grid[#Data],$DE1143,90),0)</f>
        <v/>
      </c>
      <c r="CP1143">
        <f>IFERROR(INDEX(PP_Grid[#Data],$DE1143,91),0)</f>
        <v/>
      </c>
      <c r="CQ1143">
        <f>IFERROR(INDEX(PP_Grid[#Data],$DE1143,92),0)</f>
        <v/>
      </c>
      <c r="CR1143">
        <f>IFERROR(INDEX(PP_Grid[#Data],$DE1143,93),0)</f>
        <v/>
      </c>
      <c r="CS1143">
        <f>IFERROR(INDEX(PP_Grid[#Data],$DE1143,94),0)</f>
        <v/>
      </c>
      <c r="CT1143">
        <f>IFERROR(INDEX(PP_Grid[#Data],$DE1143,95),0)</f>
        <v/>
      </c>
      <c r="CU1143">
        <f>IFERROR(INDEX(PP_Grid[#Data],$DE1143,96),0)</f>
        <v/>
      </c>
      <c r="CV1143">
        <f>IFERROR(INDEX(PP_Grid[#Data],$DE1143,97),0)</f>
        <v/>
      </c>
      <c r="CW1143">
        <f>IFERROR(INDEX(PP_Grid[#Data],$DE1143,98),0)</f>
        <v/>
      </c>
      <c r="CX1143">
        <f>IFERROR(INDEX(PP_Grid[#Data],$DE1143,99),0)</f>
        <v/>
      </c>
      <c r="CY1143">
        <f>IFERROR(INDEX(PP_Grid[#Data],$DE1143,100),0)</f>
        <v/>
      </c>
      <c r="CZ1143">
        <f>IFERROR(INDEX(PP_Grid[#Data],$DE1143,101),0)</f>
        <v/>
      </c>
      <c r="DA1143">
        <f>IFERROR(INDEX(PP_Grid[#Data],$DE1143,102),0)</f>
        <v/>
      </c>
      <c r="DB1143">
        <f>IFERROR(INDEX(PP_Grid[#Data],$DE1143,103),0)</f>
        <v/>
      </c>
      <c r="DC1143">
        <f>IFERROR(INDEX(PP_Grid[#Data],$DE1143,104),0)</f>
        <v/>
      </c>
      <c r="DD1143">
        <f>IFERROR(INDEX(PP_Grid[#Data],$DE1143,105),0)</f>
        <v/>
      </c>
      <c r="DE1143" s="7">
        <f>IFERROR(MATCH($B1143,PP_Grid[Intermediate],0),99999)</f>
        <v/>
      </c>
    </row>
    <row r="1144">
      <c r="B1144" t="inlineStr">
        <is>
          <t>使用量(kg)</t>
        </is>
      </c>
      <c r="C1144">
        <f>SUMIFS(M_BOM[RM_Qty_Per_Batch],M_BOM[Intermediate],$B1143,M_BOM[RM_Code],$A1140)</f>
        <v/>
      </c>
      <c r="D1144">
        <f>IFERROR(INDEX(E1144:DD1144,$F$1),"")</f>
        <v/>
      </c>
      <c r="E1144">
        <f>$C1144*E1143</f>
        <v/>
      </c>
      <c r="F1144">
        <f>$C1144*F1143</f>
        <v/>
      </c>
      <c r="G1144">
        <f>$C1144*G1143</f>
        <v/>
      </c>
      <c r="H1144">
        <f>$C1144*H1143</f>
        <v/>
      </c>
      <c r="I1144">
        <f>$C1144*I1143</f>
        <v/>
      </c>
      <c r="J1144">
        <f>$C1144*J1143</f>
        <v/>
      </c>
      <c r="K1144">
        <f>$C1144*K1143</f>
        <v/>
      </c>
      <c r="L1144">
        <f>$C1144*L1143</f>
        <v/>
      </c>
      <c r="M1144">
        <f>$C1144*M1143</f>
        <v/>
      </c>
      <c r="N1144">
        <f>$C1144*N1143</f>
        <v/>
      </c>
      <c r="O1144">
        <f>$C1144*O1143</f>
        <v/>
      </c>
      <c r="P1144">
        <f>$C1144*P1143</f>
        <v/>
      </c>
      <c r="Q1144">
        <f>$C1144*Q1143</f>
        <v/>
      </c>
      <c r="R1144">
        <f>$C1144*R1143</f>
        <v/>
      </c>
      <c r="S1144">
        <f>$C1144*S1143</f>
        <v/>
      </c>
      <c r="T1144">
        <f>$C1144*T1143</f>
        <v/>
      </c>
      <c r="U1144">
        <f>$C1144*U1143</f>
        <v/>
      </c>
      <c r="V1144">
        <f>$C1144*V1143</f>
        <v/>
      </c>
      <c r="W1144">
        <f>$C1144*W1143</f>
        <v/>
      </c>
      <c r="X1144">
        <f>$C1144*X1143</f>
        <v/>
      </c>
      <c r="Y1144">
        <f>$C1144*Y1143</f>
        <v/>
      </c>
      <c r="Z1144">
        <f>$C1144*Z1143</f>
        <v/>
      </c>
      <c r="AA1144">
        <f>$C1144*AA1143</f>
        <v/>
      </c>
      <c r="AB1144">
        <f>$C1144*AB1143</f>
        <v/>
      </c>
      <c r="AC1144">
        <f>$C1144*AC1143</f>
        <v/>
      </c>
      <c r="AD1144">
        <f>$C1144*AD1143</f>
        <v/>
      </c>
      <c r="AE1144">
        <f>$C1144*AE1143</f>
        <v/>
      </c>
      <c r="AF1144">
        <f>$C1144*AF1143</f>
        <v/>
      </c>
      <c r="AG1144">
        <f>$C1144*AG1143</f>
        <v/>
      </c>
      <c r="AH1144">
        <f>$C1144*AH1143</f>
        <v/>
      </c>
      <c r="AI1144">
        <f>$C1144*AI1143</f>
        <v/>
      </c>
      <c r="AJ1144">
        <f>$C1144*AJ1143</f>
        <v/>
      </c>
      <c r="AK1144">
        <f>$C1144*AK1143</f>
        <v/>
      </c>
      <c r="AL1144">
        <f>$C1144*AL1143</f>
        <v/>
      </c>
      <c r="AM1144">
        <f>$C1144*AM1143</f>
        <v/>
      </c>
      <c r="AN1144">
        <f>$C1144*AN1143</f>
        <v/>
      </c>
      <c r="AO1144">
        <f>$C1144*AO1143</f>
        <v/>
      </c>
      <c r="AP1144">
        <f>$C1144*AP1143</f>
        <v/>
      </c>
      <c r="AQ1144">
        <f>$C1144*AQ1143</f>
        <v/>
      </c>
      <c r="AR1144">
        <f>$C1144*AR1143</f>
        <v/>
      </c>
      <c r="AS1144">
        <f>$C1144*AS1143</f>
        <v/>
      </c>
      <c r="AT1144">
        <f>$C1144*AT1143</f>
        <v/>
      </c>
      <c r="AU1144">
        <f>$C1144*AU1143</f>
        <v/>
      </c>
      <c r="AV1144">
        <f>$C1144*AV1143</f>
        <v/>
      </c>
      <c r="AW1144">
        <f>$C1144*AW1143</f>
        <v/>
      </c>
      <c r="AX1144">
        <f>$C1144*AX1143</f>
        <v/>
      </c>
      <c r="AY1144">
        <f>$C1144*AY1143</f>
        <v/>
      </c>
      <c r="AZ1144">
        <f>$C1144*AZ1143</f>
        <v/>
      </c>
      <c r="BA1144">
        <f>$C1144*BA1143</f>
        <v/>
      </c>
      <c r="BB1144">
        <f>$C1144*BB1143</f>
        <v/>
      </c>
      <c r="BC1144">
        <f>$C1144*BC1143</f>
        <v/>
      </c>
      <c r="BD1144">
        <f>$C1144*BD1143</f>
        <v/>
      </c>
      <c r="BE1144">
        <f>$C1144*BE1143</f>
        <v/>
      </c>
      <c r="BF1144">
        <f>$C1144*BF1143</f>
        <v/>
      </c>
      <c r="BG1144">
        <f>$C1144*BG1143</f>
        <v/>
      </c>
      <c r="BH1144">
        <f>$C1144*BH1143</f>
        <v/>
      </c>
      <c r="BI1144">
        <f>$C1144*BI1143</f>
        <v/>
      </c>
      <c r="BJ1144">
        <f>$C1144*BJ1143</f>
        <v/>
      </c>
      <c r="BK1144">
        <f>$C1144*BK1143</f>
        <v/>
      </c>
      <c r="BL1144">
        <f>$C1144*BL1143</f>
        <v/>
      </c>
      <c r="BM1144">
        <f>$C1144*BM1143</f>
        <v/>
      </c>
      <c r="BN1144">
        <f>$C1144*BN1143</f>
        <v/>
      </c>
      <c r="BO1144">
        <f>$C1144*BO1143</f>
        <v/>
      </c>
      <c r="BP1144">
        <f>$C1144*BP1143</f>
        <v/>
      </c>
      <c r="BQ1144">
        <f>$C1144*BQ1143</f>
        <v/>
      </c>
      <c r="BR1144">
        <f>$C1144*BR1143</f>
        <v/>
      </c>
      <c r="BS1144">
        <f>$C1144*BS1143</f>
        <v/>
      </c>
      <c r="BT1144">
        <f>$C1144*BT1143</f>
        <v/>
      </c>
      <c r="BU1144">
        <f>$C1144*BU1143</f>
        <v/>
      </c>
      <c r="BV1144">
        <f>$C1144*BV1143</f>
        <v/>
      </c>
      <c r="BW1144">
        <f>$C1144*BW1143</f>
        <v/>
      </c>
      <c r="BX1144">
        <f>$C1144*BX1143</f>
        <v/>
      </c>
      <c r="BY1144">
        <f>$C1144*BY1143</f>
        <v/>
      </c>
      <c r="BZ1144">
        <f>$C1144*BZ1143</f>
        <v/>
      </c>
      <c r="CA1144">
        <f>$C1144*CA1143</f>
        <v/>
      </c>
      <c r="CB1144">
        <f>$C1144*CB1143</f>
        <v/>
      </c>
      <c r="CC1144">
        <f>$C1144*CC1143</f>
        <v/>
      </c>
      <c r="CD1144">
        <f>$C1144*CD1143</f>
        <v/>
      </c>
      <c r="CE1144">
        <f>$C1144*CE1143</f>
        <v/>
      </c>
      <c r="CF1144">
        <f>$C1144*CF1143</f>
        <v/>
      </c>
      <c r="CG1144">
        <f>$C1144*CG1143</f>
        <v/>
      </c>
      <c r="CH1144">
        <f>$C1144*CH1143</f>
        <v/>
      </c>
      <c r="CI1144">
        <f>$C1144*CI1143</f>
        <v/>
      </c>
      <c r="CJ1144">
        <f>$C1144*CJ1143</f>
        <v/>
      </c>
      <c r="CK1144">
        <f>$C1144*CK1143</f>
        <v/>
      </c>
      <c r="CL1144">
        <f>$C1144*CL1143</f>
        <v/>
      </c>
      <c r="CM1144">
        <f>$C1144*CM1143</f>
        <v/>
      </c>
      <c r="CN1144">
        <f>$C1144*CN1143</f>
        <v/>
      </c>
      <c r="CO1144">
        <f>$C1144*CO1143</f>
        <v/>
      </c>
      <c r="CP1144">
        <f>$C1144*CP1143</f>
        <v/>
      </c>
      <c r="CQ1144">
        <f>$C1144*CQ1143</f>
        <v/>
      </c>
      <c r="CR1144">
        <f>$C1144*CR1143</f>
        <v/>
      </c>
      <c r="CS1144">
        <f>$C1144*CS1143</f>
        <v/>
      </c>
      <c r="CT1144">
        <f>$C1144*CT1143</f>
        <v/>
      </c>
      <c r="CU1144">
        <f>$C1144*CU1143</f>
        <v/>
      </c>
      <c r="CV1144">
        <f>$C1144*CV1143</f>
        <v/>
      </c>
      <c r="CW1144">
        <f>$C1144*CW1143</f>
        <v/>
      </c>
      <c r="CX1144">
        <f>$C1144*CX1143</f>
        <v/>
      </c>
      <c r="CY1144">
        <f>$C1144*CY1143</f>
        <v/>
      </c>
      <c r="CZ1144">
        <f>$C1144*CZ1143</f>
        <v/>
      </c>
      <c r="DA1144">
        <f>$C1144*DA1143</f>
        <v/>
      </c>
      <c r="DB1144">
        <f>$C1144*DB1143</f>
        <v/>
      </c>
      <c r="DC1144">
        <f>$C1144*DC1143</f>
        <v/>
      </c>
      <c r="DD1144">
        <f>$C1144*DD1143</f>
        <v/>
      </c>
    </row>
    <row r="1145">
      <c r="B1145" t="inlineStr">
        <is>
          <t>TSP-668</t>
        </is>
      </c>
      <c r="C1145" t="inlineStr">
        <is>
          <t>No. of batches</t>
        </is>
      </c>
      <c r="D1145">
        <f>IFERROR(INDEX(E1145:DD1145,$F$1),"")</f>
        <v/>
      </c>
      <c r="E1145">
        <f>IFERROR(INDEX(PP_Grid[#Data],$DE1145,2),0)</f>
        <v/>
      </c>
      <c r="F1145">
        <f>IFERROR(INDEX(PP_Grid[#Data],$DE1145,3),0)</f>
        <v/>
      </c>
      <c r="G1145">
        <f>IFERROR(INDEX(PP_Grid[#Data],$DE1145,4),0)</f>
        <v/>
      </c>
      <c r="H1145">
        <f>IFERROR(INDEX(PP_Grid[#Data],$DE1145,5),0)</f>
        <v/>
      </c>
      <c r="I1145">
        <f>IFERROR(INDEX(PP_Grid[#Data],$DE1145,6),0)</f>
        <v/>
      </c>
      <c r="J1145">
        <f>IFERROR(INDEX(PP_Grid[#Data],$DE1145,7),0)</f>
        <v/>
      </c>
      <c r="K1145">
        <f>IFERROR(INDEX(PP_Grid[#Data],$DE1145,8),0)</f>
        <v/>
      </c>
      <c r="L1145">
        <f>IFERROR(INDEX(PP_Grid[#Data],$DE1145,9),0)</f>
        <v/>
      </c>
      <c r="M1145">
        <f>IFERROR(INDEX(PP_Grid[#Data],$DE1145,10),0)</f>
        <v/>
      </c>
      <c r="N1145">
        <f>IFERROR(INDEX(PP_Grid[#Data],$DE1145,11),0)</f>
        <v/>
      </c>
      <c r="O1145">
        <f>IFERROR(INDEX(PP_Grid[#Data],$DE1145,12),0)</f>
        <v/>
      </c>
      <c r="P1145">
        <f>IFERROR(INDEX(PP_Grid[#Data],$DE1145,13),0)</f>
        <v/>
      </c>
      <c r="Q1145">
        <f>IFERROR(INDEX(PP_Grid[#Data],$DE1145,14),0)</f>
        <v/>
      </c>
      <c r="R1145">
        <f>IFERROR(INDEX(PP_Grid[#Data],$DE1145,15),0)</f>
        <v/>
      </c>
      <c r="S1145">
        <f>IFERROR(INDEX(PP_Grid[#Data],$DE1145,16),0)</f>
        <v/>
      </c>
      <c r="T1145">
        <f>IFERROR(INDEX(PP_Grid[#Data],$DE1145,17),0)</f>
        <v/>
      </c>
      <c r="U1145">
        <f>IFERROR(INDEX(PP_Grid[#Data],$DE1145,18),0)</f>
        <v/>
      </c>
      <c r="V1145">
        <f>IFERROR(INDEX(PP_Grid[#Data],$DE1145,19),0)</f>
        <v/>
      </c>
      <c r="W1145">
        <f>IFERROR(INDEX(PP_Grid[#Data],$DE1145,20),0)</f>
        <v/>
      </c>
      <c r="X1145">
        <f>IFERROR(INDEX(PP_Grid[#Data],$DE1145,21),0)</f>
        <v/>
      </c>
      <c r="Y1145">
        <f>IFERROR(INDEX(PP_Grid[#Data],$DE1145,22),0)</f>
        <v/>
      </c>
      <c r="Z1145">
        <f>IFERROR(INDEX(PP_Grid[#Data],$DE1145,23),0)</f>
        <v/>
      </c>
      <c r="AA1145">
        <f>IFERROR(INDEX(PP_Grid[#Data],$DE1145,24),0)</f>
        <v/>
      </c>
      <c r="AB1145">
        <f>IFERROR(INDEX(PP_Grid[#Data],$DE1145,25),0)</f>
        <v/>
      </c>
      <c r="AC1145">
        <f>IFERROR(INDEX(PP_Grid[#Data],$DE1145,26),0)</f>
        <v/>
      </c>
      <c r="AD1145">
        <f>IFERROR(INDEX(PP_Grid[#Data],$DE1145,27),0)</f>
        <v/>
      </c>
      <c r="AE1145">
        <f>IFERROR(INDEX(PP_Grid[#Data],$DE1145,28),0)</f>
        <v/>
      </c>
      <c r="AF1145">
        <f>IFERROR(INDEX(PP_Grid[#Data],$DE1145,29),0)</f>
        <v/>
      </c>
      <c r="AG1145">
        <f>IFERROR(INDEX(PP_Grid[#Data],$DE1145,30),0)</f>
        <v/>
      </c>
      <c r="AH1145">
        <f>IFERROR(INDEX(PP_Grid[#Data],$DE1145,31),0)</f>
        <v/>
      </c>
      <c r="AI1145">
        <f>IFERROR(INDEX(PP_Grid[#Data],$DE1145,32),0)</f>
        <v/>
      </c>
      <c r="AJ1145">
        <f>IFERROR(INDEX(PP_Grid[#Data],$DE1145,33),0)</f>
        <v/>
      </c>
      <c r="AK1145">
        <f>IFERROR(INDEX(PP_Grid[#Data],$DE1145,34),0)</f>
        <v/>
      </c>
      <c r="AL1145">
        <f>IFERROR(INDEX(PP_Grid[#Data],$DE1145,35),0)</f>
        <v/>
      </c>
      <c r="AM1145">
        <f>IFERROR(INDEX(PP_Grid[#Data],$DE1145,36),0)</f>
        <v/>
      </c>
      <c r="AN1145">
        <f>IFERROR(INDEX(PP_Grid[#Data],$DE1145,37),0)</f>
        <v/>
      </c>
      <c r="AO1145">
        <f>IFERROR(INDEX(PP_Grid[#Data],$DE1145,38),0)</f>
        <v/>
      </c>
      <c r="AP1145">
        <f>IFERROR(INDEX(PP_Grid[#Data],$DE1145,39),0)</f>
        <v/>
      </c>
      <c r="AQ1145">
        <f>IFERROR(INDEX(PP_Grid[#Data],$DE1145,40),0)</f>
        <v/>
      </c>
      <c r="AR1145">
        <f>IFERROR(INDEX(PP_Grid[#Data],$DE1145,41),0)</f>
        <v/>
      </c>
      <c r="AS1145">
        <f>IFERROR(INDEX(PP_Grid[#Data],$DE1145,42),0)</f>
        <v/>
      </c>
      <c r="AT1145">
        <f>IFERROR(INDEX(PP_Grid[#Data],$DE1145,43),0)</f>
        <v/>
      </c>
      <c r="AU1145">
        <f>IFERROR(INDEX(PP_Grid[#Data],$DE1145,44),0)</f>
        <v/>
      </c>
      <c r="AV1145">
        <f>IFERROR(INDEX(PP_Grid[#Data],$DE1145,45),0)</f>
        <v/>
      </c>
      <c r="AW1145">
        <f>IFERROR(INDEX(PP_Grid[#Data],$DE1145,46),0)</f>
        <v/>
      </c>
      <c r="AX1145">
        <f>IFERROR(INDEX(PP_Grid[#Data],$DE1145,47),0)</f>
        <v/>
      </c>
      <c r="AY1145">
        <f>IFERROR(INDEX(PP_Grid[#Data],$DE1145,48),0)</f>
        <v/>
      </c>
      <c r="AZ1145">
        <f>IFERROR(INDEX(PP_Grid[#Data],$DE1145,49),0)</f>
        <v/>
      </c>
      <c r="BA1145">
        <f>IFERROR(INDEX(PP_Grid[#Data],$DE1145,50),0)</f>
        <v/>
      </c>
      <c r="BB1145">
        <f>IFERROR(INDEX(PP_Grid[#Data],$DE1145,51),0)</f>
        <v/>
      </c>
      <c r="BC1145">
        <f>IFERROR(INDEX(PP_Grid[#Data],$DE1145,52),0)</f>
        <v/>
      </c>
      <c r="BD1145">
        <f>IFERROR(INDEX(PP_Grid[#Data],$DE1145,53),0)</f>
        <v/>
      </c>
      <c r="BE1145">
        <f>IFERROR(INDEX(PP_Grid[#Data],$DE1145,54),0)</f>
        <v/>
      </c>
      <c r="BF1145">
        <f>IFERROR(INDEX(PP_Grid[#Data],$DE1145,55),0)</f>
        <v/>
      </c>
      <c r="BG1145">
        <f>IFERROR(INDEX(PP_Grid[#Data],$DE1145,56),0)</f>
        <v/>
      </c>
      <c r="BH1145">
        <f>IFERROR(INDEX(PP_Grid[#Data],$DE1145,57),0)</f>
        <v/>
      </c>
      <c r="BI1145">
        <f>IFERROR(INDEX(PP_Grid[#Data],$DE1145,58),0)</f>
        <v/>
      </c>
      <c r="BJ1145">
        <f>IFERROR(INDEX(PP_Grid[#Data],$DE1145,59),0)</f>
        <v/>
      </c>
      <c r="BK1145">
        <f>IFERROR(INDEX(PP_Grid[#Data],$DE1145,60),0)</f>
        <v/>
      </c>
      <c r="BL1145">
        <f>IFERROR(INDEX(PP_Grid[#Data],$DE1145,61),0)</f>
        <v/>
      </c>
      <c r="BM1145">
        <f>IFERROR(INDEX(PP_Grid[#Data],$DE1145,62),0)</f>
        <v/>
      </c>
      <c r="BN1145">
        <f>IFERROR(INDEX(PP_Grid[#Data],$DE1145,63),0)</f>
        <v/>
      </c>
      <c r="BO1145">
        <f>IFERROR(INDEX(PP_Grid[#Data],$DE1145,64),0)</f>
        <v/>
      </c>
      <c r="BP1145">
        <f>IFERROR(INDEX(PP_Grid[#Data],$DE1145,65),0)</f>
        <v/>
      </c>
      <c r="BQ1145">
        <f>IFERROR(INDEX(PP_Grid[#Data],$DE1145,66),0)</f>
        <v/>
      </c>
      <c r="BR1145">
        <f>IFERROR(INDEX(PP_Grid[#Data],$DE1145,67),0)</f>
        <v/>
      </c>
      <c r="BS1145">
        <f>IFERROR(INDEX(PP_Grid[#Data],$DE1145,68),0)</f>
        <v/>
      </c>
      <c r="BT1145">
        <f>IFERROR(INDEX(PP_Grid[#Data],$DE1145,69),0)</f>
        <v/>
      </c>
      <c r="BU1145">
        <f>IFERROR(INDEX(PP_Grid[#Data],$DE1145,70),0)</f>
        <v/>
      </c>
      <c r="BV1145">
        <f>IFERROR(INDEX(PP_Grid[#Data],$DE1145,71),0)</f>
        <v/>
      </c>
      <c r="BW1145">
        <f>IFERROR(INDEX(PP_Grid[#Data],$DE1145,72),0)</f>
        <v/>
      </c>
      <c r="BX1145">
        <f>IFERROR(INDEX(PP_Grid[#Data],$DE1145,73),0)</f>
        <v/>
      </c>
      <c r="BY1145">
        <f>IFERROR(INDEX(PP_Grid[#Data],$DE1145,74),0)</f>
        <v/>
      </c>
      <c r="BZ1145">
        <f>IFERROR(INDEX(PP_Grid[#Data],$DE1145,75),0)</f>
        <v/>
      </c>
      <c r="CA1145">
        <f>IFERROR(INDEX(PP_Grid[#Data],$DE1145,76),0)</f>
        <v/>
      </c>
      <c r="CB1145">
        <f>IFERROR(INDEX(PP_Grid[#Data],$DE1145,77),0)</f>
        <v/>
      </c>
      <c r="CC1145">
        <f>IFERROR(INDEX(PP_Grid[#Data],$DE1145,78),0)</f>
        <v/>
      </c>
      <c r="CD1145">
        <f>IFERROR(INDEX(PP_Grid[#Data],$DE1145,79),0)</f>
        <v/>
      </c>
      <c r="CE1145">
        <f>IFERROR(INDEX(PP_Grid[#Data],$DE1145,80),0)</f>
        <v/>
      </c>
      <c r="CF1145">
        <f>IFERROR(INDEX(PP_Grid[#Data],$DE1145,81),0)</f>
        <v/>
      </c>
      <c r="CG1145">
        <f>IFERROR(INDEX(PP_Grid[#Data],$DE1145,82),0)</f>
        <v/>
      </c>
      <c r="CH1145">
        <f>IFERROR(INDEX(PP_Grid[#Data],$DE1145,83),0)</f>
        <v/>
      </c>
      <c r="CI1145">
        <f>IFERROR(INDEX(PP_Grid[#Data],$DE1145,84),0)</f>
        <v/>
      </c>
      <c r="CJ1145">
        <f>IFERROR(INDEX(PP_Grid[#Data],$DE1145,85),0)</f>
        <v/>
      </c>
      <c r="CK1145">
        <f>IFERROR(INDEX(PP_Grid[#Data],$DE1145,86),0)</f>
        <v/>
      </c>
      <c r="CL1145">
        <f>IFERROR(INDEX(PP_Grid[#Data],$DE1145,87),0)</f>
        <v/>
      </c>
      <c r="CM1145">
        <f>IFERROR(INDEX(PP_Grid[#Data],$DE1145,88),0)</f>
        <v/>
      </c>
      <c r="CN1145">
        <f>IFERROR(INDEX(PP_Grid[#Data],$DE1145,89),0)</f>
        <v/>
      </c>
      <c r="CO1145">
        <f>IFERROR(INDEX(PP_Grid[#Data],$DE1145,90),0)</f>
        <v/>
      </c>
      <c r="CP1145">
        <f>IFERROR(INDEX(PP_Grid[#Data],$DE1145,91),0)</f>
        <v/>
      </c>
      <c r="CQ1145">
        <f>IFERROR(INDEX(PP_Grid[#Data],$DE1145,92),0)</f>
        <v/>
      </c>
      <c r="CR1145">
        <f>IFERROR(INDEX(PP_Grid[#Data],$DE1145,93),0)</f>
        <v/>
      </c>
      <c r="CS1145">
        <f>IFERROR(INDEX(PP_Grid[#Data],$DE1145,94),0)</f>
        <v/>
      </c>
      <c r="CT1145">
        <f>IFERROR(INDEX(PP_Grid[#Data],$DE1145,95),0)</f>
        <v/>
      </c>
      <c r="CU1145">
        <f>IFERROR(INDEX(PP_Grid[#Data],$DE1145,96),0)</f>
        <v/>
      </c>
      <c r="CV1145">
        <f>IFERROR(INDEX(PP_Grid[#Data],$DE1145,97),0)</f>
        <v/>
      </c>
      <c r="CW1145">
        <f>IFERROR(INDEX(PP_Grid[#Data],$DE1145,98),0)</f>
        <v/>
      </c>
      <c r="CX1145">
        <f>IFERROR(INDEX(PP_Grid[#Data],$DE1145,99),0)</f>
        <v/>
      </c>
      <c r="CY1145">
        <f>IFERROR(INDEX(PP_Grid[#Data],$DE1145,100),0)</f>
        <v/>
      </c>
      <c r="CZ1145">
        <f>IFERROR(INDEX(PP_Grid[#Data],$DE1145,101),0)</f>
        <v/>
      </c>
      <c r="DA1145">
        <f>IFERROR(INDEX(PP_Grid[#Data],$DE1145,102),0)</f>
        <v/>
      </c>
      <c r="DB1145">
        <f>IFERROR(INDEX(PP_Grid[#Data],$DE1145,103),0)</f>
        <v/>
      </c>
      <c r="DC1145">
        <f>IFERROR(INDEX(PP_Grid[#Data],$DE1145,104),0)</f>
        <v/>
      </c>
      <c r="DD1145">
        <f>IFERROR(INDEX(PP_Grid[#Data],$DE1145,105),0)</f>
        <v/>
      </c>
      <c r="DE1145" s="7">
        <f>IFERROR(MATCH($B1145,PP_Grid[Intermediate],0),99999)</f>
        <v/>
      </c>
    </row>
    <row r="1146">
      <c r="B1146" t="inlineStr">
        <is>
          <t>使用量(kg)</t>
        </is>
      </c>
      <c r="C1146">
        <f>SUMIFS(M_BOM[RM_Qty_Per_Batch],M_BOM[Intermediate],$B1145,M_BOM[RM_Code],$A1140)</f>
        <v/>
      </c>
      <c r="D1146">
        <f>IFERROR(INDEX(E1146:DD1146,$F$1),"")</f>
        <v/>
      </c>
      <c r="E1146">
        <f>$C1146*E1145</f>
        <v/>
      </c>
      <c r="F1146">
        <f>$C1146*F1145</f>
        <v/>
      </c>
      <c r="G1146">
        <f>$C1146*G1145</f>
        <v/>
      </c>
      <c r="H1146">
        <f>$C1146*H1145</f>
        <v/>
      </c>
      <c r="I1146">
        <f>$C1146*I1145</f>
        <v/>
      </c>
      <c r="J1146">
        <f>$C1146*J1145</f>
        <v/>
      </c>
      <c r="K1146">
        <f>$C1146*K1145</f>
        <v/>
      </c>
      <c r="L1146">
        <f>$C1146*L1145</f>
        <v/>
      </c>
      <c r="M1146">
        <f>$C1146*M1145</f>
        <v/>
      </c>
      <c r="N1146">
        <f>$C1146*N1145</f>
        <v/>
      </c>
      <c r="O1146">
        <f>$C1146*O1145</f>
        <v/>
      </c>
      <c r="P1146">
        <f>$C1146*P1145</f>
        <v/>
      </c>
      <c r="Q1146">
        <f>$C1146*Q1145</f>
        <v/>
      </c>
      <c r="R1146">
        <f>$C1146*R1145</f>
        <v/>
      </c>
      <c r="S1146">
        <f>$C1146*S1145</f>
        <v/>
      </c>
      <c r="T1146">
        <f>$C1146*T1145</f>
        <v/>
      </c>
      <c r="U1146">
        <f>$C1146*U1145</f>
        <v/>
      </c>
      <c r="V1146">
        <f>$C1146*V1145</f>
        <v/>
      </c>
      <c r="W1146">
        <f>$C1146*W1145</f>
        <v/>
      </c>
      <c r="X1146">
        <f>$C1146*X1145</f>
        <v/>
      </c>
      <c r="Y1146">
        <f>$C1146*Y1145</f>
        <v/>
      </c>
      <c r="Z1146">
        <f>$C1146*Z1145</f>
        <v/>
      </c>
      <c r="AA1146">
        <f>$C1146*AA1145</f>
        <v/>
      </c>
      <c r="AB1146">
        <f>$C1146*AB1145</f>
        <v/>
      </c>
      <c r="AC1146">
        <f>$C1146*AC1145</f>
        <v/>
      </c>
      <c r="AD1146">
        <f>$C1146*AD1145</f>
        <v/>
      </c>
      <c r="AE1146">
        <f>$C1146*AE1145</f>
        <v/>
      </c>
      <c r="AF1146">
        <f>$C1146*AF1145</f>
        <v/>
      </c>
      <c r="AG1146">
        <f>$C1146*AG1145</f>
        <v/>
      </c>
      <c r="AH1146">
        <f>$C1146*AH1145</f>
        <v/>
      </c>
      <c r="AI1146">
        <f>$C1146*AI1145</f>
        <v/>
      </c>
      <c r="AJ1146">
        <f>$C1146*AJ1145</f>
        <v/>
      </c>
      <c r="AK1146">
        <f>$C1146*AK1145</f>
        <v/>
      </c>
      <c r="AL1146">
        <f>$C1146*AL1145</f>
        <v/>
      </c>
      <c r="AM1146">
        <f>$C1146*AM1145</f>
        <v/>
      </c>
      <c r="AN1146">
        <f>$C1146*AN1145</f>
        <v/>
      </c>
      <c r="AO1146">
        <f>$C1146*AO1145</f>
        <v/>
      </c>
      <c r="AP1146">
        <f>$C1146*AP1145</f>
        <v/>
      </c>
      <c r="AQ1146">
        <f>$C1146*AQ1145</f>
        <v/>
      </c>
      <c r="AR1146">
        <f>$C1146*AR1145</f>
        <v/>
      </c>
      <c r="AS1146">
        <f>$C1146*AS1145</f>
        <v/>
      </c>
      <c r="AT1146">
        <f>$C1146*AT1145</f>
        <v/>
      </c>
      <c r="AU1146">
        <f>$C1146*AU1145</f>
        <v/>
      </c>
      <c r="AV1146">
        <f>$C1146*AV1145</f>
        <v/>
      </c>
      <c r="AW1146">
        <f>$C1146*AW1145</f>
        <v/>
      </c>
      <c r="AX1146">
        <f>$C1146*AX1145</f>
        <v/>
      </c>
      <c r="AY1146">
        <f>$C1146*AY1145</f>
        <v/>
      </c>
      <c r="AZ1146">
        <f>$C1146*AZ1145</f>
        <v/>
      </c>
      <c r="BA1146">
        <f>$C1146*BA1145</f>
        <v/>
      </c>
      <c r="BB1146">
        <f>$C1146*BB1145</f>
        <v/>
      </c>
      <c r="BC1146">
        <f>$C1146*BC1145</f>
        <v/>
      </c>
      <c r="BD1146">
        <f>$C1146*BD1145</f>
        <v/>
      </c>
      <c r="BE1146">
        <f>$C1146*BE1145</f>
        <v/>
      </c>
      <c r="BF1146">
        <f>$C1146*BF1145</f>
        <v/>
      </c>
      <c r="BG1146">
        <f>$C1146*BG1145</f>
        <v/>
      </c>
      <c r="BH1146">
        <f>$C1146*BH1145</f>
        <v/>
      </c>
      <c r="BI1146">
        <f>$C1146*BI1145</f>
        <v/>
      </c>
      <c r="BJ1146">
        <f>$C1146*BJ1145</f>
        <v/>
      </c>
      <c r="BK1146">
        <f>$C1146*BK1145</f>
        <v/>
      </c>
      <c r="BL1146">
        <f>$C1146*BL1145</f>
        <v/>
      </c>
      <c r="BM1146">
        <f>$C1146*BM1145</f>
        <v/>
      </c>
      <c r="BN1146">
        <f>$C1146*BN1145</f>
        <v/>
      </c>
      <c r="BO1146">
        <f>$C1146*BO1145</f>
        <v/>
      </c>
      <c r="BP1146">
        <f>$C1146*BP1145</f>
        <v/>
      </c>
      <c r="BQ1146">
        <f>$C1146*BQ1145</f>
        <v/>
      </c>
      <c r="BR1146">
        <f>$C1146*BR1145</f>
        <v/>
      </c>
      <c r="BS1146">
        <f>$C1146*BS1145</f>
        <v/>
      </c>
      <c r="BT1146">
        <f>$C1146*BT1145</f>
        <v/>
      </c>
      <c r="BU1146">
        <f>$C1146*BU1145</f>
        <v/>
      </c>
      <c r="BV1146">
        <f>$C1146*BV1145</f>
        <v/>
      </c>
      <c r="BW1146">
        <f>$C1146*BW1145</f>
        <v/>
      </c>
      <c r="BX1146">
        <f>$C1146*BX1145</f>
        <v/>
      </c>
      <c r="BY1146">
        <f>$C1146*BY1145</f>
        <v/>
      </c>
      <c r="BZ1146">
        <f>$C1146*BZ1145</f>
        <v/>
      </c>
      <c r="CA1146">
        <f>$C1146*CA1145</f>
        <v/>
      </c>
      <c r="CB1146">
        <f>$C1146*CB1145</f>
        <v/>
      </c>
      <c r="CC1146">
        <f>$C1146*CC1145</f>
        <v/>
      </c>
      <c r="CD1146">
        <f>$C1146*CD1145</f>
        <v/>
      </c>
      <c r="CE1146">
        <f>$C1146*CE1145</f>
        <v/>
      </c>
      <c r="CF1146">
        <f>$C1146*CF1145</f>
        <v/>
      </c>
      <c r="CG1146">
        <f>$C1146*CG1145</f>
        <v/>
      </c>
      <c r="CH1146">
        <f>$C1146*CH1145</f>
        <v/>
      </c>
      <c r="CI1146">
        <f>$C1146*CI1145</f>
        <v/>
      </c>
      <c r="CJ1146">
        <f>$C1146*CJ1145</f>
        <v/>
      </c>
      <c r="CK1146">
        <f>$C1146*CK1145</f>
        <v/>
      </c>
      <c r="CL1146">
        <f>$C1146*CL1145</f>
        <v/>
      </c>
      <c r="CM1146">
        <f>$C1146*CM1145</f>
        <v/>
      </c>
      <c r="CN1146">
        <f>$C1146*CN1145</f>
        <v/>
      </c>
      <c r="CO1146">
        <f>$C1146*CO1145</f>
        <v/>
      </c>
      <c r="CP1146">
        <f>$C1146*CP1145</f>
        <v/>
      </c>
      <c r="CQ1146">
        <f>$C1146*CQ1145</f>
        <v/>
      </c>
      <c r="CR1146">
        <f>$C1146*CR1145</f>
        <v/>
      </c>
      <c r="CS1146">
        <f>$C1146*CS1145</f>
        <v/>
      </c>
      <c r="CT1146">
        <f>$C1146*CT1145</f>
        <v/>
      </c>
      <c r="CU1146">
        <f>$C1146*CU1145</f>
        <v/>
      </c>
      <c r="CV1146">
        <f>$C1146*CV1145</f>
        <v/>
      </c>
      <c r="CW1146">
        <f>$C1146*CW1145</f>
        <v/>
      </c>
      <c r="CX1146">
        <f>$C1146*CX1145</f>
        <v/>
      </c>
      <c r="CY1146">
        <f>$C1146*CY1145</f>
        <v/>
      </c>
      <c r="CZ1146">
        <f>$C1146*CZ1145</f>
        <v/>
      </c>
      <c r="DA1146">
        <f>$C1146*DA1145</f>
        <v/>
      </c>
      <c r="DB1146">
        <f>$C1146*DB1145</f>
        <v/>
      </c>
      <c r="DC1146">
        <f>$C1146*DC1145</f>
        <v/>
      </c>
      <c r="DD1146">
        <f>$C1146*DD1145</f>
        <v/>
      </c>
    </row>
    <row r="1147">
      <c r="B1147" t="inlineStr">
        <is>
          <t>TSP-669</t>
        </is>
      </c>
      <c r="C1147" t="inlineStr">
        <is>
          <t>No. of batches</t>
        </is>
      </c>
      <c r="D1147">
        <f>IFERROR(INDEX(E1147:DD1147,$F$1),"")</f>
        <v/>
      </c>
      <c r="E1147">
        <f>IFERROR(INDEX(PP_Grid[#Data],$DE1147,2),0)</f>
        <v/>
      </c>
      <c r="F1147">
        <f>IFERROR(INDEX(PP_Grid[#Data],$DE1147,3),0)</f>
        <v/>
      </c>
      <c r="G1147">
        <f>IFERROR(INDEX(PP_Grid[#Data],$DE1147,4),0)</f>
        <v/>
      </c>
      <c r="H1147">
        <f>IFERROR(INDEX(PP_Grid[#Data],$DE1147,5),0)</f>
        <v/>
      </c>
      <c r="I1147">
        <f>IFERROR(INDEX(PP_Grid[#Data],$DE1147,6),0)</f>
        <v/>
      </c>
      <c r="J1147">
        <f>IFERROR(INDEX(PP_Grid[#Data],$DE1147,7),0)</f>
        <v/>
      </c>
      <c r="K1147">
        <f>IFERROR(INDEX(PP_Grid[#Data],$DE1147,8),0)</f>
        <v/>
      </c>
      <c r="L1147">
        <f>IFERROR(INDEX(PP_Grid[#Data],$DE1147,9),0)</f>
        <v/>
      </c>
      <c r="M1147">
        <f>IFERROR(INDEX(PP_Grid[#Data],$DE1147,10),0)</f>
        <v/>
      </c>
      <c r="N1147">
        <f>IFERROR(INDEX(PP_Grid[#Data],$DE1147,11),0)</f>
        <v/>
      </c>
      <c r="O1147">
        <f>IFERROR(INDEX(PP_Grid[#Data],$DE1147,12),0)</f>
        <v/>
      </c>
      <c r="P1147">
        <f>IFERROR(INDEX(PP_Grid[#Data],$DE1147,13),0)</f>
        <v/>
      </c>
      <c r="Q1147">
        <f>IFERROR(INDEX(PP_Grid[#Data],$DE1147,14),0)</f>
        <v/>
      </c>
      <c r="R1147">
        <f>IFERROR(INDEX(PP_Grid[#Data],$DE1147,15),0)</f>
        <v/>
      </c>
      <c r="S1147">
        <f>IFERROR(INDEX(PP_Grid[#Data],$DE1147,16),0)</f>
        <v/>
      </c>
      <c r="T1147">
        <f>IFERROR(INDEX(PP_Grid[#Data],$DE1147,17),0)</f>
        <v/>
      </c>
      <c r="U1147">
        <f>IFERROR(INDEX(PP_Grid[#Data],$DE1147,18),0)</f>
        <v/>
      </c>
      <c r="V1147">
        <f>IFERROR(INDEX(PP_Grid[#Data],$DE1147,19),0)</f>
        <v/>
      </c>
      <c r="W1147">
        <f>IFERROR(INDEX(PP_Grid[#Data],$DE1147,20),0)</f>
        <v/>
      </c>
      <c r="X1147">
        <f>IFERROR(INDEX(PP_Grid[#Data],$DE1147,21),0)</f>
        <v/>
      </c>
      <c r="Y1147">
        <f>IFERROR(INDEX(PP_Grid[#Data],$DE1147,22),0)</f>
        <v/>
      </c>
      <c r="Z1147">
        <f>IFERROR(INDEX(PP_Grid[#Data],$DE1147,23),0)</f>
        <v/>
      </c>
      <c r="AA1147">
        <f>IFERROR(INDEX(PP_Grid[#Data],$DE1147,24),0)</f>
        <v/>
      </c>
      <c r="AB1147">
        <f>IFERROR(INDEX(PP_Grid[#Data],$DE1147,25),0)</f>
        <v/>
      </c>
      <c r="AC1147">
        <f>IFERROR(INDEX(PP_Grid[#Data],$DE1147,26),0)</f>
        <v/>
      </c>
      <c r="AD1147">
        <f>IFERROR(INDEX(PP_Grid[#Data],$DE1147,27),0)</f>
        <v/>
      </c>
      <c r="AE1147">
        <f>IFERROR(INDEX(PP_Grid[#Data],$DE1147,28),0)</f>
        <v/>
      </c>
      <c r="AF1147">
        <f>IFERROR(INDEX(PP_Grid[#Data],$DE1147,29),0)</f>
        <v/>
      </c>
      <c r="AG1147">
        <f>IFERROR(INDEX(PP_Grid[#Data],$DE1147,30),0)</f>
        <v/>
      </c>
      <c r="AH1147">
        <f>IFERROR(INDEX(PP_Grid[#Data],$DE1147,31),0)</f>
        <v/>
      </c>
      <c r="AI1147">
        <f>IFERROR(INDEX(PP_Grid[#Data],$DE1147,32),0)</f>
        <v/>
      </c>
      <c r="AJ1147">
        <f>IFERROR(INDEX(PP_Grid[#Data],$DE1147,33),0)</f>
        <v/>
      </c>
      <c r="AK1147">
        <f>IFERROR(INDEX(PP_Grid[#Data],$DE1147,34),0)</f>
        <v/>
      </c>
      <c r="AL1147">
        <f>IFERROR(INDEX(PP_Grid[#Data],$DE1147,35),0)</f>
        <v/>
      </c>
      <c r="AM1147">
        <f>IFERROR(INDEX(PP_Grid[#Data],$DE1147,36),0)</f>
        <v/>
      </c>
      <c r="AN1147">
        <f>IFERROR(INDEX(PP_Grid[#Data],$DE1147,37),0)</f>
        <v/>
      </c>
      <c r="AO1147">
        <f>IFERROR(INDEX(PP_Grid[#Data],$DE1147,38),0)</f>
        <v/>
      </c>
      <c r="AP1147">
        <f>IFERROR(INDEX(PP_Grid[#Data],$DE1147,39),0)</f>
        <v/>
      </c>
      <c r="AQ1147">
        <f>IFERROR(INDEX(PP_Grid[#Data],$DE1147,40),0)</f>
        <v/>
      </c>
      <c r="AR1147">
        <f>IFERROR(INDEX(PP_Grid[#Data],$DE1147,41),0)</f>
        <v/>
      </c>
      <c r="AS1147">
        <f>IFERROR(INDEX(PP_Grid[#Data],$DE1147,42),0)</f>
        <v/>
      </c>
      <c r="AT1147">
        <f>IFERROR(INDEX(PP_Grid[#Data],$DE1147,43),0)</f>
        <v/>
      </c>
      <c r="AU1147">
        <f>IFERROR(INDEX(PP_Grid[#Data],$DE1147,44),0)</f>
        <v/>
      </c>
      <c r="AV1147">
        <f>IFERROR(INDEX(PP_Grid[#Data],$DE1147,45),0)</f>
        <v/>
      </c>
      <c r="AW1147">
        <f>IFERROR(INDEX(PP_Grid[#Data],$DE1147,46),0)</f>
        <v/>
      </c>
      <c r="AX1147">
        <f>IFERROR(INDEX(PP_Grid[#Data],$DE1147,47),0)</f>
        <v/>
      </c>
      <c r="AY1147">
        <f>IFERROR(INDEX(PP_Grid[#Data],$DE1147,48),0)</f>
        <v/>
      </c>
      <c r="AZ1147">
        <f>IFERROR(INDEX(PP_Grid[#Data],$DE1147,49),0)</f>
        <v/>
      </c>
      <c r="BA1147">
        <f>IFERROR(INDEX(PP_Grid[#Data],$DE1147,50),0)</f>
        <v/>
      </c>
      <c r="BB1147">
        <f>IFERROR(INDEX(PP_Grid[#Data],$DE1147,51),0)</f>
        <v/>
      </c>
      <c r="BC1147">
        <f>IFERROR(INDEX(PP_Grid[#Data],$DE1147,52),0)</f>
        <v/>
      </c>
      <c r="BD1147">
        <f>IFERROR(INDEX(PP_Grid[#Data],$DE1147,53),0)</f>
        <v/>
      </c>
      <c r="BE1147">
        <f>IFERROR(INDEX(PP_Grid[#Data],$DE1147,54),0)</f>
        <v/>
      </c>
      <c r="BF1147">
        <f>IFERROR(INDEX(PP_Grid[#Data],$DE1147,55),0)</f>
        <v/>
      </c>
      <c r="BG1147">
        <f>IFERROR(INDEX(PP_Grid[#Data],$DE1147,56),0)</f>
        <v/>
      </c>
      <c r="BH1147">
        <f>IFERROR(INDEX(PP_Grid[#Data],$DE1147,57),0)</f>
        <v/>
      </c>
      <c r="BI1147">
        <f>IFERROR(INDEX(PP_Grid[#Data],$DE1147,58),0)</f>
        <v/>
      </c>
      <c r="BJ1147">
        <f>IFERROR(INDEX(PP_Grid[#Data],$DE1147,59),0)</f>
        <v/>
      </c>
      <c r="BK1147">
        <f>IFERROR(INDEX(PP_Grid[#Data],$DE1147,60),0)</f>
        <v/>
      </c>
      <c r="BL1147">
        <f>IFERROR(INDEX(PP_Grid[#Data],$DE1147,61),0)</f>
        <v/>
      </c>
      <c r="BM1147">
        <f>IFERROR(INDEX(PP_Grid[#Data],$DE1147,62),0)</f>
        <v/>
      </c>
      <c r="BN1147">
        <f>IFERROR(INDEX(PP_Grid[#Data],$DE1147,63),0)</f>
        <v/>
      </c>
      <c r="BO1147">
        <f>IFERROR(INDEX(PP_Grid[#Data],$DE1147,64),0)</f>
        <v/>
      </c>
      <c r="BP1147">
        <f>IFERROR(INDEX(PP_Grid[#Data],$DE1147,65),0)</f>
        <v/>
      </c>
      <c r="BQ1147">
        <f>IFERROR(INDEX(PP_Grid[#Data],$DE1147,66),0)</f>
        <v/>
      </c>
      <c r="BR1147">
        <f>IFERROR(INDEX(PP_Grid[#Data],$DE1147,67),0)</f>
        <v/>
      </c>
      <c r="BS1147">
        <f>IFERROR(INDEX(PP_Grid[#Data],$DE1147,68),0)</f>
        <v/>
      </c>
      <c r="BT1147">
        <f>IFERROR(INDEX(PP_Grid[#Data],$DE1147,69),0)</f>
        <v/>
      </c>
      <c r="BU1147">
        <f>IFERROR(INDEX(PP_Grid[#Data],$DE1147,70),0)</f>
        <v/>
      </c>
      <c r="BV1147">
        <f>IFERROR(INDEX(PP_Grid[#Data],$DE1147,71),0)</f>
        <v/>
      </c>
      <c r="BW1147">
        <f>IFERROR(INDEX(PP_Grid[#Data],$DE1147,72),0)</f>
        <v/>
      </c>
      <c r="BX1147">
        <f>IFERROR(INDEX(PP_Grid[#Data],$DE1147,73),0)</f>
        <v/>
      </c>
      <c r="BY1147">
        <f>IFERROR(INDEX(PP_Grid[#Data],$DE1147,74),0)</f>
        <v/>
      </c>
      <c r="BZ1147">
        <f>IFERROR(INDEX(PP_Grid[#Data],$DE1147,75),0)</f>
        <v/>
      </c>
      <c r="CA1147">
        <f>IFERROR(INDEX(PP_Grid[#Data],$DE1147,76),0)</f>
        <v/>
      </c>
      <c r="CB1147">
        <f>IFERROR(INDEX(PP_Grid[#Data],$DE1147,77),0)</f>
        <v/>
      </c>
      <c r="CC1147">
        <f>IFERROR(INDEX(PP_Grid[#Data],$DE1147,78),0)</f>
        <v/>
      </c>
      <c r="CD1147">
        <f>IFERROR(INDEX(PP_Grid[#Data],$DE1147,79),0)</f>
        <v/>
      </c>
      <c r="CE1147">
        <f>IFERROR(INDEX(PP_Grid[#Data],$DE1147,80),0)</f>
        <v/>
      </c>
      <c r="CF1147">
        <f>IFERROR(INDEX(PP_Grid[#Data],$DE1147,81),0)</f>
        <v/>
      </c>
      <c r="CG1147">
        <f>IFERROR(INDEX(PP_Grid[#Data],$DE1147,82),0)</f>
        <v/>
      </c>
      <c r="CH1147">
        <f>IFERROR(INDEX(PP_Grid[#Data],$DE1147,83),0)</f>
        <v/>
      </c>
      <c r="CI1147">
        <f>IFERROR(INDEX(PP_Grid[#Data],$DE1147,84),0)</f>
        <v/>
      </c>
      <c r="CJ1147">
        <f>IFERROR(INDEX(PP_Grid[#Data],$DE1147,85),0)</f>
        <v/>
      </c>
      <c r="CK1147">
        <f>IFERROR(INDEX(PP_Grid[#Data],$DE1147,86),0)</f>
        <v/>
      </c>
      <c r="CL1147">
        <f>IFERROR(INDEX(PP_Grid[#Data],$DE1147,87),0)</f>
        <v/>
      </c>
      <c r="CM1147">
        <f>IFERROR(INDEX(PP_Grid[#Data],$DE1147,88),0)</f>
        <v/>
      </c>
      <c r="CN1147">
        <f>IFERROR(INDEX(PP_Grid[#Data],$DE1147,89),0)</f>
        <v/>
      </c>
      <c r="CO1147">
        <f>IFERROR(INDEX(PP_Grid[#Data],$DE1147,90),0)</f>
        <v/>
      </c>
      <c r="CP1147">
        <f>IFERROR(INDEX(PP_Grid[#Data],$DE1147,91),0)</f>
        <v/>
      </c>
      <c r="CQ1147">
        <f>IFERROR(INDEX(PP_Grid[#Data],$DE1147,92),0)</f>
        <v/>
      </c>
      <c r="CR1147">
        <f>IFERROR(INDEX(PP_Grid[#Data],$DE1147,93),0)</f>
        <v/>
      </c>
      <c r="CS1147">
        <f>IFERROR(INDEX(PP_Grid[#Data],$DE1147,94),0)</f>
        <v/>
      </c>
      <c r="CT1147">
        <f>IFERROR(INDEX(PP_Grid[#Data],$DE1147,95),0)</f>
        <v/>
      </c>
      <c r="CU1147">
        <f>IFERROR(INDEX(PP_Grid[#Data],$DE1147,96),0)</f>
        <v/>
      </c>
      <c r="CV1147">
        <f>IFERROR(INDEX(PP_Grid[#Data],$DE1147,97),0)</f>
        <v/>
      </c>
      <c r="CW1147">
        <f>IFERROR(INDEX(PP_Grid[#Data],$DE1147,98),0)</f>
        <v/>
      </c>
      <c r="CX1147">
        <f>IFERROR(INDEX(PP_Grid[#Data],$DE1147,99),0)</f>
        <v/>
      </c>
      <c r="CY1147">
        <f>IFERROR(INDEX(PP_Grid[#Data],$DE1147,100),0)</f>
        <v/>
      </c>
      <c r="CZ1147">
        <f>IFERROR(INDEX(PP_Grid[#Data],$DE1147,101),0)</f>
        <v/>
      </c>
      <c r="DA1147">
        <f>IFERROR(INDEX(PP_Grid[#Data],$DE1147,102),0)</f>
        <v/>
      </c>
      <c r="DB1147">
        <f>IFERROR(INDEX(PP_Grid[#Data],$DE1147,103),0)</f>
        <v/>
      </c>
      <c r="DC1147">
        <f>IFERROR(INDEX(PP_Grid[#Data],$DE1147,104),0)</f>
        <v/>
      </c>
      <c r="DD1147">
        <f>IFERROR(INDEX(PP_Grid[#Data],$DE1147,105),0)</f>
        <v/>
      </c>
      <c r="DE1147" s="7">
        <f>IFERROR(MATCH($B1147,PP_Grid[Intermediate],0),99999)</f>
        <v/>
      </c>
    </row>
    <row r="1148">
      <c r="B1148" t="inlineStr">
        <is>
          <t>使用量(kg)</t>
        </is>
      </c>
      <c r="C1148">
        <f>SUMIFS(M_BOM[RM_Qty_Per_Batch],M_BOM[Intermediate],$B1147,M_BOM[RM_Code],$A1140)</f>
        <v/>
      </c>
      <c r="D1148">
        <f>IFERROR(INDEX(E1148:DD1148,$F$1),"")</f>
        <v/>
      </c>
      <c r="E1148">
        <f>$C1148*E1147</f>
        <v/>
      </c>
      <c r="F1148">
        <f>$C1148*F1147</f>
        <v/>
      </c>
      <c r="G1148">
        <f>$C1148*G1147</f>
        <v/>
      </c>
      <c r="H1148">
        <f>$C1148*H1147</f>
        <v/>
      </c>
      <c r="I1148">
        <f>$C1148*I1147</f>
        <v/>
      </c>
      <c r="J1148">
        <f>$C1148*J1147</f>
        <v/>
      </c>
      <c r="K1148">
        <f>$C1148*K1147</f>
        <v/>
      </c>
      <c r="L1148">
        <f>$C1148*L1147</f>
        <v/>
      </c>
      <c r="M1148">
        <f>$C1148*M1147</f>
        <v/>
      </c>
      <c r="N1148">
        <f>$C1148*N1147</f>
        <v/>
      </c>
      <c r="O1148">
        <f>$C1148*O1147</f>
        <v/>
      </c>
      <c r="P1148">
        <f>$C1148*P1147</f>
        <v/>
      </c>
      <c r="Q1148">
        <f>$C1148*Q1147</f>
        <v/>
      </c>
      <c r="R1148">
        <f>$C1148*R1147</f>
        <v/>
      </c>
      <c r="S1148">
        <f>$C1148*S1147</f>
        <v/>
      </c>
      <c r="T1148">
        <f>$C1148*T1147</f>
        <v/>
      </c>
      <c r="U1148">
        <f>$C1148*U1147</f>
        <v/>
      </c>
      <c r="V1148">
        <f>$C1148*V1147</f>
        <v/>
      </c>
      <c r="W1148">
        <f>$C1148*W1147</f>
        <v/>
      </c>
      <c r="X1148">
        <f>$C1148*X1147</f>
        <v/>
      </c>
      <c r="Y1148">
        <f>$C1148*Y1147</f>
        <v/>
      </c>
      <c r="Z1148">
        <f>$C1148*Z1147</f>
        <v/>
      </c>
      <c r="AA1148">
        <f>$C1148*AA1147</f>
        <v/>
      </c>
      <c r="AB1148">
        <f>$C1148*AB1147</f>
        <v/>
      </c>
      <c r="AC1148">
        <f>$C1148*AC1147</f>
        <v/>
      </c>
      <c r="AD1148">
        <f>$C1148*AD1147</f>
        <v/>
      </c>
      <c r="AE1148">
        <f>$C1148*AE1147</f>
        <v/>
      </c>
      <c r="AF1148">
        <f>$C1148*AF1147</f>
        <v/>
      </c>
      <c r="AG1148">
        <f>$C1148*AG1147</f>
        <v/>
      </c>
      <c r="AH1148">
        <f>$C1148*AH1147</f>
        <v/>
      </c>
      <c r="AI1148">
        <f>$C1148*AI1147</f>
        <v/>
      </c>
      <c r="AJ1148">
        <f>$C1148*AJ1147</f>
        <v/>
      </c>
      <c r="AK1148">
        <f>$C1148*AK1147</f>
        <v/>
      </c>
      <c r="AL1148">
        <f>$C1148*AL1147</f>
        <v/>
      </c>
      <c r="AM1148">
        <f>$C1148*AM1147</f>
        <v/>
      </c>
      <c r="AN1148">
        <f>$C1148*AN1147</f>
        <v/>
      </c>
      <c r="AO1148">
        <f>$C1148*AO1147</f>
        <v/>
      </c>
      <c r="AP1148">
        <f>$C1148*AP1147</f>
        <v/>
      </c>
      <c r="AQ1148">
        <f>$C1148*AQ1147</f>
        <v/>
      </c>
      <c r="AR1148">
        <f>$C1148*AR1147</f>
        <v/>
      </c>
      <c r="AS1148">
        <f>$C1148*AS1147</f>
        <v/>
      </c>
      <c r="AT1148">
        <f>$C1148*AT1147</f>
        <v/>
      </c>
      <c r="AU1148">
        <f>$C1148*AU1147</f>
        <v/>
      </c>
      <c r="AV1148">
        <f>$C1148*AV1147</f>
        <v/>
      </c>
      <c r="AW1148">
        <f>$C1148*AW1147</f>
        <v/>
      </c>
      <c r="AX1148">
        <f>$C1148*AX1147</f>
        <v/>
      </c>
      <c r="AY1148">
        <f>$C1148*AY1147</f>
        <v/>
      </c>
      <c r="AZ1148">
        <f>$C1148*AZ1147</f>
        <v/>
      </c>
      <c r="BA1148">
        <f>$C1148*BA1147</f>
        <v/>
      </c>
      <c r="BB1148">
        <f>$C1148*BB1147</f>
        <v/>
      </c>
      <c r="BC1148">
        <f>$C1148*BC1147</f>
        <v/>
      </c>
      <c r="BD1148">
        <f>$C1148*BD1147</f>
        <v/>
      </c>
      <c r="BE1148">
        <f>$C1148*BE1147</f>
        <v/>
      </c>
      <c r="BF1148">
        <f>$C1148*BF1147</f>
        <v/>
      </c>
      <c r="BG1148">
        <f>$C1148*BG1147</f>
        <v/>
      </c>
      <c r="BH1148">
        <f>$C1148*BH1147</f>
        <v/>
      </c>
      <c r="BI1148">
        <f>$C1148*BI1147</f>
        <v/>
      </c>
      <c r="BJ1148">
        <f>$C1148*BJ1147</f>
        <v/>
      </c>
      <c r="BK1148">
        <f>$C1148*BK1147</f>
        <v/>
      </c>
      <c r="BL1148">
        <f>$C1148*BL1147</f>
        <v/>
      </c>
      <c r="BM1148">
        <f>$C1148*BM1147</f>
        <v/>
      </c>
      <c r="BN1148">
        <f>$C1148*BN1147</f>
        <v/>
      </c>
      <c r="BO1148">
        <f>$C1148*BO1147</f>
        <v/>
      </c>
      <c r="BP1148">
        <f>$C1148*BP1147</f>
        <v/>
      </c>
      <c r="BQ1148">
        <f>$C1148*BQ1147</f>
        <v/>
      </c>
      <c r="BR1148">
        <f>$C1148*BR1147</f>
        <v/>
      </c>
      <c r="BS1148">
        <f>$C1148*BS1147</f>
        <v/>
      </c>
      <c r="BT1148">
        <f>$C1148*BT1147</f>
        <v/>
      </c>
      <c r="BU1148">
        <f>$C1148*BU1147</f>
        <v/>
      </c>
      <c r="BV1148">
        <f>$C1148*BV1147</f>
        <v/>
      </c>
      <c r="BW1148">
        <f>$C1148*BW1147</f>
        <v/>
      </c>
      <c r="BX1148">
        <f>$C1148*BX1147</f>
        <v/>
      </c>
      <c r="BY1148">
        <f>$C1148*BY1147</f>
        <v/>
      </c>
      <c r="BZ1148">
        <f>$C1148*BZ1147</f>
        <v/>
      </c>
      <c r="CA1148">
        <f>$C1148*CA1147</f>
        <v/>
      </c>
      <c r="CB1148">
        <f>$C1148*CB1147</f>
        <v/>
      </c>
      <c r="CC1148">
        <f>$C1148*CC1147</f>
        <v/>
      </c>
      <c r="CD1148">
        <f>$C1148*CD1147</f>
        <v/>
      </c>
      <c r="CE1148">
        <f>$C1148*CE1147</f>
        <v/>
      </c>
      <c r="CF1148">
        <f>$C1148*CF1147</f>
        <v/>
      </c>
      <c r="CG1148">
        <f>$C1148*CG1147</f>
        <v/>
      </c>
      <c r="CH1148">
        <f>$C1148*CH1147</f>
        <v/>
      </c>
      <c r="CI1148">
        <f>$C1148*CI1147</f>
        <v/>
      </c>
      <c r="CJ1148">
        <f>$C1148*CJ1147</f>
        <v/>
      </c>
      <c r="CK1148">
        <f>$C1148*CK1147</f>
        <v/>
      </c>
      <c r="CL1148">
        <f>$C1148*CL1147</f>
        <v/>
      </c>
      <c r="CM1148">
        <f>$C1148*CM1147</f>
        <v/>
      </c>
      <c r="CN1148">
        <f>$C1148*CN1147</f>
        <v/>
      </c>
      <c r="CO1148">
        <f>$C1148*CO1147</f>
        <v/>
      </c>
      <c r="CP1148">
        <f>$C1148*CP1147</f>
        <v/>
      </c>
      <c r="CQ1148">
        <f>$C1148*CQ1147</f>
        <v/>
      </c>
      <c r="CR1148">
        <f>$C1148*CR1147</f>
        <v/>
      </c>
      <c r="CS1148">
        <f>$C1148*CS1147</f>
        <v/>
      </c>
      <c r="CT1148">
        <f>$C1148*CT1147</f>
        <v/>
      </c>
      <c r="CU1148">
        <f>$C1148*CU1147</f>
        <v/>
      </c>
      <c r="CV1148">
        <f>$C1148*CV1147</f>
        <v/>
      </c>
      <c r="CW1148">
        <f>$C1148*CW1147</f>
        <v/>
      </c>
      <c r="CX1148">
        <f>$C1148*CX1147</f>
        <v/>
      </c>
      <c r="CY1148">
        <f>$C1148*CY1147</f>
        <v/>
      </c>
      <c r="CZ1148">
        <f>$C1148*CZ1147</f>
        <v/>
      </c>
      <c r="DA1148">
        <f>$C1148*DA1147</f>
        <v/>
      </c>
      <c r="DB1148">
        <f>$C1148*DB1147</f>
        <v/>
      </c>
      <c r="DC1148">
        <f>$C1148*DC1147</f>
        <v/>
      </c>
      <c r="DD1148">
        <f>$C1148*DD1147</f>
        <v/>
      </c>
    </row>
    <row r="1149">
      <c r="B1149" t="inlineStr">
        <is>
          <t>TSP-670</t>
        </is>
      </c>
      <c r="C1149" t="inlineStr">
        <is>
          <t>No. of batches</t>
        </is>
      </c>
      <c r="D1149">
        <f>IFERROR(INDEX(E1149:DD1149,$F$1),"")</f>
        <v/>
      </c>
      <c r="E1149">
        <f>IFERROR(INDEX(PP_Grid[#Data],$DE1149,2),0)</f>
        <v/>
      </c>
      <c r="F1149">
        <f>IFERROR(INDEX(PP_Grid[#Data],$DE1149,3),0)</f>
        <v/>
      </c>
      <c r="G1149">
        <f>IFERROR(INDEX(PP_Grid[#Data],$DE1149,4),0)</f>
        <v/>
      </c>
      <c r="H1149">
        <f>IFERROR(INDEX(PP_Grid[#Data],$DE1149,5),0)</f>
        <v/>
      </c>
      <c r="I1149">
        <f>IFERROR(INDEX(PP_Grid[#Data],$DE1149,6),0)</f>
        <v/>
      </c>
      <c r="J1149">
        <f>IFERROR(INDEX(PP_Grid[#Data],$DE1149,7),0)</f>
        <v/>
      </c>
      <c r="K1149">
        <f>IFERROR(INDEX(PP_Grid[#Data],$DE1149,8),0)</f>
        <v/>
      </c>
      <c r="L1149">
        <f>IFERROR(INDEX(PP_Grid[#Data],$DE1149,9),0)</f>
        <v/>
      </c>
      <c r="M1149">
        <f>IFERROR(INDEX(PP_Grid[#Data],$DE1149,10),0)</f>
        <v/>
      </c>
      <c r="N1149">
        <f>IFERROR(INDEX(PP_Grid[#Data],$DE1149,11),0)</f>
        <v/>
      </c>
      <c r="O1149">
        <f>IFERROR(INDEX(PP_Grid[#Data],$DE1149,12),0)</f>
        <v/>
      </c>
      <c r="P1149">
        <f>IFERROR(INDEX(PP_Grid[#Data],$DE1149,13),0)</f>
        <v/>
      </c>
      <c r="Q1149">
        <f>IFERROR(INDEX(PP_Grid[#Data],$DE1149,14),0)</f>
        <v/>
      </c>
      <c r="R1149">
        <f>IFERROR(INDEX(PP_Grid[#Data],$DE1149,15),0)</f>
        <v/>
      </c>
      <c r="S1149">
        <f>IFERROR(INDEX(PP_Grid[#Data],$DE1149,16),0)</f>
        <v/>
      </c>
      <c r="T1149">
        <f>IFERROR(INDEX(PP_Grid[#Data],$DE1149,17),0)</f>
        <v/>
      </c>
      <c r="U1149">
        <f>IFERROR(INDEX(PP_Grid[#Data],$DE1149,18),0)</f>
        <v/>
      </c>
      <c r="V1149">
        <f>IFERROR(INDEX(PP_Grid[#Data],$DE1149,19),0)</f>
        <v/>
      </c>
      <c r="W1149">
        <f>IFERROR(INDEX(PP_Grid[#Data],$DE1149,20),0)</f>
        <v/>
      </c>
      <c r="X1149">
        <f>IFERROR(INDEX(PP_Grid[#Data],$DE1149,21),0)</f>
        <v/>
      </c>
      <c r="Y1149">
        <f>IFERROR(INDEX(PP_Grid[#Data],$DE1149,22),0)</f>
        <v/>
      </c>
      <c r="Z1149">
        <f>IFERROR(INDEX(PP_Grid[#Data],$DE1149,23),0)</f>
        <v/>
      </c>
      <c r="AA1149">
        <f>IFERROR(INDEX(PP_Grid[#Data],$DE1149,24),0)</f>
        <v/>
      </c>
      <c r="AB1149">
        <f>IFERROR(INDEX(PP_Grid[#Data],$DE1149,25),0)</f>
        <v/>
      </c>
      <c r="AC1149">
        <f>IFERROR(INDEX(PP_Grid[#Data],$DE1149,26),0)</f>
        <v/>
      </c>
      <c r="AD1149">
        <f>IFERROR(INDEX(PP_Grid[#Data],$DE1149,27),0)</f>
        <v/>
      </c>
      <c r="AE1149">
        <f>IFERROR(INDEX(PP_Grid[#Data],$DE1149,28),0)</f>
        <v/>
      </c>
      <c r="AF1149">
        <f>IFERROR(INDEX(PP_Grid[#Data],$DE1149,29),0)</f>
        <v/>
      </c>
      <c r="AG1149">
        <f>IFERROR(INDEX(PP_Grid[#Data],$DE1149,30),0)</f>
        <v/>
      </c>
      <c r="AH1149">
        <f>IFERROR(INDEX(PP_Grid[#Data],$DE1149,31),0)</f>
        <v/>
      </c>
      <c r="AI1149">
        <f>IFERROR(INDEX(PP_Grid[#Data],$DE1149,32),0)</f>
        <v/>
      </c>
      <c r="AJ1149">
        <f>IFERROR(INDEX(PP_Grid[#Data],$DE1149,33),0)</f>
        <v/>
      </c>
      <c r="AK1149">
        <f>IFERROR(INDEX(PP_Grid[#Data],$DE1149,34),0)</f>
        <v/>
      </c>
      <c r="AL1149">
        <f>IFERROR(INDEX(PP_Grid[#Data],$DE1149,35),0)</f>
        <v/>
      </c>
      <c r="AM1149">
        <f>IFERROR(INDEX(PP_Grid[#Data],$DE1149,36),0)</f>
        <v/>
      </c>
      <c r="AN1149">
        <f>IFERROR(INDEX(PP_Grid[#Data],$DE1149,37),0)</f>
        <v/>
      </c>
      <c r="AO1149">
        <f>IFERROR(INDEX(PP_Grid[#Data],$DE1149,38),0)</f>
        <v/>
      </c>
      <c r="AP1149">
        <f>IFERROR(INDEX(PP_Grid[#Data],$DE1149,39),0)</f>
        <v/>
      </c>
      <c r="AQ1149">
        <f>IFERROR(INDEX(PP_Grid[#Data],$DE1149,40),0)</f>
        <v/>
      </c>
      <c r="AR1149">
        <f>IFERROR(INDEX(PP_Grid[#Data],$DE1149,41),0)</f>
        <v/>
      </c>
      <c r="AS1149">
        <f>IFERROR(INDEX(PP_Grid[#Data],$DE1149,42),0)</f>
        <v/>
      </c>
      <c r="AT1149">
        <f>IFERROR(INDEX(PP_Grid[#Data],$DE1149,43),0)</f>
        <v/>
      </c>
      <c r="AU1149">
        <f>IFERROR(INDEX(PP_Grid[#Data],$DE1149,44),0)</f>
        <v/>
      </c>
      <c r="AV1149">
        <f>IFERROR(INDEX(PP_Grid[#Data],$DE1149,45),0)</f>
        <v/>
      </c>
      <c r="AW1149">
        <f>IFERROR(INDEX(PP_Grid[#Data],$DE1149,46),0)</f>
        <v/>
      </c>
      <c r="AX1149">
        <f>IFERROR(INDEX(PP_Grid[#Data],$DE1149,47),0)</f>
        <v/>
      </c>
      <c r="AY1149">
        <f>IFERROR(INDEX(PP_Grid[#Data],$DE1149,48),0)</f>
        <v/>
      </c>
      <c r="AZ1149">
        <f>IFERROR(INDEX(PP_Grid[#Data],$DE1149,49),0)</f>
        <v/>
      </c>
      <c r="BA1149">
        <f>IFERROR(INDEX(PP_Grid[#Data],$DE1149,50),0)</f>
        <v/>
      </c>
      <c r="BB1149">
        <f>IFERROR(INDEX(PP_Grid[#Data],$DE1149,51),0)</f>
        <v/>
      </c>
      <c r="BC1149">
        <f>IFERROR(INDEX(PP_Grid[#Data],$DE1149,52),0)</f>
        <v/>
      </c>
      <c r="BD1149">
        <f>IFERROR(INDEX(PP_Grid[#Data],$DE1149,53),0)</f>
        <v/>
      </c>
      <c r="BE1149">
        <f>IFERROR(INDEX(PP_Grid[#Data],$DE1149,54),0)</f>
        <v/>
      </c>
      <c r="BF1149">
        <f>IFERROR(INDEX(PP_Grid[#Data],$DE1149,55),0)</f>
        <v/>
      </c>
      <c r="BG1149">
        <f>IFERROR(INDEX(PP_Grid[#Data],$DE1149,56),0)</f>
        <v/>
      </c>
      <c r="BH1149">
        <f>IFERROR(INDEX(PP_Grid[#Data],$DE1149,57),0)</f>
        <v/>
      </c>
      <c r="BI1149">
        <f>IFERROR(INDEX(PP_Grid[#Data],$DE1149,58),0)</f>
        <v/>
      </c>
      <c r="BJ1149">
        <f>IFERROR(INDEX(PP_Grid[#Data],$DE1149,59),0)</f>
        <v/>
      </c>
      <c r="BK1149">
        <f>IFERROR(INDEX(PP_Grid[#Data],$DE1149,60),0)</f>
        <v/>
      </c>
      <c r="BL1149">
        <f>IFERROR(INDEX(PP_Grid[#Data],$DE1149,61),0)</f>
        <v/>
      </c>
      <c r="BM1149">
        <f>IFERROR(INDEX(PP_Grid[#Data],$DE1149,62),0)</f>
        <v/>
      </c>
      <c r="BN1149">
        <f>IFERROR(INDEX(PP_Grid[#Data],$DE1149,63),0)</f>
        <v/>
      </c>
      <c r="BO1149">
        <f>IFERROR(INDEX(PP_Grid[#Data],$DE1149,64),0)</f>
        <v/>
      </c>
      <c r="BP1149">
        <f>IFERROR(INDEX(PP_Grid[#Data],$DE1149,65),0)</f>
        <v/>
      </c>
      <c r="BQ1149">
        <f>IFERROR(INDEX(PP_Grid[#Data],$DE1149,66),0)</f>
        <v/>
      </c>
      <c r="BR1149">
        <f>IFERROR(INDEX(PP_Grid[#Data],$DE1149,67),0)</f>
        <v/>
      </c>
      <c r="BS1149">
        <f>IFERROR(INDEX(PP_Grid[#Data],$DE1149,68),0)</f>
        <v/>
      </c>
      <c r="BT1149">
        <f>IFERROR(INDEX(PP_Grid[#Data],$DE1149,69),0)</f>
        <v/>
      </c>
      <c r="BU1149">
        <f>IFERROR(INDEX(PP_Grid[#Data],$DE1149,70),0)</f>
        <v/>
      </c>
      <c r="BV1149">
        <f>IFERROR(INDEX(PP_Grid[#Data],$DE1149,71),0)</f>
        <v/>
      </c>
      <c r="BW1149">
        <f>IFERROR(INDEX(PP_Grid[#Data],$DE1149,72),0)</f>
        <v/>
      </c>
      <c r="BX1149">
        <f>IFERROR(INDEX(PP_Grid[#Data],$DE1149,73),0)</f>
        <v/>
      </c>
      <c r="BY1149">
        <f>IFERROR(INDEX(PP_Grid[#Data],$DE1149,74),0)</f>
        <v/>
      </c>
      <c r="BZ1149">
        <f>IFERROR(INDEX(PP_Grid[#Data],$DE1149,75),0)</f>
        <v/>
      </c>
      <c r="CA1149">
        <f>IFERROR(INDEX(PP_Grid[#Data],$DE1149,76),0)</f>
        <v/>
      </c>
      <c r="CB1149">
        <f>IFERROR(INDEX(PP_Grid[#Data],$DE1149,77),0)</f>
        <v/>
      </c>
      <c r="CC1149">
        <f>IFERROR(INDEX(PP_Grid[#Data],$DE1149,78),0)</f>
        <v/>
      </c>
      <c r="CD1149">
        <f>IFERROR(INDEX(PP_Grid[#Data],$DE1149,79),0)</f>
        <v/>
      </c>
      <c r="CE1149">
        <f>IFERROR(INDEX(PP_Grid[#Data],$DE1149,80),0)</f>
        <v/>
      </c>
      <c r="CF1149">
        <f>IFERROR(INDEX(PP_Grid[#Data],$DE1149,81),0)</f>
        <v/>
      </c>
      <c r="CG1149">
        <f>IFERROR(INDEX(PP_Grid[#Data],$DE1149,82),0)</f>
        <v/>
      </c>
      <c r="CH1149">
        <f>IFERROR(INDEX(PP_Grid[#Data],$DE1149,83),0)</f>
        <v/>
      </c>
      <c r="CI1149">
        <f>IFERROR(INDEX(PP_Grid[#Data],$DE1149,84),0)</f>
        <v/>
      </c>
      <c r="CJ1149">
        <f>IFERROR(INDEX(PP_Grid[#Data],$DE1149,85),0)</f>
        <v/>
      </c>
      <c r="CK1149">
        <f>IFERROR(INDEX(PP_Grid[#Data],$DE1149,86),0)</f>
        <v/>
      </c>
      <c r="CL1149">
        <f>IFERROR(INDEX(PP_Grid[#Data],$DE1149,87),0)</f>
        <v/>
      </c>
      <c r="CM1149">
        <f>IFERROR(INDEX(PP_Grid[#Data],$DE1149,88),0)</f>
        <v/>
      </c>
      <c r="CN1149">
        <f>IFERROR(INDEX(PP_Grid[#Data],$DE1149,89),0)</f>
        <v/>
      </c>
      <c r="CO1149">
        <f>IFERROR(INDEX(PP_Grid[#Data],$DE1149,90),0)</f>
        <v/>
      </c>
      <c r="CP1149">
        <f>IFERROR(INDEX(PP_Grid[#Data],$DE1149,91),0)</f>
        <v/>
      </c>
      <c r="CQ1149">
        <f>IFERROR(INDEX(PP_Grid[#Data],$DE1149,92),0)</f>
        <v/>
      </c>
      <c r="CR1149">
        <f>IFERROR(INDEX(PP_Grid[#Data],$DE1149,93),0)</f>
        <v/>
      </c>
      <c r="CS1149">
        <f>IFERROR(INDEX(PP_Grid[#Data],$DE1149,94),0)</f>
        <v/>
      </c>
      <c r="CT1149">
        <f>IFERROR(INDEX(PP_Grid[#Data],$DE1149,95),0)</f>
        <v/>
      </c>
      <c r="CU1149">
        <f>IFERROR(INDEX(PP_Grid[#Data],$DE1149,96),0)</f>
        <v/>
      </c>
      <c r="CV1149">
        <f>IFERROR(INDEX(PP_Grid[#Data],$DE1149,97),0)</f>
        <v/>
      </c>
      <c r="CW1149">
        <f>IFERROR(INDEX(PP_Grid[#Data],$DE1149,98),0)</f>
        <v/>
      </c>
      <c r="CX1149">
        <f>IFERROR(INDEX(PP_Grid[#Data],$DE1149,99),0)</f>
        <v/>
      </c>
      <c r="CY1149">
        <f>IFERROR(INDEX(PP_Grid[#Data],$DE1149,100),0)</f>
        <v/>
      </c>
      <c r="CZ1149">
        <f>IFERROR(INDEX(PP_Grid[#Data],$DE1149,101),0)</f>
        <v/>
      </c>
      <c r="DA1149">
        <f>IFERROR(INDEX(PP_Grid[#Data],$DE1149,102),0)</f>
        <v/>
      </c>
      <c r="DB1149">
        <f>IFERROR(INDEX(PP_Grid[#Data],$DE1149,103),0)</f>
        <v/>
      </c>
      <c r="DC1149">
        <f>IFERROR(INDEX(PP_Grid[#Data],$DE1149,104),0)</f>
        <v/>
      </c>
      <c r="DD1149">
        <f>IFERROR(INDEX(PP_Grid[#Data],$DE1149,105),0)</f>
        <v/>
      </c>
      <c r="DE1149" s="7">
        <f>IFERROR(MATCH($B1149,PP_Grid[Intermediate],0),99999)</f>
        <v/>
      </c>
    </row>
    <row r="1150">
      <c r="B1150" t="inlineStr">
        <is>
          <t>使用量(kg)</t>
        </is>
      </c>
      <c r="C1150">
        <f>SUMIFS(M_BOM[RM_Qty_Per_Batch],M_BOM[Intermediate],$B1149,M_BOM[RM_Code],$A1140)</f>
        <v/>
      </c>
      <c r="D1150">
        <f>IFERROR(INDEX(E1150:DD1150,$F$1),"")</f>
        <v/>
      </c>
      <c r="E1150">
        <f>$C1150*E1149</f>
        <v/>
      </c>
      <c r="F1150">
        <f>$C1150*F1149</f>
        <v/>
      </c>
      <c r="G1150">
        <f>$C1150*G1149</f>
        <v/>
      </c>
      <c r="H1150">
        <f>$C1150*H1149</f>
        <v/>
      </c>
      <c r="I1150">
        <f>$C1150*I1149</f>
        <v/>
      </c>
      <c r="J1150">
        <f>$C1150*J1149</f>
        <v/>
      </c>
      <c r="K1150">
        <f>$C1150*K1149</f>
        <v/>
      </c>
      <c r="L1150">
        <f>$C1150*L1149</f>
        <v/>
      </c>
      <c r="M1150">
        <f>$C1150*M1149</f>
        <v/>
      </c>
      <c r="N1150">
        <f>$C1150*N1149</f>
        <v/>
      </c>
      <c r="O1150">
        <f>$C1150*O1149</f>
        <v/>
      </c>
      <c r="P1150">
        <f>$C1150*P1149</f>
        <v/>
      </c>
      <c r="Q1150">
        <f>$C1150*Q1149</f>
        <v/>
      </c>
      <c r="R1150">
        <f>$C1150*R1149</f>
        <v/>
      </c>
      <c r="S1150">
        <f>$C1150*S1149</f>
        <v/>
      </c>
      <c r="T1150">
        <f>$C1150*T1149</f>
        <v/>
      </c>
      <c r="U1150">
        <f>$C1150*U1149</f>
        <v/>
      </c>
      <c r="V1150">
        <f>$C1150*V1149</f>
        <v/>
      </c>
      <c r="W1150">
        <f>$C1150*W1149</f>
        <v/>
      </c>
      <c r="X1150">
        <f>$C1150*X1149</f>
        <v/>
      </c>
      <c r="Y1150">
        <f>$C1150*Y1149</f>
        <v/>
      </c>
      <c r="Z1150">
        <f>$C1150*Z1149</f>
        <v/>
      </c>
      <c r="AA1150">
        <f>$C1150*AA1149</f>
        <v/>
      </c>
      <c r="AB1150">
        <f>$C1150*AB1149</f>
        <v/>
      </c>
      <c r="AC1150">
        <f>$C1150*AC1149</f>
        <v/>
      </c>
      <c r="AD1150">
        <f>$C1150*AD1149</f>
        <v/>
      </c>
      <c r="AE1150">
        <f>$C1150*AE1149</f>
        <v/>
      </c>
      <c r="AF1150">
        <f>$C1150*AF1149</f>
        <v/>
      </c>
      <c r="AG1150">
        <f>$C1150*AG1149</f>
        <v/>
      </c>
      <c r="AH1150">
        <f>$C1150*AH1149</f>
        <v/>
      </c>
      <c r="AI1150">
        <f>$C1150*AI1149</f>
        <v/>
      </c>
      <c r="AJ1150">
        <f>$C1150*AJ1149</f>
        <v/>
      </c>
      <c r="AK1150">
        <f>$C1150*AK1149</f>
        <v/>
      </c>
      <c r="AL1150">
        <f>$C1150*AL1149</f>
        <v/>
      </c>
      <c r="AM1150">
        <f>$C1150*AM1149</f>
        <v/>
      </c>
      <c r="AN1150">
        <f>$C1150*AN1149</f>
        <v/>
      </c>
      <c r="AO1150">
        <f>$C1150*AO1149</f>
        <v/>
      </c>
      <c r="AP1150">
        <f>$C1150*AP1149</f>
        <v/>
      </c>
      <c r="AQ1150">
        <f>$C1150*AQ1149</f>
        <v/>
      </c>
      <c r="AR1150">
        <f>$C1150*AR1149</f>
        <v/>
      </c>
      <c r="AS1150">
        <f>$C1150*AS1149</f>
        <v/>
      </c>
      <c r="AT1150">
        <f>$C1150*AT1149</f>
        <v/>
      </c>
      <c r="AU1150">
        <f>$C1150*AU1149</f>
        <v/>
      </c>
      <c r="AV1150">
        <f>$C1150*AV1149</f>
        <v/>
      </c>
      <c r="AW1150">
        <f>$C1150*AW1149</f>
        <v/>
      </c>
      <c r="AX1150">
        <f>$C1150*AX1149</f>
        <v/>
      </c>
      <c r="AY1150">
        <f>$C1150*AY1149</f>
        <v/>
      </c>
      <c r="AZ1150">
        <f>$C1150*AZ1149</f>
        <v/>
      </c>
      <c r="BA1150">
        <f>$C1150*BA1149</f>
        <v/>
      </c>
      <c r="BB1150">
        <f>$C1150*BB1149</f>
        <v/>
      </c>
      <c r="BC1150">
        <f>$C1150*BC1149</f>
        <v/>
      </c>
      <c r="BD1150">
        <f>$C1150*BD1149</f>
        <v/>
      </c>
      <c r="BE1150">
        <f>$C1150*BE1149</f>
        <v/>
      </c>
      <c r="BF1150">
        <f>$C1150*BF1149</f>
        <v/>
      </c>
      <c r="BG1150">
        <f>$C1150*BG1149</f>
        <v/>
      </c>
      <c r="BH1150">
        <f>$C1150*BH1149</f>
        <v/>
      </c>
      <c r="BI1150">
        <f>$C1150*BI1149</f>
        <v/>
      </c>
      <c r="BJ1150">
        <f>$C1150*BJ1149</f>
        <v/>
      </c>
      <c r="BK1150">
        <f>$C1150*BK1149</f>
        <v/>
      </c>
      <c r="BL1150">
        <f>$C1150*BL1149</f>
        <v/>
      </c>
      <c r="BM1150">
        <f>$C1150*BM1149</f>
        <v/>
      </c>
      <c r="BN1150">
        <f>$C1150*BN1149</f>
        <v/>
      </c>
      <c r="BO1150">
        <f>$C1150*BO1149</f>
        <v/>
      </c>
      <c r="BP1150">
        <f>$C1150*BP1149</f>
        <v/>
      </c>
      <c r="BQ1150">
        <f>$C1150*BQ1149</f>
        <v/>
      </c>
      <c r="BR1150">
        <f>$C1150*BR1149</f>
        <v/>
      </c>
      <c r="BS1150">
        <f>$C1150*BS1149</f>
        <v/>
      </c>
      <c r="BT1150">
        <f>$C1150*BT1149</f>
        <v/>
      </c>
      <c r="BU1150">
        <f>$C1150*BU1149</f>
        <v/>
      </c>
      <c r="BV1150">
        <f>$C1150*BV1149</f>
        <v/>
      </c>
      <c r="BW1150">
        <f>$C1150*BW1149</f>
        <v/>
      </c>
      <c r="BX1150">
        <f>$C1150*BX1149</f>
        <v/>
      </c>
      <c r="BY1150">
        <f>$C1150*BY1149</f>
        <v/>
      </c>
      <c r="BZ1150">
        <f>$C1150*BZ1149</f>
        <v/>
      </c>
      <c r="CA1150">
        <f>$C1150*CA1149</f>
        <v/>
      </c>
      <c r="CB1150">
        <f>$C1150*CB1149</f>
        <v/>
      </c>
      <c r="CC1150">
        <f>$C1150*CC1149</f>
        <v/>
      </c>
      <c r="CD1150">
        <f>$C1150*CD1149</f>
        <v/>
      </c>
      <c r="CE1150">
        <f>$C1150*CE1149</f>
        <v/>
      </c>
      <c r="CF1150">
        <f>$C1150*CF1149</f>
        <v/>
      </c>
      <c r="CG1150">
        <f>$C1150*CG1149</f>
        <v/>
      </c>
      <c r="CH1150">
        <f>$C1150*CH1149</f>
        <v/>
      </c>
      <c r="CI1150">
        <f>$C1150*CI1149</f>
        <v/>
      </c>
      <c r="CJ1150">
        <f>$C1150*CJ1149</f>
        <v/>
      </c>
      <c r="CK1150">
        <f>$C1150*CK1149</f>
        <v/>
      </c>
      <c r="CL1150">
        <f>$C1150*CL1149</f>
        <v/>
      </c>
      <c r="CM1150">
        <f>$C1150*CM1149</f>
        <v/>
      </c>
      <c r="CN1150">
        <f>$C1150*CN1149</f>
        <v/>
      </c>
      <c r="CO1150">
        <f>$C1150*CO1149</f>
        <v/>
      </c>
      <c r="CP1150">
        <f>$C1150*CP1149</f>
        <v/>
      </c>
      <c r="CQ1150">
        <f>$C1150*CQ1149</f>
        <v/>
      </c>
      <c r="CR1150">
        <f>$C1150*CR1149</f>
        <v/>
      </c>
      <c r="CS1150">
        <f>$C1150*CS1149</f>
        <v/>
      </c>
      <c r="CT1150">
        <f>$C1150*CT1149</f>
        <v/>
      </c>
      <c r="CU1150">
        <f>$C1150*CU1149</f>
        <v/>
      </c>
      <c r="CV1150">
        <f>$C1150*CV1149</f>
        <v/>
      </c>
      <c r="CW1150">
        <f>$C1150*CW1149</f>
        <v/>
      </c>
      <c r="CX1150">
        <f>$C1150*CX1149</f>
        <v/>
      </c>
      <c r="CY1150">
        <f>$C1150*CY1149</f>
        <v/>
      </c>
      <c r="CZ1150">
        <f>$C1150*CZ1149</f>
        <v/>
      </c>
      <c r="DA1150">
        <f>$C1150*DA1149</f>
        <v/>
      </c>
      <c r="DB1150">
        <f>$C1150*DB1149</f>
        <v/>
      </c>
      <c r="DC1150">
        <f>$C1150*DC1149</f>
        <v/>
      </c>
      <c r="DD1150">
        <f>$C1150*DD1149</f>
        <v/>
      </c>
    </row>
    <row r="1151">
      <c r="B1151" t="inlineStr">
        <is>
          <t>TSP-699</t>
        </is>
      </c>
      <c r="C1151" t="inlineStr">
        <is>
          <t>No. of batches</t>
        </is>
      </c>
      <c r="D1151">
        <f>IFERROR(INDEX(E1151:DD1151,$F$1),"")</f>
        <v/>
      </c>
      <c r="E1151">
        <f>IFERROR(INDEX(PP_Grid[#Data],$DE1151,2),0)</f>
        <v/>
      </c>
      <c r="F1151">
        <f>IFERROR(INDEX(PP_Grid[#Data],$DE1151,3),0)</f>
        <v/>
      </c>
      <c r="G1151">
        <f>IFERROR(INDEX(PP_Grid[#Data],$DE1151,4),0)</f>
        <v/>
      </c>
      <c r="H1151">
        <f>IFERROR(INDEX(PP_Grid[#Data],$DE1151,5),0)</f>
        <v/>
      </c>
      <c r="I1151">
        <f>IFERROR(INDEX(PP_Grid[#Data],$DE1151,6),0)</f>
        <v/>
      </c>
      <c r="J1151">
        <f>IFERROR(INDEX(PP_Grid[#Data],$DE1151,7),0)</f>
        <v/>
      </c>
      <c r="K1151">
        <f>IFERROR(INDEX(PP_Grid[#Data],$DE1151,8),0)</f>
        <v/>
      </c>
      <c r="L1151">
        <f>IFERROR(INDEX(PP_Grid[#Data],$DE1151,9),0)</f>
        <v/>
      </c>
      <c r="M1151">
        <f>IFERROR(INDEX(PP_Grid[#Data],$DE1151,10),0)</f>
        <v/>
      </c>
      <c r="N1151">
        <f>IFERROR(INDEX(PP_Grid[#Data],$DE1151,11),0)</f>
        <v/>
      </c>
      <c r="O1151">
        <f>IFERROR(INDEX(PP_Grid[#Data],$DE1151,12),0)</f>
        <v/>
      </c>
      <c r="P1151">
        <f>IFERROR(INDEX(PP_Grid[#Data],$DE1151,13),0)</f>
        <v/>
      </c>
      <c r="Q1151">
        <f>IFERROR(INDEX(PP_Grid[#Data],$DE1151,14),0)</f>
        <v/>
      </c>
      <c r="R1151">
        <f>IFERROR(INDEX(PP_Grid[#Data],$DE1151,15),0)</f>
        <v/>
      </c>
      <c r="S1151">
        <f>IFERROR(INDEX(PP_Grid[#Data],$DE1151,16),0)</f>
        <v/>
      </c>
      <c r="T1151">
        <f>IFERROR(INDEX(PP_Grid[#Data],$DE1151,17),0)</f>
        <v/>
      </c>
      <c r="U1151">
        <f>IFERROR(INDEX(PP_Grid[#Data],$DE1151,18),0)</f>
        <v/>
      </c>
      <c r="V1151">
        <f>IFERROR(INDEX(PP_Grid[#Data],$DE1151,19),0)</f>
        <v/>
      </c>
      <c r="W1151">
        <f>IFERROR(INDEX(PP_Grid[#Data],$DE1151,20),0)</f>
        <v/>
      </c>
      <c r="X1151">
        <f>IFERROR(INDEX(PP_Grid[#Data],$DE1151,21),0)</f>
        <v/>
      </c>
      <c r="Y1151">
        <f>IFERROR(INDEX(PP_Grid[#Data],$DE1151,22),0)</f>
        <v/>
      </c>
      <c r="Z1151">
        <f>IFERROR(INDEX(PP_Grid[#Data],$DE1151,23),0)</f>
        <v/>
      </c>
      <c r="AA1151">
        <f>IFERROR(INDEX(PP_Grid[#Data],$DE1151,24),0)</f>
        <v/>
      </c>
      <c r="AB1151">
        <f>IFERROR(INDEX(PP_Grid[#Data],$DE1151,25),0)</f>
        <v/>
      </c>
      <c r="AC1151">
        <f>IFERROR(INDEX(PP_Grid[#Data],$DE1151,26),0)</f>
        <v/>
      </c>
      <c r="AD1151">
        <f>IFERROR(INDEX(PP_Grid[#Data],$DE1151,27),0)</f>
        <v/>
      </c>
      <c r="AE1151">
        <f>IFERROR(INDEX(PP_Grid[#Data],$DE1151,28),0)</f>
        <v/>
      </c>
      <c r="AF1151">
        <f>IFERROR(INDEX(PP_Grid[#Data],$DE1151,29),0)</f>
        <v/>
      </c>
      <c r="AG1151">
        <f>IFERROR(INDEX(PP_Grid[#Data],$DE1151,30),0)</f>
        <v/>
      </c>
      <c r="AH1151">
        <f>IFERROR(INDEX(PP_Grid[#Data],$DE1151,31),0)</f>
        <v/>
      </c>
      <c r="AI1151">
        <f>IFERROR(INDEX(PP_Grid[#Data],$DE1151,32),0)</f>
        <v/>
      </c>
      <c r="AJ1151">
        <f>IFERROR(INDEX(PP_Grid[#Data],$DE1151,33),0)</f>
        <v/>
      </c>
      <c r="AK1151">
        <f>IFERROR(INDEX(PP_Grid[#Data],$DE1151,34),0)</f>
        <v/>
      </c>
      <c r="AL1151">
        <f>IFERROR(INDEX(PP_Grid[#Data],$DE1151,35),0)</f>
        <v/>
      </c>
      <c r="AM1151">
        <f>IFERROR(INDEX(PP_Grid[#Data],$DE1151,36),0)</f>
        <v/>
      </c>
      <c r="AN1151">
        <f>IFERROR(INDEX(PP_Grid[#Data],$DE1151,37),0)</f>
        <v/>
      </c>
      <c r="AO1151">
        <f>IFERROR(INDEX(PP_Grid[#Data],$DE1151,38),0)</f>
        <v/>
      </c>
      <c r="AP1151">
        <f>IFERROR(INDEX(PP_Grid[#Data],$DE1151,39),0)</f>
        <v/>
      </c>
      <c r="AQ1151">
        <f>IFERROR(INDEX(PP_Grid[#Data],$DE1151,40),0)</f>
        <v/>
      </c>
      <c r="AR1151">
        <f>IFERROR(INDEX(PP_Grid[#Data],$DE1151,41),0)</f>
        <v/>
      </c>
      <c r="AS1151">
        <f>IFERROR(INDEX(PP_Grid[#Data],$DE1151,42),0)</f>
        <v/>
      </c>
      <c r="AT1151">
        <f>IFERROR(INDEX(PP_Grid[#Data],$DE1151,43),0)</f>
        <v/>
      </c>
      <c r="AU1151">
        <f>IFERROR(INDEX(PP_Grid[#Data],$DE1151,44),0)</f>
        <v/>
      </c>
      <c r="AV1151">
        <f>IFERROR(INDEX(PP_Grid[#Data],$DE1151,45),0)</f>
        <v/>
      </c>
      <c r="AW1151">
        <f>IFERROR(INDEX(PP_Grid[#Data],$DE1151,46),0)</f>
        <v/>
      </c>
      <c r="AX1151">
        <f>IFERROR(INDEX(PP_Grid[#Data],$DE1151,47),0)</f>
        <v/>
      </c>
      <c r="AY1151">
        <f>IFERROR(INDEX(PP_Grid[#Data],$DE1151,48),0)</f>
        <v/>
      </c>
      <c r="AZ1151">
        <f>IFERROR(INDEX(PP_Grid[#Data],$DE1151,49),0)</f>
        <v/>
      </c>
      <c r="BA1151">
        <f>IFERROR(INDEX(PP_Grid[#Data],$DE1151,50),0)</f>
        <v/>
      </c>
      <c r="BB1151">
        <f>IFERROR(INDEX(PP_Grid[#Data],$DE1151,51),0)</f>
        <v/>
      </c>
      <c r="BC1151">
        <f>IFERROR(INDEX(PP_Grid[#Data],$DE1151,52),0)</f>
        <v/>
      </c>
      <c r="BD1151">
        <f>IFERROR(INDEX(PP_Grid[#Data],$DE1151,53),0)</f>
        <v/>
      </c>
      <c r="BE1151">
        <f>IFERROR(INDEX(PP_Grid[#Data],$DE1151,54),0)</f>
        <v/>
      </c>
      <c r="BF1151">
        <f>IFERROR(INDEX(PP_Grid[#Data],$DE1151,55),0)</f>
        <v/>
      </c>
      <c r="BG1151">
        <f>IFERROR(INDEX(PP_Grid[#Data],$DE1151,56),0)</f>
        <v/>
      </c>
      <c r="BH1151">
        <f>IFERROR(INDEX(PP_Grid[#Data],$DE1151,57),0)</f>
        <v/>
      </c>
      <c r="BI1151">
        <f>IFERROR(INDEX(PP_Grid[#Data],$DE1151,58),0)</f>
        <v/>
      </c>
      <c r="BJ1151">
        <f>IFERROR(INDEX(PP_Grid[#Data],$DE1151,59),0)</f>
        <v/>
      </c>
      <c r="BK1151">
        <f>IFERROR(INDEX(PP_Grid[#Data],$DE1151,60),0)</f>
        <v/>
      </c>
      <c r="BL1151">
        <f>IFERROR(INDEX(PP_Grid[#Data],$DE1151,61),0)</f>
        <v/>
      </c>
      <c r="BM1151">
        <f>IFERROR(INDEX(PP_Grid[#Data],$DE1151,62),0)</f>
        <v/>
      </c>
      <c r="BN1151">
        <f>IFERROR(INDEX(PP_Grid[#Data],$DE1151,63),0)</f>
        <v/>
      </c>
      <c r="BO1151">
        <f>IFERROR(INDEX(PP_Grid[#Data],$DE1151,64),0)</f>
        <v/>
      </c>
      <c r="BP1151">
        <f>IFERROR(INDEX(PP_Grid[#Data],$DE1151,65),0)</f>
        <v/>
      </c>
      <c r="BQ1151">
        <f>IFERROR(INDEX(PP_Grid[#Data],$DE1151,66),0)</f>
        <v/>
      </c>
      <c r="BR1151">
        <f>IFERROR(INDEX(PP_Grid[#Data],$DE1151,67),0)</f>
        <v/>
      </c>
      <c r="BS1151">
        <f>IFERROR(INDEX(PP_Grid[#Data],$DE1151,68),0)</f>
        <v/>
      </c>
      <c r="BT1151">
        <f>IFERROR(INDEX(PP_Grid[#Data],$DE1151,69),0)</f>
        <v/>
      </c>
      <c r="BU1151">
        <f>IFERROR(INDEX(PP_Grid[#Data],$DE1151,70),0)</f>
        <v/>
      </c>
      <c r="BV1151">
        <f>IFERROR(INDEX(PP_Grid[#Data],$DE1151,71),0)</f>
        <v/>
      </c>
      <c r="BW1151">
        <f>IFERROR(INDEX(PP_Grid[#Data],$DE1151,72),0)</f>
        <v/>
      </c>
      <c r="BX1151">
        <f>IFERROR(INDEX(PP_Grid[#Data],$DE1151,73),0)</f>
        <v/>
      </c>
      <c r="BY1151">
        <f>IFERROR(INDEX(PP_Grid[#Data],$DE1151,74),0)</f>
        <v/>
      </c>
      <c r="BZ1151">
        <f>IFERROR(INDEX(PP_Grid[#Data],$DE1151,75),0)</f>
        <v/>
      </c>
      <c r="CA1151">
        <f>IFERROR(INDEX(PP_Grid[#Data],$DE1151,76),0)</f>
        <v/>
      </c>
      <c r="CB1151">
        <f>IFERROR(INDEX(PP_Grid[#Data],$DE1151,77),0)</f>
        <v/>
      </c>
      <c r="CC1151">
        <f>IFERROR(INDEX(PP_Grid[#Data],$DE1151,78),0)</f>
        <v/>
      </c>
      <c r="CD1151">
        <f>IFERROR(INDEX(PP_Grid[#Data],$DE1151,79),0)</f>
        <v/>
      </c>
      <c r="CE1151">
        <f>IFERROR(INDEX(PP_Grid[#Data],$DE1151,80),0)</f>
        <v/>
      </c>
      <c r="CF1151">
        <f>IFERROR(INDEX(PP_Grid[#Data],$DE1151,81),0)</f>
        <v/>
      </c>
      <c r="CG1151">
        <f>IFERROR(INDEX(PP_Grid[#Data],$DE1151,82),0)</f>
        <v/>
      </c>
      <c r="CH1151">
        <f>IFERROR(INDEX(PP_Grid[#Data],$DE1151,83),0)</f>
        <v/>
      </c>
      <c r="CI1151">
        <f>IFERROR(INDEX(PP_Grid[#Data],$DE1151,84),0)</f>
        <v/>
      </c>
      <c r="CJ1151">
        <f>IFERROR(INDEX(PP_Grid[#Data],$DE1151,85),0)</f>
        <v/>
      </c>
      <c r="CK1151">
        <f>IFERROR(INDEX(PP_Grid[#Data],$DE1151,86),0)</f>
        <v/>
      </c>
      <c r="CL1151">
        <f>IFERROR(INDEX(PP_Grid[#Data],$DE1151,87),0)</f>
        <v/>
      </c>
      <c r="CM1151">
        <f>IFERROR(INDEX(PP_Grid[#Data],$DE1151,88),0)</f>
        <v/>
      </c>
      <c r="CN1151">
        <f>IFERROR(INDEX(PP_Grid[#Data],$DE1151,89),0)</f>
        <v/>
      </c>
      <c r="CO1151">
        <f>IFERROR(INDEX(PP_Grid[#Data],$DE1151,90),0)</f>
        <v/>
      </c>
      <c r="CP1151">
        <f>IFERROR(INDEX(PP_Grid[#Data],$DE1151,91),0)</f>
        <v/>
      </c>
      <c r="CQ1151">
        <f>IFERROR(INDEX(PP_Grid[#Data],$DE1151,92),0)</f>
        <v/>
      </c>
      <c r="CR1151">
        <f>IFERROR(INDEX(PP_Grid[#Data],$DE1151,93),0)</f>
        <v/>
      </c>
      <c r="CS1151">
        <f>IFERROR(INDEX(PP_Grid[#Data],$DE1151,94),0)</f>
        <v/>
      </c>
      <c r="CT1151">
        <f>IFERROR(INDEX(PP_Grid[#Data],$DE1151,95),0)</f>
        <v/>
      </c>
      <c r="CU1151">
        <f>IFERROR(INDEX(PP_Grid[#Data],$DE1151,96),0)</f>
        <v/>
      </c>
      <c r="CV1151">
        <f>IFERROR(INDEX(PP_Grid[#Data],$DE1151,97),0)</f>
        <v/>
      </c>
      <c r="CW1151">
        <f>IFERROR(INDEX(PP_Grid[#Data],$DE1151,98),0)</f>
        <v/>
      </c>
      <c r="CX1151">
        <f>IFERROR(INDEX(PP_Grid[#Data],$DE1151,99),0)</f>
        <v/>
      </c>
      <c r="CY1151">
        <f>IFERROR(INDEX(PP_Grid[#Data],$DE1151,100),0)</f>
        <v/>
      </c>
      <c r="CZ1151">
        <f>IFERROR(INDEX(PP_Grid[#Data],$DE1151,101),0)</f>
        <v/>
      </c>
      <c r="DA1151">
        <f>IFERROR(INDEX(PP_Grid[#Data],$DE1151,102),0)</f>
        <v/>
      </c>
      <c r="DB1151">
        <f>IFERROR(INDEX(PP_Grid[#Data],$DE1151,103),0)</f>
        <v/>
      </c>
      <c r="DC1151">
        <f>IFERROR(INDEX(PP_Grid[#Data],$DE1151,104),0)</f>
        <v/>
      </c>
      <c r="DD1151">
        <f>IFERROR(INDEX(PP_Grid[#Data],$DE1151,105),0)</f>
        <v/>
      </c>
      <c r="DE1151" s="7">
        <f>IFERROR(MATCH($B1151,PP_Grid[Intermediate],0),99999)</f>
        <v/>
      </c>
    </row>
    <row r="1152">
      <c r="B1152" t="inlineStr">
        <is>
          <t>使用量(kg)</t>
        </is>
      </c>
      <c r="C1152">
        <f>SUMIFS(M_BOM[RM_Qty_Per_Batch],M_BOM[Intermediate],$B1151,M_BOM[RM_Code],$A1140)</f>
        <v/>
      </c>
      <c r="D1152">
        <f>IFERROR(INDEX(E1152:DD1152,$F$1),"")</f>
        <v/>
      </c>
      <c r="E1152">
        <f>$C1152*E1151</f>
        <v/>
      </c>
      <c r="F1152">
        <f>$C1152*F1151</f>
        <v/>
      </c>
      <c r="G1152">
        <f>$C1152*G1151</f>
        <v/>
      </c>
      <c r="H1152">
        <f>$C1152*H1151</f>
        <v/>
      </c>
      <c r="I1152">
        <f>$C1152*I1151</f>
        <v/>
      </c>
      <c r="J1152">
        <f>$C1152*J1151</f>
        <v/>
      </c>
      <c r="K1152">
        <f>$C1152*K1151</f>
        <v/>
      </c>
      <c r="L1152">
        <f>$C1152*L1151</f>
        <v/>
      </c>
      <c r="M1152">
        <f>$C1152*M1151</f>
        <v/>
      </c>
      <c r="N1152">
        <f>$C1152*N1151</f>
        <v/>
      </c>
      <c r="O1152">
        <f>$C1152*O1151</f>
        <v/>
      </c>
      <c r="P1152">
        <f>$C1152*P1151</f>
        <v/>
      </c>
      <c r="Q1152">
        <f>$C1152*Q1151</f>
        <v/>
      </c>
      <c r="R1152">
        <f>$C1152*R1151</f>
        <v/>
      </c>
      <c r="S1152">
        <f>$C1152*S1151</f>
        <v/>
      </c>
      <c r="T1152">
        <f>$C1152*T1151</f>
        <v/>
      </c>
      <c r="U1152">
        <f>$C1152*U1151</f>
        <v/>
      </c>
      <c r="V1152">
        <f>$C1152*V1151</f>
        <v/>
      </c>
      <c r="W1152">
        <f>$C1152*W1151</f>
        <v/>
      </c>
      <c r="X1152">
        <f>$C1152*X1151</f>
        <v/>
      </c>
      <c r="Y1152">
        <f>$C1152*Y1151</f>
        <v/>
      </c>
      <c r="Z1152">
        <f>$C1152*Z1151</f>
        <v/>
      </c>
      <c r="AA1152">
        <f>$C1152*AA1151</f>
        <v/>
      </c>
      <c r="AB1152">
        <f>$C1152*AB1151</f>
        <v/>
      </c>
      <c r="AC1152">
        <f>$C1152*AC1151</f>
        <v/>
      </c>
      <c r="AD1152">
        <f>$C1152*AD1151</f>
        <v/>
      </c>
      <c r="AE1152">
        <f>$C1152*AE1151</f>
        <v/>
      </c>
      <c r="AF1152">
        <f>$C1152*AF1151</f>
        <v/>
      </c>
      <c r="AG1152">
        <f>$C1152*AG1151</f>
        <v/>
      </c>
      <c r="AH1152">
        <f>$C1152*AH1151</f>
        <v/>
      </c>
      <c r="AI1152">
        <f>$C1152*AI1151</f>
        <v/>
      </c>
      <c r="AJ1152">
        <f>$C1152*AJ1151</f>
        <v/>
      </c>
      <c r="AK1152">
        <f>$C1152*AK1151</f>
        <v/>
      </c>
      <c r="AL1152">
        <f>$C1152*AL1151</f>
        <v/>
      </c>
      <c r="AM1152">
        <f>$C1152*AM1151</f>
        <v/>
      </c>
      <c r="AN1152">
        <f>$C1152*AN1151</f>
        <v/>
      </c>
      <c r="AO1152">
        <f>$C1152*AO1151</f>
        <v/>
      </c>
      <c r="AP1152">
        <f>$C1152*AP1151</f>
        <v/>
      </c>
      <c r="AQ1152">
        <f>$C1152*AQ1151</f>
        <v/>
      </c>
      <c r="AR1152">
        <f>$C1152*AR1151</f>
        <v/>
      </c>
      <c r="AS1152">
        <f>$C1152*AS1151</f>
        <v/>
      </c>
      <c r="AT1152">
        <f>$C1152*AT1151</f>
        <v/>
      </c>
      <c r="AU1152">
        <f>$C1152*AU1151</f>
        <v/>
      </c>
      <c r="AV1152">
        <f>$C1152*AV1151</f>
        <v/>
      </c>
      <c r="AW1152">
        <f>$C1152*AW1151</f>
        <v/>
      </c>
      <c r="AX1152">
        <f>$C1152*AX1151</f>
        <v/>
      </c>
      <c r="AY1152">
        <f>$C1152*AY1151</f>
        <v/>
      </c>
      <c r="AZ1152">
        <f>$C1152*AZ1151</f>
        <v/>
      </c>
      <c r="BA1152">
        <f>$C1152*BA1151</f>
        <v/>
      </c>
      <c r="BB1152">
        <f>$C1152*BB1151</f>
        <v/>
      </c>
      <c r="BC1152">
        <f>$C1152*BC1151</f>
        <v/>
      </c>
      <c r="BD1152">
        <f>$C1152*BD1151</f>
        <v/>
      </c>
      <c r="BE1152">
        <f>$C1152*BE1151</f>
        <v/>
      </c>
      <c r="BF1152">
        <f>$C1152*BF1151</f>
        <v/>
      </c>
      <c r="BG1152">
        <f>$C1152*BG1151</f>
        <v/>
      </c>
      <c r="BH1152">
        <f>$C1152*BH1151</f>
        <v/>
      </c>
      <c r="BI1152">
        <f>$C1152*BI1151</f>
        <v/>
      </c>
      <c r="BJ1152">
        <f>$C1152*BJ1151</f>
        <v/>
      </c>
      <c r="BK1152">
        <f>$C1152*BK1151</f>
        <v/>
      </c>
      <c r="BL1152">
        <f>$C1152*BL1151</f>
        <v/>
      </c>
      <c r="BM1152">
        <f>$C1152*BM1151</f>
        <v/>
      </c>
      <c r="BN1152">
        <f>$C1152*BN1151</f>
        <v/>
      </c>
      <c r="BO1152">
        <f>$C1152*BO1151</f>
        <v/>
      </c>
      <c r="BP1152">
        <f>$C1152*BP1151</f>
        <v/>
      </c>
      <c r="BQ1152">
        <f>$C1152*BQ1151</f>
        <v/>
      </c>
      <c r="BR1152">
        <f>$C1152*BR1151</f>
        <v/>
      </c>
      <c r="BS1152">
        <f>$C1152*BS1151</f>
        <v/>
      </c>
      <c r="BT1152">
        <f>$C1152*BT1151</f>
        <v/>
      </c>
      <c r="BU1152">
        <f>$C1152*BU1151</f>
        <v/>
      </c>
      <c r="BV1152">
        <f>$C1152*BV1151</f>
        <v/>
      </c>
      <c r="BW1152">
        <f>$C1152*BW1151</f>
        <v/>
      </c>
      <c r="BX1152">
        <f>$C1152*BX1151</f>
        <v/>
      </c>
      <c r="BY1152">
        <f>$C1152*BY1151</f>
        <v/>
      </c>
      <c r="BZ1152">
        <f>$C1152*BZ1151</f>
        <v/>
      </c>
      <c r="CA1152">
        <f>$C1152*CA1151</f>
        <v/>
      </c>
      <c r="CB1152">
        <f>$C1152*CB1151</f>
        <v/>
      </c>
      <c r="CC1152">
        <f>$C1152*CC1151</f>
        <v/>
      </c>
      <c r="CD1152">
        <f>$C1152*CD1151</f>
        <v/>
      </c>
      <c r="CE1152">
        <f>$C1152*CE1151</f>
        <v/>
      </c>
      <c r="CF1152">
        <f>$C1152*CF1151</f>
        <v/>
      </c>
      <c r="CG1152">
        <f>$C1152*CG1151</f>
        <v/>
      </c>
      <c r="CH1152">
        <f>$C1152*CH1151</f>
        <v/>
      </c>
      <c r="CI1152">
        <f>$C1152*CI1151</f>
        <v/>
      </c>
      <c r="CJ1152">
        <f>$C1152*CJ1151</f>
        <v/>
      </c>
      <c r="CK1152">
        <f>$C1152*CK1151</f>
        <v/>
      </c>
      <c r="CL1152">
        <f>$C1152*CL1151</f>
        <v/>
      </c>
      <c r="CM1152">
        <f>$C1152*CM1151</f>
        <v/>
      </c>
      <c r="CN1152">
        <f>$C1152*CN1151</f>
        <v/>
      </c>
      <c r="CO1152">
        <f>$C1152*CO1151</f>
        <v/>
      </c>
      <c r="CP1152">
        <f>$C1152*CP1151</f>
        <v/>
      </c>
      <c r="CQ1152">
        <f>$C1152*CQ1151</f>
        <v/>
      </c>
      <c r="CR1152">
        <f>$C1152*CR1151</f>
        <v/>
      </c>
      <c r="CS1152">
        <f>$C1152*CS1151</f>
        <v/>
      </c>
      <c r="CT1152">
        <f>$C1152*CT1151</f>
        <v/>
      </c>
      <c r="CU1152">
        <f>$C1152*CU1151</f>
        <v/>
      </c>
      <c r="CV1152">
        <f>$C1152*CV1151</f>
        <v/>
      </c>
      <c r="CW1152">
        <f>$C1152*CW1151</f>
        <v/>
      </c>
      <c r="CX1152">
        <f>$C1152*CX1151</f>
        <v/>
      </c>
      <c r="CY1152">
        <f>$C1152*CY1151</f>
        <v/>
      </c>
      <c r="CZ1152">
        <f>$C1152*CZ1151</f>
        <v/>
      </c>
      <c r="DA1152">
        <f>$C1152*DA1151</f>
        <v/>
      </c>
      <c r="DB1152">
        <f>$C1152*DB1151</f>
        <v/>
      </c>
      <c r="DC1152">
        <f>$C1152*DC1151</f>
        <v/>
      </c>
      <c r="DD1152">
        <f>$C1152*DD1151</f>
        <v/>
      </c>
    </row>
    <row r="1153">
      <c r="B1153" t="inlineStr">
        <is>
          <t>TSP-828</t>
        </is>
      </c>
      <c r="C1153" t="inlineStr">
        <is>
          <t>No. of batches</t>
        </is>
      </c>
      <c r="D1153">
        <f>IFERROR(INDEX(E1153:DD1153,$F$1),"")</f>
        <v/>
      </c>
      <c r="E1153">
        <f>IFERROR(INDEX(PP_Grid[#Data],$DE1153,2),0)</f>
        <v/>
      </c>
      <c r="F1153">
        <f>IFERROR(INDEX(PP_Grid[#Data],$DE1153,3),0)</f>
        <v/>
      </c>
      <c r="G1153">
        <f>IFERROR(INDEX(PP_Grid[#Data],$DE1153,4),0)</f>
        <v/>
      </c>
      <c r="H1153">
        <f>IFERROR(INDEX(PP_Grid[#Data],$DE1153,5),0)</f>
        <v/>
      </c>
      <c r="I1153">
        <f>IFERROR(INDEX(PP_Grid[#Data],$DE1153,6),0)</f>
        <v/>
      </c>
      <c r="J1153">
        <f>IFERROR(INDEX(PP_Grid[#Data],$DE1153,7),0)</f>
        <v/>
      </c>
      <c r="K1153">
        <f>IFERROR(INDEX(PP_Grid[#Data],$DE1153,8),0)</f>
        <v/>
      </c>
      <c r="L1153">
        <f>IFERROR(INDEX(PP_Grid[#Data],$DE1153,9),0)</f>
        <v/>
      </c>
      <c r="M1153">
        <f>IFERROR(INDEX(PP_Grid[#Data],$DE1153,10),0)</f>
        <v/>
      </c>
      <c r="N1153">
        <f>IFERROR(INDEX(PP_Grid[#Data],$DE1153,11),0)</f>
        <v/>
      </c>
      <c r="O1153">
        <f>IFERROR(INDEX(PP_Grid[#Data],$DE1153,12),0)</f>
        <v/>
      </c>
      <c r="P1153">
        <f>IFERROR(INDEX(PP_Grid[#Data],$DE1153,13),0)</f>
        <v/>
      </c>
      <c r="Q1153">
        <f>IFERROR(INDEX(PP_Grid[#Data],$DE1153,14),0)</f>
        <v/>
      </c>
      <c r="R1153">
        <f>IFERROR(INDEX(PP_Grid[#Data],$DE1153,15),0)</f>
        <v/>
      </c>
      <c r="S1153">
        <f>IFERROR(INDEX(PP_Grid[#Data],$DE1153,16),0)</f>
        <v/>
      </c>
      <c r="T1153">
        <f>IFERROR(INDEX(PP_Grid[#Data],$DE1153,17),0)</f>
        <v/>
      </c>
      <c r="U1153">
        <f>IFERROR(INDEX(PP_Grid[#Data],$DE1153,18),0)</f>
        <v/>
      </c>
      <c r="V1153">
        <f>IFERROR(INDEX(PP_Grid[#Data],$DE1153,19),0)</f>
        <v/>
      </c>
      <c r="W1153">
        <f>IFERROR(INDEX(PP_Grid[#Data],$DE1153,20),0)</f>
        <v/>
      </c>
      <c r="X1153">
        <f>IFERROR(INDEX(PP_Grid[#Data],$DE1153,21),0)</f>
        <v/>
      </c>
      <c r="Y1153">
        <f>IFERROR(INDEX(PP_Grid[#Data],$DE1153,22),0)</f>
        <v/>
      </c>
      <c r="Z1153">
        <f>IFERROR(INDEX(PP_Grid[#Data],$DE1153,23),0)</f>
        <v/>
      </c>
      <c r="AA1153">
        <f>IFERROR(INDEX(PP_Grid[#Data],$DE1153,24),0)</f>
        <v/>
      </c>
      <c r="AB1153">
        <f>IFERROR(INDEX(PP_Grid[#Data],$DE1153,25),0)</f>
        <v/>
      </c>
      <c r="AC1153">
        <f>IFERROR(INDEX(PP_Grid[#Data],$DE1153,26),0)</f>
        <v/>
      </c>
      <c r="AD1153">
        <f>IFERROR(INDEX(PP_Grid[#Data],$DE1153,27),0)</f>
        <v/>
      </c>
      <c r="AE1153">
        <f>IFERROR(INDEX(PP_Grid[#Data],$DE1153,28),0)</f>
        <v/>
      </c>
      <c r="AF1153">
        <f>IFERROR(INDEX(PP_Grid[#Data],$DE1153,29),0)</f>
        <v/>
      </c>
      <c r="AG1153">
        <f>IFERROR(INDEX(PP_Grid[#Data],$DE1153,30),0)</f>
        <v/>
      </c>
      <c r="AH1153">
        <f>IFERROR(INDEX(PP_Grid[#Data],$DE1153,31),0)</f>
        <v/>
      </c>
      <c r="AI1153">
        <f>IFERROR(INDEX(PP_Grid[#Data],$DE1153,32),0)</f>
        <v/>
      </c>
      <c r="AJ1153">
        <f>IFERROR(INDEX(PP_Grid[#Data],$DE1153,33),0)</f>
        <v/>
      </c>
      <c r="AK1153">
        <f>IFERROR(INDEX(PP_Grid[#Data],$DE1153,34),0)</f>
        <v/>
      </c>
      <c r="AL1153">
        <f>IFERROR(INDEX(PP_Grid[#Data],$DE1153,35),0)</f>
        <v/>
      </c>
      <c r="AM1153">
        <f>IFERROR(INDEX(PP_Grid[#Data],$DE1153,36),0)</f>
        <v/>
      </c>
      <c r="AN1153">
        <f>IFERROR(INDEX(PP_Grid[#Data],$DE1153,37),0)</f>
        <v/>
      </c>
      <c r="AO1153">
        <f>IFERROR(INDEX(PP_Grid[#Data],$DE1153,38),0)</f>
        <v/>
      </c>
      <c r="AP1153">
        <f>IFERROR(INDEX(PP_Grid[#Data],$DE1153,39),0)</f>
        <v/>
      </c>
      <c r="AQ1153">
        <f>IFERROR(INDEX(PP_Grid[#Data],$DE1153,40),0)</f>
        <v/>
      </c>
      <c r="AR1153">
        <f>IFERROR(INDEX(PP_Grid[#Data],$DE1153,41),0)</f>
        <v/>
      </c>
      <c r="AS1153">
        <f>IFERROR(INDEX(PP_Grid[#Data],$DE1153,42),0)</f>
        <v/>
      </c>
      <c r="AT1153">
        <f>IFERROR(INDEX(PP_Grid[#Data],$DE1153,43),0)</f>
        <v/>
      </c>
      <c r="AU1153">
        <f>IFERROR(INDEX(PP_Grid[#Data],$DE1153,44),0)</f>
        <v/>
      </c>
      <c r="AV1153">
        <f>IFERROR(INDEX(PP_Grid[#Data],$DE1153,45),0)</f>
        <v/>
      </c>
      <c r="AW1153">
        <f>IFERROR(INDEX(PP_Grid[#Data],$DE1153,46),0)</f>
        <v/>
      </c>
      <c r="AX1153">
        <f>IFERROR(INDEX(PP_Grid[#Data],$DE1153,47),0)</f>
        <v/>
      </c>
      <c r="AY1153">
        <f>IFERROR(INDEX(PP_Grid[#Data],$DE1153,48),0)</f>
        <v/>
      </c>
      <c r="AZ1153">
        <f>IFERROR(INDEX(PP_Grid[#Data],$DE1153,49),0)</f>
        <v/>
      </c>
      <c r="BA1153">
        <f>IFERROR(INDEX(PP_Grid[#Data],$DE1153,50),0)</f>
        <v/>
      </c>
      <c r="BB1153">
        <f>IFERROR(INDEX(PP_Grid[#Data],$DE1153,51),0)</f>
        <v/>
      </c>
      <c r="BC1153">
        <f>IFERROR(INDEX(PP_Grid[#Data],$DE1153,52),0)</f>
        <v/>
      </c>
      <c r="BD1153">
        <f>IFERROR(INDEX(PP_Grid[#Data],$DE1153,53),0)</f>
        <v/>
      </c>
      <c r="BE1153">
        <f>IFERROR(INDEX(PP_Grid[#Data],$DE1153,54),0)</f>
        <v/>
      </c>
      <c r="BF1153">
        <f>IFERROR(INDEX(PP_Grid[#Data],$DE1153,55),0)</f>
        <v/>
      </c>
      <c r="BG1153">
        <f>IFERROR(INDEX(PP_Grid[#Data],$DE1153,56),0)</f>
        <v/>
      </c>
      <c r="BH1153">
        <f>IFERROR(INDEX(PP_Grid[#Data],$DE1153,57),0)</f>
        <v/>
      </c>
      <c r="BI1153">
        <f>IFERROR(INDEX(PP_Grid[#Data],$DE1153,58),0)</f>
        <v/>
      </c>
      <c r="BJ1153">
        <f>IFERROR(INDEX(PP_Grid[#Data],$DE1153,59),0)</f>
        <v/>
      </c>
      <c r="BK1153">
        <f>IFERROR(INDEX(PP_Grid[#Data],$DE1153,60),0)</f>
        <v/>
      </c>
      <c r="BL1153">
        <f>IFERROR(INDEX(PP_Grid[#Data],$DE1153,61),0)</f>
        <v/>
      </c>
      <c r="BM1153">
        <f>IFERROR(INDEX(PP_Grid[#Data],$DE1153,62),0)</f>
        <v/>
      </c>
      <c r="BN1153">
        <f>IFERROR(INDEX(PP_Grid[#Data],$DE1153,63),0)</f>
        <v/>
      </c>
      <c r="BO1153">
        <f>IFERROR(INDEX(PP_Grid[#Data],$DE1153,64),0)</f>
        <v/>
      </c>
      <c r="BP1153">
        <f>IFERROR(INDEX(PP_Grid[#Data],$DE1153,65),0)</f>
        <v/>
      </c>
      <c r="BQ1153">
        <f>IFERROR(INDEX(PP_Grid[#Data],$DE1153,66),0)</f>
        <v/>
      </c>
      <c r="BR1153">
        <f>IFERROR(INDEX(PP_Grid[#Data],$DE1153,67),0)</f>
        <v/>
      </c>
      <c r="BS1153">
        <f>IFERROR(INDEX(PP_Grid[#Data],$DE1153,68),0)</f>
        <v/>
      </c>
      <c r="BT1153">
        <f>IFERROR(INDEX(PP_Grid[#Data],$DE1153,69),0)</f>
        <v/>
      </c>
      <c r="BU1153">
        <f>IFERROR(INDEX(PP_Grid[#Data],$DE1153,70),0)</f>
        <v/>
      </c>
      <c r="BV1153">
        <f>IFERROR(INDEX(PP_Grid[#Data],$DE1153,71),0)</f>
        <v/>
      </c>
      <c r="BW1153">
        <f>IFERROR(INDEX(PP_Grid[#Data],$DE1153,72),0)</f>
        <v/>
      </c>
      <c r="BX1153">
        <f>IFERROR(INDEX(PP_Grid[#Data],$DE1153,73),0)</f>
        <v/>
      </c>
      <c r="BY1153">
        <f>IFERROR(INDEX(PP_Grid[#Data],$DE1153,74),0)</f>
        <v/>
      </c>
      <c r="BZ1153">
        <f>IFERROR(INDEX(PP_Grid[#Data],$DE1153,75),0)</f>
        <v/>
      </c>
      <c r="CA1153">
        <f>IFERROR(INDEX(PP_Grid[#Data],$DE1153,76),0)</f>
        <v/>
      </c>
      <c r="CB1153">
        <f>IFERROR(INDEX(PP_Grid[#Data],$DE1153,77),0)</f>
        <v/>
      </c>
      <c r="CC1153">
        <f>IFERROR(INDEX(PP_Grid[#Data],$DE1153,78),0)</f>
        <v/>
      </c>
      <c r="CD1153">
        <f>IFERROR(INDEX(PP_Grid[#Data],$DE1153,79),0)</f>
        <v/>
      </c>
      <c r="CE1153">
        <f>IFERROR(INDEX(PP_Grid[#Data],$DE1153,80),0)</f>
        <v/>
      </c>
      <c r="CF1153">
        <f>IFERROR(INDEX(PP_Grid[#Data],$DE1153,81),0)</f>
        <v/>
      </c>
      <c r="CG1153">
        <f>IFERROR(INDEX(PP_Grid[#Data],$DE1153,82),0)</f>
        <v/>
      </c>
      <c r="CH1153">
        <f>IFERROR(INDEX(PP_Grid[#Data],$DE1153,83),0)</f>
        <v/>
      </c>
      <c r="CI1153">
        <f>IFERROR(INDEX(PP_Grid[#Data],$DE1153,84),0)</f>
        <v/>
      </c>
      <c r="CJ1153">
        <f>IFERROR(INDEX(PP_Grid[#Data],$DE1153,85),0)</f>
        <v/>
      </c>
      <c r="CK1153">
        <f>IFERROR(INDEX(PP_Grid[#Data],$DE1153,86),0)</f>
        <v/>
      </c>
      <c r="CL1153">
        <f>IFERROR(INDEX(PP_Grid[#Data],$DE1153,87),0)</f>
        <v/>
      </c>
      <c r="CM1153">
        <f>IFERROR(INDEX(PP_Grid[#Data],$DE1153,88),0)</f>
        <v/>
      </c>
      <c r="CN1153">
        <f>IFERROR(INDEX(PP_Grid[#Data],$DE1153,89),0)</f>
        <v/>
      </c>
      <c r="CO1153">
        <f>IFERROR(INDEX(PP_Grid[#Data],$DE1153,90),0)</f>
        <v/>
      </c>
      <c r="CP1153">
        <f>IFERROR(INDEX(PP_Grid[#Data],$DE1153,91),0)</f>
        <v/>
      </c>
      <c r="CQ1153">
        <f>IFERROR(INDEX(PP_Grid[#Data],$DE1153,92),0)</f>
        <v/>
      </c>
      <c r="CR1153">
        <f>IFERROR(INDEX(PP_Grid[#Data],$DE1153,93),0)</f>
        <v/>
      </c>
      <c r="CS1153">
        <f>IFERROR(INDEX(PP_Grid[#Data],$DE1153,94),0)</f>
        <v/>
      </c>
      <c r="CT1153">
        <f>IFERROR(INDEX(PP_Grid[#Data],$DE1153,95),0)</f>
        <v/>
      </c>
      <c r="CU1153">
        <f>IFERROR(INDEX(PP_Grid[#Data],$DE1153,96),0)</f>
        <v/>
      </c>
      <c r="CV1153">
        <f>IFERROR(INDEX(PP_Grid[#Data],$DE1153,97),0)</f>
        <v/>
      </c>
      <c r="CW1153">
        <f>IFERROR(INDEX(PP_Grid[#Data],$DE1153,98),0)</f>
        <v/>
      </c>
      <c r="CX1153">
        <f>IFERROR(INDEX(PP_Grid[#Data],$DE1153,99),0)</f>
        <v/>
      </c>
      <c r="CY1153">
        <f>IFERROR(INDEX(PP_Grid[#Data],$DE1153,100),0)</f>
        <v/>
      </c>
      <c r="CZ1153">
        <f>IFERROR(INDEX(PP_Grid[#Data],$DE1153,101),0)</f>
        <v/>
      </c>
      <c r="DA1153">
        <f>IFERROR(INDEX(PP_Grid[#Data],$DE1153,102),0)</f>
        <v/>
      </c>
      <c r="DB1153">
        <f>IFERROR(INDEX(PP_Grid[#Data],$DE1153,103),0)</f>
        <v/>
      </c>
      <c r="DC1153">
        <f>IFERROR(INDEX(PP_Grid[#Data],$DE1153,104),0)</f>
        <v/>
      </c>
      <c r="DD1153">
        <f>IFERROR(INDEX(PP_Grid[#Data],$DE1153,105),0)</f>
        <v/>
      </c>
      <c r="DE1153" s="7">
        <f>IFERROR(MATCH($B1153,PP_Grid[Intermediate],0),99999)</f>
        <v/>
      </c>
    </row>
    <row r="1154">
      <c r="B1154" t="inlineStr">
        <is>
          <t>使用量(kg)</t>
        </is>
      </c>
      <c r="C1154">
        <f>SUMIFS(M_BOM[RM_Qty_Per_Batch],M_BOM[Intermediate],$B1153,M_BOM[RM_Code],$A1140)</f>
        <v/>
      </c>
      <c r="D1154">
        <f>IFERROR(INDEX(E1154:DD1154,$F$1),"")</f>
        <v/>
      </c>
      <c r="E1154">
        <f>$C1154*E1153</f>
        <v/>
      </c>
      <c r="F1154">
        <f>$C1154*F1153</f>
        <v/>
      </c>
      <c r="G1154">
        <f>$C1154*G1153</f>
        <v/>
      </c>
      <c r="H1154">
        <f>$C1154*H1153</f>
        <v/>
      </c>
      <c r="I1154">
        <f>$C1154*I1153</f>
        <v/>
      </c>
      <c r="J1154">
        <f>$C1154*J1153</f>
        <v/>
      </c>
      <c r="K1154">
        <f>$C1154*K1153</f>
        <v/>
      </c>
      <c r="L1154">
        <f>$C1154*L1153</f>
        <v/>
      </c>
      <c r="M1154">
        <f>$C1154*M1153</f>
        <v/>
      </c>
      <c r="N1154">
        <f>$C1154*N1153</f>
        <v/>
      </c>
      <c r="O1154">
        <f>$C1154*O1153</f>
        <v/>
      </c>
      <c r="P1154">
        <f>$C1154*P1153</f>
        <v/>
      </c>
      <c r="Q1154">
        <f>$C1154*Q1153</f>
        <v/>
      </c>
      <c r="R1154">
        <f>$C1154*R1153</f>
        <v/>
      </c>
      <c r="S1154">
        <f>$C1154*S1153</f>
        <v/>
      </c>
      <c r="T1154">
        <f>$C1154*T1153</f>
        <v/>
      </c>
      <c r="U1154">
        <f>$C1154*U1153</f>
        <v/>
      </c>
      <c r="V1154">
        <f>$C1154*V1153</f>
        <v/>
      </c>
      <c r="W1154">
        <f>$C1154*W1153</f>
        <v/>
      </c>
      <c r="X1154">
        <f>$C1154*X1153</f>
        <v/>
      </c>
      <c r="Y1154">
        <f>$C1154*Y1153</f>
        <v/>
      </c>
      <c r="Z1154">
        <f>$C1154*Z1153</f>
        <v/>
      </c>
      <c r="AA1154">
        <f>$C1154*AA1153</f>
        <v/>
      </c>
      <c r="AB1154">
        <f>$C1154*AB1153</f>
        <v/>
      </c>
      <c r="AC1154">
        <f>$C1154*AC1153</f>
        <v/>
      </c>
      <c r="AD1154">
        <f>$C1154*AD1153</f>
        <v/>
      </c>
      <c r="AE1154">
        <f>$C1154*AE1153</f>
        <v/>
      </c>
      <c r="AF1154">
        <f>$C1154*AF1153</f>
        <v/>
      </c>
      <c r="AG1154">
        <f>$C1154*AG1153</f>
        <v/>
      </c>
      <c r="AH1154">
        <f>$C1154*AH1153</f>
        <v/>
      </c>
      <c r="AI1154">
        <f>$C1154*AI1153</f>
        <v/>
      </c>
      <c r="AJ1154">
        <f>$C1154*AJ1153</f>
        <v/>
      </c>
      <c r="AK1154">
        <f>$C1154*AK1153</f>
        <v/>
      </c>
      <c r="AL1154">
        <f>$C1154*AL1153</f>
        <v/>
      </c>
      <c r="AM1154">
        <f>$C1154*AM1153</f>
        <v/>
      </c>
      <c r="AN1154">
        <f>$C1154*AN1153</f>
        <v/>
      </c>
      <c r="AO1154">
        <f>$C1154*AO1153</f>
        <v/>
      </c>
      <c r="AP1154">
        <f>$C1154*AP1153</f>
        <v/>
      </c>
      <c r="AQ1154">
        <f>$C1154*AQ1153</f>
        <v/>
      </c>
      <c r="AR1154">
        <f>$C1154*AR1153</f>
        <v/>
      </c>
      <c r="AS1154">
        <f>$C1154*AS1153</f>
        <v/>
      </c>
      <c r="AT1154">
        <f>$C1154*AT1153</f>
        <v/>
      </c>
      <c r="AU1154">
        <f>$C1154*AU1153</f>
        <v/>
      </c>
      <c r="AV1154">
        <f>$C1154*AV1153</f>
        <v/>
      </c>
      <c r="AW1154">
        <f>$C1154*AW1153</f>
        <v/>
      </c>
      <c r="AX1154">
        <f>$C1154*AX1153</f>
        <v/>
      </c>
      <c r="AY1154">
        <f>$C1154*AY1153</f>
        <v/>
      </c>
      <c r="AZ1154">
        <f>$C1154*AZ1153</f>
        <v/>
      </c>
      <c r="BA1154">
        <f>$C1154*BA1153</f>
        <v/>
      </c>
      <c r="BB1154">
        <f>$C1154*BB1153</f>
        <v/>
      </c>
      <c r="BC1154">
        <f>$C1154*BC1153</f>
        <v/>
      </c>
      <c r="BD1154">
        <f>$C1154*BD1153</f>
        <v/>
      </c>
      <c r="BE1154">
        <f>$C1154*BE1153</f>
        <v/>
      </c>
      <c r="BF1154">
        <f>$C1154*BF1153</f>
        <v/>
      </c>
      <c r="BG1154">
        <f>$C1154*BG1153</f>
        <v/>
      </c>
      <c r="BH1154">
        <f>$C1154*BH1153</f>
        <v/>
      </c>
      <c r="BI1154">
        <f>$C1154*BI1153</f>
        <v/>
      </c>
      <c r="BJ1154">
        <f>$C1154*BJ1153</f>
        <v/>
      </c>
      <c r="BK1154">
        <f>$C1154*BK1153</f>
        <v/>
      </c>
      <c r="BL1154">
        <f>$C1154*BL1153</f>
        <v/>
      </c>
      <c r="BM1154">
        <f>$C1154*BM1153</f>
        <v/>
      </c>
      <c r="BN1154">
        <f>$C1154*BN1153</f>
        <v/>
      </c>
      <c r="BO1154">
        <f>$C1154*BO1153</f>
        <v/>
      </c>
      <c r="BP1154">
        <f>$C1154*BP1153</f>
        <v/>
      </c>
      <c r="BQ1154">
        <f>$C1154*BQ1153</f>
        <v/>
      </c>
      <c r="BR1154">
        <f>$C1154*BR1153</f>
        <v/>
      </c>
      <c r="BS1154">
        <f>$C1154*BS1153</f>
        <v/>
      </c>
      <c r="BT1154">
        <f>$C1154*BT1153</f>
        <v/>
      </c>
      <c r="BU1154">
        <f>$C1154*BU1153</f>
        <v/>
      </c>
      <c r="BV1154">
        <f>$C1154*BV1153</f>
        <v/>
      </c>
      <c r="BW1154">
        <f>$C1154*BW1153</f>
        <v/>
      </c>
      <c r="BX1154">
        <f>$C1154*BX1153</f>
        <v/>
      </c>
      <c r="BY1154">
        <f>$C1154*BY1153</f>
        <v/>
      </c>
      <c r="BZ1154">
        <f>$C1154*BZ1153</f>
        <v/>
      </c>
      <c r="CA1154">
        <f>$C1154*CA1153</f>
        <v/>
      </c>
      <c r="CB1154">
        <f>$C1154*CB1153</f>
        <v/>
      </c>
      <c r="CC1154">
        <f>$C1154*CC1153</f>
        <v/>
      </c>
      <c r="CD1154">
        <f>$C1154*CD1153</f>
        <v/>
      </c>
      <c r="CE1154">
        <f>$C1154*CE1153</f>
        <v/>
      </c>
      <c r="CF1154">
        <f>$C1154*CF1153</f>
        <v/>
      </c>
      <c r="CG1154">
        <f>$C1154*CG1153</f>
        <v/>
      </c>
      <c r="CH1154">
        <f>$C1154*CH1153</f>
        <v/>
      </c>
      <c r="CI1154">
        <f>$C1154*CI1153</f>
        <v/>
      </c>
      <c r="CJ1154">
        <f>$C1154*CJ1153</f>
        <v/>
      </c>
      <c r="CK1154">
        <f>$C1154*CK1153</f>
        <v/>
      </c>
      <c r="CL1154">
        <f>$C1154*CL1153</f>
        <v/>
      </c>
      <c r="CM1154">
        <f>$C1154*CM1153</f>
        <v/>
      </c>
      <c r="CN1154">
        <f>$C1154*CN1153</f>
        <v/>
      </c>
      <c r="CO1154">
        <f>$C1154*CO1153</f>
        <v/>
      </c>
      <c r="CP1154">
        <f>$C1154*CP1153</f>
        <v/>
      </c>
      <c r="CQ1154">
        <f>$C1154*CQ1153</f>
        <v/>
      </c>
      <c r="CR1154">
        <f>$C1154*CR1153</f>
        <v/>
      </c>
      <c r="CS1154">
        <f>$C1154*CS1153</f>
        <v/>
      </c>
      <c r="CT1154">
        <f>$C1154*CT1153</f>
        <v/>
      </c>
      <c r="CU1154">
        <f>$C1154*CU1153</f>
        <v/>
      </c>
      <c r="CV1154">
        <f>$C1154*CV1153</f>
        <v/>
      </c>
      <c r="CW1154">
        <f>$C1154*CW1153</f>
        <v/>
      </c>
      <c r="CX1154">
        <f>$C1154*CX1153</f>
        <v/>
      </c>
      <c r="CY1154">
        <f>$C1154*CY1153</f>
        <v/>
      </c>
      <c r="CZ1154">
        <f>$C1154*CZ1153</f>
        <v/>
      </c>
      <c r="DA1154">
        <f>$C1154*DA1153</f>
        <v/>
      </c>
      <c r="DB1154">
        <f>$C1154*DB1153</f>
        <v/>
      </c>
      <c r="DC1154">
        <f>$C1154*DC1153</f>
        <v/>
      </c>
      <c r="DD1154">
        <f>$C1154*DD1153</f>
        <v/>
      </c>
    </row>
    <row r="1155">
      <c r="B1155" t="inlineStr">
        <is>
          <t>TPP-350</t>
        </is>
      </c>
      <c r="C1155" t="inlineStr">
        <is>
          <t>No. of batches</t>
        </is>
      </c>
      <c r="D1155">
        <f>IFERROR(INDEX(E1155:DD1155,$F$1),"")</f>
        <v/>
      </c>
      <c r="E1155">
        <f>IFERROR(INDEX(PP_Grid[#Data],$DE1155,2),0)</f>
        <v/>
      </c>
      <c r="F1155">
        <f>IFERROR(INDEX(PP_Grid[#Data],$DE1155,3),0)</f>
        <v/>
      </c>
      <c r="G1155">
        <f>IFERROR(INDEX(PP_Grid[#Data],$DE1155,4),0)</f>
        <v/>
      </c>
      <c r="H1155">
        <f>IFERROR(INDEX(PP_Grid[#Data],$DE1155,5),0)</f>
        <v/>
      </c>
      <c r="I1155">
        <f>IFERROR(INDEX(PP_Grid[#Data],$DE1155,6),0)</f>
        <v/>
      </c>
      <c r="J1155">
        <f>IFERROR(INDEX(PP_Grid[#Data],$DE1155,7),0)</f>
        <v/>
      </c>
      <c r="K1155">
        <f>IFERROR(INDEX(PP_Grid[#Data],$DE1155,8),0)</f>
        <v/>
      </c>
      <c r="L1155">
        <f>IFERROR(INDEX(PP_Grid[#Data],$DE1155,9),0)</f>
        <v/>
      </c>
      <c r="M1155">
        <f>IFERROR(INDEX(PP_Grid[#Data],$DE1155,10),0)</f>
        <v/>
      </c>
      <c r="N1155">
        <f>IFERROR(INDEX(PP_Grid[#Data],$DE1155,11),0)</f>
        <v/>
      </c>
      <c r="O1155">
        <f>IFERROR(INDEX(PP_Grid[#Data],$DE1155,12),0)</f>
        <v/>
      </c>
      <c r="P1155">
        <f>IFERROR(INDEX(PP_Grid[#Data],$DE1155,13),0)</f>
        <v/>
      </c>
      <c r="Q1155">
        <f>IFERROR(INDEX(PP_Grid[#Data],$DE1155,14),0)</f>
        <v/>
      </c>
      <c r="R1155">
        <f>IFERROR(INDEX(PP_Grid[#Data],$DE1155,15),0)</f>
        <v/>
      </c>
      <c r="S1155">
        <f>IFERROR(INDEX(PP_Grid[#Data],$DE1155,16),0)</f>
        <v/>
      </c>
      <c r="T1155">
        <f>IFERROR(INDEX(PP_Grid[#Data],$DE1155,17),0)</f>
        <v/>
      </c>
      <c r="U1155">
        <f>IFERROR(INDEX(PP_Grid[#Data],$DE1155,18),0)</f>
        <v/>
      </c>
      <c r="V1155">
        <f>IFERROR(INDEX(PP_Grid[#Data],$DE1155,19),0)</f>
        <v/>
      </c>
      <c r="W1155">
        <f>IFERROR(INDEX(PP_Grid[#Data],$DE1155,20),0)</f>
        <v/>
      </c>
      <c r="X1155">
        <f>IFERROR(INDEX(PP_Grid[#Data],$DE1155,21),0)</f>
        <v/>
      </c>
      <c r="Y1155">
        <f>IFERROR(INDEX(PP_Grid[#Data],$DE1155,22),0)</f>
        <v/>
      </c>
      <c r="Z1155">
        <f>IFERROR(INDEX(PP_Grid[#Data],$DE1155,23),0)</f>
        <v/>
      </c>
      <c r="AA1155">
        <f>IFERROR(INDEX(PP_Grid[#Data],$DE1155,24),0)</f>
        <v/>
      </c>
      <c r="AB1155">
        <f>IFERROR(INDEX(PP_Grid[#Data],$DE1155,25),0)</f>
        <v/>
      </c>
      <c r="AC1155">
        <f>IFERROR(INDEX(PP_Grid[#Data],$DE1155,26),0)</f>
        <v/>
      </c>
      <c r="AD1155">
        <f>IFERROR(INDEX(PP_Grid[#Data],$DE1155,27),0)</f>
        <v/>
      </c>
      <c r="AE1155">
        <f>IFERROR(INDEX(PP_Grid[#Data],$DE1155,28),0)</f>
        <v/>
      </c>
      <c r="AF1155">
        <f>IFERROR(INDEX(PP_Grid[#Data],$DE1155,29),0)</f>
        <v/>
      </c>
      <c r="AG1155">
        <f>IFERROR(INDEX(PP_Grid[#Data],$DE1155,30),0)</f>
        <v/>
      </c>
      <c r="AH1155">
        <f>IFERROR(INDEX(PP_Grid[#Data],$DE1155,31),0)</f>
        <v/>
      </c>
      <c r="AI1155">
        <f>IFERROR(INDEX(PP_Grid[#Data],$DE1155,32),0)</f>
        <v/>
      </c>
      <c r="AJ1155">
        <f>IFERROR(INDEX(PP_Grid[#Data],$DE1155,33),0)</f>
        <v/>
      </c>
      <c r="AK1155">
        <f>IFERROR(INDEX(PP_Grid[#Data],$DE1155,34),0)</f>
        <v/>
      </c>
      <c r="AL1155">
        <f>IFERROR(INDEX(PP_Grid[#Data],$DE1155,35),0)</f>
        <v/>
      </c>
      <c r="AM1155">
        <f>IFERROR(INDEX(PP_Grid[#Data],$DE1155,36),0)</f>
        <v/>
      </c>
      <c r="AN1155">
        <f>IFERROR(INDEX(PP_Grid[#Data],$DE1155,37),0)</f>
        <v/>
      </c>
      <c r="AO1155">
        <f>IFERROR(INDEX(PP_Grid[#Data],$DE1155,38),0)</f>
        <v/>
      </c>
      <c r="AP1155">
        <f>IFERROR(INDEX(PP_Grid[#Data],$DE1155,39),0)</f>
        <v/>
      </c>
      <c r="AQ1155">
        <f>IFERROR(INDEX(PP_Grid[#Data],$DE1155,40),0)</f>
        <v/>
      </c>
      <c r="AR1155">
        <f>IFERROR(INDEX(PP_Grid[#Data],$DE1155,41),0)</f>
        <v/>
      </c>
      <c r="AS1155">
        <f>IFERROR(INDEX(PP_Grid[#Data],$DE1155,42),0)</f>
        <v/>
      </c>
      <c r="AT1155">
        <f>IFERROR(INDEX(PP_Grid[#Data],$DE1155,43),0)</f>
        <v/>
      </c>
      <c r="AU1155">
        <f>IFERROR(INDEX(PP_Grid[#Data],$DE1155,44),0)</f>
        <v/>
      </c>
      <c r="AV1155">
        <f>IFERROR(INDEX(PP_Grid[#Data],$DE1155,45),0)</f>
        <v/>
      </c>
      <c r="AW1155">
        <f>IFERROR(INDEX(PP_Grid[#Data],$DE1155,46),0)</f>
        <v/>
      </c>
      <c r="AX1155">
        <f>IFERROR(INDEX(PP_Grid[#Data],$DE1155,47),0)</f>
        <v/>
      </c>
      <c r="AY1155">
        <f>IFERROR(INDEX(PP_Grid[#Data],$DE1155,48),0)</f>
        <v/>
      </c>
      <c r="AZ1155">
        <f>IFERROR(INDEX(PP_Grid[#Data],$DE1155,49),0)</f>
        <v/>
      </c>
      <c r="BA1155">
        <f>IFERROR(INDEX(PP_Grid[#Data],$DE1155,50),0)</f>
        <v/>
      </c>
      <c r="BB1155">
        <f>IFERROR(INDEX(PP_Grid[#Data],$DE1155,51),0)</f>
        <v/>
      </c>
      <c r="BC1155">
        <f>IFERROR(INDEX(PP_Grid[#Data],$DE1155,52),0)</f>
        <v/>
      </c>
      <c r="BD1155">
        <f>IFERROR(INDEX(PP_Grid[#Data],$DE1155,53),0)</f>
        <v/>
      </c>
      <c r="BE1155">
        <f>IFERROR(INDEX(PP_Grid[#Data],$DE1155,54),0)</f>
        <v/>
      </c>
      <c r="BF1155">
        <f>IFERROR(INDEX(PP_Grid[#Data],$DE1155,55),0)</f>
        <v/>
      </c>
      <c r="BG1155">
        <f>IFERROR(INDEX(PP_Grid[#Data],$DE1155,56),0)</f>
        <v/>
      </c>
      <c r="BH1155">
        <f>IFERROR(INDEX(PP_Grid[#Data],$DE1155,57),0)</f>
        <v/>
      </c>
      <c r="BI1155">
        <f>IFERROR(INDEX(PP_Grid[#Data],$DE1155,58),0)</f>
        <v/>
      </c>
      <c r="BJ1155">
        <f>IFERROR(INDEX(PP_Grid[#Data],$DE1155,59),0)</f>
        <v/>
      </c>
      <c r="BK1155">
        <f>IFERROR(INDEX(PP_Grid[#Data],$DE1155,60),0)</f>
        <v/>
      </c>
      <c r="BL1155">
        <f>IFERROR(INDEX(PP_Grid[#Data],$DE1155,61),0)</f>
        <v/>
      </c>
      <c r="BM1155">
        <f>IFERROR(INDEX(PP_Grid[#Data],$DE1155,62),0)</f>
        <v/>
      </c>
      <c r="BN1155">
        <f>IFERROR(INDEX(PP_Grid[#Data],$DE1155,63),0)</f>
        <v/>
      </c>
      <c r="BO1155">
        <f>IFERROR(INDEX(PP_Grid[#Data],$DE1155,64),0)</f>
        <v/>
      </c>
      <c r="BP1155">
        <f>IFERROR(INDEX(PP_Grid[#Data],$DE1155,65),0)</f>
        <v/>
      </c>
      <c r="BQ1155">
        <f>IFERROR(INDEX(PP_Grid[#Data],$DE1155,66),0)</f>
        <v/>
      </c>
      <c r="BR1155">
        <f>IFERROR(INDEX(PP_Grid[#Data],$DE1155,67),0)</f>
        <v/>
      </c>
      <c r="BS1155">
        <f>IFERROR(INDEX(PP_Grid[#Data],$DE1155,68),0)</f>
        <v/>
      </c>
      <c r="BT1155">
        <f>IFERROR(INDEX(PP_Grid[#Data],$DE1155,69),0)</f>
        <v/>
      </c>
      <c r="BU1155">
        <f>IFERROR(INDEX(PP_Grid[#Data],$DE1155,70),0)</f>
        <v/>
      </c>
      <c r="BV1155">
        <f>IFERROR(INDEX(PP_Grid[#Data],$DE1155,71),0)</f>
        <v/>
      </c>
      <c r="BW1155">
        <f>IFERROR(INDEX(PP_Grid[#Data],$DE1155,72),0)</f>
        <v/>
      </c>
      <c r="BX1155">
        <f>IFERROR(INDEX(PP_Grid[#Data],$DE1155,73),0)</f>
        <v/>
      </c>
      <c r="BY1155">
        <f>IFERROR(INDEX(PP_Grid[#Data],$DE1155,74),0)</f>
        <v/>
      </c>
      <c r="BZ1155">
        <f>IFERROR(INDEX(PP_Grid[#Data],$DE1155,75),0)</f>
        <v/>
      </c>
      <c r="CA1155">
        <f>IFERROR(INDEX(PP_Grid[#Data],$DE1155,76),0)</f>
        <v/>
      </c>
      <c r="CB1155">
        <f>IFERROR(INDEX(PP_Grid[#Data],$DE1155,77),0)</f>
        <v/>
      </c>
      <c r="CC1155">
        <f>IFERROR(INDEX(PP_Grid[#Data],$DE1155,78),0)</f>
        <v/>
      </c>
      <c r="CD1155">
        <f>IFERROR(INDEX(PP_Grid[#Data],$DE1155,79),0)</f>
        <v/>
      </c>
      <c r="CE1155">
        <f>IFERROR(INDEX(PP_Grid[#Data],$DE1155,80),0)</f>
        <v/>
      </c>
      <c r="CF1155">
        <f>IFERROR(INDEX(PP_Grid[#Data],$DE1155,81),0)</f>
        <v/>
      </c>
      <c r="CG1155">
        <f>IFERROR(INDEX(PP_Grid[#Data],$DE1155,82),0)</f>
        <v/>
      </c>
      <c r="CH1155">
        <f>IFERROR(INDEX(PP_Grid[#Data],$DE1155,83),0)</f>
        <v/>
      </c>
      <c r="CI1155">
        <f>IFERROR(INDEX(PP_Grid[#Data],$DE1155,84),0)</f>
        <v/>
      </c>
      <c r="CJ1155">
        <f>IFERROR(INDEX(PP_Grid[#Data],$DE1155,85),0)</f>
        <v/>
      </c>
      <c r="CK1155">
        <f>IFERROR(INDEX(PP_Grid[#Data],$DE1155,86),0)</f>
        <v/>
      </c>
      <c r="CL1155">
        <f>IFERROR(INDEX(PP_Grid[#Data],$DE1155,87),0)</f>
        <v/>
      </c>
      <c r="CM1155">
        <f>IFERROR(INDEX(PP_Grid[#Data],$DE1155,88),0)</f>
        <v/>
      </c>
      <c r="CN1155">
        <f>IFERROR(INDEX(PP_Grid[#Data],$DE1155,89),0)</f>
        <v/>
      </c>
      <c r="CO1155">
        <f>IFERROR(INDEX(PP_Grid[#Data],$DE1155,90),0)</f>
        <v/>
      </c>
      <c r="CP1155">
        <f>IFERROR(INDEX(PP_Grid[#Data],$DE1155,91),0)</f>
        <v/>
      </c>
      <c r="CQ1155">
        <f>IFERROR(INDEX(PP_Grid[#Data],$DE1155,92),0)</f>
        <v/>
      </c>
      <c r="CR1155">
        <f>IFERROR(INDEX(PP_Grid[#Data],$DE1155,93),0)</f>
        <v/>
      </c>
      <c r="CS1155">
        <f>IFERROR(INDEX(PP_Grid[#Data],$DE1155,94),0)</f>
        <v/>
      </c>
      <c r="CT1155">
        <f>IFERROR(INDEX(PP_Grid[#Data],$DE1155,95),0)</f>
        <v/>
      </c>
      <c r="CU1155">
        <f>IFERROR(INDEX(PP_Grid[#Data],$DE1155,96),0)</f>
        <v/>
      </c>
      <c r="CV1155">
        <f>IFERROR(INDEX(PP_Grid[#Data],$DE1155,97),0)</f>
        <v/>
      </c>
      <c r="CW1155">
        <f>IFERROR(INDEX(PP_Grid[#Data],$DE1155,98),0)</f>
        <v/>
      </c>
      <c r="CX1155">
        <f>IFERROR(INDEX(PP_Grid[#Data],$DE1155,99),0)</f>
        <v/>
      </c>
      <c r="CY1155">
        <f>IFERROR(INDEX(PP_Grid[#Data],$DE1155,100),0)</f>
        <v/>
      </c>
      <c r="CZ1155">
        <f>IFERROR(INDEX(PP_Grid[#Data],$DE1155,101),0)</f>
        <v/>
      </c>
      <c r="DA1155">
        <f>IFERROR(INDEX(PP_Grid[#Data],$DE1155,102),0)</f>
        <v/>
      </c>
      <c r="DB1155">
        <f>IFERROR(INDEX(PP_Grid[#Data],$DE1155,103),0)</f>
        <v/>
      </c>
      <c r="DC1155">
        <f>IFERROR(INDEX(PP_Grid[#Data],$DE1155,104),0)</f>
        <v/>
      </c>
      <c r="DD1155">
        <f>IFERROR(INDEX(PP_Grid[#Data],$DE1155,105),0)</f>
        <v/>
      </c>
      <c r="DE1155" s="7">
        <f>IFERROR(MATCH($B1155,PP_Grid[Intermediate],0),99999)</f>
        <v/>
      </c>
    </row>
    <row r="1156">
      <c r="B1156" t="inlineStr">
        <is>
          <t>使用量(kg)</t>
        </is>
      </c>
      <c r="C1156">
        <f>SUMIFS(M_BOM[RM_Qty_Per_Batch],M_BOM[Intermediate],$B1155,M_BOM[RM_Code],$A1140)</f>
        <v/>
      </c>
      <c r="D1156">
        <f>IFERROR(INDEX(E1156:DD1156,$F$1),"")</f>
        <v/>
      </c>
      <c r="E1156">
        <f>$C1156*E1155</f>
        <v/>
      </c>
      <c r="F1156">
        <f>$C1156*F1155</f>
        <v/>
      </c>
      <c r="G1156">
        <f>$C1156*G1155</f>
        <v/>
      </c>
      <c r="H1156">
        <f>$C1156*H1155</f>
        <v/>
      </c>
      <c r="I1156">
        <f>$C1156*I1155</f>
        <v/>
      </c>
      <c r="J1156">
        <f>$C1156*J1155</f>
        <v/>
      </c>
      <c r="K1156">
        <f>$C1156*K1155</f>
        <v/>
      </c>
      <c r="L1156">
        <f>$C1156*L1155</f>
        <v/>
      </c>
      <c r="M1156">
        <f>$C1156*M1155</f>
        <v/>
      </c>
      <c r="N1156">
        <f>$C1156*N1155</f>
        <v/>
      </c>
      <c r="O1156">
        <f>$C1156*O1155</f>
        <v/>
      </c>
      <c r="P1156">
        <f>$C1156*P1155</f>
        <v/>
      </c>
      <c r="Q1156">
        <f>$C1156*Q1155</f>
        <v/>
      </c>
      <c r="R1156">
        <f>$C1156*R1155</f>
        <v/>
      </c>
      <c r="S1156">
        <f>$C1156*S1155</f>
        <v/>
      </c>
      <c r="T1156">
        <f>$C1156*T1155</f>
        <v/>
      </c>
      <c r="U1156">
        <f>$C1156*U1155</f>
        <v/>
      </c>
      <c r="V1156">
        <f>$C1156*V1155</f>
        <v/>
      </c>
      <c r="W1156">
        <f>$C1156*W1155</f>
        <v/>
      </c>
      <c r="X1156">
        <f>$C1156*X1155</f>
        <v/>
      </c>
      <c r="Y1156">
        <f>$C1156*Y1155</f>
        <v/>
      </c>
      <c r="Z1156">
        <f>$C1156*Z1155</f>
        <v/>
      </c>
      <c r="AA1156">
        <f>$C1156*AA1155</f>
        <v/>
      </c>
      <c r="AB1156">
        <f>$C1156*AB1155</f>
        <v/>
      </c>
      <c r="AC1156">
        <f>$C1156*AC1155</f>
        <v/>
      </c>
      <c r="AD1156">
        <f>$C1156*AD1155</f>
        <v/>
      </c>
      <c r="AE1156">
        <f>$C1156*AE1155</f>
        <v/>
      </c>
      <c r="AF1156">
        <f>$C1156*AF1155</f>
        <v/>
      </c>
      <c r="AG1156">
        <f>$C1156*AG1155</f>
        <v/>
      </c>
      <c r="AH1156">
        <f>$C1156*AH1155</f>
        <v/>
      </c>
      <c r="AI1156">
        <f>$C1156*AI1155</f>
        <v/>
      </c>
      <c r="AJ1156">
        <f>$C1156*AJ1155</f>
        <v/>
      </c>
      <c r="AK1156">
        <f>$C1156*AK1155</f>
        <v/>
      </c>
      <c r="AL1156">
        <f>$C1156*AL1155</f>
        <v/>
      </c>
      <c r="AM1156">
        <f>$C1156*AM1155</f>
        <v/>
      </c>
      <c r="AN1156">
        <f>$C1156*AN1155</f>
        <v/>
      </c>
      <c r="AO1156">
        <f>$C1156*AO1155</f>
        <v/>
      </c>
      <c r="AP1156">
        <f>$C1156*AP1155</f>
        <v/>
      </c>
      <c r="AQ1156">
        <f>$C1156*AQ1155</f>
        <v/>
      </c>
      <c r="AR1156">
        <f>$C1156*AR1155</f>
        <v/>
      </c>
      <c r="AS1156">
        <f>$C1156*AS1155</f>
        <v/>
      </c>
      <c r="AT1156">
        <f>$C1156*AT1155</f>
        <v/>
      </c>
      <c r="AU1156">
        <f>$C1156*AU1155</f>
        <v/>
      </c>
      <c r="AV1156">
        <f>$C1156*AV1155</f>
        <v/>
      </c>
      <c r="AW1156">
        <f>$C1156*AW1155</f>
        <v/>
      </c>
      <c r="AX1156">
        <f>$C1156*AX1155</f>
        <v/>
      </c>
      <c r="AY1156">
        <f>$C1156*AY1155</f>
        <v/>
      </c>
      <c r="AZ1156">
        <f>$C1156*AZ1155</f>
        <v/>
      </c>
      <c r="BA1156">
        <f>$C1156*BA1155</f>
        <v/>
      </c>
      <c r="BB1156">
        <f>$C1156*BB1155</f>
        <v/>
      </c>
      <c r="BC1156">
        <f>$C1156*BC1155</f>
        <v/>
      </c>
      <c r="BD1156">
        <f>$C1156*BD1155</f>
        <v/>
      </c>
      <c r="BE1156">
        <f>$C1156*BE1155</f>
        <v/>
      </c>
      <c r="BF1156">
        <f>$C1156*BF1155</f>
        <v/>
      </c>
      <c r="BG1156">
        <f>$C1156*BG1155</f>
        <v/>
      </c>
      <c r="BH1156">
        <f>$C1156*BH1155</f>
        <v/>
      </c>
      <c r="BI1156">
        <f>$C1156*BI1155</f>
        <v/>
      </c>
      <c r="BJ1156">
        <f>$C1156*BJ1155</f>
        <v/>
      </c>
      <c r="BK1156">
        <f>$C1156*BK1155</f>
        <v/>
      </c>
      <c r="BL1156">
        <f>$C1156*BL1155</f>
        <v/>
      </c>
      <c r="BM1156">
        <f>$C1156*BM1155</f>
        <v/>
      </c>
      <c r="BN1156">
        <f>$C1156*BN1155</f>
        <v/>
      </c>
      <c r="BO1156">
        <f>$C1156*BO1155</f>
        <v/>
      </c>
      <c r="BP1156">
        <f>$C1156*BP1155</f>
        <v/>
      </c>
      <c r="BQ1156">
        <f>$C1156*BQ1155</f>
        <v/>
      </c>
      <c r="BR1156">
        <f>$C1156*BR1155</f>
        <v/>
      </c>
      <c r="BS1156">
        <f>$C1156*BS1155</f>
        <v/>
      </c>
      <c r="BT1156">
        <f>$C1156*BT1155</f>
        <v/>
      </c>
      <c r="BU1156">
        <f>$C1156*BU1155</f>
        <v/>
      </c>
      <c r="BV1156">
        <f>$C1156*BV1155</f>
        <v/>
      </c>
      <c r="BW1156">
        <f>$C1156*BW1155</f>
        <v/>
      </c>
      <c r="BX1156">
        <f>$C1156*BX1155</f>
        <v/>
      </c>
      <c r="BY1156">
        <f>$C1156*BY1155</f>
        <v/>
      </c>
      <c r="BZ1156">
        <f>$C1156*BZ1155</f>
        <v/>
      </c>
      <c r="CA1156">
        <f>$C1156*CA1155</f>
        <v/>
      </c>
      <c r="CB1156">
        <f>$C1156*CB1155</f>
        <v/>
      </c>
      <c r="CC1156">
        <f>$C1156*CC1155</f>
        <v/>
      </c>
      <c r="CD1156">
        <f>$C1156*CD1155</f>
        <v/>
      </c>
      <c r="CE1156">
        <f>$C1156*CE1155</f>
        <v/>
      </c>
      <c r="CF1156">
        <f>$C1156*CF1155</f>
        <v/>
      </c>
      <c r="CG1156">
        <f>$C1156*CG1155</f>
        <v/>
      </c>
      <c r="CH1156">
        <f>$C1156*CH1155</f>
        <v/>
      </c>
      <c r="CI1156">
        <f>$C1156*CI1155</f>
        <v/>
      </c>
      <c r="CJ1156">
        <f>$C1156*CJ1155</f>
        <v/>
      </c>
      <c r="CK1156">
        <f>$C1156*CK1155</f>
        <v/>
      </c>
      <c r="CL1156">
        <f>$C1156*CL1155</f>
        <v/>
      </c>
      <c r="CM1156">
        <f>$C1156*CM1155</f>
        <v/>
      </c>
      <c r="CN1156">
        <f>$C1156*CN1155</f>
        <v/>
      </c>
      <c r="CO1156">
        <f>$C1156*CO1155</f>
        <v/>
      </c>
      <c r="CP1156">
        <f>$C1156*CP1155</f>
        <v/>
      </c>
      <c r="CQ1156">
        <f>$C1156*CQ1155</f>
        <v/>
      </c>
      <c r="CR1156">
        <f>$C1156*CR1155</f>
        <v/>
      </c>
      <c r="CS1156">
        <f>$C1156*CS1155</f>
        <v/>
      </c>
      <c r="CT1156">
        <f>$C1156*CT1155</f>
        <v/>
      </c>
      <c r="CU1156">
        <f>$C1156*CU1155</f>
        <v/>
      </c>
      <c r="CV1156">
        <f>$C1156*CV1155</f>
        <v/>
      </c>
      <c r="CW1156">
        <f>$C1156*CW1155</f>
        <v/>
      </c>
      <c r="CX1156">
        <f>$C1156*CX1155</f>
        <v/>
      </c>
      <c r="CY1156">
        <f>$C1156*CY1155</f>
        <v/>
      </c>
      <c r="CZ1156">
        <f>$C1156*CZ1155</f>
        <v/>
      </c>
      <c r="DA1156">
        <f>$C1156*DA1155</f>
        <v/>
      </c>
      <c r="DB1156">
        <f>$C1156*DB1155</f>
        <v/>
      </c>
      <c r="DC1156">
        <f>$C1156*DC1155</f>
        <v/>
      </c>
      <c r="DD1156">
        <f>$C1156*DD1155</f>
        <v/>
      </c>
    </row>
    <row r="1157">
      <c r="B1157" t="inlineStr">
        <is>
          <t>TPP-704</t>
        </is>
      </c>
      <c r="C1157" t="inlineStr">
        <is>
          <t>No. of batches</t>
        </is>
      </c>
      <c r="D1157">
        <f>IFERROR(INDEX(E1157:DD1157,$F$1),"")</f>
        <v/>
      </c>
      <c r="E1157">
        <f>IFERROR(INDEX(PP_Grid[#Data],$DE1157,2),0)</f>
        <v/>
      </c>
      <c r="F1157">
        <f>IFERROR(INDEX(PP_Grid[#Data],$DE1157,3),0)</f>
        <v/>
      </c>
      <c r="G1157">
        <f>IFERROR(INDEX(PP_Grid[#Data],$DE1157,4),0)</f>
        <v/>
      </c>
      <c r="H1157">
        <f>IFERROR(INDEX(PP_Grid[#Data],$DE1157,5),0)</f>
        <v/>
      </c>
      <c r="I1157">
        <f>IFERROR(INDEX(PP_Grid[#Data],$DE1157,6),0)</f>
        <v/>
      </c>
      <c r="J1157">
        <f>IFERROR(INDEX(PP_Grid[#Data],$DE1157,7),0)</f>
        <v/>
      </c>
      <c r="K1157">
        <f>IFERROR(INDEX(PP_Grid[#Data],$DE1157,8),0)</f>
        <v/>
      </c>
      <c r="L1157">
        <f>IFERROR(INDEX(PP_Grid[#Data],$DE1157,9),0)</f>
        <v/>
      </c>
      <c r="M1157">
        <f>IFERROR(INDEX(PP_Grid[#Data],$DE1157,10),0)</f>
        <v/>
      </c>
      <c r="N1157">
        <f>IFERROR(INDEX(PP_Grid[#Data],$DE1157,11),0)</f>
        <v/>
      </c>
      <c r="O1157">
        <f>IFERROR(INDEX(PP_Grid[#Data],$DE1157,12),0)</f>
        <v/>
      </c>
      <c r="P1157">
        <f>IFERROR(INDEX(PP_Grid[#Data],$DE1157,13),0)</f>
        <v/>
      </c>
      <c r="Q1157">
        <f>IFERROR(INDEX(PP_Grid[#Data],$DE1157,14),0)</f>
        <v/>
      </c>
      <c r="R1157">
        <f>IFERROR(INDEX(PP_Grid[#Data],$DE1157,15),0)</f>
        <v/>
      </c>
      <c r="S1157">
        <f>IFERROR(INDEX(PP_Grid[#Data],$DE1157,16),0)</f>
        <v/>
      </c>
      <c r="T1157">
        <f>IFERROR(INDEX(PP_Grid[#Data],$DE1157,17),0)</f>
        <v/>
      </c>
      <c r="U1157">
        <f>IFERROR(INDEX(PP_Grid[#Data],$DE1157,18),0)</f>
        <v/>
      </c>
      <c r="V1157">
        <f>IFERROR(INDEX(PP_Grid[#Data],$DE1157,19),0)</f>
        <v/>
      </c>
      <c r="W1157">
        <f>IFERROR(INDEX(PP_Grid[#Data],$DE1157,20),0)</f>
        <v/>
      </c>
      <c r="X1157">
        <f>IFERROR(INDEX(PP_Grid[#Data],$DE1157,21),0)</f>
        <v/>
      </c>
      <c r="Y1157">
        <f>IFERROR(INDEX(PP_Grid[#Data],$DE1157,22),0)</f>
        <v/>
      </c>
      <c r="Z1157">
        <f>IFERROR(INDEX(PP_Grid[#Data],$DE1157,23),0)</f>
        <v/>
      </c>
      <c r="AA1157">
        <f>IFERROR(INDEX(PP_Grid[#Data],$DE1157,24),0)</f>
        <v/>
      </c>
      <c r="AB1157">
        <f>IFERROR(INDEX(PP_Grid[#Data],$DE1157,25),0)</f>
        <v/>
      </c>
      <c r="AC1157">
        <f>IFERROR(INDEX(PP_Grid[#Data],$DE1157,26),0)</f>
        <v/>
      </c>
      <c r="AD1157">
        <f>IFERROR(INDEX(PP_Grid[#Data],$DE1157,27),0)</f>
        <v/>
      </c>
      <c r="AE1157">
        <f>IFERROR(INDEX(PP_Grid[#Data],$DE1157,28),0)</f>
        <v/>
      </c>
      <c r="AF1157">
        <f>IFERROR(INDEX(PP_Grid[#Data],$DE1157,29),0)</f>
        <v/>
      </c>
      <c r="AG1157">
        <f>IFERROR(INDEX(PP_Grid[#Data],$DE1157,30),0)</f>
        <v/>
      </c>
      <c r="AH1157">
        <f>IFERROR(INDEX(PP_Grid[#Data],$DE1157,31),0)</f>
        <v/>
      </c>
      <c r="AI1157">
        <f>IFERROR(INDEX(PP_Grid[#Data],$DE1157,32),0)</f>
        <v/>
      </c>
      <c r="AJ1157">
        <f>IFERROR(INDEX(PP_Grid[#Data],$DE1157,33),0)</f>
        <v/>
      </c>
      <c r="AK1157">
        <f>IFERROR(INDEX(PP_Grid[#Data],$DE1157,34),0)</f>
        <v/>
      </c>
      <c r="AL1157">
        <f>IFERROR(INDEX(PP_Grid[#Data],$DE1157,35),0)</f>
        <v/>
      </c>
      <c r="AM1157">
        <f>IFERROR(INDEX(PP_Grid[#Data],$DE1157,36),0)</f>
        <v/>
      </c>
      <c r="AN1157">
        <f>IFERROR(INDEX(PP_Grid[#Data],$DE1157,37),0)</f>
        <v/>
      </c>
      <c r="AO1157">
        <f>IFERROR(INDEX(PP_Grid[#Data],$DE1157,38),0)</f>
        <v/>
      </c>
      <c r="AP1157">
        <f>IFERROR(INDEX(PP_Grid[#Data],$DE1157,39),0)</f>
        <v/>
      </c>
      <c r="AQ1157">
        <f>IFERROR(INDEX(PP_Grid[#Data],$DE1157,40),0)</f>
        <v/>
      </c>
      <c r="AR1157">
        <f>IFERROR(INDEX(PP_Grid[#Data],$DE1157,41),0)</f>
        <v/>
      </c>
      <c r="AS1157">
        <f>IFERROR(INDEX(PP_Grid[#Data],$DE1157,42),0)</f>
        <v/>
      </c>
      <c r="AT1157">
        <f>IFERROR(INDEX(PP_Grid[#Data],$DE1157,43),0)</f>
        <v/>
      </c>
      <c r="AU1157">
        <f>IFERROR(INDEX(PP_Grid[#Data],$DE1157,44),0)</f>
        <v/>
      </c>
      <c r="AV1157">
        <f>IFERROR(INDEX(PP_Grid[#Data],$DE1157,45),0)</f>
        <v/>
      </c>
      <c r="AW1157">
        <f>IFERROR(INDEX(PP_Grid[#Data],$DE1157,46),0)</f>
        <v/>
      </c>
      <c r="AX1157">
        <f>IFERROR(INDEX(PP_Grid[#Data],$DE1157,47),0)</f>
        <v/>
      </c>
      <c r="AY1157">
        <f>IFERROR(INDEX(PP_Grid[#Data],$DE1157,48),0)</f>
        <v/>
      </c>
      <c r="AZ1157">
        <f>IFERROR(INDEX(PP_Grid[#Data],$DE1157,49),0)</f>
        <v/>
      </c>
      <c r="BA1157">
        <f>IFERROR(INDEX(PP_Grid[#Data],$DE1157,50),0)</f>
        <v/>
      </c>
      <c r="BB1157">
        <f>IFERROR(INDEX(PP_Grid[#Data],$DE1157,51),0)</f>
        <v/>
      </c>
      <c r="BC1157">
        <f>IFERROR(INDEX(PP_Grid[#Data],$DE1157,52),0)</f>
        <v/>
      </c>
      <c r="BD1157">
        <f>IFERROR(INDEX(PP_Grid[#Data],$DE1157,53),0)</f>
        <v/>
      </c>
      <c r="BE1157">
        <f>IFERROR(INDEX(PP_Grid[#Data],$DE1157,54),0)</f>
        <v/>
      </c>
      <c r="BF1157">
        <f>IFERROR(INDEX(PP_Grid[#Data],$DE1157,55),0)</f>
        <v/>
      </c>
      <c r="BG1157">
        <f>IFERROR(INDEX(PP_Grid[#Data],$DE1157,56),0)</f>
        <v/>
      </c>
      <c r="BH1157">
        <f>IFERROR(INDEX(PP_Grid[#Data],$DE1157,57),0)</f>
        <v/>
      </c>
      <c r="BI1157">
        <f>IFERROR(INDEX(PP_Grid[#Data],$DE1157,58),0)</f>
        <v/>
      </c>
      <c r="BJ1157">
        <f>IFERROR(INDEX(PP_Grid[#Data],$DE1157,59),0)</f>
        <v/>
      </c>
      <c r="BK1157">
        <f>IFERROR(INDEX(PP_Grid[#Data],$DE1157,60),0)</f>
        <v/>
      </c>
      <c r="BL1157">
        <f>IFERROR(INDEX(PP_Grid[#Data],$DE1157,61),0)</f>
        <v/>
      </c>
      <c r="BM1157">
        <f>IFERROR(INDEX(PP_Grid[#Data],$DE1157,62),0)</f>
        <v/>
      </c>
      <c r="BN1157">
        <f>IFERROR(INDEX(PP_Grid[#Data],$DE1157,63),0)</f>
        <v/>
      </c>
      <c r="BO1157">
        <f>IFERROR(INDEX(PP_Grid[#Data],$DE1157,64),0)</f>
        <v/>
      </c>
      <c r="BP1157">
        <f>IFERROR(INDEX(PP_Grid[#Data],$DE1157,65),0)</f>
        <v/>
      </c>
      <c r="BQ1157">
        <f>IFERROR(INDEX(PP_Grid[#Data],$DE1157,66),0)</f>
        <v/>
      </c>
      <c r="BR1157">
        <f>IFERROR(INDEX(PP_Grid[#Data],$DE1157,67),0)</f>
        <v/>
      </c>
      <c r="BS1157">
        <f>IFERROR(INDEX(PP_Grid[#Data],$DE1157,68),0)</f>
        <v/>
      </c>
      <c r="BT1157">
        <f>IFERROR(INDEX(PP_Grid[#Data],$DE1157,69),0)</f>
        <v/>
      </c>
      <c r="BU1157">
        <f>IFERROR(INDEX(PP_Grid[#Data],$DE1157,70),0)</f>
        <v/>
      </c>
      <c r="BV1157">
        <f>IFERROR(INDEX(PP_Grid[#Data],$DE1157,71),0)</f>
        <v/>
      </c>
      <c r="BW1157">
        <f>IFERROR(INDEX(PP_Grid[#Data],$DE1157,72),0)</f>
        <v/>
      </c>
      <c r="BX1157">
        <f>IFERROR(INDEX(PP_Grid[#Data],$DE1157,73),0)</f>
        <v/>
      </c>
      <c r="BY1157">
        <f>IFERROR(INDEX(PP_Grid[#Data],$DE1157,74),0)</f>
        <v/>
      </c>
      <c r="BZ1157">
        <f>IFERROR(INDEX(PP_Grid[#Data],$DE1157,75),0)</f>
        <v/>
      </c>
      <c r="CA1157">
        <f>IFERROR(INDEX(PP_Grid[#Data],$DE1157,76),0)</f>
        <v/>
      </c>
      <c r="CB1157">
        <f>IFERROR(INDEX(PP_Grid[#Data],$DE1157,77),0)</f>
        <v/>
      </c>
      <c r="CC1157">
        <f>IFERROR(INDEX(PP_Grid[#Data],$DE1157,78),0)</f>
        <v/>
      </c>
      <c r="CD1157">
        <f>IFERROR(INDEX(PP_Grid[#Data],$DE1157,79),0)</f>
        <v/>
      </c>
      <c r="CE1157">
        <f>IFERROR(INDEX(PP_Grid[#Data],$DE1157,80),0)</f>
        <v/>
      </c>
      <c r="CF1157">
        <f>IFERROR(INDEX(PP_Grid[#Data],$DE1157,81),0)</f>
        <v/>
      </c>
      <c r="CG1157">
        <f>IFERROR(INDEX(PP_Grid[#Data],$DE1157,82),0)</f>
        <v/>
      </c>
      <c r="CH1157">
        <f>IFERROR(INDEX(PP_Grid[#Data],$DE1157,83),0)</f>
        <v/>
      </c>
      <c r="CI1157">
        <f>IFERROR(INDEX(PP_Grid[#Data],$DE1157,84),0)</f>
        <v/>
      </c>
      <c r="CJ1157">
        <f>IFERROR(INDEX(PP_Grid[#Data],$DE1157,85),0)</f>
        <v/>
      </c>
      <c r="CK1157">
        <f>IFERROR(INDEX(PP_Grid[#Data],$DE1157,86),0)</f>
        <v/>
      </c>
      <c r="CL1157">
        <f>IFERROR(INDEX(PP_Grid[#Data],$DE1157,87),0)</f>
        <v/>
      </c>
      <c r="CM1157">
        <f>IFERROR(INDEX(PP_Grid[#Data],$DE1157,88),0)</f>
        <v/>
      </c>
      <c r="CN1157">
        <f>IFERROR(INDEX(PP_Grid[#Data],$DE1157,89),0)</f>
        <v/>
      </c>
      <c r="CO1157">
        <f>IFERROR(INDEX(PP_Grid[#Data],$DE1157,90),0)</f>
        <v/>
      </c>
      <c r="CP1157">
        <f>IFERROR(INDEX(PP_Grid[#Data],$DE1157,91),0)</f>
        <v/>
      </c>
      <c r="CQ1157">
        <f>IFERROR(INDEX(PP_Grid[#Data],$DE1157,92),0)</f>
        <v/>
      </c>
      <c r="CR1157">
        <f>IFERROR(INDEX(PP_Grid[#Data],$DE1157,93),0)</f>
        <v/>
      </c>
      <c r="CS1157">
        <f>IFERROR(INDEX(PP_Grid[#Data],$DE1157,94),0)</f>
        <v/>
      </c>
      <c r="CT1157">
        <f>IFERROR(INDEX(PP_Grid[#Data],$DE1157,95),0)</f>
        <v/>
      </c>
      <c r="CU1157">
        <f>IFERROR(INDEX(PP_Grid[#Data],$DE1157,96),0)</f>
        <v/>
      </c>
      <c r="CV1157">
        <f>IFERROR(INDEX(PP_Grid[#Data],$DE1157,97),0)</f>
        <v/>
      </c>
      <c r="CW1157">
        <f>IFERROR(INDEX(PP_Grid[#Data],$DE1157,98),0)</f>
        <v/>
      </c>
      <c r="CX1157">
        <f>IFERROR(INDEX(PP_Grid[#Data],$DE1157,99),0)</f>
        <v/>
      </c>
      <c r="CY1157">
        <f>IFERROR(INDEX(PP_Grid[#Data],$DE1157,100),0)</f>
        <v/>
      </c>
      <c r="CZ1157">
        <f>IFERROR(INDEX(PP_Grid[#Data],$DE1157,101),0)</f>
        <v/>
      </c>
      <c r="DA1157">
        <f>IFERROR(INDEX(PP_Grid[#Data],$DE1157,102),0)</f>
        <v/>
      </c>
      <c r="DB1157">
        <f>IFERROR(INDEX(PP_Grid[#Data],$DE1157,103),0)</f>
        <v/>
      </c>
      <c r="DC1157">
        <f>IFERROR(INDEX(PP_Grid[#Data],$DE1157,104),0)</f>
        <v/>
      </c>
      <c r="DD1157">
        <f>IFERROR(INDEX(PP_Grid[#Data],$DE1157,105),0)</f>
        <v/>
      </c>
      <c r="DE1157" s="7">
        <f>IFERROR(MATCH($B1157,PP_Grid[Intermediate],0),99999)</f>
        <v/>
      </c>
    </row>
    <row r="1158">
      <c r="B1158" t="inlineStr">
        <is>
          <t>使用量(kg)</t>
        </is>
      </c>
      <c r="C1158">
        <f>SUMIFS(M_BOM[RM_Qty_Per_Batch],M_BOM[Intermediate],$B1157,M_BOM[RM_Code],$A1140)</f>
        <v/>
      </c>
      <c r="D1158">
        <f>IFERROR(INDEX(E1158:DD1158,$F$1),"")</f>
        <v/>
      </c>
      <c r="E1158">
        <f>$C1158*E1157</f>
        <v/>
      </c>
      <c r="F1158">
        <f>$C1158*F1157</f>
        <v/>
      </c>
      <c r="G1158">
        <f>$C1158*G1157</f>
        <v/>
      </c>
      <c r="H1158">
        <f>$C1158*H1157</f>
        <v/>
      </c>
      <c r="I1158">
        <f>$C1158*I1157</f>
        <v/>
      </c>
      <c r="J1158">
        <f>$C1158*J1157</f>
        <v/>
      </c>
      <c r="K1158">
        <f>$C1158*K1157</f>
        <v/>
      </c>
      <c r="L1158">
        <f>$C1158*L1157</f>
        <v/>
      </c>
      <c r="M1158">
        <f>$C1158*M1157</f>
        <v/>
      </c>
      <c r="N1158">
        <f>$C1158*N1157</f>
        <v/>
      </c>
      <c r="O1158">
        <f>$C1158*O1157</f>
        <v/>
      </c>
      <c r="P1158">
        <f>$C1158*P1157</f>
        <v/>
      </c>
      <c r="Q1158">
        <f>$C1158*Q1157</f>
        <v/>
      </c>
      <c r="R1158">
        <f>$C1158*R1157</f>
        <v/>
      </c>
      <c r="S1158">
        <f>$C1158*S1157</f>
        <v/>
      </c>
      <c r="T1158">
        <f>$C1158*T1157</f>
        <v/>
      </c>
      <c r="U1158">
        <f>$C1158*U1157</f>
        <v/>
      </c>
      <c r="V1158">
        <f>$C1158*V1157</f>
        <v/>
      </c>
      <c r="W1158">
        <f>$C1158*W1157</f>
        <v/>
      </c>
      <c r="X1158">
        <f>$C1158*X1157</f>
        <v/>
      </c>
      <c r="Y1158">
        <f>$C1158*Y1157</f>
        <v/>
      </c>
      <c r="Z1158">
        <f>$C1158*Z1157</f>
        <v/>
      </c>
      <c r="AA1158">
        <f>$C1158*AA1157</f>
        <v/>
      </c>
      <c r="AB1158">
        <f>$C1158*AB1157</f>
        <v/>
      </c>
      <c r="AC1158">
        <f>$C1158*AC1157</f>
        <v/>
      </c>
      <c r="AD1158">
        <f>$C1158*AD1157</f>
        <v/>
      </c>
      <c r="AE1158">
        <f>$C1158*AE1157</f>
        <v/>
      </c>
      <c r="AF1158">
        <f>$C1158*AF1157</f>
        <v/>
      </c>
      <c r="AG1158">
        <f>$C1158*AG1157</f>
        <v/>
      </c>
      <c r="AH1158">
        <f>$C1158*AH1157</f>
        <v/>
      </c>
      <c r="AI1158">
        <f>$C1158*AI1157</f>
        <v/>
      </c>
      <c r="AJ1158">
        <f>$C1158*AJ1157</f>
        <v/>
      </c>
      <c r="AK1158">
        <f>$C1158*AK1157</f>
        <v/>
      </c>
      <c r="AL1158">
        <f>$C1158*AL1157</f>
        <v/>
      </c>
      <c r="AM1158">
        <f>$C1158*AM1157</f>
        <v/>
      </c>
      <c r="AN1158">
        <f>$C1158*AN1157</f>
        <v/>
      </c>
      <c r="AO1158">
        <f>$C1158*AO1157</f>
        <v/>
      </c>
      <c r="AP1158">
        <f>$C1158*AP1157</f>
        <v/>
      </c>
      <c r="AQ1158">
        <f>$C1158*AQ1157</f>
        <v/>
      </c>
      <c r="AR1158">
        <f>$C1158*AR1157</f>
        <v/>
      </c>
      <c r="AS1158">
        <f>$C1158*AS1157</f>
        <v/>
      </c>
      <c r="AT1158">
        <f>$C1158*AT1157</f>
        <v/>
      </c>
      <c r="AU1158">
        <f>$C1158*AU1157</f>
        <v/>
      </c>
      <c r="AV1158">
        <f>$C1158*AV1157</f>
        <v/>
      </c>
      <c r="AW1158">
        <f>$C1158*AW1157</f>
        <v/>
      </c>
      <c r="AX1158">
        <f>$C1158*AX1157</f>
        <v/>
      </c>
      <c r="AY1158">
        <f>$C1158*AY1157</f>
        <v/>
      </c>
      <c r="AZ1158">
        <f>$C1158*AZ1157</f>
        <v/>
      </c>
      <c r="BA1158">
        <f>$C1158*BA1157</f>
        <v/>
      </c>
      <c r="BB1158">
        <f>$C1158*BB1157</f>
        <v/>
      </c>
      <c r="BC1158">
        <f>$C1158*BC1157</f>
        <v/>
      </c>
      <c r="BD1158">
        <f>$C1158*BD1157</f>
        <v/>
      </c>
      <c r="BE1158">
        <f>$C1158*BE1157</f>
        <v/>
      </c>
      <c r="BF1158">
        <f>$C1158*BF1157</f>
        <v/>
      </c>
      <c r="BG1158">
        <f>$C1158*BG1157</f>
        <v/>
      </c>
      <c r="BH1158">
        <f>$C1158*BH1157</f>
        <v/>
      </c>
      <c r="BI1158">
        <f>$C1158*BI1157</f>
        <v/>
      </c>
      <c r="BJ1158">
        <f>$C1158*BJ1157</f>
        <v/>
      </c>
      <c r="BK1158">
        <f>$C1158*BK1157</f>
        <v/>
      </c>
      <c r="BL1158">
        <f>$C1158*BL1157</f>
        <v/>
      </c>
      <c r="BM1158">
        <f>$C1158*BM1157</f>
        <v/>
      </c>
      <c r="BN1158">
        <f>$C1158*BN1157</f>
        <v/>
      </c>
      <c r="BO1158">
        <f>$C1158*BO1157</f>
        <v/>
      </c>
      <c r="BP1158">
        <f>$C1158*BP1157</f>
        <v/>
      </c>
      <c r="BQ1158">
        <f>$C1158*BQ1157</f>
        <v/>
      </c>
      <c r="BR1158">
        <f>$C1158*BR1157</f>
        <v/>
      </c>
      <c r="BS1158">
        <f>$C1158*BS1157</f>
        <v/>
      </c>
      <c r="BT1158">
        <f>$C1158*BT1157</f>
        <v/>
      </c>
      <c r="BU1158">
        <f>$C1158*BU1157</f>
        <v/>
      </c>
      <c r="BV1158">
        <f>$C1158*BV1157</f>
        <v/>
      </c>
      <c r="BW1158">
        <f>$C1158*BW1157</f>
        <v/>
      </c>
      <c r="BX1158">
        <f>$C1158*BX1157</f>
        <v/>
      </c>
      <c r="BY1158">
        <f>$C1158*BY1157</f>
        <v/>
      </c>
      <c r="BZ1158">
        <f>$C1158*BZ1157</f>
        <v/>
      </c>
      <c r="CA1158">
        <f>$C1158*CA1157</f>
        <v/>
      </c>
      <c r="CB1158">
        <f>$C1158*CB1157</f>
        <v/>
      </c>
      <c r="CC1158">
        <f>$C1158*CC1157</f>
        <v/>
      </c>
      <c r="CD1158">
        <f>$C1158*CD1157</f>
        <v/>
      </c>
      <c r="CE1158">
        <f>$C1158*CE1157</f>
        <v/>
      </c>
      <c r="CF1158">
        <f>$C1158*CF1157</f>
        <v/>
      </c>
      <c r="CG1158">
        <f>$C1158*CG1157</f>
        <v/>
      </c>
      <c r="CH1158">
        <f>$C1158*CH1157</f>
        <v/>
      </c>
      <c r="CI1158">
        <f>$C1158*CI1157</f>
        <v/>
      </c>
      <c r="CJ1158">
        <f>$C1158*CJ1157</f>
        <v/>
      </c>
      <c r="CK1158">
        <f>$C1158*CK1157</f>
        <v/>
      </c>
      <c r="CL1158">
        <f>$C1158*CL1157</f>
        <v/>
      </c>
      <c r="CM1158">
        <f>$C1158*CM1157</f>
        <v/>
      </c>
      <c r="CN1158">
        <f>$C1158*CN1157</f>
        <v/>
      </c>
      <c r="CO1158">
        <f>$C1158*CO1157</f>
        <v/>
      </c>
      <c r="CP1158">
        <f>$C1158*CP1157</f>
        <v/>
      </c>
      <c r="CQ1158">
        <f>$C1158*CQ1157</f>
        <v/>
      </c>
      <c r="CR1158">
        <f>$C1158*CR1157</f>
        <v/>
      </c>
      <c r="CS1158">
        <f>$C1158*CS1157</f>
        <v/>
      </c>
      <c r="CT1158">
        <f>$C1158*CT1157</f>
        <v/>
      </c>
      <c r="CU1158">
        <f>$C1158*CU1157</f>
        <v/>
      </c>
      <c r="CV1158">
        <f>$C1158*CV1157</f>
        <v/>
      </c>
      <c r="CW1158">
        <f>$C1158*CW1157</f>
        <v/>
      </c>
      <c r="CX1158">
        <f>$C1158*CX1157</f>
        <v/>
      </c>
      <c r="CY1158">
        <f>$C1158*CY1157</f>
        <v/>
      </c>
      <c r="CZ1158">
        <f>$C1158*CZ1157</f>
        <v/>
      </c>
      <c r="DA1158">
        <f>$C1158*DA1157</f>
        <v/>
      </c>
      <c r="DB1158">
        <f>$C1158*DB1157</f>
        <v/>
      </c>
      <c r="DC1158">
        <f>$C1158*DC1157</f>
        <v/>
      </c>
      <c r="DD1158">
        <f>$C1158*DD1157</f>
        <v/>
      </c>
    </row>
    <row r="1159">
      <c r="B1159" t="inlineStr">
        <is>
          <t>TPP-527</t>
        </is>
      </c>
      <c r="C1159" t="inlineStr">
        <is>
          <t>No. of batches</t>
        </is>
      </c>
      <c r="D1159">
        <f>IFERROR(INDEX(E1159:DD1159,$F$1),"")</f>
        <v/>
      </c>
      <c r="E1159">
        <f>IFERROR(INDEX(PP_Grid[#Data],$DE1159,2),0)</f>
        <v/>
      </c>
      <c r="F1159">
        <f>IFERROR(INDEX(PP_Grid[#Data],$DE1159,3),0)</f>
        <v/>
      </c>
      <c r="G1159">
        <f>IFERROR(INDEX(PP_Grid[#Data],$DE1159,4),0)</f>
        <v/>
      </c>
      <c r="H1159">
        <f>IFERROR(INDEX(PP_Grid[#Data],$DE1159,5),0)</f>
        <v/>
      </c>
      <c r="I1159">
        <f>IFERROR(INDEX(PP_Grid[#Data],$DE1159,6),0)</f>
        <v/>
      </c>
      <c r="J1159">
        <f>IFERROR(INDEX(PP_Grid[#Data],$DE1159,7),0)</f>
        <v/>
      </c>
      <c r="K1159">
        <f>IFERROR(INDEX(PP_Grid[#Data],$DE1159,8),0)</f>
        <v/>
      </c>
      <c r="L1159">
        <f>IFERROR(INDEX(PP_Grid[#Data],$DE1159,9),0)</f>
        <v/>
      </c>
      <c r="M1159">
        <f>IFERROR(INDEX(PP_Grid[#Data],$DE1159,10),0)</f>
        <v/>
      </c>
      <c r="N1159">
        <f>IFERROR(INDEX(PP_Grid[#Data],$DE1159,11),0)</f>
        <v/>
      </c>
      <c r="O1159">
        <f>IFERROR(INDEX(PP_Grid[#Data],$DE1159,12),0)</f>
        <v/>
      </c>
      <c r="P1159">
        <f>IFERROR(INDEX(PP_Grid[#Data],$DE1159,13),0)</f>
        <v/>
      </c>
      <c r="Q1159">
        <f>IFERROR(INDEX(PP_Grid[#Data],$DE1159,14),0)</f>
        <v/>
      </c>
      <c r="R1159">
        <f>IFERROR(INDEX(PP_Grid[#Data],$DE1159,15),0)</f>
        <v/>
      </c>
      <c r="S1159">
        <f>IFERROR(INDEX(PP_Grid[#Data],$DE1159,16),0)</f>
        <v/>
      </c>
      <c r="T1159">
        <f>IFERROR(INDEX(PP_Grid[#Data],$DE1159,17),0)</f>
        <v/>
      </c>
      <c r="U1159">
        <f>IFERROR(INDEX(PP_Grid[#Data],$DE1159,18),0)</f>
        <v/>
      </c>
      <c r="V1159">
        <f>IFERROR(INDEX(PP_Grid[#Data],$DE1159,19),0)</f>
        <v/>
      </c>
      <c r="W1159">
        <f>IFERROR(INDEX(PP_Grid[#Data],$DE1159,20),0)</f>
        <v/>
      </c>
      <c r="X1159">
        <f>IFERROR(INDEX(PP_Grid[#Data],$DE1159,21),0)</f>
        <v/>
      </c>
      <c r="Y1159">
        <f>IFERROR(INDEX(PP_Grid[#Data],$DE1159,22),0)</f>
        <v/>
      </c>
      <c r="Z1159">
        <f>IFERROR(INDEX(PP_Grid[#Data],$DE1159,23),0)</f>
        <v/>
      </c>
      <c r="AA1159">
        <f>IFERROR(INDEX(PP_Grid[#Data],$DE1159,24),0)</f>
        <v/>
      </c>
      <c r="AB1159">
        <f>IFERROR(INDEX(PP_Grid[#Data],$DE1159,25),0)</f>
        <v/>
      </c>
      <c r="AC1159">
        <f>IFERROR(INDEX(PP_Grid[#Data],$DE1159,26),0)</f>
        <v/>
      </c>
      <c r="AD1159">
        <f>IFERROR(INDEX(PP_Grid[#Data],$DE1159,27),0)</f>
        <v/>
      </c>
      <c r="AE1159">
        <f>IFERROR(INDEX(PP_Grid[#Data],$DE1159,28),0)</f>
        <v/>
      </c>
      <c r="AF1159">
        <f>IFERROR(INDEX(PP_Grid[#Data],$DE1159,29),0)</f>
        <v/>
      </c>
      <c r="AG1159">
        <f>IFERROR(INDEX(PP_Grid[#Data],$DE1159,30),0)</f>
        <v/>
      </c>
      <c r="AH1159">
        <f>IFERROR(INDEX(PP_Grid[#Data],$DE1159,31),0)</f>
        <v/>
      </c>
      <c r="AI1159">
        <f>IFERROR(INDEX(PP_Grid[#Data],$DE1159,32),0)</f>
        <v/>
      </c>
      <c r="AJ1159">
        <f>IFERROR(INDEX(PP_Grid[#Data],$DE1159,33),0)</f>
        <v/>
      </c>
      <c r="AK1159">
        <f>IFERROR(INDEX(PP_Grid[#Data],$DE1159,34),0)</f>
        <v/>
      </c>
      <c r="AL1159">
        <f>IFERROR(INDEX(PP_Grid[#Data],$DE1159,35),0)</f>
        <v/>
      </c>
      <c r="AM1159">
        <f>IFERROR(INDEX(PP_Grid[#Data],$DE1159,36),0)</f>
        <v/>
      </c>
      <c r="AN1159">
        <f>IFERROR(INDEX(PP_Grid[#Data],$DE1159,37),0)</f>
        <v/>
      </c>
      <c r="AO1159">
        <f>IFERROR(INDEX(PP_Grid[#Data],$DE1159,38),0)</f>
        <v/>
      </c>
      <c r="AP1159">
        <f>IFERROR(INDEX(PP_Grid[#Data],$DE1159,39),0)</f>
        <v/>
      </c>
      <c r="AQ1159">
        <f>IFERROR(INDEX(PP_Grid[#Data],$DE1159,40),0)</f>
        <v/>
      </c>
      <c r="AR1159">
        <f>IFERROR(INDEX(PP_Grid[#Data],$DE1159,41),0)</f>
        <v/>
      </c>
      <c r="AS1159">
        <f>IFERROR(INDEX(PP_Grid[#Data],$DE1159,42),0)</f>
        <v/>
      </c>
      <c r="AT1159">
        <f>IFERROR(INDEX(PP_Grid[#Data],$DE1159,43),0)</f>
        <v/>
      </c>
      <c r="AU1159">
        <f>IFERROR(INDEX(PP_Grid[#Data],$DE1159,44),0)</f>
        <v/>
      </c>
      <c r="AV1159">
        <f>IFERROR(INDEX(PP_Grid[#Data],$DE1159,45),0)</f>
        <v/>
      </c>
      <c r="AW1159">
        <f>IFERROR(INDEX(PP_Grid[#Data],$DE1159,46),0)</f>
        <v/>
      </c>
      <c r="AX1159">
        <f>IFERROR(INDEX(PP_Grid[#Data],$DE1159,47),0)</f>
        <v/>
      </c>
      <c r="AY1159">
        <f>IFERROR(INDEX(PP_Grid[#Data],$DE1159,48),0)</f>
        <v/>
      </c>
      <c r="AZ1159">
        <f>IFERROR(INDEX(PP_Grid[#Data],$DE1159,49),0)</f>
        <v/>
      </c>
      <c r="BA1159">
        <f>IFERROR(INDEX(PP_Grid[#Data],$DE1159,50),0)</f>
        <v/>
      </c>
      <c r="BB1159">
        <f>IFERROR(INDEX(PP_Grid[#Data],$DE1159,51),0)</f>
        <v/>
      </c>
      <c r="BC1159">
        <f>IFERROR(INDEX(PP_Grid[#Data],$DE1159,52),0)</f>
        <v/>
      </c>
      <c r="BD1159">
        <f>IFERROR(INDEX(PP_Grid[#Data],$DE1159,53),0)</f>
        <v/>
      </c>
      <c r="BE1159">
        <f>IFERROR(INDEX(PP_Grid[#Data],$DE1159,54),0)</f>
        <v/>
      </c>
      <c r="BF1159">
        <f>IFERROR(INDEX(PP_Grid[#Data],$DE1159,55),0)</f>
        <v/>
      </c>
      <c r="BG1159">
        <f>IFERROR(INDEX(PP_Grid[#Data],$DE1159,56),0)</f>
        <v/>
      </c>
      <c r="BH1159">
        <f>IFERROR(INDEX(PP_Grid[#Data],$DE1159,57),0)</f>
        <v/>
      </c>
      <c r="BI1159">
        <f>IFERROR(INDEX(PP_Grid[#Data],$DE1159,58),0)</f>
        <v/>
      </c>
      <c r="BJ1159">
        <f>IFERROR(INDEX(PP_Grid[#Data],$DE1159,59),0)</f>
        <v/>
      </c>
      <c r="BK1159">
        <f>IFERROR(INDEX(PP_Grid[#Data],$DE1159,60),0)</f>
        <v/>
      </c>
      <c r="BL1159">
        <f>IFERROR(INDEX(PP_Grid[#Data],$DE1159,61),0)</f>
        <v/>
      </c>
      <c r="BM1159">
        <f>IFERROR(INDEX(PP_Grid[#Data],$DE1159,62),0)</f>
        <v/>
      </c>
      <c r="BN1159">
        <f>IFERROR(INDEX(PP_Grid[#Data],$DE1159,63),0)</f>
        <v/>
      </c>
      <c r="BO1159">
        <f>IFERROR(INDEX(PP_Grid[#Data],$DE1159,64),0)</f>
        <v/>
      </c>
      <c r="BP1159">
        <f>IFERROR(INDEX(PP_Grid[#Data],$DE1159,65),0)</f>
        <v/>
      </c>
      <c r="BQ1159">
        <f>IFERROR(INDEX(PP_Grid[#Data],$DE1159,66),0)</f>
        <v/>
      </c>
      <c r="BR1159">
        <f>IFERROR(INDEX(PP_Grid[#Data],$DE1159,67),0)</f>
        <v/>
      </c>
      <c r="BS1159">
        <f>IFERROR(INDEX(PP_Grid[#Data],$DE1159,68),0)</f>
        <v/>
      </c>
      <c r="BT1159">
        <f>IFERROR(INDEX(PP_Grid[#Data],$DE1159,69),0)</f>
        <v/>
      </c>
      <c r="BU1159">
        <f>IFERROR(INDEX(PP_Grid[#Data],$DE1159,70),0)</f>
        <v/>
      </c>
      <c r="BV1159">
        <f>IFERROR(INDEX(PP_Grid[#Data],$DE1159,71),0)</f>
        <v/>
      </c>
      <c r="BW1159">
        <f>IFERROR(INDEX(PP_Grid[#Data],$DE1159,72),0)</f>
        <v/>
      </c>
      <c r="BX1159">
        <f>IFERROR(INDEX(PP_Grid[#Data],$DE1159,73),0)</f>
        <v/>
      </c>
      <c r="BY1159">
        <f>IFERROR(INDEX(PP_Grid[#Data],$DE1159,74),0)</f>
        <v/>
      </c>
      <c r="BZ1159">
        <f>IFERROR(INDEX(PP_Grid[#Data],$DE1159,75),0)</f>
        <v/>
      </c>
      <c r="CA1159">
        <f>IFERROR(INDEX(PP_Grid[#Data],$DE1159,76),0)</f>
        <v/>
      </c>
      <c r="CB1159">
        <f>IFERROR(INDEX(PP_Grid[#Data],$DE1159,77),0)</f>
        <v/>
      </c>
      <c r="CC1159">
        <f>IFERROR(INDEX(PP_Grid[#Data],$DE1159,78),0)</f>
        <v/>
      </c>
      <c r="CD1159">
        <f>IFERROR(INDEX(PP_Grid[#Data],$DE1159,79),0)</f>
        <v/>
      </c>
      <c r="CE1159">
        <f>IFERROR(INDEX(PP_Grid[#Data],$DE1159,80),0)</f>
        <v/>
      </c>
      <c r="CF1159">
        <f>IFERROR(INDEX(PP_Grid[#Data],$DE1159,81),0)</f>
        <v/>
      </c>
      <c r="CG1159">
        <f>IFERROR(INDEX(PP_Grid[#Data],$DE1159,82),0)</f>
        <v/>
      </c>
      <c r="CH1159">
        <f>IFERROR(INDEX(PP_Grid[#Data],$DE1159,83),0)</f>
        <v/>
      </c>
      <c r="CI1159">
        <f>IFERROR(INDEX(PP_Grid[#Data],$DE1159,84),0)</f>
        <v/>
      </c>
      <c r="CJ1159">
        <f>IFERROR(INDEX(PP_Grid[#Data],$DE1159,85),0)</f>
        <v/>
      </c>
      <c r="CK1159">
        <f>IFERROR(INDEX(PP_Grid[#Data],$DE1159,86),0)</f>
        <v/>
      </c>
      <c r="CL1159">
        <f>IFERROR(INDEX(PP_Grid[#Data],$DE1159,87),0)</f>
        <v/>
      </c>
      <c r="CM1159">
        <f>IFERROR(INDEX(PP_Grid[#Data],$DE1159,88),0)</f>
        <v/>
      </c>
      <c r="CN1159">
        <f>IFERROR(INDEX(PP_Grid[#Data],$DE1159,89),0)</f>
        <v/>
      </c>
      <c r="CO1159">
        <f>IFERROR(INDEX(PP_Grid[#Data],$DE1159,90),0)</f>
        <v/>
      </c>
      <c r="CP1159">
        <f>IFERROR(INDEX(PP_Grid[#Data],$DE1159,91),0)</f>
        <v/>
      </c>
      <c r="CQ1159">
        <f>IFERROR(INDEX(PP_Grid[#Data],$DE1159,92),0)</f>
        <v/>
      </c>
      <c r="CR1159">
        <f>IFERROR(INDEX(PP_Grid[#Data],$DE1159,93),0)</f>
        <v/>
      </c>
      <c r="CS1159">
        <f>IFERROR(INDEX(PP_Grid[#Data],$DE1159,94),0)</f>
        <v/>
      </c>
      <c r="CT1159">
        <f>IFERROR(INDEX(PP_Grid[#Data],$DE1159,95),0)</f>
        <v/>
      </c>
      <c r="CU1159">
        <f>IFERROR(INDEX(PP_Grid[#Data],$DE1159,96),0)</f>
        <v/>
      </c>
      <c r="CV1159">
        <f>IFERROR(INDEX(PP_Grid[#Data],$DE1159,97),0)</f>
        <v/>
      </c>
      <c r="CW1159">
        <f>IFERROR(INDEX(PP_Grid[#Data],$DE1159,98),0)</f>
        <v/>
      </c>
      <c r="CX1159">
        <f>IFERROR(INDEX(PP_Grid[#Data],$DE1159,99),0)</f>
        <v/>
      </c>
      <c r="CY1159">
        <f>IFERROR(INDEX(PP_Grid[#Data],$DE1159,100),0)</f>
        <v/>
      </c>
      <c r="CZ1159">
        <f>IFERROR(INDEX(PP_Grid[#Data],$DE1159,101),0)</f>
        <v/>
      </c>
      <c r="DA1159">
        <f>IFERROR(INDEX(PP_Grid[#Data],$DE1159,102),0)</f>
        <v/>
      </c>
      <c r="DB1159">
        <f>IFERROR(INDEX(PP_Grid[#Data],$DE1159,103),0)</f>
        <v/>
      </c>
      <c r="DC1159">
        <f>IFERROR(INDEX(PP_Grid[#Data],$DE1159,104),0)</f>
        <v/>
      </c>
      <c r="DD1159">
        <f>IFERROR(INDEX(PP_Grid[#Data],$DE1159,105),0)</f>
        <v/>
      </c>
      <c r="DE1159" s="7">
        <f>IFERROR(MATCH($B1159,PP_Grid[Intermediate],0),99999)</f>
        <v/>
      </c>
    </row>
    <row r="1160">
      <c r="B1160" t="inlineStr">
        <is>
          <t>使用量(kg)</t>
        </is>
      </c>
      <c r="C1160">
        <f>SUMIFS(M_BOM[RM_Qty_Per_Batch],M_BOM[Intermediate],$B1159,M_BOM[RM_Code],$A1140)</f>
        <v/>
      </c>
      <c r="D1160">
        <f>IFERROR(INDEX(E1160:DD1160,$F$1),"")</f>
        <v/>
      </c>
      <c r="E1160">
        <f>$C1160*E1159</f>
        <v/>
      </c>
      <c r="F1160">
        <f>$C1160*F1159</f>
        <v/>
      </c>
      <c r="G1160">
        <f>$C1160*G1159</f>
        <v/>
      </c>
      <c r="H1160">
        <f>$C1160*H1159</f>
        <v/>
      </c>
      <c r="I1160">
        <f>$C1160*I1159</f>
        <v/>
      </c>
      <c r="J1160">
        <f>$C1160*J1159</f>
        <v/>
      </c>
      <c r="K1160">
        <f>$C1160*K1159</f>
        <v/>
      </c>
      <c r="L1160">
        <f>$C1160*L1159</f>
        <v/>
      </c>
      <c r="M1160">
        <f>$C1160*M1159</f>
        <v/>
      </c>
      <c r="N1160">
        <f>$C1160*N1159</f>
        <v/>
      </c>
      <c r="O1160">
        <f>$C1160*O1159</f>
        <v/>
      </c>
      <c r="P1160">
        <f>$C1160*P1159</f>
        <v/>
      </c>
      <c r="Q1160">
        <f>$C1160*Q1159</f>
        <v/>
      </c>
      <c r="R1160">
        <f>$C1160*R1159</f>
        <v/>
      </c>
      <c r="S1160">
        <f>$C1160*S1159</f>
        <v/>
      </c>
      <c r="T1160">
        <f>$C1160*T1159</f>
        <v/>
      </c>
      <c r="U1160">
        <f>$C1160*U1159</f>
        <v/>
      </c>
      <c r="V1160">
        <f>$C1160*V1159</f>
        <v/>
      </c>
      <c r="W1160">
        <f>$C1160*W1159</f>
        <v/>
      </c>
      <c r="X1160">
        <f>$C1160*X1159</f>
        <v/>
      </c>
      <c r="Y1160">
        <f>$C1160*Y1159</f>
        <v/>
      </c>
      <c r="Z1160">
        <f>$C1160*Z1159</f>
        <v/>
      </c>
      <c r="AA1160">
        <f>$C1160*AA1159</f>
        <v/>
      </c>
      <c r="AB1160">
        <f>$C1160*AB1159</f>
        <v/>
      </c>
      <c r="AC1160">
        <f>$C1160*AC1159</f>
        <v/>
      </c>
      <c r="AD1160">
        <f>$C1160*AD1159</f>
        <v/>
      </c>
      <c r="AE1160">
        <f>$C1160*AE1159</f>
        <v/>
      </c>
      <c r="AF1160">
        <f>$C1160*AF1159</f>
        <v/>
      </c>
      <c r="AG1160">
        <f>$C1160*AG1159</f>
        <v/>
      </c>
      <c r="AH1160">
        <f>$C1160*AH1159</f>
        <v/>
      </c>
      <c r="AI1160">
        <f>$C1160*AI1159</f>
        <v/>
      </c>
      <c r="AJ1160">
        <f>$C1160*AJ1159</f>
        <v/>
      </c>
      <c r="AK1160">
        <f>$C1160*AK1159</f>
        <v/>
      </c>
      <c r="AL1160">
        <f>$C1160*AL1159</f>
        <v/>
      </c>
      <c r="AM1160">
        <f>$C1160*AM1159</f>
        <v/>
      </c>
      <c r="AN1160">
        <f>$C1160*AN1159</f>
        <v/>
      </c>
      <c r="AO1160">
        <f>$C1160*AO1159</f>
        <v/>
      </c>
      <c r="AP1160">
        <f>$C1160*AP1159</f>
        <v/>
      </c>
      <c r="AQ1160">
        <f>$C1160*AQ1159</f>
        <v/>
      </c>
      <c r="AR1160">
        <f>$C1160*AR1159</f>
        <v/>
      </c>
      <c r="AS1160">
        <f>$C1160*AS1159</f>
        <v/>
      </c>
      <c r="AT1160">
        <f>$C1160*AT1159</f>
        <v/>
      </c>
      <c r="AU1160">
        <f>$C1160*AU1159</f>
        <v/>
      </c>
      <c r="AV1160">
        <f>$C1160*AV1159</f>
        <v/>
      </c>
      <c r="AW1160">
        <f>$C1160*AW1159</f>
        <v/>
      </c>
      <c r="AX1160">
        <f>$C1160*AX1159</f>
        <v/>
      </c>
      <c r="AY1160">
        <f>$C1160*AY1159</f>
        <v/>
      </c>
      <c r="AZ1160">
        <f>$C1160*AZ1159</f>
        <v/>
      </c>
      <c r="BA1160">
        <f>$C1160*BA1159</f>
        <v/>
      </c>
      <c r="BB1160">
        <f>$C1160*BB1159</f>
        <v/>
      </c>
      <c r="BC1160">
        <f>$C1160*BC1159</f>
        <v/>
      </c>
      <c r="BD1160">
        <f>$C1160*BD1159</f>
        <v/>
      </c>
      <c r="BE1160">
        <f>$C1160*BE1159</f>
        <v/>
      </c>
      <c r="BF1160">
        <f>$C1160*BF1159</f>
        <v/>
      </c>
      <c r="BG1160">
        <f>$C1160*BG1159</f>
        <v/>
      </c>
      <c r="BH1160">
        <f>$C1160*BH1159</f>
        <v/>
      </c>
      <c r="BI1160">
        <f>$C1160*BI1159</f>
        <v/>
      </c>
      <c r="BJ1160">
        <f>$C1160*BJ1159</f>
        <v/>
      </c>
      <c r="BK1160">
        <f>$C1160*BK1159</f>
        <v/>
      </c>
      <c r="BL1160">
        <f>$C1160*BL1159</f>
        <v/>
      </c>
      <c r="BM1160">
        <f>$C1160*BM1159</f>
        <v/>
      </c>
      <c r="BN1160">
        <f>$C1160*BN1159</f>
        <v/>
      </c>
      <c r="BO1160">
        <f>$C1160*BO1159</f>
        <v/>
      </c>
      <c r="BP1160">
        <f>$C1160*BP1159</f>
        <v/>
      </c>
      <c r="BQ1160">
        <f>$C1160*BQ1159</f>
        <v/>
      </c>
      <c r="BR1160">
        <f>$C1160*BR1159</f>
        <v/>
      </c>
      <c r="BS1160">
        <f>$C1160*BS1159</f>
        <v/>
      </c>
      <c r="BT1160">
        <f>$C1160*BT1159</f>
        <v/>
      </c>
      <c r="BU1160">
        <f>$C1160*BU1159</f>
        <v/>
      </c>
      <c r="BV1160">
        <f>$C1160*BV1159</f>
        <v/>
      </c>
      <c r="BW1160">
        <f>$C1160*BW1159</f>
        <v/>
      </c>
      <c r="BX1160">
        <f>$C1160*BX1159</f>
        <v/>
      </c>
      <c r="BY1160">
        <f>$C1160*BY1159</f>
        <v/>
      </c>
      <c r="BZ1160">
        <f>$C1160*BZ1159</f>
        <v/>
      </c>
      <c r="CA1160">
        <f>$C1160*CA1159</f>
        <v/>
      </c>
      <c r="CB1160">
        <f>$C1160*CB1159</f>
        <v/>
      </c>
      <c r="CC1160">
        <f>$C1160*CC1159</f>
        <v/>
      </c>
      <c r="CD1160">
        <f>$C1160*CD1159</f>
        <v/>
      </c>
      <c r="CE1160">
        <f>$C1160*CE1159</f>
        <v/>
      </c>
      <c r="CF1160">
        <f>$C1160*CF1159</f>
        <v/>
      </c>
      <c r="CG1160">
        <f>$C1160*CG1159</f>
        <v/>
      </c>
      <c r="CH1160">
        <f>$C1160*CH1159</f>
        <v/>
      </c>
      <c r="CI1160">
        <f>$C1160*CI1159</f>
        <v/>
      </c>
      <c r="CJ1160">
        <f>$C1160*CJ1159</f>
        <v/>
      </c>
      <c r="CK1160">
        <f>$C1160*CK1159</f>
        <v/>
      </c>
      <c r="CL1160">
        <f>$C1160*CL1159</f>
        <v/>
      </c>
      <c r="CM1160">
        <f>$C1160*CM1159</f>
        <v/>
      </c>
      <c r="CN1160">
        <f>$C1160*CN1159</f>
        <v/>
      </c>
      <c r="CO1160">
        <f>$C1160*CO1159</f>
        <v/>
      </c>
      <c r="CP1160">
        <f>$C1160*CP1159</f>
        <v/>
      </c>
      <c r="CQ1160">
        <f>$C1160*CQ1159</f>
        <v/>
      </c>
      <c r="CR1160">
        <f>$C1160*CR1159</f>
        <v/>
      </c>
      <c r="CS1160">
        <f>$C1160*CS1159</f>
        <v/>
      </c>
      <c r="CT1160">
        <f>$C1160*CT1159</f>
        <v/>
      </c>
      <c r="CU1160">
        <f>$C1160*CU1159</f>
        <v/>
      </c>
      <c r="CV1160">
        <f>$C1160*CV1159</f>
        <v/>
      </c>
      <c r="CW1160">
        <f>$C1160*CW1159</f>
        <v/>
      </c>
      <c r="CX1160">
        <f>$C1160*CX1159</f>
        <v/>
      </c>
      <c r="CY1160">
        <f>$C1160*CY1159</f>
        <v/>
      </c>
      <c r="CZ1160">
        <f>$C1160*CZ1159</f>
        <v/>
      </c>
      <c r="DA1160">
        <f>$C1160*DA1159</f>
        <v/>
      </c>
      <c r="DB1160">
        <f>$C1160*DB1159</f>
        <v/>
      </c>
      <c r="DC1160">
        <f>$C1160*DC1159</f>
        <v/>
      </c>
      <c r="DD1160">
        <f>$C1160*DD1159</f>
        <v/>
      </c>
    </row>
    <row r="1161">
      <c r="B1161" t="inlineStr">
        <is>
          <t>TPP-537</t>
        </is>
      </c>
      <c r="C1161" t="inlineStr">
        <is>
          <t>No. of batches</t>
        </is>
      </c>
      <c r="D1161">
        <f>IFERROR(INDEX(E1161:DD1161,$F$1),"")</f>
        <v/>
      </c>
      <c r="E1161">
        <f>IFERROR(INDEX(PP_Grid[#Data],$DE1161,2),0)</f>
        <v/>
      </c>
      <c r="F1161">
        <f>IFERROR(INDEX(PP_Grid[#Data],$DE1161,3),0)</f>
        <v/>
      </c>
      <c r="G1161">
        <f>IFERROR(INDEX(PP_Grid[#Data],$DE1161,4),0)</f>
        <v/>
      </c>
      <c r="H1161">
        <f>IFERROR(INDEX(PP_Grid[#Data],$DE1161,5),0)</f>
        <v/>
      </c>
      <c r="I1161">
        <f>IFERROR(INDEX(PP_Grid[#Data],$DE1161,6),0)</f>
        <v/>
      </c>
      <c r="J1161">
        <f>IFERROR(INDEX(PP_Grid[#Data],$DE1161,7),0)</f>
        <v/>
      </c>
      <c r="K1161">
        <f>IFERROR(INDEX(PP_Grid[#Data],$DE1161,8),0)</f>
        <v/>
      </c>
      <c r="L1161">
        <f>IFERROR(INDEX(PP_Grid[#Data],$DE1161,9),0)</f>
        <v/>
      </c>
      <c r="M1161">
        <f>IFERROR(INDEX(PP_Grid[#Data],$DE1161,10),0)</f>
        <v/>
      </c>
      <c r="N1161">
        <f>IFERROR(INDEX(PP_Grid[#Data],$DE1161,11),0)</f>
        <v/>
      </c>
      <c r="O1161">
        <f>IFERROR(INDEX(PP_Grid[#Data],$DE1161,12),0)</f>
        <v/>
      </c>
      <c r="P1161">
        <f>IFERROR(INDEX(PP_Grid[#Data],$DE1161,13),0)</f>
        <v/>
      </c>
      <c r="Q1161">
        <f>IFERROR(INDEX(PP_Grid[#Data],$DE1161,14),0)</f>
        <v/>
      </c>
      <c r="R1161">
        <f>IFERROR(INDEX(PP_Grid[#Data],$DE1161,15),0)</f>
        <v/>
      </c>
      <c r="S1161">
        <f>IFERROR(INDEX(PP_Grid[#Data],$DE1161,16),0)</f>
        <v/>
      </c>
      <c r="T1161">
        <f>IFERROR(INDEX(PP_Grid[#Data],$DE1161,17),0)</f>
        <v/>
      </c>
      <c r="U1161">
        <f>IFERROR(INDEX(PP_Grid[#Data],$DE1161,18),0)</f>
        <v/>
      </c>
      <c r="V1161">
        <f>IFERROR(INDEX(PP_Grid[#Data],$DE1161,19),0)</f>
        <v/>
      </c>
      <c r="W1161">
        <f>IFERROR(INDEX(PP_Grid[#Data],$DE1161,20),0)</f>
        <v/>
      </c>
      <c r="X1161">
        <f>IFERROR(INDEX(PP_Grid[#Data],$DE1161,21),0)</f>
        <v/>
      </c>
      <c r="Y1161">
        <f>IFERROR(INDEX(PP_Grid[#Data],$DE1161,22),0)</f>
        <v/>
      </c>
      <c r="Z1161">
        <f>IFERROR(INDEX(PP_Grid[#Data],$DE1161,23),0)</f>
        <v/>
      </c>
      <c r="AA1161">
        <f>IFERROR(INDEX(PP_Grid[#Data],$DE1161,24),0)</f>
        <v/>
      </c>
      <c r="AB1161">
        <f>IFERROR(INDEX(PP_Grid[#Data],$DE1161,25),0)</f>
        <v/>
      </c>
      <c r="AC1161">
        <f>IFERROR(INDEX(PP_Grid[#Data],$DE1161,26),0)</f>
        <v/>
      </c>
      <c r="AD1161">
        <f>IFERROR(INDEX(PP_Grid[#Data],$DE1161,27),0)</f>
        <v/>
      </c>
      <c r="AE1161">
        <f>IFERROR(INDEX(PP_Grid[#Data],$DE1161,28),0)</f>
        <v/>
      </c>
      <c r="AF1161">
        <f>IFERROR(INDEX(PP_Grid[#Data],$DE1161,29),0)</f>
        <v/>
      </c>
      <c r="AG1161">
        <f>IFERROR(INDEX(PP_Grid[#Data],$DE1161,30),0)</f>
        <v/>
      </c>
      <c r="AH1161">
        <f>IFERROR(INDEX(PP_Grid[#Data],$DE1161,31),0)</f>
        <v/>
      </c>
      <c r="AI1161">
        <f>IFERROR(INDEX(PP_Grid[#Data],$DE1161,32),0)</f>
        <v/>
      </c>
      <c r="AJ1161">
        <f>IFERROR(INDEX(PP_Grid[#Data],$DE1161,33),0)</f>
        <v/>
      </c>
      <c r="AK1161">
        <f>IFERROR(INDEX(PP_Grid[#Data],$DE1161,34),0)</f>
        <v/>
      </c>
      <c r="AL1161">
        <f>IFERROR(INDEX(PP_Grid[#Data],$DE1161,35),0)</f>
        <v/>
      </c>
      <c r="AM1161">
        <f>IFERROR(INDEX(PP_Grid[#Data],$DE1161,36),0)</f>
        <v/>
      </c>
      <c r="AN1161">
        <f>IFERROR(INDEX(PP_Grid[#Data],$DE1161,37),0)</f>
        <v/>
      </c>
      <c r="AO1161">
        <f>IFERROR(INDEX(PP_Grid[#Data],$DE1161,38),0)</f>
        <v/>
      </c>
      <c r="AP1161">
        <f>IFERROR(INDEX(PP_Grid[#Data],$DE1161,39),0)</f>
        <v/>
      </c>
      <c r="AQ1161">
        <f>IFERROR(INDEX(PP_Grid[#Data],$DE1161,40),0)</f>
        <v/>
      </c>
      <c r="AR1161">
        <f>IFERROR(INDEX(PP_Grid[#Data],$DE1161,41),0)</f>
        <v/>
      </c>
      <c r="AS1161">
        <f>IFERROR(INDEX(PP_Grid[#Data],$DE1161,42),0)</f>
        <v/>
      </c>
      <c r="AT1161">
        <f>IFERROR(INDEX(PP_Grid[#Data],$DE1161,43),0)</f>
        <v/>
      </c>
      <c r="AU1161">
        <f>IFERROR(INDEX(PP_Grid[#Data],$DE1161,44),0)</f>
        <v/>
      </c>
      <c r="AV1161">
        <f>IFERROR(INDEX(PP_Grid[#Data],$DE1161,45),0)</f>
        <v/>
      </c>
      <c r="AW1161">
        <f>IFERROR(INDEX(PP_Grid[#Data],$DE1161,46),0)</f>
        <v/>
      </c>
      <c r="AX1161">
        <f>IFERROR(INDEX(PP_Grid[#Data],$DE1161,47),0)</f>
        <v/>
      </c>
      <c r="AY1161">
        <f>IFERROR(INDEX(PP_Grid[#Data],$DE1161,48),0)</f>
        <v/>
      </c>
      <c r="AZ1161">
        <f>IFERROR(INDEX(PP_Grid[#Data],$DE1161,49),0)</f>
        <v/>
      </c>
      <c r="BA1161">
        <f>IFERROR(INDEX(PP_Grid[#Data],$DE1161,50),0)</f>
        <v/>
      </c>
      <c r="BB1161">
        <f>IFERROR(INDEX(PP_Grid[#Data],$DE1161,51),0)</f>
        <v/>
      </c>
      <c r="BC1161">
        <f>IFERROR(INDEX(PP_Grid[#Data],$DE1161,52),0)</f>
        <v/>
      </c>
      <c r="BD1161">
        <f>IFERROR(INDEX(PP_Grid[#Data],$DE1161,53),0)</f>
        <v/>
      </c>
      <c r="BE1161">
        <f>IFERROR(INDEX(PP_Grid[#Data],$DE1161,54),0)</f>
        <v/>
      </c>
      <c r="BF1161">
        <f>IFERROR(INDEX(PP_Grid[#Data],$DE1161,55),0)</f>
        <v/>
      </c>
      <c r="BG1161">
        <f>IFERROR(INDEX(PP_Grid[#Data],$DE1161,56),0)</f>
        <v/>
      </c>
      <c r="BH1161">
        <f>IFERROR(INDEX(PP_Grid[#Data],$DE1161,57),0)</f>
        <v/>
      </c>
      <c r="BI1161">
        <f>IFERROR(INDEX(PP_Grid[#Data],$DE1161,58),0)</f>
        <v/>
      </c>
      <c r="BJ1161">
        <f>IFERROR(INDEX(PP_Grid[#Data],$DE1161,59),0)</f>
        <v/>
      </c>
      <c r="BK1161">
        <f>IFERROR(INDEX(PP_Grid[#Data],$DE1161,60),0)</f>
        <v/>
      </c>
      <c r="BL1161">
        <f>IFERROR(INDEX(PP_Grid[#Data],$DE1161,61),0)</f>
        <v/>
      </c>
      <c r="BM1161">
        <f>IFERROR(INDEX(PP_Grid[#Data],$DE1161,62),0)</f>
        <v/>
      </c>
      <c r="BN1161">
        <f>IFERROR(INDEX(PP_Grid[#Data],$DE1161,63),0)</f>
        <v/>
      </c>
      <c r="BO1161">
        <f>IFERROR(INDEX(PP_Grid[#Data],$DE1161,64),0)</f>
        <v/>
      </c>
      <c r="BP1161">
        <f>IFERROR(INDEX(PP_Grid[#Data],$DE1161,65),0)</f>
        <v/>
      </c>
      <c r="BQ1161">
        <f>IFERROR(INDEX(PP_Grid[#Data],$DE1161,66),0)</f>
        <v/>
      </c>
      <c r="BR1161">
        <f>IFERROR(INDEX(PP_Grid[#Data],$DE1161,67),0)</f>
        <v/>
      </c>
      <c r="BS1161">
        <f>IFERROR(INDEX(PP_Grid[#Data],$DE1161,68),0)</f>
        <v/>
      </c>
      <c r="BT1161">
        <f>IFERROR(INDEX(PP_Grid[#Data],$DE1161,69),0)</f>
        <v/>
      </c>
      <c r="BU1161">
        <f>IFERROR(INDEX(PP_Grid[#Data],$DE1161,70),0)</f>
        <v/>
      </c>
      <c r="BV1161">
        <f>IFERROR(INDEX(PP_Grid[#Data],$DE1161,71),0)</f>
        <v/>
      </c>
      <c r="BW1161">
        <f>IFERROR(INDEX(PP_Grid[#Data],$DE1161,72),0)</f>
        <v/>
      </c>
      <c r="BX1161">
        <f>IFERROR(INDEX(PP_Grid[#Data],$DE1161,73),0)</f>
        <v/>
      </c>
      <c r="BY1161">
        <f>IFERROR(INDEX(PP_Grid[#Data],$DE1161,74),0)</f>
        <v/>
      </c>
      <c r="BZ1161">
        <f>IFERROR(INDEX(PP_Grid[#Data],$DE1161,75),0)</f>
        <v/>
      </c>
      <c r="CA1161">
        <f>IFERROR(INDEX(PP_Grid[#Data],$DE1161,76),0)</f>
        <v/>
      </c>
      <c r="CB1161">
        <f>IFERROR(INDEX(PP_Grid[#Data],$DE1161,77),0)</f>
        <v/>
      </c>
      <c r="CC1161">
        <f>IFERROR(INDEX(PP_Grid[#Data],$DE1161,78),0)</f>
        <v/>
      </c>
      <c r="CD1161">
        <f>IFERROR(INDEX(PP_Grid[#Data],$DE1161,79),0)</f>
        <v/>
      </c>
      <c r="CE1161">
        <f>IFERROR(INDEX(PP_Grid[#Data],$DE1161,80),0)</f>
        <v/>
      </c>
      <c r="CF1161">
        <f>IFERROR(INDEX(PP_Grid[#Data],$DE1161,81),0)</f>
        <v/>
      </c>
      <c r="CG1161">
        <f>IFERROR(INDEX(PP_Grid[#Data],$DE1161,82),0)</f>
        <v/>
      </c>
      <c r="CH1161">
        <f>IFERROR(INDEX(PP_Grid[#Data],$DE1161,83),0)</f>
        <v/>
      </c>
      <c r="CI1161">
        <f>IFERROR(INDEX(PP_Grid[#Data],$DE1161,84),0)</f>
        <v/>
      </c>
      <c r="CJ1161">
        <f>IFERROR(INDEX(PP_Grid[#Data],$DE1161,85),0)</f>
        <v/>
      </c>
      <c r="CK1161">
        <f>IFERROR(INDEX(PP_Grid[#Data],$DE1161,86),0)</f>
        <v/>
      </c>
      <c r="CL1161">
        <f>IFERROR(INDEX(PP_Grid[#Data],$DE1161,87),0)</f>
        <v/>
      </c>
      <c r="CM1161">
        <f>IFERROR(INDEX(PP_Grid[#Data],$DE1161,88),0)</f>
        <v/>
      </c>
      <c r="CN1161">
        <f>IFERROR(INDEX(PP_Grid[#Data],$DE1161,89),0)</f>
        <v/>
      </c>
      <c r="CO1161">
        <f>IFERROR(INDEX(PP_Grid[#Data],$DE1161,90),0)</f>
        <v/>
      </c>
      <c r="CP1161">
        <f>IFERROR(INDEX(PP_Grid[#Data],$DE1161,91),0)</f>
        <v/>
      </c>
      <c r="CQ1161">
        <f>IFERROR(INDEX(PP_Grid[#Data],$DE1161,92),0)</f>
        <v/>
      </c>
      <c r="CR1161">
        <f>IFERROR(INDEX(PP_Grid[#Data],$DE1161,93),0)</f>
        <v/>
      </c>
      <c r="CS1161">
        <f>IFERROR(INDEX(PP_Grid[#Data],$DE1161,94),0)</f>
        <v/>
      </c>
      <c r="CT1161">
        <f>IFERROR(INDEX(PP_Grid[#Data],$DE1161,95),0)</f>
        <v/>
      </c>
      <c r="CU1161">
        <f>IFERROR(INDEX(PP_Grid[#Data],$DE1161,96),0)</f>
        <v/>
      </c>
      <c r="CV1161">
        <f>IFERROR(INDEX(PP_Grid[#Data],$DE1161,97),0)</f>
        <v/>
      </c>
      <c r="CW1161">
        <f>IFERROR(INDEX(PP_Grid[#Data],$DE1161,98),0)</f>
        <v/>
      </c>
      <c r="CX1161">
        <f>IFERROR(INDEX(PP_Grid[#Data],$DE1161,99),0)</f>
        <v/>
      </c>
      <c r="CY1161">
        <f>IFERROR(INDEX(PP_Grid[#Data],$DE1161,100),0)</f>
        <v/>
      </c>
      <c r="CZ1161">
        <f>IFERROR(INDEX(PP_Grid[#Data],$DE1161,101),0)</f>
        <v/>
      </c>
      <c r="DA1161">
        <f>IFERROR(INDEX(PP_Grid[#Data],$DE1161,102),0)</f>
        <v/>
      </c>
      <c r="DB1161">
        <f>IFERROR(INDEX(PP_Grid[#Data],$DE1161,103),0)</f>
        <v/>
      </c>
      <c r="DC1161">
        <f>IFERROR(INDEX(PP_Grid[#Data],$DE1161,104),0)</f>
        <v/>
      </c>
      <c r="DD1161">
        <f>IFERROR(INDEX(PP_Grid[#Data],$DE1161,105),0)</f>
        <v/>
      </c>
      <c r="DE1161" s="7">
        <f>IFERROR(MATCH($B1161,PP_Grid[Intermediate],0),99999)</f>
        <v/>
      </c>
    </row>
    <row r="1162">
      <c r="B1162" t="inlineStr">
        <is>
          <t>使用量(kg)</t>
        </is>
      </c>
      <c r="C1162">
        <f>SUMIFS(M_BOM[RM_Qty_Per_Batch],M_BOM[Intermediate],$B1161,M_BOM[RM_Code],$A1140)</f>
        <v/>
      </c>
      <c r="D1162">
        <f>IFERROR(INDEX(E1162:DD1162,$F$1),"")</f>
        <v/>
      </c>
      <c r="E1162">
        <f>$C1162*E1161</f>
        <v/>
      </c>
      <c r="F1162">
        <f>$C1162*F1161</f>
        <v/>
      </c>
      <c r="G1162">
        <f>$C1162*G1161</f>
        <v/>
      </c>
      <c r="H1162">
        <f>$C1162*H1161</f>
        <v/>
      </c>
      <c r="I1162">
        <f>$C1162*I1161</f>
        <v/>
      </c>
      <c r="J1162">
        <f>$C1162*J1161</f>
        <v/>
      </c>
      <c r="K1162">
        <f>$C1162*K1161</f>
        <v/>
      </c>
      <c r="L1162">
        <f>$C1162*L1161</f>
        <v/>
      </c>
      <c r="M1162">
        <f>$C1162*M1161</f>
        <v/>
      </c>
      <c r="N1162">
        <f>$C1162*N1161</f>
        <v/>
      </c>
      <c r="O1162">
        <f>$C1162*O1161</f>
        <v/>
      </c>
      <c r="P1162">
        <f>$C1162*P1161</f>
        <v/>
      </c>
      <c r="Q1162">
        <f>$C1162*Q1161</f>
        <v/>
      </c>
      <c r="R1162">
        <f>$C1162*R1161</f>
        <v/>
      </c>
      <c r="S1162">
        <f>$C1162*S1161</f>
        <v/>
      </c>
      <c r="T1162">
        <f>$C1162*T1161</f>
        <v/>
      </c>
      <c r="U1162">
        <f>$C1162*U1161</f>
        <v/>
      </c>
      <c r="V1162">
        <f>$C1162*V1161</f>
        <v/>
      </c>
      <c r="W1162">
        <f>$C1162*W1161</f>
        <v/>
      </c>
      <c r="X1162">
        <f>$C1162*X1161</f>
        <v/>
      </c>
      <c r="Y1162">
        <f>$C1162*Y1161</f>
        <v/>
      </c>
      <c r="Z1162">
        <f>$C1162*Z1161</f>
        <v/>
      </c>
      <c r="AA1162">
        <f>$C1162*AA1161</f>
        <v/>
      </c>
      <c r="AB1162">
        <f>$C1162*AB1161</f>
        <v/>
      </c>
      <c r="AC1162">
        <f>$C1162*AC1161</f>
        <v/>
      </c>
      <c r="AD1162">
        <f>$C1162*AD1161</f>
        <v/>
      </c>
      <c r="AE1162">
        <f>$C1162*AE1161</f>
        <v/>
      </c>
      <c r="AF1162">
        <f>$C1162*AF1161</f>
        <v/>
      </c>
      <c r="AG1162">
        <f>$C1162*AG1161</f>
        <v/>
      </c>
      <c r="AH1162">
        <f>$C1162*AH1161</f>
        <v/>
      </c>
      <c r="AI1162">
        <f>$C1162*AI1161</f>
        <v/>
      </c>
      <c r="AJ1162">
        <f>$C1162*AJ1161</f>
        <v/>
      </c>
      <c r="AK1162">
        <f>$C1162*AK1161</f>
        <v/>
      </c>
      <c r="AL1162">
        <f>$C1162*AL1161</f>
        <v/>
      </c>
      <c r="AM1162">
        <f>$C1162*AM1161</f>
        <v/>
      </c>
      <c r="AN1162">
        <f>$C1162*AN1161</f>
        <v/>
      </c>
      <c r="AO1162">
        <f>$C1162*AO1161</f>
        <v/>
      </c>
      <c r="AP1162">
        <f>$C1162*AP1161</f>
        <v/>
      </c>
      <c r="AQ1162">
        <f>$C1162*AQ1161</f>
        <v/>
      </c>
      <c r="AR1162">
        <f>$C1162*AR1161</f>
        <v/>
      </c>
      <c r="AS1162">
        <f>$C1162*AS1161</f>
        <v/>
      </c>
      <c r="AT1162">
        <f>$C1162*AT1161</f>
        <v/>
      </c>
      <c r="AU1162">
        <f>$C1162*AU1161</f>
        <v/>
      </c>
      <c r="AV1162">
        <f>$C1162*AV1161</f>
        <v/>
      </c>
      <c r="AW1162">
        <f>$C1162*AW1161</f>
        <v/>
      </c>
      <c r="AX1162">
        <f>$C1162*AX1161</f>
        <v/>
      </c>
      <c r="AY1162">
        <f>$C1162*AY1161</f>
        <v/>
      </c>
      <c r="AZ1162">
        <f>$C1162*AZ1161</f>
        <v/>
      </c>
      <c r="BA1162">
        <f>$C1162*BA1161</f>
        <v/>
      </c>
      <c r="BB1162">
        <f>$C1162*BB1161</f>
        <v/>
      </c>
      <c r="BC1162">
        <f>$C1162*BC1161</f>
        <v/>
      </c>
      <c r="BD1162">
        <f>$C1162*BD1161</f>
        <v/>
      </c>
      <c r="BE1162">
        <f>$C1162*BE1161</f>
        <v/>
      </c>
      <c r="BF1162">
        <f>$C1162*BF1161</f>
        <v/>
      </c>
      <c r="BG1162">
        <f>$C1162*BG1161</f>
        <v/>
      </c>
      <c r="BH1162">
        <f>$C1162*BH1161</f>
        <v/>
      </c>
      <c r="BI1162">
        <f>$C1162*BI1161</f>
        <v/>
      </c>
      <c r="BJ1162">
        <f>$C1162*BJ1161</f>
        <v/>
      </c>
      <c r="BK1162">
        <f>$C1162*BK1161</f>
        <v/>
      </c>
      <c r="BL1162">
        <f>$C1162*BL1161</f>
        <v/>
      </c>
      <c r="BM1162">
        <f>$C1162*BM1161</f>
        <v/>
      </c>
      <c r="BN1162">
        <f>$C1162*BN1161</f>
        <v/>
      </c>
      <c r="BO1162">
        <f>$C1162*BO1161</f>
        <v/>
      </c>
      <c r="BP1162">
        <f>$C1162*BP1161</f>
        <v/>
      </c>
      <c r="BQ1162">
        <f>$C1162*BQ1161</f>
        <v/>
      </c>
      <c r="BR1162">
        <f>$C1162*BR1161</f>
        <v/>
      </c>
      <c r="BS1162">
        <f>$C1162*BS1161</f>
        <v/>
      </c>
      <c r="BT1162">
        <f>$C1162*BT1161</f>
        <v/>
      </c>
      <c r="BU1162">
        <f>$C1162*BU1161</f>
        <v/>
      </c>
      <c r="BV1162">
        <f>$C1162*BV1161</f>
        <v/>
      </c>
      <c r="BW1162">
        <f>$C1162*BW1161</f>
        <v/>
      </c>
      <c r="BX1162">
        <f>$C1162*BX1161</f>
        <v/>
      </c>
      <c r="BY1162">
        <f>$C1162*BY1161</f>
        <v/>
      </c>
      <c r="BZ1162">
        <f>$C1162*BZ1161</f>
        <v/>
      </c>
      <c r="CA1162">
        <f>$C1162*CA1161</f>
        <v/>
      </c>
      <c r="CB1162">
        <f>$C1162*CB1161</f>
        <v/>
      </c>
      <c r="CC1162">
        <f>$C1162*CC1161</f>
        <v/>
      </c>
      <c r="CD1162">
        <f>$C1162*CD1161</f>
        <v/>
      </c>
      <c r="CE1162">
        <f>$C1162*CE1161</f>
        <v/>
      </c>
      <c r="CF1162">
        <f>$C1162*CF1161</f>
        <v/>
      </c>
      <c r="CG1162">
        <f>$C1162*CG1161</f>
        <v/>
      </c>
      <c r="CH1162">
        <f>$C1162*CH1161</f>
        <v/>
      </c>
      <c r="CI1162">
        <f>$C1162*CI1161</f>
        <v/>
      </c>
      <c r="CJ1162">
        <f>$C1162*CJ1161</f>
        <v/>
      </c>
      <c r="CK1162">
        <f>$C1162*CK1161</f>
        <v/>
      </c>
      <c r="CL1162">
        <f>$C1162*CL1161</f>
        <v/>
      </c>
      <c r="CM1162">
        <f>$C1162*CM1161</f>
        <v/>
      </c>
      <c r="CN1162">
        <f>$C1162*CN1161</f>
        <v/>
      </c>
      <c r="CO1162">
        <f>$C1162*CO1161</f>
        <v/>
      </c>
      <c r="CP1162">
        <f>$C1162*CP1161</f>
        <v/>
      </c>
      <c r="CQ1162">
        <f>$C1162*CQ1161</f>
        <v/>
      </c>
      <c r="CR1162">
        <f>$C1162*CR1161</f>
        <v/>
      </c>
      <c r="CS1162">
        <f>$C1162*CS1161</f>
        <v/>
      </c>
      <c r="CT1162">
        <f>$C1162*CT1161</f>
        <v/>
      </c>
      <c r="CU1162">
        <f>$C1162*CU1161</f>
        <v/>
      </c>
      <c r="CV1162">
        <f>$C1162*CV1161</f>
        <v/>
      </c>
      <c r="CW1162">
        <f>$C1162*CW1161</f>
        <v/>
      </c>
      <c r="CX1162">
        <f>$C1162*CX1161</f>
        <v/>
      </c>
      <c r="CY1162">
        <f>$C1162*CY1161</f>
        <v/>
      </c>
      <c r="CZ1162">
        <f>$C1162*CZ1161</f>
        <v/>
      </c>
      <c r="DA1162">
        <f>$C1162*DA1161</f>
        <v/>
      </c>
      <c r="DB1162">
        <f>$C1162*DB1161</f>
        <v/>
      </c>
      <c r="DC1162">
        <f>$C1162*DC1161</f>
        <v/>
      </c>
      <c r="DD1162">
        <f>$C1162*DD1161</f>
        <v/>
      </c>
    </row>
    <row r="1163">
      <c r="B1163" t="inlineStr">
        <is>
          <t>TPP-970</t>
        </is>
      </c>
      <c r="C1163" t="inlineStr">
        <is>
          <t>No. of batches</t>
        </is>
      </c>
      <c r="D1163">
        <f>IFERROR(INDEX(E1163:DD1163,$F$1),"")</f>
        <v/>
      </c>
      <c r="E1163">
        <f>IFERROR(INDEX(PP_Grid[#Data],$DE1163,2),0)</f>
        <v/>
      </c>
      <c r="F1163">
        <f>IFERROR(INDEX(PP_Grid[#Data],$DE1163,3),0)</f>
        <v/>
      </c>
      <c r="G1163">
        <f>IFERROR(INDEX(PP_Grid[#Data],$DE1163,4),0)</f>
        <v/>
      </c>
      <c r="H1163">
        <f>IFERROR(INDEX(PP_Grid[#Data],$DE1163,5),0)</f>
        <v/>
      </c>
      <c r="I1163">
        <f>IFERROR(INDEX(PP_Grid[#Data],$DE1163,6),0)</f>
        <v/>
      </c>
      <c r="J1163">
        <f>IFERROR(INDEX(PP_Grid[#Data],$DE1163,7),0)</f>
        <v/>
      </c>
      <c r="K1163">
        <f>IFERROR(INDEX(PP_Grid[#Data],$DE1163,8),0)</f>
        <v/>
      </c>
      <c r="L1163">
        <f>IFERROR(INDEX(PP_Grid[#Data],$DE1163,9),0)</f>
        <v/>
      </c>
      <c r="M1163">
        <f>IFERROR(INDEX(PP_Grid[#Data],$DE1163,10),0)</f>
        <v/>
      </c>
      <c r="N1163">
        <f>IFERROR(INDEX(PP_Grid[#Data],$DE1163,11),0)</f>
        <v/>
      </c>
      <c r="O1163">
        <f>IFERROR(INDEX(PP_Grid[#Data],$DE1163,12),0)</f>
        <v/>
      </c>
      <c r="P1163">
        <f>IFERROR(INDEX(PP_Grid[#Data],$DE1163,13),0)</f>
        <v/>
      </c>
      <c r="Q1163">
        <f>IFERROR(INDEX(PP_Grid[#Data],$DE1163,14),0)</f>
        <v/>
      </c>
      <c r="R1163">
        <f>IFERROR(INDEX(PP_Grid[#Data],$DE1163,15),0)</f>
        <v/>
      </c>
      <c r="S1163">
        <f>IFERROR(INDEX(PP_Grid[#Data],$DE1163,16),0)</f>
        <v/>
      </c>
      <c r="T1163">
        <f>IFERROR(INDEX(PP_Grid[#Data],$DE1163,17),0)</f>
        <v/>
      </c>
      <c r="U1163">
        <f>IFERROR(INDEX(PP_Grid[#Data],$DE1163,18),0)</f>
        <v/>
      </c>
      <c r="V1163">
        <f>IFERROR(INDEX(PP_Grid[#Data],$DE1163,19),0)</f>
        <v/>
      </c>
      <c r="W1163">
        <f>IFERROR(INDEX(PP_Grid[#Data],$DE1163,20),0)</f>
        <v/>
      </c>
      <c r="X1163">
        <f>IFERROR(INDEX(PP_Grid[#Data],$DE1163,21),0)</f>
        <v/>
      </c>
      <c r="Y1163">
        <f>IFERROR(INDEX(PP_Grid[#Data],$DE1163,22),0)</f>
        <v/>
      </c>
      <c r="Z1163">
        <f>IFERROR(INDEX(PP_Grid[#Data],$DE1163,23),0)</f>
        <v/>
      </c>
      <c r="AA1163">
        <f>IFERROR(INDEX(PP_Grid[#Data],$DE1163,24),0)</f>
        <v/>
      </c>
      <c r="AB1163">
        <f>IFERROR(INDEX(PP_Grid[#Data],$DE1163,25),0)</f>
        <v/>
      </c>
      <c r="AC1163">
        <f>IFERROR(INDEX(PP_Grid[#Data],$DE1163,26),0)</f>
        <v/>
      </c>
      <c r="AD1163">
        <f>IFERROR(INDEX(PP_Grid[#Data],$DE1163,27),0)</f>
        <v/>
      </c>
      <c r="AE1163">
        <f>IFERROR(INDEX(PP_Grid[#Data],$DE1163,28),0)</f>
        <v/>
      </c>
      <c r="AF1163">
        <f>IFERROR(INDEX(PP_Grid[#Data],$DE1163,29),0)</f>
        <v/>
      </c>
      <c r="AG1163">
        <f>IFERROR(INDEX(PP_Grid[#Data],$DE1163,30),0)</f>
        <v/>
      </c>
      <c r="AH1163">
        <f>IFERROR(INDEX(PP_Grid[#Data],$DE1163,31),0)</f>
        <v/>
      </c>
      <c r="AI1163">
        <f>IFERROR(INDEX(PP_Grid[#Data],$DE1163,32),0)</f>
        <v/>
      </c>
      <c r="AJ1163">
        <f>IFERROR(INDEX(PP_Grid[#Data],$DE1163,33),0)</f>
        <v/>
      </c>
      <c r="AK1163">
        <f>IFERROR(INDEX(PP_Grid[#Data],$DE1163,34),0)</f>
        <v/>
      </c>
      <c r="AL1163">
        <f>IFERROR(INDEX(PP_Grid[#Data],$DE1163,35),0)</f>
        <v/>
      </c>
      <c r="AM1163">
        <f>IFERROR(INDEX(PP_Grid[#Data],$DE1163,36),0)</f>
        <v/>
      </c>
      <c r="AN1163">
        <f>IFERROR(INDEX(PP_Grid[#Data],$DE1163,37),0)</f>
        <v/>
      </c>
      <c r="AO1163">
        <f>IFERROR(INDEX(PP_Grid[#Data],$DE1163,38),0)</f>
        <v/>
      </c>
      <c r="AP1163">
        <f>IFERROR(INDEX(PP_Grid[#Data],$DE1163,39),0)</f>
        <v/>
      </c>
      <c r="AQ1163">
        <f>IFERROR(INDEX(PP_Grid[#Data],$DE1163,40),0)</f>
        <v/>
      </c>
      <c r="AR1163">
        <f>IFERROR(INDEX(PP_Grid[#Data],$DE1163,41),0)</f>
        <v/>
      </c>
      <c r="AS1163">
        <f>IFERROR(INDEX(PP_Grid[#Data],$DE1163,42),0)</f>
        <v/>
      </c>
      <c r="AT1163">
        <f>IFERROR(INDEX(PP_Grid[#Data],$DE1163,43),0)</f>
        <v/>
      </c>
      <c r="AU1163">
        <f>IFERROR(INDEX(PP_Grid[#Data],$DE1163,44),0)</f>
        <v/>
      </c>
      <c r="AV1163">
        <f>IFERROR(INDEX(PP_Grid[#Data],$DE1163,45),0)</f>
        <v/>
      </c>
      <c r="AW1163">
        <f>IFERROR(INDEX(PP_Grid[#Data],$DE1163,46),0)</f>
        <v/>
      </c>
      <c r="AX1163">
        <f>IFERROR(INDEX(PP_Grid[#Data],$DE1163,47),0)</f>
        <v/>
      </c>
      <c r="AY1163">
        <f>IFERROR(INDEX(PP_Grid[#Data],$DE1163,48),0)</f>
        <v/>
      </c>
      <c r="AZ1163">
        <f>IFERROR(INDEX(PP_Grid[#Data],$DE1163,49),0)</f>
        <v/>
      </c>
      <c r="BA1163">
        <f>IFERROR(INDEX(PP_Grid[#Data],$DE1163,50),0)</f>
        <v/>
      </c>
      <c r="BB1163">
        <f>IFERROR(INDEX(PP_Grid[#Data],$DE1163,51),0)</f>
        <v/>
      </c>
      <c r="BC1163">
        <f>IFERROR(INDEX(PP_Grid[#Data],$DE1163,52),0)</f>
        <v/>
      </c>
      <c r="BD1163">
        <f>IFERROR(INDEX(PP_Grid[#Data],$DE1163,53),0)</f>
        <v/>
      </c>
      <c r="BE1163">
        <f>IFERROR(INDEX(PP_Grid[#Data],$DE1163,54),0)</f>
        <v/>
      </c>
      <c r="BF1163">
        <f>IFERROR(INDEX(PP_Grid[#Data],$DE1163,55),0)</f>
        <v/>
      </c>
      <c r="BG1163">
        <f>IFERROR(INDEX(PP_Grid[#Data],$DE1163,56),0)</f>
        <v/>
      </c>
      <c r="BH1163">
        <f>IFERROR(INDEX(PP_Grid[#Data],$DE1163,57),0)</f>
        <v/>
      </c>
      <c r="BI1163">
        <f>IFERROR(INDEX(PP_Grid[#Data],$DE1163,58),0)</f>
        <v/>
      </c>
      <c r="BJ1163">
        <f>IFERROR(INDEX(PP_Grid[#Data],$DE1163,59),0)</f>
        <v/>
      </c>
      <c r="BK1163">
        <f>IFERROR(INDEX(PP_Grid[#Data],$DE1163,60),0)</f>
        <v/>
      </c>
      <c r="BL1163">
        <f>IFERROR(INDEX(PP_Grid[#Data],$DE1163,61),0)</f>
        <v/>
      </c>
      <c r="BM1163">
        <f>IFERROR(INDEX(PP_Grid[#Data],$DE1163,62),0)</f>
        <v/>
      </c>
      <c r="BN1163">
        <f>IFERROR(INDEX(PP_Grid[#Data],$DE1163,63),0)</f>
        <v/>
      </c>
      <c r="BO1163">
        <f>IFERROR(INDEX(PP_Grid[#Data],$DE1163,64),0)</f>
        <v/>
      </c>
      <c r="BP1163">
        <f>IFERROR(INDEX(PP_Grid[#Data],$DE1163,65),0)</f>
        <v/>
      </c>
      <c r="BQ1163">
        <f>IFERROR(INDEX(PP_Grid[#Data],$DE1163,66),0)</f>
        <v/>
      </c>
      <c r="BR1163">
        <f>IFERROR(INDEX(PP_Grid[#Data],$DE1163,67),0)</f>
        <v/>
      </c>
      <c r="BS1163">
        <f>IFERROR(INDEX(PP_Grid[#Data],$DE1163,68),0)</f>
        <v/>
      </c>
      <c r="BT1163">
        <f>IFERROR(INDEX(PP_Grid[#Data],$DE1163,69),0)</f>
        <v/>
      </c>
      <c r="BU1163">
        <f>IFERROR(INDEX(PP_Grid[#Data],$DE1163,70),0)</f>
        <v/>
      </c>
      <c r="BV1163">
        <f>IFERROR(INDEX(PP_Grid[#Data],$DE1163,71),0)</f>
        <v/>
      </c>
      <c r="BW1163">
        <f>IFERROR(INDEX(PP_Grid[#Data],$DE1163,72),0)</f>
        <v/>
      </c>
      <c r="BX1163">
        <f>IFERROR(INDEX(PP_Grid[#Data],$DE1163,73),0)</f>
        <v/>
      </c>
      <c r="BY1163">
        <f>IFERROR(INDEX(PP_Grid[#Data],$DE1163,74),0)</f>
        <v/>
      </c>
      <c r="BZ1163">
        <f>IFERROR(INDEX(PP_Grid[#Data],$DE1163,75),0)</f>
        <v/>
      </c>
      <c r="CA1163">
        <f>IFERROR(INDEX(PP_Grid[#Data],$DE1163,76),0)</f>
        <v/>
      </c>
      <c r="CB1163">
        <f>IFERROR(INDEX(PP_Grid[#Data],$DE1163,77),0)</f>
        <v/>
      </c>
      <c r="CC1163">
        <f>IFERROR(INDEX(PP_Grid[#Data],$DE1163,78),0)</f>
        <v/>
      </c>
      <c r="CD1163">
        <f>IFERROR(INDEX(PP_Grid[#Data],$DE1163,79),0)</f>
        <v/>
      </c>
      <c r="CE1163">
        <f>IFERROR(INDEX(PP_Grid[#Data],$DE1163,80),0)</f>
        <v/>
      </c>
      <c r="CF1163">
        <f>IFERROR(INDEX(PP_Grid[#Data],$DE1163,81),0)</f>
        <v/>
      </c>
      <c r="CG1163">
        <f>IFERROR(INDEX(PP_Grid[#Data],$DE1163,82),0)</f>
        <v/>
      </c>
      <c r="CH1163">
        <f>IFERROR(INDEX(PP_Grid[#Data],$DE1163,83),0)</f>
        <v/>
      </c>
      <c r="CI1163">
        <f>IFERROR(INDEX(PP_Grid[#Data],$DE1163,84),0)</f>
        <v/>
      </c>
      <c r="CJ1163">
        <f>IFERROR(INDEX(PP_Grid[#Data],$DE1163,85),0)</f>
        <v/>
      </c>
      <c r="CK1163">
        <f>IFERROR(INDEX(PP_Grid[#Data],$DE1163,86),0)</f>
        <v/>
      </c>
      <c r="CL1163">
        <f>IFERROR(INDEX(PP_Grid[#Data],$DE1163,87),0)</f>
        <v/>
      </c>
      <c r="CM1163">
        <f>IFERROR(INDEX(PP_Grid[#Data],$DE1163,88),0)</f>
        <v/>
      </c>
      <c r="CN1163">
        <f>IFERROR(INDEX(PP_Grid[#Data],$DE1163,89),0)</f>
        <v/>
      </c>
      <c r="CO1163">
        <f>IFERROR(INDEX(PP_Grid[#Data],$DE1163,90),0)</f>
        <v/>
      </c>
      <c r="CP1163">
        <f>IFERROR(INDEX(PP_Grid[#Data],$DE1163,91),0)</f>
        <v/>
      </c>
      <c r="CQ1163">
        <f>IFERROR(INDEX(PP_Grid[#Data],$DE1163,92),0)</f>
        <v/>
      </c>
      <c r="CR1163">
        <f>IFERROR(INDEX(PP_Grid[#Data],$DE1163,93),0)</f>
        <v/>
      </c>
      <c r="CS1163">
        <f>IFERROR(INDEX(PP_Grid[#Data],$DE1163,94),0)</f>
        <v/>
      </c>
      <c r="CT1163">
        <f>IFERROR(INDEX(PP_Grid[#Data],$DE1163,95),0)</f>
        <v/>
      </c>
      <c r="CU1163">
        <f>IFERROR(INDEX(PP_Grid[#Data],$DE1163,96),0)</f>
        <v/>
      </c>
      <c r="CV1163">
        <f>IFERROR(INDEX(PP_Grid[#Data],$DE1163,97),0)</f>
        <v/>
      </c>
      <c r="CW1163">
        <f>IFERROR(INDEX(PP_Grid[#Data],$DE1163,98),0)</f>
        <v/>
      </c>
      <c r="CX1163">
        <f>IFERROR(INDEX(PP_Grid[#Data],$DE1163,99),0)</f>
        <v/>
      </c>
      <c r="CY1163">
        <f>IFERROR(INDEX(PP_Grid[#Data],$DE1163,100),0)</f>
        <v/>
      </c>
      <c r="CZ1163">
        <f>IFERROR(INDEX(PP_Grid[#Data],$DE1163,101),0)</f>
        <v/>
      </c>
      <c r="DA1163">
        <f>IFERROR(INDEX(PP_Grid[#Data],$DE1163,102),0)</f>
        <v/>
      </c>
      <c r="DB1163">
        <f>IFERROR(INDEX(PP_Grid[#Data],$DE1163,103),0)</f>
        <v/>
      </c>
      <c r="DC1163">
        <f>IFERROR(INDEX(PP_Grid[#Data],$DE1163,104),0)</f>
        <v/>
      </c>
      <c r="DD1163">
        <f>IFERROR(INDEX(PP_Grid[#Data],$DE1163,105),0)</f>
        <v/>
      </c>
      <c r="DE1163" s="7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SUMIFS(M_BOM[RM_Qty_Per_Batch],M_BOM[Intermediate],$B1163,M_BOM[RM_Code],$A1140)</f>
        <v/>
      </c>
      <c r="D1164">
        <f>IFERROR(INDEX(E1164:DD1164,$F$1),"")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  <c r="DD1164">
        <f>$C1164*DD1163</f>
        <v/>
      </c>
    </row>
    <row r="1165">
      <c r="B1165" t="inlineStr">
        <is>
          <t>No of times used</t>
        </is>
      </c>
      <c r="C1165" t="inlineStr">
        <is>
          <t>No. of batches</t>
        </is>
      </c>
      <c r="D1165">
        <f>IFERROR(INDEX(E1165:DD1165,$F$1),"")</f>
        <v/>
      </c>
      <c r="E1165">
        <f>IFERROR(INDEX(PP_Grid[#Data],$DE1165,2),0)</f>
        <v/>
      </c>
      <c r="F1165">
        <f>IFERROR(INDEX(PP_Grid[#Data],$DE1165,3),0)</f>
        <v/>
      </c>
      <c r="G1165">
        <f>IFERROR(INDEX(PP_Grid[#Data],$DE1165,4),0)</f>
        <v/>
      </c>
      <c r="H1165">
        <f>IFERROR(INDEX(PP_Grid[#Data],$DE1165,5),0)</f>
        <v/>
      </c>
      <c r="I1165">
        <f>IFERROR(INDEX(PP_Grid[#Data],$DE1165,6),0)</f>
        <v/>
      </c>
      <c r="J1165">
        <f>IFERROR(INDEX(PP_Grid[#Data],$DE1165,7),0)</f>
        <v/>
      </c>
      <c r="K1165">
        <f>IFERROR(INDEX(PP_Grid[#Data],$DE1165,8),0)</f>
        <v/>
      </c>
      <c r="L1165">
        <f>IFERROR(INDEX(PP_Grid[#Data],$DE1165,9),0)</f>
        <v/>
      </c>
      <c r="M1165">
        <f>IFERROR(INDEX(PP_Grid[#Data],$DE1165,10),0)</f>
        <v/>
      </c>
      <c r="N1165">
        <f>IFERROR(INDEX(PP_Grid[#Data],$DE1165,11),0)</f>
        <v/>
      </c>
      <c r="O1165">
        <f>IFERROR(INDEX(PP_Grid[#Data],$DE1165,12),0)</f>
        <v/>
      </c>
      <c r="P1165">
        <f>IFERROR(INDEX(PP_Grid[#Data],$DE1165,13),0)</f>
        <v/>
      </c>
      <c r="Q1165">
        <f>IFERROR(INDEX(PP_Grid[#Data],$DE1165,14),0)</f>
        <v/>
      </c>
      <c r="R1165">
        <f>IFERROR(INDEX(PP_Grid[#Data],$DE1165,15),0)</f>
        <v/>
      </c>
      <c r="S1165">
        <f>IFERROR(INDEX(PP_Grid[#Data],$DE1165,16),0)</f>
        <v/>
      </c>
      <c r="T1165">
        <f>IFERROR(INDEX(PP_Grid[#Data],$DE1165,17),0)</f>
        <v/>
      </c>
      <c r="U1165">
        <f>IFERROR(INDEX(PP_Grid[#Data],$DE1165,18),0)</f>
        <v/>
      </c>
      <c r="V1165">
        <f>IFERROR(INDEX(PP_Grid[#Data],$DE1165,19),0)</f>
        <v/>
      </c>
      <c r="W1165">
        <f>IFERROR(INDEX(PP_Grid[#Data],$DE1165,20),0)</f>
        <v/>
      </c>
      <c r="X1165">
        <f>IFERROR(INDEX(PP_Grid[#Data],$DE1165,21),0)</f>
        <v/>
      </c>
      <c r="Y1165">
        <f>IFERROR(INDEX(PP_Grid[#Data],$DE1165,22),0)</f>
        <v/>
      </c>
      <c r="Z1165">
        <f>IFERROR(INDEX(PP_Grid[#Data],$DE1165,23),0)</f>
        <v/>
      </c>
      <c r="AA1165">
        <f>IFERROR(INDEX(PP_Grid[#Data],$DE1165,24),0)</f>
        <v/>
      </c>
      <c r="AB1165">
        <f>IFERROR(INDEX(PP_Grid[#Data],$DE1165,25),0)</f>
        <v/>
      </c>
      <c r="AC1165">
        <f>IFERROR(INDEX(PP_Grid[#Data],$DE1165,26),0)</f>
        <v/>
      </c>
      <c r="AD1165">
        <f>IFERROR(INDEX(PP_Grid[#Data],$DE1165,27),0)</f>
        <v/>
      </c>
      <c r="AE1165">
        <f>IFERROR(INDEX(PP_Grid[#Data],$DE1165,28),0)</f>
        <v/>
      </c>
      <c r="AF1165">
        <f>IFERROR(INDEX(PP_Grid[#Data],$DE1165,29),0)</f>
        <v/>
      </c>
      <c r="AG1165">
        <f>IFERROR(INDEX(PP_Grid[#Data],$DE1165,30),0)</f>
        <v/>
      </c>
      <c r="AH1165">
        <f>IFERROR(INDEX(PP_Grid[#Data],$DE1165,31),0)</f>
        <v/>
      </c>
      <c r="AI1165">
        <f>IFERROR(INDEX(PP_Grid[#Data],$DE1165,32),0)</f>
        <v/>
      </c>
      <c r="AJ1165">
        <f>IFERROR(INDEX(PP_Grid[#Data],$DE1165,33),0)</f>
        <v/>
      </c>
      <c r="AK1165">
        <f>IFERROR(INDEX(PP_Grid[#Data],$DE1165,34),0)</f>
        <v/>
      </c>
      <c r="AL1165">
        <f>IFERROR(INDEX(PP_Grid[#Data],$DE1165,35),0)</f>
        <v/>
      </c>
      <c r="AM1165">
        <f>IFERROR(INDEX(PP_Grid[#Data],$DE1165,36),0)</f>
        <v/>
      </c>
      <c r="AN1165">
        <f>IFERROR(INDEX(PP_Grid[#Data],$DE1165,37),0)</f>
        <v/>
      </c>
      <c r="AO1165">
        <f>IFERROR(INDEX(PP_Grid[#Data],$DE1165,38),0)</f>
        <v/>
      </c>
      <c r="AP1165">
        <f>IFERROR(INDEX(PP_Grid[#Data],$DE1165,39),0)</f>
        <v/>
      </c>
      <c r="AQ1165">
        <f>IFERROR(INDEX(PP_Grid[#Data],$DE1165,40),0)</f>
        <v/>
      </c>
      <c r="AR1165">
        <f>IFERROR(INDEX(PP_Grid[#Data],$DE1165,41),0)</f>
        <v/>
      </c>
      <c r="AS1165">
        <f>IFERROR(INDEX(PP_Grid[#Data],$DE1165,42),0)</f>
        <v/>
      </c>
      <c r="AT1165">
        <f>IFERROR(INDEX(PP_Grid[#Data],$DE1165,43),0)</f>
        <v/>
      </c>
      <c r="AU1165">
        <f>IFERROR(INDEX(PP_Grid[#Data],$DE1165,44),0)</f>
        <v/>
      </c>
      <c r="AV1165">
        <f>IFERROR(INDEX(PP_Grid[#Data],$DE1165,45),0)</f>
        <v/>
      </c>
      <c r="AW1165">
        <f>IFERROR(INDEX(PP_Grid[#Data],$DE1165,46),0)</f>
        <v/>
      </c>
      <c r="AX1165">
        <f>IFERROR(INDEX(PP_Grid[#Data],$DE1165,47),0)</f>
        <v/>
      </c>
      <c r="AY1165">
        <f>IFERROR(INDEX(PP_Grid[#Data],$DE1165,48),0)</f>
        <v/>
      </c>
      <c r="AZ1165">
        <f>IFERROR(INDEX(PP_Grid[#Data],$DE1165,49),0)</f>
        <v/>
      </c>
      <c r="BA1165">
        <f>IFERROR(INDEX(PP_Grid[#Data],$DE1165,50),0)</f>
        <v/>
      </c>
      <c r="BB1165">
        <f>IFERROR(INDEX(PP_Grid[#Data],$DE1165,51),0)</f>
        <v/>
      </c>
      <c r="BC1165">
        <f>IFERROR(INDEX(PP_Grid[#Data],$DE1165,52),0)</f>
        <v/>
      </c>
      <c r="BD1165">
        <f>IFERROR(INDEX(PP_Grid[#Data],$DE1165,53),0)</f>
        <v/>
      </c>
      <c r="BE1165">
        <f>IFERROR(INDEX(PP_Grid[#Data],$DE1165,54),0)</f>
        <v/>
      </c>
      <c r="BF1165">
        <f>IFERROR(INDEX(PP_Grid[#Data],$DE1165,55),0)</f>
        <v/>
      </c>
      <c r="BG1165">
        <f>IFERROR(INDEX(PP_Grid[#Data],$DE1165,56),0)</f>
        <v/>
      </c>
      <c r="BH1165">
        <f>IFERROR(INDEX(PP_Grid[#Data],$DE1165,57),0)</f>
        <v/>
      </c>
      <c r="BI1165">
        <f>IFERROR(INDEX(PP_Grid[#Data],$DE1165,58),0)</f>
        <v/>
      </c>
      <c r="BJ1165">
        <f>IFERROR(INDEX(PP_Grid[#Data],$DE1165,59),0)</f>
        <v/>
      </c>
      <c r="BK1165">
        <f>IFERROR(INDEX(PP_Grid[#Data],$DE1165,60),0)</f>
        <v/>
      </c>
      <c r="BL1165">
        <f>IFERROR(INDEX(PP_Grid[#Data],$DE1165,61),0)</f>
        <v/>
      </c>
      <c r="BM1165">
        <f>IFERROR(INDEX(PP_Grid[#Data],$DE1165,62),0)</f>
        <v/>
      </c>
      <c r="BN1165">
        <f>IFERROR(INDEX(PP_Grid[#Data],$DE1165,63),0)</f>
        <v/>
      </c>
      <c r="BO1165">
        <f>IFERROR(INDEX(PP_Grid[#Data],$DE1165,64),0)</f>
        <v/>
      </c>
      <c r="BP1165">
        <f>IFERROR(INDEX(PP_Grid[#Data],$DE1165,65),0)</f>
        <v/>
      </c>
      <c r="BQ1165">
        <f>IFERROR(INDEX(PP_Grid[#Data],$DE1165,66),0)</f>
        <v/>
      </c>
      <c r="BR1165">
        <f>IFERROR(INDEX(PP_Grid[#Data],$DE1165,67),0)</f>
        <v/>
      </c>
      <c r="BS1165">
        <f>IFERROR(INDEX(PP_Grid[#Data],$DE1165,68),0)</f>
        <v/>
      </c>
      <c r="BT1165">
        <f>IFERROR(INDEX(PP_Grid[#Data],$DE1165,69),0)</f>
        <v/>
      </c>
      <c r="BU1165">
        <f>IFERROR(INDEX(PP_Grid[#Data],$DE1165,70),0)</f>
        <v/>
      </c>
      <c r="BV1165">
        <f>IFERROR(INDEX(PP_Grid[#Data],$DE1165,71),0)</f>
        <v/>
      </c>
      <c r="BW1165">
        <f>IFERROR(INDEX(PP_Grid[#Data],$DE1165,72),0)</f>
        <v/>
      </c>
      <c r="BX1165">
        <f>IFERROR(INDEX(PP_Grid[#Data],$DE1165,73),0)</f>
        <v/>
      </c>
      <c r="BY1165">
        <f>IFERROR(INDEX(PP_Grid[#Data],$DE1165,74),0)</f>
        <v/>
      </c>
      <c r="BZ1165">
        <f>IFERROR(INDEX(PP_Grid[#Data],$DE1165,75),0)</f>
        <v/>
      </c>
      <c r="CA1165">
        <f>IFERROR(INDEX(PP_Grid[#Data],$DE1165,76),0)</f>
        <v/>
      </c>
      <c r="CB1165">
        <f>IFERROR(INDEX(PP_Grid[#Data],$DE1165,77),0)</f>
        <v/>
      </c>
      <c r="CC1165">
        <f>IFERROR(INDEX(PP_Grid[#Data],$DE1165,78),0)</f>
        <v/>
      </c>
      <c r="CD1165">
        <f>IFERROR(INDEX(PP_Grid[#Data],$DE1165,79),0)</f>
        <v/>
      </c>
      <c r="CE1165">
        <f>IFERROR(INDEX(PP_Grid[#Data],$DE1165,80),0)</f>
        <v/>
      </c>
      <c r="CF1165">
        <f>IFERROR(INDEX(PP_Grid[#Data],$DE1165,81),0)</f>
        <v/>
      </c>
      <c r="CG1165">
        <f>IFERROR(INDEX(PP_Grid[#Data],$DE1165,82),0)</f>
        <v/>
      </c>
      <c r="CH1165">
        <f>IFERROR(INDEX(PP_Grid[#Data],$DE1165,83),0)</f>
        <v/>
      </c>
      <c r="CI1165">
        <f>IFERROR(INDEX(PP_Grid[#Data],$DE1165,84),0)</f>
        <v/>
      </c>
      <c r="CJ1165">
        <f>IFERROR(INDEX(PP_Grid[#Data],$DE1165,85),0)</f>
        <v/>
      </c>
      <c r="CK1165">
        <f>IFERROR(INDEX(PP_Grid[#Data],$DE1165,86),0)</f>
        <v/>
      </c>
      <c r="CL1165">
        <f>IFERROR(INDEX(PP_Grid[#Data],$DE1165,87),0)</f>
        <v/>
      </c>
      <c r="CM1165">
        <f>IFERROR(INDEX(PP_Grid[#Data],$DE1165,88),0)</f>
        <v/>
      </c>
      <c r="CN1165">
        <f>IFERROR(INDEX(PP_Grid[#Data],$DE1165,89),0)</f>
        <v/>
      </c>
      <c r="CO1165">
        <f>IFERROR(INDEX(PP_Grid[#Data],$DE1165,90),0)</f>
        <v/>
      </c>
      <c r="CP1165">
        <f>IFERROR(INDEX(PP_Grid[#Data],$DE1165,91),0)</f>
        <v/>
      </c>
      <c r="CQ1165">
        <f>IFERROR(INDEX(PP_Grid[#Data],$DE1165,92),0)</f>
        <v/>
      </c>
      <c r="CR1165">
        <f>IFERROR(INDEX(PP_Grid[#Data],$DE1165,93),0)</f>
        <v/>
      </c>
      <c r="CS1165">
        <f>IFERROR(INDEX(PP_Grid[#Data],$DE1165,94),0)</f>
        <v/>
      </c>
      <c r="CT1165">
        <f>IFERROR(INDEX(PP_Grid[#Data],$DE1165,95),0)</f>
        <v/>
      </c>
      <c r="CU1165">
        <f>IFERROR(INDEX(PP_Grid[#Data],$DE1165,96),0)</f>
        <v/>
      </c>
      <c r="CV1165">
        <f>IFERROR(INDEX(PP_Grid[#Data],$DE1165,97),0)</f>
        <v/>
      </c>
      <c r="CW1165">
        <f>IFERROR(INDEX(PP_Grid[#Data],$DE1165,98),0)</f>
        <v/>
      </c>
      <c r="CX1165">
        <f>IFERROR(INDEX(PP_Grid[#Data],$DE1165,99),0)</f>
        <v/>
      </c>
      <c r="CY1165">
        <f>IFERROR(INDEX(PP_Grid[#Data],$DE1165,100),0)</f>
        <v/>
      </c>
      <c r="CZ1165">
        <f>IFERROR(INDEX(PP_Grid[#Data],$DE1165,101),0)</f>
        <v/>
      </c>
      <c r="DA1165">
        <f>IFERROR(INDEX(PP_Grid[#Data],$DE1165,102),0)</f>
        <v/>
      </c>
      <c r="DB1165">
        <f>IFERROR(INDEX(PP_Grid[#Data],$DE1165,103),0)</f>
        <v/>
      </c>
      <c r="DC1165">
        <f>IFERROR(INDEX(PP_Grid[#Data],$DE1165,104),0)</f>
        <v/>
      </c>
      <c r="DD1165">
        <f>IFERROR(INDEX(PP_Grid[#Data],$DE1165,105),0)</f>
        <v/>
      </c>
      <c r="DE1165" s="7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SUMIFS(M_BOM[RM_Qty_Per_Batch],M_BOM[Intermediate],$B1165,M_BOM[RM_Code],$A1140)</f>
        <v/>
      </c>
      <c r="D1166">
        <f>IFERROR(INDEX(E1166:DD1166,$F$1),"")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  <c r="DD1166">
        <f>$C1166*DD1165</f>
        <v/>
      </c>
    </row>
    <row r="1167">
      <c r="B1167" s="4" t="inlineStr">
        <is>
          <t>合計使用量(kg)/週</t>
        </is>
      </c>
      <c r="D1167" s="23">
        <f>IFERROR(INDEX(E1167:DD1167,$F$1),"")</f>
        <v/>
      </c>
      <c r="E1167">
        <f>'Grid_Requirement'!B90</f>
        <v/>
      </c>
      <c r="F1167">
        <f>'Grid_Requirement'!C90</f>
        <v/>
      </c>
      <c r="G1167">
        <f>'Grid_Requirement'!D90</f>
        <v/>
      </c>
      <c r="H1167">
        <f>'Grid_Requirement'!E90</f>
        <v/>
      </c>
      <c r="I1167">
        <f>'Grid_Requirement'!F90</f>
        <v/>
      </c>
      <c r="J1167">
        <f>'Grid_Requirement'!G90</f>
        <v/>
      </c>
      <c r="K1167">
        <f>'Grid_Requirement'!H90</f>
        <v/>
      </c>
      <c r="L1167">
        <f>'Grid_Requirement'!I90</f>
        <v/>
      </c>
      <c r="M1167">
        <f>'Grid_Requirement'!J90</f>
        <v/>
      </c>
      <c r="N1167">
        <f>'Grid_Requirement'!K90</f>
        <v/>
      </c>
      <c r="O1167">
        <f>'Grid_Requirement'!L90</f>
        <v/>
      </c>
      <c r="P1167">
        <f>'Grid_Requirement'!M90</f>
        <v/>
      </c>
      <c r="Q1167">
        <f>'Grid_Requirement'!N90</f>
        <v/>
      </c>
      <c r="R1167">
        <f>'Grid_Requirement'!O90</f>
        <v/>
      </c>
      <c r="S1167">
        <f>'Grid_Requirement'!P90</f>
        <v/>
      </c>
      <c r="T1167">
        <f>'Grid_Requirement'!Q90</f>
        <v/>
      </c>
      <c r="U1167">
        <f>'Grid_Requirement'!R90</f>
        <v/>
      </c>
      <c r="V1167">
        <f>'Grid_Requirement'!S90</f>
        <v/>
      </c>
      <c r="W1167">
        <f>'Grid_Requirement'!T90</f>
        <v/>
      </c>
      <c r="X1167">
        <f>'Grid_Requirement'!U90</f>
        <v/>
      </c>
      <c r="Y1167">
        <f>'Grid_Requirement'!V90</f>
        <v/>
      </c>
      <c r="Z1167">
        <f>'Grid_Requirement'!W90</f>
        <v/>
      </c>
      <c r="AA1167">
        <f>'Grid_Requirement'!X90</f>
        <v/>
      </c>
      <c r="AB1167">
        <f>'Grid_Requirement'!Y90</f>
        <v/>
      </c>
      <c r="AC1167">
        <f>'Grid_Requirement'!Z90</f>
        <v/>
      </c>
      <c r="AD1167">
        <f>'Grid_Requirement'!AA90</f>
        <v/>
      </c>
      <c r="AE1167">
        <f>'Grid_Requirement'!AB90</f>
        <v/>
      </c>
      <c r="AF1167">
        <f>'Grid_Requirement'!AC90</f>
        <v/>
      </c>
      <c r="AG1167">
        <f>'Grid_Requirement'!AD90</f>
        <v/>
      </c>
      <c r="AH1167">
        <f>'Grid_Requirement'!AE90</f>
        <v/>
      </c>
      <c r="AI1167">
        <f>'Grid_Requirement'!AF90</f>
        <v/>
      </c>
      <c r="AJ1167">
        <f>'Grid_Requirement'!AG90</f>
        <v/>
      </c>
      <c r="AK1167">
        <f>'Grid_Requirement'!AH90</f>
        <v/>
      </c>
      <c r="AL1167">
        <f>'Grid_Requirement'!AI90</f>
        <v/>
      </c>
      <c r="AM1167">
        <f>'Grid_Requirement'!AJ90</f>
        <v/>
      </c>
      <c r="AN1167">
        <f>'Grid_Requirement'!AK90</f>
        <v/>
      </c>
      <c r="AO1167">
        <f>'Grid_Requirement'!AL90</f>
        <v/>
      </c>
      <c r="AP1167">
        <f>'Grid_Requirement'!AM90</f>
        <v/>
      </c>
      <c r="AQ1167">
        <f>'Grid_Requirement'!AN90</f>
        <v/>
      </c>
      <c r="AR1167">
        <f>'Grid_Requirement'!AO90</f>
        <v/>
      </c>
      <c r="AS1167">
        <f>'Grid_Requirement'!AP90</f>
        <v/>
      </c>
      <c r="AT1167">
        <f>'Grid_Requirement'!AQ90</f>
        <v/>
      </c>
      <c r="AU1167">
        <f>'Grid_Requirement'!AR90</f>
        <v/>
      </c>
      <c r="AV1167">
        <f>'Grid_Requirement'!AS90</f>
        <v/>
      </c>
      <c r="AW1167">
        <f>'Grid_Requirement'!AT90</f>
        <v/>
      </c>
      <c r="AX1167">
        <f>'Grid_Requirement'!AU90</f>
        <v/>
      </c>
      <c r="AY1167">
        <f>'Grid_Requirement'!AV90</f>
        <v/>
      </c>
      <c r="AZ1167">
        <f>'Grid_Requirement'!AW90</f>
        <v/>
      </c>
      <c r="BA1167">
        <f>'Grid_Requirement'!AX90</f>
        <v/>
      </c>
      <c r="BB1167">
        <f>'Grid_Requirement'!AY90</f>
        <v/>
      </c>
      <c r="BC1167">
        <f>'Grid_Requirement'!AZ90</f>
        <v/>
      </c>
      <c r="BD1167">
        <f>'Grid_Requirement'!BA90</f>
        <v/>
      </c>
      <c r="BE1167">
        <f>'Grid_Requirement'!BB90</f>
        <v/>
      </c>
      <c r="BF1167">
        <f>'Grid_Requirement'!BC90</f>
        <v/>
      </c>
      <c r="BG1167">
        <f>'Grid_Requirement'!BD90</f>
        <v/>
      </c>
      <c r="BH1167">
        <f>'Grid_Requirement'!BE90</f>
        <v/>
      </c>
      <c r="BI1167">
        <f>'Grid_Requirement'!BF90</f>
        <v/>
      </c>
      <c r="BJ1167">
        <f>'Grid_Requirement'!BG90</f>
        <v/>
      </c>
      <c r="BK1167">
        <f>'Grid_Requirement'!BH90</f>
        <v/>
      </c>
      <c r="BL1167">
        <f>'Grid_Requirement'!BI90</f>
        <v/>
      </c>
      <c r="BM1167">
        <f>'Grid_Requirement'!BJ90</f>
        <v/>
      </c>
      <c r="BN1167">
        <f>'Grid_Requirement'!BK90</f>
        <v/>
      </c>
      <c r="BO1167">
        <f>'Grid_Requirement'!BL90</f>
        <v/>
      </c>
      <c r="BP1167">
        <f>'Grid_Requirement'!BM90</f>
        <v/>
      </c>
      <c r="BQ1167">
        <f>'Grid_Requirement'!BN90</f>
        <v/>
      </c>
      <c r="BR1167">
        <f>'Grid_Requirement'!BO90</f>
        <v/>
      </c>
      <c r="BS1167">
        <f>'Grid_Requirement'!BP90</f>
        <v/>
      </c>
      <c r="BT1167">
        <f>'Grid_Requirement'!BQ90</f>
        <v/>
      </c>
      <c r="BU1167">
        <f>'Grid_Requirement'!BR90</f>
        <v/>
      </c>
      <c r="BV1167">
        <f>'Grid_Requirement'!BS90</f>
        <v/>
      </c>
      <c r="BW1167">
        <f>'Grid_Requirement'!BT90</f>
        <v/>
      </c>
      <c r="BX1167">
        <f>'Grid_Requirement'!BU90</f>
        <v/>
      </c>
      <c r="BY1167">
        <f>'Grid_Requirement'!BV90</f>
        <v/>
      </c>
      <c r="BZ1167">
        <f>'Grid_Requirement'!BW90</f>
        <v/>
      </c>
      <c r="CA1167">
        <f>'Grid_Requirement'!BX90</f>
        <v/>
      </c>
      <c r="CB1167">
        <f>'Grid_Requirement'!BY90</f>
        <v/>
      </c>
      <c r="CC1167">
        <f>'Grid_Requirement'!BZ90</f>
        <v/>
      </c>
      <c r="CD1167">
        <f>'Grid_Requirement'!CA90</f>
        <v/>
      </c>
      <c r="CE1167">
        <f>'Grid_Requirement'!CB90</f>
        <v/>
      </c>
      <c r="CF1167">
        <f>'Grid_Requirement'!CC90</f>
        <v/>
      </c>
      <c r="CG1167">
        <f>'Grid_Requirement'!CD90</f>
        <v/>
      </c>
      <c r="CH1167">
        <f>'Grid_Requirement'!CE90</f>
        <v/>
      </c>
      <c r="CI1167">
        <f>'Grid_Requirement'!CF90</f>
        <v/>
      </c>
      <c r="CJ1167">
        <f>'Grid_Requirement'!CG90</f>
        <v/>
      </c>
      <c r="CK1167">
        <f>'Grid_Requirement'!CH90</f>
        <v/>
      </c>
      <c r="CL1167">
        <f>'Grid_Requirement'!CI90</f>
        <v/>
      </c>
      <c r="CM1167">
        <f>'Grid_Requirement'!CJ90</f>
        <v/>
      </c>
      <c r="CN1167">
        <f>'Grid_Requirement'!CK90</f>
        <v/>
      </c>
      <c r="CO1167">
        <f>'Grid_Requirement'!CL90</f>
        <v/>
      </c>
      <c r="CP1167">
        <f>'Grid_Requirement'!CM90</f>
        <v/>
      </c>
      <c r="CQ1167">
        <f>'Grid_Requirement'!CN90</f>
        <v/>
      </c>
      <c r="CR1167">
        <f>'Grid_Requirement'!CO90</f>
        <v/>
      </c>
      <c r="CS1167">
        <f>'Grid_Requirement'!CP90</f>
        <v/>
      </c>
      <c r="CT1167">
        <f>'Grid_Requirement'!CQ90</f>
        <v/>
      </c>
      <c r="CU1167">
        <f>'Grid_Requirement'!CR90</f>
        <v/>
      </c>
      <c r="CV1167">
        <f>'Grid_Requirement'!CS90</f>
        <v/>
      </c>
      <c r="CW1167">
        <f>'Grid_Requirement'!CT90</f>
        <v/>
      </c>
      <c r="CX1167">
        <f>'Grid_Requirement'!CU90</f>
        <v/>
      </c>
      <c r="CY1167">
        <f>'Grid_Requirement'!CV90</f>
        <v/>
      </c>
      <c r="CZ1167">
        <f>'Grid_Requirement'!CW90</f>
        <v/>
      </c>
      <c r="DA1167">
        <f>'Grid_Requirement'!CX90</f>
        <v/>
      </c>
      <c r="DB1167">
        <f>'Grid_Requirement'!CY90</f>
        <v/>
      </c>
      <c r="DC1167">
        <f>'Grid_Requirement'!CZ90</f>
        <v/>
      </c>
      <c r="DD1167">
        <f>'Grid_Requirement'!DA90</f>
        <v/>
      </c>
    </row>
    <row r="1168">
      <c r="B1168" t="inlineStr">
        <is>
          <t>TTAF在庫(実績,kg)</t>
        </is>
      </c>
      <c r="D1168">
        <f>IFERROR(INDEX(E1168:DD1168,$F$1),"")</f>
        <v/>
      </c>
      <c r="E1168">
        <f>IFERROR(SUMIFS(T_TTAFStock[TTAF_Qty],T_TTAFStock[RM_Code],$A1140,T_TTAFStock[WeekIndex],1),"")</f>
        <v/>
      </c>
      <c r="F1168">
        <f>IFERROR(SUMIFS(T_TTAFStock[TTAF_Qty],T_TTAFStock[RM_Code],$A1140,T_TTAFStock[WeekIndex],2),"")</f>
        <v/>
      </c>
      <c r="G1168">
        <f>IFERROR(SUMIFS(T_TTAFStock[TTAF_Qty],T_TTAFStock[RM_Code],$A1140,T_TTAFStock[WeekIndex],3),"")</f>
        <v/>
      </c>
      <c r="H1168">
        <f>IFERROR(SUMIFS(T_TTAFStock[TTAF_Qty],T_TTAFStock[RM_Code],$A1140,T_TTAFStock[WeekIndex],4),"")</f>
        <v/>
      </c>
      <c r="I1168">
        <f>IFERROR(SUMIFS(T_TTAFStock[TTAF_Qty],T_TTAFStock[RM_Code],$A1140,T_TTAFStock[WeekIndex],5),"")</f>
        <v/>
      </c>
      <c r="J1168">
        <f>IFERROR(SUMIFS(T_TTAFStock[TTAF_Qty],T_TTAFStock[RM_Code],$A1140,T_TTAFStock[WeekIndex],6),"")</f>
        <v/>
      </c>
      <c r="K1168">
        <f>IFERROR(SUMIFS(T_TTAFStock[TTAF_Qty],T_TTAFStock[RM_Code],$A1140,T_TTAFStock[WeekIndex],7),"")</f>
        <v/>
      </c>
      <c r="L1168">
        <f>IFERROR(SUMIFS(T_TTAFStock[TTAF_Qty],T_TTAFStock[RM_Code],$A1140,T_TTAFStock[WeekIndex],8),"")</f>
        <v/>
      </c>
      <c r="M1168">
        <f>IFERROR(SUMIFS(T_TTAFStock[TTAF_Qty],T_TTAFStock[RM_Code],$A1140,T_TTAFStock[WeekIndex],9),"")</f>
        <v/>
      </c>
      <c r="N1168">
        <f>IFERROR(SUMIFS(T_TTAFStock[TTAF_Qty],T_TTAFStock[RM_Code],$A1140,T_TTAFStock[WeekIndex],10),"")</f>
        <v/>
      </c>
      <c r="O1168">
        <f>IFERROR(SUMIFS(T_TTAFStock[TTAF_Qty],T_TTAFStock[RM_Code],$A1140,T_TTAFStock[WeekIndex],11),"")</f>
        <v/>
      </c>
      <c r="P1168">
        <f>IFERROR(SUMIFS(T_TTAFStock[TTAF_Qty],T_TTAFStock[RM_Code],$A1140,T_TTAFStock[WeekIndex],12),"")</f>
        <v/>
      </c>
      <c r="Q1168">
        <f>IFERROR(SUMIFS(T_TTAFStock[TTAF_Qty],T_TTAFStock[RM_Code],$A1140,T_TTAFStock[WeekIndex],13),"")</f>
        <v/>
      </c>
      <c r="R1168">
        <f>IFERROR(SUMIFS(T_TTAFStock[TTAF_Qty],T_TTAFStock[RM_Code],$A1140,T_TTAFStock[WeekIndex],14),"")</f>
        <v/>
      </c>
      <c r="S1168">
        <f>IFERROR(SUMIFS(T_TTAFStock[TTAF_Qty],T_TTAFStock[RM_Code],$A1140,T_TTAFStock[WeekIndex],15),"")</f>
        <v/>
      </c>
      <c r="T1168">
        <f>IFERROR(SUMIFS(T_TTAFStock[TTAF_Qty],T_TTAFStock[RM_Code],$A1140,T_TTAFStock[WeekIndex],16),"")</f>
        <v/>
      </c>
      <c r="U1168">
        <f>IFERROR(SUMIFS(T_TTAFStock[TTAF_Qty],T_TTAFStock[RM_Code],$A1140,T_TTAFStock[WeekIndex],17),"")</f>
        <v/>
      </c>
      <c r="V1168">
        <f>IFERROR(SUMIFS(T_TTAFStock[TTAF_Qty],T_TTAFStock[RM_Code],$A1140,T_TTAFStock[WeekIndex],18),"")</f>
        <v/>
      </c>
      <c r="W1168">
        <f>IFERROR(SUMIFS(T_TTAFStock[TTAF_Qty],T_TTAFStock[RM_Code],$A1140,T_TTAFStock[WeekIndex],19),"")</f>
        <v/>
      </c>
      <c r="X1168">
        <f>IFERROR(SUMIFS(T_TTAFStock[TTAF_Qty],T_TTAFStock[RM_Code],$A1140,T_TTAFStock[WeekIndex],20),"")</f>
        <v/>
      </c>
      <c r="Y1168">
        <f>IFERROR(SUMIFS(T_TTAFStock[TTAF_Qty],T_TTAFStock[RM_Code],$A1140,T_TTAFStock[WeekIndex],21),"")</f>
        <v/>
      </c>
      <c r="Z1168">
        <f>IFERROR(SUMIFS(T_TTAFStock[TTAF_Qty],T_TTAFStock[RM_Code],$A1140,T_TTAFStock[WeekIndex],22),"")</f>
        <v/>
      </c>
      <c r="AA1168">
        <f>IFERROR(SUMIFS(T_TTAFStock[TTAF_Qty],T_TTAFStock[RM_Code],$A1140,T_TTAFStock[WeekIndex],23),"")</f>
        <v/>
      </c>
      <c r="AB1168">
        <f>IFERROR(SUMIFS(T_TTAFStock[TTAF_Qty],T_TTAFStock[RM_Code],$A1140,T_TTAFStock[WeekIndex],24),"")</f>
        <v/>
      </c>
      <c r="AC1168">
        <f>IFERROR(SUMIFS(T_TTAFStock[TTAF_Qty],T_TTAFStock[RM_Code],$A1140,T_TTAFStock[WeekIndex],25),"")</f>
        <v/>
      </c>
      <c r="AD1168">
        <f>IFERROR(SUMIFS(T_TTAFStock[TTAF_Qty],T_TTAFStock[RM_Code],$A1140,T_TTAFStock[WeekIndex],26),"")</f>
        <v/>
      </c>
      <c r="AE1168">
        <f>IFERROR(SUMIFS(T_TTAFStock[TTAF_Qty],T_TTAFStock[RM_Code],$A1140,T_TTAFStock[WeekIndex],27),"")</f>
        <v/>
      </c>
      <c r="AF1168">
        <f>IFERROR(SUMIFS(T_TTAFStock[TTAF_Qty],T_TTAFStock[RM_Code],$A1140,T_TTAFStock[WeekIndex],28),"")</f>
        <v/>
      </c>
      <c r="AG1168">
        <f>IFERROR(SUMIFS(T_TTAFStock[TTAF_Qty],T_TTAFStock[RM_Code],$A1140,T_TTAFStock[WeekIndex],29),"")</f>
        <v/>
      </c>
      <c r="AH1168">
        <f>IFERROR(SUMIFS(T_TTAFStock[TTAF_Qty],T_TTAFStock[RM_Code],$A1140,T_TTAFStock[WeekIndex],30),"")</f>
        <v/>
      </c>
      <c r="AI1168">
        <f>IFERROR(SUMIFS(T_TTAFStock[TTAF_Qty],T_TTAFStock[RM_Code],$A1140,T_TTAFStock[WeekIndex],31),"")</f>
        <v/>
      </c>
      <c r="AJ1168">
        <f>IFERROR(SUMIFS(T_TTAFStock[TTAF_Qty],T_TTAFStock[RM_Code],$A1140,T_TTAFStock[WeekIndex],32),"")</f>
        <v/>
      </c>
      <c r="AK1168">
        <f>IFERROR(SUMIFS(T_TTAFStock[TTAF_Qty],T_TTAFStock[RM_Code],$A1140,T_TTAFStock[WeekIndex],33),"")</f>
        <v/>
      </c>
      <c r="AL1168">
        <f>IFERROR(SUMIFS(T_TTAFStock[TTAF_Qty],T_TTAFStock[RM_Code],$A1140,T_TTAFStock[WeekIndex],34),"")</f>
        <v/>
      </c>
      <c r="AM1168">
        <f>IFERROR(SUMIFS(T_TTAFStock[TTAF_Qty],T_TTAFStock[RM_Code],$A1140,T_TTAFStock[WeekIndex],35),"")</f>
        <v/>
      </c>
      <c r="AN1168">
        <f>IFERROR(SUMIFS(T_TTAFStock[TTAF_Qty],T_TTAFStock[RM_Code],$A1140,T_TTAFStock[WeekIndex],36),"")</f>
        <v/>
      </c>
      <c r="AO1168">
        <f>IFERROR(SUMIFS(T_TTAFStock[TTAF_Qty],T_TTAFStock[RM_Code],$A1140,T_TTAFStock[WeekIndex],37),"")</f>
        <v/>
      </c>
      <c r="AP1168">
        <f>IFERROR(SUMIFS(T_TTAFStock[TTAF_Qty],T_TTAFStock[RM_Code],$A1140,T_TTAFStock[WeekIndex],38),"")</f>
        <v/>
      </c>
      <c r="AQ1168">
        <f>IFERROR(SUMIFS(T_TTAFStock[TTAF_Qty],T_TTAFStock[RM_Code],$A1140,T_TTAFStock[WeekIndex],39),"")</f>
        <v/>
      </c>
      <c r="AR1168">
        <f>IFERROR(SUMIFS(T_TTAFStock[TTAF_Qty],T_TTAFStock[RM_Code],$A1140,T_TTAFStock[WeekIndex],40),"")</f>
        <v/>
      </c>
      <c r="AS1168">
        <f>IFERROR(SUMIFS(T_TTAFStock[TTAF_Qty],T_TTAFStock[RM_Code],$A1140,T_TTAFStock[WeekIndex],41),"")</f>
        <v/>
      </c>
      <c r="AT1168">
        <f>IFERROR(SUMIFS(T_TTAFStock[TTAF_Qty],T_TTAFStock[RM_Code],$A1140,T_TTAFStock[WeekIndex],42),"")</f>
        <v/>
      </c>
      <c r="AU1168">
        <f>IFERROR(SUMIFS(T_TTAFStock[TTAF_Qty],T_TTAFStock[RM_Code],$A1140,T_TTAFStock[WeekIndex],43),"")</f>
        <v/>
      </c>
      <c r="AV1168">
        <f>IFERROR(SUMIFS(T_TTAFStock[TTAF_Qty],T_TTAFStock[RM_Code],$A1140,T_TTAFStock[WeekIndex],44),"")</f>
        <v/>
      </c>
      <c r="AW1168">
        <f>IFERROR(SUMIFS(T_TTAFStock[TTAF_Qty],T_TTAFStock[RM_Code],$A1140,T_TTAFStock[WeekIndex],45),"")</f>
        <v/>
      </c>
      <c r="AX1168">
        <f>IFERROR(SUMIFS(T_TTAFStock[TTAF_Qty],T_TTAFStock[RM_Code],$A1140,T_TTAFStock[WeekIndex],46),"")</f>
        <v/>
      </c>
      <c r="AY1168">
        <f>IFERROR(SUMIFS(T_TTAFStock[TTAF_Qty],T_TTAFStock[RM_Code],$A1140,T_TTAFStock[WeekIndex],47),"")</f>
        <v/>
      </c>
      <c r="AZ1168">
        <f>IFERROR(SUMIFS(T_TTAFStock[TTAF_Qty],T_TTAFStock[RM_Code],$A1140,T_TTAFStock[WeekIndex],48),"")</f>
        <v/>
      </c>
      <c r="BA1168">
        <f>IFERROR(SUMIFS(T_TTAFStock[TTAF_Qty],T_TTAFStock[RM_Code],$A1140,T_TTAFStock[WeekIndex],49),"")</f>
        <v/>
      </c>
      <c r="BB1168">
        <f>IFERROR(SUMIFS(T_TTAFStock[TTAF_Qty],T_TTAFStock[RM_Code],$A1140,T_TTAFStock[WeekIndex],50),"")</f>
        <v/>
      </c>
      <c r="BC1168">
        <f>IFERROR(SUMIFS(T_TTAFStock[TTAF_Qty],T_TTAFStock[RM_Code],$A1140,T_TTAFStock[WeekIndex],51),"")</f>
        <v/>
      </c>
      <c r="BD1168">
        <f>IFERROR(SUMIFS(T_TTAFStock[TTAF_Qty],T_TTAFStock[RM_Code],$A1140,T_TTAFStock[WeekIndex],52),"")</f>
        <v/>
      </c>
      <c r="BE1168">
        <f>IFERROR(SUMIFS(T_TTAFStock[TTAF_Qty],T_TTAFStock[RM_Code],$A1140,T_TTAFStock[WeekIndex],53),"")</f>
        <v/>
      </c>
      <c r="BF1168">
        <f>IFERROR(SUMIFS(T_TTAFStock[TTAF_Qty],T_TTAFStock[RM_Code],$A1140,T_TTAFStock[WeekIndex],54),"")</f>
        <v/>
      </c>
      <c r="BG1168">
        <f>IFERROR(SUMIFS(T_TTAFStock[TTAF_Qty],T_TTAFStock[RM_Code],$A1140,T_TTAFStock[WeekIndex],55),"")</f>
        <v/>
      </c>
      <c r="BH1168">
        <f>IFERROR(SUMIFS(T_TTAFStock[TTAF_Qty],T_TTAFStock[RM_Code],$A1140,T_TTAFStock[WeekIndex],56),"")</f>
        <v/>
      </c>
      <c r="BI1168">
        <f>IFERROR(SUMIFS(T_TTAFStock[TTAF_Qty],T_TTAFStock[RM_Code],$A1140,T_TTAFStock[WeekIndex],57),"")</f>
        <v/>
      </c>
      <c r="BJ1168">
        <f>IFERROR(SUMIFS(T_TTAFStock[TTAF_Qty],T_TTAFStock[RM_Code],$A1140,T_TTAFStock[WeekIndex],58),"")</f>
        <v/>
      </c>
      <c r="BK1168">
        <f>IFERROR(SUMIFS(T_TTAFStock[TTAF_Qty],T_TTAFStock[RM_Code],$A1140,T_TTAFStock[WeekIndex],59),"")</f>
        <v/>
      </c>
      <c r="BL1168">
        <f>IFERROR(SUMIFS(T_TTAFStock[TTAF_Qty],T_TTAFStock[RM_Code],$A1140,T_TTAFStock[WeekIndex],60),"")</f>
        <v/>
      </c>
      <c r="BM1168">
        <f>IFERROR(SUMIFS(T_TTAFStock[TTAF_Qty],T_TTAFStock[RM_Code],$A1140,T_TTAFStock[WeekIndex],61),"")</f>
        <v/>
      </c>
      <c r="BN1168">
        <f>IFERROR(SUMIFS(T_TTAFStock[TTAF_Qty],T_TTAFStock[RM_Code],$A1140,T_TTAFStock[WeekIndex],62),"")</f>
        <v/>
      </c>
      <c r="BO1168">
        <f>IFERROR(SUMIFS(T_TTAFStock[TTAF_Qty],T_TTAFStock[RM_Code],$A1140,T_TTAFStock[WeekIndex],63),"")</f>
        <v/>
      </c>
      <c r="BP1168">
        <f>IFERROR(SUMIFS(T_TTAFStock[TTAF_Qty],T_TTAFStock[RM_Code],$A1140,T_TTAFStock[WeekIndex],64),"")</f>
        <v/>
      </c>
      <c r="BQ1168">
        <f>IFERROR(SUMIFS(T_TTAFStock[TTAF_Qty],T_TTAFStock[RM_Code],$A1140,T_TTAFStock[WeekIndex],65),"")</f>
        <v/>
      </c>
      <c r="BR1168">
        <f>IFERROR(SUMIFS(T_TTAFStock[TTAF_Qty],T_TTAFStock[RM_Code],$A1140,T_TTAFStock[WeekIndex],66),"")</f>
        <v/>
      </c>
      <c r="BS1168">
        <f>IFERROR(SUMIFS(T_TTAFStock[TTAF_Qty],T_TTAFStock[RM_Code],$A1140,T_TTAFStock[WeekIndex],67),"")</f>
        <v/>
      </c>
      <c r="BT1168">
        <f>IFERROR(SUMIFS(T_TTAFStock[TTAF_Qty],T_TTAFStock[RM_Code],$A1140,T_TTAFStock[WeekIndex],68),"")</f>
        <v/>
      </c>
      <c r="BU1168">
        <f>IFERROR(SUMIFS(T_TTAFStock[TTAF_Qty],T_TTAFStock[RM_Code],$A1140,T_TTAFStock[WeekIndex],69),"")</f>
        <v/>
      </c>
      <c r="BV1168">
        <f>IFERROR(SUMIFS(T_TTAFStock[TTAF_Qty],T_TTAFStock[RM_Code],$A1140,T_TTAFStock[WeekIndex],70),"")</f>
        <v/>
      </c>
      <c r="BW1168">
        <f>IFERROR(SUMIFS(T_TTAFStock[TTAF_Qty],T_TTAFStock[RM_Code],$A1140,T_TTAFStock[WeekIndex],71),"")</f>
        <v/>
      </c>
      <c r="BX1168">
        <f>IFERROR(SUMIFS(T_TTAFStock[TTAF_Qty],T_TTAFStock[RM_Code],$A1140,T_TTAFStock[WeekIndex],72),"")</f>
        <v/>
      </c>
      <c r="BY1168">
        <f>IFERROR(SUMIFS(T_TTAFStock[TTAF_Qty],T_TTAFStock[RM_Code],$A1140,T_TTAFStock[WeekIndex],73),"")</f>
        <v/>
      </c>
      <c r="BZ1168">
        <f>IFERROR(SUMIFS(T_TTAFStock[TTAF_Qty],T_TTAFStock[RM_Code],$A1140,T_TTAFStock[WeekIndex],74),"")</f>
        <v/>
      </c>
      <c r="CA1168">
        <f>IFERROR(SUMIFS(T_TTAFStock[TTAF_Qty],T_TTAFStock[RM_Code],$A1140,T_TTAFStock[WeekIndex],75),"")</f>
        <v/>
      </c>
      <c r="CB1168">
        <f>IFERROR(SUMIFS(T_TTAFStock[TTAF_Qty],T_TTAFStock[RM_Code],$A1140,T_TTAFStock[WeekIndex],76),"")</f>
        <v/>
      </c>
      <c r="CC1168">
        <f>IFERROR(SUMIFS(T_TTAFStock[TTAF_Qty],T_TTAFStock[RM_Code],$A1140,T_TTAFStock[WeekIndex],77),"")</f>
        <v/>
      </c>
      <c r="CD1168">
        <f>IFERROR(SUMIFS(T_TTAFStock[TTAF_Qty],T_TTAFStock[RM_Code],$A1140,T_TTAFStock[WeekIndex],78),"")</f>
        <v/>
      </c>
      <c r="CE1168">
        <f>IFERROR(SUMIFS(T_TTAFStock[TTAF_Qty],T_TTAFStock[RM_Code],$A1140,T_TTAFStock[WeekIndex],79),"")</f>
        <v/>
      </c>
      <c r="CF1168">
        <f>IFERROR(SUMIFS(T_TTAFStock[TTAF_Qty],T_TTAFStock[RM_Code],$A1140,T_TTAFStock[WeekIndex],80),"")</f>
        <v/>
      </c>
      <c r="CG1168">
        <f>IFERROR(SUMIFS(T_TTAFStock[TTAF_Qty],T_TTAFStock[RM_Code],$A1140,T_TTAFStock[WeekIndex],81),"")</f>
        <v/>
      </c>
      <c r="CH1168">
        <f>IFERROR(SUMIFS(T_TTAFStock[TTAF_Qty],T_TTAFStock[RM_Code],$A1140,T_TTAFStock[WeekIndex],82),"")</f>
        <v/>
      </c>
      <c r="CI1168">
        <f>IFERROR(SUMIFS(T_TTAFStock[TTAF_Qty],T_TTAFStock[RM_Code],$A1140,T_TTAFStock[WeekIndex],83),"")</f>
        <v/>
      </c>
      <c r="CJ1168">
        <f>IFERROR(SUMIFS(T_TTAFStock[TTAF_Qty],T_TTAFStock[RM_Code],$A1140,T_TTAFStock[WeekIndex],84),"")</f>
        <v/>
      </c>
      <c r="CK1168">
        <f>IFERROR(SUMIFS(T_TTAFStock[TTAF_Qty],T_TTAFStock[RM_Code],$A1140,T_TTAFStock[WeekIndex],85),"")</f>
        <v/>
      </c>
      <c r="CL1168">
        <f>IFERROR(SUMIFS(T_TTAFStock[TTAF_Qty],T_TTAFStock[RM_Code],$A1140,T_TTAFStock[WeekIndex],86),"")</f>
        <v/>
      </c>
      <c r="CM1168">
        <f>IFERROR(SUMIFS(T_TTAFStock[TTAF_Qty],T_TTAFStock[RM_Code],$A1140,T_TTAFStock[WeekIndex],87),"")</f>
        <v/>
      </c>
      <c r="CN1168">
        <f>IFERROR(SUMIFS(T_TTAFStock[TTAF_Qty],T_TTAFStock[RM_Code],$A1140,T_TTAFStock[WeekIndex],88),"")</f>
        <v/>
      </c>
      <c r="CO1168">
        <f>IFERROR(SUMIFS(T_TTAFStock[TTAF_Qty],T_TTAFStock[RM_Code],$A1140,T_TTAFStock[WeekIndex],89),"")</f>
        <v/>
      </c>
      <c r="CP1168">
        <f>IFERROR(SUMIFS(T_TTAFStock[TTAF_Qty],T_TTAFStock[RM_Code],$A1140,T_TTAFStock[WeekIndex],90),"")</f>
        <v/>
      </c>
      <c r="CQ1168">
        <f>IFERROR(SUMIFS(T_TTAFStock[TTAF_Qty],T_TTAFStock[RM_Code],$A1140,T_TTAFStock[WeekIndex],91),"")</f>
        <v/>
      </c>
      <c r="CR1168">
        <f>IFERROR(SUMIFS(T_TTAFStock[TTAF_Qty],T_TTAFStock[RM_Code],$A1140,T_TTAFStock[WeekIndex],92),"")</f>
        <v/>
      </c>
      <c r="CS1168">
        <f>IFERROR(SUMIFS(T_TTAFStock[TTAF_Qty],T_TTAFStock[RM_Code],$A1140,T_TTAFStock[WeekIndex],93),"")</f>
        <v/>
      </c>
      <c r="CT1168">
        <f>IFERROR(SUMIFS(T_TTAFStock[TTAF_Qty],T_TTAFStock[RM_Code],$A1140,T_TTAFStock[WeekIndex],94),"")</f>
        <v/>
      </c>
      <c r="CU1168">
        <f>IFERROR(SUMIFS(T_TTAFStock[TTAF_Qty],T_TTAFStock[RM_Code],$A1140,T_TTAFStock[WeekIndex],95),"")</f>
        <v/>
      </c>
      <c r="CV1168">
        <f>IFERROR(SUMIFS(T_TTAFStock[TTAF_Qty],T_TTAFStock[RM_Code],$A1140,T_TTAFStock[WeekIndex],96),"")</f>
        <v/>
      </c>
      <c r="CW1168">
        <f>IFERROR(SUMIFS(T_TTAFStock[TTAF_Qty],T_TTAFStock[RM_Code],$A1140,T_TTAFStock[WeekIndex],97),"")</f>
        <v/>
      </c>
      <c r="CX1168">
        <f>IFERROR(SUMIFS(T_TTAFStock[TTAF_Qty],T_TTAFStock[RM_Code],$A1140,T_TTAFStock[WeekIndex],98),"")</f>
        <v/>
      </c>
      <c r="CY1168">
        <f>IFERROR(SUMIFS(T_TTAFStock[TTAF_Qty],T_TTAFStock[RM_Code],$A1140,T_TTAFStock[WeekIndex],99),"")</f>
        <v/>
      </c>
      <c r="CZ1168">
        <f>IFERROR(SUMIFS(T_TTAFStock[TTAF_Qty],T_TTAFStock[RM_Code],$A1140,T_TTAFStock[WeekIndex],100),"")</f>
        <v/>
      </c>
      <c r="DA1168">
        <f>IFERROR(SUMIFS(T_TTAFStock[TTAF_Qty],T_TTAFStock[RM_Code],$A1140,T_TTAFStock[WeekIndex],101),"")</f>
        <v/>
      </c>
      <c r="DB1168">
        <f>IFERROR(SUMIFS(T_TTAFStock[TTAF_Qty],T_TTAFStock[RM_Code],$A1140,T_TTAFStock[WeekIndex],102),"")</f>
        <v/>
      </c>
      <c r="DC1168">
        <f>IFERROR(SUMIFS(T_TTAFStock[TTAF_Qty],T_TTAFStock[RM_Code],$A1140,T_TTAFStock[WeekIndex],103),"")</f>
        <v/>
      </c>
      <c r="DD1168">
        <f>IFERROR(SUMIFS(T_TTAFStock[TTAF_Qty],T_TTAFStock[RM_Code],$A1140,T_TTAFStock[WeekIndex],104),"")</f>
        <v/>
      </c>
    </row>
    <row r="1169">
      <c r="B1169" t="inlineStr">
        <is>
          <t>自社在庫(実績,kg)</t>
        </is>
      </c>
      <c r="D1169">
        <f>IFERROR(INDEX(E1169:DD1169,$F$1),"")</f>
        <v/>
      </c>
      <c r="E1169">
        <f>IFERROR(SUMIFS(T_SelfStock[Self_Qty],T_SelfStock[RM_Code],$A1140,T_SelfStock[WeekIndex],1),"")</f>
        <v/>
      </c>
      <c r="F1169">
        <f>IFERROR(SUMIFS(T_SelfStock[Self_Qty],T_SelfStock[RM_Code],$A1140,T_SelfStock[WeekIndex],2),"")</f>
        <v/>
      </c>
      <c r="G1169">
        <f>IFERROR(SUMIFS(T_SelfStock[Self_Qty],T_SelfStock[RM_Code],$A1140,T_SelfStock[WeekIndex],3),"")</f>
        <v/>
      </c>
      <c r="H1169">
        <f>IFERROR(SUMIFS(T_SelfStock[Self_Qty],T_SelfStock[RM_Code],$A1140,T_SelfStock[WeekIndex],4),"")</f>
        <v/>
      </c>
      <c r="I1169">
        <f>IFERROR(SUMIFS(T_SelfStock[Self_Qty],T_SelfStock[RM_Code],$A1140,T_SelfStock[WeekIndex],5),"")</f>
        <v/>
      </c>
      <c r="J1169">
        <f>IFERROR(SUMIFS(T_SelfStock[Self_Qty],T_SelfStock[RM_Code],$A1140,T_SelfStock[WeekIndex],6),"")</f>
        <v/>
      </c>
      <c r="K1169">
        <f>IFERROR(SUMIFS(T_SelfStock[Self_Qty],T_SelfStock[RM_Code],$A1140,T_SelfStock[WeekIndex],7),"")</f>
        <v/>
      </c>
      <c r="L1169">
        <f>IFERROR(SUMIFS(T_SelfStock[Self_Qty],T_SelfStock[RM_Code],$A1140,T_SelfStock[WeekIndex],8),"")</f>
        <v/>
      </c>
      <c r="M1169">
        <f>IFERROR(SUMIFS(T_SelfStock[Self_Qty],T_SelfStock[RM_Code],$A1140,T_SelfStock[WeekIndex],9),"")</f>
        <v/>
      </c>
      <c r="N1169">
        <f>IFERROR(SUMIFS(T_SelfStock[Self_Qty],T_SelfStock[RM_Code],$A1140,T_SelfStock[WeekIndex],10),"")</f>
        <v/>
      </c>
      <c r="O1169">
        <f>IFERROR(SUMIFS(T_SelfStock[Self_Qty],T_SelfStock[RM_Code],$A1140,T_SelfStock[WeekIndex],11),"")</f>
        <v/>
      </c>
      <c r="P1169">
        <f>IFERROR(SUMIFS(T_SelfStock[Self_Qty],T_SelfStock[RM_Code],$A1140,T_SelfStock[WeekIndex],12),"")</f>
        <v/>
      </c>
      <c r="Q1169">
        <f>IFERROR(SUMIFS(T_SelfStock[Self_Qty],T_SelfStock[RM_Code],$A1140,T_SelfStock[WeekIndex],13),"")</f>
        <v/>
      </c>
      <c r="R1169">
        <f>IFERROR(SUMIFS(T_SelfStock[Self_Qty],T_SelfStock[RM_Code],$A1140,T_SelfStock[WeekIndex],14),"")</f>
        <v/>
      </c>
      <c r="S1169">
        <f>IFERROR(SUMIFS(T_SelfStock[Self_Qty],T_SelfStock[RM_Code],$A1140,T_SelfStock[WeekIndex],15),"")</f>
        <v/>
      </c>
      <c r="T1169">
        <f>IFERROR(SUMIFS(T_SelfStock[Self_Qty],T_SelfStock[RM_Code],$A1140,T_SelfStock[WeekIndex],16),"")</f>
        <v/>
      </c>
      <c r="U1169">
        <f>IFERROR(SUMIFS(T_SelfStock[Self_Qty],T_SelfStock[RM_Code],$A1140,T_SelfStock[WeekIndex],17),"")</f>
        <v/>
      </c>
      <c r="V1169">
        <f>IFERROR(SUMIFS(T_SelfStock[Self_Qty],T_SelfStock[RM_Code],$A1140,T_SelfStock[WeekIndex],18),"")</f>
        <v/>
      </c>
      <c r="W1169">
        <f>IFERROR(SUMIFS(T_SelfStock[Self_Qty],T_SelfStock[RM_Code],$A1140,T_SelfStock[WeekIndex],19),"")</f>
        <v/>
      </c>
      <c r="X1169">
        <f>IFERROR(SUMIFS(T_SelfStock[Self_Qty],T_SelfStock[RM_Code],$A1140,T_SelfStock[WeekIndex],20),"")</f>
        <v/>
      </c>
      <c r="Y1169">
        <f>IFERROR(SUMIFS(T_SelfStock[Self_Qty],T_SelfStock[RM_Code],$A1140,T_SelfStock[WeekIndex],21),"")</f>
        <v/>
      </c>
      <c r="Z1169">
        <f>IFERROR(SUMIFS(T_SelfStock[Self_Qty],T_SelfStock[RM_Code],$A1140,T_SelfStock[WeekIndex],22),"")</f>
        <v/>
      </c>
      <c r="AA1169">
        <f>IFERROR(SUMIFS(T_SelfStock[Self_Qty],T_SelfStock[RM_Code],$A1140,T_SelfStock[WeekIndex],23),"")</f>
        <v/>
      </c>
      <c r="AB1169">
        <f>IFERROR(SUMIFS(T_SelfStock[Self_Qty],T_SelfStock[RM_Code],$A1140,T_SelfStock[WeekIndex],24),"")</f>
        <v/>
      </c>
      <c r="AC1169">
        <f>IFERROR(SUMIFS(T_SelfStock[Self_Qty],T_SelfStock[RM_Code],$A1140,T_SelfStock[WeekIndex],25),"")</f>
        <v/>
      </c>
      <c r="AD1169">
        <f>IFERROR(SUMIFS(T_SelfStock[Self_Qty],T_SelfStock[RM_Code],$A1140,T_SelfStock[WeekIndex],26),"")</f>
        <v/>
      </c>
      <c r="AE1169">
        <f>IFERROR(SUMIFS(T_SelfStock[Self_Qty],T_SelfStock[RM_Code],$A1140,T_SelfStock[WeekIndex],27),"")</f>
        <v/>
      </c>
      <c r="AF1169">
        <f>IFERROR(SUMIFS(T_SelfStock[Self_Qty],T_SelfStock[RM_Code],$A1140,T_SelfStock[WeekIndex],28),"")</f>
        <v/>
      </c>
      <c r="AG1169">
        <f>IFERROR(SUMIFS(T_SelfStock[Self_Qty],T_SelfStock[RM_Code],$A1140,T_SelfStock[WeekIndex],29),"")</f>
        <v/>
      </c>
      <c r="AH1169">
        <f>IFERROR(SUMIFS(T_SelfStock[Self_Qty],T_SelfStock[RM_Code],$A1140,T_SelfStock[WeekIndex],30),"")</f>
        <v/>
      </c>
      <c r="AI1169">
        <f>IFERROR(SUMIFS(T_SelfStock[Self_Qty],T_SelfStock[RM_Code],$A1140,T_SelfStock[WeekIndex],31),"")</f>
        <v/>
      </c>
      <c r="AJ1169">
        <f>IFERROR(SUMIFS(T_SelfStock[Self_Qty],T_SelfStock[RM_Code],$A1140,T_SelfStock[WeekIndex],32),"")</f>
        <v/>
      </c>
      <c r="AK1169">
        <f>IFERROR(SUMIFS(T_SelfStock[Self_Qty],T_SelfStock[RM_Code],$A1140,T_SelfStock[WeekIndex],33),"")</f>
        <v/>
      </c>
      <c r="AL1169">
        <f>IFERROR(SUMIFS(T_SelfStock[Self_Qty],T_SelfStock[RM_Code],$A1140,T_SelfStock[WeekIndex],34),"")</f>
        <v/>
      </c>
      <c r="AM1169">
        <f>IFERROR(SUMIFS(T_SelfStock[Self_Qty],T_SelfStock[RM_Code],$A1140,T_SelfStock[WeekIndex],35),"")</f>
        <v/>
      </c>
      <c r="AN1169">
        <f>IFERROR(SUMIFS(T_SelfStock[Self_Qty],T_SelfStock[RM_Code],$A1140,T_SelfStock[WeekIndex],36),"")</f>
        <v/>
      </c>
      <c r="AO1169">
        <f>IFERROR(SUMIFS(T_SelfStock[Self_Qty],T_SelfStock[RM_Code],$A1140,T_SelfStock[WeekIndex],37),"")</f>
        <v/>
      </c>
      <c r="AP1169">
        <f>IFERROR(SUMIFS(T_SelfStock[Self_Qty],T_SelfStock[RM_Code],$A1140,T_SelfStock[WeekIndex],38),"")</f>
        <v/>
      </c>
      <c r="AQ1169">
        <f>IFERROR(SUMIFS(T_SelfStock[Self_Qty],T_SelfStock[RM_Code],$A1140,T_SelfStock[WeekIndex],39),"")</f>
        <v/>
      </c>
      <c r="AR1169">
        <f>IFERROR(SUMIFS(T_SelfStock[Self_Qty],T_SelfStock[RM_Code],$A1140,T_SelfStock[WeekIndex],40),"")</f>
        <v/>
      </c>
      <c r="AS1169">
        <f>IFERROR(SUMIFS(T_SelfStock[Self_Qty],T_SelfStock[RM_Code],$A1140,T_SelfStock[WeekIndex],41),"")</f>
        <v/>
      </c>
      <c r="AT1169">
        <f>IFERROR(SUMIFS(T_SelfStock[Self_Qty],T_SelfStock[RM_Code],$A1140,T_SelfStock[WeekIndex],42),"")</f>
        <v/>
      </c>
      <c r="AU1169">
        <f>IFERROR(SUMIFS(T_SelfStock[Self_Qty],T_SelfStock[RM_Code],$A1140,T_SelfStock[WeekIndex],43),"")</f>
        <v/>
      </c>
      <c r="AV1169">
        <f>IFERROR(SUMIFS(T_SelfStock[Self_Qty],T_SelfStock[RM_Code],$A1140,T_SelfStock[WeekIndex],44),"")</f>
        <v/>
      </c>
      <c r="AW1169">
        <f>IFERROR(SUMIFS(T_SelfStock[Self_Qty],T_SelfStock[RM_Code],$A1140,T_SelfStock[WeekIndex],45),"")</f>
        <v/>
      </c>
      <c r="AX1169">
        <f>IFERROR(SUMIFS(T_SelfStock[Self_Qty],T_SelfStock[RM_Code],$A1140,T_SelfStock[WeekIndex],46),"")</f>
        <v/>
      </c>
      <c r="AY1169">
        <f>IFERROR(SUMIFS(T_SelfStock[Self_Qty],T_SelfStock[RM_Code],$A1140,T_SelfStock[WeekIndex],47),"")</f>
        <v/>
      </c>
      <c r="AZ1169">
        <f>IFERROR(SUMIFS(T_SelfStock[Self_Qty],T_SelfStock[RM_Code],$A1140,T_SelfStock[WeekIndex],48),"")</f>
        <v/>
      </c>
      <c r="BA1169">
        <f>IFERROR(SUMIFS(T_SelfStock[Self_Qty],T_SelfStock[RM_Code],$A1140,T_SelfStock[WeekIndex],49),"")</f>
        <v/>
      </c>
      <c r="BB1169">
        <f>IFERROR(SUMIFS(T_SelfStock[Self_Qty],T_SelfStock[RM_Code],$A1140,T_SelfStock[WeekIndex],50),"")</f>
        <v/>
      </c>
      <c r="BC1169">
        <f>IFERROR(SUMIFS(T_SelfStock[Self_Qty],T_SelfStock[RM_Code],$A1140,T_SelfStock[WeekIndex],51),"")</f>
        <v/>
      </c>
      <c r="BD1169">
        <f>IFERROR(SUMIFS(T_SelfStock[Self_Qty],T_SelfStock[RM_Code],$A1140,T_SelfStock[WeekIndex],52),"")</f>
        <v/>
      </c>
      <c r="BE1169">
        <f>IFERROR(SUMIFS(T_SelfStock[Self_Qty],T_SelfStock[RM_Code],$A1140,T_SelfStock[WeekIndex],53),"")</f>
        <v/>
      </c>
      <c r="BF1169">
        <f>IFERROR(SUMIFS(T_SelfStock[Self_Qty],T_SelfStock[RM_Code],$A1140,T_SelfStock[WeekIndex],54),"")</f>
        <v/>
      </c>
      <c r="BG1169">
        <f>IFERROR(SUMIFS(T_SelfStock[Self_Qty],T_SelfStock[RM_Code],$A1140,T_SelfStock[WeekIndex],55),"")</f>
        <v/>
      </c>
      <c r="BH1169">
        <f>IFERROR(SUMIFS(T_SelfStock[Self_Qty],T_SelfStock[RM_Code],$A1140,T_SelfStock[WeekIndex],56),"")</f>
        <v/>
      </c>
      <c r="BI1169">
        <f>IFERROR(SUMIFS(T_SelfStock[Self_Qty],T_SelfStock[RM_Code],$A1140,T_SelfStock[WeekIndex],57),"")</f>
        <v/>
      </c>
      <c r="BJ1169">
        <f>IFERROR(SUMIFS(T_SelfStock[Self_Qty],T_SelfStock[RM_Code],$A1140,T_SelfStock[WeekIndex],58),"")</f>
        <v/>
      </c>
      <c r="BK1169">
        <f>IFERROR(SUMIFS(T_SelfStock[Self_Qty],T_SelfStock[RM_Code],$A1140,T_SelfStock[WeekIndex],59),"")</f>
        <v/>
      </c>
      <c r="BL1169">
        <f>IFERROR(SUMIFS(T_SelfStock[Self_Qty],T_SelfStock[RM_Code],$A1140,T_SelfStock[WeekIndex],60),"")</f>
        <v/>
      </c>
      <c r="BM1169">
        <f>IFERROR(SUMIFS(T_SelfStock[Self_Qty],T_SelfStock[RM_Code],$A1140,T_SelfStock[WeekIndex],61),"")</f>
        <v/>
      </c>
      <c r="BN1169">
        <f>IFERROR(SUMIFS(T_SelfStock[Self_Qty],T_SelfStock[RM_Code],$A1140,T_SelfStock[WeekIndex],62),"")</f>
        <v/>
      </c>
      <c r="BO1169">
        <f>IFERROR(SUMIFS(T_SelfStock[Self_Qty],T_SelfStock[RM_Code],$A1140,T_SelfStock[WeekIndex],63),"")</f>
        <v/>
      </c>
      <c r="BP1169">
        <f>IFERROR(SUMIFS(T_SelfStock[Self_Qty],T_SelfStock[RM_Code],$A1140,T_SelfStock[WeekIndex],64),"")</f>
        <v/>
      </c>
      <c r="BQ1169">
        <f>IFERROR(SUMIFS(T_SelfStock[Self_Qty],T_SelfStock[RM_Code],$A1140,T_SelfStock[WeekIndex],65),"")</f>
        <v/>
      </c>
      <c r="BR1169">
        <f>IFERROR(SUMIFS(T_SelfStock[Self_Qty],T_SelfStock[RM_Code],$A1140,T_SelfStock[WeekIndex],66),"")</f>
        <v/>
      </c>
      <c r="BS1169">
        <f>IFERROR(SUMIFS(T_SelfStock[Self_Qty],T_SelfStock[RM_Code],$A1140,T_SelfStock[WeekIndex],67),"")</f>
        <v/>
      </c>
      <c r="BT1169">
        <f>IFERROR(SUMIFS(T_SelfStock[Self_Qty],T_SelfStock[RM_Code],$A1140,T_SelfStock[WeekIndex],68),"")</f>
        <v/>
      </c>
      <c r="BU1169">
        <f>IFERROR(SUMIFS(T_SelfStock[Self_Qty],T_SelfStock[RM_Code],$A1140,T_SelfStock[WeekIndex],69),"")</f>
        <v/>
      </c>
      <c r="BV1169">
        <f>IFERROR(SUMIFS(T_SelfStock[Self_Qty],T_SelfStock[RM_Code],$A1140,T_SelfStock[WeekIndex],70),"")</f>
        <v/>
      </c>
      <c r="BW1169">
        <f>IFERROR(SUMIFS(T_SelfStock[Self_Qty],T_SelfStock[RM_Code],$A1140,T_SelfStock[WeekIndex],71),"")</f>
        <v/>
      </c>
      <c r="BX1169">
        <f>IFERROR(SUMIFS(T_SelfStock[Self_Qty],T_SelfStock[RM_Code],$A1140,T_SelfStock[WeekIndex],72),"")</f>
        <v/>
      </c>
      <c r="BY1169">
        <f>IFERROR(SUMIFS(T_SelfStock[Self_Qty],T_SelfStock[RM_Code],$A1140,T_SelfStock[WeekIndex],73),"")</f>
        <v/>
      </c>
      <c r="BZ1169">
        <f>IFERROR(SUMIFS(T_SelfStock[Self_Qty],T_SelfStock[RM_Code],$A1140,T_SelfStock[WeekIndex],74),"")</f>
        <v/>
      </c>
      <c r="CA1169">
        <f>IFERROR(SUMIFS(T_SelfStock[Self_Qty],T_SelfStock[RM_Code],$A1140,T_SelfStock[WeekIndex],75),"")</f>
        <v/>
      </c>
      <c r="CB1169">
        <f>IFERROR(SUMIFS(T_SelfStock[Self_Qty],T_SelfStock[RM_Code],$A1140,T_SelfStock[WeekIndex],76),"")</f>
        <v/>
      </c>
      <c r="CC1169">
        <f>IFERROR(SUMIFS(T_SelfStock[Self_Qty],T_SelfStock[RM_Code],$A1140,T_SelfStock[WeekIndex],77),"")</f>
        <v/>
      </c>
      <c r="CD1169">
        <f>IFERROR(SUMIFS(T_SelfStock[Self_Qty],T_SelfStock[RM_Code],$A1140,T_SelfStock[WeekIndex],78),"")</f>
        <v/>
      </c>
      <c r="CE1169">
        <f>IFERROR(SUMIFS(T_SelfStock[Self_Qty],T_SelfStock[RM_Code],$A1140,T_SelfStock[WeekIndex],79),"")</f>
        <v/>
      </c>
      <c r="CF1169">
        <f>IFERROR(SUMIFS(T_SelfStock[Self_Qty],T_SelfStock[RM_Code],$A1140,T_SelfStock[WeekIndex],80),"")</f>
        <v/>
      </c>
      <c r="CG1169">
        <f>IFERROR(SUMIFS(T_SelfStock[Self_Qty],T_SelfStock[RM_Code],$A1140,T_SelfStock[WeekIndex],81),"")</f>
        <v/>
      </c>
      <c r="CH1169">
        <f>IFERROR(SUMIFS(T_SelfStock[Self_Qty],T_SelfStock[RM_Code],$A1140,T_SelfStock[WeekIndex],82),"")</f>
        <v/>
      </c>
      <c r="CI1169">
        <f>IFERROR(SUMIFS(T_SelfStock[Self_Qty],T_SelfStock[RM_Code],$A1140,T_SelfStock[WeekIndex],83),"")</f>
        <v/>
      </c>
      <c r="CJ1169">
        <f>IFERROR(SUMIFS(T_SelfStock[Self_Qty],T_SelfStock[RM_Code],$A1140,T_SelfStock[WeekIndex],84),"")</f>
        <v/>
      </c>
      <c r="CK1169">
        <f>IFERROR(SUMIFS(T_SelfStock[Self_Qty],T_SelfStock[RM_Code],$A1140,T_SelfStock[WeekIndex],85),"")</f>
        <v/>
      </c>
      <c r="CL1169">
        <f>IFERROR(SUMIFS(T_SelfStock[Self_Qty],T_SelfStock[RM_Code],$A1140,T_SelfStock[WeekIndex],86),"")</f>
        <v/>
      </c>
      <c r="CM1169">
        <f>IFERROR(SUMIFS(T_SelfStock[Self_Qty],T_SelfStock[RM_Code],$A1140,T_SelfStock[WeekIndex],87),"")</f>
        <v/>
      </c>
      <c r="CN1169">
        <f>IFERROR(SUMIFS(T_SelfStock[Self_Qty],T_SelfStock[RM_Code],$A1140,T_SelfStock[WeekIndex],88),"")</f>
        <v/>
      </c>
      <c r="CO1169">
        <f>IFERROR(SUMIFS(T_SelfStock[Self_Qty],T_SelfStock[RM_Code],$A1140,T_SelfStock[WeekIndex],89),"")</f>
        <v/>
      </c>
      <c r="CP1169">
        <f>IFERROR(SUMIFS(T_SelfStock[Self_Qty],T_SelfStock[RM_Code],$A1140,T_SelfStock[WeekIndex],90),"")</f>
        <v/>
      </c>
      <c r="CQ1169">
        <f>IFERROR(SUMIFS(T_SelfStock[Self_Qty],T_SelfStock[RM_Code],$A1140,T_SelfStock[WeekIndex],91),"")</f>
        <v/>
      </c>
      <c r="CR1169">
        <f>IFERROR(SUMIFS(T_SelfStock[Self_Qty],T_SelfStock[RM_Code],$A1140,T_SelfStock[WeekIndex],92),"")</f>
        <v/>
      </c>
      <c r="CS1169">
        <f>IFERROR(SUMIFS(T_SelfStock[Self_Qty],T_SelfStock[RM_Code],$A1140,T_SelfStock[WeekIndex],93),"")</f>
        <v/>
      </c>
      <c r="CT1169">
        <f>IFERROR(SUMIFS(T_SelfStock[Self_Qty],T_SelfStock[RM_Code],$A1140,T_SelfStock[WeekIndex],94),"")</f>
        <v/>
      </c>
      <c r="CU1169">
        <f>IFERROR(SUMIFS(T_SelfStock[Self_Qty],T_SelfStock[RM_Code],$A1140,T_SelfStock[WeekIndex],95),"")</f>
        <v/>
      </c>
      <c r="CV1169">
        <f>IFERROR(SUMIFS(T_SelfStock[Self_Qty],T_SelfStock[RM_Code],$A1140,T_SelfStock[WeekIndex],96),"")</f>
        <v/>
      </c>
      <c r="CW1169">
        <f>IFERROR(SUMIFS(T_SelfStock[Self_Qty],T_SelfStock[RM_Code],$A1140,T_SelfStock[WeekIndex],97),"")</f>
        <v/>
      </c>
      <c r="CX1169">
        <f>IFERROR(SUMIFS(T_SelfStock[Self_Qty],T_SelfStock[RM_Code],$A1140,T_SelfStock[WeekIndex],98),"")</f>
        <v/>
      </c>
      <c r="CY1169">
        <f>IFERROR(SUMIFS(T_SelfStock[Self_Qty],T_SelfStock[RM_Code],$A1140,T_SelfStock[WeekIndex],99),"")</f>
        <v/>
      </c>
      <c r="CZ1169">
        <f>IFERROR(SUMIFS(T_SelfStock[Self_Qty],T_SelfStock[RM_Code],$A1140,T_SelfStock[WeekIndex],100),"")</f>
        <v/>
      </c>
      <c r="DA1169">
        <f>IFERROR(SUMIFS(T_SelfStock[Self_Qty],T_SelfStock[RM_Code],$A1140,T_SelfStock[WeekIndex],101),"")</f>
        <v/>
      </c>
      <c r="DB1169">
        <f>IFERROR(SUMIFS(T_SelfStock[Self_Qty],T_SelfStock[RM_Code],$A1140,T_SelfStock[WeekIndex],102),"")</f>
        <v/>
      </c>
      <c r="DC1169">
        <f>IFERROR(SUMIFS(T_SelfStock[Self_Qty],T_SelfStock[RM_Code],$A1140,T_SelfStock[WeekIndex],103),"")</f>
        <v/>
      </c>
      <c r="DD1169">
        <f>IFERROR(SUMIFS(T_SelfStock[Self_Qty],T_SelfStock[RM_Code],$A1140,T_SelfStock[WeekIndex],104),"")</f>
        <v/>
      </c>
    </row>
    <row r="1170">
      <c r="B1170" s="4" t="inlineStr">
        <is>
          <t>合計在庫(週末時点,kg)</t>
        </is>
      </c>
      <c r="D1170" s="24">
        <f>IFERROR(INDEX(E1170:DD1170,$F$1),"")</f>
        <v/>
      </c>
      <c r="E1170">
        <f>'Grid_Stock'!B90</f>
        <v/>
      </c>
      <c r="F1170">
        <f>'Grid_Stock'!C90</f>
        <v/>
      </c>
      <c r="G1170">
        <f>'Grid_Stock'!D90</f>
        <v/>
      </c>
      <c r="H1170">
        <f>'Grid_Stock'!E90</f>
        <v/>
      </c>
      <c r="I1170">
        <f>'Grid_Stock'!F90</f>
        <v/>
      </c>
      <c r="J1170">
        <f>'Grid_Stock'!G90</f>
        <v/>
      </c>
      <c r="K1170">
        <f>'Grid_Stock'!H90</f>
        <v/>
      </c>
      <c r="L1170">
        <f>'Grid_Stock'!I90</f>
        <v/>
      </c>
      <c r="M1170">
        <f>'Grid_Stock'!J90</f>
        <v/>
      </c>
      <c r="N1170">
        <f>'Grid_Stock'!K90</f>
        <v/>
      </c>
      <c r="O1170">
        <f>'Grid_Stock'!L90</f>
        <v/>
      </c>
      <c r="P1170">
        <f>'Grid_Stock'!M90</f>
        <v/>
      </c>
      <c r="Q1170">
        <f>'Grid_Stock'!N90</f>
        <v/>
      </c>
      <c r="R1170">
        <f>'Grid_Stock'!O90</f>
        <v/>
      </c>
      <c r="S1170">
        <f>'Grid_Stock'!P90</f>
        <v/>
      </c>
      <c r="T1170">
        <f>'Grid_Stock'!Q90</f>
        <v/>
      </c>
      <c r="U1170">
        <f>'Grid_Stock'!R90</f>
        <v/>
      </c>
      <c r="V1170">
        <f>'Grid_Stock'!S90</f>
        <v/>
      </c>
      <c r="W1170">
        <f>'Grid_Stock'!T90</f>
        <v/>
      </c>
      <c r="X1170">
        <f>'Grid_Stock'!U90</f>
        <v/>
      </c>
      <c r="Y1170">
        <f>'Grid_Stock'!V90</f>
        <v/>
      </c>
      <c r="Z1170">
        <f>'Grid_Stock'!W90</f>
        <v/>
      </c>
      <c r="AA1170">
        <f>'Grid_Stock'!X90</f>
        <v/>
      </c>
      <c r="AB1170">
        <f>'Grid_Stock'!Y90</f>
        <v/>
      </c>
      <c r="AC1170">
        <f>'Grid_Stock'!Z90</f>
        <v/>
      </c>
      <c r="AD1170">
        <f>'Grid_Stock'!AA90</f>
        <v/>
      </c>
      <c r="AE1170">
        <f>'Grid_Stock'!AB90</f>
        <v/>
      </c>
      <c r="AF1170">
        <f>'Grid_Stock'!AC90</f>
        <v/>
      </c>
      <c r="AG1170">
        <f>'Grid_Stock'!AD90</f>
        <v/>
      </c>
      <c r="AH1170">
        <f>'Grid_Stock'!AE90</f>
        <v/>
      </c>
      <c r="AI1170">
        <f>'Grid_Stock'!AF90</f>
        <v/>
      </c>
      <c r="AJ1170">
        <f>'Grid_Stock'!AG90</f>
        <v/>
      </c>
      <c r="AK1170">
        <f>'Grid_Stock'!AH90</f>
        <v/>
      </c>
      <c r="AL1170">
        <f>'Grid_Stock'!AI90</f>
        <v/>
      </c>
      <c r="AM1170">
        <f>'Grid_Stock'!AJ90</f>
        <v/>
      </c>
      <c r="AN1170">
        <f>'Grid_Stock'!AK90</f>
        <v/>
      </c>
      <c r="AO1170">
        <f>'Grid_Stock'!AL90</f>
        <v/>
      </c>
      <c r="AP1170">
        <f>'Grid_Stock'!AM90</f>
        <v/>
      </c>
      <c r="AQ1170">
        <f>'Grid_Stock'!AN90</f>
        <v/>
      </c>
      <c r="AR1170">
        <f>'Grid_Stock'!AO90</f>
        <v/>
      </c>
      <c r="AS1170">
        <f>'Grid_Stock'!AP90</f>
        <v/>
      </c>
      <c r="AT1170">
        <f>'Grid_Stock'!AQ90</f>
        <v/>
      </c>
      <c r="AU1170">
        <f>'Grid_Stock'!AR90</f>
        <v/>
      </c>
      <c r="AV1170">
        <f>'Grid_Stock'!AS90</f>
        <v/>
      </c>
      <c r="AW1170">
        <f>'Grid_Stock'!AT90</f>
        <v/>
      </c>
      <c r="AX1170">
        <f>'Grid_Stock'!AU90</f>
        <v/>
      </c>
      <c r="AY1170">
        <f>'Grid_Stock'!AV90</f>
        <v/>
      </c>
      <c r="AZ1170">
        <f>'Grid_Stock'!AW90</f>
        <v/>
      </c>
      <c r="BA1170">
        <f>'Grid_Stock'!AX90</f>
        <v/>
      </c>
      <c r="BB1170">
        <f>'Grid_Stock'!AY90</f>
        <v/>
      </c>
      <c r="BC1170">
        <f>'Grid_Stock'!AZ90</f>
        <v/>
      </c>
      <c r="BD1170">
        <f>'Grid_Stock'!BA90</f>
        <v/>
      </c>
      <c r="BE1170">
        <f>'Grid_Stock'!BB90</f>
        <v/>
      </c>
      <c r="BF1170">
        <f>'Grid_Stock'!BC90</f>
        <v/>
      </c>
      <c r="BG1170">
        <f>'Grid_Stock'!BD90</f>
        <v/>
      </c>
      <c r="BH1170">
        <f>'Grid_Stock'!BE90</f>
        <v/>
      </c>
      <c r="BI1170">
        <f>'Grid_Stock'!BF90</f>
        <v/>
      </c>
      <c r="BJ1170">
        <f>'Grid_Stock'!BG90</f>
        <v/>
      </c>
      <c r="BK1170">
        <f>'Grid_Stock'!BH90</f>
        <v/>
      </c>
      <c r="BL1170">
        <f>'Grid_Stock'!BI90</f>
        <v/>
      </c>
      <c r="BM1170">
        <f>'Grid_Stock'!BJ90</f>
        <v/>
      </c>
      <c r="BN1170">
        <f>'Grid_Stock'!BK90</f>
        <v/>
      </c>
      <c r="BO1170">
        <f>'Grid_Stock'!BL90</f>
        <v/>
      </c>
      <c r="BP1170">
        <f>'Grid_Stock'!BM90</f>
        <v/>
      </c>
      <c r="BQ1170">
        <f>'Grid_Stock'!BN90</f>
        <v/>
      </c>
      <c r="BR1170">
        <f>'Grid_Stock'!BO90</f>
        <v/>
      </c>
      <c r="BS1170">
        <f>'Grid_Stock'!BP90</f>
        <v/>
      </c>
      <c r="BT1170">
        <f>'Grid_Stock'!BQ90</f>
        <v/>
      </c>
      <c r="BU1170">
        <f>'Grid_Stock'!BR90</f>
        <v/>
      </c>
      <c r="BV1170">
        <f>'Grid_Stock'!BS90</f>
        <v/>
      </c>
      <c r="BW1170">
        <f>'Grid_Stock'!BT90</f>
        <v/>
      </c>
      <c r="BX1170">
        <f>'Grid_Stock'!BU90</f>
        <v/>
      </c>
      <c r="BY1170">
        <f>'Grid_Stock'!BV90</f>
        <v/>
      </c>
      <c r="BZ1170">
        <f>'Grid_Stock'!BW90</f>
        <v/>
      </c>
      <c r="CA1170">
        <f>'Grid_Stock'!BX90</f>
        <v/>
      </c>
      <c r="CB1170">
        <f>'Grid_Stock'!BY90</f>
        <v/>
      </c>
      <c r="CC1170">
        <f>'Grid_Stock'!BZ90</f>
        <v/>
      </c>
      <c r="CD1170">
        <f>'Grid_Stock'!CA90</f>
        <v/>
      </c>
      <c r="CE1170">
        <f>'Grid_Stock'!CB90</f>
        <v/>
      </c>
      <c r="CF1170">
        <f>'Grid_Stock'!CC90</f>
        <v/>
      </c>
      <c r="CG1170">
        <f>'Grid_Stock'!CD90</f>
        <v/>
      </c>
      <c r="CH1170">
        <f>'Grid_Stock'!CE90</f>
        <v/>
      </c>
      <c r="CI1170">
        <f>'Grid_Stock'!CF90</f>
        <v/>
      </c>
      <c r="CJ1170">
        <f>'Grid_Stock'!CG90</f>
        <v/>
      </c>
      <c r="CK1170">
        <f>'Grid_Stock'!CH90</f>
        <v/>
      </c>
      <c r="CL1170">
        <f>'Grid_Stock'!CI90</f>
        <v/>
      </c>
      <c r="CM1170">
        <f>'Grid_Stock'!CJ90</f>
        <v/>
      </c>
      <c r="CN1170">
        <f>'Grid_Stock'!CK90</f>
        <v/>
      </c>
      <c r="CO1170">
        <f>'Grid_Stock'!CL90</f>
        <v/>
      </c>
      <c r="CP1170">
        <f>'Grid_Stock'!CM90</f>
        <v/>
      </c>
      <c r="CQ1170">
        <f>'Grid_Stock'!CN90</f>
        <v/>
      </c>
      <c r="CR1170">
        <f>'Grid_Stock'!CO90</f>
        <v/>
      </c>
      <c r="CS1170">
        <f>'Grid_Stock'!CP90</f>
        <v/>
      </c>
      <c r="CT1170">
        <f>'Grid_Stock'!CQ90</f>
        <v/>
      </c>
      <c r="CU1170">
        <f>'Grid_Stock'!CR90</f>
        <v/>
      </c>
      <c r="CV1170">
        <f>'Grid_Stock'!CS90</f>
        <v/>
      </c>
      <c r="CW1170">
        <f>'Grid_Stock'!CT90</f>
        <v/>
      </c>
      <c r="CX1170">
        <f>'Grid_Stock'!CU90</f>
        <v/>
      </c>
      <c r="CY1170">
        <f>'Grid_Stock'!CV90</f>
        <v/>
      </c>
      <c r="CZ1170">
        <f>'Grid_Stock'!CW90</f>
        <v/>
      </c>
      <c r="DA1170">
        <f>'Grid_Stock'!CX90</f>
        <v/>
      </c>
      <c r="DB1170">
        <f>'Grid_Stock'!CY90</f>
        <v/>
      </c>
      <c r="DC1170">
        <f>'Grid_Stock'!CZ90</f>
        <v/>
      </c>
      <c r="DD1170">
        <f>'Grid_Stock'!DA90</f>
        <v/>
      </c>
    </row>
    <row r="1171">
      <c r="B1171" s="25" t="inlineStr">
        <is>
          <t>（発注の目安はDashboardの基準在庫[下限/上限]と色分けを参照）</t>
        </is>
      </c>
    </row>
    <row r="1173">
      <c r="A1173" s="21" t="inlineStr">
        <is>
          <t>CHEM-1530</t>
        </is>
      </c>
      <c r="B1173" s="21" t="inlineStr">
        <is>
          <t>JCK-97</t>
        </is>
      </c>
      <c r="C1173" s="22" t="n"/>
      <c r="D1173" s="21" t="n"/>
      <c r="E1173" s="21" t="n"/>
      <c r="F1173" s="21" t="n"/>
      <c r="G1173" s="21" t="n"/>
      <c r="H1173" s="21" t="n"/>
      <c r="I1173" s="21" t="n"/>
      <c r="J1173" s="21" t="n"/>
      <c r="K1173" s="21" t="n"/>
      <c r="L1173" s="21" t="n"/>
      <c r="M1173" s="21" t="n"/>
      <c r="N1173" s="21" t="n"/>
      <c r="O1173" s="21" t="n"/>
      <c r="P1173" s="21" t="n"/>
      <c r="Q1173" s="21" t="n"/>
      <c r="R1173" s="21" t="n"/>
      <c r="S1173" s="21" t="n"/>
      <c r="T1173" s="21" t="n"/>
      <c r="U1173" s="21" t="n"/>
      <c r="V1173" s="21" t="n"/>
      <c r="W1173" s="21" t="n"/>
      <c r="X1173" s="21" t="n"/>
      <c r="Y1173" s="21" t="n"/>
      <c r="Z1173" s="21" t="n"/>
      <c r="AA1173" s="21" t="n"/>
      <c r="AB1173" s="21" t="n"/>
      <c r="AC1173" s="21" t="n"/>
      <c r="AD1173" s="21" t="n"/>
      <c r="AE1173" s="21" t="n"/>
      <c r="AF1173" s="21" t="n"/>
      <c r="AG1173" s="21" t="n"/>
      <c r="AH1173" s="21" t="n"/>
      <c r="AI1173" s="21" t="n"/>
      <c r="AJ1173" s="21" t="n"/>
      <c r="AK1173" s="21" t="n"/>
      <c r="AL1173" s="21" t="n"/>
      <c r="AM1173" s="21" t="n"/>
      <c r="AN1173" s="21" t="n"/>
      <c r="AO1173" s="21" t="n"/>
      <c r="AP1173" s="21" t="n"/>
      <c r="AQ1173" s="21" t="n"/>
      <c r="AR1173" s="21" t="n"/>
      <c r="AS1173" s="21" t="n"/>
      <c r="AT1173" s="21" t="n"/>
      <c r="AU1173" s="21" t="n"/>
      <c r="AV1173" s="21" t="n"/>
      <c r="AW1173" s="21" t="n"/>
      <c r="AX1173" s="21" t="n"/>
      <c r="AY1173" s="21" t="n"/>
      <c r="AZ1173" s="21" t="n"/>
      <c r="BA1173" s="21" t="n"/>
      <c r="BB1173" s="21" t="n"/>
      <c r="BC1173" s="21" t="n"/>
      <c r="BD1173" s="21" t="n"/>
      <c r="BE1173" s="21" t="n"/>
      <c r="BF1173" s="21" t="n"/>
      <c r="BG1173" s="21" t="n"/>
      <c r="BH1173" s="21" t="n"/>
      <c r="BI1173" s="21" t="n"/>
      <c r="BJ1173" s="21" t="n"/>
      <c r="BK1173" s="21" t="n"/>
      <c r="BL1173" s="21" t="n"/>
      <c r="BM1173" s="21" t="n"/>
      <c r="BN1173" s="21" t="n"/>
      <c r="BO1173" s="21" t="n"/>
      <c r="BP1173" s="21" t="n"/>
      <c r="BQ1173" s="21" t="n"/>
      <c r="BR1173" s="21" t="n"/>
      <c r="BS1173" s="21" t="n"/>
      <c r="BT1173" s="21" t="n"/>
      <c r="BU1173" s="21" t="n"/>
      <c r="BV1173" s="21" t="n"/>
      <c r="BW1173" s="21" t="n"/>
      <c r="BX1173" s="21" t="n"/>
      <c r="BY1173" s="21" t="n"/>
      <c r="BZ1173" s="21" t="n"/>
      <c r="CA1173" s="21" t="n"/>
      <c r="CB1173" s="21" t="n"/>
      <c r="CC1173" s="21" t="n"/>
      <c r="CD1173" s="21" t="n"/>
      <c r="CE1173" s="21" t="n"/>
      <c r="CF1173" s="21" t="n"/>
      <c r="CG1173" s="21" t="n"/>
      <c r="CH1173" s="21" t="n"/>
      <c r="CI1173" s="21" t="n"/>
      <c r="CJ1173" s="21" t="n"/>
      <c r="CK1173" s="21" t="n"/>
      <c r="CL1173" s="21" t="n"/>
      <c r="CM1173" s="21" t="n"/>
      <c r="CN1173" s="21" t="n"/>
      <c r="CO1173" s="21" t="n"/>
      <c r="CP1173" s="21" t="n"/>
      <c r="CQ1173" s="21" t="n"/>
      <c r="CR1173" s="21" t="n"/>
      <c r="CS1173" s="21" t="n"/>
      <c r="CT1173" s="21" t="n"/>
      <c r="CU1173" s="21" t="n"/>
      <c r="CV1173" s="21" t="n"/>
      <c r="CW1173" s="21" t="n"/>
      <c r="CX1173" s="21" t="n"/>
      <c r="CY1173" s="21" t="n"/>
      <c r="CZ1173" s="21" t="n"/>
      <c r="DA1173" s="21" t="n"/>
      <c r="DB1173" s="21" t="n"/>
      <c r="DC1173" s="21" t="n"/>
      <c r="DD1173" s="21" t="n"/>
    </row>
    <row r="1174">
      <c r="B1174" t="inlineStr">
        <is>
          <t>TSP-402</t>
        </is>
      </c>
      <c r="C1174" t="inlineStr">
        <is>
          <t>No. of batches</t>
        </is>
      </c>
      <c r="D1174">
        <f>IFERROR(INDEX(E1174:DD1174,$F$1),"")</f>
        <v/>
      </c>
      <c r="E1174">
        <f>IFERROR(INDEX(PP_Grid[#Data],$DE1174,2),0)</f>
        <v/>
      </c>
      <c r="F1174">
        <f>IFERROR(INDEX(PP_Grid[#Data],$DE1174,3),0)</f>
        <v/>
      </c>
      <c r="G1174">
        <f>IFERROR(INDEX(PP_Grid[#Data],$DE1174,4),0)</f>
        <v/>
      </c>
      <c r="H1174">
        <f>IFERROR(INDEX(PP_Grid[#Data],$DE1174,5),0)</f>
        <v/>
      </c>
      <c r="I1174">
        <f>IFERROR(INDEX(PP_Grid[#Data],$DE1174,6),0)</f>
        <v/>
      </c>
      <c r="J1174">
        <f>IFERROR(INDEX(PP_Grid[#Data],$DE1174,7),0)</f>
        <v/>
      </c>
      <c r="K1174">
        <f>IFERROR(INDEX(PP_Grid[#Data],$DE1174,8),0)</f>
        <v/>
      </c>
      <c r="L1174">
        <f>IFERROR(INDEX(PP_Grid[#Data],$DE1174,9),0)</f>
        <v/>
      </c>
      <c r="M1174">
        <f>IFERROR(INDEX(PP_Grid[#Data],$DE1174,10),0)</f>
        <v/>
      </c>
      <c r="N1174">
        <f>IFERROR(INDEX(PP_Grid[#Data],$DE1174,11),0)</f>
        <v/>
      </c>
      <c r="O1174">
        <f>IFERROR(INDEX(PP_Grid[#Data],$DE1174,12),0)</f>
        <v/>
      </c>
      <c r="P1174">
        <f>IFERROR(INDEX(PP_Grid[#Data],$DE1174,13),0)</f>
        <v/>
      </c>
      <c r="Q1174">
        <f>IFERROR(INDEX(PP_Grid[#Data],$DE1174,14),0)</f>
        <v/>
      </c>
      <c r="R1174">
        <f>IFERROR(INDEX(PP_Grid[#Data],$DE1174,15),0)</f>
        <v/>
      </c>
      <c r="S1174">
        <f>IFERROR(INDEX(PP_Grid[#Data],$DE1174,16),0)</f>
        <v/>
      </c>
      <c r="T1174">
        <f>IFERROR(INDEX(PP_Grid[#Data],$DE1174,17),0)</f>
        <v/>
      </c>
      <c r="U1174">
        <f>IFERROR(INDEX(PP_Grid[#Data],$DE1174,18),0)</f>
        <v/>
      </c>
      <c r="V1174">
        <f>IFERROR(INDEX(PP_Grid[#Data],$DE1174,19),0)</f>
        <v/>
      </c>
      <c r="W1174">
        <f>IFERROR(INDEX(PP_Grid[#Data],$DE1174,20),0)</f>
        <v/>
      </c>
      <c r="X1174">
        <f>IFERROR(INDEX(PP_Grid[#Data],$DE1174,21),0)</f>
        <v/>
      </c>
      <c r="Y1174">
        <f>IFERROR(INDEX(PP_Grid[#Data],$DE1174,22),0)</f>
        <v/>
      </c>
      <c r="Z1174">
        <f>IFERROR(INDEX(PP_Grid[#Data],$DE1174,23),0)</f>
        <v/>
      </c>
      <c r="AA1174">
        <f>IFERROR(INDEX(PP_Grid[#Data],$DE1174,24),0)</f>
        <v/>
      </c>
      <c r="AB1174">
        <f>IFERROR(INDEX(PP_Grid[#Data],$DE1174,25),0)</f>
        <v/>
      </c>
      <c r="AC1174">
        <f>IFERROR(INDEX(PP_Grid[#Data],$DE1174,26),0)</f>
        <v/>
      </c>
      <c r="AD1174">
        <f>IFERROR(INDEX(PP_Grid[#Data],$DE1174,27),0)</f>
        <v/>
      </c>
      <c r="AE1174">
        <f>IFERROR(INDEX(PP_Grid[#Data],$DE1174,28),0)</f>
        <v/>
      </c>
      <c r="AF1174">
        <f>IFERROR(INDEX(PP_Grid[#Data],$DE1174,29),0)</f>
        <v/>
      </c>
      <c r="AG1174">
        <f>IFERROR(INDEX(PP_Grid[#Data],$DE1174,30),0)</f>
        <v/>
      </c>
      <c r="AH1174">
        <f>IFERROR(INDEX(PP_Grid[#Data],$DE1174,31),0)</f>
        <v/>
      </c>
      <c r="AI1174">
        <f>IFERROR(INDEX(PP_Grid[#Data],$DE1174,32),0)</f>
        <v/>
      </c>
      <c r="AJ1174">
        <f>IFERROR(INDEX(PP_Grid[#Data],$DE1174,33),0)</f>
        <v/>
      </c>
      <c r="AK1174">
        <f>IFERROR(INDEX(PP_Grid[#Data],$DE1174,34),0)</f>
        <v/>
      </c>
      <c r="AL1174">
        <f>IFERROR(INDEX(PP_Grid[#Data],$DE1174,35),0)</f>
        <v/>
      </c>
      <c r="AM1174">
        <f>IFERROR(INDEX(PP_Grid[#Data],$DE1174,36),0)</f>
        <v/>
      </c>
      <c r="AN1174">
        <f>IFERROR(INDEX(PP_Grid[#Data],$DE1174,37),0)</f>
        <v/>
      </c>
      <c r="AO1174">
        <f>IFERROR(INDEX(PP_Grid[#Data],$DE1174,38),0)</f>
        <v/>
      </c>
      <c r="AP1174">
        <f>IFERROR(INDEX(PP_Grid[#Data],$DE1174,39),0)</f>
        <v/>
      </c>
      <c r="AQ1174">
        <f>IFERROR(INDEX(PP_Grid[#Data],$DE1174,40),0)</f>
        <v/>
      </c>
      <c r="AR1174">
        <f>IFERROR(INDEX(PP_Grid[#Data],$DE1174,41),0)</f>
        <v/>
      </c>
      <c r="AS1174">
        <f>IFERROR(INDEX(PP_Grid[#Data],$DE1174,42),0)</f>
        <v/>
      </c>
      <c r="AT1174">
        <f>IFERROR(INDEX(PP_Grid[#Data],$DE1174,43),0)</f>
        <v/>
      </c>
      <c r="AU1174">
        <f>IFERROR(INDEX(PP_Grid[#Data],$DE1174,44),0)</f>
        <v/>
      </c>
      <c r="AV1174">
        <f>IFERROR(INDEX(PP_Grid[#Data],$DE1174,45),0)</f>
        <v/>
      </c>
      <c r="AW1174">
        <f>IFERROR(INDEX(PP_Grid[#Data],$DE1174,46),0)</f>
        <v/>
      </c>
      <c r="AX1174">
        <f>IFERROR(INDEX(PP_Grid[#Data],$DE1174,47),0)</f>
        <v/>
      </c>
      <c r="AY1174">
        <f>IFERROR(INDEX(PP_Grid[#Data],$DE1174,48),0)</f>
        <v/>
      </c>
      <c r="AZ1174">
        <f>IFERROR(INDEX(PP_Grid[#Data],$DE1174,49),0)</f>
        <v/>
      </c>
      <c r="BA1174">
        <f>IFERROR(INDEX(PP_Grid[#Data],$DE1174,50),0)</f>
        <v/>
      </c>
      <c r="BB1174">
        <f>IFERROR(INDEX(PP_Grid[#Data],$DE1174,51),0)</f>
        <v/>
      </c>
      <c r="BC1174">
        <f>IFERROR(INDEX(PP_Grid[#Data],$DE1174,52),0)</f>
        <v/>
      </c>
      <c r="BD1174">
        <f>IFERROR(INDEX(PP_Grid[#Data],$DE1174,53),0)</f>
        <v/>
      </c>
      <c r="BE1174">
        <f>IFERROR(INDEX(PP_Grid[#Data],$DE1174,54),0)</f>
        <v/>
      </c>
      <c r="BF1174">
        <f>IFERROR(INDEX(PP_Grid[#Data],$DE1174,55),0)</f>
        <v/>
      </c>
      <c r="BG1174">
        <f>IFERROR(INDEX(PP_Grid[#Data],$DE1174,56),0)</f>
        <v/>
      </c>
      <c r="BH1174">
        <f>IFERROR(INDEX(PP_Grid[#Data],$DE1174,57),0)</f>
        <v/>
      </c>
      <c r="BI1174">
        <f>IFERROR(INDEX(PP_Grid[#Data],$DE1174,58),0)</f>
        <v/>
      </c>
      <c r="BJ1174">
        <f>IFERROR(INDEX(PP_Grid[#Data],$DE1174,59),0)</f>
        <v/>
      </c>
      <c r="BK1174">
        <f>IFERROR(INDEX(PP_Grid[#Data],$DE1174,60),0)</f>
        <v/>
      </c>
      <c r="BL1174">
        <f>IFERROR(INDEX(PP_Grid[#Data],$DE1174,61),0)</f>
        <v/>
      </c>
      <c r="BM1174">
        <f>IFERROR(INDEX(PP_Grid[#Data],$DE1174,62),0)</f>
        <v/>
      </c>
      <c r="BN1174">
        <f>IFERROR(INDEX(PP_Grid[#Data],$DE1174,63),0)</f>
        <v/>
      </c>
      <c r="BO1174">
        <f>IFERROR(INDEX(PP_Grid[#Data],$DE1174,64),0)</f>
        <v/>
      </c>
      <c r="BP1174">
        <f>IFERROR(INDEX(PP_Grid[#Data],$DE1174,65),0)</f>
        <v/>
      </c>
      <c r="BQ1174">
        <f>IFERROR(INDEX(PP_Grid[#Data],$DE1174,66),0)</f>
        <v/>
      </c>
      <c r="BR1174">
        <f>IFERROR(INDEX(PP_Grid[#Data],$DE1174,67),0)</f>
        <v/>
      </c>
      <c r="BS1174">
        <f>IFERROR(INDEX(PP_Grid[#Data],$DE1174,68),0)</f>
        <v/>
      </c>
      <c r="BT1174">
        <f>IFERROR(INDEX(PP_Grid[#Data],$DE1174,69),0)</f>
        <v/>
      </c>
      <c r="BU1174">
        <f>IFERROR(INDEX(PP_Grid[#Data],$DE1174,70),0)</f>
        <v/>
      </c>
      <c r="BV1174">
        <f>IFERROR(INDEX(PP_Grid[#Data],$DE1174,71),0)</f>
        <v/>
      </c>
      <c r="BW1174">
        <f>IFERROR(INDEX(PP_Grid[#Data],$DE1174,72),0)</f>
        <v/>
      </c>
      <c r="BX1174">
        <f>IFERROR(INDEX(PP_Grid[#Data],$DE1174,73),0)</f>
        <v/>
      </c>
      <c r="BY1174">
        <f>IFERROR(INDEX(PP_Grid[#Data],$DE1174,74),0)</f>
        <v/>
      </c>
      <c r="BZ1174">
        <f>IFERROR(INDEX(PP_Grid[#Data],$DE1174,75),0)</f>
        <v/>
      </c>
      <c r="CA1174">
        <f>IFERROR(INDEX(PP_Grid[#Data],$DE1174,76),0)</f>
        <v/>
      </c>
      <c r="CB1174">
        <f>IFERROR(INDEX(PP_Grid[#Data],$DE1174,77),0)</f>
        <v/>
      </c>
      <c r="CC1174">
        <f>IFERROR(INDEX(PP_Grid[#Data],$DE1174,78),0)</f>
        <v/>
      </c>
      <c r="CD1174">
        <f>IFERROR(INDEX(PP_Grid[#Data],$DE1174,79),0)</f>
        <v/>
      </c>
      <c r="CE1174">
        <f>IFERROR(INDEX(PP_Grid[#Data],$DE1174,80),0)</f>
        <v/>
      </c>
      <c r="CF1174">
        <f>IFERROR(INDEX(PP_Grid[#Data],$DE1174,81),0)</f>
        <v/>
      </c>
      <c r="CG1174">
        <f>IFERROR(INDEX(PP_Grid[#Data],$DE1174,82),0)</f>
        <v/>
      </c>
      <c r="CH1174">
        <f>IFERROR(INDEX(PP_Grid[#Data],$DE1174,83),0)</f>
        <v/>
      </c>
      <c r="CI1174">
        <f>IFERROR(INDEX(PP_Grid[#Data],$DE1174,84),0)</f>
        <v/>
      </c>
      <c r="CJ1174">
        <f>IFERROR(INDEX(PP_Grid[#Data],$DE1174,85),0)</f>
        <v/>
      </c>
      <c r="CK1174">
        <f>IFERROR(INDEX(PP_Grid[#Data],$DE1174,86),0)</f>
        <v/>
      </c>
      <c r="CL1174">
        <f>IFERROR(INDEX(PP_Grid[#Data],$DE1174,87),0)</f>
        <v/>
      </c>
      <c r="CM1174">
        <f>IFERROR(INDEX(PP_Grid[#Data],$DE1174,88),0)</f>
        <v/>
      </c>
      <c r="CN1174">
        <f>IFERROR(INDEX(PP_Grid[#Data],$DE1174,89),0)</f>
        <v/>
      </c>
      <c r="CO1174">
        <f>IFERROR(INDEX(PP_Grid[#Data],$DE1174,90),0)</f>
        <v/>
      </c>
      <c r="CP1174">
        <f>IFERROR(INDEX(PP_Grid[#Data],$DE1174,91),0)</f>
        <v/>
      </c>
      <c r="CQ1174">
        <f>IFERROR(INDEX(PP_Grid[#Data],$DE1174,92),0)</f>
        <v/>
      </c>
      <c r="CR1174">
        <f>IFERROR(INDEX(PP_Grid[#Data],$DE1174,93),0)</f>
        <v/>
      </c>
      <c r="CS1174">
        <f>IFERROR(INDEX(PP_Grid[#Data],$DE1174,94),0)</f>
        <v/>
      </c>
      <c r="CT1174">
        <f>IFERROR(INDEX(PP_Grid[#Data],$DE1174,95),0)</f>
        <v/>
      </c>
      <c r="CU1174">
        <f>IFERROR(INDEX(PP_Grid[#Data],$DE1174,96),0)</f>
        <v/>
      </c>
      <c r="CV1174">
        <f>IFERROR(INDEX(PP_Grid[#Data],$DE1174,97),0)</f>
        <v/>
      </c>
      <c r="CW1174">
        <f>IFERROR(INDEX(PP_Grid[#Data],$DE1174,98),0)</f>
        <v/>
      </c>
      <c r="CX1174">
        <f>IFERROR(INDEX(PP_Grid[#Data],$DE1174,99),0)</f>
        <v/>
      </c>
      <c r="CY1174">
        <f>IFERROR(INDEX(PP_Grid[#Data],$DE1174,100),0)</f>
        <v/>
      </c>
      <c r="CZ1174">
        <f>IFERROR(INDEX(PP_Grid[#Data],$DE1174,101),0)</f>
        <v/>
      </c>
      <c r="DA1174">
        <f>IFERROR(INDEX(PP_Grid[#Data],$DE1174,102),0)</f>
        <v/>
      </c>
      <c r="DB1174">
        <f>IFERROR(INDEX(PP_Grid[#Data],$DE1174,103),0)</f>
        <v/>
      </c>
      <c r="DC1174">
        <f>IFERROR(INDEX(PP_Grid[#Data],$DE1174,104),0)</f>
        <v/>
      </c>
      <c r="DD1174">
        <f>IFERROR(INDEX(PP_Grid[#Data],$DE1174,105),0)</f>
        <v/>
      </c>
      <c r="DE1174" s="7">
        <f>IFERROR(MATCH($B1174,PP_Grid[Intermediate],0),99999)</f>
        <v/>
      </c>
    </row>
    <row r="1175">
      <c r="B1175" t="inlineStr">
        <is>
          <t>使用量(kg)</t>
        </is>
      </c>
      <c r="C1175">
        <f>SUMIFS(M_BOM[RM_Qty_Per_Batch],M_BOM[Intermediate],$B1174,M_BOM[RM_Code],$A1173)</f>
        <v/>
      </c>
      <c r="D1175">
        <f>IFERROR(INDEX(E1175:DD1175,$F$1),"")</f>
        <v/>
      </c>
      <c r="E1175">
        <f>$C1175*E1174</f>
        <v/>
      </c>
      <c r="F1175">
        <f>$C1175*F1174</f>
        <v/>
      </c>
      <c r="G1175">
        <f>$C1175*G1174</f>
        <v/>
      </c>
      <c r="H1175">
        <f>$C1175*H1174</f>
        <v/>
      </c>
      <c r="I1175">
        <f>$C1175*I1174</f>
        <v/>
      </c>
      <c r="J1175">
        <f>$C1175*J1174</f>
        <v/>
      </c>
      <c r="K1175">
        <f>$C1175*K1174</f>
        <v/>
      </c>
      <c r="L1175">
        <f>$C1175*L1174</f>
        <v/>
      </c>
      <c r="M1175">
        <f>$C1175*M1174</f>
        <v/>
      </c>
      <c r="N1175">
        <f>$C1175*N1174</f>
        <v/>
      </c>
      <c r="O1175">
        <f>$C1175*O1174</f>
        <v/>
      </c>
      <c r="P1175">
        <f>$C1175*P1174</f>
        <v/>
      </c>
      <c r="Q1175">
        <f>$C1175*Q1174</f>
        <v/>
      </c>
      <c r="R1175">
        <f>$C1175*R1174</f>
        <v/>
      </c>
      <c r="S1175">
        <f>$C1175*S1174</f>
        <v/>
      </c>
      <c r="T1175">
        <f>$C1175*T1174</f>
        <v/>
      </c>
      <c r="U1175">
        <f>$C1175*U1174</f>
        <v/>
      </c>
      <c r="V1175">
        <f>$C1175*V1174</f>
        <v/>
      </c>
      <c r="W1175">
        <f>$C1175*W1174</f>
        <v/>
      </c>
      <c r="X1175">
        <f>$C1175*X1174</f>
        <v/>
      </c>
      <c r="Y1175">
        <f>$C1175*Y1174</f>
        <v/>
      </c>
      <c r="Z1175">
        <f>$C1175*Z1174</f>
        <v/>
      </c>
      <c r="AA1175">
        <f>$C1175*AA1174</f>
        <v/>
      </c>
      <c r="AB1175">
        <f>$C1175*AB1174</f>
        <v/>
      </c>
      <c r="AC1175">
        <f>$C1175*AC1174</f>
        <v/>
      </c>
      <c r="AD1175">
        <f>$C1175*AD1174</f>
        <v/>
      </c>
      <c r="AE1175">
        <f>$C1175*AE1174</f>
        <v/>
      </c>
      <c r="AF1175">
        <f>$C1175*AF1174</f>
        <v/>
      </c>
      <c r="AG1175">
        <f>$C1175*AG1174</f>
        <v/>
      </c>
      <c r="AH1175">
        <f>$C1175*AH1174</f>
        <v/>
      </c>
      <c r="AI1175">
        <f>$C1175*AI1174</f>
        <v/>
      </c>
      <c r="AJ1175">
        <f>$C1175*AJ1174</f>
        <v/>
      </c>
      <c r="AK1175">
        <f>$C1175*AK1174</f>
        <v/>
      </c>
      <c r="AL1175">
        <f>$C1175*AL1174</f>
        <v/>
      </c>
      <c r="AM1175">
        <f>$C1175*AM1174</f>
        <v/>
      </c>
      <c r="AN1175">
        <f>$C1175*AN1174</f>
        <v/>
      </c>
      <c r="AO1175">
        <f>$C1175*AO1174</f>
        <v/>
      </c>
      <c r="AP1175">
        <f>$C1175*AP1174</f>
        <v/>
      </c>
      <c r="AQ1175">
        <f>$C1175*AQ1174</f>
        <v/>
      </c>
      <c r="AR1175">
        <f>$C1175*AR1174</f>
        <v/>
      </c>
      <c r="AS1175">
        <f>$C1175*AS1174</f>
        <v/>
      </c>
      <c r="AT1175">
        <f>$C1175*AT1174</f>
        <v/>
      </c>
      <c r="AU1175">
        <f>$C1175*AU1174</f>
        <v/>
      </c>
      <c r="AV1175">
        <f>$C1175*AV1174</f>
        <v/>
      </c>
      <c r="AW1175">
        <f>$C1175*AW1174</f>
        <v/>
      </c>
      <c r="AX1175">
        <f>$C1175*AX1174</f>
        <v/>
      </c>
      <c r="AY1175">
        <f>$C1175*AY1174</f>
        <v/>
      </c>
      <c r="AZ1175">
        <f>$C1175*AZ1174</f>
        <v/>
      </c>
      <c r="BA1175">
        <f>$C1175*BA1174</f>
        <v/>
      </c>
      <c r="BB1175">
        <f>$C1175*BB1174</f>
        <v/>
      </c>
      <c r="BC1175">
        <f>$C1175*BC1174</f>
        <v/>
      </c>
      <c r="BD1175">
        <f>$C1175*BD1174</f>
        <v/>
      </c>
      <c r="BE1175">
        <f>$C1175*BE1174</f>
        <v/>
      </c>
      <c r="BF1175">
        <f>$C1175*BF1174</f>
        <v/>
      </c>
      <c r="BG1175">
        <f>$C1175*BG1174</f>
        <v/>
      </c>
      <c r="BH1175">
        <f>$C1175*BH1174</f>
        <v/>
      </c>
      <c r="BI1175">
        <f>$C1175*BI1174</f>
        <v/>
      </c>
      <c r="BJ1175">
        <f>$C1175*BJ1174</f>
        <v/>
      </c>
      <c r="BK1175">
        <f>$C1175*BK1174</f>
        <v/>
      </c>
      <c r="BL1175">
        <f>$C1175*BL1174</f>
        <v/>
      </c>
      <c r="BM1175">
        <f>$C1175*BM1174</f>
        <v/>
      </c>
      <c r="BN1175">
        <f>$C1175*BN1174</f>
        <v/>
      </c>
      <c r="BO1175">
        <f>$C1175*BO1174</f>
        <v/>
      </c>
      <c r="BP1175">
        <f>$C1175*BP1174</f>
        <v/>
      </c>
      <c r="BQ1175">
        <f>$C1175*BQ1174</f>
        <v/>
      </c>
      <c r="BR1175">
        <f>$C1175*BR1174</f>
        <v/>
      </c>
      <c r="BS1175">
        <f>$C1175*BS1174</f>
        <v/>
      </c>
      <c r="BT1175">
        <f>$C1175*BT1174</f>
        <v/>
      </c>
      <c r="BU1175">
        <f>$C1175*BU1174</f>
        <v/>
      </c>
      <c r="BV1175">
        <f>$C1175*BV1174</f>
        <v/>
      </c>
      <c r="BW1175">
        <f>$C1175*BW1174</f>
        <v/>
      </c>
      <c r="BX1175">
        <f>$C1175*BX1174</f>
        <v/>
      </c>
      <c r="BY1175">
        <f>$C1175*BY1174</f>
        <v/>
      </c>
      <c r="BZ1175">
        <f>$C1175*BZ1174</f>
        <v/>
      </c>
      <c r="CA1175">
        <f>$C1175*CA1174</f>
        <v/>
      </c>
      <c r="CB1175">
        <f>$C1175*CB1174</f>
        <v/>
      </c>
      <c r="CC1175">
        <f>$C1175*CC1174</f>
        <v/>
      </c>
      <c r="CD1175">
        <f>$C1175*CD1174</f>
        <v/>
      </c>
      <c r="CE1175">
        <f>$C1175*CE1174</f>
        <v/>
      </c>
      <c r="CF1175">
        <f>$C1175*CF1174</f>
        <v/>
      </c>
      <c r="CG1175">
        <f>$C1175*CG1174</f>
        <v/>
      </c>
      <c r="CH1175">
        <f>$C1175*CH1174</f>
        <v/>
      </c>
      <c r="CI1175">
        <f>$C1175*CI1174</f>
        <v/>
      </c>
      <c r="CJ1175">
        <f>$C1175*CJ1174</f>
        <v/>
      </c>
      <c r="CK1175">
        <f>$C1175*CK1174</f>
        <v/>
      </c>
      <c r="CL1175">
        <f>$C1175*CL1174</f>
        <v/>
      </c>
      <c r="CM1175">
        <f>$C1175*CM1174</f>
        <v/>
      </c>
      <c r="CN1175">
        <f>$C1175*CN1174</f>
        <v/>
      </c>
      <c r="CO1175">
        <f>$C1175*CO1174</f>
        <v/>
      </c>
      <c r="CP1175">
        <f>$C1175*CP1174</f>
        <v/>
      </c>
      <c r="CQ1175">
        <f>$C1175*CQ1174</f>
        <v/>
      </c>
      <c r="CR1175">
        <f>$C1175*CR1174</f>
        <v/>
      </c>
      <c r="CS1175">
        <f>$C1175*CS1174</f>
        <v/>
      </c>
      <c r="CT1175">
        <f>$C1175*CT1174</f>
        <v/>
      </c>
      <c r="CU1175">
        <f>$C1175*CU1174</f>
        <v/>
      </c>
      <c r="CV1175">
        <f>$C1175*CV1174</f>
        <v/>
      </c>
      <c r="CW1175">
        <f>$C1175*CW1174</f>
        <v/>
      </c>
      <c r="CX1175">
        <f>$C1175*CX1174</f>
        <v/>
      </c>
      <c r="CY1175">
        <f>$C1175*CY1174</f>
        <v/>
      </c>
      <c r="CZ1175">
        <f>$C1175*CZ1174</f>
        <v/>
      </c>
      <c r="DA1175">
        <f>$C1175*DA1174</f>
        <v/>
      </c>
      <c r="DB1175">
        <f>$C1175*DB1174</f>
        <v/>
      </c>
      <c r="DC1175">
        <f>$C1175*DC1174</f>
        <v/>
      </c>
      <c r="DD1175">
        <f>$C1175*DD1174</f>
        <v/>
      </c>
    </row>
    <row r="1176">
      <c r="B1176" t="inlineStr">
        <is>
          <t>TSP-403</t>
        </is>
      </c>
      <c r="C1176" t="inlineStr">
        <is>
          <t>No. of batches</t>
        </is>
      </c>
      <c r="D1176">
        <f>IFERROR(INDEX(E1176:DD1176,$F$1),"")</f>
        <v/>
      </c>
      <c r="E1176">
        <f>IFERROR(INDEX(PP_Grid[#Data],$DE1176,2),0)</f>
        <v/>
      </c>
      <c r="F1176">
        <f>IFERROR(INDEX(PP_Grid[#Data],$DE1176,3),0)</f>
        <v/>
      </c>
      <c r="G1176">
        <f>IFERROR(INDEX(PP_Grid[#Data],$DE1176,4),0)</f>
        <v/>
      </c>
      <c r="H1176">
        <f>IFERROR(INDEX(PP_Grid[#Data],$DE1176,5),0)</f>
        <v/>
      </c>
      <c r="I1176">
        <f>IFERROR(INDEX(PP_Grid[#Data],$DE1176,6),0)</f>
        <v/>
      </c>
      <c r="J1176">
        <f>IFERROR(INDEX(PP_Grid[#Data],$DE1176,7),0)</f>
        <v/>
      </c>
      <c r="K1176">
        <f>IFERROR(INDEX(PP_Grid[#Data],$DE1176,8),0)</f>
        <v/>
      </c>
      <c r="L1176">
        <f>IFERROR(INDEX(PP_Grid[#Data],$DE1176,9),0)</f>
        <v/>
      </c>
      <c r="M1176">
        <f>IFERROR(INDEX(PP_Grid[#Data],$DE1176,10),0)</f>
        <v/>
      </c>
      <c r="N1176">
        <f>IFERROR(INDEX(PP_Grid[#Data],$DE1176,11),0)</f>
        <v/>
      </c>
      <c r="O1176">
        <f>IFERROR(INDEX(PP_Grid[#Data],$DE1176,12),0)</f>
        <v/>
      </c>
      <c r="P1176">
        <f>IFERROR(INDEX(PP_Grid[#Data],$DE1176,13),0)</f>
        <v/>
      </c>
      <c r="Q1176">
        <f>IFERROR(INDEX(PP_Grid[#Data],$DE1176,14),0)</f>
        <v/>
      </c>
      <c r="R1176">
        <f>IFERROR(INDEX(PP_Grid[#Data],$DE1176,15),0)</f>
        <v/>
      </c>
      <c r="S1176">
        <f>IFERROR(INDEX(PP_Grid[#Data],$DE1176,16),0)</f>
        <v/>
      </c>
      <c r="T1176">
        <f>IFERROR(INDEX(PP_Grid[#Data],$DE1176,17),0)</f>
        <v/>
      </c>
      <c r="U1176">
        <f>IFERROR(INDEX(PP_Grid[#Data],$DE1176,18),0)</f>
        <v/>
      </c>
      <c r="V1176">
        <f>IFERROR(INDEX(PP_Grid[#Data],$DE1176,19),0)</f>
        <v/>
      </c>
      <c r="W1176">
        <f>IFERROR(INDEX(PP_Grid[#Data],$DE1176,20),0)</f>
        <v/>
      </c>
      <c r="X1176">
        <f>IFERROR(INDEX(PP_Grid[#Data],$DE1176,21),0)</f>
        <v/>
      </c>
      <c r="Y1176">
        <f>IFERROR(INDEX(PP_Grid[#Data],$DE1176,22),0)</f>
        <v/>
      </c>
      <c r="Z1176">
        <f>IFERROR(INDEX(PP_Grid[#Data],$DE1176,23),0)</f>
        <v/>
      </c>
      <c r="AA1176">
        <f>IFERROR(INDEX(PP_Grid[#Data],$DE1176,24),0)</f>
        <v/>
      </c>
      <c r="AB1176">
        <f>IFERROR(INDEX(PP_Grid[#Data],$DE1176,25),0)</f>
        <v/>
      </c>
      <c r="AC1176">
        <f>IFERROR(INDEX(PP_Grid[#Data],$DE1176,26),0)</f>
        <v/>
      </c>
      <c r="AD1176">
        <f>IFERROR(INDEX(PP_Grid[#Data],$DE1176,27),0)</f>
        <v/>
      </c>
      <c r="AE1176">
        <f>IFERROR(INDEX(PP_Grid[#Data],$DE1176,28),0)</f>
        <v/>
      </c>
      <c r="AF1176">
        <f>IFERROR(INDEX(PP_Grid[#Data],$DE1176,29),0)</f>
        <v/>
      </c>
      <c r="AG1176">
        <f>IFERROR(INDEX(PP_Grid[#Data],$DE1176,30),0)</f>
        <v/>
      </c>
      <c r="AH1176">
        <f>IFERROR(INDEX(PP_Grid[#Data],$DE1176,31),0)</f>
        <v/>
      </c>
      <c r="AI1176">
        <f>IFERROR(INDEX(PP_Grid[#Data],$DE1176,32),0)</f>
        <v/>
      </c>
      <c r="AJ1176">
        <f>IFERROR(INDEX(PP_Grid[#Data],$DE1176,33),0)</f>
        <v/>
      </c>
      <c r="AK1176">
        <f>IFERROR(INDEX(PP_Grid[#Data],$DE1176,34),0)</f>
        <v/>
      </c>
      <c r="AL1176">
        <f>IFERROR(INDEX(PP_Grid[#Data],$DE1176,35),0)</f>
        <v/>
      </c>
      <c r="AM1176">
        <f>IFERROR(INDEX(PP_Grid[#Data],$DE1176,36),0)</f>
        <v/>
      </c>
      <c r="AN1176">
        <f>IFERROR(INDEX(PP_Grid[#Data],$DE1176,37),0)</f>
        <v/>
      </c>
      <c r="AO1176">
        <f>IFERROR(INDEX(PP_Grid[#Data],$DE1176,38),0)</f>
        <v/>
      </c>
      <c r="AP1176">
        <f>IFERROR(INDEX(PP_Grid[#Data],$DE1176,39),0)</f>
        <v/>
      </c>
      <c r="AQ1176">
        <f>IFERROR(INDEX(PP_Grid[#Data],$DE1176,40),0)</f>
        <v/>
      </c>
      <c r="AR1176">
        <f>IFERROR(INDEX(PP_Grid[#Data],$DE1176,41),0)</f>
        <v/>
      </c>
      <c r="AS1176">
        <f>IFERROR(INDEX(PP_Grid[#Data],$DE1176,42),0)</f>
        <v/>
      </c>
      <c r="AT1176">
        <f>IFERROR(INDEX(PP_Grid[#Data],$DE1176,43),0)</f>
        <v/>
      </c>
      <c r="AU1176">
        <f>IFERROR(INDEX(PP_Grid[#Data],$DE1176,44),0)</f>
        <v/>
      </c>
      <c r="AV1176">
        <f>IFERROR(INDEX(PP_Grid[#Data],$DE1176,45),0)</f>
        <v/>
      </c>
      <c r="AW1176">
        <f>IFERROR(INDEX(PP_Grid[#Data],$DE1176,46),0)</f>
        <v/>
      </c>
      <c r="AX1176">
        <f>IFERROR(INDEX(PP_Grid[#Data],$DE1176,47),0)</f>
        <v/>
      </c>
      <c r="AY1176">
        <f>IFERROR(INDEX(PP_Grid[#Data],$DE1176,48),0)</f>
        <v/>
      </c>
      <c r="AZ1176">
        <f>IFERROR(INDEX(PP_Grid[#Data],$DE1176,49),0)</f>
        <v/>
      </c>
      <c r="BA1176">
        <f>IFERROR(INDEX(PP_Grid[#Data],$DE1176,50),0)</f>
        <v/>
      </c>
      <c r="BB1176">
        <f>IFERROR(INDEX(PP_Grid[#Data],$DE1176,51),0)</f>
        <v/>
      </c>
      <c r="BC1176">
        <f>IFERROR(INDEX(PP_Grid[#Data],$DE1176,52),0)</f>
        <v/>
      </c>
      <c r="BD1176">
        <f>IFERROR(INDEX(PP_Grid[#Data],$DE1176,53),0)</f>
        <v/>
      </c>
      <c r="BE1176">
        <f>IFERROR(INDEX(PP_Grid[#Data],$DE1176,54),0)</f>
        <v/>
      </c>
      <c r="BF1176">
        <f>IFERROR(INDEX(PP_Grid[#Data],$DE1176,55),0)</f>
        <v/>
      </c>
      <c r="BG1176">
        <f>IFERROR(INDEX(PP_Grid[#Data],$DE1176,56),0)</f>
        <v/>
      </c>
      <c r="BH1176">
        <f>IFERROR(INDEX(PP_Grid[#Data],$DE1176,57),0)</f>
        <v/>
      </c>
      <c r="BI1176">
        <f>IFERROR(INDEX(PP_Grid[#Data],$DE1176,58),0)</f>
        <v/>
      </c>
      <c r="BJ1176">
        <f>IFERROR(INDEX(PP_Grid[#Data],$DE1176,59),0)</f>
        <v/>
      </c>
      <c r="BK1176">
        <f>IFERROR(INDEX(PP_Grid[#Data],$DE1176,60),0)</f>
        <v/>
      </c>
      <c r="BL1176">
        <f>IFERROR(INDEX(PP_Grid[#Data],$DE1176,61),0)</f>
        <v/>
      </c>
      <c r="BM1176">
        <f>IFERROR(INDEX(PP_Grid[#Data],$DE1176,62),0)</f>
        <v/>
      </c>
      <c r="BN1176">
        <f>IFERROR(INDEX(PP_Grid[#Data],$DE1176,63),0)</f>
        <v/>
      </c>
      <c r="BO1176">
        <f>IFERROR(INDEX(PP_Grid[#Data],$DE1176,64),0)</f>
        <v/>
      </c>
      <c r="BP1176">
        <f>IFERROR(INDEX(PP_Grid[#Data],$DE1176,65),0)</f>
        <v/>
      </c>
      <c r="BQ1176">
        <f>IFERROR(INDEX(PP_Grid[#Data],$DE1176,66),0)</f>
        <v/>
      </c>
      <c r="BR1176">
        <f>IFERROR(INDEX(PP_Grid[#Data],$DE1176,67),0)</f>
        <v/>
      </c>
      <c r="BS1176">
        <f>IFERROR(INDEX(PP_Grid[#Data],$DE1176,68),0)</f>
        <v/>
      </c>
      <c r="BT1176">
        <f>IFERROR(INDEX(PP_Grid[#Data],$DE1176,69),0)</f>
        <v/>
      </c>
      <c r="BU1176">
        <f>IFERROR(INDEX(PP_Grid[#Data],$DE1176,70),0)</f>
        <v/>
      </c>
      <c r="BV1176">
        <f>IFERROR(INDEX(PP_Grid[#Data],$DE1176,71),0)</f>
        <v/>
      </c>
      <c r="BW1176">
        <f>IFERROR(INDEX(PP_Grid[#Data],$DE1176,72),0)</f>
        <v/>
      </c>
      <c r="BX1176">
        <f>IFERROR(INDEX(PP_Grid[#Data],$DE1176,73),0)</f>
        <v/>
      </c>
      <c r="BY1176">
        <f>IFERROR(INDEX(PP_Grid[#Data],$DE1176,74),0)</f>
        <v/>
      </c>
      <c r="BZ1176">
        <f>IFERROR(INDEX(PP_Grid[#Data],$DE1176,75),0)</f>
        <v/>
      </c>
      <c r="CA1176">
        <f>IFERROR(INDEX(PP_Grid[#Data],$DE1176,76),0)</f>
        <v/>
      </c>
      <c r="CB1176">
        <f>IFERROR(INDEX(PP_Grid[#Data],$DE1176,77),0)</f>
        <v/>
      </c>
      <c r="CC1176">
        <f>IFERROR(INDEX(PP_Grid[#Data],$DE1176,78),0)</f>
        <v/>
      </c>
      <c r="CD1176">
        <f>IFERROR(INDEX(PP_Grid[#Data],$DE1176,79),0)</f>
        <v/>
      </c>
      <c r="CE1176">
        <f>IFERROR(INDEX(PP_Grid[#Data],$DE1176,80),0)</f>
        <v/>
      </c>
      <c r="CF1176">
        <f>IFERROR(INDEX(PP_Grid[#Data],$DE1176,81),0)</f>
        <v/>
      </c>
      <c r="CG1176">
        <f>IFERROR(INDEX(PP_Grid[#Data],$DE1176,82),0)</f>
        <v/>
      </c>
      <c r="CH1176">
        <f>IFERROR(INDEX(PP_Grid[#Data],$DE1176,83),0)</f>
        <v/>
      </c>
      <c r="CI1176">
        <f>IFERROR(INDEX(PP_Grid[#Data],$DE1176,84),0)</f>
        <v/>
      </c>
      <c r="CJ1176">
        <f>IFERROR(INDEX(PP_Grid[#Data],$DE1176,85),0)</f>
        <v/>
      </c>
      <c r="CK1176">
        <f>IFERROR(INDEX(PP_Grid[#Data],$DE1176,86),0)</f>
        <v/>
      </c>
      <c r="CL1176">
        <f>IFERROR(INDEX(PP_Grid[#Data],$DE1176,87),0)</f>
        <v/>
      </c>
      <c r="CM1176">
        <f>IFERROR(INDEX(PP_Grid[#Data],$DE1176,88),0)</f>
        <v/>
      </c>
      <c r="CN1176">
        <f>IFERROR(INDEX(PP_Grid[#Data],$DE1176,89),0)</f>
        <v/>
      </c>
      <c r="CO1176">
        <f>IFERROR(INDEX(PP_Grid[#Data],$DE1176,90),0)</f>
        <v/>
      </c>
      <c r="CP1176">
        <f>IFERROR(INDEX(PP_Grid[#Data],$DE1176,91),0)</f>
        <v/>
      </c>
      <c r="CQ1176">
        <f>IFERROR(INDEX(PP_Grid[#Data],$DE1176,92),0)</f>
        <v/>
      </c>
      <c r="CR1176">
        <f>IFERROR(INDEX(PP_Grid[#Data],$DE1176,93),0)</f>
        <v/>
      </c>
      <c r="CS1176">
        <f>IFERROR(INDEX(PP_Grid[#Data],$DE1176,94),0)</f>
        <v/>
      </c>
      <c r="CT1176">
        <f>IFERROR(INDEX(PP_Grid[#Data],$DE1176,95),0)</f>
        <v/>
      </c>
      <c r="CU1176">
        <f>IFERROR(INDEX(PP_Grid[#Data],$DE1176,96),0)</f>
        <v/>
      </c>
      <c r="CV1176">
        <f>IFERROR(INDEX(PP_Grid[#Data],$DE1176,97),0)</f>
        <v/>
      </c>
      <c r="CW1176">
        <f>IFERROR(INDEX(PP_Grid[#Data],$DE1176,98),0)</f>
        <v/>
      </c>
      <c r="CX1176">
        <f>IFERROR(INDEX(PP_Grid[#Data],$DE1176,99),0)</f>
        <v/>
      </c>
      <c r="CY1176">
        <f>IFERROR(INDEX(PP_Grid[#Data],$DE1176,100),0)</f>
        <v/>
      </c>
      <c r="CZ1176">
        <f>IFERROR(INDEX(PP_Grid[#Data],$DE1176,101),0)</f>
        <v/>
      </c>
      <c r="DA1176">
        <f>IFERROR(INDEX(PP_Grid[#Data],$DE1176,102),0)</f>
        <v/>
      </c>
      <c r="DB1176">
        <f>IFERROR(INDEX(PP_Grid[#Data],$DE1176,103),0)</f>
        <v/>
      </c>
      <c r="DC1176">
        <f>IFERROR(INDEX(PP_Grid[#Data],$DE1176,104),0)</f>
        <v/>
      </c>
      <c r="DD1176">
        <f>IFERROR(INDEX(PP_Grid[#Data],$DE1176,105),0)</f>
        <v/>
      </c>
      <c r="DE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SUMIFS(M_BOM[RM_Qty_Per_Batch],M_BOM[Intermediate],$B1176,M_BOM[RM_Code],$A1173)</f>
        <v/>
      </c>
      <c r="D1177">
        <f>IFERROR(INDEX(E1177:DD1177,$F$1),"")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  <c r="DD1177">
        <f>$C1177*DD1176</f>
        <v/>
      </c>
    </row>
    <row r="1178">
      <c r="B1178" t="inlineStr">
        <is>
          <t>TSP-404</t>
        </is>
      </c>
      <c r="C1178" t="inlineStr">
        <is>
          <t>No. of batches</t>
        </is>
      </c>
      <c r="D1178">
        <f>IFERROR(INDEX(E1178:DD1178,$F$1),"")</f>
        <v/>
      </c>
      <c r="E1178">
        <f>IFERROR(INDEX(PP_Grid[#Data],$DE1178,2),0)</f>
        <v/>
      </c>
      <c r="F1178">
        <f>IFERROR(INDEX(PP_Grid[#Data],$DE1178,3),0)</f>
        <v/>
      </c>
      <c r="G1178">
        <f>IFERROR(INDEX(PP_Grid[#Data],$DE1178,4),0)</f>
        <v/>
      </c>
      <c r="H1178">
        <f>IFERROR(INDEX(PP_Grid[#Data],$DE1178,5),0)</f>
        <v/>
      </c>
      <c r="I1178">
        <f>IFERROR(INDEX(PP_Grid[#Data],$DE1178,6),0)</f>
        <v/>
      </c>
      <c r="J1178">
        <f>IFERROR(INDEX(PP_Grid[#Data],$DE1178,7),0)</f>
        <v/>
      </c>
      <c r="K1178">
        <f>IFERROR(INDEX(PP_Grid[#Data],$DE1178,8),0)</f>
        <v/>
      </c>
      <c r="L1178">
        <f>IFERROR(INDEX(PP_Grid[#Data],$DE1178,9),0)</f>
        <v/>
      </c>
      <c r="M1178">
        <f>IFERROR(INDEX(PP_Grid[#Data],$DE1178,10),0)</f>
        <v/>
      </c>
      <c r="N1178">
        <f>IFERROR(INDEX(PP_Grid[#Data],$DE1178,11),0)</f>
        <v/>
      </c>
      <c r="O1178">
        <f>IFERROR(INDEX(PP_Grid[#Data],$DE1178,12),0)</f>
        <v/>
      </c>
      <c r="P1178">
        <f>IFERROR(INDEX(PP_Grid[#Data],$DE1178,13),0)</f>
        <v/>
      </c>
      <c r="Q1178">
        <f>IFERROR(INDEX(PP_Grid[#Data],$DE1178,14),0)</f>
        <v/>
      </c>
      <c r="R1178">
        <f>IFERROR(INDEX(PP_Grid[#Data],$DE1178,15),0)</f>
        <v/>
      </c>
      <c r="S1178">
        <f>IFERROR(INDEX(PP_Grid[#Data],$DE1178,16),0)</f>
        <v/>
      </c>
      <c r="T1178">
        <f>IFERROR(INDEX(PP_Grid[#Data],$DE1178,17),0)</f>
        <v/>
      </c>
      <c r="U1178">
        <f>IFERROR(INDEX(PP_Grid[#Data],$DE1178,18),0)</f>
        <v/>
      </c>
      <c r="V1178">
        <f>IFERROR(INDEX(PP_Grid[#Data],$DE1178,19),0)</f>
        <v/>
      </c>
      <c r="W1178">
        <f>IFERROR(INDEX(PP_Grid[#Data],$DE1178,20),0)</f>
        <v/>
      </c>
      <c r="X1178">
        <f>IFERROR(INDEX(PP_Grid[#Data],$DE1178,21),0)</f>
        <v/>
      </c>
      <c r="Y1178">
        <f>IFERROR(INDEX(PP_Grid[#Data],$DE1178,22),0)</f>
        <v/>
      </c>
      <c r="Z1178">
        <f>IFERROR(INDEX(PP_Grid[#Data],$DE1178,23),0)</f>
        <v/>
      </c>
      <c r="AA1178">
        <f>IFERROR(INDEX(PP_Grid[#Data],$DE1178,24),0)</f>
        <v/>
      </c>
      <c r="AB1178">
        <f>IFERROR(INDEX(PP_Grid[#Data],$DE1178,25),0)</f>
        <v/>
      </c>
      <c r="AC1178">
        <f>IFERROR(INDEX(PP_Grid[#Data],$DE1178,26),0)</f>
        <v/>
      </c>
      <c r="AD1178">
        <f>IFERROR(INDEX(PP_Grid[#Data],$DE1178,27),0)</f>
        <v/>
      </c>
      <c r="AE1178">
        <f>IFERROR(INDEX(PP_Grid[#Data],$DE1178,28),0)</f>
        <v/>
      </c>
      <c r="AF1178">
        <f>IFERROR(INDEX(PP_Grid[#Data],$DE1178,29),0)</f>
        <v/>
      </c>
      <c r="AG1178">
        <f>IFERROR(INDEX(PP_Grid[#Data],$DE1178,30),0)</f>
        <v/>
      </c>
      <c r="AH1178">
        <f>IFERROR(INDEX(PP_Grid[#Data],$DE1178,31),0)</f>
        <v/>
      </c>
      <c r="AI1178">
        <f>IFERROR(INDEX(PP_Grid[#Data],$DE1178,32),0)</f>
        <v/>
      </c>
      <c r="AJ1178">
        <f>IFERROR(INDEX(PP_Grid[#Data],$DE1178,33),0)</f>
        <v/>
      </c>
      <c r="AK1178">
        <f>IFERROR(INDEX(PP_Grid[#Data],$DE1178,34),0)</f>
        <v/>
      </c>
      <c r="AL1178">
        <f>IFERROR(INDEX(PP_Grid[#Data],$DE1178,35),0)</f>
        <v/>
      </c>
      <c r="AM1178">
        <f>IFERROR(INDEX(PP_Grid[#Data],$DE1178,36),0)</f>
        <v/>
      </c>
      <c r="AN1178">
        <f>IFERROR(INDEX(PP_Grid[#Data],$DE1178,37),0)</f>
        <v/>
      </c>
      <c r="AO1178">
        <f>IFERROR(INDEX(PP_Grid[#Data],$DE1178,38),0)</f>
        <v/>
      </c>
      <c r="AP1178">
        <f>IFERROR(INDEX(PP_Grid[#Data],$DE1178,39),0)</f>
        <v/>
      </c>
      <c r="AQ1178">
        <f>IFERROR(INDEX(PP_Grid[#Data],$DE1178,40),0)</f>
        <v/>
      </c>
      <c r="AR1178">
        <f>IFERROR(INDEX(PP_Grid[#Data],$DE1178,41),0)</f>
        <v/>
      </c>
      <c r="AS1178">
        <f>IFERROR(INDEX(PP_Grid[#Data],$DE1178,42),0)</f>
        <v/>
      </c>
      <c r="AT1178">
        <f>IFERROR(INDEX(PP_Grid[#Data],$DE1178,43),0)</f>
        <v/>
      </c>
      <c r="AU1178">
        <f>IFERROR(INDEX(PP_Grid[#Data],$DE1178,44),0)</f>
        <v/>
      </c>
      <c r="AV1178">
        <f>IFERROR(INDEX(PP_Grid[#Data],$DE1178,45),0)</f>
        <v/>
      </c>
      <c r="AW1178">
        <f>IFERROR(INDEX(PP_Grid[#Data],$DE1178,46),0)</f>
        <v/>
      </c>
      <c r="AX1178">
        <f>IFERROR(INDEX(PP_Grid[#Data],$DE1178,47),0)</f>
        <v/>
      </c>
      <c r="AY1178">
        <f>IFERROR(INDEX(PP_Grid[#Data],$DE1178,48),0)</f>
        <v/>
      </c>
      <c r="AZ1178">
        <f>IFERROR(INDEX(PP_Grid[#Data],$DE1178,49),0)</f>
        <v/>
      </c>
      <c r="BA1178">
        <f>IFERROR(INDEX(PP_Grid[#Data],$DE1178,50),0)</f>
        <v/>
      </c>
      <c r="BB1178">
        <f>IFERROR(INDEX(PP_Grid[#Data],$DE1178,51),0)</f>
        <v/>
      </c>
      <c r="BC1178">
        <f>IFERROR(INDEX(PP_Grid[#Data],$DE1178,52),0)</f>
        <v/>
      </c>
      <c r="BD1178">
        <f>IFERROR(INDEX(PP_Grid[#Data],$DE1178,53),0)</f>
        <v/>
      </c>
      <c r="BE1178">
        <f>IFERROR(INDEX(PP_Grid[#Data],$DE1178,54),0)</f>
        <v/>
      </c>
      <c r="BF1178">
        <f>IFERROR(INDEX(PP_Grid[#Data],$DE1178,55),0)</f>
        <v/>
      </c>
      <c r="BG1178">
        <f>IFERROR(INDEX(PP_Grid[#Data],$DE1178,56),0)</f>
        <v/>
      </c>
      <c r="BH1178">
        <f>IFERROR(INDEX(PP_Grid[#Data],$DE1178,57),0)</f>
        <v/>
      </c>
      <c r="BI1178">
        <f>IFERROR(INDEX(PP_Grid[#Data],$DE1178,58),0)</f>
        <v/>
      </c>
      <c r="BJ1178">
        <f>IFERROR(INDEX(PP_Grid[#Data],$DE1178,59),0)</f>
        <v/>
      </c>
      <c r="BK1178">
        <f>IFERROR(INDEX(PP_Grid[#Data],$DE1178,60),0)</f>
        <v/>
      </c>
      <c r="BL1178">
        <f>IFERROR(INDEX(PP_Grid[#Data],$DE1178,61),0)</f>
        <v/>
      </c>
      <c r="BM1178">
        <f>IFERROR(INDEX(PP_Grid[#Data],$DE1178,62),0)</f>
        <v/>
      </c>
      <c r="BN1178">
        <f>IFERROR(INDEX(PP_Grid[#Data],$DE1178,63),0)</f>
        <v/>
      </c>
      <c r="BO1178">
        <f>IFERROR(INDEX(PP_Grid[#Data],$DE1178,64),0)</f>
        <v/>
      </c>
      <c r="BP1178">
        <f>IFERROR(INDEX(PP_Grid[#Data],$DE1178,65),0)</f>
        <v/>
      </c>
      <c r="BQ1178">
        <f>IFERROR(INDEX(PP_Grid[#Data],$DE1178,66),0)</f>
        <v/>
      </c>
      <c r="BR1178">
        <f>IFERROR(INDEX(PP_Grid[#Data],$DE1178,67),0)</f>
        <v/>
      </c>
      <c r="BS1178">
        <f>IFERROR(INDEX(PP_Grid[#Data],$DE1178,68),0)</f>
        <v/>
      </c>
      <c r="BT1178">
        <f>IFERROR(INDEX(PP_Grid[#Data],$DE1178,69),0)</f>
        <v/>
      </c>
      <c r="BU1178">
        <f>IFERROR(INDEX(PP_Grid[#Data],$DE1178,70),0)</f>
        <v/>
      </c>
      <c r="BV1178">
        <f>IFERROR(INDEX(PP_Grid[#Data],$DE1178,71),0)</f>
        <v/>
      </c>
      <c r="BW1178">
        <f>IFERROR(INDEX(PP_Grid[#Data],$DE1178,72),0)</f>
        <v/>
      </c>
      <c r="BX1178">
        <f>IFERROR(INDEX(PP_Grid[#Data],$DE1178,73),0)</f>
        <v/>
      </c>
      <c r="BY1178">
        <f>IFERROR(INDEX(PP_Grid[#Data],$DE1178,74),0)</f>
        <v/>
      </c>
      <c r="BZ1178">
        <f>IFERROR(INDEX(PP_Grid[#Data],$DE1178,75),0)</f>
        <v/>
      </c>
      <c r="CA1178">
        <f>IFERROR(INDEX(PP_Grid[#Data],$DE1178,76),0)</f>
        <v/>
      </c>
      <c r="CB1178">
        <f>IFERROR(INDEX(PP_Grid[#Data],$DE1178,77),0)</f>
        <v/>
      </c>
      <c r="CC1178">
        <f>IFERROR(INDEX(PP_Grid[#Data],$DE1178,78),0)</f>
        <v/>
      </c>
      <c r="CD1178">
        <f>IFERROR(INDEX(PP_Grid[#Data],$DE1178,79),0)</f>
        <v/>
      </c>
      <c r="CE1178">
        <f>IFERROR(INDEX(PP_Grid[#Data],$DE1178,80),0)</f>
        <v/>
      </c>
      <c r="CF1178">
        <f>IFERROR(INDEX(PP_Grid[#Data],$DE1178,81),0)</f>
        <v/>
      </c>
      <c r="CG1178">
        <f>IFERROR(INDEX(PP_Grid[#Data],$DE1178,82),0)</f>
        <v/>
      </c>
      <c r="CH1178">
        <f>IFERROR(INDEX(PP_Grid[#Data],$DE1178,83),0)</f>
        <v/>
      </c>
      <c r="CI1178">
        <f>IFERROR(INDEX(PP_Grid[#Data],$DE1178,84),0)</f>
        <v/>
      </c>
      <c r="CJ1178">
        <f>IFERROR(INDEX(PP_Grid[#Data],$DE1178,85),0)</f>
        <v/>
      </c>
      <c r="CK1178">
        <f>IFERROR(INDEX(PP_Grid[#Data],$DE1178,86),0)</f>
        <v/>
      </c>
      <c r="CL1178">
        <f>IFERROR(INDEX(PP_Grid[#Data],$DE1178,87),0)</f>
        <v/>
      </c>
      <c r="CM1178">
        <f>IFERROR(INDEX(PP_Grid[#Data],$DE1178,88),0)</f>
        <v/>
      </c>
      <c r="CN1178">
        <f>IFERROR(INDEX(PP_Grid[#Data],$DE1178,89),0)</f>
        <v/>
      </c>
      <c r="CO1178">
        <f>IFERROR(INDEX(PP_Grid[#Data],$DE1178,90),0)</f>
        <v/>
      </c>
      <c r="CP1178">
        <f>IFERROR(INDEX(PP_Grid[#Data],$DE1178,91),0)</f>
        <v/>
      </c>
      <c r="CQ1178">
        <f>IFERROR(INDEX(PP_Grid[#Data],$DE1178,92),0)</f>
        <v/>
      </c>
      <c r="CR1178">
        <f>IFERROR(INDEX(PP_Grid[#Data],$DE1178,93),0)</f>
        <v/>
      </c>
      <c r="CS1178">
        <f>IFERROR(INDEX(PP_Grid[#Data],$DE1178,94),0)</f>
        <v/>
      </c>
      <c r="CT1178">
        <f>IFERROR(INDEX(PP_Grid[#Data],$DE1178,95),0)</f>
        <v/>
      </c>
      <c r="CU1178">
        <f>IFERROR(INDEX(PP_Grid[#Data],$DE1178,96),0)</f>
        <v/>
      </c>
      <c r="CV1178">
        <f>IFERROR(INDEX(PP_Grid[#Data],$DE1178,97),0)</f>
        <v/>
      </c>
      <c r="CW1178">
        <f>IFERROR(INDEX(PP_Grid[#Data],$DE1178,98),0)</f>
        <v/>
      </c>
      <c r="CX1178">
        <f>IFERROR(INDEX(PP_Grid[#Data],$DE1178,99),0)</f>
        <v/>
      </c>
      <c r="CY1178">
        <f>IFERROR(INDEX(PP_Grid[#Data],$DE1178,100),0)</f>
        <v/>
      </c>
      <c r="CZ1178">
        <f>IFERROR(INDEX(PP_Grid[#Data],$DE1178,101),0)</f>
        <v/>
      </c>
      <c r="DA1178">
        <f>IFERROR(INDEX(PP_Grid[#Data],$DE1178,102),0)</f>
        <v/>
      </c>
      <c r="DB1178">
        <f>IFERROR(INDEX(PP_Grid[#Data],$DE1178,103),0)</f>
        <v/>
      </c>
      <c r="DC1178">
        <f>IFERROR(INDEX(PP_Grid[#Data],$DE1178,104),0)</f>
        <v/>
      </c>
      <c r="DD1178">
        <f>IFERROR(INDEX(PP_Grid[#Data],$DE1178,105),0)</f>
        <v/>
      </c>
      <c r="DE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SUMIFS(M_BOM[RM_Qty_Per_Batch],M_BOM[Intermediate],$B1178,M_BOM[RM_Code],$A1173)</f>
        <v/>
      </c>
      <c r="D1179">
        <f>IFERROR(INDEX(E1179:DD1179,$F$1),"")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  <c r="DD1179">
        <f>$C1179*DD1178</f>
        <v/>
      </c>
    </row>
    <row r="1180">
      <c r="B1180" t="inlineStr">
        <is>
          <t>TSP-405</t>
        </is>
      </c>
      <c r="C1180" t="inlineStr">
        <is>
          <t>No. of batches</t>
        </is>
      </c>
      <c r="D1180">
        <f>IFERROR(INDEX(E1180:DD1180,$F$1),"")</f>
        <v/>
      </c>
      <c r="E1180">
        <f>IFERROR(INDEX(PP_Grid[#Data],$DE1180,2),0)</f>
        <v/>
      </c>
      <c r="F1180">
        <f>IFERROR(INDEX(PP_Grid[#Data],$DE1180,3),0)</f>
        <v/>
      </c>
      <c r="G1180">
        <f>IFERROR(INDEX(PP_Grid[#Data],$DE1180,4),0)</f>
        <v/>
      </c>
      <c r="H1180">
        <f>IFERROR(INDEX(PP_Grid[#Data],$DE1180,5),0)</f>
        <v/>
      </c>
      <c r="I1180">
        <f>IFERROR(INDEX(PP_Grid[#Data],$DE1180,6),0)</f>
        <v/>
      </c>
      <c r="J1180">
        <f>IFERROR(INDEX(PP_Grid[#Data],$DE1180,7),0)</f>
        <v/>
      </c>
      <c r="K1180">
        <f>IFERROR(INDEX(PP_Grid[#Data],$DE1180,8),0)</f>
        <v/>
      </c>
      <c r="L1180">
        <f>IFERROR(INDEX(PP_Grid[#Data],$DE1180,9),0)</f>
        <v/>
      </c>
      <c r="M1180">
        <f>IFERROR(INDEX(PP_Grid[#Data],$DE1180,10),0)</f>
        <v/>
      </c>
      <c r="N1180">
        <f>IFERROR(INDEX(PP_Grid[#Data],$DE1180,11),0)</f>
        <v/>
      </c>
      <c r="O1180">
        <f>IFERROR(INDEX(PP_Grid[#Data],$DE1180,12),0)</f>
        <v/>
      </c>
      <c r="P1180">
        <f>IFERROR(INDEX(PP_Grid[#Data],$DE1180,13),0)</f>
        <v/>
      </c>
      <c r="Q1180">
        <f>IFERROR(INDEX(PP_Grid[#Data],$DE1180,14),0)</f>
        <v/>
      </c>
      <c r="R1180">
        <f>IFERROR(INDEX(PP_Grid[#Data],$DE1180,15),0)</f>
        <v/>
      </c>
      <c r="S1180">
        <f>IFERROR(INDEX(PP_Grid[#Data],$DE1180,16),0)</f>
        <v/>
      </c>
      <c r="T1180">
        <f>IFERROR(INDEX(PP_Grid[#Data],$DE1180,17),0)</f>
        <v/>
      </c>
      <c r="U1180">
        <f>IFERROR(INDEX(PP_Grid[#Data],$DE1180,18),0)</f>
        <v/>
      </c>
      <c r="V1180">
        <f>IFERROR(INDEX(PP_Grid[#Data],$DE1180,19),0)</f>
        <v/>
      </c>
      <c r="W1180">
        <f>IFERROR(INDEX(PP_Grid[#Data],$DE1180,20),0)</f>
        <v/>
      </c>
      <c r="X1180">
        <f>IFERROR(INDEX(PP_Grid[#Data],$DE1180,21),0)</f>
        <v/>
      </c>
      <c r="Y1180">
        <f>IFERROR(INDEX(PP_Grid[#Data],$DE1180,22),0)</f>
        <v/>
      </c>
      <c r="Z1180">
        <f>IFERROR(INDEX(PP_Grid[#Data],$DE1180,23),0)</f>
        <v/>
      </c>
      <c r="AA1180">
        <f>IFERROR(INDEX(PP_Grid[#Data],$DE1180,24),0)</f>
        <v/>
      </c>
      <c r="AB1180">
        <f>IFERROR(INDEX(PP_Grid[#Data],$DE1180,25),0)</f>
        <v/>
      </c>
      <c r="AC1180">
        <f>IFERROR(INDEX(PP_Grid[#Data],$DE1180,26),0)</f>
        <v/>
      </c>
      <c r="AD1180">
        <f>IFERROR(INDEX(PP_Grid[#Data],$DE1180,27),0)</f>
        <v/>
      </c>
      <c r="AE1180">
        <f>IFERROR(INDEX(PP_Grid[#Data],$DE1180,28),0)</f>
        <v/>
      </c>
      <c r="AF1180">
        <f>IFERROR(INDEX(PP_Grid[#Data],$DE1180,29),0)</f>
        <v/>
      </c>
      <c r="AG1180">
        <f>IFERROR(INDEX(PP_Grid[#Data],$DE1180,30),0)</f>
        <v/>
      </c>
      <c r="AH1180">
        <f>IFERROR(INDEX(PP_Grid[#Data],$DE1180,31),0)</f>
        <v/>
      </c>
      <c r="AI1180">
        <f>IFERROR(INDEX(PP_Grid[#Data],$DE1180,32),0)</f>
        <v/>
      </c>
      <c r="AJ1180">
        <f>IFERROR(INDEX(PP_Grid[#Data],$DE1180,33),0)</f>
        <v/>
      </c>
      <c r="AK1180">
        <f>IFERROR(INDEX(PP_Grid[#Data],$DE1180,34),0)</f>
        <v/>
      </c>
      <c r="AL1180">
        <f>IFERROR(INDEX(PP_Grid[#Data],$DE1180,35),0)</f>
        <v/>
      </c>
      <c r="AM1180">
        <f>IFERROR(INDEX(PP_Grid[#Data],$DE1180,36),0)</f>
        <v/>
      </c>
      <c r="AN1180">
        <f>IFERROR(INDEX(PP_Grid[#Data],$DE1180,37),0)</f>
        <v/>
      </c>
      <c r="AO1180">
        <f>IFERROR(INDEX(PP_Grid[#Data],$DE1180,38),0)</f>
        <v/>
      </c>
      <c r="AP1180">
        <f>IFERROR(INDEX(PP_Grid[#Data],$DE1180,39),0)</f>
        <v/>
      </c>
      <c r="AQ1180">
        <f>IFERROR(INDEX(PP_Grid[#Data],$DE1180,40),0)</f>
        <v/>
      </c>
      <c r="AR1180">
        <f>IFERROR(INDEX(PP_Grid[#Data],$DE1180,41),0)</f>
        <v/>
      </c>
      <c r="AS1180">
        <f>IFERROR(INDEX(PP_Grid[#Data],$DE1180,42),0)</f>
        <v/>
      </c>
      <c r="AT1180">
        <f>IFERROR(INDEX(PP_Grid[#Data],$DE1180,43),0)</f>
        <v/>
      </c>
      <c r="AU1180">
        <f>IFERROR(INDEX(PP_Grid[#Data],$DE1180,44),0)</f>
        <v/>
      </c>
      <c r="AV1180">
        <f>IFERROR(INDEX(PP_Grid[#Data],$DE1180,45),0)</f>
        <v/>
      </c>
      <c r="AW1180">
        <f>IFERROR(INDEX(PP_Grid[#Data],$DE1180,46),0)</f>
        <v/>
      </c>
      <c r="AX1180">
        <f>IFERROR(INDEX(PP_Grid[#Data],$DE1180,47),0)</f>
        <v/>
      </c>
      <c r="AY1180">
        <f>IFERROR(INDEX(PP_Grid[#Data],$DE1180,48),0)</f>
        <v/>
      </c>
      <c r="AZ1180">
        <f>IFERROR(INDEX(PP_Grid[#Data],$DE1180,49),0)</f>
        <v/>
      </c>
      <c r="BA1180">
        <f>IFERROR(INDEX(PP_Grid[#Data],$DE1180,50),0)</f>
        <v/>
      </c>
      <c r="BB1180">
        <f>IFERROR(INDEX(PP_Grid[#Data],$DE1180,51),0)</f>
        <v/>
      </c>
      <c r="BC1180">
        <f>IFERROR(INDEX(PP_Grid[#Data],$DE1180,52),0)</f>
        <v/>
      </c>
      <c r="BD1180">
        <f>IFERROR(INDEX(PP_Grid[#Data],$DE1180,53),0)</f>
        <v/>
      </c>
      <c r="BE1180">
        <f>IFERROR(INDEX(PP_Grid[#Data],$DE1180,54),0)</f>
        <v/>
      </c>
      <c r="BF1180">
        <f>IFERROR(INDEX(PP_Grid[#Data],$DE1180,55),0)</f>
        <v/>
      </c>
      <c r="BG1180">
        <f>IFERROR(INDEX(PP_Grid[#Data],$DE1180,56),0)</f>
        <v/>
      </c>
      <c r="BH1180">
        <f>IFERROR(INDEX(PP_Grid[#Data],$DE1180,57),0)</f>
        <v/>
      </c>
      <c r="BI1180">
        <f>IFERROR(INDEX(PP_Grid[#Data],$DE1180,58),0)</f>
        <v/>
      </c>
      <c r="BJ1180">
        <f>IFERROR(INDEX(PP_Grid[#Data],$DE1180,59),0)</f>
        <v/>
      </c>
      <c r="BK1180">
        <f>IFERROR(INDEX(PP_Grid[#Data],$DE1180,60),0)</f>
        <v/>
      </c>
      <c r="BL1180">
        <f>IFERROR(INDEX(PP_Grid[#Data],$DE1180,61),0)</f>
        <v/>
      </c>
      <c r="BM1180">
        <f>IFERROR(INDEX(PP_Grid[#Data],$DE1180,62),0)</f>
        <v/>
      </c>
      <c r="BN1180">
        <f>IFERROR(INDEX(PP_Grid[#Data],$DE1180,63),0)</f>
        <v/>
      </c>
      <c r="BO1180">
        <f>IFERROR(INDEX(PP_Grid[#Data],$DE1180,64),0)</f>
        <v/>
      </c>
      <c r="BP1180">
        <f>IFERROR(INDEX(PP_Grid[#Data],$DE1180,65),0)</f>
        <v/>
      </c>
      <c r="BQ1180">
        <f>IFERROR(INDEX(PP_Grid[#Data],$DE1180,66),0)</f>
        <v/>
      </c>
      <c r="BR1180">
        <f>IFERROR(INDEX(PP_Grid[#Data],$DE1180,67),0)</f>
        <v/>
      </c>
      <c r="BS1180">
        <f>IFERROR(INDEX(PP_Grid[#Data],$DE1180,68),0)</f>
        <v/>
      </c>
      <c r="BT1180">
        <f>IFERROR(INDEX(PP_Grid[#Data],$DE1180,69),0)</f>
        <v/>
      </c>
      <c r="BU1180">
        <f>IFERROR(INDEX(PP_Grid[#Data],$DE1180,70),0)</f>
        <v/>
      </c>
      <c r="BV1180">
        <f>IFERROR(INDEX(PP_Grid[#Data],$DE1180,71),0)</f>
        <v/>
      </c>
      <c r="BW1180">
        <f>IFERROR(INDEX(PP_Grid[#Data],$DE1180,72),0)</f>
        <v/>
      </c>
      <c r="BX1180">
        <f>IFERROR(INDEX(PP_Grid[#Data],$DE1180,73),0)</f>
        <v/>
      </c>
      <c r="BY1180">
        <f>IFERROR(INDEX(PP_Grid[#Data],$DE1180,74),0)</f>
        <v/>
      </c>
      <c r="BZ1180">
        <f>IFERROR(INDEX(PP_Grid[#Data],$DE1180,75),0)</f>
        <v/>
      </c>
      <c r="CA1180">
        <f>IFERROR(INDEX(PP_Grid[#Data],$DE1180,76),0)</f>
        <v/>
      </c>
      <c r="CB1180">
        <f>IFERROR(INDEX(PP_Grid[#Data],$DE1180,77),0)</f>
        <v/>
      </c>
      <c r="CC1180">
        <f>IFERROR(INDEX(PP_Grid[#Data],$DE1180,78),0)</f>
        <v/>
      </c>
      <c r="CD1180">
        <f>IFERROR(INDEX(PP_Grid[#Data],$DE1180,79),0)</f>
        <v/>
      </c>
      <c r="CE1180">
        <f>IFERROR(INDEX(PP_Grid[#Data],$DE1180,80),0)</f>
        <v/>
      </c>
      <c r="CF1180">
        <f>IFERROR(INDEX(PP_Grid[#Data],$DE1180,81),0)</f>
        <v/>
      </c>
      <c r="CG1180">
        <f>IFERROR(INDEX(PP_Grid[#Data],$DE1180,82),0)</f>
        <v/>
      </c>
      <c r="CH1180">
        <f>IFERROR(INDEX(PP_Grid[#Data],$DE1180,83),0)</f>
        <v/>
      </c>
      <c r="CI1180">
        <f>IFERROR(INDEX(PP_Grid[#Data],$DE1180,84),0)</f>
        <v/>
      </c>
      <c r="CJ1180">
        <f>IFERROR(INDEX(PP_Grid[#Data],$DE1180,85),0)</f>
        <v/>
      </c>
      <c r="CK1180">
        <f>IFERROR(INDEX(PP_Grid[#Data],$DE1180,86),0)</f>
        <v/>
      </c>
      <c r="CL1180">
        <f>IFERROR(INDEX(PP_Grid[#Data],$DE1180,87),0)</f>
        <v/>
      </c>
      <c r="CM1180">
        <f>IFERROR(INDEX(PP_Grid[#Data],$DE1180,88),0)</f>
        <v/>
      </c>
      <c r="CN1180">
        <f>IFERROR(INDEX(PP_Grid[#Data],$DE1180,89),0)</f>
        <v/>
      </c>
      <c r="CO1180">
        <f>IFERROR(INDEX(PP_Grid[#Data],$DE1180,90),0)</f>
        <v/>
      </c>
      <c r="CP1180">
        <f>IFERROR(INDEX(PP_Grid[#Data],$DE1180,91),0)</f>
        <v/>
      </c>
      <c r="CQ1180">
        <f>IFERROR(INDEX(PP_Grid[#Data],$DE1180,92),0)</f>
        <v/>
      </c>
      <c r="CR1180">
        <f>IFERROR(INDEX(PP_Grid[#Data],$DE1180,93),0)</f>
        <v/>
      </c>
      <c r="CS1180">
        <f>IFERROR(INDEX(PP_Grid[#Data],$DE1180,94),0)</f>
        <v/>
      </c>
      <c r="CT1180">
        <f>IFERROR(INDEX(PP_Grid[#Data],$DE1180,95),0)</f>
        <v/>
      </c>
      <c r="CU1180">
        <f>IFERROR(INDEX(PP_Grid[#Data],$DE1180,96),0)</f>
        <v/>
      </c>
      <c r="CV1180">
        <f>IFERROR(INDEX(PP_Grid[#Data],$DE1180,97),0)</f>
        <v/>
      </c>
      <c r="CW1180">
        <f>IFERROR(INDEX(PP_Grid[#Data],$DE1180,98),0)</f>
        <v/>
      </c>
      <c r="CX1180">
        <f>IFERROR(INDEX(PP_Grid[#Data],$DE1180,99),0)</f>
        <v/>
      </c>
      <c r="CY1180">
        <f>IFERROR(INDEX(PP_Grid[#Data],$DE1180,100),0)</f>
        <v/>
      </c>
      <c r="CZ1180">
        <f>IFERROR(INDEX(PP_Grid[#Data],$DE1180,101),0)</f>
        <v/>
      </c>
      <c r="DA1180">
        <f>IFERROR(INDEX(PP_Grid[#Data],$DE1180,102),0)</f>
        <v/>
      </c>
      <c r="DB1180">
        <f>IFERROR(INDEX(PP_Grid[#Data],$DE1180,103),0)</f>
        <v/>
      </c>
      <c r="DC1180">
        <f>IFERROR(INDEX(PP_Grid[#Data],$DE1180,104),0)</f>
        <v/>
      </c>
      <c r="DD1180">
        <f>IFERROR(INDEX(PP_Grid[#Data],$DE1180,105),0)</f>
        <v/>
      </c>
      <c r="DE1180" s="7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SUMIFS(M_BOM[RM_Qty_Per_Batch],M_BOM[Intermediate],$B1180,M_BOM[RM_Code],$A1173)</f>
        <v/>
      </c>
      <c r="D1181">
        <f>IFERROR(INDEX(E1181:DD1181,$F$1),"")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  <c r="DD1181">
        <f>$C1181*DD1180</f>
        <v/>
      </c>
    </row>
    <row r="1182">
      <c r="B1182" t="inlineStr">
        <is>
          <t>TSP-655</t>
        </is>
      </c>
      <c r="C1182" t="inlineStr">
        <is>
          <t>No. of batches</t>
        </is>
      </c>
      <c r="D1182">
        <f>IFERROR(INDEX(E1182:DD1182,$F$1),"")</f>
        <v/>
      </c>
      <c r="E1182">
        <f>IFERROR(INDEX(PP_Grid[#Data],$DE1182,2),0)</f>
        <v/>
      </c>
      <c r="F1182">
        <f>IFERROR(INDEX(PP_Grid[#Data],$DE1182,3),0)</f>
        <v/>
      </c>
      <c r="G1182">
        <f>IFERROR(INDEX(PP_Grid[#Data],$DE1182,4),0)</f>
        <v/>
      </c>
      <c r="H1182">
        <f>IFERROR(INDEX(PP_Grid[#Data],$DE1182,5),0)</f>
        <v/>
      </c>
      <c r="I1182">
        <f>IFERROR(INDEX(PP_Grid[#Data],$DE1182,6),0)</f>
        <v/>
      </c>
      <c r="J1182">
        <f>IFERROR(INDEX(PP_Grid[#Data],$DE1182,7),0)</f>
        <v/>
      </c>
      <c r="K1182">
        <f>IFERROR(INDEX(PP_Grid[#Data],$DE1182,8),0)</f>
        <v/>
      </c>
      <c r="L1182">
        <f>IFERROR(INDEX(PP_Grid[#Data],$DE1182,9),0)</f>
        <v/>
      </c>
      <c r="M1182">
        <f>IFERROR(INDEX(PP_Grid[#Data],$DE1182,10),0)</f>
        <v/>
      </c>
      <c r="N1182">
        <f>IFERROR(INDEX(PP_Grid[#Data],$DE1182,11),0)</f>
        <v/>
      </c>
      <c r="O1182">
        <f>IFERROR(INDEX(PP_Grid[#Data],$DE1182,12),0)</f>
        <v/>
      </c>
      <c r="P1182">
        <f>IFERROR(INDEX(PP_Grid[#Data],$DE1182,13),0)</f>
        <v/>
      </c>
      <c r="Q1182">
        <f>IFERROR(INDEX(PP_Grid[#Data],$DE1182,14),0)</f>
        <v/>
      </c>
      <c r="R1182">
        <f>IFERROR(INDEX(PP_Grid[#Data],$DE1182,15),0)</f>
        <v/>
      </c>
      <c r="S1182">
        <f>IFERROR(INDEX(PP_Grid[#Data],$DE1182,16),0)</f>
        <v/>
      </c>
      <c r="T1182">
        <f>IFERROR(INDEX(PP_Grid[#Data],$DE1182,17),0)</f>
        <v/>
      </c>
      <c r="U1182">
        <f>IFERROR(INDEX(PP_Grid[#Data],$DE1182,18),0)</f>
        <v/>
      </c>
      <c r="V1182">
        <f>IFERROR(INDEX(PP_Grid[#Data],$DE1182,19),0)</f>
        <v/>
      </c>
      <c r="W1182">
        <f>IFERROR(INDEX(PP_Grid[#Data],$DE1182,20),0)</f>
        <v/>
      </c>
      <c r="X1182">
        <f>IFERROR(INDEX(PP_Grid[#Data],$DE1182,21),0)</f>
        <v/>
      </c>
      <c r="Y1182">
        <f>IFERROR(INDEX(PP_Grid[#Data],$DE1182,22),0)</f>
        <v/>
      </c>
      <c r="Z1182">
        <f>IFERROR(INDEX(PP_Grid[#Data],$DE1182,23),0)</f>
        <v/>
      </c>
      <c r="AA1182">
        <f>IFERROR(INDEX(PP_Grid[#Data],$DE1182,24),0)</f>
        <v/>
      </c>
      <c r="AB1182">
        <f>IFERROR(INDEX(PP_Grid[#Data],$DE1182,25),0)</f>
        <v/>
      </c>
      <c r="AC1182">
        <f>IFERROR(INDEX(PP_Grid[#Data],$DE1182,26),0)</f>
        <v/>
      </c>
      <c r="AD1182">
        <f>IFERROR(INDEX(PP_Grid[#Data],$DE1182,27),0)</f>
        <v/>
      </c>
      <c r="AE1182">
        <f>IFERROR(INDEX(PP_Grid[#Data],$DE1182,28),0)</f>
        <v/>
      </c>
      <c r="AF1182">
        <f>IFERROR(INDEX(PP_Grid[#Data],$DE1182,29),0)</f>
        <v/>
      </c>
      <c r="AG1182">
        <f>IFERROR(INDEX(PP_Grid[#Data],$DE1182,30),0)</f>
        <v/>
      </c>
      <c r="AH1182">
        <f>IFERROR(INDEX(PP_Grid[#Data],$DE1182,31),0)</f>
        <v/>
      </c>
      <c r="AI1182">
        <f>IFERROR(INDEX(PP_Grid[#Data],$DE1182,32),0)</f>
        <v/>
      </c>
      <c r="AJ1182">
        <f>IFERROR(INDEX(PP_Grid[#Data],$DE1182,33),0)</f>
        <v/>
      </c>
      <c r="AK1182">
        <f>IFERROR(INDEX(PP_Grid[#Data],$DE1182,34),0)</f>
        <v/>
      </c>
      <c r="AL1182">
        <f>IFERROR(INDEX(PP_Grid[#Data],$DE1182,35),0)</f>
        <v/>
      </c>
      <c r="AM1182">
        <f>IFERROR(INDEX(PP_Grid[#Data],$DE1182,36),0)</f>
        <v/>
      </c>
      <c r="AN1182">
        <f>IFERROR(INDEX(PP_Grid[#Data],$DE1182,37),0)</f>
        <v/>
      </c>
      <c r="AO1182">
        <f>IFERROR(INDEX(PP_Grid[#Data],$DE1182,38),0)</f>
        <v/>
      </c>
      <c r="AP1182">
        <f>IFERROR(INDEX(PP_Grid[#Data],$DE1182,39),0)</f>
        <v/>
      </c>
      <c r="AQ1182">
        <f>IFERROR(INDEX(PP_Grid[#Data],$DE1182,40),0)</f>
        <v/>
      </c>
      <c r="AR1182">
        <f>IFERROR(INDEX(PP_Grid[#Data],$DE1182,41),0)</f>
        <v/>
      </c>
      <c r="AS1182">
        <f>IFERROR(INDEX(PP_Grid[#Data],$DE1182,42),0)</f>
        <v/>
      </c>
      <c r="AT1182">
        <f>IFERROR(INDEX(PP_Grid[#Data],$DE1182,43),0)</f>
        <v/>
      </c>
      <c r="AU1182">
        <f>IFERROR(INDEX(PP_Grid[#Data],$DE1182,44),0)</f>
        <v/>
      </c>
      <c r="AV1182">
        <f>IFERROR(INDEX(PP_Grid[#Data],$DE1182,45),0)</f>
        <v/>
      </c>
      <c r="AW1182">
        <f>IFERROR(INDEX(PP_Grid[#Data],$DE1182,46),0)</f>
        <v/>
      </c>
      <c r="AX1182">
        <f>IFERROR(INDEX(PP_Grid[#Data],$DE1182,47),0)</f>
        <v/>
      </c>
      <c r="AY1182">
        <f>IFERROR(INDEX(PP_Grid[#Data],$DE1182,48),0)</f>
        <v/>
      </c>
      <c r="AZ1182">
        <f>IFERROR(INDEX(PP_Grid[#Data],$DE1182,49),0)</f>
        <v/>
      </c>
      <c r="BA1182">
        <f>IFERROR(INDEX(PP_Grid[#Data],$DE1182,50),0)</f>
        <v/>
      </c>
      <c r="BB1182">
        <f>IFERROR(INDEX(PP_Grid[#Data],$DE1182,51),0)</f>
        <v/>
      </c>
      <c r="BC1182">
        <f>IFERROR(INDEX(PP_Grid[#Data],$DE1182,52),0)</f>
        <v/>
      </c>
      <c r="BD1182">
        <f>IFERROR(INDEX(PP_Grid[#Data],$DE1182,53),0)</f>
        <v/>
      </c>
      <c r="BE1182">
        <f>IFERROR(INDEX(PP_Grid[#Data],$DE1182,54),0)</f>
        <v/>
      </c>
      <c r="BF1182">
        <f>IFERROR(INDEX(PP_Grid[#Data],$DE1182,55),0)</f>
        <v/>
      </c>
      <c r="BG1182">
        <f>IFERROR(INDEX(PP_Grid[#Data],$DE1182,56),0)</f>
        <v/>
      </c>
      <c r="BH1182">
        <f>IFERROR(INDEX(PP_Grid[#Data],$DE1182,57),0)</f>
        <v/>
      </c>
      <c r="BI1182">
        <f>IFERROR(INDEX(PP_Grid[#Data],$DE1182,58),0)</f>
        <v/>
      </c>
      <c r="BJ1182">
        <f>IFERROR(INDEX(PP_Grid[#Data],$DE1182,59),0)</f>
        <v/>
      </c>
      <c r="BK1182">
        <f>IFERROR(INDEX(PP_Grid[#Data],$DE1182,60),0)</f>
        <v/>
      </c>
      <c r="BL1182">
        <f>IFERROR(INDEX(PP_Grid[#Data],$DE1182,61),0)</f>
        <v/>
      </c>
      <c r="BM1182">
        <f>IFERROR(INDEX(PP_Grid[#Data],$DE1182,62),0)</f>
        <v/>
      </c>
      <c r="BN1182">
        <f>IFERROR(INDEX(PP_Grid[#Data],$DE1182,63),0)</f>
        <v/>
      </c>
      <c r="BO1182">
        <f>IFERROR(INDEX(PP_Grid[#Data],$DE1182,64),0)</f>
        <v/>
      </c>
      <c r="BP1182">
        <f>IFERROR(INDEX(PP_Grid[#Data],$DE1182,65),0)</f>
        <v/>
      </c>
      <c r="BQ1182">
        <f>IFERROR(INDEX(PP_Grid[#Data],$DE1182,66),0)</f>
        <v/>
      </c>
      <c r="BR1182">
        <f>IFERROR(INDEX(PP_Grid[#Data],$DE1182,67),0)</f>
        <v/>
      </c>
      <c r="BS1182">
        <f>IFERROR(INDEX(PP_Grid[#Data],$DE1182,68),0)</f>
        <v/>
      </c>
      <c r="BT1182">
        <f>IFERROR(INDEX(PP_Grid[#Data],$DE1182,69),0)</f>
        <v/>
      </c>
      <c r="BU1182">
        <f>IFERROR(INDEX(PP_Grid[#Data],$DE1182,70),0)</f>
        <v/>
      </c>
      <c r="BV1182">
        <f>IFERROR(INDEX(PP_Grid[#Data],$DE1182,71),0)</f>
        <v/>
      </c>
      <c r="BW1182">
        <f>IFERROR(INDEX(PP_Grid[#Data],$DE1182,72),0)</f>
        <v/>
      </c>
      <c r="BX1182">
        <f>IFERROR(INDEX(PP_Grid[#Data],$DE1182,73),0)</f>
        <v/>
      </c>
      <c r="BY1182">
        <f>IFERROR(INDEX(PP_Grid[#Data],$DE1182,74),0)</f>
        <v/>
      </c>
      <c r="BZ1182">
        <f>IFERROR(INDEX(PP_Grid[#Data],$DE1182,75),0)</f>
        <v/>
      </c>
      <c r="CA1182">
        <f>IFERROR(INDEX(PP_Grid[#Data],$DE1182,76),0)</f>
        <v/>
      </c>
      <c r="CB1182">
        <f>IFERROR(INDEX(PP_Grid[#Data],$DE1182,77),0)</f>
        <v/>
      </c>
      <c r="CC1182">
        <f>IFERROR(INDEX(PP_Grid[#Data],$DE1182,78),0)</f>
        <v/>
      </c>
      <c r="CD1182">
        <f>IFERROR(INDEX(PP_Grid[#Data],$DE1182,79),0)</f>
        <v/>
      </c>
      <c r="CE1182">
        <f>IFERROR(INDEX(PP_Grid[#Data],$DE1182,80),0)</f>
        <v/>
      </c>
      <c r="CF1182">
        <f>IFERROR(INDEX(PP_Grid[#Data],$DE1182,81),0)</f>
        <v/>
      </c>
      <c r="CG1182">
        <f>IFERROR(INDEX(PP_Grid[#Data],$DE1182,82),0)</f>
        <v/>
      </c>
      <c r="CH1182">
        <f>IFERROR(INDEX(PP_Grid[#Data],$DE1182,83),0)</f>
        <v/>
      </c>
      <c r="CI1182">
        <f>IFERROR(INDEX(PP_Grid[#Data],$DE1182,84),0)</f>
        <v/>
      </c>
      <c r="CJ1182">
        <f>IFERROR(INDEX(PP_Grid[#Data],$DE1182,85),0)</f>
        <v/>
      </c>
      <c r="CK1182">
        <f>IFERROR(INDEX(PP_Grid[#Data],$DE1182,86),0)</f>
        <v/>
      </c>
      <c r="CL1182">
        <f>IFERROR(INDEX(PP_Grid[#Data],$DE1182,87),0)</f>
        <v/>
      </c>
      <c r="CM1182">
        <f>IFERROR(INDEX(PP_Grid[#Data],$DE1182,88),0)</f>
        <v/>
      </c>
      <c r="CN1182">
        <f>IFERROR(INDEX(PP_Grid[#Data],$DE1182,89),0)</f>
        <v/>
      </c>
      <c r="CO1182">
        <f>IFERROR(INDEX(PP_Grid[#Data],$DE1182,90),0)</f>
        <v/>
      </c>
      <c r="CP1182">
        <f>IFERROR(INDEX(PP_Grid[#Data],$DE1182,91),0)</f>
        <v/>
      </c>
      <c r="CQ1182">
        <f>IFERROR(INDEX(PP_Grid[#Data],$DE1182,92),0)</f>
        <v/>
      </c>
      <c r="CR1182">
        <f>IFERROR(INDEX(PP_Grid[#Data],$DE1182,93),0)</f>
        <v/>
      </c>
      <c r="CS1182">
        <f>IFERROR(INDEX(PP_Grid[#Data],$DE1182,94),0)</f>
        <v/>
      </c>
      <c r="CT1182">
        <f>IFERROR(INDEX(PP_Grid[#Data],$DE1182,95),0)</f>
        <v/>
      </c>
      <c r="CU1182">
        <f>IFERROR(INDEX(PP_Grid[#Data],$DE1182,96),0)</f>
        <v/>
      </c>
      <c r="CV1182">
        <f>IFERROR(INDEX(PP_Grid[#Data],$DE1182,97),0)</f>
        <v/>
      </c>
      <c r="CW1182">
        <f>IFERROR(INDEX(PP_Grid[#Data],$DE1182,98),0)</f>
        <v/>
      </c>
      <c r="CX1182">
        <f>IFERROR(INDEX(PP_Grid[#Data],$DE1182,99),0)</f>
        <v/>
      </c>
      <c r="CY1182">
        <f>IFERROR(INDEX(PP_Grid[#Data],$DE1182,100),0)</f>
        <v/>
      </c>
      <c r="CZ1182">
        <f>IFERROR(INDEX(PP_Grid[#Data],$DE1182,101),0)</f>
        <v/>
      </c>
      <c r="DA1182">
        <f>IFERROR(INDEX(PP_Grid[#Data],$DE1182,102),0)</f>
        <v/>
      </c>
      <c r="DB1182">
        <f>IFERROR(INDEX(PP_Grid[#Data],$DE1182,103),0)</f>
        <v/>
      </c>
      <c r="DC1182">
        <f>IFERROR(INDEX(PP_Grid[#Data],$DE1182,104),0)</f>
        <v/>
      </c>
      <c r="DD1182">
        <f>IFERROR(INDEX(PP_Grid[#Data],$DE1182,105),0)</f>
        <v/>
      </c>
      <c r="DE1182" s="7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SUMIFS(M_BOM[RM_Qty_Per_Batch],M_BOM[Intermediate],$B1182,M_BOM[RM_Code],$A1173)</f>
        <v/>
      </c>
      <c r="D1183">
        <f>IFERROR(INDEX(E1183:DD1183,$F$1),"")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  <c r="DD1183">
        <f>$C1183*DD1182</f>
        <v/>
      </c>
    </row>
    <row r="1184">
      <c r="B1184" t="inlineStr">
        <is>
          <t>TSP-903</t>
        </is>
      </c>
      <c r="C1184" t="inlineStr">
        <is>
          <t>No. of batches</t>
        </is>
      </c>
      <c r="D1184">
        <f>IFERROR(INDEX(E1184:DD1184,$F$1),"")</f>
        <v/>
      </c>
      <c r="E1184">
        <f>IFERROR(INDEX(PP_Grid[#Data],$DE1184,2),0)</f>
        <v/>
      </c>
      <c r="F1184">
        <f>IFERROR(INDEX(PP_Grid[#Data],$DE1184,3),0)</f>
        <v/>
      </c>
      <c r="G1184">
        <f>IFERROR(INDEX(PP_Grid[#Data],$DE1184,4),0)</f>
        <v/>
      </c>
      <c r="H1184">
        <f>IFERROR(INDEX(PP_Grid[#Data],$DE1184,5),0)</f>
        <v/>
      </c>
      <c r="I1184">
        <f>IFERROR(INDEX(PP_Grid[#Data],$DE1184,6),0)</f>
        <v/>
      </c>
      <c r="J1184">
        <f>IFERROR(INDEX(PP_Grid[#Data],$DE1184,7),0)</f>
        <v/>
      </c>
      <c r="K1184">
        <f>IFERROR(INDEX(PP_Grid[#Data],$DE1184,8),0)</f>
        <v/>
      </c>
      <c r="L1184">
        <f>IFERROR(INDEX(PP_Grid[#Data],$DE1184,9),0)</f>
        <v/>
      </c>
      <c r="M1184">
        <f>IFERROR(INDEX(PP_Grid[#Data],$DE1184,10),0)</f>
        <v/>
      </c>
      <c r="N1184">
        <f>IFERROR(INDEX(PP_Grid[#Data],$DE1184,11),0)</f>
        <v/>
      </c>
      <c r="O1184">
        <f>IFERROR(INDEX(PP_Grid[#Data],$DE1184,12),0)</f>
        <v/>
      </c>
      <c r="P1184">
        <f>IFERROR(INDEX(PP_Grid[#Data],$DE1184,13),0)</f>
        <v/>
      </c>
      <c r="Q1184">
        <f>IFERROR(INDEX(PP_Grid[#Data],$DE1184,14),0)</f>
        <v/>
      </c>
      <c r="R1184">
        <f>IFERROR(INDEX(PP_Grid[#Data],$DE1184,15),0)</f>
        <v/>
      </c>
      <c r="S1184">
        <f>IFERROR(INDEX(PP_Grid[#Data],$DE1184,16),0)</f>
        <v/>
      </c>
      <c r="T1184">
        <f>IFERROR(INDEX(PP_Grid[#Data],$DE1184,17),0)</f>
        <v/>
      </c>
      <c r="U1184">
        <f>IFERROR(INDEX(PP_Grid[#Data],$DE1184,18),0)</f>
        <v/>
      </c>
      <c r="V1184">
        <f>IFERROR(INDEX(PP_Grid[#Data],$DE1184,19),0)</f>
        <v/>
      </c>
      <c r="W1184">
        <f>IFERROR(INDEX(PP_Grid[#Data],$DE1184,20),0)</f>
        <v/>
      </c>
      <c r="X1184">
        <f>IFERROR(INDEX(PP_Grid[#Data],$DE1184,21),0)</f>
        <v/>
      </c>
      <c r="Y1184">
        <f>IFERROR(INDEX(PP_Grid[#Data],$DE1184,22),0)</f>
        <v/>
      </c>
      <c r="Z1184">
        <f>IFERROR(INDEX(PP_Grid[#Data],$DE1184,23),0)</f>
        <v/>
      </c>
      <c r="AA1184">
        <f>IFERROR(INDEX(PP_Grid[#Data],$DE1184,24),0)</f>
        <v/>
      </c>
      <c r="AB1184">
        <f>IFERROR(INDEX(PP_Grid[#Data],$DE1184,25),0)</f>
        <v/>
      </c>
      <c r="AC1184">
        <f>IFERROR(INDEX(PP_Grid[#Data],$DE1184,26),0)</f>
        <v/>
      </c>
      <c r="AD1184">
        <f>IFERROR(INDEX(PP_Grid[#Data],$DE1184,27),0)</f>
        <v/>
      </c>
      <c r="AE1184">
        <f>IFERROR(INDEX(PP_Grid[#Data],$DE1184,28),0)</f>
        <v/>
      </c>
      <c r="AF1184">
        <f>IFERROR(INDEX(PP_Grid[#Data],$DE1184,29),0)</f>
        <v/>
      </c>
      <c r="AG1184">
        <f>IFERROR(INDEX(PP_Grid[#Data],$DE1184,30),0)</f>
        <v/>
      </c>
      <c r="AH1184">
        <f>IFERROR(INDEX(PP_Grid[#Data],$DE1184,31),0)</f>
        <v/>
      </c>
      <c r="AI1184">
        <f>IFERROR(INDEX(PP_Grid[#Data],$DE1184,32),0)</f>
        <v/>
      </c>
      <c r="AJ1184">
        <f>IFERROR(INDEX(PP_Grid[#Data],$DE1184,33),0)</f>
        <v/>
      </c>
      <c r="AK1184">
        <f>IFERROR(INDEX(PP_Grid[#Data],$DE1184,34),0)</f>
        <v/>
      </c>
      <c r="AL1184">
        <f>IFERROR(INDEX(PP_Grid[#Data],$DE1184,35),0)</f>
        <v/>
      </c>
      <c r="AM1184">
        <f>IFERROR(INDEX(PP_Grid[#Data],$DE1184,36),0)</f>
        <v/>
      </c>
      <c r="AN1184">
        <f>IFERROR(INDEX(PP_Grid[#Data],$DE1184,37),0)</f>
        <v/>
      </c>
      <c r="AO1184">
        <f>IFERROR(INDEX(PP_Grid[#Data],$DE1184,38),0)</f>
        <v/>
      </c>
      <c r="AP1184">
        <f>IFERROR(INDEX(PP_Grid[#Data],$DE1184,39),0)</f>
        <v/>
      </c>
      <c r="AQ1184">
        <f>IFERROR(INDEX(PP_Grid[#Data],$DE1184,40),0)</f>
        <v/>
      </c>
      <c r="AR1184">
        <f>IFERROR(INDEX(PP_Grid[#Data],$DE1184,41),0)</f>
        <v/>
      </c>
      <c r="AS1184">
        <f>IFERROR(INDEX(PP_Grid[#Data],$DE1184,42),0)</f>
        <v/>
      </c>
      <c r="AT1184">
        <f>IFERROR(INDEX(PP_Grid[#Data],$DE1184,43),0)</f>
        <v/>
      </c>
      <c r="AU1184">
        <f>IFERROR(INDEX(PP_Grid[#Data],$DE1184,44),0)</f>
        <v/>
      </c>
      <c r="AV1184">
        <f>IFERROR(INDEX(PP_Grid[#Data],$DE1184,45),0)</f>
        <v/>
      </c>
      <c r="AW1184">
        <f>IFERROR(INDEX(PP_Grid[#Data],$DE1184,46),0)</f>
        <v/>
      </c>
      <c r="AX1184">
        <f>IFERROR(INDEX(PP_Grid[#Data],$DE1184,47),0)</f>
        <v/>
      </c>
      <c r="AY1184">
        <f>IFERROR(INDEX(PP_Grid[#Data],$DE1184,48),0)</f>
        <v/>
      </c>
      <c r="AZ1184">
        <f>IFERROR(INDEX(PP_Grid[#Data],$DE1184,49),0)</f>
        <v/>
      </c>
      <c r="BA1184">
        <f>IFERROR(INDEX(PP_Grid[#Data],$DE1184,50),0)</f>
        <v/>
      </c>
      <c r="BB1184">
        <f>IFERROR(INDEX(PP_Grid[#Data],$DE1184,51),0)</f>
        <v/>
      </c>
      <c r="BC1184">
        <f>IFERROR(INDEX(PP_Grid[#Data],$DE1184,52),0)</f>
        <v/>
      </c>
      <c r="BD1184">
        <f>IFERROR(INDEX(PP_Grid[#Data],$DE1184,53),0)</f>
        <v/>
      </c>
      <c r="BE1184">
        <f>IFERROR(INDEX(PP_Grid[#Data],$DE1184,54),0)</f>
        <v/>
      </c>
      <c r="BF1184">
        <f>IFERROR(INDEX(PP_Grid[#Data],$DE1184,55),0)</f>
        <v/>
      </c>
      <c r="BG1184">
        <f>IFERROR(INDEX(PP_Grid[#Data],$DE1184,56),0)</f>
        <v/>
      </c>
      <c r="BH1184">
        <f>IFERROR(INDEX(PP_Grid[#Data],$DE1184,57),0)</f>
        <v/>
      </c>
      <c r="BI1184">
        <f>IFERROR(INDEX(PP_Grid[#Data],$DE1184,58),0)</f>
        <v/>
      </c>
      <c r="BJ1184">
        <f>IFERROR(INDEX(PP_Grid[#Data],$DE1184,59),0)</f>
        <v/>
      </c>
      <c r="BK1184">
        <f>IFERROR(INDEX(PP_Grid[#Data],$DE1184,60),0)</f>
        <v/>
      </c>
      <c r="BL1184">
        <f>IFERROR(INDEX(PP_Grid[#Data],$DE1184,61),0)</f>
        <v/>
      </c>
      <c r="BM1184">
        <f>IFERROR(INDEX(PP_Grid[#Data],$DE1184,62),0)</f>
        <v/>
      </c>
      <c r="BN1184">
        <f>IFERROR(INDEX(PP_Grid[#Data],$DE1184,63),0)</f>
        <v/>
      </c>
      <c r="BO1184">
        <f>IFERROR(INDEX(PP_Grid[#Data],$DE1184,64),0)</f>
        <v/>
      </c>
      <c r="BP1184">
        <f>IFERROR(INDEX(PP_Grid[#Data],$DE1184,65),0)</f>
        <v/>
      </c>
      <c r="BQ1184">
        <f>IFERROR(INDEX(PP_Grid[#Data],$DE1184,66),0)</f>
        <v/>
      </c>
      <c r="BR1184">
        <f>IFERROR(INDEX(PP_Grid[#Data],$DE1184,67),0)</f>
        <v/>
      </c>
      <c r="BS1184">
        <f>IFERROR(INDEX(PP_Grid[#Data],$DE1184,68),0)</f>
        <v/>
      </c>
      <c r="BT1184">
        <f>IFERROR(INDEX(PP_Grid[#Data],$DE1184,69),0)</f>
        <v/>
      </c>
      <c r="BU1184">
        <f>IFERROR(INDEX(PP_Grid[#Data],$DE1184,70),0)</f>
        <v/>
      </c>
      <c r="BV1184">
        <f>IFERROR(INDEX(PP_Grid[#Data],$DE1184,71),0)</f>
        <v/>
      </c>
      <c r="BW1184">
        <f>IFERROR(INDEX(PP_Grid[#Data],$DE1184,72),0)</f>
        <v/>
      </c>
      <c r="BX1184">
        <f>IFERROR(INDEX(PP_Grid[#Data],$DE1184,73),0)</f>
        <v/>
      </c>
      <c r="BY1184">
        <f>IFERROR(INDEX(PP_Grid[#Data],$DE1184,74),0)</f>
        <v/>
      </c>
      <c r="BZ1184">
        <f>IFERROR(INDEX(PP_Grid[#Data],$DE1184,75),0)</f>
        <v/>
      </c>
      <c r="CA1184">
        <f>IFERROR(INDEX(PP_Grid[#Data],$DE1184,76),0)</f>
        <v/>
      </c>
      <c r="CB1184">
        <f>IFERROR(INDEX(PP_Grid[#Data],$DE1184,77),0)</f>
        <v/>
      </c>
      <c r="CC1184">
        <f>IFERROR(INDEX(PP_Grid[#Data],$DE1184,78),0)</f>
        <v/>
      </c>
      <c r="CD1184">
        <f>IFERROR(INDEX(PP_Grid[#Data],$DE1184,79),0)</f>
        <v/>
      </c>
      <c r="CE1184">
        <f>IFERROR(INDEX(PP_Grid[#Data],$DE1184,80),0)</f>
        <v/>
      </c>
      <c r="CF1184">
        <f>IFERROR(INDEX(PP_Grid[#Data],$DE1184,81),0)</f>
        <v/>
      </c>
      <c r="CG1184">
        <f>IFERROR(INDEX(PP_Grid[#Data],$DE1184,82),0)</f>
        <v/>
      </c>
      <c r="CH1184">
        <f>IFERROR(INDEX(PP_Grid[#Data],$DE1184,83),0)</f>
        <v/>
      </c>
      <c r="CI1184">
        <f>IFERROR(INDEX(PP_Grid[#Data],$DE1184,84),0)</f>
        <v/>
      </c>
      <c r="CJ1184">
        <f>IFERROR(INDEX(PP_Grid[#Data],$DE1184,85),0)</f>
        <v/>
      </c>
      <c r="CK1184">
        <f>IFERROR(INDEX(PP_Grid[#Data],$DE1184,86),0)</f>
        <v/>
      </c>
      <c r="CL1184">
        <f>IFERROR(INDEX(PP_Grid[#Data],$DE1184,87),0)</f>
        <v/>
      </c>
      <c r="CM1184">
        <f>IFERROR(INDEX(PP_Grid[#Data],$DE1184,88),0)</f>
        <v/>
      </c>
      <c r="CN1184">
        <f>IFERROR(INDEX(PP_Grid[#Data],$DE1184,89),0)</f>
        <v/>
      </c>
      <c r="CO1184">
        <f>IFERROR(INDEX(PP_Grid[#Data],$DE1184,90),0)</f>
        <v/>
      </c>
      <c r="CP1184">
        <f>IFERROR(INDEX(PP_Grid[#Data],$DE1184,91),0)</f>
        <v/>
      </c>
      <c r="CQ1184">
        <f>IFERROR(INDEX(PP_Grid[#Data],$DE1184,92),0)</f>
        <v/>
      </c>
      <c r="CR1184">
        <f>IFERROR(INDEX(PP_Grid[#Data],$DE1184,93),0)</f>
        <v/>
      </c>
      <c r="CS1184">
        <f>IFERROR(INDEX(PP_Grid[#Data],$DE1184,94),0)</f>
        <v/>
      </c>
      <c r="CT1184">
        <f>IFERROR(INDEX(PP_Grid[#Data],$DE1184,95),0)</f>
        <v/>
      </c>
      <c r="CU1184">
        <f>IFERROR(INDEX(PP_Grid[#Data],$DE1184,96),0)</f>
        <v/>
      </c>
      <c r="CV1184">
        <f>IFERROR(INDEX(PP_Grid[#Data],$DE1184,97),0)</f>
        <v/>
      </c>
      <c r="CW1184">
        <f>IFERROR(INDEX(PP_Grid[#Data],$DE1184,98),0)</f>
        <v/>
      </c>
      <c r="CX1184">
        <f>IFERROR(INDEX(PP_Grid[#Data],$DE1184,99),0)</f>
        <v/>
      </c>
      <c r="CY1184">
        <f>IFERROR(INDEX(PP_Grid[#Data],$DE1184,100),0)</f>
        <v/>
      </c>
      <c r="CZ1184">
        <f>IFERROR(INDEX(PP_Grid[#Data],$DE1184,101),0)</f>
        <v/>
      </c>
      <c r="DA1184">
        <f>IFERROR(INDEX(PP_Grid[#Data],$DE1184,102),0)</f>
        <v/>
      </c>
      <c r="DB1184">
        <f>IFERROR(INDEX(PP_Grid[#Data],$DE1184,103),0)</f>
        <v/>
      </c>
      <c r="DC1184">
        <f>IFERROR(INDEX(PP_Grid[#Data],$DE1184,104),0)</f>
        <v/>
      </c>
      <c r="DD1184">
        <f>IFERROR(INDEX(PP_Grid[#Data],$DE1184,105),0)</f>
        <v/>
      </c>
      <c r="DE1184" s="7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SUMIFS(M_BOM[RM_Qty_Per_Batch],M_BOM[Intermediate],$B1184,M_BOM[RM_Code],$A1173)</f>
        <v/>
      </c>
      <c r="D1185">
        <f>IFERROR(INDEX(E1185:DD1185,$F$1),"")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  <c r="DD1185">
        <f>$C1185*DD1184</f>
        <v/>
      </c>
    </row>
    <row r="1186">
      <c r="B1186" t="inlineStr">
        <is>
          <t>TSP-959</t>
        </is>
      </c>
      <c r="C1186" t="inlineStr">
        <is>
          <t>No. of batches</t>
        </is>
      </c>
      <c r="D1186">
        <f>IFERROR(INDEX(E1186:DD1186,$F$1),"")</f>
        <v/>
      </c>
      <c r="E1186">
        <f>IFERROR(INDEX(PP_Grid[#Data],$DE1186,2),0)</f>
        <v/>
      </c>
      <c r="F1186">
        <f>IFERROR(INDEX(PP_Grid[#Data],$DE1186,3),0)</f>
        <v/>
      </c>
      <c r="G1186">
        <f>IFERROR(INDEX(PP_Grid[#Data],$DE1186,4),0)</f>
        <v/>
      </c>
      <c r="H1186">
        <f>IFERROR(INDEX(PP_Grid[#Data],$DE1186,5),0)</f>
        <v/>
      </c>
      <c r="I1186">
        <f>IFERROR(INDEX(PP_Grid[#Data],$DE1186,6),0)</f>
        <v/>
      </c>
      <c r="J1186">
        <f>IFERROR(INDEX(PP_Grid[#Data],$DE1186,7),0)</f>
        <v/>
      </c>
      <c r="K1186">
        <f>IFERROR(INDEX(PP_Grid[#Data],$DE1186,8),0)</f>
        <v/>
      </c>
      <c r="L1186">
        <f>IFERROR(INDEX(PP_Grid[#Data],$DE1186,9),0)</f>
        <v/>
      </c>
      <c r="M1186">
        <f>IFERROR(INDEX(PP_Grid[#Data],$DE1186,10),0)</f>
        <v/>
      </c>
      <c r="N1186">
        <f>IFERROR(INDEX(PP_Grid[#Data],$DE1186,11),0)</f>
        <v/>
      </c>
      <c r="O1186">
        <f>IFERROR(INDEX(PP_Grid[#Data],$DE1186,12),0)</f>
        <v/>
      </c>
      <c r="P1186">
        <f>IFERROR(INDEX(PP_Grid[#Data],$DE1186,13),0)</f>
        <v/>
      </c>
      <c r="Q1186">
        <f>IFERROR(INDEX(PP_Grid[#Data],$DE1186,14),0)</f>
        <v/>
      </c>
      <c r="R1186">
        <f>IFERROR(INDEX(PP_Grid[#Data],$DE1186,15),0)</f>
        <v/>
      </c>
      <c r="S1186">
        <f>IFERROR(INDEX(PP_Grid[#Data],$DE1186,16),0)</f>
        <v/>
      </c>
      <c r="T1186">
        <f>IFERROR(INDEX(PP_Grid[#Data],$DE1186,17),0)</f>
        <v/>
      </c>
      <c r="U1186">
        <f>IFERROR(INDEX(PP_Grid[#Data],$DE1186,18),0)</f>
        <v/>
      </c>
      <c r="V1186">
        <f>IFERROR(INDEX(PP_Grid[#Data],$DE1186,19),0)</f>
        <v/>
      </c>
      <c r="W1186">
        <f>IFERROR(INDEX(PP_Grid[#Data],$DE1186,20),0)</f>
        <v/>
      </c>
      <c r="X1186">
        <f>IFERROR(INDEX(PP_Grid[#Data],$DE1186,21),0)</f>
        <v/>
      </c>
      <c r="Y1186">
        <f>IFERROR(INDEX(PP_Grid[#Data],$DE1186,22),0)</f>
        <v/>
      </c>
      <c r="Z1186">
        <f>IFERROR(INDEX(PP_Grid[#Data],$DE1186,23),0)</f>
        <v/>
      </c>
      <c r="AA1186">
        <f>IFERROR(INDEX(PP_Grid[#Data],$DE1186,24),0)</f>
        <v/>
      </c>
      <c r="AB1186">
        <f>IFERROR(INDEX(PP_Grid[#Data],$DE1186,25),0)</f>
        <v/>
      </c>
      <c r="AC1186">
        <f>IFERROR(INDEX(PP_Grid[#Data],$DE1186,26),0)</f>
        <v/>
      </c>
      <c r="AD1186">
        <f>IFERROR(INDEX(PP_Grid[#Data],$DE1186,27),0)</f>
        <v/>
      </c>
      <c r="AE1186">
        <f>IFERROR(INDEX(PP_Grid[#Data],$DE1186,28),0)</f>
        <v/>
      </c>
      <c r="AF1186">
        <f>IFERROR(INDEX(PP_Grid[#Data],$DE1186,29),0)</f>
        <v/>
      </c>
      <c r="AG1186">
        <f>IFERROR(INDEX(PP_Grid[#Data],$DE1186,30),0)</f>
        <v/>
      </c>
      <c r="AH1186">
        <f>IFERROR(INDEX(PP_Grid[#Data],$DE1186,31),0)</f>
        <v/>
      </c>
      <c r="AI1186">
        <f>IFERROR(INDEX(PP_Grid[#Data],$DE1186,32),0)</f>
        <v/>
      </c>
      <c r="AJ1186">
        <f>IFERROR(INDEX(PP_Grid[#Data],$DE1186,33),0)</f>
        <v/>
      </c>
      <c r="AK1186">
        <f>IFERROR(INDEX(PP_Grid[#Data],$DE1186,34),0)</f>
        <v/>
      </c>
      <c r="AL1186">
        <f>IFERROR(INDEX(PP_Grid[#Data],$DE1186,35),0)</f>
        <v/>
      </c>
      <c r="AM1186">
        <f>IFERROR(INDEX(PP_Grid[#Data],$DE1186,36),0)</f>
        <v/>
      </c>
      <c r="AN1186">
        <f>IFERROR(INDEX(PP_Grid[#Data],$DE1186,37),0)</f>
        <v/>
      </c>
      <c r="AO1186">
        <f>IFERROR(INDEX(PP_Grid[#Data],$DE1186,38),0)</f>
        <v/>
      </c>
      <c r="AP1186">
        <f>IFERROR(INDEX(PP_Grid[#Data],$DE1186,39),0)</f>
        <v/>
      </c>
      <c r="AQ1186">
        <f>IFERROR(INDEX(PP_Grid[#Data],$DE1186,40),0)</f>
        <v/>
      </c>
      <c r="AR1186">
        <f>IFERROR(INDEX(PP_Grid[#Data],$DE1186,41),0)</f>
        <v/>
      </c>
      <c r="AS1186">
        <f>IFERROR(INDEX(PP_Grid[#Data],$DE1186,42),0)</f>
        <v/>
      </c>
      <c r="AT1186">
        <f>IFERROR(INDEX(PP_Grid[#Data],$DE1186,43),0)</f>
        <v/>
      </c>
      <c r="AU1186">
        <f>IFERROR(INDEX(PP_Grid[#Data],$DE1186,44),0)</f>
        <v/>
      </c>
      <c r="AV1186">
        <f>IFERROR(INDEX(PP_Grid[#Data],$DE1186,45),0)</f>
        <v/>
      </c>
      <c r="AW1186">
        <f>IFERROR(INDEX(PP_Grid[#Data],$DE1186,46),0)</f>
        <v/>
      </c>
      <c r="AX1186">
        <f>IFERROR(INDEX(PP_Grid[#Data],$DE1186,47),0)</f>
        <v/>
      </c>
      <c r="AY1186">
        <f>IFERROR(INDEX(PP_Grid[#Data],$DE1186,48),0)</f>
        <v/>
      </c>
      <c r="AZ1186">
        <f>IFERROR(INDEX(PP_Grid[#Data],$DE1186,49),0)</f>
        <v/>
      </c>
      <c r="BA1186">
        <f>IFERROR(INDEX(PP_Grid[#Data],$DE1186,50),0)</f>
        <v/>
      </c>
      <c r="BB1186">
        <f>IFERROR(INDEX(PP_Grid[#Data],$DE1186,51),0)</f>
        <v/>
      </c>
      <c r="BC1186">
        <f>IFERROR(INDEX(PP_Grid[#Data],$DE1186,52),0)</f>
        <v/>
      </c>
      <c r="BD1186">
        <f>IFERROR(INDEX(PP_Grid[#Data],$DE1186,53),0)</f>
        <v/>
      </c>
      <c r="BE1186">
        <f>IFERROR(INDEX(PP_Grid[#Data],$DE1186,54),0)</f>
        <v/>
      </c>
      <c r="BF1186">
        <f>IFERROR(INDEX(PP_Grid[#Data],$DE1186,55),0)</f>
        <v/>
      </c>
      <c r="BG1186">
        <f>IFERROR(INDEX(PP_Grid[#Data],$DE1186,56),0)</f>
        <v/>
      </c>
      <c r="BH1186">
        <f>IFERROR(INDEX(PP_Grid[#Data],$DE1186,57),0)</f>
        <v/>
      </c>
      <c r="BI1186">
        <f>IFERROR(INDEX(PP_Grid[#Data],$DE1186,58),0)</f>
        <v/>
      </c>
      <c r="BJ1186">
        <f>IFERROR(INDEX(PP_Grid[#Data],$DE1186,59),0)</f>
        <v/>
      </c>
      <c r="BK1186">
        <f>IFERROR(INDEX(PP_Grid[#Data],$DE1186,60),0)</f>
        <v/>
      </c>
      <c r="BL1186">
        <f>IFERROR(INDEX(PP_Grid[#Data],$DE1186,61),0)</f>
        <v/>
      </c>
      <c r="BM1186">
        <f>IFERROR(INDEX(PP_Grid[#Data],$DE1186,62),0)</f>
        <v/>
      </c>
      <c r="BN1186">
        <f>IFERROR(INDEX(PP_Grid[#Data],$DE1186,63),0)</f>
        <v/>
      </c>
      <c r="BO1186">
        <f>IFERROR(INDEX(PP_Grid[#Data],$DE1186,64),0)</f>
        <v/>
      </c>
      <c r="BP1186">
        <f>IFERROR(INDEX(PP_Grid[#Data],$DE1186,65),0)</f>
        <v/>
      </c>
      <c r="BQ1186">
        <f>IFERROR(INDEX(PP_Grid[#Data],$DE1186,66),0)</f>
        <v/>
      </c>
      <c r="BR1186">
        <f>IFERROR(INDEX(PP_Grid[#Data],$DE1186,67),0)</f>
        <v/>
      </c>
      <c r="BS1186">
        <f>IFERROR(INDEX(PP_Grid[#Data],$DE1186,68),0)</f>
        <v/>
      </c>
      <c r="BT1186">
        <f>IFERROR(INDEX(PP_Grid[#Data],$DE1186,69),0)</f>
        <v/>
      </c>
      <c r="BU1186">
        <f>IFERROR(INDEX(PP_Grid[#Data],$DE1186,70),0)</f>
        <v/>
      </c>
      <c r="BV1186">
        <f>IFERROR(INDEX(PP_Grid[#Data],$DE1186,71),0)</f>
        <v/>
      </c>
      <c r="BW1186">
        <f>IFERROR(INDEX(PP_Grid[#Data],$DE1186,72),0)</f>
        <v/>
      </c>
      <c r="BX1186">
        <f>IFERROR(INDEX(PP_Grid[#Data],$DE1186,73),0)</f>
        <v/>
      </c>
      <c r="BY1186">
        <f>IFERROR(INDEX(PP_Grid[#Data],$DE1186,74),0)</f>
        <v/>
      </c>
      <c r="BZ1186">
        <f>IFERROR(INDEX(PP_Grid[#Data],$DE1186,75),0)</f>
        <v/>
      </c>
      <c r="CA1186">
        <f>IFERROR(INDEX(PP_Grid[#Data],$DE1186,76),0)</f>
        <v/>
      </c>
      <c r="CB1186">
        <f>IFERROR(INDEX(PP_Grid[#Data],$DE1186,77),0)</f>
        <v/>
      </c>
      <c r="CC1186">
        <f>IFERROR(INDEX(PP_Grid[#Data],$DE1186,78),0)</f>
        <v/>
      </c>
      <c r="CD1186">
        <f>IFERROR(INDEX(PP_Grid[#Data],$DE1186,79),0)</f>
        <v/>
      </c>
      <c r="CE1186">
        <f>IFERROR(INDEX(PP_Grid[#Data],$DE1186,80),0)</f>
        <v/>
      </c>
      <c r="CF1186">
        <f>IFERROR(INDEX(PP_Grid[#Data],$DE1186,81),0)</f>
        <v/>
      </c>
      <c r="CG1186">
        <f>IFERROR(INDEX(PP_Grid[#Data],$DE1186,82),0)</f>
        <v/>
      </c>
      <c r="CH1186">
        <f>IFERROR(INDEX(PP_Grid[#Data],$DE1186,83),0)</f>
        <v/>
      </c>
      <c r="CI1186">
        <f>IFERROR(INDEX(PP_Grid[#Data],$DE1186,84),0)</f>
        <v/>
      </c>
      <c r="CJ1186">
        <f>IFERROR(INDEX(PP_Grid[#Data],$DE1186,85),0)</f>
        <v/>
      </c>
      <c r="CK1186">
        <f>IFERROR(INDEX(PP_Grid[#Data],$DE1186,86),0)</f>
        <v/>
      </c>
      <c r="CL1186">
        <f>IFERROR(INDEX(PP_Grid[#Data],$DE1186,87),0)</f>
        <v/>
      </c>
      <c r="CM1186">
        <f>IFERROR(INDEX(PP_Grid[#Data],$DE1186,88),0)</f>
        <v/>
      </c>
      <c r="CN1186">
        <f>IFERROR(INDEX(PP_Grid[#Data],$DE1186,89),0)</f>
        <v/>
      </c>
      <c r="CO1186">
        <f>IFERROR(INDEX(PP_Grid[#Data],$DE1186,90),0)</f>
        <v/>
      </c>
      <c r="CP1186">
        <f>IFERROR(INDEX(PP_Grid[#Data],$DE1186,91),0)</f>
        <v/>
      </c>
      <c r="CQ1186">
        <f>IFERROR(INDEX(PP_Grid[#Data],$DE1186,92),0)</f>
        <v/>
      </c>
      <c r="CR1186">
        <f>IFERROR(INDEX(PP_Grid[#Data],$DE1186,93),0)</f>
        <v/>
      </c>
      <c r="CS1186">
        <f>IFERROR(INDEX(PP_Grid[#Data],$DE1186,94),0)</f>
        <v/>
      </c>
      <c r="CT1186">
        <f>IFERROR(INDEX(PP_Grid[#Data],$DE1186,95),0)</f>
        <v/>
      </c>
      <c r="CU1186">
        <f>IFERROR(INDEX(PP_Grid[#Data],$DE1186,96),0)</f>
        <v/>
      </c>
      <c r="CV1186">
        <f>IFERROR(INDEX(PP_Grid[#Data],$DE1186,97),0)</f>
        <v/>
      </c>
      <c r="CW1186">
        <f>IFERROR(INDEX(PP_Grid[#Data],$DE1186,98),0)</f>
        <v/>
      </c>
      <c r="CX1186">
        <f>IFERROR(INDEX(PP_Grid[#Data],$DE1186,99),0)</f>
        <v/>
      </c>
      <c r="CY1186">
        <f>IFERROR(INDEX(PP_Grid[#Data],$DE1186,100),0)</f>
        <v/>
      </c>
      <c r="CZ1186">
        <f>IFERROR(INDEX(PP_Grid[#Data],$DE1186,101),0)</f>
        <v/>
      </c>
      <c r="DA1186">
        <f>IFERROR(INDEX(PP_Grid[#Data],$DE1186,102),0)</f>
        <v/>
      </c>
      <c r="DB1186">
        <f>IFERROR(INDEX(PP_Grid[#Data],$DE1186,103),0)</f>
        <v/>
      </c>
      <c r="DC1186">
        <f>IFERROR(INDEX(PP_Grid[#Data],$DE1186,104),0)</f>
        <v/>
      </c>
      <c r="DD1186">
        <f>IFERROR(INDEX(PP_Grid[#Data],$DE1186,105),0)</f>
        <v/>
      </c>
      <c r="DE1186" s="7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SUMIFS(M_BOM[RM_Qty_Per_Batch],M_BOM[Intermediate],$B1186,M_BOM[RM_Code],$A1173)</f>
        <v/>
      </c>
      <c r="D1187">
        <f>IFERROR(INDEX(E1187:DD1187,$F$1),"")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  <c r="DD1187">
        <f>$C1187*DD1186</f>
        <v/>
      </c>
    </row>
    <row r="1188">
      <c r="B1188" t="inlineStr">
        <is>
          <t>VSP-567</t>
        </is>
      </c>
      <c r="C1188" t="inlineStr">
        <is>
          <t>No. of batches</t>
        </is>
      </c>
      <c r="D1188">
        <f>IFERROR(INDEX(E1188:DD1188,$F$1),"")</f>
        <v/>
      </c>
      <c r="E1188">
        <f>IFERROR(INDEX(PP_Grid[#Data],$DE1188,2),0)</f>
        <v/>
      </c>
      <c r="F1188">
        <f>IFERROR(INDEX(PP_Grid[#Data],$DE1188,3),0)</f>
        <v/>
      </c>
      <c r="G1188">
        <f>IFERROR(INDEX(PP_Grid[#Data],$DE1188,4),0)</f>
        <v/>
      </c>
      <c r="H1188">
        <f>IFERROR(INDEX(PP_Grid[#Data],$DE1188,5),0)</f>
        <v/>
      </c>
      <c r="I1188">
        <f>IFERROR(INDEX(PP_Grid[#Data],$DE1188,6),0)</f>
        <v/>
      </c>
      <c r="J1188">
        <f>IFERROR(INDEX(PP_Grid[#Data],$DE1188,7),0)</f>
        <v/>
      </c>
      <c r="K1188">
        <f>IFERROR(INDEX(PP_Grid[#Data],$DE1188,8),0)</f>
        <v/>
      </c>
      <c r="L1188">
        <f>IFERROR(INDEX(PP_Grid[#Data],$DE1188,9),0)</f>
        <v/>
      </c>
      <c r="M1188">
        <f>IFERROR(INDEX(PP_Grid[#Data],$DE1188,10),0)</f>
        <v/>
      </c>
      <c r="N1188">
        <f>IFERROR(INDEX(PP_Grid[#Data],$DE1188,11),0)</f>
        <v/>
      </c>
      <c r="O1188">
        <f>IFERROR(INDEX(PP_Grid[#Data],$DE1188,12),0)</f>
        <v/>
      </c>
      <c r="P1188">
        <f>IFERROR(INDEX(PP_Grid[#Data],$DE1188,13),0)</f>
        <v/>
      </c>
      <c r="Q1188">
        <f>IFERROR(INDEX(PP_Grid[#Data],$DE1188,14),0)</f>
        <v/>
      </c>
      <c r="R1188">
        <f>IFERROR(INDEX(PP_Grid[#Data],$DE1188,15),0)</f>
        <v/>
      </c>
      <c r="S1188">
        <f>IFERROR(INDEX(PP_Grid[#Data],$DE1188,16),0)</f>
        <v/>
      </c>
      <c r="T1188">
        <f>IFERROR(INDEX(PP_Grid[#Data],$DE1188,17),0)</f>
        <v/>
      </c>
      <c r="U1188">
        <f>IFERROR(INDEX(PP_Grid[#Data],$DE1188,18),0)</f>
        <v/>
      </c>
      <c r="V1188">
        <f>IFERROR(INDEX(PP_Grid[#Data],$DE1188,19),0)</f>
        <v/>
      </c>
      <c r="W1188">
        <f>IFERROR(INDEX(PP_Grid[#Data],$DE1188,20),0)</f>
        <v/>
      </c>
      <c r="X1188">
        <f>IFERROR(INDEX(PP_Grid[#Data],$DE1188,21),0)</f>
        <v/>
      </c>
      <c r="Y1188">
        <f>IFERROR(INDEX(PP_Grid[#Data],$DE1188,22),0)</f>
        <v/>
      </c>
      <c r="Z1188">
        <f>IFERROR(INDEX(PP_Grid[#Data],$DE1188,23),0)</f>
        <v/>
      </c>
      <c r="AA1188">
        <f>IFERROR(INDEX(PP_Grid[#Data],$DE1188,24),0)</f>
        <v/>
      </c>
      <c r="AB1188">
        <f>IFERROR(INDEX(PP_Grid[#Data],$DE1188,25),0)</f>
        <v/>
      </c>
      <c r="AC1188">
        <f>IFERROR(INDEX(PP_Grid[#Data],$DE1188,26),0)</f>
        <v/>
      </c>
      <c r="AD1188">
        <f>IFERROR(INDEX(PP_Grid[#Data],$DE1188,27),0)</f>
        <v/>
      </c>
      <c r="AE1188">
        <f>IFERROR(INDEX(PP_Grid[#Data],$DE1188,28),0)</f>
        <v/>
      </c>
      <c r="AF1188">
        <f>IFERROR(INDEX(PP_Grid[#Data],$DE1188,29),0)</f>
        <v/>
      </c>
      <c r="AG1188">
        <f>IFERROR(INDEX(PP_Grid[#Data],$DE1188,30),0)</f>
        <v/>
      </c>
      <c r="AH1188">
        <f>IFERROR(INDEX(PP_Grid[#Data],$DE1188,31),0)</f>
        <v/>
      </c>
      <c r="AI1188">
        <f>IFERROR(INDEX(PP_Grid[#Data],$DE1188,32),0)</f>
        <v/>
      </c>
      <c r="AJ1188">
        <f>IFERROR(INDEX(PP_Grid[#Data],$DE1188,33),0)</f>
        <v/>
      </c>
      <c r="AK1188">
        <f>IFERROR(INDEX(PP_Grid[#Data],$DE1188,34),0)</f>
        <v/>
      </c>
      <c r="AL1188">
        <f>IFERROR(INDEX(PP_Grid[#Data],$DE1188,35),0)</f>
        <v/>
      </c>
      <c r="AM1188">
        <f>IFERROR(INDEX(PP_Grid[#Data],$DE1188,36),0)</f>
        <v/>
      </c>
      <c r="AN1188">
        <f>IFERROR(INDEX(PP_Grid[#Data],$DE1188,37),0)</f>
        <v/>
      </c>
      <c r="AO1188">
        <f>IFERROR(INDEX(PP_Grid[#Data],$DE1188,38),0)</f>
        <v/>
      </c>
      <c r="AP1188">
        <f>IFERROR(INDEX(PP_Grid[#Data],$DE1188,39),0)</f>
        <v/>
      </c>
      <c r="AQ1188">
        <f>IFERROR(INDEX(PP_Grid[#Data],$DE1188,40),0)</f>
        <v/>
      </c>
      <c r="AR1188">
        <f>IFERROR(INDEX(PP_Grid[#Data],$DE1188,41),0)</f>
        <v/>
      </c>
      <c r="AS1188">
        <f>IFERROR(INDEX(PP_Grid[#Data],$DE1188,42),0)</f>
        <v/>
      </c>
      <c r="AT1188">
        <f>IFERROR(INDEX(PP_Grid[#Data],$DE1188,43),0)</f>
        <v/>
      </c>
      <c r="AU1188">
        <f>IFERROR(INDEX(PP_Grid[#Data],$DE1188,44),0)</f>
        <v/>
      </c>
      <c r="AV1188">
        <f>IFERROR(INDEX(PP_Grid[#Data],$DE1188,45),0)</f>
        <v/>
      </c>
      <c r="AW1188">
        <f>IFERROR(INDEX(PP_Grid[#Data],$DE1188,46),0)</f>
        <v/>
      </c>
      <c r="AX1188">
        <f>IFERROR(INDEX(PP_Grid[#Data],$DE1188,47),0)</f>
        <v/>
      </c>
      <c r="AY1188">
        <f>IFERROR(INDEX(PP_Grid[#Data],$DE1188,48),0)</f>
        <v/>
      </c>
      <c r="AZ1188">
        <f>IFERROR(INDEX(PP_Grid[#Data],$DE1188,49),0)</f>
        <v/>
      </c>
      <c r="BA1188">
        <f>IFERROR(INDEX(PP_Grid[#Data],$DE1188,50),0)</f>
        <v/>
      </c>
      <c r="BB1188">
        <f>IFERROR(INDEX(PP_Grid[#Data],$DE1188,51),0)</f>
        <v/>
      </c>
      <c r="BC1188">
        <f>IFERROR(INDEX(PP_Grid[#Data],$DE1188,52),0)</f>
        <v/>
      </c>
      <c r="BD1188">
        <f>IFERROR(INDEX(PP_Grid[#Data],$DE1188,53),0)</f>
        <v/>
      </c>
      <c r="BE1188">
        <f>IFERROR(INDEX(PP_Grid[#Data],$DE1188,54),0)</f>
        <v/>
      </c>
      <c r="BF1188">
        <f>IFERROR(INDEX(PP_Grid[#Data],$DE1188,55),0)</f>
        <v/>
      </c>
      <c r="BG1188">
        <f>IFERROR(INDEX(PP_Grid[#Data],$DE1188,56),0)</f>
        <v/>
      </c>
      <c r="BH1188">
        <f>IFERROR(INDEX(PP_Grid[#Data],$DE1188,57),0)</f>
        <v/>
      </c>
      <c r="BI1188">
        <f>IFERROR(INDEX(PP_Grid[#Data],$DE1188,58),0)</f>
        <v/>
      </c>
      <c r="BJ1188">
        <f>IFERROR(INDEX(PP_Grid[#Data],$DE1188,59),0)</f>
        <v/>
      </c>
      <c r="BK1188">
        <f>IFERROR(INDEX(PP_Grid[#Data],$DE1188,60),0)</f>
        <v/>
      </c>
      <c r="BL1188">
        <f>IFERROR(INDEX(PP_Grid[#Data],$DE1188,61),0)</f>
        <v/>
      </c>
      <c r="BM1188">
        <f>IFERROR(INDEX(PP_Grid[#Data],$DE1188,62),0)</f>
        <v/>
      </c>
      <c r="BN1188">
        <f>IFERROR(INDEX(PP_Grid[#Data],$DE1188,63),0)</f>
        <v/>
      </c>
      <c r="BO1188">
        <f>IFERROR(INDEX(PP_Grid[#Data],$DE1188,64),0)</f>
        <v/>
      </c>
      <c r="BP1188">
        <f>IFERROR(INDEX(PP_Grid[#Data],$DE1188,65),0)</f>
        <v/>
      </c>
      <c r="BQ1188">
        <f>IFERROR(INDEX(PP_Grid[#Data],$DE1188,66),0)</f>
        <v/>
      </c>
      <c r="BR1188">
        <f>IFERROR(INDEX(PP_Grid[#Data],$DE1188,67),0)</f>
        <v/>
      </c>
      <c r="BS1188">
        <f>IFERROR(INDEX(PP_Grid[#Data],$DE1188,68),0)</f>
        <v/>
      </c>
      <c r="BT1188">
        <f>IFERROR(INDEX(PP_Grid[#Data],$DE1188,69),0)</f>
        <v/>
      </c>
      <c r="BU1188">
        <f>IFERROR(INDEX(PP_Grid[#Data],$DE1188,70),0)</f>
        <v/>
      </c>
      <c r="BV1188">
        <f>IFERROR(INDEX(PP_Grid[#Data],$DE1188,71),0)</f>
        <v/>
      </c>
      <c r="BW1188">
        <f>IFERROR(INDEX(PP_Grid[#Data],$DE1188,72),0)</f>
        <v/>
      </c>
      <c r="BX1188">
        <f>IFERROR(INDEX(PP_Grid[#Data],$DE1188,73),0)</f>
        <v/>
      </c>
      <c r="BY1188">
        <f>IFERROR(INDEX(PP_Grid[#Data],$DE1188,74),0)</f>
        <v/>
      </c>
      <c r="BZ1188">
        <f>IFERROR(INDEX(PP_Grid[#Data],$DE1188,75),0)</f>
        <v/>
      </c>
      <c r="CA1188">
        <f>IFERROR(INDEX(PP_Grid[#Data],$DE1188,76),0)</f>
        <v/>
      </c>
      <c r="CB1188">
        <f>IFERROR(INDEX(PP_Grid[#Data],$DE1188,77),0)</f>
        <v/>
      </c>
      <c r="CC1188">
        <f>IFERROR(INDEX(PP_Grid[#Data],$DE1188,78),0)</f>
        <v/>
      </c>
      <c r="CD1188">
        <f>IFERROR(INDEX(PP_Grid[#Data],$DE1188,79),0)</f>
        <v/>
      </c>
      <c r="CE1188">
        <f>IFERROR(INDEX(PP_Grid[#Data],$DE1188,80),0)</f>
        <v/>
      </c>
      <c r="CF1188">
        <f>IFERROR(INDEX(PP_Grid[#Data],$DE1188,81),0)</f>
        <v/>
      </c>
      <c r="CG1188">
        <f>IFERROR(INDEX(PP_Grid[#Data],$DE1188,82),0)</f>
        <v/>
      </c>
      <c r="CH1188">
        <f>IFERROR(INDEX(PP_Grid[#Data],$DE1188,83),0)</f>
        <v/>
      </c>
      <c r="CI1188">
        <f>IFERROR(INDEX(PP_Grid[#Data],$DE1188,84),0)</f>
        <v/>
      </c>
      <c r="CJ1188">
        <f>IFERROR(INDEX(PP_Grid[#Data],$DE1188,85),0)</f>
        <v/>
      </c>
      <c r="CK1188">
        <f>IFERROR(INDEX(PP_Grid[#Data],$DE1188,86),0)</f>
        <v/>
      </c>
      <c r="CL1188">
        <f>IFERROR(INDEX(PP_Grid[#Data],$DE1188,87),0)</f>
        <v/>
      </c>
      <c r="CM1188">
        <f>IFERROR(INDEX(PP_Grid[#Data],$DE1188,88),0)</f>
        <v/>
      </c>
      <c r="CN1188">
        <f>IFERROR(INDEX(PP_Grid[#Data],$DE1188,89),0)</f>
        <v/>
      </c>
      <c r="CO1188">
        <f>IFERROR(INDEX(PP_Grid[#Data],$DE1188,90),0)</f>
        <v/>
      </c>
      <c r="CP1188">
        <f>IFERROR(INDEX(PP_Grid[#Data],$DE1188,91),0)</f>
        <v/>
      </c>
      <c r="CQ1188">
        <f>IFERROR(INDEX(PP_Grid[#Data],$DE1188,92),0)</f>
        <v/>
      </c>
      <c r="CR1188">
        <f>IFERROR(INDEX(PP_Grid[#Data],$DE1188,93),0)</f>
        <v/>
      </c>
      <c r="CS1188">
        <f>IFERROR(INDEX(PP_Grid[#Data],$DE1188,94),0)</f>
        <v/>
      </c>
      <c r="CT1188">
        <f>IFERROR(INDEX(PP_Grid[#Data],$DE1188,95),0)</f>
        <v/>
      </c>
      <c r="CU1188">
        <f>IFERROR(INDEX(PP_Grid[#Data],$DE1188,96),0)</f>
        <v/>
      </c>
      <c r="CV1188">
        <f>IFERROR(INDEX(PP_Grid[#Data],$DE1188,97),0)</f>
        <v/>
      </c>
      <c r="CW1188">
        <f>IFERROR(INDEX(PP_Grid[#Data],$DE1188,98),0)</f>
        <v/>
      </c>
      <c r="CX1188">
        <f>IFERROR(INDEX(PP_Grid[#Data],$DE1188,99),0)</f>
        <v/>
      </c>
      <c r="CY1188">
        <f>IFERROR(INDEX(PP_Grid[#Data],$DE1188,100),0)</f>
        <v/>
      </c>
      <c r="CZ1188">
        <f>IFERROR(INDEX(PP_Grid[#Data],$DE1188,101),0)</f>
        <v/>
      </c>
      <c r="DA1188">
        <f>IFERROR(INDEX(PP_Grid[#Data],$DE1188,102),0)</f>
        <v/>
      </c>
      <c r="DB1188">
        <f>IFERROR(INDEX(PP_Grid[#Data],$DE1188,103),0)</f>
        <v/>
      </c>
      <c r="DC1188">
        <f>IFERROR(INDEX(PP_Grid[#Data],$DE1188,104),0)</f>
        <v/>
      </c>
      <c r="DD1188">
        <f>IFERROR(INDEX(PP_Grid[#Data],$DE1188,105),0)</f>
        <v/>
      </c>
      <c r="DE1188" s="7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SUMIFS(M_BOM[RM_Qty_Per_Batch],M_BOM[Intermediate],$B1188,M_BOM[RM_Code],$A1173)</f>
        <v/>
      </c>
      <c r="D1189">
        <f>IFERROR(INDEX(E1189:DD1189,$F$1),"")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  <c r="DD1189">
        <f>$C1189*DD1188</f>
        <v/>
      </c>
    </row>
    <row r="1190">
      <c r="B1190" t="inlineStr">
        <is>
          <t>VSP-602</t>
        </is>
      </c>
      <c r="C1190" t="inlineStr">
        <is>
          <t>No. of batches</t>
        </is>
      </c>
      <c r="D1190">
        <f>IFERROR(INDEX(E1190:DD1190,$F$1),"")</f>
        <v/>
      </c>
      <c r="E1190">
        <f>IFERROR(INDEX(PP_Grid[#Data],$DE1190,2),0)</f>
        <v/>
      </c>
      <c r="F1190">
        <f>IFERROR(INDEX(PP_Grid[#Data],$DE1190,3),0)</f>
        <v/>
      </c>
      <c r="G1190">
        <f>IFERROR(INDEX(PP_Grid[#Data],$DE1190,4),0)</f>
        <v/>
      </c>
      <c r="H1190">
        <f>IFERROR(INDEX(PP_Grid[#Data],$DE1190,5),0)</f>
        <v/>
      </c>
      <c r="I1190">
        <f>IFERROR(INDEX(PP_Grid[#Data],$DE1190,6),0)</f>
        <v/>
      </c>
      <c r="J1190">
        <f>IFERROR(INDEX(PP_Grid[#Data],$DE1190,7),0)</f>
        <v/>
      </c>
      <c r="K1190">
        <f>IFERROR(INDEX(PP_Grid[#Data],$DE1190,8),0)</f>
        <v/>
      </c>
      <c r="L1190">
        <f>IFERROR(INDEX(PP_Grid[#Data],$DE1190,9),0)</f>
        <v/>
      </c>
      <c r="M1190">
        <f>IFERROR(INDEX(PP_Grid[#Data],$DE1190,10),0)</f>
        <v/>
      </c>
      <c r="N1190">
        <f>IFERROR(INDEX(PP_Grid[#Data],$DE1190,11),0)</f>
        <v/>
      </c>
      <c r="O1190">
        <f>IFERROR(INDEX(PP_Grid[#Data],$DE1190,12),0)</f>
        <v/>
      </c>
      <c r="P1190">
        <f>IFERROR(INDEX(PP_Grid[#Data],$DE1190,13),0)</f>
        <v/>
      </c>
      <c r="Q1190">
        <f>IFERROR(INDEX(PP_Grid[#Data],$DE1190,14),0)</f>
        <v/>
      </c>
      <c r="R1190">
        <f>IFERROR(INDEX(PP_Grid[#Data],$DE1190,15),0)</f>
        <v/>
      </c>
      <c r="S1190">
        <f>IFERROR(INDEX(PP_Grid[#Data],$DE1190,16),0)</f>
        <v/>
      </c>
      <c r="T1190">
        <f>IFERROR(INDEX(PP_Grid[#Data],$DE1190,17),0)</f>
        <v/>
      </c>
      <c r="U1190">
        <f>IFERROR(INDEX(PP_Grid[#Data],$DE1190,18),0)</f>
        <v/>
      </c>
      <c r="V1190">
        <f>IFERROR(INDEX(PP_Grid[#Data],$DE1190,19),0)</f>
        <v/>
      </c>
      <c r="W1190">
        <f>IFERROR(INDEX(PP_Grid[#Data],$DE1190,20),0)</f>
        <v/>
      </c>
      <c r="X1190">
        <f>IFERROR(INDEX(PP_Grid[#Data],$DE1190,21),0)</f>
        <v/>
      </c>
      <c r="Y1190">
        <f>IFERROR(INDEX(PP_Grid[#Data],$DE1190,22),0)</f>
        <v/>
      </c>
      <c r="Z1190">
        <f>IFERROR(INDEX(PP_Grid[#Data],$DE1190,23),0)</f>
        <v/>
      </c>
      <c r="AA1190">
        <f>IFERROR(INDEX(PP_Grid[#Data],$DE1190,24),0)</f>
        <v/>
      </c>
      <c r="AB1190">
        <f>IFERROR(INDEX(PP_Grid[#Data],$DE1190,25),0)</f>
        <v/>
      </c>
      <c r="AC1190">
        <f>IFERROR(INDEX(PP_Grid[#Data],$DE1190,26),0)</f>
        <v/>
      </c>
      <c r="AD1190">
        <f>IFERROR(INDEX(PP_Grid[#Data],$DE1190,27),0)</f>
        <v/>
      </c>
      <c r="AE1190">
        <f>IFERROR(INDEX(PP_Grid[#Data],$DE1190,28),0)</f>
        <v/>
      </c>
      <c r="AF1190">
        <f>IFERROR(INDEX(PP_Grid[#Data],$DE1190,29),0)</f>
        <v/>
      </c>
      <c r="AG1190">
        <f>IFERROR(INDEX(PP_Grid[#Data],$DE1190,30),0)</f>
        <v/>
      </c>
      <c r="AH1190">
        <f>IFERROR(INDEX(PP_Grid[#Data],$DE1190,31),0)</f>
        <v/>
      </c>
      <c r="AI1190">
        <f>IFERROR(INDEX(PP_Grid[#Data],$DE1190,32),0)</f>
        <v/>
      </c>
      <c r="AJ1190">
        <f>IFERROR(INDEX(PP_Grid[#Data],$DE1190,33),0)</f>
        <v/>
      </c>
      <c r="AK1190">
        <f>IFERROR(INDEX(PP_Grid[#Data],$DE1190,34),0)</f>
        <v/>
      </c>
      <c r="AL1190">
        <f>IFERROR(INDEX(PP_Grid[#Data],$DE1190,35),0)</f>
        <v/>
      </c>
      <c r="AM1190">
        <f>IFERROR(INDEX(PP_Grid[#Data],$DE1190,36),0)</f>
        <v/>
      </c>
      <c r="AN1190">
        <f>IFERROR(INDEX(PP_Grid[#Data],$DE1190,37),0)</f>
        <v/>
      </c>
      <c r="AO1190">
        <f>IFERROR(INDEX(PP_Grid[#Data],$DE1190,38),0)</f>
        <v/>
      </c>
      <c r="AP1190">
        <f>IFERROR(INDEX(PP_Grid[#Data],$DE1190,39),0)</f>
        <v/>
      </c>
      <c r="AQ1190">
        <f>IFERROR(INDEX(PP_Grid[#Data],$DE1190,40),0)</f>
        <v/>
      </c>
      <c r="AR1190">
        <f>IFERROR(INDEX(PP_Grid[#Data],$DE1190,41),0)</f>
        <v/>
      </c>
      <c r="AS1190">
        <f>IFERROR(INDEX(PP_Grid[#Data],$DE1190,42),0)</f>
        <v/>
      </c>
      <c r="AT1190">
        <f>IFERROR(INDEX(PP_Grid[#Data],$DE1190,43),0)</f>
        <v/>
      </c>
      <c r="AU1190">
        <f>IFERROR(INDEX(PP_Grid[#Data],$DE1190,44),0)</f>
        <v/>
      </c>
      <c r="AV1190">
        <f>IFERROR(INDEX(PP_Grid[#Data],$DE1190,45),0)</f>
        <v/>
      </c>
      <c r="AW1190">
        <f>IFERROR(INDEX(PP_Grid[#Data],$DE1190,46),0)</f>
        <v/>
      </c>
      <c r="AX1190">
        <f>IFERROR(INDEX(PP_Grid[#Data],$DE1190,47),0)</f>
        <v/>
      </c>
      <c r="AY1190">
        <f>IFERROR(INDEX(PP_Grid[#Data],$DE1190,48),0)</f>
        <v/>
      </c>
      <c r="AZ1190">
        <f>IFERROR(INDEX(PP_Grid[#Data],$DE1190,49),0)</f>
        <v/>
      </c>
      <c r="BA1190">
        <f>IFERROR(INDEX(PP_Grid[#Data],$DE1190,50),0)</f>
        <v/>
      </c>
      <c r="BB1190">
        <f>IFERROR(INDEX(PP_Grid[#Data],$DE1190,51),0)</f>
        <v/>
      </c>
      <c r="BC1190">
        <f>IFERROR(INDEX(PP_Grid[#Data],$DE1190,52),0)</f>
        <v/>
      </c>
      <c r="BD1190">
        <f>IFERROR(INDEX(PP_Grid[#Data],$DE1190,53),0)</f>
        <v/>
      </c>
      <c r="BE1190">
        <f>IFERROR(INDEX(PP_Grid[#Data],$DE1190,54),0)</f>
        <v/>
      </c>
      <c r="BF1190">
        <f>IFERROR(INDEX(PP_Grid[#Data],$DE1190,55),0)</f>
        <v/>
      </c>
      <c r="BG1190">
        <f>IFERROR(INDEX(PP_Grid[#Data],$DE1190,56),0)</f>
        <v/>
      </c>
      <c r="BH1190">
        <f>IFERROR(INDEX(PP_Grid[#Data],$DE1190,57),0)</f>
        <v/>
      </c>
      <c r="BI1190">
        <f>IFERROR(INDEX(PP_Grid[#Data],$DE1190,58),0)</f>
        <v/>
      </c>
      <c r="BJ1190">
        <f>IFERROR(INDEX(PP_Grid[#Data],$DE1190,59),0)</f>
        <v/>
      </c>
      <c r="BK1190">
        <f>IFERROR(INDEX(PP_Grid[#Data],$DE1190,60),0)</f>
        <v/>
      </c>
      <c r="BL1190">
        <f>IFERROR(INDEX(PP_Grid[#Data],$DE1190,61),0)</f>
        <v/>
      </c>
      <c r="BM1190">
        <f>IFERROR(INDEX(PP_Grid[#Data],$DE1190,62),0)</f>
        <v/>
      </c>
      <c r="BN1190">
        <f>IFERROR(INDEX(PP_Grid[#Data],$DE1190,63),0)</f>
        <v/>
      </c>
      <c r="BO1190">
        <f>IFERROR(INDEX(PP_Grid[#Data],$DE1190,64),0)</f>
        <v/>
      </c>
      <c r="BP1190">
        <f>IFERROR(INDEX(PP_Grid[#Data],$DE1190,65),0)</f>
        <v/>
      </c>
      <c r="BQ1190">
        <f>IFERROR(INDEX(PP_Grid[#Data],$DE1190,66),0)</f>
        <v/>
      </c>
      <c r="BR1190">
        <f>IFERROR(INDEX(PP_Grid[#Data],$DE1190,67),0)</f>
        <v/>
      </c>
      <c r="BS1190">
        <f>IFERROR(INDEX(PP_Grid[#Data],$DE1190,68),0)</f>
        <v/>
      </c>
      <c r="BT1190">
        <f>IFERROR(INDEX(PP_Grid[#Data],$DE1190,69),0)</f>
        <v/>
      </c>
      <c r="BU1190">
        <f>IFERROR(INDEX(PP_Grid[#Data],$DE1190,70),0)</f>
        <v/>
      </c>
      <c r="BV1190">
        <f>IFERROR(INDEX(PP_Grid[#Data],$DE1190,71),0)</f>
        <v/>
      </c>
      <c r="BW1190">
        <f>IFERROR(INDEX(PP_Grid[#Data],$DE1190,72),0)</f>
        <v/>
      </c>
      <c r="BX1190">
        <f>IFERROR(INDEX(PP_Grid[#Data],$DE1190,73),0)</f>
        <v/>
      </c>
      <c r="BY1190">
        <f>IFERROR(INDEX(PP_Grid[#Data],$DE1190,74),0)</f>
        <v/>
      </c>
      <c r="BZ1190">
        <f>IFERROR(INDEX(PP_Grid[#Data],$DE1190,75),0)</f>
        <v/>
      </c>
      <c r="CA1190">
        <f>IFERROR(INDEX(PP_Grid[#Data],$DE1190,76),0)</f>
        <v/>
      </c>
      <c r="CB1190">
        <f>IFERROR(INDEX(PP_Grid[#Data],$DE1190,77),0)</f>
        <v/>
      </c>
      <c r="CC1190">
        <f>IFERROR(INDEX(PP_Grid[#Data],$DE1190,78),0)</f>
        <v/>
      </c>
      <c r="CD1190">
        <f>IFERROR(INDEX(PP_Grid[#Data],$DE1190,79),0)</f>
        <v/>
      </c>
      <c r="CE1190">
        <f>IFERROR(INDEX(PP_Grid[#Data],$DE1190,80),0)</f>
        <v/>
      </c>
      <c r="CF1190">
        <f>IFERROR(INDEX(PP_Grid[#Data],$DE1190,81),0)</f>
        <v/>
      </c>
      <c r="CG1190">
        <f>IFERROR(INDEX(PP_Grid[#Data],$DE1190,82),0)</f>
        <v/>
      </c>
      <c r="CH1190">
        <f>IFERROR(INDEX(PP_Grid[#Data],$DE1190,83),0)</f>
        <v/>
      </c>
      <c r="CI1190">
        <f>IFERROR(INDEX(PP_Grid[#Data],$DE1190,84),0)</f>
        <v/>
      </c>
      <c r="CJ1190">
        <f>IFERROR(INDEX(PP_Grid[#Data],$DE1190,85),0)</f>
        <v/>
      </c>
      <c r="CK1190">
        <f>IFERROR(INDEX(PP_Grid[#Data],$DE1190,86),0)</f>
        <v/>
      </c>
      <c r="CL1190">
        <f>IFERROR(INDEX(PP_Grid[#Data],$DE1190,87),0)</f>
        <v/>
      </c>
      <c r="CM1190">
        <f>IFERROR(INDEX(PP_Grid[#Data],$DE1190,88),0)</f>
        <v/>
      </c>
      <c r="CN1190">
        <f>IFERROR(INDEX(PP_Grid[#Data],$DE1190,89),0)</f>
        <v/>
      </c>
      <c r="CO1190">
        <f>IFERROR(INDEX(PP_Grid[#Data],$DE1190,90),0)</f>
        <v/>
      </c>
      <c r="CP1190">
        <f>IFERROR(INDEX(PP_Grid[#Data],$DE1190,91),0)</f>
        <v/>
      </c>
      <c r="CQ1190">
        <f>IFERROR(INDEX(PP_Grid[#Data],$DE1190,92),0)</f>
        <v/>
      </c>
      <c r="CR1190">
        <f>IFERROR(INDEX(PP_Grid[#Data],$DE1190,93),0)</f>
        <v/>
      </c>
      <c r="CS1190">
        <f>IFERROR(INDEX(PP_Grid[#Data],$DE1190,94),0)</f>
        <v/>
      </c>
      <c r="CT1190">
        <f>IFERROR(INDEX(PP_Grid[#Data],$DE1190,95),0)</f>
        <v/>
      </c>
      <c r="CU1190">
        <f>IFERROR(INDEX(PP_Grid[#Data],$DE1190,96),0)</f>
        <v/>
      </c>
      <c r="CV1190">
        <f>IFERROR(INDEX(PP_Grid[#Data],$DE1190,97),0)</f>
        <v/>
      </c>
      <c r="CW1190">
        <f>IFERROR(INDEX(PP_Grid[#Data],$DE1190,98),0)</f>
        <v/>
      </c>
      <c r="CX1190">
        <f>IFERROR(INDEX(PP_Grid[#Data],$DE1190,99),0)</f>
        <v/>
      </c>
      <c r="CY1190">
        <f>IFERROR(INDEX(PP_Grid[#Data],$DE1190,100),0)</f>
        <v/>
      </c>
      <c r="CZ1190">
        <f>IFERROR(INDEX(PP_Grid[#Data],$DE1190,101),0)</f>
        <v/>
      </c>
      <c r="DA1190">
        <f>IFERROR(INDEX(PP_Grid[#Data],$DE1190,102),0)</f>
        <v/>
      </c>
      <c r="DB1190">
        <f>IFERROR(INDEX(PP_Grid[#Data],$DE1190,103),0)</f>
        <v/>
      </c>
      <c r="DC1190">
        <f>IFERROR(INDEX(PP_Grid[#Data],$DE1190,104),0)</f>
        <v/>
      </c>
      <c r="DD1190">
        <f>IFERROR(INDEX(PP_Grid[#Data],$DE1190,105),0)</f>
        <v/>
      </c>
      <c r="DE1190" s="7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SUMIFS(M_BOM[RM_Qty_Per_Batch],M_BOM[Intermediate],$B1190,M_BOM[RM_Code],$A1173)</f>
        <v/>
      </c>
      <c r="D1191">
        <f>IFERROR(INDEX(E1191:DD1191,$F$1),"")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  <c r="DD1191">
        <f>$C1191*DD1190</f>
        <v/>
      </c>
    </row>
    <row r="1192">
      <c r="B1192" t="inlineStr">
        <is>
          <t>VSP-605</t>
        </is>
      </c>
      <c r="C1192" t="inlineStr">
        <is>
          <t>No. of batches</t>
        </is>
      </c>
      <c r="D1192">
        <f>IFERROR(INDEX(E1192:DD1192,$F$1),"")</f>
        <v/>
      </c>
      <c r="E1192">
        <f>IFERROR(INDEX(PP_Grid[#Data],$DE1192,2),0)</f>
        <v/>
      </c>
      <c r="F1192">
        <f>IFERROR(INDEX(PP_Grid[#Data],$DE1192,3),0)</f>
        <v/>
      </c>
      <c r="G1192">
        <f>IFERROR(INDEX(PP_Grid[#Data],$DE1192,4),0)</f>
        <v/>
      </c>
      <c r="H1192">
        <f>IFERROR(INDEX(PP_Grid[#Data],$DE1192,5),0)</f>
        <v/>
      </c>
      <c r="I1192">
        <f>IFERROR(INDEX(PP_Grid[#Data],$DE1192,6),0)</f>
        <v/>
      </c>
      <c r="J1192">
        <f>IFERROR(INDEX(PP_Grid[#Data],$DE1192,7),0)</f>
        <v/>
      </c>
      <c r="K1192">
        <f>IFERROR(INDEX(PP_Grid[#Data],$DE1192,8),0)</f>
        <v/>
      </c>
      <c r="L1192">
        <f>IFERROR(INDEX(PP_Grid[#Data],$DE1192,9),0)</f>
        <v/>
      </c>
      <c r="M1192">
        <f>IFERROR(INDEX(PP_Grid[#Data],$DE1192,10),0)</f>
        <v/>
      </c>
      <c r="N1192">
        <f>IFERROR(INDEX(PP_Grid[#Data],$DE1192,11),0)</f>
        <v/>
      </c>
      <c r="O1192">
        <f>IFERROR(INDEX(PP_Grid[#Data],$DE1192,12),0)</f>
        <v/>
      </c>
      <c r="P1192">
        <f>IFERROR(INDEX(PP_Grid[#Data],$DE1192,13),0)</f>
        <v/>
      </c>
      <c r="Q1192">
        <f>IFERROR(INDEX(PP_Grid[#Data],$DE1192,14),0)</f>
        <v/>
      </c>
      <c r="R1192">
        <f>IFERROR(INDEX(PP_Grid[#Data],$DE1192,15),0)</f>
        <v/>
      </c>
      <c r="S1192">
        <f>IFERROR(INDEX(PP_Grid[#Data],$DE1192,16),0)</f>
        <v/>
      </c>
      <c r="T1192">
        <f>IFERROR(INDEX(PP_Grid[#Data],$DE1192,17),0)</f>
        <v/>
      </c>
      <c r="U1192">
        <f>IFERROR(INDEX(PP_Grid[#Data],$DE1192,18),0)</f>
        <v/>
      </c>
      <c r="V1192">
        <f>IFERROR(INDEX(PP_Grid[#Data],$DE1192,19),0)</f>
        <v/>
      </c>
      <c r="W1192">
        <f>IFERROR(INDEX(PP_Grid[#Data],$DE1192,20),0)</f>
        <v/>
      </c>
      <c r="X1192">
        <f>IFERROR(INDEX(PP_Grid[#Data],$DE1192,21),0)</f>
        <v/>
      </c>
      <c r="Y1192">
        <f>IFERROR(INDEX(PP_Grid[#Data],$DE1192,22),0)</f>
        <v/>
      </c>
      <c r="Z1192">
        <f>IFERROR(INDEX(PP_Grid[#Data],$DE1192,23),0)</f>
        <v/>
      </c>
      <c r="AA1192">
        <f>IFERROR(INDEX(PP_Grid[#Data],$DE1192,24),0)</f>
        <v/>
      </c>
      <c r="AB1192">
        <f>IFERROR(INDEX(PP_Grid[#Data],$DE1192,25),0)</f>
        <v/>
      </c>
      <c r="AC1192">
        <f>IFERROR(INDEX(PP_Grid[#Data],$DE1192,26),0)</f>
        <v/>
      </c>
      <c r="AD1192">
        <f>IFERROR(INDEX(PP_Grid[#Data],$DE1192,27),0)</f>
        <v/>
      </c>
      <c r="AE1192">
        <f>IFERROR(INDEX(PP_Grid[#Data],$DE1192,28),0)</f>
        <v/>
      </c>
      <c r="AF1192">
        <f>IFERROR(INDEX(PP_Grid[#Data],$DE1192,29),0)</f>
        <v/>
      </c>
      <c r="AG1192">
        <f>IFERROR(INDEX(PP_Grid[#Data],$DE1192,30),0)</f>
        <v/>
      </c>
      <c r="AH1192">
        <f>IFERROR(INDEX(PP_Grid[#Data],$DE1192,31),0)</f>
        <v/>
      </c>
      <c r="AI1192">
        <f>IFERROR(INDEX(PP_Grid[#Data],$DE1192,32),0)</f>
        <v/>
      </c>
      <c r="AJ1192">
        <f>IFERROR(INDEX(PP_Grid[#Data],$DE1192,33),0)</f>
        <v/>
      </c>
      <c r="AK1192">
        <f>IFERROR(INDEX(PP_Grid[#Data],$DE1192,34),0)</f>
        <v/>
      </c>
      <c r="AL1192">
        <f>IFERROR(INDEX(PP_Grid[#Data],$DE1192,35),0)</f>
        <v/>
      </c>
      <c r="AM1192">
        <f>IFERROR(INDEX(PP_Grid[#Data],$DE1192,36),0)</f>
        <v/>
      </c>
      <c r="AN1192">
        <f>IFERROR(INDEX(PP_Grid[#Data],$DE1192,37),0)</f>
        <v/>
      </c>
      <c r="AO1192">
        <f>IFERROR(INDEX(PP_Grid[#Data],$DE1192,38),0)</f>
        <v/>
      </c>
      <c r="AP1192">
        <f>IFERROR(INDEX(PP_Grid[#Data],$DE1192,39),0)</f>
        <v/>
      </c>
      <c r="AQ1192">
        <f>IFERROR(INDEX(PP_Grid[#Data],$DE1192,40),0)</f>
        <v/>
      </c>
      <c r="AR1192">
        <f>IFERROR(INDEX(PP_Grid[#Data],$DE1192,41),0)</f>
        <v/>
      </c>
      <c r="AS1192">
        <f>IFERROR(INDEX(PP_Grid[#Data],$DE1192,42),0)</f>
        <v/>
      </c>
      <c r="AT1192">
        <f>IFERROR(INDEX(PP_Grid[#Data],$DE1192,43),0)</f>
        <v/>
      </c>
      <c r="AU1192">
        <f>IFERROR(INDEX(PP_Grid[#Data],$DE1192,44),0)</f>
        <v/>
      </c>
      <c r="AV1192">
        <f>IFERROR(INDEX(PP_Grid[#Data],$DE1192,45),0)</f>
        <v/>
      </c>
      <c r="AW1192">
        <f>IFERROR(INDEX(PP_Grid[#Data],$DE1192,46),0)</f>
        <v/>
      </c>
      <c r="AX1192">
        <f>IFERROR(INDEX(PP_Grid[#Data],$DE1192,47),0)</f>
        <v/>
      </c>
      <c r="AY1192">
        <f>IFERROR(INDEX(PP_Grid[#Data],$DE1192,48),0)</f>
        <v/>
      </c>
      <c r="AZ1192">
        <f>IFERROR(INDEX(PP_Grid[#Data],$DE1192,49),0)</f>
        <v/>
      </c>
      <c r="BA1192">
        <f>IFERROR(INDEX(PP_Grid[#Data],$DE1192,50),0)</f>
        <v/>
      </c>
      <c r="BB1192">
        <f>IFERROR(INDEX(PP_Grid[#Data],$DE1192,51),0)</f>
        <v/>
      </c>
      <c r="BC1192">
        <f>IFERROR(INDEX(PP_Grid[#Data],$DE1192,52),0)</f>
        <v/>
      </c>
      <c r="BD1192">
        <f>IFERROR(INDEX(PP_Grid[#Data],$DE1192,53),0)</f>
        <v/>
      </c>
      <c r="BE1192">
        <f>IFERROR(INDEX(PP_Grid[#Data],$DE1192,54),0)</f>
        <v/>
      </c>
      <c r="BF1192">
        <f>IFERROR(INDEX(PP_Grid[#Data],$DE1192,55),0)</f>
        <v/>
      </c>
      <c r="BG1192">
        <f>IFERROR(INDEX(PP_Grid[#Data],$DE1192,56),0)</f>
        <v/>
      </c>
      <c r="BH1192">
        <f>IFERROR(INDEX(PP_Grid[#Data],$DE1192,57),0)</f>
        <v/>
      </c>
      <c r="BI1192">
        <f>IFERROR(INDEX(PP_Grid[#Data],$DE1192,58),0)</f>
        <v/>
      </c>
      <c r="BJ1192">
        <f>IFERROR(INDEX(PP_Grid[#Data],$DE1192,59),0)</f>
        <v/>
      </c>
      <c r="BK1192">
        <f>IFERROR(INDEX(PP_Grid[#Data],$DE1192,60),0)</f>
        <v/>
      </c>
      <c r="BL1192">
        <f>IFERROR(INDEX(PP_Grid[#Data],$DE1192,61),0)</f>
        <v/>
      </c>
      <c r="BM1192">
        <f>IFERROR(INDEX(PP_Grid[#Data],$DE1192,62),0)</f>
        <v/>
      </c>
      <c r="BN1192">
        <f>IFERROR(INDEX(PP_Grid[#Data],$DE1192,63),0)</f>
        <v/>
      </c>
      <c r="BO1192">
        <f>IFERROR(INDEX(PP_Grid[#Data],$DE1192,64),0)</f>
        <v/>
      </c>
      <c r="BP1192">
        <f>IFERROR(INDEX(PP_Grid[#Data],$DE1192,65),0)</f>
        <v/>
      </c>
      <c r="BQ1192">
        <f>IFERROR(INDEX(PP_Grid[#Data],$DE1192,66),0)</f>
        <v/>
      </c>
      <c r="BR1192">
        <f>IFERROR(INDEX(PP_Grid[#Data],$DE1192,67),0)</f>
        <v/>
      </c>
      <c r="BS1192">
        <f>IFERROR(INDEX(PP_Grid[#Data],$DE1192,68),0)</f>
        <v/>
      </c>
      <c r="BT1192">
        <f>IFERROR(INDEX(PP_Grid[#Data],$DE1192,69),0)</f>
        <v/>
      </c>
      <c r="BU1192">
        <f>IFERROR(INDEX(PP_Grid[#Data],$DE1192,70),0)</f>
        <v/>
      </c>
      <c r="BV1192">
        <f>IFERROR(INDEX(PP_Grid[#Data],$DE1192,71),0)</f>
        <v/>
      </c>
      <c r="BW1192">
        <f>IFERROR(INDEX(PP_Grid[#Data],$DE1192,72),0)</f>
        <v/>
      </c>
      <c r="BX1192">
        <f>IFERROR(INDEX(PP_Grid[#Data],$DE1192,73),0)</f>
        <v/>
      </c>
      <c r="BY1192">
        <f>IFERROR(INDEX(PP_Grid[#Data],$DE1192,74),0)</f>
        <v/>
      </c>
      <c r="BZ1192">
        <f>IFERROR(INDEX(PP_Grid[#Data],$DE1192,75),0)</f>
        <v/>
      </c>
      <c r="CA1192">
        <f>IFERROR(INDEX(PP_Grid[#Data],$DE1192,76),0)</f>
        <v/>
      </c>
      <c r="CB1192">
        <f>IFERROR(INDEX(PP_Grid[#Data],$DE1192,77),0)</f>
        <v/>
      </c>
      <c r="CC1192">
        <f>IFERROR(INDEX(PP_Grid[#Data],$DE1192,78),0)</f>
        <v/>
      </c>
      <c r="CD1192">
        <f>IFERROR(INDEX(PP_Grid[#Data],$DE1192,79),0)</f>
        <v/>
      </c>
      <c r="CE1192">
        <f>IFERROR(INDEX(PP_Grid[#Data],$DE1192,80),0)</f>
        <v/>
      </c>
      <c r="CF1192">
        <f>IFERROR(INDEX(PP_Grid[#Data],$DE1192,81),0)</f>
        <v/>
      </c>
      <c r="CG1192">
        <f>IFERROR(INDEX(PP_Grid[#Data],$DE1192,82),0)</f>
        <v/>
      </c>
      <c r="CH1192">
        <f>IFERROR(INDEX(PP_Grid[#Data],$DE1192,83),0)</f>
        <v/>
      </c>
      <c r="CI1192">
        <f>IFERROR(INDEX(PP_Grid[#Data],$DE1192,84),0)</f>
        <v/>
      </c>
      <c r="CJ1192">
        <f>IFERROR(INDEX(PP_Grid[#Data],$DE1192,85),0)</f>
        <v/>
      </c>
      <c r="CK1192">
        <f>IFERROR(INDEX(PP_Grid[#Data],$DE1192,86),0)</f>
        <v/>
      </c>
      <c r="CL1192">
        <f>IFERROR(INDEX(PP_Grid[#Data],$DE1192,87),0)</f>
        <v/>
      </c>
      <c r="CM1192">
        <f>IFERROR(INDEX(PP_Grid[#Data],$DE1192,88),0)</f>
        <v/>
      </c>
      <c r="CN1192">
        <f>IFERROR(INDEX(PP_Grid[#Data],$DE1192,89),0)</f>
        <v/>
      </c>
      <c r="CO1192">
        <f>IFERROR(INDEX(PP_Grid[#Data],$DE1192,90),0)</f>
        <v/>
      </c>
      <c r="CP1192">
        <f>IFERROR(INDEX(PP_Grid[#Data],$DE1192,91),0)</f>
        <v/>
      </c>
      <c r="CQ1192">
        <f>IFERROR(INDEX(PP_Grid[#Data],$DE1192,92),0)</f>
        <v/>
      </c>
      <c r="CR1192">
        <f>IFERROR(INDEX(PP_Grid[#Data],$DE1192,93),0)</f>
        <v/>
      </c>
      <c r="CS1192">
        <f>IFERROR(INDEX(PP_Grid[#Data],$DE1192,94),0)</f>
        <v/>
      </c>
      <c r="CT1192">
        <f>IFERROR(INDEX(PP_Grid[#Data],$DE1192,95),0)</f>
        <v/>
      </c>
      <c r="CU1192">
        <f>IFERROR(INDEX(PP_Grid[#Data],$DE1192,96),0)</f>
        <v/>
      </c>
      <c r="CV1192">
        <f>IFERROR(INDEX(PP_Grid[#Data],$DE1192,97),0)</f>
        <v/>
      </c>
      <c r="CW1192">
        <f>IFERROR(INDEX(PP_Grid[#Data],$DE1192,98),0)</f>
        <v/>
      </c>
      <c r="CX1192">
        <f>IFERROR(INDEX(PP_Grid[#Data],$DE1192,99),0)</f>
        <v/>
      </c>
      <c r="CY1192">
        <f>IFERROR(INDEX(PP_Grid[#Data],$DE1192,100),0)</f>
        <v/>
      </c>
      <c r="CZ1192">
        <f>IFERROR(INDEX(PP_Grid[#Data],$DE1192,101),0)</f>
        <v/>
      </c>
      <c r="DA1192">
        <f>IFERROR(INDEX(PP_Grid[#Data],$DE1192,102),0)</f>
        <v/>
      </c>
      <c r="DB1192">
        <f>IFERROR(INDEX(PP_Grid[#Data],$DE1192,103),0)</f>
        <v/>
      </c>
      <c r="DC1192">
        <f>IFERROR(INDEX(PP_Grid[#Data],$DE1192,104),0)</f>
        <v/>
      </c>
      <c r="DD1192">
        <f>IFERROR(INDEX(PP_Grid[#Data],$DE1192,105),0)</f>
        <v/>
      </c>
      <c r="DE1192" s="7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SUMIFS(M_BOM[RM_Qty_Per_Batch],M_BOM[Intermediate],$B1192,M_BOM[RM_Code],$A1173)</f>
        <v/>
      </c>
      <c r="D1193">
        <f>IFERROR(INDEX(E1193:DD1193,$F$1),"")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  <c r="DD1193">
        <f>$C1193*DD1192</f>
        <v/>
      </c>
    </row>
    <row r="1194">
      <c r="B1194" t="inlineStr">
        <is>
          <t>VSP-607</t>
        </is>
      </c>
      <c r="C1194" t="inlineStr">
        <is>
          <t>No. of batches</t>
        </is>
      </c>
      <c r="D1194">
        <f>IFERROR(INDEX(E1194:DD1194,$F$1),"")</f>
        <v/>
      </c>
      <c r="E1194">
        <f>IFERROR(INDEX(PP_Grid[#Data],$DE1194,2),0)</f>
        <v/>
      </c>
      <c r="F1194">
        <f>IFERROR(INDEX(PP_Grid[#Data],$DE1194,3),0)</f>
        <v/>
      </c>
      <c r="G1194">
        <f>IFERROR(INDEX(PP_Grid[#Data],$DE1194,4),0)</f>
        <v/>
      </c>
      <c r="H1194">
        <f>IFERROR(INDEX(PP_Grid[#Data],$DE1194,5),0)</f>
        <v/>
      </c>
      <c r="I1194">
        <f>IFERROR(INDEX(PP_Grid[#Data],$DE1194,6),0)</f>
        <v/>
      </c>
      <c r="J1194">
        <f>IFERROR(INDEX(PP_Grid[#Data],$DE1194,7),0)</f>
        <v/>
      </c>
      <c r="K1194">
        <f>IFERROR(INDEX(PP_Grid[#Data],$DE1194,8),0)</f>
        <v/>
      </c>
      <c r="L1194">
        <f>IFERROR(INDEX(PP_Grid[#Data],$DE1194,9),0)</f>
        <v/>
      </c>
      <c r="M1194">
        <f>IFERROR(INDEX(PP_Grid[#Data],$DE1194,10),0)</f>
        <v/>
      </c>
      <c r="N1194">
        <f>IFERROR(INDEX(PP_Grid[#Data],$DE1194,11),0)</f>
        <v/>
      </c>
      <c r="O1194">
        <f>IFERROR(INDEX(PP_Grid[#Data],$DE1194,12),0)</f>
        <v/>
      </c>
      <c r="P1194">
        <f>IFERROR(INDEX(PP_Grid[#Data],$DE1194,13),0)</f>
        <v/>
      </c>
      <c r="Q1194">
        <f>IFERROR(INDEX(PP_Grid[#Data],$DE1194,14),0)</f>
        <v/>
      </c>
      <c r="R1194">
        <f>IFERROR(INDEX(PP_Grid[#Data],$DE1194,15),0)</f>
        <v/>
      </c>
      <c r="S1194">
        <f>IFERROR(INDEX(PP_Grid[#Data],$DE1194,16),0)</f>
        <v/>
      </c>
      <c r="T1194">
        <f>IFERROR(INDEX(PP_Grid[#Data],$DE1194,17),0)</f>
        <v/>
      </c>
      <c r="U1194">
        <f>IFERROR(INDEX(PP_Grid[#Data],$DE1194,18),0)</f>
        <v/>
      </c>
      <c r="V1194">
        <f>IFERROR(INDEX(PP_Grid[#Data],$DE1194,19),0)</f>
        <v/>
      </c>
      <c r="W1194">
        <f>IFERROR(INDEX(PP_Grid[#Data],$DE1194,20),0)</f>
        <v/>
      </c>
      <c r="X1194">
        <f>IFERROR(INDEX(PP_Grid[#Data],$DE1194,21),0)</f>
        <v/>
      </c>
      <c r="Y1194">
        <f>IFERROR(INDEX(PP_Grid[#Data],$DE1194,22),0)</f>
        <v/>
      </c>
      <c r="Z1194">
        <f>IFERROR(INDEX(PP_Grid[#Data],$DE1194,23),0)</f>
        <v/>
      </c>
      <c r="AA1194">
        <f>IFERROR(INDEX(PP_Grid[#Data],$DE1194,24),0)</f>
        <v/>
      </c>
      <c r="AB1194">
        <f>IFERROR(INDEX(PP_Grid[#Data],$DE1194,25),0)</f>
        <v/>
      </c>
      <c r="AC1194">
        <f>IFERROR(INDEX(PP_Grid[#Data],$DE1194,26),0)</f>
        <v/>
      </c>
      <c r="AD1194">
        <f>IFERROR(INDEX(PP_Grid[#Data],$DE1194,27),0)</f>
        <v/>
      </c>
      <c r="AE1194">
        <f>IFERROR(INDEX(PP_Grid[#Data],$DE1194,28),0)</f>
        <v/>
      </c>
      <c r="AF1194">
        <f>IFERROR(INDEX(PP_Grid[#Data],$DE1194,29),0)</f>
        <v/>
      </c>
      <c r="AG1194">
        <f>IFERROR(INDEX(PP_Grid[#Data],$DE1194,30),0)</f>
        <v/>
      </c>
      <c r="AH1194">
        <f>IFERROR(INDEX(PP_Grid[#Data],$DE1194,31),0)</f>
        <v/>
      </c>
      <c r="AI1194">
        <f>IFERROR(INDEX(PP_Grid[#Data],$DE1194,32),0)</f>
        <v/>
      </c>
      <c r="AJ1194">
        <f>IFERROR(INDEX(PP_Grid[#Data],$DE1194,33),0)</f>
        <v/>
      </c>
      <c r="AK1194">
        <f>IFERROR(INDEX(PP_Grid[#Data],$DE1194,34),0)</f>
        <v/>
      </c>
      <c r="AL1194">
        <f>IFERROR(INDEX(PP_Grid[#Data],$DE1194,35),0)</f>
        <v/>
      </c>
      <c r="AM1194">
        <f>IFERROR(INDEX(PP_Grid[#Data],$DE1194,36),0)</f>
        <v/>
      </c>
      <c r="AN1194">
        <f>IFERROR(INDEX(PP_Grid[#Data],$DE1194,37),0)</f>
        <v/>
      </c>
      <c r="AO1194">
        <f>IFERROR(INDEX(PP_Grid[#Data],$DE1194,38),0)</f>
        <v/>
      </c>
      <c r="AP1194">
        <f>IFERROR(INDEX(PP_Grid[#Data],$DE1194,39),0)</f>
        <v/>
      </c>
      <c r="AQ1194">
        <f>IFERROR(INDEX(PP_Grid[#Data],$DE1194,40),0)</f>
        <v/>
      </c>
      <c r="AR1194">
        <f>IFERROR(INDEX(PP_Grid[#Data],$DE1194,41),0)</f>
        <v/>
      </c>
      <c r="AS1194">
        <f>IFERROR(INDEX(PP_Grid[#Data],$DE1194,42),0)</f>
        <v/>
      </c>
      <c r="AT1194">
        <f>IFERROR(INDEX(PP_Grid[#Data],$DE1194,43),0)</f>
        <v/>
      </c>
      <c r="AU1194">
        <f>IFERROR(INDEX(PP_Grid[#Data],$DE1194,44),0)</f>
        <v/>
      </c>
      <c r="AV1194">
        <f>IFERROR(INDEX(PP_Grid[#Data],$DE1194,45),0)</f>
        <v/>
      </c>
      <c r="AW1194">
        <f>IFERROR(INDEX(PP_Grid[#Data],$DE1194,46),0)</f>
        <v/>
      </c>
      <c r="AX1194">
        <f>IFERROR(INDEX(PP_Grid[#Data],$DE1194,47),0)</f>
        <v/>
      </c>
      <c r="AY1194">
        <f>IFERROR(INDEX(PP_Grid[#Data],$DE1194,48),0)</f>
        <v/>
      </c>
      <c r="AZ1194">
        <f>IFERROR(INDEX(PP_Grid[#Data],$DE1194,49),0)</f>
        <v/>
      </c>
      <c r="BA1194">
        <f>IFERROR(INDEX(PP_Grid[#Data],$DE1194,50),0)</f>
        <v/>
      </c>
      <c r="BB1194">
        <f>IFERROR(INDEX(PP_Grid[#Data],$DE1194,51),0)</f>
        <v/>
      </c>
      <c r="BC1194">
        <f>IFERROR(INDEX(PP_Grid[#Data],$DE1194,52),0)</f>
        <v/>
      </c>
      <c r="BD1194">
        <f>IFERROR(INDEX(PP_Grid[#Data],$DE1194,53),0)</f>
        <v/>
      </c>
      <c r="BE1194">
        <f>IFERROR(INDEX(PP_Grid[#Data],$DE1194,54),0)</f>
        <v/>
      </c>
      <c r="BF1194">
        <f>IFERROR(INDEX(PP_Grid[#Data],$DE1194,55),0)</f>
        <v/>
      </c>
      <c r="BG1194">
        <f>IFERROR(INDEX(PP_Grid[#Data],$DE1194,56),0)</f>
        <v/>
      </c>
      <c r="BH1194">
        <f>IFERROR(INDEX(PP_Grid[#Data],$DE1194,57),0)</f>
        <v/>
      </c>
      <c r="BI1194">
        <f>IFERROR(INDEX(PP_Grid[#Data],$DE1194,58),0)</f>
        <v/>
      </c>
      <c r="BJ1194">
        <f>IFERROR(INDEX(PP_Grid[#Data],$DE1194,59),0)</f>
        <v/>
      </c>
      <c r="BK1194">
        <f>IFERROR(INDEX(PP_Grid[#Data],$DE1194,60),0)</f>
        <v/>
      </c>
      <c r="BL1194">
        <f>IFERROR(INDEX(PP_Grid[#Data],$DE1194,61),0)</f>
        <v/>
      </c>
      <c r="BM1194">
        <f>IFERROR(INDEX(PP_Grid[#Data],$DE1194,62),0)</f>
        <v/>
      </c>
      <c r="BN1194">
        <f>IFERROR(INDEX(PP_Grid[#Data],$DE1194,63),0)</f>
        <v/>
      </c>
      <c r="BO1194">
        <f>IFERROR(INDEX(PP_Grid[#Data],$DE1194,64),0)</f>
        <v/>
      </c>
      <c r="BP1194">
        <f>IFERROR(INDEX(PP_Grid[#Data],$DE1194,65),0)</f>
        <v/>
      </c>
      <c r="BQ1194">
        <f>IFERROR(INDEX(PP_Grid[#Data],$DE1194,66),0)</f>
        <v/>
      </c>
      <c r="BR1194">
        <f>IFERROR(INDEX(PP_Grid[#Data],$DE1194,67),0)</f>
        <v/>
      </c>
      <c r="BS1194">
        <f>IFERROR(INDEX(PP_Grid[#Data],$DE1194,68),0)</f>
        <v/>
      </c>
      <c r="BT1194">
        <f>IFERROR(INDEX(PP_Grid[#Data],$DE1194,69),0)</f>
        <v/>
      </c>
      <c r="BU1194">
        <f>IFERROR(INDEX(PP_Grid[#Data],$DE1194,70),0)</f>
        <v/>
      </c>
      <c r="BV1194">
        <f>IFERROR(INDEX(PP_Grid[#Data],$DE1194,71),0)</f>
        <v/>
      </c>
      <c r="BW1194">
        <f>IFERROR(INDEX(PP_Grid[#Data],$DE1194,72),0)</f>
        <v/>
      </c>
      <c r="BX1194">
        <f>IFERROR(INDEX(PP_Grid[#Data],$DE1194,73),0)</f>
        <v/>
      </c>
      <c r="BY1194">
        <f>IFERROR(INDEX(PP_Grid[#Data],$DE1194,74),0)</f>
        <v/>
      </c>
      <c r="BZ1194">
        <f>IFERROR(INDEX(PP_Grid[#Data],$DE1194,75),0)</f>
        <v/>
      </c>
      <c r="CA1194">
        <f>IFERROR(INDEX(PP_Grid[#Data],$DE1194,76),0)</f>
        <v/>
      </c>
      <c r="CB1194">
        <f>IFERROR(INDEX(PP_Grid[#Data],$DE1194,77),0)</f>
        <v/>
      </c>
      <c r="CC1194">
        <f>IFERROR(INDEX(PP_Grid[#Data],$DE1194,78),0)</f>
        <v/>
      </c>
      <c r="CD1194">
        <f>IFERROR(INDEX(PP_Grid[#Data],$DE1194,79),0)</f>
        <v/>
      </c>
      <c r="CE1194">
        <f>IFERROR(INDEX(PP_Grid[#Data],$DE1194,80),0)</f>
        <v/>
      </c>
      <c r="CF1194">
        <f>IFERROR(INDEX(PP_Grid[#Data],$DE1194,81),0)</f>
        <v/>
      </c>
      <c r="CG1194">
        <f>IFERROR(INDEX(PP_Grid[#Data],$DE1194,82),0)</f>
        <v/>
      </c>
      <c r="CH1194">
        <f>IFERROR(INDEX(PP_Grid[#Data],$DE1194,83),0)</f>
        <v/>
      </c>
      <c r="CI1194">
        <f>IFERROR(INDEX(PP_Grid[#Data],$DE1194,84),0)</f>
        <v/>
      </c>
      <c r="CJ1194">
        <f>IFERROR(INDEX(PP_Grid[#Data],$DE1194,85),0)</f>
        <v/>
      </c>
      <c r="CK1194">
        <f>IFERROR(INDEX(PP_Grid[#Data],$DE1194,86),0)</f>
        <v/>
      </c>
      <c r="CL1194">
        <f>IFERROR(INDEX(PP_Grid[#Data],$DE1194,87),0)</f>
        <v/>
      </c>
      <c r="CM1194">
        <f>IFERROR(INDEX(PP_Grid[#Data],$DE1194,88),0)</f>
        <v/>
      </c>
      <c r="CN1194">
        <f>IFERROR(INDEX(PP_Grid[#Data],$DE1194,89),0)</f>
        <v/>
      </c>
      <c r="CO1194">
        <f>IFERROR(INDEX(PP_Grid[#Data],$DE1194,90),0)</f>
        <v/>
      </c>
      <c r="CP1194">
        <f>IFERROR(INDEX(PP_Grid[#Data],$DE1194,91),0)</f>
        <v/>
      </c>
      <c r="CQ1194">
        <f>IFERROR(INDEX(PP_Grid[#Data],$DE1194,92),0)</f>
        <v/>
      </c>
      <c r="CR1194">
        <f>IFERROR(INDEX(PP_Grid[#Data],$DE1194,93),0)</f>
        <v/>
      </c>
      <c r="CS1194">
        <f>IFERROR(INDEX(PP_Grid[#Data],$DE1194,94),0)</f>
        <v/>
      </c>
      <c r="CT1194">
        <f>IFERROR(INDEX(PP_Grid[#Data],$DE1194,95),0)</f>
        <v/>
      </c>
      <c r="CU1194">
        <f>IFERROR(INDEX(PP_Grid[#Data],$DE1194,96),0)</f>
        <v/>
      </c>
      <c r="CV1194">
        <f>IFERROR(INDEX(PP_Grid[#Data],$DE1194,97),0)</f>
        <v/>
      </c>
      <c r="CW1194">
        <f>IFERROR(INDEX(PP_Grid[#Data],$DE1194,98),0)</f>
        <v/>
      </c>
      <c r="CX1194">
        <f>IFERROR(INDEX(PP_Grid[#Data],$DE1194,99),0)</f>
        <v/>
      </c>
      <c r="CY1194">
        <f>IFERROR(INDEX(PP_Grid[#Data],$DE1194,100),0)</f>
        <v/>
      </c>
      <c r="CZ1194">
        <f>IFERROR(INDEX(PP_Grid[#Data],$DE1194,101),0)</f>
        <v/>
      </c>
      <c r="DA1194">
        <f>IFERROR(INDEX(PP_Grid[#Data],$DE1194,102),0)</f>
        <v/>
      </c>
      <c r="DB1194">
        <f>IFERROR(INDEX(PP_Grid[#Data],$DE1194,103),0)</f>
        <v/>
      </c>
      <c r="DC1194">
        <f>IFERROR(INDEX(PP_Grid[#Data],$DE1194,104),0)</f>
        <v/>
      </c>
      <c r="DD1194">
        <f>IFERROR(INDEX(PP_Grid[#Data],$DE1194,105),0)</f>
        <v/>
      </c>
      <c r="DE1194" s="7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SUMIFS(M_BOM[RM_Qty_Per_Batch],M_BOM[Intermediate],$B1194,M_BOM[RM_Code],$A1173)</f>
        <v/>
      </c>
      <c r="D1195">
        <f>IFERROR(INDEX(E1195:DD1195,$F$1),"")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  <c r="DD1195">
        <f>$C1195*DD1194</f>
        <v/>
      </c>
    </row>
    <row r="1196">
      <c r="B1196" t="inlineStr">
        <is>
          <t>VSP-740</t>
        </is>
      </c>
      <c r="C1196" t="inlineStr">
        <is>
          <t>No. of batches</t>
        </is>
      </c>
      <c r="D1196">
        <f>IFERROR(INDEX(E1196:DD1196,$F$1),"")</f>
        <v/>
      </c>
      <c r="E1196">
        <f>IFERROR(INDEX(PP_Grid[#Data],$DE1196,2),0)</f>
        <v/>
      </c>
      <c r="F1196">
        <f>IFERROR(INDEX(PP_Grid[#Data],$DE1196,3),0)</f>
        <v/>
      </c>
      <c r="G1196">
        <f>IFERROR(INDEX(PP_Grid[#Data],$DE1196,4),0)</f>
        <v/>
      </c>
      <c r="H1196">
        <f>IFERROR(INDEX(PP_Grid[#Data],$DE1196,5),0)</f>
        <v/>
      </c>
      <c r="I1196">
        <f>IFERROR(INDEX(PP_Grid[#Data],$DE1196,6),0)</f>
        <v/>
      </c>
      <c r="J1196">
        <f>IFERROR(INDEX(PP_Grid[#Data],$DE1196,7),0)</f>
        <v/>
      </c>
      <c r="K1196">
        <f>IFERROR(INDEX(PP_Grid[#Data],$DE1196,8),0)</f>
        <v/>
      </c>
      <c r="L1196">
        <f>IFERROR(INDEX(PP_Grid[#Data],$DE1196,9),0)</f>
        <v/>
      </c>
      <c r="M1196">
        <f>IFERROR(INDEX(PP_Grid[#Data],$DE1196,10),0)</f>
        <v/>
      </c>
      <c r="N1196">
        <f>IFERROR(INDEX(PP_Grid[#Data],$DE1196,11),0)</f>
        <v/>
      </c>
      <c r="O1196">
        <f>IFERROR(INDEX(PP_Grid[#Data],$DE1196,12),0)</f>
        <v/>
      </c>
      <c r="P1196">
        <f>IFERROR(INDEX(PP_Grid[#Data],$DE1196,13),0)</f>
        <v/>
      </c>
      <c r="Q1196">
        <f>IFERROR(INDEX(PP_Grid[#Data],$DE1196,14),0)</f>
        <v/>
      </c>
      <c r="R1196">
        <f>IFERROR(INDEX(PP_Grid[#Data],$DE1196,15),0)</f>
        <v/>
      </c>
      <c r="S1196">
        <f>IFERROR(INDEX(PP_Grid[#Data],$DE1196,16),0)</f>
        <v/>
      </c>
      <c r="T1196">
        <f>IFERROR(INDEX(PP_Grid[#Data],$DE1196,17),0)</f>
        <v/>
      </c>
      <c r="U1196">
        <f>IFERROR(INDEX(PP_Grid[#Data],$DE1196,18),0)</f>
        <v/>
      </c>
      <c r="V1196">
        <f>IFERROR(INDEX(PP_Grid[#Data],$DE1196,19),0)</f>
        <v/>
      </c>
      <c r="W1196">
        <f>IFERROR(INDEX(PP_Grid[#Data],$DE1196,20),0)</f>
        <v/>
      </c>
      <c r="X1196">
        <f>IFERROR(INDEX(PP_Grid[#Data],$DE1196,21),0)</f>
        <v/>
      </c>
      <c r="Y1196">
        <f>IFERROR(INDEX(PP_Grid[#Data],$DE1196,22),0)</f>
        <v/>
      </c>
      <c r="Z1196">
        <f>IFERROR(INDEX(PP_Grid[#Data],$DE1196,23),0)</f>
        <v/>
      </c>
      <c r="AA1196">
        <f>IFERROR(INDEX(PP_Grid[#Data],$DE1196,24),0)</f>
        <v/>
      </c>
      <c r="AB1196">
        <f>IFERROR(INDEX(PP_Grid[#Data],$DE1196,25),0)</f>
        <v/>
      </c>
      <c r="AC1196">
        <f>IFERROR(INDEX(PP_Grid[#Data],$DE1196,26),0)</f>
        <v/>
      </c>
      <c r="AD1196">
        <f>IFERROR(INDEX(PP_Grid[#Data],$DE1196,27),0)</f>
        <v/>
      </c>
      <c r="AE1196">
        <f>IFERROR(INDEX(PP_Grid[#Data],$DE1196,28),0)</f>
        <v/>
      </c>
      <c r="AF1196">
        <f>IFERROR(INDEX(PP_Grid[#Data],$DE1196,29),0)</f>
        <v/>
      </c>
      <c r="AG1196">
        <f>IFERROR(INDEX(PP_Grid[#Data],$DE1196,30),0)</f>
        <v/>
      </c>
      <c r="AH1196">
        <f>IFERROR(INDEX(PP_Grid[#Data],$DE1196,31),0)</f>
        <v/>
      </c>
      <c r="AI1196">
        <f>IFERROR(INDEX(PP_Grid[#Data],$DE1196,32),0)</f>
        <v/>
      </c>
      <c r="AJ1196">
        <f>IFERROR(INDEX(PP_Grid[#Data],$DE1196,33),0)</f>
        <v/>
      </c>
      <c r="AK1196">
        <f>IFERROR(INDEX(PP_Grid[#Data],$DE1196,34),0)</f>
        <v/>
      </c>
      <c r="AL1196">
        <f>IFERROR(INDEX(PP_Grid[#Data],$DE1196,35),0)</f>
        <v/>
      </c>
      <c r="AM1196">
        <f>IFERROR(INDEX(PP_Grid[#Data],$DE1196,36),0)</f>
        <v/>
      </c>
      <c r="AN1196">
        <f>IFERROR(INDEX(PP_Grid[#Data],$DE1196,37),0)</f>
        <v/>
      </c>
      <c r="AO1196">
        <f>IFERROR(INDEX(PP_Grid[#Data],$DE1196,38),0)</f>
        <v/>
      </c>
      <c r="AP1196">
        <f>IFERROR(INDEX(PP_Grid[#Data],$DE1196,39),0)</f>
        <v/>
      </c>
      <c r="AQ1196">
        <f>IFERROR(INDEX(PP_Grid[#Data],$DE1196,40),0)</f>
        <v/>
      </c>
      <c r="AR1196">
        <f>IFERROR(INDEX(PP_Grid[#Data],$DE1196,41),0)</f>
        <v/>
      </c>
      <c r="AS1196">
        <f>IFERROR(INDEX(PP_Grid[#Data],$DE1196,42),0)</f>
        <v/>
      </c>
      <c r="AT1196">
        <f>IFERROR(INDEX(PP_Grid[#Data],$DE1196,43),0)</f>
        <v/>
      </c>
      <c r="AU1196">
        <f>IFERROR(INDEX(PP_Grid[#Data],$DE1196,44),0)</f>
        <v/>
      </c>
      <c r="AV1196">
        <f>IFERROR(INDEX(PP_Grid[#Data],$DE1196,45),0)</f>
        <v/>
      </c>
      <c r="AW1196">
        <f>IFERROR(INDEX(PP_Grid[#Data],$DE1196,46),0)</f>
        <v/>
      </c>
      <c r="AX1196">
        <f>IFERROR(INDEX(PP_Grid[#Data],$DE1196,47),0)</f>
        <v/>
      </c>
      <c r="AY1196">
        <f>IFERROR(INDEX(PP_Grid[#Data],$DE1196,48),0)</f>
        <v/>
      </c>
      <c r="AZ1196">
        <f>IFERROR(INDEX(PP_Grid[#Data],$DE1196,49),0)</f>
        <v/>
      </c>
      <c r="BA1196">
        <f>IFERROR(INDEX(PP_Grid[#Data],$DE1196,50),0)</f>
        <v/>
      </c>
      <c r="BB1196">
        <f>IFERROR(INDEX(PP_Grid[#Data],$DE1196,51),0)</f>
        <v/>
      </c>
      <c r="BC1196">
        <f>IFERROR(INDEX(PP_Grid[#Data],$DE1196,52),0)</f>
        <v/>
      </c>
      <c r="BD1196">
        <f>IFERROR(INDEX(PP_Grid[#Data],$DE1196,53),0)</f>
        <v/>
      </c>
      <c r="BE1196">
        <f>IFERROR(INDEX(PP_Grid[#Data],$DE1196,54),0)</f>
        <v/>
      </c>
      <c r="BF1196">
        <f>IFERROR(INDEX(PP_Grid[#Data],$DE1196,55),0)</f>
        <v/>
      </c>
      <c r="BG1196">
        <f>IFERROR(INDEX(PP_Grid[#Data],$DE1196,56),0)</f>
        <v/>
      </c>
      <c r="BH1196">
        <f>IFERROR(INDEX(PP_Grid[#Data],$DE1196,57),0)</f>
        <v/>
      </c>
      <c r="BI1196">
        <f>IFERROR(INDEX(PP_Grid[#Data],$DE1196,58),0)</f>
        <v/>
      </c>
      <c r="BJ1196">
        <f>IFERROR(INDEX(PP_Grid[#Data],$DE1196,59),0)</f>
        <v/>
      </c>
      <c r="BK1196">
        <f>IFERROR(INDEX(PP_Grid[#Data],$DE1196,60),0)</f>
        <v/>
      </c>
      <c r="BL1196">
        <f>IFERROR(INDEX(PP_Grid[#Data],$DE1196,61),0)</f>
        <v/>
      </c>
      <c r="BM1196">
        <f>IFERROR(INDEX(PP_Grid[#Data],$DE1196,62),0)</f>
        <v/>
      </c>
      <c r="BN1196">
        <f>IFERROR(INDEX(PP_Grid[#Data],$DE1196,63),0)</f>
        <v/>
      </c>
      <c r="BO1196">
        <f>IFERROR(INDEX(PP_Grid[#Data],$DE1196,64),0)</f>
        <v/>
      </c>
      <c r="BP1196">
        <f>IFERROR(INDEX(PP_Grid[#Data],$DE1196,65),0)</f>
        <v/>
      </c>
      <c r="BQ1196">
        <f>IFERROR(INDEX(PP_Grid[#Data],$DE1196,66),0)</f>
        <v/>
      </c>
      <c r="BR1196">
        <f>IFERROR(INDEX(PP_Grid[#Data],$DE1196,67),0)</f>
        <v/>
      </c>
      <c r="BS1196">
        <f>IFERROR(INDEX(PP_Grid[#Data],$DE1196,68),0)</f>
        <v/>
      </c>
      <c r="BT1196">
        <f>IFERROR(INDEX(PP_Grid[#Data],$DE1196,69),0)</f>
        <v/>
      </c>
      <c r="BU1196">
        <f>IFERROR(INDEX(PP_Grid[#Data],$DE1196,70),0)</f>
        <v/>
      </c>
      <c r="BV1196">
        <f>IFERROR(INDEX(PP_Grid[#Data],$DE1196,71),0)</f>
        <v/>
      </c>
      <c r="BW1196">
        <f>IFERROR(INDEX(PP_Grid[#Data],$DE1196,72),0)</f>
        <v/>
      </c>
      <c r="BX1196">
        <f>IFERROR(INDEX(PP_Grid[#Data],$DE1196,73),0)</f>
        <v/>
      </c>
      <c r="BY1196">
        <f>IFERROR(INDEX(PP_Grid[#Data],$DE1196,74),0)</f>
        <v/>
      </c>
      <c r="BZ1196">
        <f>IFERROR(INDEX(PP_Grid[#Data],$DE1196,75),0)</f>
        <v/>
      </c>
      <c r="CA1196">
        <f>IFERROR(INDEX(PP_Grid[#Data],$DE1196,76),0)</f>
        <v/>
      </c>
      <c r="CB1196">
        <f>IFERROR(INDEX(PP_Grid[#Data],$DE1196,77),0)</f>
        <v/>
      </c>
      <c r="CC1196">
        <f>IFERROR(INDEX(PP_Grid[#Data],$DE1196,78),0)</f>
        <v/>
      </c>
      <c r="CD1196">
        <f>IFERROR(INDEX(PP_Grid[#Data],$DE1196,79),0)</f>
        <v/>
      </c>
      <c r="CE1196">
        <f>IFERROR(INDEX(PP_Grid[#Data],$DE1196,80),0)</f>
        <v/>
      </c>
      <c r="CF1196">
        <f>IFERROR(INDEX(PP_Grid[#Data],$DE1196,81),0)</f>
        <v/>
      </c>
      <c r="CG1196">
        <f>IFERROR(INDEX(PP_Grid[#Data],$DE1196,82),0)</f>
        <v/>
      </c>
      <c r="CH1196">
        <f>IFERROR(INDEX(PP_Grid[#Data],$DE1196,83),0)</f>
        <v/>
      </c>
      <c r="CI1196">
        <f>IFERROR(INDEX(PP_Grid[#Data],$DE1196,84),0)</f>
        <v/>
      </c>
      <c r="CJ1196">
        <f>IFERROR(INDEX(PP_Grid[#Data],$DE1196,85),0)</f>
        <v/>
      </c>
      <c r="CK1196">
        <f>IFERROR(INDEX(PP_Grid[#Data],$DE1196,86),0)</f>
        <v/>
      </c>
      <c r="CL1196">
        <f>IFERROR(INDEX(PP_Grid[#Data],$DE1196,87),0)</f>
        <v/>
      </c>
      <c r="CM1196">
        <f>IFERROR(INDEX(PP_Grid[#Data],$DE1196,88),0)</f>
        <v/>
      </c>
      <c r="CN1196">
        <f>IFERROR(INDEX(PP_Grid[#Data],$DE1196,89),0)</f>
        <v/>
      </c>
      <c r="CO1196">
        <f>IFERROR(INDEX(PP_Grid[#Data],$DE1196,90),0)</f>
        <v/>
      </c>
      <c r="CP1196">
        <f>IFERROR(INDEX(PP_Grid[#Data],$DE1196,91),0)</f>
        <v/>
      </c>
      <c r="CQ1196">
        <f>IFERROR(INDEX(PP_Grid[#Data],$DE1196,92),0)</f>
        <v/>
      </c>
      <c r="CR1196">
        <f>IFERROR(INDEX(PP_Grid[#Data],$DE1196,93),0)</f>
        <v/>
      </c>
      <c r="CS1196">
        <f>IFERROR(INDEX(PP_Grid[#Data],$DE1196,94),0)</f>
        <v/>
      </c>
      <c r="CT1196">
        <f>IFERROR(INDEX(PP_Grid[#Data],$DE1196,95),0)</f>
        <v/>
      </c>
      <c r="CU1196">
        <f>IFERROR(INDEX(PP_Grid[#Data],$DE1196,96),0)</f>
        <v/>
      </c>
      <c r="CV1196">
        <f>IFERROR(INDEX(PP_Grid[#Data],$DE1196,97),0)</f>
        <v/>
      </c>
      <c r="CW1196">
        <f>IFERROR(INDEX(PP_Grid[#Data],$DE1196,98),0)</f>
        <v/>
      </c>
      <c r="CX1196">
        <f>IFERROR(INDEX(PP_Grid[#Data],$DE1196,99),0)</f>
        <v/>
      </c>
      <c r="CY1196">
        <f>IFERROR(INDEX(PP_Grid[#Data],$DE1196,100),0)</f>
        <v/>
      </c>
      <c r="CZ1196">
        <f>IFERROR(INDEX(PP_Grid[#Data],$DE1196,101),0)</f>
        <v/>
      </c>
      <c r="DA1196">
        <f>IFERROR(INDEX(PP_Grid[#Data],$DE1196,102),0)</f>
        <v/>
      </c>
      <c r="DB1196">
        <f>IFERROR(INDEX(PP_Grid[#Data],$DE1196,103),0)</f>
        <v/>
      </c>
      <c r="DC1196">
        <f>IFERROR(INDEX(PP_Grid[#Data],$DE1196,104),0)</f>
        <v/>
      </c>
      <c r="DD1196">
        <f>IFERROR(INDEX(PP_Grid[#Data],$DE1196,105),0)</f>
        <v/>
      </c>
      <c r="DE1196" s="7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SUMIFS(M_BOM[RM_Qty_Per_Batch],M_BOM[Intermediate],$B1196,M_BOM[RM_Code],$A1173)</f>
        <v/>
      </c>
      <c r="D1197">
        <f>IFERROR(INDEX(E1197:DD1197,$F$1),"")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  <c r="DD1197">
        <f>$C1197*DD1196</f>
        <v/>
      </c>
    </row>
    <row r="1198">
      <c r="B1198" t="inlineStr">
        <is>
          <t>VSP-746</t>
        </is>
      </c>
      <c r="C1198" t="inlineStr">
        <is>
          <t>No. of batches</t>
        </is>
      </c>
      <c r="D1198">
        <f>IFERROR(INDEX(E1198:DD1198,$F$1),"")</f>
        <v/>
      </c>
      <c r="E1198">
        <f>IFERROR(INDEX(PP_Grid[#Data],$DE1198,2),0)</f>
        <v/>
      </c>
      <c r="F1198">
        <f>IFERROR(INDEX(PP_Grid[#Data],$DE1198,3),0)</f>
        <v/>
      </c>
      <c r="G1198">
        <f>IFERROR(INDEX(PP_Grid[#Data],$DE1198,4),0)</f>
        <v/>
      </c>
      <c r="H1198">
        <f>IFERROR(INDEX(PP_Grid[#Data],$DE1198,5),0)</f>
        <v/>
      </c>
      <c r="I1198">
        <f>IFERROR(INDEX(PP_Grid[#Data],$DE1198,6),0)</f>
        <v/>
      </c>
      <c r="J1198">
        <f>IFERROR(INDEX(PP_Grid[#Data],$DE1198,7),0)</f>
        <v/>
      </c>
      <c r="K1198">
        <f>IFERROR(INDEX(PP_Grid[#Data],$DE1198,8),0)</f>
        <v/>
      </c>
      <c r="L1198">
        <f>IFERROR(INDEX(PP_Grid[#Data],$DE1198,9),0)</f>
        <v/>
      </c>
      <c r="M1198">
        <f>IFERROR(INDEX(PP_Grid[#Data],$DE1198,10),0)</f>
        <v/>
      </c>
      <c r="N1198">
        <f>IFERROR(INDEX(PP_Grid[#Data],$DE1198,11),0)</f>
        <v/>
      </c>
      <c r="O1198">
        <f>IFERROR(INDEX(PP_Grid[#Data],$DE1198,12),0)</f>
        <v/>
      </c>
      <c r="P1198">
        <f>IFERROR(INDEX(PP_Grid[#Data],$DE1198,13),0)</f>
        <v/>
      </c>
      <c r="Q1198">
        <f>IFERROR(INDEX(PP_Grid[#Data],$DE1198,14),0)</f>
        <v/>
      </c>
      <c r="R1198">
        <f>IFERROR(INDEX(PP_Grid[#Data],$DE1198,15),0)</f>
        <v/>
      </c>
      <c r="S1198">
        <f>IFERROR(INDEX(PP_Grid[#Data],$DE1198,16),0)</f>
        <v/>
      </c>
      <c r="T1198">
        <f>IFERROR(INDEX(PP_Grid[#Data],$DE1198,17),0)</f>
        <v/>
      </c>
      <c r="U1198">
        <f>IFERROR(INDEX(PP_Grid[#Data],$DE1198,18),0)</f>
        <v/>
      </c>
      <c r="V1198">
        <f>IFERROR(INDEX(PP_Grid[#Data],$DE1198,19),0)</f>
        <v/>
      </c>
      <c r="W1198">
        <f>IFERROR(INDEX(PP_Grid[#Data],$DE1198,20),0)</f>
        <v/>
      </c>
      <c r="X1198">
        <f>IFERROR(INDEX(PP_Grid[#Data],$DE1198,21),0)</f>
        <v/>
      </c>
      <c r="Y1198">
        <f>IFERROR(INDEX(PP_Grid[#Data],$DE1198,22),0)</f>
        <v/>
      </c>
      <c r="Z1198">
        <f>IFERROR(INDEX(PP_Grid[#Data],$DE1198,23),0)</f>
        <v/>
      </c>
      <c r="AA1198">
        <f>IFERROR(INDEX(PP_Grid[#Data],$DE1198,24),0)</f>
        <v/>
      </c>
      <c r="AB1198">
        <f>IFERROR(INDEX(PP_Grid[#Data],$DE1198,25),0)</f>
        <v/>
      </c>
      <c r="AC1198">
        <f>IFERROR(INDEX(PP_Grid[#Data],$DE1198,26),0)</f>
        <v/>
      </c>
      <c r="AD1198">
        <f>IFERROR(INDEX(PP_Grid[#Data],$DE1198,27),0)</f>
        <v/>
      </c>
      <c r="AE1198">
        <f>IFERROR(INDEX(PP_Grid[#Data],$DE1198,28),0)</f>
        <v/>
      </c>
      <c r="AF1198">
        <f>IFERROR(INDEX(PP_Grid[#Data],$DE1198,29),0)</f>
        <v/>
      </c>
      <c r="AG1198">
        <f>IFERROR(INDEX(PP_Grid[#Data],$DE1198,30),0)</f>
        <v/>
      </c>
      <c r="AH1198">
        <f>IFERROR(INDEX(PP_Grid[#Data],$DE1198,31),0)</f>
        <v/>
      </c>
      <c r="AI1198">
        <f>IFERROR(INDEX(PP_Grid[#Data],$DE1198,32),0)</f>
        <v/>
      </c>
      <c r="AJ1198">
        <f>IFERROR(INDEX(PP_Grid[#Data],$DE1198,33),0)</f>
        <v/>
      </c>
      <c r="AK1198">
        <f>IFERROR(INDEX(PP_Grid[#Data],$DE1198,34),0)</f>
        <v/>
      </c>
      <c r="AL1198">
        <f>IFERROR(INDEX(PP_Grid[#Data],$DE1198,35),0)</f>
        <v/>
      </c>
      <c r="AM1198">
        <f>IFERROR(INDEX(PP_Grid[#Data],$DE1198,36),0)</f>
        <v/>
      </c>
      <c r="AN1198">
        <f>IFERROR(INDEX(PP_Grid[#Data],$DE1198,37),0)</f>
        <v/>
      </c>
      <c r="AO1198">
        <f>IFERROR(INDEX(PP_Grid[#Data],$DE1198,38),0)</f>
        <v/>
      </c>
      <c r="AP1198">
        <f>IFERROR(INDEX(PP_Grid[#Data],$DE1198,39),0)</f>
        <v/>
      </c>
      <c r="AQ1198">
        <f>IFERROR(INDEX(PP_Grid[#Data],$DE1198,40),0)</f>
        <v/>
      </c>
      <c r="AR1198">
        <f>IFERROR(INDEX(PP_Grid[#Data],$DE1198,41),0)</f>
        <v/>
      </c>
      <c r="AS1198">
        <f>IFERROR(INDEX(PP_Grid[#Data],$DE1198,42),0)</f>
        <v/>
      </c>
      <c r="AT1198">
        <f>IFERROR(INDEX(PP_Grid[#Data],$DE1198,43),0)</f>
        <v/>
      </c>
      <c r="AU1198">
        <f>IFERROR(INDEX(PP_Grid[#Data],$DE1198,44),0)</f>
        <v/>
      </c>
      <c r="AV1198">
        <f>IFERROR(INDEX(PP_Grid[#Data],$DE1198,45),0)</f>
        <v/>
      </c>
      <c r="AW1198">
        <f>IFERROR(INDEX(PP_Grid[#Data],$DE1198,46),0)</f>
        <v/>
      </c>
      <c r="AX1198">
        <f>IFERROR(INDEX(PP_Grid[#Data],$DE1198,47),0)</f>
        <v/>
      </c>
      <c r="AY1198">
        <f>IFERROR(INDEX(PP_Grid[#Data],$DE1198,48),0)</f>
        <v/>
      </c>
      <c r="AZ1198">
        <f>IFERROR(INDEX(PP_Grid[#Data],$DE1198,49),0)</f>
        <v/>
      </c>
      <c r="BA1198">
        <f>IFERROR(INDEX(PP_Grid[#Data],$DE1198,50),0)</f>
        <v/>
      </c>
      <c r="BB1198">
        <f>IFERROR(INDEX(PP_Grid[#Data],$DE1198,51),0)</f>
        <v/>
      </c>
      <c r="BC1198">
        <f>IFERROR(INDEX(PP_Grid[#Data],$DE1198,52),0)</f>
        <v/>
      </c>
      <c r="BD1198">
        <f>IFERROR(INDEX(PP_Grid[#Data],$DE1198,53),0)</f>
        <v/>
      </c>
      <c r="BE1198">
        <f>IFERROR(INDEX(PP_Grid[#Data],$DE1198,54),0)</f>
        <v/>
      </c>
      <c r="BF1198">
        <f>IFERROR(INDEX(PP_Grid[#Data],$DE1198,55),0)</f>
        <v/>
      </c>
      <c r="BG1198">
        <f>IFERROR(INDEX(PP_Grid[#Data],$DE1198,56),0)</f>
        <v/>
      </c>
      <c r="BH1198">
        <f>IFERROR(INDEX(PP_Grid[#Data],$DE1198,57),0)</f>
        <v/>
      </c>
      <c r="BI1198">
        <f>IFERROR(INDEX(PP_Grid[#Data],$DE1198,58),0)</f>
        <v/>
      </c>
      <c r="BJ1198">
        <f>IFERROR(INDEX(PP_Grid[#Data],$DE1198,59),0)</f>
        <v/>
      </c>
      <c r="BK1198">
        <f>IFERROR(INDEX(PP_Grid[#Data],$DE1198,60),0)</f>
        <v/>
      </c>
      <c r="BL1198">
        <f>IFERROR(INDEX(PP_Grid[#Data],$DE1198,61),0)</f>
        <v/>
      </c>
      <c r="BM1198">
        <f>IFERROR(INDEX(PP_Grid[#Data],$DE1198,62),0)</f>
        <v/>
      </c>
      <c r="BN1198">
        <f>IFERROR(INDEX(PP_Grid[#Data],$DE1198,63),0)</f>
        <v/>
      </c>
      <c r="BO1198">
        <f>IFERROR(INDEX(PP_Grid[#Data],$DE1198,64),0)</f>
        <v/>
      </c>
      <c r="BP1198">
        <f>IFERROR(INDEX(PP_Grid[#Data],$DE1198,65),0)</f>
        <v/>
      </c>
      <c r="BQ1198">
        <f>IFERROR(INDEX(PP_Grid[#Data],$DE1198,66),0)</f>
        <v/>
      </c>
      <c r="BR1198">
        <f>IFERROR(INDEX(PP_Grid[#Data],$DE1198,67),0)</f>
        <v/>
      </c>
      <c r="BS1198">
        <f>IFERROR(INDEX(PP_Grid[#Data],$DE1198,68),0)</f>
        <v/>
      </c>
      <c r="BT1198">
        <f>IFERROR(INDEX(PP_Grid[#Data],$DE1198,69),0)</f>
        <v/>
      </c>
      <c r="BU1198">
        <f>IFERROR(INDEX(PP_Grid[#Data],$DE1198,70),0)</f>
        <v/>
      </c>
      <c r="BV1198">
        <f>IFERROR(INDEX(PP_Grid[#Data],$DE1198,71),0)</f>
        <v/>
      </c>
      <c r="BW1198">
        <f>IFERROR(INDEX(PP_Grid[#Data],$DE1198,72),0)</f>
        <v/>
      </c>
      <c r="BX1198">
        <f>IFERROR(INDEX(PP_Grid[#Data],$DE1198,73),0)</f>
        <v/>
      </c>
      <c r="BY1198">
        <f>IFERROR(INDEX(PP_Grid[#Data],$DE1198,74),0)</f>
        <v/>
      </c>
      <c r="BZ1198">
        <f>IFERROR(INDEX(PP_Grid[#Data],$DE1198,75),0)</f>
        <v/>
      </c>
      <c r="CA1198">
        <f>IFERROR(INDEX(PP_Grid[#Data],$DE1198,76),0)</f>
        <v/>
      </c>
      <c r="CB1198">
        <f>IFERROR(INDEX(PP_Grid[#Data],$DE1198,77),0)</f>
        <v/>
      </c>
      <c r="CC1198">
        <f>IFERROR(INDEX(PP_Grid[#Data],$DE1198,78),0)</f>
        <v/>
      </c>
      <c r="CD1198">
        <f>IFERROR(INDEX(PP_Grid[#Data],$DE1198,79),0)</f>
        <v/>
      </c>
      <c r="CE1198">
        <f>IFERROR(INDEX(PP_Grid[#Data],$DE1198,80),0)</f>
        <v/>
      </c>
      <c r="CF1198">
        <f>IFERROR(INDEX(PP_Grid[#Data],$DE1198,81),0)</f>
        <v/>
      </c>
      <c r="CG1198">
        <f>IFERROR(INDEX(PP_Grid[#Data],$DE1198,82),0)</f>
        <v/>
      </c>
      <c r="CH1198">
        <f>IFERROR(INDEX(PP_Grid[#Data],$DE1198,83),0)</f>
        <v/>
      </c>
      <c r="CI1198">
        <f>IFERROR(INDEX(PP_Grid[#Data],$DE1198,84),0)</f>
        <v/>
      </c>
      <c r="CJ1198">
        <f>IFERROR(INDEX(PP_Grid[#Data],$DE1198,85),0)</f>
        <v/>
      </c>
      <c r="CK1198">
        <f>IFERROR(INDEX(PP_Grid[#Data],$DE1198,86),0)</f>
        <v/>
      </c>
      <c r="CL1198">
        <f>IFERROR(INDEX(PP_Grid[#Data],$DE1198,87),0)</f>
        <v/>
      </c>
      <c r="CM1198">
        <f>IFERROR(INDEX(PP_Grid[#Data],$DE1198,88),0)</f>
        <v/>
      </c>
      <c r="CN1198">
        <f>IFERROR(INDEX(PP_Grid[#Data],$DE1198,89),0)</f>
        <v/>
      </c>
      <c r="CO1198">
        <f>IFERROR(INDEX(PP_Grid[#Data],$DE1198,90),0)</f>
        <v/>
      </c>
      <c r="CP1198">
        <f>IFERROR(INDEX(PP_Grid[#Data],$DE1198,91),0)</f>
        <v/>
      </c>
      <c r="CQ1198">
        <f>IFERROR(INDEX(PP_Grid[#Data],$DE1198,92),0)</f>
        <v/>
      </c>
      <c r="CR1198">
        <f>IFERROR(INDEX(PP_Grid[#Data],$DE1198,93),0)</f>
        <v/>
      </c>
      <c r="CS1198">
        <f>IFERROR(INDEX(PP_Grid[#Data],$DE1198,94),0)</f>
        <v/>
      </c>
      <c r="CT1198">
        <f>IFERROR(INDEX(PP_Grid[#Data],$DE1198,95),0)</f>
        <v/>
      </c>
      <c r="CU1198">
        <f>IFERROR(INDEX(PP_Grid[#Data],$DE1198,96),0)</f>
        <v/>
      </c>
      <c r="CV1198">
        <f>IFERROR(INDEX(PP_Grid[#Data],$DE1198,97),0)</f>
        <v/>
      </c>
      <c r="CW1198">
        <f>IFERROR(INDEX(PP_Grid[#Data],$DE1198,98),0)</f>
        <v/>
      </c>
      <c r="CX1198">
        <f>IFERROR(INDEX(PP_Grid[#Data],$DE1198,99),0)</f>
        <v/>
      </c>
      <c r="CY1198">
        <f>IFERROR(INDEX(PP_Grid[#Data],$DE1198,100),0)</f>
        <v/>
      </c>
      <c r="CZ1198">
        <f>IFERROR(INDEX(PP_Grid[#Data],$DE1198,101),0)</f>
        <v/>
      </c>
      <c r="DA1198">
        <f>IFERROR(INDEX(PP_Grid[#Data],$DE1198,102),0)</f>
        <v/>
      </c>
      <c r="DB1198">
        <f>IFERROR(INDEX(PP_Grid[#Data],$DE1198,103),0)</f>
        <v/>
      </c>
      <c r="DC1198">
        <f>IFERROR(INDEX(PP_Grid[#Data],$DE1198,104),0)</f>
        <v/>
      </c>
      <c r="DD1198">
        <f>IFERROR(INDEX(PP_Grid[#Data],$DE1198,105),0)</f>
        <v/>
      </c>
      <c r="DE1198" s="7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SUMIFS(M_BOM[RM_Qty_Per_Batch],M_BOM[Intermediate],$B1198,M_BOM[RM_Code],$A1173)</f>
        <v/>
      </c>
      <c r="D1199">
        <f>IFERROR(INDEX(E1199:DD1199,$F$1),"")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  <c r="DD1199">
        <f>$C1199*DD1198</f>
        <v/>
      </c>
    </row>
    <row r="1200">
      <c r="B1200" t="inlineStr">
        <is>
          <t>VSP-822</t>
        </is>
      </c>
      <c r="C1200" t="inlineStr">
        <is>
          <t>No. of batches</t>
        </is>
      </c>
      <c r="D1200">
        <f>IFERROR(INDEX(E1200:DD1200,$F$1),"")</f>
        <v/>
      </c>
      <c r="E1200">
        <f>IFERROR(INDEX(PP_Grid[#Data],$DE1200,2),0)</f>
        <v/>
      </c>
      <c r="F1200">
        <f>IFERROR(INDEX(PP_Grid[#Data],$DE1200,3),0)</f>
        <v/>
      </c>
      <c r="G1200">
        <f>IFERROR(INDEX(PP_Grid[#Data],$DE1200,4),0)</f>
        <v/>
      </c>
      <c r="H1200">
        <f>IFERROR(INDEX(PP_Grid[#Data],$DE1200,5),0)</f>
        <v/>
      </c>
      <c r="I1200">
        <f>IFERROR(INDEX(PP_Grid[#Data],$DE1200,6),0)</f>
        <v/>
      </c>
      <c r="J1200">
        <f>IFERROR(INDEX(PP_Grid[#Data],$DE1200,7),0)</f>
        <v/>
      </c>
      <c r="K1200">
        <f>IFERROR(INDEX(PP_Grid[#Data],$DE1200,8),0)</f>
        <v/>
      </c>
      <c r="L1200">
        <f>IFERROR(INDEX(PP_Grid[#Data],$DE1200,9),0)</f>
        <v/>
      </c>
      <c r="M1200">
        <f>IFERROR(INDEX(PP_Grid[#Data],$DE1200,10),0)</f>
        <v/>
      </c>
      <c r="N1200">
        <f>IFERROR(INDEX(PP_Grid[#Data],$DE1200,11),0)</f>
        <v/>
      </c>
      <c r="O1200">
        <f>IFERROR(INDEX(PP_Grid[#Data],$DE1200,12),0)</f>
        <v/>
      </c>
      <c r="P1200">
        <f>IFERROR(INDEX(PP_Grid[#Data],$DE1200,13),0)</f>
        <v/>
      </c>
      <c r="Q1200">
        <f>IFERROR(INDEX(PP_Grid[#Data],$DE1200,14),0)</f>
        <v/>
      </c>
      <c r="R1200">
        <f>IFERROR(INDEX(PP_Grid[#Data],$DE1200,15),0)</f>
        <v/>
      </c>
      <c r="S1200">
        <f>IFERROR(INDEX(PP_Grid[#Data],$DE1200,16),0)</f>
        <v/>
      </c>
      <c r="T1200">
        <f>IFERROR(INDEX(PP_Grid[#Data],$DE1200,17),0)</f>
        <v/>
      </c>
      <c r="U1200">
        <f>IFERROR(INDEX(PP_Grid[#Data],$DE1200,18),0)</f>
        <v/>
      </c>
      <c r="V1200">
        <f>IFERROR(INDEX(PP_Grid[#Data],$DE1200,19),0)</f>
        <v/>
      </c>
      <c r="W1200">
        <f>IFERROR(INDEX(PP_Grid[#Data],$DE1200,20),0)</f>
        <v/>
      </c>
      <c r="X1200">
        <f>IFERROR(INDEX(PP_Grid[#Data],$DE1200,21),0)</f>
        <v/>
      </c>
      <c r="Y1200">
        <f>IFERROR(INDEX(PP_Grid[#Data],$DE1200,22),0)</f>
        <v/>
      </c>
      <c r="Z1200">
        <f>IFERROR(INDEX(PP_Grid[#Data],$DE1200,23),0)</f>
        <v/>
      </c>
      <c r="AA1200">
        <f>IFERROR(INDEX(PP_Grid[#Data],$DE1200,24),0)</f>
        <v/>
      </c>
      <c r="AB1200">
        <f>IFERROR(INDEX(PP_Grid[#Data],$DE1200,25),0)</f>
        <v/>
      </c>
      <c r="AC1200">
        <f>IFERROR(INDEX(PP_Grid[#Data],$DE1200,26),0)</f>
        <v/>
      </c>
      <c r="AD1200">
        <f>IFERROR(INDEX(PP_Grid[#Data],$DE1200,27),0)</f>
        <v/>
      </c>
      <c r="AE1200">
        <f>IFERROR(INDEX(PP_Grid[#Data],$DE1200,28),0)</f>
        <v/>
      </c>
      <c r="AF1200">
        <f>IFERROR(INDEX(PP_Grid[#Data],$DE1200,29),0)</f>
        <v/>
      </c>
      <c r="AG1200">
        <f>IFERROR(INDEX(PP_Grid[#Data],$DE1200,30),0)</f>
        <v/>
      </c>
      <c r="AH1200">
        <f>IFERROR(INDEX(PP_Grid[#Data],$DE1200,31),0)</f>
        <v/>
      </c>
      <c r="AI1200">
        <f>IFERROR(INDEX(PP_Grid[#Data],$DE1200,32),0)</f>
        <v/>
      </c>
      <c r="AJ1200">
        <f>IFERROR(INDEX(PP_Grid[#Data],$DE1200,33),0)</f>
        <v/>
      </c>
      <c r="AK1200">
        <f>IFERROR(INDEX(PP_Grid[#Data],$DE1200,34),0)</f>
        <v/>
      </c>
      <c r="AL1200">
        <f>IFERROR(INDEX(PP_Grid[#Data],$DE1200,35),0)</f>
        <v/>
      </c>
      <c r="AM1200">
        <f>IFERROR(INDEX(PP_Grid[#Data],$DE1200,36),0)</f>
        <v/>
      </c>
      <c r="AN1200">
        <f>IFERROR(INDEX(PP_Grid[#Data],$DE1200,37),0)</f>
        <v/>
      </c>
      <c r="AO1200">
        <f>IFERROR(INDEX(PP_Grid[#Data],$DE1200,38),0)</f>
        <v/>
      </c>
      <c r="AP1200">
        <f>IFERROR(INDEX(PP_Grid[#Data],$DE1200,39),0)</f>
        <v/>
      </c>
      <c r="AQ1200">
        <f>IFERROR(INDEX(PP_Grid[#Data],$DE1200,40),0)</f>
        <v/>
      </c>
      <c r="AR1200">
        <f>IFERROR(INDEX(PP_Grid[#Data],$DE1200,41),0)</f>
        <v/>
      </c>
      <c r="AS1200">
        <f>IFERROR(INDEX(PP_Grid[#Data],$DE1200,42),0)</f>
        <v/>
      </c>
      <c r="AT1200">
        <f>IFERROR(INDEX(PP_Grid[#Data],$DE1200,43),0)</f>
        <v/>
      </c>
      <c r="AU1200">
        <f>IFERROR(INDEX(PP_Grid[#Data],$DE1200,44),0)</f>
        <v/>
      </c>
      <c r="AV1200">
        <f>IFERROR(INDEX(PP_Grid[#Data],$DE1200,45),0)</f>
        <v/>
      </c>
      <c r="AW1200">
        <f>IFERROR(INDEX(PP_Grid[#Data],$DE1200,46),0)</f>
        <v/>
      </c>
      <c r="AX1200">
        <f>IFERROR(INDEX(PP_Grid[#Data],$DE1200,47),0)</f>
        <v/>
      </c>
      <c r="AY1200">
        <f>IFERROR(INDEX(PP_Grid[#Data],$DE1200,48),0)</f>
        <v/>
      </c>
      <c r="AZ1200">
        <f>IFERROR(INDEX(PP_Grid[#Data],$DE1200,49),0)</f>
        <v/>
      </c>
      <c r="BA1200">
        <f>IFERROR(INDEX(PP_Grid[#Data],$DE1200,50),0)</f>
        <v/>
      </c>
      <c r="BB1200">
        <f>IFERROR(INDEX(PP_Grid[#Data],$DE1200,51),0)</f>
        <v/>
      </c>
      <c r="BC1200">
        <f>IFERROR(INDEX(PP_Grid[#Data],$DE1200,52),0)</f>
        <v/>
      </c>
      <c r="BD1200">
        <f>IFERROR(INDEX(PP_Grid[#Data],$DE1200,53),0)</f>
        <v/>
      </c>
      <c r="BE1200">
        <f>IFERROR(INDEX(PP_Grid[#Data],$DE1200,54),0)</f>
        <v/>
      </c>
      <c r="BF1200">
        <f>IFERROR(INDEX(PP_Grid[#Data],$DE1200,55),0)</f>
        <v/>
      </c>
      <c r="BG1200">
        <f>IFERROR(INDEX(PP_Grid[#Data],$DE1200,56),0)</f>
        <v/>
      </c>
      <c r="BH1200">
        <f>IFERROR(INDEX(PP_Grid[#Data],$DE1200,57),0)</f>
        <v/>
      </c>
      <c r="BI1200">
        <f>IFERROR(INDEX(PP_Grid[#Data],$DE1200,58),0)</f>
        <v/>
      </c>
      <c r="BJ1200">
        <f>IFERROR(INDEX(PP_Grid[#Data],$DE1200,59),0)</f>
        <v/>
      </c>
      <c r="BK1200">
        <f>IFERROR(INDEX(PP_Grid[#Data],$DE1200,60),0)</f>
        <v/>
      </c>
      <c r="BL1200">
        <f>IFERROR(INDEX(PP_Grid[#Data],$DE1200,61),0)</f>
        <v/>
      </c>
      <c r="BM1200">
        <f>IFERROR(INDEX(PP_Grid[#Data],$DE1200,62),0)</f>
        <v/>
      </c>
      <c r="BN1200">
        <f>IFERROR(INDEX(PP_Grid[#Data],$DE1200,63),0)</f>
        <v/>
      </c>
      <c r="BO1200">
        <f>IFERROR(INDEX(PP_Grid[#Data],$DE1200,64),0)</f>
        <v/>
      </c>
      <c r="BP1200">
        <f>IFERROR(INDEX(PP_Grid[#Data],$DE1200,65),0)</f>
        <v/>
      </c>
      <c r="BQ1200">
        <f>IFERROR(INDEX(PP_Grid[#Data],$DE1200,66),0)</f>
        <v/>
      </c>
      <c r="BR1200">
        <f>IFERROR(INDEX(PP_Grid[#Data],$DE1200,67),0)</f>
        <v/>
      </c>
      <c r="BS1200">
        <f>IFERROR(INDEX(PP_Grid[#Data],$DE1200,68),0)</f>
        <v/>
      </c>
      <c r="BT1200">
        <f>IFERROR(INDEX(PP_Grid[#Data],$DE1200,69),0)</f>
        <v/>
      </c>
      <c r="BU1200">
        <f>IFERROR(INDEX(PP_Grid[#Data],$DE1200,70),0)</f>
        <v/>
      </c>
      <c r="BV1200">
        <f>IFERROR(INDEX(PP_Grid[#Data],$DE1200,71),0)</f>
        <v/>
      </c>
      <c r="BW1200">
        <f>IFERROR(INDEX(PP_Grid[#Data],$DE1200,72),0)</f>
        <v/>
      </c>
      <c r="BX1200">
        <f>IFERROR(INDEX(PP_Grid[#Data],$DE1200,73),0)</f>
        <v/>
      </c>
      <c r="BY1200">
        <f>IFERROR(INDEX(PP_Grid[#Data],$DE1200,74),0)</f>
        <v/>
      </c>
      <c r="BZ1200">
        <f>IFERROR(INDEX(PP_Grid[#Data],$DE1200,75),0)</f>
        <v/>
      </c>
      <c r="CA1200">
        <f>IFERROR(INDEX(PP_Grid[#Data],$DE1200,76),0)</f>
        <v/>
      </c>
      <c r="CB1200">
        <f>IFERROR(INDEX(PP_Grid[#Data],$DE1200,77),0)</f>
        <v/>
      </c>
      <c r="CC1200">
        <f>IFERROR(INDEX(PP_Grid[#Data],$DE1200,78),0)</f>
        <v/>
      </c>
      <c r="CD1200">
        <f>IFERROR(INDEX(PP_Grid[#Data],$DE1200,79),0)</f>
        <v/>
      </c>
      <c r="CE1200">
        <f>IFERROR(INDEX(PP_Grid[#Data],$DE1200,80),0)</f>
        <v/>
      </c>
      <c r="CF1200">
        <f>IFERROR(INDEX(PP_Grid[#Data],$DE1200,81),0)</f>
        <v/>
      </c>
      <c r="CG1200">
        <f>IFERROR(INDEX(PP_Grid[#Data],$DE1200,82),0)</f>
        <v/>
      </c>
      <c r="CH1200">
        <f>IFERROR(INDEX(PP_Grid[#Data],$DE1200,83),0)</f>
        <v/>
      </c>
      <c r="CI1200">
        <f>IFERROR(INDEX(PP_Grid[#Data],$DE1200,84),0)</f>
        <v/>
      </c>
      <c r="CJ1200">
        <f>IFERROR(INDEX(PP_Grid[#Data],$DE1200,85),0)</f>
        <v/>
      </c>
      <c r="CK1200">
        <f>IFERROR(INDEX(PP_Grid[#Data],$DE1200,86),0)</f>
        <v/>
      </c>
      <c r="CL1200">
        <f>IFERROR(INDEX(PP_Grid[#Data],$DE1200,87),0)</f>
        <v/>
      </c>
      <c r="CM1200">
        <f>IFERROR(INDEX(PP_Grid[#Data],$DE1200,88),0)</f>
        <v/>
      </c>
      <c r="CN1200">
        <f>IFERROR(INDEX(PP_Grid[#Data],$DE1200,89),0)</f>
        <v/>
      </c>
      <c r="CO1200">
        <f>IFERROR(INDEX(PP_Grid[#Data],$DE1200,90),0)</f>
        <v/>
      </c>
      <c r="CP1200">
        <f>IFERROR(INDEX(PP_Grid[#Data],$DE1200,91),0)</f>
        <v/>
      </c>
      <c r="CQ1200">
        <f>IFERROR(INDEX(PP_Grid[#Data],$DE1200,92),0)</f>
        <v/>
      </c>
      <c r="CR1200">
        <f>IFERROR(INDEX(PP_Grid[#Data],$DE1200,93),0)</f>
        <v/>
      </c>
      <c r="CS1200">
        <f>IFERROR(INDEX(PP_Grid[#Data],$DE1200,94),0)</f>
        <v/>
      </c>
      <c r="CT1200">
        <f>IFERROR(INDEX(PP_Grid[#Data],$DE1200,95),0)</f>
        <v/>
      </c>
      <c r="CU1200">
        <f>IFERROR(INDEX(PP_Grid[#Data],$DE1200,96),0)</f>
        <v/>
      </c>
      <c r="CV1200">
        <f>IFERROR(INDEX(PP_Grid[#Data],$DE1200,97),0)</f>
        <v/>
      </c>
      <c r="CW1200">
        <f>IFERROR(INDEX(PP_Grid[#Data],$DE1200,98),0)</f>
        <v/>
      </c>
      <c r="CX1200">
        <f>IFERROR(INDEX(PP_Grid[#Data],$DE1200,99),0)</f>
        <v/>
      </c>
      <c r="CY1200">
        <f>IFERROR(INDEX(PP_Grid[#Data],$DE1200,100),0)</f>
        <v/>
      </c>
      <c r="CZ1200">
        <f>IFERROR(INDEX(PP_Grid[#Data],$DE1200,101),0)</f>
        <v/>
      </c>
      <c r="DA1200">
        <f>IFERROR(INDEX(PP_Grid[#Data],$DE1200,102),0)</f>
        <v/>
      </c>
      <c r="DB1200">
        <f>IFERROR(INDEX(PP_Grid[#Data],$DE1200,103),0)</f>
        <v/>
      </c>
      <c r="DC1200">
        <f>IFERROR(INDEX(PP_Grid[#Data],$DE1200,104),0)</f>
        <v/>
      </c>
      <c r="DD1200">
        <f>IFERROR(INDEX(PP_Grid[#Data],$DE1200,105),0)</f>
        <v/>
      </c>
      <c r="DE1200" s="7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SUMIFS(M_BOM[RM_Qty_Per_Batch],M_BOM[Intermediate],$B1200,M_BOM[RM_Code],$A1173)</f>
        <v/>
      </c>
      <c r="D1201">
        <f>IFERROR(INDEX(E1201:DD1201,$F$1),"")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  <c r="DD1201">
        <f>$C1201*DD1200</f>
        <v/>
      </c>
    </row>
    <row r="1202">
      <c r="B1202" t="inlineStr">
        <is>
          <t>VSP-870</t>
        </is>
      </c>
      <c r="C1202" t="inlineStr">
        <is>
          <t>No. of batches</t>
        </is>
      </c>
      <c r="D1202">
        <f>IFERROR(INDEX(E1202:DD1202,$F$1),"")</f>
        <v/>
      </c>
      <c r="E1202">
        <f>IFERROR(INDEX(PP_Grid[#Data],$DE1202,2),0)</f>
        <v/>
      </c>
      <c r="F1202">
        <f>IFERROR(INDEX(PP_Grid[#Data],$DE1202,3),0)</f>
        <v/>
      </c>
      <c r="G1202">
        <f>IFERROR(INDEX(PP_Grid[#Data],$DE1202,4),0)</f>
        <v/>
      </c>
      <c r="H1202">
        <f>IFERROR(INDEX(PP_Grid[#Data],$DE1202,5),0)</f>
        <v/>
      </c>
      <c r="I1202">
        <f>IFERROR(INDEX(PP_Grid[#Data],$DE1202,6),0)</f>
        <v/>
      </c>
      <c r="J1202">
        <f>IFERROR(INDEX(PP_Grid[#Data],$DE1202,7),0)</f>
        <v/>
      </c>
      <c r="K1202">
        <f>IFERROR(INDEX(PP_Grid[#Data],$DE1202,8),0)</f>
        <v/>
      </c>
      <c r="L1202">
        <f>IFERROR(INDEX(PP_Grid[#Data],$DE1202,9),0)</f>
        <v/>
      </c>
      <c r="M1202">
        <f>IFERROR(INDEX(PP_Grid[#Data],$DE1202,10),0)</f>
        <v/>
      </c>
      <c r="N1202">
        <f>IFERROR(INDEX(PP_Grid[#Data],$DE1202,11),0)</f>
        <v/>
      </c>
      <c r="O1202">
        <f>IFERROR(INDEX(PP_Grid[#Data],$DE1202,12),0)</f>
        <v/>
      </c>
      <c r="P1202">
        <f>IFERROR(INDEX(PP_Grid[#Data],$DE1202,13),0)</f>
        <v/>
      </c>
      <c r="Q1202">
        <f>IFERROR(INDEX(PP_Grid[#Data],$DE1202,14),0)</f>
        <v/>
      </c>
      <c r="R1202">
        <f>IFERROR(INDEX(PP_Grid[#Data],$DE1202,15),0)</f>
        <v/>
      </c>
      <c r="S1202">
        <f>IFERROR(INDEX(PP_Grid[#Data],$DE1202,16),0)</f>
        <v/>
      </c>
      <c r="T1202">
        <f>IFERROR(INDEX(PP_Grid[#Data],$DE1202,17),0)</f>
        <v/>
      </c>
      <c r="U1202">
        <f>IFERROR(INDEX(PP_Grid[#Data],$DE1202,18),0)</f>
        <v/>
      </c>
      <c r="V1202">
        <f>IFERROR(INDEX(PP_Grid[#Data],$DE1202,19),0)</f>
        <v/>
      </c>
      <c r="W1202">
        <f>IFERROR(INDEX(PP_Grid[#Data],$DE1202,20),0)</f>
        <v/>
      </c>
      <c r="X1202">
        <f>IFERROR(INDEX(PP_Grid[#Data],$DE1202,21),0)</f>
        <v/>
      </c>
      <c r="Y1202">
        <f>IFERROR(INDEX(PP_Grid[#Data],$DE1202,22),0)</f>
        <v/>
      </c>
      <c r="Z1202">
        <f>IFERROR(INDEX(PP_Grid[#Data],$DE1202,23),0)</f>
        <v/>
      </c>
      <c r="AA1202">
        <f>IFERROR(INDEX(PP_Grid[#Data],$DE1202,24),0)</f>
        <v/>
      </c>
      <c r="AB1202">
        <f>IFERROR(INDEX(PP_Grid[#Data],$DE1202,25),0)</f>
        <v/>
      </c>
      <c r="AC1202">
        <f>IFERROR(INDEX(PP_Grid[#Data],$DE1202,26),0)</f>
        <v/>
      </c>
      <c r="AD1202">
        <f>IFERROR(INDEX(PP_Grid[#Data],$DE1202,27),0)</f>
        <v/>
      </c>
      <c r="AE1202">
        <f>IFERROR(INDEX(PP_Grid[#Data],$DE1202,28),0)</f>
        <v/>
      </c>
      <c r="AF1202">
        <f>IFERROR(INDEX(PP_Grid[#Data],$DE1202,29),0)</f>
        <v/>
      </c>
      <c r="AG1202">
        <f>IFERROR(INDEX(PP_Grid[#Data],$DE1202,30),0)</f>
        <v/>
      </c>
      <c r="AH1202">
        <f>IFERROR(INDEX(PP_Grid[#Data],$DE1202,31),0)</f>
        <v/>
      </c>
      <c r="AI1202">
        <f>IFERROR(INDEX(PP_Grid[#Data],$DE1202,32),0)</f>
        <v/>
      </c>
      <c r="AJ1202">
        <f>IFERROR(INDEX(PP_Grid[#Data],$DE1202,33),0)</f>
        <v/>
      </c>
      <c r="AK1202">
        <f>IFERROR(INDEX(PP_Grid[#Data],$DE1202,34),0)</f>
        <v/>
      </c>
      <c r="AL1202">
        <f>IFERROR(INDEX(PP_Grid[#Data],$DE1202,35),0)</f>
        <v/>
      </c>
      <c r="AM1202">
        <f>IFERROR(INDEX(PP_Grid[#Data],$DE1202,36),0)</f>
        <v/>
      </c>
      <c r="AN1202">
        <f>IFERROR(INDEX(PP_Grid[#Data],$DE1202,37),0)</f>
        <v/>
      </c>
      <c r="AO1202">
        <f>IFERROR(INDEX(PP_Grid[#Data],$DE1202,38),0)</f>
        <v/>
      </c>
      <c r="AP1202">
        <f>IFERROR(INDEX(PP_Grid[#Data],$DE1202,39),0)</f>
        <v/>
      </c>
      <c r="AQ1202">
        <f>IFERROR(INDEX(PP_Grid[#Data],$DE1202,40),0)</f>
        <v/>
      </c>
      <c r="AR1202">
        <f>IFERROR(INDEX(PP_Grid[#Data],$DE1202,41),0)</f>
        <v/>
      </c>
      <c r="AS1202">
        <f>IFERROR(INDEX(PP_Grid[#Data],$DE1202,42),0)</f>
        <v/>
      </c>
      <c r="AT1202">
        <f>IFERROR(INDEX(PP_Grid[#Data],$DE1202,43),0)</f>
        <v/>
      </c>
      <c r="AU1202">
        <f>IFERROR(INDEX(PP_Grid[#Data],$DE1202,44),0)</f>
        <v/>
      </c>
      <c r="AV1202">
        <f>IFERROR(INDEX(PP_Grid[#Data],$DE1202,45),0)</f>
        <v/>
      </c>
      <c r="AW1202">
        <f>IFERROR(INDEX(PP_Grid[#Data],$DE1202,46),0)</f>
        <v/>
      </c>
      <c r="AX1202">
        <f>IFERROR(INDEX(PP_Grid[#Data],$DE1202,47),0)</f>
        <v/>
      </c>
      <c r="AY1202">
        <f>IFERROR(INDEX(PP_Grid[#Data],$DE1202,48),0)</f>
        <v/>
      </c>
      <c r="AZ1202">
        <f>IFERROR(INDEX(PP_Grid[#Data],$DE1202,49),0)</f>
        <v/>
      </c>
      <c r="BA1202">
        <f>IFERROR(INDEX(PP_Grid[#Data],$DE1202,50),0)</f>
        <v/>
      </c>
      <c r="BB1202">
        <f>IFERROR(INDEX(PP_Grid[#Data],$DE1202,51),0)</f>
        <v/>
      </c>
      <c r="BC1202">
        <f>IFERROR(INDEX(PP_Grid[#Data],$DE1202,52),0)</f>
        <v/>
      </c>
      <c r="BD1202">
        <f>IFERROR(INDEX(PP_Grid[#Data],$DE1202,53),0)</f>
        <v/>
      </c>
      <c r="BE1202">
        <f>IFERROR(INDEX(PP_Grid[#Data],$DE1202,54),0)</f>
        <v/>
      </c>
      <c r="BF1202">
        <f>IFERROR(INDEX(PP_Grid[#Data],$DE1202,55),0)</f>
        <v/>
      </c>
      <c r="BG1202">
        <f>IFERROR(INDEX(PP_Grid[#Data],$DE1202,56),0)</f>
        <v/>
      </c>
      <c r="BH1202">
        <f>IFERROR(INDEX(PP_Grid[#Data],$DE1202,57),0)</f>
        <v/>
      </c>
      <c r="BI1202">
        <f>IFERROR(INDEX(PP_Grid[#Data],$DE1202,58),0)</f>
        <v/>
      </c>
      <c r="BJ1202">
        <f>IFERROR(INDEX(PP_Grid[#Data],$DE1202,59),0)</f>
        <v/>
      </c>
      <c r="BK1202">
        <f>IFERROR(INDEX(PP_Grid[#Data],$DE1202,60),0)</f>
        <v/>
      </c>
      <c r="BL1202">
        <f>IFERROR(INDEX(PP_Grid[#Data],$DE1202,61),0)</f>
        <v/>
      </c>
      <c r="BM1202">
        <f>IFERROR(INDEX(PP_Grid[#Data],$DE1202,62),0)</f>
        <v/>
      </c>
      <c r="BN1202">
        <f>IFERROR(INDEX(PP_Grid[#Data],$DE1202,63),0)</f>
        <v/>
      </c>
      <c r="BO1202">
        <f>IFERROR(INDEX(PP_Grid[#Data],$DE1202,64),0)</f>
        <v/>
      </c>
      <c r="BP1202">
        <f>IFERROR(INDEX(PP_Grid[#Data],$DE1202,65),0)</f>
        <v/>
      </c>
      <c r="BQ1202">
        <f>IFERROR(INDEX(PP_Grid[#Data],$DE1202,66),0)</f>
        <v/>
      </c>
      <c r="BR1202">
        <f>IFERROR(INDEX(PP_Grid[#Data],$DE1202,67),0)</f>
        <v/>
      </c>
      <c r="BS1202">
        <f>IFERROR(INDEX(PP_Grid[#Data],$DE1202,68),0)</f>
        <v/>
      </c>
      <c r="BT1202">
        <f>IFERROR(INDEX(PP_Grid[#Data],$DE1202,69),0)</f>
        <v/>
      </c>
      <c r="BU1202">
        <f>IFERROR(INDEX(PP_Grid[#Data],$DE1202,70),0)</f>
        <v/>
      </c>
      <c r="BV1202">
        <f>IFERROR(INDEX(PP_Grid[#Data],$DE1202,71),0)</f>
        <v/>
      </c>
      <c r="BW1202">
        <f>IFERROR(INDEX(PP_Grid[#Data],$DE1202,72),0)</f>
        <v/>
      </c>
      <c r="BX1202">
        <f>IFERROR(INDEX(PP_Grid[#Data],$DE1202,73),0)</f>
        <v/>
      </c>
      <c r="BY1202">
        <f>IFERROR(INDEX(PP_Grid[#Data],$DE1202,74),0)</f>
        <v/>
      </c>
      <c r="BZ1202">
        <f>IFERROR(INDEX(PP_Grid[#Data],$DE1202,75),0)</f>
        <v/>
      </c>
      <c r="CA1202">
        <f>IFERROR(INDEX(PP_Grid[#Data],$DE1202,76),0)</f>
        <v/>
      </c>
      <c r="CB1202">
        <f>IFERROR(INDEX(PP_Grid[#Data],$DE1202,77),0)</f>
        <v/>
      </c>
      <c r="CC1202">
        <f>IFERROR(INDEX(PP_Grid[#Data],$DE1202,78),0)</f>
        <v/>
      </c>
      <c r="CD1202">
        <f>IFERROR(INDEX(PP_Grid[#Data],$DE1202,79),0)</f>
        <v/>
      </c>
      <c r="CE1202">
        <f>IFERROR(INDEX(PP_Grid[#Data],$DE1202,80),0)</f>
        <v/>
      </c>
      <c r="CF1202">
        <f>IFERROR(INDEX(PP_Grid[#Data],$DE1202,81),0)</f>
        <v/>
      </c>
      <c r="CG1202">
        <f>IFERROR(INDEX(PP_Grid[#Data],$DE1202,82),0)</f>
        <v/>
      </c>
      <c r="CH1202">
        <f>IFERROR(INDEX(PP_Grid[#Data],$DE1202,83),0)</f>
        <v/>
      </c>
      <c r="CI1202">
        <f>IFERROR(INDEX(PP_Grid[#Data],$DE1202,84),0)</f>
        <v/>
      </c>
      <c r="CJ1202">
        <f>IFERROR(INDEX(PP_Grid[#Data],$DE1202,85),0)</f>
        <v/>
      </c>
      <c r="CK1202">
        <f>IFERROR(INDEX(PP_Grid[#Data],$DE1202,86),0)</f>
        <v/>
      </c>
      <c r="CL1202">
        <f>IFERROR(INDEX(PP_Grid[#Data],$DE1202,87),0)</f>
        <v/>
      </c>
      <c r="CM1202">
        <f>IFERROR(INDEX(PP_Grid[#Data],$DE1202,88),0)</f>
        <v/>
      </c>
      <c r="CN1202">
        <f>IFERROR(INDEX(PP_Grid[#Data],$DE1202,89),0)</f>
        <v/>
      </c>
      <c r="CO1202">
        <f>IFERROR(INDEX(PP_Grid[#Data],$DE1202,90),0)</f>
        <v/>
      </c>
      <c r="CP1202">
        <f>IFERROR(INDEX(PP_Grid[#Data],$DE1202,91),0)</f>
        <v/>
      </c>
      <c r="CQ1202">
        <f>IFERROR(INDEX(PP_Grid[#Data],$DE1202,92),0)</f>
        <v/>
      </c>
      <c r="CR1202">
        <f>IFERROR(INDEX(PP_Grid[#Data],$DE1202,93),0)</f>
        <v/>
      </c>
      <c r="CS1202">
        <f>IFERROR(INDEX(PP_Grid[#Data],$DE1202,94),0)</f>
        <v/>
      </c>
      <c r="CT1202">
        <f>IFERROR(INDEX(PP_Grid[#Data],$DE1202,95),0)</f>
        <v/>
      </c>
      <c r="CU1202">
        <f>IFERROR(INDEX(PP_Grid[#Data],$DE1202,96),0)</f>
        <v/>
      </c>
      <c r="CV1202">
        <f>IFERROR(INDEX(PP_Grid[#Data],$DE1202,97),0)</f>
        <v/>
      </c>
      <c r="CW1202">
        <f>IFERROR(INDEX(PP_Grid[#Data],$DE1202,98),0)</f>
        <v/>
      </c>
      <c r="CX1202">
        <f>IFERROR(INDEX(PP_Grid[#Data],$DE1202,99),0)</f>
        <v/>
      </c>
      <c r="CY1202">
        <f>IFERROR(INDEX(PP_Grid[#Data],$DE1202,100),0)</f>
        <v/>
      </c>
      <c r="CZ1202">
        <f>IFERROR(INDEX(PP_Grid[#Data],$DE1202,101),0)</f>
        <v/>
      </c>
      <c r="DA1202">
        <f>IFERROR(INDEX(PP_Grid[#Data],$DE1202,102),0)</f>
        <v/>
      </c>
      <c r="DB1202">
        <f>IFERROR(INDEX(PP_Grid[#Data],$DE1202,103),0)</f>
        <v/>
      </c>
      <c r="DC1202">
        <f>IFERROR(INDEX(PP_Grid[#Data],$DE1202,104),0)</f>
        <v/>
      </c>
      <c r="DD1202">
        <f>IFERROR(INDEX(PP_Grid[#Data],$DE1202,105),0)</f>
        <v/>
      </c>
      <c r="DE1202" s="7">
        <f>IFERROR(MATCH($B1202,PP_Grid[Intermediate],0),99999)</f>
        <v/>
      </c>
    </row>
    <row r="1203">
      <c r="B1203" t="inlineStr">
        <is>
          <t>使用量(kg)</t>
        </is>
      </c>
      <c r="C1203">
        <f>SUMIFS(M_BOM[RM_Qty_Per_Batch],M_BOM[Intermediate],$B1202,M_BOM[RM_Code],$A1173)</f>
        <v/>
      </c>
      <c r="D1203">
        <f>IFERROR(INDEX(E1203:DD1203,$F$1),"")</f>
        <v/>
      </c>
      <c r="E1203">
        <f>$C1203*E1202</f>
        <v/>
      </c>
      <c r="F1203">
        <f>$C1203*F1202</f>
        <v/>
      </c>
      <c r="G1203">
        <f>$C1203*G1202</f>
        <v/>
      </c>
      <c r="H1203">
        <f>$C1203*H1202</f>
        <v/>
      </c>
      <c r="I1203">
        <f>$C1203*I1202</f>
        <v/>
      </c>
      <c r="J1203">
        <f>$C1203*J1202</f>
        <v/>
      </c>
      <c r="K1203">
        <f>$C1203*K1202</f>
        <v/>
      </c>
      <c r="L1203">
        <f>$C1203*L1202</f>
        <v/>
      </c>
      <c r="M1203">
        <f>$C1203*M1202</f>
        <v/>
      </c>
      <c r="N1203">
        <f>$C1203*N1202</f>
        <v/>
      </c>
      <c r="O1203">
        <f>$C1203*O1202</f>
        <v/>
      </c>
      <c r="P1203">
        <f>$C1203*P1202</f>
        <v/>
      </c>
      <c r="Q1203">
        <f>$C1203*Q1202</f>
        <v/>
      </c>
      <c r="R1203">
        <f>$C1203*R1202</f>
        <v/>
      </c>
      <c r="S1203">
        <f>$C1203*S1202</f>
        <v/>
      </c>
      <c r="T1203">
        <f>$C1203*T1202</f>
        <v/>
      </c>
      <c r="U1203">
        <f>$C1203*U1202</f>
        <v/>
      </c>
      <c r="V1203">
        <f>$C1203*V1202</f>
        <v/>
      </c>
      <c r="W1203">
        <f>$C1203*W1202</f>
        <v/>
      </c>
      <c r="X1203">
        <f>$C1203*X1202</f>
        <v/>
      </c>
      <c r="Y1203">
        <f>$C1203*Y1202</f>
        <v/>
      </c>
      <c r="Z1203">
        <f>$C1203*Z1202</f>
        <v/>
      </c>
      <c r="AA1203">
        <f>$C1203*AA1202</f>
        <v/>
      </c>
      <c r="AB1203">
        <f>$C1203*AB1202</f>
        <v/>
      </c>
      <c r="AC1203">
        <f>$C1203*AC1202</f>
        <v/>
      </c>
      <c r="AD1203">
        <f>$C1203*AD1202</f>
        <v/>
      </c>
      <c r="AE1203">
        <f>$C1203*AE1202</f>
        <v/>
      </c>
      <c r="AF1203">
        <f>$C1203*AF1202</f>
        <v/>
      </c>
      <c r="AG1203">
        <f>$C1203*AG1202</f>
        <v/>
      </c>
      <c r="AH1203">
        <f>$C1203*AH1202</f>
        <v/>
      </c>
      <c r="AI1203">
        <f>$C1203*AI1202</f>
        <v/>
      </c>
      <c r="AJ1203">
        <f>$C1203*AJ1202</f>
        <v/>
      </c>
      <c r="AK1203">
        <f>$C1203*AK1202</f>
        <v/>
      </c>
      <c r="AL1203">
        <f>$C1203*AL1202</f>
        <v/>
      </c>
      <c r="AM1203">
        <f>$C1203*AM1202</f>
        <v/>
      </c>
      <c r="AN1203">
        <f>$C1203*AN1202</f>
        <v/>
      </c>
      <c r="AO1203">
        <f>$C1203*AO1202</f>
        <v/>
      </c>
      <c r="AP1203">
        <f>$C1203*AP1202</f>
        <v/>
      </c>
      <c r="AQ1203">
        <f>$C1203*AQ1202</f>
        <v/>
      </c>
      <c r="AR1203">
        <f>$C1203*AR1202</f>
        <v/>
      </c>
      <c r="AS1203">
        <f>$C1203*AS1202</f>
        <v/>
      </c>
      <c r="AT1203">
        <f>$C1203*AT1202</f>
        <v/>
      </c>
      <c r="AU1203">
        <f>$C1203*AU1202</f>
        <v/>
      </c>
      <c r="AV1203">
        <f>$C1203*AV1202</f>
        <v/>
      </c>
      <c r="AW1203">
        <f>$C1203*AW1202</f>
        <v/>
      </c>
      <c r="AX1203">
        <f>$C1203*AX1202</f>
        <v/>
      </c>
      <c r="AY1203">
        <f>$C1203*AY1202</f>
        <v/>
      </c>
      <c r="AZ1203">
        <f>$C1203*AZ1202</f>
        <v/>
      </c>
      <c r="BA1203">
        <f>$C1203*BA1202</f>
        <v/>
      </c>
      <c r="BB1203">
        <f>$C1203*BB1202</f>
        <v/>
      </c>
      <c r="BC1203">
        <f>$C1203*BC1202</f>
        <v/>
      </c>
      <c r="BD1203">
        <f>$C1203*BD1202</f>
        <v/>
      </c>
      <c r="BE1203">
        <f>$C1203*BE1202</f>
        <v/>
      </c>
      <c r="BF1203">
        <f>$C1203*BF1202</f>
        <v/>
      </c>
      <c r="BG1203">
        <f>$C1203*BG1202</f>
        <v/>
      </c>
      <c r="BH1203">
        <f>$C1203*BH1202</f>
        <v/>
      </c>
      <c r="BI1203">
        <f>$C1203*BI1202</f>
        <v/>
      </c>
      <c r="BJ1203">
        <f>$C1203*BJ1202</f>
        <v/>
      </c>
      <c r="BK1203">
        <f>$C1203*BK1202</f>
        <v/>
      </c>
      <c r="BL1203">
        <f>$C1203*BL1202</f>
        <v/>
      </c>
      <c r="BM1203">
        <f>$C1203*BM1202</f>
        <v/>
      </c>
      <c r="BN1203">
        <f>$C1203*BN1202</f>
        <v/>
      </c>
      <c r="BO1203">
        <f>$C1203*BO1202</f>
        <v/>
      </c>
      <c r="BP1203">
        <f>$C1203*BP1202</f>
        <v/>
      </c>
      <c r="BQ1203">
        <f>$C1203*BQ1202</f>
        <v/>
      </c>
      <c r="BR1203">
        <f>$C1203*BR1202</f>
        <v/>
      </c>
      <c r="BS1203">
        <f>$C1203*BS1202</f>
        <v/>
      </c>
      <c r="BT1203">
        <f>$C1203*BT1202</f>
        <v/>
      </c>
      <c r="BU1203">
        <f>$C1203*BU1202</f>
        <v/>
      </c>
      <c r="BV1203">
        <f>$C1203*BV1202</f>
        <v/>
      </c>
      <c r="BW1203">
        <f>$C1203*BW1202</f>
        <v/>
      </c>
      <c r="BX1203">
        <f>$C1203*BX1202</f>
        <v/>
      </c>
      <c r="BY1203">
        <f>$C1203*BY1202</f>
        <v/>
      </c>
      <c r="BZ1203">
        <f>$C1203*BZ1202</f>
        <v/>
      </c>
      <c r="CA1203">
        <f>$C1203*CA1202</f>
        <v/>
      </c>
      <c r="CB1203">
        <f>$C1203*CB1202</f>
        <v/>
      </c>
      <c r="CC1203">
        <f>$C1203*CC1202</f>
        <v/>
      </c>
      <c r="CD1203">
        <f>$C1203*CD1202</f>
        <v/>
      </c>
      <c r="CE1203">
        <f>$C1203*CE1202</f>
        <v/>
      </c>
      <c r="CF1203">
        <f>$C1203*CF1202</f>
        <v/>
      </c>
      <c r="CG1203">
        <f>$C1203*CG1202</f>
        <v/>
      </c>
      <c r="CH1203">
        <f>$C1203*CH1202</f>
        <v/>
      </c>
      <c r="CI1203">
        <f>$C1203*CI1202</f>
        <v/>
      </c>
      <c r="CJ1203">
        <f>$C1203*CJ1202</f>
        <v/>
      </c>
      <c r="CK1203">
        <f>$C1203*CK1202</f>
        <v/>
      </c>
      <c r="CL1203">
        <f>$C1203*CL1202</f>
        <v/>
      </c>
      <c r="CM1203">
        <f>$C1203*CM1202</f>
        <v/>
      </c>
      <c r="CN1203">
        <f>$C1203*CN1202</f>
        <v/>
      </c>
      <c r="CO1203">
        <f>$C1203*CO1202</f>
        <v/>
      </c>
      <c r="CP1203">
        <f>$C1203*CP1202</f>
        <v/>
      </c>
      <c r="CQ1203">
        <f>$C1203*CQ1202</f>
        <v/>
      </c>
      <c r="CR1203">
        <f>$C1203*CR1202</f>
        <v/>
      </c>
      <c r="CS1203">
        <f>$C1203*CS1202</f>
        <v/>
      </c>
      <c r="CT1203">
        <f>$C1203*CT1202</f>
        <v/>
      </c>
      <c r="CU1203">
        <f>$C1203*CU1202</f>
        <v/>
      </c>
      <c r="CV1203">
        <f>$C1203*CV1202</f>
        <v/>
      </c>
      <c r="CW1203">
        <f>$C1203*CW1202</f>
        <v/>
      </c>
      <c r="CX1203">
        <f>$C1203*CX1202</f>
        <v/>
      </c>
      <c r="CY1203">
        <f>$C1203*CY1202</f>
        <v/>
      </c>
      <c r="CZ1203">
        <f>$C1203*CZ1202</f>
        <v/>
      </c>
      <c r="DA1203">
        <f>$C1203*DA1202</f>
        <v/>
      </c>
      <c r="DB1203">
        <f>$C1203*DB1202</f>
        <v/>
      </c>
      <c r="DC1203">
        <f>$C1203*DC1202</f>
        <v/>
      </c>
      <c r="DD1203">
        <f>$C1203*DD1202</f>
        <v/>
      </c>
    </row>
    <row r="1204">
      <c r="B1204" t="inlineStr">
        <is>
          <t>VSP-910</t>
        </is>
      </c>
      <c r="C1204" t="inlineStr">
        <is>
          <t>No. of batches</t>
        </is>
      </c>
      <c r="D1204">
        <f>IFERROR(INDEX(E1204:DD1204,$F$1),"")</f>
        <v/>
      </c>
      <c r="E1204">
        <f>IFERROR(INDEX(PP_Grid[#Data],$DE1204,2),0)</f>
        <v/>
      </c>
      <c r="F1204">
        <f>IFERROR(INDEX(PP_Grid[#Data],$DE1204,3),0)</f>
        <v/>
      </c>
      <c r="G1204">
        <f>IFERROR(INDEX(PP_Grid[#Data],$DE1204,4),0)</f>
        <v/>
      </c>
      <c r="H1204">
        <f>IFERROR(INDEX(PP_Grid[#Data],$DE1204,5),0)</f>
        <v/>
      </c>
      <c r="I1204">
        <f>IFERROR(INDEX(PP_Grid[#Data],$DE1204,6),0)</f>
        <v/>
      </c>
      <c r="J1204">
        <f>IFERROR(INDEX(PP_Grid[#Data],$DE1204,7),0)</f>
        <v/>
      </c>
      <c r="K1204">
        <f>IFERROR(INDEX(PP_Grid[#Data],$DE1204,8),0)</f>
        <v/>
      </c>
      <c r="L1204">
        <f>IFERROR(INDEX(PP_Grid[#Data],$DE1204,9),0)</f>
        <v/>
      </c>
      <c r="M1204">
        <f>IFERROR(INDEX(PP_Grid[#Data],$DE1204,10),0)</f>
        <v/>
      </c>
      <c r="N1204">
        <f>IFERROR(INDEX(PP_Grid[#Data],$DE1204,11),0)</f>
        <v/>
      </c>
      <c r="O1204">
        <f>IFERROR(INDEX(PP_Grid[#Data],$DE1204,12),0)</f>
        <v/>
      </c>
      <c r="P1204">
        <f>IFERROR(INDEX(PP_Grid[#Data],$DE1204,13),0)</f>
        <v/>
      </c>
      <c r="Q1204">
        <f>IFERROR(INDEX(PP_Grid[#Data],$DE1204,14),0)</f>
        <v/>
      </c>
      <c r="R1204">
        <f>IFERROR(INDEX(PP_Grid[#Data],$DE1204,15),0)</f>
        <v/>
      </c>
      <c r="S1204">
        <f>IFERROR(INDEX(PP_Grid[#Data],$DE1204,16),0)</f>
        <v/>
      </c>
      <c r="T1204">
        <f>IFERROR(INDEX(PP_Grid[#Data],$DE1204,17),0)</f>
        <v/>
      </c>
      <c r="U1204">
        <f>IFERROR(INDEX(PP_Grid[#Data],$DE1204,18),0)</f>
        <v/>
      </c>
      <c r="V1204">
        <f>IFERROR(INDEX(PP_Grid[#Data],$DE1204,19),0)</f>
        <v/>
      </c>
      <c r="W1204">
        <f>IFERROR(INDEX(PP_Grid[#Data],$DE1204,20),0)</f>
        <v/>
      </c>
      <c r="X1204">
        <f>IFERROR(INDEX(PP_Grid[#Data],$DE1204,21),0)</f>
        <v/>
      </c>
      <c r="Y1204">
        <f>IFERROR(INDEX(PP_Grid[#Data],$DE1204,22),0)</f>
        <v/>
      </c>
      <c r="Z1204">
        <f>IFERROR(INDEX(PP_Grid[#Data],$DE1204,23),0)</f>
        <v/>
      </c>
      <c r="AA1204">
        <f>IFERROR(INDEX(PP_Grid[#Data],$DE1204,24),0)</f>
        <v/>
      </c>
      <c r="AB1204">
        <f>IFERROR(INDEX(PP_Grid[#Data],$DE1204,25),0)</f>
        <v/>
      </c>
      <c r="AC1204">
        <f>IFERROR(INDEX(PP_Grid[#Data],$DE1204,26),0)</f>
        <v/>
      </c>
      <c r="AD1204">
        <f>IFERROR(INDEX(PP_Grid[#Data],$DE1204,27),0)</f>
        <v/>
      </c>
      <c r="AE1204">
        <f>IFERROR(INDEX(PP_Grid[#Data],$DE1204,28),0)</f>
        <v/>
      </c>
      <c r="AF1204">
        <f>IFERROR(INDEX(PP_Grid[#Data],$DE1204,29),0)</f>
        <v/>
      </c>
      <c r="AG1204">
        <f>IFERROR(INDEX(PP_Grid[#Data],$DE1204,30),0)</f>
        <v/>
      </c>
      <c r="AH1204">
        <f>IFERROR(INDEX(PP_Grid[#Data],$DE1204,31),0)</f>
        <v/>
      </c>
      <c r="AI1204">
        <f>IFERROR(INDEX(PP_Grid[#Data],$DE1204,32),0)</f>
        <v/>
      </c>
      <c r="AJ1204">
        <f>IFERROR(INDEX(PP_Grid[#Data],$DE1204,33),0)</f>
        <v/>
      </c>
      <c r="AK1204">
        <f>IFERROR(INDEX(PP_Grid[#Data],$DE1204,34),0)</f>
        <v/>
      </c>
      <c r="AL1204">
        <f>IFERROR(INDEX(PP_Grid[#Data],$DE1204,35),0)</f>
        <v/>
      </c>
      <c r="AM1204">
        <f>IFERROR(INDEX(PP_Grid[#Data],$DE1204,36),0)</f>
        <v/>
      </c>
      <c r="AN1204">
        <f>IFERROR(INDEX(PP_Grid[#Data],$DE1204,37),0)</f>
        <v/>
      </c>
      <c r="AO1204">
        <f>IFERROR(INDEX(PP_Grid[#Data],$DE1204,38),0)</f>
        <v/>
      </c>
      <c r="AP1204">
        <f>IFERROR(INDEX(PP_Grid[#Data],$DE1204,39),0)</f>
        <v/>
      </c>
      <c r="AQ1204">
        <f>IFERROR(INDEX(PP_Grid[#Data],$DE1204,40),0)</f>
        <v/>
      </c>
      <c r="AR1204">
        <f>IFERROR(INDEX(PP_Grid[#Data],$DE1204,41),0)</f>
        <v/>
      </c>
      <c r="AS1204">
        <f>IFERROR(INDEX(PP_Grid[#Data],$DE1204,42),0)</f>
        <v/>
      </c>
      <c r="AT1204">
        <f>IFERROR(INDEX(PP_Grid[#Data],$DE1204,43),0)</f>
        <v/>
      </c>
      <c r="AU1204">
        <f>IFERROR(INDEX(PP_Grid[#Data],$DE1204,44),0)</f>
        <v/>
      </c>
      <c r="AV1204">
        <f>IFERROR(INDEX(PP_Grid[#Data],$DE1204,45),0)</f>
        <v/>
      </c>
      <c r="AW1204">
        <f>IFERROR(INDEX(PP_Grid[#Data],$DE1204,46),0)</f>
        <v/>
      </c>
      <c r="AX1204">
        <f>IFERROR(INDEX(PP_Grid[#Data],$DE1204,47),0)</f>
        <v/>
      </c>
      <c r="AY1204">
        <f>IFERROR(INDEX(PP_Grid[#Data],$DE1204,48),0)</f>
        <v/>
      </c>
      <c r="AZ1204">
        <f>IFERROR(INDEX(PP_Grid[#Data],$DE1204,49),0)</f>
        <v/>
      </c>
      <c r="BA1204">
        <f>IFERROR(INDEX(PP_Grid[#Data],$DE1204,50),0)</f>
        <v/>
      </c>
      <c r="BB1204">
        <f>IFERROR(INDEX(PP_Grid[#Data],$DE1204,51),0)</f>
        <v/>
      </c>
      <c r="BC1204">
        <f>IFERROR(INDEX(PP_Grid[#Data],$DE1204,52),0)</f>
        <v/>
      </c>
      <c r="BD1204">
        <f>IFERROR(INDEX(PP_Grid[#Data],$DE1204,53),0)</f>
        <v/>
      </c>
      <c r="BE1204">
        <f>IFERROR(INDEX(PP_Grid[#Data],$DE1204,54),0)</f>
        <v/>
      </c>
      <c r="BF1204">
        <f>IFERROR(INDEX(PP_Grid[#Data],$DE1204,55),0)</f>
        <v/>
      </c>
      <c r="BG1204">
        <f>IFERROR(INDEX(PP_Grid[#Data],$DE1204,56),0)</f>
        <v/>
      </c>
      <c r="BH1204">
        <f>IFERROR(INDEX(PP_Grid[#Data],$DE1204,57),0)</f>
        <v/>
      </c>
      <c r="BI1204">
        <f>IFERROR(INDEX(PP_Grid[#Data],$DE1204,58),0)</f>
        <v/>
      </c>
      <c r="BJ1204">
        <f>IFERROR(INDEX(PP_Grid[#Data],$DE1204,59),0)</f>
        <v/>
      </c>
      <c r="BK1204">
        <f>IFERROR(INDEX(PP_Grid[#Data],$DE1204,60),0)</f>
        <v/>
      </c>
      <c r="BL1204">
        <f>IFERROR(INDEX(PP_Grid[#Data],$DE1204,61),0)</f>
        <v/>
      </c>
      <c r="BM1204">
        <f>IFERROR(INDEX(PP_Grid[#Data],$DE1204,62),0)</f>
        <v/>
      </c>
      <c r="BN1204">
        <f>IFERROR(INDEX(PP_Grid[#Data],$DE1204,63),0)</f>
        <v/>
      </c>
      <c r="BO1204">
        <f>IFERROR(INDEX(PP_Grid[#Data],$DE1204,64),0)</f>
        <v/>
      </c>
      <c r="BP1204">
        <f>IFERROR(INDEX(PP_Grid[#Data],$DE1204,65),0)</f>
        <v/>
      </c>
      <c r="BQ1204">
        <f>IFERROR(INDEX(PP_Grid[#Data],$DE1204,66),0)</f>
        <v/>
      </c>
      <c r="BR1204">
        <f>IFERROR(INDEX(PP_Grid[#Data],$DE1204,67),0)</f>
        <v/>
      </c>
      <c r="BS1204">
        <f>IFERROR(INDEX(PP_Grid[#Data],$DE1204,68),0)</f>
        <v/>
      </c>
      <c r="BT1204">
        <f>IFERROR(INDEX(PP_Grid[#Data],$DE1204,69),0)</f>
        <v/>
      </c>
      <c r="BU1204">
        <f>IFERROR(INDEX(PP_Grid[#Data],$DE1204,70),0)</f>
        <v/>
      </c>
      <c r="BV1204">
        <f>IFERROR(INDEX(PP_Grid[#Data],$DE1204,71),0)</f>
        <v/>
      </c>
      <c r="BW1204">
        <f>IFERROR(INDEX(PP_Grid[#Data],$DE1204,72),0)</f>
        <v/>
      </c>
      <c r="BX1204">
        <f>IFERROR(INDEX(PP_Grid[#Data],$DE1204,73),0)</f>
        <v/>
      </c>
      <c r="BY1204">
        <f>IFERROR(INDEX(PP_Grid[#Data],$DE1204,74),0)</f>
        <v/>
      </c>
      <c r="BZ1204">
        <f>IFERROR(INDEX(PP_Grid[#Data],$DE1204,75),0)</f>
        <v/>
      </c>
      <c r="CA1204">
        <f>IFERROR(INDEX(PP_Grid[#Data],$DE1204,76),0)</f>
        <v/>
      </c>
      <c r="CB1204">
        <f>IFERROR(INDEX(PP_Grid[#Data],$DE1204,77),0)</f>
        <v/>
      </c>
      <c r="CC1204">
        <f>IFERROR(INDEX(PP_Grid[#Data],$DE1204,78),0)</f>
        <v/>
      </c>
      <c r="CD1204">
        <f>IFERROR(INDEX(PP_Grid[#Data],$DE1204,79),0)</f>
        <v/>
      </c>
      <c r="CE1204">
        <f>IFERROR(INDEX(PP_Grid[#Data],$DE1204,80),0)</f>
        <v/>
      </c>
      <c r="CF1204">
        <f>IFERROR(INDEX(PP_Grid[#Data],$DE1204,81),0)</f>
        <v/>
      </c>
      <c r="CG1204">
        <f>IFERROR(INDEX(PP_Grid[#Data],$DE1204,82),0)</f>
        <v/>
      </c>
      <c r="CH1204">
        <f>IFERROR(INDEX(PP_Grid[#Data],$DE1204,83),0)</f>
        <v/>
      </c>
      <c r="CI1204">
        <f>IFERROR(INDEX(PP_Grid[#Data],$DE1204,84),0)</f>
        <v/>
      </c>
      <c r="CJ1204">
        <f>IFERROR(INDEX(PP_Grid[#Data],$DE1204,85),0)</f>
        <v/>
      </c>
      <c r="CK1204">
        <f>IFERROR(INDEX(PP_Grid[#Data],$DE1204,86),0)</f>
        <v/>
      </c>
      <c r="CL1204">
        <f>IFERROR(INDEX(PP_Grid[#Data],$DE1204,87),0)</f>
        <v/>
      </c>
      <c r="CM1204">
        <f>IFERROR(INDEX(PP_Grid[#Data],$DE1204,88),0)</f>
        <v/>
      </c>
      <c r="CN1204">
        <f>IFERROR(INDEX(PP_Grid[#Data],$DE1204,89),0)</f>
        <v/>
      </c>
      <c r="CO1204">
        <f>IFERROR(INDEX(PP_Grid[#Data],$DE1204,90),0)</f>
        <v/>
      </c>
      <c r="CP1204">
        <f>IFERROR(INDEX(PP_Grid[#Data],$DE1204,91),0)</f>
        <v/>
      </c>
      <c r="CQ1204">
        <f>IFERROR(INDEX(PP_Grid[#Data],$DE1204,92),0)</f>
        <v/>
      </c>
      <c r="CR1204">
        <f>IFERROR(INDEX(PP_Grid[#Data],$DE1204,93),0)</f>
        <v/>
      </c>
      <c r="CS1204">
        <f>IFERROR(INDEX(PP_Grid[#Data],$DE1204,94),0)</f>
        <v/>
      </c>
      <c r="CT1204">
        <f>IFERROR(INDEX(PP_Grid[#Data],$DE1204,95),0)</f>
        <v/>
      </c>
      <c r="CU1204">
        <f>IFERROR(INDEX(PP_Grid[#Data],$DE1204,96),0)</f>
        <v/>
      </c>
      <c r="CV1204">
        <f>IFERROR(INDEX(PP_Grid[#Data],$DE1204,97),0)</f>
        <v/>
      </c>
      <c r="CW1204">
        <f>IFERROR(INDEX(PP_Grid[#Data],$DE1204,98),0)</f>
        <v/>
      </c>
      <c r="CX1204">
        <f>IFERROR(INDEX(PP_Grid[#Data],$DE1204,99),0)</f>
        <v/>
      </c>
      <c r="CY1204">
        <f>IFERROR(INDEX(PP_Grid[#Data],$DE1204,100),0)</f>
        <v/>
      </c>
      <c r="CZ1204">
        <f>IFERROR(INDEX(PP_Grid[#Data],$DE1204,101),0)</f>
        <v/>
      </c>
      <c r="DA1204">
        <f>IFERROR(INDEX(PP_Grid[#Data],$DE1204,102),0)</f>
        <v/>
      </c>
      <c r="DB1204">
        <f>IFERROR(INDEX(PP_Grid[#Data],$DE1204,103),0)</f>
        <v/>
      </c>
      <c r="DC1204">
        <f>IFERROR(INDEX(PP_Grid[#Data],$DE1204,104),0)</f>
        <v/>
      </c>
      <c r="DD1204">
        <f>IFERROR(INDEX(PP_Grid[#Data],$DE1204,105),0)</f>
        <v/>
      </c>
      <c r="DE1204" s="7">
        <f>IFERROR(MATCH($B1204,PP_Grid[Intermediate],0),99999)</f>
        <v/>
      </c>
    </row>
    <row r="1205">
      <c r="B1205" t="inlineStr">
        <is>
          <t>使用量(kg)</t>
        </is>
      </c>
      <c r="C1205">
        <f>SUMIFS(M_BOM[RM_Qty_Per_Batch],M_BOM[Intermediate],$B1204,M_BOM[RM_Code],$A1173)</f>
        <v/>
      </c>
      <c r="D1205">
        <f>IFERROR(INDEX(E1205:DD1205,$F$1),"")</f>
        <v/>
      </c>
      <c r="E1205">
        <f>$C1205*E1204</f>
        <v/>
      </c>
      <c r="F1205">
        <f>$C1205*F1204</f>
        <v/>
      </c>
      <c r="G1205">
        <f>$C1205*G1204</f>
        <v/>
      </c>
      <c r="H1205">
        <f>$C1205*H1204</f>
        <v/>
      </c>
      <c r="I1205">
        <f>$C1205*I1204</f>
        <v/>
      </c>
      <c r="J1205">
        <f>$C1205*J1204</f>
        <v/>
      </c>
      <c r="K1205">
        <f>$C1205*K1204</f>
        <v/>
      </c>
      <c r="L1205">
        <f>$C1205*L1204</f>
        <v/>
      </c>
      <c r="M1205">
        <f>$C1205*M1204</f>
        <v/>
      </c>
      <c r="N1205">
        <f>$C1205*N1204</f>
        <v/>
      </c>
      <c r="O1205">
        <f>$C1205*O1204</f>
        <v/>
      </c>
      <c r="P1205">
        <f>$C1205*P1204</f>
        <v/>
      </c>
      <c r="Q1205">
        <f>$C1205*Q1204</f>
        <v/>
      </c>
      <c r="R1205">
        <f>$C1205*R1204</f>
        <v/>
      </c>
      <c r="S1205">
        <f>$C1205*S1204</f>
        <v/>
      </c>
      <c r="T1205">
        <f>$C1205*T1204</f>
        <v/>
      </c>
      <c r="U1205">
        <f>$C1205*U1204</f>
        <v/>
      </c>
      <c r="V1205">
        <f>$C1205*V1204</f>
        <v/>
      </c>
      <c r="W1205">
        <f>$C1205*W1204</f>
        <v/>
      </c>
      <c r="X1205">
        <f>$C1205*X1204</f>
        <v/>
      </c>
      <c r="Y1205">
        <f>$C1205*Y1204</f>
        <v/>
      </c>
      <c r="Z1205">
        <f>$C1205*Z1204</f>
        <v/>
      </c>
      <c r="AA1205">
        <f>$C1205*AA1204</f>
        <v/>
      </c>
      <c r="AB1205">
        <f>$C1205*AB1204</f>
        <v/>
      </c>
      <c r="AC1205">
        <f>$C1205*AC1204</f>
        <v/>
      </c>
      <c r="AD1205">
        <f>$C1205*AD1204</f>
        <v/>
      </c>
      <c r="AE1205">
        <f>$C1205*AE1204</f>
        <v/>
      </c>
      <c r="AF1205">
        <f>$C1205*AF1204</f>
        <v/>
      </c>
      <c r="AG1205">
        <f>$C1205*AG1204</f>
        <v/>
      </c>
      <c r="AH1205">
        <f>$C1205*AH1204</f>
        <v/>
      </c>
      <c r="AI1205">
        <f>$C1205*AI1204</f>
        <v/>
      </c>
      <c r="AJ1205">
        <f>$C1205*AJ1204</f>
        <v/>
      </c>
      <c r="AK1205">
        <f>$C1205*AK1204</f>
        <v/>
      </c>
      <c r="AL1205">
        <f>$C1205*AL1204</f>
        <v/>
      </c>
      <c r="AM1205">
        <f>$C1205*AM1204</f>
        <v/>
      </c>
      <c r="AN1205">
        <f>$C1205*AN1204</f>
        <v/>
      </c>
      <c r="AO1205">
        <f>$C1205*AO1204</f>
        <v/>
      </c>
      <c r="AP1205">
        <f>$C1205*AP1204</f>
        <v/>
      </c>
      <c r="AQ1205">
        <f>$C1205*AQ1204</f>
        <v/>
      </c>
      <c r="AR1205">
        <f>$C1205*AR1204</f>
        <v/>
      </c>
      <c r="AS1205">
        <f>$C1205*AS1204</f>
        <v/>
      </c>
      <c r="AT1205">
        <f>$C1205*AT1204</f>
        <v/>
      </c>
      <c r="AU1205">
        <f>$C1205*AU1204</f>
        <v/>
      </c>
      <c r="AV1205">
        <f>$C1205*AV1204</f>
        <v/>
      </c>
      <c r="AW1205">
        <f>$C1205*AW1204</f>
        <v/>
      </c>
      <c r="AX1205">
        <f>$C1205*AX1204</f>
        <v/>
      </c>
      <c r="AY1205">
        <f>$C1205*AY1204</f>
        <v/>
      </c>
      <c r="AZ1205">
        <f>$C1205*AZ1204</f>
        <v/>
      </c>
      <c r="BA1205">
        <f>$C1205*BA1204</f>
        <v/>
      </c>
      <c r="BB1205">
        <f>$C1205*BB1204</f>
        <v/>
      </c>
      <c r="BC1205">
        <f>$C1205*BC1204</f>
        <v/>
      </c>
      <c r="BD1205">
        <f>$C1205*BD1204</f>
        <v/>
      </c>
      <c r="BE1205">
        <f>$C1205*BE1204</f>
        <v/>
      </c>
      <c r="BF1205">
        <f>$C1205*BF1204</f>
        <v/>
      </c>
      <c r="BG1205">
        <f>$C1205*BG1204</f>
        <v/>
      </c>
      <c r="BH1205">
        <f>$C1205*BH1204</f>
        <v/>
      </c>
      <c r="BI1205">
        <f>$C1205*BI1204</f>
        <v/>
      </c>
      <c r="BJ1205">
        <f>$C1205*BJ1204</f>
        <v/>
      </c>
      <c r="BK1205">
        <f>$C1205*BK1204</f>
        <v/>
      </c>
      <c r="BL1205">
        <f>$C1205*BL1204</f>
        <v/>
      </c>
      <c r="BM1205">
        <f>$C1205*BM1204</f>
        <v/>
      </c>
      <c r="BN1205">
        <f>$C1205*BN1204</f>
        <v/>
      </c>
      <c r="BO1205">
        <f>$C1205*BO1204</f>
        <v/>
      </c>
      <c r="BP1205">
        <f>$C1205*BP1204</f>
        <v/>
      </c>
      <c r="BQ1205">
        <f>$C1205*BQ1204</f>
        <v/>
      </c>
      <c r="BR1205">
        <f>$C1205*BR1204</f>
        <v/>
      </c>
      <c r="BS1205">
        <f>$C1205*BS1204</f>
        <v/>
      </c>
      <c r="BT1205">
        <f>$C1205*BT1204</f>
        <v/>
      </c>
      <c r="BU1205">
        <f>$C1205*BU1204</f>
        <v/>
      </c>
      <c r="BV1205">
        <f>$C1205*BV1204</f>
        <v/>
      </c>
      <c r="BW1205">
        <f>$C1205*BW1204</f>
        <v/>
      </c>
      <c r="BX1205">
        <f>$C1205*BX1204</f>
        <v/>
      </c>
      <c r="BY1205">
        <f>$C1205*BY1204</f>
        <v/>
      </c>
      <c r="BZ1205">
        <f>$C1205*BZ1204</f>
        <v/>
      </c>
      <c r="CA1205">
        <f>$C1205*CA1204</f>
        <v/>
      </c>
      <c r="CB1205">
        <f>$C1205*CB1204</f>
        <v/>
      </c>
      <c r="CC1205">
        <f>$C1205*CC1204</f>
        <v/>
      </c>
      <c r="CD1205">
        <f>$C1205*CD1204</f>
        <v/>
      </c>
      <c r="CE1205">
        <f>$C1205*CE1204</f>
        <v/>
      </c>
      <c r="CF1205">
        <f>$C1205*CF1204</f>
        <v/>
      </c>
      <c r="CG1205">
        <f>$C1205*CG1204</f>
        <v/>
      </c>
      <c r="CH1205">
        <f>$C1205*CH1204</f>
        <v/>
      </c>
      <c r="CI1205">
        <f>$C1205*CI1204</f>
        <v/>
      </c>
      <c r="CJ1205">
        <f>$C1205*CJ1204</f>
        <v/>
      </c>
      <c r="CK1205">
        <f>$C1205*CK1204</f>
        <v/>
      </c>
      <c r="CL1205">
        <f>$C1205*CL1204</f>
        <v/>
      </c>
      <c r="CM1205">
        <f>$C1205*CM1204</f>
        <v/>
      </c>
      <c r="CN1205">
        <f>$C1205*CN1204</f>
        <v/>
      </c>
      <c r="CO1205">
        <f>$C1205*CO1204</f>
        <v/>
      </c>
      <c r="CP1205">
        <f>$C1205*CP1204</f>
        <v/>
      </c>
      <c r="CQ1205">
        <f>$C1205*CQ1204</f>
        <v/>
      </c>
      <c r="CR1205">
        <f>$C1205*CR1204</f>
        <v/>
      </c>
      <c r="CS1205">
        <f>$C1205*CS1204</f>
        <v/>
      </c>
      <c r="CT1205">
        <f>$C1205*CT1204</f>
        <v/>
      </c>
      <c r="CU1205">
        <f>$C1205*CU1204</f>
        <v/>
      </c>
      <c r="CV1205">
        <f>$C1205*CV1204</f>
        <v/>
      </c>
      <c r="CW1205">
        <f>$C1205*CW1204</f>
        <v/>
      </c>
      <c r="CX1205">
        <f>$C1205*CX1204</f>
        <v/>
      </c>
      <c r="CY1205">
        <f>$C1205*CY1204</f>
        <v/>
      </c>
      <c r="CZ1205">
        <f>$C1205*CZ1204</f>
        <v/>
      </c>
      <c r="DA1205">
        <f>$C1205*DA1204</f>
        <v/>
      </c>
      <c r="DB1205">
        <f>$C1205*DB1204</f>
        <v/>
      </c>
      <c r="DC1205">
        <f>$C1205*DC1204</f>
        <v/>
      </c>
      <c r="DD1205">
        <f>$C1205*DD1204</f>
        <v/>
      </c>
    </row>
    <row r="1206">
      <c r="B1206" t="inlineStr">
        <is>
          <t>VSP-990</t>
        </is>
      </c>
      <c r="C1206" t="inlineStr">
        <is>
          <t>No. of batches</t>
        </is>
      </c>
      <c r="D1206">
        <f>IFERROR(INDEX(E1206:DD1206,$F$1),"")</f>
        <v/>
      </c>
      <c r="E1206">
        <f>IFERROR(INDEX(PP_Grid[#Data],$DE1206,2),0)</f>
        <v/>
      </c>
      <c r="F1206">
        <f>IFERROR(INDEX(PP_Grid[#Data],$DE1206,3),0)</f>
        <v/>
      </c>
      <c r="G1206">
        <f>IFERROR(INDEX(PP_Grid[#Data],$DE1206,4),0)</f>
        <v/>
      </c>
      <c r="H1206">
        <f>IFERROR(INDEX(PP_Grid[#Data],$DE1206,5),0)</f>
        <v/>
      </c>
      <c r="I1206">
        <f>IFERROR(INDEX(PP_Grid[#Data],$DE1206,6),0)</f>
        <v/>
      </c>
      <c r="J1206">
        <f>IFERROR(INDEX(PP_Grid[#Data],$DE1206,7),0)</f>
        <v/>
      </c>
      <c r="K1206">
        <f>IFERROR(INDEX(PP_Grid[#Data],$DE1206,8),0)</f>
        <v/>
      </c>
      <c r="L1206">
        <f>IFERROR(INDEX(PP_Grid[#Data],$DE1206,9),0)</f>
        <v/>
      </c>
      <c r="M1206">
        <f>IFERROR(INDEX(PP_Grid[#Data],$DE1206,10),0)</f>
        <v/>
      </c>
      <c r="N1206">
        <f>IFERROR(INDEX(PP_Grid[#Data],$DE1206,11),0)</f>
        <v/>
      </c>
      <c r="O1206">
        <f>IFERROR(INDEX(PP_Grid[#Data],$DE1206,12),0)</f>
        <v/>
      </c>
      <c r="P1206">
        <f>IFERROR(INDEX(PP_Grid[#Data],$DE1206,13),0)</f>
        <v/>
      </c>
      <c r="Q1206">
        <f>IFERROR(INDEX(PP_Grid[#Data],$DE1206,14),0)</f>
        <v/>
      </c>
      <c r="R1206">
        <f>IFERROR(INDEX(PP_Grid[#Data],$DE1206,15),0)</f>
        <v/>
      </c>
      <c r="S1206">
        <f>IFERROR(INDEX(PP_Grid[#Data],$DE1206,16),0)</f>
        <v/>
      </c>
      <c r="T1206">
        <f>IFERROR(INDEX(PP_Grid[#Data],$DE1206,17),0)</f>
        <v/>
      </c>
      <c r="U1206">
        <f>IFERROR(INDEX(PP_Grid[#Data],$DE1206,18),0)</f>
        <v/>
      </c>
      <c r="V1206">
        <f>IFERROR(INDEX(PP_Grid[#Data],$DE1206,19),0)</f>
        <v/>
      </c>
      <c r="W1206">
        <f>IFERROR(INDEX(PP_Grid[#Data],$DE1206,20),0)</f>
        <v/>
      </c>
      <c r="X1206">
        <f>IFERROR(INDEX(PP_Grid[#Data],$DE1206,21),0)</f>
        <v/>
      </c>
      <c r="Y1206">
        <f>IFERROR(INDEX(PP_Grid[#Data],$DE1206,22),0)</f>
        <v/>
      </c>
      <c r="Z1206">
        <f>IFERROR(INDEX(PP_Grid[#Data],$DE1206,23),0)</f>
        <v/>
      </c>
      <c r="AA1206">
        <f>IFERROR(INDEX(PP_Grid[#Data],$DE1206,24),0)</f>
        <v/>
      </c>
      <c r="AB1206">
        <f>IFERROR(INDEX(PP_Grid[#Data],$DE1206,25),0)</f>
        <v/>
      </c>
      <c r="AC1206">
        <f>IFERROR(INDEX(PP_Grid[#Data],$DE1206,26),0)</f>
        <v/>
      </c>
      <c r="AD1206">
        <f>IFERROR(INDEX(PP_Grid[#Data],$DE1206,27),0)</f>
        <v/>
      </c>
      <c r="AE1206">
        <f>IFERROR(INDEX(PP_Grid[#Data],$DE1206,28),0)</f>
        <v/>
      </c>
      <c r="AF1206">
        <f>IFERROR(INDEX(PP_Grid[#Data],$DE1206,29),0)</f>
        <v/>
      </c>
      <c r="AG1206">
        <f>IFERROR(INDEX(PP_Grid[#Data],$DE1206,30),0)</f>
        <v/>
      </c>
      <c r="AH1206">
        <f>IFERROR(INDEX(PP_Grid[#Data],$DE1206,31),0)</f>
        <v/>
      </c>
      <c r="AI1206">
        <f>IFERROR(INDEX(PP_Grid[#Data],$DE1206,32),0)</f>
        <v/>
      </c>
      <c r="AJ1206">
        <f>IFERROR(INDEX(PP_Grid[#Data],$DE1206,33),0)</f>
        <v/>
      </c>
      <c r="AK1206">
        <f>IFERROR(INDEX(PP_Grid[#Data],$DE1206,34),0)</f>
        <v/>
      </c>
      <c r="AL1206">
        <f>IFERROR(INDEX(PP_Grid[#Data],$DE1206,35),0)</f>
        <v/>
      </c>
      <c r="AM1206">
        <f>IFERROR(INDEX(PP_Grid[#Data],$DE1206,36),0)</f>
        <v/>
      </c>
      <c r="AN1206">
        <f>IFERROR(INDEX(PP_Grid[#Data],$DE1206,37),0)</f>
        <v/>
      </c>
      <c r="AO1206">
        <f>IFERROR(INDEX(PP_Grid[#Data],$DE1206,38),0)</f>
        <v/>
      </c>
      <c r="AP1206">
        <f>IFERROR(INDEX(PP_Grid[#Data],$DE1206,39),0)</f>
        <v/>
      </c>
      <c r="AQ1206">
        <f>IFERROR(INDEX(PP_Grid[#Data],$DE1206,40),0)</f>
        <v/>
      </c>
      <c r="AR1206">
        <f>IFERROR(INDEX(PP_Grid[#Data],$DE1206,41),0)</f>
        <v/>
      </c>
      <c r="AS1206">
        <f>IFERROR(INDEX(PP_Grid[#Data],$DE1206,42),0)</f>
        <v/>
      </c>
      <c r="AT1206">
        <f>IFERROR(INDEX(PP_Grid[#Data],$DE1206,43),0)</f>
        <v/>
      </c>
      <c r="AU1206">
        <f>IFERROR(INDEX(PP_Grid[#Data],$DE1206,44),0)</f>
        <v/>
      </c>
      <c r="AV1206">
        <f>IFERROR(INDEX(PP_Grid[#Data],$DE1206,45),0)</f>
        <v/>
      </c>
      <c r="AW1206">
        <f>IFERROR(INDEX(PP_Grid[#Data],$DE1206,46),0)</f>
        <v/>
      </c>
      <c r="AX1206">
        <f>IFERROR(INDEX(PP_Grid[#Data],$DE1206,47),0)</f>
        <v/>
      </c>
      <c r="AY1206">
        <f>IFERROR(INDEX(PP_Grid[#Data],$DE1206,48),0)</f>
        <v/>
      </c>
      <c r="AZ1206">
        <f>IFERROR(INDEX(PP_Grid[#Data],$DE1206,49),0)</f>
        <v/>
      </c>
      <c r="BA1206">
        <f>IFERROR(INDEX(PP_Grid[#Data],$DE1206,50),0)</f>
        <v/>
      </c>
      <c r="BB1206">
        <f>IFERROR(INDEX(PP_Grid[#Data],$DE1206,51),0)</f>
        <v/>
      </c>
      <c r="BC1206">
        <f>IFERROR(INDEX(PP_Grid[#Data],$DE1206,52),0)</f>
        <v/>
      </c>
      <c r="BD1206">
        <f>IFERROR(INDEX(PP_Grid[#Data],$DE1206,53),0)</f>
        <v/>
      </c>
      <c r="BE1206">
        <f>IFERROR(INDEX(PP_Grid[#Data],$DE1206,54),0)</f>
        <v/>
      </c>
      <c r="BF1206">
        <f>IFERROR(INDEX(PP_Grid[#Data],$DE1206,55),0)</f>
        <v/>
      </c>
      <c r="BG1206">
        <f>IFERROR(INDEX(PP_Grid[#Data],$DE1206,56),0)</f>
        <v/>
      </c>
      <c r="BH1206">
        <f>IFERROR(INDEX(PP_Grid[#Data],$DE1206,57),0)</f>
        <v/>
      </c>
      <c r="BI1206">
        <f>IFERROR(INDEX(PP_Grid[#Data],$DE1206,58),0)</f>
        <v/>
      </c>
      <c r="BJ1206">
        <f>IFERROR(INDEX(PP_Grid[#Data],$DE1206,59),0)</f>
        <v/>
      </c>
      <c r="BK1206">
        <f>IFERROR(INDEX(PP_Grid[#Data],$DE1206,60),0)</f>
        <v/>
      </c>
      <c r="BL1206">
        <f>IFERROR(INDEX(PP_Grid[#Data],$DE1206,61),0)</f>
        <v/>
      </c>
      <c r="BM1206">
        <f>IFERROR(INDEX(PP_Grid[#Data],$DE1206,62),0)</f>
        <v/>
      </c>
      <c r="BN1206">
        <f>IFERROR(INDEX(PP_Grid[#Data],$DE1206,63),0)</f>
        <v/>
      </c>
      <c r="BO1206">
        <f>IFERROR(INDEX(PP_Grid[#Data],$DE1206,64),0)</f>
        <v/>
      </c>
      <c r="BP1206">
        <f>IFERROR(INDEX(PP_Grid[#Data],$DE1206,65),0)</f>
        <v/>
      </c>
      <c r="BQ1206">
        <f>IFERROR(INDEX(PP_Grid[#Data],$DE1206,66),0)</f>
        <v/>
      </c>
      <c r="BR1206">
        <f>IFERROR(INDEX(PP_Grid[#Data],$DE1206,67),0)</f>
        <v/>
      </c>
      <c r="BS1206">
        <f>IFERROR(INDEX(PP_Grid[#Data],$DE1206,68),0)</f>
        <v/>
      </c>
      <c r="BT1206">
        <f>IFERROR(INDEX(PP_Grid[#Data],$DE1206,69),0)</f>
        <v/>
      </c>
      <c r="BU1206">
        <f>IFERROR(INDEX(PP_Grid[#Data],$DE1206,70),0)</f>
        <v/>
      </c>
      <c r="BV1206">
        <f>IFERROR(INDEX(PP_Grid[#Data],$DE1206,71),0)</f>
        <v/>
      </c>
      <c r="BW1206">
        <f>IFERROR(INDEX(PP_Grid[#Data],$DE1206,72),0)</f>
        <v/>
      </c>
      <c r="BX1206">
        <f>IFERROR(INDEX(PP_Grid[#Data],$DE1206,73),0)</f>
        <v/>
      </c>
      <c r="BY1206">
        <f>IFERROR(INDEX(PP_Grid[#Data],$DE1206,74),0)</f>
        <v/>
      </c>
      <c r="BZ1206">
        <f>IFERROR(INDEX(PP_Grid[#Data],$DE1206,75),0)</f>
        <v/>
      </c>
      <c r="CA1206">
        <f>IFERROR(INDEX(PP_Grid[#Data],$DE1206,76),0)</f>
        <v/>
      </c>
      <c r="CB1206">
        <f>IFERROR(INDEX(PP_Grid[#Data],$DE1206,77),0)</f>
        <v/>
      </c>
      <c r="CC1206">
        <f>IFERROR(INDEX(PP_Grid[#Data],$DE1206,78),0)</f>
        <v/>
      </c>
      <c r="CD1206">
        <f>IFERROR(INDEX(PP_Grid[#Data],$DE1206,79),0)</f>
        <v/>
      </c>
      <c r="CE1206">
        <f>IFERROR(INDEX(PP_Grid[#Data],$DE1206,80),0)</f>
        <v/>
      </c>
      <c r="CF1206">
        <f>IFERROR(INDEX(PP_Grid[#Data],$DE1206,81),0)</f>
        <v/>
      </c>
      <c r="CG1206">
        <f>IFERROR(INDEX(PP_Grid[#Data],$DE1206,82),0)</f>
        <v/>
      </c>
      <c r="CH1206">
        <f>IFERROR(INDEX(PP_Grid[#Data],$DE1206,83),0)</f>
        <v/>
      </c>
      <c r="CI1206">
        <f>IFERROR(INDEX(PP_Grid[#Data],$DE1206,84),0)</f>
        <v/>
      </c>
      <c r="CJ1206">
        <f>IFERROR(INDEX(PP_Grid[#Data],$DE1206,85),0)</f>
        <v/>
      </c>
      <c r="CK1206">
        <f>IFERROR(INDEX(PP_Grid[#Data],$DE1206,86),0)</f>
        <v/>
      </c>
      <c r="CL1206">
        <f>IFERROR(INDEX(PP_Grid[#Data],$DE1206,87),0)</f>
        <v/>
      </c>
      <c r="CM1206">
        <f>IFERROR(INDEX(PP_Grid[#Data],$DE1206,88),0)</f>
        <v/>
      </c>
      <c r="CN1206">
        <f>IFERROR(INDEX(PP_Grid[#Data],$DE1206,89),0)</f>
        <v/>
      </c>
      <c r="CO1206">
        <f>IFERROR(INDEX(PP_Grid[#Data],$DE1206,90),0)</f>
        <v/>
      </c>
      <c r="CP1206">
        <f>IFERROR(INDEX(PP_Grid[#Data],$DE1206,91),0)</f>
        <v/>
      </c>
      <c r="CQ1206">
        <f>IFERROR(INDEX(PP_Grid[#Data],$DE1206,92),0)</f>
        <v/>
      </c>
      <c r="CR1206">
        <f>IFERROR(INDEX(PP_Grid[#Data],$DE1206,93),0)</f>
        <v/>
      </c>
      <c r="CS1206">
        <f>IFERROR(INDEX(PP_Grid[#Data],$DE1206,94),0)</f>
        <v/>
      </c>
      <c r="CT1206">
        <f>IFERROR(INDEX(PP_Grid[#Data],$DE1206,95),0)</f>
        <v/>
      </c>
      <c r="CU1206">
        <f>IFERROR(INDEX(PP_Grid[#Data],$DE1206,96),0)</f>
        <v/>
      </c>
      <c r="CV1206">
        <f>IFERROR(INDEX(PP_Grid[#Data],$DE1206,97),0)</f>
        <v/>
      </c>
      <c r="CW1206">
        <f>IFERROR(INDEX(PP_Grid[#Data],$DE1206,98),0)</f>
        <v/>
      </c>
      <c r="CX1206">
        <f>IFERROR(INDEX(PP_Grid[#Data],$DE1206,99),0)</f>
        <v/>
      </c>
      <c r="CY1206">
        <f>IFERROR(INDEX(PP_Grid[#Data],$DE1206,100),0)</f>
        <v/>
      </c>
      <c r="CZ1206">
        <f>IFERROR(INDEX(PP_Grid[#Data],$DE1206,101),0)</f>
        <v/>
      </c>
      <c r="DA1206">
        <f>IFERROR(INDEX(PP_Grid[#Data],$DE1206,102),0)</f>
        <v/>
      </c>
      <c r="DB1206">
        <f>IFERROR(INDEX(PP_Grid[#Data],$DE1206,103),0)</f>
        <v/>
      </c>
      <c r="DC1206">
        <f>IFERROR(INDEX(PP_Grid[#Data],$DE1206,104),0)</f>
        <v/>
      </c>
      <c r="DD1206">
        <f>IFERROR(INDEX(PP_Grid[#Data],$DE1206,105),0)</f>
        <v/>
      </c>
      <c r="DE1206" s="7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SUMIFS(M_BOM[RM_Qty_Per_Batch],M_BOM[Intermediate],$B1206,M_BOM[RM_Code],$A1173)</f>
        <v/>
      </c>
      <c r="D1207">
        <f>IFERROR(INDEX(E1207:DD1207,$F$1),"")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  <c r="DD1207">
        <f>$C1207*DD1206</f>
        <v/>
      </c>
    </row>
    <row r="1208">
      <c r="B1208" t="inlineStr">
        <is>
          <t>VSZ-745</t>
        </is>
      </c>
      <c r="C1208" t="inlineStr">
        <is>
          <t>No. of batches</t>
        </is>
      </c>
      <c r="D1208">
        <f>IFERROR(INDEX(E1208:DD1208,$F$1),"")</f>
        <v/>
      </c>
      <c r="E1208">
        <f>IFERROR(INDEX(PP_Grid[#Data],$DE1208,2),0)</f>
        <v/>
      </c>
      <c r="F1208">
        <f>IFERROR(INDEX(PP_Grid[#Data],$DE1208,3),0)</f>
        <v/>
      </c>
      <c r="G1208">
        <f>IFERROR(INDEX(PP_Grid[#Data],$DE1208,4),0)</f>
        <v/>
      </c>
      <c r="H1208">
        <f>IFERROR(INDEX(PP_Grid[#Data],$DE1208,5),0)</f>
        <v/>
      </c>
      <c r="I1208">
        <f>IFERROR(INDEX(PP_Grid[#Data],$DE1208,6),0)</f>
        <v/>
      </c>
      <c r="J1208">
        <f>IFERROR(INDEX(PP_Grid[#Data],$DE1208,7),0)</f>
        <v/>
      </c>
      <c r="K1208">
        <f>IFERROR(INDEX(PP_Grid[#Data],$DE1208,8),0)</f>
        <v/>
      </c>
      <c r="L1208">
        <f>IFERROR(INDEX(PP_Grid[#Data],$DE1208,9),0)</f>
        <v/>
      </c>
      <c r="M1208">
        <f>IFERROR(INDEX(PP_Grid[#Data],$DE1208,10),0)</f>
        <v/>
      </c>
      <c r="N1208">
        <f>IFERROR(INDEX(PP_Grid[#Data],$DE1208,11),0)</f>
        <v/>
      </c>
      <c r="O1208">
        <f>IFERROR(INDEX(PP_Grid[#Data],$DE1208,12),0)</f>
        <v/>
      </c>
      <c r="P1208">
        <f>IFERROR(INDEX(PP_Grid[#Data],$DE1208,13),0)</f>
        <v/>
      </c>
      <c r="Q1208">
        <f>IFERROR(INDEX(PP_Grid[#Data],$DE1208,14),0)</f>
        <v/>
      </c>
      <c r="R1208">
        <f>IFERROR(INDEX(PP_Grid[#Data],$DE1208,15),0)</f>
        <v/>
      </c>
      <c r="S1208">
        <f>IFERROR(INDEX(PP_Grid[#Data],$DE1208,16),0)</f>
        <v/>
      </c>
      <c r="T1208">
        <f>IFERROR(INDEX(PP_Grid[#Data],$DE1208,17),0)</f>
        <v/>
      </c>
      <c r="U1208">
        <f>IFERROR(INDEX(PP_Grid[#Data],$DE1208,18),0)</f>
        <v/>
      </c>
      <c r="V1208">
        <f>IFERROR(INDEX(PP_Grid[#Data],$DE1208,19),0)</f>
        <v/>
      </c>
      <c r="W1208">
        <f>IFERROR(INDEX(PP_Grid[#Data],$DE1208,20),0)</f>
        <v/>
      </c>
      <c r="X1208">
        <f>IFERROR(INDEX(PP_Grid[#Data],$DE1208,21),0)</f>
        <v/>
      </c>
      <c r="Y1208">
        <f>IFERROR(INDEX(PP_Grid[#Data],$DE1208,22),0)</f>
        <v/>
      </c>
      <c r="Z1208">
        <f>IFERROR(INDEX(PP_Grid[#Data],$DE1208,23),0)</f>
        <v/>
      </c>
      <c r="AA1208">
        <f>IFERROR(INDEX(PP_Grid[#Data],$DE1208,24),0)</f>
        <v/>
      </c>
      <c r="AB1208">
        <f>IFERROR(INDEX(PP_Grid[#Data],$DE1208,25),0)</f>
        <v/>
      </c>
      <c r="AC1208">
        <f>IFERROR(INDEX(PP_Grid[#Data],$DE1208,26),0)</f>
        <v/>
      </c>
      <c r="AD1208">
        <f>IFERROR(INDEX(PP_Grid[#Data],$DE1208,27),0)</f>
        <v/>
      </c>
      <c r="AE1208">
        <f>IFERROR(INDEX(PP_Grid[#Data],$DE1208,28),0)</f>
        <v/>
      </c>
      <c r="AF1208">
        <f>IFERROR(INDEX(PP_Grid[#Data],$DE1208,29),0)</f>
        <v/>
      </c>
      <c r="AG1208">
        <f>IFERROR(INDEX(PP_Grid[#Data],$DE1208,30),0)</f>
        <v/>
      </c>
      <c r="AH1208">
        <f>IFERROR(INDEX(PP_Grid[#Data],$DE1208,31),0)</f>
        <v/>
      </c>
      <c r="AI1208">
        <f>IFERROR(INDEX(PP_Grid[#Data],$DE1208,32),0)</f>
        <v/>
      </c>
      <c r="AJ1208">
        <f>IFERROR(INDEX(PP_Grid[#Data],$DE1208,33),0)</f>
        <v/>
      </c>
      <c r="AK1208">
        <f>IFERROR(INDEX(PP_Grid[#Data],$DE1208,34),0)</f>
        <v/>
      </c>
      <c r="AL1208">
        <f>IFERROR(INDEX(PP_Grid[#Data],$DE1208,35),0)</f>
        <v/>
      </c>
      <c r="AM1208">
        <f>IFERROR(INDEX(PP_Grid[#Data],$DE1208,36),0)</f>
        <v/>
      </c>
      <c r="AN1208">
        <f>IFERROR(INDEX(PP_Grid[#Data],$DE1208,37),0)</f>
        <v/>
      </c>
      <c r="AO1208">
        <f>IFERROR(INDEX(PP_Grid[#Data],$DE1208,38),0)</f>
        <v/>
      </c>
      <c r="AP1208">
        <f>IFERROR(INDEX(PP_Grid[#Data],$DE1208,39),0)</f>
        <v/>
      </c>
      <c r="AQ1208">
        <f>IFERROR(INDEX(PP_Grid[#Data],$DE1208,40),0)</f>
        <v/>
      </c>
      <c r="AR1208">
        <f>IFERROR(INDEX(PP_Grid[#Data],$DE1208,41),0)</f>
        <v/>
      </c>
      <c r="AS1208">
        <f>IFERROR(INDEX(PP_Grid[#Data],$DE1208,42),0)</f>
        <v/>
      </c>
      <c r="AT1208">
        <f>IFERROR(INDEX(PP_Grid[#Data],$DE1208,43),0)</f>
        <v/>
      </c>
      <c r="AU1208">
        <f>IFERROR(INDEX(PP_Grid[#Data],$DE1208,44),0)</f>
        <v/>
      </c>
      <c r="AV1208">
        <f>IFERROR(INDEX(PP_Grid[#Data],$DE1208,45),0)</f>
        <v/>
      </c>
      <c r="AW1208">
        <f>IFERROR(INDEX(PP_Grid[#Data],$DE1208,46),0)</f>
        <v/>
      </c>
      <c r="AX1208">
        <f>IFERROR(INDEX(PP_Grid[#Data],$DE1208,47),0)</f>
        <v/>
      </c>
      <c r="AY1208">
        <f>IFERROR(INDEX(PP_Grid[#Data],$DE1208,48),0)</f>
        <v/>
      </c>
      <c r="AZ1208">
        <f>IFERROR(INDEX(PP_Grid[#Data],$DE1208,49),0)</f>
        <v/>
      </c>
      <c r="BA1208">
        <f>IFERROR(INDEX(PP_Grid[#Data],$DE1208,50),0)</f>
        <v/>
      </c>
      <c r="BB1208">
        <f>IFERROR(INDEX(PP_Grid[#Data],$DE1208,51),0)</f>
        <v/>
      </c>
      <c r="BC1208">
        <f>IFERROR(INDEX(PP_Grid[#Data],$DE1208,52),0)</f>
        <v/>
      </c>
      <c r="BD1208">
        <f>IFERROR(INDEX(PP_Grid[#Data],$DE1208,53),0)</f>
        <v/>
      </c>
      <c r="BE1208">
        <f>IFERROR(INDEX(PP_Grid[#Data],$DE1208,54),0)</f>
        <v/>
      </c>
      <c r="BF1208">
        <f>IFERROR(INDEX(PP_Grid[#Data],$DE1208,55),0)</f>
        <v/>
      </c>
      <c r="BG1208">
        <f>IFERROR(INDEX(PP_Grid[#Data],$DE1208,56),0)</f>
        <v/>
      </c>
      <c r="BH1208">
        <f>IFERROR(INDEX(PP_Grid[#Data],$DE1208,57),0)</f>
        <v/>
      </c>
      <c r="BI1208">
        <f>IFERROR(INDEX(PP_Grid[#Data],$DE1208,58),0)</f>
        <v/>
      </c>
      <c r="BJ1208">
        <f>IFERROR(INDEX(PP_Grid[#Data],$DE1208,59),0)</f>
        <v/>
      </c>
      <c r="BK1208">
        <f>IFERROR(INDEX(PP_Grid[#Data],$DE1208,60),0)</f>
        <v/>
      </c>
      <c r="BL1208">
        <f>IFERROR(INDEX(PP_Grid[#Data],$DE1208,61),0)</f>
        <v/>
      </c>
      <c r="BM1208">
        <f>IFERROR(INDEX(PP_Grid[#Data],$DE1208,62),0)</f>
        <v/>
      </c>
      <c r="BN1208">
        <f>IFERROR(INDEX(PP_Grid[#Data],$DE1208,63),0)</f>
        <v/>
      </c>
      <c r="BO1208">
        <f>IFERROR(INDEX(PP_Grid[#Data],$DE1208,64),0)</f>
        <v/>
      </c>
      <c r="BP1208">
        <f>IFERROR(INDEX(PP_Grid[#Data],$DE1208,65),0)</f>
        <v/>
      </c>
      <c r="BQ1208">
        <f>IFERROR(INDEX(PP_Grid[#Data],$DE1208,66),0)</f>
        <v/>
      </c>
      <c r="BR1208">
        <f>IFERROR(INDEX(PP_Grid[#Data],$DE1208,67),0)</f>
        <v/>
      </c>
      <c r="BS1208">
        <f>IFERROR(INDEX(PP_Grid[#Data],$DE1208,68),0)</f>
        <v/>
      </c>
      <c r="BT1208">
        <f>IFERROR(INDEX(PP_Grid[#Data],$DE1208,69),0)</f>
        <v/>
      </c>
      <c r="BU1208">
        <f>IFERROR(INDEX(PP_Grid[#Data],$DE1208,70),0)</f>
        <v/>
      </c>
      <c r="BV1208">
        <f>IFERROR(INDEX(PP_Grid[#Data],$DE1208,71),0)</f>
        <v/>
      </c>
      <c r="BW1208">
        <f>IFERROR(INDEX(PP_Grid[#Data],$DE1208,72),0)</f>
        <v/>
      </c>
      <c r="BX1208">
        <f>IFERROR(INDEX(PP_Grid[#Data],$DE1208,73),0)</f>
        <v/>
      </c>
      <c r="BY1208">
        <f>IFERROR(INDEX(PP_Grid[#Data],$DE1208,74),0)</f>
        <v/>
      </c>
      <c r="BZ1208">
        <f>IFERROR(INDEX(PP_Grid[#Data],$DE1208,75),0)</f>
        <v/>
      </c>
      <c r="CA1208">
        <f>IFERROR(INDEX(PP_Grid[#Data],$DE1208,76),0)</f>
        <v/>
      </c>
      <c r="CB1208">
        <f>IFERROR(INDEX(PP_Grid[#Data],$DE1208,77),0)</f>
        <v/>
      </c>
      <c r="CC1208">
        <f>IFERROR(INDEX(PP_Grid[#Data],$DE1208,78),0)</f>
        <v/>
      </c>
      <c r="CD1208">
        <f>IFERROR(INDEX(PP_Grid[#Data],$DE1208,79),0)</f>
        <v/>
      </c>
      <c r="CE1208">
        <f>IFERROR(INDEX(PP_Grid[#Data],$DE1208,80),0)</f>
        <v/>
      </c>
      <c r="CF1208">
        <f>IFERROR(INDEX(PP_Grid[#Data],$DE1208,81),0)</f>
        <v/>
      </c>
      <c r="CG1208">
        <f>IFERROR(INDEX(PP_Grid[#Data],$DE1208,82),0)</f>
        <v/>
      </c>
      <c r="CH1208">
        <f>IFERROR(INDEX(PP_Grid[#Data],$DE1208,83),0)</f>
        <v/>
      </c>
      <c r="CI1208">
        <f>IFERROR(INDEX(PP_Grid[#Data],$DE1208,84),0)</f>
        <v/>
      </c>
      <c r="CJ1208">
        <f>IFERROR(INDEX(PP_Grid[#Data],$DE1208,85),0)</f>
        <v/>
      </c>
      <c r="CK1208">
        <f>IFERROR(INDEX(PP_Grid[#Data],$DE1208,86),0)</f>
        <v/>
      </c>
      <c r="CL1208">
        <f>IFERROR(INDEX(PP_Grid[#Data],$DE1208,87),0)</f>
        <v/>
      </c>
      <c r="CM1208">
        <f>IFERROR(INDEX(PP_Grid[#Data],$DE1208,88),0)</f>
        <v/>
      </c>
      <c r="CN1208">
        <f>IFERROR(INDEX(PP_Grid[#Data],$DE1208,89),0)</f>
        <v/>
      </c>
      <c r="CO1208">
        <f>IFERROR(INDEX(PP_Grid[#Data],$DE1208,90),0)</f>
        <v/>
      </c>
      <c r="CP1208">
        <f>IFERROR(INDEX(PP_Grid[#Data],$DE1208,91),0)</f>
        <v/>
      </c>
      <c r="CQ1208">
        <f>IFERROR(INDEX(PP_Grid[#Data],$DE1208,92),0)</f>
        <v/>
      </c>
      <c r="CR1208">
        <f>IFERROR(INDEX(PP_Grid[#Data],$DE1208,93),0)</f>
        <v/>
      </c>
      <c r="CS1208">
        <f>IFERROR(INDEX(PP_Grid[#Data],$DE1208,94),0)</f>
        <v/>
      </c>
      <c r="CT1208">
        <f>IFERROR(INDEX(PP_Grid[#Data],$DE1208,95),0)</f>
        <v/>
      </c>
      <c r="CU1208">
        <f>IFERROR(INDEX(PP_Grid[#Data],$DE1208,96),0)</f>
        <v/>
      </c>
      <c r="CV1208">
        <f>IFERROR(INDEX(PP_Grid[#Data],$DE1208,97),0)</f>
        <v/>
      </c>
      <c r="CW1208">
        <f>IFERROR(INDEX(PP_Grid[#Data],$DE1208,98),0)</f>
        <v/>
      </c>
      <c r="CX1208">
        <f>IFERROR(INDEX(PP_Grid[#Data],$DE1208,99),0)</f>
        <v/>
      </c>
      <c r="CY1208">
        <f>IFERROR(INDEX(PP_Grid[#Data],$DE1208,100),0)</f>
        <v/>
      </c>
      <c r="CZ1208">
        <f>IFERROR(INDEX(PP_Grid[#Data],$DE1208,101),0)</f>
        <v/>
      </c>
      <c r="DA1208">
        <f>IFERROR(INDEX(PP_Grid[#Data],$DE1208,102),0)</f>
        <v/>
      </c>
      <c r="DB1208">
        <f>IFERROR(INDEX(PP_Grid[#Data],$DE1208,103),0)</f>
        <v/>
      </c>
      <c r="DC1208">
        <f>IFERROR(INDEX(PP_Grid[#Data],$DE1208,104),0)</f>
        <v/>
      </c>
      <c r="DD1208">
        <f>IFERROR(INDEX(PP_Grid[#Data],$DE1208,105),0)</f>
        <v/>
      </c>
      <c r="DE1208" s="7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SUMIFS(M_BOM[RM_Qty_Per_Batch],M_BOM[Intermediate],$B1208,M_BOM[RM_Code],$A1173)</f>
        <v/>
      </c>
      <c r="D1209">
        <f>IFERROR(INDEX(E1209:DD1209,$F$1),"")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  <c r="DD1209">
        <f>$C1209*DD1208</f>
        <v/>
      </c>
    </row>
    <row r="1210">
      <c r="B1210" t="inlineStr">
        <is>
          <t>TPP-650</t>
        </is>
      </c>
      <c r="C1210" t="inlineStr">
        <is>
          <t>No. of batches</t>
        </is>
      </c>
      <c r="D1210">
        <f>IFERROR(INDEX(E1210:DD1210,$F$1),"")</f>
        <v/>
      </c>
      <c r="E1210">
        <f>IFERROR(INDEX(PP_Grid[#Data],$DE1210,2),0)</f>
        <v/>
      </c>
      <c r="F1210">
        <f>IFERROR(INDEX(PP_Grid[#Data],$DE1210,3),0)</f>
        <v/>
      </c>
      <c r="G1210">
        <f>IFERROR(INDEX(PP_Grid[#Data],$DE1210,4),0)</f>
        <v/>
      </c>
      <c r="H1210">
        <f>IFERROR(INDEX(PP_Grid[#Data],$DE1210,5),0)</f>
        <v/>
      </c>
      <c r="I1210">
        <f>IFERROR(INDEX(PP_Grid[#Data],$DE1210,6),0)</f>
        <v/>
      </c>
      <c r="J1210">
        <f>IFERROR(INDEX(PP_Grid[#Data],$DE1210,7),0)</f>
        <v/>
      </c>
      <c r="K1210">
        <f>IFERROR(INDEX(PP_Grid[#Data],$DE1210,8),0)</f>
        <v/>
      </c>
      <c r="L1210">
        <f>IFERROR(INDEX(PP_Grid[#Data],$DE1210,9),0)</f>
        <v/>
      </c>
      <c r="M1210">
        <f>IFERROR(INDEX(PP_Grid[#Data],$DE1210,10),0)</f>
        <v/>
      </c>
      <c r="N1210">
        <f>IFERROR(INDEX(PP_Grid[#Data],$DE1210,11),0)</f>
        <v/>
      </c>
      <c r="O1210">
        <f>IFERROR(INDEX(PP_Grid[#Data],$DE1210,12),0)</f>
        <v/>
      </c>
      <c r="P1210">
        <f>IFERROR(INDEX(PP_Grid[#Data],$DE1210,13),0)</f>
        <v/>
      </c>
      <c r="Q1210">
        <f>IFERROR(INDEX(PP_Grid[#Data],$DE1210,14),0)</f>
        <v/>
      </c>
      <c r="R1210">
        <f>IFERROR(INDEX(PP_Grid[#Data],$DE1210,15),0)</f>
        <v/>
      </c>
      <c r="S1210">
        <f>IFERROR(INDEX(PP_Grid[#Data],$DE1210,16),0)</f>
        <v/>
      </c>
      <c r="T1210">
        <f>IFERROR(INDEX(PP_Grid[#Data],$DE1210,17),0)</f>
        <v/>
      </c>
      <c r="U1210">
        <f>IFERROR(INDEX(PP_Grid[#Data],$DE1210,18),0)</f>
        <v/>
      </c>
      <c r="V1210">
        <f>IFERROR(INDEX(PP_Grid[#Data],$DE1210,19),0)</f>
        <v/>
      </c>
      <c r="W1210">
        <f>IFERROR(INDEX(PP_Grid[#Data],$DE1210,20),0)</f>
        <v/>
      </c>
      <c r="X1210">
        <f>IFERROR(INDEX(PP_Grid[#Data],$DE1210,21),0)</f>
        <v/>
      </c>
      <c r="Y1210">
        <f>IFERROR(INDEX(PP_Grid[#Data],$DE1210,22),0)</f>
        <v/>
      </c>
      <c r="Z1210">
        <f>IFERROR(INDEX(PP_Grid[#Data],$DE1210,23),0)</f>
        <v/>
      </c>
      <c r="AA1210">
        <f>IFERROR(INDEX(PP_Grid[#Data],$DE1210,24),0)</f>
        <v/>
      </c>
      <c r="AB1210">
        <f>IFERROR(INDEX(PP_Grid[#Data],$DE1210,25),0)</f>
        <v/>
      </c>
      <c r="AC1210">
        <f>IFERROR(INDEX(PP_Grid[#Data],$DE1210,26),0)</f>
        <v/>
      </c>
      <c r="AD1210">
        <f>IFERROR(INDEX(PP_Grid[#Data],$DE1210,27),0)</f>
        <v/>
      </c>
      <c r="AE1210">
        <f>IFERROR(INDEX(PP_Grid[#Data],$DE1210,28),0)</f>
        <v/>
      </c>
      <c r="AF1210">
        <f>IFERROR(INDEX(PP_Grid[#Data],$DE1210,29),0)</f>
        <v/>
      </c>
      <c r="AG1210">
        <f>IFERROR(INDEX(PP_Grid[#Data],$DE1210,30),0)</f>
        <v/>
      </c>
      <c r="AH1210">
        <f>IFERROR(INDEX(PP_Grid[#Data],$DE1210,31),0)</f>
        <v/>
      </c>
      <c r="AI1210">
        <f>IFERROR(INDEX(PP_Grid[#Data],$DE1210,32),0)</f>
        <v/>
      </c>
      <c r="AJ1210">
        <f>IFERROR(INDEX(PP_Grid[#Data],$DE1210,33),0)</f>
        <v/>
      </c>
      <c r="AK1210">
        <f>IFERROR(INDEX(PP_Grid[#Data],$DE1210,34),0)</f>
        <v/>
      </c>
      <c r="AL1210">
        <f>IFERROR(INDEX(PP_Grid[#Data],$DE1210,35),0)</f>
        <v/>
      </c>
      <c r="AM1210">
        <f>IFERROR(INDEX(PP_Grid[#Data],$DE1210,36),0)</f>
        <v/>
      </c>
      <c r="AN1210">
        <f>IFERROR(INDEX(PP_Grid[#Data],$DE1210,37),0)</f>
        <v/>
      </c>
      <c r="AO1210">
        <f>IFERROR(INDEX(PP_Grid[#Data],$DE1210,38),0)</f>
        <v/>
      </c>
      <c r="AP1210">
        <f>IFERROR(INDEX(PP_Grid[#Data],$DE1210,39),0)</f>
        <v/>
      </c>
      <c r="AQ1210">
        <f>IFERROR(INDEX(PP_Grid[#Data],$DE1210,40),0)</f>
        <v/>
      </c>
      <c r="AR1210">
        <f>IFERROR(INDEX(PP_Grid[#Data],$DE1210,41),0)</f>
        <v/>
      </c>
      <c r="AS1210">
        <f>IFERROR(INDEX(PP_Grid[#Data],$DE1210,42),0)</f>
        <v/>
      </c>
      <c r="AT1210">
        <f>IFERROR(INDEX(PP_Grid[#Data],$DE1210,43),0)</f>
        <v/>
      </c>
      <c r="AU1210">
        <f>IFERROR(INDEX(PP_Grid[#Data],$DE1210,44),0)</f>
        <v/>
      </c>
      <c r="AV1210">
        <f>IFERROR(INDEX(PP_Grid[#Data],$DE1210,45),0)</f>
        <v/>
      </c>
      <c r="AW1210">
        <f>IFERROR(INDEX(PP_Grid[#Data],$DE1210,46),0)</f>
        <v/>
      </c>
      <c r="AX1210">
        <f>IFERROR(INDEX(PP_Grid[#Data],$DE1210,47),0)</f>
        <v/>
      </c>
      <c r="AY1210">
        <f>IFERROR(INDEX(PP_Grid[#Data],$DE1210,48),0)</f>
        <v/>
      </c>
      <c r="AZ1210">
        <f>IFERROR(INDEX(PP_Grid[#Data],$DE1210,49),0)</f>
        <v/>
      </c>
      <c r="BA1210">
        <f>IFERROR(INDEX(PP_Grid[#Data],$DE1210,50),0)</f>
        <v/>
      </c>
      <c r="BB1210">
        <f>IFERROR(INDEX(PP_Grid[#Data],$DE1210,51),0)</f>
        <v/>
      </c>
      <c r="BC1210">
        <f>IFERROR(INDEX(PP_Grid[#Data],$DE1210,52),0)</f>
        <v/>
      </c>
      <c r="BD1210">
        <f>IFERROR(INDEX(PP_Grid[#Data],$DE1210,53),0)</f>
        <v/>
      </c>
      <c r="BE1210">
        <f>IFERROR(INDEX(PP_Grid[#Data],$DE1210,54),0)</f>
        <v/>
      </c>
      <c r="BF1210">
        <f>IFERROR(INDEX(PP_Grid[#Data],$DE1210,55),0)</f>
        <v/>
      </c>
      <c r="BG1210">
        <f>IFERROR(INDEX(PP_Grid[#Data],$DE1210,56),0)</f>
        <v/>
      </c>
      <c r="BH1210">
        <f>IFERROR(INDEX(PP_Grid[#Data],$DE1210,57),0)</f>
        <v/>
      </c>
      <c r="BI1210">
        <f>IFERROR(INDEX(PP_Grid[#Data],$DE1210,58),0)</f>
        <v/>
      </c>
      <c r="BJ1210">
        <f>IFERROR(INDEX(PP_Grid[#Data],$DE1210,59),0)</f>
        <v/>
      </c>
      <c r="BK1210">
        <f>IFERROR(INDEX(PP_Grid[#Data],$DE1210,60),0)</f>
        <v/>
      </c>
      <c r="BL1210">
        <f>IFERROR(INDEX(PP_Grid[#Data],$DE1210,61),0)</f>
        <v/>
      </c>
      <c r="BM1210">
        <f>IFERROR(INDEX(PP_Grid[#Data],$DE1210,62),0)</f>
        <v/>
      </c>
      <c r="BN1210">
        <f>IFERROR(INDEX(PP_Grid[#Data],$DE1210,63),0)</f>
        <v/>
      </c>
      <c r="BO1210">
        <f>IFERROR(INDEX(PP_Grid[#Data],$DE1210,64),0)</f>
        <v/>
      </c>
      <c r="BP1210">
        <f>IFERROR(INDEX(PP_Grid[#Data],$DE1210,65),0)</f>
        <v/>
      </c>
      <c r="BQ1210">
        <f>IFERROR(INDEX(PP_Grid[#Data],$DE1210,66),0)</f>
        <v/>
      </c>
      <c r="BR1210">
        <f>IFERROR(INDEX(PP_Grid[#Data],$DE1210,67),0)</f>
        <v/>
      </c>
      <c r="BS1210">
        <f>IFERROR(INDEX(PP_Grid[#Data],$DE1210,68),0)</f>
        <v/>
      </c>
      <c r="BT1210">
        <f>IFERROR(INDEX(PP_Grid[#Data],$DE1210,69),0)</f>
        <v/>
      </c>
      <c r="BU1210">
        <f>IFERROR(INDEX(PP_Grid[#Data],$DE1210,70),0)</f>
        <v/>
      </c>
      <c r="BV1210">
        <f>IFERROR(INDEX(PP_Grid[#Data],$DE1210,71),0)</f>
        <v/>
      </c>
      <c r="BW1210">
        <f>IFERROR(INDEX(PP_Grid[#Data],$DE1210,72),0)</f>
        <v/>
      </c>
      <c r="BX1210">
        <f>IFERROR(INDEX(PP_Grid[#Data],$DE1210,73),0)</f>
        <v/>
      </c>
      <c r="BY1210">
        <f>IFERROR(INDEX(PP_Grid[#Data],$DE1210,74),0)</f>
        <v/>
      </c>
      <c r="BZ1210">
        <f>IFERROR(INDEX(PP_Grid[#Data],$DE1210,75),0)</f>
        <v/>
      </c>
      <c r="CA1210">
        <f>IFERROR(INDEX(PP_Grid[#Data],$DE1210,76),0)</f>
        <v/>
      </c>
      <c r="CB1210">
        <f>IFERROR(INDEX(PP_Grid[#Data],$DE1210,77),0)</f>
        <v/>
      </c>
      <c r="CC1210">
        <f>IFERROR(INDEX(PP_Grid[#Data],$DE1210,78),0)</f>
        <v/>
      </c>
      <c r="CD1210">
        <f>IFERROR(INDEX(PP_Grid[#Data],$DE1210,79),0)</f>
        <v/>
      </c>
      <c r="CE1210">
        <f>IFERROR(INDEX(PP_Grid[#Data],$DE1210,80),0)</f>
        <v/>
      </c>
      <c r="CF1210">
        <f>IFERROR(INDEX(PP_Grid[#Data],$DE1210,81),0)</f>
        <v/>
      </c>
      <c r="CG1210">
        <f>IFERROR(INDEX(PP_Grid[#Data],$DE1210,82),0)</f>
        <v/>
      </c>
      <c r="CH1210">
        <f>IFERROR(INDEX(PP_Grid[#Data],$DE1210,83),0)</f>
        <v/>
      </c>
      <c r="CI1210">
        <f>IFERROR(INDEX(PP_Grid[#Data],$DE1210,84),0)</f>
        <v/>
      </c>
      <c r="CJ1210">
        <f>IFERROR(INDEX(PP_Grid[#Data],$DE1210,85),0)</f>
        <v/>
      </c>
      <c r="CK1210">
        <f>IFERROR(INDEX(PP_Grid[#Data],$DE1210,86),0)</f>
        <v/>
      </c>
      <c r="CL1210">
        <f>IFERROR(INDEX(PP_Grid[#Data],$DE1210,87),0)</f>
        <v/>
      </c>
      <c r="CM1210">
        <f>IFERROR(INDEX(PP_Grid[#Data],$DE1210,88),0)</f>
        <v/>
      </c>
      <c r="CN1210">
        <f>IFERROR(INDEX(PP_Grid[#Data],$DE1210,89),0)</f>
        <v/>
      </c>
      <c r="CO1210">
        <f>IFERROR(INDEX(PP_Grid[#Data],$DE1210,90),0)</f>
        <v/>
      </c>
      <c r="CP1210">
        <f>IFERROR(INDEX(PP_Grid[#Data],$DE1210,91),0)</f>
        <v/>
      </c>
      <c r="CQ1210">
        <f>IFERROR(INDEX(PP_Grid[#Data],$DE1210,92),0)</f>
        <v/>
      </c>
      <c r="CR1210">
        <f>IFERROR(INDEX(PP_Grid[#Data],$DE1210,93),0)</f>
        <v/>
      </c>
      <c r="CS1210">
        <f>IFERROR(INDEX(PP_Grid[#Data],$DE1210,94),0)</f>
        <v/>
      </c>
      <c r="CT1210">
        <f>IFERROR(INDEX(PP_Grid[#Data],$DE1210,95),0)</f>
        <v/>
      </c>
      <c r="CU1210">
        <f>IFERROR(INDEX(PP_Grid[#Data],$DE1210,96),0)</f>
        <v/>
      </c>
      <c r="CV1210">
        <f>IFERROR(INDEX(PP_Grid[#Data],$DE1210,97),0)</f>
        <v/>
      </c>
      <c r="CW1210">
        <f>IFERROR(INDEX(PP_Grid[#Data],$DE1210,98),0)</f>
        <v/>
      </c>
      <c r="CX1210">
        <f>IFERROR(INDEX(PP_Grid[#Data],$DE1210,99),0)</f>
        <v/>
      </c>
      <c r="CY1210">
        <f>IFERROR(INDEX(PP_Grid[#Data],$DE1210,100),0)</f>
        <v/>
      </c>
      <c r="CZ1210">
        <f>IFERROR(INDEX(PP_Grid[#Data],$DE1210,101),0)</f>
        <v/>
      </c>
      <c r="DA1210">
        <f>IFERROR(INDEX(PP_Grid[#Data],$DE1210,102),0)</f>
        <v/>
      </c>
      <c r="DB1210">
        <f>IFERROR(INDEX(PP_Grid[#Data],$DE1210,103),0)</f>
        <v/>
      </c>
      <c r="DC1210">
        <f>IFERROR(INDEX(PP_Grid[#Data],$DE1210,104),0)</f>
        <v/>
      </c>
      <c r="DD1210">
        <f>IFERROR(INDEX(PP_Grid[#Data],$DE1210,105),0)</f>
        <v/>
      </c>
      <c r="DE1210" s="7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SUMIFS(M_BOM[RM_Qty_Per_Batch],M_BOM[Intermediate],$B1210,M_BOM[RM_Code],$A1173)</f>
        <v/>
      </c>
      <c r="D1211">
        <f>IFERROR(INDEX(E1211:DD1211,$F$1),"")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  <c r="DD1211">
        <f>$C1211*DD1210</f>
        <v/>
      </c>
    </row>
    <row r="1212">
      <c r="B1212" t="inlineStr">
        <is>
          <t>No of times used</t>
        </is>
      </c>
      <c r="C1212" t="inlineStr">
        <is>
          <t>No. of batches</t>
        </is>
      </c>
      <c r="D1212">
        <f>IFERROR(INDEX(E1212:DD1212,$F$1),"")</f>
        <v/>
      </c>
      <c r="E1212">
        <f>IFERROR(INDEX(PP_Grid[#Data],$DE1212,2),0)</f>
        <v/>
      </c>
      <c r="F1212">
        <f>IFERROR(INDEX(PP_Grid[#Data],$DE1212,3),0)</f>
        <v/>
      </c>
      <c r="G1212">
        <f>IFERROR(INDEX(PP_Grid[#Data],$DE1212,4),0)</f>
        <v/>
      </c>
      <c r="H1212">
        <f>IFERROR(INDEX(PP_Grid[#Data],$DE1212,5),0)</f>
        <v/>
      </c>
      <c r="I1212">
        <f>IFERROR(INDEX(PP_Grid[#Data],$DE1212,6),0)</f>
        <v/>
      </c>
      <c r="J1212">
        <f>IFERROR(INDEX(PP_Grid[#Data],$DE1212,7),0)</f>
        <v/>
      </c>
      <c r="K1212">
        <f>IFERROR(INDEX(PP_Grid[#Data],$DE1212,8),0)</f>
        <v/>
      </c>
      <c r="L1212">
        <f>IFERROR(INDEX(PP_Grid[#Data],$DE1212,9),0)</f>
        <v/>
      </c>
      <c r="M1212">
        <f>IFERROR(INDEX(PP_Grid[#Data],$DE1212,10),0)</f>
        <v/>
      </c>
      <c r="N1212">
        <f>IFERROR(INDEX(PP_Grid[#Data],$DE1212,11),0)</f>
        <v/>
      </c>
      <c r="O1212">
        <f>IFERROR(INDEX(PP_Grid[#Data],$DE1212,12),0)</f>
        <v/>
      </c>
      <c r="P1212">
        <f>IFERROR(INDEX(PP_Grid[#Data],$DE1212,13),0)</f>
        <v/>
      </c>
      <c r="Q1212">
        <f>IFERROR(INDEX(PP_Grid[#Data],$DE1212,14),0)</f>
        <v/>
      </c>
      <c r="R1212">
        <f>IFERROR(INDEX(PP_Grid[#Data],$DE1212,15),0)</f>
        <v/>
      </c>
      <c r="S1212">
        <f>IFERROR(INDEX(PP_Grid[#Data],$DE1212,16),0)</f>
        <v/>
      </c>
      <c r="T1212">
        <f>IFERROR(INDEX(PP_Grid[#Data],$DE1212,17),0)</f>
        <v/>
      </c>
      <c r="U1212">
        <f>IFERROR(INDEX(PP_Grid[#Data],$DE1212,18),0)</f>
        <v/>
      </c>
      <c r="V1212">
        <f>IFERROR(INDEX(PP_Grid[#Data],$DE1212,19),0)</f>
        <v/>
      </c>
      <c r="W1212">
        <f>IFERROR(INDEX(PP_Grid[#Data],$DE1212,20),0)</f>
        <v/>
      </c>
      <c r="X1212">
        <f>IFERROR(INDEX(PP_Grid[#Data],$DE1212,21),0)</f>
        <v/>
      </c>
      <c r="Y1212">
        <f>IFERROR(INDEX(PP_Grid[#Data],$DE1212,22),0)</f>
        <v/>
      </c>
      <c r="Z1212">
        <f>IFERROR(INDEX(PP_Grid[#Data],$DE1212,23),0)</f>
        <v/>
      </c>
      <c r="AA1212">
        <f>IFERROR(INDEX(PP_Grid[#Data],$DE1212,24),0)</f>
        <v/>
      </c>
      <c r="AB1212">
        <f>IFERROR(INDEX(PP_Grid[#Data],$DE1212,25),0)</f>
        <v/>
      </c>
      <c r="AC1212">
        <f>IFERROR(INDEX(PP_Grid[#Data],$DE1212,26),0)</f>
        <v/>
      </c>
      <c r="AD1212">
        <f>IFERROR(INDEX(PP_Grid[#Data],$DE1212,27),0)</f>
        <v/>
      </c>
      <c r="AE1212">
        <f>IFERROR(INDEX(PP_Grid[#Data],$DE1212,28),0)</f>
        <v/>
      </c>
      <c r="AF1212">
        <f>IFERROR(INDEX(PP_Grid[#Data],$DE1212,29),0)</f>
        <v/>
      </c>
      <c r="AG1212">
        <f>IFERROR(INDEX(PP_Grid[#Data],$DE1212,30),0)</f>
        <v/>
      </c>
      <c r="AH1212">
        <f>IFERROR(INDEX(PP_Grid[#Data],$DE1212,31),0)</f>
        <v/>
      </c>
      <c r="AI1212">
        <f>IFERROR(INDEX(PP_Grid[#Data],$DE1212,32),0)</f>
        <v/>
      </c>
      <c r="AJ1212">
        <f>IFERROR(INDEX(PP_Grid[#Data],$DE1212,33),0)</f>
        <v/>
      </c>
      <c r="AK1212">
        <f>IFERROR(INDEX(PP_Grid[#Data],$DE1212,34),0)</f>
        <v/>
      </c>
      <c r="AL1212">
        <f>IFERROR(INDEX(PP_Grid[#Data],$DE1212,35),0)</f>
        <v/>
      </c>
      <c r="AM1212">
        <f>IFERROR(INDEX(PP_Grid[#Data],$DE1212,36),0)</f>
        <v/>
      </c>
      <c r="AN1212">
        <f>IFERROR(INDEX(PP_Grid[#Data],$DE1212,37),0)</f>
        <v/>
      </c>
      <c r="AO1212">
        <f>IFERROR(INDEX(PP_Grid[#Data],$DE1212,38),0)</f>
        <v/>
      </c>
      <c r="AP1212">
        <f>IFERROR(INDEX(PP_Grid[#Data],$DE1212,39),0)</f>
        <v/>
      </c>
      <c r="AQ1212">
        <f>IFERROR(INDEX(PP_Grid[#Data],$DE1212,40),0)</f>
        <v/>
      </c>
      <c r="AR1212">
        <f>IFERROR(INDEX(PP_Grid[#Data],$DE1212,41),0)</f>
        <v/>
      </c>
      <c r="AS1212">
        <f>IFERROR(INDEX(PP_Grid[#Data],$DE1212,42),0)</f>
        <v/>
      </c>
      <c r="AT1212">
        <f>IFERROR(INDEX(PP_Grid[#Data],$DE1212,43),0)</f>
        <v/>
      </c>
      <c r="AU1212">
        <f>IFERROR(INDEX(PP_Grid[#Data],$DE1212,44),0)</f>
        <v/>
      </c>
      <c r="AV1212">
        <f>IFERROR(INDEX(PP_Grid[#Data],$DE1212,45),0)</f>
        <v/>
      </c>
      <c r="AW1212">
        <f>IFERROR(INDEX(PP_Grid[#Data],$DE1212,46),0)</f>
        <v/>
      </c>
      <c r="AX1212">
        <f>IFERROR(INDEX(PP_Grid[#Data],$DE1212,47),0)</f>
        <v/>
      </c>
      <c r="AY1212">
        <f>IFERROR(INDEX(PP_Grid[#Data],$DE1212,48),0)</f>
        <v/>
      </c>
      <c r="AZ1212">
        <f>IFERROR(INDEX(PP_Grid[#Data],$DE1212,49),0)</f>
        <v/>
      </c>
      <c r="BA1212">
        <f>IFERROR(INDEX(PP_Grid[#Data],$DE1212,50),0)</f>
        <v/>
      </c>
      <c r="BB1212">
        <f>IFERROR(INDEX(PP_Grid[#Data],$DE1212,51),0)</f>
        <v/>
      </c>
      <c r="BC1212">
        <f>IFERROR(INDEX(PP_Grid[#Data],$DE1212,52),0)</f>
        <v/>
      </c>
      <c r="BD1212">
        <f>IFERROR(INDEX(PP_Grid[#Data],$DE1212,53),0)</f>
        <v/>
      </c>
      <c r="BE1212">
        <f>IFERROR(INDEX(PP_Grid[#Data],$DE1212,54),0)</f>
        <v/>
      </c>
      <c r="BF1212">
        <f>IFERROR(INDEX(PP_Grid[#Data],$DE1212,55),0)</f>
        <v/>
      </c>
      <c r="BG1212">
        <f>IFERROR(INDEX(PP_Grid[#Data],$DE1212,56),0)</f>
        <v/>
      </c>
      <c r="BH1212">
        <f>IFERROR(INDEX(PP_Grid[#Data],$DE1212,57),0)</f>
        <v/>
      </c>
      <c r="BI1212">
        <f>IFERROR(INDEX(PP_Grid[#Data],$DE1212,58),0)</f>
        <v/>
      </c>
      <c r="BJ1212">
        <f>IFERROR(INDEX(PP_Grid[#Data],$DE1212,59),0)</f>
        <v/>
      </c>
      <c r="BK1212">
        <f>IFERROR(INDEX(PP_Grid[#Data],$DE1212,60),0)</f>
        <v/>
      </c>
      <c r="BL1212">
        <f>IFERROR(INDEX(PP_Grid[#Data],$DE1212,61),0)</f>
        <v/>
      </c>
      <c r="BM1212">
        <f>IFERROR(INDEX(PP_Grid[#Data],$DE1212,62),0)</f>
        <v/>
      </c>
      <c r="BN1212">
        <f>IFERROR(INDEX(PP_Grid[#Data],$DE1212,63),0)</f>
        <v/>
      </c>
      <c r="BO1212">
        <f>IFERROR(INDEX(PP_Grid[#Data],$DE1212,64),0)</f>
        <v/>
      </c>
      <c r="BP1212">
        <f>IFERROR(INDEX(PP_Grid[#Data],$DE1212,65),0)</f>
        <v/>
      </c>
      <c r="BQ1212">
        <f>IFERROR(INDEX(PP_Grid[#Data],$DE1212,66),0)</f>
        <v/>
      </c>
      <c r="BR1212">
        <f>IFERROR(INDEX(PP_Grid[#Data],$DE1212,67),0)</f>
        <v/>
      </c>
      <c r="BS1212">
        <f>IFERROR(INDEX(PP_Grid[#Data],$DE1212,68),0)</f>
        <v/>
      </c>
      <c r="BT1212">
        <f>IFERROR(INDEX(PP_Grid[#Data],$DE1212,69),0)</f>
        <v/>
      </c>
      <c r="BU1212">
        <f>IFERROR(INDEX(PP_Grid[#Data],$DE1212,70),0)</f>
        <v/>
      </c>
      <c r="BV1212">
        <f>IFERROR(INDEX(PP_Grid[#Data],$DE1212,71),0)</f>
        <v/>
      </c>
      <c r="BW1212">
        <f>IFERROR(INDEX(PP_Grid[#Data],$DE1212,72),0)</f>
        <v/>
      </c>
      <c r="BX1212">
        <f>IFERROR(INDEX(PP_Grid[#Data],$DE1212,73),0)</f>
        <v/>
      </c>
      <c r="BY1212">
        <f>IFERROR(INDEX(PP_Grid[#Data],$DE1212,74),0)</f>
        <v/>
      </c>
      <c r="BZ1212">
        <f>IFERROR(INDEX(PP_Grid[#Data],$DE1212,75),0)</f>
        <v/>
      </c>
      <c r="CA1212">
        <f>IFERROR(INDEX(PP_Grid[#Data],$DE1212,76),0)</f>
        <v/>
      </c>
      <c r="CB1212">
        <f>IFERROR(INDEX(PP_Grid[#Data],$DE1212,77),0)</f>
        <v/>
      </c>
      <c r="CC1212">
        <f>IFERROR(INDEX(PP_Grid[#Data],$DE1212,78),0)</f>
        <v/>
      </c>
      <c r="CD1212">
        <f>IFERROR(INDEX(PP_Grid[#Data],$DE1212,79),0)</f>
        <v/>
      </c>
      <c r="CE1212">
        <f>IFERROR(INDEX(PP_Grid[#Data],$DE1212,80),0)</f>
        <v/>
      </c>
      <c r="CF1212">
        <f>IFERROR(INDEX(PP_Grid[#Data],$DE1212,81),0)</f>
        <v/>
      </c>
      <c r="CG1212">
        <f>IFERROR(INDEX(PP_Grid[#Data],$DE1212,82),0)</f>
        <v/>
      </c>
      <c r="CH1212">
        <f>IFERROR(INDEX(PP_Grid[#Data],$DE1212,83),0)</f>
        <v/>
      </c>
      <c r="CI1212">
        <f>IFERROR(INDEX(PP_Grid[#Data],$DE1212,84),0)</f>
        <v/>
      </c>
      <c r="CJ1212">
        <f>IFERROR(INDEX(PP_Grid[#Data],$DE1212,85),0)</f>
        <v/>
      </c>
      <c r="CK1212">
        <f>IFERROR(INDEX(PP_Grid[#Data],$DE1212,86),0)</f>
        <v/>
      </c>
      <c r="CL1212">
        <f>IFERROR(INDEX(PP_Grid[#Data],$DE1212,87),0)</f>
        <v/>
      </c>
      <c r="CM1212">
        <f>IFERROR(INDEX(PP_Grid[#Data],$DE1212,88),0)</f>
        <v/>
      </c>
      <c r="CN1212">
        <f>IFERROR(INDEX(PP_Grid[#Data],$DE1212,89),0)</f>
        <v/>
      </c>
      <c r="CO1212">
        <f>IFERROR(INDEX(PP_Grid[#Data],$DE1212,90),0)</f>
        <v/>
      </c>
      <c r="CP1212">
        <f>IFERROR(INDEX(PP_Grid[#Data],$DE1212,91),0)</f>
        <v/>
      </c>
      <c r="CQ1212">
        <f>IFERROR(INDEX(PP_Grid[#Data],$DE1212,92),0)</f>
        <v/>
      </c>
      <c r="CR1212">
        <f>IFERROR(INDEX(PP_Grid[#Data],$DE1212,93),0)</f>
        <v/>
      </c>
      <c r="CS1212">
        <f>IFERROR(INDEX(PP_Grid[#Data],$DE1212,94),0)</f>
        <v/>
      </c>
      <c r="CT1212">
        <f>IFERROR(INDEX(PP_Grid[#Data],$DE1212,95),0)</f>
        <v/>
      </c>
      <c r="CU1212">
        <f>IFERROR(INDEX(PP_Grid[#Data],$DE1212,96),0)</f>
        <v/>
      </c>
      <c r="CV1212">
        <f>IFERROR(INDEX(PP_Grid[#Data],$DE1212,97),0)</f>
        <v/>
      </c>
      <c r="CW1212">
        <f>IFERROR(INDEX(PP_Grid[#Data],$DE1212,98),0)</f>
        <v/>
      </c>
      <c r="CX1212">
        <f>IFERROR(INDEX(PP_Grid[#Data],$DE1212,99),0)</f>
        <v/>
      </c>
      <c r="CY1212">
        <f>IFERROR(INDEX(PP_Grid[#Data],$DE1212,100),0)</f>
        <v/>
      </c>
      <c r="CZ1212">
        <f>IFERROR(INDEX(PP_Grid[#Data],$DE1212,101),0)</f>
        <v/>
      </c>
      <c r="DA1212">
        <f>IFERROR(INDEX(PP_Grid[#Data],$DE1212,102),0)</f>
        <v/>
      </c>
      <c r="DB1212">
        <f>IFERROR(INDEX(PP_Grid[#Data],$DE1212,103),0)</f>
        <v/>
      </c>
      <c r="DC1212">
        <f>IFERROR(INDEX(PP_Grid[#Data],$DE1212,104),0)</f>
        <v/>
      </c>
      <c r="DD1212">
        <f>IFERROR(INDEX(PP_Grid[#Data],$DE1212,105),0)</f>
        <v/>
      </c>
      <c r="DE1212" s="7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SUMIFS(M_BOM[RM_Qty_Per_Batch],M_BOM[Intermediate],$B1212,M_BOM[RM_Code],$A1173)</f>
        <v/>
      </c>
      <c r="D1213">
        <f>IFERROR(INDEX(E1213:DD1213,$F$1),"")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  <c r="DD1213">
        <f>$C1213*DD1212</f>
        <v/>
      </c>
    </row>
    <row r="1214">
      <c r="B1214" t="inlineStr">
        <is>
          <t>TSP-1499</t>
        </is>
      </c>
      <c r="C1214" t="inlineStr">
        <is>
          <t>No. of batches</t>
        </is>
      </c>
      <c r="D1214">
        <f>IFERROR(INDEX(E1214:DD1214,$F$1),"")</f>
        <v/>
      </c>
      <c r="E1214">
        <f>IFERROR(INDEX(PP_Grid[#Data],$DE1214,2),0)</f>
        <v/>
      </c>
      <c r="F1214">
        <f>IFERROR(INDEX(PP_Grid[#Data],$DE1214,3),0)</f>
        <v/>
      </c>
      <c r="G1214">
        <f>IFERROR(INDEX(PP_Grid[#Data],$DE1214,4),0)</f>
        <v/>
      </c>
      <c r="H1214">
        <f>IFERROR(INDEX(PP_Grid[#Data],$DE1214,5),0)</f>
        <v/>
      </c>
      <c r="I1214">
        <f>IFERROR(INDEX(PP_Grid[#Data],$DE1214,6),0)</f>
        <v/>
      </c>
      <c r="J1214">
        <f>IFERROR(INDEX(PP_Grid[#Data],$DE1214,7),0)</f>
        <v/>
      </c>
      <c r="K1214">
        <f>IFERROR(INDEX(PP_Grid[#Data],$DE1214,8),0)</f>
        <v/>
      </c>
      <c r="L1214">
        <f>IFERROR(INDEX(PP_Grid[#Data],$DE1214,9),0)</f>
        <v/>
      </c>
      <c r="M1214">
        <f>IFERROR(INDEX(PP_Grid[#Data],$DE1214,10),0)</f>
        <v/>
      </c>
      <c r="N1214">
        <f>IFERROR(INDEX(PP_Grid[#Data],$DE1214,11),0)</f>
        <v/>
      </c>
      <c r="O1214">
        <f>IFERROR(INDEX(PP_Grid[#Data],$DE1214,12),0)</f>
        <v/>
      </c>
      <c r="P1214">
        <f>IFERROR(INDEX(PP_Grid[#Data],$DE1214,13),0)</f>
        <v/>
      </c>
      <c r="Q1214">
        <f>IFERROR(INDEX(PP_Grid[#Data],$DE1214,14),0)</f>
        <v/>
      </c>
      <c r="R1214">
        <f>IFERROR(INDEX(PP_Grid[#Data],$DE1214,15),0)</f>
        <v/>
      </c>
      <c r="S1214">
        <f>IFERROR(INDEX(PP_Grid[#Data],$DE1214,16),0)</f>
        <v/>
      </c>
      <c r="T1214">
        <f>IFERROR(INDEX(PP_Grid[#Data],$DE1214,17),0)</f>
        <v/>
      </c>
      <c r="U1214">
        <f>IFERROR(INDEX(PP_Grid[#Data],$DE1214,18),0)</f>
        <v/>
      </c>
      <c r="V1214">
        <f>IFERROR(INDEX(PP_Grid[#Data],$DE1214,19),0)</f>
        <v/>
      </c>
      <c r="W1214">
        <f>IFERROR(INDEX(PP_Grid[#Data],$DE1214,20),0)</f>
        <v/>
      </c>
      <c r="X1214">
        <f>IFERROR(INDEX(PP_Grid[#Data],$DE1214,21),0)</f>
        <v/>
      </c>
      <c r="Y1214">
        <f>IFERROR(INDEX(PP_Grid[#Data],$DE1214,22),0)</f>
        <v/>
      </c>
      <c r="Z1214">
        <f>IFERROR(INDEX(PP_Grid[#Data],$DE1214,23),0)</f>
        <v/>
      </c>
      <c r="AA1214">
        <f>IFERROR(INDEX(PP_Grid[#Data],$DE1214,24),0)</f>
        <v/>
      </c>
      <c r="AB1214">
        <f>IFERROR(INDEX(PP_Grid[#Data],$DE1214,25),0)</f>
        <v/>
      </c>
      <c r="AC1214">
        <f>IFERROR(INDEX(PP_Grid[#Data],$DE1214,26),0)</f>
        <v/>
      </c>
      <c r="AD1214">
        <f>IFERROR(INDEX(PP_Grid[#Data],$DE1214,27),0)</f>
        <v/>
      </c>
      <c r="AE1214">
        <f>IFERROR(INDEX(PP_Grid[#Data],$DE1214,28),0)</f>
        <v/>
      </c>
      <c r="AF1214">
        <f>IFERROR(INDEX(PP_Grid[#Data],$DE1214,29),0)</f>
        <v/>
      </c>
      <c r="AG1214">
        <f>IFERROR(INDEX(PP_Grid[#Data],$DE1214,30),0)</f>
        <v/>
      </c>
      <c r="AH1214">
        <f>IFERROR(INDEX(PP_Grid[#Data],$DE1214,31),0)</f>
        <v/>
      </c>
      <c r="AI1214">
        <f>IFERROR(INDEX(PP_Grid[#Data],$DE1214,32),0)</f>
        <v/>
      </c>
      <c r="AJ1214">
        <f>IFERROR(INDEX(PP_Grid[#Data],$DE1214,33),0)</f>
        <v/>
      </c>
      <c r="AK1214">
        <f>IFERROR(INDEX(PP_Grid[#Data],$DE1214,34),0)</f>
        <v/>
      </c>
      <c r="AL1214">
        <f>IFERROR(INDEX(PP_Grid[#Data],$DE1214,35),0)</f>
        <v/>
      </c>
      <c r="AM1214">
        <f>IFERROR(INDEX(PP_Grid[#Data],$DE1214,36),0)</f>
        <v/>
      </c>
      <c r="AN1214">
        <f>IFERROR(INDEX(PP_Grid[#Data],$DE1214,37),0)</f>
        <v/>
      </c>
      <c r="AO1214">
        <f>IFERROR(INDEX(PP_Grid[#Data],$DE1214,38),0)</f>
        <v/>
      </c>
      <c r="AP1214">
        <f>IFERROR(INDEX(PP_Grid[#Data],$DE1214,39),0)</f>
        <v/>
      </c>
      <c r="AQ1214">
        <f>IFERROR(INDEX(PP_Grid[#Data],$DE1214,40),0)</f>
        <v/>
      </c>
      <c r="AR1214">
        <f>IFERROR(INDEX(PP_Grid[#Data],$DE1214,41),0)</f>
        <v/>
      </c>
      <c r="AS1214">
        <f>IFERROR(INDEX(PP_Grid[#Data],$DE1214,42),0)</f>
        <v/>
      </c>
      <c r="AT1214">
        <f>IFERROR(INDEX(PP_Grid[#Data],$DE1214,43),0)</f>
        <v/>
      </c>
      <c r="AU1214">
        <f>IFERROR(INDEX(PP_Grid[#Data],$DE1214,44),0)</f>
        <v/>
      </c>
      <c r="AV1214">
        <f>IFERROR(INDEX(PP_Grid[#Data],$DE1214,45),0)</f>
        <v/>
      </c>
      <c r="AW1214">
        <f>IFERROR(INDEX(PP_Grid[#Data],$DE1214,46),0)</f>
        <v/>
      </c>
      <c r="AX1214">
        <f>IFERROR(INDEX(PP_Grid[#Data],$DE1214,47),0)</f>
        <v/>
      </c>
      <c r="AY1214">
        <f>IFERROR(INDEX(PP_Grid[#Data],$DE1214,48),0)</f>
        <v/>
      </c>
      <c r="AZ1214">
        <f>IFERROR(INDEX(PP_Grid[#Data],$DE1214,49),0)</f>
        <v/>
      </c>
      <c r="BA1214">
        <f>IFERROR(INDEX(PP_Grid[#Data],$DE1214,50),0)</f>
        <v/>
      </c>
      <c r="BB1214">
        <f>IFERROR(INDEX(PP_Grid[#Data],$DE1214,51),0)</f>
        <v/>
      </c>
      <c r="BC1214">
        <f>IFERROR(INDEX(PP_Grid[#Data],$DE1214,52),0)</f>
        <v/>
      </c>
      <c r="BD1214">
        <f>IFERROR(INDEX(PP_Grid[#Data],$DE1214,53),0)</f>
        <v/>
      </c>
      <c r="BE1214">
        <f>IFERROR(INDEX(PP_Grid[#Data],$DE1214,54),0)</f>
        <v/>
      </c>
      <c r="BF1214">
        <f>IFERROR(INDEX(PP_Grid[#Data],$DE1214,55),0)</f>
        <v/>
      </c>
      <c r="BG1214">
        <f>IFERROR(INDEX(PP_Grid[#Data],$DE1214,56),0)</f>
        <v/>
      </c>
      <c r="BH1214">
        <f>IFERROR(INDEX(PP_Grid[#Data],$DE1214,57),0)</f>
        <v/>
      </c>
      <c r="BI1214">
        <f>IFERROR(INDEX(PP_Grid[#Data],$DE1214,58),0)</f>
        <v/>
      </c>
      <c r="BJ1214">
        <f>IFERROR(INDEX(PP_Grid[#Data],$DE1214,59),0)</f>
        <v/>
      </c>
      <c r="BK1214">
        <f>IFERROR(INDEX(PP_Grid[#Data],$DE1214,60),0)</f>
        <v/>
      </c>
      <c r="BL1214">
        <f>IFERROR(INDEX(PP_Grid[#Data],$DE1214,61),0)</f>
        <v/>
      </c>
      <c r="BM1214">
        <f>IFERROR(INDEX(PP_Grid[#Data],$DE1214,62),0)</f>
        <v/>
      </c>
      <c r="BN1214">
        <f>IFERROR(INDEX(PP_Grid[#Data],$DE1214,63),0)</f>
        <v/>
      </c>
      <c r="BO1214">
        <f>IFERROR(INDEX(PP_Grid[#Data],$DE1214,64),0)</f>
        <v/>
      </c>
      <c r="BP1214">
        <f>IFERROR(INDEX(PP_Grid[#Data],$DE1214,65),0)</f>
        <v/>
      </c>
      <c r="BQ1214">
        <f>IFERROR(INDEX(PP_Grid[#Data],$DE1214,66),0)</f>
        <v/>
      </c>
      <c r="BR1214">
        <f>IFERROR(INDEX(PP_Grid[#Data],$DE1214,67),0)</f>
        <v/>
      </c>
      <c r="BS1214">
        <f>IFERROR(INDEX(PP_Grid[#Data],$DE1214,68),0)</f>
        <v/>
      </c>
      <c r="BT1214">
        <f>IFERROR(INDEX(PP_Grid[#Data],$DE1214,69),0)</f>
        <v/>
      </c>
      <c r="BU1214">
        <f>IFERROR(INDEX(PP_Grid[#Data],$DE1214,70),0)</f>
        <v/>
      </c>
      <c r="BV1214">
        <f>IFERROR(INDEX(PP_Grid[#Data],$DE1214,71),0)</f>
        <v/>
      </c>
      <c r="BW1214">
        <f>IFERROR(INDEX(PP_Grid[#Data],$DE1214,72),0)</f>
        <v/>
      </c>
      <c r="BX1214">
        <f>IFERROR(INDEX(PP_Grid[#Data],$DE1214,73),0)</f>
        <v/>
      </c>
      <c r="BY1214">
        <f>IFERROR(INDEX(PP_Grid[#Data],$DE1214,74),0)</f>
        <v/>
      </c>
      <c r="BZ1214">
        <f>IFERROR(INDEX(PP_Grid[#Data],$DE1214,75),0)</f>
        <v/>
      </c>
      <c r="CA1214">
        <f>IFERROR(INDEX(PP_Grid[#Data],$DE1214,76),0)</f>
        <v/>
      </c>
      <c r="CB1214">
        <f>IFERROR(INDEX(PP_Grid[#Data],$DE1214,77),0)</f>
        <v/>
      </c>
      <c r="CC1214">
        <f>IFERROR(INDEX(PP_Grid[#Data],$DE1214,78),0)</f>
        <v/>
      </c>
      <c r="CD1214">
        <f>IFERROR(INDEX(PP_Grid[#Data],$DE1214,79),0)</f>
        <v/>
      </c>
      <c r="CE1214">
        <f>IFERROR(INDEX(PP_Grid[#Data],$DE1214,80),0)</f>
        <v/>
      </c>
      <c r="CF1214">
        <f>IFERROR(INDEX(PP_Grid[#Data],$DE1214,81),0)</f>
        <v/>
      </c>
      <c r="CG1214">
        <f>IFERROR(INDEX(PP_Grid[#Data],$DE1214,82),0)</f>
        <v/>
      </c>
      <c r="CH1214">
        <f>IFERROR(INDEX(PP_Grid[#Data],$DE1214,83),0)</f>
        <v/>
      </c>
      <c r="CI1214">
        <f>IFERROR(INDEX(PP_Grid[#Data],$DE1214,84),0)</f>
        <v/>
      </c>
      <c r="CJ1214">
        <f>IFERROR(INDEX(PP_Grid[#Data],$DE1214,85),0)</f>
        <v/>
      </c>
      <c r="CK1214">
        <f>IFERROR(INDEX(PP_Grid[#Data],$DE1214,86),0)</f>
        <v/>
      </c>
      <c r="CL1214">
        <f>IFERROR(INDEX(PP_Grid[#Data],$DE1214,87),0)</f>
        <v/>
      </c>
      <c r="CM1214">
        <f>IFERROR(INDEX(PP_Grid[#Data],$DE1214,88),0)</f>
        <v/>
      </c>
      <c r="CN1214">
        <f>IFERROR(INDEX(PP_Grid[#Data],$DE1214,89),0)</f>
        <v/>
      </c>
      <c r="CO1214">
        <f>IFERROR(INDEX(PP_Grid[#Data],$DE1214,90),0)</f>
        <v/>
      </c>
      <c r="CP1214">
        <f>IFERROR(INDEX(PP_Grid[#Data],$DE1214,91),0)</f>
        <v/>
      </c>
      <c r="CQ1214">
        <f>IFERROR(INDEX(PP_Grid[#Data],$DE1214,92),0)</f>
        <v/>
      </c>
      <c r="CR1214">
        <f>IFERROR(INDEX(PP_Grid[#Data],$DE1214,93),0)</f>
        <v/>
      </c>
      <c r="CS1214">
        <f>IFERROR(INDEX(PP_Grid[#Data],$DE1214,94),0)</f>
        <v/>
      </c>
      <c r="CT1214">
        <f>IFERROR(INDEX(PP_Grid[#Data],$DE1214,95),0)</f>
        <v/>
      </c>
      <c r="CU1214">
        <f>IFERROR(INDEX(PP_Grid[#Data],$DE1214,96),0)</f>
        <v/>
      </c>
      <c r="CV1214">
        <f>IFERROR(INDEX(PP_Grid[#Data],$DE1214,97),0)</f>
        <v/>
      </c>
      <c r="CW1214">
        <f>IFERROR(INDEX(PP_Grid[#Data],$DE1214,98),0)</f>
        <v/>
      </c>
      <c r="CX1214">
        <f>IFERROR(INDEX(PP_Grid[#Data],$DE1214,99),0)</f>
        <v/>
      </c>
      <c r="CY1214">
        <f>IFERROR(INDEX(PP_Grid[#Data],$DE1214,100),0)</f>
        <v/>
      </c>
      <c r="CZ1214">
        <f>IFERROR(INDEX(PP_Grid[#Data],$DE1214,101),0)</f>
        <v/>
      </c>
      <c r="DA1214">
        <f>IFERROR(INDEX(PP_Grid[#Data],$DE1214,102),0)</f>
        <v/>
      </c>
      <c r="DB1214">
        <f>IFERROR(INDEX(PP_Grid[#Data],$DE1214,103),0)</f>
        <v/>
      </c>
      <c r="DC1214">
        <f>IFERROR(INDEX(PP_Grid[#Data],$DE1214,104),0)</f>
        <v/>
      </c>
      <c r="DD1214">
        <f>IFERROR(INDEX(PP_Grid[#Data],$DE1214,105),0)</f>
        <v/>
      </c>
      <c r="DE1214" s="7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SUMIFS(M_BOM[RM_Qty_Per_Batch],M_BOM[Intermediate],$B1214,M_BOM[RM_Code],$A1173)</f>
        <v/>
      </c>
      <c r="D1215">
        <f>IFERROR(INDEX(E1215:DD1215,$F$1),"")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  <c r="DD1215">
        <f>$C1215*DD1214</f>
        <v/>
      </c>
    </row>
    <row r="1216">
      <c r="B1216" s="4" t="inlineStr">
        <is>
          <t>合計使用量(kg)/週</t>
        </is>
      </c>
      <c r="D1216" s="23">
        <f>IFERROR(INDEX(E1216:DD1216,$F$1),"")</f>
        <v/>
      </c>
      <c r="E1216">
        <f>'Grid_Requirement'!B6</f>
        <v/>
      </c>
      <c r="F1216">
        <f>'Grid_Requirement'!C6</f>
        <v/>
      </c>
      <c r="G1216">
        <f>'Grid_Requirement'!D6</f>
        <v/>
      </c>
      <c r="H1216">
        <f>'Grid_Requirement'!E6</f>
        <v/>
      </c>
      <c r="I1216">
        <f>'Grid_Requirement'!F6</f>
        <v/>
      </c>
      <c r="J1216">
        <f>'Grid_Requirement'!G6</f>
        <v/>
      </c>
      <c r="K1216">
        <f>'Grid_Requirement'!H6</f>
        <v/>
      </c>
      <c r="L1216">
        <f>'Grid_Requirement'!I6</f>
        <v/>
      </c>
      <c r="M1216">
        <f>'Grid_Requirement'!J6</f>
        <v/>
      </c>
      <c r="N1216">
        <f>'Grid_Requirement'!K6</f>
        <v/>
      </c>
      <c r="O1216">
        <f>'Grid_Requirement'!L6</f>
        <v/>
      </c>
      <c r="P1216">
        <f>'Grid_Requirement'!M6</f>
        <v/>
      </c>
      <c r="Q1216">
        <f>'Grid_Requirement'!N6</f>
        <v/>
      </c>
      <c r="R1216">
        <f>'Grid_Requirement'!O6</f>
        <v/>
      </c>
      <c r="S1216">
        <f>'Grid_Requirement'!P6</f>
        <v/>
      </c>
      <c r="T1216">
        <f>'Grid_Requirement'!Q6</f>
        <v/>
      </c>
      <c r="U1216">
        <f>'Grid_Requirement'!R6</f>
        <v/>
      </c>
      <c r="V1216">
        <f>'Grid_Requirement'!S6</f>
        <v/>
      </c>
      <c r="W1216">
        <f>'Grid_Requirement'!T6</f>
        <v/>
      </c>
      <c r="X1216">
        <f>'Grid_Requirement'!U6</f>
        <v/>
      </c>
      <c r="Y1216">
        <f>'Grid_Requirement'!V6</f>
        <v/>
      </c>
      <c r="Z1216">
        <f>'Grid_Requirement'!W6</f>
        <v/>
      </c>
      <c r="AA1216">
        <f>'Grid_Requirement'!X6</f>
        <v/>
      </c>
      <c r="AB1216">
        <f>'Grid_Requirement'!Y6</f>
        <v/>
      </c>
      <c r="AC1216">
        <f>'Grid_Requirement'!Z6</f>
        <v/>
      </c>
      <c r="AD1216">
        <f>'Grid_Requirement'!AA6</f>
        <v/>
      </c>
      <c r="AE1216">
        <f>'Grid_Requirement'!AB6</f>
        <v/>
      </c>
      <c r="AF1216">
        <f>'Grid_Requirement'!AC6</f>
        <v/>
      </c>
      <c r="AG1216">
        <f>'Grid_Requirement'!AD6</f>
        <v/>
      </c>
      <c r="AH1216">
        <f>'Grid_Requirement'!AE6</f>
        <v/>
      </c>
      <c r="AI1216">
        <f>'Grid_Requirement'!AF6</f>
        <v/>
      </c>
      <c r="AJ1216">
        <f>'Grid_Requirement'!AG6</f>
        <v/>
      </c>
      <c r="AK1216">
        <f>'Grid_Requirement'!AH6</f>
        <v/>
      </c>
      <c r="AL1216">
        <f>'Grid_Requirement'!AI6</f>
        <v/>
      </c>
      <c r="AM1216">
        <f>'Grid_Requirement'!AJ6</f>
        <v/>
      </c>
      <c r="AN1216">
        <f>'Grid_Requirement'!AK6</f>
        <v/>
      </c>
      <c r="AO1216">
        <f>'Grid_Requirement'!AL6</f>
        <v/>
      </c>
      <c r="AP1216">
        <f>'Grid_Requirement'!AM6</f>
        <v/>
      </c>
      <c r="AQ1216">
        <f>'Grid_Requirement'!AN6</f>
        <v/>
      </c>
      <c r="AR1216">
        <f>'Grid_Requirement'!AO6</f>
        <v/>
      </c>
      <c r="AS1216">
        <f>'Grid_Requirement'!AP6</f>
        <v/>
      </c>
      <c r="AT1216">
        <f>'Grid_Requirement'!AQ6</f>
        <v/>
      </c>
      <c r="AU1216">
        <f>'Grid_Requirement'!AR6</f>
        <v/>
      </c>
      <c r="AV1216">
        <f>'Grid_Requirement'!AS6</f>
        <v/>
      </c>
      <c r="AW1216">
        <f>'Grid_Requirement'!AT6</f>
        <v/>
      </c>
      <c r="AX1216">
        <f>'Grid_Requirement'!AU6</f>
        <v/>
      </c>
      <c r="AY1216">
        <f>'Grid_Requirement'!AV6</f>
        <v/>
      </c>
      <c r="AZ1216">
        <f>'Grid_Requirement'!AW6</f>
        <v/>
      </c>
      <c r="BA1216">
        <f>'Grid_Requirement'!AX6</f>
        <v/>
      </c>
      <c r="BB1216">
        <f>'Grid_Requirement'!AY6</f>
        <v/>
      </c>
      <c r="BC1216">
        <f>'Grid_Requirement'!AZ6</f>
        <v/>
      </c>
      <c r="BD1216">
        <f>'Grid_Requirement'!BA6</f>
        <v/>
      </c>
      <c r="BE1216">
        <f>'Grid_Requirement'!BB6</f>
        <v/>
      </c>
      <c r="BF1216">
        <f>'Grid_Requirement'!BC6</f>
        <v/>
      </c>
      <c r="BG1216">
        <f>'Grid_Requirement'!BD6</f>
        <v/>
      </c>
      <c r="BH1216">
        <f>'Grid_Requirement'!BE6</f>
        <v/>
      </c>
      <c r="BI1216">
        <f>'Grid_Requirement'!BF6</f>
        <v/>
      </c>
      <c r="BJ1216">
        <f>'Grid_Requirement'!BG6</f>
        <v/>
      </c>
      <c r="BK1216">
        <f>'Grid_Requirement'!BH6</f>
        <v/>
      </c>
      <c r="BL1216">
        <f>'Grid_Requirement'!BI6</f>
        <v/>
      </c>
      <c r="BM1216">
        <f>'Grid_Requirement'!BJ6</f>
        <v/>
      </c>
      <c r="BN1216">
        <f>'Grid_Requirement'!BK6</f>
        <v/>
      </c>
      <c r="BO1216">
        <f>'Grid_Requirement'!BL6</f>
        <v/>
      </c>
      <c r="BP1216">
        <f>'Grid_Requirement'!BM6</f>
        <v/>
      </c>
      <c r="BQ1216">
        <f>'Grid_Requirement'!BN6</f>
        <v/>
      </c>
      <c r="BR1216">
        <f>'Grid_Requirement'!BO6</f>
        <v/>
      </c>
      <c r="BS1216">
        <f>'Grid_Requirement'!BP6</f>
        <v/>
      </c>
      <c r="BT1216">
        <f>'Grid_Requirement'!BQ6</f>
        <v/>
      </c>
      <c r="BU1216">
        <f>'Grid_Requirement'!BR6</f>
        <v/>
      </c>
      <c r="BV1216">
        <f>'Grid_Requirement'!BS6</f>
        <v/>
      </c>
      <c r="BW1216">
        <f>'Grid_Requirement'!BT6</f>
        <v/>
      </c>
      <c r="BX1216">
        <f>'Grid_Requirement'!BU6</f>
        <v/>
      </c>
      <c r="BY1216">
        <f>'Grid_Requirement'!BV6</f>
        <v/>
      </c>
      <c r="BZ1216">
        <f>'Grid_Requirement'!BW6</f>
        <v/>
      </c>
      <c r="CA1216">
        <f>'Grid_Requirement'!BX6</f>
        <v/>
      </c>
      <c r="CB1216">
        <f>'Grid_Requirement'!BY6</f>
        <v/>
      </c>
      <c r="CC1216">
        <f>'Grid_Requirement'!BZ6</f>
        <v/>
      </c>
      <c r="CD1216">
        <f>'Grid_Requirement'!CA6</f>
        <v/>
      </c>
      <c r="CE1216">
        <f>'Grid_Requirement'!CB6</f>
        <v/>
      </c>
      <c r="CF1216">
        <f>'Grid_Requirement'!CC6</f>
        <v/>
      </c>
      <c r="CG1216">
        <f>'Grid_Requirement'!CD6</f>
        <v/>
      </c>
      <c r="CH1216">
        <f>'Grid_Requirement'!CE6</f>
        <v/>
      </c>
      <c r="CI1216">
        <f>'Grid_Requirement'!CF6</f>
        <v/>
      </c>
      <c r="CJ1216">
        <f>'Grid_Requirement'!CG6</f>
        <v/>
      </c>
      <c r="CK1216">
        <f>'Grid_Requirement'!CH6</f>
        <v/>
      </c>
      <c r="CL1216">
        <f>'Grid_Requirement'!CI6</f>
        <v/>
      </c>
      <c r="CM1216">
        <f>'Grid_Requirement'!CJ6</f>
        <v/>
      </c>
      <c r="CN1216">
        <f>'Grid_Requirement'!CK6</f>
        <v/>
      </c>
      <c r="CO1216">
        <f>'Grid_Requirement'!CL6</f>
        <v/>
      </c>
      <c r="CP1216">
        <f>'Grid_Requirement'!CM6</f>
        <v/>
      </c>
      <c r="CQ1216">
        <f>'Grid_Requirement'!CN6</f>
        <v/>
      </c>
      <c r="CR1216">
        <f>'Grid_Requirement'!CO6</f>
        <v/>
      </c>
      <c r="CS1216">
        <f>'Grid_Requirement'!CP6</f>
        <v/>
      </c>
      <c r="CT1216">
        <f>'Grid_Requirement'!CQ6</f>
        <v/>
      </c>
      <c r="CU1216">
        <f>'Grid_Requirement'!CR6</f>
        <v/>
      </c>
      <c r="CV1216">
        <f>'Grid_Requirement'!CS6</f>
        <v/>
      </c>
      <c r="CW1216">
        <f>'Grid_Requirement'!CT6</f>
        <v/>
      </c>
      <c r="CX1216">
        <f>'Grid_Requirement'!CU6</f>
        <v/>
      </c>
      <c r="CY1216">
        <f>'Grid_Requirement'!CV6</f>
        <v/>
      </c>
      <c r="CZ1216">
        <f>'Grid_Requirement'!CW6</f>
        <v/>
      </c>
      <c r="DA1216">
        <f>'Grid_Requirement'!CX6</f>
        <v/>
      </c>
      <c r="DB1216">
        <f>'Grid_Requirement'!CY6</f>
        <v/>
      </c>
      <c r="DC1216">
        <f>'Grid_Requirement'!CZ6</f>
        <v/>
      </c>
      <c r="DD1216">
        <f>'Grid_Requirement'!DA6</f>
        <v/>
      </c>
    </row>
    <row r="1217">
      <c r="B1217" t="inlineStr">
        <is>
          <t>TTAF在庫(実績,kg)</t>
        </is>
      </c>
      <c r="D1217">
        <f>IFERROR(INDEX(E1217:DD1217,$F$1),"")</f>
        <v/>
      </c>
      <c r="E1217">
        <f>IFERROR(SUMIFS(T_TTAFStock[TTAF_Qty],T_TTAFStock[RM_Code],$A1173,T_TTAFStock[WeekIndex],1),"")</f>
        <v/>
      </c>
      <c r="F1217">
        <f>IFERROR(SUMIFS(T_TTAFStock[TTAF_Qty],T_TTAFStock[RM_Code],$A1173,T_TTAFStock[WeekIndex],2),"")</f>
        <v/>
      </c>
      <c r="G1217">
        <f>IFERROR(SUMIFS(T_TTAFStock[TTAF_Qty],T_TTAFStock[RM_Code],$A1173,T_TTAFStock[WeekIndex],3),"")</f>
        <v/>
      </c>
      <c r="H1217">
        <f>IFERROR(SUMIFS(T_TTAFStock[TTAF_Qty],T_TTAFStock[RM_Code],$A1173,T_TTAFStock[WeekIndex],4),"")</f>
        <v/>
      </c>
      <c r="I1217">
        <f>IFERROR(SUMIFS(T_TTAFStock[TTAF_Qty],T_TTAFStock[RM_Code],$A1173,T_TTAFStock[WeekIndex],5),"")</f>
        <v/>
      </c>
      <c r="J1217">
        <f>IFERROR(SUMIFS(T_TTAFStock[TTAF_Qty],T_TTAFStock[RM_Code],$A1173,T_TTAFStock[WeekIndex],6),"")</f>
        <v/>
      </c>
      <c r="K1217">
        <f>IFERROR(SUMIFS(T_TTAFStock[TTAF_Qty],T_TTAFStock[RM_Code],$A1173,T_TTAFStock[WeekIndex],7),"")</f>
        <v/>
      </c>
      <c r="L1217">
        <f>IFERROR(SUMIFS(T_TTAFStock[TTAF_Qty],T_TTAFStock[RM_Code],$A1173,T_TTAFStock[WeekIndex],8),"")</f>
        <v/>
      </c>
      <c r="M1217">
        <f>IFERROR(SUMIFS(T_TTAFStock[TTAF_Qty],T_TTAFStock[RM_Code],$A1173,T_TTAFStock[WeekIndex],9),"")</f>
        <v/>
      </c>
      <c r="N1217">
        <f>IFERROR(SUMIFS(T_TTAFStock[TTAF_Qty],T_TTAFStock[RM_Code],$A1173,T_TTAFStock[WeekIndex],10),"")</f>
        <v/>
      </c>
      <c r="O1217">
        <f>IFERROR(SUMIFS(T_TTAFStock[TTAF_Qty],T_TTAFStock[RM_Code],$A1173,T_TTAFStock[WeekIndex],11),"")</f>
        <v/>
      </c>
      <c r="P1217">
        <f>IFERROR(SUMIFS(T_TTAFStock[TTAF_Qty],T_TTAFStock[RM_Code],$A1173,T_TTAFStock[WeekIndex],12),"")</f>
        <v/>
      </c>
      <c r="Q1217">
        <f>IFERROR(SUMIFS(T_TTAFStock[TTAF_Qty],T_TTAFStock[RM_Code],$A1173,T_TTAFStock[WeekIndex],13),"")</f>
        <v/>
      </c>
      <c r="R1217">
        <f>IFERROR(SUMIFS(T_TTAFStock[TTAF_Qty],T_TTAFStock[RM_Code],$A1173,T_TTAFStock[WeekIndex],14),"")</f>
        <v/>
      </c>
      <c r="S1217">
        <f>IFERROR(SUMIFS(T_TTAFStock[TTAF_Qty],T_TTAFStock[RM_Code],$A1173,T_TTAFStock[WeekIndex],15),"")</f>
        <v/>
      </c>
      <c r="T1217">
        <f>IFERROR(SUMIFS(T_TTAFStock[TTAF_Qty],T_TTAFStock[RM_Code],$A1173,T_TTAFStock[WeekIndex],16),"")</f>
        <v/>
      </c>
      <c r="U1217">
        <f>IFERROR(SUMIFS(T_TTAFStock[TTAF_Qty],T_TTAFStock[RM_Code],$A1173,T_TTAFStock[WeekIndex],17),"")</f>
        <v/>
      </c>
      <c r="V1217">
        <f>IFERROR(SUMIFS(T_TTAFStock[TTAF_Qty],T_TTAFStock[RM_Code],$A1173,T_TTAFStock[WeekIndex],18),"")</f>
        <v/>
      </c>
      <c r="W1217">
        <f>IFERROR(SUMIFS(T_TTAFStock[TTAF_Qty],T_TTAFStock[RM_Code],$A1173,T_TTAFStock[WeekIndex],19),"")</f>
        <v/>
      </c>
      <c r="X1217">
        <f>IFERROR(SUMIFS(T_TTAFStock[TTAF_Qty],T_TTAFStock[RM_Code],$A1173,T_TTAFStock[WeekIndex],20),"")</f>
        <v/>
      </c>
      <c r="Y1217">
        <f>IFERROR(SUMIFS(T_TTAFStock[TTAF_Qty],T_TTAFStock[RM_Code],$A1173,T_TTAFStock[WeekIndex],21),"")</f>
        <v/>
      </c>
      <c r="Z1217">
        <f>IFERROR(SUMIFS(T_TTAFStock[TTAF_Qty],T_TTAFStock[RM_Code],$A1173,T_TTAFStock[WeekIndex],22),"")</f>
        <v/>
      </c>
      <c r="AA1217">
        <f>IFERROR(SUMIFS(T_TTAFStock[TTAF_Qty],T_TTAFStock[RM_Code],$A1173,T_TTAFStock[WeekIndex],23),"")</f>
        <v/>
      </c>
      <c r="AB1217">
        <f>IFERROR(SUMIFS(T_TTAFStock[TTAF_Qty],T_TTAFStock[RM_Code],$A1173,T_TTAFStock[WeekIndex],24),"")</f>
        <v/>
      </c>
      <c r="AC1217">
        <f>IFERROR(SUMIFS(T_TTAFStock[TTAF_Qty],T_TTAFStock[RM_Code],$A1173,T_TTAFStock[WeekIndex],25),"")</f>
        <v/>
      </c>
      <c r="AD1217">
        <f>IFERROR(SUMIFS(T_TTAFStock[TTAF_Qty],T_TTAFStock[RM_Code],$A1173,T_TTAFStock[WeekIndex],26),"")</f>
        <v/>
      </c>
      <c r="AE1217">
        <f>IFERROR(SUMIFS(T_TTAFStock[TTAF_Qty],T_TTAFStock[RM_Code],$A1173,T_TTAFStock[WeekIndex],27),"")</f>
        <v/>
      </c>
      <c r="AF1217">
        <f>IFERROR(SUMIFS(T_TTAFStock[TTAF_Qty],T_TTAFStock[RM_Code],$A1173,T_TTAFStock[WeekIndex],28),"")</f>
        <v/>
      </c>
      <c r="AG1217">
        <f>IFERROR(SUMIFS(T_TTAFStock[TTAF_Qty],T_TTAFStock[RM_Code],$A1173,T_TTAFStock[WeekIndex],29),"")</f>
        <v/>
      </c>
      <c r="AH1217">
        <f>IFERROR(SUMIFS(T_TTAFStock[TTAF_Qty],T_TTAFStock[RM_Code],$A1173,T_TTAFStock[WeekIndex],30),"")</f>
        <v/>
      </c>
      <c r="AI1217">
        <f>IFERROR(SUMIFS(T_TTAFStock[TTAF_Qty],T_TTAFStock[RM_Code],$A1173,T_TTAFStock[WeekIndex],31),"")</f>
        <v/>
      </c>
      <c r="AJ1217">
        <f>IFERROR(SUMIFS(T_TTAFStock[TTAF_Qty],T_TTAFStock[RM_Code],$A1173,T_TTAFStock[WeekIndex],32),"")</f>
        <v/>
      </c>
      <c r="AK1217">
        <f>IFERROR(SUMIFS(T_TTAFStock[TTAF_Qty],T_TTAFStock[RM_Code],$A1173,T_TTAFStock[WeekIndex],33),"")</f>
        <v/>
      </c>
      <c r="AL1217">
        <f>IFERROR(SUMIFS(T_TTAFStock[TTAF_Qty],T_TTAFStock[RM_Code],$A1173,T_TTAFStock[WeekIndex],34),"")</f>
        <v/>
      </c>
      <c r="AM1217">
        <f>IFERROR(SUMIFS(T_TTAFStock[TTAF_Qty],T_TTAFStock[RM_Code],$A1173,T_TTAFStock[WeekIndex],35),"")</f>
        <v/>
      </c>
      <c r="AN1217">
        <f>IFERROR(SUMIFS(T_TTAFStock[TTAF_Qty],T_TTAFStock[RM_Code],$A1173,T_TTAFStock[WeekIndex],36),"")</f>
        <v/>
      </c>
      <c r="AO1217">
        <f>IFERROR(SUMIFS(T_TTAFStock[TTAF_Qty],T_TTAFStock[RM_Code],$A1173,T_TTAFStock[WeekIndex],37),"")</f>
        <v/>
      </c>
      <c r="AP1217">
        <f>IFERROR(SUMIFS(T_TTAFStock[TTAF_Qty],T_TTAFStock[RM_Code],$A1173,T_TTAFStock[WeekIndex],38),"")</f>
        <v/>
      </c>
      <c r="AQ1217">
        <f>IFERROR(SUMIFS(T_TTAFStock[TTAF_Qty],T_TTAFStock[RM_Code],$A1173,T_TTAFStock[WeekIndex],39),"")</f>
        <v/>
      </c>
      <c r="AR1217">
        <f>IFERROR(SUMIFS(T_TTAFStock[TTAF_Qty],T_TTAFStock[RM_Code],$A1173,T_TTAFStock[WeekIndex],40),"")</f>
        <v/>
      </c>
      <c r="AS1217">
        <f>IFERROR(SUMIFS(T_TTAFStock[TTAF_Qty],T_TTAFStock[RM_Code],$A1173,T_TTAFStock[WeekIndex],41),"")</f>
        <v/>
      </c>
      <c r="AT1217">
        <f>IFERROR(SUMIFS(T_TTAFStock[TTAF_Qty],T_TTAFStock[RM_Code],$A1173,T_TTAFStock[WeekIndex],42),"")</f>
        <v/>
      </c>
      <c r="AU1217">
        <f>IFERROR(SUMIFS(T_TTAFStock[TTAF_Qty],T_TTAFStock[RM_Code],$A1173,T_TTAFStock[WeekIndex],43),"")</f>
        <v/>
      </c>
      <c r="AV1217">
        <f>IFERROR(SUMIFS(T_TTAFStock[TTAF_Qty],T_TTAFStock[RM_Code],$A1173,T_TTAFStock[WeekIndex],44),"")</f>
        <v/>
      </c>
      <c r="AW1217">
        <f>IFERROR(SUMIFS(T_TTAFStock[TTAF_Qty],T_TTAFStock[RM_Code],$A1173,T_TTAFStock[WeekIndex],45),"")</f>
        <v/>
      </c>
      <c r="AX1217">
        <f>IFERROR(SUMIFS(T_TTAFStock[TTAF_Qty],T_TTAFStock[RM_Code],$A1173,T_TTAFStock[WeekIndex],46),"")</f>
        <v/>
      </c>
      <c r="AY1217">
        <f>IFERROR(SUMIFS(T_TTAFStock[TTAF_Qty],T_TTAFStock[RM_Code],$A1173,T_TTAFStock[WeekIndex],47),"")</f>
        <v/>
      </c>
      <c r="AZ1217">
        <f>IFERROR(SUMIFS(T_TTAFStock[TTAF_Qty],T_TTAFStock[RM_Code],$A1173,T_TTAFStock[WeekIndex],48),"")</f>
        <v/>
      </c>
      <c r="BA1217">
        <f>IFERROR(SUMIFS(T_TTAFStock[TTAF_Qty],T_TTAFStock[RM_Code],$A1173,T_TTAFStock[WeekIndex],49),"")</f>
        <v/>
      </c>
      <c r="BB1217">
        <f>IFERROR(SUMIFS(T_TTAFStock[TTAF_Qty],T_TTAFStock[RM_Code],$A1173,T_TTAFStock[WeekIndex],50),"")</f>
        <v/>
      </c>
      <c r="BC1217">
        <f>IFERROR(SUMIFS(T_TTAFStock[TTAF_Qty],T_TTAFStock[RM_Code],$A1173,T_TTAFStock[WeekIndex],51),"")</f>
        <v/>
      </c>
      <c r="BD1217">
        <f>IFERROR(SUMIFS(T_TTAFStock[TTAF_Qty],T_TTAFStock[RM_Code],$A1173,T_TTAFStock[WeekIndex],52),"")</f>
        <v/>
      </c>
      <c r="BE1217">
        <f>IFERROR(SUMIFS(T_TTAFStock[TTAF_Qty],T_TTAFStock[RM_Code],$A1173,T_TTAFStock[WeekIndex],53),"")</f>
        <v/>
      </c>
      <c r="BF1217">
        <f>IFERROR(SUMIFS(T_TTAFStock[TTAF_Qty],T_TTAFStock[RM_Code],$A1173,T_TTAFStock[WeekIndex],54),"")</f>
        <v/>
      </c>
      <c r="BG1217">
        <f>IFERROR(SUMIFS(T_TTAFStock[TTAF_Qty],T_TTAFStock[RM_Code],$A1173,T_TTAFStock[WeekIndex],55),"")</f>
        <v/>
      </c>
      <c r="BH1217">
        <f>IFERROR(SUMIFS(T_TTAFStock[TTAF_Qty],T_TTAFStock[RM_Code],$A1173,T_TTAFStock[WeekIndex],56),"")</f>
        <v/>
      </c>
      <c r="BI1217">
        <f>IFERROR(SUMIFS(T_TTAFStock[TTAF_Qty],T_TTAFStock[RM_Code],$A1173,T_TTAFStock[WeekIndex],57),"")</f>
        <v/>
      </c>
      <c r="BJ1217">
        <f>IFERROR(SUMIFS(T_TTAFStock[TTAF_Qty],T_TTAFStock[RM_Code],$A1173,T_TTAFStock[WeekIndex],58),"")</f>
        <v/>
      </c>
      <c r="BK1217">
        <f>IFERROR(SUMIFS(T_TTAFStock[TTAF_Qty],T_TTAFStock[RM_Code],$A1173,T_TTAFStock[WeekIndex],59),"")</f>
        <v/>
      </c>
      <c r="BL1217">
        <f>IFERROR(SUMIFS(T_TTAFStock[TTAF_Qty],T_TTAFStock[RM_Code],$A1173,T_TTAFStock[WeekIndex],60),"")</f>
        <v/>
      </c>
      <c r="BM1217">
        <f>IFERROR(SUMIFS(T_TTAFStock[TTAF_Qty],T_TTAFStock[RM_Code],$A1173,T_TTAFStock[WeekIndex],61),"")</f>
        <v/>
      </c>
      <c r="BN1217">
        <f>IFERROR(SUMIFS(T_TTAFStock[TTAF_Qty],T_TTAFStock[RM_Code],$A1173,T_TTAFStock[WeekIndex],62),"")</f>
        <v/>
      </c>
      <c r="BO1217">
        <f>IFERROR(SUMIFS(T_TTAFStock[TTAF_Qty],T_TTAFStock[RM_Code],$A1173,T_TTAFStock[WeekIndex],63),"")</f>
        <v/>
      </c>
      <c r="BP1217">
        <f>IFERROR(SUMIFS(T_TTAFStock[TTAF_Qty],T_TTAFStock[RM_Code],$A1173,T_TTAFStock[WeekIndex],64),"")</f>
        <v/>
      </c>
      <c r="BQ1217">
        <f>IFERROR(SUMIFS(T_TTAFStock[TTAF_Qty],T_TTAFStock[RM_Code],$A1173,T_TTAFStock[WeekIndex],65),"")</f>
        <v/>
      </c>
      <c r="BR1217">
        <f>IFERROR(SUMIFS(T_TTAFStock[TTAF_Qty],T_TTAFStock[RM_Code],$A1173,T_TTAFStock[WeekIndex],66),"")</f>
        <v/>
      </c>
      <c r="BS1217">
        <f>IFERROR(SUMIFS(T_TTAFStock[TTAF_Qty],T_TTAFStock[RM_Code],$A1173,T_TTAFStock[WeekIndex],67),"")</f>
        <v/>
      </c>
      <c r="BT1217">
        <f>IFERROR(SUMIFS(T_TTAFStock[TTAF_Qty],T_TTAFStock[RM_Code],$A1173,T_TTAFStock[WeekIndex],68),"")</f>
        <v/>
      </c>
      <c r="BU1217">
        <f>IFERROR(SUMIFS(T_TTAFStock[TTAF_Qty],T_TTAFStock[RM_Code],$A1173,T_TTAFStock[WeekIndex],69),"")</f>
        <v/>
      </c>
      <c r="BV1217">
        <f>IFERROR(SUMIFS(T_TTAFStock[TTAF_Qty],T_TTAFStock[RM_Code],$A1173,T_TTAFStock[WeekIndex],70),"")</f>
        <v/>
      </c>
      <c r="BW1217">
        <f>IFERROR(SUMIFS(T_TTAFStock[TTAF_Qty],T_TTAFStock[RM_Code],$A1173,T_TTAFStock[WeekIndex],71),"")</f>
        <v/>
      </c>
      <c r="BX1217">
        <f>IFERROR(SUMIFS(T_TTAFStock[TTAF_Qty],T_TTAFStock[RM_Code],$A1173,T_TTAFStock[WeekIndex],72),"")</f>
        <v/>
      </c>
      <c r="BY1217">
        <f>IFERROR(SUMIFS(T_TTAFStock[TTAF_Qty],T_TTAFStock[RM_Code],$A1173,T_TTAFStock[WeekIndex],73),"")</f>
        <v/>
      </c>
      <c r="BZ1217">
        <f>IFERROR(SUMIFS(T_TTAFStock[TTAF_Qty],T_TTAFStock[RM_Code],$A1173,T_TTAFStock[WeekIndex],74),"")</f>
        <v/>
      </c>
      <c r="CA1217">
        <f>IFERROR(SUMIFS(T_TTAFStock[TTAF_Qty],T_TTAFStock[RM_Code],$A1173,T_TTAFStock[WeekIndex],75),"")</f>
        <v/>
      </c>
      <c r="CB1217">
        <f>IFERROR(SUMIFS(T_TTAFStock[TTAF_Qty],T_TTAFStock[RM_Code],$A1173,T_TTAFStock[WeekIndex],76),"")</f>
        <v/>
      </c>
      <c r="CC1217">
        <f>IFERROR(SUMIFS(T_TTAFStock[TTAF_Qty],T_TTAFStock[RM_Code],$A1173,T_TTAFStock[WeekIndex],77),"")</f>
        <v/>
      </c>
      <c r="CD1217">
        <f>IFERROR(SUMIFS(T_TTAFStock[TTAF_Qty],T_TTAFStock[RM_Code],$A1173,T_TTAFStock[WeekIndex],78),"")</f>
        <v/>
      </c>
      <c r="CE1217">
        <f>IFERROR(SUMIFS(T_TTAFStock[TTAF_Qty],T_TTAFStock[RM_Code],$A1173,T_TTAFStock[WeekIndex],79),"")</f>
        <v/>
      </c>
      <c r="CF1217">
        <f>IFERROR(SUMIFS(T_TTAFStock[TTAF_Qty],T_TTAFStock[RM_Code],$A1173,T_TTAFStock[WeekIndex],80),"")</f>
        <v/>
      </c>
      <c r="CG1217">
        <f>IFERROR(SUMIFS(T_TTAFStock[TTAF_Qty],T_TTAFStock[RM_Code],$A1173,T_TTAFStock[WeekIndex],81),"")</f>
        <v/>
      </c>
      <c r="CH1217">
        <f>IFERROR(SUMIFS(T_TTAFStock[TTAF_Qty],T_TTAFStock[RM_Code],$A1173,T_TTAFStock[WeekIndex],82),"")</f>
        <v/>
      </c>
      <c r="CI1217">
        <f>IFERROR(SUMIFS(T_TTAFStock[TTAF_Qty],T_TTAFStock[RM_Code],$A1173,T_TTAFStock[WeekIndex],83),"")</f>
        <v/>
      </c>
      <c r="CJ1217">
        <f>IFERROR(SUMIFS(T_TTAFStock[TTAF_Qty],T_TTAFStock[RM_Code],$A1173,T_TTAFStock[WeekIndex],84),"")</f>
        <v/>
      </c>
      <c r="CK1217">
        <f>IFERROR(SUMIFS(T_TTAFStock[TTAF_Qty],T_TTAFStock[RM_Code],$A1173,T_TTAFStock[WeekIndex],85),"")</f>
        <v/>
      </c>
      <c r="CL1217">
        <f>IFERROR(SUMIFS(T_TTAFStock[TTAF_Qty],T_TTAFStock[RM_Code],$A1173,T_TTAFStock[WeekIndex],86),"")</f>
        <v/>
      </c>
      <c r="CM1217">
        <f>IFERROR(SUMIFS(T_TTAFStock[TTAF_Qty],T_TTAFStock[RM_Code],$A1173,T_TTAFStock[WeekIndex],87),"")</f>
        <v/>
      </c>
      <c r="CN1217">
        <f>IFERROR(SUMIFS(T_TTAFStock[TTAF_Qty],T_TTAFStock[RM_Code],$A1173,T_TTAFStock[WeekIndex],88),"")</f>
        <v/>
      </c>
      <c r="CO1217">
        <f>IFERROR(SUMIFS(T_TTAFStock[TTAF_Qty],T_TTAFStock[RM_Code],$A1173,T_TTAFStock[WeekIndex],89),"")</f>
        <v/>
      </c>
      <c r="CP1217">
        <f>IFERROR(SUMIFS(T_TTAFStock[TTAF_Qty],T_TTAFStock[RM_Code],$A1173,T_TTAFStock[WeekIndex],90),"")</f>
        <v/>
      </c>
      <c r="CQ1217">
        <f>IFERROR(SUMIFS(T_TTAFStock[TTAF_Qty],T_TTAFStock[RM_Code],$A1173,T_TTAFStock[WeekIndex],91),"")</f>
        <v/>
      </c>
      <c r="CR1217">
        <f>IFERROR(SUMIFS(T_TTAFStock[TTAF_Qty],T_TTAFStock[RM_Code],$A1173,T_TTAFStock[WeekIndex],92),"")</f>
        <v/>
      </c>
      <c r="CS1217">
        <f>IFERROR(SUMIFS(T_TTAFStock[TTAF_Qty],T_TTAFStock[RM_Code],$A1173,T_TTAFStock[WeekIndex],93),"")</f>
        <v/>
      </c>
      <c r="CT1217">
        <f>IFERROR(SUMIFS(T_TTAFStock[TTAF_Qty],T_TTAFStock[RM_Code],$A1173,T_TTAFStock[WeekIndex],94),"")</f>
        <v/>
      </c>
      <c r="CU1217">
        <f>IFERROR(SUMIFS(T_TTAFStock[TTAF_Qty],T_TTAFStock[RM_Code],$A1173,T_TTAFStock[WeekIndex],95),"")</f>
        <v/>
      </c>
      <c r="CV1217">
        <f>IFERROR(SUMIFS(T_TTAFStock[TTAF_Qty],T_TTAFStock[RM_Code],$A1173,T_TTAFStock[WeekIndex],96),"")</f>
        <v/>
      </c>
      <c r="CW1217">
        <f>IFERROR(SUMIFS(T_TTAFStock[TTAF_Qty],T_TTAFStock[RM_Code],$A1173,T_TTAFStock[WeekIndex],97),"")</f>
        <v/>
      </c>
      <c r="CX1217">
        <f>IFERROR(SUMIFS(T_TTAFStock[TTAF_Qty],T_TTAFStock[RM_Code],$A1173,T_TTAFStock[WeekIndex],98),"")</f>
        <v/>
      </c>
      <c r="CY1217">
        <f>IFERROR(SUMIFS(T_TTAFStock[TTAF_Qty],T_TTAFStock[RM_Code],$A1173,T_TTAFStock[WeekIndex],99),"")</f>
        <v/>
      </c>
      <c r="CZ1217">
        <f>IFERROR(SUMIFS(T_TTAFStock[TTAF_Qty],T_TTAFStock[RM_Code],$A1173,T_TTAFStock[WeekIndex],100),"")</f>
        <v/>
      </c>
      <c r="DA1217">
        <f>IFERROR(SUMIFS(T_TTAFStock[TTAF_Qty],T_TTAFStock[RM_Code],$A1173,T_TTAFStock[WeekIndex],101),"")</f>
        <v/>
      </c>
      <c r="DB1217">
        <f>IFERROR(SUMIFS(T_TTAFStock[TTAF_Qty],T_TTAFStock[RM_Code],$A1173,T_TTAFStock[WeekIndex],102),"")</f>
        <v/>
      </c>
      <c r="DC1217">
        <f>IFERROR(SUMIFS(T_TTAFStock[TTAF_Qty],T_TTAFStock[RM_Code],$A1173,T_TTAFStock[WeekIndex],103),"")</f>
        <v/>
      </c>
      <c r="DD1217">
        <f>IFERROR(SUMIFS(T_TTAFStock[TTAF_Qty],T_TTAFStock[RM_Code],$A1173,T_TTAFStock[WeekIndex],104),"")</f>
        <v/>
      </c>
    </row>
    <row r="1218">
      <c r="B1218" t="inlineStr">
        <is>
          <t>自社在庫(実績,kg)</t>
        </is>
      </c>
      <c r="D1218">
        <f>IFERROR(INDEX(E1218:DD1218,$F$1),"")</f>
        <v/>
      </c>
      <c r="E1218">
        <f>IFERROR(SUMIFS(T_SelfStock[Self_Qty],T_SelfStock[RM_Code],$A1173,T_SelfStock[WeekIndex],1),"")</f>
        <v/>
      </c>
      <c r="F1218">
        <f>IFERROR(SUMIFS(T_SelfStock[Self_Qty],T_SelfStock[RM_Code],$A1173,T_SelfStock[WeekIndex],2),"")</f>
        <v/>
      </c>
      <c r="G1218">
        <f>IFERROR(SUMIFS(T_SelfStock[Self_Qty],T_SelfStock[RM_Code],$A1173,T_SelfStock[WeekIndex],3),"")</f>
        <v/>
      </c>
      <c r="H1218">
        <f>IFERROR(SUMIFS(T_SelfStock[Self_Qty],T_SelfStock[RM_Code],$A1173,T_SelfStock[WeekIndex],4),"")</f>
        <v/>
      </c>
      <c r="I1218">
        <f>IFERROR(SUMIFS(T_SelfStock[Self_Qty],T_SelfStock[RM_Code],$A1173,T_SelfStock[WeekIndex],5),"")</f>
        <v/>
      </c>
      <c r="J1218">
        <f>IFERROR(SUMIFS(T_SelfStock[Self_Qty],T_SelfStock[RM_Code],$A1173,T_SelfStock[WeekIndex],6),"")</f>
        <v/>
      </c>
      <c r="K1218">
        <f>IFERROR(SUMIFS(T_SelfStock[Self_Qty],T_SelfStock[RM_Code],$A1173,T_SelfStock[WeekIndex],7),"")</f>
        <v/>
      </c>
      <c r="L1218">
        <f>IFERROR(SUMIFS(T_SelfStock[Self_Qty],T_SelfStock[RM_Code],$A1173,T_SelfStock[WeekIndex],8),"")</f>
        <v/>
      </c>
      <c r="M1218">
        <f>IFERROR(SUMIFS(T_SelfStock[Self_Qty],T_SelfStock[RM_Code],$A1173,T_SelfStock[WeekIndex],9),"")</f>
        <v/>
      </c>
      <c r="N1218">
        <f>IFERROR(SUMIFS(T_SelfStock[Self_Qty],T_SelfStock[RM_Code],$A1173,T_SelfStock[WeekIndex],10),"")</f>
        <v/>
      </c>
      <c r="O1218">
        <f>IFERROR(SUMIFS(T_SelfStock[Self_Qty],T_SelfStock[RM_Code],$A1173,T_SelfStock[WeekIndex],11),"")</f>
        <v/>
      </c>
      <c r="P1218">
        <f>IFERROR(SUMIFS(T_SelfStock[Self_Qty],T_SelfStock[RM_Code],$A1173,T_SelfStock[WeekIndex],12),"")</f>
        <v/>
      </c>
      <c r="Q1218">
        <f>IFERROR(SUMIFS(T_SelfStock[Self_Qty],T_SelfStock[RM_Code],$A1173,T_SelfStock[WeekIndex],13),"")</f>
        <v/>
      </c>
      <c r="R1218">
        <f>IFERROR(SUMIFS(T_SelfStock[Self_Qty],T_SelfStock[RM_Code],$A1173,T_SelfStock[WeekIndex],14),"")</f>
        <v/>
      </c>
      <c r="S1218">
        <f>IFERROR(SUMIFS(T_SelfStock[Self_Qty],T_SelfStock[RM_Code],$A1173,T_SelfStock[WeekIndex],15),"")</f>
        <v/>
      </c>
      <c r="T1218">
        <f>IFERROR(SUMIFS(T_SelfStock[Self_Qty],T_SelfStock[RM_Code],$A1173,T_SelfStock[WeekIndex],16),"")</f>
        <v/>
      </c>
      <c r="U1218">
        <f>IFERROR(SUMIFS(T_SelfStock[Self_Qty],T_SelfStock[RM_Code],$A1173,T_SelfStock[WeekIndex],17),"")</f>
        <v/>
      </c>
      <c r="V1218">
        <f>IFERROR(SUMIFS(T_SelfStock[Self_Qty],T_SelfStock[RM_Code],$A1173,T_SelfStock[WeekIndex],18),"")</f>
        <v/>
      </c>
      <c r="W1218">
        <f>IFERROR(SUMIFS(T_SelfStock[Self_Qty],T_SelfStock[RM_Code],$A1173,T_SelfStock[WeekIndex],19),"")</f>
        <v/>
      </c>
      <c r="X1218">
        <f>IFERROR(SUMIFS(T_SelfStock[Self_Qty],T_SelfStock[RM_Code],$A1173,T_SelfStock[WeekIndex],20),"")</f>
        <v/>
      </c>
      <c r="Y1218">
        <f>IFERROR(SUMIFS(T_SelfStock[Self_Qty],T_SelfStock[RM_Code],$A1173,T_SelfStock[WeekIndex],21),"")</f>
        <v/>
      </c>
      <c r="Z1218">
        <f>IFERROR(SUMIFS(T_SelfStock[Self_Qty],T_SelfStock[RM_Code],$A1173,T_SelfStock[WeekIndex],22),"")</f>
        <v/>
      </c>
      <c r="AA1218">
        <f>IFERROR(SUMIFS(T_SelfStock[Self_Qty],T_SelfStock[RM_Code],$A1173,T_SelfStock[WeekIndex],23),"")</f>
        <v/>
      </c>
      <c r="AB1218">
        <f>IFERROR(SUMIFS(T_SelfStock[Self_Qty],T_SelfStock[RM_Code],$A1173,T_SelfStock[WeekIndex],24),"")</f>
        <v/>
      </c>
      <c r="AC1218">
        <f>IFERROR(SUMIFS(T_SelfStock[Self_Qty],T_SelfStock[RM_Code],$A1173,T_SelfStock[WeekIndex],25),"")</f>
        <v/>
      </c>
      <c r="AD1218">
        <f>IFERROR(SUMIFS(T_SelfStock[Self_Qty],T_SelfStock[RM_Code],$A1173,T_SelfStock[WeekIndex],26),"")</f>
        <v/>
      </c>
      <c r="AE1218">
        <f>IFERROR(SUMIFS(T_SelfStock[Self_Qty],T_SelfStock[RM_Code],$A1173,T_SelfStock[WeekIndex],27),"")</f>
        <v/>
      </c>
      <c r="AF1218">
        <f>IFERROR(SUMIFS(T_SelfStock[Self_Qty],T_SelfStock[RM_Code],$A1173,T_SelfStock[WeekIndex],28),"")</f>
        <v/>
      </c>
      <c r="AG1218">
        <f>IFERROR(SUMIFS(T_SelfStock[Self_Qty],T_SelfStock[RM_Code],$A1173,T_SelfStock[WeekIndex],29),"")</f>
        <v/>
      </c>
      <c r="AH1218">
        <f>IFERROR(SUMIFS(T_SelfStock[Self_Qty],T_SelfStock[RM_Code],$A1173,T_SelfStock[WeekIndex],30),"")</f>
        <v/>
      </c>
      <c r="AI1218">
        <f>IFERROR(SUMIFS(T_SelfStock[Self_Qty],T_SelfStock[RM_Code],$A1173,T_SelfStock[WeekIndex],31),"")</f>
        <v/>
      </c>
      <c r="AJ1218">
        <f>IFERROR(SUMIFS(T_SelfStock[Self_Qty],T_SelfStock[RM_Code],$A1173,T_SelfStock[WeekIndex],32),"")</f>
        <v/>
      </c>
      <c r="AK1218">
        <f>IFERROR(SUMIFS(T_SelfStock[Self_Qty],T_SelfStock[RM_Code],$A1173,T_SelfStock[WeekIndex],33),"")</f>
        <v/>
      </c>
      <c r="AL1218">
        <f>IFERROR(SUMIFS(T_SelfStock[Self_Qty],T_SelfStock[RM_Code],$A1173,T_SelfStock[WeekIndex],34),"")</f>
        <v/>
      </c>
      <c r="AM1218">
        <f>IFERROR(SUMIFS(T_SelfStock[Self_Qty],T_SelfStock[RM_Code],$A1173,T_SelfStock[WeekIndex],35),"")</f>
        <v/>
      </c>
      <c r="AN1218">
        <f>IFERROR(SUMIFS(T_SelfStock[Self_Qty],T_SelfStock[RM_Code],$A1173,T_SelfStock[WeekIndex],36),"")</f>
        <v/>
      </c>
      <c r="AO1218">
        <f>IFERROR(SUMIFS(T_SelfStock[Self_Qty],T_SelfStock[RM_Code],$A1173,T_SelfStock[WeekIndex],37),"")</f>
        <v/>
      </c>
      <c r="AP1218">
        <f>IFERROR(SUMIFS(T_SelfStock[Self_Qty],T_SelfStock[RM_Code],$A1173,T_SelfStock[WeekIndex],38),"")</f>
        <v/>
      </c>
      <c r="AQ1218">
        <f>IFERROR(SUMIFS(T_SelfStock[Self_Qty],T_SelfStock[RM_Code],$A1173,T_SelfStock[WeekIndex],39),"")</f>
        <v/>
      </c>
      <c r="AR1218">
        <f>IFERROR(SUMIFS(T_SelfStock[Self_Qty],T_SelfStock[RM_Code],$A1173,T_SelfStock[WeekIndex],40),"")</f>
        <v/>
      </c>
      <c r="AS1218">
        <f>IFERROR(SUMIFS(T_SelfStock[Self_Qty],T_SelfStock[RM_Code],$A1173,T_SelfStock[WeekIndex],41),"")</f>
        <v/>
      </c>
      <c r="AT1218">
        <f>IFERROR(SUMIFS(T_SelfStock[Self_Qty],T_SelfStock[RM_Code],$A1173,T_SelfStock[WeekIndex],42),"")</f>
        <v/>
      </c>
      <c r="AU1218">
        <f>IFERROR(SUMIFS(T_SelfStock[Self_Qty],T_SelfStock[RM_Code],$A1173,T_SelfStock[WeekIndex],43),"")</f>
        <v/>
      </c>
      <c r="AV1218">
        <f>IFERROR(SUMIFS(T_SelfStock[Self_Qty],T_SelfStock[RM_Code],$A1173,T_SelfStock[WeekIndex],44),"")</f>
        <v/>
      </c>
      <c r="AW1218">
        <f>IFERROR(SUMIFS(T_SelfStock[Self_Qty],T_SelfStock[RM_Code],$A1173,T_SelfStock[WeekIndex],45),"")</f>
        <v/>
      </c>
      <c r="AX1218">
        <f>IFERROR(SUMIFS(T_SelfStock[Self_Qty],T_SelfStock[RM_Code],$A1173,T_SelfStock[WeekIndex],46),"")</f>
        <v/>
      </c>
      <c r="AY1218">
        <f>IFERROR(SUMIFS(T_SelfStock[Self_Qty],T_SelfStock[RM_Code],$A1173,T_SelfStock[WeekIndex],47),"")</f>
        <v/>
      </c>
      <c r="AZ1218">
        <f>IFERROR(SUMIFS(T_SelfStock[Self_Qty],T_SelfStock[RM_Code],$A1173,T_SelfStock[WeekIndex],48),"")</f>
        <v/>
      </c>
      <c r="BA1218">
        <f>IFERROR(SUMIFS(T_SelfStock[Self_Qty],T_SelfStock[RM_Code],$A1173,T_SelfStock[WeekIndex],49),"")</f>
        <v/>
      </c>
      <c r="BB1218">
        <f>IFERROR(SUMIFS(T_SelfStock[Self_Qty],T_SelfStock[RM_Code],$A1173,T_SelfStock[WeekIndex],50),"")</f>
        <v/>
      </c>
      <c r="BC1218">
        <f>IFERROR(SUMIFS(T_SelfStock[Self_Qty],T_SelfStock[RM_Code],$A1173,T_SelfStock[WeekIndex],51),"")</f>
        <v/>
      </c>
      <c r="BD1218">
        <f>IFERROR(SUMIFS(T_SelfStock[Self_Qty],T_SelfStock[RM_Code],$A1173,T_SelfStock[WeekIndex],52),"")</f>
        <v/>
      </c>
      <c r="BE1218">
        <f>IFERROR(SUMIFS(T_SelfStock[Self_Qty],T_SelfStock[RM_Code],$A1173,T_SelfStock[WeekIndex],53),"")</f>
        <v/>
      </c>
      <c r="BF1218">
        <f>IFERROR(SUMIFS(T_SelfStock[Self_Qty],T_SelfStock[RM_Code],$A1173,T_SelfStock[WeekIndex],54),"")</f>
        <v/>
      </c>
      <c r="BG1218">
        <f>IFERROR(SUMIFS(T_SelfStock[Self_Qty],T_SelfStock[RM_Code],$A1173,T_SelfStock[WeekIndex],55),"")</f>
        <v/>
      </c>
      <c r="BH1218">
        <f>IFERROR(SUMIFS(T_SelfStock[Self_Qty],T_SelfStock[RM_Code],$A1173,T_SelfStock[WeekIndex],56),"")</f>
        <v/>
      </c>
      <c r="BI1218">
        <f>IFERROR(SUMIFS(T_SelfStock[Self_Qty],T_SelfStock[RM_Code],$A1173,T_SelfStock[WeekIndex],57),"")</f>
        <v/>
      </c>
      <c r="BJ1218">
        <f>IFERROR(SUMIFS(T_SelfStock[Self_Qty],T_SelfStock[RM_Code],$A1173,T_SelfStock[WeekIndex],58),"")</f>
        <v/>
      </c>
      <c r="BK1218">
        <f>IFERROR(SUMIFS(T_SelfStock[Self_Qty],T_SelfStock[RM_Code],$A1173,T_SelfStock[WeekIndex],59),"")</f>
        <v/>
      </c>
      <c r="BL1218">
        <f>IFERROR(SUMIFS(T_SelfStock[Self_Qty],T_SelfStock[RM_Code],$A1173,T_SelfStock[WeekIndex],60),"")</f>
        <v/>
      </c>
      <c r="BM1218">
        <f>IFERROR(SUMIFS(T_SelfStock[Self_Qty],T_SelfStock[RM_Code],$A1173,T_SelfStock[WeekIndex],61),"")</f>
        <v/>
      </c>
      <c r="BN1218">
        <f>IFERROR(SUMIFS(T_SelfStock[Self_Qty],T_SelfStock[RM_Code],$A1173,T_SelfStock[WeekIndex],62),"")</f>
        <v/>
      </c>
      <c r="BO1218">
        <f>IFERROR(SUMIFS(T_SelfStock[Self_Qty],T_SelfStock[RM_Code],$A1173,T_SelfStock[WeekIndex],63),"")</f>
        <v/>
      </c>
      <c r="BP1218">
        <f>IFERROR(SUMIFS(T_SelfStock[Self_Qty],T_SelfStock[RM_Code],$A1173,T_SelfStock[WeekIndex],64),"")</f>
        <v/>
      </c>
      <c r="BQ1218">
        <f>IFERROR(SUMIFS(T_SelfStock[Self_Qty],T_SelfStock[RM_Code],$A1173,T_SelfStock[WeekIndex],65),"")</f>
        <v/>
      </c>
      <c r="BR1218">
        <f>IFERROR(SUMIFS(T_SelfStock[Self_Qty],T_SelfStock[RM_Code],$A1173,T_SelfStock[WeekIndex],66),"")</f>
        <v/>
      </c>
      <c r="BS1218">
        <f>IFERROR(SUMIFS(T_SelfStock[Self_Qty],T_SelfStock[RM_Code],$A1173,T_SelfStock[WeekIndex],67),"")</f>
        <v/>
      </c>
      <c r="BT1218">
        <f>IFERROR(SUMIFS(T_SelfStock[Self_Qty],T_SelfStock[RM_Code],$A1173,T_SelfStock[WeekIndex],68),"")</f>
        <v/>
      </c>
      <c r="BU1218">
        <f>IFERROR(SUMIFS(T_SelfStock[Self_Qty],T_SelfStock[RM_Code],$A1173,T_SelfStock[WeekIndex],69),"")</f>
        <v/>
      </c>
      <c r="BV1218">
        <f>IFERROR(SUMIFS(T_SelfStock[Self_Qty],T_SelfStock[RM_Code],$A1173,T_SelfStock[WeekIndex],70),"")</f>
        <v/>
      </c>
      <c r="BW1218">
        <f>IFERROR(SUMIFS(T_SelfStock[Self_Qty],T_SelfStock[RM_Code],$A1173,T_SelfStock[WeekIndex],71),"")</f>
        <v/>
      </c>
      <c r="BX1218">
        <f>IFERROR(SUMIFS(T_SelfStock[Self_Qty],T_SelfStock[RM_Code],$A1173,T_SelfStock[WeekIndex],72),"")</f>
        <v/>
      </c>
      <c r="BY1218">
        <f>IFERROR(SUMIFS(T_SelfStock[Self_Qty],T_SelfStock[RM_Code],$A1173,T_SelfStock[WeekIndex],73),"")</f>
        <v/>
      </c>
      <c r="BZ1218">
        <f>IFERROR(SUMIFS(T_SelfStock[Self_Qty],T_SelfStock[RM_Code],$A1173,T_SelfStock[WeekIndex],74),"")</f>
        <v/>
      </c>
      <c r="CA1218">
        <f>IFERROR(SUMIFS(T_SelfStock[Self_Qty],T_SelfStock[RM_Code],$A1173,T_SelfStock[WeekIndex],75),"")</f>
        <v/>
      </c>
      <c r="CB1218">
        <f>IFERROR(SUMIFS(T_SelfStock[Self_Qty],T_SelfStock[RM_Code],$A1173,T_SelfStock[WeekIndex],76),"")</f>
        <v/>
      </c>
      <c r="CC1218">
        <f>IFERROR(SUMIFS(T_SelfStock[Self_Qty],T_SelfStock[RM_Code],$A1173,T_SelfStock[WeekIndex],77),"")</f>
        <v/>
      </c>
      <c r="CD1218">
        <f>IFERROR(SUMIFS(T_SelfStock[Self_Qty],T_SelfStock[RM_Code],$A1173,T_SelfStock[WeekIndex],78),"")</f>
        <v/>
      </c>
      <c r="CE1218">
        <f>IFERROR(SUMIFS(T_SelfStock[Self_Qty],T_SelfStock[RM_Code],$A1173,T_SelfStock[WeekIndex],79),"")</f>
        <v/>
      </c>
      <c r="CF1218">
        <f>IFERROR(SUMIFS(T_SelfStock[Self_Qty],T_SelfStock[RM_Code],$A1173,T_SelfStock[WeekIndex],80),"")</f>
        <v/>
      </c>
      <c r="CG1218">
        <f>IFERROR(SUMIFS(T_SelfStock[Self_Qty],T_SelfStock[RM_Code],$A1173,T_SelfStock[WeekIndex],81),"")</f>
        <v/>
      </c>
      <c r="CH1218">
        <f>IFERROR(SUMIFS(T_SelfStock[Self_Qty],T_SelfStock[RM_Code],$A1173,T_SelfStock[WeekIndex],82),"")</f>
        <v/>
      </c>
      <c r="CI1218">
        <f>IFERROR(SUMIFS(T_SelfStock[Self_Qty],T_SelfStock[RM_Code],$A1173,T_SelfStock[WeekIndex],83),"")</f>
        <v/>
      </c>
      <c r="CJ1218">
        <f>IFERROR(SUMIFS(T_SelfStock[Self_Qty],T_SelfStock[RM_Code],$A1173,T_SelfStock[WeekIndex],84),"")</f>
        <v/>
      </c>
      <c r="CK1218">
        <f>IFERROR(SUMIFS(T_SelfStock[Self_Qty],T_SelfStock[RM_Code],$A1173,T_SelfStock[WeekIndex],85),"")</f>
        <v/>
      </c>
      <c r="CL1218">
        <f>IFERROR(SUMIFS(T_SelfStock[Self_Qty],T_SelfStock[RM_Code],$A1173,T_SelfStock[WeekIndex],86),"")</f>
        <v/>
      </c>
      <c r="CM1218">
        <f>IFERROR(SUMIFS(T_SelfStock[Self_Qty],T_SelfStock[RM_Code],$A1173,T_SelfStock[WeekIndex],87),"")</f>
        <v/>
      </c>
      <c r="CN1218">
        <f>IFERROR(SUMIFS(T_SelfStock[Self_Qty],T_SelfStock[RM_Code],$A1173,T_SelfStock[WeekIndex],88),"")</f>
        <v/>
      </c>
      <c r="CO1218">
        <f>IFERROR(SUMIFS(T_SelfStock[Self_Qty],T_SelfStock[RM_Code],$A1173,T_SelfStock[WeekIndex],89),"")</f>
        <v/>
      </c>
      <c r="CP1218">
        <f>IFERROR(SUMIFS(T_SelfStock[Self_Qty],T_SelfStock[RM_Code],$A1173,T_SelfStock[WeekIndex],90),"")</f>
        <v/>
      </c>
      <c r="CQ1218">
        <f>IFERROR(SUMIFS(T_SelfStock[Self_Qty],T_SelfStock[RM_Code],$A1173,T_SelfStock[WeekIndex],91),"")</f>
        <v/>
      </c>
      <c r="CR1218">
        <f>IFERROR(SUMIFS(T_SelfStock[Self_Qty],T_SelfStock[RM_Code],$A1173,T_SelfStock[WeekIndex],92),"")</f>
        <v/>
      </c>
      <c r="CS1218">
        <f>IFERROR(SUMIFS(T_SelfStock[Self_Qty],T_SelfStock[RM_Code],$A1173,T_SelfStock[WeekIndex],93),"")</f>
        <v/>
      </c>
      <c r="CT1218">
        <f>IFERROR(SUMIFS(T_SelfStock[Self_Qty],T_SelfStock[RM_Code],$A1173,T_SelfStock[WeekIndex],94),"")</f>
        <v/>
      </c>
      <c r="CU1218">
        <f>IFERROR(SUMIFS(T_SelfStock[Self_Qty],T_SelfStock[RM_Code],$A1173,T_SelfStock[WeekIndex],95),"")</f>
        <v/>
      </c>
      <c r="CV1218">
        <f>IFERROR(SUMIFS(T_SelfStock[Self_Qty],T_SelfStock[RM_Code],$A1173,T_SelfStock[WeekIndex],96),"")</f>
        <v/>
      </c>
      <c r="CW1218">
        <f>IFERROR(SUMIFS(T_SelfStock[Self_Qty],T_SelfStock[RM_Code],$A1173,T_SelfStock[WeekIndex],97),"")</f>
        <v/>
      </c>
      <c r="CX1218">
        <f>IFERROR(SUMIFS(T_SelfStock[Self_Qty],T_SelfStock[RM_Code],$A1173,T_SelfStock[WeekIndex],98),"")</f>
        <v/>
      </c>
      <c r="CY1218">
        <f>IFERROR(SUMIFS(T_SelfStock[Self_Qty],T_SelfStock[RM_Code],$A1173,T_SelfStock[WeekIndex],99),"")</f>
        <v/>
      </c>
      <c r="CZ1218">
        <f>IFERROR(SUMIFS(T_SelfStock[Self_Qty],T_SelfStock[RM_Code],$A1173,T_SelfStock[WeekIndex],100),"")</f>
        <v/>
      </c>
      <c r="DA1218">
        <f>IFERROR(SUMIFS(T_SelfStock[Self_Qty],T_SelfStock[RM_Code],$A1173,T_SelfStock[WeekIndex],101),"")</f>
        <v/>
      </c>
      <c r="DB1218">
        <f>IFERROR(SUMIFS(T_SelfStock[Self_Qty],T_SelfStock[RM_Code],$A1173,T_SelfStock[WeekIndex],102),"")</f>
        <v/>
      </c>
      <c r="DC1218">
        <f>IFERROR(SUMIFS(T_SelfStock[Self_Qty],T_SelfStock[RM_Code],$A1173,T_SelfStock[WeekIndex],103),"")</f>
        <v/>
      </c>
      <c r="DD1218">
        <f>IFERROR(SUMIFS(T_SelfStock[Self_Qty],T_SelfStock[RM_Code],$A1173,T_SelfStock[WeekIndex],104),"")</f>
        <v/>
      </c>
    </row>
    <row r="1219">
      <c r="B1219" s="4" t="inlineStr">
        <is>
          <t>合計在庫(週末時点,kg)</t>
        </is>
      </c>
      <c r="D1219" s="24">
        <f>IFERROR(INDEX(E1219:DD1219,$F$1),"")</f>
        <v/>
      </c>
      <c r="E1219">
        <f>'Grid_Stock'!B6</f>
        <v/>
      </c>
      <c r="F1219">
        <f>'Grid_Stock'!C6</f>
        <v/>
      </c>
      <c r="G1219">
        <f>'Grid_Stock'!D6</f>
        <v/>
      </c>
      <c r="H1219">
        <f>'Grid_Stock'!E6</f>
        <v/>
      </c>
      <c r="I1219">
        <f>'Grid_Stock'!F6</f>
        <v/>
      </c>
      <c r="J1219">
        <f>'Grid_Stock'!G6</f>
        <v/>
      </c>
      <c r="K1219">
        <f>'Grid_Stock'!H6</f>
        <v/>
      </c>
      <c r="L1219">
        <f>'Grid_Stock'!I6</f>
        <v/>
      </c>
      <c r="M1219">
        <f>'Grid_Stock'!J6</f>
        <v/>
      </c>
      <c r="N1219">
        <f>'Grid_Stock'!K6</f>
        <v/>
      </c>
      <c r="O1219">
        <f>'Grid_Stock'!L6</f>
        <v/>
      </c>
      <c r="P1219">
        <f>'Grid_Stock'!M6</f>
        <v/>
      </c>
      <c r="Q1219">
        <f>'Grid_Stock'!N6</f>
        <v/>
      </c>
      <c r="R1219">
        <f>'Grid_Stock'!O6</f>
        <v/>
      </c>
      <c r="S1219">
        <f>'Grid_Stock'!P6</f>
        <v/>
      </c>
      <c r="T1219">
        <f>'Grid_Stock'!Q6</f>
        <v/>
      </c>
      <c r="U1219">
        <f>'Grid_Stock'!R6</f>
        <v/>
      </c>
      <c r="V1219">
        <f>'Grid_Stock'!S6</f>
        <v/>
      </c>
      <c r="W1219">
        <f>'Grid_Stock'!T6</f>
        <v/>
      </c>
      <c r="X1219">
        <f>'Grid_Stock'!U6</f>
        <v/>
      </c>
      <c r="Y1219">
        <f>'Grid_Stock'!V6</f>
        <v/>
      </c>
      <c r="Z1219">
        <f>'Grid_Stock'!W6</f>
        <v/>
      </c>
      <c r="AA1219">
        <f>'Grid_Stock'!X6</f>
        <v/>
      </c>
      <c r="AB1219">
        <f>'Grid_Stock'!Y6</f>
        <v/>
      </c>
      <c r="AC1219">
        <f>'Grid_Stock'!Z6</f>
        <v/>
      </c>
      <c r="AD1219">
        <f>'Grid_Stock'!AA6</f>
        <v/>
      </c>
      <c r="AE1219">
        <f>'Grid_Stock'!AB6</f>
        <v/>
      </c>
      <c r="AF1219">
        <f>'Grid_Stock'!AC6</f>
        <v/>
      </c>
      <c r="AG1219">
        <f>'Grid_Stock'!AD6</f>
        <v/>
      </c>
      <c r="AH1219">
        <f>'Grid_Stock'!AE6</f>
        <v/>
      </c>
      <c r="AI1219">
        <f>'Grid_Stock'!AF6</f>
        <v/>
      </c>
      <c r="AJ1219">
        <f>'Grid_Stock'!AG6</f>
        <v/>
      </c>
      <c r="AK1219">
        <f>'Grid_Stock'!AH6</f>
        <v/>
      </c>
      <c r="AL1219">
        <f>'Grid_Stock'!AI6</f>
        <v/>
      </c>
      <c r="AM1219">
        <f>'Grid_Stock'!AJ6</f>
        <v/>
      </c>
      <c r="AN1219">
        <f>'Grid_Stock'!AK6</f>
        <v/>
      </c>
      <c r="AO1219">
        <f>'Grid_Stock'!AL6</f>
        <v/>
      </c>
      <c r="AP1219">
        <f>'Grid_Stock'!AM6</f>
        <v/>
      </c>
      <c r="AQ1219">
        <f>'Grid_Stock'!AN6</f>
        <v/>
      </c>
      <c r="AR1219">
        <f>'Grid_Stock'!AO6</f>
        <v/>
      </c>
      <c r="AS1219">
        <f>'Grid_Stock'!AP6</f>
        <v/>
      </c>
      <c r="AT1219">
        <f>'Grid_Stock'!AQ6</f>
        <v/>
      </c>
      <c r="AU1219">
        <f>'Grid_Stock'!AR6</f>
        <v/>
      </c>
      <c r="AV1219">
        <f>'Grid_Stock'!AS6</f>
        <v/>
      </c>
      <c r="AW1219">
        <f>'Grid_Stock'!AT6</f>
        <v/>
      </c>
      <c r="AX1219">
        <f>'Grid_Stock'!AU6</f>
        <v/>
      </c>
      <c r="AY1219">
        <f>'Grid_Stock'!AV6</f>
        <v/>
      </c>
      <c r="AZ1219">
        <f>'Grid_Stock'!AW6</f>
        <v/>
      </c>
      <c r="BA1219">
        <f>'Grid_Stock'!AX6</f>
        <v/>
      </c>
      <c r="BB1219">
        <f>'Grid_Stock'!AY6</f>
        <v/>
      </c>
      <c r="BC1219">
        <f>'Grid_Stock'!AZ6</f>
        <v/>
      </c>
      <c r="BD1219">
        <f>'Grid_Stock'!BA6</f>
        <v/>
      </c>
      <c r="BE1219">
        <f>'Grid_Stock'!BB6</f>
        <v/>
      </c>
      <c r="BF1219">
        <f>'Grid_Stock'!BC6</f>
        <v/>
      </c>
      <c r="BG1219">
        <f>'Grid_Stock'!BD6</f>
        <v/>
      </c>
      <c r="BH1219">
        <f>'Grid_Stock'!BE6</f>
        <v/>
      </c>
      <c r="BI1219">
        <f>'Grid_Stock'!BF6</f>
        <v/>
      </c>
      <c r="BJ1219">
        <f>'Grid_Stock'!BG6</f>
        <v/>
      </c>
      <c r="BK1219">
        <f>'Grid_Stock'!BH6</f>
        <v/>
      </c>
      <c r="BL1219">
        <f>'Grid_Stock'!BI6</f>
        <v/>
      </c>
      <c r="BM1219">
        <f>'Grid_Stock'!BJ6</f>
        <v/>
      </c>
      <c r="BN1219">
        <f>'Grid_Stock'!BK6</f>
        <v/>
      </c>
      <c r="BO1219">
        <f>'Grid_Stock'!BL6</f>
        <v/>
      </c>
      <c r="BP1219">
        <f>'Grid_Stock'!BM6</f>
        <v/>
      </c>
      <c r="BQ1219">
        <f>'Grid_Stock'!BN6</f>
        <v/>
      </c>
      <c r="BR1219">
        <f>'Grid_Stock'!BO6</f>
        <v/>
      </c>
      <c r="BS1219">
        <f>'Grid_Stock'!BP6</f>
        <v/>
      </c>
      <c r="BT1219">
        <f>'Grid_Stock'!BQ6</f>
        <v/>
      </c>
      <c r="BU1219">
        <f>'Grid_Stock'!BR6</f>
        <v/>
      </c>
      <c r="BV1219">
        <f>'Grid_Stock'!BS6</f>
        <v/>
      </c>
      <c r="BW1219">
        <f>'Grid_Stock'!BT6</f>
        <v/>
      </c>
      <c r="BX1219">
        <f>'Grid_Stock'!BU6</f>
        <v/>
      </c>
      <c r="BY1219">
        <f>'Grid_Stock'!BV6</f>
        <v/>
      </c>
      <c r="BZ1219">
        <f>'Grid_Stock'!BW6</f>
        <v/>
      </c>
      <c r="CA1219">
        <f>'Grid_Stock'!BX6</f>
        <v/>
      </c>
      <c r="CB1219">
        <f>'Grid_Stock'!BY6</f>
        <v/>
      </c>
      <c r="CC1219">
        <f>'Grid_Stock'!BZ6</f>
        <v/>
      </c>
      <c r="CD1219">
        <f>'Grid_Stock'!CA6</f>
        <v/>
      </c>
      <c r="CE1219">
        <f>'Grid_Stock'!CB6</f>
        <v/>
      </c>
      <c r="CF1219">
        <f>'Grid_Stock'!CC6</f>
        <v/>
      </c>
      <c r="CG1219">
        <f>'Grid_Stock'!CD6</f>
        <v/>
      </c>
      <c r="CH1219">
        <f>'Grid_Stock'!CE6</f>
        <v/>
      </c>
      <c r="CI1219">
        <f>'Grid_Stock'!CF6</f>
        <v/>
      </c>
      <c r="CJ1219">
        <f>'Grid_Stock'!CG6</f>
        <v/>
      </c>
      <c r="CK1219">
        <f>'Grid_Stock'!CH6</f>
        <v/>
      </c>
      <c r="CL1219">
        <f>'Grid_Stock'!CI6</f>
        <v/>
      </c>
      <c r="CM1219">
        <f>'Grid_Stock'!CJ6</f>
        <v/>
      </c>
      <c r="CN1219">
        <f>'Grid_Stock'!CK6</f>
        <v/>
      </c>
      <c r="CO1219">
        <f>'Grid_Stock'!CL6</f>
        <v/>
      </c>
      <c r="CP1219">
        <f>'Grid_Stock'!CM6</f>
        <v/>
      </c>
      <c r="CQ1219">
        <f>'Grid_Stock'!CN6</f>
        <v/>
      </c>
      <c r="CR1219">
        <f>'Grid_Stock'!CO6</f>
        <v/>
      </c>
      <c r="CS1219">
        <f>'Grid_Stock'!CP6</f>
        <v/>
      </c>
      <c r="CT1219">
        <f>'Grid_Stock'!CQ6</f>
        <v/>
      </c>
      <c r="CU1219">
        <f>'Grid_Stock'!CR6</f>
        <v/>
      </c>
      <c r="CV1219">
        <f>'Grid_Stock'!CS6</f>
        <v/>
      </c>
      <c r="CW1219">
        <f>'Grid_Stock'!CT6</f>
        <v/>
      </c>
      <c r="CX1219">
        <f>'Grid_Stock'!CU6</f>
        <v/>
      </c>
      <c r="CY1219">
        <f>'Grid_Stock'!CV6</f>
        <v/>
      </c>
      <c r="CZ1219">
        <f>'Grid_Stock'!CW6</f>
        <v/>
      </c>
      <c r="DA1219">
        <f>'Grid_Stock'!CX6</f>
        <v/>
      </c>
      <c r="DB1219">
        <f>'Grid_Stock'!CY6</f>
        <v/>
      </c>
      <c r="DC1219">
        <f>'Grid_Stock'!CZ6</f>
        <v/>
      </c>
      <c r="DD1219">
        <f>'Grid_Stock'!DA6</f>
        <v/>
      </c>
    </row>
    <row r="1220">
      <c r="B1220" s="25" t="inlineStr">
        <is>
          <t>（発注の目安はDashboardの基準在庫[下限/上限]と色分けを参照）</t>
        </is>
      </c>
    </row>
    <row r="1222">
      <c r="A1222" s="21" t="inlineStr">
        <is>
          <t>CHEM-1650</t>
        </is>
      </c>
      <c r="B1222" s="21" t="inlineStr">
        <is>
          <t>DUASYN ACID BLUE AE-SF 30 LIQUID-SN</t>
        </is>
      </c>
      <c r="C1222" s="22" t="n"/>
      <c r="D1222" s="21" t="n"/>
      <c r="E1222" s="21" t="n"/>
      <c r="F1222" s="21" t="n"/>
      <c r="G1222" s="21" t="n"/>
      <c r="H1222" s="21" t="n"/>
      <c r="I1222" s="21" t="n"/>
      <c r="J1222" s="21" t="n"/>
      <c r="K1222" s="21" t="n"/>
      <c r="L1222" s="21" t="n"/>
      <c r="M1222" s="21" t="n"/>
      <c r="N1222" s="21" t="n"/>
      <c r="O1222" s="21" t="n"/>
      <c r="P1222" s="21" t="n"/>
      <c r="Q1222" s="21" t="n"/>
      <c r="R1222" s="21" t="n"/>
      <c r="S1222" s="21" t="n"/>
      <c r="T1222" s="21" t="n"/>
      <c r="U1222" s="21" t="n"/>
      <c r="V1222" s="21" t="n"/>
      <c r="W1222" s="21" t="n"/>
      <c r="X1222" s="21" t="n"/>
      <c r="Y1222" s="21" t="n"/>
      <c r="Z1222" s="21" t="n"/>
      <c r="AA1222" s="21" t="n"/>
      <c r="AB1222" s="21" t="n"/>
      <c r="AC1222" s="21" t="n"/>
      <c r="AD1222" s="21" t="n"/>
      <c r="AE1222" s="21" t="n"/>
      <c r="AF1222" s="21" t="n"/>
      <c r="AG1222" s="21" t="n"/>
      <c r="AH1222" s="21" t="n"/>
      <c r="AI1222" s="21" t="n"/>
      <c r="AJ1222" s="21" t="n"/>
      <c r="AK1222" s="21" t="n"/>
      <c r="AL1222" s="21" t="n"/>
      <c r="AM1222" s="21" t="n"/>
      <c r="AN1222" s="21" t="n"/>
      <c r="AO1222" s="21" t="n"/>
      <c r="AP1222" s="21" t="n"/>
      <c r="AQ1222" s="21" t="n"/>
      <c r="AR1222" s="21" t="n"/>
      <c r="AS1222" s="21" t="n"/>
      <c r="AT1222" s="21" t="n"/>
      <c r="AU1222" s="21" t="n"/>
      <c r="AV1222" s="21" t="n"/>
      <c r="AW1222" s="21" t="n"/>
      <c r="AX1222" s="21" t="n"/>
      <c r="AY1222" s="21" t="n"/>
      <c r="AZ1222" s="21" t="n"/>
      <c r="BA1222" s="21" t="n"/>
      <c r="BB1222" s="21" t="n"/>
      <c r="BC1222" s="21" t="n"/>
      <c r="BD1222" s="21" t="n"/>
      <c r="BE1222" s="21" t="n"/>
      <c r="BF1222" s="21" t="n"/>
      <c r="BG1222" s="21" t="n"/>
      <c r="BH1222" s="21" t="n"/>
      <c r="BI1222" s="21" t="n"/>
      <c r="BJ1222" s="21" t="n"/>
      <c r="BK1222" s="21" t="n"/>
      <c r="BL1222" s="21" t="n"/>
      <c r="BM1222" s="21" t="n"/>
      <c r="BN1222" s="21" t="n"/>
      <c r="BO1222" s="21" t="n"/>
      <c r="BP1222" s="21" t="n"/>
      <c r="BQ1222" s="21" t="n"/>
      <c r="BR1222" s="21" t="n"/>
      <c r="BS1222" s="21" t="n"/>
      <c r="BT1222" s="21" t="n"/>
      <c r="BU1222" s="21" t="n"/>
      <c r="BV1222" s="21" t="n"/>
      <c r="BW1222" s="21" t="n"/>
      <c r="BX1222" s="21" t="n"/>
      <c r="BY1222" s="21" t="n"/>
      <c r="BZ1222" s="21" t="n"/>
      <c r="CA1222" s="21" t="n"/>
      <c r="CB1222" s="21" t="n"/>
      <c r="CC1222" s="21" t="n"/>
      <c r="CD1222" s="21" t="n"/>
      <c r="CE1222" s="21" t="n"/>
      <c r="CF1222" s="21" t="n"/>
      <c r="CG1222" s="21" t="n"/>
      <c r="CH1222" s="21" t="n"/>
      <c r="CI1222" s="21" t="n"/>
      <c r="CJ1222" s="21" t="n"/>
      <c r="CK1222" s="21" t="n"/>
      <c r="CL1222" s="21" t="n"/>
      <c r="CM1222" s="21" t="n"/>
      <c r="CN1222" s="21" t="n"/>
      <c r="CO1222" s="21" t="n"/>
      <c r="CP1222" s="21" t="n"/>
      <c r="CQ1222" s="21" t="n"/>
      <c r="CR1222" s="21" t="n"/>
      <c r="CS1222" s="21" t="n"/>
      <c r="CT1222" s="21" t="n"/>
      <c r="CU1222" s="21" t="n"/>
      <c r="CV1222" s="21" t="n"/>
      <c r="CW1222" s="21" t="n"/>
      <c r="CX1222" s="21" t="n"/>
      <c r="CY1222" s="21" t="n"/>
      <c r="CZ1222" s="21" t="n"/>
      <c r="DA1222" s="21" t="n"/>
      <c r="DB1222" s="21" t="n"/>
      <c r="DC1222" s="21" t="n"/>
      <c r="DD1222" s="21" t="n"/>
    </row>
    <row r="1223">
      <c r="B1223" t="inlineStr">
        <is>
          <t>TSP-402</t>
        </is>
      </c>
      <c r="C1223" t="inlineStr">
        <is>
          <t>No. of batches</t>
        </is>
      </c>
      <c r="D1223">
        <f>IFERROR(INDEX(E1223:DD1223,$F$1),"")</f>
        <v/>
      </c>
      <c r="E1223">
        <f>IFERROR(INDEX(PP_Grid[#Data],$DE1223,2),0)</f>
        <v/>
      </c>
      <c r="F1223">
        <f>IFERROR(INDEX(PP_Grid[#Data],$DE1223,3),0)</f>
        <v/>
      </c>
      <c r="G1223">
        <f>IFERROR(INDEX(PP_Grid[#Data],$DE1223,4),0)</f>
        <v/>
      </c>
      <c r="H1223">
        <f>IFERROR(INDEX(PP_Grid[#Data],$DE1223,5),0)</f>
        <v/>
      </c>
      <c r="I1223">
        <f>IFERROR(INDEX(PP_Grid[#Data],$DE1223,6),0)</f>
        <v/>
      </c>
      <c r="J1223">
        <f>IFERROR(INDEX(PP_Grid[#Data],$DE1223,7),0)</f>
        <v/>
      </c>
      <c r="K1223">
        <f>IFERROR(INDEX(PP_Grid[#Data],$DE1223,8),0)</f>
        <v/>
      </c>
      <c r="L1223">
        <f>IFERROR(INDEX(PP_Grid[#Data],$DE1223,9),0)</f>
        <v/>
      </c>
      <c r="M1223">
        <f>IFERROR(INDEX(PP_Grid[#Data],$DE1223,10),0)</f>
        <v/>
      </c>
      <c r="N1223">
        <f>IFERROR(INDEX(PP_Grid[#Data],$DE1223,11),0)</f>
        <v/>
      </c>
      <c r="O1223">
        <f>IFERROR(INDEX(PP_Grid[#Data],$DE1223,12),0)</f>
        <v/>
      </c>
      <c r="P1223">
        <f>IFERROR(INDEX(PP_Grid[#Data],$DE1223,13),0)</f>
        <v/>
      </c>
      <c r="Q1223">
        <f>IFERROR(INDEX(PP_Grid[#Data],$DE1223,14),0)</f>
        <v/>
      </c>
      <c r="R1223">
        <f>IFERROR(INDEX(PP_Grid[#Data],$DE1223,15),0)</f>
        <v/>
      </c>
      <c r="S1223">
        <f>IFERROR(INDEX(PP_Grid[#Data],$DE1223,16),0)</f>
        <v/>
      </c>
      <c r="T1223">
        <f>IFERROR(INDEX(PP_Grid[#Data],$DE1223,17),0)</f>
        <v/>
      </c>
      <c r="U1223">
        <f>IFERROR(INDEX(PP_Grid[#Data],$DE1223,18),0)</f>
        <v/>
      </c>
      <c r="V1223">
        <f>IFERROR(INDEX(PP_Grid[#Data],$DE1223,19),0)</f>
        <v/>
      </c>
      <c r="W1223">
        <f>IFERROR(INDEX(PP_Grid[#Data],$DE1223,20),0)</f>
        <v/>
      </c>
      <c r="X1223">
        <f>IFERROR(INDEX(PP_Grid[#Data],$DE1223,21),0)</f>
        <v/>
      </c>
      <c r="Y1223">
        <f>IFERROR(INDEX(PP_Grid[#Data],$DE1223,22),0)</f>
        <v/>
      </c>
      <c r="Z1223">
        <f>IFERROR(INDEX(PP_Grid[#Data],$DE1223,23),0)</f>
        <v/>
      </c>
      <c r="AA1223">
        <f>IFERROR(INDEX(PP_Grid[#Data],$DE1223,24),0)</f>
        <v/>
      </c>
      <c r="AB1223">
        <f>IFERROR(INDEX(PP_Grid[#Data],$DE1223,25),0)</f>
        <v/>
      </c>
      <c r="AC1223">
        <f>IFERROR(INDEX(PP_Grid[#Data],$DE1223,26),0)</f>
        <v/>
      </c>
      <c r="AD1223">
        <f>IFERROR(INDEX(PP_Grid[#Data],$DE1223,27),0)</f>
        <v/>
      </c>
      <c r="AE1223">
        <f>IFERROR(INDEX(PP_Grid[#Data],$DE1223,28),0)</f>
        <v/>
      </c>
      <c r="AF1223">
        <f>IFERROR(INDEX(PP_Grid[#Data],$DE1223,29),0)</f>
        <v/>
      </c>
      <c r="AG1223">
        <f>IFERROR(INDEX(PP_Grid[#Data],$DE1223,30),0)</f>
        <v/>
      </c>
      <c r="AH1223">
        <f>IFERROR(INDEX(PP_Grid[#Data],$DE1223,31),0)</f>
        <v/>
      </c>
      <c r="AI1223">
        <f>IFERROR(INDEX(PP_Grid[#Data],$DE1223,32),0)</f>
        <v/>
      </c>
      <c r="AJ1223">
        <f>IFERROR(INDEX(PP_Grid[#Data],$DE1223,33),0)</f>
        <v/>
      </c>
      <c r="AK1223">
        <f>IFERROR(INDEX(PP_Grid[#Data],$DE1223,34),0)</f>
        <v/>
      </c>
      <c r="AL1223">
        <f>IFERROR(INDEX(PP_Grid[#Data],$DE1223,35),0)</f>
        <v/>
      </c>
      <c r="AM1223">
        <f>IFERROR(INDEX(PP_Grid[#Data],$DE1223,36),0)</f>
        <v/>
      </c>
      <c r="AN1223">
        <f>IFERROR(INDEX(PP_Grid[#Data],$DE1223,37),0)</f>
        <v/>
      </c>
      <c r="AO1223">
        <f>IFERROR(INDEX(PP_Grid[#Data],$DE1223,38),0)</f>
        <v/>
      </c>
      <c r="AP1223">
        <f>IFERROR(INDEX(PP_Grid[#Data],$DE1223,39),0)</f>
        <v/>
      </c>
      <c r="AQ1223">
        <f>IFERROR(INDEX(PP_Grid[#Data],$DE1223,40),0)</f>
        <v/>
      </c>
      <c r="AR1223">
        <f>IFERROR(INDEX(PP_Grid[#Data],$DE1223,41),0)</f>
        <v/>
      </c>
      <c r="AS1223">
        <f>IFERROR(INDEX(PP_Grid[#Data],$DE1223,42),0)</f>
        <v/>
      </c>
      <c r="AT1223">
        <f>IFERROR(INDEX(PP_Grid[#Data],$DE1223,43),0)</f>
        <v/>
      </c>
      <c r="AU1223">
        <f>IFERROR(INDEX(PP_Grid[#Data],$DE1223,44),0)</f>
        <v/>
      </c>
      <c r="AV1223">
        <f>IFERROR(INDEX(PP_Grid[#Data],$DE1223,45),0)</f>
        <v/>
      </c>
      <c r="AW1223">
        <f>IFERROR(INDEX(PP_Grid[#Data],$DE1223,46),0)</f>
        <v/>
      </c>
      <c r="AX1223">
        <f>IFERROR(INDEX(PP_Grid[#Data],$DE1223,47),0)</f>
        <v/>
      </c>
      <c r="AY1223">
        <f>IFERROR(INDEX(PP_Grid[#Data],$DE1223,48),0)</f>
        <v/>
      </c>
      <c r="AZ1223">
        <f>IFERROR(INDEX(PP_Grid[#Data],$DE1223,49),0)</f>
        <v/>
      </c>
      <c r="BA1223">
        <f>IFERROR(INDEX(PP_Grid[#Data],$DE1223,50),0)</f>
        <v/>
      </c>
      <c r="BB1223">
        <f>IFERROR(INDEX(PP_Grid[#Data],$DE1223,51),0)</f>
        <v/>
      </c>
      <c r="BC1223">
        <f>IFERROR(INDEX(PP_Grid[#Data],$DE1223,52),0)</f>
        <v/>
      </c>
      <c r="BD1223">
        <f>IFERROR(INDEX(PP_Grid[#Data],$DE1223,53),0)</f>
        <v/>
      </c>
      <c r="BE1223">
        <f>IFERROR(INDEX(PP_Grid[#Data],$DE1223,54),0)</f>
        <v/>
      </c>
      <c r="BF1223">
        <f>IFERROR(INDEX(PP_Grid[#Data],$DE1223,55),0)</f>
        <v/>
      </c>
      <c r="BG1223">
        <f>IFERROR(INDEX(PP_Grid[#Data],$DE1223,56),0)</f>
        <v/>
      </c>
      <c r="BH1223">
        <f>IFERROR(INDEX(PP_Grid[#Data],$DE1223,57),0)</f>
        <v/>
      </c>
      <c r="BI1223">
        <f>IFERROR(INDEX(PP_Grid[#Data],$DE1223,58),0)</f>
        <v/>
      </c>
      <c r="BJ1223">
        <f>IFERROR(INDEX(PP_Grid[#Data],$DE1223,59),0)</f>
        <v/>
      </c>
      <c r="BK1223">
        <f>IFERROR(INDEX(PP_Grid[#Data],$DE1223,60),0)</f>
        <v/>
      </c>
      <c r="BL1223">
        <f>IFERROR(INDEX(PP_Grid[#Data],$DE1223,61),0)</f>
        <v/>
      </c>
      <c r="BM1223">
        <f>IFERROR(INDEX(PP_Grid[#Data],$DE1223,62),0)</f>
        <v/>
      </c>
      <c r="BN1223">
        <f>IFERROR(INDEX(PP_Grid[#Data],$DE1223,63),0)</f>
        <v/>
      </c>
      <c r="BO1223">
        <f>IFERROR(INDEX(PP_Grid[#Data],$DE1223,64),0)</f>
        <v/>
      </c>
      <c r="BP1223">
        <f>IFERROR(INDEX(PP_Grid[#Data],$DE1223,65),0)</f>
        <v/>
      </c>
      <c r="BQ1223">
        <f>IFERROR(INDEX(PP_Grid[#Data],$DE1223,66),0)</f>
        <v/>
      </c>
      <c r="BR1223">
        <f>IFERROR(INDEX(PP_Grid[#Data],$DE1223,67),0)</f>
        <v/>
      </c>
      <c r="BS1223">
        <f>IFERROR(INDEX(PP_Grid[#Data],$DE1223,68),0)</f>
        <v/>
      </c>
      <c r="BT1223">
        <f>IFERROR(INDEX(PP_Grid[#Data],$DE1223,69),0)</f>
        <v/>
      </c>
      <c r="BU1223">
        <f>IFERROR(INDEX(PP_Grid[#Data],$DE1223,70),0)</f>
        <v/>
      </c>
      <c r="BV1223">
        <f>IFERROR(INDEX(PP_Grid[#Data],$DE1223,71),0)</f>
        <v/>
      </c>
      <c r="BW1223">
        <f>IFERROR(INDEX(PP_Grid[#Data],$DE1223,72),0)</f>
        <v/>
      </c>
      <c r="BX1223">
        <f>IFERROR(INDEX(PP_Grid[#Data],$DE1223,73),0)</f>
        <v/>
      </c>
      <c r="BY1223">
        <f>IFERROR(INDEX(PP_Grid[#Data],$DE1223,74),0)</f>
        <v/>
      </c>
      <c r="BZ1223">
        <f>IFERROR(INDEX(PP_Grid[#Data],$DE1223,75),0)</f>
        <v/>
      </c>
      <c r="CA1223">
        <f>IFERROR(INDEX(PP_Grid[#Data],$DE1223,76),0)</f>
        <v/>
      </c>
      <c r="CB1223">
        <f>IFERROR(INDEX(PP_Grid[#Data],$DE1223,77),0)</f>
        <v/>
      </c>
      <c r="CC1223">
        <f>IFERROR(INDEX(PP_Grid[#Data],$DE1223,78),0)</f>
        <v/>
      </c>
      <c r="CD1223">
        <f>IFERROR(INDEX(PP_Grid[#Data],$DE1223,79),0)</f>
        <v/>
      </c>
      <c r="CE1223">
        <f>IFERROR(INDEX(PP_Grid[#Data],$DE1223,80),0)</f>
        <v/>
      </c>
      <c r="CF1223">
        <f>IFERROR(INDEX(PP_Grid[#Data],$DE1223,81),0)</f>
        <v/>
      </c>
      <c r="CG1223">
        <f>IFERROR(INDEX(PP_Grid[#Data],$DE1223,82),0)</f>
        <v/>
      </c>
      <c r="CH1223">
        <f>IFERROR(INDEX(PP_Grid[#Data],$DE1223,83),0)</f>
        <v/>
      </c>
      <c r="CI1223">
        <f>IFERROR(INDEX(PP_Grid[#Data],$DE1223,84),0)</f>
        <v/>
      </c>
      <c r="CJ1223">
        <f>IFERROR(INDEX(PP_Grid[#Data],$DE1223,85),0)</f>
        <v/>
      </c>
      <c r="CK1223">
        <f>IFERROR(INDEX(PP_Grid[#Data],$DE1223,86),0)</f>
        <v/>
      </c>
      <c r="CL1223">
        <f>IFERROR(INDEX(PP_Grid[#Data],$DE1223,87),0)</f>
        <v/>
      </c>
      <c r="CM1223">
        <f>IFERROR(INDEX(PP_Grid[#Data],$DE1223,88),0)</f>
        <v/>
      </c>
      <c r="CN1223">
        <f>IFERROR(INDEX(PP_Grid[#Data],$DE1223,89),0)</f>
        <v/>
      </c>
      <c r="CO1223">
        <f>IFERROR(INDEX(PP_Grid[#Data],$DE1223,90),0)</f>
        <v/>
      </c>
      <c r="CP1223">
        <f>IFERROR(INDEX(PP_Grid[#Data],$DE1223,91),0)</f>
        <v/>
      </c>
      <c r="CQ1223">
        <f>IFERROR(INDEX(PP_Grid[#Data],$DE1223,92),0)</f>
        <v/>
      </c>
      <c r="CR1223">
        <f>IFERROR(INDEX(PP_Grid[#Data],$DE1223,93),0)</f>
        <v/>
      </c>
      <c r="CS1223">
        <f>IFERROR(INDEX(PP_Grid[#Data],$DE1223,94),0)</f>
        <v/>
      </c>
      <c r="CT1223">
        <f>IFERROR(INDEX(PP_Grid[#Data],$DE1223,95),0)</f>
        <v/>
      </c>
      <c r="CU1223">
        <f>IFERROR(INDEX(PP_Grid[#Data],$DE1223,96),0)</f>
        <v/>
      </c>
      <c r="CV1223">
        <f>IFERROR(INDEX(PP_Grid[#Data],$DE1223,97),0)</f>
        <v/>
      </c>
      <c r="CW1223">
        <f>IFERROR(INDEX(PP_Grid[#Data],$DE1223,98),0)</f>
        <v/>
      </c>
      <c r="CX1223">
        <f>IFERROR(INDEX(PP_Grid[#Data],$DE1223,99),0)</f>
        <v/>
      </c>
      <c r="CY1223">
        <f>IFERROR(INDEX(PP_Grid[#Data],$DE1223,100),0)</f>
        <v/>
      </c>
      <c r="CZ1223">
        <f>IFERROR(INDEX(PP_Grid[#Data],$DE1223,101),0)</f>
        <v/>
      </c>
      <c r="DA1223">
        <f>IFERROR(INDEX(PP_Grid[#Data],$DE1223,102),0)</f>
        <v/>
      </c>
      <c r="DB1223">
        <f>IFERROR(INDEX(PP_Grid[#Data],$DE1223,103),0)</f>
        <v/>
      </c>
      <c r="DC1223">
        <f>IFERROR(INDEX(PP_Grid[#Data],$DE1223,104),0)</f>
        <v/>
      </c>
      <c r="DD1223">
        <f>IFERROR(INDEX(PP_Grid[#Data],$DE1223,105),0)</f>
        <v/>
      </c>
      <c r="DE1223" s="7">
        <f>IFERROR(MATCH($B1223,PP_Grid[Intermediate],0),99999)</f>
        <v/>
      </c>
    </row>
    <row r="1224">
      <c r="B1224" t="inlineStr">
        <is>
          <t>使用量(kg)</t>
        </is>
      </c>
      <c r="C1224">
        <f>SUMIFS(M_BOM[RM_Qty_Per_Batch],M_BOM[Intermediate],$B1223,M_BOM[RM_Code],$A1222)</f>
        <v/>
      </c>
      <c r="D1224">
        <f>IFERROR(INDEX(E1224:DD1224,$F$1),"")</f>
        <v/>
      </c>
      <c r="E1224">
        <f>$C1224*E1223</f>
        <v/>
      </c>
      <c r="F1224">
        <f>$C1224*F1223</f>
        <v/>
      </c>
      <c r="G1224">
        <f>$C1224*G1223</f>
        <v/>
      </c>
      <c r="H1224">
        <f>$C1224*H1223</f>
        <v/>
      </c>
      <c r="I1224">
        <f>$C1224*I1223</f>
        <v/>
      </c>
      <c r="J1224">
        <f>$C1224*J1223</f>
        <v/>
      </c>
      <c r="K1224">
        <f>$C1224*K1223</f>
        <v/>
      </c>
      <c r="L1224">
        <f>$C1224*L1223</f>
        <v/>
      </c>
      <c r="M1224">
        <f>$C1224*M1223</f>
        <v/>
      </c>
      <c r="N1224">
        <f>$C1224*N1223</f>
        <v/>
      </c>
      <c r="O1224">
        <f>$C1224*O1223</f>
        <v/>
      </c>
      <c r="P1224">
        <f>$C1224*P1223</f>
        <v/>
      </c>
      <c r="Q1224">
        <f>$C1224*Q1223</f>
        <v/>
      </c>
      <c r="R1224">
        <f>$C1224*R1223</f>
        <v/>
      </c>
      <c r="S1224">
        <f>$C1224*S1223</f>
        <v/>
      </c>
      <c r="T1224">
        <f>$C1224*T1223</f>
        <v/>
      </c>
      <c r="U1224">
        <f>$C1224*U1223</f>
        <v/>
      </c>
      <c r="V1224">
        <f>$C1224*V1223</f>
        <v/>
      </c>
      <c r="W1224">
        <f>$C1224*W1223</f>
        <v/>
      </c>
      <c r="X1224">
        <f>$C1224*X1223</f>
        <v/>
      </c>
      <c r="Y1224">
        <f>$C1224*Y1223</f>
        <v/>
      </c>
      <c r="Z1224">
        <f>$C1224*Z1223</f>
        <v/>
      </c>
      <c r="AA1224">
        <f>$C1224*AA1223</f>
        <v/>
      </c>
      <c r="AB1224">
        <f>$C1224*AB1223</f>
        <v/>
      </c>
      <c r="AC1224">
        <f>$C1224*AC1223</f>
        <v/>
      </c>
      <c r="AD1224">
        <f>$C1224*AD1223</f>
        <v/>
      </c>
      <c r="AE1224">
        <f>$C1224*AE1223</f>
        <v/>
      </c>
      <c r="AF1224">
        <f>$C1224*AF1223</f>
        <v/>
      </c>
      <c r="AG1224">
        <f>$C1224*AG1223</f>
        <v/>
      </c>
      <c r="AH1224">
        <f>$C1224*AH1223</f>
        <v/>
      </c>
      <c r="AI1224">
        <f>$C1224*AI1223</f>
        <v/>
      </c>
      <c r="AJ1224">
        <f>$C1224*AJ1223</f>
        <v/>
      </c>
      <c r="AK1224">
        <f>$C1224*AK1223</f>
        <v/>
      </c>
      <c r="AL1224">
        <f>$C1224*AL1223</f>
        <v/>
      </c>
      <c r="AM1224">
        <f>$C1224*AM1223</f>
        <v/>
      </c>
      <c r="AN1224">
        <f>$C1224*AN1223</f>
        <v/>
      </c>
      <c r="AO1224">
        <f>$C1224*AO1223</f>
        <v/>
      </c>
      <c r="AP1224">
        <f>$C1224*AP1223</f>
        <v/>
      </c>
      <c r="AQ1224">
        <f>$C1224*AQ1223</f>
        <v/>
      </c>
      <c r="AR1224">
        <f>$C1224*AR1223</f>
        <v/>
      </c>
      <c r="AS1224">
        <f>$C1224*AS1223</f>
        <v/>
      </c>
      <c r="AT1224">
        <f>$C1224*AT1223</f>
        <v/>
      </c>
      <c r="AU1224">
        <f>$C1224*AU1223</f>
        <v/>
      </c>
      <c r="AV1224">
        <f>$C1224*AV1223</f>
        <v/>
      </c>
      <c r="AW1224">
        <f>$C1224*AW1223</f>
        <v/>
      </c>
      <c r="AX1224">
        <f>$C1224*AX1223</f>
        <v/>
      </c>
      <c r="AY1224">
        <f>$C1224*AY1223</f>
        <v/>
      </c>
      <c r="AZ1224">
        <f>$C1224*AZ1223</f>
        <v/>
      </c>
      <c r="BA1224">
        <f>$C1224*BA1223</f>
        <v/>
      </c>
      <c r="BB1224">
        <f>$C1224*BB1223</f>
        <v/>
      </c>
      <c r="BC1224">
        <f>$C1224*BC1223</f>
        <v/>
      </c>
      <c r="BD1224">
        <f>$C1224*BD1223</f>
        <v/>
      </c>
      <c r="BE1224">
        <f>$C1224*BE1223</f>
        <v/>
      </c>
      <c r="BF1224">
        <f>$C1224*BF1223</f>
        <v/>
      </c>
      <c r="BG1224">
        <f>$C1224*BG1223</f>
        <v/>
      </c>
      <c r="BH1224">
        <f>$C1224*BH1223</f>
        <v/>
      </c>
      <c r="BI1224">
        <f>$C1224*BI1223</f>
        <v/>
      </c>
      <c r="BJ1224">
        <f>$C1224*BJ1223</f>
        <v/>
      </c>
      <c r="BK1224">
        <f>$C1224*BK1223</f>
        <v/>
      </c>
      <c r="BL1224">
        <f>$C1224*BL1223</f>
        <v/>
      </c>
      <c r="BM1224">
        <f>$C1224*BM1223</f>
        <v/>
      </c>
      <c r="BN1224">
        <f>$C1224*BN1223</f>
        <v/>
      </c>
      <c r="BO1224">
        <f>$C1224*BO1223</f>
        <v/>
      </c>
      <c r="BP1224">
        <f>$C1224*BP1223</f>
        <v/>
      </c>
      <c r="BQ1224">
        <f>$C1224*BQ1223</f>
        <v/>
      </c>
      <c r="BR1224">
        <f>$C1224*BR1223</f>
        <v/>
      </c>
      <c r="BS1224">
        <f>$C1224*BS1223</f>
        <v/>
      </c>
      <c r="BT1224">
        <f>$C1224*BT1223</f>
        <v/>
      </c>
      <c r="BU1224">
        <f>$C1224*BU1223</f>
        <v/>
      </c>
      <c r="BV1224">
        <f>$C1224*BV1223</f>
        <v/>
      </c>
      <c r="BW1224">
        <f>$C1224*BW1223</f>
        <v/>
      </c>
      <c r="BX1224">
        <f>$C1224*BX1223</f>
        <v/>
      </c>
      <c r="BY1224">
        <f>$C1224*BY1223</f>
        <v/>
      </c>
      <c r="BZ1224">
        <f>$C1224*BZ1223</f>
        <v/>
      </c>
      <c r="CA1224">
        <f>$C1224*CA1223</f>
        <v/>
      </c>
      <c r="CB1224">
        <f>$C1224*CB1223</f>
        <v/>
      </c>
      <c r="CC1224">
        <f>$C1224*CC1223</f>
        <v/>
      </c>
      <c r="CD1224">
        <f>$C1224*CD1223</f>
        <v/>
      </c>
      <c r="CE1224">
        <f>$C1224*CE1223</f>
        <v/>
      </c>
      <c r="CF1224">
        <f>$C1224*CF1223</f>
        <v/>
      </c>
      <c r="CG1224">
        <f>$C1224*CG1223</f>
        <v/>
      </c>
      <c r="CH1224">
        <f>$C1224*CH1223</f>
        <v/>
      </c>
      <c r="CI1224">
        <f>$C1224*CI1223</f>
        <v/>
      </c>
      <c r="CJ1224">
        <f>$C1224*CJ1223</f>
        <v/>
      </c>
      <c r="CK1224">
        <f>$C1224*CK1223</f>
        <v/>
      </c>
      <c r="CL1224">
        <f>$C1224*CL1223</f>
        <v/>
      </c>
      <c r="CM1224">
        <f>$C1224*CM1223</f>
        <v/>
      </c>
      <c r="CN1224">
        <f>$C1224*CN1223</f>
        <v/>
      </c>
      <c r="CO1224">
        <f>$C1224*CO1223</f>
        <v/>
      </c>
      <c r="CP1224">
        <f>$C1224*CP1223</f>
        <v/>
      </c>
      <c r="CQ1224">
        <f>$C1224*CQ1223</f>
        <v/>
      </c>
      <c r="CR1224">
        <f>$C1224*CR1223</f>
        <v/>
      </c>
      <c r="CS1224">
        <f>$C1224*CS1223</f>
        <v/>
      </c>
      <c r="CT1224">
        <f>$C1224*CT1223</f>
        <v/>
      </c>
      <c r="CU1224">
        <f>$C1224*CU1223</f>
        <v/>
      </c>
      <c r="CV1224">
        <f>$C1224*CV1223</f>
        <v/>
      </c>
      <c r="CW1224">
        <f>$C1224*CW1223</f>
        <v/>
      </c>
      <c r="CX1224">
        <f>$C1224*CX1223</f>
        <v/>
      </c>
      <c r="CY1224">
        <f>$C1224*CY1223</f>
        <v/>
      </c>
      <c r="CZ1224">
        <f>$C1224*CZ1223</f>
        <v/>
      </c>
      <c r="DA1224">
        <f>$C1224*DA1223</f>
        <v/>
      </c>
      <c r="DB1224">
        <f>$C1224*DB1223</f>
        <v/>
      </c>
      <c r="DC1224">
        <f>$C1224*DC1223</f>
        <v/>
      </c>
      <c r="DD1224">
        <f>$C1224*DD1223</f>
        <v/>
      </c>
    </row>
    <row r="1225">
      <c r="B1225" t="inlineStr">
        <is>
          <t>TSP-403</t>
        </is>
      </c>
      <c r="C1225" t="inlineStr">
        <is>
          <t>No. of batches</t>
        </is>
      </c>
      <c r="D1225">
        <f>IFERROR(INDEX(E1225:DD1225,$F$1),"")</f>
        <v/>
      </c>
      <c r="E1225">
        <f>IFERROR(INDEX(PP_Grid[#Data],$DE1225,2),0)</f>
        <v/>
      </c>
      <c r="F1225">
        <f>IFERROR(INDEX(PP_Grid[#Data],$DE1225,3),0)</f>
        <v/>
      </c>
      <c r="G1225">
        <f>IFERROR(INDEX(PP_Grid[#Data],$DE1225,4),0)</f>
        <v/>
      </c>
      <c r="H1225">
        <f>IFERROR(INDEX(PP_Grid[#Data],$DE1225,5),0)</f>
        <v/>
      </c>
      <c r="I1225">
        <f>IFERROR(INDEX(PP_Grid[#Data],$DE1225,6),0)</f>
        <v/>
      </c>
      <c r="J1225">
        <f>IFERROR(INDEX(PP_Grid[#Data],$DE1225,7),0)</f>
        <v/>
      </c>
      <c r="K1225">
        <f>IFERROR(INDEX(PP_Grid[#Data],$DE1225,8),0)</f>
        <v/>
      </c>
      <c r="L1225">
        <f>IFERROR(INDEX(PP_Grid[#Data],$DE1225,9),0)</f>
        <v/>
      </c>
      <c r="M1225">
        <f>IFERROR(INDEX(PP_Grid[#Data],$DE1225,10),0)</f>
        <v/>
      </c>
      <c r="N1225">
        <f>IFERROR(INDEX(PP_Grid[#Data],$DE1225,11),0)</f>
        <v/>
      </c>
      <c r="O1225">
        <f>IFERROR(INDEX(PP_Grid[#Data],$DE1225,12),0)</f>
        <v/>
      </c>
      <c r="P1225">
        <f>IFERROR(INDEX(PP_Grid[#Data],$DE1225,13),0)</f>
        <v/>
      </c>
      <c r="Q1225">
        <f>IFERROR(INDEX(PP_Grid[#Data],$DE1225,14),0)</f>
        <v/>
      </c>
      <c r="R1225">
        <f>IFERROR(INDEX(PP_Grid[#Data],$DE1225,15),0)</f>
        <v/>
      </c>
      <c r="S1225">
        <f>IFERROR(INDEX(PP_Grid[#Data],$DE1225,16),0)</f>
        <v/>
      </c>
      <c r="T1225">
        <f>IFERROR(INDEX(PP_Grid[#Data],$DE1225,17),0)</f>
        <v/>
      </c>
      <c r="U1225">
        <f>IFERROR(INDEX(PP_Grid[#Data],$DE1225,18),0)</f>
        <v/>
      </c>
      <c r="V1225">
        <f>IFERROR(INDEX(PP_Grid[#Data],$DE1225,19),0)</f>
        <v/>
      </c>
      <c r="W1225">
        <f>IFERROR(INDEX(PP_Grid[#Data],$DE1225,20),0)</f>
        <v/>
      </c>
      <c r="X1225">
        <f>IFERROR(INDEX(PP_Grid[#Data],$DE1225,21),0)</f>
        <v/>
      </c>
      <c r="Y1225">
        <f>IFERROR(INDEX(PP_Grid[#Data],$DE1225,22),0)</f>
        <v/>
      </c>
      <c r="Z1225">
        <f>IFERROR(INDEX(PP_Grid[#Data],$DE1225,23),0)</f>
        <v/>
      </c>
      <c r="AA1225">
        <f>IFERROR(INDEX(PP_Grid[#Data],$DE1225,24),0)</f>
        <v/>
      </c>
      <c r="AB1225">
        <f>IFERROR(INDEX(PP_Grid[#Data],$DE1225,25),0)</f>
        <v/>
      </c>
      <c r="AC1225">
        <f>IFERROR(INDEX(PP_Grid[#Data],$DE1225,26),0)</f>
        <v/>
      </c>
      <c r="AD1225">
        <f>IFERROR(INDEX(PP_Grid[#Data],$DE1225,27),0)</f>
        <v/>
      </c>
      <c r="AE1225">
        <f>IFERROR(INDEX(PP_Grid[#Data],$DE1225,28),0)</f>
        <v/>
      </c>
      <c r="AF1225">
        <f>IFERROR(INDEX(PP_Grid[#Data],$DE1225,29),0)</f>
        <v/>
      </c>
      <c r="AG1225">
        <f>IFERROR(INDEX(PP_Grid[#Data],$DE1225,30),0)</f>
        <v/>
      </c>
      <c r="AH1225">
        <f>IFERROR(INDEX(PP_Grid[#Data],$DE1225,31),0)</f>
        <v/>
      </c>
      <c r="AI1225">
        <f>IFERROR(INDEX(PP_Grid[#Data],$DE1225,32),0)</f>
        <v/>
      </c>
      <c r="AJ1225">
        <f>IFERROR(INDEX(PP_Grid[#Data],$DE1225,33),0)</f>
        <v/>
      </c>
      <c r="AK1225">
        <f>IFERROR(INDEX(PP_Grid[#Data],$DE1225,34),0)</f>
        <v/>
      </c>
      <c r="AL1225">
        <f>IFERROR(INDEX(PP_Grid[#Data],$DE1225,35),0)</f>
        <v/>
      </c>
      <c r="AM1225">
        <f>IFERROR(INDEX(PP_Grid[#Data],$DE1225,36),0)</f>
        <v/>
      </c>
      <c r="AN1225">
        <f>IFERROR(INDEX(PP_Grid[#Data],$DE1225,37),0)</f>
        <v/>
      </c>
      <c r="AO1225">
        <f>IFERROR(INDEX(PP_Grid[#Data],$DE1225,38),0)</f>
        <v/>
      </c>
      <c r="AP1225">
        <f>IFERROR(INDEX(PP_Grid[#Data],$DE1225,39),0)</f>
        <v/>
      </c>
      <c r="AQ1225">
        <f>IFERROR(INDEX(PP_Grid[#Data],$DE1225,40),0)</f>
        <v/>
      </c>
      <c r="AR1225">
        <f>IFERROR(INDEX(PP_Grid[#Data],$DE1225,41),0)</f>
        <v/>
      </c>
      <c r="AS1225">
        <f>IFERROR(INDEX(PP_Grid[#Data],$DE1225,42),0)</f>
        <v/>
      </c>
      <c r="AT1225">
        <f>IFERROR(INDEX(PP_Grid[#Data],$DE1225,43),0)</f>
        <v/>
      </c>
      <c r="AU1225">
        <f>IFERROR(INDEX(PP_Grid[#Data],$DE1225,44),0)</f>
        <v/>
      </c>
      <c r="AV1225">
        <f>IFERROR(INDEX(PP_Grid[#Data],$DE1225,45),0)</f>
        <v/>
      </c>
      <c r="AW1225">
        <f>IFERROR(INDEX(PP_Grid[#Data],$DE1225,46),0)</f>
        <v/>
      </c>
      <c r="AX1225">
        <f>IFERROR(INDEX(PP_Grid[#Data],$DE1225,47),0)</f>
        <v/>
      </c>
      <c r="AY1225">
        <f>IFERROR(INDEX(PP_Grid[#Data],$DE1225,48),0)</f>
        <v/>
      </c>
      <c r="AZ1225">
        <f>IFERROR(INDEX(PP_Grid[#Data],$DE1225,49),0)</f>
        <v/>
      </c>
      <c r="BA1225">
        <f>IFERROR(INDEX(PP_Grid[#Data],$DE1225,50),0)</f>
        <v/>
      </c>
      <c r="BB1225">
        <f>IFERROR(INDEX(PP_Grid[#Data],$DE1225,51),0)</f>
        <v/>
      </c>
      <c r="BC1225">
        <f>IFERROR(INDEX(PP_Grid[#Data],$DE1225,52),0)</f>
        <v/>
      </c>
      <c r="BD1225">
        <f>IFERROR(INDEX(PP_Grid[#Data],$DE1225,53),0)</f>
        <v/>
      </c>
      <c r="BE1225">
        <f>IFERROR(INDEX(PP_Grid[#Data],$DE1225,54),0)</f>
        <v/>
      </c>
      <c r="BF1225">
        <f>IFERROR(INDEX(PP_Grid[#Data],$DE1225,55),0)</f>
        <v/>
      </c>
      <c r="BG1225">
        <f>IFERROR(INDEX(PP_Grid[#Data],$DE1225,56),0)</f>
        <v/>
      </c>
      <c r="BH1225">
        <f>IFERROR(INDEX(PP_Grid[#Data],$DE1225,57),0)</f>
        <v/>
      </c>
      <c r="BI1225">
        <f>IFERROR(INDEX(PP_Grid[#Data],$DE1225,58),0)</f>
        <v/>
      </c>
      <c r="BJ1225">
        <f>IFERROR(INDEX(PP_Grid[#Data],$DE1225,59),0)</f>
        <v/>
      </c>
      <c r="BK1225">
        <f>IFERROR(INDEX(PP_Grid[#Data],$DE1225,60),0)</f>
        <v/>
      </c>
      <c r="BL1225">
        <f>IFERROR(INDEX(PP_Grid[#Data],$DE1225,61),0)</f>
        <v/>
      </c>
      <c r="BM1225">
        <f>IFERROR(INDEX(PP_Grid[#Data],$DE1225,62),0)</f>
        <v/>
      </c>
      <c r="BN1225">
        <f>IFERROR(INDEX(PP_Grid[#Data],$DE1225,63),0)</f>
        <v/>
      </c>
      <c r="BO1225">
        <f>IFERROR(INDEX(PP_Grid[#Data],$DE1225,64),0)</f>
        <v/>
      </c>
      <c r="BP1225">
        <f>IFERROR(INDEX(PP_Grid[#Data],$DE1225,65),0)</f>
        <v/>
      </c>
      <c r="BQ1225">
        <f>IFERROR(INDEX(PP_Grid[#Data],$DE1225,66),0)</f>
        <v/>
      </c>
      <c r="BR1225">
        <f>IFERROR(INDEX(PP_Grid[#Data],$DE1225,67),0)</f>
        <v/>
      </c>
      <c r="BS1225">
        <f>IFERROR(INDEX(PP_Grid[#Data],$DE1225,68),0)</f>
        <v/>
      </c>
      <c r="BT1225">
        <f>IFERROR(INDEX(PP_Grid[#Data],$DE1225,69),0)</f>
        <v/>
      </c>
      <c r="BU1225">
        <f>IFERROR(INDEX(PP_Grid[#Data],$DE1225,70),0)</f>
        <v/>
      </c>
      <c r="BV1225">
        <f>IFERROR(INDEX(PP_Grid[#Data],$DE1225,71),0)</f>
        <v/>
      </c>
      <c r="BW1225">
        <f>IFERROR(INDEX(PP_Grid[#Data],$DE1225,72),0)</f>
        <v/>
      </c>
      <c r="BX1225">
        <f>IFERROR(INDEX(PP_Grid[#Data],$DE1225,73),0)</f>
        <v/>
      </c>
      <c r="BY1225">
        <f>IFERROR(INDEX(PP_Grid[#Data],$DE1225,74),0)</f>
        <v/>
      </c>
      <c r="BZ1225">
        <f>IFERROR(INDEX(PP_Grid[#Data],$DE1225,75),0)</f>
        <v/>
      </c>
      <c r="CA1225">
        <f>IFERROR(INDEX(PP_Grid[#Data],$DE1225,76),0)</f>
        <v/>
      </c>
      <c r="CB1225">
        <f>IFERROR(INDEX(PP_Grid[#Data],$DE1225,77),0)</f>
        <v/>
      </c>
      <c r="CC1225">
        <f>IFERROR(INDEX(PP_Grid[#Data],$DE1225,78),0)</f>
        <v/>
      </c>
      <c r="CD1225">
        <f>IFERROR(INDEX(PP_Grid[#Data],$DE1225,79),0)</f>
        <v/>
      </c>
      <c r="CE1225">
        <f>IFERROR(INDEX(PP_Grid[#Data],$DE1225,80),0)</f>
        <v/>
      </c>
      <c r="CF1225">
        <f>IFERROR(INDEX(PP_Grid[#Data],$DE1225,81),0)</f>
        <v/>
      </c>
      <c r="CG1225">
        <f>IFERROR(INDEX(PP_Grid[#Data],$DE1225,82),0)</f>
        <v/>
      </c>
      <c r="CH1225">
        <f>IFERROR(INDEX(PP_Grid[#Data],$DE1225,83),0)</f>
        <v/>
      </c>
      <c r="CI1225">
        <f>IFERROR(INDEX(PP_Grid[#Data],$DE1225,84),0)</f>
        <v/>
      </c>
      <c r="CJ1225">
        <f>IFERROR(INDEX(PP_Grid[#Data],$DE1225,85),0)</f>
        <v/>
      </c>
      <c r="CK1225">
        <f>IFERROR(INDEX(PP_Grid[#Data],$DE1225,86),0)</f>
        <v/>
      </c>
      <c r="CL1225">
        <f>IFERROR(INDEX(PP_Grid[#Data],$DE1225,87),0)</f>
        <v/>
      </c>
      <c r="CM1225">
        <f>IFERROR(INDEX(PP_Grid[#Data],$DE1225,88),0)</f>
        <v/>
      </c>
      <c r="CN1225">
        <f>IFERROR(INDEX(PP_Grid[#Data],$DE1225,89),0)</f>
        <v/>
      </c>
      <c r="CO1225">
        <f>IFERROR(INDEX(PP_Grid[#Data],$DE1225,90),0)</f>
        <v/>
      </c>
      <c r="CP1225">
        <f>IFERROR(INDEX(PP_Grid[#Data],$DE1225,91),0)</f>
        <v/>
      </c>
      <c r="CQ1225">
        <f>IFERROR(INDEX(PP_Grid[#Data],$DE1225,92),0)</f>
        <v/>
      </c>
      <c r="CR1225">
        <f>IFERROR(INDEX(PP_Grid[#Data],$DE1225,93),0)</f>
        <v/>
      </c>
      <c r="CS1225">
        <f>IFERROR(INDEX(PP_Grid[#Data],$DE1225,94),0)</f>
        <v/>
      </c>
      <c r="CT1225">
        <f>IFERROR(INDEX(PP_Grid[#Data],$DE1225,95),0)</f>
        <v/>
      </c>
      <c r="CU1225">
        <f>IFERROR(INDEX(PP_Grid[#Data],$DE1225,96),0)</f>
        <v/>
      </c>
      <c r="CV1225">
        <f>IFERROR(INDEX(PP_Grid[#Data],$DE1225,97),0)</f>
        <v/>
      </c>
      <c r="CW1225">
        <f>IFERROR(INDEX(PP_Grid[#Data],$DE1225,98),0)</f>
        <v/>
      </c>
      <c r="CX1225">
        <f>IFERROR(INDEX(PP_Grid[#Data],$DE1225,99),0)</f>
        <v/>
      </c>
      <c r="CY1225">
        <f>IFERROR(INDEX(PP_Grid[#Data],$DE1225,100),0)</f>
        <v/>
      </c>
      <c r="CZ1225">
        <f>IFERROR(INDEX(PP_Grid[#Data],$DE1225,101),0)</f>
        <v/>
      </c>
      <c r="DA1225">
        <f>IFERROR(INDEX(PP_Grid[#Data],$DE1225,102),0)</f>
        <v/>
      </c>
      <c r="DB1225">
        <f>IFERROR(INDEX(PP_Grid[#Data],$DE1225,103),0)</f>
        <v/>
      </c>
      <c r="DC1225">
        <f>IFERROR(INDEX(PP_Grid[#Data],$DE1225,104),0)</f>
        <v/>
      </c>
      <c r="DD1225">
        <f>IFERROR(INDEX(PP_Grid[#Data],$DE1225,105),0)</f>
        <v/>
      </c>
      <c r="DE1225" s="7">
        <f>IFERROR(MATCH($B1225,PP_Grid[Intermediate],0),99999)</f>
        <v/>
      </c>
    </row>
    <row r="1226">
      <c r="B1226" t="inlineStr">
        <is>
          <t>使用量(kg)</t>
        </is>
      </c>
      <c r="C1226">
        <f>SUMIFS(M_BOM[RM_Qty_Per_Batch],M_BOM[Intermediate],$B1225,M_BOM[RM_Code],$A1222)</f>
        <v/>
      </c>
      <c r="D1226">
        <f>IFERROR(INDEX(E1226:DD1226,$F$1),"")</f>
        <v/>
      </c>
      <c r="E1226">
        <f>$C1226*E1225</f>
        <v/>
      </c>
      <c r="F1226">
        <f>$C1226*F1225</f>
        <v/>
      </c>
      <c r="G1226">
        <f>$C1226*G1225</f>
        <v/>
      </c>
      <c r="H1226">
        <f>$C1226*H1225</f>
        <v/>
      </c>
      <c r="I1226">
        <f>$C1226*I1225</f>
        <v/>
      </c>
      <c r="J1226">
        <f>$C1226*J1225</f>
        <v/>
      </c>
      <c r="K1226">
        <f>$C1226*K1225</f>
        <v/>
      </c>
      <c r="L1226">
        <f>$C1226*L1225</f>
        <v/>
      </c>
      <c r="M1226">
        <f>$C1226*M1225</f>
        <v/>
      </c>
      <c r="N1226">
        <f>$C1226*N1225</f>
        <v/>
      </c>
      <c r="O1226">
        <f>$C1226*O1225</f>
        <v/>
      </c>
      <c r="P1226">
        <f>$C1226*P1225</f>
        <v/>
      </c>
      <c r="Q1226">
        <f>$C1226*Q1225</f>
        <v/>
      </c>
      <c r="R1226">
        <f>$C1226*R1225</f>
        <v/>
      </c>
      <c r="S1226">
        <f>$C1226*S1225</f>
        <v/>
      </c>
      <c r="T1226">
        <f>$C1226*T1225</f>
        <v/>
      </c>
      <c r="U1226">
        <f>$C1226*U1225</f>
        <v/>
      </c>
      <c r="V1226">
        <f>$C1226*V1225</f>
        <v/>
      </c>
      <c r="W1226">
        <f>$C1226*W1225</f>
        <v/>
      </c>
      <c r="X1226">
        <f>$C1226*X1225</f>
        <v/>
      </c>
      <c r="Y1226">
        <f>$C1226*Y1225</f>
        <v/>
      </c>
      <c r="Z1226">
        <f>$C1226*Z1225</f>
        <v/>
      </c>
      <c r="AA1226">
        <f>$C1226*AA1225</f>
        <v/>
      </c>
      <c r="AB1226">
        <f>$C1226*AB1225</f>
        <v/>
      </c>
      <c r="AC1226">
        <f>$C1226*AC1225</f>
        <v/>
      </c>
      <c r="AD1226">
        <f>$C1226*AD1225</f>
        <v/>
      </c>
      <c r="AE1226">
        <f>$C1226*AE1225</f>
        <v/>
      </c>
      <c r="AF1226">
        <f>$C1226*AF1225</f>
        <v/>
      </c>
      <c r="AG1226">
        <f>$C1226*AG1225</f>
        <v/>
      </c>
      <c r="AH1226">
        <f>$C1226*AH1225</f>
        <v/>
      </c>
      <c r="AI1226">
        <f>$C1226*AI1225</f>
        <v/>
      </c>
      <c r="AJ1226">
        <f>$C1226*AJ1225</f>
        <v/>
      </c>
      <c r="AK1226">
        <f>$C1226*AK1225</f>
        <v/>
      </c>
      <c r="AL1226">
        <f>$C1226*AL1225</f>
        <v/>
      </c>
      <c r="AM1226">
        <f>$C1226*AM1225</f>
        <v/>
      </c>
      <c r="AN1226">
        <f>$C1226*AN1225</f>
        <v/>
      </c>
      <c r="AO1226">
        <f>$C1226*AO1225</f>
        <v/>
      </c>
      <c r="AP1226">
        <f>$C1226*AP1225</f>
        <v/>
      </c>
      <c r="AQ1226">
        <f>$C1226*AQ1225</f>
        <v/>
      </c>
      <c r="AR1226">
        <f>$C1226*AR1225</f>
        <v/>
      </c>
      <c r="AS1226">
        <f>$C1226*AS1225</f>
        <v/>
      </c>
      <c r="AT1226">
        <f>$C1226*AT1225</f>
        <v/>
      </c>
      <c r="AU1226">
        <f>$C1226*AU1225</f>
        <v/>
      </c>
      <c r="AV1226">
        <f>$C1226*AV1225</f>
        <v/>
      </c>
      <c r="AW1226">
        <f>$C1226*AW1225</f>
        <v/>
      </c>
      <c r="AX1226">
        <f>$C1226*AX1225</f>
        <v/>
      </c>
      <c r="AY1226">
        <f>$C1226*AY1225</f>
        <v/>
      </c>
      <c r="AZ1226">
        <f>$C1226*AZ1225</f>
        <v/>
      </c>
      <c r="BA1226">
        <f>$C1226*BA1225</f>
        <v/>
      </c>
      <c r="BB1226">
        <f>$C1226*BB1225</f>
        <v/>
      </c>
      <c r="BC1226">
        <f>$C1226*BC1225</f>
        <v/>
      </c>
      <c r="BD1226">
        <f>$C1226*BD1225</f>
        <v/>
      </c>
      <c r="BE1226">
        <f>$C1226*BE1225</f>
        <v/>
      </c>
      <c r="BF1226">
        <f>$C1226*BF1225</f>
        <v/>
      </c>
      <c r="BG1226">
        <f>$C1226*BG1225</f>
        <v/>
      </c>
      <c r="BH1226">
        <f>$C1226*BH1225</f>
        <v/>
      </c>
      <c r="BI1226">
        <f>$C1226*BI1225</f>
        <v/>
      </c>
      <c r="BJ1226">
        <f>$C1226*BJ1225</f>
        <v/>
      </c>
      <c r="BK1226">
        <f>$C1226*BK1225</f>
        <v/>
      </c>
      <c r="BL1226">
        <f>$C1226*BL1225</f>
        <v/>
      </c>
      <c r="BM1226">
        <f>$C1226*BM1225</f>
        <v/>
      </c>
      <c r="BN1226">
        <f>$C1226*BN1225</f>
        <v/>
      </c>
      <c r="BO1226">
        <f>$C1226*BO1225</f>
        <v/>
      </c>
      <c r="BP1226">
        <f>$C1226*BP1225</f>
        <v/>
      </c>
      <c r="BQ1226">
        <f>$C1226*BQ1225</f>
        <v/>
      </c>
      <c r="BR1226">
        <f>$C1226*BR1225</f>
        <v/>
      </c>
      <c r="BS1226">
        <f>$C1226*BS1225</f>
        <v/>
      </c>
      <c r="BT1226">
        <f>$C1226*BT1225</f>
        <v/>
      </c>
      <c r="BU1226">
        <f>$C1226*BU1225</f>
        <v/>
      </c>
      <c r="BV1226">
        <f>$C1226*BV1225</f>
        <v/>
      </c>
      <c r="BW1226">
        <f>$C1226*BW1225</f>
        <v/>
      </c>
      <c r="BX1226">
        <f>$C1226*BX1225</f>
        <v/>
      </c>
      <c r="BY1226">
        <f>$C1226*BY1225</f>
        <v/>
      </c>
      <c r="BZ1226">
        <f>$C1226*BZ1225</f>
        <v/>
      </c>
      <c r="CA1226">
        <f>$C1226*CA1225</f>
        <v/>
      </c>
      <c r="CB1226">
        <f>$C1226*CB1225</f>
        <v/>
      </c>
      <c r="CC1226">
        <f>$C1226*CC1225</f>
        <v/>
      </c>
      <c r="CD1226">
        <f>$C1226*CD1225</f>
        <v/>
      </c>
      <c r="CE1226">
        <f>$C1226*CE1225</f>
        <v/>
      </c>
      <c r="CF1226">
        <f>$C1226*CF1225</f>
        <v/>
      </c>
      <c r="CG1226">
        <f>$C1226*CG1225</f>
        <v/>
      </c>
      <c r="CH1226">
        <f>$C1226*CH1225</f>
        <v/>
      </c>
      <c r="CI1226">
        <f>$C1226*CI1225</f>
        <v/>
      </c>
      <c r="CJ1226">
        <f>$C1226*CJ1225</f>
        <v/>
      </c>
      <c r="CK1226">
        <f>$C1226*CK1225</f>
        <v/>
      </c>
      <c r="CL1226">
        <f>$C1226*CL1225</f>
        <v/>
      </c>
      <c r="CM1226">
        <f>$C1226*CM1225</f>
        <v/>
      </c>
      <c r="CN1226">
        <f>$C1226*CN1225</f>
        <v/>
      </c>
      <c r="CO1226">
        <f>$C1226*CO1225</f>
        <v/>
      </c>
      <c r="CP1226">
        <f>$C1226*CP1225</f>
        <v/>
      </c>
      <c r="CQ1226">
        <f>$C1226*CQ1225</f>
        <v/>
      </c>
      <c r="CR1226">
        <f>$C1226*CR1225</f>
        <v/>
      </c>
      <c r="CS1226">
        <f>$C1226*CS1225</f>
        <v/>
      </c>
      <c r="CT1226">
        <f>$C1226*CT1225</f>
        <v/>
      </c>
      <c r="CU1226">
        <f>$C1226*CU1225</f>
        <v/>
      </c>
      <c r="CV1226">
        <f>$C1226*CV1225</f>
        <v/>
      </c>
      <c r="CW1226">
        <f>$C1226*CW1225</f>
        <v/>
      </c>
      <c r="CX1226">
        <f>$C1226*CX1225</f>
        <v/>
      </c>
      <c r="CY1226">
        <f>$C1226*CY1225</f>
        <v/>
      </c>
      <c r="CZ1226">
        <f>$C1226*CZ1225</f>
        <v/>
      </c>
      <c r="DA1226">
        <f>$C1226*DA1225</f>
        <v/>
      </c>
      <c r="DB1226">
        <f>$C1226*DB1225</f>
        <v/>
      </c>
      <c r="DC1226">
        <f>$C1226*DC1225</f>
        <v/>
      </c>
      <c r="DD1226">
        <f>$C1226*DD1225</f>
        <v/>
      </c>
    </row>
    <row r="1227">
      <c r="B1227" t="inlineStr">
        <is>
          <t>TSP-404</t>
        </is>
      </c>
      <c r="C1227" t="inlineStr">
        <is>
          <t>No. of batches</t>
        </is>
      </c>
      <c r="D1227">
        <f>IFERROR(INDEX(E1227:DD1227,$F$1),"")</f>
        <v/>
      </c>
      <c r="E1227">
        <f>IFERROR(INDEX(PP_Grid[#Data],$DE1227,2),0)</f>
        <v/>
      </c>
      <c r="F1227">
        <f>IFERROR(INDEX(PP_Grid[#Data],$DE1227,3),0)</f>
        <v/>
      </c>
      <c r="G1227">
        <f>IFERROR(INDEX(PP_Grid[#Data],$DE1227,4),0)</f>
        <v/>
      </c>
      <c r="H1227">
        <f>IFERROR(INDEX(PP_Grid[#Data],$DE1227,5),0)</f>
        <v/>
      </c>
      <c r="I1227">
        <f>IFERROR(INDEX(PP_Grid[#Data],$DE1227,6),0)</f>
        <v/>
      </c>
      <c r="J1227">
        <f>IFERROR(INDEX(PP_Grid[#Data],$DE1227,7),0)</f>
        <v/>
      </c>
      <c r="K1227">
        <f>IFERROR(INDEX(PP_Grid[#Data],$DE1227,8),0)</f>
        <v/>
      </c>
      <c r="L1227">
        <f>IFERROR(INDEX(PP_Grid[#Data],$DE1227,9),0)</f>
        <v/>
      </c>
      <c r="M1227">
        <f>IFERROR(INDEX(PP_Grid[#Data],$DE1227,10),0)</f>
        <v/>
      </c>
      <c r="N1227">
        <f>IFERROR(INDEX(PP_Grid[#Data],$DE1227,11),0)</f>
        <v/>
      </c>
      <c r="O1227">
        <f>IFERROR(INDEX(PP_Grid[#Data],$DE1227,12),0)</f>
        <v/>
      </c>
      <c r="P1227">
        <f>IFERROR(INDEX(PP_Grid[#Data],$DE1227,13),0)</f>
        <v/>
      </c>
      <c r="Q1227">
        <f>IFERROR(INDEX(PP_Grid[#Data],$DE1227,14),0)</f>
        <v/>
      </c>
      <c r="R1227">
        <f>IFERROR(INDEX(PP_Grid[#Data],$DE1227,15),0)</f>
        <v/>
      </c>
      <c r="S1227">
        <f>IFERROR(INDEX(PP_Grid[#Data],$DE1227,16),0)</f>
        <v/>
      </c>
      <c r="T1227">
        <f>IFERROR(INDEX(PP_Grid[#Data],$DE1227,17),0)</f>
        <v/>
      </c>
      <c r="U1227">
        <f>IFERROR(INDEX(PP_Grid[#Data],$DE1227,18),0)</f>
        <v/>
      </c>
      <c r="V1227">
        <f>IFERROR(INDEX(PP_Grid[#Data],$DE1227,19),0)</f>
        <v/>
      </c>
      <c r="W1227">
        <f>IFERROR(INDEX(PP_Grid[#Data],$DE1227,20),0)</f>
        <v/>
      </c>
      <c r="X1227">
        <f>IFERROR(INDEX(PP_Grid[#Data],$DE1227,21),0)</f>
        <v/>
      </c>
      <c r="Y1227">
        <f>IFERROR(INDEX(PP_Grid[#Data],$DE1227,22),0)</f>
        <v/>
      </c>
      <c r="Z1227">
        <f>IFERROR(INDEX(PP_Grid[#Data],$DE1227,23),0)</f>
        <v/>
      </c>
      <c r="AA1227">
        <f>IFERROR(INDEX(PP_Grid[#Data],$DE1227,24),0)</f>
        <v/>
      </c>
      <c r="AB1227">
        <f>IFERROR(INDEX(PP_Grid[#Data],$DE1227,25),0)</f>
        <v/>
      </c>
      <c r="AC1227">
        <f>IFERROR(INDEX(PP_Grid[#Data],$DE1227,26),0)</f>
        <v/>
      </c>
      <c r="AD1227">
        <f>IFERROR(INDEX(PP_Grid[#Data],$DE1227,27),0)</f>
        <v/>
      </c>
      <c r="AE1227">
        <f>IFERROR(INDEX(PP_Grid[#Data],$DE1227,28),0)</f>
        <v/>
      </c>
      <c r="AF1227">
        <f>IFERROR(INDEX(PP_Grid[#Data],$DE1227,29),0)</f>
        <v/>
      </c>
      <c r="AG1227">
        <f>IFERROR(INDEX(PP_Grid[#Data],$DE1227,30),0)</f>
        <v/>
      </c>
      <c r="AH1227">
        <f>IFERROR(INDEX(PP_Grid[#Data],$DE1227,31),0)</f>
        <v/>
      </c>
      <c r="AI1227">
        <f>IFERROR(INDEX(PP_Grid[#Data],$DE1227,32),0)</f>
        <v/>
      </c>
      <c r="AJ1227">
        <f>IFERROR(INDEX(PP_Grid[#Data],$DE1227,33),0)</f>
        <v/>
      </c>
      <c r="AK1227">
        <f>IFERROR(INDEX(PP_Grid[#Data],$DE1227,34),0)</f>
        <v/>
      </c>
      <c r="AL1227">
        <f>IFERROR(INDEX(PP_Grid[#Data],$DE1227,35),0)</f>
        <v/>
      </c>
      <c r="AM1227">
        <f>IFERROR(INDEX(PP_Grid[#Data],$DE1227,36),0)</f>
        <v/>
      </c>
      <c r="AN1227">
        <f>IFERROR(INDEX(PP_Grid[#Data],$DE1227,37),0)</f>
        <v/>
      </c>
      <c r="AO1227">
        <f>IFERROR(INDEX(PP_Grid[#Data],$DE1227,38),0)</f>
        <v/>
      </c>
      <c r="AP1227">
        <f>IFERROR(INDEX(PP_Grid[#Data],$DE1227,39),0)</f>
        <v/>
      </c>
      <c r="AQ1227">
        <f>IFERROR(INDEX(PP_Grid[#Data],$DE1227,40),0)</f>
        <v/>
      </c>
      <c r="AR1227">
        <f>IFERROR(INDEX(PP_Grid[#Data],$DE1227,41),0)</f>
        <v/>
      </c>
      <c r="AS1227">
        <f>IFERROR(INDEX(PP_Grid[#Data],$DE1227,42),0)</f>
        <v/>
      </c>
      <c r="AT1227">
        <f>IFERROR(INDEX(PP_Grid[#Data],$DE1227,43),0)</f>
        <v/>
      </c>
      <c r="AU1227">
        <f>IFERROR(INDEX(PP_Grid[#Data],$DE1227,44),0)</f>
        <v/>
      </c>
      <c r="AV1227">
        <f>IFERROR(INDEX(PP_Grid[#Data],$DE1227,45),0)</f>
        <v/>
      </c>
      <c r="AW1227">
        <f>IFERROR(INDEX(PP_Grid[#Data],$DE1227,46),0)</f>
        <v/>
      </c>
      <c r="AX1227">
        <f>IFERROR(INDEX(PP_Grid[#Data],$DE1227,47),0)</f>
        <v/>
      </c>
      <c r="AY1227">
        <f>IFERROR(INDEX(PP_Grid[#Data],$DE1227,48),0)</f>
        <v/>
      </c>
      <c r="AZ1227">
        <f>IFERROR(INDEX(PP_Grid[#Data],$DE1227,49),0)</f>
        <v/>
      </c>
      <c r="BA1227">
        <f>IFERROR(INDEX(PP_Grid[#Data],$DE1227,50),0)</f>
        <v/>
      </c>
      <c r="BB1227">
        <f>IFERROR(INDEX(PP_Grid[#Data],$DE1227,51),0)</f>
        <v/>
      </c>
      <c r="BC1227">
        <f>IFERROR(INDEX(PP_Grid[#Data],$DE1227,52),0)</f>
        <v/>
      </c>
      <c r="BD1227">
        <f>IFERROR(INDEX(PP_Grid[#Data],$DE1227,53),0)</f>
        <v/>
      </c>
      <c r="BE1227">
        <f>IFERROR(INDEX(PP_Grid[#Data],$DE1227,54),0)</f>
        <v/>
      </c>
      <c r="BF1227">
        <f>IFERROR(INDEX(PP_Grid[#Data],$DE1227,55),0)</f>
        <v/>
      </c>
      <c r="BG1227">
        <f>IFERROR(INDEX(PP_Grid[#Data],$DE1227,56),0)</f>
        <v/>
      </c>
      <c r="BH1227">
        <f>IFERROR(INDEX(PP_Grid[#Data],$DE1227,57),0)</f>
        <v/>
      </c>
      <c r="BI1227">
        <f>IFERROR(INDEX(PP_Grid[#Data],$DE1227,58),0)</f>
        <v/>
      </c>
      <c r="BJ1227">
        <f>IFERROR(INDEX(PP_Grid[#Data],$DE1227,59),0)</f>
        <v/>
      </c>
      <c r="BK1227">
        <f>IFERROR(INDEX(PP_Grid[#Data],$DE1227,60),0)</f>
        <v/>
      </c>
      <c r="BL1227">
        <f>IFERROR(INDEX(PP_Grid[#Data],$DE1227,61),0)</f>
        <v/>
      </c>
      <c r="BM1227">
        <f>IFERROR(INDEX(PP_Grid[#Data],$DE1227,62),0)</f>
        <v/>
      </c>
      <c r="BN1227">
        <f>IFERROR(INDEX(PP_Grid[#Data],$DE1227,63),0)</f>
        <v/>
      </c>
      <c r="BO1227">
        <f>IFERROR(INDEX(PP_Grid[#Data],$DE1227,64),0)</f>
        <v/>
      </c>
      <c r="BP1227">
        <f>IFERROR(INDEX(PP_Grid[#Data],$DE1227,65),0)</f>
        <v/>
      </c>
      <c r="BQ1227">
        <f>IFERROR(INDEX(PP_Grid[#Data],$DE1227,66),0)</f>
        <v/>
      </c>
      <c r="BR1227">
        <f>IFERROR(INDEX(PP_Grid[#Data],$DE1227,67),0)</f>
        <v/>
      </c>
      <c r="BS1227">
        <f>IFERROR(INDEX(PP_Grid[#Data],$DE1227,68),0)</f>
        <v/>
      </c>
      <c r="BT1227">
        <f>IFERROR(INDEX(PP_Grid[#Data],$DE1227,69),0)</f>
        <v/>
      </c>
      <c r="BU1227">
        <f>IFERROR(INDEX(PP_Grid[#Data],$DE1227,70),0)</f>
        <v/>
      </c>
      <c r="BV1227">
        <f>IFERROR(INDEX(PP_Grid[#Data],$DE1227,71),0)</f>
        <v/>
      </c>
      <c r="BW1227">
        <f>IFERROR(INDEX(PP_Grid[#Data],$DE1227,72),0)</f>
        <v/>
      </c>
      <c r="BX1227">
        <f>IFERROR(INDEX(PP_Grid[#Data],$DE1227,73),0)</f>
        <v/>
      </c>
      <c r="BY1227">
        <f>IFERROR(INDEX(PP_Grid[#Data],$DE1227,74),0)</f>
        <v/>
      </c>
      <c r="BZ1227">
        <f>IFERROR(INDEX(PP_Grid[#Data],$DE1227,75),0)</f>
        <v/>
      </c>
      <c r="CA1227">
        <f>IFERROR(INDEX(PP_Grid[#Data],$DE1227,76),0)</f>
        <v/>
      </c>
      <c r="CB1227">
        <f>IFERROR(INDEX(PP_Grid[#Data],$DE1227,77),0)</f>
        <v/>
      </c>
      <c r="CC1227">
        <f>IFERROR(INDEX(PP_Grid[#Data],$DE1227,78),0)</f>
        <v/>
      </c>
      <c r="CD1227">
        <f>IFERROR(INDEX(PP_Grid[#Data],$DE1227,79),0)</f>
        <v/>
      </c>
      <c r="CE1227">
        <f>IFERROR(INDEX(PP_Grid[#Data],$DE1227,80),0)</f>
        <v/>
      </c>
      <c r="CF1227">
        <f>IFERROR(INDEX(PP_Grid[#Data],$DE1227,81),0)</f>
        <v/>
      </c>
      <c r="CG1227">
        <f>IFERROR(INDEX(PP_Grid[#Data],$DE1227,82),0)</f>
        <v/>
      </c>
      <c r="CH1227">
        <f>IFERROR(INDEX(PP_Grid[#Data],$DE1227,83),0)</f>
        <v/>
      </c>
      <c r="CI1227">
        <f>IFERROR(INDEX(PP_Grid[#Data],$DE1227,84),0)</f>
        <v/>
      </c>
      <c r="CJ1227">
        <f>IFERROR(INDEX(PP_Grid[#Data],$DE1227,85),0)</f>
        <v/>
      </c>
      <c r="CK1227">
        <f>IFERROR(INDEX(PP_Grid[#Data],$DE1227,86),0)</f>
        <v/>
      </c>
      <c r="CL1227">
        <f>IFERROR(INDEX(PP_Grid[#Data],$DE1227,87),0)</f>
        <v/>
      </c>
      <c r="CM1227">
        <f>IFERROR(INDEX(PP_Grid[#Data],$DE1227,88),0)</f>
        <v/>
      </c>
      <c r="CN1227">
        <f>IFERROR(INDEX(PP_Grid[#Data],$DE1227,89),0)</f>
        <v/>
      </c>
      <c r="CO1227">
        <f>IFERROR(INDEX(PP_Grid[#Data],$DE1227,90),0)</f>
        <v/>
      </c>
      <c r="CP1227">
        <f>IFERROR(INDEX(PP_Grid[#Data],$DE1227,91),0)</f>
        <v/>
      </c>
      <c r="CQ1227">
        <f>IFERROR(INDEX(PP_Grid[#Data],$DE1227,92),0)</f>
        <v/>
      </c>
      <c r="CR1227">
        <f>IFERROR(INDEX(PP_Grid[#Data],$DE1227,93),0)</f>
        <v/>
      </c>
      <c r="CS1227">
        <f>IFERROR(INDEX(PP_Grid[#Data],$DE1227,94),0)</f>
        <v/>
      </c>
      <c r="CT1227">
        <f>IFERROR(INDEX(PP_Grid[#Data],$DE1227,95),0)</f>
        <v/>
      </c>
      <c r="CU1227">
        <f>IFERROR(INDEX(PP_Grid[#Data],$DE1227,96),0)</f>
        <v/>
      </c>
      <c r="CV1227">
        <f>IFERROR(INDEX(PP_Grid[#Data],$DE1227,97),0)</f>
        <v/>
      </c>
      <c r="CW1227">
        <f>IFERROR(INDEX(PP_Grid[#Data],$DE1227,98),0)</f>
        <v/>
      </c>
      <c r="CX1227">
        <f>IFERROR(INDEX(PP_Grid[#Data],$DE1227,99),0)</f>
        <v/>
      </c>
      <c r="CY1227">
        <f>IFERROR(INDEX(PP_Grid[#Data],$DE1227,100),0)</f>
        <v/>
      </c>
      <c r="CZ1227">
        <f>IFERROR(INDEX(PP_Grid[#Data],$DE1227,101),0)</f>
        <v/>
      </c>
      <c r="DA1227">
        <f>IFERROR(INDEX(PP_Grid[#Data],$DE1227,102),0)</f>
        <v/>
      </c>
      <c r="DB1227">
        <f>IFERROR(INDEX(PP_Grid[#Data],$DE1227,103),0)</f>
        <v/>
      </c>
      <c r="DC1227">
        <f>IFERROR(INDEX(PP_Grid[#Data],$DE1227,104),0)</f>
        <v/>
      </c>
      <c r="DD1227">
        <f>IFERROR(INDEX(PP_Grid[#Data],$DE1227,105),0)</f>
        <v/>
      </c>
      <c r="DE1227" s="7">
        <f>IFERROR(MATCH($B1227,PP_Grid[Intermediate],0),99999)</f>
        <v/>
      </c>
    </row>
    <row r="1228">
      <c r="B1228" t="inlineStr">
        <is>
          <t>使用量(kg)</t>
        </is>
      </c>
      <c r="C1228">
        <f>SUMIFS(M_BOM[RM_Qty_Per_Batch],M_BOM[Intermediate],$B1227,M_BOM[RM_Code],$A1222)</f>
        <v/>
      </c>
      <c r="D1228">
        <f>IFERROR(INDEX(E1228:DD1228,$F$1),"")</f>
        <v/>
      </c>
      <c r="E1228">
        <f>$C1228*E1227</f>
        <v/>
      </c>
      <c r="F1228">
        <f>$C1228*F1227</f>
        <v/>
      </c>
      <c r="G1228">
        <f>$C1228*G1227</f>
        <v/>
      </c>
      <c r="H1228">
        <f>$C1228*H1227</f>
        <v/>
      </c>
      <c r="I1228">
        <f>$C1228*I1227</f>
        <v/>
      </c>
      <c r="J1228">
        <f>$C1228*J1227</f>
        <v/>
      </c>
      <c r="K1228">
        <f>$C1228*K1227</f>
        <v/>
      </c>
      <c r="L1228">
        <f>$C1228*L1227</f>
        <v/>
      </c>
      <c r="M1228">
        <f>$C1228*M1227</f>
        <v/>
      </c>
      <c r="N1228">
        <f>$C1228*N1227</f>
        <v/>
      </c>
      <c r="O1228">
        <f>$C1228*O1227</f>
        <v/>
      </c>
      <c r="P1228">
        <f>$C1228*P1227</f>
        <v/>
      </c>
      <c r="Q1228">
        <f>$C1228*Q1227</f>
        <v/>
      </c>
      <c r="R1228">
        <f>$C1228*R1227</f>
        <v/>
      </c>
      <c r="S1228">
        <f>$C1228*S1227</f>
        <v/>
      </c>
      <c r="T1228">
        <f>$C1228*T1227</f>
        <v/>
      </c>
      <c r="U1228">
        <f>$C1228*U1227</f>
        <v/>
      </c>
      <c r="V1228">
        <f>$C1228*V1227</f>
        <v/>
      </c>
      <c r="W1228">
        <f>$C1228*W1227</f>
        <v/>
      </c>
      <c r="X1228">
        <f>$C1228*X1227</f>
        <v/>
      </c>
      <c r="Y1228">
        <f>$C1228*Y1227</f>
        <v/>
      </c>
      <c r="Z1228">
        <f>$C1228*Z1227</f>
        <v/>
      </c>
      <c r="AA1228">
        <f>$C1228*AA1227</f>
        <v/>
      </c>
      <c r="AB1228">
        <f>$C1228*AB1227</f>
        <v/>
      </c>
      <c r="AC1228">
        <f>$C1228*AC1227</f>
        <v/>
      </c>
      <c r="AD1228">
        <f>$C1228*AD1227</f>
        <v/>
      </c>
      <c r="AE1228">
        <f>$C1228*AE1227</f>
        <v/>
      </c>
      <c r="AF1228">
        <f>$C1228*AF1227</f>
        <v/>
      </c>
      <c r="AG1228">
        <f>$C1228*AG1227</f>
        <v/>
      </c>
      <c r="AH1228">
        <f>$C1228*AH1227</f>
        <v/>
      </c>
      <c r="AI1228">
        <f>$C1228*AI1227</f>
        <v/>
      </c>
      <c r="AJ1228">
        <f>$C1228*AJ1227</f>
        <v/>
      </c>
      <c r="AK1228">
        <f>$C1228*AK1227</f>
        <v/>
      </c>
      <c r="AL1228">
        <f>$C1228*AL1227</f>
        <v/>
      </c>
      <c r="AM1228">
        <f>$C1228*AM1227</f>
        <v/>
      </c>
      <c r="AN1228">
        <f>$C1228*AN1227</f>
        <v/>
      </c>
      <c r="AO1228">
        <f>$C1228*AO1227</f>
        <v/>
      </c>
      <c r="AP1228">
        <f>$C1228*AP1227</f>
        <v/>
      </c>
      <c r="AQ1228">
        <f>$C1228*AQ1227</f>
        <v/>
      </c>
      <c r="AR1228">
        <f>$C1228*AR1227</f>
        <v/>
      </c>
      <c r="AS1228">
        <f>$C1228*AS1227</f>
        <v/>
      </c>
      <c r="AT1228">
        <f>$C1228*AT1227</f>
        <v/>
      </c>
      <c r="AU1228">
        <f>$C1228*AU1227</f>
        <v/>
      </c>
      <c r="AV1228">
        <f>$C1228*AV1227</f>
        <v/>
      </c>
      <c r="AW1228">
        <f>$C1228*AW1227</f>
        <v/>
      </c>
      <c r="AX1228">
        <f>$C1228*AX1227</f>
        <v/>
      </c>
      <c r="AY1228">
        <f>$C1228*AY1227</f>
        <v/>
      </c>
      <c r="AZ1228">
        <f>$C1228*AZ1227</f>
        <v/>
      </c>
      <c r="BA1228">
        <f>$C1228*BA1227</f>
        <v/>
      </c>
      <c r="BB1228">
        <f>$C1228*BB1227</f>
        <v/>
      </c>
      <c r="BC1228">
        <f>$C1228*BC1227</f>
        <v/>
      </c>
      <c r="BD1228">
        <f>$C1228*BD1227</f>
        <v/>
      </c>
      <c r="BE1228">
        <f>$C1228*BE1227</f>
        <v/>
      </c>
      <c r="BF1228">
        <f>$C1228*BF1227</f>
        <v/>
      </c>
      <c r="BG1228">
        <f>$C1228*BG1227</f>
        <v/>
      </c>
      <c r="BH1228">
        <f>$C1228*BH1227</f>
        <v/>
      </c>
      <c r="BI1228">
        <f>$C1228*BI1227</f>
        <v/>
      </c>
      <c r="BJ1228">
        <f>$C1228*BJ1227</f>
        <v/>
      </c>
      <c r="BK1228">
        <f>$C1228*BK1227</f>
        <v/>
      </c>
      <c r="BL1228">
        <f>$C1228*BL1227</f>
        <v/>
      </c>
      <c r="BM1228">
        <f>$C1228*BM1227</f>
        <v/>
      </c>
      <c r="BN1228">
        <f>$C1228*BN1227</f>
        <v/>
      </c>
      <c r="BO1228">
        <f>$C1228*BO1227</f>
        <v/>
      </c>
      <c r="BP1228">
        <f>$C1228*BP1227</f>
        <v/>
      </c>
      <c r="BQ1228">
        <f>$C1228*BQ1227</f>
        <v/>
      </c>
      <c r="BR1228">
        <f>$C1228*BR1227</f>
        <v/>
      </c>
      <c r="BS1228">
        <f>$C1228*BS1227</f>
        <v/>
      </c>
      <c r="BT1228">
        <f>$C1228*BT1227</f>
        <v/>
      </c>
      <c r="BU1228">
        <f>$C1228*BU1227</f>
        <v/>
      </c>
      <c r="BV1228">
        <f>$C1228*BV1227</f>
        <v/>
      </c>
      <c r="BW1228">
        <f>$C1228*BW1227</f>
        <v/>
      </c>
      <c r="BX1228">
        <f>$C1228*BX1227</f>
        <v/>
      </c>
      <c r="BY1228">
        <f>$C1228*BY1227</f>
        <v/>
      </c>
      <c r="BZ1228">
        <f>$C1228*BZ1227</f>
        <v/>
      </c>
      <c r="CA1228">
        <f>$C1228*CA1227</f>
        <v/>
      </c>
      <c r="CB1228">
        <f>$C1228*CB1227</f>
        <v/>
      </c>
      <c r="CC1228">
        <f>$C1228*CC1227</f>
        <v/>
      </c>
      <c r="CD1228">
        <f>$C1228*CD1227</f>
        <v/>
      </c>
      <c r="CE1228">
        <f>$C1228*CE1227</f>
        <v/>
      </c>
      <c r="CF1228">
        <f>$C1228*CF1227</f>
        <v/>
      </c>
      <c r="CG1228">
        <f>$C1228*CG1227</f>
        <v/>
      </c>
      <c r="CH1228">
        <f>$C1228*CH1227</f>
        <v/>
      </c>
      <c r="CI1228">
        <f>$C1228*CI1227</f>
        <v/>
      </c>
      <c r="CJ1228">
        <f>$C1228*CJ1227</f>
        <v/>
      </c>
      <c r="CK1228">
        <f>$C1228*CK1227</f>
        <v/>
      </c>
      <c r="CL1228">
        <f>$C1228*CL1227</f>
        <v/>
      </c>
      <c r="CM1228">
        <f>$C1228*CM1227</f>
        <v/>
      </c>
      <c r="CN1228">
        <f>$C1228*CN1227</f>
        <v/>
      </c>
      <c r="CO1228">
        <f>$C1228*CO1227</f>
        <v/>
      </c>
      <c r="CP1228">
        <f>$C1228*CP1227</f>
        <v/>
      </c>
      <c r="CQ1228">
        <f>$C1228*CQ1227</f>
        <v/>
      </c>
      <c r="CR1228">
        <f>$C1228*CR1227</f>
        <v/>
      </c>
      <c r="CS1228">
        <f>$C1228*CS1227</f>
        <v/>
      </c>
      <c r="CT1228">
        <f>$C1228*CT1227</f>
        <v/>
      </c>
      <c r="CU1228">
        <f>$C1228*CU1227</f>
        <v/>
      </c>
      <c r="CV1228">
        <f>$C1228*CV1227</f>
        <v/>
      </c>
      <c r="CW1228">
        <f>$C1228*CW1227</f>
        <v/>
      </c>
      <c r="CX1228">
        <f>$C1228*CX1227</f>
        <v/>
      </c>
      <c r="CY1228">
        <f>$C1228*CY1227</f>
        <v/>
      </c>
      <c r="CZ1228">
        <f>$C1228*CZ1227</f>
        <v/>
      </c>
      <c r="DA1228">
        <f>$C1228*DA1227</f>
        <v/>
      </c>
      <c r="DB1228">
        <f>$C1228*DB1227</f>
        <v/>
      </c>
      <c r="DC1228">
        <f>$C1228*DC1227</f>
        <v/>
      </c>
      <c r="DD1228">
        <f>$C1228*DD1227</f>
        <v/>
      </c>
    </row>
    <row r="1229">
      <c r="B1229" t="inlineStr">
        <is>
          <t>TSP-405</t>
        </is>
      </c>
      <c r="C1229" t="inlineStr">
        <is>
          <t>No. of batches</t>
        </is>
      </c>
      <c r="D1229">
        <f>IFERROR(INDEX(E1229:DD1229,$F$1),"")</f>
        <v/>
      </c>
      <c r="E1229">
        <f>IFERROR(INDEX(PP_Grid[#Data],$DE1229,2),0)</f>
        <v/>
      </c>
      <c r="F1229">
        <f>IFERROR(INDEX(PP_Grid[#Data],$DE1229,3),0)</f>
        <v/>
      </c>
      <c r="G1229">
        <f>IFERROR(INDEX(PP_Grid[#Data],$DE1229,4),0)</f>
        <v/>
      </c>
      <c r="H1229">
        <f>IFERROR(INDEX(PP_Grid[#Data],$DE1229,5),0)</f>
        <v/>
      </c>
      <c r="I1229">
        <f>IFERROR(INDEX(PP_Grid[#Data],$DE1229,6),0)</f>
        <v/>
      </c>
      <c r="J1229">
        <f>IFERROR(INDEX(PP_Grid[#Data],$DE1229,7),0)</f>
        <v/>
      </c>
      <c r="K1229">
        <f>IFERROR(INDEX(PP_Grid[#Data],$DE1229,8),0)</f>
        <v/>
      </c>
      <c r="L1229">
        <f>IFERROR(INDEX(PP_Grid[#Data],$DE1229,9),0)</f>
        <v/>
      </c>
      <c r="M1229">
        <f>IFERROR(INDEX(PP_Grid[#Data],$DE1229,10),0)</f>
        <v/>
      </c>
      <c r="N1229">
        <f>IFERROR(INDEX(PP_Grid[#Data],$DE1229,11),0)</f>
        <v/>
      </c>
      <c r="O1229">
        <f>IFERROR(INDEX(PP_Grid[#Data],$DE1229,12),0)</f>
        <v/>
      </c>
      <c r="P1229">
        <f>IFERROR(INDEX(PP_Grid[#Data],$DE1229,13),0)</f>
        <v/>
      </c>
      <c r="Q1229">
        <f>IFERROR(INDEX(PP_Grid[#Data],$DE1229,14),0)</f>
        <v/>
      </c>
      <c r="R1229">
        <f>IFERROR(INDEX(PP_Grid[#Data],$DE1229,15),0)</f>
        <v/>
      </c>
      <c r="S1229">
        <f>IFERROR(INDEX(PP_Grid[#Data],$DE1229,16),0)</f>
        <v/>
      </c>
      <c r="T1229">
        <f>IFERROR(INDEX(PP_Grid[#Data],$DE1229,17),0)</f>
        <v/>
      </c>
      <c r="U1229">
        <f>IFERROR(INDEX(PP_Grid[#Data],$DE1229,18),0)</f>
        <v/>
      </c>
      <c r="V1229">
        <f>IFERROR(INDEX(PP_Grid[#Data],$DE1229,19),0)</f>
        <v/>
      </c>
      <c r="W1229">
        <f>IFERROR(INDEX(PP_Grid[#Data],$DE1229,20),0)</f>
        <v/>
      </c>
      <c r="X1229">
        <f>IFERROR(INDEX(PP_Grid[#Data],$DE1229,21),0)</f>
        <v/>
      </c>
      <c r="Y1229">
        <f>IFERROR(INDEX(PP_Grid[#Data],$DE1229,22),0)</f>
        <v/>
      </c>
      <c r="Z1229">
        <f>IFERROR(INDEX(PP_Grid[#Data],$DE1229,23),0)</f>
        <v/>
      </c>
      <c r="AA1229">
        <f>IFERROR(INDEX(PP_Grid[#Data],$DE1229,24),0)</f>
        <v/>
      </c>
      <c r="AB1229">
        <f>IFERROR(INDEX(PP_Grid[#Data],$DE1229,25),0)</f>
        <v/>
      </c>
      <c r="AC1229">
        <f>IFERROR(INDEX(PP_Grid[#Data],$DE1229,26),0)</f>
        <v/>
      </c>
      <c r="AD1229">
        <f>IFERROR(INDEX(PP_Grid[#Data],$DE1229,27),0)</f>
        <v/>
      </c>
      <c r="AE1229">
        <f>IFERROR(INDEX(PP_Grid[#Data],$DE1229,28),0)</f>
        <v/>
      </c>
      <c r="AF1229">
        <f>IFERROR(INDEX(PP_Grid[#Data],$DE1229,29),0)</f>
        <v/>
      </c>
      <c r="AG1229">
        <f>IFERROR(INDEX(PP_Grid[#Data],$DE1229,30),0)</f>
        <v/>
      </c>
      <c r="AH1229">
        <f>IFERROR(INDEX(PP_Grid[#Data],$DE1229,31),0)</f>
        <v/>
      </c>
      <c r="AI1229">
        <f>IFERROR(INDEX(PP_Grid[#Data],$DE1229,32),0)</f>
        <v/>
      </c>
      <c r="AJ1229">
        <f>IFERROR(INDEX(PP_Grid[#Data],$DE1229,33),0)</f>
        <v/>
      </c>
      <c r="AK1229">
        <f>IFERROR(INDEX(PP_Grid[#Data],$DE1229,34),0)</f>
        <v/>
      </c>
      <c r="AL1229">
        <f>IFERROR(INDEX(PP_Grid[#Data],$DE1229,35),0)</f>
        <v/>
      </c>
      <c r="AM1229">
        <f>IFERROR(INDEX(PP_Grid[#Data],$DE1229,36),0)</f>
        <v/>
      </c>
      <c r="AN1229">
        <f>IFERROR(INDEX(PP_Grid[#Data],$DE1229,37),0)</f>
        <v/>
      </c>
      <c r="AO1229">
        <f>IFERROR(INDEX(PP_Grid[#Data],$DE1229,38),0)</f>
        <v/>
      </c>
      <c r="AP1229">
        <f>IFERROR(INDEX(PP_Grid[#Data],$DE1229,39),0)</f>
        <v/>
      </c>
      <c r="AQ1229">
        <f>IFERROR(INDEX(PP_Grid[#Data],$DE1229,40),0)</f>
        <v/>
      </c>
      <c r="AR1229">
        <f>IFERROR(INDEX(PP_Grid[#Data],$DE1229,41),0)</f>
        <v/>
      </c>
      <c r="AS1229">
        <f>IFERROR(INDEX(PP_Grid[#Data],$DE1229,42),0)</f>
        <v/>
      </c>
      <c r="AT1229">
        <f>IFERROR(INDEX(PP_Grid[#Data],$DE1229,43),0)</f>
        <v/>
      </c>
      <c r="AU1229">
        <f>IFERROR(INDEX(PP_Grid[#Data],$DE1229,44),0)</f>
        <v/>
      </c>
      <c r="AV1229">
        <f>IFERROR(INDEX(PP_Grid[#Data],$DE1229,45),0)</f>
        <v/>
      </c>
      <c r="AW1229">
        <f>IFERROR(INDEX(PP_Grid[#Data],$DE1229,46),0)</f>
        <v/>
      </c>
      <c r="AX1229">
        <f>IFERROR(INDEX(PP_Grid[#Data],$DE1229,47),0)</f>
        <v/>
      </c>
      <c r="AY1229">
        <f>IFERROR(INDEX(PP_Grid[#Data],$DE1229,48),0)</f>
        <v/>
      </c>
      <c r="AZ1229">
        <f>IFERROR(INDEX(PP_Grid[#Data],$DE1229,49),0)</f>
        <v/>
      </c>
      <c r="BA1229">
        <f>IFERROR(INDEX(PP_Grid[#Data],$DE1229,50),0)</f>
        <v/>
      </c>
      <c r="BB1229">
        <f>IFERROR(INDEX(PP_Grid[#Data],$DE1229,51),0)</f>
        <v/>
      </c>
      <c r="BC1229">
        <f>IFERROR(INDEX(PP_Grid[#Data],$DE1229,52),0)</f>
        <v/>
      </c>
      <c r="BD1229">
        <f>IFERROR(INDEX(PP_Grid[#Data],$DE1229,53),0)</f>
        <v/>
      </c>
      <c r="BE1229">
        <f>IFERROR(INDEX(PP_Grid[#Data],$DE1229,54),0)</f>
        <v/>
      </c>
      <c r="BF1229">
        <f>IFERROR(INDEX(PP_Grid[#Data],$DE1229,55),0)</f>
        <v/>
      </c>
      <c r="BG1229">
        <f>IFERROR(INDEX(PP_Grid[#Data],$DE1229,56),0)</f>
        <v/>
      </c>
      <c r="BH1229">
        <f>IFERROR(INDEX(PP_Grid[#Data],$DE1229,57),0)</f>
        <v/>
      </c>
      <c r="BI1229">
        <f>IFERROR(INDEX(PP_Grid[#Data],$DE1229,58),0)</f>
        <v/>
      </c>
      <c r="BJ1229">
        <f>IFERROR(INDEX(PP_Grid[#Data],$DE1229,59),0)</f>
        <v/>
      </c>
      <c r="BK1229">
        <f>IFERROR(INDEX(PP_Grid[#Data],$DE1229,60),0)</f>
        <v/>
      </c>
      <c r="BL1229">
        <f>IFERROR(INDEX(PP_Grid[#Data],$DE1229,61),0)</f>
        <v/>
      </c>
      <c r="BM1229">
        <f>IFERROR(INDEX(PP_Grid[#Data],$DE1229,62),0)</f>
        <v/>
      </c>
      <c r="BN1229">
        <f>IFERROR(INDEX(PP_Grid[#Data],$DE1229,63),0)</f>
        <v/>
      </c>
      <c r="BO1229">
        <f>IFERROR(INDEX(PP_Grid[#Data],$DE1229,64),0)</f>
        <v/>
      </c>
      <c r="BP1229">
        <f>IFERROR(INDEX(PP_Grid[#Data],$DE1229,65),0)</f>
        <v/>
      </c>
      <c r="BQ1229">
        <f>IFERROR(INDEX(PP_Grid[#Data],$DE1229,66),0)</f>
        <v/>
      </c>
      <c r="BR1229">
        <f>IFERROR(INDEX(PP_Grid[#Data],$DE1229,67),0)</f>
        <v/>
      </c>
      <c r="BS1229">
        <f>IFERROR(INDEX(PP_Grid[#Data],$DE1229,68),0)</f>
        <v/>
      </c>
      <c r="BT1229">
        <f>IFERROR(INDEX(PP_Grid[#Data],$DE1229,69),0)</f>
        <v/>
      </c>
      <c r="BU1229">
        <f>IFERROR(INDEX(PP_Grid[#Data],$DE1229,70),0)</f>
        <v/>
      </c>
      <c r="BV1229">
        <f>IFERROR(INDEX(PP_Grid[#Data],$DE1229,71),0)</f>
        <v/>
      </c>
      <c r="BW1229">
        <f>IFERROR(INDEX(PP_Grid[#Data],$DE1229,72),0)</f>
        <v/>
      </c>
      <c r="BX1229">
        <f>IFERROR(INDEX(PP_Grid[#Data],$DE1229,73),0)</f>
        <v/>
      </c>
      <c r="BY1229">
        <f>IFERROR(INDEX(PP_Grid[#Data],$DE1229,74),0)</f>
        <v/>
      </c>
      <c r="BZ1229">
        <f>IFERROR(INDEX(PP_Grid[#Data],$DE1229,75),0)</f>
        <v/>
      </c>
      <c r="CA1229">
        <f>IFERROR(INDEX(PP_Grid[#Data],$DE1229,76),0)</f>
        <v/>
      </c>
      <c r="CB1229">
        <f>IFERROR(INDEX(PP_Grid[#Data],$DE1229,77),0)</f>
        <v/>
      </c>
      <c r="CC1229">
        <f>IFERROR(INDEX(PP_Grid[#Data],$DE1229,78),0)</f>
        <v/>
      </c>
      <c r="CD1229">
        <f>IFERROR(INDEX(PP_Grid[#Data],$DE1229,79),0)</f>
        <v/>
      </c>
      <c r="CE1229">
        <f>IFERROR(INDEX(PP_Grid[#Data],$DE1229,80),0)</f>
        <v/>
      </c>
      <c r="CF1229">
        <f>IFERROR(INDEX(PP_Grid[#Data],$DE1229,81),0)</f>
        <v/>
      </c>
      <c r="CG1229">
        <f>IFERROR(INDEX(PP_Grid[#Data],$DE1229,82),0)</f>
        <v/>
      </c>
      <c r="CH1229">
        <f>IFERROR(INDEX(PP_Grid[#Data],$DE1229,83),0)</f>
        <v/>
      </c>
      <c r="CI1229">
        <f>IFERROR(INDEX(PP_Grid[#Data],$DE1229,84),0)</f>
        <v/>
      </c>
      <c r="CJ1229">
        <f>IFERROR(INDEX(PP_Grid[#Data],$DE1229,85),0)</f>
        <v/>
      </c>
      <c r="CK1229">
        <f>IFERROR(INDEX(PP_Grid[#Data],$DE1229,86),0)</f>
        <v/>
      </c>
      <c r="CL1229">
        <f>IFERROR(INDEX(PP_Grid[#Data],$DE1229,87),0)</f>
        <v/>
      </c>
      <c r="CM1229">
        <f>IFERROR(INDEX(PP_Grid[#Data],$DE1229,88),0)</f>
        <v/>
      </c>
      <c r="CN1229">
        <f>IFERROR(INDEX(PP_Grid[#Data],$DE1229,89),0)</f>
        <v/>
      </c>
      <c r="CO1229">
        <f>IFERROR(INDEX(PP_Grid[#Data],$DE1229,90),0)</f>
        <v/>
      </c>
      <c r="CP1229">
        <f>IFERROR(INDEX(PP_Grid[#Data],$DE1229,91),0)</f>
        <v/>
      </c>
      <c r="CQ1229">
        <f>IFERROR(INDEX(PP_Grid[#Data],$DE1229,92),0)</f>
        <v/>
      </c>
      <c r="CR1229">
        <f>IFERROR(INDEX(PP_Grid[#Data],$DE1229,93),0)</f>
        <v/>
      </c>
      <c r="CS1229">
        <f>IFERROR(INDEX(PP_Grid[#Data],$DE1229,94),0)</f>
        <v/>
      </c>
      <c r="CT1229">
        <f>IFERROR(INDEX(PP_Grid[#Data],$DE1229,95),0)</f>
        <v/>
      </c>
      <c r="CU1229">
        <f>IFERROR(INDEX(PP_Grid[#Data],$DE1229,96),0)</f>
        <v/>
      </c>
      <c r="CV1229">
        <f>IFERROR(INDEX(PP_Grid[#Data],$DE1229,97),0)</f>
        <v/>
      </c>
      <c r="CW1229">
        <f>IFERROR(INDEX(PP_Grid[#Data],$DE1229,98),0)</f>
        <v/>
      </c>
      <c r="CX1229">
        <f>IFERROR(INDEX(PP_Grid[#Data],$DE1229,99),0)</f>
        <v/>
      </c>
      <c r="CY1229">
        <f>IFERROR(INDEX(PP_Grid[#Data],$DE1229,100),0)</f>
        <v/>
      </c>
      <c r="CZ1229">
        <f>IFERROR(INDEX(PP_Grid[#Data],$DE1229,101),0)</f>
        <v/>
      </c>
      <c r="DA1229">
        <f>IFERROR(INDEX(PP_Grid[#Data],$DE1229,102),0)</f>
        <v/>
      </c>
      <c r="DB1229">
        <f>IFERROR(INDEX(PP_Grid[#Data],$DE1229,103),0)</f>
        <v/>
      </c>
      <c r="DC1229">
        <f>IFERROR(INDEX(PP_Grid[#Data],$DE1229,104),0)</f>
        <v/>
      </c>
      <c r="DD1229">
        <f>IFERROR(INDEX(PP_Grid[#Data],$DE1229,105),0)</f>
        <v/>
      </c>
      <c r="DE1229" s="7">
        <f>IFERROR(MATCH($B1229,PP_Grid[Intermediate],0),99999)</f>
        <v/>
      </c>
    </row>
    <row r="1230">
      <c r="B1230" t="inlineStr">
        <is>
          <t>使用量(kg)</t>
        </is>
      </c>
      <c r="C1230">
        <f>SUMIFS(M_BOM[RM_Qty_Per_Batch],M_BOM[Intermediate],$B1229,M_BOM[RM_Code],$A1222)</f>
        <v/>
      </c>
      <c r="D1230">
        <f>IFERROR(INDEX(E1230:DD1230,$F$1),"")</f>
        <v/>
      </c>
      <c r="E1230">
        <f>$C1230*E1229</f>
        <v/>
      </c>
      <c r="F1230">
        <f>$C1230*F1229</f>
        <v/>
      </c>
      <c r="G1230">
        <f>$C1230*G1229</f>
        <v/>
      </c>
      <c r="H1230">
        <f>$C1230*H1229</f>
        <v/>
      </c>
      <c r="I1230">
        <f>$C1230*I1229</f>
        <v/>
      </c>
      <c r="J1230">
        <f>$C1230*J1229</f>
        <v/>
      </c>
      <c r="K1230">
        <f>$C1230*K1229</f>
        <v/>
      </c>
      <c r="L1230">
        <f>$C1230*L1229</f>
        <v/>
      </c>
      <c r="M1230">
        <f>$C1230*M1229</f>
        <v/>
      </c>
      <c r="N1230">
        <f>$C1230*N1229</f>
        <v/>
      </c>
      <c r="O1230">
        <f>$C1230*O1229</f>
        <v/>
      </c>
      <c r="P1230">
        <f>$C1230*P1229</f>
        <v/>
      </c>
      <c r="Q1230">
        <f>$C1230*Q1229</f>
        <v/>
      </c>
      <c r="R1230">
        <f>$C1230*R1229</f>
        <v/>
      </c>
      <c r="S1230">
        <f>$C1230*S1229</f>
        <v/>
      </c>
      <c r="T1230">
        <f>$C1230*T1229</f>
        <v/>
      </c>
      <c r="U1230">
        <f>$C1230*U1229</f>
        <v/>
      </c>
      <c r="V1230">
        <f>$C1230*V1229</f>
        <v/>
      </c>
      <c r="W1230">
        <f>$C1230*W1229</f>
        <v/>
      </c>
      <c r="X1230">
        <f>$C1230*X1229</f>
        <v/>
      </c>
      <c r="Y1230">
        <f>$C1230*Y1229</f>
        <v/>
      </c>
      <c r="Z1230">
        <f>$C1230*Z1229</f>
        <v/>
      </c>
      <c r="AA1230">
        <f>$C1230*AA1229</f>
        <v/>
      </c>
      <c r="AB1230">
        <f>$C1230*AB1229</f>
        <v/>
      </c>
      <c r="AC1230">
        <f>$C1230*AC1229</f>
        <v/>
      </c>
      <c r="AD1230">
        <f>$C1230*AD1229</f>
        <v/>
      </c>
      <c r="AE1230">
        <f>$C1230*AE1229</f>
        <v/>
      </c>
      <c r="AF1230">
        <f>$C1230*AF1229</f>
        <v/>
      </c>
      <c r="AG1230">
        <f>$C1230*AG1229</f>
        <v/>
      </c>
      <c r="AH1230">
        <f>$C1230*AH1229</f>
        <v/>
      </c>
      <c r="AI1230">
        <f>$C1230*AI1229</f>
        <v/>
      </c>
      <c r="AJ1230">
        <f>$C1230*AJ1229</f>
        <v/>
      </c>
      <c r="AK1230">
        <f>$C1230*AK1229</f>
        <v/>
      </c>
      <c r="AL1230">
        <f>$C1230*AL1229</f>
        <v/>
      </c>
      <c r="AM1230">
        <f>$C1230*AM1229</f>
        <v/>
      </c>
      <c r="AN1230">
        <f>$C1230*AN1229</f>
        <v/>
      </c>
      <c r="AO1230">
        <f>$C1230*AO1229</f>
        <v/>
      </c>
      <c r="AP1230">
        <f>$C1230*AP1229</f>
        <v/>
      </c>
      <c r="AQ1230">
        <f>$C1230*AQ1229</f>
        <v/>
      </c>
      <c r="AR1230">
        <f>$C1230*AR1229</f>
        <v/>
      </c>
      <c r="AS1230">
        <f>$C1230*AS1229</f>
        <v/>
      </c>
      <c r="AT1230">
        <f>$C1230*AT1229</f>
        <v/>
      </c>
      <c r="AU1230">
        <f>$C1230*AU1229</f>
        <v/>
      </c>
      <c r="AV1230">
        <f>$C1230*AV1229</f>
        <v/>
      </c>
      <c r="AW1230">
        <f>$C1230*AW1229</f>
        <v/>
      </c>
      <c r="AX1230">
        <f>$C1230*AX1229</f>
        <v/>
      </c>
      <c r="AY1230">
        <f>$C1230*AY1229</f>
        <v/>
      </c>
      <c r="AZ1230">
        <f>$C1230*AZ1229</f>
        <v/>
      </c>
      <c r="BA1230">
        <f>$C1230*BA1229</f>
        <v/>
      </c>
      <c r="BB1230">
        <f>$C1230*BB1229</f>
        <v/>
      </c>
      <c r="BC1230">
        <f>$C1230*BC1229</f>
        <v/>
      </c>
      <c r="BD1230">
        <f>$C1230*BD1229</f>
        <v/>
      </c>
      <c r="BE1230">
        <f>$C1230*BE1229</f>
        <v/>
      </c>
      <c r="BF1230">
        <f>$C1230*BF1229</f>
        <v/>
      </c>
      <c r="BG1230">
        <f>$C1230*BG1229</f>
        <v/>
      </c>
      <c r="BH1230">
        <f>$C1230*BH1229</f>
        <v/>
      </c>
      <c r="BI1230">
        <f>$C1230*BI1229</f>
        <v/>
      </c>
      <c r="BJ1230">
        <f>$C1230*BJ1229</f>
        <v/>
      </c>
      <c r="BK1230">
        <f>$C1230*BK1229</f>
        <v/>
      </c>
      <c r="BL1230">
        <f>$C1230*BL1229</f>
        <v/>
      </c>
      <c r="BM1230">
        <f>$C1230*BM1229</f>
        <v/>
      </c>
      <c r="BN1230">
        <f>$C1230*BN1229</f>
        <v/>
      </c>
      <c r="BO1230">
        <f>$C1230*BO1229</f>
        <v/>
      </c>
      <c r="BP1230">
        <f>$C1230*BP1229</f>
        <v/>
      </c>
      <c r="BQ1230">
        <f>$C1230*BQ1229</f>
        <v/>
      </c>
      <c r="BR1230">
        <f>$C1230*BR1229</f>
        <v/>
      </c>
      <c r="BS1230">
        <f>$C1230*BS1229</f>
        <v/>
      </c>
      <c r="BT1230">
        <f>$C1230*BT1229</f>
        <v/>
      </c>
      <c r="BU1230">
        <f>$C1230*BU1229</f>
        <v/>
      </c>
      <c r="BV1230">
        <f>$C1230*BV1229</f>
        <v/>
      </c>
      <c r="BW1230">
        <f>$C1230*BW1229</f>
        <v/>
      </c>
      <c r="BX1230">
        <f>$C1230*BX1229</f>
        <v/>
      </c>
      <c r="BY1230">
        <f>$C1230*BY1229</f>
        <v/>
      </c>
      <c r="BZ1230">
        <f>$C1230*BZ1229</f>
        <v/>
      </c>
      <c r="CA1230">
        <f>$C1230*CA1229</f>
        <v/>
      </c>
      <c r="CB1230">
        <f>$C1230*CB1229</f>
        <v/>
      </c>
      <c r="CC1230">
        <f>$C1230*CC1229</f>
        <v/>
      </c>
      <c r="CD1230">
        <f>$C1230*CD1229</f>
        <v/>
      </c>
      <c r="CE1230">
        <f>$C1230*CE1229</f>
        <v/>
      </c>
      <c r="CF1230">
        <f>$C1230*CF1229</f>
        <v/>
      </c>
      <c r="CG1230">
        <f>$C1230*CG1229</f>
        <v/>
      </c>
      <c r="CH1230">
        <f>$C1230*CH1229</f>
        <v/>
      </c>
      <c r="CI1230">
        <f>$C1230*CI1229</f>
        <v/>
      </c>
      <c r="CJ1230">
        <f>$C1230*CJ1229</f>
        <v/>
      </c>
      <c r="CK1230">
        <f>$C1230*CK1229</f>
        <v/>
      </c>
      <c r="CL1230">
        <f>$C1230*CL1229</f>
        <v/>
      </c>
      <c r="CM1230">
        <f>$C1230*CM1229</f>
        <v/>
      </c>
      <c r="CN1230">
        <f>$C1230*CN1229</f>
        <v/>
      </c>
      <c r="CO1230">
        <f>$C1230*CO1229</f>
        <v/>
      </c>
      <c r="CP1230">
        <f>$C1230*CP1229</f>
        <v/>
      </c>
      <c r="CQ1230">
        <f>$C1230*CQ1229</f>
        <v/>
      </c>
      <c r="CR1230">
        <f>$C1230*CR1229</f>
        <v/>
      </c>
      <c r="CS1230">
        <f>$C1230*CS1229</f>
        <v/>
      </c>
      <c r="CT1230">
        <f>$C1230*CT1229</f>
        <v/>
      </c>
      <c r="CU1230">
        <f>$C1230*CU1229</f>
        <v/>
      </c>
      <c r="CV1230">
        <f>$C1230*CV1229</f>
        <v/>
      </c>
      <c r="CW1230">
        <f>$C1230*CW1229</f>
        <v/>
      </c>
      <c r="CX1230">
        <f>$C1230*CX1229</f>
        <v/>
      </c>
      <c r="CY1230">
        <f>$C1230*CY1229</f>
        <v/>
      </c>
      <c r="CZ1230">
        <f>$C1230*CZ1229</f>
        <v/>
      </c>
      <c r="DA1230">
        <f>$C1230*DA1229</f>
        <v/>
      </c>
      <c r="DB1230">
        <f>$C1230*DB1229</f>
        <v/>
      </c>
      <c r="DC1230">
        <f>$C1230*DC1229</f>
        <v/>
      </c>
      <c r="DD1230">
        <f>$C1230*DD1229</f>
        <v/>
      </c>
    </row>
    <row r="1231">
      <c r="B1231" t="inlineStr">
        <is>
          <t>TSP-620</t>
        </is>
      </c>
      <c r="C1231" t="inlineStr">
        <is>
          <t>No. of batches</t>
        </is>
      </c>
      <c r="D1231">
        <f>IFERROR(INDEX(E1231:DD1231,$F$1),"")</f>
        <v/>
      </c>
      <c r="E1231">
        <f>IFERROR(INDEX(PP_Grid[#Data],$DE1231,2),0)</f>
        <v/>
      </c>
      <c r="F1231">
        <f>IFERROR(INDEX(PP_Grid[#Data],$DE1231,3),0)</f>
        <v/>
      </c>
      <c r="G1231">
        <f>IFERROR(INDEX(PP_Grid[#Data],$DE1231,4),0)</f>
        <v/>
      </c>
      <c r="H1231">
        <f>IFERROR(INDEX(PP_Grid[#Data],$DE1231,5),0)</f>
        <v/>
      </c>
      <c r="I1231">
        <f>IFERROR(INDEX(PP_Grid[#Data],$DE1231,6),0)</f>
        <v/>
      </c>
      <c r="J1231">
        <f>IFERROR(INDEX(PP_Grid[#Data],$DE1231,7),0)</f>
        <v/>
      </c>
      <c r="K1231">
        <f>IFERROR(INDEX(PP_Grid[#Data],$DE1231,8),0)</f>
        <v/>
      </c>
      <c r="L1231">
        <f>IFERROR(INDEX(PP_Grid[#Data],$DE1231,9),0)</f>
        <v/>
      </c>
      <c r="M1231">
        <f>IFERROR(INDEX(PP_Grid[#Data],$DE1231,10),0)</f>
        <v/>
      </c>
      <c r="N1231">
        <f>IFERROR(INDEX(PP_Grid[#Data],$DE1231,11),0)</f>
        <v/>
      </c>
      <c r="O1231">
        <f>IFERROR(INDEX(PP_Grid[#Data],$DE1231,12),0)</f>
        <v/>
      </c>
      <c r="P1231">
        <f>IFERROR(INDEX(PP_Grid[#Data],$DE1231,13),0)</f>
        <v/>
      </c>
      <c r="Q1231">
        <f>IFERROR(INDEX(PP_Grid[#Data],$DE1231,14),0)</f>
        <v/>
      </c>
      <c r="R1231">
        <f>IFERROR(INDEX(PP_Grid[#Data],$DE1231,15),0)</f>
        <v/>
      </c>
      <c r="S1231">
        <f>IFERROR(INDEX(PP_Grid[#Data],$DE1231,16),0)</f>
        <v/>
      </c>
      <c r="T1231">
        <f>IFERROR(INDEX(PP_Grid[#Data],$DE1231,17),0)</f>
        <v/>
      </c>
      <c r="U1231">
        <f>IFERROR(INDEX(PP_Grid[#Data],$DE1231,18),0)</f>
        <v/>
      </c>
      <c r="V1231">
        <f>IFERROR(INDEX(PP_Grid[#Data],$DE1231,19),0)</f>
        <v/>
      </c>
      <c r="W1231">
        <f>IFERROR(INDEX(PP_Grid[#Data],$DE1231,20),0)</f>
        <v/>
      </c>
      <c r="X1231">
        <f>IFERROR(INDEX(PP_Grid[#Data],$DE1231,21),0)</f>
        <v/>
      </c>
      <c r="Y1231">
        <f>IFERROR(INDEX(PP_Grid[#Data],$DE1231,22),0)</f>
        <v/>
      </c>
      <c r="Z1231">
        <f>IFERROR(INDEX(PP_Grid[#Data],$DE1231,23),0)</f>
        <v/>
      </c>
      <c r="AA1231">
        <f>IFERROR(INDEX(PP_Grid[#Data],$DE1231,24),0)</f>
        <v/>
      </c>
      <c r="AB1231">
        <f>IFERROR(INDEX(PP_Grid[#Data],$DE1231,25),0)</f>
        <v/>
      </c>
      <c r="AC1231">
        <f>IFERROR(INDEX(PP_Grid[#Data],$DE1231,26),0)</f>
        <v/>
      </c>
      <c r="AD1231">
        <f>IFERROR(INDEX(PP_Grid[#Data],$DE1231,27),0)</f>
        <v/>
      </c>
      <c r="AE1231">
        <f>IFERROR(INDEX(PP_Grid[#Data],$DE1231,28),0)</f>
        <v/>
      </c>
      <c r="AF1231">
        <f>IFERROR(INDEX(PP_Grid[#Data],$DE1231,29),0)</f>
        <v/>
      </c>
      <c r="AG1231">
        <f>IFERROR(INDEX(PP_Grid[#Data],$DE1231,30),0)</f>
        <v/>
      </c>
      <c r="AH1231">
        <f>IFERROR(INDEX(PP_Grid[#Data],$DE1231,31),0)</f>
        <v/>
      </c>
      <c r="AI1231">
        <f>IFERROR(INDEX(PP_Grid[#Data],$DE1231,32),0)</f>
        <v/>
      </c>
      <c r="AJ1231">
        <f>IFERROR(INDEX(PP_Grid[#Data],$DE1231,33),0)</f>
        <v/>
      </c>
      <c r="AK1231">
        <f>IFERROR(INDEX(PP_Grid[#Data],$DE1231,34),0)</f>
        <v/>
      </c>
      <c r="AL1231">
        <f>IFERROR(INDEX(PP_Grid[#Data],$DE1231,35),0)</f>
        <v/>
      </c>
      <c r="AM1231">
        <f>IFERROR(INDEX(PP_Grid[#Data],$DE1231,36),0)</f>
        <v/>
      </c>
      <c r="AN1231">
        <f>IFERROR(INDEX(PP_Grid[#Data],$DE1231,37),0)</f>
        <v/>
      </c>
      <c r="AO1231">
        <f>IFERROR(INDEX(PP_Grid[#Data],$DE1231,38),0)</f>
        <v/>
      </c>
      <c r="AP1231">
        <f>IFERROR(INDEX(PP_Grid[#Data],$DE1231,39),0)</f>
        <v/>
      </c>
      <c r="AQ1231">
        <f>IFERROR(INDEX(PP_Grid[#Data],$DE1231,40),0)</f>
        <v/>
      </c>
      <c r="AR1231">
        <f>IFERROR(INDEX(PP_Grid[#Data],$DE1231,41),0)</f>
        <v/>
      </c>
      <c r="AS1231">
        <f>IFERROR(INDEX(PP_Grid[#Data],$DE1231,42),0)</f>
        <v/>
      </c>
      <c r="AT1231">
        <f>IFERROR(INDEX(PP_Grid[#Data],$DE1231,43),0)</f>
        <v/>
      </c>
      <c r="AU1231">
        <f>IFERROR(INDEX(PP_Grid[#Data],$DE1231,44),0)</f>
        <v/>
      </c>
      <c r="AV1231">
        <f>IFERROR(INDEX(PP_Grid[#Data],$DE1231,45),0)</f>
        <v/>
      </c>
      <c r="AW1231">
        <f>IFERROR(INDEX(PP_Grid[#Data],$DE1231,46),0)</f>
        <v/>
      </c>
      <c r="AX1231">
        <f>IFERROR(INDEX(PP_Grid[#Data],$DE1231,47),0)</f>
        <v/>
      </c>
      <c r="AY1231">
        <f>IFERROR(INDEX(PP_Grid[#Data],$DE1231,48),0)</f>
        <v/>
      </c>
      <c r="AZ1231">
        <f>IFERROR(INDEX(PP_Grid[#Data],$DE1231,49),0)</f>
        <v/>
      </c>
      <c r="BA1231">
        <f>IFERROR(INDEX(PP_Grid[#Data],$DE1231,50),0)</f>
        <v/>
      </c>
      <c r="BB1231">
        <f>IFERROR(INDEX(PP_Grid[#Data],$DE1231,51),0)</f>
        <v/>
      </c>
      <c r="BC1231">
        <f>IFERROR(INDEX(PP_Grid[#Data],$DE1231,52),0)</f>
        <v/>
      </c>
      <c r="BD1231">
        <f>IFERROR(INDEX(PP_Grid[#Data],$DE1231,53),0)</f>
        <v/>
      </c>
      <c r="BE1231">
        <f>IFERROR(INDEX(PP_Grid[#Data],$DE1231,54),0)</f>
        <v/>
      </c>
      <c r="BF1231">
        <f>IFERROR(INDEX(PP_Grid[#Data],$DE1231,55),0)</f>
        <v/>
      </c>
      <c r="BG1231">
        <f>IFERROR(INDEX(PP_Grid[#Data],$DE1231,56),0)</f>
        <v/>
      </c>
      <c r="BH1231">
        <f>IFERROR(INDEX(PP_Grid[#Data],$DE1231,57),0)</f>
        <v/>
      </c>
      <c r="BI1231">
        <f>IFERROR(INDEX(PP_Grid[#Data],$DE1231,58),0)</f>
        <v/>
      </c>
      <c r="BJ1231">
        <f>IFERROR(INDEX(PP_Grid[#Data],$DE1231,59),0)</f>
        <v/>
      </c>
      <c r="BK1231">
        <f>IFERROR(INDEX(PP_Grid[#Data],$DE1231,60),0)</f>
        <v/>
      </c>
      <c r="BL1231">
        <f>IFERROR(INDEX(PP_Grid[#Data],$DE1231,61),0)</f>
        <v/>
      </c>
      <c r="BM1231">
        <f>IFERROR(INDEX(PP_Grid[#Data],$DE1231,62),0)</f>
        <v/>
      </c>
      <c r="BN1231">
        <f>IFERROR(INDEX(PP_Grid[#Data],$DE1231,63),0)</f>
        <v/>
      </c>
      <c r="BO1231">
        <f>IFERROR(INDEX(PP_Grid[#Data],$DE1231,64),0)</f>
        <v/>
      </c>
      <c r="BP1231">
        <f>IFERROR(INDEX(PP_Grid[#Data],$DE1231,65),0)</f>
        <v/>
      </c>
      <c r="BQ1231">
        <f>IFERROR(INDEX(PP_Grid[#Data],$DE1231,66),0)</f>
        <v/>
      </c>
      <c r="BR1231">
        <f>IFERROR(INDEX(PP_Grid[#Data],$DE1231,67),0)</f>
        <v/>
      </c>
      <c r="BS1231">
        <f>IFERROR(INDEX(PP_Grid[#Data],$DE1231,68),0)</f>
        <v/>
      </c>
      <c r="BT1231">
        <f>IFERROR(INDEX(PP_Grid[#Data],$DE1231,69),0)</f>
        <v/>
      </c>
      <c r="BU1231">
        <f>IFERROR(INDEX(PP_Grid[#Data],$DE1231,70),0)</f>
        <v/>
      </c>
      <c r="BV1231">
        <f>IFERROR(INDEX(PP_Grid[#Data],$DE1231,71),0)</f>
        <v/>
      </c>
      <c r="BW1231">
        <f>IFERROR(INDEX(PP_Grid[#Data],$DE1231,72),0)</f>
        <v/>
      </c>
      <c r="BX1231">
        <f>IFERROR(INDEX(PP_Grid[#Data],$DE1231,73),0)</f>
        <v/>
      </c>
      <c r="BY1231">
        <f>IFERROR(INDEX(PP_Grid[#Data],$DE1231,74),0)</f>
        <v/>
      </c>
      <c r="BZ1231">
        <f>IFERROR(INDEX(PP_Grid[#Data],$DE1231,75),0)</f>
        <v/>
      </c>
      <c r="CA1231">
        <f>IFERROR(INDEX(PP_Grid[#Data],$DE1231,76),0)</f>
        <v/>
      </c>
      <c r="CB1231">
        <f>IFERROR(INDEX(PP_Grid[#Data],$DE1231,77),0)</f>
        <v/>
      </c>
      <c r="CC1231">
        <f>IFERROR(INDEX(PP_Grid[#Data],$DE1231,78),0)</f>
        <v/>
      </c>
      <c r="CD1231">
        <f>IFERROR(INDEX(PP_Grid[#Data],$DE1231,79),0)</f>
        <v/>
      </c>
      <c r="CE1231">
        <f>IFERROR(INDEX(PP_Grid[#Data],$DE1231,80),0)</f>
        <v/>
      </c>
      <c r="CF1231">
        <f>IFERROR(INDEX(PP_Grid[#Data],$DE1231,81),0)</f>
        <v/>
      </c>
      <c r="CG1231">
        <f>IFERROR(INDEX(PP_Grid[#Data],$DE1231,82),0)</f>
        <v/>
      </c>
      <c r="CH1231">
        <f>IFERROR(INDEX(PP_Grid[#Data],$DE1231,83),0)</f>
        <v/>
      </c>
      <c r="CI1231">
        <f>IFERROR(INDEX(PP_Grid[#Data],$DE1231,84),0)</f>
        <v/>
      </c>
      <c r="CJ1231">
        <f>IFERROR(INDEX(PP_Grid[#Data],$DE1231,85),0)</f>
        <v/>
      </c>
      <c r="CK1231">
        <f>IFERROR(INDEX(PP_Grid[#Data],$DE1231,86),0)</f>
        <v/>
      </c>
      <c r="CL1231">
        <f>IFERROR(INDEX(PP_Grid[#Data],$DE1231,87),0)</f>
        <v/>
      </c>
      <c r="CM1231">
        <f>IFERROR(INDEX(PP_Grid[#Data],$DE1231,88),0)</f>
        <v/>
      </c>
      <c r="CN1231">
        <f>IFERROR(INDEX(PP_Grid[#Data],$DE1231,89),0)</f>
        <v/>
      </c>
      <c r="CO1231">
        <f>IFERROR(INDEX(PP_Grid[#Data],$DE1231,90),0)</f>
        <v/>
      </c>
      <c r="CP1231">
        <f>IFERROR(INDEX(PP_Grid[#Data],$DE1231,91),0)</f>
        <v/>
      </c>
      <c r="CQ1231">
        <f>IFERROR(INDEX(PP_Grid[#Data],$DE1231,92),0)</f>
        <v/>
      </c>
      <c r="CR1231">
        <f>IFERROR(INDEX(PP_Grid[#Data],$DE1231,93),0)</f>
        <v/>
      </c>
      <c r="CS1231">
        <f>IFERROR(INDEX(PP_Grid[#Data],$DE1231,94),0)</f>
        <v/>
      </c>
      <c r="CT1231">
        <f>IFERROR(INDEX(PP_Grid[#Data],$DE1231,95),0)</f>
        <v/>
      </c>
      <c r="CU1231">
        <f>IFERROR(INDEX(PP_Grid[#Data],$DE1231,96),0)</f>
        <v/>
      </c>
      <c r="CV1231">
        <f>IFERROR(INDEX(PP_Grid[#Data],$DE1231,97),0)</f>
        <v/>
      </c>
      <c r="CW1231">
        <f>IFERROR(INDEX(PP_Grid[#Data],$DE1231,98),0)</f>
        <v/>
      </c>
      <c r="CX1231">
        <f>IFERROR(INDEX(PP_Grid[#Data],$DE1231,99),0)</f>
        <v/>
      </c>
      <c r="CY1231">
        <f>IFERROR(INDEX(PP_Grid[#Data],$DE1231,100),0)</f>
        <v/>
      </c>
      <c r="CZ1231">
        <f>IFERROR(INDEX(PP_Grid[#Data],$DE1231,101),0)</f>
        <v/>
      </c>
      <c r="DA1231">
        <f>IFERROR(INDEX(PP_Grid[#Data],$DE1231,102),0)</f>
        <v/>
      </c>
      <c r="DB1231">
        <f>IFERROR(INDEX(PP_Grid[#Data],$DE1231,103),0)</f>
        <v/>
      </c>
      <c r="DC1231">
        <f>IFERROR(INDEX(PP_Grid[#Data],$DE1231,104),0)</f>
        <v/>
      </c>
      <c r="DD1231">
        <f>IFERROR(INDEX(PP_Grid[#Data],$DE1231,105),0)</f>
        <v/>
      </c>
      <c r="DE1231" s="7">
        <f>IFERROR(MATCH($B1231,PP_Grid[Intermediate],0),99999)</f>
        <v/>
      </c>
    </row>
    <row r="1232">
      <c r="B1232" t="inlineStr">
        <is>
          <t>使用量(kg)</t>
        </is>
      </c>
      <c r="C1232">
        <f>SUMIFS(M_BOM[RM_Qty_Per_Batch],M_BOM[Intermediate],$B1231,M_BOM[RM_Code],$A1222)</f>
        <v/>
      </c>
      <c r="D1232">
        <f>IFERROR(INDEX(E1232:DD1232,$F$1),"")</f>
        <v/>
      </c>
      <c r="E1232">
        <f>$C1232*E1231</f>
        <v/>
      </c>
      <c r="F1232">
        <f>$C1232*F1231</f>
        <v/>
      </c>
      <c r="G1232">
        <f>$C1232*G1231</f>
        <v/>
      </c>
      <c r="H1232">
        <f>$C1232*H1231</f>
        <v/>
      </c>
      <c r="I1232">
        <f>$C1232*I1231</f>
        <v/>
      </c>
      <c r="J1232">
        <f>$C1232*J1231</f>
        <v/>
      </c>
      <c r="K1232">
        <f>$C1232*K1231</f>
        <v/>
      </c>
      <c r="L1232">
        <f>$C1232*L1231</f>
        <v/>
      </c>
      <c r="M1232">
        <f>$C1232*M1231</f>
        <v/>
      </c>
      <c r="N1232">
        <f>$C1232*N1231</f>
        <v/>
      </c>
      <c r="O1232">
        <f>$C1232*O1231</f>
        <v/>
      </c>
      <c r="P1232">
        <f>$C1232*P1231</f>
        <v/>
      </c>
      <c r="Q1232">
        <f>$C1232*Q1231</f>
        <v/>
      </c>
      <c r="R1232">
        <f>$C1232*R1231</f>
        <v/>
      </c>
      <c r="S1232">
        <f>$C1232*S1231</f>
        <v/>
      </c>
      <c r="T1232">
        <f>$C1232*T1231</f>
        <v/>
      </c>
      <c r="U1232">
        <f>$C1232*U1231</f>
        <v/>
      </c>
      <c r="V1232">
        <f>$C1232*V1231</f>
        <v/>
      </c>
      <c r="W1232">
        <f>$C1232*W1231</f>
        <v/>
      </c>
      <c r="X1232">
        <f>$C1232*X1231</f>
        <v/>
      </c>
      <c r="Y1232">
        <f>$C1232*Y1231</f>
        <v/>
      </c>
      <c r="Z1232">
        <f>$C1232*Z1231</f>
        <v/>
      </c>
      <c r="AA1232">
        <f>$C1232*AA1231</f>
        <v/>
      </c>
      <c r="AB1232">
        <f>$C1232*AB1231</f>
        <v/>
      </c>
      <c r="AC1232">
        <f>$C1232*AC1231</f>
        <v/>
      </c>
      <c r="AD1232">
        <f>$C1232*AD1231</f>
        <v/>
      </c>
      <c r="AE1232">
        <f>$C1232*AE1231</f>
        <v/>
      </c>
      <c r="AF1232">
        <f>$C1232*AF1231</f>
        <v/>
      </c>
      <c r="AG1232">
        <f>$C1232*AG1231</f>
        <v/>
      </c>
      <c r="AH1232">
        <f>$C1232*AH1231</f>
        <v/>
      </c>
      <c r="AI1232">
        <f>$C1232*AI1231</f>
        <v/>
      </c>
      <c r="AJ1232">
        <f>$C1232*AJ1231</f>
        <v/>
      </c>
      <c r="AK1232">
        <f>$C1232*AK1231</f>
        <v/>
      </c>
      <c r="AL1232">
        <f>$C1232*AL1231</f>
        <v/>
      </c>
      <c r="AM1232">
        <f>$C1232*AM1231</f>
        <v/>
      </c>
      <c r="AN1232">
        <f>$C1232*AN1231</f>
        <v/>
      </c>
      <c r="AO1232">
        <f>$C1232*AO1231</f>
        <v/>
      </c>
      <c r="AP1232">
        <f>$C1232*AP1231</f>
        <v/>
      </c>
      <c r="AQ1232">
        <f>$C1232*AQ1231</f>
        <v/>
      </c>
      <c r="AR1232">
        <f>$C1232*AR1231</f>
        <v/>
      </c>
      <c r="AS1232">
        <f>$C1232*AS1231</f>
        <v/>
      </c>
      <c r="AT1232">
        <f>$C1232*AT1231</f>
        <v/>
      </c>
      <c r="AU1232">
        <f>$C1232*AU1231</f>
        <v/>
      </c>
      <c r="AV1232">
        <f>$C1232*AV1231</f>
        <v/>
      </c>
      <c r="AW1232">
        <f>$C1232*AW1231</f>
        <v/>
      </c>
      <c r="AX1232">
        <f>$C1232*AX1231</f>
        <v/>
      </c>
      <c r="AY1232">
        <f>$C1232*AY1231</f>
        <v/>
      </c>
      <c r="AZ1232">
        <f>$C1232*AZ1231</f>
        <v/>
      </c>
      <c r="BA1232">
        <f>$C1232*BA1231</f>
        <v/>
      </c>
      <c r="BB1232">
        <f>$C1232*BB1231</f>
        <v/>
      </c>
      <c r="BC1232">
        <f>$C1232*BC1231</f>
        <v/>
      </c>
      <c r="BD1232">
        <f>$C1232*BD1231</f>
        <v/>
      </c>
      <c r="BE1232">
        <f>$C1232*BE1231</f>
        <v/>
      </c>
      <c r="BF1232">
        <f>$C1232*BF1231</f>
        <v/>
      </c>
      <c r="BG1232">
        <f>$C1232*BG1231</f>
        <v/>
      </c>
      <c r="BH1232">
        <f>$C1232*BH1231</f>
        <v/>
      </c>
      <c r="BI1232">
        <f>$C1232*BI1231</f>
        <v/>
      </c>
      <c r="BJ1232">
        <f>$C1232*BJ1231</f>
        <v/>
      </c>
      <c r="BK1232">
        <f>$C1232*BK1231</f>
        <v/>
      </c>
      <c r="BL1232">
        <f>$C1232*BL1231</f>
        <v/>
      </c>
      <c r="BM1232">
        <f>$C1232*BM1231</f>
        <v/>
      </c>
      <c r="BN1232">
        <f>$C1232*BN1231</f>
        <v/>
      </c>
      <c r="BO1232">
        <f>$C1232*BO1231</f>
        <v/>
      </c>
      <c r="BP1232">
        <f>$C1232*BP1231</f>
        <v/>
      </c>
      <c r="BQ1232">
        <f>$C1232*BQ1231</f>
        <v/>
      </c>
      <c r="BR1232">
        <f>$C1232*BR1231</f>
        <v/>
      </c>
      <c r="BS1232">
        <f>$C1232*BS1231</f>
        <v/>
      </c>
      <c r="BT1232">
        <f>$C1232*BT1231</f>
        <v/>
      </c>
      <c r="BU1232">
        <f>$C1232*BU1231</f>
        <v/>
      </c>
      <c r="BV1232">
        <f>$C1232*BV1231</f>
        <v/>
      </c>
      <c r="BW1232">
        <f>$C1232*BW1231</f>
        <v/>
      </c>
      <c r="BX1232">
        <f>$C1232*BX1231</f>
        <v/>
      </c>
      <c r="BY1232">
        <f>$C1232*BY1231</f>
        <v/>
      </c>
      <c r="BZ1232">
        <f>$C1232*BZ1231</f>
        <v/>
      </c>
      <c r="CA1232">
        <f>$C1232*CA1231</f>
        <v/>
      </c>
      <c r="CB1232">
        <f>$C1232*CB1231</f>
        <v/>
      </c>
      <c r="CC1232">
        <f>$C1232*CC1231</f>
        <v/>
      </c>
      <c r="CD1232">
        <f>$C1232*CD1231</f>
        <v/>
      </c>
      <c r="CE1232">
        <f>$C1232*CE1231</f>
        <v/>
      </c>
      <c r="CF1232">
        <f>$C1232*CF1231</f>
        <v/>
      </c>
      <c r="CG1232">
        <f>$C1232*CG1231</f>
        <v/>
      </c>
      <c r="CH1232">
        <f>$C1232*CH1231</f>
        <v/>
      </c>
      <c r="CI1232">
        <f>$C1232*CI1231</f>
        <v/>
      </c>
      <c r="CJ1232">
        <f>$C1232*CJ1231</f>
        <v/>
      </c>
      <c r="CK1232">
        <f>$C1232*CK1231</f>
        <v/>
      </c>
      <c r="CL1232">
        <f>$C1232*CL1231</f>
        <v/>
      </c>
      <c r="CM1232">
        <f>$C1232*CM1231</f>
        <v/>
      </c>
      <c r="CN1232">
        <f>$C1232*CN1231</f>
        <v/>
      </c>
      <c r="CO1232">
        <f>$C1232*CO1231</f>
        <v/>
      </c>
      <c r="CP1232">
        <f>$C1232*CP1231</f>
        <v/>
      </c>
      <c r="CQ1232">
        <f>$C1232*CQ1231</f>
        <v/>
      </c>
      <c r="CR1232">
        <f>$C1232*CR1231</f>
        <v/>
      </c>
      <c r="CS1232">
        <f>$C1232*CS1231</f>
        <v/>
      </c>
      <c r="CT1232">
        <f>$C1232*CT1231</f>
        <v/>
      </c>
      <c r="CU1232">
        <f>$C1232*CU1231</f>
        <v/>
      </c>
      <c r="CV1232">
        <f>$C1232*CV1231</f>
        <v/>
      </c>
      <c r="CW1232">
        <f>$C1232*CW1231</f>
        <v/>
      </c>
      <c r="CX1232">
        <f>$C1232*CX1231</f>
        <v/>
      </c>
      <c r="CY1232">
        <f>$C1232*CY1231</f>
        <v/>
      </c>
      <c r="CZ1232">
        <f>$C1232*CZ1231</f>
        <v/>
      </c>
      <c r="DA1232">
        <f>$C1232*DA1231</f>
        <v/>
      </c>
      <c r="DB1232">
        <f>$C1232*DB1231</f>
        <v/>
      </c>
      <c r="DC1232">
        <f>$C1232*DC1231</f>
        <v/>
      </c>
      <c r="DD1232">
        <f>$C1232*DD1231</f>
        <v/>
      </c>
    </row>
    <row r="1233">
      <c r="B1233" t="inlineStr">
        <is>
          <t>TSP-623</t>
        </is>
      </c>
      <c r="C1233" t="inlineStr">
        <is>
          <t>No. of batches</t>
        </is>
      </c>
      <c r="D1233">
        <f>IFERROR(INDEX(E1233:DD1233,$F$1),"")</f>
        <v/>
      </c>
      <c r="E1233">
        <f>IFERROR(INDEX(PP_Grid[#Data],$DE1233,2),0)</f>
        <v/>
      </c>
      <c r="F1233">
        <f>IFERROR(INDEX(PP_Grid[#Data],$DE1233,3),0)</f>
        <v/>
      </c>
      <c r="G1233">
        <f>IFERROR(INDEX(PP_Grid[#Data],$DE1233,4),0)</f>
        <v/>
      </c>
      <c r="H1233">
        <f>IFERROR(INDEX(PP_Grid[#Data],$DE1233,5),0)</f>
        <v/>
      </c>
      <c r="I1233">
        <f>IFERROR(INDEX(PP_Grid[#Data],$DE1233,6),0)</f>
        <v/>
      </c>
      <c r="J1233">
        <f>IFERROR(INDEX(PP_Grid[#Data],$DE1233,7),0)</f>
        <v/>
      </c>
      <c r="K1233">
        <f>IFERROR(INDEX(PP_Grid[#Data],$DE1233,8),0)</f>
        <v/>
      </c>
      <c r="L1233">
        <f>IFERROR(INDEX(PP_Grid[#Data],$DE1233,9),0)</f>
        <v/>
      </c>
      <c r="M1233">
        <f>IFERROR(INDEX(PP_Grid[#Data],$DE1233,10),0)</f>
        <v/>
      </c>
      <c r="N1233">
        <f>IFERROR(INDEX(PP_Grid[#Data],$DE1233,11),0)</f>
        <v/>
      </c>
      <c r="O1233">
        <f>IFERROR(INDEX(PP_Grid[#Data],$DE1233,12),0)</f>
        <v/>
      </c>
      <c r="P1233">
        <f>IFERROR(INDEX(PP_Grid[#Data],$DE1233,13),0)</f>
        <v/>
      </c>
      <c r="Q1233">
        <f>IFERROR(INDEX(PP_Grid[#Data],$DE1233,14),0)</f>
        <v/>
      </c>
      <c r="R1233">
        <f>IFERROR(INDEX(PP_Grid[#Data],$DE1233,15),0)</f>
        <v/>
      </c>
      <c r="S1233">
        <f>IFERROR(INDEX(PP_Grid[#Data],$DE1233,16),0)</f>
        <v/>
      </c>
      <c r="T1233">
        <f>IFERROR(INDEX(PP_Grid[#Data],$DE1233,17),0)</f>
        <v/>
      </c>
      <c r="U1233">
        <f>IFERROR(INDEX(PP_Grid[#Data],$DE1233,18),0)</f>
        <v/>
      </c>
      <c r="V1233">
        <f>IFERROR(INDEX(PP_Grid[#Data],$DE1233,19),0)</f>
        <v/>
      </c>
      <c r="W1233">
        <f>IFERROR(INDEX(PP_Grid[#Data],$DE1233,20),0)</f>
        <v/>
      </c>
      <c r="X1233">
        <f>IFERROR(INDEX(PP_Grid[#Data],$DE1233,21),0)</f>
        <v/>
      </c>
      <c r="Y1233">
        <f>IFERROR(INDEX(PP_Grid[#Data],$DE1233,22),0)</f>
        <v/>
      </c>
      <c r="Z1233">
        <f>IFERROR(INDEX(PP_Grid[#Data],$DE1233,23),0)</f>
        <v/>
      </c>
      <c r="AA1233">
        <f>IFERROR(INDEX(PP_Grid[#Data],$DE1233,24),0)</f>
        <v/>
      </c>
      <c r="AB1233">
        <f>IFERROR(INDEX(PP_Grid[#Data],$DE1233,25),0)</f>
        <v/>
      </c>
      <c r="AC1233">
        <f>IFERROR(INDEX(PP_Grid[#Data],$DE1233,26),0)</f>
        <v/>
      </c>
      <c r="AD1233">
        <f>IFERROR(INDEX(PP_Grid[#Data],$DE1233,27),0)</f>
        <v/>
      </c>
      <c r="AE1233">
        <f>IFERROR(INDEX(PP_Grid[#Data],$DE1233,28),0)</f>
        <v/>
      </c>
      <c r="AF1233">
        <f>IFERROR(INDEX(PP_Grid[#Data],$DE1233,29),0)</f>
        <v/>
      </c>
      <c r="AG1233">
        <f>IFERROR(INDEX(PP_Grid[#Data],$DE1233,30),0)</f>
        <v/>
      </c>
      <c r="AH1233">
        <f>IFERROR(INDEX(PP_Grid[#Data],$DE1233,31),0)</f>
        <v/>
      </c>
      <c r="AI1233">
        <f>IFERROR(INDEX(PP_Grid[#Data],$DE1233,32),0)</f>
        <v/>
      </c>
      <c r="AJ1233">
        <f>IFERROR(INDEX(PP_Grid[#Data],$DE1233,33),0)</f>
        <v/>
      </c>
      <c r="AK1233">
        <f>IFERROR(INDEX(PP_Grid[#Data],$DE1233,34),0)</f>
        <v/>
      </c>
      <c r="AL1233">
        <f>IFERROR(INDEX(PP_Grid[#Data],$DE1233,35),0)</f>
        <v/>
      </c>
      <c r="AM1233">
        <f>IFERROR(INDEX(PP_Grid[#Data],$DE1233,36),0)</f>
        <v/>
      </c>
      <c r="AN1233">
        <f>IFERROR(INDEX(PP_Grid[#Data],$DE1233,37),0)</f>
        <v/>
      </c>
      <c r="AO1233">
        <f>IFERROR(INDEX(PP_Grid[#Data],$DE1233,38),0)</f>
        <v/>
      </c>
      <c r="AP1233">
        <f>IFERROR(INDEX(PP_Grid[#Data],$DE1233,39),0)</f>
        <v/>
      </c>
      <c r="AQ1233">
        <f>IFERROR(INDEX(PP_Grid[#Data],$DE1233,40),0)</f>
        <v/>
      </c>
      <c r="AR1233">
        <f>IFERROR(INDEX(PP_Grid[#Data],$DE1233,41),0)</f>
        <v/>
      </c>
      <c r="AS1233">
        <f>IFERROR(INDEX(PP_Grid[#Data],$DE1233,42),0)</f>
        <v/>
      </c>
      <c r="AT1233">
        <f>IFERROR(INDEX(PP_Grid[#Data],$DE1233,43),0)</f>
        <v/>
      </c>
      <c r="AU1233">
        <f>IFERROR(INDEX(PP_Grid[#Data],$DE1233,44),0)</f>
        <v/>
      </c>
      <c r="AV1233">
        <f>IFERROR(INDEX(PP_Grid[#Data],$DE1233,45),0)</f>
        <v/>
      </c>
      <c r="AW1233">
        <f>IFERROR(INDEX(PP_Grid[#Data],$DE1233,46),0)</f>
        <v/>
      </c>
      <c r="AX1233">
        <f>IFERROR(INDEX(PP_Grid[#Data],$DE1233,47),0)</f>
        <v/>
      </c>
      <c r="AY1233">
        <f>IFERROR(INDEX(PP_Grid[#Data],$DE1233,48),0)</f>
        <v/>
      </c>
      <c r="AZ1233">
        <f>IFERROR(INDEX(PP_Grid[#Data],$DE1233,49),0)</f>
        <v/>
      </c>
      <c r="BA1233">
        <f>IFERROR(INDEX(PP_Grid[#Data],$DE1233,50),0)</f>
        <v/>
      </c>
      <c r="BB1233">
        <f>IFERROR(INDEX(PP_Grid[#Data],$DE1233,51),0)</f>
        <v/>
      </c>
      <c r="BC1233">
        <f>IFERROR(INDEX(PP_Grid[#Data],$DE1233,52),0)</f>
        <v/>
      </c>
      <c r="BD1233">
        <f>IFERROR(INDEX(PP_Grid[#Data],$DE1233,53),0)</f>
        <v/>
      </c>
      <c r="BE1233">
        <f>IFERROR(INDEX(PP_Grid[#Data],$DE1233,54),0)</f>
        <v/>
      </c>
      <c r="BF1233">
        <f>IFERROR(INDEX(PP_Grid[#Data],$DE1233,55),0)</f>
        <v/>
      </c>
      <c r="BG1233">
        <f>IFERROR(INDEX(PP_Grid[#Data],$DE1233,56),0)</f>
        <v/>
      </c>
      <c r="BH1233">
        <f>IFERROR(INDEX(PP_Grid[#Data],$DE1233,57),0)</f>
        <v/>
      </c>
      <c r="BI1233">
        <f>IFERROR(INDEX(PP_Grid[#Data],$DE1233,58),0)</f>
        <v/>
      </c>
      <c r="BJ1233">
        <f>IFERROR(INDEX(PP_Grid[#Data],$DE1233,59),0)</f>
        <v/>
      </c>
      <c r="BK1233">
        <f>IFERROR(INDEX(PP_Grid[#Data],$DE1233,60),0)</f>
        <v/>
      </c>
      <c r="BL1233">
        <f>IFERROR(INDEX(PP_Grid[#Data],$DE1233,61),0)</f>
        <v/>
      </c>
      <c r="BM1233">
        <f>IFERROR(INDEX(PP_Grid[#Data],$DE1233,62),0)</f>
        <v/>
      </c>
      <c r="BN1233">
        <f>IFERROR(INDEX(PP_Grid[#Data],$DE1233,63),0)</f>
        <v/>
      </c>
      <c r="BO1233">
        <f>IFERROR(INDEX(PP_Grid[#Data],$DE1233,64),0)</f>
        <v/>
      </c>
      <c r="BP1233">
        <f>IFERROR(INDEX(PP_Grid[#Data],$DE1233,65),0)</f>
        <v/>
      </c>
      <c r="BQ1233">
        <f>IFERROR(INDEX(PP_Grid[#Data],$DE1233,66),0)</f>
        <v/>
      </c>
      <c r="BR1233">
        <f>IFERROR(INDEX(PP_Grid[#Data],$DE1233,67),0)</f>
        <v/>
      </c>
      <c r="BS1233">
        <f>IFERROR(INDEX(PP_Grid[#Data],$DE1233,68),0)</f>
        <v/>
      </c>
      <c r="BT1233">
        <f>IFERROR(INDEX(PP_Grid[#Data],$DE1233,69),0)</f>
        <v/>
      </c>
      <c r="BU1233">
        <f>IFERROR(INDEX(PP_Grid[#Data],$DE1233,70),0)</f>
        <v/>
      </c>
      <c r="BV1233">
        <f>IFERROR(INDEX(PP_Grid[#Data],$DE1233,71),0)</f>
        <v/>
      </c>
      <c r="BW1233">
        <f>IFERROR(INDEX(PP_Grid[#Data],$DE1233,72),0)</f>
        <v/>
      </c>
      <c r="BX1233">
        <f>IFERROR(INDEX(PP_Grid[#Data],$DE1233,73),0)</f>
        <v/>
      </c>
      <c r="BY1233">
        <f>IFERROR(INDEX(PP_Grid[#Data],$DE1233,74),0)</f>
        <v/>
      </c>
      <c r="BZ1233">
        <f>IFERROR(INDEX(PP_Grid[#Data],$DE1233,75),0)</f>
        <v/>
      </c>
      <c r="CA1233">
        <f>IFERROR(INDEX(PP_Grid[#Data],$DE1233,76),0)</f>
        <v/>
      </c>
      <c r="CB1233">
        <f>IFERROR(INDEX(PP_Grid[#Data],$DE1233,77),0)</f>
        <v/>
      </c>
      <c r="CC1233">
        <f>IFERROR(INDEX(PP_Grid[#Data],$DE1233,78),0)</f>
        <v/>
      </c>
      <c r="CD1233">
        <f>IFERROR(INDEX(PP_Grid[#Data],$DE1233,79),0)</f>
        <v/>
      </c>
      <c r="CE1233">
        <f>IFERROR(INDEX(PP_Grid[#Data],$DE1233,80),0)</f>
        <v/>
      </c>
      <c r="CF1233">
        <f>IFERROR(INDEX(PP_Grid[#Data],$DE1233,81),0)</f>
        <v/>
      </c>
      <c r="CG1233">
        <f>IFERROR(INDEX(PP_Grid[#Data],$DE1233,82),0)</f>
        <v/>
      </c>
      <c r="CH1233">
        <f>IFERROR(INDEX(PP_Grid[#Data],$DE1233,83),0)</f>
        <v/>
      </c>
      <c r="CI1233">
        <f>IFERROR(INDEX(PP_Grid[#Data],$DE1233,84),0)</f>
        <v/>
      </c>
      <c r="CJ1233">
        <f>IFERROR(INDEX(PP_Grid[#Data],$DE1233,85),0)</f>
        <v/>
      </c>
      <c r="CK1233">
        <f>IFERROR(INDEX(PP_Grid[#Data],$DE1233,86),0)</f>
        <v/>
      </c>
      <c r="CL1233">
        <f>IFERROR(INDEX(PP_Grid[#Data],$DE1233,87),0)</f>
        <v/>
      </c>
      <c r="CM1233">
        <f>IFERROR(INDEX(PP_Grid[#Data],$DE1233,88),0)</f>
        <v/>
      </c>
      <c r="CN1233">
        <f>IFERROR(INDEX(PP_Grid[#Data],$DE1233,89),0)</f>
        <v/>
      </c>
      <c r="CO1233">
        <f>IFERROR(INDEX(PP_Grid[#Data],$DE1233,90),0)</f>
        <v/>
      </c>
      <c r="CP1233">
        <f>IFERROR(INDEX(PP_Grid[#Data],$DE1233,91),0)</f>
        <v/>
      </c>
      <c r="CQ1233">
        <f>IFERROR(INDEX(PP_Grid[#Data],$DE1233,92),0)</f>
        <v/>
      </c>
      <c r="CR1233">
        <f>IFERROR(INDEX(PP_Grid[#Data],$DE1233,93),0)</f>
        <v/>
      </c>
      <c r="CS1233">
        <f>IFERROR(INDEX(PP_Grid[#Data],$DE1233,94),0)</f>
        <v/>
      </c>
      <c r="CT1233">
        <f>IFERROR(INDEX(PP_Grid[#Data],$DE1233,95),0)</f>
        <v/>
      </c>
      <c r="CU1233">
        <f>IFERROR(INDEX(PP_Grid[#Data],$DE1233,96),0)</f>
        <v/>
      </c>
      <c r="CV1233">
        <f>IFERROR(INDEX(PP_Grid[#Data],$DE1233,97),0)</f>
        <v/>
      </c>
      <c r="CW1233">
        <f>IFERROR(INDEX(PP_Grid[#Data],$DE1233,98),0)</f>
        <v/>
      </c>
      <c r="CX1233">
        <f>IFERROR(INDEX(PP_Grid[#Data],$DE1233,99),0)</f>
        <v/>
      </c>
      <c r="CY1233">
        <f>IFERROR(INDEX(PP_Grid[#Data],$DE1233,100),0)</f>
        <v/>
      </c>
      <c r="CZ1233">
        <f>IFERROR(INDEX(PP_Grid[#Data],$DE1233,101),0)</f>
        <v/>
      </c>
      <c r="DA1233">
        <f>IFERROR(INDEX(PP_Grid[#Data],$DE1233,102),0)</f>
        <v/>
      </c>
      <c r="DB1233">
        <f>IFERROR(INDEX(PP_Grid[#Data],$DE1233,103),0)</f>
        <v/>
      </c>
      <c r="DC1233">
        <f>IFERROR(INDEX(PP_Grid[#Data],$DE1233,104),0)</f>
        <v/>
      </c>
      <c r="DD1233">
        <f>IFERROR(INDEX(PP_Grid[#Data],$DE1233,105),0)</f>
        <v/>
      </c>
      <c r="DE1233" s="7">
        <f>IFERROR(MATCH($B1233,PP_Grid[Intermediate],0),99999)</f>
        <v/>
      </c>
    </row>
    <row r="1234">
      <c r="B1234" t="inlineStr">
        <is>
          <t>使用量(kg)</t>
        </is>
      </c>
      <c r="C1234">
        <f>SUMIFS(M_BOM[RM_Qty_Per_Batch],M_BOM[Intermediate],$B1233,M_BOM[RM_Code],$A1222)</f>
        <v/>
      </c>
      <c r="D1234">
        <f>IFERROR(INDEX(E1234:DD1234,$F$1),"")</f>
        <v/>
      </c>
      <c r="E1234">
        <f>$C1234*E1233</f>
        <v/>
      </c>
      <c r="F1234">
        <f>$C1234*F1233</f>
        <v/>
      </c>
      <c r="G1234">
        <f>$C1234*G1233</f>
        <v/>
      </c>
      <c r="H1234">
        <f>$C1234*H1233</f>
        <v/>
      </c>
      <c r="I1234">
        <f>$C1234*I1233</f>
        <v/>
      </c>
      <c r="J1234">
        <f>$C1234*J1233</f>
        <v/>
      </c>
      <c r="K1234">
        <f>$C1234*K1233</f>
        <v/>
      </c>
      <c r="L1234">
        <f>$C1234*L1233</f>
        <v/>
      </c>
      <c r="M1234">
        <f>$C1234*M1233</f>
        <v/>
      </c>
      <c r="N1234">
        <f>$C1234*N1233</f>
        <v/>
      </c>
      <c r="O1234">
        <f>$C1234*O1233</f>
        <v/>
      </c>
      <c r="P1234">
        <f>$C1234*P1233</f>
        <v/>
      </c>
      <c r="Q1234">
        <f>$C1234*Q1233</f>
        <v/>
      </c>
      <c r="R1234">
        <f>$C1234*R1233</f>
        <v/>
      </c>
      <c r="S1234">
        <f>$C1234*S1233</f>
        <v/>
      </c>
      <c r="T1234">
        <f>$C1234*T1233</f>
        <v/>
      </c>
      <c r="U1234">
        <f>$C1234*U1233</f>
        <v/>
      </c>
      <c r="V1234">
        <f>$C1234*V1233</f>
        <v/>
      </c>
      <c r="W1234">
        <f>$C1234*W1233</f>
        <v/>
      </c>
      <c r="X1234">
        <f>$C1234*X1233</f>
        <v/>
      </c>
      <c r="Y1234">
        <f>$C1234*Y1233</f>
        <v/>
      </c>
      <c r="Z1234">
        <f>$C1234*Z1233</f>
        <v/>
      </c>
      <c r="AA1234">
        <f>$C1234*AA1233</f>
        <v/>
      </c>
      <c r="AB1234">
        <f>$C1234*AB1233</f>
        <v/>
      </c>
      <c r="AC1234">
        <f>$C1234*AC1233</f>
        <v/>
      </c>
      <c r="AD1234">
        <f>$C1234*AD1233</f>
        <v/>
      </c>
      <c r="AE1234">
        <f>$C1234*AE1233</f>
        <v/>
      </c>
      <c r="AF1234">
        <f>$C1234*AF1233</f>
        <v/>
      </c>
      <c r="AG1234">
        <f>$C1234*AG1233</f>
        <v/>
      </c>
      <c r="AH1234">
        <f>$C1234*AH1233</f>
        <v/>
      </c>
      <c r="AI1234">
        <f>$C1234*AI1233</f>
        <v/>
      </c>
      <c r="AJ1234">
        <f>$C1234*AJ1233</f>
        <v/>
      </c>
      <c r="AK1234">
        <f>$C1234*AK1233</f>
        <v/>
      </c>
      <c r="AL1234">
        <f>$C1234*AL1233</f>
        <v/>
      </c>
      <c r="AM1234">
        <f>$C1234*AM1233</f>
        <v/>
      </c>
      <c r="AN1234">
        <f>$C1234*AN1233</f>
        <v/>
      </c>
      <c r="AO1234">
        <f>$C1234*AO1233</f>
        <v/>
      </c>
      <c r="AP1234">
        <f>$C1234*AP1233</f>
        <v/>
      </c>
      <c r="AQ1234">
        <f>$C1234*AQ1233</f>
        <v/>
      </c>
      <c r="AR1234">
        <f>$C1234*AR1233</f>
        <v/>
      </c>
      <c r="AS1234">
        <f>$C1234*AS1233</f>
        <v/>
      </c>
      <c r="AT1234">
        <f>$C1234*AT1233</f>
        <v/>
      </c>
      <c r="AU1234">
        <f>$C1234*AU1233</f>
        <v/>
      </c>
      <c r="AV1234">
        <f>$C1234*AV1233</f>
        <v/>
      </c>
      <c r="AW1234">
        <f>$C1234*AW1233</f>
        <v/>
      </c>
      <c r="AX1234">
        <f>$C1234*AX1233</f>
        <v/>
      </c>
      <c r="AY1234">
        <f>$C1234*AY1233</f>
        <v/>
      </c>
      <c r="AZ1234">
        <f>$C1234*AZ1233</f>
        <v/>
      </c>
      <c r="BA1234">
        <f>$C1234*BA1233</f>
        <v/>
      </c>
      <c r="BB1234">
        <f>$C1234*BB1233</f>
        <v/>
      </c>
      <c r="BC1234">
        <f>$C1234*BC1233</f>
        <v/>
      </c>
      <c r="BD1234">
        <f>$C1234*BD1233</f>
        <v/>
      </c>
      <c r="BE1234">
        <f>$C1234*BE1233</f>
        <v/>
      </c>
      <c r="BF1234">
        <f>$C1234*BF1233</f>
        <v/>
      </c>
      <c r="BG1234">
        <f>$C1234*BG1233</f>
        <v/>
      </c>
      <c r="BH1234">
        <f>$C1234*BH1233</f>
        <v/>
      </c>
      <c r="BI1234">
        <f>$C1234*BI1233</f>
        <v/>
      </c>
      <c r="BJ1234">
        <f>$C1234*BJ1233</f>
        <v/>
      </c>
      <c r="BK1234">
        <f>$C1234*BK1233</f>
        <v/>
      </c>
      <c r="BL1234">
        <f>$C1234*BL1233</f>
        <v/>
      </c>
      <c r="BM1234">
        <f>$C1234*BM1233</f>
        <v/>
      </c>
      <c r="BN1234">
        <f>$C1234*BN1233</f>
        <v/>
      </c>
      <c r="BO1234">
        <f>$C1234*BO1233</f>
        <v/>
      </c>
      <c r="BP1234">
        <f>$C1234*BP1233</f>
        <v/>
      </c>
      <c r="BQ1234">
        <f>$C1234*BQ1233</f>
        <v/>
      </c>
      <c r="BR1234">
        <f>$C1234*BR1233</f>
        <v/>
      </c>
      <c r="BS1234">
        <f>$C1234*BS1233</f>
        <v/>
      </c>
      <c r="BT1234">
        <f>$C1234*BT1233</f>
        <v/>
      </c>
      <c r="BU1234">
        <f>$C1234*BU1233</f>
        <v/>
      </c>
      <c r="BV1234">
        <f>$C1234*BV1233</f>
        <v/>
      </c>
      <c r="BW1234">
        <f>$C1234*BW1233</f>
        <v/>
      </c>
      <c r="BX1234">
        <f>$C1234*BX1233</f>
        <v/>
      </c>
      <c r="BY1234">
        <f>$C1234*BY1233</f>
        <v/>
      </c>
      <c r="BZ1234">
        <f>$C1234*BZ1233</f>
        <v/>
      </c>
      <c r="CA1234">
        <f>$C1234*CA1233</f>
        <v/>
      </c>
      <c r="CB1234">
        <f>$C1234*CB1233</f>
        <v/>
      </c>
      <c r="CC1234">
        <f>$C1234*CC1233</f>
        <v/>
      </c>
      <c r="CD1234">
        <f>$C1234*CD1233</f>
        <v/>
      </c>
      <c r="CE1234">
        <f>$C1234*CE1233</f>
        <v/>
      </c>
      <c r="CF1234">
        <f>$C1234*CF1233</f>
        <v/>
      </c>
      <c r="CG1234">
        <f>$C1234*CG1233</f>
        <v/>
      </c>
      <c r="CH1234">
        <f>$C1234*CH1233</f>
        <v/>
      </c>
      <c r="CI1234">
        <f>$C1234*CI1233</f>
        <v/>
      </c>
      <c r="CJ1234">
        <f>$C1234*CJ1233</f>
        <v/>
      </c>
      <c r="CK1234">
        <f>$C1234*CK1233</f>
        <v/>
      </c>
      <c r="CL1234">
        <f>$C1234*CL1233</f>
        <v/>
      </c>
      <c r="CM1234">
        <f>$C1234*CM1233</f>
        <v/>
      </c>
      <c r="CN1234">
        <f>$C1234*CN1233</f>
        <v/>
      </c>
      <c r="CO1234">
        <f>$C1234*CO1233</f>
        <v/>
      </c>
      <c r="CP1234">
        <f>$C1234*CP1233</f>
        <v/>
      </c>
      <c r="CQ1234">
        <f>$C1234*CQ1233</f>
        <v/>
      </c>
      <c r="CR1234">
        <f>$C1234*CR1233</f>
        <v/>
      </c>
      <c r="CS1234">
        <f>$C1234*CS1233</f>
        <v/>
      </c>
      <c r="CT1234">
        <f>$C1234*CT1233</f>
        <v/>
      </c>
      <c r="CU1234">
        <f>$C1234*CU1233</f>
        <v/>
      </c>
      <c r="CV1234">
        <f>$C1234*CV1233</f>
        <v/>
      </c>
      <c r="CW1234">
        <f>$C1234*CW1233</f>
        <v/>
      </c>
      <c r="CX1234">
        <f>$C1234*CX1233</f>
        <v/>
      </c>
      <c r="CY1234">
        <f>$C1234*CY1233</f>
        <v/>
      </c>
      <c r="CZ1234">
        <f>$C1234*CZ1233</f>
        <v/>
      </c>
      <c r="DA1234">
        <f>$C1234*DA1233</f>
        <v/>
      </c>
      <c r="DB1234">
        <f>$C1234*DB1233</f>
        <v/>
      </c>
      <c r="DC1234">
        <f>$C1234*DC1233</f>
        <v/>
      </c>
      <c r="DD1234">
        <f>$C1234*DD1233</f>
        <v/>
      </c>
    </row>
    <row r="1235">
      <c r="B1235" t="inlineStr">
        <is>
          <t>TSP-655</t>
        </is>
      </c>
      <c r="C1235" t="inlineStr">
        <is>
          <t>No. of batches</t>
        </is>
      </c>
      <c r="D1235">
        <f>IFERROR(INDEX(E1235:DD1235,$F$1),"")</f>
        <v/>
      </c>
      <c r="E1235">
        <f>IFERROR(INDEX(PP_Grid[#Data],$DE1235,2),0)</f>
        <v/>
      </c>
      <c r="F1235">
        <f>IFERROR(INDEX(PP_Grid[#Data],$DE1235,3),0)</f>
        <v/>
      </c>
      <c r="G1235">
        <f>IFERROR(INDEX(PP_Grid[#Data],$DE1235,4),0)</f>
        <v/>
      </c>
      <c r="H1235">
        <f>IFERROR(INDEX(PP_Grid[#Data],$DE1235,5),0)</f>
        <v/>
      </c>
      <c r="I1235">
        <f>IFERROR(INDEX(PP_Grid[#Data],$DE1235,6),0)</f>
        <v/>
      </c>
      <c r="J1235">
        <f>IFERROR(INDEX(PP_Grid[#Data],$DE1235,7),0)</f>
        <v/>
      </c>
      <c r="K1235">
        <f>IFERROR(INDEX(PP_Grid[#Data],$DE1235,8),0)</f>
        <v/>
      </c>
      <c r="L1235">
        <f>IFERROR(INDEX(PP_Grid[#Data],$DE1235,9),0)</f>
        <v/>
      </c>
      <c r="M1235">
        <f>IFERROR(INDEX(PP_Grid[#Data],$DE1235,10),0)</f>
        <v/>
      </c>
      <c r="N1235">
        <f>IFERROR(INDEX(PP_Grid[#Data],$DE1235,11),0)</f>
        <v/>
      </c>
      <c r="O1235">
        <f>IFERROR(INDEX(PP_Grid[#Data],$DE1235,12),0)</f>
        <v/>
      </c>
      <c r="P1235">
        <f>IFERROR(INDEX(PP_Grid[#Data],$DE1235,13),0)</f>
        <v/>
      </c>
      <c r="Q1235">
        <f>IFERROR(INDEX(PP_Grid[#Data],$DE1235,14),0)</f>
        <v/>
      </c>
      <c r="R1235">
        <f>IFERROR(INDEX(PP_Grid[#Data],$DE1235,15),0)</f>
        <v/>
      </c>
      <c r="S1235">
        <f>IFERROR(INDEX(PP_Grid[#Data],$DE1235,16),0)</f>
        <v/>
      </c>
      <c r="T1235">
        <f>IFERROR(INDEX(PP_Grid[#Data],$DE1235,17),0)</f>
        <v/>
      </c>
      <c r="U1235">
        <f>IFERROR(INDEX(PP_Grid[#Data],$DE1235,18),0)</f>
        <v/>
      </c>
      <c r="V1235">
        <f>IFERROR(INDEX(PP_Grid[#Data],$DE1235,19),0)</f>
        <v/>
      </c>
      <c r="W1235">
        <f>IFERROR(INDEX(PP_Grid[#Data],$DE1235,20),0)</f>
        <v/>
      </c>
      <c r="X1235">
        <f>IFERROR(INDEX(PP_Grid[#Data],$DE1235,21),0)</f>
        <v/>
      </c>
      <c r="Y1235">
        <f>IFERROR(INDEX(PP_Grid[#Data],$DE1235,22),0)</f>
        <v/>
      </c>
      <c r="Z1235">
        <f>IFERROR(INDEX(PP_Grid[#Data],$DE1235,23),0)</f>
        <v/>
      </c>
      <c r="AA1235">
        <f>IFERROR(INDEX(PP_Grid[#Data],$DE1235,24),0)</f>
        <v/>
      </c>
      <c r="AB1235">
        <f>IFERROR(INDEX(PP_Grid[#Data],$DE1235,25),0)</f>
        <v/>
      </c>
      <c r="AC1235">
        <f>IFERROR(INDEX(PP_Grid[#Data],$DE1235,26),0)</f>
        <v/>
      </c>
      <c r="AD1235">
        <f>IFERROR(INDEX(PP_Grid[#Data],$DE1235,27),0)</f>
        <v/>
      </c>
      <c r="AE1235">
        <f>IFERROR(INDEX(PP_Grid[#Data],$DE1235,28),0)</f>
        <v/>
      </c>
      <c r="AF1235">
        <f>IFERROR(INDEX(PP_Grid[#Data],$DE1235,29),0)</f>
        <v/>
      </c>
      <c r="AG1235">
        <f>IFERROR(INDEX(PP_Grid[#Data],$DE1235,30),0)</f>
        <v/>
      </c>
      <c r="AH1235">
        <f>IFERROR(INDEX(PP_Grid[#Data],$DE1235,31),0)</f>
        <v/>
      </c>
      <c r="AI1235">
        <f>IFERROR(INDEX(PP_Grid[#Data],$DE1235,32),0)</f>
        <v/>
      </c>
      <c r="AJ1235">
        <f>IFERROR(INDEX(PP_Grid[#Data],$DE1235,33),0)</f>
        <v/>
      </c>
      <c r="AK1235">
        <f>IFERROR(INDEX(PP_Grid[#Data],$DE1235,34),0)</f>
        <v/>
      </c>
      <c r="AL1235">
        <f>IFERROR(INDEX(PP_Grid[#Data],$DE1235,35),0)</f>
        <v/>
      </c>
      <c r="AM1235">
        <f>IFERROR(INDEX(PP_Grid[#Data],$DE1235,36),0)</f>
        <v/>
      </c>
      <c r="AN1235">
        <f>IFERROR(INDEX(PP_Grid[#Data],$DE1235,37),0)</f>
        <v/>
      </c>
      <c r="AO1235">
        <f>IFERROR(INDEX(PP_Grid[#Data],$DE1235,38),0)</f>
        <v/>
      </c>
      <c r="AP1235">
        <f>IFERROR(INDEX(PP_Grid[#Data],$DE1235,39),0)</f>
        <v/>
      </c>
      <c r="AQ1235">
        <f>IFERROR(INDEX(PP_Grid[#Data],$DE1235,40),0)</f>
        <v/>
      </c>
      <c r="AR1235">
        <f>IFERROR(INDEX(PP_Grid[#Data],$DE1235,41),0)</f>
        <v/>
      </c>
      <c r="AS1235">
        <f>IFERROR(INDEX(PP_Grid[#Data],$DE1235,42),0)</f>
        <v/>
      </c>
      <c r="AT1235">
        <f>IFERROR(INDEX(PP_Grid[#Data],$DE1235,43),0)</f>
        <v/>
      </c>
      <c r="AU1235">
        <f>IFERROR(INDEX(PP_Grid[#Data],$DE1235,44),0)</f>
        <v/>
      </c>
      <c r="AV1235">
        <f>IFERROR(INDEX(PP_Grid[#Data],$DE1235,45),0)</f>
        <v/>
      </c>
      <c r="AW1235">
        <f>IFERROR(INDEX(PP_Grid[#Data],$DE1235,46),0)</f>
        <v/>
      </c>
      <c r="AX1235">
        <f>IFERROR(INDEX(PP_Grid[#Data],$DE1235,47),0)</f>
        <v/>
      </c>
      <c r="AY1235">
        <f>IFERROR(INDEX(PP_Grid[#Data],$DE1235,48),0)</f>
        <v/>
      </c>
      <c r="AZ1235">
        <f>IFERROR(INDEX(PP_Grid[#Data],$DE1235,49),0)</f>
        <v/>
      </c>
      <c r="BA1235">
        <f>IFERROR(INDEX(PP_Grid[#Data],$DE1235,50),0)</f>
        <v/>
      </c>
      <c r="BB1235">
        <f>IFERROR(INDEX(PP_Grid[#Data],$DE1235,51),0)</f>
        <v/>
      </c>
      <c r="BC1235">
        <f>IFERROR(INDEX(PP_Grid[#Data],$DE1235,52),0)</f>
        <v/>
      </c>
      <c r="BD1235">
        <f>IFERROR(INDEX(PP_Grid[#Data],$DE1235,53),0)</f>
        <v/>
      </c>
      <c r="BE1235">
        <f>IFERROR(INDEX(PP_Grid[#Data],$DE1235,54),0)</f>
        <v/>
      </c>
      <c r="BF1235">
        <f>IFERROR(INDEX(PP_Grid[#Data],$DE1235,55),0)</f>
        <v/>
      </c>
      <c r="BG1235">
        <f>IFERROR(INDEX(PP_Grid[#Data],$DE1235,56),0)</f>
        <v/>
      </c>
      <c r="BH1235">
        <f>IFERROR(INDEX(PP_Grid[#Data],$DE1235,57),0)</f>
        <v/>
      </c>
      <c r="BI1235">
        <f>IFERROR(INDEX(PP_Grid[#Data],$DE1235,58),0)</f>
        <v/>
      </c>
      <c r="BJ1235">
        <f>IFERROR(INDEX(PP_Grid[#Data],$DE1235,59),0)</f>
        <v/>
      </c>
      <c r="BK1235">
        <f>IFERROR(INDEX(PP_Grid[#Data],$DE1235,60),0)</f>
        <v/>
      </c>
      <c r="BL1235">
        <f>IFERROR(INDEX(PP_Grid[#Data],$DE1235,61),0)</f>
        <v/>
      </c>
      <c r="BM1235">
        <f>IFERROR(INDEX(PP_Grid[#Data],$DE1235,62),0)</f>
        <v/>
      </c>
      <c r="BN1235">
        <f>IFERROR(INDEX(PP_Grid[#Data],$DE1235,63),0)</f>
        <v/>
      </c>
      <c r="BO1235">
        <f>IFERROR(INDEX(PP_Grid[#Data],$DE1235,64),0)</f>
        <v/>
      </c>
      <c r="BP1235">
        <f>IFERROR(INDEX(PP_Grid[#Data],$DE1235,65),0)</f>
        <v/>
      </c>
      <c r="BQ1235">
        <f>IFERROR(INDEX(PP_Grid[#Data],$DE1235,66),0)</f>
        <v/>
      </c>
      <c r="BR1235">
        <f>IFERROR(INDEX(PP_Grid[#Data],$DE1235,67),0)</f>
        <v/>
      </c>
      <c r="BS1235">
        <f>IFERROR(INDEX(PP_Grid[#Data],$DE1235,68),0)</f>
        <v/>
      </c>
      <c r="BT1235">
        <f>IFERROR(INDEX(PP_Grid[#Data],$DE1235,69),0)</f>
        <v/>
      </c>
      <c r="BU1235">
        <f>IFERROR(INDEX(PP_Grid[#Data],$DE1235,70),0)</f>
        <v/>
      </c>
      <c r="BV1235">
        <f>IFERROR(INDEX(PP_Grid[#Data],$DE1235,71),0)</f>
        <v/>
      </c>
      <c r="BW1235">
        <f>IFERROR(INDEX(PP_Grid[#Data],$DE1235,72),0)</f>
        <v/>
      </c>
      <c r="BX1235">
        <f>IFERROR(INDEX(PP_Grid[#Data],$DE1235,73),0)</f>
        <v/>
      </c>
      <c r="BY1235">
        <f>IFERROR(INDEX(PP_Grid[#Data],$DE1235,74),0)</f>
        <v/>
      </c>
      <c r="BZ1235">
        <f>IFERROR(INDEX(PP_Grid[#Data],$DE1235,75),0)</f>
        <v/>
      </c>
      <c r="CA1235">
        <f>IFERROR(INDEX(PP_Grid[#Data],$DE1235,76),0)</f>
        <v/>
      </c>
      <c r="CB1235">
        <f>IFERROR(INDEX(PP_Grid[#Data],$DE1235,77),0)</f>
        <v/>
      </c>
      <c r="CC1235">
        <f>IFERROR(INDEX(PP_Grid[#Data],$DE1235,78),0)</f>
        <v/>
      </c>
      <c r="CD1235">
        <f>IFERROR(INDEX(PP_Grid[#Data],$DE1235,79),0)</f>
        <v/>
      </c>
      <c r="CE1235">
        <f>IFERROR(INDEX(PP_Grid[#Data],$DE1235,80),0)</f>
        <v/>
      </c>
      <c r="CF1235">
        <f>IFERROR(INDEX(PP_Grid[#Data],$DE1235,81),0)</f>
        <v/>
      </c>
      <c r="CG1235">
        <f>IFERROR(INDEX(PP_Grid[#Data],$DE1235,82),0)</f>
        <v/>
      </c>
      <c r="CH1235">
        <f>IFERROR(INDEX(PP_Grid[#Data],$DE1235,83),0)</f>
        <v/>
      </c>
      <c r="CI1235">
        <f>IFERROR(INDEX(PP_Grid[#Data],$DE1235,84),0)</f>
        <v/>
      </c>
      <c r="CJ1235">
        <f>IFERROR(INDEX(PP_Grid[#Data],$DE1235,85),0)</f>
        <v/>
      </c>
      <c r="CK1235">
        <f>IFERROR(INDEX(PP_Grid[#Data],$DE1235,86),0)</f>
        <v/>
      </c>
      <c r="CL1235">
        <f>IFERROR(INDEX(PP_Grid[#Data],$DE1235,87),0)</f>
        <v/>
      </c>
      <c r="CM1235">
        <f>IFERROR(INDEX(PP_Grid[#Data],$DE1235,88),0)</f>
        <v/>
      </c>
      <c r="CN1235">
        <f>IFERROR(INDEX(PP_Grid[#Data],$DE1235,89),0)</f>
        <v/>
      </c>
      <c r="CO1235">
        <f>IFERROR(INDEX(PP_Grid[#Data],$DE1235,90),0)</f>
        <v/>
      </c>
      <c r="CP1235">
        <f>IFERROR(INDEX(PP_Grid[#Data],$DE1235,91),0)</f>
        <v/>
      </c>
      <c r="CQ1235">
        <f>IFERROR(INDEX(PP_Grid[#Data],$DE1235,92),0)</f>
        <v/>
      </c>
      <c r="CR1235">
        <f>IFERROR(INDEX(PP_Grid[#Data],$DE1235,93),0)</f>
        <v/>
      </c>
      <c r="CS1235">
        <f>IFERROR(INDEX(PP_Grid[#Data],$DE1235,94),0)</f>
        <v/>
      </c>
      <c r="CT1235">
        <f>IFERROR(INDEX(PP_Grid[#Data],$DE1235,95),0)</f>
        <v/>
      </c>
      <c r="CU1235">
        <f>IFERROR(INDEX(PP_Grid[#Data],$DE1235,96),0)</f>
        <v/>
      </c>
      <c r="CV1235">
        <f>IFERROR(INDEX(PP_Grid[#Data],$DE1235,97),0)</f>
        <v/>
      </c>
      <c r="CW1235">
        <f>IFERROR(INDEX(PP_Grid[#Data],$DE1235,98),0)</f>
        <v/>
      </c>
      <c r="CX1235">
        <f>IFERROR(INDEX(PP_Grid[#Data],$DE1235,99),0)</f>
        <v/>
      </c>
      <c r="CY1235">
        <f>IFERROR(INDEX(PP_Grid[#Data],$DE1235,100),0)</f>
        <v/>
      </c>
      <c r="CZ1235">
        <f>IFERROR(INDEX(PP_Grid[#Data],$DE1235,101),0)</f>
        <v/>
      </c>
      <c r="DA1235">
        <f>IFERROR(INDEX(PP_Grid[#Data],$DE1235,102),0)</f>
        <v/>
      </c>
      <c r="DB1235">
        <f>IFERROR(INDEX(PP_Grid[#Data],$DE1235,103),0)</f>
        <v/>
      </c>
      <c r="DC1235">
        <f>IFERROR(INDEX(PP_Grid[#Data],$DE1235,104),0)</f>
        <v/>
      </c>
      <c r="DD1235">
        <f>IFERROR(INDEX(PP_Grid[#Data],$DE1235,105),0)</f>
        <v/>
      </c>
      <c r="DE1235" s="7">
        <f>IFERROR(MATCH($B1235,PP_Grid[Intermediate],0),99999)</f>
        <v/>
      </c>
    </row>
    <row r="1236">
      <c r="B1236" t="inlineStr">
        <is>
          <t>使用量(kg)</t>
        </is>
      </c>
      <c r="C1236">
        <f>SUMIFS(M_BOM[RM_Qty_Per_Batch],M_BOM[Intermediate],$B1235,M_BOM[RM_Code],$A1222)</f>
        <v/>
      </c>
      <c r="D1236">
        <f>IFERROR(INDEX(E1236:DD1236,$F$1),"")</f>
        <v/>
      </c>
      <c r="E1236">
        <f>$C1236*E1235</f>
        <v/>
      </c>
      <c r="F1236">
        <f>$C1236*F1235</f>
        <v/>
      </c>
      <c r="G1236">
        <f>$C1236*G1235</f>
        <v/>
      </c>
      <c r="H1236">
        <f>$C1236*H1235</f>
        <v/>
      </c>
      <c r="I1236">
        <f>$C1236*I1235</f>
        <v/>
      </c>
      <c r="J1236">
        <f>$C1236*J1235</f>
        <v/>
      </c>
      <c r="K1236">
        <f>$C1236*K1235</f>
        <v/>
      </c>
      <c r="L1236">
        <f>$C1236*L1235</f>
        <v/>
      </c>
      <c r="M1236">
        <f>$C1236*M1235</f>
        <v/>
      </c>
      <c r="N1236">
        <f>$C1236*N1235</f>
        <v/>
      </c>
      <c r="O1236">
        <f>$C1236*O1235</f>
        <v/>
      </c>
      <c r="P1236">
        <f>$C1236*P1235</f>
        <v/>
      </c>
      <c r="Q1236">
        <f>$C1236*Q1235</f>
        <v/>
      </c>
      <c r="R1236">
        <f>$C1236*R1235</f>
        <v/>
      </c>
      <c r="S1236">
        <f>$C1236*S1235</f>
        <v/>
      </c>
      <c r="T1236">
        <f>$C1236*T1235</f>
        <v/>
      </c>
      <c r="U1236">
        <f>$C1236*U1235</f>
        <v/>
      </c>
      <c r="V1236">
        <f>$C1236*V1235</f>
        <v/>
      </c>
      <c r="W1236">
        <f>$C1236*W1235</f>
        <v/>
      </c>
      <c r="X1236">
        <f>$C1236*X1235</f>
        <v/>
      </c>
      <c r="Y1236">
        <f>$C1236*Y1235</f>
        <v/>
      </c>
      <c r="Z1236">
        <f>$C1236*Z1235</f>
        <v/>
      </c>
      <c r="AA1236">
        <f>$C1236*AA1235</f>
        <v/>
      </c>
      <c r="AB1236">
        <f>$C1236*AB1235</f>
        <v/>
      </c>
      <c r="AC1236">
        <f>$C1236*AC1235</f>
        <v/>
      </c>
      <c r="AD1236">
        <f>$C1236*AD1235</f>
        <v/>
      </c>
      <c r="AE1236">
        <f>$C1236*AE1235</f>
        <v/>
      </c>
      <c r="AF1236">
        <f>$C1236*AF1235</f>
        <v/>
      </c>
      <c r="AG1236">
        <f>$C1236*AG1235</f>
        <v/>
      </c>
      <c r="AH1236">
        <f>$C1236*AH1235</f>
        <v/>
      </c>
      <c r="AI1236">
        <f>$C1236*AI1235</f>
        <v/>
      </c>
      <c r="AJ1236">
        <f>$C1236*AJ1235</f>
        <v/>
      </c>
      <c r="AK1236">
        <f>$C1236*AK1235</f>
        <v/>
      </c>
      <c r="AL1236">
        <f>$C1236*AL1235</f>
        <v/>
      </c>
      <c r="AM1236">
        <f>$C1236*AM1235</f>
        <v/>
      </c>
      <c r="AN1236">
        <f>$C1236*AN1235</f>
        <v/>
      </c>
      <c r="AO1236">
        <f>$C1236*AO1235</f>
        <v/>
      </c>
      <c r="AP1236">
        <f>$C1236*AP1235</f>
        <v/>
      </c>
      <c r="AQ1236">
        <f>$C1236*AQ1235</f>
        <v/>
      </c>
      <c r="AR1236">
        <f>$C1236*AR1235</f>
        <v/>
      </c>
      <c r="AS1236">
        <f>$C1236*AS1235</f>
        <v/>
      </c>
      <c r="AT1236">
        <f>$C1236*AT1235</f>
        <v/>
      </c>
      <c r="AU1236">
        <f>$C1236*AU1235</f>
        <v/>
      </c>
      <c r="AV1236">
        <f>$C1236*AV1235</f>
        <v/>
      </c>
      <c r="AW1236">
        <f>$C1236*AW1235</f>
        <v/>
      </c>
      <c r="AX1236">
        <f>$C1236*AX1235</f>
        <v/>
      </c>
      <c r="AY1236">
        <f>$C1236*AY1235</f>
        <v/>
      </c>
      <c r="AZ1236">
        <f>$C1236*AZ1235</f>
        <v/>
      </c>
      <c r="BA1236">
        <f>$C1236*BA1235</f>
        <v/>
      </c>
      <c r="BB1236">
        <f>$C1236*BB1235</f>
        <v/>
      </c>
      <c r="BC1236">
        <f>$C1236*BC1235</f>
        <v/>
      </c>
      <c r="BD1236">
        <f>$C1236*BD1235</f>
        <v/>
      </c>
      <c r="BE1236">
        <f>$C1236*BE1235</f>
        <v/>
      </c>
      <c r="BF1236">
        <f>$C1236*BF1235</f>
        <v/>
      </c>
      <c r="BG1236">
        <f>$C1236*BG1235</f>
        <v/>
      </c>
      <c r="BH1236">
        <f>$C1236*BH1235</f>
        <v/>
      </c>
      <c r="BI1236">
        <f>$C1236*BI1235</f>
        <v/>
      </c>
      <c r="BJ1236">
        <f>$C1236*BJ1235</f>
        <v/>
      </c>
      <c r="BK1236">
        <f>$C1236*BK1235</f>
        <v/>
      </c>
      <c r="BL1236">
        <f>$C1236*BL1235</f>
        <v/>
      </c>
      <c r="BM1236">
        <f>$C1236*BM1235</f>
        <v/>
      </c>
      <c r="BN1236">
        <f>$C1236*BN1235</f>
        <v/>
      </c>
      <c r="BO1236">
        <f>$C1236*BO1235</f>
        <v/>
      </c>
      <c r="BP1236">
        <f>$C1236*BP1235</f>
        <v/>
      </c>
      <c r="BQ1236">
        <f>$C1236*BQ1235</f>
        <v/>
      </c>
      <c r="BR1236">
        <f>$C1236*BR1235</f>
        <v/>
      </c>
      <c r="BS1236">
        <f>$C1236*BS1235</f>
        <v/>
      </c>
      <c r="BT1236">
        <f>$C1236*BT1235</f>
        <v/>
      </c>
      <c r="BU1236">
        <f>$C1236*BU1235</f>
        <v/>
      </c>
      <c r="BV1236">
        <f>$C1236*BV1235</f>
        <v/>
      </c>
      <c r="BW1236">
        <f>$C1236*BW1235</f>
        <v/>
      </c>
      <c r="BX1236">
        <f>$C1236*BX1235</f>
        <v/>
      </c>
      <c r="BY1236">
        <f>$C1236*BY1235</f>
        <v/>
      </c>
      <c r="BZ1236">
        <f>$C1236*BZ1235</f>
        <v/>
      </c>
      <c r="CA1236">
        <f>$C1236*CA1235</f>
        <v/>
      </c>
      <c r="CB1236">
        <f>$C1236*CB1235</f>
        <v/>
      </c>
      <c r="CC1236">
        <f>$C1236*CC1235</f>
        <v/>
      </c>
      <c r="CD1236">
        <f>$C1236*CD1235</f>
        <v/>
      </c>
      <c r="CE1236">
        <f>$C1236*CE1235</f>
        <v/>
      </c>
      <c r="CF1236">
        <f>$C1236*CF1235</f>
        <v/>
      </c>
      <c r="CG1236">
        <f>$C1236*CG1235</f>
        <v/>
      </c>
      <c r="CH1236">
        <f>$C1236*CH1235</f>
        <v/>
      </c>
      <c r="CI1236">
        <f>$C1236*CI1235</f>
        <v/>
      </c>
      <c r="CJ1236">
        <f>$C1236*CJ1235</f>
        <v/>
      </c>
      <c r="CK1236">
        <f>$C1236*CK1235</f>
        <v/>
      </c>
      <c r="CL1236">
        <f>$C1236*CL1235</f>
        <v/>
      </c>
      <c r="CM1236">
        <f>$C1236*CM1235</f>
        <v/>
      </c>
      <c r="CN1236">
        <f>$C1236*CN1235</f>
        <v/>
      </c>
      <c r="CO1236">
        <f>$C1236*CO1235</f>
        <v/>
      </c>
      <c r="CP1236">
        <f>$C1236*CP1235</f>
        <v/>
      </c>
      <c r="CQ1236">
        <f>$C1236*CQ1235</f>
        <v/>
      </c>
      <c r="CR1236">
        <f>$C1236*CR1235</f>
        <v/>
      </c>
      <c r="CS1236">
        <f>$C1236*CS1235</f>
        <v/>
      </c>
      <c r="CT1236">
        <f>$C1236*CT1235</f>
        <v/>
      </c>
      <c r="CU1236">
        <f>$C1236*CU1235</f>
        <v/>
      </c>
      <c r="CV1236">
        <f>$C1236*CV1235</f>
        <v/>
      </c>
      <c r="CW1236">
        <f>$C1236*CW1235</f>
        <v/>
      </c>
      <c r="CX1236">
        <f>$C1236*CX1235</f>
        <v/>
      </c>
      <c r="CY1236">
        <f>$C1236*CY1235</f>
        <v/>
      </c>
      <c r="CZ1236">
        <f>$C1236*CZ1235</f>
        <v/>
      </c>
      <c r="DA1236">
        <f>$C1236*DA1235</f>
        <v/>
      </c>
      <c r="DB1236">
        <f>$C1236*DB1235</f>
        <v/>
      </c>
      <c r="DC1236">
        <f>$C1236*DC1235</f>
        <v/>
      </c>
      <c r="DD1236">
        <f>$C1236*DD1235</f>
        <v/>
      </c>
    </row>
    <row r="1237">
      <c r="B1237" t="inlineStr">
        <is>
          <t>TSP-903</t>
        </is>
      </c>
      <c r="C1237" t="inlineStr">
        <is>
          <t>No. of batches</t>
        </is>
      </c>
      <c r="D1237">
        <f>IFERROR(INDEX(E1237:DD1237,$F$1),"")</f>
        <v/>
      </c>
      <c r="E1237">
        <f>IFERROR(INDEX(PP_Grid[#Data],$DE1237,2),0)</f>
        <v/>
      </c>
      <c r="F1237">
        <f>IFERROR(INDEX(PP_Grid[#Data],$DE1237,3),0)</f>
        <v/>
      </c>
      <c r="G1237">
        <f>IFERROR(INDEX(PP_Grid[#Data],$DE1237,4),0)</f>
        <v/>
      </c>
      <c r="H1237">
        <f>IFERROR(INDEX(PP_Grid[#Data],$DE1237,5),0)</f>
        <v/>
      </c>
      <c r="I1237">
        <f>IFERROR(INDEX(PP_Grid[#Data],$DE1237,6),0)</f>
        <v/>
      </c>
      <c r="J1237">
        <f>IFERROR(INDEX(PP_Grid[#Data],$DE1237,7),0)</f>
        <v/>
      </c>
      <c r="K1237">
        <f>IFERROR(INDEX(PP_Grid[#Data],$DE1237,8),0)</f>
        <v/>
      </c>
      <c r="L1237">
        <f>IFERROR(INDEX(PP_Grid[#Data],$DE1237,9),0)</f>
        <v/>
      </c>
      <c r="M1237">
        <f>IFERROR(INDEX(PP_Grid[#Data],$DE1237,10),0)</f>
        <v/>
      </c>
      <c r="N1237">
        <f>IFERROR(INDEX(PP_Grid[#Data],$DE1237,11),0)</f>
        <v/>
      </c>
      <c r="O1237">
        <f>IFERROR(INDEX(PP_Grid[#Data],$DE1237,12),0)</f>
        <v/>
      </c>
      <c r="P1237">
        <f>IFERROR(INDEX(PP_Grid[#Data],$DE1237,13),0)</f>
        <v/>
      </c>
      <c r="Q1237">
        <f>IFERROR(INDEX(PP_Grid[#Data],$DE1237,14),0)</f>
        <v/>
      </c>
      <c r="R1237">
        <f>IFERROR(INDEX(PP_Grid[#Data],$DE1237,15),0)</f>
        <v/>
      </c>
      <c r="S1237">
        <f>IFERROR(INDEX(PP_Grid[#Data],$DE1237,16),0)</f>
        <v/>
      </c>
      <c r="T1237">
        <f>IFERROR(INDEX(PP_Grid[#Data],$DE1237,17),0)</f>
        <v/>
      </c>
      <c r="U1237">
        <f>IFERROR(INDEX(PP_Grid[#Data],$DE1237,18),0)</f>
        <v/>
      </c>
      <c r="V1237">
        <f>IFERROR(INDEX(PP_Grid[#Data],$DE1237,19),0)</f>
        <v/>
      </c>
      <c r="W1237">
        <f>IFERROR(INDEX(PP_Grid[#Data],$DE1237,20),0)</f>
        <v/>
      </c>
      <c r="X1237">
        <f>IFERROR(INDEX(PP_Grid[#Data],$DE1237,21),0)</f>
        <v/>
      </c>
      <c r="Y1237">
        <f>IFERROR(INDEX(PP_Grid[#Data],$DE1237,22),0)</f>
        <v/>
      </c>
      <c r="Z1237">
        <f>IFERROR(INDEX(PP_Grid[#Data],$DE1237,23),0)</f>
        <v/>
      </c>
      <c r="AA1237">
        <f>IFERROR(INDEX(PP_Grid[#Data],$DE1237,24),0)</f>
        <v/>
      </c>
      <c r="AB1237">
        <f>IFERROR(INDEX(PP_Grid[#Data],$DE1237,25),0)</f>
        <v/>
      </c>
      <c r="AC1237">
        <f>IFERROR(INDEX(PP_Grid[#Data],$DE1237,26),0)</f>
        <v/>
      </c>
      <c r="AD1237">
        <f>IFERROR(INDEX(PP_Grid[#Data],$DE1237,27),0)</f>
        <v/>
      </c>
      <c r="AE1237">
        <f>IFERROR(INDEX(PP_Grid[#Data],$DE1237,28),0)</f>
        <v/>
      </c>
      <c r="AF1237">
        <f>IFERROR(INDEX(PP_Grid[#Data],$DE1237,29),0)</f>
        <v/>
      </c>
      <c r="AG1237">
        <f>IFERROR(INDEX(PP_Grid[#Data],$DE1237,30),0)</f>
        <v/>
      </c>
      <c r="AH1237">
        <f>IFERROR(INDEX(PP_Grid[#Data],$DE1237,31),0)</f>
        <v/>
      </c>
      <c r="AI1237">
        <f>IFERROR(INDEX(PP_Grid[#Data],$DE1237,32),0)</f>
        <v/>
      </c>
      <c r="AJ1237">
        <f>IFERROR(INDEX(PP_Grid[#Data],$DE1237,33),0)</f>
        <v/>
      </c>
      <c r="AK1237">
        <f>IFERROR(INDEX(PP_Grid[#Data],$DE1237,34),0)</f>
        <v/>
      </c>
      <c r="AL1237">
        <f>IFERROR(INDEX(PP_Grid[#Data],$DE1237,35),0)</f>
        <v/>
      </c>
      <c r="AM1237">
        <f>IFERROR(INDEX(PP_Grid[#Data],$DE1237,36),0)</f>
        <v/>
      </c>
      <c r="AN1237">
        <f>IFERROR(INDEX(PP_Grid[#Data],$DE1237,37),0)</f>
        <v/>
      </c>
      <c r="AO1237">
        <f>IFERROR(INDEX(PP_Grid[#Data],$DE1237,38),0)</f>
        <v/>
      </c>
      <c r="AP1237">
        <f>IFERROR(INDEX(PP_Grid[#Data],$DE1237,39),0)</f>
        <v/>
      </c>
      <c r="AQ1237">
        <f>IFERROR(INDEX(PP_Grid[#Data],$DE1237,40),0)</f>
        <v/>
      </c>
      <c r="AR1237">
        <f>IFERROR(INDEX(PP_Grid[#Data],$DE1237,41),0)</f>
        <v/>
      </c>
      <c r="AS1237">
        <f>IFERROR(INDEX(PP_Grid[#Data],$DE1237,42),0)</f>
        <v/>
      </c>
      <c r="AT1237">
        <f>IFERROR(INDEX(PP_Grid[#Data],$DE1237,43),0)</f>
        <v/>
      </c>
      <c r="AU1237">
        <f>IFERROR(INDEX(PP_Grid[#Data],$DE1237,44),0)</f>
        <v/>
      </c>
      <c r="AV1237">
        <f>IFERROR(INDEX(PP_Grid[#Data],$DE1237,45),0)</f>
        <v/>
      </c>
      <c r="AW1237">
        <f>IFERROR(INDEX(PP_Grid[#Data],$DE1237,46),0)</f>
        <v/>
      </c>
      <c r="AX1237">
        <f>IFERROR(INDEX(PP_Grid[#Data],$DE1237,47),0)</f>
        <v/>
      </c>
      <c r="AY1237">
        <f>IFERROR(INDEX(PP_Grid[#Data],$DE1237,48),0)</f>
        <v/>
      </c>
      <c r="AZ1237">
        <f>IFERROR(INDEX(PP_Grid[#Data],$DE1237,49),0)</f>
        <v/>
      </c>
      <c r="BA1237">
        <f>IFERROR(INDEX(PP_Grid[#Data],$DE1237,50),0)</f>
        <v/>
      </c>
      <c r="BB1237">
        <f>IFERROR(INDEX(PP_Grid[#Data],$DE1237,51),0)</f>
        <v/>
      </c>
      <c r="BC1237">
        <f>IFERROR(INDEX(PP_Grid[#Data],$DE1237,52),0)</f>
        <v/>
      </c>
      <c r="BD1237">
        <f>IFERROR(INDEX(PP_Grid[#Data],$DE1237,53),0)</f>
        <v/>
      </c>
      <c r="BE1237">
        <f>IFERROR(INDEX(PP_Grid[#Data],$DE1237,54),0)</f>
        <v/>
      </c>
      <c r="BF1237">
        <f>IFERROR(INDEX(PP_Grid[#Data],$DE1237,55),0)</f>
        <v/>
      </c>
      <c r="BG1237">
        <f>IFERROR(INDEX(PP_Grid[#Data],$DE1237,56),0)</f>
        <v/>
      </c>
      <c r="BH1237">
        <f>IFERROR(INDEX(PP_Grid[#Data],$DE1237,57),0)</f>
        <v/>
      </c>
      <c r="BI1237">
        <f>IFERROR(INDEX(PP_Grid[#Data],$DE1237,58),0)</f>
        <v/>
      </c>
      <c r="BJ1237">
        <f>IFERROR(INDEX(PP_Grid[#Data],$DE1237,59),0)</f>
        <v/>
      </c>
      <c r="BK1237">
        <f>IFERROR(INDEX(PP_Grid[#Data],$DE1237,60),0)</f>
        <v/>
      </c>
      <c r="BL1237">
        <f>IFERROR(INDEX(PP_Grid[#Data],$DE1237,61),0)</f>
        <v/>
      </c>
      <c r="BM1237">
        <f>IFERROR(INDEX(PP_Grid[#Data],$DE1237,62),0)</f>
        <v/>
      </c>
      <c r="BN1237">
        <f>IFERROR(INDEX(PP_Grid[#Data],$DE1237,63),0)</f>
        <v/>
      </c>
      <c r="BO1237">
        <f>IFERROR(INDEX(PP_Grid[#Data],$DE1237,64),0)</f>
        <v/>
      </c>
      <c r="BP1237">
        <f>IFERROR(INDEX(PP_Grid[#Data],$DE1237,65),0)</f>
        <v/>
      </c>
      <c r="BQ1237">
        <f>IFERROR(INDEX(PP_Grid[#Data],$DE1237,66),0)</f>
        <v/>
      </c>
      <c r="BR1237">
        <f>IFERROR(INDEX(PP_Grid[#Data],$DE1237,67),0)</f>
        <v/>
      </c>
      <c r="BS1237">
        <f>IFERROR(INDEX(PP_Grid[#Data],$DE1237,68),0)</f>
        <v/>
      </c>
      <c r="BT1237">
        <f>IFERROR(INDEX(PP_Grid[#Data],$DE1237,69),0)</f>
        <v/>
      </c>
      <c r="BU1237">
        <f>IFERROR(INDEX(PP_Grid[#Data],$DE1237,70),0)</f>
        <v/>
      </c>
      <c r="BV1237">
        <f>IFERROR(INDEX(PP_Grid[#Data],$DE1237,71),0)</f>
        <v/>
      </c>
      <c r="BW1237">
        <f>IFERROR(INDEX(PP_Grid[#Data],$DE1237,72),0)</f>
        <v/>
      </c>
      <c r="BX1237">
        <f>IFERROR(INDEX(PP_Grid[#Data],$DE1237,73),0)</f>
        <v/>
      </c>
      <c r="BY1237">
        <f>IFERROR(INDEX(PP_Grid[#Data],$DE1237,74),0)</f>
        <v/>
      </c>
      <c r="BZ1237">
        <f>IFERROR(INDEX(PP_Grid[#Data],$DE1237,75),0)</f>
        <v/>
      </c>
      <c r="CA1237">
        <f>IFERROR(INDEX(PP_Grid[#Data],$DE1237,76),0)</f>
        <v/>
      </c>
      <c r="CB1237">
        <f>IFERROR(INDEX(PP_Grid[#Data],$DE1237,77),0)</f>
        <v/>
      </c>
      <c r="CC1237">
        <f>IFERROR(INDEX(PP_Grid[#Data],$DE1237,78),0)</f>
        <v/>
      </c>
      <c r="CD1237">
        <f>IFERROR(INDEX(PP_Grid[#Data],$DE1237,79),0)</f>
        <v/>
      </c>
      <c r="CE1237">
        <f>IFERROR(INDEX(PP_Grid[#Data],$DE1237,80),0)</f>
        <v/>
      </c>
      <c r="CF1237">
        <f>IFERROR(INDEX(PP_Grid[#Data],$DE1237,81),0)</f>
        <v/>
      </c>
      <c r="CG1237">
        <f>IFERROR(INDEX(PP_Grid[#Data],$DE1237,82),0)</f>
        <v/>
      </c>
      <c r="CH1237">
        <f>IFERROR(INDEX(PP_Grid[#Data],$DE1237,83),0)</f>
        <v/>
      </c>
      <c r="CI1237">
        <f>IFERROR(INDEX(PP_Grid[#Data],$DE1237,84),0)</f>
        <v/>
      </c>
      <c r="CJ1237">
        <f>IFERROR(INDEX(PP_Grid[#Data],$DE1237,85),0)</f>
        <v/>
      </c>
      <c r="CK1237">
        <f>IFERROR(INDEX(PP_Grid[#Data],$DE1237,86),0)</f>
        <v/>
      </c>
      <c r="CL1237">
        <f>IFERROR(INDEX(PP_Grid[#Data],$DE1237,87),0)</f>
        <v/>
      </c>
      <c r="CM1237">
        <f>IFERROR(INDEX(PP_Grid[#Data],$DE1237,88),0)</f>
        <v/>
      </c>
      <c r="CN1237">
        <f>IFERROR(INDEX(PP_Grid[#Data],$DE1237,89),0)</f>
        <v/>
      </c>
      <c r="CO1237">
        <f>IFERROR(INDEX(PP_Grid[#Data],$DE1237,90),0)</f>
        <v/>
      </c>
      <c r="CP1237">
        <f>IFERROR(INDEX(PP_Grid[#Data],$DE1237,91),0)</f>
        <v/>
      </c>
      <c r="CQ1237">
        <f>IFERROR(INDEX(PP_Grid[#Data],$DE1237,92),0)</f>
        <v/>
      </c>
      <c r="CR1237">
        <f>IFERROR(INDEX(PP_Grid[#Data],$DE1237,93),0)</f>
        <v/>
      </c>
      <c r="CS1237">
        <f>IFERROR(INDEX(PP_Grid[#Data],$DE1237,94),0)</f>
        <v/>
      </c>
      <c r="CT1237">
        <f>IFERROR(INDEX(PP_Grid[#Data],$DE1237,95),0)</f>
        <v/>
      </c>
      <c r="CU1237">
        <f>IFERROR(INDEX(PP_Grid[#Data],$DE1237,96),0)</f>
        <v/>
      </c>
      <c r="CV1237">
        <f>IFERROR(INDEX(PP_Grid[#Data],$DE1237,97),0)</f>
        <v/>
      </c>
      <c r="CW1237">
        <f>IFERROR(INDEX(PP_Grid[#Data],$DE1237,98),0)</f>
        <v/>
      </c>
      <c r="CX1237">
        <f>IFERROR(INDEX(PP_Grid[#Data],$DE1237,99),0)</f>
        <v/>
      </c>
      <c r="CY1237">
        <f>IFERROR(INDEX(PP_Grid[#Data],$DE1237,100),0)</f>
        <v/>
      </c>
      <c r="CZ1237">
        <f>IFERROR(INDEX(PP_Grid[#Data],$DE1237,101),0)</f>
        <v/>
      </c>
      <c r="DA1237">
        <f>IFERROR(INDEX(PP_Grid[#Data],$DE1237,102),0)</f>
        <v/>
      </c>
      <c r="DB1237">
        <f>IFERROR(INDEX(PP_Grid[#Data],$DE1237,103),0)</f>
        <v/>
      </c>
      <c r="DC1237">
        <f>IFERROR(INDEX(PP_Grid[#Data],$DE1237,104),0)</f>
        <v/>
      </c>
      <c r="DD1237">
        <f>IFERROR(INDEX(PP_Grid[#Data],$DE1237,105),0)</f>
        <v/>
      </c>
      <c r="DE1237" s="7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SUMIFS(M_BOM[RM_Qty_Per_Batch],M_BOM[Intermediate],$B1237,M_BOM[RM_Code],$A1222)</f>
        <v/>
      </c>
      <c r="D1238">
        <f>IFERROR(INDEX(E1238:DD1238,$F$1),"")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  <c r="DD1238">
        <f>$C1238*DD1237</f>
        <v/>
      </c>
    </row>
    <row r="1239">
      <c r="B1239" t="inlineStr">
        <is>
          <t>TSP-934</t>
        </is>
      </c>
      <c r="C1239" t="inlineStr">
        <is>
          <t>No. of batches</t>
        </is>
      </c>
      <c r="D1239">
        <f>IFERROR(INDEX(E1239:DD1239,$F$1),"")</f>
        <v/>
      </c>
      <c r="E1239">
        <f>IFERROR(INDEX(PP_Grid[#Data],$DE1239,2),0)</f>
        <v/>
      </c>
      <c r="F1239">
        <f>IFERROR(INDEX(PP_Grid[#Data],$DE1239,3),0)</f>
        <v/>
      </c>
      <c r="G1239">
        <f>IFERROR(INDEX(PP_Grid[#Data],$DE1239,4),0)</f>
        <v/>
      </c>
      <c r="H1239">
        <f>IFERROR(INDEX(PP_Grid[#Data],$DE1239,5),0)</f>
        <v/>
      </c>
      <c r="I1239">
        <f>IFERROR(INDEX(PP_Grid[#Data],$DE1239,6),0)</f>
        <v/>
      </c>
      <c r="J1239">
        <f>IFERROR(INDEX(PP_Grid[#Data],$DE1239,7),0)</f>
        <v/>
      </c>
      <c r="K1239">
        <f>IFERROR(INDEX(PP_Grid[#Data],$DE1239,8),0)</f>
        <v/>
      </c>
      <c r="L1239">
        <f>IFERROR(INDEX(PP_Grid[#Data],$DE1239,9),0)</f>
        <v/>
      </c>
      <c r="M1239">
        <f>IFERROR(INDEX(PP_Grid[#Data],$DE1239,10),0)</f>
        <v/>
      </c>
      <c r="N1239">
        <f>IFERROR(INDEX(PP_Grid[#Data],$DE1239,11),0)</f>
        <v/>
      </c>
      <c r="O1239">
        <f>IFERROR(INDEX(PP_Grid[#Data],$DE1239,12),0)</f>
        <v/>
      </c>
      <c r="P1239">
        <f>IFERROR(INDEX(PP_Grid[#Data],$DE1239,13),0)</f>
        <v/>
      </c>
      <c r="Q1239">
        <f>IFERROR(INDEX(PP_Grid[#Data],$DE1239,14),0)</f>
        <v/>
      </c>
      <c r="R1239">
        <f>IFERROR(INDEX(PP_Grid[#Data],$DE1239,15),0)</f>
        <v/>
      </c>
      <c r="S1239">
        <f>IFERROR(INDEX(PP_Grid[#Data],$DE1239,16),0)</f>
        <v/>
      </c>
      <c r="T1239">
        <f>IFERROR(INDEX(PP_Grid[#Data],$DE1239,17),0)</f>
        <v/>
      </c>
      <c r="U1239">
        <f>IFERROR(INDEX(PP_Grid[#Data],$DE1239,18),0)</f>
        <v/>
      </c>
      <c r="V1239">
        <f>IFERROR(INDEX(PP_Grid[#Data],$DE1239,19),0)</f>
        <v/>
      </c>
      <c r="W1239">
        <f>IFERROR(INDEX(PP_Grid[#Data],$DE1239,20),0)</f>
        <v/>
      </c>
      <c r="X1239">
        <f>IFERROR(INDEX(PP_Grid[#Data],$DE1239,21),0)</f>
        <v/>
      </c>
      <c r="Y1239">
        <f>IFERROR(INDEX(PP_Grid[#Data],$DE1239,22),0)</f>
        <v/>
      </c>
      <c r="Z1239">
        <f>IFERROR(INDEX(PP_Grid[#Data],$DE1239,23),0)</f>
        <v/>
      </c>
      <c r="AA1239">
        <f>IFERROR(INDEX(PP_Grid[#Data],$DE1239,24),0)</f>
        <v/>
      </c>
      <c r="AB1239">
        <f>IFERROR(INDEX(PP_Grid[#Data],$DE1239,25),0)</f>
        <v/>
      </c>
      <c r="AC1239">
        <f>IFERROR(INDEX(PP_Grid[#Data],$DE1239,26),0)</f>
        <v/>
      </c>
      <c r="AD1239">
        <f>IFERROR(INDEX(PP_Grid[#Data],$DE1239,27),0)</f>
        <v/>
      </c>
      <c r="AE1239">
        <f>IFERROR(INDEX(PP_Grid[#Data],$DE1239,28),0)</f>
        <v/>
      </c>
      <c r="AF1239">
        <f>IFERROR(INDEX(PP_Grid[#Data],$DE1239,29),0)</f>
        <v/>
      </c>
      <c r="AG1239">
        <f>IFERROR(INDEX(PP_Grid[#Data],$DE1239,30),0)</f>
        <v/>
      </c>
      <c r="AH1239">
        <f>IFERROR(INDEX(PP_Grid[#Data],$DE1239,31),0)</f>
        <v/>
      </c>
      <c r="AI1239">
        <f>IFERROR(INDEX(PP_Grid[#Data],$DE1239,32),0)</f>
        <v/>
      </c>
      <c r="AJ1239">
        <f>IFERROR(INDEX(PP_Grid[#Data],$DE1239,33),0)</f>
        <v/>
      </c>
      <c r="AK1239">
        <f>IFERROR(INDEX(PP_Grid[#Data],$DE1239,34),0)</f>
        <v/>
      </c>
      <c r="AL1239">
        <f>IFERROR(INDEX(PP_Grid[#Data],$DE1239,35),0)</f>
        <v/>
      </c>
      <c r="AM1239">
        <f>IFERROR(INDEX(PP_Grid[#Data],$DE1239,36),0)</f>
        <v/>
      </c>
      <c r="AN1239">
        <f>IFERROR(INDEX(PP_Grid[#Data],$DE1239,37),0)</f>
        <v/>
      </c>
      <c r="AO1239">
        <f>IFERROR(INDEX(PP_Grid[#Data],$DE1239,38),0)</f>
        <v/>
      </c>
      <c r="AP1239">
        <f>IFERROR(INDEX(PP_Grid[#Data],$DE1239,39),0)</f>
        <v/>
      </c>
      <c r="AQ1239">
        <f>IFERROR(INDEX(PP_Grid[#Data],$DE1239,40),0)</f>
        <v/>
      </c>
      <c r="AR1239">
        <f>IFERROR(INDEX(PP_Grid[#Data],$DE1239,41),0)</f>
        <v/>
      </c>
      <c r="AS1239">
        <f>IFERROR(INDEX(PP_Grid[#Data],$DE1239,42),0)</f>
        <v/>
      </c>
      <c r="AT1239">
        <f>IFERROR(INDEX(PP_Grid[#Data],$DE1239,43),0)</f>
        <v/>
      </c>
      <c r="AU1239">
        <f>IFERROR(INDEX(PP_Grid[#Data],$DE1239,44),0)</f>
        <v/>
      </c>
      <c r="AV1239">
        <f>IFERROR(INDEX(PP_Grid[#Data],$DE1239,45),0)</f>
        <v/>
      </c>
      <c r="AW1239">
        <f>IFERROR(INDEX(PP_Grid[#Data],$DE1239,46),0)</f>
        <v/>
      </c>
      <c r="AX1239">
        <f>IFERROR(INDEX(PP_Grid[#Data],$DE1239,47),0)</f>
        <v/>
      </c>
      <c r="AY1239">
        <f>IFERROR(INDEX(PP_Grid[#Data],$DE1239,48),0)</f>
        <v/>
      </c>
      <c r="AZ1239">
        <f>IFERROR(INDEX(PP_Grid[#Data],$DE1239,49),0)</f>
        <v/>
      </c>
      <c r="BA1239">
        <f>IFERROR(INDEX(PP_Grid[#Data],$DE1239,50),0)</f>
        <v/>
      </c>
      <c r="BB1239">
        <f>IFERROR(INDEX(PP_Grid[#Data],$DE1239,51),0)</f>
        <v/>
      </c>
      <c r="BC1239">
        <f>IFERROR(INDEX(PP_Grid[#Data],$DE1239,52),0)</f>
        <v/>
      </c>
      <c r="BD1239">
        <f>IFERROR(INDEX(PP_Grid[#Data],$DE1239,53),0)</f>
        <v/>
      </c>
      <c r="BE1239">
        <f>IFERROR(INDEX(PP_Grid[#Data],$DE1239,54),0)</f>
        <v/>
      </c>
      <c r="BF1239">
        <f>IFERROR(INDEX(PP_Grid[#Data],$DE1239,55),0)</f>
        <v/>
      </c>
      <c r="BG1239">
        <f>IFERROR(INDEX(PP_Grid[#Data],$DE1239,56),0)</f>
        <v/>
      </c>
      <c r="BH1239">
        <f>IFERROR(INDEX(PP_Grid[#Data],$DE1239,57),0)</f>
        <v/>
      </c>
      <c r="BI1239">
        <f>IFERROR(INDEX(PP_Grid[#Data],$DE1239,58),0)</f>
        <v/>
      </c>
      <c r="BJ1239">
        <f>IFERROR(INDEX(PP_Grid[#Data],$DE1239,59),0)</f>
        <v/>
      </c>
      <c r="BK1239">
        <f>IFERROR(INDEX(PP_Grid[#Data],$DE1239,60),0)</f>
        <v/>
      </c>
      <c r="BL1239">
        <f>IFERROR(INDEX(PP_Grid[#Data],$DE1239,61),0)</f>
        <v/>
      </c>
      <c r="BM1239">
        <f>IFERROR(INDEX(PP_Grid[#Data],$DE1239,62),0)</f>
        <v/>
      </c>
      <c r="BN1239">
        <f>IFERROR(INDEX(PP_Grid[#Data],$DE1239,63),0)</f>
        <v/>
      </c>
      <c r="BO1239">
        <f>IFERROR(INDEX(PP_Grid[#Data],$DE1239,64),0)</f>
        <v/>
      </c>
      <c r="BP1239">
        <f>IFERROR(INDEX(PP_Grid[#Data],$DE1239,65),0)</f>
        <v/>
      </c>
      <c r="BQ1239">
        <f>IFERROR(INDEX(PP_Grid[#Data],$DE1239,66),0)</f>
        <v/>
      </c>
      <c r="BR1239">
        <f>IFERROR(INDEX(PP_Grid[#Data],$DE1239,67),0)</f>
        <v/>
      </c>
      <c r="BS1239">
        <f>IFERROR(INDEX(PP_Grid[#Data],$DE1239,68),0)</f>
        <v/>
      </c>
      <c r="BT1239">
        <f>IFERROR(INDEX(PP_Grid[#Data],$DE1239,69),0)</f>
        <v/>
      </c>
      <c r="BU1239">
        <f>IFERROR(INDEX(PP_Grid[#Data],$DE1239,70),0)</f>
        <v/>
      </c>
      <c r="BV1239">
        <f>IFERROR(INDEX(PP_Grid[#Data],$DE1239,71),0)</f>
        <v/>
      </c>
      <c r="BW1239">
        <f>IFERROR(INDEX(PP_Grid[#Data],$DE1239,72),0)</f>
        <v/>
      </c>
      <c r="BX1239">
        <f>IFERROR(INDEX(PP_Grid[#Data],$DE1239,73),0)</f>
        <v/>
      </c>
      <c r="BY1239">
        <f>IFERROR(INDEX(PP_Grid[#Data],$DE1239,74),0)</f>
        <v/>
      </c>
      <c r="BZ1239">
        <f>IFERROR(INDEX(PP_Grid[#Data],$DE1239,75),0)</f>
        <v/>
      </c>
      <c r="CA1239">
        <f>IFERROR(INDEX(PP_Grid[#Data],$DE1239,76),0)</f>
        <v/>
      </c>
      <c r="CB1239">
        <f>IFERROR(INDEX(PP_Grid[#Data],$DE1239,77),0)</f>
        <v/>
      </c>
      <c r="CC1239">
        <f>IFERROR(INDEX(PP_Grid[#Data],$DE1239,78),0)</f>
        <v/>
      </c>
      <c r="CD1239">
        <f>IFERROR(INDEX(PP_Grid[#Data],$DE1239,79),0)</f>
        <v/>
      </c>
      <c r="CE1239">
        <f>IFERROR(INDEX(PP_Grid[#Data],$DE1239,80),0)</f>
        <v/>
      </c>
      <c r="CF1239">
        <f>IFERROR(INDEX(PP_Grid[#Data],$DE1239,81),0)</f>
        <v/>
      </c>
      <c r="CG1239">
        <f>IFERROR(INDEX(PP_Grid[#Data],$DE1239,82),0)</f>
        <v/>
      </c>
      <c r="CH1239">
        <f>IFERROR(INDEX(PP_Grid[#Data],$DE1239,83),0)</f>
        <v/>
      </c>
      <c r="CI1239">
        <f>IFERROR(INDEX(PP_Grid[#Data],$DE1239,84),0)</f>
        <v/>
      </c>
      <c r="CJ1239">
        <f>IFERROR(INDEX(PP_Grid[#Data],$DE1239,85),0)</f>
        <v/>
      </c>
      <c r="CK1239">
        <f>IFERROR(INDEX(PP_Grid[#Data],$DE1239,86),0)</f>
        <v/>
      </c>
      <c r="CL1239">
        <f>IFERROR(INDEX(PP_Grid[#Data],$DE1239,87),0)</f>
        <v/>
      </c>
      <c r="CM1239">
        <f>IFERROR(INDEX(PP_Grid[#Data],$DE1239,88),0)</f>
        <v/>
      </c>
      <c r="CN1239">
        <f>IFERROR(INDEX(PP_Grid[#Data],$DE1239,89),0)</f>
        <v/>
      </c>
      <c r="CO1239">
        <f>IFERROR(INDEX(PP_Grid[#Data],$DE1239,90),0)</f>
        <v/>
      </c>
      <c r="CP1239">
        <f>IFERROR(INDEX(PP_Grid[#Data],$DE1239,91),0)</f>
        <v/>
      </c>
      <c r="CQ1239">
        <f>IFERROR(INDEX(PP_Grid[#Data],$DE1239,92),0)</f>
        <v/>
      </c>
      <c r="CR1239">
        <f>IFERROR(INDEX(PP_Grid[#Data],$DE1239,93),0)</f>
        <v/>
      </c>
      <c r="CS1239">
        <f>IFERROR(INDEX(PP_Grid[#Data],$DE1239,94),0)</f>
        <v/>
      </c>
      <c r="CT1239">
        <f>IFERROR(INDEX(PP_Grid[#Data],$DE1239,95),0)</f>
        <v/>
      </c>
      <c r="CU1239">
        <f>IFERROR(INDEX(PP_Grid[#Data],$DE1239,96),0)</f>
        <v/>
      </c>
      <c r="CV1239">
        <f>IFERROR(INDEX(PP_Grid[#Data],$DE1239,97),0)</f>
        <v/>
      </c>
      <c r="CW1239">
        <f>IFERROR(INDEX(PP_Grid[#Data],$DE1239,98),0)</f>
        <v/>
      </c>
      <c r="CX1239">
        <f>IFERROR(INDEX(PP_Grid[#Data],$DE1239,99),0)</f>
        <v/>
      </c>
      <c r="CY1239">
        <f>IFERROR(INDEX(PP_Grid[#Data],$DE1239,100),0)</f>
        <v/>
      </c>
      <c r="CZ1239">
        <f>IFERROR(INDEX(PP_Grid[#Data],$DE1239,101),0)</f>
        <v/>
      </c>
      <c r="DA1239">
        <f>IFERROR(INDEX(PP_Grid[#Data],$DE1239,102),0)</f>
        <v/>
      </c>
      <c r="DB1239">
        <f>IFERROR(INDEX(PP_Grid[#Data],$DE1239,103),0)</f>
        <v/>
      </c>
      <c r="DC1239">
        <f>IFERROR(INDEX(PP_Grid[#Data],$DE1239,104),0)</f>
        <v/>
      </c>
      <c r="DD1239">
        <f>IFERROR(INDEX(PP_Grid[#Data],$DE1239,105),0)</f>
        <v/>
      </c>
      <c r="DE1239" s="7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SUMIFS(M_BOM[RM_Qty_Per_Batch],M_BOM[Intermediate],$B1239,M_BOM[RM_Code],$A1222)</f>
        <v/>
      </c>
      <c r="D1240">
        <f>IFERROR(INDEX(E1240:DD1240,$F$1),"")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  <c r="DD1240">
        <f>$C1240*DD1239</f>
        <v/>
      </c>
    </row>
    <row r="1241">
      <c r="B1241" t="inlineStr">
        <is>
          <t>TSP-935</t>
        </is>
      </c>
      <c r="C1241" t="inlineStr">
        <is>
          <t>No. of batches</t>
        </is>
      </c>
      <c r="D1241">
        <f>IFERROR(INDEX(E1241:DD1241,$F$1),"")</f>
        <v/>
      </c>
      <c r="E1241">
        <f>IFERROR(INDEX(PP_Grid[#Data],$DE1241,2),0)</f>
        <v/>
      </c>
      <c r="F1241">
        <f>IFERROR(INDEX(PP_Grid[#Data],$DE1241,3),0)</f>
        <v/>
      </c>
      <c r="G1241">
        <f>IFERROR(INDEX(PP_Grid[#Data],$DE1241,4),0)</f>
        <v/>
      </c>
      <c r="H1241">
        <f>IFERROR(INDEX(PP_Grid[#Data],$DE1241,5),0)</f>
        <v/>
      </c>
      <c r="I1241">
        <f>IFERROR(INDEX(PP_Grid[#Data],$DE1241,6),0)</f>
        <v/>
      </c>
      <c r="J1241">
        <f>IFERROR(INDEX(PP_Grid[#Data],$DE1241,7),0)</f>
        <v/>
      </c>
      <c r="K1241">
        <f>IFERROR(INDEX(PP_Grid[#Data],$DE1241,8),0)</f>
        <v/>
      </c>
      <c r="L1241">
        <f>IFERROR(INDEX(PP_Grid[#Data],$DE1241,9),0)</f>
        <v/>
      </c>
      <c r="M1241">
        <f>IFERROR(INDEX(PP_Grid[#Data],$DE1241,10),0)</f>
        <v/>
      </c>
      <c r="N1241">
        <f>IFERROR(INDEX(PP_Grid[#Data],$DE1241,11),0)</f>
        <v/>
      </c>
      <c r="O1241">
        <f>IFERROR(INDEX(PP_Grid[#Data],$DE1241,12),0)</f>
        <v/>
      </c>
      <c r="P1241">
        <f>IFERROR(INDEX(PP_Grid[#Data],$DE1241,13),0)</f>
        <v/>
      </c>
      <c r="Q1241">
        <f>IFERROR(INDEX(PP_Grid[#Data],$DE1241,14),0)</f>
        <v/>
      </c>
      <c r="R1241">
        <f>IFERROR(INDEX(PP_Grid[#Data],$DE1241,15),0)</f>
        <v/>
      </c>
      <c r="S1241">
        <f>IFERROR(INDEX(PP_Grid[#Data],$DE1241,16),0)</f>
        <v/>
      </c>
      <c r="T1241">
        <f>IFERROR(INDEX(PP_Grid[#Data],$DE1241,17),0)</f>
        <v/>
      </c>
      <c r="U1241">
        <f>IFERROR(INDEX(PP_Grid[#Data],$DE1241,18),0)</f>
        <v/>
      </c>
      <c r="V1241">
        <f>IFERROR(INDEX(PP_Grid[#Data],$DE1241,19),0)</f>
        <v/>
      </c>
      <c r="W1241">
        <f>IFERROR(INDEX(PP_Grid[#Data],$DE1241,20),0)</f>
        <v/>
      </c>
      <c r="X1241">
        <f>IFERROR(INDEX(PP_Grid[#Data],$DE1241,21),0)</f>
        <v/>
      </c>
      <c r="Y1241">
        <f>IFERROR(INDEX(PP_Grid[#Data],$DE1241,22),0)</f>
        <v/>
      </c>
      <c r="Z1241">
        <f>IFERROR(INDEX(PP_Grid[#Data],$DE1241,23),0)</f>
        <v/>
      </c>
      <c r="AA1241">
        <f>IFERROR(INDEX(PP_Grid[#Data],$DE1241,24),0)</f>
        <v/>
      </c>
      <c r="AB1241">
        <f>IFERROR(INDEX(PP_Grid[#Data],$DE1241,25),0)</f>
        <v/>
      </c>
      <c r="AC1241">
        <f>IFERROR(INDEX(PP_Grid[#Data],$DE1241,26),0)</f>
        <v/>
      </c>
      <c r="AD1241">
        <f>IFERROR(INDEX(PP_Grid[#Data],$DE1241,27),0)</f>
        <v/>
      </c>
      <c r="AE1241">
        <f>IFERROR(INDEX(PP_Grid[#Data],$DE1241,28),0)</f>
        <v/>
      </c>
      <c r="AF1241">
        <f>IFERROR(INDEX(PP_Grid[#Data],$DE1241,29),0)</f>
        <v/>
      </c>
      <c r="AG1241">
        <f>IFERROR(INDEX(PP_Grid[#Data],$DE1241,30),0)</f>
        <v/>
      </c>
      <c r="AH1241">
        <f>IFERROR(INDEX(PP_Grid[#Data],$DE1241,31),0)</f>
        <v/>
      </c>
      <c r="AI1241">
        <f>IFERROR(INDEX(PP_Grid[#Data],$DE1241,32),0)</f>
        <v/>
      </c>
      <c r="AJ1241">
        <f>IFERROR(INDEX(PP_Grid[#Data],$DE1241,33),0)</f>
        <v/>
      </c>
      <c r="AK1241">
        <f>IFERROR(INDEX(PP_Grid[#Data],$DE1241,34),0)</f>
        <v/>
      </c>
      <c r="AL1241">
        <f>IFERROR(INDEX(PP_Grid[#Data],$DE1241,35),0)</f>
        <v/>
      </c>
      <c r="AM1241">
        <f>IFERROR(INDEX(PP_Grid[#Data],$DE1241,36),0)</f>
        <v/>
      </c>
      <c r="AN1241">
        <f>IFERROR(INDEX(PP_Grid[#Data],$DE1241,37),0)</f>
        <v/>
      </c>
      <c r="AO1241">
        <f>IFERROR(INDEX(PP_Grid[#Data],$DE1241,38),0)</f>
        <v/>
      </c>
      <c r="AP1241">
        <f>IFERROR(INDEX(PP_Grid[#Data],$DE1241,39),0)</f>
        <v/>
      </c>
      <c r="AQ1241">
        <f>IFERROR(INDEX(PP_Grid[#Data],$DE1241,40),0)</f>
        <v/>
      </c>
      <c r="AR1241">
        <f>IFERROR(INDEX(PP_Grid[#Data],$DE1241,41),0)</f>
        <v/>
      </c>
      <c r="AS1241">
        <f>IFERROR(INDEX(PP_Grid[#Data],$DE1241,42),0)</f>
        <v/>
      </c>
      <c r="AT1241">
        <f>IFERROR(INDEX(PP_Grid[#Data],$DE1241,43),0)</f>
        <v/>
      </c>
      <c r="AU1241">
        <f>IFERROR(INDEX(PP_Grid[#Data],$DE1241,44),0)</f>
        <v/>
      </c>
      <c r="AV1241">
        <f>IFERROR(INDEX(PP_Grid[#Data],$DE1241,45),0)</f>
        <v/>
      </c>
      <c r="AW1241">
        <f>IFERROR(INDEX(PP_Grid[#Data],$DE1241,46),0)</f>
        <v/>
      </c>
      <c r="AX1241">
        <f>IFERROR(INDEX(PP_Grid[#Data],$DE1241,47),0)</f>
        <v/>
      </c>
      <c r="AY1241">
        <f>IFERROR(INDEX(PP_Grid[#Data],$DE1241,48),0)</f>
        <v/>
      </c>
      <c r="AZ1241">
        <f>IFERROR(INDEX(PP_Grid[#Data],$DE1241,49),0)</f>
        <v/>
      </c>
      <c r="BA1241">
        <f>IFERROR(INDEX(PP_Grid[#Data],$DE1241,50),0)</f>
        <v/>
      </c>
      <c r="BB1241">
        <f>IFERROR(INDEX(PP_Grid[#Data],$DE1241,51),0)</f>
        <v/>
      </c>
      <c r="BC1241">
        <f>IFERROR(INDEX(PP_Grid[#Data],$DE1241,52),0)</f>
        <v/>
      </c>
      <c r="BD1241">
        <f>IFERROR(INDEX(PP_Grid[#Data],$DE1241,53),0)</f>
        <v/>
      </c>
      <c r="BE1241">
        <f>IFERROR(INDEX(PP_Grid[#Data],$DE1241,54),0)</f>
        <v/>
      </c>
      <c r="BF1241">
        <f>IFERROR(INDEX(PP_Grid[#Data],$DE1241,55),0)</f>
        <v/>
      </c>
      <c r="BG1241">
        <f>IFERROR(INDEX(PP_Grid[#Data],$DE1241,56),0)</f>
        <v/>
      </c>
      <c r="BH1241">
        <f>IFERROR(INDEX(PP_Grid[#Data],$DE1241,57),0)</f>
        <v/>
      </c>
      <c r="BI1241">
        <f>IFERROR(INDEX(PP_Grid[#Data],$DE1241,58),0)</f>
        <v/>
      </c>
      <c r="BJ1241">
        <f>IFERROR(INDEX(PP_Grid[#Data],$DE1241,59),0)</f>
        <v/>
      </c>
      <c r="BK1241">
        <f>IFERROR(INDEX(PP_Grid[#Data],$DE1241,60),0)</f>
        <v/>
      </c>
      <c r="BL1241">
        <f>IFERROR(INDEX(PP_Grid[#Data],$DE1241,61),0)</f>
        <v/>
      </c>
      <c r="BM1241">
        <f>IFERROR(INDEX(PP_Grid[#Data],$DE1241,62),0)</f>
        <v/>
      </c>
      <c r="BN1241">
        <f>IFERROR(INDEX(PP_Grid[#Data],$DE1241,63),0)</f>
        <v/>
      </c>
      <c r="BO1241">
        <f>IFERROR(INDEX(PP_Grid[#Data],$DE1241,64),0)</f>
        <v/>
      </c>
      <c r="BP1241">
        <f>IFERROR(INDEX(PP_Grid[#Data],$DE1241,65),0)</f>
        <v/>
      </c>
      <c r="BQ1241">
        <f>IFERROR(INDEX(PP_Grid[#Data],$DE1241,66),0)</f>
        <v/>
      </c>
      <c r="BR1241">
        <f>IFERROR(INDEX(PP_Grid[#Data],$DE1241,67),0)</f>
        <v/>
      </c>
      <c r="BS1241">
        <f>IFERROR(INDEX(PP_Grid[#Data],$DE1241,68),0)</f>
        <v/>
      </c>
      <c r="BT1241">
        <f>IFERROR(INDEX(PP_Grid[#Data],$DE1241,69),0)</f>
        <v/>
      </c>
      <c r="BU1241">
        <f>IFERROR(INDEX(PP_Grid[#Data],$DE1241,70),0)</f>
        <v/>
      </c>
      <c r="BV1241">
        <f>IFERROR(INDEX(PP_Grid[#Data],$DE1241,71),0)</f>
        <v/>
      </c>
      <c r="BW1241">
        <f>IFERROR(INDEX(PP_Grid[#Data],$DE1241,72),0)</f>
        <v/>
      </c>
      <c r="BX1241">
        <f>IFERROR(INDEX(PP_Grid[#Data],$DE1241,73),0)</f>
        <v/>
      </c>
      <c r="BY1241">
        <f>IFERROR(INDEX(PP_Grid[#Data],$DE1241,74),0)</f>
        <v/>
      </c>
      <c r="BZ1241">
        <f>IFERROR(INDEX(PP_Grid[#Data],$DE1241,75),0)</f>
        <v/>
      </c>
      <c r="CA1241">
        <f>IFERROR(INDEX(PP_Grid[#Data],$DE1241,76),0)</f>
        <v/>
      </c>
      <c r="CB1241">
        <f>IFERROR(INDEX(PP_Grid[#Data],$DE1241,77),0)</f>
        <v/>
      </c>
      <c r="CC1241">
        <f>IFERROR(INDEX(PP_Grid[#Data],$DE1241,78),0)</f>
        <v/>
      </c>
      <c r="CD1241">
        <f>IFERROR(INDEX(PP_Grid[#Data],$DE1241,79),0)</f>
        <v/>
      </c>
      <c r="CE1241">
        <f>IFERROR(INDEX(PP_Grid[#Data],$DE1241,80),0)</f>
        <v/>
      </c>
      <c r="CF1241">
        <f>IFERROR(INDEX(PP_Grid[#Data],$DE1241,81),0)</f>
        <v/>
      </c>
      <c r="CG1241">
        <f>IFERROR(INDEX(PP_Grid[#Data],$DE1241,82),0)</f>
        <v/>
      </c>
      <c r="CH1241">
        <f>IFERROR(INDEX(PP_Grid[#Data],$DE1241,83),0)</f>
        <v/>
      </c>
      <c r="CI1241">
        <f>IFERROR(INDEX(PP_Grid[#Data],$DE1241,84),0)</f>
        <v/>
      </c>
      <c r="CJ1241">
        <f>IFERROR(INDEX(PP_Grid[#Data],$DE1241,85),0)</f>
        <v/>
      </c>
      <c r="CK1241">
        <f>IFERROR(INDEX(PP_Grid[#Data],$DE1241,86),0)</f>
        <v/>
      </c>
      <c r="CL1241">
        <f>IFERROR(INDEX(PP_Grid[#Data],$DE1241,87),0)</f>
        <v/>
      </c>
      <c r="CM1241">
        <f>IFERROR(INDEX(PP_Grid[#Data],$DE1241,88),0)</f>
        <v/>
      </c>
      <c r="CN1241">
        <f>IFERROR(INDEX(PP_Grid[#Data],$DE1241,89),0)</f>
        <v/>
      </c>
      <c r="CO1241">
        <f>IFERROR(INDEX(PP_Grid[#Data],$DE1241,90),0)</f>
        <v/>
      </c>
      <c r="CP1241">
        <f>IFERROR(INDEX(PP_Grid[#Data],$DE1241,91),0)</f>
        <v/>
      </c>
      <c r="CQ1241">
        <f>IFERROR(INDEX(PP_Grid[#Data],$DE1241,92),0)</f>
        <v/>
      </c>
      <c r="CR1241">
        <f>IFERROR(INDEX(PP_Grid[#Data],$DE1241,93),0)</f>
        <v/>
      </c>
      <c r="CS1241">
        <f>IFERROR(INDEX(PP_Grid[#Data],$DE1241,94),0)</f>
        <v/>
      </c>
      <c r="CT1241">
        <f>IFERROR(INDEX(PP_Grid[#Data],$DE1241,95),0)</f>
        <v/>
      </c>
      <c r="CU1241">
        <f>IFERROR(INDEX(PP_Grid[#Data],$DE1241,96),0)</f>
        <v/>
      </c>
      <c r="CV1241">
        <f>IFERROR(INDEX(PP_Grid[#Data],$DE1241,97),0)</f>
        <v/>
      </c>
      <c r="CW1241">
        <f>IFERROR(INDEX(PP_Grid[#Data],$DE1241,98),0)</f>
        <v/>
      </c>
      <c r="CX1241">
        <f>IFERROR(INDEX(PP_Grid[#Data],$DE1241,99),0)</f>
        <v/>
      </c>
      <c r="CY1241">
        <f>IFERROR(INDEX(PP_Grid[#Data],$DE1241,100),0)</f>
        <v/>
      </c>
      <c r="CZ1241">
        <f>IFERROR(INDEX(PP_Grid[#Data],$DE1241,101),0)</f>
        <v/>
      </c>
      <c r="DA1241">
        <f>IFERROR(INDEX(PP_Grid[#Data],$DE1241,102),0)</f>
        <v/>
      </c>
      <c r="DB1241">
        <f>IFERROR(INDEX(PP_Grid[#Data],$DE1241,103),0)</f>
        <v/>
      </c>
      <c r="DC1241">
        <f>IFERROR(INDEX(PP_Grid[#Data],$DE1241,104),0)</f>
        <v/>
      </c>
      <c r="DD1241">
        <f>IFERROR(INDEX(PP_Grid[#Data],$DE1241,105),0)</f>
        <v/>
      </c>
      <c r="DE1241" s="7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SUMIFS(M_BOM[RM_Qty_Per_Batch],M_BOM[Intermediate],$B1241,M_BOM[RM_Code],$A1222)</f>
        <v/>
      </c>
      <c r="D1242">
        <f>IFERROR(INDEX(E1242:DD1242,$F$1),"")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  <c r="DD1242">
        <f>$C1242*DD1241</f>
        <v/>
      </c>
    </row>
    <row r="1243">
      <c r="B1243" t="inlineStr">
        <is>
          <t>TSP-936</t>
        </is>
      </c>
      <c r="C1243" t="inlineStr">
        <is>
          <t>No. of batches</t>
        </is>
      </c>
      <c r="D1243">
        <f>IFERROR(INDEX(E1243:DD1243,$F$1),"")</f>
        <v/>
      </c>
      <c r="E1243">
        <f>IFERROR(INDEX(PP_Grid[#Data],$DE1243,2),0)</f>
        <v/>
      </c>
      <c r="F1243">
        <f>IFERROR(INDEX(PP_Grid[#Data],$DE1243,3),0)</f>
        <v/>
      </c>
      <c r="G1243">
        <f>IFERROR(INDEX(PP_Grid[#Data],$DE1243,4),0)</f>
        <v/>
      </c>
      <c r="H1243">
        <f>IFERROR(INDEX(PP_Grid[#Data],$DE1243,5),0)</f>
        <v/>
      </c>
      <c r="I1243">
        <f>IFERROR(INDEX(PP_Grid[#Data],$DE1243,6),0)</f>
        <v/>
      </c>
      <c r="J1243">
        <f>IFERROR(INDEX(PP_Grid[#Data],$DE1243,7),0)</f>
        <v/>
      </c>
      <c r="K1243">
        <f>IFERROR(INDEX(PP_Grid[#Data],$DE1243,8),0)</f>
        <v/>
      </c>
      <c r="L1243">
        <f>IFERROR(INDEX(PP_Grid[#Data],$DE1243,9),0)</f>
        <v/>
      </c>
      <c r="M1243">
        <f>IFERROR(INDEX(PP_Grid[#Data],$DE1243,10),0)</f>
        <v/>
      </c>
      <c r="N1243">
        <f>IFERROR(INDEX(PP_Grid[#Data],$DE1243,11),0)</f>
        <v/>
      </c>
      <c r="O1243">
        <f>IFERROR(INDEX(PP_Grid[#Data],$DE1243,12),0)</f>
        <v/>
      </c>
      <c r="P1243">
        <f>IFERROR(INDEX(PP_Grid[#Data],$DE1243,13),0)</f>
        <v/>
      </c>
      <c r="Q1243">
        <f>IFERROR(INDEX(PP_Grid[#Data],$DE1243,14),0)</f>
        <v/>
      </c>
      <c r="R1243">
        <f>IFERROR(INDEX(PP_Grid[#Data],$DE1243,15),0)</f>
        <v/>
      </c>
      <c r="S1243">
        <f>IFERROR(INDEX(PP_Grid[#Data],$DE1243,16),0)</f>
        <v/>
      </c>
      <c r="T1243">
        <f>IFERROR(INDEX(PP_Grid[#Data],$DE1243,17),0)</f>
        <v/>
      </c>
      <c r="U1243">
        <f>IFERROR(INDEX(PP_Grid[#Data],$DE1243,18),0)</f>
        <v/>
      </c>
      <c r="V1243">
        <f>IFERROR(INDEX(PP_Grid[#Data],$DE1243,19),0)</f>
        <v/>
      </c>
      <c r="W1243">
        <f>IFERROR(INDEX(PP_Grid[#Data],$DE1243,20),0)</f>
        <v/>
      </c>
      <c r="X1243">
        <f>IFERROR(INDEX(PP_Grid[#Data],$DE1243,21),0)</f>
        <v/>
      </c>
      <c r="Y1243">
        <f>IFERROR(INDEX(PP_Grid[#Data],$DE1243,22),0)</f>
        <v/>
      </c>
      <c r="Z1243">
        <f>IFERROR(INDEX(PP_Grid[#Data],$DE1243,23),0)</f>
        <v/>
      </c>
      <c r="AA1243">
        <f>IFERROR(INDEX(PP_Grid[#Data],$DE1243,24),0)</f>
        <v/>
      </c>
      <c r="AB1243">
        <f>IFERROR(INDEX(PP_Grid[#Data],$DE1243,25),0)</f>
        <v/>
      </c>
      <c r="AC1243">
        <f>IFERROR(INDEX(PP_Grid[#Data],$DE1243,26),0)</f>
        <v/>
      </c>
      <c r="AD1243">
        <f>IFERROR(INDEX(PP_Grid[#Data],$DE1243,27),0)</f>
        <v/>
      </c>
      <c r="AE1243">
        <f>IFERROR(INDEX(PP_Grid[#Data],$DE1243,28),0)</f>
        <v/>
      </c>
      <c r="AF1243">
        <f>IFERROR(INDEX(PP_Grid[#Data],$DE1243,29),0)</f>
        <v/>
      </c>
      <c r="AG1243">
        <f>IFERROR(INDEX(PP_Grid[#Data],$DE1243,30),0)</f>
        <v/>
      </c>
      <c r="AH1243">
        <f>IFERROR(INDEX(PP_Grid[#Data],$DE1243,31),0)</f>
        <v/>
      </c>
      <c r="AI1243">
        <f>IFERROR(INDEX(PP_Grid[#Data],$DE1243,32),0)</f>
        <v/>
      </c>
      <c r="AJ1243">
        <f>IFERROR(INDEX(PP_Grid[#Data],$DE1243,33),0)</f>
        <v/>
      </c>
      <c r="AK1243">
        <f>IFERROR(INDEX(PP_Grid[#Data],$DE1243,34),0)</f>
        <v/>
      </c>
      <c r="AL1243">
        <f>IFERROR(INDEX(PP_Grid[#Data],$DE1243,35),0)</f>
        <v/>
      </c>
      <c r="AM1243">
        <f>IFERROR(INDEX(PP_Grid[#Data],$DE1243,36),0)</f>
        <v/>
      </c>
      <c r="AN1243">
        <f>IFERROR(INDEX(PP_Grid[#Data],$DE1243,37),0)</f>
        <v/>
      </c>
      <c r="AO1243">
        <f>IFERROR(INDEX(PP_Grid[#Data],$DE1243,38),0)</f>
        <v/>
      </c>
      <c r="AP1243">
        <f>IFERROR(INDEX(PP_Grid[#Data],$DE1243,39),0)</f>
        <v/>
      </c>
      <c r="AQ1243">
        <f>IFERROR(INDEX(PP_Grid[#Data],$DE1243,40),0)</f>
        <v/>
      </c>
      <c r="AR1243">
        <f>IFERROR(INDEX(PP_Grid[#Data],$DE1243,41),0)</f>
        <v/>
      </c>
      <c r="AS1243">
        <f>IFERROR(INDEX(PP_Grid[#Data],$DE1243,42),0)</f>
        <v/>
      </c>
      <c r="AT1243">
        <f>IFERROR(INDEX(PP_Grid[#Data],$DE1243,43),0)</f>
        <v/>
      </c>
      <c r="AU1243">
        <f>IFERROR(INDEX(PP_Grid[#Data],$DE1243,44),0)</f>
        <v/>
      </c>
      <c r="AV1243">
        <f>IFERROR(INDEX(PP_Grid[#Data],$DE1243,45),0)</f>
        <v/>
      </c>
      <c r="AW1243">
        <f>IFERROR(INDEX(PP_Grid[#Data],$DE1243,46),0)</f>
        <v/>
      </c>
      <c r="AX1243">
        <f>IFERROR(INDEX(PP_Grid[#Data],$DE1243,47),0)</f>
        <v/>
      </c>
      <c r="AY1243">
        <f>IFERROR(INDEX(PP_Grid[#Data],$DE1243,48),0)</f>
        <v/>
      </c>
      <c r="AZ1243">
        <f>IFERROR(INDEX(PP_Grid[#Data],$DE1243,49),0)</f>
        <v/>
      </c>
      <c r="BA1243">
        <f>IFERROR(INDEX(PP_Grid[#Data],$DE1243,50),0)</f>
        <v/>
      </c>
      <c r="BB1243">
        <f>IFERROR(INDEX(PP_Grid[#Data],$DE1243,51),0)</f>
        <v/>
      </c>
      <c r="BC1243">
        <f>IFERROR(INDEX(PP_Grid[#Data],$DE1243,52),0)</f>
        <v/>
      </c>
      <c r="BD1243">
        <f>IFERROR(INDEX(PP_Grid[#Data],$DE1243,53),0)</f>
        <v/>
      </c>
      <c r="BE1243">
        <f>IFERROR(INDEX(PP_Grid[#Data],$DE1243,54),0)</f>
        <v/>
      </c>
      <c r="BF1243">
        <f>IFERROR(INDEX(PP_Grid[#Data],$DE1243,55),0)</f>
        <v/>
      </c>
      <c r="BG1243">
        <f>IFERROR(INDEX(PP_Grid[#Data],$DE1243,56),0)</f>
        <v/>
      </c>
      <c r="BH1243">
        <f>IFERROR(INDEX(PP_Grid[#Data],$DE1243,57),0)</f>
        <v/>
      </c>
      <c r="BI1243">
        <f>IFERROR(INDEX(PP_Grid[#Data],$DE1243,58),0)</f>
        <v/>
      </c>
      <c r="BJ1243">
        <f>IFERROR(INDEX(PP_Grid[#Data],$DE1243,59),0)</f>
        <v/>
      </c>
      <c r="BK1243">
        <f>IFERROR(INDEX(PP_Grid[#Data],$DE1243,60),0)</f>
        <v/>
      </c>
      <c r="BL1243">
        <f>IFERROR(INDEX(PP_Grid[#Data],$DE1243,61),0)</f>
        <v/>
      </c>
      <c r="BM1243">
        <f>IFERROR(INDEX(PP_Grid[#Data],$DE1243,62),0)</f>
        <v/>
      </c>
      <c r="BN1243">
        <f>IFERROR(INDEX(PP_Grid[#Data],$DE1243,63),0)</f>
        <v/>
      </c>
      <c r="BO1243">
        <f>IFERROR(INDEX(PP_Grid[#Data],$DE1243,64),0)</f>
        <v/>
      </c>
      <c r="BP1243">
        <f>IFERROR(INDEX(PP_Grid[#Data],$DE1243,65),0)</f>
        <v/>
      </c>
      <c r="BQ1243">
        <f>IFERROR(INDEX(PP_Grid[#Data],$DE1243,66),0)</f>
        <v/>
      </c>
      <c r="BR1243">
        <f>IFERROR(INDEX(PP_Grid[#Data],$DE1243,67),0)</f>
        <v/>
      </c>
      <c r="BS1243">
        <f>IFERROR(INDEX(PP_Grid[#Data],$DE1243,68),0)</f>
        <v/>
      </c>
      <c r="BT1243">
        <f>IFERROR(INDEX(PP_Grid[#Data],$DE1243,69),0)</f>
        <v/>
      </c>
      <c r="BU1243">
        <f>IFERROR(INDEX(PP_Grid[#Data],$DE1243,70),0)</f>
        <v/>
      </c>
      <c r="BV1243">
        <f>IFERROR(INDEX(PP_Grid[#Data],$DE1243,71),0)</f>
        <v/>
      </c>
      <c r="BW1243">
        <f>IFERROR(INDEX(PP_Grid[#Data],$DE1243,72),0)</f>
        <v/>
      </c>
      <c r="BX1243">
        <f>IFERROR(INDEX(PP_Grid[#Data],$DE1243,73),0)</f>
        <v/>
      </c>
      <c r="BY1243">
        <f>IFERROR(INDEX(PP_Grid[#Data],$DE1243,74),0)</f>
        <v/>
      </c>
      <c r="BZ1243">
        <f>IFERROR(INDEX(PP_Grid[#Data],$DE1243,75),0)</f>
        <v/>
      </c>
      <c r="CA1243">
        <f>IFERROR(INDEX(PP_Grid[#Data],$DE1243,76),0)</f>
        <v/>
      </c>
      <c r="CB1243">
        <f>IFERROR(INDEX(PP_Grid[#Data],$DE1243,77),0)</f>
        <v/>
      </c>
      <c r="CC1243">
        <f>IFERROR(INDEX(PP_Grid[#Data],$DE1243,78),0)</f>
        <v/>
      </c>
      <c r="CD1243">
        <f>IFERROR(INDEX(PP_Grid[#Data],$DE1243,79),0)</f>
        <v/>
      </c>
      <c r="CE1243">
        <f>IFERROR(INDEX(PP_Grid[#Data],$DE1243,80),0)</f>
        <v/>
      </c>
      <c r="CF1243">
        <f>IFERROR(INDEX(PP_Grid[#Data],$DE1243,81),0)</f>
        <v/>
      </c>
      <c r="CG1243">
        <f>IFERROR(INDEX(PP_Grid[#Data],$DE1243,82),0)</f>
        <v/>
      </c>
      <c r="CH1243">
        <f>IFERROR(INDEX(PP_Grid[#Data],$DE1243,83),0)</f>
        <v/>
      </c>
      <c r="CI1243">
        <f>IFERROR(INDEX(PP_Grid[#Data],$DE1243,84),0)</f>
        <v/>
      </c>
      <c r="CJ1243">
        <f>IFERROR(INDEX(PP_Grid[#Data],$DE1243,85),0)</f>
        <v/>
      </c>
      <c r="CK1243">
        <f>IFERROR(INDEX(PP_Grid[#Data],$DE1243,86),0)</f>
        <v/>
      </c>
      <c r="CL1243">
        <f>IFERROR(INDEX(PP_Grid[#Data],$DE1243,87),0)</f>
        <v/>
      </c>
      <c r="CM1243">
        <f>IFERROR(INDEX(PP_Grid[#Data],$DE1243,88),0)</f>
        <v/>
      </c>
      <c r="CN1243">
        <f>IFERROR(INDEX(PP_Grid[#Data],$DE1243,89),0)</f>
        <v/>
      </c>
      <c r="CO1243">
        <f>IFERROR(INDEX(PP_Grid[#Data],$DE1243,90),0)</f>
        <v/>
      </c>
      <c r="CP1243">
        <f>IFERROR(INDEX(PP_Grid[#Data],$DE1243,91),0)</f>
        <v/>
      </c>
      <c r="CQ1243">
        <f>IFERROR(INDEX(PP_Grid[#Data],$DE1243,92),0)</f>
        <v/>
      </c>
      <c r="CR1243">
        <f>IFERROR(INDEX(PP_Grid[#Data],$DE1243,93),0)</f>
        <v/>
      </c>
      <c r="CS1243">
        <f>IFERROR(INDEX(PP_Grid[#Data],$DE1243,94),0)</f>
        <v/>
      </c>
      <c r="CT1243">
        <f>IFERROR(INDEX(PP_Grid[#Data],$DE1243,95),0)</f>
        <v/>
      </c>
      <c r="CU1243">
        <f>IFERROR(INDEX(PP_Grid[#Data],$DE1243,96),0)</f>
        <v/>
      </c>
      <c r="CV1243">
        <f>IFERROR(INDEX(PP_Grid[#Data],$DE1243,97),0)</f>
        <v/>
      </c>
      <c r="CW1243">
        <f>IFERROR(INDEX(PP_Grid[#Data],$DE1243,98),0)</f>
        <v/>
      </c>
      <c r="CX1243">
        <f>IFERROR(INDEX(PP_Grid[#Data],$DE1243,99),0)</f>
        <v/>
      </c>
      <c r="CY1243">
        <f>IFERROR(INDEX(PP_Grid[#Data],$DE1243,100),0)</f>
        <v/>
      </c>
      <c r="CZ1243">
        <f>IFERROR(INDEX(PP_Grid[#Data],$DE1243,101),0)</f>
        <v/>
      </c>
      <c r="DA1243">
        <f>IFERROR(INDEX(PP_Grid[#Data],$DE1243,102),0)</f>
        <v/>
      </c>
      <c r="DB1243">
        <f>IFERROR(INDEX(PP_Grid[#Data],$DE1243,103),0)</f>
        <v/>
      </c>
      <c r="DC1243">
        <f>IFERROR(INDEX(PP_Grid[#Data],$DE1243,104),0)</f>
        <v/>
      </c>
      <c r="DD1243">
        <f>IFERROR(INDEX(PP_Grid[#Data],$DE1243,105),0)</f>
        <v/>
      </c>
      <c r="DE1243" s="7">
        <f>IFERROR(MATCH($B1243,PP_Grid[Intermediate],0),99999)</f>
        <v/>
      </c>
    </row>
    <row r="1244">
      <c r="B1244" t="inlineStr">
        <is>
          <t>使用量(kg)</t>
        </is>
      </c>
      <c r="C1244">
        <f>SUMIFS(M_BOM[RM_Qty_Per_Batch],M_BOM[Intermediate],$B1243,M_BOM[RM_Code],$A1222)</f>
        <v/>
      </c>
      <c r="D1244">
        <f>IFERROR(INDEX(E1244:DD1244,$F$1),"")</f>
        <v/>
      </c>
      <c r="E1244">
        <f>$C1244*E1243</f>
        <v/>
      </c>
      <c r="F1244">
        <f>$C1244*F1243</f>
        <v/>
      </c>
      <c r="G1244">
        <f>$C1244*G1243</f>
        <v/>
      </c>
      <c r="H1244">
        <f>$C1244*H1243</f>
        <v/>
      </c>
      <c r="I1244">
        <f>$C1244*I1243</f>
        <v/>
      </c>
      <c r="J1244">
        <f>$C1244*J1243</f>
        <v/>
      </c>
      <c r="K1244">
        <f>$C1244*K1243</f>
        <v/>
      </c>
      <c r="L1244">
        <f>$C1244*L1243</f>
        <v/>
      </c>
      <c r="M1244">
        <f>$C1244*M1243</f>
        <v/>
      </c>
      <c r="N1244">
        <f>$C1244*N1243</f>
        <v/>
      </c>
      <c r="O1244">
        <f>$C1244*O1243</f>
        <v/>
      </c>
      <c r="P1244">
        <f>$C1244*P1243</f>
        <v/>
      </c>
      <c r="Q1244">
        <f>$C1244*Q1243</f>
        <v/>
      </c>
      <c r="R1244">
        <f>$C1244*R1243</f>
        <v/>
      </c>
      <c r="S1244">
        <f>$C1244*S1243</f>
        <v/>
      </c>
      <c r="T1244">
        <f>$C1244*T1243</f>
        <v/>
      </c>
      <c r="U1244">
        <f>$C1244*U1243</f>
        <v/>
      </c>
      <c r="V1244">
        <f>$C1244*V1243</f>
        <v/>
      </c>
      <c r="W1244">
        <f>$C1244*W1243</f>
        <v/>
      </c>
      <c r="X1244">
        <f>$C1244*X1243</f>
        <v/>
      </c>
      <c r="Y1244">
        <f>$C1244*Y1243</f>
        <v/>
      </c>
      <c r="Z1244">
        <f>$C1244*Z1243</f>
        <v/>
      </c>
      <c r="AA1244">
        <f>$C1244*AA1243</f>
        <v/>
      </c>
      <c r="AB1244">
        <f>$C1244*AB1243</f>
        <v/>
      </c>
      <c r="AC1244">
        <f>$C1244*AC1243</f>
        <v/>
      </c>
      <c r="AD1244">
        <f>$C1244*AD1243</f>
        <v/>
      </c>
      <c r="AE1244">
        <f>$C1244*AE1243</f>
        <v/>
      </c>
      <c r="AF1244">
        <f>$C1244*AF1243</f>
        <v/>
      </c>
      <c r="AG1244">
        <f>$C1244*AG1243</f>
        <v/>
      </c>
      <c r="AH1244">
        <f>$C1244*AH1243</f>
        <v/>
      </c>
      <c r="AI1244">
        <f>$C1244*AI1243</f>
        <v/>
      </c>
      <c r="AJ1244">
        <f>$C1244*AJ1243</f>
        <v/>
      </c>
      <c r="AK1244">
        <f>$C1244*AK1243</f>
        <v/>
      </c>
      <c r="AL1244">
        <f>$C1244*AL1243</f>
        <v/>
      </c>
      <c r="AM1244">
        <f>$C1244*AM1243</f>
        <v/>
      </c>
      <c r="AN1244">
        <f>$C1244*AN1243</f>
        <v/>
      </c>
      <c r="AO1244">
        <f>$C1244*AO1243</f>
        <v/>
      </c>
      <c r="AP1244">
        <f>$C1244*AP1243</f>
        <v/>
      </c>
      <c r="AQ1244">
        <f>$C1244*AQ1243</f>
        <v/>
      </c>
      <c r="AR1244">
        <f>$C1244*AR1243</f>
        <v/>
      </c>
      <c r="AS1244">
        <f>$C1244*AS1243</f>
        <v/>
      </c>
      <c r="AT1244">
        <f>$C1244*AT1243</f>
        <v/>
      </c>
      <c r="AU1244">
        <f>$C1244*AU1243</f>
        <v/>
      </c>
      <c r="AV1244">
        <f>$C1244*AV1243</f>
        <v/>
      </c>
      <c r="AW1244">
        <f>$C1244*AW1243</f>
        <v/>
      </c>
      <c r="AX1244">
        <f>$C1244*AX1243</f>
        <v/>
      </c>
      <c r="AY1244">
        <f>$C1244*AY1243</f>
        <v/>
      </c>
      <c r="AZ1244">
        <f>$C1244*AZ1243</f>
        <v/>
      </c>
      <c r="BA1244">
        <f>$C1244*BA1243</f>
        <v/>
      </c>
      <c r="BB1244">
        <f>$C1244*BB1243</f>
        <v/>
      </c>
      <c r="BC1244">
        <f>$C1244*BC1243</f>
        <v/>
      </c>
      <c r="BD1244">
        <f>$C1244*BD1243</f>
        <v/>
      </c>
      <c r="BE1244">
        <f>$C1244*BE1243</f>
        <v/>
      </c>
      <c r="BF1244">
        <f>$C1244*BF1243</f>
        <v/>
      </c>
      <c r="BG1244">
        <f>$C1244*BG1243</f>
        <v/>
      </c>
      <c r="BH1244">
        <f>$C1244*BH1243</f>
        <v/>
      </c>
      <c r="BI1244">
        <f>$C1244*BI1243</f>
        <v/>
      </c>
      <c r="BJ1244">
        <f>$C1244*BJ1243</f>
        <v/>
      </c>
      <c r="BK1244">
        <f>$C1244*BK1243</f>
        <v/>
      </c>
      <c r="BL1244">
        <f>$C1244*BL1243</f>
        <v/>
      </c>
      <c r="BM1244">
        <f>$C1244*BM1243</f>
        <v/>
      </c>
      <c r="BN1244">
        <f>$C1244*BN1243</f>
        <v/>
      </c>
      <c r="BO1244">
        <f>$C1244*BO1243</f>
        <v/>
      </c>
      <c r="BP1244">
        <f>$C1244*BP1243</f>
        <v/>
      </c>
      <c r="BQ1244">
        <f>$C1244*BQ1243</f>
        <v/>
      </c>
      <c r="BR1244">
        <f>$C1244*BR1243</f>
        <v/>
      </c>
      <c r="BS1244">
        <f>$C1244*BS1243</f>
        <v/>
      </c>
      <c r="BT1244">
        <f>$C1244*BT1243</f>
        <v/>
      </c>
      <c r="BU1244">
        <f>$C1244*BU1243</f>
        <v/>
      </c>
      <c r="BV1244">
        <f>$C1244*BV1243</f>
        <v/>
      </c>
      <c r="BW1244">
        <f>$C1244*BW1243</f>
        <v/>
      </c>
      <c r="BX1244">
        <f>$C1244*BX1243</f>
        <v/>
      </c>
      <c r="BY1244">
        <f>$C1244*BY1243</f>
        <v/>
      </c>
      <c r="BZ1244">
        <f>$C1244*BZ1243</f>
        <v/>
      </c>
      <c r="CA1244">
        <f>$C1244*CA1243</f>
        <v/>
      </c>
      <c r="CB1244">
        <f>$C1244*CB1243</f>
        <v/>
      </c>
      <c r="CC1244">
        <f>$C1244*CC1243</f>
        <v/>
      </c>
      <c r="CD1244">
        <f>$C1244*CD1243</f>
        <v/>
      </c>
      <c r="CE1244">
        <f>$C1244*CE1243</f>
        <v/>
      </c>
      <c r="CF1244">
        <f>$C1244*CF1243</f>
        <v/>
      </c>
      <c r="CG1244">
        <f>$C1244*CG1243</f>
        <v/>
      </c>
      <c r="CH1244">
        <f>$C1244*CH1243</f>
        <v/>
      </c>
      <c r="CI1244">
        <f>$C1244*CI1243</f>
        <v/>
      </c>
      <c r="CJ1244">
        <f>$C1244*CJ1243</f>
        <v/>
      </c>
      <c r="CK1244">
        <f>$C1244*CK1243</f>
        <v/>
      </c>
      <c r="CL1244">
        <f>$C1244*CL1243</f>
        <v/>
      </c>
      <c r="CM1244">
        <f>$C1244*CM1243</f>
        <v/>
      </c>
      <c r="CN1244">
        <f>$C1244*CN1243</f>
        <v/>
      </c>
      <c r="CO1244">
        <f>$C1244*CO1243</f>
        <v/>
      </c>
      <c r="CP1244">
        <f>$C1244*CP1243</f>
        <v/>
      </c>
      <c r="CQ1244">
        <f>$C1244*CQ1243</f>
        <v/>
      </c>
      <c r="CR1244">
        <f>$C1244*CR1243</f>
        <v/>
      </c>
      <c r="CS1244">
        <f>$C1244*CS1243</f>
        <v/>
      </c>
      <c r="CT1244">
        <f>$C1244*CT1243</f>
        <v/>
      </c>
      <c r="CU1244">
        <f>$C1244*CU1243</f>
        <v/>
      </c>
      <c r="CV1244">
        <f>$C1244*CV1243</f>
        <v/>
      </c>
      <c r="CW1244">
        <f>$C1244*CW1243</f>
        <v/>
      </c>
      <c r="CX1244">
        <f>$C1244*CX1243</f>
        <v/>
      </c>
      <c r="CY1244">
        <f>$C1244*CY1243</f>
        <v/>
      </c>
      <c r="CZ1244">
        <f>$C1244*CZ1243</f>
        <v/>
      </c>
      <c r="DA1244">
        <f>$C1244*DA1243</f>
        <v/>
      </c>
      <c r="DB1244">
        <f>$C1244*DB1243</f>
        <v/>
      </c>
      <c r="DC1244">
        <f>$C1244*DC1243</f>
        <v/>
      </c>
      <c r="DD1244">
        <f>$C1244*DD1243</f>
        <v/>
      </c>
    </row>
    <row r="1245">
      <c r="B1245" t="inlineStr">
        <is>
          <t>TSP-937</t>
        </is>
      </c>
      <c r="C1245" t="inlineStr">
        <is>
          <t>No. of batches</t>
        </is>
      </c>
      <c r="D1245">
        <f>IFERROR(INDEX(E1245:DD1245,$F$1),"")</f>
        <v/>
      </c>
      <c r="E1245">
        <f>IFERROR(INDEX(PP_Grid[#Data],$DE1245,2),0)</f>
        <v/>
      </c>
      <c r="F1245">
        <f>IFERROR(INDEX(PP_Grid[#Data],$DE1245,3),0)</f>
        <v/>
      </c>
      <c r="G1245">
        <f>IFERROR(INDEX(PP_Grid[#Data],$DE1245,4),0)</f>
        <v/>
      </c>
      <c r="H1245">
        <f>IFERROR(INDEX(PP_Grid[#Data],$DE1245,5),0)</f>
        <v/>
      </c>
      <c r="I1245">
        <f>IFERROR(INDEX(PP_Grid[#Data],$DE1245,6),0)</f>
        <v/>
      </c>
      <c r="J1245">
        <f>IFERROR(INDEX(PP_Grid[#Data],$DE1245,7),0)</f>
        <v/>
      </c>
      <c r="K1245">
        <f>IFERROR(INDEX(PP_Grid[#Data],$DE1245,8),0)</f>
        <v/>
      </c>
      <c r="L1245">
        <f>IFERROR(INDEX(PP_Grid[#Data],$DE1245,9),0)</f>
        <v/>
      </c>
      <c r="M1245">
        <f>IFERROR(INDEX(PP_Grid[#Data],$DE1245,10),0)</f>
        <v/>
      </c>
      <c r="N1245">
        <f>IFERROR(INDEX(PP_Grid[#Data],$DE1245,11),0)</f>
        <v/>
      </c>
      <c r="O1245">
        <f>IFERROR(INDEX(PP_Grid[#Data],$DE1245,12),0)</f>
        <v/>
      </c>
      <c r="P1245">
        <f>IFERROR(INDEX(PP_Grid[#Data],$DE1245,13),0)</f>
        <v/>
      </c>
      <c r="Q1245">
        <f>IFERROR(INDEX(PP_Grid[#Data],$DE1245,14),0)</f>
        <v/>
      </c>
      <c r="R1245">
        <f>IFERROR(INDEX(PP_Grid[#Data],$DE1245,15),0)</f>
        <v/>
      </c>
      <c r="S1245">
        <f>IFERROR(INDEX(PP_Grid[#Data],$DE1245,16),0)</f>
        <v/>
      </c>
      <c r="T1245">
        <f>IFERROR(INDEX(PP_Grid[#Data],$DE1245,17),0)</f>
        <v/>
      </c>
      <c r="U1245">
        <f>IFERROR(INDEX(PP_Grid[#Data],$DE1245,18),0)</f>
        <v/>
      </c>
      <c r="V1245">
        <f>IFERROR(INDEX(PP_Grid[#Data],$DE1245,19),0)</f>
        <v/>
      </c>
      <c r="W1245">
        <f>IFERROR(INDEX(PP_Grid[#Data],$DE1245,20),0)</f>
        <v/>
      </c>
      <c r="X1245">
        <f>IFERROR(INDEX(PP_Grid[#Data],$DE1245,21),0)</f>
        <v/>
      </c>
      <c r="Y1245">
        <f>IFERROR(INDEX(PP_Grid[#Data],$DE1245,22),0)</f>
        <v/>
      </c>
      <c r="Z1245">
        <f>IFERROR(INDEX(PP_Grid[#Data],$DE1245,23),0)</f>
        <v/>
      </c>
      <c r="AA1245">
        <f>IFERROR(INDEX(PP_Grid[#Data],$DE1245,24),0)</f>
        <v/>
      </c>
      <c r="AB1245">
        <f>IFERROR(INDEX(PP_Grid[#Data],$DE1245,25),0)</f>
        <v/>
      </c>
      <c r="AC1245">
        <f>IFERROR(INDEX(PP_Grid[#Data],$DE1245,26),0)</f>
        <v/>
      </c>
      <c r="AD1245">
        <f>IFERROR(INDEX(PP_Grid[#Data],$DE1245,27),0)</f>
        <v/>
      </c>
      <c r="AE1245">
        <f>IFERROR(INDEX(PP_Grid[#Data],$DE1245,28),0)</f>
        <v/>
      </c>
      <c r="AF1245">
        <f>IFERROR(INDEX(PP_Grid[#Data],$DE1245,29),0)</f>
        <v/>
      </c>
      <c r="AG1245">
        <f>IFERROR(INDEX(PP_Grid[#Data],$DE1245,30),0)</f>
        <v/>
      </c>
      <c r="AH1245">
        <f>IFERROR(INDEX(PP_Grid[#Data],$DE1245,31),0)</f>
        <v/>
      </c>
      <c r="AI1245">
        <f>IFERROR(INDEX(PP_Grid[#Data],$DE1245,32),0)</f>
        <v/>
      </c>
      <c r="AJ1245">
        <f>IFERROR(INDEX(PP_Grid[#Data],$DE1245,33),0)</f>
        <v/>
      </c>
      <c r="AK1245">
        <f>IFERROR(INDEX(PP_Grid[#Data],$DE1245,34),0)</f>
        <v/>
      </c>
      <c r="AL1245">
        <f>IFERROR(INDEX(PP_Grid[#Data],$DE1245,35),0)</f>
        <v/>
      </c>
      <c r="AM1245">
        <f>IFERROR(INDEX(PP_Grid[#Data],$DE1245,36),0)</f>
        <v/>
      </c>
      <c r="AN1245">
        <f>IFERROR(INDEX(PP_Grid[#Data],$DE1245,37),0)</f>
        <v/>
      </c>
      <c r="AO1245">
        <f>IFERROR(INDEX(PP_Grid[#Data],$DE1245,38),0)</f>
        <v/>
      </c>
      <c r="AP1245">
        <f>IFERROR(INDEX(PP_Grid[#Data],$DE1245,39),0)</f>
        <v/>
      </c>
      <c r="AQ1245">
        <f>IFERROR(INDEX(PP_Grid[#Data],$DE1245,40),0)</f>
        <v/>
      </c>
      <c r="AR1245">
        <f>IFERROR(INDEX(PP_Grid[#Data],$DE1245,41),0)</f>
        <v/>
      </c>
      <c r="AS1245">
        <f>IFERROR(INDEX(PP_Grid[#Data],$DE1245,42),0)</f>
        <v/>
      </c>
      <c r="AT1245">
        <f>IFERROR(INDEX(PP_Grid[#Data],$DE1245,43),0)</f>
        <v/>
      </c>
      <c r="AU1245">
        <f>IFERROR(INDEX(PP_Grid[#Data],$DE1245,44),0)</f>
        <v/>
      </c>
      <c r="AV1245">
        <f>IFERROR(INDEX(PP_Grid[#Data],$DE1245,45),0)</f>
        <v/>
      </c>
      <c r="AW1245">
        <f>IFERROR(INDEX(PP_Grid[#Data],$DE1245,46),0)</f>
        <v/>
      </c>
      <c r="AX1245">
        <f>IFERROR(INDEX(PP_Grid[#Data],$DE1245,47),0)</f>
        <v/>
      </c>
      <c r="AY1245">
        <f>IFERROR(INDEX(PP_Grid[#Data],$DE1245,48),0)</f>
        <v/>
      </c>
      <c r="AZ1245">
        <f>IFERROR(INDEX(PP_Grid[#Data],$DE1245,49),0)</f>
        <v/>
      </c>
      <c r="BA1245">
        <f>IFERROR(INDEX(PP_Grid[#Data],$DE1245,50),0)</f>
        <v/>
      </c>
      <c r="BB1245">
        <f>IFERROR(INDEX(PP_Grid[#Data],$DE1245,51),0)</f>
        <v/>
      </c>
      <c r="BC1245">
        <f>IFERROR(INDEX(PP_Grid[#Data],$DE1245,52),0)</f>
        <v/>
      </c>
      <c r="BD1245">
        <f>IFERROR(INDEX(PP_Grid[#Data],$DE1245,53),0)</f>
        <v/>
      </c>
      <c r="BE1245">
        <f>IFERROR(INDEX(PP_Grid[#Data],$DE1245,54),0)</f>
        <v/>
      </c>
      <c r="BF1245">
        <f>IFERROR(INDEX(PP_Grid[#Data],$DE1245,55),0)</f>
        <v/>
      </c>
      <c r="BG1245">
        <f>IFERROR(INDEX(PP_Grid[#Data],$DE1245,56),0)</f>
        <v/>
      </c>
      <c r="BH1245">
        <f>IFERROR(INDEX(PP_Grid[#Data],$DE1245,57),0)</f>
        <v/>
      </c>
      <c r="BI1245">
        <f>IFERROR(INDEX(PP_Grid[#Data],$DE1245,58),0)</f>
        <v/>
      </c>
      <c r="BJ1245">
        <f>IFERROR(INDEX(PP_Grid[#Data],$DE1245,59),0)</f>
        <v/>
      </c>
      <c r="BK1245">
        <f>IFERROR(INDEX(PP_Grid[#Data],$DE1245,60),0)</f>
        <v/>
      </c>
      <c r="BL1245">
        <f>IFERROR(INDEX(PP_Grid[#Data],$DE1245,61),0)</f>
        <v/>
      </c>
      <c r="BM1245">
        <f>IFERROR(INDEX(PP_Grid[#Data],$DE1245,62),0)</f>
        <v/>
      </c>
      <c r="BN1245">
        <f>IFERROR(INDEX(PP_Grid[#Data],$DE1245,63),0)</f>
        <v/>
      </c>
      <c r="BO1245">
        <f>IFERROR(INDEX(PP_Grid[#Data],$DE1245,64),0)</f>
        <v/>
      </c>
      <c r="BP1245">
        <f>IFERROR(INDEX(PP_Grid[#Data],$DE1245,65),0)</f>
        <v/>
      </c>
      <c r="BQ1245">
        <f>IFERROR(INDEX(PP_Grid[#Data],$DE1245,66),0)</f>
        <v/>
      </c>
      <c r="BR1245">
        <f>IFERROR(INDEX(PP_Grid[#Data],$DE1245,67),0)</f>
        <v/>
      </c>
      <c r="BS1245">
        <f>IFERROR(INDEX(PP_Grid[#Data],$DE1245,68),0)</f>
        <v/>
      </c>
      <c r="BT1245">
        <f>IFERROR(INDEX(PP_Grid[#Data],$DE1245,69),0)</f>
        <v/>
      </c>
      <c r="BU1245">
        <f>IFERROR(INDEX(PP_Grid[#Data],$DE1245,70),0)</f>
        <v/>
      </c>
      <c r="BV1245">
        <f>IFERROR(INDEX(PP_Grid[#Data],$DE1245,71),0)</f>
        <v/>
      </c>
      <c r="BW1245">
        <f>IFERROR(INDEX(PP_Grid[#Data],$DE1245,72),0)</f>
        <v/>
      </c>
      <c r="BX1245">
        <f>IFERROR(INDEX(PP_Grid[#Data],$DE1245,73),0)</f>
        <v/>
      </c>
      <c r="BY1245">
        <f>IFERROR(INDEX(PP_Grid[#Data],$DE1245,74),0)</f>
        <v/>
      </c>
      <c r="BZ1245">
        <f>IFERROR(INDEX(PP_Grid[#Data],$DE1245,75),0)</f>
        <v/>
      </c>
      <c r="CA1245">
        <f>IFERROR(INDEX(PP_Grid[#Data],$DE1245,76),0)</f>
        <v/>
      </c>
      <c r="CB1245">
        <f>IFERROR(INDEX(PP_Grid[#Data],$DE1245,77),0)</f>
        <v/>
      </c>
      <c r="CC1245">
        <f>IFERROR(INDEX(PP_Grid[#Data],$DE1245,78),0)</f>
        <v/>
      </c>
      <c r="CD1245">
        <f>IFERROR(INDEX(PP_Grid[#Data],$DE1245,79),0)</f>
        <v/>
      </c>
      <c r="CE1245">
        <f>IFERROR(INDEX(PP_Grid[#Data],$DE1245,80),0)</f>
        <v/>
      </c>
      <c r="CF1245">
        <f>IFERROR(INDEX(PP_Grid[#Data],$DE1245,81),0)</f>
        <v/>
      </c>
      <c r="CG1245">
        <f>IFERROR(INDEX(PP_Grid[#Data],$DE1245,82),0)</f>
        <v/>
      </c>
      <c r="CH1245">
        <f>IFERROR(INDEX(PP_Grid[#Data],$DE1245,83),0)</f>
        <v/>
      </c>
      <c r="CI1245">
        <f>IFERROR(INDEX(PP_Grid[#Data],$DE1245,84),0)</f>
        <v/>
      </c>
      <c r="CJ1245">
        <f>IFERROR(INDEX(PP_Grid[#Data],$DE1245,85),0)</f>
        <v/>
      </c>
      <c r="CK1245">
        <f>IFERROR(INDEX(PP_Grid[#Data],$DE1245,86),0)</f>
        <v/>
      </c>
      <c r="CL1245">
        <f>IFERROR(INDEX(PP_Grid[#Data],$DE1245,87),0)</f>
        <v/>
      </c>
      <c r="CM1245">
        <f>IFERROR(INDEX(PP_Grid[#Data],$DE1245,88),0)</f>
        <v/>
      </c>
      <c r="CN1245">
        <f>IFERROR(INDEX(PP_Grid[#Data],$DE1245,89),0)</f>
        <v/>
      </c>
      <c r="CO1245">
        <f>IFERROR(INDEX(PP_Grid[#Data],$DE1245,90),0)</f>
        <v/>
      </c>
      <c r="CP1245">
        <f>IFERROR(INDEX(PP_Grid[#Data],$DE1245,91),0)</f>
        <v/>
      </c>
      <c r="CQ1245">
        <f>IFERROR(INDEX(PP_Grid[#Data],$DE1245,92),0)</f>
        <v/>
      </c>
      <c r="CR1245">
        <f>IFERROR(INDEX(PP_Grid[#Data],$DE1245,93),0)</f>
        <v/>
      </c>
      <c r="CS1245">
        <f>IFERROR(INDEX(PP_Grid[#Data],$DE1245,94),0)</f>
        <v/>
      </c>
      <c r="CT1245">
        <f>IFERROR(INDEX(PP_Grid[#Data],$DE1245,95),0)</f>
        <v/>
      </c>
      <c r="CU1245">
        <f>IFERROR(INDEX(PP_Grid[#Data],$DE1245,96),0)</f>
        <v/>
      </c>
      <c r="CV1245">
        <f>IFERROR(INDEX(PP_Grid[#Data],$DE1245,97),0)</f>
        <v/>
      </c>
      <c r="CW1245">
        <f>IFERROR(INDEX(PP_Grid[#Data],$DE1245,98),0)</f>
        <v/>
      </c>
      <c r="CX1245">
        <f>IFERROR(INDEX(PP_Grid[#Data],$DE1245,99),0)</f>
        <v/>
      </c>
      <c r="CY1245">
        <f>IFERROR(INDEX(PP_Grid[#Data],$DE1245,100),0)</f>
        <v/>
      </c>
      <c r="CZ1245">
        <f>IFERROR(INDEX(PP_Grid[#Data],$DE1245,101),0)</f>
        <v/>
      </c>
      <c r="DA1245">
        <f>IFERROR(INDEX(PP_Grid[#Data],$DE1245,102),0)</f>
        <v/>
      </c>
      <c r="DB1245">
        <f>IFERROR(INDEX(PP_Grid[#Data],$DE1245,103),0)</f>
        <v/>
      </c>
      <c r="DC1245">
        <f>IFERROR(INDEX(PP_Grid[#Data],$DE1245,104),0)</f>
        <v/>
      </c>
      <c r="DD1245">
        <f>IFERROR(INDEX(PP_Grid[#Data],$DE1245,105),0)</f>
        <v/>
      </c>
      <c r="DE1245" s="7">
        <f>IFERROR(MATCH($B1245,PP_Grid[Intermediate],0),99999)</f>
        <v/>
      </c>
    </row>
    <row r="1246">
      <c r="B1246" t="inlineStr">
        <is>
          <t>使用量(kg)</t>
        </is>
      </c>
      <c r="C1246">
        <f>SUMIFS(M_BOM[RM_Qty_Per_Batch],M_BOM[Intermediate],$B1245,M_BOM[RM_Code],$A1222)</f>
        <v/>
      </c>
      <c r="D1246">
        <f>IFERROR(INDEX(E1246:DD1246,$F$1),"")</f>
        <v/>
      </c>
      <c r="E1246">
        <f>$C1246*E1245</f>
        <v/>
      </c>
      <c r="F1246">
        <f>$C1246*F1245</f>
        <v/>
      </c>
      <c r="G1246">
        <f>$C1246*G1245</f>
        <v/>
      </c>
      <c r="H1246">
        <f>$C1246*H1245</f>
        <v/>
      </c>
      <c r="I1246">
        <f>$C1246*I1245</f>
        <v/>
      </c>
      <c r="J1246">
        <f>$C1246*J1245</f>
        <v/>
      </c>
      <c r="K1246">
        <f>$C1246*K1245</f>
        <v/>
      </c>
      <c r="L1246">
        <f>$C1246*L1245</f>
        <v/>
      </c>
      <c r="M1246">
        <f>$C1246*M1245</f>
        <v/>
      </c>
      <c r="N1246">
        <f>$C1246*N1245</f>
        <v/>
      </c>
      <c r="O1246">
        <f>$C1246*O1245</f>
        <v/>
      </c>
      <c r="P1246">
        <f>$C1246*P1245</f>
        <v/>
      </c>
      <c r="Q1246">
        <f>$C1246*Q1245</f>
        <v/>
      </c>
      <c r="R1246">
        <f>$C1246*R1245</f>
        <v/>
      </c>
      <c r="S1246">
        <f>$C1246*S1245</f>
        <v/>
      </c>
      <c r="T1246">
        <f>$C1246*T1245</f>
        <v/>
      </c>
      <c r="U1246">
        <f>$C1246*U1245</f>
        <v/>
      </c>
      <c r="V1246">
        <f>$C1246*V1245</f>
        <v/>
      </c>
      <c r="W1246">
        <f>$C1246*W1245</f>
        <v/>
      </c>
      <c r="X1246">
        <f>$C1246*X1245</f>
        <v/>
      </c>
      <c r="Y1246">
        <f>$C1246*Y1245</f>
        <v/>
      </c>
      <c r="Z1246">
        <f>$C1246*Z1245</f>
        <v/>
      </c>
      <c r="AA1246">
        <f>$C1246*AA1245</f>
        <v/>
      </c>
      <c r="AB1246">
        <f>$C1246*AB1245</f>
        <v/>
      </c>
      <c r="AC1246">
        <f>$C1246*AC1245</f>
        <v/>
      </c>
      <c r="AD1246">
        <f>$C1246*AD1245</f>
        <v/>
      </c>
      <c r="AE1246">
        <f>$C1246*AE1245</f>
        <v/>
      </c>
      <c r="AF1246">
        <f>$C1246*AF1245</f>
        <v/>
      </c>
      <c r="AG1246">
        <f>$C1246*AG1245</f>
        <v/>
      </c>
      <c r="AH1246">
        <f>$C1246*AH1245</f>
        <v/>
      </c>
      <c r="AI1246">
        <f>$C1246*AI1245</f>
        <v/>
      </c>
      <c r="AJ1246">
        <f>$C1246*AJ1245</f>
        <v/>
      </c>
      <c r="AK1246">
        <f>$C1246*AK1245</f>
        <v/>
      </c>
      <c r="AL1246">
        <f>$C1246*AL1245</f>
        <v/>
      </c>
      <c r="AM1246">
        <f>$C1246*AM1245</f>
        <v/>
      </c>
      <c r="AN1246">
        <f>$C1246*AN1245</f>
        <v/>
      </c>
      <c r="AO1246">
        <f>$C1246*AO1245</f>
        <v/>
      </c>
      <c r="AP1246">
        <f>$C1246*AP1245</f>
        <v/>
      </c>
      <c r="AQ1246">
        <f>$C1246*AQ1245</f>
        <v/>
      </c>
      <c r="AR1246">
        <f>$C1246*AR1245</f>
        <v/>
      </c>
      <c r="AS1246">
        <f>$C1246*AS1245</f>
        <v/>
      </c>
      <c r="AT1246">
        <f>$C1246*AT1245</f>
        <v/>
      </c>
      <c r="AU1246">
        <f>$C1246*AU1245</f>
        <v/>
      </c>
      <c r="AV1246">
        <f>$C1246*AV1245</f>
        <v/>
      </c>
      <c r="AW1246">
        <f>$C1246*AW1245</f>
        <v/>
      </c>
      <c r="AX1246">
        <f>$C1246*AX1245</f>
        <v/>
      </c>
      <c r="AY1246">
        <f>$C1246*AY1245</f>
        <v/>
      </c>
      <c r="AZ1246">
        <f>$C1246*AZ1245</f>
        <v/>
      </c>
      <c r="BA1246">
        <f>$C1246*BA1245</f>
        <v/>
      </c>
      <c r="BB1246">
        <f>$C1246*BB1245</f>
        <v/>
      </c>
      <c r="BC1246">
        <f>$C1246*BC1245</f>
        <v/>
      </c>
      <c r="BD1246">
        <f>$C1246*BD1245</f>
        <v/>
      </c>
      <c r="BE1246">
        <f>$C1246*BE1245</f>
        <v/>
      </c>
      <c r="BF1246">
        <f>$C1246*BF1245</f>
        <v/>
      </c>
      <c r="BG1246">
        <f>$C1246*BG1245</f>
        <v/>
      </c>
      <c r="BH1246">
        <f>$C1246*BH1245</f>
        <v/>
      </c>
      <c r="BI1246">
        <f>$C1246*BI1245</f>
        <v/>
      </c>
      <c r="BJ1246">
        <f>$C1246*BJ1245</f>
        <v/>
      </c>
      <c r="BK1246">
        <f>$C1246*BK1245</f>
        <v/>
      </c>
      <c r="BL1246">
        <f>$C1246*BL1245</f>
        <v/>
      </c>
      <c r="BM1246">
        <f>$C1246*BM1245</f>
        <v/>
      </c>
      <c r="BN1246">
        <f>$C1246*BN1245</f>
        <v/>
      </c>
      <c r="BO1246">
        <f>$C1246*BO1245</f>
        <v/>
      </c>
      <c r="BP1246">
        <f>$C1246*BP1245</f>
        <v/>
      </c>
      <c r="BQ1246">
        <f>$C1246*BQ1245</f>
        <v/>
      </c>
      <c r="BR1246">
        <f>$C1246*BR1245</f>
        <v/>
      </c>
      <c r="BS1246">
        <f>$C1246*BS1245</f>
        <v/>
      </c>
      <c r="BT1246">
        <f>$C1246*BT1245</f>
        <v/>
      </c>
      <c r="BU1246">
        <f>$C1246*BU1245</f>
        <v/>
      </c>
      <c r="BV1246">
        <f>$C1246*BV1245</f>
        <v/>
      </c>
      <c r="BW1246">
        <f>$C1246*BW1245</f>
        <v/>
      </c>
      <c r="BX1246">
        <f>$C1246*BX1245</f>
        <v/>
      </c>
      <c r="BY1246">
        <f>$C1246*BY1245</f>
        <v/>
      </c>
      <c r="BZ1246">
        <f>$C1246*BZ1245</f>
        <v/>
      </c>
      <c r="CA1246">
        <f>$C1246*CA1245</f>
        <v/>
      </c>
      <c r="CB1246">
        <f>$C1246*CB1245</f>
        <v/>
      </c>
      <c r="CC1246">
        <f>$C1246*CC1245</f>
        <v/>
      </c>
      <c r="CD1246">
        <f>$C1246*CD1245</f>
        <v/>
      </c>
      <c r="CE1246">
        <f>$C1246*CE1245</f>
        <v/>
      </c>
      <c r="CF1246">
        <f>$C1246*CF1245</f>
        <v/>
      </c>
      <c r="CG1246">
        <f>$C1246*CG1245</f>
        <v/>
      </c>
      <c r="CH1246">
        <f>$C1246*CH1245</f>
        <v/>
      </c>
      <c r="CI1246">
        <f>$C1246*CI1245</f>
        <v/>
      </c>
      <c r="CJ1246">
        <f>$C1246*CJ1245</f>
        <v/>
      </c>
      <c r="CK1246">
        <f>$C1246*CK1245</f>
        <v/>
      </c>
      <c r="CL1246">
        <f>$C1246*CL1245</f>
        <v/>
      </c>
      <c r="CM1246">
        <f>$C1246*CM1245</f>
        <v/>
      </c>
      <c r="CN1246">
        <f>$C1246*CN1245</f>
        <v/>
      </c>
      <c r="CO1246">
        <f>$C1246*CO1245</f>
        <v/>
      </c>
      <c r="CP1246">
        <f>$C1246*CP1245</f>
        <v/>
      </c>
      <c r="CQ1246">
        <f>$C1246*CQ1245</f>
        <v/>
      </c>
      <c r="CR1246">
        <f>$C1246*CR1245</f>
        <v/>
      </c>
      <c r="CS1246">
        <f>$C1246*CS1245</f>
        <v/>
      </c>
      <c r="CT1246">
        <f>$C1246*CT1245</f>
        <v/>
      </c>
      <c r="CU1246">
        <f>$C1246*CU1245</f>
        <v/>
      </c>
      <c r="CV1246">
        <f>$C1246*CV1245</f>
        <v/>
      </c>
      <c r="CW1246">
        <f>$C1246*CW1245</f>
        <v/>
      </c>
      <c r="CX1246">
        <f>$C1246*CX1245</f>
        <v/>
      </c>
      <c r="CY1246">
        <f>$C1246*CY1245</f>
        <v/>
      </c>
      <c r="CZ1246">
        <f>$C1246*CZ1245</f>
        <v/>
      </c>
      <c r="DA1246">
        <f>$C1246*DA1245</f>
        <v/>
      </c>
      <c r="DB1246">
        <f>$C1246*DB1245</f>
        <v/>
      </c>
      <c r="DC1246">
        <f>$C1246*DC1245</f>
        <v/>
      </c>
      <c r="DD1246">
        <f>$C1246*DD1245</f>
        <v/>
      </c>
    </row>
    <row r="1247">
      <c r="B1247" t="inlineStr">
        <is>
          <t>TSP-959</t>
        </is>
      </c>
      <c r="C1247" t="inlineStr">
        <is>
          <t>No. of batches</t>
        </is>
      </c>
      <c r="D1247">
        <f>IFERROR(INDEX(E1247:DD1247,$F$1),"")</f>
        <v/>
      </c>
      <c r="E1247">
        <f>IFERROR(INDEX(PP_Grid[#Data],$DE1247,2),0)</f>
        <v/>
      </c>
      <c r="F1247">
        <f>IFERROR(INDEX(PP_Grid[#Data],$DE1247,3),0)</f>
        <v/>
      </c>
      <c r="G1247">
        <f>IFERROR(INDEX(PP_Grid[#Data],$DE1247,4),0)</f>
        <v/>
      </c>
      <c r="H1247">
        <f>IFERROR(INDEX(PP_Grid[#Data],$DE1247,5),0)</f>
        <v/>
      </c>
      <c r="I1247">
        <f>IFERROR(INDEX(PP_Grid[#Data],$DE1247,6),0)</f>
        <v/>
      </c>
      <c r="J1247">
        <f>IFERROR(INDEX(PP_Grid[#Data],$DE1247,7),0)</f>
        <v/>
      </c>
      <c r="K1247">
        <f>IFERROR(INDEX(PP_Grid[#Data],$DE1247,8),0)</f>
        <v/>
      </c>
      <c r="L1247">
        <f>IFERROR(INDEX(PP_Grid[#Data],$DE1247,9),0)</f>
        <v/>
      </c>
      <c r="M1247">
        <f>IFERROR(INDEX(PP_Grid[#Data],$DE1247,10),0)</f>
        <v/>
      </c>
      <c r="N1247">
        <f>IFERROR(INDEX(PP_Grid[#Data],$DE1247,11),0)</f>
        <v/>
      </c>
      <c r="O1247">
        <f>IFERROR(INDEX(PP_Grid[#Data],$DE1247,12),0)</f>
        <v/>
      </c>
      <c r="P1247">
        <f>IFERROR(INDEX(PP_Grid[#Data],$DE1247,13),0)</f>
        <v/>
      </c>
      <c r="Q1247">
        <f>IFERROR(INDEX(PP_Grid[#Data],$DE1247,14),0)</f>
        <v/>
      </c>
      <c r="R1247">
        <f>IFERROR(INDEX(PP_Grid[#Data],$DE1247,15),0)</f>
        <v/>
      </c>
      <c r="S1247">
        <f>IFERROR(INDEX(PP_Grid[#Data],$DE1247,16),0)</f>
        <v/>
      </c>
      <c r="T1247">
        <f>IFERROR(INDEX(PP_Grid[#Data],$DE1247,17),0)</f>
        <v/>
      </c>
      <c r="U1247">
        <f>IFERROR(INDEX(PP_Grid[#Data],$DE1247,18),0)</f>
        <v/>
      </c>
      <c r="V1247">
        <f>IFERROR(INDEX(PP_Grid[#Data],$DE1247,19),0)</f>
        <v/>
      </c>
      <c r="W1247">
        <f>IFERROR(INDEX(PP_Grid[#Data],$DE1247,20),0)</f>
        <v/>
      </c>
      <c r="X1247">
        <f>IFERROR(INDEX(PP_Grid[#Data],$DE1247,21),0)</f>
        <v/>
      </c>
      <c r="Y1247">
        <f>IFERROR(INDEX(PP_Grid[#Data],$DE1247,22),0)</f>
        <v/>
      </c>
      <c r="Z1247">
        <f>IFERROR(INDEX(PP_Grid[#Data],$DE1247,23),0)</f>
        <v/>
      </c>
      <c r="AA1247">
        <f>IFERROR(INDEX(PP_Grid[#Data],$DE1247,24),0)</f>
        <v/>
      </c>
      <c r="AB1247">
        <f>IFERROR(INDEX(PP_Grid[#Data],$DE1247,25),0)</f>
        <v/>
      </c>
      <c r="AC1247">
        <f>IFERROR(INDEX(PP_Grid[#Data],$DE1247,26),0)</f>
        <v/>
      </c>
      <c r="AD1247">
        <f>IFERROR(INDEX(PP_Grid[#Data],$DE1247,27),0)</f>
        <v/>
      </c>
      <c r="AE1247">
        <f>IFERROR(INDEX(PP_Grid[#Data],$DE1247,28),0)</f>
        <v/>
      </c>
      <c r="AF1247">
        <f>IFERROR(INDEX(PP_Grid[#Data],$DE1247,29),0)</f>
        <v/>
      </c>
      <c r="AG1247">
        <f>IFERROR(INDEX(PP_Grid[#Data],$DE1247,30),0)</f>
        <v/>
      </c>
      <c r="AH1247">
        <f>IFERROR(INDEX(PP_Grid[#Data],$DE1247,31),0)</f>
        <v/>
      </c>
      <c r="AI1247">
        <f>IFERROR(INDEX(PP_Grid[#Data],$DE1247,32),0)</f>
        <v/>
      </c>
      <c r="AJ1247">
        <f>IFERROR(INDEX(PP_Grid[#Data],$DE1247,33),0)</f>
        <v/>
      </c>
      <c r="AK1247">
        <f>IFERROR(INDEX(PP_Grid[#Data],$DE1247,34),0)</f>
        <v/>
      </c>
      <c r="AL1247">
        <f>IFERROR(INDEX(PP_Grid[#Data],$DE1247,35),0)</f>
        <v/>
      </c>
      <c r="AM1247">
        <f>IFERROR(INDEX(PP_Grid[#Data],$DE1247,36),0)</f>
        <v/>
      </c>
      <c r="AN1247">
        <f>IFERROR(INDEX(PP_Grid[#Data],$DE1247,37),0)</f>
        <v/>
      </c>
      <c r="AO1247">
        <f>IFERROR(INDEX(PP_Grid[#Data],$DE1247,38),0)</f>
        <v/>
      </c>
      <c r="AP1247">
        <f>IFERROR(INDEX(PP_Grid[#Data],$DE1247,39),0)</f>
        <v/>
      </c>
      <c r="AQ1247">
        <f>IFERROR(INDEX(PP_Grid[#Data],$DE1247,40),0)</f>
        <v/>
      </c>
      <c r="AR1247">
        <f>IFERROR(INDEX(PP_Grid[#Data],$DE1247,41),0)</f>
        <v/>
      </c>
      <c r="AS1247">
        <f>IFERROR(INDEX(PP_Grid[#Data],$DE1247,42),0)</f>
        <v/>
      </c>
      <c r="AT1247">
        <f>IFERROR(INDEX(PP_Grid[#Data],$DE1247,43),0)</f>
        <v/>
      </c>
      <c r="AU1247">
        <f>IFERROR(INDEX(PP_Grid[#Data],$DE1247,44),0)</f>
        <v/>
      </c>
      <c r="AV1247">
        <f>IFERROR(INDEX(PP_Grid[#Data],$DE1247,45),0)</f>
        <v/>
      </c>
      <c r="AW1247">
        <f>IFERROR(INDEX(PP_Grid[#Data],$DE1247,46),0)</f>
        <v/>
      </c>
      <c r="AX1247">
        <f>IFERROR(INDEX(PP_Grid[#Data],$DE1247,47),0)</f>
        <v/>
      </c>
      <c r="AY1247">
        <f>IFERROR(INDEX(PP_Grid[#Data],$DE1247,48),0)</f>
        <v/>
      </c>
      <c r="AZ1247">
        <f>IFERROR(INDEX(PP_Grid[#Data],$DE1247,49),0)</f>
        <v/>
      </c>
      <c r="BA1247">
        <f>IFERROR(INDEX(PP_Grid[#Data],$DE1247,50),0)</f>
        <v/>
      </c>
      <c r="BB1247">
        <f>IFERROR(INDEX(PP_Grid[#Data],$DE1247,51),0)</f>
        <v/>
      </c>
      <c r="BC1247">
        <f>IFERROR(INDEX(PP_Grid[#Data],$DE1247,52),0)</f>
        <v/>
      </c>
      <c r="BD1247">
        <f>IFERROR(INDEX(PP_Grid[#Data],$DE1247,53),0)</f>
        <v/>
      </c>
      <c r="BE1247">
        <f>IFERROR(INDEX(PP_Grid[#Data],$DE1247,54),0)</f>
        <v/>
      </c>
      <c r="BF1247">
        <f>IFERROR(INDEX(PP_Grid[#Data],$DE1247,55),0)</f>
        <v/>
      </c>
      <c r="BG1247">
        <f>IFERROR(INDEX(PP_Grid[#Data],$DE1247,56),0)</f>
        <v/>
      </c>
      <c r="BH1247">
        <f>IFERROR(INDEX(PP_Grid[#Data],$DE1247,57),0)</f>
        <v/>
      </c>
      <c r="BI1247">
        <f>IFERROR(INDEX(PP_Grid[#Data],$DE1247,58),0)</f>
        <v/>
      </c>
      <c r="BJ1247">
        <f>IFERROR(INDEX(PP_Grid[#Data],$DE1247,59),0)</f>
        <v/>
      </c>
      <c r="BK1247">
        <f>IFERROR(INDEX(PP_Grid[#Data],$DE1247,60),0)</f>
        <v/>
      </c>
      <c r="BL1247">
        <f>IFERROR(INDEX(PP_Grid[#Data],$DE1247,61),0)</f>
        <v/>
      </c>
      <c r="BM1247">
        <f>IFERROR(INDEX(PP_Grid[#Data],$DE1247,62),0)</f>
        <v/>
      </c>
      <c r="BN1247">
        <f>IFERROR(INDEX(PP_Grid[#Data],$DE1247,63),0)</f>
        <v/>
      </c>
      <c r="BO1247">
        <f>IFERROR(INDEX(PP_Grid[#Data],$DE1247,64),0)</f>
        <v/>
      </c>
      <c r="BP1247">
        <f>IFERROR(INDEX(PP_Grid[#Data],$DE1247,65),0)</f>
        <v/>
      </c>
      <c r="BQ1247">
        <f>IFERROR(INDEX(PP_Grid[#Data],$DE1247,66),0)</f>
        <v/>
      </c>
      <c r="BR1247">
        <f>IFERROR(INDEX(PP_Grid[#Data],$DE1247,67),0)</f>
        <v/>
      </c>
      <c r="BS1247">
        <f>IFERROR(INDEX(PP_Grid[#Data],$DE1247,68),0)</f>
        <v/>
      </c>
      <c r="BT1247">
        <f>IFERROR(INDEX(PP_Grid[#Data],$DE1247,69),0)</f>
        <v/>
      </c>
      <c r="BU1247">
        <f>IFERROR(INDEX(PP_Grid[#Data],$DE1247,70),0)</f>
        <v/>
      </c>
      <c r="BV1247">
        <f>IFERROR(INDEX(PP_Grid[#Data],$DE1247,71),0)</f>
        <v/>
      </c>
      <c r="BW1247">
        <f>IFERROR(INDEX(PP_Grid[#Data],$DE1247,72),0)</f>
        <v/>
      </c>
      <c r="BX1247">
        <f>IFERROR(INDEX(PP_Grid[#Data],$DE1247,73),0)</f>
        <v/>
      </c>
      <c r="BY1247">
        <f>IFERROR(INDEX(PP_Grid[#Data],$DE1247,74),0)</f>
        <v/>
      </c>
      <c r="BZ1247">
        <f>IFERROR(INDEX(PP_Grid[#Data],$DE1247,75),0)</f>
        <v/>
      </c>
      <c r="CA1247">
        <f>IFERROR(INDEX(PP_Grid[#Data],$DE1247,76),0)</f>
        <v/>
      </c>
      <c r="CB1247">
        <f>IFERROR(INDEX(PP_Grid[#Data],$DE1247,77),0)</f>
        <v/>
      </c>
      <c r="CC1247">
        <f>IFERROR(INDEX(PP_Grid[#Data],$DE1247,78),0)</f>
        <v/>
      </c>
      <c r="CD1247">
        <f>IFERROR(INDEX(PP_Grid[#Data],$DE1247,79),0)</f>
        <v/>
      </c>
      <c r="CE1247">
        <f>IFERROR(INDEX(PP_Grid[#Data],$DE1247,80),0)</f>
        <v/>
      </c>
      <c r="CF1247">
        <f>IFERROR(INDEX(PP_Grid[#Data],$DE1247,81),0)</f>
        <v/>
      </c>
      <c r="CG1247">
        <f>IFERROR(INDEX(PP_Grid[#Data],$DE1247,82),0)</f>
        <v/>
      </c>
      <c r="CH1247">
        <f>IFERROR(INDEX(PP_Grid[#Data],$DE1247,83),0)</f>
        <v/>
      </c>
      <c r="CI1247">
        <f>IFERROR(INDEX(PP_Grid[#Data],$DE1247,84),0)</f>
        <v/>
      </c>
      <c r="CJ1247">
        <f>IFERROR(INDEX(PP_Grid[#Data],$DE1247,85),0)</f>
        <v/>
      </c>
      <c r="CK1247">
        <f>IFERROR(INDEX(PP_Grid[#Data],$DE1247,86),0)</f>
        <v/>
      </c>
      <c r="CL1247">
        <f>IFERROR(INDEX(PP_Grid[#Data],$DE1247,87),0)</f>
        <v/>
      </c>
      <c r="CM1247">
        <f>IFERROR(INDEX(PP_Grid[#Data],$DE1247,88),0)</f>
        <v/>
      </c>
      <c r="CN1247">
        <f>IFERROR(INDEX(PP_Grid[#Data],$DE1247,89),0)</f>
        <v/>
      </c>
      <c r="CO1247">
        <f>IFERROR(INDEX(PP_Grid[#Data],$DE1247,90),0)</f>
        <v/>
      </c>
      <c r="CP1247">
        <f>IFERROR(INDEX(PP_Grid[#Data],$DE1247,91),0)</f>
        <v/>
      </c>
      <c r="CQ1247">
        <f>IFERROR(INDEX(PP_Grid[#Data],$DE1247,92),0)</f>
        <v/>
      </c>
      <c r="CR1247">
        <f>IFERROR(INDEX(PP_Grid[#Data],$DE1247,93),0)</f>
        <v/>
      </c>
      <c r="CS1247">
        <f>IFERROR(INDEX(PP_Grid[#Data],$DE1247,94),0)</f>
        <v/>
      </c>
      <c r="CT1247">
        <f>IFERROR(INDEX(PP_Grid[#Data],$DE1247,95),0)</f>
        <v/>
      </c>
      <c r="CU1247">
        <f>IFERROR(INDEX(PP_Grid[#Data],$DE1247,96),0)</f>
        <v/>
      </c>
      <c r="CV1247">
        <f>IFERROR(INDEX(PP_Grid[#Data],$DE1247,97),0)</f>
        <v/>
      </c>
      <c r="CW1247">
        <f>IFERROR(INDEX(PP_Grid[#Data],$DE1247,98),0)</f>
        <v/>
      </c>
      <c r="CX1247">
        <f>IFERROR(INDEX(PP_Grid[#Data],$DE1247,99),0)</f>
        <v/>
      </c>
      <c r="CY1247">
        <f>IFERROR(INDEX(PP_Grid[#Data],$DE1247,100),0)</f>
        <v/>
      </c>
      <c r="CZ1247">
        <f>IFERROR(INDEX(PP_Grid[#Data],$DE1247,101),0)</f>
        <v/>
      </c>
      <c r="DA1247">
        <f>IFERROR(INDEX(PP_Grid[#Data],$DE1247,102),0)</f>
        <v/>
      </c>
      <c r="DB1247">
        <f>IFERROR(INDEX(PP_Grid[#Data],$DE1247,103),0)</f>
        <v/>
      </c>
      <c r="DC1247">
        <f>IFERROR(INDEX(PP_Grid[#Data],$DE1247,104),0)</f>
        <v/>
      </c>
      <c r="DD1247">
        <f>IFERROR(INDEX(PP_Grid[#Data],$DE1247,105),0)</f>
        <v/>
      </c>
      <c r="DE1247" s="7">
        <f>IFERROR(MATCH($B1247,PP_Grid[Intermediate],0),99999)</f>
        <v/>
      </c>
    </row>
    <row r="1248">
      <c r="B1248" t="inlineStr">
        <is>
          <t>使用量(kg)</t>
        </is>
      </c>
      <c r="C1248">
        <f>SUMIFS(M_BOM[RM_Qty_Per_Batch],M_BOM[Intermediate],$B1247,M_BOM[RM_Code],$A1222)</f>
        <v/>
      </c>
      <c r="D1248">
        <f>IFERROR(INDEX(E1248:DD1248,$F$1),"")</f>
        <v/>
      </c>
      <c r="E1248">
        <f>$C1248*E1247</f>
        <v/>
      </c>
      <c r="F1248">
        <f>$C1248*F1247</f>
        <v/>
      </c>
      <c r="G1248">
        <f>$C1248*G1247</f>
        <v/>
      </c>
      <c r="H1248">
        <f>$C1248*H1247</f>
        <v/>
      </c>
      <c r="I1248">
        <f>$C1248*I1247</f>
        <v/>
      </c>
      <c r="J1248">
        <f>$C1248*J1247</f>
        <v/>
      </c>
      <c r="K1248">
        <f>$C1248*K1247</f>
        <v/>
      </c>
      <c r="L1248">
        <f>$C1248*L1247</f>
        <v/>
      </c>
      <c r="M1248">
        <f>$C1248*M1247</f>
        <v/>
      </c>
      <c r="N1248">
        <f>$C1248*N1247</f>
        <v/>
      </c>
      <c r="O1248">
        <f>$C1248*O1247</f>
        <v/>
      </c>
      <c r="P1248">
        <f>$C1248*P1247</f>
        <v/>
      </c>
      <c r="Q1248">
        <f>$C1248*Q1247</f>
        <v/>
      </c>
      <c r="R1248">
        <f>$C1248*R1247</f>
        <v/>
      </c>
      <c r="S1248">
        <f>$C1248*S1247</f>
        <v/>
      </c>
      <c r="T1248">
        <f>$C1248*T1247</f>
        <v/>
      </c>
      <c r="U1248">
        <f>$C1248*U1247</f>
        <v/>
      </c>
      <c r="V1248">
        <f>$C1248*V1247</f>
        <v/>
      </c>
      <c r="W1248">
        <f>$C1248*W1247</f>
        <v/>
      </c>
      <c r="X1248">
        <f>$C1248*X1247</f>
        <v/>
      </c>
      <c r="Y1248">
        <f>$C1248*Y1247</f>
        <v/>
      </c>
      <c r="Z1248">
        <f>$C1248*Z1247</f>
        <v/>
      </c>
      <c r="AA1248">
        <f>$C1248*AA1247</f>
        <v/>
      </c>
      <c r="AB1248">
        <f>$C1248*AB1247</f>
        <v/>
      </c>
      <c r="AC1248">
        <f>$C1248*AC1247</f>
        <v/>
      </c>
      <c r="AD1248">
        <f>$C1248*AD1247</f>
        <v/>
      </c>
      <c r="AE1248">
        <f>$C1248*AE1247</f>
        <v/>
      </c>
      <c r="AF1248">
        <f>$C1248*AF1247</f>
        <v/>
      </c>
      <c r="AG1248">
        <f>$C1248*AG1247</f>
        <v/>
      </c>
      <c r="AH1248">
        <f>$C1248*AH1247</f>
        <v/>
      </c>
      <c r="AI1248">
        <f>$C1248*AI1247</f>
        <v/>
      </c>
      <c r="AJ1248">
        <f>$C1248*AJ1247</f>
        <v/>
      </c>
      <c r="AK1248">
        <f>$C1248*AK1247</f>
        <v/>
      </c>
      <c r="AL1248">
        <f>$C1248*AL1247</f>
        <v/>
      </c>
      <c r="AM1248">
        <f>$C1248*AM1247</f>
        <v/>
      </c>
      <c r="AN1248">
        <f>$C1248*AN1247</f>
        <v/>
      </c>
      <c r="AO1248">
        <f>$C1248*AO1247</f>
        <v/>
      </c>
      <c r="AP1248">
        <f>$C1248*AP1247</f>
        <v/>
      </c>
      <c r="AQ1248">
        <f>$C1248*AQ1247</f>
        <v/>
      </c>
      <c r="AR1248">
        <f>$C1248*AR1247</f>
        <v/>
      </c>
      <c r="AS1248">
        <f>$C1248*AS1247</f>
        <v/>
      </c>
      <c r="AT1248">
        <f>$C1248*AT1247</f>
        <v/>
      </c>
      <c r="AU1248">
        <f>$C1248*AU1247</f>
        <v/>
      </c>
      <c r="AV1248">
        <f>$C1248*AV1247</f>
        <v/>
      </c>
      <c r="AW1248">
        <f>$C1248*AW1247</f>
        <v/>
      </c>
      <c r="AX1248">
        <f>$C1248*AX1247</f>
        <v/>
      </c>
      <c r="AY1248">
        <f>$C1248*AY1247</f>
        <v/>
      </c>
      <c r="AZ1248">
        <f>$C1248*AZ1247</f>
        <v/>
      </c>
      <c r="BA1248">
        <f>$C1248*BA1247</f>
        <v/>
      </c>
      <c r="BB1248">
        <f>$C1248*BB1247</f>
        <v/>
      </c>
      <c r="BC1248">
        <f>$C1248*BC1247</f>
        <v/>
      </c>
      <c r="BD1248">
        <f>$C1248*BD1247</f>
        <v/>
      </c>
      <c r="BE1248">
        <f>$C1248*BE1247</f>
        <v/>
      </c>
      <c r="BF1248">
        <f>$C1248*BF1247</f>
        <v/>
      </c>
      <c r="BG1248">
        <f>$C1248*BG1247</f>
        <v/>
      </c>
      <c r="BH1248">
        <f>$C1248*BH1247</f>
        <v/>
      </c>
      <c r="BI1248">
        <f>$C1248*BI1247</f>
        <v/>
      </c>
      <c r="BJ1248">
        <f>$C1248*BJ1247</f>
        <v/>
      </c>
      <c r="BK1248">
        <f>$C1248*BK1247</f>
        <v/>
      </c>
      <c r="BL1248">
        <f>$C1248*BL1247</f>
        <v/>
      </c>
      <c r="BM1248">
        <f>$C1248*BM1247</f>
        <v/>
      </c>
      <c r="BN1248">
        <f>$C1248*BN1247</f>
        <v/>
      </c>
      <c r="BO1248">
        <f>$C1248*BO1247</f>
        <v/>
      </c>
      <c r="BP1248">
        <f>$C1248*BP1247</f>
        <v/>
      </c>
      <c r="BQ1248">
        <f>$C1248*BQ1247</f>
        <v/>
      </c>
      <c r="BR1248">
        <f>$C1248*BR1247</f>
        <v/>
      </c>
      <c r="BS1248">
        <f>$C1248*BS1247</f>
        <v/>
      </c>
      <c r="BT1248">
        <f>$C1248*BT1247</f>
        <v/>
      </c>
      <c r="BU1248">
        <f>$C1248*BU1247</f>
        <v/>
      </c>
      <c r="BV1248">
        <f>$C1248*BV1247</f>
        <v/>
      </c>
      <c r="BW1248">
        <f>$C1248*BW1247</f>
        <v/>
      </c>
      <c r="BX1248">
        <f>$C1248*BX1247</f>
        <v/>
      </c>
      <c r="BY1248">
        <f>$C1248*BY1247</f>
        <v/>
      </c>
      <c r="BZ1248">
        <f>$C1248*BZ1247</f>
        <v/>
      </c>
      <c r="CA1248">
        <f>$C1248*CA1247</f>
        <v/>
      </c>
      <c r="CB1248">
        <f>$C1248*CB1247</f>
        <v/>
      </c>
      <c r="CC1248">
        <f>$C1248*CC1247</f>
        <v/>
      </c>
      <c r="CD1248">
        <f>$C1248*CD1247</f>
        <v/>
      </c>
      <c r="CE1248">
        <f>$C1248*CE1247</f>
        <v/>
      </c>
      <c r="CF1248">
        <f>$C1248*CF1247</f>
        <v/>
      </c>
      <c r="CG1248">
        <f>$C1248*CG1247</f>
        <v/>
      </c>
      <c r="CH1248">
        <f>$C1248*CH1247</f>
        <v/>
      </c>
      <c r="CI1248">
        <f>$C1248*CI1247</f>
        <v/>
      </c>
      <c r="CJ1248">
        <f>$C1248*CJ1247</f>
        <v/>
      </c>
      <c r="CK1248">
        <f>$C1248*CK1247</f>
        <v/>
      </c>
      <c r="CL1248">
        <f>$C1248*CL1247</f>
        <v/>
      </c>
      <c r="CM1248">
        <f>$C1248*CM1247</f>
        <v/>
      </c>
      <c r="CN1248">
        <f>$C1248*CN1247</f>
        <v/>
      </c>
      <c r="CO1248">
        <f>$C1248*CO1247</f>
        <v/>
      </c>
      <c r="CP1248">
        <f>$C1248*CP1247</f>
        <v/>
      </c>
      <c r="CQ1248">
        <f>$C1248*CQ1247</f>
        <v/>
      </c>
      <c r="CR1248">
        <f>$C1248*CR1247</f>
        <v/>
      </c>
      <c r="CS1248">
        <f>$C1248*CS1247</f>
        <v/>
      </c>
      <c r="CT1248">
        <f>$C1248*CT1247</f>
        <v/>
      </c>
      <c r="CU1248">
        <f>$C1248*CU1247</f>
        <v/>
      </c>
      <c r="CV1248">
        <f>$C1248*CV1247</f>
        <v/>
      </c>
      <c r="CW1248">
        <f>$C1248*CW1247</f>
        <v/>
      </c>
      <c r="CX1248">
        <f>$C1248*CX1247</f>
        <v/>
      </c>
      <c r="CY1248">
        <f>$C1248*CY1247</f>
        <v/>
      </c>
      <c r="CZ1248">
        <f>$C1248*CZ1247</f>
        <v/>
      </c>
      <c r="DA1248">
        <f>$C1248*DA1247</f>
        <v/>
      </c>
      <c r="DB1248">
        <f>$C1248*DB1247</f>
        <v/>
      </c>
      <c r="DC1248">
        <f>$C1248*DC1247</f>
        <v/>
      </c>
      <c r="DD1248">
        <f>$C1248*DD1247</f>
        <v/>
      </c>
    </row>
    <row r="1249">
      <c r="B1249" t="inlineStr">
        <is>
          <t>TSP-1388</t>
        </is>
      </c>
      <c r="C1249" t="inlineStr">
        <is>
          <t>No. of batches</t>
        </is>
      </c>
      <c r="D1249">
        <f>IFERROR(INDEX(E1249:DD1249,$F$1),"")</f>
        <v/>
      </c>
      <c r="E1249">
        <f>IFERROR(INDEX(PP_Grid[#Data],$DE1249,2),0)</f>
        <v/>
      </c>
      <c r="F1249">
        <f>IFERROR(INDEX(PP_Grid[#Data],$DE1249,3),0)</f>
        <v/>
      </c>
      <c r="G1249">
        <f>IFERROR(INDEX(PP_Grid[#Data],$DE1249,4),0)</f>
        <v/>
      </c>
      <c r="H1249">
        <f>IFERROR(INDEX(PP_Grid[#Data],$DE1249,5),0)</f>
        <v/>
      </c>
      <c r="I1249">
        <f>IFERROR(INDEX(PP_Grid[#Data],$DE1249,6),0)</f>
        <v/>
      </c>
      <c r="J1249">
        <f>IFERROR(INDEX(PP_Grid[#Data],$DE1249,7),0)</f>
        <v/>
      </c>
      <c r="K1249">
        <f>IFERROR(INDEX(PP_Grid[#Data],$DE1249,8),0)</f>
        <v/>
      </c>
      <c r="L1249">
        <f>IFERROR(INDEX(PP_Grid[#Data],$DE1249,9),0)</f>
        <v/>
      </c>
      <c r="M1249">
        <f>IFERROR(INDEX(PP_Grid[#Data],$DE1249,10),0)</f>
        <v/>
      </c>
      <c r="N1249">
        <f>IFERROR(INDEX(PP_Grid[#Data],$DE1249,11),0)</f>
        <v/>
      </c>
      <c r="O1249">
        <f>IFERROR(INDEX(PP_Grid[#Data],$DE1249,12),0)</f>
        <v/>
      </c>
      <c r="P1249">
        <f>IFERROR(INDEX(PP_Grid[#Data],$DE1249,13),0)</f>
        <v/>
      </c>
      <c r="Q1249">
        <f>IFERROR(INDEX(PP_Grid[#Data],$DE1249,14),0)</f>
        <v/>
      </c>
      <c r="R1249">
        <f>IFERROR(INDEX(PP_Grid[#Data],$DE1249,15),0)</f>
        <v/>
      </c>
      <c r="S1249">
        <f>IFERROR(INDEX(PP_Grid[#Data],$DE1249,16),0)</f>
        <v/>
      </c>
      <c r="T1249">
        <f>IFERROR(INDEX(PP_Grid[#Data],$DE1249,17),0)</f>
        <v/>
      </c>
      <c r="U1249">
        <f>IFERROR(INDEX(PP_Grid[#Data],$DE1249,18),0)</f>
        <v/>
      </c>
      <c r="V1249">
        <f>IFERROR(INDEX(PP_Grid[#Data],$DE1249,19),0)</f>
        <v/>
      </c>
      <c r="W1249">
        <f>IFERROR(INDEX(PP_Grid[#Data],$DE1249,20),0)</f>
        <v/>
      </c>
      <c r="X1249">
        <f>IFERROR(INDEX(PP_Grid[#Data],$DE1249,21),0)</f>
        <v/>
      </c>
      <c r="Y1249">
        <f>IFERROR(INDEX(PP_Grid[#Data],$DE1249,22),0)</f>
        <v/>
      </c>
      <c r="Z1249">
        <f>IFERROR(INDEX(PP_Grid[#Data],$DE1249,23),0)</f>
        <v/>
      </c>
      <c r="AA1249">
        <f>IFERROR(INDEX(PP_Grid[#Data],$DE1249,24),0)</f>
        <v/>
      </c>
      <c r="AB1249">
        <f>IFERROR(INDEX(PP_Grid[#Data],$DE1249,25),0)</f>
        <v/>
      </c>
      <c r="AC1249">
        <f>IFERROR(INDEX(PP_Grid[#Data],$DE1249,26),0)</f>
        <v/>
      </c>
      <c r="AD1249">
        <f>IFERROR(INDEX(PP_Grid[#Data],$DE1249,27),0)</f>
        <v/>
      </c>
      <c r="AE1249">
        <f>IFERROR(INDEX(PP_Grid[#Data],$DE1249,28),0)</f>
        <v/>
      </c>
      <c r="AF1249">
        <f>IFERROR(INDEX(PP_Grid[#Data],$DE1249,29),0)</f>
        <v/>
      </c>
      <c r="AG1249">
        <f>IFERROR(INDEX(PP_Grid[#Data],$DE1249,30),0)</f>
        <v/>
      </c>
      <c r="AH1249">
        <f>IFERROR(INDEX(PP_Grid[#Data],$DE1249,31),0)</f>
        <v/>
      </c>
      <c r="AI1249">
        <f>IFERROR(INDEX(PP_Grid[#Data],$DE1249,32),0)</f>
        <v/>
      </c>
      <c r="AJ1249">
        <f>IFERROR(INDEX(PP_Grid[#Data],$DE1249,33),0)</f>
        <v/>
      </c>
      <c r="AK1249">
        <f>IFERROR(INDEX(PP_Grid[#Data],$DE1249,34),0)</f>
        <v/>
      </c>
      <c r="AL1249">
        <f>IFERROR(INDEX(PP_Grid[#Data],$DE1249,35),0)</f>
        <v/>
      </c>
      <c r="AM1249">
        <f>IFERROR(INDEX(PP_Grid[#Data],$DE1249,36),0)</f>
        <v/>
      </c>
      <c r="AN1249">
        <f>IFERROR(INDEX(PP_Grid[#Data],$DE1249,37),0)</f>
        <v/>
      </c>
      <c r="AO1249">
        <f>IFERROR(INDEX(PP_Grid[#Data],$DE1249,38),0)</f>
        <v/>
      </c>
      <c r="AP1249">
        <f>IFERROR(INDEX(PP_Grid[#Data],$DE1249,39),0)</f>
        <v/>
      </c>
      <c r="AQ1249">
        <f>IFERROR(INDEX(PP_Grid[#Data],$DE1249,40),0)</f>
        <v/>
      </c>
      <c r="AR1249">
        <f>IFERROR(INDEX(PP_Grid[#Data],$DE1249,41),0)</f>
        <v/>
      </c>
      <c r="AS1249">
        <f>IFERROR(INDEX(PP_Grid[#Data],$DE1249,42),0)</f>
        <v/>
      </c>
      <c r="AT1249">
        <f>IFERROR(INDEX(PP_Grid[#Data],$DE1249,43),0)</f>
        <v/>
      </c>
      <c r="AU1249">
        <f>IFERROR(INDEX(PP_Grid[#Data],$DE1249,44),0)</f>
        <v/>
      </c>
      <c r="AV1249">
        <f>IFERROR(INDEX(PP_Grid[#Data],$DE1249,45),0)</f>
        <v/>
      </c>
      <c r="AW1249">
        <f>IFERROR(INDEX(PP_Grid[#Data],$DE1249,46),0)</f>
        <v/>
      </c>
      <c r="AX1249">
        <f>IFERROR(INDEX(PP_Grid[#Data],$DE1249,47),0)</f>
        <v/>
      </c>
      <c r="AY1249">
        <f>IFERROR(INDEX(PP_Grid[#Data],$DE1249,48),0)</f>
        <v/>
      </c>
      <c r="AZ1249">
        <f>IFERROR(INDEX(PP_Grid[#Data],$DE1249,49),0)</f>
        <v/>
      </c>
      <c r="BA1249">
        <f>IFERROR(INDEX(PP_Grid[#Data],$DE1249,50),0)</f>
        <v/>
      </c>
      <c r="BB1249">
        <f>IFERROR(INDEX(PP_Grid[#Data],$DE1249,51),0)</f>
        <v/>
      </c>
      <c r="BC1249">
        <f>IFERROR(INDEX(PP_Grid[#Data],$DE1249,52),0)</f>
        <v/>
      </c>
      <c r="BD1249">
        <f>IFERROR(INDEX(PP_Grid[#Data],$DE1249,53),0)</f>
        <v/>
      </c>
      <c r="BE1249">
        <f>IFERROR(INDEX(PP_Grid[#Data],$DE1249,54),0)</f>
        <v/>
      </c>
      <c r="BF1249">
        <f>IFERROR(INDEX(PP_Grid[#Data],$DE1249,55),0)</f>
        <v/>
      </c>
      <c r="BG1249">
        <f>IFERROR(INDEX(PP_Grid[#Data],$DE1249,56),0)</f>
        <v/>
      </c>
      <c r="BH1249">
        <f>IFERROR(INDEX(PP_Grid[#Data],$DE1249,57),0)</f>
        <v/>
      </c>
      <c r="BI1249">
        <f>IFERROR(INDEX(PP_Grid[#Data],$DE1249,58),0)</f>
        <v/>
      </c>
      <c r="BJ1249">
        <f>IFERROR(INDEX(PP_Grid[#Data],$DE1249,59),0)</f>
        <v/>
      </c>
      <c r="BK1249">
        <f>IFERROR(INDEX(PP_Grid[#Data],$DE1249,60),0)</f>
        <v/>
      </c>
      <c r="BL1249">
        <f>IFERROR(INDEX(PP_Grid[#Data],$DE1249,61),0)</f>
        <v/>
      </c>
      <c r="BM1249">
        <f>IFERROR(INDEX(PP_Grid[#Data],$DE1249,62),0)</f>
        <v/>
      </c>
      <c r="BN1249">
        <f>IFERROR(INDEX(PP_Grid[#Data],$DE1249,63),0)</f>
        <v/>
      </c>
      <c r="BO1249">
        <f>IFERROR(INDEX(PP_Grid[#Data],$DE1249,64),0)</f>
        <v/>
      </c>
      <c r="BP1249">
        <f>IFERROR(INDEX(PP_Grid[#Data],$DE1249,65),0)</f>
        <v/>
      </c>
      <c r="BQ1249">
        <f>IFERROR(INDEX(PP_Grid[#Data],$DE1249,66),0)</f>
        <v/>
      </c>
      <c r="BR1249">
        <f>IFERROR(INDEX(PP_Grid[#Data],$DE1249,67),0)</f>
        <v/>
      </c>
      <c r="BS1249">
        <f>IFERROR(INDEX(PP_Grid[#Data],$DE1249,68),0)</f>
        <v/>
      </c>
      <c r="BT1249">
        <f>IFERROR(INDEX(PP_Grid[#Data],$DE1249,69),0)</f>
        <v/>
      </c>
      <c r="BU1249">
        <f>IFERROR(INDEX(PP_Grid[#Data],$DE1249,70),0)</f>
        <v/>
      </c>
      <c r="BV1249">
        <f>IFERROR(INDEX(PP_Grid[#Data],$DE1249,71),0)</f>
        <v/>
      </c>
      <c r="BW1249">
        <f>IFERROR(INDEX(PP_Grid[#Data],$DE1249,72),0)</f>
        <v/>
      </c>
      <c r="BX1249">
        <f>IFERROR(INDEX(PP_Grid[#Data],$DE1249,73),0)</f>
        <v/>
      </c>
      <c r="BY1249">
        <f>IFERROR(INDEX(PP_Grid[#Data],$DE1249,74),0)</f>
        <v/>
      </c>
      <c r="BZ1249">
        <f>IFERROR(INDEX(PP_Grid[#Data],$DE1249,75),0)</f>
        <v/>
      </c>
      <c r="CA1249">
        <f>IFERROR(INDEX(PP_Grid[#Data],$DE1249,76),0)</f>
        <v/>
      </c>
      <c r="CB1249">
        <f>IFERROR(INDEX(PP_Grid[#Data],$DE1249,77),0)</f>
        <v/>
      </c>
      <c r="CC1249">
        <f>IFERROR(INDEX(PP_Grid[#Data],$DE1249,78),0)</f>
        <v/>
      </c>
      <c r="CD1249">
        <f>IFERROR(INDEX(PP_Grid[#Data],$DE1249,79),0)</f>
        <v/>
      </c>
      <c r="CE1249">
        <f>IFERROR(INDEX(PP_Grid[#Data],$DE1249,80),0)</f>
        <v/>
      </c>
      <c r="CF1249">
        <f>IFERROR(INDEX(PP_Grid[#Data],$DE1249,81),0)</f>
        <v/>
      </c>
      <c r="CG1249">
        <f>IFERROR(INDEX(PP_Grid[#Data],$DE1249,82),0)</f>
        <v/>
      </c>
      <c r="CH1249">
        <f>IFERROR(INDEX(PP_Grid[#Data],$DE1249,83),0)</f>
        <v/>
      </c>
      <c r="CI1249">
        <f>IFERROR(INDEX(PP_Grid[#Data],$DE1249,84),0)</f>
        <v/>
      </c>
      <c r="CJ1249">
        <f>IFERROR(INDEX(PP_Grid[#Data],$DE1249,85),0)</f>
        <v/>
      </c>
      <c r="CK1249">
        <f>IFERROR(INDEX(PP_Grid[#Data],$DE1249,86),0)</f>
        <v/>
      </c>
      <c r="CL1249">
        <f>IFERROR(INDEX(PP_Grid[#Data],$DE1249,87),0)</f>
        <v/>
      </c>
      <c r="CM1249">
        <f>IFERROR(INDEX(PP_Grid[#Data],$DE1249,88),0)</f>
        <v/>
      </c>
      <c r="CN1249">
        <f>IFERROR(INDEX(PP_Grid[#Data],$DE1249,89),0)</f>
        <v/>
      </c>
      <c r="CO1249">
        <f>IFERROR(INDEX(PP_Grid[#Data],$DE1249,90),0)</f>
        <v/>
      </c>
      <c r="CP1249">
        <f>IFERROR(INDEX(PP_Grid[#Data],$DE1249,91),0)</f>
        <v/>
      </c>
      <c r="CQ1249">
        <f>IFERROR(INDEX(PP_Grid[#Data],$DE1249,92),0)</f>
        <v/>
      </c>
      <c r="CR1249">
        <f>IFERROR(INDEX(PP_Grid[#Data],$DE1249,93),0)</f>
        <v/>
      </c>
      <c r="CS1249">
        <f>IFERROR(INDEX(PP_Grid[#Data],$DE1249,94),0)</f>
        <v/>
      </c>
      <c r="CT1249">
        <f>IFERROR(INDEX(PP_Grid[#Data],$DE1249,95),0)</f>
        <v/>
      </c>
      <c r="CU1249">
        <f>IFERROR(INDEX(PP_Grid[#Data],$DE1249,96),0)</f>
        <v/>
      </c>
      <c r="CV1249">
        <f>IFERROR(INDEX(PP_Grid[#Data],$DE1249,97),0)</f>
        <v/>
      </c>
      <c r="CW1249">
        <f>IFERROR(INDEX(PP_Grid[#Data],$DE1249,98),0)</f>
        <v/>
      </c>
      <c r="CX1249">
        <f>IFERROR(INDEX(PP_Grid[#Data],$DE1249,99),0)</f>
        <v/>
      </c>
      <c r="CY1249">
        <f>IFERROR(INDEX(PP_Grid[#Data],$DE1249,100),0)</f>
        <v/>
      </c>
      <c r="CZ1249">
        <f>IFERROR(INDEX(PP_Grid[#Data],$DE1249,101),0)</f>
        <v/>
      </c>
      <c r="DA1249">
        <f>IFERROR(INDEX(PP_Grid[#Data],$DE1249,102),0)</f>
        <v/>
      </c>
      <c r="DB1249">
        <f>IFERROR(INDEX(PP_Grid[#Data],$DE1249,103),0)</f>
        <v/>
      </c>
      <c r="DC1249">
        <f>IFERROR(INDEX(PP_Grid[#Data],$DE1249,104),0)</f>
        <v/>
      </c>
      <c r="DD1249">
        <f>IFERROR(INDEX(PP_Grid[#Data],$DE1249,105),0)</f>
        <v/>
      </c>
      <c r="DE1249" s="7">
        <f>IFERROR(MATCH($B1249,PP_Grid[Intermediate],0),99999)</f>
        <v/>
      </c>
    </row>
    <row r="1250">
      <c r="B1250" t="inlineStr">
        <is>
          <t>使用量(kg)</t>
        </is>
      </c>
      <c r="C1250">
        <f>SUMIFS(M_BOM[RM_Qty_Per_Batch],M_BOM[Intermediate],$B1249,M_BOM[RM_Code],$A1222)</f>
        <v/>
      </c>
      <c r="D1250">
        <f>IFERROR(INDEX(E1250:DD1250,$F$1),"")</f>
        <v/>
      </c>
      <c r="E1250">
        <f>$C1250*E1249</f>
        <v/>
      </c>
      <c r="F1250">
        <f>$C1250*F1249</f>
        <v/>
      </c>
      <c r="G1250">
        <f>$C1250*G1249</f>
        <v/>
      </c>
      <c r="H1250">
        <f>$C1250*H1249</f>
        <v/>
      </c>
      <c r="I1250">
        <f>$C1250*I1249</f>
        <v/>
      </c>
      <c r="J1250">
        <f>$C1250*J1249</f>
        <v/>
      </c>
      <c r="K1250">
        <f>$C1250*K1249</f>
        <v/>
      </c>
      <c r="L1250">
        <f>$C1250*L1249</f>
        <v/>
      </c>
      <c r="M1250">
        <f>$C1250*M1249</f>
        <v/>
      </c>
      <c r="N1250">
        <f>$C1250*N1249</f>
        <v/>
      </c>
      <c r="O1250">
        <f>$C1250*O1249</f>
        <v/>
      </c>
      <c r="P1250">
        <f>$C1250*P1249</f>
        <v/>
      </c>
      <c r="Q1250">
        <f>$C1250*Q1249</f>
        <v/>
      </c>
      <c r="R1250">
        <f>$C1250*R1249</f>
        <v/>
      </c>
      <c r="S1250">
        <f>$C1250*S1249</f>
        <v/>
      </c>
      <c r="T1250">
        <f>$C1250*T1249</f>
        <v/>
      </c>
      <c r="U1250">
        <f>$C1250*U1249</f>
        <v/>
      </c>
      <c r="V1250">
        <f>$C1250*V1249</f>
        <v/>
      </c>
      <c r="W1250">
        <f>$C1250*W1249</f>
        <v/>
      </c>
      <c r="X1250">
        <f>$C1250*X1249</f>
        <v/>
      </c>
      <c r="Y1250">
        <f>$C1250*Y1249</f>
        <v/>
      </c>
      <c r="Z1250">
        <f>$C1250*Z1249</f>
        <v/>
      </c>
      <c r="AA1250">
        <f>$C1250*AA1249</f>
        <v/>
      </c>
      <c r="AB1250">
        <f>$C1250*AB1249</f>
        <v/>
      </c>
      <c r="AC1250">
        <f>$C1250*AC1249</f>
        <v/>
      </c>
      <c r="AD1250">
        <f>$C1250*AD1249</f>
        <v/>
      </c>
      <c r="AE1250">
        <f>$C1250*AE1249</f>
        <v/>
      </c>
      <c r="AF1250">
        <f>$C1250*AF1249</f>
        <v/>
      </c>
      <c r="AG1250">
        <f>$C1250*AG1249</f>
        <v/>
      </c>
      <c r="AH1250">
        <f>$C1250*AH1249</f>
        <v/>
      </c>
      <c r="AI1250">
        <f>$C1250*AI1249</f>
        <v/>
      </c>
      <c r="AJ1250">
        <f>$C1250*AJ1249</f>
        <v/>
      </c>
      <c r="AK1250">
        <f>$C1250*AK1249</f>
        <v/>
      </c>
      <c r="AL1250">
        <f>$C1250*AL1249</f>
        <v/>
      </c>
      <c r="AM1250">
        <f>$C1250*AM1249</f>
        <v/>
      </c>
      <c r="AN1250">
        <f>$C1250*AN1249</f>
        <v/>
      </c>
      <c r="AO1250">
        <f>$C1250*AO1249</f>
        <v/>
      </c>
      <c r="AP1250">
        <f>$C1250*AP1249</f>
        <v/>
      </c>
      <c r="AQ1250">
        <f>$C1250*AQ1249</f>
        <v/>
      </c>
      <c r="AR1250">
        <f>$C1250*AR1249</f>
        <v/>
      </c>
      <c r="AS1250">
        <f>$C1250*AS1249</f>
        <v/>
      </c>
      <c r="AT1250">
        <f>$C1250*AT1249</f>
        <v/>
      </c>
      <c r="AU1250">
        <f>$C1250*AU1249</f>
        <v/>
      </c>
      <c r="AV1250">
        <f>$C1250*AV1249</f>
        <v/>
      </c>
      <c r="AW1250">
        <f>$C1250*AW1249</f>
        <v/>
      </c>
      <c r="AX1250">
        <f>$C1250*AX1249</f>
        <v/>
      </c>
      <c r="AY1250">
        <f>$C1250*AY1249</f>
        <v/>
      </c>
      <c r="AZ1250">
        <f>$C1250*AZ1249</f>
        <v/>
      </c>
      <c r="BA1250">
        <f>$C1250*BA1249</f>
        <v/>
      </c>
      <c r="BB1250">
        <f>$C1250*BB1249</f>
        <v/>
      </c>
      <c r="BC1250">
        <f>$C1250*BC1249</f>
        <v/>
      </c>
      <c r="BD1250">
        <f>$C1250*BD1249</f>
        <v/>
      </c>
      <c r="BE1250">
        <f>$C1250*BE1249</f>
        <v/>
      </c>
      <c r="BF1250">
        <f>$C1250*BF1249</f>
        <v/>
      </c>
      <c r="BG1250">
        <f>$C1250*BG1249</f>
        <v/>
      </c>
      <c r="BH1250">
        <f>$C1250*BH1249</f>
        <v/>
      </c>
      <c r="BI1250">
        <f>$C1250*BI1249</f>
        <v/>
      </c>
      <c r="BJ1250">
        <f>$C1250*BJ1249</f>
        <v/>
      </c>
      <c r="BK1250">
        <f>$C1250*BK1249</f>
        <v/>
      </c>
      <c r="BL1250">
        <f>$C1250*BL1249</f>
        <v/>
      </c>
      <c r="BM1250">
        <f>$C1250*BM1249</f>
        <v/>
      </c>
      <c r="BN1250">
        <f>$C1250*BN1249</f>
        <v/>
      </c>
      <c r="BO1250">
        <f>$C1250*BO1249</f>
        <v/>
      </c>
      <c r="BP1250">
        <f>$C1250*BP1249</f>
        <v/>
      </c>
      <c r="BQ1250">
        <f>$C1250*BQ1249</f>
        <v/>
      </c>
      <c r="BR1250">
        <f>$C1250*BR1249</f>
        <v/>
      </c>
      <c r="BS1250">
        <f>$C1250*BS1249</f>
        <v/>
      </c>
      <c r="BT1250">
        <f>$C1250*BT1249</f>
        <v/>
      </c>
      <c r="BU1250">
        <f>$C1250*BU1249</f>
        <v/>
      </c>
      <c r="BV1250">
        <f>$C1250*BV1249</f>
        <v/>
      </c>
      <c r="BW1250">
        <f>$C1250*BW1249</f>
        <v/>
      </c>
      <c r="BX1250">
        <f>$C1250*BX1249</f>
        <v/>
      </c>
      <c r="BY1250">
        <f>$C1250*BY1249</f>
        <v/>
      </c>
      <c r="BZ1250">
        <f>$C1250*BZ1249</f>
        <v/>
      </c>
      <c r="CA1250">
        <f>$C1250*CA1249</f>
        <v/>
      </c>
      <c r="CB1250">
        <f>$C1250*CB1249</f>
        <v/>
      </c>
      <c r="CC1250">
        <f>$C1250*CC1249</f>
        <v/>
      </c>
      <c r="CD1250">
        <f>$C1250*CD1249</f>
        <v/>
      </c>
      <c r="CE1250">
        <f>$C1250*CE1249</f>
        <v/>
      </c>
      <c r="CF1250">
        <f>$C1250*CF1249</f>
        <v/>
      </c>
      <c r="CG1250">
        <f>$C1250*CG1249</f>
        <v/>
      </c>
      <c r="CH1250">
        <f>$C1250*CH1249</f>
        <v/>
      </c>
      <c r="CI1250">
        <f>$C1250*CI1249</f>
        <v/>
      </c>
      <c r="CJ1250">
        <f>$C1250*CJ1249</f>
        <v/>
      </c>
      <c r="CK1250">
        <f>$C1250*CK1249</f>
        <v/>
      </c>
      <c r="CL1250">
        <f>$C1250*CL1249</f>
        <v/>
      </c>
      <c r="CM1250">
        <f>$C1250*CM1249</f>
        <v/>
      </c>
      <c r="CN1250">
        <f>$C1250*CN1249</f>
        <v/>
      </c>
      <c r="CO1250">
        <f>$C1250*CO1249</f>
        <v/>
      </c>
      <c r="CP1250">
        <f>$C1250*CP1249</f>
        <v/>
      </c>
      <c r="CQ1250">
        <f>$C1250*CQ1249</f>
        <v/>
      </c>
      <c r="CR1250">
        <f>$C1250*CR1249</f>
        <v/>
      </c>
      <c r="CS1250">
        <f>$C1250*CS1249</f>
        <v/>
      </c>
      <c r="CT1250">
        <f>$C1250*CT1249</f>
        <v/>
      </c>
      <c r="CU1250">
        <f>$C1250*CU1249</f>
        <v/>
      </c>
      <c r="CV1250">
        <f>$C1250*CV1249</f>
        <v/>
      </c>
      <c r="CW1250">
        <f>$C1250*CW1249</f>
        <v/>
      </c>
      <c r="CX1250">
        <f>$C1250*CX1249</f>
        <v/>
      </c>
      <c r="CY1250">
        <f>$C1250*CY1249</f>
        <v/>
      </c>
      <c r="CZ1250">
        <f>$C1250*CZ1249</f>
        <v/>
      </c>
      <c r="DA1250">
        <f>$C1250*DA1249</f>
        <v/>
      </c>
      <c r="DB1250">
        <f>$C1250*DB1249</f>
        <v/>
      </c>
      <c r="DC1250">
        <f>$C1250*DC1249</f>
        <v/>
      </c>
      <c r="DD1250">
        <f>$C1250*DD1249</f>
        <v/>
      </c>
    </row>
    <row r="1251">
      <c r="B1251" t="inlineStr">
        <is>
          <t>TSP-1448</t>
        </is>
      </c>
      <c r="C1251" t="inlineStr">
        <is>
          <t>No. of batches</t>
        </is>
      </c>
      <c r="D1251">
        <f>IFERROR(INDEX(E1251:DD1251,$F$1),"")</f>
        <v/>
      </c>
      <c r="E1251">
        <f>IFERROR(INDEX(PP_Grid[#Data],$DE1251,2),0)</f>
        <v/>
      </c>
      <c r="F1251">
        <f>IFERROR(INDEX(PP_Grid[#Data],$DE1251,3),0)</f>
        <v/>
      </c>
      <c r="G1251">
        <f>IFERROR(INDEX(PP_Grid[#Data],$DE1251,4),0)</f>
        <v/>
      </c>
      <c r="H1251">
        <f>IFERROR(INDEX(PP_Grid[#Data],$DE1251,5),0)</f>
        <v/>
      </c>
      <c r="I1251">
        <f>IFERROR(INDEX(PP_Grid[#Data],$DE1251,6),0)</f>
        <v/>
      </c>
      <c r="J1251">
        <f>IFERROR(INDEX(PP_Grid[#Data],$DE1251,7),0)</f>
        <v/>
      </c>
      <c r="K1251">
        <f>IFERROR(INDEX(PP_Grid[#Data],$DE1251,8),0)</f>
        <v/>
      </c>
      <c r="L1251">
        <f>IFERROR(INDEX(PP_Grid[#Data],$DE1251,9),0)</f>
        <v/>
      </c>
      <c r="M1251">
        <f>IFERROR(INDEX(PP_Grid[#Data],$DE1251,10),0)</f>
        <v/>
      </c>
      <c r="N1251">
        <f>IFERROR(INDEX(PP_Grid[#Data],$DE1251,11),0)</f>
        <v/>
      </c>
      <c r="O1251">
        <f>IFERROR(INDEX(PP_Grid[#Data],$DE1251,12),0)</f>
        <v/>
      </c>
      <c r="P1251">
        <f>IFERROR(INDEX(PP_Grid[#Data],$DE1251,13),0)</f>
        <v/>
      </c>
      <c r="Q1251">
        <f>IFERROR(INDEX(PP_Grid[#Data],$DE1251,14),0)</f>
        <v/>
      </c>
      <c r="R1251">
        <f>IFERROR(INDEX(PP_Grid[#Data],$DE1251,15),0)</f>
        <v/>
      </c>
      <c r="S1251">
        <f>IFERROR(INDEX(PP_Grid[#Data],$DE1251,16),0)</f>
        <v/>
      </c>
      <c r="T1251">
        <f>IFERROR(INDEX(PP_Grid[#Data],$DE1251,17),0)</f>
        <v/>
      </c>
      <c r="U1251">
        <f>IFERROR(INDEX(PP_Grid[#Data],$DE1251,18),0)</f>
        <v/>
      </c>
      <c r="V1251">
        <f>IFERROR(INDEX(PP_Grid[#Data],$DE1251,19),0)</f>
        <v/>
      </c>
      <c r="W1251">
        <f>IFERROR(INDEX(PP_Grid[#Data],$DE1251,20),0)</f>
        <v/>
      </c>
      <c r="X1251">
        <f>IFERROR(INDEX(PP_Grid[#Data],$DE1251,21),0)</f>
        <v/>
      </c>
      <c r="Y1251">
        <f>IFERROR(INDEX(PP_Grid[#Data],$DE1251,22),0)</f>
        <v/>
      </c>
      <c r="Z1251">
        <f>IFERROR(INDEX(PP_Grid[#Data],$DE1251,23),0)</f>
        <v/>
      </c>
      <c r="AA1251">
        <f>IFERROR(INDEX(PP_Grid[#Data],$DE1251,24),0)</f>
        <v/>
      </c>
      <c r="AB1251">
        <f>IFERROR(INDEX(PP_Grid[#Data],$DE1251,25),0)</f>
        <v/>
      </c>
      <c r="AC1251">
        <f>IFERROR(INDEX(PP_Grid[#Data],$DE1251,26),0)</f>
        <v/>
      </c>
      <c r="AD1251">
        <f>IFERROR(INDEX(PP_Grid[#Data],$DE1251,27),0)</f>
        <v/>
      </c>
      <c r="AE1251">
        <f>IFERROR(INDEX(PP_Grid[#Data],$DE1251,28),0)</f>
        <v/>
      </c>
      <c r="AF1251">
        <f>IFERROR(INDEX(PP_Grid[#Data],$DE1251,29),0)</f>
        <v/>
      </c>
      <c r="AG1251">
        <f>IFERROR(INDEX(PP_Grid[#Data],$DE1251,30),0)</f>
        <v/>
      </c>
      <c r="AH1251">
        <f>IFERROR(INDEX(PP_Grid[#Data],$DE1251,31),0)</f>
        <v/>
      </c>
      <c r="AI1251">
        <f>IFERROR(INDEX(PP_Grid[#Data],$DE1251,32),0)</f>
        <v/>
      </c>
      <c r="AJ1251">
        <f>IFERROR(INDEX(PP_Grid[#Data],$DE1251,33),0)</f>
        <v/>
      </c>
      <c r="AK1251">
        <f>IFERROR(INDEX(PP_Grid[#Data],$DE1251,34),0)</f>
        <v/>
      </c>
      <c r="AL1251">
        <f>IFERROR(INDEX(PP_Grid[#Data],$DE1251,35),0)</f>
        <v/>
      </c>
      <c r="AM1251">
        <f>IFERROR(INDEX(PP_Grid[#Data],$DE1251,36),0)</f>
        <v/>
      </c>
      <c r="AN1251">
        <f>IFERROR(INDEX(PP_Grid[#Data],$DE1251,37),0)</f>
        <v/>
      </c>
      <c r="AO1251">
        <f>IFERROR(INDEX(PP_Grid[#Data],$DE1251,38),0)</f>
        <v/>
      </c>
      <c r="AP1251">
        <f>IFERROR(INDEX(PP_Grid[#Data],$DE1251,39),0)</f>
        <v/>
      </c>
      <c r="AQ1251">
        <f>IFERROR(INDEX(PP_Grid[#Data],$DE1251,40),0)</f>
        <v/>
      </c>
      <c r="AR1251">
        <f>IFERROR(INDEX(PP_Grid[#Data],$DE1251,41),0)</f>
        <v/>
      </c>
      <c r="AS1251">
        <f>IFERROR(INDEX(PP_Grid[#Data],$DE1251,42),0)</f>
        <v/>
      </c>
      <c r="AT1251">
        <f>IFERROR(INDEX(PP_Grid[#Data],$DE1251,43),0)</f>
        <v/>
      </c>
      <c r="AU1251">
        <f>IFERROR(INDEX(PP_Grid[#Data],$DE1251,44),0)</f>
        <v/>
      </c>
      <c r="AV1251">
        <f>IFERROR(INDEX(PP_Grid[#Data],$DE1251,45),0)</f>
        <v/>
      </c>
      <c r="AW1251">
        <f>IFERROR(INDEX(PP_Grid[#Data],$DE1251,46),0)</f>
        <v/>
      </c>
      <c r="AX1251">
        <f>IFERROR(INDEX(PP_Grid[#Data],$DE1251,47),0)</f>
        <v/>
      </c>
      <c r="AY1251">
        <f>IFERROR(INDEX(PP_Grid[#Data],$DE1251,48),0)</f>
        <v/>
      </c>
      <c r="AZ1251">
        <f>IFERROR(INDEX(PP_Grid[#Data],$DE1251,49),0)</f>
        <v/>
      </c>
      <c r="BA1251">
        <f>IFERROR(INDEX(PP_Grid[#Data],$DE1251,50),0)</f>
        <v/>
      </c>
      <c r="BB1251">
        <f>IFERROR(INDEX(PP_Grid[#Data],$DE1251,51),0)</f>
        <v/>
      </c>
      <c r="BC1251">
        <f>IFERROR(INDEX(PP_Grid[#Data],$DE1251,52),0)</f>
        <v/>
      </c>
      <c r="BD1251">
        <f>IFERROR(INDEX(PP_Grid[#Data],$DE1251,53),0)</f>
        <v/>
      </c>
      <c r="BE1251">
        <f>IFERROR(INDEX(PP_Grid[#Data],$DE1251,54),0)</f>
        <v/>
      </c>
      <c r="BF1251">
        <f>IFERROR(INDEX(PP_Grid[#Data],$DE1251,55),0)</f>
        <v/>
      </c>
      <c r="BG1251">
        <f>IFERROR(INDEX(PP_Grid[#Data],$DE1251,56),0)</f>
        <v/>
      </c>
      <c r="BH1251">
        <f>IFERROR(INDEX(PP_Grid[#Data],$DE1251,57),0)</f>
        <v/>
      </c>
      <c r="BI1251">
        <f>IFERROR(INDEX(PP_Grid[#Data],$DE1251,58),0)</f>
        <v/>
      </c>
      <c r="BJ1251">
        <f>IFERROR(INDEX(PP_Grid[#Data],$DE1251,59),0)</f>
        <v/>
      </c>
      <c r="BK1251">
        <f>IFERROR(INDEX(PP_Grid[#Data],$DE1251,60),0)</f>
        <v/>
      </c>
      <c r="BL1251">
        <f>IFERROR(INDEX(PP_Grid[#Data],$DE1251,61),0)</f>
        <v/>
      </c>
      <c r="BM1251">
        <f>IFERROR(INDEX(PP_Grid[#Data],$DE1251,62),0)</f>
        <v/>
      </c>
      <c r="BN1251">
        <f>IFERROR(INDEX(PP_Grid[#Data],$DE1251,63),0)</f>
        <v/>
      </c>
      <c r="BO1251">
        <f>IFERROR(INDEX(PP_Grid[#Data],$DE1251,64),0)</f>
        <v/>
      </c>
      <c r="BP1251">
        <f>IFERROR(INDEX(PP_Grid[#Data],$DE1251,65),0)</f>
        <v/>
      </c>
      <c r="BQ1251">
        <f>IFERROR(INDEX(PP_Grid[#Data],$DE1251,66),0)</f>
        <v/>
      </c>
      <c r="BR1251">
        <f>IFERROR(INDEX(PP_Grid[#Data],$DE1251,67),0)</f>
        <v/>
      </c>
      <c r="BS1251">
        <f>IFERROR(INDEX(PP_Grid[#Data],$DE1251,68),0)</f>
        <v/>
      </c>
      <c r="BT1251">
        <f>IFERROR(INDEX(PP_Grid[#Data],$DE1251,69),0)</f>
        <v/>
      </c>
      <c r="BU1251">
        <f>IFERROR(INDEX(PP_Grid[#Data],$DE1251,70),0)</f>
        <v/>
      </c>
      <c r="BV1251">
        <f>IFERROR(INDEX(PP_Grid[#Data],$DE1251,71),0)</f>
        <v/>
      </c>
      <c r="BW1251">
        <f>IFERROR(INDEX(PP_Grid[#Data],$DE1251,72),0)</f>
        <v/>
      </c>
      <c r="BX1251">
        <f>IFERROR(INDEX(PP_Grid[#Data],$DE1251,73),0)</f>
        <v/>
      </c>
      <c r="BY1251">
        <f>IFERROR(INDEX(PP_Grid[#Data],$DE1251,74),0)</f>
        <v/>
      </c>
      <c r="BZ1251">
        <f>IFERROR(INDEX(PP_Grid[#Data],$DE1251,75),0)</f>
        <v/>
      </c>
      <c r="CA1251">
        <f>IFERROR(INDEX(PP_Grid[#Data],$DE1251,76),0)</f>
        <v/>
      </c>
      <c r="CB1251">
        <f>IFERROR(INDEX(PP_Grid[#Data],$DE1251,77),0)</f>
        <v/>
      </c>
      <c r="CC1251">
        <f>IFERROR(INDEX(PP_Grid[#Data],$DE1251,78),0)</f>
        <v/>
      </c>
      <c r="CD1251">
        <f>IFERROR(INDEX(PP_Grid[#Data],$DE1251,79),0)</f>
        <v/>
      </c>
      <c r="CE1251">
        <f>IFERROR(INDEX(PP_Grid[#Data],$DE1251,80),0)</f>
        <v/>
      </c>
      <c r="CF1251">
        <f>IFERROR(INDEX(PP_Grid[#Data],$DE1251,81),0)</f>
        <v/>
      </c>
      <c r="CG1251">
        <f>IFERROR(INDEX(PP_Grid[#Data],$DE1251,82),0)</f>
        <v/>
      </c>
      <c r="CH1251">
        <f>IFERROR(INDEX(PP_Grid[#Data],$DE1251,83),0)</f>
        <v/>
      </c>
      <c r="CI1251">
        <f>IFERROR(INDEX(PP_Grid[#Data],$DE1251,84),0)</f>
        <v/>
      </c>
      <c r="CJ1251">
        <f>IFERROR(INDEX(PP_Grid[#Data],$DE1251,85),0)</f>
        <v/>
      </c>
      <c r="CK1251">
        <f>IFERROR(INDEX(PP_Grid[#Data],$DE1251,86),0)</f>
        <v/>
      </c>
      <c r="CL1251">
        <f>IFERROR(INDEX(PP_Grid[#Data],$DE1251,87),0)</f>
        <v/>
      </c>
      <c r="CM1251">
        <f>IFERROR(INDEX(PP_Grid[#Data],$DE1251,88),0)</f>
        <v/>
      </c>
      <c r="CN1251">
        <f>IFERROR(INDEX(PP_Grid[#Data],$DE1251,89),0)</f>
        <v/>
      </c>
      <c r="CO1251">
        <f>IFERROR(INDEX(PP_Grid[#Data],$DE1251,90),0)</f>
        <v/>
      </c>
      <c r="CP1251">
        <f>IFERROR(INDEX(PP_Grid[#Data],$DE1251,91),0)</f>
        <v/>
      </c>
      <c r="CQ1251">
        <f>IFERROR(INDEX(PP_Grid[#Data],$DE1251,92),0)</f>
        <v/>
      </c>
      <c r="CR1251">
        <f>IFERROR(INDEX(PP_Grid[#Data],$DE1251,93),0)</f>
        <v/>
      </c>
      <c r="CS1251">
        <f>IFERROR(INDEX(PP_Grid[#Data],$DE1251,94),0)</f>
        <v/>
      </c>
      <c r="CT1251">
        <f>IFERROR(INDEX(PP_Grid[#Data],$DE1251,95),0)</f>
        <v/>
      </c>
      <c r="CU1251">
        <f>IFERROR(INDEX(PP_Grid[#Data],$DE1251,96),0)</f>
        <v/>
      </c>
      <c r="CV1251">
        <f>IFERROR(INDEX(PP_Grid[#Data],$DE1251,97),0)</f>
        <v/>
      </c>
      <c r="CW1251">
        <f>IFERROR(INDEX(PP_Grid[#Data],$DE1251,98),0)</f>
        <v/>
      </c>
      <c r="CX1251">
        <f>IFERROR(INDEX(PP_Grid[#Data],$DE1251,99),0)</f>
        <v/>
      </c>
      <c r="CY1251">
        <f>IFERROR(INDEX(PP_Grid[#Data],$DE1251,100),0)</f>
        <v/>
      </c>
      <c r="CZ1251">
        <f>IFERROR(INDEX(PP_Grid[#Data],$DE1251,101),0)</f>
        <v/>
      </c>
      <c r="DA1251">
        <f>IFERROR(INDEX(PP_Grid[#Data],$DE1251,102),0)</f>
        <v/>
      </c>
      <c r="DB1251">
        <f>IFERROR(INDEX(PP_Grid[#Data],$DE1251,103),0)</f>
        <v/>
      </c>
      <c r="DC1251">
        <f>IFERROR(INDEX(PP_Grid[#Data],$DE1251,104),0)</f>
        <v/>
      </c>
      <c r="DD1251">
        <f>IFERROR(INDEX(PP_Grid[#Data],$DE1251,105),0)</f>
        <v/>
      </c>
      <c r="DE1251" s="7">
        <f>IFERROR(MATCH($B1251,PP_Grid[Intermediate],0),99999)</f>
        <v/>
      </c>
    </row>
    <row r="1252">
      <c r="B1252" t="inlineStr">
        <is>
          <t>使用量(kg)</t>
        </is>
      </c>
      <c r="C1252">
        <f>SUMIFS(M_BOM[RM_Qty_Per_Batch],M_BOM[Intermediate],$B1251,M_BOM[RM_Code],$A1222)</f>
        <v/>
      </c>
      <c r="D1252">
        <f>IFERROR(INDEX(E1252:DD1252,$F$1),"")</f>
        <v/>
      </c>
      <c r="E1252">
        <f>$C1252*E1251</f>
        <v/>
      </c>
      <c r="F1252">
        <f>$C1252*F1251</f>
        <v/>
      </c>
      <c r="G1252">
        <f>$C1252*G1251</f>
        <v/>
      </c>
      <c r="H1252">
        <f>$C1252*H1251</f>
        <v/>
      </c>
      <c r="I1252">
        <f>$C1252*I1251</f>
        <v/>
      </c>
      <c r="J1252">
        <f>$C1252*J1251</f>
        <v/>
      </c>
      <c r="K1252">
        <f>$C1252*K1251</f>
        <v/>
      </c>
      <c r="L1252">
        <f>$C1252*L1251</f>
        <v/>
      </c>
      <c r="M1252">
        <f>$C1252*M1251</f>
        <v/>
      </c>
      <c r="N1252">
        <f>$C1252*N1251</f>
        <v/>
      </c>
      <c r="O1252">
        <f>$C1252*O1251</f>
        <v/>
      </c>
      <c r="P1252">
        <f>$C1252*P1251</f>
        <v/>
      </c>
      <c r="Q1252">
        <f>$C1252*Q1251</f>
        <v/>
      </c>
      <c r="R1252">
        <f>$C1252*R1251</f>
        <v/>
      </c>
      <c r="S1252">
        <f>$C1252*S1251</f>
        <v/>
      </c>
      <c r="T1252">
        <f>$C1252*T1251</f>
        <v/>
      </c>
      <c r="U1252">
        <f>$C1252*U1251</f>
        <v/>
      </c>
      <c r="V1252">
        <f>$C1252*V1251</f>
        <v/>
      </c>
      <c r="W1252">
        <f>$C1252*W1251</f>
        <v/>
      </c>
      <c r="X1252">
        <f>$C1252*X1251</f>
        <v/>
      </c>
      <c r="Y1252">
        <f>$C1252*Y1251</f>
        <v/>
      </c>
      <c r="Z1252">
        <f>$C1252*Z1251</f>
        <v/>
      </c>
      <c r="AA1252">
        <f>$C1252*AA1251</f>
        <v/>
      </c>
      <c r="AB1252">
        <f>$C1252*AB1251</f>
        <v/>
      </c>
      <c r="AC1252">
        <f>$C1252*AC1251</f>
        <v/>
      </c>
      <c r="AD1252">
        <f>$C1252*AD1251</f>
        <v/>
      </c>
      <c r="AE1252">
        <f>$C1252*AE1251</f>
        <v/>
      </c>
      <c r="AF1252">
        <f>$C1252*AF1251</f>
        <v/>
      </c>
      <c r="AG1252">
        <f>$C1252*AG1251</f>
        <v/>
      </c>
      <c r="AH1252">
        <f>$C1252*AH1251</f>
        <v/>
      </c>
      <c r="AI1252">
        <f>$C1252*AI1251</f>
        <v/>
      </c>
      <c r="AJ1252">
        <f>$C1252*AJ1251</f>
        <v/>
      </c>
      <c r="AK1252">
        <f>$C1252*AK1251</f>
        <v/>
      </c>
      <c r="AL1252">
        <f>$C1252*AL1251</f>
        <v/>
      </c>
      <c r="AM1252">
        <f>$C1252*AM1251</f>
        <v/>
      </c>
      <c r="AN1252">
        <f>$C1252*AN1251</f>
        <v/>
      </c>
      <c r="AO1252">
        <f>$C1252*AO1251</f>
        <v/>
      </c>
      <c r="AP1252">
        <f>$C1252*AP1251</f>
        <v/>
      </c>
      <c r="AQ1252">
        <f>$C1252*AQ1251</f>
        <v/>
      </c>
      <c r="AR1252">
        <f>$C1252*AR1251</f>
        <v/>
      </c>
      <c r="AS1252">
        <f>$C1252*AS1251</f>
        <v/>
      </c>
      <c r="AT1252">
        <f>$C1252*AT1251</f>
        <v/>
      </c>
      <c r="AU1252">
        <f>$C1252*AU1251</f>
        <v/>
      </c>
      <c r="AV1252">
        <f>$C1252*AV1251</f>
        <v/>
      </c>
      <c r="AW1252">
        <f>$C1252*AW1251</f>
        <v/>
      </c>
      <c r="AX1252">
        <f>$C1252*AX1251</f>
        <v/>
      </c>
      <c r="AY1252">
        <f>$C1252*AY1251</f>
        <v/>
      </c>
      <c r="AZ1252">
        <f>$C1252*AZ1251</f>
        <v/>
      </c>
      <c r="BA1252">
        <f>$C1252*BA1251</f>
        <v/>
      </c>
      <c r="BB1252">
        <f>$C1252*BB1251</f>
        <v/>
      </c>
      <c r="BC1252">
        <f>$C1252*BC1251</f>
        <v/>
      </c>
      <c r="BD1252">
        <f>$C1252*BD1251</f>
        <v/>
      </c>
      <c r="BE1252">
        <f>$C1252*BE1251</f>
        <v/>
      </c>
      <c r="BF1252">
        <f>$C1252*BF1251</f>
        <v/>
      </c>
      <c r="BG1252">
        <f>$C1252*BG1251</f>
        <v/>
      </c>
      <c r="BH1252">
        <f>$C1252*BH1251</f>
        <v/>
      </c>
      <c r="BI1252">
        <f>$C1252*BI1251</f>
        <v/>
      </c>
      <c r="BJ1252">
        <f>$C1252*BJ1251</f>
        <v/>
      </c>
      <c r="BK1252">
        <f>$C1252*BK1251</f>
        <v/>
      </c>
      <c r="BL1252">
        <f>$C1252*BL1251</f>
        <v/>
      </c>
      <c r="BM1252">
        <f>$C1252*BM1251</f>
        <v/>
      </c>
      <c r="BN1252">
        <f>$C1252*BN1251</f>
        <v/>
      </c>
      <c r="BO1252">
        <f>$C1252*BO1251</f>
        <v/>
      </c>
      <c r="BP1252">
        <f>$C1252*BP1251</f>
        <v/>
      </c>
      <c r="BQ1252">
        <f>$C1252*BQ1251</f>
        <v/>
      </c>
      <c r="BR1252">
        <f>$C1252*BR1251</f>
        <v/>
      </c>
      <c r="BS1252">
        <f>$C1252*BS1251</f>
        <v/>
      </c>
      <c r="BT1252">
        <f>$C1252*BT1251</f>
        <v/>
      </c>
      <c r="BU1252">
        <f>$C1252*BU1251</f>
        <v/>
      </c>
      <c r="BV1252">
        <f>$C1252*BV1251</f>
        <v/>
      </c>
      <c r="BW1252">
        <f>$C1252*BW1251</f>
        <v/>
      </c>
      <c r="BX1252">
        <f>$C1252*BX1251</f>
        <v/>
      </c>
      <c r="BY1252">
        <f>$C1252*BY1251</f>
        <v/>
      </c>
      <c r="BZ1252">
        <f>$C1252*BZ1251</f>
        <v/>
      </c>
      <c r="CA1252">
        <f>$C1252*CA1251</f>
        <v/>
      </c>
      <c r="CB1252">
        <f>$C1252*CB1251</f>
        <v/>
      </c>
      <c r="CC1252">
        <f>$C1252*CC1251</f>
        <v/>
      </c>
      <c r="CD1252">
        <f>$C1252*CD1251</f>
        <v/>
      </c>
      <c r="CE1252">
        <f>$C1252*CE1251</f>
        <v/>
      </c>
      <c r="CF1252">
        <f>$C1252*CF1251</f>
        <v/>
      </c>
      <c r="CG1252">
        <f>$C1252*CG1251</f>
        <v/>
      </c>
      <c r="CH1252">
        <f>$C1252*CH1251</f>
        <v/>
      </c>
      <c r="CI1252">
        <f>$C1252*CI1251</f>
        <v/>
      </c>
      <c r="CJ1252">
        <f>$C1252*CJ1251</f>
        <v/>
      </c>
      <c r="CK1252">
        <f>$C1252*CK1251</f>
        <v/>
      </c>
      <c r="CL1252">
        <f>$C1252*CL1251</f>
        <v/>
      </c>
      <c r="CM1252">
        <f>$C1252*CM1251</f>
        <v/>
      </c>
      <c r="CN1252">
        <f>$C1252*CN1251</f>
        <v/>
      </c>
      <c r="CO1252">
        <f>$C1252*CO1251</f>
        <v/>
      </c>
      <c r="CP1252">
        <f>$C1252*CP1251</f>
        <v/>
      </c>
      <c r="CQ1252">
        <f>$C1252*CQ1251</f>
        <v/>
      </c>
      <c r="CR1252">
        <f>$C1252*CR1251</f>
        <v/>
      </c>
      <c r="CS1252">
        <f>$C1252*CS1251</f>
        <v/>
      </c>
      <c r="CT1252">
        <f>$C1252*CT1251</f>
        <v/>
      </c>
      <c r="CU1252">
        <f>$C1252*CU1251</f>
        <v/>
      </c>
      <c r="CV1252">
        <f>$C1252*CV1251</f>
        <v/>
      </c>
      <c r="CW1252">
        <f>$C1252*CW1251</f>
        <v/>
      </c>
      <c r="CX1252">
        <f>$C1252*CX1251</f>
        <v/>
      </c>
      <c r="CY1252">
        <f>$C1252*CY1251</f>
        <v/>
      </c>
      <c r="CZ1252">
        <f>$C1252*CZ1251</f>
        <v/>
      </c>
      <c r="DA1252">
        <f>$C1252*DA1251</f>
        <v/>
      </c>
      <c r="DB1252">
        <f>$C1252*DB1251</f>
        <v/>
      </c>
      <c r="DC1252">
        <f>$C1252*DC1251</f>
        <v/>
      </c>
      <c r="DD1252">
        <f>$C1252*DD1251</f>
        <v/>
      </c>
    </row>
    <row r="1253">
      <c r="B1253" t="inlineStr">
        <is>
          <t>VSP-567</t>
        </is>
      </c>
      <c r="C1253" t="inlineStr">
        <is>
          <t>No. of batches</t>
        </is>
      </c>
      <c r="D1253">
        <f>IFERROR(INDEX(E1253:DD1253,$F$1),"")</f>
        <v/>
      </c>
      <c r="E1253">
        <f>IFERROR(INDEX(PP_Grid[#Data],$DE1253,2),0)</f>
        <v/>
      </c>
      <c r="F1253">
        <f>IFERROR(INDEX(PP_Grid[#Data],$DE1253,3),0)</f>
        <v/>
      </c>
      <c r="G1253">
        <f>IFERROR(INDEX(PP_Grid[#Data],$DE1253,4),0)</f>
        <v/>
      </c>
      <c r="H1253">
        <f>IFERROR(INDEX(PP_Grid[#Data],$DE1253,5),0)</f>
        <v/>
      </c>
      <c r="I1253">
        <f>IFERROR(INDEX(PP_Grid[#Data],$DE1253,6),0)</f>
        <v/>
      </c>
      <c r="J1253">
        <f>IFERROR(INDEX(PP_Grid[#Data],$DE1253,7),0)</f>
        <v/>
      </c>
      <c r="K1253">
        <f>IFERROR(INDEX(PP_Grid[#Data],$DE1253,8),0)</f>
        <v/>
      </c>
      <c r="L1253">
        <f>IFERROR(INDEX(PP_Grid[#Data],$DE1253,9),0)</f>
        <v/>
      </c>
      <c r="M1253">
        <f>IFERROR(INDEX(PP_Grid[#Data],$DE1253,10),0)</f>
        <v/>
      </c>
      <c r="N1253">
        <f>IFERROR(INDEX(PP_Grid[#Data],$DE1253,11),0)</f>
        <v/>
      </c>
      <c r="O1253">
        <f>IFERROR(INDEX(PP_Grid[#Data],$DE1253,12),0)</f>
        <v/>
      </c>
      <c r="P1253">
        <f>IFERROR(INDEX(PP_Grid[#Data],$DE1253,13),0)</f>
        <v/>
      </c>
      <c r="Q1253">
        <f>IFERROR(INDEX(PP_Grid[#Data],$DE1253,14),0)</f>
        <v/>
      </c>
      <c r="R1253">
        <f>IFERROR(INDEX(PP_Grid[#Data],$DE1253,15),0)</f>
        <v/>
      </c>
      <c r="S1253">
        <f>IFERROR(INDEX(PP_Grid[#Data],$DE1253,16),0)</f>
        <v/>
      </c>
      <c r="T1253">
        <f>IFERROR(INDEX(PP_Grid[#Data],$DE1253,17),0)</f>
        <v/>
      </c>
      <c r="U1253">
        <f>IFERROR(INDEX(PP_Grid[#Data],$DE1253,18),0)</f>
        <v/>
      </c>
      <c r="V1253">
        <f>IFERROR(INDEX(PP_Grid[#Data],$DE1253,19),0)</f>
        <v/>
      </c>
      <c r="W1253">
        <f>IFERROR(INDEX(PP_Grid[#Data],$DE1253,20),0)</f>
        <v/>
      </c>
      <c r="X1253">
        <f>IFERROR(INDEX(PP_Grid[#Data],$DE1253,21),0)</f>
        <v/>
      </c>
      <c r="Y1253">
        <f>IFERROR(INDEX(PP_Grid[#Data],$DE1253,22),0)</f>
        <v/>
      </c>
      <c r="Z1253">
        <f>IFERROR(INDEX(PP_Grid[#Data],$DE1253,23),0)</f>
        <v/>
      </c>
      <c r="AA1253">
        <f>IFERROR(INDEX(PP_Grid[#Data],$DE1253,24),0)</f>
        <v/>
      </c>
      <c r="AB1253">
        <f>IFERROR(INDEX(PP_Grid[#Data],$DE1253,25),0)</f>
        <v/>
      </c>
      <c r="AC1253">
        <f>IFERROR(INDEX(PP_Grid[#Data],$DE1253,26),0)</f>
        <v/>
      </c>
      <c r="AD1253">
        <f>IFERROR(INDEX(PP_Grid[#Data],$DE1253,27),0)</f>
        <v/>
      </c>
      <c r="AE1253">
        <f>IFERROR(INDEX(PP_Grid[#Data],$DE1253,28),0)</f>
        <v/>
      </c>
      <c r="AF1253">
        <f>IFERROR(INDEX(PP_Grid[#Data],$DE1253,29),0)</f>
        <v/>
      </c>
      <c r="AG1253">
        <f>IFERROR(INDEX(PP_Grid[#Data],$DE1253,30),0)</f>
        <v/>
      </c>
      <c r="AH1253">
        <f>IFERROR(INDEX(PP_Grid[#Data],$DE1253,31),0)</f>
        <v/>
      </c>
      <c r="AI1253">
        <f>IFERROR(INDEX(PP_Grid[#Data],$DE1253,32),0)</f>
        <v/>
      </c>
      <c r="AJ1253">
        <f>IFERROR(INDEX(PP_Grid[#Data],$DE1253,33),0)</f>
        <v/>
      </c>
      <c r="AK1253">
        <f>IFERROR(INDEX(PP_Grid[#Data],$DE1253,34),0)</f>
        <v/>
      </c>
      <c r="AL1253">
        <f>IFERROR(INDEX(PP_Grid[#Data],$DE1253,35),0)</f>
        <v/>
      </c>
      <c r="AM1253">
        <f>IFERROR(INDEX(PP_Grid[#Data],$DE1253,36),0)</f>
        <v/>
      </c>
      <c r="AN1253">
        <f>IFERROR(INDEX(PP_Grid[#Data],$DE1253,37),0)</f>
        <v/>
      </c>
      <c r="AO1253">
        <f>IFERROR(INDEX(PP_Grid[#Data],$DE1253,38),0)</f>
        <v/>
      </c>
      <c r="AP1253">
        <f>IFERROR(INDEX(PP_Grid[#Data],$DE1253,39),0)</f>
        <v/>
      </c>
      <c r="AQ1253">
        <f>IFERROR(INDEX(PP_Grid[#Data],$DE1253,40),0)</f>
        <v/>
      </c>
      <c r="AR1253">
        <f>IFERROR(INDEX(PP_Grid[#Data],$DE1253,41),0)</f>
        <v/>
      </c>
      <c r="AS1253">
        <f>IFERROR(INDEX(PP_Grid[#Data],$DE1253,42),0)</f>
        <v/>
      </c>
      <c r="AT1253">
        <f>IFERROR(INDEX(PP_Grid[#Data],$DE1253,43),0)</f>
        <v/>
      </c>
      <c r="AU1253">
        <f>IFERROR(INDEX(PP_Grid[#Data],$DE1253,44),0)</f>
        <v/>
      </c>
      <c r="AV1253">
        <f>IFERROR(INDEX(PP_Grid[#Data],$DE1253,45),0)</f>
        <v/>
      </c>
      <c r="AW1253">
        <f>IFERROR(INDEX(PP_Grid[#Data],$DE1253,46),0)</f>
        <v/>
      </c>
      <c r="AX1253">
        <f>IFERROR(INDEX(PP_Grid[#Data],$DE1253,47),0)</f>
        <v/>
      </c>
      <c r="AY1253">
        <f>IFERROR(INDEX(PP_Grid[#Data],$DE1253,48),0)</f>
        <v/>
      </c>
      <c r="AZ1253">
        <f>IFERROR(INDEX(PP_Grid[#Data],$DE1253,49),0)</f>
        <v/>
      </c>
      <c r="BA1253">
        <f>IFERROR(INDEX(PP_Grid[#Data],$DE1253,50),0)</f>
        <v/>
      </c>
      <c r="BB1253">
        <f>IFERROR(INDEX(PP_Grid[#Data],$DE1253,51),0)</f>
        <v/>
      </c>
      <c r="BC1253">
        <f>IFERROR(INDEX(PP_Grid[#Data],$DE1253,52),0)</f>
        <v/>
      </c>
      <c r="BD1253">
        <f>IFERROR(INDEX(PP_Grid[#Data],$DE1253,53),0)</f>
        <v/>
      </c>
      <c r="BE1253">
        <f>IFERROR(INDEX(PP_Grid[#Data],$DE1253,54),0)</f>
        <v/>
      </c>
      <c r="BF1253">
        <f>IFERROR(INDEX(PP_Grid[#Data],$DE1253,55),0)</f>
        <v/>
      </c>
      <c r="BG1253">
        <f>IFERROR(INDEX(PP_Grid[#Data],$DE1253,56),0)</f>
        <v/>
      </c>
      <c r="BH1253">
        <f>IFERROR(INDEX(PP_Grid[#Data],$DE1253,57),0)</f>
        <v/>
      </c>
      <c r="BI1253">
        <f>IFERROR(INDEX(PP_Grid[#Data],$DE1253,58),0)</f>
        <v/>
      </c>
      <c r="BJ1253">
        <f>IFERROR(INDEX(PP_Grid[#Data],$DE1253,59),0)</f>
        <v/>
      </c>
      <c r="BK1253">
        <f>IFERROR(INDEX(PP_Grid[#Data],$DE1253,60),0)</f>
        <v/>
      </c>
      <c r="BL1253">
        <f>IFERROR(INDEX(PP_Grid[#Data],$DE1253,61),0)</f>
        <v/>
      </c>
      <c r="BM1253">
        <f>IFERROR(INDEX(PP_Grid[#Data],$DE1253,62),0)</f>
        <v/>
      </c>
      <c r="BN1253">
        <f>IFERROR(INDEX(PP_Grid[#Data],$DE1253,63),0)</f>
        <v/>
      </c>
      <c r="BO1253">
        <f>IFERROR(INDEX(PP_Grid[#Data],$DE1253,64),0)</f>
        <v/>
      </c>
      <c r="BP1253">
        <f>IFERROR(INDEX(PP_Grid[#Data],$DE1253,65),0)</f>
        <v/>
      </c>
      <c r="BQ1253">
        <f>IFERROR(INDEX(PP_Grid[#Data],$DE1253,66),0)</f>
        <v/>
      </c>
      <c r="BR1253">
        <f>IFERROR(INDEX(PP_Grid[#Data],$DE1253,67),0)</f>
        <v/>
      </c>
      <c r="BS1253">
        <f>IFERROR(INDEX(PP_Grid[#Data],$DE1253,68),0)</f>
        <v/>
      </c>
      <c r="BT1253">
        <f>IFERROR(INDEX(PP_Grid[#Data],$DE1253,69),0)</f>
        <v/>
      </c>
      <c r="BU1253">
        <f>IFERROR(INDEX(PP_Grid[#Data],$DE1253,70),0)</f>
        <v/>
      </c>
      <c r="BV1253">
        <f>IFERROR(INDEX(PP_Grid[#Data],$DE1253,71),0)</f>
        <v/>
      </c>
      <c r="BW1253">
        <f>IFERROR(INDEX(PP_Grid[#Data],$DE1253,72),0)</f>
        <v/>
      </c>
      <c r="BX1253">
        <f>IFERROR(INDEX(PP_Grid[#Data],$DE1253,73),0)</f>
        <v/>
      </c>
      <c r="BY1253">
        <f>IFERROR(INDEX(PP_Grid[#Data],$DE1253,74),0)</f>
        <v/>
      </c>
      <c r="BZ1253">
        <f>IFERROR(INDEX(PP_Grid[#Data],$DE1253,75),0)</f>
        <v/>
      </c>
      <c r="CA1253">
        <f>IFERROR(INDEX(PP_Grid[#Data],$DE1253,76),0)</f>
        <v/>
      </c>
      <c r="CB1253">
        <f>IFERROR(INDEX(PP_Grid[#Data],$DE1253,77),0)</f>
        <v/>
      </c>
      <c r="CC1253">
        <f>IFERROR(INDEX(PP_Grid[#Data],$DE1253,78),0)</f>
        <v/>
      </c>
      <c r="CD1253">
        <f>IFERROR(INDEX(PP_Grid[#Data],$DE1253,79),0)</f>
        <v/>
      </c>
      <c r="CE1253">
        <f>IFERROR(INDEX(PP_Grid[#Data],$DE1253,80),0)</f>
        <v/>
      </c>
      <c r="CF1253">
        <f>IFERROR(INDEX(PP_Grid[#Data],$DE1253,81),0)</f>
        <v/>
      </c>
      <c r="CG1253">
        <f>IFERROR(INDEX(PP_Grid[#Data],$DE1253,82),0)</f>
        <v/>
      </c>
      <c r="CH1253">
        <f>IFERROR(INDEX(PP_Grid[#Data],$DE1253,83),0)</f>
        <v/>
      </c>
      <c r="CI1253">
        <f>IFERROR(INDEX(PP_Grid[#Data],$DE1253,84),0)</f>
        <v/>
      </c>
      <c r="CJ1253">
        <f>IFERROR(INDEX(PP_Grid[#Data],$DE1253,85),0)</f>
        <v/>
      </c>
      <c r="CK1253">
        <f>IFERROR(INDEX(PP_Grid[#Data],$DE1253,86),0)</f>
        <v/>
      </c>
      <c r="CL1253">
        <f>IFERROR(INDEX(PP_Grid[#Data],$DE1253,87),0)</f>
        <v/>
      </c>
      <c r="CM1253">
        <f>IFERROR(INDEX(PP_Grid[#Data],$DE1253,88),0)</f>
        <v/>
      </c>
      <c r="CN1253">
        <f>IFERROR(INDEX(PP_Grid[#Data],$DE1253,89),0)</f>
        <v/>
      </c>
      <c r="CO1253">
        <f>IFERROR(INDEX(PP_Grid[#Data],$DE1253,90),0)</f>
        <v/>
      </c>
      <c r="CP1253">
        <f>IFERROR(INDEX(PP_Grid[#Data],$DE1253,91),0)</f>
        <v/>
      </c>
      <c r="CQ1253">
        <f>IFERROR(INDEX(PP_Grid[#Data],$DE1253,92),0)</f>
        <v/>
      </c>
      <c r="CR1253">
        <f>IFERROR(INDEX(PP_Grid[#Data],$DE1253,93),0)</f>
        <v/>
      </c>
      <c r="CS1253">
        <f>IFERROR(INDEX(PP_Grid[#Data],$DE1253,94),0)</f>
        <v/>
      </c>
      <c r="CT1253">
        <f>IFERROR(INDEX(PP_Grid[#Data],$DE1253,95),0)</f>
        <v/>
      </c>
      <c r="CU1253">
        <f>IFERROR(INDEX(PP_Grid[#Data],$DE1253,96),0)</f>
        <v/>
      </c>
      <c r="CV1253">
        <f>IFERROR(INDEX(PP_Grid[#Data],$DE1253,97),0)</f>
        <v/>
      </c>
      <c r="CW1253">
        <f>IFERROR(INDEX(PP_Grid[#Data],$DE1253,98),0)</f>
        <v/>
      </c>
      <c r="CX1253">
        <f>IFERROR(INDEX(PP_Grid[#Data],$DE1253,99),0)</f>
        <v/>
      </c>
      <c r="CY1253">
        <f>IFERROR(INDEX(PP_Grid[#Data],$DE1253,100),0)</f>
        <v/>
      </c>
      <c r="CZ1253">
        <f>IFERROR(INDEX(PP_Grid[#Data],$DE1253,101),0)</f>
        <v/>
      </c>
      <c r="DA1253">
        <f>IFERROR(INDEX(PP_Grid[#Data],$DE1253,102),0)</f>
        <v/>
      </c>
      <c r="DB1253">
        <f>IFERROR(INDEX(PP_Grid[#Data],$DE1253,103),0)</f>
        <v/>
      </c>
      <c r="DC1253">
        <f>IFERROR(INDEX(PP_Grid[#Data],$DE1253,104),0)</f>
        <v/>
      </c>
      <c r="DD1253">
        <f>IFERROR(INDEX(PP_Grid[#Data],$DE1253,105),0)</f>
        <v/>
      </c>
      <c r="DE1253" s="7">
        <f>IFERROR(MATCH($B1253,PP_Grid[Intermediate],0),99999)</f>
        <v/>
      </c>
    </row>
    <row r="1254">
      <c r="B1254" t="inlineStr">
        <is>
          <t>使用量(kg)</t>
        </is>
      </c>
      <c r="C1254">
        <f>SUMIFS(M_BOM[RM_Qty_Per_Batch],M_BOM[Intermediate],$B1253,M_BOM[RM_Code],$A1222)</f>
        <v/>
      </c>
      <c r="D1254">
        <f>IFERROR(INDEX(E1254:DD1254,$F$1),"")</f>
        <v/>
      </c>
      <c r="E1254">
        <f>$C1254*E1253</f>
        <v/>
      </c>
      <c r="F1254">
        <f>$C1254*F1253</f>
        <v/>
      </c>
      <c r="G1254">
        <f>$C1254*G1253</f>
        <v/>
      </c>
      <c r="H1254">
        <f>$C1254*H1253</f>
        <v/>
      </c>
      <c r="I1254">
        <f>$C1254*I1253</f>
        <v/>
      </c>
      <c r="J1254">
        <f>$C1254*J1253</f>
        <v/>
      </c>
      <c r="K1254">
        <f>$C1254*K1253</f>
        <v/>
      </c>
      <c r="L1254">
        <f>$C1254*L1253</f>
        <v/>
      </c>
      <c r="M1254">
        <f>$C1254*M1253</f>
        <v/>
      </c>
      <c r="N1254">
        <f>$C1254*N1253</f>
        <v/>
      </c>
      <c r="O1254">
        <f>$C1254*O1253</f>
        <v/>
      </c>
      <c r="P1254">
        <f>$C1254*P1253</f>
        <v/>
      </c>
      <c r="Q1254">
        <f>$C1254*Q1253</f>
        <v/>
      </c>
      <c r="R1254">
        <f>$C1254*R1253</f>
        <v/>
      </c>
      <c r="S1254">
        <f>$C1254*S1253</f>
        <v/>
      </c>
      <c r="T1254">
        <f>$C1254*T1253</f>
        <v/>
      </c>
      <c r="U1254">
        <f>$C1254*U1253</f>
        <v/>
      </c>
      <c r="V1254">
        <f>$C1254*V1253</f>
        <v/>
      </c>
      <c r="W1254">
        <f>$C1254*W1253</f>
        <v/>
      </c>
      <c r="X1254">
        <f>$C1254*X1253</f>
        <v/>
      </c>
      <c r="Y1254">
        <f>$C1254*Y1253</f>
        <v/>
      </c>
      <c r="Z1254">
        <f>$C1254*Z1253</f>
        <v/>
      </c>
      <c r="AA1254">
        <f>$C1254*AA1253</f>
        <v/>
      </c>
      <c r="AB1254">
        <f>$C1254*AB1253</f>
        <v/>
      </c>
      <c r="AC1254">
        <f>$C1254*AC1253</f>
        <v/>
      </c>
      <c r="AD1254">
        <f>$C1254*AD1253</f>
        <v/>
      </c>
      <c r="AE1254">
        <f>$C1254*AE1253</f>
        <v/>
      </c>
      <c r="AF1254">
        <f>$C1254*AF1253</f>
        <v/>
      </c>
      <c r="AG1254">
        <f>$C1254*AG1253</f>
        <v/>
      </c>
      <c r="AH1254">
        <f>$C1254*AH1253</f>
        <v/>
      </c>
      <c r="AI1254">
        <f>$C1254*AI1253</f>
        <v/>
      </c>
      <c r="AJ1254">
        <f>$C1254*AJ1253</f>
        <v/>
      </c>
      <c r="AK1254">
        <f>$C1254*AK1253</f>
        <v/>
      </c>
      <c r="AL1254">
        <f>$C1254*AL1253</f>
        <v/>
      </c>
      <c r="AM1254">
        <f>$C1254*AM1253</f>
        <v/>
      </c>
      <c r="AN1254">
        <f>$C1254*AN1253</f>
        <v/>
      </c>
      <c r="AO1254">
        <f>$C1254*AO1253</f>
        <v/>
      </c>
      <c r="AP1254">
        <f>$C1254*AP1253</f>
        <v/>
      </c>
      <c r="AQ1254">
        <f>$C1254*AQ1253</f>
        <v/>
      </c>
      <c r="AR1254">
        <f>$C1254*AR1253</f>
        <v/>
      </c>
      <c r="AS1254">
        <f>$C1254*AS1253</f>
        <v/>
      </c>
      <c r="AT1254">
        <f>$C1254*AT1253</f>
        <v/>
      </c>
      <c r="AU1254">
        <f>$C1254*AU1253</f>
        <v/>
      </c>
      <c r="AV1254">
        <f>$C1254*AV1253</f>
        <v/>
      </c>
      <c r="AW1254">
        <f>$C1254*AW1253</f>
        <v/>
      </c>
      <c r="AX1254">
        <f>$C1254*AX1253</f>
        <v/>
      </c>
      <c r="AY1254">
        <f>$C1254*AY1253</f>
        <v/>
      </c>
      <c r="AZ1254">
        <f>$C1254*AZ1253</f>
        <v/>
      </c>
      <c r="BA1254">
        <f>$C1254*BA1253</f>
        <v/>
      </c>
      <c r="BB1254">
        <f>$C1254*BB1253</f>
        <v/>
      </c>
      <c r="BC1254">
        <f>$C1254*BC1253</f>
        <v/>
      </c>
      <c r="BD1254">
        <f>$C1254*BD1253</f>
        <v/>
      </c>
      <c r="BE1254">
        <f>$C1254*BE1253</f>
        <v/>
      </c>
      <c r="BF1254">
        <f>$C1254*BF1253</f>
        <v/>
      </c>
      <c r="BG1254">
        <f>$C1254*BG1253</f>
        <v/>
      </c>
      <c r="BH1254">
        <f>$C1254*BH1253</f>
        <v/>
      </c>
      <c r="BI1254">
        <f>$C1254*BI1253</f>
        <v/>
      </c>
      <c r="BJ1254">
        <f>$C1254*BJ1253</f>
        <v/>
      </c>
      <c r="BK1254">
        <f>$C1254*BK1253</f>
        <v/>
      </c>
      <c r="BL1254">
        <f>$C1254*BL1253</f>
        <v/>
      </c>
      <c r="BM1254">
        <f>$C1254*BM1253</f>
        <v/>
      </c>
      <c r="BN1254">
        <f>$C1254*BN1253</f>
        <v/>
      </c>
      <c r="BO1254">
        <f>$C1254*BO1253</f>
        <v/>
      </c>
      <c r="BP1254">
        <f>$C1254*BP1253</f>
        <v/>
      </c>
      <c r="BQ1254">
        <f>$C1254*BQ1253</f>
        <v/>
      </c>
      <c r="BR1254">
        <f>$C1254*BR1253</f>
        <v/>
      </c>
      <c r="BS1254">
        <f>$C1254*BS1253</f>
        <v/>
      </c>
      <c r="BT1254">
        <f>$C1254*BT1253</f>
        <v/>
      </c>
      <c r="BU1254">
        <f>$C1254*BU1253</f>
        <v/>
      </c>
      <c r="BV1254">
        <f>$C1254*BV1253</f>
        <v/>
      </c>
      <c r="BW1254">
        <f>$C1254*BW1253</f>
        <v/>
      </c>
      <c r="BX1254">
        <f>$C1254*BX1253</f>
        <v/>
      </c>
      <c r="BY1254">
        <f>$C1254*BY1253</f>
        <v/>
      </c>
      <c r="BZ1254">
        <f>$C1254*BZ1253</f>
        <v/>
      </c>
      <c r="CA1254">
        <f>$C1254*CA1253</f>
        <v/>
      </c>
      <c r="CB1254">
        <f>$C1254*CB1253</f>
        <v/>
      </c>
      <c r="CC1254">
        <f>$C1254*CC1253</f>
        <v/>
      </c>
      <c r="CD1254">
        <f>$C1254*CD1253</f>
        <v/>
      </c>
      <c r="CE1254">
        <f>$C1254*CE1253</f>
        <v/>
      </c>
      <c r="CF1254">
        <f>$C1254*CF1253</f>
        <v/>
      </c>
      <c r="CG1254">
        <f>$C1254*CG1253</f>
        <v/>
      </c>
      <c r="CH1254">
        <f>$C1254*CH1253</f>
        <v/>
      </c>
      <c r="CI1254">
        <f>$C1254*CI1253</f>
        <v/>
      </c>
      <c r="CJ1254">
        <f>$C1254*CJ1253</f>
        <v/>
      </c>
      <c r="CK1254">
        <f>$C1254*CK1253</f>
        <v/>
      </c>
      <c r="CL1254">
        <f>$C1254*CL1253</f>
        <v/>
      </c>
      <c r="CM1254">
        <f>$C1254*CM1253</f>
        <v/>
      </c>
      <c r="CN1254">
        <f>$C1254*CN1253</f>
        <v/>
      </c>
      <c r="CO1254">
        <f>$C1254*CO1253</f>
        <v/>
      </c>
      <c r="CP1254">
        <f>$C1254*CP1253</f>
        <v/>
      </c>
      <c r="CQ1254">
        <f>$C1254*CQ1253</f>
        <v/>
      </c>
      <c r="CR1254">
        <f>$C1254*CR1253</f>
        <v/>
      </c>
      <c r="CS1254">
        <f>$C1254*CS1253</f>
        <v/>
      </c>
      <c r="CT1254">
        <f>$C1254*CT1253</f>
        <v/>
      </c>
      <c r="CU1254">
        <f>$C1254*CU1253</f>
        <v/>
      </c>
      <c r="CV1254">
        <f>$C1254*CV1253</f>
        <v/>
      </c>
      <c r="CW1254">
        <f>$C1254*CW1253</f>
        <v/>
      </c>
      <c r="CX1254">
        <f>$C1254*CX1253</f>
        <v/>
      </c>
      <c r="CY1254">
        <f>$C1254*CY1253</f>
        <v/>
      </c>
      <c r="CZ1254">
        <f>$C1254*CZ1253</f>
        <v/>
      </c>
      <c r="DA1254">
        <f>$C1254*DA1253</f>
        <v/>
      </c>
      <c r="DB1254">
        <f>$C1254*DB1253</f>
        <v/>
      </c>
      <c r="DC1254">
        <f>$C1254*DC1253</f>
        <v/>
      </c>
      <c r="DD1254">
        <f>$C1254*DD1253</f>
        <v/>
      </c>
    </row>
    <row r="1255">
      <c r="B1255" t="inlineStr">
        <is>
          <t>VSP-602</t>
        </is>
      </c>
      <c r="C1255" t="inlineStr">
        <is>
          <t>No. of batches</t>
        </is>
      </c>
      <c r="D1255">
        <f>IFERROR(INDEX(E1255:DD1255,$F$1),"")</f>
        <v/>
      </c>
      <c r="E1255">
        <f>IFERROR(INDEX(PP_Grid[#Data],$DE1255,2),0)</f>
        <v/>
      </c>
      <c r="F1255">
        <f>IFERROR(INDEX(PP_Grid[#Data],$DE1255,3),0)</f>
        <v/>
      </c>
      <c r="G1255">
        <f>IFERROR(INDEX(PP_Grid[#Data],$DE1255,4),0)</f>
        <v/>
      </c>
      <c r="H1255">
        <f>IFERROR(INDEX(PP_Grid[#Data],$DE1255,5),0)</f>
        <v/>
      </c>
      <c r="I1255">
        <f>IFERROR(INDEX(PP_Grid[#Data],$DE1255,6),0)</f>
        <v/>
      </c>
      <c r="J1255">
        <f>IFERROR(INDEX(PP_Grid[#Data],$DE1255,7),0)</f>
        <v/>
      </c>
      <c r="K1255">
        <f>IFERROR(INDEX(PP_Grid[#Data],$DE1255,8),0)</f>
        <v/>
      </c>
      <c r="L1255">
        <f>IFERROR(INDEX(PP_Grid[#Data],$DE1255,9),0)</f>
        <v/>
      </c>
      <c r="M1255">
        <f>IFERROR(INDEX(PP_Grid[#Data],$DE1255,10),0)</f>
        <v/>
      </c>
      <c r="N1255">
        <f>IFERROR(INDEX(PP_Grid[#Data],$DE1255,11),0)</f>
        <v/>
      </c>
      <c r="O1255">
        <f>IFERROR(INDEX(PP_Grid[#Data],$DE1255,12),0)</f>
        <v/>
      </c>
      <c r="P1255">
        <f>IFERROR(INDEX(PP_Grid[#Data],$DE1255,13),0)</f>
        <v/>
      </c>
      <c r="Q1255">
        <f>IFERROR(INDEX(PP_Grid[#Data],$DE1255,14),0)</f>
        <v/>
      </c>
      <c r="R1255">
        <f>IFERROR(INDEX(PP_Grid[#Data],$DE1255,15),0)</f>
        <v/>
      </c>
      <c r="S1255">
        <f>IFERROR(INDEX(PP_Grid[#Data],$DE1255,16),0)</f>
        <v/>
      </c>
      <c r="T1255">
        <f>IFERROR(INDEX(PP_Grid[#Data],$DE1255,17),0)</f>
        <v/>
      </c>
      <c r="U1255">
        <f>IFERROR(INDEX(PP_Grid[#Data],$DE1255,18),0)</f>
        <v/>
      </c>
      <c r="V1255">
        <f>IFERROR(INDEX(PP_Grid[#Data],$DE1255,19),0)</f>
        <v/>
      </c>
      <c r="W1255">
        <f>IFERROR(INDEX(PP_Grid[#Data],$DE1255,20),0)</f>
        <v/>
      </c>
      <c r="X1255">
        <f>IFERROR(INDEX(PP_Grid[#Data],$DE1255,21),0)</f>
        <v/>
      </c>
      <c r="Y1255">
        <f>IFERROR(INDEX(PP_Grid[#Data],$DE1255,22),0)</f>
        <v/>
      </c>
      <c r="Z1255">
        <f>IFERROR(INDEX(PP_Grid[#Data],$DE1255,23),0)</f>
        <v/>
      </c>
      <c r="AA1255">
        <f>IFERROR(INDEX(PP_Grid[#Data],$DE1255,24),0)</f>
        <v/>
      </c>
      <c r="AB1255">
        <f>IFERROR(INDEX(PP_Grid[#Data],$DE1255,25),0)</f>
        <v/>
      </c>
      <c r="AC1255">
        <f>IFERROR(INDEX(PP_Grid[#Data],$DE1255,26),0)</f>
        <v/>
      </c>
      <c r="AD1255">
        <f>IFERROR(INDEX(PP_Grid[#Data],$DE1255,27),0)</f>
        <v/>
      </c>
      <c r="AE1255">
        <f>IFERROR(INDEX(PP_Grid[#Data],$DE1255,28),0)</f>
        <v/>
      </c>
      <c r="AF1255">
        <f>IFERROR(INDEX(PP_Grid[#Data],$DE1255,29),0)</f>
        <v/>
      </c>
      <c r="AG1255">
        <f>IFERROR(INDEX(PP_Grid[#Data],$DE1255,30),0)</f>
        <v/>
      </c>
      <c r="AH1255">
        <f>IFERROR(INDEX(PP_Grid[#Data],$DE1255,31),0)</f>
        <v/>
      </c>
      <c r="AI1255">
        <f>IFERROR(INDEX(PP_Grid[#Data],$DE1255,32),0)</f>
        <v/>
      </c>
      <c r="AJ1255">
        <f>IFERROR(INDEX(PP_Grid[#Data],$DE1255,33),0)</f>
        <v/>
      </c>
      <c r="AK1255">
        <f>IFERROR(INDEX(PP_Grid[#Data],$DE1255,34),0)</f>
        <v/>
      </c>
      <c r="AL1255">
        <f>IFERROR(INDEX(PP_Grid[#Data],$DE1255,35),0)</f>
        <v/>
      </c>
      <c r="AM1255">
        <f>IFERROR(INDEX(PP_Grid[#Data],$DE1255,36),0)</f>
        <v/>
      </c>
      <c r="AN1255">
        <f>IFERROR(INDEX(PP_Grid[#Data],$DE1255,37),0)</f>
        <v/>
      </c>
      <c r="AO1255">
        <f>IFERROR(INDEX(PP_Grid[#Data],$DE1255,38),0)</f>
        <v/>
      </c>
      <c r="AP1255">
        <f>IFERROR(INDEX(PP_Grid[#Data],$DE1255,39),0)</f>
        <v/>
      </c>
      <c r="AQ1255">
        <f>IFERROR(INDEX(PP_Grid[#Data],$DE1255,40),0)</f>
        <v/>
      </c>
      <c r="AR1255">
        <f>IFERROR(INDEX(PP_Grid[#Data],$DE1255,41),0)</f>
        <v/>
      </c>
      <c r="AS1255">
        <f>IFERROR(INDEX(PP_Grid[#Data],$DE1255,42),0)</f>
        <v/>
      </c>
      <c r="AT1255">
        <f>IFERROR(INDEX(PP_Grid[#Data],$DE1255,43),0)</f>
        <v/>
      </c>
      <c r="AU1255">
        <f>IFERROR(INDEX(PP_Grid[#Data],$DE1255,44),0)</f>
        <v/>
      </c>
      <c r="AV1255">
        <f>IFERROR(INDEX(PP_Grid[#Data],$DE1255,45),0)</f>
        <v/>
      </c>
      <c r="AW1255">
        <f>IFERROR(INDEX(PP_Grid[#Data],$DE1255,46),0)</f>
        <v/>
      </c>
      <c r="AX1255">
        <f>IFERROR(INDEX(PP_Grid[#Data],$DE1255,47),0)</f>
        <v/>
      </c>
      <c r="AY1255">
        <f>IFERROR(INDEX(PP_Grid[#Data],$DE1255,48),0)</f>
        <v/>
      </c>
      <c r="AZ1255">
        <f>IFERROR(INDEX(PP_Grid[#Data],$DE1255,49),0)</f>
        <v/>
      </c>
      <c r="BA1255">
        <f>IFERROR(INDEX(PP_Grid[#Data],$DE1255,50),0)</f>
        <v/>
      </c>
      <c r="BB1255">
        <f>IFERROR(INDEX(PP_Grid[#Data],$DE1255,51),0)</f>
        <v/>
      </c>
      <c r="BC1255">
        <f>IFERROR(INDEX(PP_Grid[#Data],$DE1255,52),0)</f>
        <v/>
      </c>
      <c r="BD1255">
        <f>IFERROR(INDEX(PP_Grid[#Data],$DE1255,53),0)</f>
        <v/>
      </c>
      <c r="BE1255">
        <f>IFERROR(INDEX(PP_Grid[#Data],$DE1255,54),0)</f>
        <v/>
      </c>
      <c r="BF1255">
        <f>IFERROR(INDEX(PP_Grid[#Data],$DE1255,55),0)</f>
        <v/>
      </c>
      <c r="BG1255">
        <f>IFERROR(INDEX(PP_Grid[#Data],$DE1255,56),0)</f>
        <v/>
      </c>
      <c r="BH1255">
        <f>IFERROR(INDEX(PP_Grid[#Data],$DE1255,57),0)</f>
        <v/>
      </c>
      <c r="BI1255">
        <f>IFERROR(INDEX(PP_Grid[#Data],$DE1255,58),0)</f>
        <v/>
      </c>
      <c r="BJ1255">
        <f>IFERROR(INDEX(PP_Grid[#Data],$DE1255,59),0)</f>
        <v/>
      </c>
      <c r="BK1255">
        <f>IFERROR(INDEX(PP_Grid[#Data],$DE1255,60),0)</f>
        <v/>
      </c>
      <c r="BL1255">
        <f>IFERROR(INDEX(PP_Grid[#Data],$DE1255,61),0)</f>
        <v/>
      </c>
      <c r="BM1255">
        <f>IFERROR(INDEX(PP_Grid[#Data],$DE1255,62),0)</f>
        <v/>
      </c>
      <c r="BN1255">
        <f>IFERROR(INDEX(PP_Grid[#Data],$DE1255,63),0)</f>
        <v/>
      </c>
      <c r="BO1255">
        <f>IFERROR(INDEX(PP_Grid[#Data],$DE1255,64),0)</f>
        <v/>
      </c>
      <c r="BP1255">
        <f>IFERROR(INDEX(PP_Grid[#Data],$DE1255,65),0)</f>
        <v/>
      </c>
      <c r="BQ1255">
        <f>IFERROR(INDEX(PP_Grid[#Data],$DE1255,66),0)</f>
        <v/>
      </c>
      <c r="BR1255">
        <f>IFERROR(INDEX(PP_Grid[#Data],$DE1255,67),0)</f>
        <v/>
      </c>
      <c r="BS1255">
        <f>IFERROR(INDEX(PP_Grid[#Data],$DE1255,68),0)</f>
        <v/>
      </c>
      <c r="BT1255">
        <f>IFERROR(INDEX(PP_Grid[#Data],$DE1255,69),0)</f>
        <v/>
      </c>
      <c r="BU1255">
        <f>IFERROR(INDEX(PP_Grid[#Data],$DE1255,70),0)</f>
        <v/>
      </c>
      <c r="BV1255">
        <f>IFERROR(INDEX(PP_Grid[#Data],$DE1255,71),0)</f>
        <v/>
      </c>
      <c r="BW1255">
        <f>IFERROR(INDEX(PP_Grid[#Data],$DE1255,72),0)</f>
        <v/>
      </c>
      <c r="BX1255">
        <f>IFERROR(INDEX(PP_Grid[#Data],$DE1255,73),0)</f>
        <v/>
      </c>
      <c r="BY1255">
        <f>IFERROR(INDEX(PP_Grid[#Data],$DE1255,74),0)</f>
        <v/>
      </c>
      <c r="BZ1255">
        <f>IFERROR(INDEX(PP_Grid[#Data],$DE1255,75),0)</f>
        <v/>
      </c>
      <c r="CA1255">
        <f>IFERROR(INDEX(PP_Grid[#Data],$DE1255,76),0)</f>
        <v/>
      </c>
      <c r="CB1255">
        <f>IFERROR(INDEX(PP_Grid[#Data],$DE1255,77),0)</f>
        <v/>
      </c>
      <c r="CC1255">
        <f>IFERROR(INDEX(PP_Grid[#Data],$DE1255,78),0)</f>
        <v/>
      </c>
      <c r="CD1255">
        <f>IFERROR(INDEX(PP_Grid[#Data],$DE1255,79),0)</f>
        <v/>
      </c>
      <c r="CE1255">
        <f>IFERROR(INDEX(PP_Grid[#Data],$DE1255,80),0)</f>
        <v/>
      </c>
      <c r="CF1255">
        <f>IFERROR(INDEX(PP_Grid[#Data],$DE1255,81),0)</f>
        <v/>
      </c>
      <c r="CG1255">
        <f>IFERROR(INDEX(PP_Grid[#Data],$DE1255,82),0)</f>
        <v/>
      </c>
      <c r="CH1255">
        <f>IFERROR(INDEX(PP_Grid[#Data],$DE1255,83),0)</f>
        <v/>
      </c>
      <c r="CI1255">
        <f>IFERROR(INDEX(PP_Grid[#Data],$DE1255,84),0)</f>
        <v/>
      </c>
      <c r="CJ1255">
        <f>IFERROR(INDEX(PP_Grid[#Data],$DE1255,85),0)</f>
        <v/>
      </c>
      <c r="CK1255">
        <f>IFERROR(INDEX(PP_Grid[#Data],$DE1255,86),0)</f>
        <v/>
      </c>
      <c r="CL1255">
        <f>IFERROR(INDEX(PP_Grid[#Data],$DE1255,87),0)</f>
        <v/>
      </c>
      <c r="CM1255">
        <f>IFERROR(INDEX(PP_Grid[#Data],$DE1255,88),0)</f>
        <v/>
      </c>
      <c r="CN1255">
        <f>IFERROR(INDEX(PP_Grid[#Data],$DE1255,89),0)</f>
        <v/>
      </c>
      <c r="CO1255">
        <f>IFERROR(INDEX(PP_Grid[#Data],$DE1255,90),0)</f>
        <v/>
      </c>
      <c r="CP1255">
        <f>IFERROR(INDEX(PP_Grid[#Data],$DE1255,91),0)</f>
        <v/>
      </c>
      <c r="CQ1255">
        <f>IFERROR(INDEX(PP_Grid[#Data],$DE1255,92),0)</f>
        <v/>
      </c>
      <c r="CR1255">
        <f>IFERROR(INDEX(PP_Grid[#Data],$DE1255,93),0)</f>
        <v/>
      </c>
      <c r="CS1255">
        <f>IFERROR(INDEX(PP_Grid[#Data],$DE1255,94),0)</f>
        <v/>
      </c>
      <c r="CT1255">
        <f>IFERROR(INDEX(PP_Grid[#Data],$DE1255,95),0)</f>
        <v/>
      </c>
      <c r="CU1255">
        <f>IFERROR(INDEX(PP_Grid[#Data],$DE1255,96),0)</f>
        <v/>
      </c>
      <c r="CV1255">
        <f>IFERROR(INDEX(PP_Grid[#Data],$DE1255,97),0)</f>
        <v/>
      </c>
      <c r="CW1255">
        <f>IFERROR(INDEX(PP_Grid[#Data],$DE1255,98),0)</f>
        <v/>
      </c>
      <c r="CX1255">
        <f>IFERROR(INDEX(PP_Grid[#Data],$DE1255,99),0)</f>
        <v/>
      </c>
      <c r="CY1255">
        <f>IFERROR(INDEX(PP_Grid[#Data],$DE1255,100),0)</f>
        <v/>
      </c>
      <c r="CZ1255">
        <f>IFERROR(INDEX(PP_Grid[#Data],$DE1255,101),0)</f>
        <v/>
      </c>
      <c r="DA1255">
        <f>IFERROR(INDEX(PP_Grid[#Data],$DE1255,102),0)</f>
        <v/>
      </c>
      <c r="DB1255">
        <f>IFERROR(INDEX(PP_Grid[#Data],$DE1255,103),0)</f>
        <v/>
      </c>
      <c r="DC1255">
        <f>IFERROR(INDEX(PP_Grid[#Data],$DE1255,104),0)</f>
        <v/>
      </c>
      <c r="DD1255">
        <f>IFERROR(INDEX(PP_Grid[#Data],$DE1255,105),0)</f>
        <v/>
      </c>
      <c r="DE1255" s="7">
        <f>IFERROR(MATCH($B1255,PP_Grid[Intermediate],0),99999)</f>
        <v/>
      </c>
    </row>
    <row r="1256">
      <c r="B1256" t="inlineStr">
        <is>
          <t>使用量(kg)</t>
        </is>
      </c>
      <c r="C1256">
        <f>SUMIFS(M_BOM[RM_Qty_Per_Batch],M_BOM[Intermediate],$B1255,M_BOM[RM_Code],$A1222)</f>
        <v/>
      </c>
      <c r="D1256">
        <f>IFERROR(INDEX(E1256:DD1256,$F$1),"")</f>
        <v/>
      </c>
      <c r="E1256">
        <f>$C1256*E1255</f>
        <v/>
      </c>
      <c r="F1256">
        <f>$C1256*F1255</f>
        <v/>
      </c>
      <c r="G1256">
        <f>$C1256*G1255</f>
        <v/>
      </c>
      <c r="H1256">
        <f>$C1256*H1255</f>
        <v/>
      </c>
      <c r="I1256">
        <f>$C1256*I1255</f>
        <v/>
      </c>
      <c r="J1256">
        <f>$C1256*J1255</f>
        <v/>
      </c>
      <c r="K1256">
        <f>$C1256*K1255</f>
        <v/>
      </c>
      <c r="L1256">
        <f>$C1256*L1255</f>
        <v/>
      </c>
      <c r="M1256">
        <f>$C1256*M1255</f>
        <v/>
      </c>
      <c r="N1256">
        <f>$C1256*N1255</f>
        <v/>
      </c>
      <c r="O1256">
        <f>$C1256*O1255</f>
        <v/>
      </c>
      <c r="P1256">
        <f>$C1256*P1255</f>
        <v/>
      </c>
      <c r="Q1256">
        <f>$C1256*Q1255</f>
        <v/>
      </c>
      <c r="R1256">
        <f>$C1256*R1255</f>
        <v/>
      </c>
      <c r="S1256">
        <f>$C1256*S1255</f>
        <v/>
      </c>
      <c r="T1256">
        <f>$C1256*T1255</f>
        <v/>
      </c>
      <c r="U1256">
        <f>$C1256*U1255</f>
        <v/>
      </c>
      <c r="V1256">
        <f>$C1256*V1255</f>
        <v/>
      </c>
      <c r="W1256">
        <f>$C1256*W1255</f>
        <v/>
      </c>
      <c r="X1256">
        <f>$C1256*X1255</f>
        <v/>
      </c>
      <c r="Y1256">
        <f>$C1256*Y1255</f>
        <v/>
      </c>
      <c r="Z1256">
        <f>$C1256*Z1255</f>
        <v/>
      </c>
      <c r="AA1256">
        <f>$C1256*AA1255</f>
        <v/>
      </c>
      <c r="AB1256">
        <f>$C1256*AB1255</f>
        <v/>
      </c>
      <c r="AC1256">
        <f>$C1256*AC1255</f>
        <v/>
      </c>
      <c r="AD1256">
        <f>$C1256*AD1255</f>
        <v/>
      </c>
      <c r="AE1256">
        <f>$C1256*AE1255</f>
        <v/>
      </c>
      <c r="AF1256">
        <f>$C1256*AF1255</f>
        <v/>
      </c>
      <c r="AG1256">
        <f>$C1256*AG1255</f>
        <v/>
      </c>
      <c r="AH1256">
        <f>$C1256*AH1255</f>
        <v/>
      </c>
      <c r="AI1256">
        <f>$C1256*AI1255</f>
        <v/>
      </c>
      <c r="AJ1256">
        <f>$C1256*AJ1255</f>
        <v/>
      </c>
      <c r="AK1256">
        <f>$C1256*AK1255</f>
        <v/>
      </c>
      <c r="AL1256">
        <f>$C1256*AL1255</f>
        <v/>
      </c>
      <c r="AM1256">
        <f>$C1256*AM1255</f>
        <v/>
      </c>
      <c r="AN1256">
        <f>$C1256*AN1255</f>
        <v/>
      </c>
      <c r="AO1256">
        <f>$C1256*AO1255</f>
        <v/>
      </c>
      <c r="AP1256">
        <f>$C1256*AP1255</f>
        <v/>
      </c>
      <c r="AQ1256">
        <f>$C1256*AQ1255</f>
        <v/>
      </c>
      <c r="AR1256">
        <f>$C1256*AR1255</f>
        <v/>
      </c>
      <c r="AS1256">
        <f>$C1256*AS1255</f>
        <v/>
      </c>
      <c r="AT1256">
        <f>$C1256*AT1255</f>
        <v/>
      </c>
      <c r="AU1256">
        <f>$C1256*AU1255</f>
        <v/>
      </c>
      <c r="AV1256">
        <f>$C1256*AV1255</f>
        <v/>
      </c>
      <c r="AW1256">
        <f>$C1256*AW1255</f>
        <v/>
      </c>
      <c r="AX1256">
        <f>$C1256*AX1255</f>
        <v/>
      </c>
      <c r="AY1256">
        <f>$C1256*AY1255</f>
        <v/>
      </c>
      <c r="AZ1256">
        <f>$C1256*AZ1255</f>
        <v/>
      </c>
      <c r="BA1256">
        <f>$C1256*BA1255</f>
        <v/>
      </c>
      <c r="BB1256">
        <f>$C1256*BB1255</f>
        <v/>
      </c>
      <c r="BC1256">
        <f>$C1256*BC1255</f>
        <v/>
      </c>
      <c r="BD1256">
        <f>$C1256*BD1255</f>
        <v/>
      </c>
      <c r="BE1256">
        <f>$C1256*BE1255</f>
        <v/>
      </c>
      <c r="BF1256">
        <f>$C1256*BF1255</f>
        <v/>
      </c>
      <c r="BG1256">
        <f>$C1256*BG1255</f>
        <v/>
      </c>
      <c r="BH1256">
        <f>$C1256*BH1255</f>
        <v/>
      </c>
      <c r="BI1256">
        <f>$C1256*BI1255</f>
        <v/>
      </c>
      <c r="BJ1256">
        <f>$C1256*BJ1255</f>
        <v/>
      </c>
      <c r="BK1256">
        <f>$C1256*BK1255</f>
        <v/>
      </c>
      <c r="BL1256">
        <f>$C1256*BL1255</f>
        <v/>
      </c>
      <c r="BM1256">
        <f>$C1256*BM1255</f>
        <v/>
      </c>
      <c r="BN1256">
        <f>$C1256*BN1255</f>
        <v/>
      </c>
      <c r="BO1256">
        <f>$C1256*BO1255</f>
        <v/>
      </c>
      <c r="BP1256">
        <f>$C1256*BP1255</f>
        <v/>
      </c>
      <c r="BQ1256">
        <f>$C1256*BQ1255</f>
        <v/>
      </c>
      <c r="BR1256">
        <f>$C1256*BR1255</f>
        <v/>
      </c>
      <c r="BS1256">
        <f>$C1256*BS1255</f>
        <v/>
      </c>
      <c r="BT1256">
        <f>$C1256*BT1255</f>
        <v/>
      </c>
      <c r="BU1256">
        <f>$C1256*BU1255</f>
        <v/>
      </c>
      <c r="BV1256">
        <f>$C1256*BV1255</f>
        <v/>
      </c>
      <c r="BW1256">
        <f>$C1256*BW1255</f>
        <v/>
      </c>
      <c r="BX1256">
        <f>$C1256*BX1255</f>
        <v/>
      </c>
      <c r="BY1256">
        <f>$C1256*BY1255</f>
        <v/>
      </c>
      <c r="BZ1256">
        <f>$C1256*BZ1255</f>
        <v/>
      </c>
      <c r="CA1256">
        <f>$C1256*CA1255</f>
        <v/>
      </c>
      <c r="CB1256">
        <f>$C1256*CB1255</f>
        <v/>
      </c>
      <c r="CC1256">
        <f>$C1256*CC1255</f>
        <v/>
      </c>
      <c r="CD1256">
        <f>$C1256*CD1255</f>
        <v/>
      </c>
      <c r="CE1256">
        <f>$C1256*CE1255</f>
        <v/>
      </c>
      <c r="CF1256">
        <f>$C1256*CF1255</f>
        <v/>
      </c>
      <c r="CG1256">
        <f>$C1256*CG1255</f>
        <v/>
      </c>
      <c r="CH1256">
        <f>$C1256*CH1255</f>
        <v/>
      </c>
      <c r="CI1256">
        <f>$C1256*CI1255</f>
        <v/>
      </c>
      <c r="CJ1256">
        <f>$C1256*CJ1255</f>
        <v/>
      </c>
      <c r="CK1256">
        <f>$C1256*CK1255</f>
        <v/>
      </c>
      <c r="CL1256">
        <f>$C1256*CL1255</f>
        <v/>
      </c>
      <c r="CM1256">
        <f>$C1256*CM1255</f>
        <v/>
      </c>
      <c r="CN1256">
        <f>$C1256*CN1255</f>
        <v/>
      </c>
      <c r="CO1256">
        <f>$C1256*CO1255</f>
        <v/>
      </c>
      <c r="CP1256">
        <f>$C1256*CP1255</f>
        <v/>
      </c>
      <c r="CQ1256">
        <f>$C1256*CQ1255</f>
        <v/>
      </c>
      <c r="CR1256">
        <f>$C1256*CR1255</f>
        <v/>
      </c>
      <c r="CS1256">
        <f>$C1256*CS1255</f>
        <v/>
      </c>
      <c r="CT1256">
        <f>$C1256*CT1255</f>
        <v/>
      </c>
      <c r="CU1256">
        <f>$C1256*CU1255</f>
        <v/>
      </c>
      <c r="CV1256">
        <f>$C1256*CV1255</f>
        <v/>
      </c>
      <c r="CW1256">
        <f>$C1256*CW1255</f>
        <v/>
      </c>
      <c r="CX1256">
        <f>$C1256*CX1255</f>
        <v/>
      </c>
      <c r="CY1256">
        <f>$C1256*CY1255</f>
        <v/>
      </c>
      <c r="CZ1256">
        <f>$C1256*CZ1255</f>
        <v/>
      </c>
      <c r="DA1256">
        <f>$C1256*DA1255</f>
        <v/>
      </c>
      <c r="DB1256">
        <f>$C1256*DB1255</f>
        <v/>
      </c>
      <c r="DC1256">
        <f>$C1256*DC1255</f>
        <v/>
      </c>
      <c r="DD1256">
        <f>$C1256*DD1255</f>
        <v/>
      </c>
    </row>
    <row r="1257">
      <c r="B1257" t="inlineStr">
        <is>
          <t>VSP-605</t>
        </is>
      </c>
      <c r="C1257" t="inlineStr">
        <is>
          <t>No. of batches</t>
        </is>
      </c>
      <c r="D1257">
        <f>IFERROR(INDEX(E1257:DD1257,$F$1),"")</f>
        <v/>
      </c>
      <c r="E1257">
        <f>IFERROR(INDEX(PP_Grid[#Data],$DE1257,2),0)</f>
        <v/>
      </c>
      <c r="F1257">
        <f>IFERROR(INDEX(PP_Grid[#Data],$DE1257,3),0)</f>
        <v/>
      </c>
      <c r="G1257">
        <f>IFERROR(INDEX(PP_Grid[#Data],$DE1257,4),0)</f>
        <v/>
      </c>
      <c r="H1257">
        <f>IFERROR(INDEX(PP_Grid[#Data],$DE1257,5),0)</f>
        <v/>
      </c>
      <c r="I1257">
        <f>IFERROR(INDEX(PP_Grid[#Data],$DE1257,6),0)</f>
        <v/>
      </c>
      <c r="J1257">
        <f>IFERROR(INDEX(PP_Grid[#Data],$DE1257,7),0)</f>
        <v/>
      </c>
      <c r="K1257">
        <f>IFERROR(INDEX(PP_Grid[#Data],$DE1257,8),0)</f>
        <v/>
      </c>
      <c r="L1257">
        <f>IFERROR(INDEX(PP_Grid[#Data],$DE1257,9),0)</f>
        <v/>
      </c>
      <c r="M1257">
        <f>IFERROR(INDEX(PP_Grid[#Data],$DE1257,10),0)</f>
        <v/>
      </c>
      <c r="N1257">
        <f>IFERROR(INDEX(PP_Grid[#Data],$DE1257,11),0)</f>
        <v/>
      </c>
      <c r="O1257">
        <f>IFERROR(INDEX(PP_Grid[#Data],$DE1257,12),0)</f>
        <v/>
      </c>
      <c r="P1257">
        <f>IFERROR(INDEX(PP_Grid[#Data],$DE1257,13),0)</f>
        <v/>
      </c>
      <c r="Q1257">
        <f>IFERROR(INDEX(PP_Grid[#Data],$DE1257,14),0)</f>
        <v/>
      </c>
      <c r="R1257">
        <f>IFERROR(INDEX(PP_Grid[#Data],$DE1257,15),0)</f>
        <v/>
      </c>
      <c r="S1257">
        <f>IFERROR(INDEX(PP_Grid[#Data],$DE1257,16),0)</f>
        <v/>
      </c>
      <c r="T1257">
        <f>IFERROR(INDEX(PP_Grid[#Data],$DE1257,17),0)</f>
        <v/>
      </c>
      <c r="U1257">
        <f>IFERROR(INDEX(PP_Grid[#Data],$DE1257,18),0)</f>
        <v/>
      </c>
      <c r="V1257">
        <f>IFERROR(INDEX(PP_Grid[#Data],$DE1257,19),0)</f>
        <v/>
      </c>
      <c r="W1257">
        <f>IFERROR(INDEX(PP_Grid[#Data],$DE1257,20),0)</f>
        <v/>
      </c>
      <c r="X1257">
        <f>IFERROR(INDEX(PP_Grid[#Data],$DE1257,21),0)</f>
        <v/>
      </c>
      <c r="Y1257">
        <f>IFERROR(INDEX(PP_Grid[#Data],$DE1257,22),0)</f>
        <v/>
      </c>
      <c r="Z1257">
        <f>IFERROR(INDEX(PP_Grid[#Data],$DE1257,23),0)</f>
        <v/>
      </c>
      <c r="AA1257">
        <f>IFERROR(INDEX(PP_Grid[#Data],$DE1257,24),0)</f>
        <v/>
      </c>
      <c r="AB1257">
        <f>IFERROR(INDEX(PP_Grid[#Data],$DE1257,25),0)</f>
        <v/>
      </c>
      <c r="AC1257">
        <f>IFERROR(INDEX(PP_Grid[#Data],$DE1257,26),0)</f>
        <v/>
      </c>
      <c r="AD1257">
        <f>IFERROR(INDEX(PP_Grid[#Data],$DE1257,27),0)</f>
        <v/>
      </c>
      <c r="AE1257">
        <f>IFERROR(INDEX(PP_Grid[#Data],$DE1257,28),0)</f>
        <v/>
      </c>
      <c r="AF1257">
        <f>IFERROR(INDEX(PP_Grid[#Data],$DE1257,29),0)</f>
        <v/>
      </c>
      <c r="AG1257">
        <f>IFERROR(INDEX(PP_Grid[#Data],$DE1257,30),0)</f>
        <v/>
      </c>
      <c r="AH1257">
        <f>IFERROR(INDEX(PP_Grid[#Data],$DE1257,31),0)</f>
        <v/>
      </c>
      <c r="AI1257">
        <f>IFERROR(INDEX(PP_Grid[#Data],$DE1257,32),0)</f>
        <v/>
      </c>
      <c r="AJ1257">
        <f>IFERROR(INDEX(PP_Grid[#Data],$DE1257,33),0)</f>
        <v/>
      </c>
      <c r="AK1257">
        <f>IFERROR(INDEX(PP_Grid[#Data],$DE1257,34),0)</f>
        <v/>
      </c>
      <c r="AL1257">
        <f>IFERROR(INDEX(PP_Grid[#Data],$DE1257,35),0)</f>
        <v/>
      </c>
      <c r="AM1257">
        <f>IFERROR(INDEX(PP_Grid[#Data],$DE1257,36),0)</f>
        <v/>
      </c>
      <c r="AN1257">
        <f>IFERROR(INDEX(PP_Grid[#Data],$DE1257,37),0)</f>
        <v/>
      </c>
      <c r="AO1257">
        <f>IFERROR(INDEX(PP_Grid[#Data],$DE1257,38),0)</f>
        <v/>
      </c>
      <c r="AP1257">
        <f>IFERROR(INDEX(PP_Grid[#Data],$DE1257,39),0)</f>
        <v/>
      </c>
      <c r="AQ1257">
        <f>IFERROR(INDEX(PP_Grid[#Data],$DE1257,40),0)</f>
        <v/>
      </c>
      <c r="AR1257">
        <f>IFERROR(INDEX(PP_Grid[#Data],$DE1257,41),0)</f>
        <v/>
      </c>
      <c r="AS1257">
        <f>IFERROR(INDEX(PP_Grid[#Data],$DE1257,42),0)</f>
        <v/>
      </c>
      <c r="AT1257">
        <f>IFERROR(INDEX(PP_Grid[#Data],$DE1257,43),0)</f>
        <v/>
      </c>
      <c r="AU1257">
        <f>IFERROR(INDEX(PP_Grid[#Data],$DE1257,44),0)</f>
        <v/>
      </c>
      <c r="AV1257">
        <f>IFERROR(INDEX(PP_Grid[#Data],$DE1257,45),0)</f>
        <v/>
      </c>
      <c r="AW1257">
        <f>IFERROR(INDEX(PP_Grid[#Data],$DE1257,46),0)</f>
        <v/>
      </c>
      <c r="AX1257">
        <f>IFERROR(INDEX(PP_Grid[#Data],$DE1257,47),0)</f>
        <v/>
      </c>
      <c r="AY1257">
        <f>IFERROR(INDEX(PP_Grid[#Data],$DE1257,48),0)</f>
        <v/>
      </c>
      <c r="AZ1257">
        <f>IFERROR(INDEX(PP_Grid[#Data],$DE1257,49),0)</f>
        <v/>
      </c>
      <c r="BA1257">
        <f>IFERROR(INDEX(PP_Grid[#Data],$DE1257,50),0)</f>
        <v/>
      </c>
      <c r="BB1257">
        <f>IFERROR(INDEX(PP_Grid[#Data],$DE1257,51),0)</f>
        <v/>
      </c>
      <c r="BC1257">
        <f>IFERROR(INDEX(PP_Grid[#Data],$DE1257,52),0)</f>
        <v/>
      </c>
      <c r="BD1257">
        <f>IFERROR(INDEX(PP_Grid[#Data],$DE1257,53),0)</f>
        <v/>
      </c>
      <c r="BE1257">
        <f>IFERROR(INDEX(PP_Grid[#Data],$DE1257,54),0)</f>
        <v/>
      </c>
      <c r="BF1257">
        <f>IFERROR(INDEX(PP_Grid[#Data],$DE1257,55),0)</f>
        <v/>
      </c>
      <c r="BG1257">
        <f>IFERROR(INDEX(PP_Grid[#Data],$DE1257,56),0)</f>
        <v/>
      </c>
      <c r="BH1257">
        <f>IFERROR(INDEX(PP_Grid[#Data],$DE1257,57),0)</f>
        <v/>
      </c>
      <c r="BI1257">
        <f>IFERROR(INDEX(PP_Grid[#Data],$DE1257,58),0)</f>
        <v/>
      </c>
      <c r="BJ1257">
        <f>IFERROR(INDEX(PP_Grid[#Data],$DE1257,59),0)</f>
        <v/>
      </c>
      <c r="BK1257">
        <f>IFERROR(INDEX(PP_Grid[#Data],$DE1257,60),0)</f>
        <v/>
      </c>
      <c r="BL1257">
        <f>IFERROR(INDEX(PP_Grid[#Data],$DE1257,61),0)</f>
        <v/>
      </c>
      <c r="BM1257">
        <f>IFERROR(INDEX(PP_Grid[#Data],$DE1257,62),0)</f>
        <v/>
      </c>
      <c r="BN1257">
        <f>IFERROR(INDEX(PP_Grid[#Data],$DE1257,63),0)</f>
        <v/>
      </c>
      <c r="BO1257">
        <f>IFERROR(INDEX(PP_Grid[#Data],$DE1257,64),0)</f>
        <v/>
      </c>
      <c r="BP1257">
        <f>IFERROR(INDEX(PP_Grid[#Data],$DE1257,65),0)</f>
        <v/>
      </c>
      <c r="BQ1257">
        <f>IFERROR(INDEX(PP_Grid[#Data],$DE1257,66),0)</f>
        <v/>
      </c>
      <c r="BR1257">
        <f>IFERROR(INDEX(PP_Grid[#Data],$DE1257,67),0)</f>
        <v/>
      </c>
      <c r="BS1257">
        <f>IFERROR(INDEX(PP_Grid[#Data],$DE1257,68),0)</f>
        <v/>
      </c>
      <c r="BT1257">
        <f>IFERROR(INDEX(PP_Grid[#Data],$DE1257,69),0)</f>
        <v/>
      </c>
      <c r="BU1257">
        <f>IFERROR(INDEX(PP_Grid[#Data],$DE1257,70),0)</f>
        <v/>
      </c>
      <c r="BV1257">
        <f>IFERROR(INDEX(PP_Grid[#Data],$DE1257,71),0)</f>
        <v/>
      </c>
      <c r="BW1257">
        <f>IFERROR(INDEX(PP_Grid[#Data],$DE1257,72),0)</f>
        <v/>
      </c>
      <c r="BX1257">
        <f>IFERROR(INDEX(PP_Grid[#Data],$DE1257,73),0)</f>
        <v/>
      </c>
      <c r="BY1257">
        <f>IFERROR(INDEX(PP_Grid[#Data],$DE1257,74),0)</f>
        <v/>
      </c>
      <c r="BZ1257">
        <f>IFERROR(INDEX(PP_Grid[#Data],$DE1257,75),0)</f>
        <v/>
      </c>
      <c r="CA1257">
        <f>IFERROR(INDEX(PP_Grid[#Data],$DE1257,76),0)</f>
        <v/>
      </c>
      <c r="CB1257">
        <f>IFERROR(INDEX(PP_Grid[#Data],$DE1257,77),0)</f>
        <v/>
      </c>
      <c r="CC1257">
        <f>IFERROR(INDEX(PP_Grid[#Data],$DE1257,78),0)</f>
        <v/>
      </c>
      <c r="CD1257">
        <f>IFERROR(INDEX(PP_Grid[#Data],$DE1257,79),0)</f>
        <v/>
      </c>
      <c r="CE1257">
        <f>IFERROR(INDEX(PP_Grid[#Data],$DE1257,80),0)</f>
        <v/>
      </c>
      <c r="CF1257">
        <f>IFERROR(INDEX(PP_Grid[#Data],$DE1257,81),0)</f>
        <v/>
      </c>
      <c r="CG1257">
        <f>IFERROR(INDEX(PP_Grid[#Data],$DE1257,82),0)</f>
        <v/>
      </c>
      <c r="CH1257">
        <f>IFERROR(INDEX(PP_Grid[#Data],$DE1257,83),0)</f>
        <v/>
      </c>
      <c r="CI1257">
        <f>IFERROR(INDEX(PP_Grid[#Data],$DE1257,84),0)</f>
        <v/>
      </c>
      <c r="CJ1257">
        <f>IFERROR(INDEX(PP_Grid[#Data],$DE1257,85),0)</f>
        <v/>
      </c>
      <c r="CK1257">
        <f>IFERROR(INDEX(PP_Grid[#Data],$DE1257,86),0)</f>
        <v/>
      </c>
      <c r="CL1257">
        <f>IFERROR(INDEX(PP_Grid[#Data],$DE1257,87),0)</f>
        <v/>
      </c>
      <c r="CM1257">
        <f>IFERROR(INDEX(PP_Grid[#Data],$DE1257,88),0)</f>
        <v/>
      </c>
      <c r="CN1257">
        <f>IFERROR(INDEX(PP_Grid[#Data],$DE1257,89),0)</f>
        <v/>
      </c>
      <c r="CO1257">
        <f>IFERROR(INDEX(PP_Grid[#Data],$DE1257,90),0)</f>
        <v/>
      </c>
      <c r="CP1257">
        <f>IFERROR(INDEX(PP_Grid[#Data],$DE1257,91),0)</f>
        <v/>
      </c>
      <c r="CQ1257">
        <f>IFERROR(INDEX(PP_Grid[#Data],$DE1257,92),0)</f>
        <v/>
      </c>
      <c r="CR1257">
        <f>IFERROR(INDEX(PP_Grid[#Data],$DE1257,93),0)</f>
        <v/>
      </c>
      <c r="CS1257">
        <f>IFERROR(INDEX(PP_Grid[#Data],$DE1257,94),0)</f>
        <v/>
      </c>
      <c r="CT1257">
        <f>IFERROR(INDEX(PP_Grid[#Data],$DE1257,95),0)</f>
        <v/>
      </c>
      <c r="CU1257">
        <f>IFERROR(INDEX(PP_Grid[#Data],$DE1257,96),0)</f>
        <v/>
      </c>
      <c r="CV1257">
        <f>IFERROR(INDEX(PP_Grid[#Data],$DE1257,97),0)</f>
        <v/>
      </c>
      <c r="CW1257">
        <f>IFERROR(INDEX(PP_Grid[#Data],$DE1257,98),0)</f>
        <v/>
      </c>
      <c r="CX1257">
        <f>IFERROR(INDEX(PP_Grid[#Data],$DE1257,99),0)</f>
        <v/>
      </c>
      <c r="CY1257">
        <f>IFERROR(INDEX(PP_Grid[#Data],$DE1257,100),0)</f>
        <v/>
      </c>
      <c r="CZ1257">
        <f>IFERROR(INDEX(PP_Grid[#Data],$DE1257,101),0)</f>
        <v/>
      </c>
      <c r="DA1257">
        <f>IFERROR(INDEX(PP_Grid[#Data],$DE1257,102),0)</f>
        <v/>
      </c>
      <c r="DB1257">
        <f>IFERROR(INDEX(PP_Grid[#Data],$DE1257,103),0)</f>
        <v/>
      </c>
      <c r="DC1257">
        <f>IFERROR(INDEX(PP_Grid[#Data],$DE1257,104),0)</f>
        <v/>
      </c>
      <c r="DD1257">
        <f>IFERROR(INDEX(PP_Grid[#Data],$DE1257,105),0)</f>
        <v/>
      </c>
      <c r="DE1257" s="7">
        <f>IFERROR(MATCH($B1257,PP_Grid[Intermediate],0),99999)</f>
        <v/>
      </c>
    </row>
    <row r="1258">
      <c r="B1258" t="inlineStr">
        <is>
          <t>使用量(kg)</t>
        </is>
      </c>
      <c r="C1258">
        <f>SUMIFS(M_BOM[RM_Qty_Per_Batch],M_BOM[Intermediate],$B1257,M_BOM[RM_Code],$A1222)</f>
        <v/>
      </c>
      <c r="D1258">
        <f>IFERROR(INDEX(E1258:DD1258,$F$1),"")</f>
        <v/>
      </c>
      <c r="E1258">
        <f>$C1258*E1257</f>
        <v/>
      </c>
      <c r="F1258">
        <f>$C1258*F1257</f>
        <v/>
      </c>
      <c r="G1258">
        <f>$C1258*G1257</f>
        <v/>
      </c>
      <c r="H1258">
        <f>$C1258*H1257</f>
        <v/>
      </c>
      <c r="I1258">
        <f>$C1258*I1257</f>
        <v/>
      </c>
      <c r="J1258">
        <f>$C1258*J1257</f>
        <v/>
      </c>
      <c r="K1258">
        <f>$C1258*K1257</f>
        <v/>
      </c>
      <c r="L1258">
        <f>$C1258*L1257</f>
        <v/>
      </c>
      <c r="M1258">
        <f>$C1258*M1257</f>
        <v/>
      </c>
      <c r="N1258">
        <f>$C1258*N1257</f>
        <v/>
      </c>
      <c r="O1258">
        <f>$C1258*O1257</f>
        <v/>
      </c>
      <c r="P1258">
        <f>$C1258*P1257</f>
        <v/>
      </c>
      <c r="Q1258">
        <f>$C1258*Q1257</f>
        <v/>
      </c>
      <c r="R1258">
        <f>$C1258*R1257</f>
        <v/>
      </c>
      <c r="S1258">
        <f>$C1258*S1257</f>
        <v/>
      </c>
      <c r="T1258">
        <f>$C1258*T1257</f>
        <v/>
      </c>
      <c r="U1258">
        <f>$C1258*U1257</f>
        <v/>
      </c>
      <c r="V1258">
        <f>$C1258*V1257</f>
        <v/>
      </c>
      <c r="W1258">
        <f>$C1258*W1257</f>
        <v/>
      </c>
      <c r="X1258">
        <f>$C1258*X1257</f>
        <v/>
      </c>
      <c r="Y1258">
        <f>$C1258*Y1257</f>
        <v/>
      </c>
      <c r="Z1258">
        <f>$C1258*Z1257</f>
        <v/>
      </c>
      <c r="AA1258">
        <f>$C1258*AA1257</f>
        <v/>
      </c>
      <c r="AB1258">
        <f>$C1258*AB1257</f>
        <v/>
      </c>
      <c r="AC1258">
        <f>$C1258*AC1257</f>
        <v/>
      </c>
      <c r="AD1258">
        <f>$C1258*AD1257</f>
        <v/>
      </c>
      <c r="AE1258">
        <f>$C1258*AE1257</f>
        <v/>
      </c>
      <c r="AF1258">
        <f>$C1258*AF1257</f>
        <v/>
      </c>
      <c r="AG1258">
        <f>$C1258*AG1257</f>
        <v/>
      </c>
      <c r="AH1258">
        <f>$C1258*AH1257</f>
        <v/>
      </c>
      <c r="AI1258">
        <f>$C1258*AI1257</f>
        <v/>
      </c>
      <c r="AJ1258">
        <f>$C1258*AJ1257</f>
        <v/>
      </c>
      <c r="AK1258">
        <f>$C1258*AK1257</f>
        <v/>
      </c>
      <c r="AL1258">
        <f>$C1258*AL1257</f>
        <v/>
      </c>
      <c r="AM1258">
        <f>$C1258*AM1257</f>
        <v/>
      </c>
      <c r="AN1258">
        <f>$C1258*AN1257</f>
        <v/>
      </c>
      <c r="AO1258">
        <f>$C1258*AO1257</f>
        <v/>
      </c>
      <c r="AP1258">
        <f>$C1258*AP1257</f>
        <v/>
      </c>
      <c r="AQ1258">
        <f>$C1258*AQ1257</f>
        <v/>
      </c>
      <c r="AR1258">
        <f>$C1258*AR1257</f>
        <v/>
      </c>
      <c r="AS1258">
        <f>$C1258*AS1257</f>
        <v/>
      </c>
      <c r="AT1258">
        <f>$C1258*AT1257</f>
        <v/>
      </c>
      <c r="AU1258">
        <f>$C1258*AU1257</f>
        <v/>
      </c>
      <c r="AV1258">
        <f>$C1258*AV1257</f>
        <v/>
      </c>
      <c r="AW1258">
        <f>$C1258*AW1257</f>
        <v/>
      </c>
      <c r="AX1258">
        <f>$C1258*AX1257</f>
        <v/>
      </c>
      <c r="AY1258">
        <f>$C1258*AY1257</f>
        <v/>
      </c>
      <c r="AZ1258">
        <f>$C1258*AZ1257</f>
        <v/>
      </c>
      <c r="BA1258">
        <f>$C1258*BA1257</f>
        <v/>
      </c>
      <c r="BB1258">
        <f>$C1258*BB1257</f>
        <v/>
      </c>
      <c r="BC1258">
        <f>$C1258*BC1257</f>
        <v/>
      </c>
      <c r="BD1258">
        <f>$C1258*BD1257</f>
        <v/>
      </c>
      <c r="BE1258">
        <f>$C1258*BE1257</f>
        <v/>
      </c>
      <c r="BF1258">
        <f>$C1258*BF1257</f>
        <v/>
      </c>
      <c r="BG1258">
        <f>$C1258*BG1257</f>
        <v/>
      </c>
      <c r="BH1258">
        <f>$C1258*BH1257</f>
        <v/>
      </c>
      <c r="BI1258">
        <f>$C1258*BI1257</f>
        <v/>
      </c>
      <c r="BJ1258">
        <f>$C1258*BJ1257</f>
        <v/>
      </c>
      <c r="BK1258">
        <f>$C1258*BK1257</f>
        <v/>
      </c>
      <c r="BL1258">
        <f>$C1258*BL1257</f>
        <v/>
      </c>
      <c r="BM1258">
        <f>$C1258*BM1257</f>
        <v/>
      </c>
      <c r="BN1258">
        <f>$C1258*BN1257</f>
        <v/>
      </c>
      <c r="BO1258">
        <f>$C1258*BO1257</f>
        <v/>
      </c>
      <c r="BP1258">
        <f>$C1258*BP1257</f>
        <v/>
      </c>
      <c r="BQ1258">
        <f>$C1258*BQ1257</f>
        <v/>
      </c>
      <c r="BR1258">
        <f>$C1258*BR1257</f>
        <v/>
      </c>
      <c r="BS1258">
        <f>$C1258*BS1257</f>
        <v/>
      </c>
      <c r="BT1258">
        <f>$C1258*BT1257</f>
        <v/>
      </c>
      <c r="BU1258">
        <f>$C1258*BU1257</f>
        <v/>
      </c>
      <c r="BV1258">
        <f>$C1258*BV1257</f>
        <v/>
      </c>
      <c r="BW1258">
        <f>$C1258*BW1257</f>
        <v/>
      </c>
      <c r="BX1258">
        <f>$C1258*BX1257</f>
        <v/>
      </c>
      <c r="BY1258">
        <f>$C1258*BY1257</f>
        <v/>
      </c>
      <c r="BZ1258">
        <f>$C1258*BZ1257</f>
        <v/>
      </c>
      <c r="CA1258">
        <f>$C1258*CA1257</f>
        <v/>
      </c>
      <c r="CB1258">
        <f>$C1258*CB1257</f>
        <v/>
      </c>
      <c r="CC1258">
        <f>$C1258*CC1257</f>
        <v/>
      </c>
      <c r="CD1258">
        <f>$C1258*CD1257</f>
        <v/>
      </c>
      <c r="CE1258">
        <f>$C1258*CE1257</f>
        <v/>
      </c>
      <c r="CF1258">
        <f>$C1258*CF1257</f>
        <v/>
      </c>
      <c r="CG1258">
        <f>$C1258*CG1257</f>
        <v/>
      </c>
      <c r="CH1258">
        <f>$C1258*CH1257</f>
        <v/>
      </c>
      <c r="CI1258">
        <f>$C1258*CI1257</f>
        <v/>
      </c>
      <c r="CJ1258">
        <f>$C1258*CJ1257</f>
        <v/>
      </c>
      <c r="CK1258">
        <f>$C1258*CK1257</f>
        <v/>
      </c>
      <c r="CL1258">
        <f>$C1258*CL1257</f>
        <v/>
      </c>
      <c r="CM1258">
        <f>$C1258*CM1257</f>
        <v/>
      </c>
      <c r="CN1258">
        <f>$C1258*CN1257</f>
        <v/>
      </c>
      <c r="CO1258">
        <f>$C1258*CO1257</f>
        <v/>
      </c>
      <c r="CP1258">
        <f>$C1258*CP1257</f>
        <v/>
      </c>
      <c r="CQ1258">
        <f>$C1258*CQ1257</f>
        <v/>
      </c>
      <c r="CR1258">
        <f>$C1258*CR1257</f>
        <v/>
      </c>
      <c r="CS1258">
        <f>$C1258*CS1257</f>
        <v/>
      </c>
      <c r="CT1258">
        <f>$C1258*CT1257</f>
        <v/>
      </c>
      <c r="CU1258">
        <f>$C1258*CU1257</f>
        <v/>
      </c>
      <c r="CV1258">
        <f>$C1258*CV1257</f>
        <v/>
      </c>
      <c r="CW1258">
        <f>$C1258*CW1257</f>
        <v/>
      </c>
      <c r="CX1258">
        <f>$C1258*CX1257</f>
        <v/>
      </c>
      <c r="CY1258">
        <f>$C1258*CY1257</f>
        <v/>
      </c>
      <c r="CZ1258">
        <f>$C1258*CZ1257</f>
        <v/>
      </c>
      <c r="DA1258">
        <f>$C1258*DA1257</f>
        <v/>
      </c>
      <c r="DB1258">
        <f>$C1258*DB1257</f>
        <v/>
      </c>
      <c r="DC1258">
        <f>$C1258*DC1257</f>
        <v/>
      </c>
      <c r="DD1258">
        <f>$C1258*DD1257</f>
        <v/>
      </c>
    </row>
    <row r="1259">
      <c r="B1259" t="inlineStr">
        <is>
          <t>VSP-607</t>
        </is>
      </c>
      <c r="C1259" t="inlineStr">
        <is>
          <t>No. of batches</t>
        </is>
      </c>
      <c r="D1259">
        <f>IFERROR(INDEX(E1259:DD1259,$F$1),"")</f>
        <v/>
      </c>
      <c r="E1259">
        <f>IFERROR(INDEX(PP_Grid[#Data],$DE1259,2),0)</f>
        <v/>
      </c>
      <c r="F1259">
        <f>IFERROR(INDEX(PP_Grid[#Data],$DE1259,3),0)</f>
        <v/>
      </c>
      <c r="G1259">
        <f>IFERROR(INDEX(PP_Grid[#Data],$DE1259,4),0)</f>
        <v/>
      </c>
      <c r="H1259">
        <f>IFERROR(INDEX(PP_Grid[#Data],$DE1259,5),0)</f>
        <v/>
      </c>
      <c r="I1259">
        <f>IFERROR(INDEX(PP_Grid[#Data],$DE1259,6),0)</f>
        <v/>
      </c>
      <c r="J1259">
        <f>IFERROR(INDEX(PP_Grid[#Data],$DE1259,7),0)</f>
        <v/>
      </c>
      <c r="K1259">
        <f>IFERROR(INDEX(PP_Grid[#Data],$DE1259,8),0)</f>
        <v/>
      </c>
      <c r="L1259">
        <f>IFERROR(INDEX(PP_Grid[#Data],$DE1259,9),0)</f>
        <v/>
      </c>
      <c r="M1259">
        <f>IFERROR(INDEX(PP_Grid[#Data],$DE1259,10),0)</f>
        <v/>
      </c>
      <c r="N1259">
        <f>IFERROR(INDEX(PP_Grid[#Data],$DE1259,11),0)</f>
        <v/>
      </c>
      <c r="O1259">
        <f>IFERROR(INDEX(PP_Grid[#Data],$DE1259,12),0)</f>
        <v/>
      </c>
      <c r="P1259">
        <f>IFERROR(INDEX(PP_Grid[#Data],$DE1259,13),0)</f>
        <v/>
      </c>
      <c r="Q1259">
        <f>IFERROR(INDEX(PP_Grid[#Data],$DE1259,14),0)</f>
        <v/>
      </c>
      <c r="R1259">
        <f>IFERROR(INDEX(PP_Grid[#Data],$DE1259,15),0)</f>
        <v/>
      </c>
      <c r="S1259">
        <f>IFERROR(INDEX(PP_Grid[#Data],$DE1259,16),0)</f>
        <v/>
      </c>
      <c r="T1259">
        <f>IFERROR(INDEX(PP_Grid[#Data],$DE1259,17),0)</f>
        <v/>
      </c>
      <c r="U1259">
        <f>IFERROR(INDEX(PP_Grid[#Data],$DE1259,18),0)</f>
        <v/>
      </c>
      <c r="V1259">
        <f>IFERROR(INDEX(PP_Grid[#Data],$DE1259,19),0)</f>
        <v/>
      </c>
      <c r="W1259">
        <f>IFERROR(INDEX(PP_Grid[#Data],$DE1259,20),0)</f>
        <v/>
      </c>
      <c r="X1259">
        <f>IFERROR(INDEX(PP_Grid[#Data],$DE1259,21),0)</f>
        <v/>
      </c>
      <c r="Y1259">
        <f>IFERROR(INDEX(PP_Grid[#Data],$DE1259,22),0)</f>
        <v/>
      </c>
      <c r="Z1259">
        <f>IFERROR(INDEX(PP_Grid[#Data],$DE1259,23),0)</f>
        <v/>
      </c>
      <c r="AA1259">
        <f>IFERROR(INDEX(PP_Grid[#Data],$DE1259,24),0)</f>
        <v/>
      </c>
      <c r="AB1259">
        <f>IFERROR(INDEX(PP_Grid[#Data],$DE1259,25),0)</f>
        <v/>
      </c>
      <c r="AC1259">
        <f>IFERROR(INDEX(PP_Grid[#Data],$DE1259,26),0)</f>
        <v/>
      </c>
      <c r="AD1259">
        <f>IFERROR(INDEX(PP_Grid[#Data],$DE1259,27),0)</f>
        <v/>
      </c>
      <c r="AE1259">
        <f>IFERROR(INDEX(PP_Grid[#Data],$DE1259,28),0)</f>
        <v/>
      </c>
      <c r="AF1259">
        <f>IFERROR(INDEX(PP_Grid[#Data],$DE1259,29),0)</f>
        <v/>
      </c>
      <c r="AG1259">
        <f>IFERROR(INDEX(PP_Grid[#Data],$DE1259,30),0)</f>
        <v/>
      </c>
      <c r="AH1259">
        <f>IFERROR(INDEX(PP_Grid[#Data],$DE1259,31),0)</f>
        <v/>
      </c>
      <c r="AI1259">
        <f>IFERROR(INDEX(PP_Grid[#Data],$DE1259,32),0)</f>
        <v/>
      </c>
      <c r="AJ1259">
        <f>IFERROR(INDEX(PP_Grid[#Data],$DE1259,33),0)</f>
        <v/>
      </c>
      <c r="AK1259">
        <f>IFERROR(INDEX(PP_Grid[#Data],$DE1259,34),0)</f>
        <v/>
      </c>
      <c r="AL1259">
        <f>IFERROR(INDEX(PP_Grid[#Data],$DE1259,35),0)</f>
        <v/>
      </c>
      <c r="AM1259">
        <f>IFERROR(INDEX(PP_Grid[#Data],$DE1259,36),0)</f>
        <v/>
      </c>
      <c r="AN1259">
        <f>IFERROR(INDEX(PP_Grid[#Data],$DE1259,37),0)</f>
        <v/>
      </c>
      <c r="AO1259">
        <f>IFERROR(INDEX(PP_Grid[#Data],$DE1259,38),0)</f>
        <v/>
      </c>
      <c r="AP1259">
        <f>IFERROR(INDEX(PP_Grid[#Data],$DE1259,39),0)</f>
        <v/>
      </c>
      <c r="AQ1259">
        <f>IFERROR(INDEX(PP_Grid[#Data],$DE1259,40),0)</f>
        <v/>
      </c>
      <c r="AR1259">
        <f>IFERROR(INDEX(PP_Grid[#Data],$DE1259,41),0)</f>
        <v/>
      </c>
      <c r="AS1259">
        <f>IFERROR(INDEX(PP_Grid[#Data],$DE1259,42),0)</f>
        <v/>
      </c>
      <c r="AT1259">
        <f>IFERROR(INDEX(PP_Grid[#Data],$DE1259,43),0)</f>
        <v/>
      </c>
      <c r="AU1259">
        <f>IFERROR(INDEX(PP_Grid[#Data],$DE1259,44),0)</f>
        <v/>
      </c>
      <c r="AV1259">
        <f>IFERROR(INDEX(PP_Grid[#Data],$DE1259,45),0)</f>
        <v/>
      </c>
      <c r="AW1259">
        <f>IFERROR(INDEX(PP_Grid[#Data],$DE1259,46),0)</f>
        <v/>
      </c>
      <c r="AX1259">
        <f>IFERROR(INDEX(PP_Grid[#Data],$DE1259,47),0)</f>
        <v/>
      </c>
      <c r="AY1259">
        <f>IFERROR(INDEX(PP_Grid[#Data],$DE1259,48),0)</f>
        <v/>
      </c>
      <c r="AZ1259">
        <f>IFERROR(INDEX(PP_Grid[#Data],$DE1259,49),0)</f>
        <v/>
      </c>
      <c r="BA1259">
        <f>IFERROR(INDEX(PP_Grid[#Data],$DE1259,50),0)</f>
        <v/>
      </c>
      <c r="BB1259">
        <f>IFERROR(INDEX(PP_Grid[#Data],$DE1259,51),0)</f>
        <v/>
      </c>
      <c r="BC1259">
        <f>IFERROR(INDEX(PP_Grid[#Data],$DE1259,52),0)</f>
        <v/>
      </c>
      <c r="BD1259">
        <f>IFERROR(INDEX(PP_Grid[#Data],$DE1259,53),0)</f>
        <v/>
      </c>
      <c r="BE1259">
        <f>IFERROR(INDEX(PP_Grid[#Data],$DE1259,54),0)</f>
        <v/>
      </c>
      <c r="BF1259">
        <f>IFERROR(INDEX(PP_Grid[#Data],$DE1259,55),0)</f>
        <v/>
      </c>
      <c r="BG1259">
        <f>IFERROR(INDEX(PP_Grid[#Data],$DE1259,56),0)</f>
        <v/>
      </c>
      <c r="BH1259">
        <f>IFERROR(INDEX(PP_Grid[#Data],$DE1259,57),0)</f>
        <v/>
      </c>
      <c r="BI1259">
        <f>IFERROR(INDEX(PP_Grid[#Data],$DE1259,58),0)</f>
        <v/>
      </c>
      <c r="BJ1259">
        <f>IFERROR(INDEX(PP_Grid[#Data],$DE1259,59),0)</f>
        <v/>
      </c>
      <c r="BK1259">
        <f>IFERROR(INDEX(PP_Grid[#Data],$DE1259,60),0)</f>
        <v/>
      </c>
      <c r="BL1259">
        <f>IFERROR(INDEX(PP_Grid[#Data],$DE1259,61),0)</f>
        <v/>
      </c>
      <c r="BM1259">
        <f>IFERROR(INDEX(PP_Grid[#Data],$DE1259,62),0)</f>
        <v/>
      </c>
      <c r="BN1259">
        <f>IFERROR(INDEX(PP_Grid[#Data],$DE1259,63),0)</f>
        <v/>
      </c>
      <c r="BO1259">
        <f>IFERROR(INDEX(PP_Grid[#Data],$DE1259,64),0)</f>
        <v/>
      </c>
      <c r="BP1259">
        <f>IFERROR(INDEX(PP_Grid[#Data],$DE1259,65),0)</f>
        <v/>
      </c>
      <c r="BQ1259">
        <f>IFERROR(INDEX(PP_Grid[#Data],$DE1259,66),0)</f>
        <v/>
      </c>
      <c r="BR1259">
        <f>IFERROR(INDEX(PP_Grid[#Data],$DE1259,67),0)</f>
        <v/>
      </c>
      <c r="BS1259">
        <f>IFERROR(INDEX(PP_Grid[#Data],$DE1259,68),0)</f>
        <v/>
      </c>
      <c r="BT1259">
        <f>IFERROR(INDEX(PP_Grid[#Data],$DE1259,69),0)</f>
        <v/>
      </c>
      <c r="BU1259">
        <f>IFERROR(INDEX(PP_Grid[#Data],$DE1259,70),0)</f>
        <v/>
      </c>
      <c r="BV1259">
        <f>IFERROR(INDEX(PP_Grid[#Data],$DE1259,71),0)</f>
        <v/>
      </c>
      <c r="BW1259">
        <f>IFERROR(INDEX(PP_Grid[#Data],$DE1259,72),0)</f>
        <v/>
      </c>
      <c r="BX1259">
        <f>IFERROR(INDEX(PP_Grid[#Data],$DE1259,73),0)</f>
        <v/>
      </c>
      <c r="BY1259">
        <f>IFERROR(INDEX(PP_Grid[#Data],$DE1259,74),0)</f>
        <v/>
      </c>
      <c r="BZ1259">
        <f>IFERROR(INDEX(PP_Grid[#Data],$DE1259,75),0)</f>
        <v/>
      </c>
      <c r="CA1259">
        <f>IFERROR(INDEX(PP_Grid[#Data],$DE1259,76),0)</f>
        <v/>
      </c>
      <c r="CB1259">
        <f>IFERROR(INDEX(PP_Grid[#Data],$DE1259,77),0)</f>
        <v/>
      </c>
      <c r="CC1259">
        <f>IFERROR(INDEX(PP_Grid[#Data],$DE1259,78),0)</f>
        <v/>
      </c>
      <c r="CD1259">
        <f>IFERROR(INDEX(PP_Grid[#Data],$DE1259,79),0)</f>
        <v/>
      </c>
      <c r="CE1259">
        <f>IFERROR(INDEX(PP_Grid[#Data],$DE1259,80),0)</f>
        <v/>
      </c>
      <c r="CF1259">
        <f>IFERROR(INDEX(PP_Grid[#Data],$DE1259,81),0)</f>
        <v/>
      </c>
      <c r="CG1259">
        <f>IFERROR(INDEX(PP_Grid[#Data],$DE1259,82),0)</f>
        <v/>
      </c>
      <c r="CH1259">
        <f>IFERROR(INDEX(PP_Grid[#Data],$DE1259,83),0)</f>
        <v/>
      </c>
      <c r="CI1259">
        <f>IFERROR(INDEX(PP_Grid[#Data],$DE1259,84),0)</f>
        <v/>
      </c>
      <c r="CJ1259">
        <f>IFERROR(INDEX(PP_Grid[#Data],$DE1259,85),0)</f>
        <v/>
      </c>
      <c r="CK1259">
        <f>IFERROR(INDEX(PP_Grid[#Data],$DE1259,86),0)</f>
        <v/>
      </c>
      <c r="CL1259">
        <f>IFERROR(INDEX(PP_Grid[#Data],$DE1259,87),0)</f>
        <v/>
      </c>
      <c r="CM1259">
        <f>IFERROR(INDEX(PP_Grid[#Data],$DE1259,88),0)</f>
        <v/>
      </c>
      <c r="CN1259">
        <f>IFERROR(INDEX(PP_Grid[#Data],$DE1259,89),0)</f>
        <v/>
      </c>
      <c r="CO1259">
        <f>IFERROR(INDEX(PP_Grid[#Data],$DE1259,90),0)</f>
        <v/>
      </c>
      <c r="CP1259">
        <f>IFERROR(INDEX(PP_Grid[#Data],$DE1259,91),0)</f>
        <v/>
      </c>
      <c r="CQ1259">
        <f>IFERROR(INDEX(PP_Grid[#Data],$DE1259,92),0)</f>
        <v/>
      </c>
      <c r="CR1259">
        <f>IFERROR(INDEX(PP_Grid[#Data],$DE1259,93),0)</f>
        <v/>
      </c>
      <c r="CS1259">
        <f>IFERROR(INDEX(PP_Grid[#Data],$DE1259,94),0)</f>
        <v/>
      </c>
      <c r="CT1259">
        <f>IFERROR(INDEX(PP_Grid[#Data],$DE1259,95),0)</f>
        <v/>
      </c>
      <c r="CU1259">
        <f>IFERROR(INDEX(PP_Grid[#Data],$DE1259,96),0)</f>
        <v/>
      </c>
      <c r="CV1259">
        <f>IFERROR(INDEX(PP_Grid[#Data],$DE1259,97),0)</f>
        <v/>
      </c>
      <c r="CW1259">
        <f>IFERROR(INDEX(PP_Grid[#Data],$DE1259,98),0)</f>
        <v/>
      </c>
      <c r="CX1259">
        <f>IFERROR(INDEX(PP_Grid[#Data],$DE1259,99),0)</f>
        <v/>
      </c>
      <c r="CY1259">
        <f>IFERROR(INDEX(PP_Grid[#Data],$DE1259,100),0)</f>
        <v/>
      </c>
      <c r="CZ1259">
        <f>IFERROR(INDEX(PP_Grid[#Data],$DE1259,101),0)</f>
        <v/>
      </c>
      <c r="DA1259">
        <f>IFERROR(INDEX(PP_Grid[#Data],$DE1259,102),0)</f>
        <v/>
      </c>
      <c r="DB1259">
        <f>IFERROR(INDEX(PP_Grid[#Data],$DE1259,103),0)</f>
        <v/>
      </c>
      <c r="DC1259">
        <f>IFERROR(INDEX(PP_Grid[#Data],$DE1259,104),0)</f>
        <v/>
      </c>
      <c r="DD1259">
        <f>IFERROR(INDEX(PP_Grid[#Data],$DE1259,105),0)</f>
        <v/>
      </c>
      <c r="DE1259" s="7">
        <f>IFERROR(MATCH($B1259,PP_Grid[Intermediate],0),99999)</f>
        <v/>
      </c>
    </row>
    <row r="1260">
      <c r="B1260" t="inlineStr">
        <is>
          <t>使用量(kg)</t>
        </is>
      </c>
      <c r="C1260">
        <f>SUMIFS(M_BOM[RM_Qty_Per_Batch],M_BOM[Intermediate],$B1259,M_BOM[RM_Code],$A1222)</f>
        <v/>
      </c>
      <c r="D1260">
        <f>IFERROR(INDEX(E1260:DD1260,$F$1),"")</f>
        <v/>
      </c>
      <c r="E1260">
        <f>$C1260*E1259</f>
        <v/>
      </c>
      <c r="F1260">
        <f>$C1260*F1259</f>
        <v/>
      </c>
      <c r="G1260">
        <f>$C1260*G1259</f>
        <v/>
      </c>
      <c r="H1260">
        <f>$C1260*H1259</f>
        <v/>
      </c>
      <c r="I1260">
        <f>$C1260*I1259</f>
        <v/>
      </c>
      <c r="J1260">
        <f>$C1260*J1259</f>
        <v/>
      </c>
      <c r="K1260">
        <f>$C1260*K1259</f>
        <v/>
      </c>
      <c r="L1260">
        <f>$C1260*L1259</f>
        <v/>
      </c>
      <c r="M1260">
        <f>$C1260*M1259</f>
        <v/>
      </c>
      <c r="N1260">
        <f>$C1260*N1259</f>
        <v/>
      </c>
      <c r="O1260">
        <f>$C1260*O1259</f>
        <v/>
      </c>
      <c r="P1260">
        <f>$C1260*P1259</f>
        <v/>
      </c>
      <c r="Q1260">
        <f>$C1260*Q1259</f>
        <v/>
      </c>
      <c r="R1260">
        <f>$C1260*R1259</f>
        <v/>
      </c>
      <c r="S1260">
        <f>$C1260*S1259</f>
        <v/>
      </c>
      <c r="T1260">
        <f>$C1260*T1259</f>
        <v/>
      </c>
      <c r="U1260">
        <f>$C1260*U1259</f>
        <v/>
      </c>
      <c r="V1260">
        <f>$C1260*V1259</f>
        <v/>
      </c>
      <c r="W1260">
        <f>$C1260*W1259</f>
        <v/>
      </c>
      <c r="X1260">
        <f>$C1260*X1259</f>
        <v/>
      </c>
      <c r="Y1260">
        <f>$C1260*Y1259</f>
        <v/>
      </c>
      <c r="Z1260">
        <f>$C1260*Z1259</f>
        <v/>
      </c>
      <c r="AA1260">
        <f>$C1260*AA1259</f>
        <v/>
      </c>
      <c r="AB1260">
        <f>$C1260*AB1259</f>
        <v/>
      </c>
      <c r="AC1260">
        <f>$C1260*AC1259</f>
        <v/>
      </c>
      <c r="AD1260">
        <f>$C1260*AD1259</f>
        <v/>
      </c>
      <c r="AE1260">
        <f>$C1260*AE1259</f>
        <v/>
      </c>
      <c r="AF1260">
        <f>$C1260*AF1259</f>
        <v/>
      </c>
      <c r="AG1260">
        <f>$C1260*AG1259</f>
        <v/>
      </c>
      <c r="AH1260">
        <f>$C1260*AH1259</f>
        <v/>
      </c>
      <c r="AI1260">
        <f>$C1260*AI1259</f>
        <v/>
      </c>
      <c r="AJ1260">
        <f>$C1260*AJ1259</f>
        <v/>
      </c>
      <c r="AK1260">
        <f>$C1260*AK1259</f>
        <v/>
      </c>
      <c r="AL1260">
        <f>$C1260*AL1259</f>
        <v/>
      </c>
      <c r="AM1260">
        <f>$C1260*AM1259</f>
        <v/>
      </c>
      <c r="AN1260">
        <f>$C1260*AN1259</f>
        <v/>
      </c>
      <c r="AO1260">
        <f>$C1260*AO1259</f>
        <v/>
      </c>
      <c r="AP1260">
        <f>$C1260*AP1259</f>
        <v/>
      </c>
      <c r="AQ1260">
        <f>$C1260*AQ1259</f>
        <v/>
      </c>
      <c r="AR1260">
        <f>$C1260*AR1259</f>
        <v/>
      </c>
      <c r="AS1260">
        <f>$C1260*AS1259</f>
        <v/>
      </c>
      <c r="AT1260">
        <f>$C1260*AT1259</f>
        <v/>
      </c>
      <c r="AU1260">
        <f>$C1260*AU1259</f>
        <v/>
      </c>
      <c r="AV1260">
        <f>$C1260*AV1259</f>
        <v/>
      </c>
      <c r="AW1260">
        <f>$C1260*AW1259</f>
        <v/>
      </c>
      <c r="AX1260">
        <f>$C1260*AX1259</f>
        <v/>
      </c>
      <c r="AY1260">
        <f>$C1260*AY1259</f>
        <v/>
      </c>
      <c r="AZ1260">
        <f>$C1260*AZ1259</f>
        <v/>
      </c>
      <c r="BA1260">
        <f>$C1260*BA1259</f>
        <v/>
      </c>
      <c r="BB1260">
        <f>$C1260*BB1259</f>
        <v/>
      </c>
      <c r="BC1260">
        <f>$C1260*BC1259</f>
        <v/>
      </c>
      <c r="BD1260">
        <f>$C1260*BD1259</f>
        <v/>
      </c>
      <c r="BE1260">
        <f>$C1260*BE1259</f>
        <v/>
      </c>
      <c r="BF1260">
        <f>$C1260*BF1259</f>
        <v/>
      </c>
      <c r="BG1260">
        <f>$C1260*BG1259</f>
        <v/>
      </c>
      <c r="BH1260">
        <f>$C1260*BH1259</f>
        <v/>
      </c>
      <c r="BI1260">
        <f>$C1260*BI1259</f>
        <v/>
      </c>
      <c r="BJ1260">
        <f>$C1260*BJ1259</f>
        <v/>
      </c>
      <c r="BK1260">
        <f>$C1260*BK1259</f>
        <v/>
      </c>
      <c r="BL1260">
        <f>$C1260*BL1259</f>
        <v/>
      </c>
      <c r="BM1260">
        <f>$C1260*BM1259</f>
        <v/>
      </c>
      <c r="BN1260">
        <f>$C1260*BN1259</f>
        <v/>
      </c>
      <c r="BO1260">
        <f>$C1260*BO1259</f>
        <v/>
      </c>
      <c r="BP1260">
        <f>$C1260*BP1259</f>
        <v/>
      </c>
      <c r="BQ1260">
        <f>$C1260*BQ1259</f>
        <v/>
      </c>
      <c r="BR1260">
        <f>$C1260*BR1259</f>
        <v/>
      </c>
      <c r="BS1260">
        <f>$C1260*BS1259</f>
        <v/>
      </c>
      <c r="BT1260">
        <f>$C1260*BT1259</f>
        <v/>
      </c>
      <c r="BU1260">
        <f>$C1260*BU1259</f>
        <v/>
      </c>
      <c r="BV1260">
        <f>$C1260*BV1259</f>
        <v/>
      </c>
      <c r="BW1260">
        <f>$C1260*BW1259</f>
        <v/>
      </c>
      <c r="BX1260">
        <f>$C1260*BX1259</f>
        <v/>
      </c>
      <c r="BY1260">
        <f>$C1260*BY1259</f>
        <v/>
      </c>
      <c r="BZ1260">
        <f>$C1260*BZ1259</f>
        <v/>
      </c>
      <c r="CA1260">
        <f>$C1260*CA1259</f>
        <v/>
      </c>
      <c r="CB1260">
        <f>$C1260*CB1259</f>
        <v/>
      </c>
      <c r="CC1260">
        <f>$C1260*CC1259</f>
        <v/>
      </c>
      <c r="CD1260">
        <f>$C1260*CD1259</f>
        <v/>
      </c>
      <c r="CE1260">
        <f>$C1260*CE1259</f>
        <v/>
      </c>
      <c r="CF1260">
        <f>$C1260*CF1259</f>
        <v/>
      </c>
      <c r="CG1260">
        <f>$C1260*CG1259</f>
        <v/>
      </c>
      <c r="CH1260">
        <f>$C1260*CH1259</f>
        <v/>
      </c>
      <c r="CI1260">
        <f>$C1260*CI1259</f>
        <v/>
      </c>
      <c r="CJ1260">
        <f>$C1260*CJ1259</f>
        <v/>
      </c>
      <c r="CK1260">
        <f>$C1260*CK1259</f>
        <v/>
      </c>
      <c r="CL1260">
        <f>$C1260*CL1259</f>
        <v/>
      </c>
      <c r="CM1260">
        <f>$C1260*CM1259</f>
        <v/>
      </c>
      <c r="CN1260">
        <f>$C1260*CN1259</f>
        <v/>
      </c>
      <c r="CO1260">
        <f>$C1260*CO1259</f>
        <v/>
      </c>
      <c r="CP1260">
        <f>$C1260*CP1259</f>
        <v/>
      </c>
      <c r="CQ1260">
        <f>$C1260*CQ1259</f>
        <v/>
      </c>
      <c r="CR1260">
        <f>$C1260*CR1259</f>
        <v/>
      </c>
      <c r="CS1260">
        <f>$C1260*CS1259</f>
        <v/>
      </c>
      <c r="CT1260">
        <f>$C1260*CT1259</f>
        <v/>
      </c>
      <c r="CU1260">
        <f>$C1260*CU1259</f>
        <v/>
      </c>
      <c r="CV1260">
        <f>$C1260*CV1259</f>
        <v/>
      </c>
      <c r="CW1260">
        <f>$C1260*CW1259</f>
        <v/>
      </c>
      <c r="CX1260">
        <f>$C1260*CX1259</f>
        <v/>
      </c>
      <c r="CY1260">
        <f>$C1260*CY1259</f>
        <v/>
      </c>
      <c r="CZ1260">
        <f>$C1260*CZ1259</f>
        <v/>
      </c>
      <c r="DA1260">
        <f>$C1260*DA1259</f>
        <v/>
      </c>
      <c r="DB1260">
        <f>$C1260*DB1259</f>
        <v/>
      </c>
      <c r="DC1260">
        <f>$C1260*DC1259</f>
        <v/>
      </c>
      <c r="DD1260">
        <f>$C1260*DD1259</f>
        <v/>
      </c>
    </row>
    <row r="1261">
      <c r="B1261" t="inlineStr">
        <is>
          <t>VSP-738</t>
        </is>
      </c>
      <c r="C1261" t="inlineStr">
        <is>
          <t>No. of batches</t>
        </is>
      </c>
      <c r="D1261">
        <f>IFERROR(INDEX(E1261:DD1261,$F$1),"")</f>
        <v/>
      </c>
      <c r="E1261">
        <f>IFERROR(INDEX(PP_Grid[#Data],$DE1261,2),0)</f>
        <v/>
      </c>
      <c r="F1261">
        <f>IFERROR(INDEX(PP_Grid[#Data],$DE1261,3),0)</f>
        <v/>
      </c>
      <c r="G1261">
        <f>IFERROR(INDEX(PP_Grid[#Data],$DE1261,4),0)</f>
        <v/>
      </c>
      <c r="H1261">
        <f>IFERROR(INDEX(PP_Grid[#Data],$DE1261,5),0)</f>
        <v/>
      </c>
      <c r="I1261">
        <f>IFERROR(INDEX(PP_Grid[#Data],$DE1261,6),0)</f>
        <v/>
      </c>
      <c r="J1261">
        <f>IFERROR(INDEX(PP_Grid[#Data],$DE1261,7),0)</f>
        <v/>
      </c>
      <c r="K1261">
        <f>IFERROR(INDEX(PP_Grid[#Data],$DE1261,8),0)</f>
        <v/>
      </c>
      <c r="L1261">
        <f>IFERROR(INDEX(PP_Grid[#Data],$DE1261,9),0)</f>
        <v/>
      </c>
      <c r="M1261">
        <f>IFERROR(INDEX(PP_Grid[#Data],$DE1261,10),0)</f>
        <v/>
      </c>
      <c r="N1261">
        <f>IFERROR(INDEX(PP_Grid[#Data],$DE1261,11),0)</f>
        <v/>
      </c>
      <c r="O1261">
        <f>IFERROR(INDEX(PP_Grid[#Data],$DE1261,12),0)</f>
        <v/>
      </c>
      <c r="P1261">
        <f>IFERROR(INDEX(PP_Grid[#Data],$DE1261,13),0)</f>
        <v/>
      </c>
      <c r="Q1261">
        <f>IFERROR(INDEX(PP_Grid[#Data],$DE1261,14),0)</f>
        <v/>
      </c>
      <c r="R1261">
        <f>IFERROR(INDEX(PP_Grid[#Data],$DE1261,15),0)</f>
        <v/>
      </c>
      <c r="S1261">
        <f>IFERROR(INDEX(PP_Grid[#Data],$DE1261,16),0)</f>
        <v/>
      </c>
      <c r="T1261">
        <f>IFERROR(INDEX(PP_Grid[#Data],$DE1261,17),0)</f>
        <v/>
      </c>
      <c r="U1261">
        <f>IFERROR(INDEX(PP_Grid[#Data],$DE1261,18),0)</f>
        <v/>
      </c>
      <c r="V1261">
        <f>IFERROR(INDEX(PP_Grid[#Data],$DE1261,19),0)</f>
        <v/>
      </c>
      <c r="W1261">
        <f>IFERROR(INDEX(PP_Grid[#Data],$DE1261,20),0)</f>
        <v/>
      </c>
      <c r="X1261">
        <f>IFERROR(INDEX(PP_Grid[#Data],$DE1261,21),0)</f>
        <v/>
      </c>
      <c r="Y1261">
        <f>IFERROR(INDEX(PP_Grid[#Data],$DE1261,22),0)</f>
        <v/>
      </c>
      <c r="Z1261">
        <f>IFERROR(INDEX(PP_Grid[#Data],$DE1261,23),0)</f>
        <v/>
      </c>
      <c r="AA1261">
        <f>IFERROR(INDEX(PP_Grid[#Data],$DE1261,24),0)</f>
        <v/>
      </c>
      <c r="AB1261">
        <f>IFERROR(INDEX(PP_Grid[#Data],$DE1261,25),0)</f>
        <v/>
      </c>
      <c r="AC1261">
        <f>IFERROR(INDEX(PP_Grid[#Data],$DE1261,26),0)</f>
        <v/>
      </c>
      <c r="AD1261">
        <f>IFERROR(INDEX(PP_Grid[#Data],$DE1261,27),0)</f>
        <v/>
      </c>
      <c r="AE1261">
        <f>IFERROR(INDEX(PP_Grid[#Data],$DE1261,28),0)</f>
        <v/>
      </c>
      <c r="AF1261">
        <f>IFERROR(INDEX(PP_Grid[#Data],$DE1261,29),0)</f>
        <v/>
      </c>
      <c r="AG1261">
        <f>IFERROR(INDEX(PP_Grid[#Data],$DE1261,30),0)</f>
        <v/>
      </c>
      <c r="AH1261">
        <f>IFERROR(INDEX(PP_Grid[#Data],$DE1261,31),0)</f>
        <v/>
      </c>
      <c r="AI1261">
        <f>IFERROR(INDEX(PP_Grid[#Data],$DE1261,32),0)</f>
        <v/>
      </c>
      <c r="AJ1261">
        <f>IFERROR(INDEX(PP_Grid[#Data],$DE1261,33),0)</f>
        <v/>
      </c>
      <c r="AK1261">
        <f>IFERROR(INDEX(PP_Grid[#Data],$DE1261,34),0)</f>
        <v/>
      </c>
      <c r="AL1261">
        <f>IFERROR(INDEX(PP_Grid[#Data],$DE1261,35),0)</f>
        <v/>
      </c>
      <c r="AM1261">
        <f>IFERROR(INDEX(PP_Grid[#Data],$DE1261,36),0)</f>
        <v/>
      </c>
      <c r="AN1261">
        <f>IFERROR(INDEX(PP_Grid[#Data],$DE1261,37),0)</f>
        <v/>
      </c>
      <c r="AO1261">
        <f>IFERROR(INDEX(PP_Grid[#Data],$DE1261,38),0)</f>
        <v/>
      </c>
      <c r="AP1261">
        <f>IFERROR(INDEX(PP_Grid[#Data],$DE1261,39),0)</f>
        <v/>
      </c>
      <c r="AQ1261">
        <f>IFERROR(INDEX(PP_Grid[#Data],$DE1261,40),0)</f>
        <v/>
      </c>
      <c r="AR1261">
        <f>IFERROR(INDEX(PP_Grid[#Data],$DE1261,41),0)</f>
        <v/>
      </c>
      <c r="AS1261">
        <f>IFERROR(INDEX(PP_Grid[#Data],$DE1261,42),0)</f>
        <v/>
      </c>
      <c r="AT1261">
        <f>IFERROR(INDEX(PP_Grid[#Data],$DE1261,43),0)</f>
        <v/>
      </c>
      <c r="AU1261">
        <f>IFERROR(INDEX(PP_Grid[#Data],$DE1261,44),0)</f>
        <v/>
      </c>
      <c r="AV1261">
        <f>IFERROR(INDEX(PP_Grid[#Data],$DE1261,45),0)</f>
        <v/>
      </c>
      <c r="AW1261">
        <f>IFERROR(INDEX(PP_Grid[#Data],$DE1261,46),0)</f>
        <v/>
      </c>
      <c r="AX1261">
        <f>IFERROR(INDEX(PP_Grid[#Data],$DE1261,47),0)</f>
        <v/>
      </c>
      <c r="AY1261">
        <f>IFERROR(INDEX(PP_Grid[#Data],$DE1261,48),0)</f>
        <v/>
      </c>
      <c r="AZ1261">
        <f>IFERROR(INDEX(PP_Grid[#Data],$DE1261,49),0)</f>
        <v/>
      </c>
      <c r="BA1261">
        <f>IFERROR(INDEX(PP_Grid[#Data],$DE1261,50),0)</f>
        <v/>
      </c>
      <c r="BB1261">
        <f>IFERROR(INDEX(PP_Grid[#Data],$DE1261,51),0)</f>
        <v/>
      </c>
      <c r="BC1261">
        <f>IFERROR(INDEX(PP_Grid[#Data],$DE1261,52),0)</f>
        <v/>
      </c>
      <c r="BD1261">
        <f>IFERROR(INDEX(PP_Grid[#Data],$DE1261,53),0)</f>
        <v/>
      </c>
      <c r="BE1261">
        <f>IFERROR(INDEX(PP_Grid[#Data],$DE1261,54),0)</f>
        <v/>
      </c>
      <c r="BF1261">
        <f>IFERROR(INDEX(PP_Grid[#Data],$DE1261,55),0)</f>
        <v/>
      </c>
      <c r="BG1261">
        <f>IFERROR(INDEX(PP_Grid[#Data],$DE1261,56),0)</f>
        <v/>
      </c>
      <c r="BH1261">
        <f>IFERROR(INDEX(PP_Grid[#Data],$DE1261,57),0)</f>
        <v/>
      </c>
      <c r="BI1261">
        <f>IFERROR(INDEX(PP_Grid[#Data],$DE1261,58),0)</f>
        <v/>
      </c>
      <c r="BJ1261">
        <f>IFERROR(INDEX(PP_Grid[#Data],$DE1261,59),0)</f>
        <v/>
      </c>
      <c r="BK1261">
        <f>IFERROR(INDEX(PP_Grid[#Data],$DE1261,60),0)</f>
        <v/>
      </c>
      <c r="BL1261">
        <f>IFERROR(INDEX(PP_Grid[#Data],$DE1261,61),0)</f>
        <v/>
      </c>
      <c r="BM1261">
        <f>IFERROR(INDEX(PP_Grid[#Data],$DE1261,62),0)</f>
        <v/>
      </c>
      <c r="BN1261">
        <f>IFERROR(INDEX(PP_Grid[#Data],$DE1261,63),0)</f>
        <v/>
      </c>
      <c r="BO1261">
        <f>IFERROR(INDEX(PP_Grid[#Data],$DE1261,64),0)</f>
        <v/>
      </c>
      <c r="BP1261">
        <f>IFERROR(INDEX(PP_Grid[#Data],$DE1261,65),0)</f>
        <v/>
      </c>
      <c r="BQ1261">
        <f>IFERROR(INDEX(PP_Grid[#Data],$DE1261,66),0)</f>
        <v/>
      </c>
      <c r="BR1261">
        <f>IFERROR(INDEX(PP_Grid[#Data],$DE1261,67),0)</f>
        <v/>
      </c>
      <c r="BS1261">
        <f>IFERROR(INDEX(PP_Grid[#Data],$DE1261,68),0)</f>
        <v/>
      </c>
      <c r="BT1261">
        <f>IFERROR(INDEX(PP_Grid[#Data],$DE1261,69),0)</f>
        <v/>
      </c>
      <c r="BU1261">
        <f>IFERROR(INDEX(PP_Grid[#Data],$DE1261,70),0)</f>
        <v/>
      </c>
      <c r="BV1261">
        <f>IFERROR(INDEX(PP_Grid[#Data],$DE1261,71),0)</f>
        <v/>
      </c>
      <c r="BW1261">
        <f>IFERROR(INDEX(PP_Grid[#Data],$DE1261,72),0)</f>
        <v/>
      </c>
      <c r="BX1261">
        <f>IFERROR(INDEX(PP_Grid[#Data],$DE1261,73),0)</f>
        <v/>
      </c>
      <c r="BY1261">
        <f>IFERROR(INDEX(PP_Grid[#Data],$DE1261,74),0)</f>
        <v/>
      </c>
      <c r="BZ1261">
        <f>IFERROR(INDEX(PP_Grid[#Data],$DE1261,75),0)</f>
        <v/>
      </c>
      <c r="CA1261">
        <f>IFERROR(INDEX(PP_Grid[#Data],$DE1261,76),0)</f>
        <v/>
      </c>
      <c r="CB1261">
        <f>IFERROR(INDEX(PP_Grid[#Data],$DE1261,77),0)</f>
        <v/>
      </c>
      <c r="CC1261">
        <f>IFERROR(INDEX(PP_Grid[#Data],$DE1261,78),0)</f>
        <v/>
      </c>
      <c r="CD1261">
        <f>IFERROR(INDEX(PP_Grid[#Data],$DE1261,79),0)</f>
        <v/>
      </c>
      <c r="CE1261">
        <f>IFERROR(INDEX(PP_Grid[#Data],$DE1261,80),0)</f>
        <v/>
      </c>
      <c r="CF1261">
        <f>IFERROR(INDEX(PP_Grid[#Data],$DE1261,81),0)</f>
        <v/>
      </c>
      <c r="CG1261">
        <f>IFERROR(INDEX(PP_Grid[#Data],$DE1261,82),0)</f>
        <v/>
      </c>
      <c r="CH1261">
        <f>IFERROR(INDEX(PP_Grid[#Data],$DE1261,83),0)</f>
        <v/>
      </c>
      <c r="CI1261">
        <f>IFERROR(INDEX(PP_Grid[#Data],$DE1261,84),0)</f>
        <v/>
      </c>
      <c r="CJ1261">
        <f>IFERROR(INDEX(PP_Grid[#Data],$DE1261,85),0)</f>
        <v/>
      </c>
      <c r="CK1261">
        <f>IFERROR(INDEX(PP_Grid[#Data],$DE1261,86),0)</f>
        <v/>
      </c>
      <c r="CL1261">
        <f>IFERROR(INDEX(PP_Grid[#Data],$DE1261,87),0)</f>
        <v/>
      </c>
      <c r="CM1261">
        <f>IFERROR(INDEX(PP_Grid[#Data],$DE1261,88),0)</f>
        <v/>
      </c>
      <c r="CN1261">
        <f>IFERROR(INDEX(PP_Grid[#Data],$DE1261,89),0)</f>
        <v/>
      </c>
      <c r="CO1261">
        <f>IFERROR(INDEX(PP_Grid[#Data],$DE1261,90),0)</f>
        <v/>
      </c>
      <c r="CP1261">
        <f>IFERROR(INDEX(PP_Grid[#Data],$DE1261,91),0)</f>
        <v/>
      </c>
      <c r="CQ1261">
        <f>IFERROR(INDEX(PP_Grid[#Data],$DE1261,92),0)</f>
        <v/>
      </c>
      <c r="CR1261">
        <f>IFERROR(INDEX(PP_Grid[#Data],$DE1261,93),0)</f>
        <v/>
      </c>
      <c r="CS1261">
        <f>IFERROR(INDEX(PP_Grid[#Data],$DE1261,94),0)</f>
        <v/>
      </c>
      <c r="CT1261">
        <f>IFERROR(INDEX(PP_Grid[#Data],$DE1261,95),0)</f>
        <v/>
      </c>
      <c r="CU1261">
        <f>IFERROR(INDEX(PP_Grid[#Data],$DE1261,96),0)</f>
        <v/>
      </c>
      <c r="CV1261">
        <f>IFERROR(INDEX(PP_Grid[#Data],$DE1261,97),0)</f>
        <v/>
      </c>
      <c r="CW1261">
        <f>IFERROR(INDEX(PP_Grid[#Data],$DE1261,98),0)</f>
        <v/>
      </c>
      <c r="CX1261">
        <f>IFERROR(INDEX(PP_Grid[#Data],$DE1261,99),0)</f>
        <v/>
      </c>
      <c r="CY1261">
        <f>IFERROR(INDEX(PP_Grid[#Data],$DE1261,100),0)</f>
        <v/>
      </c>
      <c r="CZ1261">
        <f>IFERROR(INDEX(PP_Grid[#Data],$DE1261,101),0)</f>
        <v/>
      </c>
      <c r="DA1261">
        <f>IFERROR(INDEX(PP_Grid[#Data],$DE1261,102),0)</f>
        <v/>
      </c>
      <c r="DB1261">
        <f>IFERROR(INDEX(PP_Grid[#Data],$DE1261,103),0)</f>
        <v/>
      </c>
      <c r="DC1261">
        <f>IFERROR(INDEX(PP_Grid[#Data],$DE1261,104),0)</f>
        <v/>
      </c>
      <c r="DD1261">
        <f>IFERROR(INDEX(PP_Grid[#Data],$DE1261,105),0)</f>
        <v/>
      </c>
      <c r="DE1261" s="7">
        <f>IFERROR(MATCH($B1261,PP_Grid[Intermediate],0),99999)</f>
        <v/>
      </c>
    </row>
    <row r="1262">
      <c r="B1262" t="inlineStr">
        <is>
          <t>使用量(kg)</t>
        </is>
      </c>
      <c r="C1262">
        <f>SUMIFS(M_BOM[RM_Qty_Per_Batch],M_BOM[Intermediate],$B1261,M_BOM[RM_Code],$A1222)</f>
        <v/>
      </c>
      <c r="D1262">
        <f>IFERROR(INDEX(E1262:DD1262,$F$1),"")</f>
        <v/>
      </c>
      <c r="E1262">
        <f>$C1262*E1261</f>
        <v/>
      </c>
      <c r="F1262">
        <f>$C1262*F1261</f>
        <v/>
      </c>
      <c r="G1262">
        <f>$C1262*G1261</f>
        <v/>
      </c>
      <c r="H1262">
        <f>$C1262*H1261</f>
        <v/>
      </c>
      <c r="I1262">
        <f>$C1262*I1261</f>
        <v/>
      </c>
      <c r="J1262">
        <f>$C1262*J1261</f>
        <v/>
      </c>
      <c r="K1262">
        <f>$C1262*K1261</f>
        <v/>
      </c>
      <c r="L1262">
        <f>$C1262*L1261</f>
        <v/>
      </c>
      <c r="M1262">
        <f>$C1262*M1261</f>
        <v/>
      </c>
      <c r="N1262">
        <f>$C1262*N1261</f>
        <v/>
      </c>
      <c r="O1262">
        <f>$C1262*O1261</f>
        <v/>
      </c>
      <c r="P1262">
        <f>$C1262*P1261</f>
        <v/>
      </c>
      <c r="Q1262">
        <f>$C1262*Q1261</f>
        <v/>
      </c>
      <c r="R1262">
        <f>$C1262*R1261</f>
        <v/>
      </c>
      <c r="S1262">
        <f>$C1262*S1261</f>
        <v/>
      </c>
      <c r="T1262">
        <f>$C1262*T1261</f>
        <v/>
      </c>
      <c r="U1262">
        <f>$C1262*U1261</f>
        <v/>
      </c>
      <c r="V1262">
        <f>$C1262*V1261</f>
        <v/>
      </c>
      <c r="W1262">
        <f>$C1262*W1261</f>
        <v/>
      </c>
      <c r="X1262">
        <f>$C1262*X1261</f>
        <v/>
      </c>
      <c r="Y1262">
        <f>$C1262*Y1261</f>
        <v/>
      </c>
      <c r="Z1262">
        <f>$C1262*Z1261</f>
        <v/>
      </c>
      <c r="AA1262">
        <f>$C1262*AA1261</f>
        <v/>
      </c>
      <c r="AB1262">
        <f>$C1262*AB1261</f>
        <v/>
      </c>
      <c r="AC1262">
        <f>$C1262*AC1261</f>
        <v/>
      </c>
      <c r="AD1262">
        <f>$C1262*AD1261</f>
        <v/>
      </c>
      <c r="AE1262">
        <f>$C1262*AE1261</f>
        <v/>
      </c>
      <c r="AF1262">
        <f>$C1262*AF1261</f>
        <v/>
      </c>
      <c r="AG1262">
        <f>$C1262*AG1261</f>
        <v/>
      </c>
      <c r="AH1262">
        <f>$C1262*AH1261</f>
        <v/>
      </c>
      <c r="AI1262">
        <f>$C1262*AI1261</f>
        <v/>
      </c>
      <c r="AJ1262">
        <f>$C1262*AJ1261</f>
        <v/>
      </c>
      <c r="AK1262">
        <f>$C1262*AK1261</f>
        <v/>
      </c>
      <c r="AL1262">
        <f>$C1262*AL1261</f>
        <v/>
      </c>
      <c r="AM1262">
        <f>$C1262*AM1261</f>
        <v/>
      </c>
      <c r="AN1262">
        <f>$C1262*AN1261</f>
        <v/>
      </c>
      <c r="AO1262">
        <f>$C1262*AO1261</f>
        <v/>
      </c>
      <c r="AP1262">
        <f>$C1262*AP1261</f>
        <v/>
      </c>
      <c r="AQ1262">
        <f>$C1262*AQ1261</f>
        <v/>
      </c>
      <c r="AR1262">
        <f>$C1262*AR1261</f>
        <v/>
      </c>
      <c r="AS1262">
        <f>$C1262*AS1261</f>
        <v/>
      </c>
      <c r="AT1262">
        <f>$C1262*AT1261</f>
        <v/>
      </c>
      <c r="AU1262">
        <f>$C1262*AU1261</f>
        <v/>
      </c>
      <c r="AV1262">
        <f>$C1262*AV1261</f>
        <v/>
      </c>
      <c r="AW1262">
        <f>$C1262*AW1261</f>
        <v/>
      </c>
      <c r="AX1262">
        <f>$C1262*AX1261</f>
        <v/>
      </c>
      <c r="AY1262">
        <f>$C1262*AY1261</f>
        <v/>
      </c>
      <c r="AZ1262">
        <f>$C1262*AZ1261</f>
        <v/>
      </c>
      <c r="BA1262">
        <f>$C1262*BA1261</f>
        <v/>
      </c>
      <c r="BB1262">
        <f>$C1262*BB1261</f>
        <v/>
      </c>
      <c r="BC1262">
        <f>$C1262*BC1261</f>
        <v/>
      </c>
      <c r="BD1262">
        <f>$C1262*BD1261</f>
        <v/>
      </c>
      <c r="BE1262">
        <f>$C1262*BE1261</f>
        <v/>
      </c>
      <c r="BF1262">
        <f>$C1262*BF1261</f>
        <v/>
      </c>
      <c r="BG1262">
        <f>$C1262*BG1261</f>
        <v/>
      </c>
      <c r="BH1262">
        <f>$C1262*BH1261</f>
        <v/>
      </c>
      <c r="BI1262">
        <f>$C1262*BI1261</f>
        <v/>
      </c>
      <c r="BJ1262">
        <f>$C1262*BJ1261</f>
        <v/>
      </c>
      <c r="BK1262">
        <f>$C1262*BK1261</f>
        <v/>
      </c>
      <c r="BL1262">
        <f>$C1262*BL1261</f>
        <v/>
      </c>
      <c r="BM1262">
        <f>$C1262*BM1261</f>
        <v/>
      </c>
      <c r="BN1262">
        <f>$C1262*BN1261</f>
        <v/>
      </c>
      <c r="BO1262">
        <f>$C1262*BO1261</f>
        <v/>
      </c>
      <c r="BP1262">
        <f>$C1262*BP1261</f>
        <v/>
      </c>
      <c r="BQ1262">
        <f>$C1262*BQ1261</f>
        <v/>
      </c>
      <c r="BR1262">
        <f>$C1262*BR1261</f>
        <v/>
      </c>
      <c r="BS1262">
        <f>$C1262*BS1261</f>
        <v/>
      </c>
      <c r="BT1262">
        <f>$C1262*BT1261</f>
        <v/>
      </c>
      <c r="BU1262">
        <f>$C1262*BU1261</f>
        <v/>
      </c>
      <c r="BV1262">
        <f>$C1262*BV1261</f>
        <v/>
      </c>
      <c r="BW1262">
        <f>$C1262*BW1261</f>
        <v/>
      </c>
      <c r="BX1262">
        <f>$C1262*BX1261</f>
        <v/>
      </c>
      <c r="BY1262">
        <f>$C1262*BY1261</f>
        <v/>
      </c>
      <c r="BZ1262">
        <f>$C1262*BZ1261</f>
        <v/>
      </c>
      <c r="CA1262">
        <f>$C1262*CA1261</f>
        <v/>
      </c>
      <c r="CB1262">
        <f>$C1262*CB1261</f>
        <v/>
      </c>
      <c r="CC1262">
        <f>$C1262*CC1261</f>
        <v/>
      </c>
      <c r="CD1262">
        <f>$C1262*CD1261</f>
        <v/>
      </c>
      <c r="CE1262">
        <f>$C1262*CE1261</f>
        <v/>
      </c>
      <c r="CF1262">
        <f>$C1262*CF1261</f>
        <v/>
      </c>
      <c r="CG1262">
        <f>$C1262*CG1261</f>
        <v/>
      </c>
      <c r="CH1262">
        <f>$C1262*CH1261</f>
        <v/>
      </c>
      <c r="CI1262">
        <f>$C1262*CI1261</f>
        <v/>
      </c>
      <c r="CJ1262">
        <f>$C1262*CJ1261</f>
        <v/>
      </c>
      <c r="CK1262">
        <f>$C1262*CK1261</f>
        <v/>
      </c>
      <c r="CL1262">
        <f>$C1262*CL1261</f>
        <v/>
      </c>
      <c r="CM1262">
        <f>$C1262*CM1261</f>
        <v/>
      </c>
      <c r="CN1262">
        <f>$C1262*CN1261</f>
        <v/>
      </c>
      <c r="CO1262">
        <f>$C1262*CO1261</f>
        <v/>
      </c>
      <c r="CP1262">
        <f>$C1262*CP1261</f>
        <v/>
      </c>
      <c r="CQ1262">
        <f>$C1262*CQ1261</f>
        <v/>
      </c>
      <c r="CR1262">
        <f>$C1262*CR1261</f>
        <v/>
      </c>
      <c r="CS1262">
        <f>$C1262*CS1261</f>
        <v/>
      </c>
      <c r="CT1262">
        <f>$C1262*CT1261</f>
        <v/>
      </c>
      <c r="CU1262">
        <f>$C1262*CU1261</f>
        <v/>
      </c>
      <c r="CV1262">
        <f>$C1262*CV1261</f>
        <v/>
      </c>
      <c r="CW1262">
        <f>$C1262*CW1261</f>
        <v/>
      </c>
      <c r="CX1262">
        <f>$C1262*CX1261</f>
        <v/>
      </c>
      <c r="CY1262">
        <f>$C1262*CY1261</f>
        <v/>
      </c>
      <c r="CZ1262">
        <f>$C1262*CZ1261</f>
        <v/>
      </c>
      <c r="DA1262">
        <f>$C1262*DA1261</f>
        <v/>
      </c>
      <c r="DB1262">
        <f>$C1262*DB1261</f>
        <v/>
      </c>
      <c r="DC1262">
        <f>$C1262*DC1261</f>
        <v/>
      </c>
      <c r="DD1262">
        <f>$C1262*DD1261</f>
        <v/>
      </c>
    </row>
    <row r="1263">
      <c r="B1263" t="inlineStr">
        <is>
          <t>VSP-740</t>
        </is>
      </c>
      <c r="C1263" t="inlineStr">
        <is>
          <t>No. of batches</t>
        </is>
      </c>
      <c r="D1263">
        <f>IFERROR(INDEX(E1263:DD1263,$F$1),"")</f>
        <v/>
      </c>
      <c r="E1263">
        <f>IFERROR(INDEX(PP_Grid[#Data],$DE1263,2),0)</f>
        <v/>
      </c>
      <c r="F1263">
        <f>IFERROR(INDEX(PP_Grid[#Data],$DE1263,3),0)</f>
        <v/>
      </c>
      <c r="G1263">
        <f>IFERROR(INDEX(PP_Grid[#Data],$DE1263,4),0)</f>
        <v/>
      </c>
      <c r="H1263">
        <f>IFERROR(INDEX(PP_Grid[#Data],$DE1263,5),0)</f>
        <v/>
      </c>
      <c r="I1263">
        <f>IFERROR(INDEX(PP_Grid[#Data],$DE1263,6),0)</f>
        <v/>
      </c>
      <c r="J1263">
        <f>IFERROR(INDEX(PP_Grid[#Data],$DE1263,7),0)</f>
        <v/>
      </c>
      <c r="K1263">
        <f>IFERROR(INDEX(PP_Grid[#Data],$DE1263,8),0)</f>
        <v/>
      </c>
      <c r="L1263">
        <f>IFERROR(INDEX(PP_Grid[#Data],$DE1263,9),0)</f>
        <v/>
      </c>
      <c r="M1263">
        <f>IFERROR(INDEX(PP_Grid[#Data],$DE1263,10),0)</f>
        <v/>
      </c>
      <c r="N1263">
        <f>IFERROR(INDEX(PP_Grid[#Data],$DE1263,11),0)</f>
        <v/>
      </c>
      <c r="O1263">
        <f>IFERROR(INDEX(PP_Grid[#Data],$DE1263,12),0)</f>
        <v/>
      </c>
      <c r="P1263">
        <f>IFERROR(INDEX(PP_Grid[#Data],$DE1263,13),0)</f>
        <v/>
      </c>
      <c r="Q1263">
        <f>IFERROR(INDEX(PP_Grid[#Data],$DE1263,14),0)</f>
        <v/>
      </c>
      <c r="R1263">
        <f>IFERROR(INDEX(PP_Grid[#Data],$DE1263,15),0)</f>
        <v/>
      </c>
      <c r="S1263">
        <f>IFERROR(INDEX(PP_Grid[#Data],$DE1263,16),0)</f>
        <v/>
      </c>
      <c r="T1263">
        <f>IFERROR(INDEX(PP_Grid[#Data],$DE1263,17),0)</f>
        <v/>
      </c>
      <c r="U1263">
        <f>IFERROR(INDEX(PP_Grid[#Data],$DE1263,18),0)</f>
        <v/>
      </c>
      <c r="V1263">
        <f>IFERROR(INDEX(PP_Grid[#Data],$DE1263,19),0)</f>
        <v/>
      </c>
      <c r="W1263">
        <f>IFERROR(INDEX(PP_Grid[#Data],$DE1263,20),0)</f>
        <v/>
      </c>
      <c r="X1263">
        <f>IFERROR(INDEX(PP_Grid[#Data],$DE1263,21),0)</f>
        <v/>
      </c>
      <c r="Y1263">
        <f>IFERROR(INDEX(PP_Grid[#Data],$DE1263,22),0)</f>
        <v/>
      </c>
      <c r="Z1263">
        <f>IFERROR(INDEX(PP_Grid[#Data],$DE1263,23),0)</f>
        <v/>
      </c>
      <c r="AA1263">
        <f>IFERROR(INDEX(PP_Grid[#Data],$DE1263,24),0)</f>
        <v/>
      </c>
      <c r="AB1263">
        <f>IFERROR(INDEX(PP_Grid[#Data],$DE1263,25),0)</f>
        <v/>
      </c>
      <c r="AC1263">
        <f>IFERROR(INDEX(PP_Grid[#Data],$DE1263,26),0)</f>
        <v/>
      </c>
      <c r="AD1263">
        <f>IFERROR(INDEX(PP_Grid[#Data],$DE1263,27),0)</f>
        <v/>
      </c>
      <c r="AE1263">
        <f>IFERROR(INDEX(PP_Grid[#Data],$DE1263,28),0)</f>
        <v/>
      </c>
      <c r="AF1263">
        <f>IFERROR(INDEX(PP_Grid[#Data],$DE1263,29),0)</f>
        <v/>
      </c>
      <c r="AG1263">
        <f>IFERROR(INDEX(PP_Grid[#Data],$DE1263,30),0)</f>
        <v/>
      </c>
      <c r="AH1263">
        <f>IFERROR(INDEX(PP_Grid[#Data],$DE1263,31),0)</f>
        <v/>
      </c>
      <c r="AI1263">
        <f>IFERROR(INDEX(PP_Grid[#Data],$DE1263,32),0)</f>
        <v/>
      </c>
      <c r="AJ1263">
        <f>IFERROR(INDEX(PP_Grid[#Data],$DE1263,33),0)</f>
        <v/>
      </c>
      <c r="AK1263">
        <f>IFERROR(INDEX(PP_Grid[#Data],$DE1263,34),0)</f>
        <v/>
      </c>
      <c r="AL1263">
        <f>IFERROR(INDEX(PP_Grid[#Data],$DE1263,35),0)</f>
        <v/>
      </c>
      <c r="AM1263">
        <f>IFERROR(INDEX(PP_Grid[#Data],$DE1263,36),0)</f>
        <v/>
      </c>
      <c r="AN1263">
        <f>IFERROR(INDEX(PP_Grid[#Data],$DE1263,37),0)</f>
        <v/>
      </c>
      <c r="AO1263">
        <f>IFERROR(INDEX(PP_Grid[#Data],$DE1263,38),0)</f>
        <v/>
      </c>
      <c r="AP1263">
        <f>IFERROR(INDEX(PP_Grid[#Data],$DE1263,39),0)</f>
        <v/>
      </c>
      <c r="AQ1263">
        <f>IFERROR(INDEX(PP_Grid[#Data],$DE1263,40),0)</f>
        <v/>
      </c>
      <c r="AR1263">
        <f>IFERROR(INDEX(PP_Grid[#Data],$DE1263,41),0)</f>
        <v/>
      </c>
      <c r="AS1263">
        <f>IFERROR(INDEX(PP_Grid[#Data],$DE1263,42),0)</f>
        <v/>
      </c>
      <c r="AT1263">
        <f>IFERROR(INDEX(PP_Grid[#Data],$DE1263,43),0)</f>
        <v/>
      </c>
      <c r="AU1263">
        <f>IFERROR(INDEX(PP_Grid[#Data],$DE1263,44),0)</f>
        <v/>
      </c>
      <c r="AV1263">
        <f>IFERROR(INDEX(PP_Grid[#Data],$DE1263,45),0)</f>
        <v/>
      </c>
      <c r="AW1263">
        <f>IFERROR(INDEX(PP_Grid[#Data],$DE1263,46),0)</f>
        <v/>
      </c>
      <c r="AX1263">
        <f>IFERROR(INDEX(PP_Grid[#Data],$DE1263,47),0)</f>
        <v/>
      </c>
      <c r="AY1263">
        <f>IFERROR(INDEX(PP_Grid[#Data],$DE1263,48),0)</f>
        <v/>
      </c>
      <c r="AZ1263">
        <f>IFERROR(INDEX(PP_Grid[#Data],$DE1263,49),0)</f>
        <v/>
      </c>
      <c r="BA1263">
        <f>IFERROR(INDEX(PP_Grid[#Data],$DE1263,50),0)</f>
        <v/>
      </c>
      <c r="BB1263">
        <f>IFERROR(INDEX(PP_Grid[#Data],$DE1263,51),0)</f>
        <v/>
      </c>
      <c r="BC1263">
        <f>IFERROR(INDEX(PP_Grid[#Data],$DE1263,52),0)</f>
        <v/>
      </c>
      <c r="BD1263">
        <f>IFERROR(INDEX(PP_Grid[#Data],$DE1263,53),0)</f>
        <v/>
      </c>
      <c r="BE1263">
        <f>IFERROR(INDEX(PP_Grid[#Data],$DE1263,54),0)</f>
        <v/>
      </c>
      <c r="BF1263">
        <f>IFERROR(INDEX(PP_Grid[#Data],$DE1263,55),0)</f>
        <v/>
      </c>
      <c r="BG1263">
        <f>IFERROR(INDEX(PP_Grid[#Data],$DE1263,56),0)</f>
        <v/>
      </c>
      <c r="BH1263">
        <f>IFERROR(INDEX(PP_Grid[#Data],$DE1263,57),0)</f>
        <v/>
      </c>
      <c r="BI1263">
        <f>IFERROR(INDEX(PP_Grid[#Data],$DE1263,58),0)</f>
        <v/>
      </c>
      <c r="BJ1263">
        <f>IFERROR(INDEX(PP_Grid[#Data],$DE1263,59),0)</f>
        <v/>
      </c>
      <c r="BK1263">
        <f>IFERROR(INDEX(PP_Grid[#Data],$DE1263,60),0)</f>
        <v/>
      </c>
      <c r="BL1263">
        <f>IFERROR(INDEX(PP_Grid[#Data],$DE1263,61),0)</f>
        <v/>
      </c>
      <c r="BM1263">
        <f>IFERROR(INDEX(PP_Grid[#Data],$DE1263,62),0)</f>
        <v/>
      </c>
      <c r="BN1263">
        <f>IFERROR(INDEX(PP_Grid[#Data],$DE1263,63),0)</f>
        <v/>
      </c>
      <c r="BO1263">
        <f>IFERROR(INDEX(PP_Grid[#Data],$DE1263,64),0)</f>
        <v/>
      </c>
      <c r="BP1263">
        <f>IFERROR(INDEX(PP_Grid[#Data],$DE1263,65),0)</f>
        <v/>
      </c>
      <c r="BQ1263">
        <f>IFERROR(INDEX(PP_Grid[#Data],$DE1263,66),0)</f>
        <v/>
      </c>
      <c r="BR1263">
        <f>IFERROR(INDEX(PP_Grid[#Data],$DE1263,67),0)</f>
        <v/>
      </c>
      <c r="BS1263">
        <f>IFERROR(INDEX(PP_Grid[#Data],$DE1263,68),0)</f>
        <v/>
      </c>
      <c r="BT1263">
        <f>IFERROR(INDEX(PP_Grid[#Data],$DE1263,69),0)</f>
        <v/>
      </c>
      <c r="BU1263">
        <f>IFERROR(INDEX(PP_Grid[#Data],$DE1263,70),0)</f>
        <v/>
      </c>
      <c r="BV1263">
        <f>IFERROR(INDEX(PP_Grid[#Data],$DE1263,71),0)</f>
        <v/>
      </c>
      <c r="BW1263">
        <f>IFERROR(INDEX(PP_Grid[#Data],$DE1263,72),0)</f>
        <v/>
      </c>
      <c r="BX1263">
        <f>IFERROR(INDEX(PP_Grid[#Data],$DE1263,73),0)</f>
        <v/>
      </c>
      <c r="BY1263">
        <f>IFERROR(INDEX(PP_Grid[#Data],$DE1263,74),0)</f>
        <v/>
      </c>
      <c r="BZ1263">
        <f>IFERROR(INDEX(PP_Grid[#Data],$DE1263,75),0)</f>
        <v/>
      </c>
      <c r="CA1263">
        <f>IFERROR(INDEX(PP_Grid[#Data],$DE1263,76),0)</f>
        <v/>
      </c>
      <c r="CB1263">
        <f>IFERROR(INDEX(PP_Grid[#Data],$DE1263,77),0)</f>
        <v/>
      </c>
      <c r="CC1263">
        <f>IFERROR(INDEX(PP_Grid[#Data],$DE1263,78),0)</f>
        <v/>
      </c>
      <c r="CD1263">
        <f>IFERROR(INDEX(PP_Grid[#Data],$DE1263,79),0)</f>
        <v/>
      </c>
      <c r="CE1263">
        <f>IFERROR(INDEX(PP_Grid[#Data],$DE1263,80),0)</f>
        <v/>
      </c>
      <c r="CF1263">
        <f>IFERROR(INDEX(PP_Grid[#Data],$DE1263,81),0)</f>
        <v/>
      </c>
      <c r="CG1263">
        <f>IFERROR(INDEX(PP_Grid[#Data],$DE1263,82),0)</f>
        <v/>
      </c>
      <c r="CH1263">
        <f>IFERROR(INDEX(PP_Grid[#Data],$DE1263,83),0)</f>
        <v/>
      </c>
      <c r="CI1263">
        <f>IFERROR(INDEX(PP_Grid[#Data],$DE1263,84),0)</f>
        <v/>
      </c>
      <c r="CJ1263">
        <f>IFERROR(INDEX(PP_Grid[#Data],$DE1263,85),0)</f>
        <v/>
      </c>
      <c r="CK1263">
        <f>IFERROR(INDEX(PP_Grid[#Data],$DE1263,86),0)</f>
        <v/>
      </c>
      <c r="CL1263">
        <f>IFERROR(INDEX(PP_Grid[#Data],$DE1263,87),0)</f>
        <v/>
      </c>
      <c r="CM1263">
        <f>IFERROR(INDEX(PP_Grid[#Data],$DE1263,88),0)</f>
        <v/>
      </c>
      <c r="CN1263">
        <f>IFERROR(INDEX(PP_Grid[#Data],$DE1263,89),0)</f>
        <v/>
      </c>
      <c r="CO1263">
        <f>IFERROR(INDEX(PP_Grid[#Data],$DE1263,90),0)</f>
        <v/>
      </c>
      <c r="CP1263">
        <f>IFERROR(INDEX(PP_Grid[#Data],$DE1263,91),0)</f>
        <v/>
      </c>
      <c r="CQ1263">
        <f>IFERROR(INDEX(PP_Grid[#Data],$DE1263,92),0)</f>
        <v/>
      </c>
      <c r="CR1263">
        <f>IFERROR(INDEX(PP_Grid[#Data],$DE1263,93),0)</f>
        <v/>
      </c>
      <c r="CS1263">
        <f>IFERROR(INDEX(PP_Grid[#Data],$DE1263,94),0)</f>
        <v/>
      </c>
      <c r="CT1263">
        <f>IFERROR(INDEX(PP_Grid[#Data],$DE1263,95),0)</f>
        <v/>
      </c>
      <c r="CU1263">
        <f>IFERROR(INDEX(PP_Grid[#Data],$DE1263,96),0)</f>
        <v/>
      </c>
      <c r="CV1263">
        <f>IFERROR(INDEX(PP_Grid[#Data],$DE1263,97),0)</f>
        <v/>
      </c>
      <c r="CW1263">
        <f>IFERROR(INDEX(PP_Grid[#Data],$DE1263,98),0)</f>
        <v/>
      </c>
      <c r="CX1263">
        <f>IFERROR(INDEX(PP_Grid[#Data],$DE1263,99),0)</f>
        <v/>
      </c>
      <c r="CY1263">
        <f>IFERROR(INDEX(PP_Grid[#Data],$DE1263,100),0)</f>
        <v/>
      </c>
      <c r="CZ1263">
        <f>IFERROR(INDEX(PP_Grid[#Data],$DE1263,101),0)</f>
        <v/>
      </c>
      <c r="DA1263">
        <f>IFERROR(INDEX(PP_Grid[#Data],$DE1263,102),0)</f>
        <v/>
      </c>
      <c r="DB1263">
        <f>IFERROR(INDEX(PP_Grid[#Data],$DE1263,103),0)</f>
        <v/>
      </c>
      <c r="DC1263">
        <f>IFERROR(INDEX(PP_Grid[#Data],$DE1263,104),0)</f>
        <v/>
      </c>
      <c r="DD1263">
        <f>IFERROR(INDEX(PP_Grid[#Data],$DE1263,105),0)</f>
        <v/>
      </c>
      <c r="DE1263" s="7">
        <f>IFERROR(MATCH($B1263,PP_Grid[Intermediate],0),99999)</f>
        <v/>
      </c>
    </row>
    <row r="1264">
      <c r="B1264" t="inlineStr">
        <is>
          <t>使用量(kg)</t>
        </is>
      </c>
      <c r="C1264">
        <f>SUMIFS(M_BOM[RM_Qty_Per_Batch],M_BOM[Intermediate],$B1263,M_BOM[RM_Code],$A1222)</f>
        <v/>
      </c>
      <c r="D1264">
        <f>IFERROR(INDEX(E1264:DD1264,$F$1),"")</f>
        <v/>
      </c>
      <c r="E1264">
        <f>$C1264*E1263</f>
        <v/>
      </c>
      <c r="F1264">
        <f>$C1264*F1263</f>
        <v/>
      </c>
      <c r="G1264">
        <f>$C1264*G1263</f>
        <v/>
      </c>
      <c r="H1264">
        <f>$C1264*H1263</f>
        <v/>
      </c>
      <c r="I1264">
        <f>$C1264*I1263</f>
        <v/>
      </c>
      <c r="J1264">
        <f>$C1264*J1263</f>
        <v/>
      </c>
      <c r="K1264">
        <f>$C1264*K1263</f>
        <v/>
      </c>
      <c r="L1264">
        <f>$C1264*L1263</f>
        <v/>
      </c>
      <c r="M1264">
        <f>$C1264*M1263</f>
        <v/>
      </c>
      <c r="N1264">
        <f>$C1264*N1263</f>
        <v/>
      </c>
      <c r="O1264">
        <f>$C1264*O1263</f>
        <v/>
      </c>
      <c r="P1264">
        <f>$C1264*P1263</f>
        <v/>
      </c>
      <c r="Q1264">
        <f>$C1264*Q1263</f>
        <v/>
      </c>
      <c r="R1264">
        <f>$C1264*R1263</f>
        <v/>
      </c>
      <c r="S1264">
        <f>$C1264*S1263</f>
        <v/>
      </c>
      <c r="T1264">
        <f>$C1264*T1263</f>
        <v/>
      </c>
      <c r="U1264">
        <f>$C1264*U1263</f>
        <v/>
      </c>
      <c r="V1264">
        <f>$C1264*V1263</f>
        <v/>
      </c>
      <c r="W1264">
        <f>$C1264*W1263</f>
        <v/>
      </c>
      <c r="X1264">
        <f>$C1264*X1263</f>
        <v/>
      </c>
      <c r="Y1264">
        <f>$C1264*Y1263</f>
        <v/>
      </c>
      <c r="Z1264">
        <f>$C1264*Z1263</f>
        <v/>
      </c>
      <c r="AA1264">
        <f>$C1264*AA1263</f>
        <v/>
      </c>
      <c r="AB1264">
        <f>$C1264*AB1263</f>
        <v/>
      </c>
      <c r="AC1264">
        <f>$C1264*AC1263</f>
        <v/>
      </c>
      <c r="AD1264">
        <f>$C1264*AD1263</f>
        <v/>
      </c>
      <c r="AE1264">
        <f>$C1264*AE1263</f>
        <v/>
      </c>
      <c r="AF1264">
        <f>$C1264*AF1263</f>
        <v/>
      </c>
      <c r="AG1264">
        <f>$C1264*AG1263</f>
        <v/>
      </c>
      <c r="AH1264">
        <f>$C1264*AH1263</f>
        <v/>
      </c>
      <c r="AI1264">
        <f>$C1264*AI1263</f>
        <v/>
      </c>
      <c r="AJ1264">
        <f>$C1264*AJ1263</f>
        <v/>
      </c>
      <c r="AK1264">
        <f>$C1264*AK1263</f>
        <v/>
      </c>
      <c r="AL1264">
        <f>$C1264*AL1263</f>
        <v/>
      </c>
      <c r="AM1264">
        <f>$C1264*AM1263</f>
        <v/>
      </c>
      <c r="AN1264">
        <f>$C1264*AN1263</f>
        <v/>
      </c>
      <c r="AO1264">
        <f>$C1264*AO1263</f>
        <v/>
      </c>
      <c r="AP1264">
        <f>$C1264*AP1263</f>
        <v/>
      </c>
      <c r="AQ1264">
        <f>$C1264*AQ1263</f>
        <v/>
      </c>
      <c r="AR1264">
        <f>$C1264*AR1263</f>
        <v/>
      </c>
      <c r="AS1264">
        <f>$C1264*AS1263</f>
        <v/>
      </c>
      <c r="AT1264">
        <f>$C1264*AT1263</f>
        <v/>
      </c>
      <c r="AU1264">
        <f>$C1264*AU1263</f>
        <v/>
      </c>
      <c r="AV1264">
        <f>$C1264*AV1263</f>
        <v/>
      </c>
      <c r="AW1264">
        <f>$C1264*AW1263</f>
        <v/>
      </c>
      <c r="AX1264">
        <f>$C1264*AX1263</f>
        <v/>
      </c>
      <c r="AY1264">
        <f>$C1264*AY1263</f>
        <v/>
      </c>
      <c r="AZ1264">
        <f>$C1264*AZ1263</f>
        <v/>
      </c>
      <c r="BA1264">
        <f>$C1264*BA1263</f>
        <v/>
      </c>
      <c r="BB1264">
        <f>$C1264*BB1263</f>
        <v/>
      </c>
      <c r="BC1264">
        <f>$C1264*BC1263</f>
        <v/>
      </c>
      <c r="BD1264">
        <f>$C1264*BD1263</f>
        <v/>
      </c>
      <c r="BE1264">
        <f>$C1264*BE1263</f>
        <v/>
      </c>
      <c r="BF1264">
        <f>$C1264*BF1263</f>
        <v/>
      </c>
      <c r="BG1264">
        <f>$C1264*BG1263</f>
        <v/>
      </c>
      <c r="BH1264">
        <f>$C1264*BH1263</f>
        <v/>
      </c>
      <c r="BI1264">
        <f>$C1264*BI1263</f>
        <v/>
      </c>
      <c r="BJ1264">
        <f>$C1264*BJ1263</f>
        <v/>
      </c>
      <c r="BK1264">
        <f>$C1264*BK1263</f>
        <v/>
      </c>
      <c r="BL1264">
        <f>$C1264*BL1263</f>
        <v/>
      </c>
      <c r="BM1264">
        <f>$C1264*BM1263</f>
        <v/>
      </c>
      <c r="BN1264">
        <f>$C1264*BN1263</f>
        <v/>
      </c>
      <c r="BO1264">
        <f>$C1264*BO1263</f>
        <v/>
      </c>
      <c r="BP1264">
        <f>$C1264*BP1263</f>
        <v/>
      </c>
      <c r="BQ1264">
        <f>$C1264*BQ1263</f>
        <v/>
      </c>
      <c r="BR1264">
        <f>$C1264*BR1263</f>
        <v/>
      </c>
      <c r="BS1264">
        <f>$C1264*BS1263</f>
        <v/>
      </c>
      <c r="BT1264">
        <f>$C1264*BT1263</f>
        <v/>
      </c>
      <c r="BU1264">
        <f>$C1264*BU1263</f>
        <v/>
      </c>
      <c r="BV1264">
        <f>$C1264*BV1263</f>
        <v/>
      </c>
      <c r="BW1264">
        <f>$C1264*BW1263</f>
        <v/>
      </c>
      <c r="BX1264">
        <f>$C1264*BX1263</f>
        <v/>
      </c>
      <c r="BY1264">
        <f>$C1264*BY1263</f>
        <v/>
      </c>
      <c r="BZ1264">
        <f>$C1264*BZ1263</f>
        <v/>
      </c>
      <c r="CA1264">
        <f>$C1264*CA1263</f>
        <v/>
      </c>
      <c r="CB1264">
        <f>$C1264*CB1263</f>
        <v/>
      </c>
      <c r="CC1264">
        <f>$C1264*CC1263</f>
        <v/>
      </c>
      <c r="CD1264">
        <f>$C1264*CD1263</f>
        <v/>
      </c>
      <c r="CE1264">
        <f>$C1264*CE1263</f>
        <v/>
      </c>
      <c r="CF1264">
        <f>$C1264*CF1263</f>
        <v/>
      </c>
      <c r="CG1264">
        <f>$C1264*CG1263</f>
        <v/>
      </c>
      <c r="CH1264">
        <f>$C1264*CH1263</f>
        <v/>
      </c>
      <c r="CI1264">
        <f>$C1264*CI1263</f>
        <v/>
      </c>
      <c r="CJ1264">
        <f>$C1264*CJ1263</f>
        <v/>
      </c>
      <c r="CK1264">
        <f>$C1264*CK1263</f>
        <v/>
      </c>
      <c r="CL1264">
        <f>$C1264*CL1263</f>
        <v/>
      </c>
      <c r="CM1264">
        <f>$C1264*CM1263</f>
        <v/>
      </c>
      <c r="CN1264">
        <f>$C1264*CN1263</f>
        <v/>
      </c>
      <c r="CO1264">
        <f>$C1264*CO1263</f>
        <v/>
      </c>
      <c r="CP1264">
        <f>$C1264*CP1263</f>
        <v/>
      </c>
      <c r="CQ1264">
        <f>$C1264*CQ1263</f>
        <v/>
      </c>
      <c r="CR1264">
        <f>$C1264*CR1263</f>
        <v/>
      </c>
      <c r="CS1264">
        <f>$C1264*CS1263</f>
        <v/>
      </c>
      <c r="CT1264">
        <f>$C1264*CT1263</f>
        <v/>
      </c>
      <c r="CU1264">
        <f>$C1264*CU1263</f>
        <v/>
      </c>
      <c r="CV1264">
        <f>$C1264*CV1263</f>
        <v/>
      </c>
      <c r="CW1264">
        <f>$C1264*CW1263</f>
        <v/>
      </c>
      <c r="CX1264">
        <f>$C1264*CX1263</f>
        <v/>
      </c>
      <c r="CY1264">
        <f>$C1264*CY1263</f>
        <v/>
      </c>
      <c r="CZ1264">
        <f>$C1264*CZ1263</f>
        <v/>
      </c>
      <c r="DA1264">
        <f>$C1264*DA1263</f>
        <v/>
      </c>
      <c r="DB1264">
        <f>$C1264*DB1263</f>
        <v/>
      </c>
      <c r="DC1264">
        <f>$C1264*DC1263</f>
        <v/>
      </c>
      <c r="DD1264">
        <f>$C1264*DD1263</f>
        <v/>
      </c>
    </row>
    <row r="1265">
      <c r="B1265" t="inlineStr">
        <is>
          <t>VSP-746</t>
        </is>
      </c>
      <c r="C1265" t="inlineStr">
        <is>
          <t>No. of batches</t>
        </is>
      </c>
      <c r="D1265">
        <f>IFERROR(INDEX(E1265:DD1265,$F$1),"")</f>
        <v/>
      </c>
      <c r="E1265">
        <f>IFERROR(INDEX(PP_Grid[#Data],$DE1265,2),0)</f>
        <v/>
      </c>
      <c r="F1265">
        <f>IFERROR(INDEX(PP_Grid[#Data],$DE1265,3),0)</f>
        <v/>
      </c>
      <c r="G1265">
        <f>IFERROR(INDEX(PP_Grid[#Data],$DE1265,4),0)</f>
        <v/>
      </c>
      <c r="H1265">
        <f>IFERROR(INDEX(PP_Grid[#Data],$DE1265,5),0)</f>
        <v/>
      </c>
      <c r="I1265">
        <f>IFERROR(INDEX(PP_Grid[#Data],$DE1265,6),0)</f>
        <v/>
      </c>
      <c r="J1265">
        <f>IFERROR(INDEX(PP_Grid[#Data],$DE1265,7),0)</f>
        <v/>
      </c>
      <c r="K1265">
        <f>IFERROR(INDEX(PP_Grid[#Data],$DE1265,8),0)</f>
        <v/>
      </c>
      <c r="L1265">
        <f>IFERROR(INDEX(PP_Grid[#Data],$DE1265,9),0)</f>
        <v/>
      </c>
      <c r="M1265">
        <f>IFERROR(INDEX(PP_Grid[#Data],$DE1265,10),0)</f>
        <v/>
      </c>
      <c r="N1265">
        <f>IFERROR(INDEX(PP_Grid[#Data],$DE1265,11),0)</f>
        <v/>
      </c>
      <c r="O1265">
        <f>IFERROR(INDEX(PP_Grid[#Data],$DE1265,12),0)</f>
        <v/>
      </c>
      <c r="P1265">
        <f>IFERROR(INDEX(PP_Grid[#Data],$DE1265,13),0)</f>
        <v/>
      </c>
      <c r="Q1265">
        <f>IFERROR(INDEX(PP_Grid[#Data],$DE1265,14),0)</f>
        <v/>
      </c>
      <c r="R1265">
        <f>IFERROR(INDEX(PP_Grid[#Data],$DE1265,15),0)</f>
        <v/>
      </c>
      <c r="S1265">
        <f>IFERROR(INDEX(PP_Grid[#Data],$DE1265,16),0)</f>
        <v/>
      </c>
      <c r="T1265">
        <f>IFERROR(INDEX(PP_Grid[#Data],$DE1265,17),0)</f>
        <v/>
      </c>
      <c r="U1265">
        <f>IFERROR(INDEX(PP_Grid[#Data],$DE1265,18),0)</f>
        <v/>
      </c>
      <c r="V1265">
        <f>IFERROR(INDEX(PP_Grid[#Data],$DE1265,19),0)</f>
        <v/>
      </c>
      <c r="W1265">
        <f>IFERROR(INDEX(PP_Grid[#Data],$DE1265,20),0)</f>
        <v/>
      </c>
      <c r="X1265">
        <f>IFERROR(INDEX(PP_Grid[#Data],$DE1265,21),0)</f>
        <v/>
      </c>
      <c r="Y1265">
        <f>IFERROR(INDEX(PP_Grid[#Data],$DE1265,22),0)</f>
        <v/>
      </c>
      <c r="Z1265">
        <f>IFERROR(INDEX(PP_Grid[#Data],$DE1265,23),0)</f>
        <v/>
      </c>
      <c r="AA1265">
        <f>IFERROR(INDEX(PP_Grid[#Data],$DE1265,24),0)</f>
        <v/>
      </c>
      <c r="AB1265">
        <f>IFERROR(INDEX(PP_Grid[#Data],$DE1265,25),0)</f>
        <v/>
      </c>
      <c r="AC1265">
        <f>IFERROR(INDEX(PP_Grid[#Data],$DE1265,26),0)</f>
        <v/>
      </c>
      <c r="AD1265">
        <f>IFERROR(INDEX(PP_Grid[#Data],$DE1265,27),0)</f>
        <v/>
      </c>
      <c r="AE1265">
        <f>IFERROR(INDEX(PP_Grid[#Data],$DE1265,28),0)</f>
        <v/>
      </c>
      <c r="AF1265">
        <f>IFERROR(INDEX(PP_Grid[#Data],$DE1265,29),0)</f>
        <v/>
      </c>
      <c r="AG1265">
        <f>IFERROR(INDEX(PP_Grid[#Data],$DE1265,30),0)</f>
        <v/>
      </c>
      <c r="AH1265">
        <f>IFERROR(INDEX(PP_Grid[#Data],$DE1265,31),0)</f>
        <v/>
      </c>
      <c r="AI1265">
        <f>IFERROR(INDEX(PP_Grid[#Data],$DE1265,32),0)</f>
        <v/>
      </c>
      <c r="AJ1265">
        <f>IFERROR(INDEX(PP_Grid[#Data],$DE1265,33),0)</f>
        <v/>
      </c>
      <c r="AK1265">
        <f>IFERROR(INDEX(PP_Grid[#Data],$DE1265,34),0)</f>
        <v/>
      </c>
      <c r="AL1265">
        <f>IFERROR(INDEX(PP_Grid[#Data],$DE1265,35),0)</f>
        <v/>
      </c>
      <c r="AM1265">
        <f>IFERROR(INDEX(PP_Grid[#Data],$DE1265,36),0)</f>
        <v/>
      </c>
      <c r="AN1265">
        <f>IFERROR(INDEX(PP_Grid[#Data],$DE1265,37),0)</f>
        <v/>
      </c>
      <c r="AO1265">
        <f>IFERROR(INDEX(PP_Grid[#Data],$DE1265,38),0)</f>
        <v/>
      </c>
      <c r="AP1265">
        <f>IFERROR(INDEX(PP_Grid[#Data],$DE1265,39),0)</f>
        <v/>
      </c>
      <c r="AQ1265">
        <f>IFERROR(INDEX(PP_Grid[#Data],$DE1265,40),0)</f>
        <v/>
      </c>
      <c r="AR1265">
        <f>IFERROR(INDEX(PP_Grid[#Data],$DE1265,41),0)</f>
        <v/>
      </c>
      <c r="AS1265">
        <f>IFERROR(INDEX(PP_Grid[#Data],$DE1265,42),0)</f>
        <v/>
      </c>
      <c r="AT1265">
        <f>IFERROR(INDEX(PP_Grid[#Data],$DE1265,43),0)</f>
        <v/>
      </c>
      <c r="AU1265">
        <f>IFERROR(INDEX(PP_Grid[#Data],$DE1265,44),0)</f>
        <v/>
      </c>
      <c r="AV1265">
        <f>IFERROR(INDEX(PP_Grid[#Data],$DE1265,45),0)</f>
        <v/>
      </c>
      <c r="AW1265">
        <f>IFERROR(INDEX(PP_Grid[#Data],$DE1265,46),0)</f>
        <v/>
      </c>
      <c r="AX1265">
        <f>IFERROR(INDEX(PP_Grid[#Data],$DE1265,47),0)</f>
        <v/>
      </c>
      <c r="AY1265">
        <f>IFERROR(INDEX(PP_Grid[#Data],$DE1265,48),0)</f>
        <v/>
      </c>
      <c r="AZ1265">
        <f>IFERROR(INDEX(PP_Grid[#Data],$DE1265,49),0)</f>
        <v/>
      </c>
      <c r="BA1265">
        <f>IFERROR(INDEX(PP_Grid[#Data],$DE1265,50),0)</f>
        <v/>
      </c>
      <c r="BB1265">
        <f>IFERROR(INDEX(PP_Grid[#Data],$DE1265,51),0)</f>
        <v/>
      </c>
      <c r="BC1265">
        <f>IFERROR(INDEX(PP_Grid[#Data],$DE1265,52),0)</f>
        <v/>
      </c>
      <c r="BD1265">
        <f>IFERROR(INDEX(PP_Grid[#Data],$DE1265,53),0)</f>
        <v/>
      </c>
      <c r="BE1265">
        <f>IFERROR(INDEX(PP_Grid[#Data],$DE1265,54),0)</f>
        <v/>
      </c>
      <c r="BF1265">
        <f>IFERROR(INDEX(PP_Grid[#Data],$DE1265,55),0)</f>
        <v/>
      </c>
      <c r="BG1265">
        <f>IFERROR(INDEX(PP_Grid[#Data],$DE1265,56),0)</f>
        <v/>
      </c>
      <c r="BH1265">
        <f>IFERROR(INDEX(PP_Grid[#Data],$DE1265,57),0)</f>
        <v/>
      </c>
      <c r="BI1265">
        <f>IFERROR(INDEX(PP_Grid[#Data],$DE1265,58),0)</f>
        <v/>
      </c>
      <c r="BJ1265">
        <f>IFERROR(INDEX(PP_Grid[#Data],$DE1265,59),0)</f>
        <v/>
      </c>
      <c r="BK1265">
        <f>IFERROR(INDEX(PP_Grid[#Data],$DE1265,60),0)</f>
        <v/>
      </c>
      <c r="BL1265">
        <f>IFERROR(INDEX(PP_Grid[#Data],$DE1265,61),0)</f>
        <v/>
      </c>
      <c r="BM1265">
        <f>IFERROR(INDEX(PP_Grid[#Data],$DE1265,62),0)</f>
        <v/>
      </c>
      <c r="BN1265">
        <f>IFERROR(INDEX(PP_Grid[#Data],$DE1265,63),0)</f>
        <v/>
      </c>
      <c r="BO1265">
        <f>IFERROR(INDEX(PP_Grid[#Data],$DE1265,64),0)</f>
        <v/>
      </c>
      <c r="BP1265">
        <f>IFERROR(INDEX(PP_Grid[#Data],$DE1265,65),0)</f>
        <v/>
      </c>
      <c r="BQ1265">
        <f>IFERROR(INDEX(PP_Grid[#Data],$DE1265,66),0)</f>
        <v/>
      </c>
      <c r="BR1265">
        <f>IFERROR(INDEX(PP_Grid[#Data],$DE1265,67),0)</f>
        <v/>
      </c>
      <c r="BS1265">
        <f>IFERROR(INDEX(PP_Grid[#Data],$DE1265,68),0)</f>
        <v/>
      </c>
      <c r="BT1265">
        <f>IFERROR(INDEX(PP_Grid[#Data],$DE1265,69),0)</f>
        <v/>
      </c>
      <c r="BU1265">
        <f>IFERROR(INDEX(PP_Grid[#Data],$DE1265,70),0)</f>
        <v/>
      </c>
      <c r="BV1265">
        <f>IFERROR(INDEX(PP_Grid[#Data],$DE1265,71),0)</f>
        <v/>
      </c>
      <c r="BW1265">
        <f>IFERROR(INDEX(PP_Grid[#Data],$DE1265,72),0)</f>
        <v/>
      </c>
      <c r="BX1265">
        <f>IFERROR(INDEX(PP_Grid[#Data],$DE1265,73),0)</f>
        <v/>
      </c>
      <c r="BY1265">
        <f>IFERROR(INDEX(PP_Grid[#Data],$DE1265,74),0)</f>
        <v/>
      </c>
      <c r="BZ1265">
        <f>IFERROR(INDEX(PP_Grid[#Data],$DE1265,75),0)</f>
        <v/>
      </c>
      <c r="CA1265">
        <f>IFERROR(INDEX(PP_Grid[#Data],$DE1265,76),0)</f>
        <v/>
      </c>
      <c r="CB1265">
        <f>IFERROR(INDEX(PP_Grid[#Data],$DE1265,77),0)</f>
        <v/>
      </c>
      <c r="CC1265">
        <f>IFERROR(INDEX(PP_Grid[#Data],$DE1265,78),0)</f>
        <v/>
      </c>
      <c r="CD1265">
        <f>IFERROR(INDEX(PP_Grid[#Data],$DE1265,79),0)</f>
        <v/>
      </c>
      <c r="CE1265">
        <f>IFERROR(INDEX(PP_Grid[#Data],$DE1265,80),0)</f>
        <v/>
      </c>
      <c r="CF1265">
        <f>IFERROR(INDEX(PP_Grid[#Data],$DE1265,81),0)</f>
        <v/>
      </c>
      <c r="CG1265">
        <f>IFERROR(INDEX(PP_Grid[#Data],$DE1265,82),0)</f>
        <v/>
      </c>
      <c r="CH1265">
        <f>IFERROR(INDEX(PP_Grid[#Data],$DE1265,83),0)</f>
        <v/>
      </c>
      <c r="CI1265">
        <f>IFERROR(INDEX(PP_Grid[#Data],$DE1265,84),0)</f>
        <v/>
      </c>
      <c r="CJ1265">
        <f>IFERROR(INDEX(PP_Grid[#Data],$DE1265,85),0)</f>
        <v/>
      </c>
      <c r="CK1265">
        <f>IFERROR(INDEX(PP_Grid[#Data],$DE1265,86),0)</f>
        <v/>
      </c>
      <c r="CL1265">
        <f>IFERROR(INDEX(PP_Grid[#Data],$DE1265,87),0)</f>
        <v/>
      </c>
      <c r="CM1265">
        <f>IFERROR(INDEX(PP_Grid[#Data],$DE1265,88),0)</f>
        <v/>
      </c>
      <c r="CN1265">
        <f>IFERROR(INDEX(PP_Grid[#Data],$DE1265,89),0)</f>
        <v/>
      </c>
      <c r="CO1265">
        <f>IFERROR(INDEX(PP_Grid[#Data],$DE1265,90),0)</f>
        <v/>
      </c>
      <c r="CP1265">
        <f>IFERROR(INDEX(PP_Grid[#Data],$DE1265,91),0)</f>
        <v/>
      </c>
      <c r="CQ1265">
        <f>IFERROR(INDEX(PP_Grid[#Data],$DE1265,92),0)</f>
        <v/>
      </c>
      <c r="CR1265">
        <f>IFERROR(INDEX(PP_Grid[#Data],$DE1265,93),0)</f>
        <v/>
      </c>
      <c r="CS1265">
        <f>IFERROR(INDEX(PP_Grid[#Data],$DE1265,94),0)</f>
        <v/>
      </c>
      <c r="CT1265">
        <f>IFERROR(INDEX(PP_Grid[#Data],$DE1265,95),0)</f>
        <v/>
      </c>
      <c r="CU1265">
        <f>IFERROR(INDEX(PP_Grid[#Data],$DE1265,96),0)</f>
        <v/>
      </c>
      <c r="CV1265">
        <f>IFERROR(INDEX(PP_Grid[#Data],$DE1265,97),0)</f>
        <v/>
      </c>
      <c r="CW1265">
        <f>IFERROR(INDEX(PP_Grid[#Data],$DE1265,98),0)</f>
        <v/>
      </c>
      <c r="CX1265">
        <f>IFERROR(INDEX(PP_Grid[#Data],$DE1265,99),0)</f>
        <v/>
      </c>
      <c r="CY1265">
        <f>IFERROR(INDEX(PP_Grid[#Data],$DE1265,100),0)</f>
        <v/>
      </c>
      <c r="CZ1265">
        <f>IFERROR(INDEX(PP_Grid[#Data],$DE1265,101),0)</f>
        <v/>
      </c>
      <c r="DA1265">
        <f>IFERROR(INDEX(PP_Grid[#Data],$DE1265,102),0)</f>
        <v/>
      </c>
      <c r="DB1265">
        <f>IFERROR(INDEX(PP_Grid[#Data],$DE1265,103),0)</f>
        <v/>
      </c>
      <c r="DC1265">
        <f>IFERROR(INDEX(PP_Grid[#Data],$DE1265,104),0)</f>
        <v/>
      </c>
      <c r="DD1265">
        <f>IFERROR(INDEX(PP_Grid[#Data],$DE1265,105),0)</f>
        <v/>
      </c>
      <c r="DE1265" s="7">
        <f>IFERROR(MATCH($B1265,PP_Grid[Intermediate],0),99999)</f>
        <v/>
      </c>
    </row>
    <row r="1266">
      <c r="B1266" t="inlineStr">
        <is>
          <t>使用量(kg)</t>
        </is>
      </c>
      <c r="C1266">
        <f>SUMIFS(M_BOM[RM_Qty_Per_Batch],M_BOM[Intermediate],$B1265,M_BOM[RM_Code],$A1222)</f>
        <v/>
      </c>
      <c r="D1266">
        <f>IFERROR(INDEX(E1266:DD1266,$F$1),"")</f>
        <v/>
      </c>
      <c r="E1266">
        <f>$C1266*E1265</f>
        <v/>
      </c>
      <c r="F1266">
        <f>$C1266*F1265</f>
        <v/>
      </c>
      <c r="G1266">
        <f>$C1266*G1265</f>
        <v/>
      </c>
      <c r="H1266">
        <f>$C1266*H1265</f>
        <v/>
      </c>
      <c r="I1266">
        <f>$C1266*I1265</f>
        <v/>
      </c>
      <c r="J1266">
        <f>$C1266*J1265</f>
        <v/>
      </c>
      <c r="K1266">
        <f>$C1266*K1265</f>
        <v/>
      </c>
      <c r="L1266">
        <f>$C1266*L1265</f>
        <v/>
      </c>
      <c r="M1266">
        <f>$C1266*M1265</f>
        <v/>
      </c>
      <c r="N1266">
        <f>$C1266*N1265</f>
        <v/>
      </c>
      <c r="O1266">
        <f>$C1266*O1265</f>
        <v/>
      </c>
      <c r="P1266">
        <f>$C1266*P1265</f>
        <v/>
      </c>
      <c r="Q1266">
        <f>$C1266*Q1265</f>
        <v/>
      </c>
      <c r="R1266">
        <f>$C1266*R1265</f>
        <v/>
      </c>
      <c r="S1266">
        <f>$C1266*S1265</f>
        <v/>
      </c>
      <c r="T1266">
        <f>$C1266*T1265</f>
        <v/>
      </c>
      <c r="U1266">
        <f>$C1266*U1265</f>
        <v/>
      </c>
      <c r="V1266">
        <f>$C1266*V1265</f>
        <v/>
      </c>
      <c r="W1266">
        <f>$C1266*W1265</f>
        <v/>
      </c>
      <c r="X1266">
        <f>$C1266*X1265</f>
        <v/>
      </c>
      <c r="Y1266">
        <f>$C1266*Y1265</f>
        <v/>
      </c>
      <c r="Z1266">
        <f>$C1266*Z1265</f>
        <v/>
      </c>
      <c r="AA1266">
        <f>$C1266*AA1265</f>
        <v/>
      </c>
      <c r="AB1266">
        <f>$C1266*AB1265</f>
        <v/>
      </c>
      <c r="AC1266">
        <f>$C1266*AC1265</f>
        <v/>
      </c>
      <c r="AD1266">
        <f>$C1266*AD1265</f>
        <v/>
      </c>
      <c r="AE1266">
        <f>$C1266*AE1265</f>
        <v/>
      </c>
      <c r="AF1266">
        <f>$C1266*AF1265</f>
        <v/>
      </c>
      <c r="AG1266">
        <f>$C1266*AG1265</f>
        <v/>
      </c>
      <c r="AH1266">
        <f>$C1266*AH1265</f>
        <v/>
      </c>
      <c r="AI1266">
        <f>$C1266*AI1265</f>
        <v/>
      </c>
      <c r="AJ1266">
        <f>$C1266*AJ1265</f>
        <v/>
      </c>
      <c r="AK1266">
        <f>$C1266*AK1265</f>
        <v/>
      </c>
      <c r="AL1266">
        <f>$C1266*AL1265</f>
        <v/>
      </c>
      <c r="AM1266">
        <f>$C1266*AM1265</f>
        <v/>
      </c>
      <c r="AN1266">
        <f>$C1266*AN1265</f>
        <v/>
      </c>
      <c r="AO1266">
        <f>$C1266*AO1265</f>
        <v/>
      </c>
      <c r="AP1266">
        <f>$C1266*AP1265</f>
        <v/>
      </c>
      <c r="AQ1266">
        <f>$C1266*AQ1265</f>
        <v/>
      </c>
      <c r="AR1266">
        <f>$C1266*AR1265</f>
        <v/>
      </c>
      <c r="AS1266">
        <f>$C1266*AS1265</f>
        <v/>
      </c>
      <c r="AT1266">
        <f>$C1266*AT1265</f>
        <v/>
      </c>
      <c r="AU1266">
        <f>$C1266*AU1265</f>
        <v/>
      </c>
      <c r="AV1266">
        <f>$C1266*AV1265</f>
        <v/>
      </c>
      <c r="AW1266">
        <f>$C1266*AW1265</f>
        <v/>
      </c>
      <c r="AX1266">
        <f>$C1266*AX1265</f>
        <v/>
      </c>
      <c r="AY1266">
        <f>$C1266*AY1265</f>
        <v/>
      </c>
      <c r="AZ1266">
        <f>$C1266*AZ1265</f>
        <v/>
      </c>
      <c r="BA1266">
        <f>$C1266*BA1265</f>
        <v/>
      </c>
      <c r="BB1266">
        <f>$C1266*BB1265</f>
        <v/>
      </c>
      <c r="BC1266">
        <f>$C1266*BC1265</f>
        <v/>
      </c>
      <c r="BD1266">
        <f>$C1266*BD1265</f>
        <v/>
      </c>
      <c r="BE1266">
        <f>$C1266*BE1265</f>
        <v/>
      </c>
      <c r="BF1266">
        <f>$C1266*BF1265</f>
        <v/>
      </c>
      <c r="BG1266">
        <f>$C1266*BG1265</f>
        <v/>
      </c>
      <c r="BH1266">
        <f>$C1266*BH1265</f>
        <v/>
      </c>
      <c r="BI1266">
        <f>$C1266*BI1265</f>
        <v/>
      </c>
      <c r="BJ1266">
        <f>$C1266*BJ1265</f>
        <v/>
      </c>
      <c r="BK1266">
        <f>$C1266*BK1265</f>
        <v/>
      </c>
      <c r="BL1266">
        <f>$C1266*BL1265</f>
        <v/>
      </c>
      <c r="BM1266">
        <f>$C1266*BM1265</f>
        <v/>
      </c>
      <c r="BN1266">
        <f>$C1266*BN1265</f>
        <v/>
      </c>
      <c r="BO1266">
        <f>$C1266*BO1265</f>
        <v/>
      </c>
      <c r="BP1266">
        <f>$C1266*BP1265</f>
        <v/>
      </c>
      <c r="BQ1266">
        <f>$C1266*BQ1265</f>
        <v/>
      </c>
      <c r="BR1266">
        <f>$C1266*BR1265</f>
        <v/>
      </c>
      <c r="BS1266">
        <f>$C1266*BS1265</f>
        <v/>
      </c>
      <c r="BT1266">
        <f>$C1266*BT1265</f>
        <v/>
      </c>
      <c r="BU1266">
        <f>$C1266*BU1265</f>
        <v/>
      </c>
      <c r="BV1266">
        <f>$C1266*BV1265</f>
        <v/>
      </c>
      <c r="BW1266">
        <f>$C1266*BW1265</f>
        <v/>
      </c>
      <c r="BX1266">
        <f>$C1266*BX1265</f>
        <v/>
      </c>
      <c r="BY1266">
        <f>$C1266*BY1265</f>
        <v/>
      </c>
      <c r="BZ1266">
        <f>$C1266*BZ1265</f>
        <v/>
      </c>
      <c r="CA1266">
        <f>$C1266*CA1265</f>
        <v/>
      </c>
      <c r="CB1266">
        <f>$C1266*CB1265</f>
        <v/>
      </c>
      <c r="CC1266">
        <f>$C1266*CC1265</f>
        <v/>
      </c>
      <c r="CD1266">
        <f>$C1266*CD1265</f>
        <v/>
      </c>
      <c r="CE1266">
        <f>$C1266*CE1265</f>
        <v/>
      </c>
      <c r="CF1266">
        <f>$C1266*CF1265</f>
        <v/>
      </c>
      <c r="CG1266">
        <f>$C1266*CG1265</f>
        <v/>
      </c>
      <c r="CH1266">
        <f>$C1266*CH1265</f>
        <v/>
      </c>
      <c r="CI1266">
        <f>$C1266*CI1265</f>
        <v/>
      </c>
      <c r="CJ1266">
        <f>$C1266*CJ1265</f>
        <v/>
      </c>
      <c r="CK1266">
        <f>$C1266*CK1265</f>
        <v/>
      </c>
      <c r="CL1266">
        <f>$C1266*CL1265</f>
        <v/>
      </c>
      <c r="CM1266">
        <f>$C1266*CM1265</f>
        <v/>
      </c>
      <c r="CN1266">
        <f>$C1266*CN1265</f>
        <v/>
      </c>
      <c r="CO1266">
        <f>$C1266*CO1265</f>
        <v/>
      </c>
      <c r="CP1266">
        <f>$C1266*CP1265</f>
        <v/>
      </c>
      <c r="CQ1266">
        <f>$C1266*CQ1265</f>
        <v/>
      </c>
      <c r="CR1266">
        <f>$C1266*CR1265</f>
        <v/>
      </c>
      <c r="CS1266">
        <f>$C1266*CS1265</f>
        <v/>
      </c>
      <c r="CT1266">
        <f>$C1266*CT1265</f>
        <v/>
      </c>
      <c r="CU1266">
        <f>$C1266*CU1265</f>
        <v/>
      </c>
      <c r="CV1266">
        <f>$C1266*CV1265</f>
        <v/>
      </c>
      <c r="CW1266">
        <f>$C1266*CW1265</f>
        <v/>
      </c>
      <c r="CX1266">
        <f>$C1266*CX1265</f>
        <v/>
      </c>
      <c r="CY1266">
        <f>$C1266*CY1265</f>
        <v/>
      </c>
      <c r="CZ1266">
        <f>$C1266*CZ1265</f>
        <v/>
      </c>
      <c r="DA1266">
        <f>$C1266*DA1265</f>
        <v/>
      </c>
      <c r="DB1266">
        <f>$C1266*DB1265</f>
        <v/>
      </c>
      <c r="DC1266">
        <f>$C1266*DC1265</f>
        <v/>
      </c>
      <c r="DD1266">
        <f>$C1266*DD1265</f>
        <v/>
      </c>
    </row>
    <row r="1267">
      <c r="B1267" t="inlineStr">
        <is>
          <t>VSP-822</t>
        </is>
      </c>
      <c r="C1267" t="inlineStr">
        <is>
          <t>No. of batches</t>
        </is>
      </c>
      <c r="D1267">
        <f>IFERROR(INDEX(E1267:DD1267,$F$1),"")</f>
        <v/>
      </c>
      <c r="E1267">
        <f>IFERROR(INDEX(PP_Grid[#Data],$DE1267,2),0)</f>
        <v/>
      </c>
      <c r="F1267">
        <f>IFERROR(INDEX(PP_Grid[#Data],$DE1267,3),0)</f>
        <v/>
      </c>
      <c r="G1267">
        <f>IFERROR(INDEX(PP_Grid[#Data],$DE1267,4),0)</f>
        <v/>
      </c>
      <c r="H1267">
        <f>IFERROR(INDEX(PP_Grid[#Data],$DE1267,5),0)</f>
        <v/>
      </c>
      <c r="I1267">
        <f>IFERROR(INDEX(PP_Grid[#Data],$DE1267,6),0)</f>
        <v/>
      </c>
      <c r="J1267">
        <f>IFERROR(INDEX(PP_Grid[#Data],$DE1267,7),0)</f>
        <v/>
      </c>
      <c r="K1267">
        <f>IFERROR(INDEX(PP_Grid[#Data],$DE1267,8),0)</f>
        <v/>
      </c>
      <c r="L1267">
        <f>IFERROR(INDEX(PP_Grid[#Data],$DE1267,9),0)</f>
        <v/>
      </c>
      <c r="M1267">
        <f>IFERROR(INDEX(PP_Grid[#Data],$DE1267,10),0)</f>
        <v/>
      </c>
      <c r="N1267">
        <f>IFERROR(INDEX(PP_Grid[#Data],$DE1267,11),0)</f>
        <v/>
      </c>
      <c r="O1267">
        <f>IFERROR(INDEX(PP_Grid[#Data],$DE1267,12),0)</f>
        <v/>
      </c>
      <c r="P1267">
        <f>IFERROR(INDEX(PP_Grid[#Data],$DE1267,13),0)</f>
        <v/>
      </c>
      <c r="Q1267">
        <f>IFERROR(INDEX(PP_Grid[#Data],$DE1267,14),0)</f>
        <v/>
      </c>
      <c r="R1267">
        <f>IFERROR(INDEX(PP_Grid[#Data],$DE1267,15),0)</f>
        <v/>
      </c>
      <c r="S1267">
        <f>IFERROR(INDEX(PP_Grid[#Data],$DE1267,16),0)</f>
        <v/>
      </c>
      <c r="T1267">
        <f>IFERROR(INDEX(PP_Grid[#Data],$DE1267,17),0)</f>
        <v/>
      </c>
      <c r="U1267">
        <f>IFERROR(INDEX(PP_Grid[#Data],$DE1267,18),0)</f>
        <v/>
      </c>
      <c r="V1267">
        <f>IFERROR(INDEX(PP_Grid[#Data],$DE1267,19),0)</f>
        <v/>
      </c>
      <c r="W1267">
        <f>IFERROR(INDEX(PP_Grid[#Data],$DE1267,20),0)</f>
        <v/>
      </c>
      <c r="X1267">
        <f>IFERROR(INDEX(PP_Grid[#Data],$DE1267,21),0)</f>
        <v/>
      </c>
      <c r="Y1267">
        <f>IFERROR(INDEX(PP_Grid[#Data],$DE1267,22),0)</f>
        <v/>
      </c>
      <c r="Z1267">
        <f>IFERROR(INDEX(PP_Grid[#Data],$DE1267,23),0)</f>
        <v/>
      </c>
      <c r="AA1267">
        <f>IFERROR(INDEX(PP_Grid[#Data],$DE1267,24),0)</f>
        <v/>
      </c>
      <c r="AB1267">
        <f>IFERROR(INDEX(PP_Grid[#Data],$DE1267,25),0)</f>
        <v/>
      </c>
      <c r="AC1267">
        <f>IFERROR(INDEX(PP_Grid[#Data],$DE1267,26),0)</f>
        <v/>
      </c>
      <c r="AD1267">
        <f>IFERROR(INDEX(PP_Grid[#Data],$DE1267,27),0)</f>
        <v/>
      </c>
      <c r="AE1267">
        <f>IFERROR(INDEX(PP_Grid[#Data],$DE1267,28),0)</f>
        <v/>
      </c>
      <c r="AF1267">
        <f>IFERROR(INDEX(PP_Grid[#Data],$DE1267,29),0)</f>
        <v/>
      </c>
      <c r="AG1267">
        <f>IFERROR(INDEX(PP_Grid[#Data],$DE1267,30),0)</f>
        <v/>
      </c>
      <c r="AH1267">
        <f>IFERROR(INDEX(PP_Grid[#Data],$DE1267,31),0)</f>
        <v/>
      </c>
      <c r="AI1267">
        <f>IFERROR(INDEX(PP_Grid[#Data],$DE1267,32),0)</f>
        <v/>
      </c>
      <c r="AJ1267">
        <f>IFERROR(INDEX(PP_Grid[#Data],$DE1267,33),0)</f>
        <v/>
      </c>
      <c r="AK1267">
        <f>IFERROR(INDEX(PP_Grid[#Data],$DE1267,34),0)</f>
        <v/>
      </c>
      <c r="AL1267">
        <f>IFERROR(INDEX(PP_Grid[#Data],$DE1267,35),0)</f>
        <v/>
      </c>
      <c r="AM1267">
        <f>IFERROR(INDEX(PP_Grid[#Data],$DE1267,36),0)</f>
        <v/>
      </c>
      <c r="AN1267">
        <f>IFERROR(INDEX(PP_Grid[#Data],$DE1267,37),0)</f>
        <v/>
      </c>
      <c r="AO1267">
        <f>IFERROR(INDEX(PP_Grid[#Data],$DE1267,38),0)</f>
        <v/>
      </c>
      <c r="AP1267">
        <f>IFERROR(INDEX(PP_Grid[#Data],$DE1267,39),0)</f>
        <v/>
      </c>
      <c r="AQ1267">
        <f>IFERROR(INDEX(PP_Grid[#Data],$DE1267,40),0)</f>
        <v/>
      </c>
      <c r="AR1267">
        <f>IFERROR(INDEX(PP_Grid[#Data],$DE1267,41),0)</f>
        <v/>
      </c>
      <c r="AS1267">
        <f>IFERROR(INDEX(PP_Grid[#Data],$DE1267,42),0)</f>
        <v/>
      </c>
      <c r="AT1267">
        <f>IFERROR(INDEX(PP_Grid[#Data],$DE1267,43),0)</f>
        <v/>
      </c>
      <c r="AU1267">
        <f>IFERROR(INDEX(PP_Grid[#Data],$DE1267,44),0)</f>
        <v/>
      </c>
      <c r="AV1267">
        <f>IFERROR(INDEX(PP_Grid[#Data],$DE1267,45),0)</f>
        <v/>
      </c>
      <c r="AW1267">
        <f>IFERROR(INDEX(PP_Grid[#Data],$DE1267,46),0)</f>
        <v/>
      </c>
      <c r="AX1267">
        <f>IFERROR(INDEX(PP_Grid[#Data],$DE1267,47),0)</f>
        <v/>
      </c>
      <c r="AY1267">
        <f>IFERROR(INDEX(PP_Grid[#Data],$DE1267,48),0)</f>
        <v/>
      </c>
      <c r="AZ1267">
        <f>IFERROR(INDEX(PP_Grid[#Data],$DE1267,49),0)</f>
        <v/>
      </c>
      <c r="BA1267">
        <f>IFERROR(INDEX(PP_Grid[#Data],$DE1267,50),0)</f>
        <v/>
      </c>
      <c r="BB1267">
        <f>IFERROR(INDEX(PP_Grid[#Data],$DE1267,51),0)</f>
        <v/>
      </c>
      <c r="BC1267">
        <f>IFERROR(INDEX(PP_Grid[#Data],$DE1267,52),0)</f>
        <v/>
      </c>
      <c r="BD1267">
        <f>IFERROR(INDEX(PP_Grid[#Data],$DE1267,53),0)</f>
        <v/>
      </c>
      <c r="BE1267">
        <f>IFERROR(INDEX(PP_Grid[#Data],$DE1267,54),0)</f>
        <v/>
      </c>
      <c r="BF1267">
        <f>IFERROR(INDEX(PP_Grid[#Data],$DE1267,55),0)</f>
        <v/>
      </c>
      <c r="BG1267">
        <f>IFERROR(INDEX(PP_Grid[#Data],$DE1267,56),0)</f>
        <v/>
      </c>
      <c r="BH1267">
        <f>IFERROR(INDEX(PP_Grid[#Data],$DE1267,57),0)</f>
        <v/>
      </c>
      <c r="BI1267">
        <f>IFERROR(INDEX(PP_Grid[#Data],$DE1267,58),0)</f>
        <v/>
      </c>
      <c r="BJ1267">
        <f>IFERROR(INDEX(PP_Grid[#Data],$DE1267,59),0)</f>
        <v/>
      </c>
      <c r="BK1267">
        <f>IFERROR(INDEX(PP_Grid[#Data],$DE1267,60),0)</f>
        <v/>
      </c>
      <c r="BL1267">
        <f>IFERROR(INDEX(PP_Grid[#Data],$DE1267,61),0)</f>
        <v/>
      </c>
      <c r="BM1267">
        <f>IFERROR(INDEX(PP_Grid[#Data],$DE1267,62),0)</f>
        <v/>
      </c>
      <c r="BN1267">
        <f>IFERROR(INDEX(PP_Grid[#Data],$DE1267,63),0)</f>
        <v/>
      </c>
      <c r="BO1267">
        <f>IFERROR(INDEX(PP_Grid[#Data],$DE1267,64),0)</f>
        <v/>
      </c>
      <c r="BP1267">
        <f>IFERROR(INDEX(PP_Grid[#Data],$DE1267,65),0)</f>
        <v/>
      </c>
      <c r="BQ1267">
        <f>IFERROR(INDEX(PP_Grid[#Data],$DE1267,66),0)</f>
        <v/>
      </c>
      <c r="BR1267">
        <f>IFERROR(INDEX(PP_Grid[#Data],$DE1267,67),0)</f>
        <v/>
      </c>
      <c r="BS1267">
        <f>IFERROR(INDEX(PP_Grid[#Data],$DE1267,68),0)</f>
        <v/>
      </c>
      <c r="BT1267">
        <f>IFERROR(INDEX(PP_Grid[#Data],$DE1267,69),0)</f>
        <v/>
      </c>
      <c r="BU1267">
        <f>IFERROR(INDEX(PP_Grid[#Data],$DE1267,70),0)</f>
        <v/>
      </c>
      <c r="BV1267">
        <f>IFERROR(INDEX(PP_Grid[#Data],$DE1267,71),0)</f>
        <v/>
      </c>
      <c r="BW1267">
        <f>IFERROR(INDEX(PP_Grid[#Data],$DE1267,72),0)</f>
        <v/>
      </c>
      <c r="BX1267">
        <f>IFERROR(INDEX(PP_Grid[#Data],$DE1267,73),0)</f>
        <v/>
      </c>
      <c r="BY1267">
        <f>IFERROR(INDEX(PP_Grid[#Data],$DE1267,74),0)</f>
        <v/>
      </c>
      <c r="BZ1267">
        <f>IFERROR(INDEX(PP_Grid[#Data],$DE1267,75),0)</f>
        <v/>
      </c>
      <c r="CA1267">
        <f>IFERROR(INDEX(PP_Grid[#Data],$DE1267,76),0)</f>
        <v/>
      </c>
      <c r="CB1267">
        <f>IFERROR(INDEX(PP_Grid[#Data],$DE1267,77),0)</f>
        <v/>
      </c>
      <c r="CC1267">
        <f>IFERROR(INDEX(PP_Grid[#Data],$DE1267,78),0)</f>
        <v/>
      </c>
      <c r="CD1267">
        <f>IFERROR(INDEX(PP_Grid[#Data],$DE1267,79),0)</f>
        <v/>
      </c>
      <c r="CE1267">
        <f>IFERROR(INDEX(PP_Grid[#Data],$DE1267,80),0)</f>
        <v/>
      </c>
      <c r="CF1267">
        <f>IFERROR(INDEX(PP_Grid[#Data],$DE1267,81),0)</f>
        <v/>
      </c>
      <c r="CG1267">
        <f>IFERROR(INDEX(PP_Grid[#Data],$DE1267,82),0)</f>
        <v/>
      </c>
      <c r="CH1267">
        <f>IFERROR(INDEX(PP_Grid[#Data],$DE1267,83),0)</f>
        <v/>
      </c>
      <c r="CI1267">
        <f>IFERROR(INDEX(PP_Grid[#Data],$DE1267,84),0)</f>
        <v/>
      </c>
      <c r="CJ1267">
        <f>IFERROR(INDEX(PP_Grid[#Data],$DE1267,85),0)</f>
        <v/>
      </c>
      <c r="CK1267">
        <f>IFERROR(INDEX(PP_Grid[#Data],$DE1267,86),0)</f>
        <v/>
      </c>
      <c r="CL1267">
        <f>IFERROR(INDEX(PP_Grid[#Data],$DE1267,87),0)</f>
        <v/>
      </c>
      <c r="CM1267">
        <f>IFERROR(INDEX(PP_Grid[#Data],$DE1267,88),0)</f>
        <v/>
      </c>
      <c r="CN1267">
        <f>IFERROR(INDEX(PP_Grid[#Data],$DE1267,89),0)</f>
        <v/>
      </c>
      <c r="CO1267">
        <f>IFERROR(INDEX(PP_Grid[#Data],$DE1267,90),0)</f>
        <v/>
      </c>
      <c r="CP1267">
        <f>IFERROR(INDEX(PP_Grid[#Data],$DE1267,91),0)</f>
        <v/>
      </c>
      <c r="CQ1267">
        <f>IFERROR(INDEX(PP_Grid[#Data],$DE1267,92),0)</f>
        <v/>
      </c>
      <c r="CR1267">
        <f>IFERROR(INDEX(PP_Grid[#Data],$DE1267,93),0)</f>
        <v/>
      </c>
      <c r="CS1267">
        <f>IFERROR(INDEX(PP_Grid[#Data],$DE1267,94),0)</f>
        <v/>
      </c>
      <c r="CT1267">
        <f>IFERROR(INDEX(PP_Grid[#Data],$DE1267,95),0)</f>
        <v/>
      </c>
      <c r="CU1267">
        <f>IFERROR(INDEX(PP_Grid[#Data],$DE1267,96),0)</f>
        <v/>
      </c>
      <c r="CV1267">
        <f>IFERROR(INDEX(PP_Grid[#Data],$DE1267,97),0)</f>
        <v/>
      </c>
      <c r="CW1267">
        <f>IFERROR(INDEX(PP_Grid[#Data],$DE1267,98),0)</f>
        <v/>
      </c>
      <c r="CX1267">
        <f>IFERROR(INDEX(PP_Grid[#Data],$DE1267,99),0)</f>
        <v/>
      </c>
      <c r="CY1267">
        <f>IFERROR(INDEX(PP_Grid[#Data],$DE1267,100),0)</f>
        <v/>
      </c>
      <c r="CZ1267">
        <f>IFERROR(INDEX(PP_Grid[#Data],$DE1267,101),0)</f>
        <v/>
      </c>
      <c r="DA1267">
        <f>IFERROR(INDEX(PP_Grid[#Data],$DE1267,102),0)</f>
        <v/>
      </c>
      <c r="DB1267">
        <f>IFERROR(INDEX(PP_Grid[#Data],$DE1267,103),0)</f>
        <v/>
      </c>
      <c r="DC1267">
        <f>IFERROR(INDEX(PP_Grid[#Data],$DE1267,104),0)</f>
        <v/>
      </c>
      <c r="DD1267">
        <f>IFERROR(INDEX(PP_Grid[#Data],$DE1267,105),0)</f>
        <v/>
      </c>
      <c r="DE1267" s="7">
        <f>IFERROR(MATCH($B1267,PP_Grid[Intermediate],0),99999)</f>
        <v/>
      </c>
    </row>
    <row r="1268">
      <c r="B1268" t="inlineStr">
        <is>
          <t>使用量(kg)</t>
        </is>
      </c>
      <c r="C1268">
        <f>SUMIFS(M_BOM[RM_Qty_Per_Batch],M_BOM[Intermediate],$B1267,M_BOM[RM_Code],$A1222)</f>
        <v/>
      </c>
      <c r="D1268">
        <f>IFERROR(INDEX(E1268:DD1268,$F$1),"")</f>
        <v/>
      </c>
      <c r="E1268">
        <f>$C1268*E1267</f>
        <v/>
      </c>
      <c r="F1268">
        <f>$C1268*F1267</f>
        <v/>
      </c>
      <c r="G1268">
        <f>$C1268*G1267</f>
        <v/>
      </c>
      <c r="H1268">
        <f>$C1268*H1267</f>
        <v/>
      </c>
      <c r="I1268">
        <f>$C1268*I1267</f>
        <v/>
      </c>
      <c r="J1268">
        <f>$C1268*J1267</f>
        <v/>
      </c>
      <c r="K1268">
        <f>$C1268*K1267</f>
        <v/>
      </c>
      <c r="L1268">
        <f>$C1268*L1267</f>
        <v/>
      </c>
      <c r="M1268">
        <f>$C1268*M1267</f>
        <v/>
      </c>
      <c r="N1268">
        <f>$C1268*N1267</f>
        <v/>
      </c>
      <c r="O1268">
        <f>$C1268*O1267</f>
        <v/>
      </c>
      <c r="P1268">
        <f>$C1268*P1267</f>
        <v/>
      </c>
      <c r="Q1268">
        <f>$C1268*Q1267</f>
        <v/>
      </c>
      <c r="R1268">
        <f>$C1268*R1267</f>
        <v/>
      </c>
      <c r="S1268">
        <f>$C1268*S1267</f>
        <v/>
      </c>
      <c r="T1268">
        <f>$C1268*T1267</f>
        <v/>
      </c>
      <c r="U1268">
        <f>$C1268*U1267</f>
        <v/>
      </c>
      <c r="V1268">
        <f>$C1268*V1267</f>
        <v/>
      </c>
      <c r="W1268">
        <f>$C1268*W1267</f>
        <v/>
      </c>
      <c r="X1268">
        <f>$C1268*X1267</f>
        <v/>
      </c>
      <c r="Y1268">
        <f>$C1268*Y1267</f>
        <v/>
      </c>
      <c r="Z1268">
        <f>$C1268*Z1267</f>
        <v/>
      </c>
      <c r="AA1268">
        <f>$C1268*AA1267</f>
        <v/>
      </c>
      <c r="AB1268">
        <f>$C1268*AB1267</f>
        <v/>
      </c>
      <c r="AC1268">
        <f>$C1268*AC1267</f>
        <v/>
      </c>
      <c r="AD1268">
        <f>$C1268*AD1267</f>
        <v/>
      </c>
      <c r="AE1268">
        <f>$C1268*AE1267</f>
        <v/>
      </c>
      <c r="AF1268">
        <f>$C1268*AF1267</f>
        <v/>
      </c>
      <c r="AG1268">
        <f>$C1268*AG1267</f>
        <v/>
      </c>
      <c r="AH1268">
        <f>$C1268*AH1267</f>
        <v/>
      </c>
      <c r="AI1268">
        <f>$C1268*AI1267</f>
        <v/>
      </c>
      <c r="AJ1268">
        <f>$C1268*AJ1267</f>
        <v/>
      </c>
      <c r="AK1268">
        <f>$C1268*AK1267</f>
        <v/>
      </c>
      <c r="AL1268">
        <f>$C1268*AL1267</f>
        <v/>
      </c>
      <c r="AM1268">
        <f>$C1268*AM1267</f>
        <v/>
      </c>
      <c r="AN1268">
        <f>$C1268*AN1267</f>
        <v/>
      </c>
      <c r="AO1268">
        <f>$C1268*AO1267</f>
        <v/>
      </c>
      <c r="AP1268">
        <f>$C1268*AP1267</f>
        <v/>
      </c>
      <c r="AQ1268">
        <f>$C1268*AQ1267</f>
        <v/>
      </c>
      <c r="AR1268">
        <f>$C1268*AR1267</f>
        <v/>
      </c>
      <c r="AS1268">
        <f>$C1268*AS1267</f>
        <v/>
      </c>
      <c r="AT1268">
        <f>$C1268*AT1267</f>
        <v/>
      </c>
      <c r="AU1268">
        <f>$C1268*AU1267</f>
        <v/>
      </c>
      <c r="AV1268">
        <f>$C1268*AV1267</f>
        <v/>
      </c>
      <c r="AW1268">
        <f>$C1268*AW1267</f>
        <v/>
      </c>
      <c r="AX1268">
        <f>$C1268*AX1267</f>
        <v/>
      </c>
      <c r="AY1268">
        <f>$C1268*AY1267</f>
        <v/>
      </c>
      <c r="AZ1268">
        <f>$C1268*AZ1267</f>
        <v/>
      </c>
      <c r="BA1268">
        <f>$C1268*BA1267</f>
        <v/>
      </c>
      <c r="BB1268">
        <f>$C1268*BB1267</f>
        <v/>
      </c>
      <c r="BC1268">
        <f>$C1268*BC1267</f>
        <v/>
      </c>
      <c r="BD1268">
        <f>$C1268*BD1267</f>
        <v/>
      </c>
      <c r="BE1268">
        <f>$C1268*BE1267</f>
        <v/>
      </c>
      <c r="BF1268">
        <f>$C1268*BF1267</f>
        <v/>
      </c>
      <c r="BG1268">
        <f>$C1268*BG1267</f>
        <v/>
      </c>
      <c r="BH1268">
        <f>$C1268*BH1267</f>
        <v/>
      </c>
      <c r="BI1268">
        <f>$C1268*BI1267</f>
        <v/>
      </c>
      <c r="BJ1268">
        <f>$C1268*BJ1267</f>
        <v/>
      </c>
      <c r="BK1268">
        <f>$C1268*BK1267</f>
        <v/>
      </c>
      <c r="BL1268">
        <f>$C1268*BL1267</f>
        <v/>
      </c>
      <c r="BM1268">
        <f>$C1268*BM1267</f>
        <v/>
      </c>
      <c r="BN1268">
        <f>$C1268*BN1267</f>
        <v/>
      </c>
      <c r="BO1268">
        <f>$C1268*BO1267</f>
        <v/>
      </c>
      <c r="BP1268">
        <f>$C1268*BP1267</f>
        <v/>
      </c>
      <c r="BQ1268">
        <f>$C1268*BQ1267</f>
        <v/>
      </c>
      <c r="BR1268">
        <f>$C1268*BR1267</f>
        <v/>
      </c>
      <c r="BS1268">
        <f>$C1268*BS1267</f>
        <v/>
      </c>
      <c r="BT1268">
        <f>$C1268*BT1267</f>
        <v/>
      </c>
      <c r="BU1268">
        <f>$C1268*BU1267</f>
        <v/>
      </c>
      <c r="BV1268">
        <f>$C1268*BV1267</f>
        <v/>
      </c>
      <c r="BW1268">
        <f>$C1268*BW1267</f>
        <v/>
      </c>
      <c r="BX1268">
        <f>$C1268*BX1267</f>
        <v/>
      </c>
      <c r="BY1268">
        <f>$C1268*BY1267</f>
        <v/>
      </c>
      <c r="BZ1268">
        <f>$C1268*BZ1267</f>
        <v/>
      </c>
      <c r="CA1268">
        <f>$C1268*CA1267</f>
        <v/>
      </c>
      <c r="CB1268">
        <f>$C1268*CB1267</f>
        <v/>
      </c>
      <c r="CC1268">
        <f>$C1268*CC1267</f>
        <v/>
      </c>
      <c r="CD1268">
        <f>$C1268*CD1267</f>
        <v/>
      </c>
      <c r="CE1268">
        <f>$C1268*CE1267</f>
        <v/>
      </c>
      <c r="CF1268">
        <f>$C1268*CF1267</f>
        <v/>
      </c>
      <c r="CG1268">
        <f>$C1268*CG1267</f>
        <v/>
      </c>
      <c r="CH1268">
        <f>$C1268*CH1267</f>
        <v/>
      </c>
      <c r="CI1268">
        <f>$C1268*CI1267</f>
        <v/>
      </c>
      <c r="CJ1268">
        <f>$C1268*CJ1267</f>
        <v/>
      </c>
      <c r="CK1268">
        <f>$C1268*CK1267</f>
        <v/>
      </c>
      <c r="CL1268">
        <f>$C1268*CL1267</f>
        <v/>
      </c>
      <c r="CM1268">
        <f>$C1268*CM1267</f>
        <v/>
      </c>
      <c r="CN1268">
        <f>$C1268*CN1267</f>
        <v/>
      </c>
      <c r="CO1268">
        <f>$C1268*CO1267</f>
        <v/>
      </c>
      <c r="CP1268">
        <f>$C1268*CP1267</f>
        <v/>
      </c>
      <c r="CQ1268">
        <f>$C1268*CQ1267</f>
        <v/>
      </c>
      <c r="CR1268">
        <f>$C1268*CR1267</f>
        <v/>
      </c>
      <c r="CS1268">
        <f>$C1268*CS1267</f>
        <v/>
      </c>
      <c r="CT1268">
        <f>$C1268*CT1267</f>
        <v/>
      </c>
      <c r="CU1268">
        <f>$C1268*CU1267</f>
        <v/>
      </c>
      <c r="CV1268">
        <f>$C1268*CV1267</f>
        <v/>
      </c>
      <c r="CW1268">
        <f>$C1268*CW1267</f>
        <v/>
      </c>
      <c r="CX1268">
        <f>$C1268*CX1267</f>
        <v/>
      </c>
      <c r="CY1268">
        <f>$C1268*CY1267</f>
        <v/>
      </c>
      <c r="CZ1268">
        <f>$C1268*CZ1267</f>
        <v/>
      </c>
      <c r="DA1268">
        <f>$C1268*DA1267</f>
        <v/>
      </c>
      <c r="DB1268">
        <f>$C1268*DB1267</f>
        <v/>
      </c>
      <c r="DC1268">
        <f>$C1268*DC1267</f>
        <v/>
      </c>
      <c r="DD1268">
        <f>$C1268*DD1267</f>
        <v/>
      </c>
    </row>
    <row r="1269">
      <c r="B1269" t="inlineStr">
        <is>
          <t>VSP-870</t>
        </is>
      </c>
      <c r="C1269" t="inlineStr">
        <is>
          <t>No. of batches</t>
        </is>
      </c>
      <c r="D1269">
        <f>IFERROR(INDEX(E1269:DD1269,$F$1),"")</f>
        <v/>
      </c>
      <c r="E1269">
        <f>IFERROR(INDEX(PP_Grid[#Data],$DE1269,2),0)</f>
        <v/>
      </c>
      <c r="F1269">
        <f>IFERROR(INDEX(PP_Grid[#Data],$DE1269,3),0)</f>
        <v/>
      </c>
      <c r="G1269">
        <f>IFERROR(INDEX(PP_Grid[#Data],$DE1269,4),0)</f>
        <v/>
      </c>
      <c r="H1269">
        <f>IFERROR(INDEX(PP_Grid[#Data],$DE1269,5),0)</f>
        <v/>
      </c>
      <c r="I1269">
        <f>IFERROR(INDEX(PP_Grid[#Data],$DE1269,6),0)</f>
        <v/>
      </c>
      <c r="J1269">
        <f>IFERROR(INDEX(PP_Grid[#Data],$DE1269,7),0)</f>
        <v/>
      </c>
      <c r="K1269">
        <f>IFERROR(INDEX(PP_Grid[#Data],$DE1269,8),0)</f>
        <v/>
      </c>
      <c r="L1269">
        <f>IFERROR(INDEX(PP_Grid[#Data],$DE1269,9),0)</f>
        <v/>
      </c>
      <c r="M1269">
        <f>IFERROR(INDEX(PP_Grid[#Data],$DE1269,10),0)</f>
        <v/>
      </c>
      <c r="N1269">
        <f>IFERROR(INDEX(PP_Grid[#Data],$DE1269,11),0)</f>
        <v/>
      </c>
      <c r="O1269">
        <f>IFERROR(INDEX(PP_Grid[#Data],$DE1269,12),0)</f>
        <v/>
      </c>
      <c r="P1269">
        <f>IFERROR(INDEX(PP_Grid[#Data],$DE1269,13),0)</f>
        <v/>
      </c>
      <c r="Q1269">
        <f>IFERROR(INDEX(PP_Grid[#Data],$DE1269,14),0)</f>
        <v/>
      </c>
      <c r="R1269">
        <f>IFERROR(INDEX(PP_Grid[#Data],$DE1269,15),0)</f>
        <v/>
      </c>
      <c r="S1269">
        <f>IFERROR(INDEX(PP_Grid[#Data],$DE1269,16),0)</f>
        <v/>
      </c>
      <c r="T1269">
        <f>IFERROR(INDEX(PP_Grid[#Data],$DE1269,17),0)</f>
        <v/>
      </c>
      <c r="U1269">
        <f>IFERROR(INDEX(PP_Grid[#Data],$DE1269,18),0)</f>
        <v/>
      </c>
      <c r="V1269">
        <f>IFERROR(INDEX(PP_Grid[#Data],$DE1269,19),0)</f>
        <v/>
      </c>
      <c r="W1269">
        <f>IFERROR(INDEX(PP_Grid[#Data],$DE1269,20),0)</f>
        <v/>
      </c>
      <c r="X1269">
        <f>IFERROR(INDEX(PP_Grid[#Data],$DE1269,21),0)</f>
        <v/>
      </c>
      <c r="Y1269">
        <f>IFERROR(INDEX(PP_Grid[#Data],$DE1269,22),0)</f>
        <v/>
      </c>
      <c r="Z1269">
        <f>IFERROR(INDEX(PP_Grid[#Data],$DE1269,23),0)</f>
        <v/>
      </c>
      <c r="AA1269">
        <f>IFERROR(INDEX(PP_Grid[#Data],$DE1269,24),0)</f>
        <v/>
      </c>
      <c r="AB1269">
        <f>IFERROR(INDEX(PP_Grid[#Data],$DE1269,25),0)</f>
        <v/>
      </c>
      <c r="AC1269">
        <f>IFERROR(INDEX(PP_Grid[#Data],$DE1269,26),0)</f>
        <v/>
      </c>
      <c r="AD1269">
        <f>IFERROR(INDEX(PP_Grid[#Data],$DE1269,27),0)</f>
        <v/>
      </c>
      <c r="AE1269">
        <f>IFERROR(INDEX(PP_Grid[#Data],$DE1269,28),0)</f>
        <v/>
      </c>
      <c r="AF1269">
        <f>IFERROR(INDEX(PP_Grid[#Data],$DE1269,29),0)</f>
        <v/>
      </c>
      <c r="AG1269">
        <f>IFERROR(INDEX(PP_Grid[#Data],$DE1269,30),0)</f>
        <v/>
      </c>
      <c r="AH1269">
        <f>IFERROR(INDEX(PP_Grid[#Data],$DE1269,31),0)</f>
        <v/>
      </c>
      <c r="AI1269">
        <f>IFERROR(INDEX(PP_Grid[#Data],$DE1269,32),0)</f>
        <v/>
      </c>
      <c r="AJ1269">
        <f>IFERROR(INDEX(PP_Grid[#Data],$DE1269,33),0)</f>
        <v/>
      </c>
      <c r="AK1269">
        <f>IFERROR(INDEX(PP_Grid[#Data],$DE1269,34),0)</f>
        <v/>
      </c>
      <c r="AL1269">
        <f>IFERROR(INDEX(PP_Grid[#Data],$DE1269,35),0)</f>
        <v/>
      </c>
      <c r="AM1269">
        <f>IFERROR(INDEX(PP_Grid[#Data],$DE1269,36),0)</f>
        <v/>
      </c>
      <c r="AN1269">
        <f>IFERROR(INDEX(PP_Grid[#Data],$DE1269,37),0)</f>
        <v/>
      </c>
      <c r="AO1269">
        <f>IFERROR(INDEX(PP_Grid[#Data],$DE1269,38),0)</f>
        <v/>
      </c>
      <c r="AP1269">
        <f>IFERROR(INDEX(PP_Grid[#Data],$DE1269,39),0)</f>
        <v/>
      </c>
      <c r="AQ1269">
        <f>IFERROR(INDEX(PP_Grid[#Data],$DE1269,40),0)</f>
        <v/>
      </c>
      <c r="AR1269">
        <f>IFERROR(INDEX(PP_Grid[#Data],$DE1269,41),0)</f>
        <v/>
      </c>
      <c r="AS1269">
        <f>IFERROR(INDEX(PP_Grid[#Data],$DE1269,42),0)</f>
        <v/>
      </c>
      <c r="AT1269">
        <f>IFERROR(INDEX(PP_Grid[#Data],$DE1269,43),0)</f>
        <v/>
      </c>
      <c r="AU1269">
        <f>IFERROR(INDEX(PP_Grid[#Data],$DE1269,44),0)</f>
        <v/>
      </c>
      <c r="AV1269">
        <f>IFERROR(INDEX(PP_Grid[#Data],$DE1269,45),0)</f>
        <v/>
      </c>
      <c r="AW1269">
        <f>IFERROR(INDEX(PP_Grid[#Data],$DE1269,46),0)</f>
        <v/>
      </c>
      <c r="AX1269">
        <f>IFERROR(INDEX(PP_Grid[#Data],$DE1269,47),0)</f>
        <v/>
      </c>
      <c r="AY1269">
        <f>IFERROR(INDEX(PP_Grid[#Data],$DE1269,48),0)</f>
        <v/>
      </c>
      <c r="AZ1269">
        <f>IFERROR(INDEX(PP_Grid[#Data],$DE1269,49),0)</f>
        <v/>
      </c>
      <c r="BA1269">
        <f>IFERROR(INDEX(PP_Grid[#Data],$DE1269,50),0)</f>
        <v/>
      </c>
      <c r="BB1269">
        <f>IFERROR(INDEX(PP_Grid[#Data],$DE1269,51),0)</f>
        <v/>
      </c>
      <c r="BC1269">
        <f>IFERROR(INDEX(PP_Grid[#Data],$DE1269,52),0)</f>
        <v/>
      </c>
      <c r="BD1269">
        <f>IFERROR(INDEX(PP_Grid[#Data],$DE1269,53),0)</f>
        <v/>
      </c>
      <c r="BE1269">
        <f>IFERROR(INDEX(PP_Grid[#Data],$DE1269,54),0)</f>
        <v/>
      </c>
      <c r="BF1269">
        <f>IFERROR(INDEX(PP_Grid[#Data],$DE1269,55),0)</f>
        <v/>
      </c>
      <c r="BG1269">
        <f>IFERROR(INDEX(PP_Grid[#Data],$DE1269,56),0)</f>
        <v/>
      </c>
      <c r="BH1269">
        <f>IFERROR(INDEX(PP_Grid[#Data],$DE1269,57),0)</f>
        <v/>
      </c>
      <c r="BI1269">
        <f>IFERROR(INDEX(PP_Grid[#Data],$DE1269,58),0)</f>
        <v/>
      </c>
      <c r="BJ1269">
        <f>IFERROR(INDEX(PP_Grid[#Data],$DE1269,59),0)</f>
        <v/>
      </c>
      <c r="BK1269">
        <f>IFERROR(INDEX(PP_Grid[#Data],$DE1269,60),0)</f>
        <v/>
      </c>
      <c r="BL1269">
        <f>IFERROR(INDEX(PP_Grid[#Data],$DE1269,61),0)</f>
        <v/>
      </c>
      <c r="BM1269">
        <f>IFERROR(INDEX(PP_Grid[#Data],$DE1269,62),0)</f>
        <v/>
      </c>
      <c r="BN1269">
        <f>IFERROR(INDEX(PP_Grid[#Data],$DE1269,63),0)</f>
        <v/>
      </c>
      <c r="BO1269">
        <f>IFERROR(INDEX(PP_Grid[#Data],$DE1269,64),0)</f>
        <v/>
      </c>
      <c r="BP1269">
        <f>IFERROR(INDEX(PP_Grid[#Data],$DE1269,65),0)</f>
        <v/>
      </c>
      <c r="BQ1269">
        <f>IFERROR(INDEX(PP_Grid[#Data],$DE1269,66),0)</f>
        <v/>
      </c>
      <c r="BR1269">
        <f>IFERROR(INDEX(PP_Grid[#Data],$DE1269,67),0)</f>
        <v/>
      </c>
      <c r="BS1269">
        <f>IFERROR(INDEX(PP_Grid[#Data],$DE1269,68),0)</f>
        <v/>
      </c>
      <c r="BT1269">
        <f>IFERROR(INDEX(PP_Grid[#Data],$DE1269,69),0)</f>
        <v/>
      </c>
      <c r="BU1269">
        <f>IFERROR(INDEX(PP_Grid[#Data],$DE1269,70),0)</f>
        <v/>
      </c>
      <c r="BV1269">
        <f>IFERROR(INDEX(PP_Grid[#Data],$DE1269,71),0)</f>
        <v/>
      </c>
      <c r="BW1269">
        <f>IFERROR(INDEX(PP_Grid[#Data],$DE1269,72),0)</f>
        <v/>
      </c>
      <c r="BX1269">
        <f>IFERROR(INDEX(PP_Grid[#Data],$DE1269,73),0)</f>
        <v/>
      </c>
      <c r="BY1269">
        <f>IFERROR(INDEX(PP_Grid[#Data],$DE1269,74),0)</f>
        <v/>
      </c>
      <c r="BZ1269">
        <f>IFERROR(INDEX(PP_Grid[#Data],$DE1269,75),0)</f>
        <v/>
      </c>
      <c r="CA1269">
        <f>IFERROR(INDEX(PP_Grid[#Data],$DE1269,76),0)</f>
        <v/>
      </c>
      <c r="CB1269">
        <f>IFERROR(INDEX(PP_Grid[#Data],$DE1269,77),0)</f>
        <v/>
      </c>
      <c r="CC1269">
        <f>IFERROR(INDEX(PP_Grid[#Data],$DE1269,78),0)</f>
        <v/>
      </c>
      <c r="CD1269">
        <f>IFERROR(INDEX(PP_Grid[#Data],$DE1269,79),0)</f>
        <v/>
      </c>
      <c r="CE1269">
        <f>IFERROR(INDEX(PP_Grid[#Data],$DE1269,80),0)</f>
        <v/>
      </c>
      <c r="CF1269">
        <f>IFERROR(INDEX(PP_Grid[#Data],$DE1269,81),0)</f>
        <v/>
      </c>
      <c r="CG1269">
        <f>IFERROR(INDEX(PP_Grid[#Data],$DE1269,82),0)</f>
        <v/>
      </c>
      <c r="CH1269">
        <f>IFERROR(INDEX(PP_Grid[#Data],$DE1269,83),0)</f>
        <v/>
      </c>
      <c r="CI1269">
        <f>IFERROR(INDEX(PP_Grid[#Data],$DE1269,84),0)</f>
        <v/>
      </c>
      <c r="CJ1269">
        <f>IFERROR(INDEX(PP_Grid[#Data],$DE1269,85),0)</f>
        <v/>
      </c>
      <c r="CK1269">
        <f>IFERROR(INDEX(PP_Grid[#Data],$DE1269,86),0)</f>
        <v/>
      </c>
      <c r="CL1269">
        <f>IFERROR(INDEX(PP_Grid[#Data],$DE1269,87),0)</f>
        <v/>
      </c>
      <c r="CM1269">
        <f>IFERROR(INDEX(PP_Grid[#Data],$DE1269,88),0)</f>
        <v/>
      </c>
      <c r="CN1269">
        <f>IFERROR(INDEX(PP_Grid[#Data],$DE1269,89),0)</f>
        <v/>
      </c>
      <c r="CO1269">
        <f>IFERROR(INDEX(PP_Grid[#Data],$DE1269,90),0)</f>
        <v/>
      </c>
      <c r="CP1269">
        <f>IFERROR(INDEX(PP_Grid[#Data],$DE1269,91),0)</f>
        <v/>
      </c>
      <c r="CQ1269">
        <f>IFERROR(INDEX(PP_Grid[#Data],$DE1269,92),0)</f>
        <v/>
      </c>
      <c r="CR1269">
        <f>IFERROR(INDEX(PP_Grid[#Data],$DE1269,93),0)</f>
        <v/>
      </c>
      <c r="CS1269">
        <f>IFERROR(INDEX(PP_Grid[#Data],$DE1269,94),0)</f>
        <v/>
      </c>
      <c r="CT1269">
        <f>IFERROR(INDEX(PP_Grid[#Data],$DE1269,95),0)</f>
        <v/>
      </c>
      <c r="CU1269">
        <f>IFERROR(INDEX(PP_Grid[#Data],$DE1269,96),0)</f>
        <v/>
      </c>
      <c r="CV1269">
        <f>IFERROR(INDEX(PP_Grid[#Data],$DE1269,97),0)</f>
        <v/>
      </c>
      <c r="CW1269">
        <f>IFERROR(INDEX(PP_Grid[#Data],$DE1269,98),0)</f>
        <v/>
      </c>
      <c r="CX1269">
        <f>IFERROR(INDEX(PP_Grid[#Data],$DE1269,99),0)</f>
        <v/>
      </c>
      <c r="CY1269">
        <f>IFERROR(INDEX(PP_Grid[#Data],$DE1269,100),0)</f>
        <v/>
      </c>
      <c r="CZ1269">
        <f>IFERROR(INDEX(PP_Grid[#Data],$DE1269,101),0)</f>
        <v/>
      </c>
      <c r="DA1269">
        <f>IFERROR(INDEX(PP_Grid[#Data],$DE1269,102),0)</f>
        <v/>
      </c>
      <c r="DB1269">
        <f>IFERROR(INDEX(PP_Grid[#Data],$DE1269,103),0)</f>
        <v/>
      </c>
      <c r="DC1269">
        <f>IFERROR(INDEX(PP_Grid[#Data],$DE1269,104),0)</f>
        <v/>
      </c>
      <c r="DD1269">
        <f>IFERROR(INDEX(PP_Grid[#Data],$DE1269,105),0)</f>
        <v/>
      </c>
      <c r="DE1269" s="7">
        <f>IFERROR(MATCH($B1269,PP_Grid[Intermediate],0),99999)</f>
        <v/>
      </c>
    </row>
    <row r="1270">
      <c r="B1270" t="inlineStr">
        <is>
          <t>使用量(kg)</t>
        </is>
      </c>
      <c r="C1270">
        <f>SUMIFS(M_BOM[RM_Qty_Per_Batch],M_BOM[Intermediate],$B1269,M_BOM[RM_Code],$A1222)</f>
        <v/>
      </c>
      <c r="D1270">
        <f>IFERROR(INDEX(E1270:DD1270,$F$1),"")</f>
        <v/>
      </c>
      <c r="E1270">
        <f>$C1270*E1269</f>
        <v/>
      </c>
      <c r="F1270">
        <f>$C1270*F1269</f>
        <v/>
      </c>
      <c r="G1270">
        <f>$C1270*G1269</f>
        <v/>
      </c>
      <c r="H1270">
        <f>$C1270*H1269</f>
        <v/>
      </c>
      <c r="I1270">
        <f>$C1270*I1269</f>
        <v/>
      </c>
      <c r="J1270">
        <f>$C1270*J1269</f>
        <v/>
      </c>
      <c r="K1270">
        <f>$C1270*K1269</f>
        <v/>
      </c>
      <c r="L1270">
        <f>$C1270*L1269</f>
        <v/>
      </c>
      <c r="M1270">
        <f>$C1270*M1269</f>
        <v/>
      </c>
      <c r="N1270">
        <f>$C1270*N1269</f>
        <v/>
      </c>
      <c r="O1270">
        <f>$C1270*O1269</f>
        <v/>
      </c>
      <c r="P1270">
        <f>$C1270*P1269</f>
        <v/>
      </c>
      <c r="Q1270">
        <f>$C1270*Q1269</f>
        <v/>
      </c>
      <c r="R1270">
        <f>$C1270*R1269</f>
        <v/>
      </c>
      <c r="S1270">
        <f>$C1270*S1269</f>
        <v/>
      </c>
      <c r="T1270">
        <f>$C1270*T1269</f>
        <v/>
      </c>
      <c r="U1270">
        <f>$C1270*U1269</f>
        <v/>
      </c>
      <c r="V1270">
        <f>$C1270*V1269</f>
        <v/>
      </c>
      <c r="W1270">
        <f>$C1270*W1269</f>
        <v/>
      </c>
      <c r="X1270">
        <f>$C1270*X1269</f>
        <v/>
      </c>
      <c r="Y1270">
        <f>$C1270*Y1269</f>
        <v/>
      </c>
      <c r="Z1270">
        <f>$C1270*Z1269</f>
        <v/>
      </c>
      <c r="AA1270">
        <f>$C1270*AA1269</f>
        <v/>
      </c>
      <c r="AB1270">
        <f>$C1270*AB1269</f>
        <v/>
      </c>
      <c r="AC1270">
        <f>$C1270*AC1269</f>
        <v/>
      </c>
      <c r="AD1270">
        <f>$C1270*AD1269</f>
        <v/>
      </c>
      <c r="AE1270">
        <f>$C1270*AE1269</f>
        <v/>
      </c>
      <c r="AF1270">
        <f>$C1270*AF1269</f>
        <v/>
      </c>
      <c r="AG1270">
        <f>$C1270*AG1269</f>
        <v/>
      </c>
      <c r="AH1270">
        <f>$C1270*AH1269</f>
        <v/>
      </c>
      <c r="AI1270">
        <f>$C1270*AI1269</f>
        <v/>
      </c>
      <c r="AJ1270">
        <f>$C1270*AJ1269</f>
        <v/>
      </c>
      <c r="AK1270">
        <f>$C1270*AK1269</f>
        <v/>
      </c>
      <c r="AL1270">
        <f>$C1270*AL1269</f>
        <v/>
      </c>
      <c r="AM1270">
        <f>$C1270*AM1269</f>
        <v/>
      </c>
      <c r="AN1270">
        <f>$C1270*AN1269</f>
        <v/>
      </c>
      <c r="AO1270">
        <f>$C1270*AO1269</f>
        <v/>
      </c>
      <c r="AP1270">
        <f>$C1270*AP1269</f>
        <v/>
      </c>
      <c r="AQ1270">
        <f>$C1270*AQ1269</f>
        <v/>
      </c>
      <c r="AR1270">
        <f>$C1270*AR1269</f>
        <v/>
      </c>
      <c r="AS1270">
        <f>$C1270*AS1269</f>
        <v/>
      </c>
      <c r="AT1270">
        <f>$C1270*AT1269</f>
        <v/>
      </c>
      <c r="AU1270">
        <f>$C1270*AU1269</f>
        <v/>
      </c>
      <c r="AV1270">
        <f>$C1270*AV1269</f>
        <v/>
      </c>
      <c r="AW1270">
        <f>$C1270*AW1269</f>
        <v/>
      </c>
      <c r="AX1270">
        <f>$C1270*AX1269</f>
        <v/>
      </c>
      <c r="AY1270">
        <f>$C1270*AY1269</f>
        <v/>
      </c>
      <c r="AZ1270">
        <f>$C1270*AZ1269</f>
        <v/>
      </c>
      <c r="BA1270">
        <f>$C1270*BA1269</f>
        <v/>
      </c>
      <c r="BB1270">
        <f>$C1270*BB1269</f>
        <v/>
      </c>
      <c r="BC1270">
        <f>$C1270*BC1269</f>
        <v/>
      </c>
      <c r="BD1270">
        <f>$C1270*BD1269</f>
        <v/>
      </c>
      <c r="BE1270">
        <f>$C1270*BE1269</f>
        <v/>
      </c>
      <c r="BF1270">
        <f>$C1270*BF1269</f>
        <v/>
      </c>
      <c r="BG1270">
        <f>$C1270*BG1269</f>
        <v/>
      </c>
      <c r="BH1270">
        <f>$C1270*BH1269</f>
        <v/>
      </c>
      <c r="BI1270">
        <f>$C1270*BI1269</f>
        <v/>
      </c>
      <c r="BJ1270">
        <f>$C1270*BJ1269</f>
        <v/>
      </c>
      <c r="BK1270">
        <f>$C1270*BK1269</f>
        <v/>
      </c>
      <c r="BL1270">
        <f>$C1270*BL1269</f>
        <v/>
      </c>
      <c r="BM1270">
        <f>$C1270*BM1269</f>
        <v/>
      </c>
      <c r="BN1270">
        <f>$C1270*BN1269</f>
        <v/>
      </c>
      <c r="BO1270">
        <f>$C1270*BO1269</f>
        <v/>
      </c>
      <c r="BP1270">
        <f>$C1270*BP1269</f>
        <v/>
      </c>
      <c r="BQ1270">
        <f>$C1270*BQ1269</f>
        <v/>
      </c>
      <c r="BR1270">
        <f>$C1270*BR1269</f>
        <v/>
      </c>
      <c r="BS1270">
        <f>$C1270*BS1269</f>
        <v/>
      </c>
      <c r="BT1270">
        <f>$C1270*BT1269</f>
        <v/>
      </c>
      <c r="BU1270">
        <f>$C1270*BU1269</f>
        <v/>
      </c>
      <c r="BV1270">
        <f>$C1270*BV1269</f>
        <v/>
      </c>
      <c r="BW1270">
        <f>$C1270*BW1269</f>
        <v/>
      </c>
      <c r="BX1270">
        <f>$C1270*BX1269</f>
        <v/>
      </c>
      <c r="BY1270">
        <f>$C1270*BY1269</f>
        <v/>
      </c>
      <c r="BZ1270">
        <f>$C1270*BZ1269</f>
        <v/>
      </c>
      <c r="CA1270">
        <f>$C1270*CA1269</f>
        <v/>
      </c>
      <c r="CB1270">
        <f>$C1270*CB1269</f>
        <v/>
      </c>
      <c r="CC1270">
        <f>$C1270*CC1269</f>
        <v/>
      </c>
      <c r="CD1270">
        <f>$C1270*CD1269</f>
        <v/>
      </c>
      <c r="CE1270">
        <f>$C1270*CE1269</f>
        <v/>
      </c>
      <c r="CF1270">
        <f>$C1270*CF1269</f>
        <v/>
      </c>
      <c r="CG1270">
        <f>$C1270*CG1269</f>
        <v/>
      </c>
      <c r="CH1270">
        <f>$C1270*CH1269</f>
        <v/>
      </c>
      <c r="CI1270">
        <f>$C1270*CI1269</f>
        <v/>
      </c>
      <c r="CJ1270">
        <f>$C1270*CJ1269</f>
        <v/>
      </c>
      <c r="CK1270">
        <f>$C1270*CK1269</f>
        <v/>
      </c>
      <c r="CL1270">
        <f>$C1270*CL1269</f>
        <v/>
      </c>
      <c r="CM1270">
        <f>$C1270*CM1269</f>
        <v/>
      </c>
      <c r="CN1270">
        <f>$C1270*CN1269</f>
        <v/>
      </c>
      <c r="CO1270">
        <f>$C1270*CO1269</f>
        <v/>
      </c>
      <c r="CP1270">
        <f>$C1270*CP1269</f>
        <v/>
      </c>
      <c r="CQ1270">
        <f>$C1270*CQ1269</f>
        <v/>
      </c>
      <c r="CR1270">
        <f>$C1270*CR1269</f>
        <v/>
      </c>
      <c r="CS1270">
        <f>$C1270*CS1269</f>
        <v/>
      </c>
      <c r="CT1270">
        <f>$C1270*CT1269</f>
        <v/>
      </c>
      <c r="CU1270">
        <f>$C1270*CU1269</f>
        <v/>
      </c>
      <c r="CV1270">
        <f>$C1270*CV1269</f>
        <v/>
      </c>
      <c r="CW1270">
        <f>$C1270*CW1269</f>
        <v/>
      </c>
      <c r="CX1270">
        <f>$C1270*CX1269</f>
        <v/>
      </c>
      <c r="CY1270">
        <f>$C1270*CY1269</f>
        <v/>
      </c>
      <c r="CZ1270">
        <f>$C1270*CZ1269</f>
        <v/>
      </c>
      <c r="DA1270">
        <f>$C1270*DA1269</f>
        <v/>
      </c>
      <c r="DB1270">
        <f>$C1270*DB1269</f>
        <v/>
      </c>
      <c r="DC1270">
        <f>$C1270*DC1269</f>
        <v/>
      </c>
      <c r="DD1270">
        <f>$C1270*DD1269</f>
        <v/>
      </c>
    </row>
    <row r="1271">
      <c r="B1271" t="inlineStr">
        <is>
          <t>VSP-990</t>
        </is>
      </c>
      <c r="C1271" t="inlineStr">
        <is>
          <t>No. of batches</t>
        </is>
      </c>
      <c r="D1271">
        <f>IFERROR(INDEX(E1271:DD1271,$F$1),"")</f>
        <v/>
      </c>
      <c r="E1271">
        <f>IFERROR(INDEX(PP_Grid[#Data],$DE1271,2),0)</f>
        <v/>
      </c>
      <c r="F1271">
        <f>IFERROR(INDEX(PP_Grid[#Data],$DE1271,3),0)</f>
        <v/>
      </c>
      <c r="G1271">
        <f>IFERROR(INDEX(PP_Grid[#Data],$DE1271,4),0)</f>
        <v/>
      </c>
      <c r="H1271">
        <f>IFERROR(INDEX(PP_Grid[#Data],$DE1271,5),0)</f>
        <v/>
      </c>
      <c r="I1271">
        <f>IFERROR(INDEX(PP_Grid[#Data],$DE1271,6),0)</f>
        <v/>
      </c>
      <c r="J1271">
        <f>IFERROR(INDEX(PP_Grid[#Data],$DE1271,7),0)</f>
        <v/>
      </c>
      <c r="K1271">
        <f>IFERROR(INDEX(PP_Grid[#Data],$DE1271,8),0)</f>
        <v/>
      </c>
      <c r="L1271">
        <f>IFERROR(INDEX(PP_Grid[#Data],$DE1271,9),0)</f>
        <v/>
      </c>
      <c r="M1271">
        <f>IFERROR(INDEX(PP_Grid[#Data],$DE1271,10),0)</f>
        <v/>
      </c>
      <c r="N1271">
        <f>IFERROR(INDEX(PP_Grid[#Data],$DE1271,11),0)</f>
        <v/>
      </c>
      <c r="O1271">
        <f>IFERROR(INDEX(PP_Grid[#Data],$DE1271,12),0)</f>
        <v/>
      </c>
      <c r="P1271">
        <f>IFERROR(INDEX(PP_Grid[#Data],$DE1271,13),0)</f>
        <v/>
      </c>
      <c r="Q1271">
        <f>IFERROR(INDEX(PP_Grid[#Data],$DE1271,14),0)</f>
        <v/>
      </c>
      <c r="R1271">
        <f>IFERROR(INDEX(PP_Grid[#Data],$DE1271,15),0)</f>
        <v/>
      </c>
      <c r="S1271">
        <f>IFERROR(INDEX(PP_Grid[#Data],$DE1271,16),0)</f>
        <v/>
      </c>
      <c r="T1271">
        <f>IFERROR(INDEX(PP_Grid[#Data],$DE1271,17),0)</f>
        <v/>
      </c>
      <c r="U1271">
        <f>IFERROR(INDEX(PP_Grid[#Data],$DE1271,18),0)</f>
        <v/>
      </c>
      <c r="V1271">
        <f>IFERROR(INDEX(PP_Grid[#Data],$DE1271,19),0)</f>
        <v/>
      </c>
      <c r="W1271">
        <f>IFERROR(INDEX(PP_Grid[#Data],$DE1271,20),0)</f>
        <v/>
      </c>
      <c r="X1271">
        <f>IFERROR(INDEX(PP_Grid[#Data],$DE1271,21),0)</f>
        <v/>
      </c>
      <c r="Y1271">
        <f>IFERROR(INDEX(PP_Grid[#Data],$DE1271,22),0)</f>
        <v/>
      </c>
      <c r="Z1271">
        <f>IFERROR(INDEX(PP_Grid[#Data],$DE1271,23),0)</f>
        <v/>
      </c>
      <c r="AA1271">
        <f>IFERROR(INDEX(PP_Grid[#Data],$DE1271,24),0)</f>
        <v/>
      </c>
      <c r="AB1271">
        <f>IFERROR(INDEX(PP_Grid[#Data],$DE1271,25),0)</f>
        <v/>
      </c>
      <c r="AC1271">
        <f>IFERROR(INDEX(PP_Grid[#Data],$DE1271,26),0)</f>
        <v/>
      </c>
      <c r="AD1271">
        <f>IFERROR(INDEX(PP_Grid[#Data],$DE1271,27),0)</f>
        <v/>
      </c>
      <c r="AE1271">
        <f>IFERROR(INDEX(PP_Grid[#Data],$DE1271,28),0)</f>
        <v/>
      </c>
      <c r="AF1271">
        <f>IFERROR(INDEX(PP_Grid[#Data],$DE1271,29),0)</f>
        <v/>
      </c>
      <c r="AG1271">
        <f>IFERROR(INDEX(PP_Grid[#Data],$DE1271,30),0)</f>
        <v/>
      </c>
      <c r="AH1271">
        <f>IFERROR(INDEX(PP_Grid[#Data],$DE1271,31),0)</f>
        <v/>
      </c>
      <c r="AI1271">
        <f>IFERROR(INDEX(PP_Grid[#Data],$DE1271,32),0)</f>
        <v/>
      </c>
      <c r="AJ1271">
        <f>IFERROR(INDEX(PP_Grid[#Data],$DE1271,33),0)</f>
        <v/>
      </c>
      <c r="AK1271">
        <f>IFERROR(INDEX(PP_Grid[#Data],$DE1271,34),0)</f>
        <v/>
      </c>
      <c r="AL1271">
        <f>IFERROR(INDEX(PP_Grid[#Data],$DE1271,35),0)</f>
        <v/>
      </c>
      <c r="AM1271">
        <f>IFERROR(INDEX(PP_Grid[#Data],$DE1271,36),0)</f>
        <v/>
      </c>
      <c r="AN1271">
        <f>IFERROR(INDEX(PP_Grid[#Data],$DE1271,37),0)</f>
        <v/>
      </c>
      <c r="AO1271">
        <f>IFERROR(INDEX(PP_Grid[#Data],$DE1271,38),0)</f>
        <v/>
      </c>
      <c r="AP1271">
        <f>IFERROR(INDEX(PP_Grid[#Data],$DE1271,39),0)</f>
        <v/>
      </c>
      <c r="AQ1271">
        <f>IFERROR(INDEX(PP_Grid[#Data],$DE1271,40),0)</f>
        <v/>
      </c>
      <c r="AR1271">
        <f>IFERROR(INDEX(PP_Grid[#Data],$DE1271,41),0)</f>
        <v/>
      </c>
      <c r="AS1271">
        <f>IFERROR(INDEX(PP_Grid[#Data],$DE1271,42),0)</f>
        <v/>
      </c>
      <c r="AT1271">
        <f>IFERROR(INDEX(PP_Grid[#Data],$DE1271,43),0)</f>
        <v/>
      </c>
      <c r="AU1271">
        <f>IFERROR(INDEX(PP_Grid[#Data],$DE1271,44),0)</f>
        <v/>
      </c>
      <c r="AV1271">
        <f>IFERROR(INDEX(PP_Grid[#Data],$DE1271,45),0)</f>
        <v/>
      </c>
      <c r="AW1271">
        <f>IFERROR(INDEX(PP_Grid[#Data],$DE1271,46),0)</f>
        <v/>
      </c>
      <c r="AX1271">
        <f>IFERROR(INDEX(PP_Grid[#Data],$DE1271,47),0)</f>
        <v/>
      </c>
      <c r="AY1271">
        <f>IFERROR(INDEX(PP_Grid[#Data],$DE1271,48),0)</f>
        <v/>
      </c>
      <c r="AZ1271">
        <f>IFERROR(INDEX(PP_Grid[#Data],$DE1271,49),0)</f>
        <v/>
      </c>
      <c r="BA1271">
        <f>IFERROR(INDEX(PP_Grid[#Data],$DE1271,50),0)</f>
        <v/>
      </c>
      <c r="BB1271">
        <f>IFERROR(INDEX(PP_Grid[#Data],$DE1271,51),0)</f>
        <v/>
      </c>
      <c r="BC1271">
        <f>IFERROR(INDEX(PP_Grid[#Data],$DE1271,52),0)</f>
        <v/>
      </c>
      <c r="BD1271">
        <f>IFERROR(INDEX(PP_Grid[#Data],$DE1271,53),0)</f>
        <v/>
      </c>
      <c r="BE1271">
        <f>IFERROR(INDEX(PP_Grid[#Data],$DE1271,54),0)</f>
        <v/>
      </c>
      <c r="BF1271">
        <f>IFERROR(INDEX(PP_Grid[#Data],$DE1271,55),0)</f>
        <v/>
      </c>
      <c r="BG1271">
        <f>IFERROR(INDEX(PP_Grid[#Data],$DE1271,56),0)</f>
        <v/>
      </c>
      <c r="BH1271">
        <f>IFERROR(INDEX(PP_Grid[#Data],$DE1271,57),0)</f>
        <v/>
      </c>
      <c r="BI1271">
        <f>IFERROR(INDEX(PP_Grid[#Data],$DE1271,58),0)</f>
        <v/>
      </c>
      <c r="BJ1271">
        <f>IFERROR(INDEX(PP_Grid[#Data],$DE1271,59),0)</f>
        <v/>
      </c>
      <c r="BK1271">
        <f>IFERROR(INDEX(PP_Grid[#Data],$DE1271,60),0)</f>
        <v/>
      </c>
      <c r="BL1271">
        <f>IFERROR(INDEX(PP_Grid[#Data],$DE1271,61),0)</f>
        <v/>
      </c>
      <c r="BM1271">
        <f>IFERROR(INDEX(PP_Grid[#Data],$DE1271,62),0)</f>
        <v/>
      </c>
      <c r="BN1271">
        <f>IFERROR(INDEX(PP_Grid[#Data],$DE1271,63),0)</f>
        <v/>
      </c>
      <c r="BO1271">
        <f>IFERROR(INDEX(PP_Grid[#Data],$DE1271,64),0)</f>
        <v/>
      </c>
      <c r="BP1271">
        <f>IFERROR(INDEX(PP_Grid[#Data],$DE1271,65),0)</f>
        <v/>
      </c>
      <c r="BQ1271">
        <f>IFERROR(INDEX(PP_Grid[#Data],$DE1271,66),0)</f>
        <v/>
      </c>
      <c r="BR1271">
        <f>IFERROR(INDEX(PP_Grid[#Data],$DE1271,67),0)</f>
        <v/>
      </c>
      <c r="BS1271">
        <f>IFERROR(INDEX(PP_Grid[#Data],$DE1271,68),0)</f>
        <v/>
      </c>
      <c r="BT1271">
        <f>IFERROR(INDEX(PP_Grid[#Data],$DE1271,69),0)</f>
        <v/>
      </c>
      <c r="BU1271">
        <f>IFERROR(INDEX(PP_Grid[#Data],$DE1271,70),0)</f>
        <v/>
      </c>
      <c r="BV1271">
        <f>IFERROR(INDEX(PP_Grid[#Data],$DE1271,71),0)</f>
        <v/>
      </c>
      <c r="BW1271">
        <f>IFERROR(INDEX(PP_Grid[#Data],$DE1271,72),0)</f>
        <v/>
      </c>
      <c r="BX1271">
        <f>IFERROR(INDEX(PP_Grid[#Data],$DE1271,73),0)</f>
        <v/>
      </c>
      <c r="BY1271">
        <f>IFERROR(INDEX(PP_Grid[#Data],$DE1271,74),0)</f>
        <v/>
      </c>
      <c r="BZ1271">
        <f>IFERROR(INDEX(PP_Grid[#Data],$DE1271,75),0)</f>
        <v/>
      </c>
      <c r="CA1271">
        <f>IFERROR(INDEX(PP_Grid[#Data],$DE1271,76),0)</f>
        <v/>
      </c>
      <c r="CB1271">
        <f>IFERROR(INDEX(PP_Grid[#Data],$DE1271,77),0)</f>
        <v/>
      </c>
      <c r="CC1271">
        <f>IFERROR(INDEX(PP_Grid[#Data],$DE1271,78),0)</f>
        <v/>
      </c>
      <c r="CD1271">
        <f>IFERROR(INDEX(PP_Grid[#Data],$DE1271,79),0)</f>
        <v/>
      </c>
      <c r="CE1271">
        <f>IFERROR(INDEX(PP_Grid[#Data],$DE1271,80),0)</f>
        <v/>
      </c>
      <c r="CF1271">
        <f>IFERROR(INDEX(PP_Grid[#Data],$DE1271,81),0)</f>
        <v/>
      </c>
      <c r="CG1271">
        <f>IFERROR(INDEX(PP_Grid[#Data],$DE1271,82),0)</f>
        <v/>
      </c>
      <c r="CH1271">
        <f>IFERROR(INDEX(PP_Grid[#Data],$DE1271,83),0)</f>
        <v/>
      </c>
      <c r="CI1271">
        <f>IFERROR(INDEX(PP_Grid[#Data],$DE1271,84),0)</f>
        <v/>
      </c>
      <c r="CJ1271">
        <f>IFERROR(INDEX(PP_Grid[#Data],$DE1271,85),0)</f>
        <v/>
      </c>
      <c r="CK1271">
        <f>IFERROR(INDEX(PP_Grid[#Data],$DE1271,86),0)</f>
        <v/>
      </c>
      <c r="CL1271">
        <f>IFERROR(INDEX(PP_Grid[#Data],$DE1271,87),0)</f>
        <v/>
      </c>
      <c r="CM1271">
        <f>IFERROR(INDEX(PP_Grid[#Data],$DE1271,88),0)</f>
        <v/>
      </c>
      <c r="CN1271">
        <f>IFERROR(INDEX(PP_Grid[#Data],$DE1271,89),0)</f>
        <v/>
      </c>
      <c r="CO1271">
        <f>IFERROR(INDEX(PP_Grid[#Data],$DE1271,90),0)</f>
        <v/>
      </c>
      <c r="CP1271">
        <f>IFERROR(INDEX(PP_Grid[#Data],$DE1271,91),0)</f>
        <v/>
      </c>
      <c r="CQ1271">
        <f>IFERROR(INDEX(PP_Grid[#Data],$DE1271,92),0)</f>
        <v/>
      </c>
      <c r="CR1271">
        <f>IFERROR(INDEX(PP_Grid[#Data],$DE1271,93),0)</f>
        <v/>
      </c>
      <c r="CS1271">
        <f>IFERROR(INDEX(PP_Grid[#Data],$DE1271,94),0)</f>
        <v/>
      </c>
      <c r="CT1271">
        <f>IFERROR(INDEX(PP_Grid[#Data],$DE1271,95),0)</f>
        <v/>
      </c>
      <c r="CU1271">
        <f>IFERROR(INDEX(PP_Grid[#Data],$DE1271,96),0)</f>
        <v/>
      </c>
      <c r="CV1271">
        <f>IFERROR(INDEX(PP_Grid[#Data],$DE1271,97),0)</f>
        <v/>
      </c>
      <c r="CW1271">
        <f>IFERROR(INDEX(PP_Grid[#Data],$DE1271,98),0)</f>
        <v/>
      </c>
      <c r="CX1271">
        <f>IFERROR(INDEX(PP_Grid[#Data],$DE1271,99),0)</f>
        <v/>
      </c>
      <c r="CY1271">
        <f>IFERROR(INDEX(PP_Grid[#Data],$DE1271,100),0)</f>
        <v/>
      </c>
      <c r="CZ1271">
        <f>IFERROR(INDEX(PP_Grid[#Data],$DE1271,101),0)</f>
        <v/>
      </c>
      <c r="DA1271">
        <f>IFERROR(INDEX(PP_Grid[#Data],$DE1271,102),0)</f>
        <v/>
      </c>
      <c r="DB1271">
        <f>IFERROR(INDEX(PP_Grid[#Data],$DE1271,103),0)</f>
        <v/>
      </c>
      <c r="DC1271">
        <f>IFERROR(INDEX(PP_Grid[#Data],$DE1271,104),0)</f>
        <v/>
      </c>
      <c r="DD1271">
        <f>IFERROR(INDEX(PP_Grid[#Data],$DE1271,105),0)</f>
        <v/>
      </c>
      <c r="DE1271" s="7">
        <f>IFERROR(MATCH($B1271,PP_Grid[Intermediate],0),99999)</f>
        <v/>
      </c>
    </row>
    <row r="1272">
      <c r="B1272" t="inlineStr">
        <is>
          <t>使用量(kg)</t>
        </is>
      </c>
      <c r="C1272">
        <f>SUMIFS(M_BOM[RM_Qty_Per_Batch],M_BOM[Intermediate],$B1271,M_BOM[RM_Code],$A1222)</f>
        <v/>
      </c>
      <c r="D1272">
        <f>IFERROR(INDEX(E1272:DD1272,$F$1),"")</f>
        <v/>
      </c>
      <c r="E1272">
        <f>$C1272*E1271</f>
        <v/>
      </c>
      <c r="F1272">
        <f>$C1272*F1271</f>
        <v/>
      </c>
      <c r="G1272">
        <f>$C1272*G1271</f>
        <v/>
      </c>
      <c r="H1272">
        <f>$C1272*H1271</f>
        <v/>
      </c>
      <c r="I1272">
        <f>$C1272*I1271</f>
        <v/>
      </c>
      <c r="J1272">
        <f>$C1272*J1271</f>
        <v/>
      </c>
      <c r="K1272">
        <f>$C1272*K1271</f>
        <v/>
      </c>
      <c r="L1272">
        <f>$C1272*L1271</f>
        <v/>
      </c>
      <c r="M1272">
        <f>$C1272*M1271</f>
        <v/>
      </c>
      <c r="N1272">
        <f>$C1272*N1271</f>
        <v/>
      </c>
      <c r="O1272">
        <f>$C1272*O1271</f>
        <v/>
      </c>
      <c r="P1272">
        <f>$C1272*P1271</f>
        <v/>
      </c>
      <c r="Q1272">
        <f>$C1272*Q1271</f>
        <v/>
      </c>
      <c r="R1272">
        <f>$C1272*R1271</f>
        <v/>
      </c>
      <c r="S1272">
        <f>$C1272*S1271</f>
        <v/>
      </c>
      <c r="T1272">
        <f>$C1272*T1271</f>
        <v/>
      </c>
      <c r="U1272">
        <f>$C1272*U1271</f>
        <v/>
      </c>
      <c r="V1272">
        <f>$C1272*V1271</f>
        <v/>
      </c>
      <c r="W1272">
        <f>$C1272*W1271</f>
        <v/>
      </c>
      <c r="X1272">
        <f>$C1272*X1271</f>
        <v/>
      </c>
      <c r="Y1272">
        <f>$C1272*Y1271</f>
        <v/>
      </c>
      <c r="Z1272">
        <f>$C1272*Z1271</f>
        <v/>
      </c>
      <c r="AA1272">
        <f>$C1272*AA1271</f>
        <v/>
      </c>
      <c r="AB1272">
        <f>$C1272*AB1271</f>
        <v/>
      </c>
      <c r="AC1272">
        <f>$C1272*AC1271</f>
        <v/>
      </c>
      <c r="AD1272">
        <f>$C1272*AD1271</f>
        <v/>
      </c>
      <c r="AE1272">
        <f>$C1272*AE1271</f>
        <v/>
      </c>
      <c r="AF1272">
        <f>$C1272*AF1271</f>
        <v/>
      </c>
      <c r="AG1272">
        <f>$C1272*AG1271</f>
        <v/>
      </c>
      <c r="AH1272">
        <f>$C1272*AH1271</f>
        <v/>
      </c>
      <c r="AI1272">
        <f>$C1272*AI1271</f>
        <v/>
      </c>
      <c r="AJ1272">
        <f>$C1272*AJ1271</f>
        <v/>
      </c>
      <c r="AK1272">
        <f>$C1272*AK1271</f>
        <v/>
      </c>
      <c r="AL1272">
        <f>$C1272*AL1271</f>
        <v/>
      </c>
      <c r="AM1272">
        <f>$C1272*AM1271</f>
        <v/>
      </c>
      <c r="AN1272">
        <f>$C1272*AN1271</f>
        <v/>
      </c>
      <c r="AO1272">
        <f>$C1272*AO1271</f>
        <v/>
      </c>
      <c r="AP1272">
        <f>$C1272*AP1271</f>
        <v/>
      </c>
      <c r="AQ1272">
        <f>$C1272*AQ1271</f>
        <v/>
      </c>
      <c r="AR1272">
        <f>$C1272*AR1271</f>
        <v/>
      </c>
      <c r="AS1272">
        <f>$C1272*AS1271</f>
        <v/>
      </c>
      <c r="AT1272">
        <f>$C1272*AT1271</f>
        <v/>
      </c>
      <c r="AU1272">
        <f>$C1272*AU1271</f>
        <v/>
      </c>
      <c r="AV1272">
        <f>$C1272*AV1271</f>
        <v/>
      </c>
      <c r="AW1272">
        <f>$C1272*AW1271</f>
        <v/>
      </c>
      <c r="AX1272">
        <f>$C1272*AX1271</f>
        <v/>
      </c>
      <c r="AY1272">
        <f>$C1272*AY1271</f>
        <v/>
      </c>
      <c r="AZ1272">
        <f>$C1272*AZ1271</f>
        <v/>
      </c>
      <c r="BA1272">
        <f>$C1272*BA1271</f>
        <v/>
      </c>
      <c r="BB1272">
        <f>$C1272*BB1271</f>
        <v/>
      </c>
      <c r="BC1272">
        <f>$C1272*BC1271</f>
        <v/>
      </c>
      <c r="BD1272">
        <f>$C1272*BD1271</f>
        <v/>
      </c>
      <c r="BE1272">
        <f>$C1272*BE1271</f>
        <v/>
      </c>
      <c r="BF1272">
        <f>$C1272*BF1271</f>
        <v/>
      </c>
      <c r="BG1272">
        <f>$C1272*BG1271</f>
        <v/>
      </c>
      <c r="BH1272">
        <f>$C1272*BH1271</f>
        <v/>
      </c>
      <c r="BI1272">
        <f>$C1272*BI1271</f>
        <v/>
      </c>
      <c r="BJ1272">
        <f>$C1272*BJ1271</f>
        <v/>
      </c>
      <c r="BK1272">
        <f>$C1272*BK1271</f>
        <v/>
      </c>
      <c r="BL1272">
        <f>$C1272*BL1271</f>
        <v/>
      </c>
      <c r="BM1272">
        <f>$C1272*BM1271</f>
        <v/>
      </c>
      <c r="BN1272">
        <f>$C1272*BN1271</f>
        <v/>
      </c>
      <c r="BO1272">
        <f>$C1272*BO1271</f>
        <v/>
      </c>
      <c r="BP1272">
        <f>$C1272*BP1271</f>
        <v/>
      </c>
      <c r="BQ1272">
        <f>$C1272*BQ1271</f>
        <v/>
      </c>
      <c r="BR1272">
        <f>$C1272*BR1271</f>
        <v/>
      </c>
      <c r="BS1272">
        <f>$C1272*BS1271</f>
        <v/>
      </c>
      <c r="BT1272">
        <f>$C1272*BT1271</f>
        <v/>
      </c>
      <c r="BU1272">
        <f>$C1272*BU1271</f>
        <v/>
      </c>
      <c r="BV1272">
        <f>$C1272*BV1271</f>
        <v/>
      </c>
      <c r="BW1272">
        <f>$C1272*BW1271</f>
        <v/>
      </c>
      <c r="BX1272">
        <f>$C1272*BX1271</f>
        <v/>
      </c>
      <c r="BY1272">
        <f>$C1272*BY1271</f>
        <v/>
      </c>
      <c r="BZ1272">
        <f>$C1272*BZ1271</f>
        <v/>
      </c>
      <c r="CA1272">
        <f>$C1272*CA1271</f>
        <v/>
      </c>
      <c r="CB1272">
        <f>$C1272*CB1271</f>
        <v/>
      </c>
      <c r="CC1272">
        <f>$C1272*CC1271</f>
        <v/>
      </c>
      <c r="CD1272">
        <f>$C1272*CD1271</f>
        <v/>
      </c>
      <c r="CE1272">
        <f>$C1272*CE1271</f>
        <v/>
      </c>
      <c r="CF1272">
        <f>$C1272*CF1271</f>
        <v/>
      </c>
      <c r="CG1272">
        <f>$C1272*CG1271</f>
        <v/>
      </c>
      <c r="CH1272">
        <f>$C1272*CH1271</f>
        <v/>
      </c>
      <c r="CI1272">
        <f>$C1272*CI1271</f>
        <v/>
      </c>
      <c r="CJ1272">
        <f>$C1272*CJ1271</f>
        <v/>
      </c>
      <c r="CK1272">
        <f>$C1272*CK1271</f>
        <v/>
      </c>
      <c r="CL1272">
        <f>$C1272*CL1271</f>
        <v/>
      </c>
      <c r="CM1272">
        <f>$C1272*CM1271</f>
        <v/>
      </c>
      <c r="CN1272">
        <f>$C1272*CN1271</f>
        <v/>
      </c>
      <c r="CO1272">
        <f>$C1272*CO1271</f>
        <v/>
      </c>
      <c r="CP1272">
        <f>$C1272*CP1271</f>
        <v/>
      </c>
      <c r="CQ1272">
        <f>$C1272*CQ1271</f>
        <v/>
      </c>
      <c r="CR1272">
        <f>$C1272*CR1271</f>
        <v/>
      </c>
      <c r="CS1272">
        <f>$C1272*CS1271</f>
        <v/>
      </c>
      <c r="CT1272">
        <f>$C1272*CT1271</f>
        <v/>
      </c>
      <c r="CU1272">
        <f>$C1272*CU1271</f>
        <v/>
      </c>
      <c r="CV1272">
        <f>$C1272*CV1271</f>
        <v/>
      </c>
      <c r="CW1272">
        <f>$C1272*CW1271</f>
        <v/>
      </c>
      <c r="CX1272">
        <f>$C1272*CX1271</f>
        <v/>
      </c>
      <c r="CY1272">
        <f>$C1272*CY1271</f>
        <v/>
      </c>
      <c r="CZ1272">
        <f>$C1272*CZ1271</f>
        <v/>
      </c>
      <c r="DA1272">
        <f>$C1272*DA1271</f>
        <v/>
      </c>
      <c r="DB1272">
        <f>$C1272*DB1271</f>
        <v/>
      </c>
      <c r="DC1272">
        <f>$C1272*DC1271</f>
        <v/>
      </c>
      <c r="DD1272">
        <f>$C1272*DD1271</f>
        <v/>
      </c>
    </row>
    <row r="1273">
      <c r="B1273" t="inlineStr">
        <is>
          <t>VSZ-745</t>
        </is>
      </c>
      <c r="C1273" t="inlineStr">
        <is>
          <t>No. of batches</t>
        </is>
      </c>
      <c r="D1273">
        <f>IFERROR(INDEX(E1273:DD1273,$F$1),"")</f>
        <v/>
      </c>
      <c r="E1273">
        <f>IFERROR(INDEX(PP_Grid[#Data],$DE1273,2),0)</f>
        <v/>
      </c>
      <c r="F1273">
        <f>IFERROR(INDEX(PP_Grid[#Data],$DE1273,3),0)</f>
        <v/>
      </c>
      <c r="G1273">
        <f>IFERROR(INDEX(PP_Grid[#Data],$DE1273,4),0)</f>
        <v/>
      </c>
      <c r="H1273">
        <f>IFERROR(INDEX(PP_Grid[#Data],$DE1273,5),0)</f>
        <v/>
      </c>
      <c r="I1273">
        <f>IFERROR(INDEX(PP_Grid[#Data],$DE1273,6),0)</f>
        <v/>
      </c>
      <c r="J1273">
        <f>IFERROR(INDEX(PP_Grid[#Data],$DE1273,7),0)</f>
        <v/>
      </c>
      <c r="K1273">
        <f>IFERROR(INDEX(PP_Grid[#Data],$DE1273,8),0)</f>
        <v/>
      </c>
      <c r="L1273">
        <f>IFERROR(INDEX(PP_Grid[#Data],$DE1273,9),0)</f>
        <v/>
      </c>
      <c r="M1273">
        <f>IFERROR(INDEX(PP_Grid[#Data],$DE1273,10),0)</f>
        <v/>
      </c>
      <c r="N1273">
        <f>IFERROR(INDEX(PP_Grid[#Data],$DE1273,11),0)</f>
        <v/>
      </c>
      <c r="O1273">
        <f>IFERROR(INDEX(PP_Grid[#Data],$DE1273,12),0)</f>
        <v/>
      </c>
      <c r="P1273">
        <f>IFERROR(INDEX(PP_Grid[#Data],$DE1273,13),0)</f>
        <v/>
      </c>
      <c r="Q1273">
        <f>IFERROR(INDEX(PP_Grid[#Data],$DE1273,14),0)</f>
        <v/>
      </c>
      <c r="R1273">
        <f>IFERROR(INDEX(PP_Grid[#Data],$DE1273,15),0)</f>
        <v/>
      </c>
      <c r="S1273">
        <f>IFERROR(INDEX(PP_Grid[#Data],$DE1273,16),0)</f>
        <v/>
      </c>
      <c r="T1273">
        <f>IFERROR(INDEX(PP_Grid[#Data],$DE1273,17),0)</f>
        <v/>
      </c>
      <c r="U1273">
        <f>IFERROR(INDEX(PP_Grid[#Data],$DE1273,18),0)</f>
        <v/>
      </c>
      <c r="V1273">
        <f>IFERROR(INDEX(PP_Grid[#Data],$DE1273,19),0)</f>
        <v/>
      </c>
      <c r="W1273">
        <f>IFERROR(INDEX(PP_Grid[#Data],$DE1273,20),0)</f>
        <v/>
      </c>
      <c r="X1273">
        <f>IFERROR(INDEX(PP_Grid[#Data],$DE1273,21),0)</f>
        <v/>
      </c>
      <c r="Y1273">
        <f>IFERROR(INDEX(PP_Grid[#Data],$DE1273,22),0)</f>
        <v/>
      </c>
      <c r="Z1273">
        <f>IFERROR(INDEX(PP_Grid[#Data],$DE1273,23),0)</f>
        <v/>
      </c>
      <c r="AA1273">
        <f>IFERROR(INDEX(PP_Grid[#Data],$DE1273,24),0)</f>
        <v/>
      </c>
      <c r="AB1273">
        <f>IFERROR(INDEX(PP_Grid[#Data],$DE1273,25),0)</f>
        <v/>
      </c>
      <c r="AC1273">
        <f>IFERROR(INDEX(PP_Grid[#Data],$DE1273,26),0)</f>
        <v/>
      </c>
      <c r="AD1273">
        <f>IFERROR(INDEX(PP_Grid[#Data],$DE1273,27),0)</f>
        <v/>
      </c>
      <c r="AE1273">
        <f>IFERROR(INDEX(PP_Grid[#Data],$DE1273,28),0)</f>
        <v/>
      </c>
      <c r="AF1273">
        <f>IFERROR(INDEX(PP_Grid[#Data],$DE1273,29),0)</f>
        <v/>
      </c>
      <c r="AG1273">
        <f>IFERROR(INDEX(PP_Grid[#Data],$DE1273,30),0)</f>
        <v/>
      </c>
      <c r="AH1273">
        <f>IFERROR(INDEX(PP_Grid[#Data],$DE1273,31),0)</f>
        <v/>
      </c>
      <c r="AI1273">
        <f>IFERROR(INDEX(PP_Grid[#Data],$DE1273,32),0)</f>
        <v/>
      </c>
      <c r="AJ1273">
        <f>IFERROR(INDEX(PP_Grid[#Data],$DE1273,33),0)</f>
        <v/>
      </c>
      <c r="AK1273">
        <f>IFERROR(INDEX(PP_Grid[#Data],$DE1273,34),0)</f>
        <v/>
      </c>
      <c r="AL1273">
        <f>IFERROR(INDEX(PP_Grid[#Data],$DE1273,35),0)</f>
        <v/>
      </c>
      <c r="AM1273">
        <f>IFERROR(INDEX(PP_Grid[#Data],$DE1273,36),0)</f>
        <v/>
      </c>
      <c r="AN1273">
        <f>IFERROR(INDEX(PP_Grid[#Data],$DE1273,37),0)</f>
        <v/>
      </c>
      <c r="AO1273">
        <f>IFERROR(INDEX(PP_Grid[#Data],$DE1273,38),0)</f>
        <v/>
      </c>
      <c r="AP1273">
        <f>IFERROR(INDEX(PP_Grid[#Data],$DE1273,39),0)</f>
        <v/>
      </c>
      <c r="AQ1273">
        <f>IFERROR(INDEX(PP_Grid[#Data],$DE1273,40),0)</f>
        <v/>
      </c>
      <c r="AR1273">
        <f>IFERROR(INDEX(PP_Grid[#Data],$DE1273,41),0)</f>
        <v/>
      </c>
      <c r="AS1273">
        <f>IFERROR(INDEX(PP_Grid[#Data],$DE1273,42),0)</f>
        <v/>
      </c>
      <c r="AT1273">
        <f>IFERROR(INDEX(PP_Grid[#Data],$DE1273,43),0)</f>
        <v/>
      </c>
      <c r="AU1273">
        <f>IFERROR(INDEX(PP_Grid[#Data],$DE1273,44),0)</f>
        <v/>
      </c>
      <c r="AV1273">
        <f>IFERROR(INDEX(PP_Grid[#Data],$DE1273,45),0)</f>
        <v/>
      </c>
      <c r="AW1273">
        <f>IFERROR(INDEX(PP_Grid[#Data],$DE1273,46),0)</f>
        <v/>
      </c>
      <c r="AX1273">
        <f>IFERROR(INDEX(PP_Grid[#Data],$DE1273,47),0)</f>
        <v/>
      </c>
      <c r="AY1273">
        <f>IFERROR(INDEX(PP_Grid[#Data],$DE1273,48),0)</f>
        <v/>
      </c>
      <c r="AZ1273">
        <f>IFERROR(INDEX(PP_Grid[#Data],$DE1273,49),0)</f>
        <v/>
      </c>
      <c r="BA1273">
        <f>IFERROR(INDEX(PP_Grid[#Data],$DE1273,50),0)</f>
        <v/>
      </c>
      <c r="BB1273">
        <f>IFERROR(INDEX(PP_Grid[#Data],$DE1273,51),0)</f>
        <v/>
      </c>
      <c r="BC1273">
        <f>IFERROR(INDEX(PP_Grid[#Data],$DE1273,52),0)</f>
        <v/>
      </c>
      <c r="BD1273">
        <f>IFERROR(INDEX(PP_Grid[#Data],$DE1273,53),0)</f>
        <v/>
      </c>
      <c r="BE1273">
        <f>IFERROR(INDEX(PP_Grid[#Data],$DE1273,54),0)</f>
        <v/>
      </c>
      <c r="BF1273">
        <f>IFERROR(INDEX(PP_Grid[#Data],$DE1273,55),0)</f>
        <v/>
      </c>
      <c r="BG1273">
        <f>IFERROR(INDEX(PP_Grid[#Data],$DE1273,56),0)</f>
        <v/>
      </c>
      <c r="BH1273">
        <f>IFERROR(INDEX(PP_Grid[#Data],$DE1273,57),0)</f>
        <v/>
      </c>
      <c r="BI1273">
        <f>IFERROR(INDEX(PP_Grid[#Data],$DE1273,58),0)</f>
        <v/>
      </c>
      <c r="BJ1273">
        <f>IFERROR(INDEX(PP_Grid[#Data],$DE1273,59),0)</f>
        <v/>
      </c>
      <c r="BK1273">
        <f>IFERROR(INDEX(PP_Grid[#Data],$DE1273,60),0)</f>
        <v/>
      </c>
      <c r="BL1273">
        <f>IFERROR(INDEX(PP_Grid[#Data],$DE1273,61),0)</f>
        <v/>
      </c>
      <c r="BM1273">
        <f>IFERROR(INDEX(PP_Grid[#Data],$DE1273,62),0)</f>
        <v/>
      </c>
      <c r="BN1273">
        <f>IFERROR(INDEX(PP_Grid[#Data],$DE1273,63),0)</f>
        <v/>
      </c>
      <c r="BO1273">
        <f>IFERROR(INDEX(PP_Grid[#Data],$DE1273,64),0)</f>
        <v/>
      </c>
      <c r="BP1273">
        <f>IFERROR(INDEX(PP_Grid[#Data],$DE1273,65),0)</f>
        <v/>
      </c>
      <c r="BQ1273">
        <f>IFERROR(INDEX(PP_Grid[#Data],$DE1273,66),0)</f>
        <v/>
      </c>
      <c r="BR1273">
        <f>IFERROR(INDEX(PP_Grid[#Data],$DE1273,67),0)</f>
        <v/>
      </c>
      <c r="BS1273">
        <f>IFERROR(INDEX(PP_Grid[#Data],$DE1273,68),0)</f>
        <v/>
      </c>
      <c r="BT1273">
        <f>IFERROR(INDEX(PP_Grid[#Data],$DE1273,69),0)</f>
        <v/>
      </c>
      <c r="BU1273">
        <f>IFERROR(INDEX(PP_Grid[#Data],$DE1273,70),0)</f>
        <v/>
      </c>
      <c r="BV1273">
        <f>IFERROR(INDEX(PP_Grid[#Data],$DE1273,71),0)</f>
        <v/>
      </c>
      <c r="BW1273">
        <f>IFERROR(INDEX(PP_Grid[#Data],$DE1273,72),0)</f>
        <v/>
      </c>
      <c r="BX1273">
        <f>IFERROR(INDEX(PP_Grid[#Data],$DE1273,73),0)</f>
        <v/>
      </c>
      <c r="BY1273">
        <f>IFERROR(INDEX(PP_Grid[#Data],$DE1273,74),0)</f>
        <v/>
      </c>
      <c r="BZ1273">
        <f>IFERROR(INDEX(PP_Grid[#Data],$DE1273,75),0)</f>
        <v/>
      </c>
      <c r="CA1273">
        <f>IFERROR(INDEX(PP_Grid[#Data],$DE1273,76),0)</f>
        <v/>
      </c>
      <c r="CB1273">
        <f>IFERROR(INDEX(PP_Grid[#Data],$DE1273,77),0)</f>
        <v/>
      </c>
      <c r="CC1273">
        <f>IFERROR(INDEX(PP_Grid[#Data],$DE1273,78),0)</f>
        <v/>
      </c>
      <c r="CD1273">
        <f>IFERROR(INDEX(PP_Grid[#Data],$DE1273,79),0)</f>
        <v/>
      </c>
      <c r="CE1273">
        <f>IFERROR(INDEX(PP_Grid[#Data],$DE1273,80),0)</f>
        <v/>
      </c>
      <c r="CF1273">
        <f>IFERROR(INDEX(PP_Grid[#Data],$DE1273,81),0)</f>
        <v/>
      </c>
      <c r="CG1273">
        <f>IFERROR(INDEX(PP_Grid[#Data],$DE1273,82),0)</f>
        <v/>
      </c>
      <c r="CH1273">
        <f>IFERROR(INDEX(PP_Grid[#Data],$DE1273,83),0)</f>
        <v/>
      </c>
      <c r="CI1273">
        <f>IFERROR(INDEX(PP_Grid[#Data],$DE1273,84),0)</f>
        <v/>
      </c>
      <c r="CJ1273">
        <f>IFERROR(INDEX(PP_Grid[#Data],$DE1273,85),0)</f>
        <v/>
      </c>
      <c r="CK1273">
        <f>IFERROR(INDEX(PP_Grid[#Data],$DE1273,86),0)</f>
        <v/>
      </c>
      <c r="CL1273">
        <f>IFERROR(INDEX(PP_Grid[#Data],$DE1273,87),0)</f>
        <v/>
      </c>
      <c r="CM1273">
        <f>IFERROR(INDEX(PP_Grid[#Data],$DE1273,88),0)</f>
        <v/>
      </c>
      <c r="CN1273">
        <f>IFERROR(INDEX(PP_Grid[#Data],$DE1273,89),0)</f>
        <v/>
      </c>
      <c r="CO1273">
        <f>IFERROR(INDEX(PP_Grid[#Data],$DE1273,90),0)</f>
        <v/>
      </c>
      <c r="CP1273">
        <f>IFERROR(INDEX(PP_Grid[#Data],$DE1273,91),0)</f>
        <v/>
      </c>
      <c r="CQ1273">
        <f>IFERROR(INDEX(PP_Grid[#Data],$DE1273,92),0)</f>
        <v/>
      </c>
      <c r="CR1273">
        <f>IFERROR(INDEX(PP_Grid[#Data],$DE1273,93),0)</f>
        <v/>
      </c>
      <c r="CS1273">
        <f>IFERROR(INDEX(PP_Grid[#Data],$DE1273,94),0)</f>
        <v/>
      </c>
      <c r="CT1273">
        <f>IFERROR(INDEX(PP_Grid[#Data],$DE1273,95),0)</f>
        <v/>
      </c>
      <c r="CU1273">
        <f>IFERROR(INDEX(PP_Grid[#Data],$DE1273,96),0)</f>
        <v/>
      </c>
      <c r="CV1273">
        <f>IFERROR(INDEX(PP_Grid[#Data],$DE1273,97),0)</f>
        <v/>
      </c>
      <c r="CW1273">
        <f>IFERROR(INDEX(PP_Grid[#Data],$DE1273,98),0)</f>
        <v/>
      </c>
      <c r="CX1273">
        <f>IFERROR(INDEX(PP_Grid[#Data],$DE1273,99),0)</f>
        <v/>
      </c>
      <c r="CY1273">
        <f>IFERROR(INDEX(PP_Grid[#Data],$DE1273,100),0)</f>
        <v/>
      </c>
      <c r="CZ1273">
        <f>IFERROR(INDEX(PP_Grid[#Data],$DE1273,101),0)</f>
        <v/>
      </c>
      <c r="DA1273">
        <f>IFERROR(INDEX(PP_Grid[#Data],$DE1273,102),0)</f>
        <v/>
      </c>
      <c r="DB1273">
        <f>IFERROR(INDEX(PP_Grid[#Data],$DE1273,103),0)</f>
        <v/>
      </c>
      <c r="DC1273">
        <f>IFERROR(INDEX(PP_Grid[#Data],$DE1273,104),0)</f>
        <v/>
      </c>
      <c r="DD1273">
        <f>IFERROR(INDEX(PP_Grid[#Data],$DE1273,105),0)</f>
        <v/>
      </c>
      <c r="DE1273" s="7">
        <f>IFERROR(MATCH($B1273,PP_Grid[Intermediate],0),99999)</f>
        <v/>
      </c>
    </row>
    <row r="1274">
      <c r="B1274" t="inlineStr">
        <is>
          <t>使用量(kg)</t>
        </is>
      </c>
      <c r="C1274">
        <f>SUMIFS(M_BOM[RM_Qty_Per_Batch],M_BOM[Intermediate],$B1273,M_BOM[RM_Code],$A1222)</f>
        <v/>
      </c>
      <c r="D1274">
        <f>IFERROR(INDEX(E1274:DD1274,$F$1),"")</f>
        <v/>
      </c>
      <c r="E1274">
        <f>$C1274*E1273</f>
        <v/>
      </c>
      <c r="F1274">
        <f>$C1274*F1273</f>
        <v/>
      </c>
      <c r="G1274">
        <f>$C1274*G1273</f>
        <v/>
      </c>
      <c r="H1274">
        <f>$C1274*H1273</f>
        <v/>
      </c>
      <c r="I1274">
        <f>$C1274*I1273</f>
        <v/>
      </c>
      <c r="J1274">
        <f>$C1274*J1273</f>
        <v/>
      </c>
      <c r="K1274">
        <f>$C1274*K1273</f>
        <v/>
      </c>
      <c r="L1274">
        <f>$C1274*L1273</f>
        <v/>
      </c>
      <c r="M1274">
        <f>$C1274*M1273</f>
        <v/>
      </c>
      <c r="N1274">
        <f>$C1274*N1273</f>
        <v/>
      </c>
      <c r="O1274">
        <f>$C1274*O1273</f>
        <v/>
      </c>
      <c r="P1274">
        <f>$C1274*P1273</f>
        <v/>
      </c>
      <c r="Q1274">
        <f>$C1274*Q1273</f>
        <v/>
      </c>
      <c r="R1274">
        <f>$C1274*R1273</f>
        <v/>
      </c>
      <c r="S1274">
        <f>$C1274*S1273</f>
        <v/>
      </c>
      <c r="T1274">
        <f>$C1274*T1273</f>
        <v/>
      </c>
      <c r="U1274">
        <f>$C1274*U1273</f>
        <v/>
      </c>
      <c r="V1274">
        <f>$C1274*V1273</f>
        <v/>
      </c>
      <c r="W1274">
        <f>$C1274*W1273</f>
        <v/>
      </c>
      <c r="X1274">
        <f>$C1274*X1273</f>
        <v/>
      </c>
      <c r="Y1274">
        <f>$C1274*Y1273</f>
        <v/>
      </c>
      <c r="Z1274">
        <f>$C1274*Z1273</f>
        <v/>
      </c>
      <c r="AA1274">
        <f>$C1274*AA1273</f>
        <v/>
      </c>
      <c r="AB1274">
        <f>$C1274*AB1273</f>
        <v/>
      </c>
      <c r="AC1274">
        <f>$C1274*AC1273</f>
        <v/>
      </c>
      <c r="AD1274">
        <f>$C1274*AD1273</f>
        <v/>
      </c>
      <c r="AE1274">
        <f>$C1274*AE1273</f>
        <v/>
      </c>
      <c r="AF1274">
        <f>$C1274*AF1273</f>
        <v/>
      </c>
      <c r="AG1274">
        <f>$C1274*AG1273</f>
        <v/>
      </c>
      <c r="AH1274">
        <f>$C1274*AH1273</f>
        <v/>
      </c>
      <c r="AI1274">
        <f>$C1274*AI1273</f>
        <v/>
      </c>
      <c r="AJ1274">
        <f>$C1274*AJ1273</f>
        <v/>
      </c>
      <c r="AK1274">
        <f>$C1274*AK1273</f>
        <v/>
      </c>
      <c r="AL1274">
        <f>$C1274*AL1273</f>
        <v/>
      </c>
      <c r="AM1274">
        <f>$C1274*AM1273</f>
        <v/>
      </c>
      <c r="AN1274">
        <f>$C1274*AN1273</f>
        <v/>
      </c>
      <c r="AO1274">
        <f>$C1274*AO1273</f>
        <v/>
      </c>
      <c r="AP1274">
        <f>$C1274*AP1273</f>
        <v/>
      </c>
      <c r="AQ1274">
        <f>$C1274*AQ1273</f>
        <v/>
      </c>
      <c r="AR1274">
        <f>$C1274*AR1273</f>
        <v/>
      </c>
      <c r="AS1274">
        <f>$C1274*AS1273</f>
        <v/>
      </c>
      <c r="AT1274">
        <f>$C1274*AT1273</f>
        <v/>
      </c>
      <c r="AU1274">
        <f>$C1274*AU1273</f>
        <v/>
      </c>
      <c r="AV1274">
        <f>$C1274*AV1273</f>
        <v/>
      </c>
      <c r="AW1274">
        <f>$C1274*AW1273</f>
        <v/>
      </c>
      <c r="AX1274">
        <f>$C1274*AX1273</f>
        <v/>
      </c>
      <c r="AY1274">
        <f>$C1274*AY1273</f>
        <v/>
      </c>
      <c r="AZ1274">
        <f>$C1274*AZ1273</f>
        <v/>
      </c>
      <c r="BA1274">
        <f>$C1274*BA1273</f>
        <v/>
      </c>
      <c r="BB1274">
        <f>$C1274*BB1273</f>
        <v/>
      </c>
      <c r="BC1274">
        <f>$C1274*BC1273</f>
        <v/>
      </c>
      <c r="BD1274">
        <f>$C1274*BD1273</f>
        <v/>
      </c>
      <c r="BE1274">
        <f>$C1274*BE1273</f>
        <v/>
      </c>
      <c r="BF1274">
        <f>$C1274*BF1273</f>
        <v/>
      </c>
      <c r="BG1274">
        <f>$C1274*BG1273</f>
        <v/>
      </c>
      <c r="BH1274">
        <f>$C1274*BH1273</f>
        <v/>
      </c>
      <c r="BI1274">
        <f>$C1274*BI1273</f>
        <v/>
      </c>
      <c r="BJ1274">
        <f>$C1274*BJ1273</f>
        <v/>
      </c>
      <c r="BK1274">
        <f>$C1274*BK1273</f>
        <v/>
      </c>
      <c r="BL1274">
        <f>$C1274*BL1273</f>
        <v/>
      </c>
      <c r="BM1274">
        <f>$C1274*BM1273</f>
        <v/>
      </c>
      <c r="BN1274">
        <f>$C1274*BN1273</f>
        <v/>
      </c>
      <c r="BO1274">
        <f>$C1274*BO1273</f>
        <v/>
      </c>
      <c r="BP1274">
        <f>$C1274*BP1273</f>
        <v/>
      </c>
      <c r="BQ1274">
        <f>$C1274*BQ1273</f>
        <v/>
      </c>
      <c r="BR1274">
        <f>$C1274*BR1273</f>
        <v/>
      </c>
      <c r="BS1274">
        <f>$C1274*BS1273</f>
        <v/>
      </c>
      <c r="BT1274">
        <f>$C1274*BT1273</f>
        <v/>
      </c>
      <c r="BU1274">
        <f>$C1274*BU1273</f>
        <v/>
      </c>
      <c r="BV1274">
        <f>$C1274*BV1273</f>
        <v/>
      </c>
      <c r="BW1274">
        <f>$C1274*BW1273</f>
        <v/>
      </c>
      <c r="BX1274">
        <f>$C1274*BX1273</f>
        <v/>
      </c>
      <c r="BY1274">
        <f>$C1274*BY1273</f>
        <v/>
      </c>
      <c r="BZ1274">
        <f>$C1274*BZ1273</f>
        <v/>
      </c>
      <c r="CA1274">
        <f>$C1274*CA1273</f>
        <v/>
      </c>
      <c r="CB1274">
        <f>$C1274*CB1273</f>
        <v/>
      </c>
      <c r="CC1274">
        <f>$C1274*CC1273</f>
        <v/>
      </c>
      <c r="CD1274">
        <f>$C1274*CD1273</f>
        <v/>
      </c>
      <c r="CE1274">
        <f>$C1274*CE1273</f>
        <v/>
      </c>
      <c r="CF1274">
        <f>$C1274*CF1273</f>
        <v/>
      </c>
      <c r="CG1274">
        <f>$C1274*CG1273</f>
        <v/>
      </c>
      <c r="CH1274">
        <f>$C1274*CH1273</f>
        <v/>
      </c>
      <c r="CI1274">
        <f>$C1274*CI1273</f>
        <v/>
      </c>
      <c r="CJ1274">
        <f>$C1274*CJ1273</f>
        <v/>
      </c>
      <c r="CK1274">
        <f>$C1274*CK1273</f>
        <v/>
      </c>
      <c r="CL1274">
        <f>$C1274*CL1273</f>
        <v/>
      </c>
      <c r="CM1274">
        <f>$C1274*CM1273</f>
        <v/>
      </c>
      <c r="CN1274">
        <f>$C1274*CN1273</f>
        <v/>
      </c>
      <c r="CO1274">
        <f>$C1274*CO1273</f>
        <v/>
      </c>
      <c r="CP1274">
        <f>$C1274*CP1273</f>
        <v/>
      </c>
      <c r="CQ1274">
        <f>$C1274*CQ1273</f>
        <v/>
      </c>
      <c r="CR1274">
        <f>$C1274*CR1273</f>
        <v/>
      </c>
      <c r="CS1274">
        <f>$C1274*CS1273</f>
        <v/>
      </c>
      <c r="CT1274">
        <f>$C1274*CT1273</f>
        <v/>
      </c>
      <c r="CU1274">
        <f>$C1274*CU1273</f>
        <v/>
      </c>
      <c r="CV1274">
        <f>$C1274*CV1273</f>
        <v/>
      </c>
      <c r="CW1274">
        <f>$C1274*CW1273</f>
        <v/>
      </c>
      <c r="CX1274">
        <f>$C1274*CX1273</f>
        <v/>
      </c>
      <c r="CY1274">
        <f>$C1274*CY1273</f>
        <v/>
      </c>
      <c r="CZ1274">
        <f>$C1274*CZ1273</f>
        <v/>
      </c>
      <c r="DA1274">
        <f>$C1274*DA1273</f>
        <v/>
      </c>
      <c r="DB1274">
        <f>$C1274*DB1273</f>
        <v/>
      </c>
      <c r="DC1274">
        <f>$C1274*DC1273</f>
        <v/>
      </c>
      <c r="DD1274">
        <f>$C1274*DD1273</f>
        <v/>
      </c>
    </row>
    <row r="1275">
      <c r="B1275" t="inlineStr">
        <is>
          <t>VSP-600</t>
        </is>
      </c>
      <c r="C1275" t="inlineStr">
        <is>
          <t>No. of batches</t>
        </is>
      </c>
      <c r="D1275">
        <f>IFERROR(INDEX(E1275:DD1275,$F$1),"")</f>
        <v/>
      </c>
      <c r="E1275">
        <f>IFERROR(INDEX(PP_Grid[#Data],$DE1275,2),0)</f>
        <v/>
      </c>
      <c r="F1275">
        <f>IFERROR(INDEX(PP_Grid[#Data],$DE1275,3),0)</f>
        <v/>
      </c>
      <c r="G1275">
        <f>IFERROR(INDEX(PP_Grid[#Data],$DE1275,4),0)</f>
        <v/>
      </c>
      <c r="H1275">
        <f>IFERROR(INDEX(PP_Grid[#Data],$DE1275,5),0)</f>
        <v/>
      </c>
      <c r="I1275">
        <f>IFERROR(INDEX(PP_Grid[#Data],$DE1275,6),0)</f>
        <v/>
      </c>
      <c r="J1275">
        <f>IFERROR(INDEX(PP_Grid[#Data],$DE1275,7),0)</f>
        <v/>
      </c>
      <c r="K1275">
        <f>IFERROR(INDEX(PP_Grid[#Data],$DE1275,8),0)</f>
        <v/>
      </c>
      <c r="L1275">
        <f>IFERROR(INDEX(PP_Grid[#Data],$DE1275,9),0)</f>
        <v/>
      </c>
      <c r="M1275">
        <f>IFERROR(INDEX(PP_Grid[#Data],$DE1275,10),0)</f>
        <v/>
      </c>
      <c r="N1275">
        <f>IFERROR(INDEX(PP_Grid[#Data],$DE1275,11),0)</f>
        <v/>
      </c>
      <c r="O1275">
        <f>IFERROR(INDEX(PP_Grid[#Data],$DE1275,12),0)</f>
        <v/>
      </c>
      <c r="P1275">
        <f>IFERROR(INDEX(PP_Grid[#Data],$DE1275,13),0)</f>
        <v/>
      </c>
      <c r="Q1275">
        <f>IFERROR(INDEX(PP_Grid[#Data],$DE1275,14),0)</f>
        <v/>
      </c>
      <c r="R1275">
        <f>IFERROR(INDEX(PP_Grid[#Data],$DE1275,15),0)</f>
        <v/>
      </c>
      <c r="S1275">
        <f>IFERROR(INDEX(PP_Grid[#Data],$DE1275,16),0)</f>
        <v/>
      </c>
      <c r="T1275">
        <f>IFERROR(INDEX(PP_Grid[#Data],$DE1275,17),0)</f>
        <v/>
      </c>
      <c r="U1275">
        <f>IFERROR(INDEX(PP_Grid[#Data],$DE1275,18),0)</f>
        <v/>
      </c>
      <c r="V1275">
        <f>IFERROR(INDEX(PP_Grid[#Data],$DE1275,19),0)</f>
        <v/>
      </c>
      <c r="W1275">
        <f>IFERROR(INDEX(PP_Grid[#Data],$DE1275,20),0)</f>
        <v/>
      </c>
      <c r="X1275">
        <f>IFERROR(INDEX(PP_Grid[#Data],$DE1275,21),0)</f>
        <v/>
      </c>
      <c r="Y1275">
        <f>IFERROR(INDEX(PP_Grid[#Data],$DE1275,22),0)</f>
        <v/>
      </c>
      <c r="Z1275">
        <f>IFERROR(INDEX(PP_Grid[#Data],$DE1275,23),0)</f>
        <v/>
      </c>
      <c r="AA1275">
        <f>IFERROR(INDEX(PP_Grid[#Data],$DE1275,24),0)</f>
        <v/>
      </c>
      <c r="AB1275">
        <f>IFERROR(INDEX(PP_Grid[#Data],$DE1275,25),0)</f>
        <v/>
      </c>
      <c r="AC1275">
        <f>IFERROR(INDEX(PP_Grid[#Data],$DE1275,26),0)</f>
        <v/>
      </c>
      <c r="AD1275">
        <f>IFERROR(INDEX(PP_Grid[#Data],$DE1275,27),0)</f>
        <v/>
      </c>
      <c r="AE1275">
        <f>IFERROR(INDEX(PP_Grid[#Data],$DE1275,28),0)</f>
        <v/>
      </c>
      <c r="AF1275">
        <f>IFERROR(INDEX(PP_Grid[#Data],$DE1275,29),0)</f>
        <v/>
      </c>
      <c r="AG1275">
        <f>IFERROR(INDEX(PP_Grid[#Data],$DE1275,30),0)</f>
        <v/>
      </c>
      <c r="AH1275">
        <f>IFERROR(INDEX(PP_Grid[#Data],$DE1275,31),0)</f>
        <v/>
      </c>
      <c r="AI1275">
        <f>IFERROR(INDEX(PP_Grid[#Data],$DE1275,32),0)</f>
        <v/>
      </c>
      <c r="AJ1275">
        <f>IFERROR(INDEX(PP_Grid[#Data],$DE1275,33),0)</f>
        <v/>
      </c>
      <c r="AK1275">
        <f>IFERROR(INDEX(PP_Grid[#Data],$DE1275,34),0)</f>
        <v/>
      </c>
      <c r="AL1275">
        <f>IFERROR(INDEX(PP_Grid[#Data],$DE1275,35),0)</f>
        <v/>
      </c>
      <c r="AM1275">
        <f>IFERROR(INDEX(PP_Grid[#Data],$DE1275,36),0)</f>
        <v/>
      </c>
      <c r="AN1275">
        <f>IFERROR(INDEX(PP_Grid[#Data],$DE1275,37),0)</f>
        <v/>
      </c>
      <c r="AO1275">
        <f>IFERROR(INDEX(PP_Grid[#Data],$DE1275,38),0)</f>
        <v/>
      </c>
      <c r="AP1275">
        <f>IFERROR(INDEX(PP_Grid[#Data],$DE1275,39),0)</f>
        <v/>
      </c>
      <c r="AQ1275">
        <f>IFERROR(INDEX(PP_Grid[#Data],$DE1275,40),0)</f>
        <v/>
      </c>
      <c r="AR1275">
        <f>IFERROR(INDEX(PP_Grid[#Data],$DE1275,41),0)</f>
        <v/>
      </c>
      <c r="AS1275">
        <f>IFERROR(INDEX(PP_Grid[#Data],$DE1275,42),0)</f>
        <v/>
      </c>
      <c r="AT1275">
        <f>IFERROR(INDEX(PP_Grid[#Data],$DE1275,43),0)</f>
        <v/>
      </c>
      <c r="AU1275">
        <f>IFERROR(INDEX(PP_Grid[#Data],$DE1275,44),0)</f>
        <v/>
      </c>
      <c r="AV1275">
        <f>IFERROR(INDEX(PP_Grid[#Data],$DE1275,45),0)</f>
        <v/>
      </c>
      <c r="AW1275">
        <f>IFERROR(INDEX(PP_Grid[#Data],$DE1275,46),0)</f>
        <v/>
      </c>
      <c r="AX1275">
        <f>IFERROR(INDEX(PP_Grid[#Data],$DE1275,47),0)</f>
        <v/>
      </c>
      <c r="AY1275">
        <f>IFERROR(INDEX(PP_Grid[#Data],$DE1275,48),0)</f>
        <v/>
      </c>
      <c r="AZ1275">
        <f>IFERROR(INDEX(PP_Grid[#Data],$DE1275,49),0)</f>
        <v/>
      </c>
      <c r="BA1275">
        <f>IFERROR(INDEX(PP_Grid[#Data],$DE1275,50),0)</f>
        <v/>
      </c>
      <c r="BB1275">
        <f>IFERROR(INDEX(PP_Grid[#Data],$DE1275,51),0)</f>
        <v/>
      </c>
      <c r="BC1275">
        <f>IFERROR(INDEX(PP_Grid[#Data],$DE1275,52),0)</f>
        <v/>
      </c>
      <c r="BD1275">
        <f>IFERROR(INDEX(PP_Grid[#Data],$DE1275,53),0)</f>
        <v/>
      </c>
      <c r="BE1275">
        <f>IFERROR(INDEX(PP_Grid[#Data],$DE1275,54),0)</f>
        <v/>
      </c>
      <c r="BF1275">
        <f>IFERROR(INDEX(PP_Grid[#Data],$DE1275,55),0)</f>
        <v/>
      </c>
      <c r="BG1275">
        <f>IFERROR(INDEX(PP_Grid[#Data],$DE1275,56),0)</f>
        <v/>
      </c>
      <c r="BH1275">
        <f>IFERROR(INDEX(PP_Grid[#Data],$DE1275,57),0)</f>
        <v/>
      </c>
      <c r="BI1275">
        <f>IFERROR(INDEX(PP_Grid[#Data],$DE1275,58),0)</f>
        <v/>
      </c>
      <c r="BJ1275">
        <f>IFERROR(INDEX(PP_Grid[#Data],$DE1275,59),0)</f>
        <v/>
      </c>
      <c r="BK1275">
        <f>IFERROR(INDEX(PP_Grid[#Data],$DE1275,60),0)</f>
        <v/>
      </c>
      <c r="BL1275">
        <f>IFERROR(INDEX(PP_Grid[#Data],$DE1275,61),0)</f>
        <v/>
      </c>
      <c r="BM1275">
        <f>IFERROR(INDEX(PP_Grid[#Data],$DE1275,62),0)</f>
        <v/>
      </c>
      <c r="BN1275">
        <f>IFERROR(INDEX(PP_Grid[#Data],$DE1275,63),0)</f>
        <v/>
      </c>
      <c r="BO1275">
        <f>IFERROR(INDEX(PP_Grid[#Data],$DE1275,64),0)</f>
        <v/>
      </c>
      <c r="BP1275">
        <f>IFERROR(INDEX(PP_Grid[#Data],$DE1275,65),0)</f>
        <v/>
      </c>
      <c r="BQ1275">
        <f>IFERROR(INDEX(PP_Grid[#Data],$DE1275,66),0)</f>
        <v/>
      </c>
      <c r="BR1275">
        <f>IFERROR(INDEX(PP_Grid[#Data],$DE1275,67),0)</f>
        <v/>
      </c>
      <c r="BS1275">
        <f>IFERROR(INDEX(PP_Grid[#Data],$DE1275,68),0)</f>
        <v/>
      </c>
      <c r="BT1275">
        <f>IFERROR(INDEX(PP_Grid[#Data],$DE1275,69),0)</f>
        <v/>
      </c>
      <c r="BU1275">
        <f>IFERROR(INDEX(PP_Grid[#Data],$DE1275,70),0)</f>
        <v/>
      </c>
      <c r="BV1275">
        <f>IFERROR(INDEX(PP_Grid[#Data],$DE1275,71),0)</f>
        <v/>
      </c>
      <c r="BW1275">
        <f>IFERROR(INDEX(PP_Grid[#Data],$DE1275,72),0)</f>
        <v/>
      </c>
      <c r="BX1275">
        <f>IFERROR(INDEX(PP_Grid[#Data],$DE1275,73),0)</f>
        <v/>
      </c>
      <c r="BY1275">
        <f>IFERROR(INDEX(PP_Grid[#Data],$DE1275,74),0)</f>
        <v/>
      </c>
      <c r="BZ1275">
        <f>IFERROR(INDEX(PP_Grid[#Data],$DE1275,75),0)</f>
        <v/>
      </c>
      <c r="CA1275">
        <f>IFERROR(INDEX(PP_Grid[#Data],$DE1275,76),0)</f>
        <v/>
      </c>
      <c r="CB1275">
        <f>IFERROR(INDEX(PP_Grid[#Data],$DE1275,77),0)</f>
        <v/>
      </c>
      <c r="CC1275">
        <f>IFERROR(INDEX(PP_Grid[#Data],$DE1275,78),0)</f>
        <v/>
      </c>
      <c r="CD1275">
        <f>IFERROR(INDEX(PP_Grid[#Data],$DE1275,79),0)</f>
        <v/>
      </c>
      <c r="CE1275">
        <f>IFERROR(INDEX(PP_Grid[#Data],$DE1275,80),0)</f>
        <v/>
      </c>
      <c r="CF1275">
        <f>IFERROR(INDEX(PP_Grid[#Data],$DE1275,81),0)</f>
        <v/>
      </c>
      <c r="CG1275">
        <f>IFERROR(INDEX(PP_Grid[#Data],$DE1275,82),0)</f>
        <v/>
      </c>
      <c r="CH1275">
        <f>IFERROR(INDEX(PP_Grid[#Data],$DE1275,83),0)</f>
        <v/>
      </c>
      <c r="CI1275">
        <f>IFERROR(INDEX(PP_Grid[#Data],$DE1275,84),0)</f>
        <v/>
      </c>
      <c r="CJ1275">
        <f>IFERROR(INDEX(PP_Grid[#Data],$DE1275,85),0)</f>
        <v/>
      </c>
      <c r="CK1275">
        <f>IFERROR(INDEX(PP_Grid[#Data],$DE1275,86),0)</f>
        <v/>
      </c>
      <c r="CL1275">
        <f>IFERROR(INDEX(PP_Grid[#Data],$DE1275,87),0)</f>
        <v/>
      </c>
      <c r="CM1275">
        <f>IFERROR(INDEX(PP_Grid[#Data],$DE1275,88),0)</f>
        <v/>
      </c>
      <c r="CN1275">
        <f>IFERROR(INDEX(PP_Grid[#Data],$DE1275,89),0)</f>
        <v/>
      </c>
      <c r="CO1275">
        <f>IFERROR(INDEX(PP_Grid[#Data],$DE1275,90),0)</f>
        <v/>
      </c>
      <c r="CP1275">
        <f>IFERROR(INDEX(PP_Grid[#Data],$DE1275,91),0)</f>
        <v/>
      </c>
      <c r="CQ1275">
        <f>IFERROR(INDEX(PP_Grid[#Data],$DE1275,92),0)</f>
        <v/>
      </c>
      <c r="CR1275">
        <f>IFERROR(INDEX(PP_Grid[#Data],$DE1275,93),0)</f>
        <v/>
      </c>
      <c r="CS1275">
        <f>IFERROR(INDEX(PP_Grid[#Data],$DE1275,94),0)</f>
        <v/>
      </c>
      <c r="CT1275">
        <f>IFERROR(INDEX(PP_Grid[#Data],$DE1275,95),0)</f>
        <v/>
      </c>
      <c r="CU1275">
        <f>IFERROR(INDEX(PP_Grid[#Data],$DE1275,96),0)</f>
        <v/>
      </c>
      <c r="CV1275">
        <f>IFERROR(INDEX(PP_Grid[#Data],$DE1275,97),0)</f>
        <v/>
      </c>
      <c r="CW1275">
        <f>IFERROR(INDEX(PP_Grid[#Data],$DE1275,98),0)</f>
        <v/>
      </c>
      <c r="CX1275">
        <f>IFERROR(INDEX(PP_Grid[#Data],$DE1275,99),0)</f>
        <v/>
      </c>
      <c r="CY1275">
        <f>IFERROR(INDEX(PP_Grid[#Data],$DE1275,100),0)</f>
        <v/>
      </c>
      <c r="CZ1275">
        <f>IFERROR(INDEX(PP_Grid[#Data],$DE1275,101),0)</f>
        <v/>
      </c>
      <c r="DA1275">
        <f>IFERROR(INDEX(PP_Grid[#Data],$DE1275,102),0)</f>
        <v/>
      </c>
      <c r="DB1275">
        <f>IFERROR(INDEX(PP_Grid[#Data],$DE1275,103),0)</f>
        <v/>
      </c>
      <c r="DC1275">
        <f>IFERROR(INDEX(PP_Grid[#Data],$DE1275,104),0)</f>
        <v/>
      </c>
      <c r="DD1275">
        <f>IFERROR(INDEX(PP_Grid[#Data],$DE1275,105),0)</f>
        <v/>
      </c>
      <c r="DE1275" s="7">
        <f>IFERROR(MATCH($B1275,PP_Grid[Intermediate],0),99999)</f>
        <v/>
      </c>
    </row>
    <row r="1276">
      <c r="B1276" t="inlineStr">
        <is>
          <t>使用量(kg)</t>
        </is>
      </c>
      <c r="C1276">
        <f>SUMIFS(M_BOM[RM_Qty_Per_Batch],M_BOM[Intermediate],$B1275,M_BOM[RM_Code],$A1222)</f>
        <v/>
      </c>
      <c r="D1276">
        <f>IFERROR(INDEX(E1276:DD1276,$F$1),"")</f>
        <v/>
      </c>
      <c r="E1276">
        <f>$C1276*E1275</f>
        <v/>
      </c>
      <c r="F1276">
        <f>$C1276*F1275</f>
        <v/>
      </c>
      <c r="G1276">
        <f>$C1276*G1275</f>
        <v/>
      </c>
      <c r="H1276">
        <f>$C1276*H1275</f>
        <v/>
      </c>
      <c r="I1276">
        <f>$C1276*I1275</f>
        <v/>
      </c>
      <c r="J1276">
        <f>$C1276*J1275</f>
        <v/>
      </c>
      <c r="K1276">
        <f>$C1276*K1275</f>
        <v/>
      </c>
      <c r="L1276">
        <f>$C1276*L1275</f>
        <v/>
      </c>
      <c r="M1276">
        <f>$C1276*M1275</f>
        <v/>
      </c>
      <c r="N1276">
        <f>$C1276*N1275</f>
        <v/>
      </c>
      <c r="O1276">
        <f>$C1276*O1275</f>
        <v/>
      </c>
      <c r="P1276">
        <f>$C1276*P1275</f>
        <v/>
      </c>
      <c r="Q1276">
        <f>$C1276*Q1275</f>
        <v/>
      </c>
      <c r="R1276">
        <f>$C1276*R1275</f>
        <v/>
      </c>
      <c r="S1276">
        <f>$C1276*S1275</f>
        <v/>
      </c>
      <c r="T1276">
        <f>$C1276*T1275</f>
        <v/>
      </c>
      <c r="U1276">
        <f>$C1276*U1275</f>
        <v/>
      </c>
      <c r="V1276">
        <f>$C1276*V1275</f>
        <v/>
      </c>
      <c r="W1276">
        <f>$C1276*W1275</f>
        <v/>
      </c>
      <c r="X1276">
        <f>$C1276*X1275</f>
        <v/>
      </c>
      <c r="Y1276">
        <f>$C1276*Y1275</f>
        <v/>
      </c>
      <c r="Z1276">
        <f>$C1276*Z1275</f>
        <v/>
      </c>
      <c r="AA1276">
        <f>$C1276*AA1275</f>
        <v/>
      </c>
      <c r="AB1276">
        <f>$C1276*AB1275</f>
        <v/>
      </c>
      <c r="AC1276">
        <f>$C1276*AC1275</f>
        <v/>
      </c>
      <c r="AD1276">
        <f>$C1276*AD1275</f>
        <v/>
      </c>
      <c r="AE1276">
        <f>$C1276*AE1275</f>
        <v/>
      </c>
      <c r="AF1276">
        <f>$C1276*AF1275</f>
        <v/>
      </c>
      <c r="AG1276">
        <f>$C1276*AG1275</f>
        <v/>
      </c>
      <c r="AH1276">
        <f>$C1276*AH1275</f>
        <v/>
      </c>
      <c r="AI1276">
        <f>$C1276*AI1275</f>
        <v/>
      </c>
      <c r="AJ1276">
        <f>$C1276*AJ1275</f>
        <v/>
      </c>
      <c r="AK1276">
        <f>$C1276*AK1275</f>
        <v/>
      </c>
      <c r="AL1276">
        <f>$C1276*AL1275</f>
        <v/>
      </c>
      <c r="AM1276">
        <f>$C1276*AM1275</f>
        <v/>
      </c>
      <c r="AN1276">
        <f>$C1276*AN1275</f>
        <v/>
      </c>
      <c r="AO1276">
        <f>$C1276*AO1275</f>
        <v/>
      </c>
      <c r="AP1276">
        <f>$C1276*AP1275</f>
        <v/>
      </c>
      <c r="AQ1276">
        <f>$C1276*AQ1275</f>
        <v/>
      </c>
      <c r="AR1276">
        <f>$C1276*AR1275</f>
        <v/>
      </c>
      <c r="AS1276">
        <f>$C1276*AS1275</f>
        <v/>
      </c>
      <c r="AT1276">
        <f>$C1276*AT1275</f>
        <v/>
      </c>
      <c r="AU1276">
        <f>$C1276*AU1275</f>
        <v/>
      </c>
      <c r="AV1276">
        <f>$C1276*AV1275</f>
        <v/>
      </c>
      <c r="AW1276">
        <f>$C1276*AW1275</f>
        <v/>
      </c>
      <c r="AX1276">
        <f>$C1276*AX1275</f>
        <v/>
      </c>
      <c r="AY1276">
        <f>$C1276*AY1275</f>
        <v/>
      </c>
      <c r="AZ1276">
        <f>$C1276*AZ1275</f>
        <v/>
      </c>
      <c r="BA1276">
        <f>$C1276*BA1275</f>
        <v/>
      </c>
      <c r="BB1276">
        <f>$C1276*BB1275</f>
        <v/>
      </c>
      <c r="BC1276">
        <f>$C1276*BC1275</f>
        <v/>
      </c>
      <c r="BD1276">
        <f>$C1276*BD1275</f>
        <v/>
      </c>
      <c r="BE1276">
        <f>$C1276*BE1275</f>
        <v/>
      </c>
      <c r="BF1276">
        <f>$C1276*BF1275</f>
        <v/>
      </c>
      <c r="BG1276">
        <f>$C1276*BG1275</f>
        <v/>
      </c>
      <c r="BH1276">
        <f>$C1276*BH1275</f>
        <v/>
      </c>
      <c r="BI1276">
        <f>$C1276*BI1275</f>
        <v/>
      </c>
      <c r="BJ1276">
        <f>$C1276*BJ1275</f>
        <v/>
      </c>
      <c r="BK1276">
        <f>$C1276*BK1275</f>
        <v/>
      </c>
      <c r="BL1276">
        <f>$C1276*BL1275</f>
        <v/>
      </c>
      <c r="BM1276">
        <f>$C1276*BM1275</f>
        <v/>
      </c>
      <c r="BN1276">
        <f>$C1276*BN1275</f>
        <v/>
      </c>
      <c r="BO1276">
        <f>$C1276*BO1275</f>
        <v/>
      </c>
      <c r="BP1276">
        <f>$C1276*BP1275</f>
        <v/>
      </c>
      <c r="BQ1276">
        <f>$C1276*BQ1275</f>
        <v/>
      </c>
      <c r="BR1276">
        <f>$C1276*BR1275</f>
        <v/>
      </c>
      <c r="BS1276">
        <f>$C1276*BS1275</f>
        <v/>
      </c>
      <c r="BT1276">
        <f>$C1276*BT1275</f>
        <v/>
      </c>
      <c r="BU1276">
        <f>$C1276*BU1275</f>
        <v/>
      </c>
      <c r="BV1276">
        <f>$C1276*BV1275</f>
        <v/>
      </c>
      <c r="BW1276">
        <f>$C1276*BW1275</f>
        <v/>
      </c>
      <c r="BX1276">
        <f>$C1276*BX1275</f>
        <v/>
      </c>
      <c r="BY1276">
        <f>$C1276*BY1275</f>
        <v/>
      </c>
      <c r="BZ1276">
        <f>$C1276*BZ1275</f>
        <v/>
      </c>
      <c r="CA1276">
        <f>$C1276*CA1275</f>
        <v/>
      </c>
      <c r="CB1276">
        <f>$C1276*CB1275</f>
        <v/>
      </c>
      <c r="CC1276">
        <f>$C1276*CC1275</f>
        <v/>
      </c>
      <c r="CD1276">
        <f>$C1276*CD1275</f>
        <v/>
      </c>
      <c r="CE1276">
        <f>$C1276*CE1275</f>
        <v/>
      </c>
      <c r="CF1276">
        <f>$C1276*CF1275</f>
        <v/>
      </c>
      <c r="CG1276">
        <f>$C1276*CG1275</f>
        <v/>
      </c>
      <c r="CH1276">
        <f>$C1276*CH1275</f>
        <v/>
      </c>
      <c r="CI1276">
        <f>$C1276*CI1275</f>
        <v/>
      </c>
      <c r="CJ1276">
        <f>$C1276*CJ1275</f>
        <v/>
      </c>
      <c r="CK1276">
        <f>$C1276*CK1275</f>
        <v/>
      </c>
      <c r="CL1276">
        <f>$C1276*CL1275</f>
        <v/>
      </c>
      <c r="CM1276">
        <f>$C1276*CM1275</f>
        <v/>
      </c>
      <c r="CN1276">
        <f>$C1276*CN1275</f>
        <v/>
      </c>
      <c r="CO1276">
        <f>$C1276*CO1275</f>
        <v/>
      </c>
      <c r="CP1276">
        <f>$C1276*CP1275</f>
        <v/>
      </c>
      <c r="CQ1276">
        <f>$C1276*CQ1275</f>
        <v/>
      </c>
      <c r="CR1276">
        <f>$C1276*CR1275</f>
        <v/>
      </c>
      <c r="CS1276">
        <f>$C1276*CS1275</f>
        <v/>
      </c>
      <c r="CT1276">
        <f>$C1276*CT1275</f>
        <v/>
      </c>
      <c r="CU1276">
        <f>$C1276*CU1275</f>
        <v/>
      </c>
      <c r="CV1276">
        <f>$C1276*CV1275</f>
        <v/>
      </c>
      <c r="CW1276">
        <f>$C1276*CW1275</f>
        <v/>
      </c>
      <c r="CX1276">
        <f>$C1276*CX1275</f>
        <v/>
      </c>
      <c r="CY1276">
        <f>$C1276*CY1275</f>
        <v/>
      </c>
      <c r="CZ1276">
        <f>$C1276*CZ1275</f>
        <v/>
      </c>
      <c r="DA1276">
        <f>$C1276*DA1275</f>
        <v/>
      </c>
      <c r="DB1276">
        <f>$C1276*DB1275</f>
        <v/>
      </c>
      <c r="DC1276">
        <f>$C1276*DC1275</f>
        <v/>
      </c>
      <c r="DD1276">
        <f>$C1276*DD1275</f>
        <v/>
      </c>
    </row>
    <row r="1277">
      <c r="B1277" s="4" t="inlineStr">
        <is>
          <t>合計使用量(kg)/週</t>
        </is>
      </c>
      <c r="D1277" s="23">
        <f>IFERROR(INDEX(E1277:DD1277,$F$1),"")</f>
        <v/>
      </c>
      <c r="E1277">
        <f>'Grid_Requirement'!B20</f>
        <v/>
      </c>
      <c r="F1277">
        <f>'Grid_Requirement'!C20</f>
        <v/>
      </c>
      <c r="G1277">
        <f>'Grid_Requirement'!D20</f>
        <v/>
      </c>
      <c r="H1277">
        <f>'Grid_Requirement'!E20</f>
        <v/>
      </c>
      <c r="I1277">
        <f>'Grid_Requirement'!F20</f>
        <v/>
      </c>
      <c r="J1277">
        <f>'Grid_Requirement'!G20</f>
        <v/>
      </c>
      <c r="K1277">
        <f>'Grid_Requirement'!H20</f>
        <v/>
      </c>
      <c r="L1277">
        <f>'Grid_Requirement'!I20</f>
        <v/>
      </c>
      <c r="M1277">
        <f>'Grid_Requirement'!J20</f>
        <v/>
      </c>
      <c r="N1277">
        <f>'Grid_Requirement'!K20</f>
        <v/>
      </c>
      <c r="O1277">
        <f>'Grid_Requirement'!L20</f>
        <v/>
      </c>
      <c r="P1277">
        <f>'Grid_Requirement'!M20</f>
        <v/>
      </c>
      <c r="Q1277">
        <f>'Grid_Requirement'!N20</f>
        <v/>
      </c>
      <c r="R1277">
        <f>'Grid_Requirement'!O20</f>
        <v/>
      </c>
      <c r="S1277">
        <f>'Grid_Requirement'!P20</f>
        <v/>
      </c>
      <c r="T1277">
        <f>'Grid_Requirement'!Q20</f>
        <v/>
      </c>
      <c r="U1277">
        <f>'Grid_Requirement'!R20</f>
        <v/>
      </c>
      <c r="V1277">
        <f>'Grid_Requirement'!S20</f>
        <v/>
      </c>
      <c r="W1277">
        <f>'Grid_Requirement'!T20</f>
        <v/>
      </c>
      <c r="X1277">
        <f>'Grid_Requirement'!U20</f>
        <v/>
      </c>
      <c r="Y1277">
        <f>'Grid_Requirement'!V20</f>
        <v/>
      </c>
      <c r="Z1277">
        <f>'Grid_Requirement'!W20</f>
        <v/>
      </c>
      <c r="AA1277">
        <f>'Grid_Requirement'!X20</f>
        <v/>
      </c>
      <c r="AB1277">
        <f>'Grid_Requirement'!Y20</f>
        <v/>
      </c>
      <c r="AC1277">
        <f>'Grid_Requirement'!Z20</f>
        <v/>
      </c>
      <c r="AD1277">
        <f>'Grid_Requirement'!AA20</f>
        <v/>
      </c>
      <c r="AE1277">
        <f>'Grid_Requirement'!AB20</f>
        <v/>
      </c>
      <c r="AF1277">
        <f>'Grid_Requirement'!AC20</f>
        <v/>
      </c>
      <c r="AG1277">
        <f>'Grid_Requirement'!AD20</f>
        <v/>
      </c>
      <c r="AH1277">
        <f>'Grid_Requirement'!AE20</f>
        <v/>
      </c>
      <c r="AI1277">
        <f>'Grid_Requirement'!AF20</f>
        <v/>
      </c>
      <c r="AJ1277">
        <f>'Grid_Requirement'!AG20</f>
        <v/>
      </c>
      <c r="AK1277">
        <f>'Grid_Requirement'!AH20</f>
        <v/>
      </c>
      <c r="AL1277">
        <f>'Grid_Requirement'!AI20</f>
        <v/>
      </c>
      <c r="AM1277">
        <f>'Grid_Requirement'!AJ20</f>
        <v/>
      </c>
      <c r="AN1277">
        <f>'Grid_Requirement'!AK20</f>
        <v/>
      </c>
      <c r="AO1277">
        <f>'Grid_Requirement'!AL20</f>
        <v/>
      </c>
      <c r="AP1277">
        <f>'Grid_Requirement'!AM20</f>
        <v/>
      </c>
      <c r="AQ1277">
        <f>'Grid_Requirement'!AN20</f>
        <v/>
      </c>
      <c r="AR1277">
        <f>'Grid_Requirement'!AO20</f>
        <v/>
      </c>
      <c r="AS1277">
        <f>'Grid_Requirement'!AP20</f>
        <v/>
      </c>
      <c r="AT1277">
        <f>'Grid_Requirement'!AQ20</f>
        <v/>
      </c>
      <c r="AU1277">
        <f>'Grid_Requirement'!AR20</f>
        <v/>
      </c>
      <c r="AV1277">
        <f>'Grid_Requirement'!AS20</f>
        <v/>
      </c>
      <c r="AW1277">
        <f>'Grid_Requirement'!AT20</f>
        <v/>
      </c>
      <c r="AX1277">
        <f>'Grid_Requirement'!AU20</f>
        <v/>
      </c>
      <c r="AY1277">
        <f>'Grid_Requirement'!AV20</f>
        <v/>
      </c>
      <c r="AZ1277">
        <f>'Grid_Requirement'!AW20</f>
        <v/>
      </c>
      <c r="BA1277">
        <f>'Grid_Requirement'!AX20</f>
        <v/>
      </c>
      <c r="BB1277">
        <f>'Grid_Requirement'!AY20</f>
        <v/>
      </c>
      <c r="BC1277">
        <f>'Grid_Requirement'!AZ20</f>
        <v/>
      </c>
      <c r="BD1277">
        <f>'Grid_Requirement'!BA20</f>
        <v/>
      </c>
      <c r="BE1277">
        <f>'Grid_Requirement'!BB20</f>
        <v/>
      </c>
      <c r="BF1277">
        <f>'Grid_Requirement'!BC20</f>
        <v/>
      </c>
      <c r="BG1277">
        <f>'Grid_Requirement'!BD20</f>
        <v/>
      </c>
      <c r="BH1277">
        <f>'Grid_Requirement'!BE20</f>
        <v/>
      </c>
      <c r="BI1277">
        <f>'Grid_Requirement'!BF20</f>
        <v/>
      </c>
      <c r="BJ1277">
        <f>'Grid_Requirement'!BG20</f>
        <v/>
      </c>
      <c r="BK1277">
        <f>'Grid_Requirement'!BH20</f>
        <v/>
      </c>
      <c r="BL1277">
        <f>'Grid_Requirement'!BI20</f>
        <v/>
      </c>
      <c r="BM1277">
        <f>'Grid_Requirement'!BJ20</f>
        <v/>
      </c>
      <c r="BN1277">
        <f>'Grid_Requirement'!BK20</f>
        <v/>
      </c>
      <c r="BO1277">
        <f>'Grid_Requirement'!BL20</f>
        <v/>
      </c>
      <c r="BP1277">
        <f>'Grid_Requirement'!BM20</f>
        <v/>
      </c>
      <c r="BQ1277">
        <f>'Grid_Requirement'!BN20</f>
        <v/>
      </c>
      <c r="BR1277">
        <f>'Grid_Requirement'!BO20</f>
        <v/>
      </c>
      <c r="BS1277">
        <f>'Grid_Requirement'!BP20</f>
        <v/>
      </c>
      <c r="BT1277">
        <f>'Grid_Requirement'!BQ20</f>
        <v/>
      </c>
      <c r="BU1277">
        <f>'Grid_Requirement'!BR20</f>
        <v/>
      </c>
      <c r="BV1277">
        <f>'Grid_Requirement'!BS20</f>
        <v/>
      </c>
      <c r="BW1277">
        <f>'Grid_Requirement'!BT20</f>
        <v/>
      </c>
      <c r="BX1277">
        <f>'Grid_Requirement'!BU20</f>
        <v/>
      </c>
      <c r="BY1277">
        <f>'Grid_Requirement'!BV20</f>
        <v/>
      </c>
      <c r="BZ1277">
        <f>'Grid_Requirement'!BW20</f>
        <v/>
      </c>
      <c r="CA1277">
        <f>'Grid_Requirement'!BX20</f>
        <v/>
      </c>
      <c r="CB1277">
        <f>'Grid_Requirement'!BY20</f>
        <v/>
      </c>
      <c r="CC1277">
        <f>'Grid_Requirement'!BZ20</f>
        <v/>
      </c>
      <c r="CD1277">
        <f>'Grid_Requirement'!CA20</f>
        <v/>
      </c>
      <c r="CE1277">
        <f>'Grid_Requirement'!CB20</f>
        <v/>
      </c>
      <c r="CF1277">
        <f>'Grid_Requirement'!CC20</f>
        <v/>
      </c>
      <c r="CG1277">
        <f>'Grid_Requirement'!CD20</f>
        <v/>
      </c>
      <c r="CH1277">
        <f>'Grid_Requirement'!CE20</f>
        <v/>
      </c>
      <c r="CI1277">
        <f>'Grid_Requirement'!CF20</f>
        <v/>
      </c>
      <c r="CJ1277">
        <f>'Grid_Requirement'!CG20</f>
        <v/>
      </c>
      <c r="CK1277">
        <f>'Grid_Requirement'!CH20</f>
        <v/>
      </c>
      <c r="CL1277">
        <f>'Grid_Requirement'!CI20</f>
        <v/>
      </c>
      <c r="CM1277">
        <f>'Grid_Requirement'!CJ20</f>
        <v/>
      </c>
      <c r="CN1277">
        <f>'Grid_Requirement'!CK20</f>
        <v/>
      </c>
      <c r="CO1277">
        <f>'Grid_Requirement'!CL20</f>
        <v/>
      </c>
      <c r="CP1277">
        <f>'Grid_Requirement'!CM20</f>
        <v/>
      </c>
      <c r="CQ1277">
        <f>'Grid_Requirement'!CN20</f>
        <v/>
      </c>
      <c r="CR1277">
        <f>'Grid_Requirement'!CO20</f>
        <v/>
      </c>
      <c r="CS1277">
        <f>'Grid_Requirement'!CP20</f>
        <v/>
      </c>
      <c r="CT1277">
        <f>'Grid_Requirement'!CQ20</f>
        <v/>
      </c>
      <c r="CU1277">
        <f>'Grid_Requirement'!CR20</f>
        <v/>
      </c>
      <c r="CV1277">
        <f>'Grid_Requirement'!CS20</f>
        <v/>
      </c>
      <c r="CW1277">
        <f>'Grid_Requirement'!CT20</f>
        <v/>
      </c>
      <c r="CX1277">
        <f>'Grid_Requirement'!CU20</f>
        <v/>
      </c>
      <c r="CY1277">
        <f>'Grid_Requirement'!CV20</f>
        <v/>
      </c>
      <c r="CZ1277">
        <f>'Grid_Requirement'!CW20</f>
        <v/>
      </c>
      <c r="DA1277">
        <f>'Grid_Requirement'!CX20</f>
        <v/>
      </c>
      <c r="DB1277">
        <f>'Grid_Requirement'!CY20</f>
        <v/>
      </c>
      <c r="DC1277">
        <f>'Grid_Requirement'!CZ20</f>
        <v/>
      </c>
      <c r="DD1277">
        <f>'Grid_Requirement'!DA20</f>
        <v/>
      </c>
    </row>
    <row r="1278">
      <c r="B1278" t="inlineStr">
        <is>
          <t>TTAF在庫(実績,kg)</t>
        </is>
      </c>
      <c r="D1278">
        <f>IFERROR(INDEX(E1278:DD1278,$F$1),"")</f>
        <v/>
      </c>
      <c r="E1278">
        <f>IFERROR(SUMIFS(T_TTAFStock[TTAF_Qty],T_TTAFStock[RM_Code],$A1222,T_TTAFStock[WeekIndex],1),"")</f>
        <v/>
      </c>
      <c r="F1278">
        <f>IFERROR(SUMIFS(T_TTAFStock[TTAF_Qty],T_TTAFStock[RM_Code],$A1222,T_TTAFStock[WeekIndex],2),"")</f>
        <v/>
      </c>
      <c r="G1278">
        <f>IFERROR(SUMIFS(T_TTAFStock[TTAF_Qty],T_TTAFStock[RM_Code],$A1222,T_TTAFStock[WeekIndex],3),"")</f>
        <v/>
      </c>
      <c r="H1278">
        <f>IFERROR(SUMIFS(T_TTAFStock[TTAF_Qty],T_TTAFStock[RM_Code],$A1222,T_TTAFStock[WeekIndex],4),"")</f>
        <v/>
      </c>
      <c r="I1278">
        <f>IFERROR(SUMIFS(T_TTAFStock[TTAF_Qty],T_TTAFStock[RM_Code],$A1222,T_TTAFStock[WeekIndex],5),"")</f>
        <v/>
      </c>
      <c r="J1278">
        <f>IFERROR(SUMIFS(T_TTAFStock[TTAF_Qty],T_TTAFStock[RM_Code],$A1222,T_TTAFStock[WeekIndex],6),"")</f>
        <v/>
      </c>
      <c r="K1278">
        <f>IFERROR(SUMIFS(T_TTAFStock[TTAF_Qty],T_TTAFStock[RM_Code],$A1222,T_TTAFStock[WeekIndex],7),"")</f>
        <v/>
      </c>
      <c r="L1278">
        <f>IFERROR(SUMIFS(T_TTAFStock[TTAF_Qty],T_TTAFStock[RM_Code],$A1222,T_TTAFStock[WeekIndex],8),"")</f>
        <v/>
      </c>
      <c r="M1278">
        <f>IFERROR(SUMIFS(T_TTAFStock[TTAF_Qty],T_TTAFStock[RM_Code],$A1222,T_TTAFStock[WeekIndex],9),"")</f>
        <v/>
      </c>
      <c r="N1278">
        <f>IFERROR(SUMIFS(T_TTAFStock[TTAF_Qty],T_TTAFStock[RM_Code],$A1222,T_TTAFStock[WeekIndex],10),"")</f>
        <v/>
      </c>
      <c r="O1278">
        <f>IFERROR(SUMIFS(T_TTAFStock[TTAF_Qty],T_TTAFStock[RM_Code],$A1222,T_TTAFStock[WeekIndex],11),"")</f>
        <v/>
      </c>
      <c r="P1278">
        <f>IFERROR(SUMIFS(T_TTAFStock[TTAF_Qty],T_TTAFStock[RM_Code],$A1222,T_TTAFStock[WeekIndex],12),"")</f>
        <v/>
      </c>
      <c r="Q1278">
        <f>IFERROR(SUMIFS(T_TTAFStock[TTAF_Qty],T_TTAFStock[RM_Code],$A1222,T_TTAFStock[WeekIndex],13),"")</f>
        <v/>
      </c>
      <c r="R1278">
        <f>IFERROR(SUMIFS(T_TTAFStock[TTAF_Qty],T_TTAFStock[RM_Code],$A1222,T_TTAFStock[WeekIndex],14),"")</f>
        <v/>
      </c>
      <c r="S1278">
        <f>IFERROR(SUMIFS(T_TTAFStock[TTAF_Qty],T_TTAFStock[RM_Code],$A1222,T_TTAFStock[WeekIndex],15),"")</f>
        <v/>
      </c>
      <c r="T1278">
        <f>IFERROR(SUMIFS(T_TTAFStock[TTAF_Qty],T_TTAFStock[RM_Code],$A1222,T_TTAFStock[WeekIndex],16),"")</f>
        <v/>
      </c>
      <c r="U1278">
        <f>IFERROR(SUMIFS(T_TTAFStock[TTAF_Qty],T_TTAFStock[RM_Code],$A1222,T_TTAFStock[WeekIndex],17),"")</f>
        <v/>
      </c>
      <c r="V1278">
        <f>IFERROR(SUMIFS(T_TTAFStock[TTAF_Qty],T_TTAFStock[RM_Code],$A1222,T_TTAFStock[WeekIndex],18),"")</f>
        <v/>
      </c>
      <c r="W1278">
        <f>IFERROR(SUMIFS(T_TTAFStock[TTAF_Qty],T_TTAFStock[RM_Code],$A1222,T_TTAFStock[WeekIndex],19),"")</f>
        <v/>
      </c>
      <c r="X1278">
        <f>IFERROR(SUMIFS(T_TTAFStock[TTAF_Qty],T_TTAFStock[RM_Code],$A1222,T_TTAFStock[WeekIndex],20),"")</f>
        <v/>
      </c>
      <c r="Y1278">
        <f>IFERROR(SUMIFS(T_TTAFStock[TTAF_Qty],T_TTAFStock[RM_Code],$A1222,T_TTAFStock[WeekIndex],21),"")</f>
        <v/>
      </c>
      <c r="Z1278">
        <f>IFERROR(SUMIFS(T_TTAFStock[TTAF_Qty],T_TTAFStock[RM_Code],$A1222,T_TTAFStock[WeekIndex],22),"")</f>
        <v/>
      </c>
      <c r="AA1278">
        <f>IFERROR(SUMIFS(T_TTAFStock[TTAF_Qty],T_TTAFStock[RM_Code],$A1222,T_TTAFStock[WeekIndex],23),"")</f>
        <v/>
      </c>
      <c r="AB1278">
        <f>IFERROR(SUMIFS(T_TTAFStock[TTAF_Qty],T_TTAFStock[RM_Code],$A1222,T_TTAFStock[WeekIndex],24),"")</f>
        <v/>
      </c>
      <c r="AC1278">
        <f>IFERROR(SUMIFS(T_TTAFStock[TTAF_Qty],T_TTAFStock[RM_Code],$A1222,T_TTAFStock[WeekIndex],25),"")</f>
        <v/>
      </c>
      <c r="AD1278">
        <f>IFERROR(SUMIFS(T_TTAFStock[TTAF_Qty],T_TTAFStock[RM_Code],$A1222,T_TTAFStock[WeekIndex],26),"")</f>
        <v/>
      </c>
      <c r="AE1278">
        <f>IFERROR(SUMIFS(T_TTAFStock[TTAF_Qty],T_TTAFStock[RM_Code],$A1222,T_TTAFStock[WeekIndex],27),"")</f>
        <v/>
      </c>
      <c r="AF1278">
        <f>IFERROR(SUMIFS(T_TTAFStock[TTAF_Qty],T_TTAFStock[RM_Code],$A1222,T_TTAFStock[WeekIndex],28),"")</f>
        <v/>
      </c>
      <c r="AG1278">
        <f>IFERROR(SUMIFS(T_TTAFStock[TTAF_Qty],T_TTAFStock[RM_Code],$A1222,T_TTAFStock[WeekIndex],29),"")</f>
        <v/>
      </c>
      <c r="AH1278">
        <f>IFERROR(SUMIFS(T_TTAFStock[TTAF_Qty],T_TTAFStock[RM_Code],$A1222,T_TTAFStock[WeekIndex],30),"")</f>
        <v/>
      </c>
      <c r="AI1278">
        <f>IFERROR(SUMIFS(T_TTAFStock[TTAF_Qty],T_TTAFStock[RM_Code],$A1222,T_TTAFStock[WeekIndex],31),"")</f>
        <v/>
      </c>
      <c r="AJ1278">
        <f>IFERROR(SUMIFS(T_TTAFStock[TTAF_Qty],T_TTAFStock[RM_Code],$A1222,T_TTAFStock[WeekIndex],32),"")</f>
        <v/>
      </c>
      <c r="AK1278">
        <f>IFERROR(SUMIFS(T_TTAFStock[TTAF_Qty],T_TTAFStock[RM_Code],$A1222,T_TTAFStock[WeekIndex],33),"")</f>
        <v/>
      </c>
      <c r="AL1278">
        <f>IFERROR(SUMIFS(T_TTAFStock[TTAF_Qty],T_TTAFStock[RM_Code],$A1222,T_TTAFStock[WeekIndex],34),"")</f>
        <v/>
      </c>
      <c r="AM1278">
        <f>IFERROR(SUMIFS(T_TTAFStock[TTAF_Qty],T_TTAFStock[RM_Code],$A1222,T_TTAFStock[WeekIndex],35),"")</f>
        <v/>
      </c>
      <c r="AN1278">
        <f>IFERROR(SUMIFS(T_TTAFStock[TTAF_Qty],T_TTAFStock[RM_Code],$A1222,T_TTAFStock[WeekIndex],36),"")</f>
        <v/>
      </c>
      <c r="AO1278">
        <f>IFERROR(SUMIFS(T_TTAFStock[TTAF_Qty],T_TTAFStock[RM_Code],$A1222,T_TTAFStock[WeekIndex],37),"")</f>
        <v/>
      </c>
      <c r="AP1278">
        <f>IFERROR(SUMIFS(T_TTAFStock[TTAF_Qty],T_TTAFStock[RM_Code],$A1222,T_TTAFStock[WeekIndex],38),"")</f>
        <v/>
      </c>
      <c r="AQ1278">
        <f>IFERROR(SUMIFS(T_TTAFStock[TTAF_Qty],T_TTAFStock[RM_Code],$A1222,T_TTAFStock[WeekIndex],39),"")</f>
        <v/>
      </c>
      <c r="AR1278">
        <f>IFERROR(SUMIFS(T_TTAFStock[TTAF_Qty],T_TTAFStock[RM_Code],$A1222,T_TTAFStock[WeekIndex],40),"")</f>
        <v/>
      </c>
      <c r="AS1278">
        <f>IFERROR(SUMIFS(T_TTAFStock[TTAF_Qty],T_TTAFStock[RM_Code],$A1222,T_TTAFStock[WeekIndex],41),"")</f>
        <v/>
      </c>
      <c r="AT1278">
        <f>IFERROR(SUMIFS(T_TTAFStock[TTAF_Qty],T_TTAFStock[RM_Code],$A1222,T_TTAFStock[WeekIndex],42),"")</f>
        <v/>
      </c>
      <c r="AU1278">
        <f>IFERROR(SUMIFS(T_TTAFStock[TTAF_Qty],T_TTAFStock[RM_Code],$A1222,T_TTAFStock[WeekIndex],43),"")</f>
        <v/>
      </c>
      <c r="AV1278">
        <f>IFERROR(SUMIFS(T_TTAFStock[TTAF_Qty],T_TTAFStock[RM_Code],$A1222,T_TTAFStock[WeekIndex],44),"")</f>
        <v/>
      </c>
      <c r="AW1278">
        <f>IFERROR(SUMIFS(T_TTAFStock[TTAF_Qty],T_TTAFStock[RM_Code],$A1222,T_TTAFStock[WeekIndex],45),"")</f>
        <v/>
      </c>
      <c r="AX1278">
        <f>IFERROR(SUMIFS(T_TTAFStock[TTAF_Qty],T_TTAFStock[RM_Code],$A1222,T_TTAFStock[WeekIndex],46),"")</f>
        <v/>
      </c>
      <c r="AY1278">
        <f>IFERROR(SUMIFS(T_TTAFStock[TTAF_Qty],T_TTAFStock[RM_Code],$A1222,T_TTAFStock[WeekIndex],47),"")</f>
        <v/>
      </c>
      <c r="AZ1278">
        <f>IFERROR(SUMIFS(T_TTAFStock[TTAF_Qty],T_TTAFStock[RM_Code],$A1222,T_TTAFStock[WeekIndex],48),"")</f>
        <v/>
      </c>
      <c r="BA1278">
        <f>IFERROR(SUMIFS(T_TTAFStock[TTAF_Qty],T_TTAFStock[RM_Code],$A1222,T_TTAFStock[WeekIndex],49),"")</f>
        <v/>
      </c>
      <c r="BB1278">
        <f>IFERROR(SUMIFS(T_TTAFStock[TTAF_Qty],T_TTAFStock[RM_Code],$A1222,T_TTAFStock[WeekIndex],50),"")</f>
        <v/>
      </c>
      <c r="BC1278">
        <f>IFERROR(SUMIFS(T_TTAFStock[TTAF_Qty],T_TTAFStock[RM_Code],$A1222,T_TTAFStock[WeekIndex],51),"")</f>
        <v/>
      </c>
      <c r="BD1278">
        <f>IFERROR(SUMIFS(T_TTAFStock[TTAF_Qty],T_TTAFStock[RM_Code],$A1222,T_TTAFStock[WeekIndex],52),"")</f>
        <v/>
      </c>
      <c r="BE1278">
        <f>IFERROR(SUMIFS(T_TTAFStock[TTAF_Qty],T_TTAFStock[RM_Code],$A1222,T_TTAFStock[WeekIndex],53),"")</f>
        <v/>
      </c>
      <c r="BF1278">
        <f>IFERROR(SUMIFS(T_TTAFStock[TTAF_Qty],T_TTAFStock[RM_Code],$A1222,T_TTAFStock[WeekIndex],54),"")</f>
        <v/>
      </c>
      <c r="BG1278">
        <f>IFERROR(SUMIFS(T_TTAFStock[TTAF_Qty],T_TTAFStock[RM_Code],$A1222,T_TTAFStock[WeekIndex],55),"")</f>
        <v/>
      </c>
      <c r="BH1278">
        <f>IFERROR(SUMIFS(T_TTAFStock[TTAF_Qty],T_TTAFStock[RM_Code],$A1222,T_TTAFStock[WeekIndex],56),"")</f>
        <v/>
      </c>
      <c r="BI1278">
        <f>IFERROR(SUMIFS(T_TTAFStock[TTAF_Qty],T_TTAFStock[RM_Code],$A1222,T_TTAFStock[WeekIndex],57),"")</f>
        <v/>
      </c>
      <c r="BJ1278">
        <f>IFERROR(SUMIFS(T_TTAFStock[TTAF_Qty],T_TTAFStock[RM_Code],$A1222,T_TTAFStock[WeekIndex],58),"")</f>
        <v/>
      </c>
      <c r="BK1278">
        <f>IFERROR(SUMIFS(T_TTAFStock[TTAF_Qty],T_TTAFStock[RM_Code],$A1222,T_TTAFStock[WeekIndex],59),"")</f>
        <v/>
      </c>
      <c r="BL1278">
        <f>IFERROR(SUMIFS(T_TTAFStock[TTAF_Qty],T_TTAFStock[RM_Code],$A1222,T_TTAFStock[WeekIndex],60),"")</f>
        <v/>
      </c>
      <c r="BM1278">
        <f>IFERROR(SUMIFS(T_TTAFStock[TTAF_Qty],T_TTAFStock[RM_Code],$A1222,T_TTAFStock[WeekIndex],61),"")</f>
        <v/>
      </c>
      <c r="BN1278">
        <f>IFERROR(SUMIFS(T_TTAFStock[TTAF_Qty],T_TTAFStock[RM_Code],$A1222,T_TTAFStock[WeekIndex],62),"")</f>
        <v/>
      </c>
      <c r="BO1278">
        <f>IFERROR(SUMIFS(T_TTAFStock[TTAF_Qty],T_TTAFStock[RM_Code],$A1222,T_TTAFStock[WeekIndex],63),"")</f>
        <v/>
      </c>
      <c r="BP1278">
        <f>IFERROR(SUMIFS(T_TTAFStock[TTAF_Qty],T_TTAFStock[RM_Code],$A1222,T_TTAFStock[WeekIndex],64),"")</f>
        <v/>
      </c>
      <c r="BQ1278">
        <f>IFERROR(SUMIFS(T_TTAFStock[TTAF_Qty],T_TTAFStock[RM_Code],$A1222,T_TTAFStock[WeekIndex],65),"")</f>
        <v/>
      </c>
      <c r="BR1278">
        <f>IFERROR(SUMIFS(T_TTAFStock[TTAF_Qty],T_TTAFStock[RM_Code],$A1222,T_TTAFStock[WeekIndex],66),"")</f>
        <v/>
      </c>
      <c r="BS1278">
        <f>IFERROR(SUMIFS(T_TTAFStock[TTAF_Qty],T_TTAFStock[RM_Code],$A1222,T_TTAFStock[WeekIndex],67),"")</f>
        <v/>
      </c>
      <c r="BT1278">
        <f>IFERROR(SUMIFS(T_TTAFStock[TTAF_Qty],T_TTAFStock[RM_Code],$A1222,T_TTAFStock[WeekIndex],68),"")</f>
        <v/>
      </c>
      <c r="BU1278">
        <f>IFERROR(SUMIFS(T_TTAFStock[TTAF_Qty],T_TTAFStock[RM_Code],$A1222,T_TTAFStock[WeekIndex],69),"")</f>
        <v/>
      </c>
      <c r="BV1278">
        <f>IFERROR(SUMIFS(T_TTAFStock[TTAF_Qty],T_TTAFStock[RM_Code],$A1222,T_TTAFStock[WeekIndex],70),"")</f>
        <v/>
      </c>
      <c r="BW1278">
        <f>IFERROR(SUMIFS(T_TTAFStock[TTAF_Qty],T_TTAFStock[RM_Code],$A1222,T_TTAFStock[WeekIndex],71),"")</f>
        <v/>
      </c>
      <c r="BX1278">
        <f>IFERROR(SUMIFS(T_TTAFStock[TTAF_Qty],T_TTAFStock[RM_Code],$A1222,T_TTAFStock[WeekIndex],72),"")</f>
        <v/>
      </c>
      <c r="BY1278">
        <f>IFERROR(SUMIFS(T_TTAFStock[TTAF_Qty],T_TTAFStock[RM_Code],$A1222,T_TTAFStock[WeekIndex],73),"")</f>
        <v/>
      </c>
      <c r="BZ1278">
        <f>IFERROR(SUMIFS(T_TTAFStock[TTAF_Qty],T_TTAFStock[RM_Code],$A1222,T_TTAFStock[WeekIndex],74),"")</f>
        <v/>
      </c>
      <c r="CA1278">
        <f>IFERROR(SUMIFS(T_TTAFStock[TTAF_Qty],T_TTAFStock[RM_Code],$A1222,T_TTAFStock[WeekIndex],75),"")</f>
        <v/>
      </c>
      <c r="CB1278">
        <f>IFERROR(SUMIFS(T_TTAFStock[TTAF_Qty],T_TTAFStock[RM_Code],$A1222,T_TTAFStock[WeekIndex],76),"")</f>
        <v/>
      </c>
      <c r="CC1278">
        <f>IFERROR(SUMIFS(T_TTAFStock[TTAF_Qty],T_TTAFStock[RM_Code],$A1222,T_TTAFStock[WeekIndex],77),"")</f>
        <v/>
      </c>
      <c r="CD1278">
        <f>IFERROR(SUMIFS(T_TTAFStock[TTAF_Qty],T_TTAFStock[RM_Code],$A1222,T_TTAFStock[WeekIndex],78),"")</f>
        <v/>
      </c>
      <c r="CE1278">
        <f>IFERROR(SUMIFS(T_TTAFStock[TTAF_Qty],T_TTAFStock[RM_Code],$A1222,T_TTAFStock[WeekIndex],79),"")</f>
        <v/>
      </c>
      <c r="CF1278">
        <f>IFERROR(SUMIFS(T_TTAFStock[TTAF_Qty],T_TTAFStock[RM_Code],$A1222,T_TTAFStock[WeekIndex],80),"")</f>
        <v/>
      </c>
      <c r="CG1278">
        <f>IFERROR(SUMIFS(T_TTAFStock[TTAF_Qty],T_TTAFStock[RM_Code],$A1222,T_TTAFStock[WeekIndex],81),"")</f>
        <v/>
      </c>
      <c r="CH1278">
        <f>IFERROR(SUMIFS(T_TTAFStock[TTAF_Qty],T_TTAFStock[RM_Code],$A1222,T_TTAFStock[WeekIndex],82),"")</f>
        <v/>
      </c>
      <c r="CI1278">
        <f>IFERROR(SUMIFS(T_TTAFStock[TTAF_Qty],T_TTAFStock[RM_Code],$A1222,T_TTAFStock[WeekIndex],83),"")</f>
        <v/>
      </c>
      <c r="CJ1278">
        <f>IFERROR(SUMIFS(T_TTAFStock[TTAF_Qty],T_TTAFStock[RM_Code],$A1222,T_TTAFStock[WeekIndex],84),"")</f>
        <v/>
      </c>
      <c r="CK1278">
        <f>IFERROR(SUMIFS(T_TTAFStock[TTAF_Qty],T_TTAFStock[RM_Code],$A1222,T_TTAFStock[WeekIndex],85),"")</f>
        <v/>
      </c>
      <c r="CL1278">
        <f>IFERROR(SUMIFS(T_TTAFStock[TTAF_Qty],T_TTAFStock[RM_Code],$A1222,T_TTAFStock[WeekIndex],86),"")</f>
        <v/>
      </c>
      <c r="CM1278">
        <f>IFERROR(SUMIFS(T_TTAFStock[TTAF_Qty],T_TTAFStock[RM_Code],$A1222,T_TTAFStock[WeekIndex],87),"")</f>
        <v/>
      </c>
      <c r="CN1278">
        <f>IFERROR(SUMIFS(T_TTAFStock[TTAF_Qty],T_TTAFStock[RM_Code],$A1222,T_TTAFStock[WeekIndex],88),"")</f>
        <v/>
      </c>
      <c r="CO1278">
        <f>IFERROR(SUMIFS(T_TTAFStock[TTAF_Qty],T_TTAFStock[RM_Code],$A1222,T_TTAFStock[WeekIndex],89),"")</f>
        <v/>
      </c>
      <c r="CP1278">
        <f>IFERROR(SUMIFS(T_TTAFStock[TTAF_Qty],T_TTAFStock[RM_Code],$A1222,T_TTAFStock[WeekIndex],90),"")</f>
        <v/>
      </c>
      <c r="CQ1278">
        <f>IFERROR(SUMIFS(T_TTAFStock[TTAF_Qty],T_TTAFStock[RM_Code],$A1222,T_TTAFStock[WeekIndex],91),"")</f>
        <v/>
      </c>
      <c r="CR1278">
        <f>IFERROR(SUMIFS(T_TTAFStock[TTAF_Qty],T_TTAFStock[RM_Code],$A1222,T_TTAFStock[WeekIndex],92),"")</f>
        <v/>
      </c>
      <c r="CS1278">
        <f>IFERROR(SUMIFS(T_TTAFStock[TTAF_Qty],T_TTAFStock[RM_Code],$A1222,T_TTAFStock[WeekIndex],93),"")</f>
        <v/>
      </c>
      <c r="CT1278">
        <f>IFERROR(SUMIFS(T_TTAFStock[TTAF_Qty],T_TTAFStock[RM_Code],$A1222,T_TTAFStock[WeekIndex],94),"")</f>
        <v/>
      </c>
      <c r="CU1278">
        <f>IFERROR(SUMIFS(T_TTAFStock[TTAF_Qty],T_TTAFStock[RM_Code],$A1222,T_TTAFStock[WeekIndex],95),"")</f>
        <v/>
      </c>
      <c r="CV1278">
        <f>IFERROR(SUMIFS(T_TTAFStock[TTAF_Qty],T_TTAFStock[RM_Code],$A1222,T_TTAFStock[WeekIndex],96),"")</f>
        <v/>
      </c>
      <c r="CW1278">
        <f>IFERROR(SUMIFS(T_TTAFStock[TTAF_Qty],T_TTAFStock[RM_Code],$A1222,T_TTAFStock[WeekIndex],97),"")</f>
        <v/>
      </c>
      <c r="CX1278">
        <f>IFERROR(SUMIFS(T_TTAFStock[TTAF_Qty],T_TTAFStock[RM_Code],$A1222,T_TTAFStock[WeekIndex],98),"")</f>
        <v/>
      </c>
      <c r="CY1278">
        <f>IFERROR(SUMIFS(T_TTAFStock[TTAF_Qty],T_TTAFStock[RM_Code],$A1222,T_TTAFStock[WeekIndex],99),"")</f>
        <v/>
      </c>
      <c r="CZ1278">
        <f>IFERROR(SUMIFS(T_TTAFStock[TTAF_Qty],T_TTAFStock[RM_Code],$A1222,T_TTAFStock[WeekIndex],100),"")</f>
        <v/>
      </c>
      <c r="DA1278">
        <f>IFERROR(SUMIFS(T_TTAFStock[TTAF_Qty],T_TTAFStock[RM_Code],$A1222,T_TTAFStock[WeekIndex],101),"")</f>
        <v/>
      </c>
      <c r="DB1278">
        <f>IFERROR(SUMIFS(T_TTAFStock[TTAF_Qty],T_TTAFStock[RM_Code],$A1222,T_TTAFStock[WeekIndex],102),"")</f>
        <v/>
      </c>
      <c r="DC1278">
        <f>IFERROR(SUMIFS(T_TTAFStock[TTAF_Qty],T_TTAFStock[RM_Code],$A1222,T_TTAFStock[WeekIndex],103),"")</f>
        <v/>
      </c>
      <c r="DD1278">
        <f>IFERROR(SUMIFS(T_TTAFStock[TTAF_Qty],T_TTAFStock[RM_Code],$A1222,T_TTAFStock[WeekIndex],104),"")</f>
        <v/>
      </c>
    </row>
    <row r="1279">
      <c r="B1279" t="inlineStr">
        <is>
          <t>自社在庫(実績,kg)</t>
        </is>
      </c>
      <c r="D1279">
        <f>IFERROR(INDEX(E1279:DD1279,$F$1),"")</f>
        <v/>
      </c>
      <c r="E1279">
        <f>IFERROR(SUMIFS(T_SelfStock[Self_Qty],T_SelfStock[RM_Code],$A1222,T_SelfStock[WeekIndex],1),"")</f>
        <v/>
      </c>
      <c r="F1279">
        <f>IFERROR(SUMIFS(T_SelfStock[Self_Qty],T_SelfStock[RM_Code],$A1222,T_SelfStock[WeekIndex],2),"")</f>
        <v/>
      </c>
      <c r="G1279">
        <f>IFERROR(SUMIFS(T_SelfStock[Self_Qty],T_SelfStock[RM_Code],$A1222,T_SelfStock[WeekIndex],3),"")</f>
        <v/>
      </c>
      <c r="H1279">
        <f>IFERROR(SUMIFS(T_SelfStock[Self_Qty],T_SelfStock[RM_Code],$A1222,T_SelfStock[WeekIndex],4),"")</f>
        <v/>
      </c>
      <c r="I1279">
        <f>IFERROR(SUMIFS(T_SelfStock[Self_Qty],T_SelfStock[RM_Code],$A1222,T_SelfStock[WeekIndex],5),"")</f>
        <v/>
      </c>
      <c r="J1279">
        <f>IFERROR(SUMIFS(T_SelfStock[Self_Qty],T_SelfStock[RM_Code],$A1222,T_SelfStock[WeekIndex],6),"")</f>
        <v/>
      </c>
      <c r="K1279">
        <f>IFERROR(SUMIFS(T_SelfStock[Self_Qty],T_SelfStock[RM_Code],$A1222,T_SelfStock[WeekIndex],7),"")</f>
        <v/>
      </c>
      <c r="L1279">
        <f>IFERROR(SUMIFS(T_SelfStock[Self_Qty],T_SelfStock[RM_Code],$A1222,T_SelfStock[WeekIndex],8),"")</f>
        <v/>
      </c>
      <c r="M1279">
        <f>IFERROR(SUMIFS(T_SelfStock[Self_Qty],T_SelfStock[RM_Code],$A1222,T_SelfStock[WeekIndex],9),"")</f>
        <v/>
      </c>
      <c r="N1279">
        <f>IFERROR(SUMIFS(T_SelfStock[Self_Qty],T_SelfStock[RM_Code],$A1222,T_SelfStock[WeekIndex],10),"")</f>
        <v/>
      </c>
      <c r="O1279">
        <f>IFERROR(SUMIFS(T_SelfStock[Self_Qty],T_SelfStock[RM_Code],$A1222,T_SelfStock[WeekIndex],11),"")</f>
        <v/>
      </c>
      <c r="P1279">
        <f>IFERROR(SUMIFS(T_SelfStock[Self_Qty],T_SelfStock[RM_Code],$A1222,T_SelfStock[WeekIndex],12),"")</f>
        <v/>
      </c>
      <c r="Q1279">
        <f>IFERROR(SUMIFS(T_SelfStock[Self_Qty],T_SelfStock[RM_Code],$A1222,T_SelfStock[WeekIndex],13),"")</f>
        <v/>
      </c>
      <c r="R1279">
        <f>IFERROR(SUMIFS(T_SelfStock[Self_Qty],T_SelfStock[RM_Code],$A1222,T_SelfStock[WeekIndex],14),"")</f>
        <v/>
      </c>
      <c r="S1279">
        <f>IFERROR(SUMIFS(T_SelfStock[Self_Qty],T_SelfStock[RM_Code],$A1222,T_SelfStock[WeekIndex],15),"")</f>
        <v/>
      </c>
      <c r="T1279">
        <f>IFERROR(SUMIFS(T_SelfStock[Self_Qty],T_SelfStock[RM_Code],$A1222,T_SelfStock[WeekIndex],16),"")</f>
        <v/>
      </c>
      <c r="U1279">
        <f>IFERROR(SUMIFS(T_SelfStock[Self_Qty],T_SelfStock[RM_Code],$A1222,T_SelfStock[WeekIndex],17),"")</f>
        <v/>
      </c>
      <c r="V1279">
        <f>IFERROR(SUMIFS(T_SelfStock[Self_Qty],T_SelfStock[RM_Code],$A1222,T_SelfStock[WeekIndex],18),"")</f>
        <v/>
      </c>
      <c r="W1279">
        <f>IFERROR(SUMIFS(T_SelfStock[Self_Qty],T_SelfStock[RM_Code],$A1222,T_SelfStock[WeekIndex],19),"")</f>
        <v/>
      </c>
      <c r="X1279">
        <f>IFERROR(SUMIFS(T_SelfStock[Self_Qty],T_SelfStock[RM_Code],$A1222,T_SelfStock[WeekIndex],20),"")</f>
        <v/>
      </c>
      <c r="Y1279">
        <f>IFERROR(SUMIFS(T_SelfStock[Self_Qty],T_SelfStock[RM_Code],$A1222,T_SelfStock[WeekIndex],21),"")</f>
        <v/>
      </c>
      <c r="Z1279">
        <f>IFERROR(SUMIFS(T_SelfStock[Self_Qty],T_SelfStock[RM_Code],$A1222,T_SelfStock[WeekIndex],22),"")</f>
        <v/>
      </c>
      <c r="AA1279">
        <f>IFERROR(SUMIFS(T_SelfStock[Self_Qty],T_SelfStock[RM_Code],$A1222,T_SelfStock[WeekIndex],23),"")</f>
        <v/>
      </c>
      <c r="AB1279">
        <f>IFERROR(SUMIFS(T_SelfStock[Self_Qty],T_SelfStock[RM_Code],$A1222,T_SelfStock[WeekIndex],24),"")</f>
        <v/>
      </c>
      <c r="AC1279">
        <f>IFERROR(SUMIFS(T_SelfStock[Self_Qty],T_SelfStock[RM_Code],$A1222,T_SelfStock[WeekIndex],25),"")</f>
        <v/>
      </c>
      <c r="AD1279">
        <f>IFERROR(SUMIFS(T_SelfStock[Self_Qty],T_SelfStock[RM_Code],$A1222,T_SelfStock[WeekIndex],26),"")</f>
        <v/>
      </c>
      <c r="AE1279">
        <f>IFERROR(SUMIFS(T_SelfStock[Self_Qty],T_SelfStock[RM_Code],$A1222,T_SelfStock[WeekIndex],27),"")</f>
        <v/>
      </c>
      <c r="AF1279">
        <f>IFERROR(SUMIFS(T_SelfStock[Self_Qty],T_SelfStock[RM_Code],$A1222,T_SelfStock[WeekIndex],28),"")</f>
        <v/>
      </c>
      <c r="AG1279">
        <f>IFERROR(SUMIFS(T_SelfStock[Self_Qty],T_SelfStock[RM_Code],$A1222,T_SelfStock[WeekIndex],29),"")</f>
        <v/>
      </c>
      <c r="AH1279">
        <f>IFERROR(SUMIFS(T_SelfStock[Self_Qty],T_SelfStock[RM_Code],$A1222,T_SelfStock[WeekIndex],30),"")</f>
        <v/>
      </c>
      <c r="AI1279">
        <f>IFERROR(SUMIFS(T_SelfStock[Self_Qty],T_SelfStock[RM_Code],$A1222,T_SelfStock[WeekIndex],31),"")</f>
        <v/>
      </c>
      <c r="AJ1279">
        <f>IFERROR(SUMIFS(T_SelfStock[Self_Qty],T_SelfStock[RM_Code],$A1222,T_SelfStock[WeekIndex],32),"")</f>
        <v/>
      </c>
      <c r="AK1279">
        <f>IFERROR(SUMIFS(T_SelfStock[Self_Qty],T_SelfStock[RM_Code],$A1222,T_SelfStock[WeekIndex],33),"")</f>
        <v/>
      </c>
      <c r="AL1279">
        <f>IFERROR(SUMIFS(T_SelfStock[Self_Qty],T_SelfStock[RM_Code],$A1222,T_SelfStock[WeekIndex],34),"")</f>
        <v/>
      </c>
      <c r="AM1279">
        <f>IFERROR(SUMIFS(T_SelfStock[Self_Qty],T_SelfStock[RM_Code],$A1222,T_SelfStock[WeekIndex],35),"")</f>
        <v/>
      </c>
      <c r="AN1279">
        <f>IFERROR(SUMIFS(T_SelfStock[Self_Qty],T_SelfStock[RM_Code],$A1222,T_SelfStock[WeekIndex],36),"")</f>
        <v/>
      </c>
      <c r="AO1279">
        <f>IFERROR(SUMIFS(T_SelfStock[Self_Qty],T_SelfStock[RM_Code],$A1222,T_SelfStock[WeekIndex],37),"")</f>
        <v/>
      </c>
      <c r="AP1279">
        <f>IFERROR(SUMIFS(T_SelfStock[Self_Qty],T_SelfStock[RM_Code],$A1222,T_SelfStock[WeekIndex],38),"")</f>
        <v/>
      </c>
      <c r="AQ1279">
        <f>IFERROR(SUMIFS(T_SelfStock[Self_Qty],T_SelfStock[RM_Code],$A1222,T_SelfStock[WeekIndex],39),"")</f>
        <v/>
      </c>
      <c r="AR1279">
        <f>IFERROR(SUMIFS(T_SelfStock[Self_Qty],T_SelfStock[RM_Code],$A1222,T_SelfStock[WeekIndex],40),"")</f>
        <v/>
      </c>
      <c r="AS1279">
        <f>IFERROR(SUMIFS(T_SelfStock[Self_Qty],T_SelfStock[RM_Code],$A1222,T_SelfStock[WeekIndex],41),"")</f>
        <v/>
      </c>
      <c r="AT1279">
        <f>IFERROR(SUMIFS(T_SelfStock[Self_Qty],T_SelfStock[RM_Code],$A1222,T_SelfStock[WeekIndex],42),"")</f>
        <v/>
      </c>
      <c r="AU1279">
        <f>IFERROR(SUMIFS(T_SelfStock[Self_Qty],T_SelfStock[RM_Code],$A1222,T_SelfStock[WeekIndex],43),"")</f>
        <v/>
      </c>
      <c r="AV1279">
        <f>IFERROR(SUMIFS(T_SelfStock[Self_Qty],T_SelfStock[RM_Code],$A1222,T_SelfStock[WeekIndex],44),"")</f>
        <v/>
      </c>
      <c r="AW1279">
        <f>IFERROR(SUMIFS(T_SelfStock[Self_Qty],T_SelfStock[RM_Code],$A1222,T_SelfStock[WeekIndex],45),"")</f>
        <v/>
      </c>
      <c r="AX1279">
        <f>IFERROR(SUMIFS(T_SelfStock[Self_Qty],T_SelfStock[RM_Code],$A1222,T_SelfStock[WeekIndex],46),"")</f>
        <v/>
      </c>
      <c r="AY1279">
        <f>IFERROR(SUMIFS(T_SelfStock[Self_Qty],T_SelfStock[RM_Code],$A1222,T_SelfStock[WeekIndex],47),"")</f>
        <v/>
      </c>
      <c r="AZ1279">
        <f>IFERROR(SUMIFS(T_SelfStock[Self_Qty],T_SelfStock[RM_Code],$A1222,T_SelfStock[WeekIndex],48),"")</f>
        <v/>
      </c>
      <c r="BA1279">
        <f>IFERROR(SUMIFS(T_SelfStock[Self_Qty],T_SelfStock[RM_Code],$A1222,T_SelfStock[WeekIndex],49),"")</f>
        <v/>
      </c>
      <c r="BB1279">
        <f>IFERROR(SUMIFS(T_SelfStock[Self_Qty],T_SelfStock[RM_Code],$A1222,T_SelfStock[WeekIndex],50),"")</f>
        <v/>
      </c>
      <c r="BC1279">
        <f>IFERROR(SUMIFS(T_SelfStock[Self_Qty],T_SelfStock[RM_Code],$A1222,T_SelfStock[WeekIndex],51),"")</f>
        <v/>
      </c>
      <c r="BD1279">
        <f>IFERROR(SUMIFS(T_SelfStock[Self_Qty],T_SelfStock[RM_Code],$A1222,T_SelfStock[WeekIndex],52),"")</f>
        <v/>
      </c>
      <c r="BE1279">
        <f>IFERROR(SUMIFS(T_SelfStock[Self_Qty],T_SelfStock[RM_Code],$A1222,T_SelfStock[WeekIndex],53),"")</f>
        <v/>
      </c>
      <c r="BF1279">
        <f>IFERROR(SUMIFS(T_SelfStock[Self_Qty],T_SelfStock[RM_Code],$A1222,T_SelfStock[WeekIndex],54),"")</f>
        <v/>
      </c>
      <c r="BG1279">
        <f>IFERROR(SUMIFS(T_SelfStock[Self_Qty],T_SelfStock[RM_Code],$A1222,T_SelfStock[WeekIndex],55),"")</f>
        <v/>
      </c>
      <c r="BH1279">
        <f>IFERROR(SUMIFS(T_SelfStock[Self_Qty],T_SelfStock[RM_Code],$A1222,T_SelfStock[WeekIndex],56),"")</f>
        <v/>
      </c>
      <c r="BI1279">
        <f>IFERROR(SUMIFS(T_SelfStock[Self_Qty],T_SelfStock[RM_Code],$A1222,T_SelfStock[WeekIndex],57),"")</f>
        <v/>
      </c>
      <c r="BJ1279">
        <f>IFERROR(SUMIFS(T_SelfStock[Self_Qty],T_SelfStock[RM_Code],$A1222,T_SelfStock[WeekIndex],58),"")</f>
        <v/>
      </c>
      <c r="BK1279">
        <f>IFERROR(SUMIFS(T_SelfStock[Self_Qty],T_SelfStock[RM_Code],$A1222,T_SelfStock[WeekIndex],59),"")</f>
        <v/>
      </c>
      <c r="BL1279">
        <f>IFERROR(SUMIFS(T_SelfStock[Self_Qty],T_SelfStock[RM_Code],$A1222,T_SelfStock[WeekIndex],60),"")</f>
        <v/>
      </c>
      <c r="BM1279">
        <f>IFERROR(SUMIFS(T_SelfStock[Self_Qty],T_SelfStock[RM_Code],$A1222,T_SelfStock[WeekIndex],61),"")</f>
        <v/>
      </c>
      <c r="BN1279">
        <f>IFERROR(SUMIFS(T_SelfStock[Self_Qty],T_SelfStock[RM_Code],$A1222,T_SelfStock[WeekIndex],62),"")</f>
        <v/>
      </c>
      <c r="BO1279">
        <f>IFERROR(SUMIFS(T_SelfStock[Self_Qty],T_SelfStock[RM_Code],$A1222,T_SelfStock[WeekIndex],63),"")</f>
        <v/>
      </c>
      <c r="BP1279">
        <f>IFERROR(SUMIFS(T_SelfStock[Self_Qty],T_SelfStock[RM_Code],$A1222,T_SelfStock[WeekIndex],64),"")</f>
        <v/>
      </c>
      <c r="BQ1279">
        <f>IFERROR(SUMIFS(T_SelfStock[Self_Qty],T_SelfStock[RM_Code],$A1222,T_SelfStock[WeekIndex],65),"")</f>
        <v/>
      </c>
      <c r="BR1279">
        <f>IFERROR(SUMIFS(T_SelfStock[Self_Qty],T_SelfStock[RM_Code],$A1222,T_SelfStock[WeekIndex],66),"")</f>
        <v/>
      </c>
      <c r="BS1279">
        <f>IFERROR(SUMIFS(T_SelfStock[Self_Qty],T_SelfStock[RM_Code],$A1222,T_SelfStock[WeekIndex],67),"")</f>
        <v/>
      </c>
      <c r="BT1279">
        <f>IFERROR(SUMIFS(T_SelfStock[Self_Qty],T_SelfStock[RM_Code],$A1222,T_SelfStock[WeekIndex],68),"")</f>
        <v/>
      </c>
      <c r="BU1279">
        <f>IFERROR(SUMIFS(T_SelfStock[Self_Qty],T_SelfStock[RM_Code],$A1222,T_SelfStock[WeekIndex],69),"")</f>
        <v/>
      </c>
      <c r="BV1279">
        <f>IFERROR(SUMIFS(T_SelfStock[Self_Qty],T_SelfStock[RM_Code],$A1222,T_SelfStock[WeekIndex],70),"")</f>
        <v/>
      </c>
      <c r="BW1279">
        <f>IFERROR(SUMIFS(T_SelfStock[Self_Qty],T_SelfStock[RM_Code],$A1222,T_SelfStock[WeekIndex],71),"")</f>
        <v/>
      </c>
      <c r="BX1279">
        <f>IFERROR(SUMIFS(T_SelfStock[Self_Qty],T_SelfStock[RM_Code],$A1222,T_SelfStock[WeekIndex],72),"")</f>
        <v/>
      </c>
      <c r="BY1279">
        <f>IFERROR(SUMIFS(T_SelfStock[Self_Qty],T_SelfStock[RM_Code],$A1222,T_SelfStock[WeekIndex],73),"")</f>
        <v/>
      </c>
      <c r="BZ1279">
        <f>IFERROR(SUMIFS(T_SelfStock[Self_Qty],T_SelfStock[RM_Code],$A1222,T_SelfStock[WeekIndex],74),"")</f>
        <v/>
      </c>
      <c r="CA1279">
        <f>IFERROR(SUMIFS(T_SelfStock[Self_Qty],T_SelfStock[RM_Code],$A1222,T_SelfStock[WeekIndex],75),"")</f>
        <v/>
      </c>
      <c r="CB1279">
        <f>IFERROR(SUMIFS(T_SelfStock[Self_Qty],T_SelfStock[RM_Code],$A1222,T_SelfStock[WeekIndex],76),"")</f>
        <v/>
      </c>
      <c r="CC1279">
        <f>IFERROR(SUMIFS(T_SelfStock[Self_Qty],T_SelfStock[RM_Code],$A1222,T_SelfStock[WeekIndex],77),"")</f>
        <v/>
      </c>
      <c r="CD1279">
        <f>IFERROR(SUMIFS(T_SelfStock[Self_Qty],T_SelfStock[RM_Code],$A1222,T_SelfStock[WeekIndex],78),"")</f>
        <v/>
      </c>
      <c r="CE1279">
        <f>IFERROR(SUMIFS(T_SelfStock[Self_Qty],T_SelfStock[RM_Code],$A1222,T_SelfStock[WeekIndex],79),"")</f>
        <v/>
      </c>
      <c r="CF1279">
        <f>IFERROR(SUMIFS(T_SelfStock[Self_Qty],T_SelfStock[RM_Code],$A1222,T_SelfStock[WeekIndex],80),"")</f>
        <v/>
      </c>
      <c r="CG1279">
        <f>IFERROR(SUMIFS(T_SelfStock[Self_Qty],T_SelfStock[RM_Code],$A1222,T_SelfStock[WeekIndex],81),"")</f>
        <v/>
      </c>
      <c r="CH1279">
        <f>IFERROR(SUMIFS(T_SelfStock[Self_Qty],T_SelfStock[RM_Code],$A1222,T_SelfStock[WeekIndex],82),"")</f>
        <v/>
      </c>
      <c r="CI1279">
        <f>IFERROR(SUMIFS(T_SelfStock[Self_Qty],T_SelfStock[RM_Code],$A1222,T_SelfStock[WeekIndex],83),"")</f>
        <v/>
      </c>
      <c r="CJ1279">
        <f>IFERROR(SUMIFS(T_SelfStock[Self_Qty],T_SelfStock[RM_Code],$A1222,T_SelfStock[WeekIndex],84),"")</f>
        <v/>
      </c>
      <c r="CK1279">
        <f>IFERROR(SUMIFS(T_SelfStock[Self_Qty],T_SelfStock[RM_Code],$A1222,T_SelfStock[WeekIndex],85),"")</f>
        <v/>
      </c>
      <c r="CL1279">
        <f>IFERROR(SUMIFS(T_SelfStock[Self_Qty],T_SelfStock[RM_Code],$A1222,T_SelfStock[WeekIndex],86),"")</f>
        <v/>
      </c>
      <c r="CM1279">
        <f>IFERROR(SUMIFS(T_SelfStock[Self_Qty],T_SelfStock[RM_Code],$A1222,T_SelfStock[WeekIndex],87),"")</f>
        <v/>
      </c>
      <c r="CN1279">
        <f>IFERROR(SUMIFS(T_SelfStock[Self_Qty],T_SelfStock[RM_Code],$A1222,T_SelfStock[WeekIndex],88),"")</f>
        <v/>
      </c>
      <c r="CO1279">
        <f>IFERROR(SUMIFS(T_SelfStock[Self_Qty],T_SelfStock[RM_Code],$A1222,T_SelfStock[WeekIndex],89),"")</f>
        <v/>
      </c>
      <c r="CP1279">
        <f>IFERROR(SUMIFS(T_SelfStock[Self_Qty],T_SelfStock[RM_Code],$A1222,T_SelfStock[WeekIndex],90),"")</f>
        <v/>
      </c>
      <c r="CQ1279">
        <f>IFERROR(SUMIFS(T_SelfStock[Self_Qty],T_SelfStock[RM_Code],$A1222,T_SelfStock[WeekIndex],91),"")</f>
        <v/>
      </c>
      <c r="CR1279">
        <f>IFERROR(SUMIFS(T_SelfStock[Self_Qty],T_SelfStock[RM_Code],$A1222,T_SelfStock[WeekIndex],92),"")</f>
        <v/>
      </c>
      <c r="CS1279">
        <f>IFERROR(SUMIFS(T_SelfStock[Self_Qty],T_SelfStock[RM_Code],$A1222,T_SelfStock[WeekIndex],93),"")</f>
        <v/>
      </c>
      <c r="CT1279">
        <f>IFERROR(SUMIFS(T_SelfStock[Self_Qty],T_SelfStock[RM_Code],$A1222,T_SelfStock[WeekIndex],94),"")</f>
        <v/>
      </c>
      <c r="CU1279">
        <f>IFERROR(SUMIFS(T_SelfStock[Self_Qty],T_SelfStock[RM_Code],$A1222,T_SelfStock[WeekIndex],95),"")</f>
        <v/>
      </c>
      <c r="CV1279">
        <f>IFERROR(SUMIFS(T_SelfStock[Self_Qty],T_SelfStock[RM_Code],$A1222,T_SelfStock[WeekIndex],96),"")</f>
        <v/>
      </c>
      <c r="CW1279">
        <f>IFERROR(SUMIFS(T_SelfStock[Self_Qty],T_SelfStock[RM_Code],$A1222,T_SelfStock[WeekIndex],97),"")</f>
        <v/>
      </c>
      <c r="CX1279">
        <f>IFERROR(SUMIFS(T_SelfStock[Self_Qty],T_SelfStock[RM_Code],$A1222,T_SelfStock[WeekIndex],98),"")</f>
        <v/>
      </c>
      <c r="CY1279">
        <f>IFERROR(SUMIFS(T_SelfStock[Self_Qty],T_SelfStock[RM_Code],$A1222,T_SelfStock[WeekIndex],99),"")</f>
        <v/>
      </c>
      <c r="CZ1279">
        <f>IFERROR(SUMIFS(T_SelfStock[Self_Qty],T_SelfStock[RM_Code],$A1222,T_SelfStock[WeekIndex],100),"")</f>
        <v/>
      </c>
      <c r="DA1279">
        <f>IFERROR(SUMIFS(T_SelfStock[Self_Qty],T_SelfStock[RM_Code],$A1222,T_SelfStock[WeekIndex],101),"")</f>
        <v/>
      </c>
      <c r="DB1279">
        <f>IFERROR(SUMIFS(T_SelfStock[Self_Qty],T_SelfStock[RM_Code],$A1222,T_SelfStock[WeekIndex],102),"")</f>
        <v/>
      </c>
      <c r="DC1279">
        <f>IFERROR(SUMIFS(T_SelfStock[Self_Qty],T_SelfStock[RM_Code],$A1222,T_SelfStock[WeekIndex],103),"")</f>
        <v/>
      </c>
      <c r="DD1279">
        <f>IFERROR(SUMIFS(T_SelfStock[Self_Qty],T_SelfStock[RM_Code],$A1222,T_SelfStock[WeekIndex],104),"")</f>
        <v/>
      </c>
    </row>
    <row r="1280">
      <c r="B1280" s="4" t="inlineStr">
        <is>
          <t>合計在庫(週末時点,kg)</t>
        </is>
      </c>
      <c r="D1280" s="24">
        <f>IFERROR(INDEX(E1280:DD1280,$F$1),"")</f>
        <v/>
      </c>
      <c r="E1280">
        <f>'Grid_Stock'!B20</f>
        <v/>
      </c>
      <c r="F1280">
        <f>'Grid_Stock'!C20</f>
        <v/>
      </c>
      <c r="G1280">
        <f>'Grid_Stock'!D20</f>
        <v/>
      </c>
      <c r="H1280">
        <f>'Grid_Stock'!E20</f>
        <v/>
      </c>
      <c r="I1280">
        <f>'Grid_Stock'!F20</f>
        <v/>
      </c>
      <c r="J1280">
        <f>'Grid_Stock'!G20</f>
        <v/>
      </c>
      <c r="K1280">
        <f>'Grid_Stock'!H20</f>
        <v/>
      </c>
      <c r="L1280">
        <f>'Grid_Stock'!I20</f>
        <v/>
      </c>
      <c r="M1280">
        <f>'Grid_Stock'!J20</f>
        <v/>
      </c>
      <c r="N1280">
        <f>'Grid_Stock'!K20</f>
        <v/>
      </c>
      <c r="O1280">
        <f>'Grid_Stock'!L20</f>
        <v/>
      </c>
      <c r="P1280">
        <f>'Grid_Stock'!M20</f>
        <v/>
      </c>
      <c r="Q1280">
        <f>'Grid_Stock'!N20</f>
        <v/>
      </c>
      <c r="R1280">
        <f>'Grid_Stock'!O20</f>
        <v/>
      </c>
      <c r="S1280">
        <f>'Grid_Stock'!P20</f>
        <v/>
      </c>
      <c r="T1280">
        <f>'Grid_Stock'!Q20</f>
        <v/>
      </c>
      <c r="U1280">
        <f>'Grid_Stock'!R20</f>
        <v/>
      </c>
      <c r="V1280">
        <f>'Grid_Stock'!S20</f>
        <v/>
      </c>
      <c r="W1280">
        <f>'Grid_Stock'!T20</f>
        <v/>
      </c>
      <c r="X1280">
        <f>'Grid_Stock'!U20</f>
        <v/>
      </c>
      <c r="Y1280">
        <f>'Grid_Stock'!V20</f>
        <v/>
      </c>
      <c r="Z1280">
        <f>'Grid_Stock'!W20</f>
        <v/>
      </c>
      <c r="AA1280">
        <f>'Grid_Stock'!X20</f>
        <v/>
      </c>
      <c r="AB1280">
        <f>'Grid_Stock'!Y20</f>
        <v/>
      </c>
      <c r="AC1280">
        <f>'Grid_Stock'!Z20</f>
        <v/>
      </c>
      <c r="AD1280">
        <f>'Grid_Stock'!AA20</f>
        <v/>
      </c>
      <c r="AE1280">
        <f>'Grid_Stock'!AB20</f>
        <v/>
      </c>
      <c r="AF1280">
        <f>'Grid_Stock'!AC20</f>
        <v/>
      </c>
      <c r="AG1280">
        <f>'Grid_Stock'!AD20</f>
        <v/>
      </c>
      <c r="AH1280">
        <f>'Grid_Stock'!AE20</f>
        <v/>
      </c>
      <c r="AI1280">
        <f>'Grid_Stock'!AF20</f>
        <v/>
      </c>
      <c r="AJ1280">
        <f>'Grid_Stock'!AG20</f>
        <v/>
      </c>
      <c r="AK1280">
        <f>'Grid_Stock'!AH20</f>
        <v/>
      </c>
      <c r="AL1280">
        <f>'Grid_Stock'!AI20</f>
        <v/>
      </c>
      <c r="AM1280">
        <f>'Grid_Stock'!AJ20</f>
        <v/>
      </c>
      <c r="AN1280">
        <f>'Grid_Stock'!AK20</f>
        <v/>
      </c>
      <c r="AO1280">
        <f>'Grid_Stock'!AL20</f>
        <v/>
      </c>
      <c r="AP1280">
        <f>'Grid_Stock'!AM20</f>
        <v/>
      </c>
      <c r="AQ1280">
        <f>'Grid_Stock'!AN20</f>
        <v/>
      </c>
      <c r="AR1280">
        <f>'Grid_Stock'!AO20</f>
        <v/>
      </c>
      <c r="AS1280">
        <f>'Grid_Stock'!AP20</f>
        <v/>
      </c>
      <c r="AT1280">
        <f>'Grid_Stock'!AQ20</f>
        <v/>
      </c>
      <c r="AU1280">
        <f>'Grid_Stock'!AR20</f>
        <v/>
      </c>
      <c r="AV1280">
        <f>'Grid_Stock'!AS20</f>
        <v/>
      </c>
      <c r="AW1280">
        <f>'Grid_Stock'!AT20</f>
        <v/>
      </c>
      <c r="AX1280">
        <f>'Grid_Stock'!AU20</f>
        <v/>
      </c>
      <c r="AY1280">
        <f>'Grid_Stock'!AV20</f>
        <v/>
      </c>
      <c r="AZ1280">
        <f>'Grid_Stock'!AW20</f>
        <v/>
      </c>
      <c r="BA1280">
        <f>'Grid_Stock'!AX20</f>
        <v/>
      </c>
      <c r="BB1280">
        <f>'Grid_Stock'!AY20</f>
        <v/>
      </c>
      <c r="BC1280">
        <f>'Grid_Stock'!AZ20</f>
        <v/>
      </c>
      <c r="BD1280">
        <f>'Grid_Stock'!BA20</f>
        <v/>
      </c>
      <c r="BE1280">
        <f>'Grid_Stock'!BB20</f>
        <v/>
      </c>
      <c r="BF1280">
        <f>'Grid_Stock'!BC20</f>
        <v/>
      </c>
      <c r="BG1280">
        <f>'Grid_Stock'!BD20</f>
        <v/>
      </c>
      <c r="BH1280">
        <f>'Grid_Stock'!BE20</f>
        <v/>
      </c>
      <c r="BI1280">
        <f>'Grid_Stock'!BF20</f>
        <v/>
      </c>
      <c r="BJ1280">
        <f>'Grid_Stock'!BG20</f>
        <v/>
      </c>
      <c r="BK1280">
        <f>'Grid_Stock'!BH20</f>
        <v/>
      </c>
      <c r="BL1280">
        <f>'Grid_Stock'!BI20</f>
        <v/>
      </c>
      <c r="BM1280">
        <f>'Grid_Stock'!BJ20</f>
        <v/>
      </c>
      <c r="BN1280">
        <f>'Grid_Stock'!BK20</f>
        <v/>
      </c>
      <c r="BO1280">
        <f>'Grid_Stock'!BL20</f>
        <v/>
      </c>
      <c r="BP1280">
        <f>'Grid_Stock'!BM20</f>
        <v/>
      </c>
      <c r="BQ1280">
        <f>'Grid_Stock'!BN20</f>
        <v/>
      </c>
      <c r="BR1280">
        <f>'Grid_Stock'!BO20</f>
        <v/>
      </c>
      <c r="BS1280">
        <f>'Grid_Stock'!BP20</f>
        <v/>
      </c>
      <c r="BT1280">
        <f>'Grid_Stock'!BQ20</f>
        <v/>
      </c>
      <c r="BU1280">
        <f>'Grid_Stock'!BR20</f>
        <v/>
      </c>
      <c r="BV1280">
        <f>'Grid_Stock'!BS20</f>
        <v/>
      </c>
      <c r="BW1280">
        <f>'Grid_Stock'!BT20</f>
        <v/>
      </c>
      <c r="BX1280">
        <f>'Grid_Stock'!BU20</f>
        <v/>
      </c>
      <c r="BY1280">
        <f>'Grid_Stock'!BV20</f>
        <v/>
      </c>
      <c r="BZ1280">
        <f>'Grid_Stock'!BW20</f>
        <v/>
      </c>
      <c r="CA1280">
        <f>'Grid_Stock'!BX20</f>
        <v/>
      </c>
      <c r="CB1280">
        <f>'Grid_Stock'!BY20</f>
        <v/>
      </c>
      <c r="CC1280">
        <f>'Grid_Stock'!BZ20</f>
        <v/>
      </c>
      <c r="CD1280">
        <f>'Grid_Stock'!CA20</f>
        <v/>
      </c>
      <c r="CE1280">
        <f>'Grid_Stock'!CB20</f>
        <v/>
      </c>
      <c r="CF1280">
        <f>'Grid_Stock'!CC20</f>
        <v/>
      </c>
      <c r="CG1280">
        <f>'Grid_Stock'!CD20</f>
        <v/>
      </c>
      <c r="CH1280">
        <f>'Grid_Stock'!CE20</f>
        <v/>
      </c>
      <c r="CI1280">
        <f>'Grid_Stock'!CF20</f>
        <v/>
      </c>
      <c r="CJ1280">
        <f>'Grid_Stock'!CG20</f>
        <v/>
      </c>
      <c r="CK1280">
        <f>'Grid_Stock'!CH20</f>
        <v/>
      </c>
      <c r="CL1280">
        <f>'Grid_Stock'!CI20</f>
        <v/>
      </c>
      <c r="CM1280">
        <f>'Grid_Stock'!CJ20</f>
        <v/>
      </c>
      <c r="CN1280">
        <f>'Grid_Stock'!CK20</f>
        <v/>
      </c>
      <c r="CO1280">
        <f>'Grid_Stock'!CL20</f>
        <v/>
      </c>
      <c r="CP1280">
        <f>'Grid_Stock'!CM20</f>
        <v/>
      </c>
      <c r="CQ1280">
        <f>'Grid_Stock'!CN20</f>
        <v/>
      </c>
      <c r="CR1280">
        <f>'Grid_Stock'!CO20</f>
        <v/>
      </c>
      <c r="CS1280">
        <f>'Grid_Stock'!CP20</f>
        <v/>
      </c>
      <c r="CT1280">
        <f>'Grid_Stock'!CQ20</f>
        <v/>
      </c>
      <c r="CU1280">
        <f>'Grid_Stock'!CR20</f>
        <v/>
      </c>
      <c r="CV1280">
        <f>'Grid_Stock'!CS20</f>
        <v/>
      </c>
      <c r="CW1280">
        <f>'Grid_Stock'!CT20</f>
        <v/>
      </c>
      <c r="CX1280">
        <f>'Grid_Stock'!CU20</f>
        <v/>
      </c>
      <c r="CY1280">
        <f>'Grid_Stock'!CV20</f>
        <v/>
      </c>
      <c r="CZ1280">
        <f>'Grid_Stock'!CW20</f>
        <v/>
      </c>
      <c r="DA1280">
        <f>'Grid_Stock'!CX20</f>
        <v/>
      </c>
      <c r="DB1280">
        <f>'Grid_Stock'!CY20</f>
        <v/>
      </c>
      <c r="DC1280">
        <f>'Grid_Stock'!CZ20</f>
        <v/>
      </c>
      <c r="DD1280">
        <f>'Grid_Stock'!DA20</f>
        <v/>
      </c>
    </row>
    <row r="1281">
      <c r="B1281" s="25" t="inlineStr">
        <is>
          <t>（発注の目安はDashboardの基準在庫[下限/上限]と色分けを参照）</t>
        </is>
      </c>
    </row>
    <row r="1283">
      <c r="A1283" s="21" t="inlineStr">
        <is>
          <t>CHEM-1550</t>
        </is>
      </c>
      <c r="B1283" s="21" t="inlineStr">
        <is>
          <t>Chupol CC-6</t>
        </is>
      </c>
      <c r="C1283" s="22" t="n"/>
      <c r="D1283" s="21" t="n"/>
      <c r="E1283" s="21" t="n"/>
      <c r="F1283" s="21" t="n"/>
      <c r="G1283" s="21" t="n"/>
      <c r="H1283" s="21" t="n"/>
      <c r="I1283" s="21" t="n"/>
      <c r="J1283" s="21" t="n"/>
      <c r="K1283" s="21" t="n"/>
      <c r="L1283" s="21" t="n"/>
      <c r="M1283" s="21" t="n"/>
      <c r="N1283" s="21" t="n"/>
      <c r="O1283" s="21" t="n"/>
      <c r="P1283" s="21" t="n"/>
      <c r="Q1283" s="21" t="n"/>
      <c r="R1283" s="21" t="n"/>
      <c r="S1283" s="21" t="n"/>
      <c r="T1283" s="21" t="n"/>
      <c r="U1283" s="21" t="n"/>
      <c r="V1283" s="21" t="n"/>
      <c r="W1283" s="21" t="n"/>
      <c r="X1283" s="21" t="n"/>
      <c r="Y1283" s="21" t="n"/>
      <c r="Z1283" s="21" t="n"/>
      <c r="AA1283" s="21" t="n"/>
      <c r="AB1283" s="21" t="n"/>
      <c r="AC1283" s="21" t="n"/>
      <c r="AD1283" s="21" t="n"/>
      <c r="AE1283" s="21" t="n"/>
      <c r="AF1283" s="21" t="n"/>
      <c r="AG1283" s="21" t="n"/>
      <c r="AH1283" s="21" t="n"/>
      <c r="AI1283" s="21" t="n"/>
      <c r="AJ1283" s="21" t="n"/>
      <c r="AK1283" s="21" t="n"/>
      <c r="AL1283" s="21" t="n"/>
      <c r="AM1283" s="21" t="n"/>
      <c r="AN1283" s="21" t="n"/>
      <c r="AO1283" s="21" t="n"/>
      <c r="AP1283" s="21" t="n"/>
      <c r="AQ1283" s="21" t="n"/>
      <c r="AR1283" s="21" t="n"/>
      <c r="AS1283" s="21" t="n"/>
      <c r="AT1283" s="21" t="n"/>
      <c r="AU1283" s="21" t="n"/>
      <c r="AV1283" s="21" t="n"/>
      <c r="AW1283" s="21" t="n"/>
      <c r="AX1283" s="21" t="n"/>
      <c r="AY1283" s="21" t="n"/>
      <c r="AZ1283" s="21" t="n"/>
      <c r="BA1283" s="21" t="n"/>
      <c r="BB1283" s="21" t="n"/>
      <c r="BC1283" s="21" t="n"/>
      <c r="BD1283" s="21" t="n"/>
      <c r="BE1283" s="21" t="n"/>
      <c r="BF1283" s="21" t="n"/>
      <c r="BG1283" s="21" t="n"/>
      <c r="BH1283" s="21" t="n"/>
      <c r="BI1283" s="21" t="n"/>
      <c r="BJ1283" s="21" t="n"/>
      <c r="BK1283" s="21" t="n"/>
      <c r="BL1283" s="21" t="n"/>
      <c r="BM1283" s="21" t="n"/>
      <c r="BN1283" s="21" t="n"/>
      <c r="BO1283" s="21" t="n"/>
      <c r="BP1283" s="21" t="n"/>
      <c r="BQ1283" s="21" t="n"/>
      <c r="BR1283" s="21" t="n"/>
      <c r="BS1283" s="21" t="n"/>
      <c r="BT1283" s="21" t="n"/>
      <c r="BU1283" s="21" t="n"/>
      <c r="BV1283" s="21" t="n"/>
      <c r="BW1283" s="21" t="n"/>
      <c r="BX1283" s="21" t="n"/>
      <c r="BY1283" s="21" t="n"/>
      <c r="BZ1283" s="21" t="n"/>
      <c r="CA1283" s="21" t="n"/>
      <c r="CB1283" s="21" t="n"/>
      <c r="CC1283" s="21" t="n"/>
      <c r="CD1283" s="21" t="n"/>
      <c r="CE1283" s="21" t="n"/>
      <c r="CF1283" s="21" t="n"/>
      <c r="CG1283" s="21" t="n"/>
      <c r="CH1283" s="21" t="n"/>
      <c r="CI1283" s="21" t="n"/>
      <c r="CJ1283" s="21" t="n"/>
      <c r="CK1283" s="21" t="n"/>
      <c r="CL1283" s="21" t="n"/>
      <c r="CM1283" s="21" t="n"/>
      <c r="CN1283" s="21" t="n"/>
      <c r="CO1283" s="21" t="n"/>
      <c r="CP1283" s="21" t="n"/>
      <c r="CQ1283" s="21" t="n"/>
      <c r="CR1283" s="21" t="n"/>
      <c r="CS1283" s="21" t="n"/>
      <c r="CT1283" s="21" t="n"/>
      <c r="CU1283" s="21" t="n"/>
      <c r="CV1283" s="21" t="n"/>
      <c r="CW1283" s="21" t="n"/>
      <c r="CX1283" s="21" t="n"/>
      <c r="CY1283" s="21" t="n"/>
      <c r="CZ1283" s="21" t="n"/>
      <c r="DA1283" s="21" t="n"/>
      <c r="DB1283" s="21" t="n"/>
      <c r="DC1283" s="21" t="n"/>
      <c r="DD1283" s="21" t="n"/>
    </row>
    <row r="1284">
      <c r="B1284" t="inlineStr">
        <is>
          <t>TSP-402</t>
        </is>
      </c>
      <c r="C1284" t="inlineStr">
        <is>
          <t>No. of batches</t>
        </is>
      </c>
      <c r="D1284">
        <f>IFERROR(INDEX(E1284:DD1284,$F$1),"")</f>
        <v/>
      </c>
      <c r="E1284">
        <f>IFERROR(INDEX(PP_Grid[#Data],$DE1284,2),0)</f>
        <v/>
      </c>
      <c r="F1284">
        <f>IFERROR(INDEX(PP_Grid[#Data],$DE1284,3),0)</f>
        <v/>
      </c>
      <c r="G1284">
        <f>IFERROR(INDEX(PP_Grid[#Data],$DE1284,4),0)</f>
        <v/>
      </c>
      <c r="H1284">
        <f>IFERROR(INDEX(PP_Grid[#Data],$DE1284,5),0)</f>
        <v/>
      </c>
      <c r="I1284">
        <f>IFERROR(INDEX(PP_Grid[#Data],$DE1284,6),0)</f>
        <v/>
      </c>
      <c r="J1284">
        <f>IFERROR(INDEX(PP_Grid[#Data],$DE1284,7),0)</f>
        <v/>
      </c>
      <c r="K1284">
        <f>IFERROR(INDEX(PP_Grid[#Data],$DE1284,8),0)</f>
        <v/>
      </c>
      <c r="L1284">
        <f>IFERROR(INDEX(PP_Grid[#Data],$DE1284,9),0)</f>
        <v/>
      </c>
      <c r="M1284">
        <f>IFERROR(INDEX(PP_Grid[#Data],$DE1284,10),0)</f>
        <v/>
      </c>
      <c r="N1284">
        <f>IFERROR(INDEX(PP_Grid[#Data],$DE1284,11),0)</f>
        <v/>
      </c>
      <c r="O1284">
        <f>IFERROR(INDEX(PP_Grid[#Data],$DE1284,12),0)</f>
        <v/>
      </c>
      <c r="P1284">
        <f>IFERROR(INDEX(PP_Grid[#Data],$DE1284,13),0)</f>
        <v/>
      </c>
      <c r="Q1284">
        <f>IFERROR(INDEX(PP_Grid[#Data],$DE1284,14),0)</f>
        <v/>
      </c>
      <c r="R1284">
        <f>IFERROR(INDEX(PP_Grid[#Data],$DE1284,15),0)</f>
        <v/>
      </c>
      <c r="S1284">
        <f>IFERROR(INDEX(PP_Grid[#Data],$DE1284,16),0)</f>
        <v/>
      </c>
      <c r="T1284">
        <f>IFERROR(INDEX(PP_Grid[#Data],$DE1284,17),0)</f>
        <v/>
      </c>
      <c r="U1284">
        <f>IFERROR(INDEX(PP_Grid[#Data],$DE1284,18),0)</f>
        <v/>
      </c>
      <c r="V1284">
        <f>IFERROR(INDEX(PP_Grid[#Data],$DE1284,19),0)</f>
        <v/>
      </c>
      <c r="W1284">
        <f>IFERROR(INDEX(PP_Grid[#Data],$DE1284,20),0)</f>
        <v/>
      </c>
      <c r="X1284">
        <f>IFERROR(INDEX(PP_Grid[#Data],$DE1284,21),0)</f>
        <v/>
      </c>
      <c r="Y1284">
        <f>IFERROR(INDEX(PP_Grid[#Data],$DE1284,22),0)</f>
        <v/>
      </c>
      <c r="Z1284">
        <f>IFERROR(INDEX(PP_Grid[#Data],$DE1284,23),0)</f>
        <v/>
      </c>
      <c r="AA1284">
        <f>IFERROR(INDEX(PP_Grid[#Data],$DE1284,24),0)</f>
        <v/>
      </c>
      <c r="AB1284">
        <f>IFERROR(INDEX(PP_Grid[#Data],$DE1284,25),0)</f>
        <v/>
      </c>
      <c r="AC1284">
        <f>IFERROR(INDEX(PP_Grid[#Data],$DE1284,26),0)</f>
        <v/>
      </c>
      <c r="AD1284">
        <f>IFERROR(INDEX(PP_Grid[#Data],$DE1284,27),0)</f>
        <v/>
      </c>
      <c r="AE1284">
        <f>IFERROR(INDEX(PP_Grid[#Data],$DE1284,28),0)</f>
        <v/>
      </c>
      <c r="AF1284">
        <f>IFERROR(INDEX(PP_Grid[#Data],$DE1284,29),0)</f>
        <v/>
      </c>
      <c r="AG1284">
        <f>IFERROR(INDEX(PP_Grid[#Data],$DE1284,30),0)</f>
        <v/>
      </c>
      <c r="AH1284">
        <f>IFERROR(INDEX(PP_Grid[#Data],$DE1284,31),0)</f>
        <v/>
      </c>
      <c r="AI1284">
        <f>IFERROR(INDEX(PP_Grid[#Data],$DE1284,32),0)</f>
        <v/>
      </c>
      <c r="AJ1284">
        <f>IFERROR(INDEX(PP_Grid[#Data],$DE1284,33),0)</f>
        <v/>
      </c>
      <c r="AK1284">
        <f>IFERROR(INDEX(PP_Grid[#Data],$DE1284,34),0)</f>
        <v/>
      </c>
      <c r="AL1284">
        <f>IFERROR(INDEX(PP_Grid[#Data],$DE1284,35),0)</f>
        <v/>
      </c>
      <c r="AM1284">
        <f>IFERROR(INDEX(PP_Grid[#Data],$DE1284,36),0)</f>
        <v/>
      </c>
      <c r="AN1284">
        <f>IFERROR(INDEX(PP_Grid[#Data],$DE1284,37),0)</f>
        <v/>
      </c>
      <c r="AO1284">
        <f>IFERROR(INDEX(PP_Grid[#Data],$DE1284,38),0)</f>
        <v/>
      </c>
      <c r="AP1284">
        <f>IFERROR(INDEX(PP_Grid[#Data],$DE1284,39),0)</f>
        <v/>
      </c>
      <c r="AQ1284">
        <f>IFERROR(INDEX(PP_Grid[#Data],$DE1284,40),0)</f>
        <v/>
      </c>
      <c r="AR1284">
        <f>IFERROR(INDEX(PP_Grid[#Data],$DE1284,41),0)</f>
        <v/>
      </c>
      <c r="AS1284">
        <f>IFERROR(INDEX(PP_Grid[#Data],$DE1284,42),0)</f>
        <v/>
      </c>
      <c r="AT1284">
        <f>IFERROR(INDEX(PP_Grid[#Data],$DE1284,43),0)</f>
        <v/>
      </c>
      <c r="AU1284">
        <f>IFERROR(INDEX(PP_Grid[#Data],$DE1284,44),0)</f>
        <v/>
      </c>
      <c r="AV1284">
        <f>IFERROR(INDEX(PP_Grid[#Data],$DE1284,45),0)</f>
        <v/>
      </c>
      <c r="AW1284">
        <f>IFERROR(INDEX(PP_Grid[#Data],$DE1284,46),0)</f>
        <v/>
      </c>
      <c r="AX1284">
        <f>IFERROR(INDEX(PP_Grid[#Data],$DE1284,47),0)</f>
        <v/>
      </c>
      <c r="AY1284">
        <f>IFERROR(INDEX(PP_Grid[#Data],$DE1284,48),0)</f>
        <v/>
      </c>
      <c r="AZ1284">
        <f>IFERROR(INDEX(PP_Grid[#Data],$DE1284,49),0)</f>
        <v/>
      </c>
      <c r="BA1284">
        <f>IFERROR(INDEX(PP_Grid[#Data],$DE1284,50),0)</f>
        <v/>
      </c>
      <c r="BB1284">
        <f>IFERROR(INDEX(PP_Grid[#Data],$DE1284,51),0)</f>
        <v/>
      </c>
      <c r="BC1284">
        <f>IFERROR(INDEX(PP_Grid[#Data],$DE1284,52),0)</f>
        <v/>
      </c>
      <c r="BD1284">
        <f>IFERROR(INDEX(PP_Grid[#Data],$DE1284,53),0)</f>
        <v/>
      </c>
      <c r="BE1284">
        <f>IFERROR(INDEX(PP_Grid[#Data],$DE1284,54),0)</f>
        <v/>
      </c>
      <c r="BF1284">
        <f>IFERROR(INDEX(PP_Grid[#Data],$DE1284,55),0)</f>
        <v/>
      </c>
      <c r="BG1284">
        <f>IFERROR(INDEX(PP_Grid[#Data],$DE1284,56),0)</f>
        <v/>
      </c>
      <c r="BH1284">
        <f>IFERROR(INDEX(PP_Grid[#Data],$DE1284,57),0)</f>
        <v/>
      </c>
      <c r="BI1284">
        <f>IFERROR(INDEX(PP_Grid[#Data],$DE1284,58),0)</f>
        <v/>
      </c>
      <c r="BJ1284">
        <f>IFERROR(INDEX(PP_Grid[#Data],$DE1284,59),0)</f>
        <v/>
      </c>
      <c r="BK1284">
        <f>IFERROR(INDEX(PP_Grid[#Data],$DE1284,60),0)</f>
        <v/>
      </c>
      <c r="BL1284">
        <f>IFERROR(INDEX(PP_Grid[#Data],$DE1284,61),0)</f>
        <v/>
      </c>
      <c r="BM1284">
        <f>IFERROR(INDEX(PP_Grid[#Data],$DE1284,62),0)</f>
        <v/>
      </c>
      <c r="BN1284">
        <f>IFERROR(INDEX(PP_Grid[#Data],$DE1284,63),0)</f>
        <v/>
      </c>
      <c r="BO1284">
        <f>IFERROR(INDEX(PP_Grid[#Data],$DE1284,64),0)</f>
        <v/>
      </c>
      <c r="BP1284">
        <f>IFERROR(INDEX(PP_Grid[#Data],$DE1284,65),0)</f>
        <v/>
      </c>
      <c r="BQ1284">
        <f>IFERROR(INDEX(PP_Grid[#Data],$DE1284,66),0)</f>
        <v/>
      </c>
      <c r="BR1284">
        <f>IFERROR(INDEX(PP_Grid[#Data],$DE1284,67),0)</f>
        <v/>
      </c>
      <c r="BS1284">
        <f>IFERROR(INDEX(PP_Grid[#Data],$DE1284,68),0)</f>
        <v/>
      </c>
      <c r="BT1284">
        <f>IFERROR(INDEX(PP_Grid[#Data],$DE1284,69),0)</f>
        <v/>
      </c>
      <c r="BU1284">
        <f>IFERROR(INDEX(PP_Grid[#Data],$DE1284,70),0)</f>
        <v/>
      </c>
      <c r="BV1284">
        <f>IFERROR(INDEX(PP_Grid[#Data],$DE1284,71),0)</f>
        <v/>
      </c>
      <c r="BW1284">
        <f>IFERROR(INDEX(PP_Grid[#Data],$DE1284,72),0)</f>
        <v/>
      </c>
      <c r="BX1284">
        <f>IFERROR(INDEX(PP_Grid[#Data],$DE1284,73),0)</f>
        <v/>
      </c>
      <c r="BY1284">
        <f>IFERROR(INDEX(PP_Grid[#Data],$DE1284,74),0)</f>
        <v/>
      </c>
      <c r="BZ1284">
        <f>IFERROR(INDEX(PP_Grid[#Data],$DE1284,75),0)</f>
        <v/>
      </c>
      <c r="CA1284">
        <f>IFERROR(INDEX(PP_Grid[#Data],$DE1284,76),0)</f>
        <v/>
      </c>
      <c r="CB1284">
        <f>IFERROR(INDEX(PP_Grid[#Data],$DE1284,77),0)</f>
        <v/>
      </c>
      <c r="CC1284">
        <f>IFERROR(INDEX(PP_Grid[#Data],$DE1284,78),0)</f>
        <v/>
      </c>
      <c r="CD1284">
        <f>IFERROR(INDEX(PP_Grid[#Data],$DE1284,79),0)</f>
        <v/>
      </c>
      <c r="CE1284">
        <f>IFERROR(INDEX(PP_Grid[#Data],$DE1284,80),0)</f>
        <v/>
      </c>
      <c r="CF1284">
        <f>IFERROR(INDEX(PP_Grid[#Data],$DE1284,81),0)</f>
        <v/>
      </c>
      <c r="CG1284">
        <f>IFERROR(INDEX(PP_Grid[#Data],$DE1284,82),0)</f>
        <v/>
      </c>
      <c r="CH1284">
        <f>IFERROR(INDEX(PP_Grid[#Data],$DE1284,83),0)</f>
        <v/>
      </c>
      <c r="CI1284">
        <f>IFERROR(INDEX(PP_Grid[#Data],$DE1284,84),0)</f>
        <v/>
      </c>
      <c r="CJ1284">
        <f>IFERROR(INDEX(PP_Grid[#Data],$DE1284,85),0)</f>
        <v/>
      </c>
      <c r="CK1284">
        <f>IFERROR(INDEX(PP_Grid[#Data],$DE1284,86),0)</f>
        <v/>
      </c>
      <c r="CL1284">
        <f>IFERROR(INDEX(PP_Grid[#Data],$DE1284,87),0)</f>
        <v/>
      </c>
      <c r="CM1284">
        <f>IFERROR(INDEX(PP_Grid[#Data],$DE1284,88),0)</f>
        <v/>
      </c>
      <c r="CN1284">
        <f>IFERROR(INDEX(PP_Grid[#Data],$DE1284,89),0)</f>
        <v/>
      </c>
      <c r="CO1284">
        <f>IFERROR(INDEX(PP_Grid[#Data],$DE1284,90),0)</f>
        <v/>
      </c>
      <c r="CP1284">
        <f>IFERROR(INDEX(PP_Grid[#Data],$DE1284,91),0)</f>
        <v/>
      </c>
      <c r="CQ1284">
        <f>IFERROR(INDEX(PP_Grid[#Data],$DE1284,92),0)</f>
        <v/>
      </c>
      <c r="CR1284">
        <f>IFERROR(INDEX(PP_Grid[#Data],$DE1284,93),0)</f>
        <v/>
      </c>
      <c r="CS1284">
        <f>IFERROR(INDEX(PP_Grid[#Data],$DE1284,94),0)</f>
        <v/>
      </c>
      <c r="CT1284">
        <f>IFERROR(INDEX(PP_Grid[#Data],$DE1284,95),0)</f>
        <v/>
      </c>
      <c r="CU1284">
        <f>IFERROR(INDEX(PP_Grid[#Data],$DE1284,96),0)</f>
        <v/>
      </c>
      <c r="CV1284">
        <f>IFERROR(INDEX(PP_Grid[#Data],$DE1284,97),0)</f>
        <v/>
      </c>
      <c r="CW1284">
        <f>IFERROR(INDEX(PP_Grid[#Data],$DE1284,98),0)</f>
        <v/>
      </c>
      <c r="CX1284">
        <f>IFERROR(INDEX(PP_Grid[#Data],$DE1284,99),0)</f>
        <v/>
      </c>
      <c r="CY1284">
        <f>IFERROR(INDEX(PP_Grid[#Data],$DE1284,100),0)</f>
        <v/>
      </c>
      <c r="CZ1284">
        <f>IFERROR(INDEX(PP_Grid[#Data],$DE1284,101),0)</f>
        <v/>
      </c>
      <c r="DA1284">
        <f>IFERROR(INDEX(PP_Grid[#Data],$DE1284,102),0)</f>
        <v/>
      </c>
      <c r="DB1284">
        <f>IFERROR(INDEX(PP_Grid[#Data],$DE1284,103),0)</f>
        <v/>
      </c>
      <c r="DC1284">
        <f>IFERROR(INDEX(PP_Grid[#Data],$DE1284,104),0)</f>
        <v/>
      </c>
      <c r="DD1284">
        <f>IFERROR(INDEX(PP_Grid[#Data],$DE1284,105),0)</f>
        <v/>
      </c>
      <c r="DE1284" s="7">
        <f>IFERROR(MATCH($B1284,PP_Grid[Intermediate],0),99999)</f>
        <v/>
      </c>
    </row>
    <row r="1285">
      <c r="B1285" t="inlineStr">
        <is>
          <t>使用量(kg)</t>
        </is>
      </c>
      <c r="C1285">
        <f>SUMIFS(M_BOM[RM_Qty_Per_Batch],M_BOM[Intermediate],$B1284,M_BOM[RM_Code],$A1283)</f>
        <v/>
      </c>
      <c r="D1285">
        <f>IFERROR(INDEX(E1285:DD1285,$F$1),"")</f>
        <v/>
      </c>
      <c r="E1285">
        <f>$C1285*E1284</f>
        <v/>
      </c>
      <c r="F1285">
        <f>$C1285*F1284</f>
        <v/>
      </c>
      <c r="G1285">
        <f>$C1285*G1284</f>
        <v/>
      </c>
      <c r="H1285">
        <f>$C1285*H1284</f>
        <v/>
      </c>
      <c r="I1285">
        <f>$C1285*I1284</f>
        <v/>
      </c>
      <c r="J1285">
        <f>$C1285*J1284</f>
        <v/>
      </c>
      <c r="K1285">
        <f>$C1285*K1284</f>
        <v/>
      </c>
      <c r="L1285">
        <f>$C1285*L1284</f>
        <v/>
      </c>
      <c r="M1285">
        <f>$C1285*M1284</f>
        <v/>
      </c>
      <c r="N1285">
        <f>$C1285*N1284</f>
        <v/>
      </c>
      <c r="O1285">
        <f>$C1285*O1284</f>
        <v/>
      </c>
      <c r="P1285">
        <f>$C1285*P1284</f>
        <v/>
      </c>
      <c r="Q1285">
        <f>$C1285*Q1284</f>
        <v/>
      </c>
      <c r="R1285">
        <f>$C1285*R1284</f>
        <v/>
      </c>
      <c r="S1285">
        <f>$C1285*S1284</f>
        <v/>
      </c>
      <c r="T1285">
        <f>$C1285*T1284</f>
        <v/>
      </c>
      <c r="U1285">
        <f>$C1285*U1284</f>
        <v/>
      </c>
      <c r="V1285">
        <f>$C1285*V1284</f>
        <v/>
      </c>
      <c r="W1285">
        <f>$C1285*W1284</f>
        <v/>
      </c>
      <c r="X1285">
        <f>$C1285*X1284</f>
        <v/>
      </c>
      <c r="Y1285">
        <f>$C1285*Y1284</f>
        <v/>
      </c>
      <c r="Z1285">
        <f>$C1285*Z1284</f>
        <v/>
      </c>
      <c r="AA1285">
        <f>$C1285*AA1284</f>
        <v/>
      </c>
      <c r="AB1285">
        <f>$C1285*AB1284</f>
        <v/>
      </c>
      <c r="AC1285">
        <f>$C1285*AC1284</f>
        <v/>
      </c>
      <c r="AD1285">
        <f>$C1285*AD1284</f>
        <v/>
      </c>
      <c r="AE1285">
        <f>$C1285*AE1284</f>
        <v/>
      </c>
      <c r="AF1285">
        <f>$C1285*AF1284</f>
        <v/>
      </c>
      <c r="AG1285">
        <f>$C1285*AG1284</f>
        <v/>
      </c>
      <c r="AH1285">
        <f>$C1285*AH1284</f>
        <v/>
      </c>
      <c r="AI1285">
        <f>$C1285*AI1284</f>
        <v/>
      </c>
      <c r="AJ1285">
        <f>$C1285*AJ1284</f>
        <v/>
      </c>
      <c r="AK1285">
        <f>$C1285*AK1284</f>
        <v/>
      </c>
      <c r="AL1285">
        <f>$C1285*AL1284</f>
        <v/>
      </c>
      <c r="AM1285">
        <f>$C1285*AM1284</f>
        <v/>
      </c>
      <c r="AN1285">
        <f>$C1285*AN1284</f>
        <v/>
      </c>
      <c r="AO1285">
        <f>$C1285*AO1284</f>
        <v/>
      </c>
      <c r="AP1285">
        <f>$C1285*AP1284</f>
        <v/>
      </c>
      <c r="AQ1285">
        <f>$C1285*AQ1284</f>
        <v/>
      </c>
      <c r="AR1285">
        <f>$C1285*AR1284</f>
        <v/>
      </c>
      <c r="AS1285">
        <f>$C1285*AS1284</f>
        <v/>
      </c>
      <c r="AT1285">
        <f>$C1285*AT1284</f>
        <v/>
      </c>
      <c r="AU1285">
        <f>$C1285*AU1284</f>
        <v/>
      </c>
      <c r="AV1285">
        <f>$C1285*AV1284</f>
        <v/>
      </c>
      <c r="AW1285">
        <f>$C1285*AW1284</f>
        <v/>
      </c>
      <c r="AX1285">
        <f>$C1285*AX1284</f>
        <v/>
      </c>
      <c r="AY1285">
        <f>$C1285*AY1284</f>
        <v/>
      </c>
      <c r="AZ1285">
        <f>$C1285*AZ1284</f>
        <v/>
      </c>
      <c r="BA1285">
        <f>$C1285*BA1284</f>
        <v/>
      </c>
      <c r="BB1285">
        <f>$C1285*BB1284</f>
        <v/>
      </c>
      <c r="BC1285">
        <f>$C1285*BC1284</f>
        <v/>
      </c>
      <c r="BD1285">
        <f>$C1285*BD1284</f>
        <v/>
      </c>
      <c r="BE1285">
        <f>$C1285*BE1284</f>
        <v/>
      </c>
      <c r="BF1285">
        <f>$C1285*BF1284</f>
        <v/>
      </c>
      <c r="BG1285">
        <f>$C1285*BG1284</f>
        <v/>
      </c>
      <c r="BH1285">
        <f>$C1285*BH1284</f>
        <v/>
      </c>
      <c r="BI1285">
        <f>$C1285*BI1284</f>
        <v/>
      </c>
      <c r="BJ1285">
        <f>$C1285*BJ1284</f>
        <v/>
      </c>
      <c r="BK1285">
        <f>$C1285*BK1284</f>
        <v/>
      </c>
      <c r="BL1285">
        <f>$C1285*BL1284</f>
        <v/>
      </c>
      <c r="BM1285">
        <f>$C1285*BM1284</f>
        <v/>
      </c>
      <c r="BN1285">
        <f>$C1285*BN1284</f>
        <v/>
      </c>
      <c r="BO1285">
        <f>$C1285*BO1284</f>
        <v/>
      </c>
      <c r="BP1285">
        <f>$C1285*BP1284</f>
        <v/>
      </c>
      <c r="BQ1285">
        <f>$C1285*BQ1284</f>
        <v/>
      </c>
      <c r="BR1285">
        <f>$C1285*BR1284</f>
        <v/>
      </c>
      <c r="BS1285">
        <f>$C1285*BS1284</f>
        <v/>
      </c>
      <c r="BT1285">
        <f>$C1285*BT1284</f>
        <v/>
      </c>
      <c r="BU1285">
        <f>$C1285*BU1284</f>
        <v/>
      </c>
      <c r="BV1285">
        <f>$C1285*BV1284</f>
        <v/>
      </c>
      <c r="BW1285">
        <f>$C1285*BW1284</f>
        <v/>
      </c>
      <c r="BX1285">
        <f>$C1285*BX1284</f>
        <v/>
      </c>
      <c r="BY1285">
        <f>$C1285*BY1284</f>
        <v/>
      </c>
      <c r="BZ1285">
        <f>$C1285*BZ1284</f>
        <v/>
      </c>
      <c r="CA1285">
        <f>$C1285*CA1284</f>
        <v/>
      </c>
      <c r="CB1285">
        <f>$C1285*CB1284</f>
        <v/>
      </c>
      <c r="CC1285">
        <f>$C1285*CC1284</f>
        <v/>
      </c>
      <c r="CD1285">
        <f>$C1285*CD1284</f>
        <v/>
      </c>
      <c r="CE1285">
        <f>$C1285*CE1284</f>
        <v/>
      </c>
      <c r="CF1285">
        <f>$C1285*CF1284</f>
        <v/>
      </c>
      <c r="CG1285">
        <f>$C1285*CG1284</f>
        <v/>
      </c>
      <c r="CH1285">
        <f>$C1285*CH1284</f>
        <v/>
      </c>
      <c r="CI1285">
        <f>$C1285*CI1284</f>
        <v/>
      </c>
      <c r="CJ1285">
        <f>$C1285*CJ1284</f>
        <v/>
      </c>
      <c r="CK1285">
        <f>$C1285*CK1284</f>
        <v/>
      </c>
      <c r="CL1285">
        <f>$C1285*CL1284</f>
        <v/>
      </c>
      <c r="CM1285">
        <f>$C1285*CM1284</f>
        <v/>
      </c>
      <c r="CN1285">
        <f>$C1285*CN1284</f>
        <v/>
      </c>
      <c r="CO1285">
        <f>$C1285*CO1284</f>
        <v/>
      </c>
      <c r="CP1285">
        <f>$C1285*CP1284</f>
        <v/>
      </c>
      <c r="CQ1285">
        <f>$C1285*CQ1284</f>
        <v/>
      </c>
      <c r="CR1285">
        <f>$C1285*CR1284</f>
        <v/>
      </c>
      <c r="CS1285">
        <f>$C1285*CS1284</f>
        <v/>
      </c>
      <c r="CT1285">
        <f>$C1285*CT1284</f>
        <v/>
      </c>
      <c r="CU1285">
        <f>$C1285*CU1284</f>
        <v/>
      </c>
      <c r="CV1285">
        <f>$C1285*CV1284</f>
        <v/>
      </c>
      <c r="CW1285">
        <f>$C1285*CW1284</f>
        <v/>
      </c>
      <c r="CX1285">
        <f>$C1285*CX1284</f>
        <v/>
      </c>
      <c r="CY1285">
        <f>$C1285*CY1284</f>
        <v/>
      </c>
      <c r="CZ1285">
        <f>$C1285*CZ1284</f>
        <v/>
      </c>
      <c r="DA1285">
        <f>$C1285*DA1284</f>
        <v/>
      </c>
      <c r="DB1285">
        <f>$C1285*DB1284</f>
        <v/>
      </c>
      <c r="DC1285">
        <f>$C1285*DC1284</f>
        <v/>
      </c>
      <c r="DD1285">
        <f>$C1285*DD1284</f>
        <v/>
      </c>
    </row>
    <row r="1286">
      <c r="B1286" t="inlineStr">
        <is>
          <t>TSP-403</t>
        </is>
      </c>
      <c r="C1286" t="inlineStr">
        <is>
          <t>No. of batches</t>
        </is>
      </c>
      <c r="D1286">
        <f>IFERROR(INDEX(E1286:DD1286,$F$1),"")</f>
        <v/>
      </c>
      <c r="E1286">
        <f>IFERROR(INDEX(PP_Grid[#Data],$DE1286,2),0)</f>
        <v/>
      </c>
      <c r="F1286">
        <f>IFERROR(INDEX(PP_Grid[#Data],$DE1286,3),0)</f>
        <v/>
      </c>
      <c r="G1286">
        <f>IFERROR(INDEX(PP_Grid[#Data],$DE1286,4),0)</f>
        <v/>
      </c>
      <c r="H1286">
        <f>IFERROR(INDEX(PP_Grid[#Data],$DE1286,5),0)</f>
        <v/>
      </c>
      <c r="I1286">
        <f>IFERROR(INDEX(PP_Grid[#Data],$DE1286,6),0)</f>
        <v/>
      </c>
      <c r="J1286">
        <f>IFERROR(INDEX(PP_Grid[#Data],$DE1286,7),0)</f>
        <v/>
      </c>
      <c r="K1286">
        <f>IFERROR(INDEX(PP_Grid[#Data],$DE1286,8),0)</f>
        <v/>
      </c>
      <c r="L1286">
        <f>IFERROR(INDEX(PP_Grid[#Data],$DE1286,9),0)</f>
        <v/>
      </c>
      <c r="M1286">
        <f>IFERROR(INDEX(PP_Grid[#Data],$DE1286,10),0)</f>
        <v/>
      </c>
      <c r="N1286">
        <f>IFERROR(INDEX(PP_Grid[#Data],$DE1286,11),0)</f>
        <v/>
      </c>
      <c r="O1286">
        <f>IFERROR(INDEX(PP_Grid[#Data],$DE1286,12),0)</f>
        <v/>
      </c>
      <c r="P1286">
        <f>IFERROR(INDEX(PP_Grid[#Data],$DE1286,13),0)</f>
        <v/>
      </c>
      <c r="Q1286">
        <f>IFERROR(INDEX(PP_Grid[#Data],$DE1286,14),0)</f>
        <v/>
      </c>
      <c r="R1286">
        <f>IFERROR(INDEX(PP_Grid[#Data],$DE1286,15),0)</f>
        <v/>
      </c>
      <c r="S1286">
        <f>IFERROR(INDEX(PP_Grid[#Data],$DE1286,16),0)</f>
        <v/>
      </c>
      <c r="T1286">
        <f>IFERROR(INDEX(PP_Grid[#Data],$DE1286,17),0)</f>
        <v/>
      </c>
      <c r="U1286">
        <f>IFERROR(INDEX(PP_Grid[#Data],$DE1286,18),0)</f>
        <v/>
      </c>
      <c r="V1286">
        <f>IFERROR(INDEX(PP_Grid[#Data],$DE1286,19),0)</f>
        <v/>
      </c>
      <c r="W1286">
        <f>IFERROR(INDEX(PP_Grid[#Data],$DE1286,20),0)</f>
        <v/>
      </c>
      <c r="X1286">
        <f>IFERROR(INDEX(PP_Grid[#Data],$DE1286,21),0)</f>
        <v/>
      </c>
      <c r="Y1286">
        <f>IFERROR(INDEX(PP_Grid[#Data],$DE1286,22),0)</f>
        <v/>
      </c>
      <c r="Z1286">
        <f>IFERROR(INDEX(PP_Grid[#Data],$DE1286,23),0)</f>
        <v/>
      </c>
      <c r="AA1286">
        <f>IFERROR(INDEX(PP_Grid[#Data],$DE1286,24),0)</f>
        <v/>
      </c>
      <c r="AB1286">
        <f>IFERROR(INDEX(PP_Grid[#Data],$DE1286,25),0)</f>
        <v/>
      </c>
      <c r="AC1286">
        <f>IFERROR(INDEX(PP_Grid[#Data],$DE1286,26),0)</f>
        <v/>
      </c>
      <c r="AD1286">
        <f>IFERROR(INDEX(PP_Grid[#Data],$DE1286,27),0)</f>
        <v/>
      </c>
      <c r="AE1286">
        <f>IFERROR(INDEX(PP_Grid[#Data],$DE1286,28),0)</f>
        <v/>
      </c>
      <c r="AF1286">
        <f>IFERROR(INDEX(PP_Grid[#Data],$DE1286,29),0)</f>
        <v/>
      </c>
      <c r="AG1286">
        <f>IFERROR(INDEX(PP_Grid[#Data],$DE1286,30),0)</f>
        <v/>
      </c>
      <c r="AH1286">
        <f>IFERROR(INDEX(PP_Grid[#Data],$DE1286,31),0)</f>
        <v/>
      </c>
      <c r="AI1286">
        <f>IFERROR(INDEX(PP_Grid[#Data],$DE1286,32),0)</f>
        <v/>
      </c>
      <c r="AJ1286">
        <f>IFERROR(INDEX(PP_Grid[#Data],$DE1286,33),0)</f>
        <v/>
      </c>
      <c r="AK1286">
        <f>IFERROR(INDEX(PP_Grid[#Data],$DE1286,34),0)</f>
        <v/>
      </c>
      <c r="AL1286">
        <f>IFERROR(INDEX(PP_Grid[#Data],$DE1286,35),0)</f>
        <v/>
      </c>
      <c r="AM1286">
        <f>IFERROR(INDEX(PP_Grid[#Data],$DE1286,36),0)</f>
        <v/>
      </c>
      <c r="AN1286">
        <f>IFERROR(INDEX(PP_Grid[#Data],$DE1286,37),0)</f>
        <v/>
      </c>
      <c r="AO1286">
        <f>IFERROR(INDEX(PP_Grid[#Data],$DE1286,38),0)</f>
        <v/>
      </c>
      <c r="AP1286">
        <f>IFERROR(INDEX(PP_Grid[#Data],$DE1286,39),0)</f>
        <v/>
      </c>
      <c r="AQ1286">
        <f>IFERROR(INDEX(PP_Grid[#Data],$DE1286,40),0)</f>
        <v/>
      </c>
      <c r="AR1286">
        <f>IFERROR(INDEX(PP_Grid[#Data],$DE1286,41),0)</f>
        <v/>
      </c>
      <c r="AS1286">
        <f>IFERROR(INDEX(PP_Grid[#Data],$DE1286,42),0)</f>
        <v/>
      </c>
      <c r="AT1286">
        <f>IFERROR(INDEX(PP_Grid[#Data],$DE1286,43),0)</f>
        <v/>
      </c>
      <c r="AU1286">
        <f>IFERROR(INDEX(PP_Grid[#Data],$DE1286,44),0)</f>
        <v/>
      </c>
      <c r="AV1286">
        <f>IFERROR(INDEX(PP_Grid[#Data],$DE1286,45),0)</f>
        <v/>
      </c>
      <c r="AW1286">
        <f>IFERROR(INDEX(PP_Grid[#Data],$DE1286,46),0)</f>
        <v/>
      </c>
      <c r="AX1286">
        <f>IFERROR(INDEX(PP_Grid[#Data],$DE1286,47),0)</f>
        <v/>
      </c>
      <c r="AY1286">
        <f>IFERROR(INDEX(PP_Grid[#Data],$DE1286,48),0)</f>
        <v/>
      </c>
      <c r="AZ1286">
        <f>IFERROR(INDEX(PP_Grid[#Data],$DE1286,49),0)</f>
        <v/>
      </c>
      <c r="BA1286">
        <f>IFERROR(INDEX(PP_Grid[#Data],$DE1286,50),0)</f>
        <v/>
      </c>
      <c r="BB1286">
        <f>IFERROR(INDEX(PP_Grid[#Data],$DE1286,51),0)</f>
        <v/>
      </c>
      <c r="BC1286">
        <f>IFERROR(INDEX(PP_Grid[#Data],$DE1286,52),0)</f>
        <v/>
      </c>
      <c r="BD1286">
        <f>IFERROR(INDEX(PP_Grid[#Data],$DE1286,53),0)</f>
        <v/>
      </c>
      <c r="BE1286">
        <f>IFERROR(INDEX(PP_Grid[#Data],$DE1286,54),0)</f>
        <v/>
      </c>
      <c r="BF1286">
        <f>IFERROR(INDEX(PP_Grid[#Data],$DE1286,55),0)</f>
        <v/>
      </c>
      <c r="BG1286">
        <f>IFERROR(INDEX(PP_Grid[#Data],$DE1286,56),0)</f>
        <v/>
      </c>
      <c r="BH1286">
        <f>IFERROR(INDEX(PP_Grid[#Data],$DE1286,57),0)</f>
        <v/>
      </c>
      <c r="BI1286">
        <f>IFERROR(INDEX(PP_Grid[#Data],$DE1286,58),0)</f>
        <v/>
      </c>
      <c r="BJ1286">
        <f>IFERROR(INDEX(PP_Grid[#Data],$DE1286,59),0)</f>
        <v/>
      </c>
      <c r="BK1286">
        <f>IFERROR(INDEX(PP_Grid[#Data],$DE1286,60),0)</f>
        <v/>
      </c>
      <c r="BL1286">
        <f>IFERROR(INDEX(PP_Grid[#Data],$DE1286,61),0)</f>
        <v/>
      </c>
      <c r="BM1286">
        <f>IFERROR(INDEX(PP_Grid[#Data],$DE1286,62),0)</f>
        <v/>
      </c>
      <c r="BN1286">
        <f>IFERROR(INDEX(PP_Grid[#Data],$DE1286,63),0)</f>
        <v/>
      </c>
      <c r="BO1286">
        <f>IFERROR(INDEX(PP_Grid[#Data],$DE1286,64),0)</f>
        <v/>
      </c>
      <c r="BP1286">
        <f>IFERROR(INDEX(PP_Grid[#Data],$DE1286,65),0)</f>
        <v/>
      </c>
      <c r="BQ1286">
        <f>IFERROR(INDEX(PP_Grid[#Data],$DE1286,66),0)</f>
        <v/>
      </c>
      <c r="BR1286">
        <f>IFERROR(INDEX(PP_Grid[#Data],$DE1286,67),0)</f>
        <v/>
      </c>
      <c r="BS1286">
        <f>IFERROR(INDEX(PP_Grid[#Data],$DE1286,68),0)</f>
        <v/>
      </c>
      <c r="BT1286">
        <f>IFERROR(INDEX(PP_Grid[#Data],$DE1286,69),0)</f>
        <v/>
      </c>
      <c r="BU1286">
        <f>IFERROR(INDEX(PP_Grid[#Data],$DE1286,70),0)</f>
        <v/>
      </c>
      <c r="BV1286">
        <f>IFERROR(INDEX(PP_Grid[#Data],$DE1286,71),0)</f>
        <v/>
      </c>
      <c r="BW1286">
        <f>IFERROR(INDEX(PP_Grid[#Data],$DE1286,72),0)</f>
        <v/>
      </c>
      <c r="BX1286">
        <f>IFERROR(INDEX(PP_Grid[#Data],$DE1286,73),0)</f>
        <v/>
      </c>
      <c r="BY1286">
        <f>IFERROR(INDEX(PP_Grid[#Data],$DE1286,74),0)</f>
        <v/>
      </c>
      <c r="BZ1286">
        <f>IFERROR(INDEX(PP_Grid[#Data],$DE1286,75),0)</f>
        <v/>
      </c>
      <c r="CA1286">
        <f>IFERROR(INDEX(PP_Grid[#Data],$DE1286,76),0)</f>
        <v/>
      </c>
      <c r="CB1286">
        <f>IFERROR(INDEX(PP_Grid[#Data],$DE1286,77),0)</f>
        <v/>
      </c>
      <c r="CC1286">
        <f>IFERROR(INDEX(PP_Grid[#Data],$DE1286,78),0)</f>
        <v/>
      </c>
      <c r="CD1286">
        <f>IFERROR(INDEX(PP_Grid[#Data],$DE1286,79),0)</f>
        <v/>
      </c>
      <c r="CE1286">
        <f>IFERROR(INDEX(PP_Grid[#Data],$DE1286,80),0)</f>
        <v/>
      </c>
      <c r="CF1286">
        <f>IFERROR(INDEX(PP_Grid[#Data],$DE1286,81),0)</f>
        <v/>
      </c>
      <c r="CG1286">
        <f>IFERROR(INDEX(PP_Grid[#Data],$DE1286,82),0)</f>
        <v/>
      </c>
      <c r="CH1286">
        <f>IFERROR(INDEX(PP_Grid[#Data],$DE1286,83),0)</f>
        <v/>
      </c>
      <c r="CI1286">
        <f>IFERROR(INDEX(PP_Grid[#Data],$DE1286,84),0)</f>
        <v/>
      </c>
      <c r="CJ1286">
        <f>IFERROR(INDEX(PP_Grid[#Data],$DE1286,85),0)</f>
        <v/>
      </c>
      <c r="CK1286">
        <f>IFERROR(INDEX(PP_Grid[#Data],$DE1286,86),0)</f>
        <v/>
      </c>
      <c r="CL1286">
        <f>IFERROR(INDEX(PP_Grid[#Data],$DE1286,87),0)</f>
        <v/>
      </c>
      <c r="CM1286">
        <f>IFERROR(INDEX(PP_Grid[#Data],$DE1286,88),0)</f>
        <v/>
      </c>
      <c r="CN1286">
        <f>IFERROR(INDEX(PP_Grid[#Data],$DE1286,89),0)</f>
        <v/>
      </c>
      <c r="CO1286">
        <f>IFERROR(INDEX(PP_Grid[#Data],$DE1286,90),0)</f>
        <v/>
      </c>
      <c r="CP1286">
        <f>IFERROR(INDEX(PP_Grid[#Data],$DE1286,91),0)</f>
        <v/>
      </c>
      <c r="CQ1286">
        <f>IFERROR(INDEX(PP_Grid[#Data],$DE1286,92),0)</f>
        <v/>
      </c>
      <c r="CR1286">
        <f>IFERROR(INDEX(PP_Grid[#Data],$DE1286,93),0)</f>
        <v/>
      </c>
      <c r="CS1286">
        <f>IFERROR(INDEX(PP_Grid[#Data],$DE1286,94),0)</f>
        <v/>
      </c>
      <c r="CT1286">
        <f>IFERROR(INDEX(PP_Grid[#Data],$DE1286,95),0)</f>
        <v/>
      </c>
      <c r="CU1286">
        <f>IFERROR(INDEX(PP_Grid[#Data],$DE1286,96),0)</f>
        <v/>
      </c>
      <c r="CV1286">
        <f>IFERROR(INDEX(PP_Grid[#Data],$DE1286,97),0)</f>
        <v/>
      </c>
      <c r="CW1286">
        <f>IFERROR(INDEX(PP_Grid[#Data],$DE1286,98),0)</f>
        <v/>
      </c>
      <c r="CX1286">
        <f>IFERROR(INDEX(PP_Grid[#Data],$DE1286,99),0)</f>
        <v/>
      </c>
      <c r="CY1286">
        <f>IFERROR(INDEX(PP_Grid[#Data],$DE1286,100),0)</f>
        <v/>
      </c>
      <c r="CZ1286">
        <f>IFERROR(INDEX(PP_Grid[#Data],$DE1286,101),0)</f>
        <v/>
      </c>
      <c r="DA1286">
        <f>IFERROR(INDEX(PP_Grid[#Data],$DE1286,102),0)</f>
        <v/>
      </c>
      <c r="DB1286">
        <f>IFERROR(INDEX(PP_Grid[#Data],$DE1286,103),0)</f>
        <v/>
      </c>
      <c r="DC1286">
        <f>IFERROR(INDEX(PP_Grid[#Data],$DE1286,104),0)</f>
        <v/>
      </c>
      <c r="DD1286">
        <f>IFERROR(INDEX(PP_Grid[#Data],$DE1286,105),0)</f>
        <v/>
      </c>
      <c r="DE1286" s="7">
        <f>IFERROR(MATCH($B1286,PP_Grid[Intermediate],0),99999)</f>
        <v/>
      </c>
    </row>
    <row r="1287">
      <c r="B1287" t="inlineStr">
        <is>
          <t>使用量(kg)</t>
        </is>
      </c>
      <c r="C1287">
        <f>SUMIFS(M_BOM[RM_Qty_Per_Batch],M_BOM[Intermediate],$B1286,M_BOM[RM_Code],$A1283)</f>
        <v/>
      </c>
      <c r="D1287">
        <f>IFERROR(INDEX(E1287:DD1287,$F$1),"")</f>
        <v/>
      </c>
      <c r="E1287">
        <f>$C1287*E1286</f>
        <v/>
      </c>
      <c r="F1287">
        <f>$C1287*F1286</f>
        <v/>
      </c>
      <c r="G1287">
        <f>$C1287*G1286</f>
        <v/>
      </c>
      <c r="H1287">
        <f>$C1287*H1286</f>
        <v/>
      </c>
      <c r="I1287">
        <f>$C1287*I1286</f>
        <v/>
      </c>
      <c r="J1287">
        <f>$C1287*J1286</f>
        <v/>
      </c>
      <c r="K1287">
        <f>$C1287*K1286</f>
        <v/>
      </c>
      <c r="L1287">
        <f>$C1287*L1286</f>
        <v/>
      </c>
      <c r="M1287">
        <f>$C1287*M1286</f>
        <v/>
      </c>
      <c r="N1287">
        <f>$C1287*N1286</f>
        <v/>
      </c>
      <c r="O1287">
        <f>$C1287*O1286</f>
        <v/>
      </c>
      <c r="P1287">
        <f>$C1287*P1286</f>
        <v/>
      </c>
      <c r="Q1287">
        <f>$C1287*Q1286</f>
        <v/>
      </c>
      <c r="R1287">
        <f>$C1287*R1286</f>
        <v/>
      </c>
      <c r="S1287">
        <f>$C1287*S1286</f>
        <v/>
      </c>
      <c r="T1287">
        <f>$C1287*T1286</f>
        <v/>
      </c>
      <c r="U1287">
        <f>$C1287*U1286</f>
        <v/>
      </c>
      <c r="V1287">
        <f>$C1287*V1286</f>
        <v/>
      </c>
      <c r="W1287">
        <f>$C1287*W1286</f>
        <v/>
      </c>
      <c r="X1287">
        <f>$C1287*X1286</f>
        <v/>
      </c>
      <c r="Y1287">
        <f>$C1287*Y1286</f>
        <v/>
      </c>
      <c r="Z1287">
        <f>$C1287*Z1286</f>
        <v/>
      </c>
      <c r="AA1287">
        <f>$C1287*AA1286</f>
        <v/>
      </c>
      <c r="AB1287">
        <f>$C1287*AB1286</f>
        <v/>
      </c>
      <c r="AC1287">
        <f>$C1287*AC1286</f>
        <v/>
      </c>
      <c r="AD1287">
        <f>$C1287*AD1286</f>
        <v/>
      </c>
      <c r="AE1287">
        <f>$C1287*AE1286</f>
        <v/>
      </c>
      <c r="AF1287">
        <f>$C1287*AF1286</f>
        <v/>
      </c>
      <c r="AG1287">
        <f>$C1287*AG1286</f>
        <v/>
      </c>
      <c r="AH1287">
        <f>$C1287*AH1286</f>
        <v/>
      </c>
      <c r="AI1287">
        <f>$C1287*AI1286</f>
        <v/>
      </c>
      <c r="AJ1287">
        <f>$C1287*AJ1286</f>
        <v/>
      </c>
      <c r="AK1287">
        <f>$C1287*AK1286</f>
        <v/>
      </c>
      <c r="AL1287">
        <f>$C1287*AL1286</f>
        <v/>
      </c>
      <c r="AM1287">
        <f>$C1287*AM1286</f>
        <v/>
      </c>
      <c r="AN1287">
        <f>$C1287*AN1286</f>
        <v/>
      </c>
      <c r="AO1287">
        <f>$C1287*AO1286</f>
        <v/>
      </c>
      <c r="AP1287">
        <f>$C1287*AP1286</f>
        <v/>
      </c>
      <c r="AQ1287">
        <f>$C1287*AQ1286</f>
        <v/>
      </c>
      <c r="AR1287">
        <f>$C1287*AR1286</f>
        <v/>
      </c>
      <c r="AS1287">
        <f>$C1287*AS1286</f>
        <v/>
      </c>
      <c r="AT1287">
        <f>$C1287*AT1286</f>
        <v/>
      </c>
      <c r="AU1287">
        <f>$C1287*AU1286</f>
        <v/>
      </c>
      <c r="AV1287">
        <f>$C1287*AV1286</f>
        <v/>
      </c>
      <c r="AW1287">
        <f>$C1287*AW1286</f>
        <v/>
      </c>
      <c r="AX1287">
        <f>$C1287*AX1286</f>
        <v/>
      </c>
      <c r="AY1287">
        <f>$C1287*AY1286</f>
        <v/>
      </c>
      <c r="AZ1287">
        <f>$C1287*AZ1286</f>
        <v/>
      </c>
      <c r="BA1287">
        <f>$C1287*BA1286</f>
        <v/>
      </c>
      <c r="BB1287">
        <f>$C1287*BB1286</f>
        <v/>
      </c>
      <c r="BC1287">
        <f>$C1287*BC1286</f>
        <v/>
      </c>
      <c r="BD1287">
        <f>$C1287*BD1286</f>
        <v/>
      </c>
      <c r="BE1287">
        <f>$C1287*BE1286</f>
        <v/>
      </c>
      <c r="BF1287">
        <f>$C1287*BF1286</f>
        <v/>
      </c>
      <c r="BG1287">
        <f>$C1287*BG1286</f>
        <v/>
      </c>
      <c r="BH1287">
        <f>$C1287*BH1286</f>
        <v/>
      </c>
      <c r="BI1287">
        <f>$C1287*BI1286</f>
        <v/>
      </c>
      <c r="BJ1287">
        <f>$C1287*BJ1286</f>
        <v/>
      </c>
      <c r="BK1287">
        <f>$C1287*BK1286</f>
        <v/>
      </c>
      <c r="BL1287">
        <f>$C1287*BL1286</f>
        <v/>
      </c>
      <c r="BM1287">
        <f>$C1287*BM1286</f>
        <v/>
      </c>
      <c r="BN1287">
        <f>$C1287*BN1286</f>
        <v/>
      </c>
      <c r="BO1287">
        <f>$C1287*BO1286</f>
        <v/>
      </c>
      <c r="BP1287">
        <f>$C1287*BP1286</f>
        <v/>
      </c>
      <c r="BQ1287">
        <f>$C1287*BQ1286</f>
        <v/>
      </c>
      <c r="BR1287">
        <f>$C1287*BR1286</f>
        <v/>
      </c>
      <c r="BS1287">
        <f>$C1287*BS1286</f>
        <v/>
      </c>
      <c r="BT1287">
        <f>$C1287*BT1286</f>
        <v/>
      </c>
      <c r="BU1287">
        <f>$C1287*BU1286</f>
        <v/>
      </c>
      <c r="BV1287">
        <f>$C1287*BV1286</f>
        <v/>
      </c>
      <c r="BW1287">
        <f>$C1287*BW1286</f>
        <v/>
      </c>
      <c r="BX1287">
        <f>$C1287*BX1286</f>
        <v/>
      </c>
      <c r="BY1287">
        <f>$C1287*BY1286</f>
        <v/>
      </c>
      <c r="BZ1287">
        <f>$C1287*BZ1286</f>
        <v/>
      </c>
      <c r="CA1287">
        <f>$C1287*CA1286</f>
        <v/>
      </c>
      <c r="CB1287">
        <f>$C1287*CB1286</f>
        <v/>
      </c>
      <c r="CC1287">
        <f>$C1287*CC1286</f>
        <v/>
      </c>
      <c r="CD1287">
        <f>$C1287*CD1286</f>
        <v/>
      </c>
      <c r="CE1287">
        <f>$C1287*CE1286</f>
        <v/>
      </c>
      <c r="CF1287">
        <f>$C1287*CF1286</f>
        <v/>
      </c>
      <c r="CG1287">
        <f>$C1287*CG1286</f>
        <v/>
      </c>
      <c r="CH1287">
        <f>$C1287*CH1286</f>
        <v/>
      </c>
      <c r="CI1287">
        <f>$C1287*CI1286</f>
        <v/>
      </c>
      <c r="CJ1287">
        <f>$C1287*CJ1286</f>
        <v/>
      </c>
      <c r="CK1287">
        <f>$C1287*CK1286</f>
        <v/>
      </c>
      <c r="CL1287">
        <f>$C1287*CL1286</f>
        <v/>
      </c>
      <c r="CM1287">
        <f>$C1287*CM1286</f>
        <v/>
      </c>
      <c r="CN1287">
        <f>$C1287*CN1286</f>
        <v/>
      </c>
      <c r="CO1287">
        <f>$C1287*CO1286</f>
        <v/>
      </c>
      <c r="CP1287">
        <f>$C1287*CP1286</f>
        <v/>
      </c>
      <c r="CQ1287">
        <f>$C1287*CQ1286</f>
        <v/>
      </c>
      <c r="CR1287">
        <f>$C1287*CR1286</f>
        <v/>
      </c>
      <c r="CS1287">
        <f>$C1287*CS1286</f>
        <v/>
      </c>
      <c r="CT1287">
        <f>$C1287*CT1286</f>
        <v/>
      </c>
      <c r="CU1287">
        <f>$C1287*CU1286</f>
        <v/>
      </c>
      <c r="CV1287">
        <f>$C1287*CV1286</f>
        <v/>
      </c>
      <c r="CW1287">
        <f>$C1287*CW1286</f>
        <v/>
      </c>
      <c r="CX1287">
        <f>$C1287*CX1286</f>
        <v/>
      </c>
      <c r="CY1287">
        <f>$C1287*CY1286</f>
        <v/>
      </c>
      <c r="CZ1287">
        <f>$C1287*CZ1286</f>
        <v/>
      </c>
      <c r="DA1287">
        <f>$C1287*DA1286</f>
        <v/>
      </c>
      <c r="DB1287">
        <f>$C1287*DB1286</f>
        <v/>
      </c>
      <c r="DC1287">
        <f>$C1287*DC1286</f>
        <v/>
      </c>
      <c r="DD1287">
        <f>$C1287*DD1286</f>
        <v/>
      </c>
    </row>
    <row r="1288">
      <c r="B1288" t="inlineStr">
        <is>
          <t>TSP-404</t>
        </is>
      </c>
      <c r="C1288" t="inlineStr">
        <is>
          <t>No. of batches</t>
        </is>
      </c>
      <c r="D1288">
        <f>IFERROR(INDEX(E1288:DD1288,$F$1),"")</f>
        <v/>
      </c>
      <c r="E1288">
        <f>IFERROR(INDEX(PP_Grid[#Data],$DE1288,2),0)</f>
        <v/>
      </c>
      <c r="F1288">
        <f>IFERROR(INDEX(PP_Grid[#Data],$DE1288,3),0)</f>
        <v/>
      </c>
      <c r="G1288">
        <f>IFERROR(INDEX(PP_Grid[#Data],$DE1288,4),0)</f>
        <v/>
      </c>
      <c r="H1288">
        <f>IFERROR(INDEX(PP_Grid[#Data],$DE1288,5),0)</f>
        <v/>
      </c>
      <c r="I1288">
        <f>IFERROR(INDEX(PP_Grid[#Data],$DE1288,6),0)</f>
        <v/>
      </c>
      <c r="J1288">
        <f>IFERROR(INDEX(PP_Grid[#Data],$DE1288,7),0)</f>
        <v/>
      </c>
      <c r="K1288">
        <f>IFERROR(INDEX(PP_Grid[#Data],$DE1288,8),0)</f>
        <v/>
      </c>
      <c r="L1288">
        <f>IFERROR(INDEX(PP_Grid[#Data],$DE1288,9),0)</f>
        <v/>
      </c>
      <c r="M1288">
        <f>IFERROR(INDEX(PP_Grid[#Data],$DE1288,10),0)</f>
        <v/>
      </c>
      <c r="N1288">
        <f>IFERROR(INDEX(PP_Grid[#Data],$DE1288,11),0)</f>
        <v/>
      </c>
      <c r="O1288">
        <f>IFERROR(INDEX(PP_Grid[#Data],$DE1288,12),0)</f>
        <v/>
      </c>
      <c r="P1288">
        <f>IFERROR(INDEX(PP_Grid[#Data],$DE1288,13),0)</f>
        <v/>
      </c>
      <c r="Q1288">
        <f>IFERROR(INDEX(PP_Grid[#Data],$DE1288,14),0)</f>
        <v/>
      </c>
      <c r="R1288">
        <f>IFERROR(INDEX(PP_Grid[#Data],$DE1288,15),0)</f>
        <v/>
      </c>
      <c r="S1288">
        <f>IFERROR(INDEX(PP_Grid[#Data],$DE1288,16),0)</f>
        <v/>
      </c>
      <c r="T1288">
        <f>IFERROR(INDEX(PP_Grid[#Data],$DE1288,17),0)</f>
        <v/>
      </c>
      <c r="U1288">
        <f>IFERROR(INDEX(PP_Grid[#Data],$DE1288,18),0)</f>
        <v/>
      </c>
      <c r="V1288">
        <f>IFERROR(INDEX(PP_Grid[#Data],$DE1288,19),0)</f>
        <v/>
      </c>
      <c r="W1288">
        <f>IFERROR(INDEX(PP_Grid[#Data],$DE1288,20),0)</f>
        <v/>
      </c>
      <c r="X1288">
        <f>IFERROR(INDEX(PP_Grid[#Data],$DE1288,21),0)</f>
        <v/>
      </c>
      <c r="Y1288">
        <f>IFERROR(INDEX(PP_Grid[#Data],$DE1288,22),0)</f>
        <v/>
      </c>
      <c r="Z1288">
        <f>IFERROR(INDEX(PP_Grid[#Data],$DE1288,23),0)</f>
        <v/>
      </c>
      <c r="AA1288">
        <f>IFERROR(INDEX(PP_Grid[#Data],$DE1288,24),0)</f>
        <v/>
      </c>
      <c r="AB1288">
        <f>IFERROR(INDEX(PP_Grid[#Data],$DE1288,25),0)</f>
        <v/>
      </c>
      <c r="AC1288">
        <f>IFERROR(INDEX(PP_Grid[#Data],$DE1288,26),0)</f>
        <v/>
      </c>
      <c r="AD1288">
        <f>IFERROR(INDEX(PP_Grid[#Data],$DE1288,27),0)</f>
        <v/>
      </c>
      <c r="AE1288">
        <f>IFERROR(INDEX(PP_Grid[#Data],$DE1288,28),0)</f>
        <v/>
      </c>
      <c r="AF1288">
        <f>IFERROR(INDEX(PP_Grid[#Data],$DE1288,29),0)</f>
        <v/>
      </c>
      <c r="AG1288">
        <f>IFERROR(INDEX(PP_Grid[#Data],$DE1288,30),0)</f>
        <v/>
      </c>
      <c r="AH1288">
        <f>IFERROR(INDEX(PP_Grid[#Data],$DE1288,31),0)</f>
        <v/>
      </c>
      <c r="AI1288">
        <f>IFERROR(INDEX(PP_Grid[#Data],$DE1288,32),0)</f>
        <v/>
      </c>
      <c r="AJ1288">
        <f>IFERROR(INDEX(PP_Grid[#Data],$DE1288,33),0)</f>
        <v/>
      </c>
      <c r="AK1288">
        <f>IFERROR(INDEX(PP_Grid[#Data],$DE1288,34),0)</f>
        <v/>
      </c>
      <c r="AL1288">
        <f>IFERROR(INDEX(PP_Grid[#Data],$DE1288,35),0)</f>
        <v/>
      </c>
      <c r="AM1288">
        <f>IFERROR(INDEX(PP_Grid[#Data],$DE1288,36),0)</f>
        <v/>
      </c>
      <c r="AN1288">
        <f>IFERROR(INDEX(PP_Grid[#Data],$DE1288,37),0)</f>
        <v/>
      </c>
      <c r="AO1288">
        <f>IFERROR(INDEX(PP_Grid[#Data],$DE1288,38),0)</f>
        <v/>
      </c>
      <c r="AP1288">
        <f>IFERROR(INDEX(PP_Grid[#Data],$DE1288,39),0)</f>
        <v/>
      </c>
      <c r="AQ1288">
        <f>IFERROR(INDEX(PP_Grid[#Data],$DE1288,40),0)</f>
        <v/>
      </c>
      <c r="AR1288">
        <f>IFERROR(INDEX(PP_Grid[#Data],$DE1288,41),0)</f>
        <v/>
      </c>
      <c r="AS1288">
        <f>IFERROR(INDEX(PP_Grid[#Data],$DE1288,42),0)</f>
        <v/>
      </c>
      <c r="AT1288">
        <f>IFERROR(INDEX(PP_Grid[#Data],$DE1288,43),0)</f>
        <v/>
      </c>
      <c r="AU1288">
        <f>IFERROR(INDEX(PP_Grid[#Data],$DE1288,44),0)</f>
        <v/>
      </c>
      <c r="AV1288">
        <f>IFERROR(INDEX(PP_Grid[#Data],$DE1288,45),0)</f>
        <v/>
      </c>
      <c r="AW1288">
        <f>IFERROR(INDEX(PP_Grid[#Data],$DE1288,46),0)</f>
        <v/>
      </c>
      <c r="AX1288">
        <f>IFERROR(INDEX(PP_Grid[#Data],$DE1288,47),0)</f>
        <v/>
      </c>
      <c r="AY1288">
        <f>IFERROR(INDEX(PP_Grid[#Data],$DE1288,48),0)</f>
        <v/>
      </c>
      <c r="AZ1288">
        <f>IFERROR(INDEX(PP_Grid[#Data],$DE1288,49),0)</f>
        <v/>
      </c>
      <c r="BA1288">
        <f>IFERROR(INDEX(PP_Grid[#Data],$DE1288,50),0)</f>
        <v/>
      </c>
      <c r="BB1288">
        <f>IFERROR(INDEX(PP_Grid[#Data],$DE1288,51),0)</f>
        <v/>
      </c>
      <c r="BC1288">
        <f>IFERROR(INDEX(PP_Grid[#Data],$DE1288,52),0)</f>
        <v/>
      </c>
      <c r="BD1288">
        <f>IFERROR(INDEX(PP_Grid[#Data],$DE1288,53),0)</f>
        <v/>
      </c>
      <c r="BE1288">
        <f>IFERROR(INDEX(PP_Grid[#Data],$DE1288,54),0)</f>
        <v/>
      </c>
      <c r="BF1288">
        <f>IFERROR(INDEX(PP_Grid[#Data],$DE1288,55),0)</f>
        <v/>
      </c>
      <c r="BG1288">
        <f>IFERROR(INDEX(PP_Grid[#Data],$DE1288,56),0)</f>
        <v/>
      </c>
      <c r="BH1288">
        <f>IFERROR(INDEX(PP_Grid[#Data],$DE1288,57),0)</f>
        <v/>
      </c>
      <c r="BI1288">
        <f>IFERROR(INDEX(PP_Grid[#Data],$DE1288,58),0)</f>
        <v/>
      </c>
      <c r="BJ1288">
        <f>IFERROR(INDEX(PP_Grid[#Data],$DE1288,59),0)</f>
        <v/>
      </c>
      <c r="BK1288">
        <f>IFERROR(INDEX(PP_Grid[#Data],$DE1288,60),0)</f>
        <v/>
      </c>
      <c r="BL1288">
        <f>IFERROR(INDEX(PP_Grid[#Data],$DE1288,61),0)</f>
        <v/>
      </c>
      <c r="BM1288">
        <f>IFERROR(INDEX(PP_Grid[#Data],$DE1288,62),0)</f>
        <v/>
      </c>
      <c r="BN1288">
        <f>IFERROR(INDEX(PP_Grid[#Data],$DE1288,63),0)</f>
        <v/>
      </c>
      <c r="BO1288">
        <f>IFERROR(INDEX(PP_Grid[#Data],$DE1288,64),0)</f>
        <v/>
      </c>
      <c r="BP1288">
        <f>IFERROR(INDEX(PP_Grid[#Data],$DE1288,65),0)</f>
        <v/>
      </c>
      <c r="BQ1288">
        <f>IFERROR(INDEX(PP_Grid[#Data],$DE1288,66),0)</f>
        <v/>
      </c>
      <c r="BR1288">
        <f>IFERROR(INDEX(PP_Grid[#Data],$DE1288,67),0)</f>
        <v/>
      </c>
      <c r="BS1288">
        <f>IFERROR(INDEX(PP_Grid[#Data],$DE1288,68),0)</f>
        <v/>
      </c>
      <c r="BT1288">
        <f>IFERROR(INDEX(PP_Grid[#Data],$DE1288,69),0)</f>
        <v/>
      </c>
      <c r="BU1288">
        <f>IFERROR(INDEX(PP_Grid[#Data],$DE1288,70),0)</f>
        <v/>
      </c>
      <c r="BV1288">
        <f>IFERROR(INDEX(PP_Grid[#Data],$DE1288,71),0)</f>
        <v/>
      </c>
      <c r="BW1288">
        <f>IFERROR(INDEX(PP_Grid[#Data],$DE1288,72),0)</f>
        <v/>
      </c>
      <c r="BX1288">
        <f>IFERROR(INDEX(PP_Grid[#Data],$DE1288,73),0)</f>
        <v/>
      </c>
      <c r="BY1288">
        <f>IFERROR(INDEX(PP_Grid[#Data],$DE1288,74),0)</f>
        <v/>
      </c>
      <c r="BZ1288">
        <f>IFERROR(INDEX(PP_Grid[#Data],$DE1288,75),0)</f>
        <v/>
      </c>
      <c r="CA1288">
        <f>IFERROR(INDEX(PP_Grid[#Data],$DE1288,76),0)</f>
        <v/>
      </c>
      <c r="CB1288">
        <f>IFERROR(INDEX(PP_Grid[#Data],$DE1288,77),0)</f>
        <v/>
      </c>
      <c r="CC1288">
        <f>IFERROR(INDEX(PP_Grid[#Data],$DE1288,78),0)</f>
        <v/>
      </c>
      <c r="CD1288">
        <f>IFERROR(INDEX(PP_Grid[#Data],$DE1288,79),0)</f>
        <v/>
      </c>
      <c r="CE1288">
        <f>IFERROR(INDEX(PP_Grid[#Data],$DE1288,80),0)</f>
        <v/>
      </c>
      <c r="CF1288">
        <f>IFERROR(INDEX(PP_Grid[#Data],$DE1288,81),0)</f>
        <v/>
      </c>
      <c r="CG1288">
        <f>IFERROR(INDEX(PP_Grid[#Data],$DE1288,82),0)</f>
        <v/>
      </c>
      <c r="CH1288">
        <f>IFERROR(INDEX(PP_Grid[#Data],$DE1288,83),0)</f>
        <v/>
      </c>
      <c r="CI1288">
        <f>IFERROR(INDEX(PP_Grid[#Data],$DE1288,84),0)</f>
        <v/>
      </c>
      <c r="CJ1288">
        <f>IFERROR(INDEX(PP_Grid[#Data],$DE1288,85),0)</f>
        <v/>
      </c>
      <c r="CK1288">
        <f>IFERROR(INDEX(PP_Grid[#Data],$DE1288,86),0)</f>
        <v/>
      </c>
      <c r="CL1288">
        <f>IFERROR(INDEX(PP_Grid[#Data],$DE1288,87),0)</f>
        <v/>
      </c>
      <c r="CM1288">
        <f>IFERROR(INDEX(PP_Grid[#Data],$DE1288,88),0)</f>
        <v/>
      </c>
      <c r="CN1288">
        <f>IFERROR(INDEX(PP_Grid[#Data],$DE1288,89),0)</f>
        <v/>
      </c>
      <c r="CO1288">
        <f>IFERROR(INDEX(PP_Grid[#Data],$DE1288,90),0)</f>
        <v/>
      </c>
      <c r="CP1288">
        <f>IFERROR(INDEX(PP_Grid[#Data],$DE1288,91),0)</f>
        <v/>
      </c>
      <c r="CQ1288">
        <f>IFERROR(INDEX(PP_Grid[#Data],$DE1288,92),0)</f>
        <v/>
      </c>
      <c r="CR1288">
        <f>IFERROR(INDEX(PP_Grid[#Data],$DE1288,93),0)</f>
        <v/>
      </c>
      <c r="CS1288">
        <f>IFERROR(INDEX(PP_Grid[#Data],$DE1288,94),0)</f>
        <v/>
      </c>
      <c r="CT1288">
        <f>IFERROR(INDEX(PP_Grid[#Data],$DE1288,95),0)</f>
        <v/>
      </c>
      <c r="CU1288">
        <f>IFERROR(INDEX(PP_Grid[#Data],$DE1288,96),0)</f>
        <v/>
      </c>
      <c r="CV1288">
        <f>IFERROR(INDEX(PP_Grid[#Data],$DE1288,97),0)</f>
        <v/>
      </c>
      <c r="CW1288">
        <f>IFERROR(INDEX(PP_Grid[#Data],$DE1288,98),0)</f>
        <v/>
      </c>
      <c r="CX1288">
        <f>IFERROR(INDEX(PP_Grid[#Data],$DE1288,99),0)</f>
        <v/>
      </c>
      <c r="CY1288">
        <f>IFERROR(INDEX(PP_Grid[#Data],$DE1288,100),0)</f>
        <v/>
      </c>
      <c r="CZ1288">
        <f>IFERROR(INDEX(PP_Grid[#Data],$DE1288,101),0)</f>
        <v/>
      </c>
      <c r="DA1288">
        <f>IFERROR(INDEX(PP_Grid[#Data],$DE1288,102),0)</f>
        <v/>
      </c>
      <c r="DB1288">
        <f>IFERROR(INDEX(PP_Grid[#Data],$DE1288,103),0)</f>
        <v/>
      </c>
      <c r="DC1288">
        <f>IFERROR(INDEX(PP_Grid[#Data],$DE1288,104),0)</f>
        <v/>
      </c>
      <c r="DD1288">
        <f>IFERROR(INDEX(PP_Grid[#Data],$DE1288,105),0)</f>
        <v/>
      </c>
      <c r="DE1288" s="7">
        <f>IFERROR(MATCH($B1288,PP_Grid[Intermediate],0),99999)</f>
        <v/>
      </c>
    </row>
    <row r="1289">
      <c r="B1289" t="inlineStr">
        <is>
          <t>使用量(kg)</t>
        </is>
      </c>
      <c r="C1289">
        <f>SUMIFS(M_BOM[RM_Qty_Per_Batch],M_BOM[Intermediate],$B1288,M_BOM[RM_Code],$A1283)</f>
        <v/>
      </c>
      <c r="D1289">
        <f>IFERROR(INDEX(E1289:DD1289,$F$1),"")</f>
        <v/>
      </c>
      <c r="E1289">
        <f>$C1289*E1288</f>
        <v/>
      </c>
      <c r="F1289">
        <f>$C1289*F1288</f>
        <v/>
      </c>
      <c r="G1289">
        <f>$C1289*G1288</f>
        <v/>
      </c>
      <c r="H1289">
        <f>$C1289*H1288</f>
        <v/>
      </c>
      <c r="I1289">
        <f>$C1289*I1288</f>
        <v/>
      </c>
      <c r="J1289">
        <f>$C1289*J1288</f>
        <v/>
      </c>
      <c r="K1289">
        <f>$C1289*K1288</f>
        <v/>
      </c>
      <c r="L1289">
        <f>$C1289*L1288</f>
        <v/>
      </c>
      <c r="M1289">
        <f>$C1289*M1288</f>
        <v/>
      </c>
      <c r="N1289">
        <f>$C1289*N1288</f>
        <v/>
      </c>
      <c r="O1289">
        <f>$C1289*O1288</f>
        <v/>
      </c>
      <c r="P1289">
        <f>$C1289*P1288</f>
        <v/>
      </c>
      <c r="Q1289">
        <f>$C1289*Q1288</f>
        <v/>
      </c>
      <c r="R1289">
        <f>$C1289*R1288</f>
        <v/>
      </c>
      <c r="S1289">
        <f>$C1289*S1288</f>
        <v/>
      </c>
      <c r="T1289">
        <f>$C1289*T1288</f>
        <v/>
      </c>
      <c r="U1289">
        <f>$C1289*U1288</f>
        <v/>
      </c>
      <c r="V1289">
        <f>$C1289*V1288</f>
        <v/>
      </c>
      <c r="W1289">
        <f>$C1289*W1288</f>
        <v/>
      </c>
      <c r="X1289">
        <f>$C1289*X1288</f>
        <v/>
      </c>
      <c r="Y1289">
        <f>$C1289*Y1288</f>
        <v/>
      </c>
      <c r="Z1289">
        <f>$C1289*Z1288</f>
        <v/>
      </c>
      <c r="AA1289">
        <f>$C1289*AA1288</f>
        <v/>
      </c>
      <c r="AB1289">
        <f>$C1289*AB1288</f>
        <v/>
      </c>
      <c r="AC1289">
        <f>$C1289*AC1288</f>
        <v/>
      </c>
      <c r="AD1289">
        <f>$C1289*AD1288</f>
        <v/>
      </c>
      <c r="AE1289">
        <f>$C1289*AE1288</f>
        <v/>
      </c>
      <c r="AF1289">
        <f>$C1289*AF1288</f>
        <v/>
      </c>
      <c r="AG1289">
        <f>$C1289*AG1288</f>
        <v/>
      </c>
      <c r="AH1289">
        <f>$C1289*AH1288</f>
        <v/>
      </c>
      <c r="AI1289">
        <f>$C1289*AI1288</f>
        <v/>
      </c>
      <c r="AJ1289">
        <f>$C1289*AJ1288</f>
        <v/>
      </c>
      <c r="AK1289">
        <f>$C1289*AK1288</f>
        <v/>
      </c>
      <c r="AL1289">
        <f>$C1289*AL1288</f>
        <v/>
      </c>
      <c r="AM1289">
        <f>$C1289*AM1288</f>
        <v/>
      </c>
      <c r="AN1289">
        <f>$C1289*AN1288</f>
        <v/>
      </c>
      <c r="AO1289">
        <f>$C1289*AO1288</f>
        <v/>
      </c>
      <c r="AP1289">
        <f>$C1289*AP1288</f>
        <v/>
      </c>
      <c r="AQ1289">
        <f>$C1289*AQ1288</f>
        <v/>
      </c>
      <c r="AR1289">
        <f>$C1289*AR1288</f>
        <v/>
      </c>
      <c r="AS1289">
        <f>$C1289*AS1288</f>
        <v/>
      </c>
      <c r="AT1289">
        <f>$C1289*AT1288</f>
        <v/>
      </c>
      <c r="AU1289">
        <f>$C1289*AU1288</f>
        <v/>
      </c>
      <c r="AV1289">
        <f>$C1289*AV1288</f>
        <v/>
      </c>
      <c r="AW1289">
        <f>$C1289*AW1288</f>
        <v/>
      </c>
      <c r="AX1289">
        <f>$C1289*AX1288</f>
        <v/>
      </c>
      <c r="AY1289">
        <f>$C1289*AY1288</f>
        <v/>
      </c>
      <c r="AZ1289">
        <f>$C1289*AZ1288</f>
        <v/>
      </c>
      <c r="BA1289">
        <f>$C1289*BA1288</f>
        <v/>
      </c>
      <c r="BB1289">
        <f>$C1289*BB1288</f>
        <v/>
      </c>
      <c r="BC1289">
        <f>$C1289*BC1288</f>
        <v/>
      </c>
      <c r="BD1289">
        <f>$C1289*BD1288</f>
        <v/>
      </c>
      <c r="BE1289">
        <f>$C1289*BE1288</f>
        <v/>
      </c>
      <c r="BF1289">
        <f>$C1289*BF1288</f>
        <v/>
      </c>
      <c r="BG1289">
        <f>$C1289*BG1288</f>
        <v/>
      </c>
      <c r="BH1289">
        <f>$C1289*BH1288</f>
        <v/>
      </c>
      <c r="BI1289">
        <f>$C1289*BI1288</f>
        <v/>
      </c>
      <c r="BJ1289">
        <f>$C1289*BJ1288</f>
        <v/>
      </c>
      <c r="BK1289">
        <f>$C1289*BK1288</f>
        <v/>
      </c>
      <c r="BL1289">
        <f>$C1289*BL1288</f>
        <v/>
      </c>
      <c r="BM1289">
        <f>$C1289*BM1288</f>
        <v/>
      </c>
      <c r="BN1289">
        <f>$C1289*BN1288</f>
        <v/>
      </c>
      <c r="BO1289">
        <f>$C1289*BO1288</f>
        <v/>
      </c>
      <c r="BP1289">
        <f>$C1289*BP1288</f>
        <v/>
      </c>
      <c r="BQ1289">
        <f>$C1289*BQ1288</f>
        <v/>
      </c>
      <c r="BR1289">
        <f>$C1289*BR1288</f>
        <v/>
      </c>
      <c r="BS1289">
        <f>$C1289*BS1288</f>
        <v/>
      </c>
      <c r="BT1289">
        <f>$C1289*BT1288</f>
        <v/>
      </c>
      <c r="BU1289">
        <f>$C1289*BU1288</f>
        <v/>
      </c>
      <c r="BV1289">
        <f>$C1289*BV1288</f>
        <v/>
      </c>
      <c r="BW1289">
        <f>$C1289*BW1288</f>
        <v/>
      </c>
      <c r="BX1289">
        <f>$C1289*BX1288</f>
        <v/>
      </c>
      <c r="BY1289">
        <f>$C1289*BY1288</f>
        <v/>
      </c>
      <c r="BZ1289">
        <f>$C1289*BZ1288</f>
        <v/>
      </c>
      <c r="CA1289">
        <f>$C1289*CA1288</f>
        <v/>
      </c>
      <c r="CB1289">
        <f>$C1289*CB1288</f>
        <v/>
      </c>
      <c r="CC1289">
        <f>$C1289*CC1288</f>
        <v/>
      </c>
      <c r="CD1289">
        <f>$C1289*CD1288</f>
        <v/>
      </c>
      <c r="CE1289">
        <f>$C1289*CE1288</f>
        <v/>
      </c>
      <c r="CF1289">
        <f>$C1289*CF1288</f>
        <v/>
      </c>
      <c r="CG1289">
        <f>$C1289*CG1288</f>
        <v/>
      </c>
      <c r="CH1289">
        <f>$C1289*CH1288</f>
        <v/>
      </c>
      <c r="CI1289">
        <f>$C1289*CI1288</f>
        <v/>
      </c>
      <c r="CJ1289">
        <f>$C1289*CJ1288</f>
        <v/>
      </c>
      <c r="CK1289">
        <f>$C1289*CK1288</f>
        <v/>
      </c>
      <c r="CL1289">
        <f>$C1289*CL1288</f>
        <v/>
      </c>
      <c r="CM1289">
        <f>$C1289*CM1288</f>
        <v/>
      </c>
      <c r="CN1289">
        <f>$C1289*CN1288</f>
        <v/>
      </c>
      <c r="CO1289">
        <f>$C1289*CO1288</f>
        <v/>
      </c>
      <c r="CP1289">
        <f>$C1289*CP1288</f>
        <v/>
      </c>
      <c r="CQ1289">
        <f>$C1289*CQ1288</f>
        <v/>
      </c>
      <c r="CR1289">
        <f>$C1289*CR1288</f>
        <v/>
      </c>
      <c r="CS1289">
        <f>$C1289*CS1288</f>
        <v/>
      </c>
      <c r="CT1289">
        <f>$C1289*CT1288</f>
        <v/>
      </c>
      <c r="CU1289">
        <f>$C1289*CU1288</f>
        <v/>
      </c>
      <c r="CV1289">
        <f>$C1289*CV1288</f>
        <v/>
      </c>
      <c r="CW1289">
        <f>$C1289*CW1288</f>
        <v/>
      </c>
      <c r="CX1289">
        <f>$C1289*CX1288</f>
        <v/>
      </c>
      <c r="CY1289">
        <f>$C1289*CY1288</f>
        <v/>
      </c>
      <c r="CZ1289">
        <f>$C1289*CZ1288</f>
        <v/>
      </c>
      <c r="DA1289">
        <f>$C1289*DA1288</f>
        <v/>
      </c>
      <c r="DB1289">
        <f>$C1289*DB1288</f>
        <v/>
      </c>
      <c r="DC1289">
        <f>$C1289*DC1288</f>
        <v/>
      </c>
      <c r="DD1289">
        <f>$C1289*DD1288</f>
        <v/>
      </c>
    </row>
    <row r="1290">
      <c r="B1290" t="inlineStr">
        <is>
          <t>TSP-405</t>
        </is>
      </c>
      <c r="C1290" t="inlineStr">
        <is>
          <t>No. of batches</t>
        </is>
      </c>
      <c r="D1290">
        <f>IFERROR(INDEX(E1290:DD1290,$F$1),"")</f>
        <v/>
      </c>
      <c r="E1290">
        <f>IFERROR(INDEX(PP_Grid[#Data],$DE1290,2),0)</f>
        <v/>
      </c>
      <c r="F1290">
        <f>IFERROR(INDEX(PP_Grid[#Data],$DE1290,3),0)</f>
        <v/>
      </c>
      <c r="G1290">
        <f>IFERROR(INDEX(PP_Grid[#Data],$DE1290,4),0)</f>
        <v/>
      </c>
      <c r="H1290">
        <f>IFERROR(INDEX(PP_Grid[#Data],$DE1290,5),0)</f>
        <v/>
      </c>
      <c r="I1290">
        <f>IFERROR(INDEX(PP_Grid[#Data],$DE1290,6),0)</f>
        <v/>
      </c>
      <c r="J1290">
        <f>IFERROR(INDEX(PP_Grid[#Data],$DE1290,7),0)</f>
        <v/>
      </c>
      <c r="K1290">
        <f>IFERROR(INDEX(PP_Grid[#Data],$DE1290,8),0)</f>
        <v/>
      </c>
      <c r="L1290">
        <f>IFERROR(INDEX(PP_Grid[#Data],$DE1290,9),0)</f>
        <v/>
      </c>
      <c r="M1290">
        <f>IFERROR(INDEX(PP_Grid[#Data],$DE1290,10),0)</f>
        <v/>
      </c>
      <c r="N1290">
        <f>IFERROR(INDEX(PP_Grid[#Data],$DE1290,11),0)</f>
        <v/>
      </c>
      <c r="O1290">
        <f>IFERROR(INDEX(PP_Grid[#Data],$DE1290,12),0)</f>
        <v/>
      </c>
      <c r="P1290">
        <f>IFERROR(INDEX(PP_Grid[#Data],$DE1290,13),0)</f>
        <v/>
      </c>
      <c r="Q1290">
        <f>IFERROR(INDEX(PP_Grid[#Data],$DE1290,14),0)</f>
        <v/>
      </c>
      <c r="R1290">
        <f>IFERROR(INDEX(PP_Grid[#Data],$DE1290,15),0)</f>
        <v/>
      </c>
      <c r="S1290">
        <f>IFERROR(INDEX(PP_Grid[#Data],$DE1290,16),0)</f>
        <v/>
      </c>
      <c r="T1290">
        <f>IFERROR(INDEX(PP_Grid[#Data],$DE1290,17),0)</f>
        <v/>
      </c>
      <c r="U1290">
        <f>IFERROR(INDEX(PP_Grid[#Data],$DE1290,18),0)</f>
        <v/>
      </c>
      <c r="V1290">
        <f>IFERROR(INDEX(PP_Grid[#Data],$DE1290,19),0)</f>
        <v/>
      </c>
      <c r="W1290">
        <f>IFERROR(INDEX(PP_Grid[#Data],$DE1290,20),0)</f>
        <v/>
      </c>
      <c r="X1290">
        <f>IFERROR(INDEX(PP_Grid[#Data],$DE1290,21),0)</f>
        <v/>
      </c>
      <c r="Y1290">
        <f>IFERROR(INDEX(PP_Grid[#Data],$DE1290,22),0)</f>
        <v/>
      </c>
      <c r="Z1290">
        <f>IFERROR(INDEX(PP_Grid[#Data],$DE1290,23),0)</f>
        <v/>
      </c>
      <c r="AA1290">
        <f>IFERROR(INDEX(PP_Grid[#Data],$DE1290,24),0)</f>
        <v/>
      </c>
      <c r="AB1290">
        <f>IFERROR(INDEX(PP_Grid[#Data],$DE1290,25),0)</f>
        <v/>
      </c>
      <c r="AC1290">
        <f>IFERROR(INDEX(PP_Grid[#Data],$DE1290,26),0)</f>
        <v/>
      </c>
      <c r="AD1290">
        <f>IFERROR(INDEX(PP_Grid[#Data],$DE1290,27),0)</f>
        <v/>
      </c>
      <c r="AE1290">
        <f>IFERROR(INDEX(PP_Grid[#Data],$DE1290,28),0)</f>
        <v/>
      </c>
      <c r="AF1290">
        <f>IFERROR(INDEX(PP_Grid[#Data],$DE1290,29),0)</f>
        <v/>
      </c>
      <c r="AG1290">
        <f>IFERROR(INDEX(PP_Grid[#Data],$DE1290,30),0)</f>
        <v/>
      </c>
      <c r="AH1290">
        <f>IFERROR(INDEX(PP_Grid[#Data],$DE1290,31),0)</f>
        <v/>
      </c>
      <c r="AI1290">
        <f>IFERROR(INDEX(PP_Grid[#Data],$DE1290,32),0)</f>
        <v/>
      </c>
      <c r="AJ1290">
        <f>IFERROR(INDEX(PP_Grid[#Data],$DE1290,33),0)</f>
        <v/>
      </c>
      <c r="AK1290">
        <f>IFERROR(INDEX(PP_Grid[#Data],$DE1290,34),0)</f>
        <v/>
      </c>
      <c r="AL1290">
        <f>IFERROR(INDEX(PP_Grid[#Data],$DE1290,35),0)</f>
        <v/>
      </c>
      <c r="AM1290">
        <f>IFERROR(INDEX(PP_Grid[#Data],$DE1290,36),0)</f>
        <v/>
      </c>
      <c r="AN1290">
        <f>IFERROR(INDEX(PP_Grid[#Data],$DE1290,37),0)</f>
        <v/>
      </c>
      <c r="AO1290">
        <f>IFERROR(INDEX(PP_Grid[#Data],$DE1290,38),0)</f>
        <v/>
      </c>
      <c r="AP1290">
        <f>IFERROR(INDEX(PP_Grid[#Data],$DE1290,39),0)</f>
        <v/>
      </c>
      <c r="AQ1290">
        <f>IFERROR(INDEX(PP_Grid[#Data],$DE1290,40),0)</f>
        <v/>
      </c>
      <c r="AR1290">
        <f>IFERROR(INDEX(PP_Grid[#Data],$DE1290,41),0)</f>
        <v/>
      </c>
      <c r="AS1290">
        <f>IFERROR(INDEX(PP_Grid[#Data],$DE1290,42),0)</f>
        <v/>
      </c>
      <c r="AT1290">
        <f>IFERROR(INDEX(PP_Grid[#Data],$DE1290,43),0)</f>
        <v/>
      </c>
      <c r="AU1290">
        <f>IFERROR(INDEX(PP_Grid[#Data],$DE1290,44),0)</f>
        <v/>
      </c>
      <c r="AV1290">
        <f>IFERROR(INDEX(PP_Grid[#Data],$DE1290,45),0)</f>
        <v/>
      </c>
      <c r="AW1290">
        <f>IFERROR(INDEX(PP_Grid[#Data],$DE1290,46),0)</f>
        <v/>
      </c>
      <c r="AX1290">
        <f>IFERROR(INDEX(PP_Grid[#Data],$DE1290,47),0)</f>
        <v/>
      </c>
      <c r="AY1290">
        <f>IFERROR(INDEX(PP_Grid[#Data],$DE1290,48),0)</f>
        <v/>
      </c>
      <c r="AZ1290">
        <f>IFERROR(INDEX(PP_Grid[#Data],$DE1290,49),0)</f>
        <v/>
      </c>
      <c r="BA1290">
        <f>IFERROR(INDEX(PP_Grid[#Data],$DE1290,50),0)</f>
        <v/>
      </c>
      <c r="BB1290">
        <f>IFERROR(INDEX(PP_Grid[#Data],$DE1290,51),0)</f>
        <v/>
      </c>
      <c r="BC1290">
        <f>IFERROR(INDEX(PP_Grid[#Data],$DE1290,52),0)</f>
        <v/>
      </c>
      <c r="BD1290">
        <f>IFERROR(INDEX(PP_Grid[#Data],$DE1290,53),0)</f>
        <v/>
      </c>
      <c r="BE1290">
        <f>IFERROR(INDEX(PP_Grid[#Data],$DE1290,54),0)</f>
        <v/>
      </c>
      <c r="BF1290">
        <f>IFERROR(INDEX(PP_Grid[#Data],$DE1290,55),0)</f>
        <v/>
      </c>
      <c r="BG1290">
        <f>IFERROR(INDEX(PP_Grid[#Data],$DE1290,56),0)</f>
        <v/>
      </c>
      <c r="BH1290">
        <f>IFERROR(INDEX(PP_Grid[#Data],$DE1290,57),0)</f>
        <v/>
      </c>
      <c r="BI1290">
        <f>IFERROR(INDEX(PP_Grid[#Data],$DE1290,58),0)</f>
        <v/>
      </c>
      <c r="BJ1290">
        <f>IFERROR(INDEX(PP_Grid[#Data],$DE1290,59),0)</f>
        <v/>
      </c>
      <c r="BK1290">
        <f>IFERROR(INDEX(PP_Grid[#Data],$DE1290,60),0)</f>
        <v/>
      </c>
      <c r="BL1290">
        <f>IFERROR(INDEX(PP_Grid[#Data],$DE1290,61),0)</f>
        <v/>
      </c>
      <c r="BM1290">
        <f>IFERROR(INDEX(PP_Grid[#Data],$DE1290,62),0)</f>
        <v/>
      </c>
      <c r="BN1290">
        <f>IFERROR(INDEX(PP_Grid[#Data],$DE1290,63),0)</f>
        <v/>
      </c>
      <c r="BO1290">
        <f>IFERROR(INDEX(PP_Grid[#Data],$DE1290,64),0)</f>
        <v/>
      </c>
      <c r="BP1290">
        <f>IFERROR(INDEX(PP_Grid[#Data],$DE1290,65),0)</f>
        <v/>
      </c>
      <c r="BQ1290">
        <f>IFERROR(INDEX(PP_Grid[#Data],$DE1290,66),0)</f>
        <v/>
      </c>
      <c r="BR1290">
        <f>IFERROR(INDEX(PP_Grid[#Data],$DE1290,67),0)</f>
        <v/>
      </c>
      <c r="BS1290">
        <f>IFERROR(INDEX(PP_Grid[#Data],$DE1290,68),0)</f>
        <v/>
      </c>
      <c r="BT1290">
        <f>IFERROR(INDEX(PP_Grid[#Data],$DE1290,69),0)</f>
        <v/>
      </c>
      <c r="BU1290">
        <f>IFERROR(INDEX(PP_Grid[#Data],$DE1290,70),0)</f>
        <v/>
      </c>
      <c r="BV1290">
        <f>IFERROR(INDEX(PP_Grid[#Data],$DE1290,71),0)</f>
        <v/>
      </c>
      <c r="BW1290">
        <f>IFERROR(INDEX(PP_Grid[#Data],$DE1290,72),0)</f>
        <v/>
      </c>
      <c r="BX1290">
        <f>IFERROR(INDEX(PP_Grid[#Data],$DE1290,73),0)</f>
        <v/>
      </c>
      <c r="BY1290">
        <f>IFERROR(INDEX(PP_Grid[#Data],$DE1290,74),0)</f>
        <v/>
      </c>
      <c r="BZ1290">
        <f>IFERROR(INDEX(PP_Grid[#Data],$DE1290,75),0)</f>
        <v/>
      </c>
      <c r="CA1290">
        <f>IFERROR(INDEX(PP_Grid[#Data],$DE1290,76),0)</f>
        <v/>
      </c>
      <c r="CB1290">
        <f>IFERROR(INDEX(PP_Grid[#Data],$DE1290,77),0)</f>
        <v/>
      </c>
      <c r="CC1290">
        <f>IFERROR(INDEX(PP_Grid[#Data],$DE1290,78),0)</f>
        <v/>
      </c>
      <c r="CD1290">
        <f>IFERROR(INDEX(PP_Grid[#Data],$DE1290,79),0)</f>
        <v/>
      </c>
      <c r="CE1290">
        <f>IFERROR(INDEX(PP_Grid[#Data],$DE1290,80),0)</f>
        <v/>
      </c>
      <c r="CF1290">
        <f>IFERROR(INDEX(PP_Grid[#Data],$DE1290,81),0)</f>
        <v/>
      </c>
      <c r="CG1290">
        <f>IFERROR(INDEX(PP_Grid[#Data],$DE1290,82),0)</f>
        <v/>
      </c>
      <c r="CH1290">
        <f>IFERROR(INDEX(PP_Grid[#Data],$DE1290,83),0)</f>
        <v/>
      </c>
      <c r="CI1290">
        <f>IFERROR(INDEX(PP_Grid[#Data],$DE1290,84),0)</f>
        <v/>
      </c>
      <c r="CJ1290">
        <f>IFERROR(INDEX(PP_Grid[#Data],$DE1290,85),0)</f>
        <v/>
      </c>
      <c r="CK1290">
        <f>IFERROR(INDEX(PP_Grid[#Data],$DE1290,86),0)</f>
        <v/>
      </c>
      <c r="CL1290">
        <f>IFERROR(INDEX(PP_Grid[#Data],$DE1290,87),0)</f>
        <v/>
      </c>
      <c r="CM1290">
        <f>IFERROR(INDEX(PP_Grid[#Data],$DE1290,88),0)</f>
        <v/>
      </c>
      <c r="CN1290">
        <f>IFERROR(INDEX(PP_Grid[#Data],$DE1290,89),0)</f>
        <v/>
      </c>
      <c r="CO1290">
        <f>IFERROR(INDEX(PP_Grid[#Data],$DE1290,90),0)</f>
        <v/>
      </c>
      <c r="CP1290">
        <f>IFERROR(INDEX(PP_Grid[#Data],$DE1290,91),0)</f>
        <v/>
      </c>
      <c r="CQ1290">
        <f>IFERROR(INDEX(PP_Grid[#Data],$DE1290,92),0)</f>
        <v/>
      </c>
      <c r="CR1290">
        <f>IFERROR(INDEX(PP_Grid[#Data],$DE1290,93),0)</f>
        <v/>
      </c>
      <c r="CS1290">
        <f>IFERROR(INDEX(PP_Grid[#Data],$DE1290,94),0)</f>
        <v/>
      </c>
      <c r="CT1290">
        <f>IFERROR(INDEX(PP_Grid[#Data],$DE1290,95),0)</f>
        <v/>
      </c>
      <c r="CU1290">
        <f>IFERROR(INDEX(PP_Grid[#Data],$DE1290,96),0)</f>
        <v/>
      </c>
      <c r="CV1290">
        <f>IFERROR(INDEX(PP_Grid[#Data],$DE1290,97),0)</f>
        <v/>
      </c>
      <c r="CW1290">
        <f>IFERROR(INDEX(PP_Grid[#Data],$DE1290,98),0)</f>
        <v/>
      </c>
      <c r="CX1290">
        <f>IFERROR(INDEX(PP_Grid[#Data],$DE1290,99),0)</f>
        <v/>
      </c>
      <c r="CY1290">
        <f>IFERROR(INDEX(PP_Grid[#Data],$DE1290,100),0)</f>
        <v/>
      </c>
      <c r="CZ1290">
        <f>IFERROR(INDEX(PP_Grid[#Data],$DE1290,101),0)</f>
        <v/>
      </c>
      <c r="DA1290">
        <f>IFERROR(INDEX(PP_Grid[#Data],$DE1290,102),0)</f>
        <v/>
      </c>
      <c r="DB1290">
        <f>IFERROR(INDEX(PP_Grid[#Data],$DE1290,103),0)</f>
        <v/>
      </c>
      <c r="DC1290">
        <f>IFERROR(INDEX(PP_Grid[#Data],$DE1290,104),0)</f>
        <v/>
      </c>
      <c r="DD1290">
        <f>IFERROR(INDEX(PP_Grid[#Data],$DE1290,105),0)</f>
        <v/>
      </c>
      <c r="DE1290" s="7">
        <f>IFERROR(MATCH($B1290,PP_Grid[Intermediate],0),99999)</f>
        <v/>
      </c>
    </row>
    <row r="1291">
      <c r="B1291" t="inlineStr">
        <is>
          <t>使用量(kg)</t>
        </is>
      </c>
      <c r="C1291">
        <f>SUMIFS(M_BOM[RM_Qty_Per_Batch],M_BOM[Intermediate],$B1290,M_BOM[RM_Code],$A1283)</f>
        <v/>
      </c>
      <c r="D1291">
        <f>IFERROR(INDEX(E1291:DD1291,$F$1),"")</f>
        <v/>
      </c>
      <c r="E1291">
        <f>$C1291*E1290</f>
        <v/>
      </c>
      <c r="F1291">
        <f>$C1291*F1290</f>
        <v/>
      </c>
      <c r="G1291">
        <f>$C1291*G1290</f>
        <v/>
      </c>
      <c r="H1291">
        <f>$C1291*H1290</f>
        <v/>
      </c>
      <c r="I1291">
        <f>$C1291*I1290</f>
        <v/>
      </c>
      <c r="J1291">
        <f>$C1291*J1290</f>
        <v/>
      </c>
      <c r="K1291">
        <f>$C1291*K1290</f>
        <v/>
      </c>
      <c r="L1291">
        <f>$C1291*L1290</f>
        <v/>
      </c>
      <c r="M1291">
        <f>$C1291*M1290</f>
        <v/>
      </c>
      <c r="N1291">
        <f>$C1291*N1290</f>
        <v/>
      </c>
      <c r="O1291">
        <f>$C1291*O1290</f>
        <v/>
      </c>
      <c r="P1291">
        <f>$C1291*P1290</f>
        <v/>
      </c>
      <c r="Q1291">
        <f>$C1291*Q1290</f>
        <v/>
      </c>
      <c r="R1291">
        <f>$C1291*R1290</f>
        <v/>
      </c>
      <c r="S1291">
        <f>$C1291*S1290</f>
        <v/>
      </c>
      <c r="T1291">
        <f>$C1291*T1290</f>
        <v/>
      </c>
      <c r="U1291">
        <f>$C1291*U1290</f>
        <v/>
      </c>
      <c r="V1291">
        <f>$C1291*V1290</f>
        <v/>
      </c>
      <c r="W1291">
        <f>$C1291*W1290</f>
        <v/>
      </c>
      <c r="X1291">
        <f>$C1291*X1290</f>
        <v/>
      </c>
      <c r="Y1291">
        <f>$C1291*Y1290</f>
        <v/>
      </c>
      <c r="Z1291">
        <f>$C1291*Z1290</f>
        <v/>
      </c>
      <c r="AA1291">
        <f>$C1291*AA1290</f>
        <v/>
      </c>
      <c r="AB1291">
        <f>$C1291*AB1290</f>
        <v/>
      </c>
      <c r="AC1291">
        <f>$C1291*AC1290</f>
        <v/>
      </c>
      <c r="AD1291">
        <f>$C1291*AD1290</f>
        <v/>
      </c>
      <c r="AE1291">
        <f>$C1291*AE1290</f>
        <v/>
      </c>
      <c r="AF1291">
        <f>$C1291*AF1290</f>
        <v/>
      </c>
      <c r="AG1291">
        <f>$C1291*AG1290</f>
        <v/>
      </c>
      <c r="AH1291">
        <f>$C1291*AH1290</f>
        <v/>
      </c>
      <c r="AI1291">
        <f>$C1291*AI1290</f>
        <v/>
      </c>
      <c r="AJ1291">
        <f>$C1291*AJ1290</f>
        <v/>
      </c>
      <c r="AK1291">
        <f>$C1291*AK1290</f>
        <v/>
      </c>
      <c r="AL1291">
        <f>$C1291*AL1290</f>
        <v/>
      </c>
      <c r="AM1291">
        <f>$C1291*AM1290</f>
        <v/>
      </c>
      <c r="AN1291">
        <f>$C1291*AN1290</f>
        <v/>
      </c>
      <c r="AO1291">
        <f>$C1291*AO1290</f>
        <v/>
      </c>
      <c r="AP1291">
        <f>$C1291*AP1290</f>
        <v/>
      </c>
      <c r="AQ1291">
        <f>$C1291*AQ1290</f>
        <v/>
      </c>
      <c r="AR1291">
        <f>$C1291*AR1290</f>
        <v/>
      </c>
      <c r="AS1291">
        <f>$C1291*AS1290</f>
        <v/>
      </c>
      <c r="AT1291">
        <f>$C1291*AT1290</f>
        <v/>
      </c>
      <c r="AU1291">
        <f>$C1291*AU1290</f>
        <v/>
      </c>
      <c r="AV1291">
        <f>$C1291*AV1290</f>
        <v/>
      </c>
      <c r="AW1291">
        <f>$C1291*AW1290</f>
        <v/>
      </c>
      <c r="AX1291">
        <f>$C1291*AX1290</f>
        <v/>
      </c>
      <c r="AY1291">
        <f>$C1291*AY1290</f>
        <v/>
      </c>
      <c r="AZ1291">
        <f>$C1291*AZ1290</f>
        <v/>
      </c>
      <c r="BA1291">
        <f>$C1291*BA1290</f>
        <v/>
      </c>
      <c r="BB1291">
        <f>$C1291*BB1290</f>
        <v/>
      </c>
      <c r="BC1291">
        <f>$C1291*BC1290</f>
        <v/>
      </c>
      <c r="BD1291">
        <f>$C1291*BD1290</f>
        <v/>
      </c>
      <c r="BE1291">
        <f>$C1291*BE1290</f>
        <v/>
      </c>
      <c r="BF1291">
        <f>$C1291*BF1290</f>
        <v/>
      </c>
      <c r="BG1291">
        <f>$C1291*BG1290</f>
        <v/>
      </c>
      <c r="BH1291">
        <f>$C1291*BH1290</f>
        <v/>
      </c>
      <c r="BI1291">
        <f>$C1291*BI1290</f>
        <v/>
      </c>
      <c r="BJ1291">
        <f>$C1291*BJ1290</f>
        <v/>
      </c>
      <c r="BK1291">
        <f>$C1291*BK1290</f>
        <v/>
      </c>
      <c r="BL1291">
        <f>$C1291*BL1290</f>
        <v/>
      </c>
      <c r="BM1291">
        <f>$C1291*BM1290</f>
        <v/>
      </c>
      <c r="BN1291">
        <f>$C1291*BN1290</f>
        <v/>
      </c>
      <c r="BO1291">
        <f>$C1291*BO1290</f>
        <v/>
      </c>
      <c r="BP1291">
        <f>$C1291*BP1290</f>
        <v/>
      </c>
      <c r="BQ1291">
        <f>$C1291*BQ1290</f>
        <v/>
      </c>
      <c r="BR1291">
        <f>$C1291*BR1290</f>
        <v/>
      </c>
      <c r="BS1291">
        <f>$C1291*BS1290</f>
        <v/>
      </c>
      <c r="BT1291">
        <f>$C1291*BT1290</f>
        <v/>
      </c>
      <c r="BU1291">
        <f>$C1291*BU1290</f>
        <v/>
      </c>
      <c r="BV1291">
        <f>$C1291*BV1290</f>
        <v/>
      </c>
      <c r="BW1291">
        <f>$C1291*BW1290</f>
        <v/>
      </c>
      <c r="BX1291">
        <f>$C1291*BX1290</f>
        <v/>
      </c>
      <c r="BY1291">
        <f>$C1291*BY1290</f>
        <v/>
      </c>
      <c r="BZ1291">
        <f>$C1291*BZ1290</f>
        <v/>
      </c>
      <c r="CA1291">
        <f>$C1291*CA1290</f>
        <v/>
      </c>
      <c r="CB1291">
        <f>$C1291*CB1290</f>
        <v/>
      </c>
      <c r="CC1291">
        <f>$C1291*CC1290</f>
        <v/>
      </c>
      <c r="CD1291">
        <f>$C1291*CD1290</f>
        <v/>
      </c>
      <c r="CE1291">
        <f>$C1291*CE1290</f>
        <v/>
      </c>
      <c r="CF1291">
        <f>$C1291*CF1290</f>
        <v/>
      </c>
      <c r="CG1291">
        <f>$C1291*CG1290</f>
        <v/>
      </c>
      <c r="CH1291">
        <f>$C1291*CH1290</f>
        <v/>
      </c>
      <c r="CI1291">
        <f>$C1291*CI1290</f>
        <v/>
      </c>
      <c r="CJ1291">
        <f>$C1291*CJ1290</f>
        <v/>
      </c>
      <c r="CK1291">
        <f>$C1291*CK1290</f>
        <v/>
      </c>
      <c r="CL1291">
        <f>$C1291*CL1290</f>
        <v/>
      </c>
      <c r="CM1291">
        <f>$C1291*CM1290</f>
        <v/>
      </c>
      <c r="CN1291">
        <f>$C1291*CN1290</f>
        <v/>
      </c>
      <c r="CO1291">
        <f>$C1291*CO1290</f>
        <v/>
      </c>
      <c r="CP1291">
        <f>$C1291*CP1290</f>
        <v/>
      </c>
      <c r="CQ1291">
        <f>$C1291*CQ1290</f>
        <v/>
      </c>
      <c r="CR1291">
        <f>$C1291*CR1290</f>
        <v/>
      </c>
      <c r="CS1291">
        <f>$C1291*CS1290</f>
        <v/>
      </c>
      <c r="CT1291">
        <f>$C1291*CT1290</f>
        <v/>
      </c>
      <c r="CU1291">
        <f>$C1291*CU1290</f>
        <v/>
      </c>
      <c r="CV1291">
        <f>$C1291*CV1290</f>
        <v/>
      </c>
      <c r="CW1291">
        <f>$C1291*CW1290</f>
        <v/>
      </c>
      <c r="CX1291">
        <f>$C1291*CX1290</f>
        <v/>
      </c>
      <c r="CY1291">
        <f>$C1291*CY1290</f>
        <v/>
      </c>
      <c r="CZ1291">
        <f>$C1291*CZ1290</f>
        <v/>
      </c>
      <c r="DA1291">
        <f>$C1291*DA1290</f>
        <v/>
      </c>
      <c r="DB1291">
        <f>$C1291*DB1290</f>
        <v/>
      </c>
      <c r="DC1291">
        <f>$C1291*DC1290</f>
        <v/>
      </c>
      <c r="DD1291">
        <f>$C1291*DD1290</f>
        <v/>
      </c>
    </row>
    <row r="1292">
      <c r="B1292" s="4" t="inlineStr">
        <is>
          <t>合計使用量(kg)/週</t>
        </is>
      </c>
      <c r="D1292" s="23">
        <f>IFERROR(INDEX(E1292:DD1292,$F$1),"")</f>
        <v/>
      </c>
      <c r="E1292">
        <f>'Grid_Requirement'!B54</f>
        <v/>
      </c>
      <c r="F1292">
        <f>'Grid_Requirement'!C54</f>
        <v/>
      </c>
      <c r="G1292">
        <f>'Grid_Requirement'!D54</f>
        <v/>
      </c>
      <c r="H1292">
        <f>'Grid_Requirement'!E54</f>
        <v/>
      </c>
      <c r="I1292">
        <f>'Grid_Requirement'!F54</f>
        <v/>
      </c>
      <c r="J1292">
        <f>'Grid_Requirement'!G54</f>
        <v/>
      </c>
      <c r="K1292">
        <f>'Grid_Requirement'!H54</f>
        <v/>
      </c>
      <c r="L1292">
        <f>'Grid_Requirement'!I54</f>
        <v/>
      </c>
      <c r="M1292">
        <f>'Grid_Requirement'!J54</f>
        <v/>
      </c>
      <c r="N1292">
        <f>'Grid_Requirement'!K54</f>
        <v/>
      </c>
      <c r="O1292">
        <f>'Grid_Requirement'!L54</f>
        <v/>
      </c>
      <c r="P1292">
        <f>'Grid_Requirement'!M54</f>
        <v/>
      </c>
      <c r="Q1292">
        <f>'Grid_Requirement'!N54</f>
        <v/>
      </c>
      <c r="R1292">
        <f>'Grid_Requirement'!O54</f>
        <v/>
      </c>
      <c r="S1292">
        <f>'Grid_Requirement'!P54</f>
        <v/>
      </c>
      <c r="T1292">
        <f>'Grid_Requirement'!Q54</f>
        <v/>
      </c>
      <c r="U1292">
        <f>'Grid_Requirement'!R54</f>
        <v/>
      </c>
      <c r="V1292">
        <f>'Grid_Requirement'!S54</f>
        <v/>
      </c>
      <c r="W1292">
        <f>'Grid_Requirement'!T54</f>
        <v/>
      </c>
      <c r="X1292">
        <f>'Grid_Requirement'!U54</f>
        <v/>
      </c>
      <c r="Y1292">
        <f>'Grid_Requirement'!V54</f>
        <v/>
      </c>
      <c r="Z1292">
        <f>'Grid_Requirement'!W54</f>
        <v/>
      </c>
      <c r="AA1292">
        <f>'Grid_Requirement'!X54</f>
        <v/>
      </c>
      <c r="AB1292">
        <f>'Grid_Requirement'!Y54</f>
        <v/>
      </c>
      <c r="AC1292">
        <f>'Grid_Requirement'!Z54</f>
        <v/>
      </c>
      <c r="AD1292">
        <f>'Grid_Requirement'!AA54</f>
        <v/>
      </c>
      <c r="AE1292">
        <f>'Grid_Requirement'!AB54</f>
        <v/>
      </c>
      <c r="AF1292">
        <f>'Grid_Requirement'!AC54</f>
        <v/>
      </c>
      <c r="AG1292">
        <f>'Grid_Requirement'!AD54</f>
        <v/>
      </c>
      <c r="AH1292">
        <f>'Grid_Requirement'!AE54</f>
        <v/>
      </c>
      <c r="AI1292">
        <f>'Grid_Requirement'!AF54</f>
        <v/>
      </c>
      <c r="AJ1292">
        <f>'Grid_Requirement'!AG54</f>
        <v/>
      </c>
      <c r="AK1292">
        <f>'Grid_Requirement'!AH54</f>
        <v/>
      </c>
      <c r="AL1292">
        <f>'Grid_Requirement'!AI54</f>
        <v/>
      </c>
      <c r="AM1292">
        <f>'Grid_Requirement'!AJ54</f>
        <v/>
      </c>
      <c r="AN1292">
        <f>'Grid_Requirement'!AK54</f>
        <v/>
      </c>
      <c r="AO1292">
        <f>'Grid_Requirement'!AL54</f>
        <v/>
      </c>
      <c r="AP1292">
        <f>'Grid_Requirement'!AM54</f>
        <v/>
      </c>
      <c r="AQ1292">
        <f>'Grid_Requirement'!AN54</f>
        <v/>
      </c>
      <c r="AR1292">
        <f>'Grid_Requirement'!AO54</f>
        <v/>
      </c>
      <c r="AS1292">
        <f>'Grid_Requirement'!AP54</f>
        <v/>
      </c>
      <c r="AT1292">
        <f>'Grid_Requirement'!AQ54</f>
        <v/>
      </c>
      <c r="AU1292">
        <f>'Grid_Requirement'!AR54</f>
        <v/>
      </c>
      <c r="AV1292">
        <f>'Grid_Requirement'!AS54</f>
        <v/>
      </c>
      <c r="AW1292">
        <f>'Grid_Requirement'!AT54</f>
        <v/>
      </c>
      <c r="AX1292">
        <f>'Grid_Requirement'!AU54</f>
        <v/>
      </c>
      <c r="AY1292">
        <f>'Grid_Requirement'!AV54</f>
        <v/>
      </c>
      <c r="AZ1292">
        <f>'Grid_Requirement'!AW54</f>
        <v/>
      </c>
      <c r="BA1292">
        <f>'Grid_Requirement'!AX54</f>
        <v/>
      </c>
      <c r="BB1292">
        <f>'Grid_Requirement'!AY54</f>
        <v/>
      </c>
      <c r="BC1292">
        <f>'Grid_Requirement'!AZ54</f>
        <v/>
      </c>
      <c r="BD1292">
        <f>'Grid_Requirement'!BA54</f>
        <v/>
      </c>
      <c r="BE1292">
        <f>'Grid_Requirement'!BB54</f>
        <v/>
      </c>
      <c r="BF1292">
        <f>'Grid_Requirement'!BC54</f>
        <v/>
      </c>
      <c r="BG1292">
        <f>'Grid_Requirement'!BD54</f>
        <v/>
      </c>
      <c r="BH1292">
        <f>'Grid_Requirement'!BE54</f>
        <v/>
      </c>
      <c r="BI1292">
        <f>'Grid_Requirement'!BF54</f>
        <v/>
      </c>
      <c r="BJ1292">
        <f>'Grid_Requirement'!BG54</f>
        <v/>
      </c>
      <c r="BK1292">
        <f>'Grid_Requirement'!BH54</f>
        <v/>
      </c>
      <c r="BL1292">
        <f>'Grid_Requirement'!BI54</f>
        <v/>
      </c>
      <c r="BM1292">
        <f>'Grid_Requirement'!BJ54</f>
        <v/>
      </c>
      <c r="BN1292">
        <f>'Grid_Requirement'!BK54</f>
        <v/>
      </c>
      <c r="BO1292">
        <f>'Grid_Requirement'!BL54</f>
        <v/>
      </c>
      <c r="BP1292">
        <f>'Grid_Requirement'!BM54</f>
        <v/>
      </c>
      <c r="BQ1292">
        <f>'Grid_Requirement'!BN54</f>
        <v/>
      </c>
      <c r="BR1292">
        <f>'Grid_Requirement'!BO54</f>
        <v/>
      </c>
      <c r="BS1292">
        <f>'Grid_Requirement'!BP54</f>
        <v/>
      </c>
      <c r="BT1292">
        <f>'Grid_Requirement'!BQ54</f>
        <v/>
      </c>
      <c r="BU1292">
        <f>'Grid_Requirement'!BR54</f>
        <v/>
      </c>
      <c r="BV1292">
        <f>'Grid_Requirement'!BS54</f>
        <v/>
      </c>
      <c r="BW1292">
        <f>'Grid_Requirement'!BT54</f>
        <v/>
      </c>
      <c r="BX1292">
        <f>'Grid_Requirement'!BU54</f>
        <v/>
      </c>
      <c r="BY1292">
        <f>'Grid_Requirement'!BV54</f>
        <v/>
      </c>
      <c r="BZ1292">
        <f>'Grid_Requirement'!BW54</f>
        <v/>
      </c>
      <c r="CA1292">
        <f>'Grid_Requirement'!BX54</f>
        <v/>
      </c>
      <c r="CB1292">
        <f>'Grid_Requirement'!BY54</f>
        <v/>
      </c>
      <c r="CC1292">
        <f>'Grid_Requirement'!BZ54</f>
        <v/>
      </c>
      <c r="CD1292">
        <f>'Grid_Requirement'!CA54</f>
        <v/>
      </c>
      <c r="CE1292">
        <f>'Grid_Requirement'!CB54</f>
        <v/>
      </c>
      <c r="CF1292">
        <f>'Grid_Requirement'!CC54</f>
        <v/>
      </c>
      <c r="CG1292">
        <f>'Grid_Requirement'!CD54</f>
        <v/>
      </c>
      <c r="CH1292">
        <f>'Grid_Requirement'!CE54</f>
        <v/>
      </c>
      <c r="CI1292">
        <f>'Grid_Requirement'!CF54</f>
        <v/>
      </c>
      <c r="CJ1292">
        <f>'Grid_Requirement'!CG54</f>
        <v/>
      </c>
      <c r="CK1292">
        <f>'Grid_Requirement'!CH54</f>
        <v/>
      </c>
      <c r="CL1292">
        <f>'Grid_Requirement'!CI54</f>
        <v/>
      </c>
      <c r="CM1292">
        <f>'Grid_Requirement'!CJ54</f>
        <v/>
      </c>
      <c r="CN1292">
        <f>'Grid_Requirement'!CK54</f>
        <v/>
      </c>
      <c r="CO1292">
        <f>'Grid_Requirement'!CL54</f>
        <v/>
      </c>
      <c r="CP1292">
        <f>'Grid_Requirement'!CM54</f>
        <v/>
      </c>
      <c r="CQ1292">
        <f>'Grid_Requirement'!CN54</f>
        <v/>
      </c>
      <c r="CR1292">
        <f>'Grid_Requirement'!CO54</f>
        <v/>
      </c>
      <c r="CS1292">
        <f>'Grid_Requirement'!CP54</f>
        <v/>
      </c>
      <c r="CT1292">
        <f>'Grid_Requirement'!CQ54</f>
        <v/>
      </c>
      <c r="CU1292">
        <f>'Grid_Requirement'!CR54</f>
        <v/>
      </c>
      <c r="CV1292">
        <f>'Grid_Requirement'!CS54</f>
        <v/>
      </c>
      <c r="CW1292">
        <f>'Grid_Requirement'!CT54</f>
        <v/>
      </c>
      <c r="CX1292">
        <f>'Grid_Requirement'!CU54</f>
        <v/>
      </c>
      <c r="CY1292">
        <f>'Grid_Requirement'!CV54</f>
        <v/>
      </c>
      <c r="CZ1292">
        <f>'Grid_Requirement'!CW54</f>
        <v/>
      </c>
      <c r="DA1292">
        <f>'Grid_Requirement'!CX54</f>
        <v/>
      </c>
      <c r="DB1292">
        <f>'Grid_Requirement'!CY54</f>
        <v/>
      </c>
      <c r="DC1292">
        <f>'Grid_Requirement'!CZ54</f>
        <v/>
      </c>
      <c r="DD1292">
        <f>'Grid_Requirement'!DA54</f>
        <v/>
      </c>
    </row>
    <row r="1293">
      <c r="B1293" t="inlineStr">
        <is>
          <t>TTAF在庫(実績,kg)</t>
        </is>
      </c>
      <c r="D1293">
        <f>IFERROR(INDEX(E1293:DD1293,$F$1),"")</f>
        <v/>
      </c>
      <c r="E1293">
        <f>IFERROR(SUMIFS(T_TTAFStock[TTAF_Qty],T_TTAFStock[RM_Code],$A1283,T_TTAFStock[WeekIndex],1),"")</f>
        <v/>
      </c>
      <c r="F1293">
        <f>IFERROR(SUMIFS(T_TTAFStock[TTAF_Qty],T_TTAFStock[RM_Code],$A1283,T_TTAFStock[WeekIndex],2),"")</f>
        <v/>
      </c>
      <c r="G1293">
        <f>IFERROR(SUMIFS(T_TTAFStock[TTAF_Qty],T_TTAFStock[RM_Code],$A1283,T_TTAFStock[WeekIndex],3),"")</f>
        <v/>
      </c>
      <c r="H1293">
        <f>IFERROR(SUMIFS(T_TTAFStock[TTAF_Qty],T_TTAFStock[RM_Code],$A1283,T_TTAFStock[WeekIndex],4),"")</f>
        <v/>
      </c>
      <c r="I1293">
        <f>IFERROR(SUMIFS(T_TTAFStock[TTAF_Qty],T_TTAFStock[RM_Code],$A1283,T_TTAFStock[WeekIndex],5),"")</f>
        <v/>
      </c>
      <c r="J1293">
        <f>IFERROR(SUMIFS(T_TTAFStock[TTAF_Qty],T_TTAFStock[RM_Code],$A1283,T_TTAFStock[WeekIndex],6),"")</f>
        <v/>
      </c>
      <c r="K1293">
        <f>IFERROR(SUMIFS(T_TTAFStock[TTAF_Qty],T_TTAFStock[RM_Code],$A1283,T_TTAFStock[WeekIndex],7),"")</f>
        <v/>
      </c>
      <c r="L1293">
        <f>IFERROR(SUMIFS(T_TTAFStock[TTAF_Qty],T_TTAFStock[RM_Code],$A1283,T_TTAFStock[WeekIndex],8),"")</f>
        <v/>
      </c>
      <c r="M1293">
        <f>IFERROR(SUMIFS(T_TTAFStock[TTAF_Qty],T_TTAFStock[RM_Code],$A1283,T_TTAFStock[WeekIndex],9),"")</f>
        <v/>
      </c>
      <c r="N1293">
        <f>IFERROR(SUMIFS(T_TTAFStock[TTAF_Qty],T_TTAFStock[RM_Code],$A1283,T_TTAFStock[WeekIndex],10),"")</f>
        <v/>
      </c>
      <c r="O1293">
        <f>IFERROR(SUMIFS(T_TTAFStock[TTAF_Qty],T_TTAFStock[RM_Code],$A1283,T_TTAFStock[WeekIndex],11),"")</f>
        <v/>
      </c>
      <c r="P1293">
        <f>IFERROR(SUMIFS(T_TTAFStock[TTAF_Qty],T_TTAFStock[RM_Code],$A1283,T_TTAFStock[WeekIndex],12),"")</f>
        <v/>
      </c>
      <c r="Q1293">
        <f>IFERROR(SUMIFS(T_TTAFStock[TTAF_Qty],T_TTAFStock[RM_Code],$A1283,T_TTAFStock[WeekIndex],13),"")</f>
        <v/>
      </c>
      <c r="R1293">
        <f>IFERROR(SUMIFS(T_TTAFStock[TTAF_Qty],T_TTAFStock[RM_Code],$A1283,T_TTAFStock[WeekIndex],14),"")</f>
        <v/>
      </c>
      <c r="S1293">
        <f>IFERROR(SUMIFS(T_TTAFStock[TTAF_Qty],T_TTAFStock[RM_Code],$A1283,T_TTAFStock[WeekIndex],15),"")</f>
        <v/>
      </c>
      <c r="T1293">
        <f>IFERROR(SUMIFS(T_TTAFStock[TTAF_Qty],T_TTAFStock[RM_Code],$A1283,T_TTAFStock[WeekIndex],16),"")</f>
        <v/>
      </c>
      <c r="U1293">
        <f>IFERROR(SUMIFS(T_TTAFStock[TTAF_Qty],T_TTAFStock[RM_Code],$A1283,T_TTAFStock[WeekIndex],17),"")</f>
        <v/>
      </c>
      <c r="V1293">
        <f>IFERROR(SUMIFS(T_TTAFStock[TTAF_Qty],T_TTAFStock[RM_Code],$A1283,T_TTAFStock[WeekIndex],18),"")</f>
        <v/>
      </c>
      <c r="W1293">
        <f>IFERROR(SUMIFS(T_TTAFStock[TTAF_Qty],T_TTAFStock[RM_Code],$A1283,T_TTAFStock[WeekIndex],19),"")</f>
        <v/>
      </c>
      <c r="X1293">
        <f>IFERROR(SUMIFS(T_TTAFStock[TTAF_Qty],T_TTAFStock[RM_Code],$A1283,T_TTAFStock[WeekIndex],20),"")</f>
        <v/>
      </c>
      <c r="Y1293">
        <f>IFERROR(SUMIFS(T_TTAFStock[TTAF_Qty],T_TTAFStock[RM_Code],$A1283,T_TTAFStock[WeekIndex],21),"")</f>
        <v/>
      </c>
      <c r="Z1293">
        <f>IFERROR(SUMIFS(T_TTAFStock[TTAF_Qty],T_TTAFStock[RM_Code],$A1283,T_TTAFStock[WeekIndex],22),"")</f>
        <v/>
      </c>
      <c r="AA1293">
        <f>IFERROR(SUMIFS(T_TTAFStock[TTAF_Qty],T_TTAFStock[RM_Code],$A1283,T_TTAFStock[WeekIndex],23),"")</f>
        <v/>
      </c>
      <c r="AB1293">
        <f>IFERROR(SUMIFS(T_TTAFStock[TTAF_Qty],T_TTAFStock[RM_Code],$A1283,T_TTAFStock[WeekIndex],24),"")</f>
        <v/>
      </c>
      <c r="AC1293">
        <f>IFERROR(SUMIFS(T_TTAFStock[TTAF_Qty],T_TTAFStock[RM_Code],$A1283,T_TTAFStock[WeekIndex],25),"")</f>
        <v/>
      </c>
      <c r="AD1293">
        <f>IFERROR(SUMIFS(T_TTAFStock[TTAF_Qty],T_TTAFStock[RM_Code],$A1283,T_TTAFStock[WeekIndex],26),"")</f>
        <v/>
      </c>
      <c r="AE1293">
        <f>IFERROR(SUMIFS(T_TTAFStock[TTAF_Qty],T_TTAFStock[RM_Code],$A1283,T_TTAFStock[WeekIndex],27),"")</f>
        <v/>
      </c>
      <c r="AF1293">
        <f>IFERROR(SUMIFS(T_TTAFStock[TTAF_Qty],T_TTAFStock[RM_Code],$A1283,T_TTAFStock[WeekIndex],28),"")</f>
        <v/>
      </c>
      <c r="AG1293">
        <f>IFERROR(SUMIFS(T_TTAFStock[TTAF_Qty],T_TTAFStock[RM_Code],$A1283,T_TTAFStock[WeekIndex],29),"")</f>
        <v/>
      </c>
      <c r="AH1293">
        <f>IFERROR(SUMIFS(T_TTAFStock[TTAF_Qty],T_TTAFStock[RM_Code],$A1283,T_TTAFStock[WeekIndex],30),"")</f>
        <v/>
      </c>
      <c r="AI1293">
        <f>IFERROR(SUMIFS(T_TTAFStock[TTAF_Qty],T_TTAFStock[RM_Code],$A1283,T_TTAFStock[WeekIndex],31),"")</f>
        <v/>
      </c>
      <c r="AJ1293">
        <f>IFERROR(SUMIFS(T_TTAFStock[TTAF_Qty],T_TTAFStock[RM_Code],$A1283,T_TTAFStock[WeekIndex],32),"")</f>
        <v/>
      </c>
      <c r="AK1293">
        <f>IFERROR(SUMIFS(T_TTAFStock[TTAF_Qty],T_TTAFStock[RM_Code],$A1283,T_TTAFStock[WeekIndex],33),"")</f>
        <v/>
      </c>
      <c r="AL1293">
        <f>IFERROR(SUMIFS(T_TTAFStock[TTAF_Qty],T_TTAFStock[RM_Code],$A1283,T_TTAFStock[WeekIndex],34),"")</f>
        <v/>
      </c>
      <c r="AM1293">
        <f>IFERROR(SUMIFS(T_TTAFStock[TTAF_Qty],T_TTAFStock[RM_Code],$A1283,T_TTAFStock[WeekIndex],35),"")</f>
        <v/>
      </c>
      <c r="AN1293">
        <f>IFERROR(SUMIFS(T_TTAFStock[TTAF_Qty],T_TTAFStock[RM_Code],$A1283,T_TTAFStock[WeekIndex],36),"")</f>
        <v/>
      </c>
      <c r="AO1293">
        <f>IFERROR(SUMIFS(T_TTAFStock[TTAF_Qty],T_TTAFStock[RM_Code],$A1283,T_TTAFStock[WeekIndex],37),"")</f>
        <v/>
      </c>
      <c r="AP1293">
        <f>IFERROR(SUMIFS(T_TTAFStock[TTAF_Qty],T_TTAFStock[RM_Code],$A1283,T_TTAFStock[WeekIndex],38),"")</f>
        <v/>
      </c>
      <c r="AQ1293">
        <f>IFERROR(SUMIFS(T_TTAFStock[TTAF_Qty],T_TTAFStock[RM_Code],$A1283,T_TTAFStock[WeekIndex],39),"")</f>
        <v/>
      </c>
      <c r="AR1293">
        <f>IFERROR(SUMIFS(T_TTAFStock[TTAF_Qty],T_TTAFStock[RM_Code],$A1283,T_TTAFStock[WeekIndex],40),"")</f>
        <v/>
      </c>
      <c r="AS1293">
        <f>IFERROR(SUMIFS(T_TTAFStock[TTAF_Qty],T_TTAFStock[RM_Code],$A1283,T_TTAFStock[WeekIndex],41),"")</f>
        <v/>
      </c>
      <c r="AT1293">
        <f>IFERROR(SUMIFS(T_TTAFStock[TTAF_Qty],T_TTAFStock[RM_Code],$A1283,T_TTAFStock[WeekIndex],42),"")</f>
        <v/>
      </c>
      <c r="AU1293">
        <f>IFERROR(SUMIFS(T_TTAFStock[TTAF_Qty],T_TTAFStock[RM_Code],$A1283,T_TTAFStock[WeekIndex],43),"")</f>
        <v/>
      </c>
      <c r="AV1293">
        <f>IFERROR(SUMIFS(T_TTAFStock[TTAF_Qty],T_TTAFStock[RM_Code],$A1283,T_TTAFStock[WeekIndex],44),"")</f>
        <v/>
      </c>
      <c r="AW1293">
        <f>IFERROR(SUMIFS(T_TTAFStock[TTAF_Qty],T_TTAFStock[RM_Code],$A1283,T_TTAFStock[WeekIndex],45),"")</f>
        <v/>
      </c>
      <c r="AX1293">
        <f>IFERROR(SUMIFS(T_TTAFStock[TTAF_Qty],T_TTAFStock[RM_Code],$A1283,T_TTAFStock[WeekIndex],46),"")</f>
        <v/>
      </c>
      <c r="AY1293">
        <f>IFERROR(SUMIFS(T_TTAFStock[TTAF_Qty],T_TTAFStock[RM_Code],$A1283,T_TTAFStock[WeekIndex],47),"")</f>
        <v/>
      </c>
      <c r="AZ1293">
        <f>IFERROR(SUMIFS(T_TTAFStock[TTAF_Qty],T_TTAFStock[RM_Code],$A1283,T_TTAFStock[WeekIndex],48),"")</f>
        <v/>
      </c>
      <c r="BA1293">
        <f>IFERROR(SUMIFS(T_TTAFStock[TTAF_Qty],T_TTAFStock[RM_Code],$A1283,T_TTAFStock[WeekIndex],49),"")</f>
        <v/>
      </c>
      <c r="BB1293">
        <f>IFERROR(SUMIFS(T_TTAFStock[TTAF_Qty],T_TTAFStock[RM_Code],$A1283,T_TTAFStock[WeekIndex],50),"")</f>
        <v/>
      </c>
      <c r="BC1293">
        <f>IFERROR(SUMIFS(T_TTAFStock[TTAF_Qty],T_TTAFStock[RM_Code],$A1283,T_TTAFStock[WeekIndex],51),"")</f>
        <v/>
      </c>
      <c r="BD1293">
        <f>IFERROR(SUMIFS(T_TTAFStock[TTAF_Qty],T_TTAFStock[RM_Code],$A1283,T_TTAFStock[WeekIndex],52),"")</f>
        <v/>
      </c>
      <c r="BE1293">
        <f>IFERROR(SUMIFS(T_TTAFStock[TTAF_Qty],T_TTAFStock[RM_Code],$A1283,T_TTAFStock[WeekIndex],53),"")</f>
        <v/>
      </c>
      <c r="BF1293">
        <f>IFERROR(SUMIFS(T_TTAFStock[TTAF_Qty],T_TTAFStock[RM_Code],$A1283,T_TTAFStock[WeekIndex],54),"")</f>
        <v/>
      </c>
      <c r="BG1293">
        <f>IFERROR(SUMIFS(T_TTAFStock[TTAF_Qty],T_TTAFStock[RM_Code],$A1283,T_TTAFStock[WeekIndex],55),"")</f>
        <v/>
      </c>
      <c r="BH1293">
        <f>IFERROR(SUMIFS(T_TTAFStock[TTAF_Qty],T_TTAFStock[RM_Code],$A1283,T_TTAFStock[WeekIndex],56),"")</f>
        <v/>
      </c>
      <c r="BI1293">
        <f>IFERROR(SUMIFS(T_TTAFStock[TTAF_Qty],T_TTAFStock[RM_Code],$A1283,T_TTAFStock[WeekIndex],57),"")</f>
        <v/>
      </c>
      <c r="BJ1293">
        <f>IFERROR(SUMIFS(T_TTAFStock[TTAF_Qty],T_TTAFStock[RM_Code],$A1283,T_TTAFStock[WeekIndex],58),"")</f>
        <v/>
      </c>
      <c r="BK1293">
        <f>IFERROR(SUMIFS(T_TTAFStock[TTAF_Qty],T_TTAFStock[RM_Code],$A1283,T_TTAFStock[WeekIndex],59),"")</f>
        <v/>
      </c>
      <c r="BL1293">
        <f>IFERROR(SUMIFS(T_TTAFStock[TTAF_Qty],T_TTAFStock[RM_Code],$A1283,T_TTAFStock[WeekIndex],60),"")</f>
        <v/>
      </c>
      <c r="BM1293">
        <f>IFERROR(SUMIFS(T_TTAFStock[TTAF_Qty],T_TTAFStock[RM_Code],$A1283,T_TTAFStock[WeekIndex],61),"")</f>
        <v/>
      </c>
      <c r="BN1293">
        <f>IFERROR(SUMIFS(T_TTAFStock[TTAF_Qty],T_TTAFStock[RM_Code],$A1283,T_TTAFStock[WeekIndex],62),"")</f>
        <v/>
      </c>
      <c r="BO1293">
        <f>IFERROR(SUMIFS(T_TTAFStock[TTAF_Qty],T_TTAFStock[RM_Code],$A1283,T_TTAFStock[WeekIndex],63),"")</f>
        <v/>
      </c>
      <c r="BP1293">
        <f>IFERROR(SUMIFS(T_TTAFStock[TTAF_Qty],T_TTAFStock[RM_Code],$A1283,T_TTAFStock[WeekIndex],64),"")</f>
        <v/>
      </c>
      <c r="BQ1293">
        <f>IFERROR(SUMIFS(T_TTAFStock[TTAF_Qty],T_TTAFStock[RM_Code],$A1283,T_TTAFStock[WeekIndex],65),"")</f>
        <v/>
      </c>
      <c r="BR1293">
        <f>IFERROR(SUMIFS(T_TTAFStock[TTAF_Qty],T_TTAFStock[RM_Code],$A1283,T_TTAFStock[WeekIndex],66),"")</f>
        <v/>
      </c>
      <c r="BS1293">
        <f>IFERROR(SUMIFS(T_TTAFStock[TTAF_Qty],T_TTAFStock[RM_Code],$A1283,T_TTAFStock[WeekIndex],67),"")</f>
        <v/>
      </c>
      <c r="BT1293">
        <f>IFERROR(SUMIFS(T_TTAFStock[TTAF_Qty],T_TTAFStock[RM_Code],$A1283,T_TTAFStock[WeekIndex],68),"")</f>
        <v/>
      </c>
      <c r="BU1293">
        <f>IFERROR(SUMIFS(T_TTAFStock[TTAF_Qty],T_TTAFStock[RM_Code],$A1283,T_TTAFStock[WeekIndex],69),"")</f>
        <v/>
      </c>
      <c r="BV1293">
        <f>IFERROR(SUMIFS(T_TTAFStock[TTAF_Qty],T_TTAFStock[RM_Code],$A1283,T_TTAFStock[WeekIndex],70),"")</f>
        <v/>
      </c>
      <c r="BW1293">
        <f>IFERROR(SUMIFS(T_TTAFStock[TTAF_Qty],T_TTAFStock[RM_Code],$A1283,T_TTAFStock[WeekIndex],71),"")</f>
        <v/>
      </c>
      <c r="BX1293">
        <f>IFERROR(SUMIFS(T_TTAFStock[TTAF_Qty],T_TTAFStock[RM_Code],$A1283,T_TTAFStock[WeekIndex],72),"")</f>
        <v/>
      </c>
      <c r="BY1293">
        <f>IFERROR(SUMIFS(T_TTAFStock[TTAF_Qty],T_TTAFStock[RM_Code],$A1283,T_TTAFStock[WeekIndex],73),"")</f>
        <v/>
      </c>
      <c r="BZ1293">
        <f>IFERROR(SUMIFS(T_TTAFStock[TTAF_Qty],T_TTAFStock[RM_Code],$A1283,T_TTAFStock[WeekIndex],74),"")</f>
        <v/>
      </c>
      <c r="CA1293">
        <f>IFERROR(SUMIFS(T_TTAFStock[TTAF_Qty],T_TTAFStock[RM_Code],$A1283,T_TTAFStock[WeekIndex],75),"")</f>
        <v/>
      </c>
      <c r="CB1293">
        <f>IFERROR(SUMIFS(T_TTAFStock[TTAF_Qty],T_TTAFStock[RM_Code],$A1283,T_TTAFStock[WeekIndex],76),"")</f>
        <v/>
      </c>
      <c r="CC1293">
        <f>IFERROR(SUMIFS(T_TTAFStock[TTAF_Qty],T_TTAFStock[RM_Code],$A1283,T_TTAFStock[WeekIndex],77),"")</f>
        <v/>
      </c>
      <c r="CD1293">
        <f>IFERROR(SUMIFS(T_TTAFStock[TTAF_Qty],T_TTAFStock[RM_Code],$A1283,T_TTAFStock[WeekIndex],78),"")</f>
        <v/>
      </c>
      <c r="CE1293">
        <f>IFERROR(SUMIFS(T_TTAFStock[TTAF_Qty],T_TTAFStock[RM_Code],$A1283,T_TTAFStock[WeekIndex],79),"")</f>
        <v/>
      </c>
      <c r="CF1293">
        <f>IFERROR(SUMIFS(T_TTAFStock[TTAF_Qty],T_TTAFStock[RM_Code],$A1283,T_TTAFStock[WeekIndex],80),"")</f>
        <v/>
      </c>
      <c r="CG1293">
        <f>IFERROR(SUMIFS(T_TTAFStock[TTAF_Qty],T_TTAFStock[RM_Code],$A1283,T_TTAFStock[WeekIndex],81),"")</f>
        <v/>
      </c>
      <c r="CH1293">
        <f>IFERROR(SUMIFS(T_TTAFStock[TTAF_Qty],T_TTAFStock[RM_Code],$A1283,T_TTAFStock[WeekIndex],82),"")</f>
        <v/>
      </c>
      <c r="CI1293">
        <f>IFERROR(SUMIFS(T_TTAFStock[TTAF_Qty],T_TTAFStock[RM_Code],$A1283,T_TTAFStock[WeekIndex],83),"")</f>
        <v/>
      </c>
      <c r="CJ1293">
        <f>IFERROR(SUMIFS(T_TTAFStock[TTAF_Qty],T_TTAFStock[RM_Code],$A1283,T_TTAFStock[WeekIndex],84),"")</f>
        <v/>
      </c>
      <c r="CK1293">
        <f>IFERROR(SUMIFS(T_TTAFStock[TTAF_Qty],T_TTAFStock[RM_Code],$A1283,T_TTAFStock[WeekIndex],85),"")</f>
        <v/>
      </c>
      <c r="CL1293">
        <f>IFERROR(SUMIFS(T_TTAFStock[TTAF_Qty],T_TTAFStock[RM_Code],$A1283,T_TTAFStock[WeekIndex],86),"")</f>
        <v/>
      </c>
      <c r="CM1293">
        <f>IFERROR(SUMIFS(T_TTAFStock[TTAF_Qty],T_TTAFStock[RM_Code],$A1283,T_TTAFStock[WeekIndex],87),"")</f>
        <v/>
      </c>
      <c r="CN1293">
        <f>IFERROR(SUMIFS(T_TTAFStock[TTAF_Qty],T_TTAFStock[RM_Code],$A1283,T_TTAFStock[WeekIndex],88),"")</f>
        <v/>
      </c>
      <c r="CO1293">
        <f>IFERROR(SUMIFS(T_TTAFStock[TTAF_Qty],T_TTAFStock[RM_Code],$A1283,T_TTAFStock[WeekIndex],89),"")</f>
        <v/>
      </c>
      <c r="CP1293">
        <f>IFERROR(SUMIFS(T_TTAFStock[TTAF_Qty],T_TTAFStock[RM_Code],$A1283,T_TTAFStock[WeekIndex],90),"")</f>
        <v/>
      </c>
      <c r="CQ1293">
        <f>IFERROR(SUMIFS(T_TTAFStock[TTAF_Qty],T_TTAFStock[RM_Code],$A1283,T_TTAFStock[WeekIndex],91),"")</f>
        <v/>
      </c>
      <c r="CR1293">
        <f>IFERROR(SUMIFS(T_TTAFStock[TTAF_Qty],T_TTAFStock[RM_Code],$A1283,T_TTAFStock[WeekIndex],92),"")</f>
        <v/>
      </c>
      <c r="CS1293">
        <f>IFERROR(SUMIFS(T_TTAFStock[TTAF_Qty],T_TTAFStock[RM_Code],$A1283,T_TTAFStock[WeekIndex],93),"")</f>
        <v/>
      </c>
      <c r="CT1293">
        <f>IFERROR(SUMIFS(T_TTAFStock[TTAF_Qty],T_TTAFStock[RM_Code],$A1283,T_TTAFStock[WeekIndex],94),"")</f>
        <v/>
      </c>
      <c r="CU1293">
        <f>IFERROR(SUMIFS(T_TTAFStock[TTAF_Qty],T_TTAFStock[RM_Code],$A1283,T_TTAFStock[WeekIndex],95),"")</f>
        <v/>
      </c>
      <c r="CV1293">
        <f>IFERROR(SUMIFS(T_TTAFStock[TTAF_Qty],T_TTAFStock[RM_Code],$A1283,T_TTAFStock[WeekIndex],96),"")</f>
        <v/>
      </c>
      <c r="CW1293">
        <f>IFERROR(SUMIFS(T_TTAFStock[TTAF_Qty],T_TTAFStock[RM_Code],$A1283,T_TTAFStock[WeekIndex],97),"")</f>
        <v/>
      </c>
      <c r="CX1293">
        <f>IFERROR(SUMIFS(T_TTAFStock[TTAF_Qty],T_TTAFStock[RM_Code],$A1283,T_TTAFStock[WeekIndex],98),"")</f>
        <v/>
      </c>
      <c r="CY1293">
        <f>IFERROR(SUMIFS(T_TTAFStock[TTAF_Qty],T_TTAFStock[RM_Code],$A1283,T_TTAFStock[WeekIndex],99),"")</f>
        <v/>
      </c>
      <c r="CZ1293">
        <f>IFERROR(SUMIFS(T_TTAFStock[TTAF_Qty],T_TTAFStock[RM_Code],$A1283,T_TTAFStock[WeekIndex],100),"")</f>
        <v/>
      </c>
      <c r="DA1293">
        <f>IFERROR(SUMIFS(T_TTAFStock[TTAF_Qty],T_TTAFStock[RM_Code],$A1283,T_TTAFStock[WeekIndex],101),"")</f>
        <v/>
      </c>
      <c r="DB1293">
        <f>IFERROR(SUMIFS(T_TTAFStock[TTAF_Qty],T_TTAFStock[RM_Code],$A1283,T_TTAFStock[WeekIndex],102),"")</f>
        <v/>
      </c>
      <c r="DC1293">
        <f>IFERROR(SUMIFS(T_TTAFStock[TTAF_Qty],T_TTAFStock[RM_Code],$A1283,T_TTAFStock[WeekIndex],103),"")</f>
        <v/>
      </c>
      <c r="DD1293">
        <f>IFERROR(SUMIFS(T_TTAFStock[TTAF_Qty],T_TTAFStock[RM_Code],$A1283,T_TTAFStock[WeekIndex],104),"")</f>
        <v/>
      </c>
    </row>
    <row r="1294">
      <c r="B1294" t="inlineStr">
        <is>
          <t>自社在庫(実績,kg)</t>
        </is>
      </c>
      <c r="D1294">
        <f>IFERROR(INDEX(E1294:DD1294,$F$1),"")</f>
        <v/>
      </c>
      <c r="E1294">
        <f>IFERROR(SUMIFS(T_SelfStock[Self_Qty],T_SelfStock[RM_Code],$A1283,T_SelfStock[WeekIndex],1),"")</f>
        <v/>
      </c>
      <c r="F1294">
        <f>IFERROR(SUMIFS(T_SelfStock[Self_Qty],T_SelfStock[RM_Code],$A1283,T_SelfStock[WeekIndex],2),"")</f>
        <v/>
      </c>
      <c r="G1294">
        <f>IFERROR(SUMIFS(T_SelfStock[Self_Qty],T_SelfStock[RM_Code],$A1283,T_SelfStock[WeekIndex],3),"")</f>
        <v/>
      </c>
      <c r="H1294">
        <f>IFERROR(SUMIFS(T_SelfStock[Self_Qty],T_SelfStock[RM_Code],$A1283,T_SelfStock[WeekIndex],4),"")</f>
        <v/>
      </c>
      <c r="I1294">
        <f>IFERROR(SUMIFS(T_SelfStock[Self_Qty],T_SelfStock[RM_Code],$A1283,T_SelfStock[WeekIndex],5),"")</f>
        <v/>
      </c>
      <c r="J1294">
        <f>IFERROR(SUMIFS(T_SelfStock[Self_Qty],T_SelfStock[RM_Code],$A1283,T_SelfStock[WeekIndex],6),"")</f>
        <v/>
      </c>
      <c r="K1294">
        <f>IFERROR(SUMIFS(T_SelfStock[Self_Qty],T_SelfStock[RM_Code],$A1283,T_SelfStock[WeekIndex],7),"")</f>
        <v/>
      </c>
      <c r="L1294">
        <f>IFERROR(SUMIFS(T_SelfStock[Self_Qty],T_SelfStock[RM_Code],$A1283,T_SelfStock[WeekIndex],8),"")</f>
        <v/>
      </c>
      <c r="M1294">
        <f>IFERROR(SUMIFS(T_SelfStock[Self_Qty],T_SelfStock[RM_Code],$A1283,T_SelfStock[WeekIndex],9),"")</f>
        <v/>
      </c>
      <c r="N1294">
        <f>IFERROR(SUMIFS(T_SelfStock[Self_Qty],T_SelfStock[RM_Code],$A1283,T_SelfStock[WeekIndex],10),"")</f>
        <v/>
      </c>
      <c r="O1294">
        <f>IFERROR(SUMIFS(T_SelfStock[Self_Qty],T_SelfStock[RM_Code],$A1283,T_SelfStock[WeekIndex],11),"")</f>
        <v/>
      </c>
      <c r="P1294">
        <f>IFERROR(SUMIFS(T_SelfStock[Self_Qty],T_SelfStock[RM_Code],$A1283,T_SelfStock[WeekIndex],12),"")</f>
        <v/>
      </c>
      <c r="Q1294">
        <f>IFERROR(SUMIFS(T_SelfStock[Self_Qty],T_SelfStock[RM_Code],$A1283,T_SelfStock[WeekIndex],13),"")</f>
        <v/>
      </c>
      <c r="R1294">
        <f>IFERROR(SUMIFS(T_SelfStock[Self_Qty],T_SelfStock[RM_Code],$A1283,T_SelfStock[WeekIndex],14),"")</f>
        <v/>
      </c>
      <c r="S1294">
        <f>IFERROR(SUMIFS(T_SelfStock[Self_Qty],T_SelfStock[RM_Code],$A1283,T_SelfStock[WeekIndex],15),"")</f>
        <v/>
      </c>
      <c r="T1294">
        <f>IFERROR(SUMIFS(T_SelfStock[Self_Qty],T_SelfStock[RM_Code],$A1283,T_SelfStock[WeekIndex],16),"")</f>
        <v/>
      </c>
      <c r="U1294">
        <f>IFERROR(SUMIFS(T_SelfStock[Self_Qty],T_SelfStock[RM_Code],$A1283,T_SelfStock[WeekIndex],17),"")</f>
        <v/>
      </c>
      <c r="V1294">
        <f>IFERROR(SUMIFS(T_SelfStock[Self_Qty],T_SelfStock[RM_Code],$A1283,T_SelfStock[WeekIndex],18),"")</f>
        <v/>
      </c>
      <c r="W1294">
        <f>IFERROR(SUMIFS(T_SelfStock[Self_Qty],T_SelfStock[RM_Code],$A1283,T_SelfStock[WeekIndex],19),"")</f>
        <v/>
      </c>
      <c r="X1294">
        <f>IFERROR(SUMIFS(T_SelfStock[Self_Qty],T_SelfStock[RM_Code],$A1283,T_SelfStock[WeekIndex],20),"")</f>
        <v/>
      </c>
      <c r="Y1294">
        <f>IFERROR(SUMIFS(T_SelfStock[Self_Qty],T_SelfStock[RM_Code],$A1283,T_SelfStock[WeekIndex],21),"")</f>
        <v/>
      </c>
      <c r="Z1294">
        <f>IFERROR(SUMIFS(T_SelfStock[Self_Qty],T_SelfStock[RM_Code],$A1283,T_SelfStock[WeekIndex],22),"")</f>
        <v/>
      </c>
      <c r="AA1294">
        <f>IFERROR(SUMIFS(T_SelfStock[Self_Qty],T_SelfStock[RM_Code],$A1283,T_SelfStock[WeekIndex],23),"")</f>
        <v/>
      </c>
      <c r="AB1294">
        <f>IFERROR(SUMIFS(T_SelfStock[Self_Qty],T_SelfStock[RM_Code],$A1283,T_SelfStock[WeekIndex],24),"")</f>
        <v/>
      </c>
      <c r="AC1294">
        <f>IFERROR(SUMIFS(T_SelfStock[Self_Qty],T_SelfStock[RM_Code],$A1283,T_SelfStock[WeekIndex],25),"")</f>
        <v/>
      </c>
      <c r="AD1294">
        <f>IFERROR(SUMIFS(T_SelfStock[Self_Qty],T_SelfStock[RM_Code],$A1283,T_SelfStock[WeekIndex],26),"")</f>
        <v/>
      </c>
      <c r="AE1294">
        <f>IFERROR(SUMIFS(T_SelfStock[Self_Qty],T_SelfStock[RM_Code],$A1283,T_SelfStock[WeekIndex],27),"")</f>
        <v/>
      </c>
      <c r="AF1294">
        <f>IFERROR(SUMIFS(T_SelfStock[Self_Qty],T_SelfStock[RM_Code],$A1283,T_SelfStock[WeekIndex],28),"")</f>
        <v/>
      </c>
      <c r="AG1294">
        <f>IFERROR(SUMIFS(T_SelfStock[Self_Qty],T_SelfStock[RM_Code],$A1283,T_SelfStock[WeekIndex],29),"")</f>
        <v/>
      </c>
      <c r="AH1294">
        <f>IFERROR(SUMIFS(T_SelfStock[Self_Qty],T_SelfStock[RM_Code],$A1283,T_SelfStock[WeekIndex],30),"")</f>
        <v/>
      </c>
      <c r="AI1294">
        <f>IFERROR(SUMIFS(T_SelfStock[Self_Qty],T_SelfStock[RM_Code],$A1283,T_SelfStock[WeekIndex],31),"")</f>
        <v/>
      </c>
      <c r="AJ1294">
        <f>IFERROR(SUMIFS(T_SelfStock[Self_Qty],T_SelfStock[RM_Code],$A1283,T_SelfStock[WeekIndex],32),"")</f>
        <v/>
      </c>
      <c r="AK1294">
        <f>IFERROR(SUMIFS(T_SelfStock[Self_Qty],T_SelfStock[RM_Code],$A1283,T_SelfStock[WeekIndex],33),"")</f>
        <v/>
      </c>
      <c r="AL1294">
        <f>IFERROR(SUMIFS(T_SelfStock[Self_Qty],T_SelfStock[RM_Code],$A1283,T_SelfStock[WeekIndex],34),"")</f>
        <v/>
      </c>
      <c r="AM1294">
        <f>IFERROR(SUMIFS(T_SelfStock[Self_Qty],T_SelfStock[RM_Code],$A1283,T_SelfStock[WeekIndex],35),"")</f>
        <v/>
      </c>
      <c r="AN1294">
        <f>IFERROR(SUMIFS(T_SelfStock[Self_Qty],T_SelfStock[RM_Code],$A1283,T_SelfStock[WeekIndex],36),"")</f>
        <v/>
      </c>
      <c r="AO1294">
        <f>IFERROR(SUMIFS(T_SelfStock[Self_Qty],T_SelfStock[RM_Code],$A1283,T_SelfStock[WeekIndex],37),"")</f>
        <v/>
      </c>
      <c r="AP1294">
        <f>IFERROR(SUMIFS(T_SelfStock[Self_Qty],T_SelfStock[RM_Code],$A1283,T_SelfStock[WeekIndex],38),"")</f>
        <v/>
      </c>
      <c r="AQ1294">
        <f>IFERROR(SUMIFS(T_SelfStock[Self_Qty],T_SelfStock[RM_Code],$A1283,T_SelfStock[WeekIndex],39),"")</f>
        <v/>
      </c>
      <c r="AR1294">
        <f>IFERROR(SUMIFS(T_SelfStock[Self_Qty],T_SelfStock[RM_Code],$A1283,T_SelfStock[WeekIndex],40),"")</f>
        <v/>
      </c>
      <c r="AS1294">
        <f>IFERROR(SUMIFS(T_SelfStock[Self_Qty],T_SelfStock[RM_Code],$A1283,T_SelfStock[WeekIndex],41),"")</f>
        <v/>
      </c>
      <c r="AT1294">
        <f>IFERROR(SUMIFS(T_SelfStock[Self_Qty],T_SelfStock[RM_Code],$A1283,T_SelfStock[WeekIndex],42),"")</f>
        <v/>
      </c>
      <c r="AU1294">
        <f>IFERROR(SUMIFS(T_SelfStock[Self_Qty],T_SelfStock[RM_Code],$A1283,T_SelfStock[WeekIndex],43),"")</f>
        <v/>
      </c>
      <c r="AV1294">
        <f>IFERROR(SUMIFS(T_SelfStock[Self_Qty],T_SelfStock[RM_Code],$A1283,T_SelfStock[WeekIndex],44),"")</f>
        <v/>
      </c>
      <c r="AW1294">
        <f>IFERROR(SUMIFS(T_SelfStock[Self_Qty],T_SelfStock[RM_Code],$A1283,T_SelfStock[WeekIndex],45),"")</f>
        <v/>
      </c>
      <c r="AX1294">
        <f>IFERROR(SUMIFS(T_SelfStock[Self_Qty],T_SelfStock[RM_Code],$A1283,T_SelfStock[WeekIndex],46),"")</f>
        <v/>
      </c>
      <c r="AY1294">
        <f>IFERROR(SUMIFS(T_SelfStock[Self_Qty],T_SelfStock[RM_Code],$A1283,T_SelfStock[WeekIndex],47),"")</f>
        <v/>
      </c>
      <c r="AZ1294">
        <f>IFERROR(SUMIFS(T_SelfStock[Self_Qty],T_SelfStock[RM_Code],$A1283,T_SelfStock[WeekIndex],48),"")</f>
        <v/>
      </c>
      <c r="BA1294">
        <f>IFERROR(SUMIFS(T_SelfStock[Self_Qty],T_SelfStock[RM_Code],$A1283,T_SelfStock[WeekIndex],49),"")</f>
        <v/>
      </c>
      <c r="BB1294">
        <f>IFERROR(SUMIFS(T_SelfStock[Self_Qty],T_SelfStock[RM_Code],$A1283,T_SelfStock[WeekIndex],50),"")</f>
        <v/>
      </c>
      <c r="BC1294">
        <f>IFERROR(SUMIFS(T_SelfStock[Self_Qty],T_SelfStock[RM_Code],$A1283,T_SelfStock[WeekIndex],51),"")</f>
        <v/>
      </c>
      <c r="BD1294">
        <f>IFERROR(SUMIFS(T_SelfStock[Self_Qty],T_SelfStock[RM_Code],$A1283,T_SelfStock[WeekIndex],52),"")</f>
        <v/>
      </c>
      <c r="BE1294">
        <f>IFERROR(SUMIFS(T_SelfStock[Self_Qty],T_SelfStock[RM_Code],$A1283,T_SelfStock[WeekIndex],53),"")</f>
        <v/>
      </c>
      <c r="BF1294">
        <f>IFERROR(SUMIFS(T_SelfStock[Self_Qty],T_SelfStock[RM_Code],$A1283,T_SelfStock[WeekIndex],54),"")</f>
        <v/>
      </c>
      <c r="BG1294">
        <f>IFERROR(SUMIFS(T_SelfStock[Self_Qty],T_SelfStock[RM_Code],$A1283,T_SelfStock[WeekIndex],55),"")</f>
        <v/>
      </c>
      <c r="BH1294">
        <f>IFERROR(SUMIFS(T_SelfStock[Self_Qty],T_SelfStock[RM_Code],$A1283,T_SelfStock[WeekIndex],56),"")</f>
        <v/>
      </c>
      <c r="BI1294">
        <f>IFERROR(SUMIFS(T_SelfStock[Self_Qty],T_SelfStock[RM_Code],$A1283,T_SelfStock[WeekIndex],57),"")</f>
        <v/>
      </c>
      <c r="BJ1294">
        <f>IFERROR(SUMIFS(T_SelfStock[Self_Qty],T_SelfStock[RM_Code],$A1283,T_SelfStock[WeekIndex],58),"")</f>
        <v/>
      </c>
      <c r="BK1294">
        <f>IFERROR(SUMIFS(T_SelfStock[Self_Qty],T_SelfStock[RM_Code],$A1283,T_SelfStock[WeekIndex],59),"")</f>
        <v/>
      </c>
      <c r="BL1294">
        <f>IFERROR(SUMIFS(T_SelfStock[Self_Qty],T_SelfStock[RM_Code],$A1283,T_SelfStock[WeekIndex],60),"")</f>
        <v/>
      </c>
      <c r="BM1294">
        <f>IFERROR(SUMIFS(T_SelfStock[Self_Qty],T_SelfStock[RM_Code],$A1283,T_SelfStock[WeekIndex],61),"")</f>
        <v/>
      </c>
      <c r="BN1294">
        <f>IFERROR(SUMIFS(T_SelfStock[Self_Qty],T_SelfStock[RM_Code],$A1283,T_SelfStock[WeekIndex],62),"")</f>
        <v/>
      </c>
      <c r="BO1294">
        <f>IFERROR(SUMIFS(T_SelfStock[Self_Qty],T_SelfStock[RM_Code],$A1283,T_SelfStock[WeekIndex],63),"")</f>
        <v/>
      </c>
      <c r="BP1294">
        <f>IFERROR(SUMIFS(T_SelfStock[Self_Qty],T_SelfStock[RM_Code],$A1283,T_SelfStock[WeekIndex],64),"")</f>
        <v/>
      </c>
      <c r="BQ1294">
        <f>IFERROR(SUMIFS(T_SelfStock[Self_Qty],T_SelfStock[RM_Code],$A1283,T_SelfStock[WeekIndex],65),"")</f>
        <v/>
      </c>
      <c r="BR1294">
        <f>IFERROR(SUMIFS(T_SelfStock[Self_Qty],T_SelfStock[RM_Code],$A1283,T_SelfStock[WeekIndex],66),"")</f>
        <v/>
      </c>
      <c r="BS1294">
        <f>IFERROR(SUMIFS(T_SelfStock[Self_Qty],T_SelfStock[RM_Code],$A1283,T_SelfStock[WeekIndex],67),"")</f>
        <v/>
      </c>
      <c r="BT1294">
        <f>IFERROR(SUMIFS(T_SelfStock[Self_Qty],T_SelfStock[RM_Code],$A1283,T_SelfStock[WeekIndex],68),"")</f>
        <v/>
      </c>
      <c r="BU1294">
        <f>IFERROR(SUMIFS(T_SelfStock[Self_Qty],T_SelfStock[RM_Code],$A1283,T_SelfStock[WeekIndex],69),"")</f>
        <v/>
      </c>
      <c r="BV1294">
        <f>IFERROR(SUMIFS(T_SelfStock[Self_Qty],T_SelfStock[RM_Code],$A1283,T_SelfStock[WeekIndex],70),"")</f>
        <v/>
      </c>
      <c r="BW1294">
        <f>IFERROR(SUMIFS(T_SelfStock[Self_Qty],T_SelfStock[RM_Code],$A1283,T_SelfStock[WeekIndex],71),"")</f>
        <v/>
      </c>
      <c r="BX1294">
        <f>IFERROR(SUMIFS(T_SelfStock[Self_Qty],T_SelfStock[RM_Code],$A1283,T_SelfStock[WeekIndex],72),"")</f>
        <v/>
      </c>
      <c r="BY1294">
        <f>IFERROR(SUMIFS(T_SelfStock[Self_Qty],T_SelfStock[RM_Code],$A1283,T_SelfStock[WeekIndex],73),"")</f>
        <v/>
      </c>
      <c r="BZ1294">
        <f>IFERROR(SUMIFS(T_SelfStock[Self_Qty],T_SelfStock[RM_Code],$A1283,T_SelfStock[WeekIndex],74),"")</f>
        <v/>
      </c>
      <c r="CA1294">
        <f>IFERROR(SUMIFS(T_SelfStock[Self_Qty],T_SelfStock[RM_Code],$A1283,T_SelfStock[WeekIndex],75),"")</f>
        <v/>
      </c>
      <c r="CB1294">
        <f>IFERROR(SUMIFS(T_SelfStock[Self_Qty],T_SelfStock[RM_Code],$A1283,T_SelfStock[WeekIndex],76),"")</f>
        <v/>
      </c>
      <c r="CC1294">
        <f>IFERROR(SUMIFS(T_SelfStock[Self_Qty],T_SelfStock[RM_Code],$A1283,T_SelfStock[WeekIndex],77),"")</f>
        <v/>
      </c>
      <c r="CD1294">
        <f>IFERROR(SUMIFS(T_SelfStock[Self_Qty],T_SelfStock[RM_Code],$A1283,T_SelfStock[WeekIndex],78),"")</f>
        <v/>
      </c>
      <c r="CE1294">
        <f>IFERROR(SUMIFS(T_SelfStock[Self_Qty],T_SelfStock[RM_Code],$A1283,T_SelfStock[WeekIndex],79),"")</f>
        <v/>
      </c>
      <c r="CF1294">
        <f>IFERROR(SUMIFS(T_SelfStock[Self_Qty],T_SelfStock[RM_Code],$A1283,T_SelfStock[WeekIndex],80),"")</f>
        <v/>
      </c>
      <c r="CG1294">
        <f>IFERROR(SUMIFS(T_SelfStock[Self_Qty],T_SelfStock[RM_Code],$A1283,T_SelfStock[WeekIndex],81),"")</f>
        <v/>
      </c>
      <c r="CH1294">
        <f>IFERROR(SUMIFS(T_SelfStock[Self_Qty],T_SelfStock[RM_Code],$A1283,T_SelfStock[WeekIndex],82),"")</f>
        <v/>
      </c>
      <c r="CI1294">
        <f>IFERROR(SUMIFS(T_SelfStock[Self_Qty],T_SelfStock[RM_Code],$A1283,T_SelfStock[WeekIndex],83),"")</f>
        <v/>
      </c>
      <c r="CJ1294">
        <f>IFERROR(SUMIFS(T_SelfStock[Self_Qty],T_SelfStock[RM_Code],$A1283,T_SelfStock[WeekIndex],84),"")</f>
        <v/>
      </c>
      <c r="CK1294">
        <f>IFERROR(SUMIFS(T_SelfStock[Self_Qty],T_SelfStock[RM_Code],$A1283,T_SelfStock[WeekIndex],85),"")</f>
        <v/>
      </c>
      <c r="CL1294">
        <f>IFERROR(SUMIFS(T_SelfStock[Self_Qty],T_SelfStock[RM_Code],$A1283,T_SelfStock[WeekIndex],86),"")</f>
        <v/>
      </c>
      <c r="CM1294">
        <f>IFERROR(SUMIFS(T_SelfStock[Self_Qty],T_SelfStock[RM_Code],$A1283,T_SelfStock[WeekIndex],87),"")</f>
        <v/>
      </c>
      <c r="CN1294">
        <f>IFERROR(SUMIFS(T_SelfStock[Self_Qty],T_SelfStock[RM_Code],$A1283,T_SelfStock[WeekIndex],88),"")</f>
        <v/>
      </c>
      <c r="CO1294">
        <f>IFERROR(SUMIFS(T_SelfStock[Self_Qty],T_SelfStock[RM_Code],$A1283,T_SelfStock[WeekIndex],89),"")</f>
        <v/>
      </c>
      <c r="CP1294">
        <f>IFERROR(SUMIFS(T_SelfStock[Self_Qty],T_SelfStock[RM_Code],$A1283,T_SelfStock[WeekIndex],90),"")</f>
        <v/>
      </c>
      <c r="CQ1294">
        <f>IFERROR(SUMIFS(T_SelfStock[Self_Qty],T_SelfStock[RM_Code],$A1283,T_SelfStock[WeekIndex],91),"")</f>
        <v/>
      </c>
      <c r="CR1294">
        <f>IFERROR(SUMIFS(T_SelfStock[Self_Qty],T_SelfStock[RM_Code],$A1283,T_SelfStock[WeekIndex],92),"")</f>
        <v/>
      </c>
      <c r="CS1294">
        <f>IFERROR(SUMIFS(T_SelfStock[Self_Qty],T_SelfStock[RM_Code],$A1283,T_SelfStock[WeekIndex],93),"")</f>
        <v/>
      </c>
      <c r="CT1294">
        <f>IFERROR(SUMIFS(T_SelfStock[Self_Qty],T_SelfStock[RM_Code],$A1283,T_SelfStock[WeekIndex],94),"")</f>
        <v/>
      </c>
      <c r="CU1294">
        <f>IFERROR(SUMIFS(T_SelfStock[Self_Qty],T_SelfStock[RM_Code],$A1283,T_SelfStock[WeekIndex],95),"")</f>
        <v/>
      </c>
      <c r="CV1294">
        <f>IFERROR(SUMIFS(T_SelfStock[Self_Qty],T_SelfStock[RM_Code],$A1283,T_SelfStock[WeekIndex],96),"")</f>
        <v/>
      </c>
      <c r="CW1294">
        <f>IFERROR(SUMIFS(T_SelfStock[Self_Qty],T_SelfStock[RM_Code],$A1283,T_SelfStock[WeekIndex],97),"")</f>
        <v/>
      </c>
      <c r="CX1294">
        <f>IFERROR(SUMIFS(T_SelfStock[Self_Qty],T_SelfStock[RM_Code],$A1283,T_SelfStock[WeekIndex],98),"")</f>
        <v/>
      </c>
      <c r="CY1294">
        <f>IFERROR(SUMIFS(T_SelfStock[Self_Qty],T_SelfStock[RM_Code],$A1283,T_SelfStock[WeekIndex],99),"")</f>
        <v/>
      </c>
      <c r="CZ1294">
        <f>IFERROR(SUMIFS(T_SelfStock[Self_Qty],T_SelfStock[RM_Code],$A1283,T_SelfStock[WeekIndex],100),"")</f>
        <v/>
      </c>
      <c r="DA1294">
        <f>IFERROR(SUMIFS(T_SelfStock[Self_Qty],T_SelfStock[RM_Code],$A1283,T_SelfStock[WeekIndex],101),"")</f>
        <v/>
      </c>
      <c r="DB1294">
        <f>IFERROR(SUMIFS(T_SelfStock[Self_Qty],T_SelfStock[RM_Code],$A1283,T_SelfStock[WeekIndex],102),"")</f>
        <v/>
      </c>
      <c r="DC1294">
        <f>IFERROR(SUMIFS(T_SelfStock[Self_Qty],T_SelfStock[RM_Code],$A1283,T_SelfStock[WeekIndex],103),"")</f>
        <v/>
      </c>
      <c r="DD1294">
        <f>IFERROR(SUMIFS(T_SelfStock[Self_Qty],T_SelfStock[RM_Code],$A1283,T_SelfStock[WeekIndex],104),"")</f>
        <v/>
      </c>
    </row>
    <row r="1295">
      <c r="B1295" s="4" t="inlineStr">
        <is>
          <t>合計在庫(週末時点,kg)</t>
        </is>
      </c>
      <c r="D1295" s="24">
        <f>IFERROR(INDEX(E1295:DD1295,$F$1),"")</f>
        <v/>
      </c>
      <c r="E1295">
        <f>'Grid_Stock'!B54</f>
        <v/>
      </c>
      <c r="F1295">
        <f>'Grid_Stock'!C54</f>
        <v/>
      </c>
      <c r="G1295">
        <f>'Grid_Stock'!D54</f>
        <v/>
      </c>
      <c r="H1295">
        <f>'Grid_Stock'!E54</f>
        <v/>
      </c>
      <c r="I1295">
        <f>'Grid_Stock'!F54</f>
        <v/>
      </c>
      <c r="J1295">
        <f>'Grid_Stock'!G54</f>
        <v/>
      </c>
      <c r="K1295">
        <f>'Grid_Stock'!H54</f>
        <v/>
      </c>
      <c r="L1295">
        <f>'Grid_Stock'!I54</f>
        <v/>
      </c>
      <c r="M1295">
        <f>'Grid_Stock'!J54</f>
        <v/>
      </c>
      <c r="N1295">
        <f>'Grid_Stock'!K54</f>
        <v/>
      </c>
      <c r="O1295">
        <f>'Grid_Stock'!L54</f>
        <v/>
      </c>
      <c r="P1295">
        <f>'Grid_Stock'!M54</f>
        <v/>
      </c>
      <c r="Q1295">
        <f>'Grid_Stock'!N54</f>
        <v/>
      </c>
      <c r="R1295">
        <f>'Grid_Stock'!O54</f>
        <v/>
      </c>
      <c r="S1295">
        <f>'Grid_Stock'!P54</f>
        <v/>
      </c>
      <c r="T1295">
        <f>'Grid_Stock'!Q54</f>
        <v/>
      </c>
      <c r="U1295">
        <f>'Grid_Stock'!R54</f>
        <v/>
      </c>
      <c r="V1295">
        <f>'Grid_Stock'!S54</f>
        <v/>
      </c>
      <c r="W1295">
        <f>'Grid_Stock'!T54</f>
        <v/>
      </c>
      <c r="X1295">
        <f>'Grid_Stock'!U54</f>
        <v/>
      </c>
      <c r="Y1295">
        <f>'Grid_Stock'!V54</f>
        <v/>
      </c>
      <c r="Z1295">
        <f>'Grid_Stock'!W54</f>
        <v/>
      </c>
      <c r="AA1295">
        <f>'Grid_Stock'!X54</f>
        <v/>
      </c>
      <c r="AB1295">
        <f>'Grid_Stock'!Y54</f>
        <v/>
      </c>
      <c r="AC1295">
        <f>'Grid_Stock'!Z54</f>
        <v/>
      </c>
      <c r="AD1295">
        <f>'Grid_Stock'!AA54</f>
        <v/>
      </c>
      <c r="AE1295">
        <f>'Grid_Stock'!AB54</f>
        <v/>
      </c>
      <c r="AF1295">
        <f>'Grid_Stock'!AC54</f>
        <v/>
      </c>
      <c r="AG1295">
        <f>'Grid_Stock'!AD54</f>
        <v/>
      </c>
      <c r="AH1295">
        <f>'Grid_Stock'!AE54</f>
        <v/>
      </c>
      <c r="AI1295">
        <f>'Grid_Stock'!AF54</f>
        <v/>
      </c>
      <c r="AJ1295">
        <f>'Grid_Stock'!AG54</f>
        <v/>
      </c>
      <c r="AK1295">
        <f>'Grid_Stock'!AH54</f>
        <v/>
      </c>
      <c r="AL1295">
        <f>'Grid_Stock'!AI54</f>
        <v/>
      </c>
      <c r="AM1295">
        <f>'Grid_Stock'!AJ54</f>
        <v/>
      </c>
      <c r="AN1295">
        <f>'Grid_Stock'!AK54</f>
        <v/>
      </c>
      <c r="AO1295">
        <f>'Grid_Stock'!AL54</f>
        <v/>
      </c>
      <c r="AP1295">
        <f>'Grid_Stock'!AM54</f>
        <v/>
      </c>
      <c r="AQ1295">
        <f>'Grid_Stock'!AN54</f>
        <v/>
      </c>
      <c r="AR1295">
        <f>'Grid_Stock'!AO54</f>
        <v/>
      </c>
      <c r="AS1295">
        <f>'Grid_Stock'!AP54</f>
        <v/>
      </c>
      <c r="AT1295">
        <f>'Grid_Stock'!AQ54</f>
        <v/>
      </c>
      <c r="AU1295">
        <f>'Grid_Stock'!AR54</f>
        <v/>
      </c>
      <c r="AV1295">
        <f>'Grid_Stock'!AS54</f>
        <v/>
      </c>
      <c r="AW1295">
        <f>'Grid_Stock'!AT54</f>
        <v/>
      </c>
      <c r="AX1295">
        <f>'Grid_Stock'!AU54</f>
        <v/>
      </c>
      <c r="AY1295">
        <f>'Grid_Stock'!AV54</f>
        <v/>
      </c>
      <c r="AZ1295">
        <f>'Grid_Stock'!AW54</f>
        <v/>
      </c>
      <c r="BA1295">
        <f>'Grid_Stock'!AX54</f>
        <v/>
      </c>
      <c r="BB1295">
        <f>'Grid_Stock'!AY54</f>
        <v/>
      </c>
      <c r="BC1295">
        <f>'Grid_Stock'!AZ54</f>
        <v/>
      </c>
      <c r="BD1295">
        <f>'Grid_Stock'!BA54</f>
        <v/>
      </c>
      <c r="BE1295">
        <f>'Grid_Stock'!BB54</f>
        <v/>
      </c>
      <c r="BF1295">
        <f>'Grid_Stock'!BC54</f>
        <v/>
      </c>
      <c r="BG1295">
        <f>'Grid_Stock'!BD54</f>
        <v/>
      </c>
      <c r="BH1295">
        <f>'Grid_Stock'!BE54</f>
        <v/>
      </c>
      <c r="BI1295">
        <f>'Grid_Stock'!BF54</f>
        <v/>
      </c>
      <c r="BJ1295">
        <f>'Grid_Stock'!BG54</f>
        <v/>
      </c>
      <c r="BK1295">
        <f>'Grid_Stock'!BH54</f>
        <v/>
      </c>
      <c r="BL1295">
        <f>'Grid_Stock'!BI54</f>
        <v/>
      </c>
      <c r="BM1295">
        <f>'Grid_Stock'!BJ54</f>
        <v/>
      </c>
      <c r="BN1295">
        <f>'Grid_Stock'!BK54</f>
        <v/>
      </c>
      <c r="BO1295">
        <f>'Grid_Stock'!BL54</f>
        <v/>
      </c>
      <c r="BP1295">
        <f>'Grid_Stock'!BM54</f>
        <v/>
      </c>
      <c r="BQ1295">
        <f>'Grid_Stock'!BN54</f>
        <v/>
      </c>
      <c r="BR1295">
        <f>'Grid_Stock'!BO54</f>
        <v/>
      </c>
      <c r="BS1295">
        <f>'Grid_Stock'!BP54</f>
        <v/>
      </c>
      <c r="BT1295">
        <f>'Grid_Stock'!BQ54</f>
        <v/>
      </c>
      <c r="BU1295">
        <f>'Grid_Stock'!BR54</f>
        <v/>
      </c>
      <c r="BV1295">
        <f>'Grid_Stock'!BS54</f>
        <v/>
      </c>
      <c r="BW1295">
        <f>'Grid_Stock'!BT54</f>
        <v/>
      </c>
      <c r="BX1295">
        <f>'Grid_Stock'!BU54</f>
        <v/>
      </c>
      <c r="BY1295">
        <f>'Grid_Stock'!BV54</f>
        <v/>
      </c>
      <c r="BZ1295">
        <f>'Grid_Stock'!BW54</f>
        <v/>
      </c>
      <c r="CA1295">
        <f>'Grid_Stock'!BX54</f>
        <v/>
      </c>
      <c r="CB1295">
        <f>'Grid_Stock'!BY54</f>
        <v/>
      </c>
      <c r="CC1295">
        <f>'Grid_Stock'!BZ54</f>
        <v/>
      </c>
      <c r="CD1295">
        <f>'Grid_Stock'!CA54</f>
        <v/>
      </c>
      <c r="CE1295">
        <f>'Grid_Stock'!CB54</f>
        <v/>
      </c>
      <c r="CF1295">
        <f>'Grid_Stock'!CC54</f>
        <v/>
      </c>
      <c r="CG1295">
        <f>'Grid_Stock'!CD54</f>
        <v/>
      </c>
      <c r="CH1295">
        <f>'Grid_Stock'!CE54</f>
        <v/>
      </c>
      <c r="CI1295">
        <f>'Grid_Stock'!CF54</f>
        <v/>
      </c>
      <c r="CJ1295">
        <f>'Grid_Stock'!CG54</f>
        <v/>
      </c>
      <c r="CK1295">
        <f>'Grid_Stock'!CH54</f>
        <v/>
      </c>
      <c r="CL1295">
        <f>'Grid_Stock'!CI54</f>
        <v/>
      </c>
      <c r="CM1295">
        <f>'Grid_Stock'!CJ54</f>
        <v/>
      </c>
      <c r="CN1295">
        <f>'Grid_Stock'!CK54</f>
        <v/>
      </c>
      <c r="CO1295">
        <f>'Grid_Stock'!CL54</f>
        <v/>
      </c>
      <c r="CP1295">
        <f>'Grid_Stock'!CM54</f>
        <v/>
      </c>
      <c r="CQ1295">
        <f>'Grid_Stock'!CN54</f>
        <v/>
      </c>
      <c r="CR1295">
        <f>'Grid_Stock'!CO54</f>
        <v/>
      </c>
      <c r="CS1295">
        <f>'Grid_Stock'!CP54</f>
        <v/>
      </c>
      <c r="CT1295">
        <f>'Grid_Stock'!CQ54</f>
        <v/>
      </c>
      <c r="CU1295">
        <f>'Grid_Stock'!CR54</f>
        <v/>
      </c>
      <c r="CV1295">
        <f>'Grid_Stock'!CS54</f>
        <v/>
      </c>
      <c r="CW1295">
        <f>'Grid_Stock'!CT54</f>
        <v/>
      </c>
      <c r="CX1295">
        <f>'Grid_Stock'!CU54</f>
        <v/>
      </c>
      <c r="CY1295">
        <f>'Grid_Stock'!CV54</f>
        <v/>
      </c>
      <c r="CZ1295">
        <f>'Grid_Stock'!CW54</f>
        <v/>
      </c>
      <c r="DA1295">
        <f>'Grid_Stock'!CX54</f>
        <v/>
      </c>
      <c r="DB1295">
        <f>'Grid_Stock'!CY54</f>
        <v/>
      </c>
      <c r="DC1295">
        <f>'Grid_Stock'!CZ54</f>
        <v/>
      </c>
      <c r="DD1295">
        <f>'Grid_Stock'!DA54</f>
        <v/>
      </c>
    </row>
    <row r="1296">
      <c r="B1296" s="25" t="inlineStr">
        <is>
          <t>（発注の目安はDashboardの基準在庫[下限/上限]と色分けを参照）</t>
        </is>
      </c>
    </row>
    <row r="1298">
      <c r="A1298" s="21" t="inlineStr">
        <is>
          <t>CHEM-1690</t>
        </is>
      </c>
      <c r="B1298" s="21" t="inlineStr">
        <is>
          <t>TPZ-560</t>
        </is>
      </c>
      <c r="C1298" s="22" t="n"/>
      <c r="D1298" s="21" t="n"/>
      <c r="E1298" s="21" t="n"/>
      <c r="F1298" s="21" t="n"/>
      <c r="G1298" s="21" t="n"/>
      <c r="H1298" s="21" t="n"/>
      <c r="I1298" s="21" t="n"/>
      <c r="J1298" s="21" t="n"/>
      <c r="K1298" s="21" t="n"/>
      <c r="L1298" s="21" t="n"/>
      <c r="M1298" s="21" t="n"/>
      <c r="N1298" s="21" t="n"/>
      <c r="O1298" s="21" t="n"/>
      <c r="P1298" s="21" t="n"/>
      <c r="Q1298" s="21" t="n"/>
      <c r="R1298" s="21" t="n"/>
      <c r="S1298" s="21" t="n"/>
      <c r="T1298" s="21" t="n"/>
      <c r="U1298" s="21" t="n"/>
      <c r="V1298" s="21" t="n"/>
      <c r="W1298" s="21" t="n"/>
      <c r="X1298" s="21" t="n"/>
      <c r="Y1298" s="21" t="n"/>
      <c r="Z1298" s="21" t="n"/>
      <c r="AA1298" s="21" t="n"/>
      <c r="AB1298" s="21" t="n"/>
      <c r="AC1298" s="21" t="n"/>
      <c r="AD1298" s="21" t="n"/>
      <c r="AE1298" s="21" t="n"/>
      <c r="AF1298" s="21" t="n"/>
      <c r="AG1298" s="21" t="n"/>
      <c r="AH1298" s="21" t="n"/>
      <c r="AI1298" s="21" t="n"/>
      <c r="AJ1298" s="21" t="n"/>
      <c r="AK1298" s="21" t="n"/>
      <c r="AL1298" s="21" t="n"/>
      <c r="AM1298" s="21" t="n"/>
      <c r="AN1298" s="21" t="n"/>
      <c r="AO1298" s="21" t="n"/>
      <c r="AP1298" s="21" t="n"/>
      <c r="AQ1298" s="21" t="n"/>
      <c r="AR1298" s="21" t="n"/>
      <c r="AS1298" s="21" t="n"/>
      <c r="AT1298" s="21" t="n"/>
      <c r="AU1298" s="21" t="n"/>
      <c r="AV1298" s="21" t="n"/>
      <c r="AW1298" s="21" t="n"/>
      <c r="AX1298" s="21" t="n"/>
      <c r="AY1298" s="21" t="n"/>
      <c r="AZ1298" s="21" t="n"/>
      <c r="BA1298" s="21" t="n"/>
      <c r="BB1298" s="21" t="n"/>
      <c r="BC1298" s="21" t="n"/>
      <c r="BD1298" s="21" t="n"/>
      <c r="BE1298" s="21" t="n"/>
      <c r="BF1298" s="21" t="n"/>
      <c r="BG1298" s="21" t="n"/>
      <c r="BH1298" s="21" t="n"/>
      <c r="BI1298" s="21" t="n"/>
      <c r="BJ1298" s="21" t="n"/>
      <c r="BK1298" s="21" t="n"/>
      <c r="BL1298" s="21" t="n"/>
      <c r="BM1298" s="21" t="n"/>
      <c r="BN1298" s="21" t="n"/>
      <c r="BO1298" s="21" t="n"/>
      <c r="BP1298" s="21" t="n"/>
      <c r="BQ1298" s="21" t="n"/>
      <c r="BR1298" s="21" t="n"/>
      <c r="BS1298" s="21" t="n"/>
      <c r="BT1298" s="21" t="n"/>
      <c r="BU1298" s="21" t="n"/>
      <c r="BV1298" s="21" t="n"/>
      <c r="BW1298" s="21" t="n"/>
      <c r="BX1298" s="21" t="n"/>
      <c r="BY1298" s="21" t="n"/>
      <c r="BZ1298" s="21" t="n"/>
      <c r="CA1298" s="21" t="n"/>
      <c r="CB1298" s="21" t="n"/>
      <c r="CC1298" s="21" t="n"/>
      <c r="CD1298" s="21" t="n"/>
      <c r="CE1298" s="21" t="n"/>
      <c r="CF1298" s="21" t="n"/>
      <c r="CG1298" s="21" t="n"/>
      <c r="CH1298" s="21" t="n"/>
      <c r="CI1298" s="21" t="n"/>
      <c r="CJ1298" s="21" t="n"/>
      <c r="CK1298" s="21" t="n"/>
      <c r="CL1298" s="21" t="n"/>
      <c r="CM1298" s="21" t="n"/>
      <c r="CN1298" s="21" t="n"/>
      <c r="CO1298" s="21" t="n"/>
      <c r="CP1298" s="21" t="n"/>
      <c r="CQ1298" s="21" t="n"/>
      <c r="CR1298" s="21" t="n"/>
      <c r="CS1298" s="21" t="n"/>
      <c r="CT1298" s="21" t="n"/>
      <c r="CU1298" s="21" t="n"/>
      <c r="CV1298" s="21" t="n"/>
      <c r="CW1298" s="21" t="n"/>
      <c r="CX1298" s="21" t="n"/>
      <c r="CY1298" s="21" t="n"/>
      <c r="CZ1298" s="21" t="n"/>
      <c r="DA1298" s="21" t="n"/>
      <c r="DB1298" s="21" t="n"/>
      <c r="DC1298" s="21" t="n"/>
      <c r="DD1298" s="21" t="n"/>
    </row>
    <row r="1299">
      <c r="B1299" t="inlineStr">
        <is>
          <t>TSP-618</t>
        </is>
      </c>
      <c r="C1299" t="inlineStr">
        <is>
          <t>No. of batches</t>
        </is>
      </c>
      <c r="D1299">
        <f>IFERROR(INDEX(E1299:DD1299,$F$1),"")</f>
        <v/>
      </c>
      <c r="E1299">
        <f>IFERROR(INDEX(PP_Grid[#Data],$DE1299,2),0)</f>
        <v/>
      </c>
      <c r="F1299">
        <f>IFERROR(INDEX(PP_Grid[#Data],$DE1299,3),0)</f>
        <v/>
      </c>
      <c r="G1299">
        <f>IFERROR(INDEX(PP_Grid[#Data],$DE1299,4),0)</f>
        <v/>
      </c>
      <c r="H1299">
        <f>IFERROR(INDEX(PP_Grid[#Data],$DE1299,5),0)</f>
        <v/>
      </c>
      <c r="I1299">
        <f>IFERROR(INDEX(PP_Grid[#Data],$DE1299,6),0)</f>
        <v/>
      </c>
      <c r="J1299">
        <f>IFERROR(INDEX(PP_Grid[#Data],$DE1299,7),0)</f>
        <v/>
      </c>
      <c r="K1299">
        <f>IFERROR(INDEX(PP_Grid[#Data],$DE1299,8),0)</f>
        <v/>
      </c>
      <c r="L1299">
        <f>IFERROR(INDEX(PP_Grid[#Data],$DE1299,9),0)</f>
        <v/>
      </c>
      <c r="M1299">
        <f>IFERROR(INDEX(PP_Grid[#Data],$DE1299,10),0)</f>
        <v/>
      </c>
      <c r="N1299">
        <f>IFERROR(INDEX(PP_Grid[#Data],$DE1299,11),0)</f>
        <v/>
      </c>
      <c r="O1299">
        <f>IFERROR(INDEX(PP_Grid[#Data],$DE1299,12),0)</f>
        <v/>
      </c>
      <c r="P1299">
        <f>IFERROR(INDEX(PP_Grid[#Data],$DE1299,13),0)</f>
        <v/>
      </c>
      <c r="Q1299">
        <f>IFERROR(INDEX(PP_Grid[#Data],$DE1299,14),0)</f>
        <v/>
      </c>
      <c r="R1299">
        <f>IFERROR(INDEX(PP_Grid[#Data],$DE1299,15),0)</f>
        <v/>
      </c>
      <c r="S1299">
        <f>IFERROR(INDEX(PP_Grid[#Data],$DE1299,16),0)</f>
        <v/>
      </c>
      <c r="T1299">
        <f>IFERROR(INDEX(PP_Grid[#Data],$DE1299,17),0)</f>
        <v/>
      </c>
      <c r="U1299">
        <f>IFERROR(INDEX(PP_Grid[#Data],$DE1299,18),0)</f>
        <v/>
      </c>
      <c r="V1299">
        <f>IFERROR(INDEX(PP_Grid[#Data],$DE1299,19),0)</f>
        <v/>
      </c>
      <c r="W1299">
        <f>IFERROR(INDEX(PP_Grid[#Data],$DE1299,20),0)</f>
        <v/>
      </c>
      <c r="X1299">
        <f>IFERROR(INDEX(PP_Grid[#Data],$DE1299,21),0)</f>
        <v/>
      </c>
      <c r="Y1299">
        <f>IFERROR(INDEX(PP_Grid[#Data],$DE1299,22),0)</f>
        <v/>
      </c>
      <c r="Z1299">
        <f>IFERROR(INDEX(PP_Grid[#Data],$DE1299,23),0)</f>
        <v/>
      </c>
      <c r="AA1299">
        <f>IFERROR(INDEX(PP_Grid[#Data],$DE1299,24),0)</f>
        <v/>
      </c>
      <c r="AB1299">
        <f>IFERROR(INDEX(PP_Grid[#Data],$DE1299,25),0)</f>
        <v/>
      </c>
      <c r="AC1299">
        <f>IFERROR(INDEX(PP_Grid[#Data],$DE1299,26),0)</f>
        <v/>
      </c>
      <c r="AD1299">
        <f>IFERROR(INDEX(PP_Grid[#Data],$DE1299,27),0)</f>
        <v/>
      </c>
      <c r="AE1299">
        <f>IFERROR(INDEX(PP_Grid[#Data],$DE1299,28),0)</f>
        <v/>
      </c>
      <c r="AF1299">
        <f>IFERROR(INDEX(PP_Grid[#Data],$DE1299,29),0)</f>
        <v/>
      </c>
      <c r="AG1299">
        <f>IFERROR(INDEX(PP_Grid[#Data],$DE1299,30),0)</f>
        <v/>
      </c>
      <c r="AH1299">
        <f>IFERROR(INDEX(PP_Grid[#Data],$DE1299,31),0)</f>
        <v/>
      </c>
      <c r="AI1299">
        <f>IFERROR(INDEX(PP_Grid[#Data],$DE1299,32),0)</f>
        <v/>
      </c>
      <c r="AJ1299">
        <f>IFERROR(INDEX(PP_Grid[#Data],$DE1299,33),0)</f>
        <v/>
      </c>
      <c r="AK1299">
        <f>IFERROR(INDEX(PP_Grid[#Data],$DE1299,34),0)</f>
        <v/>
      </c>
      <c r="AL1299">
        <f>IFERROR(INDEX(PP_Grid[#Data],$DE1299,35),0)</f>
        <v/>
      </c>
      <c r="AM1299">
        <f>IFERROR(INDEX(PP_Grid[#Data],$DE1299,36),0)</f>
        <v/>
      </c>
      <c r="AN1299">
        <f>IFERROR(INDEX(PP_Grid[#Data],$DE1299,37),0)</f>
        <v/>
      </c>
      <c r="AO1299">
        <f>IFERROR(INDEX(PP_Grid[#Data],$DE1299,38),0)</f>
        <v/>
      </c>
      <c r="AP1299">
        <f>IFERROR(INDEX(PP_Grid[#Data],$DE1299,39),0)</f>
        <v/>
      </c>
      <c r="AQ1299">
        <f>IFERROR(INDEX(PP_Grid[#Data],$DE1299,40),0)</f>
        <v/>
      </c>
      <c r="AR1299">
        <f>IFERROR(INDEX(PP_Grid[#Data],$DE1299,41),0)</f>
        <v/>
      </c>
      <c r="AS1299">
        <f>IFERROR(INDEX(PP_Grid[#Data],$DE1299,42),0)</f>
        <v/>
      </c>
      <c r="AT1299">
        <f>IFERROR(INDEX(PP_Grid[#Data],$DE1299,43),0)</f>
        <v/>
      </c>
      <c r="AU1299">
        <f>IFERROR(INDEX(PP_Grid[#Data],$DE1299,44),0)</f>
        <v/>
      </c>
      <c r="AV1299">
        <f>IFERROR(INDEX(PP_Grid[#Data],$DE1299,45),0)</f>
        <v/>
      </c>
      <c r="AW1299">
        <f>IFERROR(INDEX(PP_Grid[#Data],$DE1299,46),0)</f>
        <v/>
      </c>
      <c r="AX1299">
        <f>IFERROR(INDEX(PP_Grid[#Data],$DE1299,47),0)</f>
        <v/>
      </c>
      <c r="AY1299">
        <f>IFERROR(INDEX(PP_Grid[#Data],$DE1299,48),0)</f>
        <v/>
      </c>
      <c r="AZ1299">
        <f>IFERROR(INDEX(PP_Grid[#Data],$DE1299,49),0)</f>
        <v/>
      </c>
      <c r="BA1299">
        <f>IFERROR(INDEX(PP_Grid[#Data],$DE1299,50),0)</f>
        <v/>
      </c>
      <c r="BB1299">
        <f>IFERROR(INDEX(PP_Grid[#Data],$DE1299,51),0)</f>
        <v/>
      </c>
      <c r="BC1299">
        <f>IFERROR(INDEX(PP_Grid[#Data],$DE1299,52),0)</f>
        <v/>
      </c>
      <c r="BD1299">
        <f>IFERROR(INDEX(PP_Grid[#Data],$DE1299,53),0)</f>
        <v/>
      </c>
      <c r="BE1299">
        <f>IFERROR(INDEX(PP_Grid[#Data],$DE1299,54),0)</f>
        <v/>
      </c>
      <c r="BF1299">
        <f>IFERROR(INDEX(PP_Grid[#Data],$DE1299,55),0)</f>
        <v/>
      </c>
      <c r="BG1299">
        <f>IFERROR(INDEX(PP_Grid[#Data],$DE1299,56),0)</f>
        <v/>
      </c>
      <c r="BH1299">
        <f>IFERROR(INDEX(PP_Grid[#Data],$DE1299,57),0)</f>
        <v/>
      </c>
      <c r="BI1299">
        <f>IFERROR(INDEX(PP_Grid[#Data],$DE1299,58),0)</f>
        <v/>
      </c>
      <c r="BJ1299">
        <f>IFERROR(INDEX(PP_Grid[#Data],$DE1299,59),0)</f>
        <v/>
      </c>
      <c r="BK1299">
        <f>IFERROR(INDEX(PP_Grid[#Data],$DE1299,60),0)</f>
        <v/>
      </c>
      <c r="BL1299">
        <f>IFERROR(INDEX(PP_Grid[#Data],$DE1299,61),0)</f>
        <v/>
      </c>
      <c r="BM1299">
        <f>IFERROR(INDEX(PP_Grid[#Data],$DE1299,62),0)</f>
        <v/>
      </c>
      <c r="BN1299">
        <f>IFERROR(INDEX(PP_Grid[#Data],$DE1299,63),0)</f>
        <v/>
      </c>
      <c r="BO1299">
        <f>IFERROR(INDEX(PP_Grid[#Data],$DE1299,64),0)</f>
        <v/>
      </c>
      <c r="BP1299">
        <f>IFERROR(INDEX(PP_Grid[#Data],$DE1299,65),0)</f>
        <v/>
      </c>
      <c r="BQ1299">
        <f>IFERROR(INDEX(PP_Grid[#Data],$DE1299,66),0)</f>
        <v/>
      </c>
      <c r="BR1299">
        <f>IFERROR(INDEX(PP_Grid[#Data],$DE1299,67),0)</f>
        <v/>
      </c>
      <c r="BS1299">
        <f>IFERROR(INDEX(PP_Grid[#Data],$DE1299,68),0)</f>
        <v/>
      </c>
      <c r="BT1299">
        <f>IFERROR(INDEX(PP_Grid[#Data],$DE1299,69),0)</f>
        <v/>
      </c>
      <c r="BU1299">
        <f>IFERROR(INDEX(PP_Grid[#Data],$DE1299,70),0)</f>
        <v/>
      </c>
      <c r="BV1299">
        <f>IFERROR(INDEX(PP_Grid[#Data],$DE1299,71),0)</f>
        <v/>
      </c>
      <c r="BW1299">
        <f>IFERROR(INDEX(PP_Grid[#Data],$DE1299,72),0)</f>
        <v/>
      </c>
      <c r="BX1299">
        <f>IFERROR(INDEX(PP_Grid[#Data],$DE1299,73),0)</f>
        <v/>
      </c>
      <c r="BY1299">
        <f>IFERROR(INDEX(PP_Grid[#Data],$DE1299,74),0)</f>
        <v/>
      </c>
      <c r="BZ1299">
        <f>IFERROR(INDEX(PP_Grid[#Data],$DE1299,75),0)</f>
        <v/>
      </c>
      <c r="CA1299">
        <f>IFERROR(INDEX(PP_Grid[#Data],$DE1299,76),0)</f>
        <v/>
      </c>
      <c r="CB1299">
        <f>IFERROR(INDEX(PP_Grid[#Data],$DE1299,77),0)</f>
        <v/>
      </c>
      <c r="CC1299">
        <f>IFERROR(INDEX(PP_Grid[#Data],$DE1299,78),0)</f>
        <v/>
      </c>
      <c r="CD1299">
        <f>IFERROR(INDEX(PP_Grid[#Data],$DE1299,79),0)</f>
        <v/>
      </c>
      <c r="CE1299">
        <f>IFERROR(INDEX(PP_Grid[#Data],$DE1299,80),0)</f>
        <v/>
      </c>
      <c r="CF1299">
        <f>IFERROR(INDEX(PP_Grid[#Data],$DE1299,81),0)</f>
        <v/>
      </c>
      <c r="CG1299">
        <f>IFERROR(INDEX(PP_Grid[#Data],$DE1299,82),0)</f>
        <v/>
      </c>
      <c r="CH1299">
        <f>IFERROR(INDEX(PP_Grid[#Data],$DE1299,83),0)</f>
        <v/>
      </c>
      <c r="CI1299">
        <f>IFERROR(INDEX(PP_Grid[#Data],$DE1299,84),0)</f>
        <v/>
      </c>
      <c r="CJ1299">
        <f>IFERROR(INDEX(PP_Grid[#Data],$DE1299,85),0)</f>
        <v/>
      </c>
      <c r="CK1299">
        <f>IFERROR(INDEX(PP_Grid[#Data],$DE1299,86),0)</f>
        <v/>
      </c>
      <c r="CL1299">
        <f>IFERROR(INDEX(PP_Grid[#Data],$DE1299,87),0)</f>
        <v/>
      </c>
      <c r="CM1299">
        <f>IFERROR(INDEX(PP_Grid[#Data],$DE1299,88),0)</f>
        <v/>
      </c>
      <c r="CN1299">
        <f>IFERROR(INDEX(PP_Grid[#Data],$DE1299,89),0)</f>
        <v/>
      </c>
      <c r="CO1299">
        <f>IFERROR(INDEX(PP_Grid[#Data],$DE1299,90),0)</f>
        <v/>
      </c>
      <c r="CP1299">
        <f>IFERROR(INDEX(PP_Grid[#Data],$DE1299,91),0)</f>
        <v/>
      </c>
      <c r="CQ1299">
        <f>IFERROR(INDEX(PP_Grid[#Data],$DE1299,92),0)</f>
        <v/>
      </c>
      <c r="CR1299">
        <f>IFERROR(INDEX(PP_Grid[#Data],$DE1299,93),0)</f>
        <v/>
      </c>
      <c r="CS1299">
        <f>IFERROR(INDEX(PP_Grid[#Data],$DE1299,94),0)</f>
        <v/>
      </c>
      <c r="CT1299">
        <f>IFERROR(INDEX(PP_Grid[#Data],$DE1299,95),0)</f>
        <v/>
      </c>
      <c r="CU1299">
        <f>IFERROR(INDEX(PP_Grid[#Data],$DE1299,96),0)</f>
        <v/>
      </c>
      <c r="CV1299">
        <f>IFERROR(INDEX(PP_Grid[#Data],$DE1299,97),0)</f>
        <v/>
      </c>
      <c r="CW1299">
        <f>IFERROR(INDEX(PP_Grid[#Data],$DE1299,98),0)</f>
        <v/>
      </c>
      <c r="CX1299">
        <f>IFERROR(INDEX(PP_Grid[#Data],$DE1299,99),0)</f>
        <v/>
      </c>
      <c r="CY1299">
        <f>IFERROR(INDEX(PP_Grid[#Data],$DE1299,100),0)</f>
        <v/>
      </c>
      <c r="CZ1299">
        <f>IFERROR(INDEX(PP_Grid[#Data],$DE1299,101),0)</f>
        <v/>
      </c>
      <c r="DA1299">
        <f>IFERROR(INDEX(PP_Grid[#Data],$DE1299,102),0)</f>
        <v/>
      </c>
      <c r="DB1299">
        <f>IFERROR(INDEX(PP_Grid[#Data],$DE1299,103),0)</f>
        <v/>
      </c>
      <c r="DC1299">
        <f>IFERROR(INDEX(PP_Grid[#Data],$DE1299,104),0)</f>
        <v/>
      </c>
      <c r="DD1299">
        <f>IFERROR(INDEX(PP_Grid[#Data],$DE1299,105),0)</f>
        <v/>
      </c>
      <c r="DE1299" s="7">
        <f>IFERROR(MATCH($B1299,PP_Grid[Intermediate],0),99999)</f>
        <v/>
      </c>
    </row>
    <row r="1300">
      <c r="B1300" t="inlineStr">
        <is>
          <t>使用量(kg)</t>
        </is>
      </c>
      <c r="C1300">
        <f>SUMIFS(M_BOM[RM_Qty_Per_Batch],M_BOM[Intermediate],$B1299,M_BOM[RM_Code],$A1298)</f>
        <v/>
      </c>
      <c r="D1300">
        <f>IFERROR(INDEX(E1300:DD1300,$F$1),"")</f>
        <v/>
      </c>
      <c r="E1300">
        <f>$C1300*E1299</f>
        <v/>
      </c>
      <c r="F1300">
        <f>$C1300*F1299</f>
        <v/>
      </c>
      <c r="G1300">
        <f>$C1300*G1299</f>
        <v/>
      </c>
      <c r="H1300">
        <f>$C1300*H1299</f>
        <v/>
      </c>
      <c r="I1300">
        <f>$C1300*I1299</f>
        <v/>
      </c>
      <c r="J1300">
        <f>$C1300*J1299</f>
        <v/>
      </c>
      <c r="K1300">
        <f>$C1300*K1299</f>
        <v/>
      </c>
      <c r="L1300">
        <f>$C1300*L1299</f>
        <v/>
      </c>
      <c r="M1300">
        <f>$C1300*M1299</f>
        <v/>
      </c>
      <c r="N1300">
        <f>$C1300*N1299</f>
        <v/>
      </c>
      <c r="O1300">
        <f>$C1300*O1299</f>
        <v/>
      </c>
      <c r="P1300">
        <f>$C1300*P1299</f>
        <v/>
      </c>
      <c r="Q1300">
        <f>$C1300*Q1299</f>
        <v/>
      </c>
      <c r="R1300">
        <f>$C1300*R1299</f>
        <v/>
      </c>
      <c r="S1300">
        <f>$C1300*S1299</f>
        <v/>
      </c>
      <c r="T1300">
        <f>$C1300*T1299</f>
        <v/>
      </c>
      <c r="U1300">
        <f>$C1300*U1299</f>
        <v/>
      </c>
      <c r="V1300">
        <f>$C1300*V1299</f>
        <v/>
      </c>
      <c r="W1300">
        <f>$C1300*W1299</f>
        <v/>
      </c>
      <c r="X1300">
        <f>$C1300*X1299</f>
        <v/>
      </c>
      <c r="Y1300">
        <f>$C1300*Y1299</f>
        <v/>
      </c>
      <c r="Z1300">
        <f>$C1300*Z1299</f>
        <v/>
      </c>
      <c r="AA1300">
        <f>$C1300*AA1299</f>
        <v/>
      </c>
      <c r="AB1300">
        <f>$C1300*AB1299</f>
        <v/>
      </c>
      <c r="AC1300">
        <f>$C1300*AC1299</f>
        <v/>
      </c>
      <c r="AD1300">
        <f>$C1300*AD1299</f>
        <v/>
      </c>
      <c r="AE1300">
        <f>$C1300*AE1299</f>
        <v/>
      </c>
      <c r="AF1300">
        <f>$C1300*AF1299</f>
        <v/>
      </c>
      <c r="AG1300">
        <f>$C1300*AG1299</f>
        <v/>
      </c>
      <c r="AH1300">
        <f>$C1300*AH1299</f>
        <v/>
      </c>
      <c r="AI1300">
        <f>$C1300*AI1299</f>
        <v/>
      </c>
      <c r="AJ1300">
        <f>$C1300*AJ1299</f>
        <v/>
      </c>
      <c r="AK1300">
        <f>$C1300*AK1299</f>
        <v/>
      </c>
      <c r="AL1300">
        <f>$C1300*AL1299</f>
        <v/>
      </c>
      <c r="AM1300">
        <f>$C1300*AM1299</f>
        <v/>
      </c>
      <c r="AN1300">
        <f>$C1300*AN1299</f>
        <v/>
      </c>
      <c r="AO1300">
        <f>$C1300*AO1299</f>
        <v/>
      </c>
      <c r="AP1300">
        <f>$C1300*AP1299</f>
        <v/>
      </c>
      <c r="AQ1300">
        <f>$C1300*AQ1299</f>
        <v/>
      </c>
      <c r="AR1300">
        <f>$C1300*AR1299</f>
        <v/>
      </c>
      <c r="AS1300">
        <f>$C1300*AS1299</f>
        <v/>
      </c>
      <c r="AT1300">
        <f>$C1300*AT1299</f>
        <v/>
      </c>
      <c r="AU1300">
        <f>$C1300*AU1299</f>
        <v/>
      </c>
      <c r="AV1300">
        <f>$C1300*AV1299</f>
        <v/>
      </c>
      <c r="AW1300">
        <f>$C1300*AW1299</f>
        <v/>
      </c>
      <c r="AX1300">
        <f>$C1300*AX1299</f>
        <v/>
      </c>
      <c r="AY1300">
        <f>$C1300*AY1299</f>
        <v/>
      </c>
      <c r="AZ1300">
        <f>$C1300*AZ1299</f>
        <v/>
      </c>
      <c r="BA1300">
        <f>$C1300*BA1299</f>
        <v/>
      </c>
      <c r="BB1300">
        <f>$C1300*BB1299</f>
        <v/>
      </c>
      <c r="BC1300">
        <f>$C1300*BC1299</f>
        <v/>
      </c>
      <c r="BD1300">
        <f>$C1300*BD1299</f>
        <v/>
      </c>
      <c r="BE1300">
        <f>$C1300*BE1299</f>
        <v/>
      </c>
      <c r="BF1300">
        <f>$C1300*BF1299</f>
        <v/>
      </c>
      <c r="BG1300">
        <f>$C1300*BG1299</f>
        <v/>
      </c>
      <c r="BH1300">
        <f>$C1300*BH1299</f>
        <v/>
      </c>
      <c r="BI1300">
        <f>$C1300*BI1299</f>
        <v/>
      </c>
      <c r="BJ1300">
        <f>$C1300*BJ1299</f>
        <v/>
      </c>
      <c r="BK1300">
        <f>$C1300*BK1299</f>
        <v/>
      </c>
      <c r="BL1300">
        <f>$C1300*BL1299</f>
        <v/>
      </c>
      <c r="BM1300">
        <f>$C1300*BM1299</f>
        <v/>
      </c>
      <c r="BN1300">
        <f>$C1300*BN1299</f>
        <v/>
      </c>
      <c r="BO1300">
        <f>$C1300*BO1299</f>
        <v/>
      </c>
      <c r="BP1300">
        <f>$C1300*BP1299</f>
        <v/>
      </c>
      <c r="BQ1300">
        <f>$C1300*BQ1299</f>
        <v/>
      </c>
      <c r="BR1300">
        <f>$C1300*BR1299</f>
        <v/>
      </c>
      <c r="BS1300">
        <f>$C1300*BS1299</f>
        <v/>
      </c>
      <c r="BT1300">
        <f>$C1300*BT1299</f>
        <v/>
      </c>
      <c r="BU1300">
        <f>$C1300*BU1299</f>
        <v/>
      </c>
      <c r="BV1300">
        <f>$C1300*BV1299</f>
        <v/>
      </c>
      <c r="BW1300">
        <f>$C1300*BW1299</f>
        <v/>
      </c>
      <c r="BX1300">
        <f>$C1300*BX1299</f>
        <v/>
      </c>
      <c r="BY1300">
        <f>$C1300*BY1299</f>
        <v/>
      </c>
      <c r="BZ1300">
        <f>$C1300*BZ1299</f>
        <v/>
      </c>
      <c r="CA1300">
        <f>$C1300*CA1299</f>
        <v/>
      </c>
      <c r="CB1300">
        <f>$C1300*CB1299</f>
        <v/>
      </c>
      <c r="CC1300">
        <f>$C1300*CC1299</f>
        <v/>
      </c>
      <c r="CD1300">
        <f>$C1300*CD1299</f>
        <v/>
      </c>
      <c r="CE1300">
        <f>$C1300*CE1299</f>
        <v/>
      </c>
      <c r="CF1300">
        <f>$C1300*CF1299</f>
        <v/>
      </c>
      <c r="CG1300">
        <f>$C1300*CG1299</f>
        <v/>
      </c>
      <c r="CH1300">
        <f>$C1300*CH1299</f>
        <v/>
      </c>
      <c r="CI1300">
        <f>$C1300*CI1299</f>
        <v/>
      </c>
      <c r="CJ1300">
        <f>$C1300*CJ1299</f>
        <v/>
      </c>
      <c r="CK1300">
        <f>$C1300*CK1299</f>
        <v/>
      </c>
      <c r="CL1300">
        <f>$C1300*CL1299</f>
        <v/>
      </c>
      <c r="CM1300">
        <f>$C1300*CM1299</f>
        <v/>
      </c>
      <c r="CN1300">
        <f>$C1300*CN1299</f>
        <v/>
      </c>
      <c r="CO1300">
        <f>$C1300*CO1299</f>
        <v/>
      </c>
      <c r="CP1300">
        <f>$C1300*CP1299</f>
        <v/>
      </c>
      <c r="CQ1300">
        <f>$C1300*CQ1299</f>
        <v/>
      </c>
      <c r="CR1300">
        <f>$C1300*CR1299</f>
        <v/>
      </c>
      <c r="CS1300">
        <f>$C1300*CS1299</f>
        <v/>
      </c>
      <c r="CT1300">
        <f>$C1300*CT1299</f>
        <v/>
      </c>
      <c r="CU1300">
        <f>$C1300*CU1299</f>
        <v/>
      </c>
      <c r="CV1300">
        <f>$C1300*CV1299</f>
        <v/>
      </c>
      <c r="CW1300">
        <f>$C1300*CW1299</f>
        <v/>
      </c>
      <c r="CX1300">
        <f>$C1300*CX1299</f>
        <v/>
      </c>
      <c r="CY1300">
        <f>$C1300*CY1299</f>
        <v/>
      </c>
      <c r="CZ1300">
        <f>$C1300*CZ1299</f>
        <v/>
      </c>
      <c r="DA1300">
        <f>$C1300*DA1299</f>
        <v/>
      </c>
      <c r="DB1300">
        <f>$C1300*DB1299</f>
        <v/>
      </c>
      <c r="DC1300">
        <f>$C1300*DC1299</f>
        <v/>
      </c>
      <c r="DD1300">
        <f>$C1300*DD1299</f>
        <v/>
      </c>
    </row>
    <row r="1301">
      <c r="B1301" t="inlineStr">
        <is>
          <t>TSP-903</t>
        </is>
      </c>
      <c r="C1301" t="inlineStr">
        <is>
          <t>No. of batches</t>
        </is>
      </c>
      <c r="D1301">
        <f>IFERROR(INDEX(E1301:DD1301,$F$1),"")</f>
        <v/>
      </c>
      <c r="E1301">
        <f>IFERROR(INDEX(PP_Grid[#Data],$DE1301,2),0)</f>
        <v/>
      </c>
      <c r="F1301">
        <f>IFERROR(INDEX(PP_Grid[#Data],$DE1301,3),0)</f>
        <v/>
      </c>
      <c r="G1301">
        <f>IFERROR(INDEX(PP_Grid[#Data],$DE1301,4),0)</f>
        <v/>
      </c>
      <c r="H1301">
        <f>IFERROR(INDEX(PP_Grid[#Data],$DE1301,5),0)</f>
        <v/>
      </c>
      <c r="I1301">
        <f>IFERROR(INDEX(PP_Grid[#Data],$DE1301,6),0)</f>
        <v/>
      </c>
      <c r="J1301">
        <f>IFERROR(INDEX(PP_Grid[#Data],$DE1301,7),0)</f>
        <v/>
      </c>
      <c r="K1301">
        <f>IFERROR(INDEX(PP_Grid[#Data],$DE1301,8),0)</f>
        <v/>
      </c>
      <c r="L1301">
        <f>IFERROR(INDEX(PP_Grid[#Data],$DE1301,9),0)</f>
        <v/>
      </c>
      <c r="M1301">
        <f>IFERROR(INDEX(PP_Grid[#Data],$DE1301,10),0)</f>
        <v/>
      </c>
      <c r="N1301">
        <f>IFERROR(INDEX(PP_Grid[#Data],$DE1301,11),0)</f>
        <v/>
      </c>
      <c r="O1301">
        <f>IFERROR(INDEX(PP_Grid[#Data],$DE1301,12),0)</f>
        <v/>
      </c>
      <c r="P1301">
        <f>IFERROR(INDEX(PP_Grid[#Data],$DE1301,13),0)</f>
        <v/>
      </c>
      <c r="Q1301">
        <f>IFERROR(INDEX(PP_Grid[#Data],$DE1301,14),0)</f>
        <v/>
      </c>
      <c r="R1301">
        <f>IFERROR(INDEX(PP_Grid[#Data],$DE1301,15),0)</f>
        <v/>
      </c>
      <c r="S1301">
        <f>IFERROR(INDEX(PP_Grid[#Data],$DE1301,16),0)</f>
        <v/>
      </c>
      <c r="T1301">
        <f>IFERROR(INDEX(PP_Grid[#Data],$DE1301,17),0)</f>
        <v/>
      </c>
      <c r="U1301">
        <f>IFERROR(INDEX(PP_Grid[#Data],$DE1301,18),0)</f>
        <v/>
      </c>
      <c r="V1301">
        <f>IFERROR(INDEX(PP_Grid[#Data],$DE1301,19),0)</f>
        <v/>
      </c>
      <c r="W1301">
        <f>IFERROR(INDEX(PP_Grid[#Data],$DE1301,20),0)</f>
        <v/>
      </c>
      <c r="X1301">
        <f>IFERROR(INDEX(PP_Grid[#Data],$DE1301,21),0)</f>
        <v/>
      </c>
      <c r="Y1301">
        <f>IFERROR(INDEX(PP_Grid[#Data],$DE1301,22),0)</f>
        <v/>
      </c>
      <c r="Z1301">
        <f>IFERROR(INDEX(PP_Grid[#Data],$DE1301,23),0)</f>
        <v/>
      </c>
      <c r="AA1301">
        <f>IFERROR(INDEX(PP_Grid[#Data],$DE1301,24),0)</f>
        <v/>
      </c>
      <c r="AB1301">
        <f>IFERROR(INDEX(PP_Grid[#Data],$DE1301,25),0)</f>
        <v/>
      </c>
      <c r="AC1301">
        <f>IFERROR(INDEX(PP_Grid[#Data],$DE1301,26),0)</f>
        <v/>
      </c>
      <c r="AD1301">
        <f>IFERROR(INDEX(PP_Grid[#Data],$DE1301,27),0)</f>
        <v/>
      </c>
      <c r="AE1301">
        <f>IFERROR(INDEX(PP_Grid[#Data],$DE1301,28),0)</f>
        <v/>
      </c>
      <c r="AF1301">
        <f>IFERROR(INDEX(PP_Grid[#Data],$DE1301,29),0)</f>
        <v/>
      </c>
      <c r="AG1301">
        <f>IFERROR(INDEX(PP_Grid[#Data],$DE1301,30),0)</f>
        <v/>
      </c>
      <c r="AH1301">
        <f>IFERROR(INDEX(PP_Grid[#Data],$DE1301,31),0)</f>
        <v/>
      </c>
      <c r="AI1301">
        <f>IFERROR(INDEX(PP_Grid[#Data],$DE1301,32),0)</f>
        <v/>
      </c>
      <c r="AJ1301">
        <f>IFERROR(INDEX(PP_Grid[#Data],$DE1301,33),0)</f>
        <v/>
      </c>
      <c r="AK1301">
        <f>IFERROR(INDEX(PP_Grid[#Data],$DE1301,34),0)</f>
        <v/>
      </c>
      <c r="AL1301">
        <f>IFERROR(INDEX(PP_Grid[#Data],$DE1301,35),0)</f>
        <v/>
      </c>
      <c r="AM1301">
        <f>IFERROR(INDEX(PP_Grid[#Data],$DE1301,36),0)</f>
        <v/>
      </c>
      <c r="AN1301">
        <f>IFERROR(INDEX(PP_Grid[#Data],$DE1301,37),0)</f>
        <v/>
      </c>
      <c r="AO1301">
        <f>IFERROR(INDEX(PP_Grid[#Data],$DE1301,38),0)</f>
        <v/>
      </c>
      <c r="AP1301">
        <f>IFERROR(INDEX(PP_Grid[#Data],$DE1301,39),0)</f>
        <v/>
      </c>
      <c r="AQ1301">
        <f>IFERROR(INDEX(PP_Grid[#Data],$DE1301,40),0)</f>
        <v/>
      </c>
      <c r="AR1301">
        <f>IFERROR(INDEX(PP_Grid[#Data],$DE1301,41),0)</f>
        <v/>
      </c>
      <c r="AS1301">
        <f>IFERROR(INDEX(PP_Grid[#Data],$DE1301,42),0)</f>
        <v/>
      </c>
      <c r="AT1301">
        <f>IFERROR(INDEX(PP_Grid[#Data],$DE1301,43),0)</f>
        <v/>
      </c>
      <c r="AU1301">
        <f>IFERROR(INDEX(PP_Grid[#Data],$DE1301,44),0)</f>
        <v/>
      </c>
      <c r="AV1301">
        <f>IFERROR(INDEX(PP_Grid[#Data],$DE1301,45),0)</f>
        <v/>
      </c>
      <c r="AW1301">
        <f>IFERROR(INDEX(PP_Grid[#Data],$DE1301,46),0)</f>
        <v/>
      </c>
      <c r="AX1301">
        <f>IFERROR(INDEX(PP_Grid[#Data],$DE1301,47),0)</f>
        <v/>
      </c>
      <c r="AY1301">
        <f>IFERROR(INDEX(PP_Grid[#Data],$DE1301,48),0)</f>
        <v/>
      </c>
      <c r="AZ1301">
        <f>IFERROR(INDEX(PP_Grid[#Data],$DE1301,49),0)</f>
        <v/>
      </c>
      <c r="BA1301">
        <f>IFERROR(INDEX(PP_Grid[#Data],$DE1301,50),0)</f>
        <v/>
      </c>
      <c r="BB1301">
        <f>IFERROR(INDEX(PP_Grid[#Data],$DE1301,51),0)</f>
        <v/>
      </c>
      <c r="BC1301">
        <f>IFERROR(INDEX(PP_Grid[#Data],$DE1301,52),0)</f>
        <v/>
      </c>
      <c r="BD1301">
        <f>IFERROR(INDEX(PP_Grid[#Data],$DE1301,53),0)</f>
        <v/>
      </c>
      <c r="BE1301">
        <f>IFERROR(INDEX(PP_Grid[#Data],$DE1301,54),0)</f>
        <v/>
      </c>
      <c r="BF1301">
        <f>IFERROR(INDEX(PP_Grid[#Data],$DE1301,55),0)</f>
        <v/>
      </c>
      <c r="BG1301">
        <f>IFERROR(INDEX(PP_Grid[#Data],$DE1301,56),0)</f>
        <v/>
      </c>
      <c r="BH1301">
        <f>IFERROR(INDEX(PP_Grid[#Data],$DE1301,57),0)</f>
        <v/>
      </c>
      <c r="BI1301">
        <f>IFERROR(INDEX(PP_Grid[#Data],$DE1301,58),0)</f>
        <v/>
      </c>
      <c r="BJ1301">
        <f>IFERROR(INDEX(PP_Grid[#Data],$DE1301,59),0)</f>
        <v/>
      </c>
      <c r="BK1301">
        <f>IFERROR(INDEX(PP_Grid[#Data],$DE1301,60),0)</f>
        <v/>
      </c>
      <c r="BL1301">
        <f>IFERROR(INDEX(PP_Grid[#Data],$DE1301,61),0)</f>
        <v/>
      </c>
      <c r="BM1301">
        <f>IFERROR(INDEX(PP_Grid[#Data],$DE1301,62),0)</f>
        <v/>
      </c>
      <c r="BN1301">
        <f>IFERROR(INDEX(PP_Grid[#Data],$DE1301,63),0)</f>
        <v/>
      </c>
      <c r="BO1301">
        <f>IFERROR(INDEX(PP_Grid[#Data],$DE1301,64),0)</f>
        <v/>
      </c>
      <c r="BP1301">
        <f>IFERROR(INDEX(PP_Grid[#Data],$DE1301,65),0)</f>
        <v/>
      </c>
      <c r="BQ1301">
        <f>IFERROR(INDEX(PP_Grid[#Data],$DE1301,66),0)</f>
        <v/>
      </c>
      <c r="BR1301">
        <f>IFERROR(INDEX(PP_Grid[#Data],$DE1301,67),0)</f>
        <v/>
      </c>
      <c r="BS1301">
        <f>IFERROR(INDEX(PP_Grid[#Data],$DE1301,68),0)</f>
        <v/>
      </c>
      <c r="BT1301">
        <f>IFERROR(INDEX(PP_Grid[#Data],$DE1301,69),0)</f>
        <v/>
      </c>
      <c r="BU1301">
        <f>IFERROR(INDEX(PP_Grid[#Data],$DE1301,70),0)</f>
        <v/>
      </c>
      <c r="BV1301">
        <f>IFERROR(INDEX(PP_Grid[#Data],$DE1301,71),0)</f>
        <v/>
      </c>
      <c r="BW1301">
        <f>IFERROR(INDEX(PP_Grid[#Data],$DE1301,72),0)</f>
        <v/>
      </c>
      <c r="BX1301">
        <f>IFERROR(INDEX(PP_Grid[#Data],$DE1301,73),0)</f>
        <v/>
      </c>
      <c r="BY1301">
        <f>IFERROR(INDEX(PP_Grid[#Data],$DE1301,74),0)</f>
        <v/>
      </c>
      <c r="BZ1301">
        <f>IFERROR(INDEX(PP_Grid[#Data],$DE1301,75),0)</f>
        <v/>
      </c>
      <c r="CA1301">
        <f>IFERROR(INDEX(PP_Grid[#Data],$DE1301,76),0)</f>
        <v/>
      </c>
      <c r="CB1301">
        <f>IFERROR(INDEX(PP_Grid[#Data],$DE1301,77),0)</f>
        <v/>
      </c>
      <c r="CC1301">
        <f>IFERROR(INDEX(PP_Grid[#Data],$DE1301,78),0)</f>
        <v/>
      </c>
      <c r="CD1301">
        <f>IFERROR(INDEX(PP_Grid[#Data],$DE1301,79),0)</f>
        <v/>
      </c>
      <c r="CE1301">
        <f>IFERROR(INDEX(PP_Grid[#Data],$DE1301,80),0)</f>
        <v/>
      </c>
      <c r="CF1301">
        <f>IFERROR(INDEX(PP_Grid[#Data],$DE1301,81),0)</f>
        <v/>
      </c>
      <c r="CG1301">
        <f>IFERROR(INDEX(PP_Grid[#Data],$DE1301,82),0)</f>
        <v/>
      </c>
      <c r="CH1301">
        <f>IFERROR(INDEX(PP_Grid[#Data],$DE1301,83),0)</f>
        <v/>
      </c>
      <c r="CI1301">
        <f>IFERROR(INDEX(PP_Grid[#Data],$DE1301,84),0)</f>
        <v/>
      </c>
      <c r="CJ1301">
        <f>IFERROR(INDEX(PP_Grid[#Data],$DE1301,85),0)</f>
        <v/>
      </c>
      <c r="CK1301">
        <f>IFERROR(INDEX(PP_Grid[#Data],$DE1301,86),0)</f>
        <v/>
      </c>
      <c r="CL1301">
        <f>IFERROR(INDEX(PP_Grid[#Data],$DE1301,87),0)</f>
        <v/>
      </c>
      <c r="CM1301">
        <f>IFERROR(INDEX(PP_Grid[#Data],$DE1301,88),0)</f>
        <v/>
      </c>
      <c r="CN1301">
        <f>IFERROR(INDEX(PP_Grid[#Data],$DE1301,89),0)</f>
        <v/>
      </c>
      <c r="CO1301">
        <f>IFERROR(INDEX(PP_Grid[#Data],$DE1301,90),0)</f>
        <v/>
      </c>
      <c r="CP1301">
        <f>IFERROR(INDEX(PP_Grid[#Data],$DE1301,91),0)</f>
        <v/>
      </c>
      <c r="CQ1301">
        <f>IFERROR(INDEX(PP_Grid[#Data],$DE1301,92),0)</f>
        <v/>
      </c>
      <c r="CR1301">
        <f>IFERROR(INDEX(PP_Grid[#Data],$DE1301,93),0)</f>
        <v/>
      </c>
      <c r="CS1301">
        <f>IFERROR(INDEX(PP_Grid[#Data],$DE1301,94),0)</f>
        <v/>
      </c>
      <c r="CT1301">
        <f>IFERROR(INDEX(PP_Grid[#Data],$DE1301,95),0)</f>
        <v/>
      </c>
      <c r="CU1301">
        <f>IFERROR(INDEX(PP_Grid[#Data],$DE1301,96),0)</f>
        <v/>
      </c>
      <c r="CV1301">
        <f>IFERROR(INDEX(PP_Grid[#Data],$DE1301,97),0)</f>
        <v/>
      </c>
      <c r="CW1301">
        <f>IFERROR(INDEX(PP_Grid[#Data],$DE1301,98),0)</f>
        <v/>
      </c>
      <c r="CX1301">
        <f>IFERROR(INDEX(PP_Grid[#Data],$DE1301,99),0)</f>
        <v/>
      </c>
      <c r="CY1301">
        <f>IFERROR(INDEX(PP_Grid[#Data],$DE1301,100),0)</f>
        <v/>
      </c>
      <c r="CZ1301">
        <f>IFERROR(INDEX(PP_Grid[#Data],$DE1301,101),0)</f>
        <v/>
      </c>
      <c r="DA1301">
        <f>IFERROR(INDEX(PP_Grid[#Data],$DE1301,102),0)</f>
        <v/>
      </c>
      <c r="DB1301">
        <f>IFERROR(INDEX(PP_Grid[#Data],$DE1301,103),0)</f>
        <v/>
      </c>
      <c r="DC1301">
        <f>IFERROR(INDEX(PP_Grid[#Data],$DE1301,104),0)</f>
        <v/>
      </c>
      <c r="DD1301">
        <f>IFERROR(INDEX(PP_Grid[#Data],$DE1301,105),0)</f>
        <v/>
      </c>
      <c r="DE1301" s="7">
        <f>IFERROR(MATCH($B1301,PP_Grid[Intermediate],0),99999)</f>
        <v/>
      </c>
    </row>
    <row r="1302">
      <c r="B1302" t="inlineStr">
        <is>
          <t>使用量(kg)</t>
        </is>
      </c>
      <c r="C1302">
        <f>SUMIFS(M_BOM[RM_Qty_Per_Batch],M_BOM[Intermediate],$B1301,M_BOM[RM_Code],$A1298)</f>
        <v/>
      </c>
      <c r="D1302">
        <f>IFERROR(INDEX(E1302:DD1302,$F$1),"")</f>
        <v/>
      </c>
      <c r="E1302">
        <f>$C1302*E1301</f>
        <v/>
      </c>
      <c r="F1302">
        <f>$C1302*F1301</f>
        <v/>
      </c>
      <c r="G1302">
        <f>$C1302*G1301</f>
        <v/>
      </c>
      <c r="H1302">
        <f>$C1302*H1301</f>
        <v/>
      </c>
      <c r="I1302">
        <f>$C1302*I1301</f>
        <v/>
      </c>
      <c r="J1302">
        <f>$C1302*J1301</f>
        <v/>
      </c>
      <c r="K1302">
        <f>$C1302*K1301</f>
        <v/>
      </c>
      <c r="L1302">
        <f>$C1302*L1301</f>
        <v/>
      </c>
      <c r="M1302">
        <f>$C1302*M1301</f>
        <v/>
      </c>
      <c r="N1302">
        <f>$C1302*N1301</f>
        <v/>
      </c>
      <c r="O1302">
        <f>$C1302*O1301</f>
        <v/>
      </c>
      <c r="P1302">
        <f>$C1302*P1301</f>
        <v/>
      </c>
      <c r="Q1302">
        <f>$C1302*Q1301</f>
        <v/>
      </c>
      <c r="R1302">
        <f>$C1302*R1301</f>
        <v/>
      </c>
      <c r="S1302">
        <f>$C1302*S1301</f>
        <v/>
      </c>
      <c r="T1302">
        <f>$C1302*T1301</f>
        <v/>
      </c>
      <c r="U1302">
        <f>$C1302*U1301</f>
        <v/>
      </c>
      <c r="V1302">
        <f>$C1302*V1301</f>
        <v/>
      </c>
      <c r="W1302">
        <f>$C1302*W1301</f>
        <v/>
      </c>
      <c r="X1302">
        <f>$C1302*X1301</f>
        <v/>
      </c>
      <c r="Y1302">
        <f>$C1302*Y1301</f>
        <v/>
      </c>
      <c r="Z1302">
        <f>$C1302*Z1301</f>
        <v/>
      </c>
      <c r="AA1302">
        <f>$C1302*AA1301</f>
        <v/>
      </c>
      <c r="AB1302">
        <f>$C1302*AB1301</f>
        <v/>
      </c>
      <c r="AC1302">
        <f>$C1302*AC1301</f>
        <v/>
      </c>
      <c r="AD1302">
        <f>$C1302*AD1301</f>
        <v/>
      </c>
      <c r="AE1302">
        <f>$C1302*AE1301</f>
        <v/>
      </c>
      <c r="AF1302">
        <f>$C1302*AF1301</f>
        <v/>
      </c>
      <c r="AG1302">
        <f>$C1302*AG1301</f>
        <v/>
      </c>
      <c r="AH1302">
        <f>$C1302*AH1301</f>
        <v/>
      </c>
      <c r="AI1302">
        <f>$C1302*AI1301</f>
        <v/>
      </c>
      <c r="AJ1302">
        <f>$C1302*AJ1301</f>
        <v/>
      </c>
      <c r="AK1302">
        <f>$C1302*AK1301</f>
        <v/>
      </c>
      <c r="AL1302">
        <f>$C1302*AL1301</f>
        <v/>
      </c>
      <c r="AM1302">
        <f>$C1302*AM1301</f>
        <v/>
      </c>
      <c r="AN1302">
        <f>$C1302*AN1301</f>
        <v/>
      </c>
      <c r="AO1302">
        <f>$C1302*AO1301</f>
        <v/>
      </c>
      <c r="AP1302">
        <f>$C1302*AP1301</f>
        <v/>
      </c>
      <c r="AQ1302">
        <f>$C1302*AQ1301</f>
        <v/>
      </c>
      <c r="AR1302">
        <f>$C1302*AR1301</f>
        <v/>
      </c>
      <c r="AS1302">
        <f>$C1302*AS1301</f>
        <v/>
      </c>
      <c r="AT1302">
        <f>$C1302*AT1301</f>
        <v/>
      </c>
      <c r="AU1302">
        <f>$C1302*AU1301</f>
        <v/>
      </c>
      <c r="AV1302">
        <f>$C1302*AV1301</f>
        <v/>
      </c>
      <c r="AW1302">
        <f>$C1302*AW1301</f>
        <v/>
      </c>
      <c r="AX1302">
        <f>$C1302*AX1301</f>
        <v/>
      </c>
      <c r="AY1302">
        <f>$C1302*AY1301</f>
        <v/>
      </c>
      <c r="AZ1302">
        <f>$C1302*AZ1301</f>
        <v/>
      </c>
      <c r="BA1302">
        <f>$C1302*BA1301</f>
        <v/>
      </c>
      <c r="BB1302">
        <f>$C1302*BB1301</f>
        <v/>
      </c>
      <c r="BC1302">
        <f>$C1302*BC1301</f>
        <v/>
      </c>
      <c r="BD1302">
        <f>$C1302*BD1301</f>
        <v/>
      </c>
      <c r="BE1302">
        <f>$C1302*BE1301</f>
        <v/>
      </c>
      <c r="BF1302">
        <f>$C1302*BF1301</f>
        <v/>
      </c>
      <c r="BG1302">
        <f>$C1302*BG1301</f>
        <v/>
      </c>
      <c r="BH1302">
        <f>$C1302*BH1301</f>
        <v/>
      </c>
      <c r="BI1302">
        <f>$C1302*BI1301</f>
        <v/>
      </c>
      <c r="BJ1302">
        <f>$C1302*BJ1301</f>
        <v/>
      </c>
      <c r="BK1302">
        <f>$C1302*BK1301</f>
        <v/>
      </c>
      <c r="BL1302">
        <f>$C1302*BL1301</f>
        <v/>
      </c>
      <c r="BM1302">
        <f>$C1302*BM1301</f>
        <v/>
      </c>
      <c r="BN1302">
        <f>$C1302*BN1301</f>
        <v/>
      </c>
      <c r="BO1302">
        <f>$C1302*BO1301</f>
        <v/>
      </c>
      <c r="BP1302">
        <f>$C1302*BP1301</f>
        <v/>
      </c>
      <c r="BQ1302">
        <f>$C1302*BQ1301</f>
        <v/>
      </c>
      <c r="BR1302">
        <f>$C1302*BR1301</f>
        <v/>
      </c>
      <c r="BS1302">
        <f>$C1302*BS1301</f>
        <v/>
      </c>
      <c r="BT1302">
        <f>$C1302*BT1301</f>
        <v/>
      </c>
      <c r="BU1302">
        <f>$C1302*BU1301</f>
        <v/>
      </c>
      <c r="BV1302">
        <f>$C1302*BV1301</f>
        <v/>
      </c>
      <c r="BW1302">
        <f>$C1302*BW1301</f>
        <v/>
      </c>
      <c r="BX1302">
        <f>$C1302*BX1301</f>
        <v/>
      </c>
      <c r="BY1302">
        <f>$C1302*BY1301</f>
        <v/>
      </c>
      <c r="BZ1302">
        <f>$C1302*BZ1301</f>
        <v/>
      </c>
      <c r="CA1302">
        <f>$C1302*CA1301</f>
        <v/>
      </c>
      <c r="CB1302">
        <f>$C1302*CB1301</f>
        <v/>
      </c>
      <c r="CC1302">
        <f>$C1302*CC1301</f>
        <v/>
      </c>
      <c r="CD1302">
        <f>$C1302*CD1301</f>
        <v/>
      </c>
      <c r="CE1302">
        <f>$C1302*CE1301</f>
        <v/>
      </c>
      <c r="CF1302">
        <f>$C1302*CF1301</f>
        <v/>
      </c>
      <c r="CG1302">
        <f>$C1302*CG1301</f>
        <v/>
      </c>
      <c r="CH1302">
        <f>$C1302*CH1301</f>
        <v/>
      </c>
      <c r="CI1302">
        <f>$C1302*CI1301</f>
        <v/>
      </c>
      <c r="CJ1302">
        <f>$C1302*CJ1301</f>
        <v/>
      </c>
      <c r="CK1302">
        <f>$C1302*CK1301</f>
        <v/>
      </c>
      <c r="CL1302">
        <f>$C1302*CL1301</f>
        <v/>
      </c>
      <c r="CM1302">
        <f>$C1302*CM1301</f>
        <v/>
      </c>
      <c r="CN1302">
        <f>$C1302*CN1301</f>
        <v/>
      </c>
      <c r="CO1302">
        <f>$C1302*CO1301</f>
        <v/>
      </c>
      <c r="CP1302">
        <f>$C1302*CP1301</f>
        <v/>
      </c>
      <c r="CQ1302">
        <f>$C1302*CQ1301</f>
        <v/>
      </c>
      <c r="CR1302">
        <f>$C1302*CR1301</f>
        <v/>
      </c>
      <c r="CS1302">
        <f>$C1302*CS1301</f>
        <v/>
      </c>
      <c r="CT1302">
        <f>$C1302*CT1301</f>
        <v/>
      </c>
      <c r="CU1302">
        <f>$C1302*CU1301</f>
        <v/>
      </c>
      <c r="CV1302">
        <f>$C1302*CV1301</f>
        <v/>
      </c>
      <c r="CW1302">
        <f>$C1302*CW1301</f>
        <v/>
      </c>
      <c r="CX1302">
        <f>$C1302*CX1301</f>
        <v/>
      </c>
      <c r="CY1302">
        <f>$C1302*CY1301</f>
        <v/>
      </c>
      <c r="CZ1302">
        <f>$C1302*CZ1301</f>
        <v/>
      </c>
      <c r="DA1302">
        <f>$C1302*DA1301</f>
        <v/>
      </c>
      <c r="DB1302">
        <f>$C1302*DB1301</f>
        <v/>
      </c>
      <c r="DC1302">
        <f>$C1302*DC1301</f>
        <v/>
      </c>
      <c r="DD1302">
        <f>$C1302*DD1301</f>
        <v/>
      </c>
    </row>
    <row r="1303">
      <c r="B1303" t="inlineStr">
        <is>
          <t>TSP-966</t>
        </is>
      </c>
      <c r="C1303" t="inlineStr">
        <is>
          <t>No. of batches</t>
        </is>
      </c>
      <c r="D1303">
        <f>IFERROR(INDEX(E1303:DD1303,$F$1),"")</f>
        <v/>
      </c>
      <c r="E1303">
        <f>IFERROR(INDEX(PP_Grid[#Data],$DE1303,2),0)</f>
        <v/>
      </c>
      <c r="F1303">
        <f>IFERROR(INDEX(PP_Grid[#Data],$DE1303,3),0)</f>
        <v/>
      </c>
      <c r="G1303">
        <f>IFERROR(INDEX(PP_Grid[#Data],$DE1303,4),0)</f>
        <v/>
      </c>
      <c r="H1303">
        <f>IFERROR(INDEX(PP_Grid[#Data],$DE1303,5),0)</f>
        <v/>
      </c>
      <c r="I1303">
        <f>IFERROR(INDEX(PP_Grid[#Data],$DE1303,6),0)</f>
        <v/>
      </c>
      <c r="J1303">
        <f>IFERROR(INDEX(PP_Grid[#Data],$DE1303,7),0)</f>
        <v/>
      </c>
      <c r="K1303">
        <f>IFERROR(INDEX(PP_Grid[#Data],$DE1303,8),0)</f>
        <v/>
      </c>
      <c r="L1303">
        <f>IFERROR(INDEX(PP_Grid[#Data],$DE1303,9),0)</f>
        <v/>
      </c>
      <c r="M1303">
        <f>IFERROR(INDEX(PP_Grid[#Data],$DE1303,10),0)</f>
        <v/>
      </c>
      <c r="N1303">
        <f>IFERROR(INDEX(PP_Grid[#Data],$DE1303,11),0)</f>
        <v/>
      </c>
      <c r="O1303">
        <f>IFERROR(INDEX(PP_Grid[#Data],$DE1303,12),0)</f>
        <v/>
      </c>
      <c r="P1303">
        <f>IFERROR(INDEX(PP_Grid[#Data],$DE1303,13),0)</f>
        <v/>
      </c>
      <c r="Q1303">
        <f>IFERROR(INDEX(PP_Grid[#Data],$DE1303,14),0)</f>
        <v/>
      </c>
      <c r="R1303">
        <f>IFERROR(INDEX(PP_Grid[#Data],$DE1303,15),0)</f>
        <v/>
      </c>
      <c r="S1303">
        <f>IFERROR(INDEX(PP_Grid[#Data],$DE1303,16),0)</f>
        <v/>
      </c>
      <c r="T1303">
        <f>IFERROR(INDEX(PP_Grid[#Data],$DE1303,17),0)</f>
        <v/>
      </c>
      <c r="U1303">
        <f>IFERROR(INDEX(PP_Grid[#Data],$DE1303,18),0)</f>
        <v/>
      </c>
      <c r="V1303">
        <f>IFERROR(INDEX(PP_Grid[#Data],$DE1303,19),0)</f>
        <v/>
      </c>
      <c r="W1303">
        <f>IFERROR(INDEX(PP_Grid[#Data],$DE1303,20),0)</f>
        <v/>
      </c>
      <c r="X1303">
        <f>IFERROR(INDEX(PP_Grid[#Data],$DE1303,21),0)</f>
        <v/>
      </c>
      <c r="Y1303">
        <f>IFERROR(INDEX(PP_Grid[#Data],$DE1303,22),0)</f>
        <v/>
      </c>
      <c r="Z1303">
        <f>IFERROR(INDEX(PP_Grid[#Data],$DE1303,23),0)</f>
        <v/>
      </c>
      <c r="AA1303">
        <f>IFERROR(INDEX(PP_Grid[#Data],$DE1303,24),0)</f>
        <v/>
      </c>
      <c r="AB1303">
        <f>IFERROR(INDEX(PP_Grid[#Data],$DE1303,25),0)</f>
        <v/>
      </c>
      <c r="AC1303">
        <f>IFERROR(INDEX(PP_Grid[#Data],$DE1303,26),0)</f>
        <v/>
      </c>
      <c r="AD1303">
        <f>IFERROR(INDEX(PP_Grid[#Data],$DE1303,27),0)</f>
        <v/>
      </c>
      <c r="AE1303">
        <f>IFERROR(INDEX(PP_Grid[#Data],$DE1303,28),0)</f>
        <v/>
      </c>
      <c r="AF1303">
        <f>IFERROR(INDEX(PP_Grid[#Data],$DE1303,29),0)</f>
        <v/>
      </c>
      <c r="AG1303">
        <f>IFERROR(INDEX(PP_Grid[#Data],$DE1303,30),0)</f>
        <v/>
      </c>
      <c r="AH1303">
        <f>IFERROR(INDEX(PP_Grid[#Data],$DE1303,31),0)</f>
        <v/>
      </c>
      <c r="AI1303">
        <f>IFERROR(INDEX(PP_Grid[#Data],$DE1303,32),0)</f>
        <v/>
      </c>
      <c r="AJ1303">
        <f>IFERROR(INDEX(PP_Grid[#Data],$DE1303,33),0)</f>
        <v/>
      </c>
      <c r="AK1303">
        <f>IFERROR(INDEX(PP_Grid[#Data],$DE1303,34),0)</f>
        <v/>
      </c>
      <c r="AL1303">
        <f>IFERROR(INDEX(PP_Grid[#Data],$DE1303,35),0)</f>
        <v/>
      </c>
      <c r="AM1303">
        <f>IFERROR(INDEX(PP_Grid[#Data],$DE1303,36),0)</f>
        <v/>
      </c>
      <c r="AN1303">
        <f>IFERROR(INDEX(PP_Grid[#Data],$DE1303,37),0)</f>
        <v/>
      </c>
      <c r="AO1303">
        <f>IFERROR(INDEX(PP_Grid[#Data],$DE1303,38),0)</f>
        <v/>
      </c>
      <c r="AP1303">
        <f>IFERROR(INDEX(PP_Grid[#Data],$DE1303,39),0)</f>
        <v/>
      </c>
      <c r="AQ1303">
        <f>IFERROR(INDEX(PP_Grid[#Data],$DE1303,40),0)</f>
        <v/>
      </c>
      <c r="AR1303">
        <f>IFERROR(INDEX(PP_Grid[#Data],$DE1303,41),0)</f>
        <v/>
      </c>
      <c r="AS1303">
        <f>IFERROR(INDEX(PP_Grid[#Data],$DE1303,42),0)</f>
        <v/>
      </c>
      <c r="AT1303">
        <f>IFERROR(INDEX(PP_Grid[#Data],$DE1303,43),0)</f>
        <v/>
      </c>
      <c r="AU1303">
        <f>IFERROR(INDEX(PP_Grid[#Data],$DE1303,44),0)</f>
        <v/>
      </c>
      <c r="AV1303">
        <f>IFERROR(INDEX(PP_Grid[#Data],$DE1303,45),0)</f>
        <v/>
      </c>
      <c r="AW1303">
        <f>IFERROR(INDEX(PP_Grid[#Data],$DE1303,46),0)</f>
        <v/>
      </c>
      <c r="AX1303">
        <f>IFERROR(INDEX(PP_Grid[#Data],$DE1303,47),0)</f>
        <v/>
      </c>
      <c r="AY1303">
        <f>IFERROR(INDEX(PP_Grid[#Data],$DE1303,48),0)</f>
        <v/>
      </c>
      <c r="AZ1303">
        <f>IFERROR(INDEX(PP_Grid[#Data],$DE1303,49),0)</f>
        <v/>
      </c>
      <c r="BA1303">
        <f>IFERROR(INDEX(PP_Grid[#Data],$DE1303,50),0)</f>
        <v/>
      </c>
      <c r="BB1303">
        <f>IFERROR(INDEX(PP_Grid[#Data],$DE1303,51),0)</f>
        <v/>
      </c>
      <c r="BC1303">
        <f>IFERROR(INDEX(PP_Grid[#Data],$DE1303,52),0)</f>
        <v/>
      </c>
      <c r="BD1303">
        <f>IFERROR(INDEX(PP_Grid[#Data],$DE1303,53),0)</f>
        <v/>
      </c>
      <c r="BE1303">
        <f>IFERROR(INDEX(PP_Grid[#Data],$DE1303,54),0)</f>
        <v/>
      </c>
      <c r="BF1303">
        <f>IFERROR(INDEX(PP_Grid[#Data],$DE1303,55),0)</f>
        <v/>
      </c>
      <c r="BG1303">
        <f>IFERROR(INDEX(PP_Grid[#Data],$DE1303,56),0)</f>
        <v/>
      </c>
      <c r="BH1303">
        <f>IFERROR(INDEX(PP_Grid[#Data],$DE1303,57),0)</f>
        <v/>
      </c>
      <c r="BI1303">
        <f>IFERROR(INDEX(PP_Grid[#Data],$DE1303,58),0)</f>
        <v/>
      </c>
      <c r="BJ1303">
        <f>IFERROR(INDEX(PP_Grid[#Data],$DE1303,59),0)</f>
        <v/>
      </c>
      <c r="BK1303">
        <f>IFERROR(INDEX(PP_Grid[#Data],$DE1303,60),0)</f>
        <v/>
      </c>
      <c r="BL1303">
        <f>IFERROR(INDEX(PP_Grid[#Data],$DE1303,61),0)</f>
        <v/>
      </c>
      <c r="BM1303">
        <f>IFERROR(INDEX(PP_Grid[#Data],$DE1303,62),0)</f>
        <v/>
      </c>
      <c r="BN1303">
        <f>IFERROR(INDEX(PP_Grid[#Data],$DE1303,63),0)</f>
        <v/>
      </c>
      <c r="BO1303">
        <f>IFERROR(INDEX(PP_Grid[#Data],$DE1303,64),0)</f>
        <v/>
      </c>
      <c r="BP1303">
        <f>IFERROR(INDEX(PP_Grid[#Data],$DE1303,65),0)</f>
        <v/>
      </c>
      <c r="BQ1303">
        <f>IFERROR(INDEX(PP_Grid[#Data],$DE1303,66),0)</f>
        <v/>
      </c>
      <c r="BR1303">
        <f>IFERROR(INDEX(PP_Grid[#Data],$DE1303,67),0)</f>
        <v/>
      </c>
      <c r="BS1303">
        <f>IFERROR(INDEX(PP_Grid[#Data],$DE1303,68),0)</f>
        <v/>
      </c>
      <c r="BT1303">
        <f>IFERROR(INDEX(PP_Grid[#Data],$DE1303,69),0)</f>
        <v/>
      </c>
      <c r="BU1303">
        <f>IFERROR(INDEX(PP_Grid[#Data],$DE1303,70),0)</f>
        <v/>
      </c>
      <c r="BV1303">
        <f>IFERROR(INDEX(PP_Grid[#Data],$DE1303,71),0)</f>
        <v/>
      </c>
      <c r="BW1303">
        <f>IFERROR(INDEX(PP_Grid[#Data],$DE1303,72),0)</f>
        <v/>
      </c>
      <c r="BX1303">
        <f>IFERROR(INDEX(PP_Grid[#Data],$DE1303,73),0)</f>
        <v/>
      </c>
      <c r="BY1303">
        <f>IFERROR(INDEX(PP_Grid[#Data],$DE1303,74),0)</f>
        <v/>
      </c>
      <c r="BZ1303">
        <f>IFERROR(INDEX(PP_Grid[#Data],$DE1303,75),0)</f>
        <v/>
      </c>
      <c r="CA1303">
        <f>IFERROR(INDEX(PP_Grid[#Data],$DE1303,76),0)</f>
        <v/>
      </c>
      <c r="CB1303">
        <f>IFERROR(INDEX(PP_Grid[#Data],$DE1303,77),0)</f>
        <v/>
      </c>
      <c r="CC1303">
        <f>IFERROR(INDEX(PP_Grid[#Data],$DE1303,78),0)</f>
        <v/>
      </c>
      <c r="CD1303">
        <f>IFERROR(INDEX(PP_Grid[#Data],$DE1303,79),0)</f>
        <v/>
      </c>
      <c r="CE1303">
        <f>IFERROR(INDEX(PP_Grid[#Data],$DE1303,80),0)</f>
        <v/>
      </c>
      <c r="CF1303">
        <f>IFERROR(INDEX(PP_Grid[#Data],$DE1303,81),0)</f>
        <v/>
      </c>
      <c r="CG1303">
        <f>IFERROR(INDEX(PP_Grid[#Data],$DE1303,82),0)</f>
        <v/>
      </c>
      <c r="CH1303">
        <f>IFERROR(INDEX(PP_Grid[#Data],$DE1303,83),0)</f>
        <v/>
      </c>
      <c r="CI1303">
        <f>IFERROR(INDEX(PP_Grid[#Data],$DE1303,84),0)</f>
        <v/>
      </c>
      <c r="CJ1303">
        <f>IFERROR(INDEX(PP_Grid[#Data],$DE1303,85),0)</f>
        <v/>
      </c>
      <c r="CK1303">
        <f>IFERROR(INDEX(PP_Grid[#Data],$DE1303,86),0)</f>
        <v/>
      </c>
      <c r="CL1303">
        <f>IFERROR(INDEX(PP_Grid[#Data],$DE1303,87),0)</f>
        <v/>
      </c>
      <c r="CM1303">
        <f>IFERROR(INDEX(PP_Grid[#Data],$DE1303,88),0)</f>
        <v/>
      </c>
      <c r="CN1303">
        <f>IFERROR(INDEX(PP_Grid[#Data],$DE1303,89),0)</f>
        <v/>
      </c>
      <c r="CO1303">
        <f>IFERROR(INDEX(PP_Grid[#Data],$DE1303,90),0)</f>
        <v/>
      </c>
      <c r="CP1303">
        <f>IFERROR(INDEX(PP_Grid[#Data],$DE1303,91),0)</f>
        <v/>
      </c>
      <c r="CQ1303">
        <f>IFERROR(INDEX(PP_Grid[#Data],$DE1303,92),0)</f>
        <v/>
      </c>
      <c r="CR1303">
        <f>IFERROR(INDEX(PP_Grid[#Data],$DE1303,93),0)</f>
        <v/>
      </c>
      <c r="CS1303">
        <f>IFERROR(INDEX(PP_Grid[#Data],$DE1303,94),0)</f>
        <v/>
      </c>
      <c r="CT1303">
        <f>IFERROR(INDEX(PP_Grid[#Data],$DE1303,95),0)</f>
        <v/>
      </c>
      <c r="CU1303">
        <f>IFERROR(INDEX(PP_Grid[#Data],$DE1303,96),0)</f>
        <v/>
      </c>
      <c r="CV1303">
        <f>IFERROR(INDEX(PP_Grid[#Data],$DE1303,97),0)</f>
        <v/>
      </c>
      <c r="CW1303">
        <f>IFERROR(INDEX(PP_Grid[#Data],$DE1303,98),0)</f>
        <v/>
      </c>
      <c r="CX1303">
        <f>IFERROR(INDEX(PP_Grid[#Data],$DE1303,99),0)</f>
        <v/>
      </c>
      <c r="CY1303">
        <f>IFERROR(INDEX(PP_Grid[#Data],$DE1303,100),0)</f>
        <v/>
      </c>
      <c r="CZ1303">
        <f>IFERROR(INDEX(PP_Grid[#Data],$DE1303,101),0)</f>
        <v/>
      </c>
      <c r="DA1303">
        <f>IFERROR(INDEX(PP_Grid[#Data],$DE1303,102),0)</f>
        <v/>
      </c>
      <c r="DB1303">
        <f>IFERROR(INDEX(PP_Grid[#Data],$DE1303,103),0)</f>
        <v/>
      </c>
      <c r="DC1303">
        <f>IFERROR(INDEX(PP_Grid[#Data],$DE1303,104),0)</f>
        <v/>
      </c>
      <c r="DD1303">
        <f>IFERROR(INDEX(PP_Grid[#Data],$DE1303,105),0)</f>
        <v/>
      </c>
      <c r="DE1303" s="7">
        <f>IFERROR(MATCH($B1303,PP_Grid[Intermediate],0),99999)</f>
        <v/>
      </c>
    </row>
    <row r="1304">
      <c r="B1304" t="inlineStr">
        <is>
          <t>使用量(kg)</t>
        </is>
      </c>
      <c r="C1304">
        <f>SUMIFS(M_BOM[RM_Qty_Per_Batch],M_BOM[Intermediate],$B1303,M_BOM[RM_Code],$A1298)</f>
        <v/>
      </c>
      <c r="D1304">
        <f>IFERROR(INDEX(E1304:DD1304,$F$1),"")</f>
        <v/>
      </c>
      <c r="E1304">
        <f>$C1304*E1303</f>
        <v/>
      </c>
      <c r="F1304">
        <f>$C1304*F1303</f>
        <v/>
      </c>
      <c r="G1304">
        <f>$C1304*G1303</f>
        <v/>
      </c>
      <c r="H1304">
        <f>$C1304*H1303</f>
        <v/>
      </c>
      <c r="I1304">
        <f>$C1304*I1303</f>
        <v/>
      </c>
      <c r="J1304">
        <f>$C1304*J1303</f>
        <v/>
      </c>
      <c r="K1304">
        <f>$C1304*K1303</f>
        <v/>
      </c>
      <c r="L1304">
        <f>$C1304*L1303</f>
        <v/>
      </c>
      <c r="M1304">
        <f>$C1304*M1303</f>
        <v/>
      </c>
      <c r="N1304">
        <f>$C1304*N1303</f>
        <v/>
      </c>
      <c r="O1304">
        <f>$C1304*O1303</f>
        <v/>
      </c>
      <c r="P1304">
        <f>$C1304*P1303</f>
        <v/>
      </c>
      <c r="Q1304">
        <f>$C1304*Q1303</f>
        <v/>
      </c>
      <c r="R1304">
        <f>$C1304*R1303</f>
        <v/>
      </c>
      <c r="S1304">
        <f>$C1304*S1303</f>
        <v/>
      </c>
      <c r="T1304">
        <f>$C1304*T1303</f>
        <v/>
      </c>
      <c r="U1304">
        <f>$C1304*U1303</f>
        <v/>
      </c>
      <c r="V1304">
        <f>$C1304*V1303</f>
        <v/>
      </c>
      <c r="W1304">
        <f>$C1304*W1303</f>
        <v/>
      </c>
      <c r="X1304">
        <f>$C1304*X1303</f>
        <v/>
      </c>
      <c r="Y1304">
        <f>$C1304*Y1303</f>
        <v/>
      </c>
      <c r="Z1304">
        <f>$C1304*Z1303</f>
        <v/>
      </c>
      <c r="AA1304">
        <f>$C1304*AA1303</f>
        <v/>
      </c>
      <c r="AB1304">
        <f>$C1304*AB1303</f>
        <v/>
      </c>
      <c r="AC1304">
        <f>$C1304*AC1303</f>
        <v/>
      </c>
      <c r="AD1304">
        <f>$C1304*AD1303</f>
        <v/>
      </c>
      <c r="AE1304">
        <f>$C1304*AE1303</f>
        <v/>
      </c>
      <c r="AF1304">
        <f>$C1304*AF1303</f>
        <v/>
      </c>
      <c r="AG1304">
        <f>$C1304*AG1303</f>
        <v/>
      </c>
      <c r="AH1304">
        <f>$C1304*AH1303</f>
        <v/>
      </c>
      <c r="AI1304">
        <f>$C1304*AI1303</f>
        <v/>
      </c>
      <c r="AJ1304">
        <f>$C1304*AJ1303</f>
        <v/>
      </c>
      <c r="AK1304">
        <f>$C1304*AK1303</f>
        <v/>
      </c>
      <c r="AL1304">
        <f>$C1304*AL1303</f>
        <v/>
      </c>
      <c r="AM1304">
        <f>$C1304*AM1303</f>
        <v/>
      </c>
      <c r="AN1304">
        <f>$C1304*AN1303</f>
        <v/>
      </c>
      <c r="AO1304">
        <f>$C1304*AO1303</f>
        <v/>
      </c>
      <c r="AP1304">
        <f>$C1304*AP1303</f>
        <v/>
      </c>
      <c r="AQ1304">
        <f>$C1304*AQ1303</f>
        <v/>
      </c>
      <c r="AR1304">
        <f>$C1304*AR1303</f>
        <v/>
      </c>
      <c r="AS1304">
        <f>$C1304*AS1303</f>
        <v/>
      </c>
      <c r="AT1304">
        <f>$C1304*AT1303</f>
        <v/>
      </c>
      <c r="AU1304">
        <f>$C1304*AU1303</f>
        <v/>
      </c>
      <c r="AV1304">
        <f>$C1304*AV1303</f>
        <v/>
      </c>
      <c r="AW1304">
        <f>$C1304*AW1303</f>
        <v/>
      </c>
      <c r="AX1304">
        <f>$C1304*AX1303</f>
        <v/>
      </c>
      <c r="AY1304">
        <f>$C1304*AY1303</f>
        <v/>
      </c>
      <c r="AZ1304">
        <f>$C1304*AZ1303</f>
        <v/>
      </c>
      <c r="BA1304">
        <f>$C1304*BA1303</f>
        <v/>
      </c>
      <c r="BB1304">
        <f>$C1304*BB1303</f>
        <v/>
      </c>
      <c r="BC1304">
        <f>$C1304*BC1303</f>
        <v/>
      </c>
      <c r="BD1304">
        <f>$C1304*BD1303</f>
        <v/>
      </c>
      <c r="BE1304">
        <f>$C1304*BE1303</f>
        <v/>
      </c>
      <c r="BF1304">
        <f>$C1304*BF1303</f>
        <v/>
      </c>
      <c r="BG1304">
        <f>$C1304*BG1303</f>
        <v/>
      </c>
      <c r="BH1304">
        <f>$C1304*BH1303</f>
        <v/>
      </c>
      <c r="BI1304">
        <f>$C1304*BI1303</f>
        <v/>
      </c>
      <c r="BJ1304">
        <f>$C1304*BJ1303</f>
        <v/>
      </c>
      <c r="BK1304">
        <f>$C1304*BK1303</f>
        <v/>
      </c>
      <c r="BL1304">
        <f>$C1304*BL1303</f>
        <v/>
      </c>
      <c r="BM1304">
        <f>$C1304*BM1303</f>
        <v/>
      </c>
      <c r="BN1304">
        <f>$C1304*BN1303</f>
        <v/>
      </c>
      <c r="BO1304">
        <f>$C1304*BO1303</f>
        <v/>
      </c>
      <c r="BP1304">
        <f>$C1304*BP1303</f>
        <v/>
      </c>
      <c r="BQ1304">
        <f>$C1304*BQ1303</f>
        <v/>
      </c>
      <c r="BR1304">
        <f>$C1304*BR1303</f>
        <v/>
      </c>
      <c r="BS1304">
        <f>$C1304*BS1303</f>
        <v/>
      </c>
      <c r="BT1304">
        <f>$C1304*BT1303</f>
        <v/>
      </c>
      <c r="BU1304">
        <f>$C1304*BU1303</f>
        <v/>
      </c>
      <c r="BV1304">
        <f>$C1304*BV1303</f>
        <v/>
      </c>
      <c r="BW1304">
        <f>$C1304*BW1303</f>
        <v/>
      </c>
      <c r="BX1304">
        <f>$C1304*BX1303</f>
        <v/>
      </c>
      <c r="BY1304">
        <f>$C1304*BY1303</f>
        <v/>
      </c>
      <c r="BZ1304">
        <f>$C1304*BZ1303</f>
        <v/>
      </c>
      <c r="CA1304">
        <f>$C1304*CA1303</f>
        <v/>
      </c>
      <c r="CB1304">
        <f>$C1304*CB1303</f>
        <v/>
      </c>
      <c r="CC1304">
        <f>$C1304*CC1303</f>
        <v/>
      </c>
      <c r="CD1304">
        <f>$C1304*CD1303</f>
        <v/>
      </c>
      <c r="CE1304">
        <f>$C1304*CE1303</f>
        <v/>
      </c>
      <c r="CF1304">
        <f>$C1304*CF1303</f>
        <v/>
      </c>
      <c r="CG1304">
        <f>$C1304*CG1303</f>
        <v/>
      </c>
      <c r="CH1304">
        <f>$C1304*CH1303</f>
        <v/>
      </c>
      <c r="CI1304">
        <f>$C1304*CI1303</f>
        <v/>
      </c>
      <c r="CJ1304">
        <f>$C1304*CJ1303</f>
        <v/>
      </c>
      <c r="CK1304">
        <f>$C1304*CK1303</f>
        <v/>
      </c>
      <c r="CL1304">
        <f>$C1304*CL1303</f>
        <v/>
      </c>
      <c r="CM1304">
        <f>$C1304*CM1303</f>
        <v/>
      </c>
      <c r="CN1304">
        <f>$C1304*CN1303</f>
        <v/>
      </c>
      <c r="CO1304">
        <f>$C1304*CO1303</f>
        <v/>
      </c>
      <c r="CP1304">
        <f>$C1304*CP1303</f>
        <v/>
      </c>
      <c r="CQ1304">
        <f>$C1304*CQ1303</f>
        <v/>
      </c>
      <c r="CR1304">
        <f>$C1304*CR1303</f>
        <v/>
      </c>
      <c r="CS1304">
        <f>$C1304*CS1303</f>
        <v/>
      </c>
      <c r="CT1304">
        <f>$C1304*CT1303</f>
        <v/>
      </c>
      <c r="CU1304">
        <f>$C1304*CU1303</f>
        <v/>
      </c>
      <c r="CV1304">
        <f>$C1304*CV1303</f>
        <v/>
      </c>
      <c r="CW1304">
        <f>$C1304*CW1303</f>
        <v/>
      </c>
      <c r="CX1304">
        <f>$C1304*CX1303</f>
        <v/>
      </c>
      <c r="CY1304">
        <f>$C1304*CY1303</f>
        <v/>
      </c>
      <c r="CZ1304">
        <f>$C1304*CZ1303</f>
        <v/>
      </c>
      <c r="DA1304">
        <f>$C1304*DA1303</f>
        <v/>
      </c>
      <c r="DB1304">
        <f>$C1304*DB1303</f>
        <v/>
      </c>
      <c r="DC1304">
        <f>$C1304*DC1303</f>
        <v/>
      </c>
      <c r="DD1304">
        <f>$C1304*DD1303</f>
        <v/>
      </c>
    </row>
    <row r="1305">
      <c r="B1305" s="4" t="inlineStr">
        <is>
          <t>合計使用量(kg)/週</t>
        </is>
      </c>
      <c r="D1305" s="23">
        <f>IFERROR(INDEX(E1305:DD1305,$F$1),"")</f>
        <v/>
      </c>
      <c r="E1305">
        <f>'Grid_Requirement'!B8</f>
        <v/>
      </c>
      <c r="F1305">
        <f>'Grid_Requirement'!C8</f>
        <v/>
      </c>
      <c r="G1305">
        <f>'Grid_Requirement'!D8</f>
        <v/>
      </c>
      <c r="H1305">
        <f>'Grid_Requirement'!E8</f>
        <v/>
      </c>
      <c r="I1305">
        <f>'Grid_Requirement'!F8</f>
        <v/>
      </c>
      <c r="J1305">
        <f>'Grid_Requirement'!G8</f>
        <v/>
      </c>
      <c r="K1305">
        <f>'Grid_Requirement'!H8</f>
        <v/>
      </c>
      <c r="L1305">
        <f>'Grid_Requirement'!I8</f>
        <v/>
      </c>
      <c r="M1305">
        <f>'Grid_Requirement'!J8</f>
        <v/>
      </c>
      <c r="N1305">
        <f>'Grid_Requirement'!K8</f>
        <v/>
      </c>
      <c r="O1305">
        <f>'Grid_Requirement'!L8</f>
        <v/>
      </c>
      <c r="P1305">
        <f>'Grid_Requirement'!M8</f>
        <v/>
      </c>
      <c r="Q1305">
        <f>'Grid_Requirement'!N8</f>
        <v/>
      </c>
      <c r="R1305">
        <f>'Grid_Requirement'!O8</f>
        <v/>
      </c>
      <c r="S1305">
        <f>'Grid_Requirement'!P8</f>
        <v/>
      </c>
      <c r="T1305">
        <f>'Grid_Requirement'!Q8</f>
        <v/>
      </c>
      <c r="U1305">
        <f>'Grid_Requirement'!R8</f>
        <v/>
      </c>
      <c r="V1305">
        <f>'Grid_Requirement'!S8</f>
        <v/>
      </c>
      <c r="W1305">
        <f>'Grid_Requirement'!T8</f>
        <v/>
      </c>
      <c r="X1305">
        <f>'Grid_Requirement'!U8</f>
        <v/>
      </c>
      <c r="Y1305">
        <f>'Grid_Requirement'!V8</f>
        <v/>
      </c>
      <c r="Z1305">
        <f>'Grid_Requirement'!W8</f>
        <v/>
      </c>
      <c r="AA1305">
        <f>'Grid_Requirement'!X8</f>
        <v/>
      </c>
      <c r="AB1305">
        <f>'Grid_Requirement'!Y8</f>
        <v/>
      </c>
      <c r="AC1305">
        <f>'Grid_Requirement'!Z8</f>
        <v/>
      </c>
      <c r="AD1305">
        <f>'Grid_Requirement'!AA8</f>
        <v/>
      </c>
      <c r="AE1305">
        <f>'Grid_Requirement'!AB8</f>
        <v/>
      </c>
      <c r="AF1305">
        <f>'Grid_Requirement'!AC8</f>
        <v/>
      </c>
      <c r="AG1305">
        <f>'Grid_Requirement'!AD8</f>
        <v/>
      </c>
      <c r="AH1305">
        <f>'Grid_Requirement'!AE8</f>
        <v/>
      </c>
      <c r="AI1305">
        <f>'Grid_Requirement'!AF8</f>
        <v/>
      </c>
      <c r="AJ1305">
        <f>'Grid_Requirement'!AG8</f>
        <v/>
      </c>
      <c r="AK1305">
        <f>'Grid_Requirement'!AH8</f>
        <v/>
      </c>
      <c r="AL1305">
        <f>'Grid_Requirement'!AI8</f>
        <v/>
      </c>
      <c r="AM1305">
        <f>'Grid_Requirement'!AJ8</f>
        <v/>
      </c>
      <c r="AN1305">
        <f>'Grid_Requirement'!AK8</f>
        <v/>
      </c>
      <c r="AO1305">
        <f>'Grid_Requirement'!AL8</f>
        <v/>
      </c>
      <c r="AP1305">
        <f>'Grid_Requirement'!AM8</f>
        <v/>
      </c>
      <c r="AQ1305">
        <f>'Grid_Requirement'!AN8</f>
        <v/>
      </c>
      <c r="AR1305">
        <f>'Grid_Requirement'!AO8</f>
        <v/>
      </c>
      <c r="AS1305">
        <f>'Grid_Requirement'!AP8</f>
        <v/>
      </c>
      <c r="AT1305">
        <f>'Grid_Requirement'!AQ8</f>
        <v/>
      </c>
      <c r="AU1305">
        <f>'Grid_Requirement'!AR8</f>
        <v/>
      </c>
      <c r="AV1305">
        <f>'Grid_Requirement'!AS8</f>
        <v/>
      </c>
      <c r="AW1305">
        <f>'Grid_Requirement'!AT8</f>
        <v/>
      </c>
      <c r="AX1305">
        <f>'Grid_Requirement'!AU8</f>
        <v/>
      </c>
      <c r="AY1305">
        <f>'Grid_Requirement'!AV8</f>
        <v/>
      </c>
      <c r="AZ1305">
        <f>'Grid_Requirement'!AW8</f>
        <v/>
      </c>
      <c r="BA1305">
        <f>'Grid_Requirement'!AX8</f>
        <v/>
      </c>
      <c r="BB1305">
        <f>'Grid_Requirement'!AY8</f>
        <v/>
      </c>
      <c r="BC1305">
        <f>'Grid_Requirement'!AZ8</f>
        <v/>
      </c>
      <c r="BD1305">
        <f>'Grid_Requirement'!BA8</f>
        <v/>
      </c>
      <c r="BE1305">
        <f>'Grid_Requirement'!BB8</f>
        <v/>
      </c>
      <c r="BF1305">
        <f>'Grid_Requirement'!BC8</f>
        <v/>
      </c>
      <c r="BG1305">
        <f>'Grid_Requirement'!BD8</f>
        <v/>
      </c>
      <c r="BH1305">
        <f>'Grid_Requirement'!BE8</f>
        <v/>
      </c>
      <c r="BI1305">
        <f>'Grid_Requirement'!BF8</f>
        <v/>
      </c>
      <c r="BJ1305">
        <f>'Grid_Requirement'!BG8</f>
        <v/>
      </c>
      <c r="BK1305">
        <f>'Grid_Requirement'!BH8</f>
        <v/>
      </c>
      <c r="BL1305">
        <f>'Grid_Requirement'!BI8</f>
        <v/>
      </c>
      <c r="BM1305">
        <f>'Grid_Requirement'!BJ8</f>
        <v/>
      </c>
      <c r="BN1305">
        <f>'Grid_Requirement'!BK8</f>
        <v/>
      </c>
      <c r="BO1305">
        <f>'Grid_Requirement'!BL8</f>
        <v/>
      </c>
      <c r="BP1305">
        <f>'Grid_Requirement'!BM8</f>
        <v/>
      </c>
      <c r="BQ1305">
        <f>'Grid_Requirement'!BN8</f>
        <v/>
      </c>
      <c r="BR1305">
        <f>'Grid_Requirement'!BO8</f>
        <v/>
      </c>
      <c r="BS1305">
        <f>'Grid_Requirement'!BP8</f>
        <v/>
      </c>
      <c r="BT1305">
        <f>'Grid_Requirement'!BQ8</f>
        <v/>
      </c>
      <c r="BU1305">
        <f>'Grid_Requirement'!BR8</f>
        <v/>
      </c>
      <c r="BV1305">
        <f>'Grid_Requirement'!BS8</f>
        <v/>
      </c>
      <c r="BW1305">
        <f>'Grid_Requirement'!BT8</f>
        <v/>
      </c>
      <c r="BX1305">
        <f>'Grid_Requirement'!BU8</f>
        <v/>
      </c>
      <c r="BY1305">
        <f>'Grid_Requirement'!BV8</f>
        <v/>
      </c>
      <c r="BZ1305">
        <f>'Grid_Requirement'!BW8</f>
        <v/>
      </c>
      <c r="CA1305">
        <f>'Grid_Requirement'!BX8</f>
        <v/>
      </c>
      <c r="CB1305">
        <f>'Grid_Requirement'!BY8</f>
        <v/>
      </c>
      <c r="CC1305">
        <f>'Grid_Requirement'!BZ8</f>
        <v/>
      </c>
      <c r="CD1305">
        <f>'Grid_Requirement'!CA8</f>
        <v/>
      </c>
      <c r="CE1305">
        <f>'Grid_Requirement'!CB8</f>
        <v/>
      </c>
      <c r="CF1305">
        <f>'Grid_Requirement'!CC8</f>
        <v/>
      </c>
      <c r="CG1305">
        <f>'Grid_Requirement'!CD8</f>
        <v/>
      </c>
      <c r="CH1305">
        <f>'Grid_Requirement'!CE8</f>
        <v/>
      </c>
      <c r="CI1305">
        <f>'Grid_Requirement'!CF8</f>
        <v/>
      </c>
      <c r="CJ1305">
        <f>'Grid_Requirement'!CG8</f>
        <v/>
      </c>
      <c r="CK1305">
        <f>'Grid_Requirement'!CH8</f>
        <v/>
      </c>
      <c r="CL1305">
        <f>'Grid_Requirement'!CI8</f>
        <v/>
      </c>
      <c r="CM1305">
        <f>'Grid_Requirement'!CJ8</f>
        <v/>
      </c>
      <c r="CN1305">
        <f>'Grid_Requirement'!CK8</f>
        <v/>
      </c>
      <c r="CO1305">
        <f>'Grid_Requirement'!CL8</f>
        <v/>
      </c>
      <c r="CP1305">
        <f>'Grid_Requirement'!CM8</f>
        <v/>
      </c>
      <c r="CQ1305">
        <f>'Grid_Requirement'!CN8</f>
        <v/>
      </c>
      <c r="CR1305">
        <f>'Grid_Requirement'!CO8</f>
        <v/>
      </c>
      <c r="CS1305">
        <f>'Grid_Requirement'!CP8</f>
        <v/>
      </c>
      <c r="CT1305">
        <f>'Grid_Requirement'!CQ8</f>
        <v/>
      </c>
      <c r="CU1305">
        <f>'Grid_Requirement'!CR8</f>
        <v/>
      </c>
      <c r="CV1305">
        <f>'Grid_Requirement'!CS8</f>
        <v/>
      </c>
      <c r="CW1305">
        <f>'Grid_Requirement'!CT8</f>
        <v/>
      </c>
      <c r="CX1305">
        <f>'Grid_Requirement'!CU8</f>
        <v/>
      </c>
      <c r="CY1305">
        <f>'Grid_Requirement'!CV8</f>
        <v/>
      </c>
      <c r="CZ1305">
        <f>'Grid_Requirement'!CW8</f>
        <v/>
      </c>
      <c r="DA1305">
        <f>'Grid_Requirement'!CX8</f>
        <v/>
      </c>
      <c r="DB1305">
        <f>'Grid_Requirement'!CY8</f>
        <v/>
      </c>
      <c r="DC1305">
        <f>'Grid_Requirement'!CZ8</f>
        <v/>
      </c>
      <c r="DD1305">
        <f>'Grid_Requirement'!DA8</f>
        <v/>
      </c>
    </row>
    <row r="1306">
      <c r="B1306" t="inlineStr">
        <is>
          <t>TTAF在庫(実績,kg)</t>
        </is>
      </c>
      <c r="D1306">
        <f>IFERROR(INDEX(E1306:DD1306,$F$1),"")</f>
        <v/>
      </c>
      <c r="E1306">
        <f>IFERROR(SUMIFS(T_TTAFStock[TTAF_Qty],T_TTAFStock[RM_Code],$A1298,T_TTAFStock[WeekIndex],1),"")</f>
        <v/>
      </c>
      <c r="F1306">
        <f>IFERROR(SUMIFS(T_TTAFStock[TTAF_Qty],T_TTAFStock[RM_Code],$A1298,T_TTAFStock[WeekIndex],2),"")</f>
        <v/>
      </c>
      <c r="G1306">
        <f>IFERROR(SUMIFS(T_TTAFStock[TTAF_Qty],T_TTAFStock[RM_Code],$A1298,T_TTAFStock[WeekIndex],3),"")</f>
        <v/>
      </c>
      <c r="H1306">
        <f>IFERROR(SUMIFS(T_TTAFStock[TTAF_Qty],T_TTAFStock[RM_Code],$A1298,T_TTAFStock[WeekIndex],4),"")</f>
        <v/>
      </c>
      <c r="I1306">
        <f>IFERROR(SUMIFS(T_TTAFStock[TTAF_Qty],T_TTAFStock[RM_Code],$A1298,T_TTAFStock[WeekIndex],5),"")</f>
        <v/>
      </c>
      <c r="J1306">
        <f>IFERROR(SUMIFS(T_TTAFStock[TTAF_Qty],T_TTAFStock[RM_Code],$A1298,T_TTAFStock[WeekIndex],6),"")</f>
        <v/>
      </c>
      <c r="K1306">
        <f>IFERROR(SUMIFS(T_TTAFStock[TTAF_Qty],T_TTAFStock[RM_Code],$A1298,T_TTAFStock[WeekIndex],7),"")</f>
        <v/>
      </c>
      <c r="L1306">
        <f>IFERROR(SUMIFS(T_TTAFStock[TTAF_Qty],T_TTAFStock[RM_Code],$A1298,T_TTAFStock[WeekIndex],8),"")</f>
        <v/>
      </c>
      <c r="M1306">
        <f>IFERROR(SUMIFS(T_TTAFStock[TTAF_Qty],T_TTAFStock[RM_Code],$A1298,T_TTAFStock[WeekIndex],9),"")</f>
        <v/>
      </c>
      <c r="N1306">
        <f>IFERROR(SUMIFS(T_TTAFStock[TTAF_Qty],T_TTAFStock[RM_Code],$A1298,T_TTAFStock[WeekIndex],10),"")</f>
        <v/>
      </c>
      <c r="O1306">
        <f>IFERROR(SUMIFS(T_TTAFStock[TTAF_Qty],T_TTAFStock[RM_Code],$A1298,T_TTAFStock[WeekIndex],11),"")</f>
        <v/>
      </c>
      <c r="P1306">
        <f>IFERROR(SUMIFS(T_TTAFStock[TTAF_Qty],T_TTAFStock[RM_Code],$A1298,T_TTAFStock[WeekIndex],12),"")</f>
        <v/>
      </c>
      <c r="Q1306">
        <f>IFERROR(SUMIFS(T_TTAFStock[TTAF_Qty],T_TTAFStock[RM_Code],$A1298,T_TTAFStock[WeekIndex],13),"")</f>
        <v/>
      </c>
      <c r="R1306">
        <f>IFERROR(SUMIFS(T_TTAFStock[TTAF_Qty],T_TTAFStock[RM_Code],$A1298,T_TTAFStock[WeekIndex],14),"")</f>
        <v/>
      </c>
      <c r="S1306">
        <f>IFERROR(SUMIFS(T_TTAFStock[TTAF_Qty],T_TTAFStock[RM_Code],$A1298,T_TTAFStock[WeekIndex],15),"")</f>
        <v/>
      </c>
      <c r="T1306">
        <f>IFERROR(SUMIFS(T_TTAFStock[TTAF_Qty],T_TTAFStock[RM_Code],$A1298,T_TTAFStock[WeekIndex],16),"")</f>
        <v/>
      </c>
      <c r="U1306">
        <f>IFERROR(SUMIFS(T_TTAFStock[TTAF_Qty],T_TTAFStock[RM_Code],$A1298,T_TTAFStock[WeekIndex],17),"")</f>
        <v/>
      </c>
      <c r="V1306">
        <f>IFERROR(SUMIFS(T_TTAFStock[TTAF_Qty],T_TTAFStock[RM_Code],$A1298,T_TTAFStock[WeekIndex],18),"")</f>
        <v/>
      </c>
      <c r="W1306">
        <f>IFERROR(SUMIFS(T_TTAFStock[TTAF_Qty],T_TTAFStock[RM_Code],$A1298,T_TTAFStock[WeekIndex],19),"")</f>
        <v/>
      </c>
      <c r="X1306">
        <f>IFERROR(SUMIFS(T_TTAFStock[TTAF_Qty],T_TTAFStock[RM_Code],$A1298,T_TTAFStock[WeekIndex],20),"")</f>
        <v/>
      </c>
      <c r="Y1306">
        <f>IFERROR(SUMIFS(T_TTAFStock[TTAF_Qty],T_TTAFStock[RM_Code],$A1298,T_TTAFStock[WeekIndex],21),"")</f>
        <v/>
      </c>
      <c r="Z1306">
        <f>IFERROR(SUMIFS(T_TTAFStock[TTAF_Qty],T_TTAFStock[RM_Code],$A1298,T_TTAFStock[WeekIndex],22),"")</f>
        <v/>
      </c>
      <c r="AA1306">
        <f>IFERROR(SUMIFS(T_TTAFStock[TTAF_Qty],T_TTAFStock[RM_Code],$A1298,T_TTAFStock[WeekIndex],23),"")</f>
        <v/>
      </c>
      <c r="AB1306">
        <f>IFERROR(SUMIFS(T_TTAFStock[TTAF_Qty],T_TTAFStock[RM_Code],$A1298,T_TTAFStock[WeekIndex],24),"")</f>
        <v/>
      </c>
      <c r="AC1306">
        <f>IFERROR(SUMIFS(T_TTAFStock[TTAF_Qty],T_TTAFStock[RM_Code],$A1298,T_TTAFStock[WeekIndex],25),"")</f>
        <v/>
      </c>
      <c r="AD1306">
        <f>IFERROR(SUMIFS(T_TTAFStock[TTAF_Qty],T_TTAFStock[RM_Code],$A1298,T_TTAFStock[WeekIndex],26),"")</f>
        <v/>
      </c>
      <c r="AE1306">
        <f>IFERROR(SUMIFS(T_TTAFStock[TTAF_Qty],T_TTAFStock[RM_Code],$A1298,T_TTAFStock[WeekIndex],27),"")</f>
        <v/>
      </c>
      <c r="AF1306">
        <f>IFERROR(SUMIFS(T_TTAFStock[TTAF_Qty],T_TTAFStock[RM_Code],$A1298,T_TTAFStock[WeekIndex],28),"")</f>
        <v/>
      </c>
      <c r="AG1306">
        <f>IFERROR(SUMIFS(T_TTAFStock[TTAF_Qty],T_TTAFStock[RM_Code],$A1298,T_TTAFStock[WeekIndex],29),"")</f>
        <v/>
      </c>
      <c r="AH1306">
        <f>IFERROR(SUMIFS(T_TTAFStock[TTAF_Qty],T_TTAFStock[RM_Code],$A1298,T_TTAFStock[WeekIndex],30),"")</f>
        <v/>
      </c>
      <c r="AI1306">
        <f>IFERROR(SUMIFS(T_TTAFStock[TTAF_Qty],T_TTAFStock[RM_Code],$A1298,T_TTAFStock[WeekIndex],31),"")</f>
        <v/>
      </c>
      <c r="AJ1306">
        <f>IFERROR(SUMIFS(T_TTAFStock[TTAF_Qty],T_TTAFStock[RM_Code],$A1298,T_TTAFStock[WeekIndex],32),"")</f>
        <v/>
      </c>
      <c r="AK1306">
        <f>IFERROR(SUMIFS(T_TTAFStock[TTAF_Qty],T_TTAFStock[RM_Code],$A1298,T_TTAFStock[WeekIndex],33),"")</f>
        <v/>
      </c>
      <c r="AL1306">
        <f>IFERROR(SUMIFS(T_TTAFStock[TTAF_Qty],T_TTAFStock[RM_Code],$A1298,T_TTAFStock[WeekIndex],34),"")</f>
        <v/>
      </c>
      <c r="AM1306">
        <f>IFERROR(SUMIFS(T_TTAFStock[TTAF_Qty],T_TTAFStock[RM_Code],$A1298,T_TTAFStock[WeekIndex],35),"")</f>
        <v/>
      </c>
      <c r="AN1306">
        <f>IFERROR(SUMIFS(T_TTAFStock[TTAF_Qty],T_TTAFStock[RM_Code],$A1298,T_TTAFStock[WeekIndex],36),"")</f>
        <v/>
      </c>
      <c r="AO1306">
        <f>IFERROR(SUMIFS(T_TTAFStock[TTAF_Qty],T_TTAFStock[RM_Code],$A1298,T_TTAFStock[WeekIndex],37),"")</f>
        <v/>
      </c>
      <c r="AP1306">
        <f>IFERROR(SUMIFS(T_TTAFStock[TTAF_Qty],T_TTAFStock[RM_Code],$A1298,T_TTAFStock[WeekIndex],38),"")</f>
        <v/>
      </c>
      <c r="AQ1306">
        <f>IFERROR(SUMIFS(T_TTAFStock[TTAF_Qty],T_TTAFStock[RM_Code],$A1298,T_TTAFStock[WeekIndex],39),"")</f>
        <v/>
      </c>
      <c r="AR1306">
        <f>IFERROR(SUMIFS(T_TTAFStock[TTAF_Qty],T_TTAFStock[RM_Code],$A1298,T_TTAFStock[WeekIndex],40),"")</f>
        <v/>
      </c>
      <c r="AS1306">
        <f>IFERROR(SUMIFS(T_TTAFStock[TTAF_Qty],T_TTAFStock[RM_Code],$A1298,T_TTAFStock[WeekIndex],41),"")</f>
        <v/>
      </c>
      <c r="AT1306">
        <f>IFERROR(SUMIFS(T_TTAFStock[TTAF_Qty],T_TTAFStock[RM_Code],$A1298,T_TTAFStock[WeekIndex],42),"")</f>
        <v/>
      </c>
      <c r="AU1306">
        <f>IFERROR(SUMIFS(T_TTAFStock[TTAF_Qty],T_TTAFStock[RM_Code],$A1298,T_TTAFStock[WeekIndex],43),"")</f>
        <v/>
      </c>
      <c r="AV1306">
        <f>IFERROR(SUMIFS(T_TTAFStock[TTAF_Qty],T_TTAFStock[RM_Code],$A1298,T_TTAFStock[WeekIndex],44),"")</f>
        <v/>
      </c>
      <c r="AW1306">
        <f>IFERROR(SUMIFS(T_TTAFStock[TTAF_Qty],T_TTAFStock[RM_Code],$A1298,T_TTAFStock[WeekIndex],45),"")</f>
        <v/>
      </c>
      <c r="AX1306">
        <f>IFERROR(SUMIFS(T_TTAFStock[TTAF_Qty],T_TTAFStock[RM_Code],$A1298,T_TTAFStock[WeekIndex],46),"")</f>
        <v/>
      </c>
      <c r="AY1306">
        <f>IFERROR(SUMIFS(T_TTAFStock[TTAF_Qty],T_TTAFStock[RM_Code],$A1298,T_TTAFStock[WeekIndex],47),"")</f>
        <v/>
      </c>
      <c r="AZ1306">
        <f>IFERROR(SUMIFS(T_TTAFStock[TTAF_Qty],T_TTAFStock[RM_Code],$A1298,T_TTAFStock[WeekIndex],48),"")</f>
        <v/>
      </c>
      <c r="BA1306">
        <f>IFERROR(SUMIFS(T_TTAFStock[TTAF_Qty],T_TTAFStock[RM_Code],$A1298,T_TTAFStock[WeekIndex],49),"")</f>
        <v/>
      </c>
      <c r="BB1306">
        <f>IFERROR(SUMIFS(T_TTAFStock[TTAF_Qty],T_TTAFStock[RM_Code],$A1298,T_TTAFStock[WeekIndex],50),"")</f>
        <v/>
      </c>
      <c r="BC1306">
        <f>IFERROR(SUMIFS(T_TTAFStock[TTAF_Qty],T_TTAFStock[RM_Code],$A1298,T_TTAFStock[WeekIndex],51),"")</f>
        <v/>
      </c>
      <c r="BD1306">
        <f>IFERROR(SUMIFS(T_TTAFStock[TTAF_Qty],T_TTAFStock[RM_Code],$A1298,T_TTAFStock[WeekIndex],52),"")</f>
        <v/>
      </c>
      <c r="BE1306">
        <f>IFERROR(SUMIFS(T_TTAFStock[TTAF_Qty],T_TTAFStock[RM_Code],$A1298,T_TTAFStock[WeekIndex],53),"")</f>
        <v/>
      </c>
      <c r="BF1306">
        <f>IFERROR(SUMIFS(T_TTAFStock[TTAF_Qty],T_TTAFStock[RM_Code],$A1298,T_TTAFStock[WeekIndex],54),"")</f>
        <v/>
      </c>
      <c r="BG1306">
        <f>IFERROR(SUMIFS(T_TTAFStock[TTAF_Qty],T_TTAFStock[RM_Code],$A1298,T_TTAFStock[WeekIndex],55),"")</f>
        <v/>
      </c>
      <c r="BH1306">
        <f>IFERROR(SUMIFS(T_TTAFStock[TTAF_Qty],T_TTAFStock[RM_Code],$A1298,T_TTAFStock[WeekIndex],56),"")</f>
        <v/>
      </c>
      <c r="BI1306">
        <f>IFERROR(SUMIFS(T_TTAFStock[TTAF_Qty],T_TTAFStock[RM_Code],$A1298,T_TTAFStock[WeekIndex],57),"")</f>
        <v/>
      </c>
      <c r="BJ1306">
        <f>IFERROR(SUMIFS(T_TTAFStock[TTAF_Qty],T_TTAFStock[RM_Code],$A1298,T_TTAFStock[WeekIndex],58),"")</f>
        <v/>
      </c>
      <c r="BK1306">
        <f>IFERROR(SUMIFS(T_TTAFStock[TTAF_Qty],T_TTAFStock[RM_Code],$A1298,T_TTAFStock[WeekIndex],59),"")</f>
        <v/>
      </c>
      <c r="BL1306">
        <f>IFERROR(SUMIFS(T_TTAFStock[TTAF_Qty],T_TTAFStock[RM_Code],$A1298,T_TTAFStock[WeekIndex],60),"")</f>
        <v/>
      </c>
      <c r="BM1306">
        <f>IFERROR(SUMIFS(T_TTAFStock[TTAF_Qty],T_TTAFStock[RM_Code],$A1298,T_TTAFStock[WeekIndex],61),"")</f>
        <v/>
      </c>
      <c r="BN1306">
        <f>IFERROR(SUMIFS(T_TTAFStock[TTAF_Qty],T_TTAFStock[RM_Code],$A1298,T_TTAFStock[WeekIndex],62),"")</f>
        <v/>
      </c>
      <c r="BO1306">
        <f>IFERROR(SUMIFS(T_TTAFStock[TTAF_Qty],T_TTAFStock[RM_Code],$A1298,T_TTAFStock[WeekIndex],63),"")</f>
        <v/>
      </c>
      <c r="BP1306">
        <f>IFERROR(SUMIFS(T_TTAFStock[TTAF_Qty],T_TTAFStock[RM_Code],$A1298,T_TTAFStock[WeekIndex],64),"")</f>
        <v/>
      </c>
      <c r="BQ1306">
        <f>IFERROR(SUMIFS(T_TTAFStock[TTAF_Qty],T_TTAFStock[RM_Code],$A1298,T_TTAFStock[WeekIndex],65),"")</f>
        <v/>
      </c>
      <c r="BR1306">
        <f>IFERROR(SUMIFS(T_TTAFStock[TTAF_Qty],T_TTAFStock[RM_Code],$A1298,T_TTAFStock[WeekIndex],66),"")</f>
        <v/>
      </c>
      <c r="BS1306">
        <f>IFERROR(SUMIFS(T_TTAFStock[TTAF_Qty],T_TTAFStock[RM_Code],$A1298,T_TTAFStock[WeekIndex],67),"")</f>
        <v/>
      </c>
      <c r="BT1306">
        <f>IFERROR(SUMIFS(T_TTAFStock[TTAF_Qty],T_TTAFStock[RM_Code],$A1298,T_TTAFStock[WeekIndex],68),"")</f>
        <v/>
      </c>
      <c r="BU1306">
        <f>IFERROR(SUMIFS(T_TTAFStock[TTAF_Qty],T_TTAFStock[RM_Code],$A1298,T_TTAFStock[WeekIndex],69),"")</f>
        <v/>
      </c>
      <c r="BV1306">
        <f>IFERROR(SUMIFS(T_TTAFStock[TTAF_Qty],T_TTAFStock[RM_Code],$A1298,T_TTAFStock[WeekIndex],70),"")</f>
        <v/>
      </c>
      <c r="BW1306">
        <f>IFERROR(SUMIFS(T_TTAFStock[TTAF_Qty],T_TTAFStock[RM_Code],$A1298,T_TTAFStock[WeekIndex],71),"")</f>
        <v/>
      </c>
      <c r="BX1306">
        <f>IFERROR(SUMIFS(T_TTAFStock[TTAF_Qty],T_TTAFStock[RM_Code],$A1298,T_TTAFStock[WeekIndex],72),"")</f>
        <v/>
      </c>
      <c r="BY1306">
        <f>IFERROR(SUMIFS(T_TTAFStock[TTAF_Qty],T_TTAFStock[RM_Code],$A1298,T_TTAFStock[WeekIndex],73),"")</f>
        <v/>
      </c>
      <c r="BZ1306">
        <f>IFERROR(SUMIFS(T_TTAFStock[TTAF_Qty],T_TTAFStock[RM_Code],$A1298,T_TTAFStock[WeekIndex],74),"")</f>
        <v/>
      </c>
      <c r="CA1306">
        <f>IFERROR(SUMIFS(T_TTAFStock[TTAF_Qty],T_TTAFStock[RM_Code],$A1298,T_TTAFStock[WeekIndex],75),"")</f>
        <v/>
      </c>
      <c r="CB1306">
        <f>IFERROR(SUMIFS(T_TTAFStock[TTAF_Qty],T_TTAFStock[RM_Code],$A1298,T_TTAFStock[WeekIndex],76),"")</f>
        <v/>
      </c>
      <c r="CC1306">
        <f>IFERROR(SUMIFS(T_TTAFStock[TTAF_Qty],T_TTAFStock[RM_Code],$A1298,T_TTAFStock[WeekIndex],77),"")</f>
        <v/>
      </c>
      <c r="CD1306">
        <f>IFERROR(SUMIFS(T_TTAFStock[TTAF_Qty],T_TTAFStock[RM_Code],$A1298,T_TTAFStock[WeekIndex],78),"")</f>
        <v/>
      </c>
      <c r="CE1306">
        <f>IFERROR(SUMIFS(T_TTAFStock[TTAF_Qty],T_TTAFStock[RM_Code],$A1298,T_TTAFStock[WeekIndex],79),"")</f>
        <v/>
      </c>
      <c r="CF1306">
        <f>IFERROR(SUMIFS(T_TTAFStock[TTAF_Qty],T_TTAFStock[RM_Code],$A1298,T_TTAFStock[WeekIndex],80),"")</f>
        <v/>
      </c>
      <c r="CG1306">
        <f>IFERROR(SUMIFS(T_TTAFStock[TTAF_Qty],T_TTAFStock[RM_Code],$A1298,T_TTAFStock[WeekIndex],81),"")</f>
        <v/>
      </c>
      <c r="CH1306">
        <f>IFERROR(SUMIFS(T_TTAFStock[TTAF_Qty],T_TTAFStock[RM_Code],$A1298,T_TTAFStock[WeekIndex],82),"")</f>
        <v/>
      </c>
      <c r="CI1306">
        <f>IFERROR(SUMIFS(T_TTAFStock[TTAF_Qty],T_TTAFStock[RM_Code],$A1298,T_TTAFStock[WeekIndex],83),"")</f>
        <v/>
      </c>
      <c r="CJ1306">
        <f>IFERROR(SUMIFS(T_TTAFStock[TTAF_Qty],T_TTAFStock[RM_Code],$A1298,T_TTAFStock[WeekIndex],84),"")</f>
        <v/>
      </c>
      <c r="CK1306">
        <f>IFERROR(SUMIFS(T_TTAFStock[TTAF_Qty],T_TTAFStock[RM_Code],$A1298,T_TTAFStock[WeekIndex],85),"")</f>
        <v/>
      </c>
      <c r="CL1306">
        <f>IFERROR(SUMIFS(T_TTAFStock[TTAF_Qty],T_TTAFStock[RM_Code],$A1298,T_TTAFStock[WeekIndex],86),"")</f>
        <v/>
      </c>
      <c r="CM1306">
        <f>IFERROR(SUMIFS(T_TTAFStock[TTAF_Qty],T_TTAFStock[RM_Code],$A1298,T_TTAFStock[WeekIndex],87),"")</f>
        <v/>
      </c>
      <c r="CN1306">
        <f>IFERROR(SUMIFS(T_TTAFStock[TTAF_Qty],T_TTAFStock[RM_Code],$A1298,T_TTAFStock[WeekIndex],88),"")</f>
        <v/>
      </c>
      <c r="CO1306">
        <f>IFERROR(SUMIFS(T_TTAFStock[TTAF_Qty],T_TTAFStock[RM_Code],$A1298,T_TTAFStock[WeekIndex],89),"")</f>
        <v/>
      </c>
      <c r="CP1306">
        <f>IFERROR(SUMIFS(T_TTAFStock[TTAF_Qty],T_TTAFStock[RM_Code],$A1298,T_TTAFStock[WeekIndex],90),"")</f>
        <v/>
      </c>
      <c r="CQ1306">
        <f>IFERROR(SUMIFS(T_TTAFStock[TTAF_Qty],T_TTAFStock[RM_Code],$A1298,T_TTAFStock[WeekIndex],91),"")</f>
        <v/>
      </c>
      <c r="CR1306">
        <f>IFERROR(SUMIFS(T_TTAFStock[TTAF_Qty],T_TTAFStock[RM_Code],$A1298,T_TTAFStock[WeekIndex],92),"")</f>
        <v/>
      </c>
      <c r="CS1306">
        <f>IFERROR(SUMIFS(T_TTAFStock[TTAF_Qty],T_TTAFStock[RM_Code],$A1298,T_TTAFStock[WeekIndex],93),"")</f>
        <v/>
      </c>
      <c r="CT1306">
        <f>IFERROR(SUMIFS(T_TTAFStock[TTAF_Qty],T_TTAFStock[RM_Code],$A1298,T_TTAFStock[WeekIndex],94),"")</f>
        <v/>
      </c>
      <c r="CU1306">
        <f>IFERROR(SUMIFS(T_TTAFStock[TTAF_Qty],T_TTAFStock[RM_Code],$A1298,T_TTAFStock[WeekIndex],95),"")</f>
        <v/>
      </c>
      <c r="CV1306">
        <f>IFERROR(SUMIFS(T_TTAFStock[TTAF_Qty],T_TTAFStock[RM_Code],$A1298,T_TTAFStock[WeekIndex],96),"")</f>
        <v/>
      </c>
      <c r="CW1306">
        <f>IFERROR(SUMIFS(T_TTAFStock[TTAF_Qty],T_TTAFStock[RM_Code],$A1298,T_TTAFStock[WeekIndex],97),"")</f>
        <v/>
      </c>
      <c r="CX1306">
        <f>IFERROR(SUMIFS(T_TTAFStock[TTAF_Qty],T_TTAFStock[RM_Code],$A1298,T_TTAFStock[WeekIndex],98),"")</f>
        <v/>
      </c>
      <c r="CY1306">
        <f>IFERROR(SUMIFS(T_TTAFStock[TTAF_Qty],T_TTAFStock[RM_Code],$A1298,T_TTAFStock[WeekIndex],99),"")</f>
        <v/>
      </c>
      <c r="CZ1306">
        <f>IFERROR(SUMIFS(T_TTAFStock[TTAF_Qty],T_TTAFStock[RM_Code],$A1298,T_TTAFStock[WeekIndex],100),"")</f>
        <v/>
      </c>
      <c r="DA1306">
        <f>IFERROR(SUMIFS(T_TTAFStock[TTAF_Qty],T_TTAFStock[RM_Code],$A1298,T_TTAFStock[WeekIndex],101),"")</f>
        <v/>
      </c>
      <c r="DB1306">
        <f>IFERROR(SUMIFS(T_TTAFStock[TTAF_Qty],T_TTAFStock[RM_Code],$A1298,T_TTAFStock[WeekIndex],102),"")</f>
        <v/>
      </c>
      <c r="DC1306">
        <f>IFERROR(SUMIFS(T_TTAFStock[TTAF_Qty],T_TTAFStock[RM_Code],$A1298,T_TTAFStock[WeekIndex],103),"")</f>
        <v/>
      </c>
      <c r="DD1306">
        <f>IFERROR(SUMIFS(T_TTAFStock[TTAF_Qty],T_TTAFStock[RM_Code],$A1298,T_TTAFStock[WeekIndex],104),"")</f>
        <v/>
      </c>
    </row>
    <row r="1307">
      <c r="B1307" t="inlineStr">
        <is>
          <t>自社在庫(実績,kg)</t>
        </is>
      </c>
      <c r="D1307">
        <f>IFERROR(INDEX(E1307:DD1307,$F$1),"")</f>
        <v/>
      </c>
      <c r="E1307">
        <f>IFERROR(SUMIFS(T_SelfStock[Self_Qty],T_SelfStock[RM_Code],$A1298,T_SelfStock[WeekIndex],1),"")</f>
        <v/>
      </c>
      <c r="F1307">
        <f>IFERROR(SUMIFS(T_SelfStock[Self_Qty],T_SelfStock[RM_Code],$A1298,T_SelfStock[WeekIndex],2),"")</f>
        <v/>
      </c>
      <c r="G1307">
        <f>IFERROR(SUMIFS(T_SelfStock[Self_Qty],T_SelfStock[RM_Code],$A1298,T_SelfStock[WeekIndex],3),"")</f>
        <v/>
      </c>
      <c r="H1307">
        <f>IFERROR(SUMIFS(T_SelfStock[Self_Qty],T_SelfStock[RM_Code],$A1298,T_SelfStock[WeekIndex],4),"")</f>
        <v/>
      </c>
      <c r="I1307">
        <f>IFERROR(SUMIFS(T_SelfStock[Self_Qty],T_SelfStock[RM_Code],$A1298,T_SelfStock[WeekIndex],5),"")</f>
        <v/>
      </c>
      <c r="J1307">
        <f>IFERROR(SUMIFS(T_SelfStock[Self_Qty],T_SelfStock[RM_Code],$A1298,T_SelfStock[WeekIndex],6),"")</f>
        <v/>
      </c>
      <c r="K1307">
        <f>IFERROR(SUMIFS(T_SelfStock[Self_Qty],T_SelfStock[RM_Code],$A1298,T_SelfStock[WeekIndex],7),"")</f>
        <v/>
      </c>
      <c r="L1307">
        <f>IFERROR(SUMIFS(T_SelfStock[Self_Qty],T_SelfStock[RM_Code],$A1298,T_SelfStock[WeekIndex],8),"")</f>
        <v/>
      </c>
      <c r="M1307">
        <f>IFERROR(SUMIFS(T_SelfStock[Self_Qty],T_SelfStock[RM_Code],$A1298,T_SelfStock[WeekIndex],9),"")</f>
        <v/>
      </c>
      <c r="N1307">
        <f>IFERROR(SUMIFS(T_SelfStock[Self_Qty],T_SelfStock[RM_Code],$A1298,T_SelfStock[WeekIndex],10),"")</f>
        <v/>
      </c>
      <c r="O1307">
        <f>IFERROR(SUMIFS(T_SelfStock[Self_Qty],T_SelfStock[RM_Code],$A1298,T_SelfStock[WeekIndex],11),"")</f>
        <v/>
      </c>
      <c r="P1307">
        <f>IFERROR(SUMIFS(T_SelfStock[Self_Qty],T_SelfStock[RM_Code],$A1298,T_SelfStock[WeekIndex],12),"")</f>
        <v/>
      </c>
      <c r="Q1307">
        <f>IFERROR(SUMIFS(T_SelfStock[Self_Qty],T_SelfStock[RM_Code],$A1298,T_SelfStock[WeekIndex],13),"")</f>
        <v/>
      </c>
      <c r="R1307">
        <f>IFERROR(SUMIFS(T_SelfStock[Self_Qty],T_SelfStock[RM_Code],$A1298,T_SelfStock[WeekIndex],14),"")</f>
        <v/>
      </c>
      <c r="S1307">
        <f>IFERROR(SUMIFS(T_SelfStock[Self_Qty],T_SelfStock[RM_Code],$A1298,T_SelfStock[WeekIndex],15),"")</f>
        <v/>
      </c>
      <c r="T1307">
        <f>IFERROR(SUMIFS(T_SelfStock[Self_Qty],T_SelfStock[RM_Code],$A1298,T_SelfStock[WeekIndex],16),"")</f>
        <v/>
      </c>
      <c r="U1307">
        <f>IFERROR(SUMIFS(T_SelfStock[Self_Qty],T_SelfStock[RM_Code],$A1298,T_SelfStock[WeekIndex],17),"")</f>
        <v/>
      </c>
      <c r="V1307">
        <f>IFERROR(SUMIFS(T_SelfStock[Self_Qty],T_SelfStock[RM_Code],$A1298,T_SelfStock[WeekIndex],18),"")</f>
        <v/>
      </c>
      <c r="W1307">
        <f>IFERROR(SUMIFS(T_SelfStock[Self_Qty],T_SelfStock[RM_Code],$A1298,T_SelfStock[WeekIndex],19),"")</f>
        <v/>
      </c>
      <c r="X1307">
        <f>IFERROR(SUMIFS(T_SelfStock[Self_Qty],T_SelfStock[RM_Code],$A1298,T_SelfStock[WeekIndex],20),"")</f>
        <v/>
      </c>
      <c r="Y1307">
        <f>IFERROR(SUMIFS(T_SelfStock[Self_Qty],T_SelfStock[RM_Code],$A1298,T_SelfStock[WeekIndex],21),"")</f>
        <v/>
      </c>
      <c r="Z1307">
        <f>IFERROR(SUMIFS(T_SelfStock[Self_Qty],T_SelfStock[RM_Code],$A1298,T_SelfStock[WeekIndex],22),"")</f>
        <v/>
      </c>
      <c r="AA1307">
        <f>IFERROR(SUMIFS(T_SelfStock[Self_Qty],T_SelfStock[RM_Code],$A1298,T_SelfStock[WeekIndex],23),"")</f>
        <v/>
      </c>
      <c r="AB1307">
        <f>IFERROR(SUMIFS(T_SelfStock[Self_Qty],T_SelfStock[RM_Code],$A1298,T_SelfStock[WeekIndex],24),"")</f>
        <v/>
      </c>
      <c r="AC1307">
        <f>IFERROR(SUMIFS(T_SelfStock[Self_Qty],T_SelfStock[RM_Code],$A1298,T_SelfStock[WeekIndex],25),"")</f>
        <v/>
      </c>
      <c r="AD1307">
        <f>IFERROR(SUMIFS(T_SelfStock[Self_Qty],T_SelfStock[RM_Code],$A1298,T_SelfStock[WeekIndex],26),"")</f>
        <v/>
      </c>
      <c r="AE1307">
        <f>IFERROR(SUMIFS(T_SelfStock[Self_Qty],T_SelfStock[RM_Code],$A1298,T_SelfStock[WeekIndex],27),"")</f>
        <v/>
      </c>
      <c r="AF1307">
        <f>IFERROR(SUMIFS(T_SelfStock[Self_Qty],T_SelfStock[RM_Code],$A1298,T_SelfStock[WeekIndex],28),"")</f>
        <v/>
      </c>
      <c r="AG1307">
        <f>IFERROR(SUMIFS(T_SelfStock[Self_Qty],T_SelfStock[RM_Code],$A1298,T_SelfStock[WeekIndex],29),"")</f>
        <v/>
      </c>
      <c r="AH1307">
        <f>IFERROR(SUMIFS(T_SelfStock[Self_Qty],T_SelfStock[RM_Code],$A1298,T_SelfStock[WeekIndex],30),"")</f>
        <v/>
      </c>
      <c r="AI1307">
        <f>IFERROR(SUMIFS(T_SelfStock[Self_Qty],T_SelfStock[RM_Code],$A1298,T_SelfStock[WeekIndex],31),"")</f>
        <v/>
      </c>
      <c r="AJ1307">
        <f>IFERROR(SUMIFS(T_SelfStock[Self_Qty],T_SelfStock[RM_Code],$A1298,T_SelfStock[WeekIndex],32),"")</f>
        <v/>
      </c>
      <c r="AK1307">
        <f>IFERROR(SUMIFS(T_SelfStock[Self_Qty],T_SelfStock[RM_Code],$A1298,T_SelfStock[WeekIndex],33),"")</f>
        <v/>
      </c>
      <c r="AL1307">
        <f>IFERROR(SUMIFS(T_SelfStock[Self_Qty],T_SelfStock[RM_Code],$A1298,T_SelfStock[WeekIndex],34),"")</f>
        <v/>
      </c>
      <c r="AM1307">
        <f>IFERROR(SUMIFS(T_SelfStock[Self_Qty],T_SelfStock[RM_Code],$A1298,T_SelfStock[WeekIndex],35),"")</f>
        <v/>
      </c>
      <c r="AN1307">
        <f>IFERROR(SUMIFS(T_SelfStock[Self_Qty],T_SelfStock[RM_Code],$A1298,T_SelfStock[WeekIndex],36),"")</f>
        <v/>
      </c>
      <c r="AO1307">
        <f>IFERROR(SUMIFS(T_SelfStock[Self_Qty],T_SelfStock[RM_Code],$A1298,T_SelfStock[WeekIndex],37),"")</f>
        <v/>
      </c>
      <c r="AP1307">
        <f>IFERROR(SUMIFS(T_SelfStock[Self_Qty],T_SelfStock[RM_Code],$A1298,T_SelfStock[WeekIndex],38),"")</f>
        <v/>
      </c>
      <c r="AQ1307">
        <f>IFERROR(SUMIFS(T_SelfStock[Self_Qty],T_SelfStock[RM_Code],$A1298,T_SelfStock[WeekIndex],39),"")</f>
        <v/>
      </c>
      <c r="AR1307">
        <f>IFERROR(SUMIFS(T_SelfStock[Self_Qty],T_SelfStock[RM_Code],$A1298,T_SelfStock[WeekIndex],40),"")</f>
        <v/>
      </c>
      <c r="AS1307">
        <f>IFERROR(SUMIFS(T_SelfStock[Self_Qty],T_SelfStock[RM_Code],$A1298,T_SelfStock[WeekIndex],41),"")</f>
        <v/>
      </c>
      <c r="AT1307">
        <f>IFERROR(SUMIFS(T_SelfStock[Self_Qty],T_SelfStock[RM_Code],$A1298,T_SelfStock[WeekIndex],42),"")</f>
        <v/>
      </c>
      <c r="AU1307">
        <f>IFERROR(SUMIFS(T_SelfStock[Self_Qty],T_SelfStock[RM_Code],$A1298,T_SelfStock[WeekIndex],43),"")</f>
        <v/>
      </c>
      <c r="AV1307">
        <f>IFERROR(SUMIFS(T_SelfStock[Self_Qty],T_SelfStock[RM_Code],$A1298,T_SelfStock[WeekIndex],44),"")</f>
        <v/>
      </c>
      <c r="AW1307">
        <f>IFERROR(SUMIFS(T_SelfStock[Self_Qty],T_SelfStock[RM_Code],$A1298,T_SelfStock[WeekIndex],45),"")</f>
        <v/>
      </c>
      <c r="AX1307">
        <f>IFERROR(SUMIFS(T_SelfStock[Self_Qty],T_SelfStock[RM_Code],$A1298,T_SelfStock[WeekIndex],46),"")</f>
        <v/>
      </c>
      <c r="AY1307">
        <f>IFERROR(SUMIFS(T_SelfStock[Self_Qty],T_SelfStock[RM_Code],$A1298,T_SelfStock[WeekIndex],47),"")</f>
        <v/>
      </c>
      <c r="AZ1307">
        <f>IFERROR(SUMIFS(T_SelfStock[Self_Qty],T_SelfStock[RM_Code],$A1298,T_SelfStock[WeekIndex],48),"")</f>
        <v/>
      </c>
      <c r="BA1307">
        <f>IFERROR(SUMIFS(T_SelfStock[Self_Qty],T_SelfStock[RM_Code],$A1298,T_SelfStock[WeekIndex],49),"")</f>
        <v/>
      </c>
      <c r="BB1307">
        <f>IFERROR(SUMIFS(T_SelfStock[Self_Qty],T_SelfStock[RM_Code],$A1298,T_SelfStock[WeekIndex],50),"")</f>
        <v/>
      </c>
      <c r="BC1307">
        <f>IFERROR(SUMIFS(T_SelfStock[Self_Qty],T_SelfStock[RM_Code],$A1298,T_SelfStock[WeekIndex],51),"")</f>
        <v/>
      </c>
      <c r="BD1307">
        <f>IFERROR(SUMIFS(T_SelfStock[Self_Qty],T_SelfStock[RM_Code],$A1298,T_SelfStock[WeekIndex],52),"")</f>
        <v/>
      </c>
      <c r="BE1307">
        <f>IFERROR(SUMIFS(T_SelfStock[Self_Qty],T_SelfStock[RM_Code],$A1298,T_SelfStock[WeekIndex],53),"")</f>
        <v/>
      </c>
      <c r="BF1307">
        <f>IFERROR(SUMIFS(T_SelfStock[Self_Qty],T_SelfStock[RM_Code],$A1298,T_SelfStock[WeekIndex],54),"")</f>
        <v/>
      </c>
      <c r="BG1307">
        <f>IFERROR(SUMIFS(T_SelfStock[Self_Qty],T_SelfStock[RM_Code],$A1298,T_SelfStock[WeekIndex],55),"")</f>
        <v/>
      </c>
      <c r="BH1307">
        <f>IFERROR(SUMIFS(T_SelfStock[Self_Qty],T_SelfStock[RM_Code],$A1298,T_SelfStock[WeekIndex],56),"")</f>
        <v/>
      </c>
      <c r="BI1307">
        <f>IFERROR(SUMIFS(T_SelfStock[Self_Qty],T_SelfStock[RM_Code],$A1298,T_SelfStock[WeekIndex],57),"")</f>
        <v/>
      </c>
      <c r="BJ1307">
        <f>IFERROR(SUMIFS(T_SelfStock[Self_Qty],T_SelfStock[RM_Code],$A1298,T_SelfStock[WeekIndex],58),"")</f>
        <v/>
      </c>
      <c r="BK1307">
        <f>IFERROR(SUMIFS(T_SelfStock[Self_Qty],T_SelfStock[RM_Code],$A1298,T_SelfStock[WeekIndex],59),"")</f>
        <v/>
      </c>
      <c r="BL1307">
        <f>IFERROR(SUMIFS(T_SelfStock[Self_Qty],T_SelfStock[RM_Code],$A1298,T_SelfStock[WeekIndex],60),"")</f>
        <v/>
      </c>
      <c r="BM1307">
        <f>IFERROR(SUMIFS(T_SelfStock[Self_Qty],T_SelfStock[RM_Code],$A1298,T_SelfStock[WeekIndex],61),"")</f>
        <v/>
      </c>
      <c r="BN1307">
        <f>IFERROR(SUMIFS(T_SelfStock[Self_Qty],T_SelfStock[RM_Code],$A1298,T_SelfStock[WeekIndex],62),"")</f>
        <v/>
      </c>
      <c r="BO1307">
        <f>IFERROR(SUMIFS(T_SelfStock[Self_Qty],T_SelfStock[RM_Code],$A1298,T_SelfStock[WeekIndex],63),"")</f>
        <v/>
      </c>
      <c r="BP1307">
        <f>IFERROR(SUMIFS(T_SelfStock[Self_Qty],T_SelfStock[RM_Code],$A1298,T_SelfStock[WeekIndex],64),"")</f>
        <v/>
      </c>
      <c r="BQ1307">
        <f>IFERROR(SUMIFS(T_SelfStock[Self_Qty],T_SelfStock[RM_Code],$A1298,T_SelfStock[WeekIndex],65),"")</f>
        <v/>
      </c>
      <c r="BR1307">
        <f>IFERROR(SUMIFS(T_SelfStock[Self_Qty],T_SelfStock[RM_Code],$A1298,T_SelfStock[WeekIndex],66),"")</f>
        <v/>
      </c>
      <c r="BS1307">
        <f>IFERROR(SUMIFS(T_SelfStock[Self_Qty],T_SelfStock[RM_Code],$A1298,T_SelfStock[WeekIndex],67),"")</f>
        <v/>
      </c>
      <c r="BT1307">
        <f>IFERROR(SUMIFS(T_SelfStock[Self_Qty],T_SelfStock[RM_Code],$A1298,T_SelfStock[WeekIndex],68),"")</f>
        <v/>
      </c>
      <c r="BU1307">
        <f>IFERROR(SUMIFS(T_SelfStock[Self_Qty],T_SelfStock[RM_Code],$A1298,T_SelfStock[WeekIndex],69),"")</f>
        <v/>
      </c>
      <c r="BV1307">
        <f>IFERROR(SUMIFS(T_SelfStock[Self_Qty],T_SelfStock[RM_Code],$A1298,T_SelfStock[WeekIndex],70),"")</f>
        <v/>
      </c>
      <c r="BW1307">
        <f>IFERROR(SUMIFS(T_SelfStock[Self_Qty],T_SelfStock[RM_Code],$A1298,T_SelfStock[WeekIndex],71),"")</f>
        <v/>
      </c>
      <c r="BX1307">
        <f>IFERROR(SUMIFS(T_SelfStock[Self_Qty],T_SelfStock[RM_Code],$A1298,T_SelfStock[WeekIndex],72),"")</f>
        <v/>
      </c>
      <c r="BY1307">
        <f>IFERROR(SUMIFS(T_SelfStock[Self_Qty],T_SelfStock[RM_Code],$A1298,T_SelfStock[WeekIndex],73),"")</f>
        <v/>
      </c>
      <c r="BZ1307">
        <f>IFERROR(SUMIFS(T_SelfStock[Self_Qty],T_SelfStock[RM_Code],$A1298,T_SelfStock[WeekIndex],74),"")</f>
        <v/>
      </c>
      <c r="CA1307">
        <f>IFERROR(SUMIFS(T_SelfStock[Self_Qty],T_SelfStock[RM_Code],$A1298,T_SelfStock[WeekIndex],75),"")</f>
        <v/>
      </c>
      <c r="CB1307">
        <f>IFERROR(SUMIFS(T_SelfStock[Self_Qty],T_SelfStock[RM_Code],$A1298,T_SelfStock[WeekIndex],76),"")</f>
        <v/>
      </c>
      <c r="CC1307">
        <f>IFERROR(SUMIFS(T_SelfStock[Self_Qty],T_SelfStock[RM_Code],$A1298,T_SelfStock[WeekIndex],77),"")</f>
        <v/>
      </c>
      <c r="CD1307">
        <f>IFERROR(SUMIFS(T_SelfStock[Self_Qty],T_SelfStock[RM_Code],$A1298,T_SelfStock[WeekIndex],78),"")</f>
        <v/>
      </c>
      <c r="CE1307">
        <f>IFERROR(SUMIFS(T_SelfStock[Self_Qty],T_SelfStock[RM_Code],$A1298,T_SelfStock[WeekIndex],79),"")</f>
        <v/>
      </c>
      <c r="CF1307">
        <f>IFERROR(SUMIFS(T_SelfStock[Self_Qty],T_SelfStock[RM_Code],$A1298,T_SelfStock[WeekIndex],80),"")</f>
        <v/>
      </c>
      <c r="CG1307">
        <f>IFERROR(SUMIFS(T_SelfStock[Self_Qty],T_SelfStock[RM_Code],$A1298,T_SelfStock[WeekIndex],81),"")</f>
        <v/>
      </c>
      <c r="CH1307">
        <f>IFERROR(SUMIFS(T_SelfStock[Self_Qty],T_SelfStock[RM_Code],$A1298,T_SelfStock[WeekIndex],82),"")</f>
        <v/>
      </c>
      <c r="CI1307">
        <f>IFERROR(SUMIFS(T_SelfStock[Self_Qty],T_SelfStock[RM_Code],$A1298,T_SelfStock[WeekIndex],83),"")</f>
        <v/>
      </c>
      <c r="CJ1307">
        <f>IFERROR(SUMIFS(T_SelfStock[Self_Qty],T_SelfStock[RM_Code],$A1298,T_SelfStock[WeekIndex],84),"")</f>
        <v/>
      </c>
      <c r="CK1307">
        <f>IFERROR(SUMIFS(T_SelfStock[Self_Qty],T_SelfStock[RM_Code],$A1298,T_SelfStock[WeekIndex],85),"")</f>
        <v/>
      </c>
      <c r="CL1307">
        <f>IFERROR(SUMIFS(T_SelfStock[Self_Qty],T_SelfStock[RM_Code],$A1298,T_SelfStock[WeekIndex],86),"")</f>
        <v/>
      </c>
      <c r="CM1307">
        <f>IFERROR(SUMIFS(T_SelfStock[Self_Qty],T_SelfStock[RM_Code],$A1298,T_SelfStock[WeekIndex],87),"")</f>
        <v/>
      </c>
      <c r="CN1307">
        <f>IFERROR(SUMIFS(T_SelfStock[Self_Qty],T_SelfStock[RM_Code],$A1298,T_SelfStock[WeekIndex],88),"")</f>
        <v/>
      </c>
      <c r="CO1307">
        <f>IFERROR(SUMIFS(T_SelfStock[Self_Qty],T_SelfStock[RM_Code],$A1298,T_SelfStock[WeekIndex],89),"")</f>
        <v/>
      </c>
      <c r="CP1307">
        <f>IFERROR(SUMIFS(T_SelfStock[Self_Qty],T_SelfStock[RM_Code],$A1298,T_SelfStock[WeekIndex],90),"")</f>
        <v/>
      </c>
      <c r="CQ1307">
        <f>IFERROR(SUMIFS(T_SelfStock[Self_Qty],T_SelfStock[RM_Code],$A1298,T_SelfStock[WeekIndex],91),"")</f>
        <v/>
      </c>
      <c r="CR1307">
        <f>IFERROR(SUMIFS(T_SelfStock[Self_Qty],T_SelfStock[RM_Code],$A1298,T_SelfStock[WeekIndex],92),"")</f>
        <v/>
      </c>
      <c r="CS1307">
        <f>IFERROR(SUMIFS(T_SelfStock[Self_Qty],T_SelfStock[RM_Code],$A1298,T_SelfStock[WeekIndex],93),"")</f>
        <v/>
      </c>
      <c r="CT1307">
        <f>IFERROR(SUMIFS(T_SelfStock[Self_Qty],T_SelfStock[RM_Code],$A1298,T_SelfStock[WeekIndex],94),"")</f>
        <v/>
      </c>
      <c r="CU1307">
        <f>IFERROR(SUMIFS(T_SelfStock[Self_Qty],T_SelfStock[RM_Code],$A1298,T_SelfStock[WeekIndex],95),"")</f>
        <v/>
      </c>
      <c r="CV1307">
        <f>IFERROR(SUMIFS(T_SelfStock[Self_Qty],T_SelfStock[RM_Code],$A1298,T_SelfStock[WeekIndex],96),"")</f>
        <v/>
      </c>
      <c r="CW1307">
        <f>IFERROR(SUMIFS(T_SelfStock[Self_Qty],T_SelfStock[RM_Code],$A1298,T_SelfStock[WeekIndex],97),"")</f>
        <v/>
      </c>
      <c r="CX1307">
        <f>IFERROR(SUMIFS(T_SelfStock[Self_Qty],T_SelfStock[RM_Code],$A1298,T_SelfStock[WeekIndex],98),"")</f>
        <v/>
      </c>
      <c r="CY1307">
        <f>IFERROR(SUMIFS(T_SelfStock[Self_Qty],T_SelfStock[RM_Code],$A1298,T_SelfStock[WeekIndex],99),"")</f>
        <v/>
      </c>
      <c r="CZ1307">
        <f>IFERROR(SUMIFS(T_SelfStock[Self_Qty],T_SelfStock[RM_Code],$A1298,T_SelfStock[WeekIndex],100),"")</f>
        <v/>
      </c>
      <c r="DA1307">
        <f>IFERROR(SUMIFS(T_SelfStock[Self_Qty],T_SelfStock[RM_Code],$A1298,T_SelfStock[WeekIndex],101),"")</f>
        <v/>
      </c>
      <c r="DB1307">
        <f>IFERROR(SUMIFS(T_SelfStock[Self_Qty],T_SelfStock[RM_Code],$A1298,T_SelfStock[WeekIndex],102),"")</f>
        <v/>
      </c>
      <c r="DC1307">
        <f>IFERROR(SUMIFS(T_SelfStock[Self_Qty],T_SelfStock[RM_Code],$A1298,T_SelfStock[WeekIndex],103),"")</f>
        <v/>
      </c>
      <c r="DD1307">
        <f>IFERROR(SUMIFS(T_SelfStock[Self_Qty],T_SelfStock[RM_Code],$A1298,T_SelfStock[WeekIndex],104),"")</f>
        <v/>
      </c>
    </row>
    <row r="1308">
      <c r="B1308" s="4" t="inlineStr">
        <is>
          <t>合計在庫(週末時点,kg)</t>
        </is>
      </c>
      <c r="D1308" s="24">
        <f>IFERROR(INDEX(E1308:DD1308,$F$1),"")</f>
        <v/>
      </c>
      <c r="E1308">
        <f>'Grid_Stock'!B8</f>
        <v/>
      </c>
      <c r="F1308">
        <f>'Grid_Stock'!C8</f>
        <v/>
      </c>
      <c r="G1308">
        <f>'Grid_Stock'!D8</f>
        <v/>
      </c>
      <c r="H1308">
        <f>'Grid_Stock'!E8</f>
        <v/>
      </c>
      <c r="I1308">
        <f>'Grid_Stock'!F8</f>
        <v/>
      </c>
      <c r="J1308">
        <f>'Grid_Stock'!G8</f>
        <v/>
      </c>
      <c r="K1308">
        <f>'Grid_Stock'!H8</f>
        <v/>
      </c>
      <c r="L1308">
        <f>'Grid_Stock'!I8</f>
        <v/>
      </c>
      <c r="M1308">
        <f>'Grid_Stock'!J8</f>
        <v/>
      </c>
      <c r="N1308">
        <f>'Grid_Stock'!K8</f>
        <v/>
      </c>
      <c r="O1308">
        <f>'Grid_Stock'!L8</f>
        <v/>
      </c>
      <c r="P1308">
        <f>'Grid_Stock'!M8</f>
        <v/>
      </c>
      <c r="Q1308">
        <f>'Grid_Stock'!N8</f>
        <v/>
      </c>
      <c r="R1308">
        <f>'Grid_Stock'!O8</f>
        <v/>
      </c>
      <c r="S1308">
        <f>'Grid_Stock'!P8</f>
        <v/>
      </c>
      <c r="T1308">
        <f>'Grid_Stock'!Q8</f>
        <v/>
      </c>
      <c r="U1308">
        <f>'Grid_Stock'!R8</f>
        <v/>
      </c>
      <c r="V1308">
        <f>'Grid_Stock'!S8</f>
        <v/>
      </c>
      <c r="W1308">
        <f>'Grid_Stock'!T8</f>
        <v/>
      </c>
      <c r="X1308">
        <f>'Grid_Stock'!U8</f>
        <v/>
      </c>
      <c r="Y1308">
        <f>'Grid_Stock'!V8</f>
        <v/>
      </c>
      <c r="Z1308">
        <f>'Grid_Stock'!W8</f>
        <v/>
      </c>
      <c r="AA1308">
        <f>'Grid_Stock'!X8</f>
        <v/>
      </c>
      <c r="AB1308">
        <f>'Grid_Stock'!Y8</f>
        <v/>
      </c>
      <c r="AC1308">
        <f>'Grid_Stock'!Z8</f>
        <v/>
      </c>
      <c r="AD1308">
        <f>'Grid_Stock'!AA8</f>
        <v/>
      </c>
      <c r="AE1308">
        <f>'Grid_Stock'!AB8</f>
        <v/>
      </c>
      <c r="AF1308">
        <f>'Grid_Stock'!AC8</f>
        <v/>
      </c>
      <c r="AG1308">
        <f>'Grid_Stock'!AD8</f>
        <v/>
      </c>
      <c r="AH1308">
        <f>'Grid_Stock'!AE8</f>
        <v/>
      </c>
      <c r="AI1308">
        <f>'Grid_Stock'!AF8</f>
        <v/>
      </c>
      <c r="AJ1308">
        <f>'Grid_Stock'!AG8</f>
        <v/>
      </c>
      <c r="AK1308">
        <f>'Grid_Stock'!AH8</f>
        <v/>
      </c>
      <c r="AL1308">
        <f>'Grid_Stock'!AI8</f>
        <v/>
      </c>
      <c r="AM1308">
        <f>'Grid_Stock'!AJ8</f>
        <v/>
      </c>
      <c r="AN1308">
        <f>'Grid_Stock'!AK8</f>
        <v/>
      </c>
      <c r="AO1308">
        <f>'Grid_Stock'!AL8</f>
        <v/>
      </c>
      <c r="AP1308">
        <f>'Grid_Stock'!AM8</f>
        <v/>
      </c>
      <c r="AQ1308">
        <f>'Grid_Stock'!AN8</f>
        <v/>
      </c>
      <c r="AR1308">
        <f>'Grid_Stock'!AO8</f>
        <v/>
      </c>
      <c r="AS1308">
        <f>'Grid_Stock'!AP8</f>
        <v/>
      </c>
      <c r="AT1308">
        <f>'Grid_Stock'!AQ8</f>
        <v/>
      </c>
      <c r="AU1308">
        <f>'Grid_Stock'!AR8</f>
        <v/>
      </c>
      <c r="AV1308">
        <f>'Grid_Stock'!AS8</f>
        <v/>
      </c>
      <c r="AW1308">
        <f>'Grid_Stock'!AT8</f>
        <v/>
      </c>
      <c r="AX1308">
        <f>'Grid_Stock'!AU8</f>
        <v/>
      </c>
      <c r="AY1308">
        <f>'Grid_Stock'!AV8</f>
        <v/>
      </c>
      <c r="AZ1308">
        <f>'Grid_Stock'!AW8</f>
        <v/>
      </c>
      <c r="BA1308">
        <f>'Grid_Stock'!AX8</f>
        <v/>
      </c>
      <c r="BB1308">
        <f>'Grid_Stock'!AY8</f>
        <v/>
      </c>
      <c r="BC1308">
        <f>'Grid_Stock'!AZ8</f>
        <v/>
      </c>
      <c r="BD1308">
        <f>'Grid_Stock'!BA8</f>
        <v/>
      </c>
      <c r="BE1308">
        <f>'Grid_Stock'!BB8</f>
        <v/>
      </c>
      <c r="BF1308">
        <f>'Grid_Stock'!BC8</f>
        <v/>
      </c>
      <c r="BG1308">
        <f>'Grid_Stock'!BD8</f>
        <v/>
      </c>
      <c r="BH1308">
        <f>'Grid_Stock'!BE8</f>
        <v/>
      </c>
      <c r="BI1308">
        <f>'Grid_Stock'!BF8</f>
        <v/>
      </c>
      <c r="BJ1308">
        <f>'Grid_Stock'!BG8</f>
        <v/>
      </c>
      <c r="BK1308">
        <f>'Grid_Stock'!BH8</f>
        <v/>
      </c>
      <c r="BL1308">
        <f>'Grid_Stock'!BI8</f>
        <v/>
      </c>
      <c r="BM1308">
        <f>'Grid_Stock'!BJ8</f>
        <v/>
      </c>
      <c r="BN1308">
        <f>'Grid_Stock'!BK8</f>
        <v/>
      </c>
      <c r="BO1308">
        <f>'Grid_Stock'!BL8</f>
        <v/>
      </c>
      <c r="BP1308">
        <f>'Grid_Stock'!BM8</f>
        <v/>
      </c>
      <c r="BQ1308">
        <f>'Grid_Stock'!BN8</f>
        <v/>
      </c>
      <c r="BR1308">
        <f>'Grid_Stock'!BO8</f>
        <v/>
      </c>
      <c r="BS1308">
        <f>'Grid_Stock'!BP8</f>
        <v/>
      </c>
      <c r="BT1308">
        <f>'Grid_Stock'!BQ8</f>
        <v/>
      </c>
      <c r="BU1308">
        <f>'Grid_Stock'!BR8</f>
        <v/>
      </c>
      <c r="BV1308">
        <f>'Grid_Stock'!BS8</f>
        <v/>
      </c>
      <c r="BW1308">
        <f>'Grid_Stock'!BT8</f>
        <v/>
      </c>
      <c r="BX1308">
        <f>'Grid_Stock'!BU8</f>
        <v/>
      </c>
      <c r="BY1308">
        <f>'Grid_Stock'!BV8</f>
        <v/>
      </c>
      <c r="BZ1308">
        <f>'Grid_Stock'!BW8</f>
        <v/>
      </c>
      <c r="CA1308">
        <f>'Grid_Stock'!BX8</f>
        <v/>
      </c>
      <c r="CB1308">
        <f>'Grid_Stock'!BY8</f>
        <v/>
      </c>
      <c r="CC1308">
        <f>'Grid_Stock'!BZ8</f>
        <v/>
      </c>
      <c r="CD1308">
        <f>'Grid_Stock'!CA8</f>
        <v/>
      </c>
      <c r="CE1308">
        <f>'Grid_Stock'!CB8</f>
        <v/>
      </c>
      <c r="CF1308">
        <f>'Grid_Stock'!CC8</f>
        <v/>
      </c>
      <c r="CG1308">
        <f>'Grid_Stock'!CD8</f>
        <v/>
      </c>
      <c r="CH1308">
        <f>'Grid_Stock'!CE8</f>
        <v/>
      </c>
      <c r="CI1308">
        <f>'Grid_Stock'!CF8</f>
        <v/>
      </c>
      <c r="CJ1308">
        <f>'Grid_Stock'!CG8</f>
        <v/>
      </c>
      <c r="CK1308">
        <f>'Grid_Stock'!CH8</f>
        <v/>
      </c>
      <c r="CL1308">
        <f>'Grid_Stock'!CI8</f>
        <v/>
      </c>
      <c r="CM1308">
        <f>'Grid_Stock'!CJ8</f>
        <v/>
      </c>
      <c r="CN1308">
        <f>'Grid_Stock'!CK8</f>
        <v/>
      </c>
      <c r="CO1308">
        <f>'Grid_Stock'!CL8</f>
        <v/>
      </c>
      <c r="CP1308">
        <f>'Grid_Stock'!CM8</f>
        <v/>
      </c>
      <c r="CQ1308">
        <f>'Grid_Stock'!CN8</f>
        <v/>
      </c>
      <c r="CR1308">
        <f>'Grid_Stock'!CO8</f>
        <v/>
      </c>
      <c r="CS1308">
        <f>'Grid_Stock'!CP8</f>
        <v/>
      </c>
      <c r="CT1308">
        <f>'Grid_Stock'!CQ8</f>
        <v/>
      </c>
      <c r="CU1308">
        <f>'Grid_Stock'!CR8</f>
        <v/>
      </c>
      <c r="CV1308">
        <f>'Grid_Stock'!CS8</f>
        <v/>
      </c>
      <c r="CW1308">
        <f>'Grid_Stock'!CT8</f>
        <v/>
      </c>
      <c r="CX1308">
        <f>'Grid_Stock'!CU8</f>
        <v/>
      </c>
      <c r="CY1308">
        <f>'Grid_Stock'!CV8</f>
        <v/>
      </c>
      <c r="CZ1308">
        <f>'Grid_Stock'!CW8</f>
        <v/>
      </c>
      <c r="DA1308">
        <f>'Grid_Stock'!CX8</f>
        <v/>
      </c>
      <c r="DB1308">
        <f>'Grid_Stock'!CY8</f>
        <v/>
      </c>
      <c r="DC1308">
        <f>'Grid_Stock'!CZ8</f>
        <v/>
      </c>
      <c r="DD1308">
        <f>'Grid_Stock'!DA8</f>
        <v/>
      </c>
    </row>
    <row r="1309">
      <c r="B1309" s="25" t="inlineStr">
        <is>
          <t>（発注の目安はDashboardの基準在庫[下限/上限]と色分けを参照）</t>
        </is>
      </c>
    </row>
    <row r="1311">
      <c r="A1311" s="21" t="inlineStr">
        <is>
          <t>TSZ-616</t>
        </is>
      </c>
      <c r="B1311" s="21" t="inlineStr">
        <is>
          <t>TSZ-616 Slurry - NO PGM</t>
        </is>
      </c>
      <c r="C1311" s="22" t="n"/>
      <c r="D1311" s="21" t="n"/>
      <c r="E1311" s="21" t="n"/>
      <c r="F1311" s="21" t="n"/>
      <c r="G1311" s="21" t="n"/>
      <c r="H1311" s="21" t="n"/>
      <c r="I1311" s="21" t="n"/>
      <c r="J1311" s="21" t="n"/>
      <c r="K1311" s="21" t="n"/>
      <c r="L1311" s="21" t="n"/>
      <c r="M1311" s="21" t="n"/>
      <c r="N1311" s="21" t="n"/>
      <c r="O1311" s="21" t="n"/>
      <c r="P1311" s="21" t="n"/>
      <c r="Q1311" s="21" t="n"/>
      <c r="R1311" s="21" t="n"/>
      <c r="S1311" s="21" t="n"/>
      <c r="T1311" s="21" t="n"/>
      <c r="U1311" s="21" t="n"/>
      <c r="V1311" s="21" t="n"/>
      <c r="W1311" s="21" t="n"/>
      <c r="X1311" s="21" t="n"/>
      <c r="Y1311" s="21" t="n"/>
      <c r="Z1311" s="21" t="n"/>
      <c r="AA1311" s="21" t="n"/>
      <c r="AB1311" s="21" t="n"/>
      <c r="AC1311" s="21" t="n"/>
      <c r="AD1311" s="21" t="n"/>
      <c r="AE1311" s="21" t="n"/>
      <c r="AF1311" s="21" t="n"/>
      <c r="AG1311" s="21" t="n"/>
      <c r="AH1311" s="21" t="n"/>
      <c r="AI1311" s="21" t="n"/>
      <c r="AJ1311" s="21" t="n"/>
      <c r="AK1311" s="21" t="n"/>
      <c r="AL1311" s="21" t="n"/>
      <c r="AM1311" s="21" t="n"/>
      <c r="AN1311" s="21" t="n"/>
      <c r="AO1311" s="21" t="n"/>
      <c r="AP1311" s="21" t="n"/>
      <c r="AQ1311" s="21" t="n"/>
      <c r="AR1311" s="21" t="n"/>
      <c r="AS1311" s="21" t="n"/>
      <c r="AT1311" s="21" t="n"/>
      <c r="AU1311" s="21" t="n"/>
      <c r="AV1311" s="21" t="n"/>
      <c r="AW1311" s="21" t="n"/>
      <c r="AX1311" s="21" t="n"/>
      <c r="AY1311" s="21" t="n"/>
      <c r="AZ1311" s="21" t="n"/>
      <c r="BA1311" s="21" t="n"/>
      <c r="BB1311" s="21" t="n"/>
      <c r="BC1311" s="21" t="n"/>
      <c r="BD1311" s="21" t="n"/>
      <c r="BE1311" s="21" t="n"/>
      <c r="BF1311" s="21" t="n"/>
      <c r="BG1311" s="21" t="n"/>
      <c r="BH1311" s="21" t="n"/>
      <c r="BI1311" s="21" t="n"/>
      <c r="BJ1311" s="21" t="n"/>
      <c r="BK1311" s="21" t="n"/>
      <c r="BL1311" s="21" t="n"/>
      <c r="BM1311" s="21" t="n"/>
      <c r="BN1311" s="21" t="n"/>
      <c r="BO1311" s="21" t="n"/>
      <c r="BP1311" s="21" t="n"/>
      <c r="BQ1311" s="21" t="n"/>
      <c r="BR1311" s="21" t="n"/>
      <c r="BS1311" s="21" t="n"/>
      <c r="BT1311" s="21" t="n"/>
      <c r="BU1311" s="21" t="n"/>
      <c r="BV1311" s="21" t="n"/>
      <c r="BW1311" s="21" t="n"/>
      <c r="BX1311" s="21" t="n"/>
      <c r="BY1311" s="21" t="n"/>
      <c r="BZ1311" s="21" t="n"/>
      <c r="CA1311" s="21" t="n"/>
      <c r="CB1311" s="21" t="n"/>
      <c r="CC1311" s="21" t="n"/>
      <c r="CD1311" s="21" t="n"/>
      <c r="CE1311" s="21" t="n"/>
      <c r="CF1311" s="21" t="n"/>
      <c r="CG1311" s="21" t="n"/>
      <c r="CH1311" s="21" t="n"/>
      <c r="CI1311" s="21" t="n"/>
      <c r="CJ1311" s="21" t="n"/>
      <c r="CK1311" s="21" t="n"/>
      <c r="CL1311" s="21" t="n"/>
      <c r="CM1311" s="21" t="n"/>
      <c r="CN1311" s="21" t="n"/>
      <c r="CO1311" s="21" t="n"/>
      <c r="CP1311" s="21" t="n"/>
      <c r="CQ1311" s="21" t="n"/>
      <c r="CR1311" s="21" t="n"/>
      <c r="CS1311" s="21" t="n"/>
      <c r="CT1311" s="21" t="n"/>
      <c r="CU1311" s="21" t="n"/>
      <c r="CV1311" s="21" t="n"/>
      <c r="CW1311" s="21" t="n"/>
      <c r="CX1311" s="21" t="n"/>
      <c r="CY1311" s="21" t="n"/>
      <c r="CZ1311" s="21" t="n"/>
      <c r="DA1311" s="21" t="n"/>
      <c r="DB1311" s="21" t="n"/>
      <c r="DC1311" s="21" t="n"/>
      <c r="DD1311" s="21" t="n"/>
    </row>
    <row r="1312">
      <c r="B1312" t="inlineStr">
        <is>
          <t>TSP-618</t>
        </is>
      </c>
      <c r="C1312" t="inlineStr">
        <is>
          <t>No. of batches</t>
        </is>
      </c>
      <c r="D1312">
        <f>IFERROR(INDEX(E1312:DD1312,$F$1),"")</f>
        <v/>
      </c>
      <c r="E1312">
        <f>IFERROR(INDEX(PP_Grid[#Data],$DE1312,2),0)</f>
        <v/>
      </c>
      <c r="F1312">
        <f>IFERROR(INDEX(PP_Grid[#Data],$DE1312,3),0)</f>
        <v/>
      </c>
      <c r="G1312">
        <f>IFERROR(INDEX(PP_Grid[#Data],$DE1312,4),0)</f>
        <v/>
      </c>
      <c r="H1312">
        <f>IFERROR(INDEX(PP_Grid[#Data],$DE1312,5),0)</f>
        <v/>
      </c>
      <c r="I1312">
        <f>IFERROR(INDEX(PP_Grid[#Data],$DE1312,6),0)</f>
        <v/>
      </c>
      <c r="J1312">
        <f>IFERROR(INDEX(PP_Grid[#Data],$DE1312,7),0)</f>
        <v/>
      </c>
      <c r="K1312">
        <f>IFERROR(INDEX(PP_Grid[#Data],$DE1312,8),0)</f>
        <v/>
      </c>
      <c r="L1312">
        <f>IFERROR(INDEX(PP_Grid[#Data],$DE1312,9),0)</f>
        <v/>
      </c>
      <c r="M1312">
        <f>IFERROR(INDEX(PP_Grid[#Data],$DE1312,10),0)</f>
        <v/>
      </c>
      <c r="N1312">
        <f>IFERROR(INDEX(PP_Grid[#Data],$DE1312,11),0)</f>
        <v/>
      </c>
      <c r="O1312">
        <f>IFERROR(INDEX(PP_Grid[#Data],$DE1312,12),0)</f>
        <v/>
      </c>
      <c r="P1312">
        <f>IFERROR(INDEX(PP_Grid[#Data],$DE1312,13),0)</f>
        <v/>
      </c>
      <c r="Q1312">
        <f>IFERROR(INDEX(PP_Grid[#Data],$DE1312,14),0)</f>
        <v/>
      </c>
      <c r="R1312">
        <f>IFERROR(INDEX(PP_Grid[#Data],$DE1312,15),0)</f>
        <v/>
      </c>
      <c r="S1312">
        <f>IFERROR(INDEX(PP_Grid[#Data],$DE1312,16),0)</f>
        <v/>
      </c>
      <c r="T1312">
        <f>IFERROR(INDEX(PP_Grid[#Data],$DE1312,17),0)</f>
        <v/>
      </c>
      <c r="U1312">
        <f>IFERROR(INDEX(PP_Grid[#Data],$DE1312,18),0)</f>
        <v/>
      </c>
      <c r="V1312">
        <f>IFERROR(INDEX(PP_Grid[#Data],$DE1312,19),0)</f>
        <v/>
      </c>
      <c r="W1312">
        <f>IFERROR(INDEX(PP_Grid[#Data],$DE1312,20),0)</f>
        <v/>
      </c>
      <c r="X1312">
        <f>IFERROR(INDEX(PP_Grid[#Data],$DE1312,21),0)</f>
        <v/>
      </c>
      <c r="Y1312">
        <f>IFERROR(INDEX(PP_Grid[#Data],$DE1312,22),0)</f>
        <v/>
      </c>
      <c r="Z1312">
        <f>IFERROR(INDEX(PP_Grid[#Data],$DE1312,23),0)</f>
        <v/>
      </c>
      <c r="AA1312">
        <f>IFERROR(INDEX(PP_Grid[#Data],$DE1312,24),0)</f>
        <v/>
      </c>
      <c r="AB1312">
        <f>IFERROR(INDEX(PP_Grid[#Data],$DE1312,25),0)</f>
        <v/>
      </c>
      <c r="AC1312">
        <f>IFERROR(INDEX(PP_Grid[#Data],$DE1312,26),0)</f>
        <v/>
      </c>
      <c r="AD1312">
        <f>IFERROR(INDEX(PP_Grid[#Data],$DE1312,27),0)</f>
        <v/>
      </c>
      <c r="AE1312">
        <f>IFERROR(INDEX(PP_Grid[#Data],$DE1312,28),0)</f>
        <v/>
      </c>
      <c r="AF1312">
        <f>IFERROR(INDEX(PP_Grid[#Data],$DE1312,29),0)</f>
        <v/>
      </c>
      <c r="AG1312">
        <f>IFERROR(INDEX(PP_Grid[#Data],$DE1312,30),0)</f>
        <v/>
      </c>
      <c r="AH1312">
        <f>IFERROR(INDEX(PP_Grid[#Data],$DE1312,31),0)</f>
        <v/>
      </c>
      <c r="AI1312">
        <f>IFERROR(INDEX(PP_Grid[#Data],$DE1312,32),0)</f>
        <v/>
      </c>
      <c r="AJ1312">
        <f>IFERROR(INDEX(PP_Grid[#Data],$DE1312,33),0)</f>
        <v/>
      </c>
      <c r="AK1312">
        <f>IFERROR(INDEX(PP_Grid[#Data],$DE1312,34),0)</f>
        <v/>
      </c>
      <c r="AL1312">
        <f>IFERROR(INDEX(PP_Grid[#Data],$DE1312,35),0)</f>
        <v/>
      </c>
      <c r="AM1312">
        <f>IFERROR(INDEX(PP_Grid[#Data],$DE1312,36),0)</f>
        <v/>
      </c>
      <c r="AN1312">
        <f>IFERROR(INDEX(PP_Grid[#Data],$DE1312,37),0)</f>
        <v/>
      </c>
      <c r="AO1312">
        <f>IFERROR(INDEX(PP_Grid[#Data],$DE1312,38),0)</f>
        <v/>
      </c>
      <c r="AP1312">
        <f>IFERROR(INDEX(PP_Grid[#Data],$DE1312,39),0)</f>
        <v/>
      </c>
      <c r="AQ1312">
        <f>IFERROR(INDEX(PP_Grid[#Data],$DE1312,40),0)</f>
        <v/>
      </c>
      <c r="AR1312">
        <f>IFERROR(INDEX(PP_Grid[#Data],$DE1312,41),0)</f>
        <v/>
      </c>
      <c r="AS1312">
        <f>IFERROR(INDEX(PP_Grid[#Data],$DE1312,42),0)</f>
        <v/>
      </c>
      <c r="AT1312">
        <f>IFERROR(INDEX(PP_Grid[#Data],$DE1312,43),0)</f>
        <v/>
      </c>
      <c r="AU1312">
        <f>IFERROR(INDEX(PP_Grid[#Data],$DE1312,44),0)</f>
        <v/>
      </c>
      <c r="AV1312">
        <f>IFERROR(INDEX(PP_Grid[#Data],$DE1312,45),0)</f>
        <v/>
      </c>
      <c r="AW1312">
        <f>IFERROR(INDEX(PP_Grid[#Data],$DE1312,46),0)</f>
        <v/>
      </c>
      <c r="AX1312">
        <f>IFERROR(INDEX(PP_Grid[#Data],$DE1312,47),0)</f>
        <v/>
      </c>
      <c r="AY1312">
        <f>IFERROR(INDEX(PP_Grid[#Data],$DE1312,48),0)</f>
        <v/>
      </c>
      <c r="AZ1312">
        <f>IFERROR(INDEX(PP_Grid[#Data],$DE1312,49),0)</f>
        <v/>
      </c>
      <c r="BA1312">
        <f>IFERROR(INDEX(PP_Grid[#Data],$DE1312,50),0)</f>
        <v/>
      </c>
      <c r="BB1312">
        <f>IFERROR(INDEX(PP_Grid[#Data],$DE1312,51),0)</f>
        <v/>
      </c>
      <c r="BC1312">
        <f>IFERROR(INDEX(PP_Grid[#Data],$DE1312,52),0)</f>
        <v/>
      </c>
      <c r="BD1312">
        <f>IFERROR(INDEX(PP_Grid[#Data],$DE1312,53),0)</f>
        <v/>
      </c>
      <c r="BE1312">
        <f>IFERROR(INDEX(PP_Grid[#Data],$DE1312,54),0)</f>
        <v/>
      </c>
      <c r="BF1312">
        <f>IFERROR(INDEX(PP_Grid[#Data],$DE1312,55),0)</f>
        <v/>
      </c>
      <c r="BG1312">
        <f>IFERROR(INDEX(PP_Grid[#Data],$DE1312,56),0)</f>
        <v/>
      </c>
      <c r="BH1312">
        <f>IFERROR(INDEX(PP_Grid[#Data],$DE1312,57),0)</f>
        <v/>
      </c>
      <c r="BI1312">
        <f>IFERROR(INDEX(PP_Grid[#Data],$DE1312,58),0)</f>
        <v/>
      </c>
      <c r="BJ1312">
        <f>IFERROR(INDEX(PP_Grid[#Data],$DE1312,59),0)</f>
        <v/>
      </c>
      <c r="BK1312">
        <f>IFERROR(INDEX(PP_Grid[#Data],$DE1312,60),0)</f>
        <v/>
      </c>
      <c r="BL1312">
        <f>IFERROR(INDEX(PP_Grid[#Data],$DE1312,61),0)</f>
        <v/>
      </c>
      <c r="BM1312">
        <f>IFERROR(INDEX(PP_Grid[#Data],$DE1312,62),0)</f>
        <v/>
      </c>
      <c r="BN1312">
        <f>IFERROR(INDEX(PP_Grid[#Data],$DE1312,63),0)</f>
        <v/>
      </c>
      <c r="BO1312">
        <f>IFERROR(INDEX(PP_Grid[#Data],$DE1312,64),0)</f>
        <v/>
      </c>
      <c r="BP1312">
        <f>IFERROR(INDEX(PP_Grid[#Data],$DE1312,65),0)</f>
        <v/>
      </c>
      <c r="BQ1312">
        <f>IFERROR(INDEX(PP_Grid[#Data],$DE1312,66),0)</f>
        <v/>
      </c>
      <c r="BR1312">
        <f>IFERROR(INDEX(PP_Grid[#Data],$DE1312,67),0)</f>
        <v/>
      </c>
      <c r="BS1312">
        <f>IFERROR(INDEX(PP_Grid[#Data],$DE1312,68),0)</f>
        <v/>
      </c>
      <c r="BT1312">
        <f>IFERROR(INDEX(PP_Grid[#Data],$DE1312,69),0)</f>
        <v/>
      </c>
      <c r="BU1312">
        <f>IFERROR(INDEX(PP_Grid[#Data],$DE1312,70),0)</f>
        <v/>
      </c>
      <c r="BV1312">
        <f>IFERROR(INDEX(PP_Grid[#Data],$DE1312,71),0)</f>
        <v/>
      </c>
      <c r="BW1312">
        <f>IFERROR(INDEX(PP_Grid[#Data],$DE1312,72),0)</f>
        <v/>
      </c>
      <c r="BX1312">
        <f>IFERROR(INDEX(PP_Grid[#Data],$DE1312,73),0)</f>
        <v/>
      </c>
      <c r="BY1312">
        <f>IFERROR(INDEX(PP_Grid[#Data],$DE1312,74),0)</f>
        <v/>
      </c>
      <c r="BZ1312">
        <f>IFERROR(INDEX(PP_Grid[#Data],$DE1312,75),0)</f>
        <v/>
      </c>
      <c r="CA1312">
        <f>IFERROR(INDEX(PP_Grid[#Data],$DE1312,76),0)</f>
        <v/>
      </c>
      <c r="CB1312">
        <f>IFERROR(INDEX(PP_Grid[#Data],$DE1312,77),0)</f>
        <v/>
      </c>
      <c r="CC1312">
        <f>IFERROR(INDEX(PP_Grid[#Data],$DE1312,78),0)</f>
        <v/>
      </c>
      <c r="CD1312">
        <f>IFERROR(INDEX(PP_Grid[#Data],$DE1312,79),0)</f>
        <v/>
      </c>
      <c r="CE1312">
        <f>IFERROR(INDEX(PP_Grid[#Data],$DE1312,80),0)</f>
        <v/>
      </c>
      <c r="CF1312">
        <f>IFERROR(INDEX(PP_Grid[#Data],$DE1312,81),0)</f>
        <v/>
      </c>
      <c r="CG1312">
        <f>IFERROR(INDEX(PP_Grid[#Data],$DE1312,82),0)</f>
        <v/>
      </c>
      <c r="CH1312">
        <f>IFERROR(INDEX(PP_Grid[#Data],$DE1312,83),0)</f>
        <v/>
      </c>
      <c r="CI1312">
        <f>IFERROR(INDEX(PP_Grid[#Data],$DE1312,84),0)</f>
        <v/>
      </c>
      <c r="CJ1312">
        <f>IFERROR(INDEX(PP_Grid[#Data],$DE1312,85),0)</f>
        <v/>
      </c>
      <c r="CK1312">
        <f>IFERROR(INDEX(PP_Grid[#Data],$DE1312,86),0)</f>
        <v/>
      </c>
      <c r="CL1312">
        <f>IFERROR(INDEX(PP_Grid[#Data],$DE1312,87),0)</f>
        <v/>
      </c>
      <c r="CM1312">
        <f>IFERROR(INDEX(PP_Grid[#Data],$DE1312,88),0)</f>
        <v/>
      </c>
      <c r="CN1312">
        <f>IFERROR(INDEX(PP_Grid[#Data],$DE1312,89),0)</f>
        <v/>
      </c>
      <c r="CO1312">
        <f>IFERROR(INDEX(PP_Grid[#Data],$DE1312,90),0)</f>
        <v/>
      </c>
      <c r="CP1312">
        <f>IFERROR(INDEX(PP_Grid[#Data],$DE1312,91),0)</f>
        <v/>
      </c>
      <c r="CQ1312">
        <f>IFERROR(INDEX(PP_Grid[#Data],$DE1312,92),0)</f>
        <v/>
      </c>
      <c r="CR1312">
        <f>IFERROR(INDEX(PP_Grid[#Data],$DE1312,93),0)</f>
        <v/>
      </c>
      <c r="CS1312">
        <f>IFERROR(INDEX(PP_Grid[#Data],$DE1312,94),0)</f>
        <v/>
      </c>
      <c r="CT1312">
        <f>IFERROR(INDEX(PP_Grid[#Data],$DE1312,95),0)</f>
        <v/>
      </c>
      <c r="CU1312">
        <f>IFERROR(INDEX(PP_Grid[#Data],$DE1312,96),0)</f>
        <v/>
      </c>
      <c r="CV1312">
        <f>IFERROR(INDEX(PP_Grid[#Data],$DE1312,97),0)</f>
        <v/>
      </c>
      <c r="CW1312">
        <f>IFERROR(INDEX(PP_Grid[#Data],$DE1312,98),0)</f>
        <v/>
      </c>
      <c r="CX1312">
        <f>IFERROR(INDEX(PP_Grid[#Data],$DE1312,99),0)</f>
        <v/>
      </c>
      <c r="CY1312">
        <f>IFERROR(INDEX(PP_Grid[#Data],$DE1312,100),0)</f>
        <v/>
      </c>
      <c r="CZ1312">
        <f>IFERROR(INDEX(PP_Grid[#Data],$DE1312,101),0)</f>
        <v/>
      </c>
      <c r="DA1312">
        <f>IFERROR(INDEX(PP_Grid[#Data],$DE1312,102),0)</f>
        <v/>
      </c>
      <c r="DB1312">
        <f>IFERROR(INDEX(PP_Grid[#Data],$DE1312,103),0)</f>
        <v/>
      </c>
      <c r="DC1312">
        <f>IFERROR(INDEX(PP_Grid[#Data],$DE1312,104),0)</f>
        <v/>
      </c>
      <c r="DD1312">
        <f>IFERROR(INDEX(PP_Grid[#Data],$DE1312,105),0)</f>
        <v/>
      </c>
      <c r="DE1312" s="7">
        <f>IFERROR(MATCH($B1312,PP_Grid[Intermediate],0),99999)</f>
        <v/>
      </c>
    </row>
    <row r="1313">
      <c r="B1313" t="inlineStr">
        <is>
          <t>使用量(kg)</t>
        </is>
      </c>
      <c r="C1313">
        <f>SUMIFS(M_BOM[RM_Qty_Per_Batch],M_BOM[Intermediate],$B1312,M_BOM[RM_Code],$A1311)</f>
        <v/>
      </c>
      <c r="D1313">
        <f>IFERROR(INDEX(E1313:DD1313,$F$1),"")</f>
        <v/>
      </c>
      <c r="E1313">
        <f>$C1313*E1312</f>
        <v/>
      </c>
      <c r="F1313">
        <f>$C1313*F1312</f>
        <v/>
      </c>
      <c r="G1313">
        <f>$C1313*G1312</f>
        <v/>
      </c>
      <c r="H1313">
        <f>$C1313*H1312</f>
        <v/>
      </c>
      <c r="I1313">
        <f>$C1313*I1312</f>
        <v/>
      </c>
      <c r="J1313">
        <f>$C1313*J1312</f>
        <v/>
      </c>
      <c r="K1313">
        <f>$C1313*K1312</f>
        <v/>
      </c>
      <c r="L1313">
        <f>$C1313*L1312</f>
        <v/>
      </c>
      <c r="M1313">
        <f>$C1313*M1312</f>
        <v/>
      </c>
      <c r="N1313">
        <f>$C1313*N1312</f>
        <v/>
      </c>
      <c r="O1313">
        <f>$C1313*O1312</f>
        <v/>
      </c>
      <c r="P1313">
        <f>$C1313*P1312</f>
        <v/>
      </c>
      <c r="Q1313">
        <f>$C1313*Q1312</f>
        <v/>
      </c>
      <c r="R1313">
        <f>$C1313*R1312</f>
        <v/>
      </c>
      <c r="S1313">
        <f>$C1313*S1312</f>
        <v/>
      </c>
      <c r="T1313">
        <f>$C1313*T1312</f>
        <v/>
      </c>
      <c r="U1313">
        <f>$C1313*U1312</f>
        <v/>
      </c>
      <c r="V1313">
        <f>$C1313*V1312</f>
        <v/>
      </c>
      <c r="W1313">
        <f>$C1313*W1312</f>
        <v/>
      </c>
      <c r="X1313">
        <f>$C1313*X1312</f>
        <v/>
      </c>
      <c r="Y1313">
        <f>$C1313*Y1312</f>
        <v/>
      </c>
      <c r="Z1313">
        <f>$C1313*Z1312</f>
        <v/>
      </c>
      <c r="AA1313">
        <f>$C1313*AA1312</f>
        <v/>
      </c>
      <c r="AB1313">
        <f>$C1313*AB1312</f>
        <v/>
      </c>
      <c r="AC1313">
        <f>$C1313*AC1312</f>
        <v/>
      </c>
      <c r="AD1313">
        <f>$C1313*AD1312</f>
        <v/>
      </c>
      <c r="AE1313">
        <f>$C1313*AE1312</f>
        <v/>
      </c>
      <c r="AF1313">
        <f>$C1313*AF1312</f>
        <v/>
      </c>
      <c r="AG1313">
        <f>$C1313*AG1312</f>
        <v/>
      </c>
      <c r="AH1313">
        <f>$C1313*AH1312</f>
        <v/>
      </c>
      <c r="AI1313">
        <f>$C1313*AI1312</f>
        <v/>
      </c>
      <c r="AJ1313">
        <f>$C1313*AJ1312</f>
        <v/>
      </c>
      <c r="AK1313">
        <f>$C1313*AK1312</f>
        <v/>
      </c>
      <c r="AL1313">
        <f>$C1313*AL1312</f>
        <v/>
      </c>
      <c r="AM1313">
        <f>$C1313*AM1312</f>
        <v/>
      </c>
      <c r="AN1313">
        <f>$C1313*AN1312</f>
        <v/>
      </c>
      <c r="AO1313">
        <f>$C1313*AO1312</f>
        <v/>
      </c>
      <c r="AP1313">
        <f>$C1313*AP1312</f>
        <v/>
      </c>
      <c r="AQ1313">
        <f>$C1313*AQ1312</f>
        <v/>
      </c>
      <c r="AR1313">
        <f>$C1313*AR1312</f>
        <v/>
      </c>
      <c r="AS1313">
        <f>$C1313*AS1312</f>
        <v/>
      </c>
      <c r="AT1313">
        <f>$C1313*AT1312</f>
        <v/>
      </c>
      <c r="AU1313">
        <f>$C1313*AU1312</f>
        <v/>
      </c>
      <c r="AV1313">
        <f>$C1313*AV1312</f>
        <v/>
      </c>
      <c r="AW1313">
        <f>$C1313*AW1312</f>
        <v/>
      </c>
      <c r="AX1313">
        <f>$C1313*AX1312</f>
        <v/>
      </c>
      <c r="AY1313">
        <f>$C1313*AY1312</f>
        <v/>
      </c>
      <c r="AZ1313">
        <f>$C1313*AZ1312</f>
        <v/>
      </c>
      <c r="BA1313">
        <f>$C1313*BA1312</f>
        <v/>
      </c>
      <c r="BB1313">
        <f>$C1313*BB1312</f>
        <v/>
      </c>
      <c r="BC1313">
        <f>$C1313*BC1312</f>
        <v/>
      </c>
      <c r="BD1313">
        <f>$C1313*BD1312</f>
        <v/>
      </c>
      <c r="BE1313">
        <f>$C1313*BE1312</f>
        <v/>
      </c>
      <c r="BF1313">
        <f>$C1313*BF1312</f>
        <v/>
      </c>
      <c r="BG1313">
        <f>$C1313*BG1312</f>
        <v/>
      </c>
      <c r="BH1313">
        <f>$C1313*BH1312</f>
        <v/>
      </c>
      <c r="BI1313">
        <f>$C1313*BI1312</f>
        <v/>
      </c>
      <c r="BJ1313">
        <f>$C1313*BJ1312</f>
        <v/>
      </c>
      <c r="BK1313">
        <f>$C1313*BK1312</f>
        <v/>
      </c>
      <c r="BL1313">
        <f>$C1313*BL1312</f>
        <v/>
      </c>
      <c r="BM1313">
        <f>$C1313*BM1312</f>
        <v/>
      </c>
      <c r="BN1313">
        <f>$C1313*BN1312</f>
        <v/>
      </c>
      <c r="BO1313">
        <f>$C1313*BO1312</f>
        <v/>
      </c>
      <c r="BP1313">
        <f>$C1313*BP1312</f>
        <v/>
      </c>
      <c r="BQ1313">
        <f>$C1313*BQ1312</f>
        <v/>
      </c>
      <c r="BR1313">
        <f>$C1313*BR1312</f>
        <v/>
      </c>
      <c r="BS1313">
        <f>$C1313*BS1312</f>
        <v/>
      </c>
      <c r="BT1313">
        <f>$C1313*BT1312</f>
        <v/>
      </c>
      <c r="BU1313">
        <f>$C1313*BU1312</f>
        <v/>
      </c>
      <c r="BV1313">
        <f>$C1313*BV1312</f>
        <v/>
      </c>
      <c r="BW1313">
        <f>$C1313*BW1312</f>
        <v/>
      </c>
      <c r="BX1313">
        <f>$C1313*BX1312</f>
        <v/>
      </c>
      <c r="BY1313">
        <f>$C1313*BY1312</f>
        <v/>
      </c>
      <c r="BZ1313">
        <f>$C1313*BZ1312</f>
        <v/>
      </c>
      <c r="CA1313">
        <f>$C1313*CA1312</f>
        <v/>
      </c>
      <c r="CB1313">
        <f>$C1313*CB1312</f>
        <v/>
      </c>
      <c r="CC1313">
        <f>$C1313*CC1312</f>
        <v/>
      </c>
      <c r="CD1313">
        <f>$C1313*CD1312</f>
        <v/>
      </c>
      <c r="CE1313">
        <f>$C1313*CE1312</f>
        <v/>
      </c>
      <c r="CF1313">
        <f>$C1313*CF1312</f>
        <v/>
      </c>
      <c r="CG1313">
        <f>$C1313*CG1312</f>
        <v/>
      </c>
      <c r="CH1313">
        <f>$C1313*CH1312</f>
        <v/>
      </c>
      <c r="CI1313">
        <f>$C1313*CI1312</f>
        <v/>
      </c>
      <c r="CJ1313">
        <f>$C1313*CJ1312</f>
        <v/>
      </c>
      <c r="CK1313">
        <f>$C1313*CK1312</f>
        <v/>
      </c>
      <c r="CL1313">
        <f>$C1313*CL1312</f>
        <v/>
      </c>
      <c r="CM1313">
        <f>$C1313*CM1312</f>
        <v/>
      </c>
      <c r="CN1313">
        <f>$C1313*CN1312</f>
        <v/>
      </c>
      <c r="CO1313">
        <f>$C1313*CO1312</f>
        <v/>
      </c>
      <c r="CP1313">
        <f>$C1313*CP1312</f>
        <v/>
      </c>
      <c r="CQ1313">
        <f>$C1313*CQ1312</f>
        <v/>
      </c>
      <c r="CR1313">
        <f>$C1313*CR1312</f>
        <v/>
      </c>
      <c r="CS1313">
        <f>$C1313*CS1312</f>
        <v/>
      </c>
      <c r="CT1313">
        <f>$C1313*CT1312</f>
        <v/>
      </c>
      <c r="CU1313">
        <f>$C1313*CU1312</f>
        <v/>
      </c>
      <c r="CV1313">
        <f>$C1313*CV1312</f>
        <v/>
      </c>
      <c r="CW1313">
        <f>$C1313*CW1312</f>
        <v/>
      </c>
      <c r="CX1313">
        <f>$C1313*CX1312</f>
        <v/>
      </c>
      <c r="CY1313">
        <f>$C1313*CY1312</f>
        <v/>
      </c>
      <c r="CZ1313">
        <f>$C1313*CZ1312</f>
        <v/>
      </c>
      <c r="DA1313">
        <f>$C1313*DA1312</f>
        <v/>
      </c>
      <c r="DB1313">
        <f>$C1313*DB1312</f>
        <v/>
      </c>
      <c r="DC1313">
        <f>$C1313*DC1312</f>
        <v/>
      </c>
      <c r="DD1313">
        <f>$C1313*DD1312</f>
        <v/>
      </c>
    </row>
    <row r="1314">
      <c r="B1314" t="inlineStr">
        <is>
          <t>TSP-924</t>
        </is>
      </c>
      <c r="C1314" t="inlineStr">
        <is>
          <t>No. of batches</t>
        </is>
      </c>
      <c r="D1314">
        <f>IFERROR(INDEX(E1314:DD1314,$F$1),"")</f>
        <v/>
      </c>
      <c r="E1314">
        <f>IFERROR(INDEX(PP_Grid[#Data],$DE1314,2),0)</f>
        <v/>
      </c>
      <c r="F1314">
        <f>IFERROR(INDEX(PP_Grid[#Data],$DE1314,3),0)</f>
        <v/>
      </c>
      <c r="G1314">
        <f>IFERROR(INDEX(PP_Grid[#Data],$DE1314,4),0)</f>
        <v/>
      </c>
      <c r="H1314">
        <f>IFERROR(INDEX(PP_Grid[#Data],$DE1314,5),0)</f>
        <v/>
      </c>
      <c r="I1314">
        <f>IFERROR(INDEX(PP_Grid[#Data],$DE1314,6),0)</f>
        <v/>
      </c>
      <c r="J1314">
        <f>IFERROR(INDEX(PP_Grid[#Data],$DE1314,7),0)</f>
        <v/>
      </c>
      <c r="K1314">
        <f>IFERROR(INDEX(PP_Grid[#Data],$DE1314,8),0)</f>
        <v/>
      </c>
      <c r="L1314">
        <f>IFERROR(INDEX(PP_Grid[#Data],$DE1314,9),0)</f>
        <v/>
      </c>
      <c r="M1314">
        <f>IFERROR(INDEX(PP_Grid[#Data],$DE1314,10),0)</f>
        <v/>
      </c>
      <c r="N1314">
        <f>IFERROR(INDEX(PP_Grid[#Data],$DE1314,11),0)</f>
        <v/>
      </c>
      <c r="O1314">
        <f>IFERROR(INDEX(PP_Grid[#Data],$DE1314,12),0)</f>
        <v/>
      </c>
      <c r="P1314">
        <f>IFERROR(INDEX(PP_Grid[#Data],$DE1314,13),0)</f>
        <v/>
      </c>
      <c r="Q1314">
        <f>IFERROR(INDEX(PP_Grid[#Data],$DE1314,14),0)</f>
        <v/>
      </c>
      <c r="R1314">
        <f>IFERROR(INDEX(PP_Grid[#Data],$DE1314,15),0)</f>
        <v/>
      </c>
      <c r="S1314">
        <f>IFERROR(INDEX(PP_Grid[#Data],$DE1314,16),0)</f>
        <v/>
      </c>
      <c r="T1314">
        <f>IFERROR(INDEX(PP_Grid[#Data],$DE1314,17),0)</f>
        <v/>
      </c>
      <c r="U1314">
        <f>IFERROR(INDEX(PP_Grid[#Data],$DE1314,18),0)</f>
        <v/>
      </c>
      <c r="V1314">
        <f>IFERROR(INDEX(PP_Grid[#Data],$DE1314,19),0)</f>
        <v/>
      </c>
      <c r="W1314">
        <f>IFERROR(INDEX(PP_Grid[#Data],$DE1314,20),0)</f>
        <v/>
      </c>
      <c r="X1314">
        <f>IFERROR(INDEX(PP_Grid[#Data],$DE1314,21),0)</f>
        <v/>
      </c>
      <c r="Y1314">
        <f>IFERROR(INDEX(PP_Grid[#Data],$DE1314,22),0)</f>
        <v/>
      </c>
      <c r="Z1314">
        <f>IFERROR(INDEX(PP_Grid[#Data],$DE1314,23),0)</f>
        <v/>
      </c>
      <c r="AA1314">
        <f>IFERROR(INDEX(PP_Grid[#Data],$DE1314,24),0)</f>
        <v/>
      </c>
      <c r="AB1314">
        <f>IFERROR(INDEX(PP_Grid[#Data],$DE1314,25),0)</f>
        <v/>
      </c>
      <c r="AC1314">
        <f>IFERROR(INDEX(PP_Grid[#Data],$DE1314,26),0)</f>
        <v/>
      </c>
      <c r="AD1314">
        <f>IFERROR(INDEX(PP_Grid[#Data],$DE1314,27),0)</f>
        <v/>
      </c>
      <c r="AE1314">
        <f>IFERROR(INDEX(PP_Grid[#Data],$DE1314,28),0)</f>
        <v/>
      </c>
      <c r="AF1314">
        <f>IFERROR(INDEX(PP_Grid[#Data],$DE1314,29),0)</f>
        <v/>
      </c>
      <c r="AG1314">
        <f>IFERROR(INDEX(PP_Grid[#Data],$DE1314,30),0)</f>
        <v/>
      </c>
      <c r="AH1314">
        <f>IFERROR(INDEX(PP_Grid[#Data],$DE1314,31),0)</f>
        <v/>
      </c>
      <c r="AI1314">
        <f>IFERROR(INDEX(PP_Grid[#Data],$DE1314,32),0)</f>
        <v/>
      </c>
      <c r="AJ1314">
        <f>IFERROR(INDEX(PP_Grid[#Data],$DE1314,33),0)</f>
        <v/>
      </c>
      <c r="AK1314">
        <f>IFERROR(INDEX(PP_Grid[#Data],$DE1314,34),0)</f>
        <v/>
      </c>
      <c r="AL1314">
        <f>IFERROR(INDEX(PP_Grid[#Data],$DE1314,35),0)</f>
        <v/>
      </c>
      <c r="AM1314">
        <f>IFERROR(INDEX(PP_Grid[#Data],$DE1314,36),0)</f>
        <v/>
      </c>
      <c r="AN1314">
        <f>IFERROR(INDEX(PP_Grid[#Data],$DE1314,37),0)</f>
        <v/>
      </c>
      <c r="AO1314">
        <f>IFERROR(INDEX(PP_Grid[#Data],$DE1314,38),0)</f>
        <v/>
      </c>
      <c r="AP1314">
        <f>IFERROR(INDEX(PP_Grid[#Data],$DE1314,39),0)</f>
        <v/>
      </c>
      <c r="AQ1314">
        <f>IFERROR(INDEX(PP_Grid[#Data],$DE1314,40),0)</f>
        <v/>
      </c>
      <c r="AR1314">
        <f>IFERROR(INDEX(PP_Grid[#Data],$DE1314,41),0)</f>
        <v/>
      </c>
      <c r="AS1314">
        <f>IFERROR(INDEX(PP_Grid[#Data],$DE1314,42),0)</f>
        <v/>
      </c>
      <c r="AT1314">
        <f>IFERROR(INDEX(PP_Grid[#Data],$DE1314,43),0)</f>
        <v/>
      </c>
      <c r="AU1314">
        <f>IFERROR(INDEX(PP_Grid[#Data],$DE1314,44),0)</f>
        <v/>
      </c>
      <c r="AV1314">
        <f>IFERROR(INDEX(PP_Grid[#Data],$DE1314,45),0)</f>
        <v/>
      </c>
      <c r="AW1314">
        <f>IFERROR(INDEX(PP_Grid[#Data],$DE1314,46),0)</f>
        <v/>
      </c>
      <c r="AX1314">
        <f>IFERROR(INDEX(PP_Grid[#Data],$DE1314,47),0)</f>
        <v/>
      </c>
      <c r="AY1314">
        <f>IFERROR(INDEX(PP_Grid[#Data],$DE1314,48),0)</f>
        <v/>
      </c>
      <c r="AZ1314">
        <f>IFERROR(INDEX(PP_Grid[#Data],$DE1314,49),0)</f>
        <v/>
      </c>
      <c r="BA1314">
        <f>IFERROR(INDEX(PP_Grid[#Data],$DE1314,50),0)</f>
        <v/>
      </c>
      <c r="BB1314">
        <f>IFERROR(INDEX(PP_Grid[#Data],$DE1314,51),0)</f>
        <v/>
      </c>
      <c r="BC1314">
        <f>IFERROR(INDEX(PP_Grid[#Data],$DE1314,52),0)</f>
        <v/>
      </c>
      <c r="BD1314">
        <f>IFERROR(INDEX(PP_Grid[#Data],$DE1314,53),0)</f>
        <v/>
      </c>
      <c r="BE1314">
        <f>IFERROR(INDEX(PP_Grid[#Data],$DE1314,54),0)</f>
        <v/>
      </c>
      <c r="BF1314">
        <f>IFERROR(INDEX(PP_Grid[#Data],$DE1314,55),0)</f>
        <v/>
      </c>
      <c r="BG1314">
        <f>IFERROR(INDEX(PP_Grid[#Data],$DE1314,56),0)</f>
        <v/>
      </c>
      <c r="BH1314">
        <f>IFERROR(INDEX(PP_Grid[#Data],$DE1314,57),0)</f>
        <v/>
      </c>
      <c r="BI1314">
        <f>IFERROR(INDEX(PP_Grid[#Data],$DE1314,58),0)</f>
        <v/>
      </c>
      <c r="BJ1314">
        <f>IFERROR(INDEX(PP_Grid[#Data],$DE1314,59),0)</f>
        <v/>
      </c>
      <c r="BK1314">
        <f>IFERROR(INDEX(PP_Grid[#Data],$DE1314,60),0)</f>
        <v/>
      </c>
      <c r="BL1314">
        <f>IFERROR(INDEX(PP_Grid[#Data],$DE1314,61),0)</f>
        <v/>
      </c>
      <c r="BM1314">
        <f>IFERROR(INDEX(PP_Grid[#Data],$DE1314,62),0)</f>
        <v/>
      </c>
      <c r="BN1314">
        <f>IFERROR(INDEX(PP_Grid[#Data],$DE1314,63),0)</f>
        <v/>
      </c>
      <c r="BO1314">
        <f>IFERROR(INDEX(PP_Grid[#Data],$DE1314,64),0)</f>
        <v/>
      </c>
      <c r="BP1314">
        <f>IFERROR(INDEX(PP_Grid[#Data],$DE1314,65),0)</f>
        <v/>
      </c>
      <c r="BQ1314">
        <f>IFERROR(INDEX(PP_Grid[#Data],$DE1314,66),0)</f>
        <v/>
      </c>
      <c r="BR1314">
        <f>IFERROR(INDEX(PP_Grid[#Data],$DE1314,67),0)</f>
        <v/>
      </c>
      <c r="BS1314">
        <f>IFERROR(INDEX(PP_Grid[#Data],$DE1314,68),0)</f>
        <v/>
      </c>
      <c r="BT1314">
        <f>IFERROR(INDEX(PP_Grid[#Data],$DE1314,69),0)</f>
        <v/>
      </c>
      <c r="BU1314">
        <f>IFERROR(INDEX(PP_Grid[#Data],$DE1314,70),0)</f>
        <v/>
      </c>
      <c r="BV1314">
        <f>IFERROR(INDEX(PP_Grid[#Data],$DE1314,71),0)</f>
        <v/>
      </c>
      <c r="BW1314">
        <f>IFERROR(INDEX(PP_Grid[#Data],$DE1314,72),0)</f>
        <v/>
      </c>
      <c r="BX1314">
        <f>IFERROR(INDEX(PP_Grid[#Data],$DE1314,73),0)</f>
        <v/>
      </c>
      <c r="BY1314">
        <f>IFERROR(INDEX(PP_Grid[#Data],$DE1314,74),0)</f>
        <v/>
      </c>
      <c r="BZ1314">
        <f>IFERROR(INDEX(PP_Grid[#Data],$DE1314,75),0)</f>
        <v/>
      </c>
      <c r="CA1314">
        <f>IFERROR(INDEX(PP_Grid[#Data],$DE1314,76),0)</f>
        <v/>
      </c>
      <c r="CB1314">
        <f>IFERROR(INDEX(PP_Grid[#Data],$DE1314,77),0)</f>
        <v/>
      </c>
      <c r="CC1314">
        <f>IFERROR(INDEX(PP_Grid[#Data],$DE1314,78),0)</f>
        <v/>
      </c>
      <c r="CD1314">
        <f>IFERROR(INDEX(PP_Grid[#Data],$DE1314,79),0)</f>
        <v/>
      </c>
      <c r="CE1314">
        <f>IFERROR(INDEX(PP_Grid[#Data],$DE1314,80),0)</f>
        <v/>
      </c>
      <c r="CF1314">
        <f>IFERROR(INDEX(PP_Grid[#Data],$DE1314,81),0)</f>
        <v/>
      </c>
      <c r="CG1314">
        <f>IFERROR(INDEX(PP_Grid[#Data],$DE1314,82),0)</f>
        <v/>
      </c>
      <c r="CH1314">
        <f>IFERROR(INDEX(PP_Grid[#Data],$DE1314,83),0)</f>
        <v/>
      </c>
      <c r="CI1314">
        <f>IFERROR(INDEX(PP_Grid[#Data],$DE1314,84),0)</f>
        <v/>
      </c>
      <c r="CJ1314">
        <f>IFERROR(INDEX(PP_Grid[#Data],$DE1314,85),0)</f>
        <v/>
      </c>
      <c r="CK1314">
        <f>IFERROR(INDEX(PP_Grid[#Data],$DE1314,86),0)</f>
        <v/>
      </c>
      <c r="CL1314">
        <f>IFERROR(INDEX(PP_Grid[#Data],$DE1314,87),0)</f>
        <v/>
      </c>
      <c r="CM1314">
        <f>IFERROR(INDEX(PP_Grid[#Data],$DE1314,88),0)</f>
        <v/>
      </c>
      <c r="CN1314">
        <f>IFERROR(INDEX(PP_Grid[#Data],$DE1314,89),0)</f>
        <v/>
      </c>
      <c r="CO1314">
        <f>IFERROR(INDEX(PP_Grid[#Data],$DE1314,90),0)</f>
        <v/>
      </c>
      <c r="CP1314">
        <f>IFERROR(INDEX(PP_Grid[#Data],$DE1314,91),0)</f>
        <v/>
      </c>
      <c r="CQ1314">
        <f>IFERROR(INDEX(PP_Grid[#Data],$DE1314,92),0)</f>
        <v/>
      </c>
      <c r="CR1314">
        <f>IFERROR(INDEX(PP_Grid[#Data],$DE1314,93),0)</f>
        <v/>
      </c>
      <c r="CS1314">
        <f>IFERROR(INDEX(PP_Grid[#Data],$DE1314,94),0)</f>
        <v/>
      </c>
      <c r="CT1314">
        <f>IFERROR(INDEX(PP_Grid[#Data],$DE1314,95),0)</f>
        <v/>
      </c>
      <c r="CU1314">
        <f>IFERROR(INDEX(PP_Grid[#Data],$DE1314,96),0)</f>
        <v/>
      </c>
      <c r="CV1314">
        <f>IFERROR(INDEX(PP_Grid[#Data],$DE1314,97),0)</f>
        <v/>
      </c>
      <c r="CW1314">
        <f>IFERROR(INDEX(PP_Grid[#Data],$DE1314,98),0)</f>
        <v/>
      </c>
      <c r="CX1314">
        <f>IFERROR(INDEX(PP_Grid[#Data],$DE1314,99),0)</f>
        <v/>
      </c>
      <c r="CY1314">
        <f>IFERROR(INDEX(PP_Grid[#Data],$DE1314,100),0)</f>
        <v/>
      </c>
      <c r="CZ1314">
        <f>IFERROR(INDEX(PP_Grid[#Data],$DE1314,101),0)</f>
        <v/>
      </c>
      <c r="DA1314">
        <f>IFERROR(INDEX(PP_Grid[#Data],$DE1314,102),0)</f>
        <v/>
      </c>
      <c r="DB1314">
        <f>IFERROR(INDEX(PP_Grid[#Data],$DE1314,103),0)</f>
        <v/>
      </c>
      <c r="DC1314">
        <f>IFERROR(INDEX(PP_Grid[#Data],$DE1314,104),0)</f>
        <v/>
      </c>
      <c r="DD1314">
        <f>IFERROR(INDEX(PP_Grid[#Data],$DE1314,105),0)</f>
        <v/>
      </c>
      <c r="DE1314" s="7">
        <f>IFERROR(MATCH($B1314,PP_Grid[Intermediate],0),99999)</f>
        <v/>
      </c>
    </row>
    <row r="1315">
      <c r="B1315" t="inlineStr">
        <is>
          <t>使用量(kg)</t>
        </is>
      </c>
      <c r="C1315">
        <f>SUMIFS(M_BOM[RM_Qty_Per_Batch],M_BOM[Intermediate],$B1314,M_BOM[RM_Code],$A1311)</f>
        <v/>
      </c>
      <c r="D1315">
        <f>IFERROR(INDEX(E1315:DD1315,$F$1),"")</f>
        <v/>
      </c>
      <c r="E1315">
        <f>$C1315*E1314</f>
        <v/>
      </c>
      <c r="F1315">
        <f>$C1315*F1314</f>
        <v/>
      </c>
      <c r="G1315">
        <f>$C1315*G1314</f>
        <v/>
      </c>
      <c r="H1315">
        <f>$C1315*H1314</f>
        <v/>
      </c>
      <c r="I1315">
        <f>$C1315*I1314</f>
        <v/>
      </c>
      <c r="J1315">
        <f>$C1315*J1314</f>
        <v/>
      </c>
      <c r="K1315">
        <f>$C1315*K1314</f>
        <v/>
      </c>
      <c r="L1315">
        <f>$C1315*L1314</f>
        <v/>
      </c>
      <c r="M1315">
        <f>$C1315*M1314</f>
        <v/>
      </c>
      <c r="N1315">
        <f>$C1315*N1314</f>
        <v/>
      </c>
      <c r="O1315">
        <f>$C1315*O1314</f>
        <v/>
      </c>
      <c r="P1315">
        <f>$C1315*P1314</f>
        <v/>
      </c>
      <c r="Q1315">
        <f>$C1315*Q1314</f>
        <v/>
      </c>
      <c r="R1315">
        <f>$C1315*R1314</f>
        <v/>
      </c>
      <c r="S1315">
        <f>$C1315*S1314</f>
        <v/>
      </c>
      <c r="T1315">
        <f>$C1315*T1314</f>
        <v/>
      </c>
      <c r="U1315">
        <f>$C1315*U1314</f>
        <v/>
      </c>
      <c r="V1315">
        <f>$C1315*V1314</f>
        <v/>
      </c>
      <c r="W1315">
        <f>$C1315*W1314</f>
        <v/>
      </c>
      <c r="X1315">
        <f>$C1315*X1314</f>
        <v/>
      </c>
      <c r="Y1315">
        <f>$C1315*Y1314</f>
        <v/>
      </c>
      <c r="Z1315">
        <f>$C1315*Z1314</f>
        <v/>
      </c>
      <c r="AA1315">
        <f>$C1315*AA1314</f>
        <v/>
      </c>
      <c r="AB1315">
        <f>$C1315*AB1314</f>
        <v/>
      </c>
      <c r="AC1315">
        <f>$C1315*AC1314</f>
        <v/>
      </c>
      <c r="AD1315">
        <f>$C1315*AD1314</f>
        <v/>
      </c>
      <c r="AE1315">
        <f>$C1315*AE1314</f>
        <v/>
      </c>
      <c r="AF1315">
        <f>$C1315*AF1314</f>
        <v/>
      </c>
      <c r="AG1315">
        <f>$C1315*AG1314</f>
        <v/>
      </c>
      <c r="AH1315">
        <f>$C1315*AH1314</f>
        <v/>
      </c>
      <c r="AI1315">
        <f>$C1315*AI1314</f>
        <v/>
      </c>
      <c r="AJ1315">
        <f>$C1315*AJ1314</f>
        <v/>
      </c>
      <c r="AK1315">
        <f>$C1315*AK1314</f>
        <v/>
      </c>
      <c r="AL1315">
        <f>$C1315*AL1314</f>
        <v/>
      </c>
      <c r="AM1315">
        <f>$C1315*AM1314</f>
        <v/>
      </c>
      <c r="AN1315">
        <f>$C1315*AN1314</f>
        <v/>
      </c>
      <c r="AO1315">
        <f>$C1315*AO1314</f>
        <v/>
      </c>
      <c r="AP1315">
        <f>$C1315*AP1314</f>
        <v/>
      </c>
      <c r="AQ1315">
        <f>$C1315*AQ1314</f>
        <v/>
      </c>
      <c r="AR1315">
        <f>$C1315*AR1314</f>
        <v/>
      </c>
      <c r="AS1315">
        <f>$C1315*AS1314</f>
        <v/>
      </c>
      <c r="AT1315">
        <f>$C1315*AT1314</f>
        <v/>
      </c>
      <c r="AU1315">
        <f>$C1315*AU1314</f>
        <v/>
      </c>
      <c r="AV1315">
        <f>$C1315*AV1314</f>
        <v/>
      </c>
      <c r="AW1315">
        <f>$C1315*AW1314</f>
        <v/>
      </c>
      <c r="AX1315">
        <f>$C1315*AX1314</f>
        <v/>
      </c>
      <c r="AY1315">
        <f>$C1315*AY1314</f>
        <v/>
      </c>
      <c r="AZ1315">
        <f>$C1315*AZ1314</f>
        <v/>
      </c>
      <c r="BA1315">
        <f>$C1315*BA1314</f>
        <v/>
      </c>
      <c r="BB1315">
        <f>$C1315*BB1314</f>
        <v/>
      </c>
      <c r="BC1315">
        <f>$C1315*BC1314</f>
        <v/>
      </c>
      <c r="BD1315">
        <f>$C1315*BD1314</f>
        <v/>
      </c>
      <c r="BE1315">
        <f>$C1315*BE1314</f>
        <v/>
      </c>
      <c r="BF1315">
        <f>$C1315*BF1314</f>
        <v/>
      </c>
      <c r="BG1315">
        <f>$C1315*BG1314</f>
        <v/>
      </c>
      <c r="BH1315">
        <f>$C1315*BH1314</f>
        <v/>
      </c>
      <c r="BI1315">
        <f>$C1315*BI1314</f>
        <v/>
      </c>
      <c r="BJ1315">
        <f>$C1315*BJ1314</f>
        <v/>
      </c>
      <c r="BK1315">
        <f>$C1315*BK1314</f>
        <v/>
      </c>
      <c r="BL1315">
        <f>$C1315*BL1314</f>
        <v/>
      </c>
      <c r="BM1315">
        <f>$C1315*BM1314</f>
        <v/>
      </c>
      <c r="BN1315">
        <f>$C1315*BN1314</f>
        <v/>
      </c>
      <c r="BO1315">
        <f>$C1315*BO1314</f>
        <v/>
      </c>
      <c r="BP1315">
        <f>$C1315*BP1314</f>
        <v/>
      </c>
      <c r="BQ1315">
        <f>$C1315*BQ1314</f>
        <v/>
      </c>
      <c r="BR1315">
        <f>$C1315*BR1314</f>
        <v/>
      </c>
      <c r="BS1315">
        <f>$C1315*BS1314</f>
        <v/>
      </c>
      <c r="BT1315">
        <f>$C1315*BT1314</f>
        <v/>
      </c>
      <c r="BU1315">
        <f>$C1315*BU1314</f>
        <v/>
      </c>
      <c r="BV1315">
        <f>$C1315*BV1314</f>
        <v/>
      </c>
      <c r="BW1315">
        <f>$C1315*BW1314</f>
        <v/>
      </c>
      <c r="BX1315">
        <f>$C1315*BX1314</f>
        <v/>
      </c>
      <c r="BY1315">
        <f>$C1315*BY1314</f>
        <v/>
      </c>
      <c r="BZ1315">
        <f>$C1315*BZ1314</f>
        <v/>
      </c>
      <c r="CA1315">
        <f>$C1315*CA1314</f>
        <v/>
      </c>
      <c r="CB1315">
        <f>$C1315*CB1314</f>
        <v/>
      </c>
      <c r="CC1315">
        <f>$C1315*CC1314</f>
        <v/>
      </c>
      <c r="CD1315">
        <f>$C1315*CD1314</f>
        <v/>
      </c>
      <c r="CE1315">
        <f>$C1315*CE1314</f>
        <v/>
      </c>
      <c r="CF1315">
        <f>$C1315*CF1314</f>
        <v/>
      </c>
      <c r="CG1315">
        <f>$C1315*CG1314</f>
        <v/>
      </c>
      <c r="CH1315">
        <f>$C1315*CH1314</f>
        <v/>
      </c>
      <c r="CI1315">
        <f>$C1315*CI1314</f>
        <v/>
      </c>
      <c r="CJ1315">
        <f>$C1315*CJ1314</f>
        <v/>
      </c>
      <c r="CK1315">
        <f>$C1315*CK1314</f>
        <v/>
      </c>
      <c r="CL1315">
        <f>$C1315*CL1314</f>
        <v/>
      </c>
      <c r="CM1315">
        <f>$C1315*CM1314</f>
        <v/>
      </c>
      <c r="CN1315">
        <f>$C1315*CN1314</f>
        <v/>
      </c>
      <c r="CO1315">
        <f>$C1315*CO1314</f>
        <v/>
      </c>
      <c r="CP1315">
        <f>$C1315*CP1314</f>
        <v/>
      </c>
      <c r="CQ1315">
        <f>$C1315*CQ1314</f>
        <v/>
      </c>
      <c r="CR1315">
        <f>$C1315*CR1314</f>
        <v/>
      </c>
      <c r="CS1315">
        <f>$C1315*CS1314</f>
        <v/>
      </c>
      <c r="CT1315">
        <f>$C1315*CT1314</f>
        <v/>
      </c>
      <c r="CU1315">
        <f>$C1315*CU1314</f>
        <v/>
      </c>
      <c r="CV1315">
        <f>$C1315*CV1314</f>
        <v/>
      </c>
      <c r="CW1315">
        <f>$C1315*CW1314</f>
        <v/>
      </c>
      <c r="CX1315">
        <f>$C1315*CX1314</f>
        <v/>
      </c>
      <c r="CY1315">
        <f>$C1315*CY1314</f>
        <v/>
      </c>
      <c r="CZ1315">
        <f>$C1315*CZ1314</f>
        <v/>
      </c>
      <c r="DA1315">
        <f>$C1315*DA1314</f>
        <v/>
      </c>
      <c r="DB1315">
        <f>$C1315*DB1314</f>
        <v/>
      </c>
      <c r="DC1315">
        <f>$C1315*DC1314</f>
        <v/>
      </c>
      <c r="DD1315">
        <f>$C1315*DD1314</f>
        <v/>
      </c>
    </row>
    <row r="1316">
      <c r="B1316" t="inlineStr">
        <is>
          <t>TSP-925</t>
        </is>
      </c>
      <c r="C1316" t="inlineStr">
        <is>
          <t>No. of batches</t>
        </is>
      </c>
      <c r="D1316">
        <f>IFERROR(INDEX(E1316:DD1316,$F$1),"")</f>
        <v/>
      </c>
      <c r="E1316">
        <f>IFERROR(INDEX(PP_Grid[#Data],$DE1316,2),0)</f>
        <v/>
      </c>
      <c r="F1316">
        <f>IFERROR(INDEX(PP_Grid[#Data],$DE1316,3),0)</f>
        <v/>
      </c>
      <c r="G1316">
        <f>IFERROR(INDEX(PP_Grid[#Data],$DE1316,4),0)</f>
        <v/>
      </c>
      <c r="H1316">
        <f>IFERROR(INDEX(PP_Grid[#Data],$DE1316,5),0)</f>
        <v/>
      </c>
      <c r="I1316">
        <f>IFERROR(INDEX(PP_Grid[#Data],$DE1316,6),0)</f>
        <v/>
      </c>
      <c r="J1316">
        <f>IFERROR(INDEX(PP_Grid[#Data],$DE1316,7),0)</f>
        <v/>
      </c>
      <c r="K1316">
        <f>IFERROR(INDEX(PP_Grid[#Data],$DE1316,8),0)</f>
        <v/>
      </c>
      <c r="L1316">
        <f>IFERROR(INDEX(PP_Grid[#Data],$DE1316,9),0)</f>
        <v/>
      </c>
      <c r="M1316">
        <f>IFERROR(INDEX(PP_Grid[#Data],$DE1316,10),0)</f>
        <v/>
      </c>
      <c r="N1316">
        <f>IFERROR(INDEX(PP_Grid[#Data],$DE1316,11),0)</f>
        <v/>
      </c>
      <c r="O1316">
        <f>IFERROR(INDEX(PP_Grid[#Data],$DE1316,12),0)</f>
        <v/>
      </c>
      <c r="P1316">
        <f>IFERROR(INDEX(PP_Grid[#Data],$DE1316,13),0)</f>
        <v/>
      </c>
      <c r="Q1316">
        <f>IFERROR(INDEX(PP_Grid[#Data],$DE1316,14),0)</f>
        <v/>
      </c>
      <c r="R1316">
        <f>IFERROR(INDEX(PP_Grid[#Data],$DE1316,15),0)</f>
        <v/>
      </c>
      <c r="S1316">
        <f>IFERROR(INDEX(PP_Grid[#Data],$DE1316,16),0)</f>
        <v/>
      </c>
      <c r="T1316">
        <f>IFERROR(INDEX(PP_Grid[#Data],$DE1316,17),0)</f>
        <v/>
      </c>
      <c r="U1316">
        <f>IFERROR(INDEX(PP_Grid[#Data],$DE1316,18),0)</f>
        <v/>
      </c>
      <c r="V1316">
        <f>IFERROR(INDEX(PP_Grid[#Data],$DE1316,19),0)</f>
        <v/>
      </c>
      <c r="W1316">
        <f>IFERROR(INDEX(PP_Grid[#Data],$DE1316,20),0)</f>
        <v/>
      </c>
      <c r="X1316">
        <f>IFERROR(INDEX(PP_Grid[#Data],$DE1316,21),0)</f>
        <v/>
      </c>
      <c r="Y1316">
        <f>IFERROR(INDEX(PP_Grid[#Data],$DE1316,22),0)</f>
        <v/>
      </c>
      <c r="Z1316">
        <f>IFERROR(INDEX(PP_Grid[#Data],$DE1316,23),0)</f>
        <v/>
      </c>
      <c r="AA1316">
        <f>IFERROR(INDEX(PP_Grid[#Data],$DE1316,24),0)</f>
        <v/>
      </c>
      <c r="AB1316">
        <f>IFERROR(INDEX(PP_Grid[#Data],$DE1316,25),0)</f>
        <v/>
      </c>
      <c r="AC1316">
        <f>IFERROR(INDEX(PP_Grid[#Data],$DE1316,26),0)</f>
        <v/>
      </c>
      <c r="AD1316">
        <f>IFERROR(INDEX(PP_Grid[#Data],$DE1316,27),0)</f>
        <v/>
      </c>
      <c r="AE1316">
        <f>IFERROR(INDEX(PP_Grid[#Data],$DE1316,28),0)</f>
        <v/>
      </c>
      <c r="AF1316">
        <f>IFERROR(INDEX(PP_Grid[#Data],$DE1316,29),0)</f>
        <v/>
      </c>
      <c r="AG1316">
        <f>IFERROR(INDEX(PP_Grid[#Data],$DE1316,30),0)</f>
        <v/>
      </c>
      <c r="AH1316">
        <f>IFERROR(INDEX(PP_Grid[#Data],$DE1316,31),0)</f>
        <v/>
      </c>
      <c r="AI1316">
        <f>IFERROR(INDEX(PP_Grid[#Data],$DE1316,32),0)</f>
        <v/>
      </c>
      <c r="AJ1316">
        <f>IFERROR(INDEX(PP_Grid[#Data],$DE1316,33),0)</f>
        <v/>
      </c>
      <c r="AK1316">
        <f>IFERROR(INDEX(PP_Grid[#Data],$DE1316,34),0)</f>
        <v/>
      </c>
      <c r="AL1316">
        <f>IFERROR(INDEX(PP_Grid[#Data],$DE1316,35),0)</f>
        <v/>
      </c>
      <c r="AM1316">
        <f>IFERROR(INDEX(PP_Grid[#Data],$DE1316,36),0)</f>
        <v/>
      </c>
      <c r="AN1316">
        <f>IFERROR(INDEX(PP_Grid[#Data],$DE1316,37),0)</f>
        <v/>
      </c>
      <c r="AO1316">
        <f>IFERROR(INDEX(PP_Grid[#Data],$DE1316,38),0)</f>
        <v/>
      </c>
      <c r="AP1316">
        <f>IFERROR(INDEX(PP_Grid[#Data],$DE1316,39),0)</f>
        <v/>
      </c>
      <c r="AQ1316">
        <f>IFERROR(INDEX(PP_Grid[#Data],$DE1316,40),0)</f>
        <v/>
      </c>
      <c r="AR1316">
        <f>IFERROR(INDEX(PP_Grid[#Data],$DE1316,41),0)</f>
        <v/>
      </c>
      <c r="AS1316">
        <f>IFERROR(INDEX(PP_Grid[#Data],$DE1316,42),0)</f>
        <v/>
      </c>
      <c r="AT1316">
        <f>IFERROR(INDEX(PP_Grid[#Data],$DE1316,43),0)</f>
        <v/>
      </c>
      <c r="AU1316">
        <f>IFERROR(INDEX(PP_Grid[#Data],$DE1316,44),0)</f>
        <v/>
      </c>
      <c r="AV1316">
        <f>IFERROR(INDEX(PP_Grid[#Data],$DE1316,45),0)</f>
        <v/>
      </c>
      <c r="AW1316">
        <f>IFERROR(INDEX(PP_Grid[#Data],$DE1316,46),0)</f>
        <v/>
      </c>
      <c r="AX1316">
        <f>IFERROR(INDEX(PP_Grid[#Data],$DE1316,47),0)</f>
        <v/>
      </c>
      <c r="AY1316">
        <f>IFERROR(INDEX(PP_Grid[#Data],$DE1316,48),0)</f>
        <v/>
      </c>
      <c r="AZ1316">
        <f>IFERROR(INDEX(PP_Grid[#Data],$DE1316,49),0)</f>
        <v/>
      </c>
      <c r="BA1316">
        <f>IFERROR(INDEX(PP_Grid[#Data],$DE1316,50),0)</f>
        <v/>
      </c>
      <c r="BB1316">
        <f>IFERROR(INDEX(PP_Grid[#Data],$DE1316,51),0)</f>
        <v/>
      </c>
      <c r="BC1316">
        <f>IFERROR(INDEX(PP_Grid[#Data],$DE1316,52),0)</f>
        <v/>
      </c>
      <c r="BD1316">
        <f>IFERROR(INDEX(PP_Grid[#Data],$DE1316,53),0)</f>
        <v/>
      </c>
      <c r="BE1316">
        <f>IFERROR(INDEX(PP_Grid[#Data],$DE1316,54),0)</f>
        <v/>
      </c>
      <c r="BF1316">
        <f>IFERROR(INDEX(PP_Grid[#Data],$DE1316,55),0)</f>
        <v/>
      </c>
      <c r="BG1316">
        <f>IFERROR(INDEX(PP_Grid[#Data],$DE1316,56),0)</f>
        <v/>
      </c>
      <c r="BH1316">
        <f>IFERROR(INDEX(PP_Grid[#Data],$DE1316,57),0)</f>
        <v/>
      </c>
      <c r="BI1316">
        <f>IFERROR(INDEX(PP_Grid[#Data],$DE1316,58),0)</f>
        <v/>
      </c>
      <c r="BJ1316">
        <f>IFERROR(INDEX(PP_Grid[#Data],$DE1316,59),0)</f>
        <v/>
      </c>
      <c r="BK1316">
        <f>IFERROR(INDEX(PP_Grid[#Data],$DE1316,60),0)</f>
        <v/>
      </c>
      <c r="BL1316">
        <f>IFERROR(INDEX(PP_Grid[#Data],$DE1316,61),0)</f>
        <v/>
      </c>
      <c r="BM1316">
        <f>IFERROR(INDEX(PP_Grid[#Data],$DE1316,62),0)</f>
        <v/>
      </c>
      <c r="BN1316">
        <f>IFERROR(INDEX(PP_Grid[#Data],$DE1316,63),0)</f>
        <v/>
      </c>
      <c r="BO1316">
        <f>IFERROR(INDEX(PP_Grid[#Data],$DE1316,64),0)</f>
        <v/>
      </c>
      <c r="BP1316">
        <f>IFERROR(INDEX(PP_Grid[#Data],$DE1316,65),0)</f>
        <v/>
      </c>
      <c r="BQ1316">
        <f>IFERROR(INDEX(PP_Grid[#Data],$DE1316,66),0)</f>
        <v/>
      </c>
      <c r="BR1316">
        <f>IFERROR(INDEX(PP_Grid[#Data],$DE1316,67),0)</f>
        <v/>
      </c>
      <c r="BS1316">
        <f>IFERROR(INDEX(PP_Grid[#Data],$DE1316,68),0)</f>
        <v/>
      </c>
      <c r="BT1316">
        <f>IFERROR(INDEX(PP_Grid[#Data],$DE1316,69),0)</f>
        <v/>
      </c>
      <c r="BU1316">
        <f>IFERROR(INDEX(PP_Grid[#Data],$DE1316,70),0)</f>
        <v/>
      </c>
      <c r="BV1316">
        <f>IFERROR(INDEX(PP_Grid[#Data],$DE1316,71),0)</f>
        <v/>
      </c>
      <c r="BW1316">
        <f>IFERROR(INDEX(PP_Grid[#Data],$DE1316,72),0)</f>
        <v/>
      </c>
      <c r="BX1316">
        <f>IFERROR(INDEX(PP_Grid[#Data],$DE1316,73),0)</f>
        <v/>
      </c>
      <c r="BY1316">
        <f>IFERROR(INDEX(PP_Grid[#Data],$DE1316,74),0)</f>
        <v/>
      </c>
      <c r="BZ1316">
        <f>IFERROR(INDEX(PP_Grid[#Data],$DE1316,75),0)</f>
        <v/>
      </c>
      <c r="CA1316">
        <f>IFERROR(INDEX(PP_Grid[#Data],$DE1316,76),0)</f>
        <v/>
      </c>
      <c r="CB1316">
        <f>IFERROR(INDEX(PP_Grid[#Data],$DE1316,77),0)</f>
        <v/>
      </c>
      <c r="CC1316">
        <f>IFERROR(INDEX(PP_Grid[#Data],$DE1316,78),0)</f>
        <v/>
      </c>
      <c r="CD1316">
        <f>IFERROR(INDEX(PP_Grid[#Data],$DE1316,79),0)</f>
        <v/>
      </c>
      <c r="CE1316">
        <f>IFERROR(INDEX(PP_Grid[#Data],$DE1316,80),0)</f>
        <v/>
      </c>
      <c r="CF1316">
        <f>IFERROR(INDEX(PP_Grid[#Data],$DE1316,81),0)</f>
        <v/>
      </c>
      <c r="CG1316">
        <f>IFERROR(INDEX(PP_Grid[#Data],$DE1316,82),0)</f>
        <v/>
      </c>
      <c r="CH1316">
        <f>IFERROR(INDEX(PP_Grid[#Data],$DE1316,83),0)</f>
        <v/>
      </c>
      <c r="CI1316">
        <f>IFERROR(INDEX(PP_Grid[#Data],$DE1316,84),0)</f>
        <v/>
      </c>
      <c r="CJ1316">
        <f>IFERROR(INDEX(PP_Grid[#Data],$DE1316,85),0)</f>
        <v/>
      </c>
      <c r="CK1316">
        <f>IFERROR(INDEX(PP_Grid[#Data],$DE1316,86),0)</f>
        <v/>
      </c>
      <c r="CL1316">
        <f>IFERROR(INDEX(PP_Grid[#Data],$DE1316,87),0)</f>
        <v/>
      </c>
      <c r="CM1316">
        <f>IFERROR(INDEX(PP_Grid[#Data],$DE1316,88),0)</f>
        <v/>
      </c>
      <c r="CN1316">
        <f>IFERROR(INDEX(PP_Grid[#Data],$DE1316,89),0)</f>
        <v/>
      </c>
      <c r="CO1316">
        <f>IFERROR(INDEX(PP_Grid[#Data],$DE1316,90),0)</f>
        <v/>
      </c>
      <c r="CP1316">
        <f>IFERROR(INDEX(PP_Grid[#Data],$DE1316,91),0)</f>
        <v/>
      </c>
      <c r="CQ1316">
        <f>IFERROR(INDEX(PP_Grid[#Data],$DE1316,92),0)</f>
        <v/>
      </c>
      <c r="CR1316">
        <f>IFERROR(INDEX(PP_Grid[#Data],$DE1316,93),0)</f>
        <v/>
      </c>
      <c r="CS1316">
        <f>IFERROR(INDEX(PP_Grid[#Data],$DE1316,94),0)</f>
        <v/>
      </c>
      <c r="CT1316">
        <f>IFERROR(INDEX(PP_Grid[#Data],$DE1316,95),0)</f>
        <v/>
      </c>
      <c r="CU1316">
        <f>IFERROR(INDEX(PP_Grid[#Data],$DE1316,96),0)</f>
        <v/>
      </c>
      <c r="CV1316">
        <f>IFERROR(INDEX(PP_Grid[#Data],$DE1316,97),0)</f>
        <v/>
      </c>
      <c r="CW1316">
        <f>IFERROR(INDEX(PP_Grid[#Data],$DE1316,98),0)</f>
        <v/>
      </c>
      <c r="CX1316">
        <f>IFERROR(INDEX(PP_Grid[#Data],$DE1316,99),0)</f>
        <v/>
      </c>
      <c r="CY1316">
        <f>IFERROR(INDEX(PP_Grid[#Data],$DE1316,100),0)</f>
        <v/>
      </c>
      <c r="CZ1316">
        <f>IFERROR(INDEX(PP_Grid[#Data],$DE1316,101),0)</f>
        <v/>
      </c>
      <c r="DA1316">
        <f>IFERROR(INDEX(PP_Grid[#Data],$DE1316,102),0)</f>
        <v/>
      </c>
      <c r="DB1316">
        <f>IFERROR(INDEX(PP_Grid[#Data],$DE1316,103),0)</f>
        <v/>
      </c>
      <c r="DC1316">
        <f>IFERROR(INDEX(PP_Grid[#Data],$DE1316,104),0)</f>
        <v/>
      </c>
      <c r="DD1316">
        <f>IFERROR(INDEX(PP_Grid[#Data],$DE1316,105),0)</f>
        <v/>
      </c>
      <c r="DE1316" s="7">
        <f>IFERROR(MATCH($B1316,PP_Grid[Intermediate],0),99999)</f>
        <v/>
      </c>
    </row>
    <row r="1317">
      <c r="B1317" t="inlineStr">
        <is>
          <t>使用量(kg)</t>
        </is>
      </c>
      <c r="C1317">
        <f>SUMIFS(M_BOM[RM_Qty_Per_Batch],M_BOM[Intermediate],$B1316,M_BOM[RM_Code],$A1311)</f>
        <v/>
      </c>
      <c r="D1317">
        <f>IFERROR(INDEX(E1317:DD1317,$F$1),"")</f>
        <v/>
      </c>
      <c r="E1317">
        <f>$C1317*E1316</f>
        <v/>
      </c>
      <c r="F1317">
        <f>$C1317*F1316</f>
        <v/>
      </c>
      <c r="G1317">
        <f>$C1317*G1316</f>
        <v/>
      </c>
      <c r="H1317">
        <f>$C1317*H1316</f>
        <v/>
      </c>
      <c r="I1317">
        <f>$C1317*I1316</f>
        <v/>
      </c>
      <c r="J1317">
        <f>$C1317*J1316</f>
        <v/>
      </c>
      <c r="K1317">
        <f>$C1317*K1316</f>
        <v/>
      </c>
      <c r="L1317">
        <f>$C1317*L1316</f>
        <v/>
      </c>
      <c r="M1317">
        <f>$C1317*M1316</f>
        <v/>
      </c>
      <c r="N1317">
        <f>$C1317*N1316</f>
        <v/>
      </c>
      <c r="O1317">
        <f>$C1317*O1316</f>
        <v/>
      </c>
      <c r="P1317">
        <f>$C1317*P1316</f>
        <v/>
      </c>
      <c r="Q1317">
        <f>$C1317*Q1316</f>
        <v/>
      </c>
      <c r="R1317">
        <f>$C1317*R1316</f>
        <v/>
      </c>
      <c r="S1317">
        <f>$C1317*S1316</f>
        <v/>
      </c>
      <c r="T1317">
        <f>$C1317*T1316</f>
        <v/>
      </c>
      <c r="U1317">
        <f>$C1317*U1316</f>
        <v/>
      </c>
      <c r="V1317">
        <f>$C1317*V1316</f>
        <v/>
      </c>
      <c r="W1317">
        <f>$C1317*W1316</f>
        <v/>
      </c>
      <c r="X1317">
        <f>$C1317*X1316</f>
        <v/>
      </c>
      <c r="Y1317">
        <f>$C1317*Y1316</f>
        <v/>
      </c>
      <c r="Z1317">
        <f>$C1317*Z1316</f>
        <v/>
      </c>
      <c r="AA1317">
        <f>$C1317*AA1316</f>
        <v/>
      </c>
      <c r="AB1317">
        <f>$C1317*AB1316</f>
        <v/>
      </c>
      <c r="AC1317">
        <f>$C1317*AC1316</f>
        <v/>
      </c>
      <c r="AD1317">
        <f>$C1317*AD1316</f>
        <v/>
      </c>
      <c r="AE1317">
        <f>$C1317*AE1316</f>
        <v/>
      </c>
      <c r="AF1317">
        <f>$C1317*AF1316</f>
        <v/>
      </c>
      <c r="AG1317">
        <f>$C1317*AG1316</f>
        <v/>
      </c>
      <c r="AH1317">
        <f>$C1317*AH1316</f>
        <v/>
      </c>
      <c r="AI1317">
        <f>$C1317*AI1316</f>
        <v/>
      </c>
      <c r="AJ1317">
        <f>$C1317*AJ1316</f>
        <v/>
      </c>
      <c r="AK1317">
        <f>$C1317*AK1316</f>
        <v/>
      </c>
      <c r="AL1317">
        <f>$C1317*AL1316</f>
        <v/>
      </c>
      <c r="AM1317">
        <f>$C1317*AM1316</f>
        <v/>
      </c>
      <c r="AN1317">
        <f>$C1317*AN1316</f>
        <v/>
      </c>
      <c r="AO1317">
        <f>$C1317*AO1316</f>
        <v/>
      </c>
      <c r="AP1317">
        <f>$C1317*AP1316</f>
        <v/>
      </c>
      <c r="AQ1317">
        <f>$C1317*AQ1316</f>
        <v/>
      </c>
      <c r="AR1317">
        <f>$C1317*AR1316</f>
        <v/>
      </c>
      <c r="AS1317">
        <f>$C1317*AS1316</f>
        <v/>
      </c>
      <c r="AT1317">
        <f>$C1317*AT1316</f>
        <v/>
      </c>
      <c r="AU1317">
        <f>$C1317*AU1316</f>
        <v/>
      </c>
      <c r="AV1317">
        <f>$C1317*AV1316</f>
        <v/>
      </c>
      <c r="AW1317">
        <f>$C1317*AW1316</f>
        <v/>
      </c>
      <c r="AX1317">
        <f>$C1317*AX1316</f>
        <v/>
      </c>
      <c r="AY1317">
        <f>$C1317*AY1316</f>
        <v/>
      </c>
      <c r="AZ1317">
        <f>$C1317*AZ1316</f>
        <v/>
      </c>
      <c r="BA1317">
        <f>$C1317*BA1316</f>
        <v/>
      </c>
      <c r="BB1317">
        <f>$C1317*BB1316</f>
        <v/>
      </c>
      <c r="BC1317">
        <f>$C1317*BC1316</f>
        <v/>
      </c>
      <c r="BD1317">
        <f>$C1317*BD1316</f>
        <v/>
      </c>
      <c r="BE1317">
        <f>$C1317*BE1316</f>
        <v/>
      </c>
      <c r="BF1317">
        <f>$C1317*BF1316</f>
        <v/>
      </c>
      <c r="BG1317">
        <f>$C1317*BG1316</f>
        <v/>
      </c>
      <c r="BH1317">
        <f>$C1317*BH1316</f>
        <v/>
      </c>
      <c r="BI1317">
        <f>$C1317*BI1316</f>
        <v/>
      </c>
      <c r="BJ1317">
        <f>$C1317*BJ1316</f>
        <v/>
      </c>
      <c r="BK1317">
        <f>$C1317*BK1316</f>
        <v/>
      </c>
      <c r="BL1317">
        <f>$C1317*BL1316</f>
        <v/>
      </c>
      <c r="BM1317">
        <f>$C1317*BM1316</f>
        <v/>
      </c>
      <c r="BN1317">
        <f>$C1317*BN1316</f>
        <v/>
      </c>
      <c r="BO1317">
        <f>$C1317*BO1316</f>
        <v/>
      </c>
      <c r="BP1317">
        <f>$C1317*BP1316</f>
        <v/>
      </c>
      <c r="BQ1317">
        <f>$C1317*BQ1316</f>
        <v/>
      </c>
      <c r="BR1317">
        <f>$C1317*BR1316</f>
        <v/>
      </c>
      <c r="BS1317">
        <f>$C1317*BS1316</f>
        <v/>
      </c>
      <c r="BT1317">
        <f>$C1317*BT1316</f>
        <v/>
      </c>
      <c r="BU1317">
        <f>$C1317*BU1316</f>
        <v/>
      </c>
      <c r="BV1317">
        <f>$C1317*BV1316</f>
        <v/>
      </c>
      <c r="BW1317">
        <f>$C1317*BW1316</f>
        <v/>
      </c>
      <c r="BX1317">
        <f>$C1317*BX1316</f>
        <v/>
      </c>
      <c r="BY1317">
        <f>$C1317*BY1316</f>
        <v/>
      </c>
      <c r="BZ1317">
        <f>$C1317*BZ1316</f>
        <v/>
      </c>
      <c r="CA1317">
        <f>$C1317*CA1316</f>
        <v/>
      </c>
      <c r="CB1317">
        <f>$C1317*CB1316</f>
        <v/>
      </c>
      <c r="CC1317">
        <f>$C1317*CC1316</f>
        <v/>
      </c>
      <c r="CD1317">
        <f>$C1317*CD1316</f>
        <v/>
      </c>
      <c r="CE1317">
        <f>$C1317*CE1316</f>
        <v/>
      </c>
      <c r="CF1317">
        <f>$C1317*CF1316</f>
        <v/>
      </c>
      <c r="CG1317">
        <f>$C1317*CG1316</f>
        <v/>
      </c>
      <c r="CH1317">
        <f>$C1317*CH1316</f>
        <v/>
      </c>
      <c r="CI1317">
        <f>$C1317*CI1316</f>
        <v/>
      </c>
      <c r="CJ1317">
        <f>$C1317*CJ1316</f>
        <v/>
      </c>
      <c r="CK1317">
        <f>$C1317*CK1316</f>
        <v/>
      </c>
      <c r="CL1317">
        <f>$C1317*CL1316</f>
        <v/>
      </c>
      <c r="CM1317">
        <f>$C1317*CM1316</f>
        <v/>
      </c>
      <c r="CN1317">
        <f>$C1317*CN1316</f>
        <v/>
      </c>
      <c r="CO1317">
        <f>$C1317*CO1316</f>
        <v/>
      </c>
      <c r="CP1317">
        <f>$C1317*CP1316</f>
        <v/>
      </c>
      <c r="CQ1317">
        <f>$C1317*CQ1316</f>
        <v/>
      </c>
      <c r="CR1317">
        <f>$C1317*CR1316</f>
        <v/>
      </c>
      <c r="CS1317">
        <f>$C1317*CS1316</f>
        <v/>
      </c>
      <c r="CT1317">
        <f>$C1317*CT1316</f>
        <v/>
      </c>
      <c r="CU1317">
        <f>$C1317*CU1316</f>
        <v/>
      </c>
      <c r="CV1317">
        <f>$C1317*CV1316</f>
        <v/>
      </c>
      <c r="CW1317">
        <f>$C1317*CW1316</f>
        <v/>
      </c>
      <c r="CX1317">
        <f>$C1317*CX1316</f>
        <v/>
      </c>
      <c r="CY1317">
        <f>$C1317*CY1316</f>
        <v/>
      </c>
      <c r="CZ1317">
        <f>$C1317*CZ1316</f>
        <v/>
      </c>
      <c r="DA1317">
        <f>$C1317*DA1316</f>
        <v/>
      </c>
      <c r="DB1317">
        <f>$C1317*DB1316</f>
        <v/>
      </c>
      <c r="DC1317">
        <f>$C1317*DC1316</f>
        <v/>
      </c>
      <c r="DD1317">
        <f>$C1317*DD1316</f>
        <v/>
      </c>
    </row>
    <row r="1318">
      <c r="B1318" t="inlineStr">
        <is>
          <t>TSP-1388</t>
        </is>
      </c>
      <c r="C1318" t="inlineStr">
        <is>
          <t>No. of batches</t>
        </is>
      </c>
      <c r="D1318">
        <f>IFERROR(INDEX(E1318:DD1318,$F$1),"")</f>
        <v/>
      </c>
      <c r="E1318">
        <f>IFERROR(INDEX(PP_Grid[#Data],$DE1318,2),0)</f>
        <v/>
      </c>
      <c r="F1318">
        <f>IFERROR(INDEX(PP_Grid[#Data],$DE1318,3),0)</f>
        <v/>
      </c>
      <c r="G1318">
        <f>IFERROR(INDEX(PP_Grid[#Data],$DE1318,4),0)</f>
        <v/>
      </c>
      <c r="H1318">
        <f>IFERROR(INDEX(PP_Grid[#Data],$DE1318,5),0)</f>
        <v/>
      </c>
      <c r="I1318">
        <f>IFERROR(INDEX(PP_Grid[#Data],$DE1318,6),0)</f>
        <v/>
      </c>
      <c r="J1318">
        <f>IFERROR(INDEX(PP_Grid[#Data],$DE1318,7),0)</f>
        <v/>
      </c>
      <c r="K1318">
        <f>IFERROR(INDEX(PP_Grid[#Data],$DE1318,8),0)</f>
        <v/>
      </c>
      <c r="L1318">
        <f>IFERROR(INDEX(PP_Grid[#Data],$DE1318,9),0)</f>
        <v/>
      </c>
      <c r="M1318">
        <f>IFERROR(INDEX(PP_Grid[#Data],$DE1318,10),0)</f>
        <v/>
      </c>
      <c r="N1318">
        <f>IFERROR(INDEX(PP_Grid[#Data],$DE1318,11),0)</f>
        <v/>
      </c>
      <c r="O1318">
        <f>IFERROR(INDEX(PP_Grid[#Data],$DE1318,12),0)</f>
        <v/>
      </c>
      <c r="P1318">
        <f>IFERROR(INDEX(PP_Grid[#Data],$DE1318,13),0)</f>
        <v/>
      </c>
      <c r="Q1318">
        <f>IFERROR(INDEX(PP_Grid[#Data],$DE1318,14),0)</f>
        <v/>
      </c>
      <c r="R1318">
        <f>IFERROR(INDEX(PP_Grid[#Data],$DE1318,15),0)</f>
        <v/>
      </c>
      <c r="S1318">
        <f>IFERROR(INDEX(PP_Grid[#Data],$DE1318,16),0)</f>
        <v/>
      </c>
      <c r="T1318">
        <f>IFERROR(INDEX(PP_Grid[#Data],$DE1318,17),0)</f>
        <v/>
      </c>
      <c r="U1318">
        <f>IFERROR(INDEX(PP_Grid[#Data],$DE1318,18),0)</f>
        <v/>
      </c>
      <c r="V1318">
        <f>IFERROR(INDEX(PP_Grid[#Data],$DE1318,19),0)</f>
        <v/>
      </c>
      <c r="W1318">
        <f>IFERROR(INDEX(PP_Grid[#Data],$DE1318,20),0)</f>
        <v/>
      </c>
      <c r="X1318">
        <f>IFERROR(INDEX(PP_Grid[#Data],$DE1318,21),0)</f>
        <v/>
      </c>
      <c r="Y1318">
        <f>IFERROR(INDEX(PP_Grid[#Data],$DE1318,22),0)</f>
        <v/>
      </c>
      <c r="Z1318">
        <f>IFERROR(INDEX(PP_Grid[#Data],$DE1318,23),0)</f>
        <v/>
      </c>
      <c r="AA1318">
        <f>IFERROR(INDEX(PP_Grid[#Data],$DE1318,24),0)</f>
        <v/>
      </c>
      <c r="AB1318">
        <f>IFERROR(INDEX(PP_Grid[#Data],$DE1318,25),0)</f>
        <v/>
      </c>
      <c r="AC1318">
        <f>IFERROR(INDEX(PP_Grid[#Data],$DE1318,26),0)</f>
        <v/>
      </c>
      <c r="AD1318">
        <f>IFERROR(INDEX(PP_Grid[#Data],$DE1318,27),0)</f>
        <v/>
      </c>
      <c r="AE1318">
        <f>IFERROR(INDEX(PP_Grid[#Data],$DE1318,28),0)</f>
        <v/>
      </c>
      <c r="AF1318">
        <f>IFERROR(INDEX(PP_Grid[#Data],$DE1318,29),0)</f>
        <v/>
      </c>
      <c r="AG1318">
        <f>IFERROR(INDEX(PP_Grid[#Data],$DE1318,30),0)</f>
        <v/>
      </c>
      <c r="AH1318">
        <f>IFERROR(INDEX(PP_Grid[#Data],$DE1318,31),0)</f>
        <v/>
      </c>
      <c r="AI1318">
        <f>IFERROR(INDEX(PP_Grid[#Data],$DE1318,32),0)</f>
        <v/>
      </c>
      <c r="AJ1318">
        <f>IFERROR(INDEX(PP_Grid[#Data],$DE1318,33),0)</f>
        <v/>
      </c>
      <c r="AK1318">
        <f>IFERROR(INDEX(PP_Grid[#Data],$DE1318,34),0)</f>
        <v/>
      </c>
      <c r="AL1318">
        <f>IFERROR(INDEX(PP_Grid[#Data],$DE1318,35),0)</f>
        <v/>
      </c>
      <c r="AM1318">
        <f>IFERROR(INDEX(PP_Grid[#Data],$DE1318,36),0)</f>
        <v/>
      </c>
      <c r="AN1318">
        <f>IFERROR(INDEX(PP_Grid[#Data],$DE1318,37),0)</f>
        <v/>
      </c>
      <c r="AO1318">
        <f>IFERROR(INDEX(PP_Grid[#Data],$DE1318,38),0)</f>
        <v/>
      </c>
      <c r="AP1318">
        <f>IFERROR(INDEX(PP_Grid[#Data],$DE1318,39),0)</f>
        <v/>
      </c>
      <c r="AQ1318">
        <f>IFERROR(INDEX(PP_Grid[#Data],$DE1318,40),0)</f>
        <v/>
      </c>
      <c r="AR1318">
        <f>IFERROR(INDEX(PP_Grid[#Data],$DE1318,41),0)</f>
        <v/>
      </c>
      <c r="AS1318">
        <f>IFERROR(INDEX(PP_Grid[#Data],$DE1318,42),0)</f>
        <v/>
      </c>
      <c r="AT1318">
        <f>IFERROR(INDEX(PP_Grid[#Data],$DE1318,43),0)</f>
        <v/>
      </c>
      <c r="AU1318">
        <f>IFERROR(INDEX(PP_Grid[#Data],$DE1318,44),0)</f>
        <v/>
      </c>
      <c r="AV1318">
        <f>IFERROR(INDEX(PP_Grid[#Data],$DE1318,45),0)</f>
        <v/>
      </c>
      <c r="AW1318">
        <f>IFERROR(INDEX(PP_Grid[#Data],$DE1318,46),0)</f>
        <v/>
      </c>
      <c r="AX1318">
        <f>IFERROR(INDEX(PP_Grid[#Data],$DE1318,47),0)</f>
        <v/>
      </c>
      <c r="AY1318">
        <f>IFERROR(INDEX(PP_Grid[#Data],$DE1318,48),0)</f>
        <v/>
      </c>
      <c r="AZ1318">
        <f>IFERROR(INDEX(PP_Grid[#Data],$DE1318,49),0)</f>
        <v/>
      </c>
      <c r="BA1318">
        <f>IFERROR(INDEX(PP_Grid[#Data],$DE1318,50),0)</f>
        <v/>
      </c>
      <c r="BB1318">
        <f>IFERROR(INDEX(PP_Grid[#Data],$DE1318,51),0)</f>
        <v/>
      </c>
      <c r="BC1318">
        <f>IFERROR(INDEX(PP_Grid[#Data],$DE1318,52),0)</f>
        <v/>
      </c>
      <c r="BD1318">
        <f>IFERROR(INDEX(PP_Grid[#Data],$DE1318,53),0)</f>
        <v/>
      </c>
      <c r="BE1318">
        <f>IFERROR(INDEX(PP_Grid[#Data],$DE1318,54),0)</f>
        <v/>
      </c>
      <c r="BF1318">
        <f>IFERROR(INDEX(PP_Grid[#Data],$DE1318,55),0)</f>
        <v/>
      </c>
      <c r="BG1318">
        <f>IFERROR(INDEX(PP_Grid[#Data],$DE1318,56),0)</f>
        <v/>
      </c>
      <c r="BH1318">
        <f>IFERROR(INDEX(PP_Grid[#Data],$DE1318,57),0)</f>
        <v/>
      </c>
      <c r="BI1318">
        <f>IFERROR(INDEX(PP_Grid[#Data],$DE1318,58),0)</f>
        <v/>
      </c>
      <c r="BJ1318">
        <f>IFERROR(INDEX(PP_Grid[#Data],$DE1318,59),0)</f>
        <v/>
      </c>
      <c r="BK1318">
        <f>IFERROR(INDEX(PP_Grid[#Data],$DE1318,60),0)</f>
        <v/>
      </c>
      <c r="BL1318">
        <f>IFERROR(INDEX(PP_Grid[#Data],$DE1318,61),0)</f>
        <v/>
      </c>
      <c r="BM1318">
        <f>IFERROR(INDEX(PP_Grid[#Data],$DE1318,62),0)</f>
        <v/>
      </c>
      <c r="BN1318">
        <f>IFERROR(INDEX(PP_Grid[#Data],$DE1318,63),0)</f>
        <v/>
      </c>
      <c r="BO1318">
        <f>IFERROR(INDEX(PP_Grid[#Data],$DE1318,64),0)</f>
        <v/>
      </c>
      <c r="BP1318">
        <f>IFERROR(INDEX(PP_Grid[#Data],$DE1318,65),0)</f>
        <v/>
      </c>
      <c r="BQ1318">
        <f>IFERROR(INDEX(PP_Grid[#Data],$DE1318,66),0)</f>
        <v/>
      </c>
      <c r="BR1318">
        <f>IFERROR(INDEX(PP_Grid[#Data],$DE1318,67),0)</f>
        <v/>
      </c>
      <c r="BS1318">
        <f>IFERROR(INDEX(PP_Grid[#Data],$DE1318,68),0)</f>
        <v/>
      </c>
      <c r="BT1318">
        <f>IFERROR(INDEX(PP_Grid[#Data],$DE1318,69),0)</f>
        <v/>
      </c>
      <c r="BU1318">
        <f>IFERROR(INDEX(PP_Grid[#Data],$DE1318,70),0)</f>
        <v/>
      </c>
      <c r="BV1318">
        <f>IFERROR(INDEX(PP_Grid[#Data],$DE1318,71),0)</f>
        <v/>
      </c>
      <c r="BW1318">
        <f>IFERROR(INDEX(PP_Grid[#Data],$DE1318,72),0)</f>
        <v/>
      </c>
      <c r="BX1318">
        <f>IFERROR(INDEX(PP_Grid[#Data],$DE1318,73),0)</f>
        <v/>
      </c>
      <c r="BY1318">
        <f>IFERROR(INDEX(PP_Grid[#Data],$DE1318,74),0)</f>
        <v/>
      </c>
      <c r="BZ1318">
        <f>IFERROR(INDEX(PP_Grid[#Data],$DE1318,75),0)</f>
        <v/>
      </c>
      <c r="CA1318">
        <f>IFERROR(INDEX(PP_Grid[#Data],$DE1318,76),0)</f>
        <v/>
      </c>
      <c r="CB1318">
        <f>IFERROR(INDEX(PP_Grid[#Data],$DE1318,77),0)</f>
        <v/>
      </c>
      <c r="CC1318">
        <f>IFERROR(INDEX(PP_Grid[#Data],$DE1318,78),0)</f>
        <v/>
      </c>
      <c r="CD1318">
        <f>IFERROR(INDEX(PP_Grid[#Data],$DE1318,79),0)</f>
        <v/>
      </c>
      <c r="CE1318">
        <f>IFERROR(INDEX(PP_Grid[#Data],$DE1318,80),0)</f>
        <v/>
      </c>
      <c r="CF1318">
        <f>IFERROR(INDEX(PP_Grid[#Data],$DE1318,81),0)</f>
        <v/>
      </c>
      <c r="CG1318">
        <f>IFERROR(INDEX(PP_Grid[#Data],$DE1318,82),0)</f>
        <v/>
      </c>
      <c r="CH1318">
        <f>IFERROR(INDEX(PP_Grid[#Data],$DE1318,83),0)</f>
        <v/>
      </c>
      <c r="CI1318">
        <f>IFERROR(INDEX(PP_Grid[#Data],$DE1318,84),0)</f>
        <v/>
      </c>
      <c r="CJ1318">
        <f>IFERROR(INDEX(PP_Grid[#Data],$DE1318,85),0)</f>
        <v/>
      </c>
      <c r="CK1318">
        <f>IFERROR(INDEX(PP_Grid[#Data],$DE1318,86),0)</f>
        <v/>
      </c>
      <c r="CL1318">
        <f>IFERROR(INDEX(PP_Grid[#Data],$DE1318,87),0)</f>
        <v/>
      </c>
      <c r="CM1318">
        <f>IFERROR(INDEX(PP_Grid[#Data],$DE1318,88),0)</f>
        <v/>
      </c>
      <c r="CN1318">
        <f>IFERROR(INDEX(PP_Grid[#Data],$DE1318,89),0)</f>
        <v/>
      </c>
      <c r="CO1318">
        <f>IFERROR(INDEX(PP_Grid[#Data],$DE1318,90),0)</f>
        <v/>
      </c>
      <c r="CP1318">
        <f>IFERROR(INDEX(PP_Grid[#Data],$DE1318,91),0)</f>
        <v/>
      </c>
      <c r="CQ1318">
        <f>IFERROR(INDEX(PP_Grid[#Data],$DE1318,92),0)</f>
        <v/>
      </c>
      <c r="CR1318">
        <f>IFERROR(INDEX(PP_Grid[#Data],$DE1318,93),0)</f>
        <v/>
      </c>
      <c r="CS1318">
        <f>IFERROR(INDEX(PP_Grid[#Data],$DE1318,94),0)</f>
        <v/>
      </c>
      <c r="CT1318">
        <f>IFERROR(INDEX(PP_Grid[#Data],$DE1318,95),0)</f>
        <v/>
      </c>
      <c r="CU1318">
        <f>IFERROR(INDEX(PP_Grid[#Data],$DE1318,96),0)</f>
        <v/>
      </c>
      <c r="CV1318">
        <f>IFERROR(INDEX(PP_Grid[#Data],$DE1318,97),0)</f>
        <v/>
      </c>
      <c r="CW1318">
        <f>IFERROR(INDEX(PP_Grid[#Data],$DE1318,98),0)</f>
        <v/>
      </c>
      <c r="CX1318">
        <f>IFERROR(INDEX(PP_Grid[#Data],$DE1318,99),0)</f>
        <v/>
      </c>
      <c r="CY1318">
        <f>IFERROR(INDEX(PP_Grid[#Data],$DE1318,100),0)</f>
        <v/>
      </c>
      <c r="CZ1318">
        <f>IFERROR(INDEX(PP_Grid[#Data],$DE1318,101),0)</f>
        <v/>
      </c>
      <c r="DA1318">
        <f>IFERROR(INDEX(PP_Grid[#Data],$DE1318,102),0)</f>
        <v/>
      </c>
      <c r="DB1318">
        <f>IFERROR(INDEX(PP_Grid[#Data],$DE1318,103),0)</f>
        <v/>
      </c>
      <c r="DC1318">
        <f>IFERROR(INDEX(PP_Grid[#Data],$DE1318,104),0)</f>
        <v/>
      </c>
      <c r="DD1318">
        <f>IFERROR(INDEX(PP_Grid[#Data],$DE1318,105),0)</f>
        <v/>
      </c>
      <c r="DE1318" s="7">
        <f>IFERROR(MATCH($B1318,PP_Grid[Intermediate],0),99999)</f>
        <v/>
      </c>
    </row>
    <row r="1319">
      <c r="B1319" t="inlineStr">
        <is>
          <t>使用量(kg)</t>
        </is>
      </c>
      <c r="C1319">
        <f>SUMIFS(M_BOM[RM_Qty_Per_Batch],M_BOM[Intermediate],$B1318,M_BOM[RM_Code],$A1311)</f>
        <v/>
      </c>
      <c r="D1319">
        <f>IFERROR(INDEX(E1319:DD1319,$F$1),"")</f>
        <v/>
      </c>
      <c r="E1319">
        <f>$C1319*E1318</f>
        <v/>
      </c>
      <c r="F1319">
        <f>$C1319*F1318</f>
        <v/>
      </c>
      <c r="G1319">
        <f>$C1319*G1318</f>
        <v/>
      </c>
      <c r="H1319">
        <f>$C1319*H1318</f>
        <v/>
      </c>
      <c r="I1319">
        <f>$C1319*I1318</f>
        <v/>
      </c>
      <c r="J1319">
        <f>$C1319*J1318</f>
        <v/>
      </c>
      <c r="K1319">
        <f>$C1319*K1318</f>
        <v/>
      </c>
      <c r="L1319">
        <f>$C1319*L1318</f>
        <v/>
      </c>
      <c r="M1319">
        <f>$C1319*M1318</f>
        <v/>
      </c>
      <c r="N1319">
        <f>$C1319*N1318</f>
        <v/>
      </c>
      <c r="O1319">
        <f>$C1319*O1318</f>
        <v/>
      </c>
      <c r="P1319">
        <f>$C1319*P1318</f>
        <v/>
      </c>
      <c r="Q1319">
        <f>$C1319*Q1318</f>
        <v/>
      </c>
      <c r="R1319">
        <f>$C1319*R1318</f>
        <v/>
      </c>
      <c r="S1319">
        <f>$C1319*S1318</f>
        <v/>
      </c>
      <c r="T1319">
        <f>$C1319*T1318</f>
        <v/>
      </c>
      <c r="U1319">
        <f>$C1319*U1318</f>
        <v/>
      </c>
      <c r="V1319">
        <f>$C1319*V1318</f>
        <v/>
      </c>
      <c r="W1319">
        <f>$C1319*W1318</f>
        <v/>
      </c>
      <c r="X1319">
        <f>$C1319*X1318</f>
        <v/>
      </c>
      <c r="Y1319">
        <f>$C1319*Y1318</f>
        <v/>
      </c>
      <c r="Z1319">
        <f>$C1319*Z1318</f>
        <v/>
      </c>
      <c r="AA1319">
        <f>$C1319*AA1318</f>
        <v/>
      </c>
      <c r="AB1319">
        <f>$C1319*AB1318</f>
        <v/>
      </c>
      <c r="AC1319">
        <f>$C1319*AC1318</f>
        <v/>
      </c>
      <c r="AD1319">
        <f>$C1319*AD1318</f>
        <v/>
      </c>
      <c r="AE1319">
        <f>$C1319*AE1318</f>
        <v/>
      </c>
      <c r="AF1319">
        <f>$C1319*AF1318</f>
        <v/>
      </c>
      <c r="AG1319">
        <f>$C1319*AG1318</f>
        <v/>
      </c>
      <c r="AH1319">
        <f>$C1319*AH1318</f>
        <v/>
      </c>
      <c r="AI1319">
        <f>$C1319*AI1318</f>
        <v/>
      </c>
      <c r="AJ1319">
        <f>$C1319*AJ1318</f>
        <v/>
      </c>
      <c r="AK1319">
        <f>$C1319*AK1318</f>
        <v/>
      </c>
      <c r="AL1319">
        <f>$C1319*AL1318</f>
        <v/>
      </c>
      <c r="AM1319">
        <f>$C1319*AM1318</f>
        <v/>
      </c>
      <c r="AN1319">
        <f>$C1319*AN1318</f>
        <v/>
      </c>
      <c r="AO1319">
        <f>$C1319*AO1318</f>
        <v/>
      </c>
      <c r="AP1319">
        <f>$C1319*AP1318</f>
        <v/>
      </c>
      <c r="AQ1319">
        <f>$C1319*AQ1318</f>
        <v/>
      </c>
      <c r="AR1319">
        <f>$C1319*AR1318</f>
        <v/>
      </c>
      <c r="AS1319">
        <f>$C1319*AS1318</f>
        <v/>
      </c>
      <c r="AT1319">
        <f>$C1319*AT1318</f>
        <v/>
      </c>
      <c r="AU1319">
        <f>$C1319*AU1318</f>
        <v/>
      </c>
      <c r="AV1319">
        <f>$C1319*AV1318</f>
        <v/>
      </c>
      <c r="AW1319">
        <f>$C1319*AW1318</f>
        <v/>
      </c>
      <c r="AX1319">
        <f>$C1319*AX1318</f>
        <v/>
      </c>
      <c r="AY1319">
        <f>$C1319*AY1318</f>
        <v/>
      </c>
      <c r="AZ1319">
        <f>$C1319*AZ1318</f>
        <v/>
      </c>
      <c r="BA1319">
        <f>$C1319*BA1318</f>
        <v/>
      </c>
      <c r="BB1319">
        <f>$C1319*BB1318</f>
        <v/>
      </c>
      <c r="BC1319">
        <f>$C1319*BC1318</f>
        <v/>
      </c>
      <c r="BD1319">
        <f>$C1319*BD1318</f>
        <v/>
      </c>
      <c r="BE1319">
        <f>$C1319*BE1318</f>
        <v/>
      </c>
      <c r="BF1319">
        <f>$C1319*BF1318</f>
        <v/>
      </c>
      <c r="BG1319">
        <f>$C1319*BG1318</f>
        <v/>
      </c>
      <c r="BH1319">
        <f>$C1319*BH1318</f>
        <v/>
      </c>
      <c r="BI1319">
        <f>$C1319*BI1318</f>
        <v/>
      </c>
      <c r="BJ1319">
        <f>$C1319*BJ1318</f>
        <v/>
      </c>
      <c r="BK1319">
        <f>$C1319*BK1318</f>
        <v/>
      </c>
      <c r="BL1319">
        <f>$C1319*BL1318</f>
        <v/>
      </c>
      <c r="BM1319">
        <f>$C1319*BM1318</f>
        <v/>
      </c>
      <c r="BN1319">
        <f>$C1319*BN1318</f>
        <v/>
      </c>
      <c r="BO1319">
        <f>$C1319*BO1318</f>
        <v/>
      </c>
      <c r="BP1319">
        <f>$C1319*BP1318</f>
        <v/>
      </c>
      <c r="BQ1319">
        <f>$C1319*BQ1318</f>
        <v/>
      </c>
      <c r="BR1319">
        <f>$C1319*BR1318</f>
        <v/>
      </c>
      <c r="BS1319">
        <f>$C1319*BS1318</f>
        <v/>
      </c>
      <c r="BT1319">
        <f>$C1319*BT1318</f>
        <v/>
      </c>
      <c r="BU1319">
        <f>$C1319*BU1318</f>
        <v/>
      </c>
      <c r="BV1319">
        <f>$C1319*BV1318</f>
        <v/>
      </c>
      <c r="BW1319">
        <f>$C1319*BW1318</f>
        <v/>
      </c>
      <c r="BX1319">
        <f>$C1319*BX1318</f>
        <v/>
      </c>
      <c r="BY1319">
        <f>$C1319*BY1318</f>
        <v/>
      </c>
      <c r="BZ1319">
        <f>$C1319*BZ1318</f>
        <v/>
      </c>
      <c r="CA1319">
        <f>$C1319*CA1318</f>
        <v/>
      </c>
      <c r="CB1319">
        <f>$C1319*CB1318</f>
        <v/>
      </c>
      <c r="CC1319">
        <f>$C1319*CC1318</f>
        <v/>
      </c>
      <c r="CD1319">
        <f>$C1319*CD1318</f>
        <v/>
      </c>
      <c r="CE1319">
        <f>$C1319*CE1318</f>
        <v/>
      </c>
      <c r="CF1319">
        <f>$C1319*CF1318</f>
        <v/>
      </c>
      <c r="CG1319">
        <f>$C1319*CG1318</f>
        <v/>
      </c>
      <c r="CH1319">
        <f>$C1319*CH1318</f>
        <v/>
      </c>
      <c r="CI1319">
        <f>$C1319*CI1318</f>
        <v/>
      </c>
      <c r="CJ1319">
        <f>$C1319*CJ1318</f>
        <v/>
      </c>
      <c r="CK1319">
        <f>$C1319*CK1318</f>
        <v/>
      </c>
      <c r="CL1319">
        <f>$C1319*CL1318</f>
        <v/>
      </c>
      <c r="CM1319">
        <f>$C1319*CM1318</f>
        <v/>
      </c>
      <c r="CN1319">
        <f>$C1319*CN1318</f>
        <v/>
      </c>
      <c r="CO1319">
        <f>$C1319*CO1318</f>
        <v/>
      </c>
      <c r="CP1319">
        <f>$C1319*CP1318</f>
        <v/>
      </c>
      <c r="CQ1319">
        <f>$C1319*CQ1318</f>
        <v/>
      </c>
      <c r="CR1319">
        <f>$C1319*CR1318</f>
        <v/>
      </c>
      <c r="CS1319">
        <f>$C1319*CS1318</f>
        <v/>
      </c>
      <c r="CT1319">
        <f>$C1319*CT1318</f>
        <v/>
      </c>
      <c r="CU1319">
        <f>$C1319*CU1318</f>
        <v/>
      </c>
      <c r="CV1319">
        <f>$C1319*CV1318</f>
        <v/>
      </c>
      <c r="CW1319">
        <f>$C1319*CW1318</f>
        <v/>
      </c>
      <c r="CX1319">
        <f>$C1319*CX1318</f>
        <v/>
      </c>
      <c r="CY1319">
        <f>$C1319*CY1318</f>
        <v/>
      </c>
      <c r="CZ1319">
        <f>$C1319*CZ1318</f>
        <v/>
      </c>
      <c r="DA1319">
        <f>$C1319*DA1318</f>
        <v/>
      </c>
      <c r="DB1319">
        <f>$C1319*DB1318</f>
        <v/>
      </c>
      <c r="DC1319">
        <f>$C1319*DC1318</f>
        <v/>
      </c>
      <c r="DD1319">
        <f>$C1319*DD1318</f>
        <v/>
      </c>
    </row>
    <row r="1320">
      <c r="B1320" s="4" t="inlineStr">
        <is>
          <t>合計使用量(kg)/週</t>
        </is>
      </c>
      <c r="D1320" s="23">
        <f>IFERROR(INDEX(E1320:DD1320,$F$1),"")</f>
        <v/>
      </c>
      <c r="E1320">
        <f>'Grid_Requirement'!B86</f>
        <v/>
      </c>
      <c r="F1320">
        <f>'Grid_Requirement'!C86</f>
        <v/>
      </c>
      <c r="G1320">
        <f>'Grid_Requirement'!D86</f>
        <v/>
      </c>
      <c r="H1320">
        <f>'Grid_Requirement'!E86</f>
        <v/>
      </c>
      <c r="I1320">
        <f>'Grid_Requirement'!F86</f>
        <v/>
      </c>
      <c r="J1320">
        <f>'Grid_Requirement'!G86</f>
        <v/>
      </c>
      <c r="K1320">
        <f>'Grid_Requirement'!H86</f>
        <v/>
      </c>
      <c r="L1320">
        <f>'Grid_Requirement'!I86</f>
        <v/>
      </c>
      <c r="M1320">
        <f>'Grid_Requirement'!J86</f>
        <v/>
      </c>
      <c r="N1320">
        <f>'Grid_Requirement'!K86</f>
        <v/>
      </c>
      <c r="O1320">
        <f>'Grid_Requirement'!L86</f>
        <v/>
      </c>
      <c r="P1320">
        <f>'Grid_Requirement'!M86</f>
        <v/>
      </c>
      <c r="Q1320">
        <f>'Grid_Requirement'!N86</f>
        <v/>
      </c>
      <c r="R1320">
        <f>'Grid_Requirement'!O86</f>
        <v/>
      </c>
      <c r="S1320">
        <f>'Grid_Requirement'!P86</f>
        <v/>
      </c>
      <c r="T1320">
        <f>'Grid_Requirement'!Q86</f>
        <v/>
      </c>
      <c r="U1320">
        <f>'Grid_Requirement'!R86</f>
        <v/>
      </c>
      <c r="V1320">
        <f>'Grid_Requirement'!S86</f>
        <v/>
      </c>
      <c r="W1320">
        <f>'Grid_Requirement'!T86</f>
        <v/>
      </c>
      <c r="X1320">
        <f>'Grid_Requirement'!U86</f>
        <v/>
      </c>
      <c r="Y1320">
        <f>'Grid_Requirement'!V86</f>
        <v/>
      </c>
      <c r="Z1320">
        <f>'Grid_Requirement'!W86</f>
        <v/>
      </c>
      <c r="AA1320">
        <f>'Grid_Requirement'!X86</f>
        <v/>
      </c>
      <c r="AB1320">
        <f>'Grid_Requirement'!Y86</f>
        <v/>
      </c>
      <c r="AC1320">
        <f>'Grid_Requirement'!Z86</f>
        <v/>
      </c>
      <c r="AD1320">
        <f>'Grid_Requirement'!AA86</f>
        <v/>
      </c>
      <c r="AE1320">
        <f>'Grid_Requirement'!AB86</f>
        <v/>
      </c>
      <c r="AF1320">
        <f>'Grid_Requirement'!AC86</f>
        <v/>
      </c>
      <c r="AG1320">
        <f>'Grid_Requirement'!AD86</f>
        <v/>
      </c>
      <c r="AH1320">
        <f>'Grid_Requirement'!AE86</f>
        <v/>
      </c>
      <c r="AI1320">
        <f>'Grid_Requirement'!AF86</f>
        <v/>
      </c>
      <c r="AJ1320">
        <f>'Grid_Requirement'!AG86</f>
        <v/>
      </c>
      <c r="AK1320">
        <f>'Grid_Requirement'!AH86</f>
        <v/>
      </c>
      <c r="AL1320">
        <f>'Grid_Requirement'!AI86</f>
        <v/>
      </c>
      <c r="AM1320">
        <f>'Grid_Requirement'!AJ86</f>
        <v/>
      </c>
      <c r="AN1320">
        <f>'Grid_Requirement'!AK86</f>
        <v/>
      </c>
      <c r="AO1320">
        <f>'Grid_Requirement'!AL86</f>
        <v/>
      </c>
      <c r="AP1320">
        <f>'Grid_Requirement'!AM86</f>
        <v/>
      </c>
      <c r="AQ1320">
        <f>'Grid_Requirement'!AN86</f>
        <v/>
      </c>
      <c r="AR1320">
        <f>'Grid_Requirement'!AO86</f>
        <v/>
      </c>
      <c r="AS1320">
        <f>'Grid_Requirement'!AP86</f>
        <v/>
      </c>
      <c r="AT1320">
        <f>'Grid_Requirement'!AQ86</f>
        <v/>
      </c>
      <c r="AU1320">
        <f>'Grid_Requirement'!AR86</f>
        <v/>
      </c>
      <c r="AV1320">
        <f>'Grid_Requirement'!AS86</f>
        <v/>
      </c>
      <c r="AW1320">
        <f>'Grid_Requirement'!AT86</f>
        <v/>
      </c>
      <c r="AX1320">
        <f>'Grid_Requirement'!AU86</f>
        <v/>
      </c>
      <c r="AY1320">
        <f>'Grid_Requirement'!AV86</f>
        <v/>
      </c>
      <c r="AZ1320">
        <f>'Grid_Requirement'!AW86</f>
        <v/>
      </c>
      <c r="BA1320">
        <f>'Grid_Requirement'!AX86</f>
        <v/>
      </c>
      <c r="BB1320">
        <f>'Grid_Requirement'!AY86</f>
        <v/>
      </c>
      <c r="BC1320">
        <f>'Grid_Requirement'!AZ86</f>
        <v/>
      </c>
      <c r="BD1320">
        <f>'Grid_Requirement'!BA86</f>
        <v/>
      </c>
      <c r="BE1320">
        <f>'Grid_Requirement'!BB86</f>
        <v/>
      </c>
      <c r="BF1320">
        <f>'Grid_Requirement'!BC86</f>
        <v/>
      </c>
      <c r="BG1320">
        <f>'Grid_Requirement'!BD86</f>
        <v/>
      </c>
      <c r="BH1320">
        <f>'Grid_Requirement'!BE86</f>
        <v/>
      </c>
      <c r="BI1320">
        <f>'Grid_Requirement'!BF86</f>
        <v/>
      </c>
      <c r="BJ1320">
        <f>'Grid_Requirement'!BG86</f>
        <v/>
      </c>
      <c r="BK1320">
        <f>'Grid_Requirement'!BH86</f>
        <v/>
      </c>
      <c r="BL1320">
        <f>'Grid_Requirement'!BI86</f>
        <v/>
      </c>
      <c r="BM1320">
        <f>'Grid_Requirement'!BJ86</f>
        <v/>
      </c>
      <c r="BN1320">
        <f>'Grid_Requirement'!BK86</f>
        <v/>
      </c>
      <c r="BO1320">
        <f>'Grid_Requirement'!BL86</f>
        <v/>
      </c>
      <c r="BP1320">
        <f>'Grid_Requirement'!BM86</f>
        <v/>
      </c>
      <c r="BQ1320">
        <f>'Grid_Requirement'!BN86</f>
        <v/>
      </c>
      <c r="BR1320">
        <f>'Grid_Requirement'!BO86</f>
        <v/>
      </c>
      <c r="BS1320">
        <f>'Grid_Requirement'!BP86</f>
        <v/>
      </c>
      <c r="BT1320">
        <f>'Grid_Requirement'!BQ86</f>
        <v/>
      </c>
      <c r="BU1320">
        <f>'Grid_Requirement'!BR86</f>
        <v/>
      </c>
      <c r="BV1320">
        <f>'Grid_Requirement'!BS86</f>
        <v/>
      </c>
      <c r="BW1320">
        <f>'Grid_Requirement'!BT86</f>
        <v/>
      </c>
      <c r="BX1320">
        <f>'Grid_Requirement'!BU86</f>
        <v/>
      </c>
      <c r="BY1320">
        <f>'Grid_Requirement'!BV86</f>
        <v/>
      </c>
      <c r="BZ1320">
        <f>'Grid_Requirement'!BW86</f>
        <v/>
      </c>
      <c r="CA1320">
        <f>'Grid_Requirement'!BX86</f>
        <v/>
      </c>
      <c r="CB1320">
        <f>'Grid_Requirement'!BY86</f>
        <v/>
      </c>
      <c r="CC1320">
        <f>'Grid_Requirement'!BZ86</f>
        <v/>
      </c>
      <c r="CD1320">
        <f>'Grid_Requirement'!CA86</f>
        <v/>
      </c>
      <c r="CE1320">
        <f>'Grid_Requirement'!CB86</f>
        <v/>
      </c>
      <c r="CF1320">
        <f>'Grid_Requirement'!CC86</f>
        <v/>
      </c>
      <c r="CG1320">
        <f>'Grid_Requirement'!CD86</f>
        <v/>
      </c>
      <c r="CH1320">
        <f>'Grid_Requirement'!CE86</f>
        <v/>
      </c>
      <c r="CI1320">
        <f>'Grid_Requirement'!CF86</f>
        <v/>
      </c>
      <c r="CJ1320">
        <f>'Grid_Requirement'!CG86</f>
        <v/>
      </c>
      <c r="CK1320">
        <f>'Grid_Requirement'!CH86</f>
        <v/>
      </c>
      <c r="CL1320">
        <f>'Grid_Requirement'!CI86</f>
        <v/>
      </c>
      <c r="CM1320">
        <f>'Grid_Requirement'!CJ86</f>
        <v/>
      </c>
      <c r="CN1320">
        <f>'Grid_Requirement'!CK86</f>
        <v/>
      </c>
      <c r="CO1320">
        <f>'Grid_Requirement'!CL86</f>
        <v/>
      </c>
      <c r="CP1320">
        <f>'Grid_Requirement'!CM86</f>
        <v/>
      </c>
      <c r="CQ1320">
        <f>'Grid_Requirement'!CN86</f>
        <v/>
      </c>
      <c r="CR1320">
        <f>'Grid_Requirement'!CO86</f>
        <v/>
      </c>
      <c r="CS1320">
        <f>'Grid_Requirement'!CP86</f>
        <v/>
      </c>
      <c r="CT1320">
        <f>'Grid_Requirement'!CQ86</f>
        <v/>
      </c>
      <c r="CU1320">
        <f>'Grid_Requirement'!CR86</f>
        <v/>
      </c>
      <c r="CV1320">
        <f>'Grid_Requirement'!CS86</f>
        <v/>
      </c>
      <c r="CW1320">
        <f>'Grid_Requirement'!CT86</f>
        <v/>
      </c>
      <c r="CX1320">
        <f>'Grid_Requirement'!CU86</f>
        <v/>
      </c>
      <c r="CY1320">
        <f>'Grid_Requirement'!CV86</f>
        <v/>
      </c>
      <c r="CZ1320">
        <f>'Grid_Requirement'!CW86</f>
        <v/>
      </c>
      <c r="DA1320">
        <f>'Grid_Requirement'!CX86</f>
        <v/>
      </c>
      <c r="DB1320">
        <f>'Grid_Requirement'!CY86</f>
        <v/>
      </c>
      <c r="DC1320">
        <f>'Grid_Requirement'!CZ86</f>
        <v/>
      </c>
      <c r="DD1320">
        <f>'Grid_Requirement'!DA86</f>
        <v/>
      </c>
    </row>
    <row r="1321">
      <c r="B1321" t="inlineStr">
        <is>
          <t>TTAF在庫(実績,kg)</t>
        </is>
      </c>
      <c r="D1321">
        <f>IFERROR(INDEX(E1321:DD1321,$F$1),"")</f>
        <v/>
      </c>
      <c r="E1321">
        <f>IFERROR(SUMIFS(T_TTAFStock[TTAF_Qty],T_TTAFStock[RM_Code],$A1311,T_TTAFStock[WeekIndex],1),"")</f>
        <v/>
      </c>
      <c r="F1321">
        <f>IFERROR(SUMIFS(T_TTAFStock[TTAF_Qty],T_TTAFStock[RM_Code],$A1311,T_TTAFStock[WeekIndex],2),"")</f>
        <v/>
      </c>
      <c r="G1321">
        <f>IFERROR(SUMIFS(T_TTAFStock[TTAF_Qty],T_TTAFStock[RM_Code],$A1311,T_TTAFStock[WeekIndex],3),"")</f>
        <v/>
      </c>
      <c r="H1321">
        <f>IFERROR(SUMIFS(T_TTAFStock[TTAF_Qty],T_TTAFStock[RM_Code],$A1311,T_TTAFStock[WeekIndex],4),"")</f>
        <v/>
      </c>
      <c r="I1321">
        <f>IFERROR(SUMIFS(T_TTAFStock[TTAF_Qty],T_TTAFStock[RM_Code],$A1311,T_TTAFStock[WeekIndex],5),"")</f>
        <v/>
      </c>
      <c r="J1321">
        <f>IFERROR(SUMIFS(T_TTAFStock[TTAF_Qty],T_TTAFStock[RM_Code],$A1311,T_TTAFStock[WeekIndex],6),"")</f>
        <v/>
      </c>
      <c r="K1321">
        <f>IFERROR(SUMIFS(T_TTAFStock[TTAF_Qty],T_TTAFStock[RM_Code],$A1311,T_TTAFStock[WeekIndex],7),"")</f>
        <v/>
      </c>
      <c r="L1321">
        <f>IFERROR(SUMIFS(T_TTAFStock[TTAF_Qty],T_TTAFStock[RM_Code],$A1311,T_TTAFStock[WeekIndex],8),"")</f>
        <v/>
      </c>
      <c r="M1321">
        <f>IFERROR(SUMIFS(T_TTAFStock[TTAF_Qty],T_TTAFStock[RM_Code],$A1311,T_TTAFStock[WeekIndex],9),"")</f>
        <v/>
      </c>
      <c r="N1321">
        <f>IFERROR(SUMIFS(T_TTAFStock[TTAF_Qty],T_TTAFStock[RM_Code],$A1311,T_TTAFStock[WeekIndex],10),"")</f>
        <v/>
      </c>
      <c r="O1321">
        <f>IFERROR(SUMIFS(T_TTAFStock[TTAF_Qty],T_TTAFStock[RM_Code],$A1311,T_TTAFStock[WeekIndex],11),"")</f>
        <v/>
      </c>
      <c r="P1321">
        <f>IFERROR(SUMIFS(T_TTAFStock[TTAF_Qty],T_TTAFStock[RM_Code],$A1311,T_TTAFStock[WeekIndex],12),"")</f>
        <v/>
      </c>
      <c r="Q1321">
        <f>IFERROR(SUMIFS(T_TTAFStock[TTAF_Qty],T_TTAFStock[RM_Code],$A1311,T_TTAFStock[WeekIndex],13),"")</f>
        <v/>
      </c>
      <c r="R1321">
        <f>IFERROR(SUMIFS(T_TTAFStock[TTAF_Qty],T_TTAFStock[RM_Code],$A1311,T_TTAFStock[WeekIndex],14),"")</f>
        <v/>
      </c>
      <c r="S1321">
        <f>IFERROR(SUMIFS(T_TTAFStock[TTAF_Qty],T_TTAFStock[RM_Code],$A1311,T_TTAFStock[WeekIndex],15),"")</f>
        <v/>
      </c>
      <c r="T1321">
        <f>IFERROR(SUMIFS(T_TTAFStock[TTAF_Qty],T_TTAFStock[RM_Code],$A1311,T_TTAFStock[WeekIndex],16),"")</f>
        <v/>
      </c>
      <c r="U1321">
        <f>IFERROR(SUMIFS(T_TTAFStock[TTAF_Qty],T_TTAFStock[RM_Code],$A1311,T_TTAFStock[WeekIndex],17),"")</f>
        <v/>
      </c>
      <c r="V1321">
        <f>IFERROR(SUMIFS(T_TTAFStock[TTAF_Qty],T_TTAFStock[RM_Code],$A1311,T_TTAFStock[WeekIndex],18),"")</f>
        <v/>
      </c>
      <c r="W1321">
        <f>IFERROR(SUMIFS(T_TTAFStock[TTAF_Qty],T_TTAFStock[RM_Code],$A1311,T_TTAFStock[WeekIndex],19),"")</f>
        <v/>
      </c>
      <c r="X1321">
        <f>IFERROR(SUMIFS(T_TTAFStock[TTAF_Qty],T_TTAFStock[RM_Code],$A1311,T_TTAFStock[WeekIndex],20),"")</f>
        <v/>
      </c>
      <c r="Y1321">
        <f>IFERROR(SUMIFS(T_TTAFStock[TTAF_Qty],T_TTAFStock[RM_Code],$A1311,T_TTAFStock[WeekIndex],21),"")</f>
        <v/>
      </c>
      <c r="Z1321">
        <f>IFERROR(SUMIFS(T_TTAFStock[TTAF_Qty],T_TTAFStock[RM_Code],$A1311,T_TTAFStock[WeekIndex],22),"")</f>
        <v/>
      </c>
      <c r="AA1321">
        <f>IFERROR(SUMIFS(T_TTAFStock[TTAF_Qty],T_TTAFStock[RM_Code],$A1311,T_TTAFStock[WeekIndex],23),"")</f>
        <v/>
      </c>
      <c r="AB1321">
        <f>IFERROR(SUMIFS(T_TTAFStock[TTAF_Qty],T_TTAFStock[RM_Code],$A1311,T_TTAFStock[WeekIndex],24),"")</f>
        <v/>
      </c>
      <c r="AC1321">
        <f>IFERROR(SUMIFS(T_TTAFStock[TTAF_Qty],T_TTAFStock[RM_Code],$A1311,T_TTAFStock[WeekIndex],25),"")</f>
        <v/>
      </c>
      <c r="AD1321">
        <f>IFERROR(SUMIFS(T_TTAFStock[TTAF_Qty],T_TTAFStock[RM_Code],$A1311,T_TTAFStock[WeekIndex],26),"")</f>
        <v/>
      </c>
      <c r="AE1321">
        <f>IFERROR(SUMIFS(T_TTAFStock[TTAF_Qty],T_TTAFStock[RM_Code],$A1311,T_TTAFStock[WeekIndex],27),"")</f>
        <v/>
      </c>
      <c r="AF1321">
        <f>IFERROR(SUMIFS(T_TTAFStock[TTAF_Qty],T_TTAFStock[RM_Code],$A1311,T_TTAFStock[WeekIndex],28),"")</f>
        <v/>
      </c>
      <c r="AG1321">
        <f>IFERROR(SUMIFS(T_TTAFStock[TTAF_Qty],T_TTAFStock[RM_Code],$A1311,T_TTAFStock[WeekIndex],29),"")</f>
        <v/>
      </c>
      <c r="AH1321">
        <f>IFERROR(SUMIFS(T_TTAFStock[TTAF_Qty],T_TTAFStock[RM_Code],$A1311,T_TTAFStock[WeekIndex],30),"")</f>
        <v/>
      </c>
      <c r="AI1321">
        <f>IFERROR(SUMIFS(T_TTAFStock[TTAF_Qty],T_TTAFStock[RM_Code],$A1311,T_TTAFStock[WeekIndex],31),"")</f>
        <v/>
      </c>
      <c r="AJ1321">
        <f>IFERROR(SUMIFS(T_TTAFStock[TTAF_Qty],T_TTAFStock[RM_Code],$A1311,T_TTAFStock[WeekIndex],32),"")</f>
        <v/>
      </c>
      <c r="AK1321">
        <f>IFERROR(SUMIFS(T_TTAFStock[TTAF_Qty],T_TTAFStock[RM_Code],$A1311,T_TTAFStock[WeekIndex],33),"")</f>
        <v/>
      </c>
      <c r="AL1321">
        <f>IFERROR(SUMIFS(T_TTAFStock[TTAF_Qty],T_TTAFStock[RM_Code],$A1311,T_TTAFStock[WeekIndex],34),"")</f>
        <v/>
      </c>
      <c r="AM1321">
        <f>IFERROR(SUMIFS(T_TTAFStock[TTAF_Qty],T_TTAFStock[RM_Code],$A1311,T_TTAFStock[WeekIndex],35),"")</f>
        <v/>
      </c>
      <c r="AN1321">
        <f>IFERROR(SUMIFS(T_TTAFStock[TTAF_Qty],T_TTAFStock[RM_Code],$A1311,T_TTAFStock[WeekIndex],36),"")</f>
        <v/>
      </c>
      <c r="AO1321">
        <f>IFERROR(SUMIFS(T_TTAFStock[TTAF_Qty],T_TTAFStock[RM_Code],$A1311,T_TTAFStock[WeekIndex],37),"")</f>
        <v/>
      </c>
      <c r="AP1321">
        <f>IFERROR(SUMIFS(T_TTAFStock[TTAF_Qty],T_TTAFStock[RM_Code],$A1311,T_TTAFStock[WeekIndex],38),"")</f>
        <v/>
      </c>
      <c r="AQ1321">
        <f>IFERROR(SUMIFS(T_TTAFStock[TTAF_Qty],T_TTAFStock[RM_Code],$A1311,T_TTAFStock[WeekIndex],39),"")</f>
        <v/>
      </c>
      <c r="AR1321">
        <f>IFERROR(SUMIFS(T_TTAFStock[TTAF_Qty],T_TTAFStock[RM_Code],$A1311,T_TTAFStock[WeekIndex],40),"")</f>
        <v/>
      </c>
      <c r="AS1321">
        <f>IFERROR(SUMIFS(T_TTAFStock[TTAF_Qty],T_TTAFStock[RM_Code],$A1311,T_TTAFStock[WeekIndex],41),"")</f>
        <v/>
      </c>
      <c r="AT1321">
        <f>IFERROR(SUMIFS(T_TTAFStock[TTAF_Qty],T_TTAFStock[RM_Code],$A1311,T_TTAFStock[WeekIndex],42),"")</f>
        <v/>
      </c>
      <c r="AU1321">
        <f>IFERROR(SUMIFS(T_TTAFStock[TTAF_Qty],T_TTAFStock[RM_Code],$A1311,T_TTAFStock[WeekIndex],43),"")</f>
        <v/>
      </c>
      <c r="AV1321">
        <f>IFERROR(SUMIFS(T_TTAFStock[TTAF_Qty],T_TTAFStock[RM_Code],$A1311,T_TTAFStock[WeekIndex],44),"")</f>
        <v/>
      </c>
      <c r="AW1321">
        <f>IFERROR(SUMIFS(T_TTAFStock[TTAF_Qty],T_TTAFStock[RM_Code],$A1311,T_TTAFStock[WeekIndex],45),"")</f>
        <v/>
      </c>
      <c r="AX1321">
        <f>IFERROR(SUMIFS(T_TTAFStock[TTAF_Qty],T_TTAFStock[RM_Code],$A1311,T_TTAFStock[WeekIndex],46),"")</f>
        <v/>
      </c>
      <c r="AY1321">
        <f>IFERROR(SUMIFS(T_TTAFStock[TTAF_Qty],T_TTAFStock[RM_Code],$A1311,T_TTAFStock[WeekIndex],47),"")</f>
        <v/>
      </c>
      <c r="AZ1321">
        <f>IFERROR(SUMIFS(T_TTAFStock[TTAF_Qty],T_TTAFStock[RM_Code],$A1311,T_TTAFStock[WeekIndex],48),"")</f>
        <v/>
      </c>
      <c r="BA1321">
        <f>IFERROR(SUMIFS(T_TTAFStock[TTAF_Qty],T_TTAFStock[RM_Code],$A1311,T_TTAFStock[WeekIndex],49),"")</f>
        <v/>
      </c>
      <c r="BB1321">
        <f>IFERROR(SUMIFS(T_TTAFStock[TTAF_Qty],T_TTAFStock[RM_Code],$A1311,T_TTAFStock[WeekIndex],50),"")</f>
        <v/>
      </c>
      <c r="BC1321">
        <f>IFERROR(SUMIFS(T_TTAFStock[TTAF_Qty],T_TTAFStock[RM_Code],$A1311,T_TTAFStock[WeekIndex],51),"")</f>
        <v/>
      </c>
      <c r="BD1321">
        <f>IFERROR(SUMIFS(T_TTAFStock[TTAF_Qty],T_TTAFStock[RM_Code],$A1311,T_TTAFStock[WeekIndex],52),"")</f>
        <v/>
      </c>
      <c r="BE1321">
        <f>IFERROR(SUMIFS(T_TTAFStock[TTAF_Qty],T_TTAFStock[RM_Code],$A1311,T_TTAFStock[WeekIndex],53),"")</f>
        <v/>
      </c>
      <c r="BF1321">
        <f>IFERROR(SUMIFS(T_TTAFStock[TTAF_Qty],T_TTAFStock[RM_Code],$A1311,T_TTAFStock[WeekIndex],54),"")</f>
        <v/>
      </c>
      <c r="BG1321">
        <f>IFERROR(SUMIFS(T_TTAFStock[TTAF_Qty],T_TTAFStock[RM_Code],$A1311,T_TTAFStock[WeekIndex],55),"")</f>
        <v/>
      </c>
      <c r="BH1321">
        <f>IFERROR(SUMIFS(T_TTAFStock[TTAF_Qty],T_TTAFStock[RM_Code],$A1311,T_TTAFStock[WeekIndex],56),"")</f>
        <v/>
      </c>
      <c r="BI1321">
        <f>IFERROR(SUMIFS(T_TTAFStock[TTAF_Qty],T_TTAFStock[RM_Code],$A1311,T_TTAFStock[WeekIndex],57),"")</f>
        <v/>
      </c>
      <c r="BJ1321">
        <f>IFERROR(SUMIFS(T_TTAFStock[TTAF_Qty],T_TTAFStock[RM_Code],$A1311,T_TTAFStock[WeekIndex],58),"")</f>
        <v/>
      </c>
      <c r="BK1321">
        <f>IFERROR(SUMIFS(T_TTAFStock[TTAF_Qty],T_TTAFStock[RM_Code],$A1311,T_TTAFStock[WeekIndex],59),"")</f>
        <v/>
      </c>
      <c r="BL1321">
        <f>IFERROR(SUMIFS(T_TTAFStock[TTAF_Qty],T_TTAFStock[RM_Code],$A1311,T_TTAFStock[WeekIndex],60),"")</f>
        <v/>
      </c>
      <c r="BM1321">
        <f>IFERROR(SUMIFS(T_TTAFStock[TTAF_Qty],T_TTAFStock[RM_Code],$A1311,T_TTAFStock[WeekIndex],61),"")</f>
        <v/>
      </c>
      <c r="BN1321">
        <f>IFERROR(SUMIFS(T_TTAFStock[TTAF_Qty],T_TTAFStock[RM_Code],$A1311,T_TTAFStock[WeekIndex],62),"")</f>
        <v/>
      </c>
      <c r="BO1321">
        <f>IFERROR(SUMIFS(T_TTAFStock[TTAF_Qty],T_TTAFStock[RM_Code],$A1311,T_TTAFStock[WeekIndex],63),"")</f>
        <v/>
      </c>
      <c r="BP1321">
        <f>IFERROR(SUMIFS(T_TTAFStock[TTAF_Qty],T_TTAFStock[RM_Code],$A1311,T_TTAFStock[WeekIndex],64),"")</f>
        <v/>
      </c>
      <c r="BQ1321">
        <f>IFERROR(SUMIFS(T_TTAFStock[TTAF_Qty],T_TTAFStock[RM_Code],$A1311,T_TTAFStock[WeekIndex],65),"")</f>
        <v/>
      </c>
      <c r="BR1321">
        <f>IFERROR(SUMIFS(T_TTAFStock[TTAF_Qty],T_TTAFStock[RM_Code],$A1311,T_TTAFStock[WeekIndex],66),"")</f>
        <v/>
      </c>
      <c r="BS1321">
        <f>IFERROR(SUMIFS(T_TTAFStock[TTAF_Qty],T_TTAFStock[RM_Code],$A1311,T_TTAFStock[WeekIndex],67),"")</f>
        <v/>
      </c>
      <c r="BT1321">
        <f>IFERROR(SUMIFS(T_TTAFStock[TTAF_Qty],T_TTAFStock[RM_Code],$A1311,T_TTAFStock[WeekIndex],68),"")</f>
        <v/>
      </c>
      <c r="BU1321">
        <f>IFERROR(SUMIFS(T_TTAFStock[TTAF_Qty],T_TTAFStock[RM_Code],$A1311,T_TTAFStock[WeekIndex],69),"")</f>
        <v/>
      </c>
      <c r="BV1321">
        <f>IFERROR(SUMIFS(T_TTAFStock[TTAF_Qty],T_TTAFStock[RM_Code],$A1311,T_TTAFStock[WeekIndex],70),"")</f>
        <v/>
      </c>
      <c r="BW1321">
        <f>IFERROR(SUMIFS(T_TTAFStock[TTAF_Qty],T_TTAFStock[RM_Code],$A1311,T_TTAFStock[WeekIndex],71),"")</f>
        <v/>
      </c>
      <c r="BX1321">
        <f>IFERROR(SUMIFS(T_TTAFStock[TTAF_Qty],T_TTAFStock[RM_Code],$A1311,T_TTAFStock[WeekIndex],72),"")</f>
        <v/>
      </c>
      <c r="BY1321">
        <f>IFERROR(SUMIFS(T_TTAFStock[TTAF_Qty],T_TTAFStock[RM_Code],$A1311,T_TTAFStock[WeekIndex],73),"")</f>
        <v/>
      </c>
      <c r="BZ1321">
        <f>IFERROR(SUMIFS(T_TTAFStock[TTAF_Qty],T_TTAFStock[RM_Code],$A1311,T_TTAFStock[WeekIndex],74),"")</f>
        <v/>
      </c>
      <c r="CA1321">
        <f>IFERROR(SUMIFS(T_TTAFStock[TTAF_Qty],T_TTAFStock[RM_Code],$A1311,T_TTAFStock[WeekIndex],75),"")</f>
        <v/>
      </c>
      <c r="CB1321">
        <f>IFERROR(SUMIFS(T_TTAFStock[TTAF_Qty],T_TTAFStock[RM_Code],$A1311,T_TTAFStock[WeekIndex],76),"")</f>
        <v/>
      </c>
      <c r="CC1321">
        <f>IFERROR(SUMIFS(T_TTAFStock[TTAF_Qty],T_TTAFStock[RM_Code],$A1311,T_TTAFStock[WeekIndex],77),"")</f>
        <v/>
      </c>
      <c r="CD1321">
        <f>IFERROR(SUMIFS(T_TTAFStock[TTAF_Qty],T_TTAFStock[RM_Code],$A1311,T_TTAFStock[WeekIndex],78),"")</f>
        <v/>
      </c>
      <c r="CE1321">
        <f>IFERROR(SUMIFS(T_TTAFStock[TTAF_Qty],T_TTAFStock[RM_Code],$A1311,T_TTAFStock[WeekIndex],79),"")</f>
        <v/>
      </c>
      <c r="CF1321">
        <f>IFERROR(SUMIFS(T_TTAFStock[TTAF_Qty],T_TTAFStock[RM_Code],$A1311,T_TTAFStock[WeekIndex],80),"")</f>
        <v/>
      </c>
      <c r="CG1321">
        <f>IFERROR(SUMIFS(T_TTAFStock[TTAF_Qty],T_TTAFStock[RM_Code],$A1311,T_TTAFStock[WeekIndex],81),"")</f>
        <v/>
      </c>
      <c r="CH1321">
        <f>IFERROR(SUMIFS(T_TTAFStock[TTAF_Qty],T_TTAFStock[RM_Code],$A1311,T_TTAFStock[WeekIndex],82),"")</f>
        <v/>
      </c>
      <c r="CI1321">
        <f>IFERROR(SUMIFS(T_TTAFStock[TTAF_Qty],T_TTAFStock[RM_Code],$A1311,T_TTAFStock[WeekIndex],83),"")</f>
        <v/>
      </c>
      <c r="CJ1321">
        <f>IFERROR(SUMIFS(T_TTAFStock[TTAF_Qty],T_TTAFStock[RM_Code],$A1311,T_TTAFStock[WeekIndex],84),"")</f>
        <v/>
      </c>
      <c r="CK1321">
        <f>IFERROR(SUMIFS(T_TTAFStock[TTAF_Qty],T_TTAFStock[RM_Code],$A1311,T_TTAFStock[WeekIndex],85),"")</f>
        <v/>
      </c>
      <c r="CL1321">
        <f>IFERROR(SUMIFS(T_TTAFStock[TTAF_Qty],T_TTAFStock[RM_Code],$A1311,T_TTAFStock[WeekIndex],86),"")</f>
        <v/>
      </c>
      <c r="CM1321">
        <f>IFERROR(SUMIFS(T_TTAFStock[TTAF_Qty],T_TTAFStock[RM_Code],$A1311,T_TTAFStock[WeekIndex],87),"")</f>
        <v/>
      </c>
      <c r="CN1321">
        <f>IFERROR(SUMIFS(T_TTAFStock[TTAF_Qty],T_TTAFStock[RM_Code],$A1311,T_TTAFStock[WeekIndex],88),"")</f>
        <v/>
      </c>
      <c r="CO1321">
        <f>IFERROR(SUMIFS(T_TTAFStock[TTAF_Qty],T_TTAFStock[RM_Code],$A1311,T_TTAFStock[WeekIndex],89),"")</f>
        <v/>
      </c>
      <c r="CP1321">
        <f>IFERROR(SUMIFS(T_TTAFStock[TTAF_Qty],T_TTAFStock[RM_Code],$A1311,T_TTAFStock[WeekIndex],90),"")</f>
        <v/>
      </c>
      <c r="CQ1321">
        <f>IFERROR(SUMIFS(T_TTAFStock[TTAF_Qty],T_TTAFStock[RM_Code],$A1311,T_TTAFStock[WeekIndex],91),"")</f>
        <v/>
      </c>
      <c r="CR1321">
        <f>IFERROR(SUMIFS(T_TTAFStock[TTAF_Qty],T_TTAFStock[RM_Code],$A1311,T_TTAFStock[WeekIndex],92),"")</f>
        <v/>
      </c>
      <c r="CS1321">
        <f>IFERROR(SUMIFS(T_TTAFStock[TTAF_Qty],T_TTAFStock[RM_Code],$A1311,T_TTAFStock[WeekIndex],93),"")</f>
        <v/>
      </c>
      <c r="CT1321">
        <f>IFERROR(SUMIFS(T_TTAFStock[TTAF_Qty],T_TTAFStock[RM_Code],$A1311,T_TTAFStock[WeekIndex],94),"")</f>
        <v/>
      </c>
      <c r="CU1321">
        <f>IFERROR(SUMIFS(T_TTAFStock[TTAF_Qty],T_TTAFStock[RM_Code],$A1311,T_TTAFStock[WeekIndex],95),"")</f>
        <v/>
      </c>
      <c r="CV1321">
        <f>IFERROR(SUMIFS(T_TTAFStock[TTAF_Qty],T_TTAFStock[RM_Code],$A1311,T_TTAFStock[WeekIndex],96),"")</f>
        <v/>
      </c>
      <c r="CW1321">
        <f>IFERROR(SUMIFS(T_TTAFStock[TTAF_Qty],T_TTAFStock[RM_Code],$A1311,T_TTAFStock[WeekIndex],97),"")</f>
        <v/>
      </c>
      <c r="CX1321">
        <f>IFERROR(SUMIFS(T_TTAFStock[TTAF_Qty],T_TTAFStock[RM_Code],$A1311,T_TTAFStock[WeekIndex],98),"")</f>
        <v/>
      </c>
      <c r="CY1321">
        <f>IFERROR(SUMIFS(T_TTAFStock[TTAF_Qty],T_TTAFStock[RM_Code],$A1311,T_TTAFStock[WeekIndex],99),"")</f>
        <v/>
      </c>
      <c r="CZ1321">
        <f>IFERROR(SUMIFS(T_TTAFStock[TTAF_Qty],T_TTAFStock[RM_Code],$A1311,T_TTAFStock[WeekIndex],100),"")</f>
        <v/>
      </c>
      <c r="DA1321">
        <f>IFERROR(SUMIFS(T_TTAFStock[TTAF_Qty],T_TTAFStock[RM_Code],$A1311,T_TTAFStock[WeekIndex],101),"")</f>
        <v/>
      </c>
      <c r="DB1321">
        <f>IFERROR(SUMIFS(T_TTAFStock[TTAF_Qty],T_TTAFStock[RM_Code],$A1311,T_TTAFStock[WeekIndex],102),"")</f>
        <v/>
      </c>
      <c r="DC1321">
        <f>IFERROR(SUMIFS(T_TTAFStock[TTAF_Qty],T_TTAFStock[RM_Code],$A1311,T_TTAFStock[WeekIndex],103),"")</f>
        <v/>
      </c>
      <c r="DD1321">
        <f>IFERROR(SUMIFS(T_TTAFStock[TTAF_Qty],T_TTAFStock[RM_Code],$A1311,T_TTAFStock[WeekIndex],104),"")</f>
        <v/>
      </c>
    </row>
    <row r="1322">
      <c r="B1322" t="inlineStr">
        <is>
          <t>自社在庫(実績,kg)</t>
        </is>
      </c>
      <c r="D1322">
        <f>IFERROR(INDEX(E1322:DD1322,$F$1),"")</f>
        <v/>
      </c>
      <c r="E1322">
        <f>IFERROR(SUMIFS(T_SelfStock[Self_Qty],T_SelfStock[RM_Code],$A1311,T_SelfStock[WeekIndex],1),"")</f>
        <v/>
      </c>
      <c r="F1322">
        <f>IFERROR(SUMIFS(T_SelfStock[Self_Qty],T_SelfStock[RM_Code],$A1311,T_SelfStock[WeekIndex],2),"")</f>
        <v/>
      </c>
      <c r="G1322">
        <f>IFERROR(SUMIFS(T_SelfStock[Self_Qty],T_SelfStock[RM_Code],$A1311,T_SelfStock[WeekIndex],3),"")</f>
        <v/>
      </c>
      <c r="H1322">
        <f>IFERROR(SUMIFS(T_SelfStock[Self_Qty],T_SelfStock[RM_Code],$A1311,T_SelfStock[WeekIndex],4),"")</f>
        <v/>
      </c>
      <c r="I1322">
        <f>IFERROR(SUMIFS(T_SelfStock[Self_Qty],T_SelfStock[RM_Code],$A1311,T_SelfStock[WeekIndex],5),"")</f>
        <v/>
      </c>
      <c r="J1322">
        <f>IFERROR(SUMIFS(T_SelfStock[Self_Qty],T_SelfStock[RM_Code],$A1311,T_SelfStock[WeekIndex],6),"")</f>
        <v/>
      </c>
      <c r="K1322">
        <f>IFERROR(SUMIFS(T_SelfStock[Self_Qty],T_SelfStock[RM_Code],$A1311,T_SelfStock[WeekIndex],7),"")</f>
        <v/>
      </c>
      <c r="L1322">
        <f>IFERROR(SUMIFS(T_SelfStock[Self_Qty],T_SelfStock[RM_Code],$A1311,T_SelfStock[WeekIndex],8),"")</f>
        <v/>
      </c>
      <c r="M1322">
        <f>IFERROR(SUMIFS(T_SelfStock[Self_Qty],T_SelfStock[RM_Code],$A1311,T_SelfStock[WeekIndex],9),"")</f>
        <v/>
      </c>
      <c r="N1322">
        <f>IFERROR(SUMIFS(T_SelfStock[Self_Qty],T_SelfStock[RM_Code],$A1311,T_SelfStock[WeekIndex],10),"")</f>
        <v/>
      </c>
      <c r="O1322">
        <f>IFERROR(SUMIFS(T_SelfStock[Self_Qty],T_SelfStock[RM_Code],$A1311,T_SelfStock[WeekIndex],11),"")</f>
        <v/>
      </c>
      <c r="P1322">
        <f>IFERROR(SUMIFS(T_SelfStock[Self_Qty],T_SelfStock[RM_Code],$A1311,T_SelfStock[WeekIndex],12),"")</f>
        <v/>
      </c>
      <c r="Q1322">
        <f>IFERROR(SUMIFS(T_SelfStock[Self_Qty],T_SelfStock[RM_Code],$A1311,T_SelfStock[WeekIndex],13),"")</f>
        <v/>
      </c>
      <c r="R1322">
        <f>IFERROR(SUMIFS(T_SelfStock[Self_Qty],T_SelfStock[RM_Code],$A1311,T_SelfStock[WeekIndex],14),"")</f>
        <v/>
      </c>
      <c r="S1322">
        <f>IFERROR(SUMIFS(T_SelfStock[Self_Qty],T_SelfStock[RM_Code],$A1311,T_SelfStock[WeekIndex],15),"")</f>
        <v/>
      </c>
      <c r="T1322">
        <f>IFERROR(SUMIFS(T_SelfStock[Self_Qty],T_SelfStock[RM_Code],$A1311,T_SelfStock[WeekIndex],16),"")</f>
        <v/>
      </c>
      <c r="U1322">
        <f>IFERROR(SUMIFS(T_SelfStock[Self_Qty],T_SelfStock[RM_Code],$A1311,T_SelfStock[WeekIndex],17),"")</f>
        <v/>
      </c>
      <c r="V1322">
        <f>IFERROR(SUMIFS(T_SelfStock[Self_Qty],T_SelfStock[RM_Code],$A1311,T_SelfStock[WeekIndex],18),"")</f>
        <v/>
      </c>
      <c r="W1322">
        <f>IFERROR(SUMIFS(T_SelfStock[Self_Qty],T_SelfStock[RM_Code],$A1311,T_SelfStock[WeekIndex],19),"")</f>
        <v/>
      </c>
      <c r="X1322">
        <f>IFERROR(SUMIFS(T_SelfStock[Self_Qty],T_SelfStock[RM_Code],$A1311,T_SelfStock[WeekIndex],20),"")</f>
        <v/>
      </c>
      <c r="Y1322">
        <f>IFERROR(SUMIFS(T_SelfStock[Self_Qty],T_SelfStock[RM_Code],$A1311,T_SelfStock[WeekIndex],21),"")</f>
        <v/>
      </c>
      <c r="Z1322">
        <f>IFERROR(SUMIFS(T_SelfStock[Self_Qty],T_SelfStock[RM_Code],$A1311,T_SelfStock[WeekIndex],22),"")</f>
        <v/>
      </c>
      <c r="AA1322">
        <f>IFERROR(SUMIFS(T_SelfStock[Self_Qty],T_SelfStock[RM_Code],$A1311,T_SelfStock[WeekIndex],23),"")</f>
        <v/>
      </c>
      <c r="AB1322">
        <f>IFERROR(SUMIFS(T_SelfStock[Self_Qty],T_SelfStock[RM_Code],$A1311,T_SelfStock[WeekIndex],24),"")</f>
        <v/>
      </c>
      <c r="AC1322">
        <f>IFERROR(SUMIFS(T_SelfStock[Self_Qty],T_SelfStock[RM_Code],$A1311,T_SelfStock[WeekIndex],25),"")</f>
        <v/>
      </c>
      <c r="AD1322">
        <f>IFERROR(SUMIFS(T_SelfStock[Self_Qty],T_SelfStock[RM_Code],$A1311,T_SelfStock[WeekIndex],26),"")</f>
        <v/>
      </c>
      <c r="AE1322">
        <f>IFERROR(SUMIFS(T_SelfStock[Self_Qty],T_SelfStock[RM_Code],$A1311,T_SelfStock[WeekIndex],27),"")</f>
        <v/>
      </c>
      <c r="AF1322">
        <f>IFERROR(SUMIFS(T_SelfStock[Self_Qty],T_SelfStock[RM_Code],$A1311,T_SelfStock[WeekIndex],28),"")</f>
        <v/>
      </c>
      <c r="AG1322">
        <f>IFERROR(SUMIFS(T_SelfStock[Self_Qty],T_SelfStock[RM_Code],$A1311,T_SelfStock[WeekIndex],29),"")</f>
        <v/>
      </c>
      <c r="AH1322">
        <f>IFERROR(SUMIFS(T_SelfStock[Self_Qty],T_SelfStock[RM_Code],$A1311,T_SelfStock[WeekIndex],30),"")</f>
        <v/>
      </c>
      <c r="AI1322">
        <f>IFERROR(SUMIFS(T_SelfStock[Self_Qty],T_SelfStock[RM_Code],$A1311,T_SelfStock[WeekIndex],31),"")</f>
        <v/>
      </c>
      <c r="AJ1322">
        <f>IFERROR(SUMIFS(T_SelfStock[Self_Qty],T_SelfStock[RM_Code],$A1311,T_SelfStock[WeekIndex],32),"")</f>
        <v/>
      </c>
      <c r="AK1322">
        <f>IFERROR(SUMIFS(T_SelfStock[Self_Qty],T_SelfStock[RM_Code],$A1311,T_SelfStock[WeekIndex],33),"")</f>
        <v/>
      </c>
      <c r="AL1322">
        <f>IFERROR(SUMIFS(T_SelfStock[Self_Qty],T_SelfStock[RM_Code],$A1311,T_SelfStock[WeekIndex],34),"")</f>
        <v/>
      </c>
      <c r="AM1322">
        <f>IFERROR(SUMIFS(T_SelfStock[Self_Qty],T_SelfStock[RM_Code],$A1311,T_SelfStock[WeekIndex],35),"")</f>
        <v/>
      </c>
      <c r="AN1322">
        <f>IFERROR(SUMIFS(T_SelfStock[Self_Qty],T_SelfStock[RM_Code],$A1311,T_SelfStock[WeekIndex],36),"")</f>
        <v/>
      </c>
      <c r="AO1322">
        <f>IFERROR(SUMIFS(T_SelfStock[Self_Qty],T_SelfStock[RM_Code],$A1311,T_SelfStock[WeekIndex],37),"")</f>
        <v/>
      </c>
      <c r="AP1322">
        <f>IFERROR(SUMIFS(T_SelfStock[Self_Qty],T_SelfStock[RM_Code],$A1311,T_SelfStock[WeekIndex],38),"")</f>
        <v/>
      </c>
      <c r="AQ1322">
        <f>IFERROR(SUMIFS(T_SelfStock[Self_Qty],T_SelfStock[RM_Code],$A1311,T_SelfStock[WeekIndex],39),"")</f>
        <v/>
      </c>
      <c r="AR1322">
        <f>IFERROR(SUMIFS(T_SelfStock[Self_Qty],T_SelfStock[RM_Code],$A1311,T_SelfStock[WeekIndex],40),"")</f>
        <v/>
      </c>
      <c r="AS1322">
        <f>IFERROR(SUMIFS(T_SelfStock[Self_Qty],T_SelfStock[RM_Code],$A1311,T_SelfStock[WeekIndex],41),"")</f>
        <v/>
      </c>
      <c r="AT1322">
        <f>IFERROR(SUMIFS(T_SelfStock[Self_Qty],T_SelfStock[RM_Code],$A1311,T_SelfStock[WeekIndex],42),"")</f>
        <v/>
      </c>
      <c r="AU1322">
        <f>IFERROR(SUMIFS(T_SelfStock[Self_Qty],T_SelfStock[RM_Code],$A1311,T_SelfStock[WeekIndex],43),"")</f>
        <v/>
      </c>
      <c r="AV1322">
        <f>IFERROR(SUMIFS(T_SelfStock[Self_Qty],T_SelfStock[RM_Code],$A1311,T_SelfStock[WeekIndex],44),"")</f>
        <v/>
      </c>
      <c r="AW1322">
        <f>IFERROR(SUMIFS(T_SelfStock[Self_Qty],T_SelfStock[RM_Code],$A1311,T_SelfStock[WeekIndex],45),"")</f>
        <v/>
      </c>
      <c r="AX1322">
        <f>IFERROR(SUMIFS(T_SelfStock[Self_Qty],T_SelfStock[RM_Code],$A1311,T_SelfStock[WeekIndex],46),"")</f>
        <v/>
      </c>
      <c r="AY1322">
        <f>IFERROR(SUMIFS(T_SelfStock[Self_Qty],T_SelfStock[RM_Code],$A1311,T_SelfStock[WeekIndex],47),"")</f>
        <v/>
      </c>
      <c r="AZ1322">
        <f>IFERROR(SUMIFS(T_SelfStock[Self_Qty],T_SelfStock[RM_Code],$A1311,T_SelfStock[WeekIndex],48),"")</f>
        <v/>
      </c>
      <c r="BA1322">
        <f>IFERROR(SUMIFS(T_SelfStock[Self_Qty],T_SelfStock[RM_Code],$A1311,T_SelfStock[WeekIndex],49),"")</f>
        <v/>
      </c>
      <c r="BB1322">
        <f>IFERROR(SUMIFS(T_SelfStock[Self_Qty],T_SelfStock[RM_Code],$A1311,T_SelfStock[WeekIndex],50),"")</f>
        <v/>
      </c>
      <c r="BC1322">
        <f>IFERROR(SUMIFS(T_SelfStock[Self_Qty],T_SelfStock[RM_Code],$A1311,T_SelfStock[WeekIndex],51),"")</f>
        <v/>
      </c>
      <c r="BD1322">
        <f>IFERROR(SUMIFS(T_SelfStock[Self_Qty],T_SelfStock[RM_Code],$A1311,T_SelfStock[WeekIndex],52),"")</f>
        <v/>
      </c>
      <c r="BE1322">
        <f>IFERROR(SUMIFS(T_SelfStock[Self_Qty],T_SelfStock[RM_Code],$A1311,T_SelfStock[WeekIndex],53),"")</f>
        <v/>
      </c>
      <c r="BF1322">
        <f>IFERROR(SUMIFS(T_SelfStock[Self_Qty],T_SelfStock[RM_Code],$A1311,T_SelfStock[WeekIndex],54),"")</f>
        <v/>
      </c>
      <c r="BG1322">
        <f>IFERROR(SUMIFS(T_SelfStock[Self_Qty],T_SelfStock[RM_Code],$A1311,T_SelfStock[WeekIndex],55),"")</f>
        <v/>
      </c>
      <c r="BH1322">
        <f>IFERROR(SUMIFS(T_SelfStock[Self_Qty],T_SelfStock[RM_Code],$A1311,T_SelfStock[WeekIndex],56),"")</f>
        <v/>
      </c>
      <c r="BI1322">
        <f>IFERROR(SUMIFS(T_SelfStock[Self_Qty],T_SelfStock[RM_Code],$A1311,T_SelfStock[WeekIndex],57),"")</f>
        <v/>
      </c>
      <c r="BJ1322">
        <f>IFERROR(SUMIFS(T_SelfStock[Self_Qty],T_SelfStock[RM_Code],$A1311,T_SelfStock[WeekIndex],58),"")</f>
        <v/>
      </c>
      <c r="BK1322">
        <f>IFERROR(SUMIFS(T_SelfStock[Self_Qty],T_SelfStock[RM_Code],$A1311,T_SelfStock[WeekIndex],59),"")</f>
        <v/>
      </c>
      <c r="BL1322">
        <f>IFERROR(SUMIFS(T_SelfStock[Self_Qty],T_SelfStock[RM_Code],$A1311,T_SelfStock[WeekIndex],60),"")</f>
        <v/>
      </c>
      <c r="BM1322">
        <f>IFERROR(SUMIFS(T_SelfStock[Self_Qty],T_SelfStock[RM_Code],$A1311,T_SelfStock[WeekIndex],61),"")</f>
        <v/>
      </c>
      <c r="BN1322">
        <f>IFERROR(SUMIFS(T_SelfStock[Self_Qty],T_SelfStock[RM_Code],$A1311,T_SelfStock[WeekIndex],62),"")</f>
        <v/>
      </c>
      <c r="BO1322">
        <f>IFERROR(SUMIFS(T_SelfStock[Self_Qty],T_SelfStock[RM_Code],$A1311,T_SelfStock[WeekIndex],63),"")</f>
        <v/>
      </c>
      <c r="BP1322">
        <f>IFERROR(SUMIFS(T_SelfStock[Self_Qty],T_SelfStock[RM_Code],$A1311,T_SelfStock[WeekIndex],64),"")</f>
        <v/>
      </c>
      <c r="BQ1322">
        <f>IFERROR(SUMIFS(T_SelfStock[Self_Qty],T_SelfStock[RM_Code],$A1311,T_SelfStock[WeekIndex],65),"")</f>
        <v/>
      </c>
      <c r="BR1322">
        <f>IFERROR(SUMIFS(T_SelfStock[Self_Qty],T_SelfStock[RM_Code],$A1311,T_SelfStock[WeekIndex],66),"")</f>
        <v/>
      </c>
      <c r="BS1322">
        <f>IFERROR(SUMIFS(T_SelfStock[Self_Qty],T_SelfStock[RM_Code],$A1311,T_SelfStock[WeekIndex],67),"")</f>
        <v/>
      </c>
      <c r="BT1322">
        <f>IFERROR(SUMIFS(T_SelfStock[Self_Qty],T_SelfStock[RM_Code],$A1311,T_SelfStock[WeekIndex],68),"")</f>
        <v/>
      </c>
      <c r="BU1322">
        <f>IFERROR(SUMIFS(T_SelfStock[Self_Qty],T_SelfStock[RM_Code],$A1311,T_SelfStock[WeekIndex],69),"")</f>
        <v/>
      </c>
      <c r="BV1322">
        <f>IFERROR(SUMIFS(T_SelfStock[Self_Qty],T_SelfStock[RM_Code],$A1311,T_SelfStock[WeekIndex],70),"")</f>
        <v/>
      </c>
      <c r="BW1322">
        <f>IFERROR(SUMIFS(T_SelfStock[Self_Qty],T_SelfStock[RM_Code],$A1311,T_SelfStock[WeekIndex],71),"")</f>
        <v/>
      </c>
      <c r="BX1322">
        <f>IFERROR(SUMIFS(T_SelfStock[Self_Qty],T_SelfStock[RM_Code],$A1311,T_SelfStock[WeekIndex],72),"")</f>
        <v/>
      </c>
      <c r="BY1322">
        <f>IFERROR(SUMIFS(T_SelfStock[Self_Qty],T_SelfStock[RM_Code],$A1311,T_SelfStock[WeekIndex],73),"")</f>
        <v/>
      </c>
      <c r="BZ1322">
        <f>IFERROR(SUMIFS(T_SelfStock[Self_Qty],T_SelfStock[RM_Code],$A1311,T_SelfStock[WeekIndex],74),"")</f>
        <v/>
      </c>
      <c r="CA1322">
        <f>IFERROR(SUMIFS(T_SelfStock[Self_Qty],T_SelfStock[RM_Code],$A1311,T_SelfStock[WeekIndex],75),"")</f>
        <v/>
      </c>
      <c r="CB1322">
        <f>IFERROR(SUMIFS(T_SelfStock[Self_Qty],T_SelfStock[RM_Code],$A1311,T_SelfStock[WeekIndex],76),"")</f>
        <v/>
      </c>
      <c r="CC1322">
        <f>IFERROR(SUMIFS(T_SelfStock[Self_Qty],T_SelfStock[RM_Code],$A1311,T_SelfStock[WeekIndex],77),"")</f>
        <v/>
      </c>
      <c r="CD1322">
        <f>IFERROR(SUMIFS(T_SelfStock[Self_Qty],T_SelfStock[RM_Code],$A1311,T_SelfStock[WeekIndex],78),"")</f>
        <v/>
      </c>
      <c r="CE1322">
        <f>IFERROR(SUMIFS(T_SelfStock[Self_Qty],T_SelfStock[RM_Code],$A1311,T_SelfStock[WeekIndex],79),"")</f>
        <v/>
      </c>
      <c r="CF1322">
        <f>IFERROR(SUMIFS(T_SelfStock[Self_Qty],T_SelfStock[RM_Code],$A1311,T_SelfStock[WeekIndex],80),"")</f>
        <v/>
      </c>
      <c r="CG1322">
        <f>IFERROR(SUMIFS(T_SelfStock[Self_Qty],T_SelfStock[RM_Code],$A1311,T_SelfStock[WeekIndex],81),"")</f>
        <v/>
      </c>
      <c r="CH1322">
        <f>IFERROR(SUMIFS(T_SelfStock[Self_Qty],T_SelfStock[RM_Code],$A1311,T_SelfStock[WeekIndex],82),"")</f>
        <v/>
      </c>
      <c r="CI1322">
        <f>IFERROR(SUMIFS(T_SelfStock[Self_Qty],T_SelfStock[RM_Code],$A1311,T_SelfStock[WeekIndex],83),"")</f>
        <v/>
      </c>
      <c r="CJ1322">
        <f>IFERROR(SUMIFS(T_SelfStock[Self_Qty],T_SelfStock[RM_Code],$A1311,T_SelfStock[WeekIndex],84),"")</f>
        <v/>
      </c>
      <c r="CK1322">
        <f>IFERROR(SUMIFS(T_SelfStock[Self_Qty],T_SelfStock[RM_Code],$A1311,T_SelfStock[WeekIndex],85),"")</f>
        <v/>
      </c>
      <c r="CL1322">
        <f>IFERROR(SUMIFS(T_SelfStock[Self_Qty],T_SelfStock[RM_Code],$A1311,T_SelfStock[WeekIndex],86),"")</f>
        <v/>
      </c>
      <c r="CM1322">
        <f>IFERROR(SUMIFS(T_SelfStock[Self_Qty],T_SelfStock[RM_Code],$A1311,T_SelfStock[WeekIndex],87),"")</f>
        <v/>
      </c>
      <c r="CN1322">
        <f>IFERROR(SUMIFS(T_SelfStock[Self_Qty],T_SelfStock[RM_Code],$A1311,T_SelfStock[WeekIndex],88),"")</f>
        <v/>
      </c>
      <c r="CO1322">
        <f>IFERROR(SUMIFS(T_SelfStock[Self_Qty],T_SelfStock[RM_Code],$A1311,T_SelfStock[WeekIndex],89),"")</f>
        <v/>
      </c>
      <c r="CP1322">
        <f>IFERROR(SUMIFS(T_SelfStock[Self_Qty],T_SelfStock[RM_Code],$A1311,T_SelfStock[WeekIndex],90),"")</f>
        <v/>
      </c>
      <c r="CQ1322">
        <f>IFERROR(SUMIFS(T_SelfStock[Self_Qty],T_SelfStock[RM_Code],$A1311,T_SelfStock[WeekIndex],91),"")</f>
        <v/>
      </c>
      <c r="CR1322">
        <f>IFERROR(SUMIFS(T_SelfStock[Self_Qty],T_SelfStock[RM_Code],$A1311,T_SelfStock[WeekIndex],92),"")</f>
        <v/>
      </c>
      <c r="CS1322">
        <f>IFERROR(SUMIFS(T_SelfStock[Self_Qty],T_SelfStock[RM_Code],$A1311,T_SelfStock[WeekIndex],93),"")</f>
        <v/>
      </c>
      <c r="CT1322">
        <f>IFERROR(SUMIFS(T_SelfStock[Self_Qty],T_SelfStock[RM_Code],$A1311,T_SelfStock[WeekIndex],94),"")</f>
        <v/>
      </c>
      <c r="CU1322">
        <f>IFERROR(SUMIFS(T_SelfStock[Self_Qty],T_SelfStock[RM_Code],$A1311,T_SelfStock[WeekIndex],95),"")</f>
        <v/>
      </c>
      <c r="CV1322">
        <f>IFERROR(SUMIFS(T_SelfStock[Self_Qty],T_SelfStock[RM_Code],$A1311,T_SelfStock[WeekIndex],96),"")</f>
        <v/>
      </c>
      <c r="CW1322">
        <f>IFERROR(SUMIFS(T_SelfStock[Self_Qty],T_SelfStock[RM_Code],$A1311,T_SelfStock[WeekIndex],97),"")</f>
        <v/>
      </c>
      <c r="CX1322">
        <f>IFERROR(SUMIFS(T_SelfStock[Self_Qty],T_SelfStock[RM_Code],$A1311,T_SelfStock[WeekIndex],98),"")</f>
        <v/>
      </c>
      <c r="CY1322">
        <f>IFERROR(SUMIFS(T_SelfStock[Self_Qty],T_SelfStock[RM_Code],$A1311,T_SelfStock[WeekIndex],99),"")</f>
        <v/>
      </c>
      <c r="CZ1322">
        <f>IFERROR(SUMIFS(T_SelfStock[Self_Qty],T_SelfStock[RM_Code],$A1311,T_SelfStock[WeekIndex],100),"")</f>
        <v/>
      </c>
      <c r="DA1322">
        <f>IFERROR(SUMIFS(T_SelfStock[Self_Qty],T_SelfStock[RM_Code],$A1311,T_SelfStock[WeekIndex],101),"")</f>
        <v/>
      </c>
      <c r="DB1322">
        <f>IFERROR(SUMIFS(T_SelfStock[Self_Qty],T_SelfStock[RM_Code],$A1311,T_SelfStock[WeekIndex],102),"")</f>
        <v/>
      </c>
      <c r="DC1322">
        <f>IFERROR(SUMIFS(T_SelfStock[Self_Qty],T_SelfStock[RM_Code],$A1311,T_SelfStock[WeekIndex],103),"")</f>
        <v/>
      </c>
      <c r="DD1322">
        <f>IFERROR(SUMIFS(T_SelfStock[Self_Qty],T_SelfStock[RM_Code],$A1311,T_SelfStock[WeekIndex],104),"")</f>
        <v/>
      </c>
    </row>
    <row r="1323">
      <c r="B1323" s="4" t="inlineStr">
        <is>
          <t>合計在庫(週末時点,kg)</t>
        </is>
      </c>
      <c r="D1323" s="24">
        <f>IFERROR(INDEX(E1323:DD1323,$F$1),"")</f>
        <v/>
      </c>
      <c r="E1323">
        <f>'Grid_Stock'!B86</f>
        <v/>
      </c>
      <c r="F1323">
        <f>'Grid_Stock'!C86</f>
        <v/>
      </c>
      <c r="G1323">
        <f>'Grid_Stock'!D86</f>
        <v/>
      </c>
      <c r="H1323">
        <f>'Grid_Stock'!E86</f>
        <v/>
      </c>
      <c r="I1323">
        <f>'Grid_Stock'!F86</f>
        <v/>
      </c>
      <c r="J1323">
        <f>'Grid_Stock'!G86</f>
        <v/>
      </c>
      <c r="K1323">
        <f>'Grid_Stock'!H86</f>
        <v/>
      </c>
      <c r="L1323">
        <f>'Grid_Stock'!I86</f>
        <v/>
      </c>
      <c r="M1323">
        <f>'Grid_Stock'!J86</f>
        <v/>
      </c>
      <c r="N1323">
        <f>'Grid_Stock'!K86</f>
        <v/>
      </c>
      <c r="O1323">
        <f>'Grid_Stock'!L86</f>
        <v/>
      </c>
      <c r="P1323">
        <f>'Grid_Stock'!M86</f>
        <v/>
      </c>
      <c r="Q1323">
        <f>'Grid_Stock'!N86</f>
        <v/>
      </c>
      <c r="R1323">
        <f>'Grid_Stock'!O86</f>
        <v/>
      </c>
      <c r="S1323">
        <f>'Grid_Stock'!P86</f>
        <v/>
      </c>
      <c r="T1323">
        <f>'Grid_Stock'!Q86</f>
        <v/>
      </c>
      <c r="U1323">
        <f>'Grid_Stock'!R86</f>
        <v/>
      </c>
      <c r="V1323">
        <f>'Grid_Stock'!S86</f>
        <v/>
      </c>
      <c r="W1323">
        <f>'Grid_Stock'!T86</f>
        <v/>
      </c>
      <c r="X1323">
        <f>'Grid_Stock'!U86</f>
        <v/>
      </c>
      <c r="Y1323">
        <f>'Grid_Stock'!V86</f>
        <v/>
      </c>
      <c r="Z1323">
        <f>'Grid_Stock'!W86</f>
        <v/>
      </c>
      <c r="AA1323">
        <f>'Grid_Stock'!X86</f>
        <v/>
      </c>
      <c r="AB1323">
        <f>'Grid_Stock'!Y86</f>
        <v/>
      </c>
      <c r="AC1323">
        <f>'Grid_Stock'!Z86</f>
        <v/>
      </c>
      <c r="AD1323">
        <f>'Grid_Stock'!AA86</f>
        <v/>
      </c>
      <c r="AE1323">
        <f>'Grid_Stock'!AB86</f>
        <v/>
      </c>
      <c r="AF1323">
        <f>'Grid_Stock'!AC86</f>
        <v/>
      </c>
      <c r="AG1323">
        <f>'Grid_Stock'!AD86</f>
        <v/>
      </c>
      <c r="AH1323">
        <f>'Grid_Stock'!AE86</f>
        <v/>
      </c>
      <c r="AI1323">
        <f>'Grid_Stock'!AF86</f>
        <v/>
      </c>
      <c r="AJ1323">
        <f>'Grid_Stock'!AG86</f>
        <v/>
      </c>
      <c r="AK1323">
        <f>'Grid_Stock'!AH86</f>
        <v/>
      </c>
      <c r="AL1323">
        <f>'Grid_Stock'!AI86</f>
        <v/>
      </c>
      <c r="AM1323">
        <f>'Grid_Stock'!AJ86</f>
        <v/>
      </c>
      <c r="AN1323">
        <f>'Grid_Stock'!AK86</f>
        <v/>
      </c>
      <c r="AO1323">
        <f>'Grid_Stock'!AL86</f>
        <v/>
      </c>
      <c r="AP1323">
        <f>'Grid_Stock'!AM86</f>
        <v/>
      </c>
      <c r="AQ1323">
        <f>'Grid_Stock'!AN86</f>
        <v/>
      </c>
      <c r="AR1323">
        <f>'Grid_Stock'!AO86</f>
        <v/>
      </c>
      <c r="AS1323">
        <f>'Grid_Stock'!AP86</f>
        <v/>
      </c>
      <c r="AT1323">
        <f>'Grid_Stock'!AQ86</f>
        <v/>
      </c>
      <c r="AU1323">
        <f>'Grid_Stock'!AR86</f>
        <v/>
      </c>
      <c r="AV1323">
        <f>'Grid_Stock'!AS86</f>
        <v/>
      </c>
      <c r="AW1323">
        <f>'Grid_Stock'!AT86</f>
        <v/>
      </c>
      <c r="AX1323">
        <f>'Grid_Stock'!AU86</f>
        <v/>
      </c>
      <c r="AY1323">
        <f>'Grid_Stock'!AV86</f>
        <v/>
      </c>
      <c r="AZ1323">
        <f>'Grid_Stock'!AW86</f>
        <v/>
      </c>
      <c r="BA1323">
        <f>'Grid_Stock'!AX86</f>
        <v/>
      </c>
      <c r="BB1323">
        <f>'Grid_Stock'!AY86</f>
        <v/>
      </c>
      <c r="BC1323">
        <f>'Grid_Stock'!AZ86</f>
        <v/>
      </c>
      <c r="BD1323">
        <f>'Grid_Stock'!BA86</f>
        <v/>
      </c>
      <c r="BE1323">
        <f>'Grid_Stock'!BB86</f>
        <v/>
      </c>
      <c r="BF1323">
        <f>'Grid_Stock'!BC86</f>
        <v/>
      </c>
      <c r="BG1323">
        <f>'Grid_Stock'!BD86</f>
        <v/>
      </c>
      <c r="BH1323">
        <f>'Grid_Stock'!BE86</f>
        <v/>
      </c>
      <c r="BI1323">
        <f>'Grid_Stock'!BF86</f>
        <v/>
      </c>
      <c r="BJ1323">
        <f>'Grid_Stock'!BG86</f>
        <v/>
      </c>
      <c r="BK1323">
        <f>'Grid_Stock'!BH86</f>
        <v/>
      </c>
      <c r="BL1323">
        <f>'Grid_Stock'!BI86</f>
        <v/>
      </c>
      <c r="BM1323">
        <f>'Grid_Stock'!BJ86</f>
        <v/>
      </c>
      <c r="BN1323">
        <f>'Grid_Stock'!BK86</f>
        <v/>
      </c>
      <c r="BO1323">
        <f>'Grid_Stock'!BL86</f>
        <v/>
      </c>
      <c r="BP1323">
        <f>'Grid_Stock'!BM86</f>
        <v/>
      </c>
      <c r="BQ1323">
        <f>'Grid_Stock'!BN86</f>
        <v/>
      </c>
      <c r="BR1323">
        <f>'Grid_Stock'!BO86</f>
        <v/>
      </c>
      <c r="BS1323">
        <f>'Grid_Stock'!BP86</f>
        <v/>
      </c>
      <c r="BT1323">
        <f>'Grid_Stock'!BQ86</f>
        <v/>
      </c>
      <c r="BU1323">
        <f>'Grid_Stock'!BR86</f>
        <v/>
      </c>
      <c r="BV1323">
        <f>'Grid_Stock'!BS86</f>
        <v/>
      </c>
      <c r="BW1323">
        <f>'Grid_Stock'!BT86</f>
        <v/>
      </c>
      <c r="BX1323">
        <f>'Grid_Stock'!BU86</f>
        <v/>
      </c>
      <c r="BY1323">
        <f>'Grid_Stock'!BV86</f>
        <v/>
      </c>
      <c r="BZ1323">
        <f>'Grid_Stock'!BW86</f>
        <v/>
      </c>
      <c r="CA1323">
        <f>'Grid_Stock'!BX86</f>
        <v/>
      </c>
      <c r="CB1323">
        <f>'Grid_Stock'!BY86</f>
        <v/>
      </c>
      <c r="CC1323">
        <f>'Grid_Stock'!BZ86</f>
        <v/>
      </c>
      <c r="CD1323">
        <f>'Grid_Stock'!CA86</f>
        <v/>
      </c>
      <c r="CE1323">
        <f>'Grid_Stock'!CB86</f>
        <v/>
      </c>
      <c r="CF1323">
        <f>'Grid_Stock'!CC86</f>
        <v/>
      </c>
      <c r="CG1323">
        <f>'Grid_Stock'!CD86</f>
        <v/>
      </c>
      <c r="CH1323">
        <f>'Grid_Stock'!CE86</f>
        <v/>
      </c>
      <c r="CI1323">
        <f>'Grid_Stock'!CF86</f>
        <v/>
      </c>
      <c r="CJ1323">
        <f>'Grid_Stock'!CG86</f>
        <v/>
      </c>
      <c r="CK1323">
        <f>'Grid_Stock'!CH86</f>
        <v/>
      </c>
      <c r="CL1323">
        <f>'Grid_Stock'!CI86</f>
        <v/>
      </c>
      <c r="CM1323">
        <f>'Grid_Stock'!CJ86</f>
        <v/>
      </c>
      <c r="CN1323">
        <f>'Grid_Stock'!CK86</f>
        <v/>
      </c>
      <c r="CO1323">
        <f>'Grid_Stock'!CL86</f>
        <v/>
      </c>
      <c r="CP1323">
        <f>'Grid_Stock'!CM86</f>
        <v/>
      </c>
      <c r="CQ1323">
        <f>'Grid_Stock'!CN86</f>
        <v/>
      </c>
      <c r="CR1323">
        <f>'Grid_Stock'!CO86</f>
        <v/>
      </c>
      <c r="CS1323">
        <f>'Grid_Stock'!CP86</f>
        <v/>
      </c>
      <c r="CT1323">
        <f>'Grid_Stock'!CQ86</f>
        <v/>
      </c>
      <c r="CU1323">
        <f>'Grid_Stock'!CR86</f>
        <v/>
      </c>
      <c r="CV1323">
        <f>'Grid_Stock'!CS86</f>
        <v/>
      </c>
      <c r="CW1323">
        <f>'Grid_Stock'!CT86</f>
        <v/>
      </c>
      <c r="CX1323">
        <f>'Grid_Stock'!CU86</f>
        <v/>
      </c>
      <c r="CY1323">
        <f>'Grid_Stock'!CV86</f>
        <v/>
      </c>
      <c r="CZ1323">
        <f>'Grid_Stock'!CW86</f>
        <v/>
      </c>
      <c r="DA1323">
        <f>'Grid_Stock'!CX86</f>
        <v/>
      </c>
      <c r="DB1323">
        <f>'Grid_Stock'!CY86</f>
        <v/>
      </c>
      <c r="DC1323">
        <f>'Grid_Stock'!CZ86</f>
        <v/>
      </c>
      <c r="DD1323">
        <f>'Grid_Stock'!DA86</f>
        <v/>
      </c>
    </row>
    <row r="1324">
      <c r="B1324" s="25" t="inlineStr">
        <is>
          <t>（発注の目安はDashboardの基準在庫[下限/上限]と色分けを参照）</t>
        </is>
      </c>
    </row>
    <row r="1326">
      <c r="A1326" s="21" t="inlineStr">
        <is>
          <t>CHEM-1540</t>
        </is>
      </c>
      <c r="B1326" s="21" t="inlineStr">
        <is>
          <t>NAT35</t>
        </is>
      </c>
      <c r="C1326" s="22" t="n"/>
      <c r="D1326" s="21" t="n"/>
      <c r="E1326" s="21" t="n"/>
      <c r="F1326" s="21" t="n"/>
      <c r="G1326" s="21" t="n"/>
      <c r="H1326" s="21" t="n"/>
      <c r="I1326" s="21" t="n"/>
      <c r="J1326" s="21" t="n"/>
      <c r="K1326" s="21" t="n"/>
      <c r="L1326" s="21" t="n"/>
      <c r="M1326" s="21" t="n"/>
      <c r="N1326" s="21" t="n"/>
      <c r="O1326" s="21" t="n"/>
      <c r="P1326" s="21" t="n"/>
      <c r="Q1326" s="21" t="n"/>
      <c r="R1326" s="21" t="n"/>
      <c r="S1326" s="21" t="n"/>
      <c r="T1326" s="21" t="n"/>
      <c r="U1326" s="21" t="n"/>
      <c r="V1326" s="21" t="n"/>
      <c r="W1326" s="21" t="n"/>
      <c r="X1326" s="21" t="n"/>
      <c r="Y1326" s="21" t="n"/>
      <c r="Z1326" s="21" t="n"/>
      <c r="AA1326" s="21" t="n"/>
      <c r="AB1326" s="21" t="n"/>
      <c r="AC1326" s="21" t="n"/>
      <c r="AD1326" s="21" t="n"/>
      <c r="AE1326" s="21" t="n"/>
      <c r="AF1326" s="21" t="n"/>
      <c r="AG1326" s="21" t="n"/>
      <c r="AH1326" s="21" t="n"/>
      <c r="AI1326" s="21" t="n"/>
      <c r="AJ1326" s="21" t="n"/>
      <c r="AK1326" s="21" t="n"/>
      <c r="AL1326" s="21" t="n"/>
      <c r="AM1326" s="21" t="n"/>
      <c r="AN1326" s="21" t="n"/>
      <c r="AO1326" s="21" t="n"/>
      <c r="AP1326" s="21" t="n"/>
      <c r="AQ1326" s="21" t="n"/>
      <c r="AR1326" s="21" t="n"/>
      <c r="AS1326" s="21" t="n"/>
      <c r="AT1326" s="21" t="n"/>
      <c r="AU1326" s="21" t="n"/>
      <c r="AV1326" s="21" t="n"/>
      <c r="AW1326" s="21" t="n"/>
      <c r="AX1326" s="21" t="n"/>
      <c r="AY1326" s="21" t="n"/>
      <c r="AZ1326" s="21" t="n"/>
      <c r="BA1326" s="21" t="n"/>
      <c r="BB1326" s="21" t="n"/>
      <c r="BC1326" s="21" t="n"/>
      <c r="BD1326" s="21" t="n"/>
      <c r="BE1326" s="21" t="n"/>
      <c r="BF1326" s="21" t="n"/>
      <c r="BG1326" s="21" t="n"/>
      <c r="BH1326" s="21" t="n"/>
      <c r="BI1326" s="21" t="n"/>
      <c r="BJ1326" s="21" t="n"/>
      <c r="BK1326" s="21" t="n"/>
      <c r="BL1326" s="21" t="n"/>
      <c r="BM1326" s="21" t="n"/>
      <c r="BN1326" s="21" t="n"/>
      <c r="BO1326" s="21" t="n"/>
      <c r="BP1326" s="21" t="n"/>
      <c r="BQ1326" s="21" t="n"/>
      <c r="BR1326" s="21" t="n"/>
      <c r="BS1326" s="21" t="n"/>
      <c r="BT1326" s="21" t="n"/>
      <c r="BU1326" s="21" t="n"/>
      <c r="BV1326" s="21" t="n"/>
      <c r="BW1326" s="21" t="n"/>
      <c r="BX1326" s="21" t="n"/>
      <c r="BY1326" s="21" t="n"/>
      <c r="BZ1326" s="21" t="n"/>
      <c r="CA1326" s="21" t="n"/>
      <c r="CB1326" s="21" t="n"/>
      <c r="CC1326" s="21" t="n"/>
      <c r="CD1326" s="21" t="n"/>
      <c r="CE1326" s="21" t="n"/>
      <c r="CF1326" s="21" t="n"/>
      <c r="CG1326" s="21" t="n"/>
      <c r="CH1326" s="21" t="n"/>
      <c r="CI1326" s="21" t="n"/>
      <c r="CJ1326" s="21" t="n"/>
      <c r="CK1326" s="21" t="n"/>
      <c r="CL1326" s="21" t="n"/>
      <c r="CM1326" s="21" t="n"/>
      <c r="CN1326" s="21" t="n"/>
      <c r="CO1326" s="21" t="n"/>
      <c r="CP1326" s="21" t="n"/>
      <c r="CQ1326" s="21" t="n"/>
      <c r="CR1326" s="21" t="n"/>
      <c r="CS1326" s="21" t="n"/>
      <c r="CT1326" s="21" t="n"/>
      <c r="CU1326" s="21" t="n"/>
      <c r="CV1326" s="21" t="n"/>
      <c r="CW1326" s="21" t="n"/>
      <c r="CX1326" s="21" t="n"/>
      <c r="CY1326" s="21" t="n"/>
      <c r="CZ1326" s="21" t="n"/>
      <c r="DA1326" s="21" t="n"/>
      <c r="DB1326" s="21" t="n"/>
      <c r="DC1326" s="21" t="n"/>
      <c r="DD1326" s="21" t="n"/>
    </row>
    <row r="1327">
      <c r="B1327" t="inlineStr">
        <is>
          <t>TSP-620</t>
        </is>
      </c>
      <c r="C1327" t="inlineStr">
        <is>
          <t>No. of batches</t>
        </is>
      </c>
      <c r="D1327">
        <f>IFERROR(INDEX(E1327:DD1327,$F$1),"")</f>
        <v/>
      </c>
      <c r="E1327">
        <f>IFERROR(INDEX(PP_Grid[#Data],$DE1327,2),0)</f>
        <v/>
      </c>
      <c r="F1327">
        <f>IFERROR(INDEX(PP_Grid[#Data],$DE1327,3),0)</f>
        <v/>
      </c>
      <c r="G1327">
        <f>IFERROR(INDEX(PP_Grid[#Data],$DE1327,4),0)</f>
        <v/>
      </c>
      <c r="H1327">
        <f>IFERROR(INDEX(PP_Grid[#Data],$DE1327,5),0)</f>
        <v/>
      </c>
      <c r="I1327">
        <f>IFERROR(INDEX(PP_Grid[#Data],$DE1327,6),0)</f>
        <v/>
      </c>
      <c r="J1327">
        <f>IFERROR(INDEX(PP_Grid[#Data],$DE1327,7),0)</f>
        <v/>
      </c>
      <c r="K1327">
        <f>IFERROR(INDEX(PP_Grid[#Data],$DE1327,8),0)</f>
        <v/>
      </c>
      <c r="L1327">
        <f>IFERROR(INDEX(PP_Grid[#Data],$DE1327,9),0)</f>
        <v/>
      </c>
      <c r="M1327">
        <f>IFERROR(INDEX(PP_Grid[#Data],$DE1327,10),0)</f>
        <v/>
      </c>
      <c r="N1327">
        <f>IFERROR(INDEX(PP_Grid[#Data],$DE1327,11),0)</f>
        <v/>
      </c>
      <c r="O1327">
        <f>IFERROR(INDEX(PP_Grid[#Data],$DE1327,12),0)</f>
        <v/>
      </c>
      <c r="P1327">
        <f>IFERROR(INDEX(PP_Grid[#Data],$DE1327,13),0)</f>
        <v/>
      </c>
      <c r="Q1327">
        <f>IFERROR(INDEX(PP_Grid[#Data],$DE1327,14),0)</f>
        <v/>
      </c>
      <c r="R1327">
        <f>IFERROR(INDEX(PP_Grid[#Data],$DE1327,15),0)</f>
        <v/>
      </c>
      <c r="S1327">
        <f>IFERROR(INDEX(PP_Grid[#Data],$DE1327,16),0)</f>
        <v/>
      </c>
      <c r="T1327">
        <f>IFERROR(INDEX(PP_Grid[#Data],$DE1327,17),0)</f>
        <v/>
      </c>
      <c r="U1327">
        <f>IFERROR(INDEX(PP_Grid[#Data],$DE1327,18),0)</f>
        <v/>
      </c>
      <c r="V1327">
        <f>IFERROR(INDEX(PP_Grid[#Data],$DE1327,19),0)</f>
        <v/>
      </c>
      <c r="W1327">
        <f>IFERROR(INDEX(PP_Grid[#Data],$DE1327,20),0)</f>
        <v/>
      </c>
      <c r="X1327">
        <f>IFERROR(INDEX(PP_Grid[#Data],$DE1327,21),0)</f>
        <v/>
      </c>
      <c r="Y1327">
        <f>IFERROR(INDEX(PP_Grid[#Data],$DE1327,22),0)</f>
        <v/>
      </c>
      <c r="Z1327">
        <f>IFERROR(INDEX(PP_Grid[#Data],$DE1327,23),0)</f>
        <v/>
      </c>
      <c r="AA1327">
        <f>IFERROR(INDEX(PP_Grid[#Data],$DE1327,24),0)</f>
        <v/>
      </c>
      <c r="AB1327">
        <f>IFERROR(INDEX(PP_Grid[#Data],$DE1327,25),0)</f>
        <v/>
      </c>
      <c r="AC1327">
        <f>IFERROR(INDEX(PP_Grid[#Data],$DE1327,26),0)</f>
        <v/>
      </c>
      <c r="AD1327">
        <f>IFERROR(INDEX(PP_Grid[#Data],$DE1327,27),0)</f>
        <v/>
      </c>
      <c r="AE1327">
        <f>IFERROR(INDEX(PP_Grid[#Data],$DE1327,28),0)</f>
        <v/>
      </c>
      <c r="AF1327">
        <f>IFERROR(INDEX(PP_Grid[#Data],$DE1327,29),0)</f>
        <v/>
      </c>
      <c r="AG1327">
        <f>IFERROR(INDEX(PP_Grid[#Data],$DE1327,30),0)</f>
        <v/>
      </c>
      <c r="AH1327">
        <f>IFERROR(INDEX(PP_Grid[#Data],$DE1327,31),0)</f>
        <v/>
      </c>
      <c r="AI1327">
        <f>IFERROR(INDEX(PP_Grid[#Data],$DE1327,32),0)</f>
        <v/>
      </c>
      <c r="AJ1327">
        <f>IFERROR(INDEX(PP_Grid[#Data],$DE1327,33),0)</f>
        <v/>
      </c>
      <c r="AK1327">
        <f>IFERROR(INDEX(PP_Grid[#Data],$DE1327,34),0)</f>
        <v/>
      </c>
      <c r="AL1327">
        <f>IFERROR(INDEX(PP_Grid[#Data],$DE1327,35),0)</f>
        <v/>
      </c>
      <c r="AM1327">
        <f>IFERROR(INDEX(PP_Grid[#Data],$DE1327,36),0)</f>
        <v/>
      </c>
      <c r="AN1327">
        <f>IFERROR(INDEX(PP_Grid[#Data],$DE1327,37),0)</f>
        <v/>
      </c>
      <c r="AO1327">
        <f>IFERROR(INDEX(PP_Grid[#Data],$DE1327,38),0)</f>
        <v/>
      </c>
      <c r="AP1327">
        <f>IFERROR(INDEX(PP_Grid[#Data],$DE1327,39),0)</f>
        <v/>
      </c>
      <c r="AQ1327">
        <f>IFERROR(INDEX(PP_Grid[#Data],$DE1327,40),0)</f>
        <v/>
      </c>
      <c r="AR1327">
        <f>IFERROR(INDEX(PP_Grid[#Data],$DE1327,41),0)</f>
        <v/>
      </c>
      <c r="AS1327">
        <f>IFERROR(INDEX(PP_Grid[#Data],$DE1327,42),0)</f>
        <v/>
      </c>
      <c r="AT1327">
        <f>IFERROR(INDEX(PP_Grid[#Data],$DE1327,43),0)</f>
        <v/>
      </c>
      <c r="AU1327">
        <f>IFERROR(INDEX(PP_Grid[#Data],$DE1327,44),0)</f>
        <v/>
      </c>
      <c r="AV1327">
        <f>IFERROR(INDEX(PP_Grid[#Data],$DE1327,45),0)</f>
        <v/>
      </c>
      <c r="AW1327">
        <f>IFERROR(INDEX(PP_Grid[#Data],$DE1327,46),0)</f>
        <v/>
      </c>
      <c r="AX1327">
        <f>IFERROR(INDEX(PP_Grid[#Data],$DE1327,47),0)</f>
        <v/>
      </c>
      <c r="AY1327">
        <f>IFERROR(INDEX(PP_Grid[#Data],$DE1327,48),0)</f>
        <v/>
      </c>
      <c r="AZ1327">
        <f>IFERROR(INDEX(PP_Grid[#Data],$DE1327,49),0)</f>
        <v/>
      </c>
      <c r="BA1327">
        <f>IFERROR(INDEX(PP_Grid[#Data],$DE1327,50),0)</f>
        <v/>
      </c>
      <c r="BB1327">
        <f>IFERROR(INDEX(PP_Grid[#Data],$DE1327,51),0)</f>
        <v/>
      </c>
      <c r="BC1327">
        <f>IFERROR(INDEX(PP_Grid[#Data],$DE1327,52),0)</f>
        <v/>
      </c>
      <c r="BD1327">
        <f>IFERROR(INDEX(PP_Grid[#Data],$DE1327,53),0)</f>
        <v/>
      </c>
      <c r="BE1327">
        <f>IFERROR(INDEX(PP_Grid[#Data],$DE1327,54),0)</f>
        <v/>
      </c>
      <c r="BF1327">
        <f>IFERROR(INDEX(PP_Grid[#Data],$DE1327,55),0)</f>
        <v/>
      </c>
      <c r="BG1327">
        <f>IFERROR(INDEX(PP_Grid[#Data],$DE1327,56),0)</f>
        <v/>
      </c>
      <c r="BH1327">
        <f>IFERROR(INDEX(PP_Grid[#Data],$DE1327,57),0)</f>
        <v/>
      </c>
      <c r="BI1327">
        <f>IFERROR(INDEX(PP_Grid[#Data],$DE1327,58),0)</f>
        <v/>
      </c>
      <c r="BJ1327">
        <f>IFERROR(INDEX(PP_Grid[#Data],$DE1327,59),0)</f>
        <v/>
      </c>
      <c r="BK1327">
        <f>IFERROR(INDEX(PP_Grid[#Data],$DE1327,60),0)</f>
        <v/>
      </c>
      <c r="BL1327">
        <f>IFERROR(INDEX(PP_Grid[#Data],$DE1327,61),0)</f>
        <v/>
      </c>
      <c r="BM1327">
        <f>IFERROR(INDEX(PP_Grid[#Data],$DE1327,62),0)</f>
        <v/>
      </c>
      <c r="BN1327">
        <f>IFERROR(INDEX(PP_Grid[#Data],$DE1327,63),0)</f>
        <v/>
      </c>
      <c r="BO1327">
        <f>IFERROR(INDEX(PP_Grid[#Data],$DE1327,64),0)</f>
        <v/>
      </c>
      <c r="BP1327">
        <f>IFERROR(INDEX(PP_Grid[#Data],$DE1327,65),0)</f>
        <v/>
      </c>
      <c r="BQ1327">
        <f>IFERROR(INDEX(PP_Grid[#Data],$DE1327,66),0)</f>
        <v/>
      </c>
      <c r="BR1327">
        <f>IFERROR(INDEX(PP_Grid[#Data],$DE1327,67),0)</f>
        <v/>
      </c>
      <c r="BS1327">
        <f>IFERROR(INDEX(PP_Grid[#Data],$DE1327,68),0)</f>
        <v/>
      </c>
      <c r="BT1327">
        <f>IFERROR(INDEX(PP_Grid[#Data],$DE1327,69),0)</f>
        <v/>
      </c>
      <c r="BU1327">
        <f>IFERROR(INDEX(PP_Grid[#Data],$DE1327,70),0)</f>
        <v/>
      </c>
      <c r="BV1327">
        <f>IFERROR(INDEX(PP_Grid[#Data],$DE1327,71),0)</f>
        <v/>
      </c>
      <c r="BW1327">
        <f>IFERROR(INDEX(PP_Grid[#Data],$DE1327,72),0)</f>
        <v/>
      </c>
      <c r="BX1327">
        <f>IFERROR(INDEX(PP_Grid[#Data],$DE1327,73),0)</f>
        <v/>
      </c>
      <c r="BY1327">
        <f>IFERROR(INDEX(PP_Grid[#Data],$DE1327,74),0)</f>
        <v/>
      </c>
      <c r="BZ1327">
        <f>IFERROR(INDEX(PP_Grid[#Data],$DE1327,75),0)</f>
        <v/>
      </c>
      <c r="CA1327">
        <f>IFERROR(INDEX(PP_Grid[#Data],$DE1327,76),0)</f>
        <v/>
      </c>
      <c r="CB1327">
        <f>IFERROR(INDEX(PP_Grid[#Data],$DE1327,77),0)</f>
        <v/>
      </c>
      <c r="CC1327">
        <f>IFERROR(INDEX(PP_Grid[#Data],$DE1327,78),0)</f>
        <v/>
      </c>
      <c r="CD1327">
        <f>IFERROR(INDEX(PP_Grid[#Data],$DE1327,79),0)</f>
        <v/>
      </c>
      <c r="CE1327">
        <f>IFERROR(INDEX(PP_Grid[#Data],$DE1327,80),0)</f>
        <v/>
      </c>
      <c r="CF1327">
        <f>IFERROR(INDEX(PP_Grid[#Data],$DE1327,81),0)</f>
        <v/>
      </c>
      <c r="CG1327">
        <f>IFERROR(INDEX(PP_Grid[#Data],$DE1327,82),0)</f>
        <v/>
      </c>
      <c r="CH1327">
        <f>IFERROR(INDEX(PP_Grid[#Data],$DE1327,83),0)</f>
        <v/>
      </c>
      <c r="CI1327">
        <f>IFERROR(INDEX(PP_Grid[#Data],$DE1327,84),0)</f>
        <v/>
      </c>
      <c r="CJ1327">
        <f>IFERROR(INDEX(PP_Grid[#Data],$DE1327,85),0)</f>
        <v/>
      </c>
      <c r="CK1327">
        <f>IFERROR(INDEX(PP_Grid[#Data],$DE1327,86),0)</f>
        <v/>
      </c>
      <c r="CL1327">
        <f>IFERROR(INDEX(PP_Grid[#Data],$DE1327,87),0)</f>
        <v/>
      </c>
      <c r="CM1327">
        <f>IFERROR(INDEX(PP_Grid[#Data],$DE1327,88),0)</f>
        <v/>
      </c>
      <c r="CN1327">
        <f>IFERROR(INDEX(PP_Grid[#Data],$DE1327,89),0)</f>
        <v/>
      </c>
      <c r="CO1327">
        <f>IFERROR(INDEX(PP_Grid[#Data],$DE1327,90),0)</f>
        <v/>
      </c>
      <c r="CP1327">
        <f>IFERROR(INDEX(PP_Grid[#Data],$DE1327,91),0)</f>
        <v/>
      </c>
      <c r="CQ1327">
        <f>IFERROR(INDEX(PP_Grid[#Data],$DE1327,92),0)</f>
        <v/>
      </c>
      <c r="CR1327">
        <f>IFERROR(INDEX(PP_Grid[#Data],$DE1327,93),0)</f>
        <v/>
      </c>
      <c r="CS1327">
        <f>IFERROR(INDEX(PP_Grid[#Data],$DE1327,94),0)</f>
        <v/>
      </c>
      <c r="CT1327">
        <f>IFERROR(INDEX(PP_Grid[#Data],$DE1327,95),0)</f>
        <v/>
      </c>
      <c r="CU1327">
        <f>IFERROR(INDEX(PP_Grid[#Data],$DE1327,96),0)</f>
        <v/>
      </c>
      <c r="CV1327">
        <f>IFERROR(INDEX(PP_Grid[#Data],$DE1327,97),0)</f>
        <v/>
      </c>
      <c r="CW1327">
        <f>IFERROR(INDEX(PP_Grid[#Data],$DE1327,98),0)</f>
        <v/>
      </c>
      <c r="CX1327">
        <f>IFERROR(INDEX(PP_Grid[#Data],$DE1327,99),0)</f>
        <v/>
      </c>
      <c r="CY1327">
        <f>IFERROR(INDEX(PP_Grid[#Data],$DE1327,100),0)</f>
        <v/>
      </c>
      <c r="CZ1327">
        <f>IFERROR(INDEX(PP_Grid[#Data],$DE1327,101),0)</f>
        <v/>
      </c>
      <c r="DA1327">
        <f>IFERROR(INDEX(PP_Grid[#Data],$DE1327,102),0)</f>
        <v/>
      </c>
      <c r="DB1327">
        <f>IFERROR(INDEX(PP_Grid[#Data],$DE1327,103),0)</f>
        <v/>
      </c>
      <c r="DC1327">
        <f>IFERROR(INDEX(PP_Grid[#Data],$DE1327,104),0)</f>
        <v/>
      </c>
      <c r="DD1327">
        <f>IFERROR(INDEX(PP_Grid[#Data],$DE1327,105),0)</f>
        <v/>
      </c>
      <c r="DE1327" s="7">
        <f>IFERROR(MATCH($B1327,PP_Grid[Intermediate],0),99999)</f>
        <v/>
      </c>
    </row>
    <row r="1328">
      <c r="B1328" t="inlineStr">
        <is>
          <t>使用量(kg)</t>
        </is>
      </c>
      <c r="C1328">
        <f>SUMIFS(M_BOM[RM_Qty_Per_Batch],M_BOM[Intermediate],$B1327,M_BOM[RM_Code],$A1326)</f>
        <v/>
      </c>
      <c r="D1328">
        <f>IFERROR(INDEX(E1328:DD1328,$F$1),"")</f>
        <v/>
      </c>
      <c r="E1328">
        <f>$C1328*E1327</f>
        <v/>
      </c>
      <c r="F1328">
        <f>$C1328*F1327</f>
        <v/>
      </c>
      <c r="G1328">
        <f>$C1328*G1327</f>
        <v/>
      </c>
      <c r="H1328">
        <f>$C1328*H1327</f>
        <v/>
      </c>
      <c r="I1328">
        <f>$C1328*I1327</f>
        <v/>
      </c>
      <c r="J1328">
        <f>$C1328*J1327</f>
        <v/>
      </c>
      <c r="K1328">
        <f>$C1328*K1327</f>
        <v/>
      </c>
      <c r="L1328">
        <f>$C1328*L1327</f>
        <v/>
      </c>
      <c r="M1328">
        <f>$C1328*M1327</f>
        <v/>
      </c>
      <c r="N1328">
        <f>$C1328*N1327</f>
        <v/>
      </c>
      <c r="O1328">
        <f>$C1328*O1327</f>
        <v/>
      </c>
      <c r="P1328">
        <f>$C1328*P1327</f>
        <v/>
      </c>
      <c r="Q1328">
        <f>$C1328*Q1327</f>
        <v/>
      </c>
      <c r="R1328">
        <f>$C1328*R1327</f>
        <v/>
      </c>
      <c r="S1328">
        <f>$C1328*S1327</f>
        <v/>
      </c>
      <c r="T1328">
        <f>$C1328*T1327</f>
        <v/>
      </c>
      <c r="U1328">
        <f>$C1328*U1327</f>
        <v/>
      </c>
      <c r="V1328">
        <f>$C1328*V1327</f>
        <v/>
      </c>
      <c r="W1328">
        <f>$C1328*W1327</f>
        <v/>
      </c>
      <c r="X1328">
        <f>$C1328*X1327</f>
        <v/>
      </c>
      <c r="Y1328">
        <f>$C1328*Y1327</f>
        <v/>
      </c>
      <c r="Z1328">
        <f>$C1328*Z1327</f>
        <v/>
      </c>
      <c r="AA1328">
        <f>$C1328*AA1327</f>
        <v/>
      </c>
      <c r="AB1328">
        <f>$C1328*AB1327</f>
        <v/>
      </c>
      <c r="AC1328">
        <f>$C1328*AC1327</f>
        <v/>
      </c>
      <c r="AD1328">
        <f>$C1328*AD1327</f>
        <v/>
      </c>
      <c r="AE1328">
        <f>$C1328*AE1327</f>
        <v/>
      </c>
      <c r="AF1328">
        <f>$C1328*AF1327</f>
        <v/>
      </c>
      <c r="AG1328">
        <f>$C1328*AG1327</f>
        <v/>
      </c>
      <c r="AH1328">
        <f>$C1328*AH1327</f>
        <v/>
      </c>
      <c r="AI1328">
        <f>$C1328*AI1327</f>
        <v/>
      </c>
      <c r="AJ1328">
        <f>$C1328*AJ1327</f>
        <v/>
      </c>
      <c r="AK1328">
        <f>$C1328*AK1327</f>
        <v/>
      </c>
      <c r="AL1328">
        <f>$C1328*AL1327</f>
        <v/>
      </c>
      <c r="AM1328">
        <f>$C1328*AM1327</f>
        <v/>
      </c>
      <c r="AN1328">
        <f>$C1328*AN1327</f>
        <v/>
      </c>
      <c r="AO1328">
        <f>$C1328*AO1327</f>
        <v/>
      </c>
      <c r="AP1328">
        <f>$C1328*AP1327</f>
        <v/>
      </c>
      <c r="AQ1328">
        <f>$C1328*AQ1327</f>
        <v/>
      </c>
      <c r="AR1328">
        <f>$C1328*AR1327</f>
        <v/>
      </c>
      <c r="AS1328">
        <f>$C1328*AS1327</f>
        <v/>
      </c>
      <c r="AT1328">
        <f>$C1328*AT1327</f>
        <v/>
      </c>
      <c r="AU1328">
        <f>$C1328*AU1327</f>
        <v/>
      </c>
      <c r="AV1328">
        <f>$C1328*AV1327</f>
        <v/>
      </c>
      <c r="AW1328">
        <f>$C1328*AW1327</f>
        <v/>
      </c>
      <c r="AX1328">
        <f>$C1328*AX1327</f>
        <v/>
      </c>
      <c r="AY1328">
        <f>$C1328*AY1327</f>
        <v/>
      </c>
      <c r="AZ1328">
        <f>$C1328*AZ1327</f>
        <v/>
      </c>
      <c r="BA1328">
        <f>$C1328*BA1327</f>
        <v/>
      </c>
      <c r="BB1328">
        <f>$C1328*BB1327</f>
        <v/>
      </c>
      <c r="BC1328">
        <f>$C1328*BC1327</f>
        <v/>
      </c>
      <c r="BD1328">
        <f>$C1328*BD1327</f>
        <v/>
      </c>
      <c r="BE1328">
        <f>$C1328*BE1327</f>
        <v/>
      </c>
      <c r="BF1328">
        <f>$C1328*BF1327</f>
        <v/>
      </c>
      <c r="BG1328">
        <f>$C1328*BG1327</f>
        <v/>
      </c>
      <c r="BH1328">
        <f>$C1328*BH1327</f>
        <v/>
      </c>
      <c r="BI1328">
        <f>$C1328*BI1327</f>
        <v/>
      </c>
      <c r="BJ1328">
        <f>$C1328*BJ1327</f>
        <v/>
      </c>
      <c r="BK1328">
        <f>$C1328*BK1327</f>
        <v/>
      </c>
      <c r="BL1328">
        <f>$C1328*BL1327</f>
        <v/>
      </c>
      <c r="BM1328">
        <f>$C1328*BM1327</f>
        <v/>
      </c>
      <c r="BN1328">
        <f>$C1328*BN1327</f>
        <v/>
      </c>
      <c r="BO1328">
        <f>$C1328*BO1327</f>
        <v/>
      </c>
      <c r="BP1328">
        <f>$C1328*BP1327</f>
        <v/>
      </c>
      <c r="BQ1328">
        <f>$C1328*BQ1327</f>
        <v/>
      </c>
      <c r="BR1328">
        <f>$C1328*BR1327</f>
        <v/>
      </c>
      <c r="BS1328">
        <f>$C1328*BS1327</f>
        <v/>
      </c>
      <c r="BT1328">
        <f>$C1328*BT1327</f>
        <v/>
      </c>
      <c r="BU1328">
        <f>$C1328*BU1327</f>
        <v/>
      </c>
      <c r="BV1328">
        <f>$C1328*BV1327</f>
        <v/>
      </c>
      <c r="BW1328">
        <f>$C1328*BW1327</f>
        <v/>
      </c>
      <c r="BX1328">
        <f>$C1328*BX1327</f>
        <v/>
      </c>
      <c r="BY1328">
        <f>$C1328*BY1327</f>
        <v/>
      </c>
      <c r="BZ1328">
        <f>$C1328*BZ1327</f>
        <v/>
      </c>
      <c r="CA1328">
        <f>$C1328*CA1327</f>
        <v/>
      </c>
      <c r="CB1328">
        <f>$C1328*CB1327</f>
        <v/>
      </c>
      <c r="CC1328">
        <f>$C1328*CC1327</f>
        <v/>
      </c>
      <c r="CD1328">
        <f>$C1328*CD1327</f>
        <v/>
      </c>
      <c r="CE1328">
        <f>$C1328*CE1327</f>
        <v/>
      </c>
      <c r="CF1328">
        <f>$C1328*CF1327</f>
        <v/>
      </c>
      <c r="CG1328">
        <f>$C1328*CG1327</f>
        <v/>
      </c>
      <c r="CH1328">
        <f>$C1328*CH1327</f>
        <v/>
      </c>
      <c r="CI1328">
        <f>$C1328*CI1327</f>
        <v/>
      </c>
      <c r="CJ1328">
        <f>$C1328*CJ1327</f>
        <v/>
      </c>
      <c r="CK1328">
        <f>$C1328*CK1327</f>
        <v/>
      </c>
      <c r="CL1328">
        <f>$C1328*CL1327</f>
        <v/>
      </c>
      <c r="CM1328">
        <f>$C1328*CM1327</f>
        <v/>
      </c>
      <c r="CN1328">
        <f>$C1328*CN1327</f>
        <v/>
      </c>
      <c r="CO1328">
        <f>$C1328*CO1327</f>
        <v/>
      </c>
      <c r="CP1328">
        <f>$C1328*CP1327</f>
        <v/>
      </c>
      <c r="CQ1328">
        <f>$C1328*CQ1327</f>
        <v/>
      </c>
      <c r="CR1328">
        <f>$C1328*CR1327</f>
        <v/>
      </c>
      <c r="CS1328">
        <f>$C1328*CS1327</f>
        <v/>
      </c>
      <c r="CT1328">
        <f>$C1328*CT1327</f>
        <v/>
      </c>
      <c r="CU1328">
        <f>$C1328*CU1327</f>
        <v/>
      </c>
      <c r="CV1328">
        <f>$C1328*CV1327</f>
        <v/>
      </c>
      <c r="CW1328">
        <f>$C1328*CW1327</f>
        <v/>
      </c>
      <c r="CX1328">
        <f>$C1328*CX1327</f>
        <v/>
      </c>
      <c r="CY1328">
        <f>$C1328*CY1327</f>
        <v/>
      </c>
      <c r="CZ1328">
        <f>$C1328*CZ1327</f>
        <v/>
      </c>
      <c r="DA1328">
        <f>$C1328*DA1327</f>
        <v/>
      </c>
      <c r="DB1328">
        <f>$C1328*DB1327</f>
        <v/>
      </c>
      <c r="DC1328">
        <f>$C1328*DC1327</f>
        <v/>
      </c>
      <c r="DD1328">
        <f>$C1328*DD1327</f>
        <v/>
      </c>
    </row>
    <row r="1329">
      <c r="B1329" t="inlineStr">
        <is>
          <t>TSP-623</t>
        </is>
      </c>
      <c r="C1329" t="inlineStr">
        <is>
          <t>No. of batches</t>
        </is>
      </c>
      <c r="D1329">
        <f>IFERROR(INDEX(E1329:DD1329,$F$1),"")</f>
        <v/>
      </c>
      <c r="E1329">
        <f>IFERROR(INDEX(PP_Grid[#Data],$DE1329,2),0)</f>
        <v/>
      </c>
      <c r="F1329">
        <f>IFERROR(INDEX(PP_Grid[#Data],$DE1329,3),0)</f>
        <v/>
      </c>
      <c r="G1329">
        <f>IFERROR(INDEX(PP_Grid[#Data],$DE1329,4),0)</f>
        <v/>
      </c>
      <c r="H1329">
        <f>IFERROR(INDEX(PP_Grid[#Data],$DE1329,5),0)</f>
        <v/>
      </c>
      <c r="I1329">
        <f>IFERROR(INDEX(PP_Grid[#Data],$DE1329,6),0)</f>
        <v/>
      </c>
      <c r="J1329">
        <f>IFERROR(INDEX(PP_Grid[#Data],$DE1329,7),0)</f>
        <v/>
      </c>
      <c r="K1329">
        <f>IFERROR(INDEX(PP_Grid[#Data],$DE1329,8),0)</f>
        <v/>
      </c>
      <c r="L1329">
        <f>IFERROR(INDEX(PP_Grid[#Data],$DE1329,9),0)</f>
        <v/>
      </c>
      <c r="M1329">
        <f>IFERROR(INDEX(PP_Grid[#Data],$DE1329,10),0)</f>
        <v/>
      </c>
      <c r="N1329">
        <f>IFERROR(INDEX(PP_Grid[#Data],$DE1329,11),0)</f>
        <v/>
      </c>
      <c r="O1329">
        <f>IFERROR(INDEX(PP_Grid[#Data],$DE1329,12),0)</f>
        <v/>
      </c>
      <c r="P1329">
        <f>IFERROR(INDEX(PP_Grid[#Data],$DE1329,13),0)</f>
        <v/>
      </c>
      <c r="Q1329">
        <f>IFERROR(INDEX(PP_Grid[#Data],$DE1329,14),0)</f>
        <v/>
      </c>
      <c r="R1329">
        <f>IFERROR(INDEX(PP_Grid[#Data],$DE1329,15),0)</f>
        <v/>
      </c>
      <c r="S1329">
        <f>IFERROR(INDEX(PP_Grid[#Data],$DE1329,16),0)</f>
        <v/>
      </c>
      <c r="T1329">
        <f>IFERROR(INDEX(PP_Grid[#Data],$DE1329,17),0)</f>
        <v/>
      </c>
      <c r="U1329">
        <f>IFERROR(INDEX(PP_Grid[#Data],$DE1329,18),0)</f>
        <v/>
      </c>
      <c r="V1329">
        <f>IFERROR(INDEX(PP_Grid[#Data],$DE1329,19),0)</f>
        <v/>
      </c>
      <c r="W1329">
        <f>IFERROR(INDEX(PP_Grid[#Data],$DE1329,20),0)</f>
        <v/>
      </c>
      <c r="X1329">
        <f>IFERROR(INDEX(PP_Grid[#Data],$DE1329,21),0)</f>
        <v/>
      </c>
      <c r="Y1329">
        <f>IFERROR(INDEX(PP_Grid[#Data],$DE1329,22),0)</f>
        <v/>
      </c>
      <c r="Z1329">
        <f>IFERROR(INDEX(PP_Grid[#Data],$DE1329,23),0)</f>
        <v/>
      </c>
      <c r="AA1329">
        <f>IFERROR(INDEX(PP_Grid[#Data],$DE1329,24),0)</f>
        <v/>
      </c>
      <c r="AB1329">
        <f>IFERROR(INDEX(PP_Grid[#Data],$DE1329,25),0)</f>
        <v/>
      </c>
      <c r="AC1329">
        <f>IFERROR(INDEX(PP_Grid[#Data],$DE1329,26),0)</f>
        <v/>
      </c>
      <c r="AD1329">
        <f>IFERROR(INDEX(PP_Grid[#Data],$DE1329,27),0)</f>
        <v/>
      </c>
      <c r="AE1329">
        <f>IFERROR(INDEX(PP_Grid[#Data],$DE1329,28),0)</f>
        <v/>
      </c>
      <c r="AF1329">
        <f>IFERROR(INDEX(PP_Grid[#Data],$DE1329,29),0)</f>
        <v/>
      </c>
      <c r="AG1329">
        <f>IFERROR(INDEX(PP_Grid[#Data],$DE1329,30),0)</f>
        <v/>
      </c>
      <c r="AH1329">
        <f>IFERROR(INDEX(PP_Grid[#Data],$DE1329,31),0)</f>
        <v/>
      </c>
      <c r="AI1329">
        <f>IFERROR(INDEX(PP_Grid[#Data],$DE1329,32),0)</f>
        <v/>
      </c>
      <c r="AJ1329">
        <f>IFERROR(INDEX(PP_Grid[#Data],$DE1329,33),0)</f>
        <v/>
      </c>
      <c r="AK1329">
        <f>IFERROR(INDEX(PP_Grid[#Data],$DE1329,34),0)</f>
        <v/>
      </c>
      <c r="AL1329">
        <f>IFERROR(INDEX(PP_Grid[#Data],$DE1329,35),0)</f>
        <v/>
      </c>
      <c r="AM1329">
        <f>IFERROR(INDEX(PP_Grid[#Data],$DE1329,36),0)</f>
        <v/>
      </c>
      <c r="AN1329">
        <f>IFERROR(INDEX(PP_Grid[#Data],$DE1329,37),0)</f>
        <v/>
      </c>
      <c r="AO1329">
        <f>IFERROR(INDEX(PP_Grid[#Data],$DE1329,38),0)</f>
        <v/>
      </c>
      <c r="AP1329">
        <f>IFERROR(INDEX(PP_Grid[#Data],$DE1329,39),0)</f>
        <v/>
      </c>
      <c r="AQ1329">
        <f>IFERROR(INDEX(PP_Grid[#Data],$DE1329,40),0)</f>
        <v/>
      </c>
      <c r="AR1329">
        <f>IFERROR(INDEX(PP_Grid[#Data],$DE1329,41),0)</f>
        <v/>
      </c>
      <c r="AS1329">
        <f>IFERROR(INDEX(PP_Grid[#Data],$DE1329,42),0)</f>
        <v/>
      </c>
      <c r="AT1329">
        <f>IFERROR(INDEX(PP_Grid[#Data],$DE1329,43),0)</f>
        <v/>
      </c>
      <c r="AU1329">
        <f>IFERROR(INDEX(PP_Grid[#Data],$DE1329,44),0)</f>
        <v/>
      </c>
      <c r="AV1329">
        <f>IFERROR(INDEX(PP_Grid[#Data],$DE1329,45),0)</f>
        <v/>
      </c>
      <c r="AW1329">
        <f>IFERROR(INDEX(PP_Grid[#Data],$DE1329,46),0)</f>
        <v/>
      </c>
      <c r="AX1329">
        <f>IFERROR(INDEX(PP_Grid[#Data],$DE1329,47),0)</f>
        <v/>
      </c>
      <c r="AY1329">
        <f>IFERROR(INDEX(PP_Grid[#Data],$DE1329,48),0)</f>
        <v/>
      </c>
      <c r="AZ1329">
        <f>IFERROR(INDEX(PP_Grid[#Data],$DE1329,49),0)</f>
        <v/>
      </c>
      <c r="BA1329">
        <f>IFERROR(INDEX(PP_Grid[#Data],$DE1329,50),0)</f>
        <v/>
      </c>
      <c r="BB1329">
        <f>IFERROR(INDEX(PP_Grid[#Data],$DE1329,51),0)</f>
        <v/>
      </c>
      <c r="BC1329">
        <f>IFERROR(INDEX(PP_Grid[#Data],$DE1329,52),0)</f>
        <v/>
      </c>
      <c r="BD1329">
        <f>IFERROR(INDEX(PP_Grid[#Data],$DE1329,53),0)</f>
        <v/>
      </c>
      <c r="BE1329">
        <f>IFERROR(INDEX(PP_Grid[#Data],$DE1329,54),0)</f>
        <v/>
      </c>
      <c r="BF1329">
        <f>IFERROR(INDEX(PP_Grid[#Data],$DE1329,55),0)</f>
        <v/>
      </c>
      <c r="BG1329">
        <f>IFERROR(INDEX(PP_Grid[#Data],$DE1329,56),0)</f>
        <v/>
      </c>
      <c r="BH1329">
        <f>IFERROR(INDEX(PP_Grid[#Data],$DE1329,57),0)</f>
        <v/>
      </c>
      <c r="BI1329">
        <f>IFERROR(INDEX(PP_Grid[#Data],$DE1329,58),0)</f>
        <v/>
      </c>
      <c r="BJ1329">
        <f>IFERROR(INDEX(PP_Grid[#Data],$DE1329,59),0)</f>
        <v/>
      </c>
      <c r="BK1329">
        <f>IFERROR(INDEX(PP_Grid[#Data],$DE1329,60),0)</f>
        <v/>
      </c>
      <c r="BL1329">
        <f>IFERROR(INDEX(PP_Grid[#Data],$DE1329,61),0)</f>
        <v/>
      </c>
      <c r="BM1329">
        <f>IFERROR(INDEX(PP_Grid[#Data],$DE1329,62),0)</f>
        <v/>
      </c>
      <c r="BN1329">
        <f>IFERROR(INDEX(PP_Grid[#Data],$DE1329,63),0)</f>
        <v/>
      </c>
      <c r="BO1329">
        <f>IFERROR(INDEX(PP_Grid[#Data],$DE1329,64),0)</f>
        <v/>
      </c>
      <c r="BP1329">
        <f>IFERROR(INDEX(PP_Grid[#Data],$DE1329,65),0)</f>
        <v/>
      </c>
      <c r="BQ1329">
        <f>IFERROR(INDEX(PP_Grid[#Data],$DE1329,66),0)</f>
        <v/>
      </c>
      <c r="BR1329">
        <f>IFERROR(INDEX(PP_Grid[#Data],$DE1329,67),0)</f>
        <v/>
      </c>
      <c r="BS1329">
        <f>IFERROR(INDEX(PP_Grid[#Data],$DE1329,68),0)</f>
        <v/>
      </c>
      <c r="BT1329">
        <f>IFERROR(INDEX(PP_Grid[#Data],$DE1329,69),0)</f>
        <v/>
      </c>
      <c r="BU1329">
        <f>IFERROR(INDEX(PP_Grid[#Data],$DE1329,70),0)</f>
        <v/>
      </c>
      <c r="BV1329">
        <f>IFERROR(INDEX(PP_Grid[#Data],$DE1329,71),0)</f>
        <v/>
      </c>
      <c r="BW1329">
        <f>IFERROR(INDEX(PP_Grid[#Data],$DE1329,72),0)</f>
        <v/>
      </c>
      <c r="BX1329">
        <f>IFERROR(INDEX(PP_Grid[#Data],$DE1329,73),0)</f>
        <v/>
      </c>
      <c r="BY1329">
        <f>IFERROR(INDEX(PP_Grid[#Data],$DE1329,74),0)</f>
        <v/>
      </c>
      <c r="BZ1329">
        <f>IFERROR(INDEX(PP_Grid[#Data],$DE1329,75),0)</f>
        <v/>
      </c>
      <c r="CA1329">
        <f>IFERROR(INDEX(PP_Grid[#Data],$DE1329,76),0)</f>
        <v/>
      </c>
      <c r="CB1329">
        <f>IFERROR(INDEX(PP_Grid[#Data],$DE1329,77),0)</f>
        <v/>
      </c>
      <c r="CC1329">
        <f>IFERROR(INDEX(PP_Grid[#Data],$DE1329,78),0)</f>
        <v/>
      </c>
      <c r="CD1329">
        <f>IFERROR(INDEX(PP_Grid[#Data],$DE1329,79),0)</f>
        <v/>
      </c>
      <c r="CE1329">
        <f>IFERROR(INDEX(PP_Grid[#Data],$DE1329,80),0)</f>
        <v/>
      </c>
      <c r="CF1329">
        <f>IFERROR(INDEX(PP_Grid[#Data],$DE1329,81),0)</f>
        <v/>
      </c>
      <c r="CG1329">
        <f>IFERROR(INDEX(PP_Grid[#Data],$DE1329,82),0)</f>
        <v/>
      </c>
      <c r="CH1329">
        <f>IFERROR(INDEX(PP_Grid[#Data],$DE1329,83),0)</f>
        <v/>
      </c>
      <c r="CI1329">
        <f>IFERROR(INDEX(PP_Grid[#Data],$DE1329,84),0)</f>
        <v/>
      </c>
      <c r="CJ1329">
        <f>IFERROR(INDEX(PP_Grid[#Data],$DE1329,85),0)</f>
        <v/>
      </c>
      <c r="CK1329">
        <f>IFERROR(INDEX(PP_Grid[#Data],$DE1329,86),0)</f>
        <v/>
      </c>
      <c r="CL1329">
        <f>IFERROR(INDEX(PP_Grid[#Data],$DE1329,87),0)</f>
        <v/>
      </c>
      <c r="CM1329">
        <f>IFERROR(INDEX(PP_Grid[#Data],$DE1329,88),0)</f>
        <v/>
      </c>
      <c r="CN1329">
        <f>IFERROR(INDEX(PP_Grid[#Data],$DE1329,89),0)</f>
        <v/>
      </c>
      <c r="CO1329">
        <f>IFERROR(INDEX(PP_Grid[#Data],$DE1329,90),0)</f>
        <v/>
      </c>
      <c r="CP1329">
        <f>IFERROR(INDEX(PP_Grid[#Data],$DE1329,91),0)</f>
        <v/>
      </c>
      <c r="CQ1329">
        <f>IFERROR(INDEX(PP_Grid[#Data],$DE1329,92),0)</f>
        <v/>
      </c>
      <c r="CR1329">
        <f>IFERROR(INDEX(PP_Grid[#Data],$DE1329,93),0)</f>
        <v/>
      </c>
      <c r="CS1329">
        <f>IFERROR(INDEX(PP_Grid[#Data],$DE1329,94),0)</f>
        <v/>
      </c>
      <c r="CT1329">
        <f>IFERROR(INDEX(PP_Grid[#Data],$DE1329,95),0)</f>
        <v/>
      </c>
      <c r="CU1329">
        <f>IFERROR(INDEX(PP_Grid[#Data],$DE1329,96),0)</f>
        <v/>
      </c>
      <c r="CV1329">
        <f>IFERROR(INDEX(PP_Grid[#Data],$DE1329,97),0)</f>
        <v/>
      </c>
      <c r="CW1329">
        <f>IFERROR(INDEX(PP_Grid[#Data],$DE1329,98),0)</f>
        <v/>
      </c>
      <c r="CX1329">
        <f>IFERROR(INDEX(PP_Grid[#Data],$DE1329,99),0)</f>
        <v/>
      </c>
      <c r="CY1329">
        <f>IFERROR(INDEX(PP_Grid[#Data],$DE1329,100),0)</f>
        <v/>
      </c>
      <c r="CZ1329">
        <f>IFERROR(INDEX(PP_Grid[#Data],$DE1329,101),0)</f>
        <v/>
      </c>
      <c r="DA1329">
        <f>IFERROR(INDEX(PP_Grid[#Data],$DE1329,102),0)</f>
        <v/>
      </c>
      <c r="DB1329">
        <f>IFERROR(INDEX(PP_Grid[#Data],$DE1329,103),0)</f>
        <v/>
      </c>
      <c r="DC1329">
        <f>IFERROR(INDEX(PP_Grid[#Data],$DE1329,104),0)</f>
        <v/>
      </c>
      <c r="DD1329">
        <f>IFERROR(INDEX(PP_Grid[#Data],$DE1329,105),0)</f>
        <v/>
      </c>
      <c r="DE1329" s="7">
        <f>IFERROR(MATCH($B1329,PP_Grid[Intermediate],0),99999)</f>
        <v/>
      </c>
    </row>
    <row r="1330">
      <c r="B1330" t="inlineStr">
        <is>
          <t>使用量(kg)</t>
        </is>
      </c>
      <c r="C1330">
        <f>SUMIFS(M_BOM[RM_Qty_Per_Batch],M_BOM[Intermediate],$B1329,M_BOM[RM_Code],$A1326)</f>
        <v/>
      </c>
      <c r="D1330">
        <f>IFERROR(INDEX(E1330:DD1330,$F$1),"")</f>
        <v/>
      </c>
      <c r="E1330">
        <f>$C1330*E1329</f>
        <v/>
      </c>
      <c r="F1330">
        <f>$C1330*F1329</f>
        <v/>
      </c>
      <c r="G1330">
        <f>$C1330*G1329</f>
        <v/>
      </c>
      <c r="H1330">
        <f>$C1330*H1329</f>
        <v/>
      </c>
      <c r="I1330">
        <f>$C1330*I1329</f>
        <v/>
      </c>
      <c r="J1330">
        <f>$C1330*J1329</f>
        <v/>
      </c>
      <c r="K1330">
        <f>$C1330*K1329</f>
        <v/>
      </c>
      <c r="L1330">
        <f>$C1330*L1329</f>
        <v/>
      </c>
      <c r="M1330">
        <f>$C1330*M1329</f>
        <v/>
      </c>
      <c r="N1330">
        <f>$C1330*N1329</f>
        <v/>
      </c>
      <c r="O1330">
        <f>$C1330*O1329</f>
        <v/>
      </c>
      <c r="P1330">
        <f>$C1330*P1329</f>
        <v/>
      </c>
      <c r="Q1330">
        <f>$C1330*Q1329</f>
        <v/>
      </c>
      <c r="R1330">
        <f>$C1330*R1329</f>
        <v/>
      </c>
      <c r="S1330">
        <f>$C1330*S1329</f>
        <v/>
      </c>
      <c r="T1330">
        <f>$C1330*T1329</f>
        <v/>
      </c>
      <c r="U1330">
        <f>$C1330*U1329</f>
        <v/>
      </c>
      <c r="V1330">
        <f>$C1330*V1329</f>
        <v/>
      </c>
      <c r="W1330">
        <f>$C1330*W1329</f>
        <v/>
      </c>
      <c r="X1330">
        <f>$C1330*X1329</f>
        <v/>
      </c>
      <c r="Y1330">
        <f>$C1330*Y1329</f>
        <v/>
      </c>
      <c r="Z1330">
        <f>$C1330*Z1329</f>
        <v/>
      </c>
      <c r="AA1330">
        <f>$C1330*AA1329</f>
        <v/>
      </c>
      <c r="AB1330">
        <f>$C1330*AB1329</f>
        <v/>
      </c>
      <c r="AC1330">
        <f>$C1330*AC1329</f>
        <v/>
      </c>
      <c r="AD1330">
        <f>$C1330*AD1329</f>
        <v/>
      </c>
      <c r="AE1330">
        <f>$C1330*AE1329</f>
        <v/>
      </c>
      <c r="AF1330">
        <f>$C1330*AF1329</f>
        <v/>
      </c>
      <c r="AG1330">
        <f>$C1330*AG1329</f>
        <v/>
      </c>
      <c r="AH1330">
        <f>$C1330*AH1329</f>
        <v/>
      </c>
      <c r="AI1330">
        <f>$C1330*AI1329</f>
        <v/>
      </c>
      <c r="AJ1330">
        <f>$C1330*AJ1329</f>
        <v/>
      </c>
      <c r="AK1330">
        <f>$C1330*AK1329</f>
        <v/>
      </c>
      <c r="AL1330">
        <f>$C1330*AL1329</f>
        <v/>
      </c>
      <c r="AM1330">
        <f>$C1330*AM1329</f>
        <v/>
      </c>
      <c r="AN1330">
        <f>$C1330*AN1329</f>
        <v/>
      </c>
      <c r="AO1330">
        <f>$C1330*AO1329</f>
        <v/>
      </c>
      <c r="AP1330">
        <f>$C1330*AP1329</f>
        <v/>
      </c>
      <c r="AQ1330">
        <f>$C1330*AQ1329</f>
        <v/>
      </c>
      <c r="AR1330">
        <f>$C1330*AR1329</f>
        <v/>
      </c>
      <c r="AS1330">
        <f>$C1330*AS1329</f>
        <v/>
      </c>
      <c r="AT1330">
        <f>$C1330*AT1329</f>
        <v/>
      </c>
      <c r="AU1330">
        <f>$C1330*AU1329</f>
        <v/>
      </c>
      <c r="AV1330">
        <f>$C1330*AV1329</f>
        <v/>
      </c>
      <c r="AW1330">
        <f>$C1330*AW1329</f>
        <v/>
      </c>
      <c r="AX1330">
        <f>$C1330*AX1329</f>
        <v/>
      </c>
      <c r="AY1330">
        <f>$C1330*AY1329</f>
        <v/>
      </c>
      <c r="AZ1330">
        <f>$C1330*AZ1329</f>
        <v/>
      </c>
      <c r="BA1330">
        <f>$C1330*BA1329</f>
        <v/>
      </c>
      <c r="BB1330">
        <f>$C1330*BB1329</f>
        <v/>
      </c>
      <c r="BC1330">
        <f>$C1330*BC1329</f>
        <v/>
      </c>
      <c r="BD1330">
        <f>$C1330*BD1329</f>
        <v/>
      </c>
      <c r="BE1330">
        <f>$C1330*BE1329</f>
        <v/>
      </c>
      <c r="BF1330">
        <f>$C1330*BF1329</f>
        <v/>
      </c>
      <c r="BG1330">
        <f>$C1330*BG1329</f>
        <v/>
      </c>
      <c r="BH1330">
        <f>$C1330*BH1329</f>
        <v/>
      </c>
      <c r="BI1330">
        <f>$C1330*BI1329</f>
        <v/>
      </c>
      <c r="BJ1330">
        <f>$C1330*BJ1329</f>
        <v/>
      </c>
      <c r="BK1330">
        <f>$C1330*BK1329</f>
        <v/>
      </c>
      <c r="BL1330">
        <f>$C1330*BL1329</f>
        <v/>
      </c>
      <c r="BM1330">
        <f>$C1330*BM1329</f>
        <v/>
      </c>
      <c r="BN1330">
        <f>$C1330*BN1329</f>
        <v/>
      </c>
      <c r="BO1330">
        <f>$C1330*BO1329</f>
        <v/>
      </c>
      <c r="BP1330">
        <f>$C1330*BP1329</f>
        <v/>
      </c>
      <c r="BQ1330">
        <f>$C1330*BQ1329</f>
        <v/>
      </c>
      <c r="BR1330">
        <f>$C1330*BR1329</f>
        <v/>
      </c>
      <c r="BS1330">
        <f>$C1330*BS1329</f>
        <v/>
      </c>
      <c r="BT1330">
        <f>$C1330*BT1329</f>
        <v/>
      </c>
      <c r="BU1330">
        <f>$C1330*BU1329</f>
        <v/>
      </c>
      <c r="BV1330">
        <f>$C1330*BV1329</f>
        <v/>
      </c>
      <c r="BW1330">
        <f>$C1330*BW1329</f>
        <v/>
      </c>
      <c r="BX1330">
        <f>$C1330*BX1329</f>
        <v/>
      </c>
      <c r="BY1330">
        <f>$C1330*BY1329</f>
        <v/>
      </c>
      <c r="BZ1330">
        <f>$C1330*BZ1329</f>
        <v/>
      </c>
      <c r="CA1330">
        <f>$C1330*CA1329</f>
        <v/>
      </c>
      <c r="CB1330">
        <f>$C1330*CB1329</f>
        <v/>
      </c>
      <c r="CC1330">
        <f>$C1330*CC1329</f>
        <v/>
      </c>
      <c r="CD1330">
        <f>$C1330*CD1329</f>
        <v/>
      </c>
      <c r="CE1330">
        <f>$C1330*CE1329</f>
        <v/>
      </c>
      <c r="CF1330">
        <f>$C1330*CF1329</f>
        <v/>
      </c>
      <c r="CG1330">
        <f>$C1330*CG1329</f>
        <v/>
      </c>
      <c r="CH1330">
        <f>$C1330*CH1329</f>
        <v/>
      </c>
      <c r="CI1330">
        <f>$C1330*CI1329</f>
        <v/>
      </c>
      <c r="CJ1330">
        <f>$C1330*CJ1329</f>
        <v/>
      </c>
      <c r="CK1330">
        <f>$C1330*CK1329</f>
        <v/>
      </c>
      <c r="CL1330">
        <f>$C1330*CL1329</f>
        <v/>
      </c>
      <c r="CM1330">
        <f>$C1330*CM1329</f>
        <v/>
      </c>
      <c r="CN1330">
        <f>$C1330*CN1329</f>
        <v/>
      </c>
      <c r="CO1330">
        <f>$C1330*CO1329</f>
        <v/>
      </c>
      <c r="CP1330">
        <f>$C1330*CP1329</f>
        <v/>
      </c>
      <c r="CQ1330">
        <f>$C1330*CQ1329</f>
        <v/>
      </c>
      <c r="CR1330">
        <f>$C1330*CR1329</f>
        <v/>
      </c>
      <c r="CS1330">
        <f>$C1330*CS1329</f>
        <v/>
      </c>
      <c r="CT1330">
        <f>$C1330*CT1329</f>
        <v/>
      </c>
      <c r="CU1330">
        <f>$C1330*CU1329</f>
        <v/>
      </c>
      <c r="CV1330">
        <f>$C1330*CV1329</f>
        <v/>
      </c>
      <c r="CW1330">
        <f>$C1330*CW1329</f>
        <v/>
      </c>
      <c r="CX1330">
        <f>$C1330*CX1329</f>
        <v/>
      </c>
      <c r="CY1330">
        <f>$C1330*CY1329</f>
        <v/>
      </c>
      <c r="CZ1330">
        <f>$C1330*CZ1329</f>
        <v/>
      </c>
      <c r="DA1330">
        <f>$C1330*DA1329</f>
        <v/>
      </c>
      <c r="DB1330">
        <f>$C1330*DB1329</f>
        <v/>
      </c>
      <c r="DC1330">
        <f>$C1330*DC1329</f>
        <v/>
      </c>
      <c r="DD1330">
        <f>$C1330*DD1329</f>
        <v/>
      </c>
    </row>
    <row r="1331">
      <c r="B1331" t="inlineStr">
        <is>
          <t>TSP-927</t>
        </is>
      </c>
      <c r="C1331" t="inlineStr">
        <is>
          <t>No. of batches</t>
        </is>
      </c>
      <c r="D1331">
        <f>IFERROR(INDEX(E1331:DD1331,$F$1),"")</f>
        <v/>
      </c>
      <c r="E1331">
        <f>IFERROR(INDEX(PP_Grid[#Data],$DE1331,2),0)</f>
        <v/>
      </c>
      <c r="F1331">
        <f>IFERROR(INDEX(PP_Grid[#Data],$DE1331,3),0)</f>
        <v/>
      </c>
      <c r="G1331">
        <f>IFERROR(INDEX(PP_Grid[#Data],$DE1331,4),0)</f>
        <v/>
      </c>
      <c r="H1331">
        <f>IFERROR(INDEX(PP_Grid[#Data],$DE1331,5),0)</f>
        <v/>
      </c>
      <c r="I1331">
        <f>IFERROR(INDEX(PP_Grid[#Data],$DE1331,6),0)</f>
        <v/>
      </c>
      <c r="J1331">
        <f>IFERROR(INDEX(PP_Grid[#Data],$DE1331,7),0)</f>
        <v/>
      </c>
      <c r="K1331">
        <f>IFERROR(INDEX(PP_Grid[#Data],$DE1331,8),0)</f>
        <v/>
      </c>
      <c r="L1331">
        <f>IFERROR(INDEX(PP_Grid[#Data],$DE1331,9),0)</f>
        <v/>
      </c>
      <c r="M1331">
        <f>IFERROR(INDEX(PP_Grid[#Data],$DE1331,10),0)</f>
        <v/>
      </c>
      <c r="N1331">
        <f>IFERROR(INDEX(PP_Grid[#Data],$DE1331,11),0)</f>
        <v/>
      </c>
      <c r="O1331">
        <f>IFERROR(INDEX(PP_Grid[#Data],$DE1331,12),0)</f>
        <v/>
      </c>
      <c r="P1331">
        <f>IFERROR(INDEX(PP_Grid[#Data],$DE1331,13),0)</f>
        <v/>
      </c>
      <c r="Q1331">
        <f>IFERROR(INDEX(PP_Grid[#Data],$DE1331,14),0)</f>
        <v/>
      </c>
      <c r="R1331">
        <f>IFERROR(INDEX(PP_Grid[#Data],$DE1331,15),0)</f>
        <v/>
      </c>
      <c r="S1331">
        <f>IFERROR(INDEX(PP_Grid[#Data],$DE1331,16),0)</f>
        <v/>
      </c>
      <c r="T1331">
        <f>IFERROR(INDEX(PP_Grid[#Data],$DE1331,17),0)</f>
        <v/>
      </c>
      <c r="U1331">
        <f>IFERROR(INDEX(PP_Grid[#Data],$DE1331,18),0)</f>
        <v/>
      </c>
      <c r="V1331">
        <f>IFERROR(INDEX(PP_Grid[#Data],$DE1331,19),0)</f>
        <v/>
      </c>
      <c r="W1331">
        <f>IFERROR(INDEX(PP_Grid[#Data],$DE1331,20),0)</f>
        <v/>
      </c>
      <c r="X1331">
        <f>IFERROR(INDEX(PP_Grid[#Data],$DE1331,21),0)</f>
        <v/>
      </c>
      <c r="Y1331">
        <f>IFERROR(INDEX(PP_Grid[#Data],$DE1331,22),0)</f>
        <v/>
      </c>
      <c r="Z1331">
        <f>IFERROR(INDEX(PP_Grid[#Data],$DE1331,23),0)</f>
        <v/>
      </c>
      <c r="AA1331">
        <f>IFERROR(INDEX(PP_Grid[#Data],$DE1331,24),0)</f>
        <v/>
      </c>
      <c r="AB1331">
        <f>IFERROR(INDEX(PP_Grid[#Data],$DE1331,25),0)</f>
        <v/>
      </c>
      <c r="AC1331">
        <f>IFERROR(INDEX(PP_Grid[#Data],$DE1331,26),0)</f>
        <v/>
      </c>
      <c r="AD1331">
        <f>IFERROR(INDEX(PP_Grid[#Data],$DE1331,27),0)</f>
        <v/>
      </c>
      <c r="AE1331">
        <f>IFERROR(INDEX(PP_Grid[#Data],$DE1331,28),0)</f>
        <v/>
      </c>
      <c r="AF1331">
        <f>IFERROR(INDEX(PP_Grid[#Data],$DE1331,29),0)</f>
        <v/>
      </c>
      <c r="AG1331">
        <f>IFERROR(INDEX(PP_Grid[#Data],$DE1331,30),0)</f>
        <v/>
      </c>
      <c r="AH1331">
        <f>IFERROR(INDEX(PP_Grid[#Data],$DE1331,31),0)</f>
        <v/>
      </c>
      <c r="AI1331">
        <f>IFERROR(INDEX(PP_Grid[#Data],$DE1331,32),0)</f>
        <v/>
      </c>
      <c r="AJ1331">
        <f>IFERROR(INDEX(PP_Grid[#Data],$DE1331,33),0)</f>
        <v/>
      </c>
      <c r="AK1331">
        <f>IFERROR(INDEX(PP_Grid[#Data],$DE1331,34),0)</f>
        <v/>
      </c>
      <c r="AL1331">
        <f>IFERROR(INDEX(PP_Grid[#Data],$DE1331,35),0)</f>
        <v/>
      </c>
      <c r="AM1331">
        <f>IFERROR(INDEX(PP_Grid[#Data],$DE1331,36),0)</f>
        <v/>
      </c>
      <c r="AN1331">
        <f>IFERROR(INDEX(PP_Grid[#Data],$DE1331,37),0)</f>
        <v/>
      </c>
      <c r="AO1331">
        <f>IFERROR(INDEX(PP_Grid[#Data],$DE1331,38),0)</f>
        <v/>
      </c>
      <c r="AP1331">
        <f>IFERROR(INDEX(PP_Grid[#Data],$DE1331,39),0)</f>
        <v/>
      </c>
      <c r="AQ1331">
        <f>IFERROR(INDEX(PP_Grid[#Data],$DE1331,40),0)</f>
        <v/>
      </c>
      <c r="AR1331">
        <f>IFERROR(INDEX(PP_Grid[#Data],$DE1331,41),0)</f>
        <v/>
      </c>
      <c r="AS1331">
        <f>IFERROR(INDEX(PP_Grid[#Data],$DE1331,42),0)</f>
        <v/>
      </c>
      <c r="AT1331">
        <f>IFERROR(INDEX(PP_Grid[#Data],$DE1331,43),0)</f>
        <v/>
      </c>
      <c r="AU1331">
        <f>IFERROR(INDEX(PP_Grid[#Data],$DE1331,44),0)</f>
        <v/>
      </c>
      <c r="AV1331">
        <f>IFERROR(INDEX(PP_Grid[#Data],$DE1331,45),0)</f>
        <v/>
      </c>
      <c r="AW1331">
        <f>IFERROR(INDEX(PP_Grid[#Data],$DE1331,46),0)</f>
        <v/>
      </c>
      <c r="AX1331">
        <f>IFERROR(INDEX(PP_Grid[#Data],$DE1331,47),0)</f>
        <v/>
      </c>
      <c r="AY1331">
        <f>IFERROR(INDEX(PP_Grid[#Data],$DE1331,48),0)</f>
        <v/>
      </c>
      <c r="AZ1331">
        <f>IFERROR(INDEX(PP_Grid[#Data],$DE1331,49),0)</f>
        <v/>
      </c>
      <c r="BA1331">
        <f>IFERROR(INDEX(PP_Grid[#Data],$DE1331,50),0)</f>
        <v/>
      </c>
      <c r="BB1331">
        <f>IFERROR(INDEX(PP_Grid[#Data],$DE1331,51),0)</f>
        <v/>
      </c>
      <c r="BC1331">
        <f>IFERROR(INDEX(PP_Grid[#Data],$DE1331,52),0)</f>
        <v/>
      </c>
      <c r="BD1331">
        <f>IFERROR(INDEX(PP_Grid[#Data],$DE1331,53),0)</f>
        <v/>
      </c>
      <c r="BE1331">
        <f>IFERROR(INDEX(PP_Grid[#Data],$DE1331,54),0)</f>
        <v/>
      </c>
      <c r="BF1331">
        <f>IFERROR(INDEX(PP_Grid[#Data],$DE1331,55),0)</f>
        <v/>
      </c>
      <c r="BG1331">
        <f>IFERROR(INDEX(PP_Grid[#Data],$DE1331,56),0)</f>
        <v/>
      </c>
      <c r="BH1331">
        <f>IFERROR(INDEX(PP_Grid[#Data],$DE1331,57),0)</f>
        <v/>
      </c>
      <c r="BI1331">
        <f>IFERROR(INDEX(PP_Grid[#Data],$DE1331,58),0)</f>
        <v/>
      </c>
      <c r="BJ1331">
        <f>IFERROR(INDEX(PP_Grid[#Data],$DE1331,59),0)</f>
        <v/>
      </c>
      <c r="BK1331">
        <f>IFERROR(INDEX(PP_Grid[#Data],$DE1331,60),0)</f>
        <v/>
      </c>
      <c r="BL1331">
        <f>IFERROR(INDEX(PP_Grid[#Data],$DE1331,61),0)</f>
        <v/>
      </c>
      <c r="BM1331">
        <f>IFERROR(INDEX(PP_Grid[#Data],$DE1331,62),0)</f>
        <v/>
      </c>
      <c r="BN1331">
        <f>IFERROR(INDEX(PP_Grid[#Data],$DE1331,63),0)</f>
        <v/>
      </c>
      <c r="BO1331">
        <f>IFERROR(INDEX(PP_Grid[#Data],$DE1331,64),0)</f>
        <v/>
      </c>
      <c r="BP1331">
        <f>IFERROR(INDEX(PP_Grid[#Data],$DE1331,65),0)</f>
        <v/>
      </c>
      <c r="BQ1331">
        <f>IFERROR(INDEX(PP_Grid[#Data],$DE1331,66),0)</f>
        <v/>
      </c>
      <c r="BR1331">
        <f>IFERROR(INDEX(PP_Grid[#Data],$DE1331,67),0)</f>
        <v/>
      </c>
      <c r="BS1331">
        <f>IFERROR(INDEX(PP_Grid[#Data],$DE1331,68),0)</f>
        <v/>
      </c>
      <c r="BT1331">
        <f>IFERROR(INDEX(PP_Grid[#Data],$DE1331,69),0)</f>
        <v/>
      </c>
      <c r="BU1331">
        <f>IFERROR(INDEX(PP_Grid[#Data],$DE1331,70),0)</f>
        <v/>
      </c>
      <c r="BV1331">
        <f>IFERROR(INDEX(PP_Grid[#Data],$DE1331,71),0)</f>
        <v/>
      </c>
      <c r="BW1331">
        <f>IFERROR(INDEX(PP_Grid[#Data],$DE1331,72),0)</f>
        <v/>
      </c>
      <c r="BX1331">
        <f>IFERROR(INDEX(PP_Grid[#Data],$DE1331,73),0)</f>
        <v/>
      </c>
      <c r="BY1331">
        <f>IFERROR(INDEX(PP_Grid[#Data],$DE1331,74),0)</f>
        <v/>
      </c>
      <c r="BZ1331">
        <f>IFERROR(INDEX(PP_Grid[#Data],$DE1331,75),0)</f>
        <v/>
      </c>
      <c r="CA1331">
        <f>IFERROR(INDEX(PP_Grid[#Data],$DE1331,76),0)</f>
        <v/>
      </c>
      <c r="CB1331">
        <f>IFERROR(INDEX(PP_Grid[#Data],$DE1331,77),0)</f>
        <v/>
      </c>
      <c r="CC1331">
        <f>IFERROR(INDEX(PP_Grid[#Data],$DE1331,78),0)</f>
        <v/>
      </c>
      <c r="CD1331">
        <f>IFERROR(INDEX(PP_Grid[#Data],$DE1331,79),0)</f>
        <v/>
      </c>
      <c r="CE1331">
        <f>IFERROR(INDEX(PP_Grid[#Data],$DE1331,80),0)</f>
        <v/>
      </c>
      <c r="CF1331">
        <f>IFERROR(INDEX(PP_Grid[#Data],$DE1331,81),0)</f>
        <v/>
      </c>
      <c r="CG1331">
        <f>IFERROR(INDEX(PP_Grid[#Data],$DE1331,82),0)</f>
        <v/>
      </c>
      <c r="CH1331">
        <f>IFERROR(INDEX(PP_Grid[#Data],$DE1331,83),0)</f>
        <v/>
      </c>
      <c r="CI1331">
        <f>IFERROR(INDEX(PP_Grid[#Data],$DE1331,84),0)</f>
        <v/>
      </c>
      <c r="CJ1331">
        <f>IFERROR(INDEX(PP_Grid[#Data],$DE1331,85),0)</f>
        <v/>
      </c>
      <c r="CK1331">
        <f>IFERROR(INDEX(PP_Grid[#Data],$DE1331,86),0)</f>
        <v/>
      </c>
      <c r="CL1331">
        <f>IFERROR(INDEX(PP_Grid[#Data],$DE1331,87),0)</f>
        <v/>
      </c>
      <c r="CM1331">
        <f>IFERROR(INDEX(PP_Grid[#Data],$DE1331,88),0)</f>
        <v/>
      </c>
      <c r="CN1331">
        <f>IFERROR(INDEX(PP_Grid[#Data],$DE1331,89),0)</f>
        <v/>
      </c>
      <c r="CO1331">
        <f>IFERROR(INDEX(PP_Grid[#Data],$DE1331,90),0)</f>
        <v/>
      </c>
      <c r="CP1331">
        <f>IFERROR(INDEX(PP_Grid[#Data],$DE1331,91),0)</f>
        <v/>
      </c>
      <c r="CQ1331">
        <f>IFERROR(INDEX(PP_Grid[#Data],$DE1331,92),0)</f>
        <v/>
      </c>
      <c r="CR1331">
        <f>IFERROR(INDEX(PP_Grid[#Data],$DE1331,93),0)</f>
        <v/>
      </c>
      <c r="CS1331">
        <f>IFERROR(INDEX(PP_Grid[#Data],$DE1331,94),0)</f>
        <v/>
      </c>
      <c r="CT1331">
        <f>IFERROR(INDEX(PP_Grid[#Data],$DE1331,95),0)</f>
        <v/>
      </c>
      <c r="CU1331">
        <f>IFERROR(INDEX(PP_Grid[#Data],$DE1331,96),0)</f>
        <v/>
      </c>
      <c r="CV1331">
        <f>IFERROR(INDEX(PP_Grid[#Data],$DE1331,97),0)</f>
        <v/>
      </c>
      <c r="CW1331">
        <f>IFERROR(INDEX(PP_Grid[#Data],$DE1331,98),0)</f>
        <v/>
      </c>
      <c r="CX1331">
        <f>IFERROR(INDEX(PP_Grid[#Data],$DE1331,99),0)</f>
        <v/>
      </c>
      <c r="CY1331">
        <f>IFERROR(INDEX(PP_Grid[#Data],$DE1331,100),0)</f>
        <v/>
      </c>
      <c r="CZ1331">
        <f>IFERROR(INDEX(PP_Grid[#Data],$DE1331,101),0)</f>
        <v/>
      </c>
      <c r="DA1331">
        <f>IFERROR(INDEX(PP_Grid[#Data],$DE1331,102),0)</f>
        <v/>
      </c>
      <c r="DB1331">
        <f>IFERROR(INDEX(PP_Grid[#Data],$DE1331,103),0)</f>
        <v/>
      </c>
      <c r="DC1331">
        <f>IFERROR(INDEX(PP_Grid[#Data],$DE1331,104),0)</f>
        <v/>
      </c>
      <c r="DD1331">
        <f>IFERROR(INDEX(PP_Grid[#Data],$DE1331,105),0)</f>
        <v/>
      </c>
      <c r="DE1331" s="7">
        <f>IFERROR(MATCH($B1331,PP_Grid[Intermediate],0),99999)</f>
        <v/>
      </c>
    </row>
    <row r="1332">
      <c r="B1332" t="inlineStr">
        <is>
          <t>使用量(kg)</t>
        </is>
      </c>
      <c r="C1332">
        <f>SUMIFS(M_BOM[RM_Qty_Per_Batch],M_BOM[Intermediate],$B1331,M_BOM[RM_Code],$A1326)</f>
        <v/>
      </c>
      <c r="D1332">
        <f>IFERROR(INDEX(E1332:DD1332,$F$1),"")</f>
        <v/>
      </c>
      <c r="E1332">
        <f>$C1332*E1331</f>
        <v/>
      </c>
      <c r="F1332">
        <f>$C1332*F1331</f>
        <v/>
      </c>
      <c r="G1332">
        <f>$C1332*G1331</f>
        <v/>
      </c>
      <c r="H1332">
        <f>$C1332*H1331</f>
        <v/>
      </c>
      <c r="I1332">
        <f>$C1332*I1331</f>
        <v/>
      </c>
      <c r="J1332">
        <f>$C1332*J1331</f>
        <v/>
      </c>
      <c r="K1332">
        <f>$C1332*K1331</f>
        <v/>
      </c>
      <c r="L1332">
        <f>$C1332*L1331</f>
        <v/>
      </c>
      <c r="M1332">
        <f>$C1332*M1331</f>
        <v/>
      </c>
      <c r="N1332">
        <f>$C1332*N1331</f>
        <v/>
      </c>
      <c r="O1332">
        <f>$C1332*O1331</f>
        <v/>
      </c>
      <c r="P1332">
        <f>$C1332*P1331</f>
        <v/>
      </c>
      <c r="Q1332">
        <f>$C1332*Q1331</f>
        <v/>
      </c>
      <c r="R1332">
        <f>$C1332*R1331</f>
        <v/>
      </c>
      <c r="S1332">
        <f>$C1332*S1331</f>
        <v/>
      </c>
      <c r="T1332">
        <f>$C1332*T1331</f>
        <v/>
      </c>
      <c r="U1332">
        <f>$C1332*U1331</f>
        <v/>
      </c>
      <c r="V1332">
        <f>$C1332*V1331</f>
        <v/>
      </c>
      <c r="W1332">
        <f>$C1332*W1331</f>
        <v/>
      </c>
      <c r="X1332">
        <f>$C1332*X1331</f>
        <v/>
      </c>
      <c r="Y1332">
        <f>$C1332*Y1331</f>
        <v/>
      </c>
      <c r="Z1332">
        <f>$C1332*Z1331</f>
        <v/>
      </c>
      <c r="AA1332">
        <f>$C1332*AA1331</f>
        <v/>
      </c>
      <c r="AB1332">
        <f>$C1332*AB1331</f>
        <v/>
      </c>
      <c r="AC1332">
        <f>$C1332*AC1331</f>
        <v/>
      </c>
      <c r="AD1332">
        <f>$C1332*AD1331</f>
        <v/>
      </c>
      <c r="AE1332">
        <f>$C1332*AE1331</f>
        <v/>
      </c>
      <c r="AF1332">
        <f>$C1332*AF1331</f>
        <v/>
      </c>
      <c r="AG1332">
        <f>$C1332*AG1331</f>
        <v/>
      </c>
      <c r="AH1332">
        <f>$C1332*AH1331</f>
        <v/>
      </c>
      <c r="AI1332">
        <f>$C1332*AI1331</f>
        <v/>
      </c>
      <c r="AJ1332">
        <f>$C1332*AJ1331</f>
        <v/>
      </c>
      <c r="AK1332">
        <f>$C1332*AK1331</f>
        <v/>
      </c>
      <c r="AL1332">
        <f>$C1332*AL1331</f>
        <v/>
      </c>
      <c r="AM1332">
        <f>$C1332*AM1331</f>
        <v/>
      </c>
      <c r="AN1332">
        <f>$C1332*AN1331</f>
        <v/>
      </c>
      <c r="AO1332">
        <f>$C1332*AO1331</f>
        <v/>
      </c>
      <c r="AP1332">
        <f>$C1332*AP1331</f>
        <v/>
      </c>
      <c r="AQ1332">
        <f>$C1332*AQ1331</f>
        <v/>
      </c>
      <c r="AR1332">
        <f>$C1332*AR1331</f>
        <v/>
      </c>
      <c r="AS1332">
        <f>$C1332*AS1331</f>
        <v/>
      </c>
      <c r="AT1332">
        <f>$C1332*AT1331</f>
        <v/>
      </c>
      <c r="AU1332">
        <f>$C1332*AU1331</f>
        <v/>
      </c>
      <c r="AV1332">
        <f>$C1332*AV1331</f>
        <v/>
      </c>
      <c r="AW1332">
        <f>$C1332*AW1331</f>
        <v/>
      </c>
      <c r="AX1332">
        <f>$C1332*AX1331</f>
        <v/>
      </c>
      <c r="AY1332">
        <f>$C1332*AY1331</f>
        <v/>
      </c>
      <c r="AZ1332">
        <f>$C1332*AZ1331</f>
        <v/>
      </c>
      <c r="BA1332">
        <f>$C1332*BA1331</f>
        <v/>
      </c>
      <c r="BB1332">
        <f>$C1332*BB1331</f>
        <v/>
      </c>
      <c r="BC1332">
        <f>$C1332*BC1331</f>
        <v/>
      </c>
      <c r="BD1332">
        <f>$C1332*BD1331</f>
        <v/>
      </c>
      <c r="BE1332">
        <f>$C1332*BE1331</f>
        <v/>
      </c>
      <c r="BF1332">
        <f>$C1332*BF1331</f>
        <v/>
      </c>
      <c r="BG1332">
        <f>$C1332*BG1331</f>
        <v/>
      </c>
      <c r="BH1332">
        <f>$C1332*BH1331</f>
        <v/>
      </c>
      <c r="BI1332">
        <f>$C1332*BI1331</f>
        <v/>
      </c>
      <c r="BJ1332">
        <f>$C1332*BJ1331</f>
        <v/>
      </c>
      <c r="BK1332">
        <f>$C1332*BK1331</f>
        <v/>
      </c>
      <c r="BL1332">
        <f>$C1332*BL1331</f>
        <v/>
      </c>
      <c r="BM1332">
        <f>$C1332*BM1331</f>
        <v/>
      </c>
      <c r="BN1332">
        <f>$C1332*BN1331</f>
        <v/>
      </c>
      <c r="BO1332">
        <f>$C1332*BO1331</f>
        <v/>
      </c>
      <c r="BP1332">
        <f>$C1332*BP1331</f>
        <v/>
      </c>
      <c r="BQ1332">
        <f>$C1332*BQ1331</f>
        <v/>
      </c>
      <c r="BR1332">
        <f>$C1332*BR1331</f>
        <v/>
      </c>
      <c r="BS1332">
        <f>$C1332*BS1331</f>
        <v/>
      </c>
      <c r="BT1332">
        <f>$C1332*BT1331</f>
        <v/>
      </c>
      <c r="BU1332">
        <f>$C1332*BU1331</f>
        <v/>
      </c>
      <c r="BV1332">
        <f>$C1332*BV1331</f>
        <v/>
      </c>
      <c r="BW1332">
        <f>$C1332*BW1331</f>
        <v/>
      </c>
      <c r="BX1332">
        <f>$C1332*BX1331</f>
        <v/>
      </c>
      <c r="BY1332">
        <f>$C1332*BY1331</f>
        <v/>
      </c>
      <c r="BZ1332">
        <f>$C1332*BZ1331</f>
        <v/>
      </c>
      <c r="CA1332">
        <f>$C1332*CA1331</f>
        <v/>
      </c>
      <c r="CB1332">
        <f>$C1332*CB1331</f>
        <v/>
      </c>
      <c r="CC1332">
        <f>$C1332*CC1331</f>
        <v/>
      </c>
      <c r="CD1332">
        <f>$C1332*CD1331</f>
        <v/>
      </c>
      <c r="CE1332">
        <f>$C1332*CE1331</f>
        <v/>
      </c>
      <c r="CF1332">
        <f>$C1332*CF1331</f>
        <v/>
      </c>
      <c r="CG1332">
        <f>$C1332*CG1331</f>
        <v/>
      </c>
      <c r="CH1332">
        <f>$C1332*CH1331</f>
        <v/>
      </c>
      <c r="CI1332">
        <f>$C1332*CI1331</f>
        <v/>
      </c>
      <c r="CJ1332">
        <f>$C1332*CJ1331</f>
        <v/>
      </c>
      <c r="CK1332">
        <f>$C1332*CK1331</f>
        <v/>
      </c>
      <c r="CL1332">
        <f>$C1332*CL1331</f>
        <v/>
      </c>
      <c r="CM1332">
        <f>$C1332*CM1331</f>
        <v/>
      </c>
      <c r="CN1332">
        <f>$C1332*CN1331</f>
        <v/>
      </c>
      <c r="CO1332">
        <f>$C1332*CO1331</f>
        <v/>
      </c>
      <c r="CP1332">
        <f>$C1332*CP1331</f>
        <v/>
      </c>
      <c r="CQ1332">
        <f>$C1332*CQ1331</f>
        <v/>
      </c>
      <c r="CR1332">
        <f>$C1332*CR1331</f>
        <v/>
      </c>
      <c r="CS1332">
        <f>$C1332*CS1331</f>
        <v/>
      </c>
      <c r="CT1332">
        <f>$C1332*CT1331</f>
        <v/>
      </c>
      <c r="CU1332">
        <f>$C1332*CU1331</f>
        <v/>
      </c>
      <c r="CV1332">
        <f>$C1332*CV1331</f>
        <v/>
      </c>
      <c r="CW1332">
        <f>$C1332*CW1331</f>
        <v/>
      </c>
      <c r="CX1332">
        <f>$C1332*CX1331</f>
        <v/>
      </c>
      <c r="CY1332">
        <f>$C1332*CY1331</f>
        <v/>
      </c>
      <c r="CZ1332">
        <f>$C1332*CZ1331</f>
        <v/>
      </c>
      <c r="DA1332">
        <f>$C1332*DA1331</f>
        <v/>
      </c>
      <c r="DB1332">
        <f>$C1332*DB1331</f>
        <v/>
      </c>
      <c r="DC1332">
        <f>$C1332*DC1331</f>
        <v/>
      </c>
      <c r="DD1332">
        <f>$C1332*DD1331</f>
        <v/>
      </c>
    </row>
    <row r="1333">
      <c r="B1333" t="inlineStr">
        <is>
          <t>TSP-928</t>
        </is>
      </c>
      <c r="C1333" t="inlineStr">
        <is>
          <t>No. of batches</t>
        </is>
      </c>
      <c r="D1333">
        <f>IFERROR(INDEX(E1333:DD1333,$F$1),"")</f>
        <v/>
      </c>
      <c r="E1333">
        <f>IFERROR(INDEX(PP_Grid[#Data],$DE1333,2),0)</f>
        <v/>
      </c>
      <c r="F1333">
        <f>IFERROR(INDEX(PP_Grid[#Data],$DE1333,3),0)</f>
        <v/>
      </c>
      <c r="G1333">
        <f>IFERROR(INDEX(PP_Grid[#Data],$DE1333,4),0)</f>
        <v/>
      </c>
      <c r="H1333">
        <f>IFERROR(INDEX(PP_Grid[#Data],$DE1333,5),0)</f>
        <v/>
      </c>
      <c r="I1333">
        <f>IFERROR(INDEX(PP_Grid[#Data],$DE1333,6),0)</f>
        <v/>
      </c>
      <c r="J1333">
        <f>IFERROR(INDEX(PP_Grid[#Data],$DE1333,7),0)</f>
        <v/>
      </c>
      <c r="K1333">
        <f>IFERROR(INDEX(PP_Grid[#Data],$DE1333,8),0)</f>
        <v/>
      </c>
      <c r="L1333">
        <f>IFERROR(INDEX(PP_Grid[#Data],$DE1333,9),0)</f>
        <v/>
      </c>
      <c r="M1333">
        <f>IFERROR(INDEX(PP_Grid[#Data],$DE1333,10),0)</f>
        <v/>
      </c>
      <c r="N1333">
        <f>IFERROR(INDEX(PP_Grid[#Data],$DE1333,11),0)</f>
        <v/>
      </c>
      <c r="O1333">
        <f>IFERROR(INDEX(PP_Grid[#Data],$DE1333,12),0)</f>
        <v/>
      </c>
      <c r="P1333">
        <f>IFERROR(INDEX(PP_Grid[#Data],$DE1333,13),0)</f>
        <v/>
      </c>
      <c r="Q1333">
        <f>IFERROR(INDEX(PP_Grid[#Data],$DE1333,14),0)</f>
        <v/>
      </c>
      <c r="R1333">
        <f>IFERROR(INDEX(PP_Grid[#Data],$DE1333,15),0)</f>
        <v/>
      </c>
      <c r="S1333">
        <f>IFERROR(INDEX(PP_Grid[#Data],$DE1333,16),0)</f>
        <v/>
      </c>
      <c r="T1333">
        <f>IFERROR(INDEX(PP_Grid[#Data],$DE1333,17),0)</f>
        <v/>
      </c>
      <c r="U1333">
        <f>IFERROR(INDEX(PP_Grid[#Data],$DE1333,18),0)</f>
        <v/>
      </c>
      <c r="V1333">
        <f>IFERROR(INDEX(PP_Grid[#Data],$DE1333,19),0)</f>
        <v/>
      </c>
      <c r="W1333">
        <f>IFERROR(INDEX(PP_Grid[#Data],$DE1333,20),0)</f>
        <v/>
      </c>
      <c r="X1333">
        <f>IFERROR(INDEX(PP_Grid[#Data],$DE1333,21),0)</f>
        <v/>
      </c>
      <c r="Y1333">
        <f>IFERROR(INDEX(PP_Grid[#Data],$DE1333,22),0)</f>
        <v/>
      </c>
      <c r="Z1333">
        <f>IFERROR(INDEX(PP_Grid[#Data],$DE1333,23),0)</f>
        <v/>
      </c>
      <c r="AA1333">
        <f>IFERROR(INDEX(PP_Grid[#Data],$DE1333,24),0)</f>
        <v/>
      </c>
      <c r="AB1333">
        <f>IFERROR(INDEX(PP_Grid[#Data],$DE1333,25),0)</f>
        <v/>
      </c>
      <c r="AC1333">
        <f>IFERROR(INDEX(PP_Grid[#Data],$DE1333,26),0)</f>
        <v/>
      </c>
      <c r="AD1333">
        <f>IFERROR(INDEX(PP_Grid[#Data],$DE1333,27),0)</f>
        <v/>
      </c>
      <c r="AE1333">
        <f>IFERROR(INDEX(PP_Grid[#Data],$DE1333,28),0)</f>
        <v/>
      </c>
      <c r="AF1333">
        <f>IFERROR(INDEX(PP_Grid[#Data],$DE1333,29),0)</f>
        <v/>
      </c>
      <c r="AG1333">
        <f>IFERROR(INDEX(PP_Grid[#Data],$DE1333,30),0)</f>
        <v/>
      </c>
      <c r="AH1333">
        <f>IFERROR(INDEX(PP_Grid[#Data],$DE1333,31),0)</f>
        <v/>
      </c>
      <c r="AI1333">
        <f>IFERROR(INDEX(PP_Grid[#Data],$DE1333,32),0)</f>
        <v/>
      </c>
      <c r="AJ1333">
        <f>IFERROR(INDEX(PP_Grid[#Data],$DE1333,33),0)</f>
        <v/>
      </c>
      <c r="AK1333">
        <f>IFERROR(INDEX(PP_Grid[#Data],$DE1333,34),0)</f>
        <v/>
      </c>
      <c r="AL1333">
        <f>IFERROR(INDEX(PP_Grid[#Data],$DE1333,35),0)</f>
        <v/>
      </c>
      <c r="AM1333">
        <f>IFERROR(INDEX(PP_Grid[#Data],$DE1333,36),0)</f>
        <v/>
      </c>
      <c r="AN1333">
        <f>IFERROR(INDEX(PP_Grid[#Data],$DE1333,37),0)</f>
        <v/>
      </c>
      <c r="AO1333">
        <f>IFERROR(INDEX(PP_Grid[#Data],$DE1333,38),0)</f>
        <v/>
      </c>
      <c r="AP1333">
        <f>IFERROR(INDEX(PP_Grid[#Data],$DE1333,39),0)</f>
        <v/>
      </c>
      <c r="AQ1333">
        <f>IFERROR(INDEX(PP_Grid[#Data],$DE1333,40),0)</f>
        <v/>
      </c>
      <c r="AR1333">
        <f>IFERROR(INDEX(PP_Grid[#Data],$DE1333,41),0)</f>
        <v/>
      </c>
      <c r="AS1333">
        <f>IFERROR(INDEX(PP_Grid[#Data],$DE1333,42),0)</f>
        <v/>
      </c>
      <c r="AT1333">
        <f>IFERROR(INDEX(PP_Grid[#Data],$DE1333,43),0)</f>
        <v/>
      </c>
      <c r="AU1333">
        <f>IFERROR(INDEX(PP_Grid[#Data],$DE1333,44),0)</f>
        <v/>
      </c>
      <c r="AV1333">
        <f>IFERROR(INDEX(PP_Grid[#Data],$DE1333,45),0)</f>
        <v/>
      </c>
      <c r="AW1333">
        <f>IFERROR(INDEX(PP_Grid[#Data],$DE1333,46),0)</f>
        <v/>
      </c>
      <c r="AX1333">
        <f>IFERROR(INDEX(PP_Grid[#Data],$DE1333,47),0)</f>
        <v/>
      </c>
      <c r="AY1333">
        <f>IFERROR(INDEX(PP_Grid[#Data],$DE1333,48),0)</f>
        <v/>
      </c>
      <c r="AZ1333">
        <f>IFERROR(INDEX(PP_Grid[#Data],$DE1333,49),0)</f>
        <v/>
      </c>
      <c r="BA1333">
        <f>IFERROR(INDEX(PP_Grid[#Data],$DE1333,50),0)</f>
        <v/>
      </c>
      <c r="BB1333">
        <f>IFERROR(INDEX(PP_Grid[#Data],$DE1333,51),0)</f>
        <v/>
      </c>
      <c r="BC1333">
        <f>IFERROR(INDEX(PP_Grid[#Data],$DE1333,52),0)</f>
        <v/>
      </c>
      <c r="BD1333">
        <f>IFERROR(INDEX(PP_Grid[#Data],$DE1333,53),0)</f>
        <v/>
      </c>
      <c r="BE1333">
        <f>IFERROR(INDEX(PP_Grid[#Data],$DE1333,54),0)</f>
        <v/>
      </c>
      <c r="BF1333">
        <f>IFERROR(INDEX(PP_Grid[#Data],$DE1333,55),0)</f>
        <v/>
      </c>
      <c r="BG1333">
        <f>IFERROR(INDEX(PP_Grid[#Data],$DE1333,56),0)</f>
        <v/>
      </c>
      <c r="BH1333">
        <f>IFERROR(INDEX(PP_Grid[#Data],$DE1333,57),0)</f>
        <v/>
      </c>
      <c r="BI1333">
        <f>IFERROR(INDEX(PP_Grid[#Data],$DE1333,58),0)</f>
        <v/>
      </c>
      <c r="BJ1333">
        <f>IFERROR(INDEX(PP_Grid[#Data],$DE1333,59),0)</f>
        <v/>
      </c>
      <c r="BK1333">
        <f>IFERROR(INDEX(PP_Grid[#Data],$DE1333,60),0)</f>
        <v/>
      </c>
      <c r="BL1333">
        <f>IFERROR(INDEX(PP_Grid[#Data],$DE1333,61),0)</f>
        <v/>
      </c>
      <c r="BM1333">
        <f>IFERROR(INDEX(PP_Grid[#Data],$DE1333,62),0)</f>
        <v/>
      </c>
      <c r="BN1333">
        <f>IFERROR(INDEX(PP_Grid[#Data],$DE1333,63),0)</f>
        <v/>
      </c>
      <c r="BO1333">
        <f>IFERROR(INDEX(PP_Grid[#Data],$DE1333,64),0)</f>
        <v/>
      </c>
      <c r="BP1333">
        <f>IFERROR(INDEX(PP_Grid[#Data],$DE1333,65),0)</f>
        <v/>
      </c>
      <c r="BQ1333">
        <f>IFERROR(INDEX(PP_Grid[#Data],$DE1333,66),0)</f>
        <v/>
      </c>
      <c r="BR1333">
        <f>IFERROR(INDEX(PP_Grid[#Data],$DE1333,67),0)</f>
        <v/>
      </c>
      <c r="BS1333">
        <f>IFERROR(INDEX(PP_Grid[#Data],$DE1333,68),0)</f>
        <v/>
      </c>
      <c r="BT1333">
        <f>IFERROR(INDEX(PP_Grid[#Data],$DE1333,69),0)</f>
        <v/>
      </c>
      <c r="BU1333">
        <f>IFERROR(INDEX(PP_Grid[#Data],$DE1333,70),0)</f>
        <v/>
      </c>
      <c r="BV1333">
        <f>IFERROR(INDEX(PP_Grid[#Data],$DE1333,71),0)</f>
        <v/>
      </c>
      <c r="BW1333">
        <f>IFERROR(INDEX(PP_Grid[#Data],$DE1333,72),0)</f>
        <v/>
      </c>
      <c r="BX1333">
        <f>IFERROR(INDEX(PP_Grid[#Data],$DE1333,73),0)</f>
        <v/>
      </c>
      <c r="BY1333">
        <f>IFERROR(INDEX(PP_Grid[#Data],$DE1333,74),0)</f>
        <v/>
      </c>
      <c r="BZ1333">
        <f>IFERROR(INDEX(PP_Grid[#Data],$DE1333,75),0)</f>
        <v/>
      </c>
      <c r="CA1333">
        <f>IFERROR(INDEX(PP_Grid[#Data],$DE1333,76),0)</f>
        <v/>
      </c>
      <c r="CB1333">
        <f>IFERROR(INDEX(PP_Grid[#Data],$DE1333,77),0)</f>
        <v/>
      </c>
      <c r="CC1333">
        <f>IFERROR(INDEX(PP_Grid[#Data],$DE1333,78),0)</f>
        <v/>
      </c>
      <c r="CD1333">
        <f>IFERROR(INDEX(PP_Grid[#Data],$DE1333,79),0)</f>
        <v/>
      </c>
      <c r="CE1333">
        <f>IFERROR(INDEX(PP_Grid[#Data],$DE1333,80),0)</f>
        <v/>
      </c>
      <c r="CF1333">
        <f>IFERROR(INDEX(PP_Grid[#Data],$DE1333,81),0)</f>
        <v/>
      </c>
      <c r="CG1333">
        <f>IFERROR(INDEX(PP_Grid[#Data],$DE1333,82),0)</f>
        <v/>
      </c>
      <c r="CH1333">
        <f>IFERROR(INDEX(PP_Grid[#Data],$DE1333,83),0)</f>
        <v/>
      </c>
      <c r="CI1333">
        <f>IFERROR(INDEX(PP_Grid[#Data],$DE1333,84),0)</f>
        <v/>
      </c>
      <c r="CJ1333">
        <f>IFERROR(INDEX(PP_Grid[#Data],$DE1333,85),0)</f>
        <v/>
      </c>
      <c r="CK1333">
        <f>IFERROR(INDEX(PP_Grid[#Data],$DE1333,86),0)</f>
        <v/>
      </c>
      <c r="CL1333">
        <f>IFERROR(INDEX(PP_Grid[#Data],$DE1333,87),0)</f>
        <v/>
      </c>
      <c r="CM1333">
        <f>IFERROR(INDEX(PP_Grid[#Data],$DE1333,88),0)</f>
        <v/>
      </c>
      <c r="CN1333">
        <f>IFERROR(INDEX(PP_Grid[#Data],$DE1333,89),0)</f>
        <v/>
      </c>
      <c r="CO1333">
        <f>IFERROR(INDEX(PP_Grid[#Data],$DE1333,90),0)</f>
        <v/>
      </c>
      <c r="CP1333">
        <f>IFERROR(INDEX(PP_Grid[#Data],$DE1333,91),0)</f>
        <v/>
      </c>
      <c r="CQ1333">
        <f>IFERROR(INDEX(PP_Grid[#Data],$DE1333,92),0)</f>
        <v/>
      </c>
      <c r="CR1333">
        <f>IFERROR(INDEX(PP_Grid[#Data],$DE1333,93),0)</f>
        <v/>
      </c>
      <c r="CS1333">
        <f>IFERROR(INDEX(PP_Grid[#Data],$DE1333,94),0)</f>
        <v/>
      </c>
      <c r="CT1333">
        <f>IFERROR(INDEX(PP_Grid[#Data],$DE1333,95),0)</f>
        <v/>
      </c>
      <c r="CU1333">
        <f>IFERROR(INDEX(PP_Grid[#Data],$DE1333,96),0)</f>
        <v/>
      </c>
      <c r="CV1333">
        <f>IFERROR(INDEX(PP_Grid[#Data],$DE1333,97),0)</f>
        <v/>
      </c>
      <c r="CW1333">
        <f>IFERROR(INDEX(PP_Grid[#Data],$DE1333,98),0)</f>
        <v/>
      </c>
      <c r="CX1333">
        <f>IFERROR(INDEX(PP_Grid[#Data],$DE1333,99),0)</f>
        <v/>
      </c>
      <c r="CY1333">
        <f>IFERROR(INDEX(PP_Grid[#Data],$DE1333,100),0)</f>
        <v/>
      </c>
      <c r="CZ1333">
        <f>IFERROR(INDEX(PP_Grid[#Data],$DE1333,101),0)</f>
        <v/>
      </c>
      <c r="DA1333">
        <f>IFERROR(INDEX(PP_Grid[#Data],$DE1333,102),0)</f>
        <v/>
      </c>
      <c r="DB1333">
        <f>IFERROR(INDEX(PP_Grid[#Data],$DE1333,103),0)</f>
        <v/>
      </c>
      <c r="DC1333">
        <f>IFERROR(INDEX(PP_Grid[#Data],$DE1333,104),0)</f>
        <v/>
      </c>
      <c r="DD1333">
        <f>IFERROR(INDEX(PP_Grid[#Data],$DE1333,105),0)</f>
        <v/>
      </c>
      <c r="DE1333" s="7">
        <f>IFERROR(MATCH($B1333,PP_Grid[Intermediate],0),99999)</f>
        <v/>
      </c>
    </row>
    <row r="1334">
      <c r="B1334" t="inlineStr">
        <is>
          <t>使用量(kg)</t>
        </is>
      </c>
      <c r="C1334">
        <f>SUMIFS(M_BOM[RM_Qty_Per_Batch],M_BOM[Intermediate],$B1333,M_BOM[RM_Code],$A1326)</f>
        <v/>
      </c>
      <c r="D1334">
        <f>IFERROR(INDEX(E1334:DD1334,$F$1),"")</f>
        <v/>
      </c>
      <c r="E1334">
        <f>$C1334*E1333</f>
        <v/>
      </c>
      <c r="F1334">
        <f>$C1334*F1333</f>
        <v/>
      </c>
      <c r="G1334">
        <f>$C1334*G1333</f>
        <v/>
      </c>
      <c r="H1334">
        <f>$C1334*H1333</f>
        <v/>
      </c>
      <c r="I1334">
        <f>$C1334*I1333</f>
        <v/>
      </c>
      <c r="J1334">
        <f>$C1334*J1333</f>
        <v/>
      </c>
      <c r="K1334">
        <f>$C1334*K1333</f>
        <v/>
      </c>
      <c r="L1334">
        <f>$C1334*L1333</f>
        <v/>
      </c>
      <c r="M1334">
        <f>$C1334*M1333</f>
        <v/>
      </c>
      <c r="N1334">
        <f>$C1334*N1333</f>
        <v/>
      </c>
      <c r="O1334">
        <f>$C1334*O1333</f>
        <v/>
      </c>
      <c r="P1334">
        <f>$C1334*P1333</f>
        <v/>
      </c>
      <c r="Q1334">
        <f>$C1334*Q1333</f>
        <v/>
      </c>
      <c r="R1334">
        <f>$C1334*R1333</f>
        <v/>
      </c>
      <c r="S1334">
        <f>$C1334*S1333</f>
        <v/>
      </c>
      <c r="T1334">
        <f>$C1334*T1333</f>
        <v/>
      </c>
      <c r="U1334">
        <f>$C1334*U1333</f>
        <v/>
      </c>
      <c r="V1334">
        <f>$C1334*V1333</f>
        <v/>
      </c>
      <c r="W1334">
        <f>$C1334*W1333</f>
        <v/>
      </c>
      <c r="X1334">
        <f>$C1334*X1333</f>
        <v/>
      </c>
      <c r="Y1334">
        <f>$C1334*Y1333</f>
        <v/>
      </c>
      <c r="Z1334">
        <f>$C1334*Z1333</f>
        <v/>
      </c>
      <c r="AA1334">
        <f>$C1334*AA1333</f>
        <v/>
      </c>
      <c r="AB1334">
        <f>$C1334*AB1333</f>
        <v/>
      </c>
      <c r="AC1334">
        <f>$C1334*AC1333</f>
        <v/>
      </c>
      <c r="AD1334">
        <f>$C1334*AD1333</f>
        <v/>
      </c>
      <c r="AE1334">
        <f>$C1334*AE1333</f>
        <v/>
      </c>
      <c r="AF1334">
        <f>$C1334*AF1333</f>
        <v/>
      </c>
      <c r="AG1334">
        <f>$C1334*AG1333</f>
        <v/>
      </c>
      <c r="AH1334">
        <f>$C1334*AH1333</f>
        <v/>
      </c>
      <c r="AI1334">
        <f>$C1334*AI1333</f>
        <v/>
      </c>
      <c r="AJ1334">
        <f>$C1334*AJ1333</f>
        <v/>
      </c>
      <c r="AK1334">
        <f>$C1334*AK1333</f>
        <v/>
      </c>
      <c r="AL1334">
        <f>$C1334*AL1333</f>
        <v/>
      </c>
      <c r="AM1334">
        <f>$C1334*AM1333</f>
        <v/>
      </c>
      <c r="AN1334">
        <f>$C1334*AN1333</f>
        <v/>
      </c>
      <c r="AO1334">
        <f>$C1334*AO1333</f>
        <v/>
      </c>
      <c r="AP1334">
        <f>$C1334*AP1333</f>
        <v/>
      </c>
      <c r="AQ1334">
        <f>$C1334*AQ1333</f>
        <v/>
      </c>
      <c r="AR1334">
        <f>$C1334*AR1333</f>
        <v/>
      </c>
      <c r="AS1334">
        <f>$C1334*AS1333</f>
        <v/>
      </c>
      <c r="AT1334">
        <f>$C1334*AT1333</f>
        <v/>
      </c>
      <c r="AU1334">
        <f>$C1334*AU1333</f>
        <v/>
      </c>
      <c r="AV1334">
        <f>$C1334*AV1333</f>
        <v/>
      </c>
      <c r="AW1334">
        <f>$C1334*AW1333</f>
        <v/>
      </c>
      <c r="AX1334">
        <f>$C1334*AX1333</f>
        <v/>
      </c>
      <c r="AY1334">
        <f>$C1334*AY1333</f>
        <v/>
      </c>
      <c r="AZ1334">
        <f>$C1334*AZ1333</f>
        <v/>
      </c>
      <c r="BA1334">
        <f>$C1334*BA1333</f>
        <v/>
      </c>
      <c r="BB1334">
        <f>$C1334*BB1333</f>
        <v/>
      </c>
      <c r="BC1334">
        <f>$C1334*BC1333</f>
        <v/>
      </c>
      <c r="BD1334">
        <f>$C1334*BD1333</f>
        <v/>
      </c>
      <c r="BE1334">
        <f>$C1334*BE1333</f>
        <v/>
      </c>
      <c r="BF1334">
        <f>$C1334*BF1333</f>
        <v/>
      </c>
      <c r="BG1334">
        <f>$C1334*BG1333</f>
        <v/>
      </c>
      <c r="BH1334">
        <f>$C1334*BH1333</f>
        <v/>
      </c>
      <c r="BI1334">
        <f>$C1334*BI1333</f>
        <v/>
      </c>
      <c r="BJ1334">
        <f>$C1334*BJ1333</f>
        <v/>
      </c>
      <c r="BK1334">
        <f>$C1334*BK1333</f>
        <v/>
      </c>
      <c r="BL1334">
        <f>$C1334*BL1333</f>
        <v/>
      </c>
      <c r="BM1334">
        <f>$C1334*BM1333</f>
        <v/>
      </c>
      <c r="BN1334">
        <f>$C1334*BN1333</f>
        <v/>
      </c>
      <c r="BO1334">
        <f>$C1334*BO1333</f>
        <v/>
      </c>
      <c r="BP1334">
        <f>$C1334*BP1333</f>
        <v/>
      </c>
      <c r="BQ1334">
        <f>$C1334*BQ1333</f>
        <v/>
      </c>
      <c r="BR1334">
        <f>$C1334*BR1333</f>
        <v/>
      </c>
      <c r="BS1334">
        <f>$C1334*BS1333</f>
        <v/>
      </c>
      <c r="BT1334">
        <f>$C1334*BT1333</f>
        <v/>
      </c>
      <c r="BU1334">
        <f>$C1334*BU1333</f>
        <v/>
      </c>
      <c r="BV1334">
        <f>$C1334*BV1333</f>
        <v/>
      </c>
      <c r="BW1334">
        <f>$C1334*BW1333</f>
        <v/>
      </c>
      <c r="BX1334">
        <f>$C1334*BX1333</f>
        <v/>
      </c>
      <c r="BY1334">
        <f>$C1334*BY1333</f>
        <v/>
      </c>
      <c r="BZ1334">
        <f>$C1334*BZ1333</f>
        <v/>
      </c>
      <c r="CA1334">
        <f>$C1334*CA1333</f>
        <v/>
      </c>
      <c r="CB1334">
        <f>$C1334*CB1333</f>
        <v/>
      </c>
      <c r="CC1334">
        <f>$C1334*CC1333</f>
        <v/>
      </c>
      <c r="CD1334">
        <f>$C1334*CD1333</f>
        <v/>
      </c>
      <c r="CE1334">
        <f>$C1334*CE1333</f>
        <v/>
      </c>
      <c r="CF1334">
        <f>$C1334*CF1333</f>
        <v/>
      </c>
      <c r="CG1334">
        <f>$C1334*CG1333</f>
        <v/>
      </c>
      <c r="CH1334">
        <f>$C1334*CH1333</f>
        <v/>
      </c>
      <c r="CI1334">
        <f>$C1334*CI1333</f>
        <v/>
      </c>
      <c r="CJ1334">
        <f>$C1334*CJ1333</f>
        <v/>
      </c>
      <c r="CK1334">
        <f>$C1334*CK1333</f>
        <v/>
      </c>
      <c r="CL1334">
        <f>$C1334*CL1333</f>
        <v/>
      </c>
      <c r="CM1334">
        <f>$C1334*CM1333</f>
        <v/>
      </c>
      <c r="CN1334">
        <f>$C1334*CN1333</f>
        <v/>
      </c>
      <c r="CO1334">
        <f>$C1334*CO1333</f>
        <v/>
      </c>
      <c r="CP1334">
        <f>$C1334*CP1333</f>
        <v/>
      </c>
      <c r="CQ1334">
        <f>$C1334*CQ1333</f>
        <v/>
      </c>
      <c r="CR1334">
        <f>$C1334*CR1333</f>
        <v/>
      </c>
      <c r="CS1334">
        <f>$C1334*CS1333</f>
        <v/>
      </c>
      <c r="CT1334">
        <f>$C1334*CT1333</f>
        <v/>
      </c>
      <c r="CU1334">
        <f>$C1334*CU1333</f>
        <v/>
      </c>
      <c r="CV1334">
        <f>$C1334*CV1333</f>
        <v/>
      </c>
      <c r="CW1334">
        <f>$C1334*CW1333</f>
        <v/>
      </c>
      <c r="CX1334">
        <f>$C1334*CX1333</f>
        <v/>
      </c>
      <c r="CY1334">
        <f>$C1334*CY1333</f>
        <v/>
      </c>
      <c r="CZ1334">
        <f>$C1334*CZ1333</f>
        <v/>
      </c>
      <c r="DA1334">
        <f>$C1334*DA1333</f>
        <v/>
      </c>
      <c r="DB1334">
        <f>$C1334*DB1333</f>
        <v/>
      </c>
      <c r="DC1334">
        <f>$C1334*DC1333</f>
        <v/>
      </c>
      <c r="DD1334">
        <f>$C1334*DD1333</f>
        <v/>
      </c>
    </row>
    <row r="1335">
      <c r="B1335" t="inlineStr">
        <is>
          <t>TSP-929</t>
        </is>
      </c>
      <c r="C1335" t="inlineStr">
        <is>
          <t>No. of batches</t>
        </is>
      </c>
      <c r="D1335">
        <f>IFERROR(INDEX(E1335:DD1335,$F$1),"")</f>
        <v/>
      </c>
      <c r="E1335">
        <f>IFERROR(INDEX(PP_Grid[#Data],$DE1335,2),0)</f>
        <v/>
      </c>
      <c r="F1335">
        <f>IFERROR(INDEX(PP_Grid[#Data],$DE1335,3),0)</f>
        <v/>
      </c>
      <c r="G1335">
        <f>IFERROR(INDEX(PP_Grid[#Data],$DE1335,4),0)</f>
        <v/>
      </c>
      <c r="H1335">
        <f>IFERROR(INDEX(PP_Grid[#Data],$DE1335,5),0)</f>
        <v/>
      </c>
      <c r="I1335">
        <f>IFERROR(INDEX(PP_Grid[#Data],$DE1335,6),0)</f>
        <v/>
      </c>
      <c r="J1335">
        <f>IFERROR(INDEX(PP_Grid[#Data],$DE1335,7),0)</f>
        <v/>
      </c>
      <c r="K1335">
        <f>IFERROR(INDEX(PP_Grid[#Data],$DE1335,8),0)</f>
        <v/>
      </c>
      <c r="L1335">
        <f>IFERROR(INDEX(PP_Grid[#Data],$DE1335,9),0)</f>
        <v/>
      </c>
      <c r="M1335">
        <f>IFERROR(INDEX(PP_Grid[#Data],$DE1335,10),0)</f>
        <v/>
      </c>
      <c r="N1335">
        <f>IFERROR(INDEX(PP_Grid[#Data],$DE1335,11),0)</f>
        <v/>
      </c>
      <c r="O1335">
        <f>IFERROR(INDEX(PP_Grid[#Data],$DE1335,12),0)</f>
        <v/>
      </c>
      <c r="P1335">
        <f>IFERROR(INDEX(PP_Grid[#Data],$DE1335,13),0)</f>
        <v/>
      </c>
      <c r="Q1335">
        <f>IFERROR(INDEX(PP_Grid[#Data],$DE1335,14),0)</f>
        <v/>
      </c>
      <c r="R1335">
        <f>IFERROR(INDEX(PP_Grid[#Data],$DE1335,15),0)</f>
        <v/>
      </c>
      <c r="S1335">
        <f>IFERROR(INDEX(PP_Grid[#Data],$DE1335,16),0)</f>
        <v/>
      </c>
      <c r="T1335">
        <f>IFERROR(INDEX(PP_Grid[#Data],$DE1335,17),0)</f>
        <v/>
      </c>
      <c r="U1335">
        <f>IFERROR(INDEX(PP_Grid[#Data],$DE1335,18),0)</f>
        <v/>
      </c>
      <c r="V1335">
        <f>IFERROR(INDEX(PP_Grid[#Data],$DE1335,19),0)</f>
        <v/>
      </c>
      <c r="W1335">
        <f>IFERROR(INDEX(PP_Grid[#Data],$DE1335,20),0)</f>
        <v/>
      </c>
      <c r="X1335">
        <f>IFERROR(INDEX(PP_Grid[#Data],$DE1335,21),0)</f>
        <v/>
      </c>
      <c r="Y1335">
        <f>IFERROR(INDEX(PP_Grid[#Data],$DE1335,22),0)</f>
        <v/>
      </c>
      <c r="Z1335">
        <f>IFERROR(INDEX(PP_Grid[#Data],$DE1335,23),0)</f>
        <v/>
      </c>
      <c r="AA1335">
        <f>IFERROR(INDEX(PP_Grid[#Data],$DE1335,24),0)</f>
        <v/>
      </c>
      <c r="AB1335">
        <f>IFERROR(INDEX(PP_Grid[#Data],$DE1335,25),0)</f>
        <v/>
      </c>
      <c r="AC1335">
        <f>IFERROR(INDEX(PP_Grid[#Data],$DE1335,26),0)</f>
        <v/>
      </c>
      <c r="AD1335">
        <f>IFERROR(INDEX(PP_Grid[#Data],$DE1335,27),0)</f>
        <v/>
      </c>
      <c r="AE1335">
        <f>IFERROR(INDEX(PP_Grid[#Data],$DE1335,28),0)</f>
        <v/>
      </c>
      <c r="AF1335">
        <f>IFERROR(INDEX(PP_Grid[#Data],$DE1335,29),0)</f>
        <v/>
      </c>
      <c r="AG1335">
        <f>IFERROR(INDEX(PP_Grid[#Data],$DE1335,30),0)</f>
        <v/>
      </c>
      <c r="AH1335">
        <f>IFERROR(INDEX(PP_Grid[#Data],$DE1335,31),0)</f>
        <v/>
      </c>
      <c r="AI1335">
        <f>IFERROR(INDEX(PP_Grid[#Data],$DE1335,32),0)</f>
        <v/>
      </c>
      <c r="AJ1335">
        <f>IFERROR(INDEX(PP_Grid[#Data],$DE1335,33),0)</f>
        <v/>
      </c>
      <c r="AK1335">
        <f>IFERROR(INDEX(PP_Grid[#Data],$DE1335,34),0)</f>
        <v/>
      </c>
      <c r="AL1335">
        <f>IFERROR(INDEX(PP_Grid[#Data],$DE1335,35),0)</f>
        <v/>
      </c>
      <c r="AM1335">
        <f>IFERROR(INDEX(PP_Grid[#Data],$DE1335,36),0)</f>
        <v/>
      </c>
      <c r="AN1335">
        <f>IFERROR(INDEX(PP_Grid[#Data],$DE1335,37),0)</f>
        <v/>
      </c>
      <c r="AO1335">
        <f>IFERROR(INDEX(PP_Grid[#Data],$DE1335,38),0)</f>
        <v/>
      </c>
      <c r="AP1335">
        <f>IFERROR(INDEX(PP_Grid[#Data],$DE1335,39),0)</f>
        <v/>
      </c>
      <c r="AQ1335">
        <f>IFERROR(INDEX(PP_Grid[#Data],$DE1335,40),0)</f>
        <v/>
      </c>
      <c r="AR1335">
        <f>IFERROR(INDEX(PP_Grid[#Data],$DE1335,41),0)</f>
        <v/>
      </c>
      <c r="AS1335">
        <f>IFERROR(INDEX(PP_Grid[#Data],$DE1335,42),0)</f>
        <v/>
      </c>
      <c r="AT1335">
        <f>IFERROR(INDEX(PP_Grid[#Data],$DE1335,43),0)</f>
        <v/>
      </c>
      <c r="AU1335">
        <f>IFERROR(INDEX(PP_Grid[#Data],$DE1335,44),0)</f>
        <v/>
      </c>
      <c r="AV1335">
        <f>IFERROR(INDEX(PP_Grid[#Data],$DE1335,45),0)</f>
        <v/>
      </c>
      <c r="AW1335">
        <f>IFERROR(INDEX(PP_Grid[#Data],$DE1335,46),0)</f>
        <v/>
      </c>
      <c r="AX1335">
        <f>IFERROR(INDEX(PP_Grid[#Data],$DE1335,47),0)</f>
        <v/>
      </c>
      <c r="AY1335">
        <f>IFERROR(INDEX(PP_Grid[#Data],$DE1335,48),0)</f>
        <v/>
      </c>
      <c r="AZ1335">
        <f>IFERROR(INDEX(PP_Grid[#Data],$DE1335,49),0)</f>
        <v/>
      </c>
      <c r="BA1335">
        <f>IFERROR(INDEX(PP_Grid[#Data],$DE1335,50),0)</f>
        <v/>
      </c>
      <c r="BB1335">
        <f>IFERROR(INDEX(PP_Grid[#Data],$DE1335,51),0)</f>
        <v/>
      </c>
      <c r="BC1335">
        <f>IFERROR(INDEX(PP_Grid[#Data],$DE1335,52),0)</f>
        <v/>
      </c>
      <c r="BD1335">
        <f>IFERROR(INDEX(PP_Grid[#Data],$DE1335,53),0)</f>
        <v/>
      </c>
      <c r="BE1335">
        <f>IFERROR(INDEX(PP_Grid[#Data],$DE1335,54),0)</f>
        <v/>
      </c>
      <c r="BF1335">
        <f>IFERROR(INDEX(PP_Grid[#Data],$DE1335,55),0)</f>
        <v/>
      </c>
      <c r="BG1335">
        <f>IFERROR(INDEX(PP_Grid[#Data],$DE1335,56),0)</f>
        <v/>
      </c>
      <c r="BH1335">
        <f>IFERROR(INDEX(PP_Grid[#Data],$DE1335,57),0)</f>
        <v/>
      </c>
      <c r="BI1335">
        <f>IFERROR(INDEX(PP_Grid[#Data],$DE1335,58),0)</f>
        <v/>
      </c>
      <c r="BJ1335">
        <f>IFERROR(INDEX(PP_Grid[#Data],$DE1335,59),0)</f>
        <v/>
      </c>
      <c r="BK1335">
        <f>IFERROR(INDEX(PP_Grid[#Data],$DE1335,60),0)</f>
        <v/>
      </c>
      <c r="BL1335">
        <f>IFERROR(INDEX(PP_Grid[#Data],$DE1335,61),0)</f>
        <v/>
      </c>
      <c r="BM1335">
        <f>IFERROR(INDEX(PP_Grid[#Data],$DE1335,62),0)</f>
        <v/>
      </c>
      <c r="BN1335">
        <f>IFERROR(INDEX(PP_Grid[#Data],$DE1335,63),0)</f>
        <v/>
      </c>
      <c r="BO1335">
        <f>IFERROR(INDEX(PP_Grid[#Data],$DE1335,64),0)</f>
        <v/>
      </c>
      <c r="BP1335">
        <f>IFERROR(INDEX(PP_Grid[#Data],$DE1335,65),0)</f>
        <v/>
      </c>
      <c r="BQ1335">
        <f>IFERROR(INDEX(PP_Grid[#Data],$DE1335,66),0)</f>
        <v/>
      </c>
      <c r="BR1335">
        <f>IFERROR(INDEX(PP_Grid[#Data],$DE1335,67),0)</f>
        <v/>
      </c>
      <c r="BS1335">
        <f>IFERROR(INDEX(PP_Grid[#Data],$DE1335,68),0)</f>
        <v/>
      </c>
      <c r="BT1335">
        <f>IFERROR(INDEX(PP_Grid[#Data],$DE1335,69),0)</f>
        <v/>
      </c>
      <c r="BU1335">
        <f>IFERROR(INDEX(PP_Grid[#Data],$DE1335,70),0)</f>
        <v/>
      </c>
      <c r="BV1335">
        <f>IFERROR(INDEX(PP_Grid[#Data],$DE1335,71),0)</f>
        <v/>
      </c>
      <c r="BW1335">
        <f>IFERROR(INDEX(PP_Grid[#Data],$DE1335,72),0)</f>
        <v/>
      </c>
      <c r="BX1335">
        <f>IFERROR(INDEX(PP_Grid[#Data],$DE1335,73),0)</f>
        <v/>
      </c>
      <c r="BY1335">
        <f>IFERROR(INDEX(PP_Grid[#Data],$DE1335,74),0)</f>
        <v/>
      </c>
      <c r="BZ1335">
        <f>IFERROR(INDEX(PP_Grid[#Data],$DE1335,75),0)</f>
        <v/>
      </c>
      <c r="CA1335">
        <f>IFERROR(INDEX(PP_Grid[#Data],$DE1335,76),0)</f>
        <v/>
      </c>
      <c r="CB1335">
        <f>IFERROR(INDEX(PP_Grid[#Data],$DE1335,77),0)</f>
        <v/>
      </c>
      <c r="CC1335">
        <f>IFERROR(INDEX(PP_Grid[#Data],$DE1335,78),0)</f>
        <v/>
      </c>
      <c r="CD1335">
        <f>IFERROR(INDEX(PP_Grid[#Data],$DE1335,79),0)</f>
        <v/>
      </c>
      <c r="CE1335">
        <f>IFERROR(INDEX(PP_Grid[#Data],$DE1335,80),0)</f>
        <v/>
      </c>
      <c r="CF1335">
        <f>IFERROR(INDEX(PP_Grid[#Data],$DE1335,81),0)</f>
        <v/>
      </c>
      <c r="CG1335">
        <f>IFERROR(INDEX(PP_Grid[#Data],$DE1335,82),0)</f>
        <v/>
      </c>
      <c r="CH1335">
        <f>IFERROR(INDEX(PP_Grid[#Data],$DE1335,83),0)</f>
        <v/>
      </c>
      <c r="CI1335">
        <f>IFERROR(INDEX(PP_Grid[#Data],$DE1335,84),0)</f>
        <v/>
      </c>
      <c r="CJ1335">
        <f>IFERROR(INDEX(PP_Grid[#Data],$DE1335,85),0)</f>
        <v/>
      </c>
      <c r="CK1335">
        <f>IFERROR(INDEX(PP_Grid[#Data],$DE1335,86),0)</f>
        <v/>
      </c>
      <c r="CL1335">
        <f>IFERROR(INDEX(PP_Grid[#Data],$DE1335,87),0)</f>
        <v/>
      </c>
      <c r="CM1335">
        <f>IFERROR(INDEX(PP_Grid[#Data],$DE1335,88),0)</f>
        <v/>
      </c>
      <c r="CN1335">
        <f>IFERROR(INDEX(PP_Grid[#Data],$DE1335,89),0)</f>
        <v/>
      </c>
      <c r="CO1335">
        <f>IFERROR(INDEX(PP_Grid[#Data],$DE1335,90),0)</f>
        <v/>
      </c>
      <c r="CP1335">
        <f>IFERROR(INDEX(PP_Grid[#Data],$DE1335,91),0)</f>
        <v/>
      </c>
      <c r="CQ1335">
        <f>IFERROR(INDEX(PP_Grid[#Data],$DE1335,92),0)</f>
        <v/>
      </c>
      <c r="CR1335">
        <f>IFERROR(INDEX(PP_Grid[#Data],$DE1335,93),0)</f>
        <v/>
      </c>
      <c r="CS1335">
        <f>IFERROR(INDEX(PP_Grid[#Data],$DE1335,94),0)</f>
        <v/>
      </c>
      <c r="CT1335">
        <f>IFERROR(INDEX(PP_Grid[#Data],$DE1335,95),0)</f>
        <v/>
      </c>
      <c r="CU1335">
        <f>IFERROR(INDEX(PP_Grid[#Data],$DE1335,96),0)</f>
        <v/>
      </c>
      <c r="CV1335">
        <f>IFERROR(INDEX(PP_Grid[#Data],$DE1335,97),0)</f>
        <v/>
      </c>
      <c r="CW1335">
        <f>IFERROR(INDEX(PP_Grid[#Data],$DE1335,98),0)</f>
        <v/>
      </c>
      <c r="CX1335">
        <f>IFERROR(INDEX(PP_Grid[#Data],$DE1335,99),0)</f>
        <v/>
      </c>
      <c r="CY1335">
        <f>IFERROR(INDEX(PP_Grid[#Data],$DE1335,100),0)</f>
        <v/>
      </c>
      <c r="CZ1335">
        <f>IFERROR(INDEX(PP_Grid[#Data],$DE1335,101),0)</f>
        <v/>
      </c>
      <c r="DA1335">
        <f>IFERROR(INDEX(PP_Grid[#Data],$DE1335,102),0)</f>
        <v/>
      </c>
      <c r="DB1335">
        <f>IFERROR(INDEX(PP_Grid[#Data],$DE1335,103),0)</f>
        <v/>
      </c>
      <c r="DC1335">
        <f>IFERROR(INDEX(PP_Grid[#Data],$DE1335,104),0)</f>
        <v/>
      </c>
      <c r="DD1335">
        <f>IFERROR(INDEX(PP_Grid[#Data],$DE1335,105),0)</f>
        <v/>
      </c>
      <c r="DE1335" s="7">
        <f>IFERROR(MATCH($B1335,PP_Grid[Intermediate],0),99999)</f>
        <v/>
      </c>
    </row>
    <row r="1336">
      <c r="B1336" t="inlineStr">
        <is>
          <t>使用量(kg)</t>
        </is>
      </c>
      <c r="C1336">
        <f>SUMIFS(M_BOM[RM_Qty_Per_Batch],M_BOM[Intermediate],$B1335,M_BOM[RM_Code],$A1326)</f>
        <v/>
      </c>
      <c r="D1336">
        <f>IFERROR(INDEX(E1336:DD1336,$F$1),"")</f>
        <v/>
      </c>
      <c r="E1336">
        <f>$C1336*E1335</f>
        <v/>
      </c>
      <c r="F1336">
        <f>$C1336*F1335</f>
        <v/>
      </c>
      <c r="G1336">
        <f>$C1336*G1335</f>
        <v/>
      </c>
      <c r="H1336">
        <f>$C1336*H1335</f>
        <v/>
      </c>
      <c r="I1336">
        <f>$C1336*I1335</f>
        <v/>
      </c>
      <c r="J1336">
        <f>$C1336*J1335</f>
        <v/>
      </c>
      <c r="K1336">
        <f>$C1336*K1335</f>
        <v/>
      </c>
      <c r="L1336">
        <f>$C1336*L1335</f>
        <v/>
      </c>
      <c r="M1336">
        <f>$C1336*M1335</f>
        <v/>
      </c>
      <c r="N1336">
        <f>$C1336*N1335</f>
        <v/>
      </c>
      <c r="O1336">
        <f>$C1336*O1335</f>
        <v/>
      </c>
      <c r="P1336">
        <f>$C1336*P1335</f>
        <v/>
      </c>
      <c r="Q1336">
        <f>$C1336*Q1335</f>
        <v/>
      </c>
      <c r="R1336">
        <f>$C1336*R1335</f>
        <v/>
      </c>
      <c r="S1336">
        <f>$C1336*S1335</f>
        <v/>
      </c>
      <c r="T1336">
        <f>$C1336*T1335</f>
        <v/>
      </c>
      <c r="U1336">
        <f>$C1336*U1335</f>
        <v/>
      </c>
      <c r="V1336">
        <f>$C1336*V1335</f>
        <v/>
      </c>
      <c r="W1336">
        <f>$C1336*W1335</f>
        <v/>
      </c>
      <c r="X1336">
        <f>$C1336*X1335</f>
        <v/>
      </c>
      <c r="Y1336">
        <f>$C1336*Y1335</f>
        <v/>
      </c>
      <c r="Z1336">
        <f>$C1336*Z1335</f>
        <v/>
      </c>
      <c r="AA1336">
        <f>$C1336*AA1335</f>
        <v/>
      </c>
      <c r="AB1336">
        <f>$C1336*AB1335</f>
        <v/>
      </c>
      <c r="AC1336">
        <f>$C1336*AC1335</f>
        <v/>
      </c>
      <c r="AD1336">
        <f>$C1336*AD1335</f>
        <v/>
      </c>
      <c r="AE1336">
        <f>$C1336*AE1335</f>
        <v/>
      </c>
      <c r="AF1336">
        <f>$C1336*AF1335</f>
        <v/>
      </c>
      <c r="AG1336">
        <f>$C1336*AG1335</f>
        <v/>
      </c>
      <c r="AH1336">
        <f>$C1336*AH1335</f>
        <v/>
      </c>
      <c r="AI1336">
        <f>$C1336*AI1335</f>
        <v/>
      </c>
      <c r="AJ1336">
        <f>$C1336*AJ1335</f>
        <v/>
      </c>
      <c r="AK1336">
        <f>$C1336*AK1335</f>
        <v/>
      </c>
      <c r="AL1336">
        <f>$C1336*AL1335</f>
        <v/>
      </c>
      <c r="AM1336">
        <f>$C1336*AM1335</f>
        <v/>
      </c>
      <c r="AN1336">
        <f>$C1336*AN1335</f>
        <v/>
      </c>
      <c r="AO1336">
        <f>$C1336*AO1335</f>
        <v/>
      </c>
      <c r="AP1336">
        <f>$C1336*AP1335</f>
        <v/>
      </c>
      <c r="AQ1336">
        <f>$C1336*AQ1335</f>
        <v/>
      </c>
      <c r="AR1336">
        <f>$C1336*AR1335</f>
        <v/>
      </c>
      <c r="AS1336">
        <f>$C1336*AS1335</f>
        <v/>
      </c>
      <c r="AT1336">
        <f>$C1336*AT1335</f>
        <v/>
      </c>
      <c r="AU1336">
        <f>$C1336*AU1335</f>
        <v/>
      </c>
      <c r="AV1336">
        <f>$C1336*AV1335</f>
        <v/>
      </c>
      <c r="AW1336">
        <f>$C1336*AW1335</f>
        <v/>
      </c>
      <c r="AX1336">
        <f>$C1336*AX1335</f>
        <v/>
      </c>
      <c r="AY1336">
        <f>$C1336*AY1335</f>
        <v/>
      </c>
      <c r="AZ1336">
        <f>$C1336*AZ1335</f>
        <v/>
      </c>
      <c r="BA1336">
        <f>$C1336*BA1335</f>
        <v/>
      </c>
      <c r="BB1336">
        <f>$C1336*BB1335</f>
        <v/>
      </c>
      <c r="BC1336">
        <f>$C1336*BC1335</f>
        <v/>
      </c>
      <c r="BD1336">
        <f>$C1336*BD1335</f>
        <v/>
      </c>
      <c r="BE1336">
        <f>$C1336*BE1335</f>
        <v/>
      </c>
      <c r="BF1336">
        <f>$C1336*BF1335</f>
        <v/>
      </c>
      <c r="BG1336">
        <f>$C1336*BG1335</f>
        <v/>
      </c>
      <c r="BH1336">
        <f>$C1336*BH1335</f>
        <v/>
      </c>
      <c r="BI1336">
        <f>$C1336*BI1335</f>
        <v/>
      </c>
      <c r="BJ1336">
        <f>$C1336*BJ1335</f>
        <v/>
      </c>
      <c r="BK1336">
        <f>$C1336*BK1335</f>
        <v/>
      </c>
      <c r="BL1336">
        <f>$C1336*BL1335</f>
        <v/>
      </c>
      <c r="BM1336">
        <f>$C1336*BM1335</f>
        <v/>
      </c>
      <c r="BN1336">
        <f>$C1336*BN1335</f>
        <v/>
      </c>
      <c r="BO1336">
        <f>$C1336*BO1335</f>
        <v/>
      </c>
      <c r="BP1336">
        <f>$C1336*BP1335</f>
        <v/>
      </c>
      <c r="BQ1336">
        <f>$C1336*BQ1335</f>
        <v/>
      </c>
      <c r="BR1336">
        <f>$C1336*BR1335</f>
        <v/>
      </c>
      <c r="BS1336">
        <f>$C1336*BS1335</f>
        <v/>
      </c>
      <c r="BT1336">
        <f>$C1336*BT1335</f>
        <v/>
      </c>
      <c r="BU1336">
        <f>$C1336*BU1335</f>
        <v/>
      </c>
      <c r="BV1336">
        <f>$C1336*BV1335</f>
        <v/>
      </c>
      <c r="BW1336">
        <f>$C1336*BW1335</f>
        <v/>
      </c>
      <c r="BX1336">
        <f>$C1336*BX1335</f>
        <v/>
      </c>
      <c r="BY1336">
        <f>$C1336*BY1335</f>
        <v/>
      </c>
      <c r="BZ1336">
        <f>$C1336*BZ1335</f>
        <v/>
      </c>
      <c r="CA1336">
        <f>$C1336*CA1335</f>
        <v/>
      </c>
      <c r="CB1336">
        <f>$C1336*CB1335</f>
        <v/>
      </c>
      <c r="CC1336">
        <f>$C1336*CC1335</f>
        <v/>
      </c>
      <c r="CD1336">
        <f>$C1336*CD1335</f>
        <v/>
      </c>
      <c r="CE1336">
        <f>$C1336*CE1335</f>
        <v/>
      </c>
      <c r="CF1336">
        <f>$C1336*CF1335</f>
        <v/>
      </c>
      <c r="CG1336">
        <f>$C1336*CG1335</f>
        <v/>
      </c>
      <c r="CH1336">
        <f>$C1336*CH1335</f>
        <v/>
      </c>
      <c r="CI1336">
        <f>$C1336*CI1335</f>
        <v/>
      </c>
      <c r="CJ1336">
        <f>$C1336*CJ1335</f>
        <v/>
      </c>
      <c r="CK1336">
        <f>$C1336*CK1335</f>
        <v/>
      </c>
      <c r="CL1336">
        <f>$C1336*CL1335</f>
        <v/>
      </c>
      <c r="CM1336">
        <f>$C1336*CM1335</f>
        <v/>
      </c>
      <c r="CN1336">
        <f>$C1336*CN1335</f>
        <v/>
      </c>
      <c r="CO1336">
        <f>$C1336*CO1335</f>
        <v/>
      </c>
      <c r="CP1336">
        <f>$C1336*CP1335</f>
        <v/>
      </c>
      <c r="CQ1336">
        <f>$C1336*CQ1335</f>
        <v/>
      </c>
      <c r="CR1336">
        <f>$C1336*CR1335</f>
        <v/>
      </c>
      <c r="CS1336">
        <f>$C1336*CS1335</f>
        <v/>
      </c>
      <c r="CT1336">
        <f>$C1336*CT1335</f>
        <v/>
      </c>
      <c r="CU1336">
        <f>$C1336*CU1335</f>
        <v/>
      </c>
      <c r="CV1336">
        <f>$C1336*CV1335</f>
        <v/>
      </c>
      <c r="CW1336">
        <f>$C1336*CW1335</f>
        <v/>
      </c>
      <c r="CX1336">
        <f>$C1336*CX1335</f>
        <v/>
      </c>
      <c r="CY1336">
        <f>$C1336*CY1335</f>
        <v/>
      </c>
      <c r="CZ1336">
        <f>$C1336*CZ1335</f>
        <v/>
      </c>
      <c r="DA1336">
        <f>$C1336*DA1335</f>
        <v/>
      </c>
      <c r="DB1336">
        <f>$C1336*DB1335</f>
        <v/>
      </c>
      <c r="DC1336">
        <f>$C1336*DC1335</f>
        <v/>
      </c>
      <c r="DD1336">
        <f>$C1336*DD1335</f>
        <v/>
      </c>
    </row>
    <row r="1337">
      <c r="B1337" t="inlineStr">
        <is>
          <t>TSP-930</t>
        </is>
      </c>
      <c r="C1337" t="inlineStr">
        <is>
          <t>No. of batches</t>
        </is>
      </c>
      <c r="D1337">
        <f>IFERROR(INDEX(E1337:DD1337,$F$1),"")</f>
        <v/>
      </c>
      <c r="E1337">
        <f>IFERROR(INDEX(PP_Grid[#Data],$DE1337,2),0)</f>
        <v/>
      </c>
      <c r="F1337">
        <f>IFERROR(INDEX(PP_Grid[#Data],$DE1337,3),0)</f>
        <v/>
      </c>
      <c r="G1337">
        <f>IFERROR(INDEX(PP_Grid[#Data],$DE1337,4),0)</f>
        <v/>
      </c>
      <c r="H1337">
        <f>IFERROR(INDEX(PP_Grid[#Data],$DE1337,5),0)</f>
        <v/>
      </c>
      <c r="I1337">
        <f>IFERROR(INDEX(PP_Grid[#Data],$DE1337,6),0)</f>
        <v/>
      </c>
      <c r="J1337">
        <f>IFERROR(INDEX(PP_Grid[#Data],$DE1337,7),0)</f>
        <v/>
      </c>
      <c r="K1337">
        <f>IFERROR(INDEX(PP_Grid[#Data],$DE1337,8),0)</f>
        <v/>
      </c>
      <c r="L1337">
        <f>IFERROR(INDEX(PP_Grid[#Data],$DE1337,9),0)</f>
        <v/>
      </c>
      <c r="M1337">
        <f>IFERROR(INDEX(PP_Grid[#Data],$DE1337,10),0)</f>
        <v/>
      </c>
      <c r="N1337">
        <f>IFERROR(INDEX(PP_Grid[#Data],$DE1337,11),0)</f>
        <v/>
      </c>
      <c r="O1337">
        <f>IFERROR(INDEX(PP_Grid[#Data],$DE1337,12),0)</f>
        <v/>
      </c>
      <c r="P1337">
        <f>IFERROR(INDEX(PP_Grid[#Data],$DE1337,13),0)</f>
        <v/>
      </c>
      <c r="Q1337">
        <f>IFERROR(INDEX(PP_Grid[#Data],$DE1337,14),0)</f>
        <v/>
      </c>
      <c r="R1337">
        <f>IFERROR(INDEX(PP_Grid[#Data],$DE1337,15),0)</f>
        <v/>
      </c>
      <c r="S1337">
        <f>IFERROR(INDEX(PP_Grid[#Data],$DE1337,16),0)</f>
        <v/>
      </c>
      <c r="T1337">
        <f>IFERROR(INDEX(PP_Grid[#Data],$DE1337,17),0)</f>
        <v/>
      </c>
      <c r="U1337">
        <f>IFERROR(INDEX(PP_Grid[#Data],$DE1337,18),0)</f>
        <v/>
      </c>
      <c r="V1337">
        <f>IFERROR(INDEX(PP_Grid[#Data],$DE1337,19),0)</f>
        <v/>
      </c>
      <c r="W1337">
        <f>IFERROR(INDEX(PP_Grid[#Data],$DE1337,20),0)</f>
        <v/>
      </c>
      <c r="X1337">
        <f>IFERROR(INDEX(PP_Grid[#Data],$DE1337,21),0)</f>
        <v/>
      </c>
      <c r="Y1337">
        <f>IFERROR(INDEX(PP_Grid[#Data],$DE1337,22),0)</f>
        <v/>
      </c>
      <c r="Z1337">
        <f>IFERROR(INDEX(PP_Grid[#Data],$DE1337,23),0)</f>
        <v/>
      </c>
      <c r="AA1337">
        <f>IFERROR(INDEX(PP_Grid[#Data],$DE1337,24),0)</f>
        <v/>
      </c>
      <c r="AB1337">
        <f>IFERROR(INDEX(PP_Grid[#Data],$DE1337,25),0)</f>
        <v/>
      </c>
      <c r="AC1337">
        <f>IFERROR(INDEX(PP_Grid[#Data],$DE1337,26),0)</f>
        <v/>
      </c>
      <c r="AD1337">
        <f>IFERROR(INDEX(PP_Grid[#Data],$DE1337,27),0)</f>
        <v/>
      </c>
      <c r="AE1337">
        <f>IFERROR(INDEX(PP_Grid[#Data],$DE1337,28),0)</f>
        <v/>
      </c>
      <c r="AF1337">
        <f>IFERROR(INDEX(PP_Grid[#Data],$DE1337,29),0)</f>
        <v/>
      </c>
      <c r="AG1337">
        <f>IFERROR(INDEX(PP_Grid[#Data],$DE1337,30),0)</f>
        <v/>
      </c>
      <c r="AH1337">
        <f>IFERROR(INDEX(PP_Grid[#Data],$DE1337,31),0)</f>
        <v/>
      </c>
      <c r="AI1337">
        <f>IFERROR(INDEX(PP_Grid[#Data],$DE1337,32),0)</f>
        <v/>
      </c>
      <c r="AJ1337">
        <f>IFERROR(INDEX(PP_Grid[#Data],$DE1337,33),0)</f>
        <v/>
      </c>
      <c r="AK1337">
        <f>IFERROR(INDEX(PP_Grid[#Data],$DE1337,34),0)</f>
        <v/>
      </c>
      <c r="AL1337">
        <f>IFERROR(INDEX(PP_Grid[#Data],$DE1337,35),0)</f>
        <v/>
      </c>
      <c r="AM1337">
        <f>IFERROR(INDEX(PP_Grid[#Data],$DE1337,36),0)</f>
        <v/>
      </c>
      <c r="AN1337">
        <f>IFERROR(INDEX(PP_Grid[#Data],$DE1337,37),0)</f>
        <v/>
      </c>
      <c r="AO1337">
        <f>IFERROR(INDEX(PP_Grid[#Data],$DE1337,38),0)</f>
        <v/>
      </c>
      <c r="AP1337">
        <f>IFERROR(INDEX(PP_Grid[#Data],$DE1337,39),0)</f>
        <v/>
      </c>
      <c r="AQ1337">
        <f>IFERROR(INDEX(PP_Grid[#Data],$DE1337,40),0)</f>
        <v/>
      </c>
      <c r="AR1337">
        <f>IFERROR(INDEX(PP_Grid[#Data],$DE1337,41),0)</f>
        <v/>
      </c>
      <c r="AS1337">
        <f>IFERROR(INDEX(PP_Grid[#Data],$DE1337,42),0)</f>
        <v/>
      </c>
      <c r="AT1337">
        <f>IFERROR(INDEX(PP_Grid[#Data],$DE1337,43),0)</f>
        <v/>
      </c>
      <c r="AU1337">
        <f>IFERROR(INDEX(PP_Grid[#Data],$DE1337,44),0)</f>
        <v/>
      </c>
      <c r="AV1337">
        <f>IFERROR(INDEX(PP_Grid[#Data],$DE1337,45),0)</f>
        <v/>
      </c>
      <c r="AW1337">
        <f>IFERROR(INDEX(PP_Grid[#Data],$DE1337,46),0)</f>
        <v/>
      </c>
      <c r="AX1337">
        <f>IFERROR(INDEX(PP_Grid[#Data],$DE1337,47),0)</f>
        <v/>
      </c>
      <c r="AY1337">
        <f>IFERROR(INDEX(PP_Grid[#Data],$DE1337,48),0)</f>
        <v/>
      </c>
      <c r="AZ1337">
        <f>IFERROR(INDEX(PP_Grid[#Data],$DE1337,49),0)</f>
        <v/>
      </c>
      <c r="BA1337">
        <f>IFERROR(INDEX(PP_Grid[#Data],$DE1337,50),0)</f>
        <v/>
      </c>
      <c r="BB1337">
        <f>IFERROR(INDEX(PP_Grid[#Data],$DE1337,51),0)</f>
        <v/>
      </c>
      <c r="BC1337">
        <f>IFERROR(INDEX(PP_Grid[#Data],$DE1337,52),0)</f>
        <v/>
      </c>
      <c r="BD1337">
        <f>IFERROR(INDEX(PP_Grid[#Data],$DE1337,53),0)</f>
        <v/>
      </c>
      <c r="BE1337">
        <f>IFERROR(INDEX(PP_Grid[#Data],$DE1337,54),0)</f>
        <v/>
      </c>
      <c r="BF1337">
        <f>IFERROR(INDEX(PP_Grid[#Data],$DE1337,55),0)</f>
        <v/>
      </c>
      <c r="BG1337">
        <f>IFERROR(INDEX(PP_Grid[#Data],$DE1337,56),0)</f>
        <v/>
      </c>
      <c r="BH1337">
        <f>IFERROR(INDEX(PP_Grid[#Data],$DE1337,57),0)</f>
        <v/>
      </c>
      <c r="BI1337">
        <f>IFERROR(INDEX(PP_Grid[#Data],$DE1337,58),0)</f>
        <v/>
      </c>
      <c r="BJ1337">
        <f>IFERROR(INDEX(PP_Grid[#Data],$DE1337,59),0)</f>
        <v/>
      </c>
      <c r="BK1337">
        <f>IFERROR(INDEX(PP_Grid[#Data],$DE1337,60),0)</f>
        <v/>
      </c>
      <c r="BL1337">
        <f>IFERROR(INDEX(PP_Grid[#Data],$DE1337,61),0)</f>
        <v/>
      </c>
      <c r="BM1337">
        <f>IFERROR(INDEX(PP_Grid[#Data],$DE1337,62),0)</f>
        <v/>
      </c>
      <c r="BN1337">
        <f>IFERROR(INDEX(PP_Grid[#Data],$DE1337,63),0)</f>
        <v/>
      </c>
      <c r="BO1337">
        <f>IFERROR(INDEX(PP_Grid[#Data],$DE1337,64),0)</f>
        <v/>
      </c>
      <c r="BP1337">
        <f>IFERROR(INDEX(PP_Grid[#Data],$DE1337,65),0)</f>
        <v/>
      </c>
      <c r="BQ1337">
        <f>IFERROR(INDEX(PP_Grid[#Data],$DE1337,66),0)</f>
        <v/>
      </c>
      <c r="BR1337">
        <f>IFERROR(INDEX(PP_Grid[#Data],$DE1337,67),0)</f>
        <v/>
      </c>
      <c r="BS1337">
        <f>IFERROR(INDEX(PP_Grid[#Data],$DE1337,68),0)</f>
        <v/>
      </c>
      <c r="BT1337">
        <f>IFERROR(INDEX(PP_Grid[#Data],$DE1337,69),0)</f>
        <v/>
      </c>
      <c r="BU1337">
        <f>IFERROR(INDEX(PP_Grid[#Data],$DE1337,70),0)</f>
        <v/>
      </c>
      <c r="BV1337">
        <f>IFERROR(INDEX(PP_Grid[#Data],$DE1337,71),0)</f>
        <v/>
      </c>
      <c r="BW1337">
        <f>IFERROR(INDEX(PP_Grid[#Data],$DE1337,72),0)</f>
        <v/>
      </c>
      <c r="BX1337">
        <f>IFERROR(INDEX(PP_Grid[#Data],$DE1337,73),0)</f>
        <v/>
      </c>
      <c r="BY1337">
        <f>IFERROR(INDEX(PP_Grid[#Data],$DE1337,74),0)</f>
        <v/>
      </c>
      <c r="BZ1337">
        <f>IFERROR(INDEX(PP_Grid[#Data],$DE1337,75),0)</f>
        <v/>
      </c>
      <c r="CA1337">
        <f>IFERROR(INDEX(PP_Grid[#Data],$DE1337,76),0)</f>
        <v/>
      </c>
      <c r="CB1337">
        <f>IFERROR(INDEX(PP_Grid[#Data],$DE1337,77),0)</f>
        <v/>
      </c>
      <c r="CC1337">
        <f>IFERROR(INDEX(PP_Grid[#Data],$DE1337,78),0)</f>
        <v/>
      </c>
      <c r="CD1337">
        <f>IFERROR(INDEX(PP_Grid[#Data],$DE1337,79),0)</f>
        <v/>
      </c>
      <c r="CE1337">
        <f>IFERROR(INDEX(PP_Grid[#Data],$DE1337,80),0)</f>
        <v/>
      </c>
      <c r="CF1337">
        <f>IFERROR(INDEX(PP_Grid[#Data],$DE1337,81),0)</f>
        <v/>
      </c>
      <c r="CG1337">
        <f>IFERROR(INDEX(PP_Grid[#Data],$DE1337,82),0)</f>
        <v/>
      </c>
      <c r="CH1337">
        <f>IFERROR(INDEX(PP_Grid[#Data],$DE1337,83),0)</f>
        <v/>
      </c>
      <c r="CI1337">
        <f>IFERROR(INDEX(PP_Grid[#Data],$DE1337,84),0)</f>
        <v/>
      </c>
      <c r="CJ1337">
        <f>IFERROR(INDEX(PP_Grid[#Data],$DE1337,85),0)</f>
        <v/>
      </c>
      <c r="CK1337">
        <f>IFERROR(INDEX(PP_Grid[#Data],$DE1337,86),0)</f>
        <v/>
      </c>
      <c r="CL1337">
        <f>IFERROR(INDEX(PP_Grid[#Data],$DE1337,87),0)</f>
        <v/>
      </c>
      <c r="CM1337">
        <f>IFERROR(INDEX(PP_Grid[#Data],$DE1337,88),0)</f>
        <v/>
      </c>
      <c r="CN1337">
        <f>IFERROR(INDEX(PP_Grid[#Data],$DE1337,89),0)</f>
        <v/>
      </c>
      <c r="CO1337">
        <f>IFERROR(INDEX(PP_Grid[#Data],$DE1337,90),0)</f>
        <v/>
      </c>
      <c r="CP1337">
        <f>IFERROR(INDEX(PP_Grid[#Data],$DE1337,91),0)</f>
        <v/>
      </c>
      <c r="CQ1337">
        <f>IFERROR(INDEX(PP_Grid[#Data],$DE1337,92),0)</f>
        <v/>
      </c>
      <c r="CR1337">
        <f>IFERROR(INDEX(PP_Grid[#Data],$DE1337,93),0)</f>
        <v/>
      </c>
      <c r="CS1337">
        <f>IFERROR(INDEX(PP_Grid[#Data],$DE1337,94),0)</f>
        <v/>
      </c>
      <c r="CT1337">
        <f>IFERROR(INDEX(PP_Grid[#Data],$DE1337,95),0)</f>
        <v/>
      </c>
      <c r="CU1337">
        <f>IFERROR(INDEX(PP_Grid[#Data],$DE1337,96),0)</f>
        <v/>
      </c>
      <c r="CV1337">
        <f>IFERROR(INDEX(PP_Grid[#Data],$DE1337,97),0)</f>
        <v/>
      </c>
      <c r="CW1337">
        <f>IFERROR(INDEX(PP_Grid[#Data],$DE1337,98),0)</f>
        <v/>
      </c>
      <c r="CX1337">
        <f>IFERROR(INDEX(PP_Grid[#Data],$DE1337,99),0)</f>
        <v/>
      </c>
      <c r="CY1337">
        <f>IFERROR(INDEX(PP_Grid[#Data],$DE1337,100),0)</f>
        <v/>
      </c>
      <c r="CZ1337">
        <f>IFERROR(INDEX(PP_Grid[#Data],$DE1337,101),0)</f>
        <v/>
      </c>
      <c r="DA1337">
        <f>IFERROR(INDEX(PP_Grid[#Data],$DE1337,102),0)</f>
        <v/>
      </c>
      <c r="DB1337">
        <f>IFERROR(INDEX(PP_Grid[#Data],$DE1337,103),0)</f>
        <v/>
      </c>
      <c r="DC1337">
        <f>IFERROR(INDEX(PP_Grid[#Data],$DE1337,104),0)</f>
        <v/>
      </c>
      <c r="DD1337">
        <f>IFERROR(INDEX(PP_Grid[#Data],$DE1337,105),0)</f>
        <v/>
      </c>
      <c r="DE1337" s="7">
        <f>IFERROR(MATCH($B1337,PP_Grid[Intermediate],0),99999)</f>
        <v/>
      </c>
    </row>
    <row r="1338">
      <c r="B1338" t="inlineStr">
        <is>
          <t>使用量(kg)</t>
        </is>
      </c>
      <c r="C1338">
        <f>SUMIFS(M_BOM[RM_Qty_Per_Batch],M_BOM[Intermediate],$B1337,M_BOM[RM_Code],$A1326)</f>
        <v/>
      </c>
      <c r="D1338">
        <f>IFERROR(INDEX(E1338:DD1338,$F$1),"")</f>
        <v/>
      </c>
      <c r="E1338">
        <f>$C1338*E1337</f>
        <v/>
      </c>
      <c r="F1338">
        <f>$C1338*F1337</f>
        <v/>
      </c>
      <c r="G1338">
        <f>$C1338*G1337</f>
        <v/>
      </c>
      <c r="H1338">
        <f>$C1338*H1337</f>
        <v/>
      </c>
      <c r="I1338">
        <f>$C1338*I1337</f>
        <v/>
      </c>
      <c r="J1338">
        <f>$C1338*J1337</f>
        <v/>
      </c>
      <c r="K1338">
        <f>$C1338*K1337</f>
        <v/>
      </c>
      <c r="L1338">
        <f>$C1338*L1337</f>
        <v/>
      </c>
      <c r="M1338">
        <f>$C1338*M1337</f>
        <v/>
      </c>
      <c r="N1338">
        <f>$C1338*N1337</f>
        <v/>
      </c>
      <c r="O1338">
        <f>$C1338*O1337</f>
        <v/>
      </c>
      <c r="P1338">
        <f>$C1338*P1337</f>
        <v/>
      </c>
      <c r="Q1338">
        <f>$C1338*Q1337</f>
        <v/>
      </c>
      <c r="R1338">
        <f>$C1338*R1337</f>
        <v/>
      </c>
      <c r="S1338">
        <f>$C1338*S1337</f>
        <v/>
      </c>
      <c r="T1338">
        <f>$C1338*T1337</f>
        <v/>
      </c>
      <c r="U1338">
        <f>$C1338*U1337</f>
        <v/>
      </c>
      <c r="V1338">
        <f>$C1338*V1337</f>
        <v/>
      </c>
      <c r="W1338">
        <f>$C1338*W1337</f>
        <v/>
      </c>
      <c r="X1338">
        <f>$C1338*X1337</f>
        <v/>
      </c>
      <c r="Y1338">
        <f>$C1338*Y1337</f>
        <v/>
      </c>
      <c r="Z1338">
        <f>$C1338*Z1337</f>
        <v/>
      </c>
      <c r="AA1338">
        <f>$C1338*AA1337</f>
        <v/>
      </c>
      <c r="AB1338">
        <f>$C1338*AB1337</f>
        <v/>
      </c>
      <c r="AC1338">
        <f>$C1338*AC1337</f>
        <v/>
      </c>
      <c r="AD1338">
        <f>$C1338*AD1337</f>
        <v/>
      </c>
      <c r="AE1338">
        <f>$C1338*AE1337</f>
        <v/>
      </c>
      <c r="AF1338">
        <f>$C1338*AF1337</f>
        <v/>
      </c>
      <c r="AG1338">
        <f>$C1338*AG1337</f>
        <v/>
      </c>
      <c r="AH1338">
        <f>$C1338*AH1337</f>
        <v/>
      </c>
      <c r="AI1338">
        <f>$C1338*AI1337</f>
        <v/>
      </c>
      <c r="AJ1338">
        <f>$C1338*AJ1337</f>
        <v/>
      </c>
      <c r="AK1338">
        <f>$C1338*AK1337</f>
        <v/>
      </c>
      <c r="AL1338">
        <f>$C1338*AL1337</f>
        <v/>
      </c>
      <c r="AM1338">
        <f>$C1338*AM1337</f>
        <v/>
      </c>
      <c r="AN1338">
        <f>$C1338*AN1337</f>
        <v/>
      </c>
      <c r="AO1338">
        <f>$C1338*AO1337</f>
        <v/>
      </c>
      <c r="AP1338">
        <f>$C1338*AP1337</f>
        <v/>
      </c>
      <c r="AQ1338">
        <f>$C1338*AQ1337</f>
        <v/>
      </c>
      <c r="AR1338">
        <f>$C1338*AR1337</f>
        <v/>
      </c>
      <c r="AS1338">
        <f>$C1338*AS1337</f>
        <v/>
      </c>
      <c r="AT1338">
        <f>$C1338*AT1337</f>
        <v/>
      </c>
      <c r="AU1338">
        <f>$C1338*AU1337</f>
        <v/>
      </c>
      <c r="AV1338">
        <f>$C1338*AV1337</f>
        <v/>
      </c>
      <c r="AW1338">
        <f>$C1338*AW1337</f>
        <v/>
      </c>
      <c r="AX1338">
        <f>$C1338*AX1337</f>
        <v/>
      </c>
      <c r="AY1338">
        <f>$C1338*AY1337</f>
        <v/>
      </c>
      <c r="AZ1338">
        <f>$C1338*AZ1337</f>
        <v/>
      </c>
      <c r="BA1338">
        <f>$C1338*BA1337</f>
        <v/>
      </c>
      <c r="BB1338">
        <f>$C1338*BB1337</f>
        <v/>
      </c>
      <c r="BC1338">
        <f>$C1338*BC1337</f>
        <v/>
      </c>
      <c r="BD1338">
        <f>$C1338*BD1337</f>
        <v/>
      </c>
      <c r="BE1338">
        <f>$C1338*BE1337</f>
        <v/>
      </c>
      <c r="BF1338">
        <f>$C1338*BF1337</f>
        <v/>
      </c>
      <c r="BG1338">
        <f>$C1338*BG1337</f>
        <v/>
      </c>
      <c r="BH1338">
        <f>$C1338*BH1337</f>
        <v/>
      </c>
      <c r="BI1338">
        <f>$C1338*BI1337</f>
        <v/>
      </c>
      <c r="BJ1338">
        <f>$C1338*BJ1337</f>
        <v/>
      </c>
      <c r="BK1338">
        <f>$C1338*BK1337</f>
        <v/>
      </c>
      <c r="BL1338">
        <f>$C1338*BL1337</f>
        <v/>
      </c>
      <c r="BM1338">
        <f>$C1338*BM1337</f>
        <v/>
      </c>
      <c r="BN1338">
        <f>$C1338*BN1337</f>
        <v/>
      </c>
      <c r="BO1338">
        <f>$C1338*BO1337</f>
        <v/>
      </c>
      <c r="BP1338">
        <f>$C1338*BP1337</f>
        <v/>
      </c>
      <c r="BQ1338">
        <f>$C1338*BQ1337</f>
        <v/>
      </c>
      <c r="BR1338">
        <f>$C1338*BR1337</f>
        <v/>
      </c>
      <c r="BS1338">
        <f>$C1338*BS1337</f>
        <v/>
      </c>
      <c r="BT1338">
        <f>$C1338*BT1337</f>
        <v/>
      </c>
      <c r="BU1338">
        <f>$C1338*BU1337</f>
        <v/>
      </c>
      <c r="BV1338">
        <f>$C1338*BV1337</f>
        <v/>
      </c>
      <c r="BW1338">
        <f>$C1338*BW1337</f>
        <v/>
      </c>
      <c r="BX1338">
        <f>$C1338*BX1337</f>
        <v/>
      </c>
      <c r="BY1338">
        <f>$C1338*BY1337</f>
        <v/>
      </c>
      <c r="BZ1338">
        <f>$C1338*BZ1337</f>
        <v/>
      </c>
      <c r="CA1338">
        <f>$C1338*CA1337</f>
        <v/>
      </c>
      <c r="CB1338">
        <f>$C1338*CB1337</f>
        <v/>
      </c>
      <c r="CC1338">
        <f>$C1338*CC1337</f>
        <v/>
      </c>
      <c r="CD1338">
        <f>$C1338*CD1337</f>
        <v/>
      </c>
      <c r="CE1338">
        <f>$C1338*CE1337</f>
        <v/>
      </c>
      <c r="CF1338">
        <f>$C1338*CF1337</f>
        <v/>
      </c>
      <c r="CG1338">
        <f>$C1338*CG1337</f>
        <v/>
      </c>
      <c r="CH1338">
        <f>$C1338*CH1337</f>
        <v/>
      </c>
      <c r="CI1338">
        <f>$C1338*CI1337</f>
        <v/>
      </c>
      <c r="CJ1338">
        <f>$C1338*CJ1337</f>
        <v/>
      </c>
      <c r="CK1338">
        <f>$C1338*CK1337</f>
        <v/>
      </c>
      <c r="CL1338">
        <f>$C1338*CL1337</f>
        <v/>
      </c>
      <c r="CM1338">
        <f>$C1338*CM1337</f>
        <v/>
      </c>
      <c r="CN1338">
        <f>$C1338*CN1337</f>
        <v/>
      </c>
      <c r="CO1338">
        <f>$C1338*CO1337</f>
        <v/>
      </c>
      <c r="CP1338">
        <f>$C1338*CP1337</f>
        <v/>
      </c>
      <c r="CQ1338">
        <f>$C1338*CQ1337</f>
        <v/>
      </c>
      <c r="CR1338">
        <f>$C1338*CR1337</f>
        <v/>
      </c>
      <c r="CS1338">
        <f>$C1338*CS1337</f>
        <v/>
      </c>
      <c r="CT1338">
        <f>$C1338*CT1337</f>
        <v/>
      </c>
      <c r="CU1338">
        <f>$C1338*CU1337</f>
        <v/>
      </c>
      <c r="CV1338">
        <f>$C1338*CV1337</f>
        <v/>
      </c>
      <c r="CW1338">
        <f>$C1338*CW1337</f>
        <v/>
      </c>
      <c r="CX1338">
        <f>$C1338*CX1337</f>
        <v/>
      </c>
      <c r="CY1338">
        <f>$C1338*CY1337</f>
        <v/>
      </c>
      <c r="CZ1338">
        <f>$C1338*CZ1337</f>
        <v/>
      </c>
      <c r="DA1338">
        <f>$C1338*DA1337</f>
        <v/>
      </c>
      <c r="DB1338">
        <f>$C1338*DB1337</f>
        <v/>
      </c>
      <c r="DC1338">
        <f>$C1338*DC1337</f>
        <v/>
      </c>
      <c r="DD1338">
        <f>$C1338*DD1337</f>
        <v/>
      </c>
    </row>
    <row r="1339">
      <c r="B1339" t="inlineStr">
        <is>
          <t>TSP-934</t>
        </is>
      </c>
      <c r="C1339" t="inlineStr">
        <is>
          <t>No. of batches</t>
        </is>
      </c>
      <c r="D1339">
        <f>IFERROR(INDEX(E1339:DD1339,$F$1),"")</f>
        <v/>
      </c>
      <c r="E1339">
        <f>IFERROR(INDEX(PP_Grid[#Data],$DE1339,2),0)</f>
        <v/>
      </c>
      <c r="F1339">
        <f>IFERROR(INDEX(PP_Grid[#Data],$DE1339,3),0)</f>
        <v/>
      </c>
      <c r="G1339">
        <f>IFERROR(INDEX(PP_Grid[#Data],$DE1339,4),0)</f>
        <v/>
      </c>
      <c r="H1339">
        <f>IFERROR(INDEX(PP_Grid[#Data],$DE1339,5),0)</f>
        <v/>
      </c>
      <c r="I1339">
        <f>IFERROR(INDEX(PP_Grid[#Data],$DE1339,6),0)</f>
        <v/>
      </c>
      <c r="J1339">
        <f>IFERROR(INDEX(PP_Grid[#Data],$DE1339,7),0)</f>
        <v/>
      </c>
      <c r="K1339">
        <f>IFERROR(INDEX(PP_Grid[#Data],$DE1339,8),0)</f>
        <v/>
      </c>
      <c r="L1339">
        <f>IFERROR(INDEX(PP_Grid[#Data],$DE1339,9),0)</f>
        <v/>
      </c>
      <c r="M1339">
        <f>IFERROR(INDEX(PP_Grid[#Data],$DE1339,10),0)</f>
        <v/>
      </c>
      <c r="N1339">
        <f>IFERROR(INDEX(PP_Grid[#Data],$DE1339,11),0)</f>
        <v/>
      </c>
      <c r="O1339">
        <f>IFERROR(INDEX(PP_Grid[#Data],$DE1339,12),0)</f>
        <v/>
      </c>
      <c r="P1339">
        <f>IFERROR(INDEX(PP_Grid[#Data],$DE1339,13),0)</f>
        <v/>
      </c>
      <c r="Q1339">
        <f>IFERROR(INDEX(PP_Grid[#Data],$DE1339,14),0)</f>
        <v/>
      </c>
      <c r="R1339">
        <f>IFERROR(INDEX(PP_Grid[#Data],$DE1339,15),0)</f>
        <v/>
      </c>
      <c r="S1339">
        <f>IFERROR(INDEX(PP_Grid[#Data],$DE1339,16),0)</f>
        <v/>
      </c>
      <c r="T1339">
        <f>IFERROR(INDEX(PP_Grid[#Data],$DE1339,17),0)</f>
        <v/>
      </c>
      <c r="U1339">
        <f>IFERROR(INDEX(PP_Grid[#Data],$DE1339,18),0)</f>
        <v/>
      </c>
      <c r="V1339">
        <f>IFERROR(INDEX(PP_Grid[#Data],$DE1339,19),0)</f>
        <v/>
      </c>
      <c r="W1339">
        <f>IFERROR(INDEX(PP_Grid[#Data],$DE1339,20),0)</f>
        <v/>
      </c>
      <c r="X1339">
        <f>IFERROR(INDEX(PP_Grid[#Data],$DE1339,21),0)</f>
        <v/>
      </c>
      <c r="Y1339">
        <f>IFERROR(INDEX(PP_Grid[#Data],$DE1339,22),0)</f>
        <v/>
      </c>
      <c r="Z1339">
        <f>IFERROR(INDEX(PP_Grid[#Data],$DE1339,23),0)</f>
        <v/>
      </c>
      <c r="AA1339">
        <f>IFERROR(INDEX(PP_Grid[#Data],$DE1339,24),0)</f>
        <v/>
      </c>
      <c r="AB1339">
        <f>IFERROR(INDEX(PP_Grid[#Data],$DE1339,25),0)</f>
        <v/>
      </c>
      <c r="AC1339">
        <f>IFERROR(INDEX(PP_Grid[#Data],$DE1339,26),0)</f>
        <v/>
      </c>
      <c r="AD1339">
        <f>IFERROR(INDEX(PP_Grid[#Data],$DE1339,27),0)</f>
        <v/>
      </c>
      <c r="AE1339">
        <f>IFERROR(INDEX(PP_Grid[#Data],$DE1339,28),0)</f>
        <v/>
      </c>
      <c r="AF1339">
        <f>IFERROR(INDEX(PP_Grid[#Data],$DE1339,29),0)</f>
        <v/>
      </c>
      <c r="AG1339">
        <f>IFERROR(INDEX(PP_Grid[#Data],$DE1339,30),0)</f>
        <v/>
      </c>
      <c r="AH1339">
        <f>IFERROR(INDEX(PP_Grid[#Data],$DE1339,31),0)</f>
        <v/>
      </c>
      <c r="AI1339">
        <f>IFERROR(INDEX(PP_Grid[#Data],$DE1339,32),0)</f>
        <v/>
      </c>
      <c r="AJ1339">
        <f>IFERROR(INDEX(PP_Grid[#Data],$DE1339,33),0)</f>
        <v/>
      </c>
      <c r="AK1339">
        <f>IFERROR(INDEX(PP_Grid[#Data],$DE1339,34),0)</f>
        <v/>
      </c>
      <c r="AL1339">
        <f>IFERROR(INDEX(PP_Grid[#Data],$DE1339,35),0)</f>
        <v/>
      </c>
      <c r="AM1339">
        <f>IFERROR(INDEX(PP_Grid[#Data],$DE1339,36),0)</f>
        <v/>
      </c>
      <c r="AN1339">
        <f>IFERROR(INDEX(PP_Grid[#Data],$DE1339,37),0)</f>
        <v/>
      </c>
      <c r="AO1339">
        <f>IFERROR(INDEX(PP_Grid[#Data],$DE1339,38),0)</f>
        <v/>
      </c>
      <c r="AP1339">
        <f>IFERROR(INDEX(PP_Grid[#Data],$DE1339,39),0)</f>
        <v/>
      </c>
      <c r="AQ1339">
        <f>IFERROR(INDEX(PP_Grid[#Data],$DE1339,40),0)</f>
        <v/>
      </c>
      <c r="AR1339">
        <f>IFERROR(INDEX(PP_Grid[#Data],$DE1339,41),0)</f>
        <v/>
      </c>
      <c r="AS1339">
        <f>IFERROR(INDEX(PP_Grid[#Data],$DE1339,42),0)</f>
        <v/>
      </c>
      <c r="AT1339">
        <f>IFERROR(INDEX(PP_Grid[#Data],$DE1339,43),0)</f>
        <v/>
      </c>
      <c r="AU1339">
        <f>IFERROR(INDEX(PP_Grid[#Data],$DE1339,44),0)</f>
        <v/>
      </c>
      <c r="AV1339">
        <f>IFERROR(INDEX(PP_Grid[#Data],$DE1339,45),0)</f>
        <v/>
      </c>
      <c r="AW1339">
        <f>IFERROR(INDEX(PP_Grid[#Data],$DE1339,46),0)</f>
        <v/>
      </c>
      <c r="AX1339">
        <f>IFERROR(INDEX(PP_Grid[#Data],$DE1339,47),0)</f>
        <v/>
      </c>
      <c r="AY1339">
        <f>IFERROR(INDEX(PP_Grid[#Data],$DE1339,48),0)</f>
        <v/>
      </c>
      <c r="AZ1339">
        <f>IFERROR(INDEX(PP_Grid[#Data],$DE1339,49),0)</f>
        <v/>
      </c>
      <c r="BA1339">
        <f>IFERROR(INDEX(PP_Grid[#Data],$DE1339,50),0)</f>
        <v/>
      </c>
      <c r="BB1339">
        <f>IFERROR(INDEX(PP_Grid[#Data],$DE1339,51),0)</f>
        <v/>
      </c>
      <c r="BC1339">
        <f>IFERROR(INDEX(PP_Grid[#Data],$DE1339,52),0)</f>
        <v/>
      </c>
      <c r="BD1339">
        <f>IFERROR(INDEX(PP_Grid[#Data],$DE1339,53),0)</f>
        <v/>
      </c>
      <c r="BE1339">
        <f>IFERROR(INDEX(PP_Grid[#Data],$DE1339,54),0)</f>
        <v/>
      </c>
      <c r="BF1339">
        <f>IFERROR(INDEX(PP_Grid[#Data],$DE1339,55),0)</f>
        <v/>
      </c>
      <c r="BG1339">
        <f>IFERROR(INDEX(PP_Grid[#Data],$DE1339,56),0)</f>
        <v/>
      </c>
      <c r="BH1339">
        <f>IFERROR(INDEX(PP_Grid[#Data],$DE1339,57),0)</f>
        <v/>
      </c>
      <c r="BI1339">
        <f>IFERROR(INDEX(PP_Grid[#Data],$DE1339,58),0)</f>
        <v/>
      </c>
      <c r="BJ1339">
        <f>IFERROR(INDEX(PP_Grid[#Data],$DE1339,59),0)</f>
        <v/>
      </c>
      <c r="BK1339">
        <f>IFERROR(INDEX(PP_Grid[#Data],$DE1339,60),0)</f>
        <v/>
      </c>
      <c r="BL1339">
        <f>IFERROR(INDEX(PP_Grid[#Data],$DE1339,61),0)</f>
        <v/>
      </c>
      <c r="BM1339">
        <f>IFERROR(INDEX(PP_Grid[#Data],$DE1339,62),0)</f>
        <v/>
      </c>
      <c r="BN1339">
        <f>IFERROR(INDEX(PP_Grid[#Data],$DE1339,63),0)</f>
        <v/>
      </c>
      <c r="BO1339">
        <f>IFERROR(INDEX(PP_Grid[#Data],$DE1339,64),0)</f>
        <v/>
      </c>
      <c r="BP1339">
        <f>IFERROR(INDEX(PP_Grid[#Data],$DE1339,65),0)</f>
        <v/>
      </c>
      <c r="BQ1339">
        <f>IFERROR(INDEX(PP_Grid[#Data],$DE1339,66),0)</f>
        <v/>
      </c>
      <c r="BR1339">
        <f>IFERROR(INDEX(PP_Grid[#Data],$DE1339,67),0)</f>
        <v/>
      </c>
      <c r="BS1339">
        <f>IFERROR(INDEX(PP_Grid[#Data],$DE1339,68),0)</f>
        <v/>
      </c>
      <c r="BT1339">
        <f>IFERROR(INDEX(PP_Grid[#Data],$DE1339,69),0)</f>
        <v/>
      </c>
      <c r="BU1339">
        <f>IFERROR(INDEX(PP_Grid[#Data],$DE1339,70),0)</f>
        <v/>
      </c>
      <c r="BV1339">
        <f>IFERROR(INDEX(PP_Grid[#Data],$DE1339,71),0)</f>
        <v/>
      </c>
      <c r="BW1339">
        <f>IFERROR(INDEX(PP_Grid[#Data],$DE1339,72),0)</f>
        <v/>
      </c>
      <c r="BX1339">
        <f>IFERROR(INDEX(PP_Grid[#Data],$DE1339,73),0)</f>
        <v/>
      </c>
      <c r="BY1339">
        <f>IFERROR(INDEX(PP_Grid[#Data],$DE1339,74),0)</f>
        <v/>
      </c>
      <c r="BZ1339">
        <f>IFERROR(INDEX(PP_Grid[#Data],$DE1339,75),0)</f>
        <v/>
      </c>
      <c r="CA1339">
        <f>IFERROR(INDEX(PP_Grid[#Data],$DE1339,76),0)</f>
        <v/>
      </c>
      <c r="CB1339">
        <f>IFERROR(INDEX(PP_Grid[#Data],$DE1339,77),0)</f>
        <v/>
      </c>
      <c r="CC1339">
        <f>IFERROR(INDEX(PP_Grid[#Data],$DE1339,78),0)</f>
        <v/>
      </c>
      <c r="CD1339">
        <f>IFERROR(INDEX(PP_Grid[#Data],$DE1339,79),0)</f>
        <v/>
      </c>
      <c r="CE1339">
        <f>IFERROR(INDEX(PP_Grid[#Data],$DE1339,80),0)</f>
        <v/>
      </c>
      <c r="CF1339">
        <f>IFERROR(INDEX(PP_Grid[#Data],$DE1339,81),0)</f>
        <v/>
      </c>
      <c r="CG1339">
        <f>IFERROR(INDEX(PP_Grid[#Data],$DE1339,82),0)</f>
        <v/>
      </c>
      <c r="CH1339">
        <f>IFERROR(INDEX(PP_Grid[#Data],$DE1339,83),0)</f>
        <v/>
      </c>
      <c r="CI1339">
        <f>IFERROR(INDEX(PP_Grid[#Data],$DE1339,84),0)</f>
        <v/>
      </c>
      <c r="CJ1339">
        <f>IFERROR(INDEX(PP_Grid[#Data],$DE1339,85),0)</f>
        <v/>
      </c>
      <c r="CK1339">
        <f>IFERROR(INDEX(PP_Grid[#Data],$DE1339,86),0)</f>
        <v/>
      </c>
      <c r="CL1339">
        <f>IFERROR(INDEX(PP_Grid[#Data],$DE1339,87),0)</f>
        <v/>
      </c>
      <c r="CM1339">
        <f>IFERROR(INDEX(PP_Grid[#Data],$DE1339,88),0)</f>
        <v/>
      </c>
      <c r="CN1339">
        <f>IFERROR(INDEX(PP_Grid[#Data],$DE1339,89),0)</f>
        <v/>
      </c>
      <c r="CO1339">
        <f>IFERROR(INDEX(PP_Grid[#Data],$DE1339,90),0)</f>
        <v/>
      </c>
      <c r="CP1339">
        <f>IFERROR(INDEX(PP_Grid[#Data],$DE1339,91),0)</f>
        <v/>
      </c>
      <c r="CQ1339">
        <f>IFERROR(INDEX(PP_Grid[#Data],$DE1339,92),0)</f>
        <v/>
      </c>
      <c r="CR1339">
        <f>IFERROR(INDEX(PP_Grid[#Data],$DE1339,93),0)</f>
        <v/>
      </c>
      <c r="CS1339">
        <f>IFERROR(INDEX(PP_Grid[#Data],$DE1339,94),0)</f>
        <v/>
      </c>
      <c r="CT1339">
        <f>IFERROR(INDEX(PP_Grid[#Data],$DE1339,95),0)</f>
        <v/>
      </c>
      <c r="CU1339">
        <f>IFERROR(INDEX(PP_Grid[#Data],$DE1339,96),0)</f>
        <v/>
      </c>
      <c r="CV1339">
        <f>IFERROR(INDEX(PP_Grid[#Data],$DE1339,97),0)</f>
        <v/>
      </c>
      <c r="CW1339">
        <f>IFERROR(INDEX(PP_Grid[#Data],$DE1339,98),0)</f>
        <v/>
      </c>
      <c r="CX1339">
        <f>IFERROR(INDEX(PP_Grid[#Data],$DE1339,99),0)</f>
        <v/>
      </c>
      <c r="CY1339">
        <f>IFERROR(INDEX(PP_Grid[#Data],$DE1339,100),0)</f>
        <v/>
      </c>
      <c r="CZ1339">
        <f>IFERROR(INDEX(PP_Grid[#Data],$DE1339,101),0)</f>
        <v/>
      </c>
      <c r="DA1339">
        <f>IFERROR(INDEX(PP_Grid[#Data],$DE1339,102),0)</f>
        <v/>
      </c>
      <c r="DB1339">
        <f>IFERROR(INDEX(PP_Grid[#Data],$DE1339,103),0)</f>
        <v/>
      </c>
      <c r="DC1339">
        <f>IFERROR(INDEX(PP_Grid[#Data],$DE1339,104),0)</f>
        <v/>
      </c>
      <c r="DD1339">
        <f>IFERROR(INDEX(PP_Grid[#Data],$DE1339,105),0)</f>
        <v/>
      </c>
      <c r="DE1339" s="7">
        <f>IFERROR(MATCH($B1339,PP_Grid[Intermediate],0),99999)</f>
        <v/>
      </c>
    </row>
    <row r="1340">
      <c r="B1340" t="inlineStr">
        <is>
          <t>使用量(kg)</t>
        </is>
      </c>
      <c r="C1340">
        <f>SUMIFS(M_BOM[RM_Qty_Per_Batch],M_BOM[Intermediate],$B1339,M_BOM[RM_Code],$A1326)</f>
        <v/>
      </c>
      <c r="D1340">
        <f>IFERROR(INDEX(E1340:DD1340,$F$1),"")</f>
        <v/>
      </c>
      <c r="E1340">
        <f>$C1340*E1339</f>
        <v/>
      </c>
      <c r="F1340">
        <f>$C1340*F1339</f>
        <v/>
      </c>
      <c r="G1340">
        <f>$C1340*G1339</f>
        <v/>
      </c>
      <c r="H1340">
        <f>$C1340*H1339</f>
        <v/>
      </c>
      <c r="I1340">
        <f>$C1340*I1339</f>
        <v/>
      </c>
      <c r="J1340">
        <f>$C1340*J1339</f>
        <v/>
      </c>
      <c r="K1340">
        <f>$C1340*K1339</f>
        <v/>
      </c>
      <c r="L1340">
        <f>$C1340*L1339</f>
        <v/>
      </c>
      <c r="M1340">
        <f>$C1340*M1339</f>
        <v/>
      </c>
      <c r="N1340">
        <f>$C1340*N1339</f>
        <v/>
      </c>
      <c r="O1340">
        <f>$C1340*O1339</f>
        <v/>
      </c>
      <c r="P1340">
        <f>$C1340*P1339</f>
        <v/>
      </c>
      <c r="Q1340">
        <f>$C1340*Q1339</f>
        <v/>
      </c>
      <c r="R1340">
        <f>$C1340*R1339</f>
        <v/>
      </c>
      <c r="S1340">
        <f>$C1340*S1339</f>
        <v/>
      </c>
      <c r="T1340">
        <f>$C1340*T1339</f>
        <v/>
      </c>
      <c r="U1340">
        <f>$C1340*U1339</f>
        <v/>
      </c>
      <c r="V1340">
        <f>$C1340*V1339</f>
        <v/>
      </c>
      <c r="W1340">
        <f>$C1340*W1339</f>
        <v/>
      </c>
      <c r="X1340">
        <f>$C1340*X1339</f>
        <v/>
      </c>
      <c r="Y1340">
        <f>$C1340*Y1339</f>
        <v/>
      </c>
      <c r="Z1340">
        <f>$C1340*Z1339</f>
        <v/>
      </c>
      <c r="AA1340">
        <f>$C1340*AA1339</f>
        <v/>
      </c>
      <c r="AB1340">
        <f>$C1340*AB1339</f>
        <v/>
      </c>
      <c r="AC1340">
        <f>$C1340*AC1339</f>
        <v/>
      </c>
      <c r="AD1340">
        <f>$C1340*AD1339</f>
        <v/>
      </c>
      <c r="AE1340">
        <f>$C1340*AE1339</f>
        <v/>
      </c>
      <c r="AF1340">
        <f>$C1340*AF1339</f>
        <v/>
      </c>
      <c r="AG1340">
        <f>$C1340*AG1339</f>
        <v/>
      </c>
      <c r="AH1340">
        <f>$C1340*AH1339</f>
        <v/>
      </c>
      <c r="AI1340">
        <f>$C1340*AI1339</f>
        <v/>
      </c>
      <c r="AJ1340">
        <f>$C1340*AJ1339</f>
        <v/>
      </c>
      <c r="AK1340">
        <f>$C1340*AK1339</f>
        <v/>
      </c>
      <c r="AL1340">
        <f>$C1340*AL1339</f>
        <v/>
      </c>
      <c r="AM1340">
        <f>$C1340*AM1339</f>
        <v/>
      </c>
      <c r="AN1340">
        <f>$C1340*AN1339</f>
        <v/>
      </c>
      <c r="AO1340">
        <f>$C1340*AO1339</f>
        <v/>
      </c>
      <c r="AP1340">
        <f>$C1340*AP1339</f>
        <v/>
      </c>
      <c r="AQ1340">
        <f>$C1340*AQ1339</f>
        <v/>
      </c>
      <c r="AR1340">
        <f>$C1340*AR1339</f>
        <v/>
      </c>
      <c r="AS1340">
        <f>$C1340*AS1339</f>
        <v/>
      </c>
      <c r="AT1340">
        <f>$C1340*AT1339</f>
        <v/>
      </c>
      <c r="AU1340">
        <f>$C1340*AU1339</f>
        <v/>
      </c>
      <c r="AV1340">
        <f>$C1340*AV1339</f>
        <v/>
      </c>
      <c r="AW1340">
        <f>$C1340*AW1339</f>
        <v/>
      </c>
      <c r="AX1340">
        <f>$C1340*AX1339</f>
        <v/>
      </c>
      <c r="AY1340">
        <f>$C1340*AY1339</f>
        <v/>
      </c>
      <c r="AZ1340">
        <f>$C1340*AZ1339</f>
        <v/>
      </c>
      <c r="BA1340">
        <f>$C1340*BA1339</f>
        <v/>
      </c>
      <c r="BB1340">
        <f>$C1340*BB1339</f>
        <v/>
      </c>
      <c r="BC1340">
        <f>$C1340*BC1339</f>
        <v/>
      </c>
      <c r="BD1340">
        <f>$C1340*BD1339</f>
        <v/>
      </c>
      <c r="BE1340">
        <f>$C1340*BE1339</f>
        <v/>
      </c>
      <c r="BF1340">
        <f>$C1340*BF1339</f>
        <v/>
      </c>
      <c r="BG1340">
        <f>$C1340*BG1339</f>
        <v/>
      </c>
      <c r="BH1340">
        <f>$C1340*BH1339</f>
        <v/>
      </c>
      <c r="BI1340">
        <f>$C1340*BI1339</f>
        <v/>
      </c>
      <c r="BJ1340">
        <f>$C1340*BJ1339</f>
        <v/>
      </c>
      <c r="BK1340">
        <f>$C1340*BK1339</f>
        <v/>
      </c>
      <c r="BL1340">
        <f>$C1340*BL1339</f>
        <v/>
      </c>
      <c r="BM1340">
        <f>$C1340*BM1339</f>
        <v/>
      </c>
      <c r="BN1340">
        <f>$C1340*BN1339</f>
        <v/>
      </c>
      <c r="BO1340">
        <f>$C1340*BO1339</f>
        <v/>
      </c>
      <c r="BP1340">
        <f>$C1340*BP1339</f>
        <v/>
      </c>
      <c r="BQ1340">
        <f>$C1340*BQ1339</f>
        <v/>
      </c>
      <c r="BR1340">
        <f>$C1340*BR1339</f>
        <v/>
      </c>
      <c r="BS1340">
        <f>$C1340*BS1339</f>
        <v/>
      </c>
      <c r="BT1340">
        <f>$C1340*BT1339</f>
        <v/>
      </c>
      <c r="BU1340">
        <f>$C1340*BU1339</f>
        <v/>
      </c>
      <c r="BV1340">
        <f>$C1340*BV1339</f>
        <v/>
      </c>
      <c r="BW1340">
        <f>$C1340*BW1339</f>
        <v/>
      </c>
      <c r="BX1340">
        <f>$C1340*BX1339</f>
        <v/>
      </c>
      <c r="BY1340">
        <f>$C1340*BY1339</f>
        <v/>
      </c>
      <c r="BZ1340">
        <f>$C1340*BZ1339</f>
        <v/>
      </c>
      <c r="CA1340">
        <f>$C1340*CA1339</f>
        <v/>
      </c>
      <c r="CB1340">
        <f>$C1340*CB1339</f>
        <v/>
      </c>
      <c r="CC1340">
        <f>$C1340*CC1339</f>
        <v/>
      </c>
      <c r="CD1340">
        <f>$C1340*CD1339</f>
        <v/>
      </c>
      <c r="CE1340">
        <f>$C1340*CE1339</f>
        <v/>
      </c>
      <c r="CF1340">
        <f>$C1340*CF1339</f>
        <v/>
      </c>
      <c r="CG1340">
        <f>$C1340*CG1339</f>
        <v/>
      </c>
      <c r="CH1340">
        <f>$C1340*CH1339</f>
        <v/>
      </c>
      <c r="CI1340">
        <f>$C1340*CI1339</f>
        <v/>
      </c>
      <c r="CJ1340">
        <f>$C1340*CJ1339</f>
        <v/>
      </c>
      <c r="CK1340">
        <f>$C1340*CK1339</f>
        <v/>
      </c>
      <c r="CL1340">
        <f>$C1340*CL1339</f>
        <v/>
      </c>
      <c r="CM1340">
        <f>$C1340*CM1339</f>
        <v/>
      </c>
      <c r="CN1340">
        <f>$C1340*CN1339</f>
        <v/>
      </c>
      <c r="CO1340">
        <f>$C1340*CO1339</f>
        <v/>
      </c>
      <c r="CP1340">
        <f>$C1340*CP1339</f>
        <v/>
      </c>
      <c r="CQ1340">
        <f>$C1340*CQ1339</f>
        <v/>
      </c>
      <c r="CR1340">
        <f>$C1340*CR1339</f>
        <v/>
      </c>
      <c r="CS1340">
        <f>$C1340*CS1339</f>
        <v/>
      </c>
      <c r="CT1340">
        <f>$C1340*CT1339</f>
        <v/>
      </c>
      <c r="CU1340">
        <f>$C1340*CU1339</f>
        <v/>
      </c>
      <c r="CV1340">
        <f>$C1340*CV1339</f>
        <v/>
      </c>
      <c r="CW1340">
        <f>$C1340*CW1339</f>
        <v/>
      </c>
      <c r="CX1340">
        <f>$C1340*CX1339</f>
        <v/>
      </c>
      <c r="CY1340">
        <f>$C1340*CY1339</f>
        <v/>
      </c>
      <c r="CZ1340">
        <f>$C1340*CZ1339</f>
        <v/>
      </c>
      <c r="DA1340">
        <f>$C1340*DA1339</f>
        <v/>
      </c>
      <c r="DB1340">
        <f>$C1340*DB1339</f>
        <v/>
      </c>
      <c r="DC1340">
        <f>$C1340*DC1339</f>
        <v/>
      </c>
      <c r="DD1340">
        <f>$C1340*DD1339</f>
        <v/>
      </c>
    </row>
    <row r="1341">
      <c r="B1341" t="inlineStr">
        <is>
          <t>TSP-935</t>
        </is>
      </c>
      <c r="C1341" t="inlineStr">
        <is>
          <t>No. of batches</t>
        </is>
      </c>
      <c r="D1341">
        <f>IFERROR(INDEX(E1341:DD1341,$F$1),"")</f>
        <v/>
      </c>
      <c r="E1341">
        <f>IFERROR(INDEX(PP_Grid[#Data],$DE1341,2),0)</f>
        <v/>
      </c>
      <c r="F1341">
        <f>IFERROR(INDEX(PP_Grid[#Data],$DE1341,3),0)</f>
        <v/>
      </c>
      <c r="G1341">
        <f>IFERROR(INDEX(PP_Grid[#Data],$DE1341,4),0)</f>
        <v/>
      </c>
      <c r="H1341">
        <f>IFERROR(INDEX(PP_Grid[#Data],$DE1341,5),0)</f>
        <v/>
      </c>
      <c r="I1341">
        <f>IFERROR(INDEX(PP_Grid[#Data],$DE1341,6),0)</f>
        <v/>
      </c>
      <c r="J1341">
        <f>IFERROR(INDEX(PP_Grid[#Data],$DE1341,7),0)</f>
        <v/>
      </c>
      <c r="K1341">
        <f>IFERROR(INDEX(PP_Grid[#Data],$DE1341,8),0)</f>
        <v/>
      </c>
      <c r="L1341">
        <f>IFERROR(INDEX(PP_Grid[#Data],$DE1341,9),0)</f>
        <v/>
      </c>
      <c r="M1341">
        <f>IFERROR(INDEX(PP_Grid[#Data],$DE1341,10),0)</f>
        <v/>
      </c>
      <c r="N1341">
        <f>IFERROR(INDEX(PP_Grid[#Data],$DE1341,11),0)</f>
        <v/>
      </c>
      <c r="O1341">
        <f>IFERROR(INDEX(PP_Grid[#Data],$DE1341,12),0)</f>
        <v/>
      </c>
      <c r="P1341">
        <f>IFERROR(INDEX(PP_Grid[#Data],$DE1341,13),0)</f>
        <v/>
      </c>
      <c r="Q1341">
        <f>IFERROR(INDEX(PP_Grid[#Data],$DE1341,14),0)</f>
        <v/>
      </c>
      <c r="R1341">
        <f>IFERROR(INDEX(PP_Grid[#Data],$DE1341,15),0)</f>
        <v/>
      </c>
      <c r="S1341">
        <f>IFERROR(INDEX(PP_Grid[#Data],$DE1341,16),0)</f>
        <v/>
      </c>
      <c r="T1341">
        <f>IFERROR(INDEX(PP_Grid[#Data],$DE1341,17),0)</f>
        <v/>
      </c>
      <c r="U1341">
        <f>IFERROR(INDEX(PP_Grid[#Data],$DE1341,18),0)</f>
        <v/>
      </c>
      <c r="V1341">
        <f>IFERROR(INDEX(PP_Grid[#Data],$DE1341,19),0)</f>
        <v/>
      </c>
      <c r="W1341">
        <f>IFERROR(INDEX(PP_Grid[#Data],$DE1341,20),0)</f>
        <v/>
      </c>
      <c r="X1341">
        <f>IFERROR(INDEX(PP_Grid[#Data],$DE1341,21),0)</f>
        <v/>
      </c>
      <c r="Y1341">
        <f>IFERROR(INDEX(PP_Grid[#Data],$DE1341,22),0)</f>
        <v/>
      </c>
      <c r="Z1341">
        <f>IFERROR(INDEX(PP_Grid[#Data],$DE1341,23),0)</f>
        <v/>
      </c>
      <c r="AA1341">
        <f>IFERROR(INDEX(PP_Grid[#Data],$DE1341,24),0)</f>
        <v/>
      </c>
      <c r="AB1341">
        <f>IFERROR(INDEX(PP_Grid[#Data],$DE1341,25),0)</f>
        <v/>
      </c>
      <c r="AC1341">
        <f>IFERROR(INDEX(PP_Grid[#Data],$DE1341,26),0)</f>
        <v/>
      </c>
      <c r="AD1341">
        <f>IFERROR(INDEX(PP_Grid[#Data],$DE1341,27),0)</f>
        <v/>
      </c>
      <c r="AE1341">
        <f>IFERROR(INDEX(PP_Grid[#Data],$DE1341,28),0)</f>
        <v/>
      </c>
      <c r="AF1341">
        <f>IFERROR(INDEX(PP_Grid[#Data],$DE1341,29),0)</f>
        <v/>
      </c>
      <c r="AG1341">
        <f>IFERROR(INDEX(PP_Grid[#Data],$DE1341,30),0)</f>
        <v/>
      </c>
      <c r="AH1341">
        <f>IFERROR(INDEX(PP_Grid[#Data],$DE1341,31),0)</f>
        <v/>
      </c>
      <c r="AI1341">
        <f>IFERROR(INDEX(PP_Grid[#Data],$DE1341,32),0)</f>
        <v/>
      </c>
      <c r="AJ1341">
        <f>IFERROR(INDEX(PP_Grid[#Data],$DE1341,33),0)</f>
        <v/>
      </c>
      <c r="AK1341">
        <f>IFERROR(INDEX(PP_Grid[#Data],$DE1341,34),0)</f>
        <v/>
      </c>
      <c r="AL1341">
        <f>IFERROR(INDEX(PP_Grid[#Data],$DE1341,35),0)</f>
        <v/>
      </c>
      <c r="AM1341">
        <f>IFERROR(INDEX(PP_Grid[#Data],$DE1341,36),0)</f>
        <v/>
      </c>
      <c r="AN1341">
        <f>IFERROR(INDEX(PP_Grid[#Data],$DE1341,37),0)</f>
        <v/>
      </c>
      <c r="AO1341">
        <f>IFERROR(INDEX(PP_Grid[#Data],$DE1341,38),0)</f>
        <v/>
      </c>
      <c r="AP1341">
        <f>IFERROR(INDEX(PP_Grid[#Data],$DE1341,39),0)</f>
        <v/>
      </c>
      <c r="AQ1341">
        <f>IFERROR(INDEX(PP_Grid[#Data],$DE1341,40),0)</f>
        <v/>
      </c>
      <c r="AR1341">
        <f>IFERROR(INDEX(PP_Grid[#Data],$DE1341,41),0)</f>
        <v/>
      </c>
      <c r="AS1341">
        <f>IFERROR(INDEX(PP_Grid[#Data],$DE1341,42),0)</f>
        <v/>
      </c>
      <c r="AT1341">
        <f>IFERROR(INDEX(PP_Grid[#Data],$DE1341,43),0)</f>
        <v/>
      </c>
      <c r="AU1341">
        <f>IFERROR(INDEX(PP_Grid[#Data],$DE1341,44),0)</f>
        <v/>
      </c>
      <c r="AV1341">
        <f>IFERROR(INDEX(PP_Grid[#Data],$DE1341,45),0)</f>
        <v/>
      </c>
      <c r="AW1341">
        <f>IFERROR(INDEX(PP_Grid[#Data],$DE1341,46),0)</f>
        <v/>
      </c>
      <c r="AX1341">
        <f>IFERROR(INDEX(PP_Grid[#Data],$DE1341,47),0)</f>
        <v/>
      </c>
      <c r="AY1341">
        <f>IFERROR(INDEX(PP_Grid[#Data],$DE1341,48),0)</f>
        <v/>
      </c>
      <c r="AZ1341">
        <f>IFERROR(INDEX(PP_Grid[#Data],$DE1341,49),0)</f>
        <v/>
      </c>
      <c r="BA1341">
        <f>IFERROR(INDEX(PP_Grid[#Data],$DE1341,50),0)</f>
        <v/>
      </c>
      <c r="BB1341">
        <f>IFERROR(INDEX(PP_Grid[#Data],$DE1341,51),0)</f>
        <v/>
      </c>
      <c r="BC1341">
        <f>IFERROR(INDEX(PP_Grid[#Data],$DE1341,52),0)</f>
        <v/>
      </c>
      <c r="BD1341">
        <f>IFERROR(INDEX(PP_Grid[#Data],$DE1341,53),0)</f>
        <v/>
      </c>
      <c r="BE1341">
        <f>IFERROR(INDEX(PP_Grid[#Data],$DE1341,54),0)</f>
        <v/>
      </c>
      <c r="BF1341">
        <f>IFERROR(INDEX(PP_Grid[#Data],$DE1341,55),0)</f>
        <v/>
      </c>
      <c r="BG1341">
        <f>IFERROR(INDEX(PP_Grid[#Data],$DE1341,56),0)</f>
        <v/>
      </c>
      <c r="BH1341">
        <f>IFERROR(INDEX(PP_Grid[#Data],$DE1341,57),0)</f>
        <v/>
      </c>
      <c r="BI1341">
        <f>IFERROR(INDEX(PP_Grid[#Data],$DE1341,58),0)</f>
        <v/>
      </c>
      <c r="BJ1341">
        <f>IFERROR(INDEX(PP_Grid[#Data],$DE1341,59),0)</f>
        <v/>
      </c>
      <c r="BK1341">
        <f>IFERROR(INDEX(PP_Grid[#Data],$DE1341,60),0)</f>
        <v/>
      </c>
      <c r="BL1341">
        <f>IFERROR(INDEX(PP_Grid[#Data],$DE1341,61),0)</f>
        <v/>
      </c>
      <c r="BM1341">
        <f>IFERROR(INDEX(PP_Grid[#Data],$DE1341,62),0)</f>
        <v/>
      </c>
      <c r="BN1341">
        <f>IFERROR(INDEX(PP_Grid[#Data],$DE1341,63),0)</f>
        <v/>
      </c>
      <c r="BO1341">
        <f>IFERROR(INDEX(PP_Grid[#Data],$DE1341,64),0)</f>
        <v/>
      </c>
      <c r="BP1341">
        <f>IFERROR(INDEX(PP_Grid[#Data],$DE1341,65),0)</f>
        <v/>
      </c>
      <c r="BQ1341">
        <f>IFERROR(INDEX(PP_Grid[#Data],$DE1341,66),0)</f>
        <v/>
      </c>
      <c r="BR1341">
        <f>IFERROR(INDEX(PP_Grid[#Data],$DE1341,67),0)</f>
        <v/>
      </c>
      <c r="BS1341">
        <f>IFERROR(INDEX(PP_Grid[#Data],$DE1341,68),0)</f>
        <v/>
      </c>
      <c r="BT1341">
        <f>IFERROR(INDEX(PP_Grid[#Data],$DE1341,69),0)</f>
        <v/>
      </c>
      <c r="BU1341">
        <f>IFERROR(INDEX(PP_Grid[#Data],$DE1341,70),0)</f>
        <v/>
      </c>
      <c r="BV1341">
        <f>IFERROR(INDEX(PP_Grid[#Data],$DE1341,71),0)</f>
        <v/>
      </c>
      <c r="BW1341">
        <f>IFERROR(INDEX(PP_Grid[#Data],$DE1341,72),0)</f>
        <v/>
      </c>
      <c r="BX1341">
        <f>IFERROR(INDEX(PP_Grid[#Data],$DE1341,73),0)</f>
        <v/>
      </c>
      <c r="BY1341">
        <f>IFERROR(INDEX(PP_Grid[#Data],$DE1341,74),0)</f>
        <v/>
      </c>
      <c r="BZ1341">
        <f>IFERROR(INDEX(PP_Grid[#Data],$DE1341,75),0)</f>
        <v/>
      </c>
      <c r="CA1341">
        <f>IFERROR(INDEX(PP_Grid[#Data],$DE1341,76),0)</f>
        <v/>
      </c>
      <c r="CB1341">
        <f>IFERROR(INDEX(PP_Grid[#Data],$DE1341,77),0)</f>
        <v/>
      </c>
      <c r="CC1341">
        <f>IFERROR(INDEX(PP_Grid[#Data],$DE1341,78),0)</f>
        <v/>
      </c>
      <c r="CD1341">
        <f>IFERROR(INDEX(PP_Grid[#Data],$DE1341,79),0)</f>
        <v/>
      </c>
      <c r="CE1341">
        <f>IFERROR(INDEX(PP_Grid[#Data],$DE1341,80),0)</f>
        <v/>
      </c>
      <c r="CF1341">
        <f>IFERROR(INDEX(PP_Grid[#Data],$DE1341,81),0)</f>
        <v/>
      </c>
      <c r="CG1341">
        <f>IFERROR(INDEX(PP_Grid[#Data],$DE1341,82),0)</f>
        <v/>
      </c>
      <c r="CH1341">
        <f>IFERROR(INDEX(PP_Grid[#Data],$DE1341,83),0)</f>
        <v/>
      </c>
      <c r="CI1341">
        <f>IFERROR(INDEX(PP_Grid[#Data],$DE1341,84),0)</f>
        <v/>
      </c>
      <c r="CJ1341">
        <f>IFERROR(INDEX(PP_Grid[#Data],$DE1341,85),0)</f>
        <v/>
      </c>
      <c r="CK1341">
        <f>IFERROR(INDEX(PP_Grid[#Data],$DE1341,86),0)</f>
        <v/>
      </c>
      <c r="CL1341">
        <f>IFERROR(INDEX(PP_Grid[#Data],$DE1341,87),0)</f>
        <v/>
      </c>
      <c r="CM1341">
        <f>IFERROR(INDEX(PP_Grid[#Data],$DE1341,88),0)</f>
        <v/>
      </c>
      <c r="CN1341">
        <f>IFERROR(INDEX(PP_Grid[#Data],$DE1341,89),0)</f>
        <v/>
      </c>
      <c r="CO1341">
        <f>IFERROR(INDEX(PP_Grid[#Data],$DE1341,90),0)</f>
        <v/>
      </c>
      <c r="CP1341">
        <f>IFERROR(INDEX(PP_Grid[#Data],$DE1341,91),0)</f>
        <v/>
      </c>
      <c r="CQ1341">
        <f>IFERROR(INDEX(PP_Grid[#Data],$DE1341,92),0)</f>
        <v/>
      </c>
      <c r="CR1341">
        <f>IFERROR(INDEX(PP_Grid[#Data],$DE1341,93),0)</f>
        <v/>
      </c>
      <c r="CS1341">
        <f>IFERROR(INDEX(PP_Grid[#Data],$DE1341,94),0)</f>
        <v/>
      </c>
      <c r="CT1341">
        <f>IFERROR(INDEX(PP_Grid[#Data],$DE1341,95),0)</f>
        <v/>
      </c>
      <c r="CU1341">
        <f>IFERROR(INDEX(PP_Grid[#Data],$DE1341,96),0)</f>
        <v/>
      </c>
      <c r="CV1341">
        <f>IFERROR(INDEX(PP_Grid[#Data],$DE1341,97),0)</f>
        <v/>
      </c>
      <c r="CW1341">
        <f>IFERROR(INDEX(PP_Grid[#Data],$DE1341,98),0)</f>
        <v/>
      </c>
      <c r="CX1341">
        <f>IFERROR(INDEX(PP_Grid[#Data],$DE1341,99),0)</f>
        <v/>
      </c>
      <c r="CY1341">
        <f>IFERROR(INDEX(PP_Grid[#Data],$DE1341,100),0)</f>
        <v/>
      </c>
      <c r="CZ1341">
        <f>IFERROR(INDEX(PP_Grid[#Data],$DE1341,101),0)</f>
        <v/>
      </c>
      <c r="DA1341">
        <f>IFERROR(INDEX(PP_Grid[#Data],$DE1341,102),0)</f>
        <v/>
      </c>
      <c r="DB1341">
        <f>IFERROR(INDEX(PP_Grid[#Data],$DE1341,103),0)</f>
        <v/>
      </c>
      <c r="DC1341">
        <f>IFERROR(INDEX(PP_Grid[#Data],$DE1341,104),0)</f>
        <v/>
      </c>
      <c r="DD1341">
        <f>IFERROR(INDEX(PP_Grid[#Data],$DE1341,105),0)</f>
        <v/>
      </c>
      <c r="DE1341" s="7">
        <f>IFERROR(MATCH($B1341,PP_Grid[Intermediate],0),99999)</f>
        <v/>
      </c>
    </row>
    <row r="1342">
      <c r="B1342" t="inlineStr">
        <is>
          <t>使用量(kg)</t>
        </is>
      </c>
      <c r="C1342">
        <f>SUMIFS(M_BOM[RM_Qty_Per_Batch],M_BOM[Intermediate],$B1341,M_BOM[RM_Code],$A1326)</f>
        <v/>
      </c>
      <c r="D1342">
        <f>IFERROR(INDEX(E1342:DD1342,$F$1),"")</f>
        <v/>
      </c>
      <c r="E1342">
        <f>$C1342*E1341</f>
        <v/>
      </c>
      <c r="F1342">
        <f>$C1342*F1341</f>
        <v/>
      </c>
      <c r="G1342">
        <f>$C1342*G1341</f>
        <v/>
      </c>
      <c r="H1342">
        <f>$C1342*H1341</f>
        <v/>
      </c>
      <c r="I1342">
        <f>$C1342*I1341</f>
        <v/>
      </c>
      <c r="J1342">
        <f>$C1342*J1341</f>
        <v/>
      </c>
      <c r="K1342">
        <f>$C1342*K1341</f>
        <v/>
      </c>
      <c r="L1342">
        <f>$C1342*L1341</f>
        <v/>
      </c>
      <c r="M1342">
        <f>$C1342*M1341</f>
        <v/>
      </c>
      <c r="N1342">
        <f>$C1342*N1341</f>
        <v/>
      </c>
      <c r="O1342">
        <f>$C1342*O1341</f>
        <v/>
      </c>
      <c r="P1342">
        <f>$C1342*P1341</f>
        <v/>
      </c>
      <c r="Q1342">
        <f>$C1342*Q1341</f>
        <v/>
      </c>
      <c r="R1342">
        <f>$C1342*R1341</f>
        <v/>
      </c>
      <c r="S1342">
        <f>$C1342*S1341</f>
        <v/>
      </c>
      <c r="T1342">
        <f>$C1342*T1341</f>
        <v/>
      </c>
      <c r="U1342">
        <f>$C1342*U1341</f>
        <v/>
      </c>
      <c r="V1342">
        <f>$C1342*V1341</f>
        <v/>
      </c>
      <c r="W1342">
        <f>$C1342*W1341</f>
        <v/>
      </c>
      <c r="X1342">
        <f>$C1342*X1341</f>
        <v/>
      </c>
      <c r="Y1342">
        <f>$C1342*Y1341</f>
        <v/>
      </c>
      <c r="Z1342">
        <f>$C1342*Z1341</f>
        <v/>
      </c>
      <c r="AA1342">
        <f>$C1342*AA1341</f>
        <v/>
      </c>
      <c r="AB1342">
        <f>$C1342*AB1341</f>
        <v/>
      </c>
      <c r="AC1342">
        <f>$C1342*AC1341</f>
        <v/>
      </c>
      <c r="AD1342">
        <f>$C1342*AD1341</f>
        <v/>
      </c>
      <c r="AE1342">
        <f>$C1342*AE1341</f>
        <v/>
      </c>
      <c r="AF1342">
        <f>$C1342*AF1341</f>
        <v/>
      </c>
      <c r="AG1342">
        <f>$C1342*AG1341</f>
        <v/>
      </c>
      <c r="AH1342">
        <f>$C1342*AH1341</f>
        <v/>
      </c>
      <c r="AI1342">
        <f>$C1342*AI1341</f>
        <v/>
      </c>
      <c r="AJ1342">
        <f>$C1342*AJ1341</f>
        <v/>
      </c>
      <c r="AK1342">
        <f>$C1342*AK1341</f>
        <v/>
      </c>
      <c r="AL1342">
        <f>$C1342*AL1341</f>
        <v/>
      </c>
      <c r="AM1342">
        <f>$C1342*AM1341</f>
        <v/>
      </c>
      <c r="AN1342">
        <f>$C1342*AN1341</f>
        <v/>
      </c>
      <c r="AO1342">
        <f>$C1342*AO1341</f>
        <v/>
      </c>
      <c r="AP1342">
        <f>$C1342*AP1341</f>
        <v/>
      </c>
      <c r="AQ1342">
        <f>$C1342*AQ1341</f>
        <v/>
      </c>
      <c r="AR1342">
        <f>$C1342*AR1341</f>
        <v/>
      </c>
      <c r="AS1342">
        <f>$C1342*AS1341</f>
        <v/>
      </c>
      <c r="AT1342">
        <f>$C1342*AT1341</f>
        <v/>
      </c>
      <c r="AU1342">
        <f>$C1342*AU1341</f>
        <v/>
      </c>
      <c r="AV1342">
        <f>$C1342*AV1341</f>
        <v/>
      </c>
      <c r="AW1342">
        <f>$C1342*AW1341</f>
        <v/>
      </c>
      <c r="AX1342">
        <f>$C1342*AX1341</f>
        <v/>
      </c>
      <c r="AY1342">
        <f>$C1342*AY1341</f>
        <v/>
      </c>
      <c r="AZ1342">
        <f>$C1342*AZ1341</f>
        <v/>
      </c>
      <c r="BA1342">
        <f>$C1342*BA1341</f>
        <v/>
      </c>
      <c r="BB1342">
        <f>$C1342*BB1341</f>
        <v/>
      </c>
      <c r="BC1342">
        <f>$C1342*BC1341</f>
        <v/>
      </c>
      <c r="BD1342">
        <f>$C1342*BD1341</f>
        <v/>
      </c>
      <c r="BE1342">
        <f>$C1342*BE1341</f>
        <v/>
      </c>
      <c r="BF1342">
        <f>$C1342*BF1341</f>
        <v/>
      </c>
      <c r="BG1342">
        <f>$C1342*BG1341</f>
        <v/>
      </c>
      <c r="BH1342">
        <f>$C1342*BH1341</f>
        <v/>
      </c>
      <c r="BI1342">
        <f>$C1342*BI1341</f>
        <v/>
      </c>
      <c r="BJ1342">
        <f>$C1342*BJ1341</f>
        <v/>
      </c>
      <c r="BK1342">
        <f>$C1342*BK1341</f>
        <v/>
      </c>
      <c r="BL1342">
        <f>$C1342*BL1341</f>
        <v/>
      </c>
      <c r="BM1342">
        <f>$C1342*BM1341</f>
        <v/>
      </c>
      <c r="BN1342">
        <f>$C1342*BN1341</f>
        <v/>
      </c>
      <c r="BO1342">
        <f>$C1342*BO1341</f>
        <v/>
      </c>
      <c r="BP1342">
        <f>$C1342*BP1341</f>
        <v/>
      </c>
      <c r="BQ1342">
        <f>$C1342*BQ1341</f>
        <v/>
      </c>
      <c r="BR1342">
        <f>$C1342*BR1341</f>
        <v/>
      </c>
      <c r="BS1342">
        <f>$C1342*BS1341</f>
        <v/>
      </c>
      <c r="BT1342">
        <f>$C1342*BT1341</f>
        <v/>
      </c>
      <c r="BU1342">
        <f>$C1342*BU1341</f>
        <v/>
      </c>
      <c r="BV1342">
        <f>$C1342*BV1341</f>
        <v/>
      </c>
      <c r="BW1342">
        <f>$C1342*BW1341</f>
        <v/>
      </c>
      <c r="BX1342">
        <f>$C1342*BX1341</f>
        <v/>
      </c>
      <c r="BY1342">
        <f>$C1342*BY1341</f>
        <v/>
      </c>
      <c r="BZ1342">
        <f>$C1342*BZ1341</f>
        <v/>
      </c>
      <c r="CA1342">
        <f>$C1342*CA1341</f>
        <v/>
      </c>
      <c r="CB1342">
        <f>$C1342*CB1341</f>
        <v/>
      </c>
      <c r="CC1342">
        <f>$C1342*CC1341</f>
        <v/>
      </c>
      <c r="CD1342">
        <f>$C1342*CD1341</f>
        <v/>
      </c>
      <c r="CE1342">
        <f>$C1342*CE1341</f>
        <v/>
      </c>
      <c r="CF1342">
        <f>$C1342*CF1341</f>
        <v/>
      </c>
      <c r="CG1342">
        <f>$C1342*CG1341</f>
        <v/>
      </c>
      <c r="CH1342">
        <f>$C1342*CH1341</f>
        <v/>
      </c>
      <c r="CI1342">
        <f>$C1342*CI1341</f>
        <v/>
      </c>
      <c r="CJ1342">
        <f>$C1342*CJ1341</f>
        <v/>
      </c>
      <c r="CK1342">
        <f>$C1342*CK1341</f>
        <v/>
      </c>
      <c r="CL1342">
        <f>$C1342*CL1341</f>
        <v/>
      </c>
      <c r="CM1342">
        <f>$C1342*CM1341</f>
        <v/>
      </c>
      <c r="CN1342">
        <f>$C1342*CN1341</f>
        <v/>
      </c>
      <c r="CO1342">
        <f>$C1342*CO1341</f>
        <v/>
      </c>
      <c r="CP1342">
        <f>$C1342*CP1341</f>
        <v/>
      </c>
      <c r="CQ1342">
        <f>$C1342*CQ1341</f>
        <v/>
      </c>
      <c r="CR1342">
        <f>$C1342*CR1341</f>
        <v/>
      </c>
      <c r="CS1342">
        <f>$C1342*CS1341</f>
        <v/>
      </c>
      <c r="CT1342">
        <f>$C1342*CT1341</f>
        <v/>
      </c>
      <c r="CU1342">
        <f>$C1342*CU1341</f>
        <v/>
      </c>
      <c r="CV1342">
        <f>$C1342*CV1341</f>
        <v/>
      </c>
      <c r="CW1342">
        <f>$C1342*CW1341</f>
        <v/>
      </c>
      <c r="CX1342">
        <f>$C1342*CX1341</f>
        <v/>
      </c>
      <c r="CY1342">
        <f>$C1342*CY1341</f>
        <v/>
      </c>
      <c r="CZ1342">
        <f>$C1342*CZ1341</f>
        <v/>
      </c>
      <c r="DA1342">
        <f>$C1342*DA1341</f>
        <v/>
      </c>
      <c r="DB1342">
        <f>$C1342*DB1341</f>
        <v/>
      </c>
      <c r="DC1342">
        <f>$C1342*DC1341</f>
        <v/>
      </c>
      <c r="DD1342">
        <f>$C1342*DD1341</f>
        <v/>
      </c>
    </row>
    <row r="1343">
      <c r="B1343" t="inlineStr">
        <is>
          <t>TSP-936</t>
        </is>
      </c>
      <c r="C1343" t="inlineStr">
        <is>
          <t>No. of batches</t>
        </is>
      </c>
      <c r="D1343">
        <f>IFERROR(INDEX(E1343:DD1343,$F$1),"")</f>
        <v/>
      </c>
      <c r="E1343">
        <f>IFERROR(INDEX(PP_Grid[#Data],$DE1343,2),0)</f>
        <v/>
      </c>
      <c r="F1343">
        <f>IFERROR(INDEX(PP_Grid[#Data],$DE1343,3),0)</f>
        <v/>
      </c>
      <c r="G1343">
        <f>IFERROR(INDEX(PP_Grid[#Data],$DE1343,4),0)</f>
        <v/>
      </c>
      <c r="H1343">
        <f>IFERROR(INDEX(PP_Grid[#Data],$DE1343,5),0)</f>
        <v/>
      </c>
      <c r="I1343">
        <f>IFERROR(INDEX(PP_Grid[#Data],$DE1343,6),0)</f>
        <v/>
      </c>
      <c r="J1343">
        <f>IFERROR(INDEX(PP_Grid[#Data],$DE1343,7),0)</f>
        <v/>
      </c>
      <c r="K1343">
        <f>IFERROR(INDEX(PP_Grid[#Data],$DE1343,8),0)</f>
        <v/>
      </c>
      <c r="L1343">
        <f>IFERROR(INDEX(PP_Grid[#Data],$DE1343,9),0)</f>
        <v/>
      </c>
      <c r="M1343">
        <f>IFERROR(INDEX(PP_Grid[#Data],$DE1343,10),0)</f>
        <v/>
      </c>
      <c r="N1343">
        <f>IFERROR(INDEX(PP_Grid[#Data],$DE1343,11),0)</f>
        <v/>
      </c>
      <c r="O1343">
        <f>IFERROR(INDEX(PP_Grid[#Data],$DE1343,12),0)</f>
        <v/>
      </c>
      <c r="P1343">
        <f>IFERROR(INDEX(PP_Grid[#Data],$DE1343,13),0)</f>
        <v/>
      </c>
      <c r="Q1343">
        <f>IFERROR(INDEX(PP_Grid[#Data],$DE1343,14),0)</f>
        <v/>
      </c>
      <c r="R1343">
        <f>IFERROR(INDEX(PP_Grid[#Data],$DE1343,15),0)</f>
        <v/>
      </c>
      <c r="S1343">
        <f>IFERROR(INDEX(PP_Grid[#Data],$DE1343,16),0)</f>
        <v/>
      </c>
      <c r="T1343">
        <f>IFERROR(INDEX(PP_Grid[#Data],$DE1343,17),0)</f>
        <v/>
      </c>
      <c r="U1343">
        <f>IFERROR(INDEX(PP_Grid[#Data],$DE1343,18),0)</f>
        <v/>
      </c>
      <c r="V1343">
        <f>IFERROR(INDEX(PP_Grid[#Data],$DE1343,19),0)</f>
        <v/>
      </c>
      <c r="W1343">
        <f>IFERROR(INDEX(PP_Grid[#Data],$DE1343,20),0)</f>
        <v/>
      </c>
      <c r="X1343">
        <f>IFERROR(INDEX(PP_Grid[#Data],$DE1343,21),0)</f>
        <v/>
      </c>
      <c r="Y1343">
        <f>IFERROR(INDEX(PP_Grid[#Data],$DE1343,22),0)</f>
        <v/>
      </c>
      <c r="Z1343">
        <f>IFERROR(INDEX(PP_Grid[#Data],$DE1343,23),0)</f>
        <v/>
      </c>
      <c r="AA1343">
        <f>IFERROR(INDEX(PP_Grid[#Data],$DE1343,24),0)</f>
        <v/>
      </c>
      <c r="AB1343">
        <f>IFERROR(INDEX(PP_Grid[#Data],$DE1343,25),0)</f>
        <v/>
      </c>
      <c r="AC1343">
        <f>IFERROR(INDEX(PP_Grid[#Data],$DE1343,26),0)</f>
        <v/>
      </c>
      <c r="AD1343">
        <f>IFERROR(INDEX(PP_Grid[#Data],$DE1343,27),0)</f>
        <v/>
      </c>
      <c r="AE1343">
        <f>IFERROR(INDEX(PP_Grid[#Data],$DE1343,28),0)</f>
        <v/>
      </c>
      <c r="AF1343">
        <f>IFERROR(INDEX(PP_Grid[#Data],$DE1343,29),0)</f>
        <v/>
      </c>
      <c r="AG1343">
        <f>IFERROR(INDEX(PP_Grid[#Data],$DE1343,30),0)</f>
        <v/>
      </c>
      <c r="AH1343">
        <f>IFERROR(INDEX(PP_Grid[#Data],$DE1343,31),0)</f>
        <v/>
      </c>
      <c r="AI1343">
        <f>IFERROR(INDEX(PP_Grid[#Data],$DE1343,32),0)</f>
        <v/>
      </c>
      <c r="AJ1343">
        <f>IFERROR(INDEX(PP_Grid[#Data],$DE1343,33),0)</f>
        <v/>
      </c>
      <c r="AK1343">
        <f>IFERROR(INDEX(PP_Grid[#Data],$DE1343,34),0)</f>
        <v/>
      </c>
      <c r="AL1343">
        <f>IFERROR(INDEX(PP_Grid[#Data],$DE1343,35),0)</f>
        <v/>
      </c>
      <c r="AM1343">
        <f>IFERROR(INDEX(PP_Grid[#Data],$DE1343,36),0)</f>
        <v/>
      </c>
      <c r="AN1343">
        <f>IFERROR(INDEX(PP_Grid[#Data],$DE1343,37),0)</f>
        <v/>
      </c>
      <c r="AO1343">
        <f>IFERROR(INDEX(PP_Grid[#Data],$DE1343,38),0)</f>
        <v/>
      </c>
      <c r="AP1343">
        <f>IFERROR(INDEX(PP_Grid[#Data],$DE1343,39),0)</f>
        <v/>
      </c>
      <c r="AQ1343">
        <f>IFERROR(INDEX(PP_Grid[#Data],$DE1343,40),0)</f>
        <v/>
      </c>
      <c r="AR1343">
        <f>IFERROR(INDEX(PP_Grid[#Data],$DE1343,41),0)</f>
        <v/>
      </c>
      <c r="AS1343">
        <f>IFERROR(INDEX(PP_Grid[#Data],$DE1343,42),0)</f>
        <v/>
      </c>
      <c r="AT1343">
        <f>IFERROR(INDEX(PP_Grid[#Data],$DE1343,43),0)</f>
        <v/>
      </c>
      <c r="AU1343">
        <f>IFERROR(INDEX(PP_Grid[#Data],$DE1343,44),0)</f>
        <v/>
      </c>
      <c r="AV1343">
        <f>IFERROR(INDEX(PP_Grid[#Data],$DE1343,45),0)</f>
        <v/>
      </c>
      <c r="AW1343">
        <f>IFERROR(INDEX(PP_Grid[#Data],$DE1343,46),0)</f>
        <v/>
      </c>
      <c r="AX1343">
        <f>IFERROR(INDEX(PP_Grid[#Data],$DE1343,47),0)</f>
        <v/>
      </c>
      <c r="AY1343">
        <f>IFERROR(INDEX(PP_Grid[#Data],$DE1343,48),0)</f>
        <v/>
      </c>
      <c r="AZ1343">
        <f>IFERROR(INDEX(PP_Grid[#Data],$DE1343,49),0)</f>
        <v/>
      </c>
      <c r="BA1343">
        <f>IFERROR(INDEX(PP_Grid[#Data],$DE1343,50),0)</f>
        <v/>
      </c>
      <c r="BB1343">
        <f>IFERROR(INDEX(PP_Grid[#Data],$DE1343,51),0)</f>
        <v/>
      </c>
      <c r="BC1343">
        <f>IFERROR(INDEX(PP_Grid[#Data],$DE1343,52),0)</f>
        <v/>
      </c>
      <c r="BD1343">
        <f>IFERROR(INDEX(PP_Grid[#Data],$DE1343,53),0)</f>
        <v/>
      </c>
      <c r="BE1343">
        <f>IFERROR(INDEX(PP_Grid[#Data],$DE1343,54),0)</f>
        <v/>
      </c>
      <c r="BF1343">
        <f>IFERROR(INDEX(PP_Grid[#Data],$DE1343,55),0)</f>
        <v/>
      </c>
      <c r="BG1343">
        <f>IFERROR(INDEX(PP_Grid[#Data],$DE1343,56),0)</f>
        <v/>
      </c>
      <c r="BH1343">
        <f>IFERROR(INDEX(PP_Grid[#Data],$DE1343,57),0)</f>
        <v/>
      </c>
      <c r="BI1343">
        <f>IFERROR(INDEX(PP_Grid[#Data],$DE1343,58),0)</f>
        <v/>
      </c>
      <c r="BJ1343">
        <f>IFERROR(INDEX(PP_Grid[#Data],$DE1343,59),0)</f>
        <v/>
      </c>
      <c r="BK1343">
        <f>IFERROR(INDEX(PP_Grid[#Data],$DE1343,60),0)</f>
        <v/>
      </c>
      <c r="BL1343">
        <f>IFERROR(INDEX(PP_Grid[#Data],$DE1343,61),0)</f>
        <v/>
      </c>
      <c r="BM1343">
        <f>IFERROR(INDEX(PP_Grid[#Data],$DE1343,62),0)</f>
        <v/>
      </c>
      <c r="BN1343">
        <f>IFERROR(INDEX(PP_Grid[#Data],$DE1343,63),0)</f>
        <v/>
      </c>
      <c r="BO1343">
        <f>IFERROR(INDEX(PP_Grid[#Data],$DE1343,64),0)</f>
        <v/>
      </c>
      <c r="BP1343">
        <f>IFERROR(INDEX(PP_Grid[#Data],$DE1343,65),0)</f>
        <v/>
      </c>
      <c r="BQ1343">
        <f>IFERROR(INDEX(PP_Grid[#Data],$DE1343,66),0)</f>
        <v/>
      </c>
      <c r="BR1343">
        <f>IFERROR(INDEX(PP_Grid[#Data],$DE1343,67),0)</f>
        <v/>
      </c>
      <c r="BS1343">
        <f>IFERROR(INDEX(PP_Grid[#Data],$DE1343,68),0)</f>
        <v/>
      </c>
      <c r="BT1343">
        <f>IFERROR(INDEX(PP_Grid[#Data],$DE1343,69),0)</f>
        <v/>
      </c>
      <c r="BU1343">
        <f>IFERROR(INDEX(PP_Grid[#Data],$DE1343,70),0)</f>
        <v/>
      </c>
      <c r="BV1343">
        <f>IFERROR(INDEX(PP_Grid[#Data],$DE1343,71),0)</f>
        <v/>
      </c>
      <c r="BW1343">
        <f>IFERROR(INDEX(PP_Grid[#Data],$DE1343,72),0)</f>
        <v/>
      </c>
      <c r="BX1343">
        <f>IFERROR(INDEX(PP_Grid[#Data],$DE1343,73),0)</f>
        <v/>
      </c>
      <c r="BY1343">
        <f>IFERROR(INDEX(PP_Grid[#Data],$DE1343,74),0)</f>
        <v/>
      </c>
      <c r="BZ1343">
        <f>IFERROR(INDEX(PP_Grid[#Data],$DE1343,75),0)</f>
        <v/>
      </c>
      <c r="CA1343">
        <f>IFERROR(INDEX(PP_Grid[#Data],$DE1343,76),0)</f>
        <v/>
      </c>
      <c r="CB1343">
        <f>IFERROR(INDEX(PP_Grid[#Data],$DE1343,77),0)</f>
        <v/>
      </c>
      <c r="CC1343">
        <f>IFERROR(INDEX(PP_Grid[#Data],$DE1343,78),0)</f>
        <v/>
      </c>
      <c r="CD1343">
        <f>IFERROR(INDEX(PP_Grid[#Data],$DE1343,79),0)</f>
        <v/>
      </c>
      <c r="CE1343">
        <f>IFERROR(INDEX(PP_Grid[#Data],$DE1343,80),0)</f>
        <v/>
      </c>
      <c r="CF1343">
        <f>IFERROR(INDEX(PP_Grid[#Data],$DE1343,81),0)</f>
        <v/>
      </c>
      <c r="CG1343">
        <f>IFERROR(INDEX(PP_Grid[#Data],$DE1343,82),0)</f>
        <v/>
      </c>
      <c r="CH1343">
        <f>IFERROR(INDEX(PP_Grid[#Data],$DE1343,83),0)</f>
        <v/>
      </c>
      <c r="CI1343">
        <f>IFERROR(INDEX(PP_Grid[#Data],$DE1343,84),0)</f>
        <v/>
      </c>
      <c r="CJ1343">
        <f>IFERROR(INDEX(PP_Grid[#Data],$DE1343,85),0)</f>
        <v/>
      </c>
      <c r="CK1343">
        <f>IFERROR(INDEX(PP_Grid[#Data],$DE1343,86),0)</f>
        <v/>
      </c>
      <c r="CL1343">
        <f>IFERROR(INDEX(PP_Grid[#Data],$DE1343,87),0)</f>
        <v/>
      </c>
      <c r="CM1343">
        <f>IFERROR(INDEX(PP_Grid[#Data],$DE1343,88),0)</f>
        <v/>
      </c>
      <c r="CN1343">
        <f>IFERROR(INDEX(PP_Grid[#Data],$DE1343,89),0)</f>
        <v/>
      </c>
      <c r="CO1343">
        <f>IFERROR(INDEX(PP_Grid[#Data],$DE1343,90),0)</f>
        <v/>
      </c>
      <c r="CP1343">
        <f>IFERROR(INDEX(PP_Grid[#Data],$DE1343,91),0)</f>
        <v/>
      </c>
      <c r="CQ1343">
        <f>IFERROR(INDEX(PP_Grid[#Data],$DE1343,92),0)</f>
        <v/>
      </c>
      <c r="CR1343">
        <f>IFERROR(INDEX(PP_Grid[#Data],$DE1343,93),0)</f>
        <v/>
      </c>
      <c r="CS1343">
        <f>IFERROR(INDEX(PP_Grid[#Data],$DE1343,94),0)</f>
        <v/>
      </c>
      <c r="CT1343">
        <f>IFERROR(INDEX(PP_Grid[#Data],$DE1343,95),0)</f>
        <v/>
      </c>
      <c r="CU1343">
        <f>IFERROR(INDEX(PP_Grid[#Data],$DE1343,96),0)</f>
        <v/>
      </c>
      <c r="CV1343">
        <f>IFERROR(INDEX(PP_Grid[#Data],$DE1343,97),0)</f>
        <v/>
      </c>
      <c r="CW1343">
        <f>IFERROR(INDEX(PP_Grid[#Data],$DE1343,98),0)</f>
        <v/>
      </c>
      <c r="CX1343">
        <f>IFERROR(INDEX(PP_Grid[#Data],$DE1343,99),0)</f>
        <v/>
      </c>
      <c r="CY1343">
        <f>IFERROR(INDEX(PP_Grid[#Data],$DE1343,100),0)</f>
        <v/>
      </c>
      <c r="CZ1343">
        <f>IFERROR(INDEX(PP_Grid[#Data],$DE1343,101),0)</f>
        <v/>
      </c>
      <c r="DA1343">
        <f>IFERROR(INDEX(PP_Grid[#Data],$DE1343,102),0)</f>
        <v/>
      </c>
      <c r="DB1343">
        <f>IFERROR(INDEX(PP_Grid[#Data],$DE1343,103),0)</f>
        <v/>
      </c>
      <c r="DC1343">
        <f>IFERROR(INDEX(PP_Grid[#Data],$DE1343,104),0)</f>
        <v/>
      </c>
      <c r="DD1343">
        <f>IFERROR(INDEX(PP_Grid[#Data],$DE1343,105),0)</f>
        <v/>
      </c>
      <c r="DE1343" s="7">
        <f>IFERROR(MATCH($B1343,PP_Grid[Intermediate],0),99999)</f>
        <v/>
      </c>
    </row>
    <row r="1344">
      <c r="B1344" t="inlineStr">
        <is>
          <t>使用量(kg)</t>
        </is>
      </c>
      <c r="C1344">
        <f>SUMIFS(M_BOM[RM_Qty_Per_Batch],M_BOM[Intermediate],$B1343,M_BOM[RM_Code],$A1326)</f>
        <v/>
      </c>
      <c r="D1344">
        <f>IFERROR(INDEX(E1344:DD1344,$F$1),"")</f>
        <v/>
      </c>
      <c r="E1344">
        <f>$C1344*E1343</f>
        <v/>
      </c>
      <c r="F1344">
        <f>$C1344*F1343</f>
        <v/>
      </c>
      <c r="G1344">
        <f>$C1344*G1343</f>
        <v/>
      </c>
      <c r="H1344">
        <f>$C1344*H1343</f>
        <v/>
      </c>
      <c r="I1344">
        <f>$C1344*I1343</f>
        <v/>
      </c>
      <c r="J1344">
        <f>$C1344*J1343</f>
        <v/>
      </c>
      <c r="K1344">
        <f>$C1344*K1343</f>
        <v/>
      </c>
      <c r="L1344">
        <f>$C1344*L1343</f>
        <v/>
      </c>
      <c r="M1344">
        <f>$C1344*M1343</f>
        <v/>
      </c>
      <c r="N1344">
        <f>$C1344*N1343</f>
        <v/>
      </c>
      <c r="O1344">
        <f>$C1344*O1343</f>
        <v/>
      </c>
      <c r="P1344">
        <f>$C1344*P1343</f>
        <v/>
      </c>
      <c r="Q1344">
        <f>$C1344*Q1343</f>
        <v/>
      </c>
      <c r="R1344">
        <f>$C1344*R1343</f>
        <v/>
      </c>
      <c r="S1344">
        <f>$C1344*S1343</f>
        <v/>
      </c>
      <c r="T1344">
        <f>$C1344*T1343</f>
        <v/>
      </c>
      <c r="U1344">
        <f>$C1344*U1343</f>
        <v/>
      </c>
      <c r="V1344">
        <f>$C1344*V1343</f>
        <v/>
      </c>
      <c r="W1344">
        <f>$C1344*W1343</f>
        <v/>
      </c>
      <c r="X1344">
        <f>$C1344*X1343</f>
        <v/>
      </c>
      <c r="Y1344">
        <f>$C1344*Y1343</f>
        <v/>
      </c>
      <c r="Z1344">
        <f>$C1344*Z1343</f>
        <v/>
      </c>
      <c r="AA1344">
        <f>$C1344*AA1343</f>
        <v/>
      </c>
      <c r="AB1344">
        <f>$C1344*AB1343</f>
        <v/>
      </c>
      <c r="AC1344">
        <f>$C1344*AC1343</f>
        <v/>
      </c>
      <c r="AD1344">
        <f>$C1344*AD1343</f>
        <v/>
      </c>
      <c r="AE1344">
        <f>$C1344*AE1343</f>
        <v/>
      </c>
      <c r="AF1344">
        <f>$C1344*AF1343</f>
        <v/>
      </c>
      <c r="AG1344">
        <f>$C1344*AG1343</f>
        <v/>
      </c>
      <c r="AH1344">
        <f>$C1344*AH1343</f>
        <v/>
      </c>
      <c r="AI1344">
        <f>$C1344*AI1343</f>
        <v/>
      </c>
      <c r="AJ1344">
        <f>$C1344*AJ1343</f>
        <v/>
      </c>
      <c r="AK1344">
        <f>$C1344*AK1343</f>
        <v/>
      </c>
      <c r="AL1344">
        <f>$C1344*AL1343</f>
        <v/>
      </c>
      <c r="AM1344">
        <f>$C1344*AM1343</f>
        <v/>
      </c>
      <c r="AN1344">
        <f>$C1344*AN1343</f>
        <v/>
      </c>
      <c r="AO1344">
        <f>$C1344*AO1343</f>
        <v/>
      </c>
      <c r="AP1344">
        <f>$C1344*AP1343</f>
        <v/>
      </c>
      <c r="AQ1344">
        <f>$C1344*AQ1343</f>
        <v/>
      </c>
      <c r="AR1344">
        <f>$C1344*AR1343</f>
        <v/>
      </c>
      <c r="AS1344">
        <f>$C1344*AS1343</f>
        <v/>
      </c>
      <c r="AT1344">
        <f>$C1344*AT1343</f>
        <v/>
      </c>
      <c r="AU1344">
        <f>$C1344*AU1343</f>
        <v/>
      </c>
      <c r="AV1344">
        <f>$C1344*AV1343</f>
        <v/>
      </c>
      <c r="AW1344">
        <f>$C1344*AW1343</f>
        <v/>
      </c>
      <c r="AX1344">
        <f>$C1344*AX1343</f>
        <v/>
      </c>
      <c r="AY1344">
        <f>$C1344*AY1343</f>
        <v/>
      </c>
      <c r="AZ1344">
        <f>$C1344*AZ1343</f>
        <v/>
      </c>
      <c r="BA1344">
        <f>$C1344*BA1343</f>
        <v/>
      </c>
      <c r="BB1344">
        <f>$C1344*BB1343</f>
        <v/>
      </c>
      <c r="BC1344">
        <f>$C1344*BC1343</f>
        <v/>
      </c>
      <c r="BD1344">
        <f>$C1344*BD1343</f>
        <v/>
      </c>
      <c r="BE1344">
        <f>$C1344*BE1343</f>
        <v/>
      </c>
      <c r="BF1344">
        <f>$C1344*BF1343</f>
        <v/>
      </c>
      <c r="BG1344">
        <f>$C1344*BG1343</f>
        <v/>
      </c>
      <c r="BH1344">
        <f>$C1344*BH1343</f>
        <v/>
      </c>
      <c r="BI1344">
        <f>$C1344*BI1343</f>
        <v/>
      </c>
      <c r="BJ1344">
        <f>$C1344*BJ1343</f>
        <v/>
      </c>
      <c r="BK1344">
        <f>$C1344*BK1343</f>
        <v/>
      </c>
      <c r="BL1344">
        <f>$C1344*BL1343</f>
        <v/>
      </c>
      <c r="BM1344">
        <f>$C1344*BM1343</f>
        <v/>
      </c>
      <c r="BN1344">
        <f>$C1344*BN1343</f>
        <v/>
      </c>
      <c r="BO1344">
        <f>$C1344*BO1343</f>
        <v/>
      </c>
      <c r="BP1344">
        <f>$C1344*BP1343</f>
        <v/>
      </c>
      <c r="BQ1344">
        <f>$C1344*BQ1343</f>
        <v/>
      </c>
      <c r="BR1344">
        <f>$C1344*BR1343</f>
        <v/>
      </c>
      <c r="BS1344">
        <f>$C1344*BS1343</f>
        <v/>
      </c>
      <c r="BT1344">
        <f>$C1344*BT1343</f>
        <v/>
      </c>
      <c r="BU1344">
        <f>$C1344*BU1343</f>
        <v/>
      </c>
      <c r="BV1344">
        <f>$C1344*BV1343</f>
        <v/>
      </c>
      <c r="BW1344">
        <f>$C1344*BW1343</f>
        <v/>
      </c>
      <c r="BX1344">
        <f>$C1344*BX1343</f>
        <v/>
      </c>
      <c r="BY1344">
        <f>$C1344*BY1343</f>
        <v/>
      </c>
      <c r="BZ1344">
        <f>$C1344*BZ1343</f>
        <v/>
      </c>
      <c r="CA1344">
        <f>$C1344*CA1343</f>
        <v/>
      </c>
      <c r="CB1344">
        <f>$C1344*CB1343</f>
        <v/>
      </c>
      <c r="CC1344">
        <f>$C1344*CC1343</f>
        <v/>
      </c>
      <c r="CD1344">
        <f>$C1344*CD1343</f>
        <v/>
      </c>
      <c r="CE1344">
        <f>$C1344*CE1343</f>
        <v/>
      </c>
      <c r="CF1344">
        <f>$C1344*CF1343</f>
        <v/>
      </c>
      <c r="CG1344">
        <f>$C1344*CG1343</f>
        <v/>
      </c>
      <c r="CH1344">
        <f>$C1344*CH1343</f>
        <v/>
      </c>
      <c r="CI1344">
        <f>$C1344*CI1343</f>
        <v/>
      </c>
      <c r="CJ1344">
        <f>$C1344*CJ1343</f>
        <v/>
      </c>
      <c r="CK1344">
        <f>$C1344*CK1343</f>
        <v/>
      </c>
      <c r="CL1344">
        <f>$C1344*CL1343</f>
        <v/>
      </c>
      <c r="CM1344">
        <f>$C1344*CM1343</f>
        <v/>
      </c>
      <c r="CN1344">
        <f>$C1344*CN1343</f>
        <v/>
      </c>
      <c r="CO1344">
        <f>$C1344*CO1343</f>
        <v/>
      </c>
      <c r="CP1344">
        <f>$C1344*CP1343</f>
        <v/>
      </c>
      <c r="CQ1344">
        <f>$C1344*CQ1343</f>
        <v/>
      </c>
      <c r="CR1344">
        <f>$C1344*CR1343</f>
        <v/>
      </c>
      <c r="CS1344">
        <f>$C1344*CS1343</f>
        <v/>
      </c>
      <c r="CT1344">
        <f>$C1344*CT1343</f>
        <v/>
      </c>
      <c r="CU1344">
        <f>$C1344*CU1343</f>
        <v/>
      </c>
      <c r="CV1344">
        <f>$C1344*CV1343</f>
        <v/>
      </c>
      <c r="CW1344">
        <f>$C1344*CW1343</f>
        <v/>
      </c>
      <c r="CX1344">
        <f>$C1344*CX1343</f>
        <v/>
      </c>
      <c r="CY1344">
        <f>$C1344*CY1343</f>
        <v/>
      </c>
      <c r="CZ1344">
        <f>$C1344*CZ1343</f>
        <v/>
      </c>
      <c r="DA1344">
        <f>$C1344*DA1343</f>
        <v/>
      </c>
      <c r="DB1344">
        <f>$C1344*DB1343</f>
        <v/>
      </c>
      <c r="DC1344">
        <f>$C1344*DC1343</f>
        <v/>
      </c>
      <c r="DD1344">
        <f>$C1344*DD1343</f>
        <v/>
      </c>
    </row>
    <row r="1345">
      <c r="B1345" t="inlineStr">
        <is>
          <t>TSP-937</t>
        </is>
      </c>
      <c r="C1345" t="inlineStr">
        <is>
          <t>No. of batches</t>
        </is>
      </c>
      <c r="D1345">
        <f>IFERROR(INDEX(E1345:DD1345,$F$1),"")</f>
        <v/>
      </c>
      <c r="E1345">
        <f>IFERROR(INDEX(PP_Grid[#Data],$DE1345,2),0)</f>
        <v/>
      </c>
      <c r="F1345">
        <f>IFERROR(INDEX(PP_Grid[#Data],$DE1345,3),0)</f>
        <v/>
      </c>
      <c r="G1345">
        <f>IFERROR(INDEX(PP_Grid[#Data],$DE1345,4),0)</f>
        <v/>
      </c>
      <c r="H1345">
        <f>IFERROR(INDEX(PP_Grid[#Data],$DE1345,5),0)</f>
        <v/>
      </c>
      <c r="I1345">
        <f>IFERROR(INDEX(PP_Grid[#Data],$DE1345,6),0)</f>
        <v/>
      </c>
      <c r="J1345">
        <f>IFERROR(INDEX(PP_Grid[#Data],$DE1345,7),0)</f>
        <v/>
      </c>
      <c r="K1345">
        <f>IFERROR(INDEX(PP_Grid[#Data],$DE1345,8),0)</f>
        <v/>
      </c>
      <c r="L1345">
        <f>IFERROR(INDEX(PP_Grid[#Data],$DE1345,9),0)</f>
        <v/>
      </c>
      <c r="M1345">
        <f>IFERROR(INDEX(PP_Grid[#Data],$DE1345,10),0)</f>
        <v/>
      </c>
      <c r="N1345">
        <f>IFERROR(INDEX(PP_Grid[#Data],$DE1345,11),0)</f>
        <v/>
      </c>
      <c r="O1345">
        <f>IFERROR(INDEX(PP_Grid[#Data],$DE1345,12),0)</f>
        <v/>
      </c>
      <c r="P1345">
        <f>IFERROR(INDEX(PP_Grid[#Data],$DE1345,13),0)</f>
        <v/>
      </c>
      <c r="Q1345">
        <f>IFERROR(INDEX(PP_Grid[#Data],$DE1345,14),0)</f>
        <v/>
      </c>
      <c r="R1345">
        <f>IFERROR(INDEX(PP_Grid[#Data],$DE1345,15),0)</f>
        <v/>
      </c>
      <c r="S1345">
        <f>IFERROR(INDEX(PP_Grid[#Data],$DE1345,16),0)</f>
        <v/>
      </c>
      <c r="T1345">
        <f>IFERROR(INDEX(PP_Grid[#Data],$DE1345,17),0)</f>
        <v/>
      </c>
      <c r="U1345">
        <f>IFERROR(INDEX(PP_Grid[#Data],$DE1345,18),0)</f>
        <v/>
      </c>
      <c r="V1345">
        <f>IFERROR(INDEX(PP_Grid[#Data],$DE1345,19),0)</f>
        <v/>
      </c>
      <c r="W1345">
        <f>IFERROR(INDEX(PP_Grid[#Data],$DE1345,20),0)</f>
        <v/>
      </c>
      <c r="X1345">
        <f>IFERROR(INDEX(PP_Grid[#Data],$DE1345,21),0)</f>
        <v/>
      </c>
      <c r="Y1345">
        <f>IFERROR(INDEX(PP_Grid[#Data],$DE1345,22),0)</f>
        <v/>
      </c>
      <c r="Z1345">
        <f>IFERROR(INDEX(PP_Grid[#Data],$DE1345,23),0)</f>
        <v/>
      </c>
      <c r="AA1345">
        <f>IFERROR(INDEX(PP_Grid[#Data],$DE1345,24),0)</f>
        <v/>
      </c>
      <c r="AB1345">
        <f>IFERROR(INDEX(PP_Grid[#Data],$DE1345,25),0)</f>
        <v/>
      </c>
      <c r="AC1345">
        <f>IFERROR(INDEX(PP_Grid[#Data],$DE1345,26),0)</f>
        <v/>
      </c>
      <c r="AD1345">
        <f>IFERROR(INDEX(PP_Grid[#Data],$DE1345,27),0)</f>
        <v/>
      </c>
      <c r="AE1345">
        <f>IFERROR(INDEX(PP_Grid[#Data],$DE1345,28),0)</f>
        <v/>
      </c>
      <c r="AF1345">
        <f>IFERROR(INDEX(PP_Grid[#Data],$DE1345,29),0)</f>
        <v/>
      </c>
      <c r="AG1345">
        <f>IFERROR(INDEX(PP_Grid[#Data],$DE1345,30),0)</f>
        <v/>
      </c>
      <c r="AH1345">
        <f>IFERROR(INDEX(PP_Grid[#Data],$DE1345,31),0)</f>
        <v/>
      </c>
      <c r="AI1345">
        <f>IFERROR(INDEX(PP_Grid[#Data],$DE1345,32),0)</f>
        <v/>
      </c>
      <c r="AJ1345">
        <f>IFERROR(INDEX(PP_Grid[#Data],$DE1345,33),0)</f>
        <v/>
      </c>
      <c r="AK1345">
        <f>IFERROR(INDEX(PP_Grid[#Data],$DE1345,34),0)</f>
        <v/>
      </c>
      <c r="AL1345">
        <f>IFERROR(INDEX(PP_Grid[#Data],$DE1345,35),0)</f>
        <v/>
      </c>
      <c r="AM1345">
        <f>IFERROR(INDEX(PP_Grid[#Data],$DE1345,36),0)</f>
        <v/>
      </c>
      <c r="AN1345">
        <f>IFERROR(INDEX(PP_Grid[#Data],$DE1345,37),0)</f>
        <v/>
      </c>
      <c r="AO1345">
        <f>IFERROR(INDEX(PP_Grid[#Data],$DE1345,38),0)</f>
        <v/>
      </c>
      <c r="AP1345">
        <f>IFERROR(INDEX(PP_Grid[#Data],$DE1345,39),0)</f>
        <v/>
      </c>
      <c r="AQ1345">
        <f>IFERROR(INDEX(PP_Grid[#Data],$DE1345,40),0)</f>
        <v/>
      </c>
      <c r="AR1345">
        <f>IFERROR(INDEX(PP_Grid[#Data],$DE1345,41),0)</f>
        <v/>
      </c>
      <c r="AS1345">
        <f>IFERROR(INDEX(PP_Grid[#Data],$DE1345,42),0)</f>
        <v/>
      </c>
      <c r="AT1345">
        <f>IFERROR(INDEX(PP_Grid[#Data],$DE1345,43),0)</f>
        <v/>
      </c>
      <c r="AU1345">
        <f>IFERROR(INDEX(PP_Grid[#Data],$DE1345,44),0)</f>
        <v/>
      </c>
      <c r="AV1345">
        <f>IFERROR(INDEX(PP_Grid[#Data],$DE1345,45),0)</f>
        <v/>
      </c>
      <c r="AW1345">
        <f>IFERROR(INDEX(PP_Grid[#Data],$DE1345,46),0)</f>
        <v/>
      </c>
      <c r="AX1345">
        <f>IFERROR(INDEX(PP_Grid[#Data],$DE1345,47),0)</f>
        <v/>
      </c>
      <c r="AY1345">
        <f>IFERROR(INDEX(PP_Grid[#Data],$DE1345,48),0)</f>
        <v/>
      </c>
      <c r="AZ1345">
        <f>IFERROR(INDEX(PP_Grid[#Data],$DE1345,49),0)</f>
        <v/>
      </c>
      <c r="BA1345">
        <f>IFERROR(INDEX(PP_Grid[#Data],$DE1345,50),0)</f>
        <v/>
      </c>
      <c r="BB1345">
        <f>IFERROR(INDEX(PP_Grid[#Data],$DE1345,51),0)</f>
        <v/>
      </c>
      <c r="BC1345">
        <f>IFERROR(INDEX(PP_Grid[#Data],$DE1345,52),0)</f>
        <v/>
      </c>
      <c r="BD1345">
        <f>IFERROR(INDEX(PP_Grid[#Data],$DE1345,53),0)</f>
        <v/>
      </c>
      <c r="BE1345">
        <f>IFERROR(INDEX(PP_Grid[#Data],$DE1345,54),0)</f>
        <v/>
      </c>
      <c r="BF1345">
        <f>IFERROR(INDEX(PP_Grid[#Data],$DE1345,55),0)</f>
        <v/>
      </c>
      <c r="BG1345">
        <f>IFERROR(INDEX(PP_Grid[#Data],$DE1345,56),0)</f>
        <v/>
      </c>
      <c r="BH1345">
        <f>IFERROR(INDEX(PP_Grid[#Data],$DE1345,57),0)</f>
        <v/>
      </c>
      <c r="BI1345">
        <f>IFERROR(INDEX(PP_Grid[#Data],$DE1345,58),0)</f>
        <v/>
      </c>
      <c r="BJ1345">
        <f>IFERROR(INDEX(PP_Grid[#Data],$DE1345,59),0)</f>
        <v/>
      </c>
      <c r="BK1345">
        <f>IFERROR(INDEX(PP_Grid[#Data],$DE1345,60),0)</f>
        <v/>
      </c>
      <c r="BL1345">
        <f>IFERROR(INDEX(PP_Grid[#Data],$DE1345,61),0)</f>
        <v/>
      </c>
      <c r="BM1345">
        <f>IFERROR(INDEX(PP_Grid[#Data],$DE1345,62),0)</f>
        <v/>
      </c>
      <c r="BN1345">
        <f>IFERROR(INDEX(PP_Grid[#Data],$DE1345,63),0)</f>
        <v/>
      </c>
      <c r="BO1345">
        <f>IFERROR(INDEX(PP_Grid[#Data],$DE1345,64),0)</f>
        <v/>
      </c>
      <c r="BP1345">
        <f>IFERROR(INDEX(PP_Grid[#Data],$DE1345,65),0)</f>
        <v/>
      </c>
      <c r="BQ1345">
        <f>IFERROR(INDEX(PP_Grid[#Data],$DE1345,66),0)</f>
        <v/>
      </c>
      <c r="BR1345">
        <f>IFERROR(INDEX(PP_Grid[#Data],$DE1345,67),0)</f>
        <v/>
      </c>
      <c r="BS1345">
        <f>IFERROR(INDEX(PP_Grid[#Data],$DE1345,68),0)</f>
        <v/>
      </c>
      <c r="BT1345">
        <f>IFERROR(INDEX(PP_Grid[#Data],$DE1345,69),0)</f>
        <v/>
      </c>
      <c r="BU1345">
        <f>IFERROR(INDEX(PP_Grid[#Data],$DE1345,70),0)</f>
        <v/>
      </c>
      <c r="BV1345">
        <f>IFERROR(INDEX(PP_Grid[#Data],$DE1345,71),0)</f>
        <v/>
      </c>
      <c r="BW1345">
        <f>IFERROR(INDEX(PP_Grid[#Data],$DE1345,72),0)</f>
        <v/>
      </c>
      <c r="BX1345">
        <f>IFERROR(INDEX(PP_Grid[#Data],$DE1345,73),0)</f>
        <v/>
      </c>
      <c r="BY1345">
        <f>IFERROR(INDEX(PP_Grid[#Data],$DE1345,74),0)</f>
        <v/>
      </c>
      <c r="BZ1345">
        <f>IFERROR(INDEX(PP_Grid[#Data],$DE1345,75),0)</f>
        <v/>
      </c>
      <c r="CA1345">
        <f>IFERROR(INDEX(PP_Grid[#Data],$DE1345,76),0)</f>
        <v/>
      </c>
      <c r="CB1345">
        <f>IFERROR(INDEX(PP_Grid[#Data],$DE1345,77),0)</f>
        <v/>
      </c>
      <c r="CC1345">
        <f>IFERROR(INDEX(PP_Grid[#Data],$DE1345,78),0)</f>
        <v/>
      </c>
      <c r="CD1345">
        <f>IFERROR(INDEX(PP_Grid[#Data],$DE1345,79),0)</f>
        <v/>
      </c>
      <c r="CE1345">
        <f>IFERROR(INDEX(PP_Grid[#Data],$DE1345,80),0)</f>
        <v/>
      </c>
      <c r="CF1345">
        <f>IFERROR(INDEX(PP_Grid[#Data],$DE1345,81),0)</f>
        <v/>
      </c>
      <c r="CG1345">
        <f>IFERROR(INDEX(PP_Grid[#Data],$DE1345,82),0)</f>
        <v/>
      </c>
      <c r="CH1345">
        <f>IFERROR(INDEX(PP_Grid[#Data],$DE1345,83),0)</f>
        <v/>
      </c>
      <c r="CI1345">
        <f>IFERROR(INDEX(PP_Grid[#Data],$DE1345,84),0)</f>
        <v/>
      </c>
      <c r="CJ1345">
        <f>IFERROR(INDEX(PP_Grid[#Data],$DE1345,85),0)</f>
        <v/>
      </c>
      <c r="CK1345">
        <f>IFERROR(INDEX(PP_Grid[#Data],$DE1345,86),0)</f>
        <v/>
      </c>
      <c r="CL1345">
        <f>IFERROR(INDEX(PP_Grid[#Data],$DE1345,87),0)</f>
        <v/>
      </c>
      <c r="CM1345">
        <f>IFERROR(INDEX(PP_Grid[#Data],$DE1345,88),0)</f>
        <v/>
      </c>
      <c r="CN1345">
        <f>IFERROR(INDEX(PP_Grid[#Data],$DE1345,89),0)</f>
        <v/>
      </c>
      <c r="CO1345">
        <f>IFERROR(INDEX(PP_Grid[#Data],$DE1345,90),0)</f>
        <v/>
      </c>
      <c r="CP1345">
        <f>IFERROR(INDEX(PP_Grid[#Data],$DE1345,91),0)</f>
        <v/>
      </c>
      <c r="CQ1345">
        <f>IFERROR(INDEX(PP_Grid[#Data],$DE1345,92),0)</f>
        <v/>
      </c>
      <c r="CR1345">
        <f>IFERROR(INDEX(PP_Grid[#Data],$DE1345,93),0)</f>
        <v/>
      </c>
      <c r="CS1345">
        <f>IFERROR(INDEX(PP_Grid[#Data],$DE1345,94),0)</f>
        <v/>
      </c>
      <c r="CT1345">
        <f>IFERROR(INDEX(PP_Grid[#Data],$DE1345,95),0)</f>
        <v/>
      </c>
      <c r="CU1345">
        <f>IFERROR(INDEX(PP_Grid[#Data],$DE1345,96),0)</f>
        <v/>
      </c>
      <c r="CV1345">
        <f>IFERROR(INDEX(PP_Grid[#Data],$DE1345,97),0)</f>
        <v/>
      </c>
      <c r="CW1345">
        <f>IFERROR(INDEX(PP_Grid[#Data],$DE1345,98),0)</f>
        <v/>
      </c>
      <c r="CX1345">
        <f>IFERROR(INDEX(PP_Grid[#Data],$DE1345,99),0)</f>
        <v/>
      </c>
      <c r="CY1345">
        <f>IFERROR(INDEX(PP_Grid[#Data],$DE1345,100),0)</f>
        <v/>
      </c>
      <c r="CZ1345">
        <f>IFERROR(INDEX(PP_Grid[#Data],$DE1345,101),0)</f>
        <v/>
      </c>
      <c r="DA1345">
        <f>IFERROR(INDEX(PP_Grid[#Data],$DE1345,102),0)</f>
        <v/>
      </c>
      <c r="DB1345">
        <f>IFERROR(INDEX(PP_Grid[#Data],$DE1345,103),0)</f>
        <v/>
      </c>
      <c r="DC1345">
        <f>IFERROR(INDEX(PP_Grid[#Data],$DE1345,104),0)</f>
        <v/>
      </c>
      <c r="DD1345">
        <f>IFERROR(INDEX(PP_Grid[#Data],$DE1345,105),0)</f>
        <v/>
      </c>
      <c r="DE1345" s="7">
        <f>IFERROR(MATCH($B1345,PP_Grid[Intermediate],0),99999)</f>
        <v/>
      </c>
    </row>
    <row r="1346">
      <c r="B1346" t="inlineStr">
        <is>
          <t>使用量(kg)</t>
        </is>
      </c>
      <c r="C1346">
        <f>SUMIFS(M_BOM[RM_Qty_Per_Batch],M_BOM[Intermediate],$B1345,M_BOM[RM_Code],$A1326)</f>
        <v/>
      </c>
      <c r="D1346">
        <f>IFERROR(INDEX(E1346:DD1346,$F$1),"")</f>
        <v/>
      </c>
      <c r="E1346">
        <f>$C1346*E1345</f>
        <v/>
      </c>
      <c r="F1346">
        <f>$C1346*F1345</f>
        <v/>
      </c>
      <c r="G1346">
        <f>$C1346*G1345</f>
        <v/>
      </c>
      <c r="H1346">
        <f>$C1346*H1345</f>
        <v/>
      </c>
      <c r="I1346">
        <f>$C1346*I1345</f>
        <v/>
      </c>
      <c r="J1346">
        <f>$C1346*J1345</f>
        <v/>
      </c>
      <c r="K1346">
        <f>$C1346*K1345</f>
        <v/>
      </c>
      <c r="L1346">
        <f>$C1346*L1345</f>
        <v/>
      </c>
      <c r="M1346">
        <f>$C1346*M1345</f>
        <v/>
      </c>
      <c r="N1346">
        <f>$C1346*N1345</f>
        <v/>
      </c>
      <c r="O1346">
        <f>$C1346*O1345</f>
        <v/>
      </c>
      <c r="P1346">
        <f>$C1346*P1345</f>
        <v/>
      </c>
      <c r="Q1346">
        <f>$C1346*Q1345</f>
        <v/>
      </c>
      <c r="R1346">
        <f>$C1346*R1345</f>
        <v/>
      </c>
      <c r="S1346">
        <f>$C1346*S1345</f>
        <v/>
      </c>
      <c r="T1346">
        <f>$C1346*T1345</f>
        <v/>
      </c>
      <c r="U1346">
        <f>$C1346*U1345</f>
        <v/>
      </c>
      <c r="V1346">
        <f>$C1346*V1345</f>
        <v/>
      </c>
      <c r="W1346">
        <f>$C1346*W1345</f>
        <v/>
      </c>
      <c r="X1346">
        <f>$C1346*X1345</f>
        <v/>
      </c>
      <c r="Y1346">
        <f>$C1346*Y1345</f>
        <v/>
      </c>
      <c r="Z1346">
        <f>$C1346*Z1345</f>
        <v/>
      </c>
      <c r="AA1346">
        <f>$C1346*AA1345</f>
        <v/>
      </c>
      <c r="AB1346">
        <f>$C1346*AB1345</f>
        <v/>
      </c>
      <c r="AC1346">
        <f>$C1346*AC1345</f>
        <v/>
      </c>
      <c r="AD1346">
        <f>$C1346*AD1345</f>
        <v/>
      </c>
      <c r="AE1346">
        <f>$C1346*AE1345</f>
        <v/>
      </c>
      <c r="AF1346">
        <f>$C1346*AF1345</f>
        <v/>
      </c>
      <c r="AG1346">
        <f>$C1346*AG1345</f>
        <v/>
      </c>
      <c r="AH1346">
        <f>$C1346*AH1345</f>
        <v/>
      </c>
      <c r="AI1346">
        <f>$C1346*AI1345</f>
        <v/>
      </c>
      <c r="AJ1346">
        <f>$C1346*AJ1345</f>
        <v/>
      </c>
      <c r="AK1346">
        <f>$C1346*AK1345</f>
        <v/>
      </c>
      <c r="AL1346">
        <f>$C1346*AL1345</f>
        <v/>
      </c>
      <c r="AM1346">
        <f>$C1346*AM1345</f>
        <v/>
      </c>
      <c r="AN1346">
        <f>$C1346*AN1345</f>
        <v/>
      </c>
      <c r="AO1346">
        <f>$C1346*AO1345</f>
        <v/>
      </c>
      <c r="AP1346">
        <f>$C1346*AP1345</f>
        <v/>
      </c>
      <c r="AQ1346">
        <f>$C1346*AQ1345</f>
        <v/>
      </c>
      <c r="AR1346">
        <f>$C1346*AR1345</f>
        <v/>
      </c>
      <c r="AS1346">
        <f>$C1346*AS1345</f>
        <v/>
      </c>
      <c r="AT1346">
        <f>$C1346*AT1345</f>
        <v/>
      </c>
      <c r="AU1346">
        <f>$C1346*AU1345</f>
        <v/>
      </c>
      <c r="AV1346">
        <f>$C1346*AV1345</f>
        <v/>
      </c>
      <c r="AW1346">
        <f>$C1346*AW1345</f>
        <v/>
      </c>
      <c r="AX1346">
        <f>$C1346*AX1345</f>
        <v/>
      </c>
      <c r="AY1346">
        <f>$C1346*AY1345</f>
        <v/>
      </c>
      <c r="AZ1346">
        <f>$C1346*AZ1345</f>
        <v/>
      </c>
      <c r="BA1346">
        <f>$C1346*BA1345</f>
        <v/>
      </c>
      <c r="BB1346">
        <f>$C1346*BB1345</f>
        <v/>
      </c>
      <c r="BC1346">
        <f>$C1346*BC1345</f>
        <v/>
      </c>
      <c r="BD1346">
        <f>$C1346*BD1345</f>
        <v/>
      </c>
      <c r="BE1346">
        <f>$C1346*BE1345</f>
        <v/>
      </c>
      <c r="BF1346">
        <f>$C1346*BF1345</f>
        <v/>
      </c>
      <c r="BG1346">
        <f>$C1346*BG1345</f>
        <v/>
      </c>
      <c r="BH1346">
        <f>$C1346*BH1345</f>
        <v/>
      </c>
      <c r="BI1346">
        <f>$C1346*BI1345</f>
        <v/>
      </c>
      <c r="BJ1346">
        <f>$C1346*BJ1345</f>
        <v/>
      </c>
      <c r="BK1346">
        <f>$C1346*BK1345</f>
        <v/>
      </c>
      <c r="BL1346">
        <f>$C1346*BL1345</f>
        <v/>
      </c>
      <c r="BM1346">
        <f>$C1346*BM1345</f>
        <v/>
      </c>
      <c r="BN1346">
        <f>$C1346*BN1345</f>
        <v/>
      </c>
      <c r="BO1346">
        <f>$C1346*BO1345</f>
        <v/>
      </c>
      <c r="BP1346">
        <f>$C1346*BP1345</f>
        <v/>
      </c>
      <c r="BQ1346">
        <f>$C1346*BQ1345</f>
        <v/>
      </c>
      <c r="BR1346">
        <f>$C1346*BR1345</f>
        <v/>
      </c>
      <c r="BS1346">
        <f>$C1346*BS1345</f>
        <v/>
      </c>
      <c r="BT1346">
        <f>$C1346*BT1345</f>
        <v/>
      </c>
      <c r="BU1346">
        <f>$C1346*BU1345</f>
        <v/>
      </c>
      <c r="BV1346">
        <f>$C1346*BV1345</f>
        <v/>
      </c>
      <c r="BW1346">
        <f>$C1346*BW1345</f>
        <v/>
      </c>
      <c r="BX1346">
        <f>$C1346*BX1345</f>
        <v/>
      </c>
      <c r="BY1346">
        <f>$C1346*BY1345</f>
        <v/>
      </c>
      <c r="BZ1346">
        <f>$C1346*BZ1345</f>
        <v/>
      </c>
      <c r="CA1346">
        <f>$C1346*CA1345</f>
        <v/>
      </c>
      <c r="CB1346">
        <f>$C1346*CB1345</f>
        <v/>
      </c>
      <c r="CC1346">
        <f>$C1346*CC1345</f>
        <v/>
      </c>
      <c r="CD1346">
        <f>$C1346*CD1345</f>
        <v/>
      </c>
      <c r="CE1346">
        <f>$C1346*CE1345</f>
        <v/>
      </c>
      <c r="CF1346">
        <f>$C1346*CF1345</f>
        <v/>
      </c>
      <c r="CG1346">
        <f>$C1346*CG1345</f>
        <v/>
      </c>
      <c r="CH1346">
        <f>$C1346*CH1345</f>
        <v/>
      </c>
      <c r="CI1346">
        <f>$C1346*CI1345</f>
        <v/>
      </c>
      <c r="CJ1346">
        <f>$C1346*CJ1345</f>
        <v/>
      </c>
      <c r="CK1346">
        <f>$C1346*CK1345</f>
        <v/>
      </c>
      <c r="CL1346">
        <f>$C1346*CL1345</f>
        <v/>
      </c>
      <c r="CM1346">
        <f>$C1346*CM1345</f>
        <v/>
      </c>
      <c r="CN1346">
        <f>$C1346*CN1345</f>
        <v/>
      </c>
      <c r="CO1346">
        <f>$C1346*CO1345</f>
        <v/>
      </c>
      <c r="CP1346">
        <f>$C1346*CP1345</f>
        <v/>
      </c>
      <c r="CQ1346">
        <f>$C1346*CQ1345</f>
        <v/>
      </c>
      <c r="CR1346">
        <f>$C1346*CR1345</f>
        <v/>
      </c>
      <c r="CS1346">
        <f>$C1346*CS1345</f>
        <v/>
      </c>
      <c r="CT1346">
        <f>$C1346*CT1345</f>
        <v/>
      </c>
      <c r="CU1346">
        <f>$C1346*CU1345</f>
        <v/>
      </c>
      <c r="CV1346">
        <f>$C1346*CV1345</f>
        <v/>
      </c>
      <c r="CW1346">
        <f>$C1346*CW1345</f>
        <v/>
      </c>
      <c r="CX1346">
        <f>$C1346*CX1345</f>
        <v/>
      </c>
      <c r="CY1346">
        <f>$C1346*CY1345</f>
        <v/>
      </c>
      <c r="CZ1346">
        <f>$C1346*CZ1345</f>
        <v/>
      </c>
      <c r="DA1346">
        <f>$C1346*DA1345</f>
        <v/>
      </c>
      <c r="DB1346">
        <f>$C1346*DB1345</f>
        <v/>
      </c>
      <c r="DC1346">
        <f>$C1346*DC1345</f>
        <v/>
      </c>
      <c r="DD1346">
        <f>$C1346*DD1345</f>
        <v/>
      </c>
    </row>
    <row r="1347">
      <c r="B1347" t="inlineStr">
        <is>
          <t>TSP-1444</t>
        </is>
      </c>
      <c r="C1347" t="inlineStr">
        <is>
          <t>No. of batches</t>
        </is>
      </c>
      <c r="D1347">
        <f>IFERROR(INDEX(E1347:DD1347,$F$1),"")</f>
        <v/>
      </c>
      <c r="E1347">
        <f>IFERROR(INDEX(PP_Grid[#Data],$DE1347,2),0)</f>
        <v/>
      </c>
      <c r="F1347">
        <f>IFERROR(INDEX(PP_Grid[#Data],$DE1347,3),0)</f>
        <v/>
      </c>
      <c r="G1347">
        <f>IFERROR(INDEX(PP_Grid[#Data],$DE1347,4),0)</f>
        <v/>
      </c>
      <c r="H1347">
        <f>IFERROR(INDEX(PP_Grid[#Data],$DE1347,5),0)</f>
        <v/>
      </c>
      <c r="I1347">
        <f>IFERROR(INDEX(PP_Grid[#Data],$DE1347,6),0)</f>
        <v/>
      </c>
      <c r="J1347">
        <f>IFERROR(INDEX(PP_Grid[#Data],$DE1347,7),0)</f>
        <v/>
      </c>
      <c r="K1347">
        <f>IFERROR(INDEX(PP_Grid[#Data],$DE1347,8),0)</f>
        <v/>
      </c>
      <c r="L1347">
        <f>IFERROR(INDEX(PP_Grid[#Data],$DE1347,9),0)</f>
        <v/>
      </c>
      <c r="M1347">
        <f>IFERROR(INDEX(PP_Grid[#Data],$DE1347,10),0)</f>
        <v/>
      </c>
      <c r="N1347">
        <f>IFERROR(INDEX(PP_Grid[#Data],$DE1347,11),0)</f>
        <v/>
      </c>
      <c r="O1347">
        <f>IFERROR(INDEX(PP_Grid[#Data],$DE1347,12),0)</f>
        <v/>
      </c>
      <c r="P1347">
        <f>IFERROR(INDEX(PP_Grid[#Data],$DE1347,13),0)</f>
        <v/>
      </c>
      <c r="Q1347">
        <f>IFERROR(INDEX(PP_Grid[#Data],$DE1347,14),0)</f>
        <v/>
      </c>
      <c r="R1347">
        <f>IFERROR(INDEX(PP_Grid[#Data],$DE1347,15),0)</f>
        <v/>
      </c>
      <c r="S1347">
        <f>IFERROR(INDEX(PP_Grid[#Data],$DE1347,16),0)</f>
        <v/>
      </c>
      <c r="T1347">
        <f>IFERROR(INDEX(PP_Grid[#Data],$DE1347,17),0)</f>
        <v/>
      </c>
      <c r="U1347">
        <f>IFERROR(INDEX(PP_Grid[#Data],$DE1347,18),0)</f>
        <v/>
      </c>
      <c r="V1347">
        <f>IFERROR(INDEX(PP_Grid[#Data],$DE1347,19),0)</f>
        <v/>
      </c>
      <c r="W1347">
        <f>IFERROR(INDEX(PP_Grid[#Data],$DE1347,20),0)</f>
        <v/>
      </c>
      <c r="X1347">
        <f>IFERROR(INDEX(PP_Grid[#Data],$DE1347,21),0)</f>
        <v/>
      </c>
      <c r="Y1347">
        <f>IFERROR(INDEX(PP_Grid[#Data],$DE1347,22),0)</f>
        <v/>
      </c>
      <c r="Z1347">
        <f>IFERROR(INDEX(PP_Grid[#Data],$DE1347,23),0)</f>
        <v/>
      </c>
      <c r="AA1347">
        <f>IFERROR(INDEX(PP_Grid[#Data],$DE1347,24),0)</f>
        <v/>
      </c>
      <c r="AB1347">
        <f>IFERROR(INDEX(PP_Grid[#Data],$DE1347,25),0)</f>
        <v/>
      </c>
      <c r="AC1347">
        <f>IFERROR(INDEX(PP_Grid[#Data],$DE1347,26),0)</f>
        <v/>
      </c>
      <c r="AD1347">
        <f>IFERROR(INDEX(PP_Grid[#Data],$DE1347,27),0)</f>
        <v/>
      </c>
      <c r="AE1347">
        <f>IFERROR(INDEX(PP_Grid[#Data],$DE1347,28),0)</f>
        <v/>
      </c>
      <c r="AF1347">
        <f>IFERROR(INDEX(PP_Grid[#Data],$DE1347,29),0)</f>
        <v/>
      </c>
      <c r="AG1347">
        <f>IFERROR(INDEX(PP_Grid[#Data],$DE1347,30),0)</f>
        <v/>
      </c>
      <c r="AH1347">
        <f>IFERROR(INDEX(PP_Grid[#Data],$DE1347,31),0)</f>
        <v/>
      </c>
      <c r="AI1347">
        <f>IFERROR(INDEX(PP_Grid[#Data],$DE1347,32),0)</f>
        <v/>
      </c>
      <c r="AJ1347">
        <f>IFERROR(INDEX(PP_Grid[#Data],$DE1347,33),0)</f>
        <v/>
      </c>
      <c r="AK1347">
        <f>IFERROR(INDEX(PP_Grid[#Data],$DE1347,34),0)</f>
        <v/>
      </c>
      <c r="AL1347">
        <f>IFERROR(INDEX(PP_Grid[#Data],$DE1347,35),0)</f>
        <v/>
      </c>
      <c r="AM1347">
        <f>IFERROR(INDEX(PP_Grid[#Data],$DE1347,36),0)</f>
        <v/>
      </c>
      <c r="AN1347">
        <f>IFERROR(INDEX(PP_Grid[#Data],$DE1347,37),0)</f>
        <v/>
      </c>
      <c r="AO1347">
        <f>IFERROR(INDEX(PP_Grid[#Data],$DE1347,38),0)</f>
        <v/>
      </c>
      <c r="AP1347">
        <f>IFERROR(INDEX(PP_Grid[#Data],$DE1347,39),0)</f>
        <v/>
      </c>
      <c r="AQ1347">
        <f>IFERROR(INDEX(PP_Grid[#Data],$DE1347,40),0)</f>
        <v/>
      </c>
      <c r="AR1347">
        <f>IFERROR(INDEX(PP_Grid[#Data],$DE1347,41),0)</f>
        <v/>
      </c>
      <c r="AS1347">
        <f>IFERROR(INDEX(PP_Grid[#Data],$DE1347,42),0)</f>
        <v/>
      </c>
      <c r="AT1347">
        <f>IFERROR(INDEX(PP_Grid[#Data],$DE1347,43),0)</f>
        <v/>
      </c>
      <c r="AU1347">
        <f>IFERROR(INDEX(PP_Grid[#Data],$DE1347,44),0)</f>
        <v/>
      </c>
      <c r="AV1347">
        <f>IFERROR(INDEX(PP_Grid[#Data],$DE1347,45),0)</f>
        <v/>
      </c>
      <c r="AW1347">
        <f>IFERROR(INDEX(PP_Grid[#Data],$DE1347,46),0)</f>
        <v/>
      </c>
      <c r="AX1347">
        <f>IFERROR(INDEX(PP_Grid[#Data],$DE1347,47),0)</f>
        <v/>
      </c>
      <c r="AY1347">
        <f>IFERROR(INDEX(PP_Grid[#Data],$DE1347,48),0)</f>
        <v/>
      </c>
      <c r="AZ1347">
        <f>IFERROR(INDEX(PP_Grid[#Data],$DE1347,49),0)</f>
        <v/>
      </c>
      <c r="BA1347">
        <f>IFERROR(INDEX(PP_Grid[#Data],$DE1347,50),0)</f>
        <v/>
      </c>
      <c r="BB1347">
        <f>IFERROR(INDEX(PP_Grid[#Data],$DE1347,51),0)</f>
        <v/>
      </c>
      <c r="BC1347">
        <f>IFERROR(INDEX(PP_Grid[#Data],$DE1347,52),0)</f>
        <v/>
      </c>
      <c r="BD1347">
        <f>IFERROR(INDEX(PP_Grid[#Data],$DE1347,53),0)</f>
        <v/>
      </c>
      <c r="BE1347">
        <f>IFERROR(INDEX(PP_Grid[#Data],$DE1347,54),0)</f>
        <v/>
      </c>
      <c r="BF1347">
        <f>IFERROR(INDEX(PP_Grid[#Data],$DE1347,55),0)</f>
        <v/>
      </c>
      <c r="BG1347">
        <f>IFERROR(INDEX(PP_Grid[#Data],$DE1347,56),0)</f>
        <v/>
      </c>
      <c r="BH1347">
        <f>IFERROR(INDEX(PP_Grid[#Data],$DE1347,57),0)</f>
        <v/>
      </c>
      <c r="BI1347">
        <f>IFERROR(INDEX(PP_Grid[#Data],$DE1347,58),0)</f>
        <v/>
      </c>
      <c r="BJ1347">
        <f>IFERROR(INDEX(PP_Grid[#Data],$DE1347,59),0)</f>
        <v/>
      </c>
      <c r="BK1347">
        <f>IFERROR(INDEX(PP_Grid[#Data],$DE1347,60),0)</f>
        <v/>
      </c>
      <c r="BL1347">
        <f>IFERROR(INDEX(PP_Grid[#Data],$DE1347,61),0)</f>
        <v/>
      </c>
      <c r="BM1347">
        <f>IFERROR(INDEX(PP_Grid[#Data],$DE1347,62),0)</f>
        <v/>
      </c>
      <c r="BN1347">
        <f>IFERROR(INDEX(PP_Grid[#Data],$DE1347,63),0)</f>
        <v/>
      </c>
      <c r="BO1347">
        <f>IFERROR(INDEX(PP_Grid[#Data],$DE1347,64),0)</f>
        <v/>
      </c>
      <c r="BP1347">
        <f>IFERROR(INDEX(PP_Grid[#Data],$DE1347,65),0)</f>
        <v/>
      </c>
      <c r="BQ1347">
        <f>IFERROR(INDEX(PP_Grid[#Data],$DE1347,66),0)</f>
        <v/>
      </c>
      <c r="BR1347">
        <f>IFERROR(INDEX(PP_Grid[#Data],$DE1347,67),0)</f>
        <v/>
      </c>
      <c r="BS1347">
        <f>IFERROR(INDEX(PP_Grid[#Data],$DE1347,68),0)</f>
        <v/>
      </c>
      <c r="BT1347">
        <f>IFERROR(INDEX(PP_Grid[#Data],$DE1347,69),0)</f>
        <v/>
      </c>
      <c r="BU1347">
        <f>IFERROR(INDEX(PP_Grid[#Data],$DE1347,70),0)</f>
        <v/>
      </c>
      <c r="BV1347">
        <f>IFERROR(INDEX(PP_Grid[#Data],$DE1347,71),0)</f>
        <v/>
      </c>
      <c r="BW1347">
        <f>IFERROR(INDEX(PP_Grid[#Data],$DE1347,72),0)</f>
        <v/>
      </c>
      <c r="BX1347">
        <f>IFERROR(INDEX(PP_Grid[#Data],$DE1347,73),0)</f>
        <v/>
      </c>
      <c r="BY1347">
        <f>IFERROR(INDEX(PP_Grid[#Data],$DE1347,74),0)</f>
        <v/>
      </c>
      <c r="BZ1347">
        <f>IFERROR(INDEX(PP_Grid[#Data],$DE1347,75),0)</f>
        <v/>
      </c>
      <c r="CA1347">
        <f>IFERROR(INDEX(PP_Grid[#Data],$DE1347,76),0)</f>
        <v/>
      </c>
      <c r="CB1347">
        <f>IFERROR(INDEX(PP_Grid[#Data],$DE1347,77),0)</f>
        <v/>
      </c>
      <c r="CC1347">
        <f>IFERROR(INDEX(PP_Grid[#Data],$DE1347,78),0)</f>
        <v/>
      </c>
      <c r="CD1347">
        <f>IFERROR(INDEX(PP_Grid[#Data],$DE1347,79),0)</f>
        <v/>
      </c>
      <c r="CE1347">
        <f>IFERROR(INDEX(PP_Grid[#Data],$DE1347,80),0)</f>
        <v/>
      </c>
      <c r="CF1347">
        <f>IFERROR(INDEX(PP_Grid[#Data],$DE1347,81),0)</f>
        <v/>
      </c>
      <c r="CG1347">
        <f>IFERROR(INDEX(PP_Grid[#Data],$DE1347,82),0)</f>
        <v/>
      </c>
      <c r="CH1347">
        <f>IFERROR(INDEX(PP_Grid[#Data],$DE1347,83),0)</f>
        <v/>
      </c>
      <c r="CI1347">
        <f>IFERROR(INDEX(PP_Grid[#Data],$DE1347,84),0)</f>
        <v/>
      </c>
      <c r="CJ1347">
        <f>IFERROR(INDEX(PP_Grid[#Data],$DE1347,85),0)</f>
        <v/>
      </c>
      <c r="CK1347">
        <f>IFERROR(INDEX(PP_Grid[#Data],$DE1347,86),0)</f>
        <v/>
      </c>
      <c r="CL1347">
        <f>IFERROR(INDEX(PP_Grid[#Data],$DE1347,87),0)</f>
        <v/>
      </c>
      <c r="CM1347">
        <f>IFERROR(INDEX(PP_Grid[#Data],$DE1347,88),0)</f>
        <v/>
      </c>
      <c r="CN1347">
        <f>IFERROR(INDEX(PP_Grid[#Data],$DE1347,89),0)</f>
        <v/>
      </c>
      <c r="CO1347">
        <f>IFERROR(INDEX(PP_Grid[#Data],$DE1347,90),0)</f>
        <v/>
      </c>
      <c r="CP1347">
        <f>IFERROR(INDEX(PP_Grid[#Data],$DE1347,91),0)</f>
        <v/>
      </c>
      <c r="CQ1347">
        <f>IFERROR(INDEX(PP_Grid[#Data],$DE1347,92),0)</f>
        <v/>
      </c>
      <c r="CR1347">
        <f>IFERROR(INDEX(PP_Grid[#Data],$DE1347,93),0)</f>
        <v/>
      </c>
      <c r="CS1347">
        <f>IFERROR(INDEX(PP_Grid[#Data],$DE1347,94),0)</f>
        <v/>
      </c>
      <c r="CT1347">
        <f>IFERROR(INDEX(PP_Grid[#Data],$DE1347,95),0)</f>
        <v/>
      </c>
      <c r="CU1347">
        <f>IFERROR(INDEX(PP_Grid[#Data],$DE1347,96),0)</f>
        <v/>
      </c>
      <c r="CV1347">
        <f>IFERROR(INDEX(PP_Grid[#Data],$DE1347,97),0)</f>
        <v/>
      </c>
      <c r="CW1347">
        <f>IFERROR(INDEX(PP_Grid[#Data],$DE1347,98),0)</f>
        <v/>
      </c>
      <c r="CX1347">
        <f>IFERROR(INDEX(PP_Grid[#Data],$DE1347,99),0)</f>
        <v/>
      </c>
      <c r="CY1347">
        <f>IFERROR(INDEX(PP_Grid[#Data],$DE1347,100),0)</f>
        <v/>
      </c>
      <c r="CZ1347">
        <f>IFERROR(INDEX(PP_Grid[#Data],$DE1347,101),0)</f>
        <v/>
      </c>
      <c r="DA1347">
        <f>IFERROR(INDEX(PP_Grid[#Data],$DE1347,102),0)</f>
        <v/>
      </c>
      <c r="DB1347">
        <f>IFERROR(INDEX(PP_Grid[#Data],$DE1347,103),0)</f>
        <v/>
      </c>
      <c r="DC1347">
        <f>IFERROR(INDEX(PP_Grid[#Data],$DE1347,104),0)</f>
        <v/>
      </c>
      <c r="DD1347">
        <f>IFERROR(INDEX(PP_Grid[#Data],$DE1347,105),0)</f>
        <v/>
      </c>
      <c r="DE1347" s="7">
        <f>IFERROR(MATCH($B1347,PP_Grid[Intermediate],0),99999)</f>
        <v/>
      </c>
    </row>
    <row r="1348">
      <c r="B1348" t="inlineStr">
        <is>
          <t>使用量(kg)</t>
        </is>
      </c>
      <c r="C1348">
        <f>SUMIFS(M_BOM[RM_Qty_Per_Batch],M_BOM[Intermediate],$B1347,M_BOM[RM_Code],$A1326)</f>
        <v/>
      </c>
      <c r="D1348">
        <f>IFERROR(INDEX(E1348:DD1348,$F$1),"")</f>
        <v/>
      </c>
      <c r="E1348">
        <f>$C1348*E1347</f>
        <v/>
      </c>
      <c r="F1348">
        <f>$C1348*F1347</f>
        <v/>
      </c>
      <c r="G1348">
        <f>$C1348*G1347</f>
        <v/>
      </c>
      <c r="H1348">
        <f>$C1348*H1347</f>
        <v/>
      </c>
      <c r="I1348">
        <f>$C1348*I1347</f>
        <v/>
      </c>
      <c r="J1348">
        <f>$C1348*J1347</f>
        <v/>
      </c>
      <c r="K1348">
        <f>$C1348*K1347</f>
        <v/>
      </c>
      <c r="L1348">
        <f>$C1348*L1347</f>
        <v/>
      </c>
      <c r="M1348">
        <f>$C1348*M1347</f>
        <v/>
      </c>
      <c r="N1348">
        <f>$C1348*N1347</f>
        <v/>
      </c>
      <c r="O1348">
        <f>$C1348*O1347</f>
        <v/>
      </c>
      <c r="P1348">
        <f>$C1348*P1347</f>
        <v/>
      </c>
      <c r="Q1348">
        <f>$C1348*Q1347</f>
        <v/>
      </c>
      <c r="R1348">
        <f>$C1348*R1347</f>
        <v/>
      </c>
      <c r="S1348">
        <f>$C1348*S1347</f>
        <v/>
      </c>
      <c r="T1348">
        <f>$C1348*T1347</f>
        <v/>
      </c>
      <c r="U1348">
        <f>$C1348*U1347</f>
        <v/>
      </c>
      <c r="V1348">
        <f>$C1348*V1347</f>
        <v/>
      </c>
      <c r="W1348">
        <f>$C1348*W1347</f>
        <v/>
      </c>
      <c r="X1348">
        <f>$C1348*X1347</f>
        <v/>
      </c>
      <c r="Y1348">
        <f>$C1348*Y1347</f>
        <v/>
      </c>
      <c r="Z1348">
        <f>$C1348*Z1347</f>
        <v/>
      </c>
      <c r="AA1348">
        <f>$C1348*AA1347</f>
        <v/>
      </c>
      <c r="AB1348">
        <f>$C1348*AB1347</f>
        <v/>
      </c>
      <c r="AC1348">
        <f>$C1348*AC1347</f>
        <v/>
      </c>
      <c r="AD1348">
        <f>$C1348*AD1347</f>
        <v/>
      </c>
      <c r="AE1348">
        <f>$C1348*AE1347</f>
        <v/>
      </c>
      <c r="AF1348">
        <f>$C1348*AF1347</f>
        <v/>
      </c>
      <c r="AG1348">
        <f>$C1348*AG1347</f>
        <v/>
      </c>
      <c r="AH1348">
        <f>$C1348*AH1347</f>
        <v/>
      </c>
      <c r="AI1348">
        <f>$C1348*AI1347</f>
        <v/>
      </c>
      <c r="AJ1348">
        <f>$C1348*AJ1347</f>
        <v/>
      </c>
      <c r="AK1348">
        <f>$C1348*AK1347</f>
        <v/>
      </c>
      <c r="AL1348">
        <f>$C1348*AL1347</f>
        <v/>
      </c>
      <c r="AM1348">
        <f>$C1348*AM1347</f>
        <v/>
      </c>
      <c r="AN1348">
        <f>$C1348*AN1347</f>
        <v/>
      </c>
      <c r="AO1348">
        <f>$C1348*AO1347</f>
        <v/>
      </c>
      <c r="AP1348">
        <f>$C1348*AP1347</f>
        <v/>
      </c>
      <c r="AQ1348">
        <f>$C1348*AQ1347</f>
        <v/>
      </c>
      <c r="AR1348">
        <f>$C1348*AR1347</f>
        <v/>
      </c>
      <c r="AS1348">
        <f>$C1348*AS1347</f>
        <v/>
      </c>
      <c r="AT1348">
        <f>$C1348*AT1347</f>
        <v/>
      </c>
      <c r="AU1348">
        <f>$C1348*AU1347</f>
        <v/>
      </c>
      <c r="AV1348">
        <f>$C1348*AV1347</f>
        <v/>
      </c>
      <c r="AW1348">
        <f>$C1348*AW1347</f>
        <v/>
      </c>
      <c r="AX1348">
        <f>$C1348*AX1347</f>
        <v/>
      </c>
      <c r="AY1348">
        <f>$C1348*AY1347</f>
        <v/>
      </c>
      <c r="AZ1348">
        <f>$C1348*AZ1347</f>
        <v/>
      </c>
      <c r="BA1348">
        <f>$C1348*BA1347</f>
        <v/>
      </c>
      <c r="BB1348">
        <f>$C1348*BB1347</f>
        <v/>
      </c>
      <c r="BC1348">
        <f>$C1348*BC1347</f>
        <v/>
      </c>
      <c r="BD1348">
        <f>$C1348*BD1347</f>
        <v/>
      </c>
      <c r="BE1348">
        <f>$C1348*BE1347</f>
        <v/>
      </c>
      <c r="BF1348">
        <f>$C1348*BF1347</f>
        <v/>
      </c>
      <c r="BG1348">
        <f>$C1348*BG1347</f>
        <v/>
      </c>
      <c r="BH1348">
        <f>$C1348*BH1347</f>
        <v/>
      </c>
      <c r="BI1348">
        <f>$C1348*BI1347</f>
        <v/>
      </c>
      <c r="BJ1348">
        <f>$C1348*BJ1347</f>
        <v/>
      </c>
      <c r="BK1348">
        <f>$C1348*BK1347</f>
        <v/>
      </c>
      <c r="BL1348">
        <f>$C1348*BL1347</f>
        <v/>
      </c>
      <c r="BM1348">
        <f>$C1348*BM1347</f>
        <v/>
      </c>
      <c r="BN1348">
        <f>$C1348*BN1347</f>
        <v/>
      </c>
      <c r="BO1348">
        <f>$C1348*BO1347</f>
        <v/>
      </c>
      <c r="BP1348">
        <f>$C1348*BP1347</f>
        <v/>
      </c>
      <c r="BQ1348">
        <f>$C1348*BQ1347</f>
        <v/>
      </c>
      <c r="BR1348">
        <f>$C1348*BR1347</f>
        <v/>
      </c>
      <c r="BS1348">
        <f>$C1348*BS1347</f>
        <v/>
      </c>
      <c r="BT1348">
        <f>$C1348*BT1347</f>
        <v/>
      </c>
      <c r="BU1348">
        <f>$C1348*BU1347</f>
        <v/>
      </c>
      <c r="BV1348">
        <f>$C1348*BV1347</f>
        <v/>
      </c>
      <c r="BW1348">
        <f>$C1348*BW1347</f>
        <v/>
      </c>
      <c r="BX1348">
        <f>$C1348*BX1347</f>
        <v/>
      </c>
      <c r="BY1348">
        <f>$C1348*BY1347</f>
        <v/>
      </c>
      <c r="BZ1348">
        <f>$C1348*BZ1347</f>
        <v/>
      </c>
      <c r="CA1348">
        <f>$C1348*CA1347</f>
        <v/>
      </c>
      <c r="CB1348">
        <f>$C1348*CB1347</f>
        <v/>
      </c>
      <c r="CC1348">
        <f>$C1348*CC1347</f>
        <v/>
      </c>
      <c r="CD1348">
        <f>$C1348*CD1347</f>
        <v/>
      </c>
      <c r="CE1348">
        <f>$C1348*CE1347</f>
        <v/>
      </c>
      <c r="CF1348">
        <f>$C1348*CF1347</f>
        <v/>
      </c>
      <c r="CG1348">
        <f>$C1348*CG1347</f>
        <v/>
      </c>
      <c r="CH1348">
        <f>$C1348*CH1347</f>
        <v/>
      </c>
      <c r="CI1348">
        <f>$C1348*CI1347</f>
        <v/>
      </c>
      <c r="CJ1348">
        <f>$C1348*CJ1347</f>
        <v/>
      </c>
      <c r="CK1348">
        <f>$C1348*CK1347</f>
        <v/>
      </c>
      <c r="CL1348">
        <f>$C1348*CL1347</f>
        <v/>
      </c>
      <c r="CM1348">
        <f>$C1348*CM1347</f>
        <v/>
      </c>
      <c r="CN1348">
        <f>$C1348*CN1347</f>
        <v/>
      </c>
      <c r="CO1348">
        <f>$C1348*CO1347</f>
        <v/>
      </c>
      <c r="CP1348">
        <f>$C1348*CP1347</f>
        <v/>
      </c>
      <c r="CQ1348">
        <f>$C1348*CQ1347</f>
        <v/>
      </c>
      <c r="CR1348">
        <f>$C1348*CR1347</f>
        <v/>
      </c>
      <c r="CS1348">
        <f>$C1348*CS1347</f>
        <v/>
      </c>
      <c r="CT1348">
        <f>$C1348*CT1347</f>
        <v/>
      </c>
      <c r="CU1348">
        <f>$C1348*CU1347</f>
        <v/>
      </c>
      <c r="CV1348">
        <f>$C1348*CV1347</f>
        <v/>
      </c>
      <c r="CW1348">
        <f>$C1348*CW1347</f>
        <v/>
      </c>
      <c r="CX1348">
        <f>$C1348*CX1347</f>
        <v/>
      </c>
      <c r="CY1348">
        <f>$C1348*CY1347</f>
        <v/>
      </c>
      <c r="CZ1348">
        <f>$C1348*CZ1347</f>
        <v/>
      </c>
      <c r="DA1348">
        <f>$C1348*DA1347</f>
        <v/>
      </c>
      <c r="DB1348">
        <f>$C1348*DB1347</f>
        <v/>
      </c>
      <c r="DC1348">
        <f>$C1348*DC1347</f>
        <v/>
      </c>
      <c r="DD1348">
        <f>$C1348*DD1347</f>
        <v/>
      </c>
    </row>
    <row r="1349">
      <c r="B1349" t="inlineStr">
        <is>
          <t>TSP-1448</t>
        </is>
      </c>
      <c r="C1349" t="inlineStr">
        <is>
          <t>No. of batches</t>
        </is>
      </c>
      <c r="D1349">
        <f>IFERROR(INDEX(E1349:DD1349,$F$1),"")</f>
        <v/>
      </c>
      <c r="E1349">
        <f>IFERROR(INDEX(PP_Grid[#Data],$DE1349,2),0)</f>
        <v/>
      </c>
      <c r="F1349">
        <f>IFERROR(INDEX(PP_Grid[#Data],$DE1349,3),0)</f>
        <v/>
      </c>
      <c r="G1349">
        <f>IFERROR(INDEX(PP_Grid[#Data],$DE1349,4),0)</f>
        <v/>
      </c>
      <c r="H1349">
        <f>IFERROR(INDEX(PP_Grid[#Data],$DE1349,5),0)</f>
        <v/>
      </c>
      <c r="I1349">
        <f>IFERROR(INDEX(PP_Grid[#Data],$DE1349,6),0)</f>
        <v/>
      </c>
      <c r="J1349">
        <f>IFERROR(INDEX(PP_Grid[#Data],$DE1349,7),0)</f>
        <v/>
      </c>
      <c r="K1349">
        <f>IFERROR(INDEX(PP_Grid[#Data],$DE1349,8),0)</f>
        <v/>
      </c>
      <c r="L1349">
        <f>IFERROR(INDEX(PP_Grid[#Data],$DE1349,9),0)</f>
        <v/>
      </c>
      <c r="M1349">
        <f>IFERROR(INDEX(PP_Grid[#Data],$DE1349,10),0)</f>
        <v/>
      </c>
      <c r="N1349">
        <f>IFERROR(INDEX(PP_Grid[#Data],$DE1349,11),0)</f>
        <v/>
      </c>
      <c r="O1349">
        <f>IFERROR(INDEX(PP_Grid[#Data],$DE1349,12),0)</f>
        <v/>
      </c>
      <c r="P1349">
        <f>IFERROR(INDEX(PP_Grid[#Data],$DE1349,13),0)</f>
        <v/>
      </c>
      <c r="Q1349">
        <f>IFERROR(INDEX(PP_Grid[#Data],$DE1349,14),0)</f>
        <v/>
      </c>
      <c r="R1349">
        <f>IFERROR(INDEX(PP_Grid[#Data],$DE1349,15),0)</f>
        <v/>
      </c>
      <c r="S1349">
        <f>IFERROR(INDEX(PP_Grid[#Data],$DE1349,16),0)</f>
        <v/>
      </c>
      <c r="T1349">
        <f>IFERROR(INDEX(PP_Grid[#Data],$DE1349,17),0)</f>
        <v/>
      </c>
      <c r="U1349">
        <f>IFERROR(INDEX(PP_Grid[#Data],$DE1349,18),0)</f>
        <v/>
      </c>
      <c r="V1349">
        <f>IFERROR(INDEX(PP_Grid[#Data],$DE1349,19),0)</f>
        <v/>
      </c>
      <c r="W1349">
        <f>IFERROR(INDEX(PP_Grid[#Data],$DE1349,20),0)</f>
        <v/>
      </c>
      <c r="X1349">
        <f>IFERROR(INDEX(PP_Grid[#Data],$DE1349,21),0)</f>
        <v/>
      </c>
      <c r="Y1349">
        <f>IFERROR(INDEX(PP_Grid[#Data],$DE1349,22),0)</f>
        <v/>
      </c>
      <c r="Z1349">
        <f>IFERROR(INDEX(PP_Grid[#Data],$DE1349,23),0)</f>
        <v/>
      </c>
      <c r="AA1349">
        <f>IFERROR(INDEX(PP_Grid[#Data],$DE1349,24),0)</f>
        <v/>
      </c>
      <c r="AB1349">
        <f>IFERROR(INDEX(PP_Grid[#Data],$DE1349,25),0)</f>
        <v/>
      </c>
      <c r="AC1349">
        <f>IFERROR(INDEX(PP_Grid[#Data],$DE1349,26),0)</f>
        <v/>
      </c>
      <c r="AD1349">
        <f>IFERROR(INDEX(PP_Grid[#Data],$DE1349,27),0)</f>
        <v/>
      </c>
      <c r="AE1349">
        <f>IFERROR(INDEX(PP_Grid[#Data],$DE1349,28),0)</f>
        <v/>
      </c>
      <c r="AF1349">
        <f>IFERROR(INDEX(PP_Grid[#Data],$DE1349,29),0)</f>
        <v/>
      </c>
      <c r="AG1349">
        <f>IFERROR(INDEX(PP_Grid[#Data],$DE1349,30),0)</f>
        <v/>
      </c>
      <c r="AH1349">
        <f>IFERROR(INDEX(PP_Grid[#Data],$DE1349,31),0)</f>
        <v/>
      </c>
      <c r="AI1349">
        <f>IFERROR(INDEX(PP_Grid[#Data],$DE1349,32),0)</f>
        <v/>
      </c>
      <c r="AJ1349">
        <f>IFERROR(INDEX(PP_Grid[#Data],$DE1349,33),0)</f>
        <v/>
      </c>
      <c r="AK1349">
        <f>IFERROR(INDEX(PP_Grid[#Data],$DE1349,34),0)</f>
        <v/>
      </c>
      <c r="AL1349">
        <f>IFERROR(INDEX(PP_Grid[#Data],$DE1349,35),0)</f>
        <v/>
      </c>
      <c r="AM1349">
        <f>IFERROR(INDEX(PP_Grid[#Data],$DE1349,36),0)</f>
        <v/>
      </c>
      <c r="AN1349">
        <f>IFERROR(INDEX(PP_Grid[#Data],$DE1349,37),0)</f>
        <v/>
      </c>
      <c r="AO1349">
        <f>IFERROR(INDEX(PP_Grid[#Data],$DE1349,38),0)</f>
        <v/>
      </c>
      <c r="AP1349">
        <f>IFERROR(INDEX(PP_Grid[#Data],$DE1349,39),0)</f>
        <v/>
      </c>
      <c r="AQ1349">
        <f>IFERROR(INDEX(PP_Grid[#Data],$DE1349,40),0)</f>
        <v/>
      </c>
      <c r="AR1349">
        <f>IFERROR(INDEX(PP_Grid[#Data],$DE1349,41),0)</f>
        <v/>
      </c>
      <c r="AS1349">
        <f>IFERROR(INDEX(PP_Grid[#Data],$DE1349,42),0)</f>
        <v/>
      </c>
      <c r="AT1349">
        <f>IFERROR(INDEX(PP_Grid[#Data],$DE1349,43),0)</f>
        <v/>
      </c>
      <c r="AU1349">
        <f>IFERROR(INDEX(PP_Grid[#Data],$DE1349,44),0)</f>
        <v/>
      </c>
      <c r="AV1349">
        <f>IFERROR(INDEX(PP_Grid[#Data],$DE1349,45),0)</f>
        <v/>
      </c>
      <c r="AW1349">
        <f>IFERROR(INDEX(PP_Grid[#Data],$DE1349,46),0)</f>
        <v/>
      </c>
      <c r="AX1349">
        <f>IFERROR(INDEX(PP_Grid[#Data],$DE1349,47),0)</f>
        <v/>
      </c>
      <c r="AY1349">
        <f>IFERROR(INDEX(PP_Grid[#Data],$DE1349,48),0)</f>
        <v/>
      </c>
      <c r="AZ1349">
        <f>IFERROR(INDEX(PP_Grid[#Data],$DE1349,49),0)</f>
        <v/>
      </c>
      <c r="BA1349">
        <f>IFERROR(INDEX(PP_Grid[#Data],$DE1349,50),0)</f>
        <v/>
      </c>
      <c r="BB1349">
        <f>IFERROR(INDEX(PP_Grid[#Data],$DE1349,51),0)</f>
        <v/>
      </c>
      <c r="BC1349">
        <f>IFERROR(INDEX(PP_Grid[#Data],$DE1349,52),0)</f>
        <v/>
      </c>
      <c r="BD1349">
        <f>IFERROR(INDEX(PP_Grid[#Data],$DE1349,53),0)</f>
        <v/>
      </c>
      <c r="BE1349">
        <f>IFERROR(INDEX(PP_Grid[#Data],$DE1349,54),0)</f>
        <v/>
      </c>
      <c r="BF1349">
        <f>IFERROR(INDEX(PP_Grid[#Data],$DE1349,55),0)</f>
        <v/>
      </c>
      <c r="BG1349">
        <f>IFERROR(INDEX(PP_Grid[#Data],$DE1349,56),0)</f>
        <v/>
      </c>
      <c r="BH1349">
        <f>IFERROR(INDEX(PP_Grid[#Data],$DE1349,57),0)</f>
        <v/>
      </c>
      <c r="BI1349">
        <f>IFERROR(INDEX(PP_Grid[#Data],$DE1349,58),0)</f>
        <v/>
      </c>
      <c r="BJ1349">
        <f>IFERROR(INDEX(PP_Grid[#Data],$DE1349,59),0)</f>
        <v/>
      </c>
      <c r="BK1349">
        <f>IFERROR(INDEX(PP_Grid[#Data],$DE1349,60),0)</f>
        <v/>
      </c>
      <c r="BL1349">
        <f>IFERROR(INDEX(PP_Grid[#Data],$DE1349,61),0)</f>
        <v/>
      </c>
      <c r="BM1349">
        <f>IFERROR(INDEX(PP_Grid[#Data],$DE1349,62),0)</f>
        <v/>
      </c>
      <c r="BN1349">
        <f>IFERROR(INDEX(PP_Grid[#Data],$DE1349,63),0)</f>
        <v/>
      </c>
      <c r="BO1349">
        <f>IFERROR(INDEX(PP_Grid[#Data],$DE1349,64),0)</f>
        <v/>
      </c>
      <c r="BP1349">
        <f>IFERROR(INDEX(PP_Grid[#Data],$DE1349,65),0)</f>
        <v/>
      </c>
      <c r="BQ1349">
        <f>IFERROR(INDEX(PP_Grid[#Data],$DE1349,66),0)</f>
        <v/>
      </c>
      <c r="BR1349">
        <f>IFERROR(INDEX(PP_Grid[#Data],$DE1349,67),0)</f>
        <v/>
      </c>
      <c r="BS1349">
        <f>IFERROR(INDEX(PP_Grid[#Data],$DE1349,68),0)</f>
        <v/>
      </c>
      <c r="BT1349">
        <f>IFERROR(INDEX(PP_Grid[#Data],$DE1349,69),0)</f>
        <v/>
      </c>
      <c r="BU1349">
        <f>IFERROR(INDEX(PP_Grid[#Data],$DE1349,70),0)</f>
        <v/>
      </c>
      <c r="BV1349">
        <f>IFERROR(INDEX(PP_Grid[#Data],$DE1349,71),0)</f>
        <v/>
      </c>
      <c r="BW1349">
        <f>IFERROR(INDEX(PP_Grid[#Data],$DE1349,72),0)</f>
        <v/>
      </c>
      <c r="BX1349">
        <f>IFERROR(INDEX(PP_Grid[#Data],$DE1349,73),0)</f>
        <v/>
      </c>
      <c r="BY1349">
        <f>IFERROR(INDEX(PP_Grid[#Data],$DE1349,74),0)</f>
        <v/>
      </c>
      <c r="BZ1349">
        <f>IFERROR(INDEX(PP_Grid[#Data],$DE1349,75),0)</f>
        <v/>
      </c>
      <c r="CA1349">
        <f>IFERROR(INDEX(PP_Grid[#Data],$DE1349,76),0)</f>
        <v/>
      </c>
      <c r="CB1349">
        <f>IFERROR(INDEX(PP_Grid[#Data],$DE1349,77),0)</f>
        <v/>
      </c>
      <c r="CC1349">
        <f>IFERROR(INDEX(PP_Grid[#Data],$DE1349,78),0)</f>
        <v/>
      </c>
      <c r="CD1349">
        <f>IFERROR(INDEX(PP_Grid[#Data],$DE1349,79),0)</f>
        <v/>
      </c>
      <c r="CE1349">
        <f>IFERROR(INDEX(PP_Grid[#Data],$DE1349,80),0)</f>
        <v/>
      </c>
      <c r="CF1349">
        <f>IFERROR(INDEX(PP_Grid[#Data],$DE1349,81),0)</f>
        <v/>
      </c>
      <c r="CG1349">
        <f>IFERROR(INDEX(PP_Grid[#Data],$DE1349,82),0)</f>
        <v/>
      </c>
      <c r="CH1349">
        <f>IFERROR(INDEX(PP_Grid[#Data],$DE1349,83),0)</f>
        <v/>
      </c>
      <c r="CI1349">
        <f>IFERROR(INDEX(PP_Grid[#Data],$DE1349,84),0)</f>
        <v/>
      </c>
      <c r="CJ1349">
        <f>IFERROR(INDEX(PP_Grid[#Data],$DE1349,85),0)</f>
        <v/>
      </c>
      <c r="CK1349">
        <f>IFERROR(INDEX(PP_Grid[#Data],$DE1349,86),0)</f>
        <v/>
      </c>
      <c r="CL1349">
        <f>IFERROR(INDEX(PP_Grid[#Data],$DE1349,87),0)</f>
        <v/>
      </c>
      <c r="CM1349">
        <f>IFERROR(INDEX(PP_Grid[#Data],$DE1349,88),0)</f>
        <v/>
      </c>
      <c r="CN1349">
        <f>IFERROR(INDEX(PP_Grid[#Data],$DE1349,89),0)</f>
        <v/>
      </c>
      <c r="CO1349">
        <f>IFERROR(INDEX(PP_Grid[#Data],$DE1349,90),0)</f>
        <v/>
      </c>
      <c r="CP1349">
        <f>IFERROR(INDEX(PP_Grid[#Data],$DE1349,91),0)</f>
        <v/>
      </c>
      <c r="CQ1349">
        <f>IFERROR(INDEX(PP_Grid[#Data],$DE1349,92),0)</f>
        <v/>
      </c>
      <c r="CR1349">
        <f>IFERROR(INDEX(PP_Grid[#Data],$DE1349,93),0)</f>
        <v/>
      </c>
      <c r="CS1349">
        <f>IFERROR(INDEX(PP_Grid[#Data],$DE1349,94),0)</f>
        <v/>
      </c>
      <c r="CT1349">
        <f>IFERROR(INDEX(PP_Grid[#Data],$DE1349,95),0)</f>
        <v/>
      </c>
      <c r="CU1349">
        <f>IFERROR(INDEX(PP_Grid[#Data],$DE1349,96),0)</f>
        <v/>
      </c>
      <c r="CV1349">
        <f>IFERROR(INDEX(PP_Grid[#Data],$DE1349,97),0)</f>
        <v/>
      </c>
      <c r="CW1349">
        <f>IFERROR(INDEX(PP_Grid[#Data],$DE1349,98),0)</f>
        <v/>
      </c>
      <c r="CX1349">
        <f>IFERROR(INDEX(PP_Grid[#Data],$DE1349,99),0)</f>
        <v/>
      </c>
      <c r="CY1349">
        <f>IFERROR(INDEX(PP_Grid[#Data],$DE1349,100),0)</f>
        <v/>
      </c>
      <c r="CZ1349">
        <f>IFERROR(INDEX(PP_Grid[#Data],$DE1349,101),0)</f>
        <v/>
      </c>
      <c r="DA1349">
        <f>IFERROR(INDEX(PP_Grid[#Data],$DE1349,102),0)</f>
        <v/>
      </c>
      <c r="DB1349">
        <f>IFERROR(INDEX(PP_Grid[#Data],$DE1349,103),0)</f>
        <v/>
      </c>
      <c r="DC1349">
        <f>IFERROR(INDEX(PP_Grid[#Data],$DE1349,104),0)</f>
        <v/>
      </c>
      <c r="DD1349">
        <f>IFERROR(INDEX(PP_Grid[#Data],$DE1349,105),0)</f>
        <v/>
      </c>
      <c r="DE1349" s="7">
        <f>IFERROR(MATCH($B1349,PP_Grid[Intermediate],0),99999)</f>
        <v/>
      </c>
    </row>
    <row r="1350">
      <c r="B1350" t="inlineStr">
        <is>
          <t>使用量(kg)</t>
        </is>
      </c>
      <c r="C1350">
        <f>SUMIFS(M_BOM[RM_Qty_Per_Batch],M_BOM[Intermediate],$B1349,M_BOM[RM_Code],$A1326)</f>
        <v/>
      </c>
      <c r="D1350">
        <f>IFERROR(INDEX(E1350:DD1350,$F$1),"")</f>
        <v/>
      </c>
      <c r="E1350">
        <f>$C1350*E1349</f>
        <v/>
      </c>
      <c r="F1350">
        <f>$C1350*F1349</f>
        <v/>
      </c>
      <c r="G1350">
        <f>$C1350*G1349</f>
        <v/>
      </c>
      <c r="H1350">
        <f>$C1350*H1349</f>
        <v/>
      </c>
      <c r="I1350">
        <f>$C1350*I1349</f>
        <v/>
      </c>
      <c r="J1350">
        <f>$C1350*J1349</f>
        <v/>
      </c>
      <c r="K1350">
        <f>$C1350*K1349</f>
        <v/>
      </c>
      <c r="L1350">
        <f>$C1350*L1349</f>
        <v/>
      </c>
      <c r="M1350">
        <f>$C1350*M1349</f>
        <v/>
      </c>
      <c r="N1350">
        <f>$C1350*N1349</f>
        <v/>
      </c>
      <c r="O1350">
        <f>$C1350*O1349</f>
        <v/>
      </c>
      <c r="P1350">
        <f>$C1350*P1349</f>
        <v/>
      </c>
      <c r="Q1350">
        <f>$C1350*Q1349</f>
        <v/>
      </c>
      <c r="R1350">
        <f>$C1350*R1349</f>
        <v/>
      </c>
      <c r="S1350">
        <f>$C1350*S1349</f>
        <v/>
      </c>
      <c r="T1350">
        <f>$C1350*T1349</f>
        <v/>
      </c>
      <c r="U1350">
        <f>$C1350*U1349</f>
        <v/>
      </c>
      <c r="V1350">
        <f>$C1350*V1349</f>
        <v/>
      </c>
      <c r="W1350">
        <f>$C1350*W1349</f>
        <v/>
      </c>
      <c r="X1350">
        <f>$C1350*X1349</f>
        <v/>
      </c>
      <c r="Y1350">
        <f>$C1350*Y1349</f>
        <v/>
      </c>
      <c r="Z1350">
        <f>$C1350*Z1349</f>
        <v/>
      </c>
      <c r="AA1350">
        <f>$C1350*AA1349</f>
        <v/>
      </c>
      <c r="AB1350">
        <f>$C1350*AB1349</f>
        <v/>
      </c>
      <c r="AC1350">
        <f>$C1350*AC1349</f>
        <v/>
      </c>
      <c r="AD1350">
        <f>$C1350*AD1349</f>
        <v/>
      </c>
      <c r="AE1350">
        <f>$C1350*AE1349</f>
        <v/>
      </c>
      <c r="AF1350">
        <f>$C1350*AF1349</f>
        <v/>
      </c>
      <c r="AG1350">
        <f>$C1350*AG1349</f>
        <v/>
      </c>
      <c r="AH1350">
        <f>$C1350*AH1349</f>
        <v/>
      </c>
      <c r="AI1350">
        <f>$C1350*AI1349</f>
        <v/>
      </c>
      <c r="AJ1350">
        <f>$C1350*AJ1349</f>
        <v/>
      </c>
      <c r="AK1350">
        <f>$C1350*AK1349</f>
        <v/>
      </c>
      <c r="AL1350">
        <f>$C1350*AL1349</f>
        <v/>
      </c>
      <c r="AM1350">
        <f>$C1350*AM1349</f>
        <v/>
      </c>
      <c r="AN1350">
        <f>$C1350*AN1349</f>
        <v/>
      </c>
      <c r="AO1350">
        <f>$C1350*AO1349</f>
        <v/>
      </c>
      <c r="AP1350">
        <f>$C1350*AP1349</f>
        <v/>
      </c>
      <c r="AQ1350">
        <f>$C1350*AQ1349</f>
        <v/>
      </c>
      <c r="AR1350">
        <f>$C1350*AR1349</f>
        <v/>
      </c>
      <c r="AS1350">
        <f>$C1350*AS1349</f>
        <v/>
      </c>
      <c r="AT1350">
        <f>$C1350*AT1349</f>
        <v/>
      </c>
      <c r="AU1350">
        <f>$C1350*AU1349</f>
        <v/>
      </c>
      <c r="AV1350">
        <f>$C1350*AV1349</f>
        <v/>
      </c>
      <c r="AW1350">
        <f>$C1350*AW1349</f>
        <v/>
      </c>
      <c r="AX1350">
        <f>$C1350*AX1349</f>
        <v/>
      </c>
      <c r="AY1350">
        <f>$C1350*AY1349</f>
        <v/>
      </c>
      <c r="AZ1350">
        <f>$C1350*AZ1349</f>
        <v/>
      </c>
      <c r="BA1350">
        <f>$C1350*BA1349</f>
        <v/>
      </c>
      <c r="BB1350">
        <f>$C1350*BB1349</f>
        <v/>
      </c>
      <c r="BC1350">
        <f>$C1350*BC1349</f>
        <v/>
      </c>
      <c r="BD1350">
        <f>$C1350*BD1349</f>
        <v/>
      </c>
      <c r="BE1350">
        <f>$C1350*BE1349</f>
        <v/>
      </c>
      <c r="BF1350">
        <f>$C1350*BF1349</f>
        <v/>
      </c>
      <c r="BG1350">
        <f>$C1350*BG1349</f>
        <v/>
      </c>
      <c r="BH1350">
        <f>$C1350*BH1349</f>
        <v/>
      </c>
      <c r="BI1350">
        <f>$C1350*BI1349</f>
        <v/>
      </c>
      <c r="BJ1350">
        <f>$C1350*BJ1349</f>
        <v/>
      </c>
      <c r="BK1350">
        <f>$C1350*BK1349</f>
        <v/>
      </c>
      <c r="BL1350">
        <f>$C1350*BL1349</f>
        <v/>
      </c>
      <c r="BM1350">
        <f>$C1350*BM1349</f>
        <v/>
      </c>
      <c r="BN1350">
        <f>$C1350*BN1349</f>
        <v/>
      </c>
      <c r="BO1350">
        <f>$C1350*BO1349</f>
        <v/>
      </c>
      <c r="BP1350">
        <f>$C1350*BP1349</f>
        <v/>
      </c>
      <c r="BQ1350">
        <f>$C1350*BQ1349</f>
        <v/>
      </c>
      <c r="BR1350">
        <f>$C1350*BR1349</f>
        <v/>
      </c>
      <c r="BS1350">
        <f>$C1350*BS1349</f>
        <v/>
      </c>
      <c r="BT1350">
        <f>$C1350*BT1349</f>
        <v/>
      </c>
      <c r="BU1350">
        <f>$C1350*BU1349</f>
        <v/>
      </c>
      <c r="BV1350">
        <f>$C1350*BV1349</f>
        <v/>
      </c>
      <c r="BW1350">
        <f>$C1350*BW1349</f>
        <v/>
      </c>
      <c r="BX1350">
        <f>$C1350*BX1349</f>
        <v/>
      </c>
      <c r="BY1350">
        <f>$C1350*BY1349</f>
        <v/>
      </c>
      <c r="BZ1350">
        <f>$C1350*BZ1349</f>
        <v/>
      </c>
      <c r="CA1350">
        <f>$C1350*CA1349</f>
        <v/>
      </c>
      <c r="CB1350">
        <f>$C1350*CB1349</f>
        <v/>
      </c>
      <c r="CC1350">
        <f>$C1350*CC1349</f>
        <v/>
      </c>
      <c r="CD1350">
        <f>$C1350*CD1349</f>
        <v/>
      </c>
      <c r="CE1350">
        <f>$C1350*CE1349</f>
        <v/>
      </c>
      <c r="CF1350">
        <f>$C1350*CF1349</f>
        <v/>
      </c>
      <c r="CG1350">
        <f>$C1350*CG1349</f>
        <v/>
      </c>
      <c r="CH1350">
        <f>$C1350*CH1349</f>
        <v/>
      </c>
      <c r="CI1350">
        <f>$C1350*CI1349</f>
        <v/>
      </c>
      <c r="CJ1350">
        <f>$C1350*CJ1349</f>
        <v/>
      </c>
      <c r="CK1350">
        <f>$C1350*CK1349</f>
        <v/>
      </c>
      <c r="CL1350">
        <f>$C1350*CL1349</f>
        <v/>
      </c>
      <c r="CM1350">
        <f>$C1350*CM1349</f>
        <v/>
      </c>
      <c r="CN1350">
        <f>$C1350*CN1349</f>
        <v/>
      </c>
      <c r="CO1350">
        <f>$C1350*CO1349</f>
        <v/>
      </c>
      <c r="CP1350">
        <f>$C1350*CP1349</f>
        <v/>
      </c>
      <c r="CQ1350">
        <f>$C1350*CQ1349</f>
        <v/>
      </c>
      <c r="CR1350">
        <f>$C1350*CR1349</f>
        <v/>
      </c>
      <c r="CS1350">
        <f>$C1350*CS1349</f>
        <v/>
      </c>
      <c r="CT1350">
        <f>$C1350*CT1349</f>
        <v/>
      </c>
      <c r="CU1350">
        <f>$C1350*CU1349</f>
        <v/>
      </c>
      <c r="CV1350">
        <f>$C1350*CV1349</f>
        <v/>
      </c>
      <c r="CW1350">
        <f>$C1350*CW1349</f>
        <v/>
      </c>
      <c r="CX1350">
        <f>$C1350*CX1349</f>
        <v/>
      </c>
      <c r="CY1350">
        <f>$C1350*CY1349</f>
        <v/>
      </c>
      <c r="CZ1350">
        <f>$C1350*CZ1349</f>
        <v/>
      </c>
      <c r="DA1350">
        <f>$C1350*DA1349</f>
        <v/>
      </c>
      <c r="DB1350">
        <f>$C1350*DB1349</f>
        <v/>
      </c>
      <c r="DC1350">
        <f>$C1350*DC1349</f>
        <v/>
      </c>
      <c r="DD1350">
        <f>$C1350*DD1349</f>
        <v/>
      </c>
    </row>
    <row r="1351">
      <c r="B1351" t="inlineStr">
        <is>
          <t>TSP-1445</t>
        </is>
      </c>
      <c r="C1351" t="inlineStr">
        <is>
          <t>No. of batches</t>
        </is>
      </c>
      <c r="D1351">
        <f>IFERROR(INDEX(E1351:DD1351,$F$1),"")</f>
        <v/>
      </c>
      <c r="E1351">
        <f>IFERROR(INDEX(PP_Grid[#Data],$DE1351,2),0)</f>
        <v/>
      </c>
      <c r="F1351">
        <f>IFERROR(INDEX(PP_Grid[#Data],$DE1351,3),0)</f>
        <v/>
      </c>
      <c r="G1351">
        <f>IFERROR(INDEX(PP_Grid[#Data],$DE1351,4),0)</f>
        <v/>
      </c>
      <c r="H1351">
        <f>IFERROR(INDEX(PP_Grid[#Data],$DE1351,5),0)</f>
        <v/>
      </c>
      <c r="I1351">
        <f>IFERROR(INDEX(PP_Grid[#Data],$DE1351,6),0)</f>
        <v/>
      </c>
      <c r="J1351">
        <f>IFERROR(INDEX(PP_Grid[#Data],$DE1351,7),0)</f>
        <v/>
      </c>
      <c r="K1351">
        <f>IFERROR(INDEX(PP_Grid[#Data],$DE1351,8),0)</f>
        <v/>
      </c>
      <c r="L1351">
        <f>IFERROR(INDEX(PP_Grid[#Data],$DE1351,9),0)</f>
        <v/>
      </c>
      <c r="M1351">
        <f>IFERROR(INDEX(PP_Grid[#Data],$DE1351,10),0)</f>
        <v/>
      </c>
      <c r="N1351">
        <f>IFERROR(INDEX(PP_Grid[#Data],$DE1351,11),0)</f>
        <v/>
      </c>
      <c r="O1351">
        <f>IFERROR(INDEX(PP_Grid[#Data],$DE1351,12),0)</f>
        <v/>
      </c>
      <c r="P1351">
        <f>IFERROR(INDEX(PP_Grid[#Data],$DE1351,13),0)</f>
        <v/>
      </c>
      <c r="Q1351">
        <f>IFERROR(INDEX(PP_Grid[#Data],$DE1351,14),0)</f>
        <v/>
      </c>
      <c r="R1351">
        <f>IFERROR(INDEX(PP_Grid[#Data],$DE1351,15),0)</f>
        <v/>
      </c>
      <c r="S1351">
        <f>IFERROR(INDEX(PP_Grid[#Data],$DE1351,16),0)</f>
        <v/>
      </c>
      <c r="T1351">
        <f>IFERROR(INDEX(PP_Grid[#Data],$DE1351,17),0)</f>
        <v/>
      </c>
      <c r="U1351">
        <f>IFERROR(INDEX(PP_Grid[#Data],$DE1351,18),0)</f>
        <v/>
      </c>
      <c r="V1351">
        <f>IFERROR(INDEX(PP_Grid[#Data],$DE1351,19),0)</f>
        <v/>
      </c>
      <c r="W1351">
        <f>IFERROR(INDEX(PP_Grid[#Data],$DE1351,20),0)</f>
        <v/>
      </c>
      <c r="X1351">
        <f>IFERROR(INDEX(PP_Grid[#Data],$DE1351,21),0)</f>
        <v/>
      </c>
      <c r="Y1351">
        <f>IFERROR(INDEX(PP_Grid[#Data],$DE1351,22),0)</f>
        <v/>
      </c>
      <c r="Z1351">
        <f>IFERROR(INDEX(PP_Grid[#Data],$DE1351,23),0)</f>
        <v/>
      </c>
      <c r="AA1351">
        <f>IFERROR(INDEX(PP_Grid[#Data],$DE1351,24),0)</f>
        <v/>
      </c>
      <c r="AB1351">
        <f>IFERROR(INDEX(PP_Grid[#Data],$DE1351,25),0)</f>
        <v/>
      </c>
      <c r="AC1351">
        <f>IFERROR(INDEX(PP_Grid[#Data],$DE1351,26),0)</f>
        <v/>
      </c>
      <c r="AD1351">
        <f>IFERROR(INDEX(PP_Grid[#Data],$DE1351,27),0)</f>
        <v/>
      </c>
      <c r="AE1351">
        <f>IFERROR(INDEX(PP_Grid[#Data],$DE1351,28),0)</f>
        <v/>
      </c>
      <c r="AF1351">
        <f>IFERROR(INDEX(PP_Grid[#Data],$DE1351,29),0)</f>
        <v/>
      </c>
      <c r="AG1351">
        <f>IFERROR(INDEX(PP_Grid[#Data],$DE1351,30),0)</f>
        <v/>
      </c>
      <c r="AH1351">
        <f>IFERROR(INDEX(PP_Grid[#Data],$DE1351,31),0)</f>
        <v/>
      </c>
      <c r="AI1351">
        <f>IFERROR(INDEX(PP_Grid[#Data],$DE1351,32),0)</f>
        <v/>
      </c>
      <c r="AJ1351">
        <f>IFERROR(INDEX(PP_Grid[#Data],$DE1351,33),0)</f>
        <v/>
      </c>
      <c r="AK1351">
        <f>IFERROR(INDEX(PP_Grid[#Data],$DE1351,34),0)</f>
        <v/>
      </c>
      <c r="AL1351">
        <f>IFERROR(INDEX(PP_Grid[#Data],$DE1351,35),0)</f>
        <v/>
      </c>
      <c r="AM1351">
        <f>IFERROR(INDEX(PP_Grid[#Data],$DE1351,36),0)</f>
        <v/>
      </c>
      <c r="AN1351">
        <f>IFERROR(INDEX(PP_Grid[#Data],$DE1351,37),0)</f>
        <v/>
      </c>
      <c r="AO1351">
        <f>IFERROR(INDEX(PP_Grid[#Data],$DE1351,38),0)</f>
        <v/>
      </c>
      <c r="AP1351">
        <f>IFERROR(INDEX(PP_Grid[#Data],$DE1351,39),0)</f>
        <v/>
      </c>
      <c r="AQ1351">
        <f>IFERROR(INDEX(PP_Grid[#Data],$DE1351,40),0)</f>
        <v/>
      </c>
      <c r="AR1351">
        <f>IFERROR(INDEX(PP_Grid[#Data],$DE1351,41),0)</f>
        <v/>
      </c>
      <c r="AS1351">
        <f>IFERROR(INDEX(PP_Grid[#Data],$DE1351,42),0)</f>
        <v/>
      </c>
      <c r="AT1351">
        <f>IFERROR(INDEX(PP_Grid[#Data],$DE1351,43),0)</f>
        <v/>
      </c>
      <c r="AU1351">
        <f>IFERROR(INDEX(PP_Grid[#Data],$DE1351,44),0)</f>
        <v/>
      </c>
      <c r="AV1351">
        <f>IFERROR(INDEX(PP_Grid[#Data],$DE1351,45),0)</f>
        <v/>
      </c>
      <c r="AW1351">
        <f>IFERROR(INDEX(PP_Grid[#Data],$DE1351,46),0)</f>
        <v/>
      </c>
      <c r="AX1351">
        <f>IFERROR(INDEX(PP_Grid[#Data],$DE1351,47),0)</f>
        <v/>
      </c>
      <c r="AY1351">
        <f>IFERROR(INDEX(PP_Grid[#Data],$DE1351,48),0)</f>
        <v/>
      </c>
      <c r="AZ1351">
        <f>IFERROR(INDEX(PP_Grid[#Data],$DE1351,49),0)</f>
        <v/>
      </c>
      <c r="BA1351">
        <f>IFERROR(INDEX(PP_Grid[#Data],$DE1351,50),0)</f>
        <v/>
      </c>
      <c r="BB1351">
        <f>IFERROR(INDEX(PP_Grid[#Data],$DE1351,51),0)</f>
        <v/>
      </c>
      <c r="BC1351">
        <f>IFERROR(INDEX(PP_Grid[#Data],$DE1351,52),0)</f>
        <v/>
      </c>
      <c r="BD1351">
        <f>IFERROR(INDEX(PP_Grid[#Data],$DE1351,53),0)</f>
        <v/>
      </c>
      <c r="BE1351">
        <f>IFERROR(INDEX(PP_Grid[#Data],$DE1351,54),0)</f>
        <v/>
      </c>
      <c r="BF1351">
        <f>IFERROR(INDEX(PP_Grid[#Data],$DE1351,55),0)</f>
        <v/>
      </c>
      <c r="BG1351">
        <f>IFERROR(INDEX(PP_Grid[#Data],$DE1351,56),0)</f>
        <v/>
      </c>
      <c r="BH1351">
        <f>IFERROR(INDEX(PP_Grid[#Data],$DE1351,57),0)</f>
        <v/>
      </c>
      <c r="BI1351">
        <f>IFERROR(INDEX(PP_Grid[#Data],$DE1351,58),0)</f>
        <v/>
      </c>
      <c r="BJ1351">
        <f>IFERROR(INDEX(PP_Grid[#Data],$DE1351,59),0)</f>
        <v/>
      </c>
      <c r="BK1351">
        <f>IFERROR(INDEX(PP_Grid[#Data],$DE1351,60),0)</f>
        <v/>
      </c>
      <c r="BL1351">
        <f>IFERROR(INDEX(PP_Grid[#Data],$DE1351,61),0)</f>
        <v/>
      </c>
      <c r="BM1351">
        <f>IFERROR(INDEX(PP_Grid[#Data],$DE1351,62),0)</f>
        <v/>
      </c>
      <c r="BN1351">
        <f>IFERROR(INDEX(PP_Grid[#Data],$DE1351,63),0)</f>
        <v/>
      </c>
      <c r="BO1351">
        <f>IFERROR(INDEX(PP_Grid[#Data],$DE1351,64),0)</f>
        <v/>
      </c>
      <c r="BP1351">
        <f>IFERROR(INDEX(PP_Grid[#Data],$DE1351,65),0)</f>
        <v/>
      </c>
      <c r="BQ1351">
        <f>IFERROR(INDEX(PP_Grid[#Data],$DE1351,66),0)</f>
        <v/>
      </c>
      <c r="BR1351">
        <f>IFERROR(INDEX(PP_Grid[#Data],$DE1351,67),0)</f>
        <v/>
      </c>
      <c r="BS1351">
        <f>IFERROR(INDEX(PP_Grid[#Data],$DE1351,68),0)</f>
        <v/>
      </c>
      <c r="BT1351">
        <f>IFERROR(INDEX(PP_Grid[#Data],$DE1351,69),0)</f>
        <v/>
      </c>
      <c r="BU1351">
        <f>IFERROR(INDEX(PP_Grid[#Data],$DE1351,70),0)</f>
        <v/>
      </c>
      <c r="BV1351">
        <f>IFERROR(INDEX(PP_Grid[#Data],$DE1351,71),0)</f>
        <v/>
      </c>
      <c r="BW1351">
        <f>IFERROR(INDEX(PP_Grid[#Data],$DE1351,72),0)</f>
        <v/>
      </c>
      <c r="BX1351">
        <f>IFERROR(INDEX(PP_Grid[#Data],$DE1351,73),0)</f>
        <v/>
      </c>
      <c r="BY1351">
        <f>IFERROR(INDEX(PP_Grid[#Data],$DE1351,74),0)</f>
        <v/>
      </c>
      <c r="BZ1351">
        <f>IFERROR(INDEX(PP_Grid[#Data],$DE1351,75),0)</f>
        <v/>
      </c>
      <c r="CA1351">
        <f>IFERROR(INDEX(PP_Grid[#Data],$DE1351,76),0)</f>
        <v/>
      </c>
      <c r="CB1351">
        <f>IFERROR(INDEX(PP_Grid[#Data],$DE1351,77),0)</f>
        <v/>
      </c>
      <c r="CC1351">
        <f>IFERROR(INDEX(PP_Grid[#Data],$DE1351,78),0)</f>
        <v/>
      </c>
      <c r="CD1351">
        <f>IFERROR(INDEX(PP_Grid[#Data],$DE1351,79),0)</f>
        <v/>
      </c>
      <c r="CE1351">
        <f>IFERROR(INDEX(PP_Grid[#Data],$DE1351,80),0)</f>
        <v/>
      </c>
      <c r="CF1351">
        <f>IFERROR(INDEX(PP_Grid[#Data],$DE1351,81),0)</f>
        <v/>
      </c>
      <c r="CG1351">
        <f>IFERROR(INDEX(PP_Grid[#Data],$DE1351,82),0)</f>
        <v/>
      </c>
      <c r="CH1351">
        <f>IFERROR(INDEX(PP_Grid[#Data],$DE1351,83),0)</f>
        <v/>
      </c>
      <c r="CI1351">
        <f>IFERROR(INDEX(PP_Grid[#Data],$DE1351,84),0)</f>
        <v/>
      </c>
      <c r="CJ1351">
        <f>IFERROR(INDEX(PP_Grid[#Data],$DE1351,85),0)</f>
        <v/>
      </c>
      <c r="CK1351">
        <f>IFERROR(INDEX(PP_Grid[#Data],$DE1351,86),0)</f>
        <v/>
      </c>
      <c r="CL1351">
        <f>IFERROR(INDEX(PP_Grid[#Data],$DE1351,87),0)</f>
        <v/>
      </c>
      <c r="CM1351">
        <f>IFERROR(INDEX(PP_Grid[#Data],$DE1351,88),0)</f>
        <v/>
      </c>
      <c r="CN1351">
        <f>IFERROR(INDEX(PP_Grid[#Data],$DE1351,89),0)</f>
        <v/>
      </c>
      <c r="CO1351">
        <f>IFERROR(INDEX(PP_Grid[#Data],$DE1351,90),0)</f>
        <v/>
      </c>
      <c r="CP1351">
        <f>IFERROR(INDEX(PP_Grid[#Data],$DE1351,91),0)</f>
        <v/>
      </c>
      <c r="CQ1351">
        <f>IFERROR(INDEX(PP_Grid[#Data],$DE1351,92),0)</f>
        <v/>
      </c>
      <c r="CR1351">
        <f>IFERROR(INDEX(PP_Grid[#Data],$DE1351,93),0)</f>
        <v/>
      </c>
      <c r="CS1351">
        <f>IFERROR(INDEX(PP_Grid[#Data],$DE1351,94),0)</f>
        <v/>
      </c>
      <c r="CT1351">
        <f>IFERROR(INDEX(PP_Grid[#Data],$DE1351,95),0)</f>
        <v/>
      </c>
      <c r="CU1351">
        <f>IFERROR(INDEX(PP_Grid[#Data],$DE1351,96),0)</f>
        <v/>
      </c>
      <c r="CV1351">
        <f>IFERROR(INDEX(PP_Grid[#Data],$DE1351,97),0)</f>
        <v/>
      </c>
      <c r="CW1351">
        <f>IFERROR(INDEX(PP_Grid[#Data],$DE1351,98),0)</f>
        <v/>
      </c>
      <c r="CX1351">
        <f>IFERROR(INDEX(PP_Grid[#Data],$DE1351,99),0)</f>
        <v/>
      </c>
      <c r="CY1351">
        <f>IFERROR(INDEX(PP_Grid[#Data],$DE1351,100),0)</f>
        <v/>
      </c>
      <c r="CZ1351">
        <f>IFERROR(INDEX(PP_Grid[#Data],$DE1351,101),0)</f>
        <v/>
      </c>
      <c r="DA1351">
        <f>IFERROR(INDEX(PP_Grid[#Data],$DE1351,102),0)</f>
        <v/>
      </c>
      <c r="DB1351">
        <f>IFERROR(INDEX(PP_Grid[#Data],$DE1351,103),0)</f>
        <v/>
      </c>
      <c r="DC1351">
        <f>IFERROR(INDEX(PP_Grid[#Data],$DE1351,104),0)</f>
        <v/>
      </c>
      <c r="DD1351">
        <f>IFERROR(INDEX(PP_Grid[#Data],$DE1351,105),0)</f>
        <v/>
      </c>
      <c r="DE1351" s="7">
        <f>IFERROR(MATCH($B1351,PP_Grid[Intermediate],0),99999)</f>
        <v/>
      </c>
    </row>
    <row r="1352">
      <c r="B1352" t="inlineStr">
        <is>
          <t>使用量(kg)</t>
        </is>
      </c>
      <c r="C1352">
        <f>SUMIFS(M_BOM[RM_Qty_Per_Batch],M_BOM[Intermediate],$B1351,M_BOM[RM_Code],$A1326)</f>
        <v/>
      </c>
      <c r="D1352">
        <f>IFERROR(INDEX(E1352:DD1352,$F$1),"")</f>
        <v/>
      </c>
      <c r="E1352">
        <f>$C1352*E1351</f>
        <v/>
      </c>
      <c r="F1352">
        <f>$C1352*F1351</f>
        <v/>
      </c>
      <c r="G1352">
        <f>$C1352*G1351</f>
        <v/>
      </c>
      <c r="H1352">
        <f>$C1352*H1351</f>
        <v/>
      </c>
      <c r="I1352">
        <f>$C1352*I1351</f>
        <v/>
      </c>
      <c r="J1352">
        <f>$C1352*J1351</f>
        <v/>
      </c>
      <c r="K1352">
        <f>$C1352*K1351</f>
        <v/>
      </c>
      <c r="L1352">
        <f>$C1352*L1351</f>
        <v/>
      </c>
      <c r="M1352">
        <f>$C1352*M1351</f>
        <v/>
      </c>
      <c r="N1352">
        <f>$C1352*N1351</f>
        <v/>
      </c>
      <c r="O1352">
        <f>$C1352*O1351</f>
        <v/>
      </c>
      <c r="P1352">
        <f>$C1352*P1351</f>
        <v/>
      </c>
      <c r="Q1352">
        <f>$C1352*Q1351</f>
        <v/>
      </c>
      <c r="R1352">
        <f>$C1352*R1351</f>
        <v/>
      </c>
      <c r="S1352">
        <f>$C1352*S1351</f>
        <v/>
      </c>
      <c r="T1352">
        <f>$C1352*T1351</f>
        <v/>
      </c>
      <c r="U1352">
        <f>$C1352*U1351</f>
        <v/>
      </c>
      <c r="V1352">
        <f>$C1352*V1351</f>
        <v/>
      </c>
      <c r="W1352">
        <f>$C1352*W1351</f>
        <v/>
      </c>
      <c r="X1352">
        <f>$C1352*X1351</f>
        <v/>
      </c>
      <c r="Y1352">
        <f>$C1352*Y1351</f>
        <v/>
      </c>
      <c r="Z1352">
        <f>$C1352*Z1351</f>
        <v/>
      </c>
      <c r="AA1352">
        <f>$C1352*AA1351</f>
        <v/>
      </c>
      <c r="AB1352">
        <f>$C1352*AB1351</f>
        <v/>
      </c>
      <c r="AC1352">
        <f>$C1352*AC1351</f>
        <v/>
      </c>
      <c r="AD1352">
        <f>$C1352*AD1351</f>
        <v/>
      </c>
      <c r="AE1352">
        <f>$C1352*AE1351</f>
        <v/>
      </c>
      <c r="AF1352">
        <f>$C1352*AF1351</f>
        <v/>
      </c>
      <c r="AG1352">
        <f>$C1352*AG1351</f>
        <v/>
      </c>
      <c r="AH1352">
        <f>$C1352*AH1351</f>
        <v/>
      </c>
      <c r="AI1352">
        <f>$C1352*AI1351</f>
        <v/>
      </c>
      <c r="AJ1352">
        <f>$C1352*AJ1351</f>
        <v/>
      </c>
      <c r="AK1352">
        <f>$C1352*AK1351</f>
        <v/>
      </c>
      <c r="AL1352">
        <f>$C1352*AL1351</f>
        <v/>
      </c>
      <c r="AM1352">
        <f>$C1352*AM1351</f>
        <v/>
      </c>
      <c r="AN1352">
        <f>$C1352*AN1351</f>
        <v/>
      </c>
      <c r="AO1352">
        <f>$C1352*AO1351</f>
        <v/>
      </c>
      <c r="AP1352">
        <f>$C1352*AP1351</f>
        <v/>
      </c>
      <c r="AQ1352">
        <f>$C1352*AQ1351</f>
        <v/>
      </c>
      <c r="AR1352">
        <f>$C1352*AR1351</f>
        <v/>
      </c>
      <c r="AS1352">
        <f>$C1352*AS1351</f>
        <v/>
      </c>
      <c r="AT1352">
        <f>$C1352*AT1351</f>
        <v/>
      </c>
      <c r="AU1352">
        <f>$C1352*AU1351</f>
        <v/>
      </c>
      <c r="AV1352">
        <f>$C1352*AV1351</f>
        <v/>
      </c>
      <c r="AW1352">
        <f>$C1352*AW1351</f>
        <v/>
      </c>
      <c r="AX1352">
        <f>$C1352*AX1351</f>
        <v/>
      </c>
      <c r="AY1352">
        <f>$C1352*AY1351</f>
        <v/>
      </c>
      <c r="AZ1352">
        <f>$C1352*AZ1351</f>
        <v/>
      </c>
      <c r="BA1352">
        <f>$C1352*BA1351</f>
        <v/>
      </c>
      <c r="BB1352">
        <f>$C1352*BB1351</f>
        <v/>
      </c>
      <c r="BC1352">
        <f>$C1352*BC1351</f>
        <v/>
      </c>
      <c r="BD1352">
        <f>$C1352*BD1351</f>
        <v/>
      </c>
      <c r="BE1352">
        <f>$C1352*BE1351</f>
        <v/>
      </c>
      <c r="BF1352">
        <f>$C1352*BF1351</f>
        <v/>
      </c>
      <c r="BG1352">
        <f>$C1352*BG1351</f>
        <v/>
      </c>
      <c r="BH1352">
        <f>$C1352*BH1351</f>
        <v/>
      </c>
      <c r="BI1352">
        <f>$C1352*BI1351</f>
        <v/>
      </c>
      <c r="BJ1352">
        <f>$C1352*BJ1351</f>
        <v/>
      </c>
      <c r="BK1352">
        <f>$C1352*BK1351</f>
        <v/>
      </c>
      <c r="BL1352">
        <f>$C1352*BL1351</f>
        <v/>
      </c>
      <c r="BM1352">
        <f>$C1352*BM1351</f>
        <v/>
      </c>
      <c r="BN1352">
        <f>$C1352*BN1351</f>
        <v/>
      </c>
      <c r="BO1352">
        <f>$C1352*BO1351</f>
        <v/>
      </c>
      <c r="BP1352">
        <f>$C1352*BP1351</f>
        <v/>
      </c>
      <c r="BQ1352">
        <f>$C1352*BQ1351</f>
        <v/>
      </c>
      <c r="BR1352">
        <f>$C1352*BR1351</f>
        <v/>
      </c>
      <c r="BS1352">
        <f>$C1352*BS1351</f>
        <v/>
      </c>
      <c r="BT1352">
        <f>$C1352*BT1351</f>
        <v/>
      </c>
      <c r="BU1352">
        <f>$C1352*BU1351</f>
        <v/>
      </c>
      <c r="BV1352">
        <f>$C1352*BV1351</f>
        <v/>
      </c>
      <c r="BW1352">
        <f>$C1352*BW1351</f>
        <v/>
      </c>
      <c r="BX1352">
        <f>$C1352*BX1351</f>
        <v/>
      </c>
      <c r="BY1352">
        <f>$C1352*BY1351</f>
        <v/>
      </c>
      <c r="BZ1352">
        <f>$C1352*BZ1351</f>
        <v/>
      </c>
      <c r="CA1352">
        <f>$C1352*CA1351</f>
        <v/>
      </c>
      <c r="CB1352">
        <f>$C1352*CB1351</f>
        <v/>
      </c>
      <c r="CC1352">
        <f>$C1352*CC1351</f>
        <v/>
      </c>
      <c r="CD1352">
        <f>$C1352*CD1351</f>
        <v/>
      </c>
      <c r="CE1352">
        <f>$C1352*CE1351</f>
        <v/>
      </c>
      <c r="CF1352">
        <f>$C1352*CF1351</f>
        <v/>
      </c>
      <c r="CG1352">
        <f>$C1352*CG1351</f>
        <v/>
      </c>
      <c r="CH1352">
        <f>$C1352*CH1351</f>
        <v/>
      </c>
      <c r="CI1352">
        <f>$C1352*CI1351</f>
        <v/>
      </c>
      <c r="CJ1352">
        <f>$C1352*CJ1351</f>
        <v/>
      </c>
      <c r="CK1352">
        <f>$C1352*CK1351</f>
        <v/>
      </c>
      <c r="CL1352">
        <f>$C1352*CL1351</f>
        <v/>
      </c>
      <c r="CM1352">
        <f>$C1352*CM1351</f>
        <v/>
      </c>
      <c r="CN1352">
        <f>$C1352*CN1351</f>
        <v/>
      </c>
      <c r="CO1352">
        <f>$C1352*CO1351</f>
        <v/>
      </c>
      <c r="CP1352">
        <f>$C1352*CP1351</f>
        <v/>
      </c>
      <c r="CQ1352">
        <f>$C1352*CQ1351</f>
        <v/>
      </c>
      <c r="CR1352">
        <f>$C1352*CR1351</f>
        <v/>
      </c>
      <c r="CS1352">
        <f>$C1352*CS1351</f>
        <v/>
      </c>
      <c r="CT1352">
        <f>$C1352*CT1351</f>
        <v/>
      </c>
      <c r="CU1352">
        <f>$C1352*CU1351</f>
        <v/>
      </c>
      <c r="CV1352">
        <f>$C1352*CV1351</f>
        <v/>
      </c>
      <c r="CW1352">
        <f>$C1352*CW1351</f>
        <v/>
      </c>
      <c r="CX1352">
        <f>$C1352*CX1351</f>
        <v/>
      </c>
      <c r="CY1352">
        <f>$C1352*CY1351</f>
        <v/>
      </c>
      <c r="CZ1352">
        <f>$C1352*CZ1351</f>
        <v/>
      </c>
      <c r="DA1352">
        <f>$C1352*DA1351</f>
        <v/>
      </c>
      <c r="DB1352">
        <f>$C1352*DB1351</f>
        <v/>
      </c>
      <c r="DC1352">
        <f>$C1352*DC1351</f>
        <v/>
      </c>
      <c r="DD1352">
        <f>$C1352*DD1351</f>
        <v/>
      </c>
    </row>
    <row r="1353">
      <c r="B1353" t="inlineStr">
        <is>
          <t>TSP-1446</t>
        </is>
      </c>
      <c r="C1353" t="inlineStr">
        <is>
          <t>No. of batches</t>
        </is>
      </c>
      <c r="D1353">
        <f>IFERROR(INDEX(E1353:DD1353,$F$1),"")</f>
        <v/>
      </c>
      <c r="E1353">
        <f>IFERROR(INDEX(PP_Grid[#Data],$DE1353,2),0)</f>
        <v/>
      </c>
      <c r="F1353">
        <f>IFERROR(INDEX(PP_Grid[#Data],$DE1353,3),0)</f>
        <v/>
      </c>
      <c r="G1353">
        <f>IFERROR(INDEX(PP_Grid[#Data],$DE1353,4),0)</f>
        <v/>
      </c>
      <c r="H1353">
        <f>IFERROR(INDEX(PP_Grid[#Data],$DE1353,5),0)</f>
        <v/>
      </c>
      <c r="I1353">
        <f>IFERROR(INDEX(PP_Grid[#Data],$DE1353,6),0)</f>
        <v/>
      </c>
      <c r="J1353">
        <f>IFERROR(INDEX(PP_Grid[#Data],$DE1353,7),0)</f>
        <v/>
      </c>
      <c r="K1353">
        <f>IFERROR(INDEX(PP_Grid[#Data],$DE1353,8),0)</f>
        <v/>
      </c>
      <c r="L1353">
        <f>IFERROR(INDEX(PP_Grid[#Data],$DE1353,9),0)</f>
        <v/>
      </c>
      <c r="M1353">
        <f>IFERROR(INDEX(PP_Grid[#Data],$DE1353,10),0)</f>
        <v/>
      </c>
      <c r="N1353">
        <f>IFERROR(INDEX(PP_Grid[#Data],$DE1353,11),0)</f>
        <v/>
      </c>
      <c r="O1353">
        <f>IFERROR(INDEX(PP_Grid[#Data],$DE1353,12),0)</f>
        <v/>
      </c>
      <c r="P1353">
        <f>IFERROR(INDEX(PP_Grid[#Data],$DE1353,13),0)</f>
        <v/>
      </c>
      <c r="Q1353">
        <f>IFERROR(INDEX(PP_Grid[#Data],$DE1353,14),0)</f>
        <v/>
      </c>
      <c r="R1353">
        <f>IFERROR(INDEX(PP_Grid[#Data],$DE1353,15),0)</f>
        <v/>
      </c>
      <c r="S1353">
        <f>IFERROR(INDEX(PP_Grid[#Data],$DE1353,16),0)</f>
        <v/>
      </c>
      <c r="T1353">
        <f>IFERROR(INDEX(PP_Grid[#Data],$DE1353,17),0)</f>
        <v/>
      </c>
      <c r="U1353">
        <f>IFERROR(INDEX(PP_Grid[#Data],$DE1353,18),0)</f>
        <v/>
      </c>
      <c r="V1353">
        <f>IFERROR(INDEX(PP_Grid[#Data],$DE1353,19),0)</f>
        <v/>
      </c>
      <c r="W1353">
        <f>IFERROR(INDEX(PP_Grid[#Data],$DE1353,20),0)</f>
        <v/>
      </c>
      <c r="X1353">
        <f>IFERROR(INDEX(PP_Grid[#Data],$DE1353,21),0)</f>
        <v/>
      </c>
      <c r="Y1353">
        <f>IFERROR(INDEX(PP_Grid[#Data],$DE1353,22),0)</f>
        <v/>
      </c>
      <c r="Z1353">
        <f>IFERROR(INDEX(PP_Grid[#Data],$DE1353,23),0)</f>
        <v/>
      </c>
      <c r="AA1353">
        <f>IFERROR(INDEX(PP_Grid[#Data],$DE1353,24),0)</f>
        <v/>
      </c>
      <c r="AB1353">
        <f>IFERROR(INDEX(PP_Grid[#Data],$DE1353,25),0)</f>
        <v/>
      </c>
      <c r="AC1353">
        <f>IFERROR(INDEX(PP_Grid[#Data],$DE1353,26),0)</f>
        <v/>
      </c>
      <c r="AD1353">
        <f>IFERROR(INDEX(PP_Grid[#Data],$DE1353,27),0)</f>
        <v/>
      </c>
      <c r="AE1353">
        <f>IFERROR(INDEX(PP_Grid[#Data],$DE1353,28),0)</f>
        <v/>
      </c>
      <c r="AF1353">
        <f>IFERROR(INDEX(PP_Grid[#Data],$DE1353,29),0)</f>
        <v/>
      </c>
      <c r="AG1353">
        <f>IFERROR(INDEX(PP_Grid[#Data],$DE1353,30),0)</f>
        <v/>
      </c>
      <c r="AH1353">
        <f>IFERROR(INDEX(PP_Grid[#Data],$DE1353,31),0)</f>
        <v/>
      </c>
      <c r="AI1353">
        <f>IFERROR(INDEX(PP_Grid[#Data],$DE1353,32),0)</f>
        <v/>
      </c>
      <c r="AJ1353">
        <f>IFERROR(INDEX(PP_Grid[#Data],$DE1353,33),0)</f>
        <v/>
      </c>
      <c r="AK1353">
        <f>IFERROR(INDEX(PP_Grid[#Data],$DE1353,34),0)</f>
        <v/>
      </c>
      <c r="AL1353">
        <f>IFERROR(INDEX(PP_Grid[#Data],$DE1353,35),0)</f>
        <v/>
      </c>
      <c r="AM1353">
        <f>IFERROR(INDEX(PP_Grid[#Data],$DE1353,36),0)</f>
        <v/>
      </c>
      <c r="AN1353">
        <f>IFERROR(INDEX(PP_Grid[#Data],$DE1353,37),0)</f>
        <v/>
      </c>
      <c r="AO1353">
        <f>IFERROR(INDEX(PP_Grid[#Data],$DE1353,38),0)</f>
        <v/>
      </c>
      <c r="AP1353">
        <f>IFERROR(INDEX(PP_Grid[#Data],$DE1353,39),0)</f>
        <v/>
      </c>
      <c r="AQ1353">
        <f>IFERROR(INDEX(PP_Grid[#Data],$DE1353,40),0)</f>
        <v/>
      </c>
      <c r="AR1353">
        <f>IFERROR(INDEX(PP_Grid[#Data],$DE1353,41),0)</f>
        <v/>
      </c>
      <c r="AS1353">
        <f>IFERROR(INDEX(PP_Grid[#Data],$DE1353,42),0)</f>
        <v/>
      </c>
      <c r="AT1353">
        <f>IFERROR(INDEX(PP_Grid[#Data],$DE1353,43),0)</f>
        <v/>
      </c>
      <c r="AU1353">
        <f>IFERROR(INDEX(PP_Grid[#Data],$DE1353,44),0)</f>
        <v/>
      </c>
      <c r="AV1353">
        <f>IFERROR(INDEX(PP_Grid[#Data],$DE1353,45),0)</f>
        <v/>
      </c>
      <c r="AW1353">
        <f>IFERROR(INDEX(PP_Grid[#Data],$DE1353,46),0)</f>
        <v/>
      </c>
      <c r="AX1353">
        <f>IFERROR(INDEX(PP_Grid[#Data],$DE1353,47),0)</f>
        <v/>
      </c>
      <c r="AY1353">
        <f>IFERROR(INDEX(PP_Grid[#Data],$DE1353,48),0)</f>
        <v/>
      </c>
      <c r="AZ1353">
        <f>IFERROR(INDEX(PP_Grid[#Data],$DE1353,49),0)</f>
        <v/>
      </c>
      <c r="BA1353">
        <f>IFERROR(INDEX(PP_Grid[#Data],$DE1353,50),0)</f>
        <v/>
      </c>
      <c r="BB1353">
        <f>IFERROR(INDEX(PP_Grid[#Data],$DE1353,51),0)</f>
        <v/>
      </c>
      <c r="BC1353">
        <f>IFERROR(INDEX(PP_Grid[#Data],$DE1353,52),0)</f>
        <v/>
      </c>
      <c r="BD1353">
        <f>IFERROR(INDEX(PP_Grid[#Data],$DE1353,53),0)</f>
        <v/>
      </c>
      <c r="BE1353">
        <f>IFERROR(INDEX(PP_Grid[#Data],$DE1353,54),0)</f>
        <v/>
      </c>
      <c r="BF1353">
        <f>IFERROR(INDEX(PP_Grid[#Data],$DE1353,55),0)</f>
        <v/>
      </c>
      <c r="BG1353">
        <f>IFERROR(INDEX(PP_Grid[#Data],$DE1353,56),0)</f>
        <v/>
      </c>
      <c r="BH1353">
        <f>IFERROR(INDEX(PP_Grid[#Data],$DE1353,57),0)</f>
        <v/>
      </c>
      <c r="BI1353">
        <f>IFERROR(INDEX(PP_Grid[#Data],$DE1353,58),0)</f>
        <v/>
      </c>
      <c r="BJ1353">
        <f>IFERROR(INDEX(PP_Grid[#Data],$DE1353,59),0)</f>
        <v/>
      </c>
      <c r="BK1353">
        <f>IFERROR(INDEX(PP_Grid[#Data],$DE1353,60),0)</f>
        <v/>
      </c>
      <c r="BL1353">
        <f>IFERROR(INDEX(PP_Grid[#Data],$DE1353,61),0)</f>
        <v/>
      </c>
      <c r="BM1353">
        <f>IFERROR(INDEX(PP_Grid[#Data],$DE1353,62),0)</f>
        <v/>
      </c>
      <c r="BN1353">
        <f>IFERROR(INDEX(PP_Grid[#Data],$DE1353,63),0)</f>
        <v/>
      </c>
      <c r="BO1353">
        <f>IFERROR(INDEX(PP_Grid[#Data],$DE1353,64),0)</f>
        <v/>
      </c>
      <c r="BP1353">
        <f>IFERROR(INDEX(PP_Grid[#Data],$DE1353,65),0)</f>
        <v/>
      </c>
      <c r="BQ1353">
        <f>IFERROR(INDEX(PP_Grid[#Data],$DE1353,66),0)</f>
        <v/>
      </c>
      <c r="BR1353">
        <f>IFERROR(INDEX(PP_Grid[#Data],$DE1353,67),0)</f>
        <v/>
      </c>
      <c r="BS1353">
        <f>IFERROR(INDEX(PP_Grid[#Data],$DE1353,68),0)</f>
        <v/>
      </c>
      <c r="BT1353">
        <f>IFERROR(INDEX(PP_Grid[#Data],$DE1353,69),0)</f>
        <v/>
      </c>
      <c r="BU1353">
        <f>IFERROR(INDEX(PP_Grid[#Data],$DE1353,70),0)</f>
        <v/>
      </c>
      <c r="BV1353">
        <f>IFERROR(INDEX(PP_Grid[#Data],$DE1353,71),0)</f>
        <v/>
      </c>
      <c r="BW1353">
        <f>IFERROR(INDEX(PP_Grid[#Data],$DE1353,72),0)</f>
        <v/>
      </c>
      <c r="BX1353">
        <f>IFERROR(INDEX(PP_Grid[#Data],$DE1353,73),0)</f>
        <v/>
      </c>
      <c r="BY1353">
        <f>IFERROR(INDEX(PP_Grid[#Data],$DE1353,74),0)</f>
        <v/>
      </c>
      <c r="BZ1353">
        <f>IFERROR(INDEX(PP_Grid[#Data],$DE1353,75),0)</f>
        <v/>
      </c>
      <c r="CA1353">
        <f>IFERROR(INDEX(PP_Grid[#Data],$DE1353,76),0)</f>
        <v/>
      </c>
      <c r="CB1353">
        <f>IFERROR(INDEX(PP_Grid[#Data],$DE1353,77),0)</f>
        <v/>
      </c>
      <c r="CC1353">
        <f>IFERROR(INDEX(PP_Grid[#Data],$DE1353,78),0)</f>
        <v/>
      </c>
      <c r="CD1353">
        <f>IFERROR(INDEX(PP_Grid[#Data],$DE1353,79),0)</f>
        <v/>
      </c>
      <c r="CE1353">
        <f>IFERROR(INDEX(PP_Grid[#Data],$DE1353,80),0)</f>
        <v/>
      </c>
      <c r="CF1353">
        <f>IFERROR(INDEX(PP_Grid[#Data],$DE1353,81),0)</f>
        <v/>
      </c>
      <c r="CG1353">
        <f>IFERROR(INDEX(PP_Grid[#Data],$DE1353,82),0)</f>
        <v/>
      </c>
      <c r="CH1353">
        <f>IFERROR(INDEX(PP_Grid[#Data],$DE1353,83),0)</f>
        <v/>
      </c>
      <c r="CI1353">
        <f>IFERROR(INDEX(PP_Grid[#Data],$DE1353,84),0)</f>
        <v/>
      </c>
      <c r="CJ1353">
        <f>IFERROR(INDEX(PP_Grid[#Data],$DE1353,85),0)</f>
        <v/>
      </c>
      <c r="CK1353">
        <f>IFERROR(INDEX(PP_Grid[#Data],$DE1353,86),0)</f>
        <v/>
      </c>
      <c r="CL1353">
        <f>IFERROR(INDEX(PP_Grid[#Data],$DE1353,87),0)</f>
        <v/>
      </c>
      <c r="CM1353">
        <f>IFERROR(INDEX(PP_Grid[#Data],$DE1353,88),0)</f>
        <v/>
      </c>
      <c r="CN1353">
        <f>IFERROR(INDEX(PP_Grid[#Data],$DE1353,89),0)</f>
        <v/>
      </c>
      <c r="CO1353">
        <f>IFERROR(INDEX(PP_Grid[#Data],$DE1353,90),0)</f>
        <v/>
      </c>
      <c r="CP1353">
        <f>IFERROR(INDEX(PP_Grid[#Data],$DE1353,91),0)</f>
        <v/>
      </c>
      <c r="CQ1353">
        <f>IFERROR(INDEX(PP_Grid[#Data],$DE1353,92),0)</f>
        <v/>
      </c>
      <c r="CR1353">
        <f>IFERROR(INDEX(PP_Grid[#Data],$DE1353,93),0)</f>
        <v/>
      </c>
      <c r="CS1353">
        <f>IFERROR(INDEX(PP_Grid[#Data],$DE1353,94),0)</f>
        <v/>
      </c>
      <c r="CT1353">
        <f>IFERROR(INDEX(PP_Grid[#Data],$DE1353,95),0)</f>
        <v/>
      </c>
      <c r="CU1353">
        <f>IFERROR(INDEX(PP_Grid[#Data],$DE1353,96),0)</f>
        <v/>
      </c>
      <c r="CV1353">
        <f>IFERROR(INDEX(PP_Grid[#Data],$DE1353,97),0)</f>
        <v/>
      </c>
      <c r="CW1353">
        <f>IFERROR(INDEX(PP_Grid[#Data],$DE1353,98),0)</f>
        <v/>
      </c>
      <c r="CX1353">
        <f>IFERROR(INDEX(PP_Grid[#Data],$DE1353,99),0)</f>
        <v/>
      </c>
      <c r="CY1353">
        <f>IFERROR(INDEX(PP_Grid[#Data],$DE1353,100),0)</f>
        <v/>
      </c>
      <c r="CZ1353">
        <f>IFERROR(INDEX(PP_Grid[#Data],$DE1353,101),0)</f>
        <v/>
      </c>
      <c r="DA1353">
        <f>IFERROR(INDEX(PP_Grid[#Data],$DE1353,102),0)</f>
        <v/>
      </c>
      <c r="DB1353">
        <f>IFERROR(INDEX(PP_Grid[#Data],$DE1353,103),0)</f>
        <v/>
      </c>
      <c r="DC1353">
        <f>IFERROR(INDEX(PP_Grid[#Data],$DE1353,104),0)</f>
        <v/>
      </c>
      <c r="DD1353">
        <f>IFERROR(INDEX(PP_Grid[#Data],$DE1353,105),0)</f>
        <v/>
      </c>
      <c r="DE1353" s="7">
        <f>IFERROR(MATCH($B1353,PP_Grid[Intermediate],0),99999)</f>
        <v/>
      </c>
    </row>
    <row r="1354">
      <c r="B1354" t="inlineStr">
        <is>
          <t>使用量(kg)</t>
        </is>
      </c>
      <c r="C1354">
        <f>SUMIFS(M_BOM[RM_Qty_Per_Batch],M_BOM[Intermediate],$B1353,M_BOM[RM_Code],$A1326)</f>
        <v/>
      </c>
      <c r="D1354">
        <f>IFERROR(INDEX(E1354:DD1354,$F$1),"")</f>
        <v/>
      </c>
      <c r="E1354">
        <f>$C1354*E1353</f>
        <v/>
      </c>
      <c r="F1354">
        <f>$C1354*F1353</f>
        <v/>
      </c>
      <c r="G1354">
        <f>$C1354*G1353</f>
        <v/>
      </c>
      <c r="H1354">
        <f>$C1354*H1353</f>
        <v/>
      </c>
      <c r="I1354">
        <f>$C1354*I1353</f>
        <v/>
      </c>
      <c r="J1354">
        <f>$C1354*J1353</f>
        <v/>
      </c>
      <c r="K1354">
        <f>$C1354*K1353</f>
        <v/>
      </c>
      <c r="L1354">
        <f>$C1354*L1353</f>
        <v/>
      </c>
      <c r="M1354">
        <f>$C1354*M1353</f>
        <v/>
      </c>
      <c r="N1354">
        <f>$C1354*N1353</f>
        <v/>
      </c>
      <c r="O1354">
        <f>$C1354*O1353</f>
        <v/>
      </c>
      <c r="P1354">
        <f>$C1354*P1353</f>
        <v/>
      </c>
      <c r="Q1354">
        <f>$C1354*Q1353</f>
        <v/>
      </c>
      <c r="R1354">
        <f>$C1354*R1353</f>
        <v/>
      </c>
      <c r="S1354">
        <f>$C1354*S1353</f>
        <v/>
      </c>
      <c r="T1354">
        <f>$C1354*T1353</f>
        <v/>
      </c>
      <c r="U1354">
        <f>$C1354*U1353</f>
        <v/>
      </c>
      <c r="V1354">
        <f>$C1354*V1353</f>
        <v/>
      </c>
      <c r="W1354">
        <f>$C1354*W1353</f>
        <v/>
      </c>
      <c r="X1354">
        <f>$C1354*X1353</f>
        <v/>
      </c>
      <c r="Y1354">
        <f>$C1354*Y1353</f>
        <v/>
      </c>
      <c r="Z1354">
        <f>$C1354*Z1353</f>
        <v/>
      </c>
      <c r="AA1354">
        <f>$C1354*AA1353</f>
        <v/>
      </c>
      <c r="AB1354">
        <f>$C1354*AB1353</f>
        <v/>
      </c>
      <c r="AC1354">
        <f>$C1354*AC1353</f>
        <v/>
      </c>
      <c r="AD1354">
        <f>$C1354*AD1353</f>
        <v/>
      </c>
      <c r="AE1354">
        <f>$C1354*AE1353</f>
        <v/>
      </c>
      <c r="AF1354">
        <f>$C1354*AF1353</f>
        <v/>
      </c>
      <c r="AG1354">
        <f>$C1354*AG1353</f>
        <v/>
      </c>
      <c r="AH1354">
        <f>$C1354*AH1353</f>
        <v/>
      </c>
      <c r="AI1354">
        <f>$C1354*AI1353</f>
        <v/>
      </c>
      <c r="AJ1354">
        <f>$C1354*AJ1353</f>
        <v/>
      </c>
      <c r="AK1354">
        <f>$C1354*AK1353</f>
        <v/>
      </c>
      <c r="AL1354">
        <f>$C1354*AL1353</f>
        <v/>
      </c>
      <c r="AM1354">
        <f>$C1354*AM1353</f>
        <v/>
      </c>
      <c r="AN1354">
        <f>$C1354*AN1353</f>
        <v/>
      </c>
      <c r="AO1354">
        <f>$C1354*AO1353</f>
        <v/>
      </c>
      <c r="AP1354">
        <f>$C1354*AP1353</f>
        <v/>
      </c>
      <c r="AQ1354">
        <f>$C1354*AQ1353</f>
        <v/>
      </c>
      <c r="AR1354">
        <f>$C1354*AR1353</f>
        <v/>
      </c>
      <c r="AS1354">
        <f>$C1354*AS1353</f>
        <v/>
      </c>
      <c r="AT1354">
        <f>$C1354*AT1353</f>
        <v/>
      </c>
      <c r="AU1354">
        <f>$C1354*AU1353</f>
        <v/>
      </c>
      <c r="AV1354">
        <f>$C1354*AV1353</f>
        <v/>
      </c>
      <c r="AW1354">
        <f>$C1354*AW1353</f>
        <v/>
      </c>
      <c r="AX1354">
        <f>$C1354*AX1353</f>
        <v/>
      </c>
      <c r="AY1354">
        <f>$C1354*AY1353</f>
        <v/>
      </c>
      <c r="AZ1354">
        <f>$C1354*AZ1353</f>
        <v/>
      </c>
      <c r="BA1354">
        <f>$C1354*BA1353</f>
        <v/>
      </c>
      <c r="BB1354">
        <f>$C1354*BB1353</f>
        <v/>
      </c>
      <c r="BC1354">
        <f>$C1354*BC1353</f>
        <v/>
      </c>
      <c r="BD1354">
        <f>$C1354*BD1353</f>
        <v/>
      </c>
      <c r="BE1354">
        <f>$C1354*BE1353</f>
        <v/>
      </c>
      <c r="BF1354">
        <f>$C1354*BF1353</f>
        <v/>
      </c>
      <c r="BG1354">
        <f>$C1354*BG1353</f>
        <v/>
      </c>
      <c r="BH1354">
        <f>$C1354*BH1353</f>
        <v/>
      </c>
      <c r="BI1354">
        <f>$C1354*BI1353</f>
        <v/>
      </c>
      <c r="BJ1354">
        <f>$C1354*BJ1353</f>
        <v/>
      </c>
      <c r="BK1354">
        <f>$C1354*BK1353</f>
        <v/>
      </c>
      <c r="BL1354">
        <f>$C1354*BL1353</f>
        <v/>
      </c>
      <c r="BM1354">
        <f>$C1354*BM1353</f>
        <v/>
      </c>
      <c r="BN1354">
        <f>$C1354*BN1353</f>
        <v/>
      </c>
      <c r="BO1354">
        <f>$C1354*BO1353</f>
        <v/>
      </c>
      <c r="BP1354">
        <f>$C1354*BP1353</f>
        <v/>
      </c>
      <c r="BQ1354">
        <f>$C1354*BQ1353</f>
        <v/>
      </c>
      <c r="BR1354">
        <f>$C1354*BR1353</f>
        <v/>
      </c>
      <c r="BS1354">
        <f>$C1354*BS1353</f>
        <v/>
      </c>
      <c r="BT1354">
        <f>$C1354*BT1353</f>
        <v/>
      </c>
      <c r="BU1354">
        <f>$C1354*BU1353</f>
        <v/>
      </c>
      <c r="BV1354">
        <f>$C1354*BV1353</f>
        <v/>
      </c>
      <c r="BW1354">
        <f>$C1354*BW1353</f>
        <v/>
      </c>
      <c r="BX1354">
        <f>$C1354*BX1353</f>
        <v/>
      </c>
      <c r="BY1354">
        <f>$C1354*BY1353</f>
        <v/>
      </c>
      <c r="BZ1354">
        <f>$C1354*BZ1353</f>
        <v/>
      </c>
      <c r="CA1354">
        <f>$C1354*CA1353</f>
        <v/>
      </c>
      <c r="CB1354">
        <f>$C1354*CB1353</f>
        <v/>
      </c>
      <c r="CC1354">
        <f>$C1354*CC1353</f>
        <v/>
      </c>
      <c r="CD1354">
        <f>$C1354*CD1353</f>
        <v/>
      </c>
      <c r="CE1354">
        <f>$C1354*CE1353</f>
        <v/>
      </c>
      <c r="CF1354">
        <f>$C1354*CF1353</f>
        <v/>
      </c>
      <c r="CG1354">
        <f>$C1354*CG1353</f>
        <v/>
      </c>
      <c r="CH1354">
        <f>$C1354*CH1353</f>
        <v/>
      </c>
      <c r="CI1354">
        <f>$C1354*CI1353</f>
        <v/>
      </c>
      <c r="CJ1354">
        <f>$C1354*CJ1353</f>
        <v/>
      </c>
      <c r="CK1354">
        <f>$C1354*CK1353</f>
        <v/>
      </c>
      <c r="CL1354">
        <f>$C1354*CL1353</f>
        <v/>
      </c>
      <c r="CM1354">
        <f>$C1354*CM1353</f>
        <v/>
      </c>
      <c r="CN1354">
        <f>$C1354*CN1353</f>
        <v/>
      </c>
      <c r="CO1354">
        <f>$C1354*CO1353</f>
        <v/>
      </c>
      <c r="CP1354">
        <f>$C1354*CP1353</f>
        <v/>
      </c>
      <c r="CQ1354">
        <f>$C1354*CQ1353</f>
        <v/>
      </c>
      <c r="CR1354">
        <f>$C1354*CR1353</f>
        <v/>
      </c>
      <c r="CS1354">
        <f>$C1354*CS1353</f>
        <v/>
      </c>
      <c r="CT1354">
        <f>$C1354*CT1353</f>
        <v/>
      </c>
      <c r="CU1354">
        <f>$C1354*CU1353</f>
        <v/>
      </c>
      <c r="CV1354">
        <f>$C1354*CV1353</f>
        <v/>
      </c>
      <c r="CW1354">
        <f>$C1354*CW1353</f>
        <v/>
      </c>
      <c r="CX1354">
        <f>$C1354*CX1353</f>
        <v/>
      </c>
      <c r="CY1354">
        <f>$C1354*CY1353</f>
        <v/>
      </c>
      <c r="CZ1354">
        <f>$C1354*CZ1353</f>
        <v/>
      </c>
      <c r="DA1354">
        <f>$C1354*DA1353</f>
        <v/>
      </c>
      <c r="DB1354">
        <f>$C1354*DB1353</f>
        <v/>
      </c>
      <c r="DC1354">
        <f>$C1354*DC1353</f>
        <v/>
      </c>
      <c r="DD1354">
        <f>$C1354*DD1353</f>
        <v/>
      </c>
    </row>
    <row r="1355">
      <c r="B1355" t="inlineStr">
        <is>
          <t>TPP-358</t>
        </is>
      </c>
      <c r="C1355" t="inlineStr">
        <is>
          <t>No. of batches</t>
        </is>
      </c>
      <c r="D1355">
        <f>IFERROR(INDEX(E1355:DD1355,$F$1),"")</f>
        <v/>
      </c>
      <c r="E1355">
        <f>IFERROR(INDEX(PP_Grid[#Data],$DE1355,2),0)</f>
        <v/>
      </c>
      <c r="F1355">
        <f>IFERROR(INDEX(PP_Grid[#Data],$DE1355,3),0)</f>
        <v/>
      </c>
      <c r="G1355">
        <f>IFERROR(INDEX(PP_Grid[#Data],$DE1355,4),0)</f>
        <v/>
      </c>
      <c r="H1355">
        <f>IFERROR(INDEX(PP_Grid[#Data],$DE1355,5),0)</f>
        <v/>
      </c>
      <c r="I1355">
        <f>IFERROR(INDEX(PP_Grid[#Data],$DE1355,6),0)</f>
        <v/>
      </c>
      <c r="J1355">
        <f>IFERROR(INDEX(PP_Grid[#Data],$DE1355,7),0)</f>
        <v/>
      </c>
      <c r="K1355">
        <f>IFERROR(INDEX(PP_Grid[#Data],$DE1355,8),0)</f>
        <v/>
      </c>
      <c r="L1355">
        <f>IFERROR(INDEX(PP_Grid[#Data],$DE1355,9),0)</f>
        <v/>
      </c>
      <c r="M1355">
        <f>IFERROR(INDEX(PP_Grid[#Data],$DE1355,10),0)</f>
        <v/>
      </c>
      <c r="N1355">
        <f>IFERROR(INDEX(PP_Grid[#Data],$DE1355,11),0)</f>
        <v/>
      </c>
      <c r="O1355">
        <f>IFERROR(INDEX(PP_Grid[#Data],$DE1355,12),0)</f>
        <v/>
      </c>
      <c r="P1355">
        <f>IFERROR(INDEX(PP_Grid[#Data],$DE1355,13),0)</f>
        <v/>
      </c>
      <c r="Q1355">
        <f>IFERROR(INDEX(PP_Grid[#Data],$DE1355,14),0)</f>
        <v/>
      </c>
      <c r="R1355">
        <f>IFERROR(INDEX(PP_Grid[#Data],$DE1355,15),0)</f>
        <v/>
      </c>
      <c r="S1355">
        <f>IFERROR(INDEX(PP_Grid[#Data],$DE1355,16),0)</f>
        <v/>
      </c>
      <c r="T1355">
        <f>IFERROR(INDEX(PP_Grid[#Data],$DE1355,17),0)</f>
        <v/>
      </c>
      <c r="U1355">
        <f>IFERROR(INDEX(PP_Grid[#Data],$DE1355,18),0)</f>
        <v/>
      </c>
      <c r="V1355">
        <f>IFERROR(INDEX(PP_Grid[#Data],$DE1355,19),0)</f>
        <v/>
      </c>
      <c r="W1355">
        <f>IFERROR(INDEX(PP_Grid[#Data],$DE1355,20),0)</f>
        <v/>
      </c>
      <c r="X1355">
        <f>IFERROR(INDEX(PP_Grid[#Data],$DE1355,21),0)</f>
        <v/>
      </c>
      <c r="Y1355">
        <f>IFERROR(INDEX(PP_Grid[#Data],$DE1355,22),0)</f>
        <v/>
      </c>
      <c r="Z1355">
        <f>IFERROR(INDEX(PP_Grid[#Data],$DE1355,23),0)</f>
        <v/>
      </c>
      <c r="AA1355">
        <f>IFERROR(INDEX(PP_Grid[#Data],$DE1355,24),0)</f>
        <v/>
      </c>
      <c r="AB1355">
        <f>IFERROR(INDEX(PP_Grid[#Data],$DE1355,25),0)</f>
        <v/>
      </c>
      <c r="AC1355">
        <f>IFERROR(INDEX(PP_Grid[#Data],$DE1355,26),0)</f>
        <v/>
      </c>
      <c r="AD1355">
        <f>IFERROR(INDEX(PP_Grid[#Data],$DE1355,27),0)</f>
        <v/>
      </c>
      <c r="AE1355">
        <f>IFERROR(INDEX(PP_Grid[#Data],$DE1355,28),0)</f>
        <v/>
      </c>
      <c r="AF1355">
        <f>IFERROR(INDEX(PP_Grid[#Data],$DE1355,29),0)</f>
        <v/>
      </c>
      <c r="AG1355">
        <f>IFERROR(INDEX(PP_Grid[#Data],$DE1355,30),0)</f>
        <v/>
      </c>
      <c r="AH1355">
        <f>IFERROR(INDEX(PP_Grid[#Data],$DE1355,31),0)</f>
        <v/>
      </c>
      <c r="AI1355">
        <f>IFERROR(INDEX(PP_Grid[#Data],$DE1355,32),0)</f>
        <v/>
      </c>
      <c r="AJ1355">
        <f>IFERROR(INDEX(PP_Grid[#Data],$DE1355,33),0)</f>
        <v/>
      </c>
      <c r="AK1355">
        <f>IFERROR(INDEX(PP_Grid[#Data],$DE1355,34),0)</f>
        <v/>
      </c>
      <c r="AL1355">
        <f>IFERROR(INDEX(PP_Grid[#Data],$DE1355,35),0)</f>
        <v/>
      </c>
      <c r="AM1355">
        <f>IFERROR(INDEX(PP_Grid[#Data],$DE1355,36),0)</f>
        <v/>
      </c>
      <c r="AN1355">
        <f>IFERROR(INDEX(PP_Grid[#Data],$DE1355,37),0)</f>
        <v/>
      </c>
      <c r="AO1355">
        <f>IFERROR(INDEX(PP_Grid[#Data],$DE1355,38),0)</f>
        <v/>
      </c>
      <c r="AP1355">
        <f>IFERROR(INDEX(PP_Grid[#Data],$DE1355,39),0)</f>
        <v/>
      </c>
      <c r="AQ1355">
        <f>IFERROR(INDEX(PP_Grid[#Data],$DE1355,40),0)</f>
        <v/>
      </c>
      <c r="AR1355">
        <f>IFERROR(INDEX(PP_Grid[#Data],$DE1355,41),0)</f>
        <v/>
      </c>
      <c r="AS1355">
        <f>IFERROR(INDEX(PP_Grid[#Data],$DE1355,42),0)</f>
        <v/>
      </c>
      <c r="AT1355">
        <f>IFERROR(INDEX(PP_Grid[#Data],$DE1355,43),0)</f>
        <v/>
      </c>
      <c r="AU1355">
        <f>IFERROR(INDEX(PP_Grid[#Data],$DE1355,44),0)</f>
        <v/>
      </c>
      <c r="AV1355">
        <f>IFERROR(INDEX(PP_Grid[#Data],$DE1355,45),0)</f>
        <v/>
      </c>
      <c r="AW1355">
        <f>IFERROR(INDEX(PP_Grid[#Data],$DE1355,46),0)</f>
        <v/>
      </c>
      <c r="AX1355">
        <f>IFERROR(INDEX(PP_Grid[#Data],$DE1355,47),0)</f>
        <v/>
      </c>
      <c r="AY1355">
        <f>IFERROR(INDEX(PP_Grid[#Data],$DE1355,48),0)</f>
        <v/>
      </c>
      <c r="AZ1355">
        <f>IFERROR(INDEX(PP_Grid[#Data],$DE1355,49),0)</f>
        <v/>
      </c>
      <c r="BA1355">
        <f>IFERROR(INDEX(PP_Grid[#Data],$DE1355,50),0)</f>
        <v/>
      </c>
      <c r="BB1355">
        <f>IFERROR(INDEX(PP_Grid[#Data],$DE1355,51),0)</f>
        <v/>
      </c>
      <c r="BC1355">
        <f>IFERROR(INDEX(PP_Grid[#Data],$DE1355,52),0)</f>
        <v/>
      </c>
      <c r="BD1355">
        <f>IFERROR(INDEX(PP_Grid[#Data],$DE1355,53),0)</f>
        <v/>
      </c>
      <c r="BE1355">
        <f>IFERROR(INDEX(PP_Grid[#Data],$DE1355,54),0)</f>
        <v/>
      </c>
      <c r="BF1355">
        <f>IFERROR(INDEX(PP_Grid[#Data],$DE1355,55),0)</f>
        <v/>
      </c>
      <c r="BG1355">
        <f>IFERROR(INDEX(PP_Grid[#Data],$DE1355,56),0)</f>
        <v/>
      </c>
      <c r="BH1355">
        <f>IFERROR(INDEX(PP_Grid[#Data],$DE1355,57),0)</f>
        <v/>
      </c>
      <c r="BI1355">
        <f>IFERROR(INDEX(PP_Grid[#Data],$DE1355,58),0)</f>
        <v/>
      </c>
      <c r="BJ1355">
        <f>IFERROR(INDEX(PP_Grid[#Data],$DE1355,59),0)</f>
        <v/>
      </c>
      <c r="BK1355">
        <f>IFERROR(INDEX(PP_Grid[#Data],$DE1355,60),0)</f>
        <v/>
      </c>
      <c r="BL1355">
        <f>IFERROR(INDEX(PP_Grid[#Data],$DE1355,61),0)</f>
        <v/>
      </c>
      <c r="BM1355">
        <f>IFERROR(INDEX(PP_Grid[#Data],$DE1355,62),0)</f>
        <v/>
      </c>
      <c r="BN1355">
        <f>IFERROR(INDEX(PP_Grid[#Data],$DE1355,63),0)</f>
        <v/>
      </c>
      <c r="BO1355">
        <f>IFERROR(INDEX(PP_Grid[#Data],$DE1355,64),0)</f>
        <v/>
      </c>
      <c r="BP1355">
        <f>IFERROR(INDEX(PP_Grid[#Data],$DE1355,65),0)</f>
        <v/>
      </c>
      <c r="BQ1355">
        <f>IFERROR(INDEX(PP_Grid[#Data],$DE1355,66),0)</f>
        <v/>
      </c>
      <c r="BR1355">
        <f>IFERROR(INDEX(PP_Grid[#Data],$DE1355,67),0)</f>
        <v/>
      </c>
      <c r="BS1355">
        <f>IFERROR(INDEX(PP_Grid[#Data],$DE1355,68),0)</f>
        <v/>
      </c>
      <c r="BT1355">
        <f>IFERROR(INDEX(PP_Grid[#Data],$DE1355,69),0)</f>
        <v/>
      </c>
      <c r="BU1355">
        <f>IFERROR(INDEX(PP_Grid[#Data],$DE1355,70),0)</f>
        <v/>
      </c>
      <c r="BV1355">
        <f>IFERROR(INDEX(PP_Grid[#Data],$DE1355,71),0)</f>
        <v/>
      </c>
      <c r="BW1355">
        <f>IFERROR(INDEX(PP_Grid[#Data],$DE1355,72),0)</f>
        <v/>
      </c>
      <c r="BX1355">
        <f>IFERROR(INDEX(PP_Grid[#Data],$DE1355,73),0)</f>
        <v/>
      </c>
      <c r="BY1355">
        <f>IFERROR(INDEX(PP_Grid[#Data],$DE1355,74),0)</f>
        <v/>
      </c>
      <c r="BZ1355">
        <f>IFERROR(INDEX(PP_Grid[#Data],$DE1355,75),0)</f>
        <v/>
      </c>
      <c r="CA1355">
        <f>IFERROR(INDEX(PP_Grid[#Data],$DE1355,76),0)</f>
        <v/>
      </c>
      <c r="CB1355">
        <f>IFERROR(INDEX(PP_Grid[#Data],$DE1355,77),0)</f>
        <v/>
      </c>
      <c r="CC1355">
        <f>IFERROR(INDEX(PP_Grid[#Data],$DE1355,78),0)</f>
        <v/>
      </c>
      <c r="CD1355">
        <f>IFERROR(INDEX(PP_Grid[#Data],$DE1355,79),0)</f>
        <v/>
      </c>
      <c r="CE1355">
        <f>IFERROR(INDEX(PP_Grid[#Data],$DE1355,80),0)</f>
        <v/>
      </c>
      <c r="CF1355">
        <f>IFERROR(INDEX(PP_Grid[#Data],$DE1355,81),0)</f>
        <v/>
      </c>
      <c r="CG1355">
        <f>IFERROR(INDEX(PP_Grid[#Data],$DE1355,82),0)</f>
        <v/>
      </c>
      <c r="CH1355">
        <f>IFERROR(INDEX(PP_Grid[#Data],$DE1355,83),0)</f>
        <v/>
      </c>
      <c r="CI1355">
        <f>IFERROR(INDEX(PP_Grid[#Data],$DE1355,84),0)</f>
        <v/>
      </c>
      <c r="CJ1355">
        <f>IFERROR(INDEX(PP_Grid[#Data],$DE1355,85),0)</f>
        <v/>
      </c>
      <c r="CK1355">
        <f>IFERROR(INDEX(PP_Grid[#Data],$DE1355,86),0)</f>
        <v/>
      </c>
      <c r="CL1355">
        <f>IFERROR(INDEX(PP_Grid[#Data],$DE1355,87),0)</f>
        <v/>
      </c>
      <c r="CM1355">
        <f>IFERROR(INDEX(PP_Grid[#Data],$DE1355,88),0)</f>
        <v/>
      </c>
      <c r="CN1355">
        <f>IFERROR(INDEX(PP_Grid[#Data],$DE1355,89),0)</f>
        <v/>
      </c>
      <c r="CO1355">
        <f>IFERROR(INDEX(PP_Grid[#Data],$DE1355,90),0)</f>
        <v/>
      </c>
      <c r="CP1355">
        <f>IFERROR(INDEX(PP_Grid[#Data],$DE1355,91),0)</f>
        <v/>
      </c>
      <c r="CQ1355">
        <f>IFERROR(INDEX(PP_Grid[#Data],$DE1355,92),0)</f>
        <v/>
      </c>
      <c r="CR1355">
        <f>IFERROR(INDEX(PP_Grid[#Data],$DE1355,93),0)</f>
        <v/>
      </c>
      <c r="CS1355">
        <f>IFERROR(INDEX(PP_Grid[#Data],$DE1355,94),0)</f>
        <v/>
      </c>
      <c r="CT1355">
        <f>IFERROR(INDEX(PP_Grid[#Data],$DE1355,95),0)</f>
        <v/>
      </c>
      <c r="CU1355">
        <f>IFERROR(INDEX(PP_Grid[#Data],$DE1355,96),0)</f>
        <v/>
      </c>
      <c r="CV1355">
        <f>IFERROR(INDEX(PP_Grid[#Data],$DE1355,97),0)</f>
        <v/>
      </c>
      <c r="CW1355">
        <f>IFERROR(INDEX(PP_Grid[#Data],$DE1355,98),0)</f>
        <v/>
      </c>
      <c r="CX1355">
        <f>IFERROR(INDEX(PP_Grid[#Data],$DE1355,99),0)</f>
        <v/>
      </c>
      <c r="CY1355">
        <f>IFERROR(INDEX(PP_Grid[#Data],$DE1355,100),0)</f>
        <v/>
      </c>
      <c r="CZ1355">
        <f>IFERROR(INDEX(PP_Grid[#Data],$DE1355,101),0)</f>
        <v/>
      </c>
      <c r="DA1355">
        <f>IFERROR(INDEX(PP_Grid[#Data],$DE1355,102),0)</f>
        <v/>
      </c>
      <c r="DB1355">
        <f>IFERROR(INDEX(PP_Grid[#Data],$DE1355,103),0)</f>
        <v/>
      </c>
      <c r="DC1355">
        <f>IFERROR(INDEX(PP_Grid[#Data],$DE1355,104),0)</f>
        <v/>
      </c>
      <c r="DD1355">
        <f>IFERROR(INDEX(PP_Grid[#Data],$DE1355,105),0)</f>
        <v/>
      </c>
      <c r="DE1355" s="7">
        <f>IFERROR(MATCH($B1355,PP_Grid[Intermediate],0),99999)</f>
        <v/>
      </c>
    </row>
    <row r="1356">
      <c r="B1356" t="inlineStr">
        <is>
          <t>使用量(kg)</t>
        </is>
      </c>
      <c r="C1356">
        <f>SUMIFS(M_BOM[RM_Qty_Per_Batch],M_BOM[Intermediate],$B1355,M_BOM[RM_Code],$A1326)</f>
        <v/>
      </c>
      <c r="D1356">
        <f>IFERROR(INDEX(E1356:DD1356,$F$1),"")</f>
        <v/>
      </c>
      <c r="E1356">
        <f>$C1356*E1355</f>
        <v/>
      </c>
      <c r="F1356">
        <f>$C1356*F1355</f>
        <v/>
      </c>
      <c r="G1356">
        <f>$C1356*G1355</f>
        <v/>
      </c>
      <c r="H1356">
        <f>$C1356*H1355</f>
        <v/>
      </c>
      <c r="I1356">
        <f>$C1356*I1355</f>
        <v/>
      </c>
      <c r="J1356">
        <f>$C1356*J1355</f>
        <v/>
      </c>
      <c r="K1356">
        <f>$C1356*K1355</f>
        <v/>
      </c>
      <c r="L1356">
        <f>$C1356*L1355</f>
        <v/>
      </c>
      <c r="M1356">
        <f>$C1356*M1355</f>
        <v/>
      </c>
      <c r="N1356">
        <f>$C1356*N1355</f>
        <v/>
      </c>
      <c r="O1356">
        <f>$C1356*O1355</f>
        <v/>
      </c>
      <c r="P1356">
        <f>$C1356*P1355</f>
        <v/>
      </c>
      <c r="Q1356">
        <f>$C1356*Q1355</f>
        <v/>
      </c>
      <c r="R1356">
        <f>$C1356*R1355</f>
        <v/>
      </c>
      <c r="S1356">
        <f>$C1356*S1355</f>
        <v/>
      </c>
      <c r="T1356">
        <f>$C1356*T1355</f>
        <v/>
      </c>
      <c r="U1356">
        <f>$C1356*U1355</f>
        <v/>
      </c>
      <c r="V1356">
        <f>$C1356*V1355</f>
        <v/>
      </c>
      <c r="W1356">
        <f>$C1356*W1355</f>
        <v/>
      </c>
      <c r="X1356">
        <f>$C1356*X1355</f>
        <v/>
      </c>
      <c r="Y1356">
        <f>$C1356*Y1355</f>
        <v/>
      </c>
      <c r="Z1356">
        <f>$C1356*Z1355</f>
        <v/>
      </c>
      <c r="AA1356">
        <f>$C1356*AA1355</f>
        <v/>
      </c>
      <c r="AB1356">
        <f>$C1356*AB1355</f>
        <v/>
      </c>
      <c r="AC1356">
        <f>$C1356*AC1355</f>
        <v/>
      </c>
      <c r="AD1356">
        <f>$C1356*AD1355</f>
        <v/>
      </c>
      <c r="AE1356">
        <f>$C1356*AE1355</f>
        <v/>
      </c>
      <c r="AF1356">
        <f>$C1356*AF1355</f>
        <v/>
      </c>
      <c r="AG1356">
        <f>$C1356*AG1355</f>
        <v/>
      </c>
      <c r="AH1356">
        <f>$C1356*AH1355</f>
        <v/>
      </c>
      <c r="AI1356">
        <f>$C1356*AI1355</f>
        <v/>
      </c>
      <c r="AJ1356">
        <f>$C1356*AJ1355</f>
        <v/>
      </c>
      <c r="AK1356">
        <f>$C1356*AK1355</f>
        <v/>
      </c>
      <c r="AL1356">
        <f>$C1356*AL1355</f>
        <v/>
      </c>
      <c r="AM1356">
        <f>$C1356*AM1355</f>
        <v/>
      </c>
      <c r="AN1356">
        <f>$C1356*AN1355</f>
        <v/>
      </c>
      <c r="AO1356">
        <f>$C1356*AO1355</f>
        <v/>
      </c>
      <c r="AP1356">
        <f>$C1356*AP1355</f>
        <v/>
      </c>
      <c r="AQ1356">
        <f>$C1356*AQ1355</f>
        <v/>
      </c>
      <c r="AR1356">
        <f>$C1356*AR1355</f>
        <v/>
      </c>
      <c r="AS1356">
        <f>$C1356*AS1355</f>
        <v/>
      </c>
      <c r="AT1356">
        <f>$C1356*AT1355</f>
        <v/>
      </c>
      <c r="AU1356">
        <f>$C1356*AU1355</f>
        <v/>
      </c>
      <c r="AV1356">
        <f>$C1356*AV1355</f>
        <v/>
      </c>
      <c r="AW1356">
        <f>$C1356*AW1355</f>
        <v/>
      </c>
      <c r="AX1356">
        <f>$C1356*AX1355</f>
        <v/>
      </c>
      <c r="AY1356">
        <f>$C1356*AY1355</f>
        <v/>
      </c>
      <c r="AZ1356">
        <f>$C1356*AZ1355</f>
        <v/>
      </c>
      <c r="BA1356">
        <f>$C1356*BA1355</f>
        <v/>
      </c>
      <c r="BB1356">
        <f>$C1356*BB1355</f>
        <v/>
      </c>
      <c r="BC1356">
        <f>$C1356*BC1355</f>
        <v/>
      </c>
      <c r="BD1356">
        <f>$C1356*BD1355</f>
        <v/>
      </c>
      <c r="BE1356">
        <f>$C1356*BE1355</f>
        <v/>
      </c>
      <c r="BF1356">
        <f>$C1356*BF1355</f>
        <v/>
      </c>
      <c r="BG1356">
        <f>$C1356*BG1355</f>
        <v/>
      </c>
      <c r="BH1356">
        <f>$C1356*BH1355</f>
        <v/>
      </c>
      <c r="BI1356">
        <f>$C1356*BI1355</f>
        <v/>
      </c>
      <c r="BJ1356">
        <f>$C1356*BJ1355</f>
        <v/>
      </c>
      <c r="BK1356">
        <f>$C1356*BK1355</f>
        <v/>
      </c>
      <c r="BL1356">
        <f>$C1356*BL1355</f>
        <v/>
      </c>
      <c r="BM1356">
        <f>$C1356*BM1355</f>
        <v/>
      </c>
      <c r="BN1356">
        <f>$C1356*BN1355</f>
        <v/>
      </c>
      <c r="BO1356">
        <f>$C1356*BO1355</f>
        <v/>
      </c>
      <c r="BP1356">
        <f>$C1356*BP1355</f>
        <v/>
      </c>
      <c r="BQ1356">
        <f>$C1356*BQ1355</f>
        <v/>
      </c>
      <c r="BR1356">
        <f>$C1356*BR1355</f>
        <v/>
      </c>
      <c r="BS1356">
        <f>$C1356*BS1355</f>
        <v/>
      </c>
      <c r="BT1356">
        <f>$C1356*BT1355</f>
        <v/>
      </c>
      <c r="BU1356">
        <f>$C1356*BU1355</f>
        <v/>
      </c>
      <c r="BV1356">
        <f>$C1356*BV1355</f>
        <v/>
      </c>
      <c r="BW1356">
        <f>$C1356*BW1355</f>
        <v/>
      </c>
      <c r="BX1356">
        <f>$C1356*BX1355</f>
        <v/>
      </c>
      <c r="BY1356">
        <f>$C1356*BY1355</f>
        <v/>
      </c>
      <c r="BZ1356">
        <f>$C1356*BZ1355</f>
        <v/>
      </c>
      <c r="CA1356">
        <f>$C1356*CA1355</f>
        <v/>
      </c>
      <c r="CB1356">
        <f>$C1356*CB1355</f>
        <v/>
      </c>
      <c r="CC1356">
        <f>$C1356*CC1355</f>
        <v/>
      </c>
      <c r="CD1356">
        <f>$C1356*CD1355</f>
        <v/>
      </c>
      <c r="CE1356">
        <f>$C1356*CE1355</f>
        <v/>
      </c>
      <c r="CF1356">
        <f>$C1356*CF1355</f>
        <v/>
      </c>
      <c r="CG1356">
        <f>$C1356*CG1355</f>
        <v/>
      </c>
      <c r="CH1356">
        <f>$C1356*CH1355</f>
        <v/>
      </c>
      <c r="CI1356">
        <f>$C1356*CI1355</f>
        <v/>
      </c>
      <c r="CJ1356">
        <f>$C1356*CJ1355</f>
        <v/>
      </c>
      <c r="CK1356">
        <f>$C1356*CK1355</f>
        <v/>
      </c>
      <c r="CL1356">
        <f>$C1356*CL1355</f>
        <v/>
      </c>
      <c r="CM1356">
        <f>$C1356*CM1355</f>
        <v/>
      </c>
      <c r="CN1356">
        <f>$C1356*CN1355</f>
        <v/>
      </c>
      <c r="CO1356">
        <f>$C1356*CO1355</f>
        <v/>
      </c>
      <c r="CP1356">
        <f>$C1356*CP1355</f>
        <v/>
      </c>
      <c r="CQ1356">
        <f>$C1356*CQ1355</f>
        <v/>
      </c>
      <c r="CR1356">
        <f>$C1356*CR1355</f>
        <v/>
      </c>
      <c r="CS1356">
        <f>$C1356*CS1355</f>
        <v/>
      </c>
      <c r="CT1356">
        <f>$C1356*CT1355</f>
        <v/>
      </c>
      <c r="CU1356">
        <f>$C1356*CU1355</f>
        <v/>
      </c>
      <c r="CV1356">
        <f>$C1356*CV1355</f>
        <v/>
      </c>
      <c r="CW1356">
        <f>$C1356*CW1355</f>
        <v/>
      </c>
      <c r="CX1356">
        <f>$C1356*CX1355</f>
        <v/>
      </c>
      <c r="CY1356">
        <f>$C1356*CY1355</f>
        <v/>
      </c>
      <c r="CZ1356">
        <f>$C1356*CZ1355</f>
        <v/>
      </c>
      <c r="DA1356">
        <f>$C1356*DA1355</f>
        <v/>
      </c>
      <c r="DB1356">
        <f>$C1356*DB1355</f>
        <v/>
      </c>
      <c r="DC1356">
        <f>$C1356*DC1355</f>
        <v/>
      </c>
      <c r="DD1356">
        <f>$C1356*DD1355</f>
        <v/>
      </c>
    </row>
    <row r="1357">
      <c r="B1357" t="inlineStr">
        <is>
          <t>TPP-533(98%)</t>
        </is>
      </c>
      <c r="C1357" t="inlineStr">
        <is>
          <t>No. of batches</t>
        </is>
      </c>
      <c r="D1357">
        <f>IFERROR(INDEX(E1357:DD1357,$F$1),"")</f>
        <v/>
      </c>
      <c r="E1357">
        <f>IFERROR(INDEX(PP_Grid[#Data],$DE1357,2),0)</f>
        <v/>
      </c>
      <c r="F1357">
        <f>IFERROR(INDEX(PP_Grid[#Data],$DE1357,3),0)</f>
        <v/>
      </c>
      <c r="G1357">
        <f>IFERROR(INDEX(PP_Grid[#Data],$DE1357,4),0)</f>
        <v/>
      </c>
      <c r="H1357">
        <f>IFERROR(INDEX(PP_Grid[#Data],$DE1357,5),0)</f>
        <v/>
      </c>
      <c r="I1357">
        <f>IFERROR(INDEX(PP_Grid[#Data],$DE1357,6),0)</f>
        <v/>
      </c>
      <c r="J1357">
        <f>IFERROR(INDEX(PP_Grid[#Data],$DE1357,7),0)</f>
        <v/>
      </c>
      <c r="K1357">
        <f>IFERROR(INDEX(PP_Grid[#Data],$DE1357,8),0)</f>
        <v/>
      </c>
      <c r="L1357">
        <f>IFERROR(INDEX(PP_Grid[#Data],$DE1357,9),0)</f>
        <v/>
      </c>
      <c r="M1357">
        <f>IFERROR(INDEX(PP_Grid[#Data],$DE1357,10),0)</f>
        <v/>
      </c>
      <c r="N1357">
        <f>IFERROR(INDEX(PP_Grid[#Data],$DE1357,11),0)</f>
        <v/>
      </c>
      <c r="O1357">
        <f>IFERROR(INDEX(PP_Grid[#Data],$DE1357,12),0)</f>
        <v/>
      </c>
      <c r="P1357">
        <f>IFERROR(INDEX(PP_Grid[#Data],$DE1357,13),0)</f>
        <v/>
      </c>
      <c r="Q1357">
        <f>IFERROR(INDEX(PP_Grid[#Data],$DE1357,14),0)</f>
        <v/>
      </c>
      <c r="R1357">
        <f>IFERROR(INDEX(PP_Grid[#Data],$DE1357,15),0)</f>
        <v/>
      </c>
      <c r="S1357">
        <f>IFERROR(INDEX(PP_Grid[#Data],$DE1357,16),0)</f>
        <v/>
      </c>
      <c r="T1357">
        <f>IFERROR(INDEX(PP_Grid[#Data],$DE1357,17),0)</f>
        <v/>
      </c>
      <c r="U1357">
        <f>IFERROR(INDEX(PP_Grid[#Data],$DE1357,18),0)</f>
        <v/>
      </c>
      <c r="V1357">
        <f>IFERROR(INDEX(PP_Grid[#Data],$DE1357,19),0)</f>
        <v/>
      </c>
      <c r="W1357">
        <f>IFERROR(INDEX(PP_Grid[#Data],$DE1357,20),0)</f>
        <v/>
      </c>
      <c r="X1357">
        <f>IFERROR(INDEX(PP_Grid[#Data],$DE1357,21),0)</f>
        <v/>
      </c>
      <c r="Y1357">
        <f>IFERROR(INDEX(PP_Grid[#Data],$DE1357,22),0)</f>
        <v/>
      </c>
      <c r="Z1357">
        <f>IFERROR(INDEX(PP_Grid[#Data],$DE1357,23),0)</f>
        <v/>
      </c>
      <c r="AA1357">
        <f>IFERROR(INDEX(PP_Grid[#Data],$DE1357,24),0)</f>
        <v/>
      </c>
      <c r="AB1357">
        <f>IFERROR(INDEX(PP_Grid[#Data],$DE1357,25),0)</f>
        <v/>
      </c>
      <c r="AC1357">
        <f>IFERROR(INDEX(PP_Grid[#Data],$DE1357,26),0)</f>
        <v/>
      </c>
      <c r="AD1357">
        <f>IFERROR(INDEX(PP_Grid[#Data],$DE1357,27),0)</f>
        <v/>
      </c>
      <c r="AE1357">
        <f>IFERROR(INDEX(PP_Grid[#Data],$DE1357,28),0)</f>
        <v/>
      </c>
      <c r="AF1357">
        <f>IFERROR(INDEX(PP_Grid[#Data],$DE1357,29),0)</f>
        <v/>
      </c>
      <c r="AG1357">
        <f>IFERROR(INDEX(PP_Grid[#Data],$DE1357,30),0)</f>
        <v/>
      </c>
      <c r="AH1357">
        <f>IFERROR(INDEX(PP_Grid[#Data],$DE1357,31),0)</f>
        <v/>
      </c>
      <c r="AI1357">
        <f>IFERROR(INDEX(PP_Grid[#Data],$DE1357,32),0)</f>
        <v/>
      </c>
      <c r="AJ1357">
        <f>IFERROR(INDEX(PP_Grid[#Data],$DE1357,33),0)</f>
        <v/>
      </c>
      <c r="AK1357">
        <f>IFERROR(INDEX(PP_Grid[#Data],$DE1357,34),0)</f>
        <v/>
      </c>
      <c r="AL1357">
        <f>IFERROR(INDEX(PP_Grid[#Data],$DE1357,35),0)</f>
        <v/>
      </c>
      <c r="AM1357">
        <f>IFERROR(INDEX(PP_Grid[#Data],$DE1357,36),0)</f>
        <v/>
      </c>
      <c r="AN1357">
        <f>IFERROR(INDEX(PP_Grid[#Data],$DE1357,37),0)</f>
        <v/>
      </c>
      <c r="AO1357">
        <f>IFERROR(INDEX(PP_Grid[#Data],$DE1357,38),0)</f>
        <v/>
      </c>
      <c r="AP1357">
        <f>IFERROR(INDEX(PP_Grid[#Data],$DE1357,39),0)</f>
        <v/>
      </c>
      <c r="AQ1357">
        <f>IFERROR(INDEX(PP_Grid[#Data],$DE1357,40),0)</f>
        <v/>
      </c>
      <c r="AR1357">
        <f>IFERROR(INDEX(PP_Grid[#Data],$DE1357,41),0)</f>
        <v/>
      </c>
      <c r="AS1357">
        <f>IFERROR(INDEX(PP_Grid[#Data],$DE1357,42),0)</f>
        <v/>
      </c>
      <c r="AT1357">
        <f>IFERROR(INDEX(PP_Grid[#Data],$DE1357,43),0)</f>
        <v/>
      </c>
      <c r="AU1357">
        <f>IFERROR(INDEX(PP_Grid[#Data],$DE1357,44),0)</f>
        <v/>
      </c>
      <c r="AV1357">
        <f>IFERROR(INDEX(PP_Grid[#Data],$DE1357,45),0)</f>
        <v/>
      </c>
      <c r="AW1357">
        <f>IFERROR(INDEX(PP_Grid[#Data],$DE1357,46),0)</f>
        <v/>
      </c>
      <c r="AX1357">
        <f>IFERROR(INDEX(PP_Grid[#Data],$DE1357,47),0)</f>
        <v/>
      </c>
      <c r="AY1357">
        <f>IFERROR(INDEX(PP_Grid[#Data],$DE1357,48),0)</f>
        <v/>
      </c>
      <c r="AZ1357">
        <f>IFERROR(INDEX(PP_Grid[#Data],$DE1357,49),0)</f>
        <v/>
      </c>
      <c r="BA1357">
        <f>IFERROR(INDEX(PP_Grid[#Data],$DE1357,50),0)</f>
        <v/>
      </c>
      <c r="BB1357">
        <f>IFERROR(INDEX(PP_Grid[#Data],$DE1357,51),0)</f>
        <v/>
      </c>
      <c r="BC1357">
        <f>IFERROR(INDEX(PP_Grid[#Data],$DE1357,52),0)</f>
        <v/>
      </c>
      <c r="BD1357">
        <f>IFERROR(INDEX(PP_Grid[#Data],$DE1357,53),0)</f>
        <v/>
      </c>
      <c r="BE1357">
        <f>IFERROR(INDEX(PP_Grid[#Data],$DE1357,54),0)</f>
        <v/>
      </c>
      <c r="BF1357">
        <f>IFERROR(INDEX(PP_Grid[#Data],$DE1357,55),0)</f>
        <v/>
      </c>
      <c r="BG1357">
        <f>IFERROR(INDEX(PP_Grid[#Data],$DE1357,56),0)</f>
        <v/>
      </c>
      <c r="BH1357">
        <f>IFERROR(INDEX(PP_Grid[#Data],$DE1357,57),0)</f>
        <v/>
      </c>
      <c r="BI1357">
        <f>IFERROR(INDEX(PP_Grid[#Data],$DE1357,58),0)</f>
        <v/>
      </c>
      <c r="BJ1357">
        <f>IFERROR(INDEX(PP_Grid[#Data],$DE1357,59),0)</f>
        <v/>
      </c>
      <c r="BK1357">
        <f>IFERROR(INDEX(PP_Grid[#Data],$DE1357,60),0)</f>
        <v/>
      </c>
      <c r="BL1357">
        <f>IFERROR(INDEX(PP_Grid[#Data],$DE1357,61),0)</f>
        <v/>
      </c>
      <c r="BM1357">
        <f>IFERROR(INDEX(PP_Grid[#Data],$DE1357,62),0)</f>
        <v/>
      </c>
      <c r="BN1357">
        <f>IFERROR(INDEX(PP_Grid[#Data],$DE1357,63),0)</f>
        <v/>
      </c>
      <c r="BO1357">
        <f>IFERROR(INDEX(PP_Grid[#Data],$DE1357,64),0)</f>
        <v/>
      </c>
      <c r="BP1357">
        <f>IFERROR(INDEX(PP_Grid[#Data],$DE1357,65),0)</f>
        <v/>
      </c>
      <c r="BQ1357">
        <f>IFERROR(INDEX(PP_Grid[#Data],$DE1357,66),0)</f>
        <v/>
      </c>
      <c r="BR1357">
        <f>IFERROR(INDEX(PP_Grid[#Data],$DE1357,67),0)</f>
        <v/>
      </c>
      <c r="BS1357">
        <f>IFERROR(INDEX(PP_Grid[#Data],$DE1357,68),0)</f>
        <v/>
      </c>
      <c r="BT1357">
        <f>IFERROR(INDEX(PP_Grid[#Data],$DE1357,69),0)</f>
        <v/>
      </c>
      <c r="BU1357">
        <f>IFERROR(INDEX(PP_Grid[#Data],$DE1357,70),0)</f>
        <v/>
      </c>
      <c r="BV1357">
        <f>IFERROR(INDEX(PP_Grid[#Data],$DE1357,71),0)</f>
        <v/>
      </c>
      <c r="BW1357">
        <f>IFERROR(INDEX(PP_Grid[#Data],$DE1357,72),0)</f>
        <v/>
      </c>
      <c r="BX1357">
        <f>IFERROR(INDEX(PP_Grid[#Data],$DE1357,73),0)</f>
        <v/>
      </c>
      <c r="BY1357">
        <f>IFERROR(INDEX(PP_Grid[#Data],$DE1357,74),0)</f>
        <v/>
      </c>
      <c r="BZ1357">
        <f>IFERROR(INDEX(PP_Grid[#Data],$DE1357,75),0)</f>
        <v/>
      </c>
      <c r="CA1357">
        <f>IFERROR(INDEX(PP_Grid[#Data],$DE1357,76),0)</f>
        <v/>
      </c>
      <c r="CB1357">
        <f>IFERROR(INDEX(PP_Grid[#Data],$DE1357,77),0)</f>
        <v/>
      </c>
      <c r="CC1357">
        <f>IFERROR(INDEX(PP_Grid[#Data],$DE1357,78),0)</f>
        <v/>
      </c>
      <c r="CD1357">
        <f>IFERROR(INDEX(PP_Grid[#Data],$DE1357,79),0)</f>
        <v/>
      </c>
      <c r="CE1357">
        <f>IFERROR(INDEX(PP_Grid[#Data],$DE1357,80),0)</f>
        <v/>
      </c>
      <c r="CF1357">
        <f>IFERROR(INDEX(PP_Grid[#Data],$DE1357,81),0)</f>
        <v/>
      </c>
      <c r="CG1357">
        <f>IFERROR(INDEX(PP_Grid[#Data],$DE1357,82),0)</f>
        <v/>
      </c>
      <c r="CH1357">
        <f>IFERROR(INDEX(PP_Grid[#Data],$DE1357,83),0)</f>
        <v/>
      </c>
      <c r="CI1357">
        <f>IFERROR(INDEX(PP_Grid[#Data],$DE1357,84),0)</f>
        <v/>
      </c>
      <c r="CJ1357">
        <f>IFERROR(INDEX(PP_Grid[#Data],$DE1357,85),0)</f>
        <v/>
      </c>
      <c r="CK1357">
        <f>IFERROR(INDEX(PP_Grid[#Data],$DE1357,86),0)</f>
        <v/>
      </c>
      <c r="CL1357">
        <f>IFERROR(INDEX(PP_Grid[#Data],$DE1357,87),0)</f>
        <v/>
      </c>
      <c r="CM1357">
        <f>IFERROR(INDEX(PP_Grid[#Data],$DE1357,88),0)</f>
        <v/>
      </c>
      <c r="CN1357">
        <f>IFERROR(INDEX(PP_Grid[#Data],$DE1357,89),0)</f>
        <v/>
      </c>
      <c r="CO1357">
        <f>IFERROR(INDEX(PP_Grid[#Data],$DE1357,90),0)</f>
        <v/>
      </c>
      <c r="CP1357">
        <f>IFERROR(INDEX(PP_Grid[#Data],$DE1357,91),0)</f>
        <v/>
      </c>
      <c r="CQ1357">
        <f>IFERROR(INDEX(PP_Grid[#Data],$DE1357,92),0)</f>
        <v/>
      </c>
      <c r="CR1357">
        <f>IFERROR(INDEX(PP_Grid[#Data],$DE1357,93),0)</f>
        <v/>
      </c>
      <c r="CS1357">
        <f>IFERROR(INDEX(PP_Grid[#Data],$DE1357,94),0)</f>
        <v/>
      </c>
      <c r="CT1357">
        <f>IFERROR(INDEX(PP_Grid[#Data],$DE1357,95),0)</f>
        <v/>
      </c>
      <c r="CU1357">
        <f>IFERROR(INDEX(PP_Grid[#Data],$DE1357,96),0)</f>
        <v/>
      </c>
      <c r="CV1357">
        <f>IFERROR(INDEX(PP_Grid[#Data],$DE1357,97),0)</f>
        <v/>
      </c>
      <c r="CW1357">
        <f>IFERROR(INDEX(PP_Grid[#Data],$DE1357,98),0)</f>
        <v/>
      </c>
      <c r="CX1357">
        <f>IFERROR(INDEX(PP_Grid[#Data],$DE1357,99),0)</f>
        <v/>
      </c>
      <c r="CY1357">
        <f>IFERROR(INDEX(PP_Grid[#Data],$DE1357,100),0)</f>
        <v/>
      </c>
      <c r="CZ1357">
        <f>IFERROR(INDEX(PP_Grid[#Data],$DE1357,101),0)</f>
        <v/>
      </c>
      <c r="DA1357">
        <f>IFERROR(INDEX(PP_Grid[#Data],$DE1357,102),0)</f>
        <v/>
      </c>
      <c r="DB1357">
        <f>IFERROR(INDEX(PP_Grid[#Data],$DE1357,103),0)</f>
        <v/>
      </c>
      <c r="DC1357">
        <f>IFERROR(INDEX(PP_Grid[#Data],$DE1357,104),0)</f>
        <v/>
      </c>
      <c r="DD1357">
        <f>IFERROR(INDEX(PP_Grid[#Data],$DE1357,105),0)</f>
        <v/>
      </c>
      <c r="DE1357" s="7">
        <f>IFERROR(MATCH($B1357,PP_Grid[Intermediate],0),99999)</f>
        <v/>
      </c>
    </row>
    <row r="1358">
      <c r="B1358" t="inlineStr">
        <is>
          <t>使用量(kg)</t>
        </is>
      </c>
      <c r="C1358">
        <f>SUMIFS(M_BOM[RM_Qty_Per_Batch],M_BOM[Intermediate],$B1357,M_BOM[RM_Code],$A1326)</f>
        <v/>
      </c>
      <c r="D1358">
        <f>IFERROR(INDEX(E1358:DD1358,$F$1),"")</f>
        <v/>
      </c>
      <c r="E1358">
        <f>$C1358*E1357</f>
        <v/>
      </c>
      <c r="F1358">
        <f>$C1358*F1357</f>
        <v/>
      </c>
      <c r="G1358">
        <f>$C1358*G1357</f>
        <v/>
      </c>
      <c r="H1358">
        <f>$C1358*H1357</f>
        <v/>
      </c>
      <c r="I1358">
        <f>$C1358*I1357</f>
        <v/>
      </c>
      <c r="J1358">
        <f>$C1358*J1357</f>
        <v/>
      </c>
      <c r="K1358">
        <f>$C1358*K1357</f>
        <v/>
      </c>
      <c r="L1358">
        <f>$C1358*L1357</f>
        <v/>
      </c>
      <c r="M1358">
        <f>$C1358*M1357</f>
        <v/>
      </c>
      <c r="N1358">
        <f>$C1358*N1357</f>
        <v/>
      </c>
      <c r="O1358">
        <f>$C1358*O1357</f>
        <v/>
      </c>
      <c r="P1358">
        <f>$C1358*P1357</f>
        <v/>
      </c>
      <c r="Q1358">
        <f>$C1358*Q1357</f>
        <v/>
      </c>
      <c r="R1358">
        <f>$C1358*R1357</f>
        <v/>
      </c>
      <c r="S1358">
        <f>$C1358*S1357</f>
        <v/>
      </c>
      <c r="T1358">
        <f>$C1358*T1357</f>
        <v/>
      </c>
      <c r="U1358">
        <f>$C1358*U1357</f>
        <v/>
      </c>
      <c r="V1358">
        <f>$C1358*V1357</f>
        <v/>
      </c>
      <c r="W1358">
        <f>$C1358*W1357</f>
        <v/>
      </c>
      <c r="X1358">
        <f>$C1358*X1357</f>
        <v/>
      </c>
      <c r="Y1358">
        <f>$C1358*Y1357</f>
        <v/>
      </c>
      <c r="Z1358">
        <f>$C1358*Z1357</f>
        <v/>
      </c>
      <c r="AA1358">
        <f>$C1358*AA1357</f>
        <v/>
      </c>
      <c r="AB1358">
        <f>$C1358*AB1357</f>
        <v/>
      </c>
      <c r="AC1358">
        <f>$C1358*AC1357</f>
        <v/>
      </c>
      <c r="AD1358">
        <f>$C1358*AD1357</f>
        <v/>
      </c>
      <c r="AE1358">
        <f>$C1358*AE1357</f>
        <v/>
      </c>
      <c r="AF1358">
        <f>$C1358*AF1357</f>
        <v/>
      </c>
      <c r="AG1358">
        <f>$C1358*AG1357</f>
        <v/>
      </c>
      <c r="AH1358">
        <f>$C1358*AH1357</f>
        <v/>
      </c>
      <c r="AI1358">
        <f>$C1358*AI1357</f>
        <v/>
      </c>
      <c r="AJ1358">
        <f>$C1358*AJ1357</f>
        <v/>
      </c>
      <c r="AK1358">
        <f>$C1358*AK1357</f>
        <v/>
      </c>
      <c r="AL1358">
        <f>$C1358*AL1357</f>
        <v/>
      </c>
      <c r="AM1358">
        <f>$C1358*AM1357</f>
        <v/>
      </c>
      <c r="AN1358">
        <f>$C1358*AN1357</f>
        <v/>
      </c>
      <c r="AO1358">
        <f>$C1358*AO1357</f>
        <v/>
      </c>
      <c r="AP1358">
        <f>$C1358*AP1357</f>
        <v/>
      </c>
      <c r="AQ1358">
        <f>$C1358*AQ1357</f>
        <v/>
      </c>
      <c r="AR1358">
        <f>$C1358*AR1357</f>
        <v/>
      </c>
      <c r="AS1358">
        <f>$C1358*AS1357</f>
        <v/>
      </c>
      <c r="AT1358">
        <f>$C1358*AT1357</f>
        <v/>
      </c>
      <c r="AU1358">
        <f>$C1358*AU1357</f>
        <v/>
      </c>
      <c r="AV1358">
        <f>$C1358*AV1357</f>
        <v/>
      </c>
      <c r="AW1358">
        <f>$C1358*AW1357</f>
        <v/>
      </c>
      <c r="AX1358">
        <f>$C1358*AX1357</f>
        <v/>
      </c>
      <c r="AY1358">
        <f>$C1358*AY1357</f>
        <v/>
      </c>
      <c r="AZ1358">
        <f>$C1358*AZ1357</f>
        <v/>
      </c>
      <c r="BA1358">
        <f>$C1358*BA1357</f>
        <v/>
      </c>
      <c r="BB1358">
        <f>$C1358*BB1357</f>
        <v/>
      </c>
      <c r="BC1358">
        <f>$C1358*BC1357</f>
        <v/>
      </c>
      <c r="BD1358">
        <f>$C1358*BD1357</f>
        <v/>
      </c>
      <c r="BE1358">
        <f>$C1358*BE1357</f>
        <v/>
      </c>
      <c r="BF1358">
        <f>$C1358*BF1357</f>
        <v/>
      </c>
      <c r="BG1358">
        <f>$C1358*BG1357</f>
        <v/>
      </c>
      <c r="BH1358">
        <f>$C1358*BH1357</f>
        <v/>
      </c>
      <c r="BI1358">
        <f>$C1358*BI1357</f>
        <v/>
      </c>
      <c r="BJ1358">
        <f>$C1358*BJ1357</f>
        <v/>
      </c>
      <c r="BK1358">
        <f>$C1358*BK1357</f>
        <v/>
      </c>
      <c r="BL1358">
        <f>$C1358*BL1357</f>
        <v/>
      </c>
      <c r="BM1358">
        <f>$C1358*BM1357</f>
        <v/>
      </c>
      <c r="BN1358">
        <f>$C1358*BN1357</f>
        <v/>
      </c>
      <c r="BO1358">
        <f>$C1358*BO1357</f>
        <v/>
      </c>
      <c r="BP1358">
        <f>$C1358*BP1357</f>
        <v/>
      </c>
      <c r="BQ1358">
        <f>$C1358*BQ1357</f>
        <v/>
      </c>
      <c r="BR1358">
        <f>$C1358*BR1357</f>
        <v/>
      </c>
      <c r="BS1358">
        <f>$C1358*BS1357</f>
        <v/>
      </c>
      <c r="BT1358">
        <f>$C1358*BT1357</f>
        <v/>
      </c>
      <c r="BU1358">
        <f>$C1358*BU1357</f>
        <v/>
      </c>
      <c r="BV1358">
        <f>$C1358*BV1357</f>
        <v/>
      </c>
      <c r="BW1358">
        <f>$C1358*BW1357</f>
        <v/>
      </c>
      <c r="BX1358">
        <f>$C1358*BX1357</f>
        <v/>
      </c>
      <c r="BY1358">
        <f>$C1358*BY1357</f>
        <v/>
      </c>
      <c r="BZ1358">
        <f>$C1358*BZ1357</f>
        <v/>
      </c>
      <c r="CA1358">
        <f>$C1358*CA1357</f>
        <v/>
      </c>
      <c r="CB1358">
        <f>$C1358*CB1357</f>
        <v/>
      </c>
      <c r="CC1358">
        <f>$C1358*CC1357</f>
        <v/>
      </c>
      <c r="CD1358">
        <f>$C1358*CD1357</f>
        <v/>
      </c>
      <c r="CE1358">
        <f>$C1358*CE1357</f>
        <v/>
      </c>
      <c r="CF1358">
        <f>$C1358*CF1357</f>
        <v/>
      </c>
      <c r="CG1358">
        <f>$C1358*CG1357</f>
        <v/>
      </c>
      <c r="CH1358">
        <f>$C1358*CH1357</f>
        <v/>
      </c>
      <c r="CI1358">
        <f>$C1358*CI1357</f>
        <v/>
      </c>
      <c r="CJ1358">
        <f>$C1358*CJ1357</f>
        <v/>
      </c>
      <c r="CK1358">
        <f>$C1358*CK1357</f>
        <v/>
      </c>
      <c r="CL1358">
        <f>$C1358*CL1357</f>
        <v/>
      </c>
      <c r="CM1358">
        <f>$C1358*CM1357</f>
        <v/>
      </c>
      <c r="CN1358">
        <f>$C1358*CN1357</f>
        <v/>
      </c>
      <c r="CO1358">
        <f>$C1358*CO1357</f>
        <v/>
      </c>
      <c r="CP1358">
        <f>$C1358*CP1357</f>
        <v/>
      </c>
      <c r="CQ1358">
        <f>$C1358*CQ1357</f>
        <v/>
      </c>
      <c r="CR1358">
        <f>$C1358*CR1357</f>
        <v/>
      </c>
      <c r="CS1358">
        <f>$C1358*CS1357</f>
        <v/>
      </c>
      <c r="CT1358">
        <f>$C1358*CT1357</f>
        <v/>
      </c>
      <c r="CU1358">
        <f>$C1358*CU1357</f>
        <v/>
      </c>
      <c r="CV1358">
        <f>$C1358*CV1357</f>
        <v/>
      </c>
      <c r="CW1358">
        <f>$C1358*CW1357</f>
        <v/>
      </c>
      <c r="CX1358">
        <f>$C1358*CX1357</f>
        <v/>
      </c>
      <c r="CY1358">
        <f>$C1358*CY1357</f>
        <v/>
      </c>
      <c r="CZ1358">
        <f>$C1358*CZ1357</f>
        <v/>
      </c>
      <c r="DA1358">
        <f>$C1358*DA1357</f>
        <v/>
      </c>
      <c r="DB1358">
        <f>$C1358*DB1357</f>
        <v/>
      </c>
      <c r="DC1358">
        <f>$C1358*DC1357</f>
        <v/>
      </c>
      <c r="DD1358">
        <f>$C1358*DD1357</f>
        <v/>
      </c>
    </row>
    <row r="1359">
      <c r="B1359" t="inlineStr">
        <is>
          <t>TPP-533(A)</t>
        </is>
      </c>
      <c r="C1359" t="inlineStr">
        <is>
          <t>No. of batches</t>
        </is>
      </c>
      <c r="D1359">
        <f>IFERROR(INDEX(E1359:DD1359,$F$1),"")</f>
        <v/>
      </c>
      <c r="E1359">
        <f>IFERROR(INDEX(PP_Grid[#Data],$DE1359,2),0)</f>
        <v/>
      </c>
      <c r="F1359">
        <f>IFERROR(INDEX(PP_Grid[#Data],$DE1359,3),0)</f>
        <v/>
      </c>
      <c r="G1359">
        <f>IFERROR(INDEX(PP_Grid[#Data],$DE1359,4),0)</f>
        <v/>
      </c>
      <c r="H1359">
        <f>IFERROR(INDEX(PP_Grid[#Data],$DE1359,5),0)</f>
        <v/>
      </c>
      <c r="I1359">
        <f>IFERROR(INDEX(PP_Grid[#Data],$DE1359,6),0)</f>
        <v/>
      </c>
      <c r="J1359">
        <f>IFERROR(INDEX(PP_Grid[#Data],$DE1359,7),0)</f>
        <v/>
      </c>
      <c r="K1359">
        <f>IFERROR(INDEX(PP_Grid[#Data],$DE1359,8),0)</f>
        <v/>
      </c>
      <c r="L1359">
        <f>IFERROR(INDEX(PP_Grid[#Data],$DE1359,9),0)</f>
        <v/>
      </c>
      <c r="M1359">
        <f>IFERROR(INDEX(PP_Grid[#Data],$DE1359,10),0)</f>
        <v/>
      </c>
      <c r="N1359">
        <f>IFERROR(INDEX(PP_Grid[#Data],$DE1359,11),0)</f>
        <v/>
      </c>
      <c r="O1359">
        <f>IFERROR(INDEX(PP_Grid[#Data],$DE1359,12),0)</f>
        <v/>
      </c>
      <c r="P1359">
        <f>IFERROR(INDEX(PP_Grid[#Data],$DE1359,13),0)</f>
        <v/>
      </c>
      <c r="Q1359">
        <f>IFERROR(INDEX(PP_Grid[#Data],$DE1359,14),0)</f>
        <v/>
      </c>
      <c r="R1359">
        <f>IFERROR(INDEX(PP_Grid[#Data],$DE1359,15),0)</f>
        <v/>
      </c>
      <c r="S1359">
        <f>IFERROR(INDEX(PP_Grid[#Data],$DE1359,16),0)</f>
        <v/>
      </c>
      <c r="T1359">
        <f>IFERROR(INDEX(PP_Grid[#Data],$DE1359,17),0)</f>
        <v/>
      </c>
      <c r="U1359">
        <f>IFERROR(INDEX(PP_Grid[#Data],$DE1359,18),0)</f>
        <v/>
      </c>
      <c r="V1359">
        <f>IFERROR(INDEX(PP_Grid[#Data],$DE1359,19),0)</f>
        <v/>
      </c>
      <c r="W1359">
        <f>IFERROR(INDEX(PP_Grid[#Data],$DE1359,20),0)</f>
        <v/>
      </c>
      <c r="X1359">
        <f>IFERROR(INDEX(PP_Grid[#Data],$DE1359,21),0)</f>
        <v/>
      </c>
      <c r="Y1359">
        <f>IFERROR(INDEX(PP_Grid[#Data],$DE1359,22),0)</f>
        <v/>
      </c>
      <c r="Z1359">
        <f>IFERROR(INDEX(PP_Grid[#Data],$DE1359,23),0)</f>
        <v/>
      </c>
      <c r="AA1359">
        <f>IFERROR(INDEX(PP_Grid[#Data],$DE1359,24),0)</f>
        <v/>
      </c>
      <c r="AB1359">
        <f>IFERROR(INDEX(PP_Grid[#Data],$DE1359,25),0)</f>
        <v/>
      </c>
      <c r="AC1359">
        <f>IFERROR(INDEX(PP_Grid[#Data],$DE1359,26),0)</f>
        <v/>
      </c>
      <c r="AD1359">
        <f>IFERROR(INDEX(PP_Grid[#Data],$DE1359,27),0)</f>
        <v/>
      </c>
      <c r="AE1359">
        <f>IFERROR(INDEX(PP_Grid[#Data],$DE1359,28),0)</f>
        <v/>
      </c>
      <c r="AF1359">
        <f>IFERROR(INDEX(PP_Grid[#Data],$DE1359,29),0)</f>
        <v/>
      </c>
      <c r="AG1359">
        <f>IFERROR(INDEX(PP_Grid[#Data],$DE1359,30),0)</f>
        <v/>
      </c>
      <c r="AH1359">
        <f>IFERROR(INDEX(PP_Grid[#Data],$DE1359,31),0)</f>
        <v/>
      </c>
      <c r="AI1359">
        <f>IFERROR(INDEX(PP_Grid[#Data],$DE1359,32),0)</f>
        <v/>
      </c>
      <c r="AJ1359">
        <f>IFERROR(INDEX(PP_Grid[#Data],$DE1359,33),0)</f>
        <v/>
      </c>
      <c r="AK1359">
        <f>IFERROR(INDEX(PP_Grid[#Data],$DE1359,34),0)</f>
        <v/>
      </c>
      <c r="AL1359">
        <f>IFERROR(INDEX(PP_Grid[#Data],$DE1359,35),0)</f>
        <v/>
      </c>
      <c r="AM1359">
        <f>IFERROR(INDEX(PP_Grid[#Data],$DE1359,36),0)</f>
        <v/>
      </c>
      <c r="AN1359">
        <f>IFERROR(INDEX(PP_Grid[#Data],$DE1359,37),0)</f>
        <v/>
      </c>
      <c r="AO1359">
        <f>IFERROR(INDEX(PP_Grid[#Data],$DE1359,38),0)</f>
        <v/>
      </c>
      <c r="AP1359">
        <f>IFERROR(INDEX(PP_Grid[#Data],$DE1359,39),0)</f>
        <v/>
      </c>
      <c r="AQ1359">
        <f>IFERROR(INDEX(PP_Grid[#Data],$DE1359,40),0)</f>
        <v/>
      </c>
      <c r="AR1359">
        <f>IFERROR(INDEX(PP_Grid[#Data],$DE1359,41),0)</f>
        <v/>
      </c>
      <c r="AS1359">
        <f>IFERROR(INDEX(PP_Grid[#Data],$DE1359,42),0)</f>
        <v/>
      </c>
      <c r="AT1359">
        <f>IFERROR(INDEX(PP_Grid[#Data],$DE1359,43),0)</f>
        <v/>
      </c>
      <c r="AU1359">
        <f>IFERROR(INDEX(PP_Grid[#Data],$DE1359,44),0)</f>
        <v/>
      </c>
      <c r="AV1359">
        <f>IFERROR(INDEX(PP_Grid[#Data],$DE1359,45),0)</f>
        <v/>
      </c>
      <c r="AW1359">
        <f>IFERROR(INDEX(PP_Grid[#Data],$DE1359,46),0)</f>
        <v/>
      </c>
      <c r="AX1359">
        <f>IFERROR(INDEX(PP_Grid[#Data],$DE1359,47),0)</f>
        <v/>
      </c>
      <c r="AY1359">
        <f>IFERROR(INDEX(PP_Grid[#Data],$DE1359,48),0)</f>
        <v/>
      </c>
      <c r="AZ1359">
        <f>IFERROR(INDEX(PP_Grid[#Data],$DE1359,49),0)</f>
        <v/>
      </c>
      <c r="BA1359">
        <f>IFERROR(INDEX(PP_Grid[#Data],$DE1359,50),0)</f>
        <v/>
      </c>
      <c r="BB1359">
        <f>IFERROR(INDEX(PP_Grid[#Data],$DE1359,51),0)</f>
        <v/>
      </c>
      <c r="BC1359">
        <f>IFERROR(INDEX(PP_Grid[#Data],$DE1359,52),0)</f>
        <v/>
      </c>
      <c r="BD1359">
        <f>IFERROR(INDEX(PP_Grid[#Data],$DE1359,53),0)</f>
        <v/>
      </c>
      <c r="BE1359">
        <f>IFERROR(INDEX(PP_Grid[#Data],$DE1359,54),0)</f>
        <v/>
      </c>
      <c r="BF1359">
        <f>IFERROR(INDEX(PP_Grid[#Data],$DE1359,55),0)</f>
        <v/>
      </c>
      <c r="BG1359">
        <f>IFERROR(INDEX(PP_Grid[#Data],$DE1359,56),0)</f>
        <v/>
      </c>
      <c r="BH1359">
        <f>IFERROR(INDEX(PP_Grid[#Data],$DE1359,57),0)</f>
        <v/>
      </c>
      <c r="BI1359">
        <f>IFERROR(INDEX(PP_Grid[#Data],$DE1359,58),0)</f>
        <v/>
      </c>
      <c r="BJ1359">
        <f>IFERROR(INDEX(PP_Grid[#Data],$DE1359,59),0)</f>
        <v/>
      </c>
      <c r="BK1359">
        <f>IFERROR(INDEX(PP_Grid[#Data],$DE1359,60),0)</f>
        <v/>
      </c>
      <c r="BL1359">
        <f>IFERROR(INDEX(PP_Grid[#Data],$DE1359,61),0)</f>
        <v/>
      </c>
      <c r="BM1359">
        <f>IFERROR(INDEX(PP_Grid[#Data],$DE1359,62),0)</f>
        <v/>
      </c>
      <c r="BN1359">
        <f>IFERROR(INDEX(PP_Grid[#Data],$DE1359,63),0)</f>
        <v/>
      </c>
      <c r="BO1359">
        <f>IFERROR(INDEX(PP_Grid[#Data],$DE1359,64),0)</f>
        <v/>
      </c>
      <c r="BP1359">
        <f>IFERROR(INDEX(PP_Grid[#Data],$DE1359,65),0)</f>
        <v/>
      </c>
      <c r="BQ1359">
        <f>IFERROR(INDEX(PP_Grid[#Data],$DE1359,66),0)</f>
        <v/>
      </c>
      <c r="BR1359">
        <f>IFERROR(INDEX(PP_Grid[#Data],$DE1359,67),0)</f>
        <v/>
      </c>
      <c r="BS1359">
        <f>IFERROR(INDEX(PP_Grid[#Data],$DE1359,68),0)</f>
        <v/>
      </c>
      <c r="BT1359">
        <f>IFERROR(INDEX(PP_Grid[#Data],$DE1359,69),0)</f>
        <v/>
      </c>
      <c r="BU1359">
        <f>IFERROR(INDEX(PP_Grid[#Data],$DE1359,70),0)</f>
        <v/>
      </c>
      <c r="BV1359">
        <f>IFERROR(INDEX(PP_Grid[#Data],$DE1359,71),0)</f>
        <v/>
      </c>
      <c r="BW1359">
        <f>IFERROR(INDEX(PP_Grid[#Data],$DE1359,72),0)</f>
        <v/>
      </c>
      <c r="BX1359">
        <f>IFERROR(INDEX(PP_Grid[#Data],$DE1359,73),0)</f>
        <v/>
      </c>
      <c r="BY1359">
        <f>IFERROR(INDEX(PP_Grid[#Data],$DE1359,74),0)</f>
        <v/>
      </c>
      <c r="BZ1359">
        <f>IFERROR(INDEX(PP_Grid[#Data],$DE1359,75),0)</f>
        <v/>
      </c>
      <c r="CA1359">
        <f>IFERROR(INDEX(PP_Grid[#Data],$DE1359,76),0)</f>
        <v/>
      </c>
      <c r="CB1359">
        <f>IFERROR(INDEX(PP_Grid[#Data],$DE1359,77),0)</f>
        <v/>
      </c>
      <c r="CC1359">
        <f>IFERROR(INDEX(PP_Grid[#Data],$DE1359,78),0)</f>
        <v/>
      </c>
      <c r="CD1359">
        <f>IFERROR(INDEX(PP_Grid[#Data],$DE1359,79),0)</f>
        <v/>
      </c>
      <c r="CE1359">
        <f>IFERROR(INDEX(PP_Grid[#Data],$DE1359,80),0)</f>
        <v/>
      </c>
      <c r="CF1359">
        <f>IFERROR(INDEX(PP_Grid[#Data],$DE1359,81),0)</f>
        <v/>
      </c>
      <c r="CG1359">
        <f>IFERROR(INDEX(PP_Grid[#Data],$DE1359,82),0)</f>
        <v/>
      </c>
      <c r="CH1359">
        <f>IFERROR(INDEX(PP_Grid[#Data],$DE1359,83),0)</f>
        <v/>
      </c>
      <c r="CI1359">
        <f>IFERROR(INDEX(PP_Grid[#Data],$DE1359,84),0)</f>
        <v/>
      </c>
      <c r="CJ1359">
        <f>IFERROR(INDEX(PP_Grid[#Data],$DE1359,85),0)</f>
        <v/>
      </c>
      <c r="CK1359">
        <f>IFERROR(INDEX(PP_Grid[#Data],$DE1359,86),0)</f>
        <v/>
      </c>
      <c r="CL1359">
        <f>IFERROR(INDEX(PP_Grid[#Data],$DE1359,87),0)</f>
        <v/>
      </c>
      <c r="CM1359">
        <f>IFERROR(INDEX(PP_Grid[#Data],$DE1359,88),0)</f>
        <v/>
      </c>
      <c r="CN1359">
        <f>IFERROR(INDEX(PP_Grid[#Data],$DE1359,89),0)</f>
        <v/>
      </c>
      <c r="CO1359">
        <f>IFERROR(INDEX(PP_Grid[#Data],$DE1359,90),0)</f>
        <v/>
      </c>
      <c r="CP1359">
        <f>IFERROR(INDEX(PP_Grid[#Data],$DE1359,91),0)</f>
        <v/>
      </c>
      <c r="CQ1359">
        <f>IFERROR(INDEX(PP_Grid[#Data],$DE1359,92),0)</f>
        <v/>
      </c>
      <c r="CR1359">
        <f>IFERROR(INDEX(PP_Grid[#Data],$DE1359,93),0)</f>
        <v/>
      </c>
      <c r="CS1359">
        <f>IFERROR(INDEX(PP_Grid[#Data],$DE1359,94),0)</f>
        <v/>
      </c>
      <c r="CT1359">
        <f>IFERROR(INDEX(PP_Grid[#Data],$DE1359,95),0)</f>
        <v/>
      </c>
      <c r="CU1359">
        <f>IFERROR(INDEX(PP_Grid[#Data],$DE1359,96),0)</f>
        <v/>
      </c>
      <c r="CV1359">
        <f>IFERROR(INDEX(PP_Grid[#Data],$DE1359,97),0)</f>
        <v/>
      </c>
      <c r="CW1359">
        <f>IFERROR(INDEX(PP_Grid[#Data],$DE1359,98),0)</f>
        <v/>
      </c>
      <c r="CX1359">
        <f>IFERROR(INDEX(PP_Grid[#Data],$DE1359,99),0)</f>
        <v/>
      </c>
      <c r="CY1359">
        <f>IFERROR(INDEX(PP_Grid[#Data],$DE1359,100),0)</f>
        <v/>
      </c>
      <c r="CZ1359">
        <f>IFERROR(INDEX(PP_Grid[#Data],$DE1359,101),0)</f>
        <v/>
      </c>
      <c r="DA1359">
        <f>IFERROR(INDEX(PP_Grid[#Data],$DE1359,102),0)</f>
        <v/>
      </c>
      <c r="DB1359">
        <f>IFERROR(INDEX(PP_Grid[#Data],$DE1359,103),0)</f>
        <v/>
      </c>
      <c r="DC1359">
        <f>IFERROR(INDEX(PP_Grid[#Data],$DE1359,104),0)</f>
        <v/>
      </c>
      <c r="DD1359">
        <f>IFERROR(INDEX(PP_Grid[#Data],$DE1359,105),0)</f>
        <v/>
      </c>
      <c r="DE1359" s="7">
        <f>IFERROR(MATCH($B1359,PP_Grid[Intermediate],0),99999)</f>
        <v/>
      </c>
    </row>
    <row r="1360">
      <c r="B1360" t="inlineStr">
        <is>
          <t>使用量(kg)</t>
        </is>
      </c>
      <c r="C1360">
        <f>SUMIFS(M_BOM[RM_Qty_Per_Batch],M_BOM[Intermediate],$B1359,M_BOM[RM_Code],$A1326)</f>
        <v/>
      </c>
      <c r="D1360">
        <f>IFERROR(INDEX(E1360:DD1360,$F$1),"")</f>
        <v/>
      </c>
      <c r="E1360">
        <f>$C1360*E1359</f>
        <v/>
      </c>
      <c r="F1360">
        <f>$C1360*F1359</f>
        <v/>
      </c>
      <c r="G1360">
        <f>$C1360*G1359</f>
        <v/>
      </c>
      <c r="H1360">
        <f>$C1360*H1359</f>
        <v/>
      </c>
      <c r="I1360">
        <f>$C1360*I1359</f>
        <v/>
      </c>
      <c r="J1360">
        <f>$C1360*J1359</f>
        <v/>
      </c>
      <c r="K1360">
        <f>$C1360*K1359</f>
        <v/>
      </c>
      <c r="L1360">
        <f>$C1360*L1359</f>
        <v/>
      </c>
      <c r="M1360">
        <f>$C1360*M1359</f>
        <v/>
      </c>
      <c r="N1360">
        <f>$C1360*N1359</f>
        <v/>
      </c>
      <c r="O1360">
        <f>$C1360*O1359</f>
        <v/>
      </c>
      <c r="P1360">
        <f>$C1360*P1359</f>
        <v/>
      </c>
      <c r="Q1360">
        <f>$C1360*Q1359</f>
        <v/>
      </c>
      <c r="R1360">
        <f>$C1360*R1359</f>
        <v/>
      </c>
      <c r="S1360">
        <f>$C1360*S1359</f>
        <v/>
      </c>
      <c r="T1360">
        <f>$C1360*T1359</f>
        <v/>
      </c>
      <c r="U1360">
        <f>$C1360*U1359</f>
        <v/>
      </c>
      <c r="V1360">
        <f>$C1360*V1359</f>
        <v/>
      </c>
      <c r="W1360">
        <f>$C1360*W1359</f>
        <v/>
      </c>
      <c r="X1360">
        <f>$C1360*X1359</f>
        <v/>
      </c>
      <c r="Y1360">
        <f>$C1360*Y1359</f>
        <v/>
      </c>
      <c r="Z1360">
        <f>$C1360*Z1359</f>
        <v/>
      </c>
      <c r="AA1360">
        <f>$C1360*AA1359</f>
        <v/>
      </c>
      <c r="AB1360">
        <f>$C1360*AB1359</f>
        <v/>
      </c>
      <c r="AC1360">
        <f>$C1360*AC1359</f>
        <v/>
      </c>
      <c r="AD1360">
        <f>$C1360*AD1359</f>
        <v/>
      </c>
      <c r="AE1360">
        <f>$C1360*AE1359</f>
        <v/>
      </c>
      <c r="AF1360">
        <f>$C1360*AF1359</f>
        <v/>
      </c>
      <c r="AG1360">
        <f>$C1360*AG1359</f>
        <v/>
      </c>
      <c r="AH1360">
        <f>$C1360*AH1359</f>
        <v/>
      </c>
      <c r="AI1360">
        <f>$C1360*AI1359</f>
        <v/>
      </c>
      <c r="AJ1360">
        <f>$C1360*AJ1359</f>
        <v/>
      </c>
      <c r="AK1360">
        <f>$C1360*AK1359</f>
        <v/>
      </c>
      <c r="AL1360">
        <f>$C1360*AL1359</f>
        <v/>
      </c>
      <c r="AM1360">
        <f>$C1360*AM1359</f>
        <v/>
      </c>
      <c r="AN1360">
        <f>$C1360*AN1359</f>
        <v/>
      </c>
      <c r="AO1360">
        <f>$C1360*AO1359</f>
        <v/>
      </c>
      <c r="AP1360">
        <f>$C1360*AP1359</f>
        <v/>
      </c>
      <c r="AQ1360">
        <f>$C1360*AQ1359</f>
        <v/>
      </c>
      <c r="AR1360">
        <f>$C1360*AR1359</f>
        <v/>
      </c>
      <c r="AS1360">
        <f>$C1360*AS1359</f>
        <v/>
      </c>
      <c r="AT1360">
        <f>$C1360*AT1359</f>
        <v/>
      </c>
      <c r="AU1360">
        <f>$C1360*AU1359</f>
        <v/>
      </c>
      <c r="AV1360">
        <f>$C1360*AV1359</f>
        <v/>
      </c>
      <c r="AW1360">
        <f>$C1360*AW1359</f>
        <v/>
      </c>
      <c r="AX1360">
        <f>$C1360*AX1359</f>
        <v/>
      </c>
      <c r="AY1360">
        <f>$C1360*AY1359</f>
        <v/>
      </c>
      <c r="AZ1360">
        <f>$C1360*AZ1359</f>
        <v/>
      </c>
      <c r="BA1360">
        <f>$C1360*BA1359</f>
        <v/>
      </c>
      <c r="BB1360">
        <f>$C1360*BB1359</f>
        <v/>
      </c>
      <c r="BC1360">
        <f>$C1360*BC1359</f>
        <v/>
      </c>
      <c r="BD1360">
        <f>$C1360*BD1359</f>
        <v/>
      </c>
      <c r="BE1360">
        <f>$C1360*BE1359</f>
        <v/>
      </c>
      <c r="BF1360">
        <f>$C1360*BF1359</f>
        <v/>
      </c>
      <c r="BG1360">
        <f>$C1360*BG1359</f>
        <v/>
      </c>
      <c r="BH1360">
        <f>$C1360*BH1359</f>
        <v/>
      </c>
      <c r="BI1360">
        <f>$C1360*BI1359</f>
        <v/>
      </c>
      <c r="BJ1360">
        <f>$C1360*BJ1359</f>
        <v/>
      </c>
      <c r="BK1360">
        <f>$C1360*BK1359</f>
        <v/>
      </c>
      <c r="BL1360">
        <f>$C1360*BL1359</f>
        <v/>
      </c>
      <c r="BM1360">
        <f>$C1360*BM1359</f>
        <v/>
      </c>
      <c r="BN1360">
        <f>$C1360*BN1359</f>
        <v/>
      </c>
      <c r="BO1360">
        <f>$C1360*BO1359</f>
        <v/>
      </c>
      <c r="BP1360">
        <f>$C1360*BP1359</f>
        <v/>
      </c>
      <c r="BQ1360">
        <f>$C1360*BQ1359</f>
        <v/>
      </c>
      <c r="BR1360">
        <f>$C1360*BR1359</f>
        <v/>
      </c>
      <c r="BS1360">
        <f>$C1360*BS1359</f>
        <v/>
      </c>
      <c r="BT1360">
        <f>$C1360*BT1359</f>
        <v/>
      </c>
      <c r="BU1360">
        <f>$C1360*BU1359</f>
        <v/>
      </c>
      <c r="BV1360">
        <f>$C1360*BV1359</f>
        <v/>
      </c>
      <c r="BW1360">
        <f>$C1360*BW1359</f>
        <v/>
      </c>
      <c r="BX1360">
        <f>$C1360*BX1359</f>
        <v/>
      </c>
      <c r="BY1360">
        <f>$C1360*BY1359</f>
        <v/>
      </c>
      <c r="BZ1360">
        <f>$C1360*BZ1359</f>
        <v/>
      </c>
      <c r="CA1360">
        <f>$C1360*CA1359</f>
        <v/>
      </c>
      <c r="CB1360">
        <f>$C1360*CB1359</f>
        <v/>
      </c>
      <c r="CC1360">
        <f>$C1360*CC1359</f>
        <v/>
      </c>
      <c r="CD1360">
        <f>$C1360*CD1359</f>
        <v/>
      </c>
      <c r="CE1360">
        <f>$C1360*CE1359</f>
        <v/>
      </c>
      <c r="CF1360">
        <f>$C1360*CF1359</f>
        <v/>
      </c>
      <c r="CG1360">
        <f>$C1360*CG1359</f>
        <v/>
      </c>
      <c r="CH1360">
        <f>$C1360*CH1359</f>
        <v/>
      </c>
      <c r="CI1360">
        <f>$C1360*CI1359</f>
        <v/>
      </c>
      <c r="CJ1360">
        <f>$C1360*CJ1359</f>
        <v/>
      </c>
      <c r="CK1360">
        <f>$C1360*CK1359</f>
        <v/>
      </c>
      <c r="CL1360">
        <f>$C1360*CL1359</f>
        <v/>
      </c>
      <c r="CM1360">
        <f>$C1360*CM1359</f>
        <v/>
      </c>
      <c r="CN1360">
        <f>$C1360*CN1359</f>
        <v/>
      </c>
      <c r="CO1360">
        <f>$C1360*CO1359</f>
        <v/>
      </c>
      <c r="CP1360">
        <f>$C1360*CP1359</f>
        <v/>
      </c>
      <c r="CQ1360">
        <f>$C1360*CQ1359</f>
        <v/>
      </c>
      <c r="CR1360">
        <f>$C1360*CR1359</f>
        <v/>
      </c>
      <c r="CS1360">
        <f>$C1360*CS1359</f>
        <v/>
      </c>
      <c r="CT1360">
        <f>$C1360*CT1359</f>
        <v/>
      </c>
      <c r="CU1360">
        <f>$C1360*CU1359</f>
        <v/>
      </c>
      <c r="CV1360">
        <f>$C1360*CV1359</f>
        <v/>
      </c>
      <c r="CW1360">
        <f>$C1360*CW1359</f>
        <v/>
      </c>
      <c r="CX1360">
        <f>$C1360*CX1359</f>
        <v/>
      </c>
      <c r="CY1360">
        <f>$C1360*CY1359</f>
        <v/>
      </c>
      <c r="CZ1360">
        <f>$C1360*CZ1359</f>
        <v/>
      </c>
      <c r="DA1360">
        <f>$C1360*DA1359</f>
        <v/>
      </c>
      <c r="DB1360">
        <f>$C1360*DB1359</f>
        <v/>
      </c>
      <c r="DC1360">
        <f>$C1360*DC1359</f>
        <v/>
      </c>
      <c r="DD1360">
        <f>$C1360*DD1359</f>
        <v/>
      </c>
    </row>
    <row r="1361">
      <c r="B1361" t="inlineStr">
        <is>
          <t>No of times used</t>
        </is>
      </c>
      <c r="C1361" t="inlineStr">
        <is>
          <t>No. of batches</t>
        </is>
      </c>
      <c r="D1361">
        <f>IFERROR(INDEX(E1361:DD1361,$F$1),"")</f>
        <v/>
      </c>
      <c r="E1361">
        <f>IFERROR(INDEX(PP_Grid[#Data],$DE1361,2),0)</f>
        <v/>
      </c>
      <c r="F1361">
        <f>IFERROR(INDEX(PP_Grid[#Data],$DE1361,3),0)</f>
        <v/>
      </c>
      <c r="G1361">
        <f>IFERROR(INDEX(PP_Grid[#Data],$DE1361,4),0)</f>
        <v/>
      </c>
      <c r="H1361">
        <f>IFERROR(INDEX(PP_Grid[#Data],$DE1361,5),0)</f>
        <v/>
      </c>
      <c r="I1361">
        <f>IFERROR(INDEX(PP_Grid[#Data],$DE1361,6),0)</f>
        <v/>
      </c>
      <c r="J1361">
        <f>IFERROR(INDEX(PP_Grid[#Data],$DE1361,7),0)</f>
        <v/>
      </c>
      <c r="K1361">
        <f>IFERROR(INDEX(PP_Grid[#Data],$DE1361,8),0)</f>
        <v/>
      </c>
      <c r="L1361">
        <f>IFERROR(INDEX(PP_Grid[#Data],$DE1361,9),0)</f>
        <v/>
      </c>
      <c r="M1361">
        <f>IFERROR(INDEX(PP_Grid[#Data],$DE1361,10),0)</f>
        <v/>
      </c>
      <c r="N1361">
        <f>IFERROR(INDEX(PP_Grid[#Data],$DE1361,11),0)</f>
        <v/>
      </c>
      <c r="O1361">
        <f>IFERROR(INDEX(PP_Grid[#Data],$DE1361,12),0)</f>
        <v/>
      </c>
      <c r="P1361">
        <f>IFERROR(INDEX(PP_Grid[#Data],$DE1361,13),0)</f>
        <v/>
      </c>
      <c r="Q1361">
        <f>IFERROR(INDEX(PP_Grid[#Data],$DE1361,14),0)</f>
        <v/>
      </c>
      <c r="R1361">
        <f>IFERROR(INDEX(PP_Grid[#Data],$DE1361,15),0)</f>
        <v/>
      </c>
      <c r="S1361">
        <f>IFERROR(INDEX(PP_Grid[#Data],$DE1361,16),0)</f>
        <v/>
      </c>
      <c r="T1361">
        <f>IFERROR(INDEX(PP_Grid[#Data],$DE1361,17),0)</f>
        <v/>
      </c>
      <c r="U1361">
        <f>IFERROR(INDEX(PP_Grid[#Data],$DE1361,18),0)</f>
        <v/>
      </c>
      <c r="V1361">
        <f>IFERROR(INDEX(PP_Grid[#Data],$DE1361,19),0)</f>
        <v/>
      </c>
      <c r="W1361">
        <f>IFERROR(INDEX(PP_Grid[#Data],$DE1361,20),0)</f>
        <v/>
      </c>
      <c r="X1361">
        <f>IFERROR(INDEX(PP_Grid[#Data],$DE1361,21),0)</f>
        <v/>
      </c>
      <c r="Y1361">
        <f>IFERROR(INDEX(PP_Grid[#Data],$DE1361,22),0)</f>
        <v/>
      </c>
      <c r="Z1361">
        <f>IFERROR(INDEX(PP_Grid[#Data],$DE1361,23),0)</f>
        <v/>
      </c>
      <c r="AA1361">
        <f>IFERROR(INDEX(PP_Grid[#Data],$DE1361,24),0)</f>
        <v/>
      </c>
      <c r="AB1361">
        <f>IFERROR(INDEX(PP_Grid[#Data],$DE1361,25),0)</f>
        <v/>
      </c>
      <c r="AC1361">
        <f>IFERROR(INDEX(PP_Grid[#Data],$DE1361,26),0)</f>
        <v/>
      </c>
      <c r="AD1361">
        <f>IFERROR(INDEX(PP_Grid[#Data],$DE1361,27),0)</f>
        <v/>
      </c>
      <c r="AE1361">
        <f>IFERROR(INDEX(PP_Grid[#Data],$DE1361,28),0)</f>
        <v/>
      </c>
      <c r="AF1361">
        <f>IFERROR(INDEX(PP_Grid[#Data],$DE1361,29),0)</f>
        <v/>
      </c>
      <c r="AG1361">
        <f>IFERROR(INDEX(PP_Grid[#Data],$DE1361,30),0)</f>
        <v/>
      </c>
      <c r="AH1361">
        <f>IFERROR(INDEX(PP_Grid[#Data],$DE1361,31),0)</f>
        <v/>
      </c>
      <c r="AI1361">
        <f>IFERROR(INDEX(PP_Grid[#Data],$DE1361,32),0)</f>
        <v/>
      </c>
      <c r="AJ1361">
        <f>IFERROR(INDEX(PP_Grid[#Data],$DE1361,33),0)</f>
        <v/>
      </c>
      <c r="AK1361">
        <f>IFERROR(INDEX(PP_Grid[#Data],$DE1361,34),0)</f>
        <v/>
      </c>
      <c r="AL1361">
        <f>IFERROR(INDEX(PP_Grid[#Data],$DE1361,35),0)</f>
        <v/>
      </c>
      <c r="AM1361">
        <f>IFERROR(INDEX(PP_Grid[#Data],$DE1361,36),0)</f>
        <v/>
      </c>
      <c r="AN1361">
        <f>IFERROR(INDEX(PP_Grid[#Data],$DE1361,37),0)</f>
        <v/>
      </c>
      <c r="AO1361">
        <f>IFERROR(INDEX(PP_Grid[#Data],$DE1361,38),0)</f>
        <v/>
      </c>
      <c r="AP1361">
        <f>IFERROR(INDEX(PP_Grid[#Data],$DE1361,39),0)</f>
        <v/>
      </c>
      <c r="AQ1361">
        <f>IFERROR(INDEX(PP_Grid[#Data],$DE1361,40),0)</f>
        <v/>
      </c>
      <c r="AR1361">
        <f>IFERROR(INDEX(PP_Grid[#Data],$DE1361,41),0)</f>
        <v/>
      </c>
      <c r="AS1361">
        <f>IFERROR(INDEX(PP_Grid[#Data],$DE1361,42),0)</f>
        <v/>
      </c>
      <c r="AT1361">
        <f>IFERROR(INDEX(PP_Grid[#Data],$DE1361,43),0)</f>
        <v/>
      </c>
      <c r="AU1361">
        <f>IFERROR(INDEX(PP_Grid[#Data],$DE1361,44),0)</f>
        <v/>
      </c>
      <c r="AV1361">
        <f>IFERROR(INDEX(PP_Grid[#Data],$DE1361,45),0)</f>
        <v/>
      </c>
      <c r="AW1361">
        <f>IFERROR(INDEX(PP_Grid[#Data],$DE1361,46),0)</f>
        <v/>
      </c>
      <c r="AX1361">
        <f>IFERROR(INDEX(PP_Grid[#Data],$DE1361,47),0)</f>
        <v/>
      </c>
      <c r="AY1361">
        <f>IFERROR(INDEX(PP_Grid[#Data],$DE1361,48),0)</f>
        <v/>
      </c>
      <c r="AZ1361">
        <f>IFERROR(INDEX(PP_Grid[#Data],$DE1361,49),0)</f>
        <v/>
      </c>
      <c r="BA1361">
        <f>IFERROR(INDEX(PP_Grid[#Data],$DE1361,50),0)</f>
        <v/>
      </c>
      <c r="BB1361">
        <f>IFERROR(INDEX(PP_Grid[#Data],$DE1361,51),0)</f>
        <v/>
      </c>
      <c r="BC1361">
        <f>IFERROR(INDEX(PP_Grid[#Data],$DE1361,52),0)</f>
        <v/>
      </c>
      <c r="BD1361">
        <f>IFERROR(INDEX(PP_Grid[#Data],$DE1361,53),0)</f>
        <v/>
      </c>
      <c r="BE1361">
        <f>IFERROR(INDEX(PP_Grid[#Data],$DE1361,54),0)</f>
        <v/>
      </c>
      <c r="BF1361">
        <f>IFERROR(INDEX(PP_Grid[#Data],$DE1361,55),0)</f>
        <v/>
      </c>
      <c r="BG1361">
        <f>IFERROR(INDEX(PP_Grid[#Data],$DE1361,56),0)</f>
        <v/>
      </c>
      <c r="BH1361">
        <f>IFERROR(INDEX(PP_Grid[#Data],$DE1361,57),0)</f>
        <v/>
      </c>
      <c r="BI1361">
        <f>IFERROR(INDEX(PP_Grid[#Data],$DE1361,58),0)</f>
        <v/>
      </c>
      <c r="BJ1361">
        <f>IFERROR(INDEX(PP_Grid[#Data],$DE1361,59),0)</f>
        <v/>
      </c>
      <c r="BK1361">
        <f>IFERROR(INDEX(PP_Grid[#Data],$DE1361,60),0)</f>
        <v/>
      </c>
      <c r="BL1361">
        <f>IFERROR(INDEX(PP_Grid[#Data],$DE1361,61),0)</f>
        <v/>
      </c>
      <c r="BM1361">
        <f>IFERROR(INDEX(PP_Grid[#Data],$DE1361,62),0)</f>
        <v/>
      </c>
      <c r="BN1361">
        <f>IFERROR(INDEX(PP_Grid[#Data],$DE1361,63),0)</f>
        <v/>
      </c>
      <c r="BO1361">
        <f>IFERROR(INDEX(PP_Grid[#Data],$DE1361,64),0)</f>
        <v/>
      </c>
      <c r="BP1361">
        <f>IFERROR(INDEX(PP_Grid[#Data],$DE1361,65),0)</f>
        <v/>
      </c>
      <c r="BQ1361">
        <f>IFERROR(INDEX(PP_Grid[#Data],$DE1361,66),0)</f>
        <v/>
      </c>
      <c r="BR1361">
        <f>IFERROR(INDEX(PP_Grid[#Data],$DE1361,67),0)</f>
        <v/>
      </c>
      <c r="BS1361">
        <f>IFERROR(INDEX(PP_Grid[#Data],$DE1361,68),0)</f>
        <v/>
      </c>
      <c r="BT1361">
        <f>IFERROR(INDEX(PP_Grid[#Data],$DE1361,69),0)</f>
        <v/>
      </c>
      <c r="BU1361">
        <f>IFERROR(INDEX(PP_Grid[#Data],$DE1361,70),0)</f>
        <v/>
      </c>
      <c r="BV1361">
        <f>IFERROR(INDEX(PP_Grid[#Data],$DE1361,71),0)</f>
        <v/>
      </c>
      <c r="BW1361">
        <f>IFERROR(INDEX(PP_Grid[#Data],$DE1361,72),0)</f>
        <v/>
      </c>
      <c r="BX1361">
        <f>IFERROR(INDEX(PP_Grid[#Data],$DE1361,73),0)</f>
        <v/>
      </c>
      <c r="BY1361">
        <f>IFERROR(INDEX(PP_Grid[#Data],$DE1361,74),0)</f>
        <v/>
      </c>
      <c r="BZ1361">
        <f>IFERROR(INDEX(PP_Grid[#Data],$DE1361,75),0)</f>
        <v/>
      </c>
      <c r="CA1361">
        <f>IFERROR(INDEX(PP_Grid[#Data],$DE1361,76),0)</f>
        <v/>
      </c>
      <c r="CB1361">
        <f>IFERROR(INDEX(PP_Grid[#Data],$DE1361,77),0)</f>
        <v/>
      </c>
      <c r="CC1361">
        <f>IFERROR(INDEX(PP_Grid[#Data],$DE1361,78),0)</f>
        <v/>
      </c>
      <c r="CD1361">
        <f>IFERROR(INDEX(PP_Grid[#Data],$DE1361,79),0)</f>
        <v/>
      </c>
      <c r="CE1361">
        <f>IFERROR(INDEX(PP_Grid[#Data],$DE1361,80),0)</f>
        <v/>
      </c>
      <c r="CF1361">
        <f>IFERROR(INDEX(PP_Grid[#Data],$DE1361,81),0)</f>
        <v/>
      </c>
      <c r="CG1361">
        <f>IFERROR(INDEX(PP_Grid[#Data],$DE1361,82),0)</f>
        <v/>
      </c>
      <c r="CH1361">
        <f>IFERROR(INDEX(PP_Grid[#Data],$DE1361,83),0)</f>
        <v/>
      </c>
      <c r="CI1361">
        <f>IFERROR(INDEX(PP_Grid[#Data],$DE1361,84),0)</f>
        <v/>
      </c>
      <c r="CJ1361">
        <f>IFERROR(INDEX(PP_Grid[#Data],$DE1361,85),0)</f>
        <v/>
      </c>
      <c r="CK1361">
        <f>IFERROR(INDEX(PP_Grid[#Data],$DE1361,86),0)</f>
        <v/>
      </c>
      <c r="CL1361">
        <f>IFERROR(INDEX(PP_Grid[#Data],$DE1361,87),0)</f>
        <v/>
      </c>
      <c r="CM1361">
        <f>IFERROR(INDEX(PP_Grid[#Data],$DE1361,88),0)</f>
        <v/>
      </c>
      <c r="CN1361">
        <f>IFERROR(INDEX(PP_Grid[#Data],$DE1361,89),0)</f>
        <v/>
      </c>
      <c r="CO1361">
        <f>IFERROR(INDEX(PP_Grid[#Data],$DE1361,90),0)</f>
        <v/>
      </c>
      <c r="CP1361">
        <f>IFERROR(INDEX(PP_Grid[#Data],$DE1361,91),0)</f>
        <v/>
      </c>
      <c r="CQ1361">
        <f>IFERROR(INDEX(PP_Grid[#Data],$DE1361,92),0)</f>
        <v/>
      </c>
      <c r="CR1361">
        <f>IFERROR(INDEX(PP_Grid[#Data],$DE1361,93),0)</f>
        <v/>
      </c>
      <c r="CS1361">
        <f>IFERROR(INDEX(PP_Grid[#Data],$DE1361,94),0)</f>
        <v/>
      </c>
      <c r="CT1361">
        <f>IFERROR(INDEX(PP_Grid[#Data],$DE1361,95),0)</f>
        <v/>
      </c>
      <c r="CU1361">
        <f>IFERROR(INDEX(PP_Grid[#Data],$DE1361,96),0)</f>
        <v/>
      </c>
      <c r="CV1361">
        <f>IFERROR(INDEX(PP_Grid[#Data],$DE1361,97),0)</f>
        <v/>
      </c>
      <c r="CW1361">
        <f>IFERROR(INDEX(PP_Grid[#Data],$DE1361,98),0)</f>
        <v/>
      </c>
      <c r="CX1361">
        <f>IFERROR(INDEX(PP_Grid[#Data],$DE1361,99),0)</f>
        <v/>
      </c>
      <c r="CY1361">
        <f>IFERROR(INDEX(PP_Grid[#Data],$DE1361,100),0)</f>
        <v/>
      </c>
      <c r="CZ1361">
        <f>IFERROR(INDEX(PP_Grid[#Data],$DE1361,101),0)</f>
        <v/>
      </c>
      <c r="DA1361">
        <f>IFERROR(INDEX(PP_Grid[#Data],$DE1361,102),0)</f>
        <v/>
      </c>
      <c r="DB1361">
        <f>IFERROR(INDEX(PP_Grid[#Data],$DE1361,103),0)</f>
        <v/>
      </c>
      <c r="DC1361">
        <f>IFERROR(INDEX(PP_Grid[#Data],$DE1361,104),0)</f>
        <v/>
      </c>
      <c r="DD1361">
        <f>IFERROR(INDEX(PP_Grid[#Data],$DE1361,105),0)</f>
        <v/>
      </c>
      <c r="DE1361" s="7">
        <f>IFERROR(MATCH($B1361,PP_Grid[Intermediate],0),99999)</f>
        <v/>
      </c>
    </row>
    <row r="1362">
      <c r="B1362" t="inlineStr">
        <is>
          <t>使用量(kg)</t>
        </is>
      </c>
      <c r="C1362">
        <f>SUMIFS(M_BOM[RM_Qty_Per_Batch],M_BOM[Intermediate],$B1361,M_BOM[RM_Code],$A1326)</f>
        <v/>
      </c>
      <c r="D1362">
        <f>IFERROR(INDEX(E1362:DD1362,$F$1),"")</f>
        <v/>
      </c>
      <c r="E1362">
        <f>$C1362*E1361</f>
        <v/>
      </c>
      <c r="F1362">
        <f>$C1362*F1361</f>
        <v/>
      </c>
      <c r="G1362">
        <f>$C1362*G1361</f>
        <v/>
      </c>
      <c r="H1362">
        <f>$C1362*H1361</f>
        <v/>
      </c>
      <c r="I1362">
        <f>$C1362*I1361</f>
        <v/>
      </c>
      <c r="J1362">
        <f>$C1362*J1361</f>
        <v/>
      </c>
      <c r="K1362">
        <f>$C1362*K1361</f>
        <v/>
      </c>
      <c r="L1362">
        <f>$C1362*L1361</f>
        <v/>
      </c>
      <c r="M1362">
        <f>$C1362*M1361</f>
        <v/>
      </c>
      <c r="N1362">
        <f>$C1362*N1361</f>
        <v/>
      </c>
      <c r="O1362">
        <f>$C1362*O1361</f>
        <v/>
      </c>
      <c r="P1362">
        <f>$C1362*P1361</f>
        <v/>
      </c>
      <c r="Q1362">
        <f>$C1362*Q1361</f>
        <v/>
      </c>
      <c r="R1362">
        <f>$C1362*R1361</f>
        <v/>
      </c>
      <c r="S1362">
        <f>$C1362*S1361</f>
        <v/>
      </c>
      <c r="T1362">
        <f>$C1362*T1361</f>
        <v/>
      </c>
      <c r="U1362">
        <f>$C1362*U1361</f>
        <v/>
      </c>
      <c r="V1362">
        <f>$C1362*V1361</f>
        <v/>
      </c>
      <c r="W1362">
        <f>$C1362*W1361</f>
        <v/>
      </c>
      <c r="X1362">
        <f>$C1362*X1361</f>
        <v/>
      </c>
      <c r="Y1362">
        <f>$C1362*Y1361</f>
        <v/>
      </c>
      <c r="Z1362">
        <f>$C1362*Z1361</f>
        <v/>
      </c>
      <c r="AA1362">
        <f>$C1362*AA1361</f>
        <v/>
      </c>
      <c r="AB1362">
        <f>$C1362*AB1361</f>
        <v/>
      </c>
      <c r="AC1362">
        <f>$C1362*AC1361</f>
        <v/>
      </c>
      <c r="AD1362">
        <f>$C1362*AD1361</f>
        <v/>
      </c>
      <c r="AE1362">
        <f>$C1362*AE1361</f>
        <v/>
      </c>
      <c r="AF1362">
        <f>$C1362*AF1361</f>
        <v/>
      </c>
      <c r="AG1362">
        <f>$C1362*AG1361</f>
        <v/>
      </c>
      <c r="AH1362">
        <f>$C1362*AH1361</f>
        <v/>
      </c>
      <c r="AI1362">
        <f>$C1362*AI1361</f>
        <v/>
      </c>
      <c r="AJ1362">
        <f>$C1362*AJ1361</f>
        <v/>
      </c>
      <c r="AK1362">
        <f>$C1362*AK1361</f>
        <v/>
      </c>
      <c r="AL1362">
        <f>$C1362*AL1361</f>
        <v/>
      </c>
      <c r="AM1362">
        <f>$C1362*AM1361</f>
        <v/>
      </c>
      <c r="AN1362">
        <f>$C1362*AN1361</f>
        <v/>
      </c>
      <c r="AO1362">
        <f>$C1362*AO1361</f>
        <v/>
      </c>
      <c r="AP1362">
        <f>$C1362*AP1361</f>
        <v/>
      </c>
      <c r="AQ1362">
        <f>$C1362*AQ1361</f>
        <v/>
      </c>
      <c r="AR1362">
        <f>$C1362*AR1361</f>
        <v/>
      </c>
      <c r="AS1362">
        <f>$C1362*AS1361</f>
        <v/>
      </c>
      <c r="AT1362">
        <f>$C1362*AT1361</f>
        <v/>
      </c>
      <c r="AU1362">
        <f>$C1362*AU1361</f>
        <v/>
      </c>
      <c r="AV1362">
        <f>$C1362*AV1361</f>
        <v/>
      </c>
      <c r="AW1362">
        <f>$C1362*AW1361</f>
        <v/>
      </c>
      <c r="AX1362">
        <f>$C1362*AX1361</f>
        <v/>
      </c>
      <c r="AY1362">
        <f>$C1362*AY1361</f>
        <v/>
      </c>
      <c r="AZ1362">
        <f>$C1362*AZ1361</f>
        <v/>
      </c>
      <c r="BA1362">
        <f>$C1362*BA1361</f>
        <v/>
      </c>
      <c r="BB1362">
        <f>$C1362*BB1361</f>
        <v/>
      </c>
      <c r="BC1362">
        <f>$C1362*BC1361</f>
        <v/>
      </c>
      <c r="BD1362">
        <f>$C1362*BD1361</f>
        <v/>
      </c>
      <c r="BE1362">
        <f>$C1362*BE1361</f>
        <v/>
      </c>
      <c r="BF1362">
        <f>$C1362*BF1361</f>
        <v/>
      </c>
      <c r="BG1362">
        <f>$C1362*BG1361</f>
        <v/>
      </c>
      <c r="BH1362">
        <f>$C1362*BH1361</f>
        <v/>
      </c>
      <c r="BI1362">
        <f>$C1362*BI1361</f>
        <v/>
      </c>
      <c r="BJ1362">
        <f>$C1362*BJ1361</f>
        <v/>
      </c>
      <c r="BK1362">
        <f>$C1362*BK1361</f>
        <v/>
      </c>
      <c r="BL1362">
        <f>$C1362*BL1361</f>
        <v/>
      </c>
      <c r="BM1362">
        <f>$C1362*BM1361</f>
        <v/>
      </c>
      <c r="BN1362">
        <f>$C1362*BN1361</f>
        <v/>
      </c>
      <c r="BO1362">
        <f>$C1362*BO1361</f>
        <v/>
      </c>
      <c r="BP1362">
        <f>$C1362*BP1361</f>
        <v/>
      </c>
      <c r="BQ1362">
        <f>$C1362*BQ1361</f>
        <v/>
      </c>
      <c r="BR1362">
        <f>$C1362*BR1361</f>
        <v/>
      </c>
      <c r="BS1362">
        <f>$C1362*BS1361</f>
        <v/>
      </c>
      <c r="BT1362">
        <f>$C1362*BT1361</f>
        <v/>
      </c>
      <c r="BU1362">
        <f>$C1362*BU1361</f>
        <v/>
      </c>
      <c r="BV1362">
        <f>$C1362*BV1361</f>
        <v/>
      </c>
      <c r="BW1362">
        <f>$C1362*BW1361</f>
        <v/>
      </c>
      <c r="BX1362">
        <f>$C1362*BX1361</f>
        <v/>
      </c>
      <c r="BY1362">
        <f>$C1362*BY1361</f>
        <v/>
      </c>
      <c r="BZ1362">
        <f>$C1362*BZ1361</f>
        <v/>
      </c>
      <c r="CA1362">
        <f>$C1362*CA1361</f>
        <v/>
      </c>
      <c r="CB1362">
        <f>$C1362*CB1361</f>
        <v/>
      </c>
      <c r="CC1362">
        <f>$C1362*CC1361</f>
        <v/>
      </c>
      <c r="CD1362">
        <f>$C1362*CD1361</f>
        <v/>
      </c>
      <c r="CE1362">
        <f>$C1362*CE1361</f>
        <v/>
      </c>
      <c r="CF1362">
        <f>$C1362*CF1361</f>
        <v/>
      </c>
      <c r="CG1362">
        <f>$C1362*CG1361</f>
        <v/>
      </c>
      <c r="CH1362">
        <f>$C1362*CH1361</f>
        <v/>
      </c>
      <c r="CI1362">
        <f>$C1362*CI1361</f>
        <v/>
      </c>
      <c r="CJ1362">
        <f>$C1362*CJ1361</f>
        <v/>
      </c>
      <c r="CK1362">
        <f>$C1362*CK1361</f>
        <v/>
      </c>
      <c r="CL1362">
        <f>$C1362*CL1361</f>
        <v/>
      </c>
      <c r="CM1362">
        <f>$C1362*CM1361</f>
        <v/>
      </c>
      <c r="CN1362">
        <f>$C1362*CN1361</f>
        <v/>
      </c>
      <c r="CO1362">
        <f>$C1362*CO1361</f>
        <v/>
      </c>
      <c r="CP1362">
        <f>$C1362*CP1361</f>
        <v/>
      </c>
      <c r="CQ1362">
        <f>$C1362*CQ1361</f>
        <v/>
      </c>
      <c r="CR1362">
        <f>$C1362*CR1361</f>
        <v/>
      </c>
      <c r="CS1362">
        <f>$C1362*CS1361</f>
        <v/>
      </c>
      <c r="CT1362">
        <f>$C1362*CT1361</f>
        <v/>
      </c>
      <c r="CU1362">
        <f>$C1362*CU1361</f>
        <v/>
      </c>
      <c r="CV1362">
        <f>$C1362*CV1361</f>
        <v/>
      </c>
      <c r="CW1362">
        <f>$C1362*CW1361</f>
        <v/>
      </c>
      <c r="CX1362">
        <f>$C1362*CX1361</f>
        <v/>
      </c>
      <c r="CY1362">
        <f>$C1362*CY1361</f>
        <v/>
      </c>
      <c r="CZ1362">
        <f>$C1362*CZ1361</f>
        <v/>
      </c>
      <c r="DA1362">
        <f>$C1362*DA1361</f>
        <v/>
      </c>
      <c r="DB1362">
        <f>$C1362*DB1361</f>
        <v/>
      </c>
      <c r="DC1362">
        <f>$C1362*DC1361</f>
        <v/>
      </c>
      <c r="DD1362">
        <f>$C1362*DD1361</f>
        <v/>
      </c>
    </row>
    <row r="1363">
      <c r="B1363" t="inlineStr">
        <is>
          <t>TSP-1449</t>
        </is>
      </c>
      <c r="C1363" t="inlineStr">
        <is>
          <t>No. of batches</t>
        </is>
      </c>
      <c r="D1363">
        <f>IFERROR(INDEX(E1363:DD1363,$F$1),"")</f>
        <v/>
      </c>
      <c r="E1363">
        <f>IFERROR(INDEX(PP_Grid[#Data],$DE1363,2),0)</f>
        <v/>
      </c>
      <c r="F1363">
        <f>IFERROR(INDEX(PP_Grid[#Data],$DE1363,3),0)</f>
        <v/>
      </c>
      <c r="G1363">
        <f>IFERROR(INDEX(PP_Grid[#Data],$DE1363,4),0)</f>
        <v/>
      </c>
      <c r="H1363">
        <f>IFERROR(INDEX(PP_Grid[#Data],$DE1363,5),0)</f>
        <v/>
      </c>
      <c r="I1363">
        <f>IFERROR(INDEX(PP_Grid[#Data],$DE1363,6),0)</f>
        <v/>
      </c>
      <c r="J1363">
        <f>IFERROR(INDEX(PP_Grid[#Data],$DE1363,7),0)</f>
        <v/>
      </c>
      <c r="K1363">
        <f>IFERROR(INDEX(PP_Grid[#Data],$DE1363,8),0)</f>
        <v/>
      </c>
      <c r="L1363">
        <f>IFERROR(INDEX(PP_Grid[#Data],$DE1363,9),0)</f>
        <v/>
      </c>
      <c r="M1363">
        <f>IFERROR(INDEX(PP_Grid[#Data],$DE1363,10),0)</f>
        <v/>
      </c>
      <c r="N1363">
        <f>IFERROR(INDEX(PP_Grid[#Data],$DE1363,11),0)</f>
        <v/>
      </c>
      <c r="O1363">
        <f>IFERROR(INDEX(PP_Grid[#Data],$DE1363,12),0)</f>
        <v/>
      </c>
      <c r="P1363">
        <f>IFERROR(INDEX(PP_Grid[#Data],$DE1363,13),0)</f>
        <v/>
      </c>
      <c r="Q1363">
        <f>IFERROR(INDEX(PP_Grid[#Data],$DE1363,14),0)</f>
        <v/>
      </c>
      <c r="R1363">
        <f>IFERROR(INDEX(PP_Grid[#Data],$DE1363,15),0)</f>
        <v/>
      </c>
      <c r="S1363">
        <f>IFERROR(INDEX(PP_Grid[#Data],$DE1363,16),0)</f>
        <v/>
      </c>
      <c r="T1363">
        <f>IFERROR(INDEX(PP_Grid[#Data],$DE1363,17),0)</f>
        <v/>
      </c>
      <c r="U1363">
        <f>IFERROR(INDEX(PP_Grid[#Data],$DE1363,18),0)</f>
        <v/>
      </c>
      <c r="V1363">
        <f>IFERROR(INDEX(PP_Grid[#Data],$DE1363,19),0)</f>
        <v/>
      </c>
      <c r="W1363">
        <f>IFERROR(INDEX(PP_Grid[#Data],$DE1363,20),0)</f>
        <v/>
      </c>
      <c r="X1363">
        <f>IFERROR(INDEX(PP_Grid[#Data],$DE1363,21),0)</f>
        <v/>
      </c>
      <c r="Y1363">
        <f>IFERROR(INDEX(PP_Grid[#Data],$DE1363,22),0)</f>
        <v/>
      </c>
      <c r="Z1363">
        <f>IFERROR(INDEX(PP_Grid[#Data],$DE1363,23),0)</f>
        <v/>
      </c>
      <c r="AA1363">
        <f>IFERROR(INDEX(PP_Grid[#Data],$DE1363,24),0)</f>
        <v/>
      </c>
      <c r="AB1363">
        <f>IFERROR(INDEX(PP_Grid[#Data],$DE1363,25),0)</f>
        <v/>
      </c>
      <c r="AC1363">
        <f>IFERROR(INDEX(PP_Grid[#Data],$DE1363,26),0)</f>
        <v/>
      </c>
      <c r="AD1363">
        <f>IFERROR(INDEX(PP_Grid[#Data],$DE1363,27),0)</f>
        <v/>
      </c>
      <c r="AE1363">
        <f>IFERROR(INDEX(PP_Grid[#Data],$DE1363,28),0)</f>
        <v/>
      </c>
      <c r="AF1363">
        <f>IFERROR(INDEX(PP_Grid[#Data],$DE1363,29),0)</f>
        <v/>
      </c>
      <c r="AG1363">
        <f>IFERROR(INDEX(PP_Grid[#Data],$DE1363,30),0)</f>
        <v/>
      </c>
      <c r="AH1363">
        <f>IFERROR(INDEX(PP_Grid[#Data],$DE1363,31),0)</f>
        <v/>
      </c>
      <c r="AI1363">
        <f>IFERROR(INDEX(PP_Grid[#Data],$DE1363,32),0)</f>
        <v/>
      </c>
      <c r="AJ1363">
        <f>IFERROR(INDEX(PP_Grid[#Data],$DE1363,33),0)</f>
        <v/>
      </c>
      <c r="AK1363">
        <f>IFERROR(INDEX(PP_Grid[#Data],$DE1363,34),0)</f>
        <v/>
      </c>
      <c r="AL1363">
        <f>IFERROR(INDEX(PP_Grid[#Data],$DE1363,35),0)</f>
        <v/>
      </c>
      <c r="AM1363">
        <f>IFERROR(INDEX(PP_Grid[#Data],$DE1363,36),0)</f>
        <v/>
      </c>
      <c r="AN1363">
        <f>IFERROR(INDEX(PP_Grid[#Data],$DE1363,37),0)</f>
        <v/>
      </c>
      <c r="AO1363">
        <f>IFERROR(INDEX(PP_Grid[#Data],$DE1363,38),0)</f>
        <v/>
      </c>
      <c r="AP1363">
        <f>IFERROR(INDEX(PP_Grid[#Data],$DE1363,39),0)</f>
        <v/>
      </c>
      <c r="AQ1363">
        <f>IFERROR(INDEX(PP_Grid[#Data],$DE1363,40),0)</f>
        <v/>
      </c>
      <c r="AR1363">
        <f>IFERROR(INDEX(PP_Grid[#Data],$DE1363,41),0)</f>
        <v/>
      </c>
      <c r="AS1363">
        <f>IFERROR(INDEX(PP_Grid[#Data],$DE1363,42),0)</f>
        <v/>
      </c>
      <c r="AT1363">
        <f>IFERROR(INDEX(PP_Grid[#Data],$DE1363,43),0)</f>
        <v/>
      </c>
      <c r="AU1363">
        <f>IFERROR(INDEX(PP_Grid[#Data],$DE1363,44),0)</f>
        <v/>
      </c>
      <c r="AV1363">
        <f>IFERROR(INDEX(PP_Grid[#Data],$DE1363,45),0)</f>
        <v/>
      </c>
      <c r="AW1363">
        <f>IFERROR(INDEX(PP_Grid[#Data],$DE1363,46),0)</f>
        <v/>
      </c>
      <c r="AX1363">
        <f>IFERROR(INDEX(PP_Grid[#Data],$DE1363,47),0)</f>
        <v/>
      </c>
      <c r="AY1363">
        <f>IFERROR(INDEX(PP_Grid[#Data],$DE1363,48),0)</f>
        <v/>
      </c>
      <c r="AZ1363">
        <f>IFERROR(INDEX(PP_Grid[#Data],$DE1363,49),0)</f>
        <v/>
      </c>
      <c r="BA1363">
        <f>IFERROR(INDEX(PP_Grid[#Data],$DE1363,50),0)</f>
        <v/>
      </c>
      <c r="BB1363">
        <f>IFERROR(INDEX(PP_Grid[#Data],$DE1363,51),0)</f>
        <v/>
      </c>
      <c r="BC1363">
        <f>IFERROR(INDEX(PP_Grid[#Data],$DE1363,52),0)</f>
        <v/>
      </c>
      <c r="BD1363">
        <f>IFERROR(INDEX(PP_Grid[#Data],$DE1363,53),0)</f>
        <v/>
      </c>
      <c r="BE1363">
        <f>IFERROR(INDEX(PP_Grid[#Data],$DE1363,54),0)</f>
        <v/>
      </c>
      <c r="BF1363">
        <f>IFERROR(INDEX(PP_Grid[#Data],$DE1363,55),0)</f>
        <v/>
      </c>
      <c r="BG1363">
        <f>IFERROR(INDEX(PP_Grid[#Data],$DE1363,56),0)</f>
        <v/>
      </c>
      <c r="BH1363">
        <f>IFERROR(INDEX(PP_Grid[#Data],$DE1363,57),0)</f>
        <v/>
      </c>
      <c r="BI1363">
        <f>IFERROR(INDEX(PP_Grid[#Data],$DE1363,58),0)</f>
        <v/>
      </c>
      <c r="BJ1363">
        <f>IFERROR(INDEX(PP_Grid[#Data],$DE1363,59),0)</f>
        <v/>
      </c>
      <c r="BK1363">
        <f>IFERROR(INDEX(PP_Grid[#Data],$DE1363,60),0)</f>
        <v/>
      </c>
      <c r="BL1363">
        <f>IFERROR(INDEX(PP_Grid[#Data],$DE1363,61),0)</f>
        <v/>
      </c>
      <c r="BM1363">
        <f>IFERROR(INDEX(PP_Grid[#Data],$DE1363,62),0)</f>
        <v/>
      </c>
      <c r="BN1363">
        <f>IFERROR(INDEX(PP_Grid[#Data],$DE1363,63),0)</f>
        <v/>
      </c>
      <c r="BO1363">
        <f>IFERROR(INDEX(PP_Grid[#Data],$DE1363,64),0)</f>
        <v/>
      </c>
      <c r="BP1363">
        <f>IFERROR(INDEX(PP_Grid[#Data],$DE1363,65),0)</f>
        <v/>
      </c>
      <c r="BQ1363">
        <f>IFERROR(INDEX(PP_Grid[#Data],$DE1363,66),0)</f>
        <v/>
      </c>
      <c r="BR1363">
        <f>IFERROR(INDEX(PP_Grid[#Data],$DE1363,67),0)</f>
        <v/>
      </c>
      <c r="BS1363">
        <f>IFERROR(INDEX(PP_Grid[#Data],$DE1363,68),0)</f>
        <v/>
      </c>
      <c r="BT1363">
        <f>IFERROR(INDEX(PP_Grid[#Data],$DE1363,69),0)</f>
        <v/>
      </c>
      <c r="BU1363">
        <f>IFERROR(INDEX(PP_Grid[#Data],$DE1363,70),0)</f>
        <v/>
      </c>
      <c r="BV1363">
        <f>IFERROR(INDEX(PP_Grid[#Data],$DE1363,71),0)</f>
        <v/>
      </c>
      <c r="BW1363">
        <f>IFERROR(INDEX(PP_Grid[#Data],$DE1363,72),0)</f>
        <v/>
      </c>
      <c r="BX1363">
        <f>IFERROR(INDEX(PP_Grid[#Data],$DE1363,73),0)</f>
        <v/>
      </c>
      <c r="BY1363">
        <f>IFERROR(INDEX(PP_Grid[#Data],$DE1363,74),0)</f>
        <v/>
      </c>
      <c r="BZ1363">
        <f>IFERROR(INDEX(PP_Grid[#Data],$DE1363,75),0)</f>
        <v/>
      </c>
      <c r="CA1363">
        <f>IFERROR(INDEX(PP_Grid[#Data],$DE1363,76),0)</f>
        <v/>
      </c>
      <c r="CB1363">
        <f>IFERROR(INDEX(PP_Grid[#Data],$DE1363,77),0)</f>
        <v/>
      </c>
      <c r="CC1363">
        <f>IFERROR(INDEX(PP_Grid[#Data],$DE1363,78),0)</f>
        <v/>
      </c>
      <c r="CD1363">
        <f>IFERROR(INDEX(PP_Grid[#Data],$DE1363,79),0)</f>
        <v/>
      </c>
      <c r="CE1363">
        <f>IFERROR(INDEX(PP_Grid[#Data],$DE1363,80),0)</f>
        <v/>
      </c>
      <c r="CF1363">
        <f>IFERROR(INDEX(PP_Grid[#Data],$DE1363,81),0)</f>
        <v/>
      </c>
      <c r="CG1363">
        <f>IFERROR(INDEX(PP_Grid[#Data],$DE1363,82),0)</f>
        <v/>
      </c>
      <c r="CH1363">
        <f>IFERROR(INDEX(PP_Grid[#Data],$DE1363,83),0)</f>
        <v/>
      </c>
      <c r="CI1363">
        <f>IFERROR(INDEX(PP_Grid[#Data],$DE1363,84),0)</f>
        <v/>
      </c>
      <c r="CJ1363">
        <f>IFERROR(INDEX(PP_Grid[#Data],$DE1363,85),0)</f>
        <v/>
      </c>
      <c r="CK1363">
        <f>IFERROR(INDEX(PP_Grid[#Data],$DE1363,86),0)</f>
        <v/>
      </c>
      <c r="CL1363">
        <f>IFERROR(INDEX(PP_Grid[#Data],$DE1363,87),0)</f>
        <v/>
      </c>
      <c r="CM1363">
        <f>IFERROR(INDEX(PP_Grid[#Data],$DE1363,88),0)</f>
        <v/>
      </c>
      <c r="CN1363">
        <f>IFERROR(INDEX(PP_Grid[#Data],$DE1363,89),0)</f>
        <v/>
      </c>
      <c r="CO1363">
        <f>IFERROR(INDEX(PP_Grid[#Data],$DE1363,90),0)</f>
        <v/>
      </c>
      <c r="CP1363">
        <f>IFERROR(INDEX(PP_Grid[#Data],$DE1363,91),0)</f>
        <v/>
      </c>
      <c r="CQ1363">
        <f>IFERROR(INDEX(PP_Grid[#Data],$DE1363,92),0)</f>
        <v/>
      </c>
      <c r="CR1363">
        <f>IFERROR(INDEX(PP_Grid[#Data],$DE1363,93),0)</f>
        <v/>
      </c>
      <c r="CS1363">
        <f>IFERROR(INDEX(PP_Grid[#Data],$DE1363,94),0)</f>
        <v/>
      </c>
      <c r="CT1363">
        <f>IFERROR(INDEX(PP_Grid[#Data],$DE1363,95),0)</f>
        <v/>
      </c>
      <c r="CU1363">
        <f>IFERROR(INDEX(PP_Grid[#Data],$DE1363,96),0)</f>
        <v/>
      </c>
      <c r="CV1363">
        <f>IFERROR(INDEX(PP_Grid[#Data],$DE1363,97),0)</f>
        <v/>
      </c>
      <c r="CW1363">
        <f>IFERROR(INDEX(PP_Grid[#Data],$DE1363,98),0)</f>
        <v/>
      </c>
      <c r="CX1363">
        <f>IFERROR(INDEX(PP_Grid[#Data],$DE1363,99),0)</f>
        <v/>
      </c>
      <c r="CY1363">
        <f>IFERROR(INDEX(PP_Grid[#Data],$DE1363,100),0)</f>
        <v/>
      </c>
      <c r="CZ1363">
        <f>IFERROR(INDEX(PP_Grid[#Data],$DE1363,101),0)</f>
        <v/>
      </c>
      <c r="DA1363">
        <f>IFERROR(INDEX(PP_Grid[#Data],$DE1363,102),0)</f>
        <v/>
      </c>
      <c r="DB1363">
        <f>IFERROR(INDEX(PP_Grid[#Data],$DE1363,103),0)</f>
        <v/>
      </c>
      <c r="DC1363">
        <f>IFERROR(INDEX(PP_Grid[#Data],$DE1363,104),0)</f>
        <v/>
      </c>
      <c r="DD1363">
        <f>IFERROR(INDEX(PP_Grid[#Data],$DE1363,105),0)</f>
        <v/>
      </c>
      <c r="DE1363" s="7">
        <f>IFERROR(MATCH($B1363,PP_Grid[Intermediate],0),99999)</f>
        <v/>
      </c>
    </row>
    <row r="1364">
      <c r="B1364" t="inlineStr">
        <is>
          <t>使用量(kg)</t>
        </is>
      </c>
      <c r="C1364">
        <f>SUMIFS(M_BOM[RM_Qty_Per_Batch],M_BOM[Intermediate],$B1363,M_BOM[RM_Code],$A1326)</f>
        <v/>
      </c>
      <c r="D1364">
        <f>IFERROR(INDEX(E1364:DD1364,$F$1),"")</f>
        <v/>
      </c>
      <c r="E1364">
        <f>$C1364*E1363</f>
        <v/>
      </c>
      <c r="F1364">
        <f>$C1364*F1363</f>
        <v/>
      </c>
      <c r="G1364">
        <f>$C1364*G1363</f>
        <v/>
      </c>
      <c r="H1364">
        <f>$C1364*H1363</f>
        <v/>
      </c>
      <c r="I1364">
        <f>$C1364*I1363</f>
        <v/>
      </c>
      <c r="J1364">
        <f>$C1364*J1363</f>
        <v/>
      </c>
      <c r="K1364">
        <f>$C1364*K1363</f>
        <v/>
      </c>
      <c r="L1364">
        <f>$C1364*L1363</f>
        <v/>
      </c>
      <c r="M1364">
        <f>$C1364*M1363</f>
        <v/>
      </c>
      <c r="N1364">
        <f>$C1364*N1363</f>
        <v/>
      </c>
      <c r="O1364">
        <f>$C1364*O1363</f>
        <v/>
      </c>
      <c r="P1364">
        <f>$C1364*P1363</f>
        <v/>
      </c>
      <c r="Q1364">
        <f>$C1364*Q1363</f>
        <v/>
      </c>
      <c r="R1364">
        <f>$C1364*R1363</f>
        <v/>
      </c>
      <c r="S1364">
        <f>$C1364*S1363</f>
        <v/>
      </c>
      <c r="T1364">
        <f>$C1364*T1363</f>
        <v/>
      </c>
      <c r="U1364">
        <f>$C1364*U1363</f>
        <v/>
      </c>
      <c r="V1364">
        <f>$C1364*V1363</f>
        <v/>
      </c>
      <c r="W1364">
        <f>$C1364*W1363</f>
        <v/>
      </c>
      <c r="X1364">
        <f>$C1364*X1363</f>
        <v/>
      </c>
      <c r="Y1364">
        <f>$C1364*Y1363</f>
        <v/>
      </c>
      <c r="Z1364">
        <f>$C1364*Z1363</f>
        <v/>
      </c>
      <c r="AA1364">
        <f>$C1364*AA1363</f>
        <v/>
      </c>
      <c r="AB1364">
        <f>$C1364*AB1363</f>
        <v/>
      </c>
      <c r="AC1364">
        <f>$C1364*AC1363</f>
        <v/>
      </c>
      <c r="AD1364">
        <f>$C1364*AD1363</f>
        <v/>
      </c>
      <c r="AE1364">
        <f>$C1364*AE1363</f>
        <v/>
      </c>
      <c r="AF1364">
        <f>$C1364*AF1363</f>
        <v/>
      </c>
      <c r="AG1364">
        <f>$C1364*AG1363</f>
        <v/>
      </c>
      <c r="AH1364">
        <f>$C1364*AH1363</f>
        <v/>
      </c>
      <c r="AI1364">
        <f>$C1364*AI1363</f>
        <v/>
      </c>
      <c r="AJ1364">
        <f>$C1364*AJ1363</f>
        <v/>
      </c>
      <c r="AK1364">
        <f>$C1364*AK1363</f>
        <v/>
      </c>
      <c r="AL1364">
        <f>$C1364*AL1363</f>
        <v/>
      </c>
      <c r="AM1364">
        <f>$C1364*AM1363</f>
        <v/>
      </c>
      <c r="AN1364">
        <f>$C1364*AN1363</f>
        <v/>
      </c>
      <c r="AO1364">
        <f>$C1364*AO1363</f>
        <v/>
      </c>
      <c r="AP1364">
        <f>$C1364*AP1363</f>
        <v/>
      </c>
      <c r="AQ1364">
        <f>$C1364*AQ1363</f>
        <v/>
      </c>
      <c r="AR1364">
        <f>$C1364*AR1363</f>
        <v/>
      </c>
      <c r="AS1364">
        <f>$C1364*AS1363</f>
        <v/>
      </c>
      <c r="AT1364">
        <f>$C1364*AT1363</f>
        <v/>
      </c>
      <c r="AU1364">
        <f>$C1364*AU1363</f>
        <v/>
      </c>
      <c r="AV1364">
        <f>$C1364*AV1363</f>
        <v/>
      </c>
      <c r="AW1364">
        <f>$C1364*AW1363</f>
        <v/>
      </c>
      <c r="AX1364">
        <f>$C1364*AX1363</f>
        <v/>
      </c>
      <c r="AY1364">
        <f>$C1364*AY1363</f>
        <v/>
      </c>
      <c r="AZ1364">
        <f>$C1364*AZ1363</f>
        <v/>
      </c>
      <c r="BA1364">
        <f>$C1364*BA1363</f>
        <v/>
      </c>
      <c r="BB1364">
        <f>$C1364*BB1363</f>
        <v/>
      </c>
      <c r="BC1364">
        <f>$C1364*BC1363</f>
        <v/>
      </c>
      <c r="BD1364">
        <f>$C1364*BD1363</f>
        <v/>
      </c>
      <c r="BE1364">
        <f>$C1364*BE1363</f>
        <v/>
      </c>
      <c r="BF1364">
        <f>$C1364*BF1363</f>
        <v/>
      </c>
      <c r="BG1364">
        <f>$C1364*BG1363</f>
        <v/>
      </c>
      <c r="BH1364">
        <f>$C1364*BH1363</f>
        <v/>
      </c>
      <c r="BI1364">
        <f>$C1364*BI1363</f>
        <v/>
      </c>
      <c r="BJ1364">
        <f>$C1364*BJ1363</f>
        <v/>
      </c>
      <c r="BK1364">
        <f>$C1364*BK1363</f>
        <v/>
      </c>
      <c r="BL1364">
        <f>$C1364*BL1363</f>
        <v/>
      </c>
      <c r="BM1364">
        <f>$C1364*BM1363</f>
        <v/>
      </c>
      <c r="BN1364">
        <f>$C1364*BN1363</f>
        <v/>
      </c>
      <c r="BO1364">
        <f>$C1364*BO1363</f>
        <v/>
      </c>
      <c r="BP1364">
        <f>$C1364*BP1363</f>
        <v/>
      </c>
      <c r="BQ1364">
        <f>$C1364*BQ1363</f>
        <v/>
      </c>
      <c r="BR1364">
        <f>$C1364*BR1363</f>
        <v/>
      </c>
      <c r="BS1364">
        <f>$C1364*BS1363</f>
        <v/>
      </c>
      <c r="BT1364">
        <f>$C1364*BT1363</f>
        <v/>
      </c>
      <c r="BU1364">
        <f>$C1364*BU1363</f>
        <v/>
      </c>
      <c r="BV1364">
        <f>$C1364*BV1363</f>
        <v/>
      </c>
      <c r="BW1364">
        <f>$C1364*BW1363</f>
        <v/>
      </c>
      <c r="BX1364">
        <f>$C1364*BX1363</f>
        <v/>
      </c>
      <c r="BY1364">
        <f>$C1364*BY1363</f>
        <v/>
      </c>
      <c r="BZ1364">
        <f>$C1364*BZ1363</f>
        <v/>
      </c>
      <c r="CA1364">
        <f>$C1364*CA1363</f>
        <v/>
      </c>
      <c r="CB1364">
        <f>$C1364*CB1363</f>
        <v/>
      </c>
      <c r="CC1364">
        <f>$C1364*CC1363</f>
        <v/>
      </c>
      <c r="CD1364">
        <f>$C1364*CD1363</f>
        <v/>
      </c>
      <c r="CE1364">
        <f>$C1364*CE1363</f>
        <v/>
      </c>
      <c r="CF1364">
        <f>$C1364*CF1363</f>
        <v/>
      </c>
      <c r="CG1364">
        <f>$C1364*CG1363</f>
        <v/>
      </c>
      <c r="CH1364">
        <f>$C1364*CH1363</f>
        <v/>
      </c>
      <c r="CI1364">
        <f>$C1364*CI1363</f>
        <v/>
      </c>
      <c r="CJ1364">
        <f>$C1364*CJ1363</f>
        <v/>
      </c>
      <c r="CK1364">
        <f>$C1364*CK1363</f>
        <v/>
      </c>
      <c r="CL1364">
        <f>$C1364*CL1363</f>
        <v/>
      </c>
      <c r="CM1364">
        <f>$C1364*CM1363</f>
        <v/>
      </c>
      <c r="CN1364">
        <f>$C1364*CN1363</f>
        <v/>
      </c>
      <c r="CO1364">
        <f>$C1364*CO1363</f>
        <v/>
      </c>
      <c r="CP1364">
        <f>$C1364*CP1363</f>
        <v/>
      </c>
      <c r="CQ1364">
        <f>$C1364*CQ1363</f>
        <v/>
      </c>
      <c r="CR1364">
        <f>$C1364*CR1363</f>
        <v/>
      </c>
      <c r="CS1364">
        <f>$C1364*CS1363</f>
        <v/>
      </c>
      <c r="CT1364">
        <f>$C1364*CT1363</f>
        <v/>
      </c>
      <c r="CU1364">
        <f>$C1364*CU1363</f>
        <v/>
      </c>
      <c r="CV1364">
        <f>$C1364*CV1363</f>
        <v/>
      </c>
      <c r="CW1364">
        <f>$C1364*CW1363</f>
        <v/>
      </c>
      <c r="CX1364">
        <f>$C1364*CX1363</f>
        <v/>
      </c>
      <c r="CY1364">
        <f>$C1364*CY1363</f>
        <v/>
      </c>
      <c r="CZ1364">
        <f>$C1364*CZ1363</f>
        <v/>
      </c>
      <c r="DA1364">
        <f>$C1364*DA1363</f>
        <v/>
      </c>
      <c r="DB1364">
        <f>$C1364*DB1363</f>
        <v/>
      </c>
      <c r="DC1364">
        <f>$C1364*DC1363</f>
        <v/>
      </c>
      <c r="DD1364">
        <f>$C1364*DD1363</f>
        <v/>
      </c>
    </row>
    <row r="1365">
      <c r="B1365" s="4" t="inlineStr">
        <is>
          <t>合計使用量(kg)/週</t>
        </is>
      </c>
      <c r="D1365" s="23">
        <f>IFERROR(INDEX(E1365:DD1365,$F$1),"")</f>
        <v/>
      </c>
      <c r="E1365">
        <f>'Grid_Requirement'!B7</f>
        <v/>
      </c>
      <c r="F1365">
        <f>'Grid_Requirement'!C7</f>
        <v/>
      </c>
      <c r="G1365">
        <f>'Grid_Requirement'!D7</f>
        <v/>
      </c>
      <c r="H1365">
        <f>'Grid_Requirement'!E7</f>
        <v/>
      </c>
      <c r="I1365">
        <f>'Grid_Requirement'!F7</f>
        <v/>
      </c>
      <c r="J1365">
        <f>'Grid_Requirement'!G7</f>
        <v/>
      </c>
      <c r="K1365">
        <f>'Grid_Requirement'!H7</f>
        <v/>
      </c>
      <c r="L1365">
        <f>'Grid_Requirement'!I7</f>
        <v/>
      </c>
      <c r="M1365">
        <f>'Grid_Requirement'!J7</f>
        <v/>
      </c>
      <c r="N1365">
        <f>'Grid_Requirement'!K7</f>
        <v/>
      </c>
      <c r="O1365">
        <f>'Grid_Requirement'!L7</f>
        <v/>
      </c>
      <c r="P1365">
        <f>'Grid_Requirement'!M7</f>
        <v/>
      </c>
      <c r="Q1365">
        <f>'Grid_Requirement'!N7</f>
        <v/>
      </c>
      <c r="R1365">
        <f>'Grid_Requirement'!O7</f>
        <v/>
      </c>
      <c r="S1365">
        <f>'Grid_Requirement'!P7</f>
        <v/>
      </c>
      <c r="T1365">
        <f>'Grid_Requirement'!Q7</f>
        <v/>
      </c>
      <c r="U1365">
        <f>'Grid_Requirement'!R7</f>
        <v/>
      </c>
      <c r="V1365">
        <f>'Grid_Requirement'!S7</f>
        <v/>
      </c>
      <c r="W1365">
        <f>'Grid_Requirement'!T7</f>
        <v/>
      </c>
      <c r="X1365">
        <f>'Grid_Requirement'!U7</f>
        <v/>
      </c>
      <c r="Y1365">
        <f>'Grid_Requirement'!V7</f>
        <v/>
      </c>
      <c r="Z1365">
        <f>'Grid_Requirement'!W7</f>
        <v/>
      </c>
      <c r="AA1365">
        <f>'Grid_Requirement'!X7</f>
        <v/>
      </c>
      <c r="AB1365">
        <f>'Grid_Requirement'!Y7</f>
        <v/>
      </c>
      <c r="AC1365">
        <f>'Grid_Requirement'!Z7</f>
        <v/>
      </c>
      <c r="AD1365">
        <f>'Grid_Requirement'!AA7</f>
        <v/>
      </c>
      <c r="AE1365">
        <f>'Grid_Requirement'!AB7</f>
        <v/>
      </c>
      <c r="AF1365">
        <f>'Grid_Requirement'!AC7</f>
        <v/>
      </c>
      <c r="AG1365">
        <f>'Grid_Requirement'!AD7</f>
        <v/>
      </c>
      <c r="AH1365">
        <f>'Grid_Requirement'!AE7</f>
        <v/>
      </c>
      <c r="AI1365">
        <f>'Grid_Requirement'!AF7</f>
        <v/>
      </c>
      <c r="AJ1365">
        <f>'Grid_Requirement'!AG7</f>
        <v/>
      </c>
      <c r="AK1365">
        <f>'Grid_Requirement'!AH7</f>
        <v/>
      </c>
      <c r="AL1365">
        <f>'Grid_Requirement'!AI7</f>
        <v/>
      </c>
      <c r="AM1365">
        <f>'Grid_Requirement'!AJ7</f>
        <v/>
      </c>
      <c r="AN1365">
        <f>'Grid_Requirement'!AK7</f>
        <v/>
      </c>
      <c r="AO1365">
        <f>'Grid_Requirement'!AL7</f>
        <v/>
      </c>
      <c r="AP1365">
        <f>'Grid_Requirement'!AM7</f>
        <v/>
      </c>
      <c r="AQ1365">
        <f>'Grid_Requirement'!AN7</f>
        <v/>
      </c>
      <c r="AR1365">
        <f>'Grid_Requirement'!AO7</f>
        <v/>
      </c>
      <c r="AS1365">
        <f>'Grid_Requirement'!AP7</f>
        <v/>
      </c>
      <c r="AT1365">
        <f>'Grid_Requirement'!AQ7</f>
        <v/>
      </c>
      <c r="AU1365">
        <f>'Grid_Requirement'!AR7</f>
        <v/>
      </c>
      <c r="AV1365">
        <f>'Grid_Requirement'!AS7</f>
        <v/>
      </c>
      <c r="AW1365">
        <f>'Grid_Requirement'!AT7</f>
        <v/>
      </c>
      <c r="AX1365">
        <f>'Grid_Requirement'!AU7</f>
        <v/>
      </c>
      <c r="AY1365">
        <f>'Grid_Requirement'!AV7</f>
        <v/>
      </c>
      <c r="AZ1365">
        <f>'Grid_Requirement'!AW7</f>
        <v/>
      </c>
      <c r="BA1365">
        <f>'Grid_Requirement'!AX7</f>
        <v/>
      </c>
      <c r="BB1365">
        <f>'Grid_Requirement'!AY7</f>
        <v/>
      </c>
      <c r="BC1365">
        <f>'Grid_Requirement'!AZ7</f>
        <v/>
      </c>
      <c r="BD1365">
        <f>'Grid_Requirement'!BA7</f>
        <v/>
      </c>
      <c r="BE1365">
        <f>'Grid_Requirement'!BB7</f>
        <v/>
      </c>
      <c r="BF1365">
        <f>'Grid_Requirement'!BC7</f>
        <v/>
      </c>
      <c r="BG1365">
        <f>'Grid_Requirement'!BD7</f>
        <v/>
      </c>
      <c r="BH1365">
        <f>'Grid_Requirement'!BE7</f>
        <v/>
      </c>
      <c r="BI1365">
        <f>'Grid_Requirement'!BF7</f>
        <v/>
      </c>
      <c r="BJ1365">
        <f>'Grid_Requirement'!BG7</f>
        <v/>
      </c>
      <c r="BK1365">
        <f>'Grid_Requirement'!BH7</f>
        <v/>
      </c>
      <c r="BL1365">
        <f>'Grid_Requirement'!BI7</f>
        <v/>
      </c>
      <c r="BM1365">
        <f>'Grid_Requirement'!BJ7</f>
        <v/>
      </c>
      <c r="BN1365">
        <f>'Grid_Requirement'!BK7</f>
        <v/>
      </c>
      <c r="BO1365">
        <f>'Grid_Requirement'!BL7</f>
        <v/>
      </c>
      <c r="BP1365">
        <f>'Grid_Requirement'!BM7</f>
        <v/>
      </c>
      <c r="BQ1365">
        <f>'Grid_Requirement'!BN7</f>
        <v/>
      </c>
      <c r="BR1365">
        <f>'Grid_Requirement'!BO7</f>
        <v/>
      </c>
      <c r="BS1365">
        <f>'Grid_Requirement'!BP7</f>
        <v/>
      </c>
      <c r="BT1365">
        <f>'Grid_Requirement'!BQ7</f>
        <v/>
      </c>
      <c r="BU1365">
        <f>'Grid_Requirement'!BR7</f>
        <v/>
      </c>
      <c r="BV1365">
        <f>'Grid_Requirement'!BS7</f>
        <v/>
      </c>
      <c r="BW1365">
        <f>'Grid_Requirement'!BT7</f>
        <v/>
      </c>
      <c r="BX1365">
        <f>'Grid_Requirement'!BU7</f>
        <v/>
      </c>
      <c r="BY1365">
        <f>'Grid_Requirement'!BV7</f>
        <v/>
      </c>
      <c r="BZ1365">
        <f>'Grid_Requirement'!BW7</f>
        <v/>
      </c>
      <c r="CA1365">
        <f>'Grid_Requirement'!BX7</f>
        <v/>
      </c>
      <c r="CB1365">
        <f>'Grid_Requirement'!BY7</f>
        <v/>
      </c>
      <c r="CC1365">
        <f>'Grid_Requirement'!BZ7</f>
        <v/>
      </c>
      <c r="CD1365">
        <f>'Grid_Requirement'!CA7</f>
        <v/>
      </c>
      <c r="CE1365">
        <f>'Grid_Requirement'!CB7</f>
        <v/>
      </c>
      <c r="CF1365">
        <f>'Grid_Requirement'!CC7</f>
        <v/>
      </c>
      <c r="CG1365">
        <f>'Grid_Requirement'!CD7</f>
        <v/>
      </c>
      <c r="CH1365">
        <f>'Grid_Requirement'!CE7</f>
        <v/>
      </c>
      <c r="CI1365">
        <f>'Grid_Requirement'!CF7</f>
        <v/>
      </c>
      <c r="CJ1365">
        <f>'Grid_Requirement'!CG7</f>
        <v/>
      </c>
      <c r="CK1365">
        <f>'Grid_Requirement'!CH7</f>
        <v/>
      </c>
      <c r="CL1365">
        <f>'Grid_Requirement'!CI7</f>
        <v/>
      </c>
      <c r="CM1365">
        <f>'Grid_Requirement'!CJ7</f>
        <v/>
      </c>
      <c r="CN1365">
        <f>'Grid_Requirement'!CK7</f>
        <v/>
      </c>
      <c r="CO1365">
        <f>'Grid_Requirement'!CL7</f>
        <v/>
      </c>
      <c r="CP1365">
        <f>'Grid_Requirement'!CM7</f>
        <v/>
      </c>
      <c r="CQ1365">
        <f>'Grid_Requirement'!CN7</f>
        <v/>
      </c>
      <c r="CR1365">
        <f>'Grid_Requirement'!CO7</f>
        <v/>
      </c>
      <c r="CS1365">
        <f>'Grid_Requirement'!CP7</f>
        <v/>
      </c>
      <c r="CT1365">
        <f>'Grid_Requirement'!CQ7</f>
        <v/>
      </c>
      <c r="CU1365">
        <f>'Grid_Requirement'!CR7</f>
        <v/>
      </c>
      <c r="CV1365">
        <f>'Grid_Requirement'!CS7</f>
        <v/>
      </c>
      <c r="CW1365">
        <f>'Grid_Requirement'!CT7</f>
        <v/>
      </c>
      <c r="CX1365">
        <f>'Grid_Requirement'!CU7</f>
        <v/>
      </c>
      <c r="CY1365">
        <f>'Grid_Requirement'!CV7</f>
        <v/>
      </c>
      <c r="CZ1365">
        <f>'Grid_Requirement'!CW7</f>
        <v/>
      </c>
      <c r="DA1365">
        <f>'Grid_Requirement'!CX7</f>
        <v/>
      </c>
      <c r="DB1365">
        <f>'Grid_Requirement'!CY7</f>
        <v/>
      </c>
      <c r="DC1365">
        <f>'Grid_Requirement'!CZ7</f>
        <v/>
      </c>
      <c r="DD1365">
        <f>'Grid_Requirement'!DA7</f>
        <v/>
      </c>
    </row>
    <row r="1366">
      <c r="B1366" t="inlineStr">
        <is>
          <t>TTAF在庫(実績,kg)</t>
        </is>
      </c>
      <c r="D1366">
        <f>IFERROR(INDEX(E1366:DD1366,$F$1),"")</f>
        <v/>
      </c>
      <c r="E1366">
        <f>IFERROR(SUMIFS(T_TTAFStock[TTAF_Qty],T_TTAFStock[RM_Code],$A1326,T_TTAFStock[WeekIndex],1),"")</f>
        <v/>
      </c>
      <c r="F1366">
        <f>IFERROR(SUMIFS(T_TTAFStock[TTAF_Qty],T_TTAFStock[RM_Code],$A1326,T_TTAFStock[WeekIndex],2),"")</f>
        <v/>
      </c>
      <c r="G1366">
        <f>IFERROR(SUMIFS(T_TTAFStock[TTAF_Qty],T_TTAFStock[RM_Code],$A1326,T_TTAFStock[WeekIndex],3),"")</f>
        <v/>
      </c>
      <c r="H1366">
        <f>IFERROR(SUMIFS(T_TTAFStock[TTAF_Qty],T_TTAFStock[RM_Code],$A1326,T_TTAFStock[WeekIndex],4),"")</f>
        <v/>
      </c>
      <c r="I1366">
        <f>IFERROR(SUMIFS(T_TTAFStock[TTAF_Qty],T_TTAFStock[RM_Code],$A1326,T_TTAFStock[WeekIndex],5),"")</f>
        <v/>
      </c>
      <c r="J1366">
        <f>IFERROR(SUMIFS(T_TTAFStock[TTAF_Qty],T_TTAFStock[RM_Code],$A1326,T_TTAFStock[WeekIndex],6),"")</f>
        <v/>
      </c>
      <c r="K1366">
        <f>IFERROR(SUMIFS(T_TTAFStock[TTAF_Qty],T_TTAFStock[RM_Code],$A1326,T_TTAFStock[WeekIndex],7),"")</f>
        <v/>
      </c>
      <c r="L1366">
        <f>IFERROR(SUMIFS(T_TTAFStock[TTAF_Qty],T_TTAFStock[RM_Code],$A1326,T_TTAFStock[WeekIndex],8),"")</f>
        <v/>
      </c>
      <c r="M1366">
        <f>IFERROR(SUMIFS(T_TTAFStock[TTAF_Qty],T_TTAFStock[RM_Code],$A1326,T_TTAFStock[WeekIndex],9),"")</f>
        <v/>
      </c>
      <c r="N1366">
        <f>IFERROR(SUMIFS(T_TTAFStock[TTAF_Qty],T_TTAFStock[RM_Code],$A1326,T_TTAFStock[WeekIndex],10),"")</f>
        <v/>
      </c>
      <c r="O1366">
        <f>IFERROR(SUMIFS(T_TTAFStock[TTAF_Qty],T_TTAFStock[RM_Code],$A1326,T_TTAFStock[WeekIndex],11),"")</f>
        <v/>
      </c>
      <c r="P1366">
        <f>IFERROR(SUMIFS(T_TTAFStock[TTAF_Qty],T_TTAFStock[RM_Code],$A1326,T_TTAFStock[WeekIndex],12),"")</f>
        <v/>
      </c>
      <c r="Q1366">
        <f>IFERROR(SUMIFS(T_TTAFStock[TTAF_Qty],T_TTAFStock[RM_Code],$A1326,T_TTAFStock[WeekIndex],13),"")</f>
        <v/>
      </c>
      <c r="R1366">
        <f>IFERROR(SUMIFS(T_TTAFStock[TTAF_Qty],T_TTAFStock[RM_Code],$A1326,T_TTAFStock[WeekIndex],14),"")</f>
        <v/>
      </c>
      <c r="S1366">
        <f>IFERROR(SUMIFS(T_TTAFStock[TTAF_Qty],T_TTAFStock[RM_Code],$A1326,T_TTAFStock[WeekIndex],15),"")</f>
        <v/>
      </c>
      <c r="T1366">
        <f>IFERROR(SUMIFS(T_TTAFStock[TTAF_Qty],T_TTAFStock[RM_Code],$A1326,T_TTAFStock[WeekIndex],16),"")</f>
        <v/>
      </c>
      <c r="U1366">
        <f>IFERROR(SUMIFS(T_TTAFStock[TTAF_Qty],T_TTAFStock[RM_Code],$A1326,T_TTAFStock[WeekIndex],17),"")</f>
        <v/>
      </c>
      <c r="V1366">
        <f>IFERROR(SUMIFS(T_TTAFStock[TTAF_Qty],T_TTAFStock[RM_Code],$A1326,T_TTAFStock[WeekIndex],18),"")</f>
        <v/>
      </c>
      <c r="W1366">
        <f>IFERROR(SUMIFS(T_TTAFStock[TTAF_Qty],T_TTAFStock[RM_Code],$A1326,T_TTAFStock[WeekIndex],19),"")</f>
        <v/>
      </c>
      <c r="X1366">
        <f>IFERROR(SUMIFS(T_TTAFStock[TTAF_Qty],T_TTAFStock[RM_Code],$A1326,T_TTAFStock[WeekIndex],20),"")</f>
        <v/>
      </c>
      <c r="Y1366">
        <f>IFERROR(SUMIFS(T_TTAFStock[TTAF_Qty],T_TTAFStock[RM_Code],$A1326,T_TTAFStock[WeekIndex],21),"")</f>
        <v/>
      </c>
      <c r="Z1366">
        <f>IFERROR(SUMIFS(T_TTAFStock[TTAF_Qty],T_TTAFStock[RM_Code],$A1326,T_TTAFStock[WeekIndex],22),"")</f>
        <v/>
      </c>
      <c r="AA1366">
        <f>IFERROR(SUMIFS(T_TTAFStock[TTAF_Qty],T_TTAFStock[RM_Code],$A1326,T_TTAFStock[WeekIndex],23),"")</f>
        <v/>
      </c>
      <c r="AB1366">
        <f>IFERROR(SUMIFS(T_TTAFStock[TTAF_Qty],T_TTAFStock[RM_Code],$A1326,T_TTAFStock[WeekIndex],24),"")</f>
        <v/>
      </c>
      <c r="AC1366">
        <f>IFERROR(SUMIFS(T_TTAFStock[TTAF_Qty],T_TTAFStock[RM_Code],$A1326,T_TTAFStock[WeekIndex],25),"")</f>
        <v/>
      </c>
      <c r="AD1366">
        <f>IFERROR(SUMIFS(T_TTAFStock[TTAF_Qty],T_TTAFStock[RM_Code],$A1326,T_TTAFStock[WeekIndex],26),"")</f>
        <v/>
      </c>
      <c r="AE1366">
        <f>IFERROR(SUMIFS(T_TTAFStock[TTAF_Qty],T_TTAFStock[RM_Code],$A1326,T_TTAFStock[WeekIndex],27),"")</f>
        <v/>
      </c>
      <c r="AF1366">
        <f>IFERROR(SUMIFS(T_TTAFStock[TTAF_Qty],T_TTAFStock[RM_Code],$A1326,T_TTAFStock[WeekIndex],28),"")</f>
        <v/>
      </c>
      <c r="AG1366">
        <f>IFERROR(SUMIFS(T_TTAFStock[TTAF_Qty],T_TTAFStock[RM_Code],$A1326,T_TTAFStock[WeekIndex],29),"")</f>
        <v/>
      </c>
      <c r="AH1366">
        <f>IFERROR(SUMIFS(T_TTAFStock[TTAF_Qty],T_TTAFStock[RM_Code],$A1326,T_TTAFStock[WeekIndex],30),"")</f>
        <v/>
      </c>
      <c r="AI1366">
        <f>IFERROR(SUMIFS(T_TTAFStock[TTAF_Qty],T_TTAFStock[RM_Code],$A1326,T_TTAFStock[WeekIndex],31),"")</f>
        <v/>
      </c>
      <c r="AJ1366">
        <f>IFERROR(SUMIFS(T_TTAFStock[TTAF_Qty],T_TTAFStock[RM_Code],$A1326,T_TTAFStock[WeekIndex],32),"")</f>
        <v/>
      </c>
      <c r="AK1366">
        <f>IFERROR(SUMIFS(T_TTAFStock[TTAF_Qty],T_TTAFStock[RM_Code],$A1326,T_TTAFStock[WeekIndex],33),"")</f>
        <v/>
      </c>
      <c r="AL1366">
        <f>IFERROR(SUMIFS(T_TTAFStock[TTAF_Qty],T_TTAFStock[RM_Code],$A1326,T_TTAFStock[WeekIndex],34),"")</f>
        <v/>
      </c>
      <c r="AM1366">
        <f>IFERROR(SUMIFS(T_TTAFStock[TTAF_Qty],T_TTAFStock[RM_Code],$A1326,T_TTAFStock[WeekIndex],35),"")</f>
        <v/>
      </c>
      <c r="AN1366">
        <f>IFERROR(SUMIFS(T_TTAFStock[TTAF_Qty],T_TTAFStock[RM_Code],$A1326,T_TTAFStock[WeekIndex],36),"")</f>
        <v/>
      </c>
      <c r="AO1366">
        <f>IFERROR(SUMIFS(T_TTAFStock[TTAF_Qty],T_TTAFStock[RM_Code],$A1326,T_TTAFStock[WeekIndex],37),"")</f>
        <v/>
      </c>
      <c r="AP1366">
        <f>IFERROR(SUMIFS(T_TTAFStock[TTAF_Qty],T_TTAFStock[RM_Code],$A1326,T_TTAFStock[WeekIndex],38),"")</f>
        <v/>
      </c>
      <c r="AQ1366">
        <f>IFERROR(SUMIFS(T_TTAFStock[TTAF_Qty],T_TTAFStock[RM_Code],$A1326,T_TTAFStock[WeekIndex],39),"")</f>
        <v/>
      </c>
      <c r="AR1366">
        <f>IFERROR(SUMIFS(T_TTAFStock[TTAF_Qty],T_TTAFStock[RM_Code],$A1326,T_TTAFStock[WeekIndex],40),"")</f>
        <v/>
      </c>
      <c r="AS1366">
        <f>IFERROR(SUMIFS(T_TTAFStock[TTAF_Qty],T_TTAFStock[RM_Code],$A1326,T_TTAFStock[WeekIndex],41),"")</f>
        <v/>
      </c>
      <c r="AT1366">
        <f>IFERROR(SUMIFS(T_TTAFStock[TTAF_Qty],T_TTAFStock[RM_Code],$A1326,T_TTAFStock[WeekIndex],42),"")</f>
        <v/>
      </c>
      <c r="AU1366">
        <f>IFERROR(SUMIFS(T_TTAFStock[TTAF_Qty],T_TTAFStock[RM_Code],$A1326,T_TTAFStock[WeekIndex],43),"")</f>
        <v/>
      </c>
      <c r="AV1366">
        <f>IFERROR(SUMIFS(T_TTAFStock[TTAF_Qty],T_TTAFStock[RM_Code],$A1326,T_TTAFStock[WeekIndex],44),"")</f>
        <v/>
      </c>
      <c r="AW1366">
        <f>IFERROR(SUMIFS(T_TTAFStock[TTAF_Qty],T_TTAFStock[RM_Code],$A1326,T_TTAFStock[WeekIndex],45),"")</f>
        <v/>
      </c>
      <c r="AX1366">
        <f>IFERROR(SUMIFS(T_TTAFStock[TTAF_Qty],T_TTAFStock[RM_Code],$A1326,T_TTAFStock[WeekIndex],46),"")</f>
        <v/>
      </c>
      <c r="AY1366">
        <f>IFERROR(SUMIFS(T_TTAFStock[TTAF_Qty],T_TTAFStock[RM_Code],$A1326,T_TTAFStock[WeekIndex],47),"")</f>
        <v/>
      </c>
      <c r="AZ1366">
        <f>IFERROR(SUMIFS(T_TTAFStock[TTAF_Qty],T_TTAFStock[RM_Code],$A1326,T_TTAFStock[WeekIndex],48),"")</f>
        <v/>
      </c>
      <c r="BA1366">
        <f>IFERROR(SUMIFS(T_TTAFStock[TTAF_Qty],T_TTAFStock[RM_Code],$A1326,T_TTAFStock[WeekIndex],49),"")</f>
        <v/>
      </c>
      <c r="BB1366">
        <f>IFERROR(SUMIFS(T_TTAFStock[TTAF_Qty],T_TTAFStock[RM_Code],$A1326,T_TTAFStock[WeekIndex],50),"")</f>
        <v/>
      </c>
      <c r="BC1366">
        <f>IFERROR(SUMIFS(T_TTAFStock[TTAF_Qty],T_TTAFStock[RM_Code],$A1326,T_TTAFStock[WeekIndex],51),"")</f>
        <v/>
      </c>
      <c r="BD1366">
        <f>IFERROR(SUMIFS(T_TTAFStock[TTAF_Qty],T_TTAFStock[RM_Code],$A1326,T_TTAFStock[WeekIndex],52),"")</f>
        <v/>
      </c>
      <c r="BE1366">
        <f>IFERROR(SUMIFS(T_TTAFStock[TTAF_Qty],T_TTAFStock[RM_Code],$A1326,T_TTAFStock[WeekIndex],53),"")</f>
        <v/>
      </c>
      <c r="BF1366">
        <f>IFERROR(SUMIFS(T_TTAFStock[TTAF_Qty],T_TTAFStock[RM_Code],$A1326,T_TTAFStock[WeekIndex],54),"")</f>
        <v/>
      </c>
      <c r="BG1366">
        <f>IFERROR(SUMIFS(T_TTAFStock[TTAF_Qty],T_TTAFStock[RM_Code],$A1326,T_TTAFStock[WeekIndex],55),"")</f>
        <v/>
      </c>
      <c r="BH1366">
        <f>IFERROR(SUMIFS(T_TTAFStock[TTAF_Qty],T_TTAFStock[RM_Code],$A1326,T_TTAFStock[WeekIndex],56),"")</f>
        <v/>
      </c>
      <c r="BI1366">
        <f>IFERROR(SUMIFS(T_TTAFStock[TTAF_Qty],T_TTAFStock[RM_Code],$A1326,T_TTAFStock[WeekIndex],57),"")</f>
        <v/>
      </c>
      <c r="BJ1366">
        <f>IFERROR(SUMIFS(T_TTAFStock[TTAF_Qty],T_TTAFStock[RM_Code],$A1326,T_TTAFStock[WeekIndex],58),"")</f>
        <v/>
      </c>
      <c r="BK1366">
        <f>IFERROR(SUMIFS(T_TTAFStock[TTAF_Qty],T_TTAFStock[RM_Code],$A1326,T_TTAFStock[WeekIndex],59),"")</f>
        <v/>
      </c>
      <c r="BL1366">
        <f>IFERROR(SUMIFS(T_TTAFStock[TTAF_Qty],T_TTAFStock[RM_Code],$A1326,T_TTAFStock[WeekIndex],60),"")</f>
        <v/>
      </c>
      <c r="BM1366">
        <f>IFERROR(SUMIFS(T_TTAFStock[TTAF_Qty],T_TTAFStock[RM_Code],$A1326,T_TTAFStock[WeekIndex],61),"")</f>
        <v/>
      </c>
      <c r="BN1366">
        <f>IFERROR(SUMIFS(T_TTAFStock[TTAF_Qty],T_TTAFStock[RM_Code],$A1326,T_TTAFStock[WeekIndex],62),"")</f>
        <v/>
      </c>
      <c r="BO1366">
        <f>IFERROR(SUMIFS(T_TTAFStock[TTAF_Qty],T_TTAFStock[RM_Code],$A1326,T_TTAFStock[WeekIndex],63),"")</f>
        <v/>
      </c>
      <c r="BP1366">
        <f>IFERROR(SUMIFS(T_TTAFStock[TTAF_Qty],T_TTAFStock[RM_Code],$A1326,T_TTAFStock[WeekIndex],64),"")</f>
        <v/>
      </c>
      <c r="BQ1366">
        <f>IFERROR(SUMIFS(T_TTAFStock[TTAF_Qty],T_TTAFStock[RM_Code],$A1326,T_TTAFStock[WeekIndex],65),"")</f>
        <v/>
      </c>
      <c r="BR1366">
        <f>IFERROR(SUMIFS(T_TTAFStock[TTAF_Qty],T_TTAFStock[RM_Code],$A1326,T_TTAFStock[WeekIndex],66),"")</f>
        <v/>
      </c>
      <c r="BS1366">
        <f>IFERROR(SUMIFS(T_TTAFStock[TTAF_Qty],T_TTAFStock[RM_Code],$A1326,T_TTAFStock[WeekIndex],67),"")</f>
        <v/>
      </c>
      <c r="BT1366">
        <f>IFERROR(SUMIFS(T_TTAFStock[TTAF_Qty],T_TTAFStock[RM_Code],$A1326,T_TTAFStock[WeekIndex],68),"")</f>
        <v/>
      </c>
      <c r="BU1366">
        <f>IFERROR(SUMIFS(T_TTAFStock[TTAF_Qty],T_TTAFStock[RM_Code],$A1326,T_TTAFStock[WeekIndex],69),"")</f>
        <v/>
      </c>
      <c r="BV1366">
        <f>IFERROR(SUMIFS(T_TTAFStock[TTAF_Qty],T_TTAFStock[RM_Code],$A1326,T_TTAFStock[WeekIndex],70),"")</f>
        <v/>
      </c>
      <c r="BW1366">
        <f>IFERROR(SUMIFS(T_TTAFStock[TTAF_Qty],T_TTAFStock[RM_Code],$A1326,T_TTAFStock[WeekIndex],71),"")</f>
        <v/>
      </c>
      <c r="BX1366">
        <f>IFERROR(SUMIFS(T_TTAFStock[TTAF_Qty],T_TTAFStock[RM_Code],$A1326,T_TTAFStock[WeekIndex],72),"")</f>
        <v/>
      </c>
      <c r="BY1366">
        <f>IFERROR(SUMIFS(T_TTAFStock[TTAF_Qty],T_TTAFStock[RM_Code],$A1326,T_TTAFStock[WeekIndex],73),"")</f>
        <v/>
      </c>
      <c r="BZ1366">
        <f>IFERROR(SUMIFS(T_TTAFStock[TTAF_Qty],T_TTAFStock[RM_Code],$A1326,T_TTAFStock[WeekIndex],74),"")</f>
        <v/>
      </c>
      <c r="CA1366">
        <f>IFERROR(SUMIFS(T_TTAFStock[TTAF_Qty],T_TTAFStock[RM_Code],$A1326,T_TTAFStock[WeekIndex],75),"")</f>
        <v/>
      </c>
      <c r="CB1366">
        <f>IFERROR(SUMIFS(T_TTAFStock[TTAF_Qty],T_TTAFStock[RM_Code],$A1326,T_TTAFStock[WeekIndex],76),"")</f>
        <v/>
      </c>
      <c r="CC1366">
        <f>IFERROR(SUMIFS(T_TTAFStock[TTAF_Qty],T_TTAFStock[RM_Code],$A1326,T_TTAFStock[WeekIndex],77),"")</f>
        <v/>
      </c>
      <c r="CD1366">
        <f>IFERROR(SUMIFS(T_TTAFStock[TTAF_Qty],T_TTAFStock[RM_Code],$A1326,T_TTAFStock[WeekIndex],78),"")</f>
        <v/>
      </c>
      <c r="CE1366">
        <f>IFERROR(SUMIFS(T_TTAFStock[TTAF_Qty],T_TTAFStock[RM_Code],$A1326,T_TTAFStock[WeekIndex],79),"")</f>
        <v/>
      </c>
      <c r="CF1366">
        <f>IFERROR(SUMIFS(T_TTAFStock[TTAF_Qty],T_TTAFStock[RM_Code],$A1326,T_TTAFStock[WeekIndex],80),"")</f>
        <v/>
      </c>
      <c r="CG1366">
        <f>IFERROR(SUMIFS(T_TTAFStock[TTAF_Qty],T_TTAFStock[RM_Code],$A1326,T_TTAFStock[WeekIndex],81),"")</f>
        <v/>
      </c>
      <c r="CH1366">
        <f>IFERROR(SUMIFS(T_TTAFStock[TTAF_Qty],T_TTAFStock[RM_Code],$A1326,T_TTAFStock[WeekIndex],82),"")</f>
        <v/>
      </c>
      <c r="CI1366">
        <f>IFERROR(SUMIFS(T_TTAFStock[TTAF_Qty],T_TTAFStock[RM_Code],$A1326,T_TTAFStock[WeekIndex],83),"")</f>
        <v/>
      </c>
      <c r="CJ1366">
        <f>IFERROR(SUMIFS(T_TTAFStock[TTAF_Qty],T_TTAFStock[RM_Code],$A1326,T_TTAFStock[WeekIndex],84),"")</f>
        <v/>
      </c>
      <c r="CK1366">
        <f>IFERROR(SUMIFS(T_TTAFStock[TTAF_Qty],T_TTAFStock[RM_Code],$A1326,T_TTAFStock[WeekIndex],85),"")</f>
        <v/>
      </c>
      <c r="CL1366">
        <f>IFERROR(SUMIFS(T_TTAFStock[TTAF_Qty],T_TTAFStock[RM_Code],$A1326,T_TTAFStock[WeekIndex],86),"")</f>
        <v/>
      </c>
      <c r="CM1366">
        <f>IFERROR(SUMIFS(T_TTAFStock[TTAF_Qty],T_TTAFStock[RM_Code],$A1326,T_TTAFStock[WeekIndex],87),"")</f>
        <v/>
      </c>
      <c r="CN1366">
        <f>IFERROR(SUMIFS(T_TTAFStock[TTAF_Qty],T_TTAFStock[RM_Code],$A1326,T_TTAFStock[WeekIndex],88),"")</f>
        <v/>
      </c>
      <c r="CO1366">
        <f>IFERROR(SUMIFS(T_TTAFStock[TTAF_Qty],T_TTAFStock[RM_Code],$A1326,T_TTAFStock[WeekIndex],89),"")</f>
        <v/>
      </c>
      <c r="CP1366">
        <f>IFERROR(SUMIFS(T_TTAFStock[TTAF_Qty],T_TTAFStock[RM_Code],$A1326,T_TTAFStock[WeekIndex],90),"")</f>
        <v/>
      </c>
      <c r="CQ1366">
        <f>IFERROR(SUMIFS(T_TTAFStock[TTAF_Qty],T_TTAFStock[RM_Code],$A1326,T_TTAFStock[WeekIndex],91),"")</f>
        <v/>
      </c>
      <c r="CR1366">
        <f>IFERROR(SUMIFS(T_TTAFStock[TTAF_Qty],T_TTAFStock[RM_Code],$A1326,T_TTAFStock[WeekIndex],92),"")</f>
        <v/>
      </c>
      <c r="CS1366">
        <f>IFERROR(SUMIFS(T_TTAFStock[TTAF_Qty],T_TTAFStock[RM_Code],$A1326,T_TTAFStock[WeekIndex],93),"")</f>
        <v/>
      </c>
      <c r="CT1366">
        <f>IFERROR(SUMIFS(T_TTAFStock[TTAF_Qty],T_TTAFStock[RM_Code],$A1326,T_TTAFStock[WeekIndex],94),"")</f>
        <v/>
      </c>
      <c r="CU1366">
        <f>IFERROR(SUMIFS(T_TTAFStock[TTAF_Qty],T_TTAFStock[RM_Code],$A1326,T_TTAFStock[WeekIndex],95),"")</f>
        <v/>
      </c>
      <c r="CV1366">
        <f>IFERROR(SUMIFS(T_TTAFStock[TTAF_Qty],T_TTAFStock[RM_Code],$A1326,T_TTAFStock[WeekIndex],96),"")</f>
        <v/>
      </c>
      <c r="CW1366">
        <f>IFERROR(SUMIFS(T_TTAFStock[TTAF_Qty],T_TTAFStock[RM_Code],$A1326,T_TTAFStock[WeekIndex],97),"")</f>
        <v/>
      </c>
      <c r="CX1366">
        <f>IFERROR(SUMIFS(T_TTAFStock[TTAF_Qty],T_TTAFStock[RM_Code],$A1326,T_TTAFStock[WeekIndex],98),"")</f>
        <v/>
      </c>
      <c r="CY1366">
        <f>IFERROR(SUMIFS(T_TTAFStock[TTAF_Qty],T_TTAFStock[RM_Code],$A1326,T_TTAFStock[WeekIndex],99),"")</f>
        <v/>
      </c>
      <c r="CZ1366">
        <f>IFERROR(SUMIFS(T_TTAFStock[TTAF_Qty],T_TTAFStock[RM_Code],$A1326,T_TTAFStock[WeekIndex],100),"")</f>
        <v/>
      </c>
      <c r="DA1366">
        <f>IFERROR(SUMIFS(T_TTAFStock[TTAF_Qty],T_TTAFStock[RM_Code],$A1326,T_TTAFStock[WeekIndex],101),"")</f>
        <v/>
      </c>
      <c r="DB1366">
        <f>IFERROR(SUMIFS(T_TTAFStock[TTAF_Qty],T_TTAFStock[RM_Code],$A1326,T_TTAFStock[WeekIndex],102),"")</f>
        <v/>
      </c>
      <c r="DC1366">
        <f>IFERROR(SUMIFS(T_TTAFStock[TTAF_Qty],T_TTAFStock[RM_Code],$A1326,T_TTAFStock[WeekIndex],103),"")</f>
        <v/>
      </c>
      <c r="DD1366">
        <f>IFERROR(SUMIFS(T_TTAFStock[TTAF_Qty],T_TTAFStock[RM_Code],$A1326,T_TTAFStock[WeekIndex],104),"")</f>
        <v/>
      </c>
    </row>
    <row r="1367">
      <c r="B1367" t="inlineStr">
        <is>
          <t>自社在庫(実績,kg)</t>
        </is>
      </c>
      <c r="D1367">
        <f>IFERROR(INDEX(E1367:DD1367,$F$1),"")</f>
        <v/>
      </c>
      <c r="E1367">
        <f>IFERROR(SUMIFS(T_SelfStock[Self_Qty],T_SelfStock[RM_Code],$A1326,T_SelfStock[WeekIndex],1),"")</f>
        <v/>
      </c>
      <c r="F1367">
        <f>IFERROR(SUMIFS(T_SelfStock[Self_Qty],T_SelfStock[RM_Code],$A1326,T_SelfStock[WeekIndex],2),"")</f>
        <v/>
      </c>
      <c r="G1367">
        <f>IFERROR(SUMIFS(T_SelfStock[Self_Qty],T_SelfStock[RM_Code],$A1326,T_SelfStock[WeekIndex],3),"")</f>
        <v/>
      </c>
      <c r="H1367">
        <f>IFERROR(SUMIFS(T_SelfStock[Self_Qty],T_SelfStock[RM_Code],$A1326,T_SelfStock[WeekIndex],4),"")</f>
        <v/>
      </c>
      <c r="I1367">
        <f>IFERROR(SUMIFS(T_SelfStock[Self_Qty],T_SelfStock[RM_Code],$A1326,T_SelfStock[WeekIndex],5),"")</f>
        <v/>
      </c>
      <c r="J1367">
        <f>IFERROR(SUMIFS(T_SelfStock[Self_Qty],T_SelfStock[RM_Code],$A1326,T_SelfStock[WeekIndex],6),"")</f>
        <v/>
      </c>
      <c r="K1367">
        <f>IFERROR(SUMIFS(T_SelfStock[Self_Qty],T_SelfStock[RM_Code],$A1326,T_SelfStock[WeekIndex],7),"")</f>
        <v/>
      </c>
      <c r="L1367">
        <f>IFERROR(SUMIFS(T_SelfStock[Self_Qty],T_SelfStock[RM_Code],$A1326,T_SelfStock[WeekIndex],8),"")</f>
        <v/>
      </c>
      <c r="M1367">
        <f>IFERROR(SUMIFS(T_SelfStock[Self_Qty],T_SelfStock[RM_Code],$A1326,T_SelfStock[WeekIndex],9),"")</f>
        <v/>
      </c>
      <c r="N1367">
        <f>IFERROR(SUMIFS(T_SelfStock[Self_Qty],T_SelfStock[RM_Code],$A1326,T_SelfStock[WeekIndex],10),"")</f>
        <v/>
      </c>
      <c r="O1367">
        <f>IFERROR(SUMIFS(T_SelfStock[Self_Qty],T_SelfStock[RM_Code],$A1326,T_SelfStock[WeekIndex],11),"")</f>
        <v/>
      </c>
      <c r="P1367">
        <f>IFERROR(SUMIFS(T_SelfStock[Self_Qty],T_SelfStock[RM_Code],$A1326,T_SelfStock[WeekIndex],12),"")</f>
        <v/>
      </c>
      <c r="Q1367">
        <f>IFERROR(SUMIFS(T_SelfStock[Self_Qty],T_SelfStock[RM_Code],$A1326,T_SelfStock[WeekIndex],13),"")</f>
        <v/>
      </c>
      <c r="R1367">
        <f>IFERROR(SUMIFS(T_SelfStock[Self_Qty],T_SelfStock[RM_Code],$A1326,T_SelfStock[WeekIndex],14),"")</f>
        <v/>
      </c>
      <c r="S1367">
        <f>IFERROR(SUMIFS(T_SelfStock[Self_Qty],T_SelfStock[RM_Code],$A1326,T_SelfStock[WeekIndex],15),"")</f>
        <v/>
      </c>
      <c r="T1367">
        <f>IFERROR(SUMIFS(T_SelfStock[Self_Qty],T_SelfStock[RM_Code],$A1326,T_SelfStock[WeekIndex],16),"")</f>
        <v/>
      </c>
      <c r="U1367">
        <f>IFERROR(SUMIFS(T_SelfStock[Self_Qty],T_SelfStock[RM_Code],$A1326,T_SelfStock[WeekIndex],17),"")</f>
        <v/>
      </c>
      <c r="V1367">
        <f>IFERROR(SUMIFS(T_SelfStock[Self_Qty],T_SelfStock[RM_Code],$A1326,T_SelfStock[WeekIndex],18),"")</f>
        <v/>
      </c>
      <c r="W1367">
        <f>IFERROR(SUMIFS(T_SelfStock[Self_Qty],T_SelfStock[RM_Code],$A1326,T_SelfStock[WeekIndex],19),"")</f>
        <v/>
      </c>
      <c r="X1367">
        <f>IFERROR(SUMIFS(T_SelfStock[Self_Qty],T_SelfStock[RM_Code],$A1326,T_SelfStock[WeekIndex],20),"")</f>
        <v/>
      </c>
      <c r="Y1367">
        <f>IFERROR(SUMIFS(T_SelfStock[Self_Qty],T_SelfStock[RM_Code],$A1326,T_SelfStock[WeekIndex],21),"")</f>
        <v/>
      </c>
      <c r="Z1367">
        <f>IFERROR(SUMIFS(T_SelfStock[Self_Qty],T_SelfStock[RM_Code],$A1326,T_SelfStock[WeekIndex],22),"")</f>
        <v/>
      </c>
      <c r="AA1367">
        <f>IFERROR(SUMIFS(T_SelfStock[Self_Qty],T_SelfStock[RM_Code],$A1326,T_SelfStock[WeekIndex],23),"")</f>
        <v/>
      </c>
      <c r="AB1367">
        <f>IFERROR(SUMIFS(T_SelfStock[Self_Qty],T_SelfStock[RM_Code],$A1326,T_SelfStock[WeekIndex],24),"")</f>
        <v/>
      </c>
      <c r="AC1367">
        <f>IFERROR(SUMIFS(T_SelfStock[Self_Qty],T_SelfStock[RM_Code],$A1326,T_SelfStock[WeekIndex],25),"")</f>
        <v/>
      </c>
      <c r="AD1367">
        <f>IFERROR(SUMIFS(T_SelfStock[Self_Qty],T_SelfStock[RM_Code],$A1326,T_SelfStock[WeekIndex],26),"")</f>
        <v/>
      </c>
      <c r="AE1367">
        <f>IFERROR(SUMIFS(T_SelfStock[Self_Qty],T_SelfStock[RM_Code],$A1326,T_SelfStock[WeekIndex],27),"")</f>
        <v/>
      </c>
      <c r="AF1367">
        <f>IFERROR(SUMIFS(T_SelfStock[Self_Qty],T_SelfStock[RM_Code],$A1326,T_SelfStock[WeekIndex],28),"")</f>
        <v/>
      </c>
      <c r="AG1367">
        <f>IFERROR(SUMIFS(T_SelfStock[Self_Qty],T_SelfStock[RM_Code],$A1326,T_SelfStock[WeekIndex],29),"")</f>
        <v/>
      </c>
      <c r="AH1367">
        <f>IFERROR(SUMIFS(T_SelfStock[Self_Qty],T_SelfStock[RM_Code],$A1326,T_SelfStock[WeekIndex],30),"")</f>
        <v/>
      </c>
      <c r="AI1367">
        <f>IFERROR(SUMIFS(T_SelfStock[Self_Qty],T_SelfStock[RM_Code],$A1326,T_SelfStock[WeekIndex],31),"")</f>
        <v/>
      </c>
      <c r="AJ1367">
        <f>IFERROR(SUMIFS(T_SelfStock[Self_Qty],T_SelfStock[RM_Code],$A1326,T_SelfStock[WeekIndex],32),"")</f>
        <v/>
      </c>
      <c r="AK1367">
        <f>IFERROR(SUMIFS(T_SelfStock[Self_Qty],T_SelfStock[RM_Code],$A1326,T_SelfStock[WeekIndex],33),"")</f>
        <v/>
      </c>
      <c r="AL1367">
        <f>IFERROR(SUMIFS(T_SelfStock[Self_Qty],T_SelfStock[RM_Code],$A1326,T_SelfStock[WeekIndex],34),"")</f>
        <v/>
      </c>
      <c r="AM1367">
        <f>IFERROR(SUMIFS(T_SelfStock[Self_Qty],T_SelfStock[RM_Code],$A1326,T_SelfStock[WeekIndex],35),"")</f>
        <v/>
      </c>
      <c r="AN1367">
        <f>IFERROR(SUMIFS(T_SelfStock[Self_Qty],T_SelfStock[RM_Code],$A1326,T_SelfStock[WeekIndex],36),"")</f>
        <v/>
      </c>
      <c r="AO1367">
        <f>IFERROR(SUMIFS(T_SelfStock[Self_Qty],T_SelfStock[RM_Code],$A1326,T_SelfStock[WeekIndex],37),"")</f>
        <v/>
      </c>
      <c r="AP1367">
        <f>IFERROR(SUMIFS(T_SelfStock[Self_Qty],T_SelfStock[RM_Code],$A1326,T_SelfStock[WeekIndex],38),"")</f>
        <v/>
      </c>
      <c r="AQ1367">
        <f>IFERROR(SUMIFS(T_SelfStock[Self_Qty],T_SelfStock[RM_Code],$A1326,T_SelfStock[WeekIndex],39),"")</f>
        <v/>
      </c>
      <c r="AR1367">
        <f>IFERROR(SUMIFS(T_SelfStock[Self_Qty],T_SelfStock[RM_Code],$A1326,T_SelfStock[WeekIndex],40),"")</f>
        <v/>
      </c>
      <c r="AS1367">
        <f>IFERROR(SUMIFS(T_SelfStock[Self_Qty],T_SelfStock[RM_Code],$A1326,T_SelfStock[WeekIndex],41),"")</f>
        <v/>
      </c>
      <c r="AT1367">
        <f>IFERROR(SUMIFS(T_SelfStock[Self_Qty],T_SelfStock[RM_Code],$A1326,T_SelfStock[WeekIndex],42),"")</f>
        <v/>
      </c>
      <c r="AU1367">
        <f>IFERROR(SUMIFS(T_SelfStock[Self_Qty],T_SelfStock[RM_Code],$A1326,T_SelfStock[WeekIndex],43),"")</f>
        <v/>
      </c>
      <c r="AV1367">
        <f>IFERROR(SUMIFS(T_SelfStock[Self_Qty],T_SelfStock[RM_Code],$A1326,T_SelfStock[WeekIndex],44),"")</f>
        <v/>
      </c>
      <c r="AW1367">
        <f>IFERROR(SUMIFS(T_SelfStock[Self_Qty],T_SelfStock[RM_Code],$A1326,T_SelfStock[WeekIndex],45),"")</f>
        <v/>
      </c>
      <c r="AX1367">
        <f>IFERROR(SUMIFS(T_SelfStock[Self_Qty],T_SelfStock[RM_Code],$A1326,T_SelfStock[WeekIndex],46),"")</f>
        <v/>
      </c>
      <c r="AY1367">
        <f>IFERROR(SUMIFS(T_SelfStock[Self_Qty],T_SelfStock[RM_Code],$A1326,T_SelfStock[WeekIndex],47),"")</f>
        <v/>
      </c>
      <c r="AZ1367">
        <f>IFERROR(SUMIFS(T_SelfStock[Self_Qty],T_SelfStock[RM_Code],$A1326,T_SelfStock[WeekIndex],48),"")</f>
        <v/>
      </c>
      <c r="BA1367">
        <f>IFERROR(SUMIFS(T_SelfStock[Self_Qty],T_SelfStock[RM_Code],$A1326,T_SelfStock[WeekIndex],49),"")</f>
        <v/>
      </c>
      <c r="BB1367">
        <f>IFERROR(SUMIFS(T_SelfStock[Self_Qty],T_SelfStock[RM_Code],$A1326,T_SelfStock[WeekIndex],50),"")</f>
        <v/>
      </c>
      <c r="BC1367">
        <f>IFERROR(SUMIFS(T_SelfStock[Self_Qty],T_SelfStock[RM_Code],$A1326,T_SelfStock[WeekIndex],51),"")</f>
        <v/>
      </c>
      <c r="BD1367">
        <f>IFERROR(SUMIFS(T_SelfStock[Self_Qty],T_SelfStock[RM_Code],$A1326,T_SelfStock[WeekIndex],52),"")</f>
        <v/>
      </c>
      <c r="BE1367">
        <f>IFERROR(SUMIFS(T_SelfStock[Self_Qty],T_SelfStock[RM_Code],$A1326,T_SelfStock[WeekIndex],53),"")</f>
        <v/>
      </c>
      <c r="BF1367">
        <f>IFERROR(SUMIFS(T_SelfStock[Self_Qty],T_SelfStock[RM_Code],$A1326,T_SelfStock[WeekIndex],54),"")</f>
        <v/>
      </c>
      <c r="BG1367">
        <f>IFERROR(SUMIFS(T_SelfStock[Self_Qty],T_SelfStock[RM_Code],$A1326,T_SelfStock[WeekIndex],55),"")</f>
        <v/>
      </c>
      <c r="BH1367">
        <f>IFERROR(SUMIFS(T_SelfStock[Self_Qty],T_SelfStock[RM_Code],$A1326,T_SelfStock[WeekIndex],56),"")</f>
        <v/>
      </c>
      <c r="BI1367">
        <f>IFERROR(SUMIFS(T_SelfStock[Self_Qty],T_SelfStock[RM_Code],$A1326,T_SelfStock[WeekIndex],57),"")</f>
        <v/>
      </c>
      <c r="BJ1367">
        <f>IFERROR(SUMIFS(T_SelfStock[Self_Qty],T_SelfStock[RM_Code],$A1326,T_SelfStock[WeekIndex],58),"")</f>
        <v/>
      </c>
      <c r="BK1367">
        <f>IFERROR(SUMIFS(T_SelfStock[Self_Qty],T_SelfStock[RM_Code],$A1326,T_SelfStock[WeekIndex],59),"")</f>
        <v/>
      </c>
      <c r="BL1367">
        <f>IFERROR(SUMIFS(T_SelfStock[Self_Qty],T_SelfStock[RM_Code],$A1326,T_SelfStock[WeekIndex],60),"")</f>
        <v/>
      </c>
      <c r="BM1367">
        <f>IFERROR(SUMIFS(T_SelfStock[Self_Qty],T_SelfStock[RM_Code],$A1326,T_SelfStock[WeekIndex],61),"")</f>
        <v/>
      </c>
      <c r="BN1367">
        <f>IFERROR(SUMIFS(T_SelfStock[Self_Qty],T_SelfStock[RM_Code],$A1326,T_SelfStock[WeekIndex],62),"")</f>
        <v/>
      </c>
      <c r="BO1367">
        <f>IFERROR(SUMIFS(T_SelfStock[Self_Qty],T_SelfStock[RM_Code],$A1326,T_SelfStock[WeekIndex],63),"")</f>
        <v/>
      </c>
      <c r="BP1367">
        <f>IFERROR(SUMIFS(T_SelfStock[Self_Qty],T_SelfStock[RM_Code],$A1326,T_SelfStock[WeekIndex],64),"")</f>
        <v/>
      </c>
      <c r="BQ1367">
        <f>IFERROR(SUMIFS(T_SelfStock[Self_Qty],T_SelfStock[RM_Code],$A1326,T_SelfStock[WeekIndex],65),"")</f>
        <v/>
      </c>
      <c r="BR1367">
        <f>IFERROR(SUMIFS(T_SelfStock[Self_Qty],T_SelfStock[RM_Code],$A1326,T_SelfStock[WeekIndex],66),"")</f>
        <v/>
      </c>
      <c r="BS1367">
        <f>IFERROR(SUMIFS(T_SelfStock[Self_Qty],T_SelfStock[RM_Code],$A1326,T_SelfStock[WeekIndex],67),"")</f>
        <v/>
      </c>
      <c r="BT1367">
        <f>IFERROR(SUMIFS(T_SelfStock[Self_Qty],T_SelfStock[RM_Code],$A1326,T_SelfStock[WeekIndex],68),"")</f>
        <v/>
      </c>
      <c r="BU1367">
        <f>IFERROR(SUMIFS(T_SelfStock[Self_Qty],T_SelfStock[RM_Code],$A1326,T_SelfStock[WeekIndex],69),"")</f>
        <v/>
      </c>
      <c r="BV1367">
        <f>IFERROR(SUMIFS(T_SelfStock[Self_Qty],T_SelfStock[RM_Code],$A1326,T_SelfStock[WeekIndex],70),"")</f>
        <v/>
      </c>
      <c r="BW1367">
        <f>IFERROR(SUMIFS(T_SelfStock[Self_Qty],T_SelfStock[RM_Code],$A1326,T_SelfStock[WeekIndex],71),"")</f>
        <v/>
      </c>
      <c r="BX1367">
        <f>IFERROR(SUMIFS(T_SelfStock[Self_Qty],T_SelfStock[RM_Code],$A1326,T_SelfStock[WeekIndex],72),"")</f>
        <v/>
      </c>
      <c r="BY1367">
        <f>IFERROR(SUMIFS(T_SelfStock[Self_Qty],T_SelfStock[RM_Code],$A1326,T_SelfStock[WeekIndex],73),"")</f>
        <v/>
      </c>
      <c r="BZ1367">
        <f>IFERROR(SUMIFS(T_SelfStock[Self_Qty],T_SelfStock[RM_Code],$A1326,T_SelfStock[WeekIndex],74),"")</f>
        <v/>
      </c>
      <c r="CA1367">
        <f>IFERROR(SUMIFS(T_SelfStock[Self_Qty],T_SelfStock[RM_Code],$A1326,T_SelfStock[WeekIndex],75),"")</f>
        <v/>
      </c>
      <c r="CB1367">
        <f>IFERROR(SUMIFS(T_SelfStock[Self_Qty],T_SelfStock[RM_Code],$A1326,T_SelfStock[WeekIndex],76),"")</f>
        <v/>
      </c>
      <c r="CC1367">
        <f>IFERROR(SUMIFS(T_SelfStock[Self_Qty],T_SelfStock[RM_Code],$A1326,T_SelfStock[WeekIndex],77),"")</f>
        <v/>
      </c>
      <c r="CD1367">
        <f>IFERROR(SUMIFS(T_SelfStock[Self_Qty],T_SelfStock[RM_Code],$A1326,T_SelfStock[WeekIndex],78),"")</f>
        <v/>
      </c>
      <c r="CE1367">
        <f>IFERROR(SUMIFS(T_SelfStock[Self_Qty],T_SelfStock[RM_Code],$A1326,T_SelfStock[WeekIndex],79),"")</f>
        <v/>
      </c>
      <c r="CF1367">
        <f>IFERROR(SUMIFS(T_SelfStock[Self_Qty],T_SelfStock[RM_Code],$A1326,T_SelfStock[WeekIndex],80),"")</f>
        <v/>
      </c>
      <c r="CG1367">
        <f>IFERROR(SUMIFS(T_SelfStock[Self_Qty],T_SelfStock[RM_Code],$A1326,T_SelfStock[WeekIndex],81),"")</f>
        <v/>
      </c>
      <c r="CH1367">
        <f>IFERROR(SUMIFS(T_SelfStock[Self_Qty],T_SelfStock[RM_Code],$A1326,T_SelfStock[WeekIndex],82),"")</f>
        <v/>
      </c>
      <c r="CI1367">
        <f>IFERROR(SUMIFS(T_SelfStock[Self_Qty],T_SelfStock[RM_Code],$A1326,T_SelfStock[WeekIndex],83),"")</f>
        <v/>
      </c>
      <c r="CJ1367">
        <f>IFERROR(SUMIFS(T_SelfStock[Self_Qty],T_SelfStock[RM_Code],$A1326,T_SelfStock[WeekIndex],84),"")</f>
        <v/>
      </c>
      <c r="CK1367">
        <f>IFERROR(SUMIFS(T_SelfStock[Self_Qty],T_SelfStock[RM_Code],$A1326,T_SelfStock[WeekIndex],85),"")</f>
        <v/>
      </c>
      <c r="CL1367">
        <f>IFERROR(SUMIFS(T_SelfStock[Self_Qty],T_SelfStock[RM_Code],$A1326,T_SelfStock[WeekIndex],86),"")</f>
        <v/>
      </c>
      <c r="CM1367">
        <f>IFERROR(SUMIFS(T_SelfStock[Self_Qty],T_SelfStock[RM_Code],$A1326,T_SelfStock[WeekIndex],87),"")</f>
        <v/>
      </c>
      <c r="CN1367">
        <f>IFERROR(SUMIFS(T_SelfStock[Self_Qty],T_SelfStock[RM_Code],$A1326,T_SelfStock[WeekIndex],88),"")</f>
        <v/>
      </c>
      <c r="CO1367">
        <f>IFERROR(SUMIFS(T_SelfStock[Self_Qty],T_SelfStock[RM_Code],$A1326,T_SelfStock[WeekIndex],89),"")</f>
        <v/>
      </c>
      <c r="CP1367">
        <f>IFERROR(SUMIFS(T_SelfStock[Self_Qty],T_SelfStock[RM_Code],$A1326,T_SelfStock[WeekIndex],90),"")</f>
        <v/>
      </c>
      <c r="CQ1367">
        <f>IFERROR(SUMIFS(T_SelfStock[Self_Qty],T_SelfStock[RM_Code],$A1326,T_SelfStock[WeekIndex],91),"")</f>
        <v/>
      </c>
      <c r="CR1367">
        <f>IFERROR(SUMIFS(T_SelfStock[Self_Qty],T_SelfStock[RM_Code],$A1326,T_SelfStock[WeekIndex],92),"")</f>
        <v/>
      </c>
      <c r="CS1367">
        <f>IFERROR(SUMIFS(T_SelfStock[Self_Qty],T_SelfStock[RM_Code],$A1326,T_SelfStock[WeekIndex],93),"")</f>
        <v/>
      </c>
      <c r="CT1367">
        <f>IFERROR(SUMIFS(T_SelfStock[Self_Qty],T_SelfStock[RM_Code],$A1326,T_SelfStock[WeekIndex],94),"")</f>
        <v/>
      </c>
      <c r="CU1367">
        <f>IFERROR(SUMIFS(T_SelfStock[Self_Qty],T_SelfStock[RM_Code],$A1326,T_SelfStock[WeekIndex],95),"")</f>
        <v/>
      </c>
      <c r="CV1367">
        <f>IFERROR(SUMIFS(T_SelfStock[Self_Qty],T_SelfStock[RM_Code],$A1326,T_SelfStock[WeekIndex],96),"")</f>
        <v/>
      </c>
      <c r="CW1367">
        <f>IFERROR(SUMIFS(T_SelfStock[Self_Qty],T_SelfStock[RM_Code],$A1326,T_SelfStock[WeekIndex],97),"")</f>
        <v/>
      </c>
      <c r="CX1367">
        <f>IFERROR(SUMIFS(T_SelfStock[Self_Qty],T_SelfStock[RM_Code],$A1326,T_SelfStock[WeekIndex],98),"")</f>
        <v/>
      </c>
      <c r="CY1367">
        <f>IFERROR(SUMIFS(T_SelfStock[Self_Qty],T_SelfStock[RM_Code],$A1326,T_SelfStock[WeekIndex],99),"")</f>
        <v/>
      </c>
      <c r="CZ1367">
        <f>IFERROR(SUMIFS(T_SelfStock[Self_Qty],T_SelfStock[RM_Code],$A1326,T_SelfStock[WeekIndex],100),"")</f>
        <v/>
      </c>
      <c r="DA1367">
        <f>IFERROR(SUMIFS(T_SelfStock[Self_Qty],T_SelfStock[RM_Code],$A1326,T_SelfStock[WeekIndex],101),"")</f>
        <v/>
      </c>
      <c r="DB1367">
        <f>IFERROR(SUMIFS(T_SelfStock[Self_Qty],T_SelfStock[RM_Code],$A1326,T_SelfStock[WeekIndex],102),"")</f>
        <v/>
      </c>
      <c r="DC1367">
        <f>IFERROR(SUMIFS(T_SelfStock[Self_Qty],T_SelfStock[RM_Code],$A1326,T_SelfStock[WeekIndex],103),"")</f>
        <v/>
      </c>
      <c r="DD1367">
        <f>IFERROR(SUMIFS(T_SelfStock[Self_Qty],T_SelfStock[RM_Code],$A1326,T_SelfStock[WeekIndex],104),"")</f>
        <v/>
      </c>
    </row>
    <row r="1368">
      <c r="B1368" s="4" t="inlineStr">
        <is>
          <t>合計在庫(週末時点,kg)</t>
        </is>
      </c>
      <c r="D1368" s="24">
        <f>IFERROR(INDEX(E1368:DD1368,$F$1),"")</f>
        <v/>
      </c>
      <c r="E1368">
        <f>'Grid_Stock'!B7</f>
        <v/>
      </c>
      <c r="F1368">
        <f>'Grid_Stock'!C7</f>
        <v/>
      </c>
      <c r="G1368">
        <f>'Grid_Stock'!D7</f>
        <v/>
      </c>
      <c r="H1368">
        <f>'Grid_Stock'!E7</f>
        <v/>
      </c>
      <c r="I1368">
        <f>'Grid_Stock'!F7</f>
        <v/>
      </c>
      <c r="J1368">
        <f>'Grid_Stock'!G7</f>
        <v/>
      </c>
      <c r="K1368">
        <f>'Grid_Stock'!H7</f>
        <v/>
      </c>
      <c r="L1368">
        <f>'Grid_Stock'!I7</f>
        <v/>
      </c>
      <c r="M1368">
        <f>'Grid_Stock'!J7</f>
        <v/>
      </c>
      <c r="N1368">
        <f>'Grid_Stock'!K7</f>
        <v/>
      </c>
      <c r="O1368">
        <f>'Grid_Stock'!L7</f>
        <v/>
      </c>
      <c r="P1368">
        <f>'Grid_Stock'!M7</f>
        <v/>
      </c>
      <c r="Q1368">
        <f>'Grid_Stock'!N7</f>
        <v/>
      </c>
      <c r="R1368">
        <f>'Grid_Stock'!O7</f>
        <v/>
      </c>
      <c r="S1368">
        <f>'Grid_Stock'!P7</f>
        <v/>
      </c>
      <c r="T1368">
        <f>'Grid_Stock'!Q7</f>
        <v/>
      </c>
      <c r="U1368">
        <f>'Grid_Stock'!R7</f>
        <v/>
      </c>
      <c r="V1368">
        <f>'Grid_Stock'!S7</f>
        <v/>
      </c>
      <c r="W1368">
        <f>'Grid_Stock'!T7</f>
        <v/>
      </c>
      <c r="X1368">
        <f>'Grid_Stock'!U7</f>
        <v/>
      </c>
      <c r="Y1368">
        <f>'Grid_Stock'!V7</f>
        <v/>
      </c>
      <c r="Z1368">
        <f>'Grid_Stock'!W7</f>
        <v/>
      </c>
      <c r="AA1368">
        <f>'Grid_Stock'!X7</f>
        <v/>
      </c>
      <c r="AB1368">
        <f>'Grid_Stock'!Y7</f>
        <v/>
      </c>
      <c r="AC1368">
        <f>'Grid_Stock'!Z7</f>
        <v/>
      </c>
      <c r="AD1368">
        <f>'Grid_Stock'!AA7</f>
        <v/>
      </c>
      <c r="AE1368">
        <f>'Grid_Stock'!AB7</f>
        <v/>
      </c>
      <c r="AF1368">
        <f>'Grid_Stock'!AC7</f>
        <v/>
      </c>
      <c r="AG1368">
        <f>'Grid_Stock'!AD7</f>
        <v/>
      </c>
      <c r="AH1368">
        <f>'Grid_Stock'!AE7</f>
        <v/>
      </c>
      <c r="AI1368">
        <f>'Grid_Stock'!AF7</f>
        <v/>
      </c>
      <c r="AJ1368">
        <f>'Grid_Stock'!AG7</f>
        <v/>
      </c>
      <c r="AK1368">
        <f>'Grid_Stock'!AH7</f>
        <v/>
      </c>
      <c r="AL1368">
        <f>'Grid_Stock'!AI7</f>
        <v/>
      </c>
      <c r="AM1368">
        <f>'Grid_Stock'!AJ7</f>
        <v/>
      </c>
      <c r="AN1368">
        <f>'Grid_Stock'!AK7</f>
        <v/>
      </c>
      <c r="AO1368">
        <f>'Grid_Stock'!AL7</f>
        <v/>
      </c>
      <c r="AP1368">
        <f>'Grid_Stock'!AM7</f>
        <v/>
      </c>
      <c r="AQ1368">
        <f>'Grid_Stock'!AN7</f>
        <v/>
      </c>
      <c r="AR1368">
        <f>'Grid_Stock'!AO7</f>
        <v/>
      </c>
      <c r="AS1368">
        <f>'Grid_Stock'!AP7</f>
        <v/>
      </c>
      <c r="AT1368">
        <f>'Grid_Stock'!AQ7</f>
        <v/>
      </c>
      <c r="AU1368">
        <f>'Grid_Stock'!AR7</f>
        <v/>
      </c>
      <c r="AV1368">
        <f>'Grid_Stock'!AS7</f>
        <v/>
      </c>
      <c r="AW1368">
        <f>'Grid_Stock'!AT7</f>
        <v/>
      </c>
      <c r="AX1368">
        <f>'Grid_Stock'!AU7</f>
        <v/>
      </c>
      <c r="AY1368">
        <f>'Grid_Stock'!AV7</f>
        <v/>
      </c>
      <c r="AZ1368">
        <f>'Grid_Stock'!AW7</f>
        <v/>
      </c>
      <c r="BA1368">
        <f>'Grid_Stock'!AX7</f>
        <v/>
      </c>
      <c r="BB1368">
        <f>'Grid_Stock'!AY7</f>
        <v/>
      </c>
      <c r="BC1368">
        <f>'Grid_Stock'!AZ7</f>
        <v/>
      </c>
      <c r="BD1368">
        <f>'Grid_Stock'!BA7</f>
        <v/>
      </c>
      <c r="BE1368">
        <f>'Grid_Stock'!BB7</f>
        <v/>
      </c>
      <c r="BF1368">
        <f>'Grid_Stock'!BC7</f>
        <v/>
      </c>
      <c r="BG1368">
        <f>'Grid_Stock'!BD7</f>
        <v/>
      </c>
      <c r="BH1368">
        <f>'Grid_Stock'!BE7</f>
        <v/>
      </c>
      <c r="BI1368">
        <f>'Grid_Stock'!BF7</f>
        <v/>
      </c>
      <c r="BJ1368">
        <f>'Grid_Stock'!BG7</f>
        <v/>
      </c>
      <c r="BK1368">
        <f>'Grid_Stock'!BH7</f>
        <v/>
      </c>
      <c r="BL1368">
        <f>'Grid_Stock'!BI7</f>
        <v/>
      </c>
      <c r="BM1368">
        <f>'Grid_Stock'!BJ7</f>
        <v/>
      </c>
      <c r="BN1368">
        <f>'Grid_Stock'!BK7</f>
        <v/>
      </c>
      <c r="BO1368">
        <f>'Grid_Stock'!BL7</f>
        <v/>
      </c>
      <c r="BP1368">
        <f>'Grid_Stock'!BM7</f>
        <v/>
      </c>
      <c r="BQ1368">
        <f>'Grid_Stock'!BN7</f>
        <v/>
      </c>
      <c r="BR1368">
        <f>'Grid_Stock'!BO7</f>
        <v/>
      </c>
      <c r="BS1368">
        <f>'Grid_Stock'!BP7</f>
        <v/>
      </c>
      <c r="BT1368">
        <f>'Grid_Stock'!BQ7</f>
        <v/>
      </c>
      <c r="BU1368">
        <f>'Grid_Stock'!BR7</f>
        <v/>
      </c>
      <c r="BV1368">
        <f>'Grid_Stock'!BS7</f>
        <v/>
      </c>
      <c r="BW1368">
        <f>'Grid_Stock'!BT7</f>
        <v/>
      </c>
      <c r="BX1368">
        <f>'Grid_Stock'!BU7</f>
        <v/>
      </c>
      <c r="BY1368">
        <f>'Grid_Stock'!BV7</f>
        <v/>
      </c>
      <c r="BZ1368">
        <f>'Grid_Stock'!BW7</f>
        <v/>
      </c>
      <c r="CA1368">
        <f>'Grid_Stock'!BX7</f>
        <v/>
      </c>
      <c r="CB1368">
        <f>'Grid_Stock'!BY7</f>
        <v/>
      </c>
      <c r="CC1368">
        <f>'Grid_Stock'!BZ7</f>
        <v/>
      </c>
      <c r="CD1368">
        <f>'Grid_Stock'!CA7</f>
        <v/>
      </c>
      <c r="CE1368">
        <f>'Grid_Stock'!CB7</f>
        <v/>
      </c>
      <c r="CF1368">
        <f>'Grid_Stock'!CC7</f>
        <v/>
      </c>
      <c r="CG1368">
        <f>'Grid_Stock'!CD7</f>
        <v/>
      </c>
      <c r="CH1368">
        <f>'Grid_Stock'!CE7</f>
        <v/>
      </c>
      <c r="CI1368">
        <f>'Grid_Stock'!CF7</f>
        <v/>
      </c>
      <c r="CJ1368">
        <f>'Grid_Stock'!CG7</f>
        <v/>
      </c>
      <c r="CK1368">
        <f>'Grid_Stock'!CH7</f>
        <v/>
      </c>
      <c r="CL1368">
        <f>'Grid_Stock'!CI7</f>
        <v/>
      </c>
      <c r="CM1368">
        <f>'Grid_Stock'!CJ7</f>
        <v/>
      </c>
      <c r="CN1368">
        <f>'Grid_Stock'!CK7</f>
        <v/>
      </c>
      <c r="CO1368">
        <f>'Grid_Stock'!CL7</f>
        <v/>
      </c>
      <c r="CP1368">
        <f>'Grid_Stock'!CM7</f>
        <v/>
      </c>
      <c r="CQ1368">
        <f>'Grid_Stock'!CN7</f>
        <v/>
      </c>
      <c r="CR1368">
        <f>'Grid_Stock'!CO7</f>
        <v/>
      </c>
      <c r="CS1368">
        <f>'Grid_Stock'!CP7</f>
        <v/>
      </c>
      <c r="CT1368">
        <f>'Grid_Stock'!CQ7</f>
        <v/>
      </c>
      <c r="CU1368">
        <f>'Grid_Stock'!CR7</f>
        <v/>
      </c>
      <c r="CV1368">
        <f>'Grid_Stock'!CS7</f>
        <v/>
      </c>
      <c r="CW1368">
        <f>'Grid_Stock'!CT7</f>
        <v/>
      </c>
      <c r="CX1368">
        <f>'Grid_Stock'!CU7</f>
        <v/>
      </c>
      <c r="CY1368">
        <f>'Grid_Stock'!CV7</f>
        <v/>
      </c>
      <c r="CZ1368">
        <f>'Grid_Stock'!CW7</f>
        <v/>
      </c>
      <c r="DA1368">
        <f>'Grid_Stock'!CX7</f>
        <v/>
      </c>
      <c r="DB1368">
        <f>'Grid_Stock'!CY7</f>
        <v/>
      </c>
      <c r="DC1368">
        <f>'Grid_Stock'!CZ7</f>
        <v/>
      </c>
      <c r="DD1368">
        <f>'Grid_Stock'!DA7</f>
        <v/>
      </c>
    </row>
    <row r="1369">
      <c r="B1369" s="25" t="inlineStr">
        <is>
          <t>（発注の目安はDashboardの基準在庫[下限/上限]と色分けを参照）</t>
        </is>
      </c>
    </row>
    <row r="1371">
      <c r="A1371" s="21" t="inlineStr">
        <is>
          <t>CHEM-1010</t>
        </is>
      </c>
      <c r="B1371" s="21" t="inlineStr">
        <is>
          <t>Sodium Carbonate Anhydrous</t>
        </is>
      </c>
      <c r="C1371" s="22" t="n"/>
      <c r="D1371" s="21" t="n"/>
      <c r="E1371" s="21" t="n"/>
      <c r="F1371" s="21" t="n"/>
      <c r="G1371" s="21" t="n"/>
      <c r="H1371" s="21" t="n"/>
      <c r="I1371" s="21" t="n"/>
      <c r="J1371" s="21" t="n"/>
      <c r="K1371" s="21" t="n"/>
      <c r="L1371" s="21" t="n"/>
      <c r="M1371" s="21" t="n"/>
      <c r="N1371" s="21" t="n"/>
      <c r="O1371" s="21" t="n"/>
      <c r="P1371" s="21" t="n"/>
      <c r="Q1371" s="21" t="n"/>
      <c r="R1371" s="21" t="n"/>
      <c r="S1371" s="21" t="n"/>
      <c r="T1371" s="21" t="n"/>
      <c r="U1371" s="21" t="n"/>
      <c r="V1371" s="21" t="n"/>
      <c r="W1371" s="21" t="n"/>
      <c r="X1371" s="21" t="n"/>
      <c r="Y1371" s="21" t="n"/>
      <c r="Z1371" s="21" t="n"/>
      <c r="AA1371" s="21" t="n"/>
      <c r="AB1371" s="21" t="n"/>
      <c r="AC1371" s="21" t="n"/>
      <c r="AD1371" s="21" t="n"/>
      <c r="AE1371" s="21" t="n"/>
      <c r="AF1371" s="21" t="n"/>
      <c r="AG1371" s="21" t="n"/>
      <c r="AH1371" s="21" t="n"/>
      <c r="AI1371" s="21" t="n"/>
      <c r="AJ1371" s="21" t="n"/>
      <c r="AK1371" s="21" t="n"/>
      <c r="AL1371" s="21" t="n"/>
      <c r="AM1371" s="21" t="n"/>
      <c r="AN1371" s="21" t="n"/>
      <c r="AO1371" s="21" t="n"/>
      <c r="AP1371" s="21" t="n"/>
      <c r="AQ1371" s="21" t="n"/>
      <c r="AR1371" s="21" t="n"/>
      <c r="AS1371" s="21" t="n"/>
      <c r="AT1371" s="21" t="n"/>
      <c r="AU1371" s="21" t="n"/>
      <c r="AV1371" s="21" t="n"/>
      <c r="AW1371" s="21" t="n"/>
      <c r="AX1371" s="21" t="n"/>
      <c r="AY1371" s="21" t="n"/>
      <c r="AZ1371" s="21" t="n"/>
      <c r="BA1371" s="21" t="n"/>
      <c r="BB1371" s="21" t="n"/>
      <c r="BC1371" s="21" t="n"/>
      <c r="BD1371" s="21" t="n"/>
      <c r="BE1371" s="21" t="n"/>
      <c r="BF1371" s="21" t="n"/>
      <c r="BG1371" s="21" t="n"/>
      <c r="BH1371" s="21" t="n"/>
      <c r="BI1371" s="21" t="n"/>
      <c r="BJ1371" s="21" t="n"/>
      <c r="BK1371" s="21" t="n"/>
      <c r="BL1371" s="21" t="n"/>
      <c r="BM1371" s="21" t="n"/>
      <c r="BN1371" s="21" t="n"/>
      <c r="BO1371" s="21" t="n"/>
      <c r="BP1371" s="21" t="n"/>
      <c r="BQ1371" s="21" t="n"/>
      <c r="BR1371" s="21" t="n"/>
      <c r="BS1371" s="21" t="n"/>
      <c r="BT1371" s="21" t="n"/>
      <c r="BU1371" s="21" t="n"/>
      <c r="BV1371" s="21" t="n"/>
      <c r="BW1371" s="21" t="n"/>
      <c r="BX1371" s="21" t="n"/>
      <c r="BY1371" s="21" t="n"/>
      <c r="BZ1371" s="21" t="n"/>
      <c r="CA1371" s="21" t="n"/>
      <c r="CB1371" s="21" t="n"/>
      <c r="CC1371" s="21" t="n"/>
      <c r="CD1371" s="21" t="n"/>
      <c r="CE1371" s="21" t="n"/>
      <c r="CF1371" s="21" t="n"/>
      <c r="CG1371" s="21" t="n"/>
      <c r="CH1371" s="21" t="n"/>
      <c r="CI1371" s="21" t="n"/>
      <c r="CJ1371" s="21" t="n"/>
      <c r="CK1371" s="21" t="n"/>
      <c r="CL1371" s="21" t="n"/>
      <c r="CM1371" s="21" t="n"/>
      <c r="CN1371" s="21" t="n"/>
      <c r="CO1371" s="21" t="n"/>
      <c r="CP1371" s="21" t="n"/>
      <c r="CQ1371" s="21" t="n"/>
      <c r="CR1371" s="21" t="n"/>
      <c r="CS1371" s="21" t="n"/>
      <c r="CT1371" s="21" t="n"/>
      <c r="CU1371" s="21" t="n"/>
      <c r="CV1371" s="21" t="n"/>
      <c r="CW1371" s="21" t="n"/>
      <c r="CX1371" s="21" t="n"/>
      <c r="CY1371" s="21" t="n"/>
      <c r="CZ1371" s="21" t="n"/>
      <c r="DA1371" s="21" t="n"/>
      <c r="DB1371" s="21" t="n"/>
      <c r="DC1371" s="21" t="n"/>
      <c r="DD1371" s="21" t="n"/>
    </row>
    <row r="1372">
      <c r="B1372" t="inlineStr">
        <is>
          <t>TSP-620</t>
        </is>
      </c>
      <c r="C1372" t="inlineStr">
        <is>
          <t>No. of batches</t>
        </is>
      </c>
      <c r="D1372">
        <f>IFERROR(INDEX(E1372:DD1372,$F$1),"")</f>
        <v/>
      </c>
      <c r="E1372">
        <f>IFERROR(INDEX(PP_Grid[#Data],$DE1372,2),0)</f>
        <v/>
      </c>
      <c r="F1372">
        <f>IFERROR(INDEX(PP_Grid[#Data],$DE1372,3),0)</f>
        <v/>
      </c>
      <c r="G1372">
        <f>IFERROR(INDEX(PP_Grid[#Data],$DE1372,4),0)</f>
        <v/>
      </c>
      <c r="H1372">
        <f>IFERROR(INDEX(PP_Grid[#Data],$DE1372,5),0)</f>
        <v/>
      </c>
      <c r="I1372">
        <f>IFERROR(INDEX(PP_Grid[#Data],$DE1372,6),0)</f>
        <v/>
      </c>
      <c r="J1372">
        <f>IFERROR(INDEX(PP_Grid[#Data],$DE1372,7),0)</f>
        <v/>
      </c>
      <c r="K1372">
        <f>IFERROR(INDEX(PP_Grid[#Data],$DE1372,8),0)</f>
        <v/>
      </c>
      <c r="L1372">
        <f>IFERROR(INDEX(PP_Grid[#Data],$DE1372,9),0)</f>
        <v/>
      </c>
      <c r="M1372">
        <f>IFERROR(INDEX(PP_Grid[#Data],$DE1372,10),0)</f>
        <v/>
      </c>
      <c r="N1372">
        <f>IFERROR(INDEX(PP_Grid[#Data],$DE1372,11),0)</f>
        <v/>
      </c>
      <c r="O1372">
        <f>IFERROR(INDEX(PP_Grid[#Data],$DE1372,12),0)</f>
        <v/>
      </c>
      <c r="P1372">
        <f>IFERROR(INDEX(PP_Grid[#Data],$DE1372,13),0)</f>
        <v/>
      </c>
      <c r="Q1372">
        <f>IFERROR(INDEX(PP_Grid[#Data],$DE1372,14),0)</f>
        <v/>
      </c>
      <c r="R1372">
        <f>IFERROR(INDEX(PP_Grid[#Data],$DE1372,15),0)</f>
        <v/>
      </c>
      <c r="S1372">
        <f>IFERROR(INDEX(PP_Grid[#Data],$DE1372,16),0)</f>
        <v/>
      </c>
      <c r="T1372">
        <f>IFERROR(INDEX(PP_Grid[#Data],$DE1372,17),0)</f>
        <v/>
      </c>
      <c r="U1372">
        <f>IFERROR(INDEX(PP_Grid[#Data],$DE1372,18),0)</f>
        <v/>
      </c>
      <c r="V1372">
        <f>IFERROR(INDEX(PP_Grid[#Data],$DE1372,19),0)</f>
        <v/>
      </c>
      <c r="W1372">
        <f>IFERROR(INDEX(PP_Grid[#Data],$DE1372,20),0)</f>
        <v/>
      </c>
      <c r="X1372">
        <f>IFERROR(INDEX(PP_Grid[#Data],$DE1372,21),0)</f>
        <v/>
      </c>
      <c r="Y1372">
        <f>IFERROR(INDEX(PP_Grid[#Data],$DE1372,22),0)</f>
        <v/>
      </c>
      <c r="Z1372">
        <f>IFERROR(INDEX(PP_Grid[#Data],$DE1372,23),0)</f>
        <v/>
      </c>
      <c r="AA1372">
        <f>IFERROR(INDEX(PP_Grid[#Data],$DE1372,24),0)</f>
        <v/>
      </c>
      <c r="AB1372">
        <f>IFERROR(INDEX(PP_Grid[#Data],$DE1372,25),0)</f>
        <v/>
      </c>
      <c r="AC1372">
        <f>IFERROR(INDEX(PP_Grid[#Data],$DE1372,26),0)</f>
        <v/>
      </c>
      <c r="AD1372">
        <f>IFERROR(INDEX(PP_Grid[#Data],$DE1372,27),0)</f>
        <v/>
      </c>
      <c r="AE1372">
        <f>IFERROR(INDEX(PP_Grid[#Data],$DE1372,28),0)</f>
        <v/>
      </c>
      <c r="AF1372">
        <f>IFERROR(INDEX(PP_Grid[#Data],$DE1372,29),0)</f>
        <v/>
      </c>
      <c r="AG1372">
        <f>IFERROR(INDEX(PP_Grid[#Data],$DE1372,30),0)</f>
        <v/>
      </c>
      <c r="AH1372">
        <f>IFERROR(INDEX(PP_Grid[#Data],$DE1372,31),0)</f>
        <v/>
      </c>
      <c r="AI1372">
        <f>IFERROR(INDEX(PP_Grid[#Data],$DE1372,32),0)</f>
        <v/>
      </c>
      <c r="AJ1372">
        <f>IFERROR(INDEX(PP_Grid[#Data],$DE1372,33),0)</f>
        <v/>
      </c>
      <c r="AK1372">
        <f>IFERROR(INDEX(PP_Grid[#Data],$DE1372,34),0)</f>
        <v/>
      </c>
      <c r="AL1372">
        <f>IFERROR(INDEX(PP_Grid[#Data],$DE1372,35),0)</f>
        <v/>
      </c>
      <c r="AM1372">
        <f>IFERROR(INDEX(PP_Grid[#Data],$DE1372,36),0)</f>
        <v/>
      </c>
      <c r="AN1372">
        <f>IFERROR(INDEX(PP_Grid[#Data],$DE1372,37),0)</f>
        <v/>
      </c>
      <c r="AO1372">
        <f>IFERROR(INDEX(PP_Grid[#Data],$DE1372,38),0)</f>
        <v/>
      </c>
      <c r="AP1372">
        <f>IFERROR(INDEX(PP_Grid[#Data],$DE1372,39),0)</f>
        <v/>
      </c>
      <c r="AQ1372">
        <f>IFERROR(INDEX(PP_Grid[#Data],$DE1372,40),0)</f>
        <v/>
      </c>
      <c r="AR1372">
        <f>IFERROR(INDEX(PP_Grid[#Data],$DE1372,41),0)</f>
        <v/>
      </c>
      <c r="AS1372">
        <f>IFERROR(INDEX(PP_Grid[#Data],$DE1372,42),0)</f>
        <v/>
      </c>
      <c r="AT1372">
        <f>IFERROR(INDEX(PP_Grid[#Data],$DE1372,43),0)</f>
        <v/>
      </c>
      <c r="AU1372">
        <f>IFERROR(INDEX(PP_Grid[#Data],$DE1372,44),0)</f>
        <v/>
      </c>
      <c r="AV1372">
        <f>IFERROR(INDEX(PP_Grid[#Data],$DE1372,45),0)</f>
        <v/>
      </c>
      <c r="AW1372">
        <f>IFERROR(INDEX(PP_Grid[#Data],$DE1372,46),0)</f>
        <v/>
      </c>
      <c r="AX1372">
        <f>IFERROR(INDEX(PP_Grid[#Data],$DE1372,47),0)</f>
        <v/>
      </c>
      <c r="AY1372">
        <f>IFERROR(INDEX(PP_Grid[#Data],$DE1372,48),0)</f>
        <v/>
      </c>
      <c r="AZ1372">
        <f>IFERROR(INDEX(PP_Grid[#Data],$DE1372,49),0)</f>
        <v/>
      </c>
      <c r="BA1372">
        <f>IFERROR(INDEX(PP_Grid[#Data],$DE1372,50),0)</f>
        <v/>
      </c>
      <c r="BB1372">
        <f>IFERROR(INDEX(PP_Grid[#Data],$DE1372,51),0)</f>
        <v/>
      </c>
      <c r="BC1372">
        <f>IFERROR(INDEX(PP_Grid[#Data],$DE1372,52),0)</f>
        <v/>
      </c>
      <c r="BD1372">
        <f>IFERROR(INDEX(PP_Grid[#Data],$DE1372,53),0)</f>
        <v/>
      </c>
      <c r="BE1372">
        <f>IFERROR(INDEX(PP_Grid[#Data],$DE1372,54),0)</f>
        <v/>
      </c>
      <c r="BF1372">
        <f>IFERROR(INDEX(PP_Grid[#Data],$DE1372,55),0)</f>
        <v/>
      </c>
      <c r="BG1372">
        <f>IFERROR(INDEX(PP_Grid[#Data],$DE1372,56),0)</f>
        <v/>
      </c>
      <c r="BH1372">
        <f>IFERROR(INDEX(PP_Grid[#Data],$DE1372,57),0)</f>
        <v/>
      </c>
      <c r="BI1372">
        <f>IFERROR(INDEX(PP_Grid[#Data],$DE1372,58),0)</f>
        <v/>
      </c>
      <c r="BJ1372">
        <f>IFERROR(INDEX(PP_Grid[#Data],$DE1372,59),0)</f>
        <v/>
      </c>
      <c r="BK1372">
        <f>IFERROR(INDEX(PP_Grid[#Data],$DE1372,60),0)</f>
        <v/>
      </c>
      <c r="BL1372">
        <f>IFERROR(INDEX(PP_Grid[#Data],$DE1372,61),0)</f>
        <v/>
      </c>
      <c r="BM1372">
        <f>IFERROR(INDEX(PP_Grid[#Data],$DE1372,62),0)</f>
        <v/>
      </c>
      <c r="BN1372">
        <f>IFERROR(INDEX(PP_Grid[#Data],$DE1372,63),0)</f>
        <v/>
      </c>
      <c r="BO1372">
        <f>IFERROR(INDEX(PP_Grid[#Data],$DE1372,64),0)</f>
        <v/>
      </c>
      <c r="BP1372">
        <f>IFERROR(INDEX(PP_Grid[#Data],$DE1372,65),0)</f>
        <v/>
      </c>
      <c r="BQ1372">
        <f>IFERROR(INDEX(PP_Grid[#Data],$DE1372,66),0)</f>
        <v/>
      </c>
      <c r="BR1372">
        <f>IFERROR(INDEX(PP_Grid[#Data],$DE1372,67),0)</f>
        <v/>
      </c>
      <c r="BS1372">
        <f>IFERROR(INDEX(PP_Grid[#Data],$DE1372,68),0)</f>
        <v/>
      </c>
      <c r="BT1372">
        <f>IFERROR(INDEX(PP_Grid[#Data],$DE1372,69),0)</f>
        <v/>
      </c>
      <c r="BU1372">
        <f>IFERROR(INDEX(PP_Grid[#Data],$DE1372,70),0)</f>
        <v/>
      </c>
      <c r="BV1372">
        <f>IFERROR(INDEX(PP_Grid[#Data],$DE1372,71),0)</f>
        <v/>
      </c>
      <c r="BW1372">
        <f>IFERROR(INDEX(PP_Grid[#Data],$DE1372,72),0)</f>
        <v/>
      </c>
      <c r="BX1372">
        <f>IFERROR(INDEX(PP_Grid[#Data],$DE1372,73),0)</f>
        <v/>
      </c>
      <c r="BY1372">
        <f>IFERROR(INDEX(PP_Grid[#Data],$DE1372,74),0)</f>
        <v/>
      </c>
      <c r="BZ1372">
        <f>IFERROR(INDEX(PP_Grid[#Data],$DE1372,75),0)</f>
        <v/>
      </c>
      <c r="CA1372">
        <f>IFERROR(INDEX(PP_Grid[#Data],$DE1372,76),0)</f>
        <v/>
      </c>
      <c r="CB1372">
        <f>IFERROR(INDEX(PP_Grid[#Data],$DE1372,77),0)</f>
        <v/>
      </c>
      <c r="CC1372">
        <f>IFERROR(INDEX(PP_Grid[#Data],$DE1372,78),0)</f>
        <v/>
      </c>
      <c r="CD1372">
        <f>IFERROR(INDEX(PP_Grid[#Data],$DE1372,79),0)</f>
        <v/>
      </c>
      <c r="CE1372">
        <f>IFERROR(INDEX(PP_Grid[#Data],$DE1372,80),0)</f>
        <v/>
      </c>
      <c r="CF1372">
        <f>IFERROR(INDEX(PP_Grid[#Data],$DE1372,81),0)</f>
        <v/>
      </c>
      <c r="CG1372">
        <f>IFERROR(INDEX(PP_Grid[#Data],$DE1372,82),0)</f>
        <v/>
      </c>
      <c r="CH1372">
        <f>IFERROR(INDEX(PP_Grid[#Data],$DE1372,83),0)</f>
        <v/>
      </c>
      <c r="CI1372">
        <f>IFERROR(INDEX(PP_Grid[#Data],$DE1372,84),0)</f>
        <v/>
      </c>
      <c r="CJ1372">
        <f>IFERROR(INDEX(PP_Grid[#Data],$DE1372,85),0)</f>
        <v/>
      </c>
      <c r="CK1372">
        <f>IFERROR(INDEX(PP_Grid[#Data],$DE1372,86),0)</f>
        <v/>
      </c>
      <c r="CL1372">
        <f>IFERROR(INDEX(PP_Grid[#Data],$DE1372,87),0)</f>
        <v/>
      </c>
      <c r="CM1372">
        <f>IFERROR(INDEX(PP_Grid[#Data],$DE1372,88),0)</f>
        <v/>
      </c>
      <c r="CN1372">
        <f>IFERROR(INDEX(PP_Grid[#Data],$DE1372,89),0)</f>
        <v/>
      </c>
      <c r="CO1372">
        <f>IFERROR(INDEX(PP_Grid[#Data],$DE1372,90),0)</f>
        <v/>
      </c>
      <c r="CP1372">
        <f>IFERROR(INDEX(PP_Grid[#Data],$DE1372,91),0)</f>
        <v/>
      </c>
      <c r="CQ1372">
        <f>IFERROR(INDEX(PP_Grid[#Data],$DE1372,92),0)</f>
        <v/>
      </c>
      <c r="CR1372">
        <f>IFERROR(INDEX(PP_Grid[#Data],$DE1372,93),0)</f>
        <v/>
      </c>
      <c r="CS1372">
        <f>IFERROR(INDEX(PP_Grid[#Data],$DE1372,94),0)</f>
        <v/>
      </c>
      <c r="CT1372">
        <f>IFERROR(INDEX(PP_Grid[#Data],$DE1372,95),0)</f>
        <v/>
      </c>
      <c r="CU1372">
        <f>IFERROR(INDEX(PP_Grid[#Data],$DE1372,96),0)</f>
        <v/>
      </c>
      <c r="CV1372">
        <f>IFERROR(INDEX(PP_Grid[#Data],$DE1372,97),0)</f>
        <v/>
      </c>
      <c r="CW1372">
        <f>IFERROR(INDEX(PP_Grid[#Data],$DE1372,98),0)</f>
        <v/>
      </c>
      <c r="CX1372">
        <f>IFERROR(INDEX(PP_Grid[#Data],$DE1372,99),0)</f>
        <v/>
      </c>
      <c r="CY1372">
        <f>IFERROR(INDEX(PP_Grid[#Data],$DE1372,100),0)</f>
        <v/>
      </c>
      <c r="CZ1372">
        <f>IFERROR(INDEX(PP_Grid[#Data],$DE1372,101),0)</f>
        <v/>
      </c>
      <c r="DA1372">
        <f>IFERROR(INDEX(PP_Grid[#Data],$DE1372,102),0)</f>
        <v/>
      </c>
      <c r="DB1372">
        <f>IFERROR(INDEX(PP_Grid[#Data],$DE1372,103),0)</f>
        <v/>
      </c>
      <c r="DC1372">
        <f>IFERROR(INDEX(PP_Grid[#Data],$DE1372,104),0)</f>
        <v/>
      </c>
      <c r="DD1372">
        <f>IFERROR(INDEX(PP_Grid[#Data],$DE1372,105),0)</f>
        <v/>
      </c>
      <c r="DE1372" s="7">
        <f>IFERROR(MATCH($B1372,PP_Grid[Intermediate],0),99999)</f>
        <v/>
      </c>
    </row>
    <row r="1373">
      <c r="B1373" t="inlineStr">
        <is>
          <t>使用量(kg)</t>
        </is>
      </c>
      <c r="C1373">
        <f>SUMIFS(M_BOM[RM_Qty_Per_Batch],M_BOM[Intermediate],$B1372,M_BOM[RM_Code],$A1371)</f>
        <v/>
      </c>
      <c r="D1373">
        <f>IFERROR(INDEX(E1373:DD1373,$F$1),"")</f>
        <v/>
      </c>
      <c r="E1373">
        <f>$C1373*E1372</f>
        <v/>
      </c>
      <c r="F1373">
        <f>$C1373*F1372</f>
        <v/>
      </c>
      <c r="G1373">
        <f>$C1373*G1372</f>
        <v/>
      </c>
      <c r="H1373">
        <f>$C1373*H1372</f>
        <v/>
      </c>
      <c r="I1373">
        <f>$C1373*I1372</f>
        <v/>
      </c>
      <c r="J1373">
        <f>$C1373*J1372</f>
        <v/>
      </c>
      <c r="K1373">
        <f>$C1373*K1372</f>
        <v/>
      </c>
      <c r="L1373">
        <f>$C1373*L1372</f>
        <v/>
      </c>
      <c r="M1373">
        <f>$C1373*M1372</f>
        <v/>
      </c>
      <c r="N1373">
        <f>$C1373*N1372</f>
        <v/>
      </c>
      <c r="O1373">
        <f>$C1373*O1372</f>
        <v/>
      </c>
      <c r="P1373">
        <f>$C1373*P1372</f>
        <v/>
      </c>
      <c r="Q1373">
        <f>$C1373*Q1372</f>
        <v/>
      </c>
      <c r="R1373">
        <f>$C1373*R1372</f>
        <v/>
      </c>
      <c r="S1373">
        <f>$C1373*S1372</f>
        <v/>
      </c>
      <c r="T1373">
        <f>$C1373*T1372</f>
        <v/>
      </c>
      <c r="U1373">
        <f>$C1373*U1372</f>
        <v/>
      </c>
      <c r="V1373">
        <f>$C1373*V1372</f>
        <v/>
      </c>
      <c r="W1373">
        <f>$C1373*W1372</f>
        <v/>
      </c>
      <c r="X1373">
        <f>$C1373*X1372</f>
        <v/>
      </c>
      <c r="Y1373">
        <f>$C1373*Y1372</f>
        <v/>
      </c>
      <c r="Z1373">
        <f>$C1373*Z1372</f>
        <v/>
      </c>
      <c r="AA1373">
        <f>$C1373*AA1372</f>
        <v/>
      </c>
      <c r="AB1373">
        <f>$C1373*AB1372</f>
        <v/>
      </c>
      <c r="AC1373">
        <f>$C1373*AC1372</f>
        <v/>
      </c>
      <c r="AD1373">
        <f>$C1373*AD1372</f>
        <v/>
      </c>
      <c r="AE1373">
        <f>$C1373*AE1372</f>
        <v/>
      </c>
      <c r="AF1373">
        <f>$C1373*AF1372</f>
        <v/>
      </c>
      <c r="AG1373">
        <f>$C1373*AG1372</f>
        <v/>
      </c>
      <c r="AH1373">
        <f>$C1373*AH1372</f>
        <v/>
      </c>
      <c r="AI1373">
        <f>$C1373*AI1372</f>
        <v/>
      </c>
      <c r="AJ1373">
        <f>$C1373*AJ1372</f>
        <v/>
      </c>
      <c r="AK1373">
        <f>$C1373*AK1372</f>
        <v/>
      </c>
      <c r="AL1373">
        <f>$C1373*AL1372</f>
        <v/>
      </c>
      <c r="AM1373">
        <f>$C1373*AM1372</f>
        <v/>
      </c>
      <c r="AN1373">
        <f>$C1373*AN1372</f>
        <v/>
      </c>
      <c r="AO1373">
        <f>$C1373*AO1372</f>
        <v/>
      </c>
      <c r="AP1373">
        <f>$C1373*AP1372</f>
        <v/>
      </c>
      <c r="AQ1373">
        <f>$C1373*AQ1372</f>
        <v/>
      </c>
      <c r="AR1373">
        <f>$C1373*AR1372</f>
        <v/>
      </c>
      <c r="AS1373">
        <f>$C1373*AS1372</f>
        <v/>
      </c>
      <c r="AT1373">
        <f>$C1373*AT1372</f>
        <v/>
      </c>
      <c r="AU1373">
        <f>$C1373*AU1372</f>
        <v/>
      </c>
      <c r="AV1373">
        <f>$C1373*AV1372</f>
        <v/>
      </c>
      <c r="AW1373">
        <f>$C1373*AW1372</f>
        <v/>
      </c>
      <c r="AX1373">
        <f>$C1373*AX1372</f>
        <v/>
      </c>
      <c r="AY1373">
        <f>$C1373*AY1372</f>
        <v/>
      </c>
      <c r="AZ1373">
        <f>$C1373*AZ1372</f>
        <v/>
      </c>
      <c r="BA1373">
        <f>$C1373*BA1372</f>
        <v/>
      </c>
      <c r="BB1373">
        <f>$C1373*BB1372</f>
        <v/>
      </c>
      <c r="BC1373">
        <f>$C1373*BC1372</f>
        <v/>
      </c>
      <c r="BD1373">
        <f>$C1373*BD1372</f>
        <v/>
      </c>
      <c r="BE1373">
        <f>$C1373*BE1372</f>
        <v/>
      </c>
      <c r="BF1373">
        <f>$C1373*BF1372</f>
        <v/>
      </c>
      <c r="BG1373">
        <f>$C1373*BG1372</f>
        <v/>
      </c>
      <c r="BH1373">
        <f>$C1373*BH1372</f>
        <v/>
      </c>
      <c r="BI1373">
        <f>$C1373*BI1372</f>
        <v/>
      </c>
      <c r="BJ1373">
        <f>$C1373*BJ1372</f>
        <v/>
      </c>
      <c r="BK1373">
        <f>$C1373*BK1372</f>
        <v/>
      </c>
      <c r="BL1373">
        <f>$C1373*BL1372</f>
        <v/>
      </c>
      <c r="BM1373">
        <f>$C1373*BM1372</f>
        <v/>
      </c>
      <c r="BN1373">
        <f>$C1373*BN1372</f>
        <v/>
      </c>
      <c r="BO1373">
        <f>$C1373*BO1372</f>
        <v/>
      </c>
      <c r="BP1373">
        <f>$C1373*BP1372</f>
        <v/>
      </c>
      <c r="BQ1373">
        <f>$C1373*BQ1372</f>
        <v/>
      </c>
      <c r="BR1373">
        <f>$C1373*BR1372</f>
        <v/>
      </c>
      <c r="BS1373">
        <f>$C1373*BS1372</f>
        <v/>
      </c>
      <c r="BT1373">
        <f>$C1373*BT1372</f>
        <v/>
      </c>
      <c r="BU1373">
        <f>$C1373*BU1372</f>
        <v/>
      </c>
      <c r="BV1373">
        <f>$C1373*BV1372</f>
        <v/>
      </c>
      <c r="BW1373">
        <f>$C1373*BW1372</f>
        <v/>
      </c>
      <c r="BX1373">
        <f>$C1373*BX1372</f>
        <v/>
      </c>
      <c r="BY1373">
        <f>$C1373*BY1372</f>
        <v/>
      </c>
      <c r="BZ1373">
        <f>$C1373*BZ1372</f>
        <v/>
      </c>
      <c r="CA1373">
        <f>$C1373*CA1372</f>
        <v/>
      </c>
      <c r="CB1373">
        <f>$C1373*CB1372</f>
        <v/>
      </c>
      <c r="CC1373">
        <f>$C1373*CC1372</f>
        <v/>
      </c>
      <c r="CD1373">
        <f>$C1373*CD1372</f>
        <v/>
      </c>
      <c r="CE1373">
        <f>$C1373*CE1372</f>
        <v/>
      </c>
      <c r="CF1373">
        <f>$C1373*CF1372</f>
        <v/>
      </c>
      <c r="CG1373">
        <f>$C1373*CG1372</f>
        <v/>
      </c>
      <c r="CH1373">
        <f>$C1373*CH1372</f>
        <v/>
      </c>
      <c r="CI1373">
        <f>$C1373*CI1372</f>
        <v/>
      </c>
      <c r="CJ1373">
        <f>$C1373*CJ1372</f>
        <v/>
      </c>
      <c r="CK1373">
        <f>$C1373*CK1372</f>
        <v/>
      </c>
      <c r="CL1373">
        <f>$C1373*CL1372</f>
        <v/>
      </c>
      <c r="CM1373">
        <f>$C1373*CM1372</f>
        <v/>
      </c>
      <c r="CN1373">
        <f>$C1373*CN1372</f>
        <v/>
      </c>
      <c r="CO1373">
        <f>$C1373*CO1372</f>
        <v/>
      </c>
      <c r="CP1373">
        <f>$C1373*CP1372</f>
        <v/>
      </c>
      <c r="CQ1373">
        <f>$C1373*CQ1372</f>
        <v/>
      </c>
      <c r="CR1373">
        <f>$C1373*CR1372</f>
        <v/>
      </c>
      <c r="CS1373">
        <f>$C1373*CS1372</f>
        <v/>
      </c>
      <c r="CT1373">
        <f>$C1373*CT1372</f>
        <v/>
      </c>
      <c r="CU1373">
        <f>$C1373*CU1372</f>
        <v/>
      </c>
      <c r="CV1373">
        <f>$C1373*CV1372</f>
        <v/>
      </c>
      <c r="CW1373">
        <f>$C1373*CW1372</f>
        <v/>
      </c>
      <c r="CX1373">
        <f>$C1373*CX1372</f>
        <v/>
      </c>
      <c r="CY1373">
        <f>$C1373*CY1372</f>
        <v/>
      </c>
      <c r="CZ1373">
        <f>$C1373*CZ1372</f>
        <v/>
      </c>
      <c r="DA1373">
        <f>$C1373*DA1372</f>
        <v/>
      </c>
      <c r="DB1373">
        <f>$C1373*DB1372</f>
        <v/>
      </c>
      <c r="DC1373">
        <f>$C1373*DC1372</f>
        <v/>
      </c>
      <c r="DD1373">
        <f>$C1373*DD1372</f>
        <v/>
      </c>
    </row>
    <row r="1374">
      <c r="B1374" t="inlineStr">
        <is>
          <t>TSP-623</t>
        </is>
      </c>
      <c r="C1374" t="inlineStr">
        <is>
          <t>No. of batches</t>
        </is>
      </c>
      <c r="D1374">
        <f>IFERROR(INDEX(E1374:DD1374,$F$1),"")</f>
        <v/>
      </c>
      <c r="E1374">
        <f>IFERROR(INDEX(PP_Grid[#Data],$DE1374,2),0)</f>
        <v/>
      </c>
      <c r="F1374">
        <f>IFERROR(INDEX(PP_Grid[#Data],$DE1374,3),0)</f>
        <v/>
      </c>
      <c r="G1374">
        <f>IFERROR(INDEX(PP_Grid[#Data],$DE1374,4),0)</f>
        <v/>
      </c>
      <c r="H1374">
        <f>IFERROR(INDEX(PP_Grid[#Data],$DE1374,5),0)</f>
        <v/>
      </c>
      <c r="I1374">
        <f>IFERROR(INDEX(PP_Grid[#Data],$DE1374,6),0)</f>
        <v/>
      </c>
      <c r="J1374">
        <f>IFERROR(INDEX(PP_Grid[#Data],$DE1374,7),0)</f>
        <v/>
      </c>
      <c r="K1374">
        <f>IFERROR(INDEX(PP_Grid[#Data],$DE1374,8),0)</f>
        <v/>
      </c>
      <c r="L1374">
        <f>IFERROR(INDEX(PP_Grid[#Data],$DE1374,9),0)</f>
        <v/>
      </c>
      <c r="M1374">
        <f>IFERROR(INDEX(PP_Grid[#Data],$DE1374,10),0)</f>
        <v/>
      </c>
      <c r="N1374">
        <f>IFERROR(INDEX(PP_Grid[#Data],$DE1374,11),0)</f>
        <v/>
      </c>
      <c r="O1374">
        <f>IFERROR(INDEX(PP_Grid[#Data],$DE1374,12),0)</f>
        <v/>
      </c>
      <c r="P1374">
        <f>IFERROR(INDEX(PP_Grid[#Data],$DE1374,13),0)</f>
        <v/>
      </c>
      <c r="Q1374">
        <f>IFERROR(INDEX(PP_Grid[#Data],$DE1374,14),0)</f>
        <v/>
      </c>
      <c r="R1374">
        <f>IFERROR(INDEX(PP_Grid[#Data],$DE1374,15),0)</f>
        <v/>
      </c>
      <c r="S1374">
        <f>IFERROR(INDEX(PP_Grid[#Data],$DE1374,16),0)</f>
        <v/>
      </c>
      <c r="T1374">
        <f>IFERROR(INDEX(PP_Grid[#Data],$DE1374,17),0)</f>
        <v/>
      </c>
      <c r="U1374">
        <f>IFERROR(INDEX(PP_Grid[#Data],$DE1374,18),0)</f>
        <v/>
      </c>
      <c r="V1374">
        <f>IFERROR(INDEX(PP_Grid[#Data],$DE1374,19),0)</f>
        <v/>
      </c>
      <c r="W1374">
        <f>IFERROR(INDEX(PP_Grid[#Data],$DE1374,20),0)</f>
        <v/>
      </c>
      <c r="X1374">
        <f>IFERROR(INDEX(PP_Grid[#Data],$DE1374,21),0)</f>
        <v/>
      </c>
      <c r="Y1374">
        <f>IFERROR(INDEX(PP_Grid[#Data],$DE1374,22),0)</f>
        <v/>
      </c>
      <c r="Z1374">
        <f>IFERROR(INDEX(PP_Grid[#Data],$DE1374,23),0)</f>
        <v/>
      </c>
      <c r="AA1374">
        <f>IFERROR(INDEX(PP_Grid[#Data],$DE1374,24),0)</f>
        <v/>
      </c>
      <c r="AB1374">
        <f>IFERROR(INDEX(PP_Grid[#Data],$DE1374,25),0)</f>
        <v/>
      </c>
      <c r="AC1374">
        <f>IFERROR(INDEX(PP_Grid[#Data],$DE1374,26),0)</f>
        <v/>
      </c>
      <c r="AD1374">
        <f>IFERROR(INDEX(PP_Grid[#Data],$DE1374,27),0)</f>
        <v/>
      </c>
      <c r="AE1374">
        <f>IFERROR(INDEX(PP_Grid[#Data],$DE1374,28),0)</f>
        <v/>
      </c>
      <c r="AF1374">
        <f>IFERROR(INDEX(PP_Grid[#Data],$DE1374,29),0)</f>
        <v/>
      </c>
      <c r="AG1374">
        <f>IFERROR(INDEX(PP_Grid[#Data],$DE1374,30),0)</f>
        <v/>
      </c>
      <c r="AH1374">
        <f>IFERROR(INDEX(PP_Grid[#Data],$DE1374,31),0)</f>
        <v/>
      </c>
      <c r="AI1374">
        <f>IFERROR(INDEX(PP_Grid[#Data],$DE1374,32),0)</f>
        <v/>
      </c>
      <c r="AJ1374">
        <f>IFERROR(INDEX(PP_Grid[#Data],$DE1374,33),0)</f>
        <v/>
      </c>
      <c r="AK1374">
        <f>IFERROR(INDEX(PP_Grid[#Data],$DE1374,34),0)</f>
        <v/>
      </c>
      <c r="AL1374">
        <f>IFERROR(INDEX(PP_Grid[#Data],$DE1374,35),0)</f>
        <v/>
      </c>
      <c r="AM1374">
        <f>IFERROR(INDEX(PP_Grid[#Data],$DE1374,36),0)</f>
        <v/>
      </c>
      <c r="AN1374">
        <f>IFERROR(INDEX(PP_Grid[#Data],$DE1374,37),0)</f>
        <v/>
      </c>
      <c r="AO1374">
        <f>IFERROR(INDEX(PP_Grid[#Data],$DE1374,38),0)</f>
        <v/>
      </c>
      <c r="AP1374">
        <f>IFERROR(INDEX(PP_Grid[#Data],$DE1374,39),0)</f>
        <v/>
      </c>
      <c r="AQ1374">
        <f>IFERROR(INDEX(PP_Grid[#Data],$DE1374,40),0)</f>
        <v/>
      </c>
      <c r="AR1374">
        <f>IFERROR(INDEX(PP_Grid[#Data],$DE1374,41),0)</f>
        <v/>
      </c>
      <c r="AS1374">
        <f>IFERROR(INDEX(PP_Grid[#Data],$DE1374,42),0)</f>
        <v/>
      </c>
      <c r="AT1374">
        <f>IFERROR(INDEX(PP_Grid[#Data],$DE1374,43),0)</f>
        <v/>
      </c>
      <c r="AU1374">
        <f>IFERROR(INDEX(PP_Grid[#Data],$DE1374,44),0)</f>
        <v/>
      </c>
      <c r="AV1374">
        <f>IFERROR(INDEX(PP_Grid[#Data],$DE1374,45),0)</f>
        <v/>
      </c>
      <c r="AW1374">
        <f>IFERROR(INDEX(PP_Grid[#Data],$DE1374,46),0)</f>
        <v/>
      </c>
      <c r="AX1374">
        <f>IFERROR(INDEX(PP_Grid[#Data],$DE1374,47),0)</f>
        <v/>
      </c>
      <c r="AY1374">
        <f>IFERROR(INDEX(PP_Grid[#Data],$DE1374,48),0)</f>
        <v/>
      </c>
      <c r="AZ1374">
        <f>IFERROR(INDEX(PP_Grid[#Data],$DE1374,49),0)</f>
        <v/>
      </c>
      <c r="BA1374">
        <f>IFERROR(INDEX(PP_Grid[#Data],$DE1374,50),0)</f>
        <v/>
      </c>
      <c r="BB1374">
        <f>IFERROR(INDEX(PP_Grid[#Data],$DE1374,51),0)</f>
        <v/>
      </c>
      <c r="BC1374">
        <f>IFERROR(INDEX(PP_Grid[#Data],$DE1374,52),0)</f>
        <v/>
      </c>
      <c r="BD1374">
        <f>IFERROR(INDEX(PP_Grid[#Data],$DE1374,53),0)</f>
        <v/>
      </c>
      <c r="BE1374">
        <f>IFERROR(INDEX(PP_Grid[#Data],$DE1374,54),0)</f>
        <v/>
      </c>
      <c r="BF1374">
        <f>IFERROR(INDEX(PP_Grid[#Data],$DE1374,55),0)</f>
        <v/>
      </c>
      <c r="BG1374">
        <f>IFERROR(INDEX(PP_Grid[#Data],$DE1374,56),0)</f>
        <v/>
      </c>
      <c r="BH1374">
        <f>IFERROR(INDEX(PP_Grid[#Data],$DE1374,57),0)</f>
        <v/>
      </c>
      <c r="BI1374">
        <f>IFERROR(INDEX(PP_Grid[#Data],$DE1374,58),0)</f>
        <v/>
      </c>
      <c r="BJ1374">
        <f>IFERROR(INDEX(PP_Grid[#Data],$DE1374,59),0)</f>
        <v/>
      </c>
      <c r="BK1374">
        <f>IFERROR(INDEX(PP_Grid[#Data],$DE1374,60),0)</f>
        <v/>
      </c>
      <c r="BL1374">
        <f>IFERROR(INDEX(PP_Grid[#Data],$DE1374,61),0)</f>
        <v/>
      </c>
      <c r="BM1374">
        <f>IFERROR(INDEX(PP_Grid[#Data],$DE1374,62),0)</f>
        <v/>
      </c>
      <c r="BN1374">
        <f>IFERROR(INDEX(PP_Grid[#Data],$DE1374,63),0)</f>
        <v/>
      </c>
      <c r="BO1374">
        <f>IFERROR(INDEX(PP_Grid[#Data],$DE1374,64),0)</f>
        <v/>
      </c>
      <c r="BP1374">
        <f>IFERROR(INDEX(PP_Grid[#Data],$DE1374,65),0)</f>
        <v/>
      </c>
      <c r="BQ1374">
        <f>IFERROR(INDEX(PP_Grid[#Data],$DE1374,66),0)</f>
        <v/>
      </c>
      <c r="BR1374">
        <f>IFERROR(INDEX(PP_Grid[#Data],$DE1374,67),0)</f>
        <v/>
      </c>
      <c r="BS1374">
        <f>IFERROR(INDEX(PP_Grid[#Data],$DE1374,68),0)</f>
        <v/>
      </c>
      <c r="BT1374">
        <f>IFERROR(INDEX(PP_Grid[#Data],$DE1374,69),0)</f>
        <v/>
      </c>
      <c r="BU1374">
        <f>IFERROR(INDEX(PP_Grid[#Data],$DE1374,70),0)</f>
        <v/>
      </c>
      <c r="BV1374">
        <f>IFERROR(INDEX(PP_Grid[#Data],$DE1374,71),0)</f>
        <v/>
      </c>
      <c r="BW1374">
        <f>IFERROR(INDEX(PP_Grid[#Data],$DE1374,72),0)</f>
        <v/>
      </c>
      <c r="BX1374">
        <f>IFERROR(INDEX(PP_Grid[#Data],$DE1374,73),0)</f>
        <v/>
      </c>
      <c r="BY1374">
        <f>IFERROR(INDEX(PP_Grid[#Data],$DE1374,74),0)</f>
        <v/>
      </c>
      <c r="BZ1374">
        <f>IFERROR(INDEX(PP_Grid[#Data],$DE1374,75),0)</f>
        <v/>
      </c>
      <c r="CA1374">
        <f>IFERROR(INDEX(PP_Grid[#Data],$DE1374,76),0)</f>
        <v/>
      </c>
      <c r="CB1374">
        <f>IFERROR(INDEX(PP_Grid[#Data],$DE1374,77),0)</f>
        <v/>
      </c>
      <c r="CC1374">
        <f>IFERROR(INDEX(PP_Grid[#Data],$DE1374,78),0)</f>
        <v/>
      </c>
      <c r="CD1374">
        <f>IFERROR(INDEX(PP_Grid[#Data],$DE1374,79),0)</f>
        <v/>
      </c>
      <c r="CE1374">
        <f>IFERROR(INDEX(PP_Grid[#Data],$DE1374,80),0)</f>
        <v/>
      </c>
      <c r="CF1374">
        <f>IFERROR(INDEX(PP_Grid[#Data],$DE1374,81),0)</f>
        <v/>
      </c>
      <c r="CG1374">
        <f>IFERROR(INDEX(PP_Grid[#Data],$DE1374,82),0)</f>
        <v/>
      </c>
      <c r="CH1374">
        <f>IFERROR(INDEX(PP_Grid[#Data],$DE1374,83),0)</f>
        <v/>
      </c>
      <c r="CI1374">
        <f>IFERROR(INDEX(PP_Grid[#Data],$DE1374,84),0)</f>
        <v/>
      </c>
      <c r="CJ1374">
        <f>IFERROR(INDEX(PP_Grid[#Data],$DE1374,85),0)</f>
        <v/>
      </c>
      <c r="CK1374">
        <f>IFERROR(INDEX(PP_Grid[#Data],$DE1374,86),0)</f>
        <v/>
      </c>
      <c r="CL1374">
        <f>IFERROR(INDEX(PP_Grid[#Data],$DE1374,87),0)</f>
        <v/>
      </c>
      <c r="CM1374">
        <f>IFERROR(INDEX(PP_Grid[#Data],$DE1374,88),0)</f>
        <v/>
      </c>
      <c r="CN1374">
        <f>IFERROR(INDEX(PP_Grid[#Data],$DE1374,89),0)</f>
        <v/>
      </c>
      <c r="CO1374">
        <f>IFERROR(INDEX(PP_Grid[#Data],$DE1374,90),0)</f>
        <v/>
      </c>
      <c r="CP1374">
        <f>IFERROR(INDEX(PP_Grid[#Data],$DE1374,91),0)</f>
        <v/>
      </c>
      <c r="CQ1374">
        <f>IFERROR(INDEX(PP_Grid[#Data],$DE1374,92),0)</f>
        <v/>
      </c>
      <c r="CR1374">
        <f>IFERROR(INDEX(PP_Grid[#Data],$DE1374,93),0)</f>
        <v/>
      </c>
      <c r="CS1374">
        <f>IFERROR(INDEX(PP_Grid[#Data],$DE1374,94),0)</f>
        <v/>
      </c>
      <c r="CT1374">
        <f>IFERROR(INDEX(PP_Grid[#Data],$DE1374,95),0)</f>
        <v/>
      </c>
      <c r="CU1374">
        <f>IFERROR(INDEX(PP_Grid[#Data],$DE1374,96),0)</f>
        <v/>
      </c>
      <c r="CV1374">
        <f>IFERROR(INDEX(PP_Grid[#Data],$DE1374,97),0)</f>
        <v/>
      </c>
      <c r="CW1374">
        <f>IFERROR(INDEX(PP_Grid[#Data],$DE1374,98),0)</f>
        <v/>
      </c>
      <c r="CX1374">
        <f>IFERROR(INDEX(PP_Grid[#Data],$DE1374,99),0)</f>
        <v/>
      </c>
      <c r="CY1374">
        <f>IFERROR(INDEX(PP_Grid[#Data],$DE1374,100),0)</f>
        <v/>
      </c>
      <c r="CZ1374">
        <f>IFERROR(INDEX(PP_Grid[#Data],$DE1374,101),0)</f>
        <v/>
      </c>
      <c r="DA1374">
        <f>IFERROR(INDEX(PP_Grid[#Data],$DE1374,102),0)</f>
        <v/>
      </c>
      <c r="DB1374">
        <f>IFERROR(INDEX(PP_Grid[#Data],$DE1374,103),0)</f>
        <v/>
      </c>
      <c r="DC1374">
        <f>IFERROR(INDEX(PP_Grid[#Data],$DE1374,104),0)</f>
        <v/>
      </c>
      <c r="DD1374">
        <f>IFERROR(INDEX(PP_Grid[#Data],$DE1374,105),0)</f>
        <v/>
      </c>
      <c r="DE1374" s="7">
        <f>IFERROR(MATCH($B1374,PP_Grid[Intermediate],0),99999)</f>
        <v/>
      </c>
    </row>
    <row r="1375">
      <c r="B1375" t="inlineStr">
        <is>
          <t>使用量(kg)</t>
        </is>
      </c>
      <c r="C1375">
        <f>SUMIFS(M_BOM[RM_Qty_Per_Batch],M_BOM[Intermediate],$B1374,M_BOM[RM_Code],$A1371)</f>
        <v/>
      </c>
      <c r="D1375">
        <f>IFERROR(INDEX(E1375:DD1375,$F$1),"")</f>
        <v/>
      </c>
      <c r="E1375">
        <f>$C1375*E1374</f>
        <v/>
      </c>
      <c r="F1375">
        <f>$C1375*F1374</f>
        <v/>
      </c>
      <c r="G1375">
        <f>$C1375*G1374</f>
        <v/>
      </c>
      <c r="H1375">
        <f>$C1375*H1374</f>
        <v/>
      </c>
      <c r="I1375">
        <f>$C1375*I1374</f>
        <v/>
      </c>
      <c r="J1375">
        <f>$C1375*J1374</f>
        <v/>
      </c>
      <c r="K1375">
        <f>$C1375*K1374</f>
        <v/>
      </c>
      <c r="L1375">
        <f>$C1375*L1374</f>
        <v/>
      </c>
      <c r="M1375">
        <f>$C1375*M1374</f>
        <v/>
      </c>
      <c r="N1375">
        <f>$C1375*N1374</f>
        <v/>
      </c>
      <c r="O1375">
        <f>$C1375*O1374</f>
        <v/>
      </c>
      <c r="P1375">
        <f>$C1375*P1374</f>
        <v/>
      </c>
      <c r="Q1375">
        <f>$C1375*Q1374</f>
        <v/>
      </c>
      <c r="R1375">
        <f>$C1375*R1374</f>
        <v/>
      </c>
      <c r="S1375">
        <f>$C1375*S1374</f>
        <v/>
      </c>
      <c r="T1375">
        <f>$C1375*T1374</f>
        <v/>
      </c>
      <c r="U1375">
        <f>$C1375*U1374</f>
        <v/>
      </c>
      <c r="V1375">
        <f>$C1375*V1374</f>
        <v/>
      </c>
      <c r="W1375">
        <f>$C1375*W1374</f>
        <v/>
      </c>
      <c r="X1375">
        <f>$C1375*X1374</f>
        <v/>
      </c>
      <c r="Y1375">
        <f>$C1375*Y1374</f>
        <v/>
      </c>
      <c r="Z1375">
        <f>$C1375*Z1374</f>
        <v/>
      </c>
      <c r="AA1375">
        <f>$C1375*AA1374</f>
        <v/>
      </c>
      <c r="AB1375">
        <f>$C1375*AB1374</f>
        <v/>
      </c>
      <c r="AC1375">
        <f>$C1375*AC1374</f>
        <v/>
      </c>
      <c r="AD1375">
        <f>$C1375*AD1374</f>
        <v/>
      </c>
      <c r="AE1375">
        <f>$C1375*AE1374</f>
        <v/>
      </c>
      <c r="AF1375">
        <f>$C1375*AF1374</f>
        <v/>
      </c>
      <c r="AG1375">
        <f>$C1375*AG1374</f>
        <v/>
      </c>
      <c r="AH1375">
        <f>$C1375*AH1374</f>
        <v/>
      </c>
      <c r="AI1375">
        <f>$C1375*AI1374</f>
        <v/>
      </c>
      <c r="AJ1375">
        <f>$C1375*AJ1374</f>
        <v/>
      </c>
      <c r="AK1375">
        <f>$C1375*AK1374</f>
        <v/>
      </c>
      <c r="AL1375">
        <f>$C1375*AL1374</f>
        <v/>
      </c>
      <c r="AM1375">
        <f>$C1375*AM1374</f>
        <v/>
      </c>
      <c r="AN1375">
        <f>$C1375*AN1374</f>
        <v/>
      </c>
      <c r="AO1375">
        <f>$C1375*AO1374</f>
        <v/>
      </c>
      <c r="AP1375">
        <f>$C1375*AP1374</f>
        <v/>
      </c>
      <c r="AQ1375">
        <f>$C1375*AQ1374</f>
        <v/>
      </c>
      <c r="AR1375">
        <f>$C1375*AR1374</f>
        <v/>
      </c>
      <c r="AS1375">
        <f>$C1375*AS1374</f>
        <v/>
      </c>
      <c r="AT1375">
        <f>$C1375*AT1374</f>
        <v/>
      </c>
      <c r="AU1375">
        <f>$C1375*AU1374</f>
        <v/>
      </c>
      <c r="AV1375">
        <f>$C1375*AV1374</f>
        <v/>
      </c>
      <c r="AW1375">
        <f>$C1375*AW1374</f>
        <v/>
      </c>
      <c r="AX1375">
        <f>$C1375*AX1374</f>
        <v/>
      </c>
      <c r="AY1375">
        <f>$C1375*AY1374</f>
        <v/>
      </c>
      <c r="AZ1375">
        <f>$C1375*AZ1374</f>
        <v/>
      </c>
      <c r="BA1375">
        <f>$C1375*BA1374</f>
        <v/>
      </c>
      <c r="BB1375">
        <f>$C1375*BB1374</f>
        <v/>
      </c>
      <c r="BC1375">
        <f>$C1375*BC1374</f>
        <v/>
      </c>
      <c r="BD1375">
        <f>$C1375*BD1374</f>
        <v/>
      </c>
      <c r="BE1375">
        <f>$C1375*BE1374</f>
        <v/>
      </c>
      <c r="BF1375">
        <f>$C1375*BF1374</f>
        <v/>
      </c>
      <c r="BG1375">
        <f>$C1375*BG1374</f>
        <v/>
      </c>
      <c r="BH1375">
        <f>$C1375*BH1374</f>
        <v/>
      </c>
      <c r="BI1375">
        <f>$C1375*BI1374</f>
        <v/>
      </c>
      <c r="BJ1375">
        <f>$C1375*BJ1374</f>
        <v/>
      </c>
      <c r="BK1375">
        <f>$C1375*BK1374</f>
        <v/>
      </c>
      <c r="BL1375">
        <f>$C1375*BL1374</f>
        <v/>
      </c>
      <c r="BM1375">
        <f>$C1375*BM1374</f>
        <v/>
      </c>
      <c r="BN1375">
        <f>$C1375*BN1374</f>
        <v/>
      </c>
      <c r="BO1375">
        <f>$C1375*BO1374</f>
        <v/>
      </c>
      <c r="BP1375">
        <f>$C1375*BP1374</f>
        <v/>
      </c>
      <c r="BQ1375">
        <f>$C1375*BQ1374</f>
        <v/>
      </c>
      <c r="BR1375">
        <f>$C1375*BR1374</f>
        <v/>
      </c>
      <c r="BS1375">
        <f>$C1375*BS1374</f>
        <v/>
      </c>
      <c r="BT1375">
        <f>$C1375*BT1374</f>
        <v/>
      </c>
      <c r="BU1375">
        <f>$C1375*BU1374</f>
        <v/>
      </c>
      <c r="BV1375">
        <f>$C1375*BV1374</f>
        <v/>
      </c>
      <c r="BW1375">
        <f>$C1375*BW1374</f>
        <v/>
      </c>
      <c r="BX1375">
        <f>$C1375*BX1374</f>
        <v/>
      </c>
      <c r="BY1375">
        <f>$C1375*BY1374</f>
        <v/>
      </c>
      <c r="BZ1375">
        <f>$C1375*BZ1374</f>
        <v/>
      </c>
      <c r="CA1375">
        <f>$C1375*CA1374</f>
        <v/>
      </c>
      <c r="CB1375">
        <f>$C1375*CB1374</f>
        <v/>
      </c>
      <c r="CC1375">
        <f>$C1375*CC1374</f>
        <v/>
      </c>
      <c r="CD1375">
        <f>$C1375*CD1374</f>
        <v/>
      </c>
      <c r="CE1375">
        <f>$C1375*CE1374</f>
        <v/>
      </c>
      <c r="CF1375">
        <f>$C1375*CF1374</f>
        <v/>
      </c>
      <c r="CG1375">
        <f>$C1375*CG1374</f>
        <v/>
      </c>
      <c r="CH1375">
        <f>$C1375*CH1374</f>
        <v/>
      </c>
      <c r="CI1375">
        <f>$C1375*CI1374</f>
        <v/>
      </c>
      <c r="CJ1375">
        <f>$C1375*CJ1374</f>
        <v/>
      </c>
      <c r="CK1375">
        <f>$C1375*CK1374</f>
        <v/>
      </c>
      <c r="CL1375">
        <f>$C1375*CL1374</f>
        <v/>
      </c>
      <c r="CM1375">
        <f>$C1375*CM1374</f>
        <v/>
      </c>
      <c r="CN1375">
        <f>$C1375*CN1374</f>
        <v/>
      </c>
      <c r="CO1375">
        <f>$C1375*CO1374</f>
        <v/>
      </c>
      <c r="CP1375">
        <f>$C1375*CP1374</f>
        <v/>
      </c>
      <c r="CQ1375">
        <f>$C1375*CQ1374</f>
        <v/>
      </c>
      <c r="CR1375">
        <f>$C1375*CR1374</f>
        <v/>
      </c>
      <c r="CS1375">
        <f>$C1375*CS1374</f>
        <v/>
      </c>
      <c r="CT1375">
        <f>$C1375*CT1374</f>
        <v/>
      </c>
      <c r="CU1375">
        <f>$C1375*CU1374</f>
        <v/>
      </c>
      <c r="CV1375">
        <f>$C1375*CV1374</f>
        <v/>
      </c>
      <c r="CW1375">
        <f>$C1375*CW1374</f>
        <v/>
      </c>
      <c r="CX1375">
        <f>$C1375*CX1374</f>
        <v/>
      </c>
      <c r="CY1375">
        <f>$C1375*CY1374</f>
        <v/>
      </c>
      <c r="CZ1375">
        <f>$C1375*CZ1374</f>
        <v/>
      </c>
      <c r="DA1375">
        <f>$C1375*DA1374</f>
        <v/>
      </c>
      <c r="DB1375">
        <f>$C1375*DB1374</f>
        <v/>
      </c>
      <c r="DC1375">
        <f>$C1375*DC1374</f>
        <v/>
      </c>
      <c r="DD1375">
        <f>$C1375*DD1374</f>
        <v/>
      </c>
    </row>
    <row r="1376">
      <c r="B1376" t="inlineStr">
        <is>
          <t>TSP-934</t>
        </is>
      </c>
      <c r="C1376" t="inlineStr">
        <is>
          <t>No. of batches</t>
        </is>
      </c>
      <c r="D1376">
        <f>IFERROR(INDEX(E1376:DD1376,$F$1),"")</f>
        <v/>
      </c>
      <c r="E1376">
        <f>IFERROR(INDEX(PP_Grid[#Data],$DE1376,2),0)</f>
        <v/>
      </c>
      <c r="F1376">
        <f>IFERROR(INDEX(PP_Grid[#Data],$DE1376,3),0)</f>
        <v/>
      </c>
      <c r="G1376">
        <f>IFERROR(INDEX(PP_Grid[#Data],$DE1376,4),0)</f>
        <v/>
      </c>
      <c r="H1376">
        <f>IFERROR(INDEX(PP_Grid[#Data],$DE1376,5),0)</f>
        <v/>
      </c>
      <c r="I1376">
        <f>IFERROR(INDEX(PP_Grid[#Data],$DE1376,6),0)</f>
        <v/>
      </c>
      <c r="J1376">
        <f>IFERROR(INDEX(PP_Grid[#Data],$DE1376,7),0)</f>
        <v/>
      </c>
      <c r="K1376">
        <f>IFERROR(INDEX(PP_Grid[#Data],$DE1376,8),0)</f>
        <v/>
      </c>
      <c r="L1376">
        <f>IFERROR(INDEX(PP_Grid[#Data],$DE1376,9),0)</f>
        <v/>
      </c>
      <c r="M1376">
        <f>IFERROR(INDEX(PP_Grid[#Data],$DE1376,10),0)</f>
        <v/>
      </c>
      <c r="N1376">
        <f>IFERROR(INDEX(PP_Grid[#Data],$DE1376,11),0)</f>
        <v/>
      </c>
      <c r="O1376">
        <f>IFERROR(INDEX(PP_Grid[#Data],$DE1376,12),0)</f>
        <v/>
      </c>
      <c r="P1376">
        <f>IFERROR(INDEX(PP_Grid[#Data],$DE1376,13),0)</f>
        <v/>
      </c>
      <c r="Q1376">
        <f>IFERROR(INDEX(PP_Grid[#Data],$DE1376,14),0)</f>
        <v/>
      </c>
      <c r="R1376">
        <f>IFERROR(INDEX(PP_Grid[#Data],$DE1376,15),0)</f>
        <v/>
      </c>
      <c r="S1376">
        <f>IFERROR(INDEX(PP_Grid[#Data],$DE1376,16),0)</f>
        <v/>
      </c>
      <c r="T1376">
        <f>IFERROR(INDEX(PP_Grid[#Data],$DE1376,17),0)</f>
        <v/>
      </c>
      <c r="U1376">
        <f>IFERROR(INDEX(PP_Grid[#Data],$DE1376,18),0)</f>
        <v/>
      </c>
      <c r="V1376">
        <f>IFERROR(INDEX(PP_Grid[#Data],$DE1376,19),0)</f>
        <v/>
      </c>
      <c r="W1376">
        <f>IFERROR(INDEX(PP_Grid[#Data],$DE1376,20),0)</f>
        <v/>
      </c>
      <c r="X1376">
        <f>IFERROR(INDEX(PP_Grid[#Data],$DE1376,21),0)</f>
        <v/>
      </c>
      <c r="Y1376">
        <f>IFERROR(INDEX(PP_Grid[#Data],$DE1376,22),0)</f>
        <v/>
      </c>
      <c r="Z1376">
        <f>IFERROR(INDEX(PP_Grid[#Data],$DE1376,23),0)</f>
        <v/>
      </c>
      <c r="AA1376">
        <f>IFERROR(INDEX(PP_Grid[#Data],$DE1376,24),0)</f>
        <v/>
      </c>
      <c r="AB1376">
        <f>IFERROR(INDEX(PP_Grid[#Data],$DE1376,25),0)</f>
        <v/>
      </c>
      <c r="AC1376">
        <f>IFERROR(INDEX(PP_Grid[#Data],$DE1376,26),0)</f>
        <v/>
      </c>
      <c r="AD1376">
        <f>IFERROR(INDEX(PP_Grid[#Data],$DE1376,27),0)</f>
        <v/>
      </c>
      <c r="AE1376">
        <f>IFERROR(INDEX(PP_Grid[#Data],$DE1376,28),0)</f>
        <v/>
      </c>
      <c r="AF1376">
        <f>IFERROR(INDEX(PP_Grid[#Data],$DE1376,29),0)</f>
        <v/>
      </c>
      <c r="AG1376">
        <f>IFERROR(INDEX(PP_Grid[#Data],$DE1376,30),0)</f>
        <v/>
      </c>
      <c r="AH1376">
        <f>IFERROR(INDEX(PP_Grid[#Data],$DE1376,31),0)</f>
        <v/>
      </c>
      <c r="AI1376">
        <f>IFERROR(INDEX(PP_Grid[#Data],$DE1376,32),0)</f>
        <v/>
      </c>
      <c r="AJ1376">
        <f>IFERROR(INDEX(PP_Grid[#Data],$DE1376,33),0)</f>
        <v/>
      </c>
      <c r="AK1376">
        <f>IFERROR(INDEX(PP_Grid[#Data],$DE1376,34),0)</f>
        <v/>
      </c>
      <c r="AL1376">
        <f>IFERROR(INDEX(PP_Grid[#Data],$DE1376,35),0)</f>
        <v/>
      </c>
      <c r="AM1376">
        <f>IFERROR(INDEX(PP_Grid[#Data],$DE1376,36),0)</f>
        <v/>
      </c>
      <c r="AN1376">
        <f>IFERROR(INDEX(PP_Grid[#Data],$DE1376,37),0)</f>
        <v/>
      </c>
      <c r="AO1376">
        <f>IFERROR(INDEX(PP_Grid[#Data],$DE1376,38),0)</f>
        <v/>
      </c>
      <c r="AP1376">
        <f>IFERROR(INDEX(PP_Grid[#Data],$DE1376,39),0)</f>
        <v/>
      </c>
      <c r="AQ1376">
        <f>IFERROR(INDEX(PP_Grid[#Data],$DE1376,40),0)</f>
        <v/>
      </c>
      <c r="AR1376">
        <f>IFERROR(INDEX(PP_Grid[#Data],$DE1376,41),0)</f>
        <v/>
      </c>
      <c r="AS1376">
        <f>IFERROR(INDEX(PP_Grid[#Data],$DE1376,42),0)</f>
        <v/>
      </c>
      <c r="AT1376">
        <f>IFERROR(INDEX(PP_Grid[#Data],$DE1376,43),0)</f>
        <v/>
      </c>
      <c r="AU1376">
        <f>IFERROR(INDEX(PP_Grid[#Data],$DE1376,44),0)</f>
        <v/>
      </c>
      <c r="AV1376">
        <f>IFERROR(INDEX(PP_Grid[#Data],$DE1376,45),0)</f>
        <v/>
      </c>
      <c r="AW1376">
        <f>IFERROR(INDEX(PP_Grid[#Data],$DE1376,46),0)</f>
        <v/>
      </c>
      <c r="AX1376">
        <f>IFERROR(INDEX(PP_Grid[#Data],$DE1376,47),0)</f>
        <v/>
      </c>
      <c r="AY1376">
        <f>IFERROR(INDEX(PP_Grid[#Data],$DE1376,48),0)</f>
        <v/>
      </c>
      <c r="AZ1376">
        <f>IFERROR(INDEX(PP_Grid[#Data],$DE1376,49),0)</f>
        <v/>
      </c>
      <c r="BA1376">
        <f>IFERROR(INDEX(PP_Grid[#Data],$DE1376,50),0)</f>
        <v/>
      </c>
      <c r="BB1376">
        <f>IFERROR(INDEX(PP_Grid[#Data],$DE1376,51),0)</f>
        <v/>
      </c>
      <c r="BC1376">
        <f>IFERROR(INDEX(PP_Grid[#Data],$DE1376,52),0)</f>
        <v/>
      </c>
      <c r="BD1376">
        <f>IFERROR(INDEX(PP_Grid[#Data],$DE1376,53),0)</f>
        <v/>
      </c>
      <c r="BE1376">
        <f>IFERROR(INDEX(PP_Grid[#Data],$DE1376,54),0)</f>
        <v/>
      </c>
      <c r="BF1376">
        <f>IFERROR(INDEX(PP_Grid[#Data],$DE1376,55),0)</f>
        <v/>
      </c>
      <c r="BG1376">
        <f>IFERROR(INDEX(PP_Grid[#Data],$DE1376,56),0)</f>
        <v/>
      </c>
      <c r="BH1376">
        <f>IFERROR(INDEX(PP_Grid[#Data],$DE1376,57),0)</f>
        <v/>
      </c>
      <c r="BI1376">
        <f>IFERROR(INDEX(PP_Grid[#Data],$DE1376,58),0)</f>
        <v/>
      </c>
      <c r="BJ1376">
        <f>IFERROR(INDEX(PP_Grid[#Data],$DE1376,59),0)</f>
        <v/>
      </c>
      <c r="BK1376">
        <f>IFERROR(INDEX(PP_Grid[#Data],$DE1376,60),0)</f>
        <v/>
      </c>
      <c r="BL1376">
        <f>IFERROR(INDEX(PP_Grid[#Data],$DE1376,61),0)</f>
        <v/>
      </c>
      <c r="BM1376">
        <f>IFERROR(INDEX(PP_Grid[#Data],$DE1376,62),0)</f>
        <v/>
      </c>
      <c r="BN1376">
        <f>IFERROR(INDEX(PP_Grid[#Data],$DE1376,63),0)</f>
        <v/>
      </c>
      <c r="BO1376">
        <f>IFERROR(INDEX(PP_Grid[#Data],$DE1376,64),0)</f>
        <v/>
      </c>
      <c r="BP1376">
        <f>IFERROR(INDEX(PP_Grid[#Data],$DE1376,65),0)</f>
        <v/>
      </c>
      <c r="BQ1376">
        <f>IFERROR(INDEX(PP_Grid[#Data],$DE1376,66),0)</f>
        <v/>
      </c>
      <c r="BR1376">
        <f>IFERROR(INDEX(PP_Grid[#Data],$DE1376,67),0)</f>
        <v/>
      </c>
      <c r="BS1376">
        <f>IFERROR(INDEX(PP_Grid[#Data],$DE1376,68),0)</f>
        <v/>
      </c>
      <c r="BT1376">
        <f>IFERROR(INDEX(PP_Grid[#Data],$DE1376,69),0)</f>
        <v/>
      </c>
      <c r="BU1376">
        <f>IFERROR(INDEX(PP_Grid[#Data],$DE1376,70),0)</f>
        <v/>
      </c>
      <c r="BV1376">
        <f>IFERROR(INDEX(PP_Grid[#Data],$DE1376,71),0)</f>
        <v/>
      </c>
      <c r="BW1376">
        <f>IFERROR(INDEX(PP_Grid[#Data],$DE1376,72),0)</f>
        <v/>
      </c>
      <c r="BX1376">
        <f>IFERROR(INDEX(PP_Grid[#Data],$DE1376,73),0)</f>
        <v/>
      </c>
      <c r="BY1376">
        <f>IFERROR(INDEX(PP_Grid[#Data],$DE1376,74),0)</f>
        <v/>
      </c>
      <c r="BZ1376">
        <f>IFERROR(INDEX(PP_Grid[#Data],$DE1376,75),0)</f>
        <v/>
      </c>
      <c r="CA1376">
        <f>IFERROR(INDEX(PP_Grid[#Data],$DE1376,76),0)</f>
        <v/>
      </c>
      <c r="CB1376">
        <f>IFERROR(INDEX(PP_Grid[#Data],$DE1376,77),0)</f>
        <v/>
      </c>
      <c r="CC1376">
        <f>IFERROR(INDEX(PP_Grid[#Data],$DE1376,78),0)</f>
        <v/>
      </c>
      <c r="CD1376">
        <f>IFERROR(INDEX(PP_Grid[#Data],$DE1376,79),0)</f>
        <v/>
      </c>
      <c r="CE1376">
        <f>IFERROR(INDEX(PP_Grid[#Data],$DE1376,80),0)</f>
        <v/>
      </c>
      <c r="CF1376">
        <f>IFERROR(INDEX(PP_Grid[#Data],$DE1376,81),0)</f>
        <v/>
      </c>
      <c r="CG1376">
        <f>IFERROR(INDEX(PP_Grid[#Data],$DE1376,82),0)</f>
        <v/>
      </c>
      <c r="CH1376">
        <f>IFERROR(INDEX(PP_Grid[#Data],$DE1376,83),0)</f>
        <v/>
      </c>
      <c r="CI1376">
        <f>IFERROR(INDEX(PP_Grid[#Data],$DE1376,84),0)</f>
        <v/>
      </c>
      <c r="CJ1376">
        <f>IFERROR(INDEX(PP_Grid[#Data],$DE1376,85),0)</f>
        <v/>
      </c>
      <c r="CK1376">
        <f>IFERROR(INDEX(PP_Grid[#Data],$DE1376,86),0)</f>
        <v/>
      </c>
      <c r="CL1376">
        <f>IFERROR(INDEX(PP_Grid[#Data],$DE1376,87),0)</f>
        <v/>
      </c>
      <c r="CM1376">
        <f>IFERROR(INDEX(PP_Grid[#Data],$DE1376,88),0)</f>
        <v/>
      </c>
      <c r="CN1376">
        <f>IFERROR(INDEX(PP_Grid[#Data],$DE1376,89),0)</f>
        <v/>
      </c>
      <c r="CO1376">
        <f>IFERROR(INDEX(PP_Grid[#Data],$DE1376,90),0)</f>
        <v/>
      </c>
      <c r="CP1376">
        <f>IFERROR(INDEX(PP_Grid[#Data],$DE1376,91),0)</f>
        <v/>
      </c>
      <c r="CQ1376">
        <f>IFERROR(INDEX(PP_Grid[#Data],$DE1376,92),0)</f>
        <v/>
      </c>
      <c r="CR1376">
        <f>IFERROR(INDEX(PP_Grid[#Data],$DE1376,93),0)</f>
        <v/>
      </c>
      <c r="CS1376">
        <f>IFERROR(INDEX(PP_Grid[#Data],$DE1376,94),0)</f>
        <v/>
      </c>
      <c r="CT1376">
        <f>IFERROR(INDEX(PP_Grid[#Data],$DE1376,95),0)</f>
        <v/>
      </c>
      <c r="CU1376">
        <f>IFERROR(INDEX(PP_Grid[#Data],$DE1376,96),0)</f>
        <v/>
      </c>
      <c r="CV1376">
        <f>IFERROR(INDEX(PP_Grid[#Data],$DE1376,97),0)</f>
        <v/>
      </c>
      <c r="CW1376">
        <f>IFERROR(INDEX(PP_Grid[#Data],$DE1376,98),0)</f>
        <v/>
      </c>
      <c r="CX1376">
        <f>IFERROR(INDEX(PP_Grid[#Data],$DE1376,99),0)</f>
        <v/>
      </c>
      <c r="CY1376">
        <f>IFERROR(INDEX(PP_Grid[#Data],$DE1376,100),0)</f>
        <v/>
      </c>
      <c r="CZ1376">
        <f>IFERROR(INDEX(PP_Grid[#Data],$DE1376,101),0)</f>
        <v/>
      </c>
      <c r="DA1376">
        <f>IFERROR(INDEX(PP_Grid[#Data],$DE1376,102),0)</f>
        <v/>
      </c>
      <c r="DB1376">
        <f>IFERROR(INDEX(PP_Grid[#Data],$DE1376,103),0)</f>
        <v/>
      </c>
      <c r="DC1376">
        <f>IFERROR(INDEX(PP_Grid[#Data],$DE1376,104),0)</f>
        <v/>
      </c>
      <c r="DD1376">
        <f>IFERROR(INDEX(PP_Grid[#Data],$DE1376,105),0)</f>
        <v/>
      </c>
      <c r="DE1376" s="7">
        <f>IFERROR(MATCH($B1376,PP_Grid[Intermediate],0),99999)</f>
        <v/>
      </c>
    </row>
    <row r="1377">
      <c r="B1377" t="inlineStr">
        <is>
          <t>使用量(kg)</t>
        </is>
      </c>
      <c r="C1377">
        <f>SUMIFS(M_BOM[RM_Qty_Per_Batch],M_BOM[Intermediate],$B1376,M_BOM[RM_Code],$A1371)</f>
        <v/>
      </c>
      <c r="D1377">
        <f>IFERROR(INDEX(E1377:DD1377,$F$1),"")</f>
        <v/>
      </c>
      <c r="E1377">
        <f>$C1377*E1376</f>
        <v/>
      </c>
      <c r="F1377">
        <f>$C1377*F1376</f>
        <v/>
      </c>
      <c r="G1377">
        <f>$C1377*G1376</f>
        <v/>
      </c>
      <c r="H1377">
        <f>$C1377*H1376</f>
        <v/>
      </c>
      <c r="I1377">
        <f>$C1377*I1376</f>
        <v/>
      </c>
      <c r="J1377">
        <f>$C1377*J1376</f>
        <v/>
      </c>
      <c r="K1377">
        <f>$C1377*K1376</f>
        <v/>
      </c>
      <c r="L1377">
        <f>$C1377*L1376</f>
        <v/>
      </c>
      <c r="M1377">
        <f>$C1377*M1376</f>
        <v/>
      </c>
      <c r="N1377">
        <f>$C1377*N1376</f>
        <v/>
      </c>
      <c r="O1377">
        <f>$C1377*O1376</f>
        <v/>
      </c>
      <c r="P1377">
        <f>$C1377*P1376</f>
        <v/>
      </c>
      <c r="Q1377">
        <f>$C1377*Q1376</f>
        <v/>
      </c>
      <c r="R1377">
        <f>$C1377*R1376</f>
        <v/>
      </c>
      <c r="S1377">
        <f>$C1377*S1376</f>
        <v/>
      </c>
      <c r="T1377">
        <f>$C1377*T1376</f>
        <v/>
      </c>
      <c r="U1377">
        <f>$C1377*U1376</f>
        <v/>
      </c>
      <c r="V1377">
        <f>$C1377*V1376</f>
        <v/>
      </c>
      <c r="W1377">
        <f>$C1377*W1376</f>
        <v/>
      </c>
      <c r="X1377">
        <f>$C1377*X1376</f>
        <v/>
      </c>
      <c r="Y1377">
        <f>$C1377*Y1376</f>
        <v/>
      </c>
      <c r="Z1377">
        <f>$C1377*Z1376</f>
        <v/>
      </c>
      <c r="AA1377">
        <f>$C1377*AA1376</f>
        <v/>
      </c>
      <c r="AB1377">
        <f>$C1377*AB1376</f>
        <v/>
      </c>
      <c r="AC1377">
        <f>$C1377*AC1376</f>
        <v/>
      </c>
      <c r="AD1377">
        <f>$C1377*AD1376</f>
        <v/>
      </c>
      <c r="AE1377">
        <f>$C1377*AE1376</f>
        <v/>
      </c>
      <c r="AF1377">
        <f>$C1377*AF1376</f>
        <v/>
      </c>
      <c r="AG1377">
        <f>$C1377*AG1376</f>
        <v/>
      </c>
      <c r="AH1377">
        <f>$C1377*AH1376</f>
        <v/>
      </c>
      <c r="AI1377">
        <f>$C1377*AI1376</f>
        <v/>
      </c>
      <c r="AJ1377">
        <f>$C1377*AJ1376</f>
        <v/>
      </c>
      <c r="AK1377">
        <f>$C1377*AK1376</f>
        <v/>
      </c>
      <c r="AL1377">
        <f>$C1377*AL1376</f>
        <v/>
      </c>
      <c r="AM1377">
        <f>$C1377*AM1376</f>
        <v/>
      </c>
      <c r="AN1377">
        <f>$C1377*AN1376</f>
        <v/>
      </c>
      <c r="AO1377">
        <f>$C1377*AO1376</f>
        <v/>
      </c>
      <c r="AP1377">
        <f>$C1377*AP1376</f>
        <v/>
      </c>
      <c r="AQ1377">
        <f>$C1377*AQ1376</f>
        <v/>
      </c>
      <c r="AR1377">
        <f>$C1377*AR1376</f>
        <v/>
      </c>
      <c r="AS1377">
        <f>$C1377*AS1376</f>
        <v/>
      </c>
      <c r="AT1377">
        <f>$C1377*AT1376</f>
        <v/>
      </c>
      <c r="AU1377">
        <f>$C1377*AU1376</f>
        <v/>
      </c>
      <c r="AV1377">
        <f>$C1377*AV1376</f>
        <v/>
      </c>
      <c r="AW1377">
        <f>$C1377*AW1376</f>
        <v/>
      </c>
      <c r="AX1377">
        <f>$C1377*AX1376</f>
        <v/>
      </c>
      <c r="AY1377">
        <f>$C1377*AY1376</f>
        <v/>
      </c>
      <c r="AZ1377">
        <f>$C1377*AZ1376</f>
        <v/>
      </c>
      <c r="BA1377">
        <f>$C1377*BA1376</f>
        <v/>
      </c>
      <c r="BB1377">
        <f>$C1377*BB1376</f>
        <v/>
      </c>
      <c r="BC1377">
        <f>$C1377*BC1376</f>
        <v/>
      </c>
      <c r="BD1377">
        <f>$C1377*BD1376</f>
        <v/>
      </c>
      <c r="BE1377">
        <f>$C1377*BE1376</f>
        <v/>
      </c>
      <c r="BF1377">
        <f>$C1377*BF1376</f>
        <v/>
      </c>
      <c r="BG1377">
        <f>$C1377*BG1376</f>
        <v/>
      </c>
      <c r="BH1377">
        <f>$C1377*BH1376</f>
        <v/>
      </c>
      <c r="BI1377">
        <f>$C1377*BI1376</f>
        <v/>
      </c>
      <c r="BJ1377">
        <f>$C1377*BJ1376</f>
        <v/>
      </c>
      <c r="BK1377">
        <f>$C1377*BK1376</f>
        <v/>
      </c>
      <c r="BL1377">
        <f>$C1377*BL1376</f>
        <v/>
      </c>
      <c r="BM1377">
        <f>$C1377*BM1376</f>
        <v/>
      </c>
      <c r="BN1377">
        <f>$C1377*BN1376</f>
        <v/>
      </c>
      <c r="BO1377">
        <f>$C1377*BO1376</f>
        <v/>
      </c>
      <c r="BP1377">
        <f>$C1377*BP1376</f>
        <v/>
      </c>
      <c r="BQ1377">
        <f>$C1377*BQ1376</f>
        <v/>
      </c>
      <c r="BR1377">
        <f>$C1377*BR1376</f>
        <v/>
      </c>
      <c r="BS1377">
        <f>$C1377*BS1376</f>
        <v/>
      </c>
      <c r="BT1377">
        <f>$C1377*BT1376</f>
        <v/>
      </c>
      <c r="BU1377">
        <f>$C1377*BU1376</f>
        <v/>
      </c>
      <c r="BV1377">
        <f>$C1377*BV1376</f>
        <v/>
      </c>
      <c r="BW1377">
        <f>$C1377*BW1376</f>
        <v/>
      </c>
      <c r="BX1377">
        <f>$C1377*BX1376</f>
        <v/>
      </c>
      <c r="BY1377">
        <f>$C1377*BY1376</f>
        <v/>
      </c>
      <c r="BZ1377">
        <f>$C1377*BZ1376</f>
        <v/>
      </c>
      <c r="CA1377">
        <f>$C1377*CA1376</f>
        <v/>
      </c>
      <c r="CB1377">
        <f>$C1377*CB1376</f>
        <v/>
      </c>
      <c r="CC1377">
        <f>$C1377*CC1376</f>
        <v/>
      </c>
      <c r="CD1377">
        <f>$C1377*CD1376</f>
        <v/>
      </c>
      <c r="CE1377">
        <f>$C1377*CE1376</f>
        <v/>
      </c>
      <c r="CF1377">
        <f>$C1377*CF1376</f>
        <v/>
      </c>
      <c r="CG1377">
        <f>$C1377*CG1376</f>
        <v/>
      </c>
      <c r="CH1377">
        <f>$C1377*CH1376</f>
        <v/>
      </c>
      <c r="CI1377">
        <f>$C1377*CI1376</f>
        <v/>
      </c>
      <c r="CJ1377">
        <f>$C1377*CJ1376</f>
        <v/>
      </c>
      <c r="CK1377">
        <f>$C1377*CK1376</f>
        <v/>
      </c>
      <c r="CL1377">
        <f>$C1377*CL1376</f>
        <v/>
      </c>
      <c r="CM1377">
        <f>$C1377*CM1376</f>
        <v/>
      </c>
      <c r="CN1377">
        <f>$C1377*CN1376</f>
        <v/>
      </c>
      <c r="CO1377">
        <f>$C1377*CO1376</f>
        <v/>
      </c>
      <c r="CP1377">
        <f>$C1377*CP1376</f>
        <v/>
      </c>
      <c r="CQ1377">
        <f>$C1377*CQ1376</f>
        <v/>
      </c>
      <c r="CR1377">
        <f>$C1377*CR1376</f>
        <v/>
      </c>
      <c r="CS1377">
        <f>$C1377*CS1376</f>
        <v/>
      </c>
      <c r="CT1377">
        <f>$C1377*CT1376</f>
        <v/>
      </c>
      <c r="CU1377">
        <f>$C1377*CU1376</f>
        <v/>
      </c>
      <c r="CV1377">
        <f>$C1377*CV1376</f>
        <v/>
      </c>
      <c r="CW1377">
        <f>$C1377*CW1376</f>
        <v/>
      </c>
      <c r="CX1377">
        <f>$C1377*CX1376</f>
        <v/>
      </c>
      <c r="CY1377">
        <f>$C1377*CY1376</f>
        <v/>
      </c>
      <c r="CZ1377">
        <f>$C1377*CZ1376</f>
        <v/>
      </c>
      <c r="DA1377">
        <f>$C1377*DA1376</f>
        <v/>
      </c>
      <c r="DB1377">
        <f>$C1377*DB1376</f>
        <v/>
      </c>
      <c r="DC1377">
        <f>$C1377*DC1376</f>
        <v/>
      </c>
      <c r="DD1377">
        <f>$C1377*DD1376</f>
        <v/>
      </c>
    </row>
    <row r="1378">
      <c r="B1378" t="inlineStr">
        <is>
          <t>TSP-935</t>
        </is>
      </c>
      <c r="C1378" t="inlineStr">
        <is>
          <t>No. of batches</t>
        </is>
      </c>
      <c r="D1378">
        <f>IFERROR(INDEX(E1378:DD1378,$F$1),"")</f>
        <v/>
      </c>
      <c r="E1378">
        <f>IFERROR(INDEX(PP_Grid[#Data],$DE1378,2),0)</f>
        <v/>
      </c>
      <c r="F1378">
        <f>IFERROR(INDEX(PP_Grid[#Data],$DE1378,3),0)</f>
        <v/>
      </c>
      <c r="G1378">
        <f>IFERROR(INDEX(PP_Grid[#Data],$DE1378,4),0)</f>
        <v/>
      </c>
      <c r="H1378">
        <f>IFERROR(INDEX(PP_Grid[#Data],$DE1378,5),0)</f>
        <v/>
      </c>
      <c r="I1378">
        <f>IFERROR(INDEX(PP_Grid[#Data],$DE1378,6),0)</f>
        <v/>
      </c>
      <c r="J1378">
        <f>IFERROR(INDEX(PP_Grid[#Data],$DE1378,7),0)</f>
        <v/>
      </c>
      <c r="K1378">
        <f>IFERROR(INDEX(PP_Grid[#Data],$DE1378,8),0)</f>
        <v/>
      </c>
      <c r="L1378">
        <f>IFERROR(INDEX(PP_Grid[#Data],$DE1378,9),0)</f>
        <v/>
      </c>
      <c r="M1378">
        <f>IFERROR(INDEX(PP_Grid[#Data],$DE1378,10),0)</f>
        <v/>
      </c>
      <c r="N1378">
        <f>IFERROR(INDEX(PP_Grid[#Data],$DE1378,11),0)</f>
        <v/>
      </c>
      <c r="O1378">
        <f>IFERROR(INDEX(PP_Grid[#Data],$DE1378,12),0)</f>
        <v/>
      </c>
      <c r="P1378">
        <f>IFERROR(INDEX(PP_Grid[#Data],$DE1378,13),0)</f>
        <v/>
      </c>
      <c r="Q1378">
        <f>IFERROR(INDEX(PP_Grid[#Data],$DE1378,14),0)</f>
        <v/>
      </c>
      <c r="R1378">
        <f>IFERROR(INDEX(PP_Grid[#Data],$DE1378,15),0)</f>
        <v/>
      </c>
      <c r="S1378">
        <f>IFERROR(INDEX(PP_Grid[#Data],$DE1378,16),0)</f>
        <v/>
      </c>
      <c r="T1378">
        <f>IFERROR(INDEX(PP_Grid[#Data],$DE1378,17),0)</f>
        <v/>
      </c>
      <c r="U1378">
        <f>IFERROR(INDEX(PP_Grid[#Data],$DE1378,18),0)</f>
        <v/>
      </c>
      <c r="V1378">
        <f>IFERROR(INDEX(PP_Grid[#Data],$DE1378,19),0)</f>
        <v/>
      </c>
      <c r="W1378">
        <f>IFERROR(INDEX(PP_Grid[#Data],$DE1378,20),0)</f>
        <v/>
      </c>
      <c r="X1378">
        <f>IFERROR(INDEX(PP_Grid[#Data],$DE1378,21),0)</f>
        <v/>
      </c>
      <c r="Y1378">
        <f>IFERROR(INDEX(PP_Grid[#Data],$DE1378,22),0)</f>
        <v/>
      </c>
      <c r="Z1378">
        <f>IFERROR(INDEX(PP_Grid[#Data],$DE1378,23),0)</f>
        <v/>
      </c>
      <c r="AA1378">
        <f>IFERROR(INDEX(PP_Grid[#Data],$DE1378,24),0)</f>
        <v/>
      </c>
      <c r="AB1378">
        <f>IFERROR(INDEX(PP_Grid[#Data],$DE1378,25),0)</f>
        <v/>
      </c>
      <c r="AC1378">
        <f>IFERROR(INDEX(PP_Grid[#Data],$DE1378,26),0)</f>
        <v/>
      </c>
      <c r="AD1378">
        <f>IFERROR(INDEX(PP_Grid[#Data],$DE1378,27),0)</f>
        <v/>
      </c>
      <c r="AE1378">
        <f>IFERROR(INDEX(PP_Grid[#Data],$DE1378,28),0)</f>
        <v/>
      </c>
      <c r="AF1378">
        <f>IFERROR(INDEX(PP_Grid[#Data],$DE1378,29),0)</f>
        <v/>
      </c>
      <c r="AG1378">
        <f>IFERROR(INDEX(PP_Grid[#Data],$DE1378,30),0)</f>
        <v/>
      </c>
      <c r="AH1378">
        <f>IFERROR(INDEX(PP_Grid[#Data],$DE1378,31),0)</f>
        <v/>
      </c>
      <c r="AI1378">
        <f>IFERROR(INDEX(PP_Grid[#Data],$DE1378,32),0)</f>
        <v/>
      </c>
      <c r="AJ1378">
        <f>IFERROR(INDEX(PP_Grid[#Data],$DE1378,33),0)</f>
        <v/>
      </c>
      <c r="AK1378">
        <f>IFERROR(INDEX(PP_Grid[#Data],$DE1378,34),0)</f>
        <v/>
      </c>
      <c r="AL1378">
        <f>IFERROR(INDEX(PP_Grid[#Data],$DE1378,35),0)</f>
        <v/>
      </c>
      <c r="AM1378">
        <f>IFERROR(INDEX(PP_Grid[#Data],$DE1378,36),0)</f>
        <v/>
      </c>
      <c r="AN1378">
        <f>IFERROR(INDEX(PP_Grid[#Data],$DE1378,37),0)</f>
        <v/>
      </c>
      <c r="AO1378">
        <f>IFERROR(INDEX(PP_Grid[#Data],$DE1378,38),0)</f>
        <v/>
      </c>
      <c r="AP1378">
        <f>IFERROR(INDEX(PP_Grid[#Data],$DE1378,39),0)</f>
        <v/>
      </c>
      <c r="AQ1378">
        <f>IFERROR(INDEX(PP_Grid[#Data],$DE1378,40),0)</f>
        <v/>
      </c>
      <c r="AR1378">
        <f>IFERROR(INDEX(PP_Grid[#Data],$DE1378,41),0)</f>
        <v/>
      </c>
      <c r="AS1378">
        <f>IFERROR(INDEX(PP_Grid[#Data],$DE1378,42),0)</f>
        <v/>
      </c>
      <c r="AT1378">
        <f>IFERROR(INDEX(PP_Grid[#Data],$DE1378,43),0)</f>
        <v/>
      </c>
      <c r="AU1378">
        <f>IFERROR(INDEX(PP_Grid[#Data],$DE1378,44),0)</f>
        <v/>
      </c>
      <c r="AV1378">
        <f>IFERROR(INDEX(PP_Grid[#Data],$DE1378,45),0)</f>
        <v/>
      </c>
      <c r="AW1378">
        <f>IFERROR(INDEX(PP_Grid[#Data],$DE1378,46),0)</f>
        <v/>
      </c>
      <c r="AX1378">
        <f>IFERROR(INDEX(PP_Grid[#Data],$DE1378,47),0)</f>
        <v/>
      </c>
      <c r="AY1378">
        <f>IFERROR(INDEX(PP_Grid[#Data],$DE1378,48),0)</f>
        <v/>
      </c>
      <c r="AZ1378">
        <f>IFERROR(INDEX(PP_Grid[#Data],$DE1378,49),0)</f>
        <v/>
      </c>
      <c r="BA1378">
        <f>IFERROR(INDEX(PP_Grid[#Data],$DE1378,50),0)</f>
        <v/>
      </c>
      <c r="BB1378">
        <f>IFERROR(INDEX(PP_Grid[#Data],$DE1378,51),0)</f>
        <v/>
      </c>
      <c r="BC1378">
        <f>IFERROR(INDEX(PP_Grid[#Data],$DE1378,52),0)</f>
        <v/>
      </c>
      <c r="BD1378">
        <f>IFERROR(INDEX(PP_Grid[#Data],$DE1378,53),0)</f>
        <v/>
      </c>
      <c r="BE1378">
        <f>IFERROR(INDEX(PP_Grid[#Data],$DE1378,54),0)</f>
        <v/>
      </c>
      <c r="BF1378">
        <f>IFERROR(INDEX(PP_Grid[#Data],$DE1378,55),0)</f>
        <v/>
      </c>
      <c r="BG1378">
        <f>IFERROR(INDEX(PP_Grid[#Data],$DE1378,56),0)</f>
        <v/>
      </c>
      <c r="BH1378">
        <f>IFERROR(INDEX(PP_Grid[#Data],$DE1378,57),0)</f>
        <v/>
      </c>
      <c r="BI1378">
        <f>IFERROR(INDEX(PP_Grid[#Data],$DE1378,58),0)</f>
        <v/>
      </c>
      <c r="BJ1378">
        <f>IFERROR(INDEX(PP_Grid[#Data],$DE1378,59),0)</f>
        <v/>
      </c>
      <c r="BK1378">
        <f>IFERROR(INDEX(PP_Grid[#Data],$DE1378,60),0)</f>
        <v/>
      </c>
      <c r="BL1378">
        <f>IFERROR(INDEX(PP_Grid[#Data],$DE1378,61),0)</f>
        <v/>
      </c>
      <c r="BM1378">
        <f>IFERROR(INDEX(PP_Grid[#Data],$DE1378,62),0)</f>
        <v/>
      </c>
      <c r="BN1378">
        <f>IFERROR(INDEX(PP_Grid[#Data],$DE1378,63),0)</f>
        <v/>
      </c>
      <c r="BO1378">
        <f>IFERROR(INDEX(PP_Grid[#Data],$DE1378,64),0)</f>
        <v/>
      </c>
      <c r="BP1378">
        <f>IFERROR(INDEX(PP_Grid[#Data],$DE1378,65),0)</f>
        <v/>
      </c>
      <c r="BQ1378">
        <f>IFERROR(INDEX(PP_Grid[#Data],$DE1378,66),0)</f>
        <v/>
      </c>
      <c r="BR1378">
        <f>IFERROR(INDEX(PP_Grid[#Data],$DE1378,67),0)</f>
        <v/>
      </c>
      <c r="BS1378">
        <f>IFERROR(INDEX(PP_Grid[#Data],$DE1378,68),0)</f>
        <v/>
      </c>
      <c r="BT1378">
        <f>IFERROR(INDEX(PP_Grid[#Data],$DE1378,69),0)</f>
        <v/>
      </c>
      <c r="BU1378">
        <f>IFERROR(INDEX(PP_Grid[#Data],$DE1378,70),0)</f>
        <v/>
      </c>
      <c r="BV1378">
        <f>IFERROR(INDEX(PP_Grid[#Data],$DE1378,71),0)</f>
        <v/>
      </c>
      <c r="BW1378">
        <f>IFERROR(INDEX(PP_Grid[#Data],$DE1378,72),0)</f>
        <v/>
      </c>
      <c r="BX1378">
        <f>IFERROR(INDEX(PP_Grid[#Data],$DE1378,73),0)</f>
        <v/>
      </c>
      <c r="BY1378">
        <f>IFERROR(INDEX(PP_Grid[#Data],$DE1378,74),0)</f>
        <v/>
      </c>
      <c r="BZ1378">
        <f>IFERROR(INDEX(PP_Grid[#Data],$DE1378,75),0)</f>
        <v/>
      </c>
      <c r="CA1378">
        <f>IFERROR(INDEX(PP_Grid[#Data],$DE1378,76),0)</f>
        <v/>
      </c>
      <c r="CB1378">
        <f>IFERROR(INDEX(PP_Grid[#Data],$DE1378,77),0)</f>
        <v/>
      </c>
      <c r="CC1378">
        <f>IFERROR(INDEX(PP_Grid[#Data],$DE1378,78),0)</f>
        <v/>
      </c>
      <c r="CD1378">
        <f>IFERROR(INDEX(PP_Grid[#Data],$DE1378,79),0)</f>
        <v/>
      </c>
      <c r="CE1378">
        <f>IFERROR(INDEX(PP_Grid[#Data],$DE1378,80),0)</f>
        <v/>
      </c>
      <c r="CF1378">
        <f>IFERROR(INDEX(PP_Grid[#Data],$DE1378,81),0)</f>
        <v/>
      </c>
      <c r="CG1378">
        <f>IFERROR(INDEX(PP_Grid[#Data],$DE1378,82),0)</f>
        <v/>
      </c>
      <c r="CH1378">
        <f>IFERROR(INDEX(PP_Grid[#Data],$DE1378,83),0)</f>
        <v/>
      </c>
      <c r="CI1378">
        <f>IFERROR(INDEX(PP_Grid[#Data],$DE1378,84),0)</f>
        <v/>
      </c>
      <c r="CJ1378">
        <f>IFERROR(INDEX(PP_Grid[#Data],$DE1378,85),0)</f>
        <v/>
      </c>
      <c r="CK1378">
        <f>IFERROR(INDEX(PP_Grid[#Data],$DE1378,86),0)</f>
        <v/>
      </c>
      <c r="CL1378">
        <f>IFERROR(INDEX(PP_Grid[#Data],$DE1378,87),0)</f>
        <v/>
      </c>
      <c r="CM1378">
        <f>IFERROR(INDEX(PP_Grid[#Data],$DE1378,88),0)</f>
        <v/>
      </c>
      <c r="CN1378">
        <f>IFERROR(INDEX(PP_Grid[#Data],$DE1378,89),0)</f>
        <v/>
      </c>
      <c r="CO1378">
        <f>IFERROR(INDEX(PP_Grid[#Data],$DE1378,90),0)</f>
        <v/>
      </c>
      <c r="CP1378">
        <f>IFERROR(INDEX(PP_Grid[#Data],$DE1378,91),0)</f>
        <v/>
      </c>
      <c r="CQ1378">
        <f>IFERROR(INDEX(PP_Grid[#Data],$DE1378,92),0)</f>
        <v/>
      </c>
      <c r="CR1378">
        <f>IFERROR(INDEX(PP_Grid[#Data],$DE1378,93),0)</f>
        <v/>
      </c>
      <c r="CS1378">
        <f>IFERROR(INDEX(PP_Grid[#Data],$DE1378,94),0)</f>
        <v/>
      </c>
      <c r="CT1378">
        <f>IFERROR(INDEX(PP_Grid[#Data],$DE1378,95),0)</f>
        <v/>
      </c>
      <c r="CU1378">
        <f>IFERROR(INDEX(PP_Grid[#Data],$DE1378,96),0)</f>
        <v/>
      </c>
      <c r="CV1378">
        <f>IFERROR(INDEX(PP_Grid[#Data],$DE1378,97),0)</f>
        <v/>
      </c>
      <c r="CW1378">
        <f>IFERROR(INDEX(PP_Grid[#Data],$DE1378,98),0)</f>
        <v/>
      </c>
      <c r="CX1378">
        <f>IFERROR(INDEX(PP_Grid[#Data],$DE1378,99),0)</f>
        <v/>
      </c>
      <c r="CY1378">
        <f>IFERROR(INDEX(PP_Grid[#Data],$DE1378,100),0)</f>
        <v/>
      </c>
      <c r="CZ1378">
        <f>IFERROR(INDEX(PP_Grid[#Data],$DE1378,101),0)</f>
        <v/>
      </c>
      <c r="DA1378">
        <f>IFERROR(INDEX(PP_Grid[#Data],$DE1378,102),0)</f>
        <v/>
      </c>
      <c r="DB1378">
        <f>IFERROR(INDEX(PP_Grid[#Data],$DE1378,103),0)</f>
        <v/>
      </c>
      <c r="DC1378">
        <f>IFERROR(INDEX(PP_Grid[#Data],$DE1378,104),0)</f>
        <v/>
      </c>
      <c r="DD1378">
        <f>IFERROR(INDEX(PP_Grid[#Data],$DE1378,105),0)</f>
        <v/>
      </c>
      <c r="DE1378" s="7">
        <f>IFERROR(MATCH($B1378,PP_Grid[Intermediate],0),99999)</f>
        <v/>
      </c>
    </row>
    <row r="1379">
      <c r="B1379" t="inlineStr">
        <is>
          <t>使用量(kg)</t>
        </is>
      </c>
      <c r="C1379">
        <f>SUMIFS(M_BOM[RM_Qty_Per_Batch],M_BOM[Intermediate],$B1378,M_BOM[RM_Code],$A1371)</f>
        <v/>
      </c>
      <c r="D1379">
        <f>IFERROR(INDEX(E1379:DD1379,$F$1),"")</f>
        <v/>
      </c>
      <c r="E1379">
        <f>$C1379*E1378</f>
        <v/>
      </c>
      <c r="F1379">
        <f>$C1379*F1378</f>
        <v/>
      </c>
      <c r="G1379">
        <f>$C1379*G1378</f>
        <v/>
      </c>
      <c r="H1379">
        <f>$C1379*H1378</f>
        <v/>
      </c>
      <c r="I1379">
        <f>$C1379*I1378</f>
        <v/>
      </c>
      <c r="J1379">
        <f>$C1379*J1378</f>
        <v/>
      </c>
      <c r="K1379">
        <f>$C1379*K1378</f>
        <v/>
      </c>
      <c r="L1379">
        <f>$C1379*L1378</f>
        <v/>
      </c>
      <c r="M1379">
        <f>$C1379*M1378</f>
        <v/>
      </c>
      <c r="N1379">
        <f>$C1379*N1378</f>
        <v/>
      </c>
      <c r="O1379">
        <f>$C1379*O1378</f>
        <v/>
      </c>
      <c r="P1379">
        <f>$C1379*P1378</f>
        <v/>
      </c>
      <c r="Q1379">
        <f>$C1379*Q1378</f>
        <v/>
      </c>
      <c r="R1379">
        <f>$C1379*R1378</f>
        <v/>
      </c>
      <c r="S1379">
        <f>$C1379*S1378</f>
        <v/>
      </c>
      <c r="T1379">
        <f>$C1379*T1378</f>
        <v/>
      </c>
      <c r="U1379">
        <f>$C1379*U1378</f>
        <v/>
      </c>
      <c r="V1379">
        <f>$C1379*V1378</f>
        <v/>
      </c>
      <c r="W1379">
        <f>$C1379*W1378</f>
        <v/>
      </c>
      <c r="X1379">
        <f>$C1379*X1378</f>
        <v/>
      </c>
      <c r="Y1379">
        <f>$C1379*Y1378</f>
        <v/>
      </c>
      <c r="Z1379">
        <f>$C1379*Z1378</f>
        <v/>
      </c>
      <c r="AA1379">
        <f>$C1379*AA1378</f>
        <v/>
      </c>
      <c r="AB1379">
        <f>$C1379*AB1378</f>
        <v/>
      </c>
      <c r="AC1379">
        <f>$C1379*AC1378</f>
        <v/>
      </c>
      <c r="AD1379">
        <f>$C1379*AD1378</f>
        <v/>
      </c>
      <c r="AE1379">
        <f>$C1379*AE1378</f>
        <v/>
      </c>
      <c r="AF1379">
        <f>$C1379*AF1378</f>
        <v/>
      </c>
      <c r="AG1379">
        <f>$C1379*AG1378</f>
        <v/>
      </c>
      <c r="AH1379">
        <f>$C1379*AH1378</f>
        <v/>
      </c>
      <c r="AI1379">
        <f>$C1379*AI1378</f>
        <v/>
      </c>
      <c r="AJ1379">
        <f>$C1379*AJ1378</f>
        <v/>
      </c>
      <c r="AK1379">
        <f>$C1379*AK1378</f>
        <v/>
      </c>
      <c r="AL1379">
        <f>$C1379*AL1378</f>
        <v/>
      </c>
      <c r="AM1379">
        <f>$C1379*AM1378</f>
        <v/>
      </c>
      <c r="AN1379">
        <f>$C1379*AN1378</f>
        <v/>
      </c>
      <c r="AO1379">
        <f>$C1379*AO1378</f>
        <v/>
      </c>
      <c r="AP1379">
        <f>$C1379*AP1378</f>
        <v/>
      </c>
      <c r="AQ1379">
        <f>$C1379*AQ1378</f>
        <v/>
      </c>
      <c r="AR1379">
        <f>$C1379*AR1378</f>
        <v/>
      </c>
      <c r="AS1379">
        <f>$C1379*AS1378</f>
        <v/>
      </c>
      <c r="AT1379">
        <f>$C1379*AT1378</f>
        <v/>
      </c>
      <c r="AU1379">
        <f>$C1379*AU1378</f>
        <v/>
      </c>
      <c r="AV1379">
        <f>$C1379*AV1378</f>
        <v/>
      </c>
      <c r="AW1379">
        <f>$C1379*AW1378</f>
        <v/>
      </c>
      <c r="AX1379">
        <f>$C1379*AX1378</f>
        <v/>
      </c>
      <c r="AY1379">
        <f>$C1379*AY1378</f>
        <v/>
      </c>
      <c r="AZ1379">
        <f>$C1379*AZ1378</f>
        <v/>
      </c>
      <c r="BA1379">
        <f>$C1379*BA1378</f>
        <v/>
      </c>
      <c r="BB1379">
        <f>$C1379*BB1378</f>
        <v/>
      </c>
      <c r="BC1379">
        <f>$C1379*BC1378</f>
        <v/>
      </c>
      <c r="BD1379">
        <f>$C1379*BD1378</f>
        <v/>
      </c>
      <c r="BE1379">
        <f>$C1379*BE1378</f>
        <v/>
      </c>
      <c r="BF1379">
        <f>$C1379*BF1378</f>
        <v/>
      </c>
      <c r="BG1379">
        <f>$C1379*BG1378</f>
        <v/>
      </c>
      <c r="BH1379">
        <f>$C1379*BH1378</f>
        <v/>
      </c>
      <c r="BI1379">
        <f>$C1379*BI1378</f>
        <v/>
      </c>
      <c r="BJ1379">
        <f>$C1379*BJ1378</f>
        <v/>
      </c>
      <c r="BK1379">
        <f>$C1379*BK1378</f>
        <v/>
      </c>
      <c r="BL1379">
        <f>$C1379*BL1378</f>
        <v/>
      </c>
      <c r="BM1379">
        <f>$C1379*BM1378</f>
        <v/>
      </c>
      <c r="BN1379">
        <f>$C1379*BN1378</f>
        <v/>
      </c>
      <c r="BO1379">
        <f>$C1379*BO1378</f>
        <v/>
      </c>
      <c r="BP1379">
        <f>$C1379*BP1378</f>
        <v/>
      </c>
      <c r="BQ1379">
        <f>$C1379*BQ1378</f>
        <v/>
      </c>
      <c r="BR1379">
        <f>$C1379*BR1378</f>
        <v/>
      </c>
      <c r="BS1379">
        <f>$C1379*BS1378</f>
        <v/>
      </c>
      <c r="BT1379">
        <f>$C1379*BT1378</f>
        <v/>
      </c>
      <c r="BU1379">
        <f>$C1379*BU1378</f>
        <v/>
      </c>
      <c r="BV1379">
        <f>$C1379*BV1378</f>
        <v/>
      </c>
      <c r="BW1379">
        <f>$C1379*BW1378</f>
        <v/>
      </c>
      <c r="BX1379">
        <f>$C1379*BX1378</f>
        <v/>
      </c>
      <c r="BY1379">
        <f>$C1379*BY1378</f>
        <v/>
      </c>
      <c r="BZ1379">
        <f>$C1379*BZ1378</f>
        <v/>
      </c>
      <c r="CA1379">
        <f>$C1379*CA1378</f>
        <v/>
      </c>
      <c r="CB1379">
        <f>$C1379*CB1378</f>
        <v/>
      </c>
      <c r="CC1379">
        <f>$C1379*CC1378</f>
        <v/>
      </c>
      <c r="CD1379">
        <f>$C1379*CD1378</f>
        <v/>
      </c>
      <c r="CE1379">
        <f>$C1379*CE1378</f>
        <v/>
      </c>
      <c r="CF1379">
        <f>$C1379*CF1378</f>
        <v/>
      </c>
      <c r="CG1379">
        <f>$C1379*CG1378</f>
        <v/>
      </c>
      <c r="CH1379">
        <f>$C1379*CH1378</f>
        <v/>
      </c>
      <c r="CI1379">
        <f>$C1379*CI1378</f>
        <v/>
      </c>
      <c r="CJ1379">
        <f>$C1379*CJ1378</f>
        <v/>
      </c>
      <c r="CK1379">
        <f>$C1379*CK1378</f>
        <v/>
      </c>
      <c r="CL1379">
        <f>$C1379*CL1378</f>
        <v/>
      </c>
      <c r="CM1379">
        <f>$C1379*CM1378</f>
        <v/>
      </c>
      <c r="CN1379">
        <f>$C1379*CN1378</f>
        <v/>
      </c>
      <c r="CO1379">
        <f>$C1379*CO1378</f>
        <v/>
      </c>
      <c r="CP1379">
        <f>$C1379*CP1378</f>
        <v/>
      </c>
      <c r="CQ1379">
        <f>$C1379*CQ1378</f>
        <v/>
      </c>
      <c r="CR1379">
        <f>$C1379*CR1378</f>
        <v/>
      </c>
      <c r="CS1379">
        <f>$C1379*CS1378</f>
        <v/>
      </c>
      <c r="CT1379">
        <f>$C1379*CT1378</f>
        <v/>
      </c>
      <c r="CU1379">
        <f>$C1379*CU1378</f>
        <v/>
      </c>
      <c r="CV1379">
        <f>$C1379*CV1378</f>
        <v/>
      </c>
      <c r="CW1379">
        <f>$C1379*CW1378</f>
        <v/>
      </c>
      <c r="CX1379">
        <f>$C1379*CX1378</f>
        <v/>
      </c>
      <c r="CY1379">
        <f>$C1379*CY1378</f>
        <v/>
      </c>
      <c r="CZ1379">
        <f>$C1379*CZ1378</f>
        <v/>
      </c>
      <c r="DA1379">
        <f>$C1379*DA1378</f>
        <v/>
      </c>
      <c r="DB1379">
        <f>$C1379*DB1378</f>
        <v/>
      </c>
      <c r="DC1379">
        <f>$C1379*DC1378</f>
        <v/>
      </c>
      <c r="DD1379">
        <f>$C1379*DD1378</f>
        <v/>
      </c>
    </row>
    <row r="1380">
      <c r="B1380" t="inlineStr">
        <is>
          <t>TSP-936</t>
        </is>
      </c>
      <c r="C1380" t="inlineStr">
        <is>
          <t>No. of batches</t>
        </is>
      </c>
      <c r="D1380">
        <f>IFERROR(INDEX(E1380:DD1380,$F$1),"")</f>
        <v/>
      </c>
      <c r="E1380">
        <f>IFERROR(INDEX(PP_Grid[#Data],$DE1380,2),0)</f>
        <v/>
      </c>
      <c r="F1380">
        <f>IFERROR(INDEX(PP_Grid[#Data],$DE1380,3),0)</f>
        <v/>
      </c>
      <c r="G1380">
        <f>IFERROR(INDEX(PP_Grid[#Data],$DE1380,4),0)</f>
        <v/>
      </c>
      <c r="H1380">
        <f>IFERROR(INDEX(PP_Grid[#Data],$DE1380,5),0)</f>
        <v/>
      </c>
      <c r="I1380">
        <f>IFERROR(INDEX(PP_Grid[#Data],$DE1380,6),0)</f>
        <v/>
      </c>
      <c r="J1380">
        <f>IFERROR(INDEX(PP_Grid[#Data],$DE1380,7),0)</f>
        <v/>
      </c>
      <c r="K1380">
        <f>IFERROR(INDEX(PP_Grid[#Data],$DE1380,8),0)</f>
        <v/>
      </c>
      <c r="L1380">
        <f>IFERROR(INDEX(PP_Grid[#Data],$DE1380,9),0)</f>
        <v/>
      </c>
      <c r="M1380">
        <f>IFERROR(INDEX(PP_Grid[#Data],$DE1380,10),0)</f>
        <v/>
      </c>
      <c r="N1380">
        <f>IFERROR(INDEX(PP_Grid[#Data],$DE1380,11),0)</f>
        <v/>
      </c>
      <c r="O1380">
        <f>IFERROR(INDEX(PP_Grid[#Data],$DE1380,12),0)</f>
        <v/>
      </c>
      <c r="P1380">
        <f>IFERROR(INDEX(PP_Grid[#Data],$DE1380,13),0)</f>
        <v/>
      </c>
      <c r="Q1380">
        <f>IFERROR(INDEX(PP_Grid[#Data],$DE1380,14),0)</f>
        <v/>
      </c>
      <c r="R1380">
        <f>IFERROR(INDEX(PP_Grid[#Data],$DE1380,15),0)</f>
        <v/>
      </c>
      <c r="S1380">
        <f>IFERROR(INDEX(PP_Grid[#Data],$DE1380,16),0)</f>
        <v/>
      </c>
      <c r="T1380">
        <f>IFERROR(INDEX(PP_Grid[#Data],$DE1380,17),0)</f>
        <v/>
      </c>
      <c r="U1380">
        <f>IFERROR(INDEX(PP_Grid[#Data],$DE1380,18),0)</f>
        <v/>
      </c>
      <c r="V1380">
        <f>IFERROR(INDEX(PP_Grid[#Data],$DE1380,19),0)</f>
        <v/>
      </c>
      <c r="W1380">
        <f>IFERROR(INDEX(PP_Grid[#Data],$DE1380,20),0)</f>
        <v/>
      </c>
      <c r="X1380">
        <f>IFERROR(INDEX(PP_Grid[#Data],$DE1380,21),0)</f>
        <v/>
      </c>
      <c r="Y1380">
        <f>IFERROR(INDEX(PP_Grid[#Data],$DE1380,22),0)</f>
        <v/>
      </c>
      <c r="Z1380">
        <f>IFERROR(INDEX(PP_Grid[#Data],$DE1380,23),0)</f>
        <v/>
      </c>
      <c r="AA1380">
        <f>IFERROR(INDEX(PP_Grid[#Data],$DE1380,24),0)</f>
        <v/>
      </c>
      <c r="AB1380">
        <f>IFERROR(INDEX(PP_Grid[#Data],$DE1380,25),0)</f>
        <v/>
      </c>
      <c r="AC1380">
        <f>IFERROR(INDEX(PP_Grid[#Data],$DE1380,26),0)</f>
        <v/>
      </c>
      <c r="AD1380">
        <f>IFERROR(INDEX(PP_Grid[#Data],$DE1380,27),0)</f>
        <v/>
      </c>
      <c r="AE1380">
        <f>IFERROR(INDEX(PP_Grid[#Data],$DE1380,28),0)</f>
        <v/>
      </c>
      <c r="AF1380">
        <f>IFERROR(INDEX(PP_Grid[#Data],$DE1380,29),0)</f>
        <v/>
      </c>
      <c r="AG1380">
        <f>IFERROR(INDEX(PP_Grid[#Data],$DE1380,30),0)</f>
        <v/>
      </c>
      <c r="AH1380">
        <f>IFERROR(INDEX(PP_Grid[#Data],$DE1380,31),0)</f>
        <v/>
      </c>
      <c r="AI1380">
        <f>IFERROR(INDEX(PP_Grid[#Data],$DE1380,32),0)</f>
        <v/>
      </c>
      <c r="AJ1380">
        <f>IFERROR(INDEX(PP_Grid[#Data],$DE1380,33),0)</f>
        <v/>
      </c>
      <c r="AK1380">
        <f>IFERROR(INDEX(PP_Grid[#Data],$DE1380,34),0)</f>
        <v/>
      </c>
      <c r="AL1380">
        <f>IFERROR(INDEX(PP_Grid[#Data],$DE1380,35),0)</f>
        <v/>
      </c>
      <c r="AM1380">
        <f>IFERROR(INDEX(PP_Grid[#Data],$DE1380,36),0)</f>
        <v/>
      </c>
      <c r="AN1380">
        <f>IFERROR(INDEX(PP_Grid[#Data],$DE1380,37),0)</f>
        <v/>
      </c>
      <c r="AO1380">
        <f>IFERROR(INDEX(PP_Grid[#Data],$DE1380,38),0)</f>
        <v/>
      </c>
      <c r="AP1380">
        <f>IFERROR(INDEX(PP_Grid[#Data],$DE1380,39),0)</f>
        <v/>
      </c>
      <c r="AQ1380">
        <f>IFERROR(INDEX(PP_Grid[#Data],$DE1380,40),0)</f>
        <v/>
      </c>
      <c r="AR1380">
        <f>IFERROR(INDEX(PP_Grid[#Data],$DE1380,41),0)</f>
        <v/>
      </c>
      <c r="AS1380">
        <f>IFERROR(INDEX(PP_Grid[#Data],$DE1380,42),0)</f>
        <v/>
      </c>
      <c r="AT1380">
        <f>IFERROR(INDEX(PP_Grid[#Data],$DE1380,43),0)</f>
        <v/>
      </c>
      <c r="AU1380">
        <f>IFERROR(INDEX(PP_Grid[#Data],$DE1380,44),0)</f>
        <v/>
      </c>
      <c r="AV1380">
        <f>IFERROR(INDEX(PP_Grid[#Data],$DE1380,45),0)</f>
        <v/>
      </c>
      <c r="AW1380">
        <f>IFERROR(INDEX(PP_Grid[#Data],$DE1380,46),0)</f>
        <v/>
      </c>
      <c r="AX1380">
        <f>IFERROR(INDEX(PP_Grid[#Data],$DE1380,47),0)</f>
        <v/>
      </c>
      <c r="AY1380">
        <f>IFERROR(INDEX(PP_Grid[#Data],$DE1380,48),0)</f>
        <v/>
      </c>
      <c r="AZ1380">
        <f>IFERROR(INDEX(PP_Grid[#Data],$DE1380,49),0)</f>
        <v/>
      </c>
      <c r="BA1380">
        <f>IFERROR(INDEX(PP_Grid[#Data],$DE1380,50),0)</f>
        <v/>
      </c>
      <c r="BB1380">
        <f>IFERROR(INDEX(PP_Grid[#Data],$DE1380,51),0)</f>
        <v/>
      </c>
      <c r="BC1380">
        <f>IFERROR(INDEX(PP_Grid[#Data],$DE1380,52),0)</f>
        <v/>
      </c>
      <c r="BD1380">
        <f>IFERROR(INDEX(PP_Grid[#Data],$DE1380,53),0)</f>
        <v/>
      </c>
      <c r="BE1380">
        <f>IFERROR(INDEX(PP_Grid[#Data],$DE1380,54),0)</f>
        <v/>
      </c>
      <c r="BF1380">
        <f>IFERROR(INDEX(PP_Grid[#Data],$DE1380,55),0)</f>
        <v/>
      </c>
      <c r="BG1380">
        <f>IFERROR(INDEX(PP_Grid[#Data],$DE1380,56),0)</f>
        <v/>
      </c>
      <c r="BH1380">
        <f>IFERROR(INDEX(PP_Grid[#Data],$DE1380,57),0)</f>
        <v/>
      </c>
      <c r="BI1380">
        <f>IFERROR(INDEX(PP_Grid[#Data],$DE1380,58),0)</f>
        <v/>
      </c>
      <c r="BJ1380">
        <f>IFERROR(INDEX(PP_Grid[#Data],$DE1380,59),0)</f>
        <v/>
      </c>
      <c r="BK1380">
        <f>IFERROR(INDEX(PP_Grid[#Data],$DE1380,60),0)</f>
        <v/>
      </c>
      <c r="BL1380">
        <f>IFERROR(INDEX(PP_Grid[#Data],$DE1380,61),0)</f>
        <v/>
      </c>
      <c r="BM1380">
        <f>IFERROR(INDEX(PP_Grid[#Data],$DE1380,62),0)</f>
        <v/>
      </c>
      <c r="BN1380">
        <f>IFERROR(INDEX(PP_Grid[#Data],$DE1380,63),0)</f>
        <v/>
      </c>
      <c r="BO1380">
        <f>IFERROR(INDEX(PP_Grid[#Data],$DE1380,64),0)</f>
        <v/>
      </c>
      <c r="BP1380">
        <f>IFERROR(INDEX(PP_Grid[#Data],$DE1380,65),0)</f>
        <v/>
      </c>
      <c r="BQ1380">
        <f>IFERROR(INDEX(PP_Grid[#Data],$DE1380,66),0)</f>
        <v/>
      </c>
      <c r="BR1380">
        <f>IFERROR(INDEX(PP_Grid[#Data],$DE1380,67),0)</f>
        <v/>
      </c>
      <c r="BS1380">
        <f>IFERROR(INDEX(PP_Grid[#Data],$DE1380,68),0)</f>
        <v/>
      </c>
      <c r="BT1380">
        <f>IFERROR(INDEX(PP_Grid[#Data],$DE1380,69),0)</f>
        <v/>
      </c>
      <c r="BU1380">
        <f>IFERROR(INDEX(PP_Grid[#Data],$DE1380,70),0)</f>
        <v/>
      </c>
      <c r="BV1380">
        <f>IFERROR(INDEX(PP_Grid[#Data],$DE1380,71),0)</f>
        <v/>
      </c>
      <c r="BW1380">
        <f>IFERROR(INDEX(PP_Grid[#Data],$DE1380,72),0)</f>
        <v/>
      </c>
      <c r="BX1380">
        <f>IFERROR(INDEX(PP_Grid[#Data],$DE1380,73),0)</f>
        <v/>
      </c>
      <c r="BY1380">
        <f>IFERROR(INDEX(PP_Grid[#Data],$DE1380,74),0)</f>
        <v/>
      </c>
      <c r="BZ1380">
        <f>IFERROR(INDEX(PP_Grid[#Data],$DE1380,75),0)</f>
        <v/>
      </c>
      <c r="CA1380">
        <f>IFERROR(INDEX(PP_Grid[#Data],$DE1380,76),0)</f>
        <v/>
      </c>
      <c r="CB1380">
        <f>IFERROR(INDEX(PP_Grid[#Data],$DE1380,77),0)</f>
        <v/>
      </c>
      <c r="CC1380">
        <f>IFERROR(INDEX(PP_Grid[#Data],$DE1380,78),0)</f>
        <v/>
      </c>
      <c r="CD1380">
        <f>IFERROR(INDEX(PP_Grid[#Data],$DE1380,79),0)</f>
        <v/>
      </c>
      <c r="CE1380">
        <f>IFERROR(INDEX(PP_Grid[#Data],$DE1380,80),0)</f>
        <v/>
      </c>
      <c r="CF1380">
        <f>IFERROR(INDEX(PP_Grid[#Data],$DE1380,81),0)</f>
        <v/>
      </c>
      <c r="CG1380">
        <f>IFERROR(INDEX(PP_Grid[#Data],$DE1380,82),0)</f>
        <v/>
      </c>
      <c r="CH1380">
        <f>IFERROR(INDEX(PP_Grid[#Data],$DE1380,83),0)</f>
        <v/>
      </c>
      <c r="CI1380">
        <f>IFERROR(INDEX(PP_Grid[#Data],$DE1380,84),0)</f>
        <v/>
      </c>
      <c r="CJ1380">
        <f>IFERROR(INDEX(PP_Grid[#Data],$DE1380,85),0)</f>
        <v/>
      </c>
      <c r="CK1380">
        <f>IFERROR(INDEX(PP_Grid[#Data],$DE1380,86),0)</f>
        <v/>
      </c>
      <c r="CL1380">
        <f>IFERROR(INDEX(PP_Grid[#Data],$DE1380,87),0)</f>
        <v/>
      </c>
      <c r="CM1380">
        <f>IFERROR(INDEX(PP_Grid[#Data],$DE1380,88),0)</f>
        <v/>
      </c>
      <c r="CN1380">
        <f>IFERROR(INDEX(PP_Grid[#Data],$DE1380,89),0)</f>
        <v/>
      </c>
      <c r="CO1380">
        <f>IFERROR(INDEX(PP_Grid[#Data],$DE1380,90),0)</f>
        <v/>
      </c>
      <c r="CP1380">
        <f>IFERROR(INDEX(PP_Grid[#Data],$DE1380,91),0)</f>
        <v/>
      </c>
      <c r="CQ1380">
        <f>IFERROR(INDEX(PP_Grid[#Data],$DE1380,92),0)</f>
        <v/>
      </c>
      <c r="CR1380">
        <f>IFERROR(INDEX(PP_Grid[#Data],$DE1380,93),0)</f>
        <v/>
      </c>
      <c r="CS1380">
        <f>IFERROR(INDEX(PP_Grid[#Data],$DE1380,94),0)</f>
        <v/>
      </c>
      <c r="CT1380">
        <f>IFERROR(INDEX(PP_Grid[#Data],$DE1380,95),0)</f>
        <v/>
      </c>
      <c r="CU1380">
        <f>IFERROR(INDEX(PP_Grid[#Data],$DE1380,96),0)</f>
        <v/>
      </c>
      <c r="CV1380">
        <f>IFERROR(INDEX(PP_Grid[#Data],$DE1380,97),0)</f>
        <v/>
      </c>
      <c r="CW1380">
        <f>IFERROR(INDEX(PP_Grid[#Data],$DE1380,98),0)</f>
        <v/>
      </c>
      <c r="CX1380">
        <f>IFERROR(INDEX(PP_Grid[#Data],$DE1380,99),0)</f>
        <v/>
      </c>
      <c r="CY1380">
        <f>IFERROR(INDEX(PP_Grid[#Data],$DE1380,100),0)</f>
        <v/>
      </c>
      <c r="CZ1380">
        <f>IFERROR(INDEX(PP_Grid[#Data],$DE1380,101),0)</f>
        <v/>
      </c>
      <c r="DA1380">
        <f>IFERROR(INDEX(PP_Grid[#Data],$DE1380,102),0)</f>
        <v/>
      </c>
      <c r="DB1380">
        <f>IFERROR(INDEX(PP_Grid[#Data],$DE1380,103),0)</f>
        <v/>
      </c>
      <c r="DC1380">
        <f>IFERROR(INDEX(PP_Grid[#Data],$DE1380,104),0)</f>
        <v/>
      </c>
      <c r="DD1380">
        <f>IFERROR(INDEX(PP_Grid[#Data],$DE1380,105),0)</f>
        <v/>
      </c>
      <c r="DE1380" s="7">
        <f>IFERROR(MATCH($B1380,PP_Grid[Intermediate],0),99999)</f>
        <v/>
      </c>
    </row>
    <row r="1381">
      <c r="B1381" t="inlineStr">
        <is>
          <t>使用量(kg)</t>
        </is>
      </c>
      <c r="C1381">
        <f>SUMIFS(M_BOM[RM_Qty_Per_Batch],M_BOM[Intermediate],$B1380,M_BOM[RM_Code],$A1371)</f>
        <v/>
      </c>
      <c r="D1381">
        <f>IFERROR(INDEX(E1381:DD1381,$F$1),"")</f>
        <v/>
      </c>
      <c r="E1381">
        <f>$C1381*E1380</f>
        <v/>
      </c>
      <c r="F1381">
        <f>$C1381*F1380</f>
        <v/>
      </c>
      <c r="G1381">
        <f>$C1381*G1380</f>
        <v/>
      </c>
      <c r="H1381">
        <f>$C1381*H1380</f>
        <v/>
      </c>
      <c r="I1381">
        <f>$C1381*I1380</f>
        <v/>
      </c>
      <c r="J1381">
        <f>$C1381*J1380</f>
        <v/>
      </c>
      <c r="K1381">
        <f>$C1381*K1380</f>
        <v/>
      </c>
      <c r="L1381">
        <f>$C1381*L1380</f>
        <v/>
      </c>
      <c r="M1381">
        <f>$C1381*M1380</f>
        <v/>
      </c>
      <c r="N1381">
        <f>$C1381*N1380</f>
        <v/>
      </c>
      <c r="O1381">
        <f>$C1381*O1380</f>
        <v/>
      </c>
      <c r="P1381">
        <f>$C1381*P1380</f>
        <v/>
      </c>
      <c r="Q1381">
        <f>$C1381*Q1380</f>
        <v/>
      </c>
      <c r="R1381">
        <f>$C1381*R1380</f>
        <v/>
      </c>
      <c r="S1381">
        <f>$C1381*S1380</f>
        <v/>
      </c>
      <c r="T1381">
        <f>$C1381*T1380</f>
        <v/>
      </c>
      <c r="U1381">
        <f>$C1381*U1380</f>
        <v/>
      </c>
      <c r="V1381">
        <f>$C1381*V1380</f>
        <v/>
      </c>
      <c r="W1381">
        <f>$C1381*W1380</f>
        <v/>
      </c>
      <c r="X1381">
        <f>$C1381*X1380</f>
        <v/>
      </c>
      <c r="Y1381">
        <f>$C1381*Y1380</f>
        <v/>
      </c>
      <c r="Z1381">
        <f>$C1381*Z1380</f>
        <v/>
      </c>
      <c r="AA1381">
        <f>$C1381*AA1380</f>
        <v/>
      </c>
      <c r="AB1381">
        <f>$C1381*AB1380</f>
        <v/>
      </c>
      <c r="AC1381">
        <f>$C1381*AC1380</f>
        <v/>
      </c>
      <c r="AD1381">
        <f>$C1381*AD1380</f>
        <v/>
      </c>
      <c r="AE1381">
        <f>$C1381*AE1380</f>
        <v/>
      </c>
      <c r="AF1381">
        <f>$C1381*AF1380</f>
        <v/>
      </c>
      <c r="AG1381">
        <f>$C1381*AG1380</f>
        <v/>
      </c>
      <c r="AH1381">
        <f>$C1381*AH1380</f>
        <v/>
      </c>
      <c r="AI1381">
        <f>$C1381*AI1380</f>
        <v/>
      </c>
      <c r="AJ1381">
        <f>$C1381*AJ1380</f>
        <v/>
      </c>
      <c r="AK1381">
        <f>$C1381*AK1380</f>
        <v/>
      </c>
      <c r="AL1381">
        <f>$C1381*AL1380</f>
        <v/>
      </c>
      <c r="AM1381">
        <f>$C1381*AM1380</f>
        <v/>
      </c>
      <c r="AN1381">
        <f>$C1381*AN1380</f>
        <v/>
      </c>
      <c r="AO1381">
        <f>$C1381*AO1380</f>
        <v/>
      </c>
      <c r="AP1381">
        <f>$C1381*AP1380</f>
        <v/>
      </c>
      <c r="AQ1381">
        <f>$C1381*AQ1380</f>
        <v/>
      </c>
      <c r="AR1381">
        <f>$C1381*AR1380</f>
        <v/>
      </c>
      <c r="AS1381">
        <f>$C1381*AS1380</f>
        <v/>
      </c>
      <c r="AT1381">
        <f>$C1381*AT1380</f>
        <v/>
      </c>
      <c r="AU1381">
        <f>$C1381*AU1380</f>
        <v/>
      </c>
      <c r="AV1381">
        <f>$C1381*AV1380</f>
        <v/>
      </c>
      <c r="AW1381">
        <f>$C1381*AW1380</f>
        <v/>
      </c>
      <c r="AX1381">
        <f>$C1381*AX1380</f>
        <v/>
      </c>
      <c r="AY1381">
        <f>$C1381*AY1380</f>
        <v/>
      </c>
      <c r="AZ1381">
        <f>$C1381*AZ1380</f>
        <v/>
      </c>
      <c r="BA1381">
        <f>$C1381*BA1380</f>
        <v/>
      </c>
      <c r="BB1381">
        <f>$C1381*BB1380</f>
        <v/>
      </c>
      <c r="BC1381">
        <f>$C1381*BC1380</f>
        <v/>
      </c>
      <c r="BD1381">
        <f>$C1381*BD1380</f>
        <v/>
      </c>
      <c r="BE1381">
        <f>$C1381*BE1380</f>
        <v/>
      </c>
      <c r="BF1381">
        <f>$C1381*BF1380</f>
        <v/>
      </c>
      <c r="BG1381">
        <f>$C1381*BG1380</f>
        <v/>
      </c>
      <c r="BH1381">
        <f>$C1381*BH1380</f>
        <v/>
      </c>
      <c r="BI1381">
        <f>$C1381*BI1380</f>
        <v/>
      </c>
      <c r="BJ1381">
        <f>$C1381*BJ1380</f>
        <v/>
      </c>
      <c r="BK1381">
        <f>$C1381*BK1380</f>
        <v/>
      </c>
      <c r="BL1381">
        <f>$C1381*BL1380</f>
        <v/>
      </c>
      <c r="BM1381">
        <f>$C1381*BM1380</f>
        <v/>
      </c>
      <c r="BN1381">
        <f>$C1381*BN1380</f>
        <v/>
      </c>
      <c r="BO1381">
        <f>$C1381*BO1380</f>
        <v/>
      </c>
      <c r="BP1381">
        <f>$C1381*BP1380</f>
        <v/>
      </c>
      <c r="BQ1381">
        <f>$C1381*BQ1380</f>
        <v/>
      </c>
      <c r="BR1381">
        <f>$C1381*BR1380</f>
        <v/>
      </c>
      <c r="BS1381">
        <f>$C1381*BS1380</f>
        <v/>
      </c>
      <c r="BT1381">
        <f>$C1381*BT1380</f>
        <v/>
      </c>
      <c r="BU1381">
        <f>$C1381*BU1380</f>
        <v/>
      </c>
      <c r="BV1381">
        <f>$C1381*BV1380</f>
        <v/>
      </c>
      <c r="BW1381">
        <f>$C1381*BW1380</f>
        <v/>
      </c>
      <c r="BX1381">
        <f>$C1381*BX1380</f>
        <v/>
      </c>
      <c r="BY1381">
        <f>$C1381*BY1380</f>
        <v/>
      </c>
      <c r="BZ1381">
        <f>$C1381*BZ1380</f>
        <v/>
      </c>
      <c r="CA1381">
        <f>$C1381*CA1380</f>
        <v/>
      </c>
      <c r="CB1381">
        <f>$C1381*CB1380</f>
        <v/>
      </c>
      <c r="CC1381">
        <f>$C1381*CC1380</f>
        <v/>
      </c>
      <c r="CD1381">
        <f>$C1381*CD1380</f>
        <v/>
      </c>
      <c r="CE1381">
        <f>$C1381*CE1380</f>
        <v/>
      </c>
      <c r="CF1381">
        <f>$C1381*CF1380</f>
        <v/>
      </c>
      <c r="CG1381">
        <f>$C1381*CG1380</f>
        <v/>
      </c>
      <c r="CH1381">
        <f>$C1381*CH1380</f>
        <v/>
      </c>
      <c r="CI1381">
        <f>$C1381*CI1380</f>
        <v/>
      </c>
      <c r="CJ1381">
        <f>$C1381*CJ1380</f>
        <v/>
      </c>
      <c r="CK1381">
        <f>$C1381*CK1380</f>
        <v/>
      </c>
      <c r="CL1381">
        <f>$C1381*CL1380</f>
        <v/>
      </c>
      <c r="CM1381">
        <f>$C1381*CM1380</f>
        <v/>
      </c>
      <c r="CN1381">
        <f>$C1381*CN1380</f>
        <v/>
      </c>
      <c r="CO1381">
        <f>$C1381*CO1380</f>
        <v/>
      </c>
      <c r="CP1381">
        <f>$C1381*CP1380</f>
        <v/>
      </c>
      <c r="CQ1381">
        <f>$C1381*CQ1380</f>
        <v/>
      </c>
      <c r="CR1381">
        <f>$C1381*CR1380</f>
        <v/>
      </c>
      <c r="CS1381">
        <f>$C1381*CS1380</f>
        <v/>
      </c>
      <c r="CT1381">
        <f>$C1381*CT1380</f>
        <v/>
      </c>
      <c r="CU1381">
        <f>$C1381*CU1380</f>
        <v/>
      </c>
      <c r="CV1381">
        <f>$C1381*CV1380</f>
        <v/>
      </c>
      <c r="CW1381">
        <f>$C1381*CW1380</f>
        <v/>
      </c>
      <c r="CX1381">
        <f>$C1381*CX1380</f>
        <v/>
      </c>
      <c r="CY1381">
        <f>$C1381*CY1380</f>
        <v/>
      </c>
      <c r="CZ1381">
        <f>$C1381*CZ1380</f>
        <v/>
      </c>
      <c r="DA1381">
        <f>$C1381*DA1380</f>
        <v/>
      </c>
      <c r="DB1381">
        <f>$C1381*DB1380</f>
        <v/>
      </c>
      <c r="DC1381">
        <f>$C1381*DC1380</f>
        <v/>
      </c>
      <c r="DD1381">
        <f>$C1381*DD1380</f>
        <v/>
      </c>
    </row>
    <row r="1382">
      <c r="B1382" t="inlineStr">
        <is>
          <t>TSP-937</t>
        </is>
      </c>
      <c r="C1382" t="inlineStr">
        <is>
          <t>No. of batches</t>
        </is>
      </c>
      <c r="D1382">
        <f>IFERROR(INDEX(E1382:DD1382,$F$1),"")</f>
        <v/>
      </c>
      <c r="E1382">
        <f>IFERROR(INDEX(PP_Grid[#Data],$DE1382,2),0)</f>
        <v/>
      </c>
      <c r="F1382">
        <f>IFERROR(INDEX(PP_Grid[#Data],$DE1382,3),0)</f>
        <v/>
      </c>
      <c r="G1382">
        <f>IFERROR(INDEX(PP_Grid[#Data],$DE1382,4),0)</f>
        <v/>
      </c>
      <c r="H1382">
        <f>IFERROR(INDEX(PP_Grid[#Data],$DE1382,5),0)</f>
        <v/>
      </c>
      <c r="I1382">
        <f>IFERROR(INDEX(PP_Grid[#Data],$DE1382,6),0)</f>
        <v/>
      </c>
      <c r="J1382">
        <f>IFERROR(INDEX(PP_Grid[#Data],$DE1382,7),0)</f>
        <v/>
      </c>
      <c r="K1382">
        <f>IFERROR(INDEX(PP_Grid[#Data],$DE1382,8),0)</f>
        <v/>
      </c>
      <c r="L1382">
        <f>IFERROR(INDEX(PP_Grid[#Data],$DE1382,9),0)</f>
        <v/>
      </c>
      <c r="M1382">
        <f>IFERROR(INDEX(PP_Grid[#Data],$DE1382,10),0)</f>
        <v/>
      </c>
      <c r="N1382">
        <f>IFERROR(INDEX(PP_Grid[#Data],$DE1382,11),0)</f>
        <v/>
      </c>
      <c r="O1382">
        <f>IFERROR(INDEX(PP_Grid[#Data],$DE1382,12),0)</f>
        <v/>
      </c>
      <c r="P1382">
        <f>IFERROR(INDEX(PP_Grid[#Data],$DE1382,13),0)</f>
        <v/>
      </c>
      <c r="Q1382">
        <f>IFERROR(INDEX(PP_Grid[#Data],$DE1382,14),0)</f>
        <v/>
      </c>
      <c r="R1382">
        <f>IFERROR(INDEX(PP_Grid[#Data],$DE1382,15),0)</f>
        <v/>
      </c>
      <c r="S1382">
        <f>IFERROR(INDEX(PP_Grid[#Data],$DE1382,16),0)</f>
        <v/>
      </c>
      <c r="T1382">
        <f>IFERROR(INDEX(PP_Grid[#Data],$DE1382,17),0)</f>
        <v/>
      </c>
      <c r="U1382">
        <f>IFERROR(INDEX(PP_Grid[#Data],$DE1382,18),0)</f>
        <v/>
      </c>
      <c r="V1382">
        <f>IFERROR(INDEX(PP_Grid[#Data],$DE1382,19),0)</f>
        <v/>
      </c>
      <c r="W1382">
        <f>IFERROR(INDEX(PP_Grid[#Data],$DE1382,20),0)</f>
        <v/>
      </c>
      <c r="X1382">
        <f>IFERROR(INDEX(PP_Grid[#Data],$DE1382,21),0)</f>
        <v/>
      </c>
      <c r="Y1382">
        <f>IFERROR(INDEX(PP_Grid[#Data],$DE1382,22),0)</f>
        <v/>
      </c>
      <c r="Z1382">
        <f>IFERROR(INDEX(PP_Grid[#Data],$DE1382,23),0)</f>
        <v/>
      </c>
      <c r="AA1382">
        <f>IFERROR(INDEX(PP_Grid[#Data],$DE1382,24),0)</f>
        <v/>
      </c>
      <c r="AB1382">
        <f>IFERROR(INDEX(PP_Grid[#Data],$DE1382,25),0)</f>
        <v/>
      </c>
      <c r="AC1382">
        <f>IFERROR(INDEX(PP_Grid[#Data],$DE1382,26),0)</f>
        <v/>
      </c>
      <c r="AD1382">
        <f>IFERROR(INDEX(PP_Grid[#Data],$DE1382,27),0)</f>
        <v/>
      </c>
      <c r="AE1382">
        <f>IFERROR(INDEX(PP_Grid[#Data],$DE1382,28),0)</f>
        <v/>
      </c>
      <c r="AF1382">
        <f>IFERROR(INDEX(PP_Grid[#Data],$DE1382,29),0)</f>
        <v/>
      </c>
      <c r="AG1382">
        <f>IFERROR(INDEX(PP_Grid[#Data],$DE1382,30),0)</f>
        <v/>
      </c>
      <c r="AH1382">
        <f>IFERROR(INDEX(PP_Grid[#Data],$DE1382,31),0)</f>
        <v/>
      </c>
      <c r="AI1382">
        <f>IFERROR(INDEX(PP_Grid[#Data],$DE1382,32),0)</f>
        <v/>
      </c>
      <c r="AJ1382">
        <f>IFERROR(INDEX(PP_Grid[#Data],$DE1382,33),0)</f>
        <v/>
      </c>
      <c r="AK1382">
        <f>IFERROR(INDEX(PP_Grid[#Data],$DE1382,34),0)</f>
        <v/>
      </c>
      <c r="AL1382">
        <f>IFERROR(INDEX(PP_Grid[#Data],$DE1382,35),0)</f>
        <v/>
      </c>
      <c r="AM1382">
        <f>IFERROR(INDEX(PP_Grid[#Data],$DE1382,36),0)</f>
        <v/>
      </c>
      <c r="AN1382">
        <f>IFERROR(INDEX(PP_Grid[#Data],$DE1382,37),0)</f>
        <v/>
      </c>
      <c r="AO1382">
        <f>IFERROR(INDEX(PP_Grid[#Data],$DE1382,38),0)</f>
        <v/>
      </c>
      <c r="AP1382">
        <f>IFERROR(INDEX(PP_Grid[#Data],$DE1382,39),0)</f>
        <v/>
      </c>
      <c r="AQ1382">
        <f>IFERROR(INDEX(PP_Grid[#Data],$DE1382,40),0)</f>
        <v/>
      </c>
      <c r="AR1382">
        <f>IFERROR(INDEX(PP_Grid[#Data],$DE1382,41),0)</f>
        <v/>
      </c>
      <c r="AS1382">
        <f>IFERROR(INDEX(PP_Grid[#Data],$DE1382,42),0)</f>
        <v/>
      </c>
      <c r="AT1382">
        <f>IFERROR(INDEX(PP_Grid[#Data],$DE1382,43),0)</f>
        <v/>
      </c>
      <c r="AU1382">
        <f>IFERROR(INDEX(PP_Grid[#Data],$DE1382,44),0)</f>
        <v/>
      </c>
      <c r="AV1382">
        <f>IFERROR(INDEX(PP_Grid[#Data],$DE1382,45),0)</f>
        <v/>
      </c>
      <c r="AW1382">
        <f>IFERROR(INDEX(PP_Grid[#Data],$DE1382,46),0)</f>
        <v/>
      </c>
      <c r="AX1382">
        <f>IFERROR(INDEX(PP_Grid[#Data],$DE1382,47),0)</f>
        <v/>
      </c>
      <c r="AY1382">
        <f>IFERROR(INDEX(PP_Grid[#Data],$DE1382,48),0)</f>
        <v/>
      </c>
      <c r="AZ1382">
        <f>IFERROR(INDEX(PP_Grid[#Data],$DE1382,49),0)</f>
        <v/>
      </c>
      <c r="BA1382">
        <f>IFERROR(INDEX(PP_Grid[#Data],$DE1382,50),0)</f>
        <v/>
      </c>
      <c r="BB1382">
        <f>IFERROR(INDEX(PP_Grid[#Data],$DE1382,51),0)</f>
        <v/>
      </c>
      <c r="BC1382">
        <f>IFERROR(INDEX(PP_Grid[#Data],$DE1382,52),0)</f>
        <v/>
      </c>
      <c r="BD1382">
        <f>IFERROR(INDEX(PP_Grid[#Data],$DE1382,53),0)</f>
        <v/>
      </c>
      <c r="BE1382">
        <f>IFERROR(INDEX(PP_Grid[#Data],$DE1382,54),0)</f>
        <v/>
      </c>
      <c r="BF1382">
        <f>IFERROR(INDEX(PP_Grid[#Data],$DE1382,55),0)</f>
        <v/>
      </c>
      <c r="BG1382">
        <f>IFERROR(INDEX(PP_Grid[#Data],$DE1382,56),0)</f>
        <v/>
      </c>
      <c r="BH1382">
        <f>IFERROR(INDEX(PP_Grid[#Data],$DE1382,57),0)</f>
        <v/>
      </c>
      <c r="BI1382">
        <f>IFERROR(INDEX(PP_Grid[#Data],$DE1382,58),0)</f>
        <v/>
      </c>
      <c r="BJ1382">
        <f>IFERROR(INDEX(PP_Grid[#Data],$DE1382,59),0)</f>
        <v/>
      </c>
      <c r="BK1382">
        <f>IFERROR(INDEX(PP_Grid[#Data],$DE1382,60),0)</f>
        <v/>
      </c>
      <c r="BL1382">
        <f>IFERROR(INDEX(PP_Grid[#Data],$DE1382,61),0)</f>
        <v/>
      </c>
      <c r="BM1382">
        <f>IFERROR(INDEX(PP_Grid[#Data],$DE1382,62),0)</f>
        <v/>
      </c>
      <c r="BN1382">
        <f>IFERROR(INDEX(PP_Grid[#Data],$DE1382,63),0)</f>
        <v/>
      </c>
      <c r="BO1382">
        <f>IFERROR(INDEX(PP_Grid[#Data],$DE1382,64),0)</f>
        <v/>
      </c>
      <c r="BP1382">
        <f>IFERROR(INDEX(PP_Grid[#Data],$DE1382,65),0)</f>
        <v/>
      </c>
      <c r="BQ1382">
        <f>IFERROR(INDEX(PP_Grid[#Data],$DE1382,66),0)</f>
        <v/>
      </c>
      <c r="BR1382">
        <f>IFERROR(INDEX(PP_Grid[#Data],$DE1382,67),0)</f>
        <v/>
      </c>
      <c r="BS1382">
        <f>IFERROR(INDEX(PP_Grid[#Data],$DE1382,68),0)</f>
        <v/>
      </c>
      <c r="BT1382">
        <f>IFERROR(INDEX(PP_Grid[#Data],$DE1382,69),0)</f>
        <v/>
      </c>
      <c r="BU1382">
        <f>IFERROR(INDEX(PP_Grid[#Data],$DE1382,70),0)</f>
        <v/>
      </c>
      <c r="BV1382">
        <f>IFERROR(INDEX(PP_Grid[#Data],$DE1382,71),0)</f>
        <v/>
      </c>
      <c r="BW1382">
        <f>IFERROR(INDEX(PP_Grid[#Data],$DE1382,72),0)</f>
        <v/>
      </c>
      <c r="BX1382">
        <f>IFERROR(INDEX(PP_Grid[#Data],$DE1382,73),0)</f>
        <v/>
      </c>
      <c r="BY1382">
        <f>IFERROR(INDEX(PP_Grid[#Data],$DE1382,74),0)</f>
        <v/>
      </c>
      <c r="BZ1382">
        <f>IFERROR(INDEX(PP_Grid[#Data],$DE1382,75),0)</f>
        <v/>
      </c>
      <c r="CA1382">
        <f>IFERROR(INDEX(PP_Grid[#Data],$DE1382,76),0)</f>
        <v/>
      </c>
      <c r="CB1382">
        <f>IFERROR(INDEX(PP_Grid[#Data],$DE1382,77),0)</f>
        <v/>
      </c>
      <c r="CC1382">
        <f>IFERROR(INDEX(PP_Grid[#Data],$DE1382,78),0)</f>
        <v/>
      </c>
      <c r="CD1382">
        <f>IFERROR(INDEX(PP_Grid[#Data],$DE1382,79),0)</f>
        <v/>
      </c>
      <c r="CE1382">
        <f>IFERROR(INDEX(PP_Grid[#Data],$DE1382,80),0)</f>
        <v/>
      </c>
      <c r="CF1382">
        <f>IFERROR(INDEX(PP_Grid[#Data],$DE1382,81),0)</f>
        <v/>
      </c>
      <c r="CG1382">
        <f>IFERROR(INDEX(PP_Grid[#Data],$DE1382,82),0)</f>
        <v/>
      </c>
      <c r="CH1382">
        <f>IFERROR(INDEX(PP_Grid[#Data],$DE1382,83),0)</f>
        <v/>
      </c>
      <c r="CI1382">
        <f>IFERROR(INDEX(PP_Grid[#Data],$DE1382,84),0)</f>
        <v/>
      </c>
      <c r="CJ1382">
        <f>IFERROR(INDEX(PP_Grid[#Data],$DE1382,85),0)</f>
        <v/>
      </c>
      <c r="CK1382">
        <f>IFERROR(INDEX(PP_Grid[#Data],$DE1382,86),0)</f>
        <v/>
      </c>
      <c r="CL1382">
        <f>IFERROR(INDEX(PP_Grid[#Data],$DE1382,87),0)</f>
        <v/>
      </c>
      <c r="CM1382">
        <f>IFERROR(INDEX(PP_Grid[#Data],$DE1382,88),0)</f>
        <v/>
      </c>
      <c r="CN1382">
        <f>IFERROR(INDEX(PP_Grid[#Data],$DE1382,89),0)</f>
        <v/>
      </c>
      <c r="CO1382">
        <f>IFERROR(INDEX(PP_Grid[#Data],$DE1382,90),0)</f>
        <v/>
      </c>
      <c r="CP1382">
        <f>IFERROR(INDEX(PP_Grid[#Data],$DE1382,91),0)</f>
        <v/>
      </c>
      <c r="CQ1382">
        <f>IFERROR(INDEX(PP_Grid[#Data],$DE1382,92),0)</f>
        <v/>
      </c>
      <c r="CR1382">
        <f>IFERROR(INDEX(PP_Grid[#Data],$DE1382,93),0)</f>
        <v/>
      </c>
      <c r="CS1382">
        <f>IFERROR(INDEX(PP_Grid[#Data],$DE1382,94),0)</f>
        <v/>
      </c>
      <c r="CT1382">
        <f>IFERROR(INDEX(PP_Grid[#Data],$DE1382,95),0)</f>
        <v/>
      </c>
      <c r="CU1382">
        <f>IFERROR(INDEX(PP_Grid[#Data],$DE1382,96),0)</f>
        <v/>
      </c>
      <c r="CV1382">
        <f>IFERROR(INDEX(PP_Grid[#Data],$DE1382,97),0)</f>
        <v/>
      </c>
      <c r="CW1382">
        <f>IFERROR(INDEX(PP_Grid[#Data],$DE1382,98),0)</f>
        <v/>
      </c>
      <c r="CX1382">
        <f>IFERROR(INDEX(PP_Grid[#Data],$DE1382,99),0)</f>
        <v/>
      </c>
      <c r="CY1382">
        <f>IFERROR(INDEX(PP_Grid[#Data],$DE1382,100),0)</f>
        <v/>
      </c>
      <c r="CZ1382">
        <f>IFERROR(INDEX(PP_Grid[#Data],$DE1382,101),0)</f>
        <v/>
      </c>
      <c r="DA1382">
        <f>IFERROR(INDEX(PP_Grid[#Data],$DE1382,102),0)</f>
        <v/>
      </c>
      <c r="DB1382">
        <f>IFERROR(INDEX(PP_Grid[#Data],$DE1382,103),0)</f>
        <v/>
      </c>
      <c r="DC1382">
        <f>IFERROR(INDEX(PP_Grid[#Data],$DE1382,104),0)</f>
        <v/>
      </c>
      <c r="DD1382">
        <f>IFERROR(INDEX(PP_Grid[#Data],$DE1382,105),0)</f>
        <v/>
      </c>
      <c r="DE1382" s="7">
        <f>IFERROR(MATCH($B1382,PP_Grid[Intermediate],0),99999)</f>
        <v/>
      </c>
    </row>
    <row r="1383">
      <c r="B1383" t="inlineStr">
        <is>
          <t>使用量(kg)</t>
        </is>
      </c>
      <c r="C1383">
        <f>SUMIFS(M_BOM[RM_Qty_Per_Batch],M_BOM[Intermediate],$B1382,M_BOM[RM_Code],$A1371)</f>
        <v/>
      </c>
      <c r="D1383">
        <f>IFERROR(INDEX(E1383:DD1383,$F$1),"")</f>
        <v/>
      </c>
      <c r="E1383">
        <f>$C1383*E1382</f>
        <v/>
      </c>
      <c r="F1383">
        <f>$C1383*F1382</f>
        <v/>
      </c>
      <c r="G1383">
        <f>$C1383*G1382</f>
        <v/>
      </c>
      <c r="H1383">
        <f>$C1383*H1382</f>
        <v/>
      </c>
      <c r="I1383">
        <f>$C1383*I1382</f>
        <v/>
      </c>
      <c r="J1383">
        <f>$C1383*J1382</f>
        <v/>
      </c>
      <c r="K1383">
        <f>$C1383*K1382</f>
        <v/>
      </c>
      <c r="L1383">
        <f>$C1383*L1382</f>
        <v/>
      </c>
      <c r="M1383">
        <f>$C1383*M1382</f>
        <v/>
      </c>
      <c r="N1383">
        <f>$C1383*N1382</f>
        <v/>
      </c>
      <c r="O1383">
        <f>$C1383*O1382</f>
        <v/>
      </c>
      <c r="P1383">
        <f>$C1383*P1382</f>
        <v/>
      </c>
      <c r="Q1383">
        <f>$C1383*Q1382</f>
        <v/>
      </c>
      <c r="R1383">
        <f>$C1383*R1382</f>
        <v/>
      </c>
      <c r="S1383">
        <f>$C1383*S1382</f>
        <v/>
      </c>
      <c r="T1383">
        <f>$C1383*T1382</f>
        <v/>
      </c>
      <c r="U1383">
        <f>$C1383*U1382</f>
        <v/>
      </c>
      <c r="V1383">
        <f>$C1383*V1382</f>
        <v/>
      </c>
      <c r="W1383">
        <f>$C1383*W1382</f>
        <v/>
      </c>
      <c r="X1383">
        <f>$C1383*X1382</f>
        <v/>
      </c>
      <c r="Y1383">
        <f>$C1383*Y1382</f>
        <v/>
      </c>
      <c r="Z1383">
        <f>$C1383*Z1382</f>
        <v/>
      </c>
      <c r="AA1383">
        <f>$C1383*AA1382</f>
        <v/>
      </c>
      <c r="AB1383">
        <f>$C1383*AB1382</f>
        <v/>
      </c>
      <c r="AC1383">
        <f>$C1383*AC1382</f>
        <v/>
      </c>
      <c r="AD1383">
        <f>$C1383*AD1382</f>
        <v/>
      </c>
      <c r="AE1383">
        <f>$C1383*AE1382</f>
        <v/>
      </c>
      <c r="AF1383">
        <f>$C1383*AF1382</f>
        <v/>
      </c>
      <c r="AG1383">
        <f>$C1383*AG1382</f>
        <v/>
      </c>
      <c r="AH1383">
        <f>$C1383*AH1382</f>
        <v/>
      </c>
      <c r="AI1383">
        <f>$C1383*AI1382</f>
        <v/>
      </c>
      <c r="AJ1383">
        <f>$C1383*AJ1382</f>
        <v/>
      </c>
      <c r="AK1383">
        <f>$C1383*AK1382</f>
        <v/>
      </c>
      <c r="AL1383">
        <f>$C1383*AL1382</f>
        <v/>
      </c>
      <c r="AM1383">
        <f>$C1383*AM1382</f>
        <v/>
      </c>
      <c r="AN1383">
        <f>$C1383*AN1382</f>
        <v/>
      </c>
      <c r="AO1383">
        <f>$C1383*AO1382</f>
        <v/>
      </c>
      <c r="AP1383">
        <f>$C1383*AP1382</f>
        <v/>
      </c>
      <c r="AQ1383">
        <f>$C1383*AQ1382</f>
        <v/>
      </c>
      <c r="AR1383">
        <f>$C1383*AR1382</f>
        <v/>
      </c>
      <c r="AS1383">
        <f>$C1383*AS1382</f>
        <v/>
      </c>
      <c r="AT1383">
        <f>$C1383*AT1382</f>
        <v/>
      </c>
      <c r="AU1383">
        <f>$C1383*AU1382</f>
        <v/>
      </c>
      <c r="AV1383">
        <f>$C1383*AV1382</f>
        <v/>
      </c>
      <c r="AW1383">
        <f>$C1383*AW1382</f>
        <v/>
      </c>
      <c r="AX1383">
        <f>$C1383*AX1382</f>
        <v/>
      </c>
      <c r="AY1383">
        <f>$C1383*AY1382</f>
        <v/>
      </c>
      <c r="AZ1383">
        <f>$C1383*AZ1382</f>
        <v/>
      </c>
      <c r="BA1383">
        <f>$C1383*BA1382</f>
        <v/>
      </c>
      <c r="BB1383">
        <f>$C1383*BB1382</f>
        <v/>
      </c>
      <c r="BC1383">
        <f>$C1383*BC1382</f>
        <v/>
      </c>
      <c r="BD1383">
        <f>$C1383*BD1382</f>
        <v/>
      </c>
      <c r="BE1383">
        <f>$C1383*BE1382</f>
        <v/>
      </c>
      <c r="BF1383">
        <f>$C1383*BF1382</f>
        <v/>
      </c>
      <c r="BG1383">
        <f>$C1383*BG1382</f>
        <v/>
      </c>
      <c r="BH1383">
        <f>$C1383*BH1382</f>
        <v/>
      </c>
      <c r="BI1383">
        <f>$C1383*BI1382</f>
        <v/>
      </c>
      <c r="BJ1383">
        <f>$C1383*BJ1382</f>
        <v/>
      </c>
      <c r="BK1383">
        <f>$C1383*BK1382</f>
        <v/>
      </c>
      <c r="BL1383">
        <f>$C1383*BL1382</f>
        <v/>
      </c>
      <c r="BM1383">
        <f>$C1383*BM1382</f>
        <v/>
      </c>
      <c r="BN1383">
        <f>$C1383*BN1382</f>
        <v/>
      </c>
      <c r="BO1383">
        <f>$C1383*BO1382</f>
        <v/>
      </c>
      <c r="BP1383">
        <f>$C1383*BP1382</f>
        <v/>
      </c>
      <c r="BQ1383">
        <f>$C1383*BQ1382</f>
        <v/>
      </c>
      <c r="BR1383">
        <f>$C1383*BR1382</f>
        <v/>
      </c>
      <c r="BS1383">
        <f>$C1383*BS1382</f>
        <v/>
      </c>
      <c r="BT1383">
        <f>$C1383*BT1382</f>
        <v/>
      </c>
      <c r="BU1383">
        <f>$C1383*BU1382</f>
        <v/>
      </c>
      <c r="BV1383">
        <f>$C1383*BV1382</f>
        <v/>
      </c>
      <c r="BW1383">
        <f>$C1383*BW1382</f>
        <v/>
      </c>
      <c r="BX1383">
        <f>$C1383*BX1382</f>
        <v/>
      </c>
      <c r="BY1383">
        <f>$C1383*BY1382</f>
        <v/>
      </c>
      <c r="BZ1383">
        <f>$C1383*BZ1382</f>
        <v/>
      </c>
      <c r="CA1383">
        <f>$C1383*CA1382</f>
        <v/>
      </c>
      <c r="CB1383">
        <f>$C1383*CB1382</f>
        <v/>
      </c>
      <c r="CC1383">
        <f>$C1383*CC1382</f>
        <v/>
      </c>
      <c r="CD1383">
        <f>$C1383*CD1382</f>
        <v/>
      </c>
      <c r="CE1383">
        <f>$C1383*CE1382</f>
        <v/>
      </c>
      <c r="CF1383">
        <f>$C1383*CF1382</f>
        <v/>
      </c>
      <c r="CG1383">
        <f>$C1383*CG1382</f>
        <v/>
      </c>
      <c r="CH1383">
        <f>$C1383*CH1382</f>
        <v/>
      </c>
      <c r="CI1383">
        <f>$C1383*CI1382</f>
        <v/>
      </c>
      <c r="CJ1383">
        <f>$C1383*CJ1382</f>
        <v/>
      </c>
      <c r="CK1383">
        <f>$C1383*CK1382</f>
        <v/>
      </c>
      <c r="CL1383">
        <f>$C1383*CL1382</f>
        <v/>
      </c>
      <c r="CM1383">
        <f>$C1383*CM1382</f>
        <v/>
      </c>
      <c r="CN1383">
        <f>$C1383*CN1382</f>
        <v/>
      </c>
      <c r="CO1383">
        <f>$C1383*CO1382</f>
        <v/>
      </c>
      <c r="CP1383">
        <f>$C1383*CP1382</f>
        <v/>
      </c>
      <c r="CQ1383">
        <f>$C1383*CQ1382</f>
        <v/>
      </c>
      <c r="CR1383">
        <f>$C1383*CR1382</f>
        <v/>
      </c>
      <c r="CS1383">
        <f>$C1383*CS1382</f>
        <v/>
      </c>
      <c r="CT1383">
        <f>$C1383*CT1382</f>
        <v/>
      </c>
      <c r="CU1383">
        <f>$C1383*CU1382</f>
        <v/>
      </c>
      <c r="CV1383">
        <f>$C1383*CV1382</f>
        <v/>
      </c>
      <c r="CW1383">
        <f>$C1383*CW1382</f>
        <v/>
      </c>
      <c r="CX1383">
        <f>$C1383*CX1382</f>
        <v/>
      </c>
      <c r="CY1383">
        <f>$C1383*CY1382</f>
        <v/>
      </c>
      <c r="CZ1383">
        <f>$C1383*CZ1382</f>
        <v/>
      </c>
      <c r="DA1383">
        <f>$C1383*DA1382</f>
        <v/>
      </c>
      <c r="DB1383">
        <f>$C1383*DB1382</f>
        <v/>
      </c>
      <c r="DC1383">
        <f>$C1383*DC1382</f>
        <v/>
      </c>
      <c r="DD1383">
        <f>$C1383*DD1382</f>
        <v/>
      </c>
    </row>
    <row r="1384">
      <c r="B1384" t="inlineStr">
        <is>
          <t>20p</t>
        </is>
      </c>
      <c r="C1384" t="inlineStr">
        <is>
          <t>No. of batches</t>
        </is>
      </c>
      <c r="D1384">
        <f>IFERROR(INDEX(E1384:DD1384,$F$1),"")</f>
        <v/>
      </c>
      <c r="E1384">
        <f>IFERROR(INDEX(PP_Grid[#Data],$DE1384,2),0)</f>
        <v/>
      </c>
      <c r="F1384">
        <f>IFERROR(INDEX(PP_Grid[#Data],$DE1384,3),0)</f>
        <v/>
      </c>
      <c r="G1384">
        <f>IFERROR(INDEX(PP_Grid[#Data],$DE1384,4),0)</f>
        <v/>
      </c>
      <c r="H1384">
        <f>IFERROR(INDEX(PP_Grid[#Data],$DE1384,5),0)</f>
        <v/>
      </c>
      <c r="I1384">
        <f>IFERROR(INDEX(PP_Grid[#Data],$DE1384,6),0)</f>
        <v/>
      </c>
      <c r="J1384">
        <f>IFERROR(INDEX(PP_Grid[#Data],$DE1384,7),0)</f>
        <v/>
      </c>
      <c r="K1384">
        <f>IFERROR(INDEX(PP_Grid[#Data],$DE1384,8),0)</f>
        <v/>
      </c>
      <c r="L1384">
        <f>IFERROR(INDEX(PP_Grid[#Data],$DE1384,9),0)</f>
        <v/>
      </c>
      <c r="M1384">
        <f>IFERROR(INDEX(PP_Grid[#Data],$DE1384,10),0)</f>
        <v/>
      </c>
      <c r="N1384">
        <f>IFERROR(INDEX(PP_Grid[#Data],$DE1384,11),0)</f>
        <v/>
      </c>
      <c r="O1384">
        <f>IFERROR(INDEX(PP_Grid[#Data],$DE1384,12),0)</f>
        <v/>
      </c>
      <c r="P1384">
        <f>IFERROR(INDEX(PP_Grid[#Data],$DE1384,13),0)</f>
        <v/>
      </c>
      <c r="Q1384">
        <f>IFERROR(INDEX(PP_Grid[#Data],$DE1384,14),0)</f>
        <v/>
      </c>
      <c r="R1384">
        <f>IFERROR(INDEX(PP_Grid[#Data],$DE1384,15),0)</f>
        <v/>
      </c>
      <c r="S1384">
        <f>IFERROR(INDEX(PP_Grid[#Data],$DE1384,16),0)</f>
        <v/>
      </c>
      <c r="T1384">
        <f>IFERROR(INDEX(PP_Grid[#Data],$DE1384,17),0)</f>
        <v/>
      </c>
      <c r="U1384">
        <f>IFERROR(INDEX(PP_Grid[#Data],$DE1384,18),0)</f>
        <v/>
      </c>
      <c r="V1384">
        <f>IFERROR(INDEX(PP_Grid[#Data],$DE1384,19),0)</f>
        <v/>
      </c>
      <c r="W1384">
        <f>IFERROR(INDEX(PP_Grid[#Data],$DE1384,20),0)</f>
        <v/>
      </c>
      <c r="X1384">
        <f>IFERROR(INDEX(PP_Grid[#Data],$DE1384,21),0)</f>
        <v/>
      </c>
      <c r="Y1384">
        <f>IFERROR(INDEX(PP_Grid[#Data],$DE1384,22),0)</f>
        <v/>
      </c>
      <c r="Z1384">
        <f>IFERROR(INDEX(PP_Grid[#Data],$DE1384,23),0)</f>
        <v/>
      </c>
      <c r="AA1384">
        <f>IFERROR(INDEX(PP_Grid[#Data],$DE1384,24),0)</f>
        <v/>
      </c>
      <c r="AB1384">
        <f>IFERROR(INDEX(PP_Grid[#Data],$DE1384,25),0)</f>
        <v/>
      </c>
      <c r="AC1384">
        <f>IFERROR(INDEX(PP_Grid[#Data],$DE1384,26),0)</f>
        <v/>
      </c>
      <c r="AD1384">
        <f>IFERROR(INDEX(PP_Grid[#Data],$DE1384,27),0)</f>
        <v/>
      </c>
      <c r="AE1384">
        <f>IFERROR(INDEX(PP_Grid[#Data],$DE1384,28),0)</f>
        <v/>
      </c>
      <c r="AF1384">
        <f>IFERROR(INDEX(PP_Grid[#Data],$DE1384,29),0)</f>
        <v/>
      </c>
      <c r="AG1384">
        <f>IFERROR(INDEX(PP_Grid[#Data],$DE1384,30),0)</f>
        <v/>
      </c>
      <c r="AH1384">
        <f>IFERROR(INDEX(PP_Grid[#Data],$DE1384,31),0)</f>
        <v/>
      </c>
      <c r="AI1384">
        <f>IFERROR(INDEX(PP_Grid[#Data],$DE1384,32),0)</f>
        <v/>
      </c>
      <c r="AJ1384">
        <f>IFERROR(INDEX(PP_Grid[#Data],$DE1384,33),0)</f>
        <v/>
      </c>
      <c r="AK1384">
        <f>IFERROR(INDEX(PP_Grid[#Data],$DE1384,34),0)</f>
        <v/>
      </c>
      <c r="AL1384">
        <f>IFERROR(INDEX(PP_Grid[#Data],$DE1384,35),0)</f>
        <v/>
      </c>
      <c r="AM1384">
        <f>IFERROR(INDEX(PP_Grid[#Data],$DE1384,36),0)</f>
        <v/>
      </c>
      <c r="AN1384">
        <f>IFERROR(INDEX(PP_Grid[#Data],$DE1384,37),0)</f>
        <v/>
      </c>
      <c r="AO1384">
        <f>IFERROR(INDEX(PP_Grid[#Data],$DE1384,38),0)</f>
        <v/>
      </c>
      <c r="AP1384">
        <f>IFERROR(INDEX(PP_Grid[#Data],$DE1384,39),0)</f>
        <v/>
      </c>
      <c r="AQ1384">
        <f>IFERROR(INDEX(PP_Grid[#Data],$DE1384,40),0)</f>
        <v/>
      </c>
      <c r="AR1384">
        <f>IFERROR(INDEX(PP_Grid[#Data],$DE1384,41),0)</f>
        <v/>
      </c>
      <c r="AS1384">
        <f>IFERROR(INDEX(PP_Grid[#Data],$DE1384,42),0)</f>
        <v/>
      </c>
      <c r="AT1384">
        <f>IFERROR(INDEX(PP_Grid[#Data],$DE1384,43),0)</f>
        <v/>
      </c>
      <c r="AU1384">
        <f>IFERROR(INDEX(PP_Grid[#Data],$DE1384,44),0)</f>
        <v/>
      </c>
      <c r="AV1384">
        <f>IFERROR(INDEX(PP_Grid[#Data],$DE1384,45),0)</f>
        <v/>
      </c>
      <c r="AW1384">
        <f>IFERROR(INDEX(PP_Grid[#Data],$DE1384,46),0)</f>
        <v/>
      </c>
      <c r="AX1384">
        <f>IFERROR(INDEX(PP_Grid[#Data],$DE1384,47),0)</f>
        <v/>
      </c>
      <c r="AY1384">
        <f>IFERROR(INDEX(PP_Grid[#Data],$DE1384,48),0)</f>
        <v/>
      </c>
      <c r="AZ1384">
        <f>IFERROR(INDEX(PP_Grid[#Data],$DE1384,49),0)</f>
        <v/>
      </c>
      <c r="BA1384">
        <f>IFERROR(INDEX(PP_Grid[#Data],$DE1384,50),0)</f>
        <v/>
      </c>
      <c r="BB1384">
        <f>IFERROR(INDEX(PP_Grid[#Data],$DE1384,51),0)</f>
        <v/>
      </c>
      <c r="BC1384">
        <f>IFERROR(INDEX(PP_Grid[#Data],$DE1384,52),0)</f>
        <v/>
      </c>
      <c r="BD1384">
        <f>IFERROR(INDEX(PP_Grid[#Data],$DE1384,53),0)</f>
        <v/>
      </c>
      <c r="BE1384">
        <f>IFERROR(INDEX(PP_Grid[#Data],$DE1384,54),0)</f>
        <v/>
      </c>
      <c r="BF1384">
        <f>IFERROR(INDEX(PP_Grid[#Data],$DE1384,55),0)</f>
        <v/>
      </c>
      <c r="BG1384">
        <f>IFERROR(INDEX(PP_Grid[#Data],$DE1384,56),0)</f>
        <v/>
      </c>
      <c r="BH1384">
        <f>IFERROR(INDEX(PP_Grid[#Data],$DE1384,57),0)</f>
        <v/>
      </c>
      <c r="BI1384">
        <f>IFERROR(INDEX(PP_Grid[#Data],$DE1384,58),0)</f>
        <v/>
      </c>
      <c r="BJ1384">
        <f>IFERROR(INDEX(PP_Grid[#Data],$DE1384,59),0)</f>
        <v/>
      </c>
      <c r="BK1384">
        <f>IFERROR(INDEX(PP_Grid[#Data],$DE1384,60),0)</f>
        <v/>
      </c>
      <c r="BL1384">
        <f>IFERROR(INDEX(PP_Grid[#Data],$DE1384,61),0)</f>
        <v/>
      </c>
      <c r="BM1384">
        <f>IFERROR(INDEX(PP_Grid[#Data],$DE1384,62),0)</f>
        <v/>
      </c>
      <c r="BN1384">
        <f>IFERROR(INDEX(PP_Grid[#Data],$DE1384,63),0)</f>
        <v/>
      </c>
      <c r="BO1384">
        <f>IFERROR(INDEX(PP_Grid[#Data],$DE1384,64),0)</f>
        <v/>
      </c>
      <c r="BP1384">
        <f>IFERROR(INDEX(PP_Grid[#Data],$DE1384,65),0)</f>
        <v/>
      </c>
      <c r="BQ1384">
        <f>IFERROR(INDEX(PP_Grid[#Data],$DE1384,66),0)</f>
        <v/>
      </c>
      <c r="BR1384">
        <f>IFERROR(INDEX(PP_Grid[#Data],$DE1384,67),0)</f>
        <v/>
      </c>
      <c r="BS1384">
        <f>IFERROR(INDEX(PP_Grid[#Data],$DE1384,68),0)</f>
        <v/>
      </c>
      <c r="BT1384">
        <f>IFERROR(INDEX(PP_Grid[#Data],$DE1384,69),0)</f>
        <v/>
      </c>
      <c r="BU1384">
        <f>IFERROR(INDEX(PP_Grid[#Data],$DE1384,70),0)</f>
        <v/>
      </c>
      <c r="BV1384">
        <f>IFERROR(INDEX(PP_Grid[#Data],$DE1384,71),0)</f>
        <v/>
      </c>
      <c r="BW1384">
        <f>IFERROR(INDEX(PP_Grid[#Data],$DE1384,72),0)</f>
        <v/>
      </c>
      <c r="BX1384">
        <f>IFERROR(INDEX(PP_Grid[#Data],$DE1384,73),0)</f>
        <v/>
      </c>
      <c r="BY1384">
        <f>IFERROR(INDEX(PP_Grid[#Data],$DE1384,74),0)</f>
        <v/>
      </c>
      <c r="BZ1384">
        <f>IFERROR(INDEX(PP_Grid[#Data],$DE1384,75),0)</f>
        <v/>
      </c>
      <c r="CA1384">
        <f>IFERROR(INDEX(PP_Grid[#Data],$DE1384,76),0)</f>
        <v/>
      </c>
      <c r="CB1384">
        <f>IFERROR(INDEX(PP_Grid[#Data],$DE1384,77),0)</f>
        <v/>
      </c>
      <c r="CC1384">
        <f>IFERROR(INDEX(PP_Grid[#Data],$DE1384,78),0)</f>
        <v/>
      </c>
      <c r="CD1384">
        <f>IFERROR(INDEX(PP_Grid[#Data],$DE1384,79),0)</f>
        <v/>
      </c>
      <c r="CE1384">
        <f>IFERROR(INDEX(PP_Grid[#Data],$DE1384,80),0)</f>
        <v/>
      </c>
      <c r="CF1384">
        <f>IFERROR(INDEX(PP_Grid[#Data],$DE1384,81),0)</f>
        <v/>
      </c>
      <c r="CG1384">
        <f>IFERROR(INDEX(PP_Grid[#Data],$DE1384,82),0)</f>
        <v/>
      </c>
      <c r="CH1384">
        <f>IFERROR(INDEX(PP_Grid[#Data],$DE1384,83),0)</f>
        <v/>
      </c>
      <c r="CI1384">
        <f>IFERROR(INDEX(PP_Grid[#Data],$DE1384,84),0)</f>
        <v/>
      </c>
      <c r="CJ1384">
        <f>IFERROR(INDEX(PP_Grid[#Data],$DE1384,85),0)</f>
        <v/>
      </c>
      <c r="CK1384">
        <f>IFERROR(INDEX(PP_Grid[#Data],$DE1384,86),0)</f>
        <v/>
      </c>
      <c r="CL1384">
        <f>IFERROR(INDEX(PP_Grid[#Data],$DE1384,87),0)</f>
        <v/>
      </c>
      <c r="CM1384">
        <f>IFERROR(INDEX(PP_Grid[#Data],$DE1384,88),0)</f>
        <v/>
      </c>
      <c r="CN1384">
        <f>IFERROR(INDEX(PP_Grid[#Data],$DE1384,89),0)</f>
        <v/>
      </c>
      <c r="CO1384">
        <f>IFERROR(INDEX(PP_Grid[#Data],$DE1384,90),0)</f>
        <v/>
      </c>
      <c r="CP1384">
        <f>IFERROR(INDEX(PP_Grid[#Data],$DE1384,91),0)</f>
        <v/>
      </c>
      <c r="CQ1384">
        <f>IFERROR(INDEX(PP_Grid[#Data],$DE1384,92),0)</f>
        <v/>
      </c>
      <c r="CR1384">
        <f>IFERROR(INDEX(PP_Grid[#Data],$DE1384,93),0)</f>
        <v/>
      </c>
      <c r="CS1384">
        <f>IFERROR(INDEX(PP_Grid[#Data],$DE1384,94),0)</f>
        <v/>
      </c>
      <c r="CT1384">
        <f>IFERROR(INDEX(PP_Grid[#Data],$DE1384,95),0)</f>
        <v/>
      </c>
      <c r="CU1384">
        <f>IFERROR(INDEX(PP_Grid[#Data],$DE1384,96),0)</f>
        <v/>
      </c>
      <c r="CV1384">
        <f>IFERROR(INDEX(PP_Grid[#Data],$DE1384,97),0)</f>
        <v/>
      </c>
      <c r="CW1384">
        <f>IFERROR(INDEX(PP_Grid[#Data],$DE1384,98),0)</f>
        <v/>
      </c>
      <c r="CX1384">
        <f>IFERROR(INDEX(PP_Grid[#Data],$DE1384,99),0)</f>
        <v/>
      </c>
      <c r="CY1384">
        <f>IFERROR(INDEX(PP_Grid[#Data],$DE1384,100),0)</f>
        <v/>
      </c>
      <c r="CZ1384">
        <f>IFERROR(INDEX(PP_Grid[#Data],$DE1384,101),0)</f>
        <v/>
      </c>
      <c r="DA1384">
        <f>IFERROR(INDEX(PP_Grid[#Data],$DE1384,102),0)</f>
        <v/>
      </c>
      <c r="DB1384">
        <f>IFERROR(INDEX(PP_Grid[#Data],$DE1384,103),0)</f>
        <v/>
      </c>
      <c r="DC1384">
        <f>IFERROR(INDEX(PP_Grid[#Data],$DE1384,104),0)</f>
        <v/>
      </c>
      <c r="DD1384">
        <f>IFERROR(INDEX(PP_Grid[#Data],$DE1384,105),0)</f>
        <v/>
      </c>
      <c r="DE1384" s="7">
        <f>IFERROR(MATCH($B1384,PP_Grid[Intermediate],0),99999)</f>
        <v/>
      </c>
    </row>
    <row r="1385">
      <c r="B1385" t="inlineStr">
        <is>
          <t>使用量(kg)</t>
        </is>
      </c>
      <c r="C1385">
        <f>SUMIFS(M_BOM[RM_Qty_Per_Batch],M_BOM[Intermediate],$B1384,M_BOM[RM_Code],$A1371)</f>
        <v/>
      </c>
      <c r="D1385">
        <f>IFERROR(INDEX(E1385:DD1385,$F$1),"")</f>
        <v/>
      </c>
      <c r="E1385">
        <f>$C1385*E1384</f>
        <v/>
      </c>
      <c r="F1385">
        <f>$C1385*F1384</f>
        <v/>
      </c>
      <c r="G1385">
        <f>$C1385*G1384</f>
        <v/>
      </c>
      <c r="H1385">
        <f>$C1385*H1384</f>
        <v/>
      </c>
      <c r="I1385">
        <f>$C1385*I1384</f>
        <v/>
      </c>
      <c r="J1385">
        <f>$C1385*J1384</f>
        <v/>
      </c>
      <c r="K1385">
        <f>$C1385*K1384</f>
        <v/>
      </c>
      <c r="L1385">
        <f>$C1385*L1384</f>
        <v/>
      </c>
      <c r="M1385">
        <f>$C1385*M1384</f>
        <v/>
      </c>
      <c r="N1385">
        <f>$C1385*N1384</f>
        <v/>
      </c>
      <c r="O1385">
        <f>$C1385*O1384</f>
        <v/>
      </c>
      <c r="P1385">
        <f>$C1385*P1384</f>
        <v/>
      </c>
      <c r="Q1385">
        <f>$C1385*Q1384</f>
        <v/>
      </c>
      <c r="R1385">
        <f>$C1385*R1384</f>
        <v/>
      </c>
      <c r="S1385">
        <f>$C1385*S1384</f>
        <v/>
      </c>
      <c r="T1385">
        <f>$C1385*T1384</f>
        <v/>
      </c>
      <c r="U1385">
        <f>$C1385*U1384</f>
        <v/>
      </c>
      <c r="V1385">
        <f>$C1385*V1384</f>
        <v/>
      </c>
      <c r="W1385">
        <f>$C1385*W1384</f>
        <v/>
      </c>
      <c r="X1385">
        <f>$C1385*X1384</f>
        <v/>
      </c>
      <c r="Y1385">
        <f>$C1385*Y1384</f>
        <v/>
      </c>
      <c r="Z1385">
        <f>$C1385*Z1384</f>
        <v/>
      </c>
      <c r="AA1385">
        <f>$C1385*AA1384</f>
        <v/>
      </c>
      <c r="AB1385">
        <f>$C1385*AB1384</f>
        <v/>
      </c>
      <c r="AC1385">
        <f>$C1385*AC1384</f>
        <v/>
      </c>
      <c r="AD1385">
        <f>$C1385*AD1384</f>
        <v/>
      </c>
      <c r="AE1385">
        <f>$C1385*AE1384</f>
        <v/>
      </c>
      <c r="AF1385">
        <f>$C1385*AF1384</f>
        <v/>
      </c>
      <c r="AG1385">
        <f>$C1385*AG1384</f>
        <v/>
      </c>
      <c r="AH1385">
        <f>$C1385*AH1384</f>
        <v/>
      </c>
      <c r="AI1385">
        <f>$C1385*AI1384</f>
        <v/>
      </c>
      <c r="AJ1385">
        <f>$C1385*AJ1384</f>
        <v/>
      </c>
      <c r="AK1385">
        <f>$C1385*AK1384</f>
        <v/>
      </c>
      <c r="AL1385">
        <f>$C1385*AL1384</f>
        <v/>
      </c>
      <c r="AM1385">
        <f>$C1385*AM1384</f>
        <v/>
      </c>
      <c r="AN1385">
        <f>$C1385*AN1384</f>
        <v/>
      </c>
      <c r="AO1385">
        <f>$C1385*AO1384</f>
        <v/>
      </c>
      <c r="AP1385">
        <f>$C1385*AP1384</f>
        <v/>
      </c>
      <c r="AQ1385">
        <f>$C1385*AQ1384</f>
        <v/>
      </c>
      <c r="AR1385">
        <f>$C1385*AR1384</f>
        <v/>
      </c>
      <c r="AS1385">
        <f>$C1385*AS1384</f>
        <v/>
      </c>
      <c r="AT1385">
        <f>$C1385*AT1384</f>
        <v/>
      </c>
      <c r="AU1385">
        <f>$C1385*AU1384</f>
        <v/>
      </c>
      <c r="AV1385">
        <f>$C1385*AV1384</f>
        <v/>
      </c>
      <c r="AW1385">
        <f>$C1385*AW1384</f>
        <v/>
      </c>
      <c r="AX1385">
        <f>$C1385*AX1384</f>
        <v/>
      </c>
      <c r="AY1385">
        <f>$C1385*AY1384</f>
        <v/>
      </c>
      <c r="AZ1385">
        <f>$C1385*AZ1384</f>
        <v/>
      </c>
      <c r="BA1385">
        <f>$C1385*BA1384</f>
        <v/>
      </c>
      <c r="BB1385">
        <f>$C1385*BB1384</f>
        <v/>
      </c>
      <c r="BC1385">
        <f>$C1385*BC1384</f>
        <v/>
      </c>
      <c r="BD1385">
        <f>$C1385*BD1384</f>
        <v/>
      </c>
      <c r="BE1385">
        <f>$C1385*BE1384</f>
        <v/>
      </c>
      <c r="BF1385">
        <f>$C1385*BF1384</f>
        <v/>
      </c>
      <c r="BG1385">
        <f>$C1385*BG1384</f>
        <v/>
      </c>
      <c r="BH1385">
        <f>$C1385*BH1384</f>
        <v/>
      </c>
      <c r="BI1385">
        <f>$C1385*BI1384</f>
        <v/>
      </c>
      <c r="BJ1385">
        <f>$C1385*BJ1384</f>
        <v/>
      </c>
      <c r="BK1385">
        <f>$C1385*BK1384</f>
        <v/>
      </c>
      <c r="BL1385">
        <f>$C1385*BL1384</f>
        <v/>
      </c>
      <c r="BM1385">
        <f>$C1385*BM1384</f>
        <v/>
      </c>
      <c r="BN1385">
        <f>$C1385*BN1384</f>
        <v/>
      </c>
      <c r="BO1385">
        <f>$C1385*BO1384</f>
        <v/>
      </c>
      <c r="BP1385">
        <f>$C1385*BP1384</f>
        <v/>
      </c>
      <c r="BQ1385">
        <f>$C1385*BQ1384</f>
        <v/>
      </c>
      <c r="BR1385">
        <f>$C1385*BR1384</f>
        <v/>
      </c>
      <c r="BS1385">
        <f>$C1385*BS1384</f>
        <v/>
      </c>
      <c r="BT1385">
        <f>$C1385*BT1384</f>
        <v/>
      </c>
      <c r="BU1385">
        <f>$C1385*BU1384</f>
        <v/>
      </c>
      <c r="BV1385">
        <f>$C1385*BV1384</f>
        <v/>
      </c>
      <c r="BW1385">
        <f>$C1385*BW1384</f>
        <v/>
      </c>
      <c r="BX1385">
        <f>$C1385*BX1384</f>
        <v/>
      </c>
      <c r="BY1385">
        <f>$C1385*BY1384</f>
        <v/>
      </c>
      <c r="BZ1385">
        <f>$C1385*BZ1384</f>
        <v/>
      </c>
      <c r="CA1385">
        <f>$C1385*CA1384</f>
        <v/>
      </c>
      <c r="CB1385">
        <f>$C1385*CB1384</f>
        <v/>
      </c>
      <c r="CC1385">
        <f>$C1385*CC1384</f>
        <v/>
      </c>
      <c r="CD1385">
        <f>$C1385*CD1384</f>
        <v/>
      </c>
      <c r="CE1385">
        <f>$C1385*CE1384</f>
        <v/>
      </c>
      <c r="CF1385">
        <f>$C1385*CF1384</f>
        <v/>
      </c>
      <c r="CG1385">
        <f>$C1385*CG1384</f>
        <v/>
      </c>
      <c r="CH1385">
        <f>$C1385*CH1384</f>
        <v/>
      </c>
      <c r="CI1385">
        <f>$C1385*CI1384</f>
        <v/>
      </c>
      <c r="CJ1385">
        <f>$C1385*CJ1384</f>
        <v/>
      </c>
      <c r="CK1385">
        <f>$C1385*CK1384</f>
        <v/>
      </c>
      <c r="CL1385">
        <f>$C1385*CL1384</f>
        <v/>
      </c>
      <c r="CM1385">
        <f>$C1385*CM1384</f>
        <v/>
      </c>
      <c r="CN1385">
        <f>$C1385*CN1384</f>
        <v/>
      </c>
      <c r="CO1385">
        <f>$C1385*CO1384</f>
        <v/>
      </c>
      <c r="CP1385">
        <f>$C1385*CP1384</f>
        <v/>
      </c>
      <c r="CQ1385">
        <f>$C1385*CQ1384</f>
        <v/>
      </c>
      <c r="CR1385">
        <f>$C1385*CR1384</f>
        <v/>
      </c>
      <c r="CS1385">
        <f>$C1385*CS1384</f>
        <v/>
      </c>
      <c r="CT1385">
        <f>$C1385*CT1384</f>
        <v/>
      </c>
      <c r="CU1385">
        <f>$C1385*CU1384</f>
        <v/>
      </c>
      <c r="CV1385">
        <f>$C1385*CV1384</f>
        <v/>
      </c>
      <c r="CW1385">
        <f>$C1385*CW1384</f>
        <v/>
      </c>
      <c r="CX1385">
        <f>$C1385*CX1384</f>
        <v/>
      </c>
      <c r="CY1385">
        <f>$C1385*CY1384</f>
        <v/>
      </c>
      <c r="CZ1385">
        <f>$C1385*CZ1384</f>
        <v/>
      </c>
      <c r="DA1385">
        <f>$C1385*DA1384</f>
        <v/>
      </c>
      <c r="DB1385">
        <f>$C1385*DB1384</f>
        <v/>
      </c>
      <c r="DC1385">
        <f>$C1385*DC1384</f>
        <v/>
      </c>
      <c r="DD1385">
        <f>$C1385*DD1384</f>
        <v/>
      </c>
    </row>
    <row r="1386">
      <c r="B1386" s="4" t="inlineStr">
        <is>
          <t>合計使用量(kg)/週</t>
        </is>
      </c>
      <c r="D1386" s="23">
        <f>IFERROR(INDEX(E1386:DD1386,$F$1),"")</f>
        <v/>
      </c>
      <c r="E1386">
        <f>'Grid_Requirement'!B45</f>
        <v/>
      </c>
      <c r="F1386">
        <f>'Grid_Requirement'!C45</f>
        <v/>
      </c>
      <c r="G1386">
        <f>'Grid_Requirement'!D45</f>
        <v/>
      </c>
      <c r="H1386">
        <f>'Grid_Requirement'!E45</f>
        <v/>
      </c>
      <c r="I1386">
        <f>'Grid_Requirement'!F45</f>
        <v/>
      </c>
      <c r="J1386">
        <f>'Grid_Requirement'!G45</f>
        <v/>
      </c>
      <c r="K1386">
        <f>'Grid_Requirement'!H45</f>
        <v/>
      </c>
      <c r="L1386">
        <f>'Grid_Requirement'!I45</f>
        <v/>
      </c>
      <c r="M1386">
        <f>'Grid_Requirement'!J45</f>
        <v/>
      </c>
      <c r="N1386">
        <f>'Grid_Requirement'!K45</f>
        <v/>
      </c>
      <c r="O1386">
        <f>'Grid_Requirement'!L45</f>
        <v/>
      </c>
      <c r="P1386">
        <f>'Grid_Requirement'!M45</f>
        <v/>
      </c>
      <c r="Q1386">
        <f>'Grid_Requirement'!N45</f>
        <v/>
      </c>
      <c r="R1386">
        <f>'Grid_Requirement'!O45</f>
        <v/>
      </c>
      <c r="S1386">
        <f>'Grid_Requirement'!P45</f>
        <v/>
      </c>
      <c r="T1386">
        <f>'Grid_Requirement'!Q45</f>
        <v/>
      </c>
      <c r="U1386">
        <f>'Grid_Requirement'!R45</f>
        <v/>
      </c>
      <c r="V1386">
        <f>'Grid_Requirement'!S45</f>
        <v/>
      </c>
      <c r="W1386">
        <f>'Grid_Requirement'!T45</f>
        <v/>
      </c>
      <c r="X1386">
        <f>'Grid_Requirement'!U45</f>
        <v/>
      </c>
      <c r="Y1386">
        <f>'Grid_Requirement'!V45</f>
        <v/>
      </c>
      <c r="Z1386">
        <f>'Grid_Requirement'!W45</f>
        <v/>
      </c>
      <c r="AA1386">
        <f>'Grid_Requirement'!X45</f>
        <v/>
      </c>
      <c r="AB1386">
        <f>'Grid_Requirement'!Y45</f>
        <v/>
      </c>
      <c r="AC1386">
        <f>'Grid_Requirement'!Z45</f>
        <v/>
      </c>
      <c r="AD1386">
        <f>'Grid_Requirement'!AA45</f>
        <v/>
      </c>
      <c r="AE1386">
        <f>'Grid_Requirement'!AB45</f>
        <v/>
      </c>
      <c r="AF1386">
        <f>'Grid_Requirement'!AC45</f>
        <v/>
      </c>
      <c r="AG1386">
        <f>'Grid_Requirement'!AD45</f>
        <v/>
      </c>
      <c r="AH1386">
        <f>'Grid_Requirement'!AE45</f>
        <v/>
      </c>
      <c r="AI1386">
        <f>'Grid_Requirement'!AF45</f>
        <v/>
      </c>
      <c r="AJ1386">
        <f>'Grid_Requirement'!AG45</f>
        <v/>
      </c>
      <c r="AK1386">
        <f>'Grid_Requirement'!AH45</f>
        <v/>
      </c>
      <c r="AL1386">
        <f>'Grid_Requirement'!AI45</f>
        <v/>
      </c>
      <c r="AM1386">
        <f>'Grid_Requirement'!AJ45</f>
        <v/>
      </c>
      <c r="AN1386">
        <f>'Grid_Requirement'!AK45</f>
        <v/>
      </c>
      <c r="AO1386">
        <f>'Grid_Requirement'!AL45</f>
        <v/>
      </c>
      <c r="AP1386">
        <f>'Grid_Requirement'!AM45</f>
        <v/>
      </c>
      <c r="AQ1386">
        <f>'Grid_Requirement'!AN45</f>
        <v/>
      </c>
      <c r="AR1386">
        <f>'Grid_Requirement'!AO45</f>
        <v/>
      </c>
      <c r="AS1386">
        <f>'Grid_Requirement'!AP45</f>
        <v/>
      </c>
      <c r="AT1386">
        <f>'Grid_Requirement'!AQ45</f>
        <v/>
      </c>
      <c r="AU1386">
        <f>'Grid_Requirement'!AR45</f>
        <v/>
      </c>
      <c r="AV1386">
        <f>'Grid_Requirement'!AS45</f>
        <v/>
      </c>
      <c r="AW1386">
        <f>'Grid_Requirement'!AT45</f>
        <v/>
      </c>
      <c r="AX1386">
        <f>'Grid_Requirement'!AU45</f>
        <v/>
      </c>
      <c r="AY1386">
        <f>'Grid_Requirement'!AV45</f>
        <v/>
      </c>
      <c r="AZ1386">
        <f>'Grid_Requirement'!AW45</f>
        <v/>
      </c>
      <c r="BA1386">
        <f>'Grid_Requirement'!AX45</f>
        <v/>
      </c>
      <c r="BB1386">
        <f>'Grid_Requirement'!AY45</f>
        <v/>
      </c>
      <c r="BC1386">
        <f>'Grid_Requirement'!AZ45</f>
        <v/>
      </c>
      <c r="BD1386">
        <f>'Grid_Requirement'!BA45</f>
        <v/>
      </c>
      <c r="BE1386">
        <f>'Grid_Requirement'!BB45</f>
        <v/>
      </c>
      <c r="BF1386">
        <f>'Grid_Requirement'!BC45</f>
        <v/>
      </c>
      <c r="BG1386">
        <f>'Grid_Requirement'!BD45</f>
        <v/>
      </c>
      <c r="BH1386">
        <f>'Grid_Requirement'!BE45</f>
        <v/>
      </c>
      <c r="BI1386">
        <f>'Grid_Requirement'!BF45</f>
        <v/>
      </c>
      <c r="BJ1386">
        <f>'Grid_Requirement'!BG45</f>
        <v/>
      </c>
      <c r="BK1386">
        <f>'Grid_Requirement'!BH45</f>
        <v/>
      </c>
      <c r="BL1386">
        <f>'Grid_Requirement'!BI45</f>
        <v/>
      </c>
      <c r="BM1386">
        <f>'Grid_Requirement'!BJ45</f>
        <v/>
      </c>
      <c r="BN1386">
        <f>'Grid_Requirement'!BK45</f>
        <v/>
      </c>
      <c r="BO1386">
        <f>'Grid_Requirement'!BL45</f>
        <v/>
      </c>
      <c r="BP1386">
        <f>'Grid_Requirement'!BM45</f>
        <v/>
      </c>
      <c r="BQ1386">
        <f>'Grid_Requirement'!BN45</f>
        <v/>
      </c>
      <c r="BR1386">
        <f>'Grid_Requirement'!BO45</f>
        <v/>
      </c>
      <c r="BS1386">
        <f>'Grid_Requirement'!BP45</f>
        <v/>
      </c>
      <c r="BT1386">
        <f>'Grid_Requirement'!BQ45</f>
        <v/>
      </c>
      <c r="BU1386">
        <f>'Grid_Requirement'!BR45</f>
        <v/>
      </c>
      <c r="BV1386">
        <f>'Grid_Requirement'!BS45</f>
        <v/>
      </c>
      <c r="BW1386">
        <f>'Grid_Requirement'!BT45</f>
        <v/>
      </c>
      <c r="BX1386">
        <f>'Grid_Requirement'!BU45</f>
        <v/>
      </c>
      <c r="BY1386">
        <f>'Grid_Requirement'!BV45</f>
        <v/>
      </c>
      <c r="BZ1386">
        <f>'Grid_Requirement'!BW45</f>
        <v/>
      </c>
      <c r="CA1386">
        <f>'Grid_Requirement'!BX45</f>
        <v/>
      </c>
      <c r="CB1386">
        <f>'Grid_Requirement'!BY45</f>
        <v/>
      </c>
      <c r="CC1386">
        <f>'Grid_Requirement'!BZ45</f>
        <v/>
      </c>
      <c r="CD1386">
        <f>'Grid_Requirement'!CA45</f>
        <v/>
      </c>
      <c r="CE1386">
        <f>'Grid_Requirement'!CB45</f>
        <v/>
      </c>
      <c r="CF1386">
        <f>'Grid_Requirement'!CC45</f>
        <v/>
      </c>
      <c r="CG1386">
        <f>'Grid_Requirement'!CD45</f>
        <v/>
      </c>
      <c r="CH1386">
        <f>'Grid_Requirement'!CE45</f>
        <v/>
      </c>
      <c r="CI1386">
        <f>'Grid_Requirement'!CF45</f>
        <v/>
      </c>
      <c r="CJ1386">
        <f>'Grid_Requirement'!CG45</f>
        <v/>
      </c>
      <c r="CK1386">
        <f>'Grid_Requirement'!CH45</f>
        <v/>
      </c>
      <c r="CL1386">
        <f>'Grid_Requirement'!CI45</f>
        <v/>
      </c>
      <c r="CM1386">
        <f>'Grid_Requirement'!CJ45</f>
        <v/>
      </c>
      <c r="CN1386">
        <f>'Grid_Requirement'!CK45</f>
        <v/>
      </c>
      <c r="CO1386">
        <f>'Grid_Requirement'!CL45</f>
        <v/>
      </c>
      <c r="CP1386">
        <f>'Grid_Requirement'!CM45</f>
        <v/>
      </c>
      <c r="CQ1386">
        <f>'Grid_Requirement'!CN45</f>
        <v/>
      </c>
      <c r="CR1386">
        <f>'Grid_Requirement'!CO45</f>
        <v/>
      </c>
      <c r="CS1386">
        <f>'Grid_Requirement'!CP45</f>
        <v/>
      </c>
      <c r="CT1386">
        <f>'Grid_Requirement'!CQ45</f>
        <v/>
      </c>
      <c r="CU1386">
        <f>'Grid_Requirement'!CR45</f>
        <v/>
      </c>
      <c r="CV1386">
        <f>'Grid_Requirement'!CS45</f>
        <v/>
      </c>
      <c r="CW1386">
        <f>'Grid_Requirement'!CT45</f>
        <v/>
      </c>
      <c r="CX1386">
        <f>'Grid_Requirement'!CU45</f>
        <v/>
      </c>
      <c r="CY1386">
        <f>'Grid_Requirement'!CV45</f>
        <v/>
      </c>
      <c r="CZ1386">
        <f>'Grid_Requirement'!CW45</f>
        <v/>
      </c>
      <c r="DA1386">
        <f>'Grid_Requirement'!CX45</f>
        <v/>
      </c>
      <c r="DB1386">
        <f>'Grid_Requirement'!CY45</f>
        <v/>
      </c>
      <c r="DC1386">
        <f>'Grid_Requirement'!CZ45</f>
        <v/>
      </c>
      <c r="DD1386">
        <f>'Grid_Requirement'!DA45</f>
        <v/>
      </c>
    </row>
    <row r="1387">
      <c r="B1387" t="inlineStr">
        <is>
          <t>TTAF在庫(実績,kg)</t>
        </is>
      </c>
      <c r="D1387">
        <f>IFERROR(INDEX(E1387:DD1387,$F$1),"")</f>
        <v/>
      </c>
      <c r="E1387">
        <f>IFERROR(SUMIFS(T_TTAFStock[TTAF_Qty],T_TTAFStock[RM_Code],$A1371,T_TTAFStock[WeekIndex],1),"")</f>
        <v/>
      </c>
      <c r="F1387">
        <f>IFERROR(SUMIFS(T_TTAFStock[TTAF_Qty],T_TTAFStock[RM_Code],$A1371,T_TTAFStock[WeekIndex],2),"")</f>
        <v/>
      </c>
      <c r="G1387">
        <f>IFERROR(SUMIFS(T_TTAFStock[TTAF_Qty],T_TTAFStock[RM_Code],$A1371,T_TTAFStock[WeekIndex],3),"")</f>
        <v/>
      </c>
      <c r="H1387">
        <f>IFERROR(SUMIFS(T_TTAFStock[TTAF_Qty],T_TTAFStock[RM_Code],$A1371,T_TTAFStock[WeekIndex],4),"")</f>
        <v/>
      </c>
      <c r="I1387">
        <f>IFERROR(SUMIFS(T_TTAFStock[TTAF_Qty],T_TTAFStock[RM_Code],$A1371,T_TTAFStock[WeekIndex],5),"")</f>
        <v/>
      </c>
      <c r="J1387">
        <f>IFERROR(SUMIFS(T_TTAFStock[TTAF_Qty],T_TTAFStock[RM_Code],$A1371,T_TTAFStock[WeekIndex],6),"")</f>
        <v/>
      </c>
      <c r="K1387">
        <f>IFERROR(SUMIFS(T_TTAFStock[TTAF_Qty],T_TTAFStock[RM_Code],$A1371,T_TTAFStock[WeekIndex],7),"")</f>
        <v/>
      </c>
      <c r="L1387">
        <f>IFERROR(SUMIFS(T_TTAFStock[TTAF_Qty],T_TTAFStock[RM_Code],$A1371,T_TTAFStock[WeekIndex],8),"")</f>
        <v/>
      </c>
      <c r="M1387">
        <f>IFERROR(SUMIFS(T_TTAFStock[TTAF_Qty],T_TTAFStock[RM_Code],$A1371,T_TTAFStock[WeekIndex],9),"")</f>
        <v/>
      </c>
      <c r="N1387">
        <f>IFERROR(SUMIFS(T_TTAFStock[TTAF_Qty],T_TTAFStock[RM_Code],$A1371,T_TTAFStock[WeekIndex],10),"")</f>
        <v/>
      </c>
      <c r="O1387">
        <f>IFERROR(SUMIFS(T_TTAFStock[TTAF_Qty],T_TTAFStock[RM_Code],$A1371,T_TTAFStock[WeekIndex],11),"")</f>
        <v/>
      </c>
      <c r="P1387">
        <f>IFERROR(SUMIFS(T_TTAFStock[TTAF_Qty],T_TTAFStock[RM_Code],$A1371,T_TTAFStock[WeekIndex],12),"")</f>
        <v/>
      </c>
      <c r="Q1387">
        <f>IFERROR(SUMIFS(T_TTAFStock[TTAF_Qty],T_TTAFStock[RM_Code],$A1371,T_TTAFStock[WeekIndex],13),"")</f>
        <v/>
      </c>
      <c r="R1387">
        <f>IFERROR(SUMIFS(T_TTAFStock[TTAF_Qty],T_TTAFStock[RM_Code],$A1371,T_TTAFStock[WeekIndex],14),"")</f>
        <v/>
      </c>
      <c r="S1387">
        <f>IFERROR(SUMIFS(T_TTAFStock[TTAF_Qty],T_TTAFStock[RM_Code],$A1371,T_TTAFStock[WeekIndex],15),"")</f>
        <v/>
      </c>
      <c r="T1387">
        <f>IFERROR(SUMIFS(T_TTAFStock[TTAF_Qty],T_TTAFStock[RM_Code],$A1371,T_TTAFStock[WeekIndex],16),"")</f>
        <v/>
      </c>
      <c r="U1387">
        <f>IFERROR(SUMIFS(T_TTAFStock[TTAF_Qty],T_TTAFStock[RM_Code],$A1371,T_TTAFStock[WeekIndex],17),"")</f>
        <v/>
      </c>
      <c r="V1387">
        <f>IFERROR(SUMIFS(T_TTAFStock[TTAF_Qty],T_TTAFStock[RM_Code],$A1371,T_TTAFStock[WeekIndex],18),"")</f>
        <v/>
      </c>
      <c r="W1387">
        <f>IFERROR(SUMIFS(T_TTAFStock[TTAF_Qty],T_TTAFStock[RM_Code],$A1371,T_TTAFStock[WeekIndex],19),"")</f>
        <v/>
      </c>
      <c r="X1387">
        <f>IFERROR(SUMIFS(T_TTAFStock[TTAF_Qty],T_TTAFStock[RM_Code],$A1371,T_TTAFStock[WeekIndex],20),"")</f>
        <v/>
      </c>
      <c r="Y1387">
        <f>IFERROR(SUMIFS(T_TTAFStock[TTAF_Qty],T_TTAFStock[RM_Code],$A1371,T_TTAFStock[WeekIndex],21),"")</f>
        <v/>
      </c>
      <c r="Z1387">
        <f>IFERROR(SUMIFS(T_TTAFStock[TTAF_Qty],T_TTAFStock[RM_Code],$A1371,T_TTAFStock[WeekIndex],22),"")</f>
        <v/>
      </c>
      <c r="AA1387">
        <f>IFERROR(SUMIFS(T_TTAFStock[TTAF_Qty],T_TTAFStock[RM_Code],$A1371,T_TTAFStock[WeekIndex],23),"")</f>
        <v/>
      </c>
      <c r="AB1387">
        <f>IFERROR(SUMIFS(T_TTAFStock[TTAF_Qty],T_TTAFStock[RM_Code],$A1371,T_TTAFStock[WeekIndex],24),"")</f>
        <v/>
      </c>
      <c r="AC1387">
        <f>IFERROR(SUMIFS(T_TTAFStock[TTAF_Qty],T_TTAFStock[RM_Code],$A1371,T_TTAFStock[WeekIndex],25),"")</f>
        <v/>
      </c>
      <c r="AD1387">
        <f>IFERROR(SUMIFS(T_TTAFStock[TTAF_Qty],T_TTAFStock[RM_Code],$A1371,T_TTAFStock[WeekIndex],26),"")</f>
        <v/>
      </c>
      <c r="AE1387">
        <f>IFERROR(SUMIFS(T_TTAFStock[TTAF_Qty],T_TTAFStock[RM_Code],$A1371,T_TTAFStock[WeekIndex],27),"")</f>
        <v/>
      </c>
      <c r="AF1387">
        <f>IFERROR(SUMIFS(T_TTAFStock[TTAF_Qty],T_TTAFStock[RM_Code],$A1371,T_TTAFStock[WeekIndex],28),"")</f>
        <v/>
      </c>
      <c r="AG1387">
        <f>IFERROR(SUMIFS(T_TTAFStock[TTAF_Qty],T_TTAFStock[RM_Code],$A1371,T_TTAFStock[WeekIndex],29),"")</f>
        <v/>
      </c>
      <c r="AH1387">
        <f>IFERROR(SUMIFS(T_TTAFStock[TTAF_Qty],T_TTAFStock[RM_Code],$A1371,T_TTAFStock[WeekIndex],30),"")</f>
        <v/>
      </c>
      <c r="AI1387">
        <f>IFERROR(SUMIFS(T_TTAFStock[TTAF_Qty],T_TTAFStock[RM_Code],$A1371,T_TTAFStock[WeekIndex],31),"")</f>
        <v/>
      </c>
      <c r="AJ1387">
        <f>IFERROR(SUMIFS(T_TTAFStock[TTAF_Qty],T_TTAFStock[RM_Code],$A1371,T_TTAFStock[WeekIndex],32),"")</f>
        <v/>
      </c>
      <c r="AK1387">
        <f>IFERROR(SUMIFS(T_TTAFStock[TTAF_Qty],T_TTAFStock[RM_Code],$A1371,T_TTAFStock[WeekIndex],33),"")</f>
        <v/>
      </c>
      <c r="AL1387">
        <f>IFERROR(SUMIFS(T_TTAFStock[TTAF_Qty],T_TTAFStock[RM_Code],$A1371,T_TTAFStock[WeekIndex],34),"")</f>
        <v/>
      </c>
      <c r="AM1387">
        <f>IFERROR(SUMIFS(T_TTAFStock[TTAF_Qty],T_TTAFStock[RM_Code],$A1371,T_TTAFStock[WeekIndex],35),"")</f>
        <v/>
      </c>
      <c r="AN1387">
        <f>IFERROR(SUMIFS(T_TTAFStock[TTAF_Qty],T_TTAFStock[RM_Code],$A1371,T_TTAFStock[WeekIndex],36),"")</f>
        <v/>
      </c>
      <c r="AO1387">
        <f>IFERROR(SUMIFS(T_TTAFStock[TTAF_Qty],T_TTAFStock[RM_Code],$A1371,T_TTAFStock[WeekIndex],37),"")</f>
        <v/>
      </c>
      <c r="AP1387">
        <f>IFERROR(SUMIFS(T_TTAFStock[TTAF_Qty],T_TTAFStock[RM_Code],$A1371,T_TTAFStock[WeekIndex],38),"")</f>
        <v/>
      </c>
      <c r="AQ1387">
        <f>IFERROR(SUMIFS(T_TTAFStock[TTAF_Qty],T_TTAFStock[RM_Code],$A1371,T_TTAFStock[WeekIndex],39),"")</f>
        <v/>
      </c>
      <c r="AR1387">
        <f>IFERROR(SUMIFS(T_TTAFStock[TTAF_Qty],T_TTAFStock[RM_Code],$A1371,T_TTAFStock[WeekIndex],40),"")</f>
        <v/>
      </c>
      <c r="AS1387">
        <f>IFERROR(SUMIFS(T_TTAFStock[TTAF_Qty],T_TTAFStock[RM_Code],$A1371,T_TTAFStock[WeekIndex],41),"")</f>
        <v/>
      </c>
      <c r="AT1387">
        <f>IFERROR(SUMIFS(T_TTAFStock[TTAF_Qty],T_TTAFStock[RM_Code],$A1371,T_TTAFStock[WeekIndex],42),"")</f>
        <v/>
      </c>
      <c r="AU1387">
        <f>IFERROR(SUMIFS(T_TTAFStock[TTAF_Qty],T_TTAFStock[RM_Code],$A1371,T_TTAFStock[WeekIndex],43),"")</f>
        <v/>
      </c>
      <c r="AV1387">
        <f>IFERROR(SUMIFS(T_TTAFStock[TTAF_Qty],T_TTAFStock[RM_Code],$A1371,T_TTAFStock[WeekIndex],44),"")</f>
        <v/>
      </c>
      <c r="AW1387">
        <f>IFERROR(SUMIFS(T_TTAFStock[TTAF_Qty],T_TTAFStock[RM_Code],$A1371,T_TTAFStock[WeekIndex],45),"")</f>
        <v/>
      </c>
      <c r="AX1387">
        <f>IFERROR(SUMIFS(T_TTAFStock[TTAF_Qty],T_TTAFStock[RM_Code],$A1371,T_TTAFStock[WeekIndex],46),"")</f>
        <v/>
      </c>
      <c r="AY1387">
        <f>IFERROR(SUMIFS(T_TTAFStock[TTAF_Qty],T_TTAFStock[RM_Code],$A1371,T_TTAFStock[WeekIndex],47),"")</f>
        <v/>
      </c>
      <c r="AZ1387">
        <f>IFERROR(SUMIFS(T_TTAFStock[TTAF_Qty],T_TTAFStock[RM_Code],$A1371,T_TTAFStock[WeekIndex],48),"")</f>
        <v/>
      </c>
      <c r="BA1387">
        <f>IFERROR(SUMIFS(T_TTAFStock[TTAF_Qty],T_TTAFStock[RM_Code],$A1371,T_TTAFStock[WeekIndex],49),"")</f>
        <v/>
      </c>
      <c r="BB1387">
        <f>IFERROR(SUMIFS(T_TTAFStock[TTAF_Qty],T_TTAFStock[RM_Code],$A1371,T_TTAFStock[WeekIndex],50),"")</f>
        <v/>
      </c>
      <c r="BC1387">
        <f>IFERROR(SUMIFS(T_TTAFStock[TTAF_Qty],T_TTAFStock[RM_Code],$A1371,T_TTAFStock[WeekIndex],51),"")</f>
        <v/>
      </c>
      <c r="BD1387">
        <f>IFERROR(SUMIFS(T_TTAFStock[TTAF_Qty],T_TTAFStock[RM_Code],$A1371,T_TTAFStock[WeekIndex],52),"")</f>
        <v/>
      </c>
      <c r="BE1387">
        <f>IFERROR(SUMIFS(T_TTAFStock[TTAF_Qty],T_TTAFStock[RM_Code],$A1371,T_TTAFStock[WeekIndex],53),"")</f>
        <v/>
      </c>
      <c r="BF1387">
        <f>IFERROR(SUMIFS(T_TTAFStock[TTAF_Qty],T_TTAFStock[RM_Code],$A1371,T_TTAFStock[WeekIndex],54),"")</f>
        <v/>
      </c>
      <c r="BG1387">
        <f>IFERROR(SUMIFS(T_TTAFStock[TTAF_Qty],T_TTAFStock[RM_Code],$A1371,T_TTAFStock[WeekIndex],55),"")</f>
        <v/>
      </c>
      <c r="BH1387">
        <f>IFERROR(SUMIFS(T_TTAFStock[TTAF_Qty],T_TTAFStock[RM_Code],$A1371,T_TTAFStock[WeekIndex],56),"")</f>
        <v/>
      </c>
      <c r="BI1387">
        <f>IFERROR(SUMIFS(T_TTAFStock[TTAF_Qty],T_TTAFStock[RM_Code],$A1371,T_TTAFStock[WeekIndex],57),"")</f>
        <v/>
      </c>
      <c r="BJ1387">
        <f>IFERROR(SUMIFS(T_TTAFStock[TTAF_Qty],T_TTAFStock[RM_Code],$A1371,T_TTAFStock[WeekIndex],58),"")</f>
        <v/>
      </c>
      <c r="BK1387">
        <f>IFERROR(SUMIFS(T_TTAFStock[TTAF_Qty],T_TTAFStock[RM_Code],$A1371,T_TTAFStock[WeekIndex],59),"")</f>
        <v/>
      </c>
      <c r="BL1387">
        <f>IFERROR(SUMIFS(T_TTAFStock[TTAF_Qty],T_TTAFStock[RM_Code],$A1371,T_TTAFStock[WeekIndex],60),"")</f>
        <v/>
      </c>
      <c r="BM1387">
        <f>IFERROR(SUMIFS(T_TTAFStock[TTAF_Qty],T_TTAFStock[RM_Code],$A1371,T_TTAFStock[WeekIndex],61),"")</f>
        <v/>
      </c>
      <c r="BN1387">
        <f>IFERROR(SUMIFS(T_TTAFStock[TTAF_Qty],T_TTAFStock[RM_Code],$A1371,T_TTAFStock[WeekIndex],62),"")</f>
        <v/>
      </c>
      <c r="BO1387">
        <f>IFERROR(SUMIFS(T_TTAFStock[TTAF_Qty],T_TTAFStock[RM_Code],$A1371,T_TTAFStock[WeekIndex],63),"")</f>
        <v/>
      </c>
      <c r="BP1387">
        <f>IFERROR(SUMIFS(T_TTAFStock[TTAF_Qty],T_TTAFStock[RM_Code],$A1371,T_TTAFStock[WeekIndex],64),"")</f>
        <v/>
      </c>
      <c r="BQ1387">
        <f>IFERROR(SUMIFS(T_TTAFStock[TTAF_Qty],T_TTAFStock[RM_Code],$A1371,T_TTAFStock[WeekIndex],65),"")</f>
        <v/>
      </c>
      <c r="BR1387">
        <f>IFERROR(SUMIFS(T_TTAFStock[TTAF_Qty],T_TTAFStock[RM_Code],$A1371,T_TTAFStock[WeekIndex],66),"")</f>
        <v/>
      </c>
      <c r="BS1387">
        <f>IFERROR(SUMIFS(T_TTAFStock[TTAF_Qty],T_TTAFStock[RM_Code],$A1371,T_TTAFStock[WeekIndex],67),"")</f>
        <v/>
      </c>
      <c r="BT1387">
        <f>IFERROR(SUMIFS(T_TTAFStock[TTAF_Qty],T_TTAFStock[RM_Code],$A1371,T_TTAFStock[WeekIndex],68),"")</f>
        <v/>
      </c>
      <c r="BU1387">
        <f>IFERROR(SUMIFS(T_TTAFStock[TTAF_Qty],T_TTAFStock[RM_Code],$A1371,T_TTAFStock[WeekIndex],69),"")</f>
        <v/>
      </c>
      <c r="BV1387">
        <f>IFERROR(SUMIFS(T_TTAFStock[TTAF_Qty],T_TTAFStock[RM_Code],$A1371,T_TTAFStock[WeekIndex],70),"")</f>
        <v/>
      </c>
      <c r="BW1387">
        <f>IFERROR(SUMIFS(T_TTAFStock[TTAF_Qty],T_TTAFStock[RM_Code],$A1371,T_TTAFStock[WeekIndex],71),"")</f>
        <v/>
      </c>
      <c r="BX1387">
        <f>IFERROR(SUMIFS(T_TTAFStock[TTAF_Qty],T_TTAFStock[RM_Code],$A1371,T_TTAFStock[WeekIndex],72),"")</f>
        <v/>
      </c>
      <c r="BY1387">
        <f>IFERROR(SUMIFS(T_TTAFStock[TTAF_Qty],T_TTAFStock[RM_Code],$A1371,T_TTAFStock[WeekIndex],73),"")</f>
        <v/>
      </c>
      <c r="BZ1387">
        <f>IFERROR(SUMIFS(T_TTAFStock[TTAF_Qty],T_TTAFStock[RM_Code],$A1371,T_TTAFStock[WeekIndex],74),"")</f>
        <v/>
      </c>
      <c r="CA1387">
        <f>IFERROR(SUMIFS(T_TTAFStock[TTAF_Qty],T_TTAFStock[RM_Code],$A1371,T_TTAFStock[WeekIndex],75),"")</f>
        <v/>
      </c>
      <c r="CB1387">
        <f>IFERROR(SUMIFS(T_TTAFStock[TTAF_Qty],T_TTAFStock[RM_Code],$A1371,T_TTAFStock[WeekIndex],76),"")</f>
        <v/>
      </c>
      <c r="CC1387">
        <f>IFERROR(SUMIFS(T_TTAFStock[TTAF_Qty],T_TTAFStock[RM_Code],$A1371,T_TTAFStock[WeekIndex],77),"")</f>
        <v/>
      </c>
      <c r="CD1387">
        <f>IFERROR(SUMIFS(T_TTAFStock[TTAF_Qty],T_TTAFStock[RM_Code],$A1371,T_TTAFStock[WeekIndex],78),"")</f>
        <v/>
      </c>
      <c r="CE1387">
        <f>IFERROR(SUMIFS(T_TTAFStock[TTAF_Qty],T_TTAFStock[RM_Code],$A1371,T_TTAFStock[WeekIndex],79),"")</f>
        <v/>
      </c>
      <c r="CF1387">
        <f>IFERROR(SUMIFS(T_TTAFStock[TTAF_Qty],T_TTAFStock[RM_Code],$A1371,T_TTAFStock[WeekIndex],80),"")</f>
        <v/>
      </c>
      <c r="CG1387">
        <f>IFERROR(SUMIFS(T_TTAFStock[TTAF_Qty],T_TTAFStock[RM_Code],$A1371,T_TTAFStock[WeekIndex],81),"")</f>
        <v/>
      </c>
      <c r="CH1387">
        <f>IFERROR(SUMIFS(T_TTAFStock[TTAF_Qty],T_TTAFStock[RM_Code],$A1371,T_TTAFStock[WeekIndex],82),"")</f>
        <v/>
      </c>
      <c r="CI1387">
        <f>IFERROR(SUMIFS(T_TTAFStock[TTAF_Qty],T_TTAFStock[RM_Code],$A1371,T_TTAFStock[WeekIndex],83),"")</f>
        <v/>
      </c>
      <c r="CJ1387">
        <f>IFERROR(SUMIFS(T_TTAFStock[TTAF_Qty],T_TTAFStock[RM_Code],$A1371,T_TTAFStock[WeekIndex],84),"")</f>
        <v/>
      </c>
      <c r="CK1387">
        <f>IFERROR(SUMIFS(T_TTAFStock[TTAF_Qty],T_TTAFStock[RM_Code],$A1371,T_TTAFStock[WeekIndex],85),"")</f>
        <v/>
      </c>
      <c r="CL1387">
        <f>IFERROR(SUMIFS(T_TTAFStock[TTAF_Qty],T_TTAFStock[RM_Code],$A1371,T_TTAFStock[WeekIndex],86),"")</f>
        <v/>
      </c>
      <c r="CM1387">
        <f>IFERROR(SUMIFS(T_TTAFStock[TTAF_Qty],T_TTAFStock[RM_Code],$A1371,T_TTAFStock[WeekIndex],87),"")</f>
        <v/>
      </c>
      <c r="CN1387">
        <f>IFERROR(SUMIFS(T_TTAFStock[TTAF_Qty],T_TTAFStock[RM_Code],$A1371,T_TTAFStock[WeekIndex],88),"")</f>
        <v/>
      </c>
      <c r="CO1387">
        <f>IFERROR(SUMIFS(T_TTAFStock[TTAF_Qty],T_TTAFStock[RM_Code],$A1371,T_TTAFStock[WeekIndex],89),"")</f>
        <v/>
      </c>
      <c r="CP1387">
        <f>IFERROR(SUMIFS(T_TTAFStock[TTAF_Qty],T_TTAFStock[RM_Code],$A1371,T_TTAFStock[WeekIndex],90),"")</f>
        <v/>
      </c>
      <c r="CQ1387">
        <f>IFERROR(SUMIFS(T_TTAFStock[TTAF_Qty],T_TTAFStock[RM_Code],$A1371,T_TTAFStock[WeekIndex],91),"")</f>
        <v/>
      </c>
      <c r="CR1387">
        <f>IFERROR(SUMIFS(T_TTAFStock[TTAF_Qty],T_TTAFStock[RM_Code],$A1371,T_TTAFStock[WeekIndex],92),"")</f>
        <v/>
      </c>
      <c r="CS1387">
        <f>IFERROR(SUMIFS(T_TTAFStock[TTAF_Qty],T_TTAFStock[RM_Code],$A1371,T_TTAFStock[WeekIndex],93),"")</f>
        <v/>
      </c>
      <c r="CT1387">
        <f>IFERROR(SUMIFS(T_TTAFStock[TTAF_Qty],T_TTAFStock[RM_Code],$A1371,T_TTAFStock[WeekIndex],94),"")</f>
        <v/>
      </c>
      <c r="CU1387">
        <f>IFERROR(SUMIFS(T_TTAFStock[TTAF_Qty],T_TTAFStock[RM_Code],$A1371,T_TTAFStock[WeekIndex],95),"")</f>
        <v/>
      </c>
      <c r="CV1387">
        <f>IFERROR(SUMIFS(T_TTAFStock[TTAF_Qty],T_TTAFStock[RM_Code],$A1371,T_TTAFStock[WeekIndex],96),"")</f>
        <v/>
      </c>
      <c r="CW1387">
        <f>IFERROR(SUMIFS(T_TTAFStock[TTAF_Qty],T_TTAFStock[RM_Code],$A1371,T_TTAFStock[WeekIndex],97),"")</f>
        <v/>
      </c>
      <c r="CX1387">
        <f>IFERROR(SUMIFS(T_TTAFStock[TTAF_Qty],T_TTAFStock[RM_Code],$A1371,T_TTAFStock[WeekIndex],98),"")</f>
        <v/>
      </c>
      <c r="CY1387">
        <f>IFERROR(SUMIFS(T_TTAFStock[TTAF_Qty],T_TTAFStock[RM_Code],$A1371,T_TTAFStock[WeekIndex],99),"")</f>
        <v/>
      </c>
      <c r="CZ1387">
        <f>IFERROR(SUMIFS(T_TTAFStock[TTAF_Qty],T_TTAFStock[RM_Code],$A1371,T_TTAFStock[WeekIndex],100),"")</f>
        <v/>
      </c>
      <c r="DA1387">
        <f>IFERROR(SUMIFS(T_TTAFStock[TTAF_Qty],T_TTAFStock[RM_Code],$A1371,T_TTAFStock[WeekIndex],101),"")</f>
        <v/>
      </c>
      <c r="DB1387">
        <f>IFERROR(SUMIFS(T_TTAFStock[TTAF_Qty],T_TTAFStock[RM_Code],$A1371,T_TTAFStock[WeekIndex],102),"")</f>
        <v/>
      </c>
      <c r="DC1387">
        <f>IFERROR(SUMIFS(T_TTAFStock[TTAF_Qty],T_TTAFStock[RM_Code],$A1371,T_TTAFStock[WeekIndex],103),"")</f>
        <v/>
      </c>
      <c r="DD1387">
        <f>IFERROR(SUMIFS(T_TTAFStock[TTAF_Qty],T_TTAFStock[RM_Code],$A1371,T_TTAFStock[WeekIndex],104),"")</f>
        <v/>
      </c>
    </row>
    <row r="1388">
      <c r="B1388" t="inlineStr">
        <is>
          <t>自社在庫(実績,kg)</t>
        </is>
      </c>
      <c r="D1388">
        <f>IFERROR(INDEX(E1388:DD1388,$F$1),"")</f>
        <v/>
      </c>
      <c r="E1388">
        <f>IFERROR(SUMIFS(T_SelfStock[Self_Qty],T_SelfStock[RM_Code],$A1371,T_SelfStock[WeekIndex],1),"")</f>
        <v/>
      </c>
      <c r="F1388">
        <f>IFERROR(SUMIFS(T_SelfStock[Self_Qty],T_SelfStock[RM_Code],$A1371,T_SelfStock[WeekIndex],2),"")</f>
        <v/>
      </c>
      <c r="G1388">
        <f>IFERROR(SUMIFS(T_SelfStock[Self_Qty],T_SelfStock[RM_Code],$A1371,T_SelfStock[WeekIndex],3),"")</f>
        <v/>
      </c>
      <c r="H1388">
        <f>IFERROR(SUMIFS(T_SelfStock[Self_Qty],T_SelfStock[RM_Code],$A1371,T_SelfStock[WeekIndex],4),"")</f>
        <v/>
      </c>
      <c r="I1388">
        <f>IFERROR(SUMIFS(T_SelfStock[Self_Qty],T_SelfStock[RM_Code],$A1371,T_SelfStock[WeekIndex],5),"")</f>
        <v/>
      </c>
      <c r="J1388">
        <f>IFERROR(SUMIFS(T_SelfStock[Self_Qty],T_SelfStock[RM_Code],$A1371,T_SelfStock[WeekIndex],6),"")</f>
        <v/>
      </c>
      <c r="K1388">
        <f>IFERROR(SUMIFS(T_SelfStock[Self_Qty],T_SelfStock[RM_Code],$A1371,T_SelfStock[WeekIndex],7),"")</f>
        <v/>
      </c>
      <c r="L1388">
        <f>IFERROR(SUMIFS(T_SelfStock[Self_Qty],T_SelfStock[RM_Code],$A1371,T_SelfStock[WeekIndex],8),"")</f>
        <v/>
      </c>
      <c r="M1388">
        <f>IFERROR(SUMIFS(T_SelfStock[Self_Qty],T_SelfStock[RM_Code],$A1371,T_SelfStock[WeekIndex],9),"")</f>
        <v/>
      </c>
      <c r="N1388">
        <f>IFERROR(SUMIFS(T_SelfStock[Self_Qty],T_SelfStock[RM_Code],$A1371,T_SelfStock[WeekIndex],10),"")</f>
        <v/>
      </c>
      <c r="O1388">
        <f>IFERROR(SUMIFS(T_SelfStock[Self_Qty],T_SelfStock[RM_Code],$A1371,T_SelfStock[WeekIndex],11),"")</f>
        <v/>
      </c>
      <c r="P1388">
        <f>IFERROR(SUMIFS(T_SelfStock[Self_Qty],T_SelfStock[RM_Code],$A1371,T_SelfStock[WeekIndex],12),"")</f>
        <v/>
      </c>
      <c r="Q1388">
        <f>IFERROR(SUMIFS(T_SelfStock[Self_Qty],T_SelfStock[RM_Code],$A1371,T_SelfStock[WeekIndex],13),"")</f>
        <v/>
      </c>
      <c r="R1388">
        <f>IFERROR(SUMIFS(T_SelfStock[Self_Qty],T_SelfStock[RM_Code],$A1371,T_SelfStock[WeekIndex],14),"")</f>
        <v/>
      </c>
      <c r="S1388">
        <f>IFERROR(SUMIFS(T_SelfStock[Self_Qty],T_SelfStock[RM_Code],$A1371,T_SelfStock[WeekIndex],15),"")</f>
        <v/>
      </c>
      <c r="T1388">
        <f>IFERROR(SUMIFS(T_SelfStock[Self_Qty],T_SelfStock[RM_Code],$A1371,T_SelfStock[WeekIndex],16),"")</f>
        <v/>
      </c>
      <c r="U1388">
        <f>IFERROR(SUMIFS(T_SelfStock[Self_Qty],T_SelfStock[RM_Code],$A1371,T_SelfStock[WeekIndex],17),"")</f>
        <v/>
      </c>
      <c r="V1388">
        <f>IFERROR(SUMIFS(T_SelfStock[Self_Qty],T_SelfStock[RM_Code],$A1371,T_SelfStock[WeekIndex],18),"")</f>
        <v/>
      </c>
      <c r="W1388">
        <f>IFERROR(SUMIFS(T_SelfStock[Self_Qty],T_SelfStock[RM_Code],$A1371,T_SelfStock[WeekIndex],19),"")</f>
        <v/>
      </c>
      <c r="X1388">
        <f>IFERROR(SUMIFS(T_SelfStock[Self_Qty],T_SelfStock[RM_Code],$A1371,T_SelfStock[WeekIndex],20),"")</f>
        <v/>
      </c>
      <c r="Y1388">
        <f>IFERROR(SUMIFS(T_SelfStock[Self_Qty],T_SelfStock[RM_Code],$A1371,T_SelfStock[WeekIndex],21),"")</f>
        <v/>
      </c>
      <c r="Z1388">
        <f>IFERROR(SUMIFS(T_SelfStock[Self_Qty],T_SelfStock[RM_Code],$A1371,T_SelfStock[WeekIndex],22),"")</f>
        <v/>
      </c>
      <c r="AA1388">
        <f>IFERROR(SUMIFS(T_SelfStock[Self_Qty],T_SelfStock[RM_Code],$A1371,T_SelfStock[WeekIndex],23),"")</f>
        <v/>
      </c>
      <c r="AB1388">
        <f>IFERROR(SUMIFS(T_SelfStock[Self_Qty],T_SelfStock[RM_Code],$A1371,T_SelfStock[WeekIndex],24),"")</f>
        <v/>
      </c>
      <c r="AC1388">
        <f>IFERROR(SUMIFS(T_SelfStock[Self_Qty],T_SelfStock[RM_Code],$A1371,T_SelfStock[WeekIndex],25),"")</f>
        <v/>
      </c>
      <c r="AD1388">
        <f>IFERROR(SUMIFS(T_SelfStock[Self_Qty],T_SelfStock[RM_Code],$A1371,T_SelfStock[WeekIndex],26),"")</f>
        <v/>
      </c>
      <c r="AE1388">
        <f>IFERROR(SUMIFS(T_SelfStock[Self_Qty],T_SelfStock[RM_Code],$A1371,T_SelfStock[WeekIndex],27),"")</f>
        <v/>
      </c>
      <c r="AF1388">
        <f>IFERROR(SUMIFS(T_SelfStock[Self_Qty],T_SelfStock[RM_Code],$A1371,T_SelfStock[WeekIndex],28),"")</f>
        <v/>
      </c>
      <c r="AG1388">
        <f>IFERROR(SUMIFS(T_SelfStock[Self_Qty],T_SelfStock[RM_Code],$A1371,T_SelfStock[WeekIndex],29),"")</f>
        <v/>
      </c>
      <c r="AH1388">
        <f>IFERROR(SUMIFS(T_SelfStock[Self_Qty],T_SelfStock[RM_Code],$A1371,T_SelfStock[WeekIndex],30),"")</f>
        <v/>
      </c>
      <c r="AI1388">
        <f>IFERROR(SUMIFS(T_SelfStock[Self_Qty],T_SelfStock[RM_Code],$A1371,T_SelfStock[WeekIndex],31),"")</f>
        <v/>
      </c>
      <c r="AJ1388">
        <f>IFERROR(SUMIFS(T_SelfStock[Self_Qty],T_SelfStock[RM_Code],$A1371,T_SelfStock[WeekIndex],32),"")</f>
        <v/>
      </c>
      <c r="AK1388">
        <f>IFERROR(SUMIFS(T_SelfStock[Self_Qty],T_SelfStock[RM_Code],$A1371,T_SelfStock[WeekIndex],33),"")</f>
        <v/>
      </c>
      <c r="AL1388">
        <f>IFERROR(SUMIFS(T_SelfStock[Self_Qty],T_SelfStock[RM_Code],$A1371,T_SelfStock[WeekIndex],34),"")</f>
        <v/>
      </c>
      <c r="AM1388">
        <f>IFERROR(SUMIFS(T_SelfStock[Self_Qty],T_SelfStock[RM_Code],$A1371,T_SelfStock[WeekIndex],35),"")</f>
        <v/>
      </c>
      <c r="AN1388">
        <f>IFERROR(SUMIFS(T_SelfStock[Self_Qty],T_SelfStock[RM_Code],$A1371,T_SelfStock[WeekIndex],36),"")</f>
        <v/>
      </c>
      <c r="AO1388">
        <f>IFERROR(SUMIFS(T_SelfStock[Self_Qty],T_SelfStock[RM_Code],$A1371,T_SelfStock[WeekIndex],37),"")</f>
        <v/>
      </c>
      <c r="AP1388">
        <f>IFERROR(SUMIFS(T_SelfStock[Self_Qty],T_SelfStock[RM_Code],$A1371,T_SelfStock[WeekIndex],38),"")</f>
        <v/>
      </c>
      <c r="AQ1388">
        <f>IFERROR(SUMIFS(T_SelfStock[Self_Qty],T_SelfStock[RM_Code],$A1371,T_SelfStock[WeekIndex],39),"")</f>
        <v/>
      </c>
      <c r="AR1388">
        <f>IFERROR(SUMIFS(T_SelfStock[Self_Qty],T_SelfStock[RM_Code],$A1371,T_SelfStock[WeekIndex],40),"")</f>
        <v/>
      </c>
      <c r="AS1388">
        <f>IFERROR(SUMIFS(T_SelfStock[Self_Qty],T_SelfStock[RM_Code],$A1371,T_SelfStock[WeekIndex],41),"")</f>
        <v/>
      </c>
      <c r="AT1388">
        <f>IFERROR(SUMIFS(T_SelfStock[Self_Qty],T_SelfStock[RM_Code],$A1371,T_SelfStock[WeekIndex],42),"")</f>
        <v/>
      </c>
      <c r="AU1388">
        <f>IFERROR(SUMIFS(T_SelfStock[Self_Qty],T_SelfStock[RM_Code],$A1371,T_SelfStock[WeekIndex],43),"")</f>
        <v/>
      </c>
      <c r="AV1388">
        <f>IFERROR(SUMIFS(T_SelfStock[Self_Qty],T_SelfStock[RM_Code],$A1371,T_SelfStock[WeekIndex],44),"")</f>
        <v/>
      </c>
      <c r="AW1388">
        <f>IFERROR(SUMIFS(T_SelfStock[Self_Qty],T_SelfStock[RM_Code],$A1371,T_SelfStock[WeekIndex],45),"")</f>
        <v/>
      </c>
      <c r="AX1388">
        <f>IFERROR(SUMIFS(T_SelfStock[Self_Qty],T_SelfStock[RM_Code],$A1371,T_SelfStock[WeekIndex],46),"")</f>
        <v/>
      </c>
      <c r="AY1388">
        <f>IFERROR(SUMIFS(T_SelfStock[Self_Qty],T_SelfStock[RM_Code],$A1371,T_SelfStock[WeekIndex],47),"")</f>
        <v/>
      </c>
      <c r="AZ1388">
        <f>IFERROR(SUMIFS(T_SelfStock[Self_Qty],T_SelfStock[RM_Code],$A1371,T_SelfStock[WeekIndex],48),"")</f>
        <v/>
      </c>
      <c r="BA1388">
        <f>IFERROR(SUMIFS(T_SelfStock[Self_Qty],T_SelfStock[RM_Code],$A1371,T_SelfStock[WeekIndex],49),"")</f>
        <v/>
      </c>
      <c r="BB1388">
        <f>IFERROR(SUMIFS(T_SelfStock[Self_Qty],T_SelfStock[RM_Code],$A1371,T_SelfStock[WeekIndex],50),"")</f>
        <v/>
      </c>
      <c r="BC1388">
        <f>IFERROR(SUMIFS(T_SelfStock[Self_Qty],T_SelfStock[RM_Code],$A1371,T_SelfStock[WeekIndex],51),"")</f>
        <v/>
      </c>
      <c r="BD1388">
        <f>IFERROR(SUMIFS(T_SelfStock[Self_Qty],T_SelfStock[RM_Code],$A1371,T_SelfStock[WeekIndex],52),"")</f>
        <v/>
      </c>
      <c r="BE1388">
        <f>IFERROR(SUMIFS(T_SelfStock[Self_Qty],T_SelfStock[RM_Code],$A1371,T_SelfStock[WeekIndex],53),"")</f>
        <v/>
      </c>
      <c r="BF1388">
        <f>IFERROR(SUMIFS(T_SelfStock[Self_Qty],T_SelfStock[RM_Code],$A1371,T_SelfStock[WeekIndex],54),"")</f>
        <v/>
      </c>
      <c r="BG1388">
        <f>IFERROR(SUMIFS(T_SelfStock[Self_Qty],T_SelfStock[RM_Code],$A1371,T_SelfStock[WeekIndex],55),"")</f>
        <v/>
      </c>
      <c r="BH1388">
        <f>IFERROR(SUMIFS(T_SelfStock[Self_Qty],T_SelfStock[RM_Code],$A1371,T_SelfStock[WeekIndex],56),"")</f>
        <v/>
      </c>
      <c r="BI1388">
        <f>IFERROR(SUMIFS(T_SelfStock[Self_Qty],T_SelfStock[RM_Code],$A1371,T_SelfStock[WeekIndex],57),"")</f>
        <v/>
      </c>
      <c r="BJ1388">
        <f>IFERROR(SUMIFS(T_SelfStock[Self_Qty],T_SelfStock[RM_Code],$A1371,T_SelfStock[WeekIndex],58),"")</f>
        <v/>
      </c>
      <c r="BK1388">
        <f>IFERROR(SUMIFS(T_SelfStock[Self_Qty],T_SelfStock[RM_Code],$A1371,T_SelfStock[WeekIndex],59),"")</f>
        <v/>
      </c>
      <c r="BL1388">
        <f>IFERROR(SUMIFS(T_SelfStock[Self_Qty],T_SelfStock[RM_Code],$A1371,T_SelfStock[WeekIndex],60),"")</f>
        <v/>
      </c>
      <c r="BM1388">
        <f>IFERROR(SUMIFS(T_SelfStock[Self_Qty],T_SelfStock[RM_Code],$A1371,T_SelfStock[WeekIndex],61),"")</f>
        <v/>
      </c>
      <c r="BN1388">
        <f>IFERROR(SUMIFS(T_SelfStock[Self_Qty],T_SelfStock[RM_Code],$A1371,T_SelfStock[WeekIndex],62),"")</f>
        <v/>
      </c>
      <c r="BO1388">
        <f>IFERROR(SUMIFS(T_SelfStock[Self_Qty],T_SelfStock[RM_Code],$A1371,T_SelfStock[WeekIndex],63),"")</f>
        <v/>
      </c>
      <c r="BP1388">
        <f>IFERROR(SUMIFS(T_SelfStock[Self_Qty],T_SelfStock[RM_Code],$A1371,T_SelfStock[WeekIndex],64),"")</f>
        <v/>
      </c>
      <c r="BQ1388">
        <f>IFERROR(SUMIFS(T_SelfStock[Self_Qty],T_SelfStock[RM_Code],$A1371,T_SelfStock[WeekIndex],65),"")</f>
        <v/>
      </c>
      <c r="BR1388">
        <f>IFERROR(SUMIFS(T_SelfStock[Self_Qty],T_SelfStock[RM_Code],$A1371,T_SelfStock[WeekIndex],66),"")</f>
        <v/>
      </c>
      <c r="BS1388">
        <f>IFERROR(SUMIFS(T_SelfStock[Self_Qty],T_SelfStock[RM_Code],$A1371,T_SelfStock[WeekIndex],67),"")</f>
        <v/>
      </c>
      <c r="BT1388">
        <f>IFERROR(SUMIFS(T_SelfStock[Self_Qty],T_SelfStock[RM_Code],$A1371,T_SelfStock[WeekIndex],68),"")</f>
        <v/>
      </c>
      <c r="BU1388">
        <f>IFERROR(SUMIFS(T_SelfStock[Self_Qty],T_SelfStock[RM_Code],$A1371,T_SelfStock[WeekIndex],69),"")</f>
        <v/>
      </c>
      <c r="BV1388">
        <f>IFERROR(SUMIFS(T_SelfStock[Self_Qty],T_SelfStock[RM_Code],$A1371,T_SelfStock[WeekIndex],70),"")</f>
        <v/>
      </c>
      <c r="BW1388">
        <f>IFERROR(SUMIFS(T_SelfStock[Self_Qty],T_SelfStock[RM_Code],$A1371,T_SelfStock[WeekIndex],71),"")</f>
        <v/>
      </c>
      <c r="BX1388">
        <f>IFERROR(SUMIFS(T_SelfStock[Self_Qty],T_SelfStock[RM_Code],$A1371,T_SelfStock[WeekIndex],72),"")</f>
        <v/>
      </c>
      <c r="BY1388">
        <f>IFERROR(SUMIFS(T_SelfStock[Self_Qty],T_SelfStock[RM_Code],$A1371,T_SelfStock[WeekIndex],73),"")</f>
        <v/>
      </c>
      <c r="BZ1388">
        <f>IFERROR(SUMIFS(T_SelfStock[Self_Qty],T_SelfStock[RM_Code],$A1371,T_SelfStock[WeekIndex],74),"")</f>
        <v/>
      </c>
      <c r="CA1388">
        <f>IFERROR(SUMIFS(T_SelfStock[Self_Qty],T_SelfStock[RM_Code],$A1371,T_SelfStock[WeekIndex],75),"")</f>
        <v/>
      </c>
      <c r="CB1388">
        <f>IFERROR(SUMIFS(T_SelfStock[Self_Qty],T_SelfStock[RM_Code],$A1371,T_SelfStock[WeekIndex],76),"")</f>
        <v/>
      </c>
      <c r="CC1388">
        <f>IFERROR(SUMIFS(T_SelfStock[Self_Qty],T_SelfStock[RM_Code],$A1371,T_SelfStock[WeekIndex],77),"")</f>
        <v/>
      </c>
      <c r="CD1388">
        <f>IFERROR(SUMIFS(T_SelfStock[Self_Qty],T_SelfStock[RM_Code],$A1371,T_SelfStock[WeekIndex],78),"")</f>
        <v/>
      </c>
      <c r="CE1388">
        <f>IFERROR(SUMIFS(T_SelfStock[Self_Qty],T_SelfStock[RM_Code],$A1371,T_SelfStock[WeekIndex],79),"")</f>
        <v/>
      </c>
      <c r="CF1388">
        <f>IFERROR(SUMIFS(T_SelfStock[Self_Qty],T_SelfStock[RM_Code],$A1371,T_SelfStock[WeekIndex],80),"")</f>
        <v/>
      </c>
      <c r="CG1388">
        <f>IFERROR(SUMIFS(T_SelfStock[Self_Qty],T_SelfStock[RM_Code],$A1371,T_SelfStock[WeekIndex],81),"")</f>
        <v/>
      </c>
      <c r="CH1388">
        <f>IFERROR(SUMIFS(T_SelfStock[Self_Qty],T_SelfStock[RM_Code],$A1371,T_SelfStock[WeekIndex],82),"")</f>
        <v/>
      </c>
      <c r="CI1388">
        <f>IFERROR(SUMIFS(T_SelfStock[Self_Qty],T_SelfStock[RM_Code],$A1371,T_SelfStock[WeekIndex],83),"")</f>
        <v/>
      </c>
      <c r="CJ1388">
        <f>IFERROR(SUMIFS(T_SelfStock[Self_Qty],T_SelfStock[RM_Code],$A1371,T_SelfStock[WeekIndex],84),"")</f>
        <v/>
      </c>
      <c r="CK1388">
        <f>IFERROR(SUMIFS(T_SelfStock[Self_Qty],T_SelfStock[RM_Code],$A1371,T_SelfStock[WeekIndex],85),"")</f>
        <v/>
      </c>
      <c r="CL1388">
        <f>IFERROR(SUMIFS(T_SelfStock[Self_Qty],T_SelfStock[RM_Code],$A1371,T_SelfStock[WeekIndex],86),"")</f>
        <v/>
      </c>
      <c r="CM1388">
        <f>IFERROR(SUMIFS(T_SelfStock[Self_Qty],T_SelfStock[RM_Code],$A1371,T_SelfStock[WeekIndex],87),"")</f>
        <v/>
      </c>
      <c r="CN1388">
        <f>IFERROR(SUMIFS(T_SelfStock[Self_Qty],T_SelfStock[RM_Code],$A1371,T_SelfStock[WeekIndex],88),"")</f>
        <v/>
      </c>
      <c r="CO1388">
        <f>IFERROR(SUMIFS(T_SelfStock[Self_Qty],T_SelfStock[RM_Code],$A1371,T_SelfStock[WeekIndex],89),"")</f>
        <v/>
      </c>
      <c r="CP1388">
        <f>IFERROR(SUMIFS(T_SelfStock[Self_Qty],T_SelfStock[RM_Code],$A1371,T_SelfStock[WeekIndex],90),"")</f>
        <v/>
      </c>
      <c r="CQ1388">
        <f>IFERROR(SUMIFS(T_SelfStock[Self_Qty],T_SelfStock[RM_Code],$A1371,T_SelfStock[WeekIndex],91),"")</f>
        <v/>
      </c>
      <c r="CR1388">
        <f>IFERROR(SUMIFS(T_SelfStock[Self_Qty],T_SelfStock[RM_Code],$A1371,T_SelfStock[WeekIndex],92),"")</f>
        <v/>
      </c>
      <c r="CS1388">
        <f>IFERROR(SUMIFS(T_SelfStock[Self_Qty],T_SelfStock[RM_Code],$A1371,T_SelfStock[WeekIndex],93),"")</f>
        <v/>
      </c>
      <c r="CT1388">
        <f>IFERROR(SUMIFS(T_SelfStock[Self_Qty],T_SelfStock[RM_Code],$A1371,T_SelfStock[WeekIndex],94),"")</f>
        <v/>
      </c>
      <c r="CU1388">
        <f>IFERROR(SUMIFS(T_SelfStock[Self_Qty],T_SelfStock[RM_Code],$A1371,T_SelfStock[WeekIndex],95),"")</f>
        <v/>
      </c>
      <c r="CV1388">
        <f>IFERROR(SUMIFS(T_SelfStock[Self_Qty],T_SelfStock[RM_Code],$A1371,T_SelfStock[WeekIndex],96),"")</f>
        <v/>
      </c>
      <c r="CW1388">
        <f>IFERROR(SUMIFS(T_SelfStock[Self_Qty],T_SelfStock[RM_Code],$A1371,T_SelfStock[WeekIndex],97),"")</f>
        <v/>
      </c>
      <c r="CX1388">
        <f>IFERROR(SUMIFS(T_SelfStock[Self_Qty],T_SelfStock[RM_Code],$A1371,T_SelfStock[WeekIndex],98),"")</f>
        <v/>
      </c>
      <c r="CY1388">
        <f>IFERROR(SUMIFS(T_SelfStock[Self_Qty],T_SelfStock[RM_Code],$A1371,T_SelfStock[WeekIndex],99),"")</f>
        <v/>
      </c>
      <c r="CZ1388">
        <f>IFERROR(SUMIFS(T_SelfStock[Self_Qty],T_SelfStock[RM_Code],$A1371,T_SelfStock[WeekIndex],100),"")</f>
        <v/>
      </c>
      <c r="DA1388">
        <f>IFERROR(SUMIFS(T_SelfStock[Self_Qty],T_SelfStock[RM_Code],$A1371,T_SelfStock[WeekIndex],101),"")</f>
        <v/>
      </c>
      <c r="DB1388">
        <f>IFERROR(SUMIFS(T_SelfStock[Self_Qty],T_SelfStock[RM_Code],$A1371,T_SelfStock[WeekIndex],102),"")</f>
        <v/>
      </c>
      <c r="DC1388">
        <f>IFERROR(SUMIFS(T_SelfStock[Self_Qty],T_SelfStock[RM_Code],$A1371,T_SelfStock[WeekIndex],103),"")</f>
        <v/>
      </c>
      <c r="DD1388">
        <f>IFERROR(SUMIFS(T_SelfStock[Self_Qty],T_SelfStock[RM_Code],$A1371,T_SelfStock[WeekIndex],104),"")</f>
        <v/>
      </c>
    </row>
    <row r="1389">
      <c r="B1389" s="4" t="inlineStr">
        <is>
          <t>合計在庫(週末時点,kg)</t>
        </is>
      </c>
      <c r="D1389" s="24">
        <f>IFERROR(INDEX(E1389:DD1389,$F$1),"")</f>
        <v/>
      </c>
      <c r="E1389">
        <f>'Grid_Stock'!B45</f>
        <v/>
      </c>
      <c r="F1389">
        <f>'Grid_Stock'!C45</f>
        <v/>
      </c>
      <c r="G1389">
        <f>'Grid_Stock'!D45</f>
        <v/>
      </c>
      <c r="H1389">
        <f>'Grid_Stock'!E45</f>
        <v/>
      </c>
      <c r="I1389">
        <f>'Grid_Stock'!F45</f>
        <v/>
      </c>
      <c r="J1389">
        <f>'Grid_Stock'!G45</f>
        <v/>
      </c>
      <c r="K1389">
        <f>'Grid_Stock'!H45</f>
        <v/>
      </c>
      <c r="L1389">
        <f>'Grid_Stock'!I45</f>
        <v/>
      </c>
      <c r="M1389">
        <f>'Grid_Stock'!J45</f>
        <v/>
      </c>
      <c r="N1389">
        <f>'Grid_Stock'!K45</f>
        <v/>
      </c>
      <c r="O1389">
        <f>'Grid_Stock'!L45</f>
        <v/>
      </c>
      <c r="P1389">
        <f>'Grid_Stock'!M45</f>
        <v/>
      </c>
      <c r="Q1389">
        <f>'Grid_Stock'!N45</f>
        <v/>
      </c>
      <c r="R1389">
        <f>'Grid_Stock'!O45</f>
        <v/>
      </c>
      <c r="S1389">
        <f>'Grid_Stock'!P45</f>
        <v/>
      </c>
      <c r="T1389">
        <f>'Grid_Stock'!Q45</f>
        <v/>
      </c>
      <c r="U1389">
        <f>'Grid_Stock'!R45</f>
        <v/>
      </c>
      <c r="V1389">
        <f>'Grid_Stock'!S45</f>
        <v/>
      </c>
      <c r="W1389">
        <f>'Grid_Stock'!T45</f>
        <v/>
      </c>
      <c r="X1389">
        <f>'Grid_Stock'!U45</f>
        <v/>
      </c>
      <c r="Y1389">
        <f>'Grid_Stock'!V45</f>
        <v/>
      </c>
      <c r="Z1389">
        <f>'Grid_Stock'!W45</f>
        <v/>
      </c>
      <c r="AA1389">
        <f>'Grid_Stock'!X45</f>
        <v/>
      </c>
      <c r="AB1389">
        <f>'Grid_Stock'!Y45</f>
        <v/>
      </c>
      <c r="AC1389">
        <f>'Grid_Stock'!Z45</f>
        <v/>
      </c>
      <c r="AD1389">
        <f>'Grid_Stock'!AA45</f>
        <v/>
      </c>
      <c r="AE1389">
        <f>'Grid_Stock'!AB45</f>
        <v/>
      </c>
      <c r="AF1389">
        <f>'Grid_Stock'!AC45</f>
        <v/>
      </c>
      <c r="AG1389">
        <f>'Grid_Stock'!AD45</f>
        <v/>
      </c>
      <c r="AH1389">
        <f>'Grid_Stock'!AE45</f>
        <v/>
      </c>
      <c r="AI1389">
        <f>'Grid_Stock'!AF45</f>
        <v/>
      </c>
      <c r="AJ1389">
        <f>'Grid_Stock'!AG45</f>
        <v/>
      </c>
      <c r="AK1389">
        <f>'Grid_Stock'!AH45</f>
        <v/>
      </c>
      <c r="AL1389">
        <f>'Grid_Stock'!AI45</f>
        <v/>
      </c>
      <c r="AM1389">
        <f>'Grid_Stock'!AJ45</f>
        <v/>
      </c>
      <c r="AN1389">
        <f>'Grid_Stock'!AK45</f>
        <v/>
      </c>
      <c r="AO1389">
        <f>'Grid_Stock'!AL45</f>
        <v/>
      </c>
      <c r="AP1389">
        <f>'Grid_Stock'!AM45</f>
        <v/>
      </c>
      <c r="AQ1389">
        <f>'Grid_Stock'!AN45</f>
        <v/>
      </c>
      <c r="AR1389">
        <f>'Grid_Stock'!AO45</f>
        <v/>
      </c>
      <c r="AS1389">
        <f>'Grid_Stock'!AP45</f>
        <v/>
      </c>
      <c r="AT1389">
        <f>'Grid_Stock'!AQ45</f>
        <v/>
      </c>
      <c r="AU1389">
        <f>'Grid_Stock'!AR45</f>
        <v/>
      </c>
      <c r="AV1389">
        <f>'Grid_Stock'!AS45</f>
        <v/>
      </c>
      <c r="AW1389">
        <f>'Grid_Stock'!AT45</f>
        <v/>
      </c>
      <c r="AX1389">
        <f>'Grid_Stock'!AU45</f>
        <v/>
      </c>
      <c r="AY1389">
        <f>'Grid_Stock'!AV45</f>
        <v/>
      </c>
      <c r="AZ1389">
        <f>'Grid_Stock'!AW45</f>
        <v/>
      </c>
      <c r="BA1389">
        <f>'Grid_Stock'!AX45</f>
        <v/>
      </c>
      <c r="BB1389">
        <f>'Grid_Stock'!AY45</f>
        <v/>
      </c>
      <c r="BC1389">
        <f>'Grid_Stock'!AZ45</f>
        <v/>
      </c>
      <c r="BD1389">
        <f>'Grid_Stock'!BA45</f>
        <v/>
      </c>
      <c r="BE1389">
        <f>'Grid_Stock'!BB45</f>
        <v/>
      </c>
      <c r="BF1389">
        <f>'Grid_Stock'!BC45</f>
        <v/>
      </c>
      <c r="BG1389">
        <f>'Grid_Stock'!BD45</f>
        <v/>
      </c>
      <c r="BH1389">
        <f>'Grid_Stock'!BE45</f>
        <v/>
      </c>
      <c r="BI1389">
        <f>'Grid_Stock'!BF45</f>
        <v/>
      </c>
      <c r="BJ1389">
        <f>'Grid_Stock'!BG45</f>
        <v/>
      </c>
      <c r="BK1389">
        <f>'Grid_Stock'!BH45</f>
        <v/>
      </c>
      <c r="BL1389">
        <f>'Grid_Stock'!BI45</f>
        <v/>
      </c>
      <c r="BM1389">
        <f>'Grid_Stock'!BJ45</f>
        <v/>
      </c>
      <c r="BN1389">
        <f>'Grid_Stock'!BK45</f>
        <v/>
      </c>
      <c r="BO1389">
        <f>'Grid_Stock'!BL45</f>
        <v/>
      </c>
      <c r="BP1389">
        <f>'Grid_Stock'!BM45</f>
        <v/>
      </c>
      <c r="BQ1389">
        <f>'Grid_Stock'!BN45</f>
        <v/>
      </c>
      <c r="BR1389">
        <f>'Grid_Stock'!BO45</f>
        <v/>
      </c>
      <c r="BS1389">
        <f>'Grid_Stock'!BP45</f>
        <v/>
      </c>
      <c r="BT1389">
        <f>'Grid_Stock'!BQ45</f>
        <v/>
      </c>
      <c r="BU1389">
        <f>'Grid_Stock'!BR45</f>
        <v/>
      </c>
      <c r="BV1389">
        <f>'Grid_Stock'!BS45</f>
        <v/>
      </c>
      <c r="BW1389">
        <f>'Grid_Stock'!BT45</f>
        <v/>
      </c>
      <c r="BX1389">
        <f>'Grid_Stock'!BU45</f>
        <v/>
      </c>
      <c r="BY1389">
        <f>'Grid_Stock'!BV45</f>
        <v/>
      </c>
      <c r="BZ1389">
        <f>'Grid_Stock'!BW45</f>
        <v/>
      </c>
      <c r="CA1389">
        <f>'Grid_Stock'!BX45</f>
        <v/>
      </c>
      <c r="CB1389">
        <f>'Grid_Stock'!BY45</f>
        <v/>
      </c>
      <c r="CC1389">
        <f>'Grid_Stock'!BZ45</f>
        <v/>
      </c>
      <c r="CD1389">
        <f>'Grid_Stock'!CA45</f>
        <v/>
      </c>
      <c r="CE1389">
        <f>'Grid_Stock'!CB45</f>
        <v/>
      </c>
      <c r="CF1389">
        <f>'Grid_Stock'!CC45</f>
        <v/>
      </c>
      <c r="CG1389">
        <f>'Grid_Stock'!CD45</f>
        <v/>
      </c>
      <c r="CH1389">
        <f>'Grid_Stock'!CE45</f>
        <v/>
      </c>
      <c r="CI1389">
        <f>'Grid_Stock'!CF45</f>
        <v/>
      </c>
      <c r="CJ1389">
        <f>'Grid_Stock'!CG45</f>
        <v/>
      </c>
      <c r="CK1389">
        <f>'Grid_Stock'!CH45</f>
        <v/>
      </c>
      <c r="CL1389">
        <f>'Grid_Stock'!CI45</f>
        <v/>
      </c>
      <c r="CM1389">
        <f>'Grid_Stock'!CJ45</f>
        <v/>
      </c>
      <c r="CN1389">
        <f>'Grid_Stock'!CK45</f>
        <v/>
      </c>
      <c r="CO1389">
        <f>'Grid_Stock'!CL45</f>
        <v/>
      </c>
      <c r="CP1389">
        <f>'Grid_Stock'!CM45</f>
        <v/>
      </c>
      <c r="CQ1389">
        <f>'Grid_Stock'!CN45</f>
        <v/>
      </c>
      <c r="CR1389">
        <f>'Grid_Stock'!CO45</f>
        <v/>
      </c>
      <c r="CS1389">
        <f>'Grid_Stock'!CP45</f>
        <v/>
      </c>
      <c r="CT1389">
        <f>'Grid_Stock'!CQ45</f>
        <v/>
      </c>
      <c r="CU1389">
        <f>'Grid_Stock'!CR45</f>
        <v/>
      </c>
      <c r="CV1389">
        <f>'Grid_Stock'!CS45</f>
        <v/>
      </c>
      <c r="CW1389">
        <f>'Grid_Stock'!CT45</f>
        <v/>
      </c>
      <c r="CX1389">
        <f>'Grid_Stock'!CU45</f>
        <v/>
      </c>
      <c r="CY1389">
        <f>'Grid_Stock'!CV45</f>
        <v/>
      </c>
      <c r="CZ1389">
        <f>'Grid_Stock'!CW45</f>
        <v/>
      </c>
      <c r="DA1389">
        <f>'Grid_Stock'!CX45</f>
        <v/>
      </c>
      <c r="DB1389">
        <f>'Grid_Stock'!CY45</f>
        <v/>
      </c>
      <c r="DC1389">
        <f>'Grid_Stock'!CZ45</f>
        <v/>
      </c>
      <c r="DD1389">
        <f>'Grid_Stock'!DA45</f>
        <v/>
      </c>
    </row>
    <row r="1390">
      <c r="B1390" s="25" t="inlineStr">
        <is>
          <t>（発注の目安はDashboardの基準在庫[下限/上限]と色分けを参照）</t>
        </is>
      </c>
    </row>
    <row r="1392">
      <c r="A1392" s="21" t="inlineStr">
        <is>
          <t>CHEM-1080</t>
        </is>
      </c>
      <c r="B1392" s="21" t="inlineStr">
        <is>
          <t>Hydrazine Hydrate</t>
        </is>
      </c>
      <c r="C1392" s="22" t="n"/>
      <c r="D1392" s="21" t="n"/>
      <c r="E1392" s="21" t="n"/>
      <c r="F1392" s="21" t="n"/>
      <c r="G1392" s="21" t="n"/>
      <c r="H1392" s="21" t="n"/>
      <c r="I1392" s="21" t="n"/>
      <c r="J1392" s="21" t="n"/>
      <c r="K1392" s="21" t="n"/>
      <c r="L1392" s="21" t="n"/>
      <c r="M1392" s="21" t="n"/>
      <c r="N1392" s="21" t="n"/>
      <c r="O1392" s="21" t="n"/>
      <c r="P1392" s="21" t="n"/>
      <c r="Q1392" s="21" t="n"/>
      <c r="R1392" s="21" t="n"/>
      <c r="S1392" s="21" t="n"/>
      <c r="T1392" s="21" t="n"/>
      <c r="U1392" s="21" t="n"/>
      <c r="V1392" s="21" t="n"/>
      <c r="W1392" s="21" t="n"/>
      <c r="X1392" s="21" t="n"/>
      <c r="Y1392" s="21" t="n"/>
      <c r="Z1392" s="21" t="n"/>
      <c r="AA1392" s="21" t="n"/>
      <c r="AB1392" s="21" t="n"/>
      <c r="AC1392" s="21" t="n"/>
      <c r="AD1392" s="21" t="n"/>
      <c r="AE1392" s="21" t="n"/>
      <c r="AF1392" s="21" t="n"/>
      <c r="AG1392" s="21" t="n"/>
      <c r="AH1392" s="21" t="n"/>
      <c r="AI1392" s="21" t="n"/>
      <c r="AJ1392" s="21" t="n"/>
      <c r="AK1392" s="21" t="n"/>
      <c r="AL1392" s="21" t="n"/>
      <c r="AM1392" s="21" t="n"/>
      <c r="AN1392" s="21" t="n"/>
      <c r="AO1392" s="21" t="n"/>
      <c r="AP1392" s="21" t="n"/>
      <c r="AQ1392" s="21" t="n"/>
      <c r="AR1392" s="21" t="n"/>
      <c r="AS1392" s="21" t="n"/>
      <c r="AT1392" s="21" t="n"/>
      <c r="AU1392" s="21" t="n"/>
      <c r="AV1392" s="21" t="n"/>
      <c r="AW1392" s="21" t="n"/>
      <c r="AX1392" s="21" t="n"/>
      <c r="AY1392" s="21" t="n"/>
      <c r="AZ1392" s="21" t="n"/>
      <c r="BA1392" s="21" t="n"/>
      <c r="BB1392" s="21" t="n"/>
      <c r="BC1392" s="21" t="n"/>
      <c r="BD1392" s="21" t="n"/>
      <c r="BE1392" s="21" t="n"/>
      <c r="BF1392" s="21" t="n"/>
      <c r="BG1392" s="21" t="n"/>
      <c r="BH1392" s="21" t="n"/>
      <c r="BI1392" s="21" t="n"/>
      <c r="BJ1392" s="21" t="n"/>
      <c r="BK1392" s="21" t="n"/>
      <c r="BL1392" s="21" t="n"/>
      <c r="BM1392" s="21" t="n"/>
      <c r="BN1392" s="21" t="n"/>
      <c r="BO1392" s="21" t="n"/>
      <c r="BP1392" s="21" t="n"/>
      <c r="BQ1392" s="21" t="n"/>
      <c r="BR1392" s="21" t="n"/>
      <c r="BS1392" s="21" t="n"/>
      <c r="BT1392" s="21" t="n"/>
      <c r="BU1392" s="21" t="n"/>
      <c r="BV1392" s="21" t="n"/>
      <c r="BW1392" s="21" t="n"/>
      <c r="BX1392" s="21" t="n"/>
      <c r="BY1392" s="21" t="n"/>
      <c r="BZ1392" s="21" t="n"/>
      <c r="CA1392" s="21" t="n"/>
      <c r="CB1392" s="21" t="n"/>
      <c r="CC1392" s="21" t="n"/>
      <c r="CD1392" s="21" t="n"/>
      <c r="CE1392" s="21" t="n"/>
      <c r="CF1392" s="21" t="n"/>
      <c r="CG1392" s="21" t="n"/>
      <c r="CH1392" s="21" t="n"/>
      <c r="CI1392" s="21" t="n"/>
      <c r="CJ1392" s="21" t="n"/>
      <c r="CK1392" s="21" t="n"/>
      <c r="CL1392" s="21" t="n"/>
      <c r="CM1392" s="21" t="n"/>
      <c r="CN1392" s="21" t="n"/>
      <c r="CO1392" s="21" t="n"/>
      <c r="CP1392" s="21" t="n"/>
      <c r="CQ1392" s="21" t="n"/>
      <c r="CR1392" s="21" t="n"/>
      <c r="CS1392" s="21" t="n"/>
      <c r="CT1392" s="21" t="n"/>
      <c r="CU1392" s="21" t="n"/>
      <c r="CV1392" s="21" t="n"/>
      <c r="CW1392" s="21" t="n"/>
      <c r="CX1392" s="21" t="n"/>
      <c r="CY1392" s="21" t="n"/>
      <c r="CZ1392" s="21" t="n"/>
      <c r="DA1392" s="21" t="n"/>
      <c r="DB1392" s="21" t="n"/>
      <c r="DC1392" s="21" t="n"/>
      <c r="DD1392" s="21" t="n"/>
    </row>
    <row r="1393">
      <c r="B1393" t="inlineStr">
        <is>
          <t>TSP-620</t>
        </is>
      </c>
      <c r="C1393" t="inlineStr">
        <is>
          <t>No. of batches</t>
        </is>
      </c>
      <c r="D1393">
        <f>IFERROR(INDEX(E1393:DD1393,$F$1),"")</f>
        <v/>
      </c>
      <c r="E1393">
        <f>IFERROR(INDEX(PP_Grid[#Data],$DE1393,2),0)</f>
        <v/>
      </c>
      <c r="F1393">
        <f>IFERROR(INDEX(PP_Grid[#Data],$DE1393,3),0)</f>
        <v/>
      </c>
      <c r="G1393">
        <f>IFERROR(INDEX(PP_Grid[#Data],$DE1393,4),0)</f>
        <v/>
      </c>
      <c r="H1393">
        <f>IFERROR(INDEX(PP_Grid[#Data],$DE1393,5),0)</f>
        <v/>
      </c>
      <c r="I1393">
        <f>IFERROR(INDEX(PP_Grid[#Data],$DE1393,6),0)</f>
        <v/>
      </c>
      <c r="J1393">
        <f>IFERROR(INDEX(PP_Grid[#Data],$DE1393,7),0)</f>
        <v/>
      </c>
      <c r="K1393">
        <f>IFERROR(INDEX(PP_Grid[#Data],$DE1393,8),0)</f>
        <v/>
      </c>
      <c r="L1393">
        <f>IFERROR(INDEX(PP_Grid[#Data],$DE1393,9),0)</f>
        <v/>
      </c>
      <c r="M1393">
        <f>IFERROR(INDEX(PP_Grid[#Data],$DE1393,10),0)</f>
        <v/>
      </c>
      <c r="N1393">
        <f>IFERROR(INDEX(PP_Grid[#Data],$DE1393,11),0)</f>
        <v/>
      </c>
      <c r="O1393">
        <f>IFERROR(INDEX(PP_Grid[#Data],$DE1393,12),0)</f>
        <v/>
      </c>
      <c r="P1393">
        <f>IFERROR(INDEX(PP_Grid[#Data],$DE1393,13),0)</f>
        <v/>
      </c>
      <c r="Q1393">
        <f>IFERROR(INDEX(PP_Grid[#Data],$DE1393,14),0)</f>
        <v/>
      </c>
      <c r="R1393">
        <f>IFERROR(INDEX(PP_Grid[#Data],$DE1393,15),0)</f>
        <v/>
      </c>
      <c r="S1393">
        <f>IFERROR(INDEX(PP_Grid[#Data],$DE1393,16),0)</f>
        <v/>
      </c>
      <c r="T1393">
        <f>IFERROR(INDEX(PP_Grid[#Data],$DE1393,17),0)</f>
        <v/>
      </c>
      <c r="U1393">
        <f>IFERROR(INDEX(PP_Grid[#Data],$DE1393,18),0)</f>
        <v/>
      </c>
      <c r="V1393">
        <f>IFERROR(INDEX(PP_Grid[#Data],$DE1393,19),0)</f>
        <v/>
      </c>
      <c r="W1393">
        <f>IFERROR(INDEX(PP_Grid[#Data],$DE1393,20),0)</f>
        <v/>
      </c>
      <c r="X1393">
        <f>IFERROR(INDEX(PP_Grid[#Data],$DE1393,21),0)</f>
        <v/>
      </c>
      <c r="Y1393">
        <f>IFERROR(INDEX(PP_Grid[#Data],$DE1393,22),0)</f>
        <v/>
      </c>
      <c r="Z1393">
        <f>IFERROR(INDEX(PP_Grid[#Data],$DE1393,23),0)</f>
        <v/>
      </c>
      <c r="AA1393">
        <f>IFERROR(INDEX(PP_Grid[#Data],$DE1393,24),0)</f>
        <v/>
      </c>
      <c r="AB1393">
        <f>IFERROR(INDEX(PP_Grid[#Data],$DE1393,25),0)</f>
        <v/>
      </c>
      <c r="AC1393">
        <f>IFERROR(INDEX(PP_Grid[#Data],$DE1393,26),0)</f>
        <v/>
      </c>
      <c r="AD1393">
        <f>IFERROR(INDEX(PP_Grid[#Data],$DE1393,27),0)</f>
        <v/>
      </c>
      <c r="AE1393">
        <f>IFERROR(INDEX(PP_Grid[#Data],$DE1393,28),0)</f>
        <v/>
      </c>
      <c r="AF1393">
        <f>IFERROR(INDEX(PP_Grid[#Data],$DE1393,29),0)</f>
        <v/>
      </c>
      <c r="AG1393">
        <f>IFERROR(INDEX(PP_Grid[#Data],$DE1393,30),0)</f>
        <v/>
      </c>
      <c r="AH1393">
        <f>IFERROR(INDEX(PP_Grid[#Data],$DE1393,31),0)</f>
        <v/>
      </c>
      <c r="AI1393">
        <f>IFERROR(INDEX(PP_Grid[#Data],$DE1393,32),0)</f>
        <v/>
      </c>
      <c r="AJ1393">
        <f>IFERROR(INDEX(PP_Grid[#Data],$DE1393,33),0)</f>
        <v/>
      </c>
      <c r="AK1393">
        <f>IFERROR(INDEX(PP_Grid[#Data],$DE1393,34),0)</f>
        <v/>
      </c>
      <c r="AL1393">
        <f>IFERROR(INDEX(PP_Grid[#Data],$DE1393,35),0)</f>
        <v/>
      </c>
      <c r="AM1393">
        <f>IFERROR(INDEX(PP_Grid[#Data],$DE1393,36),0)</f>
        <v/>
      </c>
      <c r="AN1393">
        <f>IFERROR(INDEX(PP_Grid[#Data],$DE1393,37),0)</f>
        <v/>
      </c>
      <c r="AO1393">
        <f>IFERROR(INDEX(PP_Grid[#Data],$DE1393,38),0)</f>
        <v/>
      </c>
      <c r="AP1393">
        <f>IFERROR(INDEX(PP_Grid[#Data],$DE1393,39),0)</f>
        <v/>
      </c>
      <c r="AQ1393">
        <f>IFERROR(INDEX(PP_Grid[#Data],$DE1393,40),0)</f>
        <v/>
      </c>
      <c r="AR1393">
        <f>IFERROR(INDEX(PP_Grid[#Data],$DE1393,41),0)</f>
        <v/>
      </c>
      <c r="AS1393">
        <f>IFERROR(INDEX(PP_Grid[#Data],$DE1393,42),0)</f>
        <v/>
      </c>
      <c r="AT1393">
        <f>IFERROR(INDEX(PP_Grid[#Data],$DE1393,43),0)</f>
        <v/>
      </c>
      <c r="AU1393">
        <f>IFERROR(INDEX(PP_Grid[#Data],$DE1393,44),0)</f>
        <v/>
      </c>
      <c r="AV1393">
        <f>IFERROR(INDEX(PP_Grid[#Data],$DE1393,45),0)</f>
        <v/>
      </c>
      <c r="AW1393">
        <f>IFERROR(INDEX(PP_Grid[#Data],$DE1393,46),0)</f>
        <v/>
      </c>
      <c r="AX1393">
        <f>IFERROR(INDEX(PP_Grid[#Data],$DE1393,47),0)</f>
        <v/>
      </c>
      <c r="AY1393">
        <f>IFERROR(INDEX(PP_Grid[#Data],$DE1393,48),0)</f>
        <v/>
      </c>
      <c r="AZ1393">
        <f>IFERROR(INDEX(PP_Grid[#Data],$DE1393,49),0)</f>
        <v/>
      </c>
      <c r="BA1393">
        <f>IFERROR(INDEX(PP_Grid[#Data],$DE1393,50),0)</f>
        <v/>
      </c>
      <c r="BB1393">
        <f>IFERROR(INDEX(PP_Grid[#Data],$DE1393,51),0)</f>
        <v/>
      </c>
      <c r="BC1393">
        <f>IFERROR(INDEX(PP_Grid[#Data],$DE1393,52),0)</f>
        <v/>
      </c>
      <c r="BD1393">
        <f>IFERROR(INDEX(PP_Grid[#Data],$DE1393,53),0)</f>
        <v/>
      </c>
      <c r="BE1393">
        <f>IFERROR(INDEX(PP_Grid[#Data],$DE1393,54),0)</f>
        <v/>
      </c>
      <c r="BF1393">
        <f>IFERROR(INDEX(PP_Grid[#Data],$DE1393,55),0)</f>
        <v/>
      </c>
      <c r="BG1393">
        <f>IFERROR(INDEX(PP_Grid[#Data],$DE1393,56),0)</f>
        <v/>
      </c>
      <c r="BH1393">
        <f>IFERROR(INDEX(PP_Grid[#Data],$DE1393,57),0)</f>
        <v/>
      </c>
      <c r="BI1393">
        <f>IFERROR(INDEX(PP_Grid[#Data],$DE1393,58),0)</f>
        <v/>
      </c>
      <c r="BJ1393">
        <f>IFERROR(INDEX(PP_Grid[#Data],$DE1393,59),0)</f>
        <v/>
      </c>
      <c r="BK1393">
        <f>IFERROR(INDEX(PP_Grid[#Data],$DE1393,60),0)</f>
        <v/>
      </c>
      <c r="BL1393">
        <f>IFERROR(INDEX(PP_Grid[#Data],$DE1393,61),0)</f>
        <v/>
      </c>
      <c r="BM1393">
        <f>IFERROR(INDEX(PP_Grid[#Data],$DE1393,62),0)</f>
        <v/>
      </c>
      <c r="BN1393">
        <f>IFERROR(INDEX(PP_Grid[#Data],$DE1393,63),0)</f>
        <v/>
      </c>
      <c r="BO1393">
        <f>IFERROR(INDEX(PP_Grid[#Data],$DE1393,64),0)</f>
        <v/>
      </c>
      <c r="BP1393">
        <f>IFERROR(INDEX(PP_Grid[#Data],$DE1393,65),0)</f>
        <v/>
      </c>
      <c r="BQ1393">
        <f>IFERROR(INDEX(PP_Grid[#Data],$DE1393,66),0)</f>
        <v/>
      </c>
      <c r="BR1393">
        <f>IFERROR(INDEX(PP_Grid[#Data],$DE1393,67),0)</f>
        <v/>
      </c>
      <c r="BS1393">
        <f>IFERROR(INDEX(PP_Grid[#Data],$DE1393,68),0)</f>
        <v/>
      </c>
      <c r="BT1393">
        <f>IFERROR(INDEX(PP_Grid[#Data],$DE1393,69),0)</f>
        <v/>
      </c>
      <c r="BU1393">
        <f>IFERROR(INDEX(PP_Grid[#Data],$DE1393,70),0)</f>
        <v/>
      </c>
      <c r="BV1393">
        <f>IFERROR(INDEX(PP_Grid[#Data],$DE1393,71),0)</f>
        <v/>
      </c>
      <c r="BW1393">
        <f>IFERROR(INDEX(PP_Grid[#Data],$DE1393,72),0)</f>
        <v/>
      </c>
      <c r="BX1393">
        <f>IFERROR(INDEX(PP_Grid[#Data],$DE1393,73),0)</f>
        <v/>
      </c>
      <c r="BY1393">
        <f>IFERROR(INDEX(PP_Grid[#Data],$DE1393,74),0)</f>
        <v/>
      </c>
      <c r="BZ1393">
        <f>IFERROR(INDEX(PP_Grid[#Data],$DE1393,75),0)</f>
        <v/>
      </c>
      <c r="CA1393">
        <f>IFERROR(INDEX(PP_Grid[#Data],$DE1393,76),0)</f>
        <v/>
      </c>
      <c r="CB1393">
        <f>IFERROR(INDEX(PP_Grid[#Data],$DE1393,77),0)</f>
        <v/>
      </c>
      <c r="CC1393">
        <f>IFERROR(INDEX(PP_Grid[#Data],$DE1393,78),0)</f>
        <v/>
      </c>
      <c r="CD1393">
        <f>IFERROR(INDEX(PP_Grid[#Data],$DE1393,79),0)</f>
        <v/>
      </c>
      <c r="CE1393">
        <f>IFERROR(INDEX(PP_Grid[#Data],$DE1393,80),0)</f>
        <v/>
      </c>
      <c r="CF1393">
        <f>IFERROR(INDEX(PP_Grid[#Data],$DE1393,81),0)</f>
        <v/>
      </c>
      <c r="CG1393">
        <f>IFERROR(INDEX(PP_Grid[#Data],$DE1393,82),0)</f>
        <v/>
      </c>
      <c r="CH1393">
        <f>IFERROR(INDEX(PP_Grid[#Data],$DE1393,83),0)</f>
        <v/>
      </c>
      <c r="CI1393">
        <f>IFERROR(INDEX(PP_Grid[#Data],$DE1393,84),0)</f>
        <v/>
      </c>
      <c r="CJ1393">
        <f>IFERROR(INDEX(PP_Grid[#Data],$DE1393,85),0)</f>
        <v/>
      </c>
      <c r="CK1393">
        <f>IFERROR(INDEX(PP_Grid[#Data],$DE1393,86),0)</f>
        <v/>
      </c>
      <c r="CL1393">
        <f>IFERROR(INDEX(PP_Grid[#Data],$DE1393,87),0)</f>
        <v/>
      </c>
      <c r="CM1393">
        <f>IFERROR(INDEX(PP_Grid[#Data],$DE1393,88),0)</f>
        <v/>
      </c>
      <c r="CN1393">
        <f>IFERROR(INDEX(PP_Grid[#Data],$DE1393,89),0)</f>
        <v/>
      </c>
      <c r="CO1393">
        <f>IFERROR(INDEX(PP_Grid[#Data],$DE1393,90),0)</f>
        <v/>
      </c>
      <c r="CP1393">
        <f>IFERROR(INDEX(PP_Grid[#Data],$DE1393,91),0)</f>
        <v/>
      </c>
      <c r="CQ1393">
        <f>IFERROR(INDEX(PP_Grid[#Data],$DE1393,92),0)</f>
        <v/>
      </c>
      <c r="CR1393">
        <f>IFERROR(INDEX(PP_Grid[#Data],$DE1393,93),0)</f>
        <v/>
      </c>
      <c r="CS1393">
        <f>IFERROR(INDEX(PP_Grid[#Data],$DE1393,94),0)</f>
        <v/>
      </c>
      <c r="CT1393">
        <f>IFERROR(INDEX(PP_Grid[#Data],$DE1393,95),0)</f>
        <v/>
      </c>
      <c r="CU1393">
        <f>IFERROR(INDEX(PP_Grid[#Data],$DE1393,96),0)</f>
        <v/>
      </c>
      <c r="CV1393">
        <f>IFERROR(INDEX(PP_Grid[#Data],$DE1393,97),0)</f>
        <v/>
      </c>
      <c r="CW1393">
        <f>IFERROR(INDEX(PP_Grid[#Data],$DE1393,98),0)</f>
        <v/>
      </c>
      <c r="CX1393">
        <f>IFERROR(INDEX(PP_Grid[#Data],$DE1393,99),0)</f>
        <v/>
      </c>
      <c r="CY1393">
        <f>IFERROR(INDEX(PP_Grid[#Data],$DE1393,100),0)</f>
        <v/>
      </c>
      <c r="CZ1393">
        <f>IFERROR(INDEX(PP_Grid[#Data],$DE1393,101),0)</f>
        <v/>
      </c>
      <c r="DA1393">
        <f>IFERROR(INDEX(PP_Grid[#Data],$DE1393,102),0)</f>
        <v/>
      </c>
      <c r="DB1393">
        <f>IFERROR(INDEX(PP_Grid[#Data],$DE1393,103),0)</f>
        <v/>
      </c>
      <c r="DC1393">
        <f>IFERROR(INDEX(PP_Grid[#Data],$DE1393,104),0)</f>
        <v/>
      </c>
      <c r="DD1393">
        <f>IFERROR(INDEX(PP_Grid[#Data],$DE1393,105),0)</f>
        <v/>
      </c>
      <c r="DE1393" s="7">
        <f>IFERROR(MATCH($B1393,PP_Grid[Intermediate],0),99999)</f>
        <v/>
      </c>
    </row>
    <row r="1394">
      <c r="B1394" t="inlineStr">
        <is>
          <t>使用量(kg)</t>
        </is>
      </c>
      <c r="C1394">
        <f>SUMIFS(M_BOM[RM_Qty_Per_Batch],M_BOM[Intermediate],$B1393,M_BOM[RM_Code],$A1392)</f>
        <v/>
      </c>
      <c r="D1394">
        <f>IFERROR(INDEX(E1394:DD1394,$F$1),"")</f>
        <v/>
      </c>
      <c r="E1394">
        <f>$C1394*E1393</f>
        <v/>
      </c>
      <c r="F1394">
        <f>$C1394*F1393</f>
        <v/>
      </c>
      <c r="G1394">
        <f>$C1394*G1393</f>
        <v/>
      </c>
      <c r="H1394">
        <f>$C1394*H1393</f>
        <v/>
      </c>
      <c r="I1394">
        <f>$C1394*I1393</f>
        <v/>
      </c>
      <c r="J1394">
        <f>$C1394*J1393</f>
        <v/>
      </c>
      <c r="K1394">
        <f>$C1394*K1393</f>
        <v/>
      </c>
      <c r="L1394">
        <f>$C1394*L1393</f>
        <v/>
      </c>
      <c r="M1394">
        <f>$C1394*M1393</f>
        <v/>
      </c>
      <c r="N1394">
        <f>$C1394*N1393</f>
        <v/>
      </c>
      <c r="O1394">
        <f>$C1394*O1393</f>
        <v/>
      </c>
      <c r="P1394">
        <f>$C1394*P1393</f>
        <v/>
      </c>
      <c r="Q1394">
        <f>$C1394*Q1393</f>
        <v/>
      </c>
      <c r="R1394">
        <f>$C1394*R1393</f>
        <v/>
      </c>
      <c r="S1394">
        <f>$C1394*S1393</f>
        <v/>
      </c>
      <c r="T1394">
        <f>$C1394*T1393</f>
        <v/>
      </c>
      <c r="U1394">
        <f>$C1394*U1393</f>
        <v/>
      </c>
      <c r="V1394">
        <f>$C1394*V1393</f>
        <v/>
      </c>
      <c r="W1394">
        <f>$C1394*W1393</f>
        <v/>
      </c>
      <c r="X1394">
        <f>$C1394*X1393</f>
        <v/>
      </c>
      <c r="Y1394">
        <f>$C1394*Y1393</f>
        <v/>
      </c>
      <c r="Z1394">
        <f>$C1394*Z1393</f>
        <v/>
      </c>
      <c r="AA1394">
        <f>$C1394*AA1393</f>
        <v/>
      </c>
      <c r="AB1394">
        <f>$C1394*AB1393</f>
        <v/>
      </c>
      <c r="AC1394">
        <f>$C1394*AC1393</f>
        <v/>
      </c>
      <c r="AD1394">
        <f>$C1394*AD1393</f>
        <v/>
      </c>
      <c r="AE1394">
        <f>$C1394*AE1393</f>
        <v/>
      </c>
      <c r="AF1394">
        <f>$C1394*AF1393</f>
        <v/>
      </c>
      <c r="AG1394">
        <f>$C1394*AG1393</f>
        <v/>
      </c>
      <c r="AH1394">
        <f>$C1394*AH1393</f>
        <v/>
      </c>
      <c r="AI1394">
        <f>$C1394*AI1393</f>
        <v/>
      </c>
      <c r="AJ1394">
        <f>$C1394*AJ1393</f>
        <v/>
      </c>
      <c r="AK1394">
        <f>$C1394*AK1393</f>
        <v/>
      </c>
      <c r="AL1394">
        <f>$C1394*AL1393</f>
        <v/>
      </c>
      <c r="AM1394">
        <f>$C1394*AM1393</f>
        <v/>
      </c>
      <c r="AN1394">
        <f>$C1394*AN1393</f>
        <v/>
      </c>
      <c r="AO1394">
        <f>$C1394*AO1393</f>
        <v/>
      </c>
      <c r="AP1394">
        <f>$C1394*AP1393</f>
        <v/>
      </c>
      <c r="AQ1394">
        <f>$C1394*AQ1393</f>
        <v/>
      </c>
      <c r="AR1394">
        <f>$C1394*AR1393</f>
        <v/>
      </c>
      <c r="AS1394">
        <f>$C1394*AS1393</f>
        <v/>
      </c>
      <c r="AT1394">
        <f>$C1394*AT1393</f>
        <v/>
      </c>
      <c r="AU1394">
        <f>$C1394*AU1393</f>
        <v/>
      </c>
      <c r="AV1394">
        <f>$C1394*AV1393</f>
        <v/>
      </c>
      <c r="AW1394">
        <f>$C1394*AW1393</f>
        <v/>
      </c>
      <c r="AX1394">
        <f>$C1394*AX1393</f>
        <v/>
      </c>
      <c r="AY1394">
        <f>$C1394*AY1393</f>
        <v/>
      </c>
      <c r="AZ1394">
        <f>$C1394*AZ1393</f>
        <v/>
      </c>
      <c r="BA1394">
        <f>$C1394*BA1393</f>
        <v/>
      </c>
      <c r="BB1394">
        <f>$C1394*BB1393</f>
        <v/>
      </c>
      <c r="BC1394">
        <f>$C1394*BC1393</f>
        <v/>
      </c>
      <c r="BD1394">
        <f>$C1394*BD1393</f>
        <v/>
      </c>
      <c r="BE1394">
        <f>$C1394*BE1393</f>
        <v/>
      </c>
      <c r="BF1394">
        <f>$C1394*BF1393</f>
        <v/>
      </c>
      <c r="BG1394">
        <f>$C1394*BG1393</f>
        <v/>
      </c>
      <c r="BH1394">
        <f>$C1394*BH1393</f>
        <v/>
      </c>
      <c r="BI1394">
        <f>$C1394*BI1393</f>
        <v/>
      </c>
      <c r="BJ1394">
        <f>$C1394*BJ1393</f>
        <v/>
      </c>
      <c r="BK1394">
        <f>$C1394*BK1393</f>
        <v/>
      </c>
      <c r="BL1394">
        <f>$C1394*BL1393</f>
        <v/>
      </c>
      <c r="BM1394">
        <f>$C1394*BM1393</f>
        <v/>
      </c>
      <c r="BN1394">
        <f>$C1394*BN1393</f>
        <v/>
      </c>
      <c r="BO1394">
        <f>$C1394*BO1393</f>
        <v/>
      </c>
      <c r="BP1394">
        <f>$C1394*BP1393</f>
        <v/>
      </c>
      <c r="BQ1394">
        <f>$C1394*BQ1393</f>
        <v/>
      </c>
      <c r="BR1394">
        <f>$C1394*BR1393</f>
        <v/>
      </c>
      <c r="BS1394">
        <f>$C1394*BS1393</f>
        <v/>
      </c>
      <c r="BT1394">
        <f>$C1394*BT1393</f>
        <v/>
      </c>
      <c r="BU1394">
        <f>$C1394*BU1393</f>
        <v/>
      </c>
      <c r="BV1394">
        <f>$C1394*BV1393</f>
        <v/>
      </c>
      <c r="BW1394">
        <f>$C1394*BW1393</f>
        <v/>
      </c>
      <c r="BX1394">
        <f>$C1394*BX1393</f>
        <v/>
      </c>
      <c r="BY1394">
        <f>$C1394*BY1393</f>
        <v/>
      </c>
      <c r="BZ1394">
        <f>$C1394*BZ1393</f>
        <v/>
      </c>
      <c r="CA1394">
        <f>$C1394*CA1393</f>
        <v/>
      </c>
      <c r="CB1394">
        <f>$C1394*CB1393</f>
        <v/>
      </c>
      <c r="CC1394">
        <f>$C1394*CC1393</f>
        <v/>
      </c>
      <c r="CD1394">
        <f>$C1394*CD1393</f>
        <v/>
      </c>
      <c r="CE1394">
        <f>$C1394*CE1393</f>
        <v/>
      </c>
      <c r="CF1394">
        <f>$C1394*CF1393</f>
        <v/>
      </c>
      <c r="CG1394">
        <f>$C1394*CG1393</f>
        <v/>
      </c>
      <c r="CH1394">
        <f>$C1394*CH1393</f>
        <v/>
      </c>
      <c r="CI1394">
        <f>$C1394*CI1393</f>
        <v/>
      </c>
      <c r="CJ1394">
        <f>$C1394*CJ1393</f>
        <v/>
      </c>
      <c r="CK1394">
        <f>$C1394*CK1393</f>
        <v/>
      </c>
      <c r="CL1394">
        <f>$C1394*CL1393</f>
        <v/>
      </c>
      <c r="CM1394">
        <f>$C1394*CM1393</f>
        <v/>
      </c>
      <c r="CN1394">
        <f>$C1394*CN1393</f>
        <v/>
      </c>
      <c r="CO1394">
        <f>$C1394*CO1393</f>
        <v/>
      </c>
      <c r="CP1394">
        <f>$C1394*CP1393</f>
        <v/>
      </c>
      <c r="CQ1394">
        <f>$C1394*CQ1393</f>
        <v/>
      </c>
      <c r="CR1394">
        <f>$C1394*CR1393</f>
        <v/>
      </c>
      <c r="CS1394">
        <f>$C1394*CS1393</f>
        <v/>
      </c>
      <c r="CT1394">
        <f>$C1394*CT1393</f>
        <v/>
      </c>
      <c r="CU1394">
        <f>$C1394*CU1393</f>
        <v/>
      </c>
      <c r="CV1394">
        <f>$C1394*CV1393</f>
        <v/>
      </c>
      <c r="CW1394">
        <f>$C1394*CW1393</f>
        <v/>
      </c>
      <c r="CX1394">
        <f>$C1394*CX1393</f>
        <v/>
      </c>
      <c r="CY1394">
        <f>$C1394*CY1393</f>
        <v/>
      </c>
      <c r="CZ1394">
        <f>$C1394*CZ1393</f>
        <v/>
      </c>
      <c r="DA1394">
        <f>$C1394*DA1393</f>
        <v/>
      </c>
      <c r="DB1394">
        <f>$C1394*DB1393</f>
        <v/>
      </c>
      <c r="DC1394">
        <f>$C1394*DC1393</f>
        <v/>
      </c>
      <c r="DD1394">
        <f>$C1394*DD1393</f>
        <v/>
      </c>
    </row>
    <row r="1395">
      <c r="B1395" t="inlineStr">
        <is>
          <t>TSP-623</t>
        </is>
      </c>
      <c r="C1395" t="inlineStr">
        <is>
          <t>No. of batches</t>
        </is>
      </c>
      <c r="D1395">
        <f>IFERROR(INDEX(E1395:DD1395,$F$1),"")</f>
        <v/>
      </c>
      <c r="E1395">
        <f>IFERROR(INDEX(PP_Grid[#Data],$DE1395,2),0)</f>
        <v/>
      </c>
      <c r="F1395">
        <f>IFERROR(INDEX(PP_Grid[#Data],$DE1395,3),0)</f>
        <v/>
      </c>
      <c r="G1395">
        <f>IFERROR(INDEX(PP_Grid[#Data],$DE1395,4),0)</f>
        <v/>
      </c>
      <c r="H1395">
        <f>IFERROR(INDEX(PP_Grid[#Data],$DE1395,5),0)</f>
        <v/>
      </c>
      <c r="I1395">
        <f>IFERROR(INDEX(PP_Grid[#Data],$DE1395,6),0)</f>
        <v/>
      </c>
      <c r="J1395">
        <f>IFERROR(INDEX(PP_Grid[#Data],$DE1395,7),0)</f>
        <v/>
      </c>
      <c r="K1395">
        <f>IFERROR(INDEX(PP_Grid[#Data],$DE1395,8),0)</f>
        <v/>
      </c>
      <c r="L1395">
        <f>IFERROR(INDEX(PP_Grid[#Data],$DE1395,9),0)</f>
        <v/>
      </c>
      <c r="M1395">
        <f>IFERROR(INDEX(PP_Grid[#Data],$DE1395,10),0)</f>
        <v/>
      </c>
      <c r="N1395">
        <f>IFERROR(INDEX(PP_Grid[#Data],$DE1395,11),0)</f>
        <v/>
      </c>
      <c r="O1395">
        <f>IFERROR(INDEX(PP_Grid[#Data],$DE1395,12),0)</f>
        <v/>
      </c>
      <c r="P1395">
        <f>IFERROR(INDEX(PP_Grid[#Data],$DE1395,13),0)</f>
        <v/>
      </c>
      <c r="Q1395">
        <f>IFERROR(INDEX(PP_Grid[#Data],$DE1395,14),0)</f>
        <v/>
      </c>
      <c r="R1395">
        <f>IFERROR(INDEX(PP_Grid[#Data],$DE1395,15),0)</f>
        <v/>
      </c>
      <c r="S1395">
        <f>IFERROR(INDEX(PP_Grid[#Data],$DE1395,16),0)</f>
        <v/>
      </c>
      <c r="T1395">
        <f>IFERROR(INDEX(PP_Grid[#Data],$DE1395,17),0)</f>
        <v/>
      </c>
      <c r="U1395">
        <f>IFERROR(INDEX(PP_Grid[#Data],$DE1395,18),0)</f>
        <v/>
      </c>
      <c r="V1395">
        <f>IFERROR(INDEX(PP_Grid[#Data],$DE1395,19),0)</f>
        <v/>
      </c>
      <c r="W1395">
        <f>IFERROR(INDEX(PP_Grid[#Data],$DE1395,20),0)</f>
        <v/>
      </c>
      <c r="X1395">
        <f>IFERROR(INDEX(PP_Grid[#Data],$DE1395,21),0)</f>
        <v/>
      </c>
      <c r="Y1395">
        <f>IFERROR(INDEX(PP_Grid[#Data],$DE1395,22),0)</f>
        <v/>
      </c>
      <c r="Z1395">
        <f>IFERROR(INDEX(PP_Grid[#Data],$DE1395,23),0)</f>
        <v/>
      </c>
      <c r="AA1395">
        <f>IFERROR(INDEX(PP_Grid[#Data],$DE1395,24),0)</f>
        <v/>
      </c>
      <c r="AB1395">
        <f>IFERROR(INDEX(PP_Grid[#Data],$DE1395,25),0)</f>
        <v/>
      </c>
      <c r="AC1395">
        <f>IFERROR(INDEX(PP_Grid[#Data],$DE1395,26),0)</f>
        <v/>
      </c>
      <c r="AD1395">
        <f>IFERROR(INDEX(PP_Grid[#Data],$DE1395,27),0)</f>
        <v/>
      </c>
      <c r="AE1395">
        <f>IFERROR(INDEX(PP_Grid[#Data],$DE1395,28),0)</f>
        <v/>
      </c>
      <c r="AF1395">
        <f>IFERROR(INDEX(PP_Grid[#Data],$DE1395,29),0)</f>
        <v/>
      </c>
      <c r="AG1395">
        <f>IFERROR(INDEX(PP_Grid[#Data],$DE1395,30),0)</f>
        <v/>
      </c>
      <c r="AH1395">
        <f>IFERROR(INDEX(PP_Grid[#Data],$DE1395,31),0)</f>
        <v/>
      </c>
      <c r="AI1395">
        <f>IFERROR(INDEX(PP_Grid[#Data],$DE1395,32),0)</f>
        <v/>
      </c>
      <c r="AJ1395">
        <f>IFERROR(INDEX(PP_Grid[#Data],$DE1395,33),0)</f>
        <v/>
      </c>
      <c r="AK1395">
        <f>IFERROR(INDEX(PP_Grid[#Data],$DE1395,34),0)</f>
        <v/>
      </c>
      <c r="AL1395">
        <f>IFERROR(INDEX(PP_Grid[#Data],$DE1395,35),0)</f>
        <v/>
      </c>
      <c r="AM1395">
        <f>IFERROR(INDEX(PP_Grid[#Data],$DE1395,36),0)</f>
        <v/>
      </c>
      <c r="AN1395">
        <f>IFERROR(INDEX(PP_Grid[#Data],$DE1395,37),0)</f>
        <v/>
      </c>
      <c r="AO1395">
        <f>IFERROR(INDEX(PP_Grid[#Data],$DE1395,38),0)</f>
        <v/>
      </c>
      <c r="AP1395">
        <f>IFERROR(INDEX(PP_Grid[#Data],$DE1395,39),0)</f>
        <v/>
      </c>
      <c r="AQ1395">
        <f>IFERROR(INDEX(PP_Grid[#Data],$DE1395,40),0)</f>
        <v/>
      </c>
      <c r="AR1395">
        <f>IFERROR(INDEX(PP_Grid[#Data],$DE1395,41),0)</f>
        <v/>
      </c>
      <c r="AS1395">
        <f>IFERROR(INDEX(PP_Grid[#Data],$DE1395,42),0)</f>
        <v/>
      </c>
      <c r="AT1395">
        <f>IFERROR(INDEX(PP_Grid[#Data],$DE1395,43),0)</f>
        <v/>
      </c>
      <c r="AU1395">
        <f>IFERROR(INDEX(PP_Grid[#Data],$DE1395,44),0)</f>
        <v/>
      </c>
      <c r="AV1395">
        <f>IFERROR(INDEX(PP_Grid[#Data],$DE1395,45),0)</f>
        <v/>
      </c>
      <c r="AW1395">
        <f>IFERROR(INDEX(PP_Grid[#Data],$DE1395,46),0)</f>
        <v/>
      </c>
      <c r="AX1395">
        <f>IFERROR(INDEX(PP_Grid[#Data],$DE1395,47),0)</f>
        <v/>
      </c>
      <c r="AY1395">
        <f>IFERROR(INDEX(PP_Grid[#Data],$DE1395,48),0)</f>
        <v/>
      </c>
      <c r="AZ1395">
        <f>IFERROR(INDEX(PP_Grid[#Data],$DE1395,49),0)</f>
        <v/>
      </c>
      <c r="BA1395">
        <f>IFERROR(INDEX(PP_Grid[#Data],$DE1395,50),0)</f>
        <v/>
      </c>
      <c r="BB1395">
        <f>IFERROR(INDEX(PP_Grid[#Data],$DE1395,51),0)</f>
        <v/>
      </c>
      <c r="BC1395">
        <f>IFERROR(INDEX(PP_Grid[#Data],$DE1395,52),0)</f>
        <v/>
      </c>
      <c r="BD1395">
        <f>IFERROR(INDEX(PP_Grid[#Data],$DE1395,53),0)</f>
        <v/>
      </c>
      <c r="BE1395">
        <f>IFERROR(INDEX(PP_Grid[#Data],$DE1395,54),0)</f>
        <v/>
      </c>
      <c r="BF1395">
        <f>IFERROR(INDEX(PP_Grid[#Data],$DE1395,55),0)</f>
        <v/>
      </c>
      <c r="BG1395">
        <f>IFERROR(INDEX(PP_Grid[#Data],$DE1395,56),0)</f>
        <v/>
      </c>
      <c r="BH1395">
        <f>IFERROR(INDEX(PP_Grid[#Data],$DE1395,57),0)</f>
        <v/>
      </c>
      <c r="BI1395">
        <f>IFERROR(INDEX(PP_Grid[#Data],$DE1395,58),0)</f>
        <v/>
      </c>
      <c r="BJ1395">
        <f>IFERROR(INDEX(PP_Grid[#Data],$DE1395,59),0)</f>
        <v/>
      </c>
      <c r="BK1395">
        <f>IFERROR(INDEX(PP_Grid[#Data],$DE1395,60),0)</f>
        <v/>
      </c>
      <c r="BL1395">
        <f>IFERROR(INDEX(PP_Grid[#Data],$DE1395,61),0)</f>
        <v/>
      </c>
      <c r="BM1395">
        <f>IFERROR(INDEX(PP_Grid[#Data],$DE1395,62),0)</f>
        <v/>
      </c>
      <c r="BN1395">
        <f>IFERROR(INDEX(PP_Grid[#Data],$DE1395,63),0)</f>
        <v/>
      </c>
      <c r="BO1395">
        <f>IFERROR(INDEX(PP_Grid[#Data],$DE1395,64),0)</f>
        <v/>
      </c>
      <c r="BP1395">
        <f>IFERROR(INDEX(PP_Grid[#Data],$DE1395,65),0)</f>
        <v/>
      </c>
      <c r="BQ1395">
        <f>IFERROR(INDEX(PP_Grid[#Data],$DE1395,66),0)</f>
        <v/>
      </c>
      <c r="BR1395">
        <f>IFERROR(INDEX(PP_Grid[#Data],$DE1395,67),0)</f>
        <v/>
      </c>
      <c r="BS1395">
        <f>IFERROR(INDEX(PP_Grid[#Data],$DE1395,68),0)</f>
        <v/>
      </c>
      <c r="BT1395">
        <f>IFERROR(INDEX(PP_Grid[#Data],$DE1395,69),0)</f>
        <v/>
      </c>
      <c r="BU1395">
        <f>IFERROR(INDEX(PP_Grid[#Data],$DE1395,70),0)</f>
        <v/>
      </c>
      <c r="BV1395">
        <f>IFERROR(INDEX(PP_Grid[#Data],$DE1395,71),0)</f>
        <v/>
      </c>
      <c r="BW1395">
        <f>IFERROR(INDEX(PP_Grid[#Data],$DE1395,72),0)</f>
        <v/>
      </c>
      <c r="BX1395">
        <f>IFERROR(INDEX(PP_Grid[#Data],$DE1395,73),0)</f>
        <v/>
      </c>
      <c r="BY1395">
        <f>IFERROR(INDEX(PP_Grid[#Data],$DE1395,74),0)</f>
        <v/>
      </c>
      <c r="BZ1395">
        <f>IFERROR(INDEX(PP_Grid[#Data],$DE1395,75),0)</f>
        <v/>
      </c>
      <c r="CA1395">
        <f>IFERROR(INDEX(PP_Grid[#Data],$DE1395,76),0)</f>
        <v/>
      </c>
      <c r="CB1395">
        <f>IFERROR(INDEX(PP_Grid[#Data],$DE1395,77),0)</f>
        <v/>
      </c>
      <c r="CC1395">
        <f>IFERROR(INDEX(PP_Grid[#Data],$DE1395,78),0)</f>
        <v/>
      </c>
      <c r="CD1395">
        <f>IFERROR(INDEX(PP_Grid[#Data],$DE1395,79),0)</f>
        <v/>
      </c>
      <c r="CE1395">
        <f>IFERROR(INDEX(PP_Grid[#Data],$DE1395,80),0)</f>
        <v/>
      </c>
      <c r="CF1395">
        <f>IFERROR(INDEX(PP_Grid[#Data],$DE1395,81),0)</f>
        <v/>
      </c>
      <c r="CG1395">
        <f>IFERROR(INDEX(PP_Grid[#Data],$DE1395,82),0)</f>
        <v/>
      </c>
      <c r="CH1395">
        <f>IFERROR(INDEX(PP_Grid[#Data],$DE1395,83),0)</f>
        <v/>
      </c>
      <c r="CI1395">
        <f>IFERROR(INDEX(PP_Grid[#Data],$DE1395,84),0)</f>
        <v/>
      </c>
      <c r="CJ1395">
        <f>IFERROR(INDEX(PP_Grid[#Data],$DE1395,85),0)</f>
        <v/>
      </c>
      <c r="CK1395">
        <f>IFERROR(INDEX(PP_Grid[#Data],$DE1395,86),0)</f>
        <v/>
      </c>
      <c r="CL1395">
        <f>IFERROR(INDEX(PP_Grid[#Data],$DE1395,87),0)</f>
        <v/>
      </c>
      <c r="CM1395">
        <f>IFERROR(INDEX(PP_Grid[#Data],$DE1395,88),0)</f>
        <v/>
      </c>
      <c r="CN1395">
        <f>IFERROR(INDEX(PP_Grid[#Data],$DE1395,89),0)</f>
        <v/>
      </c>
      <c r="CO1395">
        <f>IFERROR(INDEX(PP_Grid[#Data],$DE1395,90),0)</f>
        <v/>
      </c>
      <c r="CP1395">
        <f>IFERROR(INDEX(PP_Grid[#Data],$DE1395,91),0)</f>
        <v/>
      </c>
      <c r="CQ1395">
        <f>IFERROR(INDEX(PP_Grid[#Data],$DE1395,92),0)</f>
        <v/>
      </c>
      <c r="CR1395">
        <f>IFERROR(INDEX(PP_Grid[#Data],$DE1395,93),0)</f>
        <v/>
      </c>
      <c r="CS1395">
        <f>IFERROR(INDEX(PP_Grid[#Data],$DE1395,94),0)</f>
        <v/>
      </c>
      <c r="CT1395">
        <f>IFERROR(INDEX(PP_Grid[#Data],$DE1395,95),0)</f>
        <v/>
      </c>
      <c r="CU1395">
        <f>IFERROR(INDEX(PP_Grid[#Data],$DE1395,96),0)</f>
        <v/>
      </c>
      <c r="CV1395">
        <f>IFERROR(INDEX(PP_Grid[#Data],$DE1395,97),0)</f>
        <v/>
      </c>
      <c r="CW1395">
        <f>IFERROR(INDEX(PP_Grid[#Data],$DE1395,98),0)</f>
        <v/>
      </c>
      <c r="CX1395">
        <f>IFERROR(INDEX(PP_Grid[#Data],$DE1395,99),0)</f>
        <v/>
      </c>
      <c r="CY1395">
        <f>IFERROR(INDEX(PP_Grid[#Data],$DE1395,100),0)</f>
        <v/>
      </c>
      <c r="CZ1395">
        <f>IFERROR(INDEX(PP_Grid[#Data],$DE1395,101),0)</f>
        <v/>
      </c>
      <c r="DA1395">
        <f>IFERROR(INDEX(PP_Grid[#Data],$DE1395,102),0)</f>
        <v/>
      </c>
      <c r="DB1395">
        <f>IFERROR(INDEX(PP_Grid[#Data],$DE1395,103),0)</f>
        <v/>
      </c>
      <c r="DC1395">
        <f>IFERROR(INDEX(PP_Grid[#Data],$DE1395,104),0)</f>
        <v/>
      </c>
      <c r="DD1395">
        <f>IFERROR(INDEX(PP_Grid[#Data],$DE1395,105),0)</f>
        <v/>
      </c>
      <c r="DE1395" s="7">
        <f>IFERROR(MATCH($B1395,PP_Grid[Intermediate],0),99999)</f>
        <v/>
      </c>
    </row>
    <row r="1396">
      <c r="B1396" t="inlineStr">
        <is>
          <t>使用量(kg)</t>
        </is>
      </c>
      <c r="C1396">
        <f>SUMIFS(M_BOM[RM_Qty_Per_Batch],M_BOM[Intermediate],$B1395,M_BOM[RM_Code],$A1392)</f>
        <v/>
      </c>
      <c r="D1396">
        <f>IFERROR(INDEX(E1396:DD1396,$F$1),"")</f>
        <v/>
      </c>
      <c r="E1396">
        <f>$C1396*E1395</f>
        <v/>
      </c>
      <c r="F1396">
        <f>$C1396*F1395</f>
        <v/>
      </c>
      <c r="G1396">
        <f>$C1396*G1395</f>
        <v/>
      </c>
      <c r="H1396">
        <f>$C1396*H1395</f>
        <v/>
      </c>
      <c r="I1396">
        <f>$C1396*I1395</f>
        <v/>
      </c>
      <c r="J1396">
        <f>$C1396*J1395</f>
        <v/>
      </c>
      <c r="K1396">
        <f>$C1396*K1395</f>
        <v/>
      </c>
      <c r="L1396">
        <f>$C1396*L1395</f>
        <v/>
      </c>
      <c r="M1396">
        <f>$C1396*M1395</f>
        <v/>
      </c>
      <c r="N1396">
        <f>$C1396*N1395</f>
        <v/>
      </c>
      <c r="O1396">
        <f>$C1396*O1395</f>
        <v/>
      </c>
      <c r="P1396">
        <f>$C1396*P1395</f>
        <v/>
      </c>
      <c r="Q1396">
        <f>$C1396*Q1395</f>
        <v/>
      </c>
      <c r="R1396">
        <f>$C1396*R1395</f>
        <v/>
      </c>
      <c r="S1396">
        <f>$C1396*S1395</f>
        <v/>
      </c>
      <c r="T1396">
        <f>$C1396*T1395</f>
        <v/>
      </c>
      <c r="U1396">
        <f>$C1396*U1395</f>
        <v/>
      </c>
      <c r="V1396">
        <f>$C1396*V1395</f>
        <v/>
      </c>
      <c r="W1396">
        <f>$C1396*W1395</f>
        <v/>
      </c>
      <c r="X1396">
        <f>$C1396*X1395</f>
        <v/>
      </c>
      <c r="Y1396">
        <f>$C1396*Y1395</f>
        <v/>
      </c>
      <c r="Z1396">
        <f>$C1396*Z1395</f>
        <v/>
      </c>
      <c r="AA1396">
        <f>$C1396*AA1395</f>
        <v/>
      </c>
      <c r="AB1396">
        <f>$C1396*AB1395</f>
        <v/>
      </c>
      <c r="AC1396">
        <f>$C1396*AC1395</f>
        <v/>
      </c>
      <c r="AD1396">
        <f>$C1396*AD1395</f>
        <v/>
      </c>
      <c r="AE1396">
        <f>$C1396*AE1395</f>
        <v/>
      </c>
      <c r="AF1396">
        <f>$C1396*AF1395</f>
        <v/>
      </c>
      <c r="AG1396">
        <f>$C1396*AG1395</f>
        <v/>
      </c>
      <c r="AH1396">
        <f>$C1396*AH1395</f>
        <v/>
      </c>
      <c r="AI1396">
        <f>$C1396*AI1395</f>
        <v/>
      </c>
      <c r="AJ1396">
        <f>$C1396*AJ1395</f>
        <v/>
      </c>
      <c r="AK1396">
        <f>$C1396*AK1395</f>
        <v/>
      </c>
      <c r="AL1396">
        <f>$C1396*AL1395</f>
        <v/>
      </c>
      <c r="AM1396">
        <f>$C1396*AM1395</f>
        <v/>
      </c>
      <c r="AN1396">
        <f>$C1396*AN1395</f>
        <v/>
      </c>
      <c r="AO1396">
        <f>$C1396*AO1395</f>
        <v/>
      </c>
      <c r="AP1396">
        <f>$C1396*AP1395</f>
        <v/>
      </c>
      <c r="AQ1396">
        <f>$C1396*AQ1395</f>
        <v/>
      </c>
      <c r="AR1396">
        <f>$C1396*AR1395</f>
        <v/>
      </c>
      <c r="AS1396">
        <f>$C1396*AS1395</f>
        <v/>
      </c>
      <c r="AT1396">
        <f>$C1396*AT1395</f>
        <v/>
      </c>
      <c r="AU1396">
        <f>$C1396*AU1395</f>
        <v/>
      </c>
      <c r="AV1396">
        <f>$C1396*AV1395</f>
        <v/>
      </c>
      <c r="AW1396">
        <f>$C1396*AW1395</f>
        <v/>
      </c>
      <c r="AX1396">
        <f>$C1396*AX1395</f>
        <v/>
      </c>
      <c r="AY1396">
        <f>$C1396*AY1395</f>
        <v/>
      </c>
      <c r="AZ1396">
        <f>$C1396*AZ1395</f>
        <v/>
      </c>
      <c r="BA1396">
        <f>$C1396*BA1395</f>
        <v/>
      </c>
      <c r="BB1396">
        <f>$C1396*BB1395</f>
        <v/>
      </c>
      <c r="BC1396">
        <f>$C1396*BC1395</f>
        <v/>
      </c>
      <c r="BD1396">
        <f>$C1396*BD1395</f>
        <v/>
      </c>
      <c r="BE1396">
        <f>$C1396*BE1395</f>
        <v/>
      </c>
      <c r="BF1396">
        <f>$C1396*BF1395</f>
        <v/>
      </c>
      <c r="BG1396">
        <f>$C1396*BG1395</f>
        <v/>
      </c>
      <c r="BH1396">
        <f>$C1396*BH1395</f>
        <v/>
      </c>
      <c r="BI1396">
        <f>$C1396*BI1395</f>
        <v/>
      </c>
      <c r="BJ1396">
        <f>$C1396*BJ1395</f>
        <v/>
      </c>
      <c r="BK1396">
        <f>$C1396*BK1395</f>
        <v/>
      </c>
      <c r="BL1396">
        <f>$C1396*BL1395</f>
        <v/>
      </c>
      <c r="BM1396">
        <f>$C1396*BM1395</f>
        <v/>
      </c>
      <c r="BN1396">
        <f>$C1396*BN1395</f>
        <v/>
      </c>
      <c r="BO1396">
        <f>$C1396*BO1395</f>
        <v/>
      </c>
      <c r="BP1396">
        <f>$C1396*BP1395</f>
        <v/>
      </c>
      <c r="BQ1396">
        <f>$C1396*BQ1395</f>
        <v/>
      </c>
      <c r="BR1396">
        <f>$C1396*BR1395</f>
        <v/>
      </c>
      <c r="BS1396">
        <f>$C1396*BS1395</f>
        <v/>
      </c>
      <c r="BT1396">
        <f>$C1396*BT1395</f>
        <v/>
      </c>
      <c r="BU1396">
        <f>$C1396*BU1395</f>
        <v/>
      </c>
      <c r="BV1396">
        <f>$C1396*BV1395</f>
        <v/>
      </c>
      <c r="BW1396">
        <f>$C1396*BW1395</f>
        <v/>
      </c>
      <c r="BX1396">
        <f>$C1396*BX1395</f>
        <v/>
      </c>
      <c r="BY1396">
        <f>$C1396*BY1395</f>
        <v/>
      </c>
      <c r="BZ1396">
        <f>$C1396*BZ1395</f>
        <v/>
      </c>
      <c r="CA1396">
        <f>$C1396*CA1395</f>
        <v/>
      </c>
      <c r="CB1396">
        <f>$C1396*CB1395</f>
        <v/>
      </c>
      <c r="CC1396">
        <f>$C1396*CC1395</f>
        <v/>
      </c>
      <c r="CD1396">
        <f>$C1396*CD1395</f>
        <v/>
      </c>
      <c r="CE1396">
        <f>$C1396*CE1395</f>
        <v/>
      </c>
      <c r="CF1396">
        <f>$C1396*CF1395</f>
        <v/>
      </c>
      <c r="CG1396">
        <f>$C1396*CG1395</f>
        <v/>
      </c>
      <c r="CH1396">
        <f>$C1396*CH1395</f>
        <v/>
      </c>
      <c r="CI1396">
        <f>$C1396*CI1395</f>
        <v/>
      </c>
      <c r="CJ1396">
        <f>$C1396*CJ1395</f>
        <v/>
      </c>
      <c r="CK1396">
        <f>$C1396*CK1395</f>
        <v/>
      </c>
      <c r="CL1396">
        <f>$C1396*CL1395</f>
        <v/>
      </c>
      <c r="CM1396">
        <f>$C1396*CM1395</f>
        <v/>
      </c>
      <c r="CN1396">
        <f>$C1396*CN1395</f>
        <v/>
      </c>
      <c r="CO1396">
        <f>$C1396*CO1395</f>
        <v/>
      </c>
      <c r="CP1396">
        <f>$C1396*CP1395</f>
        <v/>
      </c>
      <c r="CQ1396">
        <f>$C1396*CQ1395</f>
        <v/>
      </c>
      <c r="CR1396">
        <f>$C1396*CR1395</f>
        <v/>
      </c>
      <c r="CS1396">
        <f>$C1396*CS1395</f>
        <v/>
      </c>
      <c r="CT1396">
        <f>$C1396*CT1395</f>
        <v/>
      </c>
      <c r="CU1396">
        <f>$C1396*CU1395</f>
        <v/>
      </c>
      <c r="CV1396">
        <f>$C1396*CV1395</f>
        <v/>
      </c>
      <c r="CW1396">
        <f>$C1396*CW1395</f>
        <v/>
      </c>
      <c r="CX1396">
        <f>$C1396*CX1395</f>
        <v/>
      </c>
      <c r="CY1396">
        <f>$C1396*CY1395</f>
        <v/>
      </c>
      <c r="CZ1396">
        <f>$C1396*CZ1395</f>
        <v/>
      </c>
      <c r="DA1396">
        <f>$C1396*DA1395</f>
        <v/>
      </c>
      <c r="DB1396">
        <f>$C1396*DB1395</f>
        <v/>
      </c>
      <c r="DC1396">
        <f>$C1396*DC1395</f>
        <v/>
      </c>
      <c r="DD1396">
        <f>$C1396*DD1395</f>
        <v/>
      </c>
    </row>
    <row r="1397">
      <c r="B1397" t="inlineStr">
        <is>
          <t>TSP-934</t>
        </is>
      </c>
      <c r="C1397" t="inlineStr">
        <is>
          <t>No. of batches</t>
        </is>
      </c>
      <c r="D1397">
        <f>IFERROR(INDEX(E1397:DD1397,$F$1),"")</f>
        <v/>
      </c>
      <c r="E1397">
        <f>IFERROR(INDEX(PP_Grid[#Data],$DE1397,2),0)</f>
        <v/>
      </c>
      <c r="F1397">
        <f>IFERROR(INDEX(PP_Grid[#Data],$DE1397,3),0)</f>
        <v/>
      </c>
      <c r="G1397">
        <f>IFERROR(INDEX(PP_Grid[#Data],$DE1397,4),0)</f>
        <v/>
      </c>
      <c r="H1397">
        <f>IFERROR(INDEX(PP_Grid[#Data],$DE1397,5),0)</f>
        <v/>
      </c>
      <c r="I1397">
        <f>IFERROR(INDEX(PP_Grid[#Data],$DE1397,6),0)</f>
        <v/>
      </c>
      <c r="J1397">
        <f>IFERROR(INDEX(PP_Grid[#Data],$DE1397,7),0)</f>
        <v/>
      </c>
      <c r="K1397">
        <f>IFERROR(INDEX(PP_Grid[#Data],$DE1397,8),0)</f>
        <v/>
      </c>
      <c r="L1397">
        <f>IFERROR(INDEX(PP_Grid[#Data],$DE1397,9),0)</f>
        <v/>
      </c>
      <c r="M1397">
        <f>IFERROR(INDEX(PP_Grid[#Data],$DE1397,10),0)</f>
        <v/>
      </c>
      <c r="N1397">
        <f>IFERROR(INDEX(PP_Grid[#Data],$DE1397,11),0)</f>
        <v/>
      </c>
      <c r="O1397">
        <f>IFERROR(INDEX(PP_Grid[#Data],$DE1397,12),0)</f>
        <v/>
      </c>
      <c r="P1397">
        <f>IFERROR(INDEX(PP_Grid[#Data],$DE1397,13),0)</f>
        <v/>
      </c>
      <c r="Q1397">
        <f>IFERROR(INDEX(PP_Grid[#Data],$DE1397,14),0)</f>
        <v/>
      </c>
      <c r="R1397">
        <f>IFERROR(INDEX(PP_Grid[#Data],$DE1397,15),0)</f>
        <v/>
      </c>
      <c r="S1397">
        <f>IFERROR(INDEX(PP_Grid[#Data],$DE1397,16),0)</f>
        <v/>
      </c>
      <c r="T1397">
        <f>IFERROR(INDEX(PP_Grid[#Data],$DE1397,17),0)</f>
        <v/>
      </c>
      <c r="U1397">
        <f>IFERROR(INDEX(PP_Grid[#Data],$DE1397,18),0)</f>
        <v/>
      </c>
      <c r="V1397">
        <f>IFERROR(INDEX(PP_Grid[#Data],$DE1397,19),0)</f>
        <v/>
      </c>
      <c r="W1397">
        <f>IFERROR(INDEX(PP_Grid[#Data],$DE1397,20),0)</f>
        <v/>
      </c>
      <c r="X1397">
        <f>IFERROR(INDEX(PP_Grid[#Data],$DE1397,21),0)</f>
        <v/>
      </c>
      <c r="Y1397">
        <f>IFERROR(INDEX(PP_Grid[#Data],$DE1397,22),0)</f>
        <v/>
      </c>
      <c r="Z1397">
        <f>IFERROR(INDEX(PP_Grid[#Data],$DE1397,23),0)</f>
        <v/>
      </c>
      <c r="AA1397">
        <f>IFERROR(INDEX(PP_Grid[#Data],$DE1397,24),0)</f>
        <v/>
      </c>
      <c r="AB1397">
        <f>IFERROR(INDEX(PP_Grid[#Data],$DE1397,25),0)</f>
        <v/>
      </c>
      <c r="AC1397">
        <f>IFERROR(INDEX(PP_Grid[#Data],$DE1397,26),0)</f>
        <v/>
      </c>
      <c r="AD1397">
        <f>IFERROR(INDEX(PP_Grid[#Data],$DE1397,27),0)</f>
        <v/>
      </c>
      <c r="AE1397">
        <f>IFERROR(INDEX(PP_Grid[#Data],$DE1397,28),0)</f>
        <v/>
      </c>
      <c r="AF1397">
        <f>IFERROR(INDEX(PP_Grid[#Data],$DE1397,29),0)</f>
        <v/>
      </c>
      <c r="AG1397">
        <f>IFERROR(INDEX(PP_Grid[#Data],$DE1397,30),0)</f>
        <v/>
      </c>
      <c r="AH1397">
        <f>IFERROR(INDEX(PP_Grid[#Data],$DE1397,31),0)</f>
        <v/>
      </c>
      <c r="AI1397">
        <f>IFERROR(INDEX(PP_Grid[#Data],$DE1397,32),0)</f>
        <v/>
      </c>
      <c r="AJ1397">
        <f>IFERROR(INDEX(PP_Grid[#Data],$DE1397,33),0)</f>
        <v/>
      </c>
      <c r="AK1397">
        <f>IFERROR(INDEX(PP_Grid[#Data],$DE1397,34),0)</f>
        <v/>
      </c>
      <c r="AL1397">
        <f>IFERROR(INDEX(PP_Grid[#Data],$DE1397,35),0)</f>
        <v/>
      </c>
      <c r="AM1397">
        <f>IFERROR(INDEX(PP_Grid[#Data],$DE1397,36),0)</f>
        <v/>
      </c>
      <c r="AN1397">
        <f>IFERROR(INDEX(PP_Grid[#Data],$DE1397,37),0)</f>
        <v/>
      </c>
      <c r="AO1397">
        <f>IFERROR(INDEX(PP_Grid[#Data],$DE1397,38),0)</f>
        <v/>
      </c>
      <c r="AP1397">
        <f>IFERROR(INDEX(PP_Grid[#Data],$DE1397,39),0)</f>
        <v/>
      </c>
      <c r="AQ1397">
        <f>IFERROR(INDEX(PP_Grid[#Data],$DE1397,40),0)</f>
        <v/>
      </c>
      <c r="AR1397">
        <f>IFERROR(INDEX(PP_Grid[#Data],$DE1397,41),0)</f>
        <v/>
      </c>
      <c r="AS1397">
        <f>IFERROR(INDEX(PP_Grid[#Data],$DE1397,42),0)</f>
        <v/>
      </c>
      <c r="AT1397">
        <f>IFERROR(INDEX(PP_Grid[#Data],$DE1397,43),0)</f>
        <v/>
      </c>
      <c r="AU1397">
        <f>IFERROR(INDEX(PP_Grid[#Data],$DE1397,44),0)</f>
        <v/>
      </c>
      <c r="AV1397">
        <f>IFERROR(INDEX(PP_Grid[#Data],$DE1397,45),0)</f>
        <v/>
      </c>
      <c r="AW1397">
        <f>IFERROR(INDEX(PP_Grid[#Data],$DE1397,46),0)</f>
        <v/>
      </c>
      <c r="AX1397">
        <f>IFERROR(INDEX(PP_Grid[#Data],$DE1397,47),0)</f>
        <v/>
      </c>
      <c r="AY1397">
        <f>IFERROR(INDEX(PP_Grid[#Data],$DE1397,48),0)</f>
        <v/>
      </c>
      <c r="AZ1397">
        <f>IFERROR(INDEX(PP_Grid[#Data],$DE1397,49),0)</f>
        <v/>
      </c>
      <c r="BA1397">
        <f>IFERROR(INDEX(PP_Grid[#Data],$DE1397,50),0)</f>
        <v/>
      </c>
      <c r="BB1397">
        <f>IFERROR(INDEX(PP_Grid[#Data],$DE1397,51),0)</f>
        <v/>
      </c>
      <c r="BC1397">
        <f>IFERROR(INDEX(PP_Grid[#Data],$DE1397,52),0)</f>
        <v/>
      </c>
      <c r="BD1397">
        <f>IFERROR(INDEX(PP_Grid[#Data],$DE1397,53),0)</f>
        <v/>
      </c>
      <c r="BE1397">
        <f>IFERROR(INDEX(PP_Grid[#Data],$DE1397,54),0)</f>
        <v/>
      </c>
      <c r="BF1397">
        <f>IFERROR(INDEX(PP_Grid[#Data],$DE1397,55),0)</f>
        <v/>
      </c>
      <c r="BG1397">
        <f>IFERROR(INDEX(PP_Grid[#Data],$DE1397,56),0)</f>
        <v/>
      </c>
      <c r="BH1397">
        <f>IFERROR(INDEX(PP_Grid[#Data],$DE1397,57),0)</f>
        <v/>
      </c>
      <c r="BI1397">
        <f>IFERROR(INDEX(PP_Grid[#Data],$DE1397,58),0)</f>
        <v/>
      </c>
      <c r="BJ1397">
        <f>IFERROR(INDEX(PP_Grid[#Data],$DE1397,59),0)</f>
        <v/>
      </c>
      <c r="BK1397">
        <f>IFERROR(INDEX(PP_Grid[#Data],$DE1397,60),0)</f>
        <v/>
      </c>
      <c r="BL1397">
        <f>IFERROR(INDEX(PP_Grid[#Data],$DE1397,61),0)</f>
        <v/>
      </c>
      <c r="BM1397">
        <f>IFERROR(INDEX(PP_Grid[#Data],$DE1397,62),0)</f>
        <v/>
      </c>
      <c r="BN1397">
        <f>IFERROR(INDEX(PP_Grid[#Data],$DE1397,63),0)</f>
        <v/>
      </c>
      <c r="BO1397">
        <f>IFERROR(INDEX(PP_Grid[#Data],$DE1397,64),0)</f>
        <v/>
      </c>
      <c r="BP1397">
        <f>IFERROR(INDEX(PP_Grid[#Data],$DE1397,65),0)</f>
        <v/>
      </c>
      <c r="BQ1397">
        <f>IFERROR(INDEX(PP_Grid[#Data],$DE1397,66),0)</f>
        <v/>
      </c>
      <c r="BR1397">
        <f>IFERROR(INDEX(PP_Grid[#Data],$DE1397,67),0)</f>
        <v/>
      </c>
      <c r="BS1397">
        <f>IFERROR(INDEX(PP_Grid[#Data],$DE1397,68),0)</f>
        <v/>
      </c>
      <c r="BT1397">
        <f>IFERROR(INDEX(PP_Grid[#Data],$DE1397,69),0)</f>
        <v/>
      </c>
      <c r="BU1397">
        <f>IFERROR(INDEX(PP_Grid[#Data],$DE1397,70),0)</f>
        <v/>
      </c>
      <c r="BV1397">
        <f>IFERROR(INDEX(PP_Grid[#Data],$DE1397,71),0)</f>
        <v/>
      </c>
      <c r="BW1397">
        <f>IFERROR(INDEX(PP_Grid[#Data],$DE1397,72),0)</f>
        <v/>
      </c>
      <c r="BX1397">
        <f>IFERROR(INDEX(PP_Grid[#Data],$DE1397,73),0)</f>
        <v/>
      </c>
      <c r="BY1397">
        <f>IFERROR(INDEX(PP_Grid[#Data],$DE1397,74),0)</f>
        <v/>
      </c>
      <c r="BZ1397">
        <f>IFERROR(INDEX(PP_Grid[#Data],$DE1397,75),0)</f>
        <v/>
      </c>
      <c r="CA1397">
        <f>IFERROR(INDEX(PP_Grid[#Data],$DE1397,76),0)</f>
        <v/>
      </c>
      <c r="CB1397">
        <f>IFERROR(INDEX(PP_Grid[#Data],$DE1397,77),0)</f>
        <v/>
      </c>
      <c r="CC1397">
        <f>IFERROR(INDEX(PP_Grid[#Data],$DE1397,78),0)</f>
        <v/>
      </c>
      <c r="CD1397">
        <f>IFERROR(INDEX(PP_Grid[#Data],$DE1397,79),0)</f>
        <v/>
      </c>
      <c r="CE1397">
        <f>IFERROR(INDEX(PP_Grid[#Data],$DE1397,80),0)</f>
        <v/>
      </c>
      <c r="CF1397">
        <f>IFERROR(INDEX(PP_Grid[#Data],$DE1397,81),0)</f>
        <v/>
      </c>
      <c r="CG1397">
        <f>IFERROR(INDEX(PP_Grid[#Data],$DE1397,82),0)</f>
        <v/>
      </c>
      <c r="CH1397">
        <f>IFERROR(INDEX(PP_Grid[#Data],$DE1397,83),0)</f>
        <v/>
      </c>
      <c r="CI1397">
        <f>IFERROR(INDEX(PP_Grid[#Data],$DE1397,84),0)</f>
        <v/>
      </c>
      <c r="CJ1397">
        <f>IFERROR(INDEX(PP_Grid[#Data],$DE1397,85),0)</f>
        <v/>
      </c>
      <c r="CK1397">
        <f>IFERROR(INDEX(PP_Grid[#Data],$DE1397,86),0)</f>
        <v/>
      </c>
      <c r="CL1397">
        <f>IFERROR(INDEX(PP_Grid[#Data],$DE1397,87),0)</f>
        <v/>
      </c>
      <c r="CM1397">
        <f>IFERROR(INDEX(PP_Grid[#Data],$DE1397,88),0)</f>
        <v/>
      </c>
      <c r="CN1397">
        <f>IFERROR(INDEX(PP_Grid[#Data],$DE1397,89),0)</f>
        <v/>
      </c>
      <c r="CO1397">
        <f>IFERROR(INDEX(PP_Grid[#Data],$DE1397,90),0)</f>
        <v/>
      </c>
      <c r="CP1397">
        <f>IFERROR(INDEX(PP_Grid[#Data],$DE1397,91),0)</f>
        <v/>
      </c>
      <c r="CQ1397">
        <f>IFERROR(INDEX(PP_Grid[#Data],$DE1397,92),0)</f>
        <v/>
      </c>
      <c r="CR1397">
        <f>IFERROR(INDEX(PP_Grid[#Data],$DE1397,93),0)</f>
        <v/>
      </c>
      <c r="CS1397">
        <f>IFERROR(INDEX(PP_Grid[#Data],$DE1397,94),0)</f>
        <v/>
      </c>
      <c r="CT1397">
        <f>IFERROR(INDEX(PP_Grid[#Data],$DE1397,95),0)</f>
        <v/>
      </c>
      <c r="CU1397">
        <f>IFERROR(INDEX(PP_Grid[#Data],$DE1397,96),0)</f>
        <v/>
      </c>
      <c r="CV1397">
        <f>IFERROR(INDEX(PP_Grid[#Data],$DE1397,97),0)</f>
        <v/>
      </c>
      <c r="CW1397">
        <f>IFERROR(INDEX(PP_Grid[#Data],$DE1397,98),0)</f>
        <v/>
      </c>
      <c r="CX1397">
        <f>IFERROR(INDEX(PP_Grid[#Data],$DE1397,99),0)</f>
        <v/>
      </c>
      <c r="CY1397">
        <f>IFERROR(INDEX(PP_Grid[#Data],$DE1397,100),0)</f>
        <v/>
      </c>
      <c r="CZ1397">
        <f>IFERROR(INDEX(PP_Grid[#Data],$DE1397,101),0)</f>
        <v/>
      </c>
      <c r="DA1397">
        <f>IFERROR(INDEX(PP_Grid[#Data],$DE1397,102),0)</f>
        <v/>
      </c>
      <c r="DB1397">
        <f>IFERROR(INDEX(PP_Grid[#Data],$DE1397,103),0)</f>
        <v/>
      </c>
      <c r="DC1397">
        <f>IFERROR(INDEX(PP_Grid[#Data],$DE1397,104),0)</f>
        <v/>
      </c>
      <c r="DD1397">
        <f>IFERROR(INDEX(PP_Grid[#Data],$DE1397,105),0)</f>
        <v/>
      </c>
      <c r="DE1397" s="7">
        <f>IFERROR(MATCH($B1397,PP_Grid[Intermediate],0),99999)</f>
        <v/>
      </c>
    </row>
    <row r="1398">
      <c r="B1398" t="inlineStr">
        <is>
          <t>使用量(kg)</t>
        </is>
      </c>
      <c r="C1398">
        <f>SUMIFS(M_BOM[RM_Qty_Per_Batch],M_BOM[Intermediate],$B1397,M_BOM[RM_Code],$A1392)</f>
        <v/>
      </c>
      <c r="D1398">
        <f>IFERROR(INDEX(E1398:DD1398,$F$1),"")</f>
        <v/>
      </c>
      <c r="E1398">
        <f>$C1398*E1397</f>
        <v/>
      </c>
      <c r="F1398">
        <f>$C1398*F1397</f>
        <v/>
      </c>
      <c r="G1398">
        <f>$C1398*G1397</f>
        <v/>
      </c>
      <c r="H1398">
        <f>$C1398*H1397</f>
        <v/>
      </c>
      <c r="I1398">
        <f>$C1398*I1397</f>
        <v/>
      </c>
      <c r="J1398">
        <f>$C1398*J1397</f>
        <v/>
      </c>
      <c r="K1398">
        <f>$C1398*K1397</f>
        <v/>
      </c>
      <c r="L1398">
        <f>$C1398*L1397</f>
        <v/>
      </c>
      <c r="M1398">
        <f>$C1398*M1397</f>
        <v/>
      </c>
      <c r="N1398">
        <f>$C1398*N1397</f>
        <v/>
      </c>
      <c r="O1398">
        <f>$C1398*O1397</f>
        <v/>
      </c>
      <c r="P1398">
        <f>$C1398*P1397</f>
        <v/>
      </c>
      <c r="Q1398">
        <f>$C1398*Q1397</f>
        <v/>
      </c>
      <c r="R1398">
        <f>$C1398*R1397</f>
        <v/>
      </c>
      <c r="S1398">
        <f>$C1398*S1397</f>
        <v/>
      </c>
      <c r="T1398">
        <f>$C1398*T1397</f>
        <v/>
      </c>
      <c r="U1398">
        <f>$C1398*U1397</f>
        <v/>
      </c>
      <c r="V1398">
        <f>$C1398*V1397</f>
        <v/>
      </c>
      <c r="W1398">
        <f>$C1398*W1397</f>
        <v/>
      </c>
      <c r="X1398">
        <f>$C1398*X1397</f>
        <v/>
      </c>
      <c r="Y1398">
        <f>$C1398*Y1397</f>
        <v/>
      </c>
      <c r="Z1398">
        <f>$C1398*Z1397</f>
        <v/>
      </c>
      <c r="AA1398">
        <f>$C1398*AA1397</f>
        <v/>
      </c>
      <c r="AB1398">
        <f>$C1398*AB1397</f>
        <v/>
      </c>
      <c r="AC1398">
        <f>$C1398*AC1397</f>
        <v/>
      </c>
      <c r="AD1398">
        <f>$C1398*AD1397</f>
        <v/>
      </c>
      <c r="AE1398">
        <f>$C1398*AE1397</f>
        <v/>
      </c>
      <c r="AF1398">
        <f>$C1398*AF1397</f>
        <v/>
      </c>
      <c r="AG1398">
        <f>$C1398*AG1397</f>
        <v/>
      </c>
      <c r="AH1398">
        <f>$C1398*AH1397</f>
        <v/>
      </c>
      <c r="AI1398">
        <f>$C1398*AI1397</f>
        <v/>
      </c>
      <c r="AJ1398">
        <f>$C1398*AJ1397</f>
        <v/>
      </c>
      <c r="AK1398">
        <f>$C1398*AK1397</f>
        <v/>
      </c>
      <c r="AL1398">
        <f>$C1398*AL1397</f>
        <v/>
      </c>
      <c r="AM1398">
        <f>$C1398*AM1397</f>
        <v/>
      </c>
      <c r="AN1398">
        <f>$C1398*AN1397</f>
        <v/>
      </c>
      <c r="AO1398">
        <f>$C1398*AO1397</f>
        <v/>
      </c>
      <c r="AP1398">
        <f>$C1398*AP1397</f>
        <v/>
      </c>
      <c r="AQ1398">
        <f>$C1398*AQ1397</f>
        <v/>
      </c>
      <c r="AR1398">
        <f>$C1398*AR1397</f>
        <v/>
      </c>
      <c r="AS1398">
        <f>$C1398*AS1397</f>
        <v/>
      </c>
      <c r="AT1398">
        <f>$C1398*AT1397</f>
        <v/>
      </c>
      <c r="AU1398">
        <f>$C1398*AU1397</f>
        <v/>
      </c>
      <c r="AV1398">
        <f>$C1398*AV1397</f>
        <v/>
      </c>
      <c r="AW1398">
        <f>$C1398*AW1397</f>
        <v/>
      </c>
      <c r="AX1398">
        <f>$C1398*AX1397</f>
        <v/>
      </c>
      <c r="AY1398">
        <f>$C1398*AY1397</f>
        <v/>
      </c>
      <c r="AZ1398">
        <f>$C1398*AZ1397</f>
        <v/>
      </c>
      <c r="BA1398">
        <f>$C1398*BA1397</f>
        <v/>
      </c>
      <c r="BB1398">
        <f>$C1398*BB1397</f>
        <v/>
      </c>
      <c r="BC1398">
        <f>$C1398*BC1397</f>
        <v/>
      </c>
      <c r="BD1398">
        <f>$C1398*BD1397</f>
        <v/>
      </c>
      <c r="BE1398">
        <f>$C1398*BE1397</f>
        <v/>
      </c>
      <c r="BF1398">
        <f>$C1398*BF1397</f>
        <v/>
      </c>
      <c r="BG1398">
        <f>$C1398*BG1397</f>
        <v/>
      </c>
      <c r="BH1398">
        <f>$C1398*BH1397</f>
        <v/>
      </c>
      <c r="BI1398">
        <f>$C1398*BI1397</f>
        <v/>
      </c>
      <c r="BJ1398">
        <f>$C1398*BJ1397</f>
        <v/>
      </c>
      <c r="BK1398">
        <f>$C1398*BK1397</f>
        <v/>
      </c>
      <c r="BL1398">
        <f>$C1398*BL1397</f>
        <v/>
      </c>
      <c r="BM1398">
        <f>$C1398*BM1397</f>
        <v/>
      </c>
      <c r="BN1398">
        <f>$C1398*BN1397</f>
        <v/>
      </c>
      <c r="BO1398">
        <f>$C1398*BO1397</f>
        <v/>
      </c>
      <c r="BP1398">
        <f>$C1398*BP1397</f>
        <v/>
      </c>
      <c r="BQ1398">
        <f>$C1398*BQ1397</f>
        <v/>
      </c>
      <c r="BR1398">
        <f>$C1398*BR1397</f>
        <v/>
      </c>
      <c r="BS1398">
        <f>$C1398*BS1397</f>
        <v/>
      </c>
      <c r="BT1398">
        <f>$C1398*BT1397</f>
        <v/>
      </c>
      <c r="BU1398">
        <f>$C1398*BU1397</f>
        <v/>
      </c>
      <c r="BV1398">
        <f>$C1398*BV1397</f>
        <v/>
      </c>
      <c r="BW1398">
        <f>$C1398*BW1397</f>
        <v/>
      </c>
      <c r="BX1398">
        <f>$C1398*BX1397</f>
        <v/>
      </c>
      <c r="BY1398">
        <f>$C1398*BY1397</f>
        <v/>
      </c>
      <c r="BZ1398">
        <f>$C1398*BZ1397</f>
        <v/>
      </c>
      <c r="CA1398">
        <f>$C1398*CA1397</f>
        <v/>
      </c>
      <c r="CB1398">
        <f>$C1398*CB1397</f>
        <v/>
      </c>
      <c r="CC1398">
        <f>$C1398*CC1397</f>
        <v/>
      </c>
      <c r="CD1398">
        <f>$C1398*CD1397</f>
        <v/>
      </c>
      <c r="CE1398">
        <f>$C1398*CE1397</f>
        <v/>
      </c>
      <c r="CF1398">
        <f>$C1398*CF1397</f>
        <v/>
      </c>
      <c r="CG1398">
        <f>$C1398*CG1397</f>
        <v/>
      </c>
      <c r="CH1398">
        <f>$C1398*CH1397</f>
        <v/>
      </c>
      <c r="CI1398">
        <f>$C1398*CI1397</f>
        <v/>
      </c>
      <c r="CJ1398">
        <f>$C1398*CJ1397</f>
        <v/>
      </c>
      <c r="CK1398">
        <f>$C1398*CK1397</f>
        <v/>
      </c>
      <c r="CL1398">
        <f>$C1398*CL1397</f>
        <v/>
      </c>
      <c r="CM1398">
        <f>$C1398*CM1397</f>
        <v/>
      </c>
      <c r="CN1398">
        <f>$C1398*CN1397</f>
        <v/>
      </c>
      <c r="CO1398">
        <f>$C1398*CO1397</f>
        <v/>
      </c>
      <c r="CP1398">
        <f>$C1398*CP1397</f>
        <v/>
      </c>
      <c r="CQ1398">
        <f>$C1398*CQ1397</f>
        <v/>
      </c>
      <c r="CR1398">
        <f>$C1398*CR1397</f>
        <v/>
      </c>
      <c r="CS1398">
        <f>$C1398*CS1397</f>
        <v/>
      </c>
      <c r="CT1398">
        <f>$C1398*CT1397</f>
        <v/>
      </c>
      <c r="CU1398">
        <f>$C1398*CU1397</f>
        <v/>
      </c>
      <c r="CV1398">
        <f>$C1398*CV1397</f>
        <v/>
      </c>
      <c r="CW1398">
        <f>$C1398*CW1397</f>
        <v/>
      </c>
      <c r="CX1398">
        <f>$C1398*CX1397</f>
        <v/>
      </c>
      <c r="CY1398">
        <f>$C1398*CY1397</f>
        <v/>
      </c>
      <c r="CZ1398">
        <f>$C1398*CZ1397</f>
        <v/>
      </c>
      <c r="DA1398">
        <f>$C1398*DA1397</f>
        <v/>
      </c>
      <c r="DB1398">
        <f>$C1398*DB1397</f>
        <v/>
      </c>
      <c r="DC1398">
        <f>$C1398*DC1397</f>
        <v/>
      </c>
      <c r="DD1398">
        <f>$C1398*DD1397</f>
        <v/>
      </c>
    </row>
    <row r="1399">
      <c r="B1399" t="inlineStr">
        <is>
          <t>TSP-935</t>
        </is>
      </c>
      <c r="C1399" t="inlineStr">
        <is>
          <t>No. of batches</t>
        </is>
      </c>
      <c r="D1399">
        <f>IFERROR(INDEX(E1399:DD1399,$F$1),"")</f>
        <v/>
      </c>
      <c r="E1399">
        <f>IFERROR(INDEX(PP_Grid[#Data],$DE1399,2),0)</f>
        <v/>
      </c>
      <c r="F1399">
        <f>IFERROR(INDEX(PP_Grid[#Data],$DE1399,3),0)</f>
        <v/>
      </c>
      <c r="G1399">
        <f>IFERROR(INDEX(PP_Grid[#Data],$DE1399,4),0)</f>
        <v/>
      </c>
      <c r="H1399">
        <f>IFERROR(INDEX(PP_Grid[#Data],$DE1399,5),0)</f>
        <v/>
      </c>
      <c r="I1399">
        <f>IFERROR(INDEX(PP_Grid[#Data],$DE1399,6),0)</f>
        <v/>
      </c>
      <c r="J1399">
        <f>IFERROR(INDEX(PP_Grid[#Data],$DE1399,7),0)</f>
        <v/>
      </c>
      <c r="K1399">
        <f>IFERROR(INDEX(PP_Grid[#Data],$DE1399,8),0)</f>
        <v/>
      </c>
      <c r="L1399">
        <f>IFERROR(INDEX(PP_Grid[#Data],$DE1399,9),0)</f>
        <v/>
      </c>
      <c r="M1399">
        <f>IFERROR(INDEX(PP_Grid[#Data],$DE1399,10),0)</f>
        <v/>
      </c>
      <c r="N1399">
        <f>IFERROR(INDEX(PP_Grid[#Data],$DE1399,11),0)</f>
        <v/>
      </c>
      <c r="O1399">
        <f>IFERROR(INDEX(PP_Grid[#Data],$DE1399,12),0)</f>
        <v/>
      </c>
      <c r="P1399">
        <f>IFERROR(INDEX(PP_Grid[#Data],$DE1399,13),0)</f>
        <v/>
      </c>
      <c r="Q1399">
        <f>IFERROR(INDEX(PP_Grid[#Data],$DE1399,14),0)</f>
        <v/>
      </c>
      <c r="R1399">
        <f>IFERROR(INDEX(PP_Grid[#Data],$DE1399,15),0)</f>
        <v/>
      </c>
      <c r="S1399">
        <f>IFERROR(INDEX(PP_Grid[#Data],$DE1399,16),0)</f>
        <v/>
      </c>
      <c r="T1399">
        <f>IFERROR(INDEX(PP_Grid[#Data],$DE1399,17),0)</f>
        <v/>
      </c>
      <c r="U1399">
        <f>IFERROR(INDEX(PP_Grid[#Data],$DE1399,18),0)</f>
        <v/>
      </c>
      <c r="V1399">
        <f>IFERROR(INDEX(PP_Grid[#Data],$DE1399,19),0)</f>
        <v/>
      </c>
      <c r="W1399">
        <f>IFERROR(INDEX(PP_Grid[#Data],$DE1399,20),0)</f>
        <v/>
      </c>
      <c r="X1399">
        <f>IFERROR(INDEX(PP_Grid[#Data],$DE1399,21),0)</f>
        <v/>
      </c>
      <c r="Y1399">
        <f>IFERROR(INDEX(PP_Grid[#Data],$DE1399,22),0)</f>
        <v/>
      </c>
      <c r="Z1399">
        <f>IFERROR(INDEX(PP_Grid[#Data],$DE1399,23),0)</f>
        <v/>
      </c>
      <c r="AA1399">
        <f>IFERROR(INDEX(PP_Grid[#Data],$DE1399,24),0)</f>
        <v/>
      </c>
      <c r="AB1399">
        <f>IFERROR(INDEX(PP_Grid[#Data],$DE1399,25),0)</f>
        <v/>
      </c>
      <c r="AC1399">
        <f>IFERROR(INDEX(PP_Grid[#Data],$DE1399,26),0)</f>
        <v/>
      </c>
      <c r="AD1399">
        <f>IFERROR(INDEX(PP_Grid[#Data],$DE1399,27),0)</f>
        <v/>
      </c>
      <c r="AE1399">
        <f>IFERROR(INDEX(PP_Grid[#Data],$DE1399,28),0)</f>
        <v/>
      </c>
      <c r="AF1399">
        <f>IFERROR(INDEX(PP_Grid[#Data],$DE1399,29),0)</f>
        <v/>
      </c>
      <c r="AG1399">
        <f>IFERROR(INDEX(PP_Grid[#Data],$DE1399,30),0)</f>
        <v/>
      </c>
      <c r="AH1399">
        <f>IFERROR(INDEX(PP_Grid[#Data],$DE1399,31),0)</f>
        <v/>
      </c>
      <c r="AI1399">
        <f>IFERROR(INDEX(PP_Grid[#Data],$DE1399,32),0)</f>
        <v/>
      </c>
      <c r="AJ1399">
        <f>IFERROR(INDEX(PP_Grid[#Data],$DE1399,33),0)</f>
        <v/>
      </c>
      <c r="AK1399">
        <f>IFERROR(INDEX(PP_Grid[#Data],$DE1399,34),0)</f>
        <v/>
      </c>
      <c r="AL1399">
        <f>IFERROR(INDEX(PP_Grid[#Data],$DE1399,35),0)</f>
        <v/>
      </c>
      <c r="AM1399">
        <f>IFERROR(INDEX(PP_Grid[#Data],$DE1399,36),0)</f>
        <v/>
      </c>
      <c r="AN1399">
        <f>IFERROR(INDEX(PP_Grid[#Data],$DE1399,37),0)</f>
        <v/>
      </c>
      <c r="AO1399">
        <f>IFERROR(INDEX(PP_Grid[#Data],$DE1399,38),0)</f>
        <v/>
      </c>
      <c r="AP1399">
        <f>IFERROR(INDEX(PP_Grid[#Data],$DE1399,39),0)</f>
        <v/>
      </c>
      <c r="AQ1399">
        <f>IFERROR(INDEX(PP_Grid[#Data],$DE1399,40),0)</f>
        <v/>
      </c>
      <c r="AR1399">
        <f>IFERROR(INDEX(PP_Grid[#Data],$DE1399,41),0)</f>
        <v/>
      </c>
      <c r="AS1399">
        <f>IFERROR(INDEX(PP_Grid[#Data],$DE1399,42),0)</f>
        <v/>
      </c>
      <c r="AT1399">
        <f>IFERROR(INDEX(PP_Grid[#Data],$DE1399,43),0)</f>
        <v/>
      </c>
      <c r="AU1399">
        <f>IFERROR(INDEX(PP_Grid[#Data],$DE1399,44),0)</f>
        <v/>
      </c>
      <c r="AV1399">
        <f>IFERROR(INDEX(PP_Grid[#Data],$DE1399,45),0)</f>
        <v/>
      </c>
      <c r="AW1399">
        <f>IFERROR(INDEX(PP_Grid[#Data],$DE1399,46),0)</f>
        <v/>
      </c>
      <c r="AX1399">
        <f>IFERROR(INDEX(PP_Grid[#Data],$DE1399,47),0)</f>
        <v/>
      </c>
      <c r="AY1399">
        <f>IFERROR(INDEX(PP_Grid[#Data],$DE1399,48),0)</f>
        <v/>
      </c>
      <c r="AZ1399">
        <f>IFERROR(INDEX(PP_Grid[#Data],$DE1399,49),0)</f>
        <v/>
      </c>
      <c r="BA1399">
        <f>IFERROR(INDEX(PP_Grid[#Data],$DE1399,50),0)</f>
        <v/>
      </c>
      <c r="BB1399">
        <f>IFERROR(INDEX(PP_Grid[#Data],$DE1399,51),0)</f>
        <v/>
      </c>
      <c r="BC1399">
        <f>IFERROR(INDEX(PP_Grid[#Data],$DE1399,52),0)</f>
        <v/>
      </c>
      <c r="BD1399">
        <f>IFERROR(INDEX(PP_Grid[#Data],$DE1399,53),0)</f>
        <v/>
      </c>
      <c r="BE1399">
        <f>IFERROR(INDEX(PP_Grid[#Data],$DE1399,54),0)</f>
        <v/>
      </c>
      <c r="BF1399">
        <f>IFERROR(INDEX(PP_Grid[#Data],$DE1399,55),0)</f>
        <v/>
      </c>
      <c r="BG1399">
        <f>IFERROR(INDEX(PP_Grid[#Data],$DE1399,56),0)</f>
        <v/>
      </c>
      <c r="BH1399">
        <f>IFERROR(INDEX(PP_Grid[#Data],$DE1399,57),0)</f>
        <v/>
      </c>
      <c r="BI1399">
        <f>IFERROR(INDEX(PP_Grid[#Data],$DE1399,58),0)</f>
        <v/>
      </c>
      <c r="BJ1399">
        <f>IFERROR(INDEX(PP_Grid[#Data],$DE1399,59),0)</f>
        <v/>
      </c>
      <c r="BK1399">
        <f>IFERROR(INDEX(PP_Grid[#Data],$DE1399,60),0)</f>
        <v/>
      </c>
      <c r="BL1399">
        <f>IFERROR(INDEX(PP_Grid[#Data],$DE1399,61),0)</f>
        <v/>
      </c>
      <c r="BM1399">
        <f>IFERROR(INDEX(PP_Grid[#Data],$DE1399,62),0)</f>
        <v/>
      </c>
      <c r="BN1399">
        <f>IFERROR(INDEX(PP_Grid[#Data],$DE1399,63),0)</f>
        <v/>
      </c>
      <c r="BO1399">
        <f>IFERROR(INDEX(PP_Grid[#Data],$DE1399,64),0)</f>
        <v/>
      </c>
      <c r="BP1399">
        <f>IFERROR(INDEX(PP_Grid[#Data],$DE1399,65),0)</f>
        <v/>
      </c>
      <c r="BQ1399">
        <f>IFERROR(INDEX(PP_Grid[#Data],$DE1399,66),0)</f>
        <v/>
      </c>
      <c r="BR1399">
        <f>IFERROR(INDEX(PP_Grid[#Data],$DE1399,67),0)</f>
        <v/>
      </c>
      <c r="BS1399">
        <f>IFERROR(INDEX(PP_Grid[#Data],$DE1399,68),0)</f>
        <v/>
      </c>
      <c r="BT1399">
        <f>IFERROR(INDEX(PP_Grid[#Data],$DE1399,69),0)</f>
        <v/>
      </c>
      <c r="BU1399">
        <f>IFERROR(INDEX(PP_Grid[#Data],$DE1399,70),0)</f>
        <v/>
      </c>
      <c r="BV1399">
        <f>IFERROR(INDEX(PP_Grid[#Data],$DE1399,71),0)</f>
        <v/>
      </c>
      <c r="BW1399">
        <f>IFERROR(INDEX(PP_Grid[#Data],$DE1399,72),0)</f>
        <v/>
      </c>
      <c r="BX1399">
        <f>IFERROR(INDEX(PP_Grid[#Data],$DE1399,73),0)</f>
        <v/>
      </c>
      <c r="BY1399">
        <f>IFERROR(INDEX(PP_Grid[#Data],$DE1399,74),0)</f>
        <v/>
      </c>
      <c r="BZ1399">
        <f>IFERROR(INDEX(PP_Grid[#Data],$DE1399,75),0)</f>
        <v/>
      </c>
      <c r="CA1399">
        <f>IFERROR(INDEX(PP_Grid[#Data],$DE1399,76),0)</f>
        <v/>
      </c>
      <c r="CB1399">
        <f>IFERROR(INDEX(PP_Grid[#Data],$DE1399,77),0)</f>
        <v/>
      </c>
      <c r="CC1399">
        <f>IFERROR(INDEX(PP_Grid[#Data],$DE1399,78),0)</f>
        <v/>
      </c>
      <c r="CD1399">
        <f>IFERROR(INDEX(PP_Grid[#Data],$DE1399,79),0)</f>
        <v/>
      </c>
      <c r="CE1399">
        <f>IFERROR(INDEX(PP_Grid[#Data],$DE1399,80),0)</f>
        <v/>
      </c>
      <c r="CF1399">
        <f>IFERROR(INDEX(PP_Grid[#Data],$DE1399,81),0)</f>
        <v/>
      </c>
      <c r="CG1399">
        <f>IFERROR(INDEX(PP_Grid[#Data],$DE1399,82),0)</f>
        <v/>
      </c>
      <c r="CH1399">
        <f>IFERROR(INDEX(PP_Grid[#Data],$DE1399,83),0)</f>
        <v/>
      </c>
      <c r="CI1399">
        <f>IFERROR(INDEX(PP_Grid[#Data],$DE1399,84),0)</f>
        <v/>
      </c>
      <c r="CJ1399">
        <f>IFERROR(INDEX(PP_Grid[#Data],$DE1399,85),0)</f>
        <v/>
      </c>
      <c r="CK1399">
        <f>IFERROR(INDEX(PP_Grid[#Data],$DE1399,86),0)</f>
        <v/>
      </c>
      <c r="CL1399">
        <f>IFERROR(INDEX(PP_Grid[#Data],$DE1399,87),0)</f>
        <v/>
      </c>
      <c r="CM1399">
        <f>IFERROR(INDEX(PP_Grid[#Data],$DE1399,88),0)</f>
        <v/>
      </c>
      <c r="CN1399">
        <f>IFERROR(INDEX(PP_Grid[#Data],$DE1399,89),0)</f>
        <v/>
      </c>
      <c r="CO1399">
        <f>IFERROR(INDEX(PP_Grid[#Data],$DE1399,90),0)</f>
        <v/>
      </c>
      <c r="CP1399">
        <f>IFERROR(INDEX(PP_Grid[#Data],$DE1399,91),0)</f>
        <v/>
      </c>
      <c r="CQ1399">
        <f>IFERROR(INDEX(PP_Grid[#Data],$DE1399,92),0)</f>
        <v/>
      </c>
      <c r="CR1399">
        <f>IFERROR(INDEX(PP_Grid[#Data],$DE1399,93),0)</f>
        <v/>
      </c>
      <c r="CS1399">
        <f>IFERROR(INDEX(PP_Grid[#Data],$DE1399,94),0)</f>
        <v/>
      </c>
      <c r="CT1399">
        <f>IFERROR(INDEX(PP_Grid[#Data],$DE1399,95),0)</f>
        <v/>
      </c>
      <c r="CU1399">
        <f>IFERROR(INDEX(PP_Grid[#Data],$DE1399,96),0)</f>
        <v/>
      </c>
      <c r="CV1399">
        <f>IFERROR(INDEX(PP_Grid[#Data],$DE1399,97),0)</f>
        <v/>
      </c>
      <c r="CW1399">
        <f>IFERROR(INDEX(PP_Grid[#Data],$DE1399,98),0)</f>
        <v/>
      </c>
      <c r="CX1399">
        <f>IFERROR(INDEX(PP_Grid[#Data],$DE1399,99),0)</f>
        <v/>
      </c>
      <c r="CY1399">
        <f>IFERROR(INDEX(PP_Grid[#Data],$DE1399,100),0)</f>
        <v/>
      </c>
      <c r="CZ1399">
        <f>IFERROR(INDEX(PP_Grid[#Data],$DE1399,101),0)</f>
        <v/>
      </c>
      <c r="DA1399">
        <f>IFERROR(INDEX(PP_Grid[#Data],$DE1399,102),0)</f>
        <v/>
      </c>
      <c r="DB1399">
        <f>IFERROR(INDEX(PP_Grid[#Data],$DE1399,103),0)</f>
        <v/>
      </c>
      <c r="DC1399">
        <f>IFERROR(INDEX(PP_Grid[#Data],$DE1399,104),0)</f>
        <v/>
      </c>
      <c r="DD1399">
        <f>IFERROR(INDEX(PP_Grid[#Data],$DE1399,105),0)</f>
        <v/>
      </c>
      <c r="DE1399" s="7">
        <f>IFERROR(MATCH($B1399,PP_Grid[Intermediate],0),99999)</f>
        <v/>
      </c>
    </row>
    <row r="1400">
      <c r="B1400" t="inlineStr">
        <is>
          <t>使用量(kg)</t>
        </is>
      </c>
      <c r="C1400">
        <f>SUMIFS(M_BOM[RM_Qty_Per_Batch],M_BOM[Intermediate],$B1399,M_BOM[RM_Code],$A1392)</f>
        <v/>
      </c>
      <c r="D1400">
        <f>IFERROR(INDEX(E1400:DD1400,$F$1),"")</f>
        <v/>
      </c>
      <c r="E1400">
        <f>$C1400*E1399</f>
        <v/>
      </c>
      <c r="F1400">
        <f>$C1400*F1399</f>
        <v/>
      </c>
      <c r="G1400">
        <f>$C1400*G1399</f>
        <v/>
      </c>
      <c r="H1400">
        <f>$C1400*H1399</f>
        <v/>
      </c>
      <c r="I1400">
        <f>$C1400*I1399</f>
        <v/>
      </c>
      <c r="J1400">
        <f>$C1400*J1399</f>
        <v/>
      </c>
      <c r="K1400">
        <f>$C1400*K1399</f>
        <v/>
      </c>
      <c r="L1400">
        <f>$C1400*L1399</f>
        <v/>
      </c>
      <c r="M1400">
        <f>$C1400*M1399</f>
        <v/>
      </c>
      <c r="N1400">
        <f>$C1400*N1399</f>
        <v/>
      </c>
      <c r="O1400">
        <f>$C1400*O1399</f>
        <v/>
      </c>
      <c r="P1400">
        <f>$C1400*P1399</f>
        <v/>
      </c>
      <c r="Q1400">
        <f>$C1400*Q1399</f>
        <v/>
      </c>
      <c r="R1400">
        <f>$C1400*R1399</f>
        <v/>
      </c>
      <c r="S1400">
        <f>$C1400*S1399</f>
        <v/>
      </c>
      <c r="T1400">
        <f>$C1400*T1399</f>
        <v/>
      </c>
      <c r="U1400">
        <f>$C1400*U1399</f>
        <v/>
      </c>
      <c r="V1400">
        <f>$C1400*V1399</f>
        <v/>
      </c>
      <c r="W1400">
        <f>$C1400*W1399</f>
        <v/>
      </c>
      <c r="X1400">
        <f>$C1400*X1399</f>
        <v/>
      </c>
      <c r="Y1400">
        <f>$C1400*Y1399</f>
        <v/>
      </c>
      <c r="Z1400">
        <f>$C1400*Z1399</f>
        <v/>
      </c>
      <c r="AA1400">
        <f>$C1400*AA1399</f>
        <v/>
      </c>
      <c r="AB1400">
        <f>$C1400*AB1399</f>
        <v/>
      </c>
      <c r="AC1400">
        <f>$C1400*AC1399</f>
        <v/>
      </c>
      <c r="AD1400">
        <f>$C1400*AD1399</f>
        <v/>
      </c>
      <c r="AE1400">
        <f>$C1400*AE1399</f>
        <v/>
      </c>
      <c r="AF1400">
        <f>$C1400*AF1399</f>
        <v/>
      </c>
      <c r="AG1400">
        <f>$C1400*AG1399</f>
        <v/>
      </c>
      <c r="AH1400">
        <f>$C1400*AH1399</f>
        <v/>
      </c>
      <c r="AI1400">
        <f>$C1400*AI1399</f>
        <v/>
      </c>
      <c r="AJ1400">
        <f>$C1400*AJ1399</f>
        <v/>
      </c>
      <c r="AK1400">
        <f>$C1400*AK1399</f>
        <v/>
      </c>
      <c r="AL1400">
        <f>$C1400*AL1399</f>
        <v/>
      </c>
      <c r="AM1400">
        <f>$C1400*AM1399</f>
        <v/>
      </c>
      <c r="AN1400">
        <f>$C1400*AN1399</f>
        <v/>
      </c>
      <c r="AO1400">
        <f>$C1400*AO1399</f>
        <v/>
      </c>
      <c r="AP1400">
        <f>$C1400*AP1399</f>
        <v/>
      </c>
      <c r="AQ1400">
        <f>$C1400*AQ1399</f>
        <v/>
      </c>
      <c r="AR1400">
        <f>$C1400*AR1399</f>
        <v/>
      </c>
      <c r="AS1400">
        <f>$C1400*AS1399</f>
        <v/>
      </c>
      <c r="AT1400">
        <f>$C1400*AT1399</f>
        <v/>
      </c>
      <c r="AU1400">
        <f>$C1400*AU1399</f>
        <v/>
      </c>
      <c r="AV1400">
        <f>$C1400*AV1399</f>
        <v/>
      </c>
      <c r="AW1400">
        <f>$C1400*AW1399</f>
        <v/>
      </c>
      <c r="AX1400">
        <f>$C1400*AX1399</f>
        <v/>
      </c>
      <c r="AY1400">
        <f>$C1400*AY1399</f>
        <v/>
      </c>
      <c r="AZ1400">
        <f>$C1400*AZ1399</f>
        <v/>
      </c>
      <c r="BA1400">
        <f>$C1400*BA1399</f>
        <v/>
      </c>
      <c r="BB1400">
        <f>$C1400*BB1399</f>
        <v/>
      </c>
      <c r="BC1400">
        <f>$C1400*BC1399</f>
        <v/>
      </c>
      <c r="BD1400">
        <f>$C1400*BD1399</f>
        <v/>
      </c>
      <c r="BE1400">
        <f>$C1400*BE1399</f>
        <v/>
      </c>
      <c r="BF1400">
        <f>$C1400*BF1399</f>
        <v/>
      </c>
      <c r="BG1400">
        <f>$C1400*BG1399</f>
        <v/>
      </c>
      <c r="BH1400">
        <f>$C1400*BH1399</f>
        <v/>
      </c>
      <c r="BI1400">
        <f>$C1400*BI1399</f>
        <v/>
      </c>
      <c r="BJ1400">
        <f>$C1400*BJ1399</f>
        <v/>
      </c>
      <c r="BK1400">
        <f>$C1400*BK1399</f>
        <v/>
      </c>
      <c r="BL1400">
        <f>$C1400*BL1399</f>
        <v/>
      </c>
      <c r="BM1400">
        <f>$C1400*BM1399</f>
        <v/>
      </c>
      <c r="BN1400">
        <f>$C1400*BN1399</f>
        <v/>
      </c>
      <c r="BO1400">
        <f>$C1400*BO1399</f>
        <v/>
      </c>
      <c r="BP1400">
        <f>$C1400*BP1399</f>
        <v/>
      </c>
      <c r="BQ1400">
        <f>$C1400*BQ1399</f>
        <v/>
      </c>
      <c r="BR1400">
        <f>$C1400*BR1399</f>
        <v/>
      </c>
      <c r="BS1400">
        <f>$C1400*BS1399</f>
        <v/>
      </c>
      <c r="BT1400">
        <f>$C1400*BT1399</f>
        <v/>
      </c>
      <c r="BU1400">
        <f>$C1400*BU1399</f>
        <v/>
      </c>
      <c r="BV1400">
        <f>$C1400*BV1399</f>
        <v/>
      </c>
      <c r="BW1400">
        <f>$C1400*BW1399</f>
        <v/>
      </c>
      <c r="BX1400">
        <f>$C1400*BX1399</f>
        <v/>
      </c>
      <c r="BY1400">
        <f>$C1400*BY1399</f>
        <v/>
      </c>
      <c r="BZ1400">
        <f>$C1400*BZ1399</f>
        <v/>
      </c>
      <c r="CA1400">
        <f>$C1400*CA1399</f>
        <v/>
      </c>
      <c r="CB1400">
        <f>$C1400*CB1399</f>
        <v/>
      </c>
      <c r="CC1400">
        <f>$C1400*CC1399</f>
        <v/>
      </c>
      <c r="CD1400">
        <f>$C1400*CD1399</f>
        <v/>
      </c>
      <c r="CE1400">
        <f>$C1400*CE1399</f>
        <v/>
      </c>
      <c r="CF1400">
        <f>$C1400*CF1399</f>
        <v/>
      </c>
      <c r="CG1400">
        <f>$C1400*CG1399</f>
        <v/>
      </c>
      <c r="CH1400">
        <f>$C1400*CH1399</f>
        <v/>
      </c>
      <c r="CI1400">
        <f>$C1400*CI1399</f>
        <v/>
      </c>
      <c r="CJ1400">
        <f>$C1400*CJ1399</f>
        <v/>
      </c>
      <c r="CK1400">
        <f>$C1400*CK1399</f>
        <v/>
      </c>
      <c r="CL1400">
        <f>$C1400*CL1399</f>
        <v/>
      </c>
      <c r="CM1400">
        <f>$C1400*CM1399</f>
        <v/>
      </c>
      <c r="CN1400">
        <f>$C1400*CN1399</f>
        <v/>
      </c>
      <c r="CO1400">
        <f>$C1400*CO1399</f>
        <v/>
      </c>
      <c r="CP1400">
        <f>$C1400*CP1399</f>
        <v/>
      </c>
      <c r="CQ1400">
        <f>$C1400*CQ1399</f>
        <v/>
      </c>
      <c r="CR1400">
        <f>$C1400*CR1399</f>
        <v/>
      </c>
      <c r="CS1400">
        <f>$C1400*CS1399</f>
        <v/>
      </c>
      <c r="CT1400">
        <f>$C1400*CT1399</f>
        <v/>
      </c>
      <c r="CU1400">
        <f>$C1400*CU1399</f>
        <v/>
      </c>
      <c r="CV1400">
        <f>$C1400*CV1399</f>
        <v/>
      </c>
      <c r="CW1400">
        <f>$C1400*CW1399</f>
        <v/>
      </c>
      <c r="CX1400">
        <f>$C1400*CX1399</f>
        <v/>
      </c>
      <c r="CY1400">
        <f>$C1400*CY1399</f>
        <v/>
      </c>
      <c r="CZ1400">
        <f>$C1400*CZ1399</f>
        <v/>
      </c>
      <c r="DA1400">
        <f>$C1400*DA1399</f>
        <v/>
      </c>
      <c r="DB1400">
        <f>$C1400*DB1399</f>
        <v/>
      </c>
      <c r="DC1400">
        <f>$C1400*DC1399</f>
        <v/>
      </c>
      <c r="DD1400">
        <f>$C1400*DD1399</f>
        <v/>
      </c>
    </row>
    <row r="1401">
      <c r="B1401" t="inlineStr">
        <is>
          <t>TSP-936</t>
        </is>
      </c>
      <c r="C1401" t="inlineStr">
        <is>
          <t>No. of batches</t>
        </is>
      </c>
      <c r="D1401">
        <f>IFERROR(INDEX(E1401:DD1401,$F$1),"")</f>
        <v/>
      </c>
      <c r="E1401">
        <f>IFERROR(INDEX(PP_Grid[#Data],$DE1401,2),0)</f>
        <v/>
      </c>
      <c r="F1401">
        <f>IFERROR(INDEX(PP_Grid[#Data],$DE1401,3),0)</f>
        <v/>
      </c>
      <c r="G1401">
        <f>IFERROR(INDEX(PP_Grid[#Data],$DE1401,4),0)</f>
        <v/>
      </c>
      <c r="H1401">
        <f>IFERROR(INDEX(PP_Grid[#Data],$DE1401,5),0)</f>
        <v/>
      </c>
      <c r="I1401">
        <f>IFERROR(INDEX(PP_Grid[#Data],$DE1401,6),0)</f>
        <v/>
      </c>
      <c r="J1401">
        <f>IFERROR(INDEX(PP_Grid[#Data],$DE1401,7),0)</f>
        <v/>
      </c>
      <c r="K1401">
        <f>IFERROR(INDEX(PP_Grid[#Data],$DE1401,8),0)</f>
        <v/>
      </c>
      <c r="L1401">
        <f>IFERROR(INDEX(PP_Grid[#Data],$DE1401,9),0)</f>
        <v/>
      </c>
      <c r="M1401">
        <f>IFERROR(INDEX(PP_Grid[#Data],$DE1401,10),0)</f>
        <v/>
      </c>
      <c r="N1401">
        <f>IFERROR(INDEX(PP_Grid[#Data],$DE1401,11),0)</f>
        <v/>
      </c>
      <c r="O1401">
        <f>IFERROR(INDEX(PP_Grid[#Data],$DE1401,12),0)</f>
        <v/>
      </c>
      <c r="P1401">
        <f>IFERROR(INDEX(PP_Grid[#Data],$DE1401,13),0)</f>
        <v/>
      </c>
      <c r="Q1401">
        <f>IFERROR(INDEX(PP_Grid[#Data],$DE1401,14),0)</f>
        <v/>
      </c>
      <c r="R1401">
        <f>IFERROR(INDEX(PP_Grid[#Data],$DE1401,15),0)</f>
        <v/>
      </c>
      <c r="S1401">
        <f>IFERROR(INDEX(PP_Grid[#Data],$DE1401,16),0)</f>
        <v/>
      </c>
      <c r="T1401">
        <f>IFERROR(INDEX(PP_Grid[#Data],$DE1401,17),0)</f>
        <v/>
      </c>
      <c r="U1401">
        <f>IFERROR(INDEX(PP_Grid[#Data],$DE1401,18),0)</f>
        <v/>
      </c>
      <c r="V1401">
        <f>IFERROR(INDEX(PP_Grid[#Data],$DE1401,19),0)</f>
        <v/>
      </c>
      <c r="W1401">
        <f>IFERROR(INDEX(PP_Grid[#Data],$DE1401,20),0)</f>
        <v/>
      </c>
      <c r="X1401">
        <f>IFERROR(INDEX(PP_Grid[#Data],$DE1401,21),0)</f>
        <v/>
      </c>
      <c r="Y1401">
        <f>IFERROR(INDEX(PP_Grid[#Data],$DE1401,22),0)</f>
        <v/>
      </c>
      <c r="Z1401">
        <f>IFERROR(INDEX(PP_Grid[#Data],$DE1401,23),0)</f>
        <v/>
      </c>
      <c r="AA1401">
        <f>IFERROR(INDEX(PP_Grid[#Data],$DE1401,24),0)</f>
        <v/>
      </c>
      <c r="AB1401">
        <f>IFERROR(INDEX(PP_Grid[#Data],$DE1401,25),0)</f>
        <v/>
      </c>
      <c r="AC1401">
        <f>IFERROR(INDEX(PP_Grid[#Data],$DE1401,26),0)</f>
        <v/>
      </c>
      <c r="AD1401">
        <f>IFERROR(INDEX(PP_Grid[#Data],$DE1401,27),0)</f>
        <v/>
      </c>
      <c r="AE1401">
        <f>IFERROR(INDEX(PP_Grid[#Data],$DE1401,28),0)</f>
        <v/>
      </c>
      <c r="AF1401">
        <f>IFERROR(INDEX(PP_Grid[#Data],$DE1401,29),0)</f>
        <v/>
      </c>
      <c r="AG1401">
        <f>IFERROR(INDEX(PP_Grid[#Data],$DE1401,30),0)</f>
        <v/>
      </c>
      <c r="AH1401">
        <f>IFERROR(INDEX(PP_Grid[#Data],$DE1401,31),0)</f>
        <v/>
      </c>
      <c r="AI1401">
        <f>IFERROR(INDEX(PP_Grid[#Data],$DE1401,32),0)</f>
        <v/>
      </c>
      <c r="AJ1401">
        <f>IFERROR(INDEX(PP_Grid[#Data],$DE1401,33),0)</f>
        <v/>
      </c>
      <c r="AK1401">
        <f>IFERROR(INDEX(PP_Grid[#Data],$DE1401,34),0)</f>
        <v/>
      </c>
      <c r="AL1401">
        <f>IFERROR(INDEX(PP_Grid[#Data],$DE1401,35),0)</f>
        <v/>
      </c>
      <c r="AM1401">
        <f>IFERROR(INDEX(PP_Grid[#Data],$DE1401,36),0)</f>
        <v/>
      </c>
      <c r="AN1401">
        <f>IFERROR(INDEX(PP_Grid[#Data],$DE1401,37),0)</f>
        <v/>
      </c>
      <c r="AO1401">
        <f>IFERROR(INDEX(PP_Grid[#Data],$DE1401,38),0)</f>
        <v/>
      </c>
      <c r="AP1401">
        <f>IFERROR(INDEX(PP_Grid[#Data],$DE1401,39),0)</f>
        <v/>
      </c>
      <c r="AQ1401">
        <f>IFERROR(INDEX(PP_Grid[#Data],$DE1401,40),0)</f>
        <v/>
      </c>
      <c r="AR1401">
        <f>IFERROR(INDEX(PP_Grid[#Data],$DE1401,41),0)</f>
        <v/>
      </c>
      <c r="AS1401">
        <f>IFERROR(INDEX(PP_Grid[#Data],$DE1401,42),0)</f>
        <v/>
      </c>
      <c r="AT1401">
        <f>IFERROR(INDEX(PP_Grid[#Data],$DE1401,43),0)</f>
        <v/>
      </c>
      <c r="AU1401">
        <f>IFERROR(INDEX(PP_Grid[#Data],$DE1401,44),0)</f>
        <v/>
      </c>
      <c r="AV1401">
        <f>IFERROR(INDEX(PP_Grid[#Data],$DE1401,45),0)</f>
        <v/>
      </c>
      <c r="AW1401">
        <f>IFERROR(INDEX(PP_Grid[#Data],$DE1401,46),0)</f>
        <v/>
      </c>
      <c r="AX1401">
        <f>IFERROR(INDEX(PP_Grid[#Data],$DE1401,47),0)</f>
        <v/>
      </c>
      <c r="AY1401">
        <f>IFERROR(INDEX(PP_Grid[#Data],$DE1401,48),0)</f>
        <v/>
      </c>
      <c r="AZ1401">
        <f>IFERROR(INDEX(PP_Grid[#Data],$DE1401,49),0)</f>
        <v/>
      </c>
      <c r="BA1401">
        <f>IFERROR(INDEX(PP_Grid[#Data],$DE1401,50),0)</f>
        <v/>
      </c>
      <c r="BB1401">
        <f>IFERROR(INDEX(PP_Grid[#Data],$DE1401,51),0)</f>
        <v/>
      </c>
      <c r="BC1401">
        <f>IFERROR(INDEX(PP_Grid[#Data],$DE1401,52),0)</f>
        <v/>
      </c>
      <c r="BD1401">
        <f>IFERROR(INDEX(PP_Grid[#Data],$DE1401,53),0)</f>
        <v/>
      </c>
      <c r="BE1401">
        <f>IFERROR(INDEX(PP_Grid[#Data],$DE1401,54),0)</f>
        <v/>
      </c>
      <c r="BF1401">
        <f>IFERROR(INDEX(PP_Grid[#Data],$DE1401,55),0)</f>
        <v/>
      </c>
      <c r="BG1401">
        <f>IFERROR(INDEX(PP_Grid[#Data],$DE1401,56),0)</f>
        <v/>
      </c>
      <c r="BH1401">
        <f>IFERROR(INDEX(PP_Grid[#Data],$DE1401,57),0)</f>
        <v/>
      </c>
      <c r="BI1401">
        <f>IFERROR(INDEX(PP_Grid[#Data],$DE1401,58),0)</f>
        <v/>
      </c>
      <c r="BJ1401">
        <f>IFERROR(INDEX(PP_Grid[#Data],$DE1401,59),0)</f>
        <v/>
      </c>
      <c r="BK1401">
        <f>IFERROR(INDEX(PP_Grid[#Data],$DE1401,60),0)</f>
        <v/>
      </c>
      <c r="BL1401">
        <f>IFERROR(INDEX(PP_Grid[#Data],$DE1401,61),0)</f>
        <v/>
      </c>
      <c r="BM1401">
        <f>IFERROR(INDEX(PP_Grid[#Data],$DE1401,62),0)</f>
        <v/>
      </c>
      <c r="BN1401">
        <f>IFERROR(INDEX(PP_Grid[#Data],$DE1401,63),0)</f>
        <v/>
      </c>
      <c r="BO1401">
        <f>IFERROR(INDEX(PP_Grid[#Data],$DE1401,64),0)</f>
        <v/>
      </c>
      <c r="BP1401">
        <f>IFERROR(INDEX(PP_Grid[#Data],$DE1401,65),0)</f>
        <v/>
      </c>
      <c r="BQ1401">
        <f>IFERROR(INDEX(PP_Grid[#Data],$DE1401,66),0)</f>
        <v/>
      </c>
      <c r="BR1401">
        <f>IFERROR(INDEX(PP_Grid[#Data],$DE1401,67),0)</f>
        <v/>
      </c>
      <c r="BS1401">
        <f>IFERROR(INDEX(PP_Grid[#Data],$DE1401,68),0)</f>
        <v/>
      </c>
      <c r="BT1401">
        <f>IFERROR(INDEX(PP_Grid[#Data],$DE1401,69),0)</f>
        <v/>
      </c>
      <c r="BU1401">
        <f>IFERROR(INDEX(PP_Grid[#Data],$DE1401,70),0)</f>
        <v/>
      </c>
      <c r="BV1401">
        <f>IFERROR(INDEX(PP_Grid[#Data],$DE1401,71),0)</f>
        <v/>
      </c>
      <c r="BW1401">
        <f>IFERROR(INDEX(PP_Grid[#Data],$DE1401,72),0)</f>
        <v/>
      </c>
      <c r="BX1401">
        <f>IFERROR(INDEX(PP_Grid[#Data],$DE1401,73),0)</f>
        <v/>
      </c>
      <c r="BY1401">
        <f>IFERROR(INDEX(PP_Grid[#Data],$DE1401,74),0)</f>
        <v/>
      </c>
      <c r="BZ1401">
        <f>IFERROR(INDEX(PP_Grid[#Data],$DE1401,75),0)</f>
        <v/>
      </c>
      <c r="CA1401">
        <f>IFERROR(INDEX(PP_Grid[#Data],$DE1401,76),0)</f>
        <v/>
      </c>
      <c r="CB1401">
        <f>IFERROR(INDEX(PP_Grid[#Data],$DE1401,77),0)</f>
        <v/>
      </c>
      <c r="CC1401">
        <f>IFERROR(INDEX(PP_Grid[#Data],$DE1401,78),0)</f>
        <v/>
      </c>
      <c r="CD1401">
        <f>IFERROR(INDEX(PP_Grid[#Data],$DE1401,79),0)</f>
        <v/>
      </c>
      <c r="CE1401">
        <f>IFERROR(INDEX(PP_Grid[#Data],$DE1401,80),0)</f>
        <v/>
      </c>
      <c r="CF1401">
        <f>IFERROR(INDEX(PP_Grid[#Data],$DE1401,81),0)</f>
        <v/>
      </c>
      <c r="CG1401">
        <f>IFERROR(INDEX(PP_Grid[#Data],$DE1401,82),0)</f>
        <v/>
      </c>
      <c r="CH1401">
        <f>IFERROR(INDEX(PP_Grid[#Data],$DE1401,83),0)</f>
        <v/>
      </c>
      <c r="CI1401">
        <f>IFERROR(INDEX(PP_Grid[#Data],$DE1401,84),0)</f>
        <v/>
      </c>
      <c r="CJ1401">
        <f>IFERROR(INDEX(PP_Grid[#Data],$DE1401,85),0)</f>
        <v/>
      </c>
      <c r="CK1401">
        <f>IFERROR(INDEX(PP_Grid[#Data],$DE1401,86),0)</f>
        <v/>
      </c>
      <c r="CL1401">
        <f>IFERROR(INDEX(PP_Grid[#Data],$DE1401,87),0)</f>
        <v/>
      </c>
      <c r="CM1401">
        <f>IFERROR(INDEX(PP_Grid[#Data],$DE1401,88),0)</f>
        <v/>
      </c>
      <c r="CN1401">
        <f>IFERROR(INDEX(PP_Grid[#Data],$DE1401,89),0)</f>
        <v/>
      </c>
      <c r="CO1401">
        <f>IFERROR(INDEX(PP_Grid[#Data],$DE1401,90),0)</f>
        <v/>
      </c>
      <c r="CP1401">
        <f>IFERROR(INDEX(PP_Grid[#Data],$DE1401,91),0)</f>
        <v/>
      </c>
      <c r="CQ1401">
        <f>IFERROR(INDEX(PP_Grid[#Data],$DE1401,92),0)</f>
        <v/>
      </c>
      <c r="CR1401">
        <f>IFERROR(INDEX(PP_Grid[#Data],$DE1401,93),0)</f>
        <v/>
      </c>
      <c r="CS1401">
        <f>IFERROR(INDEX(PP_Grid[#Data],$DE1401,94),0)</f>
        <v/>
      </c>
      <c r="CT1401">
        <f>IFERROR(INDEX(PP_Grid[#Data],$DE1401,95),0)</f>
        <v/>
      </c>
      <c r="CU1401">
        <f>IFERROR(INDEX(PP_Grid[#Data],$DE1401,96),0)</f>
        <v/>
      </c>
      <c r="CV1401">
        <f>IFERROR(INDEX(PP_Grid[#Data],$DE1401,97),0)</f>
        <v/>
      </c>
      <c r="CW1401">
        <f>IFERROR(INDEX(PP_Grid[#Data],$DE1401,98),0)</f>
        <v/>
      </c>
      <c r="CX1401">
        <f>IFERROR(INDEX(PP_Grid[#Data],$DE1401,99),0)</f>
        <v/>
      </c>
      <c r="CY1401">
        <f>IFERROR(INDEX(PP_Grid[#Data],$DE1401,100),0)</f>
        <v/>
      </c>
      <c r="CZ1401">
        <f>IFERROR(INDEX(PP_Grid[#Data],$DE1401,101),0)</f>
        <v/>
      </c>
      <c r="DA1401">
        <f>IFERROR(INDEX(PP_Grid[#Data],$DE1401,102),0)</f>
        <v/>
      </c>
      <c r="DB1401">
        <f>IFERROR(INDEX(PP_Grid[#Data],$DE1401,103),0)</f>
        <v/>
      </c>
      <c r="DC1401">
        <f>IFERROR(INDEX(PP_Grid[#Data],$DE1401,104),0)</f>
        <v/>
      </c>
      <c r="DD1401">
        <f>IFERROR(INDEX(PP_Grid[#Data],$DE1401,105),0)</f>
        <v/>
      </c>
      <c r="DE1401" s="7">
        <f>IFERROR(MATCH($B1401,PP_Grid[Intermediate],0),99999)</f>
        <v/>
      </c>
    </row>
    <row r="1402">
      <c r="B1402" t="inlineStr">
        <is>
          <t>使用量(kg)</t>
        </is>
      </c>
      <c r="C1402">
        <f>SUMIFS(M_BOM[RM_Qty_Per_Batch],M_BOM[Intermediate],$B1401,M_BOM[RM_Code],$A1392)</f>
        <v/>
      </c>
      <c r="D1402">
        <f>IFERROR(INDEX(E1402:DD1402,$F$1),"")</f>
        <v/>
      </c>
      <c r="E1402">
        <f>$C1402*E1401</f>
        <v/>
      </c>
      <c r="F1402">
        <f>$C1402*F1401</f>
        <v/>
      </c>
      <c r="G1402">
        <f>$C1402*G1401</f>
        <v/>
      </c>
      <c r="H1402">
        <f>$C1402*H1401</f>
        <v/>
      </c>
      <c r="I1402">
        <f>$C1402*I1401</f>
        <v/>
      </c>
      <c r="J1402">
        <f>$C1402*J1401</f>
        <v/>
      </c>
      <c r="K1402">
        <f>$C1402*K1401</f>
        <v/>
      </c>
      <c r="L1402">
        <f>$C1402*L1401</f>
        <v/>
      </c>
      <c r="M1402">
        <f>$C1402*M1401</f>
        <v/>
      </c>
      <c r="N1402">
        <f>$C1402*N1401</f>
        <v/>
      </c>
      <c r="O1402">
        <f>$C1402*O1401</f>
        <v/>
      </c>
      <c r="P1402">
        <f>$C1402*P1401</f>
        <v/>
      </c>
      <c r="Q1402">
        <f>$C1402*Q1401</f>
        <v/>
      </c>
      <c r="R1402">
        <f>$C1402*R1401</f>
        <v/>
      </c>
      <c r="S1402">
        <f>$C1402*S1401</f>
        <v/>
      </c>
      <c r="T1402">
        <f>$C1402*T1401</f>
        <v/>
      </c>
      <c r="U1402">
        <f>$C1402*U1401</f>
        <v/>
      </c>
      <c r="V1402">
        <f>$C1402*V1401</f>
        <v/>
      </c>
      <c r="W1402">
        <f>$C1402*W1401</f>
        <v/>
      </c>
      <c r="X1402">
        <f>$C1402*X1401</f>
        <v/>
      </c>
      <c r="Y1402">
        <f>$C1402*Y1401</f>
        <v/>
      </c>
      <c r="Z1402">
        <f>$C1402*Z1401</f>
        <v/>
      </c>
      <c r="AA1402">
        <f>$C1402*AA1401</f>
        <v/>
      </c>
      <c r="AB1402">
        <f>$C1402*AB1401</f>
        <v/>
      </c>
      <c r="AC1402">
        <f>$C1402*AC1401</f>
        <v/>
      </c>
      <c r="AD1402">
        <f>$C1402*AD1401</f>
        <v/>
      </c>
      <c r="AE1402">
        <f>$C1402*AE1401</f>
        <v/>
      </c>
      <c r="AF1402">
        <f>$C1402*AF1401</f>
        <v/>
      </c>
      <c r="AG1402">
        <f>$C1402*AG1401</f>
        <v/>
      </c>
      <c r="AH1402">
        <f>$C1402*AH1401</f>
        <v/>
      </c>
      <c r="AI1402">
        <f>$C1402*AI1401</f>
        <v/>
      </c>
      <c r="AJ1402">
        <f>$C1402*AJ1401</f>
        <v/>
      </c>
      <c r="AK1402">
        <f>$C1402*AK1401</f>
        <v/>
      </c>
      <c r="AL1402">
        <f>$C1402*AL1401</f>
        <v/>
      </c>
      <c r="AM1402">
        <f>$C1402*AM1401</f>
        <v/>
      </c>
      <c r="AN1402">
        <f>$C1402*AN1401</f>
        <v/>
      </c>
      <c r="AO1402">
        <f>$C1402*AO1401</f>
        <v/>
      </c>
      <c r="AP1402">
        <f>$C1402*AP1401</f>
        <v/>
      </c>
      <c r="AQ1402">
        <f>$C1402*AQ1401</f>
        <v/>
      </c>
      <c r="AR1402">
        <f>$C1402*AR1401</f>
        <v/>
      </c>
      <c r="AS1402">
        <f>$C1402*AS1401</f>
        <v/>
      </c>
      <c r="AT1402">
        <f>$C1402*AT1401</f>
        <v/>
      </c>
      <c r="AU1402">
        <f>$C1402*AU1401</f>
        <v/>
      </c>
      <c r="AV1402">
        <f>$C1402*AV1401</f>
        <v/>
      </c>
      <c r="AW1402">
        <f>$C1402*AW1401</f>
        <v/>
      </c>
      <c r="AX1402">
        <f>$C1402*AX1401</f>
        <v/>
      </c>
      <c r="AY1402">
        <f>$C1402*AY1401</f>
        <v/>
      </c>
      <c r="AZ1402">
        <f>$C1402*AZ1401</f>
        <v/>
      </c>
      <c r="BA1402">
        <f>$C1402*BA1401</f>
        <v/>
      </c>
      <c r="BB1402">
        <f>$C1402*BB1401</f>
        <v/>
      </c>
      <c r="BC1402">
        <f>$C1402*BC1401</f>
        <v/>
      </c>
      <c r="BD1402">
        <f>$C1402*BD1401</f>
        <v/>
      </c>
      <c r="BE1402">
        <f>$C1402*BE1401</f>
        <v/>
      </c>
      <c r="BF1402">
        <f>$C1402*BF1401</f>
        <v/>
      </c>
      <c r="BG1402">
        <f>$C1402*BG1401</f>
        <v/>
      </c>
      <c r="BH1402">
        <f>$C1402*BH1401</f>
        <v/>
      </c>
      <c r="BI1402">
        <f>$C1402*BI1401</f>
        <v/>
      </c>
      <c r="BJ1402">
        <f>$C1402*BJ1401</f>
        <v/>
      </c>
      <c r="BK1402">
        <f>$C1402*BK1401</f>
        <v/>
      </c>
      <c r="BL1402">
        <f>$C1402*BL1401</f>
        <v/>
      </c>
      <c r="BM1402">
        <f>$C1402*BM1401</f>
        <v/>
      </c>
      <c r="BN1402">
        <f>$C1402*BN1401</f>
        <v/>
      </c>
      <c r="BO1402">
        <f>$C1402*BO1401</f>
        <v/>
      </c>
      <c r="BP1402">
        <f>$C1402*BP1401</f>
        <v/>
      </c>
      <c r="BQ1402">
        <f>$C1402*BQ1401</f>
        <v/>
      </c>
      <c r="BR1402">
        <f>$C1402*BR1401</f>
        <v/>
      </c>
      <c r="BS1402">
        <f>$C1402*BS1401</f>
        <v/>
      </c>
      <c r="BT1402">
        <f>$C1402*BT1401</f>
        <v/>
      </c>
      <c r="BU1402">
        <f>$C1402*BU1401</f>
        <v/>
      </c>
      <c r="BV1402">
        <f>$C1402*BV1401</f>
        <v/>
      </c>
      <c r="BW1402">
        <f>$C1402*BW1401</f>
        <v/>
      </c>
      <c r="BX1402">
        <f>$C1402*BX1401</f>
        <v/>
      </c>
      <c r="BY1402">
        <f>$C1402*BY1401</f>
        <v/>
      </c>
      <c r="BZ1402">
        <f>$C1402*BZ1401</f>
        <v/>
      </c>
      <c r="CA1402">
        <f>$C1402*CA1401</f>
        <v/>
      </c>
      <c r="CB1402">
        <f>$C1402*CB1401</f>
        <v/>
      </c>
      <c r="CC1402">
        <f>$C1402*CC1401</f>
        <v/>
      </c>
      <c r="CD1402">
        <f>$C1402*CD1401</f>
        <v/>
      </c>
      <c r="CE1402">
        <f>$C1402*CE1401</f>
        <v/>
      </c>
      <c r="CF1402">
        <f>$C1402*CF1401</f>
        <v/>
      </c>
      <c r="CG1402">
        <f>$C1402*CG1401</f>
        <v/>
      </c>
      <c r="CH1402">
        <f>$C1402*CH1401</f>
        <v/>
      </c>
      <c r="CI1402">
        <f>$C1402*CI1401</f>
        <v/>
      </c>
      <c r="CJ1402">
        <f>$C1402*CJ1401</f>
        <v/>
      </c>
      <c r="CK1402">
        <f>$C1402*CK1401</f>
        <v/>
      </c>
      <c r="CL1402">
        <f>$C1402*CL1401</f>
        <v/>
      </c>
      <c r="CM1402">
        <f>$C1402*CM1401</f>
        <v/>
      </c>
      <c r="CN1402">
        <f>$C1402*CN1401</f>
        <v/>
      </c>
      <c r="CO1402">
        <f>$C1402*CO1401</f>
        <v/>
      </c>
      <c r="CP1402">
        <f>$C1402*CP1401</f>
        <v/>
      </c>
      <c r="CQ1402">
        <f>$C1402*CQ1401</f>
        <v/>
      </c>
      <c r="CR1402">
        <f>$C1402*CR1401</f>
        <v/>
      </c>
      <c r="CS1402">
        <f>$C1402*CS1401</f>
        <v/>
      </c>
      <c r="CT1402">
        <f>$C1402*CT1401</f>
        <v/>
      </c>
      <c r="CU1402">
        <f>$C1402*CU1401</f>
        <v/>
      </c>
      <c r="CV1402">
        <f>$C1402*CV1401</f>
        <v/>
      </c>
      <c r="CW1402">
        <f>$C1402*CW1401</f>
        <v/>
      </c>
      <c r="CX1402">
        <f>$C1402*CX1401</f>
        <v/>
      </c>
      <c r="CY1402">
        <f>$C1402*CY1401</f>
        <v/>
      </c>
      <c r="CZ1402">
        <f>$C1402*CZ1401</f>
        <v/>
      </c>
      <c r="DA1402">
        <f>$C1402*DA1401</f>
        <v/>
      </c>
      <c r="DB1402">
        <f>$C1402*DB1401</f>
        <v/>
      </c>
      <c r="DC1402">
        <f>$C1402*DC1401</f>
        <v/>
      </c>
      <c r="DD1402">
        <f>$C1402*DD1401</f>
        <v/>
      </c>
    </row>
    <row r="1403">
      <c r="B1403" t="inlineStr">
        <is>
          <t>TSP-937</t>
        </is>
      </c>
      <c r="C1403" t="inlineStr">
        <is>
          <t>No. of batches</t>
        </is>
      </c>
      <c r="D1403">
        <f>IFERROR(INDEX(E1403:DD1403,$F$1),"")</f>
        <v/>
      </c>
      <c r="E1403">
        <f>IFERROR(INDEX(PP_Grid[#Data],$DE1403,2),0)</f>
        <v/>
      </c>
      <c r="F1403">
        <f>IFERROR(INDEX(PP_Grid[#Data],$DE1403,3),0)</f>
        <v/>
      </c>
      <c r="G1403">
        <f>IFERROR(INDEX(PP_Grid[#Data],$DE1403,4),0)</f>
        <v/>
      </c>
      <c r="H1403">
        <f>IFERROR(INDEX(PP_Grid[#Data],$DE1403,5),0)</f>
        <v/>
      </c>
      <c r="I1403">
        <f>IFERROR(INDEX(PP_Grid[#Data],$DE1403,6),0)</f>
        <v/>
      </c>
      <c r="J1403">
        <f>IFERROR(INDEX(PP_Grid[#Data],$DE1403,7),0)</f>
        <v/>
      </c>
      <c r="K1403">
        <f>IFERROR(INDEX(PP_Grid[#Data],$DE1403,8),0)</f>
        <v/>
      </c>
      <c r="L1403">
        <f>IFERROR(INDEX(PP_Grid[#Data],$DE1403,9),0)</f>
        <v/>
      </c>
      <c r="M1403">
        <f>IFERROR(INDEX(PP_Grid[#Data],$DE1403,10),0)</f>
        <v/>
      </c>
      <c r="N1403">
        <f>IFERROR(INDEX(PP_Grid[#Data],$DE1403,11),0)</f>
        <v/>
      </c>
      <c r="O1403">
        <f>IFERROR(INDEX(PP_Grid[#Data],$DE1403,12),0)</f>
        <v/>
      </c>
      <c r="P1403">
        <f>IFERROR(INDEX(PP_Grid[#Data],$DE1403,13),0)</f>
        <v/>
      </c>
      <c r="Q1403">
        <f>IFERROR(INDEX(PP_Grid[#Data],$DE1403,14),0)</f>
        <v/>
      </c>
      <c r="R1403">
        <f>IFERROR(INDEX(PP_Grid[#Data],$DE1403,15),0)</f>
        <v/>
      </c>
      <c r="S1403">
        <f>IFERROR(INDEX(PP_Grid[#Data],$DE1403,16),0)</f>
        <v/>
      </c>
      <c r="T1403">
        <f>IFERROR(INDEX(PP_Grid[#Data],$DE1403,17),0)</f>
        <v/>
      </c>
      <c r="U1403">
        <f>IFERROR(INDEX(PP_Grid[#Data],$DE1403,18),0)</f>
        <v/>
      </c>
      <c r="V1403">
        <f>IFERROR(INDEX(PP_Grid[#Data],$DE1403,19),0)</f>
        <v/>
      </c>
      <c r="W1403">
        <f>IFERROR(INDEX(PP_Grid[#Data],$DE1403,20),0)</f>
        <v/>
      </c>
      <c r="X1403">
        <f>IFERROR(INDEX(PP_Grid[#Data],$DE1403,21),0)</f>
        <v/>
      </c>
      <c r="Y1403">
        <f>IFERROR(INDEX(PP_Grid[#Data],$DE1403,22),0)</f>
        <v/>
      </c>
      <c r="Z1403">
        <f>IFERROR(INDEX(PP_Grid[#Data],$DE1403,23),0)</f>
        <v/>
      </c>
      <c r="AA1403">
        <f>IFERROR(INDEX(PP_Grid[#Data],$DE1403,24),0)</f>
        <v/>
      </c>
      <c r="AB1403">
        <f>IFERROR(INDEX(PP_Grid[#Data],$DE1403,25),0)</f>
        <v/>
      </c>
      <c r="AC1403">
        <f>IFERROR(INDEX(PP_Grid[#Data],$DE1403,26),0)</f>
        <v/>
      </c>
      <c r="AD1403">
        <f>IFERROR(INDEX(PP_Grid[#Data],$DE1403,27),0)</f>
        <v/>
      </c>
      <c r="AE1403">
        <f>IFERROR(INDEX(PP_Grid[#Data],$DE1403,28),0)</f>
        <v/>
      </c>
      <c r="AF1403">
        <f>IFERROR(INDEX(PP_Grid[#Data],$DE1403,29),0)</f>
        <v/>
      </c>
      <c r="AG1403">
        <f>IFERROR(INDEX(PP_Grid[#Data],$DE1403,30),0)</f>
        <v/>
      </c>
      <c r="AH1403">
        <f>IFERROR(INDEX(PP_Grid[#Data],$DE1403,31),0)</f>
        <v/>
      </c>
      <c r="AI1403">
        <f>IFERROR(INDEX(PP_Grid[#Data],$DE1403,32),0)</f>
        <v/>
      </c>
      <c r="AJ1403">
        <f>IFERROR(INDEX(PP_Grid[#Data],$DE1403,33),0)</f>
        <v/>
      </c>
      <c r="AK1403">
        <f>IFERROR(INDEX(PP_Grid[#Data],$DE1403,34),0)</f>
        <v/>
      </c>
      <c r="AL1403">
        <f>IFERROR(INDEX(PP_Grid[#Data],$DE1403,35),0)</f>
        <v/>
      </c>
      <c r="AM1403">
        <f>IFERROR(INDEX(PP_Grid[#Data],$DE1403,36),0)</f>
        <v/>
      </c>
      <c r="AN1403">
        <f>IFERROR(INDEX(PP_Grid[#Data],$DE1403,37),0)</f>
        <v/>
      </c>
      <c r="AO1403">
        <f>IFERROR(INDEX(PP_Grid[#Data],$DE1403,38),0)</f>
        <v/>
      </c>
      <c r="AP1403">
        <f>IFERROR(INDEX(PP_Grid[#Data],$DE1403,39),0)</f>
        <v/>
      </c>
      <c r="AQ1403">
        <f>IFERROR(INDEX(PP_Grid[#Data],$DE1403,40),0)</f>
        <v/>
      </c>
      <c r="AR1403">
        <f>IFERROR(INDEX(PP_Grid[#Data],$DE1403,41),0)</f>
        <v/>
      </c>
      <c r="AS1403">
        <f>IFERROR(INDEX(PP_Grid[#Data],$DE1403,42),0)</f>
        <v/>
      </c>
      <c r="AT1403">
        <f>IFERROR(INDEX(PP_Grid[#Data],$DE1403,43),0)</f>
        <v/>
      </c>
      <c r="AU1403">
        <f>IFERROR(INDEX(PP_Grid[#Data],$DE1403,44),0)</f>
        <v/>
      </c>
      <c r="AV1403">
        <f>IFERROR(INDEX(PP_Grid[#Data],$DE1403,45),0)</f>
        <v/>
      </c>
      <c r="AW1403">
        <f>IFERROR(INDEX(PP_Grid[#Data],$DE1403,46),0)</f>
        <v/>
      </c>
      <c r="AX1403">
        <f>IFERROR(INDEX(PP_Grid[#Data],$DE1403,47),0)</f>
        <v/>
      </c>
      <c r="AY1403">
        <f>IFERROR(INDEX(PP_Grid[#Data],$DE1403,48),0)</f>
        <v/>
      </c>
      <c r="AZ1403">
        <f>IFERROR(INDEX(PP_Grid[#Data],$DE1403,49),0)</f>
        <v/>
      </c>
      <c r="BA1403">
        <f>IFERROR(INDEX(PP_Grid[#Data],$DE1403,50),0)</f>
        <v/>
      </c>
      <c r="BB1403">
        <f>IFERROR(INDEX(PP_Grid[#Data],$DE1403,51),0)</f>
        <v/>
      </c>
      <c r="BC1403">
        <f>IFERROR(INDEX(PP_Grid[#Data],$DE1403,52),0)</f>
        <v/>
      </c>
      <c r="BD1403">
        <f>IFERROR(INDEX(PP_Grid[#Data],$DE1403,53),0)</f>
        <v/>
      </c>
      <c r="BE1403">
        <f>IFERROR(INDEX(PP_Grid[#Data],$DE1403,54),0)</f>
        <v/>
      </c>
      <c r="BF1403">
        <f>IFERROR(INDEX(PP_Grid[#Data],$DE1403,55),0)</f>
        <v/>
      </c>
      <c r="BG1403">
        <f>IFERROR(INDEX(PP_Grid[#Data],$DE1403,56),0)</f>
        <v/>
      </c>
      <c r="BH1403">
        <f>IFERROR(INDEX(PP_Grid[#Data],$DE1403,57),0)</f>
        <v/>
      </c>
      <c r="BI1403">
        <f>IFERROR(INDEX(PP_Grid[#Data],$DE1403,58),0)</f>
        <v/>
      </c>
      <c r="BJ1403">
        <f>IFERROR(INDEX(PP_Grid[#Data],$DE1403,59),0)</f>
        <v/>
      </c>
      <c r="BK1403">
        <f>IFERROR(INDEX(PP_Grid[#Data],$DE1403,60),0)</f>
        <v/>
      </c>
      <c r="BL1403">
        <f>IFERROR(INDEX(PP_Grid[#Data],$DE1403,61),0)</f>
        <v/>
      </c>
      <c r="BM1403">
        <f>IFERROR(INDEX(PP_Grid[#Data],$DE1403,62),0)</f>
        <v/>
      </c>
      <c r="BN1403">
        <f>IFERROR(INDEX(PP_Grid[#Data],$DE1403,63),0)</f>
        <v/>
      </c>
      <c r="BO1403">
        <f>IFERROR(INDEX(PP_Grid[#Data],$DE1403,64),0)</f>
        <v/>
      </c>
      <c r="BP1403">
        <f>IFERROR(INDEX(PP_Grid[#Data],$DE1403,65),0)</f>
        <v/>
      </c>
      <c r="BQ1403">
        <f>IFERROR(INDEX(PP_Grid[#Data],$DE1403,66),0)</f>
        <v/>
      </c>
      <c r="BR1403">
        <f>IFERROR(INDEX(PP_Grid[#Data],$DE1403,67),0)</f>
        <v/>
      </c>
      <c r="BS1403">
        <f>IFERROR(INDEX(PP_Grid[#Data],$DE1403,68),0)</f>
        <v/>
      </c>
      <c r="BT1403">
        <f>IFERROR(INDEX(PP_Grid[#Data],$DE1403,69),0)</f>
        <v/>
      </c>
      <c r="BU1403">
        <f>IFERROR(INDEX(PP_Grid[#Data],$DE1403,70),0)</f>
        <v/>
      </c>
      <c r="BV1403">
        <f>IFERROR(INDEX(PP_Grid[#Data],$DE1403,71),0)</f>
        <v/>
      </c>
      <c r="BW1403">
        <f>IFERROR(INDEX(PP_Grid[#Data],$DE1403,72),0)</f>
        <v/>
      </c>
      <c r="BX1403">
        <f>IFERROR(INDEX(PP_Grid[#Data],$DE1403,73),0)</f>
        <v/>
      </c>
      <c r="BY1403">
        <f>IFERROR(INDEX(PP_Grid[#Data],$DE1403,74),0)</f>
        <v/>
      </c>
      <c r="BZ1403">
        <f>IFERROR(INDEX(PP_Grid[#Data],$DE1403,75),0)</f>
        <v/>
      </c>
      <c r="CA1403">
        <f>IFERROR(INDEX(PP_Grid[#Data],$DE1403,76),0)</f>
        <v/>
      </c>
      <c r="CB1403">
        <f>IFERROR(INDEX(PP_Grid[#Data],$DE1403,77),0)</f>
        <v/>
      </c>
      <c r="CC1403">
        <f>IFERROR(INDEX(PP_Grid[#Data],$DE1403,78),0)</f>
        <v/>
      </c>
      <c r="CD1403">
        <f>IFERROR(INDEX(PP_Grid[#Data],$DE1403,79),0)</f>
        <v/>
      </c>
      <c r="CE1403">
        <f>IFERROR(INDEX(PP_Grid[#Data],$DE1403,80),0)</f>
        <v/>
      </c>
      <c r="CF1403">
        <f>IFERROR(INDEX(PP_Grid[#Data],$DE1403,81),0)</f>
        <v/>
      </c>
      <c r="CG1403">
        <f>IFERROR(INDEX(PP_Grid[#Data],$DE1403,82),0)</f>
        <v/>
      </c>
      <c r="CH1403">
        <f>IFERROR(INDEX(PP_Grid[#Data],$DE1403,83),0)</f>
        <v/>
      </c>
      <c r="CI1403">
        <f>IFERROR(INDEX(PP_Grid[#Data],$DE1403,84),0)</f>
        <v/>
      </c>
      <c r="CJ1403">
        <f>IFERROR(INDEX(PP_Grid[#Data],$DE1403,85),0)</f>
        <v/>
      </c>
      <c r="CK1403">
        <f>IFERROR(INDEX(PP_Grid[#Data],$DE1403,86),0)</f>
        <v/>
      </c>
      <c r="CL1403">
        <f>IFERROR(INDEX(PP_Grid[#Data],$DE1403,87),0)</f>
        <v/>
      </c>
      <c r="CM1403">
        <f>IFERROR(INDEX(PP_Grid[#Data],$DE1403,88),0)</f>
        <v/>
      </c>
      <c r="CN1403">
        <f>IFERROR(INDEX(PP_Grid[#Data],$DE1403,89),0)</f>
        <v/>
      </c>
      <c r="CO1403">
        <f>IFERROR(INDEX(PP_Grid[#Data],$DE1403,90),0)</f>
        <v/>
      </c>
      <c r="CP1403">
        <f>IFERROR(INDEX(PP_Grid[#Data],$DE1403,91),0)</f>
        <v/>
      </c>
      <c r="CQ1403">
        <f>IFERROR(INDEX(PP_Grid[#Data],$DE1403,92),0)</f>
        <v/>
      </c>
      <c r="CR1403">
        <f>IFERROR(INDEX(PP_Grid[#Data],$DE1403,93),0)</f>
        <v/>
      </c>
      <c r="CS1403">
        <f>IFERROR(INDEX(PP_Grid[#Data],$DE1403,94),0)</f>
        <v/>
      </c>
      <c r="CT1403">
        <f>IFERROR(INDEX(PP_Grid[#Data],$DE1403,95),0)</f>
        <v/>
      </c>
      <c r="CU1403">
        <f>IFERROR(INDEX(PP_Grid[#Data],$DE1403,96),0)</f>
        <v/>
      </c>
      <c r="CV1403">
        <f>IFERROR(INDEX(PP_Grid[#Data],$DE1403,97),0)</f>
        <v/>
      </c>
      <c r="CW1403">
        <f>IFERROR(INDEX(PP_Grid[#Data],$DE1403,98),0)</f>
        <v/>
      </c>
      <c r="CX1403">
        <f>IFERROR(INDEX(PP_Grid[#Data],$DE1403,99),0)</f>
        <v/>
      </c>
      <c r="CY1403">
        <f>IFERROR(INDEX(PP_Grid[#Data],$DE1403,100),0)</f>
        <v/>
      </c>
      <c r="CZ1403">
        <f>IFERROR(INDEX(PP_Grid[#Data],$DE1403,101),0)</f>
        <v/>
      </c>
      <c r="DA1403">
        <f>IFERROR(INDEX(PP_Grid[#Data],$DE1403,102),0)</f>
        <v/>
      </c>
      <c r="DB1403">
        <f>IFERROR(INDEX(PP_Grid[#Data],$DE1403,103),0)</f>
        <v/>
      </c>
      <c r="DC1403">
        <f>IFERROR(INDEX(PP_Grid[#Data],$DE1403,104),0)</f>
        <v/>
      </c>
      <c r="DD1403">
        <f>IFERROR(INDEX(PP_Grid[#Data],$DE1403,105),0)</f>
        <v/>
      </c>
      <c r="DE1403" s="7">
        <f>IFERROR(MATCH($B1403,PP_Grid[Intermediate],0),99999)</f>
        <v/>
      </c>
    </row>
    <row r="1404">
      <c r="B1404" t="inlineStr">
        <is>
          <t>使用量(kg)</t>
        </is>
      </c>
      <c r="C1404">
        <f>SUMIFS(M_BOM[RM_Qty_Per_Batch],M_BOM[Intermediate],$B1403,M_BOM[RM_Code],$A1392)</f>
        <v/>
      </c>
      <c r="D1404">
        <f>IFERROR(INDEX(E1404:DD1404,$F$1),"")</f>
        <v/>
      </c>
      <c r="E1404">
        <f>$C1404*E1403</f>
        <v/>
      </c>
      <c r="F1404">
        <f>$C1404*F1403</f>
        <v/>
      </c>
      <c r="G1404">
        <f>$C1404*G1403</f>
        <v/>
      </c>
      <c r="H1404">
        <f>$C1404*H1403</f>
        <v/>
      </c>
      <c r="I1404">
        <f>$C1404*I1403</f>
        <v/>
      </c>
      <c r="J1404">
        <f>$C1404*J1403</f>
        <v/>
      </c>
      <c r="K1404">
        <f>$C1404*K1403</f>
        <v/>
      </c>
      <c r="L1404">
        <f>$C1404*L1403</f>
        <v/>
      </c>
      <c r="M1404">
        <f>$C1404*M1403</f>
        <v/>
      </c>
      <c r="N1404">
        <f>$C1404*N1403</f>
        <v/>
      </c>
      <c r="O1404">
        <f>$C1404*O1403</f>
        <v/>
      </c>
      <c r="P1404">
        <f>$C1404*P1403</f>
        <v/>
      </c>
      <c r="Q1404">
        <f>$C1404*Q1403</f>
        <v/>
      </c>
      <c r="R1404">
        <f>$C1404*R1403</f>
        <v/>
      </c>
      <c r="S1404">
        <f>$C1404*S1403</f>
        <v/>
      </c>
      <c r="T1404">
        <f>$C1404*T1403</f>
        <v/>
      </c>
      <c r="U1404">
        <f>$C1404*U1403</f>
        <v/>
      </c>
      <c r="V1404">
        <f>$C1404*V1403</f>
        <v/>
      </c>
      <c r="W1404">
        <f>$C1404*W1403</f>
        <v/>
      </c>
      <c r="X1404">
        <f>$C1404*X1403</f>
        <v/>
      </c>
      <c r="Y1404">
        <f>$C1404*Y1403</f>
        <v/>
      </c>
      <c r="Z1404">
        <f>$C1404*Z1403</f>
        <v/>
      </c>
      <c r="AA1404">
        <f>$C1404*AA1403</f>
        <v/>
      </c>
      <c r="AB1404">
        <f>$C1404*AB1403</f>
        <v/>
      </c>
      <c r="AC1404">
        <f>$C1404*AC1403</f>
        <v/>
      </c>
      <c r="AD1404">
        <f>$C1404*AD1403</f>
        <v/>
      </c>
      <c r="AE1404">
        <f>$C1404*AE1403</f>
        <v/>
      </c>
      <c r="AF1404">
        <f>$C1404*AF1403</f>
        <v/>
      </c>
      <c r="AG1404">
        <f>$C1404*AG1403</f>
        <v/>
      </c>
      <c r="AH1404">
        <f>$C1404*AH1403</f>
        <v/>
      </c>
      <c r="AI1404">
        <f>$C1404*AI1403</f>
        <v/>
      </c>
      <c r="AJ1404">
        <f>$C1404*AJ1403</f>
        <v/>
      </c>
      <c r="AK1404">
        <f>$C1404*AK1403</f>
        <v/>
      </c>
      <c r="AL1404">
        <f>$C1404*AL1403</f>
        <v/>
      </c>
      <c r="AM1404">
        <f>$C1404*AM1403</f>
        <v/>
      </c>
      <c r="AN1404">
        <f>$C1404*AN1403</f>
        <v/>
      </c>
      <c r="AO1404">
        <f>$C1404*AO1403</f>
        <v/>
      </c>
      <c r="AP1404">
        <f>$C1404*AP1403</f>
        <v/>
      </c>
      <c r="AQ1404">
        <f>$C1404*AQ1403</f>
        <v/>
      </c>
      <c r="AR1404">
        <f>$C1404*AR1403</f>
        <v/>
      </c>
      <c r="AS1404">
        <f>$C1404*AS1403</f>
        <v/>
      </c>
      <c r="AT1404">
        <f>$C1404*AT1403</f>
        <v/>
      </c>
      <c r="AU1404">
        <f>$C1404*AU1403</f>
        <v/>
      </c>
      <c r="AV1404">
        <f>$C1404*AV1403</f>
        <v/>
      </c>
      <c r="AW1404">
        <f>$C1404*AW1403</f>
        <v/>
      </c>
      <c r="AX1404">
        <f>$C1404*AX1403</f>
        <v/>
      </c>
      <c r="AY1404">
        <f>$C1404*AY1403</f>
        <v/>
      </c>
      <c r="AZ1404">
        <f>$C1404*AZ1403</f>
        <v/>
      </c>
      <c r="BA1404">
        <f>$C1404*BA1403</f>
        <v/>
      </c>
      <c r="BB1404">
        <f>$C1404*BB1403</f>
        <v/>
      </c>
      <c r="BC1404">
        <f>$C1404*BC1403</f>
        <v/>
      </c>
      <c r="BD1404">
        <f>$C1404*BD1403</f>
        <v/>
      </c>
      <c r="BE1404">
        <f>$C1404*BE1403</f>
        <v/>
      </c>
      <c r="BF1404">
        <f>$C1404*BF1403</f>
        <v/>
      </c>
      <c r="BG1404">
        <f>$C1404*BG1403</f>
        <v/>
      </c>
      <c r="BH1404">
        <f>$C1404*BH1403</f>
        <v/>
      </c>
      <c r="BI1404">
        <f>$C1404*BI1403</f>
        <v/>
      </c>
      <c r="BJ1404">
        <f>$C1404*BJ1403</f>
        <v/>
      </c>
      <c r="BK1404">
        <f>$C1404*BK1403</f>
        <v/>
      </c>
      <c r="BL1404">
        <f>$C1404*BL1403</f>
        <v/>
      </c>
      <c r="BM1404">
        <f>$C1404*BM1403</f>
        <v/>
      </c>
      <c r="BN1404">
        <f>$C1404*BN1403</f>
        <v/>
      </c>
      <c r="BO1404">
        <f>$C1404*BO1403</f>
        <v/>
      </c>
      <c r="BP1404">
        <f>$C1404*BP1403</f>
        <v/>
      </c>
      <c r="BQ1404">
        <f>$C1404*BQ1403</f>
        <v/>
      </c>
      <c r="BR1404">
        <f>$C1404*BR1403</f>
        <v/>
      </c>
      <c r="BS1404">
        <f>$C1404*BS1403</f>
        <v/>
      </c>
      <c r="BT1404">
        <f>$C1404*BT1403</f>
        <v/>
      </c>
      <c r="BU1404">
        <f>$C1404*BU1403</f>
        <v/>
      </c>
      <c r="BV1404">
        <f>$C1404*BV1403</f>
        <v/>
      </c>
      <c r="BW1404">
        <f>$C1404*BW1403</f>
        <v/>
      </c>
      <c r="BX1404">
        <f>$C1404*BX1403</f>
        <v/>
      </c>
      <c r="BY1404">
        <f>$C1404*BY1403</f>
        <v/>
      </c>
      <c r="BZ1404">
        <f>$C1404*BZ1403</f>
        <v/>
      </c>
      <c r="CA1404">
        <f>$C1404*CA1403</f>
        <v/>
      </c>
      <c r="CB1404">
        <f>$C1404*CB1403</f>
        <v/>
      </c>
      <c r="CC1404">
        <f>$C1404*CC1403</f>
        <v/>
      </c>
      <c r="CD1404">
        <f>$C1404*CD1403</f>
        <v/>
      </c>
      <c r="CE1404">
        <f>$C1404*CE1403</f>
        <v/>
      </c>
      <c r="CF1404">
        <f>$C1404*CF1403</f>
        <v/>
      </c>
      <c r="CG1404">
        <f>$C1404*CG1403</f>
        <v/>
      </c>
      <c r="CH1404">
        <f>$C1404*CH1403</f>
        <v/>
      </c>
      <c r="CI1404">
        <f>$C1404*CI1403</f>
        <v/>
      </c>
      <c r="CJ1404">
        <f>$C1404*CJ1403</f>
        <v/>
      </c>
      <c r="CK1404">
        <f>$C1404*CK1403</f>
        <v/>
      </c>
      <c r="CL1404">
        <f>$C1404*CL1403</f>
        <v/>
      </c>
      <c r="CM1404">
        <f>$C1404*CM1403</f>
        <v/>
      </c>
      <c r="CN1404">
        <f>$C1404*CN1403</f>
        <v/>
      </c>
      <c r="CO1404">
        <f>$C1404*CO1403</f>
        <v/>
      </c>
      <c r="CP1404">
        <f>$C1404*CP1403</f>
        <v/>
      </c>
      <c r="CQ1404">
        <f>$C1404*CQ1403</f>
        <v/>
      </c>
      <c r="CR1404">
        <f>$C1404*CR1403</f>
        <v/>
      </c>
      <c r="CS1404">
        <f>$C1404*CS1403</f>
        <v/>
      </c>
      <c r="CT1404">
        <f>$C1404*CT1403</f>
        <v/>
      </c>
      <c r="CU1404">
        <f>$C1404*CU1403</f>
        <v/>
      </c>
      <c r="CV1404">
        <f>$C1404*CV1403</f>
        <v/>
      </c>
      <c r="CW1404">
        <f>$C1404*CW1403</f>
        <v/>
      </c>
      <c r="CX1404">
        <f>$C1404*CX1403</f>
        <v/>
      </c>
      <c r="CY1404">
        <f>$C1404*CY1403</f>
        <v/>
      </c>
      <c r="CZ1404">
        <f>$C1404*CZ1403</f>
        <v/>
      </c>
      <c r="DA1404">
        <f>$C1404*DA1403</f>
        <v/>
      </c>
      <c r="DB1404">
        <f>$C1404*DB1403</f>
        <v/>
      </c>
      <c r="DC1404">
        <f>$C1404*DC1403</f>
        <v/>
      </c>
      <c r="DD1404">
        <f>$C1404*DD1403</f>
        <v/>
      </c>
    </row>
    <row r="1405">
      <c r="B1405" t="inlineStr">
        <is>
          <t>20p</t>
        </is>
      </c>
      <c r="C1405" t="inlineStr">
        <is>
          <t>No. of batches</t>
        </is>
      </c>
      <c r="D1405">
        <f>IFERROR(INDEX(E1405:DD1405,$F$1),"")</f>
        <v/>
      </c>
      <c r="E1405">
        <f>IFERROR(INDEX(PP_Grid[#Data],$DE1405,2),0)</f>
        <v/>
      </c>
      <c r="F1405">
        <f>IFERROR(INDEX(PP_Grid[#Data],$DE1405,3),0)</f>
        <v/>
      </c>
      <c r="G1405">
        <f>IFERROR(INDEX(PP_Grid[#Data],$DE1405,4),0)</f>
        <v/>
      </c>
      <c r="H1405">
        <f>IFERROR(INDEX(PP_Grid[#Data],$DE1405,5),0)</f>
        <v/>
      </c>
      <c r="I1405">
        <f>IFERROR(INDEX(PP_Grid[#Data],$DE1405,6),0)</f>
        <v/>
      </c>
      <c r="J1405">
        <f>IFERROR(INDEX(PP_Grid[#Data],$DE1405,7),0)</f>
        <v/>
      </c>
      <c r="K1405">
        <f>IFERROR(INDEX(PP_Grid[#Data],$DE1405,8),0)</f>
        <v/>
      </c>
      <c r="L1405">
        <f>IFERROR(INDEX(PP_Grid[#Data],$DE1405,9),0)</f>
        <v/>
      </c>
      <c r="M1405">
        <f>IFERROR(INDEX(PP_Grid[#Data],$DE1405,10),0)</f>
        <v/>
      </c>
      <c r="N1405">
        <f>IFERROR(INDEX(PP_Grid[#Data],$DE1405,11),0)</f>
        <v/>
      </c>
      <c r="O1405">
        <f>IFERROR(INDEX(PP_Grid[#Data],$DE1405,12),0)</f>
        <v/>
      </c>
      <c r="P1405">
        <f>IFERROR(INDEX(PP_Grid[#Data],$DE1405,13),0)</f>
        <v/>
      </c>
      <c r="Q1405">
        <f>IFERROR(INDEX(PP_Grid[#Data],$DE1405,14),0)</f>
        <v/>
      </c>
      <c r="R1405">
        <f>IFERROR(INDEX(PP_Grid[#Data],$DE1405,15),0)</f>
        <v/>
      </c>
      <c r="S1405">
        <f>IFERROR(INDEX(PP_Grid[#Data],$DE1405,16),0)</f>
        <v/>
      </c>
      <c r="T1405">
        <f>IFERROR(INDEX(PP_Grid[#Data],$DE1405,17),0)</f>
        <v/>
      </c>
      <c r="U1405">
        <f>IFERROR(INDEX(PP_Grid[#Data],$DE1405,18),0)</f>
        <v/>
      </c>
      <c r="V1405">
        <f>IFERROR(INDEX(PP_Grid[#Data],$DE1405,19),0)</f>
        <v/>
      </c>
      <c r="W1405">
        <f>IFERROR(INDEX(PP_Grid[#Data],$DE1405,20),0)</f>
        <v/>
      </c>
      <c r="X1405">
        <f>IFERROR(INDEX(PP_Grid[#Data],$DE1405,21),0)</f>
        <v/>
      </c>
      <c r="Y1405">
        <f>IFERROR(INDEX(PP_Grid[#Data],$DE1405,22),0)</f>
        <v/>
      </c>
      <c r="Z1405">
        <f>IFERROR(INDEX(PP_Grid[#Data],$DE1405,23),0)</f>
        <v/>
      </c>
      <c r="AA1405">
        <f>IFERROR(INDEX(PP_Grid[#Data],$DE1405,24),0)</f>
        <v/>
      </c>
      <c r="AB1405">
        <f>IFERROR(INDEX(PP_Grid[#Data],$DE1405,25),0)</f>
        <v/>
      </c>
      <c r="AC1405">
        <f>IFERROR(INDEX(PP_Grid[#Data],$DE1405,26),0)</f>
        <v/>
      </c>
      <c r="AD1405">
        <f>IFERROR(INDEX(PP_Grid[#Data],$DE1405,27),0)</f>
        <v/>
      </c>
      <c r="AE1405">
        <f>IFERROR(INDEX(PP_Grid[#Data],$DE1405,28),0)</f>
        <v/>
      </c>
      <c r="AF1405">
        <f>IFERROR(INDEX(PP_Grid[#Data],$DE1405,29),0)</f>
        <v/>
      </c>
      <c r="AG1405">
        <f>IFERROR(INDEX(PP_Grid[#Data],$DE1405,30),0)</f>
        <v/>
      </c>
      <c r="AH1405">
        <f>IFERROR(INDEX(PP_Grid[#Data],$DE1405,31),0)</f>
        <v/>
      </c>
      <c r="AI1405">
        <f>IFERROR(INDEX(PP_Grid[#Data],$DE1405,32),0)</f>
        <v/>
      </c>
      <c r="AJ1405">
        <f>IFERROR(INDEX(PP_Grid[#Data],$DE1405,33),0)</f>
        <v/>
      </c>
      <c r="AK1405">
        <f>IFERROR(INDEX(PP_Grid[#Data],$DE1405,34),0)</f>
        <v/>
      </c>
      <c r="AL1405">
        <f>IFERROR(INDEX(PP_Grid[#Data],$DE1405,35),0)</f>
        <v/>
      </c>
      <c r="AM1405">
        <f>IFERROR(INDEX(PP_Grid[#Data],$DE1405,36),0)</f>
        <v/>
      </c>
      <c r="AN1405">
        <f>IFERROR(INDEX(PP_Grid[#Data],$DE1405,37),0)</f>
        <v/>
      </c>
      <c r="AO1405">
        <f>IFERROR(INDEX(PP_Grid[#Data],$DE1405,38),0)</f>
        <v/>
      </c>
      <c r="AP1405">
        <f>IFERROR(INDEX(PP_Grid[#Data],$DE1405,39),0)</f>
        <v/>
      </c>
      <c r="AQ1405">
        <f>IFERROR(INDEX(PP_Grid[#Data],$DE1405,40),0)</f>
        <v/>
      </c>
      <c r="AR1405">
        <f>IFERROR(INDEX(PP_Grid[#Data],$DE1405,41),0)</f>
        <v/>
      </c>
      <c r="AS1405">
        <f>IFERROR(INDEX(PP_Grid[#Data],$DE1405,42),0)</f>
        <v/>
      </c>
      <c r="AT1405">
        <f>IFERROR(INDEX(PP_Grid[#Data],$DE1405,43),0)</f>
        <v/>
      </c>
      <c r="AU1405">
        <f>IFERROR(INDEX(PP_Grid[#Data],$DE1405,44),0)</f>
        <v/>
      </c>
      <c r="AV1405">
        <f>IFERROR(INDEX(PP_Grid[#Data],$DE1405,45),0)</f>
        <v/>
      </c>
      <c r="AW1405">
        <f>IFERROR(INDEX(PP_Grid[#Data],$DE1405,46),0)</f>
        <v/>
      </c>
      <c r="AX1405">
        <f>IFERROR(INDEX(PP_Grid[#Data],$DE1405,47),0)</f>
        <v/>
      </c>
      <c r="AY1405">
        <f>IFERROR(INDEX(PP_Grid[#Data],$DE1405,48),0)</f>
        <v/>
      </c>
      <c r="AZ1405">
        <f>IFERROR(INDEX(PP_Grid[#Data],$DE1405,49),0)</f>
        <v/>
      </c>
      <c r="BA1405">
        <f>IFERROR(INDEX(PP_Grid[#Data],$DE1405,50),0)</f>
        <v/>
      </c>
      <c r="BB1405">
        <f>IFERROR(INDEX(PP_Grid[#Data],$DE1405,51),0)</f>
        <v/>
      </c>
      <c r="BC1405">
        <f>IFERROR(INDEX(PP_Grid[#Data],$DE1405,52),0)</f>
        <v/>
      </c>
      <c r="BD1405">
        <f>IFERROR(INDEX(PP_Grid[#Data],$DE1405,53),0)</f>
        <v/>
      </c>
      <c r="BE1405">
        <f>IFERROR(INDEX(PP_Grid[#Data],$DE1405,54),0)</f>
        <v/>
      </c>
      <c r="BF1405">
        <f>IFERROR(INDEX(PP_Grid[#Data],$DE1405,55),0)</f>
        <v/>
      </c>
      <c r="BG1405">
        <f>IFERROR(INDEX(PP_Grid[#Data],$DE1405,56),0)</f>
        <v/>
      </c>
      <c r="BH1405">
        <f>IFERROR(INDEX(PP_Grid[#Data],$DE1405,57),0)</f>
        <v/>
      </c>
      <c r="BI1405">
        <f>IFERROR(INDEX(PP_Grid[#Data],$DE1405,58),0)</f>
        <v/>
      </c>
      <c r="BJ1405">
        <f>IFERROR(INDEX(PP_Grid[#Data],$DE1405,59),0)</f>
        <v/>
      </c>
      <c r="BK1405">
        <f>IFERROR(INDEX(PP_Grid[#Data],$DE1405,60),0)</f>
        <v/>
      </c>
      <c r="BL1405">
        <f>IFERROR(INDEX(PP_Grid[#Data],$DE1405,61),0)</f>
        <v/>
      </c>
      <c r="BM1405">
        <f>IFERROR(INDEX(PP_Grid[#Data],$DE1405,62),0)</f>
        <v/>
      </c>
      <c r="BN1405">
        <f>IFERROR(INDEX(PP_Grid[#Data],$DE1405,63),0)</f>
        <v/>
      </c>
      <c r="BO1405">
        <f>IFERROR(INDEX(PP_Grid[#Data],$DE1405,64),0)</f>
        <v/>
      </c>
      <c r="BP1405">
        <f>IFERROR(INDEX(PP_Grid[#Data],$DE1405,65),0)</f>
        <v/>
      </c>
      <c r="BQ1405">
        <f>IFERROR(INDEX(PP_Grid[#Data],$DE1405,66),0)</f>
        <v/>
      </c>
      <c r="BR1405">
        <f>IFERROR(INDEX(PP_Grid[#Data],$DE1405,67),0)</f>
        <v/>
      </c>
      <c r="BS1405">
        <f>IFERROR(INDEX(PP_Grid[#Data],$DE1405,68),0)</f>
        <v/>
      </c>
      <c r="BT1405">
        <f>IFERROR(INDEX(PP_Grid[#Data],$DE1405,69),0)</f>
        <v/>
      </c>
      <c r="BU1405">
        <f>IFERROR(INDEX(PP_Grid[#Data],$DE1405,70),0)</f>
        <v/>
      </c>
      <c r="BV1405">
        <f>IFERROR(INDEX(PP_Grid[#Data],$DE1405,71),0)</f>
        <v/>
      </c>
      <c r="BW1405">
        <f>IFERROR(INDEX(PP_Grid[#Data],$DE1405,72),0)</f>
        <v/>
      </c>
      <c r="BX1405">
        <f>IFERROR(INDEX(PP_Grid[#Data],$DE1405,73),0)</f>
        <v/>
      </c>
      <c r="BY1405">
        <f>IFERROR(INDEX(PP_Grid[#Data],$DE1405,74),0)</f>
        <v/>
      </c>
      <c r="BZ1405">
        <f>IFERROR(INDEX(PP_Grid[#Data],$DE1405,75),0)</f>
        <v/>
      </c>
      <c r="CA1405">
        <f>IFERROR(INDEX(PP_Grid[#Data],$DE1405,76),0)</f>
        <v/>
      </c>
      <c r="CB1405">
        <f>IFERROR(INDEX(PP_Grid[#Data],$DE1405,77),0)</f>
        <v/>
      </c>
      <c r="CC1405">
        <f>IFERROR(INDEX(PP_Grid[#Data],$DE1405,78),0)</f>
        <v/>
      </c>
      <c r="CD1405">
        <f>IFERROR(INDEX(PP_Grid[#Data],$DE1405,79),0)</f>
        <v/>
      </c>
      <c r="CE1405">
        <f>IFERROR(INDEX(PP_Grid[#Data],$DE1405,80),0)</f>
        <v/>
      </c>
      <c r="CF1405">
        <f>IFERROR(INDEX(PP_Grid[#Data],$DE1405,81),0)</f>
        <v/>
      </c>
      <c r="CG1405">
        <f>IFERROR(INDEX(PP_Grid[#Data],$DE1405,82),0)</f>
        <v/>
      </c>
      <c r="CH1405">
        <f>IFERROR(INDEX(PP_Grid[#Data],$DE1405,83),0)</f>
        <v/>
      </c>
      <c r="CI1405">
        <f>IFERROR(INDEX(PP_Grid[#Data],$DE1405,84),0)</f>
        <v/>
      </c>
      <c r="CJ1405">
        <f>IFERROR(INDEX(PP_Grid[#Data],$DE1405,85),0)</f>
        <v/>
      </c>
      <c r="CK1405">
        <f>IFERROR(INDEX(PP_Grid[#Data],$DE1405,86),0)</f>
        <v/>
      </c>
      <c r="CL1405">
        <f>IFERROR(INDEX(PP_Grid[#Data],$DE1405,87),0)</f>
        <v/>
      </c>
      <c r="CM1405">
        <f>IFERROR(INDEX(PP_Grid[#Data],$DE1405,88),0)</f>
        <v/>
      </c>
      <c r="CN1405">
        <f>IFERROR(INDEX(PP_Grid[#Data],$DE1405,89),0)</f>
        <v/>
      </c>
      <c r="CO1405">
        <f>IFERROR(INDEX(PP_Grid[#Data],$DE1405,90),0)</f>
        <v/>
      </c>
      <c r="CP1405">
        <f>IFERROR(INDEX(PP_Grid[#Data],$DE1405,91),0)</f>
        <v/>
      </c>
      <c r="CQ1405">
        <f>IFERROR(INDEX(PP_Grid[#Data],$DE1405,92),0)</f>
        <v/>
      </c>
      <c r="CR1405">
        <f>IFERROR(INDEX(PP_Grid[#Data],$DE1405,93),0)</f>
        <v/>
      </c>
      <c r="CS1405">
        <f>IFERROR(INDEX(PP_Grid[#Data],$DE1405,94),0)</f>
        <v/>
      </c>
      <c r="CT1405">
        <f>IFERROR(INDEX(PP_Grid[#Data],$DE1405,95),0)</f>
        <v/>
      </c>
      <c r="CU1405">
        <f>IFERROR(INDEX(PP_Grid[#Data],$DE1405,96),0)</f>
        <v/>
      </c>
      <c r="CV1405">
        <f>IFERROR(INDEX(PP_Grid[#Data],$DE1405,97),0)</f>
        <v/>
      </c>
      <c r="CW1405">
        <f>IFERROR(INDEX(PP_Grid[#Data],$DE1405,98),0)</f>
        <v/>
      </c>
      <c r="CX1405">
        <f>IFERROR(INDEX(PP_Grid[#Data],$DE1405,99),0)</f>
        <v/>
      </c>
      <c r="CY1405">
        <f>IFERROR(INDEX(PP_Grid[#Data],$DE1405,100),0)</f>
        <v/>
      </c>
      <c r="CZ1405">
        <f>IFERROR(INDEX(PP_Grid[#Data],$DE1405,101),0)</f>
        <v/>
      </c>
      <c r="DA1405">
        <f>IFERROR(INDEX(PP_Grid[#Data],$DE1405,102),0)</f>
        <v/>
      </c>
      <c r="DB1405">
        <f>IFERROR(INDEX(PP_Grid[#Data],$DE1405,103),0)</f>
        <v/>
      </c>
      <c r="DC1405">
        <f>IFERROR(INDEX(PP_Grid[#Data],$DE1405,104),0)</f>
        <v/>
      </c>
      <c r="DD1405">
        <f>IFERROR(INDEX(PP_Grid[#Data],$DE1405,105),0)</f>
        <v/>
      </c>
      <c r="DE1405" s="7">
        <f>IFERROR(MATCH($B1405,PP_Grid[Intermediate],0),99999)</f>
        <v/>
      </c>
    </row>
    <row r="1406">
      <c r="B1406" t="inlineStr">
        <is>
          <t>使用量(kg)</t>
        </is>
      </c>
      <c r="C1406">
        <f>SUMIFS(M_BOM[RM_Qty_Per_Batch],M_BOM[Intermediate],$B1405,M_BOM[RM_Code],$A1392)</f>
        <v/>
      </c>
      <c r="D1406">
        <f>IFERROR(INDEX(E1406:DD1406,$F$1),"")</f>
        <v/>
      </c>
      <c r="E1406">
        <f>$C1406*E1405</f>
        <v/>
      </c>
      <c r="F1406">
        <f>$C1406*F1405</f>
        <v/>
      </c>
      <c r="G1406">
        <f>$C1406*G1405</f>
        <v/>
      </c>
      <c r="H1406">
        <f>$C1406*H1405</f>
        <v/>
      </c>
      <c r="I1406">
        <f>$C1406*I1405</f>
        <v/>
      </c>
      <c r="J1406">
        <f>$C1406*J1405</f>
        <v/>
      </c>
      <c r="K1406">
        <f>$C1406*K1405</f>
        <v/>
      </c>
      <c r="L1406">
        <f>$C1406*L1405</f>
        <v/>
      </c>
      <c r="M1406">
        <f>$C1406*M1405</f>
        <v/>
      </c>
      <c r="N1406">
        <f>$C1406*N1405</f>
        <v/>
      </c>
      <c r="O1406">
        <f>$C1406*O1405</f>
        <v/>
      </c>
      <c r="P1406">
        <f>$C1406*P1405</f>
        <v/>
      </c>
      <c r="Q1406">
        <f>$C1406*Q1405</f>
        <v/>
      </c>
      <c r="R1406">
        <f>$C1406*R1405</f>
        <v/>
      </c>
      <c r="S1406">
        <f>$C1406*S1405</f>
        <v/>
      </c>
      <c r="T1406">
        <f>$C1406*T1405</f>
        <v/>
      </c>
      <c r="U1406">
        <f>$C1406*U1405</f>
        <v/>
      </c>
      <c r="V1406">
        <f>$C1406*V1405</f>
        <v/>
      </c>
      <c r="W1406">
        <f>$C1406*W1405</f>
        <v/>
      </c>
      <c r="X1406">
        <f>$C1406*X1405</f>
        <v/>
      </c>
      <c r="Y1406">
        <f>$C1406*Y1405</f>
        <v/>
      </c>
      <c r="Z1406">
        <f>$C1406*Z1405</f>
        <v/>
      </c>
      <c r="AA1406">
        <f>$C1406*AA1405</f>
        <v/>
      </c>
      <c r="AB1406">
        <f>$C1406*AB1405</f>
        <v/>
      </c>
      <c r="AC1406">
        <f>$C1406*AC1405</f>
        <v/>
      </c>
      <c r="AD1406">
        <f>$C1406*AD1405</f>
        <v/>
      </c>
      <c r="AE1406">
        <f>$C1406*AE1405</f>
        <v/>
      </c>
      <c r="AF1406">
        <f>$C1406*AF1405</f>
        <v/>
      </c>
      <c r="AG1406">
        <f>$C1406*AG1405</f>
        <v/>
      </c>
      <c r="AH1406">
        <f>$C1406*AH1405</f>
        <v/>
      </c>
      <c r="AI1406">
        <f>$C1406*AI1405</f>
        <v/>
      </c>
      <c r="AJ1406">
        <f>$C1406*AJ1405</f>
        <v/>
      </c>
      <c r="AK1406">
        <f>$C1406*AK1405</f>
        <v/>
      </c>
      <c r="AL1406">
        <f>$C1406*AL1405</f>
        <v/>
      </c>
      <c r="AM1406">
        <f>$C1406*AM1405</f>
        <v/>
      </c>
      <c r="AN1406">
        <f>$C1406*AN1405</f>
        <v/>
      </c>
      <c r="AO1406">
        <f>$C1406*AO1405</f>
        <v/>
      </c>
      <c r="AP1406">
        <f>$C1406*AP1405</f>
        <v/>
      </c>
      <c r="AQ1406">
        <f>$C1406*AQ1405</f>
        <v/>
      </c>
      <c r="AR1406">
        <f>$C1406*AR1405</f>
        <v/>
      </c>
      <c r="AS1406">
        <f>$C1406*AS1405</f>
        <v/>
      </c>
      <c r="AT1406">
        <f>$C1406*AT1405</f>
        <v/>
      </c>
      <c r="AU1406">
        <f>$C1406*AU1405</f>
        <v/>
      </c>
      <c r="AV1406">
        <f>$C1406*AV1405</f>
        <v/>
      </c>
      <c r="AW1406">
        <f>$C1406*AW1405</f>
        <v/>
      </c>
      <c r="AX1406">
        <f>$C1406*AX1405</f>
        <v/>
      </c>
      <c r="AY1406">
        <f>$C1406*AY1405</f>
        <v/>
      </c>
      <c r="AZ1406">
        <f>$C1406*AZ1405</f>
        <v/>
      </c>
      <c r="BA1406">
        <f>$C1406*BA1405</f>
        <v/>
      </c>
      <c r="BB1406">
        <f>$C1406*BB1405</f>
        <v/>
      </c>
      <c r="BC1406">
        <f>$C1406*BC1405</f>
        <v/>
      </c>
      <c r="BD1406">
        <f>$C1406*BD1405</f>
        <v/>
      </c>
      <c r="BE1406">
        <f>$C1406*BE1405</f>
        <v/>
      </c>
      <c r="BF1406">
        <f>$C1406*BF1405</f>
        <v/>
      </c>
      <c r="BG1406">
        <f>$C1406*BG1405</f>
        <v/>
      </c>
      <c r="BH1406">
        <f>$C1406*BH1405</f>
        <v/>
      </c>
      <c r="BI1406">
        <f>$C1406*BI1405</f>
        <v/>
      </c>
      <c r="BJ1406">
        <f>$C1406*BJ1405</f>
        <v/>
      </c>
      <c r="BK1406">
        <f>$C1406*BK1405</f>
        <v/>
      </c>
      <c r="BL1406">
        <f>$C1406*BL1405</f>
        <v/>
      </c>
      <c r="BM1406">
        <f>$C1406*BM1405</f>
        <v/>
      </c>
      <c r="BN1406">
        <f>$C1406*BN1405</f>
        <v/>
      </c>
      <c r="BO1406">
        <f>$C1406*BO1405</f>
        <v/>
      </c>
      <c r="BP1406">
        <f>$C1406*BP1405</f>
        <v/>
      </c>
      <c r="BQ1406">
        <f>$C1406*BQ1405</f>
        <v/>
      </c>
      <c r="BR1406">
        <f>$C1406*BR1405</f>
        <v/>
      </c>
      <c r="BS1406">
        <f>$C1406*BS1405</f>
        <v/>
      </c>
      <c r="BT1406">
        <f>$C1406*BT1405</f>
        <v/>
      </c>
      <c r="BU1406">
        <f>$C1406*BU1405</f>
        <v/>
      </c>
      <c r="BV1406">
        <f>$C1406*BV1405</f>
        <v/>
      </c>
      <c r="BW1406">
        <f>$C1406*BW1405</f>
        <v/>
      </c>
      <c r="BX1406">
        <f>$C1406*BX1405</f>
        <v/>
      </c>
      <c r="BY1406">
        <f>$C1406*BY1405</f>
        <v/>
      </c>
      <c r="BZ1406">
        <f>$C1406*BZ1405</f>
        <v/>
      </c>
      <c r="CA1406">
        <f>$C1406*CA1405</f>
        <v/>
      </c>
      <c r="CB1406">
        <f>$C1406*CB1405</f>
        <v/>
      </c>
      <c r="CC1406">
        <f>$C1406*CC1405</f>
        <v/>
      </c>
      <c r="CD1406">
        <f>$C1406*CD1405</f>
        <v/>
      </c>
      <c r="CE1406">
        <f>$C1406*CE1405</f>
        <v/>
      </c>
      <c r="CF1406">
        <f>$C1406*CF1405</f>
        <v/>
      </c>
      <c r="CG1406">
        <f>$C1406*CG1405</f>
        <v/>
      </c>
      <c r="CH1406">
        <f>$C1406*CH1405</f>
        <v/>
      </c>
      <c r="CI1406">
        <f>$C1406*CI1405</f>
        <v/>
      </c>
      <c r="CJ1406">
        <f>$C1406*CJ1405</f>
        <v/>
      </c>
      <c r="CK1406">
        <f>$C1406*CK1405</f>
        <v/>
      </c>
      <c r="CL1406">
        <f>$C1406*CL1405</f>
        <v/>
      </c>
      <c r="CM1406">
        <f>$C1406*CM1405</f>
        <v/>
      </c>
      <c r="CN1406">
        <f>$C1406*CN1405</f>
        <v/>
      </c>
      <c r="CO1406">
        <f>$C1406*CO1405</f>
        <v/>
      </c>
      <c r="CP1406">
        <f>$C1406*CP1405</f>
        <v/>
      </c>
      <c r="CQ1406">
        <f>$C1406*CQ1405</f>
        <v/>
      </c>
      <c r="CR1406">
        <f>$C1406*CR1405</f>
        <v/>
      </c>
      <c r="CS1406">
        <f>$C1406*CS1405</f>
        <v/>
      </c>
      <c r="CT1406">
        <f>$C1406*CT1405</f>
        <v/>
      </c>
      <c r="CU1406">
        <f>$C1406*CU1405</f>
        <v/>
      </c>
      <c r="CV1406">
        <f>$C1406*CV1405</f>
        <v/>
      </c>
      <c r="CW1406">
        <f>$C1406*CW1405</f>
        <v/>
      </c>
      <c r="CX1406">
        <f>$C1406*CX1405</f>
        <v/>
      </c>
      <c r="CY1406">
        <f>$C1406*CY1405</f>
        <v/>
      </c>
      <c r="CZ1406">
        <f>$C1406*CZ1405</f>
        <v/>
      </c>
      <c r="DA1406">
        <f>$C1406*DA1405</f>
        <v/>
      </c>
      <c r="DB1406">
        <f>$C1406*DB1405</f>
        <v/>
      </c>
      <c r="DC1406">
        <f>$C1406*DC1405</f>
        <v/>
      </c>
      <c r="DD1406">
        <f>$C1406*DD1405</f>
        <v/>
      </c>
    </row>
    <row r="1407">
      <c r="B1407" s="4" t="inlineStr">
        <is>
          <t>合計使用量(kg)/週</t>
        </is>
      </c>
      <c r="D1407" s="23">
        <f>IFERROR(INDEX(E1407:DD1407,$F$1),"")</f>
        <v/>
      </c>
      <c r="E1407">
        <f>'Grid_Requirement'!B56</f>
        <v/>
      </c>
      <c r="F1407">
        <f>'Grid_Requirement'!C56</f>
        <v/>
      </c>
      <c r="G1407">
        <f>'Grid_Requirement'!D56</f>
        <v/>
      </c>
      <c r="H1407">
        <f>'Grid_Requirement'!E56</f>
        <v/>
      </c>
      <c r="I1407">
        <f>'Grid_Requirement'!F56</f>
        <v/>
      </c>
      <c r="J1407">
        <f>'Grid_Requirement'!G56</f>
        <v/>
      </c>
      <c r="K1407">
        <f>'Grid_Requirement'!H56</f>
        <v/>
      </c>
      <c r="L1407">
        <f>'Grid_Requirement'!I56</f>
        <v/>
      </c>
      <c r="M1407">
        <f>'Grid_Requirement'!J56</f>
        <v/>
      </c>
      <c r="N1407">
        <f>'Grid_Requirement'!K56</f>
        <v/>
      </c>
      <c r="O1407">
        <f>'Grid_Requirement'!L56</f>
        <v/>
      </c>
      <c r="P1407">
        <f>'Grid_Requirement'!M56</f>
        <v/>
      </c>
      <c r="Q1407">
        <f>'Grid_Requirement'!N56</f>
        <v/>
      </c>
      <c r="R1407">
        <f>'Grid_Requirement'!O56</f>
        <v/>
      </c>
      <c r="S1407">
        <f>'Grid_Requirement'!P56</f>
        <v/>
      </c>
      <c r="T1407">
        <f>'Grid_Requirement'!Q56</f>
        <v/>
      </c>
      <c r="U1407">
        <f>'Grid_Requirement'!R56</f>
        <v/>
      </c>
      <c r="V1407">
        <f>'Grid_Requirement'!S56</f>
        <v/>
      </c>
      <c r="W1407">
        <f>'Grid_Requirement'!T56</f>
        <v/>
      </c>
      <c r="X1407">
        <f>'Grid_Requirement'!U56</f>
        <v/>
      </c>
      <c r="Y1407">
        <f>'Grid_Requirement'!V56</f>
        <v/>
      </c>
      <c r="Z1407">
        <f>'Grid_Requirement'!W56</f>
        <v/>
      </c>
      <c r="AA1407">
        <f>'Grid_Requirement'!X56</f>
        <v/>
      </c>
      <c r="AB1407">
        <f>'Grid_Requirement'!Y56</f>
        <v/>
      </c>
      <c r="AC1407">
        <f>'Grid_Requirement'!Z56</f>
        <v/>
      </c>
      <c r="AD1407">
        <f>'Grid_Requirement'!AA56</f>
        <v/>
      </c>
      <c r="AE1407">
        <f>'Grid_Requirement'!AB56</f>
        <v/>
      </c>
      <c r="AF1407">
        <f>'Grid_Requirement'!AC56</f>
        <v/>
      </c>
      <c r="AG1407">
        <f>'Grid_Requirement'!AD56</f>
        <v/>
      </c>
      <c r="AH1407">
        <f>'Grid_Requirement'!AE56</f>
        <v/>
      </c>
      <c r="AI1407">
        <f>'Grid_Requirement'!AF56</f>
        <v/>
      </c>
      <c r="AJ1407">
        <f>'Grid_Requirement'!AG56</f>
        <v/>
      </c>
      <c r="AK1407">
        <f>'Grid_Requirement'!AH56</f>
        <v/>
      </c>
      <c r="AL1407">
        <f>'Grid_Requirement'!AI56</f>
        <v/>
      </c>
      <c r="AM1407">
        <f>'Grid_Requirement'!AJ56</f>
        <v/>
      </c>
      <c r="AN1407">
        <f>'Grid_Requirement'!AK56</f>
        <v/>
      </c>
      <c r="AO1407">
        <f>'Grid_Requirement'!AL56</f>
        <v/>
      </c>
      <c r="AP1407">
        <f>'Grid_Requirement'!AM56</f>
        <v/>
      </c>
      <c r="AQ1407">
        <f>'Grid_Requirement'!AN56</f>
        <v/>
      </c>
      <c r="AR1407">
        <f>'Grid_Requirement'!AO56</f>
        <v/>
      </c>
      <c r="AS1407">
        <f>'Grid_Requirement'!AP56</f>
        <v/>
      </c>
      <c r="AT1407">
        <f>'Grid_Requirement'!AQ56</f>
        <v/>
      </c>
      <c r="AU1407">
        <f>'Grid_Requirement'!AR56</f>
        <v/>
      </c>
      <c r="AV1407">
        <f>'Grid_Requirement'!AS56</f>
        <v/>
      </c>
      <c r="AW1407">
        <f>'Grid_Requirement'!AT56</f>
        <v/>
      </c>
      <c r="AX1407">
        <f>'Grid_Requirement'!AU56</f>
        <v/>
      </c>
      <c r="AY1407">
        <f>'Grid_Requirement'!AV56</f>
        <v/>
      </c>
      <c r="AZ1407">
        <f>'Grid_Requirement'!AW56</f>
        <v/>
      </c>
      <c r="BA1407">
        <f>'Grid_Requirement'!AX56</f>
        <v/>
      </c>
      <c r="BB1407">
        <f>'Grid_Requirement'!AY56</f>
        <v/>
      </c>
      <c r="BC1407">
        <f>'Grid_Requirement'!AZ56</f>
        <v/>
      </c>
      <c r="BD1407">
        <f>'Grid_Requirement'!BA56</f>
        <v/>
      </c>
      <c r="BE1407">
        <f>'Grid_Requirement'!BB56</f>
        <v/>
      </c>
      <c r="BF1407">
        <f>'Grid_Requirement'!BC56</f>
        <v/>
      </c>
      <c r="BG1407">
        <f>'Grid_Requirement'!BD56</f>
        <v/>
      </c>
      <c r="BH1407">
        <f>'Grid_Requirement'!BE56</f>
        <v/>
      </c>
      <c r="BI1407">
        <f>'Grid_Requirement'!BF56</f>
        <v/>
      </c>
      <c r="BJ1407">
        <f>'Grid_Requirement'!BG56</f>
        <v/>
      </c>
      <c r="BK1407">
        <f>'Grid_Requirement'!BH56</f>
        <v/>
      </c>
      <c r="BL1407">
        <f>'Grid_Requirement'!BI56</f>
        <v/>
      </c>
      <c r="BM1407">
        <f>'Grid_Requirement'!BJ56</f>
        <v/>
      </c>
      <c r="BN1407">
        <f>'Grid_Requirement'!BK56</f>
        <v/>
      </c>
      <c r="BO1407">
        <f>'Grid_Requirement'!BL56</f>
        <v/>
      </c>
      <c r="BP1407">
        <f>'Grid_Requirement'!BM56</f>
        <v/>
      </c>
      <c r="BQ1407">
        <f>'Grid_Requirement'!BN56</f>
        <v/>
      </c>
      <c r="BR1407">
        <f>'Grid_Requirement'!BO56</f>
        <v/>
      </c>
      <c r="BS1407">
        <f>'Grid_Requirement'!BP56</f>
        <v/>
      </c>
      <c r="BT1407">
        <f>'Grid_Requirement'!BQ56</f>
        <v/>
      </c>
      <c r="BU1407">
        <f>'Grid_Requirement'!BR56</f>
        <v/>
      </c>
      <c r="BV1407">
        <f>'Grid_Requirement'!BS56</f>
        <v/>
      </c>
      <c r="BW1407">
        <f>'Grid_Requirement'!BT56</f>
        <v/>
      </c>
      <c r="BX1407">
        <f>'Grid_Requirement'!BU56</f>
        <v/>
      </c>
      <c r="BY1407">
        <f>'Grid_Requirement'!BV56</f>
        <v/>
      </c>
      <c r="BZ1407">
        <f>'Grid_Requirement'!BW56</f>
        <v/>
      </c>
      <c r="CA1407">
        <f>'Grid_Requirement'!BX56</f>
        <v/>
      </c>
      <c r="CB1407">
        <f>'Grid_Requirement'!BY56</f>
        <v/>
      </c>
      <c r="CC1407">
        <f>'Grid_Requirement'!BZ56</f>
        <v/>
      </c>
      <c r="CD1407">
        <f>'Grid_Requirement'!CA56</f>
        <v/>
      </c>
      <c r="CE1407">
        <f>'Grid_Requirement'!CB56</f>
        <v/>
      </c>
      <c r="CF1407">
        <f>'Grid_Requirement'!CC56</f>
        <v/>
      </c>
      <c r="CG1407">
        <f>'Grid_Requirement'!CD56</f>
        <v/>
      </c>
      <c r="CH1407">
        <f>'Grid_Requirement'!CE56</f>
        <v/>
      </c>
      <c r="CI1407">
        <f>'Grid_Requirement'!CF56</f>
        <v/>
      </c>
      <c r="CJ1407">
        <f>'Grid_Requirement'!CG56</f>
        <v/>
      </c>
      <c r="CK1407">
        <f>'Grid_Requirement'!CH56</f>
        <v/>
      </c>
      <c r="CL1407">
        <f>'Grid_Requirement'!CI56</f>
        <v/>
      </c>
      <c r="CM1407">
        <f>'Grid_Requirement'!CJ56</f>
        <v/>
      </c>
      <c r="CN1407">
        <f>'Grid_Requirement'!CK56</f>
        <v/>
      </c>
      <c r="CO1407">
        <f>'Grid_Requirement'!CL56</f>
        <v/>
      </c>
      <c r="CP1407">
        <f>'Grid_Requirement'!CM56</f>
        <v/>
      </c>
      <c r="CQ1407">
        <f>'Grid_Requirement'!CN56</f>
        <v/>
      </c>
      <c r="CR1407">
        <f>'Grid_Requirement'!CO56</f>
        <v/>
      </c>
      <c r="CS1407">
        <f>'Grid_Requirement'!CP56</f>
        <v/>
      </c>
      <c r="CT1407">
        <f>'Grid_Requirement'!CQ56</f>
        <v/>
      </c>
      <c r="CU1407">
        <f>'Grid_Requirement'!CR56</f>
        <v/>
      </c>
      <c r="CV1407">
        <f>'Grid_Requirement'!CS56</f>
        <v/>
      </c>
      <c r="CW1407">
        <f>'Grid_Requirement'!CT56</f>
        <v/>
      </c>
      <c r="CX1407">
        <f>'Grid_Requirement'!CU56</f>
        <v/>
      </c>
      <c r="CY1407">
        <f>'Grid_Requirement'!CV56</f>
        <v/>
      </c>
      <c r="CZ1407">
        <f>'Grid_Requirement'!CW56</f>
        <v/>
      </c>
      <c r="DA1407">
        <f>'Grid_Requirement'!CX56</f>
        <v/>
      </c>
      <c r="DB1407">
        <f>'Grid_Requirement'!CY56</f>
        <v/>
      </c>
      <c r="DC1407">
        <f>'Grid_Requirement'!CZ56</f>
        <v/>
      </c>
      <c r="DD1407">
        <f>'Grid_Requirement'!DA56</f>
        <v/>
      </c>
    </row>
    <row r="1408">
      <c r="B1408" t="inlineStr">
        <is>
          <t>TTAF在庫(実績,kg)</t>
        </is>
      </c>
      <c r="D1408">
        <f>IFERROR(INDEX(E1408:DD1408,$F$1),"")</f>
        <v/>
      </c>
      <c r="E1408">
        <f>IFERROR(SUMIFS(T_TTAFStock[TTAF_Qty],T_TTAFStock[RM_Code],$A1392,T_TTAFStock[WeekIndex],1),"")</f>
        <v/>
      </c>
      <c r="F1408">
        <f>IFERROR(SUMIFS(T_TTAFStock[TTAF_Qty],T_TTAFStock[RM_Code],$A1392,T_TTAFStock[WeekIndex],2),"")</f>
        <v/>
      </c>
      <c r="G1408">
        <f>IFERROR(SUMIFS(T_TTAFStock[TTAF_Qty],T_TTAFStock[RM_Code],$A1392,T_TTAFStock[WeekIndex],3),"")</f>
        <v/>
      </c>
      <c r="H1408">
        <f>IFERROR(SUMIFS(T_TTAFStock[TTAF_Qty],T_TTAFStock[RM_Code],$A1392,T_TTAFStock[WeekIndex],4),"")</f>
        <v/>
      </c>
      <c r="I1408">
        <f>IFERROR(SUMIFS(T_TTAFStock[TTAF_Qty],T_TTAFStock[RM_Code],$A1392,T_TTAFStock[WeekIndex],5),"")</f>
        <v/>
      </c>
      <c r="J1408">
        <f>IFERROR(SUMIFS(T_TTAFStock[TTAF_Qty],T_TTAFStock[RM_Code],$A1392,T_TTAFStock[WeekIndex],6),"")</f>
        <v/>
      </c>
      <c r="K1408">
        <f>IFERROR(SUMIFS(T_TTAFStock[TTAF_Qty],T_TTAFStock[RM_Code],$A1392,T_TTAFStock[WeekIndex],7),"")</f>
        <v/>
      </c>
      <c r="L1408">
        <f>IFERROR(SUMIFS(T_TTAFStock[TTAF_Qty],T_TTAFStock[RM_Code],$A1392,T_TTAFStock[WeekIndex],8),"")</f>
        <v/>
      </c>
      <c r="M1408">
        <f>IFERROR(SUMIFS(T_TTAFStock[TTAF_Qty],T_TTAFStock[RM_Code],$A1392,T_TTAFStock[WeekIndex],9),"")</f>
        <v/>
      </c>
      <c r="N1408">
        <f>IFERROR(SUMIFS(T_TTAFStock[TTAF_Qty],T_TTAFStock[RM_Code],$A1392,T_TTAFStock[WeekIndex],10),"")</f>
        <v/>
      </c>
      <c r="O1408">
        <f>IFERROR(SUMIFS(T_TTAFStock[TTAF_Qty],T_TTAFStock[RM_Code],$A1392,T_TTAFStock[WeekIndex],11),"")</f>
        <v/>
      </c>
      <c r="P1408">
        <f>IFERROR(SUMIFS(T_TTAFStock[TTAF_Qty],T_TTAFStock[RM_Code],$A1392,T_TTAFStock[WeekIndex],12),"")</f>
        <v/>
      </c>
      <c r="Q1408">
        <f>IFERROR(SUMIFS(T_TTAFStock[TTAF_Qty],T_TTAFStock[RM_Code],$A1392,T_TTAFStock[WeekIndex],13),"")</f>
        <v/>
      </c>
      <c r="R1408">
        <f>IFERROR(SUMIFS(T_TTAFStock[TTAF_Qty],T_TTAFStock[RM_Code],$A1392,T_TTAFStock[WeekIndex],14),"")</f>
        <v/>
      </c>
      <c r="S1408">
        <f>IFERROR(SUMIFS(T_TTAFStock[TTAF_Qty],T_TTAFStock[RM_Code],$A1392,T_TTAFStock[WeekIndex],15),"")</f>
        <v/>
      </c>
      <c r="T1408">
        <f>IFERROR(SUMIFS(T_TTAFStock[TTAF_Qty],T_TTAFStock[RM_Code],$A1392,T_TTAFStock[WeekIndex],16),"")</f>
        <v/>
      </c>
      <c r="U1408">
        <f>IFERROR(SUMIFS(T_TTAFStock[TTAF_Qty],T_TTAFStock[RM_Code],$A1392,T_TTAFStock[WeekIndex],17),"")</f>
        <v/>
      </c>
      <c r="V1408">
        <f>IFERROR(SUMIFS(T_TTAFStock[TTAF_Qty],T_TTAFStock[RM_Code],$A1392,T_TTAFStock[WeekIndex],18),"")</f>
        <v/>
      </c>
      <c r="W1408">
        <f>IFERROR(SUMIFS(T_TTAFStock[TTAF_Qty],T_TTAFStock[RM_Code],$A1392,T_TTAFStock[WeekIndex],19),"")</f>
        <v/>
      </c>
      <c r="X1408">
        <f>IFERROR(SUMIFS(T_TTAFStock[TTAF_Qty],T_TTAFStock[RM_Code],$A1392,T_TTAFStock[WeekIndex],20),"")</f>
        <v/>
      </c>
      <c r="Y1408">
        <f>IFERROR(SUMIFS(T_TTAFStock[TTAF_Qty],T_TTAFStock[RM_Code],$A1392,T_TTAFStock[WeekIndex],21),"")</f>
        <v/>
      </c>
      <c r="Z1408">
        <f>IFERROR(SUMIFS(T_TTAFStock[TTAF_Qty],T_TTAFStock[RM_Code],$A1392,T_TTAFStock[WeekIndex],22),"")</f>
        <v/>
      </c>
      <c r="AA1408">
        <f>IFERROR(SUMIFS(T_TTAFStock[TTAF_Qty],T_TTAFStock[RM_Code],$A1392,T_TTAFStock[WeekIndex],23),"")</f>
        <v/>
      </c>
      <c r="AB1408">
        <f>IFERROR(SUMIFS(T_TTAFStock[TTAF_Qty],T_TTAFStock[RM_Code],$A1392,T_TTAFStock[WeekIndex],24),"")</f>
        <v/>
      </c>
      <c r="AC1408">
        <f>IFERROR(SUMIFS(T_TTAFStock[TTAF_Qty],T_TTAFStock[RM_Code],$A1392,T_TTAFStock[WeekIndex],25),"")</f>
        <v/>
      </c>
      <c r="AD1408">
        <f>IFERROR(SUMIFS(T_TTAFStock[TTAF_Qty],T_TTAFStock[RM_Code],$A1392,T_TTAFStock[WeekIndex],26),"")</f>
        <v/>
      </c>
      <c r="AE1408">
        <f>IFERROR(SUMIFS(T_TTAFStock[TTAF_Qty],T_TTAFStock[RM_Code],$A1392,T_TTAFStock[WeekIndex],27),"")</f>
        <v/>
      </c>
      <c r="AF1408">
        <f>IFERROR(SUMIFS(T_TTAFStock[TTAF_Qty],T_TTAFStock[RM_Code],$A1392,T_TTAFStock[WeekIndex],28),"")</f>
        <v/>
      </c>
      <c r="AG1408">
        <f>IFERROR(SUMIFS(T_TTAFStock[TTAF_Qty],T_TTAFStock[RM_Code],$A1392,T_TTAFStock[WeekIndex],29),"")</f>
        <v/>
      </c>
      <c r="AH1408">
        <f>IFERROR(SUMIFS(T_TTAFStock[TTAF_Qty],T_TTAFStock[RM_Code],$A1392,T_TTAFStock[WeekIndex],30),"")</f>
        <v/>
      </c>
      <c r="AI1408">
        <f>IFERROR(SUMIFS(T_TTAFStock[TTAF_Qty],T_TTAFStock[RM_Code],$A1392,T_TTAFStock[WeekIndex],31),"")</f>
        <v/>
      </c>
      <c r="AJ1408">
        <f>IFERROR(SUMIFS(T_TTAFStock[TTAF_Qty],T_TTAFStock[RM_Code],$A1392,T_TTAFStock[WeekIndex],32),"")</f>
        <v/>
      </c>
      <c r="AK1408">
        <f>IFERROR(SUMIFS(T_TTAFStock[TTAF_Qty],T_TTAFStock[RM_Code],$A1392,T_TTAFStock[WeekIndex],33),"")</f>
        <v/>
      </c>
      <c r="AL1408">
        <f>IFERROR(SUMIFS(T_TTAFStock[TTAF_Qty],T_TTAFStock[RM_Code],$A1392,T_TTAFStock[WeekIndex],34),"")</f>
        <v/>
      </c>
      <c r="AM1408">
        <f>IFERROR(SUMIFS(T_TTAFStock[TTAF_Qty],T_TTAFStock[RM_Code],$A1392,T_TTAFStock[WeekIndex],35),"")</f>
        <v/>
      </c>
      <c r="AN1408">
        <f>IFERROR(SUMIFS(T_TTAFStock[TTAF_Qty],T_TTAFStock[RM_Code],$A1392,T_TTAFStock[WeekIndex],36),"")</f>
        <v/>
      </c>
      <c r="AO1408">
        <f>IFERROR(SUMIFS(T_TTAFStock[TTAF_Qty],T_TTAFStock[RM_Code],$A1392,T_TTAFStock[WeekIndex],37),"")</f>
        <v/>
      </c>
      <c r="AP1408">
        <f>IFERROR(SUMIFS(T_TTAFStock[TTAF_Qty],T_TTAFStock[RM_Code],$A1392,T_TTAFStock[WeekIndex],38),"")</f>
        <v/>
      </c>
      <c r="AQ1408">
        <f>IFERROR(SUMIFS(T_TTAFStock[TTAF_Qty],T_TTAFStock[RM_Code],$A1392,T_TTAFStock[WeekIndex],39),"")</f>
        <v/>
      </c>
      <c r="AR1408">
        <f>IFERROR(SUMIFS(T_TTAFStock[TTAF_Qty],T_TTAFStock[RM_Code],$A1392,T_TTAFStock[WeekIndex],40),"")</f>
        <v/>
      </c>
      <c r="AS1408">
        <f>IFERROR(SUMIFS(T_TTAFStock[TTAF_Qty],T_TTAFStock[RM_Code],$A1392,T_TTAFStock[WeekIndex],41),"")</f>
        <v/>
      </c>
      <c r="AT1408">
        <f>IFERROR(SUMIFS(T_TTAFStock[TTAF_Qty],T_TTAFStock[RM_Code],$A1392,T_TTAFStock[WeekIndex],42),"")</f>
        <v/>
      </c>
      <c r="AU1408">
        <f>IFERROR(SUMIFS(T_TTAFStock[TTAF_Qty],T_TTAFStock[RM_Code],$A1392,T_TTAFStock[WeekIndex],43),"")</f>
        <v/>
      </c>
      <c r="AV1408">
        <f>IFERROR(SUMIFS(T_TTAFStock[TTAF_Qty],T_TTAFStock[RM_Code],$A1392,T_TTAFStock[WeekIndex],44),"")</f>
        <v/>
      </c>
      <c r="AW1408">
        <f>IFERROR(SUMIFS(T_TTAFStock[TTAF_Qty],T_TTAFStock[RM_Code],$A1392,T_TTAFStock[WeekIndex],45),"")</f>
        <v/>
      </c>
      <c r="AX1408">
        <f>IFERROR(SUMIFS(T_TTAFStock[TTAF_Qty],T_TTAFStock[RM_Code],$A1392,T_TTAFStock[WeekIndex],46),"")</f>
        <v/>
      </c>
      <c r="AY1408">
        <f>IFERROR(SUMIFS(T_TTAFStock[TTAF_Qty],T_TTAFStock[RM_Code],$A1392,T_TTAFStock[WeekIndex],47),"")</f>
        <v/>
      </c>
      <c r="AZ1408">
        <f>IFERROR(SUMIFS(T_TTAFStock[TTAF_Qty],T_TTAFStock[RM_Code],$A1392,T_TTAFStock[WeekIndex],48),"")</f>
        <v/>
      </c>
      <c r="BA1408">
        <f>IFERROR(SUMIFS(T_TTAFStock[TTAF_Qty],T_TTAFStock[RM_Code],$A1392,T_TTAFStock[WeekIndex],49),"")</f>
        <v/>
      </c>
      <c r="BB1408">
        <f>IFERROR(SUMIFS(T_TTAFStock[TTAF_Qty],T_TTAFStock[RM_Code],$A1392,T_TTAFStock[WeekIndex],50),"")</f>
        <v/>
      </c>
      <c r="BC1408">
        <f>IFERROR(SUMIFS(T_TTAFStock[TTAF_Qty],T_TTAFStock[RM_Code],$A1392,T_TTAFStock[WeekIndex],51),"")</f>
        <v/>
      </c>
      <c r="BD1408">
        <f>IFERROR(SUMIFS(T_TTAFStock[TTAF_Qty],T_TTAFStock[RM_Code],$A1392,T_TTAFStock[WeekIndex],52),"")</f>
        <v/>
      </c>
      <c r="BE1408">
        <f>IFERROR(SUMIFS(T_TTAFStock[TTAF_Qty],T_TTAFStock[RM_Code],$A1392,T_TTAFStock[WeekIndex],53),"")</f>
        <v/>
      </c>
      <c r="BF1408">
        <f>IFERROR(SUMIFS(T_TTAFStock[TTAF_Qty],T_TTAFStock[RM_Code],$A1392,T_TTAFStock[WeekIndex],54),"")</f>
        <v/>
      </c>
      <c r="BG1408">
        <f>IFERROR(SUMIFS(T_TTAFStock[TTAF_Qty],T_TTAFStock[RM_Code],$A1392,T_TTAFStock[WeekIndex],55),"")</f>
        <v/>
      </c>
      <c r="BH1408">
        <f>IFERROR(SUMIFS(T_TTAFStock[TTAF_Qty],T_TTAFStock[RM_Code],$A1392,T_TTAFStock[WeekIndex],56),"")</f>
        <v/>
      </c>
      <c r="BI1408">
        <f>IFERROR(SUMIFS(T_TTAFStock[TTAF_Qty],T_TTAFStock[RM_Code],$A1392,T_TTAFStock[WeekIndex],57),"")</f>
        <v/>
      </c>
      <c r="BJ1408">
        <f>IFERROR(SUMIFS(T_TTAFStock[TTAF_Qty],T_TTAFStock[RM_Code],$A1392,T_TTAFStock[WeekIndex],58),"")</f>
        <v/>
      </c>
      <c r="BK1408">
        <f>IFERROR(SUMIFS(T_TTAFStock[TTAF_Qty],T_TTAFStock[RM_Code],$A1392,T_TTAFStock[WeekIndex],59),"")</f>
        <v/>
      </c>
      <c r="BL1408">
        <f>IFERROR(SUMIFS(T_TTAFStock[TTAF_Qty],T_TTAFStock[RM_Code],$A1392,T_TTAFStock[WeekIndex],60),"")</f>
        <v/>
      </c>
      <c r="BM1408">
        <f>IFERROR(SUMIFS(T_TTAFStock[TTAF_Qty],T_TTAFStock[RM_Code],$A1392,T_TTAFStock[WeekIndex],61),"")</f>
        <v/>
      </c>
      <c r="BN1408">
        <f>IFERROR(SUMIFS(T_TTAFStock[TTAF_Qty],T_TTAFStock[RM_Code],$A1392,T_TTAFStock[WeekIndex],62),"")</f>
        <v/>
      </c>
      <c r="BO1408">
        <f>IFERROR(SUMIFS(T_TTAFStock[TTAF_Qty],T_TTAFStock[RM_Code],$A1392,T_TTAFStock[WeekIndex],63),"")</f>
        <v/>
      </c>
      <c r="BP1408">
        <f>IFERROR(SUMIFS(T_TTAFStock[TTAF_Qty],T_TTAFStock[RM_Code],$A1392,T_TTAFStock[WeekIndex],64),"")</f>
        <v/>
      </c>
      <c r="BQ1408">
        <f>IFERROR(SUMIFS(T_TTAFStock[TTAF_Qty],T_TTAFStock[RM_Code],$A1392,T_TTAFStock[WeekIndex],65),"")</f>
        <v/>
      </c>
      <c r="BR1408">
        <f>IFERROR(SUMIFS(T_TTAFStock[TTAF_Qty],T_TTAFStock[RM_Code],$A1392,T_TTAFStock[WeekIndex],66),"")</f>
        <v/>
      </c>
      <c r="BS1408">
        <f>IFERROR(SUMIFS(T_TTAFStock[TTAF_Qty],T_TTAFStock[RM_Code],$A1392,T_TTAFStock[WeekIndex],67),"")</f>
        <v/>
      </c>
      <c r="BT1408">
        <f>IFERROR(SUMIFS(T_TTAFStock[TTAF_Qty],T_TTAFStock[RM_Code],$A1392,T_TTAFStock[WeekIndex],68),"")</f>
        <v/>
      </c>
      <c r="BU1408">
        <f>IFERROR(SUMIFS(T_TTAFStock[TTAF_Qty],T_TTAFStock[RM_Code],$A1392,T_TTAFStock[WeekIndex],69),"")</f>
        <v/>
      </c>
      <c r="BV1408">
        <f>IFERROR(SUMIFS(T_TTAFStock[TTAF_Qty],T_TTAFStock[RM_Code],$A1392,T_TTAFStock[WeekIndex],70),"")</f>
        <v/>
      </c>
      <c r="BW1408">
        <f>IFERROR(SUMIFS(T_TTAFStock[TTAF_Qty],T_TTAFStock[RM_Code],$A1392,T_TTAFStock[WeekIndex],71),"")</f>
        <v/>
      </c>
      <c r="BX1408">
        <f>IFERROR(SUMIFS(T_TTAFStock[TTAF_Qty],T_TTAFStock[RM_Code],$A1392,T_TTAFStock[WeekIndex],72),"")</f>
        <v/>
      </c>
      <c r="BY1408">
        <f>IFERROR(SUMIFS(T_TTAFStock[TTAF_Qty],T_TTAFStock[RM_Code],$A1392,T_TTAFStock[WeekIndex],73),"")</f>
        <v/>
      </c>
      <c r="BZ1408">
        <f>IFERROR(SUMIFS(T_TTAFStock[TTAF_Qty],T_TTAFStock[RM_Code],$A1392,T_TTAFStock[WeekIndex],74),"")</f>
        <v/>
      </c>
      <c r="CA1408">
        <f>IFERROR(SUMIFS(T_TTAFStock[TTAF_Qty],T_TTAFStock[RM_Code],$A1392,T_TTAFStock[WeekIndex],75),"")</f>
        <v/>
      </c>
      <c r="CB1408">
        <f>IFERROR(SUMIFS(T_TTAFStock[TTAF_Qty],T_TTAFStock[RM_Code],$A1392,T_TTAFStock[WeekIndex],76),"")</f>
        <v/>
      </c>
      <c r="CC1408">
        <f>IFERROR(SUMIFS(T_TTAFStock[TTAF_Qty],T_TTAFStock[RM_Code],$A1392,T_TTAFStock[WeekIndex],77),"")</f>
        <v/>
      </c>
      <c r="CD1408">
        <f>IFERROR(SUMIFS(T_TTAFStock[TTAF_Qty],T_TTAFStock[RM_Code],$A1392,T_TTAFStock[WeekIndex],78),"")</f>
        <v/>
      </c>
      <c r="CE1408">
        <f>IFERROR(SUMIFS(T_TTAFStock[TTAF_Qty],T_TTAFStock[RM_Code],$A1392,T_TTAFStock[WeekIndex],79),"")</f>
        <v/>
      </c>
      <c r="CF1408">
        <f>IFERROR(SUMIFS(T_TTAFStock[TTAF_Qty],T_TTAFStock[RM_Code],$A1392,T_TTAFStock[WeekIndex],80),"")</f>
        <v/>
      </c>
      <c r="CG1408">
        <f>IFERROR(SUMIFS(T_TTAFStock[TTAF_Qty],T_TTAFStock[RM_Code],$A1392,T_TTAFStock[WeekIndex],81),"")</f>
        <v/>
      </c>
      <c r="CH1408">
        <f>IFERROR(SUMIFS(T_TTAFStock[TTAF_Qty],T_TTAFStock[RM_Code],$A1392,T_TTAFStock[WeekIndex],82),"")</f>
        <v/>
      </c>
      <c r="CI1408">
        <f>IFERROR(SUMIFS(T_TTAFStock[TTAF_Qty],T_TTAFStock[RM_Code],$A1392,T_TTAFStock[WeekIndex],83),"")</f>
        <v/>
      </c>
      <c r="CJ1408">
        <f>IFERROR(SUMIFS(T_TTAFStock[TTAF_Qty],T_TTAFStock[RM_Code],$A1392,T_TTAFStock[WeekIndex],84),"")</f>
        <v/>
      </c>
      <c r="CK1408">
        <f>IFERROR(SUMIFS(T_TTAFStock[TTAF_Qty],T_TTAFStock[RM_Code],$A1392,T_TTAFStock[WeekIndex],85),"")</f>
        <v/>
      </c>
      <c r="CL1408">
        <f>IFERROR(SUMIFS(T_TTAFStock[TTAF_Qty],T_TTAFStock[RM_Code],$A1392,T_TTAFStock[WeekIndex],86),"")</f>
        <v/>
      </c>
      <c r="CM1408">
        <f>IFERROR(SUMIFS(T_TTAFStock[TTAF_Qty],T_TTAFStock[RM_Code],$A1392,T_TTAFStock[WeekIndex],87),"")</f>
        <v/>
      </c>
      <c r="CN1408">
        <f>IFERROR(SUMIFS(T_TTAFStock[TTAF_Qty],T_TTAFStock[RM_Code],$A1392,T_TTAFStock[WeekIndex],88),"")</f>
        <v/>
      </c>
      <c r="CO1408">
        <f>IFERROR(SUMIFS(T_TTAFStock[TTAF_Qty],T_TTAFStock[RM_Code],$A1392,T_TTAFStock[WeekIndex],89),"")</f>
        <v/>
      </c>
      <c r="CP1408">
        <f>IFERROR(SUMIFS(T_TTAFStock[TTAF_Qty],T_TTAFStock[RM_Code],$A1392,T_TTAFStock[WeekIndex],90),"")</f>
        <v/>
      </c>
      <c r="CQ1408">
        <f>IFERROR(SUMIFS(T_TTAFStock[TTAF_Qty],T_TTAFStock[RM_Code],$A1392,T_TTAFStock[WeekIndex],91),"")</f>
        <v/>
      </c>
      <c r="CR1408">
        <f>IFERROR(SUMIFS(T_TTAFStock[TTAF_Qty],T_TTAFStock[RM_Code],$A1392,T_TTAFStock[WeekIndex],92),"")</f>
        <v/>
      </c>
      <c r="CS1408">
        <f>IFERROR(SUMIFS(T_TTAFStock[TTAF_Qty],T_TTAFStock[RM_Code],$A1392,T_TTAFStock[WeekIndex],93),"")</f>
        <v/>
      </c>
      <c r="CT1408">
        <f>IFERROR(SUMIFS(T_TTAFStock[TTAF_Qty],T_TTAFStock[RM_Code],$A1392,T_TTAFStock[WeekIndex],94),"")</f>
        <v/>
      </c>
      <c r="CU1408">
        <f>IFERROR(SUMIFS(T_TTAFStock[TTAF_Qty],T_TTAFStock[RM_Code],$A1392,T_TTAFStock[WeekIndex],95),"")</f>
        <v/>
      </c>
      <c r="CV1408">
        <f>IFERROR(SUMIFS(T_TTAFStock[TTAF_Qty],T_TTAFStock[RM_Code],$A1392,T_TTAFStock[WeekIndex],96),"")</f>
        <v/>
      </c>
      <c r="CW1408">
        <f>IFERROR(SUMIFS(T_TTAFStock[TTAF_Qty],T_TTAFStock[RM_Code],$A1392,T_TTAFStock[WeekIndex],97),"")</f>
        <v/>
      </c>
      <c r="CX1408">
        <f>IFERROR(SUMIFS(T_TTAFStock[TTAF_Qty],T_TTAFStock[RM_Code],$A1392,T_TTAFStock[WeekIndex],98),"")</f>
        <v/>
      </c>
      <c r="CY1408">
        <f>IFERROR(SUMIFS(T_TTAFStock[TTAF_Qty],T_TTAFStock[RM_Code],$A1392,T_TTAFStock[WeekIndex],99),"")</f>
        <v/>
      </c>
      <c r="CZ1408">
        <f>IFERROR(SUMIFS(T_TTAFStock[TTAF_Qty],T_TTAFStock[RM_Code],$A1392,T_TTAFStock[WeekIndex],100),"")</f>
        <v/>
      </c>
      <c r="DA1408">
        <f>IFERROR(SUMIFS(T_TTAFStock[TTAF_Qty],T_TTAFStock[RM_Code],$A1392,T_TTAFStock[WeekIndex],101),"")</f>
        <v/>
      </c>
      <c r="DB1408">
        <f>IFERROR(SUMIFS(T_TTAFStock[TTAF_Qty],T_TTAFStock[RM_Code],$A1392,T_TTAFStock[WeekIndex],102),"")</f>
        <v/>
      </c>
      <c r="DC1408">
        <f>IFERROR(SUMIFS(T_TTAFStock[TTAF_Qty],T_TTAFStock[RM_Code],$A1392,T_TTAFStock[WeekIndex],103),"")</f>
        <v/>
      </c>
      <c r="DD1408">
        <f>IFERROR(SUMIFS(T_TTAFStock[TTAF_Qty],T_TTAFStock[RM_Code],$A1392,T_TTAFStock[WeekIndex],104),"")</f>
        <v/>
      </c>
    </row>
    <row r="1409">
      <c r="B1409" t="inlineStr">
        <is>
          <t>自社在庫(実績,kg)</t>
        </is>
      </c>
      <c r="D1409">
        <f>IFERROR(INDEX(E1409:DD1409,$F$1),"")</f>
        <v/>
      </c>
      <c r="E1409">
        <f>IFERROR(SUMIFS(T_SelfStock[Self_Qty],T_SelfStock[RM_Code],$A1392,T_SelfStock[WeekIndex],1),"")</f>
        <v/>
      </c>
      <c r="F1409">
        <f>IFERROR(SUMIFS(T_SelfStock[Self_Qty],T_SelfStock[RM_Code],$A1392,T_SelfStock[WeekIndex],2),"")</f>
        <v/>
      </c>
      <c r="G1409">
        <f>IFERROR(SUMIFS(T_SelfStock[Self_Qty],T_SelfStock[RM_Code],$A1392,T_SelfStock[WeekIndex],3),"")</f>
        <v/>
      </c>
      <c r="H1409">
        <f>IFERROR(SUMIFS(T_SelfStock[Self_Qty],T_SelfStock[RM_Code],$A1392,T_SelfStock[WeekIndex],4),"")</f>
        <v/>
      </c>
      <c r="I1409">
        <f>IFERROR(SUMIFS(T_SelfStock[Self_Qty],T_SelfStock[RM_Code],$A1392,T_SelfStock[WeekIndex],5),"")</f>
        <v/>
      </c>
      <c r="J1409">
        <f>IFERROR(SUMIFS(T_SelfStock[Self_Qty],T_SelfStock[RM_Code],$A1392,T_SelfStock[WeekIndex],6),"")</f>
        <v/>
      </c>
      <c r="K1409">
        <f>IFERROR(SUMIFS(T_SelfStock[Self_Qty],T_SelfStock[RM_Code],$A1392,T_SelfStock[WeekIndex],7),"")</f>
        <v/>
      </c>
      <c r="L1409">
        <f>IFERROR(SUMIFS(T_SelfStock[Self_Qty],T_SelfStock[RM_Code],$A1392,T_SelfStock[WeekIndex],8),"")</f>
        <v/>
      </c>
      <c r="M1409">
        <f>IFERROR(SUMIFS(T_SelfStock[Self_Qty],T_SelfStock[RM_Code],$A1392,T_SelfStock[WeekIndex],9),"")</f>
        <v/>
      </c>
      <c r="N1409">
        <f>IFERROR(SUMIFS(T_SelfStock[Self_Qty],T_SelfStock[RM_Code],$A1392,T_SelfStock[WeekIndex],10),"")</f>
        <v/>
      </c>
      <c r="O1409">
        <f>IFERROR(SUMIFS(T_SelfStock[Self_Qty],T_SelfStock[RM_Code],$A1392,T_SelfStock[WeekIndex],11),"")</f>
        <v/>
      </c>
      <c r="P1409">
        <f>IFERROR(SUMIFS(T_SelfStock[Self_Qty],T_SelfStock[RM_Code],$A1392,T_SelfStock[WeekIndex],12),"")</f>
        <v/>
      </c>
      <c r="Q1409">
        <f>IFERROR(SUMIFS(T_SelfStock[Self_Qty],T_SelfStock[RM_Code],$A1392,T_SelfStock[WeekIndex],13),"")</f>
        <v/>
      </c>
      <c r="R1409">
        <f>IFERROR(SUMIFS(T_SelfStock[Self_Qty],T_SelfStock[RM_Code],$A1392,T_SelfStock[WeekIndex],14),"")</f>
        <v/>
      </c>
      <c r="S1409">
        <f>IFERROR(SUMIFS(T_SelfStock[Self_Qty],T_SelfStock[RM_Code],$A1392,T_SelfStock[WeekIndex],15),"")</f>
        <v/>
      </c>
      <c r="T1409">
        <f>IFERROR(SUMIFS(T_SelfStock[Self_Qty],T_SelfStock[RM_Code],$A1392,T_SelfStock[WeekIndex],16),"")</f>
        <v/>
      </c>
      <c r="U1409">
        <f>IFERROR(SUMIFS(T_SelfStock[Self_Qty],T_SelfStock[RM_Code],$A1392,T_SelfStock[WeekIndex],17),"")</f>
        <v/>
      </c>
      <c r="V1409">
        <f>IFERROR(SUMIFS(T_SelfStock[Self_Qty],T_SelfStock[RM_Code],$A1392,T_SelfStock[WeekIndex],18),"")</f>
        <v/>
      </c>
      <c r="W1409">
        <f>IFERROR(SUMIFS(T_SelfStock[Self_Qty],T_SelfStock[RM_Code],$A1392,T_SelfStock[WeekIndex],19),"")</f>
        <v/>
      </c>
      <c r="X1409">
        <f>IFERROR(SUMIFS(T_SelfStock[Self_Qty],T_SelfStock[RM_Code],$A1392,T_SelfStock[WeekIndex],20),"")</f>
        <v/>
      </c>
      <c r="Y1409">
        <f>IFERROR(SUMIFS(T_SelfStock[Self_Qty],T_SelfStock[RM_Code],$A1392,T_SelfStock[WeekIndex],21),"")</f>
        <v/>
      </c>
      <c r="Z1409">
        <f>IFERROR(SUMIFS(T_SelfStock[Self_Qty],T_SelfStock[RM_Code],$A1392,T_SelfStock[WeekIndex],22),"")</f>
        <v/>
      </c>
      <c r="AA1409">
        <f>IFERROR(SUMIFS(T_SelfStock[Self_Qty],T_SelfStock[RM_Code],$A1392,T_SelfStock[WeekIndex],23),"")</f>
        <v/>
      </c>
      <c r="AB1409">
        <f>IFERROR(SUMIFS(T_SelfStock[Self_Qty],T_SelfStock[RM_Code],$A1392,T_SelfStock[WeekIndex],24),"")</f>
        <v/>
      </c>
      <c r="AC1409">
        <f>IFERROR(SUMIFS(T_SelfStock[Self_Qty],T_SelfStock[RM_Code],$A1392,T_SelfStock[WeekIndex],25),"")</f>
        <v/>
      </c>
      <c r="AD1409">
        <f>IFERROR(SUMIFS(T_SelfStock[Self_Qty],T_SelfStock[RM_Code],$A1392,T_SelfStock[WeekIndex],26),"")</f>
        <v/>
      </c>
      <c r="AE1409">
        <f>IFERROR(SUMIFS(T_SelfStock[Self_Qty],T_SelfStock[RM_Code],$A1392,T_SelfStock[WeekIndex],27),"")</f>
        <v/>
      </c>
      <c r="AF1409">
        <f>IFERROR(SUMIFS(T_SelfStock[Self_Qty],T_SelfStock[RM_Code],$A1392,T_SelfStock[WeekIndex],28),"")</f>
        <v/>
      </c>
      <c r="AG1409">
        <f>IFERROR(SUMIFS(T_SelfStock[Self_Qty],T_SelfStock[RM_Code],$A1392,T_SelfStock[WeekIndex],29),"")</f>
        <v/>
      </c>
      <c r="AH1409">
        <f>IFERROR(SUMIFS(T_SelfStock[Self_Qty],T_SelfStock[RM_Code],$A1392,T_SelfStock[WeekIndex],30),"")</f>
        <v/>
      </c>
      <c r="AI1409">
        <f>IFERROR(SUMIFS(T_SelfStock[Self_Qty],T_SelfStock[RM_Code],$A1392,T_SelfStock[WeekIndex],31),"")</f>
        <v/>
      </c>
      <c r="AJ1409">
        <f>IFERROR(SUMIFS(T_SelfStock[Self_Qty],T_SelfStock[RM_Code],$A1392,T_SelfStock[WeekIndex],32),"")</f>
        <v/>
      </c>
      <c r="AK1409">
        <f>IFERROR(SUMIFS(T_SelfStock[Self_Qty],T_SelfStock[RM_Code],$A1392,T_SelfStock[WeekIndex],33),"")</f>
        <v/>
      </c>
      <c r="AL1409">
        <f>IFERROR(SUMIFS(T_SelfStock[Self_Qty],T_SelfStock[RM_Code],$A1392,T_SelfStock[WeekIndex],34),"")</f>
        <v/>
      </c>
      <c r="AM1409">
        <f>IFERROR(SUMIFS(T_SelfStock[Self_Qty],T_SelfStock[RM_Code],$A1392,T_SelfStock[WeekIndex],35),"")</f>
        <v/>
      </c>
      <c r="AN1409">
        <f>IFERROR(SUMIFS(T_SelfStock[Self_Qty],T_SelfStock[RM_Code],$A1392,T_SelfStock[WeekIndex],36),"")</f>
        <v/>
      </c>
      <c r="AO1409">
        <f>IFERROR(SUMIFS(T_SelfStock[Self_Qty],T_SelfStock[RM_Code],$A1392,T_SelfStock[WeekIndex],37),"")</f>
        <v/>
      </c>
      <c r="AP1409">
        <f>IFERROR(SUMIFS(T_SelfStock[Self_Qty],T_SelfStock[RM_Code],$A1392,T_SelfStock[WeekIndex],38),"")</f>
        <v/>
      </c>
      <c r="AQ1409">
        <f>IFERROR(SUMIFS(T_SelfStock[Self_Qty],T_SelfStock[RM_Code],$A1392,T_SelfStock[WeekIndex],39),"")</f>
        <v/>
      </c>
      <c r="AR1409">
        <f>IFERROR(SUMIFS(T_SelfStock[Self_Qty],T_SelfStock[RM_Code],$A1392,T_SelfStock[WeekIndex],40),"")</f>
        <v/>
      </c>
      <c r="AS1409">
        <f>IFERROR(SUMIFS(T_SelfStock[Self_Qty],T_SelfStock[RM_Code],$A1392,T_SelfStock[WeekIndex],41),"")</f>
        <v/>
      </c>
      <c r="AT1409">
        <f>IFERROR(SUMIFS(T_SelfStock[Self_Qty],T_SelfStock[RM_Code],$A1392,T_SelfStock[WeekIndex],42),"")</f>
        <v/>
      </c>
      <c r="AU1409">
        <f>IFERROR(SUMIFS(T_SelfStock[Self_Qty],T_SelfStock[RM_Code],$A1392,T_SelfStock[WeekIndex],43),"")</f>
        <v/>
      </c>
      <c r="AV1409">
        <f>IFERROR(SUMIFS(T_SelfStock[Self_Qty],T_SelfStock[RM_Code],$A1392,T_SelfStock[WeekIndex],44),"")</f>
        <v/>
      </c>
      <c r="AW1409">
        <f>IFERROR(SUMIFS(T_SelfStock[Self_Qty],T_SelfStock[RM_Code],$A1392,T_SelfStock[WeekIndex],45),"")</f>
        <v/>
      </c>
      <c r="AX1409">
        <f>IFERROR(SUMIFS(T_SelfStock[Self_Qty],T_SelfStock[RM_Code],$A1392,T_SelfStock[WeekIndex],46),"")</f>
        <v/>
      </c>
      <c r="AY1409">
        <f>IFERROR(SUMIFS(T_SelfStock[Self_Qty],T_SelfStock[RM_Code],$A1392,T_SelfStock[WeekIndex],47),"")</f>
        <v/>
      </c>
      <c r="AZ1409">
        <f>IFERROR(SUMIFS(T_SelfStock[Self_Qty],T_SelfStock[RM_Code],$A1392,T_SelfStock[WeekIndex],48),"")</f>
        <v/>
      </c>
      <c r="BA1409">
        <f>IFERROR(SUMIFS(T_SelfStock[Self_Qty],T_SelfStock[RM_Code],$A1392,T_SelfStock[WeekIndex],49),"")</f>
        <v/>
      </c>
      <c r="BB1409">
        <f>IFERROR(SUMIFS(T_SelfStock[Self_Qty],T_SelfStock[RM_Code],$A1392,T_SelfStock[WeekIndex],50),"")</f>
        <v/>
      </c>
      <c r="BC1409">
        <f>IFERROR(SUMIFS(T_SelfStock[Self_Qty],T_SelfStock[RM_Code],$A1392,T_SelfStock[WeekIndex],51),"")</f>
        <v/>
      </c>
      <c r="BD1409">
        <f>IFERROR(SUMIFS(T_SelfStock[Self_Qty],T_SelfStock[RM_Code],$A1392,T_SelfStock[WeekIndex],52),"")</f>
        <v/>
      </c>
      <c r="BE1409">
        <f>IFERROR(SUMIFS(T_SelfStock[Self_Qty],T_SelfStock[RM_Code],$A1392,T_SelfStock[WeekIndex],53),"")</f>
        <v/>
      </c>
      <c r="BF1409">
        <f>IFERROR(SUMIFS(T_SelfStock[Self_Qty],T_SelfStock[RM_Code],$A1392,T_SelfStock[WeekIndex],54),"")</f>
        <v/>
      </c>
      <c r="BG1409">
        <f>IFERROR(SUMIFS(T_SelfStock[Self_Qty],T_SelfStock[RM_Code],$A1392,T_SelfStock[WeekIndex],55),"")</f>
        <v/>
      </c>
      <c r="BH1409">
        <f>IFERROR(SUMIFS(T_SelfStock[Self_Qty],T_SelfStock[RM_Code],$A1392,T_SelfStock[WeekIndex],56),"")</f>
        <v/>
      </c>
      <c r="BI1409">
        <f>IFERROR(SUMIFS(T_SelfStock[Self_Qty],T_SelfStock[RM_Code],$A1392,T_SelfStock[WeekIndex],57),"")</f>
        <v/>
      </c>
      <c r="BJ1409">
        <f>IFERROR(SUMIFS(T_SelfStock[Self_Qty],T_SelfStock[RM_Code],$A1392,T_SelfStock[WeekIndex],58),"")</f>
        <v/>
      </c>
      <c r="BK1409">
        <f>IFERROR(SUMIFS(T_SelfStock[Self_Qty],T_SelfStock[RM_Code],$A1392,T_SelfStock[WeekIndex],59),"")</f>
        <v/>
      </c>
      <c r="BL1409">
        <f>IFERROR(SUMIFS(T_SelfStock[Self_Qty],T_SelfStock[RM_Code],$A1392,T_SelfStock[WeekIndex],60),"")</f>
        <v/>
      </c>
      <c r="BM1409">
        <f>IFERROR(SUMIFS(T_SelfStock[Self_Qty],T_SelfStock[RM_Code],$A1392,T_SelfStock[WeekIndex],61),"")</f>
        <v/>
      </c>
      <c r="BN1409">
        <f>IFERROR(SUMIFS(T_SelfStock[Self_Qty],T_SelfStock[RM_Code],$A1392,T_SelfStock[WeekIndex],62),"")</f>
        <v/>
      </c>
      <c r="BO1409">
        <f>IFERROR(SUMIFS(T_SelfStock[Self_Qty],T_SelfStock[RM_Code],$A1392,T_SelfStock[WeekIndex],63),"")</f>
        <v/>
      </c>
      <c r="BP1409">
        <f>IFERROR(SUMIFS(T_SelfStock[Self_Qty],T_SelfStock[RM_Code],$A1392,T_SelfStock[WeekIndex],64),"")</f>
        <v/>
      </c>
      <c r="BQ1409">
        <f>IFERROR(SUMIFS(T_SelfStock[Self_Qty],T_SelfStock[RM_Code],$A1392,T_SelfStock[WeekIndex],65),"")</f>
        <v/>
      </c>
      <c r="BR1409">
        <f>IFERROR(SUMIFS(T_SelfStock[Self_Qty],T_SelfStock[RM_Code],$A1392,T_SelfStock[WeekIndex],66),"")</f>
        <v/>
      </c>
      <c r="BS1409">
        <f>IFERROR(SUMIFS(T_SelfStock[Self_Qty],T_SelfStock[RM_Code],$A1392,T_SelfStock[WeekIndex],67),"")</f>
        <v/>
      </c>
      <c r="BT1409">
        <f>IFERROR(SUMIFS(T_SelfStock[Self_Qty],T_SelfStock[RM_Code],$A1392,T_SelfStock[WeekIndex],68),"")</f>
        <v/>
      </c>
      <c r="BU1409">
        <f>IFERROR(SUMIFS(T_SelfStock[Self_Qty],T_SelfStock[RM_Code],$A1392,T_SelfStock[WeekIndex],69),"")</f>
        <v/>
      </c>
      <c r="BV1409">
        <f>IFERROR(SUMIFS(T_SelfStock[Self_Qty],T_SelfStock[RM_Code],$A1392,T_SelfStock[WeekIndex],70),"")</f>
        <v/>
      </c>
      <c r="BW1409">
        <f>IFERROR(SUMIFS(T_SelfStock[Self_Qty],T_SelfStock[RM_Code],$A1392,T_SelfStock[WeekIndex],71),"")</f>
        <v/>
      </c>
      <c r="BX1409">
        <f>IFERROR(SUMIFS(T_SelfStock[Self_Qty],T_SelfStock[RM_Code],$A1392,T_SelfStock[WeekIndex],72),"")</f>
        <v/>
      </c>
      <c r="BY1409">
        <f>IFERROR(SUMIFS(T_SelfStock[Self_Qty],T_SelfStock[RM_Code],$A1392,T_SelfStock[WeekIndex],73),"")</f>
        <v/>
      </c>
      <c r="BZ1409">
        <f>IFERROR(SUMIFS(T_SelfStock[Self_Qty],T_SelfStock[RM_Code],$A1392,T_SelfStock[WeekIndex],74),"")</f>
        <v/>
      </c>
      <c r="CA1409">
        <f>IFERROR(SUMIFS(T_SelfStock[Self_Qty],T_SelfStock[RM_Code],$A1392,T_SelfStock[WeekIndex],75),"")</f>
        <v/>
      </c>
      <c r="CB1409">
        <f>IFERROR(SUMIFS(T_SelfStock[Self_Qty],T_SelfStock[RM_Code],$A1392,T_SelfStock[WeekIndex],76),"")</f>
        <v/>
      </c>
      <c r="CC1409">
        <f>IFERROR(SUMIFS(T_SelfStock[Self_Qty],T_SelfStock[RM_Code],$A1392,T_SelfStock[WeekIndex],77),"")</f>
        <v/>
      </c>
      <c r="CD1409">
        <f>IFERROR(SUMIFS(T_SelfStock[Self_Qty],T_SelfStock[RM_Code],$A1392,T_SelfStock[WeekIndex],78),"")</f>
        <v/>
      </c>
      <c r="CE1409">
        <f>IFERROR(SUMIFS(T_SelfStock[Self_Qty],T_SelfStock[RM_Code],$A1392,T_SelfStock[WeekIndex],79),"")</f>
        <v/>
      </c>
      <c r="CF1409">
        <f>IFERROR(SUMIFS(T_SelfStock[Self_Qty],T_SelfStock[RM_Code],$A1392,T_SelfStock[WeekIndex],80),"")</f>
        <v/>
      </c>
      <c r="CG1409">
        <f>IFERROR(SUMIFS(T_SelfStock[Self_Qty],T_SelfStock[RM_Code],$A1392,T_SelfStock[WeekIndex],81),"")</f>
        <v/>
      </c>
      <c r="CH1409">
        <f>IFERROR(SUMIFS(T_SelfStock[Self_Qty],T_SelfStock[RM_Code],$A1392,T_SelfStock[WeekIndex],82),"")</f>
        <v/>
      </c>
      <c r="CI1409">
        <f>IFERROR(SUMIFS(T_SelfStock[Self_Qty],T_SelfStock[RM_Code],$A1392,T_SelfStock[WeekIndex],83),"")</f>
        <v/>
      </c>
      <c r="CJ1409">
        <f>IFERROR(SUMIFS(T_SelfStock[Self_Qty],T_SelfStock[RM_Code],$A1392,T_SelfStock[WeekIndex],84),"")</f>
        <v/>
      </c>
      <c r="CK1409">
        <f>IFERROR(SUMIFS(T_SelfStock[Self_Qty],T_SelfStock[RM_Code],$A1392,T_SelfStock[WeekIndex],85),"")</f>
        <v/>
      </c>
      <c r="CL1409">
        <f>IFERROR(SUMIFS(T_SelfStock[Self_Qty],T_SelfStock[RM_Code],$A1392,T_SelfStock[WeekIndex],86),"")</f>
        <v/>
      </c>
      <c r="CM1409">
        <f>IFERROR(SUMIFS(T_SelfStock[Self_Qty],T_SelfStock[RM_Code],$A1392,T_SelfStock[WeekIndex],87),"")</f>
        <v/>
      </c>
      <c r="CN1409">
        <f>IFERROR(SUMIFS(T_SelfStock[Self_Qty],T_SelfStock[RM_Code],$A1392,T_SelfStock[WeekIndex],88),"")</f>
        <v/>
      </c>
      <c r="CO1409">
        <f>IFERROR(SUMIFS(T_SelfStock[Self_Qty],T_SelfStock[RM_Code],$A1392,T_SelfStock[WeekIndex],89),"")</f>
        <v/>
      </c>
      <c r="CP1409">
        <f>IFERROR(SUMIFS(T_SelfStock[Self_Qty],T_SelfStock[RM_Code],$A1392,T_SelfStock[WeekIndex],90),"")</f>
        <v/>
      </c>
      <c r="CQ1409">
        <f>IFERROR(SUMIFS(T_SelfStock[Self_Qty],T_SelfStock[RM_Code],$A1392,T_SelfStock[WeekIndex],91),"")</f>
        <v/>
      </c>
      <c r="CR1409">
        <f>IFERROR(SUMIFS(T_SelfStock[Self_Qty],T_SelfStock[RM_Code],$A1392,T_SelfStock[WeekIndex],92),"")</f>
        <v/>
      </c>
      <c r="CS1409">
        <f>IFERROR(SUMIFS(T_SelfStock[Self_Qty],T_SelfStock[RM_Code],$A1392,T_SelfStock[WeekIndex],93),"")</f>
        <v/>
      </c>
      <c r="CT1409">
        <f>IFERROR(SUMIFS(T_SelfStock[Self_Qty],T_SelfStock[RM_Code],$A1392,T_SelfStock[WeekIndex],94),"")</f>
        <v/>
      </c>
      <c r="CU1409">
        <f>IFERROR(SUMIFS(T_SelfStock[Self_Qty],T_SelfStock[RM_Code],$A1392,T_SelfStock[WeekIndex],95),"")</f>
        <v/>
      </c>
      <c r="CV1409">
        <f>IFERROR(SUMIFS(T_SelfStock[Self_Qty],T_SelfStock[RM_Code],$A1392,T_SelfStock[WeekIndex],96),"")</f>
        <v/>
      </c>
      <c r="CW1409">
        <f>IFERROR(SUMIFS(T_SelfStock[Self_Qty],T_SelfStock[RM_Code],$A1392,T_SelfStock[WeekIndex],97),"")</f>
        <v/>
      </c>
      <c r="CX1409">
        <f>IFERROR(SUMIFS(T_SelfStock[Self_Qty],T_SelfStock[RM_Code],$A1392,T_SelfStock[WeekIndex],98),"")</f>
        <v/>
      </c>
      <c r="CY1409">
        <f>IFERROR(SUMIFS(T_SelfStock[Self_Qty],T_SelfStock[RM_Code],$A1392,T_SelfStock[WeekIndex],99),"")</f>
        <v/>
      </c>
      <c r="CZ1409">
        <f>IFERROR(SUMIFS(T_SelfStock[Self_Qty],T_SelfStock[RM_Code],$A1392,T_SelfStock[WeekIndex],100),"")</f>
        <v/>
      </c>
      <c r="DA1409">
        <f>IFERROR(SUMIFS(T_SelfStock[Self_Qty],T_SelfStock[RM_Code],$A1392,T_SelfStock[WeekIndex],101),"")</f>
        <v/>
      </c>
      <c r="DB1409">
        <f>IFERROR(SUMIFS(T_SelfStock[Self_Qty],T_SelfStock[RM_Code],$A1392,T_SelfStock[WeekIndex],102),"")</f>
        <v/>
      </c>
      <c r="DC1409">
        <f>IFERROR(SUMIFS(T_SelfStock[Self_Qty],T_SelfStock[RM_Code],$A1392,T_SelfStock[WeekIndex],103),"")</f>
        <v/>
      </c>
      <c r="DD1409">
        <f>IFERROR(SUMIFS(T_SelfStock[Self_Qty],T_SelfStock[RM_Code],$A1392,T_SelfStock[WeekIndex],104),"")</f>
        <v/>
      </c>
    </row>
    <row r="1410">
      <c r="B1410" s="4" t="inlineStr">
        <is>
          <t>合計在庫(週末時点,kg)</t>
        </is>
      </c>
      <c r="D1410" s="24">
        <f>IFERROR(INDEX(E1410:DD1410,$F$1),"")</f>
        <v/>
      </c>
      <c r="E1410">
        <f>'Grid_Stock'!B56</f>
        <v/>
      </c>
      <c r="F1410">
        <f>'Grid_Stock'!C56</f>
        <v/>
      </c>
      <c r="G1410">
        <f>'Grid_Stock'!D56</f>
        <v/>
      </c>
      <c r="H1410">
        <f>'Grid_Stock'!E56</f>
        <v/>
      </c>
      <c r="I1410">
        <f>'Grid_Stock'!F56</f>
        <v/>
      </c>
      <c r="J1410">
        <f>'Grid_Stock'!G56</f>
        <v/>
      </c>
      <c r="K1410">
        <f>'Grid_Stock'!H56</f>
        <v/>
      </c>
      <c r="L1410">
        <f>'Grid_Stock'!I56</f>
        <v/>
      </c>
      <c r="M1410">
        <f>'Grid_Stock'!J56</f>
        <v/>
      </c>
      <c r="N1410">
        <f>'Grid_Stock'!K56</f>
        <v/>
      </c>
      <c r="O1410">
        <f>'Grid_Stock'!L56</f>
        <v/>
      </c>
      <c r="P1410">
        <f>'Grid_Stock'!M56</f>
        <v/>
      </c>
      <c r="Q1410">
        <f>'Grid_Stock'!N56</f>
        <v/>
      </c>
      <c r="R1410">
        <f>'Grid_Stock'!O56</f>
        <v/>
      </c>
      <c r="S1410">
        <f>'Grid_Stock'!P56</f>
        <v/>
      </c>
      <c r="T1410">
        <f>'Grid_Stock'!Q56</f>
        <v/>
      </c>
      <c r="U1410">
        <f>'Grid_Stock'!R56</f>
        <v/>
      </c>
      <c r="V1410">
        <f>'Grid_Stock'!S56</f>
        <v/>
      </c>
      <c r="W1410">
        <f>'Grid_Stock'!T56</f>
        <v/>
      </c>
      <c r="X1410">
        <f>'Grid_Stock'!U56</f>
        <v/>
      </c>
      <c r="Y1410">
        <f>'Grid_Stock'!V56</f>
        <v/>
      </c>
      <c r="Z1410">
        <f>'Grid_Stock'!W56</f>
        <v/>
      </c>
      <c r="AA1410">
        <f>'Grid_Stock'!X56</f>
        <v/>
      </c>
      <c r="AB1410">
        <f>'Grid_Stock'!Y56</f>
        <v/>
      </c>
      <c r="AC1410">
        <f>'Grid_Stock'!Z56</f>
        <v/>
      </c>
      <c r="AD1410">
        <f>'Grid_Stock'!AA56</f>
        <v/>
      </c>
      <c r="AE1410">
        <f>'Grid_Stock'!AB56</f>
        <v/>
      </c>
      <c r="AF1410">
        <f>'Grid_Stock'!AC56</f>
        <v/>
      </c>
      <c r="AG1410">
        <f>'Grid_Stock'!AD56</f>
        <v/>
      </c>
      <c r="AH1410">
        <f>'Grid_Stock'!AE56</f>
        <v/>
      </c>
      <c r="AI1410">
        <f>'Grid_Stock'!AF56</f>
        <v/>
      </c>
      <c r="AJ1410">
        <f>'Grid_Stock'!AG56</f>
        <v/>
      </c>
      <c r="AK1410">
        <f>'Grid_Stock'!AH56</f>
        <v/>
      </c>
      <c r="AL1410">
        <f>'Grid_Stock'!AI56</f>
        <v/>
      </c>
      <c r="AM1410">
        <f>'Grid_Stock'!AJ56</f>
        <v/>
      </c>
      <c r="AN1410">
        <f>'Grid_Stock'!AK56</f>
        <v/>
      </c>
      <c r="AO1410">
        <f>'Grid_Stock'!AL56</f>
        <v/>
      </c>
      <c r="AP1410">
        <f>'Grid_Stock'!AM56</f>
        <v/>
      </c>
      <c r="AQ1410">
        <f>'Grid_Stock'!AN56</f>
        <v/>
      </c>
      <c r="AR1410">
        <f>'Grid_Stock'!AO56</f>
        <v/>
      </c>
      <c r="AS1410">
        <f>'Grid_Stock'!AP56</f>
        <v/>
      </c>
      <c r="AT1410">
        <f>'Grid_Stock'!AQ56</f>
        <v/>
      </c>
      <c r="AU1410">
        <f>'Grid_Stock'!AR56</f>
        <v/>
      </c>
      <c r="AV1410">
        <f>'Grid_Stock'!AS56</f>
        <v/>
      </c>
      <c r="AW1410">
        <f>'Grid_Stock'!AT56</f>
        <v/>
      </c>
      <c r="AX1410">
        <f>'Grid_Stock'!AU56</f>
        <v/>
      </c>
      <c r="AY1410">
        <f>'Grid_Stock'!AV56</f>
        <v/>
      </c>
      <c r="AZ1410">
        <f>'Grid_Stock'!AW56</f>
        <v/>
      </c>
      <c r="BA1410">
        <f>'Grid_Stock'!AX56</f>
        <v/>
      </c>
      <c r="BB1410">
        <f>'Grid_Stock'!AY56</f>
        <v/>
      </c>
      <c r="BC1410">
        <f>'Grid_Stock'!AZ56</f>
        <v/>
      </c>
      <c r="BD1410">
        <f>'Grid_Stock'!BA56</f>
        <v/>
      </c>
      <c r="BE1410">
        <f>'Grid_Stock'!BB56</f>
        <v/>
      </c>
      <c r="BF1410">
        <f>'Grid_Stock'!BC56</f>
        <v/>
      </c>
      <c r="BG1410">
        <f>'Grid_Stock'!BD56</f>
        <v/>
      </c>
      <c r="BH1410">
        <f>'Grid_Stock'!BE56</f>
        <v/>
      </c>
      <c r="BI1410">
        <f>'Grid_Stock'!BF56</f>
        <v/>
      </c>
      <c r="BJ1410">
        <f>'Grid_Stock'!BG56</f>
        <v/>
      </c>
      <c r="BK1410">
        <f>'Grid_Stock'!BH56</f>
        <v/>
      </c>
      <c r="BL1410">
        <f>'Grid_Stock'!BI56</f>
        <v/>
      </c>
      <c r="BM1410">
        <f>'Grid_Stock'!BJ56</f>
        <v/>
      </c>
      <c r="BN1410">
        <f>'Grid_Stock'!BK56</f>
        <v/>
      </c>
      <c r="BO1410">
        <f>'Grid_Stock'!BL56</f>
        <v/>
      </c>
      <c r="BP1410">
        <f>'Grid_Stock'!BM56</f>
        <v/>
      </c>
      <c r="BQ1410">
        <f>'Grid_Stock'!BN56</f>
        <v/>
      </c>
      <c r="BR1410">
        <f>'Grid_Stock'!BO56</f>
        <v/>
      </c>
      <c r="BS1410">
        <f>'Grid_Stock'!BP56</f>
        <v/>
      </c>
      <c r="BT1410">
        <f>'Grid_Stock'!BQ56</f>
        <v/>
      </c>
      <c r="BU1410">
        <f>'Grid_Stock'!BR56</f>
        <v/>
      </c>
      <c r="BV1410">
        <f>'Grid_Stock'!BS56</f>
        <v/>
      </c>
      <c r="BW1410">
        <f>'Grid_Stock'!BT56</f>
        <v/>
      </c>
      <c r="BX1410">
        <f>'Grid_Stock'!BU56</f>
        <v/>
      </c>
      <c r="BY1410">
        <f>'Grid_Stock'!BV56</f>
        <v/>
      </c>
      <c r="BZ1410">
        <f>'Grid_Stock'!BW56</f>
        <v/>
      </c>
      <c r="CA1410">
        <f>'Grid_Stock'!BX56</f>
        <v/>
      </c>
      <c r="CB1410">
        <f>'Grid_Stock'!BY56</f>
        <v/>
      </c>
      <c r="CC1410">
        <f>'Grid_Stock'!BZ56</f>
        <v/>
      </c>
      <c r="CD1410">
        <f>'Grid_Stock'!CA56</f>
        <v/>
      </c>
      <c r="CE1410">
        <f>'Grid_Stock'!CB56</f>
        <v/>
      </c>
      <c r="CF1410">
        <f>'Grid_Stock'!CC56</f>
        <v/>
      </c>
      <c r="CG1410">
        <f>'Grid_Stock'!CD56</f>
        <v/>
      </c>
      <c r="CH1410">
        <f>'Grid_Stock'!CE56</f>
        <v/>
      </c>
      <c r="CI1410">
        <f>'Grid_Stock'!CF56</f>
        <v/>
      </c>
      <c r="CJ1410">
        <f>'Grid_Stock'!CG56</f>
        <v/>
      </c>
      <c r="CK1410">
        <f>'Grid_Stock'!CH56</f>
        <v/>
      </c>
      <c r="CL1410">
        <f>'Grid_Stock'!CI56</f>
        <v/>
      </c>
      <c r="CM1410">
        <f>'Grid_Stock'!CJ56</f>
        <v/>
      </c>
      <c r="CN1410">
        <f>'Grid_Stock'!CK56</f>
        <v/>
      </c>
      <c r="CO1410">
        <f>'Grid_Stock'!CL56</f>
        <v/>
      </c>
      <c r="CP1410">
        <f>'Grid_Stock'!CM56</f>
        <v/>
      </c>
      <c r="CQ1410">
        <f>'Grid_Stock'!CN56</f>
        <v/>
      </c>
      <c r="CR1410">
        <f>'Grid_Stock'!CO56</f>
        <v/>
      </c>
      <c r="CS1410">
        <f>'Grid_Stock'!CP56</f>
        <v/>
      </c>
      <c r="CT1410">
        <f>'Grid_Stock'!CQ56</f>
        <v/>
      </c>
      <c r="CU1410">
        <f>'Grid_Stock'!CR56</f>
        <v/>
      </c>
      <c r="CV1410">
        <f>'Grid_Stock'!CS56</f>
        <v/>
      </c>
      <c r="CW1410">
        <f>'Grid_Stock'!CT56</f>
        <v/>
      </c>
      <c r="CX1410">
        <f>'Grid_Stock'!CU56</f>
        <v/>
      </c>
      <c r="CY1410">
        <f>'Grid_Stock'!CV56</f>
        <v/>
      </c>
      <c r="CZ1410">
        <f>'Grid_Stock'!CW56</f>
        <v/>
      </c>
      <c r="DA1410">
        <f>'Grid_Stock'!CX56</f>
        <v/>
      </c>
      <c r="DB1410">
        <f>'Grid_Stock'!CY56</f>
        <v/>
      </c>
      <c r="DC1410">
        <f>'Grid_Stock'!CZ56</f>
        <v/>
      </c>
      <c r="DD1410">
        <f>'Grid_Stock'!DA56</f>
        <v/>
      </c>
    </row>
    <row r="1411">
      <c r="B1411" s="25" t="inlineStr">
        <is>
          <t>（発注の目安はDashboardの基準在庫[下限/上限]と色分けを参照）</t>
        </is>
      </c>
    </row>
    <row r="1413">
      <c r="A1413" s="21" t="inlineStr">
        <is>
          <t>CHEM-1700</t>
        </is>
      </c>
      <c r="B1413" s="21" t="inlineStr">
        <is>
          <t>TepyrusCT38</t>
        </is>
      </c>
      <c r="C1413" s="22" t="n"/>
      <c r="D1413" s="21" t="n"/>
      <c r="E1413" s="21" t="n"/>
      <c r="F1413" s="21" t="n"/>
      <c r="G1413" s="21" t="n"/>
      <c r="H1413" s="21" t="n"/>
      <c r="I1413" s="21" t="n"/>
      <c r="J1413" s="21" t="n"/>
      <c r="K1413" s="21" t="n"/>
      <c r="L1413" s="21" t="n"/>
      <c r="M1413" s="21" t="n"/>
      <c r="N1413" s="21" t="n"/>
      <c r="O1413" s="21" t="n"/>
      <c r="P1413" s="21" t="n"/>
      <c r="Q1413" s="21" t="n"/>
      <c r="R1413" s="21" t="n"/>
      <c r="S1413" s="21" t="n"/>
      <c r="T1413" s="21" t="n"/>
      <c r="U1413" s="21" t="n"/>
      <c r="V1413" s="21" t="n"/>
      <c r="W1413" s="21" t="n"/>
      <c r="X1413" s="21" t="n"/>
      <c r="Y1413" s="21" t="n"/>
      <c r="Z1413" s="21" t="n"/>
      <c r="AA1413" s="21" t="n"/>
      <c r="AB1413" s="21" t="n"/>
      <c r="AC1413" s="21" t="n"/>
      <c r="AD1413" s="21" t="n"/>
      <c r="AE1413" s="21" t="n"/>
      <c r="AF1413" s="21" t="n"/>
      <c r="AG1413" s="21" t="n"/>
      <c r="AH1413" s="21" t="n"/>
      <c r="AI1413" s="21" t="n"/>
      <c r="AJ1413" s="21" t="n"/>
      <c r="AK1413" s="21" t="n"/>
      <c r="AL1413" s="21" t="n"/>
      <c r="AM1413" s="21" t="n"/>
      <c r="AN1413" s="21" t="n"/>
      <c r="AO1413" s="21" t="n"/>
      <c r="AP1413" s="21" t="n"/>
      <c r="AQ1413" s="21" t="n"/>
      <c r="AR1413" s="21" t="n"/>
      <c r="AS1413" s="21" t="n"/>
      <c r="AT1413" s="21" t="n"/>
      <c r="AU1413" s="21" t="n"/>
      <c r="AV1413" s="21" t="n"/>
      <c r="AW1413" s="21" t="n"/>
      <c r="AX1413" s="21" t="n"/>
      <c r="AY1413" s="21" t="n"/>
      <c r="AZ1413" s="21" t="n"/>
      <c r="BA1413" s="21" t="n"/>
      <c r="BB1413" s="21" t="n"/>
      <c r="BC1413" s="21" t="n"/>
      <c r="BD1413" s="21" t="n"/>
      <c r="BE1413" s="21" t="n"/>
      <c r="BF1413" s="21" t="n"/>
      <c r="BG1413" s="21" t="n"/>
      <c r="BH1413" s="21" t="n"/>
      <c r="BI1413" s="21" t="n"/>
      <c r="BJ1413" s="21" t="n"/>
      <c r="BK1413" s="21" t="n"/>
      <c r="BL1413" s="21" t="n"/>
      <c r="BM1413" s="21" t="n"/>
      <c r="BN1413" s="21" t="n"/>
      <c r="BO1413" s="21" t="n"/>
      <c r="BP1413" s="21" t="n"/>
      <c r="BQ1413" s="21" t="n"/>
      <c r="BR1413" s="21" t="n"/>
      <c r="BS1413" s="21" t="n"/>
      <c r="BT1413" s="21" t="n"/>
      <c r="BU1413" s="21" t="n"/>
      <c r="BV1413" s="21" t="n"/>
      <c r="BW1413" s="21" t="n"/>
      <c r="BX1413" s="21" t="n"/>
      <c r="BY1413" s="21" t="n"/>
      <c r="BZ1413" s="21" t="n"/>
      <c r="CA1413" s="21" t="n"/>
      <c r="CB1413" s="21" t="n"/>
      <c r="CC1413" s="21" t="n"/>
      <c r="CD1413" s="21" t="n"/>
      <c r="CE1413" s="21" t="n"/>
      <c r="CF1413" s="21" t="n"/>
      <c r="CG1413" s="21" t="n"/>
      <c r="CH1413" s="21" t="n"/>
      <c r="CI1413" s="21" t="n"/>
      <c r="CJ1413" s="21" t="n"/>
      <c r="CK1413" s="21" t="n"/>
      <c r="CL1413" s="21" t="n"/>
      <c r="CM1413" s="21" t="n"/>
      <c r="CN1413" s="21" t="n"/>
      <c r="CO1413" s="21" t="n"/>
      <c r="CP1413" s="21" t="n"/>
      <c r="CQ1413" s="21" t="n"/>
      <c r="CR1413" s="21" t="n"/>
      <c r="CS1413" s="21" t="n"/>
      <c r="CT1413" s="21" t="n"/>
      <c r="CU1413" s="21" t="n"/>
      <c r="CV1413" s="21" t="n"/>
      <c r="CW1413" s="21" t="n"/>
      <c r="CX1413" s="21" t="n"/>
      <c r="CY1413" s="21" t="n"/>
      <c r="CZ1413" s="21" t="n"/>
      <c r="DA1413" s="21" t="n"/>
      <c r="DB1413" s="21" t="n"/>
      <c r="DC1413" s="21" t="n"/>
      <c r="DD1413" s="21" t="n"/>
    </row>
    <row r="1414">
      <c r="B1414" t="inlineStr">
        <is>
          <t>TSP-620</t>
        </is>
      </c>
      <c r="C1414" t="inlineStr">
        <is>
          <t>No. of batches</t>
        </is>
      </c>
      <c r="D1414">
        <f>IFERROR(INDEX(E1414:DD1414,$F$1),"")</f>
        <v/>
      </c>
      <c r="E1414">
        <f>IFERROR(INDEX(PP_Grid[#Data],$DE1414,2),0)</f>
        <v/>
      </c>
      <c r="F1414">
        <f>IFERROR(INDEX(PP_Grid[#Data],$DE1414,3),0)</f>
        <v/>
      </c>
      <c r="G1414">
        <f>IFERROR(INDEX(PP_Grid[#Data],$DE1414,4),0)</f>
        <v/>
      </c>
      <c r="H1414">
        <f>IFERROR(INDEX(PP_Grid[#Data],$DE1414,5),0)</f>
        <v/>
      </c>
      <c r="I1414">
        <f>IFERROR(INDEX(PP_Grid[#Data],$DE1414,6),0)</f>
        <v/>
      </c>
      <c r="J1414">
        <f>IFERROR(INDEX(PP_Grid[#Data],$DE1414,7),0)</f>
        <v/>
      </c>
      <c r="K1414">
        <f>IFERROR(INDEX(PP_Grid[#Data],$DE1414,8),0)</f>
        <v/>
      </c>
      <c r="L1414">
        <f>IFERROR(INDEX(PP_Grid[#Data],$DE1414,9),0)</f>
        <v/>
      </c>
      <c r="M1414">
        <f>IFERROR(INDEX(PP_Grid[#Data],$DE1414,10),0)</f>
        <v/>
      </c>
      <c r="N1414">
        <f>IFERROR(INDEX(PP_Grid[#Data],$DE1414,11),0)</f>
        <v/>
      </c>
      <c r="O1414">
        <f>IFERROR(INDEX(PP_Grid[#Data],$DE1414,12),0)</f>
        <v/>
      </c>
      <c r="P1414">
        <f>IFERROR(INDEX(PP_Grid[#Data],$DE1414,13),0)</f>
        <v/>
      </c>
      <c r="Q1414">
        <f>IFERROR(INDEX(PP_Grid[#Data],$DE1414,14),0)</f>
        <v/>
      </c>
      <c r="R1414">
        <f>IFERROR(INDEX(PP_Grid[#Data],$DE1414,15),0)</f>
        <v/>
      </c>
      <c r="S1414">
        <f>IFERROR(INDEX(PP_Grid[#Data],$DE1414,16),0)</f>
        <v/>
      </c>
      <c r="T1414">
        <f>IFERROR(INDEX(PP_Grid[#Data],$DE1414,17),0)</f>
        <v/>
      </c>
      <c r="U1414">
        <f>IFERROR(INDEX(PP_Grid[#Data],$DE1414,18),0)</f>
        <v/>
      </c>
      <c r="V1414">
        <f>IFERROR(INDEX(PP_Grid[#Data],$DE1414,19),0)</f>
        <v/>
      </c>
      <c r="W1414">
        <f>IFERROR(INDEX(PP_Grid[#Data],$DE1414,20),0)</f>
        <v/>
      </c>
      <c r="X1414">
        <f>IFERROR(INDEX(PP_Grid[#Data],$DE1414,21),0)</f>
        <v/>
      </c>
      <c r="Y1414">
        <f>IFERROR(INDEX(PP_Grid[#Data],$DE1414,22),0)</f>
        <v/>
      </c>
      <c r="Z1414">
        <f>IFERROR(INDEX(PP_Grid[#Data],$DE1414,23),0)</f>
        <v/>
      </c>
      <c r="AA1414">
        <f>IFERROR(INDEX(PP_Grid[#Data],$DE1414,24),0)</f>
        <v/>
      </c>
      <c r="AB1414">
        <f>IFERROR(INDEX(PP_Grid[#Data],$DE1414,25),0)</f>
        <v/>
      </c>
      <c r="AC1414">
        <f>IFERROR(INDEX(PP_Grid[#Data],$DE1414,26),0)</f>
        <v/>
      </c>
      <c r="AD1414">
        <f>IFERROR(INDEX(PP_Grid[#Data],$DE1414,27),0)</f>
        <v/>
      </c>
      <c r="AE1414">
        <f>IFERROR(INDEX(PP_Grid[#Data],$DE1414,28),0)</f>
        <v/>
      </c>
      <c r="AF1414">
        <f>IFERROR(INDEX(PP_Grid[#Data],$DE1414,29),0)</f>
        <v/>
      </c>
      <c r="AG1414">
        <f>IFERROR(INDEX(PP_Grid[#Data],$DE1414,30),0)</f>
        <v/>
      </c>
      <c r="AH1414">
        <f>IFERROR(INDEX(PP_Grid[#Data],$DE1414,31),0)</f>
        <v/>
      </c>
      <c r="AI1414">
        <f>IFERROR(INDEX(PP_Grid[#Data],$DE1414,32),0)</f>
        <v/>
      </c>
      <c r="AJ1414">
        <f>IFERROR(INDEX(PP_Grid[#Data],$DE1414,33),0)</f>
        <v/>
      </c>
      <c r="AK1414">
        <f>IFERROR(INDEX(PP_Grid[#Data],$DE1414,34),0)</f>
        <v/>
      </c>
      <c r="AL1414">
        <f>IFERROR(INDEX(PP_Grid[#Data],$DE1414,35),0)</f>
        <v/>
      </c>
      <c r="AM1414">
        <f>IFERROR(INDEX(PP_Grid[#Data],$DE1414,36),0)</f>
        <v/>
      </c>
      <c r="AN1414">
        <f>IFERROR(INDEX(PP_Grid[#Data],$DE1414,37),0)</f>
        <v/>
      </c>
      <c r="AO1414">
        <f>IFERROR(INDEX(PP_Grid[#Data],$DE1414,38),0)</f>
        <v/>
      </c>
      <c r="AP1414">
        <f>IFERROR(INDEX(PP_Grid[#Data],$DE1414,39),0)</f>
        <v/>
      </c>
      <c r="AQ1414">
        <f>IFERROR(INDEX(PP_Grid[#Data],$DE1414,40),0)</f>
        <v/>
      </c>
      <c r="AR1414">
        <f>IFERROR(INDEX(PP_Grid[#Data],$DE1414,41),0)</f>
        <v/>
      </c>
      <c r="AS1414">
        <f>IFERROR(INDEX(PP_Grid[#Data],$DE1414,42),0)</f>
        <v/>
      </c>
      <c r="AT1414">
        <f>IFERROR(INDEX(PP_Grid[#Data],$DE1414,43),0)</f>
        <v/>
      </c>
      <c r="AU1414">
        <f>IFERROR(INDEX(PP_Grid[#Data],$DE1414,44),0)</f>
        <v/>
      </c>
      <c r="AV1414">
        <f>IFERROR(INDEX(PP_Grid[#Data],$DE1414,45),0)</f>
        <v/>
      </c>
      <c r="AW1414">
        <f>IFERROR(INDEX(PP_Grid[#Data],$DE1414,46),0)</f>
        <v/>
      </c>
      <c r="AX1414">
        <f>IFERROR(INDEX(PP_Grid[#Data],$DE1414,47),0)</f>
        <v/>
      </c>
      <c r="AY1414">
        <f>IFERROR(INDEX(PP_Grid[#Data],$DE1414,48),0)</f>
        <v/>
      </c>
      <c r="AZ1414">
        <f>IFERROR(INDEX(PP_Grid[#Data],$DE1414,49),0)</f>
        <v/>
      </c>
      <c r="BA1414">
        <f>IFERROR(INDEX(PP_Grid[#Data],$DE1414,50),0)</f>
        <v/>
      </c>
      <c r="BB1414">
        <f>IFERROR(INDEX(PP_Grid[#Data],$DE1414,51),0)</f>
        <v/>
      </c>
      <c r="BC1414">
        <f>IFERROR(INDEX(PP_Grid[#Data],$DE1414,52),0)</f>
        <v/>
      </c>
      <c r="BD1414">
        <f>IFERROR(INDEX(PP_Grid[#Data],$DE1414,53),0)</f>
        <v/>
      </c>
      <c r="BE1414">
        <f>IFERROR(INDEX(PP_Grid[#Data],$DE1414,54),0)</f>
        <v/>
      </c>
      <c r="BF1414">
        <f>IFERROR(INDEX(PP_Grid[#Data],$DE1414,55),0)</f>
        <v/>
      </c>
      <c r="BG1414">
        <f>IFERROR(INDEX(PP_Grid[#Data],$DE1414,56),0)</f>
        <v/>
      </c>
      <c r="BH1414">
        <f>IFERROR(INDEX(PP_Grid[#Data],$DE1414,57),0)</f>
        <v/>
      </c>
      <c r="BI1414">
        <f>IFERROR(INDEX(PP_Grid[#Data],$DE1414,58),0)</f>
        <v/>
      </c>
      <c r="BJ1414">
        <f>IFERROR(INDEX(PP_Grid[#Data],$DE1414,59),0)</f>
        <v/>
      </c>
      <c r="BK1414">
        <f>IFERROR(INDEX(PP_Grid[#Data],$DE1414,60),0)</f>
        <v/>
      </c>
      <c r="BL1414">
        <f>IFERROR(INDEX(PP_Grid[#Data],$DE1414,61),0)</f>
        <v/>
      </c>
      <c r="BM1414">
        <f>IFERROR(INDEX(PP_Grid[#Data],$DE1414,62),0)</f>
        <v/>
      </c>
      <c r="BN1414">
        <f>IFERROR(INDEX(PP_Grid[#Data],$DE1414,63),0)</f>
        <v/>
      </c>
      <c r="BO1414">
        <f>IFERROR(INDEX(PP_Grid[#Data],$DE1414,64),0)</f>
        <v/>
      </c>
      <c r="BP1414">
        <f>IFERROR(INDEX(PP_Grid[#Data],$DE1414,65),0)</f>
        <v/>
      </c>
      <c r="BQ1414">
        <f>IFERROR(INDEX(PP_Grid[#Data],$DE1414,66),0)</f>
        <v/>
      </c>
      <c r="BR1414">
        <f>IFERROR(INDEX(PP_Grid[#Data],$DE1414,67),0)</f>
        <v/>
      </c>
      <c r="BS1414">
        <f>IFERROR(INDEX(PP_Grid[#Data],$DE1414,68),0)</f>
        <v/>
      </c>
      <c r="BT1414">
        <f>IFERROR(INDEX(PP_Grid[#Data],$DE1414,69),0)</f>
        <v/>
      </c>
      <c r="BU1414">
        <f>IFERROR(INDEX(PP_Grid[#Data],$DE1414,70),0)</f>
        <v/>
      </c>
      <c r="BV1414">
        <f>IFERROR(INDEX(PP_Grid[#Data],$DE1414,71),0)</f>
        <v/>
      </c>
      <c r="BW1414">
        <f>IFERROR(INDEX(PP_Grid[#Data],$DE1414,72),0)</f>
        <v/>
      </c>
      <c r="BX1414">
        <f>IFERROR(INDEX(PP_Grid[#Data],$DE1414,73),0)</f>
        <v/>
      </c>
      <c r="BY1414">
        <f>IFERROR(INDEX(PP_Grid[#Data],$DE1414,74),0)</f>
        <v/>
      </c>
      <c r="BZ1414">
        <f>IFERROR(INDEX(PP_Grid[#Data],$DE1414,75),0)</f>
        <v/>
      </c>
      <c r="CA1414">
        <f>IFERROR(INDEX(PP_Grid[#Data],$DE1414,76),0)</f>
        <v/>
      </c>
      <c r="CB1414">
        <f>IFERROR(INDEX(PP_Grid[#Data],$DE1414,77),0)</f>
        <v/>
      </c>
      <c r="CC1414">
        <f>IFERROR(INDEX(PP_Grid[#Data],$DE1414,78),0)</f>
        <v/>
      </c>
      <c r="CD1414">
        <f>IFERROR(INDEX(PP_Grid[#Data],$DE1414,79),0)</f>
        <v/>
      </c>
      <c r="CE1414">
        <f>IFERROR(INDEX(PP_Grid[#Data],$DE1414,80),0)</f>
        <v/>
      </c>
      <c r="CF1414">
        <f>IFERROR(INDEX(PP_Grid[#Data],$DE1414,81),0)</f>
        <v/>
      </c>
      <c r="CG1414">
        <f>IFERROR(INDEX(PP_Grid[#Data],$DE1414,82),0)</f>
        <v/>
      </c>
      <c r="CH1414">
        <f>IFERROR(INDEX(PP_Grid[#Data],$DE1414,83),0)</f>
        <v/>
      </c>
      <c r="CI1414">
        <f>IFERROR(INDEX(PP_Grid[#Data],$DE1414,84),0)</f>
        <v/>
      </c>
      <c r="CJ1414">
        <f>IFERROR(INDEX(PP_Grid[#Data],$DE1414,85),0)</f>
        <v/>
      </c>
      <c r="CK1414">
        <f>IFERROR(INDEX(PP_Grid[#Data],$DE1414,86),0)</f>
        <v/>
      </c>
      <c r="CL1414">
        <f>IFERROR(INDEX(PP_Grid[#Data],$DE1414,87),0)</f>
        <v/>
      </c>
      <c r="CM1414">
        <f>IFERROR(INDEX(PP_Grid[#Data],$DE1414,88),0)</f>
        <v/>
      </c>
      <c r="CN1414">
        <f>IFERROR(INDEX(PP_Grid[#Data],$DE1414,89),0)</f>
        <v/>
      </c>
      <c r="CO1414">
        <f>IFERROR(INDEX(PP_Grid[#Data],$DE1414,90),0)</f>
        <v/>
      </c>
      <c r="CP1414">
        <f>IFERROR(INDEX(PP_Grid[#Data],$DE1414,91),0)</f>
        <v/>
      </c>
      <c r="CQ1414">
        <f>IFERROR(INDEX(PP_Grid[#Data],$DE1414,92),0)</f>
        <v/>
      </c>
      <c r="CR1414">
        <f>IFERROR(INDEX(PP_Grid[#Data],$DE1414,93),0)</f>
        <v/>
      </c>
      <c r="CS1414">
        <f>IFERROR(INDEX(PP_Grid[#Data],$DE1414,94),0)</f>
        <v/>
      </c>
      <c r="CT1414">
        <f>IFERROR(INDEX(PP_Grid[#Data],$DE1414,95),0)</f>
        <v/>
      </c>
      <c r="CU1414">
        <f>IFERROR(INDEX(PP_Grid[#Data],$DE1414,96),0)</f>
        <v/>
      </c>
      <c r="CV1414">
        <f>IFERROR(INDEX(PP_Grid[#Data],$DE1414,97),0)</f>
        <v/>
      </c>
      <c r="CW1414">
        <f>IFERROR(INDEX(PP_Grid[#Data],$DE1414,98),0)</f>
        <v/>
      </c>
      <c r="CX1414">
        <f>IFERROR(INDEX(PP_Grid[#Data],$DE1414,99),0)</f>
        <v/>
      </c>
      <c r="CY1414">
        <f>IFERROR(INDEX(PP_Grid[#Data],$DE1414,100),0)</f>
        <v/>
      </c>
      <c r="CZ1414">
        <f>IFERROR(INDEX(PP_Grid[#Data],$DE1414,101),0)</f>
        <v/>
      </c>
      <c r="DA1414">
        <f>IFERROR(INDEX(PP_Grid[#Data],$DE1414,102),0)</f>
        <v/>
      </c>
      <c r="DB1414">
        <f>IFERROR(INDEX(PP_Grid[#Data],$DE1414,103),0)</f>
        <v/>
      </c>
      <c r="DC1414">
        <f>IFERROR(INDEX(PP_Grid[#Data],$DE1414,104),0)</f>
        <v/>
      </c>
      <c r="DD1414">
        <f>IFERROR(INDEX(PP_Grid[#Data],$DE1414,105),0)</f>
        <v/>
      </c>
      <c r="DE1414" s="7">
        <f>IFERROR(MATCH($B1414,PP_Grid[Intermediate],0),99999)</f>
        <v/>
      </c>
    </row>
    <row r="1415">
      <c r="B1415" t="inlineStr">
        <is>
          <t>使用量(kg)</t>
        </is>
      </c>
      <c r="C1415">
        <f>SUMIFS(M_BOM[RM_Qty_Per_Batch],M_BOM[Intermediate],$B1414,M_BOM[RM_Code],$A1413)</f>
        <v/>
      </c>
      <c r="D1415">
        <f>IFERROR(INDEX(E1415:DD1415,$F$1),"")</f>
        <v/>
      </c>
      <c r="E1415">
        <f>$C1415*E1414</f>
        <v/>
      </c>
      <c r="F1415">
        <f>$C1415*F1414</f>
        <v/>
      </c>
      <c r="G1415">
        <f>$C1415*G1414</f>
        <v/>
      </c>
      <c r="H1415">
        <f>$C1415*H1414</f>
        <v/>
      </c>
      <c r="I1415">
        <f>$C1415*I1414</f>
        <v/>
      </c>
      <c r="J1415">
        <f>$C1415*J1414</f>
        <v/>
      </c>
      <c r="K1415">
        <f>$C1415*K1414</f>
        <v/>
      </c>
      <c r="L1415">
        <f>$C1415*L1414</f>
        <v/>
      </c>
      <c r="M1415">
        <f>$C1415*M1414</f>
        <v/>
      </c>
      <c r="N1415">
        <f>$C1415*N1414</f>
        <v/>
      </c>
      <c r="O1415">
        <f>$C1415*O1414</f>
        <v/>
      </c>
      <c r="P1415">
        <f>$C1415*P1414</f>
        <v/>
      </c>
      <c r="Q1415">
        <f>$C1415*Q1414</f>
        <v/>
      </c>
      <c r="R1415">
        <f>$C1415*R1414</f>
        <v/>
      </c>
      <c r="S1415">
        <f>$C1415*S1414</f>
        <v/>
      </c>
      <c r="T1415">
        <f>$C1415*T1414</f>
        <v/>
      </c>
      <c r="U1415">
        <f>$C1415*U1414</f>
        <v/>
      </c>
      <c r="V1415">
        <f>$C1415*V1414</f>
        <v/>
      </c>
      <c r="W1415">
        <f>$C1415*W1414</f>
        <v/>
      </c>
      <c r="X1415">
        <f>$C1415*X1414</f>
        <v/>
      </c>
      <c r="Y1415">
        <f>$C1415*Y1414</f>
        <v/>
      </c>
      <c r="Z1415">
        <f>$C1415*Z1414</f>
        <v/>
      </c>
      <c r="AA1415">
        <f>$C1415*AA1414</f>
        <v/>
      </c>
      <c r="AB1415">
        <f>$C1415*AB1414</f>
        <v/>
      </c>
      <c r="AC1415">
        <f>$C1415*AC1414</f>
        <v/>
      </c>
      <c r="AD1415">
        <f>$C1415*AD1414</f>
        <v/>
      </c>
      <c r="AE1415">
        <f>$C1415*AE1414</f>
        <v/>
      </c>
      <c r="AF1415">
        <f>$C1415*AF1414</f>
        <v/>
      </c>
      <c r="AG1415">
        <f>$C1415*AG1414</f>
        <v/>
      </c>
      <c r="AH1415">
        <f>$C1415*AH1414</f>
        <v/>
      </c>
      <c r="AI1415">
        <f>$C1415*AI1414</f>
        <v/>
      </c>
      <c r="AJ1415">
        <f>$C1415*AJ1414</f>
        <v/>
      </c>
      <c r="AK1415">
        <f>$C1415*AK1414</f>
        <v/>
      </c>
      <c r="AL1415">
        <f>$C1415*AL1414</f>
        <v/>
      </c>
      <c r="AM1415">
        <f>$C1415*AM1414</f>
        <v/>
      </c>
      <c r="AN1415">
        <f>$C1415*AN1414</f>
        <v/>
      </c>
      <c r="AO1415">
        <f>$C1415*AO1414</f>
        <v/>
      </c>
      <c r="AP1415">
        <f>$C1415*AP1414</f>
        <v/>
      </c>
      <c r="AQ1415">
        <f>$C1415*AQ1414</f>
        <v/>
      </c>
      <c r="AR1415">
        <f>$C1415*AR1414</f>
        <v/>
      </c>
      <c r="AS1415">
        <f>$C1415*AS1414</f>
        <v/>
      </c>
      <c r="AT1415">
        <f>$C1415*AT1414</f>
        <v/>
      </c>
      <c r="AU1415">
        <f>$C1415*AU1414</f>
        <v/>
      </c>
      <c r="AV1415">
        <f>$C1415*AV1414</f>
        <v/>
      </c>
      <c r="AW1415">
        <f>$C1415*AW1414</f>
        <v/>
      </c>
      <c r="AX1415">
        <f>$C1415*AX1414</f>
        <v/>
      </c>
      <c r="AY1415">
        <f>$C1415*AY1414</f>
        <v/>
      </c>
      <c r="AZ1415">
        <f>$C1415*AZ1414</f>
        <v/>
      </c>
      <c r="BA1415">
        <f>$C1415*BA1414</f>
        <v/>
      </c>
      <c r="BB1415">
        <f>$C1415*BB1414</f>
        <v/>
      </c>
      <c r="BC1415">
        <f>$C1415*BC1414</f>
        <v/>
      </c>
      <c r="BD1415">
        <f>$C1415*BD1414</f>
        <v/>
      </c>
      <c r="BE1415">
        <f>$C1415*BE1414</f>
        <v/>
      </c>
      <c r="BF1415">
        <f>$C1415*BF1414</f>
        <v/>
      </c>
      <c r="BG1415">
        <f>$C1415*BG1414</f>
        <v/>
      </c>
      <c r="BH1415">
        <f>$C1415*BH1414</f>
        <v/>
      </c>
      <c r="BI1415">
        <f>$C1415*BI1414</f>
        <v/>
      </c>
      <c r="BJ1415">
        <f>$C1415*BJ1414</f>
        <v/>
      </c>
      <c r="BK1415">
        <f>$C1415*BK1414</f>
        <v/>
      </c>
      <c r="BL1415">
        <f>$C1415*BL1414</f>
        <v/>
      </c>
      <c r="BM1415">
        <f>$C1415*BM1414</f>
        <v/>
      </c>
      <c r="BN1415">
        <f>$C1415*BN1414</f>
        <v/>
      </c>
      <c r="BO1415">
        <f>$C1415*BO1414</f>
        <v/>
      </c>
      <c r="BP1415">
        <f>$C1415*BP1414</f>
        <v/>
      </c>
      <c r="BQ1415">
        <f>$C1415*BQ1414</f>
        <v/>
      </c>
      <c r="BR1415">
        <f>$C1415*BR1414</f>
        <v/>
      </c>
      <c r="BS1415">
        <f>$C1415*BS1414</f>
        <v/>
      </c>
      <c r="BT1415">
        <f>$C1415*BT1414</f>
        <v/>
      </c>
      <c r="BU1415">
        <f>$C1415*BU1414</f>
        <v/>
      </c>
      <c r="BV1415">
        <f>$C1415*BV1414</f>
        <v/>
      </c>
      <c r="BW1415">
        <f>$C1415*BW1414</f>
        <v/>
      </c>
      <c r="BX1415">
        <f>$C1415*BX1414</f>
        <v/>
      </c>
      <c r="BY1415">
        <f>$C1415*BY1414</f>
        <v/>
      </c>
      <c r="BZ1415">
        <f>$C1415*BZ1414</f>
        <v/>
      </c>
      <c r="CA1415">
        <f>$C1415*CA1414</f>
        <v/>
      </c>
      <c r="CB1415">
        <f>$C1415*CB1414</f>
        <v/>
      </c>
      <c r="CC1415">
        <f>$C1415*CC1414</f>
        <v/>
      </c>
      <c r="CD1415">
        <f>$C1415*CD1414</f>
        <v/>
      </c>
      <c r="CE1415">
        <f>$C1415*CE1414</f>
        <v/>
      </c>
      <c r="CF1415">
        <f>$C1415*CF1414</f>
        <v/>
      </c>
      <c r="CG1415">
        <f>$C1415*CG1414</f>
        <v/>
      </c>
      <c r="CH1415">
        <f>$C1415*CH1414</f>
        <v/>
      </c>
      <c r="CI1415">
        <f>$C1415*CI1414</f>
        <v/>
      </c>
      <c r="CJ1415">
        <f>$C1415*CJ1414</f>
        <v/>
      </c>
      <c r="CK1415">
        <f>$C1415*CK1414</f>
        <v/>
      </c>
      <c r="CL1415">
        <f>$C1415*CL1414</f>
        <v/>
      </c>
      <c r="CM1415">
        <f>$C1415*CM1414</f>
        <v/>
      </c>
      <c r="CN1415">
        <f>$C1415*CN1414</f>
        <v/>
      </c>
      <c r="CO1415">
        <f>$C1415*CO1414</f>
        <v/>
      </c>
      <c r="CP1415">
        <f>$C1415*CP1414</f>
        <v/>
      </c>
      <c r="CQ1415">
        <f>$C1415*CQ1414</f>
        <v/>
      </c>
      <c r="CR1415">
        <f>$C1415*CR1414</f>
        <v/>
      </c>
      <c r="CS1415">
        <f>$C1415*CS1414</f>
        <v/>
      </c>
      <c r="CT1415">
        <f>$C1415*CT1414</f>
        <v/>
      </c>
      <c r="CU1415">
        <f>$C1415*CU1414</f>
        <v/>
      </c>
      <c r="CV1415">
        <f>$C1415*CV1414</f>
        <v/>
      </c>
      <c r="CW1415">
        <f>$C1415*CW1414</f>
        <v/>
      </c>
      <c r="CX1415">
        <f>$C1415*CX1414</f>
        <v/>
      </c>
      <c r="CY1415">
        <f>$C1415*CY1414</f>
        <v/>
      </c>
      <c r="CZ1415">
        <f>$C1415*CZ1414</f>
        <v/>
      </c>
      <c r="DA1415">
        <f>$C1415*DA1414</f>
        <v/>
      </c>
      <c r="DB1415">
        <f>$C1415*DB1414</f>
        <v/>
      </c>
      <c r="DC1415">
        <f>$C1415*DC1414</f>
        <v/>
      </c>
      <c r="DD1415">
        <f>$C1415*DD1414</f>
        <v/>
      </c>
    </row>
    <row r="1416">
      <c r="B1416" t="inlineStr">
        <is>
          <t>TSP-623</t>
        </is>
      </c>
      <c r="C1416" t="inlineStr">
        <is>
          <t>No. of batches</t>
        </is>
      </c>
      <c r="D1416">
        <f>IFERROR(INDEX(E1416:DD1416,$F$1),"")</f>
        <v/>
      </c>
      <c r="E1416">
        <f>IFERROR(INDEX(PP_Grid[#Data],$DE1416,2),0)</f>
        <v/>
      </c>
      <c r="F1416">
        <f>IFERROR(INDEX(PP_Grid[#Data],$DE1416,3),0)</f>
        <v/>
      </c>
      <c r="G1416">
        <f>IFERROR(INDEX(PP_Grid[#Data],$DE1416,4),0)</f>
        <v/>
      </c>
      <c r="H1416">
        <f>IFERROR(INDEX(PP_Grid[#Data],$DE1416,5),0)</f>
        <v/>
      </c>
      <c r="I1416">
        <f>IFERROR(INDEX(PP_Grid[#Data],$DE1416,6),0)</f>
        <v/>
      </c>
      <c r="J1416">
        <f>IFERROR(INDEX(PP_Grid[#Data],$DE1416,7),0)</f>
        <v/>
      </c>
      <c r="K1416">
        <f>IFERROR(INDEX(PP_Grid[#Data],$DE1416,8),0)</f>
        <v/>
      </c>
      <c r="L1416">
        <f>IFERROR(INDEX(PP_Grid[#Data],$DE1416,9),0)</f>
        <v/>
      </c>
      <c r="M1416">
        <f>IFERROR(INDEX(PP_Grid[#Data],$DE1416,10),0)</f>
        <v/>
      </c>
      <c r="N1416">
        <f>IFERROR(INDEX(PP_Grid[#Data],$DE1416,11),0)</f>
        <v/>
      </c>
      <c r="O1416">
        <f>IFERROR(INDEX(PP_Grid[#Data],$DE1416,12),0)</f>
        <v/>
      </c>
      <c r="P1416">
        <f>IFERROR(INDEX(PP_Grid[#Data],$DE1416,13),0)</f>
        <v/>
      </c>
      <c r="Q1416">
        <f>IFERROR(INDEX(PP_Grid[#Data],$DE1416,14),0)</f>
        <v/>
      </c>
      <c r="R1416">
        <f>IFERROR(INDEX(PP_Grid[#Data],$DE1416,15),0)</f>
        <v/>
      </c>
      <c r="S1416">
        <f>IFERROR(INDEX(PP_Grid[#Data],$DE1416,16),0)</f>
        <v/>
      </c>
      <c r="T1416">
        <f>IFERROR(INDEX(PP_Grid[#Data],$DE1416,17),0)</f>
        <v/>
      </c>
      <c r="U1416">
        <f>IFERROR(INDEX(PP_Grid[#Data],$DE1416,18),0)</f>
        <v/>
      </c>
      <c r="V1416">
        <f>IFERROR(INDEX(PP_Grid[#Data],$DE1416,19),0)</f>
        <v/>
      </c>
      <c r="W1416">
        <f>IFERROR(INDEX(PP_Grid[#Data],$DE1416,20),0)</f>
        <v/>
      </c>
      <c r="X1416">
        <f>IFERROR(INDEX(PP_Grid[#Data],$DE1416,21),0)</f>
        <v/>
      </c>
      <c r="Y1416">
        <f>IFERROR(INDEX(PP_Grid[#Data],$DE1416,22),0)</f>
        <v/>
      </c>
      <c r="Z1416">
        <f>IFERROR(INDEX(PP_Grid[#Data],$DE1416,23),0)</f>
        <v/>
      </c>
      <c r="AA1416">
        <f>IFERROR(INDEX(PP_Grid[#Data],$DE1416,24),0)</f>
        <v/>
      </c>
      <c r="AB1416">
        <f>IFERROR(INDEX(PP_Grid[#Data],$DE1416,25),0)</f>
        <v/>
      </c>
      <c r="AC1416">
        <f>IFERROR(INDEX(PP_Grid[#Data],$DE1416,26),0)</f>
        <v/>
      </c>
      <c r="AD1416">
        <f>IFERROR(INDEX(PP_Grid[#Data],$DE1416,27),0)</f>
        <v/>
      </c>
      <c r="AE1416">
        <f>IFERROR(INDEX(PP_Grid[#Data],$DE1416,28),0)</f>
        <v/>
      </c>
      <c r="AF1416">
        <f>IFERROR(INDEX(PP_Grid[#Data],$DE1416,29),0)</f>
        <v/>
      </c>
      <c r="AG1416">
        <f>IFERROR(INDEX(PP_Grid[#Data],$DE1416,30),0)</f>
        <v/>
      </c>
      <c r="AH1416">
        <f>IFERROR(INDEX(PP_Grid[#Data],$DE1416,31),0)</f>
        <v/>
      </c>
      <c r="AI1416">
        <f>IFERROR(INDEX(PP_Grid[#Data],$DE1416,32),0)</f>
        <v/>
      </c>
      <c r="AJ1416">
        <f>IFERROR(INDEX(PP_Grid[#Data],$DE1416,33),0)</f>
        <v/>
      </c>
      <c r="AK1416">
        <f>IFERROR(INDEX(PP_Grid[#Data],$DE1416,34),0)</f>
        <v/>
      </c>
      <c r="AL1416">
        <f>IFERROR(INDEX(PP_Grid[#Data],$DE1416,35),0)</f>
        <v/>
      </c>
      <c r="AM1416">
        <f>IFERROR(INDEX(PP_Grid[#Data],$DE1416,36),0)</f>
        <v/>
      </c>
      <c r="AN1416">
        <f>IFERROR(INDEX(PP_Grid[#Data],$DE1416,37),0)</f>
        <v/>
      </c>
      <c r="AO1416">
        <f>IFERROR(INDEX(PP_Grid[#Data],$DE1416,38),0)</f>
        <v/>
      </c>
      <c r="AP1416">
        <f>IFERROR(INDEX(PP_Grid[#Data],$DE1416,39),0)</f>
        <v/>
      </c>
      <c r="AQ1416">
        <f>IFERROR(INDEX(PP_Grid[#Data],$DE1416,40),0)</f>
        <v/>
      </c>
      <c r="AR1416">
        <f>IFERROR(INDEX(PP_Grid[#Data],$DE1416,41),0)</f>
        <v/>
      </c>
      <c r="AS1416">
        <f>IFERROR(INDEX(PP_Grid[#Data],$DE1416,42),0)</f>
        <v/>
      </c>
      <c r="AT1416">
        <f>IFERROR(INDEX(PP_Grid[#Data],$DE1416,43),0)</f>
        <v/>
      </c>
      <c r="AU1416">
        <f>IFERROR(INDEX(PP_Grid[#Data],$DE1416,44),0)</f>
        <v/>
      </c>
      <c r="AV1416">
        <f>IFERROR(INDEX(PP_Grid[#Data],$DE1416,45),0)</f>
        <v/>
      </c>
      <c r="AW1416">
        <f>IFERROR(INDEX(PP_Grid[#Data],$DE1416,46),0)</f>
        <v/>
      </c>
      <c r="AX1416">
        <f>IFERROR(INDEX(PP_Grid[#Data],$DE1416,47),0)</f>
        <v/>
      </c>
      <c r="AY1416">
        <f>IFERROR(INDEX(PP_Grid[#Data],$DE1416,48),0)</f>
        <v/>
      </c>
      <c r="AZ1416">
        <f>IFERROR(INDEX(PP_Grid[#Data],$DE1416,49),0)</f>
        <v/>
      </c>
      <c r="BA1416">
        <f>IFERROR(INDEX(PP_Grid[#Data],$DE1416,50),0)</f>
        <v/>
      </c>
      <c r="BB1416">
        <f>IFERROR(INDEX(PP_Grid[#Data],$DE1416,51),0)</f>
        <v/>
      </c>
      <c r="BC1416">
        <f>IFERROR(INDEX(PP_Grid[#Data],$DE1416,52),0)</f>
        <v/>
      </c>
      <c r="BD1416">
        <f>IFERROR(INDEX(PP_Grid[#Data],$DE1416,53),0)</f>
        <v/>
      </c>
      <c r="BE1416">
        <f>IFERROR(INDEX(PP_Grid[#Data],$DE1416,54),0)</f>
        <v/>
      </c>
      <c r="BF1416">
        <f>IFERROR(INDEX(PP_Grid[#Data],$DE1416,55),0)</f>
        <v/>
      </c>
      <c r="BG1416">
        <f>IFERROR(INDEX(PP_Grid[#Data],$DE1416,56),0)</f>
        <v/>
      </c>
      <c r="BH1416">
        <f>IFERROR(INDEX(PP_Grid[#Data],$DE1416,57),0)</f>
        <v/>
      </c>
      <c r="BI1416">
        <f>IFERROR(INDEX(PP_Grid[#Data],$DE1416,58),0)</f>
        <v/>
      </c>
      <c r="BJ1416">
        <f>IFERROR(INDEX(PP_Grid[#Data],$DE1416,59),0)</f>
        <v/>
      </c>
      <c r="BK1416">
        <f>IFERROR(INDEX(PP_Grid[#Data],$DE1416,60),0)</f>
        <v/>
      </c>
      <c r="BL1416">
        <f>IFERROR(INDEX(PP_Grid[#Data],$DE1416,61),0)</f>
        <v/>
      </c>
      <c r="BM1416">
        <f>IFERROR(INDEX(PP_Grid[#Data],$DE1416,62),0)</f>
        <v/>
      </c>
      <c r="BN1416">
        <f>IFERROR(INDEX(PP_Grid[#Data],$DE1416,63),0)</f>
        <v/>
      </c>
      <c r="BO1416">
        <f>IFERROR(INDEX(PP_Grid[#Data],$DE1416,64),0)</f>
        <v/>
      </c>
      <c r="BP1416">
        <f>IFERROR(INDEX(PP_Grid[#Data],$DE1416,65),0)</f>
        <v/>
      </c>
      <c r="BQ1416">
        <f>IFERROR(INDEX(PP_Grid[#Data],$DE1416,66),0)</f>
        <v/>
      </c>
      <c r="BR1416">
        <f>IFERROR(INDEX(PP_Grid[#Data],$DE1416,67),0)</f>
        <v/>
      </c>
      <c r="BS1416">
        <f>IFERROR(INDEX(PP_Grid[#Data],$DE1416,68),0)</f>
        <v/>
      </c>
      <c r="BT1416">
        <f>IFERROR(INDEX(PP_Grid[#Data],$DE1416,69),0)</f>
        <v/>
      </c>
      <c r="BU1416">
        <f>IFERROR(INDEX(PP_Grid[#Data],$DE1416,70),0)</f>
        <v/>
      </c>
      <c r="BV1416">
        <f>IFERROR(INDEX(PP_Grid[#Data],$DE1416,71),0)</f>
        <v/>
      </c>
      <c r="BW1416">
        <f>IFERROR(INDEX(PP_Grid[#Data],$DE1416,72),0)</f>
        <v/>
      </c>
      <c r="BX1416">
        <f>IFERROR(INDEX(PP_Grid[#Data],$DE1416,73),0)</f>
        <v/>
      </c>
      <c r="BY1416">
        <f>IFERROR(INDEX(PP_Grid[#Data],$DE1416,74),0)</f>
        <v/>
      </c>
      <c r="BZ1416">
        <f>IFERROR(INDEX(PP_Grid[#Data],$DE1416,75),0)</f>
        <v/>
      </c>
      <c r="CA1416">
        <f>IFERROR(INDEX(PP_Grid[#Data],$DE1416,76),0)</f>
        <v/>
      </c>
      <c r="CB1416">
        <f>IFERROR(INDEX(PP_Grid[#Data],$DE1416,77),0)</f>
        <v/>
      </c>
      <c r="CC1416">
        <f>IFERROR(INDEX(PP_Grid[#Data],$DE1416,78),0)</f>
        <v/>
      </c>
      <c r="CD1416">
        <f>IFERROR(INDEX(PP_Grid[#Data],$DE1416,79),0)</f>
        <v/>
      </c>
      <c r="CE1416">
        <f>IFERROR(INDEX(PP_Grid[#Data],$DE1416,80),0)</f>
        <v/>
      </c>
      <c r="CF1416">
        <f>IFERROR(INDEX(PP_Grid[#Data],$DE1416,81),0)</f>
        <v/>
      </c>
      <c r="CG1416">
        <f>IFERROR(INDEX(PP_Grid[#Data],$DE1416,82),0)</f>
        <v/>
      </c>
      <c r="CH1416">
        <f>IFERROR(INDEX(PP_Grid[#Data],$DE1416,83),0)</f>
        <v/>
      </c>
      <c r="CI1416">
        <f>IFERROR(INDEX(PP_Grid[#Data],$DE1416,84),0)</f>
        <v/>
      </c>
      <c r="CJ1416">
        <f>IFERROR(INDEX(PP_Grid[#Data],$DE1416,85),0)</f>
        <v/>
      </c>
      <c r="CK1416">
        <f>IFERROR(INDEX(PP_Grid[#Data],$DE1416,86),0)</f>
        <v/>
      </c>
      <c r="CL1416">
        <f>IFERROR(INDEX(PP_Grid[#Data],$DE1416,87),0)</f>
        <v/>
      </c>
      <c r="CM1416">
        <f>IFERROR(INDEX(PP_Grid[#Data],$DE1416,88),0)</f>
        <v/>
      </c>
      <c r="CN1416">
        <f>IFERROR(INDEX(PP_Grid[#Data],$DE1416,89),0)</f>
        <v/>
      </c>
      <c r="CO1416">
        <f>IFERROR(INDEX(PP_Grid[#Data],$DE1416,90),0)</f>
        <v/>
      </c>
      <c r="CP1416">
        <f>IFERROR(INDEX(PP_Grid[#Data],$DE1416,91),0)</f>
        <v/>
      </c>
      <c r="CQ1416">
        <f>IFERROR(INDEX(PP_Grid[#Data],$DE1416,92),0)</f>
        <v/>
      </c>
      <c r="CR1416">
        <f>IFERROR(INDEX(PP_Grid[#Data],$DE1416,93),0)</f>
        <v/>
      </c>
      <c r="CS1416">
        <f>IFERROR(INDEX(PP_Grid[#Data],$DE1416,94),0)</f>
        <v/>
      </c>
      <c r="CT1416">
        <f>IFERROR(INDEX(PP_Grid[#Data],$DE1416,95),0)</f>
        <v/>
      </c>
      <c r="CU1416">
        <f>IFERROR(INDEX(PP_Grid[#Data],$DE1416,96),0)</f>
        <v/>
      </c>
      <c r="CV1416">
        <f>IFERROR(INDEX(PP_Grid[#Data],$DE1416,97),0)</f>
        <v/>
      </c>
      <c r="CW1416">
        <f>IFERROR(INDEX(PP_Grid[#Data],$DE1416,98),0)</f>
        <v/>
      </c>
      <c r="CX1416">
        <f>IFERROR(INDEX(PP_Grid[#Data],$DE1416,99),0)</f>
        <v/>
      </c>
      <c r="CY1416">
        <f>IFERROR(INDEX(PP_Grid[#Data],$DE1416,100),0)</f>
        <v/>
      </c>
      <c r="CZ1416">
        <f>IFERROR(INDEX(PP_Grid[#Data],$DE1416,101),0)</f>
        <v/>
      </c>
      <c r="DA1416">
        <f>IFERROR(INDEX(PP_Grid[#Data],$DE1416,102),0)</f>
        <v/>
      </c>
      <c r="DB1416">
        <f>IFERROR(INDEX(PP_Grid[#Data],$DE1416,103),0)</f>
        <v/>
      </c>
      <c r="DC1416">
        <f>IFERROR(INDEX(PP_Grid[#Data],$DE1416,104),0)</f>
        <v/>
      </c>
      <c r="DD1416">
        <f>IFERROR(INDEX(PP_Grid[#Data],$DE1416,105),0)</f>
        <v/>
      </c>
      <c r="DE1416" s="7">
        <f>IFERROR(MATCH($B1416,PP_Grid[Intermediate],0),99999)</f>
        <v/>
      </c>
    </row>
    <row r="1417">
      <c r="B1417" t="inlineStr">
        <is>
          <t>使用量(kg)</t>
        </is>
      </c>
      <c r="C1417">
        <f>SUMIFS(M_BOM[RM_Qty_Per_Batch],M_BOM[Intermediate],$B1416,M_BOM[RM_Code],$A1413)</f>
        <v/>
      </c>
      <c r="D1417">
        <f>IFERROR(INDEX(E1417:DD1417,$F$1),"")</f>
        <v/>
      </c>
      <c r="E1417">
        <f>$C1417*E1416</f>
        <v/>
      </c>
      <c r="F1417">
        <f>$C1417*F1416</f>
        <v/>
      </c>
      <c r="G1417">
        <f>$C1417*G1416</f>
        <v/>
      </c>
      <c r="H1417">
        <f>$C1417*H1416</f>
        <v/>
      </c>
      <c r="I1417">
        <f>$C1417*I1416</f>
        <v/>
      </c>
      <c r="J1417">
        <f>$C1417*J1416</f>
        <v/>
      </c>
      <c r="K1417">
        <f>$C1417*K1416</f>
        <v/>
      </c>
      <c r="L1417">
        <f>$C1417*L1416</f>
        <v/>
      </c>
      <c r="M1417">
        <f>$C1417*M1416</f>
        <v/>
      </c>
      <c r="N1417">
        <f>$C1417*N1416</f>
        <v/>
      </c>
      <c r="O1417">
        <f>$C1417*O1416</f>
        <v/>
      </c>
      <c r="P1417">
        <f>$C1417*P1416</f>
        <v/>
      </c>
      <c r="Q1417">
        <f>$C1417*Q1416</f>
        <v/>
      </c>
      <c r="R1417">
        <f>$C1417*R1416</f>
        <v/>
      </c>
      <c r="S1417">
        <f>$C1417*S1416</f>
        <v/>
      </c>
      <c r="T1417">
        <f>$C1417*T1416</f>
        <v/>
      </c>
      <c r="U1417">
        <f>$C1417*U1416</f>
        <v/>
      </c>
      <c r="V1417">
        <f>$C1417*V1416</f>
        <v/>
      </c>
      <c r="W1417">
        <f>$C1417*W1416</f>
        <v/>
      </c>
      <c r="X1417">
        <f>$C1417*X1416</f>
        <v/>
      </c>
      <c r="Y1417">
        <f>$C1417*Y1416</f>
        <v/>
      </c>
      <c r="Z1417">
        <f>$C1417*Z1416</f>
        <v/>
      </c>
      <c r="AA1417">
        <f>$C1417*AA1416</f>
        <v/>
      </c>
      <c r="AB1417">
        <f>$C1417*AB1416</f>
        <v/>
      </c>
      <c r="AC1417">
        <f>$C1417*AC1416</f>
        <v/>
      </c>
      <c r="AD1417">
        <f>$C1417*AD1416</f>
        <v/>
      </c>
      <c r="AE1417">
        <f>$C1417*AE1416</f>
        <v/>
      </c>
      <c r="AF1417">
        <f>$C1417*AF1416</f>
        <v/>
      </c>
      <c r="AG1417">
        <f>$C1417*AG1416</f>
        <v/>
      </c>
      <c r="AH1417">
        <f>$C1417*AH1416</f>
        <v/>
      </c>
      <c r="AI1417">
        <f>$C1417*AI1416</f>
        <v/>
      </c>
      <c r="AJ1417">
        <f>$C1417*AJ1416</f>
        <v/>
      </c>
      <c r="AK1417">
        <f>$C1417*AK1416</f>
        <v/>
      </c>
      <c r="AL1417">
        <f>$C1417*AL1416</f>
        <v/>
      </c>
      <c r="AM1417">
        <f>$C1417*AM1416</f>
        <v/>
      </c>
      <c r="AN1417">
        <f>$C1417*AN1416</f>
        <v/>
      </c>
      <c r="AO1417">
        <f>$C1417*AO1416</f>
        <v/>
      </c>
      <c r="AP1417">
        <f>$C1417*AP1416</f>
        <v/>
      </c>
      <c r="AQ1417">
        <f>$C1417*AQ1416</f>
        <v/>
      </c>
      <c r="AR1417">
        <f>$C1417*AR1416</f>
        <v/>
      </c>
      <c r="AS1417">
        <f>$C1417*AS1416</f>
        <v/>
      </c>
      <c r="AT1417">
        <f>$C1417*AT1416</f>
        <v/>
      </c>
      <c r="AU1417">
        <f>$C1417*AU1416</f>
        <v/>
      </c>
      <c r="AV1417">
        <f>$C1417*AV1416</f>
        <v/>
      </c>
      <c r="AW1417">
        <f>$C1417*AW1416</f>
        <v/>
      </c>
      <c r="AX1417">
        <f>$C1417*AX1416</f>
        <v/>
      </c>
      <c r="AY1417">
        <f>$C1417*AY1416</f>
        <v/>
      </c>
      <c r="AZ1417">
        <f>$C1417*AZ1416</f>
        <v/>
      </c>
      <c r="BA1417">
        <f>$C1417*BA1416</f>
        <v/>
      </c>
      <c r="BB1417">
        <f>$C1417*BB1416</f>
        <v/>
      </c>
      <c r="BC1417">
        <f>$C1417*BC1416</f>
        <v/>
      </c>
      <c r="BD1417">
        <f>$C1417*BD1416</f>
        <v/>
      </c>
      <c r="BE1417">
        <f>$C1417*BE1416</f>
        <v/>
      </c>
      <c r="BF1417">
        <f>$C1417*BF1416</f>
        <v/>
      </c>
      <c r="BG1417">
        <f>$C1417*BG1416</f>
        <v/>
      </c>
      <c r="BH1417">
        <f>$C1417*BH1416</f>
        <v/>
      </c>
      <c r="BI1417">
        <f>$C1417*BI1416</f>
        <v/>
      </c>
      <c r="BJ1417">
        <f>$C1417*BJ1416</f>
        <v/>
      </c>
      <c r="BK1417">
        <f>$C1417*BK1416</f>
        <v/>
      </c>
      <c r="BL1417">
        <f>$C1417*BL1416</f>
        <v/>
      </c>
      <c r="BM1417">
        <f>$C1417*BM1416</f>
        <v/>
      </c>
      <c r="BN1417">
        <f>$C1417*BN1416</f>
        <v/>
      </c>
      <c r="BO1417">
        <f>$C1417*BO1416</f>
        <v/>
      </c>
      <c r="BP1417">
        <f>$C1417*BP1416</f>
        <v/>
      </c>
      <c r="BQ1417">
        <f>$C1417*BQ1416</f>
        <v/>
      </c>
      <c r="BR1417">
        <f>$C1417*BR1416</f>
        <v/>
      </c>
      <c r="BS1417">
        <f>$C1417*BS1416</f>
        <v/>
      </c>
      <c r="BT1417">
        <f>$C1417*BT1416</f>
        <v/>
      </c>
      <c r="BU1417">
        <f>$C1417*BU1416</f>
        <v/>
      </c>
      <c r="BV1417">
        <f>$C1417*BV1416</f>
        <v/>
      </c>
      <c r="BW1417">
        <f>$C1417*BW1416</f>
        <v/>
      </c>
      <c r="BX1417">
        <f>$C1417*BX1416</f>
        <v/>
      </c>
      <c r="BY1417">
        <f>$C1417*BY1416</f>
        <v/>
      </c>
      <c r="BZ1417">
        <f>$C1417*BZ1416</f>
        <v/>
      </c>
      <c r="CA1417">
        <f>$C1417*CA1416</f>
        <v/>
      </c>
      <c r="CB1417">
        <f>$C1417*CB1416</f>
        <v/>
      </c>
      <c r="CC1417">
        <f>$C1417*CC1416</f>
        <v/>
      </c>
      <c r="CD1417">
        <f>$C1417*CD1416</f>
        <v/>
      </c>
      <c r="CE1417">
        <f>$C1417*CE1416</f>
        <v/>
      </c>
      <c r="CF1417">
        <f>$C1417*CF1416</f>
        <v/>
      </c>
      <c r="CG1417">
        <f>$C1417*CG1416</f>
        <v/>
      </c>
      <c r="CH1417">
        <f>$C1417*CH1416</f>
        <v/>
      </c>
      <c r="CI1417">
        <f>$C1417*CI1416</f>
        <v/>
      </c>
      <c r="CJ1417">
        <f>$C1417*CJ1416</f>
        <v/>
      </c>
      <c r="CK1417">
        <f>$C1417*CK1416</f>
        <v/>
      </c>
      <c r="CL1417">
        <f>$C1417*CL1416</f>
        <v/>
      </c>
      <c r="CM1417">
        <f>$C1417*CM1416</f>
        <v/>
      </c>
      <c r="CN1417">
        <f>$C1417*CN1416</f>
        <v/>
      </c>
      <c r="CO1417">
        <f>$C1417*CO1416</f>
        <v/>
      </c>
      <c r="CP1417">
        <f>$C1417*CP1416</f>
        <v/>
      </c>
      <c r="CQ1417">
        <f>$C1417*CQ1416</f>
        <v/>
      </c>
      <c r="CR1417">
        <f>$C1417*CR1416</f>
        <v/>
      </c>
      <c r="CS1417">
        <f>$C1417*CS1416</f>
        <v/>
      </c>
      <c r="CT1417">
        <f>$C1417*CT1416</f>
        <v/>
      </c>
      <c r="CU1417">
        <f>$C1417*CU1416</f>
        <v/>
      </c>
      <c r="CV1417">
        <f>$C1417*CV1416</f>
        <v/>
      </c>
      <c r="CW1417">
        <f>$C1417*CW1416</f>
        <v/>
      </c>
      <c r="CX1417">
        <f>$C1417*CX1416</f>
        <v/>
      </c>
      <c r="CY1417">
        <f>$C1417*CY1416</f>
        <v/>
      </c>
      <c r="CZ1417">
        <f>$C1417*CZ1416</f>
        <v/>
      </c>
      <c r="DA1417">
        <f>$C1417*DA1416</f>
        <v/>
      </c>
      <c r="DB1417">
        <f>$C1417*DB1416</f>
        <v/>
      </c>
      <c r="DC1417">
        <f>$C1417*DC1416</f>
        <v/>
      </c>
      <c r="DD1417">
        <f>$C1417*DD1416</f>
        <v/>
      </c>
    </row>
    <row r="1418">
      <c r="B1418" t="inlineStr">
        <is>
          <t>TSP-934</t>
        </is>
      </c>
      <c r="C1418" t="inlineStr">
        <is>
          <t>No. of batches</t>
        </is>
      </c>
      <c r="D1418">
        <f>IFERROR(INDEX(E1418:DD1418,$F$1),"")</f>
        <v/>
      </c>
      <c r="E1418">
        <f>IFERROR(INDEX(PP_Grid[#Data],$DE1418,2),0)</f>
        <v/>
      </c>
      <c r="F1418">
        <f>IFERROR(INDEX(PP_Grid[#Data],$DE1418,3),0)</f>
        <v/>
      </c>
      <c r="G1418">
        <f>IFERROR(INDEX(PP_Grid[#Data],$DE1418,4),0)</f>
        <v/>
      </c>
      <c r="H1418">
        <f>IFERROR(INDEX(PP_Grid[#Data],$DE1418,5),0)</f>
        <v/>
      </c>
      <c r="I1418">
        <f>IFERROR(INDEX(PP_Grid[#Data],$DE1418,6),0)</f>
        <v/>
      </c>
      <c r="J1418">
        <f>IFERROR(INDEX(PP_Grid[#Data],$DE1418,7),0)</f>
        <v/>
      </c>
      <c r="K1418">
        <f>IFERROR(INDEX(PP_Grid[#Data],$DE1418,8),0)</f>
        <v/>
      </c>
      <c r="L1418">
        <f>IFERROR(INDEX(PP_Grid[#Data],$DE1418,9),0)</f>
        <v/>
      </c>
      <c r="M1418">
        <f>IFERROR(INDEX(PP_Grid[#Data],$DE1418,10),0)</f>
        <v/>
      </c>
      <c r="N1418">
        <f>IFERROR(INDEX(PP_Grid[#Data],$DE1418,11),0)</f>
        <v/>
      </c>
      <c r="O1418">
        <f>IFERROR(INDEX(PP_Grid[#Data],$DE1418,12),0)</f>
        <v/>
      </c>
      <c r="P1418">
        <f>IFERROR(INDEX(PP_Grid[#Data],$DE1418,13),0)</f>
        <v/>
      </c>
      <c r="Q1418">
        <f>IFERROR(INDEX(PP_Grid[#Data],$DE1418,14),0)</f>
        <v/>
      </c>
      <c r="R1418">
        <f>IFERROR(INDEX(PP_Grid[#Data],$DE1418,15),0)</f>
        <v/>
      </c>
      <c r="S1418">
        <f>IFERROR(INDEX(PP_Grid[#Data],$DE1418,16),0)</f>
        <v/>
      </c>
      <c r="T1418">
        <f>IFERROR(INDEX(PP_Grid[#Data],$DE1418,17),0)</f>
        <v/>
      </c>
      <c r="U1418">
        <f>IFERROR(INDEX(PP_Grid[#Data],$DE1418,18),0)</f>
        <v/>
      </c>
      <c r="V1418">
        <f>IFERROR(INDEX(PP_Grid[#Data],$DE1418,19),0)</f>
        <v/>
      </c>
      <c r="W1418">
        <f>IFERROR(INDEX(PP_Grid[#Data],$DE1418,20),0)</f>
        <v/>
      </c>
      <c r="X1418">
        <f>IFERROR(INDEX(PP_Grid[#Data],$DE1418,21),0)</f>
        <v/>
      </c>
      <c r="Y1418">
        <f>IFERROR(INDEX(PP_Grid[#Data],$DE1418,22),0)</f>
        <v/>
      </c>
      <c r="Z1418">
        <f>IFERROR(INDEX(PP_Grid[#Data],$DE1418,23),0)</f>
        <v/>
      </c>
      <c r="AA1418">
        <f>IFERROR(INDEX(PP_Grid[#Data],$DE1418,24),0)</f>
        <v/>
      </c>
      <c r="AB1418">
        <f>IFERROR(INDEX(PP_Grid[#Data],$DE1418,25),0)</f>
        <v/>
      </c>
      <c r="AC1418">
        <f>IFERROR(INDEX(PP_Grid[#Data],$DE1418,26),0)</f>
        <v/>
      </c>
      <c r="AD1418">
        <f>IFERROR(INDEX(PP_Grid[#Data],$DE1418,27),0)</f>
        <v/>
      </c>
      <c r="AE1418">
        <f>IFERROR(INDEX(PP_Grid[#Data],$DE1418,28),0)</f>
        <v/>
      </c>
      <c r="AF1418">
        <f>IFERROR(INDEX(PP_Grid[#Data],$DE1418,29),0)</f>
        <v/>
      </c>
      <c r="AG1418">
        <f>IFERROR(INDEX(PP_Grid[#Data],$DE1418,30),0)</f>
        <v/>
      </c>
      <c r="AH1418">
        <f>IFERROR(INDEX(PP_Grid[#Data],$DE1418,31),0)</f>
        <v/>
      </c>
      <c r="AI1418">
        <f>IFERROR(INDEX(PP_Grid[#Data],$DE1418,32),0)</f>
        <v/>
      </c>
      <c r="AJ1418">
        <f>IFERROR(INDEX(PP_Grid[#Data],$DE1418,33),0)</f>
        <v/>
      </c>
      <c r="AK1418">
        <f>IFERROR(INDEX(PP_Grid[#Data],$DE1418,34),0)</f>
        <v/>
      </c>
      <c r="AL1418">
        <f>IFERROR(INDEX(PP_Grid[#Data],$DE1418,35),0)</f>
        <v/>
      </c>
      <c r="AM1418">
        <f>IFERROR(INDEX(PP_Grid[#Data],$DE1418,36),0)</f>
        <v/>
      </c>
      <c r="AN1418">
        <f>IFERROR(INDEX(PP_Grid[#Data],$DE1418,37),0)</f>
        <v/>
      </c>
      <c r="AO1418">
        <f>IFERROR(INDEX(PP_Grid[#Data],$DE1418,38),0)</f>
        <v/>
      </c>
      <c r="AP1418">
        <f>IFERROR(INDEX(PP_Grid[#Data],$DE1418,39),0)</f>
        <v/>
      </c>
      <c r="AQ1418">
        <f>IFERROR(INDEX(PP_Grid[#Data],$DE1418,40),0)</f>
        <v/>
      </c>
      <c r="AR1418">
        <f>IFERROR(INDEX(PP_Grid[#Data],$DE1418,41),0)</f>
        <v/>
      </c>
      <c r="AS1418">
        <f>IFERROR(INDEX(PP_Grid[#Data],$DE1418,42),0)</f>
        <v/>
      </c>
      <c r="AT1418">
        <f>IFERROR(INDEX(PP_Grid[#Data],$DE1418,43),0)</f>
        <v/>
      </c>
      <c r="AU1418">
        <f>IFERROR(INDEX(PP_Grid[#Data],$DE1418,44),0)</f>
        <v/>
      </c>
      <c r="AV1418">
        <f>IFERROR(INDEX(PP_Grid[#Data],$DE1418,45),0)</f>
        <v/>
      </c>
      <c r="AW1418">
        <f>IFERROR(INDEX(PP_Grid[#Data],$DE1418,46),0)</f>
        <v/>
      </c>
      <c r="AX1418">
        <f>IFERROR(INDEX(PP_Grid[#Data],$DE1418,47),0)</f>
        <v/>
      </c>
      <c r="AY1418">
        <f>IFERROR(INDEX(PP_Grid[#Data],$DE1418,48),0)</f>
        <v/>
      </c>
      <c r="AZ1418">
        <f>IFERROR(INDEX(PP_Grid[#Data],$DE1418,49),0)</f>
        <v/>
      </c>
      <c r="BA1418">
        <f>IFERROR(INDEX(PP_Grid[#Data],$DE1418,50),0)</f>
        <v/>
      </c>
      <c r="BB1418">
        <f>IFERROR(INDEX(PP_Grid[#Data],$DE1418,51),0)</f>
        <v/>
      </c>
      <c r="BC1418">
        <f>IFERROR(INDEX(PP_Grid[#Data],$DE1418,52),0)</f>
        <v/>
      </c>
      <c r="BD1418">
        <f>IFERROR(INDEX(PP_Grid[#Data],$DE1418,53),0)</f>
        <v/>
      </c>
      <c r="BE1418">
        <f>IFERROR(INDEX(PP_Grid[#Data],$DE1418,54),0)</f>
        <v/>
      </c>
      <c r="BF1418">
        <f>IFERROR(INDEX(PP_Grid[#Data],$DE1418,55),0)</f>
        <v/>
      </c>
      <c r="BG1418">
        <f>IFERROR(INDEX(PP_Grid[#Data],$DE1418,56),0)</f>
        <v/>
      </c>
      <c r="BH1418">
        <f>IFERROR(INDEX(PP_Grid[#Data],$DE1418,57),0)</f>
        <v/>
      </c>
      <c r="BI1418">
        <f>IFERROR(INDEX(PP_Grid[#Data],$DE1418,58),0)</f>
        <v/>
      </c>
      <c r="BJ1418">
        <f>IFERROR(INDEX(PP_Grid[#Data],$DE1418,59),0)</f>
        <v/>
      </c>
      <c r="BK1418">
        <f>IFERROR(INDEX(PP_Grid[#Data],$DE1418,60),0)</f>
        <v/>
      </c>
      <c r="BL1418">
        <f>IFERROR(INDEX(PP_Grid[#Data],$DE1418,61),0)</f>
        <v/>
      </c>
      <c r="BM1418">
        <f>IFERROR(INDEX(PP_Grid[#Data],$DE1418,62),0)</f>
        <v/>
      </c>
      <c r="BN1418">
        <f>IFERROR(INDEX(PP_Grid[#Data],$DE1418,63),0)</f>
        <v/>
      </c>
      <c r="BO1418">
        <f>IFERROR(INDEX(PP_Grid[#Data],$DE1418,64),0)</f>
        <v/>
      </c>
      <c r="BP1418">
        <f>IFERROR(INDEX(PP_Grid[#Data],$DE1418,65),0)</f>
        <v/>
      </c>
      <c r="BQ1418">
        <f>IFERROR(INDEX(PP_Grid[#Data],$DE1418,66),0)</f>
        <v/>
      </c>
      <c r="BR1418">
        <f>IFERROR(INDEX(PP_Grid[#Data],$DE1418,67),0)</f>
        <v/>
      </c>
      <c r="BS1418">
        <f>IFERROR(INDEX(PP_Grid[#Data],$DE1418,68),0)</f>
        <v/>
      </c>
      <c r="BT1418">
        <f>IFERROR(INDEX(PP_Grid[#Data],$DE1418,69),0)</f>
        <v/>
      </c>
      <c r="BU1418">
        <f>IFERROR(INDEX(PP_Grid[#Data],$DE1418,70),0)</f>
        <v/>
      </c>
      <c r="BV1418">
        <f>IFERROR(INDEX(PP_Grid[#Data],$DE1418,71),0)</f>
        <v/>
      </c>
      <c r="BW1418">
        <f>IFERROR(INDEX(PP_Grid[#Data],$DE1418,72),0)</f>
        <v/>
      </c>
      <c r="BX1418">
        <f>IFERROR(INDEX(PP_Grid[#Data],$DE1418,73),0)</f>
        <v/>
      </c>
      <c r="BY1418">
        <f>IFERROR(INDEX(PP_Grid[#Data],$DE1418,74),0)</f>
        <v/>
      </c>
      <c r="BZ1418">
        <f>IFERROR(INDEX(PP_Grid[#Data],$DE1418,75),0)</f>
        <v/>
      </c>
      <c r="CA1418">
        <f>IFERROR(INDEX(PP_Grid[#Data],$DE1418,76),0)</f>
        <v/>
      </c>
      <c r="CB1418">
        <f>IFERROR(INDEX(PP_Grid[#Data],$DE1418,77),0)</f>
        <v/>
      </c>
      <c r="CC1418">
        <f>IFERROR(INDEX(PP_Grid[#Data],$DE1418,78),0)</f>
        <v/>
      </c>
      <c r="CD1418">
        <f>IFERROR(INDEX(PP_Grid[#Data],$DE1418,79),0)</f>
        <v/>
      </c>
      <c r="CE1418">
        <f>IFERROR(INDEX(PP_Grid[#Data],$DE1418,80),0)</f>
        <v/>
      </c>
      <c r="CF1418">
        <f>IFERROR(INDEX(PP_Grid[#Data],$DE1418,81),0)</f>
        <v/>
      </c>
      <c r="CG1418">
        <f>IFERROR(INDEX(PP_Grid[#Data],$DE1418,82),0)</f>
        <v/>
      </c>
      <c r="CH1418">
        <f>IFERROR(INDEX(PP_Grid[#Data],$DE1418,83),0)</f>
        <v/>
      </c>
      <c r="CI1418">
        <f>IFERROR(INDEX(PP_Grid[#Data],$DE1418,84),0)</f>
        <v/>
      </c>
      <c r="CJ1418">
        <f>IFERROR(INDEX(PP_Grid[#Data],$DE1418,85),0)</f>
        <v/>
      </c>
      <c r="CK1418">
        <f>IFERROR(INDEX(PP_Grid[#Data],$DE1418,86),0)</f>
        <v/>
      </c>
      <c r="CL1418">
        <f>IFERROR(INDEX(PP_Grid[#Data],$DE1418,87),0)</f>
        <v/>
      </c>
      <c r="CM1418">
        <f>IFERROR(INDEX(PP_Grid[#Data],$DE1418,88),0)</f>
        <v/>
      </c>
      <c r="CN1418">
        <f>IFERROR(INDEX(PP_Grid[#Data],$DE1418,89),0)</f>
        <v/>
      </c>
      <c r="CO1418">
        <f>IFERROR(INDEX(PP_Grid[#Data],$DE1418,90),0)</f>
        <v/>
      </c>
      <c r="CP1418">
        <f>IFERROR(INDEX(PP_Grid[#Data],$DE1418,91),0)</f>
        <v/>
      </c>
      <c r="CQ1418">
        <f>IFERROR(INDEX(PP_Grid[#Data],$DE1418,92),0)</f>
        <v/>
      </c>
      <c r="CR1418">
        <f>IFERROR(INDEX(PP_Grid[#Data],$DE1418,93),0)</f>
        <v/>
      </c>
      <c r="CS1418">
        <f>IFERROR(INDEX(PP_Grid[#Data],$DE1418,94),0)</f>
        <v/>
      </c>
      <c r="CT1418">
        <f>IFERROR(INDEX(PP_Grid[#Data],$DE1418,95),0)</f>
        <v/>
      </c>
      <c r="CU1418">
        <f>IFERROR(INDEX(PP_Grid[#Data],$DE1418,96),0)</f>
        <v/>
      </c>
      <c r="CV1418">
        <f>IFERROR(INDEX(PP_Grid[#Data],$DE1418,97),0)</f>
        <v/>
      </c>
      <c r="CW1418">
        <f>IFERROR(INDEX(PP_Grid[#Data],$DE1418,98),0)</f>
        <v/>
      </c>
      <c r="CX1418">
        <f>IFERROR(INDEX(PP_Grid[#Data],$DE1418,99),0)</f>
        <v/>
      </c>
      <c r="CY1418">
        <f>IFERROR(INDEX(PP_Grid[#Data],$DE1418,100),0)</f>
        <v/>
      </c>
      <c r="CZ1418">
        <f>IFERROR(INDEX(PP_Grid[#Data],$DE1418,101),0)</f>
        <v/>
      </c>
      <c r="DA1418">
        <f>IFERROR(INDEX(PP_Grid[#Data],$DE1418,102),0)</f>
        <v/>
      </c>
      <c r="DB1418">
        <f>IFERROR(INDEX(PP_Grid[#Data],$DE1418,103),0)</f>
        <v/>
      </c>
      <c r="DC1418">
        <f>IFERROR(INDEX(PP_Grid[#Data],$DE1418,104),0)</f>
        <v/>
      </c>
      <c r="DD1418">
        <f>IFERROR(INDEX(PP_Grid[#Data],$DE1418,105),0)</f>
        <v/>
      </c>
      <c r="DE1418" s="7">
        <f>IFERROR(MATCH($B1418,PP_Grid[Intermediate],0),99999)</f>
        <v/>
      </c>
    </row>
    <row r="1419">
      <c r="B1419" t="inlineStr">
        <is>
          <t>使用量(kg)</t>
        </is>
      </c>
      <c r="C1419">
        <f>SUMIFS(M_BOM[RM_Qty_Per_Batch],M_BOM[Intermediate],$B1418,M_BOM[RM_Code],$A1413)</f>
        <v/>
      </c>
      <c r="D1419">
        <f>IFERROR(INDEX(E1419:DD1419,$F$1),"")</f>
        <v/>
      </c>
      <c r="E1419">
        <f>$C1419*E1418</f>
        <v/>
      </c>
      <c r="F1419">
        <f>$C1419*F1418</f>
        <v/>
      </c>
      <c r="G1419">
        <f>$C1419*G1418</f>
        <v/>
      </c>
      <c r="H1419">
        <f>$C1419*H1418</f>
        <v/>
      </c>
      <c r="I1419">
        <f>$C1419*I1418</f>
        <v/>
      </c>
      <c r="J1419">
        <f>$C1419*J1418</f>
        <v/>
      </c>
      <c r="K1419">
        <f>$C1419*K1418</f>
        <v/>
      </c>
      <c r="L1419">
        <f>$C1419*L1418</f>
        <v/>
      </c>
      <c r="M1419">
        <f>$C1419*M1418</f>
        <v/>
      </c>
      <c r="N1419">
        <f>$C1419*N1418</f>
        <v/>
      </c>
      <c r="O1419">
        <f>$C1419*O1418</f>
        <v/>
      </c>
      <c r="P1419">
        <f>$C1419*P1418</f>
        <v/>
      </c>
      <c r="Q1419">
        <f>$C1419*Q1418</f>
        <v/>
      </c>
      <c r="R1419">
        <f>$C1419*R1418</f>
        <v/>
      </c>
      <c r="S1419">
        <f>$C1419*S1418</f>
        <v/>
      </c>
      <c r="T1419">
        <f>$C1419*T1418</f>
        <v/>
      </c>
      <c r="U1419">
        <f>$C1419*U1418</f>
        <v/>
      </c>
      <c r="V1419">
        <f>$C1419*V1418</f>
        <v/>
      </c>
      <c r="W1419">
        <f>$C1419*W1418</f>
        <v/>
      </c>
      <c r="X1419">
        <f>$C1419*X1418</f>
        <v/>
      </c>
      <c r="Y1419">
        <f>$C1419*Y1418</f>
        <v/>
      </c>
      <c r="Z1419">
        <f>$C1419*Z1418</f>
        <v/>
      </c>
      <c r="AA1419">
        <f>$C1419*AA1418</f>
        <v/>
      </c>
      <c r="AB1419">
        <f>$C1419*AB1418</f>
        <v/>
      </c>
      <c r="AC1419">
        <f>$C1419*AC1418</f>
        <v/>
      </c>
      <c r="AD1419">
        <f>$C1419*AD1418</f>
        <v/>
      </c>
      <c r="AE1419">
        <f>$C1419*AE1418</f>
        <v/>
      </c>
      <c r="AF1419">
        <f>$C1419*AF1418</f>
        <v/>
      </c>
      <c r="AG1419">
        <f>$C1419*AG1418</f>
        <v/>
      </c>
      <c r="AH1419">
        <f>$C1419*AH1418</f>
        <v/>
      </c>
      <c r="AI1419">
        <f>$C1419*AI1418</f>
        <v/>
      </c>
      <c r="AJ1419">
        <f>$C1419*AJ1418</f>
        <v/>
      </c>
      <c r="AK1419">
        <f>$C1419*AK1418</f>
        <v/>
      </c>
      <c r="AL1419">
        <f>$C1419*AL1418</f>
        <v/>
      </c>
      <c r="AM1419">
        <f>$C1419*AM1418</f>
        <v/>
      </c>
      <c r="AN1419">
        <f>$C1419*AN1418</f>
        <v/>
      </c>
      <c r="AO1419">
        <f>$C1419*AO1418</f>
        <v/>
      </c>
      <c r="AP1419">
        <f>$C1419*AP1418</f>
        <v/>
      </c>
      <c r="AQ1419">
        <f>$C1419*AQ1418</f>
        <v/>
      </c>
      <c r="AR1419">
        <f>$C1419*AR1418</f>
        <v/>
      </c>
      <c r="AS1419">
        <f>$C1419*AS1418</f>
        <v/>
      </c>
      <c r="AT1419">
        <f>$C1419*AT1418</f>
        <v/>
      </c>
      <c r="AU1419">
        <f>$C1419*AU1418</f>
        <v/>
      </c>
      <c r="AV1419">
        <f>$C1419*AV1418</f>
        <v/>
      </c>
      <c r="AW1419">
        <f>$C1419*AW1418</f>
        <v/>
      </c>
      <c r="AX1419">
        <f>$C1419*AX1418</f>
        <v/>
      </c>
      <c r="AY1419">
        <f>$C1419*AY1418</f>
        <v/>
      </c>
      <c r="AZ1419">
        <f>$C1419*AZ1418</f>
        <v/>
      </c>
      <c r="BA1419">
        <f>$C1419*BA1418</f>
        <v/>
      </c>
      <c r="BB1419">
        <f>$C1419*BB1418</f>
        <v/>
      </c>
      <c r="BC1419">
        <f>$C1419*BC1418</f>
        <v/>
      </c>
      <c r="BD1419">
        <f>$C1419*BD1418</f>
        <v/>
      </c>
      <c r="BE1419">
        <f>$C1419*BE1418</f>
        <v/>
      </c>
      <c r="BF1419">
        <f>$C1419*BF1418</f>
        <v/>
      </c>
      <c r="BG1419">
        <f>$C1419*BG1418</f>
        <v/>
      </c>
      <c r="BH1419">
        <f>$C1419*BH1418</f>
        <v/>
      </c>
      <c r="BI1419">
        <f>$C1419*BI1418</f>
        <v/>
      </c>
      <c r="BJ1419">
        <f>$C1419*BJ1418</f>
        <v/>
      </c>
      <c r="BK1419">
        <f>$C1419*BK1418</f>
        <v/>
      </c>
      <c r="BL1419">
        <f>$C1419*BL1418</f>
        <v/>
      </c>
      <c r="BM1419">
        <f>$C1419*BM1418</f>
        <v/>
      </c>
      <c r="BN1419">
        <f>$C1419*BN1418</f>
        <v/>
      </c>
      <c r="BO1419">
        <f>$C1419*BO1418</f>
        <v/>
      </c>
      <c r="BP1419">
        <f>$C1419*BP1418</f>
        <v/>
      </c>
      <c r="BQ1419">
        <f>$C1419*BQ1418</f>
        <v/>
      </c>
      <c r="BR1419">
        <f>$C1419*BR1418</f>
        <v/>
      </c>
      <c r="BS1419">
        <f>$C1419*BS1418</f>
        <v/>
      </c>
      <c r="BT1419">
        <f>$C1419*BT1418</f>
        <v/>
      </c>
      <c r="BU1419">
        <f>$C1419*BU1418</f>
        <v/>
      </c>
      <c r="BV1419">
        <f>$C1419*BV1418</f>
        <v/>
      </c>
      <c r="BW1419">
        <f>$C1419*BW1418</f>
        <v/>
      </c>
      <c r="BX1419">
        <f>$C1419*BX1418</f>
        <v/>
      </c>
      <c r="BY1419">
        <f>$C1419*BY1418</f>
        <v/>
      </c>
      <c r="BZ1419">
        <f>$C1419*BZ1418</f>
        <v/>
      </c>
      <c r="CA1419">
        <f>$C1419*CA1418</f>
        <v/>
      </c>
      <c r="CB1419">
        <f>$C1419*CB1418</f>
        <v/>
      </c>
      <c r="CC1419">
        <f>$C1419*CC1418</f>
        <v/>
      </c>
      <c r="CD1419">
        <f>$C1419*CD1418</f>
        <v/>
      </c>
      <c r="CE1419">
        <f>$C1419*CE1418</f>
        <v/>
      </c>
      <c r="CF1419">
        <f>$C1419*CF1418</f>
        <v/>
      </c>
      <c r="CG1419">
        <f>$C1419*CG1418</f>
        <v/>
      </c>
      <c r="CH1419">
        <f>$C1419*CH1418</f>
        <v/>
      </c>
      <c r="CI1419">
        <f>$C1419*CI1418</f>
        <v/>
      </c>
      <c r="CJ1419">
        <f>$C1419*CJ1418</f>
        <v/>
      </c>
      <c r="CK1419">
        <f>$C1419*CK1418</f>
        <v/>
      </c>
      <c r="CL1419">
        <f>$C1419*CL1418</f>
        <v/>
      </c>
      <c r="CM1419">
        <f>$C1419*CM1418</f>
        <v/>
      </c>
      <c r="CN1419">
        <f>$C1419*CN1418</f>
        <v/>
      </c>
      <c r="CO1419">
        <f>$C1419*CO1418</f>
        <v/>
      </c>
      <c r="CP1419">
        <f>$C1419*CP1418</f>
        <v/>
      </c>
      <c r="CQ1419">
        <f>$C1419*CQ1418</f>
        <v/>
      </c>
      <c r="CR1419">
        <f>$C1419*CR1418</f>
        <v/>
      </c>
      <c r="CS1419">
        <f>$C1419*CS1418</f>
        <v/>
      </c>
      <c r="CT1419">
        <f>$C1419*CT1418</f>
        <v/>
      </c>
      <c r="CU1419">
        <f>$C1419*CU1418</f>
        <v/>
      </c>
      <c r="CV1419">
        <f>$C1419*CV1418</f>
        <v/>
      </c>
      <c r="CW1419">
        <f>$C1419*CW1418</f>
        <v/>
      </c>
      <c r="CX1419">
        <f>$C1419*CX1418</f>
        <v/>
      </c>
      <c r="CY1419">
        <f>$C1419*CY1418</f>
        <v/>
      </c>
      <c r="CZ1419">
        <f>$C1419*CZ1418</f>
        <v/>
      </c>
      <c r="DA1419">
        <f>$C1419*DA1418</f>
        <v/>
      </c>
      <c r="DB1419">
        <f>$C1419*DB1418</f>
        <v/>
      </c>
      <c r="DC1419">
        <f>$C1419*DC1418</f>
        <v/>
      </c>
      <c r="DD1419">
        <f>$C1419*DD1418</f>
        <v/>
      </c>
    </row>
    <row r="1420">
      <c r="B1420" t="inlineStr">
        <is>
          <t>TSP-935</t>
        </is>
      </c>
      <c r="C1420" t="inlineStr">
        <is>
          <t>No. of batches</t>
        </is>
      </c>
      <c r="D1420">
        <f>IFERROR(INDEX(E1420:DD1420,$F$1),"")</f>
        <v/>
      </c>
      <c r="E1420">
        <f>IFERROR(INDEX(PP_Grid[#Data],$DE1420,2),0)</f>
        <v/>
      </c>
      <c r="F1420">
        <f>IFERROR(INDEX(PP_Grid[#Data],$DE1420,3),0)</f>
        <v/>
      </c>
      <c r="G1420">
        <f>IFERROR(INDEX(PP_Grid[#Data],$DE1420,4),0)</f>
        <v/>
      </c>
      <c r="H1420">
        <f>IFERROR(INDEX(PP_Grid[#Data],$DE1420,5),0)</f>
        <v/>
      </c>
      <c r="I1420">
        <f>IFERROR(INDEX(PP_Grid[#Data],$DE1420,6),0)</f>
        <v/>
      </c>
      <c r="J1420">
        <f>IFERROR(INDEX(PP_Grid[#Data],$DE1420,7),0)</f>
        <v/>
      </c>
      <c r="K1420">
        <f>IFERROR(INDEX(PP_Grid[#Data],$DE1420,8),0)</f>
        <v/>
      </c>
      <c r="L1420">
        <f>IFERROR(INDEX(PP_Grid[#Data],$DE1420,9),0)</f>
        <v/>
      </c>
      <c r="M1420">
        <f>IFERROR(INDEX(PP_Grid[#Data],$DE1420,10),0)</f>
        <v/>
      </c>
      <c r="N1420">
        <f>IFERROR(INDEX(PP_Grid[#Data],$DE1420,11),0)</f>
        <v/>
      </c>
      <c r="O1420">
        <f>IFERROR(INDEX(PP_Grid[#Data],$DE1420,12),0)</f>
        <v/>
      </c>
      <c r="P1420">
        <f>IFERROR(INDEX(PP_Grid[#Data],$DE1420,13),0)</f>
        <v/>
      </c>
      <c r="Q1420">
        <f>IFERROR(INDEX(PP_Grid[#Data],$DE1420,14),0)</f>
        <v/>
      </c>
      <c r="R1420">
        <f>IFERROR(INDEX(PP_Grid[#Data],$DE1420,15),0)</f>
        <v/>
      </c>
      <c r="S1420">
        <f>IFERROR(INDEX(PP_Grid[#Data],$DE1420,16),0)</f>
        <v/>
      </c>
      <c r="T1420">
        <f>IFERROR(INDEX(PP_Grid[#Data],$DE1420,17),0)</f>
        <v/>
      </c>
      <c r="U1420">
        <f>IFERROR(INDEX(PP_Grid[#Data],$DE1420,18),0)</f>
        <v/>
      </c>
      <c r="V1420">
        <f>IFERROR(INDEX(PP_Grid[#Data],$DE1420,19),0)</f>
        <v/>
      </c>
      <c r="W1420">
        <f>IFERROR(INDEX(PP_Grid[#Data],$DE1420,20),0)</f>
        <v/>
      </c>
      <c r="X1420">
        <f>IFERROR(INDEX(PP_Grid[#Data],$DE1420,21),0)</f>
        <v/>
      </c>
      <c r="Y1420">
        <f>IFERROR(INDEX(PP_Grid[#Data],$DE1420,22),0)</f>
        <v/>
      </c>
      <c r="Z1420">
        <f>IFERROR(INDEX(PP_Grid[#Data],$DE1420,23),0)</f>
        <v/>
      </c>
      <c r="AA1420">
        <f>IFERROR(INDEX(PP_Grid[#Data],$DE1420,24),0)</f>
        <v/>
      </c>
      <c r="AB1420">
        <f>IFERROR(INDEX(PP_Grid[#Data],$DE1420,25),0)</f>
        <v/>
      </c>
      <c r="AC1420">
        <f>IFERROR(INDEX(PP_Grid[#Data],$DE1420,26),0)</f>
        <v/>
      </c>
      <c r="AD1420">
        <f>IFERROR(INDEX(PP_Grid[#Data],$DE1420,27),0)</f>
        <v/>
      </c>
      <c r="AE1420">
        <f>IFERROR(INDEX(PP_Grid[#Data],$DE1420,28),0)</f>
        <v/>
      </c>
      <c r="AF1420">
        <f>IFERROR(INDEX(PP_Grid[#Data],$DE1420,29),0)</f>
        <v/>
      </c>
      <c r="AG1420">
        <f>IFERROR(INDEX(PP_Grid[#Data],$DE1420,30),0)</f>
        <v/>
      </c>
      <c r="AH1420">
        <f>IFERROR(INDEX(PP_Grid[#Data],$DE1420,31),0)</f>
        <v/>
      </c>
      <c r="AI1420">
        <f>IFERROR(INDEX(PP_Grid[#Data],$DE1420,32),0)</f>
        <v/>
      </c>
      <c r="AJ1420">
        <f>IFERROR(INDEX(PP_Grid[#Data],$DE1420,33),0)</f>
        <v/>
      </c>
      <c r="AK1420">
        <f>IFERROR(INDEX(PP_Grid[#Data],$DE1420,34),0)</f>
        <v/>
      </c>
      <c r="AL1420">
        <f>IFERROR(INDEX(PP_Grid[#Data],$DE1420,35),0)</f>
        <v/>
      </c>
      <c r="AM1420">
        <f>IFERROR(INDEX(PP_Grid[#Data],$DE1420,36),0)</f>
        <v/>
      </c>
      <c r="AN1420">
        <f>IFERROR(INDEX(PP_Grid[#Data],$DE1420,37),0)</f>
        <v/>
      </c>
      <c r="AO1420">
        <f>IFERROR(INDEX(PP_Grid[#Data],$DE1420,38),0)</f>
        <v/>
      </c>
      <c r="AP1420">
        <f>IFERROR(INDEX(PP_Grid[#Data],$DE1420,39),0)</f>
        <v/>
      </c>
      <c r="AQ1420">
        <f>IFERROR(INDEX(PP_Grid[#Data],$DE1420,40),0)</f>
        <v/>
      </c>
      <c r="AR1420">
        <f>IFERROR(INDEX(PP_Grid[#Data],$DE1420,41),0)</f>
        <v/>
      </c>
      <c r="AS1420">
        <f>IFERROR(INDEX(PP_Grid[#Data],$DE1420,42),0)</f>
        <v/>
      </c>
      <c r="AT1420">
        <f>IFERROR(INDEX(PP_Grid[#Data],$DE1420,43),0)</f>
        <v/>
      </c>
      <c r="AU1420">
        <f>IFERROR(INDEX(PP_Grid[#Data],$DE1420,44),0)</f>
        <v/>
      </c>
      <c r="AV1420">
        <f>IFERROR(INDEX(PP_Grid[#Data],$DE1420,45),0)</f>
        <v/>
      </c>
      <c r="AW1420">
        <f>IFERROR(INDEX(PP_Grid[#Data],$DE1420,46),0)</f>
        <v/>
      </c>
      <c r="AX1420">
        <f>IFERROR(INDEX(PP_Grid[#Data],$DE1420,47),0)</f>
        <v/>
      </c>
      <c r="AY1420">
        <f>IFERROR(INDEX(PP_Grid[#Data],$DE1420,48),0)</f>
        <v/>
      </c>
      <c r="AZ1420">
        <f>IFERROR(INDEX(PP_Grid[#Data],$DE1420,49),0)</f>
        <v/>
      </c>
      <c r="BA1420">
        <f>IFERROR(INDEX(PP_Grid[#Data],$DE1420,50),0)</f>
        <v/>
      </c>
      <c r="BB1420">
        <f>IFERROR(INDEX(PP_Grid[#Data],$DE1420,51),0)</f>
        <v/>
      </c>
      <c r="BC1420">
        <f>IFERROR(INDEX(PP_Grid[#Data],$DE1420,52),0)</f>
        <v/>
      </c>
      <c r="BD1420">
        <f>IFERROR(INDEX(PP_Grid[#Data],$DE1420,53),0)</f>
        <v/>
      </c>
      <c r="BE1420">
        <f>IFERROR(INDEX(PP_Grid[#Data],$DE1420,54),0)</f>
        <v/>
      </c>
      <c r="BF1420">
        <f>IFERROR(INDEX(PP_Grid[#Data],$DE1420,55),0)</f>
        <v/>
      </c>
      <c r="BG1420">
        <f>IFERROR(INDEX(PP_Grid[#Data],$DE1420,56),0)</f>
        <v/>
      </c>
      <c r="BH1420">
        <f>IFERROR(INDEX(PP_Grid[#Data],$DE1420,57),0)</f>
        <v/>
      </c>
      <c r="BI1420">
        <f>IFERROR(INDEX(PP_Grid[#Data],$DE1420,58),0)</f>
        <v/>
      </c>
      <c r="BJ1420">
        <f>IFERROR(INDEX(PP_Grid[#Data],$DE1420,59),0)</f>
        <v/>
      </c>
      <c r="BK1420">
        <f>IFERROR(INDEX(PP_Grid[#Data],$DE1420,60),0)</f>
        <v/>
      </c>
      <c r="BL1420">
        <f>IFERROR(INDEX(PP_Grid[#Data],$DE1420,61),0)</f>
        <v/>
      </c>
      <c r="BM1420">
        <f>IFERROR(INDEX(PP_Grid[#Data],$DE1420,62),0)</f>
        <v/>
      </c>
      <c r="BN1420">
        <f>IFERROR(INDEX(PP_Grid[#Data],$DE1420,63),0)</f>
        <v/>
      </c>
      <c r="BO1420">
        <f>IFERROR(INDEX(PP_Grid[#Data],$DE1420,64),0)</f>
        <v/>
      </c>
      <c r="BP1420">
        <f>IFERROR(INDEX(PP_Grid[#Data],$DE1420,65),0)</f>
        <v/>
      </c>
      <c r="BQ1420">
        <f>IFERROR(INDEX(PP_Grid[#Data],$DE1420,66),0)</f>
        <v/>
      </c>
      <c r="BR1420">
        <f>IFERROR(INDEX(PP_Grid[#Data],$DE1420,67),0)</f>
        <v/>
      </c>
      <c r="BS1420">
        <f>IFERROR(INDEX(PP_Grid[#Data],$DE1420,68),0)</f>
        <v/>
      </c>
      <c r="BT1420">
        <f>IFERROR(INDEX(PP_Grid[#Data],$DE1420,69),0)</f>
        <v/>
      </c>
      <c r="BU1420">
        <f>IFERROR(INDEX(PP_Grid[#Data],$DE1420,70),0)</f>
        <v/>
      </c>
      <c r="BV1420">
        <f>IFERROR(INDEX(PP_Grid[#Data],$DE1420,71),0)</f>
        <v/>
      </c>
      <c r="BW1420">
        <f>IFERROR(INDEX(PP_Grid[#Data],$DE1420,72),0)</f>
        <v/>
      </c>
      <c r="BX1420">
        <f>IFERROR(INDEX(PP_Grid[#Data],$DE1420,73),0)</f>
        <v/>
      </c>
      <c r="BY1420">
        <f>IFERROR(INDEX(PP_Grid[#Data],$DE1420,74),0)</f>
        <v/>
      </c>
      <c r="BZ1420">
        <f>IFERROR(INDEX(PP_Grid[#Data],$DE1420,75),0)</f>
        <v/>
      </c>
      <c r="CA1420">
        <f>IFERROR(INDEX(PP_Grid[#Data],$DE1420,76),0)</f>
        <v/>
      </c>
      <c r="CB1420">
        <f>IFERROR(INDEX(PP_Grid[#Data],$DE1420,77),0)</f>
        <v/>
      </c>
      <c r="CC1420">
        <f>IFERROR(INDEX(PP_Grid[#Data],$DE1420,78),0)</f>
        <v/>
      </c>
      <c r="CD1420">
        <f>IFERROR(INDEX(PP_Grid[#Data],$DE1420,79),0)</f>
        <v/>
      </c>
      <c r="CE1420">
        <f>IFERROR(INDEX(PP_Grid[#Data],$DE1420,80),0)</f>
        <v/>
      </c>
      <c r="CF1420">
        <f>IFERROR(INDEX(PP_Grid[#Data],$DE1420,81),0)</f>
        <v/>
      </c>
      <c r="CG1420">
        <f>IFERROR(INDEX(PP_Grid[#Data],$DE1420,82),0)</f>
        <v/>
      </c>
      <c r="CH1420">
        <f>IFERROR(INDEX(PP_Grid[#Data],$DE1420,83),0)</f>
        <v/>
      </c>
      <c r="CI1420">
        <f>IFERROR(INDEX(PP_Grid[#Data],$DE1420,84),0)</f>
        <v/>
      </c>
      <c r="CJ1420">
        <f>IFERROR(INDEX(PP_Grid[#Data],$DE1420,85),0)</f>
        <v/>
      </c>
      <c r="CK1420">
        <f>IFERROR(INDEX(PP_Grid[#Data],$DE1420,86),0)</f>
        <v/>
      </c>
      <c r="CL1420">
        <f>IFERROR(INDEX(PP_Grid[#Data],$DE1420,87),0)</f>
        <v/>
      </c>
      <c r="CM1420">
        <f>IFERROR(INDEX(PP_Grid[#Data],$DE1420,88),0)</f>
        <v/>
      </c>
      <c r="CN1420">
        <f>IFERROR(INDEX(PP_Grid[#Data],$DE1420,89),0)</f>
        <v/>
      </c>
      <c r="CO1420">
        <f>IFERROR(INDEX(PP_Grid[#Data],$DE1420,90),0)</f>
        <v/>
      </c>
      <c r="CP1420">
        <f>IFERROR(INDEX(PP_Grid[#Data],$DE1420,91),0)</f>
        <v/>
      </c>
      <c r="CQ1420">
        <f>IFERROR(INDEX(PP_Grid[#Data],$DE1420,92),0)</f>
        <v/>
      </c>
      <c r="CR1420">
        <f>IFERROR(INDEX(PP_Grid[#Data],$DE1420,93),0)</f>
        <v/>
      </c>
      <c r="CS1420">
        <f>IFERROR(INDEX(PP_Grid[#Data],$DE1420,94),0)</f>
        <v/>
      </c>
      <c r="CT1420">
        <f>IFERROR(INDEX(PP_Grid[#Data],$DE1420,95),0)</f>
        <v/>
      </c>
      <c r="CU1420">
        <f>IFERROR(INDEX(PP_Grid[#Data],$DE1420,96),0)</f>
        <v/>
      </c>
      <c r="CV1420">
        <f>IFERROR(INDEX(PP_Grid[#Data],$DE1420,97),0)</f>
        <v/>
      </c>
      <c r="CW1420">
        <f>IFERROR(INDEX(PP_Grid[#Data],$DE1420,98),0)</f>
        <v/>
      </c>
      <c r="CX1420">
        <f>IFERROR(INDEX(PP_Grid[#Data],$DE1420,99),0)</f>
        <v/>
      </c>
      <c r="CY1420">
        <f>IFERROR(INDEX(PP_Grid[#Data],$DE1420,100),0)</f>
        <v/>
      </c>
      <c r="CZ1420">
        <f>IFERROR(INDEX(PP_Grid[#Data],$DE1420,101),0)</f>
        <v/>
      </c>
      <c r="DA1420">
        <f>IFERROR(INDEX(PP_Grid[#Data],$DE1420,102),0)</f>
        <v/>
      </c>
      <c r="DB1420">
        <f>IFERROR(INDEX(PP_Grid[#Data],$DE1420,103),0)</f>
        <v/>
      </c>
      <c r="DC1420">
        <f>IFERROR(INDEX(PP_Grid[#Data],$DE1420,104),0)</f>
        <v/>
      </c>
      <c r="DD1420">
        <f>IFERROR(INDEX(PP_Grid[#Data],$DE1420,105),0)</f>
        <v/>
      </c>
      <c r="DE1420" s="7">
        <f>IFERROR(MATCH($B1420,PP_Grid[Intermediate],0),99999)</f>
        <v/>
      </c>
    </row>
    <row r="1421">
      <c r="B1421" t="inlineStr">
        <is>
          <t>使用量(kg)</t>
        </is>
      </c>
      <c r="C1421">
        <f>SUMIFS(M_BOM[RM_Qty_Per_Batch],M_BOM[Intermediate],$B1420,M_BOM[RM_Code],$A1413)</f>
        <v/>
      </c>
      <c r="D1421">
        <f>IFERROR(INDEX(E1421:DD1421,$F$1),"")</f>
        <v/>
      </c>
      <c r="E1421">
        <f>$C1421*E1420</f>
        <v/>
      </c>
      <c r="F1421">
        <f>$C1421*F1420</f>
        <v/>
      </c>
      <c r="G1421">
        <f>$C1421*G1420</f>
        <v/>
      </c>
      <c r="H1421">
        <f>$C1421*H1420</f>
        <v/>
      </c>
      <c r="I1421">
        <f>$C1421*I1420</f>
        <v/>
      </c>
      <c r="J1421">
        <f>$C1421*J1420</f>
        <v/>
      </c>
      <c r="K1421">
        <f>$C1421*K1420</f>
        <v/>
      </c>
      <c r="L1421">
        <f>$C1421*L1420</f>
        <v/>
      </c>
      <c r="M1421">
        <f>$C1421*M1420</f>
        <v/>
      </c>
      <c r="N1421">
        <f>$C1421*N1420</f>
        <v/>
      </c>
      <c r="O1421">
        <f>$C1421*O1420</f>
        <v/>
      </c>
      <c r="P1421">
        <f>$C1421*P1420</f>
        <v/>
      </c>
      <c r="Q1421">
        <f>$C1421*Q1420</f>
        <v/>
      </c>
      <c r="R1421">
        <f>$C1421*R1420</f>
        <v/>
      </c>
      <c r="S1421">
        <f>$C1421*S1420</f>
        <v/>
      </c>
      <c r="T1421">
        <f>$C1421*T1420</f>
        <v/>
      </c>
      <c r="U1421">
        <f>$C1421*U1420</f>
        <v/>
      </c>
      <c r="V1421">
        <f>$C1421*V1420</f>
        <v/>
      </c>
      <c r="W1421">
        <f>$C1421*W1420</f>
        <v/>
      </c>
      <c r="X1421">
        <f>$C1421*X1420</f>
        <v/>
      </c>
      <c r="Y1421">
        <f>$C1421*Y1420</f>
        <v/>
      </c>
      <c r="Z1421">
        <f>$C1421*Z1420</f>
        <v/>
      </c>
      <c r="AA1421">
        <f>$C1421*AA1420</f>
        <v/>
      </c>
      <c r="AB1421">
        <f>$C1421*AB1420</f>
        <v/>
      </c>
      <c r="AC1421">
        <f>$C1421*AC1420</f>
        <v/>
      </c>
      <c r="AD1421">
        <f>$C1421*AD1420</f>
        <v/>
      </c>
      <c r="AE1421">
        <f>$C1421*AE1420</f>
        <v/>
      </c>
      <c r="AF1421">
        <f>$C1421*AF1420</f>
        <v/>
      </c>
      <c r="AG1421">
        <f>$C1421*AG1420</f>
        <v/>
      </c>
      <c r="AH1421">
        <f>$C1421*AH1420</f>
        <v/>
      </c>
      <c r="AI1421">
        <f>$C1421*AI1420</f>
        <v/>
      </c>
      <c r="AJ1421">
        <f>$C1421*AJ1420</f>
        <v/>
      </c>
      <c r="AK1421">
        <f>$C1421*AK1420</f>
        <v/>
      </c>
      <c r="AL1421">
        <f>$C1421*AL1420</f>
        <v/>
      </c>
      <c r="AM1421">
        <f>$C1421*AM1420</f>
        <v/>
      </c>
      <c r="AN1421">
        <f>$C1421*AN1420</f>
        <v/>
      </c>
      <c r="AO1421">
        <f>$C1421*AO1420</f>
        <v/>
      </c>
      <c r="AP1421">
        <f>$C1421*AP1420</f>
        <v/>
      </c>
      <c r="AQ1421">
        <f>$C1421*AQ1420</f>
        <v/>
      </c>
      <c r="AR1421">
        <f>$C1421*AR1420</f>
        <v/>
      </c>
      <c r="AS1421">
        <f>$C1421*AS1420</f>
        <v/>
      </c>
      <c r="AT1421">
        <f>$C1421*AT1420</f>
        <v/>
      </c>
      <c r="AU1421">
        <f>$C1421*AU1420</f>
        <v/>
      </c>
      <c r="AV1421">
        <f>$C1421*AV1420</f>
        <v/>
      </c>
      <c r="AW1421">
        <f>$C1421*AW1420</f>
        <v/>
      </c>
      <c r="AX1421">
        <f>$C1421*AX1420</f>
        <v/>
      </c>
      <c r="AY1421">
        <f>$C1421*AY1420</f>
        <v/>
      </c>
      <c r="AZ1421">
        <f>$C1421*AZ1420</f>
        <v/>
      </c>
      <c r="BA1421">
        <f>$C1421*BA1420</f>
        <v/>
      </c>
      <c r="BB1421">
        <f>$C1421*BB1420</f>
        <v/>
      </c>
      <c r="BC1421">
        <f>$C1421*BC1420</f>
        <v/>
      </c>
      <c r="BD1421">
        <f>$C1421*BD1420</f>
        <v/>
      </c>
      <c r="BE1421">
        <f>$C1421*BE1420</f>
        <v/>
      </c>
      <c r="BF1421">
        <f>$C1421*BF1420</f>
        <v/>
      </c>
      <c r="BG1421">
        <f>$C1421*BG1420</f>
        <v/>
      </c>
      <c r="BH1421">
        <f>$C1421*BH1420</f>
        <v/>
      </c>
      <c r="BI1421">
        <f>$C1421*BI1420</f>
        <v/>
      </c>
      <c r="BJ1421">
        <f>$C1421*BJ1420</f>
        <v/>
      </c>
      <c r="BK1421">
        <f>$C1421*BK1420</f>
        <v/>
      </c>
      <c r="BL1421">
        <f>$C1421*BL1420</f>
        <v/>
      </c>
      <c r="BM1421">
        <f>$C1421*BM1420</f>
        <v/>
      </c>
      <c r="BN1421">
        <f>$C1421*BN1420</f>
        <v/>
      </c>
      <c r="BO1421">
        <f>$C1421*BO1420</f>
        <v/>
      </c>
      <c r="BP1421">
        <f>$C1421*BP1420</f>
        <v/>
      </c>
      <c r="BQ1421">
        <f>$C1421*BQ1420</f>
        <v/>
      </c>
      <c r="BR1421">
        <f>$C1421*BR1420</f>
        <v/>
      </c>
      <c r="BS1421">
        <f>$C1421*BS1420</f>
        <v/>
      </c>
      <c r="BT1421">
        <f>$C1421*BT1420</f>
        <v/>
      </c>
      <c r="BU1421">
        <f>$C1421*BU1420</f>
        <v/>
      </c>
      <c r="BV1421">
        <f>$C1421*BV1420</f>
        <v/>
      </c>
      <c r="BW1421">
        <f>$C1421*BW1420</f>
        <v/>
      </c>
      <c r="BX1421">
        <f>$C1421*BX1420</f>
        <v/>
      </c>
      <c r="BY1421">
        <f>$C1421*BY1420</f>
        <v/>
      </c>
      <c r="BZ1421">
        <f>$C1421*BZ1420</f>
        <v/>
      </c>
      <c r="CA1421">
        <f>$C1421*CA1420</f>
        <v/>
      </c>
      <c r="CB1421">
        <f>$C1421*CB1420</f>
        <v/>
      </c>
      <c r="CC1421">
        <f>$C1421*CC1420</f>
        <v/>
      </c>
      <c r="CD1421">
        <f>$C1421*CD1420</f>
        <v/>
      </c>
      <c r="CE1421">
        <f>$C1421*CE1420</f>
        <v/>
      </c>
      <c r="CF1421">
        <f>$C1421*CF1420</f>
        <v/>
      </c>
      <c r="CG1421">
        <f>$C1421*CG1420</f>
        <v/>
      </c>
      <c r="CH1421">
        <f>$C1421*CH1420</f>
        <v/>
      </c>
      <c r="CI1421">
        <f>$C1421*CI1420</f>
        <v/>
      </c>
      <c r="CJ1421">
        <f>$C1421*CJ1420</f>
        <v/>
      </c>
      <c r="CK1421">
        <f>$C1421*CK1420</f>
        <v/>
      </c>
      <c r="CL1421">
        <f>$C1421*CL1420</f>
        <v/>
      </c>
      <c r="CM1421">
        <f>$C1421*CM1420</f>
        <v/>
      </c>
      <c r="CN1421">
        <f>$C1421*CN1420</f>
        <v/>
      </c>
      <c r="CO1421">
        <f>$C1421*CO1420</f>
        <v/>
      </c>
      <c r="CP1421">
        <f>$C1421*CP1420</f>
        <v/>
      </c>
      <c r="CQ1421">
        <f>$C1421*CQ1420</f>
        <v/>
      </c>
      <c r="CR1421">
        <f>$C1421*CR1420</f>
        <v/>
      </c>
      <c r="CS1421">
        <f>$C1421*CS1420</f>
        <v/>
      </c>
      <c r="CT1421">
        <f>$C1421*CT1420</f>
        <v/>
      </c>
      <c r="CU1421">
        <f>$C1421*CU1420</f>
        <v/>
      </c>
      <c r="CV1421">
        <f>$C1421*CV1420</f>
        <v/>
      </c>
      <c r="CW1421">
        <f>$C1421*CW1420</f>
        <v/>
      </c>
      <c r="CX1421">
        <f>$C1421*CX1420</f>
        <v/>
      </c>
      <c r="CY1421">
        <f>$C1421*CY1420</f>
        <v/>
      </c>
      <c r="CZ1421">
        <f>$C1421*CZ1420</f>
        <v/>
      </c>
      <c r="DA1421">
        <f>$C1421*DA1420</f>
        <v/>
      </c>
      <c r="DB1421">
        <f>$C1421*DB1420</f>
        <v/>
      </c>
      <c r="DC1421">
        <f>$C1421*DC1420</f>
        <v/>
      </c>
      <c r="DD1421">
        <f>$C1421*DD1420</f>
        <v/>
      </c>
    </row>
    <row r="1422">
      <c r="B1422" t="inlineStr">
        <is>
          <t>TSP-936</t>
        </is>
      </c>
      <c r="C1422" t="inlineStr">
        <is>
          <t>No. of batches</t>
        </is>
      </c>
      <c r="D1422">
        <f>IFERROR(INDEX(E1422:DD1422,$F$1),"")</f>
        <v/>
      </c>
      <c r="E1422">
        <f>IFERROR(INDEX(PP_Grid[#Data],$DE1422,2),0)</f>
        <v/>
      </c>
      <c r="F1422">
        <f>IFERROR(INDEX(PP_Grid[#Data],$DE1422,3),0)</f>
        <v/>
      </c>
      <c r="G1422">
        <f>IFERROR(INDEX(PP_Grid[#Data],$DE1422,4),0)</f>
        <v/>
      </c>
      <c r="H1422">
        <f>IFERROR(INDEX(PP_Grid[#Data],$DE1422,5),0)</f>
        <v/>
      </c>
      <c r="I1422">
        <f>IFERROR(INDEX(PP_Grid[#Data],$DE1422,6),0)</f>
        <v/>
      </c>
      <c r="J1422">
        <f>IFERROR(INDEX(PP_Grid[#Data],$DE1422,7),0)</f>
        <v/>
      </c>
      <c r="K1422">
        <f>IFERROR(INDEX(PP_Grid[#Data],$DE1422,8),0)</f>
        <v/>
      </c>
      <c r="L1422">
        <f>IFERROR(INDEX(PP_Grid[#Data],$DE1422,9),0)</f>
        <v/>
      </c>
      <c r="M1422">
        <f>IFERROR(INDEX(PP_Grid[#Data],$DE1422,10),0)</f>
        <v/>
      </c>
      <c r="N1422">
        <f>IFERROR(INDEX(PP_Grid[#Data],$DE1422,11),0)</f>
        <v/>
      </c>
      <c r="O1422">
        <f>IFERROR(INDEX(PP_Grid[#Data],$DE1422,12),0)</f>
        <v/>
      </c>
      <c r="P1422">
        <f>IFERROR(INDEX(PP_Grid[#Data],$DE1422,13),0)</f>
        <v/>
      </c>
      <c r="Q1422">
        <f>IFERROR(INDEX(PP_Grid[#Data],$DE1422,14),0)</f>
        <v/>
      </c>
      <c r="R1422">
        <f>IFERROR(INDEX(PP_Grid[#Data],$DE1422,15),0)</f>
        <v/>
      </c>
      <c r="S1422">
        <f>IFERROR(INDEX(PP_Grid[#Data],$DE1422,16),0)</f>
        <v/>
      </c>
      <c r="T1422">
        <f>IFERROR(INDEX(PP_Grid[#Data],$DE1422,17),0)</f>
        <v/>
      </c>
      <c r="U1422">
        <f>IFERROR(INDEX(PP_Grid[#Data],$DE1422,18),0)</f>
        <v/>
      </c>
      <c r="V1422">
        <f>IFERROR(INDEX(PP_Grid[#Data],$DE1422,19),0)</f>
        <v/>
      </c>
      <c r="W1422">
        <f>IFERROR(INDEX(PP_Grid[#Data],$DE1422,20),0)</f>
        <v/>
      </c>
      <c r="X1422">
        <f>IFERROR(INDEX(PP_Grid[#Data],$DE1422,21),0)</f>
        <v/>
      </c>
      <c r="Y1422">
        <f>IFERROR(INDEX(PP_Grid[#Data],$DE1422,22),0)</f>
        <v/>
      </c>
      <c r="Z1422">
        <f>IFERROR(INDEX(PP_Grid[#Data],$DE1422,23),0)</f>
        <v/>
      </c>
      <c r="AA1422">
        <f>IFERROR(INDEX(PP_Grid[#Data],$DE1422,24),0)</f>
        <v/>
      </c>
      <c r="AB1422">
        <f>IFERROR(INDEX(PP_Grid[#Data],$DE1422,25),0)</f>
        <v/>
      </c>
      <c r="AC1422">
        <f>IFERROR(INDEX(PP_Grid[#Data],$DE1422,26),0)</f>
        <v/>
      </c>
      <c r="AD1422">
        <f>IFERROR(INDEX(PP_Grid[#Data],$DE1422,27),0)</f>
        <v/>
      </c>
      <c r="AE1422">
        <f>IFERROR(INDEX(PP_Grid[#Data],$DE1422,28),0)</f>
        <v/>
      </c>
      <c r="AF1422">
        <f>IFERROR(INDEX(PP_Grid[#Data],$DE1422,29),0)</f>
        <v/>
      </c>
      <c r="AG1422">
        <f>IFERROR(INDEX(PP_Grid[#Data],$DE1422,30),0)</f>
        <v/>
      </c>
      <c r="AH1422">
        <f>IFERROR(INDEX(PP_Grid[#Data],$DE1422,31),0)</f>
        <v/>
      </c>
      <c r="AI1422">
        <f>IFERROR(INDEX(PP_Grid[#Data],$DE1422,32),0)</f>
        <v/>
      </c>
      <c r="AJ1422">
        <f>IFERROR(INDEX(PP_Grid[#Data],$DE1422,33),0)</f>
        <v/>
      </c>
      <c r="AK1422">
        <f>IFERROR(INDEX(PP_Grid[#Data],$DE1422,34),0)</f>
        <v/>
      </c>
      <c r="AL1422">
        <f>IFERROR(INDEX(PP_Grid[#Data],$DE1422,35),0)</f>
        <v/>
      </c>
      <c r="AM1422">
        <f>IFERROR(INDEX(PP_Grid[#Data],$DE1422,36),0)</f>
        <v/>
      </c>
      <c r="AN1422">
        <f>IFERROR(INDEX(PP_Grid[#Data],$DE1422,37),0)</f>
        <v/>
      </c>
      <c r="AO1422">
        <f>IFERROR(INDEX(PP_Grid[#Data],$DE1422,38),0)</f>
        <v/>
      </c>
      <c r="AP1422">
        <f>IFERROR(INDEX(PP_Grid[#Data],$DE1422,39),0)</f>
        <v/>
      </c>
      <c r="AQ1422">
        <f>IFERROR(INDEX(PP_Grid[#Data],$DE1422,40),0)</f>
        <v/>
      </c>
      <c r="AR1422">
        <f>IFERROR(INDEX(PP_Grid[#Data],$DE1422,41),0)</f>
        <v/>
      </c>
      <c r="AS1422">
        <f>IFERROR(INDEX(PP_Grid[#Data],$DE1422,42),0)</f>
        <v/>
      </c>
      <c r="AT1422">
        <f>IFERROR(INDEX(PP_Grid[#Data],$DE1422,43),0)</f>
        <v/>
      </c>
      <c r="AU1422">
        <f>IFERROR(INDEX(PP_Grid[#Data],$DE1422,44),0)</f>
        <v/>
      </c>
      <c r="AV1422">
        <f>IFERROR(INDEX(PP_Grid[#Data],$DE1422,45),0)</f>
        <v/>
      </c>
      <c r="AW1422">
        <f>IFERROR(INDEX(PP_Grid[#Data],$DE1422,46),0)</f>
        <v/>
      </c>
      <c r="AX1422">
        <f>IFERROR(INDEX(PP_Grid[#Data],$DE1422,47),0)</f>
        <v/>
      </c>
      <c r="AY1422">
        <f>IFERROR(INDEX(PP_Grid[#Data],$DE1422,48),0)</f>
        <v/>
      </c>
      <c r="AZ1422">
        <f>IFERROR(INDEX(PP_Grid[#Data],$DE1422,49),0)</f>
        <v/>
      </c>
      <c r="BA1422">
        <f>IFERROR(INDEX(PP_Grid[#Data],$DE1422,50),0)</f>
        <v/>
      </c>
      <c r="BB1422">
        <f>IFERROR(INDEX(PP_Grid[#Data],$DE1422,51),0)</f>
        <v/>
      </c>
      <c r="BC1422">
        <f>IFERROR(INDEX(PP_Grid[#Data],$DE1422,52),0)</f>
        <v/>
      </c>
      <c r="BD1422">
        <f>IFERROR(INDEX(PP_Grid[#Data],$DE1422,53),0)</f>
        <v/>
      </c>
      <c r="BE1422">
        <f>IFERROR(INDEX(PP_Grid[#Data],$DE1422,54),0)</f>
        <v/>
      </c>
      <c r="BF1422">
        <f>IFERROR(INDEX(PP_Grid[#Data],$DE1422,55),0)</f>
        <v/>
      </c>
      <c r="BG1422">
        <f>IFERROR(INDEX(PP_Grid[#Data],$DE1422,56),0)</f>
        <v/>
      </c>
      <c r="BH1422">
        <f>IFERROR(INDEX(PP_Grid[#Data],$DE1422,57),0)</f>
        <v/>
      </c>
      <c r="BI1422">
        <f>IFERROR(INDEX(PP_Grid[#Data],$DE1422,58),0)</f>
        <v/>
      </c>
      <c r="BJ1422">
        <f>IFERROR(INDEX(PP_Grid[#Data],$DE1422,59),0)</f>
        <v/>
      </c>
      <c r="BK1422">
        <f>IFERROR(INDEX(PP_Grid[#Data],$DE1422,60),0)</f>
        <v/>
      </c>
      <c r="BL1422">
        <f>IFERROR(INDEX(PP_Grid[#Data],$DE1422,61),0)</f>
        <v/>
      </c>
      <c r="BM1422">
        <f>IFERROR(INDEX(PP_Grid[#Data],$DE1422,62),0)</f>
        <v/>
      </c>
      <c r="BN1422">
        <f>IFERROR(INDEX(PP_Grid[#Data],$DE1422,63),0)</f>
        <v/>
      </c>
      <c r="BO1422">
        <f>IFERROR(INDEX(PP_Grid[#Data],$DE1422,64),0)</f>
        <v/>
      </c>
      <c r="BP1422">
        <f>IFERROR(INDEX(PP_Grid[#Data],$DE1422,65),0)</f>
        <v/>
      </c>
      <c r="BQ1422">
        <f>IFERROR(INDEX(PP_Grid[#Data],$DE1422,66),0)</f>
        <v/>
      </c>
      <c r="BR1422">
        <f>IFERROR(INDEX(PP_Grid[#Data],$DE1422,67),0)</f>
        <v/>
      </c>
      <c r="BS1422">
        <f>IFERROR(INDEX(PP_Grid[#Data],$DE1422,68),0)</f>
        <v/>
      </c>
      <c r="BT1422">
        <f>IFERROR(INDEX(PP_Grid[#Data],$DE1422,69),0)</f>
        <v/>
      </c>
      <c r="BU1422">
        <f>IFERROR(INDEX(PP_Grid[#Data],$DE1422,70),0)</f>
        <v/>
      </c>
      <c r="BV1422">
        <f>IFERROR(INDEX(PP_Grid[#Data],$DE1422,71),0)</f>
        <v/>
      </c>
      <c r="BW1422">
        <f>IFERROR(INDEX(PP_Grid[#Data],$DE1422,72),0)</f>
        <v/>
      </c>
      <c r="BX1422">
        <f>IFERROR(INDEX(PP_Grid[#Data],$DE1422,73),0)</f>
        <v/>
      </c>
      <c r="BY1422">
        <f>IFERROR(INDEX(PP_Grid[#Data],$DE1422,74),0)</f>
        <v/>
      </c>
      <c r="BZ1422">
        <f>IFERROR(INDEX(PP_Grid[#Data],$DE1422,75),0)</f>
        <v/>
      </c>
      <c r="CA1422">
        <f>IFERROR(INDEX(PP_Grid[#Data],$DE1422,76),0)</f>
        <v/>
      </c>
      <c r="CB1422">
        <f>IFERROR(INDEX(PP_Grid[#Data],$DE1422,77),0)</f>
        <v/>
      </c>
      <c r="CC1422">
        <f>IFERROR(INDEX(PP_Grid[#Data],$DE1422,78),0)</f>
        <v/>
      </c>
      <c r="CD1422">
        <f>IFERROR(INDEX(PP_Grid[#Data],$DE1422,79),0)</f>
        <v/>
      </c>
      <c r="CE1422">
        <f>IFERROR(INDEX(PP_Grid[#Data],$DE1422,80),0)</f>
        <v/>
      </c>
      <c r="CF1422">
        <f>IFERROR(INDEX(PP_Grid[#Data],$DE1422,81),0)</f>
        <v/>
      </c>
      <c r="CG1422">
        <f>IFERROR(INDEX(PP_Grid[#Data],$DE1422,82),0)</f>
        <v/>
      </c>
      <c r="CH1422">
        <f>IFERROR(INDEX(PP_Grid[#Data],$DE1422,83),0)</f>
        <v/>
      </c>
      <c r="CI1422">
        <f>IFERROR(INDEX(PP_Grid[#Data],$DE1422,84),0)</f>
        <v/>
      </c>
      <c r="CJ1422">
        <f>IFERROR(INDEX(PP_Grid[#Data],$DE1422,85),0)</f>
        <v/>
      </c>
      <c r="CK1422">
        <f>IFERROR(INDEX(PP_Grid[#Data],$DE1422,86),0)</f>
        <v/>
      </c>
      <c r="CL1422">
        <f>IFERROR(INDEX(PP_Grid[#Data],$DE1422,87),0)</f>
        <v/>
      </c>
      <c r="CM1422">
        <f>IFERROR(INDEX(PP_Grid[#Data],$DE1422,88),0)</f>
        <v/>
      </c>
      <c r="CN1422">
        <f>IFERROR(INDEX(PP_Grid[#Data],$DE1422,89),0)</f>
        <v/>
      </c>
      <c r="CO1422">
        <f>IFERROR(INDEX(PP_Grid[#Data],$DE1422,90),0)</f>
        <v/>
      </c>
      <c r="CP1422">
        <f>IFERROR(INDEX(PP_Grid[#Data],$DE1422,91),0)</f>
        <v/>
      </c>
      <c r="CQ1422">
        <f>IFERROR(INDEX(PP_Grid[#Data],$DE1422,92),0)</f>
        <v/>
      </c>
      <c r="CR1422">
        <f>IFERROR(INDEX(PP_Grid[#Data],$DE1422,93),0)</f>
        <v/>
      </c>
      <c r="CS1422">
        <f>IFERROR(INDEX(PP_Grid[#Data],$DE1422,94),0)</f>
        <v/>
      </c>
      <c r="CT1422">
        <f>IFERROR(INDEX(PP_Grid[#Data],$DE1422,95),0)</f>
        <v/>
      </c>
      <c r="CU1422">
        <f>IFERROR(INDEX(PP_Grid[#Data],$DE1422,96),0)</f>
        <v/>
      </c>
      <c r="CV1422">
        <f>IFERROR(INDEX(PP_Grid[#Data],$DE1422,97),0)</f>
        <v/>
      </c>
      <c r="CW1422">
        <f>IFERROR(INDEX(PP_Grid[#Data],$DE1422,98),0)</f>
        <v/>
      </c>
      <c r="CX1422">
        <f>IFERROR(INDEX(PP_Grid[#Data],$DE1422,99),0)</f>
        <v/>
      </c>
      <c r="CY1422">
        <f>IFERROR(INDEX(PP_Grid[#Data],$DE1422,100),0)</f>
        <v/>
      </c>
      <c r="CZ1422">
        <f>IFERROR(INDEX(PP_Grid[#Data],$DE1422,101),0)</f>
        <v/>
      </c>
      <c r="DA1422">
        <f>IFERROR(INDEX(PP_Grid[#Data],$DE1422,102),0)</f>
        <v/>
      </c>
      <c r="DB1422">
        <f>IFERROR(INDEX(PP_Grid[#Data],$DE1422,103),0)</f>
        <v/>
      </c>
      <c r="DC1422">
        <f>IFERROR(INDEX(PP_Grid[#Data],$DE1422,104),0)</f>
        <v/>
      </c>
      <c r="DD1422">
        <f>IFERROR(INDEX(PP_Grid[#Data],$DE1422,105),0)</f>
        <v/>
      </c>
      <c r="DE1422" s="7">
        <f>IFERROR(MATCH($B1422,PP_Grid[Intermediate],0),99999)</f>
        <v/>
      </c>
    </row>
    <row r="1423">
      <c r="B1423" t="inlineStr">
        <is>
          <t>使用量(kg)</t>
        </is>
      </c>
      <c r="C1423">
        <f>SUMIFS(M_BOM[RM_Qty_Per_Batch],M_BOM[Intermediate],$B1422,M_BOM[RM_Code],$A1413)</f>
        <v/>
      </c>
      <c r="D1423">
        <f>IFERROR(INDEX(E1423:DD1423,$F$1),"")</f>
        <v/>
      </c>
      <c r="E1423">
        <f>$C1423*E1422</f>
        <v/>
      </c>
      <c r="F1423">
        <f>$C1423*F1422</f>
        <v/>
      </c>
      <c r="G1423">
        <f>$C1423*G1422</f>
        <v/>
      </c>
      <c r="H1423">
        <f>$C1423*H1422</f>
        <v/>
      </c>
      <c r="I1423">
        <f>$C1423*I1422</f>
        <v/>
      </c>
      <c r="J1423">
        <f>$C1423*J1422</f>
        <v/>
      </c>
      <c r="K1423">
        <f>$C1423*K1422</f>
        <v/>
      </c>
      <c r="L1423">
        <f>$C1423*L1422</f>
        <v/>
      </c>
      <c r="M1423">
        <f>$C1423*M1422</f>
        <v/>
      </c>
      <c r="N1423">
        <f>$C1423*N1422</f>
        <v/>
      </c>
      <c r="O1423">
        <f>$C1423*O1422</f>
        <v/>
      </c>
      <c r="P1423">
        <f>$C1423*P1422</f>
        <v/>
      </c>
      <c r="Q1423">
        <f>$C1423*Q1422</f>
        <v/>
      </c>
      <c r="R1423">
        <f>$C1423*R1422</f>
        <v/>
      </c>
      <c r="S1423">
        <f>$C1423*S1422</f>
        <v/>
      </c>
      <c r="T1423">
        <f>$C1423*T1422</f>
        <v/>
      </c>
      <c r="U1423">
        <f>$C1423*U1422</f>
        <v/>
      </c>
      <c r="V1423">
        <f>$C1423*V1422</f>
        <v/>
      </c>
      <c r="W1423">
        <f>$C1423*W1422</f>
        <v/>
      </c>
      <c r="X1423">
        <f>$C1423*X1422</f>
        <v/>
      </c>
      <c r="Y1423">
        <f>$C1423*Y1422</f>
        <v/>
      </c>
      <c r="Z1423">
        <f>$C1423*Z1422</f>
        <v/>
      </c>
      <c r="AA1423">
        <f>$C1423*AA1422</f>
        <v/>
      </c>
      <c r="AB1423">
        <f>$C1423*AB1422</f>
        <v/>
      </c>
      <c r="AC1423">
        <f>$C1423*AC1422</f>
        <v/>
      </c>
      <c r="AD1423">
        <f>$C1423*AD1422</f>
        <v/>
      </c>
      <c r="AE1423">
        <f>$C1423*AE1422</f>
        <v/>
      </c>
      <c r="AF1423">
        <f>$C1423*AF1422</f>
        <v/>
      </c>
      <c r="AG1423">
        <f>$C1423*AG1422</f>
        <v/>
      </c>
      <c r="AH1423">
        <f>$C1423*AH1422</f>
        <v/>
      </c>
      <c r="AI1423">
        <f>$C1423*AI1422</f>
        <v/>
      </c>
      <c r="AJ1423">
        <f>$C1423*AJ1422</f>
        <v/>
      </c>
      <c r="AK1423">
        <f>$C1423*AK1422</f>
        <v/>
      </c>
      <c r="AL1423">
        <f>$C1423*AL1422</f>
        <v/>
      </c>
      <c r="AM1423">
        <f>$C1423*AM1422</f>
        <v/>
      </c>
      <c r="AN1423">
        <f>$C1423*AN1422</f>
        <v/>
      </c>
      <c r="AO1423">
        <f>$C1423*AO1422</f>
        <v/>
      </c>
      <c r="AP1423">
        <f>$C1423*AP1422</f>
        <v/>
      </c>
      <c r="AQ1423">
        <f>$C1423*AQ1422</f>
        <v/>
      </c>
      <c r="AR1423">
        <f>$C1423*AR1422</f>
        <v/>
      </c>
      <c r="AS1423">
        <f>$C1423*AS1422</f>
        <v/>
      </c>
      <c r="AT1423">
        <f>$C1423*AT1422</f>
        <v/>
      </c>
      <c r="AU1423">
        <f>$C1423*AU1422</f>
        <v/>
      </c>
      <c r="AV1423">
        <f>$C1423*AV1422</f>
        <v/>
      </c>
      <c r="AW1423">
        <f>$C1423*AW1422</f>
        <v/>
      </c>
      <c r="AX1423">
        <f>$C1423*AX1422</f>
        <v/>
      </c>
      <c r="AY1423">
        <f>$C1423*AY1422</f>
        <v/>
      </c>
      <c r="AZ1423">
        <f>$C1423*AZ1422</f>
        <v/>
      </c>
      <c r="BA1423">
        <f>$C1423*BA1422</f>
        <v/>
      </c>
      <c r="BB1423">
        <f>$C1423*BB1422</f>
        <v/>
      </c>
      <c r="BC1423">
        <f>$C1423*BC1422</f>
        <v/>
      </c>
      <c r="BD1423">
        <f>$C1423*BD1422</f>
        <v/>
      </c>
      <c r="BE1423">
        <f>$C1423*BE1422</f>
        <v/>
      </c>
      <c r="BF1423">
        <f>$C1423*BF1422</f>
        <v/>
      </c>
      <c r="BG1423">
        <f>$C1423*BG1422</f>
        <v/>
      </c>
      <c r="BH1423">
        <f>$C1423*BH1422</f>
        <v/>
      </c>
      <c r="BI1423">
        <f>$C1423*BI1422</f>
        <v/>
      </c>
      <c r="BJ1423">
        <f>$C1423*BJ1422</f>
        <v/>
      </c>
      <c r="BK1423">
        <f>$C1423*BK1422</f>
        <v/>
      </c>
      <c r="BL1423">
        <f>$C1423*BL1422</f>
        <v/>
      </c>
      <c r="BM1423">
        <f>$C1423*BM1422</f>
        <v/>
      </c>
      <c r="BN1423">
        <f>$C1423*BN1422</f>
        <v/>
      </c>
      <c r="BO1423">
        <f>$C1423*BO1422</f>
        <v/>
      </c>
      <c r="BP1423">
        <f>$C1423*BP1422</f>
        <v/>
      </c>
      <c r="BQ1423">
        <f>$C1423*BQ1422</f>
        <v/>
      </c>
      <c r="BR1423">
        <f>$C1423*BR1422</f>
        <v/>
      </c>
      <c r="BS1423">
        <f>$C1423*BS1422</f>
        <v/>
      </c>
      <c r="BT1423">
        <f>$C1423*BT1422</f>
        <v/>
      </c>
      <c r="BU1423">
        <f>$C1423*BU1422</f>
        <v/>
      </c>
      <c r="BV1423">
        <f>$C1423*BV1422</f>
        <v/>
      </c>
      <c r="BW1423">
        <f>$C1423*BW1422</f>
        <v/>
      </c>
      <c r="BX1423">
        <f>$C1423*BX1422</f>
        <v/>
      </c>
      <c r="BY1423">
        <f>$C1423*BY1422</f>
        <v/>
      </c>
      <c r="BZ1423">
        <f>$C1423*BZ1422</f>
        <v/>
      </c>
      <c r="CA1423">
        <f>$C1423*CA1422</f>
        <v/>
      </c>
      <c r="CB1423">
        <f>$C1423*CB1422</f>
        <v/>
      </c>
      <c r="CC1423">
        <f>$C1423*CC1422</f>
        <v/>
      </c>
      <c r="CD1423">
        <f>$C1423*CD1422</f>
        <v/>
      </c>
      <c r="CE1423">
        <f>$C1423*CE1422</f>
        <v/>
      </c>
      <c r="CF1423">
        <f>$C1423*CF1422</f>
        <v/>
      </c>
      <c r="CG1423">
        <f>$C1423*CG1422</f>
        <v/>
      </c>
      <c r="CH1423">
        <f>$C1423*CH1422</f>
        <v/>
      </c>
      <c r="CI1423">
        <f>$C1423*CI1422</f>
        <v/>
      </c>
      <c r="CJ1423">
        <f>$C1423*CJ1422</f>
        <v/>
      </c>
      <c r="CK1423">
        <f>$C1423*CK1422</f>
        <v/>
      </c>
      <c r="CL1423">
        <f>$C1423*CL1422</f>
        <v/>
      </c>
      <c r="CM1423">
        <f>$C1423*CM1422</f>
        <v/>
      </c>
      <c r="CN1423">
        <f>$C1423*CN1422</f>
        <v/>
      </c>
      <c r="CO1423">
        <f>$C1423*CO1422</f>
        <v/>
      </c>
      <c r="CP1423">
        <f>$C1423*CP1422</f>
        <v/>
      </c>
      <c r="CQ1423">
        <f>$C1423*CQ1422</f>
        <v/>
      </c>
      <c r="CR1423">
        <f>$C1423*CR1422</f>
        <v/>
      </c>
      <c r="CS1423">
        <f>$C1423*CS1422</f>
        <v/>
      </c>
      <c r="CT1423">
        <f>$C1423*CT1422</f>
        <v/>
      </c>
      <c r="CU1423">
        <f>$C1423*CU1422</f>
        <v/>
      </c>
      <c r="CV1423">
        <f>$C1423*CV1422</f>
        <v/>
      </c>
      <c r="CW1423">
        <f>$C1423*CW1422</f>
        <v/>
      </c>
      <c r="CX1423">
        <f>$C1423*CX1422</f>
        <v/>
      </c>
      <c r="CY1423">
        <f>$C1423*CY1422</f>
        <v/>
      </c>
      <c r="CZ1423">
        <f>$C1423*CZ1422</f>
        <v/>
      </c>
      <c r="DA1423">
        <f>$C1423*DA1422</f>
        <v/>
      </c>
      <c r="DB1423">
        <f>$C1423*DB1422</f>
        <v/>
      </c>
      <c r="DC1423">
        <f>$C1423*DC1422</f>
        <v/>
      </c>
      <c r="DD1423">
        <f>$C1423*DD1422</f>
        <v/>
      </c>
    </row>
    <row r="1424">
      <c r="B1424" t="inlineStr">
        <is>
          <t>TSP-937</t>
        </is>
      </c>
      <c r="C1424" t="inlineStr">
        <is>
          <t>No. of batches</t>
        </is>
      </c>
      <c r="D1424">
        <f>IFERROR(INDEX(E1424:DD1424,$F$1),"")</f>
        <v/>
      </c>
      <c r="E1424">
        <f>IFERROR(INDEX(PP_Grid[#Data],$DE1424,2),0)</f>
        <v/>
      </c>
      <c r="F1424">
        <f>IFERROR(INDEX(PP_Grid[#Data],$DE1424,3),0)</f>
        <v/>
      </c>
      <c r="G1424">
        <f>IFERROR(INDEX(PP_Grid[#Data],$DE1424,4),0)</f>
        <v/>
      </c>
      <c r="H1424">
        <f>IFERROR(INDEX(PP_Grid[#Data],$DE1424,5),0)</f>
        <v/>
      </c>
      <c r="I1424">
        <f>IFERROR(INDEX(PP_Grid[#Data],$DE1424,6),0)</f>
        <v/>
      </c>
      <c r="J1424">
        <f>IFERROR(INDEX(PP_Grid[#Data],$DE1424,7),0)</f>
        <v/>
      </c>
      <c r="K1424">
        <f>IFERROR(INDEX(PP_Grid[#Data],$DE1424,8),0)</f>
        <v/>
      </c>
      <c r="L1424">
        <f>IFERROR(INDEX(PP_Grid[#Data],$DE1424,9),0)</f>
        <v/>
      </c>
      <c r="M1424">
        <f>IFERROR(INDEX(PP_Grid[#Data],$DE1424,10),0)</f>
        <v/>
      </c>
      <c r="N1424">
        <f>IFERROR(INDEX(PP_Grid[#Data],$DE1424,11),0)</f>
        <v/>
      </c>
      <c r="O1424">
        <f>IFERROR(INDEX(PP_Grid[#Data],$DE1424,12),0)</f>
        <v/>
      </c>
      <c r="P1424">
        <f>IFERROR(INDEX(PP_Grid[#Data],$DE1424,13),0)</f>
        <v/>
      </c>
      <c r="Q1424">
        <f>IFERROR(INDEX(PP_Grid[#Data],$DE1424,14),0)</f>
        <v/>
      </c>
      <c r="R1424">
        <f>IFERROR(INDEX(PP_Grid[#Data],$DE1424,15),0)</f>
        <v/>
      </c>
      <c r="S1424">
        <f>IFERROR(INDEX(PP_Grid[#Data],$DE1424,16),0)</f>
        <v/>
      </c>
      <c r="T1424">
        <f>IFERROR(INDEX(PP_Grid[#Data],$DE1424,17),0)</f>
        <v/>
      </c>
      <c r="U1424">
        <f>IFERROR(INDEX(PP_Grid[#Data],$DE1424,18),0)</f>
        <v/>
      </c>
      <c r="V1424">
        <f>IFERROR(INDEX(PP_Grid[#Data],$DE1424,19),0)</f>
        <v/>
      </c>
      <c r="W1424">
        <f>IFERROR(INDEX(PP_Grid[#Data],$DE1424,20),0)</f>
        <v/>
      </c>
      <c r="X1424">
        <f>IFERROR(INDEX(PP_Grid[#Data],$DE1424,21),0)</f>
        <v/>
      </c>
      <c r="Y1424">
        <f>IFERROR(INDEX(PP_Grid[#Data],$DE1424,22),0)</f>
        <v/>
      </c>
      <c r="Z1424">
        <f>IFERROR(INDEX(PP_Grid[#Data],$DE1424,23),0)</f>
        <v/>
      </c>
      <c r="AA1424">
        <f>IFERROR(INDEX(PP_Grid[#Data],$DE1424,24),0)</f>
        <v/>
      </c>
      <c r="AB1424">
        <f>IFERROR(INDEX(PP_Grid[#Data],$DE1424,25),0)</f>
        <v/>
      </c>
      <c r="AC1424">
        <f>IFERROR(INDEX(PP_Grid[#Data],$DE1424,26),0)</f>
        <v/>
      </c>
      <c r="AD1424">
        <f>IFERROR(INDEX(PP_Grid[#Data],$DE1424,27),0)</f>
        <v/>
      </c>
      <c r="AE1424">
        <f>IFERROR(INDEX(PP_Grid[#Data],$DE1424,28),0)</f>
        <v/>
      </c>
      <c r="AF1424">
        <f>IFERROR(INDEX(PP_Grid[#Data],$DE1424,29),0)</f>
        <v/>
      </c>
      <c r="AG1424">
        <f>IFERROR(INDEX(PP_Grid[#Data],$DE1424,30),0)</f>
        <v/>
      </c>
      <c r="AH1424">
        <f>IFERROR(INDEX(PP_Grid[#Data],$DE1424,31),0)</f>
        <v/>
      </c>
      <c r="AI1424">
        <f>IFERROR(INDEX(PP_Grid[#Data],$DE1424,32),0)</f>
        <v/>
      </c>
      <c r="AJ1424">
        <f>IFERROR(INDEX(PP_Grid[#Data],$DE1424,33),0)</f>
        <v/>
      </c>
      <c r="AK1424">
        <f>IFERROR(INDEX(PP_Grid[#Data],$DE1424,34),0)</f>
        <v/>
      </c>
      <c r="AL1424">
        <f>IFERROR(INDEX(PP_Grid[#Data],$DE1424,35),0)</f>
        <v/>
      </c>
      <c r="AM1424">
        <f>IFERROR(INDEX(PP_Grid[#Data],$DE1424,36),0)</f>
        <v/>
      </c>
      <c r="AN1424">
        <f>IFERROR(INDEX(PP_Grid[#Data],$DE1424,37),0)</f>
        <v/>
      </c>
      <c r="AO1424">
        <f>IFERROR(INDEX(PP_Grid[#Data],$DE1424,38),0)</f>
        <v/>
      </c>
      <c r="AP1424">
        <f>IFERROR(INDEX(PP_Grid[#Data],$DE1424,39),0)</f>
        <v/>
      </c>
      <c r="AQ1424">
        <f>IFERROR(INDEX(PP_Grid[#Data],$DE1424,40),0)</f>
        <v/>
      </c>
      <c r="AR1424">
        <f>IFERROR(INDEX(PP_Grid[#Data],$DE1424,41),0)</f>
        <v/>
      </c>
      <c r="AS1424">
        <f>IFERROR(INDEX(PP_Grid[#Data],$DE1424,42),0)</f>
        <v/>
      </c>
      <c r="AT1424">
        <f>IFERROR(INDEX(PP_Grid[#Data],$DE1424,43),0)</f>
        <v/>
      </c>
      <c r="AU1424">
        <f>IFERROR(INDEX(PP_Grid[#Data],$DE1424,44),0)</f>
        <v/>
      </c>
      <c r="AV1424">
        <f>IFERROR(INDEX(PP_Grid[#Data],$DE1424,45),0)</f>
        <v/>
      </c>
      <c r="AW1424">
        <f>IFERROR(INDEX(PP_Grid[#Data],$DE1424,46),0)</f>
        <v/>
      </c>
      <c r="AX1424">
        <f>IFERROR(INDEX(PP_Grid[#Data],$DE1424,47),0)</f>
        <v/>
      </c>
      <c r="AY1424">
        <f>IFERROR(INDEX(PP_Grid[#Data],$DE1424,48),0)</f>
        <v/>
      </c>
      <c r="AZ1424">
        <f>IFERROR(INDEX(PP_Grid[#Data],$DE1424,49),0)</f>
        <v/>
      </c>
      <c r="BA1424">
        <f>IFERROR(INDEX(PP_Grid[#Data],$DE1424,50),0)</f>
        <v/>
      </c>
      <c r="BB1424">
        <f>IFERROR(INDEX(PP_Grid[#Data],$DE1424,51),0)</f>
        <v/>
      </c>
      <c r="BC1424">
        <f>IFERROR(INDEX(PP_Grid[#Data],$DE1424,52),0)</f>
        <v/>
      </c>
      <c r="BD1424">
        <f>IFERROR(INDEX(PP_Grid[#Data],$DE1424,53),0)</f>
        <v/>
      </c>
      <c r="BE1424">
        <f>IFERROR(INDEX(PP_Grid[#Data],$DE1424,54),0)</f>
        <v/>
      </c>
      <c r="BF1424">
        <f>IFERROR(INDEX(PP_Grid[#Data],$DE1424,55),0)</f>
        <v/>
      </c>
      <c r="BG1424">
        <f>IFERROR(INDEX(PP_Grid[#Data],$DE1424,56),0)</f>
        <v/>
      </c>
      <c r="BH1424">
        <f>IFERROR(INDEX(PP_Grid[#Data],$DE1424,57),0)</f>
        <v/>
      </c>
      <c r="BI1424">
        <f>IFERROR(INDEX(PP_Grid[#Data],$DE1424,58),0)</f>
        <v/>
      </c>
      <c r="BJ1424">
        <f>IFERROR(INDEX(PP_Grid[#Data],$DE1424,59),0)</f>
        <v/>
      </c>
      <c r="BK1424">
        <f>IFERROR(INDEX(PP_Grid[#Data],$DE1424,60),0)</f>
        <v/>
      </c>
      <c r="BL1424">
        <f>IFERROR(INDEX(PP_Grid[#Data],$DE1424,61),0)</f>
        <v/>
      </c>
      <c r="BM1424">
        <f>IFERROR(INDEX(PP_Grid[#Data],$DE1424,62),0)</f>
        <v/>
      </c>
      <c r="BN1424">
        <f>IFERROR(INDEX(PP_Grid[#Data],$DE1424,63),0)</f>
        <v/>
      </c>
      <c r="BO1424">
        <f>IFERROR(INDEX(PP_Grid[#Data],$DE1424,64),0)</f>
        <v/>
      </c>
      <c r="BP1424">
        <f>IFERROR(INDEX(PP_Grid[#Data],$DE1424,65),0)</f>
        <v/>
      </c>
      <c r="BQ1424">
        <f>IFERROR(INDEX(PP_Grid[#Data],$DE1424,66),0)</f>
        <v/>
      </c>
      <c r="BR1424">
        <f>IFERROR(INDEX(PP_Grid[#Data],$DE1424,67),0)</f>
        <v/>
      </c>
      <c r="BS1424">
        <f>IFERROR(INDEX(PP_Grid[#Data],$DE1424,68),0)</f>
        <v/>
      </c>
      <c r="BT1424">
        <f>IFERROR(INDEX(PP_Grid[#Data],$DE1424,69),0)</f>
        <v/>
      </c>
      <c r="BU1424">
        <f>IFERROR(INDEX(PP_Grid[#Data],$DE1424,70),0)</f>
        <v/>
      </c>
      <c r="BV1424">
        <f>IFERROR(INDEX(PP_Grid[#Data],$DE1424,71),0)</f>
        <v/>
      </c>
      <c r="BW1424">
        <f>IFERROR(INDEX(PP_Grid[#Data],$DE1424,72),0)</f>
        <v/>
      </c>
      <c r="BX1424">
        <f>IFERROR(INDEX(PP_Grid[#Data],$DE1424,73),0)</f>
        <v/>
      </c>
      <c r="BY1424">
        <f>IFERROR(INDEX(PP_Grid[#Data],$DE1424,74),0)</f>
        <v/>
      </c>
      <c r="BZ1424">
        <f>IFERROR(INDEX(PP_Grid[#Data],$DE1424,75),0)</f>
        <v/>
      </c>
      <c r="CA1424">
        <f>IFERROR(INDEX(PP_Grid[#Data],$DE1424,76),0)</f>
        <v/>
      </c>
      <c r="CB1424">
        <f>IFERROR(INDEX(PP_Grid[#Data],$DE1424,77),0)</f>
        <v/>
      </c>
      <c r="CC1424">
        <f>IFERROR(INDEX(PP_Grid[#Data],$DE1424,78),0)</f>
        <v/>
      </c>
      <c r="CD1424">
        <f>IFERROR(INDEX(PP_Grid[#Data],$DE1424,79),0)</f>
        <v/>
      </c>
      <c r="CE1424">
        <f>IFERROR(INDEX(PP_Grid[#Data],$DE1424,80),0)</f>
        <v/>
      </c>
      <c r="CF1424">
        <f>IFERROR(INDEX(PP_Grid[#Data],$DE1424,81),0)</f>
        <v/>
      </c>
      <c r="CG1424">
        <f>IFERROR(INDEX(PP_Grid[#Data],$DE1424,82),0)</f>
        <v/>
      </c>
      <c r="CH1424">
        <f>IFERROR(INDEX(PP_Grid[#Data],$DE1424,83),0)</f>
        <v/>
      </c>
      <c r="CI1424">
        <f>IFERROR(INDEX(PP_Grid[#Data],$DE1424,84),0)</f>
        <v/>
      </c>
      <c r="CJ1424">
        <f>IFERROR(INDEX(PP_Grid[#Data],$DE1424,85),0)</f>
        <v/>
      </c>
      <c r="CK1424">
        <f>IFERROR(INDEX(PP_Grid[#Data],$DE1424,86),0)</f>
        <v/>
      </c>
      <c r="CL1424">
        <f>IFERROR(INDEX(PP_Grid[#Data],$DE1424,87),0)</f>
        <v/>
      </c>
      <c r="CM1424">
        <f>IFERROR(INDEX(PP_Grid[#Data],$DE1424,88),0)</f>
        <v/>
      </c>
      <c r="CN1424">
        <f>IFERROR(INDEX(PP_Grid[#Data],$DE1424,89),0)</f>
        <v/>
      </c>
      <c r="CO1424">
        <f>IFERROR(INDEX(PP_Grid[#Data],$DE1424,90),0)</f>
        <v/>
      </c>
      <c r="CP1424">
        <f>IFERROR(INDEX(PP_Grid[#Data],$DE1424,91),0)</f>
        <v/>
      </c>
      <c r="CQ1424">
        <f>IFERROR(INDEX(PP_Grid[#Data],$DE1424,92),0)</f>
        <v/>
      </c>
      <c r="CR1424">
        <f>IFERROR(INDEX(PP_Grid[#Data],$DE1424,93),0)</f>
        <v/>
      </c>
      <c r="CS1424">
        <f>IFERROR(INDEX(PP_Grid[#Data],$DE1424,94),0)</f>
        <v/>
      </c>
      <c r="CT1424">
        <f>IFERROR(INDEX(PP_Grid[#Data],$DE1424,95),0)</f>
        <v/>
      </c>
      <c r="CU1424">
        <f>IFERROR(INDEX(PP_Grid[#Data],$DE1424,96),0)</f>
        <v/>
      </c>
      <c r="CV1424">
        <f>IFERROR(INDEX(PP_Grid[#Data],$DE1424,97),0)</f>
        <v/>
      </c>
      <c r="CW1424">
        <f>IFERROR(INDEX(PP_Grid[#Data],$DE1424,98),0)</f>
        <v/>
      </c>
      <c r="CX1424">
        <f>IFERROR(INDEX(PP_Grid[#Data],$DE1424,99),0)</f>
        <v/>
      </c>
      <c r="CY1424">
        <f>IFERROR(INDEX(PP_Grid[#Data],$DE1424,100),0)</f>
        <v/>
      </c>
      <c r="CZ1424">
        <f>IFERROR(INDEX(PP_Grid[#Data],$DE1424,101),0)</f>
        <v/>
      </c>
      <c r="DA1424">
        <f>IFERROR(INDEX(PP_Grid[#Data],$DE1424,102),0)</f>
        <v/>
      </c>
      <c r="DB1424">
        <f>IFERROR(INDEX(PP_Grid[#Data],$DE1424,103),0)</f>
        <v/>
      </c>
      <c r="DC1424">
        <f>IFERROR(INDEX(PP_Grid[#Data],$DE1424,104),0)</f>
        <v/>
      </c>
      <c r="DD1424">
        <f>IFERROR(INDEX(PP_Grid[#Data],$DE1424,105),0)</f>
        <v/>
      </c>
      <c r="DE1424" s="7">
        <f>IFERROR(MATCH($B1424,PP_Grid[Intermediate],0),99999)</f>
        <v/>
      </c>
    </row>
    <row r="1425">
      <c r="B1425" t="inlineStr">
        <is>
          <t>使用量(kg)</t>
        </is>
      </c>
      <c r="C1425">
        <f>SUMIFS(M_BOM[RM_Qty_Per_Batch],M_BOM[Intermediate],$B1424,M_BOM[RM_Code],$A1413)</f>
        <v/>
      </c>
      <c r="D1425">
        <f>IFERROR(INDEX(E1425:DD1425,$F$1),"")</f>
        <v/>
      </c>
      <c r="E1425">
        <f>$C1425*E1424</f>
        <v/>
      </c>
      <c r="F1425">
        <f>$C1425*F1424</f>
        <v/>
      </c>
      <c r="G1425">
        <f>$C1425*G1424</f>
        <v/>
      </c>
      <c r="H1425">
        <f>$C1425*H1424</f>
        <v/>
      </c>
      <c r="I1425">
        <f>$C1425*I1424</f>
        <v/>
      </c>
      <c r="J1425">
        <f>$C1425*J1424</f>
        <v/>
      </c>
      <c r="K1425">
        <f>$C1425*K1424</f>
        <v/>
      </c>
      <c r="L1425">
        <f>$C1425*L1424</f>
        <v/>
      </c>
      <c r="M1425">
        <f>$C1425*M1424</f>
        <v/>
      </c>
      <c r="N1425">
        <f>$C1425*N1424</f>
        <v/>
      </c>
      <c r="O1425">
        <f>$C1425*O1424</f>
        <v/>
      </c>
      <c r="P1425">
        <f>$C1425*P1424</f>
        <v/>
      </c>
      <c r="Q1425">
        <f>$C1425*Q1424</f>
        <v/>
      </c>
      <c r="R1425">
        <f>$C1425*R1424</f>
        <v/>
      </c>
      <c r="S1425">
        <f>$C1425*S1424</f>
        <v/>
      </c>
      <c r="T1425">
        <f>$C1425*T1424</f>
        <v/>
      </c>
      <c r="U1425">
        <f>$C1425*U1424</f>
        <v/>
      </c>
      <c r="V1425">
        <f>$C1425*V1424</f>
        <v/>
      </c>
      <c r="W1425">
        <f>$C1425*W1424</f>
        <v/>
      </c>
      <c r="X1425">
        <f>$C1425*X1424</f>
        <v/>
      </c>
      <c r="Y1425">
        <f>$C1425*Y1424</f>
        <v/>
      </c>
      <c r="Z1425">
        <f>$C1425*Z1424</f>
        <v/>
      </c>
      <c r="AA1425">
        <f>$C1425*AA1424</f>
        <v/>
      </c>
      <c r="AB1425">
        <f>$C1425*AB1424</f>
        <v/>
      </c>
      <c r="AC1425">
        <f>$C1425*AC1424</f>
        <v/>
      </c>
      <c r="AD1425">
        <f>$C1425*AD1424</f>
        <v/>
      </c>
      <c r="AE1425">
        <f>$C1425*AE1424</f>
        <v/>
      </c>
      <c r="AF1425">
        <f>$C1425*AF1424</f>
        <v/>
      </c>
      <c r="AG1425">
        <f>$C1425*AG1424</f>
        <v/>
      </c>
      <c r="AH1425">
        <f>$C1425*AH1424</f>
        <v/>
      </c>
      <c r="AI1425">
        <f>$C1425*AI1424</f>
        <v/>
      </c>
      <c r="AJ1425">
        <f>$C1425*AJ1424</f>
        <v/>
      </c>
      <c r="AK1425">
        <f>$C1425*AK1424</f>
        <v/>
      </c>
      <c r="AL1425">
        <f>$C1425*AL1424</f>
        <v/>
      </c>
      <c r="AM1425">
        <f>$C1425*AM1424</f>
        <v/>
      </c>
      <c r="AN1425">
        <f>$C1425*AN1424</f>
        <v/>
      </c>
      <c r="AO1425">
        <f>$C1425*AO1424</f>
        <v/>
      </c>
      <c r="AP1425">
        <f>$C1425*AP1424</f>
        <v/>
      </c>
      <c r="AQ1425">
        <f>$C1425*AQ1424</f>
        <v/>
      </c>
      <c r="AR1425">
        <f>$C1425*AR1424</f>
        <v/>
      </c>
      <c r="AS1425">
        <f>$C1425*AS1424</f>
        <v/>
      </c>
      <c r="AT1425">
        <f>$C1425*AT1424</f>
        <v/>
      </c>
      <c r="AU1425">
        <f>$C1425*AU1424</f>
        <v/>
      </c>
      <c r="AV1425">
        <f>$C1425*AV1424</f>
        <v/>
      </c>
      <c r="AW1425">
        <f>$C1425*AW1424</f>
        <v/>
      </c>
      <c r="AX1425">
        <f>$C1425*AX1424</f>
        <v/>
      </c>
      <c r="AY1425">
        <f>$C1425*AY1424</f>
        <v/>
      </c>
      <c r="AZ1425">
        <f>$C1425*AZ1424</f>
        <v/>
      </c>
      <c r="BA1425">
        <f>$C1425*BA1424</f>
        <v/>
      </c>
      <c r="BB1425">
        <f>$C1425*BB1424</f>
        <v/>
      </c>
      <c r="BC1425">
        <f>$C1425*BC1424</f>
        <v/>
      </c>
      <c r="BD1425">
        <f>$C1425*BD1424</f>
        <v/>
      </c>
      <c r="BE1425">
        <f>$C1425*BE1424</f>
        <v/>
      </c>
      <c r="BF1425">
        <f>$C1425*BF1424</f>
        <v/>
      </c>
      <c r="BG1425">
        <f>$C1425*BG1424</f>
        <v/>
      </c>
      <c r="BH1425">
        <f>$C1425*BH1424</f>
        <v/>
      </c>
      <c r="BI1425">
        <f>$C1425*BI1424</f>
        <v/>
      </c>
      <c r="BJ1425">
        <f>$C1425*BJ1424</f>
        <v/>
      </c>
      <c r="BK1425">
        <f>$C1425*BK1424</f>
        <v/>
      </c>
      <c r="BL1425">
        <f>$C1425*BL1424</f>
        <v/>
      </c>
      <c r="BM1425">
        <f>$C1425*BM1424</f>
        <v/>
      </c>
      <c r="BN1425">
        <f>$C1425*BN1424</f>
        <v/>
      </c>
      <c r="BO1425">
        <f>$C1425*BO1424</f>
        <v/>
      </c>
      <c r="BP1425">
        <f>$C1425*BP1424</f>
        <v/>
      </c>
      <c r="BQ1425">
        <f>$C1425*BQ1424</f>
        <v/>
      </c>
      <c r="BR1425">
        <f>$C1425*BR1424</f>
        <v/>
      </c>
      <c r="BS1425">
        <f>$C1425*BS1424</f>
        <v/>
      </c>
      <c r="BT1425">
        <f>$C1425*BT1424</f>
        <v/>
      </c>
      <c r="BU1425">
        <f>$C1425*BU1424</f>
        <v/>
      </c>
      <c r="BV1425">
        <f>$C1425*BV1424</f>
        <v/>
      </c>
      <c r="BW1425">
        <f>$C1425*BW1424</f>
        <v/>
      </c>
      <c r="BX1425">
        <f>$C1425*BX1424</f>
        <v/>
      </c>
      <c r="BY1425">
        <f>$C1425*BY1424</f>
        <v/>
      </c>
      <c r="BZ1425">
        <f>$C1425*BZ1424</f>
        <v/>
      </c>
      <c r="CA1425">
        <f>$C1425*CA1424</f>
        <v/>
      </c>
      <c r="CB1425">
        <f>$C1425*CB1424</f>
        <v/>
      </c>
      <c r="CC1425">
        <f>$C1425*CC1424</f>
        <v/>
      </c>
      <c r="CD1425">
        <f>$C1425*CD1424</f>
        <v/>
      </c>
      <c r="CE1425">
        <f>$C1425*CE1424</f>
        <v/>
      </c>
      <c r="CF1425">
        <f>$C1425*CF1424</f>
        <v/>
      </c>
      <c r="CG1425">
        <f>$C1425*CG1424</f>
        <v/>
      </c>
      <c r="CH1425">
        <f>$C1425*CH1424</f>
        <v/>
      </c>
      <c r="CI1425">
        <f>$C1425*CI1424</f>
        <v/>
      </c>
      <c r="CJ1425">
        <f>$C1425*CJ1424</f>
        <v/>
      </c>
      <c r="CK1425">
        <f>$C1425*CK1424</f>
        <v/>
      </c>
      <c r="CL1425">
        <f>$C1425*CL1424</f>
        <v/>
      </c>
      <c r="CM1425">
        <f>$C1425*CM1424</f>
        <v/>
      </c>
      <c r="CN1425">
        <f>$C1425*CN1424</f>
        <v/>
      </c>
      <c r="CO1425">
        <f>$C1425*CO1424</f>
        <v/>
      </c>
      <c r="CP1425">
        <f>$C1425*CP1424</f>
        <v/>
      </c>
      <c r="CQ1425">
        <f>$C1425*CQ1424</f>
        <v/>
      </c>
      <c r="CR1425">
        <f>$C1425*CR1424</f>
        <v/>
      </c>
      <c r="CS1425">
        <f>$C1425*CS1424</f>
        <v/>
      </c>
      <c r="CT1425">
        <f>$C1425*CT1424</f>
        <v/>
      </c>
      <c r="CU1425">
        <f>$C1425*CU1424</f>
        <v/>
      </c>
      <c r="CV1425">
        <f>$C1425*CV1424</f>
        <v/>
      </c>
      <c r="CW1425">
        <f>$C1425*CW1424</f>
        <v/>
      </c>
      <c r="CX1425">
        <f>$C1425*CX1424</f>
        <v/>
      </c>
      <c r="CY1425">
        <f>$C1425*CY1424</f>
        <v/>
      </c>
      <c r="CZ1425">
        <f>$C1425*CZ1424</f>
        <v/>
      </c>
      <c r="DA1425">
        <f>$C1425*DA1424</f>
        <v/>
      </c>
      <c r="DB1425">
        <f>$C1425*DB1424</f>
        <v/>
      </c>
      <c r="DC1425">
        <f>$C1425*DC1424</f>
        <v/>
      </c>
      <c r="DD1425">
        <f>$C1425*DD1424</f>
        <v/>
      </c>
    </row>
    <row r="1426">
      <c r="B1426" t="inlineStr">
        <is>
          <t>TSP-1388</t>
        </is>
      </c>
      <c r="C1426" t="inlineStr">
        <is>
          <t>No. of batches</t>
        </is>
      </c>
      <c r="D1426">
        <f>IFERROR(INDEX(E1426:DD1426,$F$1),"")</f>
        <v/>
      </c>
      <c r="E1426">
        <f>IFERROR(INDEX(PP_Grid[#Data],$DE1426,2),0)</f>
        <v/>
      </c>
      <c r="F1426">
        <f>IFERROR(INDEX(PP_Grid[#Data],$DE1426,3),0)</f>
        <v/>
      </c>
      <c r="G1426">
        <f>IFERROR(INDEX(PP_Grid[#Data],$DE1426,4),0)</f>
        <v/>
      </c>
      <c r="H1426">
        <f>IFERROR(INDEX(PP_Grid[#Data],$DE1426,5),0)</f>
        <v/>
      </c>
      <c r="I1426">
        <f>IFERROR(INDEX(PP_Grid[#Data],$DE1426,6),0)</f>
        <v/>
      </c>
      <c r="J1426">
        <f>IFERROR(INDEX(PP_Grid[#Data],$DE1426,7),0)</f>
        <v/>
      </c>
      <c r="K1426">
        <f>IFERROR(INDEX(PP_Grid[#Data],$DE1426,8),0)</f>
        <v/>
      </c>
      <c r="L1426">
        <f>IFERROR(INDEX(PP_Grid[#Data],$DE1426,9),0)</f>
        <v/>
      </c>
      <c r="M1426">
        <f>IFERROR(INDEX(PP_Grid[#Data],$DE1426,10),0)</f>
        <v/>
      </c>
      <c r="N1426">
        <f>IFERROR(INDEX(PP_Grid[#Data],$DE1426,11),0)</f>
        <v/>
      </c>
      <c r="O1426">
        <f>IFERROR(INDEX(PP_Grid[#Data],$DE1426,12),0)</f>
        <v/>
      </c>
      <c r="P1426">
        <f>IFERROR(INDEX(PP_Grid[#Data],$DE1426,13),0)</f>
        <v/>
      </c>
      <c r="Q1426">
        <f>IFERROR(INDEX(PP_Grid[#Data],$DE1426,14),0)</f>
        <v/>
      </c>
      <c r="R1426">
        <f>IFERROR(INDEX(PP_Grid[#Data],$DE1426,15),0)</f>
        <v/>
      </c>
      <c r="S1426">
        <f>IFERROR(INDEX(PP_Grid[#Data],$DE1426,16),0)</f>
        <v/>
      </c>
      <c r="T1426">
        <f>IFERROR(INDEX(PP_Grid[#Data],$DE1426,17),0)</f>
        <v/>
      </c>
      <c r="U1426">
        <f>IFERROR(INDEX(PP_Grid[#Data],$DE1426,18),0)</f>
        <v/>
      </c>
      <c r="V1426">
        <f>IFERROR(INDEX(PP_Grid[#Data],$DE1426,19),0)</f>
        <v/>
      </c>
      <c r="W1426">
        <f>IFERROR(INDEX(PP_Grid[#Data],$DE1426,20),0)</f>
        <v/>
      </c>
      <c r="X1426">
        <f>IFERROR(INDEX(PP_Grid[#Data],$DE1426,21),0)</f>
        <v/>
      </c>
      <c r="Y1426">
        <f>IFERROR(INDEX(PP_Grid[#Data],$DE1426,22),0)</f>
        <v/>
      </c>
      <c r="Z1426">
        <f>IFERROR(INDEX(PP_Grid[#Data],$DE1426,23),0)</f>
        <v/>
      </c>
      <c r="AA1426">
        <f>IFERROR(INDEX(PP_Grid[#Data],$DE1426,24),0)</f>
        <v/>
      </c>
      <c r="AB1426">
        <f>IFERROR(INDEX(PP_Grid[#Data],$DE1426,25),0)</f>
        <v/>
      </c>
      <c r="AC1426">
        <f>IFERROR(INDEX(PP_Grid[#Data],$DE1426,26),0)</f>
        <v/>
      </c>
      <c r="AD1426">
        <f>IFERROR(INDEX(PP_Grid[#Data],$DE1426,27),0)</f>
        <v/>
      </c>
      <c r="AE1426">
        <f>IFERROR(INDEX(PP_Grid[#Data],$DE1426,28),0)</f>
        <v/>
      </c>
      <c r="AF1426">
        <f>IFERROR(INDEX(PP_Grid[#Data],$DE1426,29),0)</f>
        <v/>
      </c>
      <c r="AG1426">
        <f>IFERROR(INDEX(PP_Grid[#Data],$DE1426,30),0)</f>
        <v/>
      </c>
      <c r="AH1426">
        <f>IFERROR(INDEX(PP_Grid[#Data],$DE1426,31),0)</f>
        <v/>
      </c>
      <c r="AI1426">
        <f>IFERROR(INDEX(PP_Grid[#Data],$DE1426,32),0)</f>
        <v/>
      </c>
      <c r="AJ1426">
        <f>IFERROR(INDEX(PP_Grid[#Data],$DE1426,33),0)</f>
        <v/>
      </c>
      <c r="AK1426">
        <f>IFERROR(INDEX(PP_Grid[#Data],$DE1426,34),0)</f>
        <v/>
      </c>
      <c r="AL1426">
        <f>IFERROR(INDEX(PP_Grid[#Data],$DE1426,35),0)</f>
        <v/>
      </c>
      <c r="AM1426">
        <f>IFERROR(INDEX(PP_Grid[#Data],$DE1426,36),0)</f>
        <v/>
      </c>
      <c r="AN1426">
        <f>IFERROR(INDEX(PP_Grid[#Data],$DE1426,37),0)</f>
        <v/>
      </c>
      <c r="AO1426">
        <f>IFERROR(INDEX(PP_Grid[#Data],$DE1426,38),0)</f>
        <v/>
      </c>
      <c r="AP1426">
        <f>IFERROR(INDEX(PP_Grid[#Data],$DE1426,39),0)</f>
        <v/>
      </c>
      <c r="AQ1426">
        <f>IFERROR(INDEX(PP_Grid[#Data],$DE1426,40),0)</f>
        <v/>
      </c>
      <c r="AR1426">
        <f>IFERROR(INDEX(PP_Grid[#Data],$DE1426,41),0)</f>
        <v/>
      </c>
      <c r="AS1426">
        <f>IFERROR(INDEX(PP_Grid[#Data],$DE1426,42),0)</f>
        <v/>
      </c>
      <c r="AT1426">
        <f>IFERROR(INDEX(PP_Grid[#Data],$DE1426,43),0)</f>
        <v/>
      </c>
      <c r="AU1426">
        <f>IFERROR(INDEX(PP_Grid[#Data],$DE1426,44),0)</f>
        <v/>
      </c>
      <c r="AV1426">
        <f>IFERROR(INDEX(PP_Grid[#Data],$DE1426,45),0)</f>
        <v/>
      </c>
      <c r="AW1426">
        <f>IFERROR(INDEX(PP_Grid[#Data],$DE1426,46),0)</f>
        <v/>
      </c>
      <c r="AX1426">
        <f>IFERROR(INDEX(PP_Grid[#Data],$DE1426,47),0)</f>
        <v/>
      </c>
      <c r="AY1426">
        <f>IFERROR(INDEX(PP_Grid[#Data],$DE1426,48),0)</f>
        <v/>
      </c>
      <c r="AZ1426">
        <f>IFERROR(INDEX(PP_Grid[#Data],$DE1426,49),0)</f>
        <v/>
      </c>
      <c r="BA1426">
        <f>IFERROR(INDEX(PP_Grid[#Data],$DE1426,50),0)</f>
        <v/>
      </c>
      <c r="BB1426">
        <f>IFERROR(INDEX(PP_Grid[#Data],$DE1426,51),0)</f>
        <v/>
      </c>
      <c r="BC1426">
        <f>IFERROR(INDEX(PP_Grid[#Data],$DE1426,52),0)</f>
        <v/>
      </c>
      <c r="BD1426">
        <f>IFERROR(INDEX(PP_Grid[#Data],$DE1426,53),0)</f>
        <v/>
      </c>
      <c r="BE1426">
        <f>IFERROR(INDEX(PP_Grid[#Data],$DE1426,54),0)</f>
        <v/>
      </c>
      <c r="BF1426">
        <f>IFERROR(INDEX(PP_Grid[#Data],$DE1426,55),0)</f>
        <v/>
      </c>
      <c r="BG1426">
        <f>IFERROR(INDEX(PP_Grid[#Data],$DE1426,56),0)</f>
        <v/>
      </c>
      <c r="BH1426">
        <f>IFERROR(INDEX(PP_Grid[#Data],$DE1426,57),0)</f>
        <v/>
      </c>
      <c r="BI1426">
        <f>IFERROR(INDEX(PP_Grid[#Data],$DE1426,58),0)</f>
        <v/>
      </c>
      <c r="BJ1426">
        <f>IFERROR(INDEX(PP_Grid[#Data],$DE1426,59),0)</f>
        <v/>
      </c>
      <c r="BK1426">
        <f>IFERROR(INDEX(PP_Grid[#Data],$DE1426,60),0)</f>
        <v/>
      </c>
      <c r="BL1426">
        <f>IFERROR(INDEX(PP_Grid[#Data],$DE1426,61),0)</f>
        <v/>
      </c>
      <c r="BM1426">
        <f>IFERROR(INDEX(PP_Grid[#Data],$DE1426,62),0)</f>
        <v/>
      </c>
      <c r="BN1426">
        <f>IFERROR(INDEX(PP_Grid[#Data],$DE1426,63),0)</f>
        <v/>
      </c>
      <c r="BO1426">
        <f>IFERROR(INDEX(PP_Grid[#Data],$DE1426,64),0)</f>
        <v/>
      </c>
      <c r="BP1426">
        <f>IFERROR(INDEX(PP_Grid[#Data],$DE1426,65),0)</f>
        <v/>
      </c>
      <c r="BQ1426">
        <f>IFERROR(INDEX(PP_Grid[#Data],$DE1426,66),0)</f>
        <v/>
      </c>
      <c r="BR1426">
        <f>IFERROR(INDEX(PP_Grid[#Data],$DE1426,67),0)</f>
        <v/>
      </c>
      <c r="BS1426">
        <f>IFERROR(INDEX(PP_Grid[#Data],$DE1426,68),0)</f>
        <v/>
      </c>
      <c r="BT1426">
        <f>IFERROR(INDEX(PP_Grid[#Data],$DE1426,69),0)</f>
        <v/>
      </c>
      <c r="BU1426">
        <f>IFERROR(INDEX(PP_Grid[#Data],$DE1426,70),0)</f>
        <v/>
      </c>
      <c r="BV1426">
        <f>IFERROR(INDEX(PP_Grid[#Data],$DE1426,71),0)</f>
        <v/>
      </c>
      <c r="BW1426">
        <f>IFERROR(INDEX(PP_Grid[#Data],$DE1426,72),0)</f>
        <v/>
      </c>
      <c r="BX1426">
        <f>IFERROR(INDEX(PP_Grid[#Data],$DE1426,73),0)</f>
        <v/>
      </c>
      <c r="BY1426">
        <f>IFERROR(INDEX(PP_Grid[#Data],$DE1426,74),0)</f>
        <v/>
      </c>
      <c r="BZ1426">
        <f>IFERROR(INDEX(PP_Grid[#Data],$DE1426,75),0)</f>
        <v/>
      </c>
      <c r="CA1426">
        <f>IFERROR(INDEX(PP_Grid[#Data],$DE1426,76),0)</f>
        <v/>
      </c>
      <c r="CB1426">
        <f>IFERROR(INDEX(PP_Grid[#Data],$DE1426,77),0)</f>
        <v/>
      </c>
      <c r="CC1426">
        <f>IFERROR(INDEX(PP_Grid[#Data],$DE1426,78),0)</f>
        <v/>
      </c>
      <c r="CD1426">
        <f>IFERROR(INDEX(PP_Grid[#Data],$DE1426,79),0)</f>
        <v/>
      </c>
      <c r="CE1426">
        <f>IFERROR(INDEX(PP_Grid[#Data],$DE1426,80),0)</f>
        <v/>
      </c>
      <c r="CF1426">
        <f>IFERROR(INDEX(PP_Grid[#Data],$DE1426,81),0)</f>
        <v/>
      </c>
      <c r="CG1426">
        <f>IFERROR(INDEX(PP_Grid[#Data],$DE1426,82),0)</f>
        <v/>
      </c>
      <c r="CH1426">
        <f>IFERROR(INDEX(PP_Grid[#Data],$DE1426,83),0)</f>
        <v/>
      </c>
      <c r="CI1426">
        <f>IFERROR(INDEX(PP_Grid[#Data],$DE1426,84),0)</f>
        <v/>
      </c>
      <c r="CJ1426">
        <f>IFERROR(INDEX(PP_Grid[#Data],$DE1426,85),0)</f>
        <v/>
      </c>
      <c r="CK1426">
        <f>IFERROR(INDEX(PP_Grid[#Data],$DE1426,86),0)</f>
        <v/>
      </c>
      <c r="CL1426">
        <f>IFERROR(INDEX(PP_Grid[#Data],$DE1426,87),0)</f>
        <v/>
      </c>
      <c r="CM1426">
        <f>IFERROR(INDEX(PP_Grid[#Data],$DE1426,88),0)</f>
        <v/>
      </c>
      <c r="CN1426">
        <f>IFERROR(INDEX(PP_Grid[#Data],$DE1426,89),0)</f>
        <v/>
      </c>
      <c r="CO1426">
        <f>IFERROR(INDEX(PP_Grid[#Data],$DE1426,90),0)</f>
        <v/>
      </c>
      <c r="CP1426">
        <f>IFERROR(INDEX(PP_Grid[#Data],$DE1426,91),0)</f>
        <v/>
      </c>
      <c r="CQ1426">
        <f>IFERROR(INDEX(PP_Grid[#Data],$DE1426,92),0)</f>
        <v/>
      </c>
      <c r="CR1426">
        <f>IFERROR(INDEX(PP_Grid[#Data],$DE1426,93),0)</f>
        <v/>
      </c>
      <c r="CS1426">
        <f>IFERROR(INDEX(PP_Grid[#Data],$DE1426,94),0)</f>
        <v/>
      </c>
      <c r="CT1426">
        <f>IFERROR(INDEX(PP_Grid[#Data],$DE1426,95),0)</f>
        <v/>
      </c>
      <c r="CU1426">
        <f>IFERROR(INDEX(PP_Grid[#Data],$DE1426,96),0)</f>
        <v/>
      </c>
      <c r="CV1426">
        <f>IFERROR(INDEX(PP_Grid[#Data],$DE1426,97),0)</f>
        <v/>
      </c>
      <c r="CW1426">
        <f>IFERROR(INDEX(PP_Grid[#Data],$DE1426,98),0)</f>
        <v/>
      </c>
      <c r="CX1426">
        <f>IFERROR(INDEX(PP_Grid[#Data],$DE1426,99),0)</f>
        <v/>
      </c>
      <c r="CY1426">
        <f>IFERROR(INDEX(PP_Grid[#Data],$DE1426,100),0)</f>
        <v/>
      </c>
      <c r="CZ1426">
        <f>IFERROR(INDEX(PP_Grid[#Data],$DE1426,101),0)</f>
        <v/>
      </c>
      <c r="DA1426">
        <f>IFERROR(INDEX(PP_Grid[#Data],$DE1426,102),0)</f>
        <v/>
      </c>
      <c r="DB1426">
        <f>IFERROR(INDEX(PP_Grid[#Data],$DE1426,103),0)</f>
        <v/>
      </c>
      <c r="DC1426">
        <f>IFERROR(INDEX(PP_Grid[#Data],$DE1426,104),0)</f>
        <v/>
      </c>
      <c r="DD1426">
        <f>IFERROR(INDEX(PP_Grid[#Data],$DE1426,105),0)</f>
        <v/>
      </c>
      <c r="DE1426" s="7">
        <f>IFERROR(MATCH($B1426,PP_Grid[Intermediate],0),99999)</f>
        <v/>
      </c>
    </row>
    <row r="1427">
      <c r="B1427" t="inlineStr">
        <is>
          <t>使用量(kg)</t>
        </is>
      </c>
      <c r="C1427">
        <f>SUMIFS(M_BOM[RM_Qty_Per_Batch],M_BOM[Intermediate],$B1426,M_BOM[RM_Code],$A1413)</f>
        <v/>
      </c>
      <c r="D1427">
        <f>IFERROR(INDEX(E1427:DD1427,$F$1),"")</f>
        <v/>
      </c>
      <c r="E1427">
        <f>$C1427*E1426</f>
        <v/>
      </c>
      <c r="F1427">
        <f>$C1427*F1426</f>
        <v/>
      </c>
      <c r="G1427">
        <f>$C1427*G1426</f>
        <v/>
      </c>
      <c r="H1427">
        <f>$C1427*H1426</f>
        <v/>
      </c>
      <c r="I1427">
        <f>$C1427*I1426</f>
        <v/>
      </c>
      <c r="J1427">
        <f>$C1427*J1426</f>
        <v/>
      </c>
      <c r="K1427">
        <f>$C1427*K1426</f>
        <v/>
      </c>
      <c r="L1427">
        <f>$C1427*L1426</f>
        <v/>
      </c>
      <c r="M1427">
        <f>$C1427*M1426</f>
        <v/>
      </c>
      <c r="N1427">
        <f>$C1427*N1426</f>
        <v/>
      </c>
      <c r="O1427">
        <f>$C1427*O1426</f>
        <v/>
      </c>
      <c r="P1427">
        <f>$C1427*P1426</f>
        <v/>
      </c>
      <c r="Q1427">
        <f>$C1427*Q1426</f>
        <v/>
      </c>
      <c r="R1427">
        <f>$C1427*R1426</f>
        <v/>
      </c>
      <c r="S1427">
        <f>$C1427*S1426</f>
        <v/>
      </c>
      <c r="T1427">
        <f>$C1427*T1426</f>
        <v/>
      </c>
      <c r="U1427">
        <f>$C1427*U1426</f>
        <v/>
      </c>
      <c r="V1427">
        <f>$C1427*V1426</f>
        <v/>
      </c>
      <c r="W1427">
        <f>$C1427*W1426</f>
        <v/>
      </c>
      <c r="X1427">
        <f>$C1427*X1426</f>
        <v/>
      </c>
      <c r="Y1427">
        <f>$C1427*Y1426</f>
        <v/>
      </c>
      <c r="Z1427">
        <f>$C1427*Z1426</f>
        <v/>
      </c>
      <c r="AA1427">
        <f>$C1427*AA1426</f>
        <v/>
      </c>
      <c r="AB1427">
        <f>$C1427*AB1426</f>
        <v/>
      </c>
      <c r="AC1427">
        <f>$C1427*AC1426</f>
        <v/>
      </c>
      <c r="AD1427">
        <f>$C1427*AD1426</f>
        <v/>
      </c>
      <c r="AE1427">
        <f>$C1427*AE1426</f>
        <v/>
      </c>
      <c r="AF1427">
        <f>$C1427*AF1426</f>
        <v/>
      </c>
      <c r="AG1427">
        <f>$C1427*AG1426</f>
        <v/>
      </c>
      <c r="AH1427">
        <f>$C1427*AH1426</f>
        <v/>
      </c>
      <c r="AI1427">
        <f>$C1427*AI1426</f>
        <v/>
      </c>
      <c r="AJ1427">
        <f>$C1427*AJ1426</f>
        <v/>
      </c>
      <c r="AK1427">
        <f>$C1427*AK1426</f>
        <v/>
      </c>
      <c r="AL1427">
        <f>$C1427*AL1426</f>
        <v/>
      </c>
      <c r="AM1427">
        <f>$C1427*AM1426</f>
        <v/>
      </c>
      <c r="AN1427">
        <f>$C1427*AN1426</f>
        <v/>
      </c>
      <c r="AO1427">
        <f>$C1427*AO1426</f>
        <v/>
      </c>
      <c r="AP1427">
        <f>$C1427*AP1426</f>
        <v/>
      </c>
      <c r="AQ1427">
        <f>$C1427*AQ1426</f>
        <v/>
      </c>
      <c r="AR1427">
        <f>$C1427*AR1426</f>
        <v/>
      </c>
      <c r="AS1427">
        <f>$C1427*AS1426</f>
        <v/>
      </c>
      <c r="AT1427">
        <f>$C1427*AT1426</f>
        <v/>
      </c>
      <c r="AU1427">
        <f>$C1427*AU1426</f>
        <v/>
      </c>
      <c r="AV1427">
        <f>$C1427*AV1426</f>
        <v/>
      </c>
      <c r="AW1427">
        <f>$C1427*AW1426</f>
        <v/>
      </c>
      <c r="AX1427">
        <f>$C1427*AX1426</f>
        <v/>
      </c>
      <c r="AY1427">
        <f>$C1427*AY1426</f>
        <v/>
      </c>
      <c r="AZ1427">
        <f>$C1427*AZ1426</f>
        <v/>
      </c>
      <c r="BA1427">
        <f>$C1427*BA1426</f>
        <v/>
      </c>
      <c r="BB1427">
        <f>$C1427*BB1426</f>
        <v/>
      </c>
      <c r="BC1427">
        <f>$C1427*BC1426</f>
        <v/>
      </c>
      <c r="BD1427">
        <f>$C1427*BD1426</f>
        <v/>
      </c>
      <c r="BE1427">
        <f>$C1427*BE1426</f>
        <v/>
      </c>
      <c r="BF1427">
        <f>$C1427*BF1426</f>
        <v/>
      </c>
      <c r="BG1427">
        <f>$C1427*BG1426</f>
        <v/>
      </c>
      <c r="BH1427">
        <f>$C1427*BH1426</f>
        <v/>
      </c>
      <c r="BI1427">
        <f>$C1427*BI1426</f>
        <v/>
      </c>
      <c r="BJ1427">
        <f>$C1427*BJ1426</f>
        <v/>
      </c>
      <c r="BK1427">
        <f>$C1427*BK1426</f>
        <v/>
      </c>
      <c r="BL1427">
        <f>$C1427*BL1426</f>
        <v/>
      </c>
      <c r="BM1427">
        <f>$C1427*BM1426</f>
        <v/>
      </c>
      <c r="BN1427">
        <f>$C1427*BN1426</f>
        <v/>
      </c>
      <c r="BO1427">
        <f>$C1427*BO1426</f>
        <v/>
      </c>
      <c r="BP1427">
        <f>$C1427*BP1426</f>
        <v/>
      </c>
      <c r="BQ1427">
        <f>$C1427*BQ1426</f>
        <v/>
      </c>
      <c r="BR1427">
        <f>$C1427*BR1426</f>
        <v/>
      </c>
      <c r="BS1427">
        <f>$C1427*BS1426</f>
        <v/>
      </c>
      <c r="BT1427">
        <f>$C1427*BT1426</f>
        <v/>
      </c>
      <c r="BU1427">
        <f>$C1427*BU1426</f>
        <v/>
      </c>
      <c r="BV1427">
        <f>$C1427*BV1426</f>
        <v/>
      </c>
      <c r="BW1427">
        <f>$C1427*BW1426</f>
        <v/>
      </c>
      <c r="BX1427">
        <f>$C1427*BX1426</f>
        <v/>
      </c>
      <c r="BY1427">
        <f>$C1427*BY1426</f>
        <v/>
      </c>
      <c r="BZ1427">
        <f>$C1427*BZ1426</f>
        <v/>
      </c>
      <c r="CA1427">
        <f>$C1427*CA1426</f>
        <v/>
      </c>
      <c r="CB1427">
        <f>$C1427*CB1426</f>
        <v/>
      </c>
      <c r="CC1427">
        <f>$C1427*CC1426</f>
        <v/>
      </c>
      <c r="CD1427">
        <f>$C1427*CD1426</f>
        <v/>
      </c>
      <c r="CE1427">
        <f>$C1427*CE1426</f>
        <v/>
      </c>
      <c r="CF1427">
        <f>$C1427*CF1426</f>
        <v/>
      </c>
      <c r="CG1427">
        <f>$C1427*CG1426</f>
        <v/>
      </c>
      <c r="CH1427">
        <f>$C1427*CH1426</f>
        <v/>
      </c>
      <c r="CI1427">
        <f>$C1427*CI1426</f>
        <v/>
      </c>
      <c r="CJ1427">
        <f>$C1427*CJ1426</f>
        <v/>
      </c>
      <c r="CK1427">
        <f>$C1427*CK1426</f>
        <v/>
      </c>
      <c r="CL1427">
        <f>$C1427*CL1426</f>
        <v/>
      </c>
      <c r="CM1427">
        <f>$C1427*CM1426</f>
        <v/>
      </c>
      <c r="CN1427">
        <f>$C1427*CN1426</f>
        <v/>
      </c>
      <c r="CO1427">
        <f>$C1427*CO1426</f>
        <v/>
      </c>
      <c r="CP1427">
        <f>$C1427*CP1426</f>
        <v/>
      </c>
      <c r="CQ1427">
        <f>$C1427*CQ1426</f>
        <v/>
      </c>
      <c r="CR1427">
        <f>$C1427*CR1426</f>
        <v/>
      </c>
      <c r="CS1427">
        <f>$C1427*CS1426</f>
        <v/>
      </c>
      <c r="CT1427">
        <f>$C1427*CT1426</f>
        <v/>
      </c>
      <c r="CU1427">
        <f>$C1427*CU1426</f>
        <v/>
      </c>
      <c r="CV1427">
        <f>$C1427*CV1426</f>
        <v/>
      </c>
      <c r="CW1427">
        <f>$C1427*CW1426</f>
        <v/>
      </c>
      <c r="CX1427">
        <f>$C1427*CX1426</f>
        <v/>
      </c>
      <c r="CY1427">
        <f>$C1427*CY1426</f>
        <v/>
      </c>
      <c r="CZ1427">
        <f>$C1427*CZ1426</f>
        <v/>
      </c>
      <c r="DA1427">
        <f>$C1427*DA1426</f>
        <v/>
      </c>
      <c r="DB1427">
        <f>$C1427*DB1426</f>
        <v/>
      </c>
      <c r="DC1427">
        <f>$C1427*DC1426</f>
        <v/>
      </c>
      <c r="DD1427">
        <f>$C1427*DD1426</f>
        <v/>
      </c>
    </row>
    <row r="1428">
      <c r="B1428" t="inlineStr">
        <is>
          <t>TSP-1448</t>
        </is>
      </c>
      <c r="C1428" t="inlineStr">
        <is>
          <t>No. of batches</t>
        </is>
      </c>
      <c r="D1428">
        <f>IFERROR(INDEX(E1428:DD1428,$F$1),"")</f>
        <v/>
      </c>
      <c r="E1428">
        <f>IFERROR(INDEX(PP_Grid[#Data],$DE1428,2),0)</f>
        <v/>
      </c>
      <c r="F1428">
        <f>IFERROR(INDEX(PP_Grid[#Data],$DE1428,3),0)</f>
        <v/>
      </c>
      <c r="G1428">
        <f>IFERROR(INDEX(PP_Grid[#Data],$DE1428,4),0)</f>
        <v/>
      </c>
      <c r="H1428">
        <f>IFERROR(INDEX(PP_Grid[#Data],$DE1428,5),0)</f>
        <v/>
      </c>
      <c r="I1428">
        <f>IFERROR(INDEX(PP_Grid[#Data],$DE1428,6),0)</f>
        <v/>
      </c>
      <c r="J1428">
        <f>IFERROR(INDEX(PP_Grid[#Data],$DE1428,7),0)</f>
        <v/>
      </c>
      <c r="K1428">
        <f>IFERROR(INDEX(PP_Grid[#Data],$DE1428,8),0)</f>
        <v/>
      </c>
      <c r="L1428">
        <f>IFERROR(INDEX(PP_Grid[#Data],$DE1428,9),0)</f>
        <v/>
      </c>
      <c r="M1428">
        <f>IFERROR(INDEX(PP_Grid[#Data],$DE1428,10),0)</f>
        <v/>
      </c>
      <c r="N1428">
        <f>IFERROR(INDEX(PP_Grid[#Data],$DE1428,11),0)</f>
        <v/>
      </c>
      <c r="O1428">
        <f>IFERROR(INDEX(PP_Grid[#Data],$DE1428,12),0)</f>
        <v/>
      </c>
      <c r="P1428">
        <f>IFERROR(INDEX(PP_Grid[#Data],$DE1428,13),0)</f>
        <v/>
      </c>
      <c r="Q1428">
        <f>IFERROR(INDEX(PP_Grid[#Data],$DE1428,14),0)</f>
        <v/>
      </c>
      <c r="R1428">
        <f>IFERROR(INDEX(PP_Grid[#Data],$DE1428,15),0)</f>
        <v/>
      </c>
      <c r="S1428">
        <f>IFERROR(INDEX(PP_Grid[#Data],$DE1428,16),0)</f>
        <v/>
      </c>
      <c r="T1428">
        <f>IFERROR(INDEX(PP_Grid[#Data],$DE1428,17),0)</f>
        <v/>
      </c>
      <c r="U1428">
        <f>IFERROR(INDEX(PP_Grid[#Data],$DE1428,18),0)</f>
        <v/>
      </c>
      <c r="V1428">
        <f>IFERROR(INDEX(PP_Grid[#Data],$DE1428,19),0)</f>
        <v/>
      </c>
      <c r="W1428">
        <f>IFERROR(INDEX(PP_Grid[#Data],$DE1428,20),0)</f>
        <v/>
      </c>
      <c r="X1428">
        <f>IFERROR(INDEX(PP_Grid[#Data],$DE1428,21),0)</f>
        <v/>
      </c>
      <c r="Y1428">
        <f>IFERROR(INDEX(PP_Grid[#Data],$DE1428,22),0)</f>
        <v/>
      </c>
      <c r="Z1428">
        <f>IFERROR(INDEX(PP_Grid[#Data],$DE1428,23),0)</f>
        <v/>
      </c>
      <c r="AA1428">
        <f>IFERROR(INDEX(PP_Grid[#Data],$DE1428,24),0)</f>
        <v/>
      </c>
      <c r="AB1428">
        <f>IFERROR(INDEX(PP_Grid[#Data],$DE1428,25),0)</f>
        <v/>
      </c>
      <c r="AC1428">
        <f>IFERROR(INDEX(PP_Grid[#Data],$DE1428,26),0)</f>
        <v/>
      </c>
      <c r="AD1428">
        <f>IFERROR(INDEX(PP_Grid[#Data],$DE1428,27),0)</f>
        <v/>
      </c>
      <c r="AE1428">
        <f>IFERROR(INDEX(PP_Grid[#Data],$DE1428,28),0)</f>
        <v/>
      </c>
      <c r="AF1428">
        <f>IFERROR(INDEX(PP_Grid[#Data],$DE1428,29),0)</f>
        <v/>
      </c>
      <c r="AG1428">
        <f>IFERROR(INDEX(PP_Grid[#Data],$DE1428,30),0)</f>
        <v/>
      </c>
      <c r="AH1428">
        <f>IFERROR(INDEX(PP_Grid[#Data],$DE1428,31),0)</f>
        <v/>
      </c>
      <c r="AI1428">
        <f>IFERROR(INDEX(PP_Grid[#Data],$DE1428,32),0)</f>
        <v/>
      </c>
      <c r="AJ1428">
        <f>IFERROR(INDEX(PP_Grid[#Data],$DE1428,33),0)</f>
        <v/>
      </c>
      <c r="AK1428">
        <f>IFERROR(INDEX(PP_Grid[#Data],$DE1428,34),0)</f>
        <v/>
      </c>
      <c r="AL1428">
        <f>IFERROR(INDEX(PP_Grid[#Data],$DE1428,35),0)</f>
        <v/>
      </c>
      <c r="AM1428">
        <f>IFERROR(INDEX(PP_Grid[#Data],$DE1428,36),0)</f>
        <v/>
      </c>
      <c r="AN1428">
        <f>IFERROR(INDEX(PP_Grid[#Data],$DE1428,37),0)</f>
        <v/>
      </c>
      <c r="AO1428">
        <f>IFERROR(INDEX(PP_Grid[#Data],$DE1428,38),0)</f>
        <v/>
      </c>
      <c r="AP1428">
        <f>IFERROR(INDEX(PP_Grid[#Data],$DE1428,39),0)</f>
        <v/>
      </c>
      <c r="AQ1428">
        <f>IFERROR(INDEX(PP_Grid[#Data],$DE1428,40),0)</f>
        <v/>
      </c>
      <c r="AR1428">
        <f>IFERROR(INDEX(PP_Grid[#Data],$DE1428,41),0)</f>
        <v/>
      </c>
      <c r="AS1428">
        <f>IFERROR(INDEX(PP_Grid[#Data],$DE1428,42),0)</f>
        <v/>
      </c>
      <c r="AT1428">
        <f>IFERROR(INDEX(PP_Grid[#Data],$DE1428,43),0)</f>
        <v/>
      </c>
      <c r="AU1428">
        <f>IFERROR(INDEX(PP_Grid[#Data],$DE1428,44),0)</f>
        <v/>
      </c>
      <c r="AV1428">
        <f>IFERROR(INDEX(PP_Grid[#Data],$DE1428,45),0)</f>
        <v/>
      </c>
      <c r="AW1428">
        <f>IFERROR(INDEX(PP_Grid[#Data],$DE1428,46),0)</f>
        <v/>
      </c>
      <c r="AX1428">
        <f>IFERROR(INDEX(PP_Grid[#Data],$DE1428,47),0)</f>
        <v/>
      </c>
      <c r="AY1428">
        <f>IFERROR(INDEX(PP_Grid[#Data],$DE1428,48),0)</f>
        <v/>
      </c>
      <c r="AZ1428">
        <f>IFERROR(INDEX(PP_Grid[#Data],$DE1428,49),0)</f>
        <v/>
      </c>
      <c r="BA1428">
        <f>IFERROR(INDEX(PP_Grid[#Data],$DE1428,50),0)</f>
        <v/>
      </c>
      <c r="BB1428">
        <f>IFERROR(INDEX(PP_Grid[#Data],$DE1428,51),0)</f>
        <v/>
      </c>
      <c r="BC1428">
        <f>IFERROR(INDEX(PP_Grid[#Data],$DE1428,52),0)</f>
        <v/>
      </c>
      <c r="BD1428">
        <f>IFERROR(INDEX(PP_Grid[#Data],$DE1428,53),0)</f>
        <v/>
      </c>
      <c r="BE1428">
        <f>IFERROR(INDEX(PP_Grid[#Data],$DE1428,54),0)</f>
        <v/>
      </c>
      <c r="BF1428">
        <f>IFERROR(INDEX(PP_Grid[#Data],$DE1428,55),0)</f>
        <v/>
      </c>
      <c r="BG1428">
        <f>IFERROR(INDEX(PP_Grid[#Data],$DE1428,56),0)</f>
        <v/>
      </c>
      <c r="BH1428">
        <f>IFERROR(INDEX(PP_Grid[#Data],$DE1428,57),0)</f>
        <v/>
      </c>
      <c r="BI1428">
        <f>IFERROR(INDEX(PP_Grid[#Data],$DE1428,58),0)</f>
        <v/>
      </c>
      <c r="BJ1428">
        <f>IFERROR(INDEX(PP_Grid[#Data],$DE1428,59),0)</f>
        <v/>
      </c>
      <c r="BK1428">
        <f>IFERROR(INDEX(PP_Grid[#Data],$DE1428,60),0)</f>
        <v/>
      </c>
      <c r="BL1428">
        <f>IFERROR(INDEX(PP_Grid[#Data],$DE1428,61),0)</f>
        <v/>
      </c>
      <c r="BM1428">
        <f>IFERROR(INDEX(PP_Grid[#Data],$DE1428,62),0)</f>
        <v/>
      </c>
      <c r="BN1428">
        <f>IFERROR(INDEX(PP_Grid[#Data],$DE1428,63),0)</f>
        <v/>
      </c>
      <c r="BO1428">
        <f>IFERROR(INDEX(PP_Grid[#Data],$DE1428,64),0)</f>
        <v/>
      </c>
      <c r="BP1428">
        <f>IFERROR(INDEX(PP_Grid[#Data],$DE1428,65),0)</f>
        <v/>
      </c>
      <c r="BQ1428">
        <f>IFERROR(INDEX(PP_Grid[#Data],$DE1428,66),0)</f>
        <v/>
      </c>
      <c r="BR1428">
        <f>IFERROR(INDEX(PP_Grid[#Data],$DE1428,67),0)</f>
        <v/>
      </c>
      <c r="BS1428">
        <f>IFERROR(INDEX(PP_Grid[#Data],$DE1428,68),0)</f>
        <v/>
      </c>
      <c r="BT1428">
        <f>IFERROR(INDEX(PP_Grid[#Data],$DE1428,69),0)</f>
        <v/>
      </c>
      <c r="BU1428">
        <f>IFERROR(INDEX(PP_Grid[#Data],$DE1428,70),0)</f>
        <v/>
      </c>
      <c r="BV1428">
        <f>IFERROR(INDEX(PP_Grid[#Data],$DE1428,71),0)</f>
        <v/>
      </c>
      <c r="BW1428">
        <f>IFERROR(INDEX(PP_Grid[#Data],$DE1428,72),0)</f>
        <v/>
      </c>
      <c r="BX1428">
        <f>IFERROR(INDEX(PP_Grid[#Data],$DE1428,73),0)</f>
        <v/>
      </c>
      <c r="BY1428">
        <f>IFERROR(INDEX(PP_Grid[#Data],$DE1428,74),0)</f>
        <v/>
      </c>
      <c r="BZ1428">
        <f>IFERROR(INDEX(PP_Grid[#Data],$DE1428,75),0)</f>
        <v/>
      </c>
      <c r="CA1428">
        <f>IFERROR(INDEX(PP_Grid[#Data],$DE1428,76),0)</f>
        <v/>
      </c>
      <c r="CB1428">
        <f>IFERROR(INDEX(PP_Grid[#Data],$DE1428,77),0)</f>
        <v/>
      </c>
      <c r="CC1428">
        <f>IFERROR(INDEX(PP_Grid[#Data],$DE1428,78),0)</f>
        <v/>
      </c>
      <c r="CD1428">
        <f>IFERROR(INDEX(PP_Grid[#Data],$DE1428,79),0)</f>
        <v/>
      </c>
      <c r="CE1428">
        <f>IFERROR(INDEX(PP_Grid[#Data],$DE1428,80),0)</f>
        <v/>
      </c>
      <c r="CF1428">
        <f>IFERROR(INDEX(PP_Grid[#Data],$DE1428,81),0)</f>
        <v/>
      </c>
      <c r="CG1428">
        <f>IFERROR(INDEX(PP_Grid[#Data],$DE1428,82),0)</f>
        <v/>
      </c>
      <c r="CH1428">
        <f>IFERROR(INDEX(PP_Grid[#Data],$DE1428,83),0)</f>
        <v/>
      </c>
      <c r="CI1428">
        <f>IFERROR(INDEX(PP_Grid[#Data],$DE1428,84),0)</f>
        <v/>
      </c>
      <c r="CJ1428">
        <f>IFERROR(INDEX(PP_Grid[#Data],$DE1428,85),0)</f>
        <v/>
      </c>
      <c r="CK1428">
        <f>IFERROR(INDEX(PP_Grid[#Data],$DE1428,86),0)</f>
        <v/>
      </c>
      <c r="CL1428">
        <f>IFERROR(INDEX(PP_Grid[#Data],$DE1428,87),0)</f>
        <v/>
      </c>
      <c r="CM1428">
        <f>IFERROR(INDEX(PP_Grid[#Data],$DE1428,88),0)</f>
        <v/>
      </c>
      <c r="CN1428">
        <f>IFERROR(INDEX(PP_Grid[#Data],$DE1428,89),0)</f>
        <v/>
      </c>
      <c r="CO1428">
        <f>IFERROR(INDEX(PP_Grid[#Data],$DE1428,90),0)</f>
        <v/>
      </c>
      <c r="CP1428">
        <f>IFERROR(INDEX(PP_Grid[#Data],$DE1428,91),0)</f>
        <v/>
      </c>
      <c r="CQ1428">
        <f>IFERROR(INDEX(PP_Grid[#Data],$DE1428,92),0)</f>
        <v/>
      </c>
      <c r="CR1428">
        <f>IFERROR(INDEX(PP_Grid[#Data],$DE1428,93),0)</f>
        <v/>
      </c>
      <c r="CS1428">
        <f>IFERROR(INDEX(PP_Grid[#Data],$DE1428,94),0)</f>
        <v/>
      </c>
      <c r="CT1428">
        <f>IFERROR(INDEX(PP_Grid[#Data],$DE1428,95),0)</f>
        <v/>
      </c>
      <c r="CU1428">
        <f>IFERROR(INDEX(PP_Grid[#Data],$DE1428,96),0)</f>
        <v/>
      </c>
      <c r="CV1428">
        <f>IFERROR(INDEX(PP_Grid[#Data],$DE1428,97),0)</f>
        <v/>
      </c>
      <c r="CW1428">
        <f>IFERROR(INDEX(PP_Grid[#Data],$DE1428,98),0)</f>
        <v/>
      </c>
      <c r="CX1428">
        <f>IFERROR(INDEX(PP_Grid[#Data],$DE1428,99),0)</f>
        <v/>
      </c>
      <c r="CY1428">
        <f>IFERROR(INDEX(PP_Grid[#Data],$DE1428,100),0)</f>
        <v/>
      </c>
      <c r="CZ1428">
        <f>IFERROR(INDEX(PP_Grid[#Data],$DE1428,101),0)</f>
        <v/>
      </c>
      <c r="DA1428">
        <f>IFERROR(INDEX(PP_Grid[#Data],$DE1428,102),0)</f>
        <v/>
      </c>
      <c r="DB1428">
        <f>IFERROR(INDEX(PP_Grid[#Data],$DE1428,103),0)</f>
        <v/>
      </c>
      <c r="DC1428">
        <f>IFERROR(INDEX(PP_Grid[#Data],$DE1428,104),0)</f>
        <v/>
      </c>
      <c r="DD1428">
        <f>IFERROR(INDEX(PP_Grid[#Data],$DE1428,105),0)</f>
        <v/>
      </c>
      <c r="DE1428" s="7">
        <f>IFERROR(MATCH($B1428,PP_Grid[Intermediate],0),99999)</f>
        <v/>
      </c>
    </row>
    <row r="1429">
      <c r="B1429" t="inlineStr">
        <is>
          <t>使用量(kg)</t>
        </is>
      </c>
      <c r="C1429">
        <f>SUMIFS(M_BOM[RM_Qty_Per_Batch],M_BOM[Intermediate],$B1428,M_BOM[RM_Code],$A1413)</f>
        <v/>
      </c>
      <c r="D1429">
        <f>IFERROR(INDEX(E1429:DD1429,$F$1),"")</f>
        <v/>
      </c>
      <c r="E1429">
        <f>$C1429*E1428</f>
        <v/>
      </c>
      <c r="F1429">
        <f>$C1429*F1428</f>
        <v/>
      </c>
      <c r="G1429">
        <f>$C1429*G1428</f>
        <v/>
      </c>
      <c r="H1429">
        <f>$C1429*H1428</f>
        <v/>
      </c>
      <c r="I1429">
        <f>$C1429*I1428</f>
        <v/>
      </c>
      <c r="J1429">
        <f>$C1429*J1428</f>
        <v/>
      </c>
      <c r="K1429">
        <f>$C1429*K1428</f>
        <v/>
      </c>
      <c r="L1429">
        <f>$C1429*L1428</f>
        <v/>
      </c>
      <c r="M1429">
        <f>$C1429*M1428</f>
        <v/>
      </c>
      <c r="N1429">
        <f>$C1429*N1428</f>
        <v/>
      </c>
      <c r="O1429">
        <f>$C1429*O1428</f>
        <v/>
      </c>
      <c r="P1429">
        <f>$C1429*P1428</f>
        <v/>
      </c>
      <c r="Q1429">
        <f>$C1429*Q1428</f>
        <v/>
      </c>
      <c r="R1429">
        <f>$C1429*R1428</f>
        <v/>
      </c>
      <c r="S1429">
        <f>$C1429*S1428</f>
        <v/>
      </c>
      <c r="T1429">
        <f>$C1429*T1428</f>
        <v/>
      </c>
      <c r="U1429">
        <f>$C1429*U1428</f>
        <v/>
      </c>
      <c r="V1429">
        <f>$C1429*V1428</f>
        <v/>
      </c>
      <c r="W1429">
        <f>$C1429*W1428</f>
        <v/>
      </c>
      <c r="X1429">
        <f>$C1429*X1428</f>
        <v/>
      </c>
      <c r="Y1429">
        <f>$C1429*Y1428</f>
        <v/>
      </c>
      <c r="Z1429">
        <f>$C1429*Z1428</f>
        <v/>
      </c>
      <c r="AA1429">
        <f>$C1429*AA1428</f>
        <v/>
      </c>
      <c r="AB1429">
        <f>$C1429*AB1428</f>
        <v/>
      </c>
      <c r="AC1429">
        <f>$C1429*AC1428</f>
        <v/>
      </c>
      <c r="AD1429">
        <f>$C1429*AD1428</f>
        <v/>
      </c>
      <c r="AE1429">
        <f>$C1429*AE1428</f>
        <v/>
      </c>
      <c r="AF1429">
        <f>$C1429*AF1428</f>
        <v/>
      </c>
      <c r="AG1429">
        <f>$C1429*AG1428</f>
        <v/>
      </c>
      <c r="AH1429">
        <f>$C1429*AH1428</f>
        <v/>
      </c>
      <c r="AI1429">
        <f>$C1429*AI1428</f>
        <v/>
      </c>
      <c r="AJ1429">
        <f>$C1429*AJ1428</f>
        <v/>
      </c>
      <c r="AK1429">
        <f>$C1429*AK1428</f>
        <v/>
      </c>
      <c r="AL1429">
        <f>$C1429*AL1428</f>
        <v/>
      </c>
      <c r="AM1429">
        <f>$C1429*AM1428</f>
        <v/>
      </c>
      <c r="AN1429">
        <f>$C1429*AN1428</f>
        <v/>
      </c>
      <c r="AO1429">
        <f>$C1429*AO1428</f>
        <v/>
      </c>
      <c r="AP1429">
        <f>$C1429*AP1428</f>
        <v/>
      </c>
      <c r="AQ1429">
        <f>$C1429*AQ1428</f>
        <v/>
      </c>
      <c r="AR1429">
        <f>$C1429*AR1428</f>
        <v/>
      </c>
      <c r="AS1429">
        <f>$C1429*AS1428</f>
        <v/>
      </c>
      <c r="AT1429">
        <f>$C1429*AT1428</f>
        <v/>
      </c>
      <c r="AU1429">
        <f>$C1429*AU1428</f>
        <v/>
      </c>
      <c r="AV1429">
        <f>$C1429*AV1428</f>
        <v/>
      </c>
      <c r="AW1429">
        <f>$C1429*AW1428</f>
        <v/>
      </c>
      <c r="AX1429">
        <f>$C1429*AX1428</f>
        <v/>
      </c>
      <c r="AY1429">
        <f>$C1429*AY1428</f>
        <v/>
      </c>
      <c r="AZ1429">
        <f>$C1429*AZ1428</f>
        <v/>
      </c>
      <c r="BA1429">
        <f>$C1429*BA1428</f>
        <v/>
      </c>
      <c r="BB1429">
        <f>$C1429*BB1428</f>
        <v/>
      </c>
      <c r="BC1429">
        <f>$C1429*BC1428</f>
        <v/>
      </c>
      <c r="BD1429">
        <f>$C1429*BD1428</f>
        <v/>
      </c>
      <c r="BE1429">
        <f>$C1429*BE1428</f>
        <v/>
      </c>
      <c r="BF1429">
        <f>$C1429*BF1428</f>
        <v/>
      </c>
      <c r="BG1429">
        <f>$C1429*BG1428</f>
        <v/>
      </c>
      <c r="BH1429">
        <f>$C1429*BH1428</f>
        <v/>
      </c>
      <c r="BI1429">
        <f>$C1429*BI1428</f>
        <v/>
      </c>
      <c r="BJ1429">
        <f>$C1429*BJ1428</f>
        <v/>
      </c>
      <c r="BK1429">
        <f>$C1429*BK1428</f>
        <v/>
      </c>
      <c r="BL1429">
        <f>$C1429*BL1428</f>
        <v/>
      </c>
      <c r="BM1429">
        <f>$C1429*BM1428</f>
        <v/>
      </c>
      <c r="BN1429">
        <f>$C1429*BN1428</f>
        <v/>
      </c>
      <c r="BO1429">
        <f>$C1429*BO1428</f>
        <v/>
      </c>
      <c r="BP1429">
        <f>$C1429*BP1428</f>
        <v/>
      </c>
      <c r="BQ1429">
        <f>$C1429*BQ1428</f>
        <v/>
      </c>
      <c r="BR1429">
        <f>$C1429*BR1428</f>
        <v/>
      </c>
      <c r="BS1429">
        <f>$C1429*BS1428</f>
        <v/>
      </c>
      <c r="BT1429">
        <f>$C1429*BT1428</f>
        <v/>
      </c>
      <c r="BU1429">
        <f>$C1429*BU1428</f>
        <v/>
      </c>
      <c r="BV1429">
        <f>$C1429*BV1428</f>
        <v/>
      </c>
      <c r="BW1429">
        <f>$C1429*BW1428</f>
        <v/>
      </c>
      <c r="BX1429">
        <f>$C1429*BX1428</f>
        <v/>
      </c>
      <c r="BY1429">
        <f>$C1429*BY1428</f>
        <v/>
      </c>
      <c r="BZ1429">
        <f>$C1429*BZ1428</f>
        <v/>
      </c>
      <c r="CA1429">
        <f>$C1429*CA1428</f>
        <v/>
      </c>
      <c r="CB1429">
        <f>$C1429*CB1428</f>
        <v/>
      </c>
      <c r="CC1429">
        <f>$C1429*CC1428</f>
        <v/>
      </c>
      <c r="CD1429">
        <f>$C1429*CD1428</f>
        <v/>
      </c>
      <c r="CE1429">
        <f>$C1429*CE1428</f>
        <v/>
      </c>
      <c r="CF1429">
        <f>$C1429*CF1428</f>
        <v/>
      </c>
      <c r="CG1429">
        <f>$C1429*CG1428</f>
        <v/>
      </c>
      <c r="CH1429">
        <f>$C1429*CH1428</f>
        <v/>
      </c>
      <c r="CI1429">
        <f>$C1429*CI1428</f>
        <v/>
      </c>
      <c r="CJ1429">
        <f>$C1429*CJ1428</f>
        <v/>
      </c>
      <c r="CK1429">
        <f>$C1429*CK1428</f>
        <v/>
      </c>
      <c r="CL1429">
        <f>$C1429*CL1428</f>
        <v/>
      </c>
      <c r="CM1429">
        <f>$C1429*CM1428</f>
        <v/>
      </c>
      <c r="CN1429">
        <f>$C1429*CN1428</f>
        <v/>
      </c>
      <c r="CO1429">
        <f>$C1429*CO1428</f>
        <v/>
      </c>
      <c r="CP1429">
        <f>$C1429*CP1428</f>
        <v/>
      </c>
      <c r="CQ1429">
        <f>$C1429*CQ1428</f>
        <v/>
      </c>
      <c r="CR1429">
        <f>$C1429*CR1428</f>
        <v/>
      </c>
      <c r="CS1429">
        <f>$C1429*CS1428</f>
        <v/>
      </c>
      <c r="CT1429">
        <f>$C1429*CT1428</f>
        <v/>
      </c>
      <c r="CU1429">
        <f>$C1429*CU1428</f>
        <v/>
      </c>
      <c r="CV1429">
        <f>$C1429*CV1428</f>
        <v/>
      </c>
      <c r="CW1429">
        <f>$C1429*CW1428</f>
        <v/>
      </c>
      <c r="CX1429">
        <f>$C1429*CX1428</f>
        <v/>
      </c>
      <c r="CY1429">
        <f>$C1429*CY1428</f>
        <v/>
      </c>
      <c r="CZ1429">
        <f>$C1429*CZ1428</f>
        <v/>
      </c>
      <c r="DA1429">
        <f>$C1429*DA1428</f>
        <v/>
      </c>
      <c r="DB1429">
        <f>$C1429*DB1428</f>
        <v/>
      </c>
      <c r="DC1429">
        <f>$C1429*DC1428</f>
        <v/>
      </c>
      <c r="DD1429">
        <f>$C1429*DD1428</f>
        <v/>
      </c>
    </row>
    <row r="1430">
      <c r="B1430" t="inlineStr">
        <is>
          <t>TSP-1449</t>
        </is>
      </c>
      <c r="C1430" t="inlineStr">
        <is>
          <t>No. of batches</t>
        </is>
      </c>
      <c r="D1430">
        <f>IFERROR(INDEX(E1430:DD1430,$F$1),"")</f>
        <v/>
      </c>
      <c r="E1430">
        <f>IFERROR(INDEX(PP_Grid[#Data],$DE1430,2),0)</f>
        <v/>
      </c>
      <c r="F1430">
        <f>IFERROR(INDEX(PP_Grid[#Data],$DE1430,3),0)</f>
        <v/>
      </c>
      <c r="G1430">
        <f>IFERROR(INDEX(PP_Grid[#Data],$DE1430,4),0)</f>
        <v/>
      </c>
      <c r="H1430">
        <f>IFERROR(INDEX(PP_Grid[#Data],$DE1430,5),0)</f>
        <v/>
      </c>
      <c r="I1430">
        <f>IFERROR(INDEX(PP_Grid[#Data],$DE1430,6),0)</f>
        <v/>
      </c>
      <c r="J1430">
        <f>IFERROR(INDEX(PP_Grid[#Data],$DE1430,7),0)</f>
        <v/>
      </c>
      <c r="K1430">
        <f>IFERROR(INDEX(PP_Grid[#Data],$DE1430,8),0)</f>
        <v/>
      </c>
      <c r="L1430">
        <f>IFERROR(INDEX(PP_Grid[#Data],$DE1430,9),0)</f>
        <v/>
      </c>
      <c r="M1430">
        <f>IFERROR(INDEX(PP_Grid[#Data],$DE1430,10),0)</f>
        <v/>
      </c>
      <c r="N1430">
        <f>IFERROR(INDEX(PP_Grid[#Data],$DE1430,11),0)</f>
        <v/>
      </c>
      <c r="O1430">
        <f>IFERROR(INDEX(PP_Grid[#Data],$DE1430,12),0)</f>
        <v/>
      </c>
      <c r="P1430">
        <f>IFERROR(INDEX(PP_Grid[#Data],$DE1430,13),0)</f>
        <v/>
      </c>
      <c r="Q1430">
        <f>IFERROR(INDEX(PP_Grid[#Data],$DE1430,14),0)</f>
        <v/>
      </c>
      <c r="R1430">
        <f>IFERROR(INDEX(PP_Grid[#Data],$DE1430,15),0)</f>
        <v/>
      </c>
      <c r="S1430">
        <f>IFERROR(INDEX(PP_Grid[#Data],$DE1430,16),0)</f>
        <v/>
      </c>
      <c r="T1430">
        <f>IFERROR(INDEX(PP_Grid[#Data],$DE1430,17),0)</f>
        <v/>
      </c>
      <c r="U1430">
        <f>IFERROR(INDEX(PP_Grid[#Data],$DE1430,18),0)</f>
        <v/>
      </c>
      <c r="V1430">
        <f>IFERROR(INDEX(PP_Grid[#Data],$DE1430,19),0)</f>
        <v/>
      </c>
      <c r="W1430">
        <f>IFERROR(INDEX(PP_Grid[#Data],$DE1430,20),0)</f>
        <v/>
      </c>
      <c r="X1430">
        <f>IFERROR(INDEX(PP_Grid[#Data],$DE1430,21),0)</f>
        <v/>
      </c>
      <c r="Y1430">
        <f>IFERROR(INDEX(PP_Grid[#Data],$DE1430,22),0)</f>
        <v/>
      </c>
      <c r="Z1430">
        <f>IFERROR(INDEX(PP_Grid[#Data],$DE1430,23),0)</f>
        <v/>
      </c>
      <c r="AA1430">
        <f>IFERROR(INDEX(PP_Grid[#Data],$DE1430,24),0)</f>
        <v/>
      </c>
      <c r="AB1430">
        <f>IFERROR(INDEX(PP_Grid[#Data],$DE1430,25),0)</f>
        <v/>
      </c>
      <c r="AC1430">
        <f>IFERROR(INDEX(PP_Grid[#Data],$DE1430,26),0)</f>
        <v/>
      </c>
      <c r="AD1430">
        <f>IFERROR(INDEX(PP_Grid[#Data],$DE1430,27),0)</f>
        <v/>
      </c>
      <c r="AE1430">
        <f>IFERROR(INDEX(PP_Grid[#Data],$DE1430,28),0)</f>
        <v/>
      </c>
      <c r="AF1430">
        <f>IFERROR(INDEX(PP_Grid[#Data],$DE1430,29),0)</f>
        <v/>
      </c>
      <c r="AG1430">
        <f>IFERROR(INDEX(PP_Grid[#Data],$DE1430,30),0)</f>
        <v/>
      </c>
      <c r="AH1430">
        <f>IFERROR(INDEX(PP_Grid[#Data],$DE1430,31),0)</f>
        <v/>
      </c>
      <c r="AI1430">
        <f>IFERROR(INDEX(PP_Grid[#Data],$DE1430,32),0)</f>
        <v/>
      </c>
      <c r="AJ1430">
        <f>IFERROR(INDEX(PP_Grid[#Data],$DE1430,33),0)</f>
        <v/>
      </c>
      <c r="AK1430">
        <f>IFERROR(INDEX(PP_Grid[#Data],$DE1430,34),0)</f>
        <v/>
      </c>
      <c r="AL1430">
        <f>IFERROR(INDEX(PP_Grid[#Data],$DE1430,35),0)</f>
        <v/>
      </c>
      <c r="AM1430">
        <f>IFERROR(INDEX(PP_Grid[#Data],$DE1430,36),0)</f>
        <v/>
      </c>
      <c r="AN1430">
        <f>IFERROR(INDEX(PP_Grid[#Data],$DE1430,37),0)</f>
        <v/>
      </c>
      <c r="AO1430">
        <f>IFERROR(INDEX(PP_Grid[#Data],$DE1430,38),0)</f>
        <v/>
      </c>
      <c r="AP1430">
        <f>IFERROR(INDEX(PP_Grid[#Data],$DE1430,39),0)</f>
        <v/>
      </c>
      <c r="AQ1430">
        <f>IFERROR(INDEX(PP_Grid[#Data],$DE1430,40),0)</f>
        <v/>
      </c>
      <c r="AR1430">
        <f>IFERROR(INDEX(PP_Grid[#Data],$DE1430,41),0)</f>
        <v/>
      </c>
      <c r="AS1430">
        <f>IFERROR(INDEX(PP_Grid[#Data],$DE1430,42),0)</f>
        <v/>
      </c>
      <c r="AT1430">
        <f>IFERROR(INDEX(PP_Grid[#Data],$DE1430,43),0)</f>
        <v/>
      </c>
      <c r="AU1430">
        <f>IFERROR(INDEX(PP_Grid[#Data],$DE1430,44),0)</f>
        <v/>
      </c>
      <c r="AV1430">
        <f>IFERROR(INDEX(PP_Grid[#Data],$DE1430,45),0)</f>
        <v/>
      </c>
      <c r="AW1430">
        <f>IFERROR(INDEX(PP_Grid[#Data],$DE1430,46),0)</f>
        <v/>
      </c>
      <c r="AX1430">
        <f>IFERROR(INDEX(PP_Grid[#Data],$DE1430,47),0)</f>
        <v/>
      </c>
      <c r="AY1430">
        <f>IFERROR(INDEX(PP_Grid[#Data],$DE1430,48),0)</f>
        <v/>
      </c>
      <c r="AZ1430">
        <f>IFERROR(INDEX(PP_Grid[#Data],$DE1430,49),0)</f>
        <v/>
      </c>
      <c r="BA1430">
        <f>IFERROR(INDEX(PP_Grid[#Data],$DE1430,50),0)</f>
        <v/>
      </c>
      <c r="BB1430">
        <f>IFERROR(INDEX(PP_Grid[#Data],$DE1430,51),0)</f>
        <v/>
      </c>
      <c r="BC1430">
        <f>IFERROR(INDEX(PP_Grid[#Data],$DE1430,52),0)</f>
        <v/>
      </c>
      <c r="BD1430">
        <f>IFERROR(INDEX(PP_Grid[#Data],$DE1430,53),0)</f>
        <v/>
      </c>
      <c r="BE1430">
        <f>IFERROR(INDEX(PP_Grid[#Data],$DE1430,54),0)</f>
        <v/>
      </c>
      <c r="BF1430">
        <f>IFERROR(INDEX(PP_Grid[#Data],$DE1430,55),0)</f>
        <v/>
      </c>
      <c r="BG1430">
        <f>IFERROR(INDEX(PP_Grid[#Data],$DE1430,56),0)</f>
        <v/>
      </c>
      <c r="BH1430">
        <f>IFERROR(INDEX(PP_Grid[#Data],$DE1430,57),0)</f>
        <v/>
      </c>
      <c r="BI1430">
        <f>IFERROR(INDEX(PP_Grid[#Data],$DE1430,58),0)</f>
        <v/>
      </c>
      <c r="BJ1430">
        <f>IFERROR(INDEX(PP_Grid[#Data],$DE1430,59),0)</f>
        <v/>
      </c>
      <c r="BK1430">
        <f>IFERROR(INDEX(PP_Grid[#Data],$DE1430,60),0)</f>
        <v/>
      </c>
      <c r="BL1430">
        <f>IFERROR(INDEX(PP_Grid[#Data],$DE1430,61),0)</f>
        <v/>
      </c>
      <c r="BM1430">
        <f>IFERROR(INDEX(PP_Grid[#Data],$DE1430,62),0)</f>
        <v/>
      </c>
      <c r="BN1430">
        <f>IFERROR(INDEX(PP_Grid[#Data],$DE1430,63),0)</f>
        <v/>
      </c>
      <c r="BO1430">
        <f>IFERROR(INDEX(PP_Grid[#Data],$DE1430,64),0)</f>
        <v/>
      </c>
      <c r="BP1430">
        <f>IFERROR(INDEX(PP_Grid[#Data],$DE1430,65),0)</f>
        <v/>
      </c>
      <c r="BQ1430">
        <f>IFERROR(INDEX(PP_Grid[#Data],$DE1430,66),0)</f>
        <v/>
      </c>
      <c r="BR1430">
        <f>IFERROR(INDEX(PP_Grid[#Data],$DE1430,67),0)</f>
        <v/>
      </c>
      <c r="BS1430">
        <f>IFERROR(INDEX(PP_Grid[#Data],$DE1430,68),0)</f>
        <v/>
      </c>
      <c r="BT1430">
        <f>IFERROR(INDEX(PP_Grid[#Data],$DE1430,69),0)</f>
        <v/>
      </c>
      <c r="BU1430">
        <f>IFERROR(INDEX(PP_Grid[#Data],$DE1430,70),0)</f>
        <v/>
      </c>
      <c r="BV1430">
        <f>IFERROR(INDEX(PP_Grid[#Data],$DE1430,71),0)</f>
        <v/>
      </c>
      <c r="BW1430">
        <f>IFERROR(INDEX(PP_Grid[#Data],$DE1430,72),0)</f>
        <v/>
      </c>
      <c r="BX1430">
        <f>IFERROR(INDEX(PP_Grid[#Data],$DE1430,73),0)</f>
        <v/>
      </c>
      <c r="BY1430">
        <f>IFERROR(INDEX(PP_Grid[#Data],$DE1430,74),0)</f>
        <v/>
      </c>
      <c r="BZ1430">
        <f>IFERROR(INDEX(PP_Grid[#Data],$DE1430,75),0)</f>
        <v/>
      </c>
      <c r="CA1430">
        <f>IFERROR(INDEX(PP_Grid[#Data],$DE1430,76),0)</f>
        <v/>
      </c>
      <c r="CB1430">
        <f>IFERROR(INDEX(PP_Grid[#Data],$DE1430,77),0)</f>
        <v/>
      </c>
      <c r="CC1430">
        <f>IFERROR(INDEX(PP_Grid[#Data],$DE1430,78),0)</f>
        <v/>
      </c>
      <c r="CD1430">
        <f>IFERROR(INDEX(PP_Grid[#Data],$DE1430,79),0)</f>
        <v/>
      </c>
      <c r="CE1430">
        <f>IFERROR(INDEX(PP_Grid[#Data],$DE1430,80),0)</f>
        <v/>
      </c>
      <c r="CF1430">
        <f>IFERROR(INDEX(PP_Grid[#Data],$DE1430,81),0)</f>
        <v/>
      </c>
      <c r="CG1430">
        <f>IFERROR(INDEX(PP_Grid[#Data],$DE1430,82),0)</f>
        <v/>
      </c>
      <c r="CH1430">
        <f>IFERROR(INDEX(PP_Grid[#Data],$DE1430,83),0)</f>
        <v/>
      </c>
      <c r="CI1430">
        <f>IFERROR(INDEX(PP_Grid[#Data],$DE1430,84),0)</f>
        <v/>
      </c>
      <c r="CJ1430">
        <f>IFERROR(INDEX(PP_Grid[#Data],$DE1430,85),0)</f>
        <v/>
      </c>
      <c r="CK1430">
        <f>IFERROR(INDEX(PP_Grid[#Data],$DE1430,86),0)</f>
        <v/>
      </c>
      <c r="CL1430">
        <f>IFERROR(INDEX(PP_Grid[#Data],$DE1430,87),0)</f>
        <v/>
      </c>
      <c r="CM1430">
        <f>IFERROR(INDEX(PP_Grid[#Data],$DE1430,88),0)</f>
        <v/>
      </c>
      <c r="CN1430">
        <f>IFERROR(INDEX(PP_Grid[#Data],$DE1430,89),0)</f>
        <v/>
      </c>
      <c r="CO1430">
        <f>IFERROR(INDEX(PP_Grid[#Data],$DE1430,90),0)</f>
        <v/>
      </c>
      <c r="CP1430">
        <f>IFERROR(INDEX(PP_Grid[#Data],$DE1430,91),0)</f>
        <v/>
      </c>
      <c r="CQ1430">
        <f>IFERROR(INDEX(PP_Grid[#Data],$DE1430,92),0)</f>
        <v/>
      </c>
      <c r="CR1430">
        <f>IFERROR(INDEX(PP_Grid[#Data],$DE1430,93),0)</f>
        <v/>
      </c>
      <c r="CS1430">
        <f>IFERROR(INDEX(PP_Grid[#Data],$DE1430,94),0)</f>
        <v/>
      </c>
      <c r="CT1430">
        <f>IFERROR(INDEX(PP_Grid[#Data],$DE1430,95),0)</f>
        <v/>
      </c>
      <c r="CU1430">
        <f>IFERROR(INDEX(PP_Grid[#Data],$DE1430,96),0)</f>
        <v/>
      </c>
      <c r="CV1430">
        <f>IFERROR(INDEX(PP_Grid[#Data],$DE1430,97),0)</f>
        <v/>
      </c>
      <c r="CW1430">
        <f>IFERROR(INDEX(PP_Grid[#Data],$DE1430,98),0)</f>
        <v/>
      </c>
      <c r="CX1430">
        <f>IFERROR(INDEX(PP_Grid[#Data],$DE1430,99),0)</f>
        <v/>
      </c>
      <c r="CY1430">
        <f>IFERROR(INDEX(PP_Grid[#Data],$DE1430,100),0)</f>
        <v/>
      </c>
      <c r="CZ1430">
        <f>IFERROR(INDEX(PP_Grid[#Data],$DE1430,101),0)</f>
        <v/>
      </c>
      <c r="DA1430">
        <f>IFERROR(INDEX(PP_Grid[#Data],$DE1430,102),0)</f>
        <v/>
      </c>
      <c r="DB1430">
        <f>IFERROR(INDEX(PP_Grid[#Data],$DE1430,103),0)</f>
        <v/>
      </c>
      <c r="DC1430">
        <f>IFERROR(INDEX(PP_Grid[#Data],$DE1430,104),0)</f>
        <v/>
      </c>
      <c r="DD1430">
        <f>IFERROR(INDEX(PP_Grid[#Data],$DE1430,105),0)</f>
        <v/>
      </c>
      <c r="DE1430" s="7">
        <f>IFERROR(MATCH($B1430,PP_Grid[Intermediate],0),99999)</f>
        <v/>
      </c>
    </row>
    <row r="1431">
      <c r="B1431" t="inlineStr">
        <is>
          <t>使用量(kg)</t>
        </is>
      </c>
      <c r="C1431">
        <f>SUMIFS(M_BOM[RM_Qty_Per_Batch],M_BOM[Intermediate],$B1430,M_BOM[RM_Code],$A1413)</f>
        <v/>
      </c>
      <c r="D1431">
        <f>IFERROR(INDEX(E1431:DD1431,$F$1),"")</f>
        <v/>
      </c>
      <c r="E1431">
        <f>$C1431*E1430</f>
        <v/>
      </c>
      <c r="F1431">
        <f>$C1431*F1430</f>
        <v/>
      </c>
      <c r="G1431">
        <f>$C1431*G1430</f>
        <v/>
      </c>
      <c r="H1431">
        <f>$C1431*H1430</f>
        <v/>
      </c>
      <c r="I1431">
        <f>$C1431*I1430</f>
        <v/>
      </c>
      <c r="J1431">
        <f>$C1431*J1430</f>
        <v/>
      </c>
      <c r="K1431">
        <f>$C1431*K1430</f>
        <v/>
      </c>
      <c r="L1431">
        <f>$C1431*L1430</f>
        <v/>
      </c>
      <c r="M1431">
        <f>$C1431*M1430</f>
        <v/>
      </c>
      <c r="N1431">
        <f>$C1431*N1430</f>
        <v/>
      </c>
      <c r="O1431">
        <f>$C1431*O1430</f>
        <v/>
      </c>
      <c r="P1431">
        <f>$C1431*P1430</f>
        <v/>
      </c>
      <c r="Q1431">
        <f>$C1431*Q1430</f>
        <v/>
      </c>
      <c r="R1431">
        <f>$C1431*R1430</f>
        <v/>
      </c>
      <c r="S1431">
        <f>$C1431*S1430</f>
        <v/>
      </c>
      <c r="T1431">
        <f>$C1431*T1430</f>
        <v/>
      </c>
      <c r="U1431">
        <f>$C1431*U1430</f>
        <v/>
      </c>
      <c r="V1431">
        <f>$C1431*V1430</f>
        <v/>
      </c>
      <c r="W1431">
        <f>$C1431*W1430</f>
        <v/>
      </c>
      <c r="X1431">
        <f>$C1431*X1430</f>
        <v/>
      </c>
      <c r="Y1431">
        <f>$C1431*Y1430</f>
        <v/>
      </c>
      <c r="Z1431">
        <f>$C1431*Z1430</f>
        <v/>
      </c>
      <c r="AA1431">
        <f>$C1431*AA1430</f>
        <v/>
      </c>
      <c r="AB1431">
        <f>$C1431*AB1430</f>
        <v/>
      </c>
      <c r="AC1431">
        <f>$C1431*AC1430</f>
        <v/>
      </c>
      <c r="AD1431">
        <f>$C1431*AD1430</f>
        <v/>
      </c>
      <c r="AE1431">
        <f>$C1431*AE1430</f>
        <v/>
      </c>
      <c r="AF1431">
        <f>$C1431*AF1430</f>
        <v/>
      </c>
      <c r="AG1431">
        <f>$C1431*AG1430</f>
        <v/>
      </c>
      <c r="AH1431">
        <f>$C1431*AH1430</f>
        <v/>
      </c>
      <c r="AI1431">
        <f>$C1431*AI1430</f>
        <v/>
      </c>
      <c r="AJ1431">
        <f>$C1431*AJ1430</f>
        <v/>
      </c>
      <c r="AK1431">
        <f>$C1431*AK1430</f>
        <v/>
      </c>
      <c r="AL1431">
        <f>$C1431*AL1430</f>
        <v/>
      </c>
      <c r="AM1431">
        <f>$C1431*AM1430</f>
        <v/>
      </c>
      <c r="AN1431">
        <f>$C1431*AN1430</f>
        <v/>
      </c>
      <c r="AO1431">
        <f>$C1431*AO1430</f>
        <v/>
      </c>
      <c r="AP1431">
        <f>$C1431*AP1430</f>
        <v/>
      </c>
      <c r="AQ1431">
        <f>$C1431*AQ1430</f>
        <v/>
      </c>
      <c r="AR1431">
        <f>$C1431*AR1430</f>
        <v/>
      </c>
      <c r="AS1431">
        <f>$C1431*AS1430</f>
        <v/>
      </c>
      <c r="AT1431">
        <f>$C1431*AT1430</f>
        <v/>
      </c>
      <c r="AU1431">
        <f>$C1431*AU1430</f>
        <v/>
      </c>
      <c r="AV1431">
        <f>$C1431*AV1430</f>
        <v/>
      </c>
      <c r="AW1431">
        <f>$C1431*AW1430</f>
        <v/>
      </c>
      <c r="AX1431">
        <f>$C1431*AX1430</f>
        <v/>
      </c>
      <c r="AY1431">
        <f>$C1431*AY1430</f>
        <v/>
      </c>
      <c r="AZ1431">
        <f>$C1431*AZ1430</f>
        <v/>
      </c>
      <c r="BA1431">
        <f>$C1431*BA1430</f>
        <v/>
      </c>
      <c r="BB1431">
        <f>$C1431*BB1430</f>
        <v/>
      </c>
      <c r="BC1431">
        <f>$C1431*BC1430</f>
        <v/>
      </c>
      <c r="BD1431">
        <f>$C1431*BD1430</f>
        <v/>
      </c>
      <c r="BE1431">
        <f>$C1431*BE1430</f>
        <v/>
      </c>
      <c r="BF1431">
        <f>$C1431*BF1430</f>
        <v/>
      </c>
      <c r="BG1431">
        <f>$C1431*BG1430</f>
        <v/>
      </c>
      <c r="BH1431">
        <f>$C1431*BH1430</f>
        <v/>
      </c>
      <c r="BI1431">
        <f>$C1431*BI1430</f>
        <v/>
      </c>
      <c r="BJ1431">
        <f>$C1431*BJ1430</f>
        <v/>
      </c>
      <c r="BK1431">
        <f>$C1431*BK1430</f>
        <v/>
      </c>
      <c r="BL1431">
        <f>$C1431*BL1430</f>
        <v/>
      </c>
      <c r="BM1431">
        <f>$C1431*BM1430</f>
        <v/>
      </c>
      <c r="BN1431">
        <f>$C1431*BN1430</f>
        <v/>
      </c>
      <c r="BO1431">
        <f>$C1431*BO1430</f>
        <v/>
      </c>
      <c r="BP1431">
        <f>$C1431*BP1430</f>
        <v/>
      </c>
      <c r="BQ1431">
        <f>$C1431*BQ1430</f>
        <v/>
      </c>
      <c r="BR1431">
        <f>$C1431*BR1430</f>
        <v/>
      </c>
      <c r="BS1431">
        <f>$C1431*BS1430</f>
        <v/>
      </c>
      <c r="BT1431">
        <f>$C1431*BT1430</f>
        <v/>
      </c>
      <c r="BU1431">
        <f>$C1431*BU1430</f>
        <v/>
      </c>
      <c r="BV1431">
        <f>$C1431*BV1430</f>
        <v/>
      </c>
      <c r="BW1431">
        <f>$C1431*BW1430</f>
        <v/>
      </c>
      <c r="BX1431">
        <f>$C1431*BX1430</f>
        <v/>
      </c>
      <c r="BY1431">
        <f>$C1431*BY1430</f>
        <v/>
      </c>
      <c r="BZ1431">
        <f>$C1431*BZ1430</f>
        <v/>
      </c>
      <c r="CA1431">
        <f>$C1431*CA1430</f>
        <v/>
      </c>
      <c r="CB1431">
        <f>$C1431*CB1430</f>
        <v/>
      </c>
      <c r="CC1431">
        <f>$C1431*CC1430</f>
        <v/>
      </c>
      <c r="CD1431">
        <f>$C1431*CD1430</f>
        <v/>
      </c>
      <c r="CE1431">
        <f>$C1431*CE1430</f>
        <v/>
      </c>
      <c r="CF1431">
        <f>$C1431*CF1430</f>
        <v/>
      </c>
      <c r="CG1431">
        <f>$C1431*CG1430</f>
        <v/>
      </c>
      <c r="CH1431">
        <f>$C1431*CH1430</f>
        <v/>
      </c>
      <c r="CI1431">
        <f>$C1431*CI1430</f>
        <v/>
      </c>
      <c r="CJ1431">
        <f>$C1431*CJ1430</f>
        <v/>
      </c>
      <c r="CK1431">
        <f>$C1431*CK1430</f>
        <v/>
      </c>
      <c r="CL1431">
        <f>$C1431*CL1430</f>
        <v/>
      </c>
      <c r="CM1431">
        <f>$C1431*CM1430</f>
        <v/>
      </c>
      <c r="CN1431">
        <f>$C1431*CN1430</f>
        <v/>
      </c>
      <c r="CO1431">
        <f>$C1431*CO1430</f>
        <v/>
      </c>
      <c r="CP1431">
        <f>$C1431*CP1430</f>
        <v/>
      </c>
      <c r="CQ1431">
        <f>$C1431*CQ1430</f>
        <v/>
      </c>
      <c r="CR1431">
        <f>$C1431*CR1430</f>
        <v/>
      </c>
      <c r="CS1431">
        <f>$C1431*CS1430</f>
        <v/>
      </c>
      <c r="CT1431">
        <f>$C1431*CT1430</f>
        <v/>
      </c>
      <c r="CU1431">
        <f>$C1431*CU1430</f>
        <v/>
      </c>
      <c r="CV1431">
        <f>$C1431*CV1430</f>
        <v/>
      </c>
      <c r="CW1431">
        <f>$C1431*CW1430</f>
        <v/>
      </c>
      <c r="CX1431">
        <f>$C1431*CX1430</f>
        <v/>
      </c>
      <c r="CY1431">
        <f>$C1431*CY1430</f>
        <v/>
      </c>
      <c r="CZ1431">
        <f>$C1431*CZ1430</f>
        <v/>
      </c>
      <c r="DA1431">
        <f>$C1431*DA1430</f>
        <v/>
      </c>
      <c r="DB1431">
        <f>$C1431*DB1430</f>
        <v/>
      </c>
      <c r="DC1431">
        <f>$C1431*DC1430</f>
        <v/>
      </c>
      <c r="DD1431">
        <f>$C1431*DD1430</f>
        <v/>
      </c>
    </row>
    <row r="1432">
      <c r="B1432" t="inlineStr">
        <is>
          <t>TSP-1499</t>
        </is>
      </c>
      <c r="C1432" t="inlineStr">
        <is>
          <t>No. of batches</t>
        </is>
      </c>
      <c r="D1432">
        <f>IFERROR(INDEX(E1432:DD1432,$F$1),"")</f>
        <v/>
      </c>
      <c r="E1432">
        <f>IFERROR(INDEX(PP_Grid[#Data],$DE1432,2),0)</f>
        <v/>
      </c>
      <c r="F1432">
        <f>IFERROR(INDEX(PP_Grid[#Data],$DE1432,3),0)</f>
        <v/>
      </c>
      <c r="G1432">
        <f>IFERROR(INDEX(PP_Grid[#Data],$DE1432,4),0)</f>
        <v/>
      </c>
      <c r="H1432">
        <f>IFERROR(INDEX(PP_Grid[#Data],$DE1432,5),0)</f>
        <v/>
      </c>
      <c r="I1432">
        <f>IFERROR(INDEX(PP_Grid[#Data],$DE1432,6),0)</f>
        <v/>
      </c>
      <c r="J1432">
        <f>IFERROR(INDEX(PP_Grid[#Data],$DE1432,7),0)</f>
        <v/>
      </c>
      <c r="K1432">
        <f>IFERROR(INDEX(PP_Grid[#Data],$DE1432,8),0)</f>
        <v/>
      </c>
      <c r="L1432">
        <f>IFERROR(INDEX(PP_Grid[#Data],$DE1432,9),0)</f>
        <v/>
      </c>
      <c r="M1432">
        <f>IFERROR(INDEX(PP_Grid[#Data],$DE1432,10),0)</f>
        <v/>
      </c>
      <c r="N1432">
        <f>IFERROR(INDEX(PP_Grid[#Data],$DE1432,11),0)</f>
        <v/>
      </c>
      <c r="O1432">
        <f>IFERROR(INDEX(PP_Grid[#Data],$DE1432,12),0)</f>
        <v/>
      </c>
      <c r="P1432">
        <f>IFERROR(INDEX(PP_Grid[#Data],$DE1432,13),0)</f>
        <v/>
      </c>
      <c r="Q1432">
        <f>IFERROR(INDEX(PP_Grid[#Data],$DE1432,14),0)</f>
        <v/>
      </c>
      <c r="R1432">
        <f>IFERROR(INDEX(PP_Grid[#Data],$DE1432,15),0)</f>
        <v/>
      </c>
      <c r="S1432">
        <f>IFERROR(INDEX(PP_Grid[#Data],$DE1432,16),0)</f>
        <v/>
      </c>
      <c r="T1432">
        <f>IFERROR(INDEX(PP_Grid[#Data],$DE1432,17),0)</f>
        <v/>
      </c>
      <c r="U1432">
        <f>IFERROR(INDEX(PP_Grid[#Data],$DE1432,18),0)</f>
        <v/>
      </c>
      <c r="V1432">
        <f>IFERROR(INDEX(PP_Grid[#Data],$DE1432,19),0)</f>
        <v/>
      </c>
      <c r="W1432">
        <f>IFERROR(INDEX(PP_Grid[#Data],$DE1432,20),0)</f>
        <v/>
      </c>
      <c r="X1432">
        <f>IFERROR(INDEX(PP_Grid[#Data],$DE1432,21),0)</f>
        <v/>
      </c>
      <c r="Y1432">
        <f>IFERROR(INDEX(PP_Grid[#Data],$DE1432,22),0)</f>
        <v/>
      </c>
      <c r="Z1432">
        <f>IFERROR(INDEX(PP_Grid[#Data],$DE1432,23),0)</f>
        <v/>
      </c>
      <c r="AA1432">
        <f>IFERROR(INDEX(PP_Grid[#Data],$DE1432,24),0)</f>
        <v/>
      </c>
      <c r="AB1432">
        <f>IFERROR(INDEX(PP_Grid[#Data],$DE1432,25),0)</f>
        <v/>
      </c>
      <c r="AC1432">
        <f>IFERROR(INDEX(PP_Grid[#Data],$DE1432,26),0)</f>
        <v/>
      </c>
      <c r="AD1432">
        <f>IFERROR(INDEX(PP_Grid[#Data],$DE1432,27),0)</f>
        <v/>
      </c>
      <c r="AE1432">
        <f>IFERROR(INDEX(PP_Grid[#Data],$DE1432,28),0)</f>
        <v/>
      </c>
      <c r="AF1432">
        <f>IFERROR(INDEX(PP_Grid[#Data],$DE1432,29),0)</f>
        <v/>
      </c>
      <c r="AG1432">
        <f>IFERROR(INDEX(PP_Grid[#Data],$DE1432,30),0)</f>
        <v/>
      </c>
      <c r="AH1432">
        <f>IFERROR(INDEX(PP_Grid[#Data],$DE1432,31),0)</f>
        <v/>
      </c>
      <c r="AI1432">
        <f>IFERROR(INDEX(PP_Grid[#Data],$DE1432,32),0)</f>
        <v/>
      </c>
      <c r="AJ1432">
        <f>IFERROR(INDEX(PP_Grid[#Data],$DE1432,33),0)</f>
        <v/>
      </c>
      <c r="AK1432">
        <f>IFERROR(INDEX(PP_Grid[#Data],$DE1432,34),0)</f>
        <v/>
      </c>
      <c r="AL1432">
        <f>IFERROR(INDEX(PP_Grid[#Data],$DE1432,35),0)</f>
        <v/>
      </c>
      <c r="AM1432">
        <f>IFERROR(INDEX(PP_Grid[#Data],$DE1432,36),0)</f>
        <v/>
      </c>
      <c r="AN1432">
        <f>IFERROR(INDEX(PP_Grid[#Data],$DE1432,37),0)</f>
        <v/>
      </c>
      <c r="AO1432">
        <f>IFERROR(INDEX(PP_Grid[#Data],$DE1432,38),0)</f>
        <v/>
      </c>
      <c r="AP1432">
        <f>IFERROR(INDEX(PP_Grid[#Data],$DE1432,39),0)</f>
        <v/>
      </c>
      <c r="AQ1432">
        <f>IFERROR(INDEX(PP_Grid[#Data],$DE1432,40),0)</f>
        <v/>
      </c>
      <c r="AR1432">
        <f>IFERROR(INDEX(PP_Grid[#Data],$DE1432,41),0)</f>
        <v/>
      </c>
      <c r="AS1432">
        <f>IFERROR(INDEX(PP_Grid[#Data],$DE1432,42),0)</f>
        <v/>
      </c>
      <c r="AT1432">
        <f>IFERROR(INDEX(PP_Grid[#Data],$DE1432,43),0)</f>
        <v/>
      </c>
      <c r="AU1432">
        <f>IFERROR(INDEX(PP_Grid[#Data],$DE1432,44),0)</f>
        <v/>
      </c>
      <c r="AV1432">
        <f>IFERROR(INDEX(PP_Grid[#Data],$DE1432,45),0)</f>
        <v/>
      </c>
      <c r="AW1432">
        <f>IFERROR(INDEX(PP_Grid[#Data],$DE1432,46),0)</f>
        <v/>
      </c>
      <c r="AX1432">
        <f>IFERROR(INDEX(PP_Grid[#Data],$DE1432,47),0)</f>
        <v/>
      </c>
      <c r="AY1432">
        <f>IFERROR(INDEX(PP_Grid[#Data],$DE1432,48),0)</f>
        <v/>
      </c>
      <c r="AZ1432">
        <f>IFERROR(INDEX(PP_Grid[#Data],$DE1432,49),0)</f>
        <v/>
      </c>
      <c r="BA1432">
        <f>IFERROR(INDEX(PP_Grid[#Data],$DE1432,50),0)</f>
        <v/>
      </c>
      <c r="BB1432">
        <f>IFERROR(INDEX(PP_Grid[#Data],$DE1432,51),0)</f>
        <v/>
      </c>
      <c r="BC1432">
        <f>IFERROR(INDEX(PP_Grid[#Data],$DE1432,52),0)</f>
        <v/>
      </c>
      <c r="BD1432">
        <f>IFERROR(INDEX(PP_Grid[#Data],$DE1432,53),0)</f>
        <v/>
      </c>
      <c r="BE1432">
        <f>IFERROR(INDEX(PP_Grid[#Data],$DE1432,54),0)</f>
        <v/>
      </c>
      <c r="BF1432">
        <f>IFERROR(INDEX(PP_Grid[#Data],$DE1432,55),0)</f>
        <v/>
      </c>
      <c r="BG1432">
        <f>IFERROR(INDEX(PP_Grid[#Data],$DE1432,56),0)</f>
        <v/>
      </c>
      <c r="BH1432">
        <f>IFERROR(INDEX(PP_Grid[#Data],$DE1432,57),0)</f>
        <v/>
      </c>
      <c r="BI1432">
        <f>IFERROR(INDEX(PP_Grid[#Data],$DE1432,58),0)</f>
        <v/>
      </c>
      <c r="BJ1432">
        <f>IFERROR(INDEX(PP_Grid[#Data],$DE1432,59),0)</f>
        <v/>
      </c>
      <c r="BK1432">
        <f>IFERROR(INDEX(PP_Grid[#Data],$DE1432,60),0)</f>
        <v/>
      </c>
      <c r="BL1432">
        <f>IFERROR(INDEX(PP_Grid[#Data],$DE1432,61),0)</f>
        <v/>
      </c>
      <c r="BM1432">
        <f>IFERROR(INDEX(PP_Grid[#Data],$DE1432,62),0)</f>
        <v/>
      </c>
      <c r="BN1432">
        <f>IFERROR(INDEX(PP_Grid[#Data],$DE1432,63),0)</f>
        <v/>
      </c>
      <c r="BO1432">
        <f>IFERROR(INDEX(PP_Grid[#Data],$DE1432,64),0)</f>
        <v/>
      </c>
      <c r="BP1432">
        <f>IFERROR(INDEX(PP_Grid[#Data],$DE1432,65),0)</f>
        <v/>
      </c>
      <c r="BQ1432">
        <f>IFERROR(INDEX(PP_Grid[#Data],$DE1432,66),0)</f>
        <v/>
      </c>
      <c r="BR1432">
        <f>IFERROR(INDEX(PP_Grid[#Data],$DE1432,67),0)</f>
        <v/>
      </c>
      <c r="BS1432">
        <f>IFERROR(INDEX(PP_Grid[#Data],$DE1432,68),0)</f>
        <v/>
      </c>
      <c r="BT1432">
        <f>IFERROR(INDEX(PP_Grid[#Data],$DE1432,69),0)</f>
        <v/>
      </c>
      <c r="BU1432">
        <f>IFERROR(INDEX(PP_Grid[#Data],$DE1432,70),0)</f>
        <v/>
      </c>
      <c r="BV1432">
        <f>IFERROR(INDEX(PP_Grid[#Data],$DE1432,71),0)</f>
        <v/>
      </c>
      <c r="BW1432">
        <f>IFERROR(INDEX(PP_Grid[#Data],$DE1432,72),0)</f>
        <v/>
      </c>
      <c r="BX1432">
        <f>IFERROR(INDEX(PP_Grid[#Data],$DE1432,73),0)</f>
        <v/>
      </c>
      <c r="BY1432">
        <f>IFERROR(INDEX(PP_Grid[#Data],$DE1432,74),0)</f>
        <v/>
      </c>
      <c r="BZ1432">
        <f>IFERROR(INDEX(PP_Grid[#Data],$DE1432,75),0)</f>
        <v/>
      </c>
      <c r="CA1432">
        <f>IFERROR(INDEX(PP_Grid[#Data],$DE1432,76),0)</f>
        <v/>
      </c>
      <c r="CB1432">
        <f>IFERROR(INDEX(PP_Grid[#Data],$DE1432,77),0)</f>
        <v/>
      </c>
      <c r="CC1432">
        <f>IFERROR(INDEX(PP_Grid[#Data],$DE1432,78),0)</f>
        <v/>
      </c>
      <c r="CD1432">
        <f>IFERROR(INDEX(PP_Grid[#Data],$DE1432,79),0)</f>
        <v/>
      </c>
      <c r="CE1432">
        <f>IFERROR(INDEX(PP_Grid[#Data],$DE1432,80),0)</f>
        <v/>
      </c>
      <c r="CF1432">
        <f>IFERROR(INDEX(PP_Grid[#Data],$DE1432,81),0)</f>
        <v/>
      </c>
      <c r="CG1432">
        <f>IFERROR(INDEX(PP_Grid[#Data],$DE1432,82),0)</f>
        <v/>
      </c>
      <c r="CH1432">
        <f>IFERROR(INDEX(PP_Grid[#Data],$DE1432,83),0)</f>
        <v/>
      </c>
      <c r="CI1432">
        <f>IFERROR(INDEX(PP_Grid[#Data],$DE1432,84),0)</f>
        <v/>
      </c>
      <c r="CJ1432">
        <f>IFERROR(INDEX(PP_Grid[#Data],$DE1432,85),0)</f>
        <v/>
      </c>
      <c r="CK1432">
        <f>IFERROR(INDEX(PP_Grid[#Data],$DE1432,86),0)</f>
        <v/>
      </c>
      <c r="CL1432">
        <f>IFERROR(INDEX(PP_Grid[#Data],$DE1432,87),0)</f>
        <v/>
      </c>
      <c r="CM1432">
        <f>IFERROR(INDEX(PP_Grid[#Data],$DE1432,88),0)</f>
        <v/>
      </c>
      <c r="CN1432">
        <f>IFERROR(INDEX(PP_Grid[#Data],$DE1432,89),0)</f>
        <v/>
      </c>
      <c r="CO1432">
        <f>IFERROR(INDEX(PP_Grid[#Data],$DE1432,90),0)</f>
        <v/>
      </c>
      <c r="CP1432">
        <f>IFERROR(INDEX(PP_Grid[#Data],$DE1432,91),0)</f>
        <v/>
      </c>
      <c r="CQ1432">
        <f>IFERROR(INDEX(PP_Grid[#Data],$DE1432,92),0)</f>
        <v/>
      </c>
      <c r="CR1432">
        <f>IFERROR(INDEX(PP_Grid[#Data],$DE1432,93),0)</f>
        <v/>
      </c>
      <c r="CS1432">
        <f>IFERROR(INDEX(PP_Grid[#Data],$DE1432,94),0)</f>
        <v/>
      </c>
      <c r="CT1432">
        <f>IFERROR(INDEX(PP_Grid[#Data],$DE1432,95),0)</f>
        <v/>
      </c>
      <c r="CU1432">
        <f>IFERROR(INDEX(PP_Grid[#Data],$DE1432,96),0)</f>
        <v/>
      </c>
      <c r="CV1432">
        <f>IFERROR(INDEX(PP_Grid[#Data],$DE1432,97),0)</f>
        <v/>
      </c>
      <c r="CW1432">
        <f>IFERROR(INDEX(PP_Grid[#Data],$DE1432,98),0)</f>
        <v/>
      </c>
      <c r="CX1432">
        <f>IFERROR(INDEX(PP_Grid[#Data],$DE1432,99),0)</f>
        <v/>
      </c>
      <c r="CY1432">
        <f>IFERROR(INDEX(PP_Grid[#Data],$DE1432,100),0)</f>
        <v/>
      </c>
      <c r="CZ1432">
        <f>IFERROR(INDEX(PP_Grid[#Data],$DE1432,101),0)</f>
        <v/>
      </c>
      <c r="DA1432">
        <f>IFERROR(INDEX(PP_Grid[#Data],$DE1432,102),0)</f>
        <v/>
      </c>
      <c r="DB1432">
        <f>IFERROR(INDEX(PP_Grid[#Data],$DE1432,103),0)</f>
        <v/>
      </c>
      <c r="DC1432">
        <f>IFERROR(INDEX(PP_Grid[#Data],$DE1432,104),0)</f>
        <v/>
      </c>
      <c r="DD1432">
        <f>IFERROR(INDEX(PP_Grid[#Data],$DE1432,105),0)</f>
        <v/>
      </c>
      <c r="DE1432" s="7">
        <f>IFERROR(MATCH($B1432,PP_Grid[Intermediate],0),99999)</f>
        <v/>
      </c>
    </row>
    <row r="1433">
      <c r="B1433" t="inlineStr">
        <is>
          <t>使用量(kg)</t>
        </is>
      </c>
      <c r="C1433">
        <f>SUMIFS(M_BOM[RM_Qty_Per_Batch],M_BOM[Intermediate],$B1432,M_BOM[RM_Code],$A1413)</f>
        <v/>
      </c>
      <c r="D1433">
        <f>IFERROR(INDEX(E1433:DD1433,$F$1),"")</f>
        <v/>
      </c>
      <c r="E1433">
        <f>$C1433*E1432</f>
        <v/>
      </c>
      <c r="F1433">
        <f>$C1433*F1432</f>
        <v/>
      </c>
      <c r="G1433">
        <f>$C1433*G1432</f>
        <v/>
      </c>
      <c r="H1433">
        <f>$C1433*H1432</f>
        <v/>
      </c>
      <c r="I1433">
        <f>$C1433*I1432</f>
        <v/>
      </c>
      <c r="J1433">
        <f>$C1433*J1432</f>
        <v/>
      </c>
      <c r="K1433">
        <f>$C1433*K1432</f>
        <v/>
      </c>
      <c r="L1433">
        <f>$C1433*L1432</f>
        <v/>
      </c>
      <c r="M1433">
        <f>$C1433*M1432</f>
        <v/>
      </c>
      <c r="N1433">
        <f>$C1433*N1432</f>
        <v/>
      </c>
      <c r="O1433">
        <f>$C1433*O1432</f>
        <v/>
      </c>
      <c r="P1433">
        <f>$C1433*P1432</f>
        <v/>
      </c>
      <c r="Q1433">
        <f>$C1433*Q1432</f>
        <v/>
      </c>
      <c r="R1433">
        <f>$C1433*R1432</f>
        <v/>
      </c>
      <c r="S1433">
        <f>$C1433*S1432</f>
        <v/>
      </c>
      <c r="T1433">
        <f>$C1433*T1432</f>
        <v/>
      </c>
      <c r="U1433">
        <f>$C1433*U1432</f>
        <v/>
      </c>
      <c r="V1433">
        <f>$C1433*V1432</f>
        <v/>
      </c>
      <c r="W1433">
        <f>$C1433*W1432</f>
        <v/>
      </c>
      <c r="X1433">
        <f>$C1433*X1432</f>
        <v/>
      </c>
      <c r="Y1433">
        <f>$C1433*Y1432</f>
        <v/>
      </c>
      <c r="Z1433">
        <f>$C1433*Z1432</f>
        <v/>
      </c>
      <c r="AA1433">
        <f>$C1433*AA1432</f>
        <v/>
      </c>
      <c r="AB1433">
        <f>$C1433*AB1432</f>
        <v/>
      </c>
      <c r="AC1433">
        <f>$C1433*AC1432</f>
        <v/>
      </c>
      <c r="AD1433">
        <f>$C1433*AD1432</f>
        <v/>
      </c>
      <c r="AE1433">
        <f>$C1433*AE1432</f>
        <v/>
      </c>
      <c r="AF1433">
        <f>$C1433*AF1432</f>
        <v/>
      </c>
      <c r="AG1433">
        <f>$C1433*AG1432</f>
        <v/>
      </c>
      <c r="AH1433">
        <f>$C1433*AH1432</f>
        <v/>
      </c>
      <c r="AI1433">
        <f>$C1433*AI1432</f>
        <v/>
      </c>
      <c r="AJ1433">
        <f>$C1433*AJ1432</f>
        <v/>
      </c>
      <c r="AK1433">
        <f>$C1433*AK1432</f>
        <v/>
      </c>
      <c r="AL1433">
        <f>$C1433*AL1432</f>
        <v/>
      </c>
      <c r="AM1433">
        <f>$C1433*AM1432</f>
        <v/>
      </c>
      <c r="AN1433">
        <f>$C1433*AN1432</f>
        <v/>
      </c>
      <c r="AO1433">
        <f>$C1433*AO1432</f>
        <v/>
      </c>
      <c r="AP1433">
        <f>$C1433*AP1432</f>
        <v/>
      </c>
      <c r="AQ1433">
        <f>$C1433*AQ1432</f>
        <v/>
      </c>
      <c r="AR1433">
        <f>$C1433*AR1432</f>
        <v/>
      </c>
      <c r="AS1433">
        <f>$C1433*AS1432</f>
        <v/>
      </c>
      <c r="AT1433">
        <f>$C1433*AT1432</f>
        <v/>
      </c>
      <c r="AU1433">
        <f>$C1433*AU1432</f>
        <v/>
      </c>
      <c r="AV1433">
        <f>$C1433*AV1432</f>
        <v/>
      </c>
      <c r="AW1433">
        <f>$C1433*AW1432</f>
        <v/>
      </c>
      <c r="AX1433">
        <f>$C1433*AX1432</f>
        <v/>
      </c>
      <c r="AY1433">
        <f>$C1433*AY1432</f>
        <v/>
      </c>
      <c r="AZ1433">
        <f>$C1433*AZ1432</f>
        <v/>
      </c>
      <c r="BA1433">
        <f>$C1433*BA1432</f>
        <v/>
      </c>
      <c r="BB1433">
        <f>$C1433*BB1432</f>
        <v/>
      </c>
      <c r="BC1433">
        <f>$C1433*BC1432</f>
        <v/>
      </c>
      <c r="BD1433">
        <f>$C1433*BD1432</f>
        <v/>
      </c>
      <c r="BE1433">
        <f>$C1433*BE1432</f>
        <v/>
      </c>
      <c r="BF1433">
        <f>$C1433*BF1432</f>
        <v/>
      </c>
      <c r="BG1433">
        <f>$C1433*BG1432</f>
        <v/>
      </c>
      <c r="BH1433">
        <f>$C1433*BH1432</f>
        <v/>
      </c>
      <c r="BI1433">
        <f>$C1433*BI1432</f>
        <v/>
      </c>
      <c r="BJ1433">
        <f>$C1433*BJ1432</f>
        <v/>
      </c>
      <c r="BK1433">
        <f>$C1433*BK1432</f>
        <v/>
      </c>
      <c r="BL1433">
        <f>$C1433*BL1432</f>
        <v/>
      </c>
      <c r="BM1433">
        <f>$C1433*BM1432</f>
        <v/>
      </c>
      <c r="BN1433">
        <f>$C1433*BN1432</f>
        <v/>
      </c>
      <c r="BO1433">
        <f>$C1433*BO1432</f>
        <v/>
      </c>
      <c r="BP1433">
        <f>$C1433*BP1432</f>
        <v/>
      </c>
      <c r="BQ1433">
        <f>$C1433*BQ1432</f>
        <v/>
      </c>
      <c r="BR1433">
        <f>$C1433*BR1432</f>
        <v/>
      </c>
      <c r="BS1433">
        <f>$C1433*BS1432</f>
        <v/>
      </c>
      <c r="BT1433">
        <f>$C1433*BT1432</f>
        <v/>
      </c>
      <c r="BU1433">
        <f>$C1433*BU1432</f>
        <v/>
      </c>
      <c r="BV1433">
        <f>$C1433*BV1432</f>
        <v/>
      </c>
      <c r="BW1433">
        <f>$C1433*BW1432</f>
        <v/>
      </c>
      <c r="BX1433">
        <f>$C1433*BX1432</f>
        <v/>
      </c>
      <c r="BY1433">
        <f>$C1433*BY1432</f>
        <v/>
      </c>
      <c r="BZ1433">
        <f>$C1433*BZ1432</f>
        <v/>
      </c>
      <c r="CA1433">
        <f>$C1433*CA1432</f>
        <v/>
      </c>
      <c r="CB1433">
        <f>$C1433*CB1432</f>
        <v/>
      </c>
      <c r="CC1433">
        <f>$C1433*CC1432</f>
        <v/>
      </c>
      <c r="CD1433">
        <f>$C1433*CD1432</f>
        <v/>
      </c>
      <c r="CE1433">
        <f>$C1433*CE1432</f>
        <v/>
      </c>
      <c r="CF1433">
        <f>$C1433*CF1432</f>
        <v/>
      </c>
      <c r="CG1433">
        <f>$C1433*CG1432</f>
        <v/>
      </c>
      <c r="CH1433">
        <f>$C1433*CH1432</f>
        <v/>
      </c>
      <c r="CI1433">
        <f>$C1433*CI1432</f>
        <v/>
      </c>
      <c r="CJ1433">
        <f>$C1433*CJ1432</f>
        <v/>
      </c>
      <c r="CK1433">
        <f>$C1433*CK1432</f>
        <v/>
      </c>
      <c r="CL1433">
        <f>$C1433*CL1432</f>
        <v/>
      </c>
      <c r="CM1433">
        <f>$C1433*CM1432</f>
        <v/>
      </c>
      <c r="CN1433">
        <f>$C1433*CN1432</f>
        <v/>
      </c>
      <c r="CO1433">
        <f>$C1433*CO1432</f>
        <v/>
      </c>
      <c r="CP1433">
        <f>$C1433*CP1432</f>
        <v/>
      </c>
      <c r="CQ1433">
        <f>$C1433*CQ1432</f>
        <v/>
      </c>
      <c r="CR1433">
        <f>$C1433*CR1432</f>
        <v/>
      </c>
      <c r="CS1433">
        <f>$C1433*CS1432</f>
        <v/>
      </c>
      <c r="CT1433">
        <f>$C1433*CT1432</f>
        <v/>
      </c>
      <c r="CU1433">
        <f>$C1433*CU1432</f>
        <v/>
      </c>
      <c r="CV1433">
        <f>$C1433*CV1432</f>
        <v/>
      </c>
      <c r="CW1433">
        <f>$C1433*CW1432</f>
        <v/>
      </c>
      <c r="CX1433">
        <f>$C1433*CX1432</f>
        <v/>
      </c>
      <c r="CY1433">
        <f>$C1433*CY1432</f>
        <v/>
      </c>
      <c r="CZ1433">
        <f>$C1433*CZ1432</f>
        <v/>
      </c>
      <c r="DA1433">
        <f>$C1433*DA1432</f>
        <v/>
      </c>
      <c r="DB1433">
        <f>$C1433*DB1432</f>
        <v/>
      </c>
      <c r="DC1433">
        <f>$C1433*DC1432</f>
        <v/>
      </c>
      <c r="DD1433">
        <f>$C1433*DD1432</f>
        <v/>
      </c>
    </row>
    <row r="1434">
      <c r="B1434" s="4" t="inlineStr">
        <is>
          <t>合計使用量(kg)/週</t>
        </is>
      </c>
      <c r="D1434" s="23">
        <f>IFERROR(INDEX(E1434:DD1434,$F$1),"")</f>
        <v/>
      </c>
      <c r="E1434">
        <f>'Grid_Requirement'!B4</f>
        <v/>
      </c>
      <c r="F1434">
        <f>'Grid_Requirement'!C4</f>
        <v/>
      </c>
      <c r="G1434">
        <f>'Grid_Requirement'!D4</f>
        <v/>
      </c>
      <c r="H1434">
        <f>'Grid_Requirement'!E4</f>
        <v/>
      </c>
      <c r="I1434">
        <f>'Grid_Requirement'!F4</f>
        <v/>
      </c>
      <c r="J1434">
        <f>'Grid_Requirement'!G4</f>
        <v/>
      </c>
      <c r="K1434">
        <f>'Grid_Requirement'!H4</f>
        <v/>
      </c>
      <c r="L1434">
        <f>'Grid_Requirement'!I4</f>
        <v/>
      </c>
      <c r="M1434">
        <f>'Grid_Requirement'!J4</f>
        <v/>
      </c>
      <c r="N1434">
        <f>'Grid_Requirement'!K4</f>
        <v/>
      </c>
      <c r="O1434">
        <f>'Grid_Requirement'!L4</f>
        <v/>
      </c>
      <c r="P1434">
        <f>'Grid_Requirement'!M4</f>
        <v/>
      </c>
      <c r="Q1434">
        <f>'Grid_Requirement'!N4</f>
        <v/>
      </c>
      <c r="R1434">
        <f>'Grid_Requirement'!O4</f>
        <v/>
      </c>
      <c r="S1434">
        <f>'Grid_Requirement'!P4</f>
        <v/>
      </c>
      <c r="T1434">
        <f>'Grid_Requirement'!Q4</f>
        <v/>
      </c>
      <c r="U1434">
        <f>'Grid_Requirement'!R4</f>
        <v/>
      </c>
      <c r="V1434">
        <f>'Grid_Requirement'!S4</f>
        <v/>
      </c>
      <c r="W1434">
        <f>'Grid_Requirement'!T4</f>
        <v/>
      </c>
      <c r="X1434">
        <f>'Grid_Requirement'!U4</f>
        <v/>
      </c>
      <c r="Y1434">
        <f>'Grid_Requirement'!V4</f>
        <v/>
      </c>
      <c r="Z1434">
        <f>'Grid_Requirement'!W4</f>
        <v/>
      </c>
      <c r="AA1434">
        <f>'Grid_Requirement'!X4</f>
        <v/>
      </c>
      <c r="AB1434">
        <f>'Grid_Requirement'!Y4</f>
        <v/>
      </c>
      <c r="AC1434">
        <f>'Grid_Requirement'!Z4</f>
        <v/>
      </c>
      <c r="AD1434">
        <f>'Grid_Requirement'!AA4</f>
        <v/>
      </c>
      <c r="AE1434">
        <f>'Grid_Requirement'!AB4</f>
        <v/>
      </c>
      <c r="AF1434">
        <f>'Grid_Requirement'!AC4</f>
        <v/>
      </c>
      <c r="AG1434">
        <f>'Grid_Requirement'!AD4</f>
        <v/>
      </c>
      <c r="AH1434">
        <f>'Grid_Requirement'!AE4</f>
        <v/>
      </c>
      <c r="AI1434">
        <f>'Grid_Requirement'!AF4</f>
        <v/>
      </c>
      <c r="AJ1434">
        <f>'Grid_Requirement'!AG4</f>
        <v/>
      </c>
      <c r="AK1434">
        <f>'Grid_Requirement'!AH4</f>
        <v/>
      </c>
      <c r="AL1434">
        <f>'Grid_Requirement'!AI4</f>
        <v/>
      </c>
      <c r="AM1434">
        <f>'Grid_Requirement'!AJ4</f>
        <v/>
      </c>
      <c r="AN1434">
        <f>'Grid_Requirement'!AK4</f>
        <v/>
      </c>
      <c r="AO1434">
        <f>'Grid_Requirement'!AL4</f>
        <v/>
      </c>
      <c r="AP1434">
        <f>'Grid_Requirement'!AM4</f>
        <v/>
      </c>
      <c r="AQ1434">
        <f>'Grid_Requirement'!AN4</f>
        <v/>
      </c>
      <c r="AR1434">
        <f>'Grid_Requirement'!AO4</f>
        <v/>
      </c>
      <c r="AS1434">
        <f>'Grid_Requirement'!AP4</f>
        <v/>
      </c>
      <c r="AT1434">
        <f>'Grid_Requirement'!AQ4</f>
        <v/>
      </c>
      <c r="AU1434">
        <f>'Grid_Requirement'!AR4</f>
        <v/>
      </c>
      <c r="AV1434">
        <f>'Grid_Requirement'!AS4</f>
        <v/>
      </c>
      <c r="AW1434">
        <f>'Grid_Requirement'!AT4</f>
        <v/>
      </c>
      <c r="AX1434">
        <f>'Grid_Requirement'!AU4</f>
        <v/>
      </c>
      <c r="AY1434">
        <f>'Grid_Requirement'!AV4</f>
        <v/>
      </c>
      <c r="AZ1434">
        <f>'Grid_Requirement'!AW4</f>
        <v/>
      </c>
      <c r="BA1434">
        <f>'Grid_Requirement'!AX4</f>
        <v/>
      </c>
      <c r="BB1434">
        <f>'Grid_Requirement'!AY4</f>
        <v/>
      </c>
      <c r="BC1434">
        <f>'Grid_Requirement'!AZ4</f>
        <v/>
      </c>
      <c r="BD1434">
        <f>'Grid_Requirement'!BA4</f>
        <v/>
      </c>
      <c r="BE1434">
        <f>'Grid_Requirement'!BB4</f>
        <v/>
      </c>
      <c r="BF1434">
        <f>'Grid_Requirement'!BC4</f>
        <v/>
      </c>
      <c r="BG1434">
        <f>'Grid_Requirement'!BD4</f>
        <v/>
      </c>
      <c r="BH1434">
        <f>'Grid_Requirement'!BE4</f>
        <v/>
      </c>
      <c r="BI1434">
        <f>'Grid_Requirement'!BF4</f>
        <v/>
      </c>
      <c r="BJ1434">
        <f>'Grid_Requirement'!BG4</f>
        <v/>
      </c>
      <c r="BK1434">
        <f>'Grid_Requirement'!BH4</f>
        <v/>
      </c>
      <c r="BL1434">
        <f>'Grid_Requirement'!BI4</f>
        <v/>
      </c>
      <c r="BM1434">
        <f>'Grid_Requirement'!BJ4</f>
        <v/>
      </c>
      <c r="BN1434">
        <f>'Grid_Requirement'!BK4</f>
        <v/>
      </c>
      <c r="BO1434">
        <f>'Grid_Requirement'!BL4</f>
        <v/>
      </c>
      <c r="BP1434">
        <f>'Grid_Requirement'!BM4</f>
        <v/>
      </c>
      <c r="BQ1434">
        <f>'Grid_Requirement'!BN4</f>
        <v/>
      </c>
      <c r="BR1434">
        <f>'Grid_Requirement'!BO4</f>
        <v/>
      </c>
      <c r="BS1434">
        <f>'Grid_Requirement'!BP4</f>
        <v/>
      </c>
      <c r="BT1434">
        <f>'Grid_Requirement'!BQ4</f>
        <v/>
      </c>
      <c r="BU1434">
        <f>'Grid_Requirement'!BR4</f>
        <v/>
      </c>
      <c r="BV1434">
        <f>'Grid_Requirement'!BS4</f>
        <v/>
      </c>
      <c r="BW1434">
        <f>'Grid_Requirement'!BT4</f>
        <v/>
      </c>
      <c r="BX1434">
        <f>'Grid_Requirement'!BU4</f>
        <v/>
      </c>
      <c r="BY1434">
        <f>'Grid_Requirement'!BV4</f>
        <v/>
      </c>
      <c r="BZ1434">
        <f>'Grid_Requirement'!BW4</f>
        <v/>
      </c>
      <c r="CA1434">
        <f>'Grid_Requirement'!BX4</f>
        <v/>
      </c>
      <c r="CB1434">
        <f>'Grid_Requirement'!BY4</f>
        <v/>
      </c>
      <c r="CC1434">
        <f>'Grid_Requirement'!BZ4</f>
        <v/>
      </c>
      <c r="CD1434">
        <f>'Grid_Requirement'!CA4</f>
        <v/>
      </c>
      <c r="CE1434">
        <f>'Grid_Requirement'!CB4</f>
        <v/>
      </c>
      <c r="CF1434">
        <f>'Grid_Requirement'!CC4</f>
        <v/>
      </c>
      <c r="CG1434">
        <f>'Grid_Requirement'!CD4</f>
        <v/>
      </c>
      <c r="CH1434">
        <f>'Grid_Requirement'!CE4</f>
        <v/>
      </c>
      <c r="CI1434">
        <f>'Grid_Requirement'!CF4</f>
        <v/>
      </c>
      <c r="CJ1434">
        <f>'Grid_Requirement'!CG4</f>
        <v/>
      </c>
      <c r="CK1434">
        <f>'Grid_Requirement'!CH4</f>
        <v/>
      </c>
      <c r="CL1434">
        <f>'Grid_Requirement'!CI4</f>
        <v/>
      </c>
      <c r="CM1434">
        <f>'Grid_Requirement'!CJ4</f>
        <v/>
      </c>
      <c r="CN1434">
        <f>'Grid_Requirement'!CK4</f>
        <v/>
      </c>
      <c r="CO1434">
        <f>'Grid_Requirement'!CL4</f>
        <v/>
      </c>
      <c r="CP1434">
        <f>'Grid_Requirement'!CM4</f>
        <v/>
      </c>
      <c r="CQ1434">
        <f>'Grid_Requirement'!CN4</f>
        <v/>
      </c>
      <c r="CR1434">
        <f>'Grid_Requirement'!CO4</f>
        <v/>
      </c>
      <c r="CS1434">
        <f>'Grid_Requirement'!CP4</f>
        <v/>
      </c>
      <c r="CT1434">
        <f>'Grid_Requirement'!CQ4</f>
        <v/>
      </c>
      <c r="CU1434">
        <f>'Grid_Requirement'!CR4</f>
        <v/>
      </c>
      <c r="CV1434">
        <f>'Grid_Requirement'!CS4</f>
        <v/>
      </c>
      <c r="CW1434">
        <f>'Grid_Requirement'!CT4</f>
        <v/>
      </c>
      <c r="CX1434">
        <f>'Grid_Requirement'!CU4</f>
        <v/>
      </c>
      <c r="CY1434">
        <f>'Grid_Requirement'!CV4</f>
        <v/>
      </c>
      <c r="CZ1434">
        <f>'Grid_Requirement'!CW4</f>
        <v/>
      </c>
      <c r="DA1434">
        <f>'Grid_Requirement'!CX4</f>
        <v/>
      </c>
      <c r="DB1434">
        <f>'Grid_Requirement'!CY4</f>
        <v/>
      </c>
      <c r="DC1434">
        <f>'Grid_Requirement'!CZ4</f>
        <v/>
      </c>
      <c r="DD1434">
        <f>'Grid_Requirement'!DA4</f>
        <v/>
      </c>
    </row>
    <row r="1435">
      <c r="B1435" t="inlineStr">
        <is>
          <t>TTAF在庫(実績,kg)</t>
        </is>
      </c>
      <c r="D1435">
        <f>IFERROR(INDEX(E1435:DD1435,$F$1),"")</f>
        <v/>
      </c>
      <c r="E1435">
        <f>IFERROR(SUMIFS(T_TTAFStock[TTAF_Qty],T_TTAFStock[RM_Code],$A1413,T_TTAFStock[WeekIndex],1),"")</f>
        <v/>
      </c>
      <c r="F1435">
        <f>IFERROR(SUMIFS(T_TTAFStock[TTAF_Qty],T_TTAFStock[RM_Code],$A1413,T_TTAFStock[WeekIndex],2),"")</f>
        <v/>
      </c>
      <c r="G1435">
        <f>IFERROR(SUMIFS(T_TTAFStock[TTAF_Qty],T_TTAFStock[RM_Code],$A1413,T_TTAFStock[WeekIndex],3),"")</f>
        <v/>
      </c>
      <c r="H1435">
        <f>IFERROR(SUMIFS(T_TTAFStock[TTAF_Qty],T_TTAFStock[RM_Code],$A1413,T_TTAFStock[WeekIndex],4),"")</f>
        <v/>
      </c>
      <c r="I1435">
        <f>IFERROR(SUMIFS(T_TTAFStock[TTAF_Qty],T_TTAFStock[RM_Code],$A1413,T_TTAFStock[WeekIndex],5),"")</f>
        <v/>
      </c>
      <c r="J1435">
        <f>IFERROR(SUMIFS(T_TTAFStock[TTAF_Qty],T_TTAFStock[RM_Code],$A1413,T_TTAFStock[WeekIndex],6),"")</f>
        <v/>
      </c>
      <c r="K1435">
        <f>IFERROR(SUMIFS(T_TTAFStock[TTAF_Qty],T_TTAFStock[RM_Code],$A1413,T_TTAFStock[WeekIndex],7),"")</f>
        <v/>
      </c>
      <c r="L1435">
        <f>IFERROR(SUMIFS(T_TTAFStock[TTAF_Qty],T_TTAFStock[RM_Code],$A1413,T_TTAFStock[WeekIndex],8),"")</f>
        <v/>
      </c>
      <c r="M1435">
        <f>IFERROR(SUMIFS(T_TTAFStock[TTAF_Qty],T_TTAFStock[RM_Code],$A1413,T_TTAFStock[WeekIndex],9),"")</f>
        <v/>
      </c>
      <c r="N1435">
        <f>IFERROR(SUMIFS(T_TTAFStock[TTAF_Qty],T_TTAFStock[RM_Code],$A1413,T_TTAFStock[WeekIndex],10),"")</f>
        <v/>
      </c>
      <c r="O1435">
        <f>IFERROR(SUMIFS(T_TTAFStock[TTAF_Qty],T_TTAFStock[RM_Code],$A1413,T_TTAFStock[WeekIndex],11),"")</f>
        <v/>
      </c>
      <c r="P1435">
        <f>IFERROR(SUMIFS(T_TTAFStock[TTAF_Qty],T_TTAFStock[RM_Code],$A1413,T_TTAFStock[WeekIndex],12),"")</f>
        <v/>
      </c>
      <c r="Q1435">
        <f>IFERROR(SUMIFS(T_TTAFStock[TTAF_Qty],T_TTAFStock[RM_Code],$A1413,T_TTAFStock[WeekIndex],13),"")</f>
        <v/>
      </c>
      <c r="R1435">
        <f>IFERROR(SUMIFS(T_TTAFStock[TTAF_Qty],T_TTAFStock[RM_Code],$A1413,T_TTAFStock[WeekIndex],14),"")</f>
        <v/>
      </c>
      <c r="S1435">
        <f>IFERROR(SUMIFS(T_TTAFStock[TTAF_Qty],T_TTAFStock[RM_Code],$A1413,T_TTAFStock[WeekIndex],15),"")</f>
        <v/>
      </c>
      <c r="T1435">
        <f>IFERROR(SUMIFS(T_TTAFStock[TTAF_Qty],T_TTAFStock[RM_Code],$A1413,T_TTAFStock[WeekIndex],16),"")</f>
        <v/>
      </c>
      <c r="U1435">
        <f>IFERROR(SUMIFS(T_TTAFStock[TTAF_Qty],T_TTAFStock[RM_Code],$A1413,T_TTAFStock[WeekIndex],17),"")</f>
        <v/>
      </c>
      <c r="V1435">
        <f>IFERROR(SUMIFS(T_TTAFStock[TTAF_Qty],T_TTAFStock[RM_Code],$A1413,T_TTAFStock[WeekIndex],18),"")</f>
        <v/>
      </c>
      <c r="W1435">
        <f>IFERROR(SUMIFS(T_TTAFStock[TTAF_Qty],T_TTAFStock[RM_Code],$A1413,T_TTAFStock[WeekIndex],19),"")</f>
        <v/>
      </c>
      <c r="X1435">
        <f>IFERROR(SUMIFS(T_TTAFStock[TTAF_Qty],T_TTAFStock[RM_Code],$A1413,T_TTAFStock[WeekIndex],20),"")</f>
        <v/>
      </c>
      <c r="Y1435">
        <f>IFERROR(SUMIFS(T_TTAFStock[TTAF_Qty],T_TTAFStock[RM_Code],$A1413,T_TTAFStock[WeekIndex],21),"")</f>
        <v/>
      </c>
      <c r="Z1435">
        <f>IFERROR(SUMIFS(T_TTAFStock[TTAF_Qty],T_TTAFStock[RM_Code],$A1413,T_TTAFStock[WeekIndex],22),"")</f>
        <v/>
      </c>
      <c r="AA1435">
        <f>IFERROR(SUMIFS(T_TTAFStock[TTAF_Qty],T_TTAFStock[RM_Code],$A1413,T_TTAFStock[WeekIndex],23),"")</f>
        <v/>
      </c>
      <c r="AB1435">
        <f>IFERROR(SUMIFS(T_TTAFStock[TTAF_Qty],T_TTAFStock[RM_Code],$A1413,T_TTAFStock[WeekIndex],24),"")</f>
        <v/>
      </c>
      <c r="AC1435">
        <f>IFERROR(SUMIFS(T_TTAFStock[TTAF_Qty],T_TTAFStock[RM_Code],$A1413,T_TTAFStock[WeekIndex],25),"")</f>
        <v/>
      </c>
      <c r="AD1435">
        <f>IFERROR(SUMIFS(T_TTAFStock[TTAF_Qty],T_TTAFStock[RM_Code],$A1413,T_TTAFStock[WeekIndex],26),"")</f>
        <v/>
      </c>
      <c r="AE1435">
        <f>IFERROR(SUMIFS(T_TTAFStock[TTAF_Qty],T_TTAFStock[RM_Code],$A1413,T_TTAFStock[WeekIndex],27),"")</f>
        <v/>
      </c>
      <c r="AF1435">
        <f>IFERROR(SUMIFS(T_TTAFStock[TTAF_Qty],T_TTAFStock[RM_Code],$A1413,T_TTAFStock[WeekIndex],28),"")</f>
        <v/>
      </c>
      <c r="AG1435">
        <f>IFERROR(SUMIFS(T_TTAFStock[TTAF_Qty],T_TTAFStock[RM_Code],$A1413,T_TTAFStock[WeekIndex],29),"")</f>
        <v/>
      </c>
      <c r="AH1435">
        <f>IFERROR(SUMIFS(T_TTAFStock[TTAF_Qty],T_TTAFStock[RM_Code],$A1413,T_TTAFStock[WeekIndex],30),"")</f>
        <v/>
      </c>
      <c r="AI1435">
        <f>IFERROR(SUMIFS(T_TTAFStock[TTAF_Qty],T_TTAFStock[RM_Code],$A1413,T_TTAFStock[WeekIndex],31),"")</f>
        <v/>
      </c>
      <c r="AJ1435">
        <f>IFERROR(SUMIFS(T_TTAFStock[TTAF_Qty],T_TTAFStock[RM_Code],$A1413,T_TTAFStock[WeekIndex],32),"")</f>
        <v/>
      </c>
      <c r="AK1435">
        <f>IFERROR(SUMIFS(T_TTAFStock[TTAF_Qty],T_TTAFStock[RM_Code],$A1413,T_TTAFStock[WeekIndex],33),"")</f>
        <v/>
      </c>
      <c r="AL1435">
        <f>IFERROR(SUMIFS(T_TTAFStock[TTAF_Qty],T_TTAFStock[RM_Code],$A1413,T_TTAFStock[WeekIndex],34),"")</f>
        <v/>
      </c>
      <c r="AM1435">
        <f>IFERROR(SUMIFS(T_TTAFStock[TTAF_Qty],T_TTAFStock[RM_Code],$A1413,T_TTAFStock[WeekIndex],35),"")</f>
        <v/>
      </c>
      <c r="AN1435">
        <f>IFERROR(SUMIFS(T_TTAFStock[TTAF_Qty],T_TTAFStock[RM_Code],$A1413,T_TTAFStock[WeekIndex],36),"")</f>
        <v/>
      </c>
      <c r="AO1435">
        <f>IFERROR(SUMIFS(T_TTAFStock[TTAF_Qty],T_TTAFStock[RM_Code],$A1413,T_TTAFStock[WeekIndex],37),"")</f>
        <v/>
      </c>
      <c r="AP1435">
        <f>IFERROR(SUMIFS(T_TTAFStock[TTAF_Qty],T_TTAFStock[RM_Code],$A1413,T_TTAFStock[WeekIndex],38),"")</f>
        <v/>
      </c>
      <c r="AQ1435">
        <f>IFERROR(SUMIFS(T_TTAFStock[TTAF_Qty],T_TTAFStock[RM_Code],$A1413,T_TTAFStock[WeekIndex],39),"")</f>
        <v/>
      </c>
      <c r="AR1435">
        <f>IFERROR(SUMIFS(T_TTAFStock[TTAF_Qty],T_TTAFStock[RM_Code],$A1413,T_TTAFStock[WeekIndex],40),"")</f>
        <v/>
      </c>
      <c r="AS1435">
        <f>IFERROR(SUMIFS(T_TTAFStock[TTAF_Qty],T_TTAFStock[RM_Code],$A1413,T_TTAFStock[WeekIndex],41),"")</f>
        <v/>
      </c>
      <c r="AT1435">
        <f>IFERROR(SUMIFS(T_TTAFStock[TTAF_Qty],T_TTAFStock[RM_Code],$A1413,T_TTAFStock[WeekIndex],42),"")</f>
        <v/>
      </c>
      <c r="AU1435">
        <f>IFERROR(SUMIFS(T_TTAFStock[TTAF_Qty],T_TTAFStock[RM_Code],$A1413,T_TTAFStock[WeekIndex],43),"")</f>
        <v/>
      </c>
      <c r="AV1435">
        <f>IFERROR(SUMIFS(T_TTAFStock[TTAF_Qty],T_TTAFStock[RM_Code],$A1413,T_TTAFStock[WeekIndex],44),"")</f>
        <v/>
      </c>
      <c r="AW1435">
        <f>IFERROR(SUMIFS(T_TTAFStock[TTAF_Qty],T_TTAFStock[RM_Code],$A1413,T_TTAFStock[WeekIndex],45),"")</f>
        <v/>
      </c>
      <c r="AX1435">
        <f>IFERROR(SUMIFS(T_TTAFStock[TTAF_Qty],T_TTAFStock[RM_Code],$A1413,T_TTAFStock[WeekIndex],46),"")</f>
        <v/>
      </c>
      <c r="AY1435">
        <f>IFERROR(SUMIFS(T_TTAFStock[TTAF_Qty],T_TTAFStock[RM_Code],$A1413,T_TTAFStock[WeekIndex],47),"")</f>
        <v/>
      </c>
      <c r="AZ1435">
        <f>IFERROR(SUMIFS(T_TTAFStock[TTAF_Qty],T_TTAFStock[RM_Code],$A1413,T_TTAFStock[WeekIndex],48),"")</f>
        <v/>
      </c>
      <c r="BA1435">
        <f>IFERROR(SUMIFS(T_TTAFStock[TTAF_Qty],T_TTAFStock[RM_Code],$A1413,T_TTAFStock[WeekIndex],49),"")</f>
        <v/>
      </c>
      <c r="BB1435">
        <f>IFERROR(SUMIFS(T_TTAFStock[TTAF_Qty],T_TTAFStock[RM_Code],$A1413,T_TTAFStock[WeekIndex],50),"")</f>
        <v/>
      </c>
      <c r="BC1435">
        <f>IFERROR(SUMIFS(T_TTAFStock[TTAF_Qty],T_TTAFStock[RM_Code],$A1413,T_TTAFStock[WeekIndex],51),"")</f>
        <v/>
      </c>
      <c r="BD1435">
        <f>IFERROR(SUMIFS(T_TTAFStock[TTAF_Qty],T_TTAFStock[RM_Code],$A1413,T_TTAFStock[WeekIndex],52),"")</f>
        <v/>
      </c>
      <c r="BE1435">
        <f>IFERROR(SUMIFS(T_TTAFStock[TTAF_Qty],T_TTAFStock[RM_Code],$A1413,T_TTAFStock[WeekIndex],53),"")</f>
        <v/>
      </c>
      <c r="BF1435">
        <f>IFERROR(SUMIFS(T_TTAFStock[TTAF_Qty],T_TTAFStock[RM_Code],$A1413,T_TTAFStock[WeekIndex],54),"")</f>
        <v/>
      </c>
      <c r="BG1435">
        <f>IFERROR(SUMIFS(T_TTAFStock[TTAF_Qty],T_TTAFStock[RM_Code],$A1413,T_TTAFStock[WeekIndex],55),"")</f>
        <v/>
      </c>
      <c r="BH1435">
        <f>IFERROR(SUMIFS(T_TTAFStock[TTAF_Qty],T_TTAFStock[RM_Code],$A1413,T_TTAFStock[WeekIndex],56),"")</f>
        <v/>
      </c>
      <c r="BI1435">
        <f>IFERROR(SUMIFS(T_TTAFStock[TTAF_Qty],T_TTAFStock[RM_Code],$A1413,T_TTAFStock[WeekIndex],57),"")</f>
        <v/>
      </c>
      <c r="BJ1435">
        <f>IFERROR(SUMIFS(T_TTAFStock[TTAF_Qty],T_TTAFStock[RM_Code],$A1413,T_TTAFStock[WeekIndex],58),"")</f>
        <v/>
      </c>
      <c r="BK1435">
        <f>IFERROR(SUMIFS(T_TTAFStock[TTAF_Qty],T_TTAFStock[RM_Code],$A1413,T_TTAFStock[WeekIndex],59),"")</f>
        <v/>
      </c>
      <c r="BL1435">
        <f>IFERROR(SUMIFS(T_TTAFStock[TTAF_Qty],T_TTAFStock[RM_Code],$A1413,T_TTAFStock[WeekIndex],60),"")</f>
        <v/>
      </c>
      <c r="BM1435">
        <f>IFERROR(SUMIFS(T_TTAFStock[TTAF_Qty],T_TTAFStock[RM_Code],$A1413,T_TTAFStock[WeekIndex],61),"")</f>
        <v/>
      </c>
      <c r="BN1435">
        <f>IFERROR(SUMIFS(T_TTAFStock[TTAF_Qty],T_TTAFStock[RM_Code],$A1413,T_TTAFStock[WeekIndex],62),"")</f>
        <v/>
      </c>
      <c r="BO1435">
        <f>IFERROR(SUMIFS(T_TTAFStock[TTAF_Qty],T_TTAFStock[RM_Code],$A1413,T_TTAFStock[WeekIndex],63),"")</f>
        <v/>
      </c>
      <c r="BP1435">
        <f>IFERROR(SUMIFS(T_TTAFStock[TTAF_Qty],T_TTAFStock[RM_Code],$A1413,T_TTAFStock[WeekIndex],64),"")</f>
        <v/>
      </c>
      <c r="BQ1435">
        <f>IFERROR(SUMIFS(T_TTAFStock[TTAF_Qty],T_TTAFStock[RM_Code],$A1413,T_TTAFStock[WeekIndex],65),"")</f>
        <v/>
      </c>
      <c r="BR1435">
        <f>IFERROR(SUMIFS(T_TTAFStock[TTAF_Qty],T_TTAFStock[RM_Code],$A1413,T_TTAFStock[WeekIndex],66),"")</f>
        <v/>
      </c>
      <c r="BS1435">
        <f>IFERROR(SUMIFS(T_TTAFStock[TTAF_Qty],T_TTAFStock[RM_Code],$A1413,T_TTAFStock[WeekIndex],67),"")</f>
        <v/>
      </c>
      <c r="BT1435">
        <f>IFERROR(SUMIFS(T_TTAFStock[TTAF_Qty],T_TTAFStock[RM_Code],$A1413,T_TTAFStock[WeekIndex],68),"")</f>
        <v/>
      </c>
      <c r="BU1435">
        <f>IFERROR(SUMIFS(T_TTAFStock[TTAF_Qty],T_TTAFStock[RM_Code],$A1413,T_TTAFStock[WeekIndex],69),"")</f>
        <v/>
      </c>
      <c r="BV1435">
        <f>IFERROR(SUMIFS(T_TTAFStock[TTAF_Qty],T_TTAFStock[RM_Code],$A1413,T_TTAFStock[WeekIndex],70),"")</f>
        <v/>
      </c>
      <c r="BW1435">
        <f>IFERROR(SUMIFS(T_TTAFStock[TTAF_Qty],T_TTAFStock[RM_Code],$A1413,T_TTAFStock[WeekIndex],71),"")</f>
        <v/>
      </c>
      <c r="BX1435">
        <f>IFERROR(SUMIFS(T_TTAFStock[TTAF_Qty],T_TTAFStock[RM_Code],$A1413,T_TTAFStock[WeekIndex],72),"")</f>
        <v/>
      </c>
      <c r="BY1435">
        <f>IFERROR(SUMIFS(T_TTAFStock[TTAF_Qty],T_TTAFStock[RM_Code],$A1413,T_TTAFStock[WeekIndex],73),"")</f>
        <v/>
      </c>
      <c r="BZ1435">
        <f>IFERROR(SUMIFS(T_TTAFStock[TTAF_Qty],T_TTAFStock[RM_Code],$A1413,T_TTAFStock[WeekIndex],74),"")</f>
        <v/>
      </c>
      <c r="CA1435">
        <f>IFERROR(SUMIFS(T_TTAFStock[TTAF_Qty],T_TTAFStock[RM_Code],$A1413,T_TTAFStock[WeekIndex],75),"")</f>
        <v/>
      </c>
      <c r="CB1435">
        <f>IFERROR(SUMIFS(T_TTAFStock[TTAF_Qty],T_TTAFStock[RM_Code],$A1413,T_TTAFStock[WeekIndex],76),"")</f>
        <v/>
      </c>
      <c r="CC1435">
        <f>IFERROR(SUMIFS(T_TTAFStock[TTAF_Qty],T_TTAFStock[RM_Code],$A1413,T_TTAFStock[WeekIndex],77),"")</f>
        <v/>
      </c>
      <c r="CD1435">
        <f>IFERROR(SUMIFS(T_TTAFStock[TTAF_Qty],T_TTAFStock[RM_Code],$A1413,T_TTAFStock[WeekIndex],78),"")</f>
        <v/>
      </c>
      <c r="CE1435">
        <f>IFERROR(SUMIFS(T_TTAFStock[TTAF_Qty],T_TTAFStock[RM_Code],$A1413,T_TTAFStock[WeekIndex],79),"")</f>
        <v/>
      </c>
      <c r="CF1435">
        <f>IFERROR(SUMIFS(T_TTAFStock[TTAF_Qty],T_TTAFStock[RM_Code],$A1413,T_TTAFStock[WeekIndex],80),"")</f>
        <v/>
      </c>
      <c r="CG1435">
        <f>IFERROR(SUMIFS(T_TTAFStock[TTAF_Qty],T_TTAFStock[RM_Code],$A1413,T_TTAFStock[WeekIndex],81),"")</f>
        <v/>
      </c>
      <c r="CH1435">
        <f>IFERROR(SUMIFS(T_TTAFStock[TTAF_Qty],T_TTAFStock[RM_Code],$A1413,T_TTAFStock[WeekIndex],82),"")</f>
        <v/>
      </c>
      <c r="CI1435">
        <f>IFERROR(SUMIFS(T_TTAFStock[TTAF_Qty],T_TTAFStock[RM_Code],$A1413,T_TTAFStock[WeekIndex],83),"")</f>
        <v/>
      </c>
      <c r="CJ1435">
        <f>IFERROR(SUMIFS(T_TTAFStock[TTAF_Qty],T_TTAFStock[RM_Code],$A1413,T_TTAFStock[WeekIndex],84),"")</f>
        <v/>
      </c>
      <c r="CK1435">
        <f>IFERROR(SUMIFS(T_TTAFStock[TTAF_Qty],T_TTAFStock[RM_Code],$A1413,T_TTAFStock[WeekIndex],85),"")</f>
        <v/>
      </c>
      <c r="CL1435">
        <f>IFERROR(SUMIFS(T_TTAFStock[TTAF_Qty],T_TTAFStock[RM_Code],$A1413,T_TTAFStock[WeekIndex],86),"")</f>
        <v/>
      </c>
      <c r="CM1435">
        <f>IFERROR(SUMIFS(T_TTAFStock[TTAF_Qty],T_TTAFStock[RM_Code],$A1413,T_TTAFStock[WeekIndex],87),"")</f>
        <v/>
      </c>
      <c r="CN1435">
        <f>IFERROR(SUMIFS(T_TTAFStock[TTAF_Qty],T_TTAFStock[RM_Code],$A1413,T_TTAFStock[WeekIndex],88),"")</f>
        <v/>
      </c>
      <c r="CO1435">
        <f>IFERROR(SUMIFS(T_TTAFStock[TTAF_Qty],T_TTAFStock[RM_Code],$A1413,T_TTAFStock[WeekIndex],89),"")</f>
        <v/>
      </c>
      <c r="CP1435">
        <f>IFERROR(SUMIFS(T_TTAFStock[TTAF_Qty],T_TTAFStock[RM_Code],$A1413,T_TTAFStock[WeekIndex],90),"")</f>
        <v/>
      </c>
      <c r="CQ1435">
        <f>IFERROR(SUMIFS(T_TTAFStock[TTAF_Qty],T_TTAFStock[RM_Code],$A1413,T_TTAFStock[WeekIndex],91),"")</f>
        <v/>
      </c>
      <c r="CR1435">
        <f>IFERROR(SUMIFS(T_TTAFStock[TTAF_Qty],T_TTAFStock[RM_Code],$A1413,T_TTAFStock[WeekIndex],92),"")</f>
        <v/>
      </c>
      <c r="CS1435">
        <f>IFERROR(SUMIFS(T_TTAFStock[TTAF_Qty],T_TTAFStock[RM_Code],$A1413,T_TTAFStock[WeekIndex],93),"")</f>
        <v/>
      </c>
      <c r="CT1435">
        <f>IFERROR(SUMIFS(T_TTAFStock[TTAF_Qty],T_TTAFStock[RM_Code],$A1413,T_TTAFStock[WeekIndex],94),"")</f>
        <v/>
      </c>
      <c r="CU1435">
        <f>IFERROR(SUMIFS(T_TTAFStock[TTAF_Qty],T_TTAFStock[RM_Code],$A1413,T_TTAFStock[WeekIndex],95),"")</f>
        <v/>
      </c>
      <c r="CV1435">
        <f>IFERROR(SUMIFS(T_TTAFStock[TTAF_Qty],T_TTAFStock[RM_Code],$A1413,T_TTAFStock[WeekIndex],96),"")</f>
        <v/>
      </c>
      <c r="CW1435">
        <f>IFERROR(SUMIFS(T_TTAFStock[TTAF_Qty],T_TTAFStock[RM_Code],$A1413,T_TTAFStock[WeekIndex],97),"")</f>
        <v/>
      </c>
      <c r="CX1435">
        <f>IFERROR(SUMIFS(T_TTAFStock[TTAF_Qty],T_TTAFStock[RM_Code],$A1413,T_TTAFStock[WeekIndex],98),"")</f>
        <v/>
      </c>
      <c r="CY1435">
        <f>IFERROR(SUMIFS(T_TTAFStock[TTAF_Qty],T_TTAFStock[RM_Code],$A1413,T_TTAFStock[WeekIndex],99),"")</f>
        <v/>
      </c>
      <c r="CZ1435">
        <f>IFERROR(SUMIFS(T_TTAFStock[TTAF_Qty],T_TTAFStock[RM_Code],$A1413,T_TTAFStock[WeekIndex],100),"")</f>
        <v/>
      </c>
      <c r="DA1435">
        <f>IFERROR(SUMIFS(T_TTAFStock[TTAF_Qty],T_TTAFStock[RM_Code],$A1413,T_TTAFStock[WeekIndex],101),"")</f>
        <v/>
      </c>
      <c r="DB1435">
        <f>IFERROR(SUMIFS(T_TTAFStock[TTAF_Qty],T_TTAFStock[RM_Code],$A1413,T_TTAFStock[WeekIndex],102),"")</f>
        <v/>
      </c>
      <c r="DC1435">
        <f>IFERROR(SUMIFS(T_TTAFStock[TTAF_Qty],T_TTAFStock[RM_Code],$A1413,T_TTAFStock[WeekIndex],103),"")</f>
        <v/>
      </c>
      <c r="DD1435">
        <f>IFERROR(SUMIFS(T_TTAFStock[TTAF_Qty],T_TTAFStock[RM_Code],$A1413,T_TTAFStock[WeekIndex],104),"")</f>
        <v/>
      </c>
    </row>
    <row r="1436">
      <c r="B1436" t="inlineStr">
        <is>
          <t>自社在庫(実績,kg)</t>
        </is>
      </c>
      <c r="D1436">
        <f>IFERROR(INDEX(E1436:DD1436,$F$1),"")</f>
        <v/>
      </c>
      <c r="E1436">
        <f>IFERROR(SUMIFS(T_SelfStock[Self_Qty],T_SelfStock[RM_Code],$A1413,T_SelfStock[WeekIndex],1),"")</f>
        <v/>
      </c>
      <c r="F1436">
        <f>IFERROR(SUMIFS(T_SelfStock[Self_Qty],T_SelfStock[RM_Code],$A1413,T_SelfStock[WeekIndex],2),"")</f>
        <v/>
      </c>
      <c r="G1436">
        <f>IFERROR(SUMIFS(T_SelfStock[Self_Qty],T_SelfStock[RM_Code],$A1413,T_SelfStock[WeekIndex],3),"")</f>
        <v/>
      </c>
      <c r="H1436">
        <f>IFERROR(SUMIFS(T_SelfStock[Self_Qty],T_SelfStock[RM_Code],$A1413,T_SelfStock[WeekIndex],4),"")</f>
        <v/>
      </c>
      <c r="I1436">
        <f>IFERROR(SUMIFS(T_SelfStock[Self_Qty],T_SelfStock[RM_Code],$A1413,T_SelfStock[WeekIndex],5),"")</f>
        <v/>
      </c>
      <c r="J1436">
        <f>IFERROR(SUMIFS(T_SelfStock[Self_Qty],T_SelfStock[RM_Code],$A1413,T_SelfStock[WeekIndex],6),"")</f>
        <v/>
      </c>
      <c r="K1436">
        <f>IFERROR(SUMIFS(T_SelfStock[Self_Qty],T_SelfStock[RM_Code],$A1413,T_SelfStock[WeekIndex],7),"")</f>
        <v/>
      </c>
      <c r="L1436">
        <f>IFERROR(SUMIFS(T_SelfStock[Self_Qty],T_SelfStock[RM_Code],$A1413,T_SelfStock[WeekIndex],8),"")</f>
        <v/>
      </c>
      <c r="M1436">
        <f>IFERROR(SUMIFS(T_SelfStock[Self_Qty],T_SelfStock[RM_Code],$A1413,T_SelfStock[WeekIndex],9),"")</f>
        <v/>
      </c>
      <c r="N1436">
        <f>IFERROR(SUMIFS(T_SelfStock[Self_Qty],T_SelfStock[RM_Code],$A1413,T_SelfStock[WeekIndex],10),"")</f>
        <v/>
      </c>
      <c r="O1436">
        <f>IFERROR(SUMIFS(T_SelfStock[Self_Qty],T_SelfStock[RM_Code],$A1413,T_SelfStock[WeekIndex],11),"")</f>
        <v/>
      </c>
      <c r="P1436">
        <f>IFERROR(SUMIFS(T_SelfStock[Self_Qty],T_SelfStock[RM_Code],$A1413,T_SelfStock[WeekIndex],12),"")</f>
        <v/>
      </c>
      <c r="Q1436">
        <f>IFERROR(SUMIFS(T_SelfStock[Self_Qty],T_SelfStock[RM_Code],$A1413,T_SelfStock[WeekIndex],13),"")</f>
        <v/>
      </c>
      <c r="R1436">
        <f>IFERROR(SUMIFS(T_SelfStock[Self_Qty],T_SelfStock[RM_Code],$A1413,T_SelfStock[WeekIndex],14),"")</f>
        <v/>
      </c>
      <c r="S1436">
        <f>IFERROR(SUMIFS(T_SelfStock[Self_Qty],T_SelfStock[RM_Code],$A1413,T_SelfStock[WeekIndex],15),"")</f>
        <v/>
      </c>
      <c r="T1436">
        <f>IFERROR(SUMIFS(T_SelfStock[Self_Qty],T_SelfStock[RM_Code],$A1413,T_SelfStock[WeekIndex],16),"")</f>
        <v/>
      </c>
      <c r="U1436">
        <f>IFERROR(SUMIFS(T_SelfStock[Self_Qty],T_SelfStock[RM_Code],$A1413,T_SelfStock[WeekIndex],17),"")</f>
        <v/>
      </c>
      <c r="V1436">
        <f>IFERROR(SUMIFS(T_SelfStock[Self_Qty],T_SelfStock[RM_Code],$A1413,T_SelfStock[WeekIndex],18),"")</f>
        <v/>
      </c>
      <c r="W1436">
        <f>IFERROR(SUMIFS(T_SelfStock[Self_Qty],T_SelfStock[RM_Code],$A1413,T_SelfStock[WeekIndex],19),"")</f>
        <v/>
      </c>
      <c r="X1436">
        <f>IFERROR(SUMIFS(T_SelfStock[Self_Qty],T_SelfStock[RM_Code],$A1413,T_SelfStock[WeekIndex],20),"")</f>
        <v/>
      </c>
      <c r="Y1436">
        <f>IFERROR(SUMIFS(T_SelfStock[Self_Qty],T_SelfStock[RM_Code],$A1413,T_SelfStock[WeekIndex],21),"")</f>
        <v/>
      </c>
      <c r="Z1436">
        <f>IFERROR(SUMIFS(T_SelfStock[Self_Qty],T_SelfStock[RM_Code],$A1413,T_SelfStock[WeekIndex],22),"")</f>
        <v/>
      </c>
      <c r="AA1436">
        <f>IFERROR(SUMIFS(T_SelfStock[Self_Qty],T_SelfStock[RM_Code],$A1413,T_SelfStock[WeekIndex],23),"")</f>
        <v/>
      </c>
      <c r="AB1436">
        <f>IFERROR(SUMIFS(T_SelfStock[Self_Qty],T_SelfStock[RM_Code],$A1413,T_SelfStock[WeekIndex],24),"")</f>
        <v/>
      </c>
      <c r="AC1436">
        <f>IFERROR(SUMIFS(T_SelfStock[Self_Qty],T_SelfStock[RM_Code],$A1413,T_SelfStock[WeekIndex],25),"")</f>
        <v/>
      </c>
      <c r="AD1436">
        <f>IFERROR(SUMIFS(T_SelfStock[Self_Qty],T_SelfStock[RM_Code],$A1413,T_SelfStock[WeekIndex],26),"")</f>
        <v/>
      </c>
      <c r="AE1436">
        <f>IFERROR(SUMIFS(T_SelfStock[Self_Qty],T_SelfStock[RM_Code],$A1413,T_SelfStock[WeekIndex],27),"")</f>
        <v/>
      </c>
      <c r="AF1436">
        <f>IFERROR(SUMIFS(T_SelfStock[Self_Qty],T_SelfStock[RM_Code],$A1413,T_SelfStock[WeekIndex],28),"")</f>
        <v/>
      </c>
      <c r="AG1436">
        <f>IFERROR(SUMIFS(T_SelfStock[Self_Qty],T_SelfStock[RM_Code],$A1413,T_SelfStock[WeekIndex],29),"")</f>
        <v/>
      </c>
      <c r="AH1436">
        <f>IFERROR(SUMIFS(T_SelfStock[Self_Qty],T_SelfStock[RM_Code],$A1413,T_SelfStock[WeekIndex],30),"")</f>
        <v/>
      </c>
      <c r="AI1436">
        <f>IFERROR(SUMIFS(T_SelfStock[Self_Qty],T_SelfStock[RM_Code],$A1413,T_SelfStock[WeekIndex],31),"")</f>
        <v/>
      </c>
      <c r="AJ1436">
        <f>IFERROR(SUMIFS(T_SelfStock[Self_Qty],T_SelfStock[RM_Code],$A1413,T_SelfStock[WeekIndex],32),"")</f>
        <v/>
      </c>
      <c r="AK1436">
        <f>IFERROR(SUMIFS(T_SelfStock[Self_Qty],T_SelfStock[RM_Code],$A1413,T_SelfStock[WeekIndex],33),"")</f>
        <v/>
      </c>
      <c r="AL1436">
        <f>IFERROR(SUMIFS(T_SelfStock[Self_Qty],T_SelfStock[RM_Code],$A1413,T_SelfStock[WeekIndex],34),"")</f>
        <v/>
      </c>
      <c r="AM1436">
        <f>IFERROR(SUMIFS(T_SelfStock[Self_Qty],T_SelfStock[RM_Code],$A1413,T_SelfStock[WeekIndex],35),"")</f>
        <v/>
      </c>
      <c r="AN1436">
        <f>IFERROR(SUMIFS(T_SelfStock[Self_Qty],T_SelfStock[RM_Code],$A1413,T_SelfStock[WeekIndex],36),"")</f>
        <v/>
      </c>
      <c r="AO1436">
        <f>IFERROR(SUMIFS(T_SelfStock[Self_Qty],T_SelfStock[RM_Code],$A1413,T_SelfStock[WeekIndex],37),"")</f>
        <v/>
      </c>
      <c r="AP1436">
        <f>IFERROR(SUMIFS(T_SelfStock[Self_Qty],T_SelfStock[RM_Code],$A1413,T_SelfStock[WeekIndex],38),"")</f>
        <v/>
      </c>
      <c r="AQ1436">
        <f>IFERROR(SUMIFS(T_SelfStock[Self_Qty],T_SelfStock[RM_Code],$A1413,T_SelfStock[WeekIndex],39),"")</f>
        <v/>
      </c>
      <c r="AR1436">
        <f>IFERROR(SUMIFS(T_SelfStock[Self_Qty],T_SelfStock[RM_Code],$A1413,T_SelfStock[WeekIndex],40),"")</f>
        <v/>
      </c>
      <c r="AS1436">
        <f>IFERROR(SUMIFS(T_SelfStock[Self_Qty],T_SelfStock[RM_Code],$A1413,T_SelfStock[WeekIndex],41),"")</f>
        <v/>
      </c>
      <c r="AT1436">
        <f>IFERROR(SUMIFS(T_SelfStock[Self_Qty],T_SelfStock[RM_Code],$A1413,T_SelfStock[WeekIndex],42),"")</f>
        <v/>
      </c>
      <c r="AU1436">
        <f>IFERROR(SUMIFS(T_SelfStock[Self_Qty],T_SelfStock[RM_Code],$A1413,T_SelfStock[WeekIndex],43),"")</f>
        <v/>
      </c>
      <c r="AV1436">
        <f>IFERROR(SUMIFS(T_SelfStock[Self_Qty],T_SelfStock[RM_Code],$A1413,T_SelfStock[WeekIndex],44),"")</f>
        <v/>
      </c>
      <c r="AW1436">
        <f>IFERROR(SUMIFS(T_SelfStock[Self_Qty],T_SelfStock[RM_Code],$A1413,T_SelfStock[WeekIndex],45),"")</f>
        <v/>
      </c>
      <c r="AX1436">
        <f>IFERROR(SUMIFS(T_SelfStock[Self_Qty],T_SelfStock[RM_Code],$A1413,T_SelfStock[WeekIndex],46),"")</f>
        <v/>
      </c>
      <c r="AY1436">
        <f>IFERROR(SUMIFS(T_SelfStock[Self_Qty],T_SelfStock[RM_Code],$A1413,T_SelfStock[WeekIndex],47),"")</f>
        <v/>
      </c>
      <c r="AZ1436">
        <f>IFERROR(SUMIFS(T_SelfStock[Self_Qty],T_SelfStock[RM_Code],$A1413,T_SelfStock[WeekIndex],48),"")</f>
        <v/>
      </c>
      <c r="BA1436">
        <f>IFERROR(SUMIFS(T_SelfStock[Self_Qty],T_SelfStock[RM_Code],$A1413,T_SelfStock[WeekIndex],49),"")</f>
        <v/>
      </c>
      <c r="BB1436">
        <f>IFERROR(SUMIFS(T_SelfStock[Self_Qty],T_SelfStock[RM_Code],$A1413,T_SelfStock[WeekIndex],50),"")</f>
        <v/>
      </c>
      <c r="BC1436">
        <f>IFERROR(SUMIFS(T_SelfStock[Self_Qty],T_SelfStock[RM_Code],$A1413,T_SelfStock[WeekIndex],51),"")</f>
        <v/>
      </c>
      <c r="BD1436">
        <f>IFERROR(SUMIFS(T_SelfStock[Self_Qty],T_SelfStock[RM_Code],$A1413,T_SelfStock[WeekIndex],52),"")</f>
        <v/>
      </c>
      <c r="BE1436">
        <f>IFERROR(SUMIFS(T_SelfStock[Self_Qty],T_SelfStock[RM_Code],$A1413,T_SelfStock[WeekIndex],53),"")</f>
        <v/>
      </c>
      <c r="BF1436">
        <f>IFERROR(SUMIFS(T_SelfStock[Self_Qty],T_SelfStock[RM_Code],$A1413,T_SelfStock[WeekIndex],54),"")</f>
        <v/>
      </c>
      <c r="BG1436">
        <f>IFERROR(SUMIFS(T_SelfStock[Self_Qty],T_SelfStock[RM_Code],$A1413,T_SelfStock[WeekIndex],55),"")</f>
        <v/>
      </c>
      <c r="BH1436">
        <f>IFERROR(SUMIFS(T_SelfStock[Self_Qty],T_SelfStock[RM_Code],$A1413,T_SelfStock[WeekIndex],56),"")</f>
        <v/>
      </c>
      <c r="BI1436">
        <f>IFERROR(SUMIFS(T_SelfStock[Self_Qty],T_SelfStock[RM_Code],$A1413,T_SelfStock[WeekIndex],57),"")</f>
        <v/>
      </c>
      <c r="BJ1436">
        <f>IFERROR(SUMIFS(T_SelfStock[Self_Qty],T_SelfStock[RM_Code],$A1413,T_SelfStock[WeekIndex],58),"")</f>
        <v/>
      </c>
      <c r="BK1436">
        <f>IFERROR(SUMIFS(T_SelfStock[Self_Qty],T_SelfStock[RM_Code],$A1413,T_SelfStock[WeekIndex],59),"")</f>
        <v/>
      </c>
      <c r="BL1436">
        <f>IFERROR(SUMIFS(T_SelfStock[Self_Qty],T_SelfStock[RM_Code],$A1413,T_SelfStock[WeekIndex],60),"")</f>
        <v/>
      </c>
      <c r="BM1436">
        <f>IFERROR(SUMIFS(T_SelfStock[Self_Qty],T_SelfStock[RM_Code],$A1413,T_SelfStock[WeekIndex],61),"")</f>
        <v/>
      </c>
      <c r="BN1436">
        <f>IFERROR(SUMIFS(T_SelfStock[Self_Qty],T_SelfStock[RM_Code],$A1413,T_SelfStock[WeekIndex],62),"")</f>
        <v/>
      </c>
      <c r="BO1436">
        <f>IFERROR(SUMIFS(T_SelfStock[Self_Qty],T_SelfStock[RM_Code],$A1413,T_SelfStock[WeekIndex],63),"")</f>
        <v/>
      </c>
      <c r="BP1436">
        <f>IFERROR(SUMIFS(T_SelfStock[Self_Qty],T_SelfStock[RM_Code],$A1413,T_SelfStock[WeekIndex],64),"")</f>
        <v/>
      </c>
      <c r="BQ1436">
        <f>IFERROR(SUMIFS(T_SelfStock[Self_Qty],T_SelfStock[RM_Code],$A1413,T_SelfStock[WeekIndex],65),"")</f>
        <v/>
      </c>
      <c r="BR1436">
        <f>IFERROR(SUMIFS(T_SelfStock[Self_Qty],T_SelfStock[RM_Code],$A1413,T_SelfStock[WeekIndex],66),"")</f>
        <v/>
      </c>
      <c r="BS1436">
        <f>IFERROR(SUMIFS(T_SelfStock[Self_Qty],T_SelfStock[RM_Code],$A1413,T_SelfStock[WeekIndex],67),"")</f>
        <v/>
      </c>
      <c r="BT1436">
        <f>IFERROR(SUMIFS(T_SelfStock[Self_Qty],T_SelfStock[RM_Code],$A1413,T_SelfStock[WeekIndex],68),"")</f>
        <v/>
      </c>
      <c r="BU1436">
        <f>IFERROR(SUMIFS(T_SelfStock[Self_Qty],T_SelfStock[RM_Code],$A1413,T_SelfStock[WeekIndex],69),"")</f>
        <v/>
      </c>
      <c r="BV1436">
        <f>IFERROR(SUMIFS(T_SelfStock[Self_Qty],T_SelfStock[RM_Code],$A1413,T_SelfStock[WeekIndex],70),"")</f>
        <v/>
      </c>
      <c r="BW1436">
        <f>IFERROR(SUMIFS(T_SelfStock[Self_Qty],T_SelfStock[RM_Code],$A1413,T_SelfStock[WeekIndex],71),"")</f>
        <v/>
      </c>
      <c r="BX1436">
        <f>IFERROR(SUMIFS(T_SelfStock[Self_Qty],T_SelfStock[RM_Code],$A1413,T_SelfStock[WeekIndex],72),"")</f>
        <v/>
      </c>
      <c r="BY1436">
        <f>IFERROR(SUMIFS(T_SelfStock[Self_Qty],T_SelfStock[RM_Code],$A1413,T_SelfStock[WeekIndex],73),"")</f>
        <v/>
      </c>
      <c r="BZ1436">
        <f>IFERROR(SUMIFS(T_SelfStock[Self_Qty],T_SelfStock[RM_Code],$A1413,T_SelfStock[WeekIndex],74),"")</f>
        <v/>
      </c>
      <c r="CA1436">
        <f>IFERROR(SUMIFS(T_SelfStock[Self_Qty],T_SelfStock[RM_Code],$A1413,T_SelfStock[WeekIndex],75),"")</f>
        <v/>
      </c>
      <c r="CB1436">
        <f>IFERROR(SUMIFS(T_SelfStock[Self_Qty],T_SelfStock[RM_Code],$A1413,T_SelfStock[WeekIndex],76),"")</f>
        <v/>
      </c>
      <c r="CC1436">
        <f>IFERROR(SUMIFS(T_SelfStock[Self_Qty],T_SelfStock[RM_Code],$A1413,T_SelfStock[WeekIndex],77),"")</f>
        <v/>
      </c>
      <c r="CD1436">
        <f>IFERROR(SUMIFS(T_SelfStock[Self_Qty],T_SelfStock[RM_Code],$A1413,T_SelfStock[WeekIndex],78),"")</f>
        <v/>
      </c>
      <c r="CE1436">
        <f>IFERROR(SUMIFS(T_SelfStock[Self_Qty],T_SelfStock[RM_Code],$A1413,T_SelfStock[WeekIndex],79),"")</f>
        <v/>
      </c>
      <c r="CF1436">
        <f>IFERROR(SUMIFS(T_SelfStock[Self_Qty],T_SelfStock[RM_Code],$A1413,T_SelfStock[WeekIndex],80),"")</f>
        <v/>
      </c>
      <c r="CG1436">
        <f>IFERROR(SUMIFS(T_SelfStock[Self_Qty],T_SelfStock[RM_Code],$A1413,T_SelfStock[WeekIndex],81),"")</f>
        <v/>
      </c>
      <c r="CH1436">
        <f>IFERROR(SUMIFS(T_SelfStock[Self_Qty],T_SelfStock[RM_Code],$A1413,T_SelfStock[WeekIndex],82),"")</f>
        <v/>
      </c>
      <c r="CI1436">
        <f>IFERROR(SUMIFS(T_SelfStock[Self_Qty],T_SelfStock[RM_Code],$A1413,T_SelfStock[WeekIndex],83),"")</f>
        <v/>
      </c>
      <c r="CJ1436">
        <f>IFERROR(SUMIFS(T_SelfStock[Self_Qty],T_SelfStock[RM_Code],$A1413,T_SelfStock[WeekIndex],84),"")</f>
        <v/>
      </c>
      <c r="CK1436">
        <f>IFERROR(SUMIFS(T_SelfStock[Self_Qty],T_SelfStock[RM_Code],$A1413,T_SelfStock[WeekIndex],85),"")</f>
        <v/>
      </c>
      <c r="CL1436">
        <f>IFERROR(SUMIFS(T_SelfStock[Self_Qty],T_SelfStock[RM_Code],$A1413,T_SelfStock[WeekIndex],86),"")</f>
        <v/>
      </c>
      <c r="CM1436">
        <f>IFERROR(SUMIFS(T_SelfStock[Self_Qty],T_SelfStock[RM_Code],$A1413,T_SelfStock[WeekIndex],87),"")</f>
        <v/>
      </c>
      <c r="CN1436">
        <f>IFERROR(SUMIFS(T_SelfStock[Self_Qty],T_SelfStock[RM_Code],$A1413,T_SelfStock[WeekIndex],88),"")</f>
        <v/>
      </c>
      <c r="CO1436">
        <f>IFERROR(SUMIFS(T_SelfStock[Self_Qty],T_SelfStock[RM_Code],$A1413,T_SelfStock[WeekIndex],89),"")</f>
        <v/>
      </c>
      <c r="CP1436">
        <f>IFERROR(SUMIFS(T_SelfStock[Self_Qty],T_SelfStock[RM_Code],$A1413,T_SelfStock[WeekIndex],90),"")</f>
        <v/>
      </c>
      <c r="CQ1436">
        <f>IFERROR(SUMIFS(T_SelfStock[Self_Qty],T_SelfStock[RM_Code],$A1413,T_SelfStock[WeekIndex],91),"")</f>
        <v/>
      </c>
      <c r="CR1436">
        <f>IFERROR(SUMIFS(T_SelfStock[Self_Qty],T_SelfStock[RM_Code],$A1413,T_SelfStock[WeekIndex],92),"")</f>
        <v/>
      </c>
      <c r="CS1436">
        <f>IFERROR(SUMIFS(T_SelfStock[Self_Qty],T_SelfStock[RM_Code],$A1413,T_SelfStock[WeekIndex],93),"")</f>
        <v/>
      </c>
      <c r="CT1436">
        <f>IFERROR(SUMIFS(T_SelfStock[Self_Qty],T_SelfStock[RM_Code],$A1413,T_SelfStock[WeekIndex],94),"")</f>
        <v/>
      </c>
      <c r="CU1436">
        <f>IFERROR(SUMIFS(T_SelfStock[Self_Qty],T_SelfStock[RM_Code],$A1413,T_SelfStock[WeekIndex],95),"")</f>
        <v/>
      </c>
      <c r="CV1436">
        <f>IFERROR(SUMIFS(T_SelfStock[Self_Qty],T_SelfStock[RM_Code],$A1413,T_SelfStock[WeekIndex],96),"")</f>
        <v/>
      </c>
      <c r="CW1436">
        <f>IFERROR(SUMIFS(T_SelfStock[Self_Qty],T_SelfStock[RM_Code],$A1413,T_SelfStock[WeekIndex],97),"")</f>
        <v/>
      </c>
      <c r="CX1436">
        <f>IFERROR(SUMIFS(T_SelfStock[Self_Qty],T_SelfStock[RM_Code],$A1413,T_SelfStock[WeekIndex],98),"")</f>
        <v/>
      </c>
      <c r="CY1436">
        <f>IFERROR(SUMIFS(T_SelfStock[Self_Qty],T_SelfStock[RM_Code],$A1413,T_SelfStock[WeekIndex],99),"")</f>
        <v/>
      </c>
      <c r="CZ1436">
        <f>IFERROR(SUMIFS(T_SelfStock[Self_Qty],T_SelfStock[RM_Code],$A1413,T_SelfStock[WeekIndex],100),"")</f>
        <v/>
      </c>
      <c r="DA1436">
        <f>IFERROR(SUMIFS(T_SelfStock[Self_Qty],T_SelfStock[RM_Code],$A1413,T_SelfStock[WeekIndex],101),"")</f>
        <v/>
      </c>
      <c r="DB1436">
        <f>IFERROR(SUMIFS(T_SelfStock[Self_Qty],T_SelfStock[RM_Code],$A1413,T_SelfStock[WeekIndex],102),"")</f>
        <v/>
      </c>
      <c r="DC1436">
        <f>IFERROR(SUMIFS(T_SelfStock[Self_Qty],T_SelfStock[RM_Code],$A1413,T_SelfStock[WeekIndex],103),"")</f>
        <v/>
      </c>
      <c r="DD1436">
        <f>IFERROR(SUMIFS(T_SelfStock[Self_Qty],T_SelfStock[RM_Code],$A1413,T_SelfStock[WeekIndex],104),"")</f>
        <v/>
      </c>
    </row>
    <row r="1437">
      <c r="B1437" s="4" t="inlineStr">
        <is>
          <t>合計在庫(週末時点,kg)</t>
        </is>
      </c>
      <c r="D1437" s="24">
        <f>IFERROR(INDEX(E1437:DD1437,$F$1),"")</f>
        <v/>
      </c>
      <c r="E1437">
        <f>'Grid_Stock'!B4</f>
        <v/>
      </c>
      <c r="F1437">
        <f>'Grid_Stock'!C4</f>
        <v/>
      </c>
      <c r="G1437">
        <f>'Grid_Stock'!D4</f>
        <v/>
      </c>
      <c r="H1437">
        <f>'Grid_Stock'!E4</f>
        <v/>
      </c>
      <c r="I1437">
        <f>'Grid_Stock'!F4</f>
        <v/>
      </c>
      <c r="J1437">
        <f>'Grid_Stock'!G4</f>
        <v/>
      </c>
      <c r="K1437">
        <f>'Grid_Stock'!H4</f>
        <v/>
      </c>
      <c r="L1437">
        <f>'Grid_Stock'!I4</f>
        <v/>
      </c>
      <c r="M1437">
        <f>'Grid_Stock'!J4</f>
        <v/>
      </c>
      <c r="N1437">
        <f>'Grid_Stock'!K4</f>
        <v/>
      </c>
      <c r="O1437">
        <f>'Grid_Stock'!L4</f>
        <v/>
      </c>
      <c r="P1437">
        <f>'Grid_Stock'!M4</f>
        <v/>
      </c>
      <c r="Q1437">
        <f>'Grid_Stock'!N4</f>
        <v/>
      </c>
      <c r="R1437">
        <f>'Grid_Stock'!O4</f>
        <v/>
      </c>
      <c r="S1437">
        <f>'Grid_Stock'!P4</f>
        <v/>
      </c>
      <c r="T1437">
        <f>'Grid_Stock'!Q4</f>
        <v/>
      </c>
      <c r="U1437">
        <f>'Grid_Stock'!R4</f>
        <v/>
      </c>
      <c r="V1437">
        <f>'Grid_Stock'!S4</f>
        <v/>
      </c>
      <c r="W1437">
        <f>'Grid_Stock'!T4</f>
        <v/>
      </c>
      <c r="X1437">
        <f>'Grid_Stock'!U4</f>
        <v/>
      </c>
      <c r="Y1437">
        <f>'Grid_Stock'!V4</f>
        <v/>
      </c>
      <c r="Z1437">
        <f>'Grid_Stock'!W4</f>
        <v/>
      </c>
      <c r="AA1437">
        <f>'Grid_Stock'!X4</f>
        <v/>
      </c>
      <c r="AB1437">
        <f>'Grid_Stock'!Y4</f>
        <v/>
      </c>
      <c r="AC1437">
        <f>'Grid_Stock'!Z4</f>
        <v/>
      </c>
      <c r="AD1437">
        <f>'Grid_Stock'!AA4</f>
        <v/>
      </c>
      <c r="AE1437">
        <f>'Grid_Stock'!AB4</f>
        <v/>
      </c>
      <c r="AF1437">
        <f>'Grid_Stock'!AC4</f>
        <v/>
      </c>
      <c r="AG1437">
        <f>'Grid_Stock'!AD4</f>
        <v/>
      </c>
      <c r="AH1437">
        <f>'Grid_Stock'!AE4</f>
        <v/>
      </c>
      <c r="AI1437">
        <f>'Grid_Stock'!AF4</f>
        <v/>
      </c>
      <c r="AJ1437">
        <f>'Grid_Stock'!AG4</f>
        <v/>
      </c>
      <c r="AK1437">
        <f>'Grid_Stock'!AH4</f>
        <v/>
      </c>
      <c r="AL1437">
        <f>'Grid_Stock'!AI4</f>
        <v/>
      </c>
      <c r="AM1437">
        <f>'Grid_Stock'!AJ4</f>
        <v/>
      </c>
      <c r="AN1437">
        <f>'Grid_Stock'!AK4</f>
        <v/>
      </c>
      <c r="AO1437">
        <f>'Grid_Stock'!AL4</f>
        <v/>
      </c>
      <c r="AP1437">
        <f>'Grid_Stock'!AM4</f>
        <v/>
      </c>
      <c r="AQ1437">
        <f>'Grid_Stock'!AN4</f>
        <v/>
      </c>
      <c r="AR1437">
        <f>'Grid_Stock'!AO4</f>
        <v/>
      </c>
      <c r="AS1437">
        <f>'Grid_Stock'!AP4</f>
        <v/>
      </c>
      <c r="AT1437">
        <f>'Grid_Stock'!AQ4</f>
        <v/>
      </c>
      <c r="AU1437">
        <f>'Grid_Stock'!AR4</f>
        <v/>
      </c>
      <c r="AV1437">
        <f>'Grid_Stock'!AS4</f>
        <v/>
      </c>
      <c r="AW1437">
        <f>'Grid_Stock'!AT4</f>
        <v/>
      </c>
      <c r="AX1437">
        <f>'Grid_Stock'!AU4</f>
        <v/>
      </c>
      <c r="AY1437">
        <f>'Grid_Stock'!AV4</f>
        <v/>
      </c>
      <c r="AZ1437">
        <f>'Grid_Stock'!AW4</f>
        <v/>
      </c>
      <c r="BA1437">
        <f>'Grid_Stock'!AX4</f>
        <v/>
      </c>
      <c r="BB1437">
        <f>'Grid_Stock'!AY4</f>
        <v/>
      </c>
      <c r="BC1437">
        <f>'Grid_Stock'!AZ4</f>
        <v/>
      </c>
      <c r="BD1437">
        <f>'Grid_Stock'!BA4</f>
        <v/>
      </c>
      <c r="BE1437">
        <f>'Grid_Stock'!BB4</f>
        <v/>
      </c>
      <c r="BF1437">
        <f>'Grid_Stock'!BC4</f>
        <v/>
      </c>
      <c r="BG1437">
        <f>'Grid_Stock'!BD4</f>
        <v/>
      </c>
      <c r="BH1437">
        <f>'Grid_Stock'!BE4</f>
        <v/>
      </c>
      <c r="BI1437">
        <f>'Grid_Stock'!BF4</f>
        <v/>
      </c>
      <c r="BJ1437">
        <f>'Grid_Stock'!BG4</f>
        <v/>
      </c>
      <c r="BK1437">
        <f>'Grid_Stock'!BH4</f>
        <v/>
      </c>
      <c r="BL1437">
        <f>'Grid_Stock'!BI4</f>
        <v/>
      </c>
      <c r="BM1437">
        <f>'Grid_Stock'!BJ4</f>
        <v/>
      </c>
      <c r="BN1437">
        <f>'Grid_Stock'!BK4</f>
        <v/>
      </c>
      <c r="BO1437">
        <f>'Grid_Stock'!BL4</f>
        <v/>
      </c>
      <c r="BP1437">
        <f>'Grid_Stock'!BM4</f>
        <v/>
      </c>
      <c r="BQ1437">
        <f>'Grid_Stock'!BN4</f>
        <v/>
      </c>
      <c r="BR1437">
        <f>'Grid_Stock'!BO4</f>
        <v/>
      </c>
      <c r="BS1437">
        <f>'Grid_Stock'!BP4</f>
        <v/>
      </c>
      <c r="BT1437">
        <f>'Grid_Stock'!BQ4</f>
        <v/>
      </c>
      <c r="BU1437">
        <f>'Grid_Stock'!BR4</f>
        <v/>
      </c>
      <c r="BV1437">
        <f>'Grid_Stock'!BS4</f>
        <v/>
      </c>
      <c r="BW1437">
        <f>'Grid_Stock'!BT4</f>
        <v/>
      </c>
      <c r="BX1437">
        <f>'Grid_Stock'!BU4</f>
        <v/>
      </c>
      <c r="BY1437">
        <f>'Grid_Stock'!BV4</f>
        <v/>
      </c>
      <c r="BZ1437">
        <f>'Grid_Stock'!BW4</f>
        <v/>
      </c>
      <c r="CA1437">
        <f>'Grid_Stock'!BX4</f>
        <v/>
      </c>
      <c r="CB1437">
        <f>'Grid_Stock'!BY4</f>
        <v/>
      </c>
      <c r="CC1437">
        <f>'Grid_Stock'!BZ4</f>
        <v/>
      </c>
      <c r="CD1437">
        <f>'Grid_Stock'!CA4</f>
        <v/>
      </c>
      <c r="CE1437">
        <f>'Grid_Stock'!CB4</f>
        <v/>
      </c>
      <c r="CF1437">
        <f>'Grid_Stock'!CC4</f>
        <v/>
      </c>
      <c r="CG1437">
        <f>'Grid_Stock'!CD4</f>
        <v/>
      </c>
      <c r="CH1437">
        <f>'Grid_Stock'!CE4</f>
        <v/>
      </c>
      <c r="CI1437">
        <f>'Grid_Stock'!CF4</f>
        <v/>
      </c>
      <c r="CJ1437">
        <f>'Grid_Stock'!CG4</f>
        <v/>
      </c>
      <c r="CK1437">
        <f>'Grid_Stock'!CH4</f>
        <v/>
      </c>
      <c r="CL1437">
        <f>'Grid_Stock'!CI4</f>
        <v/>
      </c>
      <c r="CM1437">
        <f>'Grid_Stock'!CJ4</f>
        <v/>
      </c>
      <c r="CN1437">
        <f>'Grid_Stock'!CK4</f>
        <v/>
      </c>
      <c r="CO1437">
        <f>'Grid_Stock'!CL4</f>
        <v/>
      </c>
      <c r="CP1437">
        <f>'Grid_Stock'!CM4</f>
        <v/>
      </c>
      <c r="CQ1437">
        <f>'Grid_Stock'!CN4</f>
        <v/>
      </c>
      <c r="CR1437">
        <f>'Grid_Stock'!CO4</f>
        <v/>
      </c>
      <c r="CS1437">
        <f>'Grid_Stock'!CP4</f>
        <v/>
      </c>
      <c r="CT1437">
        <f>'Grid_Stock'!CQ4</f>
        <v/>
      </c>
      <c r="CU1437">
        <f>'Grid_Stock'!CR4</f>
        <v/>
      </c>
      <c r="CV1437">
        <f>'Grid_Stock'!CS4</f>
        <v/>
      </c>
      <c r="CW1437">
        <f>'Grid_Stock'!CT4</f>
        <v/>
      </c>
      <c r="CX1437">
        <f>'Grid_Stock'!CU4</f>
        <v/>
      </c>
      <c r="CY1437">
        <f>'Grid_Stock'!CV4</f>
        <v/>
      </c>
      <c r="CZ1437">
        <f>'Grid_Stock'!CW4</f>
        <v/>
      </c>
      <c r="DA1437">
        <f>'Grid_Stock'!CX4</f>
        <v/>
      </c>
      <c r="DB1437">
        <f>'Grid_Stock'!CY4</f>
        <v/>
      </c>
      <c r="DC1437">
        <f>'Grid_Stock'!CZ4</f>
        <v/>
      </c>
      <c r="DD1437">
        <f>'Grid_Stock'!DA4</f>
        <v/>
      </c>
    </row>
    <row r="1438">
      <c r="B1438" s="25" t="inlineStr">
        <is>
          <t>（発注の目安はDashboardの基準在庫[下限/上限]と色分けを参照）</t>
        </is>
      </c>
    </row>
    <row r="1440">
      <c r="A1440" s="21" t="inlineStr">
        <is>
          <t>CHEM-1780</t>
        </is>
      </c>
      <c r="B1440" s="21" t="inlineStr">
        <is>
          <t>Diamonium Citrate</t>
        </is>
      </c>
      <c r="C1440" s="22" t="n"/>
      <c r="D1440" s="21" t="n"/>
      <c r="E1440" s="21" t="n"/>
      <c r="F1440" s="21" t="n"/>
      <c r="G1440" s="21" t="n"/>
      <c r="H1440" s="21" t="n"/>
      <c r="I1440" s="21" t="n"/>
      <c r="J1440" s="21" t="n"/>
      <c r="K1440" s="21" t="n"/>
      <c r="L1440" s="21" t="n"/>
      <c r="M1440" s="21" t="n"/>
      <c r="N1440" s="21" t="n"/>
      <c r="O1440" s="21" t="n"/>
      <c r="P1440" s="21" t="n"/>
      <c r="Q1440" s="21" t="n"/>
      <c r="R1440" s="21" t="n"/>
      <c r="S1440" s="21" t="n"/>
      <c r="T1440" s="21" t="n"/>
      <c r="U1440" s="21" t="n"/>
      <c r="V1440" s="21" t="n"/>
      <c r="W1440" s="21" t="n"/>
      <c r="X1440" s="21" t="n"/>
      <c r="Y1440" s="21" t="n"/>
      <c r="Z1440" s="21" t="n"/>
      <c r="AA1440" s="21" t="n"/>
      <c r="AB1440" s="21" t="n"/>
      <c r="AC1440" s="21" t="n"/>
      <c r="AD1440" s="21" t="n"/>
      <c r="AE1440" s="21" t="n"/>
      <c r="AF1440" s="21" t="n"/>
      <c r="AG1440" s="21" t="n"/>
      <c r="AH1440" s="21" t="n"/>
      <c r="AI1440" s="21" t="n"/>
      <c r="AJ1440" s="21" t="n"/>
      <c r="AK1440" s="21" t="n"/>
      <c r="AL1440" s="21" t="n"/>
      <c r="AM1440" s="21" t="n"/>
      <c r="AN1440" s="21" t="n"/>
      <c r="AO1440" s="21" t="n"/>
      <c r="AP1440" s="21" t="n"/>
      <c r="AQ1440" s="21" t="n"/>
      <c r="AR1440" s="21" t="n"/>
      <c r="AS1440" s="21" t="n"/>
      <c r="AT1440" s="21" t="n"/>
      <c r="AU1440" s="21" t="n"/>
      <c r="AV1440" s="21" t="n"/>
      <c r="AW1440" s="21" t="n"/>
      <c r="AX1440" s="21" t="n"/>
      <c r="AY1440" s="21" t="n"/>
      <c r="AZ1440" s="21" t="n"/>
      <c r="BA1440" s="21" t="n"/>
      <c r="BB1440" s="21" t="n"/>
      <c r="BC1440" s="21" t="n"/>
      <c r="BD1440" s="21" t="n"/>
      <c r="BE1440" s="21" t="n"/>
      <c r="BF1440" s="21" t="n"/>
      <c r="BG1440" s="21" t="n"/>
      <c r="BH1440" s="21" t="n"/>
      <c r="BI1440" s="21" t="n"/>
      <c r="BJ1440" s="21" t="n"/>
      <c r="BK1440" s="21" t="n"/>
      <c r="BL1440" s="21" t="n"/>
      <c r="BM1440" s="21" t="n"/>
      <c r="BN1440" s="21" t="n"/>
      <c r="BO1440" s="21" t="n"/>
      <c r="BP1440" s="21" t="n"/>
      <c r="BQ1440" s="21" t="n"/>
      <c r="BR1440" s="21" t="n"/>
      <c r="BS1440" s="21" t="n"/>
      <c r="BT1440" s="21" t="n"/>
      <c r="BU1440" s="21" t="n"/>
      <c r="BV1440" s="21" t="n"/>
      <c r="BW1440" s="21" t="n"/>
      <c r="BX1440" s="21" t="n"/>
      <c r="BY1440" s="21" t="n"/>
      <c r="BZ1440" s="21" t="n"/>
      <c r="CA1440" s="21" t="n"/>
      <c r="CB1440" s="21" t="n"/>
      <c r="CC1440" s="21" t="n"/>
      <c r="CD1440" s="21" t="n"/>
      <c r="CE1440" s="21" t="n"/>
      <c r="CF1440" s="21" t="n"/>
      <c r="CG1440" s="21" t="n"/>
      <c r="CH1440" s="21" t="n"/>
      <c r="CI1440" s="21" t="n"/>
      <c r="CJ1440" s="21" t="n"/>
      <c r="CK1440" s="21" t="n"/>
      <c r="CL1440" s="21" t="n"/>
      <c r="CM1440" s="21" t="n"/>
      <c r="CN1440" s="21" t="n"/>
      <c r="CO1440" s="21" t="n"/>
      <c r="CP1440" s="21" t="n"/>
      <c r="CQ1440" s="21" t="n"/>
      <c r="CR1440" s="21" t="n"/>
      <c r="CS1440" s="21" t="n"/>
      <c r="CT1440" s="21" t="n"/>
      <c r="CU1440" s="21" t="n"/>
      <c r="CV1440" s="21" t="n"/>
      <c r="CW1440" s="21" t="n"/>
      <c r="CX1440" s="21" t="n"/>
      <c r="CY1440" s="21" t="n"/>
      <c r="CZ1440" s="21" t="n"/>
      <c r="DA1440" s="21" t="n"/>
      <c r="DB1440" s="21" t="n"/>
      <c r="DC1440" s="21" t="n"/>
      <c r="DD1440" s="21" t="n"/>
    </row>
    <row r="1441">
      <c r="B1441" t="inlineStr">
        <is>
          <t>TSP-903</t>
        </is>
      </c>
      <c r="C1441" t="inlineStr">
        <is>
          <t>No. of batches</t>
        </is>
      </c>
      <c r="D1441">
        <f>IFERROR(INDEX(E1441:DD1441,$F$1),"")</f>
        <v/>
      </c>
      <c r="E1441">
        <f>IFERROR(INDEX(PP_Grid[#Data],$DE1441,2),0)</f>
        <v/>
      </c>
      <c r="F1441">
        <f>IFERROR(INDEX(PP_Grid[#Data],$DE1441,3),0)</f>
        <v/>
      </c>
      <c r="G1441">
        <f>IFERROR(INDEX(PP_Grid[#Data],$DE1441,4),0)</f>
        <v/>
      </c>
      <c r="H1441">
        <f>IFERROR(INDEX(PP_Grid[#Data],$DE1441,5),0)</f>
        <v/>
      </c>
      <c r="I1441">
        <f>IFERROR(INDEX(PP_Grid[#Data],$DE1441,6),0)</f>
        <v/>
      </c>
      <c r="J1441">
        <f>IFERROR(INDEX(PP_Grid[#Data],$DE1441,7),0)</f>
        <v/>
      </c>
      <c r="K1441">
        <f>IFERROR(INDEX(PP_Grid[#Data],$DE1441,8),0)</f>
        <v/>
      </c>
      <c r="L1441">
        <f>IFERROR(INDEX(PP_Grid[#Data],$DE1441,9),0)</f>
        <v/>
      </c>
      <c r="M1441">
        <f>IFERROR(INDEX(PP_Grid[#Data],$DE1441,10),0)</f>
        <v/>
      </c>
      <c r="N1441">
        <f>IFERROR(INDEX(PP_Grid[#Data],$DE1441,11),0)</f>
        <v/>
      </c>
      <c r="O1441">
        <f>IFERROR(INDEX(PP_Grid[#Data],$DE1441,12),0)</f>
        <v/>
      </c>
      <c r="P1441">
        <f>IFERROR(INDEX(PP_Grid[#Data],$DE1441,13),0)</f>
        <v/>
      </c>
      <c r="Q1441">
        <f>IFERROR(INDEX(PP_Grid[#Data],$DE1441,14),0)</f>
        <v/>
      </c>
      <c r="R1441">
        <f>IFERROR(INDEX(PP_Grid[#Data],$DE1441,15),0)</f>
        <v/>
      </c>
      <c r="S1441">
        <f>IFERROR(INDEX(PP_Grid[#Data],$DE1441,16),0)</f>
        <v/>
      </c>
      <c r="T1441">
        <f>IFERROR(INDEX(PP_Grid[#Data],$DE1441,17),0)</f>
        <v/>
      </c>
      <c r="U1441">
        <f>IFERROR(INDEX(PP_Grid[#Data],$DE1441,18),0)</f>
        <v/>
      </c>
      <c r="V1441">
        <f>IFERROR(INDEX(PP_Grid[#Data],$DE1441,19),0)</f>
        <v/>
      </c>
      <c r="W1441">
        <f>IFERROR(INDEX(PP_Grid[#Data],$DE1441,20),0)</f>
        <v/>
      </c>
      <c r="X1441">
        <f>IFERROR(INDEX(PP_Grid[#Data],$DE1441,21),0)</f>
        <v/>
      </c>
      <c r="Y1441">
        <f>IFERROR(INDEX(PP_Grid[#Data],$DE1441,22),0)</f>
        <v/>
      </c>
      <c r="Z1441">
        <f>IFERROR(INDEX(PP_Grid[#Data],$DE1441,23),0)</f>
        <v/>
      </c>
      <c r="AA1441">
        <f>IFERROR(INDEX(PP_Grid[#Data],$DE1441,24),0)</f>
        <v/>
      </c>
      <c r="AB1441">
        <f>IFERROR(INDEX(PP_Grid[#Data],$DE1441,25),0)</f>
        <v/>
      </c>
      <c r="AC1441">
        <f>IFERROR(INDEX(PP_Grid[#Data],$DE1441,26),0)</f>
        <v/>
      </c>
      <c r="AD1441">
        <f>IFERROR(INDEX(PP_Grid[#Data],$DE1441,27),0)</f>
        <v/>
      </c>
      <c r="AE1441">
        <f>IFERROR(INDEX(PP_Grid[#Data],$DE1441,28),0)</f>
        <v/>
      </c>
      <c r="AF1441">
        <f>IFERROR(INDEX(PP_Grid[#Data],$DE1441,29),0)</f>
        <v/>
      </c>
      <c r="AG1441">
        <f>IFERROR(INDEX(PP_Grid[#Data],$DE1441,30),0)</f>
        <v/>
      </c>
      <c r="AH1441">
        <f>IFERROR(INDEX(PP_Grid[#Data],$DE1441,31),0)</f>
        <v/>
      </c>
      <c r="AI1441">
        <f>IFERROR(INDEX(PP_Grid[#Data],$DE1441,32),0)</f>
        <v/>
      </c>
      <c r="AJ1441">
        <f>IFERROR(INDEX(PP_Grid[#Data],$DE1441,33),0)</f>
        <v/>
      </c>
      <c r="AK1441">
        <f>IFERROR(INDEX(PP_Grid[#Data],$DE1441,34),0)</f>
        <v/>
      </c>
      <c r="AL1441">
        <f>IFERROR(INDEX(PP_Grid[#Data],$DE1441,35),0)</f>
        <v/>
      </c>
      <c r="AM1441">
        <f>IFERROR(INDEX(PP_Grid[#Data],$DE1441,36),0)</f>
        <v/>
      </c>
      <c r="AN1441">
        <f>IFERROR(INDEX(PP_Grid[#Data],$DE1441,37),0)</f>
        <v/>
      </c>
      <c r="AO1441">
        <f>IFERROR(INDEX(PP_Grid[#Data],$DE1441,38),0)</f>
        <v/>
      </c>
      <c r="AP1441">
        <f>IFERROR(INDEX(PP_Grid[#Data],$DE1441,39),0)</f>
        <v/>
      </c>
      <c r="AQ1441">
        <f>IFERROR(INDEX(PP_Grid[#Data],$DE1441,40),0)</f>
        <v/>
      </c>
      <c r="AR1441">
        <f>IFERROR(INDEX(PP_Grid[#Data],$DE1441,41),0)</f>
        <v/>
      </c>
      <c r="AS1441">
        <f>IFERROR(INDEX(PP_Grid[#Data],$DE1441,42),0)</f>
        <v/>
      </c>
      <c r="AT1441">
        <f>IFERROR(INDEX(PP_Grid[#Data],$DE1441,43),0)</f>
        <v/>
      </c>
      <c r="AU1441">
        <f>IFERROR(INDEX(PP_Grid[#Data],$DE1441,44),0)</f>
        <v/>
      </c>
      <c r="AV1441">
        <f>IFERROR(INDEX(PP_Grid[#Data],$DE1441,45),0)</f>
        <v/>
      </c>
      <c r="AW1441">
        <f>IFERROR(INDEX(PP_Grid[#Data],$DE1441,46),0)</f>
        <v/>
      </c>
      <c r="AX1441">
        <f>IFERROR(INDEX(PP_Grid[#Data],$DE1441,47),0)</f>
        <v/>
      </c>
      <c r="AY1441">
        <f>IFERROR(INDEX(PP_Grid[#Data],$DE1441,48),0)</f>
        <v/>
      </c>
      <c r="AZ1441">
        <f>IFERROR(INDEX(PP_Grid[#Data],$DE1441,49),0)</f>
        <v/>
      </c>
      <c r="BA1441">
        <f>IFERROR(INDEX(PP_Grid[#Data],$DE1441,50),0)</f>
        <v/>
      </c>
      <c r="BB1441">
        <f>IFERROR(INDEX(PP_Grid[#Data],$DE1441,51),0)</f>
        <v/>
      </c>
      <c r="BC1441">
        <f>IFERROR(INDEX(PP_Grid[#Data],$DE1441,52),0)</f>
        <v/>
      </c>
      <c r="BD1441">
        <f>IFERROR(INDEX(PP_Grid[#Data],$DE1441,53),0)</f>
        <v/>
      </c>
      <c r="BE1441">
        <f>IFERROR(INDEX(PP_Grid[#Data],$DE1441,54),0)</f>
        <v/>
      </c>
      <c r="BF1441">
        <f>IFERROR(INDEX(PP_Grid[#Data],$DE1441,55),0)</f>
        <v/>
      </c>
      <c r="BG1441">
        <f>IFERROR(INDEX(PP_Grid[#Data],$DE1441,56),0)</f>
        <v/>
      </c>
      <c r="BH1441">
        <f>IFERROR(INDEX(PP_Grid[#Data],$DE1441,57),0)</f>
        <v/>
      </c>
      <c r="BI1441">
        <f>IFERROR(INDEX(PP_Grid[#Data],$DE1441,58),0)</f>
        <v/>
      </c>
      <c r="BJ1441">
        <f>IFERROR(INDEX(PP_Grid[#Data],$DE1441,59),0)</f>
        <v/>
      </c>
      <c r="BK1441">
        <f>IFERROR(INDEX(PP_Grid[#Data],$DE1441,60),0)</f>
        <v/>
      </c>
      <c r="BL1441">
        <f>IFERROR(INDEX(PP_Grid[#Data],$DE1441,61),0)</f>
        <v/>
      </c>
      <c r="BM1441">
        <f>IFERROR(INDEX(PP_Grid[#Data],$DE1441,62),0)</f>
        <v/>
      </c>
      <c r="BN1441">
        <f>IFERROR(INDEX(PP_Grid[#Data],$DE1441,63),0)</f>
        <v/>
      </c>
      <c r="BO1441">
        <f>IFERROR(INDEX(PP_Grid[#Data],$DE1441,64),0)</f>
        <v/>
      </c>
      <c r="BP1441">
        <f>IFERROR(INDEX(PP_Grid[#Data],$DE1441,65),0)</f>
        <v/>
      </c>
      <c r="BQ1441">
        <f>IFERROR(INDEX(PP_Grid[#Data],$DE1441,66),0)</f>
        <v/>
      </c>
      <c r="BR1441">
        <f>IFERROR(INDEX(PP_Grid[#Data],$DE1441,67),0)</f>
        <v/>
      </c>
      <c r="BS1441">
        <f>IFERROR(INDEX(PP_Grid[#Data],$DE1441,68),0)</f>
        <v/>
      </c>
      <c r="BT1441">
        <f>IFERROR(INDEX(PP_Grid[#Data],$DE1441,69),0)</f>
        <v/>
      </c>
      <c r="BU1441">
        <f>IFERROR(INDEX(PP_Grid[#Data],$DE1441,70),0)</f>
        <v/>
      </c>
      <c r="BV1441">
        <f>IFERROR(INDEX(PP_Grid[#Data],$DE1441,71),0)</f>
        <v/>
      </c>
      <c r="BW1441">
        <f>IFERROR(INDEX(PP_Grid[#Data],$DE1441,72),0)</f>
        <v/>
      </c>
      <c r="BX1441">
        <f>IFERROR(INDEX(PP_Grid[#Data],$DE1441,73),0)</f>
        <v/>
      </c>
      <c r="BY1441">
        <f>IFERROR(INDEX(PP_Grid[#Data],$DE1441,74),0)</f>
        <v/>
      </c>
      <c r="BZ1441">
        <f>IFERROR(INDEX(PP_Grid[#Data],$DE1441,75),0)</f>
        <v/>
      </c>
      <c r="CA1441">
        <f>IFERROR(INDEX(PP_Grid[#Data],$DE1441,76),0)</f>
        <v/>
      </c>
      <c r="CB1441">
        <f>IFERROR(INDEX(PP_Grid[#Data],$DE1441,77),0)</f>
        <v/>
      </c>
      <c r="CC1441">
        <f>IFERROR(INDEX(PP_Grid[#Data],$DE1441,78),0)</f>
        <v/>
      </c>
      <c r="CD1441">
        <f>IFERROR(INDEX(PP_Grid[#Data],$DE1441,79),0)</f>
        <v/>
      </c>
      <c r="CE1441">
        <f>IFERROR(INDEX(PP_Grid[#Data],$DE1441,80),0)</f>
        <v/>
      </c>
      <c r="CF1441">
        <f>IFERROR(INDEX(PP_Grid[#Data],$DE1441,81),0)</f>
        <v/>
      </c>
      <c r="CG1441">
        <f>IFERROR(INDEX(PP_Grid[#Data],$DE1441,82),0)</f>
        <v/>
      </c>
      <c r="CH1441">
        <f>IFERROR(INDEX(PP_Grid[#Data],$DE1441,83),0)</f>
        <v/>
      </c>
      <c r="CI1441">
        <f>IFERROR(INDEX(PP_Grid[#Data],$DE1441,84),0)</f>
        <v/>
      </c>
      <c r="CJ1441">
        <f>IFERROR(INDEX(PP_Grid[#Data],$DE1441,85),0)</f>
        <v/>
      </c>
      <c r="CK1441">
        <f>IFERROR(INDEX(PP_Grid[#Data],$DE1441,86),0)</f>
        <v/>
      </c>
      <c r="CL1441">
        <f>IFERROR(INDEX(PP_Grid[#Data],$DE1441,87),0)</f>
        <v/>
      </c>
      <c r="CM1441">
        <f>IFERROR(INDEX(PP_Grid[#Data],$DE1441,88),0)</f>
        <v/>
      </c>
      <c r="CN1441">
        <f>IFERROR(INDEX(PP_Grid[#Data],$DE1441,89),0)</f>
        <v/>
      </c>
      <c r="CO1441">
        <f>IFERROR(INDEX(PP_Grid[#Data],$DE1441,90),0)</f>
        <v/>
      </c>
      <c r="CP1441">
        <f>IFERROR(INDEX(PP_Grid[#Data],$DE1441,91),0)</f>
        <v/>
      </c>
      <c r="CQ1441">
        <f>IFERROR(INDEX(PP_Grid[#Data],$DE1441,92),0)</f>
        <v/>
      </c>
      <c r="CR1441">
        <f>IFERROR(INDEX(PP_Grid[#Data],$DE1441,93),0)</f>
        <v/>
      </c>
      <c r="CS1441">
        <f>IFERROR(INDEX(PP_Grid[#Data],$DE1441,94),0)</f>
        <v/>
      </c>
      <c r="CT1441">
        <f>IFERROR(INDEX(PP_Grid[#Data],$DE1441,95),0)</f>
        <v/>
      </c>
      <c r="CU1441">
        <f>IFERROR(INDEX(PP_Grid[#Data],$DE1441,96),0)</f>
        <v/>
      </c>
      <c r="CV1441">
        <f>IFERROR(INDEX(PP_Grid[#Data],$DE1441,97),0)</f>
        <v/>
      </c>
      <c r="CW1441">
        <f>IFERROR(INDEX(PP_Grid[#Data],$DE1441,98),0)</f>
        <v/>
      </c>
      <c r="CX1441">
        <f>IFERROR(INDEX(PP_Grid[#Data],$DE1441,99),0)</f>
        <v/>
      </c>
      <c r="CY1441">
        <f>IFERROR(INDEX(PP_Grid[#Data],$DE1441,100),0)</f>
        <v/>
      </c>
      <c r="CZ1441">
        <f>IFERROR(INDEX(PP_Grid[#Data],$DE1441,101),0)</f>
        <v/>
      </c>
      <c r="DA1441">
        <f>IFERROR(INDEX(PP_Grid[#Data],$DE1441,102),0)</f>
        <v/>
      </c>
      <c r="DB1441">
        <f>IFERROR(INDEX(PP_Grid[#Data],$DE1441,103),0)</f>
        <v/>
      </c>
      <c r="DC1441">
        <f>IFERROR(INDEX(PP_Grid[#Data],$DE1441,104),0)</f>
        <v/>
      </c>
      <c r="DD1441">
        <f>IFERROR(INDEX(PP_Grid[#Data],$DE1441,105),0)</f>
        <v/>
      </c>
      <c r="DE1441" s="7">
        <f>IFERROR(MATCH($B1441,PP_Grid[Intermediate],0),99999)</f>
        <v/>
      </c>
    </row>
    <row r="1442">
      <c r="B1442" t="inlineStr">
        <is>
          <t>使用量(kg)</t>
        </is>
      </c>
      <c r="C1442">
        <f>SUMIFS(M_BOM[RM_Qty_Per_Batch],M_BOM[Intermediate],$B1441,M_BOM[RM_Code],$A1440)</f>
        <v/>
      </c>
      <c r="D1442">
        <f>IFERROR(INDEX(E1442:DD1442,$F$1),"")</f>
        <v/>
      </c>
      <c r="E1442">
        <f>$C1442*E1441</f>
        <v/>
      </c>
      <c r="F1442">
        <f>$C1442*F1441</f>
        <v/>
      </c>
      <c r="G1442">
        <f>$C1442*G1441</f>
        <v/>
      </c>
      <c r="H1442">
        <f>$C1442*H1441</f>
        <v/>
      </c>
      <c r="I1442">
        <f>$C1442*I1441</f>
        <v/>
      </c>
      <c r="J1442">
        <f>$C1442*J1441</f>
        <v/>
      </c>
      <c r="K1442">
        <f>$C1442*K1441</f>
        <v/>
      </c>
      <c r="L1442">
        <f>$C1442*L1441</f>
        <v/>
      </c>
      <c r="M1442">
        <f>$C1442*M1441</f>
        <v/>
      </c>
      <c r="N1442">
        <f>$C1442*N1441</f>
        <v/>
      </c>
      <c r="O1442">
        <f>$C1442*O1441</f>
        <v/>
      </c>
      <c r="P1442">
        <f>$C1442*P1441</f>
        <v/>
      </c>
      <c r="Q1442">
        <f>$C1442*Q1441</f>
        <v/>
      </c>
      <c r="R1442">
        <f>$C1442*R1441</f>
        <v/>
      </c>
      <c r="S1442">
        <f>$C1442*S1441</f>
        <v/>
      </c>
      <c r="T1442">
        <f>$C1442*T1441</f>
        <v/>
      </c>
      <c r="U1442">
        <f>$C1442*U1441</f>
        <v/>
      </c>
      <c r="V1442">
        <f>$C1442*V1441</f>
        <v/>
      </c>
      <c r="W1442">
        <f>$C1442*W1441</f>
        <v/>
      </c>
      <c r="X1442">
        <f>$C1442*X1441</f>
        <v/>
      </c>
      <c r="Y1442">
        <f>$C1442*Y1441</f>
        <v/>
      </c>
      <c r="Z1442">
        <f>$C1442*Z1441</f>
        <v/>
      </c>
      <c r="AA1442">
        <f>$C1442*AA1441</f>
        <v/>
      </c>
      <c r="AB1442">
        <f>$C1442*AB1441</f>
        <v/>
      </c>
      <c r="AC1442">
        <f>$C1442*AC1441</f>
        <v/>
      </c>
      <c r="AD1442">
        <f>$C1442*AD1441</f>
        <v/>
      </c>
      <c r="AE1442">
        <f>$C1442*AE1441</f>
        <v/>
      </c>
      <c r="AF1442">
        <f>$C1442*AF1441</f>
        <v/>
      </c>
      <c r="AG1442">
        <f>$C1442*AG1441</f>
        <v/>
      </c>
      <c r="AH1442">
        <f>$C1442*AH1441</f>
        <v/>
      </c>
      <c r="AI1442">
        <f>$C1442*AI1441</f>
        <v/>
      </c>
      <c r="AJ1442">
        <f>$C1442*AJ1441</f>
        <v/>
      </c>
      <c r="AK1442">
        <f>$C1442*AK1441</f>
        <v/>
      </c>
      <c r="AL1442">
        <f>$C1442*AL1441</f>
        <v/>
      </c>
      <c r="AM1442">
        <f>$C1442*AM1441</f>
        <v/>
      </c>
      <c r="AN1442">
        <f>$C1442*AN1441</f>
        <v/>
      </c>
      <c r="AO1442">
        <f>$C1442*AO1441</f>
        <v/>
      </c>
      <c r="AP1442">
        <f>$C1442*AP1441</f>
        <v/>
      </c>
      <c r="AQ1442">
        <f>$C1442*AQ1441</f>
        <v/>
      </c>
      <c r="AR1442">
        <f>$C1442*AR1441</f>
        <v/>
      </c>
      <c r="AS1442">
        <f>$C1442*AS1441</f>
        <v/>
      </c>
      <c r="AT1442">
        <f>$C1442*AT1441</f>
        <v/>
      </c>
      <c r="AU1442">
        <f>$C1442*AU1441</f>
        <v/>
      </c>
      <c r="AV1442">
        <f>$C1442*AV1441</f>
        <v/>
      </c>
      <c r="AW1442">
        <f>$C1442*AW1441</f>
        <v/>
      </c>
      <c r="AX1442">
        <f>$C1442*AX1441</f>
        <v/>
      </c>
      <c r="AY1442">
        <f>$C1442*AY1441</f>
        <v/>
      </c>
      <c r="AZ1442">
        <f>$C1442*AZ1441</f>
        <v/>
      </c>
      <c r="BA1442">
        <f>$C1442*BA1441</f>
        <v/>
      </c>
      <c r="BB1442">
        <f>$C1442*BB1441</f>
        <v/>
      </c>
      <c r="BC1442">
        <f>$C1442*BC1441</f>
        <v/>
      </c>
      <c r="BD1442">
        <f>$C1442*BD1441</f>
        <v/>
      </c>
      <c r="BE1442">
        <f>$C1442*BE1441</f>
        <v/>
      </c>
      <c r="BF1442">
        <f>$C1442*BF1441</f>
        <v/>
      </c>
      <c r="BG1442">
        <f>$C1442*BG1441</f>
        <v/>
      </c>
      <c r="BH1442">
        <f>$C1442*BH1441</f>
        <v/>
      </c>
      <c r="BI1442">
        <f>$C1442*BI1441</f>
        <v/>
      </c>
      <c r="BJ1442">
        <f>$C1442*BJ1441</f>
        <v/>
      </c>
      <c r="BK1442">
        <f>$C1442*BK1441</f>
        <v/>
      </c>
      <c r="BL1442">
        <f>$C1442*BL1441</f>
        <v/>
      </c>
      <c r="BM1442">
        <f>$C1442*BM1441</f>
        <v/>
      </c>
      <c r="BN1442">
        <f>$C1442*BN1441</f>
        <v/>
      </c>
      <c r="BO1442">
        <f>$C1442*BO1441</f>
        <v/>
      </c>
      <c r="BP1442">
        <f>$C1442*BP1441</f>
        <v/>
      </c>
      <c r="BQ1442">
        <f>$C1442*BQ1441</f>
        <v/>
      </c>
      <c r="BR1442">
        <f>$C1442*BR1441</f>
        <v/>
      </c>
      <c r="BS1442">
        <f>$C1442*BS1441</f>
        <v/>
      </c>
      <c r="BT1442">
        <f>$C1442*BT1441</f>
        <v/>
      </c>
      <c r="BU1442">
        <f>$C1442*BU1441</f>
        <v/>
      </c>
      <c r="BV1442">
        <f>$C1442*BV1441</f>
        <v/>
      </c>
      <c r="BW1442">
        <f>$C1442*BW1441</f>
        <v/>
      </c>
      <c r="BX1442">
        <f>$C1442*BX1441</f>
        <v/>
      </c>
      <c r="BY1442">
        <f>$C1442*BY1441</f>
        <v/>
      </c>
      <c r="BZ1442">
        <f>$C1442*BZ1441</f>
        <v/>
      </c>
      <c r="CA1442">
        <f>$C1442*CA1441</f>
        <v/>
      </c>
      <c r="CB1442">
        <f>$C1442*CB1441</f>
        <v/>
      </c>
      <c r="CC1442">
        <f>$C1442*CC1441</f>
        <v/>
      </c>
      <c r="CD1442">
        <f>$C1442*CD1441</f>
        <v/>
      </c>
      <c r="CE1442">
        <f>$C1442*CE1441</f>
        <v/>
      </c>
      <c r="CF1442">
        <f>$C1442*CF1441</f>
        <v/>
      </c>
      <c r="CG1442">
        <f>$C1442*CG1441</f>
        <v/>
      </c>
      <c r="CH1442">
        <f>$C1442*CH1441</f>
        <v/>
      </c>
      <c r="CI1442">
        <f>$C1442*CI1441</f>
        <v/>
      </c>
      <c r="CJ1442">
        <f>$C1442*CJ1441</f>
        <v/>
      </c>
      <c r="CK1442">
        <f>$C1442*CK1441</f>
        <v/>
      </c>
      <c r="CL1442">
        <f>$C1442*CL1441</f>
        <v/>
      </c>
      <c r="CM1442">
        <f>$C1442*CM1441</f>
        <v/>
      </c>
      <c r="CN1442">
        <f>$C1442*CN1441</f>
        <v/>
      </c>
      <c r="CO1442">
        <f>$C1442*CO1441</f>
        <v/>
      </c>
      <c r="CP1442">
        <f>$C1442*CP1441</f>
        <v/>
      </c>
      <c r="CQ1442">
        <f>$C1442*CQ1441</f>
        <v/>
      </c>
      <c r="CR1442">
        <f>$C1442*CR1441</f>
        <v/>
      </c>
      <c r="CS1442">
        <f>$C1442*CS1441</f>
        <v/>
      </c>
      <c r="CT1442">
        <f>$C1442*CT1441</f>
        <v/>
      </c>
      <c r="CU1442">
        <f>$C1442*CU1441</f>
        <v/>
      </c>
      <c r="CV1442">
        <f>$C1442*CV1441</f>
        <v/>
      </c>
      <c r="CW1442">
        <f>$C1442*CW1441</f>
        <v/>
      </c>
      <c r="CX1442">
        <f>$C1442*CX1441</f>
        <v/>
      </c>
      <c r="CY1442">
        <f>$C1442*CY1441</f>
        <v/>
      </c>
      <c r="CZ1442">
        <f>$C1442*CZ1441</f>
        <v/>
      </c>
      <c r="DA1442">
        <f>$C1442*DA1441</f>
        <v/>
      </c>
      <c r="DB1442">
        <f>$C1442*DB1441</f>
        <v/>
      </c>
      <c r="DC1442">
        <f>$C1442*DC1441</f>
        <v/>
      </c>
      <c r="DD1442">
        <f>$C1442*DD1441</f>
        <v/>
      </c>
    </row>
    <row r="1443">
      <c r="B1443" t="inlineStr">
        <is>
          <t>TSP-1499</t>
        </is>
      </c>
      <c r="C1443" t="inlineStr">
        <is>
          <t>No. of batches</t>
        </is>
      </c>
      <c r="D1443">
        <f>IFERROR(INDEX(E1443:DD1443,$F$1),"")</f>
        <v/>
      </c>
      <c r="E1443">
        <f>IFERROR(INDEX(PP_Grid[#Data],$DE1443,2),0)</f>
        <v/>
      </c>
      <c r="F1443">
        <f>IFERROR(INDEX(PP_Grid[#Data],$DE1443,3),0)</f>
        <v/>
      </c>
      <c r="G1443">
        <f>IFERROR(INDEX(PP_Grid[#Data],$DE1443,4),0)</f>
        <v/>
      </c>
      <c r="H1443">
        <f>IFERROR(INDEX(PP_Grid[#Data],$DE1443,5),0)</f>
        <v/>
      </c>
      <c r="I1443">
        <f>IFERROR(INDEX(PP_Grid[#Data],$DE1443,6),0)</f>
        <v/>
      </c>
      <c r="J1443">
        <f>IFERROR(INDEX(PP_Grid[#Data],$DE1443,7),0)</f>
        <v/>
      </c>
      <c r="K1443">
        <f>IFERROR(INDEX(PP_Grid[#Data],$DE1443,8),0)</f>
        <v/>
      </c>
      <c r="L1443">
        <f>IFERROR(INDEX(PP_Grid[#Data],$DE1443,9),0)</f>
        <v/>
      </c>
      <c r="M1443">
        <f>IFERROR(INDEX(PP_Grid[#Data],$DE1443,10),0)</f>
        <v/>
      </c>
      <c r="N1443">
        <f>IFERROR(INDEX(PP_Grid[#Data],$DE1443,11),0)</f>
        <v/>
      </c>
      <c r="O1443">
        <f>IFERROR(INDEX(PP_Grid[#Data],$DE1443,12),0)</f>
        <v/>
      </c>
      <c r="P1443">
        <f>IFERROR(INDEX(PP_Grid[#Data],$DE1443,13),0)</f>
        <v/>
      </c>
      <c r="Q1443">
        <f>IFERROR(INDEX(PP_Grid[#Data],$DE1443,14),0)</f>
        <v/>
      </c>
      <c r="R1443">
        <f>IFERROR(INDEX(PP_Grid[#Data],$DE1443,15),0)</f>
        <v/>
      </c>
      <c r="S1443">
        <f>IFERROR(INDEX(PP_Grid[#Data],$DE1443,16),0)</f>
        <v/>
      </c>
      <c r="T1443">
        <f>IFERROR(INDEX(PP_Grid[#Data],$DE1443,17),0)</f>
        <v/>
      </c>
      <c r="U1443">
        <f>IFERROR(INDEX(PP_Grid[#Data],$DE1443,18),0)</f>
        <v/>
      </c>
      <c r="V1443">
        <f>IFERROR(INDEX(PP_Grid[#Data],$DE1443,19),0)</f>
        <v/>
      </c>
      <c r="W1443">
        <f>IFERROR(INDEX(PP_Grid[#Data],$DE1443,20),0)</f>
        <v/>
      </c>
      <c r="X1443">
        <f>IFERROR(INDEX(PP_Grid[#Data],$DE1443,21),0)</f>
        <v/>
      </c>
      <c r="Y1443">
        <f>IFERROR(INDEX(PP_Grid[#Data],$DE1443,22),0)</f>
        <v/>
      </c>
      <c r="Z1443">
        <f>IFERROR(INDEX(PP_Grid[#Data],$DE1443,23),0)</f>
        <v/>
      </c>
      <c r="AA1443">
        <f>IFERROR(INDEX(PP_Grid[#Data],$DE1443,24),0)</f>
        <v/>
      </c>
      <c r="AB1443">
        <f>IFERROR(INDEX(PP_Grid[#Data],$DE1443,25),0)</f>
        <v/>
      </c>
      <c r="AC1443">
        <f>IFERROR(INDEX(PP_Grid[#Data],$DE1443,26),0)</f>
        <v/>
      </c>
      <c r="AD1443">
        <f>IFERROR(INDEX(PP_Grid[#Data],$DE1443,27),0)</f>
        <v/>
      </c>
      <c r="AE1443">
        <f>IFERROR(INDEX(PP_Grid[#Data],$DE1443,28),0)</f>
        <v/>
      </c>
      <c r="AF1443">
        <f>IFERROR(INDEX(PP_Grid[#Data],$DE1443,29),0)</f>
        <v/>
      </c>
      <c r="AG1443">
        <f>IFERROR(INDEX(PP_Grid[#Data],$DE1443,30),0)</f>
        <v/>
      </c>
      <c r="AH1443">
        <f>IFERROR(INDEX(PP_Grid[#Data],$DE1443,31),0)</f>
        <v/>
      </c>
      <c r="AI1443">
        <f>IFERROR(INDEX(PP_Grid[#Data],$DE1443,32),0)</f>
        <v/>
      </c>
      <c r="AJ1443">
        <f>IFERROR(INDEX(PP_Grid[#Data],$DE1443,33),0)</f>
        <v/>
      </c>
      <c r="AK1443">
        <f>IFERROR(INDEX(PP_Grid[#Data],$DE1443,34),0)</f>
        <v/>
      </c>
      <c r="AL1443">
        <f>IFERROR(INDEX(PP_Grid[#Data],$DE1443,35),0)</f>
        <v/>
      </c>
      <c r="AM1443">
        <f>IFERROR(INDEX(PP_Grid[#Data],$DE1443,36),0)</f>
        <v/>
      </c>
      <c r="AN1443">
        <f>IFERROR(INDEX(PP_Grid[#Data],$DE1443,37),0)</f>
        <v/>
      </c>
      <c r="AO1443">
        <f>IFERROR(INDEX(PP_Grid[#Data],$DE1443,38),0)</f>
        <v/>
      </c>
      <c r="AP1443">
        <f>IFERROR(INDEX(PP_Grid[#Data],$DE1443,39),0)</f>
        <v/>
      </c>
      <c r="AQ1443">
        <f>IFERROR(INDEX(PP_Grid[#Data],$DE1443,40),0)</f>
        <v/>
      </c>
      <c r="AR1443">
        <f>IFERROR(INDEX(PP_Grid[#Data],$DE1443,41),0)</f>
        <v/>
      </c>
      <c r="AS1443">
        <f>IFERROR(INDEX(PP_Grid[#Data],$DE1443,42),0)</f>
        <v/>
      </c>
      <c r="AT1443">
        <f>IFERROR(INDEX(PP_Grid[#Data],$DE1443,43),0)</f>
        <v/>
      </c>
      <c r="AU1443">
        <f>IFERROR(INDEX(PP_Grid[#Data],$DE1443,44),0)</f>
        <v/>
      </c>
      <c r="AV1443">
        <f>IFERROR(INDEX(PP_Grid[#Data],$DE1443,45),0)</f>
        <v/>
      </c>
      <c r="AW1443">
        <f>IFERROR(INDEX(PP_Grid[#Data],$DE1443,46),0)</f>
        <v/>
      </c>
      <c r="AX1443">
        <f>IFERROR(INDEX(PP_Grid[#Data],$DE1443,47),0)</f>
        <v/>
      </c>
      <c r="AY1443">
        <f>IFERROR(INDEX(PP_Grid[#Data],$DE1443,48),0)</f>
        <v/>
      </c>
      <c r="AZ1443">
        <f>IFERROR(INDEX(PP_Grid[#Data],$DE1443,49),0)</f>
        <v/>
      </c>
      <c r="BA1443">
        <f>IFERROR(INDEX(PP_Grid[#Data],$DE1443,50),0)</f>
        <v/>
      </c>
      <c r="BB1443">
        <f>IFERROR(INDEX(PP_Grid[#Data],$DE1443,51),0)</f>
        <v/>
      </c>
      <c r="BC1443">
        <f>IFERROR(INDEX(PP_Grid[#Data],$DE1443,52),0)</f>
        <v/>
      </c>
      <c r="BD1443">
        <f>IFERROR(INDEX(PP_Grid[#Data],$DE1443,53),0)</f>
        <v/>
      </c>
      <c r="BE1443">
        <f>IFERROR(INDEX(PP_Grid[#Data],$DE1443,54),0)</f>
        <v/>
      </c>
      <c r="BF1443">
        <f>IFERROR(INDEX(PP_Grid[#Data],$DE1443,55),0)</f>
        <v/>
      </c>
      <c r="BG1443">
        <f>IFERROR(INDEX(PP_Grid[#Data],$DE1443,56),0)</f>
        <v/>
      </c>
      <c r="BH1443">
        <f>IFERROR(INDEX(PP_Grid[#Data],$DE1443,57),0)</f>
        <v/>
      </c>
      <c r="BI1443">
        <f>IFERROR(INDEX(PP_Grid[#Data],$DE1443,58),0)</f>
        <v/>
      </c>
      <c r="BJ1443">
        <f>IFERROR(INDEX(PP_Grid[#Data],$DE1443,59),0)</f>
        <v/>
      </c>
      <c r="BK1443">
        <f>IFERROR(INDEX(PP_Grid[#Data],$DE1443,60),0)</f>
        <v/>
      </c>
      <c r="BL1443">
        <f>IFERROR(INDEX(PP_Grid[#Data],$DE1443,61),0)</f>
        <v/>
      </c>
      <c r="BM1443">
        <f>IFERROR(INDEX(PP_Grid[#Data],$DE1443,62),0)</f>
        <v/>
      </c>
      <c r="BN1443">
        <f>IFERROR(INDEX(PP_Grid[#Data],$DE1443,63),0)</f>
        <v/>
      </c>
      <c r="BO1443">
        <f>IFERROR(INDEX(PP_Grid[#Data],$DE1443,64),0)</f>
        <v/>
      </c>
      <c r="BP1443">
        <f>IFERROR(INDEX(PP_Grid[#Data],$DE1443,65),0)</f>
        <v/>
      </c>
      <c r="BQ1443">
        <f>IFERROR(INDEX(PP_Grid[#Data],$DE1443,66),0)</f>
        <v/>
      </c>
      <c r="BR1443">
        <f>IFERROR(INDEX(PP_Grid[#Data],$DE1443,67),0)</f>
        <v/>
      </c>
      <c r="BS1443">
        <f>IFERROR(INDEX(PP_Grid[#Data],$DE1443,68),0)</f>
        <v/>
      </c>
      <c r="BT1443">
        <f>IFERROR(INDEX(PP_Grid[#Data],$DE1443,69),0)</f>
        <v/>
      </c>
      <c r="BU1443">
        <f>IFERROR(INDEX(PP_Grid[#Data],$DE1443,70),0)</f>
        <v/>
      </c>
      <c r="BV1443">
        <f>IFERROR(INDEX(PP_Grid[#Data],$DE1443,71),0)</f>
        <v/>
      </c>
      <c r="BW1443">
        <f>IFERROR(INDEX(PP_Grid[#Data],$DE1443,72),0)</f>
        <v/>
      </c>
      <c r="BX1443">
        <f>IFERROR(INDEX(PP_Grid[#Data],$DE1443,73),0)</f>
        <v/>
      </c>
      <c r="BY1443">
        <f>IFERROR(INDEX(PP_Grid[#Data],$DE1443,74),0)</f>
        <v/>
      </c>
      <c r="BZ1443">
        <f>IFERROR(INDEX(PP_Grid[#Data],$DE1443,75),0)</f>
        <v/>
      </c>
      <c r="CA1443">
        <f>IFERROR(INDEX(PP_Grid[#Data],$DE1443,76),0)</f>
        <v/>
      </c>
      <c r="CB1443">
        <f>IFERROR(INDEX(PP_Grid[#Data],$DE1443,77),0)</f>
        <v/>
      </c>
      <c r="CC1443">
        <f>IFERROR(INDEX(PP_Grid[#Data],$DE1443,78),0)</f>
        <v/>
      </c>
      <c r="CD1443">
        <f>IFERROR(INDEX(PP_Grid[#Data],$DE1443,79),0)</f>
        <v/>
      </c>
      <c r="CE1443">
        <f>IFERROR(INDEX(PP_Grid[#Data],$DE1443,80),0)</f>
        <v/>
      </c>
      <c r="CF1443">
        <f>IFERROR(INDEX(PP_Grid[#Data],$DE1443,81),0)</f>
        <v/>
      </c>
      <c r="CG1443">
        <f>IFERROR(INDEX(PP_Grid[#Data],$DE1443,82),0)</f>
        <v/>
      </c>
      <c r="CH1443">
        <f>IFERROR(INDEX(PP_Grid[#Data],$DE1443,83),0)</f>
        <v/>
      </c>
      <c r="CI1443">
        <f>IFERROR(INDEX(PP_Grid[#Data],$DE1443,84),0)</f>
        <v/>
      </c>
      <c r="CJ1443">
        <f>IFERROR(INDEX(PP_Grid[#Data],$DE1443,85),0)</f>
        <v/>
      </c>
      <c r="CK1443">
        <f>IFERROR(INDEX(PP_Grid[#Data],$DE1443,86),0)</f>
        <v/>
      </c>
      <c r="CL1443">
        <f>IFERROR(INDEX(PP_Grid[#Data],$DE1443,87),0)</f>
        <v/>
      </c>
      <c r="CM1443">
        <f>IFERROR(INDEX(PP_Grid[#Data],$DE1443,88),0)</f>
        <v/>
      </c>
      <c r="CN1443">
        <f>IFERROR(INDEX(PP_Grid[#Data],$DE1443,89),0)</f>
        <v/>
      </c>
      <c r="CO1443">
        <f>IFERROR(INDEX(PP_Grid[#Data],$DE1443,90),0)</f>
        <v/>
      </c>
      <c r="CP1443">
        <f>IFERROR(INDEX(PP_Grid[#Data],$DE1443,91),0)</f>
        <v/>
      </c>
      <c r="CQ1443">
        <f>IFERROR(INDEX(PP_Grid[#Data],$DE1443,92),0)</f>
        <v/>
      </c>
      <c r="CR1443">
        <f>IFERROR(INDEX(PP_Grid[#Data],$DE1443,93),0)</f>
        <v/>
      </c>
      <c r="CS1443">
        <f>IFERROR(INDEX(PP_Grid[#Data],$DE1443,94),0)</f>
        <v/>
      </c>
      <c r="CT1443">
        <f>IFERROR(INDEX(PP_Grid[#Data],$DE1443,95),0)</f>
        <v/>
      </c>
      <c r="CU1443">
        <f>IFERROR(INDEX(PP_Grid[#Data],$DE1443,96),0)</f>
        <v/>
      </c>
      <c r="CV1443">
        <f>IFERROR(INDEX(PP_Grid[#Data],$DE1443,97),0)</f>
        <v/>
      </c>
      <c r="CW1443">
        <f>IFERROR(INDEX(PP_Grid[#Data],$DE1443,98),0)</f>
        <v/>
      </c>
      <c r="CX1443">
        <f>IFERROR(INDEX(PP_Grid[#Data],$DE1443,99),0)</f>
        <v/>
      </c>
      <c r="CY1443">
        <f>IFERROR(INDEX(PP_Grid[#Data],$DE1443,100),0)</f>
        <v/>
      </c>
      <c r="CZ1443">
        <f>IFERROR(INDEX(PP_Grid[#Data],$DE1443,101),0)</f>
        <v/>
      </c>
      <c r="DA1443">
        <f>IFERROR(INDEX(PP_Grid[#Data],$DE1443,102),0)</f>
        <v/>
      </c>
      <c r="DB1443">
        <f>IFERROR(INDEX(PP_Grid[#Data],$DE1443,103),0)</f>
        <v/>
      </c>
      <c r="DC1443">
        <f>IFERROR(INDEX(PP_Grid[#Data],$DE1443,104),0)</f>
        <v/>
      </c>
      <c r="DD1443">
        <f>IFERROR(INDEX(PP_Grid[#Data],$DE1443,105),0)</f>
        <v/>
      </c>
      <c r="DE1443" s="7">
        <f>IFERROR(MATCH($B1443,PP_Grid[Intermediate],0),99999)</f>
        <v/>
      </c>
    </row>
    <row r="1444">
      <c r="B1444" t="inlineStr">
        <is>
          <t>使用量(kg)</t>
        </is>
      </c>
      <c r="C1444">
        <f>SUMIFS(M_BOM[RM_Qty_Per_Batch],M_BOM[Intermediate],$B1443,M_BOM[RM_Code],$A1440)</f>
        <v/>
      </c>
      <c r="D1444">
        <f>IFERROR(INDEX(E1444:DD1444,$F$1),"")</f>
        <v/>
      </c>
      <c r="E1444">
        <f>$C1444*E1443</f>
        <v/>
      </c>
      <c r="F1444">
        <f>$C1444*F1443</f>
        <v/>
      </c>
      <c r="G1444">
        <f>$C1444*G1443</f>
        <v/>
      </c>
      <c r="H1444">
        <f>$C1444*H1443</f>
        <v/>
      </c>
      <c r="I1444">
        <f>$C1444*I1443</f>
        <v/>
      </c>
      <c r="J1444">
        <f>$C1444*J1443</f>
        <v/>
      </c>
      <c r="K1444">
        <f>$C1444*K1443</f>
        <v/>
      </c>
      <c r="L1444">
        <f>$C1444*L1443</f>
        <v/>
      </c>
      <c r="M1444">
        <f>$C1444*M1443</f>
        <v/>
      </c>
      <c r="N1444">
        <f>$C1444*N1443</f>
        <v/>
      </c>
      <c r="O1444">
        <f>$C1444*O1443</f>
        <v/>
      </c>
      <c r="P1444">
        <f>$C1444*P1443</f>
        <v/>
      </c>
      <c r="Q1444">
        <f>$C1444*Q1443</f>
        <v/>
      </c>
      <c r="R1444">
        <f>$C1444*R1443</f>
        <v/>
      </c>
      <c r="S1444">
        <f>$C1444*S1443</f>
        <v/>
      </c>
      <c r="T1444">
        <f>$C1444*T1443</f>
        <v/>
      </c>
      <c r="U1444">
        <f>$C1444*U1443</f>
        <v/>
      </c>
      <c r="V1444">
        <f>$C1444*V1443</f>
        <v/>
      </c>
      <c r="W1444">
        <f>$C1444*W1443</f>
        <v/>
      </c>
      <c r="X1444">
        <f>$C1444*X1443</f>
        <v/>
      </c>
      <c r="Y1444">
        <f>$C1444*Y1443</f>
        <v/>
      </c>
      <c r="Z1444">
        <f>$C1444*Z1443</f>
        <v/>
      </c>
      <c r="AA1444">
        <f>$C1444*AA1443</f>
        <v/>
      </c>
      <c r="AB1444">
        <f>$C1444*AB1443</f>
        <v/>
      </c>
      <c r="AC1444">
        <f>$C1444*AC1443</f>
        <v/>
      </c>
      <c r="AD1444">
        <f>$C1444*AD1443</f>
        <v/>
      </c>
      <c r="AE1444">
        <f>$C1444*AE1443</f>
        <v/>
      </c>
      <c r="AF1444">
        <f>$C1444*AF1443</f>
        <v/>
      </c>
      <c r="AG1444">
        <f>$C1444*AG1443</f>
        <v/>
      </c>
      <c r="AH1444">
        <f>$C1444*AH1443</f>
        <v/>
      </c>
      <c r="AI1444">
        <f>$C1444*AI1443</f>
        <v/>
      </c>
      <c r="AJ1444">
        <f>$C1444*AJ1443</f>
        <v/>
      </c>
      <c r="AK1444">
        <f>$C1444*AK1443</f>
        <v/>
      </c>
      <c r="AL1444">
        <f>$C1444*AL1443</f>
        <v/>
      </c>
      <c r="AM1444">
        <f>$C1444*AM1443</f>
        <v/>
      </c>
      <c r="AN1444">
        <f>$C1444*AN1443</f>
        <v/>
      </c>
      <c r="AO1444">
        <f>$C1444*AO1443</f>
        <v/>
      </c>
      <c r="AP1444">
        <f>$C1444*AP1443</f>
        <v/>
      </c>
      <c r="AQ1444">
        <f>$C1444*AQ1443</f>
        <v/>
      </c>
      <c r="AR1444">
        <f>$C1444*AR1443</f>
        <v/>
      </c>
      <c r="AS1444">
        <f>$C1444*AS1443</f>
        <v/>
      </c>
      <c r="AT1444">
        <f>$C1444*AT1443</f>
        <v/>
      </c>
      <c r="AU1444">
        <f>$C1444*AU1443</f>
        <v/>
      </c>
      <c r="AV1444">
        <f>$C1444*AV1443</f>
        <v/>
      </c>
      <c r="AW1444">
        <f>$C1444*AW1443</f>
        <v/>
      </c>
      <c r="AX1444">
        <f>$C1444*AX1443</f>
        <v/>
      </c>
      <c r="AY1444">
        <f>$C1444*AY1443</f>
        <v/>
      </c>
      <c r="AZ1444">
        <f>$C1444*AZ1443</f>
        <v/>
      </c>
      <c r="BA1444">
        <f>$C1444*BA1443</f>
        <v/>
      </c>
      <c r="BB1444">
        <f>$C1444*BB1443</f>
        <v/>
      </c>
      <c r="BC1444">
        <f>$C1444*BC1443</f>
        <v/>
      </c>
      <c r="BD1444">
        <f>$C1444*BD1443</f>
        <v/>
      </c>
      <c r="BE1444">
        <f>$C1444*BE1443</f>
        <v/>
      </c>
      <c r="BF1444">
        <f>$C1444*BF1443</f>
        <v/>
      </c>
      <c r="BG1444">
        <f>$C1444*BG1443</f>
        <v/>
      </c>
      <c r="BH1444">
        <f>$C1444*BH1443</f>
        <v/>
      </c>
      <c r="BI1444">
        <f>$C1444*BI1443</f>
        <v/>
      </c>
      <c r="BJ1444">
        <f>$C1444*BJ1443</f>
        <v/>
      </c>
      <c r="BK1444">
        <f>$C1444*BK1443</f>
        <v/>
      </c>
      <c r="BL1444">
        <f>$C1444*BL1443</f>
        <v/>
      </c>
      <c r="BM1444">
        <f>$C1444*BM1443</f>
        <v/>
      </c>
      <c r="BN1444">
        <f>$C1444*BN1443</f>
        <v/>
      </c>
      <c r="BO1444">
        <f>$C1444*BO1443</f>
        <v/>
      </c>
      <c r="BP1444">
        <f>$C1444*BP1443</f>
        <v/>
      </c>
      <c r="BQ1444">
        <f>$C1444*BQ1443</f>
        <v/>
      </c>
      <c r="BR1444">
        <f>$C1444*BR1443</f>
        <v/>
      </c>
      <c r="BS1444">
        <f>$C1444*BS1443</f>
        <v/>
      </c>
      <c r="BT1444">
        <f>$C1444*BT1443</f>
        <v/>
      </c>
      <c r="BU1444">
        <f>$C1444*BU1443</f>
        <v/>
      </c>
      <c r="BV1444">
        <f>$C1444*BV1443</f>
        <v/>
      </c>
      <c r="BW1444">
        <f>$C1444*BW1443</f>
        <v/>
      </c>
      <c r="BX1444">
        <f>$C1444*BX1443</f>
        <v/>
      </c>
      <c r="BY1444">
        <f>$C1444*BY1443</f>
        <v/>
      </c>
      <c r="BZ1444">
        <f>$C1444*BZ1443</f>
        <v/>
      </c>
      <c r="CA1444">
        <f>$C1444*CA1443</f>
        <v/>
      </c>
      <c r="CB1444">
        <f>$C1444*CB1443</f>
        <v/>
      </c>
      <c r="CC1444">
        <f>$C1444*CC1443</f>
        <v/>
      </c>
      <c r="CD1444">
        <f>$C1444*CD1443</f>
        <v/>
      </c>
      <c r="CE1444">
        <f>$C1444*CE1443</f>
        <v/>
      </c>
      <c r="CF1444">
        <f>$C1444*CF1443</f>
        <v/>
      </c>
      <c r="CG1444">
        <f>$C1444*CG1443</f>
        <v/>
      </c>
      <c r="CH1444">
        <f>$C1444*CH1443</f>
        <v/>
      </c>
      <c r="CI1444">
        <f>$C1444*CI1443</f>
        <v/>
      </c>
      <c r="CJ1444">
        <f>$C1444*CJ1443</f>
        <v/>
      </c>
      <c r="CK1444">
        <f>$C1444*CK1443</f>
        <v/>
      </c>
      <c r="CL1444">
        <f>$C1444*CL1443</f>
        <v/>
      </c>
      <c r="CM1444">
        <f>$C1444*CM1443</f>
        <v/>
      </c>
      <c r="CN1444">
        <f>$C1444*CN1443</f>
        <v/>
      </c>
      <c r="CO1444">
        <f>$C1444*CO1443</f>
        <v/>
      </c>
      <c r="CP1444">
        <f>$C1444*CP1443</f>
        <v/>
      </c>
      <c r="CQ1444">
        <f>$C1444*CQ1443</f>
        <v/>
      </c>
      <c r="CR1444">
        <f>$C1444*CR1443</f>
        <v/>
      </c>
      <c r="CS1444">
        <f>$C1444*CS1443</f>
        <v/>
      </c>
      <c r="CT1444">
        <f>$C1444*CT1443</f>
        <v/>
      </c>
      <c r="CU1444">
        <f>$C1444*CU1443</f>
        <v/>
      </c>
      <c r="CV1444">
        <f>$C1444*CV1443</f>
        <v/>
      </c>
      <c r="CW1444">
        <f>$C1444*CW1443</f>
        <v/>
      </c>
      <c r="CX1444">
        <f>$C1444*CX1443</f>
        <v/>
      </c>
      <c r="CY1444">
        <f>$C1444*CY1443</f>
        <v/>
      </c>
      <c r="CZ1444">
        <f>$C1444*CZ1443</f>
        <v/>
      </c>
      <c r="DA1444">
        <f>$C1444*DA1443</f>
        <v/>
      </c>
      <c r="DB1444">
        <f>$C1444*DB1443</f>
        <v/>
      </c>
      <c r="DC1444">
        <f>$C1444*DC1443</f>
        <v/>
      </c>
      <c r="DD1444">
        <f>$C1444*DD1443</f>
        <v/>
      </c>
    </row>
    <row r="1445">
      <c r="B1445" s="4" t="inlineStr">
        <is>
          <t>合計使用量(kg)/週</t>
        </is>
      </c>
      <c r="D1445" s="23">
        <f>IFERROR(INDEX(E1445:DD1445,$F$1),"")</f>
        <v/>
      </c>
      <c r="E1445">
        <f>'Grid_Requirement'!B59</f>
        <v/>
      </c>
      <c r="F1445">
        <f>'Grid_Requirement'!C59</f>
        <v/>
      </c>
      <c r="G1445">
        <f>'Grid_Requirement'!D59</f>
        <v/>
      </c>
      <c r="H1445">
        <f>'Grid_Requirement'!E59</f>
        <v/>
      </c>
      <c r="I1445">
        <f>'Grid_Requirement'!F59</f>
        <v/>
      </c>
      <c r="J1445">
        <f>'Grid_Requirement'!G59</f>
        <v/>
      </c>
      <c r="K1445">
        <f>'Grid_Requirement'!H59</f>
        <v/>
      </c>
      <c r="L1445">
        <f>'Grid_Requirement'!I59</f>
        <v/>
      </c>
      <c r="M1445">
        <f>'Grid_Requirement'!J59</f>
        <v/>
      </c>
      <c r="N1445">
        <f>'Grid_Requirement'!K59</f>
        <v/>
      </c>
      <c r="O1445">
        <f>'Grid_Requirement'!L59</f>
        <v/>
      </c>
      <c r="P1445">
        <f>'Grid_Requirement'!M59</f>
        <v/>
      </c>
      <c r="Q1445">
        <f>'Grid_Requirement'!N59</f>
        <v/>
      </c>
      <c r="R1445">
        <f>'Grid_Requirement'!O59</f>
        <v/>
      </c>
      <c r="S1445">
        <f>'Grid_Requirement'!P59</f>
        <v/>
      </c>
      <c r="T1445">
        <f>'Grid_Requirement'!Q59</f>
        <v/>
      </c>
      <c r="U1445">
        <f>'Grid_Requirement'!R59</f>
        <v/>
      </c>
      <c r="V1445">
        <f>'Grid_Requirement'!S59</f>
        <v/>
      </c>
      <c r="W1445">
        <f>'Grid_Requirement'!T59</f>
        <v/>
      </c>
      <c r="X1445">
        <f>'Grid_Requirement'!U59</f>
        <v/>
      </c>
      <c r="Y1445">
        <f>'Grid_Requirement'!V59</f>
        <v/>
      </c>
      <c r="Z1445">
        <f>'Grid_Requirement'!W59</f>
        <v/>
      </c>
      <c r="AA1445">
        <f>'Grid_Requirement'!X59</f>
        <v/>
      </c>
      <c r="AB1445">
        <f>'Grid_Requirement'!Y59</f>
        <v/>
      </c>
      <c r="AC1445">
        <f>'Grid_Requirement'!Z59</f>
        <v/>
      </c>
      <c r="AD1445">
        <f>'Grid_Requirement'!AA59</f>
        <v/>
      </c>
      <c r="AE1445">
        <f>'Grid_Requirement'!AB59</f>
        <v/>
      </c>
      <c r="AF1445">
        <f>'Grid_Requirement'!AC59</f>
        <v/>
      </c>
      <c r="AG1445">
        <f>'Grid_Requirement'!AD59</f>
        <v/>
      </c>
      <c r="AH1445">
        <f>'Grid_Requirement'!AE59</f>
        <v/>
      </c>
      <c r="AI1445">
        <f>'Grid_Requirement'!AF59</f>
        <v/>
      </c>
      <c r="AJ1445">
        <f>'Grid_Requirement'!AG59</f>
        <v/>
      </c>
      <c r="AK1445">
        <f>'Grid_Requirement'!AH59</f>
        <v/>
      </c>
      <c r="AL1445">
        <f>'Grid_Requirement'!AI59</f>
        <v/>
      </c>
      <c r="AM1445">
        <f>'Grid_Requirement'!AJ59</f>
        <v/>
      </c>
      <c r="AN1445">
        <f>'Grid_Requirement'!AK59</f>
        <v/>
      </c>
      <c r="AO1445">
        <f>'Grid_Requirement'!AL59</f>
        <v/>
      </c>
      <c r="AP1445">
        <f>'Grid_Requirement'!AM59</f>
        <v/>
      </c>
      <c r="AQ1445">
        <f>'Grid_Requirement'!AN59</f>
        <v/>
      </c>
      <c r="AR1445">
        <f>'Grid_Requirement'!AO59</f>
        <v/>
      </c>
      <c r="AS1445">
        <f>'Grid_Requirement'!AP59</f>
        <v/>
      </c>
      <c r="AT1445">
        <f>'Grid_Requirement'!AQ59</f>
        <v/>
      </c>
      <c r="AU1445">
        <f>'Grid_Requirement'!AR59</f>
        <v/>
      </c>
      <c r="AV1445">
        <f>'Grid_Requirement'!AS59</f>
        <v/>
      </c>
      <c r="AW1445">
        <f>'Grid_Requirement'!AT59</f>
        <v/>
      </c>
      <c r="AX1445">
        <f>'Grid_Requirement'!AU59</f>
        <v/>
      </c>
      <c r="AY1445">
        <f>'Grid_Requirement'!AV59</f>
        <v/>
      </c>
      <c r="AZ1445">
        <f>'Grid_Requirement'!AW59</f>
        <v/>
      </c>
      <c r="BA1445">
        <f>'Grid_Requirement'!AX59</f>
        <v/>
      </c>
      <c r="BB1445">
        <f>'Grid_Requirement'!AY59</f>
        <v/>
      </c>
      <c r="BC1445">
        <f>'Grid_Requirement'!AZ59</f>
        <v/>
      </c>
      <c r="BD1445">
        <f>'Grid_Requirement'!BA59</f>
        <v/>
      </c>
      <c r="BE1445">
        <f>'Grid_Requirement'!BB59</f>
        <v/>
      </c>
      <c r="BF1445">
        <f>'Grid_Requirement'!BC59</f>
        <v/>
      </c>
      <c r="BG1445">
        <f>'Grid_Requirement'!BD59</f>
        <v/>
      </c>
      <c r="BH1445">
        <f>'Grid_Requirement'!BE59</f>
        <v/>
      </c>
      <c r="BI1445">
        <f>'Grid_Requirement'!BF59</f>
        <v/>
      </c>
      <c r="BJ1445">
        <f>'Grid_Requirement'!BG59</f>
        <v/>
      </c>
      <c r="BK1445">
        <f>'Grid_Requirement'!BH59</f>
        <v/>
      </c>
      <c r="BL1445">
        <f>'Grid_Requirement'!BI59</f>
        <v/>
      </c>
      <c r="BM1445">
        <f>'Grid_Requirement'!BJ59</f>
        <v/>
      </c>
      <c r="BN1445">
        <f>'Grid_Requirement'!BK59</f>
        <v/>
      </c>
      <c r="BO1445">
        <f>'Grid_Requirement'!BL59</f>
        <v/>
      </c>
      <c r="BP1445">
        <f>'Grid_Requirement'!BM59</f>
        <v/>
      </c>
      <c r="BQ1445">
        <f>'Grid_Requirement'!BN59</f>
        <v/>
      </c>
      <c r="BR1445">
        <f>'Grid_Requirement'!BO59</f>
        <v/>
      </c>
      <c r="BS1445">
        <f>'Grid_Requirement'!BP59</f>
        <v/>
      </c>
      <c r="BT1445">
        <f>'Grid_Requirement'!BQ59</f>
        <v/>
      </c>
      <c r="BU1445">
        <f>'Grid_Requirement'!BR59</f>
        <v/>
      </c>
      <c r="BV1445">
        <f>'Grid_Requirement'!BS59</f>
        <v/>
      </c>
      <c r="BW1445">
        <f>'Grid_Requirement'!BT59</f>
        <v/>
      </c>
      <c r="BX1445">
        <f>'Grid_Requirement'!BU59</f>
        <v/>
      </c>
      <c r="BY1445">
        <f>'Grid_Requirement'!BV59</f>
        <v/>
      </c>
      <c r="BZ1445">
        <f>'Grid_Requirement'!BW59</f>
        <v/>
      </c>
      <c r="CA1445">
        <f>'Grid_Requirement'!BX59</f>
        <v/>
      </c>
      <c r="CB1445">
        <f>'Grid_Requirement'!BY59</f>
        <v/>
      </c>
      <c r="CC1445">
        <f>'Grid_Requirement'!BZ59</f>
        <v/>
      </c>
      <c r="CD1445">
        <f>'Grid_Requirement'!CA59</f>
        <v/>
      </c>
      <c r="CE1445">
        <f>'Grid_Requirement'!CB59</f>
        <v/>
      </c>
      <c r="CF1445">
        <f>'Grid_Requirement'!CC59</f>
        <v/>
      </c>
      <c r="CG1445">
        <f>'Grid_Requirement'!CD59</f>
        <v/>
      </c>
      <c r="CH1445">
        <f>'Grid_Requirement'!CE59</f>
        <v/>
      </c>
      <c r="CI1445">
        <f>'Grid_Requirement'!CF59</f>
        <v/>
      </c>
      <c r="CJ1445">
        <f>'Grid_Requirement'!CG59</f>
        <v/>
      </c>
      <c r="CK1445">
        <f>'Grid_Requirement'!CH59</f>
        <v/>
      </c>
      <c r="CL1445">
        <f>'Grid_Requirement'!CI59</f>
        <v/>
      </c>
      <c r="CM1445">
        <f>'Grid_Requirement'!CJ59</f>
        <v/>
      </c>
      <c r="CN1445">
        <f>'Grid_Requirement'!CK59</f>
        <v/>
      </c>
      <c r="CO1445">
        <f>'Grid_Requirement'!CL59</f>
        <v/>
      </c>
      <c r="CP1445">
        <f>'Grid_Requirement'!CM59</f>
        <v/>
      </c>
      <c r="CQ1445">
        <f>'Grid_Requirement'!CN59</f>
        <v/>
      </c>
      <c r="CR1445">
        <f>'Grid_Requirement'!CO59</f>
        <v/>
      </c>
      <c r="CS1445">
        <f>'Grid_Requirement'!CP59</f>
        <v/>
      </c>
      <c r="CT1445">
        <f>'Grid_Requirement'!CQ59</f>
        <v/>
      </c>
      <c r="CU1445">
        <f>'Grid_Requirement'!CR59</f>
        <v/>
      </c>
      <c r="CV1445">
        <f>'Grid_Requirement'!CS59</f>
        <v/>
      </c>
      <c r="CW1445">
        <f>'Grid_Requirement'!CT59</f>
        <v/>
      </c>
      <c r="CX1445">
        <f>'Grid_Requirement'!CU59</f>
        <v/>
      </c>
      <c r="CY1445">
        <f>'Grid_Requirement'!CV59</f>
        <v/>
      </c>
      <c r="CZ1445">
        <f>'Grid_Requirement'!CW59</f>
        <v/>
      </c>
      <c r="DA1445">
        <f>'Grid_Requirement'!CX59</f>
        <v/>
      </c>
      <c r="DB1445">
        <f>'Grid_Requirement'!CY59</f>
        <v/>
      </c>
      <c r="DC1445">
        <f>'Grid_Requirement'!CZ59</f>
        <v/>
      </c>
      <c r="DD1445">
        <f>'Grid_Requirement'!DA59</f>
        <v/>
      </c>
    </row>
    <row r="1446">
      <c r="B1446" t="inlineStr">
        <is>
          <t>TTAF在庫(実績,kg)</t>
        </is>
      </c>
      <c r="D1446">
        <f>IFERROR(INDEX(E1446:DD1446,$F$1),"")</f>
        <v/>
      </c>
      <c r="E1446">
        <f>IFERROR(SUMIFS(T_TTAFStock[TTAF_Qty],T_TTAFStock[RM_Code],$A1440,T_TTAFStock[WeekIndex],1),"")</f>
        <v/>
      </c>
      <c r="F1446">
        <f>IFERROR(SUMIFS(T_TTAFStock[TTAF_Qty],T_TTAFStock[RM_Code],$A1440,T_TTAFStock[WeekIndex],2),"")</f>
        <v/>
      </c>
      <c r="G1446">
        <f>IFERROR(SUMIFS(T_TTAFStock[TTAF_Qty],T_TTAFStock[RM_Code],$A1440,T_TTAFStock[WeekIndex],3),"")</f>
        <v/>
      </c>
      <c r="H1446">
        <f>IFERROR(SUMIFS(T_TTAFStock[TTAF_Qty],T_TTAFStock[RM_Code],$A1440,T_TTAFStock[WeekIndex],4),"")</f>
        <v/>
      </c>
      <c r="I1446">
        <f>IFERROR(SUMIFS(T_TTAFStock[TTAF_Qty],T_TTAFStock[RM_Code],$A1440,T_TTAFStock[WeekIndex],5),"")</f>
        <v/>
      </c>
      <c r="J1446">
        <f>IFERROR(SUMIFS(T_TTAFStock[TTAF_Qty],T_TTAFStock[RM_Code],$A1440,T_TTAFStock[WeekIndex],6),"")</f>
        <v/>
      </c>
      <c r="K1446">
        <f>IFERROR(SUMIFS(T_TTAFStock[TTAF_Qty],T_TTAFStock[RM_Code],$A1440,T_TTAFStock[WeekIndex],7),"")</f>
        <v/>
      </c>
      <c r="L1446">
        <f>IFERROR(SUMIFS(T_TTAFStock[TTAF_Qty],T_TTAFStock[RM_Code],$A1440,T_TTAFStock[WeekIndex],8),"")</f>
        <v/>
      </c>
      <c r="M1446">
        <f>IFERROR(SUMIFS(T_TTAFStock[TTAF_Qty],T_TTAFStock[RM_Code],$A1440,T_TTAFStock[WeekIndex],9),"")</f>
        <v/>
      </c>
      <c r="N1446">
        <f>IFERROR(SUMIFS(T_TTAFStock[TTAF_Qty],T_TTAFStock[RM_Code],$A1440,T_TTAFStock[WeekIndex],10),"")</f>
        <v/>
      </c>
      <c r="O1446">
        <f>IFERROR(SUMIFS(T_TTAFStock[TTAF_Qty],T_TTAFStock[RM_Code],$A1440,T_TTAFStock[WeekIndex],11),"")</f>
        <v/>
      </c>
      <c r="P1446">
        <f>IFERROR(SUMIFS(T_TTAFStock[TTAF_Qty],T_TTAFStock[RM_Code],$A1440,T_TTAFStock[WeekIndex],12),"")</f>
        <v/>
      </c>
      <c r="Q1446">
        <f>IFERROR(SUMIFS(T_TTAFStock[TTAF_Qty],T_TTAFStock[RM_Code],$A1440,T_TTAFStock[WeekIndex],13),"")</f>
        <v/>
      </c>
      <c r="R1446">
        <f>IFERROR(SUMIFS(T_TTAFStock[TTAF_Qty],T_TTAFStock[RM_Code],$A1440,T_TTAFStock[WeekIndex],14),"")</f>
        <v/>
      </c>
      <c r="S1446">
        <f>IFERROR(SUMIFS(T_TTAFStock[TTAF_Qty],T_TTAFStock[RM_Code],$A1440,T_TTAFStock[WeekIndex],15),"")</f>
        <v/>
      </c>
      <c r="T1446">
        <f>IFERROR(SUMIFS(T_TTAFStock[TTAF_Qty],T_TTAFStock[RM_Code],$A1440,T_TTAFStock[WeekIndex],16),"")</f>
        <v/>
      </c>
      <c r="U1446">
        <f>IFERROR(SUMIFS(T_TTAFStock[TTAF_Qty],T_TTAFStock[RM_Code],$A1440,T_TTAFStock[WeekIndex],17),"")</f>
        <v/>
      </c>
      <c r="V1446">
        <f>IFERROR(SUMIFS(T_TTAFStock[TTAF_Qty],T_TTAFStock[RM_Code],$A1440,T_TTAFStock[WeekIndex],18),"")</f>
        <v/>
      </c>
      <c r="W1446">
        <f>IFERROR(SUMIFS(T_TTAFStock[TTAF_Qty],T_TTAFStock[RM_Code],$A1440,T_TTAFStock[WeekIndex],19),"")</f>
        <v/>
      </c>
      <c r="X1446">
        <f>IFERROR(SUMIFS(T_TTAFStock[TTAF_Qty],T_TTAFStock[RM_Code],$A1440,T_TTAFStock[WeekIndex],20),"")</f>
        <v/>
      </c>
      <c r="Y1446">
        <f>IFERROR(SUMIFS(T_TTAFStock[TTAF_Qty],T_TTAFStock[RM_Code],$A1440,T_TTAFStock[WeekIndex],21),"")</f>
        <v/>
      </c>
      <c r="Z1446">
        <f>IFERROR(SUMIFS(T_TTAFStock[TTAF_Qty],T_TTAFStock[RM_Code],$A1440,T_TTAFStock[WeekIndex],22),"")</f>
        <v/>
      </c>
      <c r="AA1446">
        <f>IFERROR(SUMIFS(T_TTAFStock[TTAF_Qty],T_TTAFStock[RM_Code],$A1440,T_TTAFStock[WeekIndex],23),"")</f>
        <v/>
      </c>
      <c r="AB1446">
        <f>IFERROR(SUMIFS(T_TTAFStock[TTAF_Qty],T_TTAFStock[RM_Code],$A1440,T_TTAFStock[WeekIndex],24),"")</f>
        <v/>
      </c>
      <c r="AC1446">
        <f>IFERROR(SUMIFS(T_TTAFStock[TTAF_Qty],T_TTAFStock[RM_Code],$A1440,T_TTAFStock[WeekIndex],25),"")</f>
        <v/>
      </c>
      <c r="AD1446">
        <f>IFERROR(SUMIFS(T_TTAFStock[TTAF_Qty],T_TTAFStock[RM_Code],$A1440,T_TTAFStock[WeekIndex],26),"")</f>
        <v/>
      </c>
      <c r="AE1446">
        <f>IFERROR(SUMIFS(T_TTAFStock[TTAF_Qty],T_TTAFStock[RM_Code],$A1440,T_TTAFStock[WeekIndex],27),"")</f>
        <v/>
      </c>
      <c r="AF1446">
        <f>IFERROR(SUMIFS(T_TTAFStock[TTAF_Qty],T_TTAFStock[RM_Code],$A1440,T_TTAFStock[WeekIndex],28),"")</f>
        <v/>
      </c>
      <c r="AG1446">
        <f>IFERROR(SUMIFS(T_TTAFStock[TTAF_Qty],T_TTAFStock[RM_Code],$A1440,T_TTAFStock[WeekIndex],29),"")</f>
        <v/>
      </c>
      <c r="AH1446">
        <f>IFERROR(SUMIFS(T_TTAFStock[TTAF_Qty],T_TTAFStock[RM_Code],$A1440,T_TTAFStock[WeekIndex],30),"")</f>
        <v/>
      </c>
      <c r="AI1446">
        <f>IFERROR(SUMIFS(T_TTAFStock[TTAF_Qty],T_TTAFStock[RM_Code],$A1440,T_TTAFStock[WeekIndex],31),"")</f>
        <v/>
      </c>
      <c r="AJ1446">
        <f>IFERROR(SUMIFS(T_TTAFStock[TTAF_Qty],T_TTAFStock[RM_Code],$A1440,T_TTAFStock[WeekIndex],32),"")</f>
        <v/>
      </c>
      <c r="AK1446">
        <f>IFERROR(SUMIFS(T_TTAFStock[TTAF_Qty],T_TTAFStock[RM_Code],$A1440,T_TTAFStock[WeekIndex],33),"")</f>
        <v/>
      </c>
      <c r="AL1446">
        <f>IFERROR(SUMIFS(T_TTAFStock[TTAF_Qty],T_TTAFStock[RM_Code],$A1440,T_TTAFStock[WeekIndex],34),"")</f>
        <v/>
      </c>
      <c r="AM1446">
        <f>IFERROR(SUMIFS(T_TTAFStock[TTAF_Qty],T_TTAFStock[RM_Code],$A1440,T_TTAFStock[WeekIndex],35),"")</f>
        <v/>
      </c>
      <c r="AN1446">
        <f>IFERROR(SUMIFS(T_TTAFStock[TTAF_Qty],T_TTAFStock[RM_Code],$A1440,T_TTAFStock[WeekIndex],36),"")</f>
        <v/>
      </c>
      <c r="AO1446">
        <f>IFERROR(SUMIFS(T_TTAFStock[TTAF_Qty],T_TTAFStock[RM_Code],$A1440,T_TTAFStock[WeekIndex],37),"")</f>
        <v/>
      </c>
      <c r="AP1446">
        <f>IFERROR(SUMIFS(T_TTAFStock[TTAF_Qty],T_TTAFStock[RM_Code],$A1440,T_TTAFStock[WeekIndex],38),"")</f>
        <v/>
      </c>
      <c r="AQ1446">
        <f>IFERROR(SUMIFS(T_TTAFStock[TTAF_Qty],T_TTAFStock[RM_Code],$A1440,T_TTAFStock[WeekIndex],39),"")</f>
        <v/>
      </c>
      <c r="AR1446">
        <f>IFERROR(SUMIFS(T_TTAFStock[TTAF_Qty],T_TTAFStock[RM_Code],$A1440,T_TTAFStock[WeekIndex],40),"")</f>
        <v/>
      </c>
      <c r="AS1446">
        <f>IFERROR(SUMIFS(T_TTAFStock[TTAF_Qty],T_TTAFStock[RM_Code],$A1440,T_TTAFStock[WeekIndex],41),"")</f>
        <v/>
      </c>
      <c r="AT1446">
        <f>IFERROR(SUMIFS(T_TTAFStock[TTAF_Qty],T_TTAFStock[RM_Code],$A1440,T_TTAFStock[WeekIndex],42),"")</f>
        <v/>
      </c>
      <c r="AU1446">
        <f>IFERROR(SUMIFS(T_TTAFStock[TTAF_Qty],T_TTAFStock[RM_Code],$A1440,T_TTAFStock[WeekIndex],43),"")</f>
        <v/>
      </c>
      <c r="AV1446">
        <f>IFERROR(SUMIFS(T_TTAFStock[TTAF_Qty],T_TTAFStock[RM_Code],$A1440,T_TTAFStock[WeekIndex],44),"")</f>
        <v/>
      </c>
      <c r="AW1446">
        <f>IFERROR(SUMIFS(T_TTAFStock[TTAF_Qty],T_TTAFStock[RM_Code],$A1440,T_TTAFStock[WeekIndex],45),"")</f>
        <v/>
      </c>
      <c r="AX1446">
        <f>IFERROR(SUMIFS(T_TTAFStock[TTAF_Qty],T_TTAFStock[RM_Code],$A1440,T_TTAFStock[WeekIndex],46),"")</f>
        <v/>
      </c>
      <c r="AY1446">
        <f>IFERROR(SUMIFS(T_TTAFStock[TTAF_Qty],T_TTAFStock[RM_Code],$A1440,T_TTAFStock[WeekIndex],47),"")</f>
        <v/>
      </c>
      <c r="AZ1446">
        <f>IFERROR(SUMIFS(T_TTAFStock[TTAF_Qty],T_TTAFStock[RM_Code],$A1440,T_TTAFStock[WeekIndex],48),"")</f>
        <v/>
      </c>
      <c r="BA1446">
        <f>IFERROR(SUMIFS(T_TTAFStock[TTAF_Qty],T_TTAFStock[RM_Code],$A1440,T_TTAFStock[WeekIndex],49),"")</f>
        <v/>
      </c>
      <c r="BB1446">
        <f>IFERROR(SUMIFS(T_TTAFStock[TTAF_Qty],T_TTAFStock[RM_Code],$A1440,T_TTAFStock[WeekIndex],50),"")</f>
        <v/>
      </c>
      <c r="BC1446">
        <f>IFERROR(SUMIFS(T_TTAFStock[TTAF_Qty],T_TTAFStock[RM_Code],$A1440,T_TTAFStock[WeekIndex],51),"")</f>
        <v/>
      </c>
      <c r="BD1446">
        <f>IFERROR(SUMIFS(T_TTAFStock[TTAF_Qty],T_TTAFStock[RM_Code],$A1440,T_TTAFStock[WeekIndex],52),"")</f>
        <v/>
      </c>
      <c r="BE1446">
        <f>IFERROR(SUMIFS(T_TTAFStock[TTAF_Qty],T_TTAFStock[RM_Code],$A1440,T_TTAFStock[WeekIndex],53),"")</f>
        <v/>
      </c>
      <c r="BF1446">
        <f>IFERROR(SUMIFS(T_TTAFStock[TTAF_Qty],T_TTAFStock[RM_Code],$A1440,T_TTAFStock[WeekIndex],54),"")</f>
        <v/>
      </c>
      <c r="BG1446">
        <f>IFERROR(SUMIFS(T_TTAFStock[TTAF_Qty],T_TTAFStock[RM_Code],$A1440,T_TTAFStock[WeekIndex],55),"")</f>
        <v/>
      </c>
      <c r="BH1446">
        <f>IFERROR(SUMIFS(T_TTAFStock[TTAF_Qty],T_TTAFStock[RM_Code],$A1440,T_TTAFStock[WeekIndex],56),"")</f>
        <v/>
      </c>
      <c r="BI1446">
        <f>IFERROR(SUMIFS(T_TTAFStock[TTAF_Qty],T_TTAFStock[RM_Code],$A1440,T_TTAFStock[WeekIndex],57),"")</f>
        <v/>
      </c>
      <c r="BJ1446">
        <f>IFERROR(SUMIFS(T_TTAFStock[TTAF_Qty],T_TTAFStock[RM_Code],$A1440,T_TTAFStock[WeekIndex],58),"")</f>
        <v/>
      </c>
      <c r="BK1446">
        <f>IFERROR(SUMIFS(T_TTAFStock[TTAF_Qty],T_TTAFStock[RM_Code],$A1440,T_TTAFStock[WeekIndex],59),"")</f>
        <v/>
      </c>
      <c r="BL1446">
        <f>IFERROR(SUMIFS(T_TTAFStock[TTAF_Qty],T_TTAFStock[RM_Code],$A1440,T_TTAFStock[WeekIndex],60),"")</f>
        <v/>
      </c>
      <c r="BM1446">
        <f>IFERROR(SUMIFS(T_TTAFStock[TTAF_Qty],T_TTAFStock[RM_Code],$A1440,T_TTAFStock[WeekIndex],61),"")</f>
        <v/>
      </c>
      <c r="BN1446">
        <f>IFERROR(SUMIFS(T_TTAFStock[TTAF_Qty],T_TTAFStock[RM_Code],$A1440,T_TTAFStock[WeekIndex],62),"")</f>
        <v/>
      </c>
      <c r="BO1446">
        <f>IFERROR(SUMIFS(T_TTAFStock[TTAF_Qty],T_TTAFStock[RM_Code],$A1440,T_TTAFStock[WeekIndex],63),"")</f>
        <v/>
      </c>
      <c r="BP1446">
        <f>IFERROR(SUMIFS(T_TTAFStock[TTAF_Qty],T_TTAFStock[RM_Code],$A1440,T_TTAFStock[WeekIndex],64),"")</f>
        <v/>
      </c>
      <c r="BQ1446">
        <f>IFERROR(SUMIFS(T_TTAFStock[TTAF_Qty],T_TTAFStock[RM_Code],$A1440,T_TTAFStock[WeekIndex],65),"")</f>
        <v/>
      </c>
      <c r="BR1446">
        <f>IFERROR(SUMIFS(T_TTAFStock[TTAF_Qty],T_TTAFStock[RM_Code],$A1440,T_TTAFStock[WeekIndex],66),"")</f>
        <v/>
      </c>
      <c r="BS1446">
        <f>IFERROR(SUMIFS(T_TTAFStock[TTAF_Qty],T_TTAFStock[RM_Code],$A1440,T_TTAFStock[WeekIndex],67),"")</f>
        <v/>
      </c>
      <c r="BT1446">
        <f>IFERROR(SUMIFS(T_TTAFStock[TTAF_Qty],T_TTAFStock[RM_Code],$A1440,T_TTAFStock[WeekIndex],68),"")</f>
        <v/>
      </c>
      <c r="BU1446">
        <f>IFERROR(SUMIFS(T_TTAFStock[TTAF_Qty],T_TTAFStock[RM_Code],$A1440,T_TTAFStock[WeekIndex],69),"")</f>
        <v/>
      </c>
      <c r="BV1446">
        <f>IFERROR(SUMIFS(T_TTAFStock[TTAF_Qty],T_TTAFStock[RM_Code],$A1440,T_TTAFStock[WeekIndex],70),"")</f>
        <v/>
      </c>
      <c r="BW1446">
        <f>IFERROR(SUMIFS(T_TTAFStock[TTAF_Qty],T_TTAFStock[RM_Code],$A1440,T_TTAFStock[WeekIndex],71),"")</f>
        <v/>
      </c>
      <c r="BX1446">
        <f>IFERROR(SUMIFS(T_TTAFStock[TTAF_Qty],T_TTAFStock[RM_Code],$A1440,T_TTAFStock[WeekIndex],72),"")</f>
        <v/>
      </c>
      <c r="BY1446">
        <f>IFERROR(SUMIFS(T_TTAFStock[TTAF_Qty],T_TTAFStock[RM_Code],$A1440,T_TTAFStock[WeekIndex],73),"")</f>
        <v/>
      </c>
      <c r="BZ1446">
        <f>IFERROR(SUMIFS(T_TTAFStock[TTAF_Qty],T_TTAFStock[RM_Code],$A1440,T_TTAFStock[WeekIndex],74),"")</f>
        <v/>
      </c>
      <c r="CA1446">
        <f>IFERROR(SUMIFS(T_TTAFStock[TTAF_Qty],T_TTAFStock[RM_Code],$A1440,T_TTAFStock[WeekIndex],75),"")</f>
        <v/>
      </c>
      <c r="CB1446">
        <f>IFERROR(SUMIFS(T_TTAFStock[TTAF_Qty],T_TTAFStock[RM_Code],$A1440,T_TTAFStock[WeekIndex],76),"")</f>
        <v/>
      </c>
      <c r="CC1446">
        <f>IFERROR(SUMIFS(T_TTAFStock[TTAF_Qty],T_TTAFStock[RM_Code],$A1440,T_TTAFStock[WeekIndex],77),"")</f>
        <v/>
      </c>
      <c r="CD1446">
        <f>IFERROR(SUMIFS(T_TTAFStock[TTAF_Qty],T_TTAFStock[RM_Code],$A1440,T_TTAFStock[WeekIndex],78),"")</f>
        <v/>
      </c>
      <c r="CE1446">
        <f>IFERROR(SUMIFS(T_TTAFStock[TTAF_Qty],T_TTAFStock[RM_Code],$A1440,T_TTAFStock[WeekIndex],79),"")</f>
        <v/>
      </c>
      <c r="CF1446">
        <f>IFERROR(SUMIFS(T_TTAFStock[TTAF_Qty],T_TTAFStock[RM_Code],$A1440,T_TTAFStock[WeekIndex],80),"")</f>
        <v/>
      </c>
      <c r="CG1446">
        <f>IFERROR(SUMIFS(T_TTAFStock[TTAF_Qty],T_TTAFStock[RM_Code],$A1440,T_TTAFStock[WeekIndex],81),"")</f>
        <v/>
      </c>
      <c r="CH1446">
        <f>IFERROR(SUMIFS(T_TTAFStock[TTAF_Qty],T_TTAFStock[RM_Code],$A1440,T_TTAFStock[WeekIndex],82),"")</f>
        <v/>
      </c>
      <c r="CI1446">
        <f>IFERROR(SUMIFS(T_TTAFStock[TTAF_Qty],T_TTAFStock[RM_Code],$A1440,T_TTAFStock[WeekIndex],83),"")</f>
        <v/>
      </c>
      <c r="CJ1446">
        <f>IFERROR(SUMIFS(T_TTAFStock[TTAF_Qty],T_TTAFStock[RM_Code],$A1440,T_TTAFStock[WeekIndex],84),"")</f>
        <v/>
      </c>
      <c r="CK1446">
        <f>IFERROR(SUMIFS(T_TTAFStock[TTAF_Qty],T_TTAFStock[RM_Code],$A1440,T_TTAFStock[WeekIndex],85),"")</f>
        <v/>
      </c>
      <c r="CL1446">
        <f>IFERROR(SUMIFS(T_TTAFStock[TTAF_Qty],T_TTAFStock[RM_Code],$A1440,T_TTAFStock[WeekIndex],86),"")</f>
        <v/>
      </c>
      <c r="CM1446">
        <f>IFERROR(SUMIFS(T_TTAFStock[TTAF_Qty],T_TTAFStock[RM_Code],$A1440,T_TTAFStock[WeekIndex],87),"")</f>
        <v/>
      </c>
      <c r="CN1446">
        <f>IFERROR(SUMIFS(T_TTAFStock[TTAF_Qty],T_TTAFStock[RM_Code],$A1440,T_TTAFStock[WeekIndex],88),"")</f>
        <v/>
      </c>
      <c r="CO1446">
        <f>IFERROR(SUMIFS(T_TTAFStock[TTAF_Qty],T_TTAFStock[RM_Code],$A1440,T_TTAFStock[WeekIndex],89),"")</f>
        <v/>
      </c>
      <c r="CP1446">
        <f>IFERROR(SUMIFS(T_TTAFStock[TTAF_Qty],T_TTAFStock[RM_Code],$A1440,T_TTAFStock[WeekIndex],90),"")</f>
        <v/>
      </c>
      <c r="CQ1446">
        <f>IFERROR(SUMIFS(T_TTAFStock[TTAF_Qty],T_TTAFStock[RM_Code],$A1440,T_TTAFStock[WeekIndex],91),"")</f>
        <v/>
      </c>
      <c r="CR1446">
        <f>IFERROR(SUMIFS(T_TTAFStock[TTAF_Qty],T_TTAFStock[RM_Code],$A1440,T_TTAFStock[WeekIndex],92),"")</f>
        <v/>
      </c>
      <c r="CS1446">
        <f>IFERROR(SUMIFS(T_TTAFStock[TTAF_Qty],T_TTAFStock[RM_Code],$A1440,T_TTAFStock[WeekIndex],93),"")</f>
        <v/>
      </c>
      <c r="CT1446">
        <f>IFERROR(SUMIFS(T_TTAFStock[TTAF_Qty],T_TTAFStock[RM_Code],$A1440,T_TTAFStock[WeekIndex],94),"")</f>
        <v/>
      </c>
      <c r="CU1446">
        <f>IFERROR(SUMIFS(T_TTAFStock[TTAF_Qty],T_TTAFStock[RM_Code],$A1440,T_TTAFStock[WeekIndex],95),"")</f>
        <v/>
      </c>
      <c r="CV1446">
        <f>IFERROR(SUMIFS(T_TTAFStock[TTAF_Qty],T_TTAFStock[RM_Code],$A1440,T_TTAFStock[WeekIndex],96),"")</f>
        <v/>
      </c>
      <c r="CW1446">
        <f>IFERROR(SUMIFS(T_TTAFStock[TTAF_Qty],T_TTAFStock[RM_Code],$A1440,T_TTAFStock[WeekIndex],97),"")</f>
        <v/>
      </c>
      <c r="CX1446">
        <f>IFERROR(SUMIFS(T_TTAFStock[TTAF_Qty],T_TTAFStock[RM_Code],$A1440,T_TTAFStock[WeekIndex],98),"")</f>
        <v/>
      </c>
      <c r="CY1446">
        <f>IFERROR(SUMIFS(T_TTAFStock[TTAF_Qty],T_TTAFStock[RM_Code],$A1440,T_TTAFStock[WeekIndex],99),"")</f>
        <v/>
      </c>
      <c r="CZ1446">
        <f>IFERROR(SUMIFS(T_TTAFStock[TTAF_Qty],T_TTAFStock[RM_Code],$A1440,T_TTAFStock[WeekIndex],100),"")</f>
        <v/>
      </c>
      <c r="DA1446">
        <f>IFERROR(SUMIFS(T_TTAFStock[TTAF_Qty],T_TTAFStock[RM_Code],$A1440,T_TTAFStock[WeekIndex],101),"")</f>
        <v/>
      </c>
      <c r="DB1446">
        <f>IFERROR(SUMIFS(T_TTAFStock[TTAF_Qty],T_TTAFStock[RM_Code],$A1440,T_TTAFStock[WeekIndex],102),"")</f>
        <v/>
      </c>
      <c r="DC1446">
        <f>IFERROR(SUMIFS(T_TTAFStock[TTAF_Qty],T_TTAFStock[RM_Code],$A1440,T_TTAFStock[WeekIndex],103),"")</f>
        <v/>
      </c>
      <c r="DD1446">
        <f>IFERROR(SUMIFS(T_TTAFStock[TTAF_Qty],T_TTAFStock[RM_Code],$A1440,T_TTAFStock[WeekIndex],104),"")</f>
        <v/>
      </c>
    </row>
    <row r="1447">
      <c r="B1447" t="inlineStr">
        <is>
          <t>自社在庫(実績,kg)</t>
        </is>
      </c>
      <c r="D1447">
        <f>IFERROR(INDEX(E1447:DD1447,$F$1),"")</f>
        <v/>
      </c>
      <c r="E1447">
        <f>IFERROR(SUMIFS(T_SelfStock[Self_Qty],T_SelfStock[RM_Code],$A1440,T_SelfStock[WeekIndex],1),"")</f>
        <v/>
      </c>
      <c r="F1447">
        <f>IFERROR(SUMIFS(T_SelfStock[Self_Qty],T_SelfStock[RM_Code],$A1440,T_SelfStock[WeekIndex],2),"")</f>
        <v/>
      </c>
      <c r="G1447">
        <f>IFERROR(SUMIFS(T_SelfStock[Self_Qty],T_SelfStock[RM_Code],$A1440,T_SelfStock[WeekIndex],3),"")</f>
        <v/>
      </c>
      <c r="H1447">
        <f>IFERROR(SUMIFS(T_SelfStock[Self_Qty],T_SelfStock[RM_Code],$A1440,T_SelfStock[WeekIndex],4),"")</f>
        <v/>
      </c>
      <c r="I1447">
        <f>IFERROR(SUMIFS(T_SelfStock[Self_Qty],T_SelfStock[RM_Code],$A1440,T_SelfStock[WeekIndex],5),"")</f>
        <v/>
      </c>
      <c r="J1447">
        <f>IFERROR(SUMIFS(T_SelfStock[Self_Qty],T_SelfStock[RM_Code],$A1440,T_SelfStock[WeekIndex],6),"")</f>
        <v/>
      </c>
      <c r="K1447">
        <f>IFERROR(SUMIFS(T_SelfStock[Self_Qty],T_SelfStock[RM_Code],$A1440,T_SelfStock[WeekIndex],7),"")</f>
        <v/>
      </c>
      <c r="L1447">
        <f>IFERROR(SUMIFS(T_SelfStock[Self_Qty],T_SelfStock[RM_Code],$A1440,T_SelfStock[WeekIndex],8),"")</f>
        <v/>
      </c>
      <c r="M1447">
        <f>IFERROR(SUMIFS(T_SelfStock[Self_Qty],T_SelfStock[RM_Code],$A1440,T_SelfStock[WeekIndex],9),"")</f>
        <v/>
      </c>
      <c r="N1447">
        <f>IFERROR(SUMIFS(T_SelfStock[Self_Qty],T_SelfStock[RM_Code],$A1440,T_SelfStock[WeekIndex],10),"")</f>
        <v/>
      </c>
      <c r="O1447">
        <f>IFERROR(SUMIFS(T_SelfStock[Self_Qty],T_SelfStock[RM_Code],$A1440,T_SelfStock[WeekIndex],11),"")</f>
        <v/>
      </c>
      <c r="P1447">
        <f>IFERROR(SUMIFS(T_SelfStock[Self_Qty],T_SelfStock[RM_Code],$A1440,T_SelfStock[WeekIndex],12),"")</f>
        <v/>
      </c>
      <c r="Q1447">
        <f>IFERROR(SUMIFS(T_SelfStock[Self_Qty],T_SelfStock[RM_Code],$A1440,T_SelfStock[WeekIndex],13),"")</f>
        <v/>
      </c>
      <c r="R1447">
        <f>IFERROR(SUMIFS(T_SelfStock[Self_Qty],T_SelfStock[RM_Code],$A1440,T_SelfStock[WeekIndex],14),"")</f>
        <v/>
      </c>
      <c r="S1447">
        <f>IFERROR(SUMIFS(T_SelfStock[Self_Qty],T_SelfStock[RM_Code],$A1440,T_SelfStock[WeekIndex],15),"")</f>
        <v/>
      </c>
      <c r="T1447">
        <f>IFERROR(SUMIFS(T_SelfStock[Self_Qty],T_SelfStock[RM_Code],$A1440,T_SelfStock[WeekIndex],16),"")</f>
        <v/>
      </c>
      <c r="U1447">
        <f>IFERROR(SUMIFS(T_SelfStock[Self_Qty],T_SelfStock[RM_Code],$A1440,T_SelfStock[WeekIndex],17),"")</f>
        <v/>
      </c>
      <c r="V1447">
        <f>IFERROR(SUMIFS(T_SelfStock[Self_Qty],T_SelfStock[RM_Code],$A1440,T_SelfStock[WeekIndex],18),"")</f>
        <v/>
      </c>
      <c r="W1447">
        <f>IFERROR(SUMIFS(T_SelfStock[Self_Qty],T_SelfStock[RM_Code],$A1440,T_SelfStock[WeekIndex],19),"")</f>
        <v/>
      </c>
      <c r="X1447">
        <f>IFERROR(SUMIFS(T_SelfStock[Self_Qty],T_SelfStock[RM_Code],$A1440,T_SelfStock[WeekIndex],20),"")</f>
        <v/>
      </c>
      <c r="Y1447">
        <f>IFERROR(SUMIFS(T_SelfStock[Self_Qty],T_SelfStock[RM_Code],$A1440,T_SelfStock[WeekIndex],21),"")</f>
        <v/>
      </c>
      <c r="Z1447">
        <f>IFERROR(SUMIFS(T_SelfStock[Self_Qty],T_SelfStock[RM_Code],$A1440,T_SelfStock[WeekIndex],22),"")</f>
        <v/>
      </c>
      <c r="AA1447">
        <f>IFERROR(SUMIFS(T_SelfStock[Self_Qty],T_SelfStock[RM_Code],$A1440,T_SelfStock[WeekIndex],23),"")</f>
        <v/>
      </c>
      <c r="AB1447">
        <f>IFERROR(SUMIFS(T_SelfStock[Self_Qty],T_SelfStock[RM_Code],$A1440,T_SelfStock[WeekIndex],24),"")</f>
        <v/>
      </c>
      <c r="AC1447">
        <f>IFERROR(SUMIFS(T_SelfStock[Self_Qty],T_SelfStock[RM_Code],$A1440,T_SelfStock[WeekIndex],25),"")</f>
        <v/>
      </c>
      <c r="AD1447">
        <f>IFERROR(SUMIFS(T_SelfStock[Self_Qty],T_SelfStock[RM_Code],$A1440,T_SelfStock[WeekIndex],26),"")</f>
        <v/>
      </c>
      <c r="AE1447">
        <f>IFERROR(SUMIFS(T_SelfStock[Self_Qty],T_SelfStock[RM_Code],$A1440,T_SelfStock[WeekIndex],27),"")</f>
        <v/>
      </c>
      <c r="AF1447">
        <f>IFERROR(SUMIFS(T_SelfStock[Self_Qty],T_SelfStock[RM_Code],$A1440,T_SelfStock[WeekIndex],28),"")</f>
        <v/>
      </c>
      <c r="AG1447">
        <f>IFERROR(SUMIFS(T_SelfStock[Self_Qty],T_SelfStock[RM_Code],$A1440,T_SelfStock[WeekIndex],29),"")</f>
        <v/>
      </c>
      <c r="AH1447">
        <f>IFERROR(SUMIFS(T_SelfStock[Self_Qty],T_SelfStock[RM_Code],$A1440,T_SelfStock[WeekIndex],30),"")</f>
        <v/>
      </c>
      <c r="AI1447">
        <f>IFERROR(SUMIFS(T_SelfStock[Self_Qty],T_SelfStock[RM_Code],$A1440,T_SelfStock[WeekIndex],31),"")</f>
        <v/>
      </c>
      <c r="AJ1447">
        <f>IFERROR(SUMIFS(T_SelfStock[Self_Qty],T_SelfStock[RM_Code],$A1440,T_SelfStock[WeekIndex],32),"")</f>
        <v/>
      </c>
      <c r="AK1447">
        <f>IFERROR(SUMIFS(T_SelfStock[Self_Qty],T_SelfStock[RM_Code],$A1440,T_SelfStock[WeekIndex],33),"")</f>
        <v/>
      </c>
      <c r="AL1447">
        <f>IFERROR(SUMIFS(T_SelfStock[Self_Qty],T_SelfStock[RM_Code],$A1440,T_SelfStock[WeekIndex],34),"")</f>
        <v/>
      </c>
      <c r="AM1447">
        <f>IFERROR(SUMIFS(T_SelfStock[Self_Qty],T_SelfStock[RM_Code],$A1440,T_SelfStock[WeekIndex],35),"")</f>
        <v/>
      </c>
      <c r="AN1447">
        <f>IFERROR(SUMIFS(T_SelfStock[Self_Qty],T_SelfStock[RM_Code],$A1440,T_SelfStock[WeekIndex],36),"")</f>
        <v/>
      </c>
      <c r="AO1447">
        <f>IFERROR(SUMIFS(T_SelfStock[Self_Qty],T_SelfStock[RM_Code],$A1440,T_SelfStock[WeekIndex],37),"")</f>
        <v/>
      </c>
      <c r="AP1447">
        <f>IFERROR(SUMIFS(T_SelfStock[Self_Qty],T_SelfStock[RM_Code],$A1440,T_SelfStock[WeekIndex],38),"")</f>
        <v/>
      </c>
      <c r="AQ1447">
        <f>IFERROR(SUMIFS(T_SelfStock[Self_Qty],T_SelfStock[RM_Code],$A1440,T_SelfStock[WeekIndex],39),"")</f>
        <v/>
      </c>
      <c r="AR1447">
        <f>IFERROR(SUMIFS(T_SelfStock[Self_Qty],T_SelfStock[RM_Code],$A1440,T_SelfStock[WeekIndex],40),"")</f>
        <v/>
      </c>
      <c r="AS1447">
        <f>IFERROR(SUMIFS(T_SelfStock[Self_Qty],T_SelfStock[RM_Code],$A1440,T_SelfStock[WeekIndex],41),"")</f>
        <v/>
      </c>
      <c r="AT1447">
        <f>IFERROR(SUMIFS(T_SelfStock[Self_Qty],T_SelfStock[RM_Code],$A1440,T_SelfStock[WeekIndex],42),"")</f>
        <v/>
      </c>
      <c r="AU1447">
        <f>IFERROR(SUMIFS(T_SelfStock[Self_Qty],T_SelfStock[RM_Code],$A1440,T_SelfStock[WeekIndex],43),"")</f>
        <v/>
      </c>
      <c r="AV1447">
        <f>IFERROR(SUMIFS(T_SelfStock[Self_Qty],T_SelfStock[RM_Code],$A1440,T_SelfStock[WeekIndex],44),"")</f>
        <v/>
      </c>
      <c r="AW1447">
        <f>IFERROR(SUMIFS(T_SelfStock[Self_Qty],T_SelfStock[RM_Code],$A1440,T_SelfStock[WeekIndex],45),"")</f>
        <v/>
      </c>
      <c r="AX1447">
        <f>IFERROR(SUMIFS(T_SelfStock[Self_Qty],T_SelfStock[RM_Code],$A1440,T_SelfStock[WeekIndex],46),"")</f>
        <v/>
      </c>
      <c r="AY1447">
        <f>IFERROR(SUMIFS(T_SelfStock[Self_Qty],T_SelfStock[RM_Code],$A1440,T_SelfStock[WeekIndex],47),"")</f>
        <v/>
      </c>
      <c r="AZ1447">
        <f>IFERROR(SUMIFS(T_SelfStock[Self_Qty],T_SelfStock[RM_Code],$A1440,T_SelfStock[WeekIndex],48),"")</f>
        <v/>
      </c>
      <c r="BA1447">
        <f>IFERROR(SUMIFS(T_SelfStock[Self_Qty],T_SelfStock[RM_Code],$A1440,T_SelfStock[WeekIndex],49),"")</f>
        <v/>
      </c>
      <c r="BB1447">
        <f>IFERROR(SUMIFS(T_SelfStock[Self_Qty],T_SelfStock[RM_Code],$A1440,T_SelfStock[WeekIndex],50),"")</f>
        <v/>
      </c>
      <c r="BC1447">
        <f>IFERROR(SUMIFS(T_SelfStock[Self_Qty],T_SelfStock[RM_Code],$A1440,T_SelfStock[WeekIndex],51),"")</f>
        <v/>
      </c>
      <c r="BD1447">
        <f>IFERROR(SUMIFS(T_SelfStock[Self_Qty],T_SelfStock[RM_Code],$A1440,T_SelfStock[WeekIndex],52),"")</f>
        <v/>
      </c>
      <c r="BE1447">
        <f>IFERROR(SUMIFS(T_SelfStock[Self_Qty],T_SelfStock[RM_Code],$A1440,T_SelfStock[WeekIndex],53),"")</f>
        <v/>
      </c>
      <c r="BF1447">
        <f>IFERROR(SUMIFS(T_SelfStock[Self_Qty],T_SelfStock[RM_Code],$A1440,T_SelfStock[WeekIndex],54),"")</f>
        <v/>
      </c>
      <c r="BG1447">
        <f>IFERROR(SUMIFS(T_SelfStock[Self_Qty],T_SelfStock[RM_Code],$A1440,T_SelfStock[WeekIndex],55),"")</f>
        <v/>
      </c>
      <c r="BH1447">
        <f>IFERROR(SUMIFS(T_SelfStock[Self_Qty],T_SelfStock[RM_Code],$A1440,T_SelfStock[WeekIndex],56),"")</f>
        <v/>
      </c>
      <c r="BI1447">
        <f>IFERROR(SUMIFS(T_SelfStock[Self_Qty],T_SelfStock[RM_Code],$A1440,T_SelfStock[WeekIndex],57),"")</f>
        <v/>
      </c>
      <c r="BJ1447">
        <f>IFERROR(SUMIFS(T_SelfStock[Self_Qty],T_SelfStock[RM_Code],$A1440,T_SelfStock[WeekIndex],58),"")</f>
        <v/>
      </c>
      <c r="BK1447">
        <f>IFERROR(SUMIFS(T_SelfStock[Self_Qty],T_SelfStock[RM_Code],$A1440,T_SelfStock[WeekIndex],59),"")</f>
        <v/>
      </c>
      <c r="BL1447">
        <f>IFERROR(SUMIFS(T_SelfStock[Self_Qty],T_SelfStock[RM_Code],$A1440,T_SelfStock[WeekIndex],60),"")</f>
        <v/>
      </c>
      <c r="BM1447">
        <f>IFERROR(SUMIFS(T_SelfStock[Self_Qty],T_SelfStock[RM_Code],$A1440,T_SelfStock[WeekIndex],61),"")</f>
        <v/>
      </c>
      <c r="BN1447">
        <f>IFERROR(SUMIFS(T_SelfStock[Self_Qty],T_SelfStock[RM_Code],$A1440,T_SelfStock[WeekIndex],62),"")</f>
        <v/>
      </c>
      <c r="BO1447">
        <f>IFERROR(SUMIFS(T_SelfStock[Self_Qty],T_SelfStock[RM_Code],$A1440,T_SelfStock[WeekIndex],63),"")</f>
        <v/>
      </c>
      <c r="BP1447">
        <f>IFERROR(SUMIFS(T_SelfStock[Self_Qty],T_SelfStock[RM_Code],$A1440,T_SelfStock[WeekIndex],64),"")</f>
        <v/>
      </c>
      <c r="BQ1447">
        <f>IFERROR(SUMIFS(T_SelfStock[Self_Qty],T_SelfStock[RM_Code],$A1440,T_SelfStock[WeekIndex],65),"")</f>
        <v/>
      </c>
      <c r="BR1447">
        <f>IFERROR(SUMIFS(T_SelfStock[Self_Qty],T_SelfStock[RM_Code],$A1440,T_SelfStock[WeekIndex],66),"")</f>
        <v/>
      </c>
      <c r="BS1447">
        <f>IFERROR(SUMIFS(T_SelfStock[Self_Qty],T_SelfStock[RM_Code],$A1440,T_SelfStock[WeekIndex],67),"")</f>
        <v/>
      </c>
      <c r="BT1447">
        <f>IFERROR(SUMIFS(T_SelfStock[Self_Qty],T_SelfStock[RM_Code],$A1440,T_SelfStock[WeekIndex],68),"")</f>
        <v/>
      </c>
      <c r="BU1447">
        <f>IFERROR(SUMIFS(T_SelfStock[Self_Qty],T_SelfStock[RM_Code],$A1440,T_SelfStock[WeekIndex],69),"")</f>
        <v/>
      </c>
      <c r="BV1447">
        <f>IFERROR(SUMIFS(T_SelfStock[Self_Qty],T_SelfStock[RM_Code],$A1440,T_SelfStock[WeekIndex],70),"")</f>
        <v/>
      </c>
      <c r="BW1447">
        <f>IFERROR(SUMIFS(T_SelfStock[Self_Qty],T_SelfStock[RM_Code],$A1440,T_SelfStock[WeekIndex],71),"")</f>
        <v/>
      </c>
      <c r="BX1447">
        <f>IFERROR(SUMIFS(T_SelfStock[Self_Qty],T_SelfStock[RM_Code],$A1440,T_SelfStock[WeekIndex],72),"")</f>
        <v/>
      </c>
      <c r="BY1447">
        <f>IFERROR(SUMIFS(T_SelfStock[Self_Qty],T_SelfStock[RM_Code],$A1440,T_SelfStock[WeekIndex],73),"")</f>
        <v/>
      </c>
      <c r="BZ1447">
        <f>IFERROR(SUMIFS(T_SelfStock[Self_Qty],T_SelfStock[RM_Code],$A1440,T_SelfStock[WeekIndex],74),"")</f>
        <v/>
      </c>
      <c r="CA1447">
        <f>IFERROR(SUMIFS(T_SelfStock[Self_Qty],T_SelfStock[RM_Code],$A1440,T_SelfStock[WeekIndex],75),"")</f>
        <v/>
      </c>
      <c r="CB1447">
        <f>IFERROR(SUMIFS(T_SelfStock[Self_Qty],T_SelfStock[RM_Code],$A1440,T_SelfStock[WeekIndex],76),"")</f>
        <v/>
      </c>
      <c r="CC1447">
        <f>IFERROR(SUMIFS(T_SelfStock[Self_Qty],T_SelfStock[RM_Code],$A1440,T_SelfStock[WeekIndex],77),"")</f>
        <v/>
      </c>
      <c r="CD1447">
        <f>IFERROR(SUMIFS(T_SelfStock[Self_Qty],T_SelfStock[RM_Code],$A1440,T_SelfStock[WeekIndex],78),"")</f>
        <v/>
      </c>
      <c r="CE1447">
        <f>IFERROR(SUMIFS(T_SelfStock[Self_Qty],T_SelfStock[RM_Code],$A1440,T_SelfStock[WeekIndex],79),"")</f>
        <v/>
      </c>
      <c r="CF1447">
        <f>IFERROR(SUMIFS(T_SelfStock[Self_Qty],T_SelfStock[RM_Code],$A1440,T_SelfStock[WeekIndex],80),"")</f>
        <v/>
      </c>
      <c r="CG1447">
        <f>IFERROR(SUMIFS(T_SelfStock[Self_Qty],T_SelfStock[RM_Code],$A1440,T_SelfStock[WeekIndex],81),"")</f>
        <v/>
      </c>
      <c r="CH1447">
        <f>IFERROR(SUMIFS(T_SelfStock[Self_Qty],T_SelfStock[RM_Code],$A1440,T_SelfStock[WeekIndex],82),"")</f>
        <v/>
      </c>
      <c r="CI1447">
        <f>IFERROR(SUMIFS(T_SelfStock[Self_Qty],T_SelfStock[RM_Code],$A1440,T_SelfStock[WeekIndex],83),"")</f>
        <v/>
      </c>
      <c r="CJ1447">
        <f>IFERROR(SUMIFS(T_SelfStock[Self_Qty],T_SelfStock[RM_Code],$A1440,T_SelfStock[WeekIndex],84),"")</f>
        <v/>
      </c>
      <c r="CK1447">
        <f>IFERROR(SUMIFS(T_SelfStock[Self_Qty],T_SelfStock[RM_Code],$A1440,T_SelfStock[WeekIndex],85),"")</f>
        <v/>
      </c>
      <c r="CL1447">
        <f>IFERROR(SUMIFS(T_SelfStock[Self_Qty],T_SelfStock[RM_Code],$A1440,T_SelfStock[WeekIndex],86),"")</f>
        <v/>
      </c>
      <c r="CM1447">
        <f>IFERROR(SUMIFS(T_SelfStock[Self_Qty],T_SelfStock[RM_Code],$A1440,T_SelfStock[WeekIndex],87),"")</f>
        <v/>
      </c>
      <c r="CN1447">
        <f>IFERROR(SUMIFS(T_SelfStock[Self_Qty],T_SelfStock[RM_Code],$A1440,T_SelfStock[WeekIndex],88),"")</f>
        <v/>
      </c>
      <c r="CO1447">
        <f>IFERROR(SUMIFS(T_SelfStock[Self_Qty],T_SelfStock[RM_Code],$A1440,T_SelfStock[WeekIndex],89),"")</f>
        <v/>
      </c>
      <c r="CP1447">
        <f>IFERROR(SUMIFS(T_SelfStock[Self_Qty],T_SelfStock[RM_Code],$A1440,T_SelfStock[WeekIndex],90),"")</f>
        <v/>
      </c>
      <c r="CQ1447">
        <f>IFERROR(SUMIFS(T_SelfStock[Self_Qty],T_SelfStock[RM_Code],$A1440,T_SelfStock[WeekIndex],91),"")</f>
        <v/>
      </c>
      <c r="CR1447">
        <f>IFERROR(SUMIFS(T_SelfStock[Self_Qty],T_SelfStock[RM_Code],$A1440,T_SelfStock[WeekIndex],92),"")</f>
        <v/>
      </c>
      <c r="CS1447">
        <f>IFERROR(SUMIFS(T_SelfStock[Self_Qty],T_SelfStock[RM_Code],$A1440,T_SelfStock[WeekIndex],93),"")</f>
        <v/>
      </c>
      <c r="CT1447">
        <f>IFERROR(SUMIFS(T_SelfStock[Self_Qty],T_SelfStock[RM_Code],$A1440,T_SelfStock[WeekIndex],94),"")</f>
        <v/>
      </c>
      <c r="CU1447">
        <f>IFERROR(SUMIFS(T_SelfStock[Self_Qty],T_SelfStock[RM_Code],$A1440,T_SelfStock[WeekIndex],95),"")</f>
        <v/>
      </c>
      <c r="CV1447">
        <f>IFERROR(SUMIFS(T_SelfStock[Self_Qty],T_SelfStock[RM_Code],$A1440,T_SelfStock[WeekIndex],96),"")</f>
        <v/>
      </c>
      <c r="CW1447">
        <f>IFERROR(SUMIFS(T_SelfStock[Self_Qty],T_SelfStock[RM_Code],$A1440,T_SelfStock[WeekIndex],97),"")</f>
        <v/>
      </c>
      <c r="CX1447">
        <f>IFERROR(SUMIFS(T_SelfStock[Self_Qty],T_SelfStock[RM_Code],$A1440,T_SelfStock[WeekIndex],98),"")</f>
        <v/>
      </c>
      <c r="CY1447">
        <f>IFERROR(SUMIFS(T_SelfStock[Self_Qty],T_SelfStock[RM_Code],$A1440,T_SelfStock[WeekIndex],99),"")</f>
        <v/>
      </c>
      <c r="CZ1447">
        <f>IFERROR(SUMIFS(T_SelfStock[Self_Qty],T_SelfStock[RM_Code],$A1440,T_SelfStock[WeekIndex],100),"")</f>
        <v/>
      </c>
      <c r="DA1447">
        <f>IFERROR(SUMIFS(T_SelfStock[Self_Qty],T_SelfStock[RM_Code],$A1440,T_SelfStock[WeekIndex],101),"")</f>
        <v/>
      </c>
      <c r="DB1447">
        <f>IFERROR(SUMIFS(T_SelfStock[Self_Qty],T_SelfStock[RM_Code],$A1440,T_SelfStock[WeekIndex],102),"")</f>
        <v/>
      </c>
      <c r="DC1447">
        <f>IFERROR(SUMIFS(T_SelfStock[Self_Qty],T_SelfStock[RM_Code],$A1440,T_SelfStock[WeekIndex],103),"")</f>
        <v/>
      </c>
      <c r="DD1447">
        <f>IFERROR(SUMIFS(T_SelfStock[Self_Qty],T_SelfStock[RM_Code],$A1440,T_SelfStock[WeekIndex],104),"")</f>
        <v/>
      </c>
    </row>
    <row r="1448">
      <c r="B1448" s="4" t="inlineStr">
        <is>
          <t>合計在庫(週末時点,kg)</t>
        </is>
      </c>
      <c r="D1448" s="24">
        <f>IFERROR(INDEX(E1448:DD1448,$F$1),"")</f>
        <v/>
      </c>
      <c r="E1448">
        <f>'Grid_Stock'!B59</f>
        <v/>
      </c>
      <c r="F1448">
        <f>'Grid_Stock'!C59</f>
        <v/>
      </c>
      <c r="G1448">
        <f>'Grid_Stock'!D59</f>
        <v/>
      </c>
      <c r="H1448">
        <f>'Grid_Stock'!E59</f>
        <v/>
      </c>
      <c r="I1448">
        <f>'Grid_Stock'!F59</f>
        <v/>
      </c>
      <c r="J1448">
        <f>'Grid_Stock'!G59</f>
        <v/>
      </c>
      <c r="K1448">
        <f>'Grid_Stock'!H59</f>
        <v/>
      </c>
      <c r="L1448">
        <f>'Grid_Stock'!I59</f>
        <v/>
      </c>
      <c r="M1448">
        <f>'Grid_Stock'!J59</f>
        <v/>
      </c>
      <c r="N1448">
        <f>'Grid_Stock'!K59</f>
        <v/>
      </c>
      <c r="O1448">
        <f>'Grid_Stock'!L59</f>
        <v/>
      </c>
      <c r="P1448">
        <f>'Grid_Stock'!M59</f>
        <v/>
      </c>
      <c r="Q1448">
        <f>'Grid_Stock'!N59</f>
        <v/>
      </c>
      <c r="R1448">
        <f>'Grid_Stock'!O59</f>
        <v/>
      </c>
      <c r="S1448">
        <f>'Grid_Stock'!P59</f>
        <v/>
      </c>
      <c r="T1448">
        <f>'Grid_Stock'!Q59</f>
        <v/>
      </c>
      <c r="U1448">
        <f>'Grid_Stock'!R59</f>
        <v/>
      </c>
      <c r="V1448">
        <f>'Grid_Stock'!S59</f>
        <v/>
      </c>
      <c r="W1448">
        <f>'Grid_Stock'!T59</f>
        <v/>
      </c>
      <c r="X1448">
        <f>'Grid_Stock'!U59</f>
        <v/>
      </c>
      <c r="Y1448">
        <f>'Grid_Stock'!V59</f>
        <v/>
      </c>
      <c r="Z1448">
        <f>'Grid_Stock'!W59</f>
        <v/>
      </c>
      <c r="AA1448">
        <f>'Grid_Stock'!X59</f>
        <v/>
      </c>
      <c r="AB1448">
        <f>'Grid_Stock'!Y59</f>
        <v/>
      </c>
      <c r="AC1448">
        <f>'Grid_Stock'!Z59</f>
        <v/>
      </c>
      <c r="AD1448">
        <f>'Grid_Stock'!AA59</f>
        <v/>
      </c>
      <c r="AE1448">
        <f>'Grid_Stock'!AB59</f>
        <v/>
      </c>
      <c r="AF1448">
        <f>'Grid_Stock'!AC59</f>
        <v/>
      </c>
      <c r="AG1448">
        <f>'Grid_Stock'!AD59</f>
        <v/>
      </c>
      <c r="AH1448">
        <f>'Grid_Stock'!AE59</f>
        <v/>
      </c>
      <c r="AI1448">
        <f>'Grid_Stock'!AF59</f>
        <v/>
      </c>
      <c r="AJ1448">
        <f>'Grid_Stock'!AG59</f>
        <v/>
      </c>
      <c r="AK1448">
        <f>'Grid_Stock'!AH59</f>
        <v/>
      </c>
      <c r="AL1448">
        <f>'Grid_Stock'!AI59</f>
        <v/>
      </c>
      <c r="AM1448">
        <f>'Grid_Stock'!AJ59</f>
        <v/>
      </c>
      <c r="AN1448">
        <f>'Grid_Stock'!AK59</f>
        <v/>
      </c>
      <c r="AO1448">
        <f>'Grid_Stock'!AL59</f>
        <v/>
      </c>
      <c r="AP1448">
        <f>'Grid_Stock'!AM59</f>
        <v/>
      </c>
      <c r="AQ1448">
        <f>'Grid_Stock'!AN59</f>
        <v/>
      </c>
      <c r="AR1448">
        <f>'Grid_Stock'!AO59</f>
        <v/>
      </c>
      <c r="AS1448">
        <f>'Grid_Stock'!AP59</f>
        <v/>
      </c>
      <c r="AT1448">
        <f>'Grid_Stock'!AQ59</f>
        <v/>
      </c>
      <c r="AU1448">
        <f>'Grid_Stock'!AR59</f>
        <v/>
      </c>
      <c r="AV1448">
        <f>'Grid_Stock'!AS59</f>
        <v/>
      </c>
      <c r="AW1448">
        <f>'Grid_Stock'!AT59</f>
        <v/>
      </c>
      <c r="AX1448">
        <f>'Grid_Stock'!AU59</f>
        <v/>
      </c>
      <c r="AY1448">
        <f>'Grid_Stock'!AV59</f>
        <v/>
      </c>
      <c r="AZ1448">
        <f>'Grid_Stock'!AW59</f>
        <v/>
      </c>
      <c r="BA1448">
        <f>'Grid_Stock'!AX59</f>
        <v/>
      </c>
      <c r="BB1448">
        <f>'Grid_Stock'!AY59</f>
        <v/>
      </c>
      <c r="BC1448">
        <f>'Grid_Stock'!AZ59</f>
        <v/>
      </c>
      <c r="BD1448">
        <f>'Grid_Stock'!BA59</f>
        <v/>
      </c>
      <c r="BE1448">
        <f>'Grid_Stock'!BB59</f>
        <v/>
      </c>
      <c r="BF1448">
        <f>'Grid_Stock'!BC59</f>
        <v/>
      </c>
      <c r="BG1448">
        <f>'Grid_Stock'!BD59</f>
        <v/>
      </c>
      <c r="BH1448">
        <f>'Grid_Stock'!BE59</f>
        <v/>
      </c>
      <c r="BI1448">
        <f>'Grid_Stock'!BF59</f>
        <v/>
      </c>
      <c r="BJ1448">
        <f>'Grid_Stock'!BG59</f>
        <v/>
      </c>
      <c r="BK1448">
        <f>'Grid_Stock'!BH59</f>
        <v/>
      </c>
      <c r="BL1448">
        <f>'Grid_Stock'!BI59</f>
        <v/>
      </c>
      <c r="BM1448">
        <f>'Grid_Stock'!BJ59</f>
        <v/>
      </c>
      <c r="BN1448">
        <f>'Grid_Stock'!BK59</f>
        <v/>
      </c>
      <c r="BO1448">
        <f>'Grid_Stock'!BL59</f>
        <v/>
      </c>
      <c r="BP1448">
        <f>'Grid_Stock'!BM59</f>
        <v/>
      </c>
      <c r="BQ1448">
        <f>'Grid_Stock'!BN59</f>
        <v/>
      </c>
      <c r="BR1448">
        <f>'Grid_Stock'!BO59</f>
        <v/>
      </c>
      <c r="BS1448">
        <f>'Grid_Stock'!BP59</f>
        <v/>
      </c>
      <c r="BT1448">
        <f>'Grid_Stock'!BQ59</f>
        <v/>
      </c>
      <c r="BU1448">
        <f>'Grid_Stock'!BR59</f>
        <v/>
      </c>
      <c r="BV1448">
        <f>'Grid_Stock'!BS59</f>
        <v/>
      </c>
      <c r="BW1448">
        <f>'Grid_Stock'!BT59</f>
        <v/>
      </c>
      <c r="BX1448">
        <f>'Grid_Stock'!BU59</f>
        <v/>
      </c>
      <c r="BY1448">
        <f>'Grid_Stock'!BV59</f>
        <v/>
      </c>
      <c r="BZ1448">
        <f>'Grid_Stock'!BW59</f>
        <v/>
      </c>
      <c r="CA1448">
        <f>'Grid_Stock'!BX59</f>
        <v/>
      </c>
      <c r="CB1448">
        <f>'Grid_Stock'!BY59</f>
        <v/>
      </c>
      <c r="CC1448">
        <f>'Grid_Stock'!BZ59</f>
        <v/>
      </c>
      <c r="CD1448">
        <f>'Grid_Stock'!CA59</f>
        <v/>
      </c>
      <c r="CE1448">
        <f>'Grid_Stock'!CB59</f>
        <v/>
      </c>
      <c r="CF1448">
        <f>'Grid_Stock'!CC59</f>
        <v/>
      </c>
      <c r="CG1448">
        <f>'Grid_Stock'!CD59</f>
        <v/>
      </c>
      <c r="CH1448">
        <f>'Grid_Stock'!CE59</f>
        <v/>
      </c>
      <c r="CI1448">
        <f>'Grid_Stock'!CF59</f>
        <v/>
      </c>
      <c r="CJ1448">
        <f>'Grid_Stock'!CG59</f>
        <v/>
      </c>
      <c r="CK1448">
        <f>'Grid_Stock'!CH59</f>
        <v/>
      </c>
      <c r="CL1448">
        <f>'Grid_Stock'!CI59</f>
        <v/>
      </c>
      <c r="CM1448">
        <f>'Grid_Stock'!CJ59</f>
        <v/>
      </c>
      <c r="CN1448">
        <f>'Grid_Stock'!CK59</f>
        <v/>
      </c>
      <c r="CO1448">
        <f>'Grid_Stock'!CL59</f>
        <v/>
      </c>
      <c r="CP1448">
        <f>'Grid_Stock'!CM59</f>
        <v/>
      </c>
      <c r="CQ1448">
        <f>'Grid_Stock'!CN59</f>
        <v/>
      </c>
      <c r="CR1448">
        <f>'Grid_Stock'!CO59</f>
        <v/>
      </c>
      <c r="CS1448">
        <f>'Grid_Stock'!CP59</f>
        <v/>
      </c>
      <c r="CT1448">
        <f>'Grid_Stock'!CQ59</f>
        <v/>
      </c>
      <c r="CU1448">
        <f>'Grid_Stock'!CR59</f>
        <v/>
      </c>
      <c r="CV1448">
        <f>'Grid_Stock'!CS59</f>
        <v/>
      </c>
      <c r="CW1448">
        <f>'Grid_Stock'!CT59</f>
        <v/>
      </c>
      <c r="CX1448">
        <f>'Grid_Stock'!CU59</f>
        <v/>
      </c>
      <c r="CY1448">
        <f>'Grid_Stock'!CV59</f>
        <v/>
      </c>
      <c r="CZ1448">
        <f>'Grid_Stock'!CW59</f>
        <v/>
      </c>
      <c r="DA1448">
        <f>'Grid_Stock'!CX59</f>
        <v/>
      </c>
      <c r="DB1448">
        <f>'Grid_Stock'!CY59</f>
        <v/>
      </c>
      <c r="DC1448">
        <f>'Grid_Stock'!CZ59</f>
        <v/>
      </c>
      <c r="DD1448">
        <f>'Grid_Stock'!DA59</f>
        <v/>
      </c>
    </row>
    <row r="1449">
      <c r="B1449" s="25" t="inlineStr">
        <is>
          <t>（発注の目安はDashboardの基準在庫[下限/上限]と色分けを参照）</t>
        </is>
      </c>
    </row>
    <row r="1451">
      <c r="A1451" s="21" t="inlineStr">
        <is>
          <t>CHEM-1750</t>
        </is>
      </c>
      <c r="B1451" s="21" t="inlineStr">
        <is>
          <t>Alumax WDB-5</t>
        </is>
      </c>
      <c r="C1451" s="22" t="n"/>
      <c r="D1451" s="21" t="n"/>
      <c r="E1451" s="21" t="n"/>
      <c r="F1451" s="21" t="n"/>
      <c r="G1451" s="21" t="n"/>
      <c r="H1451" s="21" t="n"/>
      <c r="I1451" s="21" t="n"/>
      <c r="J1451" s="21" t="n"/>
      <c r="K1451" s="21" t="n"/>
      <c r="L1451" s="21" t="n"/>
      <c r="M1451" s="21" t="n"/>
      <c r="N1451" s="21" t="n"/>
      <c r="O1451" s="21" t="n"/>
      <c r="P1451" s="21" t="n"/>
      <c r="Q1451" s="21" t="n"/>
      <c r="R1451" s="21" t="n"/>
      <c r="S1451" s="21" t="n"/>
      <c r="T1451" s="21" t="n"/>
      <c r="U1451" s="21" t="n"/>
      <c r="V1451" s="21" t="n"/>
      <c r="W1451" s="21" t="n"/>
      <c r="X1451" s="21" t="n"/>
      <c r="Y1451" s="21" t="n"/>
      <c r="Z1451" s="21" t="n"/>
      <c r="AA1451" s="21" t="n"/>
      <c r="AB1451" s="21" t="n"/>
      <c r="AC1451" s="21" t="n"/>
      <c r="AD1451" s="21" t="n"/>
      <c r="AE1451" s="21" t="n"/>
      <c r="AF1451" s="21" t="n"/>
      <c r="AG1451" s="21" t="n"/>
      <c r="AH1451" s="21" t="n"/>
      <c r="AI1451" s="21" t="n"/>
      <c r="AJ1451" s="21" t="n"/>
      <c r="AK1451" s="21" t="n"/>
      <c r="AL1451" s="21" t="n"/>
      <c r="AM1451" s="21" t="n"/>
      <c r="AN1451" s="21" t="n"/>
      <c r="AO1451" s="21" t="n"/>
      <c r="AP1451" s="21" t="n"/>
      <c r="AQ1451" s="21" t="n"/>
      <c r="AR1451" s="21" t="n"/>
      <c r="AS1451" s="21" t="n"/>
      <c r="AT1451" s="21" t="n"/>
      <c r="AU1451" s="21" t="n"/>
      <c r="AV1451" s="21" t="n"/>
      <c r="AW1451" s="21" t="n"/>
      <c r="AX1451" s="21" t="n"/>
      <c r="AY1451" s="21" t="n"/>
      <c r="AZ1451" s="21" t="n"/>
      <c r="BA1451" s="21" t="n"/>
      <c r="BB1451" s="21" t="n"/>
      <c r="BC1451" s="21" t="n"/>
      <c r="BD1451" s="21" t="n"/>
      <c r="BE1451" s="21" t="n"/>
      <c r="BF1451" s="21" t="n"/>
      <c r="BG1451" s="21" t="n"/>
      <c r="BH1451" s="21" t="n"/>
      <c r="BI1451" s="21" t="n"/>
      <c r="BJ1451" s="21" t="n"/>
      <c r="BK1451" s="21" t="n"/>
      <c r="BL1451" s="21" t="n"/>
      <c r="BM1451" s="21" t="n"/>
      <c r="BN1451" s="21" t="n"/>
      <c r="BO1451" s="21" t="n"/>
      <c r="BP1451" s="21" t="n"/>
      <c r="BQ1451" s="21" t="n"/>
      <c r="BR1451" s="21" t="n"/>
      <c r="BS1451" s="21" t="n"/>
      <c r="BT1451" s="21" t="n"/>
      <c r="BU1451" s="21" t="n"/>
      <c r="BV1451" s="21" t="n"/>
      <c r="BW1451" s="21" t="n"/>
      <c r="BX1451" s="21" t="n"/>
      <c r="BY1451" s="21" t="n"/>
      <c r="BZ1451" s="21" t="n"/>
      <c r="CA1451" s="21" t="n"/>
      <c r="CB1451" s="21" t="n"/>
      <c r="CC1451" s="21" t="n"/>
      <c r="CD1451" s="21" t="n"/>
      <c r="CE1451" s="21" t="n"/>
      <c r="CF1451" s="21" t="n"/>
      <c r="CG1451" s="21" t="n"/>
      <c r="CH1451" s="21" t="n"/>
      <c r="CI1451" s="21" t="n"/>
      <c r="CJ1451" s="21" t="n"/>
      <c r="CK1451" s="21" t="n"/>
      <c r="CL1451" s="21" t="n"/>
      <c r="CM1451" s="21" t="n"/>
      <c r="CN1451" s="21" t="n"/>
      <c r="CO1451" s="21" t="n"/>
      <c r="CP1451" s="21" t="n"/>
      <c r="CQ1451" s="21" t="n"/>
      <c r="CR1451" s="21" t="n"/>
      <c r="CS1451" s="21" t="n"/>
      <c r="CT1451" s="21" t="n"/>
      <c r="CU1451" s="21" t="n"/>
      <c r="CV1451" s="21" t="n"/>
      <c r="CW1451" s="21" t="n"/>
      <c r="CX1451" s="21" t="n"/>
      <c r="CY1451" s="21" t="n"/>
      <c r="CZ1451" s="21" t="n"/>
      <c r="DA1451" s="21" t="n"/>
      <c r="DB1451" s="21" t="n"/>
      <c r="DC1451" s="21" t="n"/>
      <c r="DD1451" s="21" t="n"/>
    </row>
    <row r="1452">
      <c r="B1452" t="inlineStr">
        <is>
          <t>TSP-924</t>
        </is>
      </c>
      <c r="C1452" t="inlineStr">
        <is>
          <t>No. of batches</t>
        </is>
      </c>
      <c r="D1452">
        <f>IFERROR(INDEX(E1452:DD1452,$F$1),"")</f>
        <v/>
      </c>
      <c r="E1452">
        <f>IFERROR(INDEX(PP_Grid[#Data],$DE1452,2),0)</f>
        <v/>
      </c>
      <c r="F1452">
        <f>IFERROR(INDEX(PP_Grid[#Data],$DE1452,3),0)</f>
        <v/>
      </c>
      <c r="G1452">
        <f>IFERROR(INDEX(PP_Grid[#Data],$DE1452,4),0)</f>
        <v/>
      </c>
      <c r="H1452">
        <f>IFERROR(INDEX(PP_Grid[#Data],$DE1452,5),0)</f>
        <v/>
      </c>
      <c r="I1452">
        <f>IFERROR(INDEX(PP_Grid[#Data],$DE1452,6),0)</f>
        <v/>
      </c>
      <c r="J1452">
        <f>IFERROR(INDEX(PP_Grid[#Data],$DE1452,7),0)</f>
        <v/>
      </c>
      <c r="K1452">
        <f>IFERROR(INDEX(PP_Grid[#Data],$DE1452,8),0)</f>
        <v/>
      </c>
      <c r="L1452">
        <f>IFERROR(INDEX(PP_Grid[#Data],$DE1452,9),0)</f>
        <v/>
      </c>
      <c r="M1452">
        <f>IFERROR(INDEX(PP_Grid[#Data],$DE1452,10),0)</f>
        <v/>
      </c>
      <c r="N1452">
        <f>IFERROR(INDEX(PP_Grid[#Data],$DE1452,11),0)</f>
        <v/>
      </c>
      <c r="O1452">
        <f>IFERROR(INDEX(PP_Grid[#Data],$DE1452,12),0)</f>
        <v/>
      </c>
      <c r="P1452">
        <f>IFERROR(INDEX(PP_Grid[#Data],$DE1452,13),0)</f>
        <v/>
      </c>
      <c r="Q1452">
        <f>IFERROR(INDEX(PP_Grid[#Data],$DE1452,14),0)</f>
        <v/>
      </c>
      <c r="R1452">
        <f>IFERROR(INDEX(PP_Grid[#Data],$DE1452,15),0)</f>
        <v/>
      </c>
      <c r="S1452">
        <f>IFERROR(INDEX(PP_Grid[#Data],$DE1452,16),0)</f>
        <v/>
      </c>
      <c r="T1452">
        <f>IFERROR(INDEX(PP_Grid[#Data],$DE1452,17),0)</f>
        <v/>
      </c>
      <c r="U1452">
        <f>IFERROR(INDEX(PP_Grid[#Data],$DE1452,18),0)</f>
        <v/>
      </c>
      <c r="V1452">
        <f>IFERROR(INDEX(PP_Grid[#Data],$DE1452,19),0)</f>
        <v/>
      </c>
      <c r="W1452">
        <f>IFERROR(INDEX(PP_Grid[#Data],$DE1452,20),0)</f>
        <v/>
      </c>
      <c r="X1452">
        <f>IFERROR(INDEX(PP_Grid[#Data],$DE1452,21),0)</f>
        <v/>
      </c>
      <c r="Y1452">
        <f>IFERROR(INDEX(PP_Grid[#Data],$DE1452,22),0)</f>
        <v/>
      </c>
      <c r="Z1452">
        <f>IFERROR(INDEX(PP_Grid[#Data],$DE1452,23),0)</f>
        <v/>
      </c>
      <c r="AA1452">
        <f>IFERROR(INDEX(PP_Grid[#Data],$DE1452,24),0)</f>
        <v/>
      </c>
      <c r="AB1452">
        <f>IFERROR(INDEX(PP_Grid[#Data],$DE1452,25),0)</f>
        <v/>
      </c>
      <c r="AC1452">
        <f>IFERROR(INDEX(PP_Grid[#Data],$DE1452,26),0)</f>
        <v/>
      </c>
      <c r="AD1452">
        <f>IFERROR(INDEX(PP_Grid[#Data],$DE1452,27),0)</f>
        <v/>
      </c>
      <c r="AE1452">
        <f>IFERROR(INDEX(PP_Grid[#Data],$DE1452,28),0)</f>
        <v/>
      </c>
      <c r="AF1452">
        <f>IFERROR(INDEX(PP_Grid[#Data],$DE1452,29),0)</f>
        <v/>
      </c>
      <c r="AG1452">
        <f>IFERROR(INDEX(PP_Grid[#Data],$DE1452,30),0)</f>
        <v/>
      </c>
      <c r="AH1452">
        <f>IFERROR(INDEX(PP_Grid[#Data],$DE1452,31),0)</f>
        <v/>
      </c>
      <c r="AI1452">
        <f>IFERROR(INDEX(PP_Grid[#Data],$DE1452,32),0)</f>
        <v/>
      </c>
      <c r="AJ1452">
        <f>IFERROR(INDEX(PP_Grid[#Data],$DE1452,33),0)</f>
        <v/>
      </c>
      <c r="AK1452">
        <f>IFERROR(INDEX(PP_Grid[#Data],$DE1452,34),0)</f>
        <v/>
      </c>
      <c r="AL1452">
        <f>IFERROR(INDEX(PP_Grid[#Data],$DE1452,35),0)</f>
        <v/>
      </c>
      <c r="AM1452">
        <f>IFERROR(INDEX(PP_Grid[#Data],$DE1452,36),0)</f>
        <v/>
      </c>
      <c r="AN1452">
        <f>IFERROR(INDEX(PP_Grid[#Data],$DE1452,37),0)</f>
        <v/>
      </c>
      <c r="AO1452">
        <f>IFERROR(INDEX(PP_Grid[#Data],$DE1452,38),0)</f>
        <v/>
      </c>
      <c r="AP1452">
        <f>IFERROR(INDEX(PP_Grid[#Data],$DE1452,39),0)</f>
        <v/>
      </c>
      <c r="AQ1452">
        <f>IFERROR(INDEX(PP_Grid[#Data],$DE1452,40),0)</f>
        <v/>
      </c>
      <c r="AR1452">
        <f>IFERROR(INDEX(PP_Grid[#Data],$DE1452,41),0)</f>
        <v/>
      </c>
      <c r="AS1452">
        <f>IFERROR(INDEX(PP_Grid[#Data],$DE1452,42),0)</f>
        <v/>
      </c>
      <c r="AT1452">
        <f>IFERROR(INDEX(PP_Grid[#Data],$DE1452,43),0)</f>
        <v/>
      </c>
      <c r="AU1452">
        <f>IFERROR(INDEX(PP_Grid[#Data],$DE1452,44),0)</f>
        <v/>
      </c>
      <c r="AV1452">
        <f>IFERROR(INDEX(PP_Grid[#Data],$DE1452,45),0)</f>
        <v/>
      </c>
      <c r="AW1452">
        <f>IFERROR(INDEX(PP_Grid[#Data],$DE1452,46),0)</f>
        <v/>
      </c>
      <c r="AX1452">
        <f>IFERROR(INDEX(PP_Grid[#Data],$DE1452,47),0)</f>
        <v/>
      </c>
      <c r="AY1452">
        <f>IFERROR(INDEX(PP_Grid[#Data],$DE1452,48),0)</f>
        <v/>
      </c>
      <c r="AZ1452">
        <f>IFERROR(INDEX(PP_Grid[#Data],$DE1452,49),0)</f>
        <v/>
      </c>
      <c r="BA1452">
        <f>IFERROR(INDEX(PP_Grid[#Data],$DE1452,50),0)</f>
        <v/>
      </c>
      <c r="BB1452">
        <f>IFERROR(INDEX(PP_Grid[#Data],$DE1452,51),0)</f>
        <v/>
      </c>
      <c r="BC1452">
        <f>IFERROR(INDEX(PP_Grid[#Data],$DE1452,52),0)</f>
        <v/>
      </c>
      <c r="BD1452">
        <f>IFERROR(INDEX(PP_Grid[#Data],$DE1452,53),0)</f>
        <v/>
      </c>
      <c r="BE1452">
        <f>IFERROR(INDEX(PP_Grid[#Data],$DE1452,54),0)</f>
        <v/>
      </c>
      <c r="BF1452">
        <f>IFERROR(INDEX(PP_Grid[#Data],$DE1452,55),0)</f>
        <v/>
      </c>
      <c r="BG1452">
        <f>IFERROR(INDEX(PP_Grid[#Data],$DE1452,56),0)</f>
        <v/>
      </c>
      <c r="BH1452">
        <f>IFERROR(INDEX(PP_Grid[#Data],$DE1452,57),0)</f>
        <v/>
      </c>
      <c r="BI1452">
        <f>IFERROR(INDEX(PP_Grid[#Data],$DE1452,58),0)</f>
        <v/>
      </c>
      <c r="BJ1452">
        <f>IFERROR(INDEX(PP_Grid[#Data],$DE1452,59),0)</f>
        <v/>
      </c>
      <c r="BK1452">
        <f>IFERROR(INDEX(PP_Grid[#Data],$DE1452,60),0)</f>
        <v/>
      </c>
      <c r="BL1452">
        <f>IFERROR(INDEX(PP_Grid[#Data],$DE1452,61),0)</f>
        <v/>
      </c>
      <c r="BM1452">
        <f>IFERROR(INDEX(PP_Grid[#Data],$DE1452,62),0)</f>
        <v/>
      </c>
      <c r="BN1452">
        <f>IFERROR(INDEX(PP_Grid[#Data],$DE1452,63),0)</f>
        <v/>
      </c>
      <c r="BO1452">
        <f>IFERROR(INDEX(PP_Grid[#Data],$DE1452,64),0)</f>
        <v/>
      </c>
      <c r="BP1452">
        <f>IFERROR(INDEX(PP_Grid[#Data],$DE1452,65),0)</f>
        <v/>
      </c>
      <c r="BQ1452">
        <f>IFERROR(INDEX(PP_Grid[#Data],$DE1452,66),0)</f>
        <v/>
      </c>
      <c r="BR1452">
        <f>IFERROR(INDEX(PP_Grid[#Data],$DE1452,67),0)</f>
        <v/>
      </c>
      <c r="BS1452">
        <f>IFERROR(INDEX(PP_Grid[#Data],$DE1452,68),0)</f>
        <v/>
      </c>
      <c r="BT1452">
        <f>IFERROR(INDEX(PP_Grid[#Data],$DE1452,69),0)</f>
        <v/>
      </c>
      <c r="BU1452">
        <f>IFERROR(INDEX(PP_Grid[#Data],$DE1452,70),0)</f>
        <v/>
      </c>
      <c r="BV1452">
        <f>IFERROR(INDEX(PP_Grid[#Data],$DE1452,71),0)</f>
        <v/>
      </c>
      <c r="BW1452">
        <f>IFERROR(INDEX(PP_Grid[#Data],$DE1452,72),0)</f>
        <v/>
      </c>
      <c r="BX1452">
        <f>IFERROR(INDEX(PP_Grid[#Data],$DE1452,73),0)</f>
        <v/>
      </c>
      <c r="BY1452">
        <f>IFERROR(INDEX(PP_Grid[#Data],$DE1452,74),0)</f>
        <v/>
      </c>
      <c r="BZ1452">
        <f>IFERROR(INDEX(PP_Grid[#Data],$DE1452,75),0)</f>
        <v/>
      </c>
      <c r="CA1452">
        <f>IFERROR(INDEX(PP_Grid[#Data],$DE1452,76),0)</f>
        <v/>
      </c>
      <c r="CB1452">
        <f>IFERROR(INDEX(PP_Grid[#Data],$DE1452,77),0)</f>
        <v/>
      </c>
      <c r="CC1452">
        <f>IFERROR(INDEX(PP_Grid[#Data],$DE1452,78),0)</f>
        <v/>
      </c>
      <c r="CD1452">
        <f>IFERROR(INDEX(PP_Grid[#Data],$DE1452,79),0)</f>
        <v/>
      </c>
      <c r="CE1452">
        <f>IFERROR(INDEX(PP_Grid[#Data],$DE1452,80),0)</f>
        <v/>
      </c>
      <c r="CF1452">
        <f>IFERROR(INDEX(PP_Grid[#Data],$DE1452,81),0)</f>
        <v/>
      </c>
      <c r="CG1452">
        <f>IFERROR(INDEX(PP_Grid[#Data],$DE1452,82),0)</f>
        <v/>
      </c>
      <c r="CH1452">
        <f>IFERROR(INDEX(PP_Grid[#Data],$DE1452,83),0)</f>
        <v/>
      </c>
      <c r="CI1452">
        <f>IFERROR(INDEX(PP_Grid[#Data],$DE1452,84),0)</f>
        <v/>
      </c>
      <c r="CJ1452">
        <f>IFERROR(INDEX(PP_Grid[#Data],$DE1452,85),0)</f>
        <v/>
      </c>
      <c r="CK1452">
        <f>IFERROR(INDEX(PP_Grid[#Data],$DE1452,86),0)</f>
        <v/>
      </c>
      <c r="CL1452">
        <f>IFERROR(INDEX(PP_Grid[#Data],$DE1452,87),0)</f>
        <v/>
      </c>
      <c r="CM1452">
        <f>IFERROR(INDEX(PP_Grid[#Data],$DE1452,88),0)</f>
        <v/>
      </c>
      <c r="CN1452">
        <f>IFERROR(INDEX(PP_Grid[#Data],$DE1452,89),0)</f>
        <v/>
      </c>
      <c r="CO1452">
        <f>IFERROR(INDEX(PP_Grid[#Data],$DE1452,90),0)</f>
        <v/>
      </c>
      <c r="CP1452">
        <f>IFERROR(INDEX(PP_Grid[#Data],$DE1452,91),0)</f>
        <v/>
      </c>
      <c r="CQ1452">
        <f>IFERROR(INDEX(PP_Grid[#Data],$DE1452,92),0)</f>
        <v/>
      </c>
      <c r="CR1452">
        <f>IFERROR(INDEX(PP_Grid[#Data],$DE1452,93),0)</f>
        <v/>
      </c>
      <c r="CS1452">
        <f>IFERROR(INDEX(PP_Grid[#Data],$DE1452,94),0)</f>
        <v/>
      </c>
      <c r="CT1452">
        <f>IFERROR(INDEX(PP_Grid[#Data],$DE1452,95),0)</f>
        <v/>
      </c>
      <c r="CU1452">
        <f>IFERROR(INDEX(PP_Grid[#Data],$DE1452,96),0)</f>
        <v/>
      </c>
      <c r="CV1452">
        <f>IFERROR(INDEX(PP_Grid[#Data],$DE1452,97),0)</f>
        <v/>
      </c>
      <c r="CW1452">
        <f>IFERROR(INDEX(PP_Grid[#Data],$DE1452,98),0)</f>
        <v/>
      </c>
      <c r="CX1452">
        <f>IFERROR(INDEX(PP_Grid[#Data],$DE1452,99),0)</f>
        <v/>
      </c>
      <c r="CY1452">
        <f>IFERROR(INDEX(PP_Grid[#Data],$DE1452,100),0)</f>
        <v/>
      </c>
      <c r="CZ1452">
        <f>IFERROR(INDEX(PP_Grid[#Data],$DE1452,101),0)</f>
        <v/>
      </c>
      <c r="DA1452">
        <f>IFERROR(INDEX(PP_Grid[#Data],$DE1452,102),0)</f>
        <v/>
      </c>
      <c r="DB1452">
        <f>IFERROR(INDEX(PP_Grid[#Data],$DE1452,103),0)</f>
        <v/>
      </c>
      <c r="DC1452">
        <f>IFERROR(INDEX(PP_Grid[#Data],$DE1452,104),0)</f>
        <v/>
      </c>
      <c r="DD1452">
        <f>IFERROR(INDEX(PP_Grid[#Data],$DE1452,105),0)</f>
        <v/>
      </c>
      <c r="DE1452" s="7">
        <f>IFERROR(MATCH($B1452,PP_Grid[Intermediate],0),99999)</f>
        <v/>
      </c>
    </row>
    <row r="1453">
      <c r="B1453" t="inlineStr">
        <is>
          <t>使用量(kg)</t>
        </is>
      </c>
      <c r="C1453">
        <f>SUMIFS(M_BOM[RM_Qty_Per_Batch],M_BOM[Intermediate],$B1452,M_BOM[RM_Code],$A1451)</f>
        <v/>
      </c>
      <c r="D1453">
        <f>IFERROR(INDEX(E1453:DD1453,$F$1),"")</f>
        <v/>
      </c>
      <c r="E1453">
        <f>$C1453*E1452</f>
        <v/>
      </c>
      <c r="F1453">
        <f>$C1453*F1452</f>
        <v/>
      </c>
      <c r="G1453">
        <f>$C1453*G1452</f>
        <v/>
      </c>
      <c r="H1453">
        <f>$C1453*H1452</f>
        <v/>
      </c>
      <c r="I1453">
        <f>$C1453*I1452</f>
        <v/>
      </c>
      <c r="J1453">
        <f>$C1453*J1452</f>
        <v/>
      </c>
      <c r="K1453">
        <f>$C1453*K1452</f>
        <v/>
      </c>
      <c r="L1453">
        <f>$C1453*L1452</f>
        <v/>
      </c>
      <c r="M1453">
        <f>$C1453*M1452</f>
        <v/>
      </c>
      <c r="N1453">
        <f>$C1453*N1452</f>
        <v/>
      </c>
      <c r="O1453">
        <f>$C1453*O1452</f>
        <v/>
      </c>
      <c r="P1453">
        <f>$C1453*P1452</f>
        <v/>
      </c>
      <c r="Q1453">
        <f>$C1453*Q1452</f>
        <v/>
      </c>
      <c r="R1453">
        <f>$C1453*R1452</f>
        <v/>
      </c>
      <c r="S1453">
        <f>$C1453*S1452</f>
        <v/>
      </c>
      <c r="T1453">
        <f>$C1453*T1452</f>
        <v/>
      </c>
      <c r="U1453">
        <f>$C1453*U1452</f>
        <v/>
      </c>
      <c r="V1453">
        <f>$C1453*V1452</f>
        <v/>
      </c>
      <c r="W1453">
        <f>$C1453*W1452</f>
        <v/>
      </c>
      <c r="X1453">
        <f>$C1453*X1452</f>
        <v/>
      </c>
      <c r="Y1453">
        <f>$C1453*Y1452</f>
        <v/>
      </c>
      <c r="Z1453">
        <f>$C1453*Z1452</f>
        <v/>
      </c>
      <c r="AA1453">
        <f>$C1453*AA1452</f>
        <v/>
      </c>
      <c r="AB1453">
        <f>$C1453*AB1452</f>
        <v/>
      </c>
      <c r="AC1453">
        <f>$C1453*AC1452</f>
        <v/>
      </c>
      <c r="AD1453">
        <f>$C1453*AD1452</f>
        <v/>
      </c>
      <c r="AE1453">
        <f>$C1453*AE1452</f>
        <v/>
      </c>
      <c r="AF1453">
        <f>$C1453*AF1452</f>
        <v/>
      </c>
      <c r="AG1453">
        <f>$C1453*AG1452</f>
        <v/>
      </c>
      <c r="AH1453">
        <f>$C1453*AH1452</f>
        <v/>
      </c>
      <c r="AI1453">
        <f>$C1453*AI1452</f>
        <v/>
      </c>
      <c r="AJ1453">
        <f>$C1453*AJ1452</f>
        <v/>
      </c>
      <c r="AK1453">
        <f>$C1453*AK1452</f>
        <v/>
      </c>
      <c r="AL1453">
        <f>$C1453*AL1452</f>
        <v/>
      </c>
      <c r="AM1453">
        <f>$C1453*AM1452</f>
        <v/>
      </c>
      <c r="AN1453">
        <f>$C1453*AN1452</f>
        <v/>
      </c>
      <c r="AO1453">
        <f>$C1453*AO1452</f>
        <v/>
      </c>
      <c r="AP1453">
        <f>$C1453*AP1452</f>
        <v/>
      </c>
      <c r="AQ1453">
        <f>$C1453*AQ1452</f>
        <v/>
      </c>
      <c r="AR1453">
        <f>$C1453*AR1452</f>
        <v/>
      </c>
      <c r="AS1453">
        <f>$C1453*AS1452</f>
        <v/>
      </c>
      <c r="AT1453">
        <f>$C1453*AT1452</f>
        <v/>
      </c>
      <c r="AU1453">
        <f>$C1453*AU1452</f>
        <v/>
      </c>
      <c r="AV1453">
        <f>$C1453*AV1452</f>
        <v/>
      </c>
      <c r="AW1453">
        <f>$C1453*AW1452</f>
        <v/>
      </c>
      <c r="AX1453">
        <f>$C1453*AX1452</f>
        <v/>
      </c>
      <c r="AY1453">
        <f>$C1453*AY1452</f>
        <v/>
      </c>
      <c r="AZ1453">
        <f>$C1453*AZ1452</f>
        <v/>
      </c>
      <c r="BA1453">
        <f>$C1453*BA1452</f>
        <v/>
      </c>
      <c r="BB1453">
        <f>$C1453*BB1452</f>
        <v/>
      </c>
      <c r="BC1453">
        <f>$C1453*BC1452</f>
        <v/>
      </c>
      <c r="BD1453">
        <f>$C1453*BD1452</f>
        <v/>
      </c>
      <c r="BE1453">
        <f>$C1453*BE1452</f>
        <v/>
      </c>
      <c r="BF1453">
        <f>$C1453*BF1452</f>
        <v/>
      </c>
      <c r="BG1453">
        <f>$C1453*BG1452</f>
        <v/>
      </c>
      <c r="BH1453">
        <f>$C1453*BH1452</f>
        <v/>
      </c>
      <c r="BI1453">
        <f>$C1453*BI1452</f>
        <v/>
      </c>
      <c r="BJ1453">
        <f>$C1453*BJ1452</f>
        <v/>
      </c>
      <c r="BK1453">
        <f>$C1453*BK1452</f>
        <v/>
      </c>
      <c r="BL1453">
        <f>$C1453*BL1452</f>
        <v/>
      </c>
      <c r="BM1453">
        <f>$C1453*BM1452</f>
        <v/>
      </c>
      <c r="BN1453">
        <f>$C1453*BN1452</f>
        <v/>
      </c>
      <c r="BO1453">
        <f>$C1453*BO1452</f>
        <v/>
      </c>
      <c r="BP1453">
        <f>$C1453*BP1452</f>
        <v/>
      </c>
      <c r="BQ1453">
        <f>$C1453*BQ1452</f>
        <v/>
      </c>
      <c r="BR1453">
        <f>$C1453*BR1452</f>
        <v/>
      </c>
      <c r="BS1453">
        <f>$C1453*BS1452</f>
        <v/>
      </c>
      <c r="BT1453">
        <f>$C1453*BT1452</f>
        <v/>
      </c>
      <c r="BU1453">
        <f>$C1453*BU1452</f>
        <v/>
      </c>
      <c r="BV1453">
        <f>$C1453*BV1452</f>
        <v/>
      </c>
      <c r="BW1453">
        <f>$C1453*BW1452</f>
        <v/>
      </c>
      <c r="BX1453">
        <f>$C1453*BX1452</f>
        <v/>
      </c>
      <c r="BY1453">
        <f>$C1453*BY1452</f>
        <v/>
      </c>
      <c r="BZ1453">
        <f>$C1453*BZ1452</f>
        <v/>
      </c>
      <c r="CA1453">
        <f>$C1453*CA1452</f>
        <v/>
      </c>
      <c r="CB1453">
        <f>$C1453*CB1452</f>
        <v/>
      </c>
      <c r="CC1453">
        <f>$C1453*CC1452</f>
        <v/>
      </c>
      <c r="CD1453">
        <f>$C1453*CD1452</f>
        <v/>
      </c>
      <c r="CE1453">
        <f>$C1453*CE1452</f>
        <v/>
      </c>
      <c r="CF1453">
        <f>$C1453*CF1452</f>
        <v/>
      </c>
      <c r="CG1453">
        <f>$C1453*CG1452</f>
        <v/>
      </c>
      <c r="CH1453">
        <f>$C1453*CH1452</f>
        <v/>
      </c>
      <c r="CI1453">
        <f>$C1453*CI1452</f>
        <v/>
      </c>
      <c r="CJ1453">
        <f>$C1453*CJ1452</f>
        <v/>
      </c>
      <c r="CK1453">
        <f>$C1453*CK1452</f>
        <v/>
      </c>
      <c r="CL1453">
        <f>$C1453*CL1452</f>
        <v/>
      </c>
      <c r="CM1453">
        <f>$C1453*CM1452</f>
        <v/>
      </c>
      <c r="CN1453">
        <f>$C1453*CN1452</f>
        <v/>
      </c>
      <c r="CO1453">
        <f>$C1453*CO1452</f>
        <v/>
      </c>
      <c r="CP1453">
        <f>$C1453*CP1452</f>
        <v/>
      </c>
      <c r="CQ1453">
        <f>$C1453*CQ1452</f>
        <v/>
      </c>
      <c r="CR1453">
        <f>$C1453*CR1452</f>
        <v/>
      </c>
      <c r="CS1453">
        <f>$C1453*CS1452</f>
        <v/>
      </c>
      <c r="CT1453">
        <f>$C1453*CT1452</f>
        <v/>
      </c>
      <c r="CU1453">
        <f>$C1453*CU1452</f>
        <v/>
      </c>
      <c r="CV1453">
        <f>$C1453*CV1452</f>
        <v/>
      </c>
      <c r="CW1453">
        <f>$C1453*CW1452</f>
        <v/>
      </c>
      <c r="CX1453">
        <f>$C1453*CX1452</f>
        <v/>
      </c>
      <c r="CY1453">
        <f>$C1453*CY1452</f>
        <v/>
      </c>
      <c r="CZ1453">
        <f>$C1453*CZ1452</f>
        <v/>
      </c>
      <c r="DA1453">
        <f>$C1453*DA1452</f>
        <v/>
      </c>
      <c r="DB1453">
        <f>$C1453*DB1452</f>
        <v/>
      </c>
      <c r="DC1453">
        <f>$C1453*DC1452</f>
        <v/>
      </c>
      <c r="DD1453">
        <f>$C1453*DD1452</f>
        <v/>
      </c>
    </row>
    <row r="1454">
      <c r="B1454" t="inlineStr">
        <is>
          <t>TSP-925</t>
        </is>
      </c>
      <c r="C1454" t="inlineStr">
        <is>
          <t>No. of batches</t>
        </is>
      </c>
      <c r="D1454">
        <f>IFERROR(INDEX(E1454:DD1454,$F$1),"")</f>
        <v/>
      </c>
      <c r="E1454">
        <f>IFERROR(INDEX(PP_Grid[#Data],$DE1454,2),0)</f>
        <v/>
      </c>
      <c r="F1454">
        <f>IFERROR(INDEX(PP_Grid[#Data],$DE1454,3),0)</f>
        <v/>
      </c>
      <c r="G1454">
        <f>IFERROR(INDEX(PP_Grid[#Data],$DE1454,4),0)</f>
        <v/>
      </c>
      <c r="H1454">
        <f>IFERROR(INDEX(PP_Grid[#Data],$DE1454,5),0)</f>
        <v/>
      </c>
      <c r="I1454">
        <f>IFERROR(INDEX(PP_Grid[#Data],$DE1454,6),0)</f>
        <v/>
      </c>
      <c r="J1454">
        <f>IFERROR(INDEX(PP_Grid[#Data],$DE1454,7),0)</f>
        <v/>
      </c>
      <c r="K1454">
        <f>IFERROR(INDEX(PP_Grid[#Data],$DE1454,8),0)</f>
        <v/>
      </c>
      <c r="L1454">
        <f>IFERROR(INDEX(PP_Grid[#Data],$DE1454,9),0)</f>
        <v/>
      </c>
      <c r="M1454">
        <f>IFERROR(INDEX(PP_Grid[#Data],$DE1454,10),0)</f>
        <v/>
      </c>
      <c r="N1454">
        <f>IFERROR(INDEX(PP_Grid[#Data],$DE1454,11),0)</f>
        <v/>
      </c>
      <c r="O1454">
        <f>IFERROR(INDEX(PP_Grid[#Data],$DE1454,12),0)</f>
        <v/>
      </c>
      <c r="P1454">
        <f>IFERROR(INDEX(PP_Grid[#Data],$DE1454,13),0)</f>
        <v/>
      </c>
      <c r="Q1454">
        <f>IFERROR(INDEX(PP_Grid[#Data],$DE1454,14),0)</f>
        <v/>
      </c>
      <c r="R1454">
        <f>IFERROR(INDEX(PP_Grid[#Data],$DE1454,15),0)</f>
        <v/>
      </c>
      <c r="S1454">
        <f>IFERROR(INDEX(PP_Grid[#Data],$DE1454,16),0)</f>
        <v/>
      </c>
      <c r="T1454">
        <f>IFERROR(INDEX(PP_Grid[#Data],$DE1454,17),0)</f>
        <v/>
      </c>
      <c r="U1454">
        <f>IFERROR(INDEX(PP_Grid[#Data],$DE1454,18),0)</f>
        <v/>
      </c>
      <c r="V1454">
        <f>IFERROR(INDEX(PP_Grid[#Data],$DE1454,19),0)</f>
        <v/>
      </c>
      <c r="W1454">
        <f>IFERROR(INDEX(PP_Grid[#Data],$DE1454,20),0)</f>
        <v/>
      </c>
      <c r="X1454">
        <f>IFERROR(INDEX(PP_Grid[#Data],$DE1454,21),0)</f>
        <v/>
      </c>
      <c r="Y1454">
        <f>IFERROR(INDEX(PP_Grid[#Data],$DE1454,22),0)</f>
        <v/>
      </c>
      <c r="Z1454">
        <f>IFERROR(INDEX(PP_Grid[#Data],$DE1454,23),0)</f>
        <v/>
      </c>
      <c r="AA1454">
        <f>IFERROR(INDEX(PP_Grid[#Data],$DE1454,24),0)</f>
        <v/>
      </c>
      <c r="AB1454">
        <f>IFERROR(INDEX(PP_Grid[#Data],$DE1454,25),0)</f>
        <v/>
      </c>
      <c r="AC1454">
        <f>IFERROR(INDEX(PP_Grid[#Data],$DE1454,26),0)</f>
        <v/>
      </c>
      <c r="AD1454">
        <f>IFERROR(INDEX(PP_Grid[#Data],$DE1454,27),0)</f>
        <v/>
      </c>
      <c r="AE1454">
        <f>IFERROR(INDEX(PP_Grid[#Data],$DE1454,28),0)</f>
        <v/>
      </c>
      <c r="AF1454">
        <f>IFERROR(INDEX(PP_Grid[#Data],$DE1454,29),0)</f>
        <v/>
      </c>
      <c r="AG1454">
        <f>IFERROR(INDEX(PP_Grid[#Data],$DE1454,30),0)</f>
        <v/>
      </c>
      <c r="AH1454">
        <f>IFERROR(INDEX(PP_Grid[#Data],$DE1454,31),0)</f>
        <v/>
      </c>
      <c r="AI1454">
        <f>IFERROR(INDEX(PP_Grid[#Data],$DE1454,32),0)</f>
        <v/>
      </c>
      <c r="AJ1454">
        <f>IFERROR(INDEX(PP_Grid[#Data],$DE1454,33),0)</f>
        <v/>
      </c>
      <c r="AK1454">
        <f>IFERROR(INDEX(PP_Grid[#Data],$DE1454,34),0)</f>
        <v/>
      </c>
      <c r="AL1454">
        <f>IFERROR(INDEX(PP_Grid[#Data],$DE1454,35),0)</f>
        <v/>
      </c>
      <c r="AM1454">
        <f>IFERROR(INDEX(PP_Grid[#Data],$DE1454,36),0)</f>
        <v/>
      </c>
      <c r="AN1454">
        <f>IFERROR(INDEX(PP_Grid[#Data],$DE1454,37),0)</f>
        <v/>
      </c>
      <c r="AO1454">
        <f>IFERROR(INDEX(PP_Grid[#Data],$DE1454,38),0)</f>
        <v/>
      </c>
      <c r="AP1454">
        <f>IFERROR(INDEX(PP_Grid[#Data],$DE1454,39),0)</f>
        <v/>
      </c>
      <c r="AQ1454">
        <f>IFERROR(INDEX(PP_Grid[#Data],$DE1454,40),0)</f>
        <v/>
      </c>
      <c r="AR1454">
        <f>IFERROR(INDEX(PP_Grid[#Data],$DE1454,41),0)</f>
        <v/>
      </c>
      <c r="AS1454">
        <f>IFERROR(INDEX(PP_Grid[#Data],$DE1454,42),0)</f>
        <v/>
      </c>
      <c r="AT1454">
        <f>IFERROR(INDEX(PP_Grid[#Data],$DE1454,43),0)</f>
        <v/>
      </c>
      <c r="AU1454">
        <f>IFERROR(INDEX(PP_Grid[#Data],$DE1454,44),0)</f>
        <v/>
      </c>
      <c r="AV1454">
        <f>IFERROR(INDEX(PP_Grid[#Data],$DE1454,45),0)</f>
        <v/>
      </c>
      <c r="AW1454">
        <f>IFERROR(INDEX(PP_Grid[#Data],$DE1454,46),0)</f>
        <v/>
      </c>
      <c r="AX1454">
        <f>IFERROR(INDEX(PP_Grid[#Data],$DE1454,47),0)</f>
        <v/>
      </c>
      <c r="AY1454">
        <f>IFERROR(INDEX(PP_Grid[#Data],$DE1454,48),0)</f>
        <v/>
      </c>
      <c r="AZ1454">
        <f>IFERROR(INDEX(PP_Grid[#Data],$DE1454,49),0)</f>
        <v/>
      </c>
      <c r="BA1454">
        <f>IFERROR(INDEX(PP_Grid[#Data],$DE1454,50),0)</f>
        <v/>
      </c>
      <c r="BB1454">
        <f>IFERROR(INDEX(PP_Grid[#Data],$DE1454,51),0)</f>
        <v/>
      </c>
      <c r="BC1454">
        <f>IFERROR(INDEX(PP_Grid[#Data],$DE1454,52),0)</f>
        <v/>
      </c>
      <c r="BD1454">
        <f>IFERROR(INDEX(PP_Grid[#Data],$DE1454,53),0)</f>
        <v/>
      </c>
      <c r="BE1454">
        <f>IFERROR(INDEX(PP_Grid[#Data],$DE1454,54),0)</f>
        <v/>
      </c>
      <c r="BF1454">
        <f>IFERROR(INDEX(PP_Grid[#Data],$DE1454,55),0)</f>
        <v/>
      </c>
      <c r="BG1454">
        <f>IFERROR(INDEX(PP_Grid[#Data],$DE1454,56),0)</f>
        <v/>
      </c>
      <c r="BH1454">
        <f>IFERROR(INDEX(PP_Grid[#Data],$DE1454,57),0)</f>
        <v/>
      </c>
      <c r="BI1454">
        <f>IFERROR(INDEX(PP_Grid[#Data],$DE1454,58),0)</f>
        <v/>
      </c>
      <c r="BJ1454">
        <f>IFERROR(INDEX(PP_Grid[#Data],$DE1454,59),0)</f>
        <v/>
      </c>
      <c r="BK1454">
        <f>IFERROR(INDEX(PP_Grid[#Data],$DE1454,60),0)</f>
        <v/>
      </c>
      <c r="BL1454">
        <f>IFERROR(INDEX(PP_Grid[#Data],$DE1454,61),0)</f>
        <v/>
      </c>
      <c r="BM1454">
        <f>IFERROR(INDEX(PP_Grid[#Data],$DE1454,62),0)</f>
        <v/>
      </c>
      <c r="BN1454">
        <f>IFERROR(INDEX(PP_Grid[#Data],$DE1454,63),0)</f>
        <v/>
      </c>
      <c r="BO1454">
        <f>IFERROR(INDEX(PP_Grid[#Data],$DE1454,64),0)</f>
        <v/>
      </c>
      <c r="BP1454">
        <f>IFERROR(INDEX(PP_Grid[#Data],$DE1454,65),0)</f>
        <v/>
      </c>
      <c r="BQ1454">
        <f>IFERROR(INDEX(PP_Grid[#Data],$DE1454,66),0)</f>
        <v/>
      </c>
      <c r="BR1454">
        <f>IFERROR(INDEX(PP_Grid[#Data],$DE1454,67),0)</f>
        <v/>
      </c>
      <c r="BS1454">
        <f>IFERROR(INDEX(PP_Grid[#Data],$DE1454,68),0)</f>
        <v/>
      </c>
      <c r="BT1454">
        <f>IFERROR(INDEX(PP_Grid[#Data],$DE1454,69),0)</f>
        <v/>
      </c>
      <c r="BU1454">
        <f>IFERROR(INDEX(PP_Grid[#Data],$DE1454,70),0)</f>
        <v/>
      </c>
      <c r="BV1454">
        <f>IFERROR(INDEX(PP_Grid[#Data],$DE1454,71),0)</f>
        <v/>
      </c>
      <c r="BW1454">
        <f>IFERROR(INDEX(PP_Grid[#Data],$DE1454,72),0)</f>
        <v/>
      </c>
      <c r="BX1454">
        <f>IFERROR(INDEX(PP_Grid[#Data],$DE1454,73),0)</f>
        <v/>
      </c>
      <c r="BY1454">
        <f>IFERROR(INDEX(PP_Grid[#Data],$DE1454,74),0)</f>
        <v/>
      </c>
      <c r="BZ1454">
        <f>IFERROR(INDEX(PP_Grid[#Data],$DE1454,75),0)</f>
        <v/>
      </c>
      <c r="CA1454">
        <f>IFERROR(INDEX(PP_Grid[#Data],$DE1454,76),0)</f>
        <v/>
      </c>
      <c r="CB1454">
        <f>IFERROR(INDEX(PP_Grid[#Data],$DE1454,77),0)</f>
        <v/>
      </c>
      <c r="CC1454">
        <f>IFERROR(INDEX(PP_Grid[#Data],$DE1454,78),0)</f>
        <v/>
      </c>
      <c r="CD1454">
        <f>IFERROR(INDEX(PP_Grid[#Data],$DE1454,79),0)</f>
        <v/>
      </c>
      <c r="CE1454">
        <f>IFERROR(INDEX(PP_Grid[#Data],$DE1454,80),0)</f>
        <v/>
      </c>
      <c r="CF1454">
        <f>IFERROR(INDEX(PP_Grid[#Data],$DE1454,81),0)</f>
        <v/>
      </c>
      <c r="CG1454">
        <f>IFERROR(INDEX(PP_Grid[#Data],$DE1454,82),0)</f>
        <v/>
      </c>
      <c r="CH1454">
        <f>IFERROR(INDEX(PP_Grid[#Data],$DE1454,83),0)</f>
        <v/>
      </c>
      <c r="CI1454">
        <f>IFERROR(INDEX(PP_Grid[#Data],$DE1454,84),0)</f>
        <v/>
      </c>
      <c r="CJ1454">
        <f>IFERROR(INDEX(PP_Grid[#Data],$DE1454,85),0)</f>
        <v/>
      </c>
      <c r="CK1454">
        <f>IFERROR(INDEX(PP_Grid[#Data],$DE1454,86),0)</f>
        <v/>
      </c>
      <c r="CL1454">
        <f>IFERROR(INDEX(PP_Grid[#Data],$DE1454,87),0)</f>
        <v/>
      </c>
      <c r="CM1454">
        <f>IFERROR(INDEX(PP_Grid[#Data],$DE1454,88),0)</f>
        <v/>
      </c>
      <c r="CN1454">
        <f>IFERROR(INDEX(PP_Grid[#Data],$DE1454,89),0)</f>
        <v/>
      </c>
      <c r="CO1454">
        <f>IFERROR(INDEX(PP_Grid[#Data],$DE1454,90),0)</f>
        <v/>
      </c>
      <c r="CP1454">
        <f>IFERROR(INDEX(PP_Grid[#Data],$DE1454,91),0)</f>
        <v/>
      </c>
      <c r="CQ1454">
        <f>IFERROR(INDEX(PP_Grid[#Data],$DE1454,92),0)</f>
        <v/>
      </c>
      <c r="CR1454">
        <f>IFERROR(INDEX(PP_Grid[#Data],$DE1454,93),0)</f>
        <v/>
      </c>
      <c r="CS1454">
        <f>IFERROR(INDEX(PP_Grid[#Data],$DE1454,94),0)</f>
        <v/>
      </c>
      <c r="CT1454">
        <f>IFERROR(INDEX(PP_Grid[#Data],$DE1454,95),0)</f>
        <v/>
      </c>
      <c r="CU1454">
        <f>IFERROR(INDEX(PP_Grid[#Data],$DE1454,96),0)</f>
        <v/>
      </c>
      <c r="CV1454">
        <f>IFERROR(INDEX(PP_Grid[#Data],$DE1454,97),0)</f>
        <v/>
      </c>
      <c r="CW1454">
        <f>IFERROR(INDEX(PP_Grid[#Data],$DE1454,98),0)</f>
        <v/>
      </c>
      <c r="CX1454">
        <f>IFERROR(INDEX(PP_Grid[#Data],$DE1454,99),0)</f>
        <v/>
      </c>
      <c r="CY1454">
        <f>IFERROR(INDEX(PP_Grid[#Data],$DE1454,100),0)</f>
        <v/>
      </c>
      <c r="CZ1454">
        <f>IFERROR(INDEX(PP_Grid[#Data],$DE1454,101),0)</f>
        <v/>
      </c>
      <c r="DA1454">
        <f>IFERROR(INDEX(PP_Grid[#Data],$DE1454,102),0)</f>
        <v/>
      </c>
      <c r="DB1454">
        <f>IFERROR(INDEX(PP_Grid[#Data],$DE1454,103),0)</f>
        <v/>
      </c>
      <c r="DC1454">
        <f>IFERROR(INDEX(PP_Grid[#Data],$DE1454,104),0)</f>
        <v/>
      </c>
      <c r="DD1454">
        <f>IFERROR(INDEX(PP_Grid[#Data],$DE1454,105),0)</f>
        <v/>
      </c>
      <c r="DE1454" s="7">
        <f>IFERROR(MATCH($B1454,PP_Grid[Intermediate],0),99999)</f>
        <v/>
      </c>
    </row>
    <row r="1455">
      <c r="B1455" t="inlineStr">
        <is>
          <t>使用量(kg)</t>
        </is>
      </c>
      <c r="C1455">
        <f>SUMIFS(M_BOM[RM_Qty_Per_Batch],M_BOM[Intermediate],$B1454,M_BOM[RM_Code],$A1451)</f>
        <v/>
      </c>
      <c r="D1455">
        <f>IFERROR(INDEX(E1455:DD1455,$F$1),"")</f>
        <v/>
      </c>
      <c r="E1455">
        <f>$C1455*E1454</f>
        <v/>
      </c>
      <c r="F1455">
        <f>$C1455*F1454</f>
        <v/>
      </c>
      <c r="G1455">
        <f>$C1455*G1454</f>
        <v/>
      </c>
      <c r="H1455">
        <f>$C1455*H1454</f>
        <v/>
      </c>
      <c r="I1455">
        <f>$C1455*I1454</f>
        <v/>
      </c>
      <c r="J1455">
        <f>$C1455*J1454</f>
        <v/>
      </c>
      <c r="K1455">
        <f>$C1455*K1454</f>
        <v/>
      </c>
      <c r="L1455">
        <f>$C1455*L1454</f>
        <v/>
      </c>
      <c r="M1455">
        <f>$C1455*M1454</f>
        <v/>
      </c>
      <c r="N1455">
        <f>$C1455*N1454</f>
        <v/>
      </c>
      <c r="O1455">
        <f>$C1455*O1454</f>
        <v/>
      </c>
      <c r="P1455">
        <f>$C1455*P1454</f>
        <v/>
      </c>
      <c r="Q1455">
        <f>$C1455*Q1454</f>
        <v/>
      </c>
      <c r="R1455">
        <f>$C1455*R1454</f>
        <v/>
      </c>
      <c r="S1455">
        <f>$C1455*S1454</f>
        <v/>
      </c>
      <c r="T1455">
        <f>$C1455*T1454</f>
        <v/>
      </c>
      <c r="U1455">
        <f>$C1455*U1454</f>
        <v/>
      </c>
      <c r="V1455">
        <f>$C1455*V1454</f>
        <v/>
      </c>
      <c r="W1455">
        <f>$C1455*W1454</f>
        <v/>
      </c>
      <c r="X1455">
        <f>$C1455*X1454</f>
        <v/>
      </c>
      <c r="Y1455">
        <f>$C1455*Y1454</f>
        <v/>
      </c>
      <c r="Z1455">
        <f>$C1455*Z1454</f>
        <v/>
      </c>
      <c r="AA1455">
        <f>$C1455*AA1454</f>
        <v/>
      </c>
      <c r="AB1455">
        <f>$C1455*AB1454</f>
        <v/>
      </c>
      <c r="AC1455">
        <f>$C1455*AC1454</f>
        <v/>
      </c>
      <c r="AD1455">
        <f>$C1455*AD1454</f>
        <v/>
      </c>
      <c r="AE1455">
        <f>$C1455*AE1454</f>
        <v/>
      </c>
      <c r="AF1455">
        <f>$C1455*AF1454</f>
        <v/>
      </c>
      <c r="AG1455">
        <f>$C1455*AG1454</f>
        <v/>
      </c>
      <c r="AH1455">
        <f>$C1455*AH1454</f>
        <v/>
      </c>
      <c r="AI1455">
        <f>$C1455*AI1454</f>
        <v/>
      </c>
      <c r="AJ1455">
        <f>$C1455*AJ1454</f>
        <v/>
      </c>
      <c r="AK1455">
        <f>$C1455*AK1454</f>
        <v/>
      </c>
      <c r="AL1455">
        <f>$C1455*AL1454</f>
        <v/>
      </c>
      <c r="AM1455">
        <f>$C1455*AM1454</f>
        <v/>
      </c>
      <c r="AN1455">
        <f>$C1455*AN1454</f>
        <v/>
      </c>
      <c r="AO1455">
        <f>$C1455*AO1454</f>
        <v/>
      </c>
      <c r="AP1455">
        <f>$C1455*AP1454</f>
        <v/>
      </c>
      <c r="AQ1455">
        <f>$C1455*AQ1454</f>
        <v/>
      </c>
      <c r="AR1455">
        <f>$C1455*AR1454</f>
        <v/>
      </c>
      <c r="AS1455">
        <f>$C1455*AS1454</f>
        <v/>
      </c>
      <c r="AT1455">
        <f>$C1455*AT1454</f>
        <v/>
      </c>
      <c r="AU1455">
        <f>$C1455*AU1454</f>
        <v/>
      </c>
      <c r="AV1455">
        <f>$C1455*AV1454</f>
        <v/>
      </c>
      <c r="AW1455">
        <f>$C1455*AW1454</f>
        <v/>
      </c>
      <c r="AX1455">
        <f>$C1455*AX1454</f>
        <v/>
      </c>
      <c r="AY1455">
        <f>$C1455*AY1454</f>
        <v/>
      </c>
      <c r="AZ1455">
        <f>$C1455*AZ1454</f>
        <v/>
      </c>
      <c r="BA1455">
        <f>$C1455*BA1454</f>
        <v/>
      </c>
      <c r="BB1455">
        <f>$C1455*BB1454</f>
        <v/>
      </c>
      <c r="BC1455">
        <f>$C1455*BC1454</f>
        <v/>
      </c>
      <c r="BD1455">
        <f>$C1455*BD1454</f>
        <v/>
      </c>
      <c r="BE1455">
        <f>$C1455*BE1454</f>
        <v/>
      </c>
      <c r="BF1455">
        <f>$C1455*BF1454</f>
        <v/>
      </c>
      <c r="BG1455">
        <f>$C1455*BG1454</f>
        <v/>
      </c>
      <c r="BH1455">
        <f>$C1455*BH1454</f>
        <v/>
      </c>
      <c r="BI1455">
        <f>$C1455*BI1454</f>
        <v/>
      </c>
      <c r="BJ1455">
        <f>$C1455*BJ1454</f>
        <v/>
      </c>
      <c r="BK1455">
        <f>$C1455*BK1454</f>
        <v/>
      </c>
      <c r="BL1455">
        <f>$C1455*BL1454</f>
        <v/>
      </c>
      <c r="BM1455">
        <f>$C1455*BM1454</f>
        <v/>
      </c>
      <c r="BN1455">
        <f>$C1455*BN1454</f>
        <v/>
      </c>
      <c r="BO1455">
        <f>$C1455*BO1454</f>
        <v/>
      </c>
      <c r="BP1455">
        <f>$C1455*BP1454</f>
        <v/>
      </c>
      <c r="BQ1455">
        <f>$C1455*BQ1454</f>
        <v/>
      </c>
      <c r="BR1455">
        <f>$C1455*BR1454</f>
        <v/>
      </c>
      <c r="BS1455">
        <f>$C1455*BS1454</f>
        <v/>
      </c>
      <c r="BT1455">
        <f>$C1455*BT1454</f>
        <v/>
      </c>
      <c r="BU1455">
        <f>$C1455*BU1454</f>
        <v/>
      </c>
      <c r="BV1455">
        <f>$C1455*BV1454</f>
        <v/>
      </c>
      <c r="BW1455">
        <f>$C1455*BW1454</f>
        <v/>
      </c>
      <c r="BX1455">
        <f>$C1455*BX1454</f>
        <v/>
      </c>
      <c r="BY1455">
        <f>$C1455*BY1454</f>
        <v/>
      </c>
      <c r="BZ1455">
        <f>$C1455*BZ1454</f>
        <v/>
      </c>
      <c r="CA1455">
        <f>$C1455*CA1454</f>
        <v/>
      </c>
      <c r="CB1455">
        <f>$C1455*CB1454</f>
        <v/>
      </c>
      <c r="CC1455">
        <f>$C1455*CC1454</f>
        <v/>
      </c>
      <c r="CD1455">
        <f>$C1455*CD1454</f>
        <v/>
      </c>
      <c r="CE1455">
        <f>$C1455*CE1454</f>
        <v/>
      </c>
      <c r="CF1455">
        <f>$C1455*CF1454</f>
        <v/>
      </c>
      <c r="CG1455">
        <f>$C1455*CG1454</f>
        <v/>
      </c>
      <c r="CH1455">
        <f>$C1455*CH1454</f>
        <v/>
      </c>
      <c r="CI1455">
        <f>$C1455*CI1454</f>
        <v/>
      </c>
      <c r="CJ1455">
        <f>$C1455*CJ1454</f>
        <v/>
      </c>
      <c r="CK1455">
        <f>$C1455*CK1454</f>
        <v/>
      </c>
      <c r="CL1455">
        <f>$C1455*CL1454</f>
        <v/>
      </c>
      <c r="CM1455">
        <f>$C1455*CM1454</f>
        <v/>
      </c>
      <c r="CN1455">
        <f>$C1455*CN1454</f>
        <v/>
      </c>
      <c r="CO1455">
        <f>$C1455*CO1454</f>
        <v/>
      </c>
      <c r="CP1455">
        <f>$C1455*CP1454</f>
        <v/>
      </c>
      <c r="CQ1455">
        <f>$C1455*CQ1454</f>
        <v/>
      </c>
      <c r="CR1455">
        <f>$C1455*CR1454</f>
        <v/>
      </c>
      <c r="CS1455">
        <f>$C1455*CS1454</f>
        <v/>
      </c>
      <c r="CT1455">
        <f>$C1455*CT1454</f>
        <v/>
      </c>
      <c r="CU1455">
        <f>$C1455*CU1454</f>
        <v/>
      </c>
      <c r="CV1455">
        <f>$C1455*CV1454</f>
        <v/>
      </c>
      <c r="CW1455">
        <f>$C1455*CW1454</f>
        <v/>
      </c>
      <c r="CX1455">
        <f>$C1455*CX1454</f>
        <v/>
      </c>
      <c r="CY1455">
        <f>$C1455*CY1454</f>
        <v/>
      </c>
      <c r="CZ1455">
        <f>$C1455*CZ1454</f>
        <v/>
      </c>
      <c r="DA1455">
        <f>$C1455*DA1454</f>
        <v/>
      </c>
      <c r="DB1455">
        <f>$C1455*DB1454</f>
        <v/>
      </c>
      <c r="DC1455">
        <f>$C1455*DC1454</f>
        <v/>
      </c>
      <c r="DD1455">
        <f>$C1455*DD1454</f>
        <v/>
      </c>
    </row>
    <row r="1456">
      <c r="B1456" t="inlineStr">
        <is>
          <t>TSP-927</t>
        </is>
      </c>
      <c r="C1456" t="inlineStr">
        <is>
          <t>No. of batches</t>
        </is>
      </c>
      <c r="D1456">
        <f>IFERROR(INDEX(E1456:DD1456,$F$1),"")</f>
        <v/>
      </c>
      <c r="E1456">
        <f>IFERROR(INDEX(PP_Grid[#Data],$DE1456,2),0)</f>
        <v/>
      </c>
      <c r="F1456">
        <f>IFERROR(INDEX(PP_Grid[#Data],$DE1456,3),0)</f>
        <v/>
      </c>
      <c r="G1456">
        <f>IFERROR(INDEX(PP_Grid[#Data],$DE1456,4),0)</f>
        <v/>
      </c>
      <c r="H1456">
        <f>IFERROR(INDEX(PP_Grid[#Data],$DE1456,5),0)</f>
        <v/>
      </c>
      <c r="I1456">
        <f>IFERROR(INDEX(PP_Grid[#Data],$DE1456,6),0)</f>
        <v/>
      </c>
      <c r="J1456">
        <f>IFERROR(INDEX(PP_Grid[#Data],$DE1456,7),0)</f>
        <v/>
      </c>
      <c r="K1456">
        <f>IFERROR(INDEX(PP_Grid[#Data],$DE1456,8),0)</f>
        <v/>
      </c>
      <c r="L1456">
        <f>IFERROR(INDEX(PP_Grid[#Data],$DE1456,9),0)</f>
        <v/>
      </c>
      <c r="M1456">
        <f>IFERROR(INDEX(PP_Grid[#Data],$DE1456,10),0)</f>
        <v/>
      </c>
      <c r="N1456">
        <f>IFERROR(INDEX(PP_Grid[#Data],$DE1456,11),0)</f>
        <v/>
      </c>
      <c r="O1456">
        <f>IFERROR(INDEX(PP_Grid[#Data],$DE1456,12),0)</f>
        <v/>
      </c>
      <c r="P1456">
        <f>IFERROR(INDEX(PP_Grid[#Data],$DE1456,13),0)</f>
        <v/>
      </c>
      <c r="Q1456">
        <f>IFERROR(INDEX(PP_Grid[#Data],$DE1456,14),0)</f>
        <v/>
      </c>
      <c r="R1456">
        <f>IFERROR(INDEX(PP_Grid[#Data],$DE1456,15),0)</f>
        <v/>
      </c>
      <c r="S1456">
        <f>IFERROR(INDEX(PP_Grid[#Data],$DE1456,16),0)</f>
        <v/>
      </c>
      <c r="T1456">
        <f>IFERROR(INDEX(PP_Grid[#Data],$DE1456,17),0)</f>
        <v/>
      </c>
      <c r="U1456">
        <f>IFERROR(INDEX(PP_Grid[#Data],$DE1456,18),0)</f>
        <v/>
      </c>
      <c r="V1456">
        <f>IFERROR(INDEX(PP_Grid[#Data],$DE1456,19),0)</f>
        <v/>
      </c>
      <c r="W1456">
        <f>IFERROR(INDEX(PP_Grid[#Data],$DE1456,20),0)</f>
        <v/>
      </c>
      <c r="X1456">
        <f>IFERROR(INDEX(PP_Grid[#Data],$DE1456,21),0)</f>
        <v/>
      </c>
      <c r="Y1456">
        <f>IFERROR(INDEX(PP_Grid[#Data],$DE1456,22),0)</f>
        <v/>
      </c>
      <c r="Z1456">
        <f>IFERROR(INDEX(PP_Grid[#Data],$DE1456,23),0)</f>
        <v/>
      </c>
      <c r="AA1456">
        <f>IFERROR(INDEX(PP_Grid[#Data],$DE1456,24),0)</f>
        <v/>
      </c>
      <c r="AB1456">
        <f>IFERROR(INDEX(PP_Grid[#Data],$DE1456,25),0)</f>
        <v/>
      </c>
      <c r="AC1456">
        <f>IFERROR(INDEX(PP_Grid[#Data],$DE1456,26),0)</f>
        <v/>
      </c>
      <c r="AD1456">
        <f>IFERROR(INDEX(PP_Grid[#Data],$DE1456,27),0)</f>
        <v/>
      </c>
      <c r="AE1456">
        <f>IFERROR(INDEX(PP_Grid[#Data],$DE1456,28),0)</f>
        <v/>
      </c>
      <c r="AF1456">
        <f>IFERROR(INDEX(PP_Grid[#Data],$DE1456,29),0)</f>
        <v/>
      </c>
      <c r="AG1456">
        <f>IFERROR(INDEX(PP_Grid[#Data],$DE1456,30),0)</f>
        <v/>
      </c>
      <c r="AH1456">
        <f>IFERROR(INDEX(PP_Grid[#Data],$DE1456,31),0)</f>
        <v/>
      </c>
      <c r="AI1456">
        <f>IFERROR(INDEX(PP_Grid[#Data],$DE1456,32),0)</f>
        <v/>
      </c>
      <c r="AJ1456">
        <f>IFERROR(INDEX(PP_Grid[#Data],$DE1456,33),0)</f>
        <v/>
      </c>
      <c r="AK1456">
        <f>IFERROR(INDEX(PP_Grid[#Data],$DE1456,34),0)</f>
        <v/>
      </c>
      <c r="AL1456">
        <f>IFERROR(INDEX(PP_Grid[#Data],$DE1456,35),0)</f>
        <v/>
      </c>
      <c r="AM1456">
        <f>IFERROR(INDEX(PP_Grid[#Data],$DE1456,36),0)</f>
        <v/>
      </c>
      <c r="AN1456">
        <f>IFERROR(INDEX(PP_Grid[#Data],$DE1456,37),0)</f>
        <v/>
      </c>
      <c r="AO1456">
        <f>IFERROR(INDEX(PP_Grid[#Data],$DE1456,38),0)</f>
        <v/>
      </c>
      <c r="AP1456">
        <f>IFERROR(INDEX(PP_Grid[#Data],$DE1456,39),0)</f>
        <v/>
      </c>
      <c r="AQ1456">
        <f>IFERROR(INDEX(PP_Grid[#Data],$DE1456,40),0)</f>
        <v/>
      </c>
      <c r="AR1456">
        <f>IFERROR(INDEX(PP_Grid[#Data],$DE1456,41),0)</f>
        <v/>
      </c>
      <c r="AS1456">
        <f>IFERROR(INDEX(PP_Grid[#Data],$DE1456,42),0)</f>
        <v/>
      </c>
      <c r="AT1456">
        <f>IFERROR(INDEX(PP_Grid[#Data],$DE1456,43),0)</f>
        <v/>
      </c>
      <c r="AU1456">
        <f>IFERROR(INDEX(PP_Grid[#Data],$DE1456,44),0)</f>
        <v/>
      </c>
      <c r="AV1456">
        <f>IFERROR(INDEX(PP_Grid[#Data],$DE1456,45),0)</f>
        <v/>
      </c>
      <c r="AW1456">
        <f>IFERROR(INDEX(PP_Grid[#Data],$DE1456,46),0)</f>
        <v/>
      </c>
      <c r="AX1456">
        <f>IFERROR(INDEX(PP_Grid[#Data],$DE1456,47),0)</f>
        <v/>
      </c>
      <c r="AY1456">
        <f>IFERROR(INDEX(PP_Grid[#Data],$DE1456,48),0)</f>
        <v/>
      </c>
      <c r="AZ1456">
        <f>IFERROR(INDEX(PP_Grid[#Data],$DE1456,49),0)</f>
        <v/>
      </c>
      <c r="BA1456">
        <f>IFERROR(INDEX(PP_Grid[#Data],$DE1456,50),0)</f>
        <v/>
      </c>
      <c r="BB1456">
        <f>IFERROR(INDEX(PP_Grid[#Data],$DE1456,51),0)</f>
        <v/>
      </c>
      <c r="BC1456">
        <f>IFERROR(INDEX(PP_Grid[#Data],$DE1456,52),0)</f>
        <v/>
      </c>
      <c r="BD1456">
        <f>IFERROR(INDEX(PP_Grid[#Data],$DE1456,53),0)</f>
        <v/>
      </c>
      <c r="BE1456">
        <f>IFERROR(INDEX(PP_Grid[#Data],$DE1456,54),0)</f>
        <v/>
      </c>
      <c r="BF1456">
        <f>IFERROR(INDEX(PP_Grid[#Data],$DE1456,55),0)</f>
        <v/>
      </c>
      <c r="BG1456">
        <f>IFERROR(INDEX(PP_Grid[#Data],$DE1456,56),0)</f>
        <v/>
      </c>
      <c r="BH1456">
        <f>IFERROR(INDEX(PP_Grid[#Data],$DE1456,57),0)</f>
        <v/>
      </c>
      <c r="BI1456">
        <f>IFERROR(INDEX(PP_Grid[#Data],$DE1456,58),0)</f>
        <v/>
      </c>
      <c r="BJ1456">
        <f>IFERROR(INDEX(PP_Grid[#Data],$DE1456,59),0)</f>
        <v/>
      </c>
      <c r="BK1456">
        <f>IFERROR(INDEX(PP_Grid[#Data],$DE1456,60),0)</f>
        <v/>
      </c>
      <c r="BL1456">
        <f>IFERROR(INDEX(PP_Grid[#Data],$DE1456,61),0)</f>
        <v/>
      </c>
      <c r="BM1456">
        <f>IFERROR(INDEX(PP_Grid[#Data],$DE1456,62),0)</f>
        <v/>
      </c>
      <c r="BN1456">
        <f>IFERROR(INDEX(PP_Grid[#Data],$DE1456,63),0)</f>
        <v/>
      </c>
      <c r="BO1456">
        <f>IFERROR(INDEX(PP_Grid[#Data],$DE1456,64),0)</f>
        <v/>
      </c>
      <c r="BP1456">
        <f>IFERROR(INDEX(PP_Grid[#Data],$DE1456,65),0)</f>
        <v/>
      </c>
      <c r="BQ1456">
        <f>IFERROR(INDEX(PP_Grid[#Data],$DE1456,66),0)</f>
        <v/>
      </c>
      <c r="BR1456">
        <f>IFERROR(INDEX(PP_Grid[#Data],$DE1456,67),0)</f>
        <v/>
      </c>
      <c r="BS1456">
        <f>IFERROR(INDEX(PP_Grid[#Data],$DE1456,68),0)</f>
        <v/>
      </c>
      <c r="BT1456">
        <f>IFERROR(INDEX(PP_Grid[#Data],$DE1456,69),0)</f>
        <v/>
      </c>
      <c r="BU1456">
        <f>IFERROR(INDEX(PP_Grid[#Data],$DE1456,70),0)</f>
        <v/>
      </c>
      <c r="BV1456">
        <f>IFERROR(INDEX(PP_Grid[#Data],$DE1456,71),0)</f>
        <v/>
      </c>
      <c r="BW1456">
        <f>IFERROR(INDEX(PP_Grid[#Data],$DE1456,72),0)</f>
        <v/>
      </c>
      <c r="BX1456">
        <f>IFERROR(INDEX(PP_Grid[#Data],$DE1456,73),0)</f>
        <v/>
      </c>
      <c r="BY1456">
        <f>IFERROR(INDEX(PP_Grid[#Data],$DE1456,74),0)</f>
        <v/>
      </c>
      <c r="BZ1456">
        <f>IFERROR(INDEX(PP_Grid[#Data],$DE1456,75),0)</f>
        <v/>
      </c>
      <c r="CA1456">
        <f>IFERROR(INDEX(PP_Grid[#Data],$DE1456,76),0)</f>
        <v/>
      </c>
      <c r="CB1456">
        <f>IFERROR(INDEX(PP_Grid[#Data],$DE1456,77),0)</f>
        <v/>
      </c>
      <c r="CC1456">
        <f>IFERROR(INDEX(PP_Grid[#Data],$DE1456,78),0)</f>
        <v/>
      </c>
      <c r="CD1456">
        <f>IFERROR(INDEX(PP_Grid[#Data],$DE1456,79),0)</f>
        <v/>
      </c>
      <c r="CE1456">
        <f>IFERROR(INDEX(PP_Grid[#Data],$DE1456,80),0)</f>
        <v/>
      </c>
      <c r="CF1456">
        <f>IFERROR(INDEX(PP_Grid[#Data],$DE1456,81),0)</f>
        <v/>
      </c>
      <c r="CG1456">
        <f>IFERROR(INDEX(PP_Grid[#Data],$DE1456,82),0)</f>
        <v/>
      </c>
      <c r="CH1456">
        <f>IFERROR(INDEX(PP_Grid[#Data],$DE1456,83),0)</f>
        <v/>
      </c>
      <c r="CI1456">
        <f>IFERROR(INDEX(PP_Grid[#Data],$DE1456,84),0)</f>
        <v/>
      </c>
      <c r="CJ1456">
        <f>IFERROR(INDEX(PP_Grid[#Data],$DE1456,85),0)</f>
        <v/>
      </c>
      <c r="CK1456">
        <f>IFERROR(INDEX(PP_Grid[#Data],$DE1456,86),0)</f>
        <v/>
      </c>
      <c r="CL1456">
        <f>IFERROR(INDEX(PP_Grid[#Data],$DE1456,87),0)</f>
        <v/>
      </c>
      <c r="CM1456">
        <f>IFERROR(INDEX(PP_Grid[#Data],$DE1456,88),0)</f>
        <v/>
      </c>
      <c r="CN1456">
        <f>IFERROR(INDEX(PP_Grid[#Data],$DE1456,89),0)</f>
        <v/>
      </c>
      <c r="CO1456">
        <f>IFERROR(INDEX(PP_Grid[#Data],$DE1456,90),0)</f>
        <v/>
      </c>
      <c r="CP1456">
        <f>IFERROR(INDEX(PP_Grid[#Data],$DE1456,91),0)</f>
        <v/>
      </c>
      <c r="CQ1456">
        <f>IFERROR(INDEX(PP_Grid[#Data],$DE1456,92),0)</f>
        <v/>
      </c>
      <c r="CR1456">
        <f>IFERROR(INDEX(PP_Grid[#Data],$DE1456,93),0)</f>
        <v/>
      </c>
      <c r="CS1456">
        <f>IFERROR(INDEX(PP_Grid[#Data],$DE1456,94),0)</f>
        <v/>
      </c>
      <c r="CT1456">
        <f>IFERROR(INDEX(PP_Grid[#Data],$DE1456,95),0)</f>
        <v/>
      </c>
      <c r="CU1456">
        <f>IFERROR(INDEX(PP_Grid[#Data],$DE1456,96),0)</f>
        <v/>
      </c>
      <c r="CV1456">
        <f>IFERROR(INDEX(PP_Grid[#Data],$DE1456,97),0)</f>
        <v/>
      </c>
      <c r="CW1456">
        <f>IFERROR(INDEX(PP_Grid[#Data],$DE1456,98),0)</f>
        <v/>
      </c>
      <c r="CX1456">
        <f>IFERROR(INDEX(PP_Grid[#Data],$DE1456,99),0)</f>
        <v/>
      </c>
      <c r="CY1456">
        <f>IFERROR(INDEX(PP_Grid[#Data],$DE1456,100),0)</f>
        <v/>
      </c>
      <c r="CZ1456">
        <f>IFERROR(INDEX(PP_Grid[#Data],$DE1456,101),0)</f>
        <v/>
      </c>
      <c r="DA1456">
        <f>IFERROR(INDEX(PP_Grid[#Data],$DE1456,102),0)</f>
        <v/>
      </c>
      <c r="DB1456">
        <f>IFERROR(INDEX(PP_Grid[#Data],$DE1456,103),0)</f>
        <v/>
      </c>
      <c r="DC1456">
        <f>IFERROR(INDEX(PP_Grid[#Data],$DE1456,104),0)</f>
        <v/>
      </c>
      <c r="DD1456">
        <f>IFERROR(INDEX(PP_Grid[#Data],$DE1456,105),0)</f>
        <v/>
      </c>
      <c r="DE1456" s="7">
        <f>IFERROR(MATCH($B1456,PP_Grid[Intermediate],0),99999)</f>
        <v/>
      </c>
    </row>
    <row r="1457">
      <c r="B1457" t="inlineStr">
        <is>
          <t>使用量(kg)</t>
        </is>
      </c>
      <c r="C1457">
        <f>SUMIFS(M_BOM[RM_Qty_Per_Batch],M_BOM[Intermediate],$B1456,M_BOM[RM_Code],$A1451)</f>
        <v/>
      </c>
      <c r="D1457">
        <f>IFERROR(INDEX(E1457:DD1457,$F$1),"")</f>
        <v/>
      </c>
      <c r="E1457">
        <f>$C1457*E1456</f>
        <v/>
      </c>
      <c r="F1457">
        <f>$C1457*F1456</f>
        <v/>
      </c>
      <c r="G1457">
        <f>$C1457*G1456</f>
        <v/>
      </c>
      <c r="H1457">
        <f>$C1457*H1456</f>
        <v/>
      </c>
      <c r="I1457">
        <f>$C1457*I1456</f>
        <v/>
      </c>
      <c r="J1457">
        <f>$C1457*J1456</f>
        <v/>
      </c>
      <c r="K1457">
        <f>$C1457*K1456</f>
        <v/>
      </c>
      <c r="L1457">
        <f>$C1457*L1456</f>
        <v/>
      </c>
      <c r="M1457">
        <f>$C1457*M1456</f>
        <v/>
      </c>
      <c r="N1457">
        <f>$C1457*N1456</f>
        <v/>
      </c>
      <c r="O1457">
        <f>$C1457*O1456</f>
        <v/>
      </c>
      <c r="P1457">
        <f>$C1457*P1456</f>
        <v/>
      </c>
      <c r="Q1457">
        <f>$C1457*Q1456</f>
        <v/>
      </c>
      <c r="R1457">
        <f>$C1457*R1456</f>
        <v/>
      </c>
      <c r="S1457">
        <f>$C1457*S1456</f>
        <v/>
      </c>
      <c r="T1457">
        <f>$C1457*T1456</f>
        <v/>
      </c>
      <c r="U1457">
        <f>$C1457*U1456</f>
        <v/>
      </c>
      <c r="V1457">
        <f>$C1457*V1456</f>
        <v/>
      </c>
      <c r="W1457">
        <f>$C1457*W1456</f>
        <v/>
      </c>
      <c r="X1457">
        <f>$C1457*X1456</f>
        <v/>
      </c>
      <c r="Y1457">
        <f>$C1457*Y1456</f>
        <v/>
      </c>
      <c r="Z1457">
        <f>$C1457*Z1456</f>
        <v/>
      </c>
      <c r="AA1457">
        <f>$C1457*AA1456</f>
        <v/>
      </c>
      <c r="AB1457">
        <f>$C1457*AB1456</f>
        <v/>
      </c>
      <c r="AC1457">
        <f>$C1457*AC1456</f>
        <v/>
      </c>
      <c r="AD1457">
        <f>$C1457*AD1456</f>
        <v/>
      </c>
      <c r="AE1457">
        <f>$C1457*AE1456</f>
        <v/>
      </c>
      <c r="AF1457">
        <f>$C1457*AF1456</f>
        <v/>
      </c>
      <c r="AG1457">
        <f>$C1457*AG1456</f>
        <v/>
      </c>
      <c r="AH1457">
        <f>$C1457*AH1456</f>
        <v/>
      </c>
      <c r="AI1457">
        <f>$C1457*AI1456</f>
        <v/>
      </c>
      <c r="AJ1457">
        <f>$C1457*AJ1456</f>
        <v/>
      </c>
      <c r="AK1457">
        <f>$C1457*AK1456</f>
        <v/>
      </c>
      <c r="AL1457">
        <f>$C1457*AL1456</f>
        <v/>
      </c>
      <c r="AM1457">
        <f>$C1457*AM1456</f>
        <v/>
      </c>
      <c r="AN1457">
        <f>$C1457*AN1456</f>
        <v/>
      </c>
      <c r="AO1457">
        <f>$C1457*AO1456</f>
        <v/>
      </c>
      <c r="AP1457">
        <f>$C1457*AP1456</f>
        <v/>
      </c>
      <c r="AQ1457">
        <f>$C1457*AQ1456</f>
        <v/>
      </c>
      <c r="AR1457">
        <f>$C1457*AR1456</f>
        <v/>
      </c>
      <c r="AS1457">
        <f>$C1457*AS1456</f>
        <v/>
      </c>
      <c r="AT1457">
        <f>$C1457*AT1456</f>
        <v/>
      </c>
      <c r="AU1457">
        <f>$C1457*AU1456</f>
        <v/>
      </c>
      <c r="AV1457">
        <f>$C1457*AV1456</f>
        <v/>
      </c>
      <c r="AW1457">
        <f>$C1457*AW1456</f>
        <v/>
      </c>
      <c r="AX1457">
        <f>$C1457*AX1456</f>
        <v/>
      </c>
      <c r="AY1457">
        <f>$C1457*AY1456</f>
        <v/>
      </c>
      <c r="AZ1457">
        <f>$C1457*AZ1456</f>
        <v/>
      </c>
      <c r="BA1457">
        <f>$C1457*BA1456</f>
        <v/>
      </c>
      <c r="BB1457">
        <f>$C1457*BB1456</f>
        <v/>
      </c>
      <c r="BC1457">
        <f>$C1457*BC1456</f>
        <v/>
      </c>
      <c r="BD1457">
        <f>$C1457*BD1456</f>
        <v/>
      </c>
      <c r="BE1457">
        <f>$C1457*BE1456</f>
        <v/>
      </c>
      <c r="BF1457">
        <f>$C1457*BF1456</f>
        <v/>
      </c>
      <c r="BG1457">
        <f>$C1457*BG1456</f>
        <v/>
      </c>
      <c r="BH1457">
        <f>$C1457*BH1456</f>
        <v/>
      </c>
      <c r="BI1457">
        <f>$C1457*BI1456</f>
        <v/>
      </c>
      <c r="BJ1457">
        <f>$C1457*BJ1456</f>
        <v/>
      </c>
      <c r="BK1457">
        <f>$C1457*BK1456</f>
        <v/>
      </c>
      <c r="BL1457">
        <f>$C1457*BL1456</f>
        <v/>
      </c>
      <c r="BM1457">
        <f>$C1457*BM1456</f>
        <v/>
      </c>
      <c r="BN1457">
        <f>$C1457*BN1456</f>
        <v/>
      </c>
      <c r="BO1457">
        <f>$C1457*BO1456</f>
        <v/>
      </c>
      <c r="BP1457">
        <f>$C1457*BP1456</f>
        <v/>
      </c>
      <c r="BQ1457">
        <f>$C1457*BQ1456</f>
        <v/>
      </c>
      <c r="BR1457">
        <f>$C1457*BR1456</f>
        <v/>
      </c>
      <c r="BS1457">
        <f>$C1457*BS1456</f>
        <v/>
      </c>
      <c r="BT1457">
        <f>$C1457*BT1456</f>
        <v/>
      </c>
      <c r="BU1457">
        <f>$C1457*BU1456</f>
        <v/>
      </c>
      <c r="BV1457">
        <f>$C1457*BV1456</f>
        <v/>
      </c>
      <c r="BW1457">
        <f>$C1457*BW1456</f>
        <v/>
      </c>
      <c r="BX1457">
        <f>$C1457*BX1456</f>
        <v/>
      </c>
      <c r="BY1457">
        <f>$C1457*BY1456</f>
        <v/>
      </c>
      <c r="BZ1457">
        <f>$C1457*BZ1456</f>
        <v/>
      </c>
      <c r="CA1457">
        <f>$C1457*CA1456</f>
        <v/>
      </c>
      <c r="CB1457">
        <f>$C1457*CB1456</f>
        <v/>
      </c>
      <c r="CC1457">
        <f>$C1457*CC1456</f>
        <v/>
      </c>
      <c r="CD1457">
        <f>$C1457*CD1456</f>
        <v/>
      </c>
      <c r="CE1457">
        <f>$C1457*CE1456</f>
        <v/>
      </c>
      <c r="CF1457">
        <f>$C1457*CF1456</f>
        <v/>
      </c>
      <c r="CG1457">
        <f>$C1457*CG1456</f>
        <v/>
      </c>
      <c r="CH1457">
        <f>$C1457*CH1456</f>
        <v/>
      </c>
      <c r="CI1457">
        <f>$C1457*CI1456</f>
        <v/>
      </c>
      <c r="CJ1457">
        <f>$C1457*CJ1456</f>
        <v/>
      </c>
      <c r="CK1457">
        <f>$C1457*CK1456</f>
        <v/>
      </c>
      <c r="CL1457">
        <f>$C1457*CL1456</f>
        <v/>
      </c>
      <c r="CM1457">
        <f>$C1457*CM1456</f>
        <v/>
      </c>
      <c r="CN1457">
        <f>$C1457*CN1456</f>
        <v/>
      </c>
      <c r="CO1457">
        <f>$C1457*CO1456</f>
        <v/>
      </c>
      <c r="CP1457">
        <f>$C1457*CP1456</f>
        <v/>
      </c>
      <c r="CQ1457">
        <f>$C1457*CQ1456</f>
        <v/>
      </c>
      <c r="CR1457">
        <f>$C1457*CR1456</f>
        <v/>
      </c>
      <c r="CS1457">
        <f>$C1457*CS1456</f>
        <v/>
      </c>
      <c r="CT1457">
        <f>$C1457*CT1456</f>
        <v/>
      </c>
      <c r="CU1457">
        <f>$C1457*CU1456</f>
        <v/>
      </c>
      <c r="CV1457">
        <f>$C1457*CV1456</f>
        <v/>
      </c>
      <c r="CW1457">
        <f>$C1457*CW1456</f>
        <v/>
      </c>
      <c r="CX1457">
        <f>$C1457*CX1456</f>
        <v/>
      </c>
      <c r="CY1457">
        <f>$C1457*CY1456</f>
        <v/>
      </c>
      <c r="CZ1457">
        <f>$C1457*CZ1456</f>
        <v/>
      </c>
      <c r="DA1457">
        <f>$C1457*DA1456</f>
        <v/>
      </c>
      <c r="DB1457">
        <f>$C1457*DB1456</f>
        <v/>
      </c>
      <c r="DC1457">
        <f>$C1457*DC1456</f>
        <v/>
      </c>
      <c r="DD1457">
        <f>$C1457*DD1456</f>
        <v/>
      </c>
    </row>
    <row r="1458">
      <c r="B1458" t="inlineStr">
        <is>
          <t>TSP-928</t>
        </is>
      </c>
      <c r="C1458" t="inlineStr">
        <is>
          <t>No. of batches</t>
        </is>
      </c>
      <c r="D1458">
        <f>IFERROR(INDEX(E1458:DD1458,$F$1),"")</f>
        <v/>
      </c>
      <c r="E1458">
        <f>IFERROR(INDEX(PP_Grid[#Data],$DE1458,2),0)</f>
        <v/>
      </c>
      <c r="F1458">
        <f>IFERROR(INDEX(PP_Grid[#Data],$DE1458,3),0)</f>
        <v/>
      </c>
      <c r="G1458">
        <f>IFERROR(INDEX(PP_Grid[#Data],$DE1458,4),0)</f>
        <v/>
      </c>
      <c r="H1458">
        <f>IFERROR(INDEX(PP_Grid[#Data],$DE1458,5),0)</f>
        <v/>
      </c>
      <c r="I1458">
        <f>IFERROR(INDEX(PP_Grid[#Data],$DE1458,6),0)</f>
        <v/>
      </c>
      <c r="J1458">
        <f>IFERROR(INDEX(PP_Grid[#Data],$DE1458,7),0)</f>
        <v/>
      </c>
      <c r="K1458">
        <f>IFERROR(INDEX(PP_Grid[#Data],$DE1458,8),0)</f>
        <v/>
      </c>
      <c r="L1458">
        <f>IFERROR(INDEX(PP_Grid[#Data],$DE1458,9),0)</f>
        <v/>
      </c>
      <c r="M1458">
        <f>IFERROR(INDEX(PP_Grid[#Data],$DE1458,10),0)</f>
        <v/>
      </c>
      <c r="N1458">
        <f>IFERROR(INDEX(PP_Grid[#Data],$DE1458,11),0)</f>
        <v/>
      </c>
      <c r="O1458">
        <f>IFERROR(INDEX(PP_Grid[#Data],$DE1458,12),0)</f>
        <v/>
      </c>
      <c r="P1458">
        <f>IFERROR(INDEX(PP_Grid[#Data],$DE1458,13),0)</f>
        <v/>
      </c>
      <c r="Q1458">
        <f>IFERROR(INDEX(PP_Grid[#Data],$DE1458,14),0)</f>
        <v/>
      </c>
      <c r="R1458">
        <f>IFERROR(INDEX(PP_Grid[#Data],$DE1458,15),0)</f>
        <v/>
      </c>
      <c r="S1458">
        <f>IFERROR(INDEX(PP_Grid[#Data],$DE1458,16),0)</f>
        <v/>
      </c>
      <c r="T1458">
        <f>IFERROR(INDEX(PP_Grid[#Data],$DE1458,17),0)</f>
        <v/>
      </c>
      <c r="U1458">
        <f>IFERROR(INDEX(PP_Grid[#Data],$DE1458,18),0)</f>
        <v/>
      </c>
      <c r="V1458">
        <f>IFERROR(INDEX(PP_Grid[#Data],$DE1458,19),0)</f>
        <v/>
      </c>
      <c r="W1458">
        <f>IFERROR(INDEX(PP_Grid[#Data],$DE1458,20),0)</f>
        <v/>
      </c>
      <c r="X1458">
        <f>IFERROR(INDEX(PP_Grid[#Data],$DE1458,21),0)</f>
        <v/>
      </c>
      <c r="Y1458">
        <f>IFERROR(INDEX(PP_Grid[#Data],$DE1458,22),0)</f>
        <v/>
      </c>
      <c r="Z1458">
        <f>IFERROR(INDEX(PP_Grid[#Data],$DE1458,23),0)</f>
        <v/>
      </c>
      <c r="AA1458">
        <f>IFERROR(INDEX(PP_Grid[#Data],$DE1458,24),0)</f>
        <v/>
      </c>
      <c r="AB1458">
        <f>IFERROR(INDEX(PP_Grid[#Data],$DE1458,25),0)</f>
        <v/>
      </c>
      <c r="AC1458">
        <f>IFERROR(INDEX(PP_Grid[#Data],$DE1458,26),0)</f>
        <v/>
      </c>
      <c r="AD1458">
        <f>IFERROR(INDEX(PP_Grid[#Data],$DE1458,27),0)</f>
        <v/>
      </c>
      <c r="AE1458">
        <f>IFERROR(INDEX(PP_Grid[#Data],$DE1458,28),0)</f>
        <v/>
      </c>
      <c r="AF1458">
        <f>IFERROR(INDEX(PP_Grid[#Data],$DE1458,29),0)</f>
        <v/>
      </c>
      <c r="AG1458">
        <f>IFERROR(INDEX(PP_Grid[#Data],$DE1458,30),0)</f>
        <v/>
      </c>
      <c r="AH1458">
        <f>IFERROR(INDEX(PP_Grid[#Data],$DE1458,31),0)</f>
        <v/>
      </c>
      <c r="AI1458">
        <f>IFERROR(INDEX(PP_Grid[#Data],$DE1458,32),0)</f>
        <v/>
      </c>
      <c r="AJ1458">
        <f>IFERROR(INDEX(PP_Grid[#Data],$DE1458,33),0)</f>
        <v/>
      </c>
      <c r="AK1458">
        <f>IFERROR(INDEX(PP_Grid[#Data],$DE1458,34),0)</f>
        <v/>
      </c>
      <c r="AL1458">
        <f>IFERROR(INDEX(PP_Grid[#Data],$DE1458,35),0)</f>
        <v/>
      </c>
      <c r="AM1458">
        <f>IFERROR(INDEX(PP_Grid[#Data],$DE1458,36),0)</f>
        <v/>
      </c>
      <c r="AN1458">
        <f>IFERROR(INDEX(PP_Grid[#Data],$DE1458,37),0)</f>
        <v/>
      </c>
      <c r="AO1458">
        <f>IFERROR(INDEX(PP_Grid[#Data],$DE1458,38),0)</f>
        <v/>
      </c>
      <c r="AP1458">
        <f>IFERROR(INDEX(PP_Grid[#Data],$DE1458,39),0)</f>
        <v/>
      </c>
      <c r="AQ1458">
        <f>IFERROR(INDEX(PP_Grid[#Data],$DE1458,40),0)</f>
        <v/>
      </c>
      <c r="AR1458">
        <f>IFERROR(INDEX(PP_Grid[#Data],$DE1458,41),0)</f>
        <v/>
      </c>
      <c r="AS1458">
        <f>IFERROR(INDEX(PP_Grid[#Data],$DE1458,42),0)</f>
        <v/>
      </c>
      <c r="AT1458">
        <f>IFERROR(INDEX(PP_Grid[#Data],$DE1458,43),0)</f>
        <v/>
      </c>
      <c r="AU1458">
        <f>IFERROR(INDEX(PP_Grid[#Data],$DE1458,44),0)</f>
        <v/>
      </c>
      <c r="AV1458">
        <f>IFERROR(INDEX(PP_Grid[#Data],$DE1458,45),0)</f>
        <v/>
      </c>
      <c r="AW1458">
        <f>IFERROR(INDEX(PP_Grid[#Data],$DE1458,46),0)</f>
        <v/>
      </c>
      <c r="AX1458">
        <f>IFERROR(INDEX(PP_Grid[#Data],$DE1458,47),0)</f>
        <v/>
      </c>
      <c r="AY1458">
        <f>IFERROR(INDEX(PP_Grid[#Data],$DE1458,48),0)</f>
        <v/>
      </c>
      <c r="AZ1458">
        <f>IFERROR(INDEX(PP_Grid[#Data],$DE1458,49),0)</f>
        <v/>
      </c>
      <c r="BA1458">
        <f>IFERROR(INDEX(PP_Grid[#Data],$DE1458,50),0)</f>
        <v/>
      </c>
      <c r="BB1458">
        <f>IFERROR(INDEX(PP_Grid[#Data],$DE1458,51),0)</f>
        <v/>
      </c>
      <c r="BC1458">
        <f>IFERROR(INDEX(PP_Grid[#Data],$DE1458,52),0)</f>
        <v/>
      </c>
      <c r="BD1458">
        <f>IFERROR(INDEX(PP_Grid[#Data],$DE1458,53),0)</f>
        <v/>
      </c>
      <c r="BE1458">
        <f>IFERROR(INDEX(PP_Grid[#Data],$DE1458,54),0)</f>
        <v/>
      </c>
      <c r="BF1458">
        <f>IFERROR(INDEX(PP_Grid[#Data],$DE1458,55),0)</f>
        <v/>
      </c>
      <c r="BG1458">
        <f>IFERROR(INDEX(PP_Grid[#Data],$DE1458,56),0)</f>
        <v/>
      </c>
      <c r="BH1458">
        <f>IFERROR(INDEX(PP_Grid[#Data],$DE1458,57),0)</f>
        <v/>
      </c>
      <c r="BI1458">
        <f>IFERROR(INDEX(PP_Grid[#Data],$DE1458,58),0)</f>
        <v/>
      </c>
      <c r="BJ1458">
        <f>IFERROR(INDEX(PP_Grid[#Data],$DE1458,59),0)</f>
        <v/>
      </c>
      <c r="BK1458">
        <f>IFERROR(INDEX(PP_Grid[#Data],$DE1458,60),0)</f>
        <v/>
      </c>
      <c r="BL1458">
        <f>IFERROR(INDEX(PP_Grid[#Data],$DE1458,61),0)</f>
        <v/>
      </c>
      <c r="BM1458">
        <f>IFERROR(INDEX(PP_Grid[#Data],$DE1458,62),0)</f>
        <v/>
      </c>
      <c r="BN1458">
        <f>IFERROR(INDEX(PP_Grid[#Data],$DE1458,63),0)</f>
        <v/>
      </c>
      <c r="BO1458">
        <f>IFERROR(INDEX(PP_Grid[#Data],$DE1458,64),0)</f>
        <v/>
      </c>
      <c r="BP1458">
        <f>IFERROR(INDEX(PP_Grid[#Data],$DE1458,65),0)</f>
        <v/>
      </c>
      <c r="BQ1458">
        <f>IFERROR(INDEX(PP_Grid[#Data],$DE1458,66),0)</f>
        <v/>
      </c>
      <c r="BR1458">
        <f>IFERROR(INDEX(PP_Grid[#Data],$DE1458,67),0)</f>
        <v/>
      </c>
      <c r="BS1458">
        <f>IFERROR(INDEX(PP_Grid[#Data],$DE1458,68),0)</f>
        <v/>
      </c>
      <c r="BT1458">
        <f>IFERROR(INDEX(PP_Grid[#Data],$DE1458,69),0)</f>
        <v/>
      </c>
      <c r="BU1458">
        <f>IFERROR(INDEX(PP_Grid[#Data],$DE1458,70),0)</f>
        <v/>
      </c>
      <c r="BV1458">
        <f>IFERROR(INDEX(PP_Grid[#Data],$DE1458,71),0)</f>
        <v/>
      </c>
      <c r="BW1458">
        <f>IFERROR(INDEX(PP_Grid[#Data],$DE1458,72),0)</f>
        <v/>
      </c>
      <c r="BX1458">
        <f>IFERROR(INDEX(PP_Grid[#Data],$DE1458,73),0)</f>
        <v/>
      </c>
      <c r="BY1458">
        <f>IFERROR(INDEX(PP_Grid[#Data],$DE1458,74),0)</f>
        <v/>
      </c>
      <c r="BZ1458">
        <f>IFERROR(INDEX(PP_Grid[#Data],$DE1458,75),0)</f>
        <v/>
      </c>
      <c r="CA1458">
        <f>IFERROR(INDEX(PP_Grid[#Data],$DE1458,76),0)</f>
        <v/>
      </c>
      <c r="CB1458">
        <f>IFERROR(INDEX(PP_Grid[#Data],$DE1458,77),0)</f>
        <v/>
      </c>
      <c r="CC1458">
        <f>IFERROR(INDEX(PP_Grid[#Data],$DE1458,78),0)</f>
        <v/>
      </c>
      <c r="CD1458">
        <f>IFERROR(INDEX(PP_Grid[#Data],$DE1458,79),0)</f>
        <v/>
      </c>
      <c r="CE1458">
        <f>IFERROR(INDEX(PP_Grid[#Data],$DE1458,80),0)</f>
        <v/>
      </c>
      <c r="CF1458">
        <f>IFERROR(INDEX(PP_Grid[#Data],$DE1458,81),0)</f>
        <v/>
      </c>
      <c r="CG1458">
        <f>IFERROR(INDEX(PP_Grid[#Data],$DE1458,82),0)</f>
        <v/>
      </c>
      <c r="CH1458">
        <f>IFERROR(INDEX(PP_Grid[#Data],$DE1458,83),0)</f>
        <v/>
      </c>
      <c r="CI1458">
        <f>IFERROR(INDEX(PP_Grid[#Data],$DE1458,84),0)</f>
        <v/>
      </c>
      <c r="CJ1458">
        <f>IFERROR(INDEX(PP_Grid[#Data],$DE1458,85),0)</f>
        <v/>
      </c>
      <c r="CK1458">
        <f>IFERROR(INDEX(PP_Grid[#Data],$DE1458,86),0)</f>
        <v/>
      </c>
      <c r="CL1458">
        <f>IFERROR(INDEX(PP_Grid[#Data],$DE1458,87),0)</f>
        <v/>
      </c>
      <c r="CM1458">
        <f>IFERROR(INDEX(PP_Grid[#Data],$DE1458,88),0)</f>
        <v/>
      </c>
      <c r="CN1458">
        <f>IFERROR(INDEX(PP_Grid[#Data],$DE1458,89),0)</f>
        <v/>
      </c>
      <c r="CO1458">
        <f>IFERROR(INDEX(PP_Grid[#Data],$DE1458,90),0)</f>
        <v/>
      </c>
      <c r="CP1458">
        <f>IFERROR(INDEX(PP_Grid[#Data],$DE1458,91),0)</f>
        <v/>
      </c>
      <c r="CQ1458">
        <f>IFERROR(INDEX(PP_Grid[#Data],$DE1458,92),0)</f>
        <v/>
      </c>
      <c r="CR1458">
        <f>IFERROR(INDEX(PP_Grid[#Data],$DE1458,93),0)</f>
        <v/>
      </c>
      <c r="CS1458">
        <f>IFERROR(INDEX(PP_Grid[#Data],$DE1458,94),0)</f>
        <v/>
      </c>
      <c r="CT1458">
        <f>IFERROR(INDEX(PP_Grid[#Data],$DE1458,95),0)</f>
        <v/>
      </c>
      <c r="CU1458">
        <f>IFERROR(INDEX(PP_Grid[#Data],$DE1458,96),0)</f>
        <v/>
      </c>
      <c r="CV1458">
        <f>IFERROR(INDEX(PP_Grid[#Data],$DE1458,97),0)</f>
        <v/>
      </c>
      <c r="CW1458">
        <f>IFERROR(INDEX(PP_Grid[#Data],$DE1458,98),0)</f>
        <v/>
      </c>
      <c r="CX1458">
        <f>IFERROR(INDEX(PP_Grid[#Data],$DE1458,99),0)</f>
        <v/>
      </c>
      <c r="CY1458">
        <f>IFERROR(INDEX(PP_Grid[#Data],$DE1458,100),0)</f>
        <v/>
      </c>
      <c r="CZ1458">
        <f>IFERROR(INDEX(PP_Grid[#Data],$DE1458,101),0)</f>
        <v/>
      </c>
      <c r="DA1458">
        <f>IFERROR(INDEX(PP_Grid[#Data],$DE1458,102),0)</f>
        <v/>
      </c>
      <c r="DB1458">
        <f>IFERROR(INDEX(PP_Grid[#Data],$DE1458,103),0)</f>
        <v/>
      </c>
      <c r="DC1458">
        <f>IFERROR(INDEX(PP_Grid[#Data],$DE1458,104),0)</f>
        <v/>
      </c>
      <c r="DD1458">
        <f>IFERROR(INDEX(PP_Grid[#Data],$DE1458,105),0)</f>
        <v/>
      </c>
      <c r="DE1458" s="7">
        <f>IFERROR(MATCH($B1458,PP_Grid[Intermediate],0),99999)</f>
        <v/>
      </c>
    </row>
    <row r="1459">
      <c r="B1459" t="inlineStr">
        <is>
          <t>使用量(kg)</t>
        </is>
      </c>
      <c r="C1459">
        <f>SUMIFS(M_BOM[RM_Qty_Per_Batch],M_BOM[Intermediate],$B1458,M_BOM[RM_Code],$A1451)</f>
        <v/>
      </c>
      <c r="D1459">
        <f>IFERROR(INDEX(E1459:DD1459,$F$1),"")</f>
        <v/>
      </c>
      <c r="E1459">
        <f>$C1459*E1458</f>
        <v/>
      </c>
      <c r="F1459">
        <f>$C1459*F1458</f>
        <v/>
      </c>
      <c r="G1459">
        <f>$C1459*G1458</f>
        <v/>
      </c>
      <c r="H1459">
        <f>$C1459*H1458</f>
        <v/>
      </c>
      <c r="I1459">
        <f>$C1459*I1458</f>
        <v/>
      </c>
      <c r="J1459">
        <f>$C1459*J1458</f>
        <v/>
      </c>
      <c r="K1459">
        <f>$C1459*K1458</f>
        <v/>
      </c>
      <c r="L1459">
        <f>$C1459*L1458</f>
        <v/>
      </c>
      <c r="M1459">
        <f>$C1459*M1458</f>
        <v/>
      </c>
      <c r="N1459">
        <f>$C1459*N1458</f>
        <v/>
      </c>
      <c r="O1459">
        <f>$C1459*O1458</f>
        <v/>
      </c>
      <c r="P1459">
        <f>$C1459*P1458</f>
        <v/>
      </c>
      <c r="Q1459">
        <f>$C1459*Q1458</f>
        <v/>
      </c>
      <c r="R1459">
        <f>$C1459*R1458</f>
        <v/>
      </c>
      <c r="S1459">
        <f>$C1459*S1458</f>
        <v/>
      </c>
      <c r="T1459">
        <f>$C1459*T1458</f>
        <v/>
      </c>
      <c r="U1459">
        <f>$C1459*U1458</f>
        <v/>
      </c>
      <c r="V1459">
        <f>$C1459*V1458</f>
        <v/>
      </c>
      <c r="W1459">
        <f>$C1459*W1458</f>
        <v/>
      </c>
      <c r="X1459">
        <f>$C1459*X1458</f>
        <v/>
      </c>
      <c r="Y1459">
        <f>$C1459*Y1458</f>
        <v/>
      </c>
      <c r="Z1459">
        <f>$C1459*Z1458</f>
        <v/>
      </c>
      <c r="AA1459">
        <f>$C1459*AA1458</f>
        <v/>
      </c>
      <c r="AB1459">
        <f>$C1459*AB1458</f>
        <v/>
      </c>
      <c r="AC1459">
        <f>$C1459*AC1458</f>
        <v/>
      </c>
      <c r="AD1459">
        <f>$C1459*AD1458</f>
        <v/>
      </c>
      <c r="AE1459">
        <f>$C1459*AE1458</f>
        <v/>
      </c>
      <c r="AF1459">
        <f>$C1459*AF1458</f>
        <v/>
      </c>
      <c r="AG1459">
        <f>$C1459*AG1458</f>
        <v/>
      </c>
      <c r="AH1459">
        <f>$C1459*AH1458</f>
        <v/>
      </c>
      <c r="AI1459">
        <f>$C1459*AI1458</f>
        <v/>
      </c>
      <c r="AJ1459">
        <f>$C1459*AJ1458</f>
        <v/>
      </c>
      <c r="AK1459">
        <f>$C1459*AK1458</f>
        <v/>
      </c>
      <c r="AL1459">
        <f>$C1459*AL1458</f>
        <v/>
      </c>
      <c r="AM1459">
        <f>$C1459*AM1458</f>
        <v/>
      </c>
      <c r="AN1459">
        <f>$C1459*AN1458</f>
        <v/>
      </c>
      <c r="AO1459">
        <f>$C1459*AO1458</f>
        <v/>
      </c>
      <c r="AP1459">
        <f>$C1459*AP1458</f>
        <v/>
      </c>
      <c r="AQ1459">
        <f>$C1459*AQ1458</f>
        <v/>
      </c>
      <c r="AR1459">
        <f>$C1459*AR1458</f>
        <v/>
      </c>
      <c r="AS1459">
        <f>$C1459*AS1458</f>
        <v/>
      </c>
      <c r="AT1459">
        <f>$C1459*AT1458</f>
        <v/>
      </c>
      <c r="AU1459">
        <f>$C1459*AU1458</f>
        <v/>
      </c>
      <c r="AV1459">
        <f>$C1459*AV1458</f>
        <v/>
      </c>
      <c r="AW1459">
        <f>$C1459*AW1458</f>
        <v/>
      </c>
      <c r="AX1459">
        <f>$C1459*AX1458</f>
        <v/>
      </c>
      <c r="AY1459">
        <f>$C1459*AY1458</f>
        <v/>
      </c>
      <c r="AZ1459">
        <f>$C1459*AZ1458</f>
        <v/>
      </c>
      <c r="BA1459">
        <f>$C1459*BA1458</f>
        <v/>
      </c>
      <c r="BB1459">
        <f>$C1459*BB1458</f>
        <v/>
      </c>
      <c r="BC1459">
        <f>$C1459*BC1458</f>
        <v/>
      </c>
      <c r="BD1459">
        <f>$C1459*BD1458</f>
        <v/>
      </c>
      <c r="BE1459">
        <f>$C1459*BE1458</f>
        <v/>
      </c>
      <c r="BF1459">
        <f>$C1459*BF1458</f>
        <v/>
      </c>
      <c r="BG1459">
        <f>$C1459*BG1458</f>
        <v/>
      </c>
      <c r="BH1459">
        <f>$C1459*BH1458</f>
        <v/>
      </c>
      <c r="BI1459">
        <f>$C1459*BI1458</f>
        <v/>
      </c>
      <c r="BJ1459">
        <f>$C1459*BJ1458</f>
        <v/>
      </c>
      <c r="BK1459">
        <f>$C1459*BK1458</f>
        <v/>
      </c>
      <c r="BL1459">
        <f>$C1459*BL1458</f>
        <v/>
      </c>
      <c r="BM1459">
        <f>$C1459*BM1458</f>
        <v/>
      </c>
      <c r="BN1459">
        <f>$C1459*BN1458</f>
        <v/>
      </c>
      <c r="BO1459">
        <f>$C1459*BO1458</f>
        <v/>
      </c>
      <c r="BP1459">
        <f>$C1459*BP1458</f>
        <v/>
      </c>
      <c r="BQ1459">
        <f>$C1459*BQ1458</f>
        <v/>
      </c>
      <c r="BR1459">
        <f>$C1459*BR1458</f>
        <v/>
      </c>
      <c r="BS1459">
        <f>$C1459*BS1458</f>
        <v/>
      </c>
      <c r="BT1459">
        <f>$C1459*BT1458</f>
        <v/>
      </c>
      <c r="BU1459">
        <f>$C1459*BU1458</f>
        <v/>
      </c>
      <c r="BV1459">
        <f>$C1459*BV1458</f>
        <v/>
      </c>
      <c r="BW1459">
        <f>$C1459*BW1458</f>
        <v/>
      </c>
      <c r="BX1459">
        <f>$C1459*BX1458</f>
        <v/>
      </c>
      <c r="BY1459">
        <f>$C1459*BY1458</f>
        <v/>
      </c>
      <c r="BZ1459">
        <f>$C1459*BZ1458</f>
        <v/>
      </c>
      <c r="CA1459">
        <f>$C1459*CA1458</f>
        <v/>
      </c>
      <c r="CB1459">
        <f>$C1459*CB1458</f>
        <v/>
      </c>
      <c r="CC1459">
        <f>$C1459*CC1458</f>
        <v/>
      </c>
      <c r="CD1459">
        <f>$C1459*CD1458</f>
        <v/>
      </c>
      <c r="CE1459">
        <f>$C1459*CE1458</f>
        <v/>
      </c>
      <c r="CF1459">
        <f>$C1459*CF1458</f>
        <v/>
      </c>
      <c r="CG1459">
        <f>$C1459*CG1458</f>
        <v/>
      </c>
      <c r="CH1459">
        <f>$C1459*CH1458</f>
        <v/>
      </c>
      <c r="CI1459">
        <f>$C1459*CI1458</f>
        <v/>
      </c>
      <c r="CJ1459">
        <f>$C1459*CJ1458</f>
        <v/>
      </c>
      <c r="CK1459">
        <f>$C1459*CK1458</f>
        <v/>
      </c>
      <c r="CL1459">
        <f>$C1459*CL1458</f>
        <v/>
      </c>
      <c r="CM1459">
        <f>$C1459*CM1458</f>
        <v/>
      </c>
      <c r="CN1459">
        <f>$C1459*CN1458</f>
        <v/>
      </c>
      <c r="CO1459">
        <f>$C1459*CO1458</f>
        <v/>
      </c>
      <c r="CP1459">
        <f>$C1459*CP1458</f>
        <v/>
      </c>
      <c r="CQ1459">
        <f>$C1459*CQ1458</f>
        <v/>
      </c>
      <c r="CR1459">
        <f>$C1459*CR1458</f>
        <v/>
      </c>
      <c r="CS1459">
        <f>$C1459*CS1458</f>
        <v/>
      </c>
      <c r="CT1459">
        <f>$C1459*CT1458</f>
        <v/>
      </c>
      <c r="CU1459">
        <f>$C1459*CU1458</f>
        <v/>
      </c>
      <c r="CV1459">
        <f>$C1459*CV1458</f>
        <v/>
      </c>
      <c r="CW1459">
        <f>$C1459*CW1458</f>
        <v/>
      </c>
      <c r="CX1459">
        <f>$C1459*CX1458</f>
        <v/>
      </c>
      <c r="CY1459">
        <f>$C1459*CY1458</f>
        <v/>
      </c>
      <c r="CZ1459">
        <f>$C1459*CZ1458</f>
        <v/>
      </c>
      <c r="DA1459">
        <f>$C1459*DA1458</f>
        <v/>
      </c>
      <c r="DB1459">
        <f>$C1459*DB1458</f>
        <v/>
      </c>
      <c r="DC1459">
        <f>$C1459*DC1458</f>
        <v/>
      </c>
      <c r="DD1459">
        <f>$C1459*DD1458</f>
        <v/>
      </c>
    </row>
    <row r="1460">
      <c r="B1460" t="inlineStr">
        <is>
          <t>TSP-929</t>
        </is>
      </c>
      <c r="C1460" t="inlineStr">
        <is>
          <t>No. of batches</t>
        </is>
      </c>
      <c r="D1460">
        <f>IFERROR(INDEX(E1460:DD1460,$F$1),"")</f>
        <v/>
      </c>
      <c r="E1460">
        <f>IFERROR(INDEX(PP_Grid[#Data],$DE1460,2),0)</f>
        <v/>
      </c>
      <c r="F1460">
        <f>IFERROR(INDEX(PP_Grid[#Data],$DE1460,3),0)</f>
        <v/>
      </c>
      <c r="G1460">
        <f>IFERROR(INDEX(PP_Grid[#Data],$DE1460,4),0)</f>
        <v/>
      </c>
      <c r="H1460">
        <f>IFERROR(INDEX(PP_Grid[#Data],$DE1460,5),0)</f>
        <v/>
      </c>
      <c r="I1460">
        <f>IFERROR(INDEX(PP_Grid[#Data],$DE1460,6),0)</f>
        <v/>
      </c>
      <c r="J1460">
        <f>IFERROR(INDEX(PP_Grid[#Data],$DE1460,7),0)</f>
        <v/>
      </c>
      <c r="K1460">
        <f>IFERROR(INDEX(PP_Grid[#Data],$DE1460,8),0)</f>
        <v/>
      </c>
      <c r="L1460">
        <f>IFERROR(INDEX(PP_Grid[#Data],$DE1460,9),0)</f>
        <v/>
      </c>
      <c r="M1460">
        <f>IFERROR(INDEX(PP_Grid[#Data],$DE1460,10),0)</f>
        <v/>
      </c>
      <c r="N1460">
        <f>IFERROR(INDEX(PP_Grid[#Data],$DE1460,11),0)</f>
        <v/>
      </c>
      <c r="O1460">
        <f>IFERROR(INDEX(PP_Grid[#Data],$DE1460,12),0)</f>
        <v/>
      </c>
      <c r="P1460">
        <f>IFERROR(INDEX(PP_Grid[#Data],$DE1460,13),0)</f>
        <v/>
      </c>
      <c r="Q1460">
        <f>IFERROR(INDEX(PP_Grid[#Data],$DE1460,14),0)</f>
        <v/>
      </c>
      <c r="R1460">
        <f>IFERROR(INDEX(PP_Grid[#Data],$DE1460,15),0)</f>
        <v/>
      </c>
      <c r="S1460">
        <f>IFERROR(INDEX(PP_Grid[#Data],$DE1460,16),0)</f>
        <v/>
      </c>
      <c r="T1460">
        <f>IFERROR(INDEX(PP_Grid[#Data],$DE1460,17),0)</f>
        <v/>
      </c>
      <c r="U1460">
        <f>IFERROR(INDEX(PP_Grid[#Data],$DE1460,18),0)</f>
        <v/>
      </c>
      <c r="V1460">
        <f>IFERROR(INDEX(PP_Grid[#Data],$DE1460,19),0)</f>
        <v/>
      </c>
      <c r="W1460">
        <f>IFERROR(INDEX(PP_Grid[#Data],$DE1460,20),0)</f>
        <v/>
      </c>
      <c r="X1460">
        <f>IFERROR(INDEX(PP_Grid[#Data],$DE1460,21),0)</f>
        <v/>
      </c>
      <c r="Y1460">
        <f>IFERROR(INDEX(PP_Grid[#Data],$DE1460,22),0)</f>
        <v/>
      </c>
      <c r="Z1460">
        <f>IFERROR(INDEX(PP_Grid[#Data],$DE1460,23),0)</f>
        <v/>
      </c>
      <c r="AA1460">
        <f>IFERROR(INDEX(PP_Grid[#Data],$DE1460,24),0)</f>
        <v/>
      </c>
      <c r="AB1460">
        <f>IFERROR(INDEX(PP_Grid[#Data],$DE1460,25),0)</f>
        <v/>
      </c>
      <c r="AC1460">
        <f>IFERROR(INDEX(PP_Grid[#Data],$DE1460,26),0)</f>
        <v/>
      </c>
      <c r="AD1460">
        <f>IFERROR(INDEX(PP_Grid[#Data],$DE1460,27),0)</f>
        <v/>
      </c>
      <c r="AE1460">
        <f>IFERROR(INDEX(PP_Grid[#Data],$DE1460,28),0)</f>
        <v/>
      </c>
      <c r="AF1460">
        <f>IFERROR(INDEX(PP_Grid[#Data],$DE1460,29),0)</f>
        <v/>
      </c>
      <c r="AG1460">
        <f>IFERROR(INDEX(PP_Grid[#Data],$DE1460,30),0)</f>
        <v/>
      </c>
      <c r="AH1460">
        <f>IFERROR(INDEX(PP_Grid[#Data],$DE1460,31),0)</f>
        <v/>
      </c>
      <c r="AI1460">
        <f>IFERROR(INDEX(PP_Grid[#Data],$DE1460,32),0)</f>
        <v/>
      </c>
      <c r="AJ1460">
        <f>IFERROR(INDEX(PP_Grid[#Data],$DE1460,33),0)</f>
        <v/>
      </c>
      <c r="AK1460">
        <f>IFERROR(INDEX(PP_Grid[#Data],$DE1460,34),0)</f>
        <v/>
      </c>
      <c r="AL1460">
        <f>IFERROR(INDEX(PP_Grid[#Data],$DE1460,35),0)</f>
        <v/>
      </c>
      <c r="AM1460">
        <f>IFERROR(INDEX(PP_Grid[#Data],$DE1460,36),0)</f>
        <v/>
      </c>
      <c r="AN1460">
        <f>IFERROR(INDEX(PP_Grid[#Data],$DE1460,37),0)</f>
        <v/>
      </c>
      <c r="AO1460">
        <f>IFERROR(INDEX(PP_Grid[#Data],$DE1460,38),0)</f>
        <v/>
      </c>
      <c r="AP1460">
        <f>IFERROR(INDEX(PP_Grid[#Data],$DE1460,39),0)</f>
        <v/>
      </c>
      <c r="AQ1460">
        <f>IFERROR(INDEX(PP_Grid[#Data],$DE1460,40),0)</f>
        <v/>
      </c>
      <c r="AR1460">
        <f>IFERROR(INDEX(PP_Grid[#Data],$DE1460,41),0)</f>
        <v/>
      </c>
      <c r="AS1460">
        <f>IFERROR(INDEX(PP_Grid[#Data],$DE1460,42),0)</f>
        <v/>
      </c>
      <c r="AT1460">
        <f>IFERROR(INDEX(PP_Grid[#Data],$DE1460,43),0)</f>
        <v/>
      </c>
      <c r="AU1460">
        <f>IFERROR(INDEX(PP_Grid[#Data],$DE1460,44),0)</f>
        <v/>
      </c>
      <c r="AV1460">
        <f>IFERROR(INDEX(PP_Grid[#Data],$DE1460,45),0)</f>
        <v/>
      </c>
      <c r="AW1460">
        <f>IFERROR(INDEX(PP_Grid[#Data],$DE1460,46),0)</f>
        <v/>
      </c>
      <c r="AX1460">
        <f>IFERROR(INDEX(PP_Grid[#Data],$DE1460,47),0)</f>
        <v/>
      </c>
      <c r="AY1460">
        <f>IFERROR(INDEX(PP_Grid[#Data],$DE1460,48),0)</f>
        <v/>
      </c>
      <c r="AZ1460">
        <f>IFERROR(INDEX(PP_Grid[#Data],$DE1460,49),0)</f>
        <v/>
      </c>
      <c r="BA1460">
        <f>IFERROR(INDEX(PP_Grid[#Data],$DE1460,50),0)</f>
        <v/>
      </c>
      <c r="BB1460">
        <f>IFERROR(INDEX(PP_Grid[#Data],$DE1460,51),0)</f>
        <v/>
      </c>
      <c r="BC1460">
        <f>IFERROR(INDEX(PP_Grid[#Data],$DE1460,52),0)</f>
        <v/>
      </c>
      <c r="BD1460">
        <f>IFERROR(INDEX(PP_Grid[#Data],$DE1460,53),0)</f>
        <v/>
      </c>
      <c r="BE1460">
        <f>IFERROR(INDEX(PP_Grid[#Data],$DE1460,54),0)</f>
        <v/>
      </c>
      <c r="BF1460">
        <f>IFERROR(INDEX(PP_Grid[#Data],$DE1460,55),0)</f>
        <v/>
      </c>
      <c r="BG1460">
        <f>IFERROR(INDEX(PP_Grid[#Data],$DE1460,56),0)</f>
        <v/>
      </c>
      <c r="BH1460">
        <f>IFERROR(INDEX(PP_Grid[#Data],$DE1460,57),0)</f>
        <v/>
      </c>
      <c r="BI1460">
        <f>IFERROR(INDEX(PP_Grid[#Data],$DE1460,58),0)</f>
        <v/>
      </c>
      <c r="BJ1460">
        <f>IFERROR(INDEX(PP_Grid[#Data],$DE1460,59),0)</f>
        <v/>
      </c>
      <c r="BK1460">
        <f>IFERROR(INDEX(PP_Grid[#Data],$DE1460,60),0)</f>
        <v/>
      </c>
      <c r="BL1460">
        <f>IFERROR(INDEX(PP_Grid[#Data],$DE1460,61),0)</f>
        <v/>
      </c>
      <c r="BM1460">
        <f>IFERROR(INDEX(PP_Grid[#Data],$DE1460,62),0)</f>
        <v/>
      </c>
      <c r="BN1460">
        <f>IFERROR(INDEX(PP_Grid[#Data],$DE1460,63),0)</f>
        <v/>
      </c>
      <c r="BO1460">
        <f>IFERROR(INDEX(PP_Grid[#Data],$DE1460,64),0)</f>
        <v/>
      </c>
      <c r="BP1460">
        <f>IFERROR(INDEX(PP_Grid[#Data],$DE1460,65),0)</f>
        <v/>
      </c>
      <c r="BQ1460">
        <f>IFERROR(INDEX(PP_Grid[#Data],$DE1460,66),0)</f>
        <v/>
      </c>
      <c r="BR1460">
        <f>IFERROR(INDEX(PP_Grid[#Data],$DE1460,67),0)</f>
        <v/>
      </c>
      <c r="BS1460">
        <f>IFERROR(INDEX(PP_Grid[#Data],$DE1460,68),0)</f>
        <v/>
      </c>
      <c r="BT1460">
        <f>IFERROR(INDEX(PP_Grid[#Data],$DE1460,69),0)</f>
        <v/>
      </c>
      <c r="BU1460">
        <f>IFERROR(INDEX(PP_Grid[#Data],$DE1460,70),0)</f>
        <v/>
      </c>
      <c r="BV1460">
        <f>IFERROR(INDEX(PP_Grid[#Data],$DE1460,71),0)</f>
        <v/>
      </c>
      <c r="BW1460">
        <f>IFERROR(INDEX(PP_Grid[#Data],$DE1460,72),0)</f>
        <v/>
      </c>
      <c r="BX1460">
        <f>IFERROR(INDEX(PP_Grid[#Data],$DE1460,73),0)</f>
        <v/>
      </c>
      <c r="BY1460">
        <f>IFERROR(INDEX(PP_Grid[#Data],$DE1460,74),0)</f>
        <v/>
      </c>
      <c r="BZ1460">
        <f>IFERROR(INDEX(PP_Grid[#Data],$DE1460,75),0)</f>
        <v/>
      </c>
      <c r="CA1460">
        <f>IFERROR(INDEX(PP_Grid[#Data],$DE1460,76),0)</f>
        <v/>
      </c>
      <c r="CB1460">
        <f>IFERROR(INDEX(PP_Grid[#Data],$DE1460,77),0)</f>
        <v/>
      </c>
      <c r="CC1460">
        <f>IFERROR(INDEX(PP_Grid[#Data],$DE1460,78),0)</f>
        <v/>
      </c>
      <c r="CD1460">
        <f>IFERROR(INDEX(PP_Grid[#Data],$DE1460,79),0)</f>
        <v/>
      </c>
      <c r="CE1460">
        <f>IFERROR(INDEX(PP_Grid[#Data],$DE1460,80),0)</f>
        <v/>
      </c>
      <c r="CF1460">
        <f>IFERROR(INDEX(PP_Grid[#Data],$DE1460,81),0)</f>
        <v/>
      </c>
      <c r="CG1460">
        <f>IFERROR(INDEX(PP_Grid[#Data],$DE1460,82),0)</f>
        <v/>
      </c>
      <c r="CH1460">
        <f>IFERROR(INDEX(PP_Grid[#Data],$DE1460,83),0)</f>
        <v/>
      </c>
      <c r="CI1460">
        <f>IFERROR(INDEX(PP_Grid[#Data],$DE1460,84),0)</f>
        <v/>
      </c>
      <c r="CJ1460">
        <f>IFERROR(INDEX(PP_Grid[#Data],$DE1460,85),0)</f>
        <v/>
      </c>
      <c r="CK1460">
        <f>IFERROR(INDEX(PP_Grid[#Data],$DE1460,86),0)</f>
        <v/>
      </c>
      <c r="CL1460">
        <f>IFERROR(INDEX(PP_Grid[#Data],$DE1460,87),0)</f>
        <v/>
      </c>
      <c r="CM1460">
        <f>IFERROR(INDEX(PP_Grid[#Data],$DE1460,88),0)</f>
        <v/>
      </c>
      <c r="CN1460">
        <f>IFERROR(INDEX(PP_Grid[#Data],$DE1460,89),0)</f>
        <v/>
      </c>
      <c r="CO1460">
        <f>IFERROR(INDEX(PP_Grid[#Data],$DE1460,90),0)</f>
        <v/>
      </c>
      <c r="CP1460">
        <f>IFERROR(INDEX(PP_Grid[#Data],$DE1460,91),0)</f>
        <v/>
      </c>
      <c r="CQ1460">
        <f>IFERROR(INDEX(PP_Grid[#Data],$DE1460,92),0)</f>
        <v/>
      </c>
      <c r="CR1460">
        <f>IFERROR(INDEX(PP_Grid[#Data],$DE1460,93),0)</f>
        <v/>
      </c>
      <c r="CS1460">
        <f>IFERROR(INDEX(PP_Grid[#Data],$DE1460,94),0)</f>
        <v/>
      </c>
      <c r="CT1460">
        <f>IFERROR(INDEX(PP_Grid[#Data],$DE1460,95),0)</f>
        <v/>
      </c>
      <c r="CU1460">
        <f>IFERROR(INDEX(PP_Grid[#Data],$DE1460,96),0)</f>
        <v/>
      </c>
      <c r="CV1460">
        <f>IFERROR(INDEX(PP_Grid[#Data],$DE1460,97),0)</f>
        <v/>
      </c>
      <c r="CW1460">
        <f>IFERROR(INDEX(PP_Grid[#Data],$DE1460,98),0)</f>
        <v/>
      </c>
      <c r="CX1460">
        <f>IFERROR(INDEX(PP_Grid[#Data],$DE1460,99),0)</f>
        <v/>
      </c>
      <c r="CY1460">
        <f>IFERROR(INDEX(PP_Grid[#Data],$DE1460,100),0)</f>
        <v/>
      </c>
      <c r="CZ1460">
        <f>IFERROR(INDEX(PP_Grid[#Data],$DE1460,101),0)</f>
        <v/>
      </c>
      <c r="DA1460">
        <f>IFERROR(INDEX(PP_Grid[#Data],$DE1460,102),0)</f>
        <v/>
      </c>
      <c r="DB1460">
        <f>IFERROR(INDEX(PP_Grid[#Data],$DE1460,103),0)</f>
        <v/>
      </c>
      <c r="DC1460">
        <f>IFERROR(INDEX(PP_Grid[#Data],$DE1460,104),0)</f>
        <v/>
      </c>
      <c r="DD1460">
        <f>IFERROR(INDEX(PP_Grid[#Data],$DE1460,105),0)</f>
        <v/>
      </c>
      <c r="DE1460" s="7">
        <f>IFERROR(MATCH($B1460,PP_Grid[Intermediate],0),99999)</f>
        <v/>
      </c>
    </row>
    <row r="1461">
      <c r="B1461" t="inlineStr">
        <is>
          <t>使用量(kg)</t>
        </is>
      </c>
      <c r="C1461">
        <f>SUMIFS(M_BOM[RM_Qty_Per_Batch],M_BOM[Intermediate],$B1460,M_BOM[RM_Code],$A1451)</f>
        <v/>
      </c>
      <c r="D1461">
        <f>IFERROR(INDEX(E1461:DD1461,$F$1),"")</f>
        <v/>
      </c>
      <c r="E1461">
        <f>$C1461*E1460</f>
        <v/>
      </c>
      <c r="F1461">
        <f>$C1461*F1460</f>
        <v/>
      </c>
      <c r="G1461">
        <f>$C1461*G1460</f>
        <v/>
      </c>
      <c r="H1461">
        <f>$C1461*H1460</f>
        <v/>
      </c>
      <c r="I1461">
        <f>$C1461*I1460</f>
        <v/>
      </c>
      <c r="J1461">
        <f>$C1461*J1460</f>
        <v/>
      </c>
      <c r="K1461">
        <f>$C1461*K1460</f>
        <v/>
      </c>
      <c r="L1461">
        <f>$C1461*L1460</f>
        <v/>
      </c>
      <c r="M1461">
        <f>$C1461*M1460</f>
        <v/>
      </c>
      <c r="N1461">
        <f>$C1461*N1460</f>
        <v/>
      </c>
      <c r="O1461">
        <f>$C1461*O1460</f>
        <v/>
      </c>
      <c r="P1461">
        <f>$C1461*P1460</f>
        <v/>
      </c>
      <c r="Q1461">
        <f>$C1461*Q1460</f>
        <v/>
      </c>
      <c r="R1461">
        <f>$C1461*R1460</f>
        <v/>
      </c>
      <c r="S1461">
        <f>$C1461*S1460</f>
        <v/>
      </c>
      <c r="T1461">
        <f>$C1461*T1460</f>
        <v/>
      </c>
      <c r="U1461">
        <f>$C1461*U1460</f>
        <v/>
      </c>
      <c r="V1461">
        <f>$C1461*V1460</f>
        <v/>
      </c>
      <c r="W1461">
        <f>$C1461*W1460</f>
        <v/>
      </c>
      <c r="X1461">
        <f>$C1461*X1460</f>
        <v/>
      </c>
      <c r="Y1461">
        <f>$C1461*Y1460</f>
        <v/>
      </c>
      <c r="Z1461">
        <f>$C1461*Z1460</f>
        <v/>
      </c>
      <c r="AA1461">
        <f>$C1461*AA1460</f>
        <v/>
      </c>
      <c r="AB1461">
        <f>$C1461*AB1460</f>
        <v/>
      </c>
      <c r="AC1461">
        <f>$C1461*AC1460</f>
        <v/>
      </c>
      <c r="AD1461">
        <f>$C1461*AD1460</f>
        <v/>
      </c>
      <c r="AE1461">
        <f>$C1461*AE1460</f>
        <v/>
      </c>
      <c r="AF1461">
        <f>$C1461*AF1460</f>
        <v/>
      </c>
      <c r="AG1461">
        <f>$C1461*AG1460</f>
        <v/>
      </c>
      <c r="AH1461">
        <f>$C1461*AH1460</f>
        <v/>
      </c>
      <c r="AI1461">
        <f>$C1461*AI1460</f>
        <v/>
      </c>
      <c r="AJ1461">
        <f>$C1461*AJ1460</f>
        <v/>
      </c>
      <c r="AK1461">
        <f>$C1461*AK1460</f>
        <v/>
      </c>
      <c r="AL1461">
        <f>$C1461*AL1460</f>
        <v/>
      </c>
      <c r="AM1461">
        <f>$C1461*AM1460</f>
        <v/>
      </c>
      <c r="AN1461">
        <f>$C1461*AN1460</f>
        <v/>
      </c>
      <c r="AO1461">
        <f>$C1461*AO1460</f>
        <v/>
      </c>
      <c r="AP1461">
        <f>$C1461*AP1460</f>
        <v/>
      </c>
      <c r="AQ1461">
        <f>$C1461*AQ1460</f>
        <v/>
      </c>
      <c r="AR1461">
        <f>$C1461*AR1460</f>
        <v/>
      </c>
      <c r="AS1461">
        <f>$C1461*AS1460</f>
        <v/>
      </c>
      <c r="AT1461">
        <f>$C1461*AT1460</f>
        <v/>
      </c>
      <c r="AU1461">
        <f>$C1461*AU1460</f>
        <v/>
      </c>
      <c r="AV1461">
        <f>$C1461*AV1460</f>
        <v/>
      </c>
      <c r="AW1461">
        <f>$C1461*AW1460</f>
        <v/>
      </c>
      <c r="AX1461">
        <f>$C1461*AX1460</f>
        <v/>
      </c>
      <c r="AY1461">
        <f>$C1461*AY1460</f>
        <v/>
      </c>
      <c r="AZ1461">
        <f>$C1461*AZ1460</f>
        <v/>
      </c>
      <c r="BA1461">
        <f>$C1461*BA1460</f>
        <v/>
      </c>
      <c r="BB1461">
        <f>$C1461*BB1460</f>
        <v/>
      </c>
      <c r="BC1461">
        <f>$C1461*BC1460</f>
        <v/>
      </c>
      <c r="BD1461">
        <f>$C1461*BD1460</f>
        <v/>
      </c>
      <c r="BE1461">
        <f>$C1461*BE1460</f>
        <v/>
      </c>
      <c r="BF1461">
        <f>$C1461*BF1460</f>
        <v/>
      </c>
      <c r="BG1461">
        <f>$C1461*BG1460</f>
        <v/>
      </c>
      <c r="BH1461">
        <f>$C1461*BH1460</f>
        <v/>
      </c>
      <c r="BI1461">
        <f>$C1461*BI1460</f>
        <v/>
      </c>
      <c r="BJ1461">
        <f>$C1461*BJ1460</f>
        <v/>
      </c>
      <c r="BK1461">
        <f>$C1461*BK1460</f>
        <v/>
      </c>
      <c r="BL1461">
        <f>$C1461*BL1460</f>
        <v/>
      </c>
      <c r="BM1461">
        <f>$C1461*BM1460</f>
        <v/>
      </c>
      <c r="BN1461">
        <f>$C1461*BN1460</f>
        <v/>
      </c>
      <c r="BO1461">
        <f>$C1461*BO1460</f>
        <v/>
      </c>
      <c r="BP1461">
        <f>$C1461*BP1460</f>
        <v/>
      </c>
      <c r="BQ1461">
        <f>$C1461*BQ1460</f>
        <v/>
      </c>
      <c r="BR1461">
        <f>$C1461*BR1460</f>
        <v/>
      </c>
      <c r="BS1461">
        <f>$C1461*BS1460</f>
        <v/>
      </c>
      <c r="BT1461">
        <f>$C1461*BT1460</f>
        <v/>
      </c>
      <c r="BU1461">
        <f>$C1461*BU1460</f>
        <v/>
      </c>
      <c r="BV1461">
        <f>$C1461*BV1460</f>
        <v/>
      </c>
      <c r="BW1461">
        <f>$C1461*BW1460</f>
        <v/>
      </c>
      <c r="BX1461">
        <f>$C1461*BX1460</f>
        <v/>
      </c>
      <c r="BY1461">
        <f>$C1461*BY1460</f>
        <v/>
      </c>
      <c r="BZ1461">
        <f>$C1461*BZ1460</f>
        <v/>
      </c>
      <c r="CA1461">
        <f>$C1461*CA1460</f>
        <v/>
      </c>
      <c r="CB1461">
        <f>$C1461*CB1460</f>
        <v/>
      </c>
      <c r="CC1461">
        <f>$C1461*CC1460</f>
        <v/>
      </c>
      <c r="CD1461">
        <f>$C1461*CD1460</f>
        <v/>
      </c>
      <c r="CE1461">
        <f>$C1461*CE1460</f>
        <v/>
      </c>
      <c r="CF1461">
        <f>$C1461*CF1460</f>
        <v/>
      </c>
      <c r="CG1461">
        <f>$C1461*CG1460</f>
        <v/>
      </c>
      <c r="CH1461">
        <f>$C1461*CH1460</f>
        <v/>
      </c>
      <c r="CI1461">
        <f>$C1461*CI1460</f>
        <v/>
      </c>
      <c r="CJ1461">
        <f>$C1461*CJ1460</f>
        <v/>
      </c>
      <c r="CK1461">
        <f>$C1461*CK1460</f>
        <v/>
      </c>
      <c r="CL1461">
        <f>$C1461*CL1460</f>
        <v/>
      </c>
      <c r="CM1461">
        <f>$C1461*CM1460</f>
        <v/>
      </c>
      <c r="CN1461">
        <f>$C1461*CN1460</f>
        <v/>
      </c>
      <c r="CO1461">
        <f>$C1461*CO1460</f>
        <v/>
      </c>
      <c r="CP1461">
        <f>$C1461*CP1460</f>
        <v/>
      </c>
      <c r="CQ1461">
        <f>$C1461*CQ1460</f>
        <v/>
      </c>
      <c r="CR1461">
        <f>$C1461*CR1460</f>
        <v/>
      </c>
      <c r="CS1461">
        <f>$C1461*CS1460</f>
        <v/>
      </c>
      <c r="CT1461">
        <f>$C1461*CT1460</f>
        <v/>
      </c>
      <c r="CU1461">
        <f>$C1461*CU1460</f>
        <v/>
      </c>
      <c r="CV1461">
        <f>$C1461*CV1460</f>
        <v/>
      </c>
      <c r="CW1461">
        <f>$C1461*CW1460</f>
        <v/>
      </c>
      <c r="CX1461">
        <f>$C1461*CX1460</f>
        <v/>
      </c>
      <c r="CY1461">
        <f>$C1461*CY1460</f>
        <v/>
      </c>
      <c r="CZ1461">
        <f>$C1461*CZ1460</f>
        <v/>
      </c>
      <c r="DA1461">
        <f>$C1461*DA1460</f>
        <v/>
      </c>
      <c r="DB1461">
        <f>$C1461*DB1460</f>
        <v/>
      </c>
      <c r="DC1461">
        <f>$C1461*DC1460</f>
        <v/>
      </c>
      <c r="DD1461">
        <f>$C1461*DD1460</f>
        <v/>
      </c>
    </row>
    <row r="1462">
      <c r="B1462" t="inlineStr">
        <is>
          <t>TSP-930</t>
        </is>
      </c>
      <c r="C1462" t="inlineStr">
        <is>
          <t>No. of batches</t>
        </is>
      </c>
      <c r="D1462">
        <f>IFERROR(INDEX(E1462:DD1462,$F$1),"")</f>
        <v/>
      </c>
      <c r="E1462">
        <f>IFERROR(INDEX(PP_Grid[#Data],$DE1462,2),0)</f>
        <v/>
      </c>
      <c r="F1462">
        <f>IFERROR(INDEX(PP_Grid[#Data],$DE1462,3),0)</f>
        <v/>
      </c>
      <c r="G1462">
        <f>IFERROR(INDEX(PP_Grid[#Data],$DE1462,4),0)</f>
        <v/>
      </c>
      <c r="H1462">
        <f>IFERROR(INDEX(PP_Grid[#Data],$DE1462,5),0)</f>
        <v/>
      </c>
      <c r="I1462">
        <f>IFERROR(INDEX(PP_Grid[#Data],$DE1462,6),0)</f>
        <v/>
      </c>
      <c r="J1462">
        <f>IFERROR(INDEX(PP_Grid[#Data],$DE1462,7),0)</f>
        <v/>
      </c>
      <c r="K1462">
        <f>IFERROR(INDEX(PP_Grid[#Data],$DE1462,8),0)</f>
        <v/>
      </c>
      <c r="L1462">
        <f>IFERROR(INDEX(PP_Grid[#Data],$DE1462,9),0)</f>
        <v/>
      </c>
      <c r="M1462">
        <f>IFERROR(INDEX(PP_Grid[#Data],$DE1462,10),0)</f>
        <v/>
      </c>
      <c r="N1462">
        <f>IFERROR(INDEX(PP_Grid[#Data],$DE1462,11),0)</f>
        <v/>
      </c>
      <c r="O1462">
        <f>IFERROR(INDEX(PP_Grid[#Data],$DE1462,12),0)</f>
        <v/>
      </c>
      <c r="P1462">
        <f>IFERROR(INDEX(PP_Grid[#Data],$DE1462,13),0)</f>
        <v/>
      </c>
      <c r="Q1462">
        <f>IFERROR(INDEX(PP_Grid[#Data],$DE1462,14),0)</f>
        <v/>
      </c>
      <c r="R1462">
        <f>IFERROR(INDEX(PP_Grid[#Data],$DE1462,15),0)</f>
        <v/>
      </c>
      <c r="S1462">
        <f>IFERROR(INDEX(PP_Grid[#Data],$DE1462,16),0)</f>
        <v/>
      </c>
      <c r="T1462">
        <f>IFERROR(INDEX(PP_Grid[#Data],$DE1462,17),0)</f>
        <v/>
      </c>
      <c r="U1462">
        <f>IFERROR(INDEX(PP_Grid[#Data],$DE1462,18),0)</f>
        <v/>
      </c>
      <c r="V1462">
        <f>IFERROR(INDEX(PP_Grid[#Data],$DE1462,19),0)</f>
        <v/>
      </c>
      <c r="W1462">
        <f>IFERROR(INDEX(PP_Grid[#Data],$DE1462,20),0)</f>
        <v/>
      </c>
      <c r="X1462">
        <f>IFERROR(INDEX(PP_Grid[#Data],$DE1462,21),0)</f>
        <v/>
      </c>
      <c r="Y1462">
        <f>IFERROR(INDEX(PP_Grid[#Data],$DE1462,22),0)</f>
        <v/>
      </c>
      <c r="Z1462">
        <f>IFERROR(INDEX(PP_Grid[#Data],$DE1462,23),0)</f>
        <v/>
      </c>
      <c r="AA1462">
        <f>IFERROR(INDEX(PP_Grid[#Data],$DE1462,24),0)</f>
        <v/>
      </c>
      <c r="AB1462">
        <f>IFERROR(INDEX(PP_Grid[#Data],$DE1462,25),0)</f>
        <v/>
      </c>
      <c r="AC1462">
        <f>IFERROR(INDEX(PP_Grid[#Data],$DE1462,26),0)</f>
        <v/>
      </c>
      <c r="AD1462">
        <f>IFERROR(INDEX(PP_Grid[#Data],$DE1462,27),0)</f>
        <v/>
      </c>
      <c r="AE1462">
        <f>IFERROR(INDEX(PP_Grid[#Data],$DE1462,28),0)</f>
        <v/>
      </c>
      <c r="AF1462">
        <f>IFERROR(INDEX(PP_Grid[#Data],$DE1462,29),0)</f>
        <v/>
      </c>
      <c r="AG1462">
        <f>IFERROR(INDEX(PP_Grid[#Data],$DE1462,30),0)</f>
        <v/>
      </c>
      <c r="AH1462">
        <f>IFERROR(INDEX(PP_Grid[#Data],$DE1462,31),0)</f>
        <v/>
      </c>
      <c r="AI1462">
        <f>IFERROR(INDEX(PP_Grid[#Data],$DE1462,32),0)</f>
        <v/>
      </c>
      <c r="AJ1462">
        <f>IFERROR(INDEX(PP_Grid[#Data],$DE1462,33),0)</f>
        <v/>
      </c>
      <c r="AK1462">
        <f>IFERROR(INDEX(PP_Grid[#Data],$DE1462,34),0)</f>
        <v/>
      </c>
      <c r="AL1462">
        <f>IFERROR(INDEX(PP_Grid[#Data],$DE1462,35),0)</f>
        <v/>
      </c>
      <c r="AM1462">
        <f>IFERROR(INDEX(PP_Grid[#Data],$DE1462,36),0)</f>
        <v/>
      </c>
      <c r="AN1462">
        <f>IFERROR(INDEX(PP_Grid[#Data],$DE1462,37),0)</f>
        <v/>
      </c>
      <c r="AO1462">
        <f>IFERROR(INDEX(PP_Grid[#Data],$DE1462,38),0)</f>
        <v/>
      </c>
      <c r="AP1462">
        <f>IFERROR(INDEX(PP_Grid[#Data],$DE1462,39),0)</f>
        <v/>
      </c>
      <c r="AQ1462">
        <f>IFERROR(INDEX(PP_Grid[#Data],$DE1462,40),0)</f>
        <v/>
      </c>
      <c r="AR1462">
        <f>IFERROR(INDEX(PP_Grid[#Data],$DE1462,41),0)</f>
        <v/>
      </c>
      <c r="AS1462">
        <f>IFERROR(INDEX(PP_Grid[#Data],$DE1462,42),0)</f>
        <v/>
      </c>
      <c r="AT1462">
        <f>IFERROR(INDEX(PP_Grid[#Data],$DE1462,43),0)</f>
        <v/>
      </c>
      <c r="AU1462">
        <f>IFERROR(INDEX(PP_Grid[#Data],$DE1462,44),0)</f>
        <v/>
      </c>
      <c r="AV1462">
        <f>IFERROR(INDEX(PP_Grid[#Data],$DE1462,45),0)</f>
        <v/>
      </c>
      <c r="AW1462">
        <f>IFERROR(INDEX(PP_Grid[#Data],$DE1462,46),0)</f>
        <v/>
      </c>
      <c r="AX1462">
        <f>IFERROR(INDEX(PP_Grid[#Data],$DE1462,47),0)</f>
        <v/>
      </c>
      <c r="AY1462">
        <f>IFERROR(INDEX(PP_Grid[#Data],$DE1462,48),0)</f>
        <v/>
      </c>
      <c r="AZ1462">
        <f>IFERROR(INDEX(PP_Grid[#Data],$DE1462,49),0)</f>
        <v/>
      </c>
      <c r="BA1462">
        <f>IFERROR(INDEX(PP_Grid[#Data],$DE1462,50),0)</f>
        <v/>
      </c>
      <c r="BB1462">
        <f>IFERROR(INDEX(PP_Grid[#Data],$DE1462,51),0)</f>
        <v/>
      </c>
      <c r="BC1462">
        <f>IFERROR(INDEX(PP_Grid[#Data],$DE1462,52),0)</f>
        <v/>
      </c>
      <c r="BD1462">
        <f>IFERROR(INDEX(PP_Grid[#Data],$DE1462,53),0)</f>
        <v/>
      </c>
      <c r="BE1462">
        <f>IFERROR(INDEX(PP_Grid[#Data],$DE1462,54),0)</f>
        <v/>
      </c>
      <c r="BF1462">
        <f>IFERROR(INDEX(PP_Grid[#Data],$DE1462,55),0)</f>
        <v/>
      </c>
      <c r="BG1462">
        <f>IFERROR(INDEX(PP_Grid[#Data],$DE1462,56),0)</f>
        <v/>
      </c>
      <c r="BH1462">
        <f>IFERROR(INDEX(PP_Grid[#Data],$DE1462,57),0)</f>
        <v/>
      </c>
      <c r="BI1462">
        <f>IFERROR(INDEX(PP_Grid[#Data],$DE1462,58),0)</f>
        <v/>
      </c>
      <c r="BJ1462">
        <f>IFERROR(INDEX(PP_Grid[#Data],$DE1462,59),0)</f>
        <v/>
      </c>
      <c r="BK1462">
        <f>IFERROR(INDEX(PP_Grid[#Data],$DE1462,60),0)</f>
        <v/>
      </c>
      <c r="BL1462">
        <f>IFERROR(INDEX(PP_Grid[#Data],$DE1462,61),0)</f>
        <v/>
      </c>
      <c r="BM1462">
        <f>IFERROR(INDEX(PP_Grid[#Data],$DE1462,62),0)</f>
        <v/>
      </c>
      <c r="BN1462">
        <f>IFERROR(INDEX(PP_Grid[#Data],$DE1462,63),0)</f>
        <v/>
      </c>
      <c r="BO1462">
        <f>IFERROR(INDEX(PP_Grid[#Data],$DE1462,64),0)</f>
        <v/>
      </c>
      <c r="BP1462">
        <f>IFERROR(INDEX(PP_Grid[#Data],$DE1462,65),0)</f>
        <v/>
      </c>
      <c r="BQ1462">
        <f>IFERROR(INDEX(PP_Grid[#Data],$DE1462,66),0)</f>
        <v/>
      </c>
      <c r="BR1462">
        <f>IFERROR(INDEX(PP_Grid[#Data],$DE1462,67),0)</f>
        <v/>
      </c>
      <c r="BS1462">
        <f>IFERROR(INDEX(PP_Grid[#Data],$DE1462,68),0)</f>
        <v/>
      </c>
      <c r="BT1462">
        <f>IFERROR(INDEX(PP_Grid[#Data],$DE1462,69),0)</f>
        <v/>
      </c>
      <c r="BU1462">
        <f>IFERROR(INDEX(PP_Grid[#Data],$DE1462,70),0)</f>
        <v/>
      </c>
      <c r="BV1462">
        <f>IFERROR(INDEX(PP_Grid[#Data],$DE1462,71),0)</f>
        <v/>
      </c>
      <c r="BW1462">
        <f>IFERROR(INDEX(PP_Grid[#Data],$DE1462,72),0)</f>
        <v/>
      </c>
      <c r="BX1462">
        <f>IFERROR(INDEX(PP_Grid[#Data],$DE1462,73),0)</f>
        <v/>
      </c>
      <c r="BY1462">
        <f>IFERROR(INDEX(PP_Grid[#Data],$DE1462,74),0)</f>
        <v/>
      </c>
      <c r="BZ1462">
        <f>IFERROR(INDEX(PP_Grid[#Data],$DE1462,75),0)</f>
        <v/>
      </c>
      <c r="CA1462">
        <f>IFERROR(INDEX(PP_Grid[#Data],$DE1462,76),0)</f>
        <v/>
      </c>
      <c r="CB1462">
        <f>IFERROR(INDEX(PP_Grid[#Data],$DE1462,77),0)</f>
        <v/>
      </c>
      <c r="CC1462">
        <f>IFERROR(INDEX(PP_Grid[#Data],$DE1462,78),0)</f>
        <v/>
      </c>
      <c r="CD1462">
        <f>IFERROR(INDEX(PP_Grid[#Data],$DE1462,79),0)</f>
        <v/>
      </c>
      <c r="CE1462">
        <f>IFERROR(INDEX(PP_Grid[#Data],$DE1462,80),0)</f>
        <v/>
      </c>
      <c r="CF1462">
        <f>IFERROR(INDEX(PP_Grid[#Data],$DE1462,81),0)</f>
        <v/>
      </c>
      <c r="CG1462">
        <f>IFERROR(INDEX(PP_Grid[#Data],$DE1462,82),0)</f>
        <v/>
      </c>
      <c r="CH1462">
        <f>IFERROR(INDEX(PP_Grid[#Data],$DE1462,83),0)</f>
        <v/>
      </c>
      <c r="CI1462">
        <f>IFERROR(INDEX(PP_Grid[#Data],$DE1462,84),0)</f>
        <v/>
      </c>
      <c r="CJ1462">
        <f>IFERROR(INDEX(PP_Grid[#Data],$DE1462,85),0)</f>
        <v/>
      </c>
      <c r="CK1462">
        <f>IFERROR(INDEX(PP_Grid[#Data],$DE1462,86),0)</f>
        <v/>
      </c>
      <c r="CL1462">
        <f>IFERROR(INDEX(PP_Grid[#Data],$DE1462,87),0)</f>
        <v/>
      </c>
      <c r="CM1462">
        <f>IFERROR(INDEX(PP_Grid[#Data],$DE1462,88),0)</f>
        <v/>
      </c>
      <c r="CN1462">
        <f>IFERROR(INDEX(PP_Grid[#Data],$DE1462,89),0)</f>
        <v/>
      </c>
      <c r="CO1462">
        <f>IFERROR(INDEX(PP_Grid[#Data],$DE1462,90),0)</f>
        <v/>
      </c>
      <c r="CP1462">
        <f>IFERROR(INDEX(PP_Grid[#Data],$DE1462,91),0)</f>
        <v/>
      </c>
      <c r="CQ1462">
        <f>IFERROR(INDEX(PP_Grid[#Data],$DE1462,92),0)</f>
        <v/>
      </c>
      <c r="CR1462">
        <f>IFERROR(INDEX(PP_Grid[#Data],$DE1462,93),0)</f>
        <v/>
      </c>
      <c r="CS1462">
        <f>IFERROR(INDEX(PP_Grid[#Data],$DE1462,94),0)</f>
        <v/>
      </c>
      <c r="CT1462">
        <f>IFERROR(INDEX(PP_Grid[#Data],$DE1462,95),0)</f>
        <v/>
      </c>
      <c r="CU1462">
        <f>IFERROR(INDEX(PP_Grid[#Data],$DE1462,96),0)</f>
        <v/>
      </c>
      <c r="CV1462">
        <f>IFERROR(INDEX(PP_Grid[#Data],$DE1462,97),0)</f>
        <v/>
      </c>
      <c r="CW1462">
        <f>IFERROR(INDEX(PP_Grid[#Data],$DE1462,98),0)</f>
        <v/>
      </c>
      <c r="CX1462">
        <f>IFERROR(INDEX(PP_Grid[#Data],$DE1462,99),0)</f>
        <v/>
      </c>
      <c r="CY1462">
        <f>IFERROR(INDEX(PP_Grid[#Data],$DE1462,100),0)</f>
        <v/>
      </c>
      <c r="CZ1462">
        <f>IFERROR(INDEX(PP_Grid[#Data],$DE1462,101),0)</f>
        <v/>
      </c>
      <c r="DA1462">
        <f>IFERROR(INDEX(PP_Grid[#Data],$DE1462,102),0)</f>
        <v/>
      </c>
      <c r="DB1462">
        <f>IFERROR(INDEX(PP_Grid[#Data],$DE1462,103),0)</f>
        <v/>
      </c>
      <c r="DC1462">
        <f>IFERROR(INDEX(PP_Grid[#Data],$DE1462,104),0)</f>
        <v/>
      </c>
      <c r="DD1462">
        <f>IFERROR(INDEX(PP_Grid[#Data],$DE1462,105),0)</f>
        <v/>
      </c>
      <c r="DE1462" s="7">
        <f>IFERROR(MATCH($B1462,PP_Grid[Intermediate],0),99999)</f>
        <v/>
      </c>
    </row>
    <row r="1463">
      <c r="B1463" t="inlineStr">
        <is>
          <t>使用量(kg)</t>
        </is>
      </c>
      <c r="C1463">
        <f>SUMIFS(M_BOM[RM_Qty_Per_Batch],M_BOM[Intermediate],$B1462,M_BOM[RM_Code],$A1451)</f>
        <v/>
      </c>
      <c r="D1463">
        <f>IFERROR(INDEX(E1463:DD1463,$F$1),"")</f>
        <v/>
      </c>
      <c r="E1463">
        <f>$C1463*E1462</f>
        <v/>
      </c>
      <c r="F1463">
        <f>$C1463*F1462</f>
        <v/>
      </c>
      <c r="G1463">
        <f>$C1463*G1462</f>
        <v/>
      </c>
      <c r="H1463">
        <f>$C1463*H1462</f>
        <v/>
      </c>
      <c r="I1463">
        <f>$C1463*I1462</f>
        <v/>
      </c>
      <c r="J1463">
        <f>$C1463*J1462</f>
        <v/>
      </c>
      <c r="K1463">
        <f>$C1463*K1462</f>
        <v/>
      </c>
      <c r="L1463">
        <f>$C1463*L1462</f>
        <v/>
      </c>
      <c r="M1463">
        <f>$C1463*M1462</f>
        <v/>
      </c>
      <c r="N1463">
        <f>$C1463*N1462</f>
        <v/>
      </c>
      <c r="O1463">
        <f>$C1463*O1462</f>
        <v/>
      </c>
      <c r="P1463">
        <f>$C1463*P1462</f>
        <v/>
      </c>
      <c r="Q1463">
        <f>$C1463*Q1462</f>
        <v/>
      </c>
      <c r="R1463">
        <f>$C1463*R1462</f>
        <v/>
      </c>
      <c r="S1463">
        <f>$C1463*S1462</f>
        <v/>
      </c>
      <c r="T1463">
        <f>$C1463*T1462</f>
        <v/>
      </c>
      <c r="U1463">
        <f>$C1463*U1462</f>
        <v/>
      </c>
      <c r="V1463">
        <f>$C1463*V1462</f>
        <v/>
      </c>
      <c r="W1463">
        <f>$C1463*W1462</f>
        <v/>
      </c>
      <c r="X1463">
        <f>$C1463*X1462</f>
        <v/>
      </c>
      <c r="Y1463">
        <f>$C1463*Y1462</f>
        <v/>
      </c>
      <c r="Z1463">
        <f>$C1463*Z1462</f>
        <v/>
      </c>
      <c r="AA1463">
        <f>$C1463*AA1462</f>
        <v/>
      </c>
      <c r="AB1463">
        <f>$C1463*AB1462</f>
        <v/>
      </c>
      <c r="AC1463">
        <f>$C1463*AC1462</f>
        <v/>
      </c>
      <c r="AD1463">
        <f>$C1463*AD1462</f>
        <v/>
      </c>
      <c r="AE1463">
        <f>$C1463*AE1462</f>
        <v/>
      </c>
      <c r="AF1463">
        <f>$C1463*AF1462</f>
        <v/>
      </c>
      <c r="AG1463">
        <f>$C1463*AG1462</f>
        <v/>
      </c>
      <c r="AH1463">
        <f>$C1463*AH1462</f>
        <v/>
      </c>
      <c r="AI1463">
        <f>$C1463*AI1462</f>
        <v/>
      </c>
      <c r="AJ1463">
        <f>$C1463*AJ1462</f>
        <v/>
      </c>
      <c r="AK1463">
        <f>$C1463*AK1462</f>
        <v/>
      </c>
      <c r="AL1463">
        <f>$C1463*AL1462</f>
        <v/>
      </c>
      <c r="AM1463">
        <f>$C1463*AM1462</f>
        <v/>
      </c>
      <c r="AN1463">
        <f>$C1463*AN1462</f>
        <v/>
      </c>
      <c r="AO1463">
        <f>$C1463*AO1462</f>
        <v/>
      </c>
      <c r="AP1463">
        <f>$C1463*AP1462</f>
        <v/>
      </c>
      <c r="AQ1463">
        <f>$C1463*AQ1462</f>
        <v/>
      </c>
      <c r="AR1463">
        <f>$C1463*AR1462</f>
        <v/>
      </c>
      <c r="AS1463">
        <f>$C1463*AS1462</f>
        <v/>
      </c>
      <c r="AT1463">
        <f>$C1463*AT1462</f>
        <v/>
      </c>
      <c r="AU1463">
        <f>$C1463*AU1462</f>
        <v/>
      </c>
      <c r="AV1463">
        <f>$C1463*AV1462</f>
        <v/>
      </c>
      <c r="AW1463">
        <f>$C1463*AW1462</f>
        <v/>
      </c>
      <c r="AX1463">
        <f>$C1463*AX1462</f>
        <v/>
      </c>
      <c r="AY1463">
        <f>$C1463*AY1462</f>
        <v/>
      </c>
      <c r="AZ1463">
        <f>$C1463*AZ1462</f>
        <v/>
      </c>
      <c r="BA1463">
        <f>$C1463*BA1462</f>
        <v/>
      </c>
      <c r="BB1463">
        <f>$C1463*BB1462</f>
        <v/>
      </c>
      <c r="BC1463">
        <f>$C1463*BC1462</f>
        <v/>
      </c>
      <c r="BD1463">
        <f>$C1463*BD1462</f>
        <v/>
      </c>
      <c r="BE1463">
        <f>$C1463*BE1462</f>
        <v/>
      </c>
      <c r="BF1463">
        <f>$C1463*BF1462</f>
        <v/>
      </c>
      <c r="BG1463">
        <f>$C1463*BG1462</f>
        <v/>
      </c>
      <c r="BH1463">
        <f>$C1463*BH1462</f>
        <v/>
      </c>
      <c r="BI1463">
        <f>$C1463*BI1462</f>
        <v/>
      </c>
      <c r="BJ1463">
        <f>$C1463*BJ1462</f>
        <v/>
      </c>
      <c r="BK1463">
        <f>$C1463*BK1462</f>
        <v/>
      </c>
      <c r="BL1463">
        <f>$C1463*BL1462</f>
        <v/>
      </c>
      <c r="BM1463">
        <f>$C1463*BM1462</f>
        <v/>
      </c>
      <c r="BN1463">
        <f>$C1463*BN1462</f>
        <v/>
      </c>
      <c r="BO1463">
        <f>$C1463*BO1462</f>
        <v/>
      </c>
      <c r="BP1463">
        <f>$C1463*BP1462</f>
        <v/>
      </c>
      <c r="BQ1463">
        <f>$C1463*BQ1462</f>
        <v/>
      </c>
      <c r="BR1463">
        <f>$C1463*BR1462</f>
        <v/>
      </c>
      <c r="BS1463">
        <f>$C1463*BS1462</f>
        <v/>
      </c>
      <c r="BT1463">
        <f>$C1463*BT1462</f>
        <v/>
      </c>
      <c r="BU1463">
        <f>$C1463*BU1462</f>
        <v/>
      </c>
      <c r="BV1463">
        <f>$C1463*BV1462</f>
        <v/>
      </c>
      <c r="BW1463">
        <f>$C1463*BW1462</f>
        <v/>
      </c>
      <c r="BX1463">
        <f>$C1463*BX1462</f>
        <v/>
      </c>
      <c r="BY1463">
        <f>$C1463*BY1462</f>
        <v/>
      </c>
      <c r="BZ1463">
        <f>$C1463*BZ1462</f>
        <v/>
      </c>
      <c r="CA1463">
        <f>$C1463*CA1462</f>
        <v/>
      </c>
      <c r="CB1463">
        <f>$C1463*CB1462</f>
        <v/>
      </c>
      <c r="CC1463">
        <f>$C1463*CC1462</f>
        <v/>
      </c>
      <c r="CD1463">
        <f>$C1463*CD1462</f>
        <v/>
      </c>
      <c r="CE1463">
        <f>$C1463*CE1462</f>
        <v/>
      </c>
      <c r="CF1463">
        <f>$C1463*CF1462</f>
        <v/>
      </c>
      <c r="CG1463">
        <f>$C1463*CG1462</f>
        <v/>
      </c>
      <c r="CH1463">
        <f>$C1463*CH1462</f>
        <v/>
      </c>
      <c r="CI1463">
        <f>$C1463*CI1462</f>
        <v/>
      </c>
      <c r="CJ1463">
        <f>$C1463*CJ1462</f>
        <v/>
      </c>
      <c r="CK1463">
        <f>$C1463*CK1462</f>
        <v/>
      </c>
      <c r="CL1463">
        <f>$C1463*CL1462</f>
        <v/>
      </c>
      <c r="CM1463">
        <f>$C1463*CM1462</f>
        <v/>
      </c>
      <c r="CN1463">
        <f>$C1463*CN1462</f>
        <v/>
      </c>
      <c r="CO1463">
        <f>$C1463*CO1462</f>
        <v/>
      </c>
      <c r="CP1463">
        <f>$C1463*CP1462</f>
        <v/>
      </c>
      <c r="CQ1463">
        <f>$C1463*CQ1462</f>
        <v/>
      </c>
      <c r="CR1463">
        <f>$C1463*CR1462</f>
        <v/>
      </c>
      <c r="CS1463">
        <f>$C1463*CS1462</f>
        <v/>
      </c>
      <c r="CT1463">
        <f>$C1463*CT1462</f>
        <v/>
      </c>
      <c r="CU1463">
        <f>$C1463*CU1462</f>
        <v/>
      </c>
      <c r="CV1463">
        <f>$C1463*CV1462</f>
        <v/>
      </c>
      <c r="CW1463">
        <f>$C1463*CW1462</f>
        <v/>
      </c>
      <c r="CX1463">
        <f>$C1463*CX1462</f>
        <v/>
      </c>
      <c r="CY1463">
        <f>$C1463*CY1462</f>
        <v/>
      </c>
      <c r="CZ1463">
        <f>$C1463*CZ1462</f>
        <v/>
      </c>
      <c r="DA1463">
        <f>$C1463*DA1462</f>
        <v/>
      </c>
      <c r="DB1463">
        <f>$C1463*DB1462</f>
        <v/>
      </c>
      <c r="DC1463">
        <f>$C1463*DC1462</f>
        <v/>
      </c>
      <c r="DD1463">
        <f>$C1463*DD1462</f>
        <v/>
      </c>
    </row>
    <row r="1464">
      <c r="B1464" t="inlineStr">
        <is>
          <t>TSP-934</t>
        </is>
      </c>
      <c r="C1464" t="inlineStr">
        <is>
          <t>No. of batches</t>
        </is>
      </c>
      <c r="D1464">
        <f>IFERROR(INDEX(E1464:DD1464,$F$1),"")</f>
        <v/>
      </c>
      <c r="E1464">
        <f>IFERROR(INDEX(PP_Grid[#Data],$DE1464,2),0)</f>
        <v/>
      </c>
      <c r="F1464">
        <f>IFERROR(INDEX(PP_Grid[#Data],$DE1464,3),0)</f>
        <v/>
      </c>
      <c r="G1464">
        <f>IFERROR(INDEX(PP_Grid[#Data],$DE1464,4),0)</f>
        <v/>
      </c>
      <c r="H1464">
        <f>IFERROR(INDEX(PP_Grid[#Data],$DE1464,5),0)</f>
        <v/>
      </c>
      <c r="I1464">
        <f>IFERROR(INDEX(PP_Grid[#Data],$DE1464,6),0)</f>
        <v/>
      </c>
      <c r="J1464">
        <f>IFERROR(INDEX(PP_Grid[#Data],$DE1464,7),0)</f>
        <v/>
      </c>
      <c r="K1464">
        <f>IFERROR(INDEX(PP_Grid[#Data],$DE1464,8),0)</f>
        <v/>
      </c>
      <c r="L1464">
        <f>IFERROR(INDEX(PP_Grid[#Data],$DE1464,9),0)</f>
        <v/>
      </c>
      <c r="M1464">
        <f>IFERROR(INDEX(PP_Grid[#Data],$DE1464,10),0)</f>
        <v/>
      </c>
      <c r="N1464">
        <f>IFERROR(INDEX(PP_Grid[#Data],$DE1464,11),0)</f>
        <v/>
      </c>
      <c r="O1464">
        <f>IFERROR(INDEX(PP_Grid[#Data],$DE1464,12),0)</f>
        <v/>
      </c>
      <c r="P1464">
        <f>IFERROR(INDEX(PP_Grid[#Data],$DE1464,13),0)</f>
        <v/>
      </c>
      <c r="Q1464">
        <f>IFERROR(INDEX(PP_Grid[#Data],$DE1464,14),0)</f>
        <v/>
      </c>
      <c r="R1464">
        <f>IFERROR(INDEX(PP_Grid[#Data],$DE1464,15),0)</f>
        <v/>
      </c>
      <c r="S1464">
        <f>IFERROR(INDEX(PP_Grid[#Data],$DE1464,16),0)</f>
        <v/>
      </c>
      <c r="T1464">
        <f>IFERROR(INDEX(PP_Grid[#Data],$DE1464,17),0)</f>
        <v/>
      </c>
      <c r="U1464">
        <f>IFERROR(INDEX(PP_Grid[#Data],$DE1464,18),0)</f>
        <v/>
      </c>
      <c r="V1464">
        <f>IFERROR(INDEX(PP_Grid[#Data],$DE1464,19),0)</f>
        <v/>
      </c>
      <c r="W1464">
        <f>IFERROR(INDEX(PP_Grid[#Data],$DE1464,20),0)</f>
        <v/>
      </c>
      <c r="X1464">
        <f>IFERROR(INDEX(PP_Grid[#Data],$DE1464,21),0)</f>
        <v/>
      </c>
      <c r="Y1464">
        <f>IFERROR(INDEX(PP_Grid[#Data],$DE1464,22),0)</f>
        <v/>
      </c>
      <c r="Z1464">
        <f>IFERROR(INDEX(PP_Grid[#Data],$DE1464,23),0)</f>
        <v/>
      </c>
      <c r="AA1464">
        <f>IFERROR(INDEX(PP_Grid[#Data],$DE1464,24),0)</f>
        <v/>
      </c>
      <c r="AB1464">
        <f>IFERROR(INDEX(PP_Grid[#Data],$DE1464,25),0)</f>
        <v/>
      </c>
      <c r="AC1464">
        <f>IFERROR(INDEX(PP_Grid[#Data],$DE1464,26),0)</f>
        <v/>
      </c>
      <c r="AD1464">
        <f>IFERROR(INDEX(PP_Grid[#Data],$DE1464,27),0)</f>
        <v/>
      </c>
      <c r="AE1464">
        <f>IFERROR(INDEX(PP_Grid[#Data],$DE1464,28),0)</f>
        <v/>
      </c>
      <c r="AF1464">
        <f>IFERROR(INDEX(PP_Grid[#Data],$DE1464,29),0)</f>
        <v/>
      </c>
      <c r="AG1464">
        <f>IFERROR(INDEX(PP_Grid[#Data],$DE1464,30),0)</f>
        <v/>
      </c>
      <c r="AH1464">
        <f>IFERROR(INDEX(PP_Grid[#Data],$DE1464,31),0)</f>
        <v/>
      </c>
      <c r="AI1464">
        <f>IFERROR(INDEX(PP_Grid[#Data],$DE1464,32),0)</f>
        <v/>
      </c>
      <c r="AJ1464">
        <f>IFERROR(INDEX(PP_Grid[#Data],$DE1464,33),0)</f>
        <v/>
      </c>
      <c r="AK1464">
        <f>IFERROR(INDEX(PP_Grid[#Data],$DE1464,34),0)</f>
        <v/>
      </c>
      <c r="AL1464">
        <f>IFERROR(INDEX(PP_Grid[#Data],$DE1464,35),0)</f>
        <v/>
      </c>
      <c r="AM1464">
        <f>IFERROR(INDEX(PP_Grid[#Data],$DE1464,36),0)</f>
        <v/>
      </c>
      <c r="AN1464">
        <f>IFERROR(INDEX(PP_Grid[#Data],$DE1464,37),0)</f>
        <v/>
      </c>
      <c r="AO1464">
        <f>IFERROR(INDEX(PP_Grid[#Data],$DE1464,38),0)</f>
        <v/>
      </c>
      <c r="AP1464">
        <f>IFERROR(INDEX(PP_Grid[#Data],$DE1464,39),0)</f>
        <v/>
      </c>
      <c r="AQ1464">
        <f>IFERROR(INDEX(PP_Grid[#Data],$DE1464,40),0)</f>
        <v/>
      </c>
      <c r="AR1464">
        <f>IFERROR(INDEX(PP_Grid[#Data],$DE1464,41),0)</f>
        <v/>
      </c>
      <c r="AS1464">
        <f>IFERROR(INDEX(PP_Grid[#Data],$DE1464,42),0)</f>
        <v/>
      </c>
      <c r="AT1464">
        <f>IFERROR(INDEX(PP_Grid[#Data],$DE1464,43),0)</f>
        <v/>
      </c>
      <c r="AU1464">
        <f>IFERROR(INDEX(PP_Grid[#Data],$DE1464,44),0)</f>
        <v/>
      </c>
      <c r="AV1464">
        <f>IFERROR(INDEX(PP_Grid[#Data],$DE1464,45),0)</f>
        <v/>
      </c>
      <c r="AW1464">
        <f>IFERROR(INDEX(PP_Grid[#Data],$DE1464,46),0)</f>
        <v/>
      </c>
      <c r="AX1464">
        <f>IFERROR(INDEX(PP_Grid[#Data],$DE1464,47),0)</f>
        <v/>
      </c>
      <c r="AY1464">
        <f>IFERROR(INDEX(PP_Grid[#Data],$DE1464,48),0)</f>
        <v/>
      </c>
      <c r="AZ1464">
        <f>IFERROR(INDEX(PP_Grid[#Data],$DE1464,49),0)</f>
        <v/>
      </c>
      <c r="BA1464">
        <f>IFERROR(INDEX(PP_Grid[#Data],$DE1464,50),0)</f>
        <v/>
      </c>
      <c r="BB1464">
        <f>IFERROR(INDEX(PP_Grid[#Data],$DE1464,51),0)</f>
        <v/>
      </c>
      <c r="BC1464">
        <f>IFERROR(INDEX(PP_Grid[#Data],$DE1464,52),0)</f>
        <v/>
      </c>
      <c r="BD1464">
        <f>IFERROR(INDEX(PP_Grid[#Data],$DE1464,53),0)</f>
        <v/>
      </c>
      <c r="BE1464">
        <f>IFERROR(INDEX(PP_Grid[#Data],$DE1464,54),0)</f>
        <v/>
      </c>
      <c r="BF1464">
        <f>IFERROR(INDEX(PP_Grid[#Data],$DE1464,55),0)</f>
        <v/>
      </c>
      <c r="BG1464">
        <f>IFERROR(INDEX(PP_Grid[#Data],$DE1464,56),0)</f>
        <v/>
      </c>
      <c r="BH1464">
        <f>IFERROR(INDEX(PP_Grid[#Data],$DE1464,57),0)</f>
        <v/>
      </c>
      <c r="BI1464">
        <f>IFERROR(INDEX(PP_Grid[#Data],$DE1464,58),0)</f>
        <v/>
      </c>
      <c r="BJ1464">
        <f>IFERROR(INDEX(PP_Grid[#Data],$DE1464,59),0)</f>
        <v/>
      </c>
      <c r="BK1464">
        <f>IFERROR(INDEX(PP_Grid[#Data],$DE1464,60),0)</f>
        <v/>
      </c>
      <c r="BL1464">
        <f>IFERROR(INDEX(PP_Grid[#Data],$DE1464,61),0)</f>
        <v/>
      </c>
      <c r="BM1464">
        <f>IFERROR(INDEX(PP_Grid[#Data],$DE1464,62),0)</f>
        <v/>
      </c>
      <c r="BN1464">
        <f>IFERROR(INDEX(PP_Grid[#Data],$DE1464,63),0)</f>
        <v/>
      </c>
      <c r="BO1464">
        <f>IFERROR(INDEX(PP_Grid[#Data],$DE1464,64),0)</f>
        <v/>
      </c>
      <c r="BP1464">
        <f>IFERROR(INDEX(PP_Grid[#Data],$DE1464,65),0)</f>
        <v/>
      </c>
      <c r="BQ1464">
        <f>IFERROR(INDEX(PP_Grid[#Data],$DE1464,66),0)</f>
        <v/>
      </c>
      <c r="BR1464">
        <f>IFERROR(INDEX(PP_Grid[#Data],$DE1464,67),0)</f>
        <v/>
      </c>
      <c r="BS1464">
        <f>IFERROR(INDEX(PP_Grid[#Data],$DE1464,68),0)</f>
        <v/>
      </c>
      <c r="BT1464">
        <f>IFERROR(INDEX(PP_Grid[#Data],$DE1464,69),0)</f>
        <v/>
      </c>
      <c r="BU1464">
        <f>IFERROR(INDEX(PP_Grid[#Data],$DE1464,70),0)</f>
        <v/>
      </c>
      <c r="BV1464">
        <f>IFERROR(INDEX(PP_Grid[#Data],$DE1464,71),0)</f>
        <v/>
      </c>
      <c r="BW1464">
        <f>IFERROR(INDEX(PP_Grid[#Data],$DE1464,72),0)</f>
        <v/>
      </c>
      <c r="BX1464">
        <f>IFERROR(INDEX(PP_Grid[#Data],$DE1464,73),0)</f>
        <v/>
      </c>
      <c r="BY1464">
        <f>IFERROR(INDEX(PP_Grid[#Data],$DE1464,74),0)</f>
        <v/>
      </c>
      <c r="BZ1464">
        <f>IFERROR(INDEX(PP_Grid[#Data],$DE1464,75),0)</f>
        <v/>
      </c>
      <c r="CA1464">
        <f>IFERROR(INDEX(PP_Grid[#Data],$DE1464,76),0)</f>
        <v/>
      </c>
      <c r="CB1464">
        <f>IFERROR(INDEX(PP_Grid[#Data],$DE1464,77),0)</f>
        <v/>
      </c>
      <c r="CC1464">
        <f>IFERROR(INDEX(PP_Grid[#Data],$DE1464,78),0)</f>
        <v/>
      </c>
      <c r="CD1464">
        <f>IFERROR(INDEX(PP_Grid[#Data],$DE1464,79),0)</f>
        <v/>
      </c>
      <c r="CE1464">
        <f>IFERROR(INDEX(PP_Grid[#Data],$DE1464,80),0)</f>
        <v/>
      </c>
      <c r="CF1464">
        <f>IFERROR(INDEX(PP_Grid[#Data],$DE1464,81),0)</f>
        <v/>
      </c>
      <c r="CG1464">
        <f>IFERROR(INDEX(PP_Grid[#Data],$DE1464,82),0)</f>
        <v/>
      </c>
      <c r="CH1464">
        <f>IFERROR(INDEX(PP_Grid[#Data],$DE1464,83),0)</f>
        <v/>
      </c>
      <c r="CI1464">
        <f>IFERROR(INDEX(PP_Grid[#Data],$DE1464,84),0)</f>
        <v/>
      </c>
      <c r="CJ1464">
        <f>IFERROR(INDEX(PP_Grid[#Data],$DE1464,85),0)</f>
        <v/>
      </c>
      <c r="CK1464">
        <f>IFERROR(INDEX(PP_Grid[#Data],$DE1464,86),0)</f>
        <v/>
      </c>
      <c r="CL1464">
        <f>IFERROR(INDEX(PP_Grid[#Data],$DE1464,87),0)</f>
        <v/>
      </c>
      <c r="CM1464">
        <f>IFERROR(INDEX(PP_Grid[#Data],$DE1464,88),0)</f>
        <v/>
      </c>
      <c r="CN1464">
        <f>IFERROR(INDEX(PP_Grid[#Data],$DE1464,89),0)</f>
        <v/>
      </c>
      <c r="CO1464">
        <f>IFERROR(INDEX(PP_Grid[#Data],$DE1464,90),0)</f>
        <v/>
      </c>
      <c r="CP1464">
        <f>IFERROR(INDEX(PP_Grid[#Data],$DE1464,91),0)</f>
        <v/>
      </c>
      <c r="CQ1464">
        <f>IFERROR(INDEX(PP_Grid[#Data],$DE1464,92),0)</f>
        <v/>
      </c>
      <c r="CR1464">
        <f>IFERROR(INDEX(PP_Grid[#Data],$DE1464,93),0)</f>
        <v/>
      </c>
      <c r="CS1464">
        <f>IFERROR(INDEX(PP_Grid[#Data],$DE1464,94),0)</f>
        <v/>
      </c>
      <c r="CT1464">
        <f>IFERROR(INDEX(PP_Grid[#Data],$DE1464,95),0)</f>
        <v/>
      </c>
      <c r="CU1464">
        <f>IFERROR(INDEX(PP_Grid[#Data],$DE1464,96),0)</f>
        <v/>
      </c>
      <c r="CV1464">
        <f>IFERROR(INDEX(PP_Grid[#Data],$DE1464,97),0)</f>
        <v/>
      </c>
      <c r="CW1464">
        <f>IFERROR(INDEX(PP_Grid[#Data],$DE1464,98),0)</f>
        <v/>
      </c>
      <c r="CX1464">
        <f>IFERROR(INDEX(PP_Grid[#Data],$DE1464,99),0)</f>
        <v/>
      </c>
      <c r="CY1464">
        <f>IFERROR(INDEX(PP_Grid[#Data],$DE1464,100),0)</f>
        <v/>
      </c>
      <c r="CZ1464">
        <f>IFERROR(INDEX(PP_Grid[#Data],$DE1464,101),0)</f>
        <v/>
      </c>
      <c r="DA1464">
        <f>IFERROR(INDEX(PP_Grid[#Data],$DE1464,102),0)</f>
        <v/>
      </c>
      <c r="DB1464">
        <f>IFERROR(INDEX(PP_Grid[#Data],$DE1464,103),0)</f>
        <v/>
      </c>
      <c r="DC1464">
        <f>IFERROR(INDEX(PP_Grid[#Data],$DE1464,104),0)</f>
        <v/>
      </c>
      <c r="DD1464">
        <f>IFERROR(INDEX(PP_Grid[#Data],$DE1464,105),0)</f>
        <v/>
      </c>
      <c r="DE1464" s="7">
        <f>IFERROR(MATCH($B1464,PP_Grid[Intermediate],0),99999)</f>
        <v/>
      </c>
    </row>
    <row r="1465">
      <c r="B1465" t="inlineStr">
        <is>
          <t>使用量(kg)</t>
        </is>
      </c>
      <c r="C1465">
        <f>SUMIFS(M_BOM[RM_Qty_Per_Batch],M_BOM[Intermediate],$B1464,M_BOM[RM_Code],$A1451)</f>
        <v/>
      </c>
      <c r="D1465">
        <f>IFERROR(INDEX(E1465:DD1465,$F$1),"")</f>
        <v/>
      </c>
      <c r="E1465">
        <f>$C1465*E1464</f>
        <v/>
      </c>
      <c r="F1465">
        <f>$C1465*F1464</f>
        <v/>
      </c>
      <c r="G1465">
        <f>$C1465*G1464</f>
        <v/>
      </c>
      <c r="H1465">
        <f>$C1465*H1464</f>
        <v/>
      </c>
      <c r="I1465">
        <f>$C1465*I1464</f>
        <v/>
      </c>
      <c r="J1465">
        <f>$C1465*J1464</f>
        <v/>
      </c>
      <c r="K1465">
        <f>$C1465*K1464</f>
        <v/>
      </c>
      <c r="L1465">
        <f>$C1465*L1464</f>
        <v/>
      </c>
      <c r="M1465">
        <f>$C1465*M1464</f>
        <v/>
      </c>
      <c r="N1465">
        <f>$C1465*N1464</f>
        <v/>
      </c>
      <c r="O1465">
        <f>$C1465*O1464</f>
        <v/>
      </c>
      <c r="P1465">
        <f>$C1465*P1464</f>
        <v/>
      </c>
      <c r="Q1465">
        <f>$C1465*Q1464</f>
        <v/>
      </c>
      <c r="R1465">
        <f>$C1465*R1464</f>
        <v/>
      </c>
      <c r="S1465">
        <f>$C1465*S1464</f>
        <v/>
      </c>
      <c r="T1465">
        <f>$C1465*T1464</f>
        <v/>
      </c>
      <c r="U1465">
        <f>$C1465*U1464</f>
        <v/>
      </c>
      <c r="V1465">
        <f>$C1465*V1464</f>
        <v/>
      </c>
      <c r="W1465">
        <f>$C1465*W1464</f>
        <v/>
      </c>
      <c r="X1465">
        <f>$C1465*X1464</f>
        <v/>
      </c>
      <c r="Y1465">
        <f>$C1465*Y1464</f>
        <v/>
      </c>
      <c r="Z1465">
        <f>$C1465*Z1464</f>
        <v/>
      </c>
      <c r="AA1465">
        <f>$C1465*AA1464</f>
        <v/>
      </c>
      <c r="AB1465">
        <f>$C1465*AB1464</f>
        <v/>
      </c>
      <c r="AC1465">
        <f>$C1465*AC1464</f>
        <v/>
      </c>
      <c r="AD1465">
        <f>$C1465*AD1464</f>
        <v/>
      </c>
      <c r="AE1465">
        <f>$C1465*AE1464</f>
        <v/>
      </c>
      <c r="AF1465">
        <f>$C1465*AF1464</f>
        <v/>
      </c>
      <c r="AG1465">
        <f>$C1465*AG1464</f>
        <v/>
      </c>
      <c r="AH1465">
        <f>$C1465*AH1464</f>
        <v/>
      </c>
      <c r="AI1465">
        <f>$C1465*AI1464</f>
        <v/>
      </c>
      <c r="AJ1465">
        <f>$C1465*AJ1464</f>
        <v/>
      </c>
      <c r="AK1465">
        <f>$C1465*AK1464</f>
        <v/>
      </c>
      <c r="AL1465">
        <f>$C1465*AL1464</f>
        <v/>
      </c>
      <c r="AM1465">
        <f>$C1465*AM1464</f>
        <v/>
      </c>
      <c r="AN1465">
        <f>$C1465*AN1464</f>
        <v/>
      </c>
      <c r="AO1465">
        <f>$C1465*AO1464</f>
        <v/>
      </c>
      <c r="AP1465">
        <f>$C1465*AP1464</f>
        <v/>
      </c>
      <c r="AQ1465">
        <f>$C1465*AQ1464</f>
        <v/>
      </c>
      <c r="AR1465">
        <f>$C1465*AR1464</f>
        <v/>
      </c>
      <c r="AS1465">
        <f>$C1465*AS1464</f>
        <v/>
      </c>
      <c r="AT1465">
        <f>$C1465*AT1464</f>
        <v/>
      </c>
      <c r="AU1465">
        <f>$C1465*AU1464</f>
        <v/>
      </c>
      <c r="AV1465">
        <f>$C1465*AV1464</f>
        <v/>
      </c>
      <c r="AW1465">
        <f>$C1465*AW1464</f>
        <v/>
      </c>
      <c r="AX1465">
        <f>$C1465*AX1464</f>
        <v/>
      </c>
      <c r="AY1465">
        <f>$C1465*AY1464</f>
        <v/>
      </c>
      <c r="AZ1465">
        <f>$C1465*AZ1464</f>
        <v/>
      </c>
      <c r="BA1465">
        <f>$C1465*BA1464</f>
        <v/>
      </c>
      <c r="BB1465">
        <f>$C1465*BB1464</f>
        <v/>
      </c>
      <c r="BC1465">
        <f>$C1465*BC1464</f>
        <v/>
      </c>
      <c r="BD1465">
        <f>$C1465*BD1464</f>
        <v/>
      </c>
      <c r="BE1465">
        <f>$C1465*BE1464</f>
        <v/>
      </c>
      <c r="BF1465">
        <f>$C1465*BF1464</f>
        <v/>
      </c>
      <c r="BG1465">
        <f>$C1465*BG1464</f>
        <v/>
      </c>
      <c r="BH1465">
        <f>$C1465*BH1464</f>
        <v/>
      </c>
      <c r="BI1465">
        <f>$C1465*BI1464</f>
        <v/>
      </c>
      <c r="BJ1465">
        <f>$C1465*BJ1464</f>
        <v/>
      </c>
      <c r="BK1465">
        <f>$C1465*BK1464</f>
        <v/>
      </c>
      <c r="BL1465">
        <f>$C1465*BL1464</f>
        <v/>
      </c>
      <c r="BM1465">
        <f>$C1465*BM1464</f>
        <v/>
      </c>
      <c r="BN1465">
        <f>$C1465*BN1464</f>
        <v/>
      </c>
      <c r="BO1465">
        <f>$C1465*BO1464</f>
        <v/>
      </c>
      <c r="BP1465">
        <f>$C1465*BP1464</f>
        <v/>
      </c>
      <c r="BQ1465">
        <f>$C1465*BQ1464</f>
        <v/>
      </c>
      <c r="BR1465">
        <f>$C1465*BR1464</f>
        <v/>
      </c>
      <c r="BS1465">
        <f>$C1465*BS1464</f>
        <v/>
      </c>
      <c r="BT1465">
        <f>$C1465*BT1464</f>
        <v/>
      </c>
      <c r="BU1465">
        <f>$C1465*BU1464</f>
        <v/>
      </c>
      <c r="BV1465">
        <f>$C1465*BV1464</f>
        <v/>
      </c>
      <c r="BW1465">
        <f>$C1465*BW1464</f>
        <v/>
      </c>
      <c r="BX1465">
        <f>$C1465*BX1464</f>
        <v/>
      </c>
      <c r="BY1465">
        <f>$C1465*BY1464</f>
        <v/>
      </c>
      <c r="BZ1465">
        <f>$C1465*BZ1464</f>
        <v/>
      </c>
      <c r="CA1465">
        <f>$C1465*CA1464</f>
        <v/>
      </c>
      <c r="CB1465">
        <f>$C1465*CB1464</f>
        <v/>
      </c>
      <c r="CC1465">
        <f>$C1465*CC1464</f>
        <v/>
      </c>
      <c r="CD1465">
        <f>$C1465*CD1464</f>
        <v/>
      </c>
      <c r="CE1465">
        <f>$C1465*CE1464</f>
        <v/>
      </c>
      <c r="CF1465">
        <f>$C1465*CF1464</f>
        <v/>
      </c>
      <c r="CG1465">
        <f>$C1465*CG1464</f>
        <v/>
      </c>
      <c r="CH1465">
        <f>$C1465*CH1464</f>
        <v/>
      </c>
      <c r="CI1465">
        <f>$C1465*CI1464</f>
        <v/>
      </c>
      <c r="CJ1465">
        <f>$C1465*CJ1464</f>
        <v/>
      </c>
      <c r="CK1465">
        <f>$C1465*CK1464</f>
        <v/>
      </c>
      <c r="CL1465">
        <f>$C1465*CL1464</f>
        <v/>
      </c>
      <c r="CM1465">
        <f>$C1465*CM1464</f>
        <v/>
      </c>
      <c r="CN1465">
        <f>$C1465*CN1464</f>
        <v/>
      </c>
      <c r="CO1465">
        <f>$C1465*CO1464</f>
        <v/>
      </c>
      <c r="CP1465">
        <f>$C1465*CP1464</f>
        <v/>
      </c>
      <c r="CQ1465">
        <f>$C1465*CQ1464</f>
        <v/>
      </c>
      <c r="CR1465">
        <f>$C1465*CR1464</f>
        <v/>
      </c>
      <c r="CS1465">
        <f>$C1465*CS1464</f>
        <v/>
      </c>
      <c r="CT1465">
        <f>$C1465*CT1464</f>
        <v/>
      </c>
      <c r="CU1465">
        <f>$C1465*CU1464</f>
        <v/>
      </c>
      <c r="CV1465">
        <f>$C1465*CV1464</f>
        <v/>
      </c>
      <c r="CW1465">
        <f>$C1465*CW1464</f>
        <v/>
      </c>
      <c r="CX1465">
        <f>$C1465*CX1464</f>
        <v/>
      </c>
      <c r="CY1465">
        <f>$C1465*CY1464</f>
        <v/>
      </c>
      <c r="CZ1465">
        <f>$C1465*CZ1464</f>
        <v/>
      </c>
      <c r="DA1465">
        <f>$C1465*DA1464</f>
        <v/>
      </c>
      <c r="DB1465">
        <f>$C1465*DB1464</f>
        <v/>
      </c>
      <c r="DC1465">
        <f>$C1465*DC1464</f>
        <v/>
      </c>
      <c r="DD1465">
        <f>$C1465*DD1464</f>
        <v/>
      </c>
    </row>
    <row r="1466">
      <c r="B1466" t="inlineStr">
        <is>
          <t>TSP-935</t>
        </is>
      </c>
      <c r="C1466" t="inlineStr">
        <is>
          <t>No. of batches</t>
        </is>
      </c>
      <c r="D1466">
        <f>IFERROR(INDEX(E1466:DD1466,$F$1),"")</f>
        <v/>
      </c>
      <c r="E1466">
        <f>IFERROR(INDEX(PP_Grid[#Data],$DE1466,2),0)</f>
        <v/>
      </c>
      <c r="F1466">
        <f>IFERROR(INDEX(PP_Grid[#Data],$DE1466,3),0)</f>
        <v/>
      </c>
      <c r="G1466">
        <f>IFERROR(INDEX(PP_Grid[#Data],$DE1466,4),0)</f>
        <v/>
      </c>
      <c r="H1466">
        <f>IFERROR(INDEX(PP_Grid[#Data],$DE1466,5),0)</f>
        <v/>
      </c>
      <c r="I1466">
        <f>IFERROR(INDEX(PP_Grid[#Data],$DE1466,6),0)</f>
        <v/>
      </c>
      <c r="J1466">
        <f>IFERROR(INDEX(PP_Grid[#Data],$DE1466,7),0)</f>
        <v/>
      </c>
      <c r="K1466">
        <f>IFERROR(INDEX(PP_Grid[#Data],$DE1466,8),0)</f>
        <v/>
      </c>
      <c r="L1466">
        <f>IFERROR(INDEX(PP_Grid[#Data],$DE1466,9),0)</f>
        <v/>
      </c>
      <c r="M1466">
        <f>IFERROR(INDEX(PP_Grid[#Data],$DE1466,10),0)</f>
        <v/>
      </c>
      <c r="N1466">
        <f>IFERROR(INDEX(PP_Grid[#Data],$DE1466,11),0)</f>
        <v/>
      </c>
      <c r="O1466">
        <f>IFERROR(INDEX(PP_Grid[#Data],$DE1466,12),0)</f>
        <v/>
      </c>
      <c r="P1466">
        <f>IFERROR(INDEX(PP_Grid[#Data],$DE1466,13),0)</f>
        <v/>
      </c>
      <c r="Q1466">
        <f>IFERROR(INDEX(PP_Grid[#Data],$DE1466,14),0)</f>
        <v/>
      </c>
      <c r="R1466">
        <f>IFERROR(INDEX(PP_Grid[#Data],$DE1466,15),0)</f>
        <v/>
      </c>
      <c r="S1466">
        <f>IFERROR(INDEX(PP_Grid[#Data],$DE1466,16),0)</f>
        <v/>
      </c>
      <c r="T1466">
        <f>IFERROR(INDEX(PP_Grid[#Data],$DE1466,17),0)</f>
        <v/>
      </c>
      <c r="U1466">
        <f>IFERROR(INDEX(PP_Grid[#Data],$DE1466,18),0)</f>
        <v/>
      </c>
      <c r="V1466">
        <f>IFERROR(INDEX(PP_Grid[#Data],$DE1466,19),0)</f>
        <v/>
      </c>
      <c r="W1466">
        <f>IFERROR(INDEX(PP_Grid[#Data],$DE1466,20),0)</f>
        <v/>
      </c>
      <c r="X1466">
        <f>IFERROR(INDEX(PP_Grid[#Data],$DE1466,21),0)</f>
        <v/>
      </c>
      <c r="Y1466">
        <f>IFERROR(INDEX(PP_Grid[#Data],$DE1466,22),0)</f>
        <v/>
      </c>
      <c r="Z1466">
        <f>IFERROR(INDEX(PP_Grid[#Data],$DE1466,23),0)</f>
        <v/>
      </c>
      <c r="AA1466">
        <f>IFERROR(INDEX(PP_Grid[#Data],$DE1466,24),0)</f>
        <v/>
      </c>
      <c r="AB1466">
        <f>IFERROR(INDEX(PP_Grid[#Data],$DE1466,25),0)</f>
        <v/>
      </c>
      <c r="AC1466">
        <f>IFERROR(INDEX(PP_Grid[#Data],$DE1466,26),0)</f>
        <v/>
      </c>
      <c r="AD1466">
        <f>IFERROR(INDEX(PP_Grid[#Data],$DE1466,27),0)</f>
        <v/>
      </c>
      <c r="AE1466">
        <f>IFERROR(INDEX(PP_Grid[#Data],$DE1466,28),0)</f>
        <v/>
      </c>
      <c r="AF1466">
        <f>IFERROR(INDEX(PP_Grid[#Data],$DE1466,29),0)</f>
        <v/>
      </c>
      <c r="AG1466">
        <f>IFERROR(INDEX(PP_Grid[#Data],$DE1466,30),0)</f>
        <v/>
      </c>
      <c r="AH1466">
        <f>IFERROR(INDEX(PP_Grid[#Data],$DE1466,31),0)</f>
        <v/>
      </c>
      <c r="AI1466">
        <f>IFERROR(INDEX(PP_Grid[#Data],$DE1466,32),0)</f>
        <v/>
      </c>
      <c r="AJ1466">
        <f>IFERROR(INDEX(PP_Grid[#Data],$DE1466,33),0)</f>
        <v/>
      </c>
      <c r="AK1466">
        <f>IFERROR(INDEX(PP_Grid[#Data],$DE1466,34),0)</f>
        <v/>
      </c>
      <c r="AL1466">
        <f>IFERROR(INDEX(PP_Grid[#Data],$DE1466,35),0)</f>
        <v/>
      </c>
      <c r="AM1466">
        <f>IFERROR(INDEX(PP_Grid[#Data],$DE1466,36),0)</f>
        <v/>
      </c>
      <c r="AN1466">
        <f>IFERROR(INDEX(PP_Grid[#Data],$DE1466,37),0)</f>
        <v/>
      </c>
      <c r="AO1466">
        <f>IFERROR(INDEX(PP_Grid[#Data],$DE1466,38),0)</f>
        <v/>
      </c>
      <c r="AP1466">
        <f>IFERROR(INDEX(PP_Grid[#Data],$DE1466,39),0)</f>
        <v/>
      </c>
      <c r="AQ1466">
        <f>IFERROR(INDEX(PP_Grid[#Data],$DE1466,40),0)</f>
        <v/>
      </c>
      <c r="AR1466">
        <f>IFERROR(INDEX(PP_Grid[#Data],$DE1466,41),0)</f>
        <v/>
      </c>
      <c r="AS1466">
        <f>IFERROR(INDEX(PP_Grid[#Data],$DE1466,42),0)</f>
        <v/>
      </c>
      <c r="AT1466">
        <f>IFERROR(INDEX(PP_Grid[#Data],$DE1466,43),0)</f>
        <v/>
      </c>
      <c r="AU1466">
        <f>IFERROR(INDEX(PP_Grid[#Data],$DE1466,44),0)</f>
        <v/>
      </c>
      <c r="AV1466">
        <f>IFERROR(INDEX(PP_Grid[#Data],$DE1466,45),0)</f>
        <v/>
      </c>
      <c r="AW1466">
        <f>IFERROR(INDEX(PP_Grid[#Data],$DE1466,46),0)</f>
        <v/>
      </c>
      <c r="AX1466">
        <f>IFERROR(INDEX(PP_Grid[#Data],$DE1466,47),0)</f>
        <v/>
      </c>
      <c r="AY1466">
        <f>IFERROR(INDEX(PP_Grid[#Data],$DE1466,48),0)</f>
        <v/>
      </c>
      <c r="AZ1466">
        <f>IFERROR(INDEX(PP_Grid[#Data],$DE1466,49),0)</f>
        <v/>
      </c>
      <c r="BA1466">
        <f>IFERROR(INDEX(PP_Grid[#Data],$DE1466,50),0)</f>
        <v/>
      </c>
      <c r="BB1466">
        <f>IFERROR(INDEX(PP_Grid[#Data],$DE1466,51),0)</f>
        <v/>
      </c>
      <c r="BC1466">
        <f>IFERROR(INDEX(PP_Grid[#Data],$DE1466,52),0)</f>
        <v/>
      </c>
      <c r="BD1466">
        <f>IFERROR(INDEX(PP_Grid[#Data],$DE1466,53),0)</f>
        <v/>
      </c>
      <c r="BE1466">
        <f>IFERROR(INDEX(PP_Grid[#Data],$DE1466,54),0)</f>
        <v/>
      </c>
      <c r="BF1466">
        <f>IFERROR(INDEX(PP_Grid[#Data],$DE1466,55),0)</f>
        <v/>
      </c>
      <c r="BG1466">
        <f>IFERROR(INDEX(PP_Grid[#Data],$DE1466,56),0)</f>
        <v/>
      </c>
      <c r="BH1466">
        <f>IFERROR(INDEX(PP_Grid[#Data],$DE1466,57),0)</f>
        <v/>
      </c>
      <c r="BI1466">
        <f>IFERROR(INDEX(PP_Grid[#Data],$DE1466,58),0)</f>
        <v/>
      </c>
      <c r="BJ1466">
        <f>IFERROR(INDEX(PP_Grid[#Data],$DE1466,59),0)</f>
        <v/>
      </c>
      <c r="BK1466">
        <f>IFERROR(INDEX(PP_Grid[#Data],$DE1466,60),0)</f>
        <v/>
      </c>
      <c r="BL1466">
        <f>IFERROR(INDEX(PP_Grid[#Data],$DE1466,61),0)</f>
        <v/>
      </c>
      <c r="BM1466">
        <f>IFERROR(INDEX(PP_Grid[#Data],$DE1466,62),0)</f>
        <v/>
      </c>
      <c r="BN1466">
        <f>IFERROR(INDEX(PP_Grid[#Data],$DE1466,63),0)</f>
        <v/>
      </c>
      <c r="BO1466">
        <f>IFERROR(INDEX(PP_Grid[#Data],$DE1466,64),0)</f>
        <v/>
      </c>
      <c r="BP1466">
        <f>IFERROR(INDEX(PP_Grid[#Data],$DE1466,65),0)</f>
        <v/>
      </c>
      <c r="BQ1466">
        <f>IFERROR(INDEX(PP_Grid[#Data],$DE1466,66),0)</f>
        <v/>
      </c>
      <c r="BR1466">
        <f>IFERROR(INDEX(PP_Grid[#Data],$DE1466,67),0)</f>
        <v/>
      </c>
      <c r="BS1466">
        <f>IFERROR(INDEX(PP_Grid[#Data],$DE1466,68),0)</f>
        <v/>
      </c>
      <c r="BT1466">
        <f>IFERROR(INDEX(PP_Grid[#Data],$DE1466,69),0)</f>
        <v/>
      </c>
      <c r="BU1466">
        <f>IFERROR(INDEX(PP_Grid[#Data],$DE1466,70),0)</f>
        <v/>
      </c>
      <c r="BV1466">
        <f>IFERROR(INDEX(PP_Grid[#Data],$DE1466,71),0)</f>
        <v/>
      </c>
      <c r="BW1466">
        <f>IFERROR(INDEX(PP_Grid[#Data],$DE1466,72),0)</f>
        <v/>
      </c>
      <c r="BX1466">
        <f>IFERROR(INDEX(PP_Grid[#Data],$DE1466,73),0)</f>
        <v/>
      </c>
      <c r="BY1466">
        <f>IFERROR(INDEX(PP_Grid[#Data],$DE1466,74),0)</f>
        <v/>
      </c>
      <c r="BZ1466">
        <f>IFERROR(INDEX(PP_Grid[#Data],$DE1466,75),0)</f>
        <v/>
      </c>
      <c r="CA1466">
        <f>IFERROR(INDEX(PP_Grid[#Data],$DE1466,76),0)</f>
        <v/>
      </c>
      <c r="CB1466">
        <f>IFERROR(INDEX(PP_Grid[#Data],$DE1466,77),0)</f>
        <v/>
      </c>
      <c r="CC1466">
        <f>IFERROR(INDEX(PP_Grid[#Data],$DE1466,78),0)</f>
        <v/>
      </c>
      <c r="CD1466">
        <f>IFERROR(INDEX(PP_Grid[#Data],$DE1466,79),0)</f>
        <v/>
      </c>
      <c r="CE1466">
        <f>IFERROR(INDEX(PP_Grid[#Data],$DE1466,80),0)</f>
        <v/>
      </c>
      <c r="CF1466">
        <f>IFERROR(INDEX(PP_Grid[#Data],$DE1466,81),0)</f>
        <v/>
      </c>
      <c r="CG1466">
        <f>IFERROR(INDEX(PP_Grid[#Data],$DE1466,82),0)</f>
        <v/>
      </c>
      <c r="CH1466">
        <f>IFERROR(INDEX(PP_Grid[#Data],$DE1466,83),0)</f>
        <v/>
      </c>
      <c r="CI1466">
        <f>IFERROR(INDEX(PP_Grid[#Data],$DE1466,84),0)</f>
        <v/>
      </c>
      <c r="CJ1466">
        <f>IFERROR(INDEX(PP_Grid[#Data],$DE1466,85),0)</f>
        <v/>
      </c>
      <c r="CK1466">
        <f>IFERROR(INDEX(PP_Grid[#Data],$DE1466,86),0)</f>
        <v/>
      </c>
      <c r="CL1466">
        <f>IFERROR(INDEX(PP_Grid[#Data],$DE1466,87),0)</f>
        <v/>
      </c>
      <c r="CM1466">
        <f>IFERROR(INDEX(PP_Grid[#Data],$DE1466,88),0)</f>
        <v/>
      </c>
      <c r="CN1466">
        <f>IFERROR(INDEX(PP_Grid[#Data],$DE1466,89),0)</f>
        <v/>
      </c>
      <c r="CO1466">
        <f>IFERROR(INDEX(PP_Grid[#Data],$DE1466,90),0)</f>
        <v/>
      </c>
      <c r="CP1466">
        <f>IFERROR(INDEX(PP_Grid[#Data],$DE1466,91),0)</f>
        <v/>
      </c>
      <c r="CQ1466">
        <f>IFERROR(INDEX(PP_Grid[#Data],$DE1466,92),0)</f>
        <v/>
      </c>
      <c r="CR1466">
        <f>IFERROR(INDEX(PP_Grid[#Data],$DE1466,93),0)</f>
        <v/>
      </c>
      <c r="CS1466">
        <f>IFERROR(INDEX(PP_Grid[#Data],$DE1466,94),0)</f>
        <v/>
      </c>
      <c r="CT1466">
        <f>IFERROR(INDEX(PP_Grid[#Data],$DE1466,95),0)</f>
        <v/>
      </c>
      <c r="CU1466">
        <f>IFERROR(INDEX(PP_Grid[#Data],$DE1466,96),0)</f>
        <v/>
      </c>
      <c r="CV1466">
        <f>IFERROR(INDEX(PP_Grid[#Data],$DE1466,97),0)</f>
        <v/>
      </c>
      <c r="CW1466">
        <f>IFERROR(INDEX(PP_Grid[#Data],$DE1466,98),0)</f>
        <v/>
      </c>
      <c r="CX1466">
        <f>IFERROR(INDEX(PP_Grid[#Data],$DE1466,99),0)</f>
        <v/>
      </c>
      <c r="CY1466">
        <f>IFERROR(INDEX(PP_Grid[#Data],$DE1466,100),0)</f>
        <v/>
      </c>
      <c r="CZ1466">
        <f>IFERROR(INDEX(PP_Grid[#Data],$DE1466,101),0)</f>
        <v/>
      </c>
      <c r="DA1466">
        <f>IFERROR(INDEX(PP_Grid[#Data],$DE1466,102),0)</f>
        <v/>
      </c>
      <c r="DB1466">
        <f>IFERROR(INDEX(PP_Grid[#Data],$DE1466,103),0)</f>
        <v/>
      </c>
      <c r="DC1466">
        <f>IFERROR(INDEX(PP_Grid[#Data],$DE1466,104),0)</f>
        <v/>
      </c>
      <c r="DD1466">
        <f>IFERROR(INDEX(PP_Grid[#Data],$DE1466,105),0)</f>
        <v/>
      </c>
      <c r="DE1466" s="7">
        <f>IFERROR(MATCH($B1466,PP_Grid[Intermediate],0),99999)</f>
        <v/>
      </c>
    </row>
    <row r="1467">
      <c r="B1467" t="inlineStr">
        <is>
          <t>使用量(kg)</t>
        </is>
      </c>
      <c r="C1467">
        <f>SUMIFS(M_BOM[RM_Qty_Per_Batch],M_BOM[Intermediate],$B1466,M_BOM[RM_Code],$A1451)</f>
        <v/>
      </c>
      <c r="D1467">
        <f>IFERROR(INDEX(E1467:DD1467,$F$1),"")</f>
        <v/>
      </c>
      <c r="E1467">
        <f>$C1467*E1466</f>
        <v/>
      </c>
      <c r="F1467">
        <f>$C1467*F1466</f>
        <v/>
      </c>
      <c r="G1467">
        <f>$C1467*G1466</f>
        <v/>
      </c>
      <c r="H1467">
        <f>$C1467*H1466</f>
        <v/>
      </c>
      <c r="I1467">
        <f>$C1467*I1466</f>
        <v/>
      </c>
      <c r="J1467">
        <f>$C1467*J1466</f>
        <v/>
      </c>
      <c r="K1467">
        <f>$C1467*K1466</f>
        <v/>
      </c>
      <c r="L1467">
        <f>$C1467*L1466</f>
        <v/>
      </c>
      <c r="M1467">
        <f>$C1467*M1466</f>
        <v/>
      </c>
      <c r="N1467">
        <f>$C1467*N1466</f>
        <v/>
      </c>
      <c r="O1467">
        <f>$C1467*O1466</f>
        <v/>
      </c>
      <c r="P1467">
        <f>$C1467*P1466</f>
        <v/>
      </c>
      <c r="Q1467">
        <f>$C1467*Q1466</f>
        <v/>
      </c>
      <c r="R1467">
        <f>$C1467*R1466</f>
        <v/>
      </c>
      <c r="S1467">
        <f>$C1467*S1466</f>
        <v/>
      </c>
      <c r="T1467">
        <f>$C1467*T1466</f>
        <v/>
      </c>
      <c r="U1467">
        <f>$C1467*U1466</f>
        <v/>
      </c>
      <c r="V1467">
        <f>$C1467*V1466</f>
        <v/>
      </c>
      <c r="W1467">
        <f>$C1467*W1466</f>
        <v/>
      </c>
      <c r="X1467">
        <f>$C1467*X1466</f>
        <v/>
      </c>
      <c r="Y1467">
        <f>$C1467*Y1466</f>
        <v/>
      </c>
      <c r="Z1467">
        <f>$C1467*Z1466</f>
        <v/>
      </c>
      <c r="AA1467">
        <f>$C1467*AA1466</f>
        <v/>
      </c>
      <c r="AB1467">
        <f>$C1467*AB1466</f>
        <v/>
      </c>
      <c r="AC1467">
        <f>$C1467*AC1466</f>
        <v/>
      </c>
      <c r="AD1467">
        <f>$C1467*AD1466</f>
        <v/>
      </c>
      <c r="AE1467">
        <f>$C1467*AE1466</f>
        <v/>
      </c>
      <c r="AF1467">
        <f>$C1467*AF1466</f>
        <v/>
      </c>
      <c r="AG1467">
        <f>$C1467*AG1466</f>
        <v/>
      </c>
      <c r="AH1467">
        <f>$C1467*AH1466</f>
        <v/>
      </c>
      <c r="AI1467">
        <f>$C1467*AI1466</f>
        <v/>
      </c>
      <c r="AJ1467">
        <f>$C1467*AJ1466</f>
        <v/>
      </c>
      <c r="AK1467">
        <f>$C1467*AK1466</f>
        <v/>
      </c>
      <c r="AL1467">
        <f>$C1467*AL1466</f>
        <v/>
      </c>
      <c r="AM1467">
        <f>$C1467*AM1466</f>
        <v/>
      </c>
      <c r="AN1467">
        <f>$C1467*AN1466</f>
        <v/>
      </c>
      <c r="AO1467">
        <f>$C1467*AO1466</f>
        <v/>
      </c>
      <c r="AP1467">
        <f>$C1467*AP1466</f>
        <v/>
      </c>
      <c r="AQ1467">
        <f>$C1467*AQ1466</f>
        <v/>
      </c>
      <c r="AR1467">
        <f>$C1467*AR1466</f>
        <v/>
      </c>
      <c r="AS1467">
        <f>$C1467*AS1466</f>
        <v/>
      </c>
      <c r="AT1467">
        <f>$C1467*AT1466</f>
        <v/>
      </c>
      <c r="AU1467">
        <f>$C1467*AU1466</f>
        <v/>
      </c>
      <c r="AV1467">
        <f>$C1467*AV1466</f>
        <v/>
      </c>
      <c r="AW1467">
        <f>$C1467*AW1466</f>
        <v/>
      </c>
      <c r="AX1467">
        <f>$C1467*AX1466</f>
        <v/>
      </c>
      <c r="AY1467">
        <f>$C1467*AY1466</f>
        <v/>
      </c>
      <c r="AZ1467">
        <f>$C1467*AZ1466</f>
        <v/>
      </c>
      <c r="BA1467">
        <f>$C1467*BA1466</f>
        <v/>
      </c>
      <c r="BB1467">
        <f>$C1467*BB1466</f>
        <v/>
      </c>
      <c r="BC1467">
        <f>$C1467*BC1466</f>
        <v/>
      </c>
      <c r="BD1467">
        <f>$C1467*BD1466</f>
        <v/>
      </c>
      <c r="BE1467">
        <f>$C1467*BE1466</f>
        <v/>
      </c>
      <c r="BF1467">
        <f>$C1467*BF1466</f>
        <v/>
      </c>
      <c r="BG1467">
        <f>$C1467*BG1466</f>
        <v/>
      </c>
      <c r="BH1467">
        <f>$C1467*BH1466</f>
        <v/>
      </c>
      <c r="BI1467">
        <f>$C1467*BI1466</f>
        <v/>
      </c>
      <c r="BJ1467">
        <f>$C1467*BJ1466</f>
        <v/>
      </c>
      <c r="BK1467">
        <f>$C1467*BK1466</f>
        <v/>
      </c>
      <c r="BL1467">
        <f>$C1467*BL1466</f>
        <v/>
      </c>
      <c r="BM1467">
        <f>$C1467*BM1466</f>
        <v/>
      </c>
      <c r="BN1467">
        <f>$C1467*BN1466</f>
        <v/>
      </c>
      <c r="BO1467">
        <f>$C1467*BO1466</f>
        <v/>
      </c>
      <c r="BP1467">
        <f>$C1467*BP1466</f>
        <v/>
      </c>
      <c r="BQ1467">
        <f>$C1467*BQ1466</f>
        <v/>
      </c>
      <c r="BR1467">
        <f>$C1467*BR1466</f>
        <v/>
      </c>
      <c r="BS1467">
        <f>$C1467*BS1466</f>
        <v/>
      </c>
      <c r="BT1467">
        <f>$C1467*BT1466</f>
        <v/>
      </c>
      <c r="BU1467">
        <f>$C1467*BU1466</f>
        <v/>
      </c>
      <c r="BV1467">
        <f>$C1467*BV1466</f>
        <v/>
      </c>
      <c r="BW1467">
        <f>$C1467*BW1466</f>
        <v/>
      </c>
      <c r="BX1467">
        <f>$C1467*BX1466</f>
        <v/>
      </c>
      <c r="BY1467">
        <f>$C1467*BY1466</f>
        <v/>
      </c>
      <c r="BZ1467">
        <f>$C1467*BZ1466</f>
        <v/>
      </c>
      <c r="CA1467">
        <f>$C1467*CA1466</f>
        <v/>
      </c>
      <c r="CB1467">
        <f>$C1467*CB1466</f>
        <v/>
      </c>
      <c r="CC1467">
        <f>$C1467*CC1466</f>
        <v/>
      </c>
      <c r="CD1467">
        <f>$C1467*CD1466</f>
        <v/>
      </c>
      <c r="CE1467">
        <f>$C1467*CE1466</f>
        <v/>
      </c>
      <c r="CF1467">
        <f>$C1467*CF1466</f>
        <v/>
      </c>
      <c r="CG1467">
        <f>$C1467*CG1466</f>
        <v/>
      </c>
      <c r="CH1467">
        <f>$C1467*CH1466</f>
        <v/>
      </c>
      <c r="CI1467">
        <f>$C1467*CI1466</f>
        <v/>
      </c>
      <c r="CJ1467">
        <f>$C1467*CJ1466</f>
        <v/>
      </c>
      <c r="CK1467">
        <f>$C1467*CK1466</f>
        <v/>
      </c>
      <c r="CL1467">
        <f>$C1467*CL1466</f>
        <v/>
      </c>
      <c r="CM1467">
        <f>$C1467*CM1466</f>
        <v/>
      </c>
      <c r="CN1467">
        <f>$C1467*CN1466</f>
        <v/>
      </c>
      <c r="CO1467">
        <f>$C1467*CO1466</f>
        <v/>
      </c>
      <c r="CP1467">
        <f>$C1467*CP1466</f>
        <v/>
      </c>
      <c r="CQ1467">
        <f>$C1467*CQ1466</f>
        <v/>
      </c>
      <c r="CR1467">
        <f>$C1467*CR1466</f>
        <v/>
      </c>
      <c r="CS1467">
        <f>$C1467*CS1466</f>
        <v/>
      </c>
      <c r="CT1467">
        <f>$C1467*CT1466</f>
        <v/>
      </c>
      <c r="CU1467">
        <f>$C1467*CU1466</f>
        <v/>
      </c>
      <c r="CV1467">
        <f>$C1467*CV1466</f>
        <v/>
      </c>
      <c r="CW1467">
        <f>$C1467*CW1466</f>
        <v/>
      </c>
      <c r="CX1467">
        <f>$C1467*CX1466</f>
        <v/>
      </c>
      <c r="CY1467">
        <f>$C1467*CY1466</f>
        <v/>
      </c>
      <c r="CZ1467">
        <f>$C1467*CZ1466</f>
        <v/>
      </c>
      <c r="DA1467">
        <f>$C1467*DA1466</f>
        <v/>
      </c>
      <c r="DB1467">
        <f>$C1467*DB1466</f>
        <v/>
      </c>
      <c r="DC1467">
        <f>$C1467*DC1466</f>
        <v/>
      </c>
      <c r="DD1467">
        <f>$C1467*DD1466</f>
        <v/>
      </c>
    </row>
    <row r="1468">
      <c r="B1468" t="inlineStr">
        <is>
          <t>TSP-936</t>
        </is>
      </c>
      <c r="C1468" t="inlineStr">
        <is>
          <t>No. of batches</t>
        </is>
      </c>
      <c r="D1468">
        <f>IFERROR(INDEX(E1468:DD1468,$F$1),"")</f>
        <v/>
      </c>
      <c r="E1468">
        <f>IFERROR(INDEX(PP_Grid[#Data],$DE1468,2),0)</f>
        <v/>
      </c>
      <c r="F1468">
        <f>IFERROR(INDEX(PP_Grid[#Data],$DE1468,3),0)</f>
        <v/>
      </c>
      <c r="G1468">
        <f>IFERROR(INDEX(PP_Grid[#Data],$DE1468,4),0)</f>
        <v/>
      </c>
      <c r="H1468">
        <f>IFERROR(INDEX(PP_Grid[#Data],$DE1468,5),0)</f>
        <v/>
      </c>
      <c r="I1468">
        <f>IFERROR(INDEX(PP_Grid[#Data],$DE1468,6),0)</f>
        <v/>
      </c>
      <c r="J1468">
        <f>IFERROR(INDEX(PP_Grid[#Data],$DE1468,7),0)</f>
        <v/>
      </c>
      <c r="K1468">
        <f>IFERROR(INDEX(PP_Grid[#Data],$DE1468,8),0)</f>
        <v/>
      </c>
      <c r="L1468">
        <f>IFERROR(INDEX(PP_Grid[#Data],$DE1468,9),0)</f>
        <v/>
      </c>
      <c r="M1468">
        <f>IFERROR(INDEX(PP_Grid[#Data],$DE1468,10),0)</f>
        <v/>
      </c>
      <c r="N1468">
        <f>IFERROR(INDEX(PP_Grid[#Data],$DE1468,11),0)</f>
        <v/>
      </c>
      <c r="O1468">
        <f>IFERROR(INDEX(PP_Grid[#Data],$DE1468,12),0)</f>
        <v/>
      </c>
      <c r="P1468">
        <f>IFERROR(INDEX(PP_Grid[#Data],$DE1468,13),0)</f>
        <v/>
      </c>
      <c r="Q1468">
        <f>IFERROR(INDEX(PP_Grid[#Data],$DE1468,14),0)</f>
        <v/>
      </c>
      <c r="R1468">
        <f>IFERROR(INDEX(PP_Grid[#Data],$DE1468,15),0)</f>
        <v/>
      </c>
      <c r="S1468">
        <f>IFERROR(INDEX(PP_Grid[#Data],$DE1468,16),0)</f>
        <v/>
      </c>
      <c r="T1468">
        <f>IFERROR(INDEX(PP_Grid[#Data],$DE1468,17),0)</f>
        <v/>
      </c>
      <c r="U1468">
        <f>IFERROR(INDEX(PP_Grid[#Data],$DE1468,18),0)</f>
        <v/>
      </c>
      <c r="V1468">
        <f>IFERROR(INDEX(PP_Grid[#Data],$DE1468,19),0)</f>
        <v/>
      </c>
      <c r="W1468">
        <f>IFERROR(INDEX(PP_Grid[#Data],$DE1468,20),0)</f>
        <v/>
      </c>
      <c r="X1468">
        <f>IFERROR(INDEX(PP_Grid[#Data],$DE1468,21),0)</f>
        <v/>
      </c>
      <c r="Y1468">
        <f>IFERROR(INDEX(PP_Grid[#Data],$DE1468,22),0)</f>
        <v/>
      </c>
      <c r="Z1468">
        <f>IFERROR(INDEX(PP_Grid[#Data],$DE1468,23),0)</f>
        <v/>
      </c>
      <c r="AA1468">
        <f>IFERROR(INDEX(PP_Grid[#Data],$DE1468,24),0)</f>
        <v/>
      </c>
      <c r="AB1468">
        <f>IFERROR(INDEX(PP_Grid[#Data],$DE1468,25),0)</f>
        <v/>
      </c>
      <c r="AC1468">
        <f>IFERROR(INDEX(PP_Grid[#Data],$DE1468,26),0)</f>
        <v/>
      </c>
      <c r="AD1468">
        <f>IFERROR(INDEX(PP_Grid[#Data],$DE1468,27),0)</f>
        <v/>
      </c>
      <c r="AE1468">
        <f>IFERROR(INDEX(PP_Grid[#Data],$DE1468,28),0)</f>
        <v/>
      </c>
      <c r="AF1468">
        <f>IFERROR(INDEX(PP_Grid[#Data],$DE1468,29),0)</f>
        <v/>
      </c>
      <c r="AG1468">
        <f>IFERROR(INDEX(PP_Grid[#Data],$DE1468,30),0)</f>
        <v/>
      </c>
      <c r="AH1468">
        <f>IFERROR(INDEX(PP_Grid[#Data],$DE1468,31),0)</f>
        <v/>
      </c>
      <c r="AI1468">
        <f>IFERROR(INDEX(PP_Grid[#Data],$DE1468,32),0)</f>
        <v/>
      </c>
      <c r="AJ1468">
        <f>IFERROR(INDEX(PP_Grid[#Data],$DE1468,33),0)</f>
        <v/>
      </c>
      <c r="AK1468">
        <f>IFERROR(INDEX(PP_Grid[#Data],$DE1468,34),0)</f>
        <v/>
      </c>
      <c r="AL1468">
        <f>IFERROR(INDEX(PP_Grid[#Data],$DE1468,35),0)</f>
        <v/>
      </c>
      <c r="AM1468">
        <f>IFERROR(INDEX(PP_Grid[#Data],$DE1468,36),0)</f>
        <v/>
      </c>
      <c r="AN1468">
        <f>IFERROR(INDEX(PP_Grid[#Data],$DE1468,37),0)</f>
        <v/>
      </c>
      <c r="AO1468">
        <f>IFERROR(INDEX(PP_Grid[#Data],$DE1468,38),0)</f>
        <v/>
      </c>
      <c r="AP1468">
        <f>IFERROR(INDEX(PP_Grid[#Data],$DE1468,39),0)</f>
        <v/>
      </c>
      <c r="AQ1468">
        <f>IFERROR(INDEX(PP_Grid[#Data],$DE1468,40),0)</f>
        <v/>
      </c>
      <c r="AR1468">
        <f>IFERROR(INDEX(PP_Grid[#Data],$DE1468,41),0)</f>
        <v/>
      </c>
      <c r="AS1468">
        <f>IFERROR(INDEX(PP_Grid[#Data],$DE1468,42),0)</f>
        <v/>
      </c>
      <c r="AT1468">
        <f>IFERROR(INDEX(PP_Grid[#Data],$DE1468,43),0)</f>
        <v/>
      </c>
      <c r="AU1468">
        <f>IFERROR(INDEX(PP_Grid[#Data],$DE1468,44),0)</f>
        <v/>
      </c>
      <c r="AV1468">
        <f>IFERROR(INDEX(PP_Grid[#Data],$DE1468,45),0)</f>
        <v/>
      </c>
      <c r="AW1468">
        <f>IFERROR(INDEX(PP_Grid[#Data],$DE1468,46),0)</f>
        <v/>
      </c>
      <c r="AX1468">
        <f>IFERROR(INDEX(PP_Grid[#Data],$DE1468,47),0)</f>
        <v/>
      </c>
      <c r="AY1468">
        <f>IFERROR(INDEX(PP_Grid[#Data],$DE1468,48),0)</f>
        <v/>
      </c>
      <c r="AZ1468">
        <f>IFERROR(INDEX(PP_Grid[#Data],$DE1468,49),0)</f>
        <v/>
      </c>
      <c r="BA1468">
        <f>IFERROR(INDEX(PP_Grid[#Data],$DE1468,50),0)</f>
        <v/>
      </c>
      <c r="BB1468">
        <f>IFERROR(INDEX(PP_Grid[#Data],$DE1468,51),0)</f>
        <v/>
      </c>
      <c r="BC1468">
        <f>IFERROR(INDEX(PP_Grid[#Data],$DE1468,52),0)</f>
        <v/>
      </c>
      <c r="BD1468">
        <f>IFERROR(INDEX(PP_Grid[#Data],$DE1468,53),0)</f>
        <v/>
      </c>
      <c r="BE1468">
        <f>IFERROR(INDEX(PP_Grid[#Data],$DE1468,54),0)</f>
        <v/>
      </c>
      <c r="BF1468">
        <f>IFERROR(INDEX(PP_Grid[#Data],$DE1468,55),0)</f>
        <v/>
      </c>
      <c r="BG1468">
        <f>IFERROR(INDEX(PP_Grid[#Data],$DE1468,56),0)</f>
        <v/>
      </c>
      <c r="BH1468">
        <f>IFERROR(INDEX(PP_Grid[#Data],$DE1468,57),0)</f>
        <v/>
      </c>
      <c r="BI1468">
        <f>IFERROR(INDEX(PP_Grid[#Data],$DE1468,58),0)</f>
        <v/>
      </c>
      <c r="BJ1468">
        <f>IFERROR(INDEX(PP_Grid[#Data],$DE1468,59),0)</f>
        <v/>
      </c>
      <c r="BK1468">
        <f>IFERROR(INDEX(PP_Grid[#Data],$DE1468,60),0)</f>
        <v/>
      </c>
      <c r="BL1468">
        <f>IFERROR(INDEX(PP_Grid[#Data],$DE1468,61),0)</f>
        <v/>
      </c>
      <c r="BM1468">
        <f>IFERROR(INDEX(PP_Grid[#Data],$DE1468,62),0)</f>
        <v/>
      </c>
      <c r="BN1468">
        <f>IFERROR(INDEX(PP_Grid[#Data],$DE1468,63),0)</f>
        <v/>
      </c>
      <c r="BO1468">
        <f>IFERROR(INDEX(PP_Grid[#Data],$DE1468,64),0)</f>
        <v/>
      </c>
      <c r="BP1468">
        <f>IFERROR(INDEX(PP_Grid[#Data],$DE1468,65),0)</f>
        <v/>
      </c>
      <c r="BQ1468">
        <f>IFERROR(INDEX(PP_Grid[#Data],$DE1468,66),0)</f>
        <v/>
      </c>
      <c r="BR1468">
        <f>IFERROR(INDEX(PP_Grid[#Data],$DE1468,67),0)</f>
        <v/>
      </c>
      <c r="BS1468">
        <f>IFERROR(INDEX(PP_Grid[#Data],$DE1468,68),0)</f>
        <v/>
      </c>
      <c r="BT1468">
        <f>IFERROR(INDEX(PP_Grid[#Data],$DE1468,69),0)</f>
        <v/>
      </c>
      <c r="BU1468">
        <f>IFERROR(INDEX(PP_Grid[#Data],$DE1468,70),0)</f>
        <v/>
      </c>
      <c r="BV1468">
        <f>IFERROR(INDEX(PP_Grid[#Data],$DE1468,71),0)</f>
        <v/>
      </c>
      <c r="BW1468">
        <f>IFERROR(INDEX(PP_Grid[#Data],$DE1468,72),0)</f>
        <v/>
      </c>
      <c r="BX1468">
        <f>IFERROR(INDEX(PP_Grid[#Data],$DE1468,73),0)</f>
        <v/>
      </c>
      <c r="BY1468">
        <f>IFERROR(INDEX(PP_Grid[#Data],$DE1468,74),0)</f>
        <v/>
      </c>
      <c r="BZ1468">
        <f>IFERROR(INDEX(PP_Grid[#Data],$DE1468,75),0)</f>
        <v/>
      </c>
      <c r="CA1468">
        <f>IFERROR(INDEX(PP_Grid[#Data],$DE1468,76),0)</f>
        <v/>
      </c>
      <c r="CB1468">
        <f>IFERROR(INDEX(PP_Grid[#Data],$DE1468,77),0)</f>
        <v/>
      </c>
      <c r="CC1468">
        <f>IFERROR(INDEX(PP_Grid[#Data],$DE1468,78),0)</f>
        <v/>
      </c>
      <c r="CD1468">
        <f>IFERROR(INDEX(PP_Grid[#Data],$DE1468,79),0)</f>
        <v/>
      </c>
      <c r="CE1468">
        <f>IFERROR(INDEX(PP_Grid[#Data],$DE1468,80),0)</f>
        <v/>
      </c>
      <c r="CF1468">
        <f>IFERROR(INDEX(PP_Grid[#Data],$DE1468,81),0)</f>
        <v/>
      </c>
      <c r="CG1468">
        <f>IFERROR(INDEX(PP_Grid[#Data],$DE1468,82),0)</f>
        <v/>
      </c>
      <c r="CH1468">
        <f>IFERROR(INDEX(PP_Grid[#Data],$DE1468,83),0)</f>
        <v/>
      </c>
      <c r="CI1468">
        <f>IFERROR(INDEX(PP_Grid[#Data],$DE1468,84),0)</f>
        <v/>
      </c>
      <c r="CJ1468">
        <f>IFERROR(INDEX(PP_Grid[#Data],$DE1468,85),0)</f>
        <v/>
      </c>
      <c r="CK1468">
        <f>IFERROR(INDEX(PP_Grid[#Data],$DE1468,86),0)</f>
        <v/>
      </c>
      <c r="CL1468">
        <f>IFERROR(INDEX(PP_Grid[#Data],$DE1468,87),0)</f>
        <v/>
      </c>
      <c r="CM1468">
        <f>IFERROR(INDEX(PP_Grid[#Data],$DE1468,88),0)</f>
        <v/>
      </c>
      <c r="CN1468">
        <f>IFERROR(INDEX(PP_Grid[#Data],$DE1468,89),0)</f>
        <v/>
      </c>
      <c r="CO1468">
        <f>IFERROR(INDEX(PP_Grid[#Data],$DE1468,90),0)</f>
        <v/>
      </c>
      <c r="CP1468">
        <f>IFERROR(INDEX(PP_Grid[#Data],$DE1468,91),0)</f>
        <v/>
      </c>
      <c r="CQ1468">
        <f>IFERROR(INDEX(PP_Grid[#Data],$DE1468,92),0)</f>
        <v/>
      </c>
      <c r="CR1468">
        <f>IFERROR(INDEX(PP_Grid[#Data],$DE1468,93),0)</f>
        <v/>
      </c>
      <c r="CS1468">
        <f>IFERROR(INDEX(PP_Grid[#Data],$DE1468,94),0)</f>
        <v/>
      </c>
      <c r="CT1468">
        <f>IFERROR(INDEX(PP_Grid[#Data],$DE1468,95),0)</f>
        <v/>
      </c>
      <c r="CU1468">
        <f>IFERROR(INDEX(PP_Grid[#Data],$DE1468,96),0)</f>
        <v/>
      </c>
      <c r="CV1468">
        <f>IFERROR(INDEX(PP_Grid[#Data],$DE1468,97),0)</f>
        <v/>
      </c>
      <c r="CW1468">
        <f>IFERROR(INDEX(PP_Grid[#Data],$DE1468,98),0)</f>
        <v/>
      </c>
      <c r="CX1468">
        <f>IFERROR(INDEX(PP_Grid[#Data],$DE1468,99),0)</f>
        <v/>
      </c>
      <c r="CY1468">
        <f>IFERROR(INDEX(PP_Grid[#Data],$DE1468,100),0)</f>
        <v/>
      </c>
      <c r="CZ1468">
        <f>IFERROR(INDEX(PP_Grid[#Data],$DE1468,101),0)</f>
        <v/>
      </c>
      <c r="DA1468">
        <f>IFERROR(INDEX(PP_Grid[#Data],$DE1468,102),0)</f>
        <v/>
      </c>
      <c r="DB1468">
        <f>IFERROR(INDEX(PP_Grid[#Data],$DE1468,103),0)</f>
        <v/>
      </c>
      <c r="DC1468">
        <f>IFERROR(INDEX(PP_Grid[#Data],$DE1468,104),0)</f>
        <v/>
      </c>
      <c r="DD1468">
        <f>IFERROR(INDEX(PP_Grid[#Data],$DE1468,105),0)</f>
        <v/>
      </c>
      <c r="DE1468" s="7">
        <f>IFERROR(MATCH($B1468,PP_Grid[Intermediate],0),99999)</f>
        <v/>
      </c>
    </row>
    <row r="1469">
      <c r="B1469" t="inlineStr">
        <is>
          <t>使用量(kg)</t>
        </is>
      </c>
      <c r="C1469">
        <f>SUMIFS(M_BOM[RM_Qty_Per_Batch],M_BOM[Intermediate],$B1468,M_BOM[RM_Code],$A1451)</f>
        <v/>
      </c>
      <c r="D1469">
        <f>IFERROR(INDEX(E1469:DD1469,$F$1),"")</f>
        <v/>
      </c>
      <c r="E1469">
        <f>$C1469*E1468</f>
        <v/>
      </c>
      <c r="F1469">
        <f>$C1469*F1468</f>
        <v/>
      </c>
      <c r="G1469">
        <f>$C1469*G1468</f>
        <v/>
      </c>
      <c r="H1469">
        <f>$C1469*H1468</f>
        <v/>
      </c>
      <c r="I1469">
        <f>$C1469*I1468</f>
        <v/>
      </c>
      <c r="J1469">
        <f>$C1469*J1468</f>
        <v/>
      </c>
      <c r="K1469">
        <f>$C1469*K1468</f>
        <v/>
      </c>
      <c r="L1469">
        <f>$C1469*L1468</f>
        <v/>
      </c>
      <c r="M1469">
        <f>$C1469*M1468</f>
        <v/>
      </c>
      <c r="N1469">
        <f>$C1469*N1468</f>
        <v/>
      </c>
      <c r="O1469">
        <f>$C1469*O1468</f>
        <v/>
      </c>
      <c r="P1469">
        <f>$C1469*P1468</f>
        <v/>
      </c>
      <c r="Q1469">
        <f>$C1469*Q1468</f>
        <v/>
      </c>
      <c r="R1469">
        <f>$C1469*R1468</f>
        <v/>
      </c>
      <c r="S1469">
        <f>$C1469*S1468</f>
        <v/>
      </c>
      <c r="T1469">
        <f>$C1469*T1468</f>
        <v/>
      </c>
      <c r="U1469">
        <f>$C1469*U1468</f>
        <v/>
      </c>
      <c r="V1469">
        <f>$C1469*V1468</f>
        <v/>
      </c>
      <c r="W1469">
        <f>$C1469*W1468</f>
        <v/>
      </c>
      <c r="X1469">
        <f>$C1469*X1468</f>
        <v/>
      </c>
      <c r="Y1469">
        <f>$C1469*Y1468</f>
        <v/>
      </c>
      <c r="Z1469">
        <f>$C1469*Z1468</f>
        <v/>
      </c>
      <c r="AA1469">
        <f>$C1469*AA1468</f>
        <v/>
      </c>
      <c r="AB1469">
        <f>$C1469*AB1468</f>
        <v/>
      </c>
      <c r="AC1469">
        <f>$C1469*AC1468</f>
        <v/>
      </c>
      <c r="AD1469">
        <f>$C1469*AD1468</f>
        <v/>
      </c>
      <c r="AE1469">
        <f>$C1469*AE1468</f>
        <v/>
      </c>
      <c r="AF1469">
        <f>$C1469*AF1468</f>
        <v/>
      </c>
      <c r="AG1469">
        <f>$C1469*AG1468</f>
        <v/>
      </c>
      <c r="AH1469">
        <f>$C1469*AH1468</f>
        <v/>
      </c>
      <c r="AI1469">
        <f>$C1469*AI1468</f>
        <v/>
      </c>
      <c r="AJ1469">
        <f>$C1469*AJ1468</f>
        <v/>
      </c>
      <c r="AK1469">
        <f>$C1469*AK1468</f>
        <v/>
      </c>
      <c r="AL1469">
        <f>$C1469*AL1468</f>
        <v/>
      </c>
      <c r="AM1469">
        <f>$C1469*AM1468</f>
        <v/>
      </c>
      <c r="AN1469">
        <f>$C1469*AN1468</f>
        <v/>
      </c>
      <c r="AO1469">
        <f>$C1469*AO1468</f>
        <v/>
      </c>
      <c r="AP1469">
        <f>$C1469*AP1468</f>
        <v/>
      </c>
      <c r="AQ1469">
        <f>$C1469*AQ1468</f>
        <v/>
      </c>
      <c r="AR1469">
        <f>$C1469*AR1468</f>
        <v/>
      </c>
      <c r="AS1469">
        <f>$C1469*AS1468</f>
        <v/>
      </c>
      <c r="AT1469">
        <f>$C1469*AT1468</f>
        <v/>
      </c>
      <c r="AU1469">
        <f>$C1469*AU1468</f>
        <v/>
      </c>
      <c r="AV1469">
        <f>$C1469*AV1468</f>
        <v/>
      </c>
      <c r="AW1469">
        <f>$C1469*AW1468</f>
        <v/>
      </c>
      <c r="AX1469">
        <f>$C1469*AX1468</f>
        <v/>
      </c>
      <c r="AY1469">
        <f>$C1469*AY1468</f>
        <v/>
      </c>
      <c r="AZ1469">
        <f>$C1469*AZ1468</f>
        <v/>
      </c>
      <c r="BA1469">
        <f>$C1469*BA1468</f>
        <v/>
      </c>
      <c r="BB1469">
        <f>$C1469*BB1468</f>
        <v/>
      </c>
      <c r="BC1469">
        <f>$C1469*BC1468</f>
        <v/>
      </c>
      <c r="BD1469">
        <f>$C1469*BD1468</f>
        <v/>
      </c>
      <c r="BE1469">
        <f>$C1469*BE1468</f>
        <v/>
      </c>
      <c r="BF1469">
        <f>$C1469*BF1468</f>
        <v/>
      </c>
      <c r="BG1469">
        <f>$C1469*BG1468</f>
        <v/>
      </c>
      <c r="BH1469">
        <f>$C1469*BH1468</f>
        <v/>
      </c>
      <c r="BI1469">
        <f>$C1469*BI1468</f>
        <v/>
      </c>
      <c r="BJ1469">
        <f>$C1469*BJ1468</f>
        <v/>
      </c>
      <c r="BK1469">
        <f>$C1469*BK1468</f>
        <v/>
      </c>
      <c r="BL1469">
        <f>$C1469*BL1468</f>
        <v/>
      </c>
      <c r="BM1469">
        <f>$C1469*BM1468</f>
        <v/>
      </c>
      <c r="BN1469">
        <f>$C1469*BN1468</f>
        <v/>
      </c>
      <c r="BO1469">
        <f>$C1469*BO1468</f>
        <v/>
      </c>
      <c r="BP1469">
        <f>$C1469*BP1468</f>
        <v/>
      </c>
      <c r="BQ1469">
        <f>$C1469*BQ1468</f>
        <v/>
      </c>
      <c r="BR1469">
        <f>$C1469*BR1468</f>
        <v/>
      </c>
      <c r="BS1469">
        <f>$C1469*BS1468</f>
        <v/>
      </c>
      <c r="BT1469">
        <f>$C1469*BT1468</f>
        <v/>
      </c>
      <c r="BU1469">
        <f>$C1469*BU1468</f>
        <v/>
      </c>
      <c r="BV1469">
        <f>$C1469*BV1468</f>
        <v/>
      </c>
      <c r="BW1469">
        <f>$C1469*BW1468</f>
        <v/>
      </c>
      <c r="BX1469">
        <f>$C1469*BX1468</f>
        <v/>
      </c>
      <c r="BY1469">
        <f>$C1469*BY1468</f>
        <v/>
      </c>
      <c r="BZ1469">
        <f>$C1469*BZ1468</f>
        <v/>
      </c>
      <c r="CA1469">
        <f>$C1469*CA1468</f>
        <v/>
      </c>
      <c r="CB1469">
        <f>$C1469*CB1468</f>
        <v/>
      </c>
      <c r="CC1469">
        <f>$C1469*CC1468</f>
        <v/>
      </c>
      <c r="CD1469">
        <f>$C1469*CD1468</f>
        <v/>
      </c>
      <c r="CE1469">
        <f>$C1469*CE1468</f>
        <v/>
      </c>
      <c r="CF1469">
        <f>$C1469*CF1468</f>
        <v/>
      </c>
      <c r="CG1469">
        <f>$C1469*CG1468</f>
        <v/>
      </c>
      <c r="CH1469">
        <f>$C1469*CH1468</f>
        <v/>
      </c>
      <c r="CI1469">
        <f>$C1469*CI1468</f>
        <v/>
      </c>
      <c r="CJ1469">
        <f>$C1469*CJ1468</f>
        <v/>
      </c>
      <c r="CK1469">
        <f>$C1469*CK1468</f>
        <v/>
      </c>
      <c r="CL1469">
        <f>$C1469*CL1468</f>
        <v/>
      </c>
      <c r="CM1469">
        <f>$C1469*CM1468</f>
        <v/>
      </c>
      <c r="CN1469">
        <f>$C1469*CN1468</f>
        <v/>
      </c>
      <c r="CO1469">
        <f>$C1469*CO1468</f>
        <v/>
      </c>
      <c r="CP1469">
        <f>$C1469*CP1468</f>
        <v/>
      </c>
      <c r="CQ1469">
        <f>$C1469*CQ1468</f>
        <v/>
      </c>
      <c r="CR1469">
        <f>$C1469*CR1468</f>
        <v/>
      </c>
      <c r="CS1469">
        <f>$C1469*CS1468</f>
        <v/>
      </c>
      <c r="CT1469">
        <f>$C1469*CT1468</f>
        <v/>
      </c>
      <c r="CU1469">
        <f>$C1469*CU1468</f>
        <v/>
      </c>
      <c r="CV1469">
        <f>$C1469*CV1468</f>
        <v/>
      </c>
      <c r="CW1469">
        <f>$C1469*CW1468</f>
        <v/>
      </c>
      <c r="CX1469">
        <f>$C1469*CX1468</f>
        <v/>
      </c>
      <c r="CY1469">
        <f>$C1469*CY1468</f>
        <v/>
      </c>
      <c r="CZ1469">
        <f>$C1469*CZ1468</f>
        <v/>
      </c>
      <c r="DA1469">
        <f>$C1469*DA1468</f>
        <v/>
      </c>
      <c r="DB1469">
        <f>$C1469*DB1468</f>
        <v/>
      </c>
      <c r="DC1469">
        <f>$C1469*DC1468</f>
        <v/>
      </c>
      <c r="DD1469">
        <f>$C1469*DD1468</f>
        <v/>
      </c>
    </row>
    <row r="1470">
      <c r="B1470" t="inlineStr">
        <is>
          <t>TSP-937</t>
        </is>
      </c>
      <c r="C1470" t="inlineStr">
        <is>
          <t>No. of batches</t>
        </is>
      </c>
      <c r="D1470">
        <f>IFERROR(INDEX(E1470:DD1470,$F$1),"")</f>
        <v/>
      </c>
      <c r="E1470">
        <f>IFERROR(INDEX(PP_Grid[#Data],$DE1470,2),0)</f>
        <v/>
      </c>
      <c r="F1470">
        <f>IFERROR(INDEX(PP_Grid[#Data],$DE1470,3),0)</f>
        <v/>
      </c>
      <c r="G1470">
        <f>IFERROR(INDEX(PP_Grid[#Data],$DE1470,4),0)</f>
        <v/>
      </c>
      <c r="H1470">
        <f>IFERROR(INDEX(PP_Grid[#Data],$DE1470,5),0)</f>
        <v/>
      </c>
      <c r="I1470">
        <f>IFERROR(INDEX(PP_Grid[#Data],$DE1470,6),0)</f>
        <v/>
      </c>
      <c r="J1470">
        <f>IFERROR(INDEX(PP_Grid[#Data],$DE1470,7),0)</f>
        <v/>
      </c>
      <c r="K1470">
        <f>IFERROR(INDEX(PP_Grid[#Data],$DE1470,8),0)</f>
        <v/>
      </c>
      <c r="L1470">
        <f>IFERROR(INDEX(PP_Grid[#Data],$DE1470,9),0)</f>
        <v/>
      </c>
      <c r="M1470">
        <f>IFERROR(INDEX(PP_Grid[#Data],$DE1470,10),0)</f>
        <v/>
      </c>
      <c r="N1470">
        <f>IFERROR(INDEX(PP_Grid[#Data],$DE1470,11),0)</f>
        <v/>
      </c>
      <c r="O1470">
        <f>IFERROR(INDEX(PP_Grid[#Data],$DE1470,12),0)</f>
        <v/>
      </c>
      <c r="P1470">
        <f>IFERROR(INDEX(PP_Grid[#Data],$DE1470,13),0)</f>
        <v/>
      </c>
      <c r="Q1470">
        <f>IFERROR(INDEX(PP_Grid[#Data],$DE1470,14),0)</f>
        <v/>
      </c>
      <c r="R1470">
        <f>IFERROR(INDEX(PP_Grid[#Data],$DE1470,15),0)</f>
        <v/>
      </c>
      <c r="S1470">
        <f>IFERROR(INDEX(PP_Grid[#Data],$DE1470,16),0)</f>
        <v/>
      </c>
      <c r="T1470">
        <f>IFERROR(INDEX(PP_Grid[#Data],$DE1470,17),0)</f>
        <v/>
      </c>
      <c r="U1470">
        <f>IFERROR(INDEX(PP_Grid[#Data],$DE1470,18),0)</f>
        <v/>
      </c>
      <c r="V1470">
        <f>IFERROR(INDEX(PP_Grid[#Data],$DE1470,19),0)</f>
        <v/>
      </c>
      <c r="W1470">
        <f>IFERROR(INDEX(PP_Grid[#Data],$DE1470,20),0)</f>
        <v/>
      </c>
      <c r="X1470">
        <f>IFERROR(INDEX(PP_Grid[#Data],$DE1470,21),0)</f>
        <v/>
      </c>
      <c r="Y1470">
        <f>IFERROR(INDEX(PP_Grid[#Data],$DE1470,22),0)</f>
        <v/>
      </c>
      <c r="Z1470">
        <f>IFERROR(INDEX(PP_Grid[#Data],$DE1470,23),0)</f>
        <v/>
      </c>
      <c r="AA1470">
        <f>IFERROR(INDEX(PP_Grid[#Data],$DE1470,24),0)</f>
        <v/>
      </c>
      <c r="AB1470">
        <f>IFERROR(INDEX(PP_Grid[#Data],$DE1470,25),0)</f>
        <v/>
      </c>
      <c r="AC1470">
        <f>IFERROR(INDEX(PP_Grid[#Data],$DE1470,26),0)</f>
        <v/>
      </c>
      <c r="AD1470">
        <f>IFERROR(INDEX(PP_Grid[#Data],$DE1470,27),0)</f>
        <v/>
      </c>
      <c r="AE1470">
        <f>IFERROR(INDEX(PP_Grid[#Data],$DE1470,28),0)</f>
        <v/>
      </c>
      <c r="AF1470">
        <f>IFERROR(INDEX(PP_Grid[#Data],$DE1470,29),0)</f>
        <v/>
      </c>
      <c r="AG1470">
        <f>IFERROR(INDEX(PP_Grid[#Data],$DE1470,30),0)</f>
        <v/>
      </c>
      <c r="AH1470">
        <f>IFERROR(INDEX(PP_Grid[#Data],$DE1470,31),0)</f>
        <v/>
      </c>
      <c r="AI1470">
        <f>IFERROR(INDEX(PP_Grid[#Data],$DE1470,32),0)</f>
        <v/>
      </c>
      <c r="AJ1470">
        <f>IFERROR(INDEX(PP_Grid[#Data],$DE1470,33),0)</f>
        <v/>
      </c>
      <c r="AK1470">
        <f>IFERROR(INDEX(PP_Grid[#Data],$DE1470,34),0)</f>
        <v/>
      </c>
      <c r="AL1470">
        <f>IFERROR(INDEX(PP_Grid[#Data],$DE1470,35),0)</f>
        <v/>
      </c>
      <c r="AM1470">
        <f>IFERROR(INDEX(PP_Grid[#Data],$DE1470,36),0)</f>
        <v/>
      </c>
      <c r="AN1470">
        <f>IFERROR(INDEX(PP_Grid[#Data],$DE1470,37),0)</f>
        <v/>
      </c>
      <c r="AO1470">
        <f>IFERROR(INDEX(PP_Grid[#Data],$DE1470,38),0)</f>
        <v/>
      </c>
      <c r="AP1470">
        <f>IFERROR(INDEX(PP_Grid[#Data],$DE1470,39),0)</f>
        <v/>
      </c>
      <c r="AQ1470">
        <f>IFERROR(INDEX(PP_Grid[#Data],$DE1470,40),0)</f>
        <v/>
      </c>
      <c r="AR1470">
        <f>IFERROR(INDEX(PP_Grid[#Data],$DE1470,41),0)</f>
        <v/>
      </c>
      <c r="AS1470">
        <f>IFERROR(INDEX(PP_Grid[#Data],$DE1470,42),0)</f>
        <v/>
      </c>
      <c r="AT1470">
        <f>IFERROR(INDEX(PP_Grid[#Data],$DE1470,43),0)</f>
        <v/>
      </c>
      <c r="AU1470">
        <f>IFERROR(INDEX(PP_Grid[#Data],$DE1470,44),0)</f>
        <v/>
      </c>
      <c r="AV1470">
        <f>IFERROR(INDEX(PP_Grid[#Data],$DE1470,45),0)</f>
        <v/>
      </c>
      <c r="AW1470">
        <f>IFERROR(INDEX(PP_Grid[#Data],$DE1470,46),0)</f>
        <v/>
      </c>
      <c r="AX1470">
        <f>IFERROR(INDEX(PP_Grid[#Data],$DE1470,47),0)</f>
        <v/>
      </c>
      <c r="AY1470">
        <f>IFERROR(INDEX(PP_Grid[#Data],$DE1470,48),0)</f>
        <v/>
      </c>
      <c r="AZ1470">
        <f>IFERROR(INDEX(PP_Grid[#Data],$DE1470,49),0)</f>
        <v/>
      </c>
      <c r="BA1470">
        <f>IFERROR(INDEX(PP_Grid[#Data],$DE1470,50),0)</f>
        <v/>
      </c>
      <c r="BB1470">
        <f>IFERROR(INDEX(PP_Grid[#Data],$DE1470,51),0)</f>
        <v/>
      </c>
      <c r="BC1470">
        <f>IFERROR(INDEX(PP_Grid[#Data],$DE1470,52),0)</f>
        <v/>
      </c>
      <c r="BD1470">
        <f>IFERROR(INDEX(PP_Grid[#Data],$DE1470,53),0)</f>
        <v/>
      </c>
      <c r="BE1470">
        <f>IFERROR(INDEX(PP_Grid[#Data],$DE1470,54),0)</f>
        <v/>
      </c>
      <c r="BF1470">
        <f>IFERROR(INDEX(PP_Grid[#Data],$DE1470,55),0)</f>
        <v/>
      </c>
      <c r="BG1470">
        <f>IFERROR(INDEX(PP_Grid[#Data],$DE1470,56),0)</f>
        <v/>
      </c>
      <c r="BH1470">
        <f>IFERROR(INDEX(PP_Grid[#Data],$DE1470,57),0)</f>
        <v/>
      </c>
      <c r="BI1470">
        <f>IFERROR(INDEX(PP_Grid[#Data],$DE1470,58),0)</f>
        <v/>
      </c>
      <c r="BJ1470">
        <f>IFERROR(INDEX(PP_Grid[#Data],$DE1470,59),0)</f>
        <v/>
      </c>
      <c r="BK1470">
        <f>IFERROR(INDEX(PP_Grid[#Data],$DE1470,60),0)</f>
        <v/>
      </c>
      <c r="BL1470">
        <f>IFERROR(INDEX(PP_Grid[#Data],$DE1470,61),0)</f>
        <v/>
      </c>
      <c r="BM1470">
        <f>IFERROR(INDEX(PP_Grid[#Data],$DE1470,62),0)</f>
        <v/>
      </c>
      <c r="BN1470">
        <f>IFERROR(INDEX(PP_Grid[#Data],$DE1470,63),0)</f>
        <v/>
      </c>
      <c r="BO1470">
        <f>IFERROR(INDEX(PP_Grid[#Data],$DE1470,64),0)</f>
        <v/>
      </c>
      <c r="BP1470">
        <f>IFERROR(INDEX(PP_Grid[#Data],$DE1470,65),0)</f>
        <v/>
      </c>
      <c r="BQ1470">
        <f>IFERROR(INDEX(PP_Grid[#Data],$DE1470,66),0)</f>
        <v/>
      </c>
      <c r="BR1470">
        <f>IFERROR(INDEX(PP_Grid[#Data],$DE1470,67),0)</f>
        <v/>
      </c>
      <c r="BS1470">
        <f>IFERROR(INDEX(PP_Grid[#Data],$DE1470,68),0)</f>
        <v/>
      </c>
      <c r="BT1470">
        <f>IFERROR(INDEX(PP_Grid[#Data],$DE1470,69),0)</f>
        <v/>
      </c>
      <c r="BU1470">
        <f>IFERROR(INDEX(PP_Grid[#Data],$DE1470,70),0)</f>
        <v/>
      </c>
      <c r="BV1470">
        <f>IFERROR(INDEX(PP_Grid[#Data],$DE1470,71),0)</f>
        <v/>
      </c>
      <c r="BW1470">
        <f>IFERROR(INDEX(PP_Grid[#Data],$DE1470,72),0)</f>
        <v/>
      </c>
      <c r="BX1470">
        <f>IFERROR(INDEX(PP_Grid[#Data],$DE1470,73),0)</f>
        <v/>
      </c>
      <c r="BY1470">
        <f>IFERROR(INDEX(PP_Grid[#Data],$DE1470,74),0)</f>
        <v/>
      </c>
      <c r="BZ1470">
        <f>IFERROR(INDEX(PP_Grid[#Data],$DE1470,75),0)</f>
        <v/>
      </c>
      <c r="CA1470">
        <f>IFERROR(INDEX(PP_Grid[#Data],$DE1470,76),0)</f>
        <v/>
      </c>
      <c r="CB1470">
        <f>IFERROR(INDEX(PP_Grid[#Data],$DE1470,77),0)</f>
        <v/>
      </c>
      <c r="CC1470">
        <f>IFERROR(INDEX(PP_Grid[#Data],$DE1470,78),0)</f>
        <v/>
      </c>
      <c r="CD1470">
        <f>IFERROR(INDEX(PP_Grid[#Data],$DE1470,79),0)</f>
        <v/>
      </c>
      <c r="CE1470">
        <f>IFERROR(INDEX(PP_Grid[#Data],$DE1470,80),0)</f>
        <v/>
      </c>
      <c r="CF1470">
        <f>IFERROR(INDEX(PP_Grid[#Data],$DE1470,81),0)</f>
        <v/>
      </c>
      <c r="CG1470">
        <f>IFERROR(INDEX(PP_Grid[#Data],$DE1470,82),0)</f>
        <v/>
      </c>
      <c r="CH1470">
        <f>IFERROR(INDEX(PP_Grid[#Data],$DE1470,83),0)</f>
        <v/>
      </c>
      <c r="CI1470">
        <f>IFERROR(INDEX(PP_Grid[#Data],$DE1470,84),0)</f>
        <v/>
      </c>
      <c r="CJ1470">
        <f>IFERROR(INDEX(PP_Grid[#Data],$DE1470,85),0)</f>
        <v/>
      </c>
      <c r="CK1470">
        <f>IFERROR(INDEX(PP_Grid[#Data],$DE1470,86),0)</f>
        <v/>
      </c>
      <c r="CL1470">
        <f>IFERROR(INDEX(PP_Grid[#Data],$DE1470,87),0)</f>
        <v/>
      </c>
      <c r="CM1470">
        <f>IFERROR(INDEX(PP_Grid[#Data],$DE1470,88),0)</f>
        <v/>
      </c>
      <c r="CN1470">
        <f>IFERROR(INDEX(PP_Grid[#Data],$DE1470,89),0)</f>
        <v/>
      </c>
      <c r="CO1470">
        <f>IFERROR(INDEX(PP_Grid[#Data],$DE1470,90),0)</f>
        <v/>
      </c>
      <c r="CP1470">
        <f>IFERROR(INDEX(PP_Grid[#Data],$DE1470,91),0)</f>
        <v/>
      </c>
      <c r="CQ1470">
        <f>IFERROR(INDEX(PP_Grid[#Data],$DE1470,92),0)</f>
        <v/>
      </c>
      <c r="CR1470">
        <f>IFERROR(INDEX(PP_Grid[#Data],$DE1470,93),0)</f>
        <v/>
      </c>
      <c r="CS1470">
        <f>IFERROR(INDEX(PP_Grid[#Data],$DE1470,94),0)</f>
        <v/>
      </c>
      <c r="CT1470">
        <f>IFERROR(INDEX(PP_Grid[#Data],$DE1470,95),0)</f>
        <v/>
      </c>
      <c r="CU1470">
        <f>IFERROR(INDEX(PP_Grid[#Data],$DE1470,96),0)</f>
        <v/>
      </c>
      <c r="CV1470">
        <f>IFERROR(INDEX(PP_Grid[#Data],$DE1470,97),0)</f>
        <v/>
      </c>
      <c r="CW1470">
        <f>IFERROR(INDEX(PP_Grid[#Data],$DE1470,98),0)</f>
        <v/>
      </c>
      <c r="CX1470">
        <f>IFERROR(INDEX(PP_Grid[#Data],$DE1470,99),0)</f>
        <v/>
      </c>
      <c r="CY1470">
        <f>IFERROR(INDEX(PP_Grid[#Data],$DE1470,100),0)</f>
        <v/>
      </c>
      <c r="CZ1470">
        <f>IFERROR(INDEX(PP_Grid[#Data],$DE1470,101),0)</f>
        <v/>
      </c>
      <c r="DA1470">
        <f>IFERROR(INDEX(PP_Grid[#Data],$DE1470,102),0)</f>
        <v/>
      </c>
      <c r="DB1470">
        <f>IFERROR(INDEX(PP_Grid[#Data],$DE1470,103),0)</f>
        <v/>
      </c>
      <c r="DC1470">
        <f>IFERROR(INDEX(PP_Grid[#Data],$DE1470,104),0)</f>
        <v/>
      </c>
      <c r="DD1470">
        <f>IFERROR(INDEX(PP_Grid[#Data],$DE1470,105),0)</f>
        <v/>
      </c>
      <c r="DE1470" s="7">
        <f>IFERROR(MATCH($B1470,PP_Grid[Intermediate],0),99999)</f>
        <v/>
      </c>
    </row>
    <row r="1471">
      <c r="B1471" t="inlineStr">
        <is>
          <t>使用量(kg)</t>
        </is>
      </c>
      <c r="C1471">
        <f>SUMIFS(M_BOM[RM_Qty_Per_Batch],M_BOM[Intermediate],$B1470,M_BOM[RM_Code],$A1451)</f>
        <v/>
      </c>
      <c r="D1471">
        <f>IFERROR(INDEX(E1471:DD1471,$F$1),"")</f>
        <v/>
      </c>
      <c r="E1471">
        <f>$C1471*E1470</f>
        <v/>
      </c>
      <c r="F1471">
        <f>$C1471*F1470</f>
        <v/>
      </c>
      <c r="G1471">
        <f>$C1471*G1470</f>
        <v/>
      </c>
      <c r="H1471">
        <f>$C1471*H1470</f>
        <v/>
      </c>
      <c r="I1471">
        <f>$C1471*I1470</f>
        <v/>
      </c>
      <c r="J1471">
        <f>$C1471*J1470</f>
        <v/>
      </c>
      <c r="K1471">
        <f>$C1471*K1470</f>
        <v/>
      </c>
      <c r="L1471">
        <f>$C1471*L1470</f>
        <v/>
      </c>
      <c r="M1471">
        <f>$C1471*M1470</f>
        <v/>
      </c>
      <c r="N1471">
        <f>$C1471*N1470</f>
        <v/>
      </c>
      <c r="O1471">
        <f>$C1471*O1470</f>
        <v/>
      </c>
      <c r="P1471">
        <f>$C1471*P1470</f>
        <v/>
      </c>
      <c r="Q1471">
        <f>$C1471*Q1470</f>
        <v/>
      </c>
      <c r="R1471">
        <f>$C1471*R1470</f>
        <v/>
      </c>
      <c r="S1471">
        <f>$C1471*S1470</f>
        <v/>
      </c>
      <c r="T1471">
        <f>$C1471*T1470</f>
        <v/>
      </c>
      <c r="U1471">
        <f>$C1471*U1470</f>
        <v/>
      </c>
      <c r="V1471">
        <f>$C1471*V1470</f>
        <v/>
      </c>
      <c r="W1471">
        <f>$C1471*W1470</f>
        <v/>
      </c>
      <c r="X1471">
        <f>$C1471*X1470</f>
        <v/>
      </c>
      <c r="Y1471">
        <f>$C1471*Y1470</f>
        <v/>
      </c>
      <c r="Z1471">
        <f>$C1471*Z1470</f>
        <v/>
      </c>
      <c r="AA1471">
        <f>$C1471*AA1470</f>
        <v/>
      </c>
      <c r="AB1471">
        <f>$C1471*AB1470</f>
        <v/>
      </c>
      <c r="AC1471">
        <f>$C1471*AC1470</f>
        <v/>
      </c>
      <c r="AD1471">
        <f>$C1471*AD1470</f>
        <v/>
      </c>
      <c r="AE1471">
        <f>$C1471*AE1470</f>
        <v/>
      </c>
      <c r="AF1471">
        <f>$C1471*AF1470</f>
        <v/>
      </c>
      <c r="AG1471">
        <f>$C1471*AG1470</f>
        <v/>
      </c>
      <c r="AH1471">
        <f>$C1471*AH1470</f>
        <v/>
      </c>
      <c r="AI1471">
        <f>$C1471*AI1470</f>
        <v/>
      </c>
      <c r="AJ1471">
        <f>$C1471*AJ1470</f>
        <v/>
      </c>
      <c r="AK1471">
        <f>$C1471*AK1470</f>
        <v/>
      </c>
      <c r="AL1471">
        <f>$C1471*AL1470</f>
        <v/>
      </c>
      <c r="AM1471">
        <f>$C1471*AM1470</f>
        <v/>
      </c>
      <c r="AN1471">
        <f>$C1471*AN1470</f>
        <v/>
      </c>
      <c r="AO1471">
        <f>$C1471*AO1470</f>
        <v/>
      </c>
      <c r="AP1471">
        <f>$C1471*AP1470</f>
        <v/>
      </c>
      <c r="AQ1471">
        <f>$C1471*AQ1470</f>
        <v/>
      </c>
      <c r="AR1471">
        <f>$C1471*AR1470</f>
        <v/>
      </c>
      <c r="AS1471">
        <f>$C1471*AS1470</f>
        <v/>
      </c>
      <c r="AT1471">
        <f>$C1471*AT1470</f>
        <v/>
      </c>
      <c r="AU1471">
        <f>$C1471*AU1470</f>
        <v/>
      </c>
      <c r="AV1471">
        <f>$C1471*AV1470</f>
        <v/>
      </c>
      <c r="AW1471">
        <f>$C1471*AW1470</f>
        <v/>
      </c>
      <c r="AX1471">
        <f>$C1471*AX1470</f>
        <v/>
      </c>
      <c r="AY1471">
        <f>$C1471*AY1470</f>
        <v/>
      </c>
      <c r="AZ1471">
        <f>$C1471*AZ1470</f>
        <v/>
      </c>
      <c r="BA1471">
        <f>$C1471*BA1470</f>
        <v/>
      </c>
      <c r="BB1471">
        <f>$C1471*BB1470</f>
        <v/>
      </c>
      <c r="BC1471">
        <f>$C1471*BC1470</f>
        <v/>
      </c>
      <c r="BD1471">
        <f>$C1471*BD1470</f>
        <v/>
      </c>
      <c r="BE1471">
        <f>$C1471*BE1470</f>
        <v/>
      </c>
      <c r="BF1471">
        <f>$C1471*BF1470</f>
        <v/>
      </c>
      <c r="BG1471">
        <f>$C1471*BG1470</f>
        <v/>
      </c>
      <c r="BH1471">
        <f>$C1471*BH1470</f>
        <v/>
      </c>
      <c r="BI1471">
        <f>$C1471*BI1470</f>
        <v/>
      </c>
      <c r="BJ1471">
        <f>$C1471*BJ1470</f>
        <v/>
      </c>
      <c r="BK1471">
        <f>$C1471*BK1470</f>
        <v/>
      </c>
      <c r="BL1471">
        <f>$C1471*BL1470</f>
        <v/>
      </c>
      <c r="BM1471">
        <f>$C1471*BM1470</f>
        <v/>
      </c>
      <c r="BN1471">
        <f>$C1471*BN1470</f>
        <v/>
      </c>
      <c r="BO1471">
        <f>$C1471*BO1470</f>
        <v/>
      </c>
      <c r="BP1471">
        <f>$C1471*BP1470</f>
        <v/>
      </c>
      <c r="BQ1471">
        <f>$C1471*BQ1470</f>
        <v/>
      </c>
      <c r="BR1471">
        <f>$C1471*BR1470</f>
        <v/>
      </c>
      <c r="BS1471">
        <f>$C1471*BS1470</f>
        <v/>
      </c>
      <c r="BT1471">
        <f>$C1471*BT1470</f>
        <v/>
      </c>
      <c r="BU1471">
        <f>$C1471*BU1470</f>
        <v/>
      </c>
      <c r="BV1471">
        <f>$C1471*BV1470</f>
        <v/>
      </c>
      <c r="BW1471">
        <f>$C1471*BW1470</f>
        <v/>
      </c>
      <c r="BX1471">
        <f>$C1471*BX1470</f>
        <v/>
      </c>
      <c r="BY1471">
        <f>$C1471*BY1470</f>
        <v/>
      </c>
      <c r="BZ1471">
        <f>$C1471*BZ1470</f>
        <v/>
      </c>
      <c r="CA1471">
        <f>$C1471*CA1470</f>
        <v/>
      </c>
      <c r="CB1471">
        <f>$C1471*CB1470</f>
        <v/>
      </c>
      <c r="CC1471">
        <f>$C1471*CC1470</f>
        <v/>
      </c>
      <c r="CD1471">
        <f>$C1471*CD1470</f>
        <v/>
      </c>
      <c r="CE1471">
        <f>$C1471*CE1470</f>
        <v/>
      </c>
      <c r="CF1471">
        <f>$C1471*CF1470</f>
        <v/>
      </c>
      <c r="CG1471">
        <f>$C1471*CG1470</f>
        <v/>
      </c>
      <c r="CH1471">
        <f>$C1471*CH1470</f>
        <v/>
      </c>
      <c r="CI1471">
        <f>$C1471*CI1470</f>
        <v/>
      </c>
      <c r="CJ1471">
        <f>$C1471*CJ1470</f>
        <v/>
      </c>
      <c r="CK1471">
        <f>$C1471*CK1470</f>
        <v/>
      </c>
      <c r="CL1471">
        <f>$C1471*CL1470</f>
        <v/>
      </c>
      <c r="CM1471">
        <f>$C1471*CM1470</f>
        <v/>
      </c>
      <c r="CN1471">
        <f>$C1471*CN1470</f>
        <v/>
      </c>
      <c r="CO1471">
        <f>$C1471*CO1470</f>
        <v/>
      </c>
      <c r="CP1471">
        <f>$C1471*CP1470</f>
        <v/>
      </c>
      <c r="CQ1471">
        <f>$C1471*CQ1470</f>
        <v/>
      </c>
      <c r="CR1471">
        <f>$C1471*CR1470</f>
        <v/>
      </c>
      <c r="CS1471">
        <f>$C1471*CS1470</f>
        <v/>
      </c>
      <c r="CT1471">
        <f>$C1471*CT1470</f>
        <v/>
      </c>
      <c r="CU1471">
        <f>$C1471*CU1470</f>
        <v/>
      </c>
      <c r="CV1471">
        <f>$C1471*CV1470</f>
        <v/>
      </c>
      <c r="CW1471">
        <f>$C1471*CW1470</f>
        <v/>
      </c>
      <c r="CX1471">
        <f>$C1471*CX1470</f>
        <v/>
      </c>
      <c r="CY1471">
        <f>$C1471*CY1470</f>
        <v/>
      </c>
      <c r="CZ1471">
        <f>$C1471*CZ1470</f>
        <v/>
      </c>
      <c r="DA1471">
        <f>$C1471*DA1470</f>
        <v/>
      </c>
      <c r="DB1471">
        <f>$C1471*DB1470</f>
        <v/>
      </c>
      <c r="DC1471">
        <f>$C1471*DC1470</f>
        <v/>
      </c>
      <c r="DD1471">
        <f>$C1471*DD1470</f>
        <v/>
      </c>
    </row>
    <row r="1472">
      <c r="B1472" t="inlineStr">
        <is>
          <t>TSP-1388</t>
        </is>
      </c>
      <c r="C1472" t="inlineStr">
        <is>
          <t>No. of batches</t>
        </is>
      </c>
      <c r="D1472">
        <f>IFERROR(INDEX(E1472:DD1472,$F$1),"")</f>
        <v/>
      </c>
      <c r="E1472">
        <f>IFERROR(INDEX(PP_Grid[#Data],$DE1472,2),0)</f>
        <v/>
      </c>
      <c r="F1472">
        <f>IFERROR(INDEX(PP_Grid[#Data],$DE1472,3),0)</f>
        <v/>
      </c>
      <c r="G1472">
        <f>IFERROR(INDEX(PP_Grid[#Data],$DE1472,4),0)</f>
        <v/>
      </c>
      <c r="H1472">
        <f>IFERROR(INDEX(PP_Grid[#Data],$DE1472,5),0)</f>
        <v/>
      </c>
      <c r="I1472">
        <f>IFERROR(INDEX(PP_Grid[#Data],$DE1472,6),0)</f>
        <v/>
      </c>
      <c r="J1472">
        <f>IFERROR(INDEX(PP_Grid[#Data],$DE1472,7),0)</f>
        <v/>
      </c>
      <c r="K1472">
        <f>IFERROR(INDEX(PP_Grid[#Data],$DE1472,8),0)</f>
        <v/>
      </c>
      <c r="L1472">
        <f>IFERROR(INDEX(PP_Grid[#Data],$DE1472,9),0)</f>
        <v/>
      </c>
      <c r="M1472">
        <f>IFERROR(INDEX(PP_Grid[#Data],$DE1472,10),0)</f>
        <v/>
      </c>
      <c r="N1472">
        <f>IFERROR(INDEX(PP_Grid[#Data],$DE1472,11),0)</f>
        <v/>
      </c>
      <c r="O1472">
        <f>IFERROR(INDEX(PP_Grid[#Data],$DE1472,12),0)</f>
        <v/>
      </c>
      <c r="P1472">
        <f>IFERROR(INDEX(PP_Grid[#Data],$DE1472,13),0)</f>
        <v/>
      </c>
      <c r="Q1472">
        <f>IFERROR(INDEX(PP_Grid[#Data],$DE1472,14),0)</f>
        <v/>
      </c>
      <c r="R1472">
        <f>IFERROR(INDEX(PP_Grid[#Data],$DE1472,15),0)</f>
        <v/>
      </c>
      <c r="S1472">
        <f>IFERROR(INDEX(PP_Grid[#Data],$DE1472,16),0)</f>
        <v/>
      </c>
      <c r="T1472">
        <f>IFERROR(INDEX(PP_Grid[#Data],$DE1472,17),0)</f>
        <v/>
      </c>
      <c r="U1472">
        <f>IFERROR(INDEX(PP_Grid[#Data],$DE1472,18),0)</f>
        <v/>
      </c>
      <c r="V1472">
        <f>IFERROR(INDEX(PP_Grid[#Data],$DE1472,19),0)</f>
        <v/>
      </c>
      <c r="W1472">
        <f>IFERROR(INDEX(PP_Grid[#Data],$DE1472,20),0)</f>
        <v/>
      </c>
      <c r="X1472">
        <f>IFERROR(INDEX(PP_Grid[#Data],$DE1472,21),0)</f>
        <v/>
      </c>
      <c r="Y1472">
        <f>IFERROR(INDEX(PP_Grid[#Data],$DE1472,22),0)</f>
        <v/>
      </c>
      <c r="Z1472">
        <f>IFERROR(INDEX(PP_Grid[#Data],$DE1472,23),0)</f>
        <v/>
      </c>
      <c r="AA1472">
        <f>IFERROR(INDEX(PP_Grid[#Data],$DE1472,24),0)</f>
        <v/>
      </c>
      <c r="AB1472">
        <f>IFERROR(INDEX(PP_Grid[#Data],$DE1472,25),0)</f>
        <v/>
      </c>
      <c r="AC1472">
        <f>IFERROR(INDEX(PP_Grid[#Data],$DE1472,26),0)</f>
        <v/>
      </c>
      <c r="AD1472">
        <f>IFERROR(INDEX(PP_Grid[#Data],$DE1472,27),0)</f>
        <v/>
      </c>
      <c r="AE1472">
        <f>IFERROR(INDEX(PP_Grid[#Data],$DE1472,28),0)</f>
        <v/>
      </c>
      <c r="AF1472">
        <f>IFERROR(INDEX(PP_Grid[#Data],$DE1472,29),0)</f>
        <v/>
      </c>
      <c r="AG1472">
        <f>IFERROR(INDEX(PP_Grid[#Data],$DE1472,30),0)</f>
        <v/>
      </c>
      <c r="AH1472">
        <f>IFERROR(INDEX(PP_Grid[#Data],$DE1472,31),0)</f>
        <v/>
      </c>
      <c r="AI1472">
        <f>IFERROR(INDEX(PP_Grid[#Data],$DE1472,32),0)</f>
        <v/>
      </c>
      <c r="AJ1472">
        <f>IFERROR(INDEX(PP_Grid[#Data],$DE1472,33),0)</f>
        <v/>
      </c>
      <c r="AK1472">
        <f>IFERROR(INDEX(PP_Grid[#Data],$DE1472,34),0)</f>
        <v/>
      </c>
      <c r="AL1472">
        <f>IFERROR(INDEX(PP_Grid[#Data],$DE1472,35),0)</f>
        <v/>
      </c>
      <c r="AM1472">
        <f>IFERROR(INDEX(PP_Grid[#Data],$DE1472,36),0)</f>
        <v/>
      </c>
      <c r="AN1472">
        <f>IFERROR(INDEX(PP_Grid[#Data],$DE1472,37),0)</f>
        <v/>
      </c>
      <c r="AO1472">
        <f>IFERROR(INDEX(PP_Grid[#Data],$DE1472,38),0)</f>
        <v/>
      </c>
      <c r="AP1472">
        <f>IFERROR(INDEX(PP_Grid[#Data],$DE1472,39),0)</f>
        <v/>
      </c>
      <c r="AQ1472">
        <f>IFERROR(INDEX(PP_Grid[#Data],$DE1472,40),0)</f>
        <v/>
      </c>
      <c r="AR1472">
        <f>IFERROR(INDEX(PP_Grid[#Data],$DE1472,41),0)</f>
        <v/>
      </c>
      <c r="AS1472">
        <f>IFERROR(INDEX(PP_Grid[#Data],$DE1472,42),0)</f>
        <v/>
      </c>
      <c r="AT1472">
        <f>IFERROR(INDEX(PP_Grid[#Data],$DE1472,43),0)</f>
        <v/>
      </c>
      <c r="AU1472">
        <f>IFERROR(INDEX(PP_Grid[#Data],$DE1472,44),0)</f>
        <v/>
      </c>
      <c r="AV1472">
        <f>IFERROR(INDEX(PP_Grid[#Data],$DE1472,45),0)</f>
        <v/>
      </c>
      <c r="AW1472">
        <f>IFERROR(INDEX(PP_Grid[#Data],$DE1472,46),0)</f>
        <v/>
      </c>
      <c r="AX1472">
        <f>IFERROR(INDEX(PP_Grid[#Data],$DE1472,47),0)</f>
        <v/>
      </c>
      <c r="AY1472">
        <f>IFERROR(INDEX(PP_Grid[#Data],$DE1472,48),0)</f>
        <v/>
      </c>
      <c r="AZ1472">
        <f>IFERROR(INDEX(PP_Grid[#Data],$DE1472,49),0)</f>
        <v/>
      </c>
      <c r="BA1472">
        <f>IFERROR(INDEX(PP_Grid[#Data],$DE1472,50),0)</f>
        <v/>
      </c>
      <c r="BB1472">
        <f>IFERROR(INDEX(PP_Grid[#Data],$DE1472,51),0)</f>
        <v/>
      </c>
      <c r="BC1472">
        <f>IFERROR(INDEX(PP_Grid[#Data],$DE1472,52),0)</f>
        <v/>
      </c>
      <c r="BD1472">
        <f>IFERROR(INDEX(PP_Grid[#Data],$DE1472,53),0)</f>
        <v/>
      </c>
      <c r="BE1472">
        <f>IFERROR(INDEX(PP_Grid[#Data],$DE1472,54),0)</f>
        <v/>
      </c>
      <c r="BF1472">
        <f>IFERROR(INDEX(PP_Grid[#Data],$DE1472,55),0)</f>
        <v/>
      </c>
      <c r="BG1472">
        <f>IFERROR(INDEX(PP_Grid[#Data],$DE1472,56),0)</f>
        <v/>
      </c>
      <c r="BH1472">
        <f>IFERROR(INDEX(PP_Grid[#Data],$DE1472,57),0)</f>
        <v/>
      </c>
      <c r="BI1472">
        <f>IFERROR(INDEX(PP_Grid[#Data],$DE1472,58),0)</f>
        <v/>
      </c>
      <c r="BJ1472">
        <f>IFERROR(INDEX(PP_Grid[#Data],$DE1472,59),0)</f>
        <v/>
      </c>
      <c r="BK1472">
        <f>IFERROR(INDEX(PP_Grid[#Data],$DE1472,60),0)</f>
        <v/>
      </c>
      <c r="BL1472">
        <f>IFERROR(INDEX(PP_Grid[#Data],$DE1472,61),0)</f>
        <v/>
      </c>
      <c r="BM1472">
        <f>IFERROR(INDEX(PP_Grid[#Data],$DE1472,62),0)</f>
        <v/>
      </c>
      <c r="BN1472">
        <f>IFERROR(INDEX(PP_Grid[#Data],$DE1472,63),0)</f>
        <v/>
      </c>
      <c r="BO1472">
        <f>IFERROR(INDEX(PP_Grid[#Data],$DE1472,64),0)</f>
        <v/>
      </c>
      <c r="BP1472">
        <f>IFERROR(INDEX(PP_Grid[#Data],$DE1472,65),0)</f>
        <v/>
      </c>
      <c r="BQ1472">
        <f>IFERROR(INDEX(PP_Grid[#Data],$DE1472,66),0)</f>
        <v/>
      </c>
      <c r="BR1472">
        <f>IFERROR(INDEX(PP_Grid[#Data],$DE1472,67),0)</f>
        <v/>
      </c>
      <c r="BS1472">
        <f>IFERROR(INDEX(PP_Grid[#Data],$DE1472,68),0)</f>
        <v/>
      </c>
      <c r="BT1472">
        <f>IFERROR(INDEX(PP_Grid[#Data],$DE1472,69),0)</f>
        <v/>
      </c>
      <c r="BU1472">
        <f>IFERROR(INDEX(PP_Grid[#Data],$DE1472,70),0)</f>
        <v/>
      </c>
      <c r="BV1472">
        <f>IFERROR(INDEX(PP_Grid[#Data],$DE1472,71),0)</f>
        <v/>
      </c>
      <c r="BW1472">
        <f>IFERROR(INDEX(PP_Grid[#Data],$DE1472,72),0)</f>
        <v/>
      </c>
      <c r="BX1472">
        <f>IFERROR(INDEX(PP_Grid[#Data],$DE1472,73),0)</f>
        <v/>
      </c>
      <c r="BY1472">
        <f>IFERROR(INDEX(PP_Grid[#Data],$DE1472,74),0)</f>
        <v/>
      </c>
      <c r="BZ1472">
        <f>IFERROR(INDEX(PP_Grid[#Data],$DE1472,75),0)</f>
        <v/>
      </c>
      <c r="CA1472">
        <f>IFERROR(INDEX(PP_Grid[#Data],$DE1472,76),0)</f>
        <v/>
      </c>
      <c r="CB1472">
        <f>IFERROR(INDEX(PP_Grid[#Data],$DE1472,77),0)</f>
        <v/>
      </c>
      <c r="CC1472">
        <f>IFERROR(INDEX(PP_Grid[#Data],$DE1472,78),0)</f>
        <v/>
      </c>
      <c r="CD1472">
        <f>IFERROR(INDEX(PP_Grid[#Data],$DE1472,79),0)</f>
        <v/>
      </c>
      <c r="CE1472">
        <f>IFERROR(INDEX(PP_Grid[#Data],$DE1472,80),0)</f>
        <v/>
      </c>
      <c r="CF1472">
        <f>IFERROR(INDEX(PP_Grid[#Data],$DE1472,81),0)</f>
        <v/>
      </c>
      <c r="CG1472">
        <f>IFERROR(INDEX(PP_Grid[#Data],$DE1472,82),0)</f>
        <v/>
      </c>
      <c r="CH1472">
        <f>IFERROR(INDEX(PP_Grid[#Data],$DE1472,83),0)</f>
        <v/>
      </c>
      <c r="CI1472">
        <f>IFERROR(INDEX(PP_Grid[#Data],$DE1472,84),0)</f>
        <v/>
      </c>
      <c r="CJ1472">
        <f>IFERROR(INDEX(PP_Grid[#Data],$DE1472,85),0)</f>
        <v/>
      </c>
      <c r="CK1472">
        <f>IFERROR(INDEX(PP_Grid[#Data],$DE1472,86),0)</f>
        <v/>
      </c>
      <c r="CL1472">
        <f>IFERROR(INDEX(PP_Grid[#Data],$DE1472,87),0)</f>
        <v/>
      </c>
      <c r="CM1472">
        <f>IFERROR(INDEX(PP_Grid[#Data],$DE1472,88),0)</f>
        <v/>
      </c>
      <c r="CN1472">
        <f>IFERROR(INDEX(PP_Grid[#Data],$DE1472,89),0)</f>
        <v/>
      </c>
      <c r="CO1472">
        <f>IFERROR(INDEX(PP_Grid[#Data],$DE1472,90),0)</f>
        <v/>
      </c>
      <c r="CP1472">
        <f>IFERROR(INDEX(PP_Grid[#Data],$DE1472,91),0)</f>
        <v/>
      </c>
      <c r="CQ1472">
        <f>IFERROR(INDEX(PP_Grid[#Data],$DE1472,92),0)</f>
        <v/>
      </c>
      <c r="CR1472">
        <f>IFERROR(INDEX(PP_Grid[#Data],$DE1472,93),0)</f>
        <v/>
      </c>
      <c r="CS1472">
        <f>IFERROR(INDEX(PP_Grid[#Data],$DE1472,94),0)</f>
        <v/>
      </c>
      <c r="CT1472">
        <f>IFERROR(INDEX(PP_Grid[#Data],$DE1472,95),0)</f>
        <v/>
      </c>
      <c r="CU1472">
        <f>IFERROR(INDEX(PP_Grid[#Data],$DE1472,96),0)</f>
        <v/>
      </c>
      <c r="CV1472">
        <f>IFERROR(INDEX(PP_Grid[#Data],$DE1472,97),0)</f>
        <v/>
      </c>
      <c r="CW1472">
        <f>IFERROR(INDEX(PP_Grid[#Data],$DE1472,98),0)</f>
        <v/>
      </c>
      <c r="CX1472">
        <f>IFERROR(INDEX(PP_Grid[#Data],$DE1472,99),0)</f>
        <v/>
      </c>
      <c r="CY1472">
        <f>IFERROR(INDEX(PP_Grid[#Data],$DE1472,100),0)</f>
        <v/>
      </c>
      <c r="CZ1472">
        <f>IFERROR(INDEX(PP_Grid[#Data],$DE1472,101),0)</f>
        <v/>
      </c>
      <c r="DA1472">
        <f>IFERROR(INDEX(PP_Grid[#Data],$DE1472,102),0)</f>
        <v/>
      </c>
      <c r="DB1472">
        <f>IFERROR(INDEX(PP_Grid[#Data],$DE1472,103),0)</f>
        <v/>
      </c>
      <c r="DC1472">
        <f>IFERROR(INDEX(PP_Grid[#Data],$DE1472,104),0)</f>
        <v/>
      </c>
      <c r="DD1472">
        <f>IFERROR(INDEX(PP_Grid[#Data],$DE1472,105),0)</f>
        <v/>
      </c>
      <c r="DE1472" s="7">
        <f>IFERROR(MATCH($B1472,PP_Grid[Intermediate],0),99999)</f>
        <v/>
      </c>
    </row>
    <row r="1473">
      <c r="B1473" t="inlineStr">
        <is>
          <t>使用量(kg)</t>
        </is>
      </c>
      <c r="C1473">
        <f>SUMIFS(M_BOM[RM_Qty_Per_Batch],M_BOM[Intermediate],$B1472,M_BOM[RM_Code],$A1451)</f>
        <v/>
      </c>
      <c r="D1473">
        <f>IFERROR(INDEX(E1473:DD1473,$F$1),"")</f>
        <v/>
      </c>
      <c r="E1473">
        <f>$C1473*E1472</f>
        <v/>
      </c>
      <c r="F1473">
        <f>$C1473*F1472</f>
        <v/>
      </c>
      <c r="G1473">
        <f>$C1473*G1472</f>
        <v/>
      </c>
      <c r="H1473">
        <f>$C1473*H1472</f>
        <v/>
      </c>
      <c r="I1473">
        <f>$C1473*I1472</f>
        <v/>
      </c>
      <c r="J1473">
        <f>$C1473*J1472</f>
        <v/>
      </c>
      <c r="K1473">
        <f>$C1473*K1472</f>
        <v/>
      </c>
      <c r="L1473">
        <f>$C1473*L1472</f>
        <v/>
      </c>
      <c r="M1473">
        <f>$C1473*M1472</f>
        <v/>
      </c>
      <c r="N1473">
        <f>$C1473*N1472</f>
        <v/>
      </c>
      <c r="O1473">
        <f>$C1473*O1472</f>
        <v/>
      </c>
      <c r="P1473">
        <f>$C1473*P1472</f>
        <v/>
      </c>
      <c r="Q1473">
        <f>$C1473*Q1472</f>
        <v/>
      </c>
      <c r="R1473">
        <f>$C1473*R1472</f>
        <v/>
      </c>
      <c r="S1473">
        <f>$C1473*S1472</f>
        <v/>
      </c>
      <c r="T1473">
        <f>$C1473*T1472</f>
        <v/>
      </c>
      <c r="U1473">
        <f>$C1473*U1472</f>
        <v/>
      </c>
      <c r="V1473">
        <f>$C1473*V1472</f>
        <v/>
      </c>
      <c r="W1473">
        <f>$C1473*W1472</f>
        <v/>
      </c>
      <c r="X1473">
        <f>$C1473*X1472</f>
        <v/>
      </c>
      <c r="Y1473">
        <f>$C1473*Y1472</f>
        <v/>
      </c>
      <c r="Z1473">
        <f>$C1473*Z1472</f>
        <v/>
      </c>
      <c r="AA1473">
        <f>$C1473*AA1472</f>
        <v/>
      </c>
      <c r="AB1473">
        <f>$C1473*AB1472</f>
        <v/>
      </c>
      <c r="AC1473">
        <f>$C1473*AC1472</f>
        <v/>
      </c>
      <c r="AD1473">
        <f>$C1473*AD1472</f>
        <v/>
      </c>
      <c r="AE1473">
        <f>$C1473*AE1472</f>
        <v/>
      </c>
      <c r="AF1473">
        <f>$C1473*AF1472</f>
        <v/>
      </c>
      <c r="AG1473">
        <f>$C1473*AG1472</f>
        <v/>
      </c>
      <c r="AH1473">
        <f>$C1473*AH1472</f>
        <v/>
      </c>
      <c r="AI1473">
        <f>$C1473*AI1472</f>
        <v/>
      </c>
      <c r="AJ1473">
        <f>$C1473*AJ1472</f>
        <v/>
      </c>
      <c r="AK1473">
        <f>$C1473*AK1472</f>
        <v/>
      </c>
      <c r="AL1473">
        <f>$C1473*AL1472</f>
        <v/>
      </c>
      <c r="AM1473">
        <f>$C1473*AM1472</f>
        <v/>
      </c>
      <c r="AN1473">
        <f>$C1473*AN1472</f>
        <v/>
      </c>
      <c r="AO1473">
        <f>$C1473*AO1472</f>
        <v/>
      </c>
      <c r="AP1473">
        <f>$C1473*AP1472</f>
        <v/>
      </c>
      <c r="AQ1473">
        <f>$C1473*AQ1472</f>
        <v/>
      </c>
      <c r="AR1473">
        <f>$C1473*AR1472</f>
        <v/>
      </c>
      <c r="AS1473">
        <f>$C1473*AS1472</f>
        <v/>
      </c>
      <c r="AT1473">
        <f>$C1473*AT1472</f>
        <v/>
      </c>
      <c r="AU1473">
        <f>$C1473*AU1472</f>
        <v/>
      </c>
      <c r="AV1473">
        <f>$C1473*AV1472</f>
        <v/>
      </c>
      <c r="AW1473">
        <f>$C1473*AW1472</f>
        <v/>
      </c>
      <c r="AX1473">
        <f>$C1473*AX1472</f>
        <v/>
      </c>
      <c r="AY1473">
        <f>$C1473*AY1472</f>
        <v/>
      </c>
      <c r="AZ1473">
        <f>$C1473*AZ1472</f>
        <v/>
      </c>
      <c r="BA1473">
        <f>$C1473*BA1472</f>
        <v/>
      </c>
      <c r="BB1473">
        <f>$C1473*BB1472</f>
        <v/>
      </c>
      <c r="BC1473">
        <f>$C1473*BC1472</f>
        <v/>
      </c>
      <c r="BD1473">
        <f>$C1473*BD1472</f>
        <v/>
      </c>
      <c r="BE1473">
        <f>$C1473*BE1472</f>
        <v/>
      </c>
      <c r="BF1473">
        <f>$C1473*BF1472</f>
        <v/>
      </c>
      <c r="BG1473">
        <f>$C1473*BG1472</f>
        <v/>
      </c>
      <c r="BH1473">
        <f>$C1473*BH1472</f>
        <v/>
      </c>
      <c r="BI1473">
        <f>$C1473*BI1472</f>
        <v/>
      </c>
      <c r="BJ1473">
        <f>$C1473*BJ1472</f>
        <v/>
      </c>
      <c r="BK1473">
        <f>$C1473*BK1472</f>
        <v/>
      </c>
      <c r="BL1473">
        <f>$C1473*BL1472</f>
        <v/>
      </c>
      <c r="BM1473">
        <f>$C1473*BM1472</f>
        <v/>
      </c>
      <c r="BN1473">
        <f>$C1473*BN1472</f>
        <v/>
      </c>
      <c r="BO1473">
        <f>$C1473*BO1472</f>
        <v/>
      </c>
      <c r="BP1473">
        <f>$C1473*BP1472</f>
        <v/>
      </c>
      <c r="BQ1473">
        <f>$C1473*BQ1472</f>
        <v/>
      </c>
      <c r="BR1473">
        <f>$C1473*BR1472</f>
        <v/>
      </c>
      <c r="BS1473">
        <f>$C1473*BS1472</f>
        <v/>
      </c>
      <c r="BT1473">
        <f>$C1473*BT1472</f>
        <v/>
      </c>
      <c r="BU1473">
        <f>$C1473*BU1472</f>
        <v/>
      </c>
      <c r="BV1473">
        <f>$C1473*BV1472</f>
        <v/>
      </c>
      <c r="BW1473">
        <f>$C1473*BW1472</f>
        <v/>
      </c>
      <c r="BX1473">
        <f>$C1473*BX1472</f>
        <v/>
      </c>
      <c r="BY1473">
        <f>$C1473*BY1472</f>
        <v/>
      </c>
      <c r="BZ1473">
        <f>$C1473*BZ1472</f>
        <v/>
      </c>
      <c r="CA1473">
        <f>$C1473*CA1472</f>
        <v/>
      </c>
      <c r="CB1473">
        <f>$C1473*CB1472</f>
        <v/>
      </c>
      <c r="CC1473">
        <f>$C1473*CC1472</f>
        <v/>
      </c>
      <c r="CD1473">
        <f>$C1473*CD1472</f>
        <v/>
      </c>
      <c r="CE1473">
        <f>$C1473*CE1472</f>
        <v/>
      </c>
      <c r="CF1473">
        <f>$C1473*CF1472</f>
        <v/>
      </c>
      <c r="CG1473">
        <f>$C1473*CG1472</f>
        <v/>
      </c>
      <c r="CH1473">
        <f>$C1473*CH1472</f>
        <v/>
      </c>
      <c r="CI1473">
        <f>$C1473*CI1472</f>
        <v/>
      </c>
      <c r="CJ1473">
        <f>$C1473*CJ1472</f>
        <v/>
      </c>
      <c r="CK1473">
        <f>$C1473*CK1472</f>
        <v/>
      </c>
      <c r="CL1473">
        <f>$C1473*CL1472</f>
        <v/>
      </c>
      <c r="CM1473">
        <f>$C1473*CM1472</f>
        <v/>
      </c>
      <c r="CN1473">
        <f>$C1473*CN1472</f>
        <v/>
      </c>
      <c r="CO1473">
        <f>$C1473*CO1472</f>
        <v/>
      </c>
      <c r="CP1473">
        <f>$C1473*CP1472</f>
        <v/>
      </c>
      <c r="CQ1473">
        <f>$C1473*CQ1472</f>
        <v/>
      </c>
      <c r="CR1473">
        <f>$C1473*CR1472</f>
        <v/>
      </c>
      <c r="CS1473">
        <f>$C1473*CS1472</f>
        <v/>
      </c>
      <c r="CT1473">
        <f>$C1473*CT1472</f>
        <v/>
      </c>
      <c r="CU1473">
        <f>$C1473*CU1472</f>
        <v/>
      </c>
      <c r="CV1473">
        <f>$C1473*CV1472</f>
        <v/>
      </c>
      <c r="CW1473">
        <f>$C1473*CW1472</f>
        <v/>
      </c>
      <c r="CX1473">
        <f>$C1473*CX1472</f>
        <v/>
      </c>
      <c r="CY1473">
        <f>$C1473*CY1472</f>
        <v/>
      </c>
      <c r="CZ1473">
        <f>$C1473*CZ1472</f>
        <v/>
      </c>
      <c r="DA1473">
        <f>$C1473*DA1472</f>
        <v/>
      </c>
      <c r="DB1473">
        <f>$C1473*DB1472</f>
        <v/>
      </c>
      <c r="DC1473">
        <f>$C1473*DC1472</f>
        <v/>
      </c>
      <c r="DD1473">
        <f>$C1473*DD1472</f>
        <v/>
      </c>
    </row>
    <row r="1474">
      <c r="B1474" t="inlineStr">
        <is>
          <t>TSP-1444</t>
        </is>
      </c>
      <c r="C1474" t="inlineStr">
        <is>
          <t>No. of batches</t>
        </is>
      </c>
      <c r="D1474">
        <f>IFERROR(INDEX(E1474:DD1474,$F$1),"")</f>
        <v/>
      </c>
      <c r="E1474">
        <f>IFERROR(INDEX(PP_Grid[#Data],$DE1474,2),0)</f>
        <v/>
      </c>
      <c r="F1474">
        <f>IFERROR(INDEX(PP_Grid[#Data],$DE1474,3),0)</f>
        <v/>
      </c>
      <c r="G1474">
        <f>IFERROR(INDEX(PP_Grid[#Data],$DE1474,4),0)</f>
        <v/>
      </c>
      <c r="H1474">
        <f>IFERROR(INDEX(PP_Grid[#Data],$DE1474,5),0)</f>
        <v/>
      </c>
      <c r="I1474">
        <f>IFERROR(INDEX(PP_Grid[#Data],$DE1474,6),0)</f>
        <v/>
      </c>
      <c r="J1474">
        <f>IFERROR(INDEX(PP_Grid[#Data],$DE1474,7),0)</f>
        <v/>
      </c>
      <c r="K1474">
        <f>IFERROR(INDEX(PP_Grid[#Data],$DE1474,8),0)</f>
        <v/>
      </c>
      <c r="L1474">
        <f>IFERROR(INDEX(PP_Grid[#Data],$DE1474,9),0)</f>
        <v/>
      </c>
      <c r="M1474">
        <f>IFERROR(INDEX(PP_Grid[#Data],$DE1474,10),0)</f>
        <v/>
      </c>
      <c r="N1474">
        <f>IFERROR(INDEX(PP_Grid[#Data],$DE1474,11),0)</f>
        <v/>
      </c>
      <c r="O1474">
        <f>IFERROR(INDEX(PP_Grid[#Data],$DE1474,12),0)</f>
        <v/>
      </c>
      <c r="P1474">
        <f>IFERROR(INDEX(PP_Grid[#Data],$DE1474,13),0)</f>
        <v/>
      </c>
      <c r="Q1474">
        <f>IFERROR(INDEX(PP_Grid[#Data],$DE1474,14),0)</f>
        <v/>
      </c>
      <c r="R1474">
        <f>IFERROR(INDEX(PP_Grid[#Data],$DE1474,15),0)</f>
        <v/>
      </c>
      <c r="S1474">
        <f>IFERROR(INDEX(PP_Grid[#Data],$DE1474,16),0)</f>
        <v/>
      </c>
      <c r="T1474">
        <f>IFERROR(INDEX(PP_Grid[#Data],$DE1474,17),0)</f>
        <v/>
      </c>
      <c r="U1474">
        <f>IFERROR(INDEX(PP_Grid[#Data],$DE1474,18),0)</f>
        <v/>
      </c>
      <c r="V1474">
        <f>IFERROR(INDEX(PP_Grid[#Data],$DE1474,19),0)</f>
        <v/>
      </c>
      <c r="W1474">
        <f>IFERROR(INDEX(PP_Grid[#Data],$DE1474,20),0)</f>
        <v/>
      </c>
      <c r="X1474">
        <f>IFERROR(INDEX(PP_Grid[#Data],$DE1474,21),0)</f>
        <v/>
      </c>
      <c r="Y1474">
        <f>IFERROR(INDEX(PP_Grid[#Data],$DE1474,22),0)</f>
        <v/>
      </c>
      <c r="Z1474">
        <f>IFERROR(INDEX(PP_Grid[#Data],$DE1474,23),0)</f>
        <v/>
      </c>
      <c r="AA1474">
        <f>IFERROR(INDEX(PP_Grid[#Data],$DE1474,24),0)</f>
        <v/>
      </c>
      <c r="AB1474">
        <f>IFERROR(INDEX(PP_Grid[#Data],$DE1474,25),0)</f>
        <v/>
      </c>
      <c r="AC1474">
        <f>IFERROR(INDEX(PP_Grid[#Data],$DE1474,26),0)</f>
        <v/>
      </c>
      <c r="AD1474">
        <f>IFERROR(INDEX(PP_Grid[#Data],$DE1474,27),0)</f>
        <v/>
      </c>
      <c r="AE1474">
        <f>IFERROR(INDEX(PP_Grid[#Data],$DE1474,28),0)</f>
        <v/>
      </c>
      <c r="AF1474">
        <f>IFERROR(INDEX(PP_Grid[#Data],$DE1474,29),0)</f>
        <v/>
      </c>
      <c r="AG1474">
        <f>IFERROR(INDEX(PP_Grid[#Data],$DE1474,30),0)</f>
        <v/>
      </c>
      <c r="AH1474">
        <f>IFERROR(INDEX(PP_Grid[#Data],$DE1474,31),0)</f>
        <v/>
      </c>
      <c r="AI1474">
        <f>IFERROR(INDEX(PP_Grid[#Data],$DE1474,32),0)</f>
        <v/>
      </c>
      <c r="AJ1474">
        <f>IFERROR(INDEX(PP_Grid[#Data],$DE1474,33),0)</f>
        <v/>
      </c>
      <c r="AK1474">
        <f>IFERROR(INDEX(PP_Grid[#Data],$DE1474,34),0)</f>
        <v/>
      </c>
      <c r="AL1474">
        <f>IFERROR(INDEX(PP_Grid[#Data],$DE1474,35),0)</f>
        <v/>
      </c>
      <c r="AM1474">
        <f>IFERROR(INDEX(PP_Grid[#Data],$DE1474,36),0)</f>
        <v/>
      </c>
      <c r="AN1474">
        <f>IFERROR(INDEX(PP_Grid[#Data],$DE1474,37),0)</f>
        <v/>
      </c>
      <c r="AO1474">
        <f>IFERROR(INDEX(PP_Grid[#Data],$DE1474,38),0)</f>
        <v/>
      </c>
      <c r="AP1474">
        <f>IFERROR(INDEX(PP_Grid[#Data],$DE1474,39),0)</f>
        <v/>
      </c>
      <c r="AQ1474">
        <f>IFERROR(INDEX(PP_Grid[#Data],$DE1474,40),0)</f>
        <v/>
      </c>
      <c r="AR1474">
        <f>IFERROR(INDEX(PP_Grid[#Data],$DE1474,41),0)</f>
        <v/>
      </c>
      <c r="AS1474">
        <f>IFERROR(INDEX(PP_Grid[#Data],$DE1474,42),0)</f>
        <v/>
      </c>
      <c r="AT1474">
        <f>IFERROR(INDEX(PP_Grid[#Data],$DE1474,43),0)</f>
        <v/>
      </c>
      <c r="AU1474">
        <f>IFERROR(INDEX(PP_Grid[#Data],$DE1474,44),0)</f>
        <v/>
      </c>
      <c r="AV1474">
        <f>IFERROR(INDEX(PP_Grid[#Data],$DE1474,45),0)</f>
        <v/>
      </c>
      <c r="AW1474">
        <f>IFERROR(INDEX(PP_Grid[#Data],$DE1474,46),0)</f>
        <v/>
      </c>
      <c r="AX1474">
        <f>IFERROR(INDEX(PP_Grid[#Data],$DE1474,47),0)</f>
        <v/>
      </c>
      <c r="AY1474">
        <f>IFERROR(INDEX(PP_Grid[#Data],$DE1474,48),0)</f>
        <v/>
      </c>
      <c r="AZ1474">
        <f>IFERROR(INDEX(PP_Grid[#Data],$DE1474,49),0)</f>
        <v/>
      </c>
      <c r="BA1474">
        <f>IFERROR(INDEX(PP_Grid[#Data],$DE1474,50),0)</f>
        <v/>
      </c>
      <c r="BB1474">
        <f>IFERROR(INDEX(PP_Grid[#Data],$DE1474,51),0)</f>
        <v/>
      </c>
      <c r="BC1474">
        <f>IFERROR(INDEX(PP_Grid[#Data],$DE1474,52),0)</f>
        <v/>
      </c>
      <c r="BD1474">
        <f>IFERROR(INDEX(PP_Grid[#Data],$DE1474,53),0)</f>
        <v/>
      </c>
      <c r="BE1474">
        <f>IFERROR(INDEX(PP_Grid[#Data],$DE1474,54),0)</f>
        <v/>
      </c>
      <c r="BF1474">
        <f>IFERROR(INDEX(PP_Grid[#Data],$DE1474,55),0)</f>
        <v/>
      </c>
      <c r="BG1474">
        <f>IFERROR(INDEX(PP_Grid[#Data],$DE1474,56),0)</f>
        <v/>
      </c>
      <c r="BH1474">
        <f>IFERROR(INDEX(PP_Grid[#Data],$DE1474,57),0)</f>
        <v/>
      </c>
      <c r="BI1474">
        <f>IFERROR(INDEX(PP_Grid[#Data],$DE1474,58),0)</f>
        <v/>
      </c>
      <c r="BJ1474">
        <f>IFERROR(INDEX(PP_Grid[#Data],$DE1474,59),0)</f>
        <v/>
      </c>
      <c r="BK1474">
        <f>IFERROR(INDEX(PP_Grid[#Data],$DE1474,60),0)</f>
        <v/>
      </c>
      <c r="BL1474">
        <f>IFERROR(INDEX(PP_Grid[#Data],$DE1474,61),0)</f>
        <v/>
      </c>
      <c r="BM1474">
        <f>IFERROR(INDEX(PP_Grid[#Data],$DE1474,62),0)</f>
        <v/>
      </c>
      <c r="BN1474">
        <f>IFERROR(INDEX(PP_Grid[#Data],$DE1474,63),0)</f>
        <v/>
      </c>
      <c r="BO1474">
        <f>IFERROR(INDEX(PP_Grid[#Data],$DE1474,64),0)</f>
        <v/>
      </c>
      <c r="BP1474">
        <f>IFERROR(INDEX(PP_Grid[#Data],$DE1474,65),0)</f>
        <v/>
      </c>
      <c r="BQ1474">
        <f>IFERROR(INDEX(PP_Grid[#Data],$DE1474,66),0)</f>
        <v/>
      </c>
      <c r="BR1474">
        <f>IFERROR(INDEX(PP_Grid[#Data],$DE1474,67),0)</f>
        <v/>
      </c>
      <c r="BS1474">
        <f>IFERROR(INDEX(PP_Grid[#Data],$DE1474,68),0)</f>
        <v/>
      </c>
      <c r="BT1474">
        <f>IFERROR(INDEX(PP_Grid[#Data],$DE1474,69),0)</f>
        <v/>
      </c>
      <c r="BU1474">
        <f>IFERROR(INDEX(PP_Grid[#Data],$DE1474,70),0)</f>
        <v/>
      </c>
      <c r="BV1474">
        <f>IFERROR(INDEX(PP_Grid[#Data],$DE1474,71),0)</f>
        <v/>
      </c>
      <c r="BW1474">
        <f>IFERROR(INDEX(PP_Grid[#Data],$DE1474,72),0)</f>
        <v/>
      </c>
      <c r="BX1474">
        <f>IFERROR(INDEX(PP_Grid[#Data],$DE1474,73),0)</f>
        <v/>
      </c>
      <c r="BY1474">
        <f>IFERROR(INDEX(PP_Grid[#Data],$DE1474,74),0)</f>
        <v/>
      </c>
      <c r="BZ1474">
        <f>IFERROR(INDEX(PP_Grid[#Data],$DE1474,75),0)</f>
        <v/>
      </c>
      <c r="CA1474">
        <f>IFERROR(INDEX(PP_Grid[#Data],$DE1474,76),0)</f>
        <v/>
      </c>
      <c r="CB1474">
        <f>IFERROR(INDEX(PP_Grid[#Data],$DE1474,77),0)</f>
        <v/>
      </c>
      <c r="CC1474">
        <f>IFERROR(INDEX(PP_Grid[#Data],$DE1474,78),0)</f>
        <v/>
      </c>
      <c r="CD1474">
        <f>IFERROR(INDEX(PP_Grid[#Data],$DE1474,79),0)</f>
        <v/>
      </c>
      <c r="CE1474">
        <f>IFERROR(INDEX(PP_Grid[#Data],$DE1474,80),0)</f>
        <v/>
      </c>
      <c r="CF1474">
        <f>IFERROR(INDEX(PP_Grid[#Data],$DE1474,81),0)</f>
        <v/>
      </c>
      <c r="CG1474">
        <f>IFERROR(INDEX(PP_Grid[#Data],$DE1474,82),0)</f>
        <v/>
      </c>
      <c r="CH1474">
        <f>IFERROR(INDEX(PP_Grid[#Data],$DE1474,83),0)</f>
        <v/>
      </c>
      <c r="CI1474">
        <f>IFERROR(INDEX(PP_Grid[#Data],$DE1474,84),0)</f>
        <v/>
      </c>
      <c r="CJ1474">
        <f>IFERROR(INDEX(PP_Grid[#Data],$DE1474,85),0)</f>
        <v/>
      </c>
      <c r="CK1474">
        <f>IFERROR(INDEX(PP_Grid[#Data],$DE1474,86),0)</f>
        <v/>
      </c>
      <c r="CL1474">
        <f>IFERROR(INDEX(PP_Grid[#Data],$DE1474,87),0)</f>
        <v/>
      </c>
      <c r="CM1474">
        <f>IFERROR(INDEX(PP_Grid[#Data],$DE1474,88),0)</f>
        <v/>
      </c>
      <c r="CN1474">
        <f>IFERROR(INDEX(PP_Grid[#Data],$DE1474,89),0)</f>
        <v/>
      </c>
      <c r="CO1474">
        <f>IFERROR(INDEX(PP_Grid[#Data],$DE1474,90),0)</f>
        <v/>
      </c>
      <c r="CP1474">
        <f>IFERROR(INDEX(PP_Grid[#Data],$DE1474,91),0)</f>
        <v/>
      </c>
      <c r="CQ1474">
        <f>IFERROR(INDEX(PP_Grid[#Data],$DE1474,92),0)</f>
        <v/>
      </c>
      <c r="CR1474">
        <f>IFERROR(INDEX(PP_Grid[#Data],$DE1474,93),0)</f>
        <v/>
      </c>
      <c r="CS1474">
        <f>IFERROR(INDEX(PP_Grid[#Data],$DE1474,94),0)</f>
        <v/>
      </c>
      <c r="CT1474">
        <f>IFERROR(INDEX(PP_Grid[#Data],$DE1474,95),0)</f>
        <v/>
      </c>
      <c r="CU1474">
        <f>IFERROR(INDEX(PP_Grid[#Data],$DE1474,96),0)</f>
        <v/>
      </c>
      <c r="CV1474">
        <f>IFERROR(INDEX(PP_Grid[#Data],$DE1474,97),0)</f>
        <v/>
      </c>
      <c r="CW1474">
        <f>IFERROR(INDEX(PP_Grid[#Data],$DE1474,98),0)</f>
        <v/>
      </c>
      <c r="CX1474">
        <f>IFERROR(INDEX(PP_Grid[#Data],$DE1474,99),0)</f>
        <v/>
      </c>
      <c r="CY1474">
        <f>IFERROR(INDEX(PP_Grid[#Data],$DE1474,100),0)</f>
        <v/>
      </c>
      <c r="CZ1474">
        <f>IFERROR(INDEX(PP_Grid[#Data],$DE1474,101),0)</f>
        <v/>
      </c>
      <c r="DA1474">
        <f>IFERROR(INDEX(PP_Grid[#Data],$DE1474,102),0)</f>
        <v/>
      </c>
      <c r="DB1474">
        <f>IFERROR(INDEX(PP_Grid[#Data],$DE1474,103),0)</f>
        <v/>
      </c>
      <c r="DC1474">
        <f>IFERROR(INDEX(PP_Grid[#Data],$DE1474,104),0)</f>
        <v/>
      </c>
      <c r="DD1474">
        <f>IFERROR(INDEX(PP_Grid[#Data],$DE1474,105),0)</f>
        <v/>
      </c>
      <c r="DE1474" s="7">
        <f>IFERROR(MATCH($B1474,PP_Grid[Intermediate],0),99999)</f>
        <v/>
      </c>
    </row>
    <row r="1475">
      <c r="B1475" t="inlineStr">
        <is>
          <t>使用量(kg)</t>
        </is>
      </c>
      <c r="C1475">
        <f>SUMIFS(M_BOM[RM_Qty_Per_Batch],M_BOM[Intermediate],$B1474,M_BOM[RM_Code],$A1451)</f>
        <v/>
      </c>
      <c r="D1475">
        <f>IFERROR(INDEX(E1475:DD1475,$F$1),"")</f>
        <v/>
      </c>
      <c r="E1475">
        <f>$C1475*E1474</f>
        <v/>
      </c>
      <c r="F1475">
        <f>$C1475*F1474</f>
        <v/>
      </c>
      <c r="G1475">
        <f>$C1475*G1474</f>
        <v/>
      </c>
      <c r="H1475">
        <f>$C1475*H1474</f>
        <v/>
      </c>
      <c r="I1475">
        <f>$C1475*I1474</f>
        <v/>
      </c>
      <c r="J1475">
        <f>$C1475*J1474</f>
        <v/>
      </c>
      <c r="K1475">
        <f>$C1475*K1474</f>
        <v/>
      </c>
      <c r="L1475">
        <f>$C1475*L1474</f>
        <v/>
      </c>
      <c r="M1475">
        <f>$C1475*M1474</f>
        <v/>
      </c>
      <c r="N1475">
        <f>$C1475*N1474</f>
        <v/>
      </c>
      <c r="O1475">
        <f>$C1475*O1474</f>
        <v/>
      </c>
      <c r="P1475">
        <f>$C1475*P1474</f>
        <v/>
      </c>
      <c r="Q1475">
        <f>$C1475*Q1474</f>
        <v/>
      </c>
      <c r="R1475">
        <f>$C1475*R1474</f>
        <v/>
      </c>
      <c r="S1475">
        <f>$C1475*S1474</f>
        <v/>
      </c>
      <c r="T1475">
        <f>$C1475*T1474</f>
        <v/>
      </c>
      <c r="U1475">
        <f>$C1475*U1474</f>
        <v/>
      </c>
      <c r="V1475">
        <f>$C1475*V1474</f>
        <v/>
      </c>
      <c r="W1475">
        <f>$C1475*W1474</f>
        <v/>
      </c>
      <c r="X1475">
        <f>$C1475*X1474</f>
        <v/>
      </c>
      <c r="Y1475">
        <f>$C1475*Y1474</f>
        <v/>
      </c>
      <c r="Z1475">
        <f>$C1475*Z1474</f>
        <v/>
      </c>
      <c r="AA1475">
        <f>$C1475*AA1474</f>
        <v/>
      </c>
      <c r="AB1475">
        <f>$C1475*AB1474</f>
        <v/>
      </c>
      <c r="AC1475">
        <f>$C1475*AC1474</f>
        <v/>
      </c>
      <c r="AD1475">
        <f>$C1475*AD1474</f>
        <v/>
      </c>
      <c r="AE1475">
        <f>$C1475*AE1474</f>
        <v/>
      </c>
      <c r="AF1475">
        <f>$C1475*AF1474</f>
        <v/>
      </c>
      <c r="AG1475">
        <f>$C1475*AG1474</f>
        <v/>
      </c>
      <c r="AH1475">
        <f>$C1475*AH1474</f>
        <v/>
      </c>
      <c r="AI1475">
        <f>$C1475*AI1474</f>
        <v/>
      </c>
      <c r="AJ1475">
        <f>$C1475*AJ1474</f>
        <v/>
      </c>
      <c r="AK1475">
        <f>$C1475*AK1474</f>
        <v/>
      </c>
      <c r="AL1475">
        <f>$C1475*AL1474</f>
        <v/>
      </c>
      <c r="AM1475">
        <f>$C1475*AM1474</f>
        <v/>
      </c>
      <c r="AN1475">
        <f>$C1475*AN1474</f>
        <v/>
      </c>
      <c r="AO1475">
        <f>$C1475*AO1474</f>
        <v/>
      </c>
      <c r="AP1475">
        <f>$C1475*AP1474</f>
        <v/>
      </c>
      <c r="AQ1475">
        <f>$C1475*AQ1474</f>
        <v/>
      </c>
      <c r="AR1475">
        <f>$C1475*AR1474</f>
        <v/>
      </c>
      <c r="AS1475">
        <f>$C1475*AS1474</f>
        <v/>
      </c>
      <c r="AT1475">
        <f>$C1475*AT1474</f>
        <v/>
      </c>
      <c r="AU1475">
        <f>$C1475*AU1474</f>
        <v/>
      </c>
      <c r="AV1475">
        <f>$C1475*AV1474</f>
        <v/>
      </c>
      <c r="AW1475">
        <f>$C1475*AW1474</f>
        <v/>
      </c>
      <c r="AX1475">
        <f>$C1475*AX1474</f>
        <v/>
      </c>
      <c r="AY1475">
        <f>$C1475*AY1474</f>
        <v/>
      </c>
      <c r="AZ1475">
        <f>$C1475*AZ1474</f>
        <v/>
      </c>
      <c r="BA1475">
        <f>$C1475*BA1474</f>
        <v/>
      </c>
      <c r="BB1475">
        <f>$C1475*BB1474</f>
        <v/>
      </c>
      <c r="BC1475">
        <f>$C1475*BC1474</f>
        <v/>
      </c>
      <c r="BD1475">
        <f>$C1475*BD1474</f>
        <v/>
      </c>
      <c r="BE1475">
        <f>$C1475*BE1474</f>
        <v/>
      </c>
      <c r="BF1475">
        <f>$C1475*BF1474</f>
        <v/>
      </c>
      <c r="BG1475">
        <f>$C1475*BG1474</f>
        <v/>
      </c>
      <c r="BH1475">
        <f>$C1475*BH1474</f>
        <v/>
      </c>
      <c r="BI1475">
        <f>$C1475*BI1474</f>
        <v/>
      </c>
      <c r="BJ1475">
        <f>$C1475*BJ1474</f>
        <v/>
      </c>
      <c r="BK1475">
        <f>$C1475*BK1474</f>
        <v/>
      </c>
      <c r="BL1475">
        <f>$C1475*BL1474</f>
        <v/>
      </c>
      <c r="BM1475">
        <f>$C1475*BM1474</f>
        <v/>
      </c>
      <c r="BN1475">
        <f>$C1475*BN1474</f>
        <v/>
      </c>
      <c r="BO1475">
        <f>$C1475*BO1474</f>
        <v/>
      </c>
      <c r="BP1475">
        <f>$C1475*BP1474</f>
        <v/>
      </c>
      <c r="BQ1475">
        <f>$C1475*BQ1474</f>
        <v/>
      </c>
      <c r="BR1475">
        <f>$C1475*BR1474</f>
        <v/>
      </c>
      <c r="BS1475">
        <f>$C1475*BS1474</f>
        <v/>
      </c>
      <c r="BT1475">
        <f>$C1475*BT1474</f>
        <v/>
      </c>
      <c r="BU1475">
        <f>$C1475*BU1474</f>
        <v/>
      </c>
      <c r="BV1475">
        <f>$C1475*BV1474</f>
        <v/>
      </c>
      <c r="BW1475">
        <f>$C1475*BW1474</f>
        <v/>
      </c>
      <c r="BX1475">
        <f>$C1475*BX1474</f>
        <v/>
      </c>
      <c r="BY1475">
        <f>$C1475*BY1474</f>
        <v/>
      </c>
      <c r="BZ1475">
        <f>$C1475*BZ1474</f>
        <v/>
      </c>
      <c r="CA1475">
        <f>$C1475*CA1474</f>
        <v/>
      </c>
      <c r="CB1475">
        <f>$C1475*CB1474</f>
        <v/>
      </c>
      <c r="CC1475">
        <f>$C1475*CC1474</f>
        <v/>
      </c>
      <c r="CD1475">
        <f>$C1475*CD1474</f>
        <v/>
      </c>
      <c r="CE1475">
        <f>$C1475*CE1474</f>
        <v/>
      </c>
      <c r="CF1475">
        <f>$C1475*CF1474</f>
        <v/>
      </c>
      <c r="CG1475">
        <f>$C1475*CG1474</f>
        <v/>
      </c>
      <c r="CH1475">
        <f>$C1475*CH1474</f>
        <v/>
      </c>
      <c r="CI1475">
        <f>$C1475*CI1474</f>
        <v/>
      </c>
      <c r="CJ1475">
        <f>$C1475*CJ1474</f>
        <v/>
      </c>
      <c r="CK1475">
        <f>$C1475*CK1474</f>
        <v/>
      </c>
      <c r="CL1475">
        <f>$C1475*CL1474</f>
        <v/>
      </c>
      <c r="CM1475">
        <f>$C1475*CM1474</f>
        <v/>
      </c>
      <c r="CN1475">
        <f>$C1475*CN1474</f>
        <v/>
      </c>
      <c r="CO1475">
        <f>$C1475*CO1474</f>
        <v/>
      </c>
      <c r="CP1475">
        <f>$C1475*CP1474</f>
        <v/>
      </c>
      <c r="CQ1475">
        <f>$C1475*CQ1474</f>
        <v/>
      </c>
      <c r="CR1475">
        <f>$C1475*CR1474</f>
        <v/>
      </c>
      <c r="CS1475">
        <f>$C1475*CS1474</f>
        <v/>
      </c>
      <c r="CT1475">
        <f>$C1475*CT1474</f>
        <v/>
      </c>
      <c r="CU1475">
        <f>$C1475*CU1474</f>
        <v/>
      </c>
      <c r="CV1475">
        <f>$C1475*CV1474</f>
        <v/>
      </c>
      <c r="CW1475">
        <f>$C1475*CW1474</f>
        <v/>
      </c>
      <c r="CX1475">
        <f>$C1475*CX1474</f>
        <v/>
      </c>
      <c r="CY1475">
        <f>$C1475*CY1474</f>
        <v/>
      </c>
      <c r="CZ1475">
        <f>$C1475*CZ1474</f>
        <v/>
      </c>
      <c r="DA1475">
        <f>$C1475*DA1474</f>
        <v/>
      </c>
      <c r="DB1475">
        <f>$C1475*DB1474</f>
        <v/>
      </c>
      <c r="DC1475">
        <f>$C1475*DC1474</f>
        <v/>
      </c>
      <c r="DD1475">
        <f>$C1475*DD1474</f>
        <v/>
      </c>
    </row>
    <row r="1476">
      <c r="B1476" t="inlineStr">
        <is>
          <t>TSP-1445</t>
        </is>
      </c>
      <c r="C1476" t="inlineStr">
        <is>
          <t>No. of batches</t>
        </is>
      </c>
      <c r="D1476">
        <f>IFERROR(INDEX(E1476:DD1476,$F$1),"")</f>
        <v/>
      </c>
      <c r="E1476">
        <f>IFERROR(INDEX(PP_Grid[#Data],$DE1476,2),0)</f>
        <v/>
      </c>
      <c r="F1476">
        <f>IFERROR(INDEX(PP_Grid[#Data],$DE1476,3),0)</f>
        <v/>
      </c>
      <c r="G1476">
        <f>IFERROR(INDEX(PP_Grid[#Data],$DE1476,4),0)</f>
        <v/>
      </c>
      <c r="H1476">
        <f>IFERROR(INDEX(PP_Grid[#Data],$DE1476,5),0)</f>
        <v/>
      </c>
      <c r="I1476">
        <f>IFERROR(INDEX(PP_Grid[#Data],$DE1476,6),0)</f>
        <v/>
      </c>
      <c r="J1476">
        <f>IFERROR(INDEX(PP_Grid[#Data],$DE1476,7),0)</f>
        <v/>
      </c>
      <c r="K1476">
        <f>IFERROR(INDEX(PP_Grid[#Data],$DE1476,8),0)</f>
        <v/>
      </c>
      <c r="L1476">
        <f>IFERROR(INDEX(PP_Grid[#Data],$DE1476,9),0)</f>
        <v/>
      </c>
      <c r="M1476">
        <f>IFERROR(INDEX(PP_Grid[#Data],$DE1476,10),0)</f>
        <v/>
      </c>
      <c r="N1476">
        <f>IFERROR(INDEX(PP_Grid[#Data],$DE1476,11),0)</f>
        <v/>
      </c>
      <c r="O1476">
        <f>IFERROR(INDEX(PP_Grid[#Data],$DE1476,12),0)</f>
        <v/>
      </c>
      <c r="P1476">
        <f>IFERROR(INDEX(PP_Grid[#Data],$DE1476,13),0)</f>
        <v/>
      </c>
      <c r="Q1476">
        <f>IFERROR(INDEX(PP_Grid[#Data],$DE1476,14),0)</f>
        <v/>
      </c>
      <c r="R1476">
        <f>IFERROR(INDEX(PP_Grid[#Data],$DE1476,15),0)</f>
        <v/>
      </c>
      <c r="S1476">
        <f>IFERROR(INDEX(PP_Grid[#Data],$DE1476,16),0)</f>
        <v/>
      </c>
      <c r="T1476">
        <f>IFERROR(INDEX(PP_Grid[#Data],$DE1476,17),0)</f>
        <v/>
      </c>
      <c r="U1476">
        <f>IFERROR(INDEX(PP_Grid[#Data],$DE1476,18),0)</f>
        <v/>
      </c>
      <c r="V1476">
        <f>IFERROR(INDEX(PP_Grid[#Data],$DE1476,19),0)</f>
        <v/>
      </c>
      <c r="W1476">
        <f>IFERROR(INDEX(PP_Grid[#Data],$DE1476,20),0)</f>
        <v/>
      </c>
      <c r="X1476">
        <f>IFERROR(INDEX(PP_Grid[#Data],$DE1476,21),0)</f>
        <v/>
      </c>
      <c r="Y1476">
        <f>IFERROR(INDEX(PP_Grid[#Data],$DE1476,22),0)</f>
        <v/>
      </c>
      <c r="Z1476">
        <f>IFERROR(INDEX(PP_Grid[#Data],$DE1476,23),0)</f>
        <v/>
      </c>
      <c r="AA1476">
        <f>IFERROR(INDEX(PP_Grid[#Data],$DE1476,24),0)</f>
        <v/>
      </c>
      <c r="AB1476">
        <f>IFERROR(INDEX(PP_Grid[#Data],$DE1476,25),0)</f>
        <v/>
      </c>
      <c r="AC1476">
        <f>IFERROR(INDEX(PP_Grid[#Data],$DE1476,26),0)</f>
        <v/>
      </c>
      <c r="AD1476">
        <f>IFERROR(INDEX(PP_Grid[#Data],$DE1476,27),0)</f>
        <v/>
      </c>
      <c r="AE1476">
        <f>IFERROR(INDEX(PP_Grid[#Data],$DE1476,28),0)</f>
        <v/>
      </c>
      <c r="AF1476">
        <f>IFERROR(INDEX(PP_Grid[#Data],$DE1476,29),0)</f>
        <v/>
      </c>
      <c r="AG1476">
        <f>IFERROR(INDEX(PP_Grid[#Data],$DE1476,30),0)</f>
        <v/>
      </c>
      <c r="AH1476">
        <f>IFERROR(INDEX(PP_Grid[#Data],$DE1476,31),0)</f>
        <v/>
      </c>
      <c r="AI1476">
        <f>IFERROR(INDEX(PP_Grid[#Data],$DE1476,32),0)</f>
        <v/>
      </c>
      <c r="AJ1476">
        <f>IFERROR(INDEX(PP_Grid[#Data],$DE1476,33),0)</f>
        <v/>
      </c>
      <c r="AK1476">
        <f>IFERROR(INDEX(PP_Grid[#Data],$DE1476,34),0)</f>
        <v/>
      </c>
      <c r="AL1476">
        <f>IFERROR(INDEX(PP_Grid[#Data],$DE1476,35),0)</f>
        <v/>
      </c>
      <c r="AM1476">
        <f>IFERROR(INDEX(PP_Grid[#Data],$DE1476,36),0)</f>
        <v/>
      </c>
      <c r="AN1476">
        <f>IFERROR(INDEX(PP_Grid[#Data],$DE1476,37),0)</f>
        <v/>
      </c>
      <c r="AO1476">
        <f>IFERROR(INDEX(PP_Grid[#Data],$DE1476,38),0)</f>
        <v/>
      </c>
      <c r="AP1476">
        <f>IFERROR(INDEX(PP_Grid[#Data],$DE1476,39),0)</f>
        <v/>
      </c>
      <c r="AQ1476">
        <f>IFERROR(INDEX(PP_Grid[#Data],$DE1476,40),0)</f>
        <v/>
      </c>
      <c r="AR1476">
        <f>IFERROR(INDEX(PP_Grid[#Data],$DE1476,41),0)</f>
        <v/>
      </c>
      <c r="AS1476">
        <f>IFERROR(INDEX(PP_Grid[#Data],$DE1476,42),0)</f>
        <v/>
      </c>
      <c r="AT1476">
        <f>IFERROR(INDEX(PP_Grid[#Data],$DE1476,43),0)</f>
        <v/>
      </c>
      <c r="AU1476">
        <f>IFERROR(INDEX(PP_Grid[#Data],$DE1476,44),0)</f>
        <v/>
      </c>
      <c r="AV1476">
        <f>IFERROR(INDEX(PP_Grid[#Data],$DE1476,45),0)</f>
        <v/>
      </c>
      <c r="AW1476">
        <f>IFERROR(INDEX(PP_Grid[#Data],$DE1476,46),0)</f>
        <v/>
      </c>
      <c r="AX1476">
        <f>IFERROR(INDEX(PP_Grid[#Data],$DE1476,47),0)</f>
        <v/>
      </c>
      <c r="AY1476">
        <f>IFERROR(INDEX(PP_Grid[#Data],$DE1476,48),0)</f>
        <v/>
      </c>
      <c r="AZ1476">
        <f>IFERROR(INDEX(PP_Grid[#Data],$DE1476,49),0)</f>
        <v/>
      </c>
      <c r="BA1476">
        <f>IFERROR(INDEX(PP_Grid[#Data],$DE1476,50),0)</f>
        <v/>
      </c>
      <c r="BB1476">
        <f>IFERROR(INDEX(PP_Grid[#Data],$DE1476,51),0)</f>
        <v/>
      </c>
      <c r="BC1476">
        <f>IFERROR(INDEX(PP_Grid[#Data],$DE1476,52),0)</f>
        <v/>
      </c>
      <c r="BD1476">
        <f>IFERROR(INDEX(PP_Grid[#Data],$DE1476,53),0)</f>
        <v/>
      </c>
      <c r="BE1476">
        <f>IFERROR(INDEX(PP_Grid[#Data],$DE1476,54),0)</f>
        <v/>
      </c>
      <c r="BF1476">
        <f>IFERROR(INDEX(PP_Grid[#Data],$DE1476,55),0)</f>
        <v/>
      </c>
      <c r="BG1476">
        <f>IFERROR(INDEX(PP_Grid[#Data],$DE1476,56),0)</f>
        <v/>
      </c>
      <c r="BH1476">
        <f>IFERROR(INDEX(PP_Grid[#Data],$DE1476,57),0)</f>
        <v/>
      </c>
      <c r="BI1476">
        <f>IFERROR(INDEX(PP_Grid[#Data],$DE1476,58),0)</f>
        <v/>
      </c>
      <c r="BJ1476">
        <f>IFERROR(INDEX(PP_Grid[#Data],$DE1476,59),0)</f>
        <v/>
      </c>
      <c r="BK1476">
        <f>IFERROR(INDEX(PP_Grid[#Data],$DE1476,60),0)</f>
        <v/>
      </c>
      <c r="BL1476">
        <f>IFERROR(INDEX(PP_Grid[#Data],$DE1476,61),0)</f>
        <v/>
      </c>
      <c r="BM1476">
        <f>IFERROR(INDEX(PP_Grid[#Data],$DE1476,62),0)</f>
        <v/>
      </c>
      <c r="BN1476">
        <f>IFERROR(INDEX(PP_Grid[#Data],$DE1476,63),0)</f>
        <v/>
      </c>
      <c r="BO1476">
        <f>IFERROR(INDEX(PP_Grid[#Data],$DE1476,64),0)</f>
        <v/>
      </c>
      <c r="BP1476">
        <f>IFERROR(INDEX(PP_Grid[#Data],$DE1476,65),0)</f>
        <v/>
      </c>
      <c r="BQ1476">
        <f>IFERROR(INDEX(PP_Grid[#Data],$DE1476,66),0)</f>
        <v/>
      </c>
      <c r="BR1476">
        <f>IFERROR(INDEX(PP_Grid[#Data],$DE1476,67),0)</f>
        <v/>
      </c>
      <c r="BS1476">
        <f>IFERROR(INDEX(PP_Grid[#Data],$DE1476,68),0)</f>
        <v/>
      </c>
      <c r="BT1476">
        <f>IFERROR(INDEX(PP_Grid[#Data],$DE1476,69),0)</f>
        <v/>
      </c>
      <c r="BU1476">
        <f>IFERROR(INDEX(PP_Grid[#Data],$DE1476,70),0)</f>
        <v/>
      </c>
      <c r="BV1476">
        <f>IFERROR(INDEX(PP_Grid[#Data],$DE1476,71),0)</f>
        <v/>
      </c>
      <c r="BW1476">
        <f>IFERROR(INDEX(PP_Grid[#Data],$DE1476,72),0)</f>
        <v/>
      </c>
      <c r="BX1476">
        <f>IFERROR(INDEX(PP_Grid[#Data],$DE1476,73),0)</f>
        <v/>
      </c>
      <c r="BY1476">
        <f>IFERROR(INDEX(PP_Grid[#Data],$DE1476,74),0)</f>
        <v/>
      </c>
      <c r="BZ1476">
        <f>IFERROR(INDEX(PP_Grid[#Data],$DE1476,75),0)</f>
        <v/>
      </c>
      <c r="CA1476">
        <f>IFERROR(INDEX(PP_Grid[#Data],$DE1476,76),0)</f>
        <v/>
      </c>
      <c r="CB1476">
        <f>IFERROR(INDEX(PP_Grid[#Data],$DE1476,77),0)</f>
        <v/>
      </c>
      <c r="CC1476">
        <f>IFERROR(INDEX(PP_Grid[#Data],$DE1476,78),0)</f>
        <v/>
      </c>
      <c r="CD1476">
        <f>IFERROR(INDEX(PP_Grid[#Data],$DE1476,79),0)</f>
        <v/>
      </c>
      <c r="CE1476">
        <f>IFERROR(INDEX(PP_Grid[#Data],$DE1476,80),0)</f>
        <v/>
      </c>
      <c r="CF1476">
        <f>IFERROR(INDEX(PP_Grid[#Data],$DE1476,81),0)</f>
        <v/>
      </c>
      <c r="CG1476">
        <f>IFERROR(INDEX(PP_Grid[#Data],$DE1476,82),0)</f>
        <v/>
      </c>
      <c r="CH1476">
        <f>IFERROR(INDEX(PP_Grid[#Data],$DE1476,83),0)</f>
        <v/>
      </c>
      <c r="CI1476">
        <f>IFERROR(INDEX(PP_Grid[#Data],$DE1476,84),0)</f>
        <v/>
      </c>
      <c r="CJ1476">
        <f>IFERROR(INDEX(PP_Grid[#Data],$DE1476,85),0)</f>
        <v/>
      </c>
      <c r="CK1476">
        <f>IFERROR(INDEX(PP_Grid[#Data],$DE1476,86),0)</f>
        <v/>
      </c>
      <c r="CL1476">
        <f>IFERROR(INDEX(PP_Grid[#Data],$DE1476,87),0)</f>
        <v/>
      </c>
      <c r="CM1476">
        <f>IFERROR(INDEX(PP_Grid[#Data],$DE1476,88),0)</f>
        <v/>
      </c>
      <c r="CN1476">
        <f>IFERROR(INDEX(PP_Grid[#Data],$DE1476,89),0)</f>
        <v/>
      </c>
      <c r="CO1476">
        <f>IFERROR(INDEX(PP_Grid[#Data],$DE1476,90),0)</f>
        <v/>
      </c>
      <c r="CP1476">
        <f>IFERROR(INDEX(PP_Grid[#Data],$DE1476,91),0)</f>
        <v/>
      </c>
      <c r="CQ1476">
        <f>IFERROR(INDEX(PP_Grid[#Data],$DE1476,92),0)</f>
        <v/>
      </c>
      <c r="CR1476">
        <f>IFERROR(INDEX(PP_Grid[#Data],$DE1476,93),0)</f>
        <v/>
      </c>
      <c r="CS1476">
        <f>IFERROR(INDEX(PP_Grid[#Data],$DE1476,94),0)</f>
        <v/>
      </c>
      <c r="CT1476">
        <f>IFERROR(INDEX(PP_Grid[#Data],$DE1476,95),0)</f>
        <v/>
      </c>
      <c r="CU1476">
        <f>IFERROR(INDEX(PP_Grid[#Data],$DE1476,96),0)</f>
        <v/>
      </c>
      <c r="CV1476">
        <f>IFERROR(INDEX(PP_Grid[#Data],$DE1476,97),0)</f>
        <v/>
      </c>
      <c r="CW1476">
        <f>IFERROR(INDEX(PP_Grid[#Data],$DE1476,98),0)</f>
        <v/>
      </c>
      <c r="CX1476">
        <f>IFERROR(INDEX(PP_Grid[#Data],$DE1476,99),0)</f>
        <v/>
      </c>
      <c r="CY1476">
        <f>IFERROR(INDEX(PP_Grid[#Data],$DE1476,100),0)</f>
        <v/>
      </c>
      <c r="CZ1476">
        <f>IFERROR(INDEX(PP_Grid[#Data],$DE1476,101),0)</f>
        <v/>
      </c>
      <c r="DA1476">
        <f>IFERROR(INDEX(PP_Grid[#Data],$DE1476,102),0)</f>
        <v/>
      </c>
      <c r="DB1476">
        <f>IFERROR(INDEX(PP_Grid[#Data],$DE1476,103),0)</f>
        <v/>
      </c>
      <c r="DC1476">
        <f>IFERROR(INDEX(PP_Grid[#Data],$DE1476,104),0)</f>
        <v/>
      </c>
      <c r="DD1476">
        <f>IFERROR(INDEX(PP_Grid[#Data],$DE1476,105),0)</f>
        <v/>
      </c>
      <c r="DE1476" s="7">
        <f>IFERROR(MATCH($B1476,PP_Grid[Intermediate],0),99999)</f>
        <v/>
      </c>
    </row>
    <row r="1477">
      <c r="B1477" t="inlineStr">
        <is>
          <t>使用量(kg)</t>
        </is>
      </c>
      <c r="C1477">
        <f>SUMIFS(M_BOM[RM_Qty_Per_Batch],M_BOM[Intermediate],$B1476,M_BOM[RM_Code],$A1451)</f>
        <v/>
      </c>
      <c r="D1477">
        <f>IFERROR(INDEX(E1477:DD1477,$F$1),"")</f>
        <v/>
      </c>
      <c r="E1477">
        <f>$C1477*E1476</f>
        <v/>
      </c>
      <c r="F1477">
        <f>$C1477*F1476</f>
        <v/>
      </c>
      <c r="G1477">
        <f>$C1477*G1476</f>
        <v/>
      </c>
      <c r="H1477">
        <f>$C1477*H1476</f>
        <v/>
      </c>
      <c r="I1477">
        <f>$C1477*I1476</f>
        <v/>
      </c>
      <c r="J1477">
        <f>$C1477*J1476</f>
        <v/>
      </c>
      <c r="K1477">
        <f>$C1477*K1476</f>
        <v/>
      </c>
      <c r="L1477">
        <f>$C1477*L1476</f>
        <v/>
      </c>
      <c r="M1477">
        <f>$C1477*M1476</f>
        <v/>
      </c>
      <c r="N1477">
        <f>$C1477*N1476</f>
        <v/>
      </c>
      <c r="O1477">
        <f>$C1477*O1476</f>
        <v/>
      </c>
      <c r="P1477">
        <f>$C1477*P1476</f>
        <v/>
      </c>
      <c r="Q1477">
        <f>$C1477*Q1476</f>
        <v/>
      </c>
      <c r="R1477">
        <f>$C1477*R1476</f>
        <v/>
      </c>
      <c r="S1477">
        <f>$C1477*S1476</f>
        <v/>
      </c>
      <c r="T1477">
        <f>$C1477*T1476</f>
        <v/>
      </c>
      <c r="U1477">
        <f>$C1477*U1476</f>
        <v/>
      </c>
      <c r="V1477">
        <f>$C1477*V1476</f>
        <v/>
      </c>
      <c r="W1477">
        <f>$C1477*W1476</f>
        <v/>
      </c>
      <c r="X1477">
        <f>$C1477*X1476</f>
        <v/>
      </c>
      <c r="Y1477">
        <f>$C1477*Y1476</f>
        <v/>
      </c>
      <c r="Z1477">
        <f>$C1477*Z1476</f>
        <v/>
      </c>
      <c r="AA1477">
        <f>$C1477*AA1476</f>
        <v/>
      </c>
      <c r="AB1477">
        <f>$C1477*AB1476</f>
        <v/>
      </c>
      <c r="AC1477">
        <f>$C1477*AC1476</f>
        <v/>
      </c>
      <c r="AD1477">
        <f>$C1477*AD1476</f>
        <v/>
      </c>
      <c r="AE1477">
        <f>$C1477*AE1476</f>
        <v/>
      </c>
      <c r="AF1477">
        <f>$C1477*AF1476</f>
        <v/>
      </c>
      <c r="AG1477">
        <f>$C1477*AG1476</f>
        <v/>
      </c>
      <c r="AH1477">
        <f>$C1477*AH1476</f>
        <v/>
      </c>
      <c r="AI1477">
        <f>$C1477*AI1476</f>
        <v/>
      </c>
      <c r="AJ1477">
        <f>$C1477*AJ1476</f>
        <v/>
      </c>
      <c r="AK1477">
        <f>$C1477*AK1476</f>
        <v/>
      </c>
      <c r="AL1477">
        <f>$C1477*AL1476</f>
        <v/>
      </c>
      <c r="AM1477">
        <f>$C1477*AM1476</f>
        <v/>
      </c>
      <c r="AN1477">
        <f>$C1477*AN1476</f>
        <v/>
      </c>
      <c r="AO1477">
        <f>$C1477*AO1476</f>
        <v/>
      </c>
      <c r="AP1477">
        <f>$C1477*AP1476</f>
        <v/>
      </c>
      <c r="AQ1477">
        <f>$C1477*AQ1476</f>
        <v/>
      </c>
      <c r="AR1477">
        <f>$C1477*AR1476</f>
        <v/>
      </c>
      <c r="AS1477">
        <f>$C1477*AS1476</f>
        <v/>
      </c>
      <c r="AT1477">
        <f>$C1477*AT1476</f>
        <v/>
      </c>
      <c r="AU1477">
        <f>$C1477*AU1476</f>
        <v/>
      </c>
      <c r="AV1477">
        <f>$C1477*AV1476</f>
        <v/>
      </c>
      <c r="AW1477">
        <f>$C1477*AW1476</f>
        <v/>
      </c>
      <c r="AX1477">
        <f>$C1477*AX1476</f>
        <v/>
      </c>
      <c r="AY1477">
        <f>$C1477*AY1476</f>
        <v/>
      </c>
      <c r="AZ1477">
        <f>$C1477*AZ1476</f>
        <v/>
      </c>
      <c r="BA1477">
        <f>$C1477*BA1476</f>
        <v/>
      </c>
      <c r="BB1477">
        <f>$C1477*BB1476</f>
        <v/>
      </c>
      <c r="BC1477">
        <f>$C1477*BC1476</f>
        <v/>
      </c>
      <c r="BD1477">
        <f>$C1477*BD1476</f>
        <v/>
      </c>
      <c r="BE1477">
        <f>$C1477*BE1476</f>
        <v/>
      </c>
      <c r="BF1477">
        <f>$C1477*BF1476</f>
        <v/>
      </c>
      <c r="BG1477">
        <f>$C1477*BG1476</f>
        <v/>
      </c>
      <c r="BH1477">
        <f>$C1477*BH1476</f>
        <v/>
      </c>
      <c r="BI1477">
        <f>$C1477*BI1476</f>
        <v/>
      </c>
      <c r="BJ1477">
        <f>$C1477*BJ1476</f>
        <v/>
      </c>
      <c r="BK1477">
        <f>$C1477*BK1476</f>
        <v/>
      </c>
      <c r="BL1477">
        <f>$C1477*BL1476</f>
        <v/>
      </c>
      <c r="BM1477">
        <f>$C1477*BM1476</f>
        <v/>
      </c>
      <c r="BN1477">
        <f>$C1477*BN1476</f>
        <v/>
      </c>
      <c r="BO1477">
        <f>$C1477*BO1476</f>
        <v/>
      </c>
      <c r="BP1477">
        <f>$C1477*BP1476</f>
        <v/>
      </c>
      <c r="BQ1477">
        <f>$C1477*BQ1476</f>
        <v/>
      </c>
      <c r="BR1477">
        <f>$C1477*BR1476</f>
        <v/>
      </c>
      <c r="BS1477">
        <f>$C1477*BS1476</f>
        <v/>
      </c>
      <c r="BT1477">
        <f>$C1477*BT1476</f>
        <v/>
      </c>
      <c r="BU1477">
        <f>$C1477*BU1476</f>
        <v/>
      </c>
      <c r="BV1477">
        <f>$C1477*BV1476</f>
        <v/>
      </c>
      <c r="BW1477">
        <f>$C1477*BW1476</f>
        <v/>
      </c>
      <c r="BX1477">
        <f>$C1477*BX1476</f>
        <v/>
      </c>
      <c r="BY1477">
        <f>$C1477*BY1476</f>
        <v/>
      </c>
      <c r="BZ1477">
        <f>$C1477*BZ1476</f>
        <v/>
      </c>
      <c r="CA1477">
        <f>$C1477*CA1476</f>
        <v/>
      </c>
      <c r="CB1477">
        <f>$C1477*CB1476</f>
        <v/>
      </c>
      <c r="CC1477">
        <f>$C1477*CC1476</f>
        <v/>
      </c>
      <c r="CD1477">
        <f>$C1477*CD1476</f>
        <v/>
      </c>
      <c r="CE1477">
        <f>$C1477*CE1476</f>
        <v/>
      </c>
      <c r="CF1477">
        <f>$C1477*CF1476</f>
        <v/>
      </c>
      <c r="CG1477">
        <f>$C1477*CG1476</f>
        <v/>
      </c>
      <c r="CH1477">
        <f>$C1477*CH1476</f>
        <v/>
      </c>
      <c r="CI1477">
        <f>$C1477*CI1476</f>
        <v/>
      </c>
      <c r="CJ1477">
        <f>$C1477*CJ1476</f>
        <v/>
      </c>
      <c r="CK1477">
        <f>$C1477*CK1476</f>
        <v/>
      </c>
      <c r="CL1477">
        <f>$C1477*CL1476</f>
        <v/>
      </c>
      <c r="CM1477">
        <f>$C1477*CM1476</f>
        <v/>
      </c>
      <c r="CN1477">
        <f>$C1477*CN1476</f>
        <v/>
      </c>
      <c r="CO1477">
        <f>$C1477*CO1476</f>
        <v/>
      </c>
      <c r="CP1477">
        <f>$C1477*CP1476</f>
        <v/>
      </c>
      <c r="CQ1477">
        <f>$C1477*CQ1476</f>
        <v/>
      </c>
      <c r="CR1477">
        <f>$C1477*CR1476</f>
        <v/>
      </c>
      <c r="CS1477">
        <f>$C1477*CS1476</f>
        <v/>
      </c>
      <c r="CT1477">
        <f>$C1477*CT1476</f>
        <v/>
      </c>
      <c r="CU1477">
        <f>$C1477*CU1476</f>
        <v/>
      </c>
      <c r="CV1477">
        <f>$C1477*CV1476</f>
        <v/>
      </c>
      <c r="CW1477">
        <f>$C1477*CW1476</f>
        <v/>
      </c>
      <c r="CX1477">
        <f>$C1477*CX1476</f>
        <v/>
      </c>
      <c r="CY1477">
        <f>$C1477*CY1476</f>
        <v/>
      </c>
      <c r="CZ1477">
        <f>$C1477*CZ1476</f>
        <v/>
      </c>
      <c r="DA1477">
        <f>$C1477*DA1476</f>
        <v/>
      </c>
      <c r="DB1477">
        <f>$C1477*DB1476</f>
        <v/>
      </c>
      <c r="DC1477">
        <f>$C1477*DC1476</f>
        <v/>
      </c>
      <c r="DD1477">
        <f>$C1477*DD1476</f>
        <v/>
      </c>
    </row>
    <row r="1478">
      <c r="B1478" t="inlineStr">
        <is>
          <t>TSP-1446</t>
        </is>
      </c>
      <c r="C1478" t="inlineStr">
        <is>
          <t>No. of batches</t>
        </is>
      </c>
      <c r="D1478">
        <f>IFERROR(INDEX(E1478:DD1478,$F$1),"")</f>
        <v/>
      </c>
      <c r="E1478">
        <f>IFERROR(INDEX(PP_Grid[#Data],$DE1478,2),0)</f>
        <v/>
      </c>
      <c r="F1478">
        <f>IFERROR(INDEX(PP_Grid[#Data],$DE1478,3),0)</f>
        <v/>
      </c>
      <c r="G1478">
        <f>IFERROR(INDEX(PP_Grid[#Data],$DE1478,4),0)</f>
        <v/>
      </c>
      <c r="H1478">
        <f>IFERROR(INDEX(PP_Grid[#Data],$DE1478,5),0)</f>
        <v/>
      </c>
      <c r="I1478">
        <f>IFERROR(INDEX(PP_Grid[#Data],$DE1478,6),0)</f>
        <v/>
      </c>
      <c r="J1478">
        <f>IFERROR(INDEX(PP_Grid[#Data],$DE1478,7),0)</f>
        <v/>
      </c>
      <c r="K1478">
        <f>IFERROR(INDEX(PP_Grid[#Data],$DE1478,8),0)</f>
        <v/>
      </c>
      <c r="L1478">
        <f>IFERROR(INDEX(PP_Grid[#Data],$DE1478,9),0)</f>
        <v/>
      </c>
      <c r="M1478">
        <f>IFERROR(INDEX(PP_Grid[#Data],$DE1478,10),0)</f>
        <v/>
      </c>
      <c r="N1478">
        <f>IFERROR(INDEX(PP_Grid[#Data],$DE1478,11),0)</f>
        <v/>
      </c>
      <c r="O1478">
        <f>IFERROR(INDEX(PP_Grid[#Data],$DE1478,12),0)</f>
        <v/>
      </c>
      <c r="P1478">
        <f>IFERROR(INDEX(PP_Grid[#Data],$DE1478,13),0)</f>
        <v/>
      </c>
      <c r="Q1478">
        <f>IFERROR(INDEX(PP_Grid[#Data],$DE1478,14),0)</f>
        <v/>
      </c>
      <c r="R1478">
        <f>IFERROR(INDEX(PP_Grid[#Data],$DE1478,15),0)</f>
        <v/>
      </c>
      <c r="S1478">
        <f>IFERROR(INDEX(PP_Grid[#Data],$DE1478,16),0)</f>
        <v/>
      </c>
      <c r="T1478">
        <f>IFERROR(INDEX(PP_Grid[#Data],$DE1478,17),0)</f>
        <v/>
      </c>
      <c r="U1478">
        <f>IFERROR(INDEX(PP_Grid[#Data],$DE1478,18),0)</f>
        <v/>
      </c>
      <c r="V1478">
        <f>IFERROR(INDEX(PP_Grid[#Data],$DE1478,19),0)</f>
        <v/>
      </c>
      <c r="W1478">
        <f>IFERROR(INDEX(PP_Grid[#Data],$DE1478,20),0)</f>
        <v/>
      </c>
      <c r="X1478">
        <f>IFERROR(INDEX(PP_Grid[#Data],$DE1478,21),0)</f>
        <v/>
      </c>
      <c r="Y1478">
        <f>IFERROR(INDEX(PP_Grid[#Data],$DE1478,22),0)</f>
        <v/>
      </c>
      <c r="Z1478">
        <f>IFERROR(INDEX(PP_Grid[#Data],$DE1478,23),0)</f>
        <v/>
      </c>
      <c r="AA1478">
        <f>IFERROR(INDEX(PP_Grid[#Data],$DE1478,24),0)</f>
        <v/>
      </c>
      <c r="AB1478">
        <f>IFERROR(INDEX(PP_Grid[#Data],$DE1478,25),0)</f>
        <v/>
      </c>
      <c r="AC1478">
        <f>IFERROR(INDEX(PP_Grid[#Data],$DE1478,26),0)</f>
        <v/>
      </c>
      <c r="AD1478">
        <f>IFERROR(INDEX(PP_Grid[#Data],$DE1478,27),0)</f>
        <v/>
      </c>
      <c r="AE1478">
        <f>IFERROR(INDEX(PP_Grid[#Data],$DE1478,28),0)</f>
        <v/>
      </c>
      <c r="AF1478">
        <f>IFERROR(INDEX(PP_Grid[#Data],$DE1478,29),0)</f>
        <v/>
      </c>
      <c r="AG1478">
        <f>IFERROR(INDEX(PP_Grid[#Data],$DE1478,30),0)</f>
        <v/>
      </c>
      <c r="AH1478">
        <f>IFERROR(INDEX(PP_Grid[#Data],$DE1478,31),0)</f>
        <v/>
      </c>
      <c r="AI1478">
        <f>IFERROR(INDEX(PP_Grid[#Data],$DE1478,32),0)</f>
        <v/>
      </c>
      <c r="AJ1478">
        <f>IFERROR(INDEX(PP_Grid[#Data],$DE1478,33),0)</f>
        <v/>
      </c>
      <c r="AK1478">
        <f>IFERROR(INDEX(PP_Grid[#Data],$DE1478,34),0)</f>
        <v/>
      </c>
      <c r="AL1478">
        <f>IFERROR(INDEX(PP_Grid[#Data],$DE1478,35),0)</f>
        <v/>
      </c>
      <c r="AM1478">
        <f>IFERROR(INDEX(PP_Grid[#Data],$DE1478,36),0)</f>
        <v/>
      </c>
      <c r="AN1478">
        <f>IFERROR(INDEX(PP_Grid[#Data],$DE1478,37),0)</f>
        <v/>
      </c>
      <c r="AO1478">
        <f>IFERROR(INDEX(PP_Grid[#Data],$DE1478,38),0)</f>
        <v/>
      </c>
      <c r="AP1478">
        <f>IFERROR(INDEX(PP_Grid[#Data],$DE1478,39),0)</f>
        <v/>
      </c>
      <c r="AQ1478">
        <f>IFERROR(INDEX(PP_Grid[#Data],$DE1478,40),0)</f>
        <v/>
      </c>
      <c r="AR1478">
        <f>IFERROR(INDEX(PP_Grid[#Data],$DE1478,41),0)</f>
        <v/>
      </c>
      <c r="AS1478">
        <f>IFERROR(INDEX(PP_Grid[#Data],$DE1478,42),0)</f>
        <v/>
      </c>
      <c r="AT1478">
        <f>IFERROR(INDEX(PP_Grid[#Data],$DE1478,43),0)</f>
        <v/>
      </c>
      <c r="AU1478">
        <f>IFERROR(INDEX(PP_Grid[#Data],$DE1478,44),0)</f>
        <v/>
      </c>
      <c r="AV1478">
        <f>IFERROR(INDEX(PP_Grid[#Data],$DE1478,45),0)</f>
        <v/>
      </c>
      <c r="AW1478">
        <f>IFERROR(INDEX(PP_Grid[#Data],$DE1478,46),0)</f>
        <v/>
      </c>
      <c r="AX1478">
        <f>IFERROR(INDEX(PP_Grid[#Data],$DE1478,47),0)</f>
        <v/>
      </c>
      <c r="AY1478">
        <f>IFERROR(INDEX(PP_Grid[#Data],$DE1478,48),0)</f>
        <v/>
      </c>
      <c r="AZ1478">
        <f>IFERROR(INDEX(PP_Grid[#Data],$DE1478,49),0)</f>
        <v/>
      </c>
      <c r="BA1478">
        <f>IFERROR(INDEX(PP_Grid[#Data],$DE1478,50),0)</f>
        <v/>
      </c>
      <c r="BB1478">
        <f>IFERROR(INDEX(PP_Grid[#Data],$DE1478,51),0)</f>
        <v/>
      </c>
      <c r="BC1478">
        <f>IFERROR(INDEX(PP_Grid[#Data],$DE1478,52),0)</f>
        <v/>
      </c>
      <c r="BD1478">
        <f>IFERROR(INDEX(PP_Grid[#Data],$DE1478,53),0)</f>
        <v/>
      </c>
      <c r="BE1478">
        <f>IFERROR(INDEX(PP_Grid[#Data],$DE1478,54),0)</f>
        <v/>
      </c>
      <c r="BF1478">
        <f>IFERROR(INDEX(PP_Grid[#Data],$DE1478,55),0)</f>
        <v/>
      </c>
      <c r="BG1478">
        <f>IFERROR(INDEX(PP_Grid[#Data],$DE1478,56),0)</f>
        <v/>
      </c>
      <c r="BH1478">
        <f>IFERROR(INDEX(PP_Grid[#Data],$DE1478,57),0)</f>
        <v/>
      </c>
      <c r="BI1478">
        <f>IFERROR(INDEX(PP_Grid[#Data],$DE1478,58),0)</f>
        <v/>
      </c>
      <c r="BJ1478">
        <f>IFERROR(INDEX(PP_Grid[#Data],$DE1478,59),0)</f>
        <v/>
      </c>
      <c r="BK1478">
        <f>IFERROR(INDEX(PP_Grid[#Data],$DE1478,60),0)</f>
        <v/>
      </c>
      <c r="BL1478">
        <f>IFERROR(INDEX(PP_Grid[#Data],$DE1478,61),0)</f>
        <v/>
      </c>
      <c r="BM1478">
        <f>IFERROR(INDEX(PP_Grid[#Data],$DE1478,62),0)</f>
        <v/>
      </c>
      <c r="BN1478">
        <f>IFERROR(INDEX(PP_Grid[#Data],$DE1478,63),0)</f>
        <v/>
      </c>
      <c r="BO1478">
        <f>IFERROR(INDEX(PP_Grid[#Data],$DE1478,64),0)</f>
        <v/>
      </c>
      <c r="BP1478">
        <f>IFERROR(INDEX(PP_Grid[#Data],$DE1478,65),0)</f>
        <v/>
      </c>
      <c r="BQ1478">
        <f>IFERROR(INDEX(PP_Grid[#Data],$DE1478,66),0)</f>
        <v/>
      </c>
      <c r="BR1478">
        <f>IFERROR(INDEX(PP_Grid[#Data],$DE1478,67),0)</f>
        <v/>
      </c>
      <c r="BS1478">
        <f>IFERROR(INDEX(PP_Grid[#Data],$DE1478,68),0)</f>
        <v/>
      </c>
      <c r="BT1478">
        <f>IFERROR(INDEX(PP_Grid[#Data],$DE1478,69),0)</f>
        <v/>
      </c>
      <c r="BU1478">
        <f>IFERROR(INDEX(PP_Grid[#Data],$DE1478,70),0)</f>
        <v/>
      </c>
      <c r="BV1478">
        <f>IFERROR(INDEX(PP_Grid[#Data],$DE1478,71),0)</f>
        <v/>
      </c>
      <c r="BW1478">
        <f>IFERROR(INDEX(PP_Grid[#Data],$DE1478,72),0)</f>
        <v/>
      </c>
      <c r="BX1478">
        <f>IFERROR(INDEX(PP_Grid[#Data],$DE1478,73),0)</f>
        <v/>
      </c>
      <c r="BY1478">
        <f>IFERROR(INDEX(PP_Grid[#Data],$DE1478,74),0)</f>
        <v/>
      </c>
      <c r="BZ1478">
        <f>IFERROR(INDEX(PP_Grid[#Data],$DE1478,75),0)</f>
        <v/>
      </c>
      <c r="CA1478">
        <f>IFERROR(INDEX(PP_Grid[#Data],$DE1478,76),0)</f>
        <v/>
      </c>
      <c r="CB1478">
        <f>IFERROR(INDEX(PP_Grid[#Data],$DE1478,77),0)</f>
        <v/>
      </c>
      <c r="CC1478">
        <f>IFERROR(INDEX(PP_Grid[#Data],$DE1478,78),0)</f>
        <v/>
      </c>
      <c r="CD1478">
        <f>IFERROR(INDEX(PP_Grid[#Data],$DE1478,79),0)</f>
        <v/>
      </c>
      <c r="CE1478">
        <f>IFERROR(INDEX(PP_Grid[#Data],$DE1478,80),0)</f>
        <v/>
      </c>
      <c r="CF1478">
        <f>IFERROR(INDEX(PP_Grid[#Data],$DE1478,81),0)</f>
        <v/>
      </c>
      <c r="CG1478">
        <f>IFERROR(INDEX(PP_Grid[#Data],$DE1478,82),0)</f>
        <v/>
      </c>
      <c r="CH1478">
        <f>IFERROR(INDEX(PP_Grid[#Data],$DE1478,83),0)</f>
        <v/>
      </c>
      <c r="CI1478">
        <f>IFERROR(INDEX(PP_Grid[#Data],$DE1478,84),0)</f>
        <v/>
      </c>
      <c r="CJ1478">
        <f>IFERROR(INDEX(PP_Grid[#Data],$DE1478,85),0)</f>
        <v/>
      </c>
      <c r="CK1478">
        <f>IFERROR(INDEX(PP_Grid[#Data],$DE1478,86),0)</f>
        <v/>
      </c>
      <c r="CL1478">
        <f>IFERROR(INDEX(PP_Grid[#Data],$DE1478,87),0)</f>
        <v/>
      </c>
      <c r="CM1478">
        <f>IFERROR(INDEX(PP_Grid[#Data],$DE1478,88),0)</f>
        <v/>
      </c>
      <c r="CN1478">
        <f>IFERROR(INDEX(PP_Grid[#Data],$DE1478,89),0)</f>
        <v/>
      </c>
      <c r="CO1478">
        <f>IFERROR(INDEX(PP_Grid[#Data],$DE1478,90),0)</f>
        <v/>
      </c>
      <c r="CP1478">
        <f>IFERROR(INDEX(PP_Grid[#Data],$DE1478,91),0)</f>
        <v/>
      </c>
      <c r="CQ1478">
        <f>IFERROR(INDEX(PP_Grid[#Data],$DE1478,92),0)</f>
        <v/>
      </c>
      <c r="CR1478">
        <f>IFERROR(INDEX(PP_Grid[#Data],$DE1478,93),0)</f>
        <v/>
      </c>
      <c r="CS1478">
        <f>IFERROR(INDEX(PP_Grid[#Data],$DE1478,94),0)</f>
        <v/>
      </c>
      <c r="CT1478">
        <f>IFERROR(INDEX(PP_Grid[#Data],$DE1478,95),0)</f>
        <v/>
      </c>
      <c r="CU1478">
        <f>IFERROR(INDEX(PP_Grid[#Data],$DE1478,96),0)</f>
        <v/>
      </c>
      <c r="CV1478">
        <f>IFERROR(INDEX(PP_Grid[#Data],$DE1478,97),0)</f>
        <v/>
      </c>
      <c r="CW1478">
        <f>IFERROR(INDEX(PP_Grid[#Data],$DE1478,98),0)</f>
        <v/>
      </c>
      <c r="CX1478">
        <f>IFERROR(INDEX(PP_Grid[#Data],$DE1478,99),0)</f>
        <v/>
      </c>
      <c r="CY1478">
        <f>IFERROR(INDEX(PP_Grid[#Data],$DE1478,100),0)</f>
        <v/>
      </c>
      <c r="CZ1478">
        <f>IFERROR(INDEX(PP_Grid[#Data],$DE1478,101),0)</f>
        <v/>
      </c>
      <c r="DA1478">
        <f>IFERROR(INDEX(PP_Grid[#Data],$DE1478,102),0)</f>
        <v/>
      </c>
      <c r="DB1478">
        <f>IFERROR(INDEX(PP_Grid[#Data],$DE1478,103),0)</f>
        <v/>
      </c>
      <c r="DC1478">
        <f>IFERROR(INDEX(PP_Grid[#Data],$DE1478,104),0)</f>
        <v/>
      </c>
      <c r="DD1478">
        <f>IFERROR(INDEX(PP_Grid[#Data],$DE1478,105),0)</f>
        <v/>
      </c>
      <c r="DE1478" s="7">
        <f>IFERROR(MATCH($B1478,PP_Grid[Intermediate],0),99999)</f>
        <v/>
      </c>
    </row>
    <row r="1479">
      <c r="B1479" t="inlineStr">
        <is>
          <t>使用量(kg)</t>
        </is>
      </c>
      <c r="C1479">
        <f>SUMIFS(M_BOM[RM_Qty_Per_Batch],M_BOM[Intermediate],$B1478,M_BOM[RM_Code],$A1451)</f>
        <v/>
      </c>
      <c r="D1479">
        <f>IFERROR(INDEX(E1479:DD1479,$F$1),"")</f>
        <v/>
      </c>
      <c r="E1479">
        <f>$C1479*E1478</f>
        <v/>
      </c>
      <c r="F1479">
        <f>$C1479*F1478</f>
        <v/>
      </c>
      <c r="G1479">
        <f>$C1479*G1478</f>
        <v/>
      </c>
      <c r="H1479">
        <f>$C1479*H1478</f>
        <v/>
      </c>
      <c r="I1479">
        <f>$C1479*I1478</f>
        <v/>
      </c>
      <c r="J1479">
        <f>$C1479*J1478</f>
        <v/>
      </c>
      <c r="K1479">
        <f>$C1479*K1478</f>
        <v/>
      </c>
      <c r="L1479">
        <f>$C1479*L1478</f>
        <v/>
      </c>
      <c r="M1479">
        <f>$C1479*M1478</f>
        <v/>
      </c>
      <c r="N1479">
        <f>$C1479*N1478</f>
        <v/>
      </c>
      <c r="O1479">
        <f>$C1479*O1478</f>
        <v/>
      </c>
      <c r="P1479">
        <f>$C1479*P1478</f>
        <v/>
      </c>
      <c r="Q1479">
        <f>$C1479*Q1478</f>
        <v/>
      </c>
      <c r="R1479">
        <f>$C1479*R1478</f>
        <v/>
      </c>
      <c r="S1479">
        <f>$C1479*S1478</f>
        <v/>
      </c>
      <c r="T1479">
        <f>$C1479*T1478</f>
        <v/>
      </c>
      <c r="U1479">
        <f>$C1479*U1478</f>
        <v/>
      </c>
      <c r="V1479">
        <f>$C1479*V1478</f>
        <v/>
      </c>
      <c r="W1479">
        <f>$C1479*W1478</f>
        <v/>
      </c>
      <c r="X1479">
        <f>$C1479*X1478</f>
        <v/>
      </c>
      <c r="Y1479">
        <f>$C1479*Y1478</f>
        <v/>
      </c>
      <c r="Z1479">
        <f>$C1479*Z1478</f>
        <v/>
      </c>
      <c r="AA1479">
        <f>$C1479*AA1478</f>
        <v/>
      </c>
      <c r="AB1479">
        <f>$C1479*AB1478</f>
        <v/>
      </c>
      <c r="AC1479">
        <f>$C1479*AC1478</f>
        <v/>
      </c>
      <c r="AD1479">
        <f>$C1479*AD1478</f>
        <v/>
      </c>
      <c r="AE1479">
        <f>$C1479*AE1478</f>
        <v/>
      </c>
      <c r="AF1479">
        <f>$C1479*AF1478</f>
        <v/>
      </c>
      <c r="AG1479">
        <f>$C1479*AG1478</f>
        <v/>
      </c>
      <c r="AH1479">
        <f>$C1479*AH1478</f>
        <v/>
      </c>
      <c r="AI1479">
        <f>$C1479*AI1478</f>
        <v/>
      </c>
      <c r="AJ1479">
        <f>$C1479*AJ1478</f>
        <v/>
      </c>
      <c r="AK1479">
        <f>$C1479*AK1478</f>
        <v/>
      </c>
      <c r="AL1479">
        <f>$C1479*AL1478</f>
        <v/>
      </c>
      <c r="AM1479">
        <f>$C1479*AM1478</f>
        <v/>
      </c>
      <c r="AN1479">
        <f>$C1479*AN1478</f>
        <v/>
      </c>
      <c r="AO1479">
        <f>$C1479*AO1478</f>
        <v/>
      </c>
      <c r="AP1479">
        <f>$C1479*AP1478</f>
        <v/>
      </c>
      <c r="AQ1479">
        <f>$C1479*AQ1478</f>
        <v/>
      </c>
      <c r="AR1479">
        <f>$C1479*AR1478</f>
        <v/>
      </c>
      <c r="AS1479">
        <f>$C1479*AS1478</f>
        <v/>
      </c>
      <c r="AT1479">
        <f>$C1479*AT1478</f>
        <v/>
      </c>
      <c r="AU1479">
        <f>$C1479*AU1478</f>
        <v/>
      </c>
      <c r="AV1479">
        <f>$C1479*AV1478</f>
        <v/>
      </c>
      <c r="AW1479">
        <f>$C1479*AW1478</f>
        <v/>
      </c>
      <c r="AX1479">
        <f>$C1479*AX1478</f>
        <v/>
      </c>
      <c r="AY1479">
        <f>$C1479*AY1478</f>
        <v/>
      </c>
      <c r="AZ1479">
        <f>$C1479*AZ1478</f>
        <v/>
      </c>
      <c r="BA1479">
        <f>$C1479*BA1478</f>
        <v/>
      </c>
      <c r="BB1479">
        <f>$C1479*BB1478</f>
        <v/>
      </c>
      <c r="BC1479">
        <f>$C1479*BC1478</f>
        <v/>
      </c>
      <c r="BD1479">
        <f>$C1479*BD1478</f>
        <v/>
      </c>
      <c r="BE1479">
        <f>$C1479*BE1478</f>
        <v/>
      </c>
      <c r="BF1479">
        <f>$C1479*BF1478</f>
        <v/>
      </c>
      <c r="BG1479">
        <f>$C1479*BG1478</f>
        <v/>
      </c>
      <c r="BH1479">
        <f>$C1479*BH1478</f>
        <v/>
      </c>
      <c r="BI1479">
        <f>$C1479*BI1478</f>
        <v/>
      </c>
      <c r="BJ1479">
        <f>$C1479*BJ1478</f>
        <v/>
      </c>
      <c r="BK1479">
        <f>$C1479*BK1478</f>
        <v/>
      </c>
      <c r="BL1479">
        <f>$C1479*BL1478</f>
        <v/>
      </c>
      <c r="BM1479">
        <f>$C1479*BM1478</f>
        <v/>
      </c>
      <c r="BN1479">
        <f>$C1479*BN1478</f>
        <v/>
      </c>
      <c r="BO1479">
        <f>$C1479*BO1478</f>
        <v/>
      </c>
      <c r="BP1479">
        <f>$C1479*BP1478</f>
        <v/>
      </c>
      <c r="BQ1479">
        <f>$C1479*BQ1478</f>
        <v/>
      </c>
      <c r="BR1479">
        <f>$C1479*BR1478</f>
        <v/>
      </c>
      <c r="BS1479">
        <f>$C1479*BS1478</f>
        <v/>
      </c>
      <c r="BT1479">
        <f>$C1479*BT1478</f>
        <v/>
      </c>
      <c r="BU1479">
        <f>$C1479*BU1478</f>
        <v/>
      </c>
      <c r="BV1479">
        <f>$C1479*BV1478</f>
        <v/>
      </c>
      <c r="BW1479">
        <f>$C1479*BW1478</f>
        <v/>
      </c>
      <c r="BX1479">
        <f>$C1479*BX1478</f>
        <v/>
      </c>
      <c r="BY1479">
        <f>$C1479*BY1478</f>
        <v/>
      </c>
      <c r="BZ1479">
        <f>$C1479*BZ1478</f>
        <v/>
      </c>
      <c r="CA1479">
        <f>$C1479*CA1478</f>
        <v/>
      </c>
      <c r="CB1479">
        <f>$C1479*CB1478</f>
        <v/>
      </c>
      <c r="CC1479">
        <f>$C1479*CC1478</f>
        <v/>
      </c>
      <c r="CD1479">
        <f>$C1479*CD1478</f>
        <v/>
      </c>
      <c r="CE1479">
        <f>$C1479*CE1478</f>
        <v/>
      </c>
      <c r="CF1479">
        <f>$C1479*CF1478</f>
        <v/>
      </c>
      <c r="CG1479">
        <f>$C1479*CG1478</f>
        <v/>
      </c>
      <c r="CH1479">
        <f>$C1479*CH1478</f>
        <v/>
      </c>
      <c r="CI1479">
        <f>$C1479*CI1478</f>
        <v/>
      </c>
      <c r="CJ1479">
        <f>$C1479*CJ1478</f>
        <v/>
      </c>
      <c r="CK1479">
        <f>$C1479*CK1478</f>
        <v/>
      </c>
      <c r="CL1479">
        <f>$C1479*CL1478</f>
        <v/>
      </c>
      <c r="CM1479">
        <f>$C1479*CM1478</f>
        <v/>
      </c>
      <c r="CN1479">
        <f>$C1479*CN1478</f>
        <v/>
      </c>
      <c r="CO1479">
        <f>$C1479*CO1478</f>
        <v/>
      </c>
      <c r="CP1479">
        <f>$C1479*CP1478</f>
        <v/>
      </c>
      <c r="CQ1479">
        <f>$C1479*CQ1478</f>
        <v/>
      </c>
      <c r="CR1479">
        <f>$C1479*CR1478</f>
        <v/>
      </c>
      <c r="CS1479">
        <f>$C1479*CS1478</f>
        <v/>
      </c>
      <c r="CT1479">
        <f>$C1479*CT1478</f>
        <v/>
      </c>
      <c r="CU1479">
        <f>$C1479*CU1478</f>
        <v/>
      </c>
      <c r="CV1479">
        <f>$C1479*CV1478</f>
        <v/>
      </c>
      <c r="CW1479">
        <f>$C1479*CW1478</f>
        <v/>
      </c>
      <c r="CX1479">
        <f>$C1479*CX1478</f>
        <v/>
      </c>
      <c r="CY1479">
        <f>$C1479*CY1478</f>
        <v/>
      </c>
      <c r="CZ1479">
        <f>$C1479*CZ1478</f>
        <v/>
      </c>
      <c r="DA1479">
        <f>$C1479*DA1478</f>
        <v/>
      </c>
      <c r="DB1479">
        <f>$C1479*DB1478</f>
        <v/>
      </c>
      <c r="DC1479">
        <f>$C1479*DC1478</f>
        <v/>
      </c>
      <c r="DD1479">
        <f>$C1479*DD1478</f>
        <v/>
      </c>
    </row>
    <row r="1480">
      <c r="B1480" s="4" t="inlineStr">
        <is>
          <t>合計使用量(kg)/週</t>
        </is>
      </c>
      <c r="D1480" s="23">
        <f>IFERROR(INDEX(E1480:DD1480,$F$1),"")</f>
        <v/>
      </c>
      <c r="E1480">
        <f>'Grid_Requirement'!B70</f>
        <v/>
      </c>
      <c r="F1480">
        <f>'Grid_Requirement'!C70</f>
        <v/>
      </c>
      <c r="G1480">
        <f>'Grid_Requirement'!D70</f>
        <v/>
      </c>
      <c r="H1480">
        <f>'Grid_Requirement'!E70</f>
        <v/>
      </c>
      <c r="I1480">
        <f>'Grid_Requirement'!F70</f>
        <v/>
      </c>
      <c r="J1480">
        <f>'Grid_Requirement'!G70</f>
        <v/>
      </c>
      <c r="K1480">
        <f>'Grid_Requirement'!H70</f>
        <v/>
      </c>
      <c r="L1480">
        <f>'Grid_Requirement'!I70</f>
        <v/>
      </c>
      <c r="M1480">
        <f>'Grid_Requirement'!J70</f>
        <v/>
      </c>
      <c r="N1480">
        <f>'Grid_Requirement'!K70</f>
        <v/>
      </c>
      <c r="O1480">
        <f>'Grid_Requirement'!L70</f>
        <v/>
      </c>
      <c r="P1480">
        <f>'Grid_Requirement'!M70</f>
        <v/>
      </c>
      <c r="Q1480">
        <f>'Grid_Requirement'!N70</f>
        <v/>
      </c>
      <c r="R1480">
        <f>'Grid_Requirement'!O70</f>
        <v/>
      </c>
      <c r="S1480">
        <f>'Grid_Requirement'!P70</f>
        <v/>
      </c>
      <c r="T1480">
        <f>'Grid_Requirement'!Q70</f>
        <v/>
      </c>
      <c r="U1480">
        <f>'Grid_Requirement'!R70</f>
        <v/>
      </c>
      <c r="V1480">
        <f>'Grid_Requirement'!S70</f>
        <v/>
      </c>
      <c r="W1480">
        <f>'Grid_Requirement'!T70</f>
        <v/>
      </c>
      <c r="X1480">
        <f>'Grid_Requirement'!U70</f>
        <v/>
      </c>
      <c r="Y1480">
        <f>'Grid_Requirement'!V70</f>
        <v/>
      </c>
      <c r="Z1480">
        <f>'Grid_Requirement'!W70</f>
        <v/>
      </c>
      <c r="AA1480">
        <f>'Grid_Requirement'!X70</f>
        <v/>
      </c>
      <c r="AB1480">
        <f>'Grid_Requirement'!Y70</f>
        <v/>
      </c>
      <c r="AC1480">
        <f>'Grid_Requirement'!Z70</f>
        <v/>
      </c>
      <c r="AD1480">
        <f>'Grid_Requirement'!AA70</f>
        <v/>
      </c>
      <c r="AE1480">
        <f>'Grid_Requirement'!AB70</f>
        <v/>
      </c>
      <c r="AF1480">
        <f>'Grid_Requirement'!AC70</f>
        <v/>
      </c>
      <c r="AG1480">
        <f>'Grid_Requirement'!AD70</f>
        <v/>
      </c>
      <c r="AH1480">
        <f>'Grid_Requirement'!AE70</f>
        <v/>
      </c>
      <c r="AI1480">
        <f>'Grid_Requirement'!AF70</f>
        <v/>
      </c>
      <c r="AJ1480">
        <f>'Grid_Requirement'!AG70</f>
        <v/>
      </c>
      <c r="AK1480">
        <f>'Grid_Requirement'!AH70</f>
        <v/>
      </c>
      <c r="AL1480">
        <f>'Grid_Requirement'!AI70</f>
        <v/>
      </c>
      <c r="AM1480">
        <f>'Grid_Requirement'!AJ70</f>
        <v/>
      </c>
      <c r="AN1480">
        <f>'Grid_Requirement'!AK70</f>
        <v/>
      </c>
      <c r="AO1480">
        <f>'Grid_Requirement'!AL70</f>
        <v/>
      </c>
      <c r="AP1480">
        <f>'Grid_Requirement'!AM70</f>
        <v/>
      </c>
      <c r="AQ1480">
        <f>'Grid_Requirement'!AN70</f>
        <v/>
      </c>
      <c r="AR1480">
        <f>'Grid_Requirement'!AO70</f>
        <v/>
      </c>
      <c r="AS1480">
        <f>'Grid_Requirement'!AP70</f>
        <v/>
      </c>
      <c r="AT1480">
        <f>'Grid_Requirement'!AQ70</f>
        <v/>
      </c>
      <c r="AU1480">
        <f>'Grid_Requirement'!AR70</f>
        <v/>
      </c>
      <c r="AV1480">
        <f>'Grid_Requirement'!AS70</f>
        <v/>
      </c>
      <c r="AW1480">
        <f>'Grid_Requirement'!AT70</f>
        <v/>
      </c>
      <c r="AX1480">
        <f>'Grid_Requirement'!AU70</f>
        <v/>
      </c>
      <c r="AY1480">
        <f>'Grid_Requirement'!AV70</f>
        <v/>
      </c>
      <c r="AZ1480">
        <f>'Grid_Requirement'!AW70</f>
        <v/>
      </c>
      <c r="BA1480">
        <f>'Grid_Requirement'!AX70</f>
        <v/>
      </c>
      <c r="BB1480">
        <f>'Grid_Requirement'!AY70</f>
        <v/>
      </c>
      <c r="BC1480">
        <f>'Grid_Requirement'!AZ70</f>
        <v/>
      </c>
      <c r="BD1480">
        <f>'Grid_Requirement'!BA70</f>
        <v/>
      </c>
      <c r="BE1480">
        <f>'Grid_Requirement'!BB70</f>
        <v/>
      </c>
      <c r="BF1480">
        <f>'Grid_Requirement'!BC70</f>
        <v/>
      </c>
      <c r="BG1480">
        <f>'Grid_Requirement'!BD70</f>
        <v/>
      </c>
      <c r="BH1480">
        <f>'Grid_Requirement'!BE70</f>
        <v/>
      </c>
      <c r="BI1480">
        <f>'Grid_Requirement'!BF70</f>
        <v/>
      </c>
      <c r="BJ1480">
        <f>'Grid_Requirement'!BG70</f>
        <v/>
      </c>
      <c r="BK1480">
        <f>'Grid_Requirement'!BH70</f>
        <v/>
      </c>
      <c r="BL1480">
        <f>'Grid_Requirement'!BI70</f>
        <v/>
      </c>
      <c r="BM1480">
        <f>'Grid_Requirement'!BJ70</f>
        <v/>
      </c>
      <c r="BN1480">
        <f>'Grid_Requirement'!BK70</f>
        <v/>
      </c>
      <c r="BO1480">
        <f>'Grid_Requirement'!BL70</f>
        <v/>
      </c>
      <c r="BP1480">
        <f>'Grid_Requirement'!BM70</f>
        <v/>
      </c>
      <c r="BQ1480">
        <f>'Grid_Requirement'!BN70</f>
        <v/>
      </c>
      <c r="BR1480">
        <f>'Grid_Requirement'!BO70</f>
        <v/>
      </c>
      <c r="BS1480">
        <f>'Grid_Requirement'!BP70</f>
        <v/>
      </c>
      <c r="BT1480">
        <f>'Grid_Requirement'!BQ70</f>
        <v/>
      </c>
      <c r="BU1480">
        <f>'Grid_Requirement'!BR70</f>
        <v/>
      </c>
      <c r="BV1480">
        <f>'Grid_Requirement'!BS70</f>
        <v/>
      </c>
      <c r="BW1480">
        <f>'Grid_Requirement'!BT70</f>
        <v/>
      </c>
      <c r="BX1480">
        <f>'Grid_Requirement'!BU70</f>
        <v/>
      </c>
      <c r="BY1480">
        <f>'Grid_Requirement'!BV70</f>
        <v/>
      </c>
      <c r="BZ1480">
        <f>'Grid_Requirement'!BW70</f>
        <v/>
      </c>
      <c r="CA1480">
        <f>'Grid_Requirement'!BX70</f>
        <v/>
      </c>
      <c r="CB1480">
        <f>'Grid_Requirement'!BY70</f>
        <v/>
      </c>
      <c r="CC1480">
        <f>'Grid_Requirement'!BZ70</f>
        <v/>
      </c>
      <c r="CD1480">
        <f>'Grid_Requirement'!CA70</f>
        <v/>
      </c>
      <c r="CE1480">
        <f>'Grid_Requirement'!CB70</f>
        <v/>
      </c>
      <c r="CF1480">
        <f>'Grid_Requirement'!CC70</f>
        <v/>
      </c>
      <c r="CG1480">
        <f>'Grid_Requirement'!CD70</f>
        <v/>
      </c>
      <c r="CH1480">
        <f>'Grid_Requirement'!CE70</f>
        <v/>
      </c>
      <c r="CI1480">
        <f>'Grid_Requirement'!CF70</f>
        <v/>
      </c>
      <c r="CJ1480">
        <f>'Grid_Requirement'!CG70</f>
        <v/>
      </c>
      <c r="CK1480">
        <f>'Grid_Requirement'!CH70</f>
        <v/>
      </c>
      <c r="CL1480">
        <f>'Grid_Requirement'!CI70</f>
        <v/>
      </c>
      <c r="CM1480">
        <f>'Grid_Requirement'!CJ70</f>
        <v/>
      </c>
      <c r="CN1480">
        <f>'Grid_Requirement'!CK70</f>
        <v/>
      </c>
      <c r="CO1480">
        <f>'Grid_Requirement'!CL70</f>
        <v/>
      </c>
      <c r="CP1480">
        <f>'Grid_Requirement'!CM70</f>
        <v/>
      </c>
      <c r="CQ1480">
        <f>'Grid_Requirement'!CN70</f>
        <v/>
      </c>
      <c r="CR1480">
        <f>'Grid_Requirement'!CO70</f>
        <v/>
      </c>
      <c r="CS1480">
        <f>'Grid_Requirement'!CP70</f>
        <v/>
      </c>
      <c r="CT1480">
        <f>'Grid_Requirement'!CQ70</f>
        <v/>
      </c>
      <c r="CU1480">
        <f>'Grid_Requirement'!CR70</f>
        <v/>
      </c>
      <c r="CV1480">
        <f>'Grid_Requirement'!CS70</f>
        <v/>
      </c>
      <c r="CW1480">
        <f>'Grid_Requirement'!CT70</f>
        <v/>
      </c>
      <c r="CX1480">
        <f>'Grid_Requirement'!CU70</f>
        <v/>
      </c>
      <c r="CY1480">
        <f>'Grid_Requirement'!CV70</f>
        <v/>
      </c>
      <c r="CZ1480">
        <f>'Grid_Requirement'!CW70</f>
        <v/>
      </c>
      <c r="DA1480">
        <f>'Grid_Requirement'!CX70</f>
        <v/>
      </c>
      <c r="DB1480">
        <f>'Grid_Requirement'!CY70</f>
        <v/>
      </c>
      <c r="DC1480">
        <f>'Grid_Requirement'!CZ70</f>
        <v/>
      </c>
      <c r="DD1480">
        <f>'Grid_Requirement'!DA70</f>
        <v/>
      </c>
    </row>
    <row r="1481">
      <c r="B1481" t="inlineStr">
        <is>
          <t>TTAF在庫(実績,kg)</t>
        </is>
      </c>
      <c r="D1481">
        <f>IFERROR(INDEX(E1481:DD1481,$F$1),"")</f>
        <v/>
      </c>
      <c r="E1481">
        <f>IFERROR(SUMIFS(T_TTAFStock[TTAF_Qty],T_TTAFStock[RM_Code],$A1451,T_TTAFStock[WeekIndex],1),"")</f>
        <v/>
      </c>
      <c r="F1481">
        <f>IFERROR(SUMIFS(T_TTAFStock[TTAF_Qty],T_TTAFStock[RM_Code],$A1451,T_TTAFStock[WeekIndex],2),"")</f>
        <v/>
      </c>
      <c r="G1481">
        <f>IFERROR(SUMIFS(T_TTAFStock[TTAF_Qty],T_TTAFStock[RM_Code],$A1451,T_TTAFStock[WeekIndex],3),"")</f>
        <v/>
      </c>
      <c r="H1481">
        <f>IFERROR(SUMIFS(T_TTAFStock[TTAF_Qty],T_TTAFStock[RM_Code],$A1451,T_TTAFStock[WeekIndex],4),"")</f>
        <v/>
      </c>
      <c r="I1481">
        <f>IFERROR(SUMIFS(T_TTAFStock[TTAF_Qty],T_TTAFStock[RM_Code],$A1451,T_TTAFStock[WeekIndex],5),"")</f>
        <v/>
      </c>
      <c r="J1481">
        <f>IFERROR(SUMIFS(T_TTAFStock[TTAF_Qty],T_TTAFStock[RM_Code],$A1451,T_TTAFStock[WeekIndex],6),"")</f>
        <v/>
      </c>
      <c r="K1481">
        <f>IFERROR(SUMIFS(T_TTAFStock[TTAF_Qty],T_TTAFStock[RM_Code],$A1451,T_TTAFStock[WeekIndex],7),"")</f>
        <v/>
      </c>
      <c r="L1481">
        <f>IFERROR(SUMIFS(T_TTAFStock[TTAF_Qty],T_TTAFStock[RM_Code],$A1451,T_TTAFStock[WeekIndex],8),"")</f>
        <v/>
      </c>
      <c r="M1481">
        <f>IFERROR(SUMIFS(T_TTAFStock[TTAF_Qty],T_TTAFStock[RM_Code],$A1451,T_TTAFStock[WeekIndex],9),"")</f>
        <v/>
      </c>
      <c r="N1481">
        <f>IFERROR(SUMIFS(T_TTAFStock[TTAF_Qty],T_TTAFStock[RM_Code],$A1451,T_TTAFStock[WeekIndex],10),"")</f>
        <v/>
      </c>
      <c r="O1481">
        <f>IFERROR(SUMIFS(T_TTAFStock[TTAF_Qty],T_TTAFStock[RM_Code],$A1451,T_TTAFStock[WeekIndex],11),"")</f>
        <v/>
      </c>
      <c r="P1481">
        <f>IFERROR(SUMIFS(T_TTAFStock[TTAF_Qty],T_TTAFStock[RM_Code],$A1451,T_TTAFStock[WeekIndex],12),"")</f>
        <v/>
      </c>
      <c r="Q1481">
        <f>IFERROR(SUMIFS(T_TTAFStock[TTAF_Qty],T_TTAFStock[RM_Code],$A1451,T_TTAFStock[WeekIndex],13),"")</f>
        <v/>
      </c>
      <c r="R1481">
        <f>IFERROR(SUMIFS(T_TTAFStock[TTAF_Qty],T_TTAFStock[RM_Code],$A1451,T_TTAFStock[WeekIndex],14),"")</f>
        <v/>
      </c>
      <c r="S1481">
        <f>IFERROR(SUMIFS(T_TTAFStock[TTAF_Qty],T_TTAFStock[RM_Code],$A1451,T_TTAFStock[WeekIndex],15),"")</f>
        <v/>
      </c>
      <c r="T1481">
        <f>IFERROR(SUMIFS(T_TTAFStock[TTAF_Qty],T_TTAFStock[RM_Code],$A1451,T_TTAFStock[WeekIndex],16),"")</f>
        <v/>
      </c>
      <c r="U1481">
        <f>IFERROR(SUMIFS(T_TTAFStock[TTAF_Qty],T_TTAFStock[RM_Code],$A1451,T_TTAFStock[WeekIndex],17),"")</f>
        <v/>
      </c>
      <c r="V1481">
        <f>IFERROR(SUMIFS(T_TTAFStock[TTAF_Qty],T_TTAFStock[RM_Code],$A1451,T_TTAFStock[WeekIndex],18),"")</f>
        <v/>
      </c>
      <c r="W1481">
        <f>IFERROR(SUMIFS(T_TTAFStock[TTAF_Qty],T_TTAFStock[RM_Code],$A1451,T_TTAFStock[WeekIndex],19),"")</f>
        <v/>
      </c>
      <c r="X1481">
        <f>IFERROR(SUMIFS(T_TTAFStock[TTAF_Qty],T_TTAFStock[RM_Code],$A1451,T_TTAFStock[WeekIndex],20),"")</f>
        <v/>
      </c>
      <c r="Y1481">
        <f>IFERROR(SUMIFS(T_TTAFStock[TTAF_Qty],T_TTAFStock[RM_Code],$A1451,T_TTAFStock[WeekIndex],21),"")</f>
        <v/>
      </c>
      <c r="Z1481">
        <f>IFERROR(SUMIFS(T_TTAFStock[TTAF_Qty],T_TTAFStock[RM_Code],$A1451,T_TTAFStock[WeekIndex],22),"")</f>
        <v/>
      </c>
      <c r="AA1481">
        <f>IFERROR(SUMIFS(T_TTAFStock[TTAF_Qty],T_TTAFStock[RM_Code],$A1451,T_TTAFStock[WeekIndex],23),"")</f>
        <v/>
      </c>
      <c r="AB1481">
        <f>IFERROR(SUMIFS(T_TTAFStock[TTAF_Qty],T_TTAFStock[RM_Code],$A1451,T_TTAFStock[WeekIndex],24),"")</f>
        <v/>
      </c>
      <c r="AC1481">
        <f>IFERROR(SUMIFS(T_TTAFStock[TTAF_Qty],T_TTAFStock[RM_Code],$A1451,T_TTAFStock[WeekIndex],25),"")</f>
        <v/>
      </c>
      <c r="AD1481">
        <f>IFERROR(SUMIFS(T_TTAFStock[TTAF_Qty],T_TTAFStock[RM_Code],$A1451,T_TTAFStock[WeekIndex],26),"")</f>
        <v/>
      </c>
      <c r="AE1481">
        <f>IFERROR(SUMIFS(T_TTAFStock[TTAF_Qty],T_TTAFStock[RM_Code],$A1451,T_TTAFStock[WeekIndex],27),"")</f>
        <v/>
      </c>
      <c r="AF1481">
        <f>IFERROR(SUMIFS(T_TTAFStock[TTAF_Qty],T_TTAFStock[RM_Code],$A1451,T_TTAFStock[WeekIndex],28),"")</f>
        <v/>
      </c>
      <c r="AG1481">
        <f>IFERROR(SUMIFS(T_TTAFStock[TTAF_Qty],T_TTAFStock[RM_Code],$A1451,T_TTAFStock[WeekIndex],29),"")</f>
        <v/>
      </c>
      <c r="AH1481">
        <f>IFERROR(SUMIFS(T_TTAFStock[TTAF_Qty],T_TTAFStock[RM_Code],$A1451,T_TTAFStock[WeekIndex],30),"")</f>
        <v/>
      </c>
      <c r="AI1481">
        <f>IFERROR(SUMIFS(T_TTAFStock[TTAF_Qty],T_TTAFStock[RM_Code],$A1451,T_TTAFStock[WeekIndex],31),"")</f>
        <v/>
      </c>
      <c r="AJ1481">
        <f>IFERROR(SUMIFS(T_TTAFStock[TTAF_Qty],T_TTAFStock[RM_Code],$A1451,T_TTAFStock[WeekIndex],32),"")</f>
        <v/>
      </c>
      <c r="AK1481">
        <f>IFERROR(SUMIFS(T_TTAFStock[TTAF_Qty],T_TTAFStock[RM_Code],$A1451,T_TTAFStock[WeekIndex],33),"")</f>
        <v/>
      </c>
      <c r="AL1481">
        <f>IFERROR(SUMIFS(T_TTAFStock[TTAF_Qty],T_TTAFStock[RM_Code],$A1451,T_TTAFStock[WeekIndex],34),"")</f>
        <v/>
      </c>
      <c r="AM1481">
        <f>IFERROR(SUMIFS(T_TTAFStock[TTAF_Qty],T_TTAFStock[RM_Code],$A1451,T_TTAFStock[WeekIndex],35),"")</f>
        <v/>
      </c>
      <c r="AN1481">
        <f>IFERROR(SUMIFS(T_TTAFStock[TTAF_Qty],T_TTAFStock[RM_Code],$A1451,T_TTAFStock[WeekIndex],36),"")</f>
        <v/>
      </c>
      <c r="AO1481">
        <f>IFERROR(SUMIFS(T_TTAFStock[TTAF_Qty],T_TTAFStock[RM_Code],$A1451,T_TTAFStock[WeekIndex],37),"")</f>
        <v/>
      </c>
      <c r="AP1481">
        <f>IFERROR(SUMIFS(T_TTAFStock[TTAF_Qty],T_TTAFStock[RM_Code],$A1451,T_TTAFStock[WeekIndex],38),"")</f>
        <v/>
      </c>
      <c r="AQ1481">
        <f>IFERROR(SUMIFS(T_TTAFStock[TTAF_Qty],T_TTAFStock[RM_Code],$A1451,T_TTAFStock[WeekIndex],39),"")</f>
        <v/>
      </c>
      <c r="AR1481">
        <f>IFERROR(SUMIFS(T_TTAFStock[TTAF_Qty],T_TTAFStock[RM_Code],$A1451,T_TTAFStock[WeekIndex],40),"")</f>
        <v/>
      </c>
      <c r="AS1481">
        <f>IFERROR(SUMIFS(T_TTAFStock[TTAF_Qty],T_TTAFStock[RM_Code],$A1451,T_TTAFStock[WeekIndex],41),"")</f>
        <v/>
      </c>
      <c r="AT1481">
        <f>IFERROR(SUMIFS(T_TTAFStock[TTAF_Qty],T_TTAFStock[RM_Code],$A1451,T_TTAFStock[WeekIndex],42),"")</f>
        <v/>
      </c>
      <c r="AU1481">
        <f>IFERROR(SUMIFS(T_TTAFStock[TTAF_Qty],T_TTAFStock[RM_Code],$A1451,T_TTAFStock[WeekIndex],43),"")</f>
        <v/>
      </c>
      <c r="AV1481">
        <f>IFERROR(SUMIFS(T_TTAFStock[TTAF_Qty],T_TTAFStock[RM_Code],$A1451,T_TTAFStock[WeekIndex],44),"")</f>
        <v/>
      </c>
      <c r="AW1481">
        <f>IFERROR(SUMIFS(T_TTAFStock[TTAF_Qty],T_TTAFStock[RM_Code],$A1451,T_TTAFStock[WeekIndex],45),"")</f>
        <v/>
      </c>
      <c r="AX1481">
        <f>IFERROR(SUMIFS(T_TTAFStock[TTAF_Qty],T_TTAFStock[RM_Code],$A1451,T_TTAFStock[WeekIndex],46),"")</f>
        <v/>
      </c>
      <c r="AY1481">
        <f>IFERROR(SUMIFS(T_TTAFStock[TTAF_Qty],T_TTAFStock[RM_Code],$A1451,T_TTAFStock[WeekIndex],47),"")</f>
        <v/>
      </c>
      <c r="AZ1481">
        <f>IFERROR(SUMIFS(T_TTAFStock[TTAF_Qty],T_TTAFStock[RM_Code],$A1451,T_TTAFStock[WeekIndex],48),"")</f>
        <v/>
      </c>
      <c r="BA1481">
        <f>IFERROR(SUMIFS(T_TTAFStock[TTAF_Qty],T_TTAFStock[RM_Code],$A1451,T_TTAFStock[WeekIndex],49),"")</f>
        <v/>
      </c>
      <c r="BB1481">
        <f>IFERROR(SUMIFS(T_TTAFStock[TTAF_Qty],T_TTAFStock[RM_Code],$A1451,T_TTAFStock[WeekIndex],50),"")</f>
        <v/>
      </c>
      <c r="BC1481">
        <f>IFERROR(SUMIFS(T_TTAFStock[TTAF_Qty],T_TTAFStock[RM_Code],$A1451,T_TTAFStock[WeekIndex],51),"")</f>
        <v/>
      </c>
      <c r="BD1481">
        <f>IFERROR(SUMIFS(T_TTAFStock[TTAF_Qty],T_TTAFStock[RM_Code],$A1451,T_TTAFStock[WeekIndex],52),"")</f>
        <v/>
      </c>
      <c r="BE1481">
        <f>IFERROR(SUMIFS(T_TTAFStock[TTAF_Qty],T_TTAFStock[RM_Code],$A1451,T_TTAFStock[WeekIndex],53),"")</f>
        <v/>
      </c>
      <c r="BF1481">
        <f>IFERROR(SUMIFS(T_TTAFStock[TTAF_Qty],T_TTAFStock[RM_Code],$A1451,T_TTAFStock[WeekIndex],54),"")</f>
        <v/>
      </c>
      <c r="BG1481">
        <f>IFERROR(SUMIFS(T_TTAFStock[TTAF_Qty],T_TTAFStock[RM_Code],$A1451,T_TTAFStock[WeekIndex],55),"")</f>
        <v/>
      </c>
      <c r="BH1481">
        <f>IFERROR(SUMIFS(T_TTAFStock[TTAF_Qty],T_TTAFStock[RM_Code],$A1451,T_TTAFStock[WeekIndex],56),"")</f>
        <v/>
      </c>
      <c r="BI1481">
        <f>IFERROR(SUMIFS(T_TTAFStock[TTAF_Qty],T_TTAFStock[RM_Code],$A1451,T_TTAFStock[WeekIndex],57),"")</f>
        <v/>
      </c>
      <c r="BJ1481">
        <f>IFERROR(SUMIFS(T_TTAFStock[TTAF_Qty],T_TTAFStock[RM_Code],$A1451,T_TTAFStock[WeekIndex],58),"")</f>
        <v/>
      </c>
      <c r="BK1481">
        <f>IFERROR(SUMIFS(T_TTAFStock[TTAF_Qty],T_TTAFStock[RM_Code],$A1451,T_TTAFStock[WeekIndex],59),"")</f>
        <v/>
      </c>
      <c r="BL1481">
        <f>IFERROR(SUMIFS(T_TTAFStock[TTAF_Qty],T_TTAFStock[RM_Code],$A1451,T_TTAFStock[WeekIndex],60),"")</f>
        <v/>
      </c>
      <c r="BM1481">
        <f>IFERROR(SUMIFS(T_TTAFStock[TTAF_Qty],T_TTAFStock[RM_Code],$A1451,T_TTAFStock[WeekIndex],61),"")</f>
        <v/>
      </c>
      <c r="BN1481">
        <f>IFERROR(SUMIFS(T_TTAFStock[TTAF_Qty],T_TTAFStock[RM_Code],$A1451,T_TTAFStock[WeekIndex],62),"")</f>
        <v/>
      </c>
      <c r="BO1481">
        <f>IFERROR(SUMIFS(T_TTAFStock[TTAF_Qty],T_TTAFStock[RM_Code],$A1451,T_TTAFStock[WeekIndex],63),"")</f>
        <v/>
      </c>
      <c r="BP1481">
        <f>IFERROR(SUMIFS(T_TTAFStock[TTAF_Qty],T_TTAFStock[RM_Code],$A1451,T_TTAFStock[WeekIndex],64),"")</f>
        <v/>
      </c>
      <c r="BQ1481">
        <f>IFERROR(SUMIFS(T_TTAFStock[TTAF_Qty],T_TTAFStock[RM_Code],$A1451,T_TTAFStock[WeekIndex],65),"")</f>
        <v/>
      </c>
      <c r="BR1481">
        <f>IFERROR(SUMIFS(T_TTAFStock[TTAF_Qty],T_TTAFStock[RM_Code],$A1451,T_TTAFStock[WeekIndex],66),"")</f>
        <v/>
      </c>
      <c r="BS1481">
        <f>IFERROR(SUMIFS(T_TTAFStock[TTAF_Qty],T_TTAFStock[RM_Code],$A1451,T_TTAFStock[WeekIndex],67),"")</f>
        <v/>
      </c>
      <c r="BT1481">
        <f>IFERROR(SUMIFS(T_TTAFStock[TTAF_Qty],T_TTAFStock[RM_Code],$A1451,T_TTAFStock[WeekIndex],68),"")</f>
        <v/>
      </c>
      <c r="BU1481">
        <f>IFERROR(SUMIFS(T_TTAFStock[TTAF_Qty],T_TTAFStock[RM_Code],$A1451,T_TTAFStock[WeekIndex],69),"")</f>
        <v/>
      </c>
      <c r="BV1481">
        <f>IFERROR(SUMIFS(T_TTAFStock[TTAF_Qty],T_TTAFStock[RM_Code],$A1451,T_TTAFStock[WeekIndex],70),"")</f>
        <v/>
      </c>
      <c r="BW1481">
        <f>IFERROR(SUMIFS(T_TTAFStock[TTAF_Qty],T_TTAFStock[RM_Code],$A1451,T_TTAFStock[WeekIndex],71),"")</f>
        <v/>
      </c>
      <c r="BX1481">
        <f>IFERROR(SUMIFS(T_TTAFStock[TTAF_Qty],T_TTAFStock[RM_Code],$A1451,T_TTAFStock[WeekIndex],72),"")</f>
        <v/>
      </c>
      <c r="BY1481">
        <f>IFERROR(SUMIFS(T_TTAFStock[TTAF_Qty],T_TTAFStock[RM_Code],$A1451,T_TTAFStock[WeekIndex],73),"")</f>
        <v/>
      </c>
      <c r="BZ1481">
        <f>IFERROR(SUMIFS(T_TTAFStock[TTAF_Qty],T_TTAFStock[RM_Code],$A1451,T_TTAFStock[WeekIndex],74),"")</f>
        <v/>
      </c>
      <c r="CA1481">
        <f>IFERROR(SUMIFS(T_TTAFStock[TTAF_Qty],T_TTAFStock[RM_Code],$A1451,T_TTAFStock[WeekIndex],75),"")</f>
        <v/>
      </c>
      <c r="CB1481">
        <f>IFERROR(SUMIFS(T_TTAFStock[TTAF_Qty],T_TTAFStock[RM_Code],$A1451,T_TTAFStock[WeekIndex],76),"")</f>
        <v/>
      </c>
      <c r="CC1481">
        <f>IFERROR(SUMIFS(T_TTAFStock[TTAF_Qty],T_TTAFStock[RM_Code],$A1451,T_TTAFStock[WeekIndex],77),"")</f>
        <v/>
      </c>
      <c r="CD1481">
        <f>IFERROR(SUMIFS(T_TTAFStock[TTAF_Qty],T_TTAFStock[RM_Code],$A1451,T_TTAFStock[WeekIndex],78),"")</f>
        <v/>
      </c>
      <c r="CE1481">
        <f>IFERROR(SUMIFS(T_TTAFStock[TTAF_Qty],T_TTAFStock[RM_Code],$A1451,T_TTAFStock[WeekIndex],79),"")</f>
        <v/>
      </c>
      <c r="CF1481">
        <f>IFERROR(SUMIFS(T_TTAFStock[TTAF_Qty],T_TTAFStock[RM_Code],$A1451,T_TTAFStock[WeekIndex],80),"")</f>
        <v/>
      </c>
      <c r="CG1481">
        <f>IFERROR(SUMIFS(T_TTAFStock[TTAF_Qty],T_TTAFStock[RM_Code],$A1451,T_TTAFStock[WeekIndex],81),"")</f>
        <v/>
      </c>
      <c r="CH1481">
        <f>IFERROR(SUMIFS(T_TTAFStock[TTAF_Qty],T_TTAFStock[RM_Code],$A1451,T_TTAFStock[WeekIndex],82),"")</f>
        <v/>
      </c>
      <c r="CI1481">
        <f>IFERROR(SUMIFS(T_TTAFStock[TTAF_Qty],T_TTAFStock[RM_Code],$A1451,T_TTAFStock[WeekIndex],83),"")</f>
        <v/>
      </c>
      <c r="CJ1481">
        <f>IFERROR(SUMIFS(T_TTAFStock[TTAF_Qty],T_TTAFStock[RM_Code],$A1451,T_TTAFStock[WeekIndex],84),"")</f>
        <v/>
      </c>
      <c r="CK1481">
        <f>IFERROR(SUMIFS(T_TTAFStock[TTAF_Qty],T_TTAFStock[RM_Code],$A1451,T_TTAFStock[WeekIndex],85),"")</f>
        <v/>
      </c>
      <c r="CL1481">
        <f>IFERROR(SUMIFS(T_TTAFStock[TTAF_Qty],T_TTAFStock[RM_Code],$A1451,T_TTAFStock[WeekIndex],86),"")</f>
        <v/>
      </c>
      <c r="CM1481">
        <f>IFERROR(SUMIFS(T_TTAFStock[TTAF_Qty],T_TTAFStock[RM_Code],$A1451,T_TTAFStock[WeekIndex],87),"")</f>
        <v/>
      </c>
      <c r="CN1481">
        <f>IFERROR(SUMIFS(T_TTAFStock[TTAF_Qty],T_TTAFStock[RM_Code],$A1451,T_TTAFStock[WeekIndex],88),"")</f>
        <v/>
      </c>
      <c r="CO1481">
        <f>IFERROR(SUMIFS(T_TTAFStock[TTAF_Qty],T_TTAFStock[RM_Code],$A1451,T_TTAFStock[WeekIndex],89),"")</f>
        <v/>
      </c>
      <c r="CP1481">
        <f>IFERROR(SUMIFS(T_TTAFStock[TTAF_Qty],T_TTAFStock[RM_Code],$A1451,T_TTAFStock[WeekIndex],90),"")</f>
        <v/>
      </c>
      <c r="CQ1481">
        <f>IFERROR(SUMIFS(T_TTAFStock[TTAF_Qty],T_TTAFStock[RM_Code],$A1451,T_TTAFStock[WeekIndex],91),"")</f>
        <v/>
      </c>
      <c r="CR1481">
        <f>IFERROR(SUMIFS(T_TTAFStock[TTAF_Qty],T_TTAFStock[RM_Code],$A1451,T_TTAFStock[WeekIndex],92),"")</f>
        <v/>
      </c>
      <c r="CS1481">
        <f>IFERROR(SUMIFS(T_TTAFStock[TTAF_Qty],T_TTAFStock[RM_Code],$A1451,T_TTAFStock[WeekIndex],93),"")</f>
        <v/>
      </c>
      <c r="CT1481">
        <f>IFERROR(SUMIFS(T_TTAFStock[TTAF_Qty],T_TTAFStock[RM_Code],$A1451,T_TTAFStock[WeekIndex],94),"")</f>
        <v/>
      </c>
      <c r="CU1481">
        <f>IFERROR(SUMIFS(T_TTAFStock[TTAF_Qty],T_TTAFStock[RM_Code],$A1451,T_TTAFStock[WeekIndex],95),"")</f>
        <v/>
      </c>
      <c r="CV1481">
        <f>IFERROR(SUMIFS(T_TTAFStock[TTAF_Qty],T_TTAFStock[RM_Code],$A1451,T_TTAFStock[WeekIndex],96),"")</f>
        <v/>
      </c>
      <c r="CW1481">
        <f>IFERROR(SUMIFS(T_TTAFStock[TTAF_Qty],T_TTAFStock[RM_Code],$A1451,T_TTAFStock[WeekIndex],97),"")</f>
        <v/>
      </c>
      <c r="CX1481">
        <f>IFERROR(SUMIFS(T_TTAFStock[TTAF_Qty],T_TTAFStock[RM_Code],$A1451,T_TTAFStock[WeekIndex],98),"")</f>
        <v/>
      </c>
      <c r="CY1481">
        <f>IFERROR(SUMIFS(T_TTAFStock[TTAF_Qty],T_TTAFStock[RM_Code],$A1451,T_TTAFStock[WeekIndex],99),"")</f>
        <v/>
      </c>
      <c r="CZ1481">
        <f>IFERROR(SUMIFS(T_TTAFStock[TTAF_Qty],T_TTAFStock[RM_Code],$A1451,T_TTAFStock[WeekIndex],100),"")</f>
        <v/>
      </c>
      <c r="DA1481">
        <f>IFERROR(SUMIFS(T_TTAFStock[TTAF_Qty],T_TTAFStock[RM_Code],$A1451,T_TTAFStock[WeekIndex],101),"")</f>
        <v/>
      </c>
      <c r="DB1481">
        <f>IFERROR(SUMIFS(T_TTAFStock[TTAF_Qty],T_TTAFStock[RM_Code],$A1451,T_TTAFStock[WeekIndex],102),"")</f>
        <v/>
      </c>
      <c r="DC1481">
        <f>IFERROR(SUMIFS(T_TTAFStock[TTAF_Qty],T_TTAFStock[RM_Code],$A1451,T_TTAFStock[WeekIndex],103),"")</f>
        <v/>
      </c>
      <c r="DD1481">
        <f>IFERROR(SUMIFS(T_TTAFStock[TTAF_Qty],T_TTAFStock[RM_Code],$A1451,T_TTAFStock[WeekIndex],104),"")</f>
        <v/>
      </c>
    </row>
    <row r="1482">
      <c r="B1482" t="inlineStr">
        <is>
          <t>自社在庫(実績,kg)</t>
        </is>
      </c>
      <c r="D1482">
        <f>IFERROR(INDEX(E1482:DD1482,$F$1),"")</f>
        <v/>
      </c>
      <c r="E1482">
        <f>IFERROR(SUMIFS(T_SelfStock[Self_Qty],T_SelfStock[RM_Code],$A1451,T_SelfStock[WeekIndex],1),"")</f>
        <v/>
      </c>
      <c r="F1482">
        <f>IFERROR(SUMIFS(T_SelfStock[Self_Qty],T_SelfStock[RM_Code],$A1451,T_SelfStock[WeekIndex],2),"")</f>
        <v/>
      </c>
      <c r="G1482">
        <f>IFERROR(SUMIFS(T_SelfStock[Self_Qty],T_SelfStock[RM_Code],$A1451,T_SelfStock[WeekIndex],3),"")</f>
        <v/>
      </c>
      <c r="H1482">
        <f>IFERROR(SUMIFS(T_SelfStock[Self_Qty],T_SelfStock[RM_Code],$A1451,T_SelfStock[WeekIndex],4),"")</f>
        <v/>
      </c>
      <c r="I1482">
        <f>IFERROR(SUMIFS(T_SelfStock[Self_Qty],T_SelfStock[RM_Code],$A1451,T_SelfStock[WeekIndex],5),"")</f>
        <v/>
      </c>
      <c r="J1482">
        <f>IFERROR(SUMIFS(T_SelfStock[Self_Qty],T_SelfStock[RM_Code],$A1451,T_SelfStock[WeekIndex],6),"")</f>
        <v/>
      </c>
      <c r="K1482">
        <f>IFERROR(SUMIFS(T_SelfStock[Self_Qty],T_SelfStock[RM_Code],$A1451,T_SelfStock[WeekIndex],7),"")</f>
        <v/>
      </c>
      <c r="L1482">
        <f>IFERROR(SUMIFS(T_SelfStock[Self_Qty],T_SelfStock[RM_Code],$A1451,T_SelfStock[WeekIndex],8),"")</f>
        <v/>
      </c>
      <c r="M1482">
        <f>IFERROR(SUMIFS(T_SelfStock[Self_Qty],T_SelfStock[RM_Code],$A1451,T_SelfStock[WeekIndex],9),"")</f>
        <v/>
      </c>
      <c r="N1482">
        <f>IFERROR(SUMIFS(T_SelfStock[Self_Qty],T_SelfStock[RM_Code],$A1451,T_SelfStock[WeekIndex],10),"")</f>
        <v/>
      </c>
      <c r="O1482">
        <f>IFERROR(SUMIFS(T_SelfStock[Self_Qty],T_SelfStock[RM_Code],$A1451,T_SelfStock[WeekIndex],11),"")</f>
        <v/>
      </c>
      <c r="P1482">
        <f>IFERROR(SUMIFS(T_SelfStock[Self_Qty],T_SelfStock[RM_Code],$A1451,T_SelfStock[WeekIndex],12),"")</f>
        <v/>
      </c>
      <c r="Q1482">
        <f>IFERROR(SUMIFS(T_SelfStock[Self_Qty],T_SelfStock[RM_Code],$A1451,T_SelfStock[WeekIndex],13),"")</f>
        <v/>
      </c>
      <c r="R1482">
        <f>IFERROR(SUMIFS(T_SelfStock[Self_Qty],T_SelfStock[RM_Code],$A1451,T_SelfStock[WeekIndex],14),"")</f>
        <v/>
      </c>
      <c r="S1482">
        <f>IFERROR(SUMIFS(T_SelfStock[Self_Qty],T_SelfStock[RM_Code],$A1451,T_SelfStock[WeekIndex],15),"")</f>
        <v/>
      </c>
      <c r="T1482">
        <f>IFERROR(SUMIFS(T_SelfStock[Self_Qty],T_SelfStock[RM_Code],$A1451,T_SelfStock[WeekIndex],16),"")</f>
        <v/>
      </c>
      <c r="U1482">
        <f>IFERROR(SUMIFS(T_SelfStock[Self_Qty],T_SelfStock[RM_Code],$A1451,T_SelfStock[WeekIndex],17),"")</f>
        <v/>
      </c>
      <c r="V1482">
        <f>IFERROR(SUMIFS(T_SelfStock[Self_Qty],T_SelfStock[RM_Code],$A1451,T_SelfStock[WeekIndex],18),"")</f>
        <v/>
      </c>
      <c r="W1482">
        <f>IFERROR(SUMIFS(T_SelfStock[Self_Qty],T_SelfStock[RM_Code],$A1451,T_SelfStock[WeekIndex],19),"")</f>
        <v/>
      </c>
      <c r="X1482">
        <f>IFERROR(SUMIFS(T_SelfStock[Self_Qty],T_SelfStock[RM_Code],$A1451,T_SelfStock[WeekIndex],20),"")</f>
        <v/>
      </c>
      <c r="Y1482">
        <f>IFERROR(SUMIFS(T_SelfStock[Self_Qty],T_SelfStock[RM_Code],$A1451,T_SelfStock[WeekIndex],21),"")</f>
        <v/>
      </c>
      <c r="Z1482">
        <f>IFERROR(SUMIFS(T_SelfStock[Self_Qty],T_SelfStock[RM_Code],$A1451,T_SelfStock[WeekIndex],22),"")</f>
        <v/>
      </c>
      <c r="AA1482">
        <f>IFERROR(SUMIFS(T_SelfStock[Self_Qty],T_SelfStock[RM_Code],$A1451,T_SelfStock[WeekIndex],23),"")</f>
        <v/>
      </c>
      <c r="AB1482">
        <f>IFERROR(SUMIFS(T_SelfStock[Self_Qty],T_SelfStock[RM_Code],$A1451,T_SelfStock[WeekIndex],24),"")</f>
        <v/>
      </c>
      <c r="AC1482">
        <f>IFERROR(SUMIFS(T_SelfStock[Self_Qty],T_SelfStock[RM_Code],$A1451,T_SelfStock[WeekIndex],25),"")</f>
        <v/>
      </c>
      <c r="AD1482">
        <f>IFERROR(SUMIFS(T_SelfStock[Self_Qty],T_SelfStock[RM_Code],$A1451,T_SelfStock[WeekIndex],26),"")</f>
        <v/>
      </c>
      <c r="AE1482">
        <f>IFERROR(SUMIFS(T_SelfStock[Self_Qty],T_SelfStock[RM_Code],$A1451,T_SelfStock[WeekIndex],27),"")</f>
        <v/>
      </c>
      <c r="AF1482">
        <f>IFERROR(SUMIFS(T_SelfStock[Self_Qty],T_SelfStock[RM_Code],$A1451,T_SelfStock[WeekIndex],28),"")</f>
        <v/>
      </c>
      <c r="AG1482">
        <f>IFERROR(SUMIFS(T_SelfStock[Self_Qty],T_SelfStock[RM_Code],$A1451,T_SelfStock[WeekIndex],29),"")</f>
        <v/>
      </c>
      <c r="AH1482">
        <f>IFERROR(SUMIFS(T_SelfStock[Self_Qty],T_SelfStock[RM_Code],$A1451,T_SelfStock[WeekIndex],30),"")</f>
        <v/>
      </c>
      <c r="AI1482">
        <f>IFERROR(SUMIFS(T_SelfStock[Self_Qty],T_SelfStock[RM_Code],$A1451,T_SelfStock[WeekIndex],31),"")</f>
        <v/>
      </c>
      <c r="AJ1482">
        <f>IFERROR(SUMIFS(T_SelfStock[Self_Qty],T_SelfStock[RM_Code],$A1451,T_SelfStock[WeekIndex],32),"")</f>
        <v/>
      </c>
      <c r="AK1482">
        <f>IFERROR(SUMIFS(T_SelfStock[Self_Qty],T_SelfStock[RM_Code],$A1451,T_SelfStock[WeekIndex],33),"")</f>
        <v/>
      </c>
      <c r="AL1482">
        <f>IFERROR(SUMIFS(T_SelfStock[Self_Qty],T_SelfStock[RM_Code],$A1451,T_SelfStock[WeekIndex],34),"")</f>
        <v/>
      </c>
      <c r="AM1482">
        <f>IFERROR(SUMIFS(T_SelfStock[Self_Qty],T_SelfStock[RM_Code],$A1451,T_SelfStock[WeekIndex],35),"")</f>
        <v/>
      </c>
      <c r="AN1482">
        <f>IFERROR(SUMIFS(T_SelfStock[Self_Qty],T_SelfStock[RM_Code],$A1451,T_SelfStock[WeekIndex],36),"")</f>
        <v/>
      </c>
      <c r="AO1482">
        <f>IFERROR(SUMIFS(T_SelfStock[Self_Qty],T_SelfStock[RM_Code],$A1451,T_SelfStock[WeekIndex],37),"")</f>
        <v/>
      </c>
      <c r="AP1482">
        <f>IFERROR(SUMIFS(T_SelfStock[Self_Qty],T_SelfStock[RM_Code],$A1451,T_SelfStock[WeekIndex],38),"")</f>
        <v/>
      </c>
      <c r="AQ1482">
        <f>IFERROR(SUMIFS(T_SelfStock[Self_Qty],T_SelfStock[RM_Code],$A1451,T_SelfStock[WeekIndex],39),"")</f>
        <v/>
      </c>
      <c r="AR1482">
        <f>IFERROR(SUMIFS(T_SelfStock[Self_Qty],T_SelfStock[RM_Code],$A1451,T_SelfStock[WeekIndex],40),"")</f>
        <v/>
      </c>
      <c r="AS1482">
        <f>IFERROR(SUMIFS(T_SelfStock[Self_Qty],T_SelfStock[RM_Code],$A1451,T_SelfStock[WeekIndex],41),"")</f>
        <v/>
      </c>
      <c r="AT1482">
        <f>IFERROR(SUMIFS(T_SelfStock[Self_Qty],T_SelfStock[RM_Code],$A1451,T_SelfStock[WeekIndex],42),"")</f>
        <v/>
      </c>
      <c r="AU1482">
        <f>IFERROR(SUMIFS(T_SelfStock[Self_Qty],T_SelfStock[RM_Code],$A1451,T_SelfStock[WeekIndex],43),"")</f>
        <v/>
      </c>
      <c r="AV1482">
        <f>IFERROR(SUMIFS(T_SelfStock[Self_Qty],T_SelfStock[RM_Code],$A1451,T_SelfStock[WeekIndex],44),"")</f>
        <v/>
      </c>
      <c r="AW1482">
        <f>IFERROR(SUMIFS(T_SelfStock[Self_Qty],T_SelfStock[RM_Code],$A1451,T_SelfStock[WeekIndex],45),"")</f>
        <v/>
      </c>
      <c r="AX1482">
        <f>IFERROR(SUMIFS(T_SelfStock[Self_Qty],T_SelfStock[RM_Code],$A1451,T_SelfStock[WeekIndex],46),"")</f>
        <v/>
      </c>
      <c r="AY1482">
        <f>IFERROR(SUMIFS(T_SelfStock[Self_Qty],T_SelfStock[RM_Code],$A1451,T_SelfStock[WeekIndex],47),"")</f>
        <v/>
      </c>
      <c r="AZ1482">
        <f>IFERROR(SUMIFS(T_SelfStock[Self_Qty],T_SelfStock[RM_Code],$A1451,T_SelfStock[WeekIndex],48),"")</f>
        <v/>
      </c>
      <c r="BA1482">
        <f>IFERROR(SUMIFS(T_SelfStock[Self_Qty],T_SelfStock[RM_Code],$A1451,T_SelfStock[WeekIndex],49),"")</f>
        <v/>
      </c>
      <c r="BB1482">
        <f>IFERROR(SUMIFS(T_SelfStock[Self_Qty],T_SelfStock[RM_Code],$A1451,T_SelfStock[WeekIndex],50),"")</f>
        <v/>
      </c>
      <c r="BC1482">
        <f>IFERROR(SUMIFS(T_SelfStock[Self_Qty],T_SelfStock[RM_Code],$A1451,T_SelfStock[WeekIndex],51),"")</f>
        <v/>
      </c>
      <c r="BD1482">
        <f>IFERROR(SUMIFS(T_SelfStock[Self_Qty],T_SelfStock[RM_Code],$A1451,T_SelfStock[WeekIndex],52),"")</f>
        <v/>
      </c>
      <c r="BE1482">
        <f>IFERROR(SUMIFS(T_SelfStock[Self_Qty],T_SelfStock[RM_Code],$A1451,T_SelfStock[WeekIndex],53),"")</f>
        <v/>
      </c>
      <c r="BF1482">
        <f>IFERROR(SUMIFS(T_SelfStock[Self_Qty],T_SelfStock[RM_Code],$A1451,T_SelfStock[WeekIndex],54),"")</f>
        <v/>
      </c>
      <c r="BG1482">
        <f>IFERROR(SUMIFS(T_SelfStock[Self_Qty],T_SelfStock[RM_Code],$A1451,T_SelfStock[WeekIndex],55),"")</f>
        <v/>
      </c>
      <c r="BH1482">
        <f>IFERROR(SUMIFS(T_SelfStock[Self_Qty],T_SelfStock[RM_Code],$A1451,T_SelfStock[WeekIndex],56),"")</f>
        <v/>
      </c>
      <c r="BI1482">
        <f>IFERROR(SUMIFS(T_SelfStock[Self_Qty],T_SelfStock[RM_Code],$A1451,T_SelfStock[WeekIndex],57),"")</f>
        <v/>
      </c>
      <c r="BJ1482">
        <f>IFERROR(SUMIFS(T_SelfStock[Self_Qty],T_SelfStock[RM_Code],$A1451,T_SelfStock[WeekIndex],58),"")</f>
        <v/>
      </c>
      <c r="BK1482">
        <f>IFERROR(SUMIFS(T_SelfStock[Self_Qty],T_SelfStock[RM_Code],$A1451,T_SelfStock[WeekIndex],59),"")</f>
        <v/>
      </c>
      <c r="BL1482">
        <f>IFERROR(SUMIFS(T_SelfStock[Self_Qty],T_SelfStock[RM_Code],$A1451,T_SelfStock[WeekIndex],60),"")</f>
        <v/>
      </c>
      <c r="BM1482">
        <f>IFERROR(SUMIFS(T_SelfStock[Self_Qty],T_SelfStock[RM_Code],$A1451,T_SelfStock[WeekIndex],61),"")</f>
        <v/>
      </c>
      <c r="BN1482">
        <f>IFERROR(SUMIFS(T_SelfStock[Self_Qty],T_SelfStock[RM_Code],$A1451,T_SelfStock[WeekIndex],62),"")</f>
        <v/>
      </c>
      <c r="BO1482">
        <f>IFERROR(SUMIFS(T_SelfStock[Self_Qty],T_SelfStock[RM_Code],$A1451,T_SelfStock[WeekIndex],63),"")</f>
        <v/>
      </c>
      <c r="BP1482">
        <f>IFERROR(SUMIFS(T_SelfStock[Self_Qty],T_SelfStock[RM_Code],$A1451,T_SelfStock[WeekIndex],64),"")</f>
        <v/>
      </c>
      <c r="BQ1482">
        <f>IFERROR(SUMIFS(T_SelfStock[Self_Qty],T_SelfStock[RM_Code],$A1451,T_SelfStock[WeekIndex],65),"")</f>
        <v/>
      </c>
      <c r="BR1482">
        <f>IFERROR(SUMIFS(T_SelfStock[Self_Qty],T_SelfStock[RM_Code],$A1451,T_SelfStock[WeekIndex],66),"")</f>
        <v/>
      </c>
      <c r="BS1482">
        <f>IFERROR(SUMIFS(T_SelfStock[Self_Qty],T_SelfStock[RM_Code],$A1451,T_SelfStock[WeekIndex],67),"")</f>
        <v/>
      </c>
      <c r="BT1482">
        <f>IFERROR(SUMIFS(T_SelfStock[Self_Qty],T_SelfStock[RM_Code],$A1451,T_SelfStock[WeekIndex],68),"")</f>
        <v/>
      </c>
      <c r="BU1482">
        <f>IFERROR(SUMIFS(T_SelfStock[Self_Qty],T_SelfStock[RM_Code],$A1451,T_SelfStock[WeekIndex],69),"")</f>
        <v/>
      </c>
      <c r="BV1482">
        <f>IFERROR(SUMIFS(T_SelfStock[Self_Qty],T_SelfStock[RM_Code],$A1451,T_SelfStock[WeekIndex],70),"")</f>
        <v/>
      </c>
      <c r="BW1482">
        <f>IFERROR(SUMIFS(T_SelfStock[Self_Qty],T_SelfStock[RM_Code],$A1451,T_SelfStock[WeekIndex],71),"")</f>
        <v/>
      </c>
      <c r="BX1482">
        <f>IFERROR(SUMIFS(T_SelfStock[Self_Qty],T_SelfStock[RM_Code],$A1451,T_SelfStock[WeekIndex],72),"")</f>
        <v/>
      </c>
      <c r="BY1482">
        <f>IFERROR(SUMIFS(T_SelfStock[Self_Qty],T_SelfStock[RM_Code],$A1451,T_SelfStock[WeekIndex],73),"")</f>
        <v/>
      </c>
      <c r="BZ1482">
        <f>IFERROR(SUMIFS(T_SelfStock[Self_Qty],T_SelfStock[RM_Code],$A1451,T_SelfStock[WeekIndex],74),"")</f>
        <v/>
      </c>
      <c r="CA1482">
        <f>IFERROR(SUMIFS(T_SelfStock[Self_Qty],T_SelfStock[RM_Code],$A1451,T_SelfStock[WeekIndex],75),"")</f>
        <v/>
      </c>
      <c r="CB1482">
        <f>IFERROR(SUMIFS(T_SelfStock[Self_Qty],T_SelfStock[RM_Code],$A1451,T_SelfStock[WeekIndex],76),"")</f>
        <v/>
      </c>
      <c r="CC1482">
        <f>IFERROR(SUMIFS(T_SelfStock[Self_Qty],T_SelfStock[RM_Code],$A1451,T_SelfStock[WeekIndex],77),"")</f>
        <v/>
      </c>
      <c r="CD1482">
        <f>IFERROR(SUMIFS(T_SelfStock[Self_Qty],T_SelfStock[RM_Code],$A1451,T_SelfStock[WeekIndex],78),"")</f>
        <v/>
      </c>
      <c r="CE1482">
        <f>IFERROR(SUMIFS(T_SelfStock[Self_Qty],T_SelfStock[RM_Code],$A1451,T_SelfStock[WeekIndex],79),"")</f>
        <v/>
      </c>
      <c r="CF1482">
        <f>IFERROR(SUMIFS(T_SelfStock[Self_Qty],T_SelfStock[RM_Code],$A1451,T_SelfStock[WeekIndex],80),"")</f>
        <v/>
      </c>
      <c r="CG1482">
        <f>IFERROR(SUMIFS(T_SelfStock[Self_Qty],T_SelfStock[RM_Code],$A1451,T_SelfStock[WeekIndex],81),"")</f>
        <v/>
      </c>
      <c r="CH1482">
        <f>IFERROR(SUMIFS(T_SelfStock[Self_Qty],T_SelfStock[RM_Code],$A1451,T_SelfStock[WeekIndex],82),"")</f>
        <v/>
      </c>
      <c r="CI1482">
        <f>IFERROR(SUMIFS(T_SelfStock[Self_Qty],T_SelfStock[RM_Code],$A1451,T_SelfStock[WeekIndex],83),"")</f>
        <v/>
      </c>
      <c r="CJ1482">
        <f>IFERROR(SUMIFS(T_SelfStock[Self_Qty],T_SelfStock[RM_Code],$A1451,T_SelfStock[WeekIndex],84),"")</f>
        <v/>
      </c>
      <c r="CK1482">
        <f>IFERROR(SUMIFS(T_SelfStock[Self_Qty],T_SelfStock[RM_Code],$A1451,T_SelfStock[WeekIndex],85),"")</f>
        <v/>
      </c>
      <c r="CL1482">
        <f>IFERROR(SUMIFS(T_SelfStock[Self_Qty],T_SelfStock[RM_Code],$A1451,T_SelfStock[WeekIndex],86),"")</f>
        <v/>
      </c>
      <c r="CM1482">
        <f>IFERROR(SUMIFS(T_SelfStock[Self_Qty],T_SelfStock[RM_Code],$A1451,T_SelfStock[WeekIndex],87),"")</f>
        <v/>
      </c>
      <c r="CN1482">
        <f>IFERROR(SUMIFS(T_SelfStock[Self_Qty],T_SelfStock[RM_Code],$A1451,T_SelfStock[WeekIndex],88),"")</f>
        <v/>
      </c>
      <c r="CO1482">
        <f>IFERROR(SUMIFS(T_SelfStock[Self_Qty],T_SelfStock[RM_Code],$A1451,T_SelfStock[WeekIndex],89),"")</f>
        <v/>
      </c>
      <c r="CP1482">
        <f>IFERROR(SUMIFS(T_SelfStock[Self_Qty],T_SelfStock[RM_Code],$A1451,T_SelfStock[WeekIndex],90),"")</f>
        <v/>
      </c>
      <c r="CQ1482">
        <f>IFERROR(SUMIFS(T_SelfStock[Self_Qty],T_SelfStock[RM_Code],$A1451,T_SelfStock[WeekIndex],91),"")</f>
        <v/>
      </c>
      <c r="CR1482">
        <f>IFERROR(SUMIFS(T_SelfStock[Self_Qty],T_SelfStock[RM_Code],$A1451,T_SelfStock[WeekIndex],92),"")</f>
        <v/>
      </c>
      <c r="CS1482">
        <f>IFERROR(SUMIFS(T_SelfStock[Self_Qty],T_SelfStock[RM_Code],$A1451,T_SelfStock[WeekIndex],93),"")</f>
        <v/>
      </c>
      <c r="CT1482">
        <f>IFERROR(SUMIFS(T_SelfStock[Self_Qty],T_SelfStock[RM_Code],$A1451,T_SelfStock[WeekIndex],94),"")</f>
        <v/>
      </c>
      <c r="CU1482">
        <f>IFERROR(SUMIFS(T_SelfStock[Self_Qty],T_SelfStock[RM_Code],$A1451,T_SelfStock[WeekIndex],95),"")</f>
        <v/>
      </c>
      <c r="CV1482">
        <f>IFERROR(SUMIFS(T_SelfStock[Self_Qty],T_SelfStock[RM_Code],$A1451,T_SelfStock[WeekIndex],96),"")</f>
        <v/>
      </c>
      <c r="CW1482">
        <f>IFERROR(SUMIFS(T_SelfStock[Self_Qty],T_SelfStock[RM_Code],$A1451,T_SelfStock[WeekIndex],97),"")</f>
        <v/>
      </c>
      <c r="CX1482">
        <f>IFERROR(SUMIFS(T_SelfStock[Self_Qty],T_SelfStock[RM_Code],$A1451,T_SelfStock[WeekIndex],98),"")</f>
        <v/>
      </c>
      <c r="CY1482">
        <f>IFERROR(SUMIFS(T_SelfStock[Self_Qty],T_SelfStock[RM_Code],$A1451,T_SelfStock[WeekIndex],99),"")</f>
        <v/>
      </c>
      <c r="CZ1482">
        <f>IFERROR(SUMIFS(T_SelfStock[Self_Qty],T_SelfStock[RM_Code],$A1451,T_SelfStock[WeekIndex],100),"")</f>
        <v/>
      </c>
      <c r="DA1482">
        <f>IFERROR(SUMIFS(T_SelfStock[Self_Qty],T_SelfStock[RM_Code],$A1451,T_SelfStock[WeekIndex],101),"")</f>
        <v/>
      </c>
      <c r="DB1482">
        <f>IFERROR(SUMIFS(T_SelfStock[Self_Qty],T_SelfStock[RM_Code],$A1451,T_SelfStock[WeekIndex],102),"")</f>
        <v/>
      </c>
      <c r="DC1482">
        <f>IFERROR(SUMIFS(T_SelfStock[Self_Qty],T_SelfStock[RM_Code],$A1451,T_SelfStock[WeekIndex],103),"")</f>
        <v/>
      </c>
      <c r="DD1482">
        <f>IFERROR(SUMIFS(T_SelfStock[Self_Qty],T_SelfStock[RM_Code],$A1451,T_SelfStock[WeekIndex],104),"")</f>
        <v/>
      </c>
    </row>
    <row r="1483">
      <c r="B1483" s="4" t="inlineStr">
        <is>
          <t>合計在庫(週末時点,kg)</t>
        </is>
      </c>
      <c r="D1483" s="24">
        <f>IFERROR(INDEX(E1483:DD1483,$F$1),"")</f>
        <v/>
      </c>
      <c r="E1483">
        <f>'Grid_Stock'!B70</f>
        <v/>
      </c>
      <c r="F1483">
        <f>'Grid_Stock'!C70</f>
        <v/>
      </c>
      <c r="G1483">
        <f>'Grid_Stock'!D70</f>
        <v/>
      </c>
      <c r="H1483">
        <f>'Grid_Stock'!E70</f>
        <v/>
      </c>
      <c r="I1483">
        <f>'Grid_Stock'!F70</f>
        <v/>
      </c>
      <c r="J1483">
        <f>'Grid_Stock'!G70</f>
        <v/>
      </c>
      <c r="K1483">
        <f>'Grid_Stock'!H70</f>
        <v/>
      </c>
      <c r="L1483">
        <f>'Grid_Stock'!I70</f>
        <v/>
      </c>
      <c r="M1483">
        <f>'Grid_Stock'!J70</f>
        <v/>
      </c>
      <c r="N1483">
        <f>'Grid_Stock'!K70</f>
        <v/>
      </c>
      <c r="O1483">
        <f>'Grid_Stock'!L70</f>
        <v/>
      </c>
      <c r="P1483">
        <f>'Grid_Stock'!M70</f>
        <v/>
      </c>
      <c r="Q1483">
        <f>'Grid_Stock'!N70</f>
        <v/>
      </c>
      <c r="R1483">
        <f>'Grid_Stock'!O70</f>
        <v/>
      </c>
      <c r="S1483">
        <f>'Grid_Stock'!P70</f>
        <v/>
      </c>
      <c r="T1483">
        <f>'Grid_Stock'!Q70</f>
        <v/>
      </c>
      <c r="U1483">
        <f>'Grid_Stock'!R70</f>
        <v/>
      </c>
      <c r="V1483">
        <f>'Grid_Stock'!S70</f>
        <v/>
      </c>
      <c r="W1483">
        <f>'Grid_Stock'!T70</f>
        <v/>
      </c>
      <c r="X1483">
        <f>'Grid_Stock'!U70</f>
        <v/>
      </c>
      <c r="Y1483">
        <f>'Grid_Stock'!V70</f>
        <v/>
      </c>
      <c r="Z1483">
        <f>'Grid_Stock'!W70</f>
        <v/>
      </c>
      <c r="AA1483">
        <f>'Grid_Stock'!X70</f>
        <v/>
      </c>
      <c r="AB1483">
        <f>'Grid_Stock'!Y70</f>
        <v/>
      </c>
      <c r="AC1483">
        <f>'Grid_Stock'!Z70</f>
        <v/>
      </c>
      <c r="AD1483">
        <f>'Grid_Stock'!AA70</f>
        <v/>
      </c>
      <c r="AE1483">
        <f>'Grid_Stock'!AB70</f>
        <v/>
      </c>
      <c r="AF1483">
        <f>'Grid_Stock'!AC70</f>
        <v/>
      </c>
      <c r="AG1483">
        <f>'Grid_Stock'!AD70</f>
        <v/>
      </c>
      <c r="AH1483">
        <f>'Grid_Stock'!AE70</f>
        <v/>
      </c>
      <c r="AI1483">
        <f>'Grid_Stock'!AF70</f>
        <v/>
      </c>
      <c r="AJ1483">
        <f>'Grid_Stock'!AG70</f>
        <v/>
      </c>
      <c r="AK1483">
        <f>'Grid_Stock'!AH70</f>
        <v/>
      </c>
      <c r="AL1483">
        <f>'Grid_Stock'!AI70</f>
        <v/>
      </c>
      <c r="AM1483">
        <f>'Grid_Stock'!AJ70</f>
        <v/>
      </c>
      <c r="AN1483">
        <f>'Grid_Stock'!AK70</f>
        <v/>
      </c>
      <c r="AO1483">
        <f>'Grid_Stock'!AL70</f>
        <v/>
      </c>
      <c r="AP1483">
        <f>'Grid_Stock'!AM70</f>
        <v/>
      </c>
      <c r="AQ1483">
        <f>'Grid_Stock'!AN70</f>
        <v/>
      </c>
      <c r="AR1483">
        <f>'Grid_Stock'!AO70</f>
        <v/>
      </c>
      <c r="AS1483">
        <f>'Grid_Stock'!AP70</f>
        <v/>
      </c>
      <c r="AT1483">
        <f>'Grid_Stock'!AQ70</f>
        <v/>
      </c>
      <c r="AU1483">
        <f>'Grid_Stock'!AR70</f>
        <v/>
      </c>
      <c r="AV1483">
        <f>'Grid_Stock'!AS70</f>
        <v/>
      </c>
      <c r="AW1483">
        <f>'Grid_Stock'!AT70</f>
        <v/>
      </c>
      <c r="AX1483">
        <f>'Grid_Stock'!AU70</f>
        <v/>
      </c>
      <c r="AY1483">
        <f>'Grid_Stock'!AV70</f>
        <v/>
      </c>
      <c r="AZ1483">
        <f>'Grid_Stock'!AW70</f>
        <v/>
      </c>
      <c r="BA1483">
        <f>'Grid_Stock'!AX70</f>
        <v/>
      </c>
      <c r="BB1483">
        <f>'Grid_Stock'!AY70</f>
        <v/>
      </c>
      <c r="BC1483">
        <f>'Grid_Stock'!AZ70</f>
        <v/>
      </c>
      <c r="BD1483">
        <f>'Grid_Stock'!BA70</f>
        <v/>
      </c>
      <c r="BE1483">
        <f>'Grid_Stock'!BB70</f>
        <v/>
      </c>
      <c r="BF1483">
        <f>'Grid_Stock'!BC70</f>
        <v/>
      </c>
      <c r="BG1483">
        <f>'Grid_Stock'!BD70</f>
        <v/>
      </c>
      <c r="BH1483">
        <f>'Grid_Stock'!BE70</f>
        <v/>
      </c>
      <c r="BI1483">
        <f>'Grid_Stock'!BF70</f>
        <v/>
      </c>
      <c r="BJ1483">
        <f>'Grid_Stock'!BG70</f>
        <v/>
      </c>
      <c r="BK1483">
        <f>'Grid_Stock'!BH70</f>
        <v/>
      </c>
      <c r="BL1483">
        <f>'Grid_Stock'!BI70</f>
        <v/>
      </c>
      <c r="BM1483">
        <f>'Grid_Stock'!BJ70</f>
        <v/>
      </c>
      <c r="BN1483">
        <f>'Grid_Stock'!BK70</f>
        <v/>
      </c>
      <c r="BO1483">
        <f>'Grid_Stock'!BL70</f>
        <v/>
      </c>
      <c r="BP1483">
        <f>'Grid_Stock'!BM70</f>
        <v/>
      </c>
      <c r="BQ1483">
        <f>'Grid_Stock'!BN70</f>
        <v/>
      </c>
      <c r="BR1483">
        <f>'Grid_Stock'!BO70</f>
        <v/>
      </c>
      <c r="BS1483">
        <f>'Grid_Stock'!BP70</f>
        <v/>
      </c>
      <c r="BT1483">
        <f>'Grid_Stock'!BQ70</f>
        <v/>
      </c>
      <c r="BU1483">
        <f>'Grid_Stock'!BR70</f>
        <v/>
      </c>
      <c r="BV1483">
        <f>'Grid_Stock'!BS70</f>
        <v/>
      </c>
      <c r="BW1483">
        <f>'Grid_Stock'!BT70</f>
        <v/>
      </c>
      <c r="BX1483">
        <f>'Grid_Stock'!BU70</f>
        <v/>
      </c>
      <c r="BY1483">
        <f>'Grid_Stock'!BV70</f>
        <v/>
      </c>
      <c r="BZ1483">
        <f>'Grid_Stock'!BW70</f>
        <v/>
      </c>
      <c r="CA1483">
        <f>'Grid_Stock'!BX70</f>
        <v/>
      </c>
      <c r="CB1483">
        <f>'Grid_Stock'!BY70</f>
        <v/>
      </c>
      <c r="CC1483">
        <f>'Grid_Stock'!BZ70</f>
        <v/>
      </c>
      <c r="CD1483">
        <f>'Grid_Stock'!CA70</f>
        <v/>
      </c>
      <c r="CE1483">
        <f>'Grid_Stock'!CB70</f>
        <v/>
      </c>
      <c r="CF1483">
        <f>'Grid_Stock'!CC70</f>
        <v/>
      </c>
      <c r="CG1483">
        <f>'Grid_Stock'!CD70</f>
        <v/>
      </c>
      <c r="CH1483">
        <f>'Grid_Stock'!CE70</f>
        <v/>
      </c>
      <c r="CI1483">
        <f>'Grid_Stock'!CF70</f>
        <v/>
      </c>
      <c r="CJ1483">
        <f>'Grid_Stock'!CG70</f>
        <v/>
      </c>
      <c r="CK1483">
        <f>'Grid_Stock'!CH70</f>
        <v/>
      </c>
      <c r="CL1483">
        <f>'Grid_Stock'!CI70</f>
        <v/>
      </c>
      <c r="CM1483">
        <f>'Grid_Stock'!CJ70</f>
        <v/>
      </c>
      <c r="CN1483">
        <f>'Grid_Stock'!CK70</f>
        <v/>
      </c>
      <c r="CO1483">
        <f>'Grid_Stock'!CL70</f>
        <v/>
      </c>
      <c r="CP1483">
        <f>'Grid_Stock'!CM70</f>
        <v/>
      </c>
      <c r="CQ1483">
        <f>'Grid_Stock'!CN70</f>
        <v/>
      </c>
      <c r="CR1483">
        <f>'Grid_Stock'!CO70</f>
        <v/>
      </c>
      <c r="CS1483">
        <f>'Grid_Stock'!CP70</f>
        <v/>
      </c>
      <c r="CT1483">
        <f>'Grid_Stock'!CQ70</f>
        <v/>
      </c>
      <c r="CU1483">
        <f>'Grid_Stock'!CR70</f>
        <v/>
      </c>
      <c r="CV1483">
        <f>'Grid_Stock'!CS70</f>
        <v/>
      </c>
      <c r="CW1483">
        <f>'Grid_Stock'!CT70</f>
        <v/>
      </c>
      <c r="CX1483">
        <f>'Grid_Stock'!CU70</f>
        <v/>
      </c>
      <c r="CY1483">
        <f>'Grid_Stock'!CV70</f>
        <v/>
      </c>
      <c r="CZ1483">
        <f>'Grid_Stock'!CW70</f>
        <v/>
      </c>
      <c r="DA1483">
        <f>'Grid_Stock'!CX70</f>
        <v/>
      </c>
      <c r="DB1483">
        <f>'Grid_Stock'!CY70</f>
        <v/>
      </c>
      <c r="DC1483">
        <f>'Grid_Stock'!CZ70</f>
        <v/>
      </c>
      <c r="DD1483">
        <f>'Grid_Stock'!DA70</f>
        <v/>
      </c>
    </row>
    <row r="1484">
      <c r="B1484" s="25" t="inlineStr">
        <is>
          <t>（発注の目安はDashboardの基準在庫[下限/上限]と色分けを参照）</t>
        </is>
      </c>
    </row>
    <row r="1486">
      <c r="A1486" s="21" t="inlineStr">
        <is>
          <t>CHEM-1740</t>
        </is>
      </c>
      <c r="B1486" s="21" t="inlineStr">
        <is>
          <t>Alumax GX-L1</t>
        </is>
      </c>
      <c r="C1486" s="22" t="n"/>
      <c r="D1486" s="21" t="n"/>
      <c r="E1486" s="21" t="n"/>
      <c r="F1486" s="21" t="n"/>
      <c r="G1486" s="21" t="n"/>
      <c r="H1486" s="21" t="n"/>
      <c r="I1486" s="21" t="n"/>
      <c r="J1486" s="21" t="n"/>
      <c r="K1486" s="21" t="n"/>
      <c r="L1486" s="21" t="n"/>
      <c r="M1486" s="21" t="n"/>
      <c r="N1486" s="21" t="n"/>
      <c r="O1486" s="21" t="n"/>
      <c r="P1486" s="21" t="n"/>
      <c r="Q1486" s="21" t="n"/>
      <c r="R1486" s="21" t="n"/>
      <c r="S1486" s="21" t="n"/>
      <c r="T1486" s="21" t="n"/>
      <c r="U1486" s="21" t="n"/>
      <c r="V1486" s="21" t="n"/>
      <c r="W1486" s="21" t="n"/>
      <c r="X1486" s="21" t="n"/>
      <c r="Y1486" s="21" t="n"/>
      <c r="Z1486" s="21" t="n"/>
      <c r="AA1486" s="21" t="n"/>
      <c r="AB1486" s="21" t="n"/>
      <c r="AC1486" s="21" t="n"/>
      <c r="AD1486" s="21" t="n"/>
      <c r="AE1486" s="21" t="n"/>
      <c r="AF1486" s="21" t="n"/>
      <c r="AG1486" s="21" t="n"/>
      <c r="AH1486" s="21" t="n"/>
      <c r="AI1486" s="21" t="n"/>
      <c r="AJ1486" s="21" t="n"/>
      <c r="AK1486" s="21" t="n"/>
      <c r="AL1486" s="21" t="n"/>
      <c r="AM1486" s="21" t="n"/>
      <c r="AN1486" s="21" t="n"/>
      <c r="AO1486" s="21" t="n"/>
      <c r="AP1486" s="21" t="n"/>
      <c r="AQ1486" s="21" t="n"/>
      <c r="AR1486" s="21" t="n"/>
      <c r="AS1486" s="21" t="n"/>
      <c r="AT1486" s="21" t="n"/>
      <c r="AU1486" s="21" t="n"/>
      <c r="AV1486" s="21" t="n"/>
      <c r="AW1486" s="21" t="n"/>
      <c r="AX1486" s="21" t="n"/>
      <c r="AY1486" s="21" t="n"/>
      <c r="AZ1486" s="21" t="n"/>
      <c r="BA1486" s="21" t="n"/>
      <c r="BB1486" s="21" t="n"/>
      <c r="BC1486" s="21" t="n"/>
      <c r="BD1486" s="21" t="n"/>
      <c r="BE1486" s="21" t="n"/>
      <c r="BF1486" s="21" t="n"/>
      <c r="BG1486" s="21" t="n"/>
      <c r="BH1486" s="21" t="n"/>
      <c r="BI1486" s="21" t="n"/>
      <c r="BJ1486" s="21" t="n"/>
      <c r="BK1486" s="21" t="n"/>
      <c r="BL1486" s="21" t="n"/>
      <c r="BM1486" s="21" t="n"/>
      <c r="BN1486" s="21" t="n"/>
      <c r="BO1486" s="21" t="n"/>
      <c r="BP1486" s="21" t="n"/>
      <c r="BQ1486" s="21" t="n"/>
      <c r="BR1486" s="21" t="n"/>
      <c r="BS1486" s="21" t="n"/>
      <c r="BT1486" s="21" t="n"/>
      <c r="BU1486" s="21" t="n"/>
      <c r="BV1486" s="21" t="n"/>
      <c r="BW1486" s="21" t="n"/>
      <c r="BX1486" s="21" t="n"/>
      <c r="BY1486" s="21" t="n"/>
      <c r="BZ1486" s="21" t="n"/>
      <c r="CA1486" s="21" t="n"/>
      <c r="CB1486" s="21" t="n"/>
      <c r="CC1486" s="21" t="n"/>
      <c r="CD1486" s="21" t="n"/>
      <c r="CE1486" s="21" t="n"/>
      <c r="CF1486" s="21" t="n"/>
      <c r="CG1486" s="21" t="n"/>
      <c r="CH1486" s="21" t="n"/>
      <c r="CI1486" s="21" t="n"/>
      <c r="CJ1486" s="21" t="n"/>
      <c r="CK1486" s="21" t="n"/>
      <c r="CL1486" s="21" t="n"/>
      <c r="CM1486" s="21" t="n"/>
      <c r="CN1486" s="21" t="n"/>
      <c r="CO1486" s="21" t="n"/>
      <c r="CP1486" s="21" t="n"/>
      <c r="CQ1486" s="21" t="n"/>
      <c r="CR1486" s="21" t="n"/>
      <c r="CS1486" s="21" t="n"/>
      <c r="CT1486" s="21" t="n"/>
      <c r="CU1486" s="21" t="n"/>
      <c r="CV1486" s="21" t="n"/>
      <c r="CW1486" s="21" t="n"/>
      <c r="CX1486" s="21" t="n"/>
      <c r="CY1486" s="21" t="n"/>
      <c r="CZ1486" s="21" t="n"/>
      <c r="DA1486" s="21" t="n"/>
      <c r="DB1486" s="21" t="n"/>
      <c r="DC1486" s="21" t="n"/>
      <c r="DD1486" s="21" t="n"/>
    </row>
    <row r="1487">
      <c r="B1487" t="inlineStr">
        <is>
          <t>TSP-927</t>
        </is>
      </c>
      <c r="C1487" t="inlineStr">
        <is>
          <t>No. of batches</t>
        </is>
      </c>
      <c r="D1487">
        <f>IFERROR(INDEX(E1487:DD1487,$F$1),"")</f>
        <v/>
      </c>
      <c r="E1487">
        <f>IFERROR(INDEX(PP_Grid[#Data],$DE1487,2),0)</f>
        <v/>
      </c>
      <c r="F1487">
        <f>IFERROR(INDEX(PP_Grid[#Data],$DE1487,3),0)</f>
        <v/>
      </c>
      <c r="G1487">
        <f>IFERROR(INDEX(PP_Grid[#Data],$DE1487,4),0)</f>
        <v/>
      </c>
      <c r="H1487">
        <f>IFERROR(INDEX(PP_Grid[#Data],$DE1487,5),0)</f>
        <v/>
      </c>
      <c r="I1487">
        <f>IFERROR(INDEX(PP_Grid[#Data],$DE1487,6),0)</f>
        <v/>
      </c>
      <c r="J1487">
        <f>IFERROR(INDEX(PP_Grid[#Data],$DE1487,7),0)</f>
        <v/>
      </c>
      <c r="K1487">
        <f>IFERROR(INDEX(PP_Grid[#Data],$DE1487,8),0)</f>
        <v/>
      </c>
      <c r="L1487">
        <f>IFERROR(INDEX(PP_Grid[#Data],$DE1487,9),0)</f>
        <v/>
      </c>
      <c r="M1487">
        <f>IFERROR(INDEX(PP_Grid[#Data],$DE1487,10),0)</f>
        <v/>
      </c>
      <c r="N1487">
        <f>IFERROR(INDEX(PP_Grid[#Data],$DE1487,11),0)</f>
        <v/>
      </c>
      <c r="O1487">
        <f>IFERROR(INDEX(PP_Grid[#Data],$DE1487,12),0)</f>
        <v/>
      </c>
      <c r="P1487">
        <f>IFERROR(INDEX(PP_Grid[#Data],$DE1487,13),0)</f>
        <v/>
      </c>
      <c r="Q1487">
        <f>IFERROR(INDEX(PP_Grid[#Data],$DE1487,14),0)</f>
        <v/>
      </c>
      <c r="R1487">
        <f>IFERROR(INDEX(PP_Grid[#Data],$DE1487,15),0)</f>
        <v/>
      </c>
      <c r="S1487">
        <f>IFERROR(INDEX(PP_Grid[#Data],$DE1487,16),0)</f>
        <v/>
      </c>
      <c r="T1487">
        <f>IFERROR(INDEX(PP_Grid[#Data],$DE1487,17),0)</f>
        <v/>
      </c>
      <c r="U1487">
        <f>IFERROR(INDEX(PP_Grid[#Data],$DE1487,18),0)</f>
        <v/>
      </c>
      <c r="V1487">
        <f>IFERROR(INDEX(PP_Grid[#Data],$DE1487,19),0)</f>
        <v/>
      </c>
      <c r="W1487">
        <f>IFERROR(INDEX(PP_Grid[#Data],$DE1487,20),0)</f>
        <v/>
      </c>
      <c r="X1487">
        <f>IFERROR(INDEX(PP_Grid[#Data],$DE1487,21),0)</f>
        <v/>
      </c>
      <c r="Y1487">
        <f>IFERROR(INDEX(PP_Grid[#Data],$DE1487,22),0)</f>
        <v/>
      </c>
      <c r="Z1487">
        <f>IFERROR(INDEX(PP_Grid[#Data],$DE1487,23),0)</f>
        <v/>
      </c>
      <c r="AA1487">
        <f>IFERROR(INDEX(PP_Grid[#Data],$DE1487,24),0)</f>
        <v/>
      </c>
      <c r="AB1487">
        <f>IFERROR(INDEX(PP_Grid[#Data],$DE1487,25),0)</f>
        <v/>
      </c>
      <c r="AC1487">
        <f>IFERROR(INDEX(PP_Grid[#Data],$DE1487,26),0)</f>
        <v/>
      </c>
      <c r="AD1487">
        <f>IFERROR(INDEX(PP_Grid[#Data],$DE1487,27),0)</f>
        <v/>
      </c>
      <c r="AE1487">
        <f>IFERROR(INDEX(PP_Grid[#Data],$DE1487,28),0)</f>
        <v/>
      </c>
      <c r="AF1487">
        <f>IFERROR(INDEX(PP_Grid[#Data],$DE1487,29),0)</f>
        <v/>
      </c>
      <c r="AG1487">
        <f>IFERROR(INDEX(PP_Grid[#Data],$DE1487,30),0)</f>
        <v/>
      </c>
      <c r="AH1487">
        <f>IFERROR(INDEX(PP_Grid[#Data],$DE1487,31),0)</f>
        <v/>
      </c>
      <c r="AI1487">
        <f>IFERROR(INDEX(PP_Grid[#Data],$DE1487,32),0)</f>
        <v/>
      </c>
      <c r="AJ1487">
        <f>IFERROR(INDEX(PP_Grid[#Data],$DE1487,33),0)</f>
        <v/>
      </c>
      <c r="AK1487">
        <f>IFERROR(INDEX(PP_Grid[#Data],$DE1487,34),0)</f>
        <v/>
      </c>
      <c r="AL1487">
        <f>IFERROR(INDEX(PP_Grid[#Data],$DE1487,35),0)</f>
        <v/>
      </c>
      <c r="AM1487">
        <f>IFERROR(INDEX(PP_Grid[#Data],$DE1487,36),0)</f>
        <v/>
      </c>
      <c r="AN1487">
        <f>IFERROR(INDEX(PP_Grid[#Data],$DE1487,37),0)</f>
        <v/>
      </c>
      <c r="AO1487">
        <f>IFERROR(INDEX(PP_Grid[#Data],$DE1487,38),0)</f>
        <v/>
      </c>
      <c r="AP1487">
        <f>IFERROR(INDEX(PP_Grid[#Data],$DE1487,39),0)</f>
        <v/>
      </c>
      <c r="AQ1487">
        <f>IFERROR(INDEX(PP_Grid[#Data],$DE1487,40),0)</f>
        <v/>
      </c>
      <c r="AR1487">
        <f>IFERROR(INDEX(PP_Grid[#Data],$DE1487,41),0)</f>
        <v/>
      </c>
      <c r="AS1487">
        <f>IFERROR(INDEX(PP_Grid[#Data],$DE1487,42),0)</f>
        <v/>
      </c>
      <c r="AT1487">
        <f>IFERROR(INDEX(PP_Grid[#Data],$DE1487,43),0)</f>
        <v/>
      </c>
      <c r="AU1487">
        <f>IFERROR(INDEX(PP_Grid[#Data],$DE1487,44),0)</f>
        <v/>
      </c>
      <c r="AV1487">
        <f>IFERROR(INDEX(PP_Grid[#Data],$DE1487,45),0)</f>
        <v/>
      </c>
      <c r="AW1487">
        <f>IFERROR(INDEX(PP_Grid[#Data],$DE1487,46),0)</f>
        <v/>
      </c>
      <c r="AX1487">
        <f>IFERROR(INDEX(PP_Grid[#Data],$DE1487,47),0)</f>
        <v/>
      </c>
      <c r="AY1487">
        <f>IFERROR(INDEX(PP_Grid[#Data],$DE1487,48),0)</f>
        <v/>
      </c>
      <c r="AZ1487">
        <f>IFERROR(INDEX(PP_Grid[#Data],$DE1487,49),0)</f>
        <v/>
      </c>
      <c r="BA1487">
        <f>IFERROR(INDEX(PP_Grid[#Data],$DE1487,50),0)</f>
        <v/>
      </c>
      <c r="BB1487">
        <f>IFERROR(INDEX(PP_Grid[#Data],$DE1487,51),0)</f>
        <v/>
      </c>
      <c r="BC1487">
        <f>IFERROR(INDEX(PP_Grid[#Data],$DE1487,52),0)</f>
        <v/>
      </c>
      <c r="BD1487">
        <f>IFERROR(INDEX(PP_Grid[#Data],$DE1487,53),0)</f>
        <v/>
      </c>
      <c r="BE1487">
        <f>IFERROR(INDEX(PP_Grid[#Data],$DE1487,54),0)</f>
        <v/>
      </c>
      <c r="BF1487">
        <f>IFERROR(INDEX(PP_Grid[#Data],$DE1487,55),0)</f>
        <v/>
      </c>
      <c r="BG1487">
        <f>IFERROR(INDEX(PP_Grid[#Data],$DE1487,56),0)</f>
        <v/>
      </c>
      <c r="BH1487">
        <f>IFERROR(INDEX(PP_Grid[#Data],$DE1487,57),0)</f>
        <v/>
      </c>
      <c r="BI1487">
        <f>IFERROR(INDEX(PP_Grid[#Data],$DE1487,58),0)</f>
        <v/>
      </c>
      <c r="BJ1487">
        <f>IFERROR(INDEX(PP_Grid[#Data],$DE1487,59),0)</f>
        <v/>
      </c>
      <c r="BK1487">
        <f>IFERROR(INDEX(PP_Grid[#Data],$DE1487,60),0)</f>
        <v/>
      </c>
      <c r="BL1487">
        <f>IFERROR(INDEX(PP_Grid[#Data],$DE1487,61),0)</f>
        <v/>
      </c>
      <c r="BM1487">
        <f>IFERROR(INDEX(PP_Grid[#Data],$DE1487,62),0)</f>
        <v/>
      </c>
      <c r="BN1487">
        <f>IFERROR(INDEX(PP_Grid[#Data],$DE1487,63),0)</f>
        <v/>
      </c>
      <c r="BO1487">
        <f>IFERROR(INDEX(PP_Grid[#Data],$DE1487,64),0)</f>
        <v/>
      </c>
      <c r="BP1487">
        <f>IFERROR(INDEX(PP_Grid[#Data],$DE1487,65),0)</f>
        <v/>
      </c>
      <c r="BQ1487">
        <f>IFERROR(INDEX(PP_Grid[#Data],$DE1487,66),0)</f>
        <v/>
      </c>
      <c r="BR1487">
        <f>IFERROR(INDEX(PP_Grid[#Data],$DE1487,67),0)</f>
        <v/>
      </c>
      <c r="BS1487">
        <f>IFERROR(INDEX(PP_Grid[#Data],$DE1487,68),0)</f>
        <v/>
      </c>
      <c r="BT1487">
        <f>IFERROR(INDEX(PP_Grid[#Data],$DE1487,69),0)</f>
        <v/>
      </c>
      <c r="BU1487">
        <f>IFERROR(INDEX(PP_Grid[#Data],$DE1487,70),0)</f>
        <v/>
      </c>
      <c r="BV1487">
        <f>IFERROR(INDEX(PP_Grid[#Data],$DE1487,71),0)</f>
        <v/>
      </c>
      <c r="BW1487">
        <f>IFERROR(INDEX(PP_Grid[#Data],$DE1487,72),0)</f>
        <v/>
      </c>
      <c r="BX1487">
        <f>IFERROR(INDEX(PP_Grid[#Data],$DE1487,73),0)</f>
        <v/>
      </c>
      <c r="BY1487">
        <f>IFERROR(INDEX(PP_Grid[#Data],$DE1487,74),0)</f>
        <v/>
      </c>
      <c r="BZ1487">
        <f>IFERROR(INDEX(PP_Grid[#Data],$DE1487,75),0)</f>
        <v/>
      </c>
      <c r="CA1487">
        <f>IFERROR(INDEX(PP_Grid[#Data],$DE1487,76),0)</f>
        <v/>
      </c>
      <c r="CB1487">
        <f>IFERROR(INDEX(PP_Grid[#Data],$DE1487,77),0)</f>
        <v/>
      </c>
      <c r="CC1487">
        <f>IFERROR(INDEX(PP_Grid[#Data],$DE1487,78),0)</f>
        <v/>
      </c>
      <c r="CD1487">
        <f>IFERROR(INDEX(PP_Grid[#Data],$DE1487,79),0)</f>
        <v/>
      </c>
      <c r="CE1487">
        <f>IFERROR(INDEX(PP_Grid[#Data],$DE1487,80),0)</f>
        <v/>
      </c>
      <c r="CF1487">
        <f>IFERROR(INDEX(PP_Grid[#Data],$DE1487,81),0)</f>
        <v/>
      </c>
      <c r="CG1487">
        <f>IFERROR(INDEX(PP_Grid[#Data],$DE1487,82),0)</f>
        <v/>
      </c>
      <c r="CH1487">
        <f>IFERROR(INDEX(PP_Grid[#Data],$DE1487,83),0)</f>
        <v/>
      </c>
      <c r="CI1487">
        <f>IFERROR(INDEX(PP_Grid[#Data],$DE1487,84),0)</f>
        <v/>
      </c>
      <c r="CJ1487">
        <f>IFERROR(INDEX(PP_Grid[#Data],$DE1487,85),0)</f>
        <v/>
      </c>
      <c r="CK1487">
        <f>IFERROR(INDEX(PP_Grid[#Data],$DE1487,86),0)</f>
        <v/>
      </c>
      <c r="CL1487">
        <f>IFERROR(INDEX(PP_Grid[#Data],$DE1487,87),0)</f>
        <v/>
      </c>
      <c r="CM1487">
        <f>IFERROR(INDEX(PP_Grid[#Data],$DE1487,88),0)</f>
        <v/>
      </c>
      <c r="CN1487">
        <f>IFERROR(INDEX(PP_Grid[#Data],$DE1487,89),0)</f>
        <v/>
      </c>
      <c r="CO1487">
        <f>IFERROR(INDEX(PP_Grid[#Data],$DE1487,90),0)</f>
        <v/>
      </c>
      <c r="CP1487">
        <f>IFERROR(INDEX(PP_Grid[#Data],$DE1487,91),0)</f>
        <v/>
      </c>
      <c r="CQ1487">
        <f>IFERROR(INDEX(PP_Grid[#Data],$DE1487,92),0)</f>
        <v/>
      </c>
      <c r="CR1487">
        <f>IFERROR(INDEX(PP_Grid[#Data],$DE1487,93),0)</f>
        <v/>
      </c>
      <c r="CS1487">
        <f>IFERROR(INDEX(PP_Grid[#Data],$DE1487,94),0)</f>
        <v/>
      </c>
      <c r="CT1487">
        <f>IFERROR(INDEX(PP_Grid[#Data],$DE1487,95),0)</f>
        <v/>
      </c>
      <c r="CU1487">
        <f>IFERROR(INDEX(PP_Grid[#Data],$DE1487,96),0)</f>
        <v/>
      </c>
      <c r="CV1487">
        <f>IFERROR(INDEX(PP_Grid[#Data],$DE1487,97),0)</f>
        <v/>
      </c>
      <c r="CW1487">
        <f>IFERROR(INDEX(PP_Grid[#Data],$DE1487,98),0)</f>
        <v/>
      </c>
      <c r="CX1487">
        <f>IFERROR(INDEX(PP_Grid[#Data],$DE1487,99),0)</f>
        <v/>
      </c>
      <c r="CY1487">
        <f>IFERROR(INDEX(PP_Grid[#Data],$DE1487,100),0)</f>
        <v/>
      </c>
      <c r="CZ1487">
        <f>IFERROR(INDEX(PP_Grid[#Data],$DE1487,101),0)</f>
        <v/>
      </c>
      <c r="DA1487">
        <f>IFERROR(INDEX(PP_Grid[#Data],$DE1487,102),0)</f>
        <v/>
      </c>
      <c r="DB1487">
        <f>IFERROR(INDEX(PP_Grid[#Data],$DE1487,103),0)</f>
        <v/>
      </c>
      <c r="DC1487">
        <f>IFERROR(INDEX(PP_Grid[#Data],$DE1487,104),0)</f>
        <v/>
      </c>
      <c r="DD1487">
        <f>IFERROR(INDEX(PP_Grid[#Data],$DE1487,105),0)</f>
        <v/>
      </c>
      <c r="DE1487" s="7">
        <f>IFERROR(MATCH($B1487,PP_Grid[Intermediate],0),99999)</f>
        <v/>
      </c>
    </row>
    <row r="1488">
      <c r="B1488" t="inlineStr">
        <is>
          <t>使用量(kg)</t>
        </is>
      </c>
      <c r="C1488">
        <f>SUMIFS(M_BOM[RM_Qty_Per_Batch],M_BOM[Intermediate],$B1487,M_BOM[RM_Code],$A1486)</f>
        <v/>
      </c>
      <c r="D1488">
        <f>IFERROR(INDEX(E1488:DD1488,$F$1),"")</f>
        <v/>
      </c>
      <c r="E1488">
        <f>$C1488*E1487</f>
        <v/>
      </c>
      <c r="F1488">
        <f>$C1488*F1487</f>
        <v/>
      </c>
      <c r="G1488">
        <f>$C1488*G1487</f>
        <v/>
      </c>
      <c r="H1488">
        <f>$C1488*H1487</f>
        <v/>
      </c>
      <c r="I1488">
        <f>$C1488*I1487</f>
        <v/>
      </c>
      <c r="J1488">
        <f>$C1488*J1487</f>
        <v/>
      </c>
      <c r="K1488">
        <f>$C1488*K1487</f>
        <v/>
      </c>
      <c r="L1488">
        <f>$C1488*L1487</f>
        <v/>
      </c>
      <c r="M1488">
        <f>$C1488*M1487</f>
        <v/>
      </c>
      <c r="N1488">
        <f>$C1488*N1487</f>
        <v/>
      </c>
      <c r="O1488">
        <f>$C1488*O1487</f>
        <v/>
      </c>
      <c r="P1488">
        <f>$C1488*P1487</f>
        <v/>
      </c>
      <c r="Q1488">
        <f>$C1488*Q1487</f>
        <v/>
      </c>
      <c r="R1488">
        <f>$C1488*R1487</f>
        <v/>
      </c>
      <c r="S1488">
        <f>$C1488*S1487</f>
        <v/>
      </c>
      <c r="T1488">
        <f>$C1488*T1487</f>
        <v/>
      </c>
      <c r="U1488">
        <f>$C1488*U1487</f>
        <v/>
      </c>
      <c r="V1488">
        <f>$C1488*V1487</f>
        <v/>
      </c>
      <c r="W1488">
        <f>$C1488*W1487</f>
        <v/>
      </c>
      <c r="X1488">
        <f>$C1488*X1487</f>
        <v/>
      </c>
      <c r="Y1488">
        <f>$C1488*Y1487</f>
        <v/>
      </c>
      <c r="Z1488">
        <f>$C1488*Z1487</f>
        <v/>
      </c>
      <c r="AA1488">
        <f>$C1488*AA1487</f>
        <v/>
      </c>
      <c r="AB1488">
        <f>$C1488*AB1487</f>
        <v/>
      </c>
      <c r="AC1488">
        <f>$C1488*AC1487</f>
        <v/>
      </c>
      <c r="AD1488">
        <f>$C1488*AD1487</f>
        <v/>
      </c>
      <c r="AE1488">
        <f>$C1488*AE1487</f>
        <v/>
      </c>
      <c r="AF1488">
        <f>$C1488*AF1487</f>
        <v/>
      </c>
      <c r="AG1488">
        <f>$C1488*AG1487</f>
        <v/>
      </c>
      <c r="AH1488">
        <f>$C1488*AH1487</f>
        <v/>
      </c>
      <c r="AI1488">
        <f>$C1488*AI1487</f>
        <v/>
      </c>
      <c r="AJ1488">
        <f>$C1488*AJ1487</f>
        <v/>
      </c>
      <c r="AK1488">
        <f>$C1488*AK1487</f>
        <v/>
      </c>
      <c r="AL1488">
        <f>$C1488*AL1487</f>
        <v/>
      </c>
      <c r="AM1488">
        <f>$C1488*AM1487</f>
        <v/>
      </c>
      <c r="AN1488">
        <f>$C1488*AN1487</f>
        <v/>
      </c>
      <c r="AO1488">
        <f>$C1488*AO1487</f>
        <v/>
      </c>
      <c r="AP1488">
        <f>$C1488*AP1487</f>
        <v/>
      </c>
      <c r="AQ1488">
        <f>$C1488*AQ1487</f>
        <v/>
      </c>
      <c r="AR1488">
        <f>$C1488*AR1487</f>
        <v/>
      </c>
      <c r="AS1488">
        <f>$C1488*AS1487</f>
        <v/>
      </c>
      <c r="AT1488">
        <f>$C1488*AT1487</f>
        <v/>
      </c>
      <c r="AU1488">
        <f>$C1488*AU1487</f>
        <v/>
      </c>
      <c r="AV1488">
        <f>$C1488*AV1487</f>
        <v/>
      </c>
      <c r="AW1488">
        <f>$C1488*AW1487</f>
        <v/>
      </c>
      <c r="AX1488">
        <f>$C1488*AX1487</f>
        <v/>
      </c>
      <c r="AY1488">
        <f>$C1488*AY1487</f>
        <v/>
      </c>
      <c r="AZ1488">
        <f>$C1488*AZ1487</f>
        <v/>
      </c>
      <c r="BA1488">
        <f>$C1488*BA1487</f>
        <v/>
      </c>
      <c r="BB1488">
        <f>$C1488*BB1487</f>
        <v/>
      </c>
      <c r="BC1488">
        <f>$C1488*BC1487</f>
        <v/>
      </c>
      <c r="BD1488">
        <f>$C1488*BD1487</f>
        <v/>
      </c>
      <c r="BE1488">
        <f>$C1488*BE1487</f>
        <v/>
      </c>
      <c r="BF1488">
        <f>$C1488*BF1487</f>
        <v/>
      </c>
      <c r="BG1488">
        <f>$C1488*BG1487</f>
        <v/>
      </c>
      <c r="BH1488">
        <f>$C1488*BH1487</f>
        <v/>
      </c>
      <c r="BI1488">
        <f>$C1488*BI1487</f>
        <v/>
      </c>
      <c r="BJ1488">
        <f>$C1488*BJ1487</f>
        <v/>
      </c>
      <c r="BK1488">
        <f>$C1488*BK1487</f>
        <v/>
      </c>
      <c r="BL1488">
        <f>$C1488*BL1487</f>
        <v/>
      </c>
      <c r="BM1488">
        <f>$C1488*BM1487</f>
        <v/>
      </c>
      <c r="BN1488">
        <f>$C1488*BN1487</f>
        <v/>
      </c>
      <c r="BO1488">
        <f>$C1488*BO1487</f>
        <v/>
      </c>
      <c r="BP1488">
        <f>$C1488*BP1487</f>
        <v/>
      </c>
      <c r="BQ1488">
        <f>$C1488*BQ1487</f>
        <v/>
      </c>
      <c r="BR1488">
        <f>$C1488*BR1487</f>
        <v/>
      </c>
      <c r="BS1488">
        <f>$C1488*BS1487</f>
        <v/>
      </c>
      <c r="BT1488">
        <f>$C1488*BT1487</f>
        <v/>
      </c>
      <c r="BU1488">
        <f>$C1488*BU1487</f>
        <v/>
      </c>
      <c r="BV1488">
        <f>$C1488*BV1487</f>
        <v/>
      </c>
      <c r="BW1488">
        <f>$C1488*BW1487</f>
        <v/>
      </c>
      <c r="BX1488">
        <f>$C1488*BX1487</f>
        <v/>
      </c>
      <c r="BY1488">
        <f>$C1488*BY1487</f>
        <v/>
      </c>
      <c r="BZ1488">
        <f>$C1488*BZ1487</f>
        <v/>
      </c>
      <c r="CA1488">
        <f>$C1488*CA1487</f>
        <v/>
      </c>
      <c r="CB1488">
        <f>$C1488*CB1487</f>
        <v/>
      </c>
      <c r="CC1488">
        <f>$C1488*CC1487</f>
        <v/>
      </c>
      <c r="CD1488">
        <f>$C1488*CD1487</f>
        <v/>
      </c>
      <c r="CE1488">
        <f>$C1488*CE1487</f>
        <v/>
      </c>
      <c r="CF1488">
        <f>$C1488*CF1487</f>
        <v/>
      </c>
      <c r="CG1488">
        <f>$C1488*CG1487</f>
        <v/>
      </c>
      <c r="CH1488">
        <f>$C1488*CH1487</f>
        <v/>
      </c>
      <c r="CI1488">
        <f>$C1488*CI1487</f>
        <v/>
      </c>
      <c r="CJ1488">
        <f>$C1488*CJ1487</f>
        <v/>
      </c>
      <c r="CK1488">
        <f>$C1488*CK1487</f>
        <v/>
      </c>
      <c r="CL1488">
        <f>$C1488*CL1487</f>
        <v/>
      </c>
      <c r="CM1488">
        <f>$C1488*CM1487</f>
        <v/>
      </c>
      <c r="CN1488">
        <f>$C1488*CN1487</f>
        <v/>
      </c>
      <c r="CO1488">
        <f>$C1488*CO1487</f>
        <v/>
      </c>
      <c r="CP1488">
        <f>$C1488*CP1487</f>
        <v/>
      </c>
      <c r="CQ1488">
        <f>$C1488*CQ1487</f>
        <v/>
      </c>
      <c r="CR1488">
        <f>$C1488*CR1487</f>
        <v/>
      </c>
      <c r="CS1488">
        <f>$C1488*CS1487</f>
        <v/>
      </c>
      <c r="CT1488">
        <f>$C1488*CT1487</f>
        <v/>
      </c>
      <c r="CU1488">
        <f>$C1488*CU1487</f>
        <v/>
      </c>
      <c r="CV1488">
        <f>$C1488*CV1487</f>
        <v/>
      </c>
      <c r="CW1488">
        <f>$C1488*CW1487</f>
        <v/>
      </c>
      <c r="CX1488">
        <f>$C1488*CX1487</f>
        <v/>
      </c>
      <c r="CY1488">
        <f>$C1488*CY1487</f>
        <v/>
      </c>
      <c r="CZ1488">
        <f>$C1488*CZ1487</f>
        <v/>
      </c>
      <c r="DA1488">
        <f>$C1488*DA1487</f>
        <v/>
      </c>
      <c r="DB1488">
        <f>$C1488*DB1487</f>
        <v/>
      </c>
      <c r="DC1488">
        <f>$C1488*DC1487</f>
        <v/>
      </c>
      <c r="DD1488">
        <f>$C1488*DD1487</f>
        <v/>
      </c>
    </row>
    <row r="1489">
      <c r="B1489" t="inlineStr">
        <is>
          <t>TSP-928</t>
        </is>
      </c>
      <c r="C1489" t="inlineStr">
        <is>
          <t>No. of batches</t>
        </is>
      </c>
      <c r="D1489">
        <f>IFERROR(INDEX(E1489:DD1489,$F$1),"")</f>
        <v/>
      </c>
      <c r="E1489">
        <f>IFERROR(INDEX(PP_Grid[#Data],$DE1489,2),0)</f>
        <v/>
      </c>
      <c r="F1489">
        <f>IFERROR(INDEX(PP_Grid[#Data],$DE1489,3),0)</f>
        <v/>
      </c>
      <c r="G1489">
        <f>IFERROR(INDEX(PP_Grid[#Data],$DE1489,4),0)</f>
        <v/>
      </c>
      <c r="H1489">
        <f>IFERROR(INDEX(PP_Grid[#Data],$DE1489,5),0)</f>
        <v/>
      </c>
      <c r="I1489">
        <f>IFERROR(INDEX(PP_Grid[#Data],$DE1489,6),0)</f>
        <v/>
      </c>
      <c r="J1489">
        <f>IFERROR(INDEX(PP_Grid[#Data],$DE1489,7),0)</f>
        <v/>
      </c>
      <c r="K1489">
        <f>IFERROR(INDEX(PP_Grid[#Data],$DE1489,8),0)</f>
        <v/>
      </c>
      <c r="L1489">
        <f>IFERROR(INDEX(PP_Grid[#Data],$DE1489,9),0)</f>
        <v/>
      </c>
      <c r="M1489">
        <f>IFERROR(INDEX(PP_Grid[#Data],$DE1489,10),0)</f>
        <v/>
      </c>
      <c r="N1489">
        <f>IFERROR(INDEX(PP_Grid[#Data],$DE1489,11),0)</f>
        <v/>
      </c>
      <c r="O1489">
        <f>IFERROR(INDEX(PP_Grid[#Data],$DE1489,12),0)</f>
        <v/>
      </c>
      <c r="P1489">
        <f>IFERROR(INDEX(PP_Grid[#Data],$DE1489,13),0)</f>
        <v/>
      </c>
      <c r="Q1489">
        <f>IFERROR(INDEX(PP_Grid[#Data],$DE1489,14),0)</f>
        <v/>
      </c>
      <c r="R1489">
        <f>IFERROR(INDEX(PP_Grid[#Data],$DE1489,15),0)</f>
        <v/>
      </c>
      <c r="S1489">
        <f>IFERROR(INDEX(PP_Grid[#Data],$DE1489,16),0)</f>
        <v/>
      </c>
      <c r="T1489">
        <f>IFERROR(INDEX(PP_Grid[#Data],$DE1489,17),0)</f>
        <v/>
      </c>
      <c r="U1489">
        <f>IFERROR(INDEX(PP_Grid[#Data],$DE1489,18),0)</f>
        <v/>
      </c>
      <c r="V1489">
        <f>IFERROR(INDEX(PP_Grid[#Data],$DE1489,19),0)</f>
        <v/>
      </c>
      <c r="W1489">
        <f>IFERROR(INDEX(PP_Grid[#Data],$DE1489,20),0)</f>
        <v/>
      </c>
      <c r="X1489">
        <f>IFERROR(INDEX(PP_Grid[#Data],$DE1489,21),0)</f>
        <v/>
      </c>
      <c r="Y1489">
        <f>IFERROR(INDEX(PP_Grid[#Data],$DE1489,22),0)</f>
        <v/>
      </c>
      <c r="Z1489">
        <f>IFERROR(INDEX(PP_Grid[#Data],$DE1489,23),0)</f>
        <v/>
      </c>
      <c r="AA1489">
        <f>IFERROR(INDEX(PP_Grid[#Data],$DE1489,24),0)</f>
        <v/>
      </c>
      <c r="AB1489">
        <f>IFERROR(INDEX(PP_Grid[#Data],$DE1489,25),0)</f>
        <v/>
      </c>
      <c r="AC1489">
        <f>IFERROR(INDEX(PP_Grid[#Data],$DE1489,26),0)</f>
        <v/>
      </c>
      <c r="AD1489">
        <f>IFERROR(INDEX(PP_Grid[#Data],$DE1489,27),0)</f>
        <v/>
      </c>
      <c r="AE1489">
        <f>IFERROR(INDEX(PP_Grid[#Data],$DE1489,28),0)</f>
        <v/>
      </c>
      <c r="AF1489">
        <f>IFERROR(INDEX(PP_Grid[#Data],$DE1489,29),0)</f>
        <v/>
      </c>
      <c r="AG1489">
        <f>IFERROR(INDEX(PP_Grid[#Data],$DE1489,30),0)</f>
        <v/>
      </c>
      <c r="AH1489">
        <f>IFERROR(INDEX(PP_Grid[#Data],$DE1489,31),0)</f>
        <v/>
      </c>
      <c r="AI1489">
        <f>IFERROR(INDEX(PP_Grid[#Data],$DE1489,32),0)</f>
        <v/>
      </c>
      <c r="AJ1489">
        <f>IFERROR(INDEX(PP_Grid[#Data],$DE1489,33),0)</f>
        <v/>
      </c>
      <c r="AK1489">
        <f>IFERROR(INDEX(PP_Grid[#Data],$DE1489,34),0)</f>
        <v/>
      </c>
      <c r="AL1489">
        <f>IFERROR(INDEX(PP_Grid[#Data],$DE1489,35),0)</f>
        <v/>
      </c>
      <c r="AM1489">
        <f>IFERROR(INDEX(PP_Grid[#Data],$DE1489,36),0)</f>
        <v/>
      </c>
      <c r="AN1489">
        <f>IFERROR(INDEX(PP_Grid[#Data],$DE1489,37),0)</f>
        <v/>
      </c>
      <c r="AO1489">
        <f>IFERROR(INDEX(PP_Grid[#Data],$DE1489,38),0)</f>
        <v/>
      </c>
      <c r="AP1489">
        <f>IFERROR(INDEX(PP_Grid[#Data],$DE1489,39),0)</f>
        <v/>
      </c>
      <c r="AQ1489">
        <f>IFERROR(INDEX(PP_Grid[#Data],$DE1489,40),0)</f>
        <v/>
      </c>
      <c r="AR1489">
        <f>IFERROR(INDEX(PP_Grid[#Data],$DE1489,41),0)</f>
        <v/>
      </c>
      <c r="AS1489">
        <f>IFERROR(INDEX(PP_Grid[#Data],$DE1489,42),0)</f>
        <v/>
      </c>
      <c r="AT1489">
        <f>IFERROR(INDEX(PP_Grid[#Data],$DE1489,43),0)</f>
        <v/>
      </c>
      <c r="AU1489">
        <f>IFERROR(INDEX(PP_Grid[#Data],$DE1489,44),0)</f>
        <v/>
      </c>
      <c r="AV1489">
        <f>IFERROR(INDEX(PP_Grid[#Data],$DE1489,45),0)</f>
        <v/>
      </c>
      <c r="AW1489">
        <f>IFERROR(INDEX(PP_Grid[#Data],$DE1489,46),0)</f>
        <v/>
      </c>
      <c r="AX1489">
        <f>IFERROR(INDEX(PP_Grid[#Data],$DE1489,47),0)</f>
        <v/>
      </c>
      <c r="AY1489">
        <f>IFERROR(INDEX(PP_Grid[#Data],$DE1489,48),0)</f>
        <v/>
      </c>
      <c r="AZ1489">
        <f>IFERROR(INDEX(PP_Grid[#Data],$DE1489,49),0)</f>
        <v/>
      </c>
      <c r="BA1489">
        <f>IFERROR(INDEX(PP_Grid[#Data],$DE1489,50),0)</f>
        <v/>
      </c>
      <c r="BB1489">
        <f>IFERROR(INDEX(PP_Grid[#Data],$DE1489,51),0)</f>
        <v/>
      </c>
      <c r="BC1489">
        <f>IFERROR(INDEX(PP_Grid[#Data],$DE1489,52),0)</f>
        <v/>
      </c>
      <c r="BD1489">
        <f>IFERROR(INDEX(PP_Grid[#Data],$DE1489,53),0)</f>
        <v/>
      </c>
      <c r="BE1489">
        <f>IFERROR(INDEX(PP_Grid[#Data],$DE1489,54),0)</f>
        <v/>
      </c>
      <c r="BF1489">
        <f>IFERROR(INDEX(PP_Grid[#Data],$DE1489,55),0)</f>
        <v/>
      </c>
      <c r="BG1489">
        <f>IFERROR(INDEX(PP_Grid[#Data],$DE1489,56),0)</f>
        <v/>
      </c>
      <c r="BH1489">
        <f>IFERROR(INDEX(PP_Grid[#Data],$DE1489,57),0)</f>
        <v/>
      </c>
      <c r="BI1489">
        <f>IFERROR(INDEX(PP_Grid[#Data],$DE1489,58),0)</f>
        <v/>
      </c>
      <c r="BJ1489">
        <f>IFERROR(INDEX(PP_Grid[#Data],$DE1489,59),0)</f>
        <v/>
      </c>
      <c r="BK1489">
        <f>IFERROR(INDEX(PP_Grid[#Data],$DE1489,60),0)</f>
        <v/>
      </c>
      <c r="BL1489">
        <f>IFERROR(INDEX(PP_Grid[#Data],$DE1489,61),0)</f>
        <v/>
      </c>
      <c r="BM1489">
        <f>IFERROR(INDEX(PP_Grid[#Data],$DE1489,62),0)</f>
        <v/>
      </c>
      <c r="BN1489">
        <f>IFERROR(INDEX(PP_Grid[#Data],$DE1489,63),0)</f>
        <v/>
      </c>
      <c r="BO1489">
        <f>IFERROR(INDEX(PP_Grid[#Data],$DE1489,64),0)</f>
        <v/>
      </c>
      <c r="BP1489">
        <f>IFERROR(INDEX(PP_Grid[#Data],$DE1489,65),0)</f>
        <v/>
      </c>
      <c r="BQ1489">
        <f>IFERROR(INDEX(PP_Grid[#Data],$DE1489,66),0)</f>
        <v/>
      </c>
      <c r="BR1489">
        <f>IFERROR(INDEX(PP_Grid[#Data],$DE1489,67),0)</f>
        <v/>
      </c>
      <c r="BS1489">
        <f>IFERROR(INDEX(PP_Grid[#Data],$DE1489,68),0)</f>
        <v/>
      </c>
      <c r="BT1489">
        <f>IFERROR(INDEX(PP_Grid[#Data],$DE1489,69),0)</f>
        <v/>
      </c>
      <c r="BU1489">
        <f>IFERROR(INDEX(PP_Grid[#Data],$DE1489,70),0)</f>
        <v/>
      </c>
      <c r="BV1489">
        <f>IFERROR(INDEX(PP_Grid[#Data],$DE1489,71),0)</f>
        <v/>
      </c>
      <c r="BW1489">
        <f>IFERROR(INDEX(PP_Grid[#Data],$DE1489,72),0)</f>
        <v/>
      </c>
      <c r="BX1489">
        <f>IFERROR(INDEX(PP_Grid[#Data],$DE1489,73),0)</f>
        <v/>
      </c>
      <c r="BY1489">
        <f>IFERROR(INDEX(PP_Grid[#Data],$DE1489,74),0)</f>
        <v/>
      </c>
      <c r="BZ1489">
        <f>IFERROR(INDEX(PP_Grid[#Data],$DE1489,75),0)</f>
        <v/>
      </c>
      <c r="CA1489">
        <f>IFERROR(INDEX(PP_Grid[#Data],$DE1489,76),0)</f>
        <v/>
      </c>
      <c r="CB1489">
        <f>IFERROR(INDEX(PP_Grid[#Data],$DE1489,77),0)</f>
        <v/>
      </c>
      <c r="CC1489">
        <f>IFERROR(INDEX(PP_Grid[#Data],$DE1489,78),0)</f>
        <v/>
      </c>
      <c r="CD1489">
        <f>IFERROR(INDEX(PP_Grid[#Data],$DE1489,79),0)</f>
        <v/>
      </c>
      <c r="CE1489">
        <f>IFERROR(INDEX(PP_Grid[#Data],$DE1489,80),0)</f>
        <v/>
      </c>
      <c r="CF1489">
        <f>IFERROR(INDEX(PP_Grid[#Data],$DE1489,81),0)</f>
        <v/>
      </c>
      <c r="CG1489">
        <f>IFERROR(INDEX(PP_Grid[#Data],$DE1489,82),0)</f>
        <v/>
      </c>
      <c r="CH1489">
        <f>IFERROR(INDEX(PP_Grid[#Data],$DE1489,83),0)</f>
        <v/>
      </c>
      <c r="CI1489">
        <f>IFERROR(INDEX(PP_Grid[#Data],$DE1489,84),0)</f>
        <v/>
      </c>
      <c r="CJ1489">
        <f>IFERROR(INDEX(PP_Grid[#Data],$DE1489,85),0)</f>
        <v/>
      </c>
      <c r="CK1489">
        <f>IFERROR(INDEX(PP_Grid[#Data],$DE1489,86),0)</f>
        <v/>
      </c>
      <c r="CL1489">
        <f>IFERROR(INDEX(PP_Grid[#Data],$DE1489,87),0)</f>
        <v/>
      </c>
      <c r="CM1489">
        <f>IFERROR(INDEX(PP_Grid[#Data],$DE1489,88),0)</f>
        <v/>
      </c>
      <c r="CN1489">
        <f>IFERROR(INDEX(PP_Grid[#Data],$DE1489,89),0)</f>
        <v/>
      </c>
      <c r="CO1489">
        <f>IFERROR(INDEX(PP_Grid[#Data],$DE1489,90),0)</f>
        <v/>
      </c>
      <c r="CP1489">
        <f>IFERROR(INDEX(PP_Grid[#Data],$DE1489,91),0)</f>
        <v/>
      </c>
      <c r="CQ1489">
        <f>IFERROR(INDEX(PP_Grid[#Data],$DE1489,92),0)</f>
        <v/>
      </c>
      <c r="CR1489">
        <f>IFERROR(INDEX(PP_Grid[#Data],$DE1489,93),0)</f>
        <v/>
      </c>
      <c r="CS1489">
        <f>IFERROR(INDEX(PP_Grid[#Data],$DE1489,94),0)</f>
        <v/>
      </c>
      <c r="CT1489">
        <f>IFERROR(INDEX(PP_Grid[#Data],$DE1489,95),0)</f>
        <v/>
      </c>
      <c r="CU1489">
        <f>IFERROR(INDEX(PP_Grid[#Data],$DE1489,96),0)</f>
        <v/>
      </c>
      <c r="CV1489">
        <f>IFERROR(INDEX(PP_Grid[#Data],$DE1489,97),0)</f>
        <v/>
      </c>
      <c r="CW1489">
        <f>IFERROR(INDEX(PP_Grid[#Data],$DE1489,98),0)</f>
        <v/>
      </c>
      <c r="CX1489">
        <f>IFERROR(INDEX(PP_Grid[#Data],$DE1489,99),0)</f>
        <v/>
      </c>
      <c r="CY1489">
        <f>IFERROR(INDEX(PP_Grid[#Data],$DE1489,100),0)</f>
        <v/>
      </c>
      <c r="CZ1489">
        <f>IFERROR(INDEX(PP_Grid[#Data],$DE1489,101),0)</f>
        <v/>
      </c>
      <c r="DA1489">
        <f>IFERROR(INDEX(PP_Grid[#Data],$DE1489,102),0)</f>
        <v/>
      </c>
      <c r="DB1489">
        <f>IFERROR(INDEX(PP_Grid[#Data],$DE1489,103),0)</f>
        <v/>
      </c>
      <c r="DC1489">
        <f>IFERROR(INDEX(PP_Grid[#Data],$DE1489,104),0)</f>
        <v/>
      </c>
      <c r="DD1489">
        <f>IFERROR(INDEX(PP_Grid[#Data],$DE1489,105),0)</f>
        <v/>
      </c>
      <c r="DE1489" s="7">
        <f>IFERROR(MATCH($B1489,PP_Grid[Intermediate],0),99999)</f>
        <v/>
      </c>
    </row>
    <row r="1490">
      <c r="B1490" t="inlineStr">
        <is>
          <t>使用量(kg)</t>
        </is>
      </c>
      <c r="C1490">
        <f>SUMIFS(M_BOM[RM_Qty_Per_Batch],M_BOM[Intermediate],$B1489,M_BOM[RM_Code],$A1486)</f>
        <v/>
      </c>
      <c r="D1490">
        <f>IFERROR(INDEX(E1490:DD1490,$F$1),"")</f>
        <v/>
      </c>
      <c r="E1490">
        <f>$C1490*E1489</f>
        <v/>
      </c>
      <c r="F1490">
        <f>$C1490*F1489</f>
        <v/>
      </c>
      <c r="G1490">
        <f>$C1490*G1489</f>
        <v/>
      </c>
      <c r="H1490">
        <f>$C1490*H1489</f>
        <v/>
      </c>
      <c r="I1490">
        <f>$C1490*I1489</f>
        <v/>
      </c>
      <c r="J1490">
        <f>$C1490*J1489</f>
        <v/>
      </c>
      <c r="K1490">
        <f>$C1490*K1489</f>
        <v/>
      </c>
      <c r="L1490">
        <f>$C1490*L1489</f>
        <v/>
      </c>
      <c r="M1490">
        <f>$C1490*M1489</f>
        <v/>
      </c>
      <c r="N1490">
        <f>$C1490*N1489</f>
        <v/>
      </c>
      <c r="O1490">
        <f>$C1490*O1489</f>
        <v/>
      </c>
      <c r="P1490">
        <f>$C1490*P1489</f>
        <v/>
      </c>
      <c r="Q1490">
        <f>$C1490*Q1489</f>
        <v/>
      </c>
      <c r="R1490">
        <f>$C1490*R1489</f>
        <v/>
      </c>
      <c r="S1490">
        <f>$C1490*S1489</f>
        <v/>
      </c>
      <c r="T1490">
        <f>$C1490*T1489</f>
        <v/>
      </c>
      <c r="U1490">
        <f>$C1490*U1489</f>
        <v/>
      </c>
      <c r="V1490">
        <f>$C1490*V1489</f>
        <v/>
      </c>
      <c r="W1490">
        <f>$C1490*W1489</f>
        <v/>
      </c>
      <c r="X1490">
        <f>$C1490*X1489</f>
        <v/>
      </c>
      <c r="Y1490">
        <f>$C1490*Y1489</f>
        <v/>
      </c>
      <c r="Z1490">
        <f>$C1490*Z1489</f>
        <v/>
      </c>
      <c r="AA1490">
        <f>$C1490*AA1489</f>
        <v/>
      </c>
      <c r="AB1490">
        <f>$C1490*AB1489</f>
        <v/>
      </c>
      <c r="AC1490">
        <f>$C1490*AC1489</f>
        <v/>
      </c>
      <c r="AD1490">
        <f>$C1490*AD1489</f>
        <v/>
      </c>
      <c r="AE1490">
        <f>$C1490*AE1489</f>
        <v/>
      </c>
      <c r="AF1490">
        <f>$C1490*AF1489</f>
        <v/>
      </c>
      <c r="AG1490">
        <f>$C1490*AG1489</f>
        <v/>
      </c>
      <c r="AH1490">
        <f>$C1490*AH1489</f>
        <v/>
      </c>
      <c r="AI1490">
        <f>$C1490*AI1489</f>
        <v/>
      </c>
      <c r="AJ1490">
        <f>$C1490*AJ1489</f>
        <v/>
      </c>
      <c r="AK1490">
        <f>$C1490*AK1489</f>
        <v/>
      </c>
      <c r="AL1490">
        <f>$C1490*AL1489</f>
        <v/>
      </c>
      <c r="AM1490">
        <f>$C1490*AM1489</f>
        <v/>
      </c>
      <c r="AN1490">
        <f>$C1490*AN1489</f>
        <v/>
      </c>
      <c r="AO1490">
        <f>$C1490*AO1489</f>
        <v/>
      </c>
      <c r="AP1490">
        <f>$C1490*AP1489</f>
        <v/>
      </c>
      <c r="AQ1490">
        <f>$C1490*AQ1489</f>
        <v/>
      </c>
      <c r="AR1490">
        <f>$C1490*AR1489</f>
        <v/>
      </c>
      <c r="AS1490">
        <f>$C1490*AS1489</f>
        <v/>
      </c>
      <c r="AT1490">
        <f>$C1490*AT1489</f>
        <v/>
      </c>
      <c r="AU1490">
        <f>$C1490*AU1489</f>
        <v/>
      </c>
      <c r="AV1490">
        <f>$C1490*AV1489</f>
        <v/>
      </c>
      <c r="AW1490">
        <f>$C1490*AW1489</f>
        <v/>
      </c>
      <c r="AX1490">
        <f>$C1490*AX1489</f>
        <v/>
      </c>
      <c r="AY1490">
        <f>$C1490*AY1489</f>
        <v/>
      </c>
      <c r="AZ1490">
        <f>$C1490*AZ1489</f>
        <v/>
      </c>
      <c r="BA1490">
        <f>$C1490*BA1489</f>
        <v/>
      </c>
      <c r="BB1490">
        <f>$C1490*BB1489</f>
        <v/>
      </c>
      <c r="BC1490">
        <f>$C1490*BC1489</f>
        <v/>
      </c>
      <c r="BD1490">
        <f>$C1490*BD1489</f>
        <v/>
      </c>
      <c r="BE1490">
        <f>$C1490*BE1489</f>
        <v/>
      </c>
      <c r="BF1490">
        <f>$C1490*BF1489</f>
        <v/>
      </c>
      <c r="BG1490">
        <f>$C1490*BG1489</f>
        <v/>
      </c>
      <c r="BH1490">
        <f>$C1490*BH1489</f>
        <v/>
      </c>
      <c r="BI1490">
        <f>$C1490*BI1489</f>
        <v/>
      </c>
      <c r="BJ1490">
        <f>$C1490*BJ1489</f>
        <v/>
      </c>
      <c r="BK1490">
        <f>$C1490*BK1489</f>
        <v/>
      </c>
      <c r="BL1490">
        <f>$C1490*BL1489</f>
        <v/>
      </c>
      <c r="BM1490">
        <f>$C1490*BM1489</f>
        <v/>
      </c>
      <c r="BN1490">
        <f>$C1490*BN1489</f>
        <v/>
      </c>
      <c r="BO1490">
        <f>$C1490*BO1489</f>
        <v/>
      </c>
      <c r="BP1490">
        <f>$C1490*BP1489</f>
        <v/>
      </c>
      <c r="BQ1490">
        <f>$C1490*BQ1489</f>
        <v/>
      </c>
      <c r="BR1490">
        <f>$C1490*BR1489</f>
        <v/>
      </c>
      <c r="BS1490">
        <f>$C1490*BS1489</f>
        <v/>
      </c>
      <c r="BT1490">
        <f>$C1490*BT1489</f>
        <v/>
      </c>
      <c r="BU1490">
        <f>$C1490*BU1489</f>
        <v/>
      </c>
      <c r="BV1490">
        <f>$C1490*BV1489</f>
        <v/>
      </c>
      <c r="BW1490">
        <f>$C1490*BW1489</f>
        <v/>
      </c>
      <c r="BX1490">
        <f>$C1490*BX1489</f>
        <v/>
      </c>
      <c r="BY1490">
        <f>$C1490*BY1489</f>
        <v/>
      </c>
      <c r="BZ1490">
        <f>$C1490*BZ1489</f>
        <v/>
      </c>
      <c r="CA1490">
        <f>$C1490*CA1489</f>
        <v/>
      </c>
      <c r="CB1490">
        <f>$C1490*CB1489</f>
        <v/>
      </c>
      <c r="CC1490">
        <f>$C1490*CC1489</f>
        <v/>
      </c>
      <c r="CD1490">
        <f>$C1490*CD1489</f>
        <v/>
      </c>
      <c r="CE1490">
        <f>$C1490*CE1489</f>
        <v/>
      </c>
      <c r="CF1490">
        <f>$C1490*CF1489</f>
        <v/>
      </c>
      <c r="CG1490">
        <f>$C1490*CG1489</f>
        <v/>
      </c>
      <c r="CH1490">
        <f>$C1490*CH1489</f>
        <v/>
      </c>
      <c r="CI1490">
        <f>$C1490*CI1489</f>
        <v/>
      </c>
      <c r="CJ1490">
        <f>$C1490*CJ1489</f>
        <v/>
      </c>
      <c r="CK1490">
        <f>$C1490*CK1489</f>
        <v/>
      </c>
      <c r="CL1490">
        <f>$C1490*CL1489</f>
        <v/>
      </c>
      <c r="CM1490">
        <f>$C1490*CM1489</f>
        <v/>
      </c>
      <c r="CN1490">
        <f>$C1490*CN1489</f>
        <v/>
      </c>
      <c r="CO1490">
        <f>$C1490*CO1489</f>
        <v/>
      </c>
      <c r="CP1490">
        <f>$C1490*CP1489</f>
        <v/>
      </c>
      <c r="CQ1490">
        <f>$C1490*CQ1489</f>
        <v/>
      </c>
      <c r="CR1490">
        <f>$C1490*CR1489</f>
        <v/>
      </c>
      <c r="CS1490">
        <f>$C1490*CS1489</f>
        <v/>
      </c>
      <c r="CT1490">
        <f>$C1490*CT1489</f>
        <v/>
      </c>
      <c r="CU1490">
        <f>$C1490*CU1489</f>
        <v/>
      </c>
      <c r="CV1490">
        <f>$C1490*CV1489</f>
        <v/>
      </c>
      <c r="CW1490">
        <f>$C1490*CW1489</f>
        <v/>
      </c>
      <c r="CX1490">
        <f>$C1490*CX1489</f>
        <v/>
      </c>
      <c r="CY1490">
        <f>$C1490*CY1489</f>
        <v/>
      </c>
      <c r="CZ1490">
        <f>$C1490*CZ1489</f>
        <v/>
      </c>
      <c r="DA1490">
        <f>$C1490*DA1489</f>
        <v/>
      </c>
      <c r="DB1490">
        <f>$C1490*DB1489</f>
        <v/>
      </c>
      <c r="DC1490">
        <f>$C1490*DC1489</f>
        <v/>
      </c>
      <c r="DD1490">
        <f>$C1490*DD1489</f>
        <v/>
      </c>
    </row>
    <row r="1491">
      <c r="B1491" t="inlineStr">
        <is>
          <t>TSP-929</t>
        </is>
      </c>
      <c r="C1491" t="inlineStr">
        <is>
          <t>No. of batches</t>
        </is>
      </c>
      <c r="D1491">
        <f>IFERROR(INDEX(E1491:DD1491,$F$1),"")</f>
        <v/>
      </c>
      <c r="E1491">
        <f>IFERROR(INDEX(PP_Grid[#Data],$DE1491,2),0)</f>
        <v/>
      </c>
      <c r="F1491">
        <f>IFERROR(INDEX(PP_Grid[#Data],$DE1491,3),0)</f>
        <v/>
      </c>
      <c r="G1491">
        <f>IFERROR(INDEX(PP_Grid[#Data],$DE1491,4),0)</f>
        <v/>
      </c>
      <c r="H1491">
        <f>IFERROR(INDEX(PP_Grid[#Data],$DE1491,5),0)</f>
        <v/>
      </c>
      <c r="I1491">
        <f>IFERROR(INDEX(PP_Grid[#Data],$DE1491,6),0)</f>
        <v/>
      </c>
      <c r="J1491">
        <f>IFERROR(INDEX(PP_Grid[#Data],$DE1491,7),0)</f>
        <v/>
      </c>
      <c r="K1491">
        <f>IFERROR(INDEX(PP_Grid[#Data],$DE1491,8),0)</f>
        <v/>
      </c>
      <c r="L1491">
        <f>IFERROR(INDEX(PP_Grid[#Data],$DE1491,9),0)</f>
        <v/>
      </c>
      <c r="M1491">
        <f>IFERROR(INDEX(PP_Grid[#Data],$DE1491,10),0)</f>
        <v/>
      </c>
      <c r="N1491">
        <f>IFERROR(INDEX(PP_Grid[#Data],$DE1491,11),0)</f>
        <v/>
      </c>
      <c r="O1491">
        <f>IFERROR(INDEX(PP_Grid[#Data],$DE1491,12),0)</f>
        <v/>
      </c>
      <c r="P1491">
        <f>IFERROR(INDEX(PP_Grid[#Data],$DE1491,13),0)</f>
        <v/>
      </c>
      <c r="Q1491">
        <f>IFERROR(INDEX(PP_Grid[#Data],$DE1491,14),0)</f>
        <v/>
      </c>
      <c r="R1491">
        <f>IFERROR(INDEX(PP_Grid[#Data],$DE1491,15),0)</f>
        <v/>
      </c>
      <c r="S1491">
        <f>IFERROR(INDEX(PP_Grid[#Data],$DE1491,16),0)</f>
        <v/>
      </c>
      <c r="T1491">
        <f>IFERROR(INDEX(PP_Grid[#Data],$DE1491,17),0)</f>
        <v/>
      </c>
      <c r="U1491">
        <f>IFERROR(INDEX(PP_Grid[#Data],$DE1491,18),0)</f>
        <v/>
      </c>
      <c r="V1491">
        <f>IFERROR(INDEX(PP_Grid[#Data],$DE1491,19),0)</f>
        <v/>
      </c>
      <c r="W1491">
        <f>IFERROR(INDEX(PP_Grid[#Data],$DE1491,20),0)</f>
        <v/>
      </c>
      <c r="X1491">
        <f>IFERROR(INDEX(PP_Grid[#Data],$DE1491,21),0)</f>
        <v/>
      </c>
      <c r="Y1491">
        <f>IFERROR(INDEX(PP_Grid[#Data],$DE1491,22),0)</f>
        <v/>
      </c>
      <c r="Z1491">
        <f>IFERROR(INDEX(PP_Grid[#Data],$DE1491,23),0)</f>
        <v/>
      </c>
      <c r="AA1491">
        <f>IFERROR(INDEX(PP_Grid[#Data],$DE1491,24),0)</f>
        <v/>
      </c>
      <c r="AB1491">
        <f>IFERROR(INDEX(PP_Grid[#Data],$DE1491,25),0)</f>
        <v/>
      </c>
      <c r="AC1491">
        <f>IFERROR(INDEX(PP_Grid[#Data],$DE1491,26),0)</f>
        <v/>
      </c>
      <c r="AD1491">
        <f>IFERROR(INDEX(PP_Grid[#Data],$DE1491,27),0)</f>
        <v/>
      </c>
      <c r="AE1491">
        <f>IFERROR(INDEX(PP_Grid[#Data],$DE1491,28),0)</f>
        <v/>
      </c>
      <c r="AF1491">
        <f>IFERROR(INDEX(PP_Grid[#Data],$DE1491,29),0)</f>
        <v/>
      </c>
      <c r="AG1491">
        <f>IFERROR(INDEX(PP_Grid[#Data],$DE1491,30),0)</f>
        <v/>
      </c>
      <c r="AH1491">
        <f>IFERROR(INDEX(PP_Grid[#Data],$DE1491,31),0)</f>
        <v/>
      </c>
      <c r="AI1491">
        <f>IFERROR(INDEX(PP_Grid[#Data],$DE1491,32),0)</f>
        <v/>
      </c>
      <c r="AJ1491">
        <f>IFERROR(INDEX(PP_Grid[#Data],$DE1491,33),0)</f>
        <v/>
      </c>
      <c r="AK1491">
        <f>IFERROR(INDEX(PP_Grid[#Data],$DE1491,34),0)</f>
        <v/>
      </c>
      <c r="AL1491">
        <f>IFERROR(INDEX(PP_Grid[#Data],$DE1491,35),0)</f>
        <v/>
      </c>
      <c r="AM1491">
        <f>IFERROR(INDEX(PP_Grid[#Data],$DE1491,36),0)</f>
        <v/>
      </c>
      <c r="AN1491">
        <f>IFERROR(INDEX(PP_Grid[#Data],$DE1491,37),0)</f>
        <v/>
      </c>
      <c r="AO1491">
        <f>IFERROR(INDEX(PP_Grid[#Data],$DE1491,38),0)</f>
        <v/>
      </c>
      <c r="AP1491">
        <f>IFERROR(INDEX(PP_Grid[#Data],$DE1491,39),0)</f>
        <v/>
      </c>
      <c r="AQ1491">
        <f>IFERROR(INDEX(PP_Grid[#Data],$DE1491,40),0)</f>
        <v/>
      </c>
      <c r="AR1491">
        <f>IFERROR(INDEX(PP_Grid[#Data],$DE1491,41),0)</f>
        <v/>
      </c>
      <c r="AS1491">
        <f>IFERROR(INDEX(PP_Grid[#Data],$DE1491,42),0)</f>
        <v/>
      </c>
      <c r="AT1491">
        <f>IFERROR(INDEX(PP_Grid[#Data],$DE1491,43),0)</f>
        <v/>
      </c>
      <c r="AU1491">
        <f>IFERROR(INDEX(PP_Grid[#Data],$DE1491,44),0)</f>
        <v/>
      </c>
      <c r="AV1491">
        <f>IFERROR(INDEX(PP_Grid[#Data],$DE1491,45),0)</f>
        <v/>
      </c>
      <c r="AW1491">
        <f>IFERROR(INDEX(PP_Grid[#Data],$DE1491,46),0)</f>
        <v/>
      </c>
      <c r="AX1491">
        <f>IFERROR(INDEX(PP_Grid[#Data],$DE1491,47),0)</f>
        <v/>
      </c>
      <c r="AY1491">
        <f>IFERROR(INDEX(PP_Grid[#Data],$DE1491,48),0)</f>
        <v/>
      </c>
      <c r="AZ1491">
        <f>IFERROR(INDEX(PP_Grid[#Data],$DE1491,49),0)</f>
        <v/>
      </c>
      <c r="BA1491">
        <f>IFERROR(INDEX(PP_Grid[#Data],$DE1491,50),0)</f>
        <v/>
      </c>
      <c r="BB1491">
        <f>IFERROR(INDEX(PP_Grid[#Data],$DE1491,51),0)</f>
        <v/>
      </c>
      <c r="BC1491">
        <f>IFERROR(INDEX(PP_Grid[#Data],$DE1491,52),0)</f>
        <v/>
      </c>
      <c r="BD1491">
        <f>IFERROR(INDEX(PP_Grid[#Data],$DE1491,53),0)</f>
        <v/>
      </c>
      <c r="BE1491">
        <f>IFERROR(INDEX(PP_Grid[#Data],$DE1491,54),0)</f>
        <v/>
      </c>
      <c r="BF1491">
        <f>IFERROR(INDEX(PP_Grid[#Data],$DE1491,55),0)</f>
        <v/>
      </c>
      <c r="BG1491">
        <f>IFERROR(INDEX(PP_Grid[#Data],$DE1491,56),0)</f>
        <v/>
      </c>
      <c r="BH1491">
        <f>IFERROR(INDEX(PP_Grid[#Data],$DE1491,57),0)</f>
        <v/>
      </c>
      <c r="BI1491">
        <f>IFERROR(INDEX(PP_Grid[#Data],$DE1491,58),0)</f>
        <v/>
      </c>
      <c r="BJ1491">
        <f>IFERROR(INDEX(PP_Grid[#Data],$DE1491,59),0)</f>
        <v/>
      </c>
      <c r="BK1491">
        <f>IFERROR(INDEX(PP_Grid[#Data],$DE1491,60),0)</f>
        <v/>
      </c>
      <c r="BL1491">
        <f>IFERROR(INDEX(PP_Grid[#Data],$DE1491,61),0)</f>
        <v/>
      </c>
      <c r="BM1491">
        <f>IFERROR(INDEX(PP_Grid[#Data],$DE1491,62),0)</f>
        <v/>
      </c>
      <c r="BN1491">
        <f>IFERROR(INDEX(PP_Grid[#Data],$DE1491,63),0)</f>
        <v/>
      </c>
      <c r="BO1491">
        <f>IFERROR(INDEX(PP_Grid[#Data],$DE1491,64),0)</f>
        <v/>
      </c>
      <c r="BP1491">
        <f>IFERROR(INDEX(PP_Grid[#Data],$DE1491,65),0)</f>
        <v/>
      </c>
      <c r="BQ1491">
        <f>IFERROR(INDEX(PP_Grid[#Data],$DE1491,66),0)</f>
        <v/>
      </c>
      <c r="BR1491">
        <f>IFERROR(INDEX(PP_Grid[#Data],$DE1491,67),0)</f>
        <v/>
      </c>
      <c r="BS1491">
        <f>IFERROR(INDEX(PP_Grid[#Data],$DE1491,68),0)</f>
        <v/>
      </c>
      <c r="BT1491">
        <f>IFERROR(INDEX(PP_Grid[#Data],$DE1491,69),0)</f>
        <v/>
      </c>
      <c r="BU1491">
        <f>IFERROR(INDEX(PP_Grid[#Data],$DE1491,70),0)</f>
        <v/>
      </c>
      <c r="BV1491">
        <f>IFERROR(INDEX(PP_Grid[#Data],$DE1491,71),0)</f>
        <v/>
      </c>
      <c r="BW1491">
        <f>IFERROR(INDEX(PP_Grid[#Data],$DE1491,72),0)</f>
        <v/>
      </c>
      <c r="BX1491">
        <f>IFERROR(INDEX(PP_Grid[#Data],$DE1491,73),0)</f>
        <v/>
      </c>
      <c r="BY1491">
        <f>IFERROR(INDEX(PP_Grid[#Data],$DE1491,74),0)</f>
        <v/>
      </c>
      <c r="BZ1491">
        <f>IFERROR(INDEX(PP_Grid[#Data],$DE1491,75),0)</f>
        <v/>
      </c>
      <c r="CA1491">
        <f>IFERROR(INDEX(PP_Grid[#Data],$DE1491,76),0)</f>
        <v/>
      </c>
      <c r="CB1491">
        <f>IFERROR(INDEX(PP_Grid[#Data],$DE1491,77),0)</f>
        <v/>
      </c>
      <c r="CC1491">
        <f>IFERROR(INDEX(PP_Grid[#Data],$DE1491,78),0)</f>
        <v/>
      </c>
      <c r="CD1491">
        <f>IFERROR(INDEX(PP_Grid[#Data],$DE1491,79),0)</f>
        <v/>
      </c>
      <c r="CE1491">
        <f>IFERROR(INDEX(PP_Grid[#Data],$DE1491,80),0)</f>
        <v/>
      </c>
      <c r="CF1491">
        <f>IFERROR(INDEX(PP_Grid[#Data],$DE1491,81),0)</f>
        <v/>
      </c>
      <c r="CG1491">
        <f>IFERROR(INDEX(PP_Grid[#Data],$DE1491,82),0)</f>
        <v/>
      </c>
      <c r="CH1491">
        <f>IFERROR(INDEX(PP_Grid[#Data],$DE1491,83),0)</f>
        <v/>
      </c>
      <c r="CI1491">
        <f>IFERROR(INDEX(PP_Grid[#Data],$DE1491,84),0)</f>
        <v/>
      </c>
      <c r="CJ1491">
        <f>IFERROR(INDEX(PP_Grid[#Data],$DE1491,85),0)</f>
        <v/>
      </c>
      <c r="CK1491">
        <f>IFERROR(INDEX(PP_Grid[#Data],$DE1491,86),0)</f>
        <v/>
      </c>
      <c r="CL1491">
        <f>IFERROR(INDEX(PP_Grid[#Data],$DE1491,87),0)</f>
        <v/>
      </c>
      <c r="CM1491">
        <f>IFERROR(INDEX(PP_Grid[#Data],$DE1491,88),0)</f>
        <v/>
      </c>
      <c r="CN1491">
        <f>IFERROR(INDEX(PP_Grid[#Data],$DE1491,89),0)</f>
        <v/>
      </c>
      <c r="CO1491">
        <f>IFERROR(INDEX(PP_Grid[#Data],$DE1491,90),0)</f>
        <v/>
      </c>
      <c r="CP1491">
        <f>IFERROR(INDEX(PP_Grid[#Data],$DE1491,91),0)</f>
        <v/>
      </c>
      <c r="CQ1491">
        <f>IFERROR(INDEX(PP_Grid[#Data],$DE1491,92),0)</f>
        <v/>
      </c>
      <c r="CR1491">
        <f>IFERROR(INDEX(PP_Grid[#Data],$DE1491,93),0)</f>
        <v/>
      </c>
      <c r="CS1491">
        <f>IFERROR(INDEX(PP_Grid[#Data],$DE1491,94),0)</f>
        <v/>
      </c>
      <c r="CT1491">
        <f>IFERROR(INDEX(PP_Grid[#Data],$DE1491,95),0)</f>
        <v/>
      </c>
      <c r="CU1491">
        <f>IFERROR(INDEX(PP_Grid[#Data],$DE1491,96),0)</f>
        <v/>
      </c>
      <c r="CV1491">
        <f>IFERROR(INDEX(PP_Grid[#Data],$DE1491,97),0)</f>
        <v/>
      </c>
      <c r="CW1491">
        <f>IFERROR(INDEX(PP_Grid[#Data],$DE1491,98),0)</f>
        <v/>
      </c>
      <c r="CX1491">
        <f>IFERROR(INDEX(PP_Grid[#Data],$DE1491,99),0)</f>
        <v/>
      </c>
      <c r="CY1491">
        <f>IFERROR(INDEX(PP_Grid[#Data],$DE1491,100),0)</f>
        <v/>
      </c>
      <c r="CZ1491">
        <f>IFERROR(INDEX(PP_Grid[#Data],$DE1491,101),0)</f>
        <v/>
      </c>
      <c r="DA1491">
        <f>IFERROR(INDEX(PP_Grid[#Data],$DE1491,102),0)</f>
        <v/>
      </c>
      <c r="DB1491">
        <f>IFERROR(INDEX(PP_Grid[#Data],$DE1491,103),0)</f>
        <v/>
      </c>
      <c r="DC1491">
        <f>IFERROR(INDEX(PP_Grid[#Data],$DE1491,104),0)</f>
        <v/>
      </c>
      <c r="DD1491">
        <f>IFERROR(INDEX(PP_Grid[#Data],$DE1491,105),0)</f>
        <v/>
      </c>
      <c r="DE1491" s="7">
        <f>IFERROR(MATCH($B1491,PP_Grid[Intermediate],0),99999)</f>
        <v/>
      </c>
    </row>
    <row r="1492">
      <c r="B1492" t="inlineStr">
        <is>
          <t>使用量(kg)</t>
        </is>
      </c>
      <c r="C1492">
        <f>SUMIFS(M_BOM[RM_Qty_Per_Batch],M_BOM[Intermediate],$B1491,M_BOM[RM_Code],$A1486)</f>
        <v/>
      </c>
      <c r="D1492">
        <f>IFERROR(INDEX(E1492:DD1492,$F$1),"")</f>
        <v/>
      </c>
      <c r="E1492">
        <f>$C1492*E1491</f>
        <v/>
      </c>
      <c r="F1492">
        <f>$C1492*F1491</f>
        <v/>
      </c>
      <c r="G1492">
        <f>$C1492*G1491</f>
        <v/>
      </c>
      <c r="H1492">
        <f>$C1492*H1491</f>
        <v/>
      </c>
      <c r="I1492">
        <f>$C1492*I1491</f>
        <v/>
      </c>
      <c r="J1492">
        <f>$C1492*J1491</f>
        <v/>
      </c>
      <c r="K1492">
        <f>$C1492*K1491</f>
        <v/>
      </c>
      <c r="L1492">
        <f>$C1492*L1491</f>
        <v/>
      </c>
      <c r="M1492">
        <f>$C1492*M1491</f>
        <v/>
      </c>
      <c r="N1492">
        <f>$C1492*N1491</f>
        <v/>
      </c>
      <c r="O1492">
        <f>$C1492*O1491</f>
        <v/>
      </c>
      <c r="P1492">
        <f>$C1492*P1491</f>
        <v/>
      </c>
      <c r="Q1492">
        <f>$C1492*Q1491</f>
        <v/>
      </c>
      <c r="R1492">
        <f>$C1492*R1491</f>
        <v/>
      </c>
      <c r="S1492">
        <f>$C1492*S1491</f>
        <v/>
      </c>
      <c r="T1492">
        <f>$C1492*T1491</f>
        <v/>
      </c>
      <c r="U1492">
        <f>$C1492*U1491</f>
        <v/>
      </c>
      <c r="V1492">
        <f>$C1492*V1491</f>
        <v/>
      </c>
      <c r="W1492">
        <f>$C1492*W1491</f>
        <v/>
      </c>
      <c r="X1492">
        <f>$C1492*X1491</f>
        <v/>
      </c>
      <c r="Y1492">
        <f>$C1492*Y1491</f>
        <v/>
      </c>
      <c r="Z1492">
        <f>$C1492*Z1491</f>
        <v/>
      </c>
      <c r="AA1492">
        <f>$C1492*AA1491</f>
        <v/>
      </c>
      <c r="AB1492">
        <f>$C1492*AB1491</f>
        <v/>
      </c>
      <c r="AC1492">
        <f>$C1492*AC1491</f>
        <v/>
      </c>
      <c r="AD1492">
        <f>$C1492*AD1491</f>
        <v/>
      </c>
      <c r="AE1492">
        <f>$C1492*AE1491</f>
        <v/>
      </c>
      <c r="AF1492">
        <f>$C1492*AF1491</f>
        <v/>
      </c>
      <c r="AG1492">
        <f>$C1492*AG1491</f>
        <v/>
      </c>
      <c r="AH1492">
        <f>$C1492*AH1491</f>
        <v/>
      </c>
      <c r="AI1492">
        <f>$C1492*AI1491</f>
        <v/>
      </c>
      <c r="AJ1492">
        <f>$C1492*AJ1491</f>
        <v/>
      </c>
      <c r="AK1492">
        <f>$C1492*AK1491</f>
        <v/>
      </c>
      <c r="AL1492">
        <f>$C1492*AL1491</f>
        <v/>
      </c>
      <c r="AM1492">
        <f>$C1492*AM1491</f>
        <v/>
      </c>
      <c r="AN1492">
        <f>$C1492*AN1491</f>
        <v/>
      </c>
      <c r="AO1492">
        <f>$C1492*AO1491</f>
        <v/>
      </c>
      <c r="AP1492">
        <f>$C1492*AP1491</f>
        <v/>
      </c>
      <c r="AQ1492">
        <f>$C1492*AQ1491</f>
        <v/>
      </c>
      <c r="AR1492">
        <f>$C1492*AR1491</f>
        <v/>
      </c>
      <c r="AS1492">
        <f>$C1492*AS1491</f>
        <v/>
      </c>
      <c r="AT1492">
        <f>$C1492*AT1491</f>
        <v/>
      </c>
      <c r="AU1492">
        <f>$C1492*AU1491</f>
        <v/>
      </c>
      <c r="AV1492">
        <f>$C1492*AV1491</f>
        <v/>
      </c>
      <c r="AW1492">
        <f>$C1492*AW1491</f>
        <v/>
      </c>
      <c r="AX1492">
        <f>$C1492*AX1491</f>
        <v/>
      </c>
      <c r="AY1492">
        <f>$C1492*AY1491</f>
        <v/>
      </c>
      <c r="AZ1492">
        <f>$C1492*AZ1491</f>
        <v/>
      </c>
      <c r="BA1492">
        <f>$C1492*BA1491</f>
        <v/>
      </c>
      <c r="BB1492">
        <f>$C1492*BB1491</f>
        <v/>
      </c>
      <c r="BC1492">
        <f>$C1492*BC1491</f>
        <v/>
      </c>
      <c r="BD1492">
        <f>$C1492*BD1491</f>
        <v/>
      </c>
      <c r="BE1492">
        <f>$C1492*BE1491</f>
        <v/>
      </c>
      <c r="BF1492">
        <f>$C1492*BF1491</f>
        <v/>
      </c>
      <c r="BG1492">
        <f>$C1492*BG1491</f>
        <v/>
      </c>
      <c r="BH1492">
        <f>$C1492*BH1491</f>
        <v/>
      </c>
      <c r="BI1492">
        <f>$C1492*BI1491</f>
        <v/>
      </c>
      <c r="BJ1492">
        <f>$C1492*BJ1491</f>
        <v/>
      </c>
      <c r="BK1492">
        <f>$C1492*BK1491</f>
        <v/>
      </c>
      <c r="BL1492">
        <f>$C1492*BL1491</f>
        <v/>
      </c>
      <c r="BM1492">
        <f>$C1492*BM1491</f>
        <v/>
      </c>
      <c r="BN1492">
        <f>$C1492*BN1491</f>
        <v/>
      </c>
      <c r="BO1492">
        <f>$C1492*BO1491</f>
        <v/>
      </c>
      <c r="BP1492">
        <f>$C1492*BP1491</f>
        <v/>
      </c>
      <c r="BQ1492">
        <f>$C1492*BQ1491</f>
        <v/>
      </c>
      <c r="BR1492">
        <f>$C1492*BR1491</f>
        <v/>
      </c>
      <c r="BS1492">
        <f>$C1492*BS1491</f>
        <v/>
      </c>
      <c r="BT1492">
        <f>$C1492*BT1491</f>
        <v/>
      </c>
      <c r="BU1492">
        <f>$C1492*BU1491</f>
        <v/>
      </c>
      <c r="BV1492">
        <f>$C1492*BV1491</f>
        <v/>
      </c>
      <c r="BW1492">
        <f>$C1492*BW1491</f>
        <v/>
      </c>
      <c r="BX1492">
        <f>$C1492*BX1491</f>
        <v/>
      </c>
      <c r="BY1492">
        <f>$C1492*BY1491</f>
        <v/>
      </c>
      <c r="BZ1492">
        <f>$C1492*BZ1491</f>
        <v/>
      </c>
      <c r="CA1492">
        <f>$C1492*CA1491</f>
        <v/>
      </c>
      <c r="CB1492">
        <f>$C1492*CB1491</f>
        <v/>
      </c>
      <c r="CC1492">
        <f>$C1492*CC1491</f>
        <v/>
      </c>
      <c r="CD1492">
        <f>$C1492*CD1491</f>
        <v/>
      </c>
      <c r="CE1492">
        <f>$C1492*CE1491</f>
        <v/>
      </c>
      <c r="CF1492">
        <f>$C1492*CF1491</f>
        <v/>
      </c>
      <c r="CG1492">
        <f>$C1492*CG1491</f>
        <v/>
      </c>
      <c r="CH1492">
        <f>$C1492*CH1491</f>
        <v/>
      </c>
      <c r="CI1492">
        <f>$C1492*CI1491</f>
        <v/>
      </c>
      <c r="CJ1492">
        <f>$C1492*CJ1491</f>
        <v/>
      </c>
      <c r="CK1492">
        <f>$C1492*CK1491</f>
        <v/>
      </c>
      <c r="CL1492">
        <f>$C1492*CL1491</f>
        <v/>
      </c>
      <c r="CM1492">
        <f>$C1492*CM1491</f>
        <v/>
      </c>
      <c r="CN1492">
        <f>$C1492*CN1491</f>
        <v/>
      </c>
      <c r="CO1492">
        <f>$C1492*CO1491</f>
        <v/>
      </c>
      <c r="CP1492">
        <f>$C1492*CP1491</f>
        <v/>
      </c>
      <c r="CQ1492">
        <f>$C1492*CQ1491</f>
        <v/>
      </c>
      <c r="CR1492">
        <f>$C1492*CR1491</f>
        <v/>
      </c>
      <c r="CS1492">
        <f>$C1492*CS1491</f>
        <v/>
      </c>
      <c r="CT1492">
        <f>$C1492*CT1491</f>
        <v/>
      </c>
      <c r="CU1492">
        <f>$C1492*CU1491</f>
        <v/>
      </c>
      <c r="CV1492">
        <f>$C1492*CV1491</f>
        <v/>
      </c>
      <c r="CW1492">
        <f>$C1492*CW1491</f>
        <v/>
      </c>
      <c r="CX1492">
        <f>$C1492*CX1491</f>
        <v/>
      </c>
      <c r="CY1492">
        <f>$C1492*CY1491</f>
        <v/>
      </c>
      <c r="CZ1492">
        <f>$C1492*CZ1491</f>
        <v/>
      </c>
      <c r="DA1492">
        <f>$C1492*DA1491</f>
        <v/>
      </c>
      <c r="DB1492">
        <f>$C1492*DB1491</f>
        <v/>
      </c>
      <c r="DC1492">
        <f>$C1492*DC1491</f>
        <v/>
      </c>
      <c r="DD1492">
        <f>$C1492*DD1491</f>
        <v/>
      </c>
    </row>
    <row r="1493">
      <c r="B1493" t="inlineStr">
        <is>
          <t>TSP-930</t>
        </is>
      </c>
      <c r="C1493" t="inlineStr">
        <is>
          <t>No. of batches</t>
        </is>
      </c>
      <c r="D1493">
        <f>IFERROR(INDEX(E1493:DD1493,$F$1),"")</f>
        <v/>
      </c>
      <c r="E1493">
        <f>IFERROR(INDEX(PP_Grid[#Data],$DE1493,2),0)</f>
        <v/>
      </c>
      <c r="F1493">
        <f>IFERROR(INDEX(PP_Grid[#Data],$DE1493,3),0)</f>
        <v/>
      </c>
      <c r="G1493">
        <f>IFERROR(INDEX(PP_Grid[#Data],$DE1493,4),0)</f>
        <v/>
      </c>
      <c r="H1493">
        <f>IFERROR(INDEX(PP_Grid[#Data],$DE1493,5),0)</f>
        <v/>
      </c>
      <c r="I1493">
        <f>IFERROR(INDEX(PP_Grid[#Data],$DE1493,6),0)</f>
        <v/>
      </c>
      <c r="J1493">
        <f>IFERROR(INDEX(PP_Grid[#Data],$DE1493,7),0)</f>
        <v/>
      </c>
      <c r="K1493">
        <f>IFERROR(INDEX(PP_Grid[#Data],$DE1493,8),0)</f>
        <v/>
      </c>
      <c r="L1493">
        <f>IFERROR(INDEX(PP_Grid[#Data],$DE1493,9),0)</f>
        <v/>
      </c>
      <c r="M1493">
        <f>IFERROR(INDEX(PP_Grid[#Data],$DE1493,10),0)</f>
        <v/>
      </c>
      <c r="N1493">
        <f>IFERROR(INDEX(PP_Grid[#Data],$DE1493,11),0)</f>
        <v/>
      </c>
      <c r="O1493">
        <f>IFERROR(INDEX(PP_Grid[#Data],$DE1493,12),0)</f>
        <v/>
      </c>
      <c r="P1493">
        <f>IFERROR(INDEX(PP_Grid[#Data],$DE1493,13),0)</f>
        <v/>
      </c>
      <c r="Q1493">
        <f>IFERROR(INDEX(PP_Grid[#Data],$DE1493,14),0)</f>
        <v/>
      </c>
      <c r="R1493">
        <f>IFERROR(INDEX(PP_Grid[#Data],$DE1493,15),0)</f>
        <v/>
      </c>
      <c r="S1493">
        <f>IFERROR(INDEX(PP_Grid[#Data],$DE1493,16),0)</f>
        <v/>
      </c>
      <c r="T1493">
        <f>IFERROR(INDEX(PP_Grid[#Data],$DE1493,17),0)</f>
        <v/>
      </c>
      <c r="U1493">
        <f>IFERROR(INDEX(PP_Grid[#Data],$DE1493,18),0)</f>
        <v/>
      </c>
      <c r="V1493">
        <f>IFERROR(INDEX(PP_Grid[#Data],$DE1493,19),0)</f>
        <v/>
      </c>
      <c r="W1493">
        <f>IFERROR(INDEX(PP_Grid[#Data],$DE1493,20),0)</f>
        <v/>
      </c>
      <c r="X1493">
        <f>IFERROR(INDEX(PP_Grid[#Data],$DE1493,21),0)</f>
        <v/>
      </c>
      <c r="Y1493">
        <f>IFERROR(INDEX(PP_Grid[#Data],$DE1493,22),0)</f>
        <v/>
      </c>
      <c r="Z1493">
        <f>IFERROR(INDEX(PP_Grid[#Data],$DE1493,23),0)</f>
        <v/>
      </c>
      <c r="AA1493">
        <f>IFERROR(INDEX(PP_Grid[#Data],$DE1493,24),0)</f>
        <v/>
      </c>
      <c r="AB1493">
        <f>IFERROR(INDEX(PP_Grid[#Data],$DE1493,25),0)</f>
        <v/>
      </c>
      <c r="AC1493">
        <f>IFERROR(INDEX(PP_Grid[#Data],$DE1493,26),0)</f>
        <v/>
      </c>
      <c r="AD1493">
        <f>IFERROR(INDEX(PP_Grid[#Data],$DE1493,27),0)</f>
        <v/>
      </c>
      <c r="AE1493">
        <f>IFERROR(INDEX(PP_Grid[#Data],$DE1493,28),0)</f>
        <v/>
      </c>
      <c r="AF1493">
        <f>IFERROR(INDEX(PP_Grid[#Data],$DE1493,29),0)</f>
        <v/>
      </c>
      <c r="AG1493">
        <f>IFERROR(INDEX(PP_Grid[#Data],$DE1493,30),0)</f>
        <v/>
      </c>
      <c r="AH1493">
        <f>IFERROR(INDEX(PP_Grid[#Data],$DE1493,31),0)</f>
        <v/>
      </c>
      <c r="AI1493">
        <f>IFERROR(INDEX(PP_Grid[#Data],$DE1493,32),0)</f>
        <v/>
      </c>
      <c r="AJ1493">
        <f>IFERROR(INDEX(PP_Grid[#Data],$DE1493,33),0)</f>
        <v/>
      </c>
      <c r="AK1493">
        <f>IFERROR(INDEX(PP_Grid[#Data],$DE1493,34),0)</f>
        <v/>
      </c>
      <c r="AL1493">
        <f>IFERROR(INDEX(PP_Grid[#Data],$DE1493,35),0)</f>
        <v/>
      </c>
      <c r="AM1493">
        <f>IFERROR(INDEX(PP_Grid[#Data],$DE1493,36),0)</f>
        <v/>
      </c>
      <c r="AN1493">
        <f>IFERROR(INDEX(PP_Grid[#Data],$DE1493,37),0)</f>
        <v/>
      </c>
      <c r="AO1493">
        <f>IFERROR(INDEX(PP_Grid[#Data],$DE1493,38),0)</f>
        <v/>
      </c>
      <c r="AP1493">
        <f>IFERROR(INDEX(PP_Grid[#Data],$DE1493,39),0)</f>
        <v/>
      </c>
      <c r="AQ1493">
        <f>IFERROR(INDEX(PP_Grid[#Data],$DE1493,40),0)</f>
        <v/>
      </c>
      <c r="AR1493">
        <f>IFERROR(INDEX(PP_Grid[#Data],$DE1493,41),0)</f>
        <v/>
      </c>
      <c r="AS1493">
        <f>IFERROR(INDEX(PP_Grid[#Data],$DE1493,42),0)</f>
        <v/>
      </c>
      <c r="AT1493">
        <f>IFERROR(INDEX(PP_Grid[#Data],$DE1493,43),0)</f>
        <v/>
      </c>
      <c r="AU1493">
        <f>IFERROR(INDEX(PP_Grid[#Data],$DE1493,44),0)</f>
        <v/>
      </c>
      <c r="AV1493">
        <f>IFERROR(INDEX(PP_Grid[#Data],$DE1493,45),0)</f>
        <v/>
      </c>
      <c r="AW1493">
        <f>IFERROR(INDEX(PP_Grid[#Data],$DE1493,46),0)</f>
        <v/>
      </c>
      <c r="AX1493">
        <f>IFERROR(INDEX(PP_Grid[#Data],$DE1493,47),0)</f>
        <v/>
      </c>
      <c r="AY1493">
        <f>IFERROR(INDEX(PP_Grid[#Data],$DE1493,48),0)</f>
        <v/>
      </c>
      <c r="AZ1493">
        <f>IFERROR(INDEX(PP_Grid[#Data],$DE1493,49),0)</f>
        <v/>
      </c>
      <c r="BA1493">
        <f>IFERROR(INDEX(PP_Grid[#Data],$DE1493,50),0)</f>
        <v/>
      </c>
      <c r="BB1493">
        <f>IFERROR(INDEX(PP_Grid[#Data],$DE1493,51),0)</f>
        <v/>
      </c>
      <c r="BC1493">
        <f>IFERROR(INDEX(PP_Grid[#Data],$DE1493,52),0)</f>
        <v/>
      </c>
      <c r="BD1493">
        <f>IFERROR(INDEX(PP_Grid[#Data],$DE1493,53),0)</f>
        <v/>
      </c>
      <c r="BE1493">
        <f>IFERROR(INDEX(PP_Grid[#Data],$DE1493,54),0)</f>
        <v/>
      </c>
      <c r="BF1493">
        <f>IFERROR(INDEX(PP_Grid[#Data],$DE1493,55),0)</f>
        <v/>
      </c>
      <c r="BG1493">
        <f>IFERROR(INDEX(PP_Grid[#Data],$DE1493,56),0)</f>
        <v/>
      </c>
      <c r="BH1493">
        <f>IFERROR(INDEX(PP_Grid[#Data],$DE1493,57),0)</f>
        <v/>
      </c>
      <c r="BI1493">
        <f>IFERROR(INDEX(PP_Grid[#Data],$DE1493,58),0)</f>
        <v/>
      </c>
      <c r="BJ1493">
        <f>IFERROR(INDEX(PP_Grid[#Data],$DE1493,59),0)</f>
        <v/>
      </c>
      <c r="BK1493">
        <f>IFERROR(INDEX(PP_Grid[#Data],$DE1493,60),0)</f>
        <v/>
      </c>
      <c r="BL1493">
        <f>IFERROR(INDEX(PP_Grid[#Data],$DE1493,61),0)</f>
        <v/>
      </c>
      <c r="BM1493">
        <f>IFERROR(INDEX(PP_Grid[#Data],$DE1493,62),0)</f>
        <v/>
      </c>
      <c r="BN1493">
        <f>IFERROR(INDEX(PP_Grid[#Data],$DE1493,63),0)</f>
        <v/>
      </c>
      <c r="BO1493">
        <f>IFERROR(INDEX(PP_Grid[#Data],$DE1493,64),0)</f>
        <v/>
      </c>
      <c r="BP1493">
        <f>IFERROR(INDEX(PP_Grid[#Data],$DE1493,65),0)</f>
        <v/>
      </c>
      <c r="BQ1493">
        <f>IFERROR(INDEX(PP_Grid[#Data],$DE1493,66),0)</f>
        <v/>
      </c>
      <c r="BR1493">
        <f>IFERROR(INDEX(PP_Grid[#Data],$DE1493,67),0)</f>
        <v/>
      </c>
      <c r="BS1493">
        <f>IFERROR(INDEX(PP_Grid[#Data],$DE1493,68),0)</f>
        <v/>
      </c>
      <c r="BT1493">
        <f>IFERROR(INDEX(PP_Grid[#Data],$DE1493,69),0)</f>
        <v/>
      </c>
      <c r="BU1493">
        <f>IFERROR(INDEX(PP_Grid[#Data],$DE1493,70),0)</f>
        <v/>
      </c>
      <c r="BV1493">
        <f>IFERROR(INDEX(PP_Grid[#Data],$DE1493,71),0)</f>
        <v/>
      </c>
      <c r="BW1493">
        <f>IFERROR(INDEX(PP_Grid[#Data],$DE1493,72),0)</f>
        <v/>
      </c>
      <c r="BX1493">
        <f>IFERROR(INDEX(PP_Grid[#Data],$DE1493,73),0)</f>
        <v/>
      </c>
      <c r="BY1493">
        <f>IFERROR(INDEX(PP_Grid[#Data],$DE1493,74),0)</f>
        <v/>
      </c>
      <c r="BZ1493">
        <f>IFERROR(INDEX(PP_Grid[#Data],$DE1493,75),0)</f>
        <v/>
      </c>
      <c r="CA1493">
        <f>IFERROR(INDEX(PP_Grid[#Data],$DE1493,76),0)</f>
        <v/>
      </c>
      <c r="CB1493">
        <f>IFERROR(INDEX(PP_Grid[#Data],$DE1493,77),0)</f>
        <v/>
      </c>
      <c r="CC1493">
        <f>IFERROR(INDEX(PP_Grid[#Data],$DE1493,78),0)</f>
        <v/>
      </c>
      <c r="CD1493">
        <f>IFERROR(INDEX(PP_Grid[#Data],$DE1493,79),0)</f>
        <v/>
      </c>
      <c r="CE1493">
        <f>IFERROR(INDEX(PP_Grid[#Data],$DE1493,80),0)</f>
        <v/>
      </c>
      <c r="CF1493">
        <f>IFERROR(INDEX(PP_Grid[#Data],$DE1493,81),0)</f>
        <v/>
      </c>
      <c r="CG1493">
        <f>IFERROR(INDEX(PP_Grid[#Data],$DE1493,82),0)</f>
        <v/>
      </c>
      <c r="CH1493">
        <f>IFERROR(INDEX(PP_Grid[#Data],$DE1493,83),0)</f>
        <v/>
      </c>
      <c r="CI1493">
        <f>IFERROR(INDEX(PP_Grid[#Data],$DE1493,84),0)</f>
        <v/>
      </c>
      <c r="CJ1493">
        <f>IFERROR(INDEX(PP_Grid[#Data],$DE1493,85),0)</f>
        <v/>
      </c>
      <c r="CK1493">
        <f>IFERROR(INDEX(PP_Grid[#Data],$DE1493,86),0)</f>
        <v/>
      </c>
      <c r="CL1493">
        <f>IFERROR(INDEX(PP_Grid[#Data],$DE1493,87),0)</f>
        <v/>
      </c>
      <c r="CM1493">
        <f>IFERROR(INDEX(PP_Grid[#Data],$DE1493,88),0)</f>
        <v/>
      </c>
      <c r="CN1493">
        <f>IFERROR(INDEX(PP_Grid[#Data],$DE1493,89),0)</f>
        <v/>
      </c>
      <c r="CO1493">
        <f>IFERROR(INDEX(PP_Grid[#Data],$DE1493,90),0)</f>
        <v/>
      </c>
      <c r="CP1493">
        <f>IFERROR(INDEX(PP_Grid[#Data],$DE1493,91),0)</f>
        <v/>
      </c>
      <c r="CQ1493">
        <f>IFERROR(INDEX(PP_Grid[#Data],$DE1493,92),0)</f>
        <v/>
      </c>
      <c r="CR1493">
        <f>IFERROR(INDEX(PP_Grid[#Data],$DE1493,93),0)</f>
        <v/>
      </c>
      <c r="CS1493">
        <f>IFERROR(INDEX(PP_Grid[#Data],$DE1493,94),0)</f>
        <v/>
      </c>
      <c r="CT1493">
        <f>IFERROR(INDEX(PP_Grid[#Data],$DE1493,95),0)</f>
        <v/>
      </c>
      <c r="CU1493">
        <f>IFERROR(INDEX(PP_Grid[#Data],$DE1493,96),0)</f>
        <v/>
      </c>
      <c r="CV1493">
        <f>IFERROR(INDEX(PP_Grid[#Data],$DE1493,97),0)</f>
        <v/>
      </c>
      <c r="CW1493">
        <f>IFERROR(INDEX(PP_Grid[#Data],$DE1493,98),0)</f>
        <v/>
      </c>
      <c r="CX1493">
        <f>IFERROR(INDEX(PP_Grid[#Data],$DE1493,99),0)</f>
        <v/>
      </c>
      <c r="CY1493">
        <f>IFERROR(INDEX(PP_Grid[#Data],$DE1493,100),0)</f>
        <v/>
      </c>
      <c r="CZ1493">
        <f>IFERROR(INDEX(PP_Grid[#Data],$DE1493,101),0)</f>
        <v/>
      </c>
      <c r="DA1493">
        <f>IFERROR(INDEX(PP_Grid[#Data],$DE1493,102),0)</f>
        <v/>
      </c>
      <c r="DB1493">
        <f>IFERROR(INDEX(PP_Grid[#Data],$DE1493,103),0)</f>
        <v/>
      </c>
      <c r="DC1493">
        <f>IFERROR(INDEX(PP_Grid[#Data],$DE1493,104),0)</f>
        <v/>
      </c>
      <c r="DD1493">
        <f>IFERROR(INDEX(PP_Grid[#Data],$DE1493,105),0)</f>
        <v/>
      </c>
      <c r="DE1493" s="7">
        <f>IFERROR(MATCH($B1493,PP_Grid[Intermediate],0),99999)</f>
        <v/>
      </c>
    </row>
    <row r="1494">
      <c r="B1494" t="inlineStr">
        <is>
          <t>使用量(kg)</t>
        </is>
      </c>
      <c r="C1494">
        <f>SUMIFS(M_BOM[RM_Qty_Per_Batch],M_BOM[Intermediate],$B1493,M_BOM[RM_Code],$A1486)</f>
        <v/>
      </c>
      <c r="D1494">
        <f>IFERROR(INDEX(E1494:DD1494,$F$1),"")</f>
        <v/>
      </c>
      <c r="E1494">
        <f>$C1494*E1493</f>
        <v/>
      </c>
      <c r="F1494">
        <f>$C1494*F1493</f>
        <v/>
      </c>
      <c r="G1494">
        <f>$C1494*G1493</f>
        <v/>
      </c>
      <c r="H1494">
        <f>$C1494*H1493</f>
        <v/>
      </c>
      <c r="I1494">
        <f>$C1494*I1493</f>
        <v/>
      </c>
      <c r="J1494">
        <f>$C1494*J1493</f>
        <v/>
      </c>
      <c r="K1494">
        <f>$C1494*K1493</f>
        <v/>
      </c>
      <c r="L1494">
        <f>$C1494*L1493</f>
        <v/>
      </c>
      <c r="M1494">
        <f>$C1494*M1493</f>
        <v/>
      </c>
      <c r="N1494">
        <f>$C1494*N1493</f>
        <v/>
      </c>
      <c r="O1494">
        <f>$C1494*O1493</f>
        <v/>
      </c>
      <c r="P1494">
        <f>$C1494*P1493</f>
        <v/>
      </c>
      <c r="Q1494">
        <f>$C1494*Q1493</f>
        <v/>
      </c>
      <c r="R1494">
        <f>$C1494*R1493</f>
        <v/>
      </c>
      <c r="S1494">
        <f>$C1494*S1493</f>
        <v/>
      </c>
      <c r="T1494">
        <f>$C1494*T1493</f>
        <v/>
      </c>
      <c r="U1494">
        <f>$C1494*U1493</f>
        <v/>
      </c>
      <c r="V1494">
        <f>$C1494*V1493</f>
        <v/>
      </c>
      <c r="W1494">
        <f>$C1494*W1493</f>
        <v/>
      </c>
      <c r="X1494">
        <f>$C1494*X1493</f>
        <v/>
      </c>
      <c r="Y1494">
        <f>$C1494*Y1493</f>
        <v/>
      </c>
      <c r="Z1494">
        <f>$C1494*Z1493</f>
        <v/>
      </c>
      <c r="AA1494">
        <f>$C1494*AA1493</f>
        <v/>
      </c>
      <c r="AB1494">
        <f>$C1494*AB1493</f>
        <v/>
      </c>
      <c r="AC1494">
        <f>$C1494*AC1493</f>
        <v/>
      </c>
      <c r="AD1494">
        <f>$C1494*AD1493</f>
        <v/>
      </c>
      <c r="AE1494">
        <f>$C1494*AE1493</f>
        <v/>
      </c>
      <c r="AF1494">
        <f>$C1494*AF1493</f>
        <v/>
      </c>
      <c r="AG1494">
        <f>$C1494*AG1493</f>
        <v/>
      </c>
      <c r="AH1494">
        <f>$C1494*AH1493</f>
        <v/>
      </c>
      <c r="AI1494">
        <f>$C1494*AI1493</f>
        <v/>
      </c>
      <c r="AJ1494">
        <f>$C1494*AJ1493</f>
        <v/>
      </c>
      <c r="AK1494">
        <f>$C1494*AK1493</f>
        <v/>
      </c>
      <c r="AL1494">
        <f>$C1494*AL1493</f>
        <v/>
      </c>
      <c r="AM1494">
        <f>$C1494*AM1493</f>
        <v/>
      </c>
      <c r="AN1494">
        <f>$C1494*AN1493</f>
        <v/>
      </c>
      <c r="AO1494">
        <f>$C1494*AO1493</f>
        <v/>
      </c>
      <c r="AP1494">
        <f>$C1494*AP1493</f>
        <v/>
      </c>
      <c r="AQ1494">
        <f>$C1494*AQ1493</f>
        <v/>
      </c>
      <c r="AR1494">
        <f>$C1494*AR1493</f>
        <v/>
      </c>
      <c r="AS1494">
        <f>$C1494*AS1493</f>
        <v/>
      </c>
      <c r="AT1494">
        <f>$C1494*AT1493</f>
        <v/>
      </c>
      <c r="AU1494">
        <f>$C1494*AU1493</f>
        <v/>
      </c>
      <c r="AV1494">
        <f>$C1494*AV1493</f>
        <v/>
      </c>
      <c r="AW1494">
        <f>$C1494*AW1493</f>
        <v/>
      </c>
      <c r="AX1494">
        <f>$C1494*AX1493</f>
        <v/>
      </c>
      <c r="AY1494">
        <f>$C1494*AY1493</f>
        <v/>
      </c>
      <c r="AZ1494">
        <f>$C1494*AZ1493</f>
        <v/>
      </c>
      <c r="BA1494">
        <f>$C1494*BA1493</f>
        <v/>
      </c>
      <c r="BB1494">
        <f>$C1494*BB1493</f>
        <v/>
      </c>
      <c r="BC1494">
        <f>$C1494*BC1493</f>
        <v/>
      </c>
      <c r="BD1494">
        <f>$C1494*BD1493</f>
        <v/>
      </c>
      <c r="BE1494">
        <f>$C1494*BE1493</f>
        <v/>
      </c>
      <c r="BF1494">
        <f>$C1494*BF1493</f>
        <v/>
      </c>
      <c r="BG1494">
        <f>$C1494*BG1493</f>
        <v/>
      </c>
      <c r="BH1494">
        <f>$C1494*BH1493</f>
        <v/>
      </c>
      <c r="BI1494">
        <f>$C1494*BI1493</f>
        <v/>
      </c>
      <c r="BJ1494">
        <f>$C1494*BJ1493</f>
        <v/>
      </c>
      <c r="BK1494">
        <f>$C1494*BK1493</f>
        <v/>
      </c>
      <c r="BL1494">
        <f>$C1494*BL1493</f>
        <v/>
      </c>
      <c r="BM1494">
        <f>$C1494*BM1493</f>
        <v/>
      </c>
      <c r="BN1494">
        <f>$C1494*BN1493</f>
        <v/>
      </c>
      <c r="BO1494">
        <f>$C1494*BO1493</f>
        <v/>
      </c>
      <c r="BP1494">
        <f>$C1494*BP1493</f>
        <v/>
      </c>
      <c r="BQ1494">
        <f>$C1494*BQ1493</f>
        <v/>
      </c>
      <c r="BR1494">
        <f>$C1494*BR1493</f>
        <v/>
      </c>
      <c r="BS1494">
        <f>$C1494*BS1493</f>
        <v/>
      </c>
      <c r="BT1494">
        <f>$C1494*BT1493</f>
        <v/>
      </c>
      <c r="BU1494">
        <f>$C1494*BU1493</f>
        <v/>
      </c>
      <c r="BV1494">
        <f>$C1494*BV1493</f>
        <v/>
      </c>
      <c r="BW1494">
        <f>$C1494*BW1493</f>
        <v/>
      </c>
      <c r="BX1494">
        <f>$C1494*BX1493</f>
        <v/>
      </c>
      <c r="BY1494">
        <f>$C1494*BY1493</f>
        <v/>
      </c>
      <c r="BZ1494">
        <f>$C1494*BZ1493</f>
        <v/>
      </c>
      <c r="CA1494">
        <f>$C1494*CA1493</f>
        <v/>
      </c>
      <c r="CB1494">
        <f>$C1494*CB1493</f>
        <v/>
      </c>
      <c r="CC1494">
        <f>$C1494*CC1493</f>
        <v/>
      </c>
      <c r="CD1494">
        <f>$C1494*CD1493</f>
        <v/>
      </c>
      <c r="CE1494">
        <f>$C1494*CE1493</f>
        <v/>
      </c>
      <c r="CF1494">
        <f>$C1494*CF1493</f>
        <v/>
      </c>
      <c r="CG1494">
        <f>$C1494*CG1493</f>
        <v/>
      </c>
      <c r="CH1494">
        <f>$C1494*CH1493</f>
        <v/>
      </c>
      <c r="CI1494">
        <f>$C1494*CI1493</f>
        <v/>
      </c>
      <c r="CJ1494">
        <f>$C1494*CJ1493</f>
        <v/>
      </c>
      <c r="CK1494">
        <f>$C1494*CK1493</f>
        <v/>
      </c>
      <c r="CL1494">
        <f>$C1494*CL1493</f>
        <v/>
      </c>
      <c r="CM1494">
        <f>$C1494*CM1493</f>
        <v/>
      </c>
      <c r="CN1494">
        <f>$C1494*CN1493</f>
        <v/>
      </c>
      <c r="CO1494">
        <f>$C1494*CO1493</f>
        <v/>
      </c>
      <c r="CP1494">
        <f>$C1494*CP1493</f>
        <v/>
      </c>
      <c r="CQ1494">
        <f>$C1494*CQ1493</f>
        <v/>
      </c>
      <c r="CR1494">
        <f>$C1494*CR1493</f>
        <v/>
      </c>
      <c r="CS1494">
        <f>$C1494*CS1493</f>
        <v/>
      </c>
      <c r="CT1494">
        <f>$C1494*CT1493</f>
        <v/>
      </c>
      <c r="CU1494">
        <f>$C1494*CU1493</f>
        <v/>
      </c>
      <c r="CV1494">
        <f>$C1494*CV1493</f>
        <v/>
      </c>
      <c r="CW1494">
        <f>$C1494*CW1493</f>
        <v/>
      </c>
      <c r="CX1494">
        <f>$C1494*CX1493</f>
        <v/>
      </c>
      <c r="CY1494">
        <f>$C1494*CY1493</f>
        <v/>
      </c>
      <c r="CZ1494">
        <f>$C1494*CZ1493</f>
        <v/>
      </c>
      <c r="DA1494">
        <f>$C1494*DA1493</f>
        <v/>
      </c>
      <c r="DB1494">
        <f>$C1494*DB1493</f>
        <v/>
      </c>
      <c r="DC1494">
        <f>$C1494*DC1493</f>
        <v/>
      </c>
      <c r="DD1494">
        <f>$C1494*DD1493</f>
        <v/>
      </c>
    </row>
    <row r="1495">
      <c r="B1495" s="4" t="inlineStr">
        <is>
          <t>合計使用量(kg)/週</t>
        </is>
      </c>
      <c r="D1495" s="23">
        <f>IFERROR(INDEX(E1495:DD1495,$F$1),"")</f>
        <v/>
      </c>
      <c r="E1495">
        <f>'Grid_Requirement'!B69</f>
        <v/>
      </c>
      <c r="F1495">
        <f>'Grid_Requirement'!C69</f>
        <v/>
      </c>
      <c r="G1495">
        <f>'Grid_Requirement'!D69</f>
        <v/>
      </c>
      <c r="H1495">
        <f>'Grid_Requirement'!E69</f>
        <v/>
      </c>
      <c r="I1495">
        <f>'Grid_Requirement'!F69</f>
        <v/>
      </c>
      <c r="J1495">
        <f>'Grid_Requirement'!G69</f>
        <v/>
      </c>
      <c r="K1495">
        <f>'Grid_Requirement'!H69</f>
        <v/>
      </c>
      <c r="L1495">
        <f>'Grid_Requirement'!I69</f>
        <v/>
      </c>
      <c r="M1495">
        <f>'Grid_Requirement'!J69</f>
        <v/>
      </c>
      <c r="N1495">
        <f>'Grid_Requirement'!K69</f>
        <v/>
      </c>
      <c r="O1495">
        <f>'Grid_Requirement'!L69</f>
        <v/>
      </c>
      <c r="P1495">
        <f>'Grid_Requirement'!M69</f>
        <v/>
      </c>
      <c r="Q1495">
        <f>'Grid_Requirement'!N69</f>
        <v/>
      </c>
      <c r="R1495">
        <f>'Grid_Requirement'!O69</f>
        <v/>
      </c>
      <c r="S1495">
        <f>'Grid_Requirement'!P69</f>
        <v/>
      </c>
      <c r="T1495">
        <f>'Grid_Requirement'!Q69</f>
        <v/>
      </c>
      <c r="U1495">
        <f>'Grid_Requirement'!R69</f>
        <v/>
      </c>
      <c r="V1495">
        <f>'Grid_Requirement'!S69</f>
        <v/>
      </c>
      <c r="W1495">
        <f>'Grid_Requirement'!T69</f>
        <v/>
      </c>
      <c r="X1495">
        <f>'Grid_Requirement'!U69</f>
        <v/>
      </c>
      <c r="Y1495">
        <f>'Grid_Requirement'!V69</f>
        <v/>
      </c>
      <c r="Z1495">
        <f>'Grid_Requirement'!W69</f>
        <v/>
      </c>
      <c r="AA1495">
        <f>'Grid_Requirement'!X69</f>
        <v/>
      </c>
      <c r="AB1495">
        <f>'Grid_Requirement'!Y69</f>
        <v/>
      </c>
      <c r="AC1495">
        <f>'Grid_Requirement'!Z69</f>
        <v/>
      </c>
      <c r="AD1495">
        <f>'Grid_Requirement'!AA69</f>
        <v/>
      </c>
      <c r="AE1495">
        <f>'Grid_Requirement'!AB69</f>
        <v/>
      </c>
      <c r="AF1495">
        <f>'Grid_Requirement'!AC69</f>
        <v/>
      </c>
      <c r="AG1495">
        <f>'Grid_Requirement'!AD69</f>
        <v/>
      </c>
      <c r="AH1495">
        <f>'Grid_Requirement'!AE69</f>
        <v/>
      </c>
      <c r="AI1495">
        <f>'Grid_Requirement'!AF69</f>
        <v/>
      </c>
      <c r="AJ1495">
        <f>'Grid_Requirement'!AG69</f>
        <v/>
      </c>
      <c r="AK1495">
        <f>'Grid_Requirement'!AH69</f>
        <v/>
      </c>
      <c r="AL1495">
        <f>'Grid_Requirement'!AI69</f>
        <v/>
      </c>
      <c r="AM1495">
        <f>'Grid_Requirement'!AJ69</f>
        <v/>
      </c>
      <c r="AN1495">
        <f>'Grid_Requirement'!AK69</f>
        <v/>
      </c>
      <c r="AO1495">
        <f>'Grid_Requirement'!AL69</f>
        <v/>
      </c>
      <c r="AP1495">
        <f>'Grid_Requirement'!AM69</f>
        <v/>
      </c>
      <c r="AQ1495">
        <f>'Grid_Requirement'!AN69</f>
        <v/>
      </c>
      <c r="AR1495">
        <f>'Grid_Requirement'!AO69</f>
        <v/>
      </c>
      <c r="AS1495">
        <f>'Grid_Requirement'!AP69</f>
        <v/>
      </c>
      <c r="AT1495">
        <f>'Grid_Requirement'!AQ69</f>
        <v/>
      </c>
      <c r="AU1495">
        <f>'Grid_Requirement'!AR69</f>
        <v/>
      </c>
      <c r="AV1495">
        <f>'Grid_Requirement'!AS69</f>
        <v/>
      </c>
      <c r="AW1495">
        <f>'Grid_Requirement'!AT69</f>
        <v/>
      </c>
      <c r="AX1495">
        <f>'Grid_Requirement'!AU69</f>
        <v/>
      </c>
      <c r="AY1495">
        <f>'Grid_Requirement'!AV69</f>
        <v/>
      </c>
      <c r="AZ1495">
        <f>'Grid_Requirement'!AW69</f>
        <v/>
      </c>
      <c r="BA1495">
        <f>'Grid_Requirement'!AX69</f>
        <v/>
      </c>
      <c r="BB1495">
        <f>'Grid_Requirement'!AY69</f>
        <v/>
      </c>
      <c r="BC1495">
        <f>'Grid_Requirement'!AZ69</f>
        <v/>
      </c>
      <c r="BD1495">
        <f>'Grid_Requirement'!BA69</f>
        <v/>
      </c>
      <c r="BE1495">
        <f>'Grid_Requirement'!BB69</f>
        <v/>
      </c>
      <c r="BF1495">
        <f>'Grid_Requirement'!BC69</f>
        <v/>
      </c>
      <c r="BG1495">
        <f>'Grid_Requirement'!BD69</f>
        <v/>
      </c>
      <c r="BH1495">
        <f>'Grid_Requirement'!BE69</f>
        <v/>
      </c>
      <c r="BI1495">
        <f>'Grid_Requirement'!BF69</f>
        <v/>
      </c>
      <c r="BJ1495">
        <f>'Grid_Requirement'!BG69</f>
        <v/>
      </c>
      <c r="BK1495">
        <f>'Grid_Requirement'!BH69</f>
        <v/>
      </c>
      <c r="BL1495">
        <f>'Grid_Requirement'!BI69</f>
        <v/>
      </c>
      <c r="BM1495">
        <f>'Grid_Requirement'!BJ69</f>
        <v/>
      </c>
      <c r="BN1495">
        <f>'Grid_Requirement'!BK69</f>
        <v/>
      </c>
      <c r="BO1495">
        <f>'Grid_Requirement'!BL69</f>
        <v/>
      </c>
      <c r="BP1495">
        <f>'Grid_Requirement'!BM69</f>
        <v/>
      </c>
      <c r="BQ1495">
        <f>'Grid_Requirement'!BN69</f>
        <v/>
      </c>
      <c r="BR1495">
        <f>'Grid_Requirement'!BO69</f>
        <v/>
      </c>
      <c r="BS1495">
        <f>'Grid_Requirement'!BP69</f>
        <v/>
      </c>
      <c r="BT1495">
        <f>'Grid_Requirement'!BQ69</f>
        <v/>
      </c>
      <c r="BU1495">
        <f>'Grid_Requirement'!BR69</f>
        <v/>
      </c>
      <c r="BV1495">
        <f>'Grid_Requirement'!BS69</f>
        <v/>
      </c>
      <c r="BW1495">
        <f>'Grid_Requirement'!BT69</f>
        <v/>
      </c>
      <c r="BX1495">
        <f>'Grid_Requirement'!BU69</f>
        <v/>
      </c>
      <c r="BY1495">
        <f>'Grid_Requirement'!BV69</f>
        <v/>
      </c>
      <c r="BZ1495">
        <f>'Grid_Requirement'!BW69</f>
        <v/>
      </c>
      <c r="CA1495">
        <f>'Grid_Requirement'!BX69</f>
        <v/>
      </c>
      <c r="CB1495">
        <f>'Grid_Requirement'!BY69</f>
        <v/>
      </c>
      <c r="CC1495">
        <f>'Grid_Requirement'!BZ69</f>
        <v/>
      </c>
      <c r="CD1495">
        <f>'Grid_Requirement'!CA69</f>
        <v/>
      </c>
      <c r="CE1495">
        <f>'Grid_Requirement'!CB69</f>
        <v/>
      </c>
      <c r="CF1495">
        <f>'Grid_Requirement'!CC69</f>
        <v/>
      </c>
      <c r="CG1495">
        <f>'Grid_Requirement'!CD69</f>
        <v/>
      </c>
      <c r="CH1495">
        <f>'Grid_Requirement'!CE69</f>
        <v/>
      </c>
      <c r="CI1495">
        <f>'Grid_Requirement'!CF69</f>
        <v/>
      </c>
      <c r="CJ1495">
        <f>'Grid_Requirement'!CG69</f>
        <v/>
      </c>
      <c r="CK1495">
        <f>'Grid_Requirement'!CH69</f>
        <v/>
      </c>
      <c r="CL1495">
        <f>'Grid_Requirement'!CI69</f>
        <v/>
      </c>
      <c r="CM1495">
        <f>'Grid_Requirement'!CJ69</f>
        <v/>
      </c>
      <c r="CN1495">
        <f>'Grid_Requirement'!CK69</f>
        <v/>
      </c>
      <c r="CO1495">
        <f>'Grid_Requirement'!CL69</f>
        <v/>
      </c>
      <c r="CP1495">
        <f>'Grid_Requirement'!CM69</f>
        <v/>
      </c>
      <c r="CQ1495">
        <f>'Grid_Requirement'!CN69</f>
        <v/>
      </c>
      <c r="CR1495">
        <f>'Grid_Requirement'!CO69</f>
        <v/>
      </c>
      <c r="CS1495">
        <f>'Grid_Requirement'!CP69</f>
        <v/>
      </c>
      <c r="CT1495">
        <f>'Grid_Requirement'!CQ69</f>
        <v/>
      </c>
      <c r="CU1495">
        <f>'Grid_Requirement'!CR69</f>
        <v/>
      </c>
      <c r="CV1495">
        <f>'Grid_Requirement'!CS69</f>
        <v/>
      </c>
      <c r="CW1495">
        <f>'Grid_Requirement'!CT69</f>
        <v/>
      </c>
      <c r="CX1495">
        <f>'Grid_Requirement'!CU69</f>
        <v/>
      </c>
      <c r="CY1495">
        <f>'Grid_Requirement'!CV69</f>
        <v/>
      </c>
      <c r="CZ1495">
        <f>'Grid_Requirement'!CW69</f>
        <v/>
      </c>
      <c r="DA1495">
        <f>'Grid_Requirement'!CX69</f>
        <v/>
      </c>
      <c r="DB1495">
        <f>'Grid_Requirement'!CY69</f>
        <v/>
      </c>
      <c r="DC1495">
        <f>'Grid_Requirement'!CZ69</f>
        <v/>
      </c>
      <c r="DD1495">
        <f>'Grid_Requirement'!DA69</f>
        <v/>
      </c>
    </row>
    <row r="1496">
      <c r="B1496" t="inlineStr">
        <is>
          <t>TTAF在庫(実績,kg)</t>
        </is>
      </c>
      <c r="D1496">
        <f>IFERROR(INDEX(E1496:DD1496,$F$1),"")</f>
        <v/>
      </c>
      <c r="E1496">
        <f>IFERROR(SUMIFS(T_TTAFStock[TTAF_Qty],T_TTAFStock[RM_Code],$A1486,T_TTAFStock[WeekIndex],1),"")</f>
        <v/>
      </c>
      <c r="F1496">
        <f>IFERROR(SUMIFS(T_TTAFStock[TTAF_Qty],T_TTAFStock[RM_Code],$A1486,T_TTAFStock[WeekIndex],2),"")</f>
        <v/>
      </c>
      <c r="G1496">
        <f>IFERROR(SUMIFS(T_TTAFStock[TTAF_Qty],T_TTAFStock[RM_Code],$A1486,T_TTAFStock[WeekIndex],3),"")</f>
        <v/>
      </c>
      <c r="H1496">
        <f>IFERROR(SUMIFS(T_TTAFStock[TTAF_Qty],T_TTAFStock[RM_Code],$A1486,T_TTAFStock[WeekIndex],4),"")</f>
        <v/>
      </c>
      <c r="I1496">
        <f>IFERROR(SUMIFS(T_TTAFStock[TTAF_Qty],T_TTAFStock[RM_Code],$A1486,T_TTAFStock[WeekIndex],5),"")</f>
        <v/>
      </c>
      <c r="J1496">
        <f>IFERROR(SUMIFS(T_TTAFStock[TTAF_Qty],T_TTAFStock[RM_Code],$A1486,T_TTAFStock[WeekIndex],6),"")</f>
        <v/>
      </c>
      <c r="K1496">
        <f>IFERROR(SUMIFS(T_TTAFStock[TTAF_Qty],T_TTAFStock[RM_Code],$A1486,T_TTAFStock[WeekIndex],7),"")</f>
        <v/>
      </c>
      <c r="L1496">
        <f>IFERROR(SUMIFS(T_TTAFStock[TTAF_Qty],T_TTAFStock[RM_Code],$A1486,T_TTAFStock[WeekIndex],8),"")</f>
        <v/>
      </c>
      <c r="M1496">
        <f>IFERROR(SUMIFS(T_TTAFStock[TTAF_Qty],T_TTAFStock[RM_Code],$A1486,T_TTAFStock[WeekIndex],9),"")</f>
        <v/>
      </c>
      <c r="N1496">
        <f>IFERROR(SUMIFS(T_TTAFStock[TTAF_Qty],T_TTAFStock[RM_Code],$A1486,T_TTAFStock[WeekIndex],10),"")</f>
        <v/>
      </c>
      <c r="O1496">
        <f>IFERROR(SUMIFS(T_TTAFStock[TTAF_Qty],T_TTAFStock[RM_Code],$A1486,T_TTAFStock[WeekIndex],11),"")</f>
        <v/>
      </c>
      <c r="P1496">
        <f>IFERROR(SUMIFS(T_TTAFStock[TTAF_Qty],T_TTAFStock[RM_Code],$A1486,T_TTAFStock[WeekIndex],12),"")</f>
        <v/>
      </c>
      <c r="Q1496">
        <f>IFERROR(SUMIFS(T_TTAFStock[TTAF_Qty],T_TTAFStock[RM_Code],$A1486,T_TTAFStock[WeekIndex],13),"")</f>
        <v/>
      </c>
      <c r="R1496">
        <f>IFERROR(SUMIFS(T_TTAFStock[TTAF_Qty],T_TTAFStock[RM_Code],$A1486,T_TTAFStock[WeekIndex],14),"")</f>
        <v/>
      </c>
      <c r="S1496">
        <f>IFERROR(SUMIFS(T_TTAFStock[TTAF_Qty],T_TTAFStock[RM_Code],$A1486,T_TTAFStock[WeekIndex],15),"")</f>
        <v/>
      </c>
      <c r="T1496">
        <f>IFERROR(SUMIFS(T_TTAFStock[TTAF_Qty],T_TTAFStock[RM_Code],$A1486,T_TTAFStock[WeekIndex],16),"")</f>
        <v/>
      </c>
      <c r="U1496">
        <f>IFERROR(SUMIFS(T_TTAFStock[TTAF_Qty],T_TTAFStock[RM_Code],$A1486,T_TTAFStock[WeekIndex],17),"")</f>
        <v/>
      </c>
      <c r="V1496">
        <f>IFERROR(SUMIFS(T_TTAFStock[TTAF_Qty],T_TTAFStock[RM_Code],$A1486,T_TTAFStock[WeekIndex],18),"")</f>
        <v/>
      </c>
      <c r="W1496">
        <f>IFERROR(SUMIFS(T_TTAFStock[TTAF_Qty],T_TTAFStock[RM_Code],$A1486,T_TTAFStock[WeekIndex],19),"")</f>
        <v/>
      </c>
      <c r="X1496">
        <f>IFERROR(SUMIFS(T_TTAFStock[TTAF_Qty],T_TTAFStock[RM_Code],$A1486,T_TTAFStock[WeekIndex],20),"")</f>
        <v/>
      </c>
      <c r="Y1496">
        <f>IFERROR(SUMIFS(T_TTAFStock[TTAF_Qty],T_TTAFStock[RM_Code],$A1486,T_TTAFStock[WeekIndex],21),"")</f>
        <v/>
      </c>
      <c r="Z1496">
        <f>IFERROR(SUMIFS(T_TTAFStock[TTAF_Qty],T_TTAFStock[RM_Code],$A1486,T_TTAFStock[WeekIndex],22),"")</f>
        <v/>
      </c>
      <c r="AA1496">
        <f>IFERROR(SUMIFS(T_TTAFStock[TTAF_Qty],T_TTAFStock[RM_Code],$A1486,T_TTAFStock[WeekIndex],23),"")</f>
        <v/>
      </c>
      <c r="AB1496">
        <f>IFERROR(SUMIFS(T_TTAFStock[TTAF_Qty],T_TTAFStock[RM_Code],$A1486,T_TTAFStock[WeekIndex],24),"")</f>
        <v/>
      </c>
      <c r="AC1496">
        <f>IFERROR(SUMIFS(T_TTAFStock[TTAF_Qty],T_TTAFStock[RM_Code],$A1486,T_TTAFStock[WeekIndex],25),"")</f>
        <v/>
      </c>
      <c r="AD1496">
        <f>IFERROR(SUMIFS(T_TTAFStock[TTAF_Qty],T_TTAFStock[RM_Code],$A1486,T_TTAFStock[WeekIndex],26),"")</f>
        <v/>
      </c>
      <c r="AE1496">
        <f>IFERROR(SUMIFS(T_TTAFStock[TTAF_Qty],T_TTAFStock[RM_Code],$A1486,T_TTAFStock[WeekIndex],27),"")</f>
        <v/>
      </c>
      <c r="AF1496">
        <f>IFERROR(SUMIFS(T_TTAFStock[TTAF_Qty],T_TTAFStock[RM_Code],$A1486,T_TTAFStock[WeekIndex],28),"")</f>
        <v/>
      </c>
      <c r="AG1496">
        <f>IFERROR(SUMIFS(T_TTAFStock[TTAF_Qty],T_TTAFStock[RM_Code],$A1486,T_TTAFStock[WeekIndex],29),"")</f>
        <v/>
      </c>
      <c r="AH1496">
        <f>IFERROR(SUMIFS(T_TTAFStock[TTAF_Qty],T_TTAFStock[RM_Code],$A1486,T_TTAFStock[WeekIndex],30),"")</f>
        <v/>
      </c>
      <c r="AI1496">
        <f>IFERROR(SUMIFS(T_TTAFStock[TTAF_Qty],T_TTAFStock[RM_Code],$A1486,T_TTAFStock[WeekIndex],31),"")</f>
        <v/>
      </c>
      <c r="AJ1496">
        <f>IFERROR(SUMIFS(T_TTAFStock[TTAF_Qty],T_TTAFStock[RM_Code],$A1486,T_TTAFStock[WeekIndex],32),"")</f>
        <v/>
      </c>
      <c r="AK1496">
        <f>IFERROR(SUMIFS(T_TTAFStock[TTAF_Qty],T_TTAFStock[RM_Code],$A1486,T_TTAFStock[WeekIndex],33),"")</f>
        <v/>
      </c>
      <c r="AL1496">
        <f>IFERROR(SUMIFS(T_TTAFStock[TTAF_Qty],T_TTAFStock[RM_Code],$A1486,T_TTAFStock[WeekIndex],34),"")</f>
        <v/>
      </c>
      <c r="AM1496">
        <f>IFERROR(SUMIFS(T_TTAFStock[TTAF_Qty],T_TTAFStock[RM_Code],$A1486,T_TTAFStock[WeekIndex],35),"")</f>
        <v/>
      </c>
      <c r="AN1496">
        <f>IFERROR(SUMIFS(T_TTAFStock[TTAF_Qty],T_TTAFStock[RM_Code],$A1486,T_TTAFStock[WeekIndex],36),"")</f>
        <v/>
      </c>
      <c r="AO1496">
        <f>IFERROR(SUMIFS(T_TTAFStock[TTAF_Qty],T_TTAFStock[RM_Code],$A1486,T_TTAFStock[WeekIndex],37),"")</f>
        <v/>
      </c>
      <c r="AP1496">
        <f>IFERROR(SUMIFS(T_TTAFStock[TTAF_Qty],T_TTAFStock[RM_Code],$A1486,T_TTAFStock[WeekIndex],38),"")</f>
        <v/>
      </c>
      <c r="AQ1496">
        <f>IFERROR(SUMIFS(T_TTAFStock[TTAF_Qty],T_TTAFStock[RM_Code],$A1486,T_TTAFStock[WeekIndex],39),"")</f>
        <v/>
      </c>
      <c r="AR1496">
        <f>IFERROR(SUMIFS(T_TTAFStock[TTAF_Qty],T_TTAFStock[RM_Code],$A1486,T_TTAFStock[WeekIndex],40),"")</f>
        <v/>
      </c>
      <c r="AS1496">
        <f>IFERROR(SUMIFS(T_TTAFStock[TTAF_Qty],T_TTAFStock[RM_Code],$A1486,T_TTAFStock[WeekIndex],41),"")</f>
        <v/>
      </c>
      <c r="AT1496">
        <f>IFERROR(SUMIFS(T_TTAFStock[TTAF_Qty],T_TTAFStock[RM_Code],$A1486,T_TTAFStock[WeekIndex],42),"")</f>
        <v/>
      </c>
      <c r="AU1496">
        <f>IFERROR(SUMIFS(T_TTAFStock[TTAF_Qty],T_TTAFStock[RM_Code],$A1486,T_TTAFStock[WeekIndex],43),"")</f>
        <v/>
      </c>
      <c r="AV1496">
        <f>IFERROR(SUMIFS(T_TTAFStock[TTAF_Qty],T_TTAFStock[RM_Code],$A1486,T_TTAFStock[WeekIndex],44),"")</f>
        <v/>
      </c>
      <c r="AW1496">
        <f>IFERROR(SUMIFS(T_TTAFStock[TTAF_Qty],T_TTAFStock[RM_Code],$A1486,T_TTAFStock[WeekIndex],45),"")</f>
        <v/>
      </c>
      <c r="AX1496">
        <f>IFERROR(SUMIFS(T_TTAFStock[TTAF_Qty],T_TTAFStock[RM_Code],$A1486,T_TTAFStock[WeekIndex],46),"")</f>
        <v/>
      </c>
      <c r="AY1496">
        <f>IFERROR(SUMIFS(T_TTAFStock[TTAF_Qty],T_TTAFStock[RM_Code],$A1486,T_TTAFStock[WeekIndex],47),"")</f>
        <v/>
      </c>
      <c r="AZ1496">
        <f>IFERROR(SUMIFS(T_TTAFStock[TTAF_Qty],T_TTAFStock[RM_Code],$A1486,T_TTAFStock[WeekIndex],48),"")</f>
        <v/>
      </c>
      <c r="BA1496">
        <f>IFERROR(SUMIFS(T_TTAFStock[TTAF_Qty],T_TTAFStock[RM_Code],$A1486,T_TTAFStock[WeekIndex],49),"")</f>
        <v/>
      </c>
      <c r="BB1496">
        <f>IFERROR(SUMIFS(T_TTAFStock[TTAF_Qty],T_TTAFStock[RM_Code],$A1486,T_TTAFStock[WeekIndex],50),"")</f>
        <v/>
      </c>
      <c r="BC1496">
        <f>IFERROR(SUMIFS(T_TTAFStock[TTAF_Qty],T_TTAFStock[RM_Code],$A1486,T_TTAFStock[WeekIndex],51),"")</f>
        <v/>
      </c>
      <c r="BD1496">
        <f>IFERROR(SUMIFS(T_TTAFStock[TTAF_Qty],T_TTAFStock[RM_Code],$A1486,T_TTAFStock[WeekIndex],52),"")</f>
        <v/>
      </c>
      <c r="BE1496">
        <f>IFERROR(SUMIFS(T_TTAFStock[TTAF_Qty],T_TTAFStock[RM_Code],$A1486,T_TTAFStock[WeekIndex],53),"")</f>
        <v/>
      </c>
      <c r="BF1496">
        <f>IFERROR(SUMIFS(T_TTAFStock[TTAF_Qty],T_TTAFStock[RM_Code],$A1486,T_TTAFStock[WeekIndex],54),"")</f>
        <v/>
      </c>
      <c r="BG1496">
        <f>IFERROR(SUMIFS(T_TTAFStock[TTAF_Qty],T_TTAFStock[RM_Code],$A1486,T_TTAFStock[WeekIndex],55),"")</f>
        <v/>
      </c>
      <c r="BH1496">
        <f>IFERROR(SUMIFS(T_TTAFStock[TTAF_Qty],T_TTAFStock[RM_Code],$A1486,T_TTAFStock[WeekIndex],56),"")</f>
        <v/>
      </c>
      <c r="BI1496">
        <f>IFERROR(SUMIFS(T_TTAFStock[TTAF_Qty],T_TTAFStock[RM_Code],$A1486,T_TTAFStock[WeekIndex],57),"")</f>
        <v/>
      </c>
      <c r="BJ1496">
        <f>IFERROR(SUMIFS(T_TTAFStock[TTAF_Qty],T_TTAFStock[RM_Code],$A1486,T_TTAFStock[WeekIndex],58),"")</f>
        <v/>
      </c>
      <c r="BK1496">
        <f>IFERROR(SUMIFS(T_TTAFStock[TTAF_Qty],T_TTAFStock[RM_Code],$A1486,T_TTAFStock[WeekIndex],59),"")</f>
        <v/>
      </c>
      <c r="BL1496">
        <f>IFERROR(SUMIFS(T_TTAFStock[TTAF_Qty],T_TTAFStock[RM_Code],$A1486,T_TTAFStock[WeekIndex],60),"")</f>
        <v/>
      </c>
      <c r="BM1496">
        <f>IFERROR(SUMIFS(T_TTAFStock[TTAF_Qty],T_TTAFStock[RM_Code],$A1486,T_TTAFStock[WeekIndex],61),"")</f>
        <v/>
      </c>
      <c r="BN1496">
        <f>IFERROR(SUMIFS(T_TTAFStock[TTAF_Qty],T_TTAFStock[RM_Code],$A1486,T_TTAFStock[WeekIndex],62),"")</f>
        <v/>
      </c>
      <c r="BO1496">
        <f>IFERROR(SUMIFS(T_TTAFStock[TTAF_Qty],T_TTAFStock[RM_Code],$A1486,T_TTAFStock[WeekIndex],63),"")</f>
        <v/>
      </c>
      <c r="BP1496">
        <f>IFERROR(SUMIFS(T_TTAFStock[TTAF_Qty],T_TTAFStock[RM_Code],$A1486,T_TTAFStock[WeekIndex],64),"")</f>
        <v/>
      </c>
      <c r="BQ1496">
        <f>IFERROR(SUMIFS(T_TTAFStock[TTAF_Qty],T_TTAFStock[RM_Code],$A1486,T_TTAFStock[WeekIndex],65),"")</f>
        <v/>
      </c>
      <c r="BR1496">
        <f>IFERROR(SUMIFS(T_TTAFStock[TTAF_Qty],T_TTAFStock[RM_Code],$A1486,T_TTAFStock[WeekIndex],66),"")</f>
        <v/>
      </c>
      <c r="BS1496">
        <f>IFERROR(SUMIFS(T_TTAFStock[TTAF_Qty],T_TTAFStock[RM_Code],$A1486,T_TTAFStock[WeekIndex],67),"")</f>
        <v/>
      </c>
      <c r="BT1496">
        <f>IFERROR(SUMIFS(T_TTAFStock[TTAF_Qty],T_TTAFStock[RM_Code],$A1486,T_TTAFStock[WeekIndex],68),"")</f>
        <v/>
      </c>
      <c r="BU1496">
        <f>IFERROR(SUMIFS(T_TTAFStock[TTAF_Qty],T_TTAFStock[RM_Code],$A1486,T_TTAFStock[WeekIndex],69),"")</f>
        <v/>
      </c>
      <c r="BV1496">
        <f>IFERROR(SUMIFS(T_TTAFStock[TTAF_Qty],T_TTAFStock[RM_Code],$A1486,T_TTAFStock[WeekIndex],70),"")</f>
        <v/>
      </c>
      <c r="BW1496">
        <f>IFERROR(SUMIFS(T_TTAFStock[TTAF_Qty],T_TTAFStock[RM_Code],$A1486,T_TTAFStock[WeekIndex],71),"")</f>
        <v/>
      </c>
      <c r="BX1496">
        <f>IFERROR(SUMIFS(T_TTAFStock[TTAF_Qty],T_TTAFStock[RM_Code],$A1486,T_TTAFStock[WeekIndex],72),"")</f>
        <v/>
      </c>
      <c r="BY1496">
        <f>IFERROR(SUMIFS(T_TTAFStock[TTAF_Qty],T_TTAFStock[RM_Code],$A1486,T_TTAFStock[WeekIndex],73),"")</f>
        <v/>
      </c>
      <c r="BZ1496">
        <f>IFERROR(SUMIFS(T_TTAFStock[TTAF_Qty],T_TTAFStock[RM_Code],$A1486,T_TTAFStock[WeekIndex],74),"")</f>
        <v/>
      </c>
      <c r="CA1496">
        <f>IFERROR(SUMIFS(T_TTAFStock[TTAF_Qty],T_TTAFStock[RM_Code],$A1486,T_TTAFStock[WeekIndex],75),"")</f>
        <v/>
      </c>
      <c r="CB1496">
        <f>IFERROR(SUMIFS(T_TTAFStock[TTAF_Qty],T_TTAFStock[RM_Code],$A1486,T_TTAFStock[WeekIndex],76),"")</f>
        <v/>
      </c>
      <c r="CC1496">
        <f>IFERROR(SUMIFS(T_TTAFStock[TTAF_Qty],T_TTAFStock[RM_Code],$A1486,T_TTAFStock[WeekIndex],77),"")</f>
        <v/>
      </c>
      <c r="CD1496">
        <f>IFERROR(SUMIFS(T_TTAFStock[TTAF_Qty],T_TTAFStock[RM_Code],$A1486,T_TTAFStock[WeekIndex],78),"")</f>
        <v/>
      </c>
      <c r="CE1496">
        <f>IFERROR(SUMIFS(T_TTAFStock[TTAF_Qty],T_TTAFStock[RM_Code],$A1486,T_TTAFStock[WeekIndex],79),"")</f>
        <v/>
      </c>
      <c r="CF1496">
        <f>IFERROR(SUMIFS(T_TTAFStock[TTAF_Qty],T_TTAFStock[RM_Code],$A1486,T_TTAFStock[WeekIndex],80),"")</f>
        <v/>
      </c>
      <c r="CG1496">
        <f>IFERROR(SUMIFS(T_TTAFStock[TTAF_Qty],T_TTAFStock[RM_Code],$A1486,T_TTAFStock[WeekIndex],81),"")</f>
        <v/>
      </c>
      <c r="CH1496">
        <f>IFERROR(SUMIFS(T_TTAFStock[TTAF_Qty],T_TTAFStock[RM_Code],$A1486,T_TTAFStock[WeekIndex],82),"")</f>
        <v/>
      </c>
      <c r="CI1496">
        <f>IFERROR(SUMIFS(T_TTAFStock[TTAF_Qty],T_TTAFStock[RM_Code],$A1486,T_TTAFStock[WeekIndex],83),"")</f>
        <v/>
      </c>
      <c r="CJ1496">
        <f>IFERROR(SUMIFS(T_TTAFStock[TTAF_Qty],T_TTAFStock[RM_Code],$A1486,T_TTAFStock[WeekIndex],84),"")</f>
        <v/>
      </c>
      <c r="CK1496">
        <f>IFERROR(SUMIFS(T_TTAFStock[TTAF_Qty],T_TTAFStock[RM_Code],$A1486,T_TTAFStock[WeekIndex],85),"")</f>
        <v/>
      </c>
      <c r="CL1496">
        <f>IFERROR(SUMIFS(T_TTAFStock[TTAF_Qty],T_TTAFStock[RM_Code],$A1486,T_TTAFStock[WeekIndex],86),"")</f>
        <v/>
      </c>
      <c r="CM1496">
        <f>IFERROR(SUMIFS(T_TTAFStock[TTAF_Qty],T_TTAFStock[RM_Code],$A1486,T_TTAFStock[WeekIndex],87),"")</f>
        <v/>
      </c>
      <c r="CN1496">
        <f>IFERROR(SUMIFS(T_TTAFStock[TTAF_Qty],T_TTAFStock[RM_Code],$A1486,T_TTAFStock[WeekIndex],88),"")</f>
        <v/>
      </c>
      <c r="CO1496">
        <f>IFERROR(SUMIFS(T_TTAFStock[TTAF_Qty],T_TTAFStock[RM_Code],$A1486,T_TTAFStock[WeekIndex],89),"")</f>
        <v/>
      </c>
      <c r="CP1496">
        <f>IFERROR(SUMIFS(T_TTAFStock[TTAF_Qty],T_TTAFStock[RM_Code],$A1486,T_TTAFStock[WeekIndex],90),"")</f>
        <v/>
      </c>
      <c r="CQ1496">
        <f>IFERROR(SUMIFS(T_TTAFStock[TTAF_Qty],T_TTAFStock[RM_Code],$A1486,T_TTAFStock[WeekIndex],91),"")</f>
        <v/>
      </c>
      <c r="CR1496">
        <f>IFERROR(SUMIFS(T_TTAFStock[TTAF_Qty],T_TTAFStock[RM_Code],$A1486,T_TTAFStock[WeekIndex],92),"")</f>
        <v/>
      </c>
      <c r="CS1496">
        <f>IFERROR(SUMIFS(T_TTAFStock[TTAF_Qty],T_TTAFStock[RM_Code],$A1486,T_TTAFStock[WeekIndex],93),"")</f>
        <v/>
      </c>
      <c r="CT1496">
        <f>IFERROR(SUMIFS(T_TTAFStock[TTAF_Qty],T_TTAFStock[RM_Code],$A1486,T_TTAFStock[WeekIndex],94),"")</f>
        <v/>
      </c>
      <c r="CU1496">
        <f>IFERROR(SUMIFS(T_TTAFStock[TTAF_Qty],T_TTAFStock[RM_Code],$A1486,T_TTAFStock[WeekIndex],95),"")</f>
        <v/>
      </c>
      <c r="CV1496">
        <f>IFERROR(SUMIFS(T_TTAFStock[TTAF_Qty],T_TTAFStock[RM_Code],$A1486,T_TTAFStock[WeekIndex],96),"")</f>
        <v/>
      </c>
      <c r="CW1496">
        <f>IFERROR(SUMIFS(T_TTAFStock[TTAF_Qty],T_TTAFStock[RM_Code],$A1486,T_TTAFStock[WeekIndex],97),"")</f>
        <v/>
      </c>
      <c r="CX1496">
        <f>IFERROR(SUMIFS(T_TTAFStock[TTAF_Qty],T_TTAFStock[RM_Code],$A1486,T_TTAFStock[WeekIndex],98),"")</f>
        <v/>
      </c>
      <c r="CY1496">
        <f>IFERROR(SUMIFS(T_TTAFStock[TTAF_Qty],T_TTAFStock[RM_Code],$A1486,T_TTAFStock[WeekIndex],99),"")</f>
        <v/>
      </c>
      <c r="CZ1496">
        <f>IFERROR(SUMIFS(T_TTAFStock[TTAF_Qty],T_TTAFStock[RM_Code],$A1486,T_TTAFStock[WeekIndex],100),"")</f>
        <v/>
      </c>
      <c r="DA1496">
        <f>IFERROR(SUMIFS(T_TTAFStock[TTAF_Qty],T_TTAFStock[RM_Code],$A1486,T_TTAFStock[WeekIndex],101),"")</f>
        <v/>
      </c>
      <c r="DB1496">
        <f>IFERROR(SUMIFS(T_TTAFStock[TTAF_Qty],T_TTAFStock[RM_Code],$A1486,T_TTAFStock[WeekIndex],102),"")</f>
        <v/>
      </c>
      <c r="DC1496">
        <f>IFERROR(SUMIFS(T_TTAFStock[TTAF_Qty],T_TTAFStock[RM_Code],$A1486,T_TTAFStock[WeekIndex],103),"")</f>
        <v/>
      </c>
      <c r="DD1496">
        <f>IFERROR(SUMIFS(T_TTAFStock[TTAF_Qty],T_TTAFStock[RM_Code],$A1486,T_TTAFStock[WeekIndex],104),"")</f>
        <v/>
      </c>
    </row>
    <row r="1497">
      <c r="B1497" t="inlineStr">
        <is>
          <t>自社在庫(実績,kg)</t>
        </is>
      </c>
      <c r="D1497">
        <f>IFERROR(INDEX(E1497:DD1497,$F$1),"")</f>
        <v/>
      </c>
      <c r="E1497">
        <f>IFERROR(SUMIFS(T_SelfStock[Self_Qty],T_SelfStock[RM_Code],$A1486,T_SelfStock[WeekIndex],1),"")</f>
        <v/>
      </c>
      <c r="F1497">
        <f>IFERROR(SUMIFS(T_SelfStock[Self_Qty],T_SelfStock[RM_Code],$A1486,T_SelfStock[WeekIndex],2),"")</f>
        <v/>
      </c>
      <c r="G1497">
        <f>IFERROR(SUMIFS(T_SelfStock[Self_Qty],T_SelfStock[RM_Code],$A1486,T_SelfStock[WeekIndex],3),"")</f>
        <v/>
      </c>
      <c r="H1497">
        <f>IFERROR(SUMIFS(T_SelfStock[Self_Qty],T_SelfStock[RM_Code],$A1486,T_SelfStock[WeekIndex],4),"")</f>
        <v/>
      </c>
      <c r="I1497">
        <f>IFERROR(SUMIFS(T_SelfStock[Self_Qty],T_SelfStock[RM_Code],$A1486,T_SelfStock[WeekIndex],5),"")</f>
        <v/>
      </c>
      <c r="J1497">
        <f>IFERROR(SUMIFS(T_SelfStock[Self_Qty],T_SelfStock[RM_Code],$A1486,T_SelfStock[WeekIndex],6),"")</f>
        <v/>
      </c>
      <c r="K1497">
        <f>IFERROR(SUMIFS(T_SelfStock[Self_Qty],T_SelfStock[RM_Code],$A1486,T_SelfStock[WeekIndex],7),"")</f>
        <v/>
      </c>
      <c r="L1497">
        <f>IFERROR(SUMIFS(T_SelfStock[Self_Qty],T_SelfStock[RM_Code],$A1486,T_SelfStock[WeekIndex],8),"")</f>
        <v/>
      </c>
      <c r="M1497">
        <f>IFERROR(SUMIFS(T_SelfStock[Self_Qty],T_SelfStock[RM_Code],$A1486,T_SelfStock[WeekIndex],9),"")</f>
        <v/>
      </c>
      <c r="N1497">
        <f>IFERROR(SUMIFS(T_SelfStock[Self_Qty],T_SelfStock[RM_Code],$A1486,T_SelfStock[WeekIndex],10),"")</f>
        <v/>
      </c>
      <c r="O1497">
        <f>IFERROR(SUMIFS(T_SelfStock[Self_Qty],T_SelfStock[RM_Code],$A1486,T_SelfStock[WeekIndex],11),"")</f>
        <v/>
      </c>
      <c r="P1497">
        <f>IFERROR(SUMIFS(T_SelfStock[Self_Qty],T_SelfStock[RM_Code],$A1486,T_SelfStock[WeekIndex],12),"")</f>
        <v/>
      </c>
      <c r="Q1497">
        <f>IFERROR(SUMIFS(T_SelfStock[Self_Qty],T_SelfStock[RM_Code],$A1486,T_SelfStock[WeekIndex],13),"")</f>
        <v/>
      </c>
      <c r="R1497">
        <f>IFERROR(SUMIFS(T_SelfStock[Self_Qty],T_SelfStock[RM_Code],$A1486,T_SelfStock[WeekIndex],14),"")</f>
        <v/>
      </c>
      <c r="S1497">
        <f>IFERROR(SUMIFS(T_SelfStock[Self_Qty],T_SelfStock[RM_Code],$A1486,T_SelfStock[WeekIndex],15),"")</f>
        <v/>
      </c>
      <c r="T1497">
        <f>IFERROR(SUMIFS(T_SelfStock[Self_Qty],T_SelfStock[RM_Code],$A1486,T_SelfStock[WeekIndex],16),"")</f>
        <v/>
      </c>
      <c r="U1497">
        <f>IFERROR(SUMIFS(T_SelfStock[Self_Qty],T_SelfStock[RM_Code],$A1486,T_SelfStock[WeekIndex],17),"")</f>
        <v/>
      </c>
      <c r="V1497">
        <f>IFERROR(SUMIFS(T_SelfStock[Self_Qty],T_SelfStock[RM_Code],$A1486,T_SelfStock[WeekIndex],18),"")</f>
        <v/>
      </c>
      <c r="W1497">
        <f>IFERROR(SUMIFS(T_SelfStock[Self_Qty],T_SelfStock[RM_Code],$A1486,T_SelfStock[WeekIndex],19),"")</f>
        <v/>
      </c>
      <c r="X1497">
        <f>IFERROR(SUMIFS(T_SelfStock[Self_Qty],T_SelfStock[RM_Code],$A1486,T_SelfStock[WeekIndex],20),"")</f>
        <v/>
      </c>
      <c r="Y1497">
        <f>IFERROR(SUMIFS(T_SelfStock[Self_Qty],T_SelfStock[RM_Code],$A1486,T_SelfStock[WeekIndex],21),"")</f>
        <v/>
      </c>
      <c r="Z1497">
        <f>IFERROR(SUMIFS(T_SelfStock[Self_Qty],T_SelfStock[RM_Code],$A1486,T_SelfStock[WeekIndex],22),"")</f>
        <v/>
      </c>
      <c r="AA1497">
        <f>IFERROR(SUMIFS(T_SelfStock[Self_Qty],T_SelfStock[RM_Code],$A1486,T_SelfStock[WeekIndex],23),"")</f>
        <v/>
      </c>
      <c r="AB1497">
        <f>IFERROR(SUMIFS(T_SelfStock[Self_Qty],T_SelfStock[RM_Code],$A1486,T_SelfStock[WeekIndex],24),"")</f>
        <v/>
      </c>
      <c r="AC1497">
        <f>IFERROR(SUMIFS(T_SelfStock[Self_Qty],T_SelfStock[RM_Code],$A1486,T_SelfStock[WeekIndex],25),"")</f>
        <v/>
      </c>
      <c r="AD1497">
        <f>IFERROR(SUMIFS(T_SelfStock[Self_Qty],T_SelfStock[RM_Code],$A1486,T_SelfStock[WeekIndex],26),"")</f>
        <v/>
      </c>
      <c r="AE1497">
        <f>IFERROR(SUMIFS(T_SelfStock[Self_Qty],T_SelfStock[RM_Code],$A1486,T_SelfStock[WeekIndex],27),"")</f>
        <v/>
      </c>
      <c r="AF1497">
        <f>IFERROR(SUMIFS(T_SelfStock[Self_Qty],T_SelfStock[RM_Code],$A1486,T_SelfStock[WeekIndex],28),"")</f>
        <v/>
      </c>
      <c r="AG1497">
        <f>IFERROR(SUMIFS(T_SelfStock[Self_Qty],T_SelfStock[RM_Code],$A1486,T_SelfStock[WeekIndex],29),"")</f>
        <v/>
      </c>
      <c r="AH1497">
        <f>IFERROR(SUMIFS(T_SelfStock[Self_Qty],T_SelfStock[RM_Code],$A1486,T_SelfStock[WeekIndex],30),"")</f>
        <v/>
      </c>
      <c r="AI1497">
        <f>IFERROR(SUMIFS(T_SelfStock[Self_Qty],T_SelfStock[RM_Code],$A1486,T_SelfStock[WeekIndex],31),"")</f>
        <v/>
      </c>
      <c r="AJ1497">
        <f>IFERROR(SUMIFS(T_SelfStock[Self_Qty],T_SelfStock[RM_Code],$A1486,T_SelfStock[WeekIndex],32),"")</f>
        <v/>
      </c>
      <c r="AK1497">
        <f>IFERROR(SUMIFS(T_SelfStock[Self_Qty],T_SelfStock[RM_Code],$A1486,T_SelfStock[WeekIndex],33),"")</f>
        <v/>
      </c>
      <c r="AL1497">
        <f>IFERROR(SUMIFS(T_SelfStock[Self_Qty],T_SelfStock[RM_Code],$A1486,T_SelfStock[WeekIndex],34),"")</f>
        <v/>
      </c>
      <c r="AM1497">
        <f>IFERROR(SUMIFS(T_SelfStock[Self_Qty],T_SelfStock[RM_Code],$A1486,T_SelfStock[WeekIndex],35),"")</f>
        <v/>
      </c>
      <c r="AN1497">
        <f>IFERROR(SUMIFS(T_SelfStock[Self_Qty],T_SelfStock[RM_Code],$A1486,T_SelfStock[WeekIndex],36),"")</f>
        <v/>
      </c>
      <c r="AO1497">
        <f>IFERROR(SUMIFS(T_SelfStock[Self_Qty],T_SelfStock[RM_Code],$A1486,T_SelfStock[WeekIndex],37),"")</f>
        <v/>
      </c>
      <c r="AP1497">
        <f>IFERROR(SUMIFS(T_SelfStock[Self_Qty],T_SelfStock[RM_Code],$A1486,T_SelfStock[WeekIndex],38),"")</f>
        <v/>
      </c>
      <c r="AQ1497">
        <f>IFERROR(SUMIFS(T_SelfStock[Self_Qty],T_SelfStock[RM_Code],$A1486,T_SelfStock[WeekIndex],39),"")</f>
        <v/>
      </c>
      <c r="AR1497">
        <f>IFERROR(SUMIFS(T_SelfStock[Self_Qty],T_SelfStock[RM_Code],$A1486,T_SelfStock[WeekIndex],40),"")</f>
        <v/>
      </c>
      <c r="AS1497">
        <f>IFERROR(SUMIFS(T_SelfStock[Self_Qty],T_SelfStock[RM_Code],$A1486,T_SelfStock[WeekIndex],41),"")</f>
        <v/>
      </c>
      <c r="AT1497">
        <f>IFERROR(SUMIFS(T_SelfStock[Self_Qty],T_SelfStock[RM_Code],$A1486,T_SelfStock[WeekIndex],42),"")</f>
        <v/>
      </c>
      <c r="AU1497">
        <f>IFERROR(SUMIFS(T_SelfStock[Self_Qty],T_SelfStock[RM_Code],$A1486,T_SelfStock[WeekIndex],43),"")</f>
        <v/>
      </c>
      <c r="AV1497">
        <f>IFERROR(SUMIFS(T_SelfStock[Self_Qty],T_SelfStock[RM_Code],$A1486,T_SelfStock[WeekIndex],44),"")</f>
        <v/>
      </c>
      <c r="AW1497">
        <f>IFERROR(SUMIFS(T_SelfStock[Self_Qty],T_SelfStock[RM_Code],$A1486,T_SelfStock[WeekIndex],45),"")</f>
        <v/>
      </c>
      <c r="AX1497">
        <f>IFERROR(SUMIFS(T_SelfStock[Self_Qty],T_SelfStock[RM_Code],$A1486,T_SelfStock[WeekIndex],46),"")</f>
        <v/>
      </c>
      <c r="AY1497">
        <f>IFERROR(SUMIFS(T_SelfStock[Self_Qty],T_SelfStock[RM_Code],$A1486,T_SelfStock[WeekIndex],47),"")</f>
        <v/>
      </c>
      <c r="AZ1497">
        <f>IFERROR(SUMIFS(T_SelfStock[Self_Qty],T_SelfStock[RM_Code],$A1486,T_SelfStock[WeekIndex],48),"")</f>
        <v/>
      </c>
      <c r="BA1497">
        <f>IFERROR(SUMIFS(T_SelfStock[Self_Qty],T_SelfStock[RM_Code],$A1486,T_SelfStock[WeekIndex],49),"")</f>
        <v/>
      </c>
      <c r="BB1497">
        <f>IFERROR(SUMIFS(T_SelfStock[Self_Qty],T_SelfStock[RM_Code],$A1486,T_SelfStock[WeekIndex],50),"")</f>
        <v/>
      </c>
      <c r="BC1497">
        <f>IFERROR(SUMIFS(T_SelfStock[Self_Qty],T_SelfStock[RM_Code],$A1486,T_SelfStock[WeekIndex],51),"")</f>
        <v/>
      </c>
      <c r="BD1497">
        <f>IFERROR(SUMIFS(T_SelfStock[Self_Qty],T_SelfStock[RM_Code],$A1486,T_SelfStock[WeekIndex],52),"")</f>
        <v/>
      </c>
      <c r="BE1497">
        <f>IFERROR(SUMIFS(T_SelfStock[Self_Qty],T_SelfStock[RM_Code],$A1486,T_SelfStock[WeekIndex],53),"")</f>
        <v/>
      </c>
      <c r="BF1497">
        <f>IFERROR(SUMIFS(T_SelfStock[Self_Qty],T_SelfStock[RM_Code],$A1486,T_SelfStock[WeekIndex],54),"")</f>
        <v/>
      </c>
      <c r="BG1497">
        <f>IFERROR(SUMIFS(T_SelfStock[Self_Qty],T_SelfStock[RM_Code],$A1486,T_SelfStock[WeekIndex],55),"")</f>
        <v/>
      </c>
      <c r="BH1497">
        <f>IFERROR(SUMIFS(T_SelfStock[Self_Qty],T_SelfStock[RM_Code],$A1486,T_SelfStock[WeekIndex],56),"")</f>
        <v/>
      </c>
      <c r="BI1497">
        <f>IFERROR(SUMIFS(T_SelfStock[Self_Qty],T_SelfStock[RM_Code],$A1486,T_SelfStock[WeekIndex],57),"")</f>
        <v/>
      </c>
      <c r="BJ1497">
        <f>IFERROR(SUMIFS(T_SelfStock[Self_Qty],T_SelfStock[RM_Code],$A1486,T_SelfStock[WeekIndex],58),"")</f>
        <v/>
      </c>
      <c r="BK1497">
        <f>IFERROR(SUMIFS(T_SelfStock[Self_Qty],T_SelfStock[RM_Code],$A1486,T_SelfStock[WeekIndex],59),"")</f>
        <v/>
      </c>
      <c r="BL1497">
        <f>IFERROR(SUMIFS(T_SelfStock[Self_Qty],T_SelfStock[RM_Code],$A1486,T_SelfStock[WeekIndex],60),"")</f>
        <v/>
      </c>
      <c r="BM1497">
        <f>IFERROR(SUMIFS(T_SelfStock[Self_Qty],T_SelfStock[RM_Code],$A1486,T_SelfStock[WeekIndex],61),"")</f>
        <v/>
      </c>
      <c r="BN1497">
        <f>IFERROR(SUMIFS(T_SelfStock[Self_Qty],T_SelfStock[RM_Code],$A1486,T_SelfStock[WeekIndex],62),"")</f>
        <v/>
      </c>
      <c r="BO1497">
        <f>IFERROR(SUMIFS(T_SelfStock[Self_Qty],T_SelfStock[RM_Code],$A1486,T_SelfStock[WeekIndex],63),"")</f>
        <v/>
      </c>
      <c r="BP1497">
        <f>IFERROR(SUMIFS(T_SelfStock[Self_Qty],T_SelfStock[RM_Code],$A1486,T_SelfStock[WeekIndex],64),"")</f>
        <v/>
      </c>
      <c r="BQ1497">
        <f>IFERROR(SUMIFS(T_SelfStock[Self_Qty],T_SelfStock[RM_Code],$A1486,T_SelfStock[WeekIndex],65),"")</f>
        <v/>
      </c>
      <c r="BR1497">
        <f>IFERROR(SUMIFS(T_SelfStock[Self_Qty],T_SelfStock[RM_Code],$A1486,T_SelfStock[WeekIndex],66),"")</f>
        <v/>
      </c>
      <c r="BS1497">
        <f>IFERROR(SUMIFS(T_SelfStock[Self_Qty],T_SelfStock[RM_Code],$A1486,T_SelfStock[WeekIndex],67),"")</f>
        <v/>
      </c>
      <c r="BT1497">
        <f>IFERROR(SUMIFS(T_SelfStock[Self_Qty],T_SelfStock[RM_Code],$A1486,T_SelfStock[WeekIndex],68),"")</f>
        <v/>
      </c>
      <c r="BU1497">
        <f>IFERROR(SUMIFS(T_SelfStock[Self_Qty],T_SelfStock[RM_Code],$A1486,T_SelfStock[WeekIndex],69),"")</f>
        <v/>
      </c>
      <c r="BV1497">
        <f>IFERROR(SUMIFS(T_SelfStock[Self_Qty],T_SelfStock[RM_Code],$A1486,T_SelfStock[WeekIndex],70),"")</f>
        <v/>
      </c>
      <c r="BW1497">
        <f>IFERROR(SUMIFS(T_SelfStock[Self_Qty],T_SelfStock[RM_Code],$A1486,T_SelfStock[WeekIndex],71),"")</f>
        <v/>
      </c>
      <c r="BX1497">
        <f>IFERROR(SUMIFS(T_SelfStock[Self_Qty],T_SelfStock[RM_Code],$A1486,T_SelfStock[WeekIndex],72),"")</f>
        <v/>
      </c>
      <c r="BY1497">
        <f>IFERROR(SUMIFS(T_SelfStock[Self_Qty],T_SelfStock[RM_Code],$A1486,T_SelfStock[WeekIndex],73),"")</f>
        <v/>
      </c>
      <c r="BZ1497">
        <f>IFERROR(SUMIFS(T_SelfStock[Self_Qty],T_SelfStock[RM_Code],$A1486,T_SelfStock[WeekIndex],74),"")</f>
        <v/>
      </c>
      <c r="CA1497">
        <f>IFERROR(SUMIFS(T_SelfStock[Self_Qty],T_SelfStock[RM_Code],$A1486,T_SelfStock[WeekIndex],75),"")</f>
        <v/>
      </c>
      <c r="CB1497">
        <f>IFERROR(SUMIFS(T_SelfStock[Self_Qty],T_SelfStock[RM_Code],$A1486,T_SelfStock[WeekIndex],76),"")</f>
        <v/>
      </c>
      <c r="CC1497">
        <f>IFERROR(SUMIFS(T_SelfStock[Self_Qty],T_SelfStock[RM_Code],$A1486,T_SelfStock[WeekIndex],77),"")</f>
        <v/>
      </c>
      <c r="CD1497">
        <f>IFERROR(SUMIFS(T_SelfStock[Self_Qty],T_SelfStock[RM_Code],$A1486,T_SelfStock[WeekIndex],78),"")</f>
        <v/>
      </c>
      <c r="CE1497">
        <f>IFERROR(SUMIFS(T_SelfStock[Self_Qty],T_SelfStock[RM_Code],$A1486,T_SelfStock[WeekIndex],79),"")</f>
        <v/>
      </c>
      <c r="CF1497">
        <f>IFERROR(SUMIFS(T_SelfStock[Self_Qty],T_SelfStock[RM_Code],$A1486,T_SelfStock[WeekIndex],80),"")</f>
        <v/>
      </c>
      <c r="CG1497">
        <f>IFERROR(SUMIFS(T_SelfStock[Self_Qty],T_SelfStock[RM_Code],$A1486,T_SelfStock[WeekIndex],81),"")</f>
        <v/>
      </c>
      <c r="CH1497">
        <f>IFERROR(SUMIFS(T_SelfStock[Self_Qty],T_SelfStock[RM_Code],$A1486,T_SelfStock[WeekIndex],82),"")</f>
        <v/>
      </c>
      <c r="CI1497">
        <f>IFERROR(SUMIFS(T_SelfStock[Self_Qty],T_SelfStock[RM_Code],$A1486,T_SelfStock[WeekIndex],83),"")</f>
        <v/>
      </c>
      <c r="CJ1497">
        <f>IFERROR(SUMIFS(T_SelfStock[Self_Qty],T_SelfStock[RM_Code],$A1486,T_SelfStock[WeekIndex],84),"")</f>
        <v/>
      </c>
      <c r="CK1497">
        <f>IFERROR(SUMIFS(T_SelfStock[Self_Qty],T_SelfStock[RM_Code],$A1486,T_SelfStock[WeekIndex],85),"")</f>
        <v/>
      </c>
      <c r="CL1497">
        <f>IFERROR(SUMIFS(T_SelfStock[Self_Qty],T_SelfStock[RM_Code],$A1486,T_SelfStock[WeekIndex],86),"")</f>
        <v/>
      </c>
      <c r="CM1497">
        <f>IFERROR(SUMIFS(T_SelfStock[Self_Qty],T_SelfStock[RM_Code],$A1486,T_SelfStock[WeekIndex],87),"")</f>
        <v/>
      </c>
      <c r="CN1497">
        <f>IFERROR(SUMIFS(T_SelfStock[Self_Qty],T_SelfStock[RM_Code],$A1486,T_SelfStock[WeekIndex],88),"")</f>
        <v/>
      </c>
      <c r="CO1497">
        <f>IFERROR(SUMIFS(T_SelfStock[Self_Qty],T_SelfStock[RM_Code],$A1486,T_SelfStock[WeekIndex],89),"")</f>
        <v/>
      </c>
      <c r="CP1497">
        <f>IFERROR(SUMIFS(T_SelfStock[Self_Qty],T_SelfStock[RM_Code],$A1486,T_SelfStock[WeekIndex],90),"")</f>
        <v/>
      </c>
      <c r="CQ1497">
        <f>IFERROR(SUMIFS(T_SelfStock[Self_Qty],T_SelfStock[RM_Code],$A1486,T_SelfStock[WeekIndex],91),"")</f>
        <v/>
      </c>
      <c r="CR1497">
        <f>IFERROR(SUMIFS(T_SelfStock[Self_Qty],T_SelfStock[RM_Code],$A1486,T_SelfStock[WeekIndex],92),"")</f>
        <v/>
      </c>
      <c r="CS1497">
        <f>IFERROR(SUMIFS(T_SelfStock[Self_Qty],T_SelfStock[RM_Code],$A1486,T_SelfStock[WeekIndex],93),"")</f>
        <v/>
      </c>
      <c r="CT1497">
        <f>IFERROR(SUMIFS(T_SelfStock[Self_Qty],T_SelfStock[RM_Code],$A1486,T_SelfStock[WeekIndex],94),"")</f>
        <v/>
      </c>
      <c r="CU1497">
        <f>IFERROR(SUMIFS(T_SelfStock[Self_Qty],T_SelfStock[RM_Code],$A1486,T_SelfStock[WeekIndex],95),"")</f>
        <v/>
      </c>
      <c r="CV1497">
        <f>IFERROR(SUMIFS(T_SelfStock[Self_Qty],T_SelfStock[RM_Code],$A1486,T_SelfStock[WeekIndex],96),"")</f>
        <v/>
      </c>
      <c r="CW1497">
        <f>IFERROR(SUMIFS(T_SelfStock[Self_Qty],T_SelfStock[RM_Code],$A1486,T_SelfStock[WeekIndex],97),"")</f>
        <v/>
      </c>
      <c r="CX1497">
        <f>IFERROR(SUMIFS(T_SelfStock[Self_Qty],T_SelfStock[RM_Code],$A1486,T_SelfStock[WeekIndex],98),"")</f>
        <v/>
      </c>
      <c r="CY1497">
        <f>IFERROR(SUMIFS(T_SelfStock[Self_Qty],T_SelfStock[RM_Code],$A1486,T_SelfStock[WeekIndex],99),"")</f>
        <v/>
      </c>
      <c r="CZ1497">
        <f>IFERROR(SUMIFS(T_SelfStock[Self_Qty],T_SelfStock[RM_Code],$A1486,T_SelfStock[WeekIndex],100),"")</f>
        <v/>
      </c>
      <c r="DA1497">
        <f>IFERROR(SUMIFS(T_SelfStock[Self_Qty],T_SelfStock[RM_Code],$A1486,T_SelfStock[WeekIndex],101),"")</f>
        <v/>
      </c>
      <c r="DB1497">
        <f>IFERROR(SUMIFS(T_SelfStock[Self_Qty],T_SelfStock[RM_Code],$A1486,T_SelfStock[WeekIndex],102),"")</f>
        <v/>
      </c>
      <c r="DC1497">
        <f>IFERROR(SUMIFS(T_SelfStock[Self_Qty],T_SelfStock[RM_Code],$A1486,T_SelfStock[WeekIndex],103),"")</f>
        <v/>
      </c>
      <c r="DD1497">
        <f>IFERROR(SUMIFS(T_SelfStock[Self_Qty],T_SelfStock[RM_Code],$A1486,T_SelfStock[WeekIndex],104),"")</f>
        <v/>
      </c>
    </row>
    <row r="1498">
      <c r="B1498" s="4" t="inlineStr">
        <is>
          <t>合計在庫(週末時点,kg)</t>
        </is>
      </c>
      <c r="D1498" s="24">
        <f>IFERROR(INDEX(E1498:DD1498,$F$1),"")</f>
        <v/>
      </c>
      <c r="E1498">
        <f>'Grid_Stock'!B69</f>
        <v/>
      </c>
      <c r="F1498">
        <f>'Grid_Stock'!C69</f>
        <v/>
      </c>
      <c r="G1498">
        <f>'Grid_Stock'!D69</f>
        <v/>
      </c>
      <c r="H1498">
        <f>'Grid_Stock'!E69</f>
        <v/>
      </c>
      <c r="I1498">
        <f>'Grid_Stock'!F69</f>
        <v/>
      </c>
      <c r="J1498">
        <f>'Grid_Stock'!G69</f>
        <v/>
      </c>
      <c r="K1498">
        <f>'Grid_Stock'!H69</f>
        <v/>
      </c>
      <c r="L1498">
        <f>'Grid_Stock'!I69</f>
        <v/>
      </c>
      <c r="M1498">
        <f>'Grid_Stock'!J69</f>
        <v/>
      </c>
      <c r="N1498">
        <f>'Grid_Stock'!K69</f>
        <v/>
      </c>
      <c r="O1498">
        <f>'Grid_Stock'!L69</f>
        <v/>
      </c>
      <c r="P1498">
        <f>'Grid_Stock'!M69</f>
        <v/>
      </c>
      <c r="Q1498">
        <f>'Grid_Stock'!N69</f>
        <v/>
      </c>
      <c r="R1498">
        <f>'Grid_Stock'!O69</f>
        <v/>
      </c>
      <c r="S1498">
        <f>'Grid_Stock'!P69</f>
        <v/>
      </c>
      <c r="T1498">
        <f>'Grid_Stock'!Q69</f>
        <v/>
      </c>
      <c r="U1498">
        <f>'Grid_Stock'!R69</f>
        <v/>
      </c>
      <c r="V1498">
        <f>'Grid_Stock'!S69</f>
        <v/>
      </c>
      <c r="W1498">
        <f>'Grid_Stock'!T69</f>
        <v/>
      </c>
      <c r="X1498">
        <f>'Grid_Stock'!U69</f>
        <v/>
      </c>
      <c r="Y1498">
        <f>'Grid_Stock'!V69</f>
        <v/>
      </c>
      <c r="Z1498">
        <f>'Grid_Stock'!W69</f>
        <v/>
      </c>
      <c r="AA1498">
        <f>'Grid_Stock'!X69</f>
        <v/>
      </c>
      <c r="AB1498">
        <f>'Grid_Stock'!Y69</f>
        <v/>
      </c>
      <c r="AC1498">
        <f>'Grid_Stock'!Z69</f>
        <v/>
      </c>
      <c r="AD1498">
        <f>'Grid_Stock'!AA69</f>
        <v/>
      </c>
      <c r="AE1498">
        <f>'Grid_Stock'!AB69</f>
        <v/>
      </c>
      <c r="AF1498">
        <f>'Grid_Stock'!AC69</f>
        <v/>
      </c>
      <c r="AG1498">
        <f>'Grid_Stock'!AD69</f>
        <v/>
      </c>
      <c r="AH1498">
        <f>'Grid_Stock'!AE69</f>
        <v/>
      </c>
      <c r="AI1498">
        <f>'Grid_Stock'!AF69</f>
        <v/>
      </c>
      <c r="AJ1498">
        <f>'Grid_Stock'!AG69</f>
        <v/>
      </c>
      <c r="AK1498">
        <f>'Grid_Stock'!AH69</f>
        <v/>
      </c>
      <c r="AL1498">
        <f>'Grid_Stock'!AI69</f>
        <v/>
      </c>
      <c r="AM1498">
        <f>'Grid_Stock'!AJ69</f>
        <v/>
      </c>
      <c r="AN1498">
        <f>'Grid_Stock'!AK69</f>
        <v/>
      </c>
      <c r="AO1498">
        <f>'Grid_Stock'!AL69</f>
        <v/>
      </c>
      <c r="AP1498">
        <f>'Grid_Stock'!AM69</f>
        <v/>
      </c>
      <c r="AQ1498">
        <f>'Grid_Stock'!AN69</f>
        <v/>
      </c>
      <c r="AR1498">
        <f>'Grid_Stock'!AO69</f>
        <v/>
      </c>
      <c r="AS1498">
        <f>'Grid_Stock'!AP69</f>
        <v/>
      </c>
      <c r="AT1498">
        <f>'Grid_Stock'!AQ69</f>
        <v/>
      </c>
      <c r="AU1498">
        <f>'Grid_Stock'!AR69</f>
        <v/>
      </c>
      <c r="AV1498">
        <f>'Grid_Stock'!AS69</f>
        <v/>
      </c>
      <c r="AW1498">
        <f>'Grid_Stock'!AT69</f>
        <v/>
      </c>
      <c r="AX1498">
        <f>'Grid_Stock'!AU69</f>
        <v/>
      </c>
      <c r="AY1498">
        <f>'Grid_Stock'!AV69</f>
        <v/>
      </c>
      <c r="AZ1498">
        <f>'Grid_Stock'!AW69</f>
        <v/>
      </c>
      <c r="BA1498">
        <f>'Grid_Stock'!AX69</f>
        <v/>
      </c>
      <c r="BB1498">
        <f>'Grid_Stock'!AY69</f>
        <v/>
      </c>
      <c r="BC1498">
        <f>'Grid_Stock'!AZ69</f>
        <v/>
      </c>
      <c r="BD1498">
        <f>'Grid_Stock'!BA69</f>
        <v/>
      </c>
      <c r="BE1498">
        <f>'Grid_Stock'!BB69</f>
        <v/>
      </c>
      <c r="BF1498">
        <f>'Grid_Stock'!BC69</f>
        <v/>
      </c>
      <c r="BG1498">
        <f>'Grid_Stock'!BD69</f>
        <v/>
      </c>
      <c r="BH1498">
        <f>'Grid_Stock'!BE69</f>
        <v/>
      </c>
      <c r="BI1498">
        <f>'Grid_Stock'!BF69</f>
        <v/>
      </c>
      <c r="BJ1498">
        <f>'Grid_Stock'!BG69</f>
        <v/>
      </c>
      <c r="BK1498">
        <f>'Grid_Stock'!BH69</f>
        <v/>
      </c>
      <c r="BL1498">
        <f>'Grid_Stock'!BI69</f>
        <v/>
      </c>
      <c r="BM1498">
        <f>'Grid_Stock'!BJ69</f>
        <v/>
      </c>
      <c r="BN1498">
        <f>'Grid_Stock'!BK69</f>
        <v/>
      </c>
      <c r="BO1498">
        <f>'Grid_Stock'!BL69</f>
        <v/>
      </c>
      <c r="BP1498">
        <f>'Grid_Stock'!BM69</f>
        <v/>
      </c>
      <c r="BQ1498">
        <f>'Grid_Stock'!BN69</f>
        <v/>
      </c>
      <c r="BR1498">
        <f>'Grid_Stock'!BO69</f>
        <v/>
      </c>
      <c r="BS1498">
        <f>'Grid_Stock'!BP69</f>
        <v/>
      </c>
      <c r="BT1498">
        <f>'Grid_Stock'!BQ69</f>
        <v/>
      </c>
      <c r="BU1498">
        <f>'Grid_Stock'!BR69</f>
        <v/>
      </c>
      <c r="BV1498">
        <f>'Grid_Stock'!BS69</f>
        <v/>
      </c>
      <c r="BW1498">
        <f>'Grid_Stock'!BT69</f>
        <v/>
      </c>
      <c r="BX1498">
        <f>'Grid_Stock'!BU69</f>
        <v/>
      </c>
      <c r="BY1498">
        <f>'Grid_Stock'!BV69</f>
        <v/>
      </c>
      <c r="BZ1498">
        <f>'Grid_Stock'!BW69</f>
        <v/>
      </c>
      <c r="CA1498">
        <f>'Grid_Stock'!BX69</f>
        <v/>
      </c>
      <c r="CB1498">
        <f>'Grid_Stock'!BY69</f>
        <v/>
      </c>
      <c r="CC1498">
        <f>'Grid_Stock'!BZ69</f>
        <v/>
      </c>
      <c r="CD1498">
        <f>'Grid_Stock'!CA69</f>
        <v/>
      </c>
      <c r="CE1498">
        <f>'Grid_Stock'!CB69</f>
        <v/>
      </c>
      <c r="CF1498">
        <f>'Grid_Stock'!CC69</f>
        <v/>
      </c>
      <c r="CG1498">
        <f>'Grid_Stock'!CD69</f>
        <v/>
      </c>
      <c r="CH1498">
        <f>'Grid_Stock'!CE69</f>
        <v/>
      </c>
      <c r="CI1498">
        <f>'Grid_Stock'!CF69</f>
        <v/>
      </c>
      <c r="CJ1498">
        <f>'Grid_Stock'!CG69</f>
        <v/>
      </c>
      <c r="CK1498">
        <f>'Grid_Stock'!CH69</f>
        <v/>
      </c>
      <c r="CL1498">
        <f>'Grid_Stock'!CI69</f>
        <v/>
      </c>
      <c r="CM1498">
        <f>'Grid_Stock'!CJ69</f>
        <v/>
      </c>
      <c r="CN1498">
        <f>'Grid_Stock'!CK69</f>
        <v/>
      </c>
      <c r="CO1498">
        <f>'Grid_Stock'!CL69</f>
        <v/>
      </c>
      <c r="CP1498">
        <f>'Grid_Stock'!CM69</f>
        <v/>
      </c>
      <c r="CQ1498">
        <f>'Grid_Stock'!CN69</f>
        <v/>
      </c>
      <c r="CR1498">
        <f>'Grid_Stock'!CO69</f>
        <v/>
      </c>
      <c r="CS1498">
        <f>'Grid_Stock'!CP69</f>
        <v/>
      </c>
      <c r="CT1498">
        <f>'Grid_Stock'!CQ69</f>
        <v/>
      </c>
      <c r="CU1498">
        <f>'Grid_Stock'!CR69</f>
        <v/>
      </c>
      <c r="CV1498">
        <f>'Grid_Stock'!CS69</f>
        <v/>
      </c>
      <c r="CW1498">
        <f>'Grid_Stock'!CT69</f>
        <v/>
      </c>
      <c r="CX1498">
        <f>'Grid_Stock'!CU69</f>
        <v/>
      </c>
      <c r="CY1498">
        <f>'Grid_Stock'!CV69</f>
        <v/>
      </c>
      <c r="CZ1498">
        <f>'Grid_Stock'!CW69</f>
        <v/>
      </c>
      <c r="DA1498">
        <f>'Grid_Stock'!CX69</f>
        <v/>
      </c>
      <c r="DB1498">
        <f>'Grid_Stock'!CY69</f>
        <v/>
      </c>
      <c r="DC1498">
        <f>'Grid_Stock'!CZ69</f>
        <v/>
      </c>
      <c r="DD1498">
        <f>'Grid_Stock'!DA69</f>
        <v/>
      </c>
    </row>
    <row r="1499">
      <c r="B1499" s="25" t="inlineStr">
        <is>
          <t>（発注の目安はDashboardの基準在庫[下限/上限]と色分けを参照）</t>
        </is>
      </c>
    </row>
    <row r="1501">
      <c r="A1501" s="21" t="inlineStr">
        <is>
          <t>CHEM-1720</t>
        </is>
      </c>
      <c r="B1501" s="21" t="inlineStr">
        <is>
          <t>CeZr oxide(TPZ-868)</t>
        </is>
      </c>
      <c r="C1501" s="22" t="n"/>
      <c r="D1501" s="21" t="n"/>
      <c r="E1501" s="21" t="n"/>
      <c r="F1501" s="21" t="n"/>
      <c r="G1501" s="21" t="n"/>
      <c r="H1501" s="21" t="n"/>
      <c r="I1501" s="21" t="n"/>
      <c r="J1501" s="21" t="n"/>
      <c r="K1501" s="21" t="n"/>
      <c r="L1501" s="21" t="n"/>
      <c r="M1501" s="21" t="n"/>
      <c r="N1501" s="21" t="n"/>
      <c r="O1501" s="21" t="n"/>
      <c r="P1501" s="21" t="n"/>
      <c r="Q1501" s="21" t="n"/>
      <c r="R1501" s="21" t="n"/>
      <c r="S1501" s="21" t="n"/>
      <c r="T1501" s="21" t="n"/>
      <c r="U1501" s="21" t="n"/>
      <c r="V1501" s="21" t="n"/>
      <c r="W1501" s="21" t="n"/>
      <c r="X1501" s="21" t="n"/>
      <c r="Y1501" s="21" t="n"/>
      <c r="Z1501" s="21" t="n"/>
      <c r="AA1501" s="21" t="n"/>
      <c r="AB1501" s="21" t="n"/>
      <c r="AC1501" s="21" t="n"/>
      <c r="AD1501" s="21" t="n"/>
      <c r="AE1501" s="21" t="n"/>
      <c r="AF1501" s="21" t="n"/>
      <c r="AG1501" s="21" t="n"/>
      <c r="AH1501" s="21" t="n"/>
      <c r="AI1501" s="21" t="n"/>
      <c r="AJ1501" s="21" t="n"/>
      <c r="AK1501" s="21" t="n"/>
      <c r="AL1501" s="21" t="n"/>
      <c r="AM1501" s="21" t="n"/>
      <c r="AN1501" s="21" t="n"/>
      <c r="AO1501" s="21" t="n"/>
      <c r="AP1501" s="21" t="n"/>
      <c r="AQ1501" s="21" t="n"/>
      <c r="AR1501" s="21" t="n"/>
      <c r="AS1501" s="21" t="n"/>
      <c r="AT1501" s="21" t="n"/>
      <c r="AU1501" s="21" t="n"/>
      <c r="AV1501" s="21" t="n"/>
      <c r="AW1501" s="21" t="n"/>
      <c r="AX1501" s="21" t="n"/>
      <c r="AY1501" s="21" t="n"/>
      <c r="AZ1501" s="21" t="n"/>
      <c r="BA1501" s="21" t="n"/>
      <c r="BB1501" s="21" t="n"/>
      <c r="BC1501" s="21" t="n"/>
      <c r="BD1501" s="21" t="n"/>
      <c r="BE1501" s="21" t="n"/>
      <c r="BF1501" s="21" t="n"/>
      <c r="BG1501" s="21" t="n"/>
      <c r="BH1501" s="21" t="n"/>
      <c r="BI1501" s="21" t="n"/>
      <c r="BJ1501" s="21" t="n"/>
      <c r="BK1501" s="21" t="n"/>
      <c r="BL1501" s="21" t="n"/>
      <c r="BM1501" s="21" t="n"/>
      <c r="BN1501" s="21" t="n"/>
      <c r="BO1501" s="21" t="n"/>
      <c r="BP1501" s="21" t="n"/>
      <c r="BQ1501" s="21" t="n"/>
      <c r="BR1501" s="21" t="n"/>
      <c r="BS1501" s="21" t="n"/>
      <c r="BT1501" s="21" t="n"/>
      <c r="BU1501" s="21" t="n"/>
      <c r="BV1501" s="21" t="n"/>
      <c r="BW1501" s="21" t="n"/>
      <c r="BX1501" s="21" t="n"/>
      <c r="BY1501" s="21" t="n"/>
      <c r="BZ1501" s="21" t="n"/>
      <c r="CA1501" s="21" t="n"/>
      <c r="CB1501" s="21" t="n"/>
      <c r="CC1501" s="21" t="n"/>
      <c r="CD1501" s="21" t="n"/>
      <c r="CE1501" s="21" t="n"/>
      <c r="CF1501" s="21" t="n"/>
      <c r="CG1501" s="21" t="n"/>
      <c r="CH1501" s="21" t="n"/>
      <c r="CI1501" s="21" t="n"/>
      <c r="CJ1501" s="21" t="n"/>
      <c r="CK1501" s="21" t="n"/>
      <c r="CL1501" s="21" t="n"/>
      <c r="CM1501" s="21" t="n"/>
      <c r="CN1501" s="21" t="n"/>
      <c r="CO1501" s="21" t="n"/>
      <c r="CP1501" s="21" t="n"/>
      <c r="CQ1501" s="21" t="n"/>
      <c r="CR1501" s="21" t="n"/>
      <c r="CS1501" s="21" t="n"/>
      <c r="CT1501" s="21" t="n"/>
      <c r="CU1501" s="21" t="n"/>
      <c r="CV1501" s="21" t="n"/>
      <c r="CW1501" s="21" t="n"/>
      <c r="CX1501" s="21" t="n"/>
      <c r="CY1501" s="21" t="n"/>
      <c r="CZ1501" s="21" t="n"/>
      <c r="DA1501" s="21" t="n"/>
      <c r="DB1501" s="21" t="n"/>
      <c r="DC1501" s="21" t="n"/>
      <c r="DD1501" s="21" t="n"/>
    </row>
    <row r="1502">
      <c r="B1502" t="inlineStr">
        <is>
          <t>TSP-927</t>
        </is>
      </c>
      <c r="C1502" t="inlineStr">
        <is>
          <t>No. of batches</t>
        </is>
      </c>
      <c r="D1502">
        <f>IFERROR(INDEX(E1502:DD1502,$F$1),"")</f>
        <v/>
      </c>
      <c r="E1502">
        <f>IFERROR(INDEX(PP_Grid[#Data],$DE1502,2),0)</f>
        <v/>
      </c>
      <c r="F1502">
        <f>IFERROR(INDEX(PP_Grid[#Data],$DE1502,3),0)</f>
        <v/>
      </c>
      <c r="G1502">
        <f>IFERROR(INDEX(PP_Grid[#Data],$DE1502,4),0)</f>
        <v/>
      </c>
      <c r="H1502">
        <f>IFERROR(INDEX(PP_Grid[#Data],$DE1502,5),0)</f>
        <v/>
      </c>
      <c r="I1502">
        <f>IFERROR(INDEX(PP_Grid[#Data],$DE1502,6),0)</f>
        <v/>
      </c>
      <c r="J1502">
        <f>IFERROR(INDEX(PP_Grid[#Data],$DE1502,7),0)</f>
        <v/>
      </c>
      <c r="K1502">
        <f>IFERROR(INDEX(PP_Grid[#Data],$DE1502,8),0)</f>
        <v/>
      </c>
      <c r="L1502">
        <f>IFERROR(INDEX(PP_Grid[#Data],$DE1502,9),0)</f>
        <v/>
      </c>
      <c r="M1502">
        <f>IFERROR(INDEX(PP_Grid[#Data],$DE1502,10),0)</f>
        <v/>
      </c>
      <c r="N1502">
        <f>IFERROR(INDEX(PP_Grid[#Data],$DE1502,11),0)</f>
        <v/>
      </c>
      <c r="O1502">
        <f>IFERROR(INDEX(PP_Grid[#Data],$DE1502,12),0)</f>
        <v/>
      </c>
      <c r="P1502">
        <f>IFERROR(INDEX(PP_Grid[#Data],$DE1502,13),0)</f>
        <v/>
      </c>
      <c r="Q1502">
        <f>IFERROR(INDEX(PP_Grid[#Data],$DE1502,14),0)</f>
        <v/>
      </c>
      <c r="R1502">
        <f>IFERROR(INDEX(PP_Grid[#Data],$DE1502,15),0)</f>
        <v/>
      </c>
      <c r="S1502">
        <f>IFERROR(INDEX(PP_Grid[#Data],$DE1502,16),0)</f>
        <v/>
      </c>
      <c r="T1502">
        <f>IFERROR(INDEX(PP_Grid[#Data],$DE1502,17),0)</f>
        <v/>
      </c>
      <c r="U1502">
        <f>IFERROR(INDEX(PP_Grid[#Data],$DE1502,18),0)</f>
        <v/>
      </c>
      <c r="V1502">
        <f>IFERROR(INDEX(PP_Grid[#Data],$DE1502,19),0)</f>
        <v/>
      </c>
      <c r="W1502">
        <f>IFERROR(INDEX(PP_Grid[#Data],$DE1502,20),0)</f>
        <v/>
      </c>
      <c r="X1502">
        <f>IFERROR(INDEX(PP_Grid[#Data],$DE1502,21),0)</f>
        <v/>
      </c>
      <c r="Y1502">
        <f>IFERROR(INDEX(PP_Grid[#Data],$DE1502,22),0)</f>
        <v/>
      </c>
      <c r="Z1502">
        <f>IFERROR(INDEX(PP_Grid[#Data],$DE1502,23),0)</f>
        <v/>
      </c>
      <c r="AA1502">
        <f>IFERROR(INDEX(PP_Grid[#Data],$DE1502,24),0)</f>
        <v/>
      </c>
      <c r="AB1502">
        <f>IFERROR(INDEX(PP_Grid[#Data],$DE1502,25),0)</f>
        <v/>
      </c>
      <c r="AC1502">
        <f>IFERROR(INDEX(PP_Grid[#Data],$DE1502,26),0)</f>
        <v/>
      </c>
      <c r="AD1502">
        <f>IFERROR(INDEX(PP_Grid[#Data],$DE1502,27),0)</f>
        <v/>
      </c>
      <c r="AE1502">
        <f>IFERROR(INDEX(PP_Grid[#Data],$DE1502,28),0)</f>
        <v/>
      </c>
      <c r="AF1502">
        <f>IFERROR(INDEX(PP_Grid[#Data],$DE1502,29),0)</f>
        <v/>
      </c>
      <c r="AG1502">
        <f>IFERROR(INDEX(PP_Grid[#Data],$DE1502,30),0)</f>
        <v/>
      </c>
      <c r="AH1502">
        <f>IFERROR(INDEX(PP_Grid[#Data],$DE1502,31),0)</f>
        <v/>
      </c>
      <c r="AI1502">
        <f>IFERROR(INDEX(PP_Grid[#Data],$DE1502,32),0)</f>
        <v/>
      </c>
      <c r="AJ1502">
        <f>IFERROR(INDEX(PP_Grid[#Data],$DE1502,33),0)</f>
        <v/>
      </c>
      <c r="AK1502">
        <f>IFERROR(INDEX(PP_Grid[#Data],$DE1502,34),0)</f>
        <v/>
      </c>
      <c r="AL1502">
        <f>IFERROR(INDEX(PP_Grid[#Data],$DE1502,35),0)</f>
        <v/>
      </c>
      <c r="AM1502">
        <f>IFERROR(INDEX(PP_Grid[#Data],$DE1502,36),0)</f>
        <v/>
      </c>
      <c r="AN1502">
        <f>IFERROR(INDEX(PP_Grid[#Data],$DE1502,37),0)</f>
        <v/>
      </c>
      <c r="AO1502">
        <f>IFERROR(INDEX(PP_Grid[#Data],$DE1502,38),0)</f>
        <v/>
      </c>
      <c r="AP1502">
        <f>IFERROR(INDEX(PP_Grid[#Data],$DE1502,39),0)</f>
        <v/>
      </c>
      <c r="AQ1502">
        <f>IFERROR(INDEX(PP_Grid[#Data],$DE1502,40),0)</f>
        <v/>
      </c>
      <c r="AR1502">
        <f>IFERROR(INDEX(PP_Grid[#Data],$DE1502,41),0)</f>
        <v/>
      </c>
      <c r="AS1502">
        <f>IFERROR(INDEX(PP_Grid[#Data],$DE1502,42),0)</f>
        <v/>
      </c>
      <c r="AT1502">
        <f>IFERROR(INDEX(PP_Grid[#Data],$DE1502,43),0)</f>
        <v/>
      </c>
      <c r="AU1502">
        <f>IFERROR(INDEX(PP_Grid[#Data],$DE1502,44),0)</f>
        <v/>
      </c>
      <c r="AV1502">
        <f>IFERROR(INDEX(PP_Grid[#Data],$DE1502,45),0)</f>
        <v/>
      </c>
      <c r="AW1502">
        <f>IFERROR(INDEX(PP_Grid[#Data],$DE1502,46),0)</f>
        <v/>
      </c>
      <c r="AX1502">
        <f>IFERROR(INDEX(PP_Grid[#Data],$DE1502,47),0)</f>
        <v/>
      </c>
      <c r="AY1502">
        <f>IFERROR(INDEX(PP_Grid[#Data],$DE1502,48),0)</f>
        <v/>
      </c>
      <c r="AZ1502">
        <f>IFERROR(INDEX(PP_Grid[#Data],$DE1502,49),0)</f>
        <v/>
      </c>
      <c r="BA1502">
        <f>IFERROR(INDEX(PP_Grid[#Data],$DE1502,50),0)</f>
        <v/>
      </c>
      <c r="BB1502">
        <f>IFERROR(INDEX(PP_Grid[#Data],$DE1502,51),0)</f>
        <v/>
      </c>
      <c r="BC1502">
        <f>IFERROR(INDEX(PP_Grid[#Data],$DE1502,52),0)</f>
        <v/>
      </c>
      <c r="BD1502">
        <f>IFERROR(INDEX(PP_Grid[#Data],$DE1502,53),0)</f>
        <v/>
      </c>
      <c r="BE1502">
        <f>IFERROR(INDEX(PP_Grid[#Data],$DE1502,54),0)</f>
        <v/>
      </c>
      <c r="BF1502">
        <f>IFERROR(INDEX(PP_Grid[#Data],$DE1502,55),0)</f>
        <v/>
      </c>
      <c r="BG1502">
        <f>IFERROR(INDEX(PP_Grid[#Data],$DE1502,56),0)</f>
        <v/>
      </c>
      <c r="BH1502">
        <f>IFERROR(INDEX(PP_Grid[#Data],$DE1502,57),0)</f>
        <v/>
      </c>
      <c r="BI1502">
        <f>IFERROR(INDEX(PP_Grid[#Data],$DE1502,58),0)</f>
        <v/>
      </c>
      <c r="BJ1502">
        <f>IFERROR(INDEX(PP_Grid[#Data],$DE1502,59),0)</f>
        <v/>
      </c>
      <c r="BK1502">
        <f>IFERROR(INDEX(PP_Grid[#Data],$DE1502,60),0)</f>
        <v/>
      </c>
      <c r="BL1502">
        <f>IFERROR(INDEX(PP_Grid[#Data],$DE1502,61),0)</f>
        <v/>
      </c>
      <c r="BM1502">
        <f>IFERROR(INDEX(PP_Grid[#Data],$DE1502,62),0)</f>
        <v/>
      </c>
      <c r="BN1502">
        <f>IFERROR(INDEX(PP_Grid[#Data],$DE1502,63),0)</f>
        <v/>
      </c>
      <c r="BO1502">
        <f>IFERROR(INDEX(PP_Grid[#Data],$DE1502,64),0)</f>
        <v/>
      </c>
      <c r="BP1502">
        <f>IFERROR(INDEX(PP_Grid[#Data],$DE1502,65),0)</f>
        <v/>
      </c>
      <c r="BQ1502">
        <f>IFERROR(INDEX(PP_Grid[#Data],$DE1502,66),0)</f>
        <v/>
      </c>
      <c r="BR1502">
        <f>IFERROR(INDEX(PP_Grid[#Data],$DE1502,67),0)</f>
        <v/>
      </c>
      <c r="BS1502">
        <f>IFERROR(INDEX(PP_Grid[#Data],$DE1502,68),0)</f>
        <v/>
      </c>
      <c r="BT1502">
        <f>IFERROR(INDEX(PP_Grid[#Data],$DE1502,69),0)</f>
        <v/>
      </c>
      <c r="BU1502">
        <f>IFERROR(INDEX(PP_Grid[#Data],$DE1502,70),0)</f>
        <v/>
      </c>
      <c r="BV1502">
        <f>IFERROR(INDEX(PP_Grid[#Data],$DE1502,71),0)</f>
        <v/>
      </c>
      <c r="BW1502">
        <f>IFERROR(INDEX(PP_Grid[#Data],$DE1502,72),0)</f>
        <v/>
      </c>
      <c r="BX1502">
        <f>IFERROR(INDEX(PP_Grid[#Data],$DE1502,73),0)</f>
        <v/>
      </c>
      <c r="BY1502">
        <f>IFERROR(INDEX(PP_Grid[#Data],$DE1502,74),0)</f>
        <v/>
      </c>
      <c r="BZ1502">
        <f>IFERROR(INDEX(PP_Grid[#Data],$DE1502,75),0)</f>
        <v/>
      </c>
      <c r="CA1502">
        <f>IFERROR(INDEX(PP_Grid[#Data],$DE1502,76),0)</f>
        <v/>
      </c>
      <c r="CB1502">
        <f>IFERROR(INDEX(PP_Grid[#Data],$DE1502,77),0)</f>
        <v/>
      </c>
      <c r="CC1502">
        <f>IFERROR(INDEX(PP_Grid[#Data],$DE1502,78),0)</f>
        <v/>
      </c>
      <c r="CD1502">
        <f>IFERROR(INDEX(PP_Grid[#Data],$DE1502,79),0)</f>
        <v/>
      </c>
      <c r="CE1502">
        <f>IFERROR(INDEX(PP_Grid[#Data],$DE1502,80),0)</f>
        <v/>
      </c>
      <c r="CF1502">
        <f>IFERROR(INDEX(PP_Grid[#Data],$DE1502,81),0)</f>
        <v/>
      </c>
      <c r="CG1502">
        <f>IFERROR(INDEX(PP_Grid[#Data],$DE1502,82),0)</f>
        <v/>
      </c>
      <c r="CH1502">
        <f>IFERROR(INDEX(PP_Grid[#Data],$DE1502,83),0)</f>
        <v/>
      </c>
      <c r="CI1502">
        <f>IFERROR(INDEX(PP_Grid[#Data],$DE1502,84),0)</f>
        <v/>
      </c>
      <c r="CJ1502">
        <f>IFERROR(INDEX(PP_Grid[#Data],$DE1502,85),0)</f>
        <v/>
      </c>
      <c r="CK1502">
        <f>IFERROR(INDEX(PP_Grid[#Data],$DE1502,86),0)</f>
        <v/>
      </c>
      <c r="CL1502">
        <f>IFERROR(INDEX(PP_Grid[#Data],$DE1502,87),0)</f>
        <v/>
      </c>
      <c r="CM1502">
        <f>IFERROR(INDEX(PP_Grid[#Data],$DE1502,88),0)</f>
        <v/>
      </c>
      <c r="CN1502">
        <f>IFERROR(INDEX(PP_Grid[#Data],$DE1502,89),0)</f>
        <v/>
      </c>
      <c r="CO1502">
        <f>IFERROR(INDEX(PP_Grid[#Data],$DE1502,90),0)</f>
        <v/>
      </c>
      <c r="CP1502">
        <f>IFERROR(INDEX(PP_Grid[#Data],$DE1502,91),0)</f>
        <v/>
      </c>
      <c r="CQ1502">
        <f>IFERROR(INDEX(PP_Grid[#Data],$DE1502,92),0)</f>
        <v/>
      </c>
      <c r="CR1502">
        <f>IFERROR(INDEX(PP_Grid[#Data],$DE1502,93),0)</f>
        <v/>
      </c>
      <c r="CS1502">
        <f>IFERROR(INDEX(PP_Grid[#Data],$DE1502,94),0)</f>
        <v/>
      </c>
      <c r="CT1502">
        <f>IFERROR(INDEX(PP_Grid[#Data],$DE1502,95),0)</f>
        <v/>
      </c>
      <c r="CU1502">
        <f>IFERROR(INDEX(PP_Grid[#Data],$DE1502,96),0)</f>
        <v/>
      </c>
      <c r="CV1502">
        <f>IFERROR(INDEX(PP_Grid[#Data],$DE1502,97),0)</f>
        <v/>
      </c>
      <c r="CW1502">
        <f>IFERROR(INDEX(PP_Grid[#Data],$DE1502,98),0)</f>
        <v/>
      </c>
      <c r="CX1502">
        <f>IFERROR(INDEX(PP_Grid[#Data],$DE1502,99),0)</f>
        <v/>
      </c>
      <c r="CY1502">
        <f>IFERROR(INDEX(PP_Grid[#Data],$DE1502,100),0)</f>
        <v/>
      </c>
      <c r="CZ1502">
        <f>IFERROR(INDEX(PP_Grid[#Data],$DE1502,101),0)</f>
        <v/>
      </c>
      <c r="DA1502">
        <f>IFERROR(INDEX(PP_Grid[#Data],$DE1502,102),0)</f>
        <v/>
      </c>
      <c r="DB1502">
        <f>IFERROR(INDEX(PP_Grid[#Data],$DE1502,103),0)</f>
        <v/>
      </c>
      <c r="DC1502">
        <f>IFERROR(INDEX(PP_Grid[#Data],$DE1502,104),0)</f>
        <v/>
      </c>
      <c r="DD1502">
        <f>IFERROR(INDEX(PP_Grid[#Data],$DE1502,105),0)</f>
        <v/>
      </c>
      <c r="DE1502" s="7">
        <f>IFERROR(MATCH($B1502,PP_Grid[Intermediate],0),99999)</f>
        <v/>
      </c>
    </row>
    <row r="1503">
      <c r="B1503" t="inlineStr">
        <is>
          <t>使用量(kg)</t>
        </is>
      </c>
      <c r="C1503">
        <f>SUMIFS(M_BOM[RM_Qty_Per_Batch],M_BOM[Intermediate],$B1502,M_BOM[RM_Code],$A1501)</f>
        <v/>
      </c>
      <c r="D1503">
        <f>IFERROR(INDEX(E1503:DD1503,$F$1),"")</f>
        <v/>
      </c>
      <c r="E1503">
        <f>$C1503*E1502</f>
        <v/>
      </c>
      <c r="F1503">
        <f>$C1503*F1502</f>
        <v/>
      </c>
      <c r="G1503">
        <f>$C1503*G1502</f>
        <v/>
      </c>
      <c r="H1503">
        <f>$C1503*H1502</f>
        <v/>
      </c>
      <c r="I1503">
        <f>$C1503*I1502</f>
        <v/>
      </c>
      <c r="J1503">
        <f>$C1503*J1502</f>
        <v/>
      </c>
      <c r="K1503">
        <f>$C1503*K1502</f>
        <v/>
      </c>
      <c r="L1503">
        <f>$C1503*L1502</f>
        <v/>
      </c>
      <c r="M1503">
        <f>$C1503*M1502</f>
        <v/>
      </c>
      <c r="N1503">
        <f>$C1503*N1502</f>
        <v/>
      </c>
      <c r="O1503">
        <f>$C1503*O1502</f>
        <v/>
      </c>
      <c r="P1503">
        <f>$C1503*P1502</f>
        <v/>
      </c>
      <c r="Q1503">
        <f>$C1503*Q1502</f>
        <v/>
      </c>
      <c r="R1503">
        <f>$C1503*R1502</f>
        <v/>
      </c>
      <c r="S1503">
        <f>$C1503*S1502</f>
        <v/>
      </c>
      <c r="T1503">
        <f>$C1503*T1502</f>
        <v/>
      </c>
      <c r="U1503">
        <f>$C1503*U1502</f>
        <v/>
      </c>
      <c r="V1503">
        <f>$C1503*V1502</f>
        <v/>
      </c>
      <c r="W1503">
        <f>$C1503*W1502</f>
        <v/>
      </c>
      <c r="X1503">
        <f>$C1503*X1502</f>
        <v/>
      </c>
      <c r="Y1503">
        <f>$C1503*Y1502</f>
        <v/>
      </c>
      <c r="Z1503">
        <f>$C1503*Z1502</f>
        <v/>
      </c>
      <c r="AA1503">
        <f>$C1503*AA1502</f>
        <v/>
      </c>
      <c r="AB1503">
        <f>$C1503*AB1502</f>
        <v/>
      </c>
      <c r="AC1503">
        <f>$C1503*AC1502</f>
        <v/>
      </c>
      <c r="AD1503">
        <f>$C1503*AD1502</f>
        <v/>
      </c>
      <c r="AE1503">
        <f>$C1503*AE1502</f>
        <v/>
      </c>
      <c r="AF1503">
        <f>$C1503*AF1502</f>
        <v/>
      </c>
      <c r="AG1503">
        <f>$C1503*AG1502</f>
        <v/>
      </c>
      <c r="AH1503">
        <f>$C1503*AH1502</f>
        <v/>
      </c>
      <c r="AI1503">
        <f>$C1503*AI1502</f>
        <v/>
      </c>
      <c r="AJ1503">
        <f>$C1503*AJ1502</f>
        <v/>
      </c>
      <c r="AK1503">
        <f>$C1503*AK1502</f>
        <v/>
      </c>
      <c r="AL1503">
        <f>$C1503*AL1502</f>
        <v/>
      </c>
      <c r="AM1503">
        <f>$C1503*AM1502</f>
        <v/>
      </c>
      <c r="AN1503">
        <f>$C1503*AN1502</f>
        <v/>
      </c>
      <c r="AO1503">
        <f>$C1503*AO1502</f>
        <v/>
      </c>
      <c r="AP1503">
        <f>$C1503*AP1502</f>
        <v/>
      </c>
      <c r="AQ1503">
        <f>$C1503*AQ1502</f>
        <v/>
      </c>
      <c r="AR1503">
        <f>$C1503*AR1502</f>
        <v/>
      </c>
      <c r="AS1503">
        <f>$C1503*AS1502</f>
        <v/>
      </c>
      <c r="AT1503">
        <f>$C1503*AT1502</f>
        <v/>
      </c>
      <c r="AU1503">
        <f>$C1503*AU1502</f>
        <v/>
      </c>
      <c r="AV1503">
        <f>$C1503*AV1502</f>
        <v/>
      </c>
      <c r="AW1503">
        <f>$C1503*AW1502</f>
        <v/>
      </c>
      <c r="AX1503">
        <f>$C1503*AX1502</f>
        <v/>
      </c>
      <c r="AY1503">
        <f>$C1503*AY1502</f>
        <v/>
      </c>
      <c r="AZ1503">
        <f>$C1503*AZ1502</f>
        <v/>
      </c>
      <c r="BA1503">
        <f>$C1503*BA1502</f>
        <v/>
      </c>
      <c r="BB1503">
        <f>$C1503*BB1502</f>
        <v/>
      </c>
      <c r="BC1503">
        <f>$C1503*BC1502</f>
        <v/>
      </c>
      <c r="BD1503">
        <f>$C1503*BD1502</f>
        <v/>
      </c>
      <c r="BE1503">
        <f>$C1503*BE1502</f>
        <v/>
      </c>
      <c r="BF1503">
        <f>$C1503*BF1502</f>
        <v/>
      </c>
      <c r="BG1503">
        <f>$C1503*BG1502</f>
        <v/>
      </c>
      <c r="BH1503">
        <f>$C1503*BH1502</f>
        <v/>
      </c>
      <c r="BI1503">
        <f>$C1503*BI1502</f>
        <v/>
      </c>
      <c r="BJ1503">
        <f>$C1503*BJ1502</f>
        <v/>
      </c>
      <c r="BK1503">
        <f>$C1503*BK1502</f>
        <v/>
      </c>
      <c r="BL1503">
        <f>$C1503*BL1502</f>
        <v/>
      </c>
      <c r="BM1503">
        <f>$C1503*BM1502</f>
        <v/>
      </c>
      <c r="BN1503">
        <f>$C1503*BN1502</f>
        <v/>
      </c>
      <c r="BO1503">
        <f>$C1503*BO1502</f>
        <v/>
      </c>
      <c r="BP1503">
        <f>$C1503*BP1502</f>
        <v/>
      </c>
      <c r="BQ1503">
        <f>$C1503*BQ1502</f>
        <v/>
      </c>
      <c r="BR1503">
        <f>$C1503*BR1502</f>
        <v/>
      </c>
      <c r="BS1503">
        <f>$C1503*BS1502</f>
        <v/>
      </c>
      <c r="BT1503">
        <f>$C1503*BT1502</f>
        <v/>
      </c>
      <c r="BU1503">
        <f>$C1503*BU1502</f>
        <v/>
      </c>
      <c r="BV1503">
        <f>$C1503*BV1502</f>
        <v/>
      </c>
      <c r="BW1503">
        <f>$C1503*BW1502</f>
        <v/>
      </c>
      <c r="BX1503">
        <f>$C1503*BX1502</f>
        <v/>
      </c>
      <c r="BY1503">
        <f>$C1503*BY1502</f>
        <v/>
      </c>
      <c r="BZ1503">
        <f>$C1503*BZ1502</f>
        <v/>
      </c>
      <c r="CA1503">
        <f>$C1503*CA1502</f>
        <v/>
      </c>
      <c r="CB1503">
        <f>$C1503*CB1502</f>
        <v/>
      </c>
      <c r="CC1503">
        <f>$C1503*CC1502</f>
        <v/>
      </c>
      <c r="CD1503">
        <f>$C1503*CD1502</f>
        <v/>
      </c>
      <c r="CE1503">
        <f>$C1503*CE1502</f>
        <v/>
      </c>
      <c r="CF1503">
        <f>$C1503*CF1502</f>
        <v/>
      </c>
      <c r="CG1503">
        <f>$C1503*CG1502</f>
        <v/>
      </c>
      <c r="CH1503">
        <f>$C1503*CH1502</f>
        <v/>
      </c>
      <c r="CI1503">
        <f>$C1503*CI1502</f>
        <v/>
      </c>
      <c r="CJ1503">
        <f>$C1503*CJ1502</f>
        <v/>
      </c>
      <c r="CK1503">
        <f>$C1503*CK1502</f>
        <v/>
      </c>
      <c r="CL1503">
        <f>$C1503*CL1502</f>
        <v/>
      </c>
      <c r="CM1503">
        <f>$C1503*CM1502</f>
        <v/>
      </c>
      <c r="CN1503">
        <f>$C1503*CN1502</f>
        <v/>
      </c>
      <c r="CO1503">
        <f>$C1503*CO1502</f>
        <v/>
      </c>
      <c r="CP1503">
        <f>$C1503*CP1502</f>
        <v/>
      </c>
      <c r="CQ1503">
        <f>$C1503*CQ1502</f>
        <v/>
      </c>
      <c r="CR1503">
        <f>$C1503*CR1502</f>
        <v/>
      </c>
      <c r="CS1503">
        <f>$C1503*CS1502</f>
        <v/>
      </c>
      <c r="CT1503">
        <f>$C1503*CT1502</f>
        <v/>
      </c>
      <c r="CU1503">
        <f>$C1503*CU1502</f>
        <v/>
      </c>
      <c r="CV1503">
        <f>$C1503*CV1502</f>
        <v/>
      </c>
      <c r="CW1503">
        <f>$C1503*CW1502</f>
        <v/>
      </c>
      <c r="CX1503">
        <f>$C1503*CX1502</f>
        <v/>
      </c>
      <c r="CY1503">
        <f>$C1503*CY1502</f>
        <v/>
      </c>
      <c r="CZ1503">
        <f>$C1503*CZ1502</f>
        <v/>
      </c>
      <c r="DA1503">
        <f>$C1503*DA1502</f>
        <v/>
      </c>
      <c r="DB1503">
        <f>$C1503*DB1502</f>
        <v/>
      </c>
      <c r="DC1503">
        <f>$C1503*DC1502</f>
        <v/>
      </c>
      <c r="DD1503">
        <f>$C1503*DD1502</f>
        <v/>
      </c>
    </row>
    <row r="1504">
      <c r="B1504" t="inlineStr">
        <is>
          <t>TSP-928</t>
        </is>
      </c>
      <c r="C1504" t="inlineStr">
        <is>
          <t>No. of batches</t>
        </is>
      </c>
      <c r="D1504">
        <f>IFERROR(INDEX(E1504:DD1504,$F$1),"")</f>
        <v/>
      </c>
      <c r="E1504">
        <f>IFERROR(INDEX(PP_Grid[#Data],$DE1504,2),0)</f>
        <v/>
      </c>
      <c r="F1504">
        <f>IFERROR(INDEX(PP_Grid[#Data],$DE1504,3),0)</f>
        <v/>
      </c>
      <c r="G1504">
        <f>IFERROR(INDEX(PP_Grid[#Data],$DE1504,4),0)</f>
        <v/>
      </c>
      <c r="H1504">
        <f>IFERROR(INDEX(PP_Grid[#Data],$DE1504,5),0)</f>
        <v/>
      </c>
      <c r="I1504">
        <f>IFERROR(INDEX(PP_Grid[#Data],$DE1504,6),0)</f>
        <v/>
      </c>
      <c r="J1504">
        <f>IFERROR(INDEX(PP_Grid[#Data],$DE1504,7),0)</f>
        <v/>
      </c>
      <c r="K1504">
        <f>IFERROR(INDEX(PP_Grid[#Data],$DE1504,8),0)</f>
        <v/>
      </c>
      <c r="L1504">
        <f>IFERROR(INDEX(PP_Grid[#Data],$DE1504,9),0)</f>
        <v/>
      </c>
      <c r="M1504">
        <f>IFERROR(INDEX(PP_Grid[#Data],$DE1504,10),0)</f>
        <v/>
      </c>
      <c r="N1504">
        <f>IFERROR(INDEX(PP_Grid[#Data],$DE1504,11),0)</f>
        <v/>
      </c>
      <c r="O1504">
        <f>IFERROR(INDEX(PP_Grid[#Data],$DE1504,12),0)</f>
        <v/>
      </c>
      <c r="P1504">
        <f>IFERROR(INDEX(PP_Grid[#Data],$DE1504,13),0)</f>
        <v/>
      </c>
      <c r="Q1504">
        <f>IFERROR(INDEX(PP_Grid[#Data],$DE1504,14),0)</f>
        <v/>
      </c>
      <c r="R1504">
        <f>IFERROR(INDEX(PP_Grid[#Data],$DE1504,15),0)</f>
        <v/>
      </c>
      <c r="S1504">
        <f>IFERROR(INDEX(PP_Grid[#Data],$DE1504,16),0)</f>
        <v/>
      </c>
      <c r="T1504">
        <f>IFERROR(INDEX(PP_Grid[#Data],$DE1504,17),0)</f>
        <v/>
      </c>
      <c r="U1504">
        <f>IFERROR(INDEX(PP_Grid[#Data],$DE1504,18),0)</f>
        <v/>
      </c>
      <c r="V1504">
        <f>IFERROR(INDEX(PP_Grid[#Data],$DE1504,19),0)</f>
        <v/>
      </c>
      <c r="W1504">
        <f>IFERROR(INDEX(PP_Grid[#Data],$DE1504,20),0)</f>
        <v/>
      </c>
      <c r="X1504">
        <f>IFERROR(INDEX(PP_Grid[#Data],$DE1504,21),0)</f>
        <v/>
      </c>
      <c r="Y1504">
        <f>IFERROR(INDEX(PP_Grid[#Data],$DE1504,22),0)</f>
        <v/>
      </c>
      <c r="Z1504">
        <f>IFERROR(INDEX(PP_Grid[#Data],$DE1504,23),0)</f>
        <v/>
      </c>
      <c r="AA1504">
        <f>IFERROR(INDEX(PP_Grid[#Data],$DE1504,24),0)</f>
        <v/>
      </c>
      <c r="AB1504">
        <f>IFERROR(INDEX(PP_Grid[#Data],$DE1504,25),0)</f>
        <v/>
      </c>
      <c r="AC1504">
        <f>IFERROR(INDEX(PP_Grid[#Data],$DE1504,26),0)</f>
        <v/>
      </c>
      <c r="AD1504">
        <f>IFERROR(INDEX(PP_Grid[#Data],$DE1504,27),0)</f>
        <v/>
      </c>
      <c r="AE1504">
        <f>IFERROR(INDEX(PP_Grid[#Data],$DE1504,28),0)</f>
        <v/>
      </c>
      <c r="AF1504">
        <f>IFERROR(INDEX(PP_Grid[#Data],$DE1504,29),0)</f>
        <v/>
      </c>
      <c r="AG1504">
        <f>IFERROR(INDEX(PP_Grid[#Data],$DE1504,30),0)</f>
        <v/>
      </c>
      <c r="AH1504">
        <f>IFERROR(INDEX(PP_Grid[#Data],$DE1504,31),0)</f>
        <v/>
      </c>
      <c r="AI1504">
        <f>IFERROR(INDEX(PP_Grid[#Data],$DE1504,32),0)</f>
        <v/>
      </c>
      <c r="AJ1504">
        <f>IFERROR(INDEX(PP_Grid[#Data],$DE1504,33),0)</f>
        <v/>
      </c>
      <c r="AK1504">
        <f>IFERROR(INDEX(PP_Grid[#Data],$DE1504,34),0)</f>
        <v/>
      </c>
      <c r="AL1504">
        <f>IFERROR(INDEX(PP_Grid[#Data],$DE1504,35),0)</f>
        <v/>
      </c>
      <c r="AM1504">
        <f>IFERROR(INDEX(PP_Grid[#Data],$DE1504,36),0)</f>
        <v/>
      </c>
      <c r="AN1504">
        <f>IFERROR(INDEX(PP_Grid[#Data],$DE1504,37),0)</f>
        <v/>
      </c>
      <c r="AO1504">
        <f>IFERROR(INDEX(PP_Grid[#Data],$DE1504,38),0)</f>
        <v/>
      </c>
      <c r="AP1504">
        <f>IFERROR(INDEX(PP_Grid[#Data],$DE1504,39),0)</f>
        <v/>
      </c>
      <c r="AQ1504">
        <f>IFERROR(INDEX(PP_Grid[#Data],$DE1504,40),0)</f>
        <v/>
      </c>
      <c r="AR1504">
        <f>IFERROR(INDEX(PP_Grid[#Data],$DE1504,41),0)</f>
        <v/>
      </c>
      <c r="AS1504">
        <f>IFERROR(INDEX(PP_Grid[#Data],$DE1504,42),0)</f>
        <v/>
      </c>
      <c r="AT1504">
        <f>IFERROR(INDEX(PP_Grid[#Data],$DE1504,43),0)</f>
        <v/>
      </c>
      <c r="AU1504">
        <f>IFERROR(INDEX(PP_Grid[#Data],$DE1504,44),0)</f>
        <v/>
      </c>
      <c r="AV1504">
        <f>IFERROR(INDEX(PP_Grid[#Data],$DE1504,45),0)</f>
        <v/>
      </c>
      <c r="AW1504">
        <f>IFERROR(INDEX(PP_Grid[#Data],$DE1504,46),0)</f>
        <v/>
      </c>
      <c r="AX1504">
        <f>IFERROR(INDEX(PP_Grid[#Data],$DE1504,47),0)</f>
        <v/>
      </c>
      <c r="AY1504">
        <f>IFERROR(INDEX(PP_Grid[#Data],$DE1504,48),0)</f>
        <v/>
      </c>
      <c r="AZ1504">
        <f>IFERROR(INDEX(PP_Grid[#Data],$DE1504,49),0)</f>
        <v/>
      </c>
      <c r="BA1504">
        <f>IFERROR(INDEX(PP_Grid[#Data],$DE1504,50),0)</f>
        <v/>
      </c>
      <c r="BB1504">
        <f>IFERROR(INDEX(PP_Grid[#Data],$DE1504,51),0)</f>
        <v/>
      </c>
      <c r="BC1504">
        <f>IFERROR(INDEX(PP_Grid[#Data],$DE1504,52),0)</f>
        <v/>
      </c>
      <c r="BD1504">
        <f>IFERROR(INDEX(PP_Grid[#Data],$DE1504,53),0)</f>
        <v/>
      </c>
      <c r="BE1504">
        <f>IFERROR(INDEX(PP_Grid[#Data],$DE1504,54),0)</f>
        <v/>
      </c>
      <c r="BF1504">
        <f>IFERROR(INDEX(PP_Grid[#Data],$DE1504,55),0)</f>
        <v/>
      </c>
      <c r="BG1504">
        <f>IFERROR(INDEX(PP_Grid[#Data],$DE1504,56),0)</f>
        <v/>
      </c>
      <c r="BH1504">
        <f>IFERROR(INDEX(PP_Grid[#Data],$DE1504,57),0)</f>
        <v/>
      </c>
      <c r="BI1504">
        <f>IFERROR(INDEX(PP_Grid[#Data],$DE1504,58),0)</f>
        <v/>
      </c>
      <c r="BJ1504">
        <f>IFERROR(INDEX(PP_Grid[#Data],$DE1504,59),0)</f>
        <v/>
      </c>
      <c r="BK1504">
        <f>IFERROR(INDEX(PP_Grid[#Data],$DE1504,60),0)</f>
        <v/>
      </c>
      <c r="BL1504">
        <f>IFERROR(INDEX(PP_Grid[#Data],$DE1504,61),0)</f>
        <v/>
      </c>
      <c r="BM1504">
        <f>IFERROR(INDEX(PP_Grid[#Data],$DE1504,62),0)</f>
        <v/>
      </c>
      <c r="BN1504">
        <f>IFERROR(INDEX(PP_Grid[#Data],$DE1504,63),0)</f>
        <v/>
      </c>
      <c r="BO1504">
        <f>IFERROR(INDEX(PP_Grid[#Data],$DE1504,64),0)</f>
        <v/>
      </c>
      <c r="BP1504">
        <f>IFERROR(INDEX(PP_Grid[#Data],$DE1504,65),0)</f>
        <v/>
      </c>
      <c r="BQ1504">
        <f>IFERROR(INDEX(PP_Grid[#Data],$DE1504,66),0)</f>
        <v/>
      </c>
      <c r="BR1504">
        <f>IFERROR(INDEX(PP_Grid[#Data],$DE1504,67),0)</f>
        <v/>
      </c>
      <c r="BS1504">
        <f>IFERROR(INDEX(PP_Grid[#Data],$DE1504,68),0)</f>
        <v/>
      </c>
      <c r="BT1504">
        <f>IFERROR(INDEX(PP_Grid[#Data],$DE1504,69),0)</f>
        <v/>
      </c>
      <c r="BU1504">
        <f>IFERROR(INDEX(PP_Grid[#Data],$DE1504,70),0)</f>
        <v/>
      </c>
      <c r="BV1504">
        <f>IFERROR(INDEX(PP_Grid[#Data],$DE1504,71),0)</f>
        <v/>
      </c>
      <c r="BW1504">
        <f>IFERROR(INDEX(PP_Grid[#Data],$DE1504,72),0)</f>
        <v/>
      </c>
      <c r="BX1504">
        <f>IFERROR(INDEX(PP_Grid[#Data],$DE1504,73),0)</f>
        <v/>
      </c>
      <c r="BY1504">
        <f>IFERROR(INDEX(PP_Grid[#Data],$DE1504,74),0)</f>
        <v/>
      </c>
      <c r="BZ1504">
        <f>IFERROR(INDEX(PP_Grid[#Data],$DE1504,75),0)</f>
        <v/>
      </c>
      <c r="CA1504">
        <f>IFERROR(INDEX(PP_Grid[#Data],$DE1504,76),0)</f>
        <v/>
      </c>
      <c r="CB1504">
        <f>IFERROR(INDEX(PP_Grid[#Data],$DE1504,77),0)</f>
        <v/>
      </c>
      <c r="CC1504">
        <f>IFERROR(INDEX(PP_Grid[#Data],$DE1504,78),0)</f>
        <v/>
      </c>
      <c r="CD1504">
        <f>IFERROR(INDEX(PP_Grid[#Data],$DE1504,79),0)</f>
        <v/>
      </c>
      <c r="CE1504">
        <f>IFERROR(INDEX(PP_Grid[#Data],$DE1504,80),0)</f>
        <v/>
      </c>
      <c r="CF1504">
        <f>IFERROR(INDEX(PP_Grid[#Data],$DE1504,81),0)</f>
        <v/>
      </c>
      <c r="CG1504">
        <f>IFERROR(INDEX(PP_Grid[#Data],$DE1504,82),0)</f>
        <v/>
      </c>
      <c r="CH1504">
        <f>IFERROR(INDEX(PP_Grid[#Data],$DE1504,83),0)</f>
        <v/>
      </c>
      <c r="CI1504">
        <f>IFERROR(INDEX(PP_Grid[#Data],$DE1504,84),0)</f>
        <v/>
      </c>
      <c r="CJ1504">
        <f>IFERROR(INDEX(PP_Grid[#Data],$DE1504,85),0)</f>
        <v/>
      </c>
      <c r="CK1504">
        <f>IFERROR(INDEX(PP_Grid[#Data],$DE1504,86),0)</f>
        <v/>
      </c>
      <c r="CL1504">
        <f>IFERROR(INDEX(PP_Grid[#Data],$DE1504,87),0)</f>
        <v/>
      </c>
      <c r="CM1504">
        <f>IFERROR(INDEX(PP_Grid[#Data],$DE1504,88),0)</f>
        <v/>
      </c>
      <c r="CN1504">
        <f>IFERROR(INDEX(PP_Grid[#Data],$DE1504,89),0)</f>
        <v/>
      </c>
      <c r="CO1504">
        <f>IFERROR(INDEX(PP_Grid[#Data],$DE1504,90),0)</f>
        <v/>
      </c>
      <c r="CP1504">
        <f>IFERROR(INDEX(PP_Grid[#Data],$DE1504,91),0)</f>
        <v/>
      </c>
      <c r="CQ1504">
        <f>IFERROR(INDEX(PP_Grid[#Data],$DE1504,92),0)</f>
        <v/>
      </c>
      <c r="CR1504">
        <f>IFERROR(INDEX(PP_Grid[#Data],$DE1504,93),0)</f>
        <v/>
      </c>
      <c r="CS1504">
        <f>IFERROR(INDEX(PP_Grid[#Data],$DE1504,94),0)</f>
        <v/>
      </c>
      <c r="CT1504">
        <f>IFERROR(INDEX(PP_Grid[#Data],$DE1504,95),0)</f>
        <v/>
      </c>
      <c r="CU1504">
        <f>IFERROR(INDEX(PP_Grid[#Data],$DE1504,96),0)</f>
        <v/>
      </c>
      <c r="CV1504">
        <f>IFERROR(INDEX(PP_Grid[#Data],$DE1504,97),0)</f>
        <v/>
      </c>
      <c r="CW1504">
        <f>IFERROR(INDEX(PP_Grid[#Data],$DE1504,98),0)</f>
        <v/>
      </c>
      <c r="CX1504">
        <f>IFERROR(INDEX(PP_Grid[#Data],$DE1504,99),0)</f>
        <v/>
      </c>
      <c r="CY1504">
        <f>IFERROR(INDEX(PP_Grid[#Data],$DE1504,100),0)</f>
        <v/>
      </c>
      <c r="CZ1504">
        <f>IFERROR(INDEX(PP_Grid[#Data],$DE1504,101),0)</f>
        <v/>
      </c>
      <c r="DA1504">
        <f>IFERROR(INDEX(PP_Grid[#Data],$DE1504,102),0)</f>
        <v/>
      </c>
      <c r="DB1504">
        <f>IFERROR(INDEX(PP_Grid[#Data],$DE1504,103),0)</f>
        <v/>
      </c>
      <c r="DC1504">
        <f>IFERROR(INDEX(PP_Grid[#Data],$DE1504,104),0)</f>
        <v/>
      </c>
      <c r="DD1504">
        <f>IFERROR(INDEX(PP_Grid[#Data],$DE1504,105),0)</f>
        <v/>
      </c>
      <c r="DE1504" s="7">
        <f>IFERROR(MATCH($B1504,PP_Grid[Intermediate],0),99999)</f>
        <v/>
      </c>
    </row>
    <row r="1505">
      <c r="B1505" t="inlineStr">
        <is>
          <t>使用量(kg)</t>
        </is>
      </c>
      <c r="C1505">
        <f>SUMIFS(M_BOM[RM_Qty_Per_Batch],M_BOM[Intermediate],$B1504,M_BOM[RM_Code],$A1501)</f>
        <v/>
      </c>
      <c r="D1505">
        <f>IFERROR(INDEX(E1505:DD1505,$F$1),"")</f>
        <v/>
      </c>
      <c r="E1505">
        <f>$C1505*E1504</f>
        <v/>
      </c>
      <c r="F1505">
        <f>$C1505*F1504</f>
        <v/>
      </c>
      <c r="G1505">
        <f>$C1505*G1504</f>
        <v/>
      </c>
      <c r="H1505">
        <f>$C1505*H1504</f>
        <v/>
      </c>
      <c r="I1505">
        <f>$C1505*I1504</f>
        <v/>
      </c>
      <c r="J1505">
        <f>$C1505*J1504</f>
        <v/>
      </c>
      <c r="K1505">
        <f>$C1505*K1504</f>
        <v/>
      </c>
      <c r="L1505">
        <f>$C1505*L1504</f>
        <v/>
      </c>
      <c r="M1505">
        <f>$C1505*M1504</f>
        <v/>
      </c>
      <c r="N1505">
        <f>$C1505*N1504</f>
        <v/>
      </c>
      <c r="O1505">
        <f>$C1505*O1504</f>
        <v/>
      </c>
      <c r="P1505">
        <f>$C1505*P1504</f>
        <v/>
      </c>
      <c r="Q1505">
        <f>$C1505*Q1504</f>
        <v/>
      </c>
      <c r="R1505">
        <f>$C1505*R1504</f>
        <v/>
      </c>
      <c r="S1505">
        <f>$C1505*S1504</f>
        <v/>
      </c>
      <c r="T1505">
        <f>$C1505*T1504</f>
        <v/>
      </c>
      <c r="U1505">
        <f>$C1505*U1504</f>
        <v/>
      </c>
      <c r="V1505">
        <f>$C1505*V1504</f>
        <v/>
      </c>
      <c r="W1505">
        <f>$C1505*W1504</f>
        <v/>
      </c>
      <c r="X1505">
        <f>$C1505*X1504</f>
        <v/>
      </c>
      <c r="Y1505">
        <f>$C1505*Y1504</f>
        <v/>
      </c>
      <c r="Z1505">
        <f>$C1505*Z1504</f>
        <v/>
      </c>
      <c r="AA1505">
        <f>$C1505*AA1504</f>
        <v/>
      </c>
      <c r="AB1505">
        <f>$C1505*AB1504</f>
        <v/>
      </c>
      <c r="AC1505">
        <f>$C1505*AC1504</f>
        <v/>
      </c>
      <c r="AD1505">
        <f>$C1505*AD1504</f>
        <v/>
      </c>
      <c r="AE1505">
        <f>$C1505*AE1504</f>
        <v/>
      </c>
      <c r="AF1505">
        <f>$C1505*AF1504</f>
        <v/>
      </c>
      <c r="AG1505">
        <f>$C1505*AG1504</f>
        <v/>
      </c>
      <c r="AH1505">
        <f>$C1505*AH1504</f>
        <v/>
      </c>
      <c r="AI1505">
        <f>$C1505*AI1504</f>
        <v/>
      </c>
      <c r="AJ1505">
        <f>$C1505*AJ1504</f>
        <v/>
      </c>
      <c r="AK1505">
        <f>$C1505*AK1504</f>
        <v/>
      </c>
      <c r="AL1505">
        <f>$C1505*AL1504</f>
        <v/>
      </c>
      <c r="AM1505">
        <f>$C1505*AM1504</f>
        <v/>
      </c>
      <c r="AN1505">
        <f>$C1505*AN1504</f>
        <v/>
      </c>
      <c r="AO1505">
        <f>$C1505*AO1504</f>
        <v/>
      </c>
      <c r="AP1505">
        <f>$C1505*AP1504</f>
        <v/>
      </c>
      <c r="AQ1505">
        <f>$C1505*AQ1504</f>
        <v/>
      </c>
      <c r="AR1505">
        <f>$C1505*AR1504</f>
        <v/>
      </c>
      <c r="AS1505">
        <f>$C1505*AS1504</f>
        <v/>
      </c>
      <c r="AT1505">
        <f>$C1505*AT1504</f>
        <v/>
      </c>
      <c r="AU1505">
        <f>$C1505*AU1504</f>
        <v/>
      </c>
      <c r="AV1505">
        <f>$C1505*AV1504</f>
        <v/>
      </c>
      <c r="AW1505">
        <f>$C1505*AW1504</f>
        <v/>
      </c>
      <c r="AX1505">
        <f>$C1505*AX1504</f>
        <v/>
      </c>
      <c r="AY1505">
        <f>$C1505*AY1504</f>
        <v/>
      </c>
      <c r="AZ1505">
        <f>$C1505*AZ1504</f>
        <v/>
      </c>
      <c r="BA1505">
        <f>$C1505*BA1504</f>
        <v/>
      </c>
      <c r="BB1505">
        <f>$C1505*BB1504</f>
        <v/>
      </c>
      <c r="BC1505">
        <f>$C1505*BC1504</f>
        <v/>
      </c>
      <c r="BD1505">
        <f>$C1505*BD1504</f>
        <v/>
      </c>
      <c r="BE1505">
        <f>$C1505*BE1504</f>
        <v/>
      </c>
      <c r="BF1505">
        <f>$C1505*BF1504</f>
        <v/>
      </c>
      <c r="BG1505">
        <f>$C1505*BG1504</f>
        <v/>
      </c>
      <c r="BH1505">
        <f>$C1505*BH1504</f>
        <v/>
      </c>
      <c r="BI1505">
        <f>$C1505*BI1504</f>
        <v/>
      </c>
      <c r="BJ1505">
        <f>$C1505*BJ1504</f>
        <v/>
      </c>
      <c r="BK1505">
        <f>$C1505*BK1504</f>
        <v/>
      </c>
      <c r="BL1505">
        <f>$C1505*BL1504</f>
        <v/>
      </c>
      <c r="BM1505">
        <f>$C1505*BM1504</f>
        <v/>
      </c>
      <c r="BN1505">
        <f>$C1505*BN1504</f>
        <v/>
      </c>
      <c r="BO1505">
        <f>$C1505*BO1504</f>
        <v/>
      </c>
      <c r="BP1505">
        <f>$C1505*BP1504</f>
        <v/>
      </c>
      <c r="BQ1505">
        <f>$C1505*BQ1504</f>
        <v/>
      </c>
      <c r="BR1505">
        <f>$C1505*BR1504</f>
        <v/>
      </c>
      <c r="BS1505">
        <f>$C1505*BS1504</f>
        <v/>
      </c>
      <c r="BT1505">
        <f>$C1505*BT1504</f>
        <v/>
      </c>
      <c r="BU1505">
        <f>$C1505*BU1504</f>
        <v/>
      </c>
      <c r="BV1505">
        <f>$C1505*BV1504</f>
        <v/>
      </c>
      <c r="BW1505">
        <f>$C1505*BW1504</f>
        <v/>
      </c>
      <c r="BX1505">
        <f>$C1505*BX1504</f>
        <v/>
      </c>
      <c r="BY1505">
        <f>$C1505*BY1504</f>
        <v/>
      </c>
      <c r="BZ1505">
        <f>$C1505*BZ1504</f>
        <v/>
      </c>
      <c r="CA1505">
        <f>$C1505*CA1504</f>
        <v/>
      </c>
      <c r="CB1505">
        <f>$C1505*CB1504</f>
        <v/>
      </c>
      <c r="CC1505">
        <f>$C1505*CC1504</f>
        <v/>
      </c>
      <c r="CD1505">
        <f>$C1505*CD1504</f>
        <v/>
      </c>
      <c r="CE1505">
        <f>$C1505*CE1504</f>
        <v/>
      </c>
      <c r="CF1505">
        <f>$C1505*CF1504</f>
        <v/>
      </c>
      <c r="CG1505">
        <f>$C1505*CG1504</f>
        <v/>
      </c>
      <c r="CH1505">
        <f>$C1505*CH1504</f>
        <v/>
      </c>
      <c r="CI1505">
        <f>$C1505*CI1504</f>
        <v/>
      </c>
      <c r="CJ1505">
        <f>$C1505*CJ1504</f>
        <v/>
      </c>
      <c r="CK1505">
        <f>$C1505*CK1504</f>
        <v/>
      </c>
      <c r="CL1505">
        <f>$C1505*CL1504</f>
        <v/>
      </c>
      <c r="CM1505">
        <f>$C1505*CM1504</f>
        <v/>
      </c>
      <c r="CN1505">
        <f>$C1505*CN1504</f>
        <v/>
      </c>
      <c r="CO1505">
        <f>$C1505*CO1504</f>
        <v/>
      </c>
      <c r="CP1505">
        <f>$C1505*CP1504</f>
        <v/>
      </c>
      <c r="CQ1505">
        <f>$C1505*CQ1504</f>
        <v/>
      </c>
      <c r="CR1505">
        <f>$C1505*CR1504</f>
        <v/>
      </c>
      <c r="CS1505">
        <f>$C1505*CS1504</f>
        <v/>
      </c>
      <c r="CT1505">
        <f>$C1505*CT1504</f>
        <v/>
      </c>
      <c r="CU1505">
        <f>$C1505*CU1504</f>
        <v/>
      </c>
      <c r="CV1505">
        <f>$C1505*CV1504</f>
        <v/>
      </c>
      <c r="CW1505">
        <f>$C1505*CW1504</f>
        <v/>
      </c>
      <c r="CX1505">
        <f>$C1505*CX1504</f>
        <v/>
      </c>
      <c r="CY1505">
        <f>$C1505*CY1504</f>
        <v/>
      </c>
      <c r="CZ1505">
        <f>$C1505*CZ1504</f>
        <v/>
      </c>
      <c r="DA1505">
        <f>$C1505*DA1504</f>
        <v/>
      </c>
      <c r="DB1505">
        <f>$C1505*DB1504</f>
        <v/>
      </c>
      <c r="DC1505">
        <f>$C1505*DC1504</f>
        <v/>
      </c>
      <c r="DD1505">
        <f>$C1505*DD1504</f>
        <v/>
      </c>
    </row>
    <row r="1506">
      <c r="B1506" t="inlineStr">
        <is>
          <t>TSP-929</t>
        </is>
      </c>
      <c r="C1506" t="inlineStr">
        <is>
          <t>No. of batches</t>
        </is>
      </c>
      <c r="D1506">
        <f>IFERROR(INDEX(E1506:DD1506,$F$1),"")</f>
        <v/>
      </c>
      <c r="E1506">
        <f>IFERROR(INDEX(PP_Grid[#Data],$DE1506,2),0)</f>
        <v/>
      </c>
      <c r="F1506">
        <f>IFERROR(INDEX(PP_Grid[#Data],$DE1506,3),0)</f>
        <v/>
      </c>
      <c r="G1506">
        <f>IFERROR(INDEX(PP_Grid[#Data],$DE1506,4),0)</f>
        <v/>
      </c>
      <c r="H1506">
        <f>IFERROR(INDEX(PP_Grid[#Data],$DE1506,5),0)</f>
        <v/>
      </c>
      <c r="I1506">
        <f>IFERROR(INDEX(PP_Grid[#Data],$DE1506,6),0)</f>
        <v/>
      </c>
      <c r="J1506">
        <f>IFERROR(INDEX(PP_Grid[#Data],$DE1506,7),0)</f>
        <v/>
      </c>
      <c r="K1506">
        <f>IFERROR(INDEX(PP_Grid[#Data],$DE1506,8),0)</f>
        <v/>
      </c>
      <c r="L1506">
        <f>IFERROR(INDEX(PP_Grid[#Data],$DE1506,9),0)</f>
        <v/>
      </c>
      <c r="M1506">
        <f>IFERROR(INDEX(PP_Grid[#Data],$DE1506,10),0)</f>
        <v/>
      </c>
      <c r="N1506">
        <f>IFERROR(INDEX(PP_Grid[#Data],$DE1506,11),0)</f>
        <v/>
      </c>
      <c r="O1506">
        <f>IFERROR(INDEX(PP_Grid[#Data],$DE1506,12),0)</f>
        <v/>
      </c>
      <c r="P1506">
        <f>IFERROR(INDEX(PP_Grid[#Data],$DE1506,13),0)</f>
        <v/>
      </c>
      <c r="Q1506">
        <f>IFERROR(INDEX(PP_Grid[#Data],$DE1506,14),0)</f>
        <v/>
      </c>
      <c r="R1506">
        <f>IFERROR(INDEX(PP_Grid[#Data],$DE1506,15),0)</f>
        <v/>
      </c>
      <c r="S1506">
        <f>IFERROR(INDEX(PP_Grid[#Data],$DE1506,16),0)</f>
        <v/>
      </c>
      <c r="T1506">
        <f>IFERROR(INDEX(PP_Grid[#Data],$DE1506,17),0)</f>
        <v/>
      </c>
      <c r="U1506">
        <f>IFERROR(INDEX(PP_Grid[#Data],$DE1506,18),0)</f>
        <v/>
      </c>
      <c r="V1506">
        <f>IFERROR(INDEX(PP_Grid[#Data],$DE1506,19),0)</f>
        <v/>
      </c>
      <c r="W1506">
        <f>IFERROR(INDEX(PP_Grid[#Data],$DE1506,20),0)</f>
        <v/>
      </c>
      <c r="X1506">
        <f>IFERROR(INDEX(PP_Grid[#Data],$DE1506,21),0)</f>
        <v/>
      </c>
      <c r="Y1506">
        <f>IFERROR(INDEX(PP_Grid[#Data],$DE1506,22),0)</f>
        <v/>
      </c>
      <c r="Z1506">
        <f>IFERROR(INDEX(PP_Grid[#Data],$DE1506,23),0)</f>
        <v/>
      </c>
      <c r="AA1506">
        <f>IFERROR(INDEX(PP_Grid[#Data],$DE1506,24),0)</f>
        <v/>
      </c>
      <c r="AB1506">
        <f>IFERROR(INDEX(PP_Grid[#Data],$DE1506,25),0)</f>
        <v/>
      </c>
      <c r="AC1506">
        <f>IFERROR(INDEX(PP_Grid[#Data],$DE1506,26),0)</f>
        <v/>
      </c>
      <c r="AD1506">
        <f>IFERROR(INDEX(PP_Grid[#Data],$DE1506,27),0)</f>
        <v/>
      </c>
      <c r="AE1506">
        <f>IFERROR(INDEX(PP_Grid[#Data],$DE1506,28),0)</f>
        <v/>
      </c>
      <c r="AF1506">
        <f>IFERROR(INDEX(PP_Grid[#Data],$DE1506,29),0)</f>
        <v/>
      </c>
      <c r="AG1506">
        <f>IFERROR(INDEX(PP_Grid[#Data],$DE1506,30),0)</f>
        <v/>
      </c>
      <c r="AH1506">
        <f>IFERROR(INDEX(PP_Grid[#Data],$DE1506,31),0)</f>
        <v/>
      </c>
      <c r="AI1506">
        <f>IFERROR(INDEX(PP_Grid[#Data],$DE1506,32),0)</f>
        <v/>
      </c>
      <c r="AJ1506">
        <f>IFERROR(INDEX(PP_Grid[#Data],$DE1506,33),0)</f>
        <v/>
      </c>
      <c r="AK1506">
        <f>IFERROR(INDEX(PP_Grid[#Data],$DE1506,34),0)</f>
        <v/>
      </c>
      <c r="AL1506">
        <f>IFERROR(INDEX(PP_Grid[#Data],$DE1506,35),0)</f>
        <v/>
      </c>
      <c r="AM1506">
        <f>IFERROR(INDEX(PP_Grid[#Data],$DE1506,36),0)</f>
        <v/>
      </c>
      <c r="AN1506">
        <f>IFERROR(INDEX(PP_Grid[#Data],$DE1506,37),0)</f>
        <v/>
      </c>
      <c r="AO1506">
        <f>IFERROR(INDEX(PP_Grid[#Data],$DE1506,38),0)</f>
        <v/>
      </c>
      <c r="AP1506">
        <f>IFERROR(INDEX(PP_Grid[#Data],$DE1506,39),0)</f>
        <v/>
      </c>
      <c r="AQ1506">
        <f>IFERROR(INDEX(PP_Grid[#Data],$DE1506,40),0)</f>
        <v/>
      </c>
      <c r="AR1506">
        <f>IFERROR(INDEX(PP_Grid[#Data],$DE1506,41),0)</f>
        <v/>
      </c>
      <c r="AS1506">
        <f>IFERROR(INDEX(PP_Grid[#Data],$DE1506,42),0)</f>
        <v/>
      </c>
      <c r="AT1506">
        <f>IFERROR(INDEX(PP_Grid[#Data],$DE1506,43),0)</f>
        <v/>
      </c>
      <c r="AU1506">
        <f>IFERROR(INDEX(PP_Grid[#Data],$DE1506,44),0)</f>
        <v/>
      </c>
      <c r="AV1506">
        <f>IFERROR(INDEX(PP_Grid[#Data],$DE1506,45),0)</f>
        <v/>
      </c>
      <c r="AW1506">
        <f>IFERROR(INDEX(PP_Grid[#Data],$DE1506,46),0)</f>
        <v/>
      </c>
      <c r="AX1506">
        <f>IFERROR(INDEX(PP_Grid[#Data],$DE1506,47),0)</f>
        <v/>
      </c>
      <c r="AY1506">
        <f>IFERROR(INDEX(PP_Grid[#Data],$DE1506,48),0)</f>
        <v/>
      </c>
      <c r="AZ1506">
        <f>IFERROR(INDEX(PP_Grid[#Data],$DE1506,49),0)</f>
        <v/>
      </c>
      <c r="BA1506">
        <f>IFERROR(INDEX(PP_Grid[#Data],$DE1506,50),0)</f>
        <v/>
      </c>
      <c r="BB1506">
        <f>IFERROR(INDEX(PP_Grid[#Data],$DE1506,51),0)</f>
        <v/>
      </c>
      <c r="BC1506">
        <f>IFERROR(INDEX(PP_Grid[#Data],$DE1506,52),0)</f>
        <v/>
      </c>
      <c r="BD1506">
        <f>IFERROR(INDEX(PP_Grid[#Data],$DE1506,53),0)</f>
        <v/>
      </c>
      <c r="BE1506">
        <f>IFERROR(INDEX(PP_Grid[#Data],$DE1506,54),0)</f>
        <v/>
      </c>
      <c r="BF1506">
        <f>IFERROR(INDEX(PP_Grid[#Data],$DE1506,55),0)</f>
        <v/>
      </c>
      <c r="BG1506">
        <f>IFERROR(INDEX(PP_Grid[#Data],$DE1506,56),0)</f>
        <v/>
      </c>
      <c r="BH1506">
        <f>IFERROR(INDEX(PP_Grid[#Data],$DE1506,57),0)</f>
        <v/>
      </c>
      <c r="BI1506">
        <f>IFERROR(INDEX(PP_Grid[#Data],$DE1506,58),0)</f>
        <v/>
      </c>
      <c r="BJ1506">
        <f>IFERROR(INDEX(PP_Grid[#Data],$DE1506,59),0)</f>
        <v/>
      </c>
      <c r="BK1506">
        <f>IFERROR(INDEX(PP_Grid[#Data],$DE1506,60),0)</f>
        <v/>
      </c>
      <c r="BL1506">
        <f>IFERROR(INDEX(PP_Grid[#Data],$DE1506,61),0)</f>
        <v/>
      </c>
      <c r="BM1506">
        <f>IFERROR(INDEX(PP_Grid[#Data],$DE1506,62),0)</f>
        <v/>
      </c>
      <c r="BN1506">
        <f>IFERROR(INDEX(PP_Grid[#Data],$DE1506,63),0)</f>
        <v/>
      </c>
      <c r="BO1506">
        <f>IFERROR(INDEX(PP_Grid[#Data],$DE1506,64),0)</f>
        <v/>
      </c>
      <c r="BP1506">
        <f>IFERROR(INDEX(PP_Grid[#Data],$DE1506,65),0)</f>
        <v/>
      </c>
      <c r="BQ1506">
        <f>IFERROR(INDEX(PP_Grid[#Data],$DE1506,66),0)</f>
        <v/>
      </c>
      <c r="BR1506">
        <f>IFERROR(INDEX(PP_Grid[#Data],$DE1506,67),0)</f>
        <v/>
      </c>
      <c r="BS1506">
        <f>IFERROR(INDEX(PP_Grid[#Data],$DE1506,68),0)</f>
        <v/>
      </c>
      <c r="BT1506">
        <f>IFERROR(INDEX(PP_Grid[#Data],$DE1506,69),0)</f>
        <v/>
      </c>
      <c r="BU1506">
        <f>IFERROR(INDEX(PP_Grid[#Data],$DE1506,70),0)</f>
        <v/>
      </c>
      <c r="BV1506">
        <f>IFERROR(INDEX(PP_Grid[#Data],$DE1506,71),0)</f>
        <v/>
      </c>
      <c r="BW1506">
        <f>IFERROR(INDEX(PP_Grid[#Data],$DE1506,72),0)</f>
        <v/>
      </c>
      <c r="BX1506">
        <f>IFERROR(INDEX(PP_Grid[#Data],$DE1506,73),0)</f>
        <v/>
      </c>
      <c r="BY1506">
        <f>IFERROR(INDEX(PP_Grid[#Data],$DE1506,74),0)</f>
        <v/>
      </c>
      <c r="BZ1506">
        <f>IFERROR(INDEX(PP_Grid[#Data],$DE1506,75),0)</f>
        <v/>
      </c>
      <c r="CA1506">
        <f>IFERROR(INDEX(PP_Grid[#Data],$DE1506,76),0)</f>
        <v/>
      </c>
      <c r="CB1506">
        <f>IFERROR(INDEX(PP_Grid[#Data],$DE1506,77),0)</f>
        <v/>
      </c>
      <c r="CC1506">
        <f>IFERROR(INDEX(PP_Grid[#Data],$DE1506,78),0)</f>
        <v/>
      </c>
      <c r="CD1506">
        <f>IFERROR(INDEX(PP_Grid[#Data],$DE1506,79),0)</f>
        <v/>
      </c>
      <c r="CE1506">
        <f>IFERROR(INDEX(PP_Grid[#Data],$DE1506,80),0)</f>
        <v/>
      </c>
      <c r="CF1506">
        <f>IFERROR(INDEX(PP_Grid[#Data],$DE1506,81),0)</f>
        <v/>
      </c>
      <c r="CG1506">
        <f>IFERROR(INDEX(PP_Grid[#Data],$DE1506,82),0)</f>
        <v/>
      </c>
      <c r="CH1506">
        <f>IFERROR(INDEX(PP_Grid[#Data],$DE1506,83),0)</f>
        <v/>
      </c>
      <c r="CI1506">
        <f>IFERROR(INDEX(PP_Grid[#Data],$DE1506,84),0)</f>
        <v/>
      </c>
      <c r="CJ1506">
        <f>IFERROR(INDEX(PP_Grid[#Data],$DE1506,85),0)</f>
        <v/>
      </c>
      <c r="CK1506">
        <f>IFERROR(INDEX(PP_Grid[#Data],$DE1506,86),0)</f>
        <v/>
      </c>
      <c r="CL1506">
        <f>IFERROR(INDEX(PP_Grid[#Data],$DE1506,87),0)</f>
        <v/>
      </c>
      <c r="CM1506">
        <f>IFERROR(INDEX(PP_Grid[#Data],$DE1506,88),0)</f>
        <v/>
      </c>
      <c r="CN1506">
        <f>IFERROR(INDEX(PP_Grid[#Data],$DE1506,89),0)</f>
        <v/>
      </c>
      <c r="CO1506">
        <f>IFERROR(INDEX(PP_Grid[#Data],$DE1506,90),0)</f>
        <v/>
      </c>
      <c r="CP1506">
        <f>IFERROR(INDEX(PP_Grid[#Data],$DE1506,91),0)</f>
        <v/>
      </c>
      <c r="CQ1506">
        <f>IFERROR(INDEX(PP_Grid[#Data],$DE1506,92),0)</f>
        <v/>
      </c>
      <c r="CR1506">
        <f>IFERROR(INDEX(PP_Grid[#Data],$DE1506,93),0)</f>
        <v/>
      </c>
      <c r="CS1506">
        <f>IFERROR(INDEX(PP_Grid[#Data],$DE1506,94),0)</f>
        <v/>
      </c>
      <c r="CT1506">
        <f>IFERROR(INDEX(PP_Grid[#Data],$DE1506,95),0)</f>
        <v/>
      </c>
      <c r="CU1506">
        <f>IFERROR(INDEX(PP_Grid[#Data],$DE1506,96),0)</f>
        <v/>
      </c>
      <c r="CV1506">
        <f>IFERROR(INDEX(PP_Grid[#Data],$DE1506,97),0)</f>
        <v/>
      </c>
      <c r="CW1506">
        <f>IFERROR(INDEX(PP_Grid[#Data],$DE1506,98),0)</f>
        <v/>
      </c>
      <c r="CX1506">
        <f>IFERROR(INDEX(PP_Grid[#Data],$DE1506,99),0)</f>
        <v/>
      </c>
      <c r="CY1506">
        <f>IFERROR(INDEX(PP_Grid[#Data],$DE1506,100),0)</f>
        <v/>
      </c>
      <c r="CZ1506">
        <f>IFERROR(INDEX(PP_Grid[#Data],$DE1506,101),0)</f>
        <v/>
      </c>
      <c r="DA1506">
        <f>IFERROR(INDEX(PP_Grid[#Data],$DE1506,102),0)</f>
        <v/>
      </c>
      <c r="DB1506">
        <f>IFERROR(INDEX(PP_Grid[#Data],$DE1506,103),0)</f>
        <v/>
      </c>
      <c r="DC1506">
        <f>IFERROR(INDEX(PP_Grid[#Data],$DE1506,104),0)</f>
        <v/>
      </c>
      <c r="DD1506">
        <f>IFERROR(INDEX(PP_Grid[#Data],$DE1506,105),0)</f>
        <v/>
      </c>
      <c r="DE1506" s="7">
        <f>IFERROR(MATCH($B1506,PP_Grid[Intermediate],0),99999)</f>
        <v/>
      </c>
    </row>
    <row r="1507">
      <c r="B1507" t="inlineStr">
        <is>
          <t>使用量(kg)</t>
        </is>
      </c>
      <c r="C1507">
        <f>SUMIFS(M_BOM[RM_Qty_Per_Batch],M_BOM[Intermediate],$B1506,M_BOM[RM_Code],$A1501)</f>
        <v/>
      </c>
      <c r="D1507">
        <f>IFERROR(INDEX(E1507:DD1507,$F$1),"")</f>
        <v/>
      </c>
      <c r="E1507">
        <f>$C1507*E1506</f>
        <v/>
      </c>
      <c r="F1507">
        <f>$C1507*F1506</f>
        <v/>
      </c>
      <c r="G1507">
        <f>$C1507*G1506</f>
        <v/>
      </c>
      <c r="H1507">
        <f>$C1507*H1506</f>
        <v/>
      </c>
      <c r="I1507">
        <f>$C1507*I1506</f>
        <v/>
      </c>
      <c r="J1507">
        <f>$C1507*J1506</f>
        <v/>
      </c>
      <c r="K1507">
        <f>$C1507*K1506</f>
        <v/>
      </c>
      <c r="L1507">
        <f>$C1507*L1506</f>
        <v/>
      </c>
      <c r="M1507">
        <f>$C1507*M1506</f>
        <v/>
      </c>
      <c r="N1507">
        <f>$C1507*N1506</f>
        <v/>
      </c>
      <c r="O1507">
        <f>$C1507*O1506</f>
        <v/>
      </c>
      <c r="P1507">
        <f>$C1507*P1506</f>
        <v/>
      </c>
      <c r="Q1507">
        <f>$C1507*Q1506</f>
        <v/>
      </c>
      <c r="R1507">
        <f>$C1507*R1506</f>
        <v/>
      </c>
      <c r="S1507">
        <f>$C1507*S1506</f>
        <v/>
      </c>
      <c r="T1507">
        <f>$C1507*T1506</f>
        <v/>
      </c>
      <c r="U1507">
        <f>$C1507*U1506</f>
        <v/>
      </c>
      <c r="V1507">
        <f>$C1507*V1506</f>
        <v/>
      </c>
      <c r="W1507">
        <f>$C1507*W1506</f>
        <v/>
      </c>
      <c r="X1507">
        <f>$C1507*X1506</f>
        <v/>
      </c>
      <c r="Y1507">
        <f>$C1507*Y1506</f>
        <v/>
      </c>
      <c r="Z1507">
        <f>$C1507*Z1506</f>
        <v/>
      </c>
      <c r="AA1507">
        <f>$C1507*AA1506</f>
        <v/>
      </c>
      <c r="AB1507">
        <f>$C1507*AB1506</f>
        <v/>
      </c>
      <c r="AC1507">
        <f>$C1507*AC1506</f>
        <v/>
      </c>
      <c r="AD1507">
        <f>$C1507*AD1506</f>
        <v/>
      </c>
      <c r="AE1507">
        <f>$C1507*AE1506</f>
        <v/>
      </c>
      <c r="AF1507">
        <f>$C1507*AF1506</f>
        <v/>
      </c>
      <c r="AG1507">
        <f>$C1507*AG1506</f>
        <v/>
      </c>
      <c r="AH1507">
        <f>$C1507*AH1506</f>
        <v/>
      </c>
      <c r="AI1507">
        <f>$C1507*AI1506</f>
        <v/>
      </c>
      <c r="AJ1507">
        <f>$C1507*AJ1506</f>
        <v/>
      </c>
      <c r="AK1507">
        <f>$C1507*AK1506</f>
        <v/>
      </c>
      <c r="AL1507">
        <f>$C1507*AL1506</f>
        <v/>
      </c>
      <c r="AM1507">
        <f>$C1507*AM1506</f>
        <v/>
      </c>
      <c r="AN1507">
        <f>$C1507*AN1506</f>
        <v/>
      </c>
      <c r="AO1507">
        <f>$C1507*AO1506</f>
        <v/>
      </c>
      <c r="AP1507">
        <f>$C1507*AP1506</f>
        <v/>
      </c>
      <c r="AQ1507">
        <f>$C1507*AQ1506</f>
        <v/>
      </c>
      <c r="AR1507">
        <f>$C1507*AR1506</f>
        <v/>
      </c>
      <c r="AS1507">
        <f>$C1507*AS1506</f>
        <v/>
      </c>
      <c r="AT1507">
        <f>$C1507*AT1506</f>
        <v/>
      </c>
      <c r="AU1507">
        <f>$C1507*AU1506</f>
        <v/>
      </c>
      <c r="AV1507">
        <f>$C1507*AV1506</f>
        <v/>
      </c>
      <c r="AW1507">
        <f>$C1507*AW1506</f>
        <v/>
      </c>
      <c r="AX1507">
        <f>$C1507*AX1506</f>
        <v/>
      </c>
      <c r="AY1507">
        <f>$C1507*AY1506</f>
        <v/>
      </c>
      <c r="AZ1507">
        <f>$C1507*AZ1506</f>
        <v/>
      </c>
      <c r="BA1507">
        <f>$C1507*BA1506</f>
        <v/>
      </c>
      <c r="BB1507">
        <f>$C1507*BB1506</f>
        <v/>
      </c>
      <c r="BC1507">
        <f>$C1507*BC1506</f>
        <v/>
      </c>
      <c r="BD1507">
        <f>$C1507*BD1506</f>
        <v/>
      </c>
      <c r="BE1507">
        <f>$C1507*BE1506</f>
        <v/>
      </c>
      <c r="BF1507">
        <f>$C1507*BF1506</f>
        <v/>
      </c>
      <c r="BG1507">
        <f>$C1507*BG1506</f>
        <v/>
      </c>
      <c r="BH1507">
        <f>$C1507*BH1506</f>
        <v/>
      </c>
      <c r="BI1507">
        <f>$C1507*BI1506</f>
        <v/>
      </c>
      <c r="BJ1507">
        <f>$C1507*BJ1506</f>
        <v/>
      </c>
      <c r="BK1507">
        <f>$C1507*BK1506</f>
        <v/>
      </c>
      <c r="BL1507">
        <f>$C1507*BL1506</f>
        <v/>
      </c>
      <c r="BM1507">
        <f>$C1507*BM1506</f>
        <v/>
      </c>
      <c r="BN1507">
        <f>$C1507*BN1506</f>
        <v/>
      </c>
      <c r="BO1507">
        <f>$C1507*BO1506</f>
        <v/>
      </c>
      <c r="BP1507">
        <f>$C1507*BP1506</f>
        <v/>
      </c>
      <c r="BQ1507">
        <f>$C1507*BQ1506</f>
        <v/>
      </c>
      <c r="BR1507">
        <f>$C1507*BR1506</f>
        <v/>
      </c>
      <c r="BS1507">
        <f>$C1507*BS1506</f>
        <v/>
      </c>
      <c r="BT1507">
        <f>$C1507*BT1506</f>
        <v/>
      </c>
      <c r="BU1507">
        <f>$C1507*BU1506</f>
        <v/>
      </c>
      <c r="BV1507">
        <f>$C1507*BV1506</f>
        <v/>
      </c>
      <c r="BW1507">
        <f>$C1507*BW1506</f>
        <v/>
      </c>
      <c r="BX1507">
        <f>$C1507*BX1506</f>
        <v/>
      </c>
      <c r="BY1507">
        <f>$C1507*BY1506</f>
        <v/>
      </c>
      <c r="BZ1507">
        <f>$C1507*BZ1506</f>
        <v/>
      </c>
      <c r="CA1507">
        <f>$C1507*CA1506</f>
        <v/>
      </c>
      <c r="CB1507">
        <f>$C1507*CB1506</f>
        <v/>
      </c>
      <c r="CC1507">
        <f>$C1507*CC1506</f>
        <v/>
      </c>
      <c r="CD1507">
        <f>$C1507*CD1506</f>
        <v/>
      </c>
      <c r="CE1507">
        <f>$C1507*CE1506</f>
        <v/>
      </c>
      <c r="CF1507">
        <f>$C1507*CF1506</f>
        <v/>
      </c>
      <c r="CG1507">
        <f>$C1507*CG1506</f>
        <v/>
      </c>
      <c r="CH1507">
        <f>$C1507*CH1506</f>
        <v/>
      </c>
      <c r="CI1507">
        <f>$C1507*CI1506</f>
        <v/>
      </c>
      <c r="CJ1507">
        <f>$C1507*CJ1506</f>
        <v/>
      </c>
      <c r="CK1507">
        <f>$C1507*CK1506</f>
        <v/>
      </c>
      <c r="CL1507">
        <f>$C1507*CL1506</f>
        <v/>
      </c>
      <c r="CM1507">
        <f>$C1507*CM1506</f>
        <v/>
      </c>
      <c r="CN1507">
        <f>$C1507*CN1506</f>
        <v/>
      </c>
      <c r="CO1507">
        <f>$C1507*CO1506</f>
        <v/>
      </c>
      <c r="CP1507">
        <f>$C1507*CP1506</f>
        <v/>
      </c>
      <c r="CQ1507">
        <f>$C1507*CQ1506</f>
        <v/>
      </c>
      <c r="CR1507">
        <f>$C1507*CR1506</f>
        <v/>
      </c>
      <c r="CS1507">
        <f>$C1507*CS1506</f>
        <v/>
      </c>
      <c r="CT1507">
        <f>$C1507*CT1506</f>
        <v/>
      </c>
      <c r="CU1507">
        <f>$C1507*CU1506</f>
        <v/>
      </c>
      <c r="CV1507">
        <f>$C1507*CV1506</f>
        <v/>
      </c>
      <c r="CW1507">
        <f>$C1507*CW1506</f>
        <v/>
      </c>
      <c r="CX1507">
        <f>$C1507*CX1506</f>
        <v/>
      </c>
      <c r="CY1507">
        <f>$C1507*CY1506</f>
        <v/>
      </c>
      <c r="CZ1507">
        <f>$C1507*CZ1506</f>
        <v/>
      </c>
      <c r="DA1507">
        <f>$C1507*DA1506</f>
        <v/>
      </c>
      <c r="DB1507">
        <f>$C1507*DB1506</f>
        <v/>
      </c>
      <c r="DC1507">
        <f>$C1507*DC1506</f>
        <v/>
      </c>
      <c r="DD1507">
        <f>$C1507*DD1506</f>
        <v/>
      </c>
    </row>
    <row r="1508">
      <c r="B1508" t="inlineStr">
        <is>
          <t>TSP-930</t>
        </is>
      </c>
      <c r="C1508" t="inlineStr">
        <is>
          <t>No. of batches</t>
        </is>
      </c>
      <c r="D1508">
        <f>IFERROR(INDEX(E1508:DD1508,$F$1),"")</f>
        <v/>
      </c>
      <c r="E1508">
        <f>IFERROR(INDEX(PP_Grid[#Data],$DE1508,2),0)</f>
        <v/>
      </c>
      <c r="F1508">
        <f>IFERROR(INDEX(PP_Grid[#Data],$DE1508,3),0)</f>
        <v/>
      </c>
      <c r="G1508">
        <f>IFERROR(INDEX(PP_Grid[#Data],$DE1508,4),0)</f>
        <v/>
      </c>
      <c r="H1508">
        <f>IFERROR(INDEX(PP_Grid[#Data],$DE1508,5),0)</f>
        <v/>
      </c>
      <c r="I1508">
        <f>IFERROR(INDEX(PP_Grid[#Data],$DE1508,6),0)</f>
        <v/>
      </c>
      <c r="J1508">
        <f>IFERROR(INDEX(PP_Grid[#Data],$DE1508,7),0)</f>
        <v/>
      </c>
      <c r="K1508">
        <f>IFERROR(INDEX(PP_Grid[#Data],$DE1508,8),0)</f>
        <v/>
      </c>
      <c r="L1508">
        <f>IFERROR(INDEX(PP_Grid[#Data],$DE1508,9),0)</f>
        <v/>
      </c>
      <c r="M1508">
        <f>IFERROR(INDEX(PP_Grid[#Data],$DE1508,10),0)</f>
        <v/>
      </c>
      <c r="N1508">
        <f>IFERROR(INDEX(PP_Grid[#Data],$DE1508,11),0)</f>
        <v/>
      </c>
      <c r="O1508">
        <f>IFERROR(INDEX(PP_Grid[#Data],$DE1508,12),0)</f>
        <v/>
      </c>
      <c r="P1508">
        <f>IFERROR(INDEX(PP_Grid[#Data],$DE1508,13),0)</f>
        <v/>
      </c>
      <c r="Q1508">
        <f>IFERROR(INDEX(PP_Grid[#Data],$DE1508,14),0)</f>
        <v/>
      </c>
      <c r="R1508">
        <f>IFERROR(INDEX(PP_Grid[#Data],$DE1508,15),0)</f>
        <v/>
      </c>
      <c r="S1508">
        <f>IFERROR(INDEX(PP_Grid[#Data],$DE1508,16),0)</f>
        <v/>
      </c>
      <c r="T1508">
        <f>IFERROR(INDEX(PP_Grid[#Data],$DE1508,17),0)</f>
        <v/>
      </c>
      <c r="U1508">
        <f>IFERROR(INDEX(PP_Grid[#Data],$DE1508,18),0)</f>
        <v/>
      </c>
      <c r="V1508">
        <f>IFERROR(INDEX(PP_Grid[#Data],$DE1508,19),0)</f>
        <v/>
      </c>
      <c r="W1508">
        <f>IFERROR(INDEX(PP_Grid[#Data],$DE1508,20),0)</f>
        <v/>
      </c>
      <c r="X1508">
        <f>IFERROR(INDEX(PP_Grid[#Data],$DE1508,21),0)</f>
        <v/>
      </c>
      <c r="Y1508">
        <f>IFERROR(INDEX(PP_Grid[#Data],$DE1508,22),0)</f>
        <v/>
      </c>
      <c r="Z1508">
        <f>IFERROR(INDEX(PP_Grid[#Data],$DE1508,23),0)</f>
        <v/>
      </c>
      <c r="AA1508">
        <f>IFERROR(INDEX(PP_Grid[#Data],$DE1508,24),0)</f>
        <v/>
      </c>
      <c r="AB1508">
        <f>IFERROR(INDEX(PP_Grid[#Data],$DE1508,25),0)</f>
        <v/>
      </c>
      <c r="AC1508">
        <f>IFERROR(INDEX(PP_Grid[#Data],$DE1508,26),0)</f>
        <v/>
      </c>
      <c r="AD1508">
        <f>IFERROR(INDEX(PP_Grid[#Data],$DE1508,27),0)</f>
        <v/>
      </c>
      <c r="AE1508">
        <f>IFERROR(INDEX(PP_Grid[#Data],$DE1508,28),0)</f>
        <v/>
      </c>
      <c r="AF1508">
        <f>IFERROR(INDEX(PP_Grid[#Data],$DE1508,29),0)</f>
        <v/>
      </c>
      <c r="AG1508">
        <f>IFERROR(INDEX(PP_Grid[#Data],$DE1508,30),0)</f>
        <v/>
      </c>
      <c r="AH1508">
        <f>IFERROR(INDEX(PP_Grid[#Data],$DE1508,31),0)</f>
        <v/>
      </c>
      <c r="AI1508">
        <f>IFERROR(INDEX(PP_Grid[#Data],$DE1508,32),0)</f>
        <v/>
      </c>
      <c r="AJ1508">
        <f>IFERROR(INDEX(PP_Grid[#Data],$DE1508,33),0)</f>
        <v/>
      </c>
      <c r="AK1508">
        <f>IFERROR(INDEX(PP_Grid[#Data],$DE1508,34),0)</f>
        <v/>
      </c>
      <c r="AL1508">
        <f>IFERROR(INDEX(PP_Grid[#Data],$DE1508,35),0)</f>
        <v/>
      </c>
      <c r="AM1508">
        <f>IFERROR(INDEX(PP_Grid[#Data],$DE1508,36),0)</f>
        <v/>
      </c>
      <c r="AN1508">
        <f>IFERROR(INDEX(PP_Grid[#Data],$DE1508,37),0)</f>
        <v/>
      </c>
      <c r="AO1508">
        <f>IFERROR(INDEX(PP_Grid[#Data],$DE1508,38),0)</f>
        <v/>
      </c>
      <c r="AP1508">
        <f>IFERROR(INDEX(PP_Grid[#Data],$DE1508,39),0)</f>
        <v/>
      </c>
      <c r="AQ1508">
        <f>IFERROR(INDEX(PP_Grid[#Data],$DE1508,40),0)</f>
        <v/>
      </c>
      <c r="AR1508">
        <f>IFERROR(INDEX(PP_Grid[#Data],$DE1508,41),0)</f>
        <v/>
      </c>
      <c r="AS1508">
        <f>IFERROR(INDEX(PP_Grid[#Data],$DE1508,42),0)</f>
        <v/>
      </c>
      <c r="AT1508">
        <f>IFERROR(INDEX(PP_Grid[#Data],$DE1508,43),0)</f>
        <v/>
      </c>
      <c r="AU1508">
        <f>IFERROR(INDEX(PP_Grid[#Data],$DE1508,44),0)</f>
        <v/>
      </c>
      <c r="AV1508">
        <f>IFERROR(INDEX(PP_Grid[#Data],$DE1508,45),0)</f>
        <v/>
      </c>
      <c r="AW1508">
        <f>IFERROR(INDEX(PP_Grid[#Data],$DE1508,46),0)</f>
        <v/>
      </c>
      <c r="AX1508">
        <f>IFERROR(INDEX(PP_Grid[#Data],$DE1508,47),0)</f>
        <v/>
      </c>
      <c r="AY1508">
        <f>IFERROR(INDEX(PP_Grid[#Data],$DE1508,48),0)</f>
        <v/>
      </c>
      <c r="AZ1508">
        <f>IFERROR(INDEX(PP_Grid[#Data],$DE1508,49),0)</f>
        <v/>
      </c>
      <c r="BA1508">
        <f>IFERROR(INDEX(PP_Grid[#Data],$DE1508,50),0)</f>
        <v/>
      </c>
      <c r="BB1508">
        <f>IFERROR(INDEX(PP_Grid[#Data],$DE1508,51),0)</f>
        <v/>
      </c>
      <c r="BC1508">
        <f>IFERROR(INDEX(PP_Grid[#Data],$DE1508,52),0)</f>
        <v/>
      </c>
      <c r="BD1508">
        <f>IFERROR(INDEX(PP_Grid[#Data],$DE1508,53),0)</f>
        <v/>
      </c>
      <c r="BE1508">
        <f>IFERROR(INDEX(PP_Grid[#Data],$DE1508,54),0)</f>
        <v/>
      </c>
      <c r="BF1508">
        <f>IFERROR(INDEX(PP_Grid[#Data],$DE1508,55),0)</f>
        <v/>
      </c>
      <c r="BG1508">
        <f>IFERROR(INDEX(PP_Grid[#Data],$DE1508,56),0)</f>
        <v/>
      </c>
      <c r="BH1508">
        <f>IFERROR(INDEX(PP_Grid[#Data],$DE1508,57),0)</f>
        <v/>
      </c>
      <c r="BI1508">
        <f>IFERROR(INDEX(PP_Grid[#Data],$DE1508,58),0)</f>
        <v/>
      </c>
      <c r="BJ1508">
        <f>IFERROR(INDEX(PP_Grid[#Data],$DE1508,59),0)</f>
        <v/>
      </c>
      <c r="BK1508">
        <f>IFERROR(INDEX(PP_Grid[#Data],$DE1508,60),0)</f>
        <v/>
      </c>
      <c r="BL1508">
        <f>IFERROR(INDEX(PP_Grid[#Data],$DE1508,61),0)</f>
        <v/>
      </c>
      <c r="BM1508">
        <f>IFERROR(INDEX(PP_Grid[#Data],$DE1508,62),0)</f>
        <v/>
      </c>
      <c r="BN1508">
        <f>IFERROR(INDEX(PP_Grid[#Data],$DE1508,63),0)</f>
        <v/>
      </c>
      <c r="BO1508">
        <f>IFERROR(INDEX(PP_Grid[#Data],$DE1508,64),0)</f>
        <v/>
      </c>
      <c r="BP1508">
        <f>IFERROR(INDEX(PP_Grid[#Data],$DE1508,65),0)</f>
        <v/>
      </c>
      <c r="BQ1508">
        <f>IFERROR(INDEX(PP_Grid[#Data],$DE1508,66),0)</f>
        <v/>
      </c>
      <c r="BR1508">
        <f>IFERROR(INDEX(PP_Grid[#Data],$DE1508,67),0)</f>
        <v/>
      </c>
      <c r="BS1508">
        <f>IFERROR(INDEX(PP_Grid[#Data],$DE1508,68),0)</f>
        <v/>
      </c>
      <c r="BT1508">
        <f>IFERROR(INDEX(PP_Grid[#Data],$DE1508,69),0)</f>
        <v/>
      </c>
      <c r="BU1508">
        <f>IFERROR(INDEX(PP_Grid[#Data],$DE1508,70),0)</f>
        <v/>
      </c>
      <c r="BV1508">
        <f>IFERROR(INDEX(PP_Grid[#Data],$DE1508,71),0)</f>
        <v/>
      </c>
      <c r="BW1508">
        <f>IFERROR(INDEX(PP_Grid[#Data],$DE1508,72),0)</f>
        <v/>
      </c>
      <c r="BX1508">
        <f>IFERROR(INDEX(PP_Grid[#Data],$DE1508,73),0)</f>
        <v/>
      </c>
      <c r="BY1508">
        <f>IFERROR(INDEX(PP_Grid[#Data],$DE1508,74),0)</f>
        <v/>
      </c>
      <c r="BZ1508">
        <f>IFERROR(INDEX(PP_Grid[#Data],$DE1508,75),0)</f>
        <v/>
      </c>
      <c r="CA1508">
        <f>IFERROR(INDEX(PP_Grid[#Data],$DE1508,76),0)</f>
        <v/>
      </c>
      <c r="CB1508">
        <f>IFERROR(INDEX(PP_Grid[#Data],$DE1508,77),0)</f>
        <v/>
      </c>
      <c r="CC1508">
        <f>IFERROR(INDEX(PP_Grid[#Data],$DE1508,78),0)</f>
        <v/>
      </c>
      <c r="CD1508">
        <f>IFERROR(INDEX(PP_Grid[#Data],$DE1508,79),0)</f>
        <v/>
      </c>
      <c r="CE1508">
        <f>IFERROR(INDEX(PP_Grid[#Data],$DE1508,80),0)</f>
        <v/>
      </c>
      <c r="CF1508">
        <f>IFERROR(INDEX(PP_Grid[#Data],$DE1508,81),0)</f>
        <v/>
      </c>
      <c r="CG1508">
        <f>IFERROR(INDEX(PP_Grid[#Data],$DE1508,82),0)</f>
        <v/>
      </c>
      <c r="CH1508">
        <f>IFERROR(INDEX(PP_Grid[#Data],$DE1508,83),0)</f>
        <v/>
      </c>
      <c r="CI1508">
        <f>IFERROR(INDEX(PP_Grid[#Data],$DE1508,84),0)</f>
        <v/>
      </c>
      <c r="CJ1508">
        <f>IFERROR(INDEX(PP_Grid[#Data],$DE1508,85),0)</f>
        <v/>
      </c>
      <c r="CK1508">
        <f>IFERROR(INDEX(PP_Grid[#Data],$DE1508,86),0)</f>
        <v/>
      </c>
      <c r="CL1508">
        <f>IFERROR(INDEX(PP_Grid[#Data],$DE1508,87),0)</f>
        <v/>
      </c>
      <c r="CM1508">
        <f>IFERROR(INDEX(PP_Grid[#Data],$DE1508,88),0)</f>
        <v/>
      </c>
      <c r="CN1508">
        <f>IFERROR(INDEX(PP_Grid[#Data],$DE1508,89),0)</f>
        <v/>
      </c>
      <c r="CO1508">
        <f>IFERROR(INDEX(PP_Grid[#Data],$DE1508,90),0)</f>
        <v/>
      </c>
      <c r="CP1508">
        <f>IFERROR(INDEX(PP_Grid[#Data],$DE1508,91),0)</f>
        <v/>
      </c>
      <c r="CQ1508">
        <f>IFERROR(INDEX(PP_Grid[#Data],$DE1508,92),0)</f>
        <v/>
      </c>
      <c r="CR1508">
        <f>IFERROR(INDEX(PP_Grid[#Data],$DE1508,93),0)</f>
        <v/>
      </c>
      <c r="CS1508">
        <f>IFERROR(INDEX(PP_Grid[#Data],$DE1508,94),0)</f>
        <v/>
      </c>
      <c r="CT1508">
        <f>IFERROR(INDEX(PP_Grid[#Data],$DE1508,95),0)</f>
        <v/>
      </c>
      <c r="CU1508">
        <f>IFERROR(INDEX(PP_Grid[#Data],$DE1508,96),0)</f>
        <v/>
      </c>
      <c r="CV1508">
        <f>IFERROR(INDEX(PP_Grid[#Data],$DE1508,97),0)</f>
        <v/>
      </c>
      <c r="CW1508">
        <f>IFERROR(INDEX(PP_Grid[#Data],$DE1508,98),0)</f>
        <v/>
      </c>
      <c r="CX1508">
        <f>IFERROR(INDEX(PP_Grid[#Data],$DE1508,99),0)</f>
        <v/>
      </c>
      <c r="CY1508">
        <f>IFERROR(INDEX(PP_Grid[#Data],$DE1508,100),0)</f>
        <v/>
      </c>
      <c r="CZ1508">
        <f>IFERROR(INDEX(PP_Grid[#Data],$DE1508,101),0)</f>
        <v/>
      </c>
      <c r="DA1508">
        <f>IFERROR(INDEX(PP_Grid[#Data],$DE1508,102),0)</f>
        <v/>
      </c>
      <c r="DB1508">
        <f>IFERROR(INDEX(PP_Grid[#Data],$DE1508,103),0)</f>
        <v/>
      </c>
      <c r="DC1508">
        <f>IFERROR(INDEX(PP_Grid[#Data],$DE1508,104),0)</f>
        <v/>
      </c>
      <c r="DD1508">
        <f>IFERROR(INDEX(PP_Grid[#Data],$DE1508,105),0)</f>
        <v/>
      </c>
      <c r="DE1508" s="7">
        <f>IFERROR(MATCH($B1508,PP_Grid[Intermediate],0),99999)</f>
        <v/>
      </c>
    </row>
    <row r="1509">
      <c r="B1509" t="inlineStr">
        <is>
          <t>使用量(kg)</t>
        </is>
      </c>
      <c r="C1509">
        <f>SUMIFS(M_BOM[RM_Qty_Per_Batch],M_BOM[Intermediate],$B1508,M_BOM[RM_Code],$A1501)</f>
        <v/>
      </c>
      <c r="D1509">
        <f>IFERROR(INDEX(E1509:DD1509,$F$1),"")</f>
        <v/>
      </c>
      <c r="E1509">
        <f>$C1509*E1508</f>
        <v/>
      </c>
      <c r="F1509">
        <f>$C1509*F1508</f>
        <v/>
      </c>
      <c r="G1509">
        <f>$C1509*G1508</f>
        <v/>
      </c>
      <c r="H1509">
        <f>$C1509*H1508</f>
        <v/>
      </c>
      <c r="I1509">
        <f>$C1509*I1508</f>
        <v/>
      </c>
      <c r="J1509">
        <f>$C1509*J1508</f>
        <v/>
      </c>
      <c r="K1509">
        <f>$C1509*K1508</f>
        <v/>
      </c>
      <c r="L1509">
        <f>$C1509*L1508</f>
        <v/>
      </c>
      <c r="M1509">
        <f>$C1509*M1508</f>
        <v/>
      </c>
      <c r="N1509">
        <f>$C1509*N1508</f>
        <v/>
      </c>
      <c r="O1509">
        <f>$C1509*O1508</f>
        <v/>
      </c>
      <c r="P1509">
        <f>$C1509*P1508</f>
        <v/>
      </c>
      <c r="Q1509">
        <f>$C1509*Q1508</f>
        <v/>
      </c>
      <c r="R1509">
        <f>$C1509*R1508</f>
        <v/>
      </c>
      <c r="S1509">
        <f>$C1509*S1508</f>
        <v/>
      </c>
      <c r="T1509">
        <f>$C1509*T1508</f>
        <v/>
      </c>
      <c r="U1509">
        <f>$C1509*U1508</f>
        <v/>
      </c>
      <c r="V1509">
        <f>$C1509*V1508</f>
        <v/>
      </c>
      <c r="W1509">
        <f>$C1509*W1508</f>
        <v/>
      </c>
      <c r="X1509">
        <f>$C1509*X1508</f>
        <v/>
      </c>
      <c r="Y1509">
        <f>$C1509*Y1508</f>
        <v/>
      </c>
      <c r="Z1509">
        <f>$C1509*Z1508</f>
        <v/>
      </c>
      <c r="AA1509">
        <f>$C1509*AA1508</f>
        <v/>
      </c>
      <c r="AB1509">
        <f>$C1509*AB1508</f>
        <v/>
      </c>
      <c r="AC1509">
        <f>$C1509*AC1508</f>
        <v/>
      </c>
      <c r="AD1509">
        <f>$C1509*AD1508</f>
        <v/>
      </c>
      <c r="AE1509">
        <f>$C1509*AE1508</f>
        <v/>
      </c>
      <c r="AF1509">
        <f>$C1509*AF1508</f>
        <v/>
      </c>
      <c r="AG1509">
        <f>$C1509*AG1508</f>
        <v/>
      </c>
      <c r="AH1509">
        <f>$C1509*AH1508</f>
        <v/>
      </c>
      <c r="AI1509">
        <f>$C1509*AI1508</f>
        <v/>
      </c>
      <c r="AJ1509">
        <f>$C1509*AJ1508</f>
        <v/>
      </c>
      <c r="AK1509">
        <f>$C1509*AK1508</f>
        <v/>
      </c>
      <c r="AL1509">
        <f>$C1509*AL1508</f>
        <v/>
      </c>
      <c r="AM1509">
        <f>$C1509*AM1508</f>
        <v/>
      </c>
      <c r="AN1509">
        <f>$C1509*AN1508</f>
        <v/>
      </c>
      <c r="AO1509">
        <f>$C1509*AO1508</f>
        <v/>
      </c>
      <c r="AP1509">
        <f>$C1509*AP1508</f>
        <v/>
      </c>
      <c r="AQ1509">
        <f>$C1509*AQ1508</f>
        <v/>
      </c>
      <c r="AR1509">
        <f>$C1509*AR1508</f>
        <v/>
      </c>
      <c r="AS1509">
        <f>$C1509*AS1508</f>
        <v/>
      </c>
      <c r="AT1509">
        <f>$C1509*AT1508</f>
        <v/>
      </c>
      <c r="AU1509">
        <f>$C1509*AU1508</f>
        <v/>
      </c>
      <c r="AV1509">
        <f>$C1509*AV1508</f>
        <v/>
      </c>
      <c r="AW1509">
        <f>$C1509*AW1508</f>
        <v/>
      </c>
      <c r="AX1509">
        <f>$C1509*AX1508</f>
        <v/>
      </c>
      <c r="AY1509">
        <f>$C1509*AY1508</f>
        <v/>
      </c>
      <c r="AZ1509">
        <f>$C1509*AZ1508</f>
        <v/>
      </c>
      <c r="BA1509">
        <f>$C1509*BA1508</f>
        <v/>
      </c>
      <c r="BB1509">
        <f>$C1509*BB1508</f>
        <v/>
      </c>
      <c r="BC1509">
        <f>$C1509*BC1508</f>
        <v/>
      </c>
      <c r="BD1509">
        <f>$C1509*BD1508</f>
        <v/>
      </c>
      <c r="BE1509">
        <f>$C1509*BE1508</f>
        <v/>
      </c>
      <c r="BF1509">
        <f>$C1509*BF1508</f>
        <v/>
      </c>
      <c r="BG1509">
        <f>$C1509*BG1508</f>
        <v/>
      </c>
      <c r="BH1509">
        <f>$C1509*BH1508</f>
        <v/>
      </c>
      <c r="BI1509">
        <f>$C1509*BI1508</f>
        <v/>
      </c>
      <c r="BJ1509">
        <f>$C1509*BJ1508</f>
        <v/>
      </c>
      <c r="BK1509">
        <f>$C1509*BK1508</f>
        <v/>
      </c>
      <c r="BL1509">
        <f>$C1509*BL1508</f>
        <v/>
      </c>
      <c r="BM1509">
        <f>$C1509*BM1508</f>
        <v/>
      </c>
      <c r="BN1509">
        <f>$C1509*BN1508</f>
        <v/>
      </c>
      <c r="BO1509">
        <f>$C1509*BO1508</f>
        <v/>
      </c>
      <c r="BP1509">
        <f>$C1509*BP1508</f>
        <v/>
      </c>
      <c r="BQ1509">
        <f>$C1509*BQ1508</f>
        <v/>
      </c>
      <c r="BR1509">
        <f>$C1509*BR1508</f>
        <v/>
      </c>
      <c r="BS1509">
        <f>$C1509*BS1508</f>
        <v/>
      </c>
      <c r="BT1509">
        <f>$C1509*BT1508</f>
        <v/>
      </c>
      <c r="BU1509">
        <f>$C1509*BU1508</f>
        <v/>
      </c>
      <c r="BV1509">
        <f>$C1509*BV1508</f>
        <v/>
      </c>
      <c r="BW1509">
        <f>$C1509*BW1508</f>
        <v/>
      </c>
      <c r="BX1509">
        <f>$C1509*BX1508</f>
        <v/>
      </c>
      <c r="BY1509">
        <f>$C1509*BY1508</f>
        <v/>
      </c>
      <c r="BZ1509">
        <f>$C1509*BZ1508</f>
        <v/>
      </c>
      <c r="CA1509">
        <f>$C1509*CA1508</f>
        <v/>
      </c>
      <c r="CB1509">
        <f>$C1509*CB1508</f>
        <v/>
      </c>
      <c r="CC1509">
        <f>$C1509*CC1508</f>
        <v/>
      </c>
      <c r="CD1509">
        <f>$C1509*CD1508</f>
        <v/>
      </c>
      <c r="CE1509">
        <f>$C1509*CE1508</f>
        <v/>
      </c>
      <c r="CF1509">
        <f>$C1509*CF1508</f>
        <v/>
      </c>
      <c r="CG1509">
        <f>$C1509*CG1508</f>
        <v/>
      </c>
      <c r="CH1509">
        <f>$C1509*CH1508</f>
        <v/>
      </c>
      <c r="CI1509">
        <f>$C1509*CI1508</f>
        <v/>
      </c>
      <c r="CJ1509">
        <f>$C1509*CJ1508</f>
        <v/>
      </c>
      <c r="CK1509">
        <f>$C1509*CK1508</f>
        <v/>
      </c>
      <c r="CL1509">
        <f>$C1509*CL1508</f>
        <v/>
      </c>
      <c r="CM1509">
        <f>$C1509*CM1508</f>
        <v/>
      </c>
      <c r="CN1509">
        <f>$C1509*CN1508</f>
        <v/>
      </c>
      <c r="CO1509">
        <f>$C1509*CO1508</f>
        <v/>
      </c>
      <c r="CP1509">
        <f>$C1509*CP1508</f>
        <v/>
      </c>
      <c r="CQ1509">
        <f>$C1509*CQ1508</f>
        <v/>
      </c>
      <c r="CR1509">
        <f>$C1509*CR1508</f>
        <v/>
      </c>
      <c r="CS1509">
        <f>$C1509*CS1508</f>
        <v/>
      </c>
      <c r="CT1509">
        <f>$C1509*CT1508</f>
        <v/>
      </c>
      <c r="CU1509">
        <f>$C1509*CU1508</f>
        <v/>
      </c>
      <c r="CV1509">
        <f>$C1509*CV1508</f>
        <v/>
      </c>
      <c r="CW1509">
        <f>$C1509*CW1508</f>
        <v/>
      </c>
      <c r="CX1509">
        <f>$C1509*CX1508</f>
        <v/>
      </c>
      <c r="CY1509">
        <f>$C1509*CY1508</f>
        <v/>
      </c>
      <c r="CZ1509">
        <f>$C1509*CZ1508</f>
        <v/>
      </c>
      <c r="DA1509">
        <f>$C1509*DA1508</f>
        <v/>
      </c>
      <c r="DB1509">
        <f>$C1509*DB1508</f>
        <v/>
      </c>
      <c r="DC1509">
        <f>$C1509*DC1508</f>
        <v/>
      </c>
      <c r="DD1509">
        <f>$C1509*DD1508</f>
        <v/>
      </c>
    </row>
    <row r="1510">
      <c r="B1510" t="inlineStr">
        <is>
          <t>TSP-934</t>
        </is>
      </c>
      <c r="C1510" t="inlineStr">
        <is>
          <t>No. of batches</t>
        </is>
      </c>
      <c r="D1510">
        <f>IFERROR(INDEX(E1510:DD1510,$F$1),"")</f>
        <v/>
      </c>
      <c r="E1510">
        <f>IFERROR(INDEX(PP_Grid[#Data],$DE1510,2),0)</f>
        <v/>
      </c>
      <c r="F1510">
        <f>IFERROR(INDEX(PP_Grid[#Data],$DE1510,3),0)</f>
        <v/>
      </c>
      <c r="G1510">
        <f>IFERROR(INDEX(PP_Grid[#Data],$DE1510,4),0)</f>
        <v/>
      </c>
      <c r="H1510">
        <f>IFERROR(INDEX(PP_Grid[#Data],$DE1510,5),0)</f>
        <v/>
      </c>
      <c r="I1510">
        <f>IFERROR(INDEX(PP_Grid[#Data],$DE1510,6),0)</f>
        <v/>
      </c>
      <c r="J1510">
        <f>IFERROR(INDEX(PP_Grid[#Data],$DE1510,7),0)</f>
        <v/>
      </c>
      <c r="K1510">
        <f>IFERROR(INDEX(PP_Grid[#Data],$DE1510,8),0)</f>
        <v/>
      </c>
      <c r="L1510">
        <f>IFERROR(INDEX(PP_Grid[#Data],$DE1510,9),0)</f>
        <v/>
      </c>
      <c r="M1510">
        <f>IFERROR(INDEX(PP_Grid[#Data],$DE1510,10),0)</f>
        <v/>
      </c>
      <c r="N1510">
        <f>IFERROR(INDEX(PP_Grid[#Data],$DE1510,11),0)</f>
        <v/>
      </c>
      <c r="O1510">
        <f>IFERROR(INDEX(PP_Grid[#Data],$DE1510,12),0)</f>
        <v/>
      </c>
      <c r="P1510">
        <f>IFERROR(INDEX(PP_Grid[#Data],$DE1510,13),0)</f>
        <v/>
      </c>
      <c r="Q1510">
        <f>IFERROR(INDEX(PP_Grid[#Data],$DE1510,14),0)</f>
        <v/>
      </c>
      <c r="R1510">
        <f>IFERROR(INDEX(PP_Grid[#Data],$DE1510,15),0)</f>
        <v/>
      </c>
      <c r="S1510">
        <f>IFERROR(INDEX(PP_Grid[#Data],$DE1510,16),0)</f>
        <v/>
      </c>
      <c r="T1510">
        <f>IFERROR(INDEX(PP_Grid[#Data],$DE1510,17),0)</f>
        <v/>
      </c>
      <c r="U1510">
        <f>IFERROR(INDEX(PP_Grid[#Data],$DE1510,18),0)</f>
        <v/>
      </c>
      <c r="V1510">
        <f>IFERROR(INDEX(PP_Grid[#Data],$DE1510,19),0)</f>
        <v/>
      </c>
      <c r="W1510">
        <f>IFERROR(INDEX(PP_Grid[#Data],$DE1510,20),0)</f>
        <v/>
      </c>
      <c r="X1510">
        <f>IFERROR(INDEX(PP_Grid[#Data],$DE1510,21),0)</f>
        <v/>
      </c>
      <c r="Y1510">
        <f>IFERROR(INDEX(PP_Grid[#Data],$DE1510,22),0)</f>
        <v/>
      </c>
      <c r="Z1510">
        <f>IFERROR(INDEX(PP_Grid[#Data],$DE1510,23),0)</f>
        <v/>
      </c>
      <c r="AA1510">
        <f>IFERROR(INDEX(PP_Grid[#Data],$DE1510,24),0)</f>
        <v/>
      </c>
      <c r="AB1510">
        <f>IFERROR(INDEX(PP_Grid[#Data],$DE1510,25),0)</f>
        <v/>
      </c>
      <c r="AC1510">
        <f>IFERROR(INDEX(PP_Grid[#Data],$DE1510,26),0)</f>
        <v/>
      </c>
      <c r="AD1510">
        <f>IFERROR(INDEX(PP_Grid[#Data],$DE1510,27),0)</f>
        <v/>
      </c>
      <c r="AE1510">
        <f>IFERROR(INDEX(PP_Grid[#Data],$DE1510,28),0)</f>
        <v/>
      </c>
      <c r="AF1510">
        <f>IFERROR(INDEX(PP_Grid[#Data],$DE1510,29),0)</f>
        <v/>
      </c>
      <c r="AG1510">
        <f>IFERROR(INDEX(PP_Grid[#Data],$DE1510,30),0)</f>
        <v/>
      </c>
      <c r="AH1510">
        <f>IFERROR(INDEX(PP_Grid[#Data],$DE1510,31),0)</f>
        <v/>
      </c>
      <c r="AI1510">
        <f>IFERROR(INDEX(PP_Grid[#Data],$DE1510,32),0)</f>
        <v/>
      </c>
      <c r="AJ1510">
        <f>IFERROR(INDEX(PP_Grid[#Data],$DE1510,33),0)</f>
        <v/>
      </c>
      <c r="AK1510">
        <f>IFERROR(INDEX(PP_Grid[#Data],$DE1510,34),0)</f>
        <v/>
      </c>
      <c r="AL1510">
        <f>IFERROR(INDEX(PP_Grid[#Data],$DE1510,35),0)</f>
        <v/>
      </c>
      <c r="AM1510">
        <f>IFERROR(INDEX(PP_Grid[#Data],$DE1510,36),0)</f>
        <v/>
      </c>
      <c r="AN1510">
        <f>IFERROR(INDEX(PP_Grid[#Data],$DE1510,37),0)</f>
        <v/>
      </c>
      <c r="AO1510">
        <f>IFERROR(INDEX(PP_Grid[#Data],$DE1510,38),0)</f>
        <v/>
      </c>
      <c r="AP1510">
        <f>IFERROR(INDEX(PP_Grid[#Data],$DE1510,39),0)</f>
        <v/>
      </c>
      <c r="AQ1510">
        <f>IFERROR(INDEX(PP_Grid[#Data],$DE1510,40),0)</f>
        <v/>
      </c>
      <c r="AR1510">
        <f>IFERROR(INDEX(PP_Grid[#Data],$DE1510,41),0)</f>
        <v/>
      </c>
      <c r="AS1510">
        <f>IFERROR(INDEX(PP_Grid[#Data],$DE1510,42),0)</f>
        <v/>
      </c>
      <c r="AT1510">
        <f>IFERROR(INDEX(PP_Grid[#Data],$DE1510,43),0)</f>
        <v/>
      </c>
      <c r="AU1510">
        <f>IFERROR(INDEX(PP_Grid[#Data],$DE1510,44),0)</f>
        <v/>
      </c>
      <c r="AV1510">
        <f>IFERROR(INDEX(PP_Grid[#Data],$DE1510,45),0)</f>
        <v/>
      </c>
      <c r="AW1510">
        <f>IFERROR(INDEX(PP_Grid[#Data],$DE1510,46),0)</f>
        <v/>
      </c>
      <c r="AX1510">
        <f>IFERROR(INDEX(PP_Grid[#Data],$DE1510,47),0)</f>
        <v/>
      </c>
      <c r="AY1510">
        <f>IFERROR(INDEX(PP_Grid[#Data],$DE1510,48),0)</f>
        <v/>
      </c>
      <c r="AZ1510">
        <f>IFERROR(INDEX(PP_Grid[#Data],$DE1510,49),0)</f>
        <v/>
      </c>
      <c r="BA1510">
        <f>IFERROR(INDEX(PP_Grid[#Data],$DE1510,50),0)</f>
        <v/>
      </c>
      <c r="BB1510">
        <f>IFERROR(INDEX(PP_Grid[#Data],$DE1510,51),0)</f>
        <v/>
      </c>
      <c r="BC1510">
        <f>IFERROR(INDEX(PP_Grid[#Data],$DE1510,52),0)</f>
        <v/>
      </c>
      <c r="BD1510">
        <f>IFERROR(INDEX(PP_Grid[#Data],$DE1510,53),0)</f>
        <v/>
      </c>
      <c r="BE1510">
        <f>IFERROR(INDEX(PP_Grid[#Data],$DE1510,54),0)</f>
        <v/>
      </c>
      <c r="BF1510">
        <f>IFERROR(INDEX(PP_Grid[#Data],$DE1510,55),0)</f>
        <v/>
      </c>
      <c r="BG1510">
        <f>IFERROR(INDEX(PP_Grid[#Data],$DE1510,56),0)</f>
        <v/>
      </c>
      <c r="BH1510">
        <f>IFERROR(INDEX(PP_Grid[#Data],$DE1510,57),0)</f>
        <v/>
      </c>
      <c r="BI1510">
        <f>IFERROR(INDEX(PP_Grid[#Data],$DE1510,58),0)</f>
        <v/>
      </c>
      <c r="BJ1510">
        <f>IFERROR(INDEX(PP_Grid[#Data],$DE1510,59),0)</f>
        <v/>
      </c>
      <c r="BK1510">
        <f>IFERROR(INDEX(PP_Grid[#Data],$DE1510,60),0)</f>
        <v/>
      </c>
      <c r="BL1510">
        <f>IFERROR(INDEX(PP_Grid[#Data],$DE1510,61),0)</f>
        <v/>
      </c>
      <c r="BM1510">
        <f>IFERROR(INDEX(PP_Grid[#Data],$DE1510,62),0)</f>
        <v/>
      </c>
      <c r="BN1510">
        <f>IFERROR(INDEX(PP_Grid[#Data],$DE1510,63),0)</f>
        <v/>
      </c>
      <c r="BO1510">
        <f>IFERROR(INDEX(PP_Grid[#Data],$DE1510,64),0)</f>
        <v/>
      </c>
      <c r="BP1510">
        <f>IFERROR(INDEX(PP_Grid[#Data],$DE1510,65),0)</f>
        <v/>
      </c>
      <c r="BQ1510">
        <f>IFERROR(INDEX(PP_Grid[#Data],$DE1510,66),0)</f>
        <v/>
      </c>
      <c r="BR1510">
        <f>IFERROR(INDEX(PP_Grid[#Data],$DE1510,67),0)</f>
        <v/>
      </c>
      <c r="BS1510">
        <f>IFERROR(INDEX(PP_Grid[#Data],$DE1510,68),0)</f>
        <v/>
      </c>
      <c r="BT1510">
        <f>IFERROR(INDEX(PP_Grid[#Data],$DE1510,69),0)</f>
        <v/>
      </c>
      <c r="BU1510">
        <f>IFERROR(INDEX(PP_Grid[#Data],$DE1510,70),0)</f>
        <v/>
      </c>
      <c r="BV1510">
        <f>IFERROR(INDEX(PP_Grid[#Data],$DE1510,71),0)</f>
        <v/>
      </c>
      <c r="BW1510">
        <f>IFERROR(INDEX(PP_Grid[#Data],$DE1510,72),0)</f>
        <v/>
      </c>
      <c r="BX1510">
        <f>IFERROR(INDEX(PP_Grid[#Data],$DE1510,73),0)</f>
        <v/>
      </c>
      <c r="BY1510">
        <f>IFERROR(INDEX(PP_Grid[#Data],$DE1510,74),0)</f>
        <v/>
      </c>
      <c r="BZ1510">
        <f>IFERROR(INDEX(PP_Grid[#Data],$DE1510,75),0)</f>
        <v/>
      </c>
      <c r="CA1510">
        <f>IFERROR(INDEX(PP_Grid[#Data],$DE1510,76),0)</f>
        <v/>
      </c>
      <c r="CB1510">
        <f>IFERROR(INDEX(PP_Grid[#Data],$DE1510,77),0)</f>
        <v/>
      </c>
      <c r="CC1510">
        <f>IFERROR(INDEX(PP_Grid[#Data],$DE1510,78),0)</f>
        <v/>
      </c>
      <c r="CD1510">
        <f>IFERROR(INDEX(PP_Grid[#Data],$DE1510,79),0)</f>
        <v/>
      </c>
      <c r="CE1510">
        <f>IFERROR(INDEX(PP_Grid[#Data],$DE1510,80),0)</f>
        <v/>
      </c>
      <c r="CF1510">
        <f>IFERROR(INDEX(PP_Grid[#Data],$DE1510,81),0)</f>
        <v/>
      </c>
      <c r="CG1510">
        <f>IFERROR(INDEX(PP_Grid[#Data],$DE1510,82),0)</f>
        <v/>
      </c>
      <c r="CH1510">
        <f>IFERROR(INDEX(PP_Grid[#Data],$DE1510,83),0)</f>
        <v/>
      </c>
      <c r="CI1510">
        <f>IFERROR(INDEX(PP_Grid[#Data],$DE1510,84),0)</f>
        <v/>
      </c>
      <c r="CJ1510">
        <f>IFERROR(INDEX(PP_Grid[#Data],$DE1510,85),0)</f>
        <v/>
      </c>
      <c r="CK1510">
        <f>IFERROR(INDEX(PP_Grid[#Data],$DE1510,86),0)</f>
        <v/>
      </c>
      <c r="CL1510">
        <f>IFERROR(INDEX(PP_Grid[#Data],$DE1510,87),0)</f>
        <v/>
      </c>
      <c r="CM1510">
        <f>IFERROR(INDEX(PP_Grid[#Data],$DE1510,88),0)</f>
        <v/>
      </c>
      <c r="CN1510">
        <f>IFERROR(INDEX(PP_Grid[#Data],$DE1510,89),0)</f>
        <v/>
      </c>
      <c r="CO1510">
        <f>IFERROR(INDEX(PP_Grid[#Data],$DE1510,90),0)</f>
        <v/>
      </c>
      <c r="CP1510">
        <f>IFERROR(INDEX(PP_Grid[#Data],$DE1510,91),0)</f>
        <v/>
      </c>
      <c r="CQ1510">
        <f>IFERROR(INDEX(PP_Grid[#Data],$DE1510,92),0)</f>
        <v/>
      </c>
      <c r="CR1510">
        <f>IFERROR(INDEX(PP_Grid[#Data],$DE1510,93),0)</f>
        <v/>
      </c>
      <c r="CS1510">
        <f>IFERROR(INDEX(PP_Grid[#Data],$DE1510,94),0)</f>
        <v/>
      </c>
      <c r="CT1510">
        <f>IFERROR(INDEX(PP_Grid[#Data],$DE1510,95),0)</f>
        <v/>
      </c>
      <c r="CU1510">
        <f>IFERROR(INDEX(PP_Grid[#Data],$DE1510,96),0)</f>
        <v/>
      </c>
      <c r="CV1510">
        <f>IFERROR(INDEX(PP_Grid[#Data],$DE1510,97),0)</f>
        <v/>
      </c>
      <c r="CW1510">
        <f>IFERROR(INDEX(PP_Grid[#Data],$DE1510,98),0)</f>
        <v/>
      </c>
      <c r="CX1510">
        <f>IFERROR(INDEX(PP_Grid[#Data],$DE1510,99),0)</f>
        <v/>
      </c>
      <c r="CY1510">
        <f>IFERROR(INDEX(PP_Grid[#Data],$DE1510,100),0)</f>
        <v/>
      </c>
      <c r="CZ1510">
        <f>IFERROR(INDEX(PP_Grid[#Data],$DE1510,101),0)</f>
        <v/>
      </c>
      <c r="DA1510">
        <f>IFERROR(INDEX(PP_Grid[#Data],$DE1510,102),0)</f>
        <v/>
      </c>
      <c r="DB1510">
        <f>IFERROR(INDEX(PP_Grid[#Data],$DE1510,103),0)</f>
        <v/>
      </c>
      <c r="DC1510">
        <f>IFERROR(INDEX(PP_Grid[#Data],$DE1510,104),0)</f>
        <v/>
      </c>
      <c r="DD1510">
        <f>IFERROR(INDEX(PP_Grid[#Data],$DE1510,105),0)</f>
        <v/>
      </c>
      <c r="DE1510" s="7">
        <f>IFERROR(MATCH($B1510,PP_Grid[Intermediate],0),99999)</f>
        <v/>
      </c>
    </row>
    <row r="1511">
      <c r="B1511" t="inlineStr">
        <is>
          <t>使用量(kg)</t>
        </is>
      </c>
      <c r="C1511">
        <f>SUMIFS(M_BOM[RM_Qty_Per_Batch],M_BOM[Intermediate],$B1510,M_BOM[RM_Code],$A1501)</f>
        <v/>
      </c>
      <c r="D1511">
        <f>IFERROR(INDEX(E1511:DD1511,$F$1),"")</f>
        <v/>
      </c>
      <c r="E1511">
        <f>$C1511*E1510</f>
        <v/>
      </c>
      <c r="F1511">
        <f>$C1511*F1510</f>
        <v/>
      </c>
      <c r="G1511">
        <f>$C1511*G1510</f>
        <v/>
      </c>
      <c r="H1511">
        <f>$C1511*H1510</f>
        <v/>
      </c>
      <c r="I1511">
        <f>$C1511*I1510</f>
        <v/>
      </c>
      <c r="J1511">
        <f>$C1511*J1510</f>
        <v/>
      </c>
      <c r="K1511">
        <f>$C1511*K1510</f>
        <v/>
      </c>
      <c r="L1511">
        <f>$C1511*L1510</f>
        <v/>
      </c>
      <c r="M1511">
        <f>$C1511*M1510</f>
        <v/>
      </c>
      <c r="N1511">
        <f>$C1511*N1510</f>
        <v/>
      </c>
      <c r="O1511">
        <f>$C1511*O1510</f>
        <v/>
      </c>
      <c r="P1511">
        <f>$C1511*P1510</f>
        <v/>
      </c>
      <c r="Q1511">
        <f>$C1511*Q1510</f>
        <v/>
      </c>
      <c r="R1511">
        <f>$C1511*R1510</f>
        <v/>
      </c>
      <c r="S1511">
        <f>$C1511*S1510</f>
        <v/>
      </c>
      <c r="T1511">
        <f>$C1511*T1510</f>
        <v/>
      </c>
      <c r="U1511">
        <f>$C1511*U1510</f>
        <v/>
      </c>
      <c r="V1511">
        <f>$C1511*V1510</f>
        <v/>
      </c>
      <c r="W1511">
        <f>$C1511*W1510</f>
        <v/>
      </c>
      <c r="X1511">
        <f>$C1511*X1510</f>
        <v/>
      </c>
      <c r="Y1511">
        <f>$C1511*Y1510</f>
        <v/>
      </c>
      <c r="Z1511">
        <f>$C1511*Z1510</f>
        <v/>
      </c>
      <c r="AA1511">
        <f>$C1511*AA1510</f>
        <v/>
      </c>
      <c r="AB1511">
        <f>$C1511*AB1510</f>
        <v/>
      </c>
      <c r="AC1511">
        <f>$C1511*AC1510</f>
        <v/>
      </c>
      <c r="AD1511">
        <f>$C1511*AD1510</f>
        <v/>
      </c>
      <c r="AE1511">
        <f>$C1511*AE1510</f>
        <v/>
      </c>
      <c r="AF1511">
        <f>$C1511*AF1510</f>
        <v/>
      </c>
      <c r="AG1511">
        <f>$C1511*AG1510</f>
        <v/>
      </c>
      <c r="AH1511">
        <f>$C1511*AH1510</f>
        <v/>
      </c>
      <c r="AI1511">
        <f>$C1511*AI1510</f>
        <v/>
      </c>
      <c r="AJ1511">
        <f>$C1511*AJ1510</f>
        <v/>
      </c>
      <c r="AK1511">
        <f>$C1511*AK1510</f>
        <v/>
      </c>
      <c r="AL1511">
        <f>$C1511*AL1510</f>
        <v/>
      </c>
      <c r="AM1511">
        <f>$C1511*AM1510</f>
        <v/>
      </c>
      <c r="AN1511">
        <f>$C1511*AN1510</f>
        <v/>
      </c>
      <c r="AO1511">
        <f>$C1511*AO1510</f>
        <v/>
      </c>
      <c r="AP1511">
        <f>$C1511*AP1510</f>
        <v/>
      </c>
      <c r="AQ1511">
        <f>$C1511*AQ1510</f>
        <v/>
      </c>
      <c r="AR1511">
        <f>$C1511*AR1510</f>
        <v/>
      </c>
      <c r="AS1511">
        <f>$C1511*AS1510</f>
        <v/>
      </c>
      <c r="AT1511">
        <f>$C1511*AT1510</f>
        <v/>
      </c>
      <c r="AU1511">
        <f>$C1511*AU1510</f>
        <v/>
      </c>
      <c r="AV1511">
        <f>$C1511*AV1510</f>
        <v/>
      </c>
      <c r="AW1511">
        <f>$C1511*AW1510</f>
        <v/>
      </c>
      <c r="AX1511">
        <f>$C1511*AX1510</f>
        <v/>
      </c>
      <c r="AY1511">
        <f>$C1511*AY1510</f>
        <v/>
      </c>
      <c r="AZ1511">
        <f>$C1511*AZ1510</f>
        <v/>
      </c>
      <c r="BA1511">
        <f>$C1511*BA1510</f>
        <v/>
      </c>
      <c r="BB1511">
        <f>$C1511*BB1510</f>
        <v/>
      </c>
      <c r="BC1511">
        <f>$C1511*BC1510</f>
        <v/>
      </c>
      <c r="BD1511">
        <f>$C1511*BD1510</f>
        <v/>
      </c>
      <c r="BE1511">
        <f>$C1511*BE1510</f>
        <v/>
      </c>
      <c r="BF1511">
        <f>$C1511*BF1510</f>
        <v/>
      </c>
      <c r="BG1511">
        <f>$C1511*BG1510</f>
        <v/>
      </c>
      <c r="BH1511">
        <f>$C1511*BH1510</f>
        <v/>
      </c>
      <c r="BI1511">
        <f>$C1511*BI1510</f>
        <v/>
      </c>
      <c r="BJ1511">
        <f>$C1511*BJ1510</f>
        <v/>
      </c>
      <c r="BK1511">
        <f>$C1511*BK1510</f>
        <v/>
      </c>
      <c r="BL1511">
        <f>$C1511*BL1510</f>
        <v/>
      </c>
      <c r="BM1511">
        <f>$C1511*BM1510</f>
        <v/>
      </c>
      <c r="BN1511">
        <f>$C1511*BN1510</f>
        <v/>
      </c>
      <c r="BO1511">
        <f>$C1511*BO1510</f>
        <v/>
      </c>
      <c r="BP1511">
        <f>$C1511*BP1510</f>
        <v/>
      </c>
      <c r="BQ1511">
        <f>$C1511*BQ1510</f>
        <v/>
      </c>
      <c r="BR1511">
        <f>$C1511*BR1510</f>
        <v/>
      </c>
      <c r="BS1511">
        <f>$C1511*BS1510</f>
        <v/>
      </c>
      <c r="BT1511">
        <f>$C1511*BT1510</f>
        <v/>
      </c>
      <c r="BU1511">
        <f>$C1511*BU1510</f>
        <v/>
      </c>
      <c r="BV1511">
        <f>$C1511*BV1510</f>
        <v/>
      </c>
      <c r="BW1511">
        <f>$C1511*BW1510</f>
        <v/>
      </c>
      <c r="BX1511">
        <f>$C1511*BX1510</f>
        <v/>
      </c>
      <c r="BY1511">
        <f>$C1511*BY1510</f>
        <v/>
      </c>
      <c r="BZ1511">
        <f>$C1511*BZ1510</f>
        <v/>
      </c>
      <c r="CA1511">
        <f>$C1511*CA1510</f>
        <v/>
      </c>
      <c r="CB1511">
        <f>$C1511*CB1510</f>
        <v/>
      </c>
      <c r="CC1511">
        <f>$C1511*CC1510</f>
        <v/>
      </c>
      <c r="CD1511">
        <f>$C1511*CD1510</f>
        <v/>
      </c>
      <c r="CE1511">
        <f>$C1511*CE1510</f>
        <v/>
      </c>
      <c r="CF1511">
        <f>$C1511*CF1510</f>
        <v/>
      </c>
      <c r="CG1511">
        <f>$C1511*CG1510</f>
        <v/>
      </c>
      <c r="CH1511">
        <f>$C1511*CH1510</f>
        <v/>
      </c>
      <c r="CI1511">
        <f>$C1511*CI1510</f>
        <v/>
      </c>
      <c r="CJ1511">
        <f>$C1511*CJ1510</f>
        <v/>
      </c>
      <c r="CK1511">
        <f>$C1511*CK1510</f>
        <v/>
      </c>
      <c r="CL1511">
        <f>$C1511*CL1510</f>
        <v/>
      </c>
      <c r="CM1511">
        <f>$C1511*CM1510</f>
        <v/>
      </c>
      <c r="CN1511">
        <f>$C1511*CN1510</f>
        <v/>
      </c>
      <c r="CO1511">
        <f>$C1511*CO1510</f>
        <v/>
      </c>
      <c r="CP1511">
        <f>$C1511*CP1510</f>
        <v/>
      </c>
      <c r="CQ1511">
        <f>$C1511*CQ1510</f>
        <v/>
      </c>
      <c r="CR1511">
        <f>$C1511*CR1510</f>
        <v/>
      </c>
      <c r="CS1511">
        <f>$C1511*CS1510</f>
        <v/>
      </c>
      <c r="CT1511">
        <f>$C1511*CT1510</f>
        <v/>
      </c>
      <c r="CU1511">
        <f>$C1511*CU1510</f>
        <v/>
      </c>
      <c r="CV1511">
        <f>$C1511*CV1510</f>
        <v/>
      </c>
      <c r="CW1511">
        <f>$C1511*CW1510</f>
        <v/>
      </c>
      <c r="CX1511">
        <f>$C1511*CX1510</f>
        <v/>
      </c>
      <c r="CY1511">
        <f>$C1511*CY1510</f>
        <v/>
      </c>
      <c r="CZ1511">
        <f>$C1511*CZ1510</f>
        <v/>
      </c>
      <c r="DA1511">
        <f>$C1511*DA1510</f>
        <v/>
      </c>
      <c r="DB1511">
        <f>$C1511*DB1510</f>
        <v/>
      </c>
      <c r="DC1511">
        <f>$C1511*DC1510</f>
        <v/>
      </c>
      <c r="DD1511">
        <f>$C1511*DD1510</f>
        <v/>
      </c>
    </row>
    <row r="1512">
      <c r="B1512" t="inlineStr">
        <is>
          <t>TSP-935</t>
        </is>
      </c>
      <c r="C1512" t="inlineStr">
        <is>
          <t>No. of batches</t>
        </is>
      </c>
      <c r="D1512">
        <f>IFERROR(INDEX(E1512:DD1512,$F$1),"")</f>
        <v/>
      </c>
      <c r="E1512">
        <f>IFERROR(INDEX(PP_Grid[#Data],$DE1512,2),0)</f>
        <v/>
      </c>
      <c r="F1512">
        <f>IFERROR(INDEX(PP_Grid[#Data],$DE1512,3),0)</f>
        <v/>
      </c>
      <c r="G1512">
        <f>IFERROR(INDEX(PP_Grid[#Data],$DE1512,4),0)</f>
        <v/>
      </c>
      <c r="H1512">
        <f>IFERROR(INDEX(PP_Grid[#Data],$DE1512,5),0)</f>
        <v/>
      </c>
      <c r="I1512">
        <f>IFERROR(INDEX(PP_Grid[#Data],$DE1512,6),0)</f>
        <v/>
      </c>
      <c r="J1512">
        <f>IFERROR(INDEX(PP_Grid[#Data],$DE1512,7),0)</f>
        <v/>
      </c>
      <c r="K1512">
        <f>IFERROR(INDEX(PP_Grid[#Data],$DE1512,8),0)</f>
        <v/>
      </c>
      <c r="L1512">
        <f>IFERROR(INDEX(PP_Grid[#Data],$DE1512,9),0)</f>
        <v/>
      </c>
      <c r="M1512">
        <f>IFERROR(INDEX(PP_Grid[#Data],$DE1512,10),0)</f>
        <v/>
      </c>
      <c r="N1512">
        <f>IFERROR(INDEX(PP_Grid[#Data],$DE1512,11),0)</f>
        <v/>
      </c>
      <c r="O1512">
        <f>IFERROR(INDEX(PP_Grid[#Data],$DE1512,12),0)</f>
        <v/>
      </c>
      <c r="P1512">
        <f>IFERROR(INDEX(PP_Grid[#Data],$DE1512,13),0)</f>
        <v/>
      </c>
      <c r="Q1512">
        <f>IFERROR(INDEX(PP_Grid[#Data],$DE1512,14),0)</f>
        <v/>
      </c>
      <c r="R1512">
        <f>IFERROR(INDEX(PP_Grid[#Data],$DE1512,15),0)</f>
        <v/>
      </c>
      <c r="S1512">
        <f>IFERROR(INDEX(PP_Grid[#Data],$DE1512,16),0)</f>
        <v/>
      </c>
      <c r="T1512">
        <f>IFERROR(INDEX(PP_Grid[#Data],$DE1512,17),0)</f>
        <v/>
      </c>
      <c r="U1512">
        <f>IFERROR(INDEX(PP_Grid[#Data],$DE1512,18),0)</f>
        <v/>
      </c>
      <c r="V1512">
        <f>IFERROR(INDEX(PP_Grid[#Data],$DE1512,19),0)</f>
        <v/>
      </c>
      <c r="W1512">
        <f>IFERROR(INDEX(PP_Grid[#Data],$DE1512,20),0)</f>
        <v/>
      </c>
      <c r="X1512">
        <f>IFERROR(INDEX(PP_Grid[#Data],$DE1512,21),0)</f>
        <v/>
      </c>
      <c r="Y1512">
        <f>IFERROR(INDEX(PP_Grid[#Data],$DE1512,22),0)</f>
        <v/>
      </c>
      <c r="Z1512">
        <f>IFERROR(INDEX(PP_Grid[#Data],$DE1512,23),0)</f>
        <v/>
      </c>
      <c r="AA1512">
        <f>IFERROR(INDEX(PP_Grid[#Data],$DE1512,24),0)</f>
        <v/>
      </c>
      <c r="AB1512">
        <f>IFERROR(INDEX(PP_Grid[#Data],$DE1512,25),0)</f>
        <v/>
      </c>
      <c r="AC1512">
        <f>IFERROR(INDEX(PP_Grid[#Data],$DE1512,26),0)</f>
        <v/>
      </c>
      <c r="AD1512">
        <f>IFERROR(INDEX(PP_Grid[#Data],$DE1512,27),0)</f>
        <v/>
      </c>
      <c r="AE1512">
        <f>IFERROR(INDEX(PP_Grid[#Data],$DE1512,28),0)</f>
        <v/>
      </c>
      <c r="AF1512">
        <f>IFERROR(INDEX(PP_Grid[#Data],$DE1512,29),0)</f>
        <v/>
      </c>
      <c r="AG1512">
        <f>IFERROR(INDEX(PP_Grid[#Data],$DE1512,30),0)</f>
        <v/>
      </c>
      <c r="AH1512">
        <f>IFERROR(INDEX(PP_Grid[#Data],$DE1512,31),0)</f>
        <v/>
      </c>
      <c r="AI1512">
        <f>IFERROR(INDEX(PP_Grid[#Data],$DE1512,32),0)</f>
        <v/>
      </c>
      <c r="AJ1512">
        <f>IFERROR(INDEX(PP_Grid[#Data],$DE1512,33),0)</f>
        <v/>
      </c>
      <c r="AK1512">
        <f>IFERROR(INDEX(PP_Grid[#Data],$DE1512,34),0)</f>
        <v/>
      </c>
      <c r="AL1512">
        <f>IFERROR(INDEX(PP_Grid[#Data],$DE1512,35),0)</f>
        <v/>
      </c>
      <c r="AM1512">
        <f>IFERROR(INDEX(PP_Grid[#Data],$DE1512,36),0)</f>
        <v/>
      </c>
      <c r="AN1512">
        <f>IFERROR(INDEX(PP_Grid[#Data],$DE1512,37),0)</f>
        <v/>
      </c>
      <c r="AO1512">
        <f>IFERROR(INDEX(PP_Grid[#Data],$DE1512,38),0)</f>
        <v/>
      </c>
      <c r="AP1512">
        <f>IFERROR(INDEX(PP_Grid[#Data],$DE1512,39),0)</f>
        <v/>
      </c>
      <c r="AQ1512">
        <f>IFERROR(INDEX(PP_Grid[#Data],$DE1512,40),0)</f>
        <v/>
      </c>
      <c r="AR1512">
        <f>IFERROR(INDEX(PP_Grid[#Data],$DE1512,41),0)</f>
        <v/>
      </c>
      <c r="AS1512">
        <f>IFERROR(INDEX(PP_Grid[#Data],$DE1512,42),0)</f>
        <v/>
      </c>
      <c r="AT1512">
        <f>IFERROR(INDEX(PP_Grid[#Data],$DE1512,43),0)</f>
        <v/>
      </c>
      <c r="AU1512">
        <f>IFERROR(INDEX(PP_Grid[#Data],$DE1512,44),0)</f>
        <v/>
      </c>
      <c r="AV1512">
        <f>IFERROR(INDEX(PP_Grid[#Data],$DE1512,45),0)</f>
        <v/>
      </c>
      <c r="AW1512">
        <f>IFERROR(INDEX(PP_Grid[#Data],$DE1512,46),0)</f>
        <v/>
      </c>
      <c r="AX1512">
        <f>IFERROR(INDEX(PP_Grid[#Data],$DE1512,47),0)</f>
        <v/>
      </c>
      <c r="AY1512">
        <f>IFERROR(INDEX(PP_Grid[#Data],$DE1512,48),0)</f>
        <v/>
      </c>
      <c r="AZ1512">
        <f>IFERROR(INDEX(PP_Grid[#Data],$DE1512,49),0)</f>
        <v/>
      </c>
      <c r="BA1512">
        <f>IFERROR(INDEX(PP_Grid[#Data],$DE1512,50),0)</f>
        <v/>
      </c>
      <c r="BB1512">
        <f>IFERROR(INDEX(PP_Grid[#Data],$DE1512,51),0)</f>
        <v/>
      </c>
      <c r="BC1512">
        <f>IFERROR(INDEX(PP_Grid[#Data],$DE1512,52),0)</f>
        <v/>
      </c>
      <c r="BD1512">
        <f>IFERROR(INDEX(PP_Grid[#Data],$DE1512,53),0)</f>
        <v/>
      </c>
      <c r="BE1512">
        <f>IFERROR(INDEX(PP_Grid[#Data],$DE1512,54),0)</f>
        <v/>
      </c>
      <c r="BF1512">
        <f>IFERROR(INDEX(PP_Grid[#Data],$DE1512,55),0)</f>
        <v/>
      </c>
      <c r="BG1512">
        <f>IFERROR(INDEX(PP_Grid[#Data],$DE1512,56),0)</f>
        <v/>
      </c>
      <c r="BH1512">
        <f>IFERROR(INDEX(PP_Grid[#Data],$DE1512,57),0)</f>
        <v/>
      </c>
      <c r="BI1512">
        <f>IFERROR(INDEX(PP_Grid[#Data],$DE1512,58),0)</f>
        <v/>
      </c>
      <c r="BJ1512">
        <f>IFERROR(INDEX(PP_Grid[#Data],$DE1512,59),0)</f>
        <v/>
      </c>
      <c r="BK1512">
        <f>IFERROR(INDEX(PP_Grid[#Data],$DE1512,60),0)</f>
        <v/>
      </c>
      <c r="BL1512">
        <f>IFERROR(INDEX(PP_Grid[#Data],$DE1512,61),0)</f>
        <v/>
      </c>
      <c r="BM1512">
        <f>IFERROR(INDEX(PP_Grid[#Data],$DE1512,62),0)</f>
        <v/>
      </c>
      <c r="BN1512">
        <f>IFERROR(INDEX(PP_Grid[#Data],$DE1512,63),0)</f>
        <v/>
      </c>
      <c r="BO1512">
        <f>IFERROR(INDEX(PP_Grid[#Data],$DE1512,64),0)</f>
        <v/>
      </c>
      <c r="BP1512">
        <f>IFERROR(INDEX(PP_Grid[#Data],$DE1512,65),0)</f>
        <v/>
      </c>
      <c r="BQ1512">
        <f>IFERROR(INDEX(PP_Grid[#Data],$DE1512,66),0)</f>
        <v/>
      </c>
      <c r="BR1512">
        <f>IFERROR(INDEX(PP_Grid[#Data],$DE1512,67),0)</f>
        <v/>
      </c>
      <c r="BS1512">
        <f>IFERROR(INDEX(PP_Grid[#Data],$DE1512,68),0)</f>
        <v/>
      </c>
      <c r="BT1512">
        <f>IFERROR(INDEX(PP_Grid[#Data],$DE1512,69),0)</f>
        <v/>
      </c>
      <c r="BU1512">
        <f>IFERROR(INDEX(PP_Grid[#Data],$DE1512,70),0)</f>
        <v/>
      </c>
      <c r="BV1512">
        <f>IFERROR(INDEX(PP_Grid[#Data],$DE1512,71),0)</f>
        <v/>
      </c>
      <c r="BW1512">
        <f>IFERROR(INDEX(PP_Grid[#Data],$DE1512,72),0)</f>
        <v/>
      </c>
      <c r="BX1512">
        <f>IFERROR(INDEX(PP_Grid[#Data],$DE1512,73),0)</f>
        <v/>
      </c>
      <c r="BY1512">
        <f>IFERROR(INDEX(PP_Grid[#Data],$DE1512,74),0)</f>
        <v/>
      </c>
      <c r="BZ1512">
        <f>IFERROR(INDEX(PP_Grid[#Data],$DE1512,75),0)</f>
        <v/>
      </c>
      <c r="CA1512">
        <f>IFERROR(INDEX(PP_Grid[#Data],$DE1512,76),0)</f>
        <v/>
      </c>
      <c r="CB1512">
        <f>IFERROR(INDEX(PP_Grid[#Data],$DE1512,77),0)</f>
        <v/>
      </c>
      <c r="CC1512">
        <f>IFERROR(INDEX(PP_Grid[#Data],$DE1512,78),0)</f>
        <v/>
      </c>
      <c r="CD1512">
        <f>IFERROR(INDEX(PP_Grid[#Data],$DE1512,79),0)</f>
        <v/>
      </c>
      <c r="CE1512">
        <f>IFERROR(INDEX(PP_Grid[#Data],$DE1512,80),0)</f>
        <v/>
      </c>
      <c r="CF1512">
        <f>IFERROR(INDEX(PP_Grid[#Data],$DE1512,81),0)</f>
        <v/>
      </c>
      <c r="CG1512">
        <f>IFERROR(INDEX(PP_Grid[#Data],$DE1512,82),0)</f>
        <v/>
      </c>
      <c r="CH1512">
        <f>IFERROR(INDEX(PP_Grid[#Data],$DE1512,83),0)</f>
        <v/>
      </c>
      <c r="CI1512">
        <f>IFERROR(INDEX(PP_Grid[#Data],$DE1512,84),0)</f>
        <v/>
      </c>
      <c r="CJ1512">
        <f>IFERROR(INDEX(PP_Grid[#Data],$DE1512,85),0)</f>
        <v/>
      </c>
      <c r="CK1512">
        <f>IFERROR(INDEX(PP_Grid[#Data],$DE1512,86),0)</f>
        <v/>
      </c>
      <c r="CL1512">
        <f>IFERROR(INDEX(PP_Grid[#Data],$DE1512,87),0)</f>
        <v/>
      </c>
      <c r="CM1512">
        <f>IFERROR(INDEX(PP_Grid[#Data],$DE1512,88),0)</f>
        <v/>
      </c>
      <c r="CN1512">
        <f>IFERROR(INDEX(PP_Grid[#Data],$DE1512,89),0)</f>
        <v/>
      </c>
      <c r="CO1512">
        <f>IFERROR(INDEX(PP_Grid[#Data],$DE1512,90),0)</f>
        <v/>
      </c>
      <c r="CP1512">
        <f>IFERROR(INDEX(PP_Grid[#Data],$DE1512,91),0)</f>
        <v/>
      </c>
      <c r="CQ1512">
        <f>IFERROR(INDEX(PP_Grid[#Data],$DE1512,92),0)</f>
        <v/>
      </c>
      <c r="CR1512">
        <f>IFERROR(INDEX(PP_Grid[#Data],$DE1512,93),0)</f>
        <v/>
      </c>
      <c r="CS1512">
        <f>IFERROR(INDEX(PP_Grid[#Data],$DE1512,94),0)</f>
        <v/>
      </c>
      <c r="CT1512">
        <f>IFERROR(INDEX(PP_Grid[#Data],$DE1512,95),0)</f>
        <v/>
      </c>
      <c r="CU1512">
        <f>IFERROR(INDEX(PP_Grid[#Data],$DE1512,96),0)</f>
        <v/>
      </c>
      <c r="CV1512">
        <f>IFERROR(INDEX(PP_Grid[#Data],$DE1512,97),0)</f>
        <v/>
      </c>
      <c r="CW1512">
        <f>IFERROR(INDEX(PP_Grid[#Data],$DE1512,98),0)</f>
        <v/>
      </c>
      <c r="CX1512">
        <f>IFERROR(INDEX(PP_Grid[#Data],$DE1512,99),0)</f>
        <v/>
      </c>
      <c r="CY1512">
        <f>IFERROR(INDEX(PP_Grid[#Data],$DE1512,100),0)</f>
        <v/>
      </c>
      <c r="CZ1512">
        <f>IFERROR(INDEX(PP_Grid[#Data],$DE1512,101),0)</f>
        <v/>
      </c>
      <c r="DA1512">
        <f>IFERROR(INDEX(PP_Grid[#Data],$DE1512,102),0)</f>
        <v/>
      </c>
      <c r="DB1512">
        <f>IFERROR(INDEX(PP_Grid[#Data],$DE1512,103),0)</f>
        <v/>
      </c>
      <c r="DC1512">
        <f>IFERROR(INDEX(PP_Grid[#Data],$DE1512,104),0)</f>
        <v/>
      </c>
      <c r="DD1512">
        <f>IFERROR(INDEX(PP_Grid[#Data],$DE1512,105),0)</f>
        <v/>
      </c>
      <c r="DE1512" s="7">
        <f>IFERROR(MATCH($B1512,PP_Grid[Intermediate],0),99999)</f>
        <v/>
      </c>
    </row>
    <row r="1513">
      <c r="B1513" t="inlineStr">
        <is>
          <t>使用量(kg)</t>
        </is>
      </c>
      <c r="C1513">
        <f>SUMIFS(M_BOM[RM_Qty_Per_Batch],M_BOM[Intermediate],$B1512,M_BOM[RM_Code],$A1501)</f>
        <v/>
      </c>
      <c r="D1513">
        <f>IFERROR(INDEX(E1513:DD1513,$F$1),"")</f>
        <v/>
      </c>
      <c r="E1513">
        <f>$C1513*E1512</f>
        <v/>
      </c>
      <c r="F1513">
        <f>$C1513*F1512</f>
        <v/>
      </c>
      <c r="G1513">
        <f>$C1513*G1512</f>
        <v/>
      </c>
      <c r="H1513">
        <f>$C1513*H1512</f>
        <v/>
      </c>
      <c r="I1513">
        <f>$C1513*I1512</f>
        <v/>
      </c>
      <c r="J1513">
        <f>$C1513*J1512</f>
        <v/>
      </c>
      <c r="K1513">
        <f>$C1513*K1512</f>
        <v/>
      </c>
      <c r="L1513">
        <f>$C1513*L1512</f>
        <v/>
      </c>
      <c r="M1513">
        <f>$C1513*M1512</f>
        <v/>
      </c>
      <c r="N1513">
        <f>$C1513*N1512</f>
        <v/>
      </c>
      <c r="O1513">
        <f>$C1513*O1512</f>
        <v/>
      </c>
      <c r="P1513">
        <f>$C1513*P1512</f>
        <v/>
      </c>
      <c r="Q1513">
        <f>$C1513*Q1512</f>
        <v/>
      </c>
      <c r="R1513">
        <f>$C1513*R1512</f>
        <v/>
      </c>
      <c r="S1513">
        <f>$C1513*S1512</f>
        <v/>
      </c>
      <c r="T1513">
        <f>$C1513*T1512</f>
        <v/>
      </c>
      <c r="U1513">
        <f>$C1513*U1512</f>
        <v/>
      </c>
      <c r="V1513">
        <f>$C1513*V1512</f>
        <v/>
      </c>
      <c r="W1513">
        <f>$C1513*W1512</f>
        <v/>
      </c>
      <c r="X1513">
        <f>$C1513*X1512</f>
        <v/>
      </c>
      <c r="Y1513">
        <f>$C1513*Y1512</f>
        <v/>
      </c>
      <c r="Z1513">
        <f>$C1513*Z1512</f>
        <v/>
      </c>
      <c r="AA1513">
        <f>$C1513*AA1512</f>
        <v/>
      </c>
      <c r="AB1513">
        <f>$C1513*AB1512</f>
        <v/>
      </c>
      <c r="AC1513">
        <f>$C1513*AC1512</f>
        <v/>
      </c>
      <c r="AD1513">
        <f>$C1513*AD1512</f>
        <v/>
      </c>
      <c r="AE1513">
        <f>$C1513*AE1512</f>
        <v/>
      </c>
      <c r="AF1513">
        <f>$C1513*AF1512</f>
        <v/>
      </c>
      <c r="AG1513">
        <f>$C1513*AG1512</f>
        <v/>
      </c>
      <c r="AH1513">
        <f>$C1513*AH1512</f>
        <v/>
      </c>
      <c r="AI1513">
        <f>$C1513*AI1512</f>
        <v/>
      </c>
      <c r="AJ1513">
        <f>$C1513*AJ1512</f>
        <v/>
      </c>
      <c r="AK1513">
        <f>$C1513*AK1512</f>
        <v/>
      </c>
      <c r="AL1513">
        <f>$C1513*AL1512</f>
        <v/>
      </c>
      <c r="AM1513">
        <f>$C1513*AM1512</f>
        <v/>
      </c>
      <c r="AN1513">
        <f>$C1513*AN1512</f>
        <v/>
      </c>
      <c r="AO1513">
        <f>$C1513*AO1512</f>
        <v/>
      </c>
      <c r="AP1513">
        <f>$C1513*AP1512</f>
        <v/>
      </c>
      <c r="AQ1513">
        <f>$C1513*AQ1512</f>
        <v/>
      </c>
      <c r="AR1513">
        <f>$C1513*AR1512</f>
        <v/>
      </c>
      <c r="AS1513">
        <f>$C1513*AS1512</f>
        <v/>
      </c>
      <c r="AT1513">
        <f>$C1513*AT1512</f>
        <v/>
      </c>
      <c r="AU1513">
        <f>$C1513*AU1512</f>
        <v/>
      </c>
      <c r="AV1513">
        <f>$C1513*AV1512</f>
        <v/>
      </c>
      <c r="AW1513">
        <f>$C1513*AW1512</f>
        <v/>
      </c>
      <c r="AX1513">
        <f>$C1513*AX1512</f>
        <v/>
      </c>
      <c r="AY1513">
        <f>$C1513*AY1512</f>
        <v/>
      </c>
      <c r="AZ1513">
        <f>$C1513*AZ1512</f>
        <v/>
      </c>
      <c r="BA1513">
        <f>$C1513*BA1512</f>
        <v/>
      </c>
      <c r="BB1513">
        <f>$C1513*BB1512</f>
        <v/>
      </c>
      <c r="BC1513">
        <f>$C1513*BC1512</f>
        <v/>
      </c>
      <c r="BD1513">
        <f>$C1513*BD1512</f>
        <v/>
      </c>
      <c r="BE1513">
        <f>$C1513*BE1512</f>
        <v/>
      </c>
      <c r="BF1513">
        <f>$C1513*BF1512</f>
        <v/>
      </c>
      <c r="BG1513">
        <f>$C1513*BG1512</f>
        <v/>
      </c>
      <c r="BH1513">
        <f>$C1513*BH1512</f>
        <v/>
      </c>
      <c r="BI1513">
        <f>$C1513*BI1512</f>
        <v/>
      </c>
      <c r="BJ1513">
        <f>$C1513*BJ1512</f>
        <v/>
      </c>
      <c r="BK1513">
        <f>$C1513*BK1512</f>
        <v/>
      </c>
      <c r="BL1513">
        <f>$C1513*BL1512</f>
        <v/>
      </c>
      <c r="BM1513">
        <f>$C1513*BM1512</f>
        <v/>
      </c>
      <c r="BN1513">
        <f>$C1513*BN1512</f>
        <v/>
      </c>
      <c r="BO1513">
        <f>$C1513*BO1512</f>
        <v/>
      </c>
      <c r="BP1513">
        <f>$C1513*BP1512</f>
        <v/>
      </c>
      <c r="BQ1513">
        <f>$C1513*BQ1512</f>
        <v/>
      </c>
      <c r="BR1513">
        <f>$C1513*BR1512</f>
        <v/>
      </c>
      <c r="BS1513">
        <f>$C1513*BS1512</f>
        <v/>
      </c>
      <c r="BT1513">
        <f>$C1513*BT1512</f>
        <v/>
      </c>
      <c r="BU1513">
        <f>$C1513*BU1512</f>
        <v/>
      </c>
      <c r="BV1513">
        <f>$C1513*BV1512</f>
        <v/>
      </c>
      <c r="BW1513">
        <f>$C1513*BW1512</f>
        <v/>
      </c>
      <c r="BX1513">
        <f>$C1513*BX1512</f>
        <v/>
      </c>
      <c r="BY1513">
        <f>$C1513*BY1512</f>
        <v/>
      </c>
      <c r="BZ1513">
        <f>$C1513*BZ1512</f>
        <v/>
      </c>
      <c r="CA1513">
        <f>$C1513*CA1512</f>
        <v/>
      </c>
      <c r="CB1513">
        <f>$C1513*CB1512</f>
        <v/>
      </c>
      <c r="CC1513">
        <f>$C1513*CC1512</f>
        <v/>
      </c>
      <c r="CD1513">
        <f>$C1513*CD1512</f>
        <v/>
      </c>
      <c r="CE1513">
        <f>$C1513*CE1512</f>
        <v/>
      </c>
      <c r="CF1513">
        <f>$C1513*CF1512</f>
        <v/>
      </c>
      <c r="CG1513">
        <f>$C1513*CG1512</f>
        <v/>
      </c>
      <c r="CH1513">
        <f>$C1513*CH1512</f>
        <v/>
      </c>
      <c r="CI1513">
        <f>$C1513*CI1512</f>
        <v/>
      </c>
      <c r="CJ1513">
        <f>$C1513*CJ1512</f>
        <v/>
      </c>
      <c r="CK1513">
        <f>$C1513*CK1512</f>
        <v/>
      </c>
      <c r="CL1513">
        <f>$C1513*CL1512</f>
        <v/>
      </c>
      <c r="CM1513">
        <f>$C1513*CM1512</f>
        <v/>
      </c>
      <c r="CN1513">
        <f>$C1513*CN1512</f>
        <v/>
      </c>
      <c r="CO1513">
        <f>$C1513*CO1512</f>
        <v/>
      </c>
      <c r="CP1513">
        <f>$C1513*CP1512</f>
        <v/>
      </c>
      <c r="CQ1513">
        <f>$C1513*CQ1512</f>
        <v/>
      </c>
      <c r="CR1513">
        <f>$C1513*CR1512</f>
        <v/>
      </c>
      <c r="CS1513">
        <f>$C1513*CS1512</f>
        <v/>
      </c>
      <c r="CT1513">
        <f>$C1513*CT1512</f>
        <v/>
      </c>
      <c r="CU1513">
        <f>$C1513*CU1512</f>
        <v/>
      </c>
      <c r="CV1513">
        <f>$C1513*CV1512</f>
        <v/>
      </c>
      <c r="CW1513">
        <f>$C1513*CW1512</f>
        <v/>
      </c>
      <c r="CX1513">
        <f>$C1513*CX1512</f>
        <v/>
      </c>
      <c r="CY1513">
        <f>$C1513*CY1512</f>
        <v/>
      </c>
      <c r="CZ1513">
        <f>$C1513*CZ1512</f>
        <v/>
      </c>
      <c r="DA1513">
        <f>$C1513*DA1512</f>
        <v/>
      </c>
      <c r="DB1513">
        <f>$C1513*DB1512</f>
        <v/>
      </c>
      <c r="DC1513">
        <f>$C1513*DC1512</f>
        <v/>
      </c>
      <c r="DD1513">
        <f>$C1513*DD1512</f>
        <v/>
      </c>
    </row>
    <row r="1514">
      <c r="B1514" t="inlineStr">
        <is>
          <t>TSP-936</t>
        </is>
      </c>
      <c r="C1514" t="inlineStr">
        <is>
          <t>No. of batches</t>
        </is>
      </c>
      <c r="D1514">
        <f>IFERROR(INDEX(E1514:DD1514,$F$1),"")</f>
        <v/>
      </c>
      <c r="E1514">
        <f>IFERROR(INDEX(PP_Grid[#Data],$DE1514,2),0)</f>
        <v/>
      </c>
      <c r="F1514">
        <f>IFERROR(INDEX(PP_Grid[#Data],$DE1514,3),0)</f>
        <v/>
      </c>
      <c r="G1514">
        <f>IFERROR(INDEX(PP_Grid[#Data],$DE1514,4),0)</f>
        <v/>
      </c>
      <c r="H1514">
        <f>IFERROR(INDEX(PP_Grid[#Data],$DE1514,5),0)</f>
        <v/>
      </c>
      <c r="I1514">
        <f>IFERROR(INDEX(PP_Grid[#Data],$DE1514,6),0)</f>
        <v/>
      </c>
      <c r="J1514">
        <f>IFERROR(INDEX(PP_Grid[#Data],$DE1514,7),0)</f>
        <v/>
      </c>
      <c r="K1514">
        <f>IFERROR(INDEX(PP_Grid[#Data],$DE1514,8),0)</f>
        <v/>
      </c>
      <c r="L1514">
        <f>IFERROR(INDEX(PP_Grid[#Data],$DE1514,9),0)</f>
        <v/>
      </c>
      <c r="M1514">
        <f>IFERROR(INDEX(PP_Grid[#Data],$DE1514,10),0)</f>
        <v/>
      </c>
      <c r="N1514">
        <f>IFERROR(INDEX(PP_Grid[#Data],$DE1514,11),0)</f>
        <v/>
      </c>
      <c r="O1514">
        <f>IFERROR(INDEX(PP_Grid[#Data],$DE1514,12),0)</f>
        <v/>
      </c>
      <c r="P1514">
        <f>IFERROR(INDEX(PP_Grid[#Data],$DE1514,13),0)</f>
        <v/>
      </c>
      <c r="Q1514">
        <f>IFERROR(INDEX(PP_Grid[#Data],$DE1514,14),0)</f>
        <v/>
      </c>
      <c r="R1514">
        <f>IFERROR(INDEX(PP_Grid[#Data],$DE1514,15),0)</f>
        <v/>
      </c>
      <c r="S1514">
        <f>IFERROR(INDEX(PP_Grid[#Data],$DE1514,16),0)</f>
        <v/>
      </c>
      <c r="T1514">
        <f>IFERROR(INDEX(PP_Grid[#Data],$DE1514,17),0)</f>
        <v/>
      </c>
      <c r="U1514">
        <f>IFERROR(INDEX(PP_Grid[#Data],$DE1514,18),0)</f>
        <v/>
      </c>
      <c r="V1514">
        <f>IFERROR(INDEX(PP_Grid[#Data],$DE1514,19),0)</f>
        <v/>
      </c>
      <c r="W1514">
        <f>IFERROR(INDEX(PP_Grid[#Data],$DE1514,20),0)</f>
        <v/>
      </c>
      <c r="X1514">
        <f>IFERROR(INDEX(PP_Grid[#Data],$DE1514,21),0)</f>
        <v/>
      </c>
      <c r="Y1514">
        <f>IFERROR(INDEX(PP_Grid[#Data],$DE1514,22),0)</f>
        <v/>
      </c>
      <c r="Z1514">
        <f>IFERROR(INDEX(PP_Grid[#Data],$DE1514,23),0)</f>
        <v/>
      </c>
      <c r="AA1514">
        <f>IFERROR(INDEX(PP_Grid[#Data],$DE1514,24),0)</f>
        <v/>
      </c>
      <c r="AB1514">
        <f>IFERROR(INDEX(PP_Grid[#Data],$DE1514,25),0)</f>
        <v/>
      </c>
      <c r="AC1514">
        <f>IFERROR(INDEX(PP_Grid[#Data],$DE1514,26),0)</f>
        <v/>
      </c>
      <c r="AD1514">
        <f>IFERROR(INDEX(PP_Grid[#Data],$DE1514,27),0)</f>
        <v/>
      </c>
      <c r="AE1514">
        <f>IFERROR(INDEX(PP_Grid[#Data],$DE1514,28),0)</f>
        <v/>
      </c>
      <c r="AF1514">
        <f>IFERROR(INDEX(PP_Grid[#Data],$DE1514,29),0)</f>
        <v/>
      </c>
      <c r="AG1514">
        <f>IFERROR(INDEX(PP_Grid[#Data],$DE1514,30),0)</f>
        <v/>
      </c>
      <c r="AH1514">
        <f>IFERROR(INDEX(PP_Grid[#Data],$DE1514,31),0)</f>
        <v/>
      </c>
      <c r="AI1514">
        <f>IFERROR(INDEX(PP_Grid[#Data],$DE1514,32),0)</f>
        <v/>
      </c>
      <c r="AJ1514">
        <f>IFERROR(INDEX(PP_Grid[#Data],$DE1514,33),0)</f>
        <v/>
      </c>
      <c r="AK1514">
        <f>IFERROR(INDEX(PP_Grid[#Data],$DE1514,34),0)</f>
        <v/>
      </c>
      <c r="AL1514">
        <f>IFERROR(INDEX(PP_Grid[#Data],$DE1514,35),0)</f>
        <v/>
      </c>
      <c r="AM1514">
        <f>IFERROR(INDEX(PP_Grid[#Data],$DE1514,36),0)</f>
        <v/>
      </c>
      <c r="AN1514">
        <f>IFERROR(INDEX(PP_Grid[#Data],$DE1514,37),0)</f>
        <v/>
      </c>
      <c r="AO1514">
        <f>IFERROR(INDEX(PP_Grid[#Data],$DE1514,38),0)</f>
        <v/>
      </c>
      <c r="AP1514">
        <f>IFERROR(INDEX(PP_Grid[#Data],$DE1514,39),0)</f>
        <v/>
      </c>
      <c r="AQ1514">
        <f>IFERROR(INDEX(PP_Grid[#Data],$DE1514,40),0)</f>
        <v/>
      </c>
      <c r="AR1514">
        <f>IFERROR(INDEX(PP_Grid[#Data],$DE1514,41),0)</f>
        <v/>
      </c>
      <c r="AS1514">
        <f>IFERROR(INDEX(PP_Grid[#Data],$DE1514,42),0)</f>
        <v/>
      </c>
      <c r="AT1514">
        <f>IFERROR(INDEX(PP_Grid[#Data],$DE1514,43),0)</f>
        <v/>
      </c>
      <c r="AU1514">
        <f>IFERROR(INDEX(PP_Grid[#Data],$DE1514,44),0)</f>
        <v/>
      </c>
      <c r="AV1514">
        <f>IFERROR(INDEX(PP_Grid[#Data],$DE1514,45),0)</f>
        <v/>
      </c>
      <c r="AW1514">
        <f>IFERROR(INDEX(PP_Grid[#Data],$DE1514,46),0)</f>
        <v/>
      </c>
      <c r="AX1514">
        <f>IFERROR(INDEX(PP_Grid[#Data],$DE1514,47),0)</f>
        <v/>
      </c>
      <c r="AY1514">
        <f>IFERROR(INDEX(PP_Grid[#Data],$DE1514,48),0)</f>
        <v/>
      </c>
      <c r="AZ1514">
        <f>IFERROR(INDEX(PP_Grid[#Data],$DE1514,49),0)</f>
        <v/>
      </c>
      <c r="BA1514">
        <f>IFERROR(INDEX(PP_Grid[#Data],$DE1514,50),0)</f>
        <v/>
      </c>
      <c r="BB1514">
        <f>IFERROR(INDEX(PP_Grid[#Data],$DE1514,51),0)</f>
        <v/>
      </c>
      <c r="BC1514">
        <f>IFERROR(INDEX(PP_Grid[#Data],$DE1514,52),0)</f>
        <v/>
      </c>
      <c r="BD1514">
        <f>IFERROR(INDEX(PP_Grid[#Data],$DE1514,53),0)</f>
        <v/>
      </c>
      <c r="BE1514">
        <f>IFERROR(INDEX(PP_Grid[#Data],$DE1514,54),0)</f>
        <v/>
      </c>
      <c r="BF1514">
        <f>IFERROR(INDEX(PP_Grid[#Data],$DE1514,55),0)</f>
        <v/>
      </c>
      <c r="BG1514">
        <f>IFERROR(INDEX(PP_Grid[#Data],$DE1514,56),0)</f>
        <v/>
      </c>
      <c r="BH1514">
        <f>IFERROR(INDEX(PP_Grid[#Data],$DE1514,57),0)</f>
        <v/>
      </c>
      <c r="BI1514">
        <f>IFERROR(INDEX(PP_Grid[#Data],$DE1514,58),0)</f>
        <v/>
      </c>
      <c r="BJ1514">
        <f>IFERROR(INDEX(PP_Grid[#Data],$DE1514,59),0)</f>
        <v/>
      </c>
      <c r="BK1514">
        <f>IFERROR(INDEX(PP_Grid[#Data],$DE1514,60),0)</f>
        <v/>
      </c>
      <c r="BL1514">
        <f>IFERROR(INDEX(PP_Grid[#Data],$DE1514,61),0)</f>
        <v/>
      </c>
      <c r="BM1514">
        <f>IFERROR(INDEX(PP_Grid[#Data],$DE1514,62),0)</f>
        <v/>
      </c>
      <c r="BN1514">
        <f>IFERROR(INDEX(PP_Grid[#Data],$DE1514,63),0)</f>
        <v/>
      </c>
      <c r="BO1514">
        <f>IFERROR(INDEX(PP_Grid[#Data],$DE1514,64),0)</f>
        <v/>
      </c>
      <c r="BP1514">
        <f>IFERROR(INDEX(PP_Grid[#Data],$DE1514,65),0)</f>
        <v/>
      </c>
      <c r="BQ1514">
        <f>IFERROR(INDEX(PP_Grid[#Data],$DE1514,66),0)</f>
        <v/>
      </c>
      <c r="BR1514">
        <f>IFERROR(INDEX(PP_Grid[#Data],$DE1514,67),0)</f>
        <v/>
      </c>
      <c r="BS1514">
        <f>IFERROR(INDEX(PP_Grid[#Data],$DE1514,68),0)</f>
        <v/>
      </c>
      <c r="BT1514">
        <f>IFERROR(INDEX(PP_Grid[#Data],$DE1514,69),0)</f>
        <v/>
      </c>
      <c r="BU1514">
        <f>IFERROR(INDEX(PP_Grid[#Data],$DE1514,70),0)</f>
        <v/>
      </c>
      <c r="BV1514">
        <f>IFERROR(INDEX(PP_Grid[#Data],$DE1514,71),0)</f>
        <v/>
      </c>
      <c r="BW1514">
        <f>IFERROR(INDEX(PP_Grid[#Data],$DE1514,72),0)</f>
        <v/>
      </c>
      <c r="BX1514">
        <f>IFERROR(INDEX(PP_Grid[#Data],$DE1514,73),0)</f>
        <v/>
      </c>
      <c r="BY1514">
        <f>IFERROR(INDEX(PP_Grid[#Data],$DE1514,74),0)</f>
        <v/>
      </c>
      <c r="BZ1514">
        <f>IFERROR(INDEX(PP_Grid[#Data],$DE1514,75),0)</f>
        <v/>
      </c>
      <c r="CA1514">
        <f>IFERROR(INDEX(PP_Grid[#Data],$DE1514,76),0)</f>
        <v/>
      </c>
      <c r="CB1514">
        <f>IFERROR(INDEX(PP_Grid[#Data],$DE1514,77),0)</f>
        <v/>
      </c>
      <c r="CC1514">
        <f>IFERROR(INDEX(PP_Grid[#Data],$DE1514,78),0)</f>
        <v/>
      </c>
      <c r="CD1514">
        <f>IFERROR(INDEX(PP_Grid[#Data],$DE1514,79),0)</f>
        <v/>
      </c>
      <c r="CE1514">
        <f>IFERROR(INDEX(PP_Grid[#Data],$DE1514,80),0)</f>
        <v/>
      </c>
      <c r="CF1514">
        <f>IFERROR(INDEX(PP_Grid[#Data],$DE1514,81),0)</f>
        <v/>
      </c>
      <c r="CG1514">
        <f>IFERROR(INDEX(PP_Grid[#Data],$DE1514,82),0)</f>
        <v/>
      </c>
      <c r="CH1514">
        <f>IFERROR(INDEX(PP_Grid[#Data],$DE1514,83),0)</f>
        <v/>
      </c>
      <c r="CI1514">
        <f>IFERROR(INDEX(PP_Grid[#Data],$DE1514,84),0)</f>
        <v/>
      </c>
      <c r="CJ1514">
        <f>IFERROR(INDEX(PP_Grid[#Data],$DE1514,85),0)</f>
        <v/>
      </c>
      <c r="CK1514">
        <f>IFERROR(INDEX(PP_Grid[#Data],$DE1514,86),0)</f>
        <v/>
      </c>
      <c r="CL1514">
        <f>IFERROR(INDEX(PP_Grid[#Data],$DE1514,87),0)</f>
        <v/>
      </c>
      <c r="CM1514">
        <f>IFERROR(INDEX(PP_Grid[#Data],$DE1514,88),0)</f>
        <v/>
      </c>
      <c r="CN1514">
        <f>IFERROR(INDEX(PP_Grid[#Data],$DE1514,89),0)</f>
        <v/>
      </c>
      <c r="CO1514">
        <f>IFERROR(INDEX(PP_Grid[#Data],$DE1514,90),0)</f>
        <v/>
      </c>
      <c r="CP1514">
        <f>IFERROR(INDEX(PP_Grid[#Data],$DE1514,91),0)</f>
        <v/>
      </c>
      <c r="CQ1514">
        <f>IFERROR(INDEX(PP_Grid[#Data],$DE1514,92),0)</f>
        <v/>
      </c>
      <c r="CR1514">
        <f>IFERROR(INDEX(PP_Grid[#Data],$DE1514,93),0)</f>
        <v/>
      </c>
      <c r="CS1514">
        <f>IFERROR(INDEX(PP_Grid[#Data],$DE1514,94),0)</f>
        <v/>
      </c>
      <c r="CT1514">
        <f>IFERROR(INDEX(PP_Grid[#Data],$DE1514,95),0)</f>
        <v/>
      </c>
      <c r="CU1514">
        <f>IFERROR(INDEX(PP_Grid[#Data],$DE1514,96),0)</f>
        <v/>
      </c>
      <c r="CV1514">
        <f>IFERROR(INDEX(PP_Grid[#Data],$DE1514,97),0)</f>
        <v/>
      </c>
      <c r="CW1514">
        <f>IFERROR(INDEX(PP_Grid[#Data],$DE1514,98),0)</f>
        <v/>
      </c>
      <c r="CX1514">
        <f>IFERROR(INDEX(PP_Grid[#Data],$DE1514,99),0)</f>
        <v/>
      </c>
      <c r="CY1514">
        <f>IFERROR(INDEX(PP_Grid[#Data],$DE1514,100),0)</f>
        <v/>
      </c>
      <c r="CZ1514">
        <f>IFERROR(INDEX(PP_Grid[#Data],$DE1514,101),0)</f>
        <v/>
      </c>
      <c r="DA1514">
        <f>IFERROR(INDEX(PP_Grid[#Data],$DE1514,102),0)</f>
        <v/>
      </c>
      <c r="DB1514">
        <f>IFERROR(INDEX(PP_Grid[#Data],$DE1514,103),0)</f>
        <v/>
      </c>
      <c r="DC1514">
        <f>IFERROR(INDEX(PP_Grid[#Data],$DE1514,104),0)</f>
        <v/>
      </c>
      <c r="DD1514">
        <f>IFERROR(INDEX(PP_Grid[#Data],$DE1514,105),0)</f>
        <v/>
      </c>
      <c r="DE1514" s="7">
        <f>IFERROR(MATCH($B1514,PP_Grid[Intermediate],0),99999)</f>
        <v/>
      </c>
    </row>
    <row r="1515">
      <c r="B1515" t="inlineStr">
        <is>
          <t>使用量(kg)</t>
        </is>
      </c>
      <c r="C1515">
        <f>SUMIFS(M_BOM[RM_Qty_Per_Batch],M_BOM[Intermediate],$B1514,M_BOM[RM_Code],$A1501)</f>
        <v/>
      </c>
      <c r="D1515">
        <f>IFERROR(INDEX(E1515:DD1515,$F$1),"")</f>
        <v/>
      </c>
      <c r="E1515">
        <f>$C1515*E1514</f>
        <v/>
      </c>
      <c r="F1515">
        <f>$C1515*F1514</f>
        <v/>
      </c>
      <c r="G1515">
        <f>$C1515*G1514</f>
        <v/>
      </c>
      <c r="H1515">
        <f>$C1515*H1514</f>
        <v/>
      </c>
      <c r="I1515">
        <f>$C1515*I1514</f>
        <v/>
      </c>
      <c r="J1515">
        <f>$C1515*J1514</f>
        <v/>
      </c>
      <c r="K1515">
        <f>$C1515*K1514</f>
        <v/>
      </c>
      <c r="L1515">
        <f>$C1515*L1514</f>
        <v/>
      </c>
      <c r="M1515">
        <f>$C1515*M1514</f>
        <v/>
      </c>
      <c r="N1515">
        <f>$C1515*N1514</f>
        <v/>
      </c>
      <c r="O1515">
        <f>$C1515*O1514</f>
        <v/>
      </c>
      <c r="P1515">
        <f>$C1515*P1514</f>
        <v/>
      </c>
      <c r="Q1515">
        <f>$C1515*Q1514</f>
        <v/>
      </c>
      <c r="R1515">
        <f>$C1515*R1514</f>
        <v/>
      </c>
      <c r="S1515">
        <f>$C1515*S1514</f>
        <v/>
      </c>
      <c r="T1515">
        <f>$C1515*T1514</f>
        <v/>
      </c>
      <c r="U1515">
        <f>$C1515*U1514</f>
        <v/>
      </c>
      <c r="V1515">
        <f>$C1515*V1514</f>
        <v/>
      </c>
      <c r="W1515">
        <f>$C1515*W1514</f>
        <v/>
      </c>
      <c r="X1515">
        <f>$C1515*X1514</f>
        <v/>
      </c>
      <c r="Y1515">
        <f>$C1515*Y1514</f>
        <v/>
      </c>
      <c r="Z1515">
        <f>$C1515*Z1514</f>
        <v/>
      </c>
      <c r="AA1515">
        <f>$C1515*AA1514</f>
        <v/>
      </c>
      <c r="AB1515">
        <f>$C1515*AB1514</f>
        <v/>
      </c>
      <c r="AC1515">
        <f>$C1515*AC1514</f>
        <v/>
      </c>
      <c r="AD1515">
        <f>$C1515*AD1514</f>
        <v/>
      </c>
      <c r="AE1515">
        <f>$C1515*AE1514</f>
        <v/>
      </c>
      <c r="AF1515">
        <f>$C1515*AF1514</f>
        <v/>
      </c>
      <c r="AG1515">
        <f>$C1515*AG1514</f>
        <v/>
      </c>
      <c r="AH1515">
        <f>$C1515*AH1514</f>
        <v/>
      </c>
      <c r="AI1515">
        <f>$C1515*AI1514</f>
        <v/>
      </c>
      <c r="AJ1515">
        <f>$C1515*AJ1514</f>
        <v/>
      </c>
      <c r="AK1515">
        <f>$C1515*AK1514</f>
        <v/>
      </c>
      <c r="AL1515">
        <f>$C1515*AL1514</f>
        <v/>
      </c>
      <c r="AM1515">
        <f>$C1515*AM1514</f>
        <v/>
      </c>
      <c r="AN1515">
        <f>$C1515*AN1514</f>
        <v/>
      </c>
      <c r="AO1515">
        <f>$C1515*AO1514</f>
        <v/>
      </c>
      <c r="AP1515">
        <f>$C1515*AP1514</f>
        <v/>
      </c>
      <c r="AQ1515">
        <f>$C1515*AQ1514</f>
        <v/>
      </c>
      <c r="AR1515">
        <f>$C1515*AR1514</f>
        <v/>
      </c>
      <c r="AS1515">
        <f>$C1515*AS1514</f>
        <v/>
      </c>
      <c r="AT1515">
        <f>$C1515*AT1514</f>
        <v/>
      </c>
      <c r="AU1515">
        <f>$C1515*AU1514</f>
        <v/>
      </c>
      <c r="AV1515">
        <f>$C1515*AV1514</f>
        <v/>
      </c>
      <c r="AW1515">
        <f>$C1515*AW1514</f>
        <v/>
      </c>
      <c r="AX1515">
        <f>$C1515*AX1514</f>
        <v/>
      </c>
      <c r="AY1515">
        <f>$C1515*AY1514</f>
        <v/>
      </c>
      <c r="AZ1515">
        <f>$C1515*AZ1514</f>
        <v/>
      </c>
      <c r="BA1515">
        <f>$C1515*BA1514</f>
        <v/>
      </c>
      <c r="BB1515">
        <f>$C1515*BB1514</f>
        <v/>
      </c>
      <c r="BC1515">
        <f>$C1515*BC1514</f>
        <v/>
      </c>
      <c r="BD1515">
        <f>$C1515*BD1514</f>
        <v/>
      </c>
      <c r="BE1515">
        <f>$C1515*BE1514</f>
        <v/>
      </c>
      <c r="BF1515">
        <f>$C1515*BF1514</f>
        <v/>
      </c>
      <c r="BG1515">
        <f>$C1515*BG1514</f>
        <v/>
      </c>
      <c r="BH1515">
        <f>$C1515*BH1514</f>
        <v/>
      </c>
      <c r="BI1515">
        <f>$C1515*BI1514</f>
        <v/>
      </c>
      <c r="BJ1515">
        <f>$C1515*BJ1514</f>
        <v/>
      </c>
      <c r="BK1515">
        <f>$C1515*BK1514</f>
        <v/>
      </c>
      <c r="BL1515">
        <f>$C1515*BL1514</f>
        <v/>
      </c>
      <c r="BM1515">
        <f>$C1515*BM1514</f>
        <v/>
      </c>
      <c r="BN1515">
        <f>$C1515*BN1514</f>
        <v/>
      </c>
      <c r="BO1515">
        <f>$C1515*BO1514</f>
        <v/>
      </c>
      <c r="BP1515">
        <f>$C1515*BP1514</f>
        <v/>
      </c>
      <c r="BQ1515">
        <f>$C1515*BQ1514</f>
        <v/>
      </c>
      <c r="BR1515">
        <f>$C1515*BR1514</f>
        <v/>
      </c>
      <c r="BS1515">
        <f>$C1515*BS1514</f>
        <v/>
      </c>
      <c r="BT1515">
        <f>$C1515*BT1514</f>
        <v/>
      </c>
      <c r="BU1515">
        <f>$C1515*BU1514</f>
        <v/>
      </c>
      <c r="BV1515">
        <f>$C1515*BV1514</f>
        <v/>
      </c>
      <c r="BW1515">
        <f>$C1515*BW1514</f>
        <v/>
      </c>
      <c r="BX1515">
        <f>$C1515*BX1514</f>
        <v/>
      </c>
      <c r="BY1515">
        <f>$C1515*BY1514</f>
        <v/>
      </c>
      <c r="BZ1515">
        <f>$C1515*BZ1514</f>
        <v/>
      </c>
      <c r="CA1515">
        <f>$C1515*CA1514</f>
        <v/>
      </c>
      <c r="CB1515">
        <f>$C1515*CB1514</f>
        <v/>
      </c>
      <c r="CC1515">
        <f>$C1515*CC1514</f>
        <v/>
      </c>
      <c r="CD1515">
        <f>$C1515*CD1514</f>
        <v/>
      </c>
      <c r="CE1515">
        <f>$C1515*CE1514</f>
        <v/>
      </c>
      <c r="CF1515">
        <f>$C1515*CF1514</f>
        <v/>
      </c>
      <c r="CG1515">
        <f>$C1515*CG1514</f>
        <v/>
      </c>
      <c r="CH1515">
        <f>$C1515*CH1514</f>
        <v/>
      </c>
      <c r="CI1515">
        <f>$C1515*CI1514</f>
        <v/>
      </c>
      <c r="CJ1515">
        <f>$C1515*CJ1514</f>
        <v/>
      </c>
      <c r="CK1515">
        <f>$C1515*CK1514</f>
        <v/>
      </c>
      <c r="CL1515">
        <f>$C1515*CL1514</f>
        <v/>
      </c>
      <c r="CM1515">
        <f>$C1515*CM1514</f>
        <v/>
      </c>
      <c r="CN1515">
        <f>$C1515*CN1514</f>
        <v/>
      </c>
      <c r="CO1515">
        <f>$C1515*CO1514</f>
        <v/>
      </c>
      <c r="CP1515">
        <f>$C1515*CP1514</f>
        <v/>
      </c>
      <c r="CQ1515">
        <f>$C1515*CQ1514</f>
        <v/>
      </c>
      <c r="CR1515">
        <f>$C1515*CR1514</f>
        <v/>
      </c>
      <c r="CS1515">
        <f>$C1515*CS1514</f>
        <v/>
      </c>
      <c r="CT1515">
        <f>$C1515*CT1514</f>
        <v/>
      </c>
      <c r="CU1515">
        <f>$C1515*CU1514</f>
        <v/>
      </c>
      <c r="CV1515">
        <f>$C1515*CV1514</f>
        <v/>
      </c>
      <c r="CW1515">
        <f>$C1515*CW1514</f>
        <v/>
      </c>
      <c r="CX1515">
        <f>$C1515*CX1514</f>
        <v/>
      </c>
      <c r="CY1515">
        <f>$C1515*CY1514</f>
        <v/>
      </c>
      <c r="CZ1515">
        <f>$C1515*CZ1514</f>
        <v/>
      </c>
      <c r="DA1515">
        <f>$C1515*DA1514</f>
        <v/>
      </c>
      <c r="DB1515">
        <f>$C1515*DB1514</f>
        <v/>
      </c>
      <c r="DC1515">
        <f>$C1515*DC1514</f>
        <v/>
      </c>
      <c r="DD1515">
        <f>$C1515*DD1514</f>
        <v/>
      </c>
    </row>
    <row r="1516">
      <c r="B1516" t="inlineStr">
        <is>
          <t>TSP-937</t>
        </is>
      </c>
      <c r="C1516" t="inlineStr">
        <is>
          <t>No. of batches</t>
        </is>
      </c>
      <c r="D1516">
        <f>IFERROR(INDEX(E1516:DD1516,$F$1),"")</f>
        <v/>
      </c>
      <c r="E1516">
        <f>IFERROR(INDEX(PP_Grid[#Data],$DE1516,2),0)</f>
        <v/>
      </c>
      <c r="F1516">
        <f>IFERROR(INDEX(PP_Grid[#Data],$DE1516,3),0)</f>
        <v/>
      </c>
      <c r="G1516">
        <f>IFERROR(INDEX(PP_Grid[#Data],$DE1516,4),0)</f>
        <v/>
      </c>
      <c r="H1516">
        <f>IFERROR(INDEX(PP_Grid[#Data],$DE1516,5),0)</f>
        <v/>
      </c>
      <c r="I1516">
        <f>IFERROR(INDEX(PP_Grid[#Data],$DE1516,6),0)</f>
        <v/>
      </c>
      <c r="J1516">
        <f>IFERROR(INDEX(PP_Grid[#Data],$DE1516,7),0)</f>
        <v/>
      </c>
      <c r="K1516">
        <f>IFERROR(INDEX(PP_Grid[#Data],$DE1516,8),0)</f>
        <v/>
      </c>
      <c r="L1516">
        <f>IFERROR(INDEX(PP_Grid[#Data],$DE1516,9),0)</f>
        <v/>
      </c>
      <c r="M1516">
        <f>IFERROR(INDEX(PP_Grid[#Data],$DE1516,10),0)</f>
        <v/>
      </c>
      <c r="N1516">
        <f>IFERROR(INDEX(PP_Grid[#Data],$DE1516,11),0)</f>
        <v/>
      </c>
      <c r="O1516">
        <f>IFERROR(INDEX(PP_Grid[#Data],$DE1516,12),0)</f>
        <v/>
      </c>
      <c r="P1516">
        <f>IFERROR(INDEX(PP_Grid[#Data],$DE1516,13),0)</f>
        <v/>
      </c>
      <c r="Q1516">
        <f>IFERROR(INDEX(PP_Grid[#Data],$DE1516,14),0)</f>
        <v/>
      </c>
      <c r="R1516">
        <f>IFERROR(INDEX(PP_Grid[#Data],$DE1516,15),0)</f>
        <v/>
      </c>
      <c r="S1516">
        <f>IFERROR(INDEX(PP_Grid[#Data],$DE1516,16),0)</f>
        <v/>
      </c>
      <c r="T1516">
        <f>IFERROR(INDEX(PP_Grid[#Data],$DE1516,17),0)</f>
        <v/>
      </c>
      <c r="U1516">
        <f>IFERROR(INDEX(PP_Grid[#Data],$DE1516,18),0)</f>
        <v/>
      </c>
      <c r="V1516">
        <f>IFERROR(INDEX(PP_Grid[#Data],$DE1516,19),0)</f>
        <v/>
      </c>
      <c r="W1516">
        <f>IFERROR(INDEX(PP_Grid[#Data],$DE1516,20),0)</f>
        <v/>
      </c>
      <c r="X1516">
        <f>IFERROR(INDEX(PP_Grid[#Data],$DE1516,21),0)</f>
        <v/>
      </c>
      <c r="Y1516">
        <f>IFERROR(INDEX(PP_Grid[#Data],$DE1516,22),0)</f>
        <v/>
      </c>
      <c r="Z1516">
        <f>IFERROR(INDEX(PP_Grid[#Data],$DE1516,23),0)</f>
        <v/>
      </c>
      <c r="AA1516">
        <f>IFERROR(INDEX(PP_Grid[#Data],$DE1516,24),0)</f>
        <v/>
      </c>
      <c r="AB1516">
        <f>IFERROR(INDEX(PP_Grid[#Data],$DE1516,25),0)</f>
        <v/>
      </c>
      <c r="AC1516">
        <f>IFERROR(INDEX(PP_Grid[#Data],$DE1516,26),0)</f>
        <v/>
      </c>
      <c r="AD1516">
        <f>IFERROR(INDEX(PP_Grid[#Data],$DE1516,27),0)</f>
        <v/>
      </c>
      <c r="AE1516">
        <f>IFERROR(INDEX(PP_Grid[#Data],$DE1516,28),0)</f>
        <v/>
      </c>
      <c r="AF1516">
        <f>IFERROR(INDEX(PP_Grid[#Data],$DE1516,29),0)</f>
        <v/>
      </c>
      <c r="AG1516">
        <f>IFERROR(INDEX(PP_Grid[#Data],$DE1516,30),0)</f>
        <v/>
      </c>
      <c r="AH1516">
        <f>IFERROR(INDEX(PP_Grid[#Data],$DE1516,31),0)</f>
        <v/>
      </c>
      <c r="AI1516">
        <f>IFERROR(INDEX(PP_Grid[#Data],$DE1516,32),0)</f>
        <v/>
      </c>
      <c r="AJ1516">
        <f>IFERROR(INDEX(PP_Grid[#Data],$DE1516,33),0)</f>
        <v/>
      </c>
      <c r="AK1516">
        <f>IFERROR(INDEX(PP_Grid[#Data],$DE1516,34),0)</f>
        <v/>
      </c>
      <c r="AL1516">
        <f>IFERROR(INDEX(PP_Grid[#Data],$DE1516,35),0)</f>
        <v/>
      </c>
      <c r="AM1516">
        <f>IFERROR(INDEX(PP_Grid[#Data],$DE1516,36),0)</f>
        <v/>
      </c>
      <c r="AN1516">
        <f>IFERROR(INDEX(PP_Grid[#Data],$DE1516,37),0)</f>
        <v/>
      </c>
      <c r="AO1516">
        <f>IFERROR(INDEX(PP_Grid[#Data],$DE1516,38),0)</f>
        <v/>
      </c>
      <c r="AP1516">
        <f>IFERROR(INDEX(PP_Grid[#Data],$DE1516,39),0)</f>
        <v/>
      </c>
      <c r="AQ1516">
        <f>IFERROR(INDEX(PP_Grid[#Data],$DE1516,40),0)</f>
        <v/>
      </c>
      <c r="AR1516">
        <f>IFERROR(INDEX(PP_Grid[#Data],$DE1516,41),0)</f>
        <v/>
      </c>
      <c r="AS1516">
        <f>IFERROR(INDEX(PP_Grid[#Data],$DE1516,42),0)</f>
        <v/>
      </c>
      <c r="AT1516">
        <f>IFERROR(INDEX(PP_Grid[#Data],$DE1516,43),0)</f>
        <v/>
      </c>
      <c r="AU1516">
        <f>IFERROR(INDEX(PP_Grid[#Data],$DE1516,44),0)</f>
        <v/>
      </c>
      <c r="AV1516">
        <f>IFERROR(INDEX(PP_Grid[#Data],$DE1516,45),0)</f>
        <v/>
      </c>
      <c r="AW1516">
        <f>IFERROR(INDEX(PP_Grid[#Data],$DE1516,46),0)</f>
        <v/>
      </c>
      <c r="AX1516">
        <f>IFERROR(INDEX(PP_Grid[#Data],$DE1516,47),0)</f>
        <v/>
      </c>
      <c r="AY1516">
        <f>IFERROR(INDEX(PP_Grid[#Data],$DE1516,48),0)</f>
        <v/>
      </c>
      <c r="AZ1516">
        <f>IFERROR(INDEX(PP_Grid[#Data],$DE1516,49),0)</f>
        <v/>
      </c>
      <c r="BA1516">
        <f>IFERROR(INDEX(PP_Grid[#Data],$DE1516,50),0)</f>
        <v/>
      </c>
      <c r="BB1516">
        <f>IFERROR(INDEX(PP_Grid[#Data],$DE1516,51),0)</f>
        <v/>
      </c>
      <c r="BC1516">
        <f>IFERROR(INDEX(PP_Grid[#Data],$DE1516,52),0)</f>
        <v/>
      </c>
      <c r="BD1516">
        <f>IFERROR(INDEX(PP_Grid[#Data],$DE1516,53),0)</f>
        <v/>
      </c>
      <c r="BE1516">
        <f>IFERROR(INDEX(PP_Grid[#Data],$DE1516,54),0)</f>
        <v/>
      </c>
      <c r="BF1516">
        <f>IFERROR(INDEX(PP_Grid[#Data],$DE1516,55),0)</f>
        <v/>
      </c>
      <c r="BG1516">
        <f>IFERROR(INDEX(PP_Grid[#Data],$DE1516,56),0)</f>
        <v/>
      </c>
      <c r="BH1516">
        <f>IFERROR(INDEX(PP_Grid[#Data],$DE1516,57),0)</f>
        <v/>
      </c>
      <c r="BI1516">
        <f>IFERROR(INDEX(PP_Grid[#Data],$DE1516,58),0)</f>
        <v/>
      </c>
      <c r="BJ1516">
        <f>IFERROR(INDEX(PP_Grid[#Data],$DE1516,59),0)</f>
        <v/>
      </c>
      <c r="BK1516">
        <f>IFERROR(INDEX(PP_Grid[#Data],$DE1516,60),0)</f>
        <v/>
      </c>
      <c r="BL1516">
        <f>IFERROR(INDEX(PP_Grid[#Data],$DE1516,61),0)</f>
        <v/>
      </c>
      <c r="BM1516">
        <f>IFERROR(INDEX(PP_Grid[#Data],$DE1516,62),0)</f>
        <v/>
      </c>
      <c r="BN1516">
        <f>IFERROR(INDEX(PP_Grid[#Data],$DE1516,63),0)</f>
        <v/>
      </c>
      <c r="BO1516">
        <f>IFERROR(INDEX(PP_Grid[#Data],$DE1516,64),0)</f>
        <v/>
      </c>
      <c r="BP1516">
        <f>IFERROR(INDEX(PP_Grid[#Data],$DE1516,65),0)</f>
        <v/>
      </c>
      <c r="BQ1516">
        <f>IFERROR(INDEX(PP_Grid[#Data],$DE1516,66),0)</f>
        <v/>
      </c>
      <c r="BR1516">
        <f>IFERROR(INDEX(PP_Grid[#Data],$DE1516,67),0)</f>
        <v/>
      </c>
      <c r="BS1516">
        <f>IFERROR(INDEX(PP_Grid[#Data],$DE1516,68),0)</f>
        <v/>
      </c>
      <c r="BT1516">
        <f>IFERROR(INDEX(PP_Grid[#Data],$DE1516,69),0)</f>
        <v/>
      </c>
      <c r="BU1516">
        <f>IFERROR(INDEX(PP_Grid[#Data],$DE1516,70),0)</f>
        <v/>
      </c>
      <c r="BV1516">
        <f>IFERROR(INDEX(PP_Grid[#Data],$DE1516,71),0)</f>
        <v/>
      </c>
      <c r="BW1516">
        <f>IFERROR(INDEX(PP_Grid[#Data],$DE1516,72),0)</f>
        <v/>
      </c>
      <c r="BX1516">
        <f>IFERROR(INDEX(PP_Grid[#Data],$DE1516,73),0)</f>
        <v/>
      </c>
      <c r="BY1516">
        <f>IFERROR(INDEX(PP_Grid[#Data],$DE1516,74),0)</f>
        <v/>
      </c>
      <c r="BZ1516">
        <f>IFERROR(INDEX(PP_Grid[#Data],$DE1516,75),0)</f>
        <v/>
      </c>
      <c r="CA1516">
        <f>IFERROR(INDEX(PP_Grid[#Data],$DE1516,76),0)</f>
        <v/>
      </c>
      <c r="CB1516">
        <f>IFERROR(INDEX(PP_Grid[#Data],$DE1516,77),0)</f>
        <v/>
      </c>
      <c r="CC1516">
        <f>IFERROR(INDEX(PP_Grid[#Data],$DE1516,78),0)</f>
        <v/>
      </c>
      <c r="CD1516">
        <f>IFERROR(INDEX(PP_Grid[#Data],$DE1516,79),0)</f>
        <v/>
      </c>
      <c r="CE1516">
        <f>IFERROR(INDEX(PP_Grid[#Data],$DE1516,80),0)</f>
        <v/>
      </c>
      <c r="CF1516">
        <f>IFERROR(INDEX(PP_Grid[#Data],$DE1516,81),0)</f>
        <v/>
      </c>
      <c r="CG1516">
        <f>IFERROR(INDEX(PP_Grid[#Data],$DE1516,82),0)</f>
        <v/>
      </c>
      <c r="CH1516">
        <f>IFERROR(INDEX(PP_Grid[#Data],$DE1516,83),0)</f>
        <v/>
      </c>
      <c r="CI1516">
        <f>IFERROR(INDEX(PP_Grid[#Data],$DE1516,84),0)</f>
        <v/>
      </c>
      <c r="CJ1516">
        <f>IFERROR(INDEX(PP_Grid[#Data],$DE1516,85),0)</f>
        <v/>
      </c>
      <c r="CK1516">
        <f>IFERROR(INDEX(PP_Grid[#Data],$DE1516,86),0)</f>
        <v/>
      </c>
      <c r="CL1516">
        <f>IFERROR(INDEX(PP_Grid[#Data],$DE1516,87),0)</f>
        <v/>
      </c>
      <c r="CM1516">
        <f>IFERROR(INDEX(PP_Grid[#Data],$DE1516,88),0)</f>
        <v/>
      </c>
      <c r="CN1516">
        <f>IFERROR(INDEX(PP_Grid[#Data],$DE1516,89),0)</f>
        <v/>
      </c>
      <c r="CO1516">
        <f>IFERROR(INDEX(PP_Grid[#Data],$DE1516,90),0)</f>
        <v/>
      </c>
      <c r="CP1516">
        <f>IFERROR(INDEX(PP_Grid[#Data],$DE1516,91),0)</f>
        <v/>
      </c>
      <c r="CQ1516">
        <f>IFERROR(INDEX(PP_Grid[#Data],$DE1516,92),0)</f>
        <v/>
      </c>
      <c r="CR1516">
        <f>IFERROR(INDEX(PP_Grid[#Data],$DE1516,93),0)</f>
        <v/>
      </c>
      <c r="CS1516">
        <f>IFERROR(INDEX(PP_Grid[#Data],$DE1516,94),0)</f>
        <v/>
      </c>
      <c r="CT1516">
        <f>IFERROR(INDEX(PP_Grid[#Data],$DE1516,95),0)</f>
        <v/>
      </c>
      <c r="CU1516">
        <f>IFERROR(INDEX(PP_Grid[#Data],$DE1516,96),0)</f>
        <v/>
      </c>
      <c r="CV1516">
        <f>IFERROR(INDEX(PP_Grid[#Data],$DE1516,97),0)</f>
        <v/>
      </c>
      <c r="CW1516">
        <f>IFERROR(INDEX(PP_Grid[#Data],$DE1516,98),0)</f>
        <v/>
      </c>
      <c r="CX1516">
        <f>IFERROR(INDEX(PP_Grid[#Data],$DE1516,99),0)</f>
        <v/>
      </c>
      <c r="CY1516">
        <f>IFERROR(INDEX(PP_Grid[#Data],$DE1516,100),0)</f>
        <v/>
      </c>
      <c r="CZ1516">
        <f>IFERROR(INDEX(PP_Grid[#Data],$DE1516,101),0)</f>
        <v/>
      </c>
      <c r="DA1516">
        <f>IFERROR(INDEX(PP_Grid[#Data],$DE1516,102),0)</f>
        <v/>
      </c>
      <c r="DB1516">
        <f>IFERROR(INDEX(PP_Grid[#Data],$DE1516,103),0)</f>
        <v/>
      </c>
      <c r="DC1516">
        <f>IFERROR(INDEX(PP_Grid[#Data],$DE1516,104),0)</f>
        <v/>
      </c>
      <c r="DD1516">
        <f>IFERROR(INDEX(PP_Grid[#Data],$DE1516,105),0)</f>
        <v/>
      </c>
      <c r="DE1516" s="7">
        <f>IFERROR(MATCH($B1516,PP_Grid[Intermediate],0),99999)</f>
        <v/>
      </c>
    </row>
    <row r="1517">
      <c r="B1517" t="inlineStr">
        <is>
          <t>使用量(kg)</t>
        </is>
      </c>
      <c r="C1517">
        <f>SUMIFS(M_BOM[RM_Qty_Per_Batch],M_BOM[Intermediate],$B1516,M_BOM[RM_Code],$A1501)</f>
        <v/>
      </c>
      <c r="D1517">
        <f>IFERROR(INDEX(E1517:DD1517,$F$1),"")</f>
        <v/>
      </c>
      <c r="E1517">
        <f>$C1517*E1516</f>
        <v/>
      </c>
      <c r="F1517">
        <f>$C1517*F1516</f>
        <v/>
      </c>
      <c r="G1517">
        <f>$C1517*G1516</f>
        <v/>
      </c>
      <c r="H1517">
        <f>$C1517*H1516</f>
        <v/>
      </c>
      <c r="I1517">
        <f>$C1517*I1516</f>
        <v/>
      </c>
      <c r="J1517">
        <f>$C1517*J1516</f>
        <v/>
      </c>
      <c r="K1517">
        <f>$C1517*K1516</f>
        <v/>
      </c>
      <c r="L1517">
        <f>$C1517*L1516</f>
        <v/>
      </c>
      <c r="M1517">
        <f>$C1517*M1516</f>
        <v/>
      </c>
      <c r="N1517">
        <f>$C1517*N1516</f>
        <v/>
      </c>
      <c r="O1517">
        <f>$C1517*O1516</f>
        <v/>
      </c>
      <c r="P1517">
        <f>$C1517*P1516</f>
        <v/>
      </c>
      <c r="Q1517">
        <f>$C1517*Q1516</f>
        <v/>
      </c>
      <c r="R1517">
        <f>$C1517*R1516</f>
        <v/>
      </c>
      <c r="S1517">
        <f>$C1517*S1516</f>
        <v/>
      </c>
      <c r="T1517">
        <f>$C1517*T1516</f>
        <v/>
      </c>
      <c r="U1517">
        <f>$C1517*U1516</f>
        <v/>
      </c>
      <c r="V1517">
        <f>$C1517*V1516</f>
        <v/>
      </c>
      <c r="W1517">
        <f>$C1517*W1516</f>
        <v/>
      </c>
      <c r="X1517">
        <f>$C1517*X1516</f>
        <v/>
      </c>
      <c r="Y1517">
        <f>$C1517*Y1516</f>
        <v/>
      </c>
      <c r="Z1517">
        <f>$C1517*Z1516</f>
        <v/>
      </c>
      <c r="AA1517">
        <f>$C1517*AA1516</f>
        <v/>
      </c>
      <c r="AB1517">
        <f>$C1517*AB1516</f>
        <v/>
      </c>
      <c r="AC1517">
        <f>$C1517*AC1516</f>
        <v/>
      </c>
      <c r="AD1517">
        <f>$C1517*AD1516</f>
        <v/>
      </c>
      <c r="AE1517">
        <f>$C1517*AE1516</f>
        <v/>
      </c>
      <c r="AF1517">
        <f>$C1517*AF1516</f>
        <v/>
      </c>
      <c r="AG1517">
        <f>$C1517*AG1516</f>
        <v/>
      </c>
      <c r="AH1517">
        <f>$C1517*AH1516</f>
        <v/>
      </c>
      <c r="AI1517">
        <f>$C1517*AI1516</f>
        <v/>
      </c>
      <c r="AJ1517">
        <f>$C1517*AJ1516</f>
        <v/>
      </c>
      <c r="AK1517">
        <f>$C1517*AK1516</f>
        <v/>
      </c>
      <c r="AL1517">
        <f>$C1517*AL1516</f>
        <v/>
      </c>
      <c r="AM1517">
        <f>$C1517*AM1516</f>
        <v/>
      </c>
      <c r="AN1517">
        <f>$C1517*AN1516</f>
        <v/>
      </c>
      <c r="AO1517">
        <f>$C1517*AO1516</f>
        <v/>
      </c>
      <c r="AP1517">
        <f>$C1517*AP1516</f>
        <v/>
      </c>
      <c r="AQ1517">
        <f>$C1517*AQ1516</f>
        <v/>
      </c>
      <c r="AR1517">
        <f>$C1517*AR1516</f>
        <v/>
      </c>
      <c r="AS1517">
        <f>$C1517*AS1516</f>
        <v/>
      </c>
      <c r="AT1517">
        <f>$C1517*AT1516</f>
        <v/>
      </c>
      <c r="AU1517">
        <f>$C1517*AU1516</f>
        <v/>
      </c>
      <c r="AV1517">
        <f>$C1517*AV1516</f>
        <v/>
      </c>
      <c r="AW1517">
        <f>$C1517*AW1516</f>
        <v/>
      </c>
      <c r="AX1517">
        <f>$C1517*AX1516</f>
        <v/>
      </c>
      <c r="AY1517">
        <f>$C1517*AY1516</f>
        <v/>
      </c>
      <c r="AZ1517">
        <f>$C1517*AZ1516</f>
        <v/>
      </c>
      <c r="BA1517">
        <f>$C1517*BA1516</f>
        <v/>
      </c>
      <c r="BB1517">
        <f>$C1517*BB1516</f>
        <v/>
      </c>
      <c r="BC1517">
        <f>$C1517*BC1516</f>
        <v/>
      </c>
      <c r="BD1517">
        <f>$C1517*BD1516</f>
        <v/>
      </c>
      <c r="BE1517">
        <f>$C1517*BE1516</f>
        <v/>
      </c>
      <c r="BF1517">
        <f>$C1517*BF1516</f>
        <v/>
      </c>
      <c r="BG1517">
        <f>$C1517*BG1516</f>
        <v/>
      </c>
      <c r="BH1517">
        <f>$C1517*BH1516</f>
        <v/>
      </c>
      <c r="BI1517">
        <f>$C1517*BI1516</f>
        <v/>
      </c>
      <c r="BJ1517">
        <f>$C1517*BJ1516</f>
        <v/>
      </c>
      <c r="BK1517">
        <f>$C1517*BK1516</f>
        <v/>
      </c>
      <c r="BL1517">
        <f>$C1517*BL1516</f>
        <v/>
      </c>
      <c r="BM1517">
        <f>$C1517*BM1516</f>
        <v/>
      </c>
      <c r="BN1517">
        <f>$C1517*BN1516</f>
        <v/>
      </c>
      <c r="BO1517">
        <f>$C1517*BO1516</f>
        <v/>
      </c>
      <c r="BP1517">
        <f>$C1517*BP1516</f>
        <v/>
      </c>
      <c r="BQ1517">
        <f>$C1517*BQ1516</f>
        <v/>
      </c>
      <c r="BR1517">
        <f>$C1517*BR1516</f>
        <v/>
      </c>
      <c r="BS1517">
        <f>$C1517*BS1516</f>
        <v/>
      </c>
      <c r="BT1517">
        <f>$C1517*BT1516</f>
        <v/>
      </c>
      <c r="BU1517">
        <f>$C1517*BU1516</f>
        <v/>
      </c>
      <c r="BV1517">
        <f>$C1517*BV1516</f>
        <v/>
      </c>
      <c r="BW1517">
        <f>$C1517*BW1516</f>
        <v/>
      </c>
      <c r="BX1517">
        <f>$C1517*BX1516</f>
        <v/>
      </c>
      <c r="BY1517">
        <f>$C1517*BY1516</f>
        <v/>
      </c>
      <c r="BZ1517">
        <f>$C1517*BZ1516</f>
        <v/>
      </c>
      <c r="CA1517">
        <f>$C1517*CA1516</f>
        <v/>
      </c>
      <c r="CB1517">
        <f>$C1517*CB1516</f>
        <v/>
      </c>
      <c r="CC1517">
        <f>$C1517*CC1516</f>
        <v/>
      </c>
      <c r="CD1517">
        <f>$C1517*CD1516</f>
        <v/>
      </c>
      <c r="CE1517">
        <f>$C1517*CE1516</f>
        <v/>
      </c>
      <c r="CF1517">
        <f>$C1517*CF1516</f>
        <v/>
      </c>
      <c r="CG1517">
        <f>$C1517*CG1516</f>
        <v/>
      </c>
      <c r="CH1517">
        <f>$C1517*CH1516</f>
        <v/>
      </c>
      <c r="CI1517">
        <f>$C1517*CI1516</f>
        <v/>
      </c>
      <c r="CJ1517">
        <f>$C1517*CJ1516</f>
        <v/>
      </c>
      <c r="CK1517">
        <f>$C1517*CK1516</f>
        <v/>
      </c>
      <c r="CL1517">
        <f>$C1517*CL1516</f>
        <v/>
      </c>
      <c r="CM1517">
        <f>$C1517*CM1516</f>
        <v/>
      </c>
      <c r="CN1517">
        <f>$C1517*CN1516</f>
        <v/>
      </c>
      <c r="CO1517">
        <f>$C1517*CO1516</f>
        <v/>
      </c>
      <c r="CP1517">
        <f>$C1517*CP1516</f>
        <v/>
      </c>
      <c r="CQ1517">
        <f>$C1517*CQ1516</f>
        <v/>
      </c>
      <c r="CR1517">
        <f>$C1517*CR1516</f>
        <v/>
      </c>
      <c r="CS1517">
        <f>$C1517*CS1516</f>
        <v/>
      </c>
      <c r="CT1517">
        <f>$C1517*CT1516</f>
        <v/>
      </c>
      <c r="CU1517">
        <f>$C1517*CU1516</f>
        <v/>
      </c>
      <c r="CV1517">
        <f>$C1517*CV1516</f>
        <v/>
      </c>
      <c r="CW1517">
        <f>$C1517*CW1516</f>
        <v/>
      </c>
      <c r="CX1517">
        <f>$C1517*CX1516</f>
        <v/>
      </c>
      <c r="CY1517">
        <f>$C1517*CY1516</f>
        <v/>
      </c>
      <c r="CZ1517">
        <f>$C1517*CZ1516</f>
        <v/>
      </c>
      <c r="DA1517">
        <f>$C1517*DA1516</f>
        <v/>
      </c>
      <c r="DB1517">
        <f>$C1517*DB1516</f>
        <v/>
      </c>
      <c r="DC1517">
        <f>$C1517*DC1516</f>
        <v/>
      </c>
      <c r="DD1517">
        <f>$C1517*DD1516</f>
        <v/>
      </c>
    </row>
    <row r="1518">
      <c r="B1518" t="inlineStr">
        <is>
          <t>TSP-1444</t>
        </is>
      </c>
      <c r="C1518" t="inlineStr">
        <is>
          <t>No. of batches</t>
        </is>
      </c>
      <c r="D1518">
        <f>IFERROR(INDEX(E1518:DD1518,$F$1),"")</f>
        <v/>
      </c>
      <c r="E1518">
        <f>IFERROR(INDEX(PP_Grid[#Data],$DE1518,2),0)</f>
        <v/>
      </c>
      <c r="F1518">
        <f>IFERROR(INDEX(PP_Grid[#Data],$DE1518,3),0)</f>
        <v/>
      </c>
      <c r="G1518">
        <f>IFERROR(INDEX(PP_Grid[#Data],$DE1518,4),0)</f>
        <v/>
      </c>
      <c r="H1518">
        <f>IFERROR(INDEX(PP_Grid[#Data],$DE1518,5),0)</f>
        <v/>
      </c>
      <c r="I1518">
        <f>IFERROR(INDEX(PP_Grid[#Data],$DE1518,6),0)</f>
        <v/>
      </c>
      <c r="J1518">
        <f>IFERROR(INDEX(PP_Grid[#Data],$DE1518,7),0)</f>
        <v/>
      </c>
      <c r="K1518">
        <f>IFERROR(INDEX(PP_Grid[#Data],$DE1518,8),0)</f>
        <v/>
      </c>
      <c r="L1518">
        <f>IFERROR(INDEX(PP_Grid[#Data],$DE1518,9),0)</f>
        <v/>
      </c>
      <c r="M1518">
        <f>IFERROR(INDEX(PP_Grid[#Data],$DE1518,10),0)</f>
        <v/>
      </c>
      <c r="N1518">
        <f>IFERROR(INDEX(PP_Grid[#Data],$DE1518,11),0)</f>
        <v/>
      </c>
      <c r="O1518">
        <f>IFERROR(INDEX(PP_Grid[#Data],$DE1518,12),0)</f>
        <v/>
      </c>
      <c r="P1518">
        <f>IFERROR(INDEX(PP_Grid[#Data],$DE1518,13),0)</f>
        <v/>
      </c>
      <c r="Q1518">
        <f>IFERROR(INDEX(PP_Grid[#Data],$DE1518,14),0)</f>
        <v/>
      </c>
      <c r="R1518">
        <f>IFERROR(INDEX(PP_Grid[#Data],$DE1518,15),0)</f>
        <v/>
      </c>
      <c r="S1518">
        <f>IFERROR(INDEX(PP_Grid[#Data],$DE1518,16),0)</f>
        <v/>
      </c>
      <c r="T1518">
        <f>IFERROR(INDEX(PP_Grid[#Data],$DE1518,17),0)</f>
        <v/>
      </c>
      <c r="U1518">
        <f>IFERROR(INDEX(PP_Grid[#Data],$DE1518,18),0)</f>
        <v/>
      </c>
      <c r="V1518">
        <f>IFERROR(INDEX(PP_Grid[#Data],$DE1518,19),0)</f>
        <v/>
      </c>
      <c r="W1518">
        <f>IFERROR(INDEX(PP_Grid[#Data],$DE1518,20),0)</f>
        <v/>
      </c>
      <c r="X1518">
        <f>IFERROR(INDEX(PP_Grid[#Data],$DE1518,21),0)</f>
        <v/>
      </c>
      <c r="Y1518">
        <f>IFERROR(INDEX(PP_Grid[#Data],$DE1518,22),0)</f>
        <v/>
      </c>
      <c r="Z1518">
        <f>IFERROR(INDEX(PP_Grid[#Data],$DE1518,23),0)</f>
        <v/>
      </c>
      <c r="AA1518">
        <f>IFERROR(INDEX(PP_Grid[#Data],$DE1518,24),0)</f>
        <v/>
      </c>
      <c r="AB1518">
        <f>IFERROR(INDEX(PP_Grid[#Data],$DE1518,25),0)</f>
        <v/>
      </c>
      <c r="AC1518">
        <f>IFERROR(INDEX(PP_Grid[#Data],$DE1518,26),0)</f>
        <v/>
      </c>
      <c r="AD1518">
        <f>IFERROR(INDEX(PP_Grid[#Data],$DE1518,27),0)</f>
        <v/>
      </c>
      <c r="AE1518">
        <f>IFERROR(INDEX(PP_Grid[#Data],$DE1518,28),0)</f>
        <v/>
      </c>
      <c r="AF1518">
        <f>IFERROR(INDEX(PP_Grid[#Data],$DE1518,29),0)</f>
        <v/>
      </c>
      <c r="AG1518">
        <f>IFERROR(INDEX(PP_Grid[#Data],$DE1518,30),0)</f>
        <v/>
      </c>
      <c r="AH1518">
        <f>IFERROR(INDEX(PP_Grid[#Data],$DE1518,31),0)</f>
        <v/>
      </c>
      <c r="AI1518">
        <f>IFERROR(INDEX(PP_Grid[#Data],$DE1518,32),0)</f>
        <v/>
      </c>
      <c r="AJ1518">
        <f>IFERROR(INDEX(PP_Grid[#Data],$DE1518,33),0)</f>
        <v/>
      </c>
      <c r="AK1518">
        <f>IFERROR(INDEX(PP_Grid[#Data],$DE1518,34),0)</f>
        <v/>
      </c>
      <c r="AL1518">
        <f>IFERROR(INDEX(PP_Grid[#Data],$DE1518,35),0)</f>
        <v/>
      </c>
      <c r="AM1518">
        <f>IFERROR(INDEX(PP_Grid[#Data],$DE1518,36),0)</f>
        <v/>
      </c>
      <c r="AN1518">
        <f>IFERROR(INDEX(PP_Grid[#Data],$DE1518,37),0)</f>
        <v/>
      </c>
      <c r="AO1518">
        <f>IFERROR(INDEX(PP_Grid[#Data],$DE1518,38),0)</f>
        <v/>
      </c>
      <c r="AP1518">
        <f>IFERROR(INDEX(PP_Grid[#Data],$DE1518,39),0)</f>
        <v/>
      </c>
      <c r="AQ1518">
        <f>IFERROR(INDEX(PP_Grid[#Data],$DE1518,40),0)</f>
        <v/>
      </c>
      <c r="AR1518">
        <f>IFERROR(INDEX(PP_Grid[#Data],$DE1518,41),0)</f>
        <v/>
      </c>
      <c r="AS1518">
        <f>IFERROR(INDEX(PP_Grid[#Data],$DE1518,42),0)</f>
        <v/>
      </c>
      <c r="AT1518">
        <f>IFERROR(INDEX(PP_Grid[#Data],$DE1518,43),0)</f>
        <v/>
      </c>
      <c r="AU1518">
        <f>IFERROR(INDEX(PP_Grid[#Data],$DE1518,44),0)</f>
        <v/>
      </c>
      <c r="AV1518">
        <f>IFERROR(INDEX(PP_Grid[#Data],$DE1518,45),0)</f>
        <v/>
      </c>
      <c r="AW1518">
        <f>IFERROR(INDEX(PP_Grid[#Data],$DE1518,46),0)</f>
        <v/>
      </c>
      <c r="AX1518">
        <f>IFERROR(INDEX(PP_Grid[#Data],$DE1518,47),0)</f>
        <v/>
      </c>
      <c r="AY1518">
        <f>IFERROR(INDEX(PP_Grid[#Data],$DE1518,48),0)</f>
        <v/>
      </c>
      <c r="AZ1518">
        <f>IFERROR(INDEX(PP_Grid[#Data],$DE1518,49),0)</f>
        <v/>
      </c>
      <c r="BA1518">
        <f>IFERROR(INDEX(PP_Grid[#Data],$DE1518,50),0)</f>
        <v/>
      </c>
      <c r="BB1518">
        <f>IFERROR(INDEX(PP_Grid[#Data],$DE1518,51),0)</f>
        <v/>
      </c>
      <c r="BC1518">
        <f>IFERROR(INDEX(PP_Grid[#Data],$DE1518,52),0)</f>
        <v/>
      </c>
      <c r="BD1518">
        <f>IFERROR(INDEX(PP_Grid[#Data],$DE1518,53),0)</f>
        <v/>
      </c>
      <c r="BE1518">
        <f>IFERROR(INDEX(PP_Grid[#Data],$DE1518,54),0)</f>
        <v/>
      </c>
      <c r="BF1518">
        <f>IFERROR(INDEX(PP_Grid[#Data],$DE1518,55),0)</f>
        <v/>
      </c>
      <c r="BG1518">
        <f>IFERROR(INDEX(PP_Grid[#Data],$DE1518,56),0)</f>
        <v/>
      </c>
      <c r="BH1518">
        <f>IFERROR(INDEX(PP_Grid[#Data],$DE1518,57),0)</f>
        <v/>
      </c>
      <c r="BI1518">
        <f>IFERROR(INDEX(PP_Grid[#Data],$DE1518,58),0)</f>
        <v/>
      </c>
      <c r="BJ1518">
        <f>IFERROR(INDEX(PP_Grid[#Data],$DE1518,59),0)</f>
        <v/>
      </c>
      <c r="BK1518">
        <f>IFERROR(INDEX(PP_Grid[#Data],$DE1518,60),0)</f>
        <v/>
      </c>
      <c r="BL1518">
        <f>IFERROR(INDEX(PP_Grid[#Data],$DE1518,61),0)</f>
        <v/>
      </c>
      <c r="BM1518">
        <f>IFERROR(INDEX(PP_Grid[#Data],$DE1518,62),0)</f>
        <v/>
      </c>
      <c r="BN1518">
        <f>IFERROR(INDEX(PP_Grid[#Data],$DE1518,63),0)</f>
        <v/>
      </c>
      <c r="BO1518">
        <f>IFERROR(INDEX(PP_Grid[#Data],$DE1518,64),0)</f>
        <v/>
      </c>
      <c r="BP1518">
        <f>IFERROR(INDEX(PP_Grid[#Data],$DE1518,65),0)</f>
        <v/>
      </c>
      <c r="BQ1518">
        <f>IFERROR(INDEX(PP_Grid[#Data],$DE1518,66),0)</f>
        <v/>
      </c>
      <c r="BR1518">
        <f>IFERROR(INDEX(PP_Grid[#Data],$DE1518,67),0)</f>
        <v/>
      </c>
      <c r="BS1518">
        <f>IFERROR(INDEX(PP_Grid[#Data],$DE1518,68),0)</f>
        <v/>
      </c>
      <c r="BT1518">
        <f>IFERROR(INDEX(PP_Grid[#Data],$DE1518,69),0)</f>
        <v/>
      </c>
      <c r="BU1518">
        <f>IFERROR(INDEX(PP_Grid[#Data],$DE1518,70),0)</f>
        <v/>
      </c>
      <c r="BV1518">
        <f>IFERROR(INDEX(PP_Grid[#Data],$DE1518,71),0)</f>
        <v/>
      </c>
      <c r="BW1518">
        <f>IFERROR(INDEX(PP_Grid[#Data],$DE1518,72),0)</f>
        <v/>
      </c>
      <c r="BX1518">
        <f>IFERROR(INDEX(PP_Grid[#Data],$DE1518,73),0)</f>
        <v/>
      </c>
      <c r="BY1518">
        <f>IFERROR(INDEX(PP_Grid[#Data],$DE1518,74),0)</f>
        <v/>
      </c>
      <c r="BZ1518">
        <f>IFERROR(INDEX(PP_Grid[#Data],$DE1518,75),0)</f>
        <v/>
      </c>
      <c r="CA1518">
        <f>IFERROR(INDEX(PP_Grid[#Data],$DE1518,76),0)</f>
        <v/>
      </c>
      <c r="CB1518">
        <f>IFERROR(INDEX(PP_Grid[#Data],$DE1518,77),0)</f>
        <v/>
      </c>
      <c r="CC1518">
        <f>IFERROR(INDEX(PP_Grid[#Data],$DE1518,78),0)</f>
        <v/>
      </c>
      <c r="CD1518">
        <f>IFERROR(INDEX(PP_Grid[#Data],$DE1518,79),0)</f>
        <v/>
      </c>
      <c r="CE1518">
        <f>IFERROR(INDEX(PP_Grid[#Data],$DE1518,80),0)</f>
        <v/>
      </c>
      <c r="CF1518">
        <f>IFERROR(INDEX(PP_Grid[#Data],$DE1518,81),0)</f>
        <v/>
      </c>
      <c r="CG1518">
        <f>IFERROR(INDEX(PP_Grid[#Data],$DE1518,82),0)</f>
        <v/>
      </c>
      <c r="CH1518">
        <f>IFERROR(INDEX(PP_Grid[#Data],$DE1518,83),0)</f>
        <v/>
      </c>
      <c r="CI1518">
        <f>IFERROR(INDEX(PP_Grid[#Data],$DE1518,84),0)</f>
        <v/>
      </c>
      <c r="CJ1518">
        <f>IFERROR(INDEX(PP_Grid[#Data],$DE1518,85),0)</f>
        <v/>
      </c>
      <c r="CK1518">
        <f>IFERROR(INDEX(PP_Grid[#Data],$DE1518,86),0)</f>
        <v/>
      </c>
      <c r="CL1518">
        <f>IFERROR(INDEX(PP_Grid[#Data],$DE1518,87),0)</f>
        <v/>
      </c>
      <c r="CM1518">
        <f>IFERROR(INDEX(PP_Grid[#Data],$DE1518,88),0)</f>
        <v/>
      </c>
      <c r="CN1518">
        <f>IFERROR(INDEX(PP_Grid[#Data],$DE1518,89),0)</f>
        <v/>
      </c>
      <c r="CO1518">
        <f>IFERROR(INDEX(PP_Grid[#Data],$DE1518,90),0)</f>
        <v/>
      </c>
      <c r="CP1518">
        <f>IFERROR(INDEX(PP_Grid[#Data],$DE1518,91),0)</f>
        <v/>
      </c>
      <c r="CQ1518">
        <f>IFERROR(INDEX(PP_Grid[#Data],$DE1518,92),0)</f>
        <v/>
      </c>
      <c r="CR1518">
        <f>IFERROR(INDEX(PP_Grid[#Data],$DE1518,93),0)</f>
        <v/>
      </c>
      <c r="CS1518">
        <f>IFERROR(INDEX(PP_Grid[#Data],$DE1518,94),0)</f>
        <v/>
      </c>
      <c r="CT1518">
        <f>IFERROR(INDEX(PP_Grid[#Data],$DE1518,95),0)</f>
        <v/>
      </c>
      <c r="CU1518">
        <f>IFERROR(INDEX(PP_Grid[#Data],$DE1518,96),0)</f>
        <v/>
      </c>
      <c r="CV1518">
        <f>IFERROR(INDEX(PP_Grid[#Data],$DE1518,97),0)</f>
        <v/>
      </c>
      <c r="CW1518">
        <f>IFERROR(INDEX(PP_Grid[#Data],$DE1518,98),0)</f>
        <v/>
      </c>
      <c r="CX1518">
        <f>IFERROR(INDEX(PP_Grid[#Data],$DE1518,99),0)</f>
        <v/>
      </c>
      <c r="CY1518">
        <f>IFERROR(INDEX(PP_Grid[#Data],$DE1518,100),0)</f>
        <v/>
      </c>
      <c r="CZ1518">
        <f>IFERROR(INDEX(PP_Grid[#Data],$DE1518,101),0)</f>
        <v/>
      </c>
      <c r="DA1518">
        <f>IFERROR(INDEX(PP_Grid[#Data],$DE1518,102),0)</f>
        <v/>
      </c>
      <c r="DB1518">
        <f>IFERROR(INDEX(PP_Grid[#Data],$DE1518,103),0)</f>
        <v/>
      </c>
      <c r="DC1518">
        <f>IFERROR(INDEX(PP_Grid[#Data],$DE1518,104),0)</f>
        <v/>
      </c>
      <c r="DD1518">
        <f>IFERROR(INDEX(PP_Grid[#Data],$DE1518,105),0)</f>
        <v/>
      </c>
      <c r="DE1518" s="7">
        <f>IFERROR(MATCH($B1518,PP_Grid[Intermediate],0),99999)</f>
        <v/>
      </c>
    </row>
    <row r="1519">
      <c r="B1519" t="inlineStr">
        <is>
          <t>使用量(kg)</t>
        </is>
      </c>
      <c r="C1519">
        <f>SUMIFS(M_BOM[RM_Qty_Per_Batch],M_BOM[Intermediate],$B1518,M_BOM[RM_Code],$A1501)</f>
        <v/>
      </c>
      <c r="D1519">
        <f>IFERROR(INDEX(E1519:DD1519,$F$1),"")</f>
        <v/>
      </c>
      <c r="E1519">
        <f>$C1519*E1518</f>
        <v/>
      </c>
      <c r="F1519">
        <f>$C1519*F1518</f>
        <v/>
      </c>
      <c r="G1519">
        <f>$C1519*G1518</f>
        <v/>
      </c>
      <c r="H1519">
        <f>$C1519*H1518</f>
        <v/>
      </c>
      <c r="I1519">
        <f>$C1519*I1518</f>
        <v/>
      </c>
      <c r="J1519">
        <f>$C1519*J1518</f>
        <v/>
      </c>
      <c r="K1519">
        <f>$C1519*K1518</f>
        <v/>
      </c>
      <c r="L1519">
        <f>$C1519*L1518</f>
        <v/>
      </c>
      <c r="M1519">
        <f>$C1519*M1518</f>
        <v/>
      </c>
      <c r="N1519">
        <f>$C1519*N1518</f>
        <v/>
      </c>
      <c r="O1519">
        <f>$C1519*O1518</f>
        <v/>
      </c>
      <c r="P1519">
        <f>$C1519*P1518</f>
        <v/>
      </c>
      <c r="Q1519">
        <f>$C1519*Q1518</f>
        <v/>
      </c>
      <c r="R1519">
        <f>$C1519*R1518</f>
        <v/>
      </c>
      <c r="S1519">
        <f>$C1519*S1518</f>
        <v/>
      </c>
      <c r="T1519">
        <f>$C1519*T1518</f>
        <v/>
      </c>
      <c r="U1519">
        <f>$C1519*U1518</f>
        <v/>
      </c>
      <c r="V1519">
        <f>$C1519*V1518</f>
        <v/>
      </c>
      <c r="W1519">
        <f>$C1519*W1518</f>
        <v/>
      </c>
      <c r="X1519">
        <f>$C1519*X1518</f>
        <v/>
      </c>
      <c r="Y1519">
        <f>$C1519*Y1518</f>
        <v/>
      </c>
      <c r="Z1519">
        <f>$C1519*Z1518</f>
        <v/>
      </c>
      <c r="AA1519">
        <f>$C1519*AA1518</f>
        <v/>
      </c>
      <c r="AB1519">
        <f>$C1519*AB1518</f>
        <v/>
      </c>
      <c r="AC1519">
        <f>$C1519*AC1518</f>
        <v/>
      </c>
      <c r="AD1519">
        <f>$C1519*AD1518</f>
        <v/>
      </c>
      <c r="AE1519">
        <f>$C1519*AE1518</f>
        <v/>
      </c>
      <c r="AF1519">
        <f>$C1519*AF1518</f>
        <v/>
      </c>
      <c r="AG1519">
        <f>$C1519*AG1518</f>
        <v/>
      </c>
      <c r="AH1519">
        <f>$C1519*AH1518</f>
        <v/>
      </c>
      <c r="AI1519">
        <f>$C1519*AI1518</f>
        <v/>
      </c>
      <c r="AJ1519">
        <f>$C1519*AJ1518</f>
        <v/>
      </c>
      <c r="AK1519">
        <f>$C1519*AK1518</f>
        <v/>
      </c>
      <c r="AL1519">
        <f>$C1519*AL1518</f>
        <v/>
      </c>
      <c r="AM1519">
        <f>$C1519*AM1518</f>
        <v/>
      </c>
      <c r="AN1519">
        <f>$C1519*AN1518</f>
        <v/>
      </c>
      <c r="AO1519">
        <f>$C1519*AO1518</f>
        <v/>
      </c>
      <c r="AP1519">
        <f>$C1519*AP1518</f>
        <v/>
      </c>
      <c r="AQ1519">
        <f>$C1519*AQ1518</f>
        <v/>
      </c>
      <c r="AR1519">
        <f>$C1519*AR1518</f>
        <v/>
      </c>
      <c r="AS1519">
        <f>$C1519*AS1518</f>
        <v/>
      </c>
      <c r="AT1519">
        <f>$C1519*AT1518</f>
        <v/>
      </c>
      <c r="AU1519">
        <f>$C1519*AU1518</f>
        <v/>
      </c>
      <c r="AV1519">
        <f>$C1519*AV1518</f>
        <v/>
      </c>
      <c r="AW1519">
        <f>$C1519*AW1518</f>
        <v/>
      </c>
      <c r="AX1519">
        <f>$C1519*AX1518</f>
        <v/>
      </c>
      <c r="AY1519">
        <f>$C1519*AY1518</f>
        <v/>
      </c>
      <c r="AZ1519">
        <f>$C1519*AZ1518</f>
        <v/>
      </c>
      <c r="BA1519">
        <f>$C1519*BA1518</f>
        <v/>
      </c>
      <c r="BB1519">
        <f>$C1519*BB1518</f>
        <v/>
      </c>
      <c r="BC1519">
        <f>$C1519*BC1518</f>
        <v/>
      </c>
      <c r="BD1519">
        <f>$C1519*BD1518</f>
        <v/>
      </c>
      <c r="BE1519">
        <f>$C1519*BE1518</f>
        <v/>
      </c>
      <c r="BF1519">
        <f>$C1519*BF1518</f>
        <v/>
      </c>
      <c r="BG1519">
        <f>$C1519*BG1518</f>
        <v/>
      </c>
      <c r="BH1519">
        <f>$C1519*BH1518</f>
        <v/>
      </c>
      <c r="BI1519">
        <f>$C1519*BI1518</f>
        <v/>
      </c>
      <c r="BJ1519">
        <f>$C1519*BJ1518</f>
        <v/>
      </c>
      <c r="BK1519">
        <f>$C1519*BK1518</f>
        <v/>
      </c>
      <c r="BL1519">
        <f>$C1519*BL1518</f>
        <v/>
      </c>
      <c r="BM1519">
        <f>$C1519*BM1518</f>
        <v/>
      </c>
      <c r="BN1519">
        <f>$C1519*BN1518</f>
        <v/>
      </c>
      <c r="BO1519">
        <f>$C1519*BO1518</f>
        <v/>
      </c>
      <c r="BP1519">
        <f>$C1519*BP1518</f>
        <v/>
      </c>
      <c r="BQ1519">
        <f>$C1519*BQ1518</f>
        <v/>
      </c>
      <c r="BR1519">
        <f>$C1519*BR1518</f>
        <v/>
      </c>
      <c r="BS1519">
        <f>$C1519*BS1518</f>
        <v/>
      </c>
      <c r="BT1519">
        <f>$C1519*BT1518</f>
        <v/>
      </c>
      <c r="BU1519">
        <f>$C1519*BU1518</f>
        <v/>
      </c>
      <c r="BV1519">
        <f>$C1519*BV1518</f>
        <v/>
      </c>
      <c r="BW1519">
        <f>$C1519*BW1518</f>
        <v/>
      </c>
      <c r="BX1519">
        <f>$C1519*BX1518</f>
        <v/>
      </c>
      <c r="BY1519">
        <f>$C1519*BY1518</f>
        <v/>
      </c>
      <c r="BZ1519">
        <f>$C1519*BZ1518</f>
        <v/>
      </c>
      <c r="CA1519">
        <f>$C1519*CA1518</f>
        <v/>
      </c>
      <c r="CB1519">
        <f>$C1519*CB1518</f>
        <v/>
      </c>
      <c r="CC1519">
        <f>$C1519*CC1518</f>
        <v/>
      </c>
      <c r="CD1519">
        <f>$C1519*CD1518</f>
        <v/>
      </c>
      <c r="CE1519">
        <f>$C1519*CE1518</f>
        <v/>
      </c>
      <c r="CF1519">
        <f>$C1519*CF1518</f>
        <v/>
      </c>
      <c r="CG1519">
        <f>$C1519*CG1518</f>
        <v/>
      </c>
      <c r="CH1519">
        <f>$C1519*CH1518</f>
        <v/>
      </c>
      <c r="CI1519">
        <f>$C1519*CI1518</f>
        <v/>
      </c>
      <c r="CJ1519">
        <f>$C1519*CJ1518</f>
        <v/>
      </c>
      <c r="CK1519">
        <f>$C1519*CK1518</f>
        <v/>
      </c>
      <c r="CL1519">
        <f>$C1519*CL1518</f>
        <v/>
      </c>
      <c r="CM1519">
        <f>$C1519*CM1518</f>
        <v/>
      </c>
      <c r="CN1519">
        <f>$C1519*CN1518</f>
        <v/>
      </c>
      <c r="CO1519">
        <f>$C1519*CO1518</f>
        <v/>
      </c>
      <c r="CP1519">
        <f>$C1519*CP1518</f>
        <v/>
      </c>
      <c r="CQ1519">
        <f>$C1519*CQ1518</f>
        <v/>
      </c>
      <c r="CR1519">
        <f>$C1519*CR1518</f>
        <v/>
      </c>
      <c r="CS1519">
        <f>$C1519*CS1518</f>
        <v/>
      </c>
      <c r="CT1519">
        <f>$C1519*CT1518</f>
        <v/>
      </c>
      <c r="CU1519">
        <f>$C1519*CU1518</f>
        <v/>
      </c>
      <c r="CV1519">
        <f>$C1519*CV1518</f>
        <v/>
      </c>
      <c r="CW1519">
        <f>$C1519*CW1518</f>
        <v/>
      </c>
      <c r="CX1519">
        <f>$C1519*CX1518</f>
        <v/>
      </c>
      <c r="CY1519">
        <f>$C1519*CY1518</f>
        <v/>
      </c>
      <c r="CZ1519">
        <f>$C1519*CZ1518</f>
        <v/>
      </c>
      <c r="DA1519">
        <f>$C1519*DA1518</f>
        <v/>
      </c>
      <c r="DB1519">
        <f>$C1519*DB1518</f>
        <v/>
      </c>
      <c r="DC1519">
        <f>$C1519*DC1518</f>
        <v/>
      </c>
      <c r="DD1519">
        <f>$C1519*DD1518</f>
        <v/>
      </c>
    </row>
    <row r="1520">
      <c r="B1520" t="inlineStr">
        <is>
          <t>TSP-1448</t>
        </is>
      </c>
      <c r="C1520" t="inlineStr">
        <is>
          <t>No. of batches</t>
        </is>
      </c>
      <c r="D1520">
        <f>IFERROR(INDEX(E1520:DD1520,$F$1),"")</f>
        <v/>
      </c>
      <c r="E1520">
        <f>IFERROR(INDEX(PP_Grid[#Data],$DE1520,2),0)</f>
        <v/>
      </c>
      <c r="F1520">
        <f>IFERROR(INDEX(PP_Grid[#Data],$DE1520,3),0)</f>
        <v/>
      </c>
      <c r="G1520">
        <f>IFERROR(INDEX(PP_Grid[#Data],$DE1520,4),0)</f>
        <v/>
      </c>
      <c r="H1520">
        <f>IFERROR(INDEX(PP_Grid[#Data],$DE1520,5),0)</f>
        <v/>
      </c>
      <c r="I1520">
        <f>IFERROR(INDEX(PP_Grid[#Data],$DE1520,6),0)</f>
        <v/>
      </c>
      <c r="J1520">
        <f>IFERROR(INDEX(PP_Grid[#Data],$DE1520,7),0)</f>
        <v/>
      </c>
      <c r="K1520">
        <f>IFERROR(INDEX(PP_Grid[#Data],$DE1520,8),0)</f>
        <v/>
      </c>
      <c r="L1520">
        <f>IFERROR(INDEX(PP_Grid[#Data],$DE1520,9),0)</f>
        <v/>
      </c>
      <c r="M1520">
        <f>IFERROR(INDEX(PP_Grid[#Data],$DE1520,10),0)</f>
        <v/>
      </c>
      <c r="N1520">
        <f>IFERROR(INDEX(PP_Grid[#Data],$DE1520,11),0)</f>
        <v/>
      </c>
      <c r="O1520">
        <f>IFERROR(INDEX(PP_Grid[#Data],$DE1520,12),0)</f>
        <v/>
      </c>
      <c r="P1520">
        <f>IFERROR(INDEX(PP_Grid[#Data],$DE1520,13),0)</f>
        <v/>
      </c>
      <c r="Q1520">
        <f>IFERROR(INDEX(PP_Grid[#Data],$DE1520,14),0)</f>
        <v/>
      </c>
      <c r="R1520">
        <f>IFERROR(INDEX(PP_Grid[#Data],$DE1520,15),0)</f>
        <v/>
      </c>
      <c r="S1520">
        <f>IFERROR(INDEX(PP_Grid[#Data],$DE1520,16),0)</f>
        <v/>
      </c>
      <c r="T1520">
        <f>IFERROR(INDEX(PP_Grid[#Data],$DE1520,17),0)</f>
        <v/>
      </c>
      <c r="U1520">
        <f>IFERROR(INDEX(PP_Grid[#Data],$DE1520,18),0)</f>
        <v/>
      </c>
      <c r="V1520">
        <f>IFERROR(INDEX(PP_Grid[#Data],$DE1520,19),0)</f>
        <v/>
      </c>
      <c r="W1520">
        <f>IFERROR(INDEX(PP_Grid[#Data],$DE1520,20),0)</f>
        <v/>
      </c>
      <c r="X1520">
        <f>IFERROR(INDEX(PP_Grid[#Data],$DE1520,21),0)</f>
        <v/>
      </c>
      <c r="Y1520">
        <f>IFERROR(INDEX(PP_Grid[#Data],$DE1520,22),0)</f>
        <v/>
      </c>
      <c r="Z1520">
        <f>IFERROR(INDEX(PP_Grid[#Data],$DE1520,23),0)</f>
        <v/>
      </c>
      <c r="AA1520">
        <f>IFERROR(INDEX(PP_Grid[#Data],$DE1520,24),0)</f>
        <v/>
      </c>
      <c r="AB1520">
        <f>IFERROR(INDEX(PP_Grid[#Data],$DE1520,25),0)</f>
        <v/>
      </c>
      <c r="AC1520">
        <f>IFERROR(INDEX(PP_Grid[#Data],$DE1520,26),0)</f>
        <v/>
      </c>
      <c r="AD1520">
        <f>IFERROR(INDEX(PP_Grid[#Data],$DE1520,27),0)</f>
        <v/>
      </c>
      <c r="AE1520">
        <f>IFERROR(INDEX(PP_Grid[#Data],$DE1520,28),0)</f>
        <v/>
      </c>
      <c r="AF1520">
        <f>IFERROR(INDEX(PP_Grid[#Data],$DE1520,29),0)</f>
        <v/>
      </c>
      <c r="AG1520">
        <f>IFERROR(INDEX(PP_Grid[#Data],$DE1520,30),0)</f>
        <v/>
      </c>
      <c r="AH1520">
        <f>IFERROR(INDEX(PP_Grid[#Data],$DE1520,31),0)</f>
        <v/>
      </c>
      <c r="AI1520">
        <f>IFERROR(INDEX(PP_Grid[#Data],$DE1520,32),0)</f>
        <v/>
      </c>
      <c r="AJ1520">
        <f>IFERROR(INDEX(PP_Grid[#Data],$DE1520,33),0)</f>
        <v/>
      </c>
      <c r="AK1520">
        <f>IFERROR(INDEX(PP_Grid[#Data],$DE1520,34),0)</f>
        <v/>
      </c>
      <c r="AL1520">
        <f>IFERROR(INDEX(PP_Grid[#Data],$DE1520,35),0)</f>
        <v/>
      </c>
      <c r="AM1520">
        <f>IFERROR(INDEX(PP_Grid[#Data],$DE1520,36),0)</f>
        <v/>
      </c>
      <c r="AN1520">
        <f>IFERROR(INDEX(PP_Grid[#Data],$DE1520,37),0)</f>
        <v/>
      </c>
      <c r="AO1520">
        <f>IFERROR(INDEX(PP_Grid[#Data],$DE1520,38),0)</f>
        <v/>
      </c>
      <c r="AP1520">
        <f>IFERROR(INDEX(PP_Grid[#Data],$DE1520,39),0)</f>
        <v/>
      </c>
      <c r="AQ1520">
        <f>IFERROR(INDEX(PP_Grid[#Data],$DE1520,40),0)</f>
        <v/>
      </c>
      <c r="AR1520">
        <f>IFERROR(INDEX(PP_Grid[#Data],$DE1520,41),0)</f>
        <v/>
      </c>
      <c r="AS1520">
        <f>IFERROR(INDEX(PP_Grid[#Data],$DE1520,42),0)</f>
        <v/>
      </c>
      <c r="AT1520">
        <f>IFERROR(INDEX(PP_Grid[#Data],$DE1520,43),0)</f>
        <v/>
      </c>
      <c r="AU1520">
        <f>IFERROR(INDEX(PP_Grid[#Data],$DE1520,44),0)</f>
        <v/>
      </c>
      <c r="AV1520">
        <f>IFERROR(INDEX(PP_Grid[#Data],$DE1520,45),0)</f>
        <v/>
      </c>
      <c r="AW1520">
        <f>IFERROR(INDEX(PP_Grid[#Data],$DE1520,46),0)</f>
        <v/>
      </c>
      <c r="AX1520">
        <f>IFERROR(INDEX(PP_Grid[#Data],$DE1520,47),0)</f>
        <v/>
      </c>
      <c r="AY1520">
        <f>IFERROR(INDEX(PP_Grid[#Data],$DE1520,48),0)</f>
        <v/>
      </c>
      <c r="AZ1520">
        <f>IFERROR(INDEX(PP_Grid[#Data],$DE1520,49),0)</f>
        <v/>
      </c>
      <c r="BA1520">
        <f>IFERROR(INDEX(PP_Grid[#Data],$DE1520,50),0)</f>
        <v/>
      </c>
      <c r="BB1520">
        <f>IFERROR(INDEX(PP_Grid[#Data],$DE1520,51),0)</f>
        <v/>
      </c>
      <c r="BC1520">
        <f>IFERROR(INDEX(PP_Grid[#Data],$DE1520,52),0)</f>
        <v/>
      </c>
      <c r="BD1520">
        <f>IFERROR(INDEX(PP_Grid[#Data],$DE1520,53),0)</f>
        <v/>
      </c>
      <c r="BE1520">
        <f>IFERROR(INDEX(PP_Grid[#Data],$DE1520,54),0)</f>
        <v/>
      </c>
      <c r="BF1520">
        <f>IFERROR(INDEX(PP_Grid[#Data],$DE1520,55),0)</f>
        <v/>
      </c>
      <c r="BG1520">
        <f>IFERROR(INDEX(PP_Grid[#Data],$DE1520,56),0)</f>
        <v/>
      </c>
      <c r="BH1520">
        <f>IFERROR(INDEX(PP_Grid[#Data],$DE1520,57),0)</f>
        <v/>
      </c>
      <c r="BI1520">
        <f>IFERROR(INDEX(PP_Grid[#Data],$DE1520,58),0)</f>
        <v/>
      </c>
      <c r="BJ1520">
        <f>IFERROR(INDEX(PP_Grid[#Data],$DE1520,59),0)</f>
        <v/>
      </c>
      <c r="BK1520">
        <f>IFERROR(INDEX(PP_Grid[#Data],$DE1520,60),0)</f>
        <v/>
      </c>
      <c r="BL1520">
        <f>IFERROR(INDEX(PP_Grid[#Data],$DE1520,61),0)</f>
        <v/>
      </c>
      <c r="BM1520">
        <f>IFERROR(INDEX(PP_Grid[#Data],$DE1520,62),0)</f>
        <v/>
      </c>
      <c r="BN1520">
        <f>IFERROR(INDEX(PP_Grid[#Data],$DE1520,63),0)</f>
        <v/>
      </c>
      <c r="BO1520">
        <f>IFERROR(INDEX(PP_Grid[#Data],$DE1520,64),0)</f>
        <v/>
      </c>
      <c r="BP1520">
        <f>IFERROR(INDEX(PP_Grid[#Data],$DE1520,65),0)</f>
        <v/>
      </c>
      <c r="BQ1520">
        <f>IFERROR(INDEX(PP_Grid[#Data],$DE1520,66),0)</f>
        <v/>
      </c>
      <c r="BR1520">
        <f>IFERROR(INDEX(PP_Grid[#Data],$DE1520,67),0)</f>
        <v/>
      </c>
      <c r="BS1520">
        <f>IFERROR(INDEX(PP_Grid[#Data],$DE1520,68),0)</f>
        <v/>
      </c>
      <c r="BT1520">
        <f>IFERROR(INDEX(PP_Grid[#Data],$DE1520,69),0)</f>
        <v/>
      </c>
      <c r="BU1520">
        <f>IFERROR(INDEX(PP_Grid[#Data],$DE1520,70),0)</f>
        <v/>
      </c>
      <c r="BV1520">
        <f>IFERROR(INDEX(PP_Grid[#Data],$DE1520,71),0)</f>
        <v/>
      </c>
      <c r="BW1520">
        <f>IFERROR(INDEX(PP_Grid[#Data],$DE1520,72),0)</f>
        <v/>
      </c>
      <c r="BX1520">
        <f>IFERROR(INDEX(PP_Grid[#Data],$DE1520,73),0)</f>
        <v/>
      </c>
      <c r="BY1520">
        <f>IFERROR(INDEX(PP_Grid[#Data],$DE1520,74),0)</f>
        <v/>
      </c>
      <c r="BZ1520">
        <f>IFERROR(INDEX(PP_Grid[#Data],$DE1520,75),0)</f>
        <v/>
      </c>
      <c r="CA1520">
        <f>IFERROR(INDEX(PP_Grid[#Data],$DE1520,76),0)</f>
        <v/>
      </c>
      <c r="CB1520">
        <f>IFERROR(INDEX(PP_Grid[#Data],$DE1520,77),0)</f>
        <v/>
      </c>
      <c r="CC1520">
        <f>IFERROR(INDEX(PP_Grid[#Data],$DE1520,78),0)</f>
        <v/>
      </c>
      <c r="CD1520">
        <f>IFERROR(INDEX(PP_Grid[#Data],$DE1520,79),0)</f>
        <v/>
      </c>
      <c r="CE1520">
        <f>IFERROR(INDEX(PP_Grid[#Data],$DE1520,80),0)</f>
        <v/>
      </c>
      <c r="CF1520">
        <f>IFERROR(INDEX(PP_Grid[#Data],$DE1520,81),0)</f>
        <v/>
      </c>
      <c r="CG1520">
        <f>IFERROR(INDEX(PP_Grid[#Data],$DE1520,82),0)</f>
        <v/>
      </c>
      <c r="CH1520">
        <f>IFERROR(INDEX(PP_Grid[#Data],$DE1520,83),0)</f>
        <v/>
      </c>
      <c r="CI1520">
        <f>IFERROR(INDEX(PP_Grid[#Data],$DE1520,84),0)</f>
        <v/>
      </c>
      <c r="CJ1520">
        <f>IFERROR(INDEX(PP_Grid[#Data],$DE1520,85),0)</f>
        <v/>
      </c>
      <c r="CK1520">
        <f>IFERROR(INDEX(PP_Grid[#Data],$DE1520,86),0)</f>
        <v/>
      </c>
      <c r="CL1520">
        <f>IFERROR(INDEX(PP_Grid[#Data],$DE1520,87),0)</f>
        <v/>
      </c>
      <c r="CM1520">
        <f>IFERROR(INDEX(PP_Grid[#Data],$DE1520,88),0)</f>
        <v/>
      </c>
      <c r="CN1520">
        <f>IFERROR(INDEX(PP_Grid[#Data],$DE1520,89),0)</f>
        <v/>
      </c>
      <c r="CO1520">
        <f>IFERROR(INDEX(PP_Grid[#Data],$DE1520,90),0)</f>
        <v/>
      </c>
      <c r="CP1520">
        <f>IFERROR(INDEX(PP_Grid[#Data],$DE1520,91),0)</f>
        <v/>
      </c>
      <c r="CQ1520">
        <f>IFERROR(INDEX(PP_Grid[#Data],$DE1520,92),0)</f>
        <v/>
      </c>
      <c r="CR1520">
        <f>IFERROR(INDEX(PP_Grid[#Data],$DE1520,93),0)</f>
        <v/>
      </c>
      <c r="CS1520">
        <f>IFERROR(INDEX(PP_Grid[#Data],$DE1520,94),0)</f>
        <v/>
      </c>
      <c r="CT1520">
        <f>IFERROR(INDEX(PP_Grid[#Data],$DE1520,95),0)</f>
        <v/>
      </c>
      <c r="CU1520">
        <f>IFERROR(INDEX(PP_Grid[#Data],$DE1520,96),0)</f>
        <v/>
      </c>
      <c r="CV1520">
        <f>IFERROR(INDEX(PP_Grid[#Data],$DE1520,97),0)</f>
        <v/>
      </c>
      <c r="CW1520">
        <f>IFERROR(INDEX(PP_Grid[#Data],$DE1520,98),0)</f>
        <v/>
      </c>
      <c r="CX1520">
        <f>IFERROR(INDEX(PP_Grid[#Data],$DE1520,99),0)</f>
        <v/>
      </c>
      <c r="CY1520">
        <f>IFERROR(INDEX(PP_Grid[#Data],$DE1520,100),0)</f>
        <v/>
      </c>
      <c r="CZ1520">
        <f>IFERROR(INDEX(PP_Grid[#Data],$DE1520,101),0)</f>
        <v/>
      </c>
      <c r="DA1520">
        <f>IFERROR(INDEX(PP_Grid[#Data],$DE1520,102),0)</f>
        <v/>
      </c>
      <c r="DB1520">
        <f>IFERROR(INDEX(PP_Grid[#Data],$DE1520,103),0)</f>
        <v/>
      </c>
      <c r="DC1520">
        <f>IFERROR(INDEX(PP_Grid[#Data],$DE1520,104),0)</f>
        <v/>
      </c>
      <c r="DD1520">
        <f>IFERROR(INDEX(PP_Grid[#Data],$DE1520,105),0)</f>
        <v/>
      </c>
      <c r="DE1520" s="7">
        <f>IFERROR(MATCH($B1520,PP_Grid[Intermediate],0),99999)</f>
        <v/>
      </c>
    </row>
    <row r="1521">
      <c r="B1521" t="inlineStr">
        <is>
          <t>使用量(kg)</t>
        </is>
      </c>
      <c r="C1521">
        <f>SUMIFS(M_BOM[RM_Qty_Per_Batch],M_BOM[Intermediate],$B1520,M_BOM[RM_Code],$A1501)</f>
        <v/>
      </c>
      <c r="D1521">
        <f>IFERROR(INDEX(E1521:DD1521,$F$1),"")</f>
        <v/>
      </c>
      <c r="E1521">
        <f>$C1521*E1520</f>
        <v/>
      </c>
      <c r="F1521">
        <f>$C1521*F1520</f>
        <v/>
      </c>
      <c r="G1521">
        <f>$C1521*G1520</f>
        <v/>
      </c>
      <c r="H1521">
        <f>$C1521*H1520</f>
        <v/>
      </c>
      <c r="I1521">
        <f>$C1521*I1520</f>
        <v/>
      </c>
      <c r="J1521">
        <f>$C1521*J1520</f>
        <v/>
      </c>
      <c r="K1521">
        <f>$C1521*K1520</f>
        <v/>
      </c>
      <c r="L1521">
        <f>$C1521*L1520</f>
        <v/>
      </c>
      <c r="M1521">
        <f>$C1521*M1520</f>
        <v/>
      </c>
      <c r="N1521">
        <f>$C1521*N1520</f>
        <v/>
      </c>
      <c r="O1521">
        <f>$C1521*O1520</f>
        <v/>
      </c>
      <c r="P1521">
        <f>$C1521*P1520</f>
        <v/>
      </c>
      <c r="Q1521">
        <f>$C1521*Q1520</f>
        <v/>
      </c>
      <c r="R1521">
        <f>$C1521*R1520</f>
        <v/>
      </c>
      <c r="S1521">
        <f>$C1521*S1520</f>
        <v/>
      </c>
      <c r="T1521">
        <f>$C1521*T1520</f>
        <v/>
      </c>
      <c r="U1521">
        <f>$C1521*U1520</f>
        <v/>
      </c>
      <c r="V1521">
        <f>$C1521*V1520</f>
        <v/>
      </c>
      <c r="W1521">
        <f>$C1521*W1520</f>
        <v/>
      </c>
      <c r="X1521">
        <f>$C1521*X1520</f>
        <v/>
      </c>
      <c r="Y1521">
        <f>$C1521*Y1520</f>
        <v/>
      </c>
      <c r="Z1521">
        <f>$C1521*Z1520</f>
        <v/>
      </c>
      <c r="AA1521">
        <f>$C1521*AA1520</f>
        <v/>
      </c>
      <c r="AB1521">
        <f>$C1521*AB1520</f>
        <v/>
      </c>
      <c r="AC1521">
        <f>$C1521*AC1520</f>
        <v/>
      </c>
      <c r="AD1521">
        <f>$C1521*AD1520</f>
        <v/>
      </c>
      <c r="AE1521">
        <f>$C1521*AE1520</f>
        <v/>
      </c>
      <c r="AF1521">
        <f>$C1521*AF1520</f>
        <v/>
      </c>
      <c r="AG1521">
        <f>$C1521*AG1520</f>
        <v/>
      </c>
      <c r="AH1521">
        <f>$C1521*AH1520</f>
        <v/>
      </c>
      <c r="AI1521">
        <f>$C1521*AI1520</f>
        <v/>
      </c>
      <c r="AJ1521">
        <f>$C1521*AJ1520</f>
        <v/>
      </c>
      <c r="AK1521">
        <f>$C1521*AK1520</f>
        <v/>
      </c>
      <c r="AL1521">
        <f>$C1521*AL1520</f>
        <v/>
      </c>
      <c r="AM1521">
        <f>$C1521*AM1520</f>
        <v/>
      </c>
      <c r="AN1521">
        <f>$C1521*AN1520</f>
        <v/>
      </c>
      <c r="AO1521">
        <f>$C1521*AO1520</f>
        <v/>
      </c>
      <c r="AP1521">
        <f>$C1521*AP1520</f>
        <v/>
      </c>
      <c r="AQ1521">
        <f>$C1521*AQ1520</f>
        <v/>
      </c>
      <c r="AR1521">
        <f>$C1521*AR1520</f>
        <v/>
      </c>
      <c r="AS1521">
        <f>$C1521*AS1520</f>
        <v/>
      </c>
      <c r="AT1521">
        <f>$C1521*AT1520</f>
        <v/>
      </c>
      <c r="AU1521">
        <f>$C1521*AU1520</f>
        <v/>
      </c>
      <c r="AV1521">
        <f>$C1521*AV1520</f>
        <v/>
      </c>
      <c r="AW1521">
        <f>$C1521*AW1520</f>
        <v/>
      </c>
      <c r="AX1521">
        <f>$C1521*AX1520</f>
        <v/>
      </c>
      <c r="AY1521">
        <f>$C1521*AY1520</f>
        <v/>
      </c>
      <c r="AZ1521">
        <f>$C1521*AZ1520</f>
        <v/>
      </c>
      <c r="BA1521">
        <f>$C1521*BA1520</f>
        <v/>
      </c>
      <c r="BB1521">
        <f>$C1521*BB1520</f>
        <v/>
      </c>
      <c r="BC1521">
        <f>$C1521*BC1520</f>
        <v/>
      </c>
      <c r="BD1521">
        <f>$C1521*BD1520</f>
        <v/>
      </c>
      <c r="BE1521">
        <f>$C1521*BE1520</f>
        <v/>
      </c>
      <c r="BF1521">
        <f>$C1521*BF1520</f>
        <v/>
      </c>
      <c r="BG1521">
        <f>$C1521*BG1520</f>
        <v/>
      </c>
      <c r="BH1521">
        <f>$C1521*BH1520</f>
        <v/>
      </c>
      <c r="BI1521">
        <f>$C1521*BI1520</f>
        <v/>
      </c>
      <c r="BJ1521">
        <f>$C1521*BJ1520</f>
        <v/>
      </c>
      <c r="BK1521">
        <f>$C1521*BK1520</f>
        <v/>
      </c>
      <c r="BL1521">
        <f>$C1521*BL1520</f>
        <v/>
      </c>
      <c r="BM1521">
        <f>$C1521*BM1520</f>
        <v/>
      </c>
      <c r="BN1521">
        <f>$C1521*BN1520</f>
        <v/>
      </c>
      <c r="BO1521">
        <f>$C1521*BO1520</f>
        <v/>
      </c>
      <c r="BP1521">
        <f>$C1521*BP1520</f>
        <v/>
      </c>
      <c r="BQ1521">
        <f>$C1521*BQ1520</f>
        <v/>
      </c>
      <c r="BR1521">
        <f>$C1521*BR1520</f>
        <v/>
      </c>
      <c r="BS1521">
        <f>$C1521*BS1520</f>
        <v/>
      </c>
      <c r="BT1521">
        <f>$C1521*BT1520</f>
        <v/>
      </c>
      <c r="BU1521">
        <f>$C1521*BU1520</f>
        <v/>
      </c>
      <c r="BV1521">
        <f>$C1521*BV1520</f>
        <v/>
      </c>
      <c r="BW1521">
        <f>$C1521*BW1520</f>
        <v/>
      </c>
      <c r="BX1521">
        <f>$C1521*BX1520</f>
        <v/>
      </c>
      <c r="BY1521">
        <f>$C1521*BY1520</f>
        <v/>
      </c>
      <c r="BZ1521">
        <f>$C1521*BZ1520</f>
        <v/>
      </c>
      <c r="CA1521">
        <f>$C1521*CA1520</f>
        <v/>
      </c>
      <c r="CB1521">
        <f>$C1521*CB1520</f>
        <v/>
      </c>
      <c r="CC1521">
        <f>$C1521*CC1520</f>
        <v/>
      </c>
      <c r="CD1521">
        <f>$C1521*CD1520</f>
        <v/>
      </c>
      <c r="CE1521">
        <f>$C1521*CE1520</f>
        <v/>
      </c>
      <c r="CF1521">
        <f>$C1521*CF1520</f>
        <v/>
      </c>
      <c r="CG1521">
        <f>$C1521*CG1520</f>
        <v/>
      </c>
      <c r="CH1521">
        <f>$C1521*CH1520</f>
        <v/>
      </c>
      <c r="CI1521">
        <f>$C1521*CI1520</f>
        <v/>
      </c>
      <c r="CJ1521">
        <f>$C1521*CJ1520</f>
        <v/>
      </c>
      <c r="CK1521">
        <f>$C1521*CK1520</f>
        <v/>
      </c>
      <c r="CL1521">
        <f>$C1521*CL1520</f>
        <v/>
      </c>
      <c r="CM1521">
        <f>$C1521*CM1520</f>
        <v/>
      </c>
      <c r="CN1521">
        <f>$C1521*CN1520</f>
        <v/>
      </c>
      <c r="CO1521">
        <f>$C1521*CO1520</f>
        <v/>
      </c>
      <c r="CP1521">
        <f>$C1521*CP1520</f>
        <v/>
      </c>
      <c r="CQ1521">
        <f>$C1521*CQ1520</f>
        <v/>
      </c>
      <c r="CR1521">
        <f>$C1521*CR1520</f>
        <v/>
      </c>
      <c r="CS1521">
        <f>$C1521*CS1520</f>
        <v/>
      </c>
      <c r="CT1521">
        <f>$C1521*CT1520</f>
        <v/>
      </c>
      <c r="CU1521">
        <f>$C1521*CU1520</f>
        <v/>
      </c>
      <c r="CV1521">
        <f>$C1521*CV1520</f>
        <v/>
      </c>
      <c r="CW1521">
        <f>$C1521*CW1520</f>
        <v/>
      </c>
      <c r="CX1521">
        <f>$C1521*CX1520</f>
        <v/>
      </c>
      <c r="CY1521">
        <f>$C1521*CY1520</f>
        <v/>
      </c>
      <c r="CZ1521">
        <f>$C1521*CZ1520</f>
        <v/>
      </c>
      <c r="DA1521">
        <f>$C1521*DA1520</f>
        <v/>
      </c>
      <c r="DB1521">
        <f>$C1521*DB1520</f>
        <v/>
      </c>
      <c r="DC1521">
        <f>$C1521*DC1520</f>
        <v/>
      </c>
      <c r="DD1521">
        <f>$C1521*DD1520</f>
        <v/>
      </c>
    </row>
    <row r="1522">
      <c r="B1522" t="inlineStr">
        <is>
          <t>TSP-1445</t>
        </is>
      </c>
      <c r="C1522" t="inlineStr">
        <is>
          <t>No. of batches</t>
        </is>
      </c>
      <c r="D1522">
        <f>IFERROR(INDEX(E1522:DD1522,$F$1),"")</f>
        <v/>
      </c>
      <c r="E1522">
        <f>IFERROR(INDEX(PP_Grid[#Data],$DE1522,2),0)</f>
        <v/>
      </c>
      <c r="F1522">
        <f>IFERROR(INDEX(PP_Grid[#Data],$DE1522,3),0)</f>
        <v/>
      </c>
      <c r="G1522">
        <f>IFERROR(INDEX(PP_Grid[#Data],$DE1522,4),0)</f>
        <v/>
      </c>
      <c r="H1522">
        <f>IFERROR(INDEX(PP_Grid[#Data],$DE1522,5),0)</f>
        <v/>
      </c>
      <c r="I1522">
        <f>IFERROR(INDEX(PP_Grid[#Data],$DE1522,6),0)</f>
        <v/>
      </c>
      <c r="J1522">
        <f>IFERROR(INDEX(PP_Grid[#Data],$DE1522,7),0)</f>
        <v/>
      </c>
      <c r="K1522">
        <f>IFERROR(INDEX(PP_Grid[#Data],$DE1522,8),0)</f>
        <v/>
      </c>
      <c r="L1522">
        <f>IFERROR(INDEX(PP_Grid[#Data],$DE1522,9),0)</f>
        <v/>
      </c>
      <c r="M1522">
        <f>IFERROR(INDEX(PP_Grid[#Data],$DE1522,10),0)</f>
        <v/>
      </c>
      <c r="N1522">
        <f>IFERROR(INDEX(PP_Grid[#Data],$DE1522,11),0)</f>
        <v/>
      </c>
      <c r="O1522">
        <f>IFERROR(INDEX(PP_Grid[#Data],$DE1522,12),0)</f>
        <v/>
      </c>
      <c r="P1522">
        <f>IFERROR(INDEX(PP_Grid[#Data],$DE1522,13),0)</f>
        <v/>
      </c>
      <c r="Q1522">
        <f>IFERROR(INDEX(PP_Grid[#Data],$DE1522,14),0)</f>
        <v/>
      </c>
      <c r="R1522">
        <f>IFERROR(INDEX(PP_Grid[#Data],$DE1522,15),0)</f>
        <v/>
      </c>
      <c r="S1522">
        <f>IFERROR(INDEX(PP_Grid[#Data],$DE1522,16),0)</f>
        <v/>
      </c>
      <c r="T1522">
        <f>IFERROR(INDEX(PP_Grid[#Data],$DE1522,17),0)</f>
        <v/>
      </c>
      <c r="U1522">
        <f>IFERROR(INDEX(PP_Grid[#Data],$DE1522,18),0)</f>
        <v/>
      </c>
      <c r="V1522">
        <f>IFERROR(INDEX(PP_Grid[#Data],$DE1522,19),0)</f>
        <v/>
      </c>
      <c r="W1522">
        <f>IFERROR(INDEX(PP_Grid[#Data],$DE1522,20),0)</f>
        <v/>
      </c>
      <c r="X1522">
        <f>IFERROR(INDEX(PP_Grid[#Data],$DE1522,21),0)</f>
        <v/>
      </c>
      <c r="Y1522">
        <f>IFERROR(INDEX(PP_Grid[#Data],$DE1522,22),0)</f>
        <v/>
      </c>
      <c r="Z1522">
        <f>IFERROR(INDEX(PP_Grid[#Data],$DE1522,23),0)</f>
        <v/>
      </c>
      <c r="AA1522">
        <f>IFERROR(INDEX(PP_Grid[#Data],$DE1522,24),0)</f>
        <v/>
      </c>
      <c r="AB1522">
        <f>IFERROR(INDEX(PP_Grid[#Data],$DE1522,25),0)</f>
        <v/>
      </c>
      <c r="AC1522">
        <f>IFERROR(INDEX(PP_Grid[#Data],$DE1522,26),0)</f>
        <v/>
      </c>
      <c r="AD1522">
        <f>IFERROR(INDEX(PP_Grid[#Data],$DE1522,27),0)</f>
        <v/>
      </c>
      <c r="AE1522">
        <f>IFERROR(INDEX(PP_Grid[#Data],$DE1522,28),0)</f>
        <v/>
      </c>
      <c r="AF1522">
        <f>IFERROR(INDEX(PP_Grid[#Data],$DE1522,29),0)</f>
        <v/>
      </c>
      <c r="AG1522">
        <f>IFERROR(INDEX(PP_Grid[#Data],$DE1522,30),0)</f>
        <v/>
      </c>
      <c r="AH1522">
        <f>IFERROR(INDEX(PP_Grid[#Data],$DE1522,31),0)</f>
        <v/>
      </c>
      <c r="AI1522">
        <f>IFERROR(INDEX(PP_Grid[#Data],$DE1522,32),0)</f>
        <v/>
      </c>
      <c r="AJ1522">
        <f>IFERROR(INDEX(PP_Grid[#Data],$DE1522,33),0)</f>
        <v/>
      </c>
      <c r="AK1522">
        <f>IFERROR(INDEX(PP_Grid[#Data],$DE1522,34),0)</f>
        <v/>
      </c>
      <c r="AL1522">
        <f>IFERROR(INDEX(PP_Grid[#Data],$DE1522,35),0)</f>
        <v/>
      </c>
      <c r="AM1522">
        <f>IFERROR(INDEX(PP_Grid[#Data],$DE1522,36),0)</f>
        <v/>
      </c>
      <c r="AN1522">
        <f>IFERROR(INDEX(PP_Grid[#Data],$DE1522,37),0)</f>
        <v/>
      </c>
      <c r="AO1522">
        <f>IFERROR(INDEX(PP_Grid[#Data],$DE1522,38),0)</f>
        <v/>
      </c>
      <c r="AP1522">
        <f>IFERROR(INDEX(PP_Grid[#Data],$DE1522,39),0)</f>
        <v/>
      </c>
      <c r="AQ1522">
        <f>IFERROR(INDEX(PP_Grid[#Data],$DE1522,40),0)</f>
        <v/>
      </c>
      <c r="AR1522">
        <f>IFERROR(INDEX(PP_Grid[#Data],$DE1522,41),0)</f>
        <v/>
      </c>
      <c r="AS1522">
        <f>IFERROR(INDEX(PP_Grid[#Data],$DE1522,42),0)</f>
        <v/>
      </c>
      <c r="AT1522">
        <f>IFERROR(INDEX(PP_Grid[#Data],$DE1522,43),0)</f>
        <v/>
      </c>
      <c r="AU1522">
        <f>IFERROR(INDEX(PP_Grid[#Data],$DE1522,44),0)</f>
        <v/>
      </c>
      <c r="AV1522">
        <f>IFERROR(INDEX(PP_Grid[#Data],$DE1522,45),0)</f>
        <v/>
      </c>
      <c r="AW1522">
        <f>IFERROR(INDEX(PP_Grid[#Data],$DE1522,46),0)</f>
        <v/>
      </c>
      <c r="AX1522">
        <f>IFERROR(INDEX(PP_Grid[#Data],$DE1522,47),0)</f>
        <v/>
      </c>
      <c r="AY1522">
        <f>IFERROR(INDEX(PP_Grid[#Data],$DE1522,48),0)</f>
        <v/>
      </c>
      <c r="AZ1522">
        <f>IFERROR(INDEX(PP_Grid[#Data],$DE1522,49),0)</f>
        <v/>
      </c>
      <c r="BA1522">
        <f>IFERROR(INDEX(PP_Grid[#Data],$DE1522,50),0)</f>
        <v/>
      </c>
      <c r="BB1522">
        <f>IFERROR(INDEX(PP_Grid[#Data],$DE1522,51),0)</f>
        <v/>
      </c>
      <c r="BC1522">
        <f>IFERROR(INDEX(PP_Grid[#Data],$DE1522,52),0)</f>
        <v/>
      </c>
      <c r="BD1522">
        <f>IFERROR(INDEX(PP_Grid[#Data],$DE1522,53),0)</f>
        <v/>
      </c>
      <c r="BE1522">
        <f>IFERROR(INDEX(PP_Grid[#Data],$DE1522,54),0)</f>
        <v/>
      </c>
      <c r="BF1522">
        <f>IFERROR(INDEX(PP_Grid[#Data],$DE1522,55),0)</f>
        <v/>
      </c>
      <c r="BG1522">
        <f>IFERROR(INDEX(PP_Grid[#Data],$DE1522,56),0)</f>
        <v/>
      </c>
      <c r="BH1522">
        <f>IFERROR(INDEX(PP_Grid[#Data],$DE1522,57),0)</f>
        <v/>
      </c>
      <c r="BI1522">
        <f>IFERROR(INDEX(PP_Grid[#Data],$DE1522,58),0)</f>
        <v/>
      </c>
      <c r="BJ1522">
        <f>IFERROR(INDEX(PP_Grid[#Data],$DE1522,59),0)</f>
        <v/>
      </c>
      <c r="BK1522">
        <f>IFERROR(INDEX(PP_Grid[#Data],$DE1522,60),0)</f>
        <v/>
      </c>
      <c r="BL1522">
        <f>IFERROR(INDEX(PP_Grid[#Data],$DE1522,61),0)</f>
        <v/>
      </c>
      <c r="BM1522">
        <f>IFERROR(INDEX(PP_Grid[#Data],$DE1522,62),0)</f>
        <v/>
      </c>
      <c r="BN1522">
        <f>IFERROR(INDEX(PP_Grid[#Data],$DE1522,63),0)</f>
        <v/>
      </c>
      <c r="BO1522">
        <f>IFERROR(INDEX(PP_Grid[#Data],$DE1522,64),0)</f>
        <v/>
      </c>
      <c r="BP1522">
        <f>IFERROR(INDEX(PP_Grid[#Data],$DE1522,65),0)</f>
        <v/>
      </c>
      <c r="BQ1522">
        <f>IFERROR(INDEX(PP_Grid[#Data],$DE1522,66),0)</f>
        <v/>
      </c>
      <c r="BR1522">
        <f>IFERROR(INDEX(PP_Grid[#Data],$DE1522,67),0)</f>
        <v/>
      </c>
      <c r="BS1522">
        <f>IFERROR(INDEX(PP_Grid[#Data],$DE1522,68),0)</f>
        <v/>
      </c>
      <c r="BT1522">
        <f>IFERROR(INDEX(PP_Grid[#Data],$DE1522,69),0)</f>
        <v/>
      </c>
      <c r="BU1522">
        <f>IFERROR(INDEX(PP_Grid[#Data],$DE1522,70),0)</f>
        <v/>
      </c>
      <c r="BV1522">
        <f>IFERROR(INDEX(PP_Grid[#Data],$DE1522,71),0)</f>
        <v/>
      </c>
      <c r="BW1522">
        <f>IFERROR(INDEX(PP_Grid[#Data],$DE1522,72),0)</f>
        <v/>
      </c>
      <c r="BX1522">
        <f>IFERROR(INDEX(PP_Grid[#Data],$DE1522,73),0)</f>
        <v/>
      </c>
      <c r="BY1522">
        <f>IFERROR(INDEX(PP_Grid[#Data],$DE1522,74),0)</f>
        <v/>
      </c>
      <c r="BZ1522">
        <f>IFERROR(INDEX(PP_Grid[#Data],$DE1522,75),0)</f>
        <v/>
      </c>
      <c r="CA1522">
        <f>IFERROR(INDEX(PP_Grid[#Data],$DE1522,76),0)</f>
        <v/>
      </c>
      <c r="CB1522">
        <f>IFERROR(INDEX(PP_Grid[#Data],$DE1522,77),0)</f>
        <v/>
      </c>
      <c r="CC1522">
        <f>IFERROR(INDEX(PP_Grid[#Data],$DE1522,78),0)</f>
        <v/>
      </c>
      <c r="CD1522">
        <f>IFERROR(INDEX(PP_Grid[#Data],$DE1522,79),0)</f>
        <v/>
      </c>
      <c r="CE1522">
        <f>IFERROR(INDEX(PP_Grid[#Data],$DE1522,80),0)</f>
        <v/>
      </c>
      <c r="CF1522">
        <f>IFERROR(INDEX(PP_Grid[#Data],$DE1522,81),0)</f>
        <v/>
      </c>
      <c r="CG1522">
        <f>IFERROR(INDEX(PP_Grid[#Data],$DE1522,82),0)</f>
        <v/>
      </c>
      <c r="CH1522">
        <f>IFERROR(INDEX(PP_Grid[#Data],$DE1522,83),0)</f>
        <v/>
      </c>
      <c r="CI1522">
        <f>IFERROR(INDEX(PP_Grid[#Data],$DE1522,84),0)</f>
        <v/>
      </c>
      <c r="CJ1522">
        <f>IFERROR(INDEX(PP_Grid[#Data],$DE1522,85),0)</f>
        <v/>
      </c>
      <c r="CK1522">
        <f>IFERROR(INDEX(PP_Grid[#Data],$DE1522,86),0)</f>
        <v/>
      </c>
      <c r="CL1522">
        <f>IFERROR(INDEX(PP_Grid[#Data],$DE1522,87),0)</f>
        <v/>
      </c>
      <c r="CM1522">
        <f>IFERROR(INDEX(PP_Grid[#Data],$DE1522,88),0)</f>
        <v/>
      </c>
      <c r="CN1522">
        <f>IFERROR(INDEX(PP_Grid[#Data],$DE1522,89),0)</f>
        <v/>
      </c>
      <c r="CO1522">
        <f>IFERROR(INDEX(PP_Grid[#Data],$DE1522,90),0)</f>
        <v/>
      </c>
      <c r="CP1522">
        <f>IFERROR(INDEX(PP_Grid[#Data],$DE1522,91),0)</f>
        <v/>
      </c>
      <c r="CQ1522">
        <f>IFERROR(INDEX(PP_Grid[#Data],$DE1522,92),0)</f>
        <v/>
      </c>
      <c r="CR1522">
        <f>IFERROR(INDEX(PP_Grid[#Data],$DE1522,93),0)</f>
        <v/>
      </c>
      <c r="CS1522">
        <f>IFERROR(INDEX(PP_Grid[#Data],$DE1522,94),0)</f>
        <v/>
      </c>
      <c r="CT1522">
        <f>IFERROR(INDEX(PP_Grid[#Data],$DE1522,95),0)</f>
        <v/>
      </c>
      <c r="CU1522">
        <f>IFERROR(INDEX(PP_Grid[#Data],$DE1522,96),0)</f>
        <v/>
      </c>
      <c r="CV1522">
        <f>IFERROR(INDEX(PP_Grid[#Data],$DE1522,97),0)</f>
        <v/>
      </c>
      <c r="CW1522">
        <f>IFERROR(INDEX(PP_Grid[#Data],$DE1522,98),0)</f>
        <v/>
      </c>
      <c r="CX1522">
        <f>IFERROR(INDEX(PP_Grid[#Data],$DE1522,99),0)</f>
        <v/>
      </c>
      <c r="CY1522">
        <f>IFERROR(INDEX(PP_Grid[#Data],$DE1522,100),0)</f>
        <v/>
      </c>
      <c r="CZ1522">
        <f>IFERROR(INDEX(PP_Grid[#Data],$DE1522,101),0)</f>
        <v/>
      </c>
      <c r="DA1522">
        <f>IFERROR(INDEX(PP_Grid[#Data],$DE1522,102),0)</f>
        <v/>
      </c>
      <c r="DB1522">
        <f>IFERROR(INDEX(PP_Grid[#Data],$DE1522,103),0)</f>
        <v/>
      </c>
      <c r="DC1522">
        <f>IFERROR(INDEX(PP_Grid[#Data],$DE1522,104),0)</f>
        <v/>
      </c>
      <c r="DD1522">
        <f>IFERROR(INDEX(PP_Grid[#Data],$DE1522,105),0)</f>
        <v/>
      </c>
      <c r="DE1522" s="7">
        <f>IFERROR(MATCH($B1522,PP_Grid[Intermediate],0),99999)</f>
        <v/>
      </c>
    </row>
    <row r="1523">
      <c r="B1523" t="inlineStr">
        <is>
          <t>使用量(kg)</t>
        </is>
      </c>
      <c r="C1523">
        <f>SUMIFS(M_BOM[RM_Qty_Per_Batch],M_BOM[Intermediate],$B1522,M_BOM[RM_Code],$A1501)</f>
        <v/>
      </c>
      <c r="D1523">
        <f>IFERROR(INDEX(E1523:DD1523,$F$1),"")</f>
        <v/>
      </c>
      <c r="E1523">
        <f>$C1523*E1522</f>
        <v/>
      </c>
      <c r="F1523">
        <f>$C1523*F1522</f>
        <v/>
      </c>
      <c r="G1523">
        <f>$C1523*G1522</f>
        <v/>
      </c>
      <c r="H1523">
        <f>$C1523*H1522</f>
        <v/>
      </c>
      <c r="I1523">
        <f>$C1523*I1522</f>
        <v/>
      </c>
      <c r="J1523">
        <f>$C1523*J1522</f>
        <v/>
      </c>
      <c r="K1523">
        <f>$C1523*K1522</f>
        <v/>
      </c>
      <c r="L1523">
        <f>$C1523*L1522</f>
        <v/>
      </c>
      <c r="M1523">
        <f>$C1523*M1522</f>
        <v/>
      </c>
      <c r="N1523">
        <f>$C1523*N1522</f>
        <v/>
      </c>
      <c r="O1523">
        <f>$C1523*O1522</f>
        <v/>
      </c>
      <c r="P1523">
        <f>$C1523*P1522</f>
        <v/>
      </c>
      <c r="Q1523">
        <f>$C1523*Q1522</f>
        <v/>
      </c>
      <c r="R1523">
        <f>$C1523*R1522</f>
        <v/>
      </c>
      <c r="S1523">
        <f>$C1523*S1522</f>
        <v/>
      </c>
      <c r="T1523">
        <f>$C1523*T1522</f>
        <v/>
      </c>
      <c r="U1523">
        <f>$C1523*U1522</f>
        <v/>
      </c>
      <c r="V1523">
        <f>$C1523*V1522</f>
        <v/>
      </c>
      <c r="W1523">
        <f>$C1523*W1522</f>
        <v/>
      </c>
      <c r="X1523">
        <f>$C1523*X1522</f>
        <v/>
      </c>
      <c r="Y1523">
        <f>$C1523*Y1522</f>
        <v/>
      </c>
      <c r="Z1523">
        <f>$C1523*Z1522</f>
        <v/>
      </c>
      <c r="AA1523">
        <f>$C1523*AA1522</f>
        <v/>
      </c>
      <c r="AB1523">
        <f>$C1523*AB1522</f>
        <v/>
      </c>
      <c r="AC1523">
        <f>$C1523*AC1522</f>
        <v/>
      </c>
      <c r="AD1523">
        <f>$C1523*AD1522</f>
        <v/>
      </c>
      <c r="AE1523">
        <f>$C1523*AE1522</f>
        <v/>
      </c>
      <c r="AF1523">
        <f>$C1523*AF1522</f>
        <v/>
      </c>
      <c r="AG1523">
        <f>$C1523*AG1522</f>
        <v/>
      </c>
      <c r="AH1523">
        <f>$C1523*AH1522</f>
        <v/>
      </c>
      <c r="AI1523">
        <f>$C1523*AI1522</f>
        <v/>
      </c>
      <c r="AJ1523">
        <f>$C1523*AJ1522</f>
        <v/>
      </c>
      <c r="AK1523">
        <f>$C1523*AK1522</f>
        <v/>
      </c>
      <c r="AL1523">
        <f>$C1523*AL1522</f>
        <v/>
      </c>
      <c r="AM1523">
        <f>$C1523*AM1522</f>
        <v/>
      </c>
      <c r="AN1523">
        <f>$C1523*AN1522</f>
        <v/>
      </c>
      <c r="AO1523">
        <f>$C1523*AO1522</f>
        <v/>
      </c>
      <c r="AP1523">
        <f>$C1523*AP1522</f>
        <v/>
      </c>
      <c r="AQ1523">
        <f>$C1523*AQ1522</f>
        <v/>
      </c>
      <c r="AR1523">
        <f>$C1523*AR1522</f>
        <v/>
      </c>
      <c r="AS1523">
        <f>$C1523*AS1522</f>
        <v/>
      </c>
      <c r="AT1523">
        <f>$C1523*AT1522</f>
        <v/>
      </c>
      <c r="AU1523">
        <f>$C1523*AU1522</f>
        <v/>
      </c>
      <c r="AV1523">
        <f>$C1523*AV1522</f>
        <v/>
      </c>
      <c r="AW1523">
        <f>$C1523*AW1522</f>
        <v/>
      </c>
      <c r="AX1523">
        <f>$C1523*AX1522</f>
        <v/>
      </c>
      <c r="AY1523">
        <f>$C1523*AY1522</f>
        <v/>
      </c>
      <c r="AZ1523">
        <f>$C1523*AZ1522</f>
        <v/>
      </c>
      <c r="BA1523">
        <f>$C1523*BA1522</f>
        <v/>
      </c>
      <c r="BB1523">
        <f>$C1523*BB1522</f>
        <v/>
      </c>
      <c r="BC1523">
        <f>$C1523*BC1522</f>
        <v/>
      </c>
      <c r="BD1523">
        <f>$C1523*BD1522</f>
        <v/>
      </c>
      <c r="BE1523">
        <f>$C1523*BE1522</f>
        <v/>
      </c>
      <c r="BF1523">
        <f>$C1523*BF1522</f>
        <v/>
      </c>
      <c r="BG1523">
        <f>$C1523*BG1522</f>
        <v/>
      </c>
      <c r="BH1523">
        <f>$C1523*BH1522</f>
        <v/>
      </c>
      <c r="BI1523">
        <f>$C1523*BI1522</f>
        <v/>
      </c>
      <c r="BJ1523">
        <f>$C1523*BJ1522</f>
        <v/>
      </c>
      <c r="BK1523">
        <f>$C1523*BK1522</f>
        <v/>
      </c>
      <c r="BL1523">
        <f>$C1523*BL1522</f>
        <v/>
      </c>
      <c r="BM1523">
        <f>$C1523*BM1522</f>
        <v/>
      </c>
      <c r="BN1523">
        <f>$C1523*BN1522</f>
        <v/>
      </c>
      <c r="BO1523">
        <f>$C1523*BO1522</f>
        <v/>
      </c>
      <c r="BP1523">
        <f>$C1523*BP1522</f>
        <v/>
      </c>
      <c r="BQ1523">
        <f>$C1523*BQ1522</f>
        <v/>
      </c>
      <c r="BR1523">
        <f>$C1523*BR1522</f>
        <v/>
      </c>
      <c r="BS1523">
        <f>$C1523*BS1522</f>
        <v/>
      </c>
      <c r="BT1523">
        <f>$C1523*BT1522</f>
        <v/>
      </c>
      <c r="BU1523">
        <f>$C1523*BU1522</f>
        <v/>
      </c>
      <c r="BV1523">
        <f>$C1523*BV1522</f>
        <v/>
      </c>
      <c r="BW1523">
        <f>$C1523*BW1522</f>
        <v/>
      </c>
      <c r="BX1523">
        <f>$C1523*BX1522</f>
        <v/>
      </c>
      <c r="BY1523">
        <f>$C1523*BY1522</f>
        <v/>
      </c>
      <c r="BZ1523">
        <f>$C1523*BZ1522</f>
        <v/>
      </c>
      <c r="CA1523">
        <f>$C1523*CA1522</f>
        <v/>
      </c>
      <c r="CB1523">
        <f>$C1523*CB1522</f>
        <v/>
      </c>
      <c r="CC1523">
        <f>$C1523*CC1522</f>
        <v/>
      </c>
      <c r="CD1523">
        <f>$C1523*CD1522</f>
        <v/>
      </c>
      <c r="CE1523">
        <f>$C1523*CE1522</f>
        <v/>
      </c>
      <c r="CF1523">
        <f>$C1523*CF1522</f>
        <v/>
      </c>
      <c r="CG1523">
        <f>$C1523*CG1522</f>
        <v/>
      </c>
      <c r="CH1523">
        <f>$C1523*CH1522</f>
        <v/>
      </c>
      <c r="CI1523">
        <f>$C1523*CI1522</f>
        <v/>
      </c>
      <c r="CJ1523">
        <f>$C1523*CJ1522</f>
        <v/>
      </c>
      <c r="CK1523">
        <f>$C1523*CK1522</f>
        <v/>
      </c>
      <c r="CL1523">
        <f>$C1523*CL1522</f>
        <v/>
      </c>
      <c r="CM1523">
        <f>$C1523*CM1522</f>
        <v/>
      </c>
      <c r="CN1523">
        <f>$C1523*CN1522</f>
        <v/>
      </c>
      <c r="CO1523">
        <f>$C1523*CO1522</f>
        <v/>
      </c>
      <c r="CP1523">
        <f>$C1523*CP1522</f>
        <v/>
      </c>
      <c r="CQ1523">
        <f>$C1523*CQ1522</f>
        <v/>
      </c>
      <c r="CR1523">
        <f>$C1523*CR1522</f>
        <v/>
      </c>
      <c r="CS1523">
        <f>$C1523*CS1522</f>
        <v/>
      </c>
      <c r="CT1523">
        <f>$C1523*CT1522</f>
        <v/>
      </c>
      <c r="CU1523">
        <f>$C1523*CU1522</f>
        <v/>
      </c>
      <c r="CV1523">
        <f>$C1523*CV1522</f>
        <v/>
      </c>
      <c r="CW1523">
        <f>$C1523*CW1522</f>
        <v/>
      </c>
      <c r="CX1523">
        <f>$C1523*CX1522</f>
        <v/>
      </c>
      <c r="CY1523">
        <f>$C1523*CY1522</f>
        <v/>
      </c>
      <c r="CZ1523">
        <f>$C1523*CZ1522</f>
        <v/>
      </c>
      <c r="DA1523">
        <f>$C1523*DA1522</f>
        <v/>
      </c>
      <c r="DB1523">
        <f>$C1523*DB1522</f>
        <v/>
      </c>
      <c r="DC1523">
        <f>$C1523*DC1522</f>
        <v/>
      </c>
      <c r="DD1523">
        <f>$C1523*DD1522</f>
        <v/>
      </c>
    </row>
    <row r="1524">
      <c r="B1524" t="inlineStr">
        <is>
          <t>TSP-1446</t>
        </is>
      </c>
      <c r="C1524" t="inlineStr">
        <is>
          <t>No. of batches</t>
        </is>
      </c>
      <c r="D1524">
        <f>IFERROR(INDEX(E1524:DD1524,$F$1),"")</f>
        <v/>
      </c>
      <c r="E1524">
        <f>IFERROR(INDEX(PP_Grid[#Data],$DE1524,2),0)</f>
        <v/>
      </c>
      <c r="F1524">
        <f>IFERROR(INDEX(PP_Grid[#Data],$DE1524,3),0)</f>
        <v/>
      </c>
      <c r="G1524">
        <f>IFERROR(INDEX(PP_Grid[#Data],$DE1524,4),0)</f>
        <v/>
      </c>
      <c r="H1524">
        <f>IFERROR(INDEX(PP_Grid[#Data],$DE1524,5),0)</f>
        <v/>
      </c>
      <c r="I1524">
        <f>IFERROR(INDEX(PP_Grid[#Data],$DE1524,6),0)</f>
        <v/>
      </c>
      <c r="J1524">
        <f>IFERROR(INDEX(PP_Grid[#Data],$DE1524,7),0)</f>
        <v/>
      </c>
      <c r="K1524">
        <f>IFERROR(INDEX(PP_Grid[#Data],$DE1524,8),0)</f>
        <v/>
      </c>
      <c r="L1524">
        <f>IFERROR(INDEX(PP_Grid[#Data],$DE1524,9),0)</f>
        <v/>
      </c>
      <c r="M1524">
        <f>IFERROR(INDEX(PP_Grid[#Data],$DE1524,10),0)</f>
        <v/>
      </c>
      <c r="N1524">
        <f>IFERROR(INDEX(PP_Grid[#Data],$DE1524,11),0)</f>
        <v/>
      </c>
      <c r="O1524">
        <f>IFERROR(INDEX(PP_Grid[#Data],$DE1524,12),0)</f>
        <v/>
      </c>
      <c r="P1524">
        <f>IFERROR(INDEX(PP_Grid[#Data],$DE1524,13),0)</f>
        <v/>
      </c>
      <c r="Q1524">
        <f>IFERROR(INDEX(PP_Grid[#Data],$DE1524,14),0)</f>
        <v/>
      </c>
      <c r="R1524">
        <f>IFERROR(INDEX(PP_Grid[#Data],$DE1524,15),0)</f>
        <v/>
      </c>
      <c r="S1524">
        <f>IFERROR(INDEX(PP_Grid[#Data],$DE1524,16),0)</f>
        <v/>
      </c>
      <c r="T1524">
        <f>IFERROR(INDEX(PP_Grid[#Data],$DE1524,17),0)</f>
        <v/>
      </c>
      <c r="U1524">
        <f>IFERROR(INDEX(PP_Grid[#Data],$DE1524,18),0)</f>
        <v/>
      </c>
      <c r="V1524">
        <f>IFERROR(INDEX(PP_Grid[#Data],$DE1524,19),0)</f>
        <v/>
      </c>
      <c r="W1524">
        <f>IFERROR(INDEX(PP_Grid[#Data],$DE1524,20),0)</f>
        <v/>
      </c>
      <c r="X1524">
        <f>IFERROR(INDEX(PP_Grid[#Data],$DE1524,21),0)</f>
        <v/>
      </c>
      <c r="Y1524">
        <f>IFERROR(INDEX(PP_Grid[#Data],$DE1524,22),0)</f>
        <v/>
      </c>
      <c r="Z1524">
        <f>IFERROR(INDEX(PP_Grid[#Data],$DE1524,23),0)</f>
        <v/>
      </c>
      <c r="AA1524">
        <f>IFERROR(INDEX(PP_Grid[#Data],$DE1524,24),0)</f>
        <v/>
      </c>
      <c r="AB1524">
        <f>IFERROR(INDEX(PP_Grid[#Data],$DE1524,25),0)</f>
        <v/>
      </c>
      <c r="AC1524">
        <f>IFERROR(INDEX(PP_Grid[#Data],$DE1524,26),0)</f>
        <v/>
      </c>
      <c r="AD1524">
        <f>IFERROR(INDEX(PP_Grid[#Data],$DE1524,27),0)</f>
        <v/>
      </c>
      <c r="AE1524">
        <f>IFERROR(INDEX(PP_Grid[#Data],$DE1524,28),0)</f>
        <v/>
      </c>
      <c r="AF1524">
        <f>IFERROR(INDEX(PP_Grid[#Data],$DE1524,29),0)</f>
        <v/>
      </c>
      <c r="AG1524">
        <f>IFERROR(INDEX(PP_Grid[#Data],$DE1524,30),0)</f>
        <v/>
      </c>
      <c r="AH1524">
        <f>IFERROR(INDEX(PP_Grid[#Data],$DE1524,31),0)</f>
        <v/>
      </c>
      <c r="AI1524">
        <f>IFERROR(INDEX(PP_Grid[#Data],$DE1524,32),0)</f>
        <v/>
      </c>
      <c r="AJ1524">
        <f>IFERROR(INDEX(PP_Grid[#Data],$DE1524,33),0)</f>
        <v/>
      </c>
      <c r="AK1524">
        <f>IFERROR(INDEX(PP_Grid[#Data],$DE1524,34),0)</f>
        <v/>
      </c>
      <c r="AL1524">
        <f>IFERROR(INDEX(PP_Grid[#Data],$DE1524,35),0)</f>
        <v/>
      </c>
      <c r="AM1524">
        <f>IFERROR(INDEX(PP_Grid[#Data],$DE1524,36),0)</f>
        <v/>
      </c>
      <c r="AN1524">
        <f>IFERROR(INDEX(PP_Grid[#Data],$DE1524,37),0)</f>
        <v/>
      </c>
      <c r="AO1524">
        <f>IFERROR(INDEX(PP_Grid[#Data],$DE1524,38),0)</f>
        <v/>
      </c>
      <c r="AP1524">
        <f>IFERROR(INDEX(PP_Grid[#Data],$DE1524,39),0)</f>
        <v/>
      </c>
      <c r="AQ1524">
        <f>IFERROR(INDEX(PP_Grid[#Data],$DE1524,40),0)</f>
        <v/>
      </c>
      <c r="AR1524">
        <f>IFERROR(INDEX(PP_Grid[#Data],$DE1524,41),0)</f>
        <v/>
      </c>
      <c r="AS1524">
        <f>IFERROR(INDEX(PP_Grid[#Data],$DE1524,42),0)</f>
        <v/>
      </c>
      <c r="AT1524">
        <f>IFERROR(INDEX(PP_Grid[#Data],$DE1524,43),0)</f>
        <v/>
      </c>
      <c r="AU1524">
        <f>IFERROR(INDEX(PP_Grid[#Data],$DE1524,44),0)</f>
        <v/>
      </c>
      <c r="AV1524">
        <f>IFERROR(INDEX(PP_Grid[#Data],$DE1524,45),0)</f>
        <v/>
      </c>
      <c r="AW1524">
        <f>IFERROR(INDEX(PP_Grid[#Data],$DE1524,46),0)</f>
        <v/>
      </c>
      <c r="AX1524">
        <f>IFERROR(INDEX(PP_Grid[#Data],$DE1524,47),0)</f>
        <v/>
      </c>
      <c r="AY1524">
        <f>IFERROR(INDEX(PP_Grid[#Data],$DE1524,48),0)</f>
        <v/>
      </c>
      <c r="AZ1524">
        <f>IFERROR(INDEX(PP_Grid[#Data],$DE1524,49),0)</f>
        <v/>
      </c>
      <c r="BA1524">
        <f>IFERROR(INDEX(PP_Grid[#Data],$DE1524,50),0)</f>
        <v/>
      </c>
      <c r="BB1524">
        <f>IFERROR(INDEX(PP_Grid[#Data],$DE1524,51),0)</f>
        <v/>
      </c>
      <c r="BC1524">
        <f>IFERROR(INDEX(PP_Grid[#Data],$DE1524,52),0)</f>
        <v/>
      </c>
      <c r="BD1524">
        <f>IFERROR(INDEX(PP_Grid[#Data],$DE1524,53),0)</f>
        <v/>
      </c>
      <c r="BE1524">
        <f>IFERROR(INDEX(PP_Grid[#Data],$DE1524,54),0)</f>
        <v/>
      </c>
      <c r="BF1524">
        <f>IFERROR(INDEX(PP_Grid[#Data],$DE1524,55),0)</f>
        <v/>
      </c>
      <c r="BG1524">
        <f>IFERROR(INDEX(PP_Grid[#Data],$DE1524,56),0)</f>
        <v/>
      </c>
      <c r="BH1524">
        <f>IFERROR(INDEX(PP_Grid[#Data],$DE1524,57),0)</f>
        <v/>
      </c>
      <c r="BI1524">
        <f>IFERROR(INDEX(PP_Grid[#Data],$DE1524,58),0)</f>
        <v/>
      </c>
      <c r="BJ1524">
        <f>IFERROR(INDEX(PP_Grid[#Data],$DE1524,59),0)</f>
        <v/>
      </c>
      <c r="BK1524">
        <f>IFERROR(INDEX(PP_Grid[#Data],$DE1524,60),0)</f>
        <v/>
      </c>
      <c r="BL1524">
        <f>IFERROR(INDEX(PP_Grid[#Data],$DE1524,61),0)</f>
        <v/>
      </c>
      <c r="BM1524">
        <f>IFERROR(INDEX(PP_Grid[#Data],$DE1524,62),0)</f>
        <v/>
      </c>
      <c r="BN1524">
        <f>IFERROR(INDEX(PP_Grid[#Data],$DE1524,63),0)</f>
        <v/>
      </c>
      <c r="BO1524">
        <f>IFERROR(INDEX(PP_Grid[#Data],$DE1524,64),0)</f>
        <v/>
      </c>
      <c r="BP1524">
        <f>IFERROR(INDEX(PP_Grid[#Data],$DE1524,65),0)</f>
        <v/>
      </c>
      <c r="BQ1524">
        <f>IFERROR(INDEX(PP_Grid[#Data],$DE1524,66),0)</f>
        <v/>
      </c>
      <c r="BR1524">
        <f>IFERROR(INDEX(PP_Grid[#Data],$DE1524,67),0)</f>
        <v/>
      </c>
      <c r="BS1524">
        <f>IFERROR(INDEX(PP_Grid[#Data],$DE1524,68),0)</f>
        <v/>
      </c>
      <c r="BT1524">
        <f>IFERROR(INDEX(PP_Grid[#Data],$DE1524,69),0)</f>
        <v/>
      </c>
      <c r="BU1524">
        <f>IFERROR(INDEX(PP_Grid[#Data],$DE1524,70),0)</f>
        <v/>
      </c>
      <c r="BV1524">
        <f>IFERROR(INDEX(PP_Grid[#Data],$DE1524,71),0)</f>
        <v/>
      </c>
      <c r="BW1524">
        <f>IFERROR(INDEX(PP_Grid[#Data],$DE1524,72),0)</f>
        <v/>
      </c>
      <c r="BX1524">
        <f>IFERROR(INDEX(PP_Grid[#Data],$DE1524,73),0)</f>
        <v/>
      </c>
      <c r="BY1524">
        <f>IFERROR(INDEX(PP_Grid[#Data],$DE1524,74),0)</f>
        <v/>
      </c>
      <c r="BZ1524">
        <f>IFERROR(INDEX(PP_Grid[#Data],$DE1524,75),0)</f>
        <v/>
      </c>
      <c r="CA1524">
        <f>IFERROR(INDEX(PP_Grid[#Data],$DE1524,76),0)</f>
        <v/>
      </c>
      <c r="CB1524">
        <f>IFERROR(INDEX(PP_Grid[#Data],$DE1524,77),0)</f>
        <v/>
      </c>
      <c r="CC1524">
        <f>IFERROR(INDEX(PP_Grid[#Data],$DE1524,78),0)</f>
        <v/>
      </c>
      <c r="CD1524">
        <f>IFERROR(INDEX(PP_Grid[#Data],$DE1524,79),0)</f>
        <v/>
      </c>
      <c r="CE1524">
        <f>IFERROR(INDEX(PP_Grid[#Data],$DE1524,80),0)</f>
        <v/>
      </c>
      <c r="CF1524">
        <f>IFERROR(INDEX(PP_Grid[#Data],$DE1524,81),0)</f>
        <v/>
      </c>
      <c r="CG1524">
        <f>IFERROR(INDEX(PP_Grid[#Data],$DE1524,82),0)</f>
        <v/>
      </c>
      <c r="CH1524">
        <f>IFERROR(INDEX(PP_Grid[#Data],$DE1524,83),0)</f>
        <v/>
      </c>
      <c r="CI1524">
        <f>IFERROR(INDEX(PP_Grid[#Data],$DE1524,84),0)</f>
        <v/>
      </c>
      <c r="CJ1524">
        <f>IFERROR(INDEX(PP_Grid[#Data],$DE1524,85),0)</f>
        <v/>
      </c>
      <c r="CK1524">
        <f>IFERROR(INDEX(PP_Grid[#Data],$DE1524,86),0)</f>
        <v/>
      </c>
      <c r="CL1524">
        <f>IFERROR(INDEX(PP_Grid[#Data],$DE1524,87),0)</f>
        <v/>
      </c>
      <c r="CM1524">
        <f>IFERROR(INDEX(PP_Grid[#Data],$DE1524,88),0)</f>
        <v/>
      </c>
      <c r="CN1524">
        <f>IFERROR(INDEX(PP_Grid[#Data],$DE1524,89),0)</f>
        <v/>
      </c>
      <c r="CO1524">
        <f>IFERROR(INDEX(PP_Grid[#Data],$DE1524,90),0)</f>
        <v/>
      </c>
      <c r="CP1524">
        <f>IFERROR(INDEX(PP_Grid[#Data],$DE1524,91),0)</f>
        <v/>
      </c>
      <c r="CQ1524">
        <f>IFERROR(INDEX(PP_Grid[#Data],$DE1524,92),0)</f>
        <v/>
      </c>
      <c r="CR1524">
        <f>IFERROR(INDEX(PP_Grid[#Data],$DE1524,93),0)</f>
        <v/>
      </c>
      <c r="CS1524">
        <f>IFERROR(INDEX(PP_Grid[#Data],$DE1524,94),0)</f>
        <v/>
      </c>
      <c r="CT1524">
        <f>IFERROR(INDEX(PP_Grid[#Data],$DE1524,95),0)</f>
        <v/>
      </c>
      <c r="CU1524">
        <f>IFERROR(INDEX(PP_Grid[#Data],$DE1524,96),0)</f>
        <v/>
      </c>
      <c r="CV1524">
        <f>IFERROR(INDEX(PP_Grid[#Data],$DE1524,97),0)</f>
        <v/>
      </c>
      <c r="CW1524">
        <f>IFERROR(INDEX(PP_Grid[#Data],$DE1524,98),0)</f>
        <v/>
      </c>
      <c r="CX1524">
        <f>IFERROR(INDEX(PP_Grid[#Data],$DE1524,99),0)</f>
        <v/>
      </c>
      <c r="CY1524">
        <f>IFERROR(INDEX(PP_Grid[#Data],$DE1524,100),0)</f>
        <v/>
      </c>
      <c r="CZ1524">
        <f>IFERROR(INDEX(PP_Grid[#Data],$DE1524,101),0)</f>
        <v/>
      </c>
      <c r="DA1524">
        <f>IFERROR(INDEX(PP_Grid[#Data],$DE1524,102),0)</f>
        <v/>
      </c>
      <c r="DB1524">
        <f>IFERROR(INDEX(PP_Grid[#Data],$DE1524,103),0)</f>
        <v/>
      </c>
      <c r="DC1524">
        <f>IFERROR(INDEX(PP_Grid[#Data],$DE1524,104),0)</f>
        <v/>
      </c>
      <c r="DD1524">
        <f>IFERROR(INDEX(PP_Grid[#Data],$DE1524,105),0)</f>
        <v/>
      </c>
      <c r="DE1524" s="7">
        <f>IFERROR(MATCH($B1524,PP_Grid[Intermediate],0),99999)</f>
        <v/>
      </c>
    </row>
    <row r="1525">
      <c r="B1525" t="inlineStr">
        <is>
          <t>使用量(kg)</t>
        </is>
      </c>
      <c r="C1525">
        <f>SUMIFS(M_BOM[RM_Qty_Per_Batch],M_BOM[Intermediate],$B1524,M_BOM[RM_Code],$A1501)</f>
        <v/>
      </c>
      <c r="D1525">
        <f>IFERROR(INDEX(E1525:DD1525,$F$1),"")</f>
        <v/>
      </c>
      <c r="E1525">
        <f>$C1525*E1524</f>
        <v/>
      </c>
      <c r="F1525">
        <f>$C1525*F1524</f>
        <v/>
      </c>
      <c r="G1525">
        <f>$C1525*G1524</f>
        <v/>
      </c>
      <c r="H1525">
        <f>$C1525*H1524</f>
        <v/>
      </c>
      <c r="I1525">
        <f>$C1525*I1524</f>
        <v/>
      </c>
      <c r="J1525">
        <f>$C1525*J1524</f>
        <v/>
      </c>
      <c r="K1525">
        <f>$C1525*K1524</f>
        <v/>
      </c>
      <c r="L1525">
        <f>$C1525*L1524</f>
        <v/>
      </c>
      <c r="M1525">
        <f>$C1525*M1524</f>
        <v/>
      </c>
      <c r="N1525">
        <f>$C1525*N1524</f>
        <v/>
      </c>
      <c r="O1525">
        <f>$C1525*O1524</f>
        <v/>
      </c>
      <c r="P1525">
        <f>$C1525*P1524</f>
        <v/>
      </c>
      <c r="Q1525">
        <f>$C1525*Q1524</f>
        <v/>
      </c>
      <c r="R1525">
        <f>$C1525*R1524</f>
        <v/>
      </c>
      <c r="S1525">
        <f>$C1525*S1524</f>
        <v/>
      </c>
      <c r="T1525">
        <f>$C1525*T1524</f>
        <v/>
      </c>
      <c r="U1525">
        <f>$C1525*U1524</f>
        <v/>
      </c>
      <c r="V1525">
        <f>$C1525*V1524</f>
        <v/>
      </c>
      <c r="W1525">
        <f>$C1525*W1524</f>
        <v/>
      </c>
      <c r="X1525">
        <f>$C1525*X1524</f>
        <v/>
      </c>
      <c r="Y1525">
        <f>$C1525*Y1524</f>
        <v/>
      </c>
      <c r="Z1525">
        <f>$C1525*Z1524</f>
        <v/>
      </c>
      <c r="AA1525">
        <f>$C1525*AA1524</f>
        <v/>
      </c>
      <c r="AB1525">
        <f>$C1525*AB1524</f>
        <v/>
      </c>
      <c r="AC1525">
        <f>$C1525*AC1524</f>
        <v/>
      </c>
      <c r="AD1525">
        <f>$C1525*AD1524</f>
        <v/>
      </c>
      <c r="AE1525">
        <f>$C1525*AE1524</f>
        <v/>
      </c>
      <c r="AF1525">
        <f>$C1525*AF1524</f>
        <v/>
      </c>
      <c r="AG1525">
        <f>$C1525*AG1524</f>
        <v/>
      </c>
      <c r="AH1525">
        <f>$C1525*AH1524</f>
        <v/>
      </c>
      <c r="AI1525">
        <f>$C1525*AI1524</f>
        <v/>
      </c>
      <c r="AJ1525">
        <f>$C1525*AJ1524</f>
        <v/>
      </c>
      <c r="AK1525">
        <f>$C1525*AK1524</f>
        <v/>
      </c>
      <c r="AL1525">
        <f>$C1525*AL1524</f>
        <v/>
      </c>
      <c r="AM1525">
        <f>$C1525*AM1524</f>
        <v/>
      </c>
      <c r="AN1525">
        <f>$C1525*AN1524</f>
        <v/>
      </c>
      <c r="AO1525">
        <f>$C1525*AO1524</f>
        <v/>
      </c>
      <c r="AP1525">
        <f>$C1525*AP1524</f>
        <v/>
      </c>
      <c r="AQ1525">
        <f>$C1525*AQ1524</f>
        <v/>
      </c>
      <c r="AR1525">
        <f>$C1525*AR1524</f>
        <v/>
      </c>
      <c r="AS1525">
        <f>$C1525*AS1524</f>
        <v/>
      </c>
      <c r="AT1525">
        <f>$C1525*AT1524</f>
        <v/>
      </c>
      <c r="AU1525">
        <f>$C1525*AU1524</f>
        <v/>
      </c>
      <c r="AV1525">
        <f>$C1525*AV1524</f>
        <v/>
      </c>
      <c r="AW1525">
        <f>$C1525*AW1524</f>
        <v/>
      </c>
      <c r="AX1525">
        <f>$C1525*AX1524</f>
        <v/>
      </c>
      <c r="AY1525">
        <f>$C1525*AY1524</f>
        <v/>
      </c>
      <c r="AZ1525">
        <f>$C1525*AZ1524</f>
        <v/>
      </c>
      <c r="BA1525">
        <f>$C1525*BA1524</f>
        <v/>
      </c>
      <c r="BB1525">
        <f>$C1525*BB1524</f>
        <v/>
      </c>
      <c r="BC1525">
        <f>$C1525*BC1524</f>
        <v/>
      </c>
      <c r="BD1525">
        <f>$C1525*BD1524</f>
        <v/>
      </c>
      <c r="BE1525">
        <f>$C1525*BE1524</f>
        <v/>
      </c>
      <c r="BF1525">
        <f>$C1525*BF1524</f>
        <v/>
      </c>
      <c r="BG1525">
        <f>$C1525*BG1524</f>
        <v/>
      </c>
      <c r="BH1525">
        <f>$C1525*BH1524</f>
        <v/>
      </c>
      <c r="BI1525">
        <f>$C1525*BI1524</f>
        <v/>
      </c>
      <c r="BJ1525">
        <f>$C1525*BJ1524</f>
        <v/>
      </c>
      <c r="BK1525">
        <f>$C1525*BK1524</f>
        <v/>
      </c>
      <c r="BL1525">
        <f>$C1525*BL1524</f>
        <v/>
      </c>
      <c r="BM1525">
        <f>$C1525*BM1524</f>
        <v/>
      </c>
      <c r="BN1525">
        <f>$C1525*BN1524</f>
        <v/>
      </c>
      <c r="BO1525">
        <f>$C1525*BO1524</f>
        <v/>
      </c>
      <c r="BP1525">
        <f>$C1525*BP1524</f>
        <v/>
      </c>
      <c r="BQ1525">
        <f>$C1525*BQ1524</f>
        <v/>
      </c>
      <c r="BR1525">
        <f>$C1525*BR1524</f>
        <v/>
      </c>
      <c r="BS1525">
        <f>$C1525*BS1524</f>
        <v/>
      </c>
      <c r="BT1525">
        <f>$C1525*BT1524</f>
        <v/>
      </c>
      <c r="BU1525">
        <f>$C1525*BU1524</f>
        <v/>
      </c>
      <c r="BV1525">
        <f>$C1525*BV1524</f>
        <v/>
      </c>
      <c r="BW1525">
        <f>$C1525*BW1524</f>
        <v/>
      </c>
      <c r="BX1525">
        <f>$C1525*BX1524</f>
        <v/>
      </c>
      <c r="BY1525">
        <f>$C1525*BY1524</f>
        <v/>
      </c>
      <c r="BZ1525">
        <f>$C1525*BZ1524</f>
        <v/>
      </c>
      <c r="CA1525">
        <f>$C1525*CA1524</f>
        <v/>
      </c>
      <c r="CB1525">
        <f>$C1525*CB1524</f>
        <v/>
      </c>
      <c r="CC1525">
        <f>$C1525*CC1524</f>
        <v/>
      </c>
      <c r="CD1525">
        <f>$C1525*CD1524</f>
        <v/>
      </c>
      <c r="CE1525">
        <f>$C1525*CE1524</f>
        <v/>
      </c>
      <c r="CF1525">
        <f>$C1525*CF1524</f>
        <v/>
      </c>
      <c r="CG1525">
        <f>$C1525*CG1524</f>
        <v/>
      </c>
      <c r="CH1525">
        <f>$C1525*CH1524</f>
        <v/>
      </c>
      <c r="CI1525">
        <f>$C1525*CI1524</f>
        <v/>
      </c>
      <c r="CJ1525">
        <f>$C1525*CJ1524</f>
        <v/>
      </c>
      <c r="CK1525">
        <f>$C1525*CK1524</f>
        <v/>
      </c>
      <c r="CL1525">
        <f>$C1525*CL1524</f>
        <v/>
      </c>
      <c r="CM1525">
        <f>$C1525*CM1524</f>
        <v/>
      </c>
      <c r="CN1525">
        <f>$C1525*CN1524</f>
        <v/>
      </c>
      <c r="CO1525">
        <f>$C1525*CO1524</f>
        <v/>
      </c>
      <c r="CP1525">
        <f>$C1525*CP1524</f>
        <v/>
      </c>
      <c r="CQ1525">
        <f>$C1525*CQ1524</f>
        <v/>
      </c>
      <c r="CR1525">
        <f>$C1525*CR1524</f>
        <v/>
      </c>
      <c r="CS1525">
        <f>$C1525*CS1524</f>
        <v/>
      </c>
      <c r="CT1525">
        <f>$C1525*CT1524</f>
        <v/>
      </c>
      <c r="CU1525">
        <f>$C1525*CU1524</f>
        <v/>
      </c>
      <c r="CV1525">
        <f>$C1525*CV1524</f>
        <v/>
      </c>
      <c r="CW1525">
        <f>$C1525*CW1524</f>
        <v/>
      </c>
      <c r="CX1525">
        <f>$C1525*CX1524</f>
        <v/>
      </c>
      <c r="CY1525">
        <f>$C1525*CY1524</f>
        <v/>
      </c>
      <c r="CZ1525">
        <f>$C1525*CZ1524</f>
        <v/>
      </c>
      <c r="DA1525">
        <f>$C1525*DA1524</f>
        <v/>
      </c>
      <c r="DB1525">
        <f>$C1525*DB1524</f>
        <v/>
      </c>
      <c r="DC1525">
        <f>$C1525*DC1524</f>
        <v/>
      </c>
      <c r="DD1525">
        <f>$C1525*DD1524</f>
        <v/>
      </c>
    </row>
    <row r="1526">
      <c r="B1526" t="inlineStr">
        <is>
          <t>TSP-1449</t>
        </is>
      </c>
      <c r="C1526" t="inlineStr">
        <is>
          <t>No. of batches</t>
        </is>
      </c>
      <c r="D1526">
        <f>IFERROR(INDEX(E1526:DD1526,$F$1),"")</f>
        <v/>
      </c>
      <c r="E1526">
        <f>IFERROR(INDEX(PP_Grid[#Data],$DE1526,2),0)</f>
        <v/>
      </c>
      <c r="F1526">
        <f>IFERROR(INDEX(PP_Grid[#Data],$DE1526,3),0)</f>
        <v/>
      </c>
      <c r="G1526">
        <f>IFERROR(INDEX(PP_Grid[#Data],$DE1526,4),0)</f>
        <v/>
      </c>
      <c r="H1526">
        <f>IFERROR(INDEX(PP_Grid[#Data],$DE1526,5),0)</f>
        <v/>
      </c>
      <c r="I1526">
        <f>IFERROR(INDEX(PP_Grid[#Data],$DE1526,6),0)</f>
        <v/>
      </c>
      <c r="J1526">
        <f>IFERROR(INDEX(PP_Grid[#Data],$DE1526,7),0)</f>
        <v/>
      </c>
      <c r="K1526">
        <f>IFERROR(INDEX(PP_Grid[#Data],$DE1526,8),0)</f>
        <v/>
      </c>
      <c r="L1526">
        <f>IFERROR(INDEX(PP_Grid[#Data],$DE1526,9),0)</f>
        <v/>
      </c>
      <c r="M1526">
        <f>IFERROR(INDEX(PP_Grid[#Data],$DE1526,10),0)</f>
        <v/>
      </c>
      <c r="N1526">
        <f>IFERROR(INDEX(PP_Grid[#Data],$DE1526,11),0)</f>
        <v/>
      </c>
      <c r="O1526">
        <f>IFERROR(INDEX(PP_Grid[#Data],$DE1526,12),0)</f>
        <v/>
      </c>
      <c r="P1526">
        <f>IFERROR(INDEX(PP_Grid[#Data],$DE1526,13),0)</f>
        <v/>
      </c>
      <c r="Q1526">
        <f>IFERROR(INDEX(PP_Grid[#Data],$DE1526,14),0)</f>
        <v/>
      </c>
      <c r="R1526">
        <f>IFERROR(INDEX(PP_Grid[#Data],$DE1526,15),0)</f>
        <v/>
      </c>
      <c r="S1526">
        <f>IFERROR(INDEX(PP_Grid[#Data],$DE1526,16),0)</f>
        <v/>
      </c>
      <c r="T1526">
        <f>IFERROR(INDEX(PP_Grid[#Data],$DE1526,17),0)</f>
        <v/>
      </c>
      <c r="U1526">
        <f>IFERROR(INDEX(PP_Grid[#Data],$DE1526,18),0)</f>
        <v/>
      </c>
      <c r="V1526">
        <f>IFERROR(INDEX(PP_Grid[#Data],$DE1526,19),0)</f>
        <v/>
      </c>
      <c r="W1526">
        <f>IFERROR(INDEX(PP_Grid[#Data],$DE1526,20),0)</f>
        <v/>
      </c>
      <c r="X1526">
        <f>IFERROR(INDEX(PP_Grid[#Data],$DE1526,21),0)</f>
        <v/>
      </c>
      <c r="Y1526">
        <f>IFERROR(INDEX(PP_Grid[#Data],$DE1526,22),0)</f>
        <v/>
      </c>
      <c r="Z1526">
        <f>IFERROR(INDEX(PP_Grid[#Data],$DE1526,23),0)</f>
        <v/>
      </c>
      <c r="AA1526">
        <f>IFERROR(INDEX(PP_Grid[#Data],$DE1526,24),0)</f>
        <v/>
      </c>
      <c r="AB1526">
        <f>IFERROR(INDEX(PP_Grid[#Data],$DE1526,25),0)</f>
        <v/>
      </c>
      <c r="AC1526">
        <f>IFERROR(INDEX(PP_Grid[#Data],$DE1526,26),0)</f>
        <v/>
      </c>
      <c r="AD1526">
        <f>IFERROR(INDEX(PP_Grid[#Data],$DE1526,27),0)</f>
        <v/>
      </c>
      <c r="AE1526">
        <f>IFERROR(INDEX(PP_Grid[#Data],$DE1526,28),0)</f>
        <v/>
      </c>
      <c r="AF1526">
        <f>IFERROR(INDEX(PP_Grid[#Data],$DE1526,29),0)</f>
        <v/>
      </c>
      <c r="AG1526">
        <f>IFERROR(INDEX(PP_Grid[#Data],$DE1526,30),0)</f>
        <v/>
      </c>
      <c r="AH1526">
        <f>IFERROR(INDEX(PP_Grid[#Data],$DE1526,31),0)</f>
        <v/>
      </c>
      <c r="AI1526">
        <f>IFERROR(INDEX(PP_Grid[#Data],$DE1526,32),0)</f>
        <v/>
      </c>
      <c r="AJ1526">
        <f>IFERROR(INDEX(PP_Grid[#Data],$DE1526,33),0)</f>
        <v/>
      </c>
      <c r="AK1526">
        <f>IFERROR(INDEX(PP_Grid[#Data],$DE1526,34),0)</f>
        <v/>
      </c>
      <c r="AL1526">
        <f>IFERROR(INDEX(PP_Grid[#Data],$DE1526,35),0)</f>
        <v/>
      </c>
      <c r="AM1526">
        <f>IFERROR(INDEX(PP_Grid[#Data],$DE1526,36),0)</f>
        <v/>
      </c>
      <c r="AN1526">
        <f>IFERROR(INDEX(PP_Grid[#Data],$DE1526,37),0)</f>
        <v/>
      </c>
      <c r="AO1526">
        <f>IFERROR(INDEX(PP_Grid[#Data],$DE1526,38),0)</f>
        <v/>
      </c>
      <c r="AP1526">
        <f>IFERROR(INDEX(PP_Grid[#Data],$DE1526,39),0)</f>
        <v/>
      </c>
      <c r="AQ1526">
        <f>IFERROR(INDEX(PP_Grid[#Data],$DE1526,40),0)</f>
        <v/>
      </c>
      <c r="AR1526">
        <f>IFERROR(INDEX(PP_Grid[#Data],$DE1526,41),0)</f>
        <v/>
      </c>
      <c r="AS1526">
        <f>IFERROR(INDEX(PP_Grid[#Data],$DE1526,42),0)</f>
        <v/>
      </c>
      <c r="AT1526">
        <f>IFERROR(INDEX(PP_Grid[#Data],$DE1526,43),0)</f>
        <v/>
      </c>
      <c r="AU1526">
        <f>IFERROR(INDEX(PP_Grid[#Data],$DE1526,44),0)</f>
        <v/>
      </c>
      <c r="AV1526">
        <f>IFERROR(INDEX(PP_Grid[#Data],$DE1526,45),0)</f>
        <v/>
      </c>
      <c r="AW1526">
        <f>IFERROR(INDEX(PP_Grid[#Data],$DE1526,46),0)</f>
        <v/>
      </c>
      <c r="AX1526">
        <f>IFERROR(INDEX(PP_Grid[#Data],$DE1526,47),0)</f>
        <v/>
      </c>
      <c r="AY1526">
        <f>IFERROR(INDEX(PP_Grid[#Data],$DE1526,48),0)</f>
        <v/>
      </c>
      <c r="AZ1526">
        <f>IFERROR(INDEX(PP_Grid[#Data],$DE1526,49),0)</f>
        <v/>
      </c>
      <c r="BA1526">
        <f>IFERROR(INDEX(PP_Grid[#Data],$DE1526,50),0)</f>
        <v/>
      </c>
      <c r="BB1526">
        <f>IFERROR(INDEX(PP_Grid[#Data],$DE1526,51),0)</f>
        <v/>
      </c>
      <c r="BC1526">
        <f>IFERROR(INDEX(PP_Grid[#Data],$DE1526,52),0)</f>
        <v/>
      </c>
      <c r="BD1526">
        <f>IFERROR(INDEX(PP_Grid[#Data],$DE1526,53),0)</f>
        <v/>
      </c>
      <c r="BE1526">
        <f>IFERROR(INDEX(PP_Grid[#Data],$DE1526,54),0)</f>
        <v/>
      </c>
      <c r="BF1526">
        <f>IFERROR(INDEX(PP_Grid[#Data],$DE1526,55),0)</f>
        <v/>
      </c>
      <c r="BG1526">
        <f>IFERROR(INDEX(PP_Grid[#Data],$DE1526,56),0)</f>
        <v/>
      </c>
      <c r="BH1526">
        <f>IFERROR(INDEX(PP_Grid[#Data],$DE1526,57),0)</f>
        <v/>
      </c>
      <c r="BI1526">
        <f>IFERROR(INDEX(PP_Grid[#Data],$DE1526,58),0)</f>
        <v/>
      </c>
      <c r="BJ1526">
        <f>IFERROR(INDEX(PP_Grid[#Data],$DE1526,59),0)</f>
        <v/>
      </c>
      <c r="BK1526">
        <f>IFERROR(INDEX(PP_Grid[#Data],$DE1526,60),0)</f>
        <v/>
      </c>
      <c r="BL1526">
        <f>IFERROR(INDEX(PP_Grid[#Data],$DE1526,61),0)</f>
        <v/>
      </c>
      <c r="BM1526">
        <f>IFERROR(INDEX(PP_Grid[#Data],$DE1526,62),0)</f>
        <v/>
      </c>
      <c r="BN1526">
        <f>IFERROR(INDEX(PP_Grid[#Data],$DE1526,63),0)</f>
        <v/>
      </c>
      <c r="BO1526">
        <f>IFERROR(INDEX(PP_Grid[#Data],$DE1526,64),0)</f>
        <v/>
      </c>
      <c r="BP1526">
        <f>IFERROR(INDEX(PP_Grid[#Data],$DE1526,65),0)</f>
        <v/>
      </c>
      <c r="BQ1526">
        <f>IFERROR(INDEX(PP_Grid[#Data],$DE1526,66),0)</f>
        <v/>
      </c>
      <c r="BR1526">
        <f>IFERROR(INDEX(PP_Grid[#Data],$DE1526,67),0)</f>
        <v/>
      </c>
      <c r="BS1526">
        <f>IFERROR(INDEX(PP_Grid[#Data],$DE1526,68),0)</f>
        <v/>
      </c>
      <c r="BT1526">
        <f>IFERROR(INDEX(PP_Grid[#Data],$DE1526,69),0)</f>
        <v/>
      </c>
      <c r="BU1526">
        <f>IFERROR(INDEX(PP_Grid[#Data],$DE1526,70),0)</f>
        <v/>
      </c>
      <c r="BV1526">
        <f>IFERROR(INDEX(PP_Grid[#Data],$DE1526,71),0)</f>
        <v/>
      </c>
      <c r="BW1526">
        <f>IFERROR(INDEX(PP_Grid[#Data],$DE1526,72),0)</f>
        <v/>
      </c>
      <c r="BX1526">
        <f>IFERROR(INDEX(PP_Grid[#Data],$DE1526,73),0)</f>
        <v/>
      </c>
      <c r="BY1526">
        <f>IFERROR(INDEX(PP_Grid[#Data],$DE1526,74),0)</f>
        <v/>
      </c>
      <c r="BZ1526">
        <f>IFERROR(INDEX(PP_Grid[#Data],$DE1526,75),0)</f>
        <v/>
      </c>
      <c r="CA1526">
        <f>IFERROR(INDEX(PP_Grid[#Data],$DE1526,76),0)</f>
        <v/>
      </c>
      <c r="CB1526">
        <f>IFERROR(INDEX(PP_Grid[#Data],$DE1526,77),0)</f>
        <v/>
      </c>
      <c r="CC1526">
        <f>IFERROR(INDEX(PP_Grid[#Data],$DE1526,78),0)</f>
        <v/>
      </c>
      <c r="CD1526">
        <f>IFERROR(INDEX(PP_Grid[#Data],$DE1526,79),0)</f>
        <v/>
      </c>
      <c r="CE1526">
        <f>IFERROR(INDEX(PP_Grid[#Data],$DE1526,80),0)</f>
        <v/>
      </c>
      <c r="CF1526">
        <f>IFERROR(INDEX(PP_Grid[#Data],$DE1526,81),0)</f>
        <v/>
      </c>
      <c r="CG1526">
        <f>IFERROR(INDEX(PP_Grid[#Data],$DE1526,82),0)</f>
        <v/>
      </c>
      <c r="CH1526">
        <f>IFERROR(INDEX(PP_Grid[#Data],$DE1526,83),0)</f>
        <v/>
      </c>
      <c r="CI1526">
        <f>IFERROR(INDEX(PP_Grid[#Data],$DE1526,84),0)</f>
        <v/>
      </c>
      <c r="CJ1526">
        <f>IFERROR(INDEX(PP_Grid[#Data],$DE1526,85),0)</f>
        <v/>
      </c>
      <c r="CK1526">
        <f>IFERROR(INDEX(PP_Grid[#Data],$DE1526,86),0)</f>
        <v/>
      </c>
      <c r="CL1526">
        <f>IFERROR(INDEX(PP_Grid[#Data],$DE1526,87),0)</f>
        <v/>
      </c>
      <c r="CM1526">
        <f>IFERROR(INDEX(PP_Grid[#Data],$DE1526,88),0)</f>
        <v/>
      </c>
      <c r="CN1526">
        <f>IFERROR(INDEX(PP_Grid[#Data],$DE1526,89),0)</f>
        <v/>
      </c>
      <c r="CO1526">
        <f>IFERROR(INDEX(PP_Grid[#Data],$DE1526,90),0)</f>
        <v/>
      </c>
      <c r="CP1526">
        <f>IFERROR(INDEX(PP_Grid[#Data],$DE1526,91),0)</f>
        <v/>
      </c>
      <c r="CQ1526">
        <f>IFERROR(INDEX(PP_Grid[#Data],$DE1526,92),0)</f>
        <v/>
      </c>
      <c r="CR1526">
        <f>IFERROR(INDEX(PP_Grid[#Data],$DE1526,93),0)</f>
        <v/>
      </c>
      <c r="CS1526">
        <f>IFERROR(INDEX(PP_Grid[#Data],$DE1526,94),0)</f>
        <v/>
      </c>
      <c r="CT1526">
        <f>IFERROR(INDEX(PP_Grid[#Data],$DE1526,95),0)</f>
        <v/>
      </c>
      <c r="CU1526">
        <f>IFERROR(INDEX(PP_Grid[#Data],$DE1526,96),0)</f>
        <v/>
      </c>
      <c r="CV1526">
        <f>IFERROR(INDEX(PP_Grid[#Data],$DE1526,97),0)</f>
        <v/>
      </c>
      <c r="CW1526">
        <f>IFERROR(INDEX(PP_Grid[#Data],$DE1526,98),0)</f>
        <v/>
      </c>
      <c r="CX1526">
        <f>IFERROR(INDEX(PP_Grid[#Data],$DE1526,99),0)</f>
        <v/>
      </c>
      <c r="CY1526">
        <f>IFERROR(INDEX(PP_Grid[#Data],$DE1526,100),0)</f>
        <v/>
      </c>
      <c r="CZ1526">
        <f>IFERROR(INDEX(PP_Grid[#Data],$DE1526,101),0)</f>
        <v/>
      </c>
      <c r="DA1526">
        <f>IFERROR(INDEX(PP_Grid[#Data],$DE1526,102),0)</f>
        <v/>
      </c>
      <c r="DB1526">
        <f>IFERROR(INDEX(PP_Grid[#Data],$DE1526,103),0)</f>
        <v/>
      </c>
      <c r="DC1526">
        <f>IFERROR(INDEX(PP_Grid[#Data],$DE1526,104),0)</f>
        <v/>
      </c>
      <c r="DD1526">
        <f>IFERROR(INDEX(PP_Grid[#Data],$DE1526,105),0)</f>
        <v/>
      </c>
      <c r="DE1526" s="7">
        <f>IFERROR(MATCH($B1526,PP_Grid[Intermediate],0),99999)</f>
        <v/>
      </c>
    </row>
    <row r="1527">
      <c r="B1527" t="inlineStr">
        <is>
          <t>使用量(kg)</t>
        </is>
      </c>
      <c r="C1527">
        <f>SUMIFS(M_BOM[RM_Qty_Per_Batch],M_BOM[Intermediate],$B1526,M_BOM[RM_Code],$A1501)</f>
        <v/>
      </c>
      <c r="D1527">
        <f>IFERROR(INDEX(E1527:DD1527,$F$1),"")</f>
        <v/>
      </c>
      <c r="E1527">
        <f>$C1527*E1526</f>
        <v/>
      </c>
      <c r="F1527">
        <f>$C1527*F1526</f>
        <v/>
      </c>
      <c r="G1527">
        <f>$C1527*G1526</f>
        <v/>
      </c>
      <c r="H1527">
        <f>$C1527*H1526</f>
        <v/>
      </c>
      <c r="I1527">
        <f>$C1527*I1526</f>
        <v/>
      </c>
      <c r="J1527">
        <f>$C1527*J1526</f>
        <v/>
      </c>
      <c r="K1527">
        <f>$C1527*K1526</f>
        <v/>
      </c>
      <c r="L1527">
        <f>$C1527*L1526</f>
        <v/>
      </c>
      <c r="M1527">
        <f>$C1527*M1526</f>
        <v/>
      </c>
      <c r="N1527">
        <f>$C1527*N1526</f>
        <v/>
      </c>
      <c r="O1527">
        <f>$C1527*O1526</f>
        <v/>
      </c>
      <c r="P1527">
        <f>$C1527*P1526</f>
        <v/>
      </c>
      <c r="Q1527">
        <f>$C1527*Q1526</f>
        <v/>
      </c>
      <c r="R1527">
        <f>$C1527*R1526</f>
        <v/>
      </c>
      <c r="S1527">
        <f>$C1527*S1526</f>
        <v/>
      </c>
      <c r="T1527">
        <f>$C1527*T1526</f>
        <v/>
      </c>
      <c r="U1527">
        <f>$C1527*U1526</f>
        <v/>
      </c>
      <c r="V1527">
        <f>$C1527*V1526</f>
        <v/>
      </c>
      <c r="W1527">
        <f>$C1527*W1526</f>
        <v/>
      </c>
      <c r="X1527">
        <f>$C1527*X1526</f>
        <v/>
      </c>
      <c r="Y1527">
        <f>$C1527*Y1526</f>
        <v/>
      </c>
      <c r="Z1527">
        <f>$C1527*Z1526</f>
        <v/>
      </c>
      <c r="AA1527">
        <f>$C1527*AA1526</f>
        <v/>
      </c>
      <c r="AB1527">
        <f>$C1527*AB1526</f>
        <v/>
      </c>
      <c r="AC1527">
        <f>$C1527*AC1526</f>
        <v/>
      </c>
      <c r="AD1527">
        <f>$C1527*AD1526</f>
        <v/>
      </c>
      <c r="AE1527">
        <f>$C1527*AE1526</f>
        <v/>
      </c>
      <c r="AF1527">
        <f>$C1527*AF1526</f>
        <v/>
      </c>
      <c r="AG1527">
        <f>$C1527*AG1526</f>
        <v/>
      </c>
      <c r="AH1527">
        <f>$C1527*AH1526</f>
        <v/>
      </c>
      <c r="AI1527">
        <f>$C1527*AI1526</f>
        <v/>
      </c>
      <c r="AJ1527">
        <f>$C1527*AJ1526</f>
        <v/>
      </c>
      <c r="AK1527">
        <f>$C1527*AK1526</f>
        <v/>
      </c>
      <c r="AL1527">
        <f>$C1527*AL1526</f>
        <v/>
      </c>
      <c r="AM1527">
        <f>$C1527*AM1526</f>
        <v/>
      </c>
      <c r="AN1527">
        <f>$C1527*AN1526</f>
        <v/>
      </c>
      <c r="AO1527">
        <f>$C1527*AO1526</f>
        <v/>
      </c>
      <c r="AP1527">
        <f>$C1527*AP1526</f>
        <v/>
      </c>
      <c r="AQ1527">
        <f>$C1527*AQ1526</f>
        <v/>
      </c>
      <c r="AR1527">
        <f>$C1527*AR1526</f>
        <v/>
      </c>
      <c r="AS1527">
        <f>$C1527*AS1526</f>
        <v/>
      </c>
      <c r="AT1527">
        <f>$C1527*AT1526</f>
        <v/>
      </c>
      <c r="AU1527">
        <f>$C1527*AU1526</f>
        <v/>
      </c>
      <c r="AV1527">
        <f>$C1527*AV1526</f>
        <v/>
      </c>
      <c r="AW1527">
        <f>$C1527*AW1526</f>
        <v/>
      </c>
      <c r="AX1527">
        <f>$C1527*AX1526</f>
        <v/>
      </c>
      <c r="AY1527">
        <f>$C1527*AY1526</f>
        <v/>
      </c>
      <c r="AZ1527">
        <f>$C1527*AZ1526</f>
        <v/>
      </c>
      <c r="BA1527">
        <f>$C1527*BA1526</f>
        <v/>
      </c>
      <c r="BB1527">
        <f>$C1527*BB1526</f>
        <v/>
      </c>
      <c r="BC1527">
        <f>$C1527*BC1526</f>
        <v/>
      </c>
      <c r="BD1527">
        <f>$C1527*BD1526</f>
        <v/>
      </c>
      <c r="BE1527">
        <f>$C1527*BE1526</f>
        <v/>
      </c>
      <c r="BF1527">
        <f>$C1527*BF1526</f>
        <v/>
      </c>
      <c r="BG1527">
        <f>$C1527*BG1526</f>
        <v/>
      </c>
      <c r="BH1527">
        <f>$C1527*BH1526</f>
        <v/>
      </c>
      <c r="BI1527">
        <f>$C1527*BI1526</f>
        <v/>
      </c>
      <c r="BJ1527">
        <f>$C1527*BJ1526</f>
        <v/>
      </c>
      <c r="BK1527">
        <f>$C1527*BK1526</f>
        <v/>
      </c>
      <c r="BL1527">
        <f>$C1527*BL1526</f>
        <v/>
      </c>
      <c r="BM1527">
        <f>$C1527*BM1526</f>
        <v/>
      </c>
      <c r="BN1527">
        <f>$C1527*BN1526</f>
        <v/>
      </c>
      <c r="BO1527">
        <f>$C1527*BO1526</f>
        <v/>
      </c>
      <c r="BP1527">
        <f>$C1527*BP1526</f>
        <v/>
      </c>
      <c r="BQ1527">
        <f>$C1527*BQ1526</f>
        <v/>
      </c>
      <c r="BR1527">
        <f>$C1527*BR1526</f>
        <v/>
      </c>
      <c r="BS1527">
        <f>$C1527*BS1526</f>
        <v/>
      </c>
      <c r="BT1527">
        <f>$C1527*BT1526</f>
        <v/>
      </c>
      <c r="BU1527">
        <f>$C1527*BU1526</f>
        <v/>
      </c>
      <c r="BV1527">
        <f>$C1527*BV1526</f>
        <v/>
      </c>
      <c r="BW1527">
        <f>$C1527*BW1526</f>
        <v/>
      </c>
      <c r="BX1527">
        <f>$C1527*BX1526</f>
        <v/>
      </c>
      <c r="BY1527">
        <f>$C1527*BY1526</f>
        <v/>
      </c>
      <c r="BZ1527">
        <f>$C1527*BZ1526</f>
        <v/>
      </c>
      <c r="CA1527">
        <f>$C1527*CA1526</f>
        <v/>
      </c>
      <c r="CB1527">
        <f>$C1527*CB1526</f>
        <v/>
      </c>
      <c r="CC1527">
        <f>$C1527*CC1526</f>
        <v/>
      </c>
      <c r="CD1527">
        <f>$C1527*CD1526</f>
        <v/>
      </c>
      <c r="CE1527">
        <f>$C1527*CE1526</f>
        <v/>
      </c>
      <c r="CF1527">
        <f>$C1527*CF1526</f>
        <v/>
      </c>
      <c r="CG1527">
        <f>$C1527*CG1526</f>
        <v/>
      </c>
      <c r="CH1527">
        <f>$C1527*CH1526</f>
        <v/>
      </c>
      <c r="CI1527">
        <f>$C1527*CI1526</f>
        <v/>
      </c>
      <c r="CJ1527">
        <f>$C1527*CJ1526</f>
        <v/>
      </c>
      <c r="CK1527">
        <f>$C1527*CK1526</f>
        <v/>
      </c>
      <c r="CL1527">
        <f>$C1527*CL1526</f>
        <v/>
      </c>
      <c r="CM1527">
        <f>$C1527*CM1526</f>
        <v/>
      </c>
      <c r="CN1527">
        <f>$C1527*CN1526</f>
        <v/>
      </c>
      <c r="CO1527">
        <f>$C1527*CO1526</f>
        <v/>
      </c>
      <c r="CP1527">
        <f>$C1527*CP1526</f>
        <v/>
      </c>
      <c r="CQ1527">
        <f>$C1527*CQ1526</f>
        <v/>
      </c>
      <c r="CR1527">
        <f>$C1527*CR1526</f>
        <v/>
      </c>
      <c r="CS1527">
        <f>$C1527*CS1526</f>
        <v/>
      </c>
      <c r="CT1527">
        <f>$C1527*CT1526</f>
        <v/>
      </c>
      <c r="CU1527">
        <f>$C1527*CU1526</f>
        <v/>
      </c>
      <c r="CV1527">
        <f>$C1527*CV1526</f>
        <v/>
      </c>
      <c r="CW1527">
        <f>$C1527*CW1526</f>
        <v/>
      </c>
      <c r="CX1527">
        <f>$C1527*CX1526</f>
        <v/>
      </c>
      <c r="CY1527">
        <f>$C1527*CY1526</f>
        <v/>
      </c>
      <c r="CZ1527">
        <f>$C1527*CZ1526</f>
        <v/>
      </c>
      <c r="DA1527">
        <f>$C1527*DA1526</f>
        <v/>
      </c>
      <c r="DB1527">
        <f>$C1527*DB1526</f>
        <v/>
      </c>
      <c r="DC1527">
        <f>$C1527*DC1526</f>
        <v/>
      </c>
      <c r="DD1527">
        <f>$C1527*DD1526</f>
        <v/>
      </c>
    </row>
    <row r="1528">
      <c r="B1528" t="inlineStr">
        <is>
          <t>TSP-1499</t>
        </is>
      </c>
      <c r="C1528" t="inlineStr">
        <is>
          <t>No. of batches</t>
        </is>
      </c>
      <c r="D1528">
        <f>IFERROR(INDEX(E1528:DD1528,$F$1),"")</f>
        <v/>
      </c>
      <c r="E1528">
        <f>IFERROR(INDEX(PP_Grid[#Data],$DE1528,2),0)</f>
        <v/>
      </c>
      <c r="F1528">
        <f>IFERROR(INDEX(PP_Grid[#Data],$DE1528,3),0)</f>
        <v/>
      </c>
      <c r="G1528">
        <f>IFERROR(INDEX(PP_Grid[#Data],$DE1528,4),0)</f>
        <v/>
      </c>
      <c r="H1528">
        <f>IFERROR(INDEX(PP_Grid[#Data],$DE1528,5),0)</f>
        <v/>
      </c>
      <c r="I1528">
        <f>IFERROR(INDEX(PP_Grid[#Data],$DE1528,6),0)</f>
        <v/>
      </c>
      <c r="J1528">
        <f>IFERROR(INDEX(PP_Grid[#Data],$DE1528,7),0)</f>
        <v/>
      </c>
      <c r="K1528">
        <f>IFERROR(INDEX(PP_Grid[#Data],$DE1528,8),0)</f>
        <v/>
      </c>
      <c r="L1528">
        <f>IFERROR(INDEX(PP_Grid[#Data],$DE1528,9),0)</f>
        <v/>
      </c>
      <c r="M1528">
        <f>IFERROR(INDEX(PP_Grid[#Data],$DE1528,10),0)</f>
        <v/>
      </c>
      <c r="N1528">
        <f>IFERROR(INDEX(PP_Grid[#Data],$DE1528,11),0)</f>
        <v/>
      </c>
      <c r="O1528">
        <f>IFERROR(INDEX(PP_Grid[#Data],$DE1528,12),0)</f>
        <v/>
      </c>
      <c r="P1528">
        <f>IFERROR(INDEX(PP_Grid[#Data],$DE1528,13),0)</f>
        <v/>
      </c>
      <c r="Q1528">
        <f>IFERROR(INDEX(PP_Grid[#Data],$DE1528,14),0)</f>
        <v/>
      </c>
      <c r="R1528">
        <f>IFERROR(INDEX(PP_Grid[#Data],$DE1528,15),0)</f>
        <v/>
      </c>
      <c r="S1528">
        <f>IFERROR(INDEX(PP_Grid[#Data],$DE1528,16),0)</f>
        <v/>
      </c>
      <c r="T1528">
        <f>IFERROR(INDEX(PP_Grid[#Data],$DE1528,17),0)</f>
        <v/>
      </c>
      <c r="U1528">
        <f>IFERROR(INDEX(PP_Grid[#Data],$DE1528,18),0)</f>
        <v/>
      </c>
      <c r="V1528">
        <f>IFERROR(INDEX(PP_Grid[#Data],$DE1528,19),0)</f>
        <v/>
      </c>
      <c r="W1528">
        <f>IFERROR(INDEX(PP_Grid[#Data],$DE1528,20),0)</f>
        <v/>
      </c>
      <c r="X1528">
        <f>IFERROR(INDEX(PP_Grid[#Data],$DE1528,21),0)</f>
        <v/>
      </c>
      <c r="Y1528">
        <f>IFERROR(INDEX(PP_Grid[#Data],$DE1528,22),0)</f>
        <v/>
      </c>
      <c r="Z1528">
        <f>IFERROR(INDEX(PP_Grid[#Data],$DE1528,23),0)</f>
        <v/>
      </c>
      <c r="AA1528">
        <f>IFERROR(INDEX(PP_Grid[#Data],$DE1528,24),0)</f>
        <v/>
      </c>
      <c r="AB1528">
        <f>IFERROR(INDEX(PP_Grid[#Data],$DE1528,25),0)</f>
        <v/>
      </c>
      <c r="AC1528">
        <f>IFERROR(INDEX(PP_Grid[#Data],$DE1528,26),0)</f>
        <v/>
      </c>
      <c r="AD1528">
        <f>IFERROR(INDEX(PP_Grid[#Data],$DE1528,27),0)</f>
        <v/>
      </c>
      <c r="AE1528">
        <f>IFERROR(INDEX(PP_Grid[#Data],$DE1528,28),0)</f>
        <v/>
      </c>
      <c r="AF1528">
        <f>IFERROR(INDEX(PP_Grid[#Data],$DE1528,29),0)</f>
        <v/>
      </c>
      <c r="AG1528">
        <f>IFERROR(INDEX(PP_Grid[#Data],$DE1528,30),0)</f>
        <v/>
      </c>
      <c r="AH1528">
        <f>IFERROR(INDEX(PP_Grid[#Data],$DE1528,31),0)</f>
        <v/>
      </c>
      <c r="AI1528">
        <f>IFERROR(INDEX(PP_Grid[#Data],$DE1528,32),0)</f>
        <v/>
      </c>
      <c r="AJ1528">
        <f>IFERROR(INDEX(PP_Grid[#Data],$DE1528,33),0)</f>
        <v/>
      </c>
      <c r="AK1528">
        <f>IFERROR(INDEX(PP_Grid[#Data],$DE1528,34),0)</f>
        <v/>
      </c>
      <c r="AL1528">
        <f>IFERROR(INDEX(PP_Grid[#Data],$DE1528,35),0)</f>
        <v/>
      </c>
      <c r="AM1528">
        <f>IFERROR(INDEX(PP_Grid[#Data],$DE1528,36),0)</f>
        <v/>
      </c>
      <c r="AN1528">
        <f>IFERROR(INDEX(PP_Grid[#Data],$DE1528,37),0)</f>
        <v/>
      </c>
      <c r="AO1528">
        <f>IFERROR(INDEX(PP_Grid[#Data],$DE1528,38),0)</f>
        <v/>
      </c>
      <c r="AP1528">
        <f>IFERROR(INDEX(PP_Grid[#Data],$DE1528,39),0)</f>
        <v/>
      </c>
      <c r="AQ1528">
        <f>IFERROR(INDEX(PP_Grid[#Data],$DE1528,40),0)</f>
        <v/>
      </c>
      <c r="AR1528">
        <f>IFERROR(INDEX(PP_Grid[#Data],$DE1528,41),0)</f>
        <v/>
      </c>
      <c r="AS1528">
        <f>IFERROR(INDEX(PP_Grid[#Data],$DE1528,42),0)</f>
        <v/>
      </c>
      <c r="AT1528">
        <f>IFERROR(INDEX(PP_Grid[#Data],$DE1528,43),0)</f>
        <v/>
      </c>
      <c r="AU1528">
        <f>IFERROR(INDEX(PP_Grid[#Data],$DE1528,44),0)</f>
        <v/>
      </c>
      <c r="AV1528">
        <f>IFERROR(INDEX(PP_Grid[#Data],$DE1528,45),0)</f>
        <v/>
      </c>
      <c r="AW1528">
        <f>IFERROR(INDEX(PP_Grid[#Data],$DE1528,46),0)</f>
        <v/>
      </c>
      <c r="AX1528">
        <f>IFERROR(INDEX(PP_Grid[#Data],$DE1528,47),0)</f>
        <v/>
      </c>
      <c r="AY1528">
        <f>IFERROR(INDEX(PP_Grid[#Data],$DE1528,48),0)</f>
        <v/>
      </c>
      <c r="AZ1528">
        <f>IFERROR(INDEX(PP_Grid[#Data],$DE1528,49),0)</f>
        <v/>
      </c>
      <c r="BA1528">
        <f>IFERROR(INDEX(PP_Grid[#Data],$DE1528,50),0)</f>
        <v/>
      </c>
      <c r="BB1528">
        <f>IFERROR(INDEX(PP_Grid[#Data],$DE1528,51),0)</f>
        <v/>
      </c>
      <c r="BC1528">
        <f>IFERROR(INDEX(PP_Grid[#Data],$DE1528,52),0)</f>
        <v/>
      </c>
      <c r="BD1528">
        <f>IFERROR(INDEX(PP_Grid[#Data],$DE1528,53),0)</f>
        <v/>
      </c>
      <c r="BE1528">
        <f>IFERROR(INDEX(PP_Grid[#Data],$DE1528,54),0)</f>
        <v/>
      </c>
      <c r="BF1528">
        <f>IFERROR(INDEX(PP_Grid[#Data],$DE1528,55),0)</f>
        <v/>
      </c>
      <c r="BG1528">
        <f>IFERROR(INDEX(PP_Grid[#Data],$DE1528,56),0)</f>
        <v/>
      </c>
      <c r="BH1528">
        <f>IFERROR(INDEX(PP_Grid[#Data],$DE1528,57),0)</f>
        <v/>
      </c>
      <c r="BI1528">
        <f>IFERROR(INDEX(PP_Grid[#Data],$DE1528,58),0)</f>
        <v/>
      </c>
      <c r="BJ1528">
        <f>IFERROR(INDEX(PP_Grid[#Data],$DE1528,59),0)</f>
        <v/>
      </c>
      <c r="BK1528">
        <f>IFERROR(INDEX(PP_Grid[#Data],$DE1528,60),0)</f>
        <v/>
      </c>
      <c r="BL1528">
        <f>IFERROR(INDEX(PP_Grid[#Data],$DE1528,61),0)</f>
        <v/>
      </c>
      <c r="BM1528">
        <f>IFERROR(INDEX(PP_Grid[#Data],$DE1528,62),0)</f>
        <v/>
      </c>
      <c r="BN1528">
        <f>IFERROR(INDEX(PP_Grid[#Data],$DE1528,63),0)</f>
        <v/>
      </c>
      <c r="BO1528">
        <f>IFERROR(INDEX(PP_Grid[#Data],$DE1528,64),0)</f>
        <v/>
      </c>
      <c r="BP1528">
        <f>IFERROR(INDEX(PP_Grid[#Data],$DE1528,65),0)</f>
        <v/>
      </c>
      <c r="BQ1528">
        <f>IFERROR(INDEX(PP_Grid[#Data],$DE1528,66),0)</f>
        <v/>
      </c>
      <c r="BR1528">
        <f>IFERROR(INDEX(PP_Grid[#Data],$DE1528,67),0)</f>
        <v/>
      </c>
      <c r="BS1528">
        <f>IFERROR(INDEX(PP_Grid[#Data],$DE1528,68),0)</f>
        <v/>
      </c>
      <c r="BT1528">
        <f>IFERROR(INDEX(PP_Grid[#Data],$DE1528,69),0)</f>
        <v/>
      </c>
      <c r="BU1528">
        <f>IFERROR(INDEX(PP_Grid[#Data],$DE1528,70),0)</f>
        <v/>
      </c>
      <c r="BV1528">
        <f>IFERROR(INDEX(PP_Grid[#Data],$DE1528,71),0)</f>
        <v/>
      </c>
      <c r="BW1528">
        <f>IFERROR(INDEX(PP_Grid[#Data],$DE1528,72),0)</f>
        <v/>
      </c>
      <c r="BX1528">
        <f>IFERROR(INDEX(PP_Grid[#Data],$DE1528,73),0)</f>
        <v/>
      </c>
      <c r="BY1528">
        <f>IFERROR(INDEX(PP_Grid[#Data],$DE1528,74),0)</f>
        <v/>
      </c>
      <c r="BZ1528">
        <f>IFERROR(INDEX(PP_Grid[#Data],$DE1528,75),0)</f>
        <v/>
      </c>
      <c r="CA1528">
        <f>IFERROR(INDEX(PP_Grid[#Data],$DE1528,76),0)</f>
        <v/>
      </c>
      <c r="CB1528">
        <f>IFERROR(INDEX(PP_Grid[#Data],$DE1528,77),0)</f>
        <v/>
      </c>
      <c r="CC1528">
        <f>IFERROR(INDEX(PP_Grid[#Data],$DE1528,78),0)</f>
        <v/>
      </c>
      <c r="CD1528">
        <f>IFERROR(INDEX(PP_Grid[#Data],$DE1528,79),0)</f>
        <v/>
      </c>
      <c r="CE1528">
        <f>IFERROR(INDEX(PP_Grid[#Data],$DE1528,80),0)</f>
        <v/>
      </c>
      <c r="CF1528">
        <f>IFERROR(INDEX(PP_Grid[#Data],$DE1528,81),0)</f>
        <v/>
      </c>
      <c r="CG1528">
        <f>IFERROR(INDEX(PP_Grid[#Data],$DE1528,82),0)</f>
        <v/>
      </c>
      <c r="CH1528">
        <f>IFERROR(INDEX(PP_Grid[#Data],$DE1528,83),0)</f>
        <v/>
      </c>
      <c r="CI1528">
        <f>IFERROR(INDEX(PP_Grid[#Data],$DE1528,84),0)</f>
        <v/>
      </c>
      <c r="CJ1528">
        <f>IFERROR(INDEX(PP_Grid[#Data],$DE1528,85),0)</f>
        <v/>
      </c>
      <c r="CK1528">
        <f>IFERROR(INDEX(PP_Grid[#Data],$DE1528,86),0)</f>
        <v/>
      </c>
      <c r="CL1528">
        <f>IFERROR(INDEX(PP_Grid[#Data],$DE1528,87),0)</f>
        <v/>
      </c>
      <c r="CM1528">
        <f>IFERROR(INDEX(PP_Grid[#Data],$DE1528,88),0)</f>
        <v/>
      </c>
      <c r="CN1528">
        <f>IFERROR(INDEX(PP_Grid[#Data],$DE1528,89),0)</f>
        <v/>
      </c>
      <c r="CO1528">
        <f>IFERROR(INDEX(PP_Grid[#Data],$DE1528,90),0)</f>
        <v/>
      </c>
      <c r="CP1528">
        <f>IFERROR(INDEX(PP_Grid[#Data],$DE1528,91),0)</f>
        <v/>
      </c>
      <c r="CQ1528">
        <f>IFERROR(INDEX(PP_Grid[#Data],$DE1528,92),0)</f>
        <v/>
      </c>
      <c r="CR1528">
        <f>IFERROR(INDEX(PP_Grid[#Data],$DE1528,93),0)</f>
        <v/>
      </c>
      <c r="CS1528">
        <f>IFERROR(INDEX(PP_Grid[#Data],$DE1528,94),0)</f>
        <v/>
      </c>
      <c r="CT1528">
        <f>IFERROR(INDEX(PP_Grid[#Data],$DE1528,95),0)</f>
        <v/>
      </c>
      <c r="CU1528">
        <f>IFERROR(INDEX(PP_Grid[#Data],$DE1528,96),0)</f>
        <v/>
      </c>
      <c r="CV1528">
        <f>IFERROR(INDEX(PP_Grid[#Data],$DE1528,97),0)</f>
        <v/>
      </c>
      <c r="CW1528">
        <f>IFERROR(INDEX(PP_Grid[#Data],$DE1528,98),0)</f>
        <v/>
      </c>
      <c r="CX1528">
        <f>IFERROR(INDEX(PP_Grid[#Data],$DE1528,99),0)</f>
        <v/>
      </c>
      <c r="CY1528">
        <f>IFERROR(INDEX(PP_Grid[#Data],$DE1528,100),0)</f>
        <v/>
      </c>
      <c r="CZ1528">
        <f>IFERROR(INDEX(PP_Grid[#Data],$DE1528,101),0)</f>
        <v/>
      </c>
      <c r="DA1528">
        <f>IFERROR(INDEX(PP_Grid[#Data],$DE1528,102),0)</f>
        <v/>
      </c>
      <c r="DB1528">
        <f>IFERROR(INDEX(PP_Grid[#Data],$DE1528,103),0)</f>
        <v/>
      </c>
      <c r="DC1528">
        <f>IFERROR(INDEX(PP_Grid[#Data],$DE1528,104),0)</f>
        <v/>
      </c>
      <c r="DD1528">
        <f>IFERROR(INDEX(PP_Grid[#Data],$DE1528,105),0)</f>
        <v/>
      </c>
      <c r="DE1528" s="7">
        <f>IFERROR(MATCH($B1528,PP_Grid[Intermediate],0),99999)</f>
        <v/>
      </c>
    </row>
    <row r="1529">
      <c r="B1529" t="inlineStr">
        <is>
          <t>使用量(kg)</t>
        </is>
      </c>
      <c r="C1529">
        <f>SUMIFS(M_BOM[RM_Qty_Per_Batch],M_BOM[Intermediate],$B1528,M_BOM[RM_Code],$A1501)</f>
        <v/>
      </c>
      <c r="D1529">
        <f>IFERROR(INDEX(E1529:DD1529,$F$1),"")</f>
        <v/>
      </c>
      <c r="E1529">
        <f>$C1529*E1528</f>
        <v/>
      </c>
      <c r="F1529">
        <f>$C1529*F1528</f>
        <v/>
      </c>
      <c r="G1529">
        <f>$C1529*G1528</f>
        <v/>
      </c>
      <c r="H1529">
        <f>$C1529*H1528</f>
        <v/>
      </c>
      <c r="I1529">
        <f>$C1529*I1528</f>
        <v/>
      </c>
      <c r="J1529">
        <f>$C1529*J1528</f>
        <v/>
      </c>
      <c r="K1529">
        <f>$C1529*K1528</f>
        <v/>
      </c>
      <c r="L1529">
        <f>$C1529*L1528</f>
        <v/>
      </c>
      <c r="M1529">
        <f>$C1529*M1528</f>
        <v/>
      </c>
      <c r="N1529">
        <f>$C1529*N1528</f>
        <v/>
      </c>
      <c r="O1529">
        <f>$C1529*O1528</f>
        <v/>
      </c>
      <c r="P1529">
        <f>$C1529*P1528</f>
        <v/>
      </c>
      <c r="Q1529">
        <f>$C1529*Q1528</f>
        <v/>
      </c>
      <c r="R1529">
        <f>$C1529*R1528</f>
        <v/>
      </c>
      <c r="S1529">
        <f>$C1529*S1528</f>
        <v/>
      </c>
      <c r="T1529">
        <f>$C1529*T1528</f>
        <v/>
      </c>
      <c r="U1529">
        <f>$C1529*U1528</f>
        <v/>
      </c>
      <c r="V1529">
        <f>$C1529*V1528</f>
        <v/>
      </c>
      <c r="W1529">
        <f>$C1529*W1528</f>
        <v/>
      </c>
      <c r="X1529">
        <f>$C1529*X1528</f>
        <v/>
      </c>
      <c r="Y1529">
        <f>$C1529*Y1528</f>
        <v/>
      </c>
      <c r="Z1529">
        <f>$C1529*Z1528</f>
        <v/>
      </c>
      <c r="AA1529">
        <f>$C1529*AA1528</f>
        <v/>
      </c>
      <c r="AB1529">
        <f>$C1529*AB1528</f>
        <v/>
      </c>
      <c r="AC1529">
        <f>$C1529*AC1528</f>
        <v/>
      </c>
      <c r="AD1529">
        <f>$C1529*AD1528</f>
        <v/>
      </c>
      <c r="AE1529">
        <f>$C1529*AE1528</f>
        <v/>
      </c>
      <c r="AF1529">
        <f>$C1529*AF1528</f>
        <v/>
      </c>
      <c r="AG1529">
        <f>$C1529*AG1528</f>
        <v/>
      </c>
      <c r="AH1529">
        <f>$C1529*AH1528</f>
        <v/>
      </c>
      <c r="AI1529">
        <f>$C1529*AI1528</f>
        <v/>
      </c>
      <c r="AJ1529">
        <f>$C1529*AJ1528</f>
        <v/>
      </c>
      <c r="AK1529">
        <f>$C1529*AK1528</f>
        <v/>
      </c>
      <c r="AL1529">
        <f>$C1529*AL1528</f>
        <v/>
      </c>
      <c r="AM1529">
        <f>$C1529*AM1528</f>
        <v/>
      </c>
      <c r="AN1529">
        <f>$C1529*AN1528</f>
        <v/>
      </c>
      <c r="AO1529">
        <f>$C1529*AO1528</f>
        <v/>
      </c>
      <c r="AP1529">
        <f>$C1529*AP1528</f>
        <v/>
      </c>
      <c r="AQ1529">
        <f>$C1529*AQ1528</f>
        <v/>
      </c>
      <c r="AR1529">
        <f>$C1529*AR1528</f>
        <v/>
      </c>
      <c r="AS1529">
        <f>$C1529*AS1528</f>
        <v/>
      </c>
      <c r="AT1529">
        <f>$C1529*AT1528</f>
        <v/>
      </c>
      <c r="AU1529">
        <f>$C1529*AU1528</f>
        <v/>
      </c>
      <c r="AV1529">
        <f>$C1529*AV1528</f>
        <v/>
      </c>
      <c r="AW1529">
        <f>$C1529*AW1528</f>
        <v/>
      </c>
      <c r="AX1529">
        <f>$C1529*AX1528</f>
        <v/>
      </c>
      <c r="AY1529">
        <f>$C1529*AY1528</f>
        <v/>
      </c>
      <c r="AZ1529">
        <f>$C1529*AZ1528</f>
        <v/>
      </c>
      <c r="BA1529">
        <f>$C1529*BA1528</f>
        <v/>
      </c>
      <c r="BB1529">
        <f>$C1529*BB1528</f>
        <v/>
      </c>
      <c r="BC1529">
        <f>$C1529*BC1528</f>
        <v/>
      </c>
      <c r="BD1529">
        <f>$C1529*BD1528</f>
        <v/>
      </c>
      <c r="BE1529">
        <f>$C1529*BE1528</f>
        <v/>
      </c>
      <c r="BF1529">
        <f>$C1529*BF1528</f>
        <v/>
      </c>
      <c r="BG1529">
        <f>$C1529*BG1528</f>
        <v/>
      </c>
      <c r="BH1529">
        <f>$C1529*BH1528</f>
        <v/>
      </c>
      <c r="BI1529">
        <f>$C1529*BI1528</f>
        <v/>
      </c>
      <c r="BJ1529">
        <f>$C1529*BJ1528</f>
        <v/>
      </c>
      <c r="BK1529">
        <f>$C1529*BK1528</f>
        <v/>
      </c>
      <c r="BL1529">
        <f>$C1529*BL1528</f>
        <v/>
      </c>
      <c r="BM1529">
        <f>$C1529*BM1528</f>
        <v/>
      </c>
      <c r="BN1529">
        <f>$C1529*BN1528</f>
        <v/>
      </c>
      <c r="BO1529">
        <f>$C1529*BO1528</f>
        <v/>
      </c>
      <c r="BP1529">
        <f>$C1529*BP1528</f>
        <v/>
      </c>
      <c r="BQ1529">
        <f>$C1529*BQ1528</f>
        <v/>
      </c>
      <c r="BR1529">
        <f>$C1529*BR1528</f>
        <v/>
      </c>
      <c r="BS1529">
        <f>$C1529*BS1528</f>
        <v/>
      </c>
      <c r="BT1529">
        <f>$C1529*BT1528</f>
        <v/>
      </c>
      <c r="BU1529">
        <f>$C1529*BU1528</f>
        <v/>
      </c>
      <c r="BV1529">
        <f>$C1529*BV1528</f>
        <v/>
      </c>
      <c r="BW1529">
        <f>$C1529*BW1528</f>
        <v/>
      </c>
      <c r="BX1529">
        <f>$C1529*BX1528</f>
        <v/>
      </c>
      <c r="BY1529">
        <f>$C1529*BY1528</f>
        <v/>
      </c>
      <c r="BZ1529">
        <f>$C1529*BZ1528</f>
        <v/>
      </c>
      <c r="CA1529">
        <f>$C1529*CA1528</f>
        <v/>
      </c>
      <c r="CB1529">
        <f>$C1529*CB1528</f>
        <v/>
      </c>
      <c r="CC1529">
        <f>$C1529*CC1528</f>
        <v/>
      </c>
      <c r="CD1529">
        <f>$C1529*CD1528</f>
        <v/>
      </c>
      <c r="CE1529">
        <f>$C1529*CE1528</f>
        <v/>
      </c>
      <c r="CF1529">
        <f>$C1529*CF1528</f>
        <v/>
      </c>
      <c r="CG1529">
        <f>$C1529*CG1528</f>
        <v/>
      </c>
      <c r="CH1529">
        <f>$C1529*CH1528</f>
        <v/>
      </c>
      <c r="CI1529">
        <f>$C1529*CI1528</f>
        <v/>
      </c>
      <c r="CJ1529">
        <f>$C1529*CJ1528</f>
        <v/>
      </c>
      <c r="CK1529">
        <f>$C1529*CK1528</f>
        <v/>
      </c>
      <c r="CL1529">
        <f>$C1529*CL1528</f>
        <v/>
      </c>
      <c r="CM1529">
        <f>$C1529*CM1528</f>
        <v/>
      </c>
      <c r="CN1529">
        <f>$C1529*CN1528</f>
        <v/>
      </c>
      <c r="CO1529">
        <f>$C1529*CO1528</f>
        <v/>
      </c>
      <c r="CP1529">
        <f>$C1529*CP1528</f>
        <v/>
      </c>
      <c r="CQ1529">
        <f>$C1529*CQ1528</f>
        <v/>
      </c>
      <c r="CR1529">
        <f>$C1529*CR1528</f>
        <v/>
      </c>
      <c r="CS1529">
        <f>$C1529*CS1528</f>
        <v/>
      </c>
      <c r="CT1529">
        <f>$C1529*CT1528</f>
        <v/>
      </c>
      <c r="CU1529">
        <f>$C1529*CU1528</f>
        <v/>
      </c>
      <c r="CV1529">
        <f>$C1529*CV1528</f>
        <v/>
      </c>
      <c r="CW1529">
        <f>$C1529*CW1528</f>
        <v/>
      </c>
      <c r="CX1529">
        <f>$C1529*CX1528</f>
        <v/>
      </c>
      <c r="CY1529">
        <f>$C1529*CY1528</f>
        <v/>
      </c>
      <c r="CZ1529">
        <f>$C1529*CZ1528</f>
        <v/>
      </c>
      <c r="DA1529">
        <f>$C1529*DA1528</f>
        <v/>
      </c>
      <c r="DB1529">
        <f>$C1529*DB1528</f>
        <v/>
      </c>
      <c r="DC1529">
        <f>$C1529*DC1528</f>
        <v/>
      </c>
      <c r="DD1529">
        <f>$C1529*DD1528</f>
        <v/>
      </c>
    </row>
    <row r="1530">
      <c r="B1530" s="4" t="inlineStr">
        <is>
          <t>合計使用量(kg)/週</t>
        </is>
      </c>
      <c r="D1530" s="23">
        <f>IFERROR(INDEX(E1530:DD1530,$F$1),"")</f>
        <v/>
      </c>
      <c r="E1530">
        <f>'Grid_Requirement'!B9</f>
        <v/>
      </c>
      <c r="F1530">
        <f>'Grid_Requirement'!C9</f>
        <v/>
      </c>
      <c r="G1530">
        <f>'Grid_Requirement'!D9</f>
        <v/>
      </c>
      <c r="H1530">
        <f>'Grid_Requirement'!E9</f>
        <v/>
      </c>
      <c r="I1530">
        <f>'Grid_Requirement'!F9</f>
        <v/>
      </c>
      <c r="J1530">
        <f>'Grid_Requirement'!G9</f>
        <v/>
      </c>
      <c r="K1530">
        <f>'Grid_Requirement'!H9</f>
        <v/>
      </c>
      <c r="L1530">
        <f>'Grid_Requirement'!I9</f>
        <v/>
      </c>
      <c r="M1530">
        <f>'Grid_Requirement'!J9</f>
        <v/>
      </c>
      <c r="N1530">
        <f>'Grid_Requirement'!K9</f>
        <v/>
      </c>
      <c r="O1530">
        <f>'Grid_Requirement'!L9</f>
        <v/>
      </c>
      <c r="P1530">
        <f>'Grid_Requirement'!M9</f>
        <v/>
      </c>
      <c r="Q1530">
        <f>'Grid_Requirement'!N9</f>
        <v/>
      </c>
      <c r="R1530">
        <f>'Grid_Requirement'!O9</f>
        <v/>
      </c>
      <c r="S1530">
        <f>'Grid_Requirement'!P9</f>
        <v/>
      </c>
      <c r="T1530">
        <f>'Grid_Requirement'!Q9</f>
        <v/>
      </c>
      <c r="U1530">
        <f>'Grid_Requirement'!R9</f>
        <v/>
      </c>
      <c r="V1530">
        <f>'Grid_Requirement'!S9</f>
        <v/>
      </c>
      <c r="W1530">
        <f>'Grid_Requirement'!T9</f>
        <v/>
      </c>
      <c r="X1530">
        <f>'Grid_Requirement'!U9</f>
        <v/>
      </c>
      <c r="Y1530">
        <f>'Grid_Requirement'!V9</f>
        <v/>
      </c>
      <c r="Z1530">
        <f>'Grid_Requirement'!W9</f>
        <v/>
      </c>
      <c r="AA1530">
        <f>'Grid_Requirement'!X9</f>
        <v/>
      </c>
      <c r="AB1530">
        <f>'Grid_Requirement'!Y9</f>
        <v/>
      </c>
      <c r="AC1530">
        <f>'Grid_Requirement'!Z9</f>
        <v/>
      </c>
      <c r="AD1530">
        <f>'Grid_Requirement'!AA9</f>
        <v/>
      </c>
      <c r="AE1530">
        <f>'Grid_Requirement'!AB9</f>
        <v/>
      </c>
      <c r="AF1530">
        <f>'Grid_Requirement'!AC9</f>
        <v/>
      </c>
      <c r="AG1530">
        <f>'Grid_Requirement'!AD9</f>
        <v/>
      </c>
      <c r="AH1530">
        <f>'Grid_Requirement'!AE9</f>
        <v/>
      </c>
      <c r="AI1530">
        <f>'Grid_Requirement'!AF9</f>
        <v/>
      </c>
      <c r="AJ1530">
        <f>'Grid_Requirement'!AG9</f>
        <v/>
      </c>
      <c r="AK1530">
        <f>'Grid_Requirement'!AH9</f>
        <v/>
      </c>
      <c r="AL1530">
        <f>'Grid_Requirement'!AI9</f>
        <v/>
      </c>
      <c r="AM1530">
        <f>'Grid_Requirement'!AJ9</f>
        <v/>
      </c>
      <c r="AN1530">
        <f>'Grid_Requirement'!AK9</f>
        <v/>
      </c>
      <c r="AO1530">
        <f>'Grid_Requirement'!AL9</f>
        <v/>
      </c>
      <c r="AP1530">
        <f>'Grid_Requirement'!AM9</f>
        <v/>
      </c>
      <c r="AQ1530">
        <f>'Grid_Requirement'!AN9</f>
        <v/>
      </c>
      <c r="AR1530">
        <f>'Grid_Requirement'!AO9</f>
        <v/>
      </c>
      <c r="AS1530">
        <f>'Grid_Requirement'!AP9</f>
        <v/>
      </c>
      <c r="AT1530">
        <f>'Grid_Requirement'!AQ9</f>
        <v/>
      </c>
      <c r="AU1530">
        <f>'Grid_Requirement'!AR9</f>
        <v/>
      </c>
      <c r="AV1530">
        <f>'Grid_Requirement'!AS9</f>
        <v/>
      </c>
      <c r="AW1530">
        <f>'Grid_Requirement'!AT9</f>
        <v/>
      </c>
      <c r="AX1530">
        <f>'Grid_Requirement'!AU9</f>
        <v/>
      </c>
      <c r="AY1530">
        <f>'Grid_Requirement'!AV9</f>
        <v/>
      </c>
      <c r="AZ1530">
        <f>'Grid_Requirement'!AW9</f>
        <v/>
      </c>
      <c r="BA1530">
        <f>'Grid_Requirement'!AX9</f>
        <v/>
      </c>
      <c r="BB1530">
        <f>'Grid_Requirement'!AY9</f>
        <v/>
      </c>
      <c r="BC1530">
        <f>'Grid_Requirement'!AZ9</f>
        <v/>
      </c>
      <c r="BD1530">
        <f>'Grid_Requirement'!BA9</f>
        <v/>
      </c>
      <c r="BE1530">
        <f>'Grid_Requirement'!BB9</f>
        <v/>
      </c>
      <c r="BF1530">
        <f>'Grid_Requirement'!BC9</f>
        <v/>
      </c>
      <c r="BG1530">
        <f>'Grid_Requirement'!BD9</f>
        <v/>
      </c>
      <c r="BH1530">
        <f>'Grid_Requirement'!BE9</f>
        <v/>
      </c>
      <c r="BI1530">
        <f>'Grid_Requirement'!BF9</f>
        <v/>
      </c>
      <c r="BJ1530">
        <f>'Grid_Requirement'!BG9</f>
        <v/>
      </c>
      <c r="BK1530">
        <f>'Grid_Requirement'!BH9</f>
        <v/>
      </c>
      <c r="BL1530">
        <f>'Grid_Requirement'!BI9</f>
        <v/>
      </c>
      <c r="BM1530">
        <f>'Grid_Requirement'!BJ9</f>
        <v/>
      </c>
      <c r="BN1530">
        <f>'Grid_Requirement'!BK9</f>
        <v/>
      </c>
      <c r="BO1530">
        <f>'Grid_Requirement'!BL9</f>
        <v/>
      </c>
      <c r="BP1530">
        <f>'Grid_Requirement'!BM9</f>
        <v/>
      </c>
      <c r="BQ1530">
        <f>'Grid_Requirement'!BN9</f>
        <v/>
      </c>
      <c r="BR1530">
        <f>'Grid_Requirement'!BO9</f>
        <v/>
      </c>
      <c r="BS1530">
        <f>'Grid_Requirement'!BP9</f>
        <v/>
      </c>
      <c r="BT1530">
        <f>'Grid_Requirement'!BQ9</f>
        <v/>
      </c>
      <c r="BU1530">
        <f>'Grid_Requirement'!BR9</f>
        <v/>
      </c>
      <c r="BV1530">
        <f>'Grid_Requirement'!BS9</f>
        <v/>
      </c>
      <c r="BW1530">
        <f>'Grid_Requirement'!BT9</f>
        <v/>
      </c>
      <c r="BX1530">
        <f>'Grid_Requirement'!BU9</f>
        <v/>
      </c>
      <c r="BY1530">
        <f>'Grid_Requirement'!BV9</f>
        <v/>
      </c>
      <c r="BZ1530">
        <f>'Grid_Requirement'!BW9</f>
        <v/>
      </c>
      <c r="CA1530">
        <f>'Grid_Requirement'!BX9</f>
        <v/>
      </c>
      <c r="CB1530">
        <f>'Grid_Requirement'!BY9</f>
        <v/>
      </c>
      <c r="CC1530">
        <f>'Grid_Requirement'!BZ9</f>
        <v/>
      </c>
      <c r="CD1530">
        <f>'Grid_Requirement'!CA9</f>
        <v/>
      </c>
      <c r="CE1530">
        <f>'Grid_Requirement'!CB9</f>
        <v/>
      </c>
      <c r="CF1530">
        <f>'Grid_Requirement'!CC9</f>
        <v/>
      </c>
      <c r="CG1530">
        <f>'Grid_Requirement'!CD9</f>
        <v/>
      </c>
      <c r="CH1530">
        <f>'Grid_Requirement'!CE9</f>
        <v/>
      </c>
      <c r="CI1530">
        <f>'Grid_Requirement'!CF9</f>
        <v/>
      </c>
      <c r="CJ1530">
        <f>'Grid_Requirement'!CG9</f>
        <v/>
      </c>
      <c r="CK1530">
        <f>'Grid_Requirement'!CH9</f>
        <v/>
      </c>
      <c r="CL1530">
        <f>'Grid_Requirement'!CI9</f>
        <v/>
      </c>
      <c r="CM1530">
        <f>'Grid_Requirement'!CJ9</f>
        <v/>
      </c>
      <c r="CN1530">
        <f>'Grid_Requirement'!CK9</f>
        <v/>
      </c>
      <c r="CO1530">
        <f>'Grid_Requirement'!CL9</f>
        <v/>
      </c>
      <c r="CP1530">
        <f>'Grid_Requirement'!CM9</f>
        <v/>
      </c>
      <c r="CQ1530">
        <f>'Grid_Requirement'!CN9</f>
        <v/>
      </c>
      <c r="CR1530">
        <f>'Grid_Requirement'!CO9</f>
        <v/>
      </c>
      <c r="CS1530">
        <f>'Grid_Requirement'!CP9</f>
        <v/>
      </c>
      <c r="CT1530">
        <f>'Grid_Requirement'!CQ9</f>
        <v/>
      </c>
      <c r="CU1530">
        <f>'Grid_Requirement'!CR9</f>
        <v/>
      </c>
      <c r="CV1530">
        <f>'Grid_Requirement'!CS9</f>
        <v/>
      </c>
      <c r="CW1530">
        <f>'Grid_Requirement'!CT9</f>
        <v/>
      </c>
      <c r="CX1530">
        <f>'Grid_Requirement'!CU9</f>
        <v/>
      </c>
      <c r="CY1530">
        <f>'Grid_Requirement'!CV9</f>
        <v/>
      </c>
      <c r="CZ1530">
        <f>'Grid_Requirement'!CW9</f>
        <v/>
      </c>
      <c r="DA1530">
        <f>'Grid_Requirement'!CX9</f>
        <v/>
      </c>
      <c r="DB1530">
        <f>'Grid_Requirement'!CY9</f>
        <v/>
      </c>
      <c r="DC1530">
        <f>'Grid_Requirement'!CZ9</f>
        <v/>
      </c>
      <c r="DD1530">
        <f>'Grid_Requirement'!DA9</f>
        <v/>
      </c>
    </row>
    <row r="1531">
      <c r="B1531" t="inlineStr">
        <is>
          <t>TTAF在庫(実績,kg)</t>
        </is>
      </c>
      <c r="D1531">
        <f>IFERROR(INDEX(E1531:DD1531,$F$1),"")</f>
        <v/>
      </c>
      <c r="E1531">
        <f>IFERROR(SUMIFS(T_TTAFStock[TTAF_Qty],T_TTAFStock[RM_Code],$A1501,T_TTAFStock[WeekIndex],1),"")</f>
        <v/>
      </c>
      <c r="F1531">
        <f>IFERROR(SUMIFS(T_TTAFStock[TTAF_Qty],T_TTAFStock[RM_Code],$A1501,T_TTAFStock[WeekIndex],2),"")</f>
        <v/>
      </c>
      <c r="G1531">
        <f>IFERROR(SUMIFS(T_TTAFStock[TTAF_Qty],T_TTAFStock[RM_Code],$A1501,T_TTAFStock[WeekIndex],3),"")</f>
        <v/>
      </c>
      <c r="H1531">
        <f>IFERROR(SUMIFS(T_TTAFStock[TTAF_Qty],T_TTAFStock[RM_Code],$A1501,T_TTAFStock[WeekIndex],4),"")</f>
        <v/>
      </c>
      <c r="I1531">
        <f>IFERROR(SUMIFS(T_TTAFStock[TTAF_Qty],T_TTAFStock[RM_Code],$A1501,T_TTAFStock[WeekIndex],5),"")</f>
        <v/>
      </c>
      <c r="J1531">
        <f>IFERROR(SUMIFS(T_TTAFStock[TTAF_Qty],T_TTAFStock[RM_Code],$A1501,T_TTAFStock[WeekIndex],6),"")</f>
        <v/>
      </c>
      <c r="K1531">
        <f>IFERROR(SUMIFS(T_TTAFStock[TTAF_Qty],T_TTAFStock[RM_Code],$A1501,T_TTAFStock[WeekIndex],7),"")</f>
        <v/>
      </c>
      <c r="L1531">
        <f>IFERROR(SUMIFS(T_TTAFStock[TTAF_Qty],T_TTAFStock[RM_Code],$A1501,T_TTAFStock[WeekIndex],8),"")</f>
        <v/>
      </c>
      <c r="M1531">
        <f>IFERROR(SUMIFS(T_TTAFStock[TTAF_Qty],T_TTAFStock[RM_Code],$A1501,T_TTAFStock[WeekIndex],9),"")</f>
        <v/>
      </c>
      <c r="N1531">
        <f>IFERROR(SUMIFS(T_TTAFStock[TTAF_Qty],T_TTAFStock[RM_Code],$A1501,T_TTAFStock[WeekIndex],10),"")</f>
        <v/>
      </c>
      <c r="O1531">
        <f>IFERROR(SUMIFS(T_TTAFStock[TTAF_Qty],T_TTAFStock[RM_Code],$A1501,T_TTAFStock[WeekIndex],11),"")</f>
        <v/>
      </c>
      <c r="P1531">
        <f>IFERROR(SUMIFS(T_TTAFStock[TTAF_Qty],T_TTAFStock[RM_Code],$A1501,T_TTAFStock[WeekIndex],12),"")</f>
        <v/>
      </c>
      <c r="Q1531">
        <f>IFERROR(SUMIFS(T_TTAFStock[TTAF_Qty],T_TTAFStock[RM_Code],$A1501,T_TTAFStock[WeekIndex],13),"")</f>
        <v/>
      </c>
      <c r="R1531">
        <f>IFERROR(SUMIFS(T_TTAFStock[TTAF_Qty],T_TTAFStock[RM_Code],$A1501,T_TTAFStock[WeekIndex],14),"")</f>
        <v/>
      </c>
      <c r="S1531">
        <f>IFERROR(SUMIFS(T_TTAFStock[TTAF_Qty],T_TTAFStock[RM_Code],$A1501,T_TTAFStock[WeekIndex],15),"")</f>
        <v/>
      </c>
      <c r="T1531">
        <f>IFERROR(SUMIFS(T_TTAFStock[TTAF_Qty],T_TTAFStock[RM_Code],$A1501,T_TTAFStock[WeekIndex],16),"")</f>
        <v/>
      </c>
      <c r="U1531">
        <f>IFERROR(SUMIFS(T_TTAFStock[TTAF_Qty],T_TTAFStock[RM_Code],$A1501,T_TTAFStock[WeekIndex],17),"")</f>
        <v/>
      </c>
      <c r="V1531">
        <f>IFERROR(SUMIFS(T_TTAFStock[TTAF_Qty],T_TTAFStock[RM_Code],$A1501,T_TTAFStock[WeekIndex],18),"")</f>
        <v/>
      </c>
      <c r="W1531">
        <f>IFERROR(SUMIFS(T_TTAFStock[TTAF_Qty],T_TTAFStock[RM_Code],$A1501,T_TTAFStock[WeekIndex],19),"")</f>
        <v/>
      </c>
      <c r="X1531">
        <f>IFERROR(SUMIFS(T_TTAFStock[TTAF_Qty],T_TTAFStock[RM_Code],$A1501,T_TTAFStock[WeekIndex],20),"")</f>
        <v/>
      </c>
      <c r="Y1531">
        <f>IFERROR(SUMIFS(T_TTAFStock[TTAF_Qty],T_TTAFStock[RM_Code],$A1501,T_TTAFStock[WeekIndex],21),"")</f>
        <v/>
      </c>
      <c r="Z1531">
        <f>IFERROR(SUMIFS(T_TTAFStock[TTAF_Qty],T_TTAFStock[RM_Code],$A1501,T_TTAFStock[WeekIndex],22),"")</f>
        <v/>
      </c>
      <c r="AA1531">
        <f>IFERROR(SUMIFS(T_TTAFStock[TTAF_Qty],T_TTAFStock[RM_Code],$A1501,T_TTAFStock[WeekIndex],23),"")</f>
        <v/>
      </c>
      <c r="AB1531">
        <f>IFERROR(SUMIFS(T_TTAFStock[TTAF_Qty],T_TTAFStock[RM_Code],$A1501,T_TTAFStock[WeekIndex],24),"")</f>
        <v/>
      </c>
      <c r="AC1531">
        <f>IFERROR(SUMIFS(T_TTAFStock[TTAF_Qty],T_TTAFStock[RM_Code],$A1501,T_TTAFStock[WeekIndex],25),"")</f>
        <v/>
      </c>
      <c r="AD1531">
        <f>IFERROR(SUMIFS(T_TTAFStock[TTAF_Qty],T_TTAFStock[RM_Code],$A1501,T_TTAFStock[WeekIndex],26),"")</f>
        <v/>
      </c>
      <c r="AE1531">
        <f>IFERROR(SUMIFS(T_TTAFStock[TTAF_Qty],T_TTAFStock[RM_Code],$A1501,T_TTAFStock[WeekIndex],27),"")</f>
        <v/>
      </c>
      <c r="AF1531">
        <f>IFERROR(SUMIFS(T_TTAFStock[TTAF_Qty],T_TTAFStock[RM_Code],$A1501,T_TTAFStock[WeekIndex],28),"")</f>
        <v/>
      </c>
      <c r="AG1531">
        <f>IFERROR(SUMIFS(T_TTAFStock[TTAF_Qty],T_TTAFStock[RM_Code],$A1501,T_TTAFStock[WeekIndex],29),"")</f>
        <v/>
      </c>
      <c r="AH1531">
        <f>IFERROR(SUMIFS(T_TTAFStock[TTAF_Qty],T_TTAFStock[RM_Code],$A1501,T_TTAFStock[WeekIndex],30),"")</f>
        <v/>
      </c>
      <c r="AI1531">
        <f>IFERROR(SUMIFS(T_TTAFStock[TTAF_Qty],T_TTAFStock[RM_Code],$A1501,T_TTAFStock[WeekIndex],31),"")</f>
        <v/>
      </c>
      <c r="AJ1531">
        <f>IFERROR(SUMIFS(T_TTAFStock[TTAF_Qty],T_TTAFStock[RM_Code],$A1501,T_TTAFStock[WeekIndex],32),"")</f>
        <v/>
      </c>
      <c r="AK1531">
        <f>IFERROR(SUMIFS(T_TTAFStock[TTAF_Qty],T_TTAFStock[RM_Code],$A1501,T_TTAFStock[WeekIndex],33),"")</f>
        <v/>
      </c>
      <c r="AL1531">
        <f>IFERROR(SUMIFS(T_TTAFStock[TTAF_Qty],T_TTAFStock[RM_Code],$A1501,T_TTAFStock[WeekIndex],34),"")</f>
        <v/>
      </c>
      <c r="AM1531">
        <f>IFERROR(SUMIFS(T_TTAFStock[TTAF_Qty],T_TTAFStock[RM_Code],$A1501,T_TTAFStock[WeekIndex],35),"")</f>
        <v/>
      </c>
      <c r="AN1531">
        <f>IFERROR(SUMIFS(T_TTAFStock[TTAF_Qty],T_TTAFStock[RM_Code],$A1501,T_TTAFStock[WeekIndex],36),"")</f>
        <v/>
      </c>
      <c r="AO1531">
        <f>IFERROR(SUMIFS(T_TTAFStock[TTAF_Qty],T_TTAFStock[RM_Code],$A1501,T_TTAFStock[WeekIndex],37),"")</f>
        <v/>
      </c>
      <c r="AP1531">
        <f>IFERROR(SUMIFS(T_TTAFStock[TTAF_Qty],T_TTAFStock[RM_Code],$A1501,T_TTAFStock[WeekIndex],38),"")</f>
        <v/>
      </c>
      <c r="AQ1531">
        <f>IFERROR(SUMIFS(T_TTAFStock[TTAF_Qty],T_TTAFStock[RM_Code],$A1501,T_TTAFStock[WeekIndex],39),"")</f>
        <v/>
      </c>
      <c r="AR1531">
        <f>IFERROR(SUMIFS(T_TTAFStock[TTAF_Qty],T_TTAFStock[RM_Code],$A1501,T_TTAFStock[WeekIndex],40),"")</f>
        <v/>
      </c>
      <c r="AS1531">
        <f>IFERROR(SUMIFS(T_TTAFStock[TTAF_Qty],T_TTAFStock[RM_Code],$A1501,T_TTAFStock[WeekIndex],41),"")</f>
        <v/>
      </c>
      <c r="AT1531">
        <f>IFERROR(SUMIFS(T_TTAFStock[TTAF_Qty],T_TTAFStock[RM_Code],$A1501,T_TTAFStock[WeekIndex],42),"")</f>
        <v/>
      </c>
      <c r="AU1531">
        <f>IFERROR(SUMIFS(T_TTAFStock[TTAF_Qty],T_TTAFStock[RM_Code],$A1501,T_TTAFStock[WeekIndex],43),"")</f>
        <v/>
      </c>
      <c r="AV1531">
        <f>IFERROR(SUMIFS(T_TTAFStock[TTAF_Qty],T_TTAFStock[RM_Code],$A1501,T_TTAFStock[WeekIndex],44),"")</f>
        <v/>
      </c>
      <c r="AW1531">
        <f>IFERROR(SUMIFS(T_TTAFStock[TTAF_Qty],T_TTAFStock[RM_Code],$A1501,T_TTAFStock[WeekIndex],45),"")</f>
        <v/>
      </c>
      <c r="AX1531">
        <f>IFERROR(SUMIFS(T_TTAFStock[TTAF_Qty],T_TTAFStock[RM_Code],$A1501,T_TTAFStock[WeekIndex],46),"")</f>
        <v/>
      </c>
      <c r="AY1531">
        <f>IFERROR(SUMIFS(T_TTAFStock[TTAF_Qty],T_TTAFStock[RM_Code],$A1501,T_TTAFStock[WeekIndex],47),"")</f>
        <v/>
      </c>
      <c r="AZ1531">
        <f>IFERROR(SUMIFS(T_TTAFStock[TTAF_Qty],T_TTAFStock[RM_Code],$A1501,T_TTAFStock[WeekIndex],48),"")</f>
        <v/>
      </c>
      <c r="BA1531">
        <f>IFERROR(SUMIFS(T_TTAFStock[TTAF_Qty],T_TTAFStock[RM_Code],$A1501,T_TTAFStock[WeekIndex],49),"")</f>
        <v/>
      </c>
      <c r="BB1531">
        <f>IFERROR(SUMIFS(T_TTAFStock[TTAF_Qty],T_TTAFStock[RM_Code],$A1501,T_TTAFStock[WeekIndex],50),"")</f>
        <v/>
      </c>
      <c r="BC1531">
        <f>IFERROR(SUMIFS(T_TTAFStock[TTAF_Qty],T_TTAFStock[RM_Code],$A1501,T_TTAFStock[WeekIndex],51),"")</f>
        <v/>
      </c>
      <c r="BD1531">
        <f>IFERROR(SUMIFS(T_TTAFStock[TTAF_Qty],T_TTAFStock[RM_Code],$A1501,T_TTAFStock[WeekIndex],52),"")</f>
        <v/>
      </c>
      <c r="BE1531">
        <f>IFERROR(SUMIFS(T_TTAFStock[TTAF_Qty],T_TTAFStock[RM_Code],$A1501,T_TTAFStock[WeekIndex],53),"")</f>
        <v/>
      </c>
      <c r="BF1531">
        <f>IFERROR(SUMIFS(T_TTAFStock[TTAF_Qty],T_TTAFStock[RM_Code],$A1501,T_TTAFStock[WeekIndex],54),"")</f>
        <v/>
      </c>
      <c r="BG1531">
        <f>IFERROR(SUMIFS(T_TTAFStock[TTAF_Qty],T_TTAFStock[RM_Code],$A1501,T_TTAFStock[WeekIndex],55),"")</f>
        <v/>
      </c>
      <c r="BH1531">
        <f>IFERROR(SUMIFS(T_TTAFStock[TTAF_Qty],T_TTAFStock[RM_Code],$A1501,T_TTAFStock[WeekIndex],56),"")</f>
        <v/>
      </c>
      <c r="BI1531">
        <f>IFERROR(SUMIFS(T_TTAFStock[TTAF_Qty],T_TTAFStock[RM_Code],$A1501,T_TTAFStock[WeekIndex],57),"")</f>
        <v/>
      </c>
      <c r="BJ1531">
        <f>IFERROR(SUMIFS(T_TTAFStock[TTAF_Qty],T_TTAFStock[RM_Code],$A1501,T_TTAFStock[WeekIndex],58),"")</f>
        <v/>
      </c>
      <c r="BK1531">
        <f>IFERROR(SUMIFS(T_TTAFStock[TTAF_Qty],T_TTAFStock[RM_Code],$A1501,T_TTAFStock[WeekIndex],59),"")</f>
        <v/>
      </c>
      <c r="BL1531">
        <f>IFERROR(SUMIFS(T_TTAFStock[TTAF_Qty],T_TTAFStock[RM_Code],$A1501,T_TTAFStock[WeekIndex],60),"")</f>
        <v/>
      </c>
      <c r="BM1531">
        <f>IFERROR(SUMIFS(T_TTAFStock[TTAF_Qty],T_TTAFStock[RM_Code],$A1501,T_TTAFStock[WeekIndex],61),"")</f>
        <v/>
      </c>
      <c r="BN1531">
        <f>IFERROR(SUMIFS(T_TTAFStock[TTAF_Qty],T_TTAFStock[RM_Code],$A1501,T_TTAFStock[WeekIndex],62),"")</f>
        <v/>
      </c>
      <c r="BO1531">
        <f>IFERROR(SUMIFS(T_TTAFStock[TTAF_Qty],T_TTAFStock[RM_Code],$A1501,T_TTAFStock[WeekIndex],63),"")</f>
        <v/>
      </c>
      <c r="BP1531">
        <f>IFERROR(SUMIFS(T_TTAFStock[TTAF_Qty],T_TTAFStock[RM_Code],$A1501,T_TTAFStock[WeekIndex],64),"")</f>
        <v/>
      </c>
      <c r="BQ1531">
        <f>IFERROR(SUMIFS(T_TTAFStock[TTAF_Qty],T_TTAFStock[RM_Code],$A1501,T_TTAFStock[WeekIndex],65),"")</f>
        <v/>
      </c>
      <c r="BR1531">
        <f>IFERROR(SUMIFS(T_TTAFStock[TTAF_Qty],T_TTAFStock[RM_Code],$A1501,T_TTAFStock[WeekIndex],66),"")</f>
        <v/>
      </c>
      <c r="BS1531">
        <f>IFERROR(SUMIFS(T_TTAFStock[TTAF_Qty],T_TTAFStock[RM_Code],$A1501,T_TTAFStock[WeekIndex],67),"")</f>
        <v/>
      </c>
      <c r="BT1531">
        <f>IFERROR(SUMIFS(T_TTAFStock[TTAF_Qty],T_TTAFStock[RM_Code],$A1501,T_TTAFStock[WeekIndex],68),"")</f>
        <v/>
      </c>
      <c r="BU1531">
        <f>IFERROR(SUMIFS(T_TTAFStock[TTAF_Qty],T_TTAFStock[RM_Code],$A1501,T_TTAFStock[WeekIndex],69),"")</f>
        <v/>
      </c>
      <c r="BV1531">
        <f>IFERROR(SUMIFS(T_TTAFStock[TTAF_Qty],T_TTAFStock[RM_Code],$A1501,T_TTAFStock[WeekIndex],70),"")</f>
        <v/>
      </c>
      <c r="BW1531">
        <f>IFERROR(SUMIFS(T_TTAFStock[TTAF_Qty],T_TTAFStock[RM_Code],$A1501,T_TTAFStock[WeekIndex],71),"")</f>
        <v/>
      </c>
      <c r="BX1531">
        <f>IFERROR(SUMIFS(T_TTAFStock[TTAF_Qty],T_TTAFStock[RM_Code],$A1501,T_TTAFStock[WeekIndex],72),"")</f>
        <v/>
      </c>
      <c r="BY1531">
        <f>IFERROR(SUMIFS(T_TTAFStock[TTAF_Qty],T_TTAFStock[RM_Code],$A1501,T_TTAFStock[WeekIndex],73),"")</f>
        <v/>
      </c>
      <c r="BZ1531">
        <f>IFERROR(SUMIFS(T_TTAFStock[TTAF_Qty],T_TTAFStock[RM_Code],$A1501,T_TTAFStock[WeekIndex],74),"")</f>
        <v/>
      </c>
      <c r="CA1531">
        <f>IFERROR(SUMIFS(T_TTAFStock[TTAF_Qty],T_TTAFStock[RM_Code],$A1501,T_TTAFStock[WeekIndex],75),"")</f>
        <v/>
      </c>
      <c r="CB1531">
        <f>IFERROR(SUMIFS(T_TTAFStock[TTAF_Qty],T_TTAFStock[RM_Code],$A1501,T_TTAFStock[WeekIndex],76),"")</f>
        <v/>
      </c>
      <c r="CC1531">
        <f>IFERROR(SUMIFS(T_TTAFStock[TTAF_Qty],T_TTAFStock[RM_Code],$A1501,T_TTAFStock[WeekIndex],77),"")</f>
        <v/>
      </c>
      <c r="CD1531">
        <f>IFERROR(SUMIFS(T_TTAFStock[TTAF_Qty],T_TTAFStock[RM_Code],$A1501,T_TTAFStock[WeekIndex],78),"")</f>
        <v/>
      </c>
      <c r="CE1531">
        <f>IFERROR(SUMIFS(T_TTAFStock[TTAF_Qty],T_TTAFStock[RM_Code],$A1501,T_TTAFStock[WeekIndex],79),"")</f>
        <v/>
      </c>
      <c r="CF1531">
        <f>IFERROR(SUMIFS(T_TTAFStock[TTAF_Qty],T_TTAFStock[RM_Code],$A1501,T_TTAFStock[WeekIndex],80),"")</f>
        <v/>
      </c>
      <c r="CG1531">
        <f>IFERROR(SUMIFS(T_TTAFStock[TTAF_Qty],T_TTAFStock[RM_Code],$A1501,T_TTAFStock[WeekIndex],81),"")</f>
        <v/>
      </c>
      <c r="CH1531">
        <f>IFERROR(SUMIFS(T_TTAFStock[TTAF_Qty],T_TTAFStock[RM_Code],$A1501,T_TTAFStock[WeekIndex],82),"")</f>
        <v/>
      </c>
      <c r="CI1531">
        <f>IFERROR(SUMIFS(T_TTAFStock[TTAF_Qty],T_TTAFStock[RM_Code],$A1501,T_TTAFStock[WeekIndex],83),"")</f>
        <v/>
      </c>
      <c r="CJ1531">
        <f>IFERROR(SUMIFS(T_TTAFStock[TTAF_Qty],T_TTAFStock[RM_Code],$A1501,T_TTAFStock[WeekIndex],84),"")</f>
        <v/>
      </c>
      <c r="CK1531">
        <f>IFERROR(SUMIFS(T_TTAFStock[TTAF_Qty],T_TTAFStock[RM_Code],$A1501,T_TTAFStock[WeekIndex],85),"")</f>
        <v/>
      </c>
      <c r="CL1531">
        <f>IFERROR(SUMIFS(T_TTAFStock[TTAF_Qty],T_TTAFStock[RM_Code],$A1501,T_TTAFStock[WeekIndex],86),"")</f>
        <v/>
      </c>
      <c r="CM1531">
        <f>IFERROR(SUMIFS(T_TTAFStock[TTAF_Qty],T_TTAFStock[RM_Code],$A1501,T_TTAFStock[WeekIndex],87),"")</f>
        <v/>
      </c>
      <c r="CN1531">
        <f>IFERROR(SUMIFS(T_TTAFStock[TTAF_Qty],T_TTAFStock[RM_Code],$A1501,T_TTAFStock[WeekIndex],88),"")</f>
        <v/>
      </c>
      <c r="CO1531">
        <f>IFERROR(SUMIFS(T_TTAFStock[TTAF_Qty],T_TTAFStock[RM_Code],$A1501,T_TTAFStock[WeekIndex],89),"")</f>
        <v/>
      </c>
      <c r="CP1531">
        <f>IFERROR(SUMIFS(T_TTAFStock[TTAF_Qty],T_TTAFStock[RM_Code],$A1501,T_TTAFStock[WeekIndex],90),"")</f>
        <v/>
      </c>
      <c r="CQ1531">
        <f>IFERROR(SUMIFS(T_TTAFStock[TTAF_Qty],T_TTAFStock[RM_Code],$A1501,T_TTAFStock[WeekIndex],91),"")</f>
        <v/>
      </c>
      <c r="CR1531">
        <f>IFERROR(SUMIFS(T_TTAFStock[TTAF_Qty],T_TTAFStock[RM_Code],$A1501,T_TTAFStock[WeekIndex],92),"")</f>
        <v/>
      </c>
      <c r="CS1531">
        <f>IFERROR(SUMIFS(T_TTAFStock[TTAF_Qty],T_TTAFStock[RM_Code],$A1501,T_TTAFStock[WeekIndex],93),"")</f>
        <v/>
      </c>
      <c r="CT1531">
        <f>IFERROR(SUMIFS(T_TTAFStock[TTAF_Qty],T_TTAFStock[RM_Code],$A1501,T_TTAFStock[WeekIndex],94),"")</f>
        <v/>
      </c>
      <c r="CU1531">
        <f>IFERROR(SUMIFS(T_TTAFStock[TTAF_Qty],T_TTAFStock[RM_Code],$A1501,T_TTAFStock[WeekIndex],95),"")</f>
        <v/>
      </c>
      <c r="CV1531">
        <f>IFERROR(SUMIFS(T_TTAFStock[TTAF_Qty],T_TTAFStock[RM_Code],$A1501,T_TTAFStock[WeekIndex],96),"")</f>
        <v/>
      </c>
      <c r="CW1531">
        <f>IFERROR(SUMIFS(T_TTAFStock[TTAF_Qty],T_TTAFStock[RM_Code],$A1501,T_TTAFStock[WeekIndex],97),"")</f>
        <v/>
      </c>
      <c r="CX1531">
        <f>IFERROR(SUMIFS(T_TTAFStock[TTAF_Qty],T_TTAFStock[RM_Code],$A1501,T_TTAFStock[WeekIndex],98),"")</f>
        <v/>
      </c>
      <c r="CY1531">
        <f>IFERROR(SUMIFS(T_TTAFStock[TTAF_Qty],T_TTAFStock[RM_Code],$A1501,T_TTAFStock[WeekIndex],99),"")</f>
        <v/>
      </c>
      <c r="CZ1531">
        <f>IFERROR(SUMIFS(T_TTAFStock[TTAF_Qty],T_TTAFStock[RM_Code],$A1501,T_TTAFStock[WeekIndex],100),"")</f>
        <v/>
      </c>
      <c r="DA1531">
        <f>IFERROR(SUMIFS(T_TTAFStock[TTAF_Qty],T_TTAFStock[RM_Code],$A1501,T_TTAFStock[WeekIndex],101),"")</f>
        <v/>
      </c>
      <c r="DB1531">
        <f>IFERROR(SUMIFS(T_TTAFStock[TTAF_Qty],T_TTAFStock[RM_Code],$A1501,T_TTAFStock[WeekIndex],102),"")</f>
        <v/>
      </c>
      <c r="DC1531">
        <f>IFERROR(SUMIFS(T_TTAFStock[TTAF_Qty],T_TTAFStock[RM_Code],$A1501,T_TTAFStock[WeekIndex],103),"")</f>
        <v/>
      </c>
      <c r="DD1531">
        <f>IFERROR(SUMIFS(T_TTAFStock[TTAF_Qty],T_TTAFStock[RM_Code],$A1501,T_TTAFStock[WeekIndex],104),"")</f>
        <v/>
      </c>
    </row>
    <row r="1532">
      <c r="B1532" t="inlineStr">
        <is>
          <t>自社在庫(実績,kg)</t>
        </is>
      </c>
      <c r="D1532">
        <f>IFERROR(INDEX(E1532:DD1532,$F$1),"")</f>
        <v/>
      </c>
      <c r="E1532">
        <f>IFERROR(SUMIFS(T_SelfStock[Self_Qty],T_SelfStock[RM_Code],$A1501,T_SelfStock[WeekIndex],1),"")</f>
        <v/>
      </c>
      <c r="F1532">
        <f>IFERROR(SUMIFS(T_SelfStock[Self_Qty],T_SelfStock[RM_Code],$A1501,T_SelfStock[WeekIndex],2),"")</f>
        <v/>
      </c>
      <c r="G1532">
        <f>IFERROR(SUMIFS(T_SelfStock[Self_Qty],T_SelfStock[RM_Code],$A1501,T_SelfStock[WeekIndex],3),"")</f>
        <v/>
      </c>
      <c r="H1532">
        <f>IFERROR(SUMIFS(T_SelfStock[Self_Qty],T_SelfStock[RM_Code],$A1501,T_SelfStock[WeekIndex],4),"")</f>
        <v/>
      </c>
      <c r="I1532">
        <f>IFERROR(SUMIFS(T_SelfStock[Self_Qty],T_SelfStock[RM_Code],$A1501,T_SelfStock[WeekIndex],5),"")</f>
        <v/>
      </c>
      <c r="J1532">
        <f>IFERROR(SUMIFS(T_SelfStock[Self_Qty],T_SelfStock[RM_Code],$A1501,T_SelfStock[WeekIndex],6),"")</f>
        <v/>
      </c>
      <c r="K1532">
        <f>IFERROR(SUMIFS(T_SelfStock[Self_Qty],T_SelfStock[RM_Code],$A1501,T_SelfStock[WeekIndex],7),"")</f>
        <v/>
      </c>
      <c r="L1532">
        <f>IFERROR(SUMIFS(T_SelfStock[Self_Qty],T_SelfStock[RM_Code],$A1501,T_SelfStock[WeekIndex],8),"")</f>
        <v/>
      </c>
      <c r="M1532">
        <f>IFERROR(SUMIFS(T_SelfStock[Self_Qty],T_SelfStock[RM_Code],$A1501,T_SelfStock[WeekIndex],9),"")</f>
        <v/>
      </c>
      <c r="N1532">
        <f>IFERROR(SUMIFS(T_SelfStock[Self_Qty],T_SelfStock[RM_Code],$A1501,T_SelfStock[WeekIndex],10),"")</f>
        <v/>
      </c>
      <c r="O1532">
        <f>IFERROR(SUMIFS(T_SelfStock[Self_Qty],T_SelfStock[RM_Code],$A1501,T_SelfStock[WeekIndex],11),"")</f>
        <v/>
      </c>
      <c r="P1532">
        <f>IFERROR(SUMIFS(T_SelfStock[Self_Qty],T_SelfStock[RM_Code],$A1501,T_SelfStock[WeekIndex],12),"")</f>
        <v/>
      </c>
      <c r="Q1532">
        <f>IFERROR(SUMIFS(T_SelfStock[Self_Qty],T_SelfStock[RM_Code],$A1501,T_SelfStock[WeekIndex],13),"")</f>
        <v/>
      </c>
      <c r="R1532">
        <f>IFERROR(SUMIFS(T_SelfStock[Self_Qty],T_SelfStock[RM_Code],$A1501,T_SelfStock[WeekIndex],14),"")</f>
        <v/>
      </c>
      <c r="S1532">
        <f>IFERROR(SUMIFS(T_SelfStock[Self_Qty],T_SelfStock[RM_Code],$A1501,T_SelfStock[WeekIndex],15),"")</f>
        <v/>
      </c>
      <c r="T1532">
        <f>IFERROR(SUMIFS(T_SelfStock[Self_Qty],T_SelfStock[RM_Code],$A1501,T_SelfStock[WeekIndex],16),"")</f>
        <v/>
      </c>
      <c r="U1532">
        <f>IFERROR(SUMIFS(T_SelfStock[Self_Qty],T_SelfStock[RM_Code],$A1501,T_SelfStock[WeekIndex],17),"")</f>
        <v/>
      </c>
      <c r="V1532">
        <f>IFERROR(SUMIFS(T_SelfStock[Self_Qty],T_SelfStock[RM_Code],$A1501,T_SelfStock[WeekIndex],18),"")</f>
        <v/>
      </c>
      <c r="W1532">
        <f>IFERROR(SUMIFS(T_SelfStock[Self_Qty],T_SelfStock[RM_Code],$A1501,T_SelfStock[WeekIndex],19),"")</f>
        <v/>
      </c>
      <c r="X1532">
        <f>IFERROR(SUMIFS(T_SelfStock[Self_Qty],T_SelfStock[RM_Code],$A1501,T_SelfStock[WeekIndex],20),"")</f>
        <v/>
      </c>
      <c r="Y1532">
        <f>IFERROR(SUMIFS(T_SelfStock[Self_Qty],T_SelfStock[RM_Code],$A1501,T_SelfStock[WeekIndex],21),"")</f>
        <v/>
      </c>
      <c r="Z1532">
        <f>IFERROR(SUMIFS(T_SelfStock[Self_Qty],T_SelfStock[RM_Code],$A1501,T_SelfStock[WeekIndex],22),"")</f>
        <v/>
      </c>
      <c r="AA1532">
        <f>IFERROR(SUMIFS(T_SelfStock[Self_Qty],T_SelfStock[RM_Code],$A1501,T_SelfStock[WeekIndex],23),"")</f>
        <v/>
      </c>
      <c r="AB1532">
        <f>IFERROR(SUMIFS(T_SelfStock[Self_Qty],T_SelfStock[RM_Code],$A1501,T_SelfStock[WeekIndex],24),"")</f>
        <v/>
      </c>
      <c r="AC1532">
        <f>IFERROR(SUMIFS(T_SelfStock[Self_Qty],T_SelfStock[RM_Code],$A1501,T_SelfStock[WeekIndex],25),"")</f>
        <v/>
      </c>
      <c r="AD1532">
        <f>IFERROR(SUMIFS(T_SelfStock[Self_Qty],T_SelfStock[RM_Code],$A1501,T_SelfStock[WeekIndex],26),"")</f>
        <v/>
      </c>
      <c r="AE1532">
        <f>IFERROR(SUMIFS(T_SelfStock[Self_Qty],T_SelfStock[RM_Code],$A1501,T_SelfStock[WeekIndex],27),"")</f>
        <v/>
      </c>
      <c r="AF1532">
        <f>IFERROR(SUMIFS(T_SelfStock[Self_Qty],T_SelfStock[RM_Code],$A1501,T_SelfStock[WeekIndex],28),"")</f>
        <v/>
      </c>
      <c r="AG1532">
        <f>IFERROR(SUMIFS(T_SelfStock[Self_Qty],T_SelfStock[RM_Code],$A1501,T_SelfStock[WeekIndex],29),"")</f>
        <v/>
      </c>
      <c r="AH1532">
        <f>IFERROR(SUMIFS(T_SelfStock[Self_Qty],T_SelfStock[RM_Code],$A1501,T_SelfStock[WeekIndex],30),"")</f>
        <v/>
      </c>
      <c r="AI1532">
        <f>IFERROR(SUMIFS(T_SelfStock[Self_Qty],T_SelfStock[RM_Code],$A1501,T_SelfStock[WeekIndex],31),"")</f>
        <v/>
      </c>
      <c r="AJ1532">
        <f>IFERROR(SUMIFS(T_SelfStock[Self_Qty],T_SelfStock[RM_Code],$A1501,T_SelfStock[WeekIndex],32),"")</f>
        <v/>
      </c>
      <c r="AK1532">
        <f>IFERROR(SUMIFS(T_SelfStock[Self_Qty],T_SelfStock[RM_Code],$A1501,T_SelfStock[WeekIndex],33),"")</f>
        <v/>
      </c>
      <c r="AL1532">
        <f>IFERROR(SUMIFS(T_SelfStock[Self_Qty],T_SelfStock[RM_Code],$A1501,T_SelfStock[WeekIndex],34),"")</f>
        <v/>
      </c>
      <c r="AM1532">
        <f>IFERROR(SUMIFS(T_SelfStock[Self_Qty],T_SelfStock[RM_Code],$A1501,T_SelfStock[WeekIndex],35),"")</f>
        <v/>
      </c>
      <c r="AN1532">
        <f>IFERROR(SUMIFS(T_SelfStock[Self_Qty],T_SelfStock[RM_Code],$A1501,T_SelfStock[WeekIndex],36),"")</f>
        <v/>
      </c>
      <c r="AO1532">
        <f>IFERROR(SUMIFS(T_SelfStock[Self_Qty],T_SelfStock[RM_Code],$A1501,T_SelfStock[WeekIndex],37),"")</f>
        <v/>
      </c>
      <c r="AP1532">
        <f>IFERROR(SUMIFS(T_SelfStock[Self_Qty],T_SelfStock[RM_Code],$A1501,T_SelfStock[WeekIndex],38),"")</f>
        <v/>
      </c>
      <c r="AQ1532">
        <f>IFERROR(SUMIFS(T_SelfStock[Self_Qty],T_SelfStock[RM_Code],$A1501,T_SelfStock[WeekIndex],39),"")</f>
        <v/>
      </c>
      <c r="AR1532">
        <f>IFERROR(SUMIFS(T_SelfStock[Self_Qty],T_SelfStock[RM_Code],$A1501,T_SelfStock[WeekIndex],40),"")</f>
        <v/>
      </c>
      <c r="AS1532">
        <f>IFERROR(SUMIFS(T_SelfStock[Self_Qty],T_SelfStock[RM_Code],$A1501,T_SelfStock[WeekIndex],41),"")</f>
        <v/>
      </c>
      <c r="AT1532">
        <f>IFERROR(SUMIFS(T_SelfStock[Self_Qty],T_SelfStock[RM_Code],$A1501,T_SelfStock[WeekIndex],42),"")</f>
        <v/>
      </c>
      <c r="AU1532">
        <f>IFERROR(SUMIFS(T_SelfStock[Self_Qty],T_SelfStock[RM_Code],$A1501,T_SelfStock[WeekIndex],43),"")</f>
        <v/>
      </c>
      <c r="AV1532">
        <f>IFERROR(SUMIFS(T_SelfStock[Self_Qty],T_SelfStock[RM_Code],$A1501,T_SelfStock[WeekIndex],44),"")</f>
        <v/>
      </c>
      <c r="AW1532">
        <f>IFERROR(SUMIFS(T_SelfStock[Self_Qty],T_SelfStock[RM_Code],$A1501,T_SelfStock[WeekIndex],45),"")</f>
        <v/>
      </c>
      <c r="AX1532">
        <f>IFERROR(SUMIFS(T_SelfStock[Self_Qty],T_SelfStock[RM_Code],$A1501,T_SelfStock[WeekIndex],46),"")</f>
        <v/>
      </c>
      <c r="AY1532">
        <f>IFERROR(SUMIFS(T_SelfStock[Self_Qty],T_SelfStock[RM_Code],$A1501,T_SelfStock[WeekIndex],47),"")</f>
        <v/>
      </c>
      <c r="AZ1532">
        <f>IFERROR(SUMIFS(T_SelfStock[Self_Qty],T_SelfStock[RM_Code],$A1501,T_SelfStock[WeekIndex],48),"")</f>
        <v/>
      </c>
      <c r="BA1532">
        <f>IFERROR(SUMIFS(T_SelfStock[Self_Qty],T_SelfStock[RM_Code],$A1501,T_SelfStock[WeekIndex],49),"")</f>
        <v/>
      </c>
      <c r="BB1532">
        <f>IFERROR(SUMIFS(T_SelfStock[Self_Qty],T_SelfStock[RM_Code],$A1501,T_SelfStock[WeekIndex],50),"")</f>
        <v/>
      </c>
      <c r="BC1532">
        <f>IFERROR(SUMIFS(T_SelfStock[Self_Qty],T_SelfStock[RM_Code],$A1501,T_SelfStock[WeekIndex],51),"")</f>
        <v/>
      </c>
      <c r="BD1532">
        <f>IFERROR(SUMIFS(T_SelfStock[Self_Qty],T_SelfStock[RM_Code],$A1501,T_SelfStock[WeekIndex],52),"")</f>
        <v/>
      </c>
      <c r="BE1532">
        <f>IFERROR(SUMIFS(T_SelfStock[Self_Qty],T_SelfStock[RM_Code],$A1501,T_SelfStock[WeekIndex],53),"")</f>
        <v/>
      </c>
      <c r="BF1532">
        <f>IFERROR(SUMIFS(T_SelfStock[Self_Qty],T_SelfStock[RM_Code],$A1501,T_SelfStock[WeekIndex],54),"")</f>
        <v/>
      </c>
      <c r="BG1532">
        <f>IFERROR(SUMIFS(T_SelfStock[Self_Qty],T_SelfStock[RM_Code],$A1501,T_SelfStock[WeekIndex],55),"")</f>
        <v/>
      </c>
      <c r="BH1532">
        <f>IFERROR(SUMIFS(T_SelfStock[Self_Qty],T_SelfStock[RM_Code],$A1501,T_SelfStock[WeekIndex],56),"")</f>
        <v/>
      </c>
      <c r="BI1532">
        <f>IFERROR(SUMIFS(T_SelfStock[Self_Qty],T_SelfStock[RM_Code],$A1501,T_SelfStock[WeekIndex],57),"")</f>
        <v/>
      </c>
      <c r="BJ1532">
        <f>IFERROR(SUMIFS(T_SelfStock[Self_Qty],T_SelfStock[RM_Code],$A1501,T_SelfStock[WeekIndex],58),"")</f>
        <v/>
      </c>
      <c r="BK1532">
        <f>IFERROR(SUMIFS(T_SelfStock[Self_Qty],T_SelfStock[RM_Code],$A1501,T_SelfStock[WeekIndex],59),"")</f>
        <v/>
      </c>
      <c r="BL1532">
        <f>IFERROR(SUMIFS(T_SelfStock[Self_Qty],T_SelfStock[RM_Code],$A1501,T_SelfStock[WeekIndex],60),"")</f>
        <v/>
      </c>
      <c r="BM1532">
        <f>IFERROR(SUMIFS(T_SelfStock[Self_Qty],T_SelfStock[RM_Code],$A1501,T_SelfStock[WeekIndex],61),"")</f>
        <v/>
      </c>
      <c r="BN1532">
        <f>IFERROR(SUMIFS(T_SelfStock[Self_Qty],T_SelfStock[RM_Code],$A1501,T_SelfStock[WeekIndex],62),"")</f>
        <v/>
      </c>
      <c r="BO1532">
        <f>IFERROR(SUMIFS(T_SelfStock[Self_Qty],T_SelfStock[RM_Code],$A1501,T_SelfStock[WeekIndex],63),"")</f>
        <v/>
      </c>
      <c r="BP1532">
        <f>IFERROR(SUMIFS(T_SelfStock[Self_Qty],T_SelfStock[RM_Code],$A1501,T_SelfStock[WeekIndex],64),"")</f>
        <v/>
      </c>
      <c r="BQ1532">
        <f>IFERROR(SUMIFS(T_SelfStock[Self_Qty],T_SelfStock[RM_Code],$A1501,T_SelfStock[WeekIndex],65),"")</f>
        <v/>
      </c>
      <c r="BR1532">
        <f>IFERROR(SUMIFS(T_SelfStock[Self_Qty],T_SelfStock[RM_Code],$A1501,T_SelfStock[WeekIndex],66),"")</f>
        <v/>
      </c>
      <c r="BS1532">
        <f>IFERROR(SUMIFS(T_SelfStock[Self_Qty],T_SelfStock[RM_Code],$A1501,T_SelfStock[WeekIndex],67),"")</f>
        <v/>
      </c>
      <c r="BT1532">
        <f>IFERROR(SUMIFS(T_SelfStock[Self_Qty],T_SelfStock[RM_Code],$A1501,T_SelfStock[WeekIndex],68),"")</f>
        <v/>
      </c>
      <c r="BU1532">
        <f>IFERROR(SUMIFS(T_SelfStock[Self_Qty],T_SelfStock[RM_Code],$A1501,T_SelfStock[WeekIndex],69),"")</f>
        <v/>
      </c>
      <c r="BV1532">
        <f>IFERROR(SUMIFS(T_SelfStock[Self_Qty],T_SelfStock[RM_Code],$A1501,T_SelfStock[WeekIndex],70),"")</f>
        <v/>
      </c>
      <c r="BW1532">
        <f>IFERROR(SUMIFS(T_SelfStock[Self_Qty],T_SelfStock[RM_Code],$A1501,T_SelfStock[WeekIndex],71),"")</f>
        <v/>
      </c>
      <c r="BX1532">
        <f>IFERROR(SUMIFS(T_SelfStock[Self_Qty],T_SelfStock[RM_Code],$A1501,T_SelfStock[WeekIndex],72),"")</f>
        <v/>
      </c>
      <c r="BY1532">
        <f>IFERROR(SUMIFS(T_SelfStock[Self_Qty],T_SelfStock[RM_Code],$A1501,T_SelfStock[WeekIndex],73),"")</f>
        <v/>
      </c>
      <c r="BZ1532">
        <f>IFERROR(SUMIFS(T_SelfStock[Self_Qty],T_SelfStock[RM_Code],$A1501,T_SelfStock[WeekIndex],74),"")</f>
        <v/>
      </c>
      <c r="CA1532">
        <f>IFERROR(SUMIFS(T_SelfStock[Self_Qty],T_SelfStock[RM_Code],$A1501,T_SelfStock[WeekIndex],75),"")</f>
        <v/>
      </c>
      <c r="CB1532">
        <f>IFERROR(SUMIFS(T_SelfStock[Self_Qty],T_SelfStock[RM_Code],$A1501,T_SelfStock[WeekIndex],76),"")</f>
        <v/>
      </c>
      <c r="CC1532">
        <f>IFERROR(SUMIFS(T_SelfStock[Self_Qty],T_SelfStock[RM_Code],$A1501,T_SelfStock[WeekIndex],77),"")</f>
        <v/>
      </c>
      <c r="CD1532">
        <f>IFERROR(SUMIFS(T_SelfStock[Self_Qty],T_SelfStock[RM_Code],$A1501,T_SelfStock[WeekIndex],78),"")</f>
        <v/>
      </c>
      <c r="CE1532">
        <f>IFERROR(SUMIFS(T_SelfStock[Self_Qty],T_SelfStock[RM_Code],$A1501,T_SelfStock[WeekIndex],79),"")</f>
        <v/>
      </c>
      <c r="CF1532">
        <f>IFERROR(SUMIFS(T_SelfStock[Self_Qty],T_SelfStock[RM_Code],$A1501,T_SelfStock[WeekIndex],80),"")</f>
        <v/>
      </c>
      <c r="CG1532">
        <f>IFERROR(SUMIFS(T_SelfStock[Self_Qty],T_SelfStock[RM_Code],$A1501,T_SelfStock[WeekIndex],81),"")</f>
        <v/>
      </c>
      <c r="CH1532">
        <f>IFERROR(SUMIFS(T_SelfStock[Self_Qty],T_SelfStock[RM_Code],$A1501,T_SelfStock[WeekIndex],82),"")</f>
        <v/>
      </c>
      <c r="CI1532">
        <f>IFERROR(SUMIFS(T_SelfStock[Self_Qty],T_SelfStock[RM_Code],$A1501,T_SelfStock[WeekIndex],83),"")</f>
        <v/>
      </c>
      <c r="CJ1532">
        <f>IFERROR(SUMIFS(T_SelfStock[Self_Qty],T_SelfStock[RM_Code],$A1501,T_SelfStock[WeekIndex],84),"")</f>
        <v/>
      </c>
      <c r="CK1532">
        <f>IFERROR(SUMIFS(T_SelfStock[Self_Qty],T_SelfStock[RM_Code],$A1501,T_SelfStock[WeekIndex],85),"")</f>
        <v/>
      </c>
      <c r="CL1532">
        <f>IFERROR(SUMIFS(T_SelfStock[Self_Qty],T_SelfStock[RM_Code],$A1501,T_SelfStock[WeekIndex],86),"")</f>
        <v/>
      </c>
      <c r="CM1532">
        <f>IFERROR(SUMIFS(T_SelfStock[Self_Qty],T_SelfStock[RM_Code],$A1501,T_SelfStock[WeekIndex],87),"")</f>
        <v/>
      </c>
      <c r="CN1532">
        <f>IFERROR(SUMIFS(T_SelfStock[Self_Qty],T_SelfStock[RM_Code],$A1501,T_SelfStock[WeekIndex],88),"")</f>
        <v/>
      </c>
      <c r="CO1532">
        <f>IFERROR(SUMIFS(T_SelfStock[Self_Qty],T_SelfStock[RM_Code],$A1501,T_SelfStock[WeekIndex],89),"")</f>
        <v/>
      </c>
      <c r="CP1532">
        <f>IFERROR(SUMIFS(T_SelfStock[Self_Qty],T_SelfStock[RM_Code],$A1501,T_SelfStock[WeekIndex],90),"")</f>
        <v/>
      </c>
      <c r="CQ1532">
        <f>IFERROR(SUMIFS(T_SelfStock[Self_Qty],T_SelfStock[RM_Code],$A1501,T_SelfStock[WeekIndex],91),"")</f>
        <v/>
      </c>
      <c r="CR1532">
        <f>IFERROR(SUMIFS(T_SelfStock[Self_Qty],T_SelfStock[RM_Code],$A1501,T_SelfStock[WeekIndex],92),"")</f>
        <v/>
      </c>
      <c r="CS1532">
        <f>IFERROR(SUMIFS(T_SelfStock[Self_Qty],T_SelfStock[RM_Code],$A1501,T_SelfStock[WeekIndex],93),"")</f>
        <v/>
      </c>
      <c r="CT1532">
        <f>IFERROR(SUMIFS(T_SelfStock[Self_Qty],T_SelfStock[RM_Code],$A1501,T_SelfStock[WeekIndex],94),"")</f>
        <v/>
      </c>
      <c r="CU1532">
        <f>IFERROR(SUMIFS(T_SelfStock[Self_Qty],T_SelfStock[RM_Code],$A1501,T_SelfStock[WeekIndex],95),"")</f>
        <v/>
      </c>
      <c r="CV1532">
        <f>IFERROR(SUMIFS(T_SelfStock[Self_Qty],T_SelfStock[RM_Code],$A1501,T_SelfStock[WeekIndex],96),"")</f>
        <v/>
      </c>
      <c r="CW1532">
        <f>IFERROR(SUMIFS(T_SelfStock[Self_Qty],T_SelfStock[RM_Code],$A1501,T_SelfStock[WeekIndex],97),"")</f>
        <v/>
      </c>
      <c r="CX1532">
        <f>IFERROR(SUMIFS(T_SelfStock[Self_Qty],T_SelfStock[RM_Code],$A1501,T_SelfStock[WeekIndex],98),"")</f>
        <v/>
      </c>
      <c r="CY1532">
        <f>IFERROR(SUMIFS(T_SelfStock[Self_Qty],T_SelfStock[RM_Code],$A1501,T_SelfStock[WeekIndex],99),"")</f>
        <v/>
      </c>
      <c r="CZ1532">
        <f>IFERROR(SUMIFS(T_SelfStock[Self_Qty],T_SelfStock[RM_Code],$A1501,T_SelfStock[WeekIndex],100),"")</f>
        <v/>
      </c>
      <c r="DA1532">
        <f>IFERROR(SUMIFS(T_SelfStock[Self_Qty],T_SelfStock[RM_Code],$A1501,T_SelfStock[WeekIndex],101),"")</f>
        <v/>
      </c>
      <c r="DB1532">
        <f>IFERROR(SUMIFS(T_SelfStock[Self_Qty],T_SelfStock[RM_Code],$A1501,T_SelfStock[WeekIndex],102),"")</f>
        <v/>
      </c>
      <c r="DC1532">
        <f>IFERROR(SUMIFS(T_SelfStock[Self_Qty],T_SelfStock[RM_Code],$A1501,T_SelfStock[WeekIndex],103),"")</f>
        <v/>
      </c>
      <c r="DD1532">
        <f>IFERROR(SUMIFS(T_SelfStock[Self_Qty],T_SelfStock[RM_Code],$A1501,T_SelfStock[WeekIndex],104),"")</f>
        <v/>
      </c>
    </row>
    <row r="1533">
      <c r="B1533" s="4" t="inlineStr">
        <is>
          <t>合計在庫(週末時点,kg)</t>
        </is>
      </c>
      <c r="D1533" s="24">
        <f>IFERROR(INDEX(E1533:DD1533,$F$1),"")</f>
        <v/>
      </c>
      <c r="E1533">
        <f>'Grid_Stock'!B9</f>
        <v/>
      </c>
      <c r="F1533">
        <f>'Grid_Stock'!C9</f>
        <v/>
      </c>
      <c r="G1533">
        <f>'Grid_Stock'!D9</f>
        <v/>
      </c>
      <c r="H1533">
        <f>'Grid_Stock'!E9</f>
        <v/>
      </c>
      <c r="I1533">
        <f>'Grid_Stock'!F9</f>
        <v/>
      </c>
      <c r="J1533">
        <f>'Grid_Stock'!G9</f>
        <v/>
      </c>
      <c r="K1533">
        <f>'Grid_Stock'!H9</f>
        <v/>
      </c>
      <c r="L1533">
        <f>'Grid_Stock'!I9</f>
        <v/>
      </c>
      <c r="M1533">
        <f>'Grid_Stock'!J9</f>
        <v/>
      </c>
      <c r="N1533">
        <f>'Grid_Stock'!K9</f>
        <v/>
      </c>
      <c r="O1533">
        <f>'Grid_Stock'!L9</f>
        <v/>
      </c>
      <c r="P1533">
        <f>'Grid_Stock'!M9</f>
        <v/>
      </c>
      <c r="Q1533">
        <f>'Grid_Stock'!N9</f>
        <v/>
      </c>
      <c r="R1533">
        <f>'Grid_Stock'!O9</f>
        <v/>
      </c>
      <c r="S1533">
        <f>'Grid_Stock'!P9</f>
        <v/>
      </c>
      <c r="T1533">
        <f>'Grid_Stock'!Q9</f>
        <v/>
      </c>
      <c r="U1533">
        <f>'Grid_Stock'!R9</f>
        <v/>
      </c>
      <c r="V1533">
        <f>'Grid_Stock'!S9</f>
        <v/>
      </c>
      <c r="W1533">
        <f>'Grid_Stock'!T9</f>
        <v/>
      </c>
      <c r="X1533">
        <f>'Grid_Stock'!U9</f>
        <v/>
      </c>
      <c r="Y1533">
        <f>'Grid_Stock'!V9</f>
        <v/>
      </c>
      <c r="Z1533">
        <f>'Grid_Stock'!W9</f>
        <v/>
      </c>
      <c r="AA1533">
        <f>'Grid_Stock'!X9</f>
        <v/>
      </c>
      <c r="AB1533">
        <f>'Grid_Stock'!Y9</f>
        <v/>
      </c>
      <c r="AC1533">
        <f>'Grid_Stock'!Z9</f>
        <v/>
      </c>
      <c r="AD1533">
        <f>'Grid_Stock'!AA9</f>
        <v/>
      </c>
      <c r="AE1533">
        <f>'Grid_Stock'!AB9</f>
        <v/>
      </c>
      <c r="AF1533">
        <f>'Grid_Stock'!AC9</f>
        <v/>
      </c>
      <c r="AG1533">
        <f>'Grid_Stock'!AD9</f>
        <v/>
      </c>
      <c r="AH1533">
        <f>'Grid_Stock'!AE9</f>
        <v/>
      </c>
      <c r="AI1533">
        <f>'Grid_Stock'!AF9</f>
        <v/>
      </c>
      <c r="AJ1533">
        <f>'Grid_Stock'!AG9</f>
        <v/>
      </c>
      <c r="AK1533">
        <f>'Grid_Stock'!AH9</f>
        <v/>
      </c>
      <c r="AL1533">
        <f>'Grid_Stock'!AI9</f>
        <v/>
      </c>
      <c r="AM1533">
        <f>'Grid_Stock'!AJ9</f>
        <v/>
      </c>
      <c r="AN1533">
        <f>'Grid_Stock'!AK9</f>
        <v/>
      </c>
      <c r="AO1533">
        <f>'Grid_Stock'!AL9</f>
        <v/>
      </c>
      <c r="AP1533">
        <f>'Grid_Stock'!AM9</f>
        <v/>
      </c>
      <c r="AQ1533">
        <f>'Grid_Stock'!AN9</f>
        <v/>
      </c>
      <c r="AR1533">
        <f>'Grid_Stock'!AO9</f>
        <v/>
      </c>
      <c r="AS1533">
        <f>'Grid_Stock'!AP9</f>
        <v/>
      </c>
      <c r="AT1533">
        <f>'Grid_Stock'!AQ9</f>
        <v/>
      </c>
      <c r="AU1533">
        <f>'Grid_Stock'!AR9</f>
        <v/>
      </c>
      <c r="AV1533">
        <f>'Grid_Stock'!AS9</f>
        <v/>
      </c>
      <c r="AW1533">
        <f>'Grid_Stock'!AT9</f>
        <v/>
      </c>
      <c r="AX1533">
        <f>'Grid_Stock'!AU9</f>
        <v/>
      </c>
      <c r="AY1533">
        <f>'Grid_Stock'!AV9</f>
        <v/>
      </c>
      <c r="AZ1533">
        <f>'Grid_Stock'!AW9</f>
        <v/>
      </c>
      <c r="BA1533">
        <f>'Grid_Stock'!AX9</f>
        <v/>
      </c>
      <c r="BB1533">
        <f>'Grid_Stock'!AY9</f>
        <v/>
      </c>
      <c r="BC1533">
        <f>'Grid_Stock'!AZ9</f>
        <v/>
      </c>
      <c r="BD1533">
        <f>'Grid_Stock'!BA9</f>
        <v/>
      </c>
      <c r="BE1533">
        <f>'Grid_Stock'!BB9</f>
        <v/>
      </c>
      <c r="BF1533">
        <f>'Grid_Stock'!BC9</f>
        <v/>
      </c>
      <c r="BG1533">
        <f>'Grid_Stock'!BD9</f>
        <v/>
      </c>
      <c r="BH1533">
        <f>'Grid_Stock'!BE9</f>
        <v/>
      </c>
      <c r="BI1533">
        <f>'Grid_Stock'!BF9</f>
        <v/>
      </c>
      <c r="BJ1533">
        <f>'Grid_Stock'!BG9</f>
        <v/>
      </c>
      <c r="BK1533">
        <f>'Grid_Stock'!BH9</f>
        <v/>
      </c>
      <c r="BL1533">
        <f>'Grid_Stock'!BI9</f>
        <v/>
      </c>
      <c r="BM1533">
        <f>'Grid_Stock'!BJ9</f>
        <v/>
      </c>
      <c r="BN1533">
        <f>'Grid_Stock'!BK9</f>
        <v/>
      </c>
      <c r="BO1533">
        <f>'Grid_Stock'!BL9</f>
        <v/>
      </c>
      <c r="BP1533">
        <f>'Grid_Stock'!BM9</f>
        <v/>
      </c>
      <c r="BQ1533">
        <f>'Grid_Stock'!BN9</f>
        <v/>
      </c>
      <c r="BR1533">
        <f>'Grid_Stock'!BO9</f>
        <v/>
      </c>
      <c r="BS1533">
        <f>'Grid_Stock'!BP9</f>
        <v/>
      </c>
      <c r="BT1533">
        <f>'Grid_Stock'!BQ9</f>
        <v/>
      </c>
      <c r="BU1533">
        <f>'Grid_Stock'!BR9</f>
        <v/>
      </c>
      <c r="BV1533">
        <f>'Grid_Stock'!BS9</f>
        <v/>
      </c>
      <c r="BW1533">
        <f>'Grid_Stock'!BT9</f>
        <v/>
      </c>
      <c r="BX1533">
        <f>'Grid_Stock'!BU9</f>
        <v/>
      </c>
      <c r="BY1533">
        <f>'Grid_Stock'!BV9</f>
        <v/>
      </c>
      <c r="BZ1533">
        <f>'Grid_Stock'!BW9</f>
        <v/>
      </c>
      <c r="CA1533">
        <f>'Grid_Stock'!BX9</f>
        <v/>
      </c>
      <c r="CB1533">
        <f>'Grid_Stock'!BY9</f>
        <v/>
      </c>
      <c r="CC1533">
        <f>'Grid_Stock'!BZ9</f>
        <v/>
      </c>
      <c r="CD1533">
        <f>'Grid_Stock'!CA9</f>
        <v/>
      </c>
      <c r="CE1533">
        <f>'Grid_Stock'!CB9</f>
        <v/>
      </c>
      <c r="CF1533">
        <f>'Grid_Stock'!CC9</f>
        <v/>
      </c>
      <c r="CG1533">
        <f>'Grid_Stock'!CD9</f>
        <v/>
      </c>
      <c r="CH1533">
        <f>'Grid_Stock'!CE9</f>
        <v/>
      </c>
      <c r="CI1533">
        <f>'Grid_Stock'!CF9</f>
        <v/>
      </c>
      <c r="CJ1533">
        <f>'Grid_Stock'!CG9</f>
        <v/>
      </c>
      <c r="CK1533">
        <f>'Grid_Stock'!CH9</f>
        <v/>
      </c>
      <c r="CL1533">
        <f>'Grid_Stock'!CI9</f>
        <v/>
      </c>
      <c r="CM1533">
        <f>'Grid_Stock'!CJ9</f>
        <v/>
      </c>
      <c r="CN1533">
        <f>'Grid_Stock'!CK9</f>
        <v/>
      </c>
      <c r="CO1533">
        <f>'Grid_Stock'!CL9</f>
        <v/>
      </c>
      <c r="CP1533">
        <f>'Grid_Stock'!CM9</f>
        <v/>
      </c>
      <c r="CQ1533">
        <f>'Grid_Stock'!CN9</f>
        <v/>
      </c>
      <c r="CR1533">
        <f>'Grid_Stock'!CO9</f>
        <v/>
      </c>
      <c r="CS1533">
        <f>'Grid_Stock'!CP9</f>
        <v/>
      </c>
      <c r="CT1533">
        <f>'Grid_Stock'!CQ9</f>
        <v/>
      </c>
      <c r="CU1533">
        <f>'Grid_Stock'!CR9</f>
        <v/>
      </c>
      <c r="CV1533">
        <f>'Grid_Stock'!CS9</f>
        <v/>
      </c>
      <c r="CW1533">
        <f>'Grid_Stock'!CT9</f>
        <v/>
      </c>
      <c r="CX1533">
        <f>'Grid_Stock'!CU9</f>
        <v/>
      </c>
      <c r="CY1533">
        <f>'Grid_Stock'!CV9</f>
        <v/>
      </c>
      <c r="CZ1533">
        <f>'Grid_Stock'!CW9</f>
        <v/>
      </c>
      <c r="DA1533">
        <f>'Grid_Stock'!CX9</f>
        <v/>
      </c>
      <c r="DB1533">
        <f>'Grid_Stock'!CY9</f>
        <v/>
      </c>
      <c r="DC1533">
        <f>'Grid_Stock'!CZ9</f>
        <v/>
      </c>
      <c r="DD1533">
        <f>'Grid_Stock'!DA9</f>
        <v/>
      </c>
    </row>
    <row r="1534">
      <c r="B1534" s="25" t="inlineStr">
        <is>
          <t>（発注の目安はDashboardの基準在庫[下限/上限]と色分けを参照）</t>
        </is>
      </c>
    </row>
    <row r="1536">
      <c r="A1536" s="21" t="inlineStr">
        <is>
          <t>TSZ-938</t>
        </is>
      </c>
      <c r="B1536" s="21" t="inlineStr">
        <is>
          <t>TSZ-938 Slurry - NO PGM</t>
        </is>
      </c>
      <c r="C1536" s="22" t="n"/>
      <c r="D1536" s="21" t="n"/>
      <c r="E1536" s="21" t="n"/>
      <c r="F1536" s="21" t="n"/>
      <c r="G1536" s="21" t="n"/>
      <c r="H1536" s="21" t="n"/>
      <c r="I1536" s="21" t="n"/>
      <c r="J1536" s="21" t="n"/>
      <c r="K1536" s="21" t="n"/>
      <c r="L1536" s="21" t="n"/>
      <c r="M1536" s="21" t="n"/>
      <c r="N1536" s="21" t="n"/>
      <c r="O1536" s="21" t="n"/>
      <c r="P1536" s="21" t="n"/>
      <c r="Q1536" s="21" t="n"/>
      <c r="R1536" s="21" t="n"/>
      <c r="S1536" s="21" t="n"/>
      <c r="T1536" s="21" t="n"/>
      <c r="U1536" s="21" t="n"/>
      <c r="V1536" s="21" t="n"/>
      <c r="W1536" s="21" t="n"/>
      <c r="X1536" s="21" t="n"/>
      <c r="Y1536" s="21" t="n"/>
      <c r="Z1536" s="21" t="n"/>
      <c r="AA1536" s="21" t="n"/>
      <c r="AB1536" s="21" t="n"/>
      <c r="AC1536" s="21" t="n"/>
      <c r="AD1536" s="21" t="n"/>
      <c r="AE1536" s="21" t="n"/>
      <c r="AF1536" s="21" t="n"/>
      <c r="AG1536" s="21" t="n"/>
      <c r="AH1536" s="21" t="n"/>
      <c r="AI1536" s="21" t="n"/>
      <c r="AJ1536" s="21" t="n"/>
      <c r="AK1536" s="21" t="n"/>
      <c r="AL1536" s="21" t="n"/>
      <c r="AM1536" s="21" t="n"/>
      <c r="AN1536" s="21" t="n"/>
      <c r="AO1536" s="21" t="n"/>
      <c r="AP1536" s="21" t="n"/>
      <c r="AQ1536" s="21" t="n"/>
      <c r="AR1536" s="21" t="n"/>
      <c r="AS1536" s="21" t="n"/>
      <c r="AT1536" s="21" t="n"/>
      <c r="AU1536" s="21" t="n"/>
      <c r="AV1536" s="21" t="n"/>
      <c r="AW1536" s="21" t="n"/>
      <c r="AX1536" s="21" t="n"/>
      <c r="AY1536" s="21" t="n"/>
      <c r="AZ1536" s="21" t="n"/>
      <c r="BA1536" s="21" t="n"/>
      <c r="BB1536" s="21" t="n"/>
      <c r="BC1536" s="21" t="n"/>
      <c r="BD1536" s="21" t="n"/>
      <c r="BE1536" s="21" t="n"/>
      <c r="BF1536" s="21" t="n"/>
      <c r="BG1536" s="21" t="n"/>
      <c r="BH1536" s="21" t="n"/>
      <c r="BI1536" s="21" t="n"/>
      <c r="BJ1536" s="21" t="n"/>
      <c r="BK1536" s="21" t="n"/>
      <c r="BL1536" s="21" t="n"/>
      <c r="BM1536" s="21" t="n"/>
      <c r="BN1536" s="21" t="n"/>
      <c r="BO1536" s="21" t="n"/>
      <c r="BP1536" s="21" t="n"/>
      <c r="BQ1536" s="21" t="n"/>
      <c r="BR1536" s="21" t="n"/>
      <c r="BS1536" s="21" t="n"/>
      <c r="BT1536" s="21" t="n"/>
      <c r="BU1536" s="21" t="n"/>
      <c r="BV1536" s="21" t="n"/>
      <c r="BW1536" s="21" t="n"/>
      <c r="BX1536" s="21" t="n"/>
      <c r="BY1536" s="21" t="n"/>
      <c r="BZ1536" s="21" t="n"/>
      <c r="CA1536" s="21" t="n"/>
      <c r="CB1536" s="21" t="n"/>
      <c r="CC1536" s="21" t="n"/>
      <c r="CD1536" s="21" t="n"/>
      <c r="CE1536" s="21" t="n"/>
      <c r="CF1536" s="21" t="n"/>
      <c r="CG1536" s="21" t="n"/>
      <c r="CH1536" s="21" t="n"/>
      <c r="CI1536" s="21" t="n"/>
      <c r="CJ1536" s="21" t="n"/>
      <c r="CK1536" s="21" t="n"/>
      <c r="CL1536" s="21" t="n"/>
      <c r="CM1536" s="21" t="n"/>
      <c r="CN1536" s="21" t="n"/>
      <c r="CO1536" s="21" t="n"/>
      <c r="CP1536" s="21" t="n"/>
      <c r="CQ1536" s="21" t="n"/>
      <c r="CR1536" s="21" t="n"/>
      <c r="CS1536" s="21" t="n"/>
      <c r="CT1536" s="21" t="n"/>
      <c r="CU1536" s="21" t="n"/>
      <c r="CV1536" s="21" t="n"/>
      <c r="CW1536" s="21" t="n"/>
      <c r="CX1536" s="21" t="n"/>
      <c r="CY1536" s="21" t="n"/>
      <c r="CZ1536" s="21" t="n"/>
      <c r="DA1536" s="21" t="n"/>
      <c r="DB1536" s="21" t="n"/>
      <c r="DC1536" s="21" t="n"/>
      <c r="DD1536" s="21" t="n"/>
    </row>
    <row r="1537">
      <c r="B1537" t="inlineStr">
        <is>
          <t>TSP-934</t>
        </is>
      </c>
      <c r="C1537" t="inlineStr">
        <is>
          <t>No. of batches</t>
        </is>
      </c>
      <c r="D1537">
        <f>IFERROR(INDEX(E1537:DD1537,$F$1),"")</f>
        <v/>
      </c>
      <c r="E1537">
        <f>IFERROR(INDEX(PP_Grid[#Data],$DE1537,2),0)</f>
        <v/>
      </c>
      <c r="F1537">
        <f>IFERROR(INDEX(PP_Grid[#Data],$DE1537,3),0)</f>
        <v/>
      </c>
      <c r="G1537">
        <f>IFERROR(INDEX(PP_Grid[#Data],$DE1537,4),0)</f>
        <v/>
      </c>
      <c r="H1537">
        <f>IFERROR(INDEX(PP_Grid[#Data],$DE1537,5),0)</f>
        <v/>
      </c>
      <c r="I1537">
        <f>IFERROR(INDEX(PP_Grid[#Data],$DE1537,6),0)</f>
        <v/>
      </c>
      <c r="J1537">
        <f>IFERROR(INDEX(PP_Grid[#Data],$DE1537,7),0)</f>
        <v/>
      </c>
      <c r="K1537">
        <f>IFERROR(INDEX(PP_Grid[#Data],$DE1537,8),0)</f>
        <v/>
      </c>
      <c r="L1537">
        <f>IFERROR(INDEX(PP_Grid[#Data],$DE1537,9),0)</f>
        <v/>
      </c>
      <c r="M1537">
        <f>IFERROR(INDEX(PP_Grid[#Data],$DE1537,10),0)</f>
        <v/>
      </c>
      <c r="N1537">
        <f>IFERROR(INDEX(PP_Grid[#Data],$DE1537,11),0)</f>
        <v/>
      </c>
      <c r="O1537">
        <f>IFERROR(INDEX(PP_Grid[#Data],$DE1537,12),0)</f>
        <v/>
      </c>
      <c r="P1537">
        <f>IFERROR(INDEX(PP_Grid[#Data],$DE1537,13),0)</f>
        <v/>
      </c>
      <c r="Q1537">
        <f>IFERROR(INDEX(PP_Grid[#Data],$DE1537,14),0)</f>
        <v/>
      </c>
      <c r="R1537">
        <f>IFERROR(INDEX(PP_Grid[#Data],$DE1537,15),0)</f>
        <v/>
      </c>
      <c r="S1537">
        <f>IFERROR(INDEX(PP_Grid[#Data],$DE1537,16),0)</f>
        <v/>
      </c>
      <c r="T1537">
        <f>IFERROR(INDEX(PP_Grid[#Data],$DE1537,17),0)</f>
        <v/>
      </c>
      <c r="U1537">
        <f>IFERROR(INDEX(PP_Grid[#Data],$DE1537,18),0)</f>
        <v/>
      </c>
      <c r="V1537">
        <f>IFERROR(INDEX(PP_Grid[#Data],$DE1537,19),0)</f>
        <v/>
      </c>
      <c r="W1537">
        <f>IFERROR(INDEX(PP_Grid[#Data],$DE1537,20),0)</f>
        <v/>
      </c>
      <c r="X1537">
        <f>IFERROR(INDEX(PP_Grid[#Data],$DE1537,21),0)</f>
        <v/>
      </c>
      <c r="Y1537">
        <f>IFERROR(INDEX(PP_Grid[#Data],$DE1537,22),0)</f>
        <v/>
      </c>
      <c r="Z1537">
        <f>IFERROR(INDEX(PP_Grid[#Data],$DE1537,23),0)</f>
        <v/>
      </c>
      <c r="AA1537">
        <f>IFERROR(INDEX(PP_Grid[#Data],$DE1537,24),0)</f>
        <v/>
      </c>
      <c r="AB1537">
        <f>IFERROR(INDEX(PP_Grid[#Data],$DE1537,25),0)</f>
        <v/>
      </c>
      <c r="AC1537">
        <f>IFERROR(INDEX(PP_Grid[#Data],$DE1537,26),0)</f>
        <v/>
      </c>
      <c r="AD1537">
        <f>IFERROR(INDEX(PP_Grid[#Data],$DE1537,27),0)</f>
        <v/>
      </c>
      <c r="AE1537">
        <f>IFERROR(INDEX(PP_Grid[#Data],$DE1537,28),0)</f>
        <v/>
      </c>
      <c r="AF1537">
        <f>IFERROR(INDEX(PP_Grid[#Data],$DE1537,29),0)</f>
        <v/>
      </c>
      <c r="AG1537">
        <f>IFERROR(INDEX(PP_Grid[#Data],$DE1537,30),0)</f>
        <v/>
      </c>
      <c r="AH1537">
        <f>IFERROR(INDEX(PP_Grid[#Data],$DE1537,31),0)</f>
        <v/>
      </c>
      <c r="AI1537">
        <f>IFERROR(INDEX(PP_Grid[#Data],$DE1537,32),0)</f>
        <v/>
      </c>
      <c r="AJ1537">
        <f>IFERROR(INDEX(PP_Grid[#Data],$DE1537,33),0)</f>
        <v/>
      </c>
      <c r="AK1537">
        <f>IFERROR(INDEX(PP_Grid[#Data],$DE1537,34),0)</f>
        <v/>
      </c>
      <c r="AL1537">
        <f>IFERROR(INDEX(PP_Grid[#Data],$DE1537,35),0)</f>
        <v/>
      </c>
      <c r="AM1537">
        <f>IFERROR(INDEX(PP_Grid[#Data],$DE1537,36),0)</f>
        <v/>
      </c>
      <c r="AN1537">
        <f>IFERROR(INDEX(PP_Grid[#Data],$DE1537,37),0)</f>
        <v/>
      </c>
      <c r="AO1537">
        <f>IFERROR(INDEX(PP_Grid[#Data],$DE1537,38),0)</f>
        <v/>
      </c>
      <c r="AP1537">
        <f>IFERROR(INDEX(PP_Grid[#Data],$DE1537,39),0)</f>
        <v/>
      </c>
      <c r="AQ1537">
        <f>IFERROR(INDEX(PP_Grid[#Data],$DE1537,40),0)</f>
        <v/>
      </c>
      <c r="AR1537">
        <f>IFERROR(INDEX(PP_Grid[#Data],$DE1537,41),0)</f>
        <v/>
      </c>
      <c r="AS1537">
        <f>IFERROR(INDEX(PP_Grid[#Data],$DE1537,42),0)</f>
        <v/>
      </c>
      <c r="AT1537">
        <f>IFERROR(INDEX(PP_Grid[#Data],$DE1537,43),0)</f>
        <v/>
      </c>
      <c r="AU1537">
        <f>IFERROR(INDEX(PP_Grid[#Data],$DE1537,44),0)</f>
        <v/>
      </c>
      <c r="AV1537">
        <f>IFERROR(INDEX(PP_Grid[#Data],$DE1537,45),0)</f>
        <v/>
      </c>
      <c r="AW1537">
        <f>IFERROR(INDEX(PP_Grid[#Data],$DE1537,46),0)</f>
        <v/>
      </c>
      <c r="AX1537">
        <f>IFERROR(INDEX(PP_Grid[#Data],$DE1537,47),0)</f>
        <v/>
      </c>
      <c r="AY1537">
        <f>IFERROR(INDEX(PP_Grid[#Data],$DE1537,48),0)</f>
        <v/>
      </c>
      <c r="AZ1537">
        <f>IFERROR(INDEX(PP_Grid[#Data],$DE1537,49),0)</f>
        <v/>
      </c>
      <c r="BA1537">
        <f>IFERROR(INDEX(PP_Grid[#Data],$DE1537,50),0)</f>
        <v/>
      </c>
      <c r="BB1537">
        <f>IFERROR(INDEX(PP_Grid[#Data],$DE1537,51),0)</f>
        <v/>
      </c>
      <c r="BC1537">
        <f>IFERROR(INDEX(PP_Grid[#Data],$DE1537,52),0)</f>
        <v/>
      </c>
      <c r="BD1537">
        <f>IFERROR(INDEX(PP_Grid[#Data],$DE1537,53),0)</f>
        <v/>
      </c>
      <c r="BE1537">
        <f>IFERROR(INDEX(PP_Grid[#Data],$DE1537,54),0)</f>
        <v/>
      </c>
      <c r="BF1537">
        <f>IFERROR(INDEX(PP_Grid[#Data],$DE1537,55),0)</f>
        <v/>
      </c>
      <c r="BG1537">
        <f>IFERROR(INDEX(PP_Grid[#Data],$DE1537,56),0)</f>
        <v/>
      </c>
      <c r="BH1537">
        <f>IFERROR(INDEX(PP_Grid[#Data],$DE1537,57),0)</f>
        <v/>
      </c>
      <c r="BI1537">
        <f>IFERROR(INDEX(PP_Grid[#Data],$DE1537,58),0)</f>
        <v/>
      </c>
      <c r="BJ1537">
        <f>IFERROR(INDEX(PP_Grid[#Data],$DE1537,59),0)</f>
        <v/>
      </c>
      <c r="BK1537">
        <f>IFERROR(INDEX(PP_Grid[#Data],$DE1537,60),0)</f>
        <v/>
      </c>
      <c r="BL1537">
        <f>IFERROR(INDEX(PP_Grid[#Data],$DE1537,61),0)</f>
        <v/>
      </c>
      <c r="BM1537">
        <f>IFERROR(INDEX(PP_Grid[#Data],$DE1537,62),0)</f>
        <v/>
      </c>
      <c r="BN1537">
        <f>IFERROR(INDEX(PP_Grid[#Data],$DE1537,63),0)</f>
        <v/>
      </c>
      <c r="BO1537">
        <f>IFERROR(INDEX(PP_Grid[#Data],$DE1537,64),0)</f>
        <v/>
      </c>
      <c r="BP1537">
        <f>IFERROR(INDEX(PP_Grid[#Data],$DE1537,65),0)</f>
        <v/>
      </c>
      <c r="BQ1537">
        <f>IFERROR(INDEX(PP_Grid[#Data],$DE1537,66),0)</f>
        <v/>
      </c>
      <c r="BR1537">
        <f>IFERROR(INDEX(PP_Grid[#Data],$DE1537,67),0)</f>
        <v/>
      </c>
      <c r="BS1537">
        <f>IFERROR(INDEX(PP_Grid[#Data],$DE1537,68),0)</f>
        <v/>
      </c>
      <c r="BT1537">
        <f>IFERROR(INDEX(PP_Grid[#Data],$DE1537,69),0)</f>
        <v/>
      </c>
      <c r="BU1537">
        <f>IFERROR(INDEX(PP_Grid[#Data],$DE1537,70),0)</f>
        <v/>
      </c>
      <c r="BV1537">
        <f>IFERROR(INDEX(PP_Grid[#Data],$DE1537,71),0)</f>
        <v/>
      </c>
      <c r="BW1537">
        <f>IFERROR(INDEX(PP_Grid[#Data],$DE1537,72),0)</f>
        <v/>
      </c>
      <c r="BX1537">
        <f>IFERROR(INDEX(PP_Grid[#Data],$DE1537,73),0)</f>
        <v/>
      </c>
      <c r="BY1537">
        <f>IFERROR(INDEX(PP_Grid[#Data],$DE1537,74),0)</f>
        <v/>
      </c>
      <c r="BZ1537">
        <f>IFERROR(INDEX(PP_Grid[#Data],$DE1537,75),0)</f>
        <v/>
      </c>
      <c r="CA1537">
        <f>IFERROR(INDEX(PP_Grid[#Data],$DE1537,76),0)</f>
        <v/>
      </c>
      <c r="CB1537">
        <f>IFERROR(INDEX(PP_Grid[#Data],$DE1537,77),0)</f>
        <v/>
      </c>
      <c r="CC1537">
        <f>IFERROR(INDEX(PP_Grid[#Data],$DE1537,78),0)</f>
        <v/>
      </c>
      <c r="CD1537">
        <f>IFERROR(INDEX(PP_Grid[#Data],$DE1537,79),0)</f>
        <v/>
      </c>
      <c r="CE1537">
        <f>IFERROR(INDEX(PP_Grid[#Data],$DE1537,80),0)</f>
        <v/>
      </c>
      <c r="CF1537">
        <f>IFERROR(INDEX(PP_Grid[#Data],$DE1537,81),0)</f>
        <v/>
      </c>
      <c r="CG1537">
        <f>IFERROR(INDEX(PP_Grid[#Data],$DE1537,82),0)</f>
        <v/>
      </c>
      <c r="CH1537">
        <f>IFERROR(INDEX(PP_Grid[#Data],$DE1537,83),0)</f>
        <v/>
      </c>
      <c r="CI1537">
        <f>IFERROR(INDEX(PP_Grid[#Data],$DE1537,84),0)</f>
        <v/>
      </c>
      <c r="CJ1537">
        <f>IFERROR(INDEX(PP_Grid[#Data],$DE1537,85),0)</f>
        <v/>
      </c>
      <c r="CK1537">
        <f>IFERROR(INDEX(PP_Grid[#Data],$DE1537,86),0)</f>
        <v/>
      </c>
      <c r="CL1537">
        <f>IFERROR(INDEX(PP_Grid[#Data],$DE1537,87),0)</f>
        <v/>
      </c>
      <c r="CM1537">
        <f>IFERROR(INDEX(PP_Grid[#Data],$DE1537,88),0)</f>
        <v/>
      </c>
      <c r="CN1537">
        <f>IFERROR(INDEX(PP_Grid[#Data],$DE1537,89),0)</f>
        <v/>
      </c>
      <c r="CO1537">
        <f>IFERROR(INDEX(PP_Grid[#Data],$DE1537,90),0)</f>
        <v/>
      </c>
      <c r="CP1537">
        <f>IFERROR(INDEX(PP_Grid[#Data],$DE1537,91),0)</f>
        <v/>
      </c>
      <c r="CQ1537">
        <f>IFERROR(INDEX(PP_Grid[#Data],$DE1537,92),0)</f>
        <v/>
      </c>
      <c r="CR1537">
        <f>IFERROR(INDEX(PP_Grid[#Data],$DE1537,93),0)</f>
        <v/>
      </c>
      <c r="CS1537">
        <f>IFERROR(INDEX(PP_Grid[#Data],$DE1537,94),0)</f>
        <v/>
      </c>
      <c r="CT1537">
        <f>IFERROR(INDEX(PP_Grid[#Data],$DE1537,95),0)</f>
        <v/>
      </c>
      <c r="CU1537">
        <f>IFERROR(INDEX(PP_Grid[#Data],$DE1537,96),0)</f>
        <v/>
      </c>
      <c r="CV1537">
        <f>IFERROR(INDEX(PP_Grid[#Data],$DE1537,97),0)</f>
        <v/>
      </c>
      <c r="CW1537">
        <f>IFERROR(INDEX(PP_Grid[#Data],$DE1537,98),0)</f>
        <v/>
      </c>
      <c r="CX1537">
        <f>IFERROR(INDEX(PP_Grid[#Data],$DE1537,99),0)</f>
        <v/>
      </c>
      <c r="CY1537">
        <f>IFERROR(INDEX(PP_Grid[#Data],$DE1537,100),0)</f>
        <v/>
      </c>
      <c r="CZ1537">
        <f>IFERROR(INDEX(PP_Grid[#Data],$DE1537,101),0)</f>
        <v/>
      </c>
      <c r="DA1537">
        <f>IFERROR(INDEX(PP_Grid[#Data],$DE1537,102),0)</f>
        <v/>
      </c>
      <c r="DB1537">
        <f>IFERROR(INDEX(PP_Grid[#Data],$DE1537,103),0)</f>
        <v/>
      </c>
      <c r="DC1537">
        <f>IFERROR(INDEX(PP_Grid[#Data],$DE1537,104),0)</f>
        <v/>
      </c>
      <c r="DD1537">
        <f>IFERROR(INDEX(PP_Grid[#Data],$DE1537,105),0)</f>
        <v/>
      </c>
      <c r="DE1537" s="7">
        <f>IFERROR(MATCH($B1537,PP_Grid[Intermediate],0),99999)</f>
        <v/>
      </c>
    </row>
    <row r="1538">
      <c r="B1538" t="inlineStr">
        <is>
          <t>使用量(kg)</t>
        </is>
      </c>
      <c r="C1538">
        <f>SUMIFS(M_BOM[RM_Qty_Per_Batch],M_BOM[Intermediate],$B1537,M_BOM[RM_Code],$A1536)</f>
        <v/>
      </c>
      <c r="D1538">
        <f>IFERROR(INDEX(E1538:DD1538,$F$1),"")</f>
        <v/>
      </c>
      <c r="E1538">
        <f>$C1538*E1537</f>
        <v/>
      </c>
      <c r="F1538">
        <f>$C1538*F1537</f>
        <v/>
      </c>
      <c r="G1538">
        <f>$C1538*G1537</f>
        <v/>
      </c>
      <c r="H1538">
        <f>$C1538*H1537</f>
        <v/>
      </c>
      <c r="I1538">
        <f>$C1538*I1537</f>
        <v/>
      </c>
      <c r="J1538">
        <f>$C1538*J1537</f>
        <v/>
      </c>
      <c r="K1538">
        <f>$C1538*K1537</f>
        <v/>
      </c>
      <c r="L1538">
        <f>$C1538*L1537</f>
        <v/>
      </c>
      <c r="M1538">
        <f>$C1538*M1537</f>
        <v/>
      </c>
      <c r="N1538">
        <f>$C1538*N1537</f>
        <v/>
      </c>
      <c r="O1538">
        <f>$C1538*O1537</f>
        <v/>
      </c>
      <c r="P1538">
        <f>$C1538*P1537</f>
        <v/>
      </c>
      <c r="Q1538">
        <f>$C1538*Q1537</f>
        <v/>
      </c>
      <c r="R1538">
        <f>$C1538*R1537</f>
        <v/>
      </c>
      <c r="S1538">
        <f>$C1538*S1537</f>
        <v/>
      </c>
      <c r="T1538">
        <f>$C1538*T1537</f>
        <v/>
      </c>
      <c r="U1538">
        <f>$C1538*U1537</f>
        <v/>
      </c>
      <c r="V1538">
        <f>$C1538*V1537</f>
        <v/>
      </c>
      <c r="W1538">
        <f>$C1538*W1537</f>
        <v/>
      </c>
      <c r="X1538">
        <f>$C1538*X1537</f>
        <v/>
      </c>
      <c r="Y1538">
        <f>$C1538*Y1537</f>
        <v/>
      </c>
      <c r="Z1538">
        <f>$C1538*Z1537</f>
        <v/>
      </c>
      <c r="AA1538">
        <f>$C1538*AA1537</f>
        <v/>
      </c>
      <c r="AB1538">
        <f>$C1538*AB1537</f>
        <v/>
      </c>
      <c r="AC1538">
        <f>$C1538*AC1537</f>
        <v/>
      </c>
      <c r="AD1538">
        <f>$C1538*AD1537</f>
        <v/>
      </c>
      <c r="AE1538">
        <f>$C1538*AE1537</f>
        <v/>
      </c>
      <c r="AF1538">
        <f>$C1538*AF1537</f>
        <v/>
      </c>
      <c r="AG1538">
        <f>$C1538*AG1537</f>
        <v/>
      </c>
      <c r="AH1538">
        <f>$C1538*AH1537</f>
        <v/>
      </c>
      <c r="AI1538">
        <f>$C1538*AI1537</f>
        <v/>
      </c>
      <c r="AJ1538">
        <f>$C1538*AJ1537</f>
        <v/>
      </c>
      <c r="AK1538">
        <f>$C1538*AK1537</f>
        <v/>
      </c>
      <c r="AL1538">
        <f>$C1538*AL1537</f>
        <v/>
      </c>
      <c r="AM1538">
        <f>$C1538*AM1537</f>
        <v/>
      </c>
      <c r="AN1538">
        <f>$C1538*AN1537</f>
        <v/>
      </c>
      <c r="AO1538">
        <f>$C1538*AO1537</f>
        <v/>
      </c>
      <c r="AP1538">
        <f>$C1538*AP1537</f>
        <v/>
      </c>
      <c r="AQ1538">
        <f>$C1538*AQ1537</f>
        <v/>
      </c>
      <c r="AR1538">
        <f>$C1538*AR1537</f>
        <v/>
      </c>
      <c r="AS1538">
        <f>$C1538*AS1537</f>
        <v/>
      </c>
      <c r="AT1538">
        <f>$C1538*AT1537</f>
        <v/>
      </c>
      <c r="AU1538">
        <f>$C1538*AU1537</f>
        <v/>
      </c>
      <c r="AV1538">
        <f>$C1538*AV1537</f>
        <v/>
      </c>
      <c r="AW1538">
        <f>$C1538*AW1537</f>
        <v/>
      </c>
      <c r="AX1538">
        <f>$C1538*AX1537</f>
        <v/>
      </c>
      <c r="AY1538">
        <f>$C1538*AY1537</f>
        <v/>
      </c>
      <c r="AZ1538">
        <f>$C1538*AZ1537</f>
        <v/>
      </c>
      <c r="BA1538">
        <f>$C1538*BA1537</f>
        <v/>
      </c>
      <c r="BB1538">
        <f>$C1538*BB1537</f>
        <v/>
      </c>
      <c r="BC1538">
        <f>$C1538*BC1537</f>
        <v/>
      </c>
      <c r="BD1538">
        <f>$C1538*BD1537</f>
        <v/>
      </c>
      <c r="BE1538">
        <f>$C1538*BE1537</f>
        <v/>
      </c>
      <c r="BF1538">
        <f>$C1538*BF1537</f>
        <v/>
      </c>
      <c r="BG1538">
        <f>$C1538*BG1537</f>
        <v/>
      </c>
      <c r="BH1538">
        <f>$C1538*BH1537</f>
        <v/>
      </c>
      <c r="BI1538">
        <f>$C1538*BI1537</f>
        <v/>
      </c>
      <c r="BJ1538">
        <f>$C1538*BJ1537</f>
        <v/>
      </c>
      <c r="BK1538">
        <f>$C1538*BK1537</f>
        <v/>
      </c>
      <c r="BL1538">
        <f>$C1538*BL1537</f>
        <v/>
      </c>
      <c r="BM1538">
        <f>$C1538*BM1537</f>
        <v/>
      </c>
      <c r="BN1538">
        <f>$C1538*BN1537</f>
        <v/>
      </c>
      <c r="BO1538">
        <f>$C1538*BO1537</f>
        <v/>
      </c>
      <c r="BP1538">
        <f>$C1538*BP1537</f>
        <v/>
      </c>
      <c r="BQ1538">
        <f>$C1538*BQ1537</f>
        <v/>
      </c>
      <c r="BR1538">
        <f>$C1538*BR1537</f>
        <v/>
      </c>
      <c r="BS1538">
        <f>$C1538*BS1537</f>
        <v/>
      </c>
      <c r="BT1538">
        <f>$C1538*BT1537</f>
        <v/>
      </c>
      <c r="BU1538">
        <f>$C1538*BU1537</f>
        <v/>
      </c>
      <c r="BV1538">
        <f>$C1538*BV1537</f>
        <v/>
      </c>
      <c r="BW1538">
        <f>$C1538*BW1537</f>
        <v/>
      </c>
      <c r="BX1538">
        <f>$C1538*BX1537</f>
        <v/>
      </c>
      <c r="BY1538">
        <f>$C1538*BY1537</f>
        <v/>
      </c>
      <c r="BZ1538">
        <f>$C1538*BZ1537</f>
        <v/>
      </c>
      <c r="CA1538">
        <f>$C1538*CA1537</f>
        <v/>
      </c>
      <c r="CB1538">
        <f>$C1538*CB1537</f>
        <v/>
      </c>
      <c r="CC1538">
        <f>$C1538*CC1537</f>
        <v/>
      </c>
      <c r="CD1538">
        <f>$C1538*CD1537</f>
        <v/>
      </c>
      <c r="CE1538">
        <f>$C1538*CE1537</f>
        <v/>
      </c>
      <c r="CF1538">
        <f>$C1538*CF1537</f>
        <v/>
      </c>
      <c r="CG1538">
        <f>$C1538*CG1537</f>
        <v/>
      </c>
      <c r="CH1538">
        <f>$C1538*CH1537</f>
        <v/>
      </c>
      <c r="CI1538">
        <f>$C1538*CI1537</f>
        <v/>
      </c>
      <c r="CJ1538">
        <f>$C1538*CJ1537</f>
        <v/>
      </c>
      <c r="CK1538">
        <f>$C1538*CK1537</f>
        <v/>
      </c>
      <c r="CL1538">
        <f>$C1538*CL1537</f>
        <v/>
      </c>
      <c r="CM1538">
        <f>$C1538*CM1537</f>
        <v/>
      </c>
      <c r="CN1538">
        <f>$C1538*CN1537</f>
        <v/>
      </c>
      <c r="CO1538">
        <f>$C1538*CO1537</f>
        <v/>
      </c>
      <c r="CP1538">
        <f>$C1538*CP1537</f>
        <v/>
      </c>
      <c r="CQ1538">
        <f>$C1538*CQ1537</f>
        <v/>
      </c>
      <c r="CR1538">
        <f>$C1538*CR1537</f>
        <v/>
      </c>
      <c r="CS1538">
        <f>$C1538*CS1537</f>
        <v/>
      </c>
      <c r="CT1538">
        <f>$C1538*CT1537</f>
        <v/>
      </c>
      <c r="CU1538">
        <f>$C1538*CU1537</f>
        <v/>
      </c>
      <c r="CV1538">
        <f>$C1538*CV1537</f>
        <v/>
      </c>
      <c r="CW1538">
        <f>$C1538*CW1537</f>
        <v/>
      </c>
      <c r="CX1538">
        <f>$C1538*CX1537</f>
        <v/>
      </c>
      <c r="CY1538">
        <f>$C1538*CY1537</f>
        <v/>
      </c>
      <c r="CZ1538">
        <f>$C1538*CZ1537</f>
        <v/>
      </c>
      <c r="DA1538">
        <f>$C1538*DA1537</f>
        <v/>
      </c>
      <c r="DB1538">
        <f>$C1538*DB1537</f>
        <v/>
      </c>
      <c r="DC1538">
        <f>$C1538*DC1537</f>
        <v/>
      </c>
      <c r="DD1538">
        <f>$C1538*DD1537</f>
        <v/>
      </c>
    </row>
    <row r="1539">
      <c r="B1539" t="inlineStr">
        <is>
          <t>TSP-935</t>
        </is>
      </c>
      <c r="C1539" t="inlineStr">
        <is>
          <t>No. of batches</t>
        </is>
      </c>
      <c r="D1539">
        <f>IFERROR(INDEX(E1539:DD1539,$F$1),"")</f>
        <v/>
      </c>
      <c r="E1539">
        <f>IFERROR(INDEX(PP_Grid[#Data],$DE1539,2),0)</f>
        <v/>
      </c>
      <c r="F1539">
        <f>IFERROR(INDEX(PP_Grid[#Data],$DE1539,3),0)</f>
        <v/>
      </c>
      <c r="G1539">
        <f>IFERROR(INDEX(PP_Grid[#Data],$DE1539,4),0)</f>
        <v/>
      </c>
      <c r="H1539">
        <f>IFERROR(INDEX(PP_Grid[#Data],$DE1539,5),0)</f>
        <v/>
      </c>
      <c r="I1539">
        <f>IFERROR(INDEX(PP_Grid[#Data],$DE1539,6),0)</f>
        <v/>
      </c>
      <c r="J1539">
        <f>IFERROR(INDEX(PP_Grid[#Data],$DE1539,7),0)</f>
        <v/>
      </c>
      <c r="K1539">
        <f>IFERROR(INDEX(PP_Grid[#Data],$DE1539,8),0)</f>
        <v/>
      </c>
      <c r="L1539">
        <f>IFERROR(INDEX(PP_Grid[#Data],$DE1539,9),0)</f>
        <v/>
      </c>
      <c r="M1539">
        <f>IFERROR(INDEX(PP_Grid[#Data],$DE1539,10),0)</f>
        <v/>
      </c>
      <c r="N1539">
        <f>IFERROR(INDEX(PP_Grid[#Data],$DE1539,11),0)</f>
        <v/>
      </c>
      <c r="O1539">
        <f>IFERROR(INDEX(PP_Grid[#Data],$DE1539,12),0)</f>
        <v/>
      </c>
      <c r="P1539">
        <f>IFERROR(INDEX(PP_Grid[#Data],$DE1539,13),0)</f>
        <v/>
      </c>
      <c r="Q1539">
        <f>IFERROR(INDEX(PP_Grid[#Data],$DE1539,14),0)</f>
        <v/>
      </c>
      <c r="R1539">
        <f>IFERROR(INDEX(PP_Grid[#Data],$DE1539,15),0)</f>
        <v/>
      </c>
      <c r="S1539">
        <f>IFERROR(INDEX(PP_Grid[#Data],$DE1539,16),0)</f>
        <v/>
      </c>
      <c r="T1539">
        <f>IFERROR(INDEX(PP_Grid[#Data],$DE1539,17),0)</f>
        <v/>
      </c>
      <c r="U1539">
        <f>IFERROR(INDEX(PP_Grid[#Data],$DE1539,18),0)</f>
        <v/>
      </c>
      <c r="V1539">
        <f>IFERROR(INDEX(PP_Grid[#Data],$DE1539,19),0)</f>
        <v/>
      </c>
      <c r="W1539">
        <f>IFERROR(INDEX(PP_Grid[#Data],$DE1539,20),0)</f>
        <v/>
      </c>
      <c r="X1539">
        <f>IFERROR(INDEX(PP_Grid[#Data],$DE1539,21),0)</f>
        <v/>
      </c>
      <c r="Y1539">
        <f>IFERROR(INDEX(PP_Grid[#Data],$DE1539,22),0)</f>
        <v/>
      </c>
      <c r="Z1539">
        <f>IFERROR(INDEX(PP_Grid[#Data],$DE1539,23),0)</f>
        <v/>
      </c>
      <c r="AA1539">
        <f>IFERROR(INDEX(PP_Grid[#Data],$DE1539,24),0)</f>
        <v/>
      </c>
      <c r="AB1539">
        <f>IFERROR(INDEX(PP_Grid[#Data],$DE1539,25),0)</f>
        <v/>
      </c>
      <c r="AC1539">
        <f>IFERROR(INDEX(PP_Grid[#Data],$DE1539,26),0)</f>
        <v/>
      </c>
      <c r="AD1539">
        <f>IFERROR(INDEX(PP_Grid[#Data],$DE1539,27),0)</f>
        <v/>
      </c>
      <c r="AE1539">
        <f>IFERROR(INDEX(PP_Grid[#Data],$DE1539,28),0)</f>
        <v/>
      </c>
      <c r="AF1539">
        <f>IFERROR(INDEX(PP_Grid[#Data],$DE1539,29),0)</f>
        <v/>
      </c>
      <c r="AG1539">
        <f>IFERROR(INDEX(PP_Grid[#Data],$DE1539,30),0)</f>
        <v/>
      </c>
      <c r="AH1539">
        <f>IFERROR(INDEX(PP_Grid[#Data],$DE1539,31),0)</f>
        <v/>
      </c>
      <c r="AI1539">
        <f>IFERROR(INDEX(PP_Grid[#Data],$DE1539,32),0)</f>
        <v/>
      </c>
      <c r="AJ1539">
        <f>IFERROR(INDEX(PP_Grid[#Data],$DE1539,33),0)</f>
        <v/>
      </c>
      <c r="AK1539">
        <f>IFERROR(INDEX(PP_Grid[#Data],$DE1539,34),0)</f>
        <v/>
      </c>
      <c r="AL1539">
        <f>IFERROR(INDEX(PP_Grid[#Data],$DE1539,35),0)</f>
        <v/>
      </c>
      <c r="AM1539">
        <f>IFERROR(INDEX(PP_Grid[#Data],$DE1539,36),0)</f>
        <v/>
      </c>
      <c r="AN1539">
        <f>IFERROR(INDEX(PP_Grid[#Data],$DE1539,37),0)</f>
        <v/>
      </c>
      <c r="AO1539">
        <f>IFERROR(INDEX(PP_Grid[#Data],$DE1539,38),0)</f>
        <v/>
      </c>
      <c r="AP1539">
        <f>IFERROR(INDEX(PP_Grid[#Data],$DE1539,39),0)</f>
        <v/>
      </c>
      <c r="AQ1539">
        <f>IFERROR(INDEX(PP_Grid[#Data],$DE1539,40),0)</f>
        <v/>
      </c>
      <c r="AR1539">
        <f>IFERROR(INDEX(PP_Grid[#Data],$DE1539,41),0)</f>
        <v/>
      </c>
      <c r="AS1539">
        <f>IFERROR(INDEX(PP_Grid[#Data],$DE1539,42),0)</f>
        <v/>
      </c>
      <c r="AT1539">
        <f>IFERROR(INDEX(PP_Grid[#Data],$DE1539,43),0)</f>
        <v/>
      </c>
      <c r="AU1539">
        <f>IFERROR(INDEX(PP_Grid[#Data],$DE1539,44),0)</f>
        <v/>
      </c>
      <c r="AV1539">
        <f>IFERROR(INDEX(PP_Grid[#Data],$DE1539,45),0)</f>
        <v/>
      </c>
      <c r="AW1539">
        <f>IFERROR(INDEX(PP_Grid[#Data],$DE1539,46),0)</f>
        <v/>
      </c>
      <c r="AX1539">
        <f>IFERROR(INDEX(PP_Grid[#Data],$DE1539,47),0)</f>
        <v/>
      </c>
      <c r="AY1539">
        <f>IFERROR(INDEX(PP_Grid[#Data],$DE1539,48),0)</f>
        <v/>
      </c>
      <c r="AZ1539">
        <f>IFERROR(INDEX(PP_Grid[#Data],$DE1539,49),0)</f>
        <v/>
      </c>
      <c r="BA1539">
        <f>IFERROR(INDEX(PP_Grid[#Data],$DE1539,50),0)</f>
        <v/>
      </c>
      <c r="BB1539">
        <f>IFERROR(INDEX(PP_Grid[#Data],$DE1539,51),0)</f>
        <v/>
      </c>
      <c r="BC1539">
        <f>IFERROR(INDEX(PP_Grid[#Data],$DE1539,52),0)</f>
        <v/>
      </c>
      <c r="BD1539">
        <f>IFERROR(INDEX(PP_Grid[#Data],$DE1539,53),0)</f>
        <v/>
      </c>
      <c r="BE1539">
        <f>IFERROR(INDEX(PP_Grid[#Data],$DE1539,54),0)</f>
        <v/>
      </c>
      <c r="BF1539">
        <f>IFERROR(INDEX(PP_Grid[#Data],$DE1539,55),0)</f>
        <v/>
      </c>
      <c r="BG1539">
        <f>IFERROR(INDEX(PP_Grid[#Data],$DE1539,56),0)</f>
        <v/>
      </c>
      <c r="BH1539">
        <f>IFERROR(INDEX(PP_Grid[#Data],$DE1539,57),0)</f>
        <v/>
      </c>
      <c r="BI1539">
        <f>IFERROR(INDEX(PP_Grid[#Data],$DE1539,58),0)</f>
        <v/>
      </c>
      <c r="BJ1539">
        <f>IFERROR(INDEX(PP_Grid[#Data],$DE1539,59),0)</f>
        <v/>
      </c>
      <c r="BK1539">
        <f>IFERROR(INDEX(PP_Grid[#Data],$DE1539,60),0)</f>
        <v/>
      </c>
      <c r="BL1539">
        <f>IFERROR(INDEX(PP_Grid[#Data],$DE1539,61),0)</f>
        <v/>
      </c>
      <c r="BM1539">
        <f>IFERROR(INDEX(PP_Grid[#Data],$DE1539,62),0)</f>
        <v/>
      </c>
      <c r="BN1539">
        <f>IFERROR(INDEX(PP_Grid[#Data],$DE1539,63),0)</f>
        <v/>
      </c>
      <c r="BO1539">
        <f>IFERROR(INDEX(PP_Grid[#Data],$DE1539,64),0)</f>
        <v/>
      </c>
      <c r="BP1539">
        <f>IFERROR(INDEX(PP_Grid[#Data],$DE1539,65),0)</f>
        <v/>
      </c>
      <c r="BQ1539">
        <f>IFERROR(INDEX(PP_Grid[#Data],$DE1539,66),0)</f>
        <v/>
      </c>
      <c r="BR1539">
        <f>IFERROR(INDEX(PP_Grid[#Data],$DE1539,67),0)</f>
        <v/>
      </c>
      <c r="BS1539">
        <f>IFERROR(INDEX(PP_Grid[#Data],$DE1539,68),0)</f>
        <v/>
      </c>
      <c r="BT1539">
        <f>IFERROR(INDEX(PP_Grid[#Data],$DE1539,69),0)</f>
        <v/>
      </c>
      <c r="BU1539">
        <f>IFERROR(INDEX(PP_Grid[#Data],$DE1539,70),0)</f>
        <v/>
      </c>
      <c r="BV1539">
        <f>IFERROR(INDEX(PP_Grid[#Data],$DE1539,71),0)</f>
        <v/>
      </c>
      <c r="BW1539">
        <f>IFERROR(INDEX(PP_Grid[#Data],$DE1539,72),0)</f>
        <v/>
      </c>
      <c r="BX1539">
        <f>IFERROR(INDEX(PP_Grid[#Data],$DE1539,73),0)</f>
        <v/>
      </c>
      <c r="BY1539">
        <f>IFERROR(INDEX(PP_Grid[#Data],$DE1539,74),0)</f>
        <v/>
      </c>
      <c r="BZ1539">
        <f>IFERROR(INDEX(PP_Grid[#Data],$DE1539,75),0)</f>
        <v/>
      </c>
      <c r="CA1539">
        <f>IFERROR(INDEX(PP_Grid[#Data],$DE1539,76),0)</f>
        <v/>
      </c>
      <c r="CB1539">
        <f>IFERROR(INDEX(PP_Grid[#Data],$DE1539,77),0)</f>
        <v/>
      </c>
      <c r="CC1539">
        <f>IFERROR(INDEX(PP_Grid[#Data],$DE1539,78),0)</f>
        <v/>
      </c>
      <c r="CD1539">
        <f>IFERROR(INDEX(PP_Grid[#Data],$DE1539,79),0)</f>
        <v/>
      </c>
      <c r="CE1539">
        <f>IFERROR(INDEX(PP_Grid[#Data],$DE1539,80),0)</f>
        <v/>
      </c>
      <c r="CF1539">
        <f>IFERROR(INDEX(PP_Grid[#Data],$DE1539,81),0)</f>
        <v/>
      </c>
      <c r="CG1539">
        <f>IFERROR(INDEX(PP_Grid[#Data],$DE1539,82),0)</f>
        <v/>
      </c>
      <c r="CH1539">
        <f>IFERROR(INDEX(PP_Grid[#Data],$DE1539,83),0)</f>
        <v/>
      </c>
      <c r="CI1539">
        <f>IFERROR(INDEX(PP_Grid[#Data],$DE1539,84),0)</f>
        <v/>
      </c>
      <c r="CJ1539">
        <f>IFERROR(INDEX(PP_Grid[#Data],$DE1539,85),0)</f>
        <v/>
      </c>
      <c r="CK1539">
        <f>IFERROR(INDEX(PP_Grid[#Data],$DE1539,86),0)</f>
        <v/>
      </c>
      <c r="CL1539">
        <f>IFERROR(INDEX(PP_Grid[#Data],$DE1539,87),0)</f>
        <v/>
      </c>
      <c r="CM1539">
        <f>IFERROR(INDEX(PP_Grid[#Data],$DE1539,88),0)</f>
        <v/>
      </c>
      <c r="CN1539">
        <f>IFERROR(INDEX(PP_Grid[#Data],$DE1539,89),0)</f>
        <v/>
      </c>
      <c r="CO1539">
        <f>IFERROR(INDEX(PP_Grid[#Data],$DE1539,90),0)</f>
        <v/>
      </c>
      <c r="CP1539">
        <f>IFERROR(INDEX(PP_Grid[#Data],$DE1539,91),0)</f>
        <v/>
      </c>
      <c r="CQ1539">
        <f>IFERROR(INDEX(PP_Grid[#Data],$DE1539,92),0)</f>
        <v/>
      </c>
      <c r="CR1539">
        <f>IFERROR(INDEX(PP_Grid[#Data],$DE1539,93),0)</f>
        <v/>
      </c>
      <c r="CS1539">
        <f>IFERROR(INDEX(PP_Grid[#Data],$DE1539,94),0)</f>
        <v/>
      </c>
      <c r="CT1539">
        <f>IFERROR(INDEX(PP_Grid[#Data],$DE1539,95),0)</f>
        <v/>
      </c>
      <c r="CU1539">
        <f>IFERROR(INDEX(PP_Grid[#Data],$DE1539,96),0)</f>
        <v/>
      </c>
      <c r="CV1539">
        <f>IFERROR(INDEX(PP_Grid[#Data],$DE1539,97),0)</f>
        <v/>
      </c>
      <c r="CW1539">
        <f>IFERROR(INDEX(PP_Grid[#Data],$DE1539,98),0)</f>
        <v/>
      </c>
      <c r="CX1539">
        <f>IFERROR(INDEX(PP_Grid[#Data],$DE1539,99),0)</f>
        <v/>
      </c>
      <c r="CY1539">
        <f>IFERROR(INDEX(PP_Grid[#Data],$DE1539,100),0)</f>
        <v/>
      </c>
      <c r="CZ1539">
        <f>IFERROR(INDEX(PP_Grid[#Data],$DE1539,101),0)</f>
        <v/>
      </c>
      <c r="DA1539">
        <f>IFERROR(INDEX(PP_Grid[#Data],$DE1539,102),0)</f>
        <v/>
      </c>
      <c r="DB1539">
        <f>IFERROR(INDEX(PP_Grid[#Data],$DE1539,103),0)</f>
        <v/>
      </c>
      <c r="DC1539">
        <f>IFERROR(INDEX(PP_Grid[#Data],$DE1539,104),0)</f>
        <v/>
      </c>
      <c r="DD1539">
        <f>IFERROR(INDEX(PP_Grid[#Data],$DE1539,105),0)</f>
        <v/>
      </c>
      <c r="DE1539" s="7">
        <f>IFERROR(MATCH($B1539,PP_Grid[Intermediate],0),99999)</f>
        <v/>
      </c>
    </row>
    <row r="1540">
      <c r="B1540" t="inlineStr">
        <is>
          <t>使用量(kg)</t>
        </is>
      </c>
      <c r="C1540">
        <f>SUMIFS(M_BOM[RM_Qty_Per_Batch],M_BOM[Intermediate],$B1539,M_BOM[RM_Code],$A1536)</f>
        <v/>
      </c>
      <c r="D1540">
        <f>IFERROR(INDEX(E1540:DD1540,$F$1),"")</f>
        <v/>
      </c>
      <c r="E1540">
        <f>$C1540*E1539</f>
        <v/>
      </c>
      <c r="F1540">
        <f>$C1540*F1539</f>
        <v/>
      </c>
      <c r="G1540">
        <f>$C1540*G1539</f>
        <v/>
      </c>
      <c r="H1540">
        <f>$C1540*H1539</f>
        <v/>
      </c>
      <c r="I1540">
        <f>$C1540*I1539</f>
        <v/>
      </c>
      <c r="J1540">
        <f>$C1540*J1539</f>
        <v/>
      </c>
      <c r="K1540">
        <f>$C1540*K1539</f>
        <v/>
      </c>
      <c r="L1540">
        <f>$C1540*L1539</f>
        <v/>
      </c>
      <c r="M1540">
        <f>$C1540*M1539</f>
        <v/>
      </c>
      <c r="N1540">
        <f>$C1540*N1539</f>
        <v/>
      </c>
      <c r="O1540">
        <f>$C1540*O1539</f>
        <v/>
      </c>
      <c r="P1540">
        <f>$C1540*P1539</f>
        <v/>
      </c>
      <c r="Q1540">
        <f>$C1540*Q1539</f>
        <v/>
      </c>
      <c r="R1540">
        <f>$C1540*R1539</f>
        <v/>
      </c>
      <c r="S1540">
        <f>$C1540*S1539</f>
        <v/>
      </c>
      <c r="T1540">
        <f>$C1540*T1539</f>
        <v/>
      </c>
      <c r="U1540">
        <f>$C1540*U1539</f>
        <v/>
      </c>
      <c r="V1540">
        <f>$C1540*V1539</f>
        <v/>
      </c>
      <c r="W1540">
        <f>$C1540*W1539</f>
        <v/>
      </c>
      <c r="X1540">
        <f>$C1540*X1539</f>
        <v/>
      </c>
      <c r="Y1540">
        <f>$C1540*Y1539</f>
        <v/>
      </c>
      <c r="Z1540">
        <f>$C1540*Z1539</f>
        <v/>
      </c>
      <c r="AA1540">
        <f>$C1540*AA1539</f>
        <v/>
      </c>
      <c r="AB1540">
        <f>$C1540*AB1539</f>
        <v/>
      </c>
      <c r="AC1540">
        <f>$C1540*AC1539</f>
        <v/>
      </c>
      <c r="AD1540">
        <f>$C1540*AD1539</f>
        <v/>
      </c>
      <c r="AE1540">
        <f>$C1540*AE1539</f>
        <v/>
      </c>
      <c r="AF1540">
        <f>$C1540*AF1539</f>
        <v/>
      </c>
      <c r="AG1540">
        <f>$C1540*AG1539</f>
        <v/>
      </c>
      <c r="AH1540">
        <f>$C1540*AH1539</f>
        <v/>
      </c>
      <c r="AI1540">
        <f>$C1540*AI1539</f>
        <v/>
      </c>
      <c r="AJ1540">
        <f>$C1540*AJ1539</f>
        <v/>
      </c>
      <c r="AK1540">
        <f>$C1540*AK1539</f>
        <v/>
      </c>
      <c r="AL1540">
        <f>$C1540*AL1539</f>
        <v/>
      </c>
      <c r="AM1540">
        <f>$C1540*AM1539</f>
        <v/>
      </c>
      <c r="AN1540">
        <f>$C1540*AN1539</f>
        <v/>
      </c>
      <c r="AO1540">
        <f>$C1540*AO1539</f>
        <v/>
      </c>
      <c r="AP1540">
        <f>$C1540*AP1539</f>
        <v/>
      </c>
      <c r="AQ1540">
        <f>$C1540*AQ1539</f>
        <v/>
      </c>
      <c r="AR1540">
        <f>$C1540*AR1539</f>
        <v/>
      </c>
      <c r="AS1540">
        <f>$C1540*AS1539</f>
        <v/>
      </c>
      <c r="AT1540">
        <f>$C1540*AT1539</f>
        <v/>
      </c>
      <c r="AU1540">
        <f>$C1540*AU1539</f>
        <v/>
      </c>
      <c r="AV1540">
        <f>$C1540*AV1539</f>
        <v/>
      </c>
      <c r="AW1540">
        <f>$C1540*AW1539</f>
        <v/>
      </c>
      <c r="AX1540">
        <f>$C1540*AX1539</f>
        <v/>
      </c>
      <c r="AY1540">
        <f>$C1540*AY1539</f>
        <v/>
      </c>
      <c r="AZ1540">
        <f>$C1540*AZ1539</f>
        <v/>
      </c>
      <c r="BA1540">
        <f>$C1540*BA1539</f>
        <v/>
      </c>
      <c r="BB1540">
        <f>$C1540*BB1539</f>
        <v/>
      </c>
      <c r="BC1540">
        <f>$C1540*BC1539</f>
        <v/>
      </c>
      <c r="BD1540">
        <f>$C1540*BD1539</f>
        <v/>
      </c>
      <c r="BE1540">
        <f>$C1540*BE1539</f>
        <v/>
      </c>
      <c r="BF1540">
        <f>$C1540*BF1539</f>
        <v/>
      </c>
      <c r="BG1540">
        <f>$C1540*BG1539</f>
        <v/>
      </c>
      <c r="BH1540">
        <f>$C1540*BH1539</f>
        <v/>
      </c>
      <c r="BI1540">
        <f>$C1540*BI1539</f>
        <v/>
      </c>
      <c r="BJ1540">
        <f>$C1540*BJ1539</f>
        <v/>
      </c>
      <c r="BK1540">
        <f>$C1540*BK1539</f>
        <v/>
      </c>
      <c r="BL1540">
        <f>$C1540*BL1539</f>
        <v/>
      </c>
      <c r="BM1540">
        <f>$C1540*BM1539</f>
        <v/>
      </c>
      <c r="BN1540">
        <f>$C1540*BN1539</f>
        <v/>
      </c>
      <c r="BO1540">
        <f>$C1540*BO1539</f>
        <v/>
      </c>
      <c r="BP1540">
        <f>$C1540*BP1539</f>
        <v/>
      </c>
      <c r="BQ1540">
        <f>$C1540*BQ1539</f>
        <v/>
      </c>
      <c r="BR1540">
        <f>$C1540*BR1539</f>
        <v/>
      </c>
      <c r="BS1540">
        <f>$C1540*BS1539</f>
        <v/>
      </c>
      <c r="BT1540">
        <f>$C1540*BT1539</f>
        <v/>
      </c>
      <c r="BU1540">
        <f>$C1540*BU1539</f>
        <v/>
      </c>
      <c r="BV1540">
        <f>$C1540*BV1539</f>
        <v/>
      </c>
      <c r="BW1540">
        <f>$C1540*BW1539</f>
        <v/>
      </c>
      <c r="BX1540">
        <f>$C1540*BX1539</f>
        <v/>
      </c>
      <c r="BY1540">
        <f>$C1540*BY1539</f>
        <v/>
      </c>
      <c r="BZ1540">
        <f>$C1540*BZ1539</f>
        <v/>
      </c>
      <c r="CA1540">
        <f>$C1540*CA1539</f>
        <v/>
      </c>
      <c r="CB1540">
        <f>$C1540*CB1539</f>
        <v/>
      </c>
      <c r="CC1540">
        <f>$C1540*CC1539</f>
        <v/>
      </c>
      <c r="CD1540">
        <f>$C1540*CD1539</f>
        <v/>
      </c>
      <c r="CE1540">
        <f>$C1540*CE1539</f>
        <v/>
      </c>
      <c r="CF1540">
        <f>$C1540*CF1539</f>
        <v/>
      </c>
      <c r="CG1540">
        <f>$C1540*CG1539</f>
        <v/>
      </c>
      <c r="CH1540">
        <f>$C1540*CH1539</f>
        <v/>
      </c>
      <c r="CI1540">
        <f>$C1540*CI1539</f>
        <v/>
      </c>
      <c r="CJ1540">
        <f>$C1540*CJ1539</f>
        <v/>
      </c>
      <c r="CK1540">
        <f>$C1540*CK1539</f>
        <v/>
      </c>
      <c r="CL1540">
        <f>$C1540*CL1539</f>
        <v/>
      </c>
      <c r="CM1540">
        <f>$C1540*CM1539</f>
        <v/>
      </c>
      <c r="CN1540">
        <f>$C1540*CN1539</f>
        <v/>
      </c>
      <c r="CO1540">
        <f>$C1540*CO1539</f>
        <v/>
      </c>
      <c r="CP1540">
        <f>$C1540*CP1539</f>
        <v/>
      </c>
      <c r="CQ1540">
        <f>$C1540*CQ1539</f>
        <v/>
      </c>
      <c r="CR1540">
        <f>$C1540*CR1539</f>
        <v/>
      </c>
      <c r="CS1540">
        <f>$C1540*CS1539</f>
        <v/>
      </c>
      <c r="CT1540">
        <f>$C1540*CT1539</f>
        <v/>
      </c>
      <c r="CU1540">
        <f>$C1540*CU1539</f>
        <v/>
      </c>
      <c r="CV1540">
        <f>$C1540*CV1539</f>
        <v/>
      </c>
      <c r="CW1540">
        <f>$C1540*CW1539</f>
        <v/>
      </c>
      <c r="CX1540">
        <f>$C1540*CX1539</f>
        <v/>
      </c>
      <c r="CY1540">
        <f>$C1540*CY1539</f>
        <v/>
      </c>
      <c r="CZ1540">
        <f>$C1540*CZ1539</f>
        <v/>
      </c>
      <c r="DA1540">
        <f>$C1540*DA1539</f>
        <v/>
      </c>
      <c r="DB1540">
        <f>$C1540*DB1539</f>
        <v/>
      </c>
      <c r="DC1540">
        <f>$C1540*DC1539</f>
        <v/>
      </c>
      <c r="DD1540">
        <f>$C1540*DD1539</f>
        <v/>
      </c>
    </row>
    <row r="1541">
      <c r="B1541" t="inlineStr">
        <is>
          <t>TSP-936</t>
        </is>
      </c>
      <c r="C1541" t="inlineStr">
        <is>
          <t>No. of batches</t>
        </is>
      </c>
      <c r="D1541">
        <f>IFERROR(INDEX(E1541:DD1541,$F$1),"")</f>
        <v/>
      </c>
      <c r="E1541">
        <f>IFERROR(INDEX(PP_Grid[#Data],$DE1541,2),0)</f>
        <v/>
      </c>
      <c r="F1541">
        <f>IFERROR(INDEX(PP_Grid[#Data],$DE1541,3),0)</f>
        <v/>
      </c>
      <c r="G1541">
        <f>IFERROR(INDEX(PP_Grid[#Data],$DE1541,4),0)</f>
        <v/>
      </c>
      <c r="H1541">
        <f>IFERROR(INDEX(PP_Grid[#Data],$DE1541,5),0)</f>
        <v/>
      </c>
      <c r="I1541">
        <f>IFERROR(INDEX(PP_Grid[#Data],$DE1541,6),0)</f>
        <v/>
      </c>
      <c r="J1541">
        <f>IFERROR(INDEX(PP_Grid[#Data],$DE1541,7),0)</f>
        <v/>
      </c>
      <c r="K1541">
        <f>IFERROR(INDEX(PP_Grid[#Data],$DE1541,8),0)</f>
        <v/>
      </c>
      <c r="L1541">
        <f>IFERROR(INDEX(PP_Grid[#Data],$DE1541,9),0)</f>
        <v/>
      </c>
      <c r="M1541">
        <f>IFERROR(INDEX(PP_Grid[#Data],$DE1541,10),0)</f>
        <v/>
      </c>
      <c r="N1541">
        <f>IFERROR(INDEX(PP_Grid[#Data],$DE1541,11),0)</f>
        <v/>
      </c>
      <c r="O1541">
        <f>IFERROR(INDEX(PP_Grid[#Data],$DE1541,12),0)</f>
        <v/>
      </c>
      <c r="P1541">
        <f>IFERROR(INDEX(PP_Grid[#Data],$DE1541,13),0)</f>
        <v/>
      </c>
      <c r="Q1541">
        <f>IFERROR(INDEX(PP_Grid[#Data],$DE1541,14),0)</f>
        <v/>
      </c>
      <c r="R1541">
        <f>IFERROR(INDEX(PP_Grid[#Data],$DE1541,15),0)</f>
        <v/>
      </c>
      <c r="S1541">
        <f>IFERROR(INDEX(PP_Grid[#Data],$DE1541,16),0)</f>
        <v/>
      </c>
      <c r="T1541">
        <f>IFERROR(INDEX(PP_Grid[#Data],$DE1541,17),0)</f>
        <v/>
      </c>
      <c r="U1541">
        <f>IFERROR(INDEX(PP_Grid[#Data],$DE1541,18),0)</f>
        <v/>
      </c>
      <c r="V1541">
        <f>IFERROR(INDEX(PP_Grid[#Data],$DE1541,19),0)</f>
        <v/>
      </c>
      <c r="W1541">
        <f>IFERROR(INDEX(PP_Grid[#Data],$DE1541,20),0)</f>
        <v/>
      </c>
      <c r="X1541">
        <f>IFERROR(INDEX(PP_Grid[#Data],$DE1541,21),0)</f>
        <v/>
      </c>
      <c r="Y1541">
        <f>IFERROR(INDEX(PP_Grid[#Data],$DE1541,22),0)</f>
        <v/>
      </c>
      <c r="Z1541">
        <f>IFERROR(INDEX(PP_Grid[#Data],$DE1541,23),0)</f>
        <v/>
      </c>
      <c r="AA1541">
        <f>IFERROR(INDEX(PP_Grid[#Data],$DE1541,24),0)</f>
        <v/>
      </c>
      <c r="AB1541">
        <f>IFERROR(INDEX(PP_Grid[#Data],$DE1541,25),0)</f>
        <v/>
      </c>
      <c r="AC1541">
        <f>IFERROR(INDEX(PP_Grid[#Data],$DE1541,26),0)</f>
        <v/>
      </c>
      <c r="AD1541">
        <f>IFERROR(INDEX(PP_Grid[#Data],$DE1541,27),0)</f>
        <v/>
      </c>
      <c r="AE1541">
        <f>IFERROR(INDEX(PP_Grid[#Data],$DE1541,28),0)</f>
        <v/>
      </c>
      <c r="AF1541">
        <f>IFERROR(INDEX(PP_Grid[#Data],$DE1541,29),0)</f>
        <v/>
      </c>
      <c r="AG1541">
        <f>IFERROR(INDEX(PP_Grid[#Data],$DE1541,30),0)</f>
        <v/>
      </c>
      <c r="AH1541">
        <f>IFERROR(INDEX(PP_Grid[#Data],$DE1541,31),0)</f>
        <v/>
      </c>
      <c r="AI1541">
        <f>IFERROR(INDEX(PP_Grid[#Data],$DE1541,32),0)</f>
        <v/>
      </c>
      <c r="AJ1541">
        <f>IFERROR(INDEX(PP_Grid[#Data],$DE1541,33),0)</f>
        <v/>
      </c>
      <c r="AK1541">
        <f>IFERROR(INDEX(PP_Grid[#Data],$DE1541,34),0)</f>
        <v/>
      </c>
      <c r="AL1541">
        <f>IFERROR(INDEX(PP_Grid[#Data],$DE1541,35),0)</f>
        <v/>
      </c>
      <c r="AM1541">
        <f>IFERROR(INDEX(PP_Grid[#Data],$DE1541,36),0)</f>
        <v/>
      </c>
      <c r="AN1541">
        <f>IFERROR(INDEX(PP_Grid[#Data],$DE1541,37),0)</f>
        <v/>
      </c>
      <c r="AO1541">
        <f>IFERROR(INDEX(PP_Grid[#Data],$DE1541,38),0)</f>
        <v/>
      </c>
      <c r="AP1541">
        <f>IFERROR(INDEX(PP_Grid[#Data],$DE1541,39),0)</f>
        <v/>
      </c>
      <c r="AQ1541">
        <f>IFERROR(INDEX(PP_Grid[#Data],$DE1541,40),0)</f>
        <v/>
      </c>
      <c r="AR1541">
        <f>IFERROR(INDEX(PP_Grid[#Data],$DE1541,41),0)</f>
        <v/>
      </c>
      <c r="AS1541">
        <f>IFERROR(INDEX(PP_Grid[#Data],$DE1541,42),0)</f>
        <v/>
      </c>
      <c r="AT1541">
        <f>IFERROR(INDEX(PP_Grid[#Data],$DE1541,43),0)</f>
        <v/>
      </c>
      <c r="AU1541">
        <f>IFERROR(INDEX(PP_Grid[#Data],$DE1541,44),0)</f>
        <v/>
      </c>
      <c r="AV1541">
        <f>IFERROR(INDEX(PP_Grid[#Data],$DE1541,45),0)</f>
        <v/>
      </c>
      <c r="AW1541">
        <f>IFERROR(INDEX(PP_Grid[#Data],$DE1541,46),0)</f>
        <v/>
      </c>
      <c r="AX1541">
        <f>IFERROR(INDEX(PP_Grid[#Data],$DE1541,47),0)</f>
        <v/>
      </c>
      <c r="AY1541">
        <f>IFERROR(INDEX(PP_Grid[#Data],$DE1541,48),0)</f>
        <v/>
      </c>
      <c r="AZ1541">
        <f>IFERROR(INDEX(PP_Grid[#Data],$DE1541,49),0)</f>
        <v/>
      </c>
      <c r="BA1541">
        <f>IFERROR(INDEX(PP_Grid[#Data],$DE1541,50),0)</f>
        <v/>
      </c>
      <c r="BB1541">
        <f>IFERROR(INDEX(PP_Grid[#Data],$DE1541,51),0)</f>
        <v/>
      </c>
      <c r="BC1541">
        <f>IFERROR(INDEX(PP_Grid[#Data],$DE1541,52),0)</f>
        <v/>
      </c>
      <c r="BD1541">
        <f>IFERROR(INDEX(PP_Grid[#Data],$DE1541,53),0)</f>
        <v/>
      </c>
      <c r="BE1541">
        <f>IFERROR(INDEX(PP_Grid[#Data],$DE1541,54),0)</f>
        <v/>
      </c>
      <c r="BF1541">
        <f>IFERROR(INDEX(PP_Grid[#Data],$DE1541,55),0)</f>
        <v/>
      </c>
      <c r="BG1541">
        <f>IFERROR(INDEX(PP_Grid[#Data],$DE1541,56),0)</f>
        <v/>
      </c>
      <c r="BH1541">
        <f>IFERROR(INDEX(PP_Grid[#Data],$DE1541,57),0)</f>
        <v/>
      </c>
      <c r="BI1541">
        <f>IFERROR(INDEX(PP_Grid[#Data],$DE1541,58),0)</f>
        <v/>
      </c>
      <c r="BJ1541">
        <f>IFERROR(INDEX(PP_Grid[#Data],$DE1541,59),0)</f>
        <v/>
      </c>
      <c r="BK1541">
        <f>IFERROR(INDEX(PP_Grid[#Data],$DE1541,60),0)</f>
        <v/>
      </c>
      <c r="BL1541">
        <f>IFERROR(INDEX(PP_Grid[#Data],$DE1541,61),0)</f>
        <v/>
      </c>
      <c r="BM1541">
        <f>IFERROR(INDEX(PP_Grid[#Data],$DE1541,62),0)</f>
        <v/>
      </c>
      <c r="BN1541">
        <f>IFERROR(INDEX(PP_Grid[#Data],$DE1541,63),0)</f>
        <v/>
      </c>
      <c r="BO1541">
        <f>IFERROR(INDEX(PP_Grid[#Data],$DE1541,64),0)</f>
        <v/>
      </c>
      <c r="BP1541">
        <f>IFERROR(INDEX(PP_Grid[#Data],$DE1541,65),0)</f>
        <v/>
      </c>
      <c r="BQ1541">
        <f>IFERROR(INDEX(PP_Grid[#Data],$DE1541,66),0)</f>
        <v/>
      </c>
      <c r="BR1541">
        <f>IFERROR(INDEX(PP_Grid[#Data],$DE1541,67),0)</f>
        <v/>
      </c>
      <c r="BS1541">
        <f>IFERROR(INDEX(PP_Grid[#Data],$DE1541,68),0)</f>
        <v/>
      </c>
      <c r="BT1541">
        <f>IFERROR(INDEX(PP_Grid[#Data],$DE1541,69),0)</f>
        <v/>
      </c>
      <c r="BU1541">
        <f>IFERROR(INDEX(PP_Grid[#Data],$DE1541,70),0)</f>
        <v/>
      </c>
      <c r="BV1541">
        <f>IFERROR(INDEX(PP_Grid[#Data],$DE1541,71),0)</f>
        <v/>
      </c>
      <c r="BW1541">
        <f>IFERROR(INDEX(PP_Grid[#Data],$DE1541,72),0)</f>
        <v/>
      </c>
      <c r="BX1541">
        <f>IFERROR(INDEX(PP_Grid[#Data],$DE1541,73),0)</f>
        <v/>
      </c>
      <c r="BY1541">
        <f>IFERROR(INDEX(PP_Grid[#Data],$DE1541,74),0)</f>
        <v/>
      </c>
      <c r="BZ1541">
        <f>IFERROR(INDEX(PP_Grid[#Data],$DE1541,75),0)</f>
        <v/>
      </c>
      <c r="CA1541">
        <f>IFERROR(INDEX(PP_Grid[#Data],$DE1541,76),0)</f>
        <v/>
      </c>
      <c r="CB1541">
        <f>IFERROR(INDEX(PP_Grid[#Data],$DE1541,77),0)</f>
        <v/>
      </c>
      <c r="CC1541">
        <f>IFERROR(INDEX(PP_Grid[#Data],$DE1541,78),0)</f>
        <v/>
      </c>
      <c r="CD1541">
        <f>IFERROR(INDEX(PP_Grid[#Data],$DE1541,79),0)</f>
        <v/>
      </c>
      <c r="CE1541">
        <f>IFERROR(INDEX(PP_Grid[#Data],$DE1541,80),0)</f>
        <v/>
      </c>
      <c r="CF1541">
        <f>IFERROR(INDEX(PP_Grid[#Data],$DE1541,81),0)</f>
        <v/>
      </c>
      <c r="CG1541">
        <f>IFERROR(INDEX(PP_Grid[#Data],$DE1541,82),0)</f>
        <v/>
      </c>
      <c r="CH1541">
        <f>IFERROR(INDEX(PP_Grid[#Data],$DE1541,83),0)</f>
        <v/>
      </c>
      <c r="CI1541">
        <f>IFERROR(INDEX(PP_Grid[#Data],$DE1541,84),0)</f>
        <v/>
      </c>
      <c r="CJ1541">
        <f>IFERROR(INDEX(PP_Grid[#Data],$DE1541,85),0)</f>
        <v/>
      </c>
      <c r="CK1541">
        <f>IFERROR(INDEX(PP_Grid[#Data],$DE1541,86),0)</f>
        <v/>
      </c>
      <c r="CL1541">
        <f>IFERROR(INDEX(PP_Grid[#Data],$DE1541,87),0)</f>
        <v/>
      </c>
      <c r="CM1541">
        <f>IFERROR(INDEX(PP_Grid[#Data],$DE1541,88),0)</f>
        <v/>
      </c>
      <c r="CN1541">
        <f>IFERROR(INDEX(PP_Grid[#Data],$DE1541,89),0)</f>
        <v/>
      </c>
      <c r="CO1541">
        <f>IFERROR(INDEX(PP_Grid[#Data],$DE1541,90),0)</f>
        <v/>
      </c>
      <c r="CP1541">
        <f>IFERROR(INDEX(PP_Grid[#Data],$DE1541,91),0)</f>
        <v/>
      </c>
      <c r="CQ1541">
        <f>IFERROR(INDEX(PP_Grid[#Data],$DE1541,92),0)</f>
        <v/>
      </c>
      <c r="CR1541">
        <f>IFERROR(INDEX(PP_Grid[#Data],$DE1541,93),0)</f>
        <v/>
      </c>
      <c r="CS1541">
        <f>IFERROR(INDEX(PP_Grid[#Data],$DE1541,94),0)</f>
        <v/>
      </c>
      <c r="CT1541">
        <f>IFERROR(INDEX(PP_Grid[#Data],$DE1541,95),0)</f>
        <v/>
      </c>
      <c r="CU1541">
        <f>IFERROR(INDEX(PP_Grid[#Data],$DE1541,96),0)</f>
        <v/>
      </c>
      <c r="CV1541">
        <f>IFERROR(INDEX(PP_Grid[#Data],$DE1541,97),0)</f>
        <v/>
      </c>
      <c r="CW1541">
        <f>IFERROR(INDEX(PP_Grid[#Data],$DE1541,98),0)</f>
        <v/>
      </c>
      <c r="CX1541">
        <f>IFERROR(INDEX(PP_Grid[#Data],$DE1541,99),0)</f>
        <v/>
      </c>
      <c r="CY1541">
        <f>IFERROR(INDEX(PP_Grid[#Data],$DE1541,100),0)</f>
        <v/>
      </c>
      <c r="CZ1541">
        <f>IFERROR(INDEX(PP_Grid[#Data],$DE1541,101),0)</f>
        <v/>
      </c>
      <c r="DA1541">
        <f>IFERROR(INDEX(PP_Grid[#Data],$DE1541,102),0)</f>
        <v/>
      </c>
      <c r="DB1541">
        <f>IFERROR(INDEX(PP_Grid[#Data],$DE1541,103),0)</f>
        <v/>
      </c>
      <c r="DC1541">
        <f>IFERROR(INDEX(PP_Grid[#Data],$DE1541,104),0)</f>
        <v/>
      </c>
      <c r="DD1541">
        <f>IFERROR(INDEX(PP_Grid[#Data],$DE1541,105),0)</f>
        <v/>
      </c>
      <c r="DE1541" s="7">
        <f>IFERROR(MATCH($B1541,PP_Grid[Intermediate],0),99999)</f>
        <v/>
      </c>
    </row>
    <row r="1542">
      <c r="B1542" t="inlineStr">
        <is>
          <t>使用量(kg)</t>
        </is>
      </c>
      <c r="C1542">
        <f>SUMIFS(M_BOM[RM_Qty_Per_Batch],M_BOM[Intermediate],$B1541,M_BOM[RM_Code],$A1536)</f>
        <v/>
      </c>
      <c r="D1542">
        <f>IFERROR(INDEX(E1542:DD1542,$F$1),"")</f>
        <v/>
      </c>
      <c r="E1542">
        <f>$C1542*E1541</f>
        <v/>
      </c>
      <c r="F1542">
        <f>$C1542*F1541</f>
        <v/>
      </c>
      <c r="G1542">
        <f>$C1542*G1541</f>
        <v/>
      </c>
      <c r="H1542">
        <f>$C1542*H1541</f>
        <v/>
      </c>
      <c r="I1542">
        <f>$C1542*I1541</f>
        <v/>
      </c>
      <c r="J1542">
        <f>$C1542*J1541</f>
        <v/>
      </c>
      <c r="K1542">
        <f>$C1542*K1541</f>
        <v/>
      </c>
      <c r="L1542">
        <f>$C1542*L1541</f>
        <v/>
      </c>
      <c r="M1542">
        <f>$C1542*M1541</f>
        <v/>
      </c>
      <c r="N1542">
        <f>$C1542*N1541</f>
        <v/>
      </c>
      <c r="O1542">
        <f>$C1542*O1541</f>
        <v/>
      </c>
      <c r="P1542">
        <f>$C1542*P1541</f>
        <v/>
      </c>
      <c r="Q1542">
        <f>$C1542*Q1541</f>
        <v/>
      </c>
      <c r="R1542">
        <f>$C1542*R1541</f>
        <v/>
      </c>
      <c r="S1542">
        <f>$C1542*S1541</f>
        <v/>
      </c>
      <c r="T1542">
        <f>$C1542*T1541</f>
        <v/>
      </c>
      <c r="U1542">
        <f>$C1542*U1541</f>
        <v/>
      </c>
      <c r="V1542">
        <f>$C1542*V1541</f>
        <v/>
      </c>
      <c r="W1542">
        <f>$C1542*W1541</f>
        <v/>
      </c>
      <c r="X1542">
        <f>$C1542*X1541</f>
        <v/>
      </c>
      <c r="Y1542">
        <f>$C1542*Y1541</f>
        <v/>
      </c>
      <c r="Z1542">
        <f>$C1542*Z1541</f>
        <v/>
      </c>
      <c r="AA1542">
        <f>$C1542*AA1541</f>
        <v/>
      </c>
      <c r="AB1542">
        <f>$C1542*AB1541</f>
        <v/>
      </c>
      <c r="AC1542">
        <f>$C1542*AC1541</f>
        <v/>
      </c>
      <c r="AD1542">
        <f>$C1542*AD1541</f>
        <v/>
      </c>
      <c r="AE1542">
        <f>$C1542*AE1541</f>
        <v/>
      </c>
      <c r="AF1542">
        <f>$C1542*AF1541</f>
        <v/>
      </c>
      <c r="AG1542">
        <f>$C1542*AG1541</f>
        <v/>
      </c>
      <c r="AH1542">
        <f>$C1542*AH1541</f>
        <v/>
      </c>
      <c r="AI1542">
        <f>$C1542*AI1541</f>
        <v/>
      </c>
      <c r="AJ1542">
        <f>$C1542*AJ1541</f>
        <v/>
      </c>
      <c r="AK1542">
        <f>$C1542*AK1541</f>
        <v/>
      </c>
      <c r="AL1542">
        <f>$C1542*AL1541</f>
        <v/>
      </c>
      <c r="AM1542">
        <f>$C1542*AM1541</f>
        <v/>
      </c>
      <c r="AN1542">
        <f>$C1542*AN1541</f>
        <v/>
      </c>
      <c r="AO1542">
        <f>$C1542*AO1541</f>
        <v/>
      </c>
      <c r="AP1542">
        <f>$C1542*AP1541</f>
        <v/>
      </c>
      <c r="AQ1542">
        <f>$C1542*AQ1541</f>
        <v/>
      </c>
      <c r="AR1542">
        <f>$C1542*AR1541</f>
        <v/>
      </c>
      <c r="AS1542">
        <f>$C1542*AS1541</f>
        <v/>
      </c>
      <c r="AT1542">
        <f>$C1542*AT1541</f>
        <v/>
      </c>
      <c r="AU1542">
        <f>$C1542*AU1541</f>
        <v/>
      </c>
      <c r="AV1542">
        <f>$C1542*AV1541</f>
        <v/>
      </c>
      <c r="AW1542">
        <f>$C1542*AW1541</f>
        <v/>
      </c>
      <c r="AX1542">
        <f>$C1542*AX1541</f>
        <v/>
      </c>
      <c r="AY1542">
        <f>$C1542*AY1541</f>
        <v/>
      </c>
      <c r="AZ1542">
        <f>$C1542*AZ1541</f>
        <v/>
      </c>
      <c r="BA1542">
        <f>$C1542*BA1541</f>
        <v/>
      </c>
      <c r="BB1542">
        <f>$C1542*BB1541</f>
        <v/>
      </c>
      <c r="BC1542">
        <f>$C1542*BC1541</f>
        <v/>
      </c>
      <c r="BD1542">
        <f>$C1542*BD1541</f>
        <v/>
      </c>
      <c r="BE1542">
        <f>$C1542*BE1541</f>
        <v/>
      </c>
      <c r="BF1542">
        <f>$C1542*BF1541</f>
        <v/>
      </c>
      <c r="BG1542">
        <f>$C1542*BG1541</f>
        <v/>
      </c>
      <c r="BH1542">
        <f>$C1542*BH1541</f>
        <v/>
      </c>
      <c r="BI1542">
        <f>$C1542*BI1541</f>
        <v/>
      </c>
      <c r="BJ1542">
        <f>$C1542*BJ1541</f>
        <v/>
      </c>
      <c r="BK1542">
        <f>$C1542*BK1541</f>
        <v/>
      </c>
      <c r="BL1542">
        <f>$C1542*BL1541</f>
        <v/>
      </c>
      <c r="BM1542">
        <f>$C1542*BM1541</f>
        <v/>
      </c>
      <c r="BN1542">
        <f>$C1542*BN1541</f>
        <v/>
      </c>
      <c r="BO1542">
        <f>$C1542*BO1541</f>
        <v/>
      </c>
      <c r="BP1542">
        <f>$C1542*BP1541</f>
        <v/>
      </c>
      <c r="BQ1542">
        <f>$C1542*BQ1541</f>
        <v/>
      </c>
      <c r="BR1542">
        <f>$C1542*BR1541</f>
        <v/>
      </c>
      <c r="BS1542">
        <f>$C1542*BS1541</f>
        <v/>
      </c>
      <c r="BT1542">
        <f>$C1542*BT1541</f>
        <v/>
      </c>
      <c r="BU1542">
        <f>$C1542*BU1541</f>
        <v/>
      </c>
      <c r="BV1542">
        <f>$C1542*BV1541</f>
        <v/>
      </c>
      <c r="BW1542">
        <f>$C1542*BW1541</f>
        <v/>
      </c>
      <c r="BX1542">
        <f>$C1542*BX1541</f>
        <v/>
      </c>
      <c r="BY1542">
        <f>$C1542*BY1541</f>
        <v/>
      </c>
      <c r="BZ1542">
        <f>$C1542*BZ1541</f>
        <v/>
      </c>
      <c r="CA1542">
        <f>$C1542*CA1541</f>
        <v/>
      </c>
      <c r="CB1542">
        <f>$C1542*CB1541</f>
        <v/>
      </c>
      <c r="CC1542">
        <f>$C1542*CC1541</f>
        <v/>
      </c>
      <c r="CD1542">
        <f>$C1542*CD1541</f>
        <v/>
      </c>
      <c r="CE1542">
        <f>$C1542*CE1541</f>
        <v/>
      </c>
      <c r="CF1542">
        <f>$C1542*CF1541</f>
        <v/>
      </c>
      <c r="CG1542">
        <f>$C1542*CG1541</f>
        <v/>
      </c>
      <c r="CH1542">
        <f>$C1542*CH1541</f>
        <v/>
      </c>
      <c r="CI1542">
        <f>$C1542*CI1541</f>
        <v/>
      </c>
      <c r="CJ1542">
        <f>$C1542*CJ1541</f>
        <v/>
      </c>
      <c r="CK1542">
        <f>$C1542*CK1541</f>
        <v/>
      </c>
      <c r="CL1542">
        <f>$C1542*CL1541</f>
        <v/>
      </c>
      <c r="CM1542">
        <f>$C1542*CM1541</f>
        <v/>
      </c>
      <c r="CN1542">
        <f>$C1542*CN1541</f>
        <v/>
      </c>
      <c r="CO1542">
        <f>$C1542*CO1541</f>
        <v/>
      </c>
      <c r="CP1542">
        <f>$C1542*CP1541</f>
        <v/>
      </c>
      <c r="CQ1542">
        <f>$C1542*CQ1541</f>
        <v/>
      </c>
      <c r="CR1542">
        <f>$C1542*CR1541</f>
        <v/>
      </c>
      <c r="CS1542">
        <f>$C1542*CS1541</f>
        <v/>
      </c>
      <c r="CT1542">
        <f>$C1542*CT1541</f>
        <v/>
      </c>
      <c r="CU1542">
        <f>$C1542*CU1541</f>
        <v/>
      </c>
      <c r="CV1542">
        <f>$C1542*CV1541</f>
        <v/>
      </c>
      <c r="CW1542">
        <f>$C1542*CW1541</f>
        <v/>
      </c>
      <c r="CX1542">
        <f>$C1542*CX1541</f>
        <v/>
      </c>
      <c r="CY1542">
        <f>$C1542*CY1541</f>
        <v/>
      </c>
      <c r="CZ1542">
        <f>$C1542*CZ1541</f>
        <v/>
      </c>
      <c r="DA1542">
        <f>$C1542*DA1541</f>
        <v/>
      </c>
      <c r="DB1542">
        <f>$C1542*DB1541</f>
        <v/>
      </c>
      <c r="DC1542">
        <f>$C1542*DC1541</f>
        <v/>
      </c>
      <c r="DD1542">
        <f>$C1542*DD1541</f>
        <v/>
      </c>
    </row>
    <row r="1543">
      <c r="B1543" t="inlineStr">
        <is>
          <t>TSP-937</t>
        </is>
      </c>
      <c r="C1543" t="inlineStr">
        <is>
          <t>No. of batches</t>
        </is>
      </c>
      <c r="D1543">
        <f>IFERROR(INDEX(E1543:DD1543,$F$1),"")</f>
        <v/>
      </c>
      <c r="E1543">
        <f>IFERROR(INDEX(PP_Grid[#Data],$DE1543,2),0)</f>
        <v/>
      </c>
      <c r="F1543">
        <f>IFERROR(INDEX(PP_Grid[#Data],$DE1543,3),0)</f>
        <v/>
      </c>
      <c r="G1543">
        <f>IFERROR(INDEX(PP_Grid[#Data],$DE1543,4),0)</f>
        <v/>
      </c>
      <c r="H1543">
        <f>IFERROR(INDEX(PP_Grid[#Data],$DE1543,5),0)</f>
        <v/>
      </c>
      <c r="I1543">
        <f>IFERROR(INDEX(PP_Grid[#Data],$DE1543,6),0)</f>
        <v/>
      </c>
      <c r="J1543">
        <f>IFERROR(INDEX(PP_Grid[#Data],$DE1543,7),0)</f>
        <v/>
      </c>
      <c r="K1543">
        <f>IFERROR(INDEX(PP_Grid[#Data],$DE1543,8),0)</f>
        <v/>
      </c>
      <c r="L1543">
        <f>IFERROR(INDEX(PP_Grid[#Data],$DE1543,9),0)</f>
        <v/>
      </c>
      <c r="M1543">
        <f>IFERROR(INDEX(PP_Grid[#Data],$DE1543,10),0)</f>
        <v/>
      </c>
      <c r="N1543">
        <f>IFERROR(INDEX(PP_Grid[#Data],$DE1543,11),0)</f>
        <v/>
      </c>
      <c r="O1543">
        <f>IFERROR(INDEX(PP_Grid[#Data],$DE1543,12),0)</f>
        <v/>
      </c>
      <c r="P1543">
        <f>IFERROR(INDEX(PP_Grid[#Data],$DE1543,13),0)</f>
        <v/>
      </c>
      <c r="Q1543">
        <f>IFERROR(INDEX(PP_Grid[#Data],$DE1543,14),0)</f>
        <v/>
      </c>
      <c r="R1543">
        <f>IFERROR(INDEX(PP_Grid[#Data],$DE1543,15),0)</f>
        <v/>
      </c>
      <c r="S1543">
        <f>IFERROR(INDEX(PP_Grid[#Data],$DE1543,16),0)</f>
        <v/>
      </c>
      <c r="T1543">
        <f>IFERROR(INDEX(PP_Grid[#Data],$DE1543,17),0)</f>
        <v/>
      </c>
      <c r="U1543">
        <f>IFERROR(INDEX(PP_Grid[#Data],$DE1543,18),0)</f>
        <v/>
      </c>
      <c r="V1543">
        <f>IFERROR(INDEX(PP_Grid[#Data],$DE1543,19),0)</f>
        <v/>
      </c>
      <c r="W1543">
        <f>IFERROR(INDEX(PP_Grid[#Data],$DE1543,20),0)</f>
        <v/>
      </c>
      <c r="X1543">
        <f>IFERROR(INDEX(PP_Grid[#Data],$DE1543,21),0)</f>
        <v/>
      </c>
      <c r="Y1543">
        <f>IFERROR(INDEX(PP_Grid[#Data],$DE1543,22),0)</f>
        <v/>
      </c>
      <c r="Z1543">
        <f>IFERROR(INDEX(PP_Grid[#Data],$DE1543,23),0)</f>
        <v/>
      </c>
      <c r="AA1543">
        <f>IFERROR(INDEX(PP_Grid[#Data],$DE1543,24),0)</f>
        <v/>
      </c>
      <c r="AB1543">
        <f>IFERROR(INDEX(PP_Grid[#Data],$DE1543,25),0)</f>
        <v/>
      </c>
      <c r="AC1543">
        <f>IFERROR(INDEX(PP_Grid[#Data],$DE1543,26),0)</f>
        <v/>
      </c>
      <c r="AD1543">
        <f>IFERROR(INDEX(PP_Grid[#Data],$DE1543,27),0)</f>
        <v/>
      </c>
      <c r="AE1543">
        <f>IFERROR(INDEX(PP_Grid[#Data],$DE1543,28),0)</f>
        <v/>
      </c>
      <c r="AF1543">
        <f>IFERROR(INDEX(PP_Grid[#Data],$DE1543,29),0)</f>
        <v/>
      </c>
      <c r="AG1543">
        <f>IFERROR(INDEX(PP_Grid[#Data],$DE1543,30),0)</f>
        <v/>
      </c>
      <c r="AH1543">
        <f>IFERROR(INDEX(PP_Grid[#Data],$DE1543,31),0)</f>
        <v/>
      </c>
      <c r="AI1543">
        <f>IFERROR(INDEX(PP_Grid[#Data],$DE1543,32),0)</f>
        <v/>
      </c>
      <c r="AJ1543">
        <f>IFERROR(INDEX(PP_Grid[#Data],$DE1543,33),0)</f>
        <v/>
      </c>
      <c r="AK1543">
        <f>IFERROR(INDEX(PP_Grid[#Data],$DE1543,34),0)</f>
        <v/>
      </c>
      <c r="AL1543">
        <f>IFERROR(INDEX(PP_Grid[#Data],$DE1543,35),0)</f>
        <v/>
      </c>
      <c r="AM1543">
        <f>IFERROR(INDEX(PP_Grid[#Data],$DE1543,36),0)</f>
        <v/>
      </c>
      <c r="AN1543">
        <f>IFERROR(INDEX(PP_Grid[#Data],$DE1543,37),0)</f>
        <v/>
      </c>
      <c r="AO1543">
        <f>IFERROR(INDEX(PP_Grid[#Data],$DE1543,38),0)</f>
        <v/>
      </c>
      <c r="AP1543">
        <f>IFERROR(INDEX(PP_Grid[#Data],$DE1543,39),0)</f>
        <v/>
      </c>
      <c r="AQ1543">
        <f>IFERROR(INDEX(PP_Grid[#Data],$DE1543,40),0)</f>
        <v/>
      </c>
      <c r="AR1543">
        <f>IFERROR(INDEX(PP_Grid[#Data],$DE1543,41),0)</f>
        <v/>
      </c>
      <c r="AS1543">
        <f>IFERROR(INDEX(PP_Grid[#Data],$DE1543,42),0)</f>
        <v/>
      </c>
      <c r="AT1543">
        <f>IFERROR(INDEX(PP_Grid[#Data],$DE1543,43),0)</f>
        <v/>
      </c>
      <c r="AU1543">
        <f>IFERROR(INDEX(PP_Grid[#Data],$DE1543,44),0)</f>
        <v/>
      </c>
      <c r="AV1543">
        <f>IFERROR(INDEX(PP_Grid[#Data],$DE1543,45),0)</f>
        <v/>
      </c>
      <c r="AW1543">
        <f>IFERROR(INDEX(PP_Grid[#Data],$DE1543,46),0)</f>
        <v/>
      </c>
      <c r="AX1543">
        <f>IFERROR(INDEX(PP_Grid[#Data],$DE1543,47),0)</f>
        <v/>
      </c>
      <c r="AY1543">
        <f>IFERROR(INDEX(PP_Grid[#Data],$DE1543,48),0)</f>
        <v/>
      </c>
      <c r="AZ1543">
        <f>IFERROR(INDEX(PP_Grid[#Data],$DE1543,49),0)</f>
        <v/>
      </c>
      <c r="BA1543">
        <f>IFERROR(INDEX(PP_Grid[#Data],$DE1543,50),0)</f>
        <v/>
      </c>
      <c r="BB1543">
        <f>IFERROR(INDEX(PP_Grid[#Data],$DE1543,51),0)</f>
        <v/>
      </c>
      <c r="BC1543">
        <f>IFERROR(INDEX(PP_Grid[#Data],$DE1543,52),0)</f>
        <v/>
      </c>
      <c r="BD1543">
        <f>IFERROR(INDEX(PP_Grid[#Data],$DE1543,53),0)</f>
        <v/>
      </c>
      <c r="BE1543">
        <f>IFERROR(INDEX(PP_Grid[#Data],$DE1543,54),0)</f>
        <v/>
      </c>
      <c r="BF1543">
        <f>IFERROR(INDEX(PP_Grid[#Data],$DE1543,55),0)</f>
        <v/>
      </c>
      <c r="BG1543">
        <f>IFERROR(INDEX(PP_Grid[#Data],$DE1543,56),0)</f>
        <v/>
      </c>
      <c r="BH1543">
        <f>IFERROR(INDEX(PP_Grid[#Data],$DE1543,57),0)</f>
        <v/>
      </c>
      <c r="BI1543">
        <f>IFERROR(INDEX(PP_Grid[#Data],$DE1543,58),0)</f>
        <v/>
      </c>
      <c r="BJ1543">
        <f>IFERROR(INDEX(PP_Grid[#Data],$DE1543,59),0)</f>
        <v/>
      </c>
      <c r="BK1543">
        <f>IFERROR(INDEX(PP_Grid[#Data],$DE1543,60),0)</f>
        <v/>
      </c>
      <c r="BL1543">
        <f>IFERROR(INDEX(PP_Grid[#Data],$DE1543,61),0)</f>
        <v/>
      </c>
      <c r="BM1543">
        <f>IFERROR(INDEX(PP_Grid[#Data],$DE1543,62),0)</f>
        <v/>
      </c>
      <c r="BN1543">
        <f>IFERROR(INDEX(PP_Grid[#Data],$DE1543,63),0)</f>
        <v/>
      </c>
      <c r="BO1543">
        <f>IFERROR(INDEX(PP_Grid[#Data],$DE1543,64),0)</f>
        <v/>
      </c>
      <c r="BP1543">
        <f>IFERROR(INDEX(PP_Grid[#Data],$DE1543,65),0)</f>
        <v/>
      </c>
      <c r="BQ1543">
        <f>IFERROR(INDEX(PP_Grid[#Data],$DE1543,66),0)</f>
        <v/>
      </c>
      <c r="BR1543">
        <f>IFERROR(INDEX(PP_Grid[#Data],$DE1543,67),0)</f>
        <v/>
      </c>
      <c r="BS1543">
        <f>IFERROR(INDEX(PP_Grid[#Data],$DE1543,68),0)</f>
        <v/>
      </c>
      <c r="BT1543">
        <f>IFERROR(INDEX(PP_Grid[#Data],$DE1543,69),0)</f>
        <v/>
      </c>
      <c r="BU1543">
        <f>IFERROR(INDEX(PP_Grid[#Data],$DE1543,70),0)</f>
        <v/>
      </c>
      <c r="BV1543">
        <f>IFERROR(INDEX(PP_Grid[#Data],$DE1543,71),0)</f>
        <v/>
      </c>
      <c r="BW1543">
        <f>IFERROR(INDEX(PP_Grid[#Data],$DE1543,72),0)</f>
        <v/>
      </c>
      <c r="BX1543">
        <f>IFERROR(INDEX(PP_Grid[#Data],$DE1543,73),0)</f>
        <v/>
      </c>
      <c r="BY1543">
        <f>IFERROR(INDEX(PP_Grid[#Data],$DE1543,74),0)</f>
        <v/>
      </c>
      <c r="BZ1543">
        <f>IFERROR(INDEX(PP_Grid[#Data],$DE1543,75),0)</f>
        <v/>
      </c>
      <c r="CA1543">
        <f>IFERROR(INDEX(PP_Grid[#Data],$DE1543,76),0)</f>
        <v/>
      </c>
      <c r="CB1543">
        <f>IFERROR(INDEX(PP_Grid[#Data],$DE1543,77),0)</f>
        <v/>
      </c>
      <c r="CC1543">
        <f>IFERROR(INDEX(PP_Grid[#Data],$DE1543,78),0)</f>
        <v/>
      </c>
      <c r="CD1543">
        <f>IFERROR(INDEX(PP_Grid[#Data],$DE1543,79),0)</f>
        <v/>
      </c>
      <c r="CE1543">
        <f>IFERROR(INDEX(PP_Grid[#Data],$DE1543,80),0)</f>
        <v/>
      </c>
      <c r="CF1543">
        <f>IFERROR(INDEX(PP_Grid[#Data],$DE1543,81),0)</f>
        <v/>
      </c>
      <c r="CG1543">
        <f>IFERROR(INDEX(PP_Grid[#Data],$DE1543,82),0)</f>
        <v/>
      </c>
      <c r="CH1543">
        <f>IFERROR(INDEX(PP_Grid[#Data],$DE1543,83),0)</f>
        <v/>
      </c>
      <c r="CI1543">
        <f>IFERROR(INDEX(PP_Grid[#Data],$DE1543,84),0)</f>
        <v/>
      </c>
      <c r="CJ1543">
        <f>IFERROR(INDEX(PP_Grid[#Data],$DE1543,85),0)</f>
        <v/>
      </c>
      <c r="CK1543">
        <f>IFERROR(INDEX(PP_Grid[#Data],$DE1543,86),0)</f>
        <v/>
      </c>
      <c r="CL1543">
        <f>IFERROR(INDEX(PP_Grid[#Data],$DE1543,87),0)</f>
        <v/>
      </c>
      <c r="CM1543">
        <f>IFERROR(INDEX(PP_Grid[#Data],$DE1543,88),0)</f>
        <v/>
      </c>
      <c r="CN1543">
        <f>IFERROR(INDEX(PP_Grid[#Data],$DE1543,89),0)</f>
        <v/>
      </c>
      <c r="CO1543">
        <f>IFERROR(INDEX(PP_Grid[#Data],$DE1543,90),0)</f>
        <v/>
      </c>
      <c r="CP1543">
        <f>IFERROR(INDEX(PP_Grid[#Data],$DE1543,91),0)</f>
        <v/>
      </c>
      <c r="CQ1543">
        <f>IFERROR(INDEX(PP_Grid[#Data],$DE1543,92),0)</f>
        <v/>
      </c>
      <c r="CR1543">
        <f>IFERROR(INDEX(PP_Grid[#Data],$DE1543,93),0)</f>
        <v/>
      </c>
      <c r="CS1543">
        <f>IFERROR(INDEX(PP_Grid[#Data],$DE1543,94),0)</f>
        <v/>
      </c>
      <c r="CT1543">
        <f>IFERROR(INDEX(PP_Grid[#Data],$DE1543,95),0)</f>
        <v/>
      </c>
      <c r="CU1543">
        <f>IFERROR(INDEX(PP_Grid[#Data],$DE1543,96),0)</f>
        <v/>
      </c>
      <c r="CV1543">
        <f>IFERROR(INDEX(PP_Grid[#Data],$DE1543,97),0)</f>
        <v/>
      </c>
      <c r="CW1543">
        <f>IFERROR(INDEX(PP_Grid[#Data],$DE1543,98),0)</f>
        <v/>
      </c>
      <c r="CX1543">
        <f>IFERROR(INDEX(PP_Grid[#Data],$DE1543,99),0)</f>
        <v/>
      </c>
      <c r="CY1543">
        <f>IFERROR(INDEX(PP_Grid[#Data],$DE1543,100),0)</f>
        <v/>
      </c>
      <c r="CZ1543">
        <f>IFERROR(INDEX(PP_Grid[#Data],$DE1543,101),0)</f>
        <v/>
      </c>
      <c r="DA1543">
        <f>IFERROR(INDEX(PP_Grid[#Data],$DE1543,102),0)</f>
        <v/>
      </c>
      <c r="DB1543">
        <f>IFERROR(INDEX(PP_Grid[#Data],$DE1543,103),0)</f>
        <v/>
      </c>
      <c r="DC1543">
        <f>IFERROR(INDEX(PP_Grid[#Data],$DE1543,104),0)</f>
        <v/>
      </c>
      <c r="DD1543">
        <f>IFERROR(INDEX(PP_Grid[#Data],$DE1543,105),0)</f>
        <v/>
      </c>
      <c r="DE1543" s="7">
        <f>IFERROR(MATCH($B1543,PP_Grid[Intermediate],0),99999)</f>
        <v/>
      </c>
    </row>
    <row r="1544">
      <c r="B1544" t="inlineStr">
        <is>
          <t>使用量(kg)</t>
        </is>
      </c>
      <c r="C1544">
        <f>SUMIFS(M_BOM[RM_Qty_Per_Batch],M_BOM[Intermediate],$B1543,M_BOM[RM_Code],$A1536)</f>
        <v/>
      </c>
      <c r="D1544">
        <f>IFERROR(INDEX(E1544:DD1544,$F$1),"")</f>
        <v/>
      </c>
      <c r="E1544">
        <f>$C1544*E1543</f>
        <v/>
      </c>
      <c r="F1544">
        <f>$C1544*F1543</f>
        <v/>
      </c>
      <c r="G1544">
        <f>$C1544*G1543</f>
        <v/>
      </c>
      <c r="H1544">
        <f>$C1544*H1543</f>
        <v/>
      </c>
      <c r="I1544">
        <f>$C1544*I1543</f>
        <v/>
      </c>
      <c r="J1544">
        <f>$C1544*J1543</f>
        <v/>
      </c>
      <c r="K1544">
        <f>$C1544*K1543</f>
        <v/>
      </c>
      <c r="L1544">
        <f>$C1544*L1543</f>
        <v/>
      </c>
      <c r="M1544">
        <f>$C1544*M1543</f>
        <v/>
      </c>
      <c r="N1544">
        <f>$C1544*N1543</f>
        <v/>
      </c>
      <c r="O1544">
        <f>$C1544*O1543</f>
        <v/>
      </c>
      <c r="P1544">
        <f>$C1544*P1543</f>
        <v/>
      </c>
      <c r="Q1544">
        <f>$C1544*Q1543</f>
        <v/>
      </c>
      <c r="R1544">
        <f>$C1544*R1543</f>
        <v/>
      </c>
      <c r="S1544">
        <f>$C1544*S1543</f>
        <v/>
      </c>
      <c r="T1544">
        <f>$C1544*T1543</f>
        <v/>
      </c>
      <c r="U1544">
        <f>$C1544*U1543</f>
        <v/>
      </c>
      <c r="V1544">
        <f>$C1544*V1543</f>
        <v/>
      </c>
      <c r="W1544">
        <f>$C1544*W1543</f>
        <v/>
      </c>
      <c r="X1544">
        <f>$C1544*X1543</f>
        <v/>
      </c>
      <c r="Y1544">
        <f>$C1544*Y1543</f>
        <v/>
      </c>
      <c r="Z1544">
        <f>$C1544*Z1543</f>
        <v/>
      </c>
      <c r="AA1544">
        <f>$C1544*AA1543</f>
        <v/>
      </c>
      <c r="AB1544">
        <f>$C1544*AB1543</f>
        <v/>
      </c>
      <c r="AC1544">
        <f>$C1544*AC1543</f>
        <v/>
      </c>
      <c r="AD1544">
        <f>$C1544*AD1543</f>
        <v/>
      </c>
      <c r="AE1544">
        <f>$C1544*AE1543</f>
        <v/>
      </c>
      <c r="AF1544">
        <f>$C1544*AF1543</f>
        <v/>
      </c>
      <c r="AG1544">
        <f>$C1544*AG1543</f>
        <v/>
      </c>
      <c r="AH1544">
        <f>$C1544*AH1543</f>
        <v/>
      </c>
      <c r="AI1544">
        <f>$C1544*AI1543</f>
        <v/>
      </c>
      <c r="AJ1544">
        <f>$C1544*AJ1543</f>
        <v/>
      </c>
      <c r="AK1544">
        <f>$C1544*AK1543</f>
        <v/>
      </c>
      <c r="AL1544">
        <f>$C1544*AL1543</f>
        <v/>
      </c>
      <c r="AM1544">
        <f>$C1544*AM1543</f>
        <v/>
      </c>
      <c r="AN1544">
        <f>$C1544*AN1543</f>
        <v/>
      </c>
      <c r="AO1544">
        <f>$C1544*AO1543</f>
        <v/>
      </c>
      <c r="AP1544">
        <f>$C1544*AP1543</f>
        <v/>
      </c>
      <c r="AQ1544">
        <f>$C1544*AQ1543</f>
        <v/>
      </c>
      <c r="AR1544">
        <f>$C1544*AR1543</f>
        <v/>
      </c>
      <c r="AS1544">
        <f>$C1544*AS1543</f>
        <v/>
      </c>
      <c r="AT1544">
        <f>$C1544*AT1543</f>
        <v/>
      </c>
      <c r="AU1544">
        <f>$C1544*AU1543</f>
        <v/>
      </c>
      <c r="AV1544">
        <f>$C1544*AV1543</f>
        <v/>
      </c>
      <c r="AW1544">
        <f>$C1544*AW1543</f>
        <v/>
      </c>
      <c r="AX1544">
        <f>$C1544*AX1543</f>
        <v/>
      </c>
      <c r="AY1544">
        <f>$C1544*AY1543</f>
        <v/>
      </c>
      <c r="AZ1544">
        <f>$C1544*AZ1543</f>
        <v/>
      </c>
      <c r="BA1544">
        <f>$C1544*BA1543</f>
        <v/>
      </c>
      <c r="BB1544">
        <f>$C1544*BB1543</f>
        <v/>
      </c>
      <c r="BC1544">
        <f>$C1544*BC1543</f>
        <v/>
      </c>
      <c r="BD1544">
        <f>$C1544*BD1543</f>
        <v/>
      </c>
      <c r="BE1544">
        <f>$C1544*BE1543</f>
        <v/>
      </c>
      <c r="BF1544">
        <f>$C1544*BF1543</f>
        <v/>
      </c>
      <c r="BG1544">
        <f>$C1544*BG1543</f>
        <v/>
      </c>
      <c r="BH1544">
        <f>$C1544*BH1543</f>
        <v/>
      </c>
      <c r="BI1544">
        <f>$C1544*BI1543</f>
        <v/>
      </c>
      <c r="BJ1544">
        <f>$C1544*BJ1543</f>
        <v/>
      </c>
      <c r="BK1544">
        <f>$C1544*BK1543</f>
        <v/>
      </c>
      <c r="BL1544">
        <f>$C1544*BL1543</f>
        <v/>
      </c>
      <c r="BM1544">
        <f>$C1544*BM1543</f>
        <v/>
      </c>
      <c r="BN1544">
        <f>$C1544*BN1543</f>
        <v/>
      </c>
      <c r="BO1544">
        <f>$C1544*BO1543</f>
        <v/>
      </c>
      <c r="BP1544">
        <f>$C1544*BP1543</f>
        <v/>
      </c>
      <c r="BQ1544">
        <f>$C1544*BQ1543</f>
        <v/>
      </c>
      <c r="BR1544">
        <f>$C1544*BR1543</f>
        <v/>
      </c>
      <c r="BS1544">
        <f>$C1544*BS1543</f>
        <v/>
      </c>
      <c r="BT1544">
        <f>$C1544*BT1543</f>
        <v/>
      </c>
      <c r="BU1544">
        <f>$C1544*BU1543</f>
        <v/>
      </c>
      <c r="BV1544">
        <f>$C1544*BV1543</f>
        <v/>
      </c>
      <c r="BW1544">
        <f>$C1544*BW1543</f>
        <v/>
      </c>
      <c r="BX1544">
        <f>$C1544*BX1543</f>
        <v/>
      </c>
      <c r="BY1544">
        <f>$C1544*BY1543</f>
        <v/>
      </c>
      <c r="BZ1544">
        <f>$C1544*BZ1543</f>
        <v/>
      </c>
      <c r="CA1544">
        <f>$C1544*CA1543</f>
        <v/>
      </c>
      <c r="CB1544">
        <f>$C1544*CB1543</f>
        <v/>
      </c>
      <c r="CC1544">
        <f>$C1544*CC1543</f>
        <v/>
      </c>
      <c r="CD1544">
        <f>$C1544*CD1543</f>
        <v/>
      </c>
      <c r="CE1544">
        <f>$C1544*CE1543</f>
        <v/>
      </c>
      <c r="CF1544">
        <f>$C1544*CF1543</f>
        <v/>
      </c>
      <c r="CG1544">
        <f>$C1544*CG1543</f>
        <v/>
      </c>
      <c r="CH1544">
        <f>$C1544*CH1543</f>
        <v/>
      </c>
      <c r="CI1544">
        <f>$C1544*CI1543</f>
        <v/>
      </c>
      <c r="CJ1544">
        <f>$C1544*CJ1543</f>
        <v/>
      </c>
      <c r="CK1544">
        <f>$C1544*CK1543</f>
        <v/>
      </c>
      <c r="CL1544">
        <f>$C1544*CL1543</f>
        <v/>
      </c>
      <c r="CM1544">
        <f>$C1544*CM1543</f>
        <v/>
      </c>
      <c r="CN1544">
        <f>$C1544*CN1543</f>
        <v/>
      </c>
      <c r="CO1544">
        <f>$C1544*CO1543</f>
        <v/>
      </c>
      <c r="CP1544">
        <f>$C1544*CP1543</f>
        <v/>
      </c>
      <c r="CQ1544">
        <f>$C1544*CQ1543</f>
        <v/>
      </c>
      <c r="CR1544">
        <f>$C1544*CR1543</f>
        <v/>
      </c>
      <c r="CS1544">
        <f>$C1544*CS1543</f>
        <v/>
      </c>
      <c r="CT1544">
        <f>$C1544*CT1543</f>
        <v/>
      </c>
      <c r="CU1544">
        <f>$C1544*CU1543</f>
        <v/>
      </c>
      <c r="CV1544">
        <f>$C1544*CV1543</f>
        <v/>
      </c>
      <c r="CW1544">
        <f>$C1544*CW1543</f>
        <v/>
      </c>
      <c r="CX1544">
        <f>$C1544*CX1543</f>
        <v/>
      </c>
      <c r="CY1544">
        <f>$C1544*CY1543</f>
        <v/>
      </c>
      <c r="CZ1544">
        <f>$C1544*CZ1543</f>
        <v/>
      </c>
      <c r="DA1544">
        <f>$C1544*DA1543</f>
        <v/>
      </c>
      <c r="DB1544">
        <f>$C1544*DB1543</f>
        <v/>
      </c>
      <c r="DC1544">
        <f>$C1544*DC1543</f>
        <v/>
      </c>
      <c r="DD1544">
        <f>$C1544*DD1543</f>
        <v/>
      </c>
    </row>
    <row r="1545">
      <c r="B1545" t="inlineStr">
        <is>
          <t>TSP-1448</t>
        </is>
      </c>
      <c r="C1545" t="inlineStr">
        <is>
          <t>No. of batches</t>
        </is>
      </c>
      <c r="D1545">
        <f>IFERROR(INDEX(E1545:DD1545,$F$1),"")</f>
        <v/>
      </c>
      <c r="E1545">
        <f>IFERROR(INDEX(PP_Grid[#Data],$DE1545,2),0)</f>
        <v/>
      </c>
      <c r="F1545">
        <f>IFERROR(INDEX(PP_Grid[#Data],$DE1545,3),0)</f>
        <v/>
      </c>
      <c r="G1545">
        <f>IFERROR(INDEX(PP_Grid[#Data],$DE1545,4),0)</f>
        <v/>
      </c>
      <c r="H1545">
        <f>IFERROR(INDEX(PP_Grid[#Data],$DE1545,5),0)</f>
        <v/>
      </c>
      <c r="I1545">
        <f>IFERROR(INDEX(PP_Grid[#Data],$DE1545,6),0)</f>
        <v/>
      </c>
      <c r="J1545">
        <f>IFERROR(INDEX(PP_Grid[#Data],$DE1545,7),0)</f>
        <v/>
      </c>
      <c r="K1545">
        <f>IFERROR(INDEX(PP_Grid[#Data],$DE1545,8),0)</f>
        <v/>
      </c>
      <c r="L1545">
        <f>IFERROR(INDEX(PP_Grid[#Data],$DE1545,9),0)</f>
        <v/>
      </c>
      <c r="M1545">
        <f>IFERROR(INDEX(PP_Grid[#Data],$DE1545,10),0)</f>
        <v/>
      </c>
      <c r="N1545">
        <f>IFERROR(INDEX(PP_Grid[#Data],$DE1545,11),0)</f>
        <v/>
      </c>
      <c r="O1545">
        <f>IFERROR(INDEX(PP_Grid[#Data],$DE1545,12),0)</f>
        <v/>
      </c>
      <c r="P1545">
        <f>IFERROR(INDEX(PP_Grid[#Data],$DE1545,13),0)</f>
        <v/>
      </c>
      <c r="Q1545">
        <f>IFERROR(INDEX(PP_Grid[#Data],$DE1545,14),0)</f>
        <v/>
      </c>
      <c r="R1545">
        <f>IFERROR(INDEX(PP_Grid[#Data],$DE1545,15),0)</f>
        <v/>
      </c>
      <c r="S1545">
        <f>IFERROR(INDEX(PP_Grid[#Data],$DE1545,16),0)</f>
        <v/>
      </c>
      <c r="T1545">
        <f>IFERROR(INDEX(PP_Grid[#Data],$DE1545,17),0)</f>
        <v/>
      </c>
      <c r="U1545">
        <f>IFERROR(INDEX(PP_Grid[#Data],$DE1545,18),0)</f>
        <v/>
      </c>
      <c r="V1545">
        <f>IFERROR(INDEX(PP_Grid[#Data],$DE1545,19),0)</f>
        <v/>
      </c>
      <c r="W1545">
        <f>IFERROR(INDEX(PP_Grid[#Data],$DE1545,20),0)</f>
        <v/>
      </c>
      <c r="X1545">
        <f>IFERROR(INDEX(PP_Grid[#Data],$DE1545,21),0)</f>
        <v/>
      </c>
      <c r="Y1545">
        <f>IFERROR(INDEX(PP_Grid[#Data],$DE1545,22),0)</f>
        <v/>
      </c>
      <c r="Z1545">
        <f>IFERROR(INDEX(PP_Grid[#Data],$DE1545,23),0)</f>
        <v/>
      </c>
      <c r="AA1545">
        <f>IFERROR(INDEX(PP_Grid[#Data],$DE1545,24),0)</f>
        <v/>
      </c>
      <c r="AB1545">
        <f>IFERROR(INDEX(PP_Grid[#Data],$DE1545,25),0)</f>
        <v/>
      </c>
      <c r="AC1545">
        <f>IFERROR(INDEX(PP_Grid[#Data],$DE1545,26),0)</f>
        <v/>
      </c>
      <c r="AD1545">
        <f>IFERROR(INDEX(PP_Grid[#Data],$DE1545,27),0)</f>
        <v/>
      </c>
      <c r="AE1545">
        <f>IFERROR(INDEX(PP_Grid[#Data],$DE1545,28),0)</f>
        <v/>
      </c>
      <c r="AF1545">
        <f>IFERROR(INDEX(PP_Grid[#Data],$DE1545,29),0)</f>
        <v/>
      </c>
      <c r="AG1545">
        <f>IFERROR(INDEX(PP_Grid[#Data],$DE1545,30),0)</f>
        <v/>
      </c>
      <c r="AH1545">
        <f>IFERROR(INDEX(PP_Grid[#Data],$DE1545,31),0)</f>
        <v/>
      </c>
      <c r="AI1545">
        <f>IFERROR(INDEX(PP_Grid[#Data],$DE1545,32),0)</f>
        <v/>
      </c>
      <c r="AJ1545">
        <f>IFERROR(INDEX(PP_Grid[#Data],$DE1545,33),0)</f>
        <v/>
      </c>
      <c r="AK1545">
        <f>IFERROR(INDEX(PP_Grid[#Data],$DE1545,34),0)</f>
        <v/>
      </c>
      <c r="AL1545">
        <f>IFERROR(INDEX(PP_Grid[#Data],$DE1545,35),0)</f>
        <v/>
      </c>
      <c r="AM1545">
        <f>IFERROR(INDEX(PP_Grid[#Data],$DE1545,36),0)</f>
        <v/>
      </c>
      <c r="AN1545">
        <f>IFERROR(INDEX(PP_Grid[#Data],$DE1545,37),0)</f>
        <v/>
      </c>
      <c r="AO1545">
        <f>IFERROR(INDEX(PP_Grid[#Data],$DE1545,38),0)</f>
        <v/>
      </c>
      <c r="AP1545">
        <f>IFERROR(INDEX(PP_Grid[#Data],$DE1545,39),0)</f>
        <v/>
      </c>
      <c r="AQ1545">
        <f>IFERROR(INDEX(PP_Grid[#Data],$DE1545,40),0)</f>
        <v/>
      </c>
      <c r="AR1545">
        <f>IFERROR(INDEX(PP_Grid[#Data],$DE1545,41),0)</f>
        <v/>
      </c>
      <c r="AS1545">
        <f>IFERROR(INDEX(PP_Grid[#Data],$DE1545,42),0)</f>
        <v/>
      </c>
      <c r="AT1545">
        <f>IFERROR(INDEX(PP_Grid[#Data],$DE1545,43),0)</f>
        <v/>
      </c>
      <c r="AU1545">
        <f>IFERROR(INDEX(PP_Grid[#Data],$DE1545,44),0)</f>
        <v/>
      </c>
      <c r="AV1545">
        <f>IFERROR(INDEX(PP_Grid[#Data],$DE1545,45),0)</f>
        <v/>
      </c>
      <c r="AW1545">
        <f>IFERROR(INDEX(PP_Grid[#Data],$DE1545,46),0)</f>
        <v/>
      </c>
      <c r="AX1545">
        <f>IFERROR(INDEX(PP_Grid[#Data],$DE1545,47),0)</f>
        <v/>
      </c>
      <c r="AY1545">
        <f>IFERROR(INDEX(PP_Grid[#Data],$DE1545,48),0)</f>
        <v/>
      </c>
      <c r="AZ1545">
        <f>IFERROR(INDEX(PP_Grid[#Data],$DE1545,49),0)</f>
        <v/>
      </c>
      <c r="BA1545">
        <f>IFERROR(INDEX(PP_Grid[#Data],$DE1545,50),0)</f>
        <v/>
      </c>
      <c r="BB1545">
        <f>IFERROR(INDEX(PP_Grid[#Data],$DE1545,51),0)</f>
        <v/>
      </c>
      <c r="BC1545">
        <f>IFERROR(INDEX(PP_Grid[#Data],$DE1545,52),0)</f>
        <v/>
      </c>
      <c r="BD1545">
        <f>IFERROR(INDEX(PP_Grid[#Data],$DE1545,53),0)</f>
        <v/>
      </c>
      <c r="BE1545">
        <f>IFERROR(INDEX(PP_Grid[#Data],$DE1545,54),0)</f>
        <v/>
      </c>
      <c r="BF1545">
        <f>IFERROR(INDEX(PP_Grid[#Data],$DE1545,55),0)</f>
        <v/>
      </c>
      <c r="BG1545">
        <f>IFERROR(INDEX(PP_Grid[#Data],$DE1545,56),0)</f>
        <v/>
      </c>
      <c r="BH1545">
        <f>IFERROR(INDEX(PP_Grid[#Data],$DE1545,57),0)</f>
        <v/>
      </c>
      <c r="BI1545">
        <f>IFERROR(INDEX(PP_Grid[#Data],$DE1545,58),0)</f>
        <v/>
      </c>
      <c r="BJ1545">
        <f>IFERROR(INDEX(PP_Grid[#Data],$DE1545,59),0)</f>
        <v/>
      </c>
      <c r="BK1545">
        <f>IFERROR(INDEX(PP_Grid[#Data],$DE1545,60),0)</f>
        <v/>
      </c>
      <c r="BL1545">
        <f>IFERROR(INDEX(PP_Grid[#Data],$DE1545,61),0)</f>
        <v/>
      </c>
      <c r="BM1545">
        <f>IFERROR(INDEX(PP_Grid[#Data],$DE1545,62),0)</f>
        <v/>
      </c>
      <c r="BN1545">
        <f>IFERROR(INDEX(PP_Grid[#Data],$DE1545,63),0)</f>
        <v/>
      </c>
      <c r="BO1545">
        <f>IFERROR(INDEX(PP_Grid[#Data],$DE1545,64),0)</f>
        <v/>
      </c>
      <c r="BP1545">
        <f>IFERROR(INDEX(PP_Grid[#Data],$DE1545,65),0)</f>
        <v/>
      </c>
      <c r="BQ1545">
        <f>IFERROR(INDEX(PP_Grid[#Data],$DE1545,66),0)</f>
        <v/>
      </c>
      <c r="BR1545">
        <f>IFERROR(INDEX(PP_Grid[#Data],$DE1545,67),0)</f>
        <v/>
      </c>
      <c r="BS1545">
        <f>IFERROR(INDEX(PP_Grid[#Data],$DE1545,68),0)</f>
        <v/>
      </c>
      <c r="BT1545">
        <f>IFERROR(INDEX(PP_Grid[#Data],$DE1545,69),0)</f>
        <v/>
      </c>
      <c r="BU1545">
        <f>IFERROR(INDEX(PP_Grid[#Data],$DE1545,70),0)</f>
        <v/>
      </c>
      <c r="BV1545">
        <f>IFERROR(INDEX(PP_Grid[#Data],$DE1545,71),0)</f>
        <v/>
      </c>
      <c r="BW1545">
        <f>IFERROR(INDEX(PP_Grid[#Data],$DE1545,72),0)</f>
        <v/>
      </c>
      <c r="BX1545">
        <f>IFERROR(INDEX(PP_Grid[#Data],$DE1545,73),0)</f>
        <v/>
      </c>
      <c r="BY1545">
        <f>IFERROR(INDEX(PP_Grid[#Data],$DE1545,74),0)</f>
        <v/>
      </c>
      <c r="BZ1545">
        <f>IFERROR(INDEX(PP_Grid[#Data],$DE1545,75),0)</f>
        <v/>
      </c>
      <c r="CA1545">
        <f>IFERROR(INDEX(PP_Grid[#Data],$DE1545,76),0)</f>
        <v/>
      </c>
      <c r="CB1545">
        <f>IFERROR(INDEX(PP_Grid[#Data],$DE1545,77),0)</f>
        <v/>
      </c>
      <c r="CC1545">
        <f>IFERROR(INDEX(PP_Grid[#Data],$DE1545,78),0)</f>
        <v/>
      </c>
      <c r="CD1545">
        <f>IFERROR(INDEX(PP_Grid[#Data],$DE1545,79),0)</f>
        <v/>
      </c>
      <c r="CE1545">
        <f>IFERROR(INDEX(PP_Grid[#Data],$DE1545,80),0)</f>
        <v/>
      </c>
      <c r="CF1545">
        <f>IFERROR(INDEX(PP_Grid[#Data],$DE1545,81),0)</f>
        <v/>
      </c>
      <c r="CG1545">
        <f>IFERROR(INDEX(PP_Grid[#Data],$DE1545,82),0)</f>
        <v/>
      </c>
      <c r="CH1545">
        <f>IFERROR(INDEX(PP_Grid[#Data],$DE1545,83),0)</f>
        <v/>
      </c>
      <c r="CI1545">
        <f>IFERROR(INDEX(PP_Grid[#Data],$DE1545,84),0)</f>
        <v/>
      </c>
      <c r="CJ1545">
        <f>IFERROR(INDEX(PP_Grid[#Data],$DE1545,85),0)</f>
        <v/>
      </c>
      <c r="CK1545">
        <f>IFERROR(INDEX(PP_Grid[#Data],$DE1545,86),0)</f>
        <v/>
      </c>
      <c r="CL1545">
        <f>IFERROR(INDEX(PP_Grid[#Data],$DE1545,87),0)</f>
        <v/>
      </c>
      <c r="CM1545">
        <f>IFERROR(INDEX(PP_Grid[#Data],$DE1545,88),0)</f>
        <v/>
      </c>
      <c r="CN1545">
        <f>IFERROR(INDEX(PP_Grid[#Data],$DE1545,89),0)</f>
        <v/>
      </c>
      <c r="CO1545">
        <f>IFERROR(INDEX(PP_Grid[#Data],$DE1545,90),0)</f>
        <v/>
      </c>
      <c r="CP1545">
        <f>IFERROR(INDEX(PP_Grid[#Data],$DE1545,91),0)</f>
        <v/>
      </c>
      <c r="CQ1545">
        <f>IFERROR(INDEX(PP_Grid[#Data],$DE1545,92),0)</f>
        <v/>
      </c>
      <c r="CR1545">
        <f>IFERROR(INDEX(PP_Grid[#Data],$DE1545,93),0)</f>
        <v/>
      </c>
      <c r="CS1545">
        <f>IFERROR(INDEX(PP_Grid[#Data],$DE1545,94),0)</f>
        <v/>
      </c>
      <c r="CT1545">
        <f>IFERROR(INDEX(PP_Grid[#Data],$DE1545,95),0)</f>
        <v/>
      </c>
      <c r="CU1545">
        <f>IFERROR(INDEX(PP_Grid[#Data],$DE1545,96),0)</f>
        <v/>
      </c>
      <c r="CV1545">
        <f>IFERROR(INDEX(PP_Grid[#Data],$DE1545,97),0)</f>
        <v/>
      </c>
      <c r="CW1545">
        <f>IFERROR(INDEX(PP_Grid[#Data],$DE1545,98),0)</f>
        <v/>
      </c>
      <c r="CX1545">
        <f>IFERROR(INDEX(PP_Grid[#Data],$DE1545,99),0)</f>
        <v/>
      </c>
      <c r="CY1545">
        <f>IFERROR(INDEX(PP_Grid[#Data],$DE1545,100),0)</f>
        <v/>
      </c>
      <c r="CZ1545">
        <f>IFERROR(INDEX(PP_Grid[#Data],$DE1545,101),0)</f>
        <v/>
      </c>
      <c r="DA1545">
        <f>IFERROR(INDEX(PP_Grid[#Data],$DE1545,102),0)</f>
        <v/>
      </c>
      <c r="DB1545">
        <f>IFERROR(INDEX(PP_Grid[#Data],$DE1545,103),0)</f>
        <v/>
      </c>
      <c r="DC1545">
        <f>IFERROR(INDEX(PP_Grid[#Data],$DE1545,104),0)</f>
        <v/>
      </c>
      <c r="DD1545">
        <f>IFERROR(INDEX(PP_Grid[#Data],$DE1545,105),0)</f>
        <v/>
      </c>
      <c r="DE1545" s="7">
        <f>IFERROR(MATCH($B1545,PP_Grid[Intermediate],0),99999)</f>
        <v/>
      </c>
    </row>
    <row r="1546">
      <c r="B1546" t="inlineStr">
        <is>
          <t>使用量(kg)</t>
        </is>
      </c>
      <c r="C1546">
        <f>SUMIFS(M_BOM[RM_Qty_Per_Batch],M_BOM[Intermediate],$B1545,M_BOM[RM_Code],$A1536)</f>
        <v/>
      </c>
      <c r="D1546">
        <f>IFERROR(INDEX(E1546:DD1546,$F$1),"")</f>
        <v/>
      </c>
      <c r="E1546">
        <f>$C1546*E1545</f>
        <v/>
      </c>
      <c r="F1546">
        <f>$C1546*F1545</f>
        <v/>
      </c>
      <c r="G1546">
        <f>$C1546*G1545</f>
        <v/>
      </c>
      <c r="H1546">
        <f>$C1546*H1545</f>
        <v/>
      </c>
      <c r="I1546">
        <f>$C1546*I1545</f>
        <v/>
      </c>
      <c r="J1546">
        <f>$C1546*J1545</f>
        <v/>
      </c>
      <c r="K1546">
        <f>$C1546*K1545</f>
        <v/>
      </c>
      <c r="L1546">
        <f>$C1546*L1545</f>
        <v/>
      </c>
      <c r="M1546">
        <f>$C1546*M1545</f>
        <v/>
      </c>
      <c r="N1546">
        <f>$C1546*N1545</f>
        <v/>
      </c>
      <c r="O1546">
        <f>$C1546*O1545</f>
        <v/>
      </c>
      <c r="P1546">
        <f>$C1546*P1545</f>
        <v/>
      </c>
      <c r="Q1546">
        <f>$C1546*Q1545</f>
        <v/>
      </c>
      <c r="R1546">
        <f>$C1546*R1545</f>
        <v/>
      </c>
      <c r="S1546">
        <f>$C1546*S1545</f>
        <v/>
      </c>
      <c r="T1546">
        <f>$C1546*T1545</f>
        <v/>
      </c>
      <c r="U1546">
        <f>$C1546*U1545</f>
        <v/>
      </c>
      <c r="V1546">
        <f>$C1546*V1545</f>
        <v/>
      </c>
      <c r="W1546">
        <f>$C1546*W1545</f>
        <v/>
      </c>
      <c r="X1546">
        <f>$C1546*X1545</f>
        <v/>
      </c>
      <c r="Y1546">
        <f>$C1546*Y1545</f>
        <v/>
      </c>
      <c r="Z1546">
        <f>$C1546*Z1545</f>
        <v/>
      </c>
      <c r="AA1546">
        <f>$C1546*AA1545</f>
        <v/>
      </c>
      <c r="AB1546">
        <f>$C1546*AB1545</f>
        <v/>
      </c>
      <c r="AC1546">
        <f>$C1546*AC1545</f>
        <v/>
      </c>
      <c r="AD1546">
        <f>$C1546*AD1545</f>
        <v/>
      </c>
      <c r="AE1546">
        <f>$C1546*AE1545</f>
        <v/>
      </c>
      <c r="AF1546">
        <f>$C1546*AF1545</f>
        <v/>
      </c>
      <c r="AG1546">
        <f>$C1546*AG1545</f>
        <v/>
      </c>
      <c r="AH1546">
        <f>$C1546*AH1545</f>
        <v/>
      </c>
      <c r="AI1546">
        <f>$C1546*AI1545</f>
        <v/>
      </c>
      <c r="AJ1546">
        <f>$C1546*AJ1545</f>
        <v/>
      </c>
      <c r="AK1546">
        <f>$C1546*AK1545</f>
        <v/>
      </c>
      <c r="AL1546">
        <f>$C1546*AL1545</f>
        <v/>
      </c>
      <c r="AM1546">
        <f>$C1546*AM1545</f>
        <v/>
      </c>
      <c r="AN1546">
        <f>$C1546*AN1545</f>
        <v/>
      </c>
      <c r="AO1546">
        <f>$C1546*AO1545</f>
        <v/>
      </c>
      <c r="AP1546">
        <f>$C1546*AP1545</f>
        <v/>
      </c>
      <c r="AQ1546">
        <f>$C1546*AQ1545</f>
        <v/>
      </c>
      <c r="AR1546">
        <f>$C1546*AR1545</f>
        <v/>
      </c>
      <c r="AS1546">
        <f>$C1546*AS1545</f>
        <v/>
      </c>
      <c r="AT1546">
        <f>$C1546*AT1545</f>
        <v/>
      </c>
      <c r="AU1546">
        <f>$C1546*AU1545</f>
        <v/>
      </c>
      <c r="AV1546">
        <f>$C1546*AV1545</f>
        <v/>
      </c>
      <c r="AW1546">
        <f>$C1546*AW1545</f>
        <v/>
      </c>
      <c r="AX1546">
        <f>$C1546*AX1545</f>
        <v/>
      </c>
      <c r="AY1546">
        <f>$C1546*AY1545</f>
        <v/>
      </c>
      <c r="AZ1546">
        <f>$C1546*AZ1545</f>
        <v/>
      </c>
      <c r="BA1546">
        <f>$C1546*BA1545</f>
        <v/>
      </c>
      <c r="BB1546">
        <f>$C1546*BB1545</f>
        <v/>
      </c>
      <c r="BC1546">
        <f>$C1546*BC1545</f>
        <v/>
      </c>
      <c r="BD1546">
        <f>$C1546*BD1545</f>
        <v/>
      </c>
      <c r="BE1546">
        <f>$C1546*BE1545</f>
        <v/>
      </c>
      <c r="BF1546">
        <f>$C1546*BF1545</f>
        <v/>
      </c>
      <c r="BG1546">
        <f>$C1546*BG1545</f>
        <v/>
      </c>
      <c r="BH1546">
        <f>$C1546*BH1545</f>
        <v/>
      </c>
      <c r="BI1546">
        <f>$C1546*BI1545</f>
        <v/>
      </c>
      <c r="BJ1546">
        <f>$C1546*BJ1545</f>
        <v/>
      </c>
      <c r="BK1546">
        <f>$C1546*BK1545</f>
        <v/>
      </c>
      <c r="BL1546">
        <f>$C1546*BL1545</f>
        <v/>
      </c>
      <c r="BM1546">
        <f>$C1546*BM1545</f>
        <v/>
      </c>
      <c r="BN1546">
        <f>$C1546*BN1545</f>
        <v/>
      </c>
      <c r="BO1546">
        <f>$C1546*BO1545</f>
        <v/>
      </c>
      <c r="BP1546">
        <f>$C1546*BP1545</f>
        <v/>
      </c>
      <c r="BQ1546">
        <f>$C1546*BQ1545</f>
        <v/>
      </c>
      <c r="BR1546">
        <f>$C1546*BR1545</f>
        <v/>
      </c>
      <c r="BS1546">
        <f>$C1546*BS1545</f>
        <v/>
      </c>
      <c r="BT1546">
        <f>$C1546*BT1545</f>
        <v/>
      </c>
      <c r="BU1546">
        <f>$C1546*BU1545</f>
        <v/>
      </c>
      <c r="BV1546">
        <f>$C1546*BV1545</f>
        <v/>
      </c>
      <c r="BW1546">
        <f>$C1546*BW1545</f>
        <v/>
      </c>
      <c r="BX1546">
        <f>$C1546*BX1545</f>
        <v/>
      </c>
      <c r="BY1546">
        <f>$C1546*BY1545</f>
        <v/>
      </c>
      <c r="BZ1546">
        <f>$C1546*BZ1545</f>
        <v/>
      </c>
      <c r="CA1546">
        <f>$C1546*CA1545</f>
        <v/>
      </c>
      <c r="CB1546">
        <f>$C1546*CB1545</f>
        <v/>
      </c>
      <c r="CC1546">
        <f>$C1546*CC1545</f>
        <v/>
      </c>
      <c r="CD1546">
        <f>$C1546*CD1545</f>
        <v/>
      </c>
      <c r="CE1546">
        <f>$C1546*CE1545</f>
        <v/>
      </c>
      <c r="CF1546">
        <f>$C1546*CF1545</f>
        <v/>
      </c>
      <c r="CG1546">
        <f>$C1546*CG1545</f>
        <v/>
      </c>
      <c r="CH1546">
        <f>$C1546*CH1545</f>
        <v/>
      </c>
      <c r="CI1546">
        <f>$C1546*CI1545</f>
        <v/>
      </c>
      <c r="CJ1546">
        <f>$C1546*CJ1545</f>
        <v/>
      </c>
      <c r="CK1546">
        <f>$C1546*CK1545</f>
        <v/>
      </c>
      <c r="CL1546">
        <f>$C1546*CL1545</f>
        <v/>
      </c>
      <c r="CM1546">
        <f>$C1546*CM1545</f>
        <v/>
      </c>
      <c r="CN1546">
        <f>$C1546*CN1545</f>
        <v/>
      </c>
      <c r="CO1546">
        <f>$C1546*CO1545</f>
        <v/>
      </c>
      <c r="CP1546">
        <f>$C1546*CP1545</f>
        <v/>
      </c>
      <c r="CQ1546">
        <f>$C1546*CQ1545</f>
        <v/>
      </c>
      <c r="CR1546">
        <f>$C1546*CR1545</f>
        <v/>
      </c>
      <c r="CS1546">
        <f>$C1546*CS1545</f>
        <v/>
      </c>
      <c r="CT1546">
        <f>$C1546*CT1545</f>
        <v/>
      </c>
      <c r="CU1546">
        <f>$C1546*CU1545</f>
        <v/>
      </c>
      <c r="CV1546">
        <f>$C1546*CV1545</f>
        <v/>
      </c>
      <c r="CW1546">
        <f>$C1546*CW1545</f>
        <v/>
      </c>
      <c r="CX1546">
        <f>$C1546*CX1545</f>
        <v/>
      </c>
      <c r="CY1546">
        <f>$C1546*CY1545</f>
        <v/>
      </c>
      <c r="CZ1546">
        <f>$C1546*CZ1545</f>
        <v/>
      </c>
      <c r="DA1546">
        <f>$C1546*DA1545</f>
        <v/>
      </c>
      <c r="DB1546">
        <f>$C1546*DB1545</f>
        <v/>
      </c>
      <c r="DC1546">
        <f>$C1546*DC1545</f>
        <v/>
      </c>
      <c r="DD1546">
        <f>$C1546*DD1545</f>
        <v/>
      </c>
    </row>
    <row r="1547">
      <c r="B1547" s="4" t="inlineStr">
        <is>
          <t>合計使用量(kg)/週</t>
        </is>
      </c>
      <c r="D1547" s="23">
        <f>IFERROR(INDEX(E1547:DD1547,$F$1),"")</f>
        <v/>
      </c>
      <c r="E1547">
        <f>'Grid_Requirement'!B88</f>
        <v/>
      </c>
      <c r="F1547">
        <f>'Grid_Requirement'!C88</f>
        <v/>
      </c>
      <c r="G1547">
        <f>'Grid_Requirement'!D88</f>
        <v/>
      </c>
      <c r="H1547">
        <f>'Grid_Requirement'!E88</f>
        <v/>
      </c>
      <c r="I1547">
        <f>'Grid_Requirement'!F88</f>
        <v/>
      </c>
      <c r="J1547">
        <f>'Grid_Requirement'!G88</f>
        <v/>
      </c>
      <c r="K1547">
        <f>'Grid_Requirement'!H88</f>
        <v/>
      </c>
      <c r="L1547">
        <f>'Grid_Requirement'!I88</f>
        <v/>
      </c>
      <c r="M1547">
        <f>'Grid_Requirement'!J88</f>
        <v/>
      </c>
      <c r="N1547">
        <f>'Grid_Requirement'!K88</f>
        <v/>
      </c>
      <c r="O1547">
        <f>'Grid_Requirement'!L88</f>
        <v/>
      </c>
      <c r="P1547">
        <f>'Grid_Requirement'!M88</f>
        <v/>
      </c>
      <c r="Q1547">
        <f>'Grid_Requirement'!N88</f>
        <v/>
      </c>
      <c r="R1547">
        <f>'Grid_Requirement'!O88</f>
        <v/>
      </c>
      <c r="S1547">
        <f>'Grid_Requirement'!P88</f>
        <v/>
      </c>
      <c r="T1547">
        <f>'Grid_Requirement'!Q88</f>
        <v/>
      </c>
      <c r="U1547">
        <f>'Grid_Requirement'!R88</f>
        <v/>
      </c>
      <c r="V1547">
        <f>'Grid_Requirement'!S88</f>
        <v/>
      </c>
      <c r="W1547">
        <f>'Grid_Requirement'!T88</f>
        <v/>
      </c>
      <c r="X1547">
        <f>'Grid_Requirement'!U88</f>
        <v/>
      </c>
      <c r="Y1547">
        <f>'Grid_Requirement'!V88</f>
        <v/>
      </c>
      <c r="Z1547">
        <f>'Grid_Requirement'!W88</f>
        <v/>
      </c>
      <c r="AA1547">
        <f>'Grid_Requirement'!X88</f>
        <v/>
      </c>
      <c r="AB1547">
        <f>'Grid_Requirement'!Y88</f>
        <v/>
      </c>
      <c r="AC1547">
        <f>'Grid_Requirement'!Z88</f>
        <v/>
      </c>
      <c r="AD1547">
        <f>'Grid_Requirement'!AA88</f>
        <v/>
      </c>
      <c r="AE1547">
        <f>'Grid_Requirement'!AB88</f>
        <v/>
      </c>
      <c r="AF1547">
        <f>'Grid_Requirement'!AC88</f>
        <v/>
      </c>
      <c r="AG1547">
        <f>'Grid_Requirement'!AD88</f>
        <v/>
      </c>
      <c r="AH1547">
        <f>'Grid_Requirement'!AE88</f>
        <v/>
      </c>
      <c r="AI1547">
        <f>'Grid_Requirement'!AF88</f>
        <v/>
      </c>
      <c r="AJ1547">
        <f>'Grid_Requirement'!AG88</f>
        <v/>
      </c>
      <c r="AK1547">
        <f>'Grid_Requirement'!AH88</f>
        <v/>
      </c>
      <c r="AL1547">
        <f>'Grid_Requirement'!AI88</f>
        <v/>
      </c>
      <c r="AM1547">
        <f>'Grid_Requirement'!AJ88</f>
        <v/>
      </c>
      <c r="AN1547">
        <f>'Grid_Requirement'!AK88</f>
        <v/>
      </c>
      <c r="AO1547">
        <f>'Grid_Requirement'!AL88</f>
        <v/>
      </c>
      <c r="AP1547">
        <f>'Grid_Requirement'!AM88</f>
        <v/>
      </c>
      <c r="AQ1547">
        <f>'Grid_Requirement'!AN88</f>
        <v/>
      </c>
      <c r="AR1547">
        <f>'Grid_Requirement'!AO88</f>
        <v/>
      </c>
      <c r="AS1547">
        <f>'Grid_Requirement'!AP88</f>
        <v/>
      </c>
      <c r="AT1547">
        <f>'Grid_Requirement'!AQ88</f>
        <v/>
      </c>
      <c r="AU1547">
        <f>'Grid_Requirement'!AR88</f>
        <v/>
      </c>
      <c r="AV1547">
        <f>'Grid_Requirement'!AS88</f>
        <v/>
      </c>
      <c r="AW1547">
        <f>'Grid_Requirement'!AT88</f>
        <v/>
      </c>
      <c r="AX1547">
        <f>'Grid_Requirement'!AU88</f>
        <v/>
      </c>
      <c r="AY1547">
        <f>'Grid_Requirement'!AV88</f>
        <v/>
      </c>
      <c r="AZ1547">
        <f>'Grid_Requirement'!AW88</f>
        <v/>
      </c>
      <c r="BA1547">
        <f>'Grid_Requirement'!AX88</f>
        <v/>
      </c>
      <c r="BB1547">
        <f>'Grid_Requirement'!AY88</f>
        <v/>
      </c>
      <c r="BC1547">
        <f>'Grid_Requirement'!AZ88</f>
        <v/>
      </c>
      <c r="BD1547">
        <f>'Grid_Requirement'!BA88</f>
        <v/>
      </c>
      <c r="BE1547">
        <f>'Grid_Requirement'!BB88</f>
        <v/>
      </c>
      <c r="BF1547">
        <f>'Grid_Requirement'!BC88</f>
        <v/>
      </c>
      <c r="BG1547">
        <f>'Grid_Requirement'!BD88</f>
        <v/>
      </c>
      <c r="BH1547">
        <f>'Grid_Requirement'!BE88</f>
        <v/>
      </c>
      <c r="BI1547">
        <f>'Grid_Requirement'!BF88</f>
        <v/>
      </c>
      <c r="BJ1547">
        <f>'Grid_Requirement'!BG88</f>
        <v/>
      </c>
      <c r="BK1547">
        <f>'Grid_Requirement'!BH88</f>
        <v/>
      </c>
      <c r="BL1547">
        <f>'Grid_Requirement'!BI88</f>
        <v/>
      </c>
      <c r="BM1547">
        <f>'Grid_Requirement'!BJ88</f>
        <v/>
      </c>
      <c r="BN1547">
        <f>'Grid_Requirement'!BK88</f>
        <v/>
      </c>
      <c r="BO1547">
        <f>'Grid_Requirement'!BL88</f>
        <v/>
      </c>
      <c r="BP1547">
        <f>'Grid_Requirement'!BM88</f>
        <v/>
      </c>
      <c r="BQ1547">
        <f>'Grid_Requirement'!BN88</f>
        <v/>
      </c>
      <c r="BR1547">
        <f>'Grid_Requirement'!BO88</f>
        <v/>
      </c>
      <c r="BS1547">
        <f>'Grid_Requirement'!BP88</f>
        <v/>
      </c>
      <c r="BT1547">
        <f>'Grid_Requirement'!BQ88</f>
        <v/>
      </c>
      <c r="BU1547">
        <f>'Grid_Requirement'!BR88</f>
        <v/>
      </c>
      <c r="BV1547">
        <f>'Grid_Requirement'!BS88</f>
        <v/>
      </c>
      <c r="BW1547">
        <f>'Grid_Requirement'!BT88</f>
        <v/>
      </c>
      <c r="BX1547">
        <f>'Grid_Requirement'!BU88</f>
        <v/>
      </c>
      <c r="BY1547">
        <f>'Grid_Requirement'!BV88</f>
        <v/>
      </c>
      <c r="BZ1547">
        <f>'Grid_Requirement'!BW88</f>
        <v/>
      </c>
      <c r="CA1547">
        <f>'Grid_Requirement'!BX88</f>
        <v/>
      </c>
      <c r="CB1547">
        <f>'Grid_Requirement'!BY88</f>
        <v/>
      </c>
      <c r="CC1547">
        <f>'Grid_Requirement'!BZ88</f>
        <v/>
      </c>
      <c r="CD1547">
        <f>'Grid_Requirement'!CA88</f>
        <v/>
      </c>
      <c r="CE1547">
        <f>'Grid_Requirement'!CB88</f>
        <v/>
      </c>
      <c r="CF1547">
        <f>'Grid_Requirement'!CC88</f>
        <v/>
      </c>
      <c r="CG1547">
        <f>'Grid_Requirement'!CD88</f>
        <v/>
      </c>
      <c r="CH1547">
        <f>'Grid_Requirement'!CE88</f>
        <v/>
      </c>
      <c r="CI1547">
        <f>'Grid_Requirement'!CF88</f>
        <v/>
      </c>
      <c r="CJ1547">
        <f>'Grid_Requirement'!CG88</f>
        <v/>
      </c>
      <c r="CK1547">
        <f>'Grid_Requirement'!CH88</f>
        <v/>
      </c>
      <c r="CL1547">
        <f>'Grid_Requirement'!CI88</f>
        <v/>
      </c>
      <c r="CM1547">
        <f>'Grid_Requirement'!CJ88</f>
        <v/>
      </c>
      <c r="CN1547">
        <f>'Grid_Requirement'!CK88</f>
        <v/>
      </c>
      <c r="CO1547">
        <f>'Grid_Requirement'!CL88</f>
        <v/>
      </c>
      <c r="CP1547">
        <f>'Grid_Requirement'!CM88</f>
        <v/>
      </c>
      <c r="CQ1547">
        <f>'Grid_Requirement'!CN88</f>
        <v/>
      </c>
      <c r="CR1547">
        <f>'Grid_Requirement'!CO88</f>
        <v/>
      </c>
      <c r="CS1547">
        <f>'Grid_Requirement'!CP88</f>
        <v/>
      </c>
      <c r="CT1547">
        <f>'Grid_Requirement'!CQ88</f>
        <v/>
      </c>
      <c r="CU1547">
        <f>'Grid_Requirement'!CR88</f>
        <v/>
      </c>
      <c r="CV1547">
        <f>'Grid_Requirement'!CS88</f>
        <v/>
      </c>
      <c r="CW1547">
        <f>'Grid_Requirement'!CT88</f>
        <v/>
      </c>
      <c r="CX1547">
        <f>'Grid_Requirement'!CU88</f>
        <v/>
      </c>
      <c r="CY1547">
        <f>'Grid_Requirement'!CV88</f>
        <v/>
      </c>
      <c r="CZ1547">
        <f>'Grid_Requirement'!CW88</f>
        <v/>
      </c>
      <c r="DA1547">
        <f>'Grid_Requirement'!CX88</f>
        <v/>
      </c>
      <c r="DB1547">
        <f>'Grid_Requirement'!CY88</f>
        <v/>
      </c>
      <c r="DC1547">
        <f>'Grid_Requirement'!CZ88</f>
        <v/>
      </c>
      <c r="DD1547">
        <f>'Grid_Requirement'!DA88</f>
        <v/>
      </c>
    </row>
    <row r="1548">
      <c r="B1548" t="inlineStr">
        <is>
          <t>TTAF在庫(実績,kg)</t>
        </is>
      </c>
      <c r="D1548">
        <f>IFERROR(INDEX(E1548:DD1548,$F$1),"")</f>
        <v/>
      </c>
      <c r="E1548">
        <f>IFERROR(SUMIFS(T_TTAFStock[TTAF_Qty],T_TTAFStock[RM_Code],$A1536,T_TTAFStock[WeekIndex],1),"")</f>
        <v/>
      </c>
      <c r="F1548">
        <f>IFERROR(SUMIFS(T_TTAFStock[TTAF_Qty],T_TTAFStock[RM_Code],$A1536,T_TTAFStock[WeekIndex],2),"")</f>
        <v/>
      </c>
      <c r="G1548">
        <f>IFERROR(SUMIFS(T_TTAFStock[TTAF_Qty],T_TTAFStock[RM_Code],$A1536,T_TTAFStock[WeekIndex],3),"")</f>
        <v/>
      </c>
      <c r="H1548">
        <f>IFERROR(SUMIFS(T_TTAFStock[TTAF_Qty],T_TTAFStock[RM_Code],$A1536,T_TTAFStock[WeekIndex],4),"")</f>
        <v/>
      </c>
      <c r="I1548">
        <f>IFERROR(SUMIFS(T_TTAFStock[TTAF_Qty],T_TTAFStock[RM_Code],$A1536,T_TTAFStock[WeekIndex],5),"")</f>
        <v/>
      </c>
      <c r="J1548">
        <f>IFERROR(SUMIFS(T_TTAFStock[TTAF_Qty],T_TTAFStock[RM_Code],$A1536,T_TTAFStock[WeekIndex],6),"")</f>
        <v/>
      </c>
      <c r="K1548">
        <f>IFERROR(SUMIFS(T_TTAFStock[TTAF_Qty],T_TTAFStock[RM_Code],$A1536,T_TTAFStock[WeekIndex],7),"")</f>
        <v/>
      </c>
      <c r="L1548">
        <f>IFERROR(SUMIFS(T_TTAFStock[TTAF_Qty],T_TTAFStock[RM_Code],$A1536,T_TTAFStock[WeekIndex],8),"")</f>
        <v/>
      </c>
      <c r="M1548">
        <f>IFERROR(SUMIFS(T_TTAFStock[TTAF_Qty],T_TTAFStock[RM_Code],$A1536,T_TTAFStock[WeekIndex],9),"")</f>
        <v/>
      </c>
      <c r="N1548">
        <f>IFERROR(SUMIFS(T_TTAFStock[TTAF_Qty],T_TTAFStock[RM_Code],$A1536,T_TTAFStock[WeekIndex],10),"")</f>
        <v/>
      </c>
      <c r="O1548">
        <f>IFERROR(SUMIFS(T_TTAFStock[TTAF_Qty],T_TTAFStock[RM_Code],$A1536,T_TTAFStock[WeekIndex],11),"")</f>
        <v/>
      </c>
      <c r="P1548">
        <f>IFERROR(SUMIFS(T_TTAFStock[TTAF_Qty],T_TTAFStock[RM_Code],$A1536,T_TTAFStock[WeekIndex],12),"")</f>
        <v/>
      </c>
      <c r="Q1548">
        <f>IFERROR(SUMIFS(T_TTAFStock[TTAF_Qty],T_TTAFStock[RM_Code],$A1536,T_TTAFStock[WeekIndex],13),"")</f>
        <v/>
      </c>
      <c r="R1548">
        <f>IFERROR(SUMIFS(T_TTAFStock[TTAF_Qty],T_TTAFStock[RM_Code],$A1536,T_TTAFStock[WeekIndex],14),"")</f>
        <v/>
      </c>
      <c r="S1548">
        <f>IFERROR(SUMIFS(T_TTAFStock[TTAF_Qty],T_TTAFStock[RM_Code],$A1536,T_TTAFStock[WeekIndex],15),"")</f>
        <v/>
      </c>
      <c r="T1548">
        <f>IFERROR(SUMIFS(T_TTAFStock[TTAF_Qty],T_TTAFStock[RM_Code],$A1536,T_TTAFStock[WeekIndex],16),"")</f>
        <v/>
      </c>
      <c r="U1548">
        <f>IFERROR(SUMIFS(T_TTAFStock[TTAF_Qty],T_TTAFStock[RM_Code],$A1536,T_TTAFStock[WeekIndex],17),"")</f>
        <v/>
      </c>
      <c r="V1548">
        <f>IFERROR(SUMIFS(T_TTAFStock[TTAF_Qty],T_TTAFStock[RM_Code],$A1536,T_TTAFStock[WeekIndex],18),"")</f>
        <v/>
      </c>
      <c r="W1548">
        <f>IFERROR(SUMIFS(T_TTAFStock[TTAF_Qty],T_TTAFStock[RM_Code],$A1536,T_TTAFStock[WeekIndex],19),"")</f>
        <v/>
      </c>
      <c r="X1548">
        <f>IFERROR(SUMIFS(T_TTAFStock[TTAF_Qty],T_TTAFStock[RM_Code],$A1536,T_TTAFStock[WeekIndex],20),"")</f>
        <v/>
      </c>
      <c r="Y1548">
        <f>IFERROR(SUMIFS(T_TTAFStock[TTAF_Qty],T_TTAFStock[RM_Code],$A1536,T_TTAFStock[WeekIndex],21),"")</f>
        <v/>
      </c>
      <c r="Z1548">
        <f>IFERROR(SUMIFS(T_TTAFStock[TTAF_Qty],T_TTAFStock[RM_Code],$A1536,T_TTAFStock[WeekIndex],22),"")</f>
        <v/>
      </c>
      <c r="AA1548">
        <f>IFERROR(SUMIFS(T_TTAFStock[TTAF_Qty],T_TTAFStock[RM_Code],$A1536,T_TTAFStock[WeekIndex],23),"")</f>
        <v/>
      </c>
      <c r="AB1548">
        <f>IFERROR(SUMIFS(T_TTAFStock[TTAF_Qty],T_TTAFStock[RM_Code],$A1536,T_TTAFStock[WeekIndex],24),"")</f>
        <v/>
      </c>
      <c r="AC1548">
        <f>IFERROR(SUMIFS(T_TTAFStock[TTAF_Qty],T_TTAFStock[RM_Code],$A1536,T_TTAFStock[WeekIndex],25),"")</f>
        <v/>
      </c>
      <c r="AD1548">
        <f>IFERROR(SUMIFS(T_TTAFStock[TTAF_Qty],T_TTAFStock[RM_Code],$A1536,T_TTAFStock[WeekIndex],26),"")</f>
        <v/>
      </c>
      <c r="AE1548">
        <f>IFERROR(SUMIFS(T_TTAFStock[TTAF_Qty],T_TTAFStock[RM_Code],$A1536,T_TTAFStock[WeekIndex],27),"")</f>
        <v/>
      </c>
      <c r="AF1548">
        <f>IFERROR(SUMIFS(T_TTAFStock[TTAF_Qty],T_TTAFStock[RM_Code],$A1536,T_TTAFStock[WeekIndex],28),"")</f>
        <v/>
      </c>
      <c r="AG1548">
        <f>IFERROR(SUMIFS(T_TTAFStock[TTAF_Qty],T_TTAFStock[RM_Code],$A1536,T_TTAFStock[WeekIndex],29),"")</f>
        <v/>
      </c>
      <c r="AH1548">
        <f>IFERROR(SUMIFS(T_TTAFStock[TTAF_Qty],T_TTAFStock[RM_Code],$A1536,T_TTAFStock[WeekIndex],30),"")</f>
        <v/>
      </c>
      <c r="AI1548">
        <f>IFERROR(SUMIFS(T_TTAFStock[TTAF_Qty],T_TTAFStock[RM_Code],$A1536,T_TTAFStock[WeekIndex],31),"")</f>
        <v/>
      </c>
      <c r="AJ1548">
        <f>IFERROR(SUMIFS(T_TTAFStock[TTAF_Qty],T_TTAFStock[RM_Code],$A1536,T_TTAFStock[WeekIndex],32),"")</f>
        <v/>
      </c>
      <c r="AK1548">
        <f>IFERROR(SUMIFS(T_TTAFStock[TTAF_Qty],T_TTAFStock[RM_Code],$A1536,T_TTAFStock[WeekIndex],33),"")</f>
        <v/>
      </c>
      <c r="AL1548">
        <f>IFERROR(SUMIFS(T_TTAFStock[TTAF_Qty],T_TTAFStock[RM_Code],$A1536,T_TTAFStock[WeekIndex],34),"")</f>
        <v/>
      </c>
      <c r="AM1548">
        <f>IFERROR(SUMIFS(T_TTAFStock[TTAF_Qty],T_TTAFStock[RM_Code],$A1536,T_TTAFStock[WeekIndex],35),"")</f>
        <v/>
      </c>
      <c r="AN1548">
        <f>IFERROR(SUMIFS(T_TTAFStock[TTAF_Qty],T_TTAFStock[RM_Code],$A1536,T_TTAFStock[WeekIndex],36),"")</f>
        <v/>
      </c>
      <c r="AO1548">
        <f>IFERROR(SUMIFS(T_TTAFStock[TTAF_Qty],T_TTAFStock[RM_Code],$A1536,T_TTAFStock[WeekIndex],37),"")</f>
        <v/>
      </c>
      <c r="AP1548">
        <f>IFERROR(SUMIFS(T_TTAFStock[TTAF_Qty],T_TTAFStock[RM_Code],$A1536,T_TTAFStock[WeekIndex],38),"")</f>
        <v/>
      </c>
      <c r="AQ1548">
        <f>IFERROR(SUMIFS(T_TTAFStock[TTAF_Qty],T_TTAFStock[RM_Code],$A1536,T_TTAFStock[WeekIndex],39),"")</f>
        <v/>
      </c>
      <c r="AR1548">
        <f>IFERROR(SUMIFS(T_TTAFStock[TTAF_Qty],T_TTAFStock[RM_Code],$A1536,T_TTAFStock[WeekIndex],40),"")</f>
        <v/>
      </c>
      <c r="AS1548">
        <f>IFERROR(SUMIFS(T_TTAFStock[TTAF_Qty],T_TTAFStock[RM_Code],$A1536,T_TTAFStock[WeekIndex],41),"")</f>
        <v/>
      </c>
      <c r="AT1548">
        <f>IFERROR(SUMIFS(T_TTAFStock[TTAF_Qty],T_TTAFStock[RM_Code],$A1536,T_TTAFStock[WeekIndex],42),"")</f>
        <v/>
      </c>
      <c r="AU1548">
        <f>IFERROR(SUMIFS(T_TTAFStock[TTAF_Qty],T_TTAFStock[RM_Code],$A1536,T_TTAFStock[WeekIndex],43),"")</f>
        <v/>
      </c>
      <c r="AV1548">
        <f>IFERROR(SUMIFS(T_TTAFStock[TTAF_Qty],T_TTAFStock[RM_Code],$A1536,T_TTAFStock[WeekIndex],44),"")</f>
        <v/>
      </c>
      <c r="AW1548">
        <f>IFERROR(SUMIFS(T_TTAFStock[TTAF_Qty],T_TTAFStock[RM_Code],$A1536,T_TTAFStock[WeekIndex],45),"")</f>
        <v/>
      </c>
      <c r="AX1548">
        <f>IFERROR(SUMIFS(T_TTAFStock[TTAF_Qty],T_TTAFStock[RM_Code],$A1536,T_TTAFStock[WeekIndex],46),"")</f>
        <v/>
      </c>
      <c r="AY1548">
        <f>IFERROR(SUMIFS(T_TTAFStock[TTAF_Qty],T_TTAFStock[RM_Code],$A1536,T_TTAFStock[WeekIndex],47),"")</f>
        <v/>
      </c>
      <c r="AZ1548">
        <f>IFERROR(SUMIFS(T_TTAFStock[TTAF_Qty],T_TTAFStock[RM_Code],$A1536,T_TTAFStock[WeekIndex],48),"")</f>
        <v/>
      </c>
      <c r="BA1548">
        <f>IFERROR(SUMIFS(T_TTAFStock[TTAF_Qty],T_TTAFStock[RM_Code],$A1536,T_TTAFStock[WeekIndex],49),"")</f>
        <v/>
      </c>
      <c r="BB1548">
        <f>IFERROR(SUMIFS(T_TTAFStock[TTAF_Qty],T_TTAFStock[RM_Code],$A1536,T_TTAFStock[WeekIndex],50),"")</f>
        <v/>
      </c>
      <c r="BC1548">
        <f>IFERROR(SUMIFS(T_TTAFStock[TTAF_Qty],T_TTAFStock[RM_Code],$A1536,T_TTAFStock[WeekIndex],51),"")</f>
        <v/>
      </c>
      <c r="BD1548">
        <f>IFERROR(SUMIFS(T_TTAFStock[TTAF_Qty],T_TTAFStock[RM_Code],$A1536,T_TTAFStock[WeekIndex],52),"")</f>
        <v/>
      </c>
      <c r="BE1548">
        <f>IFERROR(SUMIFS(T_TTAFStock[TTAF_Qty],T_TTAFStock[RM_Code],$A1536,T_TTAFStock[WeekIndex],53),"")</f>
        <v/>
      </c>
      <c r="BF1548">
        <f>IFERROR(SUMIFS(T_TTAFStock[TTAF_Qty],T_TTAFStock[RM_Code],$A1536,T_TTAFStock[WeekIndex],54),"")</f>
        <v/>
      </c>
      <c r="BG1548">
        <f>IFERROR(SUMIFS(T_TTAFStock[TTAF_Qty],T_TTAFStock[RM_Code],$A1536,T_TTAFStock[WeekIndex],55),"")</f>
        <v/>
      </c>
      <c r="BH1548">
        <f>IFERROR(SUMIFS(T_TTAFStock[TTAF_Qty],T_TTAFStock[RM_Code],$A1536,T_TTAFStock[WeekIndex],56),"")</f>
        <v/>
      </c>
      <c r="BI1548">
        <f>IFERROR(SUMIFS(T_TTAFStock[TTAF_Qty],T_TTAFStock[RM_Code],$A1536,T_TTAFStock[WeekIndex],57),"")</f>
        <v/>
      </c>
      <c r="BJ1548">
        <f>IFERROR(SUMIFS(T_TTAFStock[TTAF_Qty],T_TTAFStock[RM_Code],$A1536,T_TTAFStock[WeekIndex],58),"")</f>
        <v/>
      </c>
      <c r="BK1548">
        <f>IFERROR(SUMIFS(T_TTAFStock[TTAF_Qty],T_TTAFStock[RM_Code],$A1536,T_TTAFStock[WeekIndex],59),"")</f>
        <v/>
      </c>
      <c r="BL1548">
        <f>IFERROR(SUMIFS(T_TTAFStock[TTAF_Qty],T_TTAFStock[RM_Code],$A1536,T_TTAFStock[WeekIndex],60),"")</f>
        <v/>
      </c>
      <c r="BM1548">
        <f>IFERROR(SUMIFS(T_TTAFStock[TTAF_Qty],T_TTAFStock[RM_Code],$A1536,T_TTAFStock[WeekIndex],61),"")</f>
        <v/>
      </c>
      <c r="BN1548">
        <f>IFERROR(SUMIFS(T_TTAFStock[TTAF_Qty],T_TTAFStock[RM_Code],$A1536,T_TTAFStock[WeekIndex],62),"")</f>
        <v/>
      </c>
      <c r="BO1548">
        <f>IFERROR(SUMIFS(T_TTAFStock[TTAF_Qty],T_TTAFStock[RM_Code],$A1536,T_TTAFStock[WeekIndex],63),"")</f>
        <v/>
      </c>
      <c r="BP1548">
        <f>IFERROR(SUMIFS(T_TTAFStock[TTAF_Qty],T_TTAFStock[RM_Code],$A1536,T_TTAFStock[WeekIndex],64),"")</f>
        <v/>
      </c>
      <c r="BQ1548">
        <f>IFERROR(SUMIFS(T_TTAFStock[TTAF_Qty],T_TTAFStock[RM_Code],$A1536,T_TTAFStock[WeekIndex],65),"")</f>
        <v/>
      </c>
      <c r="BR1548">
        <f>IFERROR(SUMIFS(T_TTAFStock[TTAF_Qty],T_TTAFStock[RM_Code],$A1536,T_TTAFStock[WeekIndex],66),"")</f>
        <v/>
      </c>
      <c r="BS1548">
        <f>IFERROR(SUMIFS(T_TTAFStock[TTAF_Qty],T_TTAFStock[RM_Code],$A1536,T_TTAFStock[WeekIndex],67),"")</f>
        <v/>
      </c>
      <c r="BT1548">
        <f>IFERROR(SUMIFS(T_TTAFStock[TTAF_Qty],T_TTAFStock[RM_Code],$A1536,T_TTAFStock[WeekIndex],68),"")</f>
        <v/>
      </c>
      <c r="BU1548">
        <f>IFERROR(SUMIFS(T_TTAFStock[TTAF_Qty],T_TTAFStock[RM_Code],$A1536,T_TTAFStock[WeekIndex],69),"")</f>
        <v/>
      </c>
      <c r="BV1548">
        <f>IFERROR(SUMIFS(T_TTAFStock[TTAF_Qty],T_TTAFStock[RM_Code],$A1536,T_TTAFStock[WeekIndex],70),"")</f>
        <v/>
      </c>
      <c r="BW1548">
        <f>IFERROR(SUMIFS(T_TTAFStock[TTAF_Qty],T_TTAFStock[RM_Code],$A1536,T_TTAFStock[WeekIndex],71),"")</f>
        <v/>
      </c>
      <c r="BX1548">
        <f>IFERROR(SUMIFS(T_TTAFStock[TTAF_Qty],T_TTAFStock[RM_Code],$A1536,T_TTAFStock[WeekIndex],72),"")</f>
        <v/>
      </c>
      <c r="BY1548">
        <f>IFERROR(SUMIFS(T_TTAFStock[TTAF_Qty],T_TTAFStock[RM_Code],$A1536,T_TTAFStock[WeekIndex],73),"")</f>
        <v/>
      </c>
      <c r="BZ1548">
        <f>IFERROR(SUMIFS(T_TTAFStock[TTAF_Qty],T_TTAFStock[RM_Code],$A1536,T_TTAFStock[WeekIndex],74),"")</f>
        <v/>
      </c>
      <c r="CA1548">
        <f>IFERROR(SUMIFS(T_TTAFStock[TTAF_Qty],T_TTAFStock[RM_Code],$A1536,T_TTAFStock[WeekIndex],75),"")</f>
        <v/>
      </c>
      <c r="CB1548">
        <f>IFERROR(SUMIFS(T_TTAFStock[TTAF_Qty],T_TTAFStock[RM_Code],$A1536,T_TTAFStock[WeekIndex],76),"")</f>
        <v/>
      </c>
      <c r="CC1548">
        <f>IFERROR(SUMIFS(T_TTAFStock[TTAF_Qty],T_TTAFStock[RM_Code],$A1536,T_TTAFStock[WeekIndex],77),"")</f>
        <v/>
      </c>
      <c r="CD1548">
        <f>IFERROR(SUMIFS(T_TTAFStock[TTAF_Qty],T_TTAFStock[RM_Code],$A1536,T_TTAFStock[WeekIndex],78),"")</f>
        <v/>
      </c>
      <c r="CE1548">
        <f>IFERROR(SUMIFS(T_TTAFStock[TTAF_Qty],T_TTAFStock[RM_Code],$A1536,T_TTAFStock[WeekIndex],79),"")</f>
        <v/>
      </c>
      <c r="CF1548">
        <f>IFERROR(SUMIFS(T_TTAFStock[TTAF_Qty],T_TTAFStock[RM_Code],$A1536,T_TTAFStock[WeekIndex],80),"")</f>
        <v/>
      </c>
      <c r="CG1548">
        <f>IFERROR(SUMIFS(T_TTAFStock[TTAF_Qty],T_TTAFStock[RM_Code],$A1536,T_TTAFStock[WeekIndex],81),"")</f>
        <v/>
      </c>
      <c r="CH1548">
        <f>IFERROR(SUMIFS(T_TTAFStock[TTAF_Qty],T_TTAFStock[RM_Code],$A1536,T_TTAFStock[WeekIndex],82),"")</f>
        <v/>
      </c>
      <c r="CI1548">
        <f>IFERROR(SUMIFS(T_TTAFStock[TTAF_Qty],T_TTAFStock[RM_Code],$A1536,T_TTAFStock[WeekIndex],83),"")</f>
        <v/>
      </c>
      <c r="CJ1548">
        <f>IFERROR(SUMIFS(T_TTAFStock[TTAF_Qty],T_TTAFStock[RM_Code],$A1536,T_TTAFStock[WeekIndex],84),"")</f>
        <v/>
      </c>
      <c r="CK1548">
        <f>IFERROR(SUMIFS(T_TTAFStock[TTAF_Qty],T_TTAFStock[RM_Code],$A1536,T_TTAFStock[WeekIndex],85),"")</f>
        <v/>
      </c>
      <c r="CL1548">
        <f>IFERROR(SUMIFS(T_TTAFStock[TTAF_Qty],T_TTAFStock[RM_Code],$A1536,T_TTAFStock[WeekIndex],86),"")</f>
        <v/>
      </c>
      <c r="CM1548">
        <f>IFERROR(SUMIFS(T_TTAFStock[TTAF_Qty],T_TTAFStock[RM_Code],$A1536,T_TTAFStock[WeekIndex],87),"")</f>
        <v/>
      </c>
      <c r="CN1548">
        <f>IFERROR(SUMIFS(T_TTAFStock[TTAF_Qty],T_TTAFStock[RM_Code],$A1536,T_TTAFStock[WeekIndex],88),"")</f>
        <v/>
      </c>
      <c r="CO1548">
        <f>IFERROR(SUMIFS(T_TTAFStock[TTAF_Qty],T_TTAFStock[RM_Code],$A1536,T_TTAFStock[WeekIndex],89),"")</f>
        <v/>
      </c>
      <c r="CP1548">
        <f>IFERROR(SUMIFS(T_TTAFStock[TTAF_Qty],T_TTAFStock[RM_Code],$A1536,T_TTAFStock[WeekIndex],90),"")</f>
        <v/>
      </c>
      <c r="CQ1548">
        <f>IFERROR(SUMIFS(T_TTAFStock[TTAF_Qty],T_TTAFStock[RM_Code],$A1536,T_TTAFStock[WeekIndex],91),"")</f>
        <v/>
      </c>
      <c r="CR1548">
        <f>IFERROR(SUMIFS(T_TTAFStock[TTAF_Qty],T_TTAFStock[RM_Code],$A1536,T_TTAFStock[WeekIndex],92),"")</f>
        <v/>
      </c>
      <c r="CS1548">
        <f>IFERROR(SUMIFS(T_TTAFStock[TTAF_Qty],T_TTAFStock[RM_Code],$A1536,T_TTAFStock[WeekIndex],93),"")</f>
        <v/>
      </c>
      <c r="CT1548">
        <f>IFERROR(SUMIFS(T_TTAFStock[TTAF_Qty],T_TTAFStock[RM_Code],$A1536,T_TTAFStock[WeekIndex],94),"")</f>
        <v/>
      </c>
      <c r="CU1548">
        <f>IFERROR(SUMIFS(T_TTAFStock[TTAF_Qty],T_TTAFStock[RM_Code],$A1536,T_TTAFStock[WeekIndex],95),"")</f>
        <v/>
      </c>
      <c r="CV1548">
        <f>IFERROR(SUMIFS(T_TTAFStock[TTAF_Qty],T_TTAFStock[RM_Code],$A1536,T_TTAFStock[WeekIndex],96),"")</f>
        <v/>
      </c>
      <c r="CW1548">
        <f>IFERROR(SUMIFS(T_TTAFStock[TTAF_Qty],T_TTAFStock[RM_Code],$A1536,T_TTAFStock[WeekIndex],97),"")</f>
        <v/>
      </c>
      <c r="CX1548">
        <f>IFERROR(SUMIFS(T_TTAFStock[TTAF_Qty],T_TTAFStock[RM_Code],$A1536,T_TTAFStock[WeekIndex],98),"")</f>
        <v/>
      </c>
      <c r="CY1548">
        <f>IFERROR(SUMIFS(T_TTAFStock[TTAF_Qty],T_TTAFStock[RM_Code],$A1536,T_TTAFStock[WeekIndex],99),"")</f>
        <v/>
      </c>
      <c r="CZ1548">
        <f>IFERROR(SUMIFS(T_TTAFStock[TTAF_Qty],T_TTAFStock[RM_Code],$A1536,T_TTAFStock[WeekIndex],100),"")</f>
        <v/>
      </c>
      <c r="DA1548">
        <f>IFERROR(SUMIFS(T_TTAFStock[TTAF_Qty],T_TTAFStock[RM_Code],$A1536,T_TTAFStock[WeekIndex],101),"")</f>
        <v/>
      </c>
      <c r="DB1548">
        <f>IFERROR(SUMIFS(T_TTAFStock[TTAF_Qty],T_TTAFStock[RM_Code],$A1536,T_TTAFStock[WeekIndex],102),"")</f>
        <v/>
      </c>
      <c r="DC1548">
        <f>IFERROR(SUMIFS(T_TTAFStock[TTAF_Qty],T_TTAFStock[RM_Code],$A1536,T_TTAFStock[WeekIndex],103),"")</f>
        <v/>
      </c>
      <c r="DD1548">
        <f>IFERROR(SUMIFS(T_TTAFStock[TTAF_Qty],T_TTAFStock[RM_Code],$A1536,T_TTAFStock[WeekIndex],104),"")</f>
        <v/>
      </c>
    </row>
    <row r="1549">
      <c r="B1549" t="inlineStr">
        <is>
          <t>自社在庫(実績,kg)</t>
        </is>
      </c>
      <c r="D1549">
        <f>IFERROR(INDEX(E1549:DD1549,$F$1),"")</f>
        <v/>
      </c>
      <c r="E1549">
        <f>IFERROR(SUMIFS(T_SelfStock[Self_Qty],T_SelfStock[RM_Code],$A1536,T_SelfStock[WeekIndex],1),"")</f>
        <v/>
      </c>
      <c r="F1549">
        <f>IFERROR(SUMIFS(T_SelfStock[Self_Qty],T_SelfStock[RM_Code],$A1536,T_SelfStock[WeekIndex],2),"")</f>
        <v/>
      </c>
      <c r="G1549">
        <f>IFERROR(SUMIFS(T_SelfStock[Self_Qty],T_SelfStock[RM_Code],$A1536,T_SelfStock[WeekIndex],3),"")</f>
        <v/>
      </c>
      <c r="H1549">
        <f>IFERROR(SUMIFS(T_SelfStock[Self_Qty],T_SelfStock[RM_Code],$A1536,T_SelfStock[WeekIndex],4),"")</f>
        <v/>
      </c>
      <c r="I1549">
        <f>IFERROR(SUMIFS(T_SelfStock[Self_Qty],T_SelfStock[RM_Code],$A1536,T_SelfStock[WeekIndex],5),"")</f>
        <v/>
      </c>
      <c r="J1549">
        <f>IFERROR(SUMIFS(T_SelfStock[Self_Qty],T_SelfStock[RM_Code],$A1536,T_SelfStock[WeekIndex],6),"")</f>
        <v/>
      </c>
      <c r="K1549">
        <f>IFERROR(SUMIFS(T_SelfStock[Self_Qty],T_SelfStock[RM_Code],$A1536,T_SelfStock[WeekIndex],7),"")</f>
        <v/>
      </c>
      <c r="L1549">
        <f>IFERROR(SUMIFS(T_SelfStock[Self_Qty],T_SelfStock[RM_Code],$A1536,T_SelfStock[WeekIndex],8),"")</f>
        <v/>
      </c>
      <c r="M1549">
        <f>IFERROR(SUMIFS(T_SelfStock[Self_Qty],T_SelfStock[RM_Code],$A1536,T_SelfStock[WeekIndex],9),"")</f>
        <v/>
      </c>
      <c r="N1549">
        <f>IFERROR(SUMIFS(T_SelfStock[Self_Qty],T_SelfStock[RM_Code],$A1536,T_SelfStock[WeekIndex],10),"")</f>
        <v/>
      </c>
      <c r="O1549">
        <f>IFERROR(SUMIFS(T_SelfStock[Self_Qty],T_SelfStock[RM_Code],$A1536,T_SelfStock[WeekIndex],11),"")</f>
        <v/>
      </c>
      <c r="P1549">
        <f>IFERROR(SUMIFS(T_SelfStock[Self_Qty],T_SelfStock[RM_Code],$A1536,T_SelfStock[WeekIndex],12),"")</f>
        <v/>
      </c>
      <c r="Q1549">
        <f>IFERROR(SUMIFS(T_SelfStock[Self_Qty],T_SelfStock[RM_Code],$A1536,T_SelfStock[WeekIndex],13),"")</f>
        <v/>
      </c>
      <c r="R1549">
        <f>IFERROR(SUMIFS(T_SelfStock[Self_Qty],T_SelfStock[RM_Code],$A1536,T_SelfStock[WeekIndex],14),"")</f>
        <v/>
      </c>
      <c r="S1549">
        <f>IFERROR(SUMIFS(T_SelfStock[Self_Qty],T_SelfStock[RM_Code],$A1536,T_SelfStock[WeekIndex],15),"")</f>
        <v/>
      </c>
      <c r="T1549">
        <f>IFERROR(SUMIFS(T_SelfStock[Self_Qty],T_SelfStock[RM_Code],$A1536,T_SelfStock[WeekIndex],16),"")</f>
        <v/>
      </c>
      <c r="U1549">
        <f>IFERROR(SUMIFS(T_SelfStock[Self_Qty],T_SelfStock[RM_Code],$A1536,T_SelfStock[WeekIndex],17),"")</f>
        <v/>
      </c>
      <c r="V1549">
        <f>IFERROR(SUMIFS(T_SelfStock[Self_Qty],T_SelfStock[RM_Code],$A1536,T_SelfStock[WeekIndex],18),"")</f>
        <v/>
      </c>
      <c r="W1549">
        <f>IFERROR(SUMIFS(T_SelfStock[Self_Qty],T_SelfStock[RM_Code],$A1536,T_SelfStock[WeekIndex],19),"")</f>
        <v/>
      </c>
      <c r="X1549">
        <f>IFERROR(SUMIFS(T_SelfStock[Self_Qty],T_SelfStock[RM_Code],$A1536,T_SelfStock[WeekIndex],20),"")</f>
        <v/>
      </c>
      <c r="Y1549">
        <f>IFERROR(SUMIFS(T_SelfStock[Self_Qty],T_SelfStock[RM_Code],$A1536,T_SelfStock[WeekIndex],21),"")</f>
        <v/>
      </c>
      <c r="Z1549">
        <f>IFERROR(SUMIFS(T_SelfStock[Self_Qty],T_SelfStock[RM_Code],$A1536,T_SelfStock[WeekIndex],22),"")</f>
        <v/>
      </c>
      <c r="AA1549">
        <f>IFERROR(SUMIFS(T_SelfStock[Self_Qty],T_SelfStock[RM_Code],$A1536,T_SelfStock[WeekIndex],23),"")</f>
        <v/>
      </c>
      <c r="AB1549">
        <f>IFERROR(SUMIFS(T_SelfStock[Self_Qty],T_SelfStock[RM_Code],$A1536,T_SelfStock[WeekIndex],24),"")</f>
        <v/>
      </c>
      <c r="AC1549">
        <f>IFERROR(SUMIFS(T_SelfStock[Self_Qty],T_SelfStock[RM_Code],$A1536,T_SelfStock[WeekIndex],25),"")</f>
        <v/>
      </c>
      <c r="AD1549">
        <f>IFERROR(SUMIFS(T_SelfStock[Self_Qty],T_SelfStock[RM_Code],$A1536,T_SelfStock[WeekIndex],26),"")</f>
        <v/>
      </c>
      <c r="AE1549">
        <f>IFERROR(SUMIFS(T_SelfStock[Self_Qty],T_SelfStock[RM_Code],$A1536,T_SelfStock[WeekIndex],27),"")</f>
        <v/>
      </c>
      <c r="AF1549">
        <f>IFERROR(SUMIFS(T_SelfStock[Self_Qty],T_SelfStock[RM_Code],$A1536,T_SelfStock[WeekIndex],28),"")</f>
        <v/>
      </c>
      <c r="AG1549">
        <f>IFERROR(SUMIFS(T_SelfStock[Self_Qty],T_SelfStock[RM_Code],$A1536,T_SelfStock[WeekIndex],29),"")</f>
        <v/>
      </c>
      <c r="AH1549">
        <f>IFERROR(SUMIFS(T_SelfStock[Self_Qty],T_SelfStock[RM_Code],$A1536,T_SelfStock[WeekIndex],30),"")</f>
        <v/>
      </c>
      <c r="AI1549">
        <f>IFERROR(SUMIFS(T_SelfStock[Self_Qty],T_SelfStock[RM_Code],$A1536,T_SelfStock[WeekIndex],31),"")</f>
        <v/>
      </c>
      <c r="AJ1549">
        <f>IFERROR(SUMIFS(T_SelfStock[Self_Qty],T_SelfStock[RM_Code],$A1536,T_SelfStock[WeekIndex],32),"")</f>
        <v/>
      </c>
      <c r="AK1549">
        <f>IFERROR(SUMIFS(T_SelfStock[Self_Qty],T_SelfStock[RM_Code],$A1536,T_SelfStock[WeekIndex],33),"")</f>
        <v/>
      </c>
      <c r="AL1549">
        <f>IFERROR(SUMIFS(T_SelfStock[Self_Qty],T_SelfStock[RM_Code],$A1536,T_SelfStock[WeekIndex],34),"")</f>
        <v/>
      </c>
      <c r="AM1549">
        <f>IFERROR(SUMIFS(T_SelfStock[Self_Qty],T_SelfStock[RM_Code],$A1536,T_SelfStock[WeekIndex],35),"")</f>
        <v/>
      </c>
      <c r="AN1549">
        <f>IFERROR(SUMIFS(T_SelfStock[Self_Qty],T_SelfStock[RM_Code],$A1536,T_SelfStock[WeekIndex],36),"")</f>
        <v/>
      </c>
      <c r="AO1549">
        <f>IFERROR(SUMIFS(T_SelfStock[Self_Qty],T_SelfStock[RM_Code],$A1536,T_SelfStock[WeekIndex],37),"")</f>
        <v/>
      </c>
      <c r="AP1549">
        <f>IFERROR(SUMIFS(T_SelfStock[Self_Qty],T_SelfStock[RM_Code],$A1536,T_SelfStock[WeekIndex],38),"")</f>
        <v/>
      </c>
      <c r="AQ1549">
        <f>IFERROR(SUMIFS(T_SelfStock[Self_Qty],T_SelfStock[RM_Code],$A1536,T_SelfStock[WeekIndex],39),"")</f>
        <v/>
      </c>
      <c r="AR1549">
        <f>IFERROR(SUMIFS(T_SelfStock[Self_Qty],T_SelfStock[RM_Code],$A1536,T_SelfStock[WeekIndex],40),"")</f>
        <v/>
      </c>
      <c r="AS1549">
        <f>IFERROR(SUMIFS(T_SelfStock[Self_Qty],T_SelfStock[RM_Code],$A1536,T_SelfStock[WeekIndex],41),"")</f>
        <v/>
      </c>
      <c r="AT1549">
        <f>IFERROR(SUMIFS(T_SelfStock[Self_Qty],T_SelfStock[RM_Code],$A1536,T_SelfStock[WeekIndex],42),"")</f>
        <v/>
      </c>
      <c r="AU1549">
        <f>IFERROR(SUMIFS(T_SelfStock[Self_Qty],T_SelfStock[RM_Code],$A1536,T_SelfStock[WeekIndex],43),"")</f>
        <v/>
      </c>
      <c r="AV1549">
        <f>IFERROR(SUMIFS(T_SelfStock[Self_Qty],T_SelfStock[RM_Code],$A1536,T_SelfStock[WeekIndex],44),"")</f>
        <v/>
      </c>
      <c r="AW1549">
        <f>IFERROR(SUMIFS(T_SelfStock[Self_Qty],T_SelfStock[RM_Code],$A1536,T_SelfStock[WeekIndex],45),"")</f>
        <v/>
      </c>
      <c r="AX1549">
        <f>IFERROR(SUMIFS(T_SelfStock[Self_Qty],T_SelfStock[RM_Code],$A1536,T_SelfStock[WeekIndex],46),"")</f>
        <v/>
      </c>
      <c r="AY1549">
        <f>IFERROR(SUMIFS(T_SelfStock[Self_Qty],T_SelfStock[RM_Code],$A1536,T_SelfStock[WeekIndex],47),"")</f>
        <v/>
      </c>
      <c r="AZ1549">
        <f>IFERROR(SUMIFS(T_SelfStock[Self_Qty],T_SelfStock[RM_Code],$A1536,T_SelfStock[WeekIndex],48),"")</f>
        <v/>
      </c>
      <c r="BA1549">
        <f>IFERROR(SUMIFS(T_SelfStock[Self_Qty],T_SelfStock[RM_Code],$A1536,T_SelfStock[WeekIndex],49),"")</f>
        <v/>
      </c>
      <c r="BB1549">
        <f>IFERROR(SUMIFS(T_SelfStock[Self_Qty],T_SelfStock[RM_Code],$A1536,T_SelfStock[WeekIndex],50),"")</f>
        <v/>
      </c>
      <c r="BC1549">
        <f>IFERROR(SUMIFS(T_SelfStock[Self_Qty],T_SelfStock[RM_Code],$A1536,T_SelfStock[WeekIndex],51),"")</f>
        <v/>
      </c>
      <c r="BD1549">
        <f>IFERROR(SUMIFS(T_SelfStock[Self_Qty],T_SelfStock[RM_Code],$A1536,T_SelfStock[WeekIndex],52),"")</f>
        <v/>
      </c>
      <c r="BE1549">
        <f>IFERROR(SUMIFS(T_SelfStock[Self_Qty],T_SelfStock[RM_Code],$A1536,T_SelfStock[WeekIndex],53),"")</f>
        <v/>
      </c>
      <c r="BF1549">
        <f>IFERROR(SUMIFS(T_SelfStock[Self_Qty],T_SelfStock[RM_Code],$A1536,T_SelfStock[WeekIndex],54),"")</f>
        <v/>
      </c>
      <c r="BG1549">
        <f>IFERROR(SUMIFS(T_SelfStock[Self_Qty],T_SelfStock[RM_Code],$A1536,T_SelfStock[WeekIndex],55),"")</f>
        <v/>
      </c>
      <c r="BH1549">
        <f>IFERROR(SUMIFS(T_SelfStock[Self_Qty],T_SelfStock[RM_Code],$A1536,T_SelfStock[WeekIndex],56),"")</f>
        <v/>
      </c>
      <c r="BI1549">
        <f>IFERROR(SUMIFS(T_SelfStock[Self_Qty],T_SelfStock[RM_Code],$A1536,T_SelfStock[WeekIndex],57),"")</f>
        <v/>
      </c>
      <c r="BJ1549">
        <f>IFERROR(SUMIFS(T_SelfStock[Self_Qty],T_SelfStock[RM_Code],$A1536,T_SelfStock[WeekIndex],58),"")</f>
        <v/>
      </c>
      <c r="BK1549">
        <f>IFERROR(SUMIFS(T_SelfStock[Self_Qty],T_SelfStock[RM_Code],$A1536,T_SelfStock[WeekIndex],59),"")</f>
        <v/>
      </c>
      <c r="BL1549">
        <f>IFERROR(SUMIFS(T_SelfStock[Self_Qty],T_SelfStock[RM_Code],$A1536,T_SelfStock[WeekIndex],60),"")</f>
        <v/>
      </c>
      <c r="BM1549">
        <f>IFERROR(SUMIFS(T_SelfStock[Self_Qty],T_SelfStock[RM_Code],$A1536,T_SelfStock[WeekIndex],61),"")</f>
        <v/>
      </c>
      <c r="BN1549">
        <f>IFERROR(SUMIFS(T_SelfStock[Self_Qty],T_SelfStock[RM_Code],$A1536,T_SelfStock[WeekIndex],62),"")</f>
        <v/>
      </c>
      <c r="BO1549">
        <f>IFERROR(SUMIFS(T_SelfStock[Self_Qty],T_SelfStock[RM_Code],$A1536,T_SelfStock[WeekIndex],63),"")</f>
        <v/>
      </c>
      <c r="BP1549">
        <f>IFERROR(SUMIFS(T_SelfStock[Self_Qty],T_SelfStock[RM_Code],$A1536,T_SelfStock[WeekIndex],64),"")</f>
        <v/>
      </c>
      <c r="BQ1549">
        <f>IFERROR(SUMIFS(T_SelfStock[Self_Qty],T_SelfStock[RM_Code],$A1536,T_SelfStock[WeekIndex],65),"")</f>
        <v/>
      </c>
      <c r="BR1549">
        <f>IFERROR(SUMIFS(T_SelfStock[Self_Qty],T_SelfStock[RM_Code],$A1536,T_SelfStock[WeekIndex],66),"")</f>
        <v/>
      </c>
      <c r="BS1549">
        <f>IFERROR(SUMIFS(T_SelfStock[Self_Qty],T_SelfStock[RM_Code],$A1536,T_SelfStock[WeekIndex],67),"")</f>
        <v/>
      </c>
      <c r="BT1549">
        <f>IFERROR(SUMIFS(T_SelfStock[Self_Qty],T_SelfStock[RM_Code],$A1536,T_SelfStock[WeekIndex],68),"")</f>
        <v/>
      </c>
      <c r="BU1549">
        <f>IFERROR(SUMIFS(T_SelfStock[Self_Qty],T_SelfStock[RM_Code],$A1536,T_SelfStock[WeekIndex],69),"")</f>
        <v/>
      </c>
      <c r="BV1549">
        <f>IFERROR(SUMIFS(T_SelfStock[Self_Qty],T_SelfStock[RM_Code],$A1536,T_SelfStock[WeekIndex],70),"")</f>
        <v/>
      </c>
      <c r="BW1549">
        <f>IFERROR(SUMIFS(T_SelfStock[Self_Qty],T_SelfStock[RM_Code],$A1536,T_SelfStock[WeekIndex],71),"")</f>
        <v/>
      </c>
      <c r="BX1549">
        <f>IFERROR(SUMIFS(T_SelfStock[Self_Qty],T_SelfStock[RM_Code],$A1536,T_SelfStock[WeekIndex],72),"")</f>
        <v/>
      </c>
      <c r="BY1549">
        <f>IFERROR(SUMIFS(T_SelfStock[Self_Qty],T_SelfStock[RM_Code],$A1536,T_SelfStock[WeekIndex],73),"")</f>
        <v/>
      </c>
      <c r="BZ1549">
        <f>IFERROR(SUMIFS(T_SelfStock[Self_Qty],T_SelfStock[RM_Code],$A1536,T_SelfStock[WeekIndex],74),"")</f>
        <v/>
      </c>
      <c r="CA1549">
        <f>IFERROR(SUMIFS(T_SelfStock[Self_Qty],T_SelfStock[RM_Code],$A1536,T_SelfStock[WeekIndex],75),"")</f>
        <v/>
      </c>
      <c r="CB1549">
        <f>IFERROR(SUMIFS(T_SelfStock[Self_Qty],T_SelfStock[RM_Code],$A1536,T_SelfStock[WeekIndex],76),"")</f>
        <v/>
      </c>
      <c r="CC1549">
        <f>IFERROR(SUMIFS(T_SelfStock[Self_Qty],T_SelfStock[RM_Code],$A1536,T_SelfStock[WeekIndex],77),"")</f>
        <v/>
      </c>
      <c r="CD1549">
        <f>IFERROR(SUMIFS(T_SelfStock[Self_Qty],T_SelfStock[RM_Code],$A1536,T_SelfStock[WeekIndex],78),"")</f>
        <v/>
      </c>
      <c r="CE1549">
        <f>IFERROR(SUMIFS(T_SelfStock[Self_Qty],T_SelfStock[RM_Code],$A1536,T_SelfStock[WeekIndex],79),"")</f>
        <v/>
      </c>
      <c r="CF1549">
        <f>IFERROR(SUMIFS(T_SelfStock[Self_Qty],T_SelfStock[RM_Code],$A1536,T_SelfStock[WeekIndex],80),"")</f>
        <v/>
      </c>
      <c r="CG1549">
        <f>IFERROR(SUMIFS(T_SelfStock[Self_Qty],T_SelfStock[RM_Code],$A1536,T_SelfStock[WeekIndex],81),"")</f>
        <v/>
      </c>
      <c r="CH1549">
        <f>IFERROR(SUMIFS(T_SelfStock[Self_Qty],T_SelfStock[RM_Code],$A1536,T_SelfStock[WeekIndex],82),"")</f>
        <v/>
      </c>
      <c r="CI1549">
        <f>IFERROR(SUMIFS(T_SelfStock[Self_Qty],T_SelfStock[RM_Code],$A1536,T_SelfStock[WeekIndex],83),"")</f>
        <v/>
      </c>
      <c r="CJ1549">
        <f>IFERROR(SUMIFS(T_SelfStock[Self_Qty],T_SelfStock[RM_Code],$A1536,T_SelfStock[WeekIndex],84),"")</f>
        <v/>
      </c>
      <c r="CK1549">
        <f>IFERROR(SUMIFS(T_SelfStock[Self_Qty],T_SelfStock[RM_Code],$A1536,T_SelfStock[WeekIndex],85),"")</f>
        <v/>
      </c>
      <c r="CL1549">
        <f>IFERROR(SUMIFS(T_SelfStock[Self_Qty],T_SelfStock[RM_Code],$A1536,T_SelfStock[WeekIndex],86),"")</f>
        <v/>
      </c>
      <c r="CM1549">
        <f>IFERROR(SUMIFS(T_SelfStock[Self_Qty],T_SelfStock[RM_Code],$A1536,T_SelfStock[WeekIndex],87),"")</f>
        <v/>
      </c>
      <c r="CN1549">
        <f>IFERROR(SUMIFS(T_SelfStock[Self_Qty],T_SelfStock[RM_Code],$A1536,T_SelfStock[WeekIndex],88),"")</f>
        <v/>
      </c>
      <c r="CO1549">
        <f>IFERROR(SUMIFS(T_SelfStock[Self_Qty],T_SelfStock[RM_Code],$A1536,T_SelfStock[WeekIndex],89),"")</f>
        <v/>
      </c>
      <c r="CP1549">
        <f>IFERROR(SUMIFS(T_SelfStock[Self_Qty],T_SelfStock[RM_Code],$A1536,T_SelfStock[WeekIndex],90),"")</f>
        <v/>
      </c>
      <c r="CQ1549">
        <f>IFERROR(SUMIFS(T_SelfStock[Self_Qty],T_SelfStock[RM_Code],$A1536,T_SelfStock[WeekIndex],91),"")</f>
        <v/>
      </c>
      <c r="CR1549">
        <f>IFERROR(SUMIFS(T_SelfStock[Self_Qty],T_SelfStock[RM_Code],$A1536,T_SelfStock[WeekIndex],92),"")</f>
        <v/>
      </c>
      <c r="CS1549">
        <f>IFERROR(SUMIFS(T_SelfStock[Self_Qty],T_SelfStock[RM_Code],$A1536,T_SelfStock[WeekIndex],93),"")</f>
        <v/>
      </c>
      <c r="CT1549">
        <f>IFERROR(SUMIFS(T_SelfStock[Self_Qty],T_SelfStock[RM_Code],$A1536,T_SelfStock[WeekIndex],94),"")</f>
        <v/>
      </c>
      <c r="CU1549">
        <f>IFERROR(SUMIFS(T_SelfStock[Self_Qty],T_SelfStock[RM_Code],$A1536,T_SelfStock[WeekIndex],95),"")</f>
        <v/>
      </c>
      <c r="CV1549">
        <f>IFERROR(SUMIFS(T_SelfStock[Self_Qty],T_SelfStock[RM_Code],$A1536,T_SelfStock[WeekIndex],96),"")</f>
        <v/>
      </c>
      <c r="CW1549">
        <f>IFERROR(SUMIFS(T_SelfStock[Self_Qty],T_SelfStock[RM_Code],$A1536,T_SelfStock[WeekIndex],97),"")</f>
        <v/>
      </c>
      <c r="CX1549">
        <f>IFERROR(SUMIFS(T_SelfStock[Self_Qty],T_SelfStock[RM_Code],$A1536,T_SelfStock[WeekIndex],98),"")</f>
        <v/>
      </c>
      <c r="CY1549">
        <f>IFERROR(SUMIFS(T_SelfStock[Self_Qty],T_SelfStock[RM_Code],$A1536,T_SelfStock[WeekIndex],99),"")</f>
        <v/>
      </c>
      <c r="CZ1549">
        <f>IFERROR(SUMIFS(T_SelfStock[Self_Qty],T_SelfStock[RM_Code],$A1536,T_SelfStock[WeekIndex],100),"")</f>
        <v/>
      </c>
      <c r="DA1549">
        <f>IFERROR(SUMIFS(T_SelfStock[Self_Qty],T_SelfStock[RM_Code],$A1536,T_SelfStock[WeekIndex],101),"")</f>
        <v/>
      </c>
      <c r="DB1549">
        <f>IFERROR(SUMIFS(T_SelfStock[Self_Qty],T_SelfStock[RM_Code],$A1536,T_SelfStock[WeekIndex],102),"")</f>
        <v/>
      </c>
      <c r="DC1549">
        <f>IFERROR(SUMIFS(T_SelfStock[Self_Qty],T_SelfStock[RM_Code],$A1536,T_SelfStock[WeekIndex],103),"")</f>
        <v/>
      </c>
      <c r="DD1549">
        <f>IFERROR(SUMIFS(T_SelfStock[Self_Qty],T_SelfStock[RM_Code],$A1536,T_SelfStock[WeekIndex],104),"")</f>
        <v/>
      </c>
    </row>
    <row r="1550">
      <c r="B1550" s="4" t="inlineStr">
        <is>
          <t>合計在庫(週末時点,kg)</t>
        </is>
      </c>
      <c r="D1550" s="24">
        <f>IFERROR(INDEX(E1550:DD1550,$F$1),"")</f>
        <v/>
      </c>
      <c r="E1550">
        <f>'Grid_Stock'!B88</f>
        <v/>
      </c>
      <c r="F1550">
        <f>'Grid_Stock'!C88</f>
        <v/>
      </c>
      <c r="G1550">
        <f>'Grid_Stock'!D88</f>
        <v/>
      </c>
      <c r="H1550">
        <f>'Grid_Stock'!E88</f>
        <v/>
      </c>
      <c r="I1550">
        <f>'Grid_Stock'!F88</f>
        <v/>
      </c>
      <c r="J1550">
        <f>'Grid_Stock'!G88</f>
        <v/>
      </c>
      <c r="K1550">
        <f>'Grid_Stock'!H88</f>
        <v/>
      </c>
      <c r="L1550">
        <f>'Grid_Stock'!I88</f>
        <v/>
      </c>
      <c r="M1550">
        <f>'Grid_Stock'!J88</f>
        <v/>
      </c>
      <c r="N1550">
        <f>'Grid_Stock'!K88</f>
        <v/>
      </c>
      <c r="O1550">
        <f>'Grid_Stock'!L88</f>
        <v/>
      </c>
      <c r="P1550">
        <f>'Grid_Stock'!M88</f>
        <v/>
      </c>
      <c r="Q1550">
        <f>'Grid_Stock'!N88</f>
        <v/>
      </c>
      <c r="R1550">
        <f>'Grid_Stock'!O88</f>
        <v/>
      </c>
      <c r="S1550">
        <f>'Grid_Stock'!P88</f>
        <v/>
      </c>
      <c r="T1550">
        <f>'Grid_Stock'!Q88</f>
        <v/>
      </c>
      <c r="U1550">
        <f>'Grid_Stock'!R88</f>
        <v/>
      </c>
      <c r="V1550">
        <f>'Grid_Stock'!S88</f>
        <v/>
      </c>
      <c r="W1550">
        <f>'Grid_Stock'!T88</f>
        <v/>
      </c>
      <c r="X1550">
        <f>'Grid_Stock'!U88</f>
        <v/>
      </c>
      <c r="Y1550">
        <f>'Grid_Stock'!V88</f>
        <v/>
      </c>
      <c r="Z1550">
        <f>'Grid_Stock'!W88</f>
        <v/>
      </c>
      <c r="AA1550">
        <f>'Grid_Stock'!X88</f>
        <v/>
      </c>
      <c r="AB1550">
        <f>'Grid_Stock'!Y88</f>
        <v/>
      </c>
      <c r="AC1550">
        <f>'Grid_Stock'!Z88</f>
        <v/>
      </c>
      <c r="AD1550">
        <f>'Grid_Stock'!AA88</f>
        <v/>
      </c>
      <c r="AE1550">
        <f>'Grid_Stock'!AB88</f>
        <v/>
      </c>
      <c r="AF1550">
        <f>'Grid_Stock'!AC88</f>
        <v/>
      </c>
      <c r="AG1550">
        <f>'Grid_Stock'!AD88</f>
        <v/>
      </c>
      <c r="AH1550">
        <f>'Grid_Stock'!AE88</f>
        <v/>
      </c>
      <c r="AI1550">
        <f>'Grid_Stock'!AF88</f>
        <v/>
      </c>
      <c r="AJ1550">
        <f>'Grid_Stock'!AG88</f>
        <v/>
      </c>
      <c r="AK1550">
        <f>'Grid_Stock'!AH88</f>
        <v/>
      </c>
      <c r="AL1550">
        <f>'Grid_Stock'!AI88</f>
        <v/>
      </c>
      <c r="AM1550">
        <f>'Grid_Stock'!AJ88</f>
        <v/>
      </c>
      <c r="AN1550">
        <f>'Grid_Stock'!AK88</f>
        <v/>
      </c>
      <c r="AO1550">
        <f>'Grid_Stock'!AL88</f>
        <v/>
      </c>
      <c r="AP1550">
        <f>'Grid_Stock'!AM88</f>
        <v/>
      </c>
      <c r="AQ1550">
        <f>'Grid_Stock'!AN88</f>
        <v/>
      </c>
      <c r="AR1550">
        <f>'Grid_Stock'!AO88</f>
        <v/>
      </c>
      <c r="AS1550">
        <f>'Grid_Stock'!AP88</f>
        <v/>
      </c>
      <c r="AT1550">
        <f>'Grid_Stock'!AQ88</f>
        <v/>
      </c>
      <c r="AU1550">
        <f>'Grid_Stock'!AR88</f>
        <v/>
      </c>
      <c r="AV1550">
        <f>'Grid_Stock'!AS88</f>
        <v/>
      </c>
      <c r="AW1550">
        <f>'Grid_Stock'!AT88</f>
        <v/>
      </c>
      <c r="AX1550">
        <f>'Grid_Stock'!AU88</f>
        <v/>
      </c>
      <c r="AY1550">
        <f>'Grid_Stock'!AV88</f>
        <v/>
      </c>
      <c r="AZ1550">
        <f>'Grid_Stock'!AW88</f>
        <v/>
      </c>
      <c r="BA1550">
        <f>'Grid_Stock'!AX88</f>
        <v/>
      </c>
      <c r="BB1550">
        <f>'Grid_Stock'!AY88</f>
        <v/>
      </c>
      <c r="BC1550">
        <f>'Grid_Stock'!AZ88</f>
        <v/>
      </c>
      <c r="BD1550">
        <f>'Grid_Stock'!BA88</f>
        <v/>
      </c>
      <c r="BE1550">
        <f>'Grid_Stock'!BB88</f>
        <v/>
      </c>
      <c r="BF1550">
        <f>'Grid_Stock'!BC88</f>
        <v/>
      </c>
      <c r="BG1550">
        <f>'Grid_Stock'!BD88</f>
        <v/>
      </c>
      <c r="BH1550">
        <f>'Grid_Stock'!BE88</f>
        <v/>
      </c>
      <c r="BI1550">
        <f>'Grid_Stock'!BF88</f>
        <v/>
      </c>
      <c r="BJ1550">
        <f>'Grid_Stock'!BG88</f>
        <v/>
      </c>
      <c r="BK1550">
        <f>'Grid_Stock'!BH88</f>
        <v/>
      </c>
      <c r="BL1550">
        <f>'Grid_Stock'!BI88</f>
        <v/>
      </c>
      <c r="BM1550">
        <f>'Grid_Stock'!BJ88</f>
        <v/>
      </c>
      <c r="BN1550">
        <f>'Grid_Stock'!BK88</f>
        <v/>
      </c>
      <c r="BO1550">
        <f>'Grid_Stock'!BL88</f>
        <v/>
      </c>
      <c r="BP1550">
        <f>'Grid_Stock'!BM88</f>
        <v/>
      </c>
      <c r="BQ1550">
        <f>'Grid_Stock'!BN88</f>
        <v/>
      </c>
      <c r="BR1550">
        <f>'Grid_Stock'!BO88</f>
        <v/>
      </c>
      <c r="BS1550">
        <f>'Grid_Stock'!BP88</f>
        <v/>
      </c>
      <c r="BT1550">
        <f>'Grid_Stock'!BQ88</f>
        <v/>
      </c>
      <c r="BU1550">
        <f>'Grid_Stock'!BR88</f>
        <v/>
      </c>
      <c r="BV1550">
        <f>'Grid_Stock'!BS88</f>
        <v/>
      </c>
      <c r="BW1550">
        <f>'Grid_Stock'!BT88</f>
        <v/>
      </c>
      <c r="BX1550">
        <f>'Grid_Stock'!BU88</f>
        <v/>
      </c>
      <c r="BY1550">
        <f>'Grid_Stock'!BV88</f>
        <v/>
      </c>
      <c r="BZ1550">
        <f>'Grid_Stock'!BW88</f>
        <v/>
      </c>
      <c r="CA1550">
        <f>'Grid_Stock'!BX88</f>
        <v/>
      </c>
      <c r="CB1550">
        <f>'Grid_Stock'!BY88</f>
        <v/>
      </c>
      <c r="CC1550">
        <f>'Grid_Stock'!BZ88</f>
        <v/>
      </c>
      <c r="CD1550">
        <f>'Grid_Stock'!CA88</f>
        <v/>
      </c>
      <c r="CE1550">
        <f>'Grid_Stock'!CB88</f>
        <v/>
      </c>
      <c r="CF1550">
        <f>'Grid_Stock'!CC88</f>
        <v/>
      </c>
      <c r="CG1550">
        <f>'Grid_Stock'!CD88</f>
        <v/>
      </c>
      <c r="CH1550">
        <f>'Grid_Stock'!CE88</f>
        <v/>
      </c>
      <c r="CI1550">
        <f>'Grid_Stock'!CF88</f>
        <v/>
      </c>
      <c r="CJ1550">
        <f>'Grid_Stock'!CG88</f>
        <v/>
      </c>
      <c r="CK1550">
        <f>'Grid_Stock'!CH88</f>
        <v/>
      </c>
      <c r="CL1550">
        <f>'Grid_Stock'!CI88</f>
        <v/>
      </c>
      <c r="CM1550">
        <f>'Grid_Stock'!CJ88</f>
        <v/>
      </c>
      <c r="CN1550">
        <f>'Grid_Stock'!CK88</f>
        <v/>
      </c>
      <c r="CO1550">
        <f>'Grid_Stock'!CL88</f>
        <v/>
      </c>
      <c r="CP1550">
        <f>'Grid_Stock'!CM88</f>
        <v/>
      </c>
      <c r="CQ1550">
        <f>'Grid_Stock'!CN88</f>
        <v/>
      </c>
      <c r="CR1550">
        <f>'Grid_Stock'!CO88</f>
        <v/>
      </c>
      <c r="CS1550">
        <f>'Grid_Stock'!CP88</f>
        <v/>
      </c>
      <c r="CT1550">
        <f>'Grid_Stock'!CQ88</f>
        <v/>
      </c>
      <c r="CU1550">
        <f>'Grid_Stock'!CR88</f>
        <v/>
      </c>
      <c r="CV1550">
        <f>'Grid_Stock'!CS88</f>
        <v/>
      </c>
      <c r="CW1550">
        <f>'Grid_Stock'!CT88</f>
        <v/>
      </c>
      <c r="CX1550">
        <f>'Grid_Stock'!CU88</f>
        <v/>
      </c>
      <c r="CY1550">
        <f>'Grid_Stock'!CV88</f>
        <v/>
      </c>
      <c r="CZ1550">
        <f>'Grid_Stock'!CW88</f>
        <v/>
      </c>
      <c r="DA1550">
        <f>'Grid_Stock'!CX88</f>
        <v/>
      </c>
      <c r="DB1550">
        <f>'Grid_Stock'!CY88</f>
        <v/>
      </c>
      <c r="DC1550">
        <f>'Grid_Stock'!CZ88</f>
        <v/>
      </c>
      <c r="DD1550">
        <f>'Grid_Stock'!DA88</f>
        <v/>
      </c>
    </row>
    <row r="1551">
      <c r="B1551" s="25" t="inlineStr">
        <is>
          <t>（発注の目安はDashboardの基準在庫[下限/上限]と色分けを参照）</t>
        </is>
      </c>
    </row>
    <row r="1553">
      <c r="A1553" s="21" t="inlineStr">
        <is>
          <t>CHEM-1760</t>
        </is>
      </c>
      <c r="B1553" s="21" t="inlineStr">
        <is>
          <t>Pigment(TC RED FD(A))</t>
        </is>
      </c>
      <c r="C1553" s="22" t="n"/>
      <c r="D1553" s="21" t="n"/>
      <c r="E1553" s="21" t="n"/>
      <c r="F1553" s="21" t="n"/>
      <c r="G1553" s="21" t="n"/>
      <c r="H1553" s="21" t="n"/>
      <c r="I1553" s="21" t="n"/>
      <c r="J1553" s="21" t="n"/>
      <c r="K1553" s="21" t="n"/>
      <c r="L1553" s="21" t="n"/>
      <c r="M1553" s="21" t="n"/>
      <c r="N1553" s="21" t="n"/>
      <c r="O1553" s="21" t="n"/>
      <c r="P1553" s="21" t="n"/>
      <c r="Q1553" s="21" t="n"/>
      <c r="R1553" s="21" t="n"/>
      <c r="S1553" s="21" t="n"/>
      <c r="T1553" s="21" t="n"/>
      <c r="U1553" s="21" t="n"/>
      <c r="V1553" s="21" t="n"/>
      <c r="W1553" s="21" t="n"/>
      <c r="X1553" s="21" t="n"/>
      <c r="Y1553" s="21" t="n"/>
      <c r="Z1553" s="21" t="n"/>
      <c r="AA1553" s="21" t="n"/>
      <c r="AB1553" s="21" t="n"/>
      <c r="AC1553" s="21" t="n"/>
      <c r="AD1553" s="21" t="n"/>
      <c r="AE1553" s="21" t="n"/>
      <c r="AF1553" s="21" t="n"/>
      <c r="AG1553" s="21" t="n"/>
      <c r="AH1553" s="21" t="n"/>
      <c r="AI1553" s="21" t="n"/>
      <c r="AJ1553" s="21" t="n"/>
      <c r="AK1553" s="21" t="n"/>
      <c r="AL1553" s="21" t="n"/>
      <c r="AM1553" s="21" t="n"/>
      <c r="AN1553" s="21" t="n"/>
      <c r="AO1553" s="21" t="n"/>
      <c r="AP1553" s="21" t="n"/>
      <c r="AQ1553" s="21" t="n"/>
      <c r="AR1553" s="21" t="n"/>
      <c r="AS1553" s="21" t="n"/>
      <c r="AT1553" s="21" t="n"/>
      <c r="AU1553" s="21" t="n"/>
      <c r="AV1553" s="21" t="n"/>
      <c r="AW1553" s="21" t="n"/>
      <c r="AX1553" s="21" t="n"/>
      <c r="AY1553" s="21" t="n"/>
      <c r="AZ1553" s="21" t="n"/>
      <c r="BA1553" s="21" t="n"/>
      <c r="BB1553" s="21" t="n"/>
      <c r="BC1553" s="21" t="n"/>
      <c r="BD1553" s="21" t="n"/>
      <c r="BE1553" s="21" t="n"/>
      <c r="BF1553" s="21" t="n"/>
      <c r="BG1553" s="21" t="n"/>
      <c r="BH1553" s="21" t="n"/>
      <c r="BI1553" s="21" t="n"/>
      <c r="BJ1553" s="21" t="n"/>
      <c r="BK1553" s="21" t="n"/>
      <c r="BL1553" s="21" t="n"/>
      <c r="BM1553" s="21" t="n"/>
      <c r="BN1553" s="21" t="n"/>
      <c r="BO1553" s="21" t="n"/>
      <c r="BP1553" s="21" t="n"/>
      <c r="BQ1553" s="21" t="n"/>
      <c r="BR1553" s="21" t="n"/>
      <c r="BS1553" s="21" t="n"/>
      <c r="BT1553" s="21" t="n"/>
      <c r="BU1553" s="21" t="n"/>
      <c r="BV1553" s="21" t="n"/>
      <c r="BW1553" s="21" t="n"/>
      <c r="BX1553" s="21" t="n"/>
      <c r="BY1553" s="21" t="n"/>
      <c r="BZ1553" s="21" t="n"/>
      <c r="CA1553" s="21" t="n"/>
      <c r="CB1553" s="21" t="n"/>
      <c r="CC1553" s="21" t="n"/>
      <c r="CD1553" s="21" t="n"/>
      <c r="CE1553" s="21" t="n"/>
      <c r="CF1553" s="21" t="n"/>
      <c r="CG1553" s="21" t="n"/>
      <c r="CH1553" s="21" t="n"/>
      <c r="CI1553" s="21" t="n"/>
      <c r="CJ1553" s="21" t="n"/>
      <c r="CK1553" s="21" t="n"/>
      <c r="CL1553" s="21" t="n"/>
      <c r="CM1553" s="21" t="n"/>
      <c r="CN1553" s="21" t="n"/>
      <c r="CO1553" s="21" t="n"/>
      <c r="CP1553" s="21" t="n"/>
      <c r="CQ1553" s="21" t="n"/>
      <c r="CR1553" s="21" t="n"/>
      <c r="CS1553" s="21" t="n"/>
      <c r="CT1553" s="21" t="n"/>
      <c r="CU1553" s="21" t="n"/>
      <c r="CV1553" s="21" t="n"/>
      <c r="CW1553" s="21" t="n"/>
      <c r="CX1553" s="21" t="n"/>
      <c r="CY1553" s="21" t="n"/>
      <c r="CZ1553" s="21" t="n"/>
      <c r="DA1553" s="21" t="n"/>
      <c r="DB1553" s="21" t="n"/>
      <c r="DC1553" s="21" t="n"/>
      <c r="DD1553" s="21" t="n"/>
    </row>
    <row r="1554">
      <c r="B1554" t="inlineStr">
        <is>
          <t>TVS-833</t>
        </is>
      </c>
      <c r="C1554" t="inlineStr">
        <is>
          <t>No. of batches</t>
        </is>
      </c>
      <c r="D1554">
        <f>IFERROR(INDEX(E1554:DD1554,$F$1),"")</f>
        <v/>
      </c>
      <c r="E1554">
        <f>IFERROR(INDEX(PP_Grid[#Data],$DE1554,2),0)</f>
        <v/>
      </c>
      <c r="F1554">
        <f>IFERROR(INDEX(PP_Grid[#Data],$DE1554,3),0)</f>
        <v/>
      </c>
      <c r="G1554">
        <f>IFERROR(INDEX(PP_Grid[#Data],$DE1554,4),0)</f>
        <v/>
      </c>
      <c r="H1554">
        <f>IFERROR(INDEX(PP_Grid[#Data],$DE1554,5),0)</f>
        <v/>
      </c>
      <c r="I1554">
        <f>IFERROR(INDEX(PP_Grid[#Data],$DE1554,6),0)</f>
        <v/>
      </c>
      <c r="J1554">
        <f>IFERROR(INDEX(PP_Grid[#Data],$DE1554,7),0)</f>
        <v/>
      </c>
      <c r="K1554">
        <f>IFERROR(INDEX(PP_Grid[#Data],$DE1554,8),0)</f>
        <v/>
      </c>
      <c r="L1554">
        <f>IFERROR(INDEX(PP_Grid[#Data],$DE1554,9),0)</f>
        <v/>
      </c>
      <c r="M1554">
        <f>IFERROR(INDEX(PP_Grid[#Data],$DE1554,10),0)</f>
        <v/>
      </c>
      <c r="N1554">
        <f>IFERROR(INDEX(PP_Grid[#Data],$DE1554,11),0)</f>
        <v/>
      </c>
      <c r="O1554">
        <f>IFERROR(INDEX(PP_Grid[#Data],$DE1554,12),0)</f>
        <v/>
      </c>
      <c r="P1554">
        <f>IFERROR(INDEX(PP_Grid[#Data],$DE1554,13),0)</f>
        <v/>
      </c>
      <c r="Q1554">
        <f>IFERROR(INDEX(PP_Grid[#Data],$DE1554,14),0)</f>
        <v/>
      </c>
      <c r="R1554">
        <f>IFERROR(INDEX(PP_Grid[#Data],$DE1554,15),0)</f>
        <v/>
      </c>
      <c r="S1554">
        <f>IFERROR(INDEX(PP_Grid[#Data],$DE1554,16),0)</f>
        <v/>
      </c>
      <c r="T1554">
        <f>IFERROR(INDEX(PP_Grid[#Data],$DE1554,17),0)</f>
        <v/>
      </c>
      <c r="U1554">
        <f>IFERROR(INDEX(PP_Grid[#Data],$DE1554,18),0)</f>
        <v/>
      </c>
      <c r="V1554">
        <f>IFERROR(INDEX(PP_Grid[#Data],$DE1554,19),0)</f>
        <v/>
      </c>
      <c r="W1554">
        <f>IFERROR(INDEX(PP_Grid[#Data],$DE1554,20),0)</f>
        <v/>
      </c>
      <c r="X1554">
        <f>IFERROR(INDEX(PP_Grid[#Data],$DE1554,21),0)</f>
        <v/>
      </c>
      <c r="Y1554">
        <f>IFERROR(INDEX(PP_Grid[#Data],$DE1554,22),0)</f>
        <v/>
      </c>
      <c r="Z1554">
        <f>IFERROR(INDEX(PP_Grid[#Data],$DE1554,23),0)</f>
        <v/>
      </c>
      <c r="AA1554">
        <f>IFERROR(INDEX(PP_Grid[#Data],$DE1554,24),0)</f>
        <v/>
      </c>
      <c r="AB1554">
        <f>IFERROR(INDEX(PP_Grid[#Data],$DE1554,25),0)</f>
        <v/>
      </c>
      <c r="AC1554">
        <f>IFERROR(INDEX(PP_Grid[#Data],$DE1554,26),0)</f>
        <v/>
      </c>
      <c r="AD1554">
        <f>IFERROR(INDEX(PP_Grid[#Data],$DE1554,27),0)</f>
        <v/>
      </c>
      <c r="AE1554">
        <f>IFERROR(INDEX(PP_Grid[#Data],$DE1554,28),0)</f>
        <v/>
      </c>
      <c r="AF1554">
        <f>IFERROR(INDEX(PP_Grid[#Data],$DE1554,29),0)</f>
        <v/>
      </c>
      <c r="AG1554">
        <f>IFERROR(INDEX(PP_Grid[#Data],$DE1554,30),0)</f>
        <v/>
      </c>
      <c r="AH1554">
        <f>IFERROR(INDEX(PP_Grid[#Data],$DE1554,31),0)</f>
        <v/>
      </c>
      <c r="AI1554">
        <f>IFERROR(INDEX(PP_Grid[#Data],$DE1554,32),0)</f>
        <v/>
      </c>
      <c r="AJ1554">
        <f>IFERROR(INDEX(PP_Grid[#Data],$DE1554,33),0)</f>
        <v/>
      </c>
      <c r="AK1554">
        <f>IFERROR(INDEX(PP_Grid[#Data],$DE1554,34),0)</f>
        <v/>
      </c>
      <c r="AL1554">
        <f>IFERROR(INDEX(PP_Grid[#Data],$DE1554,35),0)</f>
        <v/>
      </c>
      <c r="AM1554">
        <f>IFERROR(INDEX(PP_Grid[#Data],$DE1554,36),0)</f>
        <v/>
      </c>
      <c r="AN1554">
        <f>IFERROR(INDEX(PP_Grid[#Data],$DE1554,37),0)</f>
        <v/>
      </c>
      <c r="AO1554">
        <f>IFERROR(INDEX(PP_Grid[#Data],$DE1554,38),0)</f>
        <v/>
      </c>
      <c r="AP1554">
        <f>IFERROR(INDEX(PP_Grid[#Data],$DE1554,39),0)</f>
        <v/>
      </c>
      <c r="AQ1554">
        <f>IFERROR(INDEX(PP_Grid[#Data],$DE1554,40),0)</f>
        <v/>
      </c>
      <c r="AR1554">
        <f>IFERROR(INDEX(PP_Grid[#Data],$DE1554,41),0)</f>
        <v/>
      </c>
      <c r="AS1554">
        <f>IFERROR(INDEX(PP_Grid[#Data],$DE1554,42),0)</f>
        <v/>
      </c>
      <c r="AT1554">
        <f>IFERROR(INDEX(PP_Grid[#Data],$DE1554,43),0)</f>
        <v/>
      </c>
      <c r="AU1554">
        <f>IFERROR(INDEX(PP_Grid[#Data],$DE1554,44),0)</f>
        <v/>
      </c>
      <c r="AV1554">
        <f>IFERROR(INDEX(PP_Grid[#Data],$DE1554,45),0)</f>
        <v/>
      </c>
      <c r="AW1554">
        <f>IFERROR(INDEX(PP_Grid[#Data],$DE1554,46),0)</f>
        <v/>
      </c>
      <c r="AX1554">
        <f>IFERROR(INDEX(PP_Grid[#Data],$DE1554,47),0)</f>
        <v/>
      </c>
      <c r="AY1554">
        <f>IFERROR(INDEX(PP_Grid[#Data],$DE1554,48),0)</f>
        <v/>
      </c>
      <c r="AZ1554">
        <f>IFERROR(INDEX(PP_Grid[#Data],$DE1554,49),0)</f>
        <v/>
      </c>
      <c r="BA1554">
        <f>IFERROR(INDEX(PP_Grid[#Data],$DE1554,50),0)</f>
        <v/>
      </c>
      <c r="BB1554">
        <f>IFERROR(INDEX(PP_Grid[#Data],$DE1554,51),0)</f>
        <v/>
      </c>
      <c r="BC1554">
        <f>IFERROR(INDEX(PP_Grid[#Data],$DE1554,52),0)</f>
        <v/>
      </c>
      <c r="BD1554">
        <f>IFERROR(INDEX(PP_Grid[#Data],$DE1554,53),0)</f>
        <v/>
      </c>
      <c r="BE1554">
        <f>IFERROR(INDEX(PP_Grid[#Data],$DE1554,54),0)</f>
        <v/>
      </c>
      <c r="BF1554">
        <f>IFERROR(INDEX(PP_Grid[#Data],$DE1554,55),0)</f>
        <v/>
      </c>
      <c r="BG1554">
        <f>IFERROR(INDEX(PP_Grid[#Data],$DE1554,56),0)</f>
        <v/>
      </c>
      <c r="BH1554">
        <f>IFERROR(INDEX(PP_Grid[#Data],$DE1554,57),0)</f>
        <v/>
      </c>
      <c r="BI1554">
        <f>IFERROR(INDEX(PP_Grid[#Data],$DE1554,58),0)</f>
        <v/>
      </c>
      <c r="BJ1554">
        <f>IFERROR(INDEX(PP_Grid[#Data],$DE1554,59),0)</f>
        <v/>
      </c>
      <c r="BK1554">
        <f>IFERROR(INDEX(PP_Grid[#Data],$DE1554,60),0)</f>
        <v/>
      </c>
      <c r="BL1554">
        <f>IFERROR(INDEX(PP_Grid[#Data],$DE1554,61),0)</f>
        <v/>
      </c>
      <c r="BM1554">
        <f>IFERROR(INDEX(PP_Grid[#Data],$DE1554,62),0)</f>
        <v/>
      </c>
      <c r="BN1554">
        <f>IFERROR(INDEX(PP_Grid[#Data],$DE1554,63),0)</f>
        <v/>
      </c>
      <c r="BO1554">
        <f>IFERROR(INDEX(PP_Grid[#Data],$DE1554,64),0)</f>
        <v/>
      </c>
      <c r="BP1554">
        <f>IFERROR(INDEX(PP_Grid[#Data],$DE1554,65),0)</f>
        <v/>
      </c>
      <c r="BQ1554">
        <f>IFERROR(INDEX(PP_Grid[#Data],$DE1554,66),0)</f>
        <v/>
      </c>
      <c r="BR1554">
        <f>IFERROR(INDEX(PP_Grid[#Data],$DE1554,67),0)</f>
        <v/>
      </c>
      <c r="BS1554">
        <f>IFERROR(INDEX(PP_Grid[#Data],$DE1554,68),0)</f>
        <v/>
      </c>
      <c r="BT1554">
        <f>IFERROR(INDEX(PP_Grid[#Data],$DE1554,69),0)</f>
        <v/>
      </c>
      <c r="BU1554">
        <f>IFERROR(INDEX(PP_Grid[#Data],$DE1554,70),0)</f>
        <v/>
      </c>
      <c r="BV1554">
        <f>IFERROR(INDEX(PP_Grid[#Data],$DE1554,71),0)</f>
        <v/>
      </c>
      <c r="BW1554">
        <f>IFERROR(INDEX(PP_Grid[#Data],$DE1554,72),0)</f>
        <v/>
      </c>
      <c r="BX1554">
        <f>IFERROR(INDEX(PP_Grid[#Data],$DE1554,73),0)</f>
        <v/>
      </c>
      <c r="BY1554">
        <f>IFERROR(INDEX(PP_Grid[#Data],$DE1554,74),0)</f>
        <v/>
      </c>
      <c r="BZ1554">
        <f>IFERROR(INDEX(PP_Grid[#Data],$DE1554,75),0)</f>
        <v/>
      </c>
      <c r="CA1554">
        <f>IFERROR(INDEX(PP_Grid[#Data],$DE1554,76),0)</f>
        <v/>
      </c>
      <c r="CB1554">
        <f>IFERROR(INDEX(PP_Grid[#Data],$DE1554,77),0)</f>
        <v/>
      </c>
      <c r="CC1554">
        <f>IFERROR(INDEX(PP_Grid[#Data],$DE1554,78),0)</f>
        <v/>
      </c>
      <c r="CD1554">
        <f>IFERROR(INDEX(PP_Grid[#Data],$DE1554,79),0)</f>
        <v/>
      </c>
      <c r="CE1554">
        <f>IFERROR(INDEX(PP_Grid[#Data],$DE1554,80),0)</f>
        <v/>
      </c>
      <c r="CF1554">
        <f>IFERROR(INDEX(PP_Grid[#Data],$DE1554,81),0)</f>
        <v/>
      </c>
      <c r="CG1554">
        <f>IFERROR(INDEX(PP_Grid[#Data],$DE1554,82),0)</f>
        <v/>
      </c>
      <c r="CH1554">
        <f>IFERROR(INDEX(PP_Grid[#Data],$DE1554,83),0)</f>
        <v/>
      </c>
      <c r="CI1554">
        <f>IFERROR(INDEX(PP_Grid[#Data],$DE1554,84),0)</f>
        <v/>
      </c>
      <c r="CJ1554">
        <f>IFERROR(INDEX(PP_Grid[#Data],$DE1554,85),0)</f>
        <v/>
      </c>
      <c r="CK1554">
        <f>IFERROR(INDEX(PP_Grid[#Data],$DE1554,86),0)</f>
        <v/>
      </c>
      <c r="CL1554">
        <f>IFERROR(INDEX(PP_Grid[#Data],$DE1554,87),0)</f>
        <v/>
      </c>
      <c r="CM1554">
        <f>IFERROR(INDEX(PP_Grid[#Data],$DE1554,88),0)</f>
        <v/>
      </c>
      <c r="CN1554">
        <f>IFERROR(INDEX(PP_Grid[#Data],$DE1554,89),0)</f>
        <v/>
      </c>
      <c r="CO1554">
        <f>IFERROR(INDEX(PP_Grid[#Data],$DE1554,90),0)</f>
        <v/>
      </c>
      <c r="CP1554">
        <f>IFERROR(INDEX(PP_Grid[#Data],$DE1554,91),0)</f>
        <v/>
      </c>
      <c r="CQ1554">
        <f>IFERROR(INDEX(PP_Grid[#Data],$DE1554,92),0)</f>
        <v/>
      </c>
      <c r="CR1554">
        <f>IFERROR(INDEX(PP_Grid[#Data],$DE1554,93),0)</f>
        <v/>
      </c>
      <c r="CS1554">
        <f>IFERROR(INDEX(PP_Grid[#Data],$DE1554,94),0)</f>
        <v/>
      </c>
      <c r="CT1554">
        <f>IFERROR(INDEX(PP_Grid[#Data],$DE1554,95),0)</f>
        <v/>
      </c>
      <c r="CU1554">
        <f>IFERROR(INDEX(PP_Grid[#Data],$DE1554,96),0)</f>
        <v/>
      </c>
      <c r="CV1554">
        <f>IFERROR(INDEX(PP_Grid[#Data],$DE1554,97),0)</f>
        <v/>
      </c>
      <c r="CW1554">
        <f>IFERROR(INDEX(PP_Grid[#Data],$DE1554,98),0)</f>
        <v/>
      </c>
      <c r="CX1554">
        <f>IFERROR(INDEX(PP_Grid[#Data],$DE1554,99),0)</f>
        <v/>
      </c>
      <c r="CY1554">
        <f>IFERROR(INDEX(PP_Grid[#Data],$DE1554,100),0)</f>
        <v/>
      </c>
      <c r="CZ1554">
        <f>IFERROR(INDEX(PP_Grid[#Data],$DE1554,101),0)</f>
        <v/>
      </c>
      <c r="DA1554">
        <f>IFERROR(INDEX(PP_Grid[#Data],$DE1554,102),0)</f>
        <v/>
      </c>
      <c r="DB1554">
        <f>IFERROR(INDEX(PP_Grid[#Data],$DE1554,103),0)</f>
        <v/>
      </c>
      <c r="DC1554">
        <f>IFERROR(INDEX(PP_Grid[#Data],$DE1554,104),0)</f>
        <v/>
      </c>
      <c r="DD1554">
        <f>IFERROR(INDEX(PP_Grid[#Data],$DE1554,105),0)</f>
        <v/>
      </c>
      <c r="DE1554" s="7">
        <f>IFERROR(MATCH($B1554,PP_Grid[Intermediate],0),99999)</f>
        <v/>
      </c>
    </row>
    <row r="1555">
      <c r="B1555" t="inlineStr">
        <is>
          <t>使用量(kg)</t>
        </is>
      </c>
      <c r="C1555">
        <f>SUMIFS(M_BOM[RM_Qty_Per_Batch],M_BOM[Intermediate],$B1554,M_BOM[RM_Code],$A1553)</f>
        <v/>
      </c>
      <c r="D1555">
        <f>IFERROR(INDEX(E1555:DD1555,$F$1),"")</f>
        <v/>
      </c>
      <c r="E1555">
        <f>$C1555*E1554</f>
        <v/>
      </c>
      <c r="F1555">
        <f>$C1555*F1554</f>
        <v/>
      </c>
      <c r="G1555">
        <f>$C1555*G1554</f>
        <v/>
      </c>
      <c r="H1555">
        <f>$C1555*H1554</f>
        <v/>
      </c>
      <c r="I1555">
        <f>$C1555*I1554</f>
        <v/>
      </c>
      <c r="J1555">
        <f>$C1555*J1554</f>
        <v/>
      </c>
      <c r="K1555">
        <f>$C1555*K1554</f>
        <v/>
      </c>
      <c r="L1555">
        <f>$C1555*L1554</f>
        <v/>
      </c>
      <c r="M1555">
        <f>$C1555*M1554</f>
        <v/>
      </c>
      <c r="N1555">
        <f>$C1555*N1554</f>
        <v/>
      </c>
      <c r="O1555">
        <f>$C1555*O1554</f>
        <v/>
      </c>
      <c r="P1555">
        <f>$C1555*P1554</f>
        <v/>
      </c>
      <c r="Q1555">
        <f>$C1555*Q1554</f>
        <v/>
      </c>
      <c r="R1555">
        <f>$C1555*R1554</f>
        <v/>
      </c>
      <c r="S1555">
        <f>$C1555*S1554</f>
        <v/>
      </c>
      <c r="T1555">
        <f>$C1555*T1554</f>
        <v/>
      </c>
      <c r="U1555">
        <f>$C1555*U1554</f>
        <v/>
      </c>
      <c r="V1555">
        <f>$C1555*V1554</f>
        <v/>
      </c>
      <c r="W1555">
        <f>$C1555*W1554</f>
        <v/>
      </c>
      <c r="X1555">
        <f>$C1555*X1554</f>
        <v/>
      </c>
      <c r="Y1555">
        <f>$C1555*Y1554</f>
        <v/>
      </c>
      <c r="Z1555">
        <f>$C1555*Z1554</f>
        <v/>
      </c>
      <c r="AA1555">
        <f>$C1555*AA1554</f>
        <v/>
      </c>
      <c r="AB1555">
        <f>$C1555*AB1554</f>
        <v/>
      </c>
      <c r="AC1555">
        <f>$C1555*AC1554</f>
        <v/>
      </c>
      <c r="AD1555">
        <f>$C1555*AD1554</f>
        <v/>
      </c>
      <c r="AE1555">
        <f>$C1555*AE1554</f>
        <v/>
      </c>
      <c r="AF1555">
        <f>$C1555*AF1554</f>
        <v/>
      </c>
      <c r="AG1555">
        <f>$C1555*AG1554</f>
        <v/>
      </c>
      <c r="AH1555">
        <f>$C1555*AH1554</f>
        <v/>
      </c>
      <c r="AI1555">
        <f>$C1555*AI1554</f>
        <v/>
      </c>
      <c r="AJ1555">
        <f>$C1555*AJ1554</f>
        <v/>
      </c>
      <c r="AK1555">
        <f>$C1555*AK1554</f>
        <v/>
      </c>
      <c r="AL1555">
        <f>$C1555*AL1554</f>
        <v/>
      </c>
      <c r="AM1555">
        <f>$C1555*AM1554</f>
        <v/>
      </c>
      <c r="AN1555">
        <f>$C1555*AN1554</f>
        <v/>
      </c>
      <c r="AO1555">
        <f>$C1555*AO1554</f>
        <v/>
      </c>
      <c r="AP1555">
        <f>$C1555*AP1554</f>
        <v/>
      </c>
      <c r="AQ1555">
        <f>$C1555*AQ1554</f>
        <v/>
      </c>
      <c r="AR1555">
        <f>$C1555*AR1554</f>
        <v/>
      </c>
      <c r="AS1555">
        <f>$C1555*AS1554</f>
        <v/>
      </c>
      <c r="AT1555">
        <f>$C1555*AT1554</f>
        <v/>
      </c>
      <c r="AU1555">
        <f>$C1555*AU1554</f>
        <v/>
      </c>
      <c r="AV1555">
        <f>$C1555*AV1554</f>
        <v/>
      </c>
      <c r="AW1555">
        <f>$C1555*AW1554</f>
        <v/>
      </c>
      <c r="AX1555">
        <f>$C1555*AX1554</f>
        <v/>
      </c>
      <c r="AY1555">
        <f>$C1555*AY1554</f>
        <v/>
      </c>
      <c r="AZ1555">
        <f>$C1555*AZ1554</f>
        <v/>
      </c>
      <c r="BA1555">
        <f>$C1555*BA1554</f>
        <v/>
      </c>
      <c r="BB1555">
        <f>$C1555*BB1554</f>
        <v/>
      </c>
      <c r="BC1555">
        <f>$C1555*BC1554</f>
        <v/>
      </c>
      <c r="BD1555">
        <f>$C1555*BD1554</f>
        <v/>
      </c>
      <c r="BE1555">
        <f>$C1555*BE1554</f>
        <v/>
      </c>
      <c r="BF1555">
        <f>$C1555*BF1554</f>
        <v/>
      </c>
      <c r="BG1555">
        <f>$C1555*BG1554</f>
        <v/>
      </c>
      <c r="BH1555">
        <f>$C1555*BH1554</f>
        <v/>
      </c>
      <c r="BI1555">
        <f>$C1555*BI1554</f>
        <v/>
      </c>
      <c r="BJ1555">
        <f>$C1555*BJ1554</f>
        <v/>
      </c>
      <c r="BK1555">
        <f>$C1555*BK1554</f>
        <v/>
      </c>
      <c r="BL1555">
        <f>$C1555*BL1554</f>
        <v/>
      </c>
      <c r="BM1555">
        <f>$C1555*BM1554</f>
        <v/>
      </c>
      <c r="BN1555">
        <f>$C1555*BN1554</f>
        <v/>
      </c>
      <c r="BO1555">
        <f>$C1555*BO1554</f>
        <v/>
      </c>
      <c r="BP1555">
        <f>$C1555*BP1554</f>
        <v/>
      </c>
      <c r="BQ1555">
        <f>$C1555*BQ1554</f>
        <v/>
      </c>
      <c r="BR1555">
        <f>$C1555*BR1554</f>
        <v/>
      </c>
      <c r="BS1555">
        <f>$C1555*BS1554</f>
        <v/>
      </c>
      <c r="BT1555">
        <f>$C1555*BT1554</f>
        <v/>
      </c>
      <c r="BU1555">
        <f>$C1555*BU1554</f>
        <v/>
      </c>
      <c r="BV1555">
        <f>$C1555*BV1554</f>
        <v/>
      </c>
      <c r="BW1555">
        <f>$C1555*BW1554</f>
        <v/>
      </c>
      <c r="BX1555">
        <f>$C1555*BX1554</f>
        <v/>
      </c>
      <c r="BY1555">
        <f>$C1555*BY1554</f>
        <v/>
      </c>
      <c r="BZ1555">
        <f>$C1555*BZ1554</f>
        <v/>
      </c>
      <c r="CA1555">
        <f>$C1555*CA1554</f>
        <v/>
      </c>
      <c r="CB1555">
        <f>$C1555*CB1554</f>
        <v/>
      </c>
      <c r="CC1555">
        <f>$C1555*CC1554</f>
        <v/>
      </c>
      <c r="CD1555">
        <f>$C1555*CD1554</f>
        <v/>
      </c>
      <c r="CE1555">
        <f>$C1555*CE1554</f>
        <v/>
      </c>
      <c r="CF1555">
        <f>$C1555*CF1554</f>
        <v/>
      </c>
      <c r="CG1555">
        <f>$C1555*CG1554</f>
        <v/>
      </c>
      <c r="CH1555">
        <f>$C1555*CH1554</f>
        <v/>
      </c>
      <c r="CI1555">
        <f>$C1555*CI1554</f>
        <v/>
      </c>
      <c r="CJ1555">
        <f>$C1555*CJ1554</f>
        <v/>
      </c>
      <c r="CK1555">
        <f>$C1555*CK1554</f>
        <v/>
      </c>
      <c r="CL1555">
        <f>$C1555*CL1554</f>
        <v/>
      </c>
      <c r="CM1555">
        <f>$C1555*CM1554</f>
        <v/>
      </c>
      <c r="CN1555">
        <f>$C1555*CN1554</f>
        <v/>
      </c>
      <c r="CO1555">
        <f>$C1555*CO1554</f>
        <v/>
      </c>
      <c r="CP1555">
        <f>$C1555*CP1554</f>
        <v/>
      </c>
      <c r="CQ1555">
        <f>$C1555*CQ1554</f>
        <v/>
      </c>
      <c r="CR1555">
        <f>$C1555*CR1554</f>
        <v/>
      </c>
      <c r="CS1555">
        <f>$C1555*CS1554</f>
        <v/>
      </c>
      <c r="CT1555">
        <f>$C1555*CT1554</f>
        <v/>
      </c>
      <c r="CU1555">
        <f>$C1555*CU1554</f>
        <v/>
      </c>
      <c r="CV1555">
        <f>$C1555*CV1554</f>
        <v/>
      </c>
      <c r="CW1555">
        <f>$C1555*CW1554</f>
        <v/>
      </c>
      <c r="CX1555">
        <f>$C1555*CX1554</f>
        <v/>
      </c>
      <c r="CY1555">
        <f>$C1555*CY1554</f>
        <v/>
      </c>
      <c r="CZ1555">
        <f>$C1555*CZ1554</f>
        <v/>
      </c>
      <c r="DA1555">
        <f>$C1555*DA1554</f>
        <v/>
      </c>
      <c r="DB1555">
        <f>$C1555*DB1554</f>
        <v/>
      </c>
      <c r="DC1555">
        <f>$C1555*DC1554</f>
        <v/>
      </c>
      <c r="DD1555">
        <f>$C1555*DD1554</f>
        <v/>
      </c>
    </row>
    <row r="1556">
      <c r="B1556" t="inlineStr">
        <is>
          <t>TVS-267</t>
        </is>
      </c>
      <c r="C1556" t="inlineStr">
        <is>
          <t>No. of batches</t>
        </is>
      </c>
      <c r="D1556">
        <f>IFERROR(INDEX(E1556:DD1556,$F$1),"")</f>
        <v/>
      </c>
      <c r="E1556">
        <f>IFERROR(INDEX(PP_Grid[#Data],$DE1556,2),0)</f>
        <v/>
      </c>
      <c r="F1556">
        <f>IFERROR(INDEX(PP_Grid[#Data],$DE1556,3),0)</f>
        <v/>
      </c>
      <c r="G1556">
        <f>IFERROR(INDEX(PP_Grid[#Data],$DE1556,4),0)</f>
        <v/>
      </c>
      <c r="H1556">
        <f>IFERROR(INDEX(PP_Grid[#Data],$DE1556,5),0)</f>
        <v/>
      </c>
      <c r="I1556">
        <f>IFERROR(INDEX(PP_Grid[#Data],$DE1556,6),0)</f>
        <v/>
      </c>
      <c r="J1556">
        <f>IFERROR(INDEX(PP_Grid[#Data],$DE1556,7),0)</f>
        <v/>
      </c>
      <c r="K1556">
        <f>IFERROR(INDEX(PP_Grid[#Data],$DE1556,8),0)</f>
        <v/>
      </c>
      <c r="L1556">
        <f>IFERROR(INDEX(PP_Grid[#Data],$DE1556,9),0)</f>
        <v/>
      </c>
      <c r="M1556">
        <f>IFERROR(INDEX(PP_Grid[#Data],$DE1556,10),0)</f>
        <v/>
      </c>
      <c r="N1556">
        <f>IFERROR(INDEX(PP_Grid[#Data],$DE1556,11),0)</f>
        <v/>
      </c>
      <c r="O1556">
        <f>IFERROR(INDEX(PP_Grid[#Data],$DE1556,12),0)</f>
        <v/>
      </c>
      <c r="P1556">
        <f>IFERROR(INDEX(PP_Grid[#Data],$DE1556,13),0)</f>
        <v/>
      </c>
      <c r="Q1556">
        <f>IFERROR(INDEX(PP_Grid[#Data],$DE1556,14),0)</f>
        <v/>
      </c>
      <c r="R1556">
        <f>IFERROR(INDEX(PP_Grid[#Data],$DE1556,15),0)</f>
        <v/>
      </c>
      <c r="S1556">
        <f>IFERROR(INDEX(PP_Grid[#Data],$DE1556,16),0)</f>
        <v/>
      </c>
      <c r="T1556">
        <f>IFERROR(INDEX(PP_Grid[#Data],$DE1556,17),0)</f>
        <v/>
      </c>
      <c r="U1556">
        <f>IFERROR(INDEX(PP_Grid[#Data],$DE1556,18),0)</f>
        <v/>
      </c>
      <c r="V1556">
        <f>IFERROR(INDEX(PP_Grid[#Data],$DE1556,19),0)</f>
        <v/>
      </c>
      <c r="W1556">
        <f>IFERROR(INDEX(PP_Grid[#Data],$DE1556,20),0)</f>
        <v/>
      </c>
      <c r="X1556">
        <f>IFERROR(INDEX(PP_Grid[#Data],$DE1556,21),0)</f>
        <v/>
      </c>
      <c r="Y1556">
        <f>IFERROR(INDEX(PP_Grid[#Data],$DE1556,22),0)</f>
        <v/>
      </c>
      <c r="Z1556">
        <f>IFERROR(INDEX(PP_Grid[#Data],$DE1556,23),0)</f>
        <v/>
      </c>
      <c r="AA1556">
        <f>IFERROR(INDEX(PP_Grid[#Data],$DE1556,24),0)</f>
        <v/>
      </c>
      <c r="AB1556">
        <f>IFERROR(INDEX(PP_Grid[#Data],$DE1556,25),0)</f>
        <v/>
      </c>
      <c r="AC1556">
        <f>IFERROR(INDEX(PP_Grid[#Data],$DE1556,26),0)</f>
        <v/>
      </c>
      <c r="AD1556">
        <f>IFERROR(INDEX(PP_Grid[#Data],$DE1556,27),0)</f>
        <v/>
      </c>
      <c r="AE1556">
        <f>IFERROR(INDEX(PP_Grid[#Data],$DE1556,28),0)</f>
        <v/>
      </c>
      <c r="AF1556">
        <f>IFERROR(INDEX(PP_Grid[#Data],$DE1556,29),0)</f>
        <v/>
      </c>
      <c r="AG1556">
        <f>IFERROR(INDEX(PP_Grid[#Data],$DE1556,30),0)</f>
        <v/>
      </c>
      <c r="AH1556">
        <f>IFERROR(INDEX(PP_Grid[#Data],$DE1556,31),0)</f>
        <v/>
      </c>
      <c r="AI1556">
        <f>IFERROR(INDEX(PP_Grid[#Data],$DE1556,32),0)</f>
        <v/>
      </c>
      <c r="AJ1556">
        <f>IFERROR(INDEX(PP_Grid[#Data],$DE1556,33),0)</f>
        <v/>
      </c>
      <c r="AK1556">
        <f>IFERROR(INDEX(PP_Grid[#Data],$DE1556,34),0)</f>
        <v/>
      </c>
      <c r="AL1556">
        <f>IFERROR(INDEX(PP_Grid[#Data],$DE1556,35),0)</f>
        <v/>
      </c>
      <c r="AM1556">
        <f>IFERROR(INDEX(PP_Grid[#Data],$DE1556,36),0)</f>
        <v/>
      </c>
      <c r="AN1556">
        <f>IFERROR(INDEX(PP_Grid[#Data],$DE1556,37),0)</f>
        <v/>
      </c>
      <c r="AO1556">
        <f>IFERROR(INDEX(PP_Grid[#Data],$DE1556,38),0)</f>
        <v/>
      </c>
      <c r="AP1556">
        <f>IFERROR(INDEX(PP_Grid[#Data],$DE1556,39),0)</f>
        <v/>
      </c>
      <c r="AQ1556">
        <f>IFERROR(INDEX(PP_Grid[#Data],$DE1556,40),0)</f>
        <v/>
      </c>
      <c r="AR1556">
        <f>IFERROR(INDEX(PP_Grid[#Data],$DE1556,41),0)</f>
        <v/>
      </c>
      <c r="AS1556">
        <f>IFERROR(INDEX(PP_Grid[#Data],$DE1556,42),0)</f>
        <v/>
      </c>
      <c r="AT1556">
        <f>IFERROR(INDEX(PP_Grid[#Data],$DE1556,43),0)</f>
        <v/>
      </c>
      <c r="AU1556">
        <f>IFERROR(INDEX(PP_Grid[#Data],$DE1556,44),0)</f>
        <v/>
      </c>
      <c r="AV1556">
        <f>IFERROR(INDEX(PP_Grid[#Data],$DE1556,45),0)</f>
        <v/>
      </c>
      <c r="AW1556">
        <f>IFERROR(INDEX(PP_Grid[#Data],$DE1556,46),0)</f>
        <v/>
      </c>
      <c r="AX1556">
        <f>IFERROR(INDEX(PP_Grid[#Data],$DE1556,47),0)</f>
        <v/>
      </c>
      <c r="AY1556">
        <f>IFERROR(INDEX(PP_Grid[#Data],$DE1556,48),0)</f>
        <v/>
      </c>
      <c r="AZ1556">
        <f>IFERROR(INDEX(PP_Grid[#Data],$DE1556,49),0)</f>
        <v/>
      </c>
      <c r="BA1556">
        <f>IFERROR(INDEX(PP_Grid[#Data],$DE1556,50),0)</f>
        <v/>
      </c>
      <c r="BB1556">
        <f>IFERROR(INDEX(PP_Grid[#Data],$DE1556,51),0)</f>
        <v/>
      </c>
      <c r="BC1556">
        <f>IFERROR(INDEX(PP_Grid[#Data],$DE1556,52),0)</f>
        <v/>
      </c>
      <c r="BD1556">
        <f>IFERROR(INDEX(PP_Grid[#Data],$DE1556,53),0)</f>
        <v/>
      </c>
      <c r="BE1556">
        <f>IFERROR(INDEX(PP_Grid[#Data],$DE1556,54),0)</f>
        <v/>
      </c>
      <c r="BF1556">
        <f>IFERROR(INDEX(PP_Grid[#Data],$DE1556,55),0)</f>
        <v/>
      </c>
      <c r="BG1556">
        <f>IFERROR(INDEX(PP_Grid[#Data],$DE1556,56),0)</f>
        <v/>
      </c>
      <c r="BH1556">
        <f>IFERROR(INDEX(PP_Grid[#Data],$DE1556,57),0)</f>
        <v/>
      </c>
      <c r="BI1556">
        <f>IFERROR(INDEX(PP_Grid[#Data],$DE1556,58),0)</f>
        <v/>
      </c>
      <c r="BJ1556">
        <f>IFERROR(INDEX(PP_Grid[#Data],$DE1556,59),0)</f>
        <v/>
      </c>
      <c r="BK1556">
        <f>IFERROR(INDEX(PP_Grid[#Data],$DE1556,60),0)</f>
        <v/>
      </c>
      <c r="BL1556">
        <f>IFERROR(INDEX(PP_Grid[#Data],$DE1556,61),0)</f>
        <v/>
      </c>
      <c r="BM1556">
        <f>IFERROR(INDEX(PP_Grid[#Data],$DE1556,62),0)</f>
        <v/>
      </c>
      <c r="BN1556">
        <f>IFERROR(INDEX(PP_Grid[#Data],$DE1556,63),0)</f>
        <v/>
      </c>
      <c r="BO1556">
        <f>IFERROR(INDEX(PP_Grid[#Data],$DE1556,64),0)</f>
        <v/>
      </c>
      <c r="BP1556">
        <f>IFERROR(INDEX(PP_Grid[#Data],$DE1556,65),0)</f>
        <v/>
      </c>
      <c r="BQ1556">
        <f>IFERROR(INDEX(PP_Grid[#Data],$DE1556,66),0)</f>
        <v/>
      </c>
      <c r="BR1556">
        <f>IFERROR(INDEX(PP_Grid[#Data],$DE1556,67),0)</f>
        <v/>
      </c>
      <c r="BS1556">
        <f>IFERROR(INDEX(PP_Grid[#Data],$DE1556,68),0)</f>
        <v/>
      </c>
      <c r="BT1556">
        <f>IFERROR(INDEX(PP_Grid[#Data],$DE1556,69),0)</f>
        <v/>
      </c>
      <c r="BU1556">
        <f>IFERROR(INDEX(PP_Grid[#Data],$DE1556,70),0)</f>
        <v/>
      </c>
      <c r="BV1556">
        <f>IFERROR(INDEX(PP_Grid[#Data],$DE1556,71),0)</f>
        <v/>
      </c>
      <c r="BW1556">
        <f>IFERROR(INDEX(PP_Grid[#Data],$DE1556,72),0)</f>
        <v/>
      </c>
      <c r="BX1556">
        <f>IFERROR(INDEX(PP_Grid[#Data],$DE1556,73),0)</f>
        <v/>
      </c>
      <c r="BY1556">
        <f>IFERROR(INDEX(PP_Grid[#Data],$DE1556,74),0)</f>
        <v/>
      </c>
      <c r="BZ1556">
        <f>IFERROR(INDEX(PP_Grid[#Data],$DE1556,75),0)</f>
        <v/>
      </c>
      <c r="CA1556">
        <f>IFERROR(INDEX(PP_Grid[#Data],$DE1556,76),0)</f>
        <v/>
      </c>
      <c r="CB1556">
        <f>IFERROR(INDEX(PP_Grid[#Data],$DE1556,77),0)</f>
        <v/>
      </c>
      <c r="CC1556">
        <f>IFERROR(INDEX(PP_Grid[#Data],$DE1556,78),0)</f>
        <v/>
      </c>
      <c r="CD1556">
        <f>IFERROR(INDEX(PP_Grid[#Data],$DE1556,79),0)</f>
        <v/>
      </c>
      <c r="CE1556">
        <f>IFERROR(INDEX(PP_Grid[#Data],$DE1556,80),0)</f>
        <v/>
      </c>
      <c r="CF1556">
        <f>IFERROR(INDEX(PP_Grid[#Data],$DE1556,81),0)</f>
        <v/>
      </c>
      <c r="CG1556">
        <f>IFERROR(INDEX(PP_Grid[#Data],$DE1556,82),0)</f>
        <v/>
      </c>
      <c r="CH1556">
        <f>IFERROR(INDEX(PP_Grid[#Data],$DE1556,83),0)</f>
        <v/>
      </c>
      <c r="CI1556">
        <f>IFERROR(INDEX(PP_Grid[#Data],$DE1556,84),0)</f>
        <v/>
      </c>
      <c r="CJ1556">
        <f>IFERROR(INDEX(PP_Grid[#Data],$DE1556,85),0)</f>
        <v/>
      </c>
      <c r="CK1556">
        <f>IFERROR(INDEX(PP_Grid[#Data],$DE1556,86),0)</f>
        <v/>
      </c>
      <c r="CL1556">
        <f>IFERROR(INDEX(PP_Grid[#Data],$DE1556,87),0)</f>
        <v/>
      </c>
      <c r="CM1556">
        <f>IFERROR(INDEX(PP_Grid[#Data],$DE1556,88),0)</f>
        <v/>
      </c>
      <c r="CN1556">
        <f>IFERROR(INDEX(PP_Grid[#Data],$DE1556,89),0)</f>
        <v/>
      </c>
      <c r="CO1556">
        <f>IFERROR(INDEX(PP_Grid[#Data],$DE1556,90),0)</f>
        <v/>
      </c>
      <c r="CP1556">
        <f>IFERROR(INDEX(PP_Grid[#Data],$DE1556,91),0)</f>
        <v/>
      </c>
      <c r="CQ1556">
        <f>IFERROR(INDEX(PP_Grid[#Data],$DE1556,92),0)</f>
        <v/>
      </c>
      <c r="CR1556">
        <f>IFERROR(INDEX(PP_Grid[#Data],$DE1556,93),0)</f>
        <v/>
      </c>
      <c r="CS1556">
        <f>IFERROR(INDEX(PP_Grid[#Data],$DE1556,94),0)</f>
        <v/>
      </c>
      <c r="CT1556">
        <f>IFERROR(INDEX(PP_Grid[#Data],$DE1556,95),0)</f>
        <v/>
      </c>
      <c r="CU1556">
        <f>IFERROR(INDEX(PP_Grid[#Data],$DE1556,96),0)</f>
        <v/>
      </c>
      <c r="CV1556">
        <f>IFERROR(INDEX(PP_Grid[#Data],$DE1556,97),0)</f>
        <v/>
      </c>
      <c r="CW1556">
        <f>IFERROR(INDEX(PP_Grid[#Data],$DE1556,98),0)</f>
        <v/>
      </c>
      <c r="CX1556">
        <f>IFERROR(INDEX(PP_Grid[#Data],$DE1556,99),0)</f>
        <v/>
      </c>
      <c r="CY1556">
        <f>IFERROR(INDEX(PP_Grid[#Data],$DE1556,100),0)</f>
        <v/>
      </c>
      <c r="CZ1556">
        <f>IFERROR(INDEX(PP_Grid[#Data],$DE1556,101),0)</f>
        <v/>
      </c>
      <c r="DA1556">
        <f>IFERROR(INDEX(PP_Grid[#Data],$DE1556,102),0)</f>
        <v/>
      </c>
      <c r="DB1556">
        <f>IFERROR(INDEX(PP_Grid[#Data],$DE1556,103),0)</f>
        <v/>
      </c>
      <c r="DC1556">
        <f>IFERROR(INDEX(PP_Grid[#Data],$DE1556,104),0)</f>
        <v/>
      </c>
      <c r="DD1556">
        <f>IFERROR(INDEX(PP_Grid[#Data],$DE1556,105),0)</f>
        <v/>
      </c>
      <c r="DE1556" s="7">
        <f>IFERROR(MATCH($B1556,PP_Grid[Intermediate],0),99999)</f>
        <v/>
      </c>
    </row>
    <row r="1557">
      <c r="B1557" t="inlineStr">
        <is>
          <t>使用量(kg)</t>
        </is>
      </c>
      <c r="C1557">
        <f>SUMIFS(M_BOM[RM_Qty_Per_Batch],M_BOM[Intermediate],$B1556,M_BOM[RM_Code],$A1553)</f>
        <v/>
      </c>
      <c r="D1557">
        <f>IFERROR(INDEX(E1557:DD1557,$F$1),"")</f>
        <v/>
      </c>
      <c r="E1557">
        <f>$C1557*E1556</f>
        <v/>
      </c>
      <c r="F1557">
        <f>$C1557*F1556</f>
        <v/>
      </c>
      <c r="G1557">
        <f>$C1557*G1556</f>
        <v/>
      </c>
      <c r="H1557">
        <f>$C1557*H1556</f>
        <v/>
      </c>
      <c r="I1557">
        <f>$C1557*I1556</f>
        <v/>
      </c>
      <c r="J1557">
        <f>$C1557*J1556</f>
        <v/>
      </c>
      <c r="K1557">
        <f>$C1557*K1556</f>
        <v/>
      </c>
      <c r="L1557">
        <f>$C1557*L1556</f>
        <v/>
      </c>
      <c r="M1557">
        <f>$C1557*M1556</f>
        <v/>
      </c>
      <c r="N1557">
        <f>$C1557*N1556</f>
        <v/>
      </c>
      <c r="O1557">
        <f>$C1557*O1556</f>
        <v/>
      </c>
      <c r="P1557">
        <f>$C1557*P1556</f>
        <v/>
      </c>
      <c r="Q1557">
        <f>$C1557*Q1556</f>
        <v/>
      </c>
      <c r="R1557">
        <f>$C1557*R1556</f>
        <v/>
      </c>
      <c r="S1557">
        <f>$C1557*S1556</f>
        <v/>
      </c>
      <c r="T1557">
        <f>$C1557*T1556</f>
        <v/>
      </c>
      <c r="U1557">
        <f>$C1557*U1556</f>
        <v/>
      </c>
      <c r="V1557">
        <f>$C1557*V1556</f>
        <v/>
      </c>
      <c r="W1557">
        <f>$C1557*W1556</f>
        <v/>
      </c>
      <c r="X1557">
        <f>$C1557*X1556</f>
        <v/>
      </c>
      <c r="Y1557">
        <f>$C1557*Y1556</f>
        <v/>
      </c>
      <c r="Z1557">
        <f>$C1557*Z1556</f>
        <v/>
      </c>
      <c r="AA1557">
        <f>$C1557*AA1556</f>
        <v/>
      </c>
      <c r="AB1557">
        <f>$C1557*AB1556</f>
        <v/>
      </c>
      <c r="AC1557">
        <f>$C1557*AC1556</f>
        <v/>
      </c>
      <c r="AD1557">
        <f>$C1557*AD1556</f>
        <v/>
      </c>
      <c r="AE1557">
        <f>$C1557*AE1556</f>
        <v/>
      </c>
      <c r="AF1557">
        <f>$C1557*AF1556</f>
        <v/>
      </c>
      <c r="AG1557">
        <f>$C1557*AG1556</f>
        <v/>
      </c>
      <c r="AH1557">
        <f>$C1557*AH1556</f>
        <v/>
      </c>
      <c r="AI1557">
        <f>$C1557*AI1556</f>
        <v/>
      </c>
      <c r="AJ1557">
        <f>$C1557*AJ1556</f>
        <v/>
      </c>
      <c r="AK1557">
        <f>$C1557*AK1556</f>
        <v/>
      </c>
      <c r="AL1557">
        <f>$C1557*AL1556</f>
        <v/>
      </c>
      <c r="AM1557">
        <f>$C1557*AM1556</f>
        <v/>
      </c>
      <c r="AN1557">
        <f>$C1557*AN1556</f>
        <v/>
      </c>
      <c r="AO1557">
        <f>$C1557*AO1556</f>
        <v/>
      </c>
      <c r="AP1557">
        <f>$C1557*AP1556</f>
        <v/>
      </c>
      <c r="AQ1557">
        <f>$C1557*AQ1556</f>
        <v/>
      </c>
      <c r="AR1557">
        <f>$C1557*AR1556</f>
        <v/>
      </c>
      <c r="AS1557">
        <f>$C1557*AS1556</f>
        <v/>
      </c>
      <c r="AT1557">
        <f>$C1557*AT1556</f>
        <v/>
      </c>
      <c r="AU1557">
        <f>$C1557*AU1556</f>
        <v/>
      </c>
      <c r="AV1557">
        <f>$C1557*AV1556</f>
        <v/>
      </c>
      <c r="AW1557">
        <f>$C1557*AW1556</f>
        <v/>
      </c>
      <c r="AX1557">
        <f>$C1557*AX1556</f>
        <v/>
      </c>
      <c r="AY1557">
        <f>$C1557*AY1556</f>
        <v/>
      </c>
      <c r="AZ1557">
        <f>$C1557*AZ1556</f>
        <v/>
      </c>
      <c r="BA1557">
        <f>$C1557*BA1556</f>
        <v/>
      </c>
      <c r="BB1557">
        <f>$C1557*BB1556</f>
        <v/>
      </c>
      <c r="BC1557">
        <f>$C1557*BC1556</f>
        <v/>
      </c>
      <c r="BD1557">
        <f>$C1557*BD1556</f>
        <v/>
      </c>
      <c r="BE1557">
        <f>$C1557*BE1556</f>
        <v/>
      </c>
      <c r="BF1557">
        <f>$C1557*BF1556</f>
        <v/>
      </c>
      <c r="BG1557">
        <f>$C1557*BG1556</f>
        <v/>
      </c>
      <c r="BH1557">
        <f>$C1557*BH1556</f>
        <v/>
      </c>
      <c r="BI1557">
        <f>$C1557*BI1556</f>
        <v/>
      </c>
      <c r="BJ1557">
        <f>$C1557*BJ1556</f>
        <v/>
      </c>
      <c r="BK1557">
        <f>$C1557*BK1556</f>
        <v/>
      </c>
      <c r="BL1557">
        <f>$C1557*BL1556</f>
        <v/>
      </c>
      <c r="BM1557">
        <f>$C1557*BM1556</f>
        <v/>
      </c>
      <c r="BN1557">
        <f>$C1557*BN1556</f>
        <v/>
      </c>
      <c r="BO1557">
        <f>$C1557*BO1556</f>
        <v/>
      </c>
      <c r="BP1557">
        <f>$C1557*BP1556</f>
        <v/>
      </c>
      <c r="BQ1557">
        <f>$C1557*BQ1556</f>
        <v/>
      </c>
      <c r="BR1557">
        <f>$C1557*BR1556</f>
        <v/>
      </c>
      <c r="BS1557">
        <f>$C1557*BS1556</f>
        <v/>
      </c>
      <c r="BT1557">
        <f>$C1557*BT1556</f>
        <v/>
      </c>
      <c r="BU1557">
        <f>$C1557*BU1556</f>
        <v/>
      </c>
      <c r="BV1557">
        <f>$C1557*BV1556</f>
        <v/>
      </c>
      <c r="BW1557">
        <f>$C1557*BW1556</f>
        <v/>
      </c>
      <c r="BX1557">
        <f>$C1557*BX1556</f>
        <v/>
      </c>
      <c r="BY1557">
        <f>$C1557*BY1556</f>
        <v/>
      </c>
      <c r="BZ1557">
        <f>$C1557*BZ1556</f>
        <v/>
      </c>
      <c r="CA1557">
        <f>$C1557*CA1556</f>
        <v/>
      </c>
      <c r="CB1557">
        <f>$C1557*CB1556</f>
        <v/>
      </c>
      <c r="CC1557">
        <f>$C1557*CC1556</f>
        <v/>
      </c>
      <c r="CD1557">
        <f>$C1557*CD1556</f>
        <v/>
      </c>
      <c r="CE1557">
        <f>$C1557*CE1556</f>
        <v/>
      </c>
      <c r="CF1557">
        <f>$C1557*CF1556</f>
        <v/>
      </c>
      <c r="CG1557">
        <f>$C1557*CG1556</f>
        <v/>
      </c>
      <c r="CH1557">
        <f>$C1557*CH1556</f>
        <v/>
      </c>
      <c r="CI1557">
        <f>$C1557*CI1556</f>
        <v/>
      </c>
      <c r="CJ1557">
        <f>$C1557*CJ1556</f>
        <v/>
      </c>
      <c r="CK1557">
        <f>$C1557*CK1556</f>
        <v/>
      </c>
      <c r="CL1557">
        <f>$C1557*CL1556</f>
        <v/>
      </c>
      <c r="CM1557">
        <f>$C1557*CM1556</f>
        <v/>
      </c>
      <c r="CN1557">
        <f>$C1557*CN1556</f>
        <v/>
      </c>
      <c r="CO1557">
        <f>$C1557*CO1556</f>
        <v/>
      </c>
      <c r="CP1557">
        <f>$C1557*CP1556</f>
        <v/>
      </c>
      <c r="CQ1557">
        <f>$C1557*CQ1556</f>
        <v/>
      </c>
      <c r="CR1557">
        <f>$C1557*CR1556</f>
        <v/>
      </c>
      <c r="CS1557">
        <f>$C1557*CS1556</f>
        <v/>
      </c>
      <c r="CT1557">
        <f>$C1557*CT1556</f>
        <v/>
      </c>
      <c r="CU1557">
        <f>$C1557*CU1556</f>
        <v/>
      </c>
      <c r="CV1557">
        <f>$C1557*CV1556</f>
        <v/>
      </c>
      <c r="CW1557">
        <f>$C1557*CW1556</f>
        <v/>
      </c>
      <c r="CX1557">
        <f>$C1557*CX1556</f>
        <v/>
      </c>
      <c r="CY1557">
        <f>$C1557*CY1556</f>
        <v/>
      </c>
      <c r="CZ1557">
        <f>$C1557*CZ1556</f>
        <v/>
      </c>
      <c r="DA1557">
        <f>$C1557*DA1556</f>
        <v/>
      </c>
      <c r="DB1557">
        <f>$C1557*DB1556</f>
        <v/>
      </c>
      <c r="DC1557">
        <f>$C1557*DC1556</f>
        <v/>
      </c>
      <c r="DD1557">
        <f>$C1557*DD1556</f>
        <v/>
      </c>
    </row>
    <row r="1558">
      <c r="B1558" t="inlineStr">
        <is>
          <t>TVS-500</t>
        </is>
      </c>
      <c r="C1558" t="inlineStr">
        <is>
          <t>No. of batches</t>
        </is>
      </c>
      <c r="D1558">
        <f>IFERROR(INDEX(E1558:DD1558,$F$1),"")</f>
        <v/>
      </c>
      <c r="E1558">
        <f>IFERROR(INDEX(PP_Grid[#Data],$DE1558,2),0)</f>
        <v/>
      </c>
      <c r="F1558">
        <f>IFERROR(INDEX(PP_Grid[#Data],$DE1558,3),0)</f>
        <v/>
      </c>
      <c r="G1558">
        <f>IFERROR(INDEX(PP_Grid[#Data],$DE1558,4),0)</f>
        <v/>
      </c>
      <c r="H1558">
        <f>IFERROR(INDEX(PP_Grid[#Data],$DE1558,5),0)</f>
        <v/>
      </c>
      <c r="I1558">
        <f>IFERROR(INDEX(PP_Grid[#Data],$DE1558,6),0)</f>
        <v/>
      </c>
      <c r="J1558">
        <f>IFERROR(INDEX(PP_Grid[#Data],$DE1558,7),0)</f>
        <v/>
      </c>
      <c r="K1558">
        <f>IFERROR(INDEX(PP_Grid[#Data],$DE1558,8),0)</f>
        <v/>
      </c>
      <c r="L1558">
        <f>IFERROR(INDEX(PP_Grid[#Data],$DE1558,9),0)</f>
        <v/>
      </c>
      <c r="M1558">
        <f>IFERROR(INDEX(PP_Grid[#Data],$DE1558,10),0)</f>
        <v/>
      </c>
      <c r="N1558">
        <f>IFERROR(INDEX(PP_Grid[#Data],$DE1558,11),0)</f>
        <v/>
      </c>
      <c r="O1558">
        <f>IFERROR(INDEX(PP_Grid[#Data],$DE1558,12),0)</f>
        <v/>
      </c>
      <c r="P1558">
        <f>IFERROR(INDEX(PP_Grid[#Data],$DE1558,13),0)</f>
        <v/>
      </c>
      <c r="Q1558">
        <f>IFERROR(INDEX(PP_Grid[#Data],$DE1558,14),0)</f>
        <v/>
      </c>
      <c r="R1558">
        <f>IFERROR(INDEX(PP_Grid[#Data],$DE1558,15),0)</f>
        <v/>
      </c>
      <c r="S1558">
        <f>IFERROR(INDEX(PP_Grid[#Data],$DE1558,16),0)</f>
        <v/>
      </c>
      <c r="T1558">
        <f>IFERROR(INDEX(PP_Grid[#Data],$DE1558,17),0)</f>
        <v/>
      </c>
      <c r="U1558">
        <f>IFERROR(INDEX(PP_Grid[#Data],$DE1558,18),0)</f>
        <v/>
      </c>
      <c r="V1558">
        <f>IFERROR(INDEX(PP_Grid[#Data],$DE1558,19),0)</f>
        <v/>
      </c>
      <c r="W1558">
        <f>IFERROR(INDEX(PP_Grid[#Data],$DE1558,20),0)</f>
        <v/>
      </c>
      <c r="X1558">
        <f>IFERROR(INDEX(PP_Grid[#Data],$DE1558,21),0)</f>
        <v/>
      </c>
      <c r="Y1558">
        <f>IFERROR(INDEX(PP_Grid[#Data],$DE1558,22),0)</f>
        <v/>
      </c>
      <c r="Z1558">
        <f>IFERROR(INDEX(PP_Grid[#Data],$DE1558,23),0)</f>
        <v/>
      </c>
      <c r="AA1558">
        <f>IFERROR(INDEX(PP_Grid[#Data],$DE1558,24),0)</f>
        <v/>
      </c>
      <c r="AB1558">
        <f>IFERROR(INDEX(PP_Grid[#Data],$DE1558,25),0)</f>
        <v/>
      </c>
      <c r="AC1558">
        <f>IFERROR(INDEX(PP_Grid[#Data],$DE1558,26),0)</f>
        <v/>
      </c>
      <c r="AD1558">
        <f>IFERROR(INDEX(PP_Grid[#Data],$DE1558,27),0)</f>
        <v/>
      </c>
      <c r="AE1558">
        <f>IFERROR(INDEX(PP_Grid[#Data],$DE1558,28),0)</f>
        <v/>
      </c>
      <c r="AF1558">
        <f>IFERROR(INDEX(PP_Grid[#Data],$DE1558,29),0)</f>
        <v/>
      </c>
      <c r="AG1558">
        <f>IFERROR(INDEX(PP_Grid[#Data],$DE1558,30),0)</f>
        <v/>
      </c>
      <c r="AH1558">
        <f>IFERROR(INDEX(PP_Grid[#Data],$DE1558,31),0)</f>
        <v/>
      </c>
      <c r="AI1558">
        <f>IFERROR(INDEX(PP_Grid[#Data],$DE1558,32),0)</f>
        <v/>
      </c>
      <c r="AJ1558">
        <f>IFERROR(INDEX(PP_Grid[#Data],$DE1558,33),0)</f>
        <v/>
      </c>
      <c r="AK1558">
        <f>IFERROR(INDEX(PP_Grid[#Data],$DE1558,34),0)</f>
        <v/>
      </c>
      <c r="AL1558">
        <f>IFERROR(INDEX(PP_Grid[#Data],$DE1558,35),0)</f>
        <v/>
      </c>
      <c r="AM1558">
        <f>IFERROR(INDEX(PP_Grid[#Data],$DE1558,36),0)</f>
        <v/>
      </c>
      <c r="AN1558">
        <f>IFERROR(INDEX(PP_Grid[#Data],$DE1558,37),0)</f>
        <v/>
      </c>
      <c r="AO1558">
        <f>IFERROR(INDEX(PP_Grid[#Data],$DE1558,38),0)</f>
        <v/>
      </c>
      <c r="AP1558">
        <f>IFERROR(INDEX(PP_Grid[#Data],$DE1558,39),0)</f>
        <v/>
      </c>
      <c r="AQ1558">
        <f>IFERROR(INDEX(PP_Grid[#Data],$DE1558,40),0)</f>
        <v/>
      </c>
      <c r="AR1558">
        <f>IFERROR(INDEX(PP_Grid[#Data],$DE1558,41),0)</f>
        <v/>
      </c>
      <c r="AS1558">
        <f>IFERROR(INDEX(PP_Grid[#Data],$DE1558,42),0)</f>
        <v/>
      </c>
      <c r="AT1558">
        <f>IFERROR(INDEX(PP_Grid[#Data],$DE1558,43),0)</f>
        <v/>
      </c>
      <c r="AU1558">
        <f>IFERROR(INDEX(PP_Grid[#Data],$DE1558,44),0)</f>
        <v/>
      </c>
      <c r="AV1558">
        <f>IFERROR(INDEX(PP_Grid[#Data],$DE1558,45),0)</f>
        <v/>
      </c>
      <c r="AW1558">
        <f>IFERROR(INDEX(PP_Grid[#Data],$DE1558,46),0)</f>
        <v/>
      </c>
      <c r="AX1558">
        <f>IFERROR(INDEX(PP_Grid[#Data],$DE1558,47),0)</f>
        <v/>
      </c>
      <c r="AY1558">
        <f>IFERROR(INDEX(PP_Grid[#Data],$DE1558,48),0)</f>
        <v/>
      </c>
      <c r="AZ1558">
        <f>IFERROR(INDEX(PP_Grid[#Data],$DE1558,49),0)</f>
        <v/>
      </c>
      <c r="BA1558">
        <f>IFERROR(INDEX(PP_Grid[#Data],$DE1558,50),0)</f>
        <v/>
      </c>
      <c r="BB1558">
        <f>IFERROR(INDEX(PP_Grid[#Data],$DE1558,51),0)</f>
        <v/>
      </c>
      <c r="BC1558">
        <f>IFERROR(INDEX(PP_Grid[#Data],$DE1558,52),0)</f>
        <v/>
      </c>
      <c r="BD1558">
        <f>IFERROR(INDEX(PP_Grid[#Data],$DE1558,53),0)</f>
        <v/>
      </c>
      <c r="BE1558">
        <f>IFERROR(INDEX(PP_Grid[#Data],$DE1558,54),0)</f>
        <v/>
      </c>
      <c r="BF1558">
        <f>IFERROR(INDEX(PP_Grid[#Data],$DE1558,55),0)</f>
        <v/>
      </c>
      <c r="BG1558">
        <f>IFERROR(INDEX(PP_Grid[#Data],$DE1558,56),0)</f>
        <v/>
      </c>
      <c r="BH1558">
        <f>IFERROR(INDEX(PP_Grid[#Data],$DE1558,57),0)</f>
        <v/>
      </c>
      <c r="BI1558">
        <f>IFERROR(INDEX(PP_Grid[#Data],$DE1558,58),0)</f>
        <v/>
      </c>
      <c r="BJ1558">
        <f>IFERROR(INDEX(PP_Grid[#Data],$DE1558,59),0)</f>
        <v/>
      </c>
      <c r="BK1558">
        <f>IFERROR(INDEX(PP_Grid[#Data],$DE1558,60),0)</f>
        <v/>
      </c>
      <c r="BL1558">
        <f>IFERROR(INDEX(PP_Grid[#Data],$DE1558,61),0)</f>
        <v/>
      </c>
      <c r="BM1558">
        <f>IFERROR(INDEX(PP_Grid[#Data],$DE1558,62),0)</f>
        <v/>
      </c>
      <c r="BN1558">
        <f>IFERROR(INDEX(PP_Grid[#Data],$DE1558,63),0)</f>
        <v/>
      </c>
      <c r="BO1558">
        <f>IFERROR(INDEX(PP_Grid[#Data],$DE1558,64),0)</f>
        <v/>
      </c>
      <c r="BP1558">
        <f>IFERROR(INDEX(PP_Grid[#Data],$DE1558,65),0)</f>
        <v/>
      </c>
      <c r="BQ1558">
        <f>IFERROR(INDEX(PP_Grid[#Data],$DE1558,66),0)</f>
        <v/>
      </c>
      <c r="BR1558">
        <f>IFERROR(INDEX(PP_Grid[#Data],$DE1558,67),0)</f>
        <v/>
      </c>
      <c r="BS1558">
        <f>IFERROR(INDEX(PP_Grid[#Data],$DE1558,68),0)</f>
        <v/>
      </c>
      <c r="BT1558">
        <f>IFERROR(INDEX(PP_Grid[#Data],$DE1558,69),0)</f>
        <v/>
      </c>
      <c r="BU1558">
        <f>IFERROR(INDEX(PP_Grid[#Data],$DE1558,70),0)</f>
        <v/>
      </c>
      <c r="BV1558">
        <f>IFERROR(INDEX(PP_Grid[#Data],$DE1558,71),0)</f>
        <v/>
      </c>
      <c r="BW1558">
        <f>IFERROR(INDEX(PP_Grid[#Data],$DE1558,72),0)</f>
        <v/>
      </c>
      <c r="BX1558">
        <f>IFERROR(INDEX(PP_Grid[#Data],$DE1558,73),0)</f>
        <v/>
      </c>
      <c r="BY1558">
        <f>IFERROR(INDEX(PP_Grid[#Data],$DE1558,74),0)</f>
        <v/>
      </c>
      <c r="BZ1558">
        <f>IFERROR(INDEX(PP_Grid[#Data],$DE1558,75),0)</f>
        <v/>
      </c>
      <c r="CA1558">
        <f>IFERROR(INDEX(PP_Grid[#Data],$DE1558,76),0)</f>
        <v/>
      </c>
      <c r="CB1558">
        <f>IFERROR(INDEX(PP_Grid[#Data],$DE1558,77),0)</f>
        <v/>
      </c>
      <c r="CC1558">
        <f>IFERROR(INDEX(PP_Grid[#Data],$DE1558,78),0)</f>
        <v/>
      </c>
      <c r="CD1558">
        <f>IFERROR(INDEX(PP_Grid[#Data],$DE1558,79),0)</f>
        <v/>
      </c>
      <c r="CE1558">
        <f>IFERROR(INDEX(PP_Grid[#Data],$DE1558,80),0)</f>
        <v/>
      </c>
      <c r="CF1558">
        <f>IFERROR(INDEX(PP_Grid[#Data],$DE1558,81),0)</f>
        <v/>
      </c>
      <c r="CG1558">
        <f>IFERROR(INDEX(PP_Grid[#Data],$DE1558,82),0)</f>
        <v/>
      </c>
      <c r="CH1558">
        <f>IFERROR(INDEX(PP_Grid[#Data],$DE1558,83),0)</f>
        <v/>
      </c>
      <c r="CI1558">
        <f>IFERROR(INDEX(PP_Grid[#Data],$DE1558,84),0)</f>
        <v/>
      </c>
      <c r="CJ1558">
        <f>IFERROR(INDEX(PP_Grid[#Data],$DE1558,85),0)</f>
        <v/>
      </c>
      <c r="CK1558">
        <f>IFERROR(INDEX(PP_Grid[#Data],$DE1558,86),0)</f>
        <v/>
      </c>
      <c r="CL1558">
        <f>IFERROR(INDEX(PP_Grid[#Data],$DE1558,87),0)</f>
        <v/>
      </c>
      <c r="CM1558">
        <f>IFERROR(INDEX(PP_Grid[#Data],$DE1558,88),0)</f>
        <v/>
      </c>
      <c r="CN1558">
        <f>IFERROR(INDEX(PP_Grid[#Data],$DE1558,89),0)</f>
        <v/>
      </c>
      <c r="CO1558">
        <f>IFERROR(INDEX(PP_Grid[#Data],$DE1558,90),0)</f>
        <v/>
      </c>
      <c r="CP1558">
        <f>IFERROR(INDEX(PP_Grid[#Data],$DE1558,91),0)</f>
        <v/>
      </c>
      <c r="CQ1558">
        <f>IFERROR(INDEX(PP_Grid[#Data],$DE1558,92),0)</f>
        <v/>
      </c>
      <c r="CR1558">
        <f>IFERROR(INDEX(PP_Grid[#Data],$DE1558,93),0)</f>
        <v/>
      </c>
      <c r="CS1558">
        <f>IFERROR(INDEX(PP_Grid[#Data],$DE1558,94),0)</f>
        <v/>
      </c>
      <c r="CT1558">
        <f>IFERROR(INDEX(PP_Grid[#Data],$DE1558,95),0)</f>
        <v/>
      </c>
      <c r="CU1558">
        <f>IFERROR(INDEX(PP_Grid[#Data],$DE1558,96),0)</f>
        <v/>
      </c>
      <c r="CV1558">
        <f>IFERROR(INDEX(PP_Grid[#Data],$DE1558,97),0)</f>
        <v/>
      </c>
      <c r="CW1558">
        <f>IFERROR(INDEX(PP_Grid[#Data],$DE1558,98),0)</f>
        <v/>
      </c>
      <c r="CX1558">
        <f>IFERROR(INDEX(PP_Grid[#Data],$DE1558,99),0)</f>
        <v/>
      </c>
      <c r="CY1558">
        <f>IFERROR(INDEX(PP_Grid[#Data],$DE1558,100),0)</f>
        <v/>
      </c>
      <c r="CZ1558">
        <f>IFERROR(INDEX(PP_Grid[#Data],$DE1558,101),0)</f>
        <v/>
      </c>
      <c r="DA1558">
        <f>IFERROR(INDEX(PP_Grid[#Data],$DE1558,102),0)</f>
        <v/>
      </c>
      <c r="DB1558">
        <f>IFERROR(INDEX(PP_Grid[#Data],$DE1558,103),0)</f>
        <v/>
      </c>
      <c r="DC1558">
        <f>IFERROR(INDEX(PP_Grid[#Data],$DE1558,104),0)</f>
        <v/>
      </c>
      <c r="DD1558">
        <f>IFERROR(INDEX(PP_Grid[#Data],$DE1558,105),0)</f>
        <v/>
      </c>
      <c r="DE1558" s="7">
        <f>IFERROR(MATCH($B1558,PP_Grid[Intermediate],0),99999)</f>
        <v/>
      </c>
    </row>
    <row r="1559">
      <c r="B1559" t="inlineStr">
        <is>
          <t>使用量(kg)</t>
        </is>
      </c>
      <c r="C1559">
        <f>SUMIFS(M_BOM[RM_Qty_Per_Batch],M_BOM[Intermediate],$B1558,M_BOM[RM_Code],$A1553)</f>
        <v/>
      </c>
      <c r="D1559">
        <f>IFERROR(INDEX(E1559:DD1559,$F$1),"")</f>
        <v/>
      </c>
      <c r="E1559">
        <f>$C1559*E1558</f>
        <v/>
      </c>
      <c r="F1559">
        <f>$C1559*F1558</f>
        <v/>
      </c>
      <c r="G1559">
        <f>$C1559*G1558</f>
        <v/>
      </c>
      <c r="H1559">
        <f>$C1559*H1558</f>
        <v/>
      </c>
      <c r="I1559">
        <f>$C1559*I1558</f>
        <v/>
      </c>
      <c r="J1559">
        <f>$C1559*J1558</f>
        <v/>
      </c>
      <c r="K1559">
        <f>$C1559*K1558</f>
        <v/>
      </c>
      <c r="L1559">
        <f>$C1559*L1558</f>
        <v/>
      </c>
      <c r="M1559">
        <f>$C1559*M1558</f>
        <v/>
      </c>
      <c r="N1559">
        <f>$C1559*N1558</f>
        <v/>
      </c>
      <c r="O1559">
        <f>$C1559*O1558</f>
        <v/>
      </c>
      <c r="P1559">
        <f>$C1559*P1558</f>
        <v/>
      </c>
      <c r="Q1559">
        <f>$C1559*Q1558</f>
        <v/>
      </c>
      <c r="R1559">
        <f>$C1559*R1558</f>
        <v/>
      </c>
      <c r="S1559">
        <f>$C1559*S1558</f>
        <v/>
      </c>
      <c r="T1559">
        <f>$C1559*T1558</f>
        <v/>
      </c>
      <c r="U1559">
        <f>$C1559*U1558</f>
        <v/>
      </c>
      <c r="V1559">
        <f>$C1559*V1558</f>
        <v/>
      </c>
      <c r="W1559">
        <f>$C1559*W1558</f>
        <v/>
      </c>
      <c r="X1559">
        <f>$C1559*X1558</f>
        <v/>
      </c>
      <c r="Y1559">
        <f>$C1559*Y1558</f>
        <v/>
      </c>
      <c r="Z1559">
        <f>$C1559*Z1558</f>
        <v/>
      </c>
      <c r="AA1559">
        <f>$C1559*AA1558</f>
        <v/>
      </c>
      <c r="AB1559">
        <f>$C1559*AB1558</f>
        <v/>
      </c>
      <c r="AC1559">
        <f>$C1559*AC1558</f>
        <v/>
      </c>
      <c r="AD1559">
        <f>$C1559*AD1558</f>
        <v/>
      </c>
      <c r="AE1559">
        <f>$C1559*AE1558</f>
        <v/>
      </c>
      <c r="AF1559">
        <f>$C1559*AF1558</f>
        <v/>
      </c>
      <c r="AG1559">
        <f>$C1559*AG1558</f>
        <v/>
      </c>
      <c r="AH1559">
        <f>$C1559*AH1558</f>
        <v/>
      </c>
      <c r="AI1559">
        <f>$C1559*AI1558</f>
        <v/>
      </c>
      <c r="AJ1559">
        <f>$C1559*AJ1558</f>
        <v/>
      </c>
      <c r="AK1559">
        <f>$C1559*AK1558</f>
        <v/>
      </c>
      <c r="AL1559">
        <f>$C1559*AL1558</f>
        <v/>
      </c>
      <c r="AM1559">
        <f>$C1559*AM1558</f>
        <v/>
      </c>
      <c r="AN1559">
        <f>$C1559*AN1558</f>
        <v/>
      </c>
      <c r="AO1559">
        <f>$C1559*AO1558</f>
        <v/>
      </c>
      <c r="AP1559">
        <f>$C1559*AP1558</f>
        <v/>
      </c>
      <c r="AQ1559">
        <f>$C1559*AQ1558</f>
        <v/>
      </c>
      <c r="AR1559">
        <f>$C1559*AR1558</f>
        <v/>
      </c>
      <c r="AS1559">
        <f>$C1559*AS1558</f>
        <v/>
      </c>
      <c r="AT1559">
        <f>$C1559*AT1558</f>
        <v/>
      </c>
      <c r="AU1559">
        <f>$C1559*AU1558</f>
        <v/>
      </c>
      <c r="AV1559">
        <f>$C1559*AV1558</f>
        <v/>
      </c>
      <c r="AW1559">
        <f>$C1559*AW1558</f>
        <v/>
      </c>
      <c r="AX1559">
        <f>$C1559*AX1558</f>
        <v/>
      </c>
      <c r="AY1559">
        <f>$C1559*AY1558</f>
        <v/>
      </c>
      <c r="AZ1559">
        <f>$C1559*AZ1558</f>
        <v/>
      </c>
      <c r="BA1559">
        <f>$C1559*BA1558</f>
        <v/>
      </c>
      <c r="BB1559">
        <f>$C1559*BB1558</f>
        <v/>
      </c>
      <c r="BC1559">
        <f>$C1559*BC1558</f>
        <v/>
      </c>
      <c r="BD1559">
        <f>$C1559*BD1558</f>
        <v/>
      </c>
      <c r="BE1559">
        <f>$C1559*BE1558</f>
        <v/>
      </c>
      <c r="BF1559">
        <f>$C1559*BF1558</f>
        <v/>
      </c>
      <c r="BG1559">
        <f>$C1559*BG1558</f>
        <v/>
      </c>
      <c r="BH1559">
        <f>$C1559*BH1558</f>
        <v/>
      </c>
      <c r="BI1559">
        <f>$C1559*BI1558</f>
        <v/>
      </c>
      <c r="BJ1559">
        <f>$C1559*BJ1558</f>
        <v/>
      </c>
      <c r="BK1559">
        <f>$C1559*BK1558</f>
        <v/>
      </c>
      <c r="BL1559">
        <f>$C1559*BL1558</f>
        <v/>
      </c>
      <c r="BM1559">
        <f>$C1559*BM1558</f>
        <v/>
      </c>
      <c r="BN1559">
        <f>$C1559*BN1558</f>
        <v/>
      </c>
      <c r="BO1559">
        <f>$C1559*BO1558</f>
        <v/>
      </c>
      <c r="BP1559">
        <f>$C1559*BP1558</f>
        <v/>
      </c>
      <c r="BQ1559">
        <f>$C1559*BQ1558</f>
        <v/>
      </c>
      <c r="BR1559">
        <f>$C1559*BR1558</f>
        <v/>
      </c>
      <c r="BS1559">
        <f>$C1559*BS1558</f>
        <v/>
      </c>
      <c r="BT1559">
        <f>$C1559*BT1558</f>
        <v/>
      </c>
      <c r="BU1559">
        <f>$C1559*BU1558</f>
        <v/>
      </c>
      <c r="BV1559">
        <f>$C1559*BV1558</f>
        <v/>
      </c>
      <c r="BW1559">
        <f>$C1559*BW1558</f>
        <v/>
      </c>
      <c r="BX1559">
        <f>$C1559*BX1558</f>
        <v/>
      </c>
      <c r="BY1559">
        <f>$C1559*BY1558</f>
        <v/>
      </c>
      <c r="BZ1559">
        <f>$C1559*BZ1558</f>
        <v/>
      </c>
      <c r="CA1559">
        <f>$C1559*CA1558</f>
        <v/>
      </c>
      <c r="CB1559">
        <f>$C1559*CB1558</f>
        <v/>
      </c>
      <c r="CC1559">
        <f>$C1559*CC1558</f>
        <v/>
      </c>
      <c r="CD1559">
        <f>$C1559*CD1558</f>
        <v/>
      </c>
      <c r="CE1559">
        <f>$C1559*CE1558</f>
        <v/>
      </c>
      <c r="CF1559">
        <f>$C1559*CF1558</f>
        <v/>
      </c>
      <c r="CG1559">
        <f>$C1559*CG1558</f>
        <v/>
      </c>
      <c r="CH1559">
        <f>$C1559*CH1558</f>
        <v/>
      </c>
      <c r="CI1559">
        <f>$C1559*CI1558</f>
        <v/>
      </c>
      <c r="CJ1559">
        <f>$C1559*CJ1558</f>
        <v/>
      </c>
      <c r="CK1559">
        <f>$C1559*CK1558</f>
        <v/>
      </c>
      <c r="CL1559">
        <f>$C1559*CL1558</f>
        <v/>
      </c>
      <c r="CM1559">
        <f>$C1559*CM1558</f>
        <v/>
      </c>
      <c r="CN1559">
        <f>$C1559*CN1558</f>
        <v/>
      </c>
      <c r="CO1559">
        <f>$C1559*CO1558</f>
        <v/>
      </c>
      <c r="CP1559">
        <f>$C1559*CP1558</f>
        <v/>
      </c>
      <c r="CQ1559">
        <f>$C1559*CQ1558</f>
        <v/>
      </c>
      <c r="CR1559">
        <f>$C1559*CR1558</f>
        <v/>
      </c>
      <c r="CS1559">
        <f>$C1559*CS1558</f>
        <v/>
      </c>
      <c r="CT1559">
        <f>$C1559*CT1558</f>
        <v/>
      </c>
      <c r="CU1559">
        <f>$C1559*CU1558</f>
        <v/>
      </c>
      <c r="CV1559">
        <f>$C1559*CV1558</f>
        <v/>
      </c>
      <c r="CW1559">
        <f>$C1559*CW1558</f>
        <v/>
      </c>
      <c r="CX1559">
        <f>$C1559*CX1558</f>
        <v/>
      </c>
      <c r="CY1559">
        <f>$C1559*CY1558</f>
        <v/>
      </c>
      <c r="CZ1559">
        <f>$C1559*CZ1558</f>
        <v/>
      </c>
      <c r="DA1559">
        <f>$C1559*DA1558</f>
        <v/>
      </c>
      <c r="DB1559">
        <f>$C1559*DB1558</f>
        <v/>
      </c>
      <c r="DC1559">
        <f>$C1559*DC1558</f>
        <v/>
      </c>
      <c r="DD1559">
        <f>$C1559*DD1558</f>
        <v/>
      </c>
    </row>
    <row r="1560">
      <c r="B1560" s="4" t="inlineStr">
        <is>
          <t>合計使用量(kg)/週</t>
        </is>
      </c>
      <c r="D1560" s="23">
        <f>IFERROR(INDEX(E1560:DD1560,$F$1),"")</f>
        <v/>
      </c>
      <c r="E1560">
        <f>'Grid_Requirement'!B26</f>
        <v/>
      </c>
      <c r="F1560">
        <f>'Grid_Requirement'!C26</f>
        <v/>
      </c>
      <c r="G1560">
        <f>'Grid_Requirement'!D26</f>
        <v/>
      </c>
      <c r="H1560">
        <f>'Grid_Requirement'!E26</f>
        <v/>
      </c>
      <c r="I1560">
        <f>'Grid_Requirement'!F26</f>
        <v/>
      </c>
      <c r="J1560">
        <f>'Grid_Requirement'!G26</f>
        <v/>
      </c>
      <c r="K1560">
        <f>'Grid_Requirement'!H26</f>
        <v/>
      </c>
      <c r="L1560">
        <f>'Grid_Requirement'!I26</f>
        <v/>
      </c>
      <c r="M1560">
        <f>'Grid_Requirement'!J26</f>
        <v/>
      </c>
      <c r="N1560">
        <f>'Grid_Requirement'!K26</f>
        <v/>
      </c>
      <c r="O1560">
        <f>'Grid_Requirement'!L26</f>
        <v/>
      </c>
      <c r="P1560">
        <f>'Grid_Requirement'!M26</f>
        <v/>
      </c>
      <c r="Q1560">
        <f>'Grid_Requirement'!N26</f>
        <v/>
      </c>
      <c r="R1560">
        <f>'Grid_Requirement'!O26</f>
        <v/>
      </c>
      <c r="S1560">
        <f>'Grid_Requirement'!P26</f>
        <v/>
      </c>
      <c r="T1560">
        <f>'Grid_Requirement'!Q26</f>
        <v/>
      </c>
      <c r="U1560">
        <f>'Grid_Requirement'!R26</f>
        <v/>
      </c>
      <c r="V1560">
        <f>'Grid_Requirement'!S26</f>
        <v/>
      </c>
      <c r="W1560">
        <f>'Grid_Requirement'!T26</f>
        <v/>
      </c>
      <c r="X1560">
        <f>'Grid_Requirement'!U26</f>
        <v/>
      </c>
      <c r="Y1560">
        <f>'Grid_Requirement'!V26</f>
        <v/>
      </c>
      <c r="Z1560">
        <f>'Grid_Requirement'!W26</f>
        <v/>
      </c>
      <c r="AA1560">
        <f>'Grid_Requirement'!X26</f>
        <v/>
      </c>
      <c r="AB1560">
        <f>'Grid_Requirement'!Y26</f>
        <v/>
      </c>
      <c r="AC1560">
        <f>'Grid_Requirement'!Z26</f>
        <v/>
      </c>
      <c r="AD1560">
        <f>'Grid_Requirement'!AA26</f>
        <v/>
      </c>
      <c r="AE1560">
        <f>'Grid_Requirement'!AB26</f>
        <v/>
      </c>
      <c r="AF1560">
        <f>'Grid_Requirement'!AC26</f>
        <v/>
      </c>
      <c r="AG1560">
        <f>'Grid_Requirement'!AD26</f>
        <v/>
      </c>
      <c r="AH1560">
        <f>'Grid_Requirement'!AE26</f>
        <v/>
      </c>
      <c r="AI1560">
        <f>'Grid_Requirement'!AF26</f>
        <v/>
      </c>
      <c r="AJ1560">
        <f>'Grid_Requirement'!AG26</f>
        <v/>
      </c>
      <c r="AK1560">
        <f>'Grid_Requirement'!AH26</f>
        <v/>
      </c>
      <c r="AL1560">
        <f>'Grid_Requirement'!AI26</f>
        <v/>
      </c>
      <c r="AM1560">
        <f>'Grid_Requirement'!AJ26</f>
        <v/>
      </c>
      <c r="AN1560">
        <f>'Grid_Requirement'!AK26</f>
        <v/>
      </c>
      <c r="AO1560">
        <f>'Grid_Requirement'!AL26</f>
        <v/>
      </c>
      <c r="AP1560">
        <f>'Grid_Requirement'!AM26</f>
        <v/>
      </c>
      <c r="AQ1560">
        <f>'Grid_Requirement'!AN26</f>
        <v/>
      </c>
      <c r="AR1560">
        <f>'Grid_Requirement'!AO26</f>
        <v/>
      </c>
      <c r="AS1560">
        <f>'Grid_Requirement'!AP26</f>
        <v/>
      </c>
      <c r="AT1560">
        <f>'Grid_Requirement'!AQ26</f>
        <v/>
      </c>
      <c r="AU1560">
        <f>'Grid_Requirement'!AR26</f>
        <v/>
      </c>
      <c r="AV1560">
        <f>'Grid_Requirement'!AS26</f>
        <v/>
      </c>
      <c r="AW1560">
        <f>'Grid_Requirement'!AT26</f>
        <v/>
      </c>
      <c r="AX1560">
        <f>'Grid_Requirement'!AU26</f>
        <v/>
      </c>
      <c r="AY1560">
        <f>'Grid_Requirement'!AV26</f>
        <v/>
      </c>
      <c r="AZ1560">
        <f>'Grid_Requirement'!AW26</f>
        <v/>
      </c>
      <c r="BA1560">
        <f>'Grid_Requirement'!AX26</f>
        <v/>
      </c>
      <c r="BB1560">
        <f>'Grid_Requirement'!AY26</f>
        <v/>
      </c>
      <c r="BC1560">
        <f>'Grid_Requirement'!AZ26</f>
        <v/>
      </c>
      <c r="BD1560">
        <f>'Grid_Requirement'!BA26</f>
        <v/>
      </c>
      <c r="BE1560">
        <f>'Grid_Requirement'!BB26</f>
        <v/>
      </c>
      <c r="BF1560">
        <f>'Grid_Requirement'!BC26</f>
        <v/>
      </c>
      <c r="BG1560">
        <f>'Grid_Requirement'!BD26</f>
        <v/>
      </c>
      <c r="BH1560">
        <f>'Grid_Requirement'!BE26</f>
        <v/>
      </c>
      <c r="BI1560">
        <f>'Grid_Requirement'!BF26</f>
        <v/>
      </c>
      <c r="BJ1560">
        <f>'Grid_Requirement'!BG26</f>
        <v/>
      </c>
      <c r="BK1560">
        <f>'Grid_Requirement'!BH26</f>
        <v/>
      </c>
      <c r="BL1560">
        <f>'Grid_Requirement'!BI26</f>
        <v/>
      </c>
      <c r="BM1560">
        <f>'Grid_Requirement'!BJ26</f>
        <v/>
      </c>
      <c r="BN1560">
        <f>'Grid_Requirement'!BK26</f>
        <v/>
      </c>
      <c r="BO1560">
        <f>'Grid_Requirement'!BL26</f>
        <v/>
      </c>
      <c r="BP1560">
        <f>'Grid_Requirement'!BM26</f>
        <v/>
      </c>
      <c r="BQ1560">
        <f>'Grid_Requirement'!BN26</f>
        <v/>
      </c>
      <c r="BR1560">
        <f>'Grid_Requirement'!BO26</f>
        <v/>
      </c>
      <c r="BS1560">
        <f>'Grid_Requirement'!BP26</f>
        <v/>
      </c>
      <c r="BT1560">
        <f>'Grid_Requirement'!BQ26</f>
        <v/>
      </c>
      <c r="BU1560">
        <f>'Grid_Requirement'!BR26</f>
        <v/>
      </c>
      <c r="BV1560">
        <f>'Grid_Requirement'!BS26</f>
        <v/>
      </c>
      <c r="BW1560">
        <f>'Grid_Requirement'!BT26</f>
        <v/>
      </c>
      <c r="BX1560">
        <f>'Grid_Requirement'!BU26</f>
        <v/>
      </c>
      <c r="BY1560">
        <f>'Grid_Requirement'!BV26</f>
        <v/>
      </c>
      <c r="BZ1560">
        <f>'Grid_Requirement'!BW26</f>
        <v/>
      </c>
      <c r="CA1560">
        <f>'Grid_Requirement'!BX26</f>
        <v/>
      </c>
      <c r="CB1560">
        <f>'Grid_Requirement'!BY26</f>
        <v/>
      </c>
      <c r="CC1560">
        <f>'Grid_Requirement'!BZ26</f>
        <v/>
      </c>
      <c r="CD1560">
        <f>'Grid_Requirement'!CA26</f>
        <v/>
      </c>
      <c r="CE1560">
        <f>'Grid_Requirement'!CB26</f>
        <v/>
      </c>
      <c r="CF1560">
        <f>'Grid_Requirement'!CC26</f>
        <v/>
      </c>
      <c r="CG1560">
        <f>'Grid_Requirement'!CD26</f>
        <v/>
      </c>
      <c r="CH1560">
        <f>'Grid_Requirement'!CE26</f>
        <v/>
      </c>
      <c r="CI1560">
        <f>'Grid_Requirement'!CF26</f>
        <v/>
      </c>
      <c r="CJ1560">
        <f>'Grid_Requirement'!CG26</f>
        <v/>
      </c>
      <c r="CK1560">
        <f>'Grid_Requirement'!CH26</f>
        <v/>
      </c>
      <c r="CL1560">
        <f>'Grid_Requirement'!CI26</f>
        <v/>
      </c>
      <c r="CM1560">
        <f>'Grid_Requirement'!CJ26</f>
        <v/>
      </c>
      <c r="CN1560">
        <f>'Grid_Requirement'!CK26</f>
        <v/>
      </c>
      <c r="CO1560">
        <f>'Grid_Requirement'!CL26</f>
        <v/>
      </c>
      <c r="CP1560">
        <f>'Grid_Requirement'!CM26</f>
        <v/>
      </c>
      <c r="CQ1560">
        <f>'Grid_Requirement'!CN26</f>
        <v/>
      </c>
      <c r="CR1560">
        <f>'Grid_Requirement'!CO26</f>
        <v/>
      </c>
      <c r="CS1560">
        <f>'Grid_Requirement'!CP26</f>
        <v/>
      </c>
      <c r="CT1560">
        <f>'Grid_Requirement'!CQ26</f>
        <v/>
      </c>
      <c r="CU1560">
        <f>'Grid_Requirement'!CR26</f>
        <v/>
      </c>
      <c r="CV1560">
        <f>'Grid_Requirement'!CS26</f>
        <v/>
      </c>
      <c r="CW1560">
        <f>'Grid_Requirement'!CT26</f>
        <v/>
      </c>
      <c r="CX1560">
        <f>'Grid_Requirement'!CU26</f>
        <v/>
      </c>
      <c r="CY1560">
        <f>'Grid_Requirement'!CV26</f>
        <v/>
      </c>
      <c r="CZ1560">
        <f>'Grid_Requirement'!CW26</f>
        <v/>
      </c>
      <c r="DA1560">
        <f>'Grid_Requirement'!CX26</f>
        <v/>
      </c>
      <c r="DB1560">
        <f>'Grid_Requirement'!CY26</f>
        <v/>
      </c>
      <c r="DC1560">
        <f>'Grid_Requirement'!CZ26</f>
        <v/>
      </c>
      <c r="DD1560">
        <f>'Grid_Requirement'!DA26</f>
        <v/>
      </c>
    </row>
    <row r="1561">
      <c r="B1561" t="inlineStr">
        <is>
          <t>TTAF在庫(実績,kg)</t>
        </is>
      </c>
      <c r="D1561">
        <f>IFERROR(INDEX(E1561:DD1561,$F$1),"")</f>
        <v/>
      </c>
      <c r="E1561">
        <f>IFERROR(SUMIFS(T_TTAFStock[TTAF_Qty],T_TTAFStock[RM_Code],$A1553,T_TTAFStock[WeekIndex],1),"")</f>
        <v/>
      </c>
      <c r="F1561">
        <f>IFERROR(SUMIFS(T_TTAFStock[TTAF_Qty],T_TTAFStock[RM_Code],$A1553,T_TTAFStock[WeekIndex],2),"")</f>
        <v/>
      </c>
      <c r="G1561">
        <f>IFERROR(SUMIFS(T_TTAFStock[TTAF_Qty],T_TTAFStock[RM_Code],$A1553,T_TTAFStock[WeekIndex],3),"")</f>
        <v/>
      </c>
      <c r="H1561">
        <f>IFERROR(SUMIFS(T_TTAFStock[TTAF_Qty],T_TTAFStock[RM_Code],$A1553,T_TTAFStock[WeekIndex],4),"")</f>
        <v/>
      </c>
      <c r="I1561">
        <f>IFERROR(SUMIFS(T_TTAFStock[TTAF_Qty],T_TTAFStock[RM_Code],$A1553,T_TTAFStock[WeekIndex],5),"")</f>
        <v/>
      </c>
      <c r="J1561">
        <f>IFERROR(SUMIFS(T_TTAFStock[TTAF_Qty],T_TTAFStock[RM_Code],$A1553,T_TTAFStock[WeekIndex],6),"")</f>
        <v/>
      </c>
      <c r="K1561">
        <f>IFERROR(SUMIFS(T_TTAFStock[TTAF_Qty],T_TTAFStock[RM_Code],$A1553,T_TTAFStock[WeekIndex],7),"")</f>
        <v/>
      </c>
      <c r="L1561">
        <f>IFERROR(SUMIFS(T_TTAFStock[TTAF_Qty],T_TTAFStock[RM_Code],$A1553,T_TTAFStock[WeekIndex],8),"")</f>
        <v/>
      </c>
      <c r="M1561">
        <f>IFERROR(SUMIFS(T_TTAFStock[TTAF_Qty],T_TTAFStock[RM_Code],$A1553,T_TTAFStock[WeekIndex],9),"")</f>
        <v/>
      </c>
      <c r="N1561">
        <f>IFERROR(SUMIFS(T_TTAFStock[TTAF_Qty],T_TTAFStock[RM_Code],$A1553,T_TTAFStock[WeekIndex],10),"")</f>
        <v/>
      </c>
      <c r="O1561">
        <f>IFERROR(SUMIFS(T_TTAFStock[TTAF_Qty],T_TTAFStock[RM_Code],$A1553,T_TTAFStock[WeekIndex],11),"")</f>
        <v/>
      </c>
      <c r="P1561">
        <f>IFERROR(SUMIFS(T_TTAFStock[TTAF_Qty],T_TTAFStock[RM_Code],$A1553,T_TTAFStock[WeekIndex],12),"")</f>
        <v/>
      </c>
      <c r="Q1561">
        <f>IFERROR(SUMIFS(T_TTAFStock[TTAF_Qty],T_TTAFStock[RM_Code],$A1553,T_TTAFStock[WeekIndex],13),"")</f>
        <v/>
      </c>
      <c r="R1561">
        <f>IFERROR(SUMIFS(T_TTAFStock[TTAF_Qty],T_TTAFStock[RM_Code],$A1553,T_TTAFStock[WeekIndex],14),"")</f>
        <v/>
      </c>
      <c r="S1561">
        <f>IFERROR(SUMIFS(T_TTAFStock[TTAF_Qty],T_TTAFStock[RM_Code],$A1553,T_TTAFStock[WeekIndex],15),"")</f>
        <v/>
      </c>
      <c r="T1561">
        <f>IFERROR(SUMIFS(T_TTAFStock[TTAF_Qty],T_TTAFStock[RM_Code],$A1553,T_TTAFStock[WeekIndex],16),"")</f>
        <v/>
      </c>
      <c r="U1561">
        <f>IFERROR(SUMIFS(T_TTAFStock[TTAF_Qty],T_TTAFStock[RM_Code],$A1553,T_TTAFStock[WeekIndex],17),"")</f>
        <v/>
      </c>
      <c r="V1561">
        <f>IFERROR(SUMIFS(T_TTAFStock[TTAF_Qty],T_TTAFStock[RM_Code],$A1553,T_TTAFStock[WeekIndex],18),"")</f>
        <v/>
      </c>
      <c r="W1561">
        <f>IFERROR(SUMIFS(T_TTAFStock[TTAF_Qty],T_TTAFStock[RM_Code],$A1553,T_TTAFStock[WeekIndex],19),"")</f>
        <v/>
      </c>
      <c r="X1561">
        <f>IFERROR(SUMIFS(T_TTAFStock[TTAF_Qty],T_TTAFStock[RM_Code],$A1553,T_TTAFStock[WeekIndex],20),"")</f>
        <v/>
      </c>
      <c r="Y1561">
        <f>IFERROR(SUMIFS(T_TTAFStock[TTAF_Qty],T_TTAFStock[RM_Code],$A1553,T_TTAFStock[WeekIndex],21),"")</f>
        <v/>
      </c>
      <c r="Z1561">
        <f>IFERROR(SUMIFS(T_TTAFStock[TTAF_Qty],T_TTAFStock[RM_Code],$A1553,T_TTAFStock[WeekIndex],22),"")</f>
        <v/>
      </c>
      <c r="AA1561">
        <f>IFERROR(SUMIFS(T_TTAFStock[TTAF_Qty],T_TTAFStock[RM_Code],$A1553,T_TTAFStock[WeekIndex],23),"")</f>
        <v/>
      </c>
      <c r="AB1561">
        <f>IFERROR(SUMIFS(T_TTAFStock[TTAF_Qty],T_TTAFStock[RM_Code],$A1553,T_TTAFStock[WeekIndex],24),"")</f>
        <v/>
      </c>
      <c r="AC1561">
        <f>IFERROR(SUMIFS(T_TTAFStock[TTAF_Qty],T_TTAFStock[RM_Code],$A1553,T_TTAFStock[WeekIndex],25),"")</f>
        <v/>
      </c>
      <c r="AD1561">
        <f>IFERROR(SUMIFS(T_TTAFStock[TTAF_Qty],T_TTAFStock[RM_Code],$A1553,T_TTAFStock[WeekIndex],26),"")</f>
        <v/>
      </c>
      <c r="AE1561">
        <f>IFERROR(SUMIFS(T_TTAFStock[TTAF_Qty],T_TTAFStock[RM_Code],$A1553,T_TTAFStock[WeekIndex],27),"")</f>
        <v/>
      </c>
      <c r="AF1561">
        <f>IFERROR(SUMIFS(T_TTAFStock[TTAF_Qty],T_TTAFStock[RM_Code],$A1553,T_TTAFStock[WeekIndex],28),"")</f>
        <v/>
      </c>
      <c r="AG1561">
        <f>IFERROR(SUMIFS(T_TTAFStock[TTAF_Qty],T_TTAFStock[RM_Code],$A1553,T_TTAFStock[WeekIndex],29),"")</f>
        <v/>
      </c>
      <c r="AH1561">
        <f>IFERROR(SUMIFS(T_TTAFStock[TTAF_Qty],T_TTAFStock[RM_Code],$A1553,T_TTAFStock[WeekIndex],30),"")</f>
        <v/>
      </c>
      <c r="AI1561">
        <f>IFERROR(SUMIFS(T_TTAFStock[TTAF_Qty],T_TTAFStock[RM_Code],$A1553,T_TTAFStock[WeekIndex],31),"")</f>
        <v/>
      </c>
      <c r="AJ1561">
        <f>IFERROR(SUMIFS(T_TTAFStock[TTAF_Qty],T_TTAFStock[RM_Code],$A1553,T_TTAFStock[WeekIndex],32),"")</f>
        <v/>
      </c>
      <c r="AK1561">
        <f>IFERROR(SUMIFS(T_TTAFStock[TTAF_Qty],T_TTAFStock[RM_Code],$A1553,T_TTAFStock[WeekIndex],33),"")</f>
        <v/>
      </c>
      <c r="AL1561">
        <f>IFERROR(SUMIFS(T_TTAFStock[TTAF_Qty],T_TTAFStock[RM_Code],$A1553,T_TTAFStock[WeekIndex],34),"")</f>
        <v/>
      </c>
      <c r="AM1561">
        <f>IFERROR(SUMIFS(T_TTAFStock[TTAF_Qty],T_TTAFStock[RM_Code],$A1553,T_TTAFStock[WeekIndex],35),"")</f>
        <v/>
      </c>
      <c r="AN1561">
        <f>IFERROR(SUMIFS(T_TTAFStock[TTAF_Qty],T_TTAFStock[RM_Code],$A1553,T_TTAFStock[WeekIndex],36),"")</f>
        <v/>
      </c>
      <c r="AO1561">
        <f>IFERROR(SUMIFS(T_TTAFStock[TTAF_Qty],T_TTAFStock[RM_Code],$A1553,T_TTAFStock[WeekIndex],37),"")</f>
        <v/>
      </c>
      <c r="AP1561">
        <f>IFERROR(SUMIFS(T_TTAFStock[TTAF_Qty],T_TTAFStock[RM_Code],$A1553,T_TTAFStock[WeekIndex],38),"")</f>
        <v/>
      </c>
      <c r="AQ1561">
        <f>IFERROR(SUMIFS(T_TTAFStock[TTAF_Qty],T_TTAFStock[RM_Code],$A1553,T_TTAFStock[WeekIndex],39),"")</f>
        <v/>
      </c>
      <c r="AR1561">
        <f>IFERROR(SUMIFS(T_TTAFStock[TTAF_Qty],T_TTAFStock[RM_Code],$A1553,T_TTAFStock[WeekIndex],40),"")</f>
        <v/>
      </c>
      <c r="AS1561">
        <f>IFERROR(SUMIFS(T_TTAFStock[TTAF_Qty],T_TTAFStock[RM_Code],$A1553,T_TTAFStock[WeekIndex],41),"")</f>
        <v/>
      </c>
      <c r="AT1561">
        <f>IFERROR(SUMIFS(T_TTAFStock[TTAF_Qty],T_TTAFStock[RM_Code],$A1553,T_TTAFStock[WeekIndex],42),"")</f>
        <v/>
      </c>
      <c r="AU1561">
        <f>IFERROR(SUMIFS(T_TTAFStock[TTAF_Qty],T_TTAFStock[RM_Code],$A1553,T_TTAFStock[WeekIndex],43),"")</f>
        <v/>
      </c>
      <c r="AV1561">
        <f>IFERROR(SUMIFS(T_TTAFStock[TTAF_Qty],T_TTAFStock[RM_Code],$A1553,T_TTAFStock[WeekIndex],44),"")</f>
        <v/>
      </c>
      <c r="AW1561">
        <f>IFERROR(SUMIFS(T_TTAFStock[TTAF_Qty],T_TTAFStock[RM_Code],$A1553,T_TTAFStock[WeekIndex],45),"")</f>
        <v/>
      </c>
      <c r="AX1561">
        <f>IFERROR(SUMIFS(T_TTAFStock[TTAF_Qty],T_TTAFStock[RM_Code],$A1553,T_TTAFStock[WeekIndex],46),"")</f>
        <v/>
      </c>
      <c r="AY1561">
        <f>IFERROR(SUMIFS(T_TTAFStock[TTAF_Qty],T_TTAFStock[RM_Code],$A1553,T_TTAFStock[WeekIndex],47),"")</f>
        <v/>
      </c>
      <c r="AZ1561">
        <f>IFERROR(SUMIFS(T_TTAFStock[TTAF_Qty],T_TTAFStock[RM_Code],$A1553,T_TTAFStock[WeekIndex],48),"")</f>
        <v/>
      </c>
      <c r="BA1561">
        <f>IFERROR(SUMIFS(T_TTAFStock[TTAF_Qty],T_TTAFStock[RM_Code],$A1553,T_TTAFStock[WeekIndex],49),"")</f>
        <v/>
      </c>
      <c r="BB1561">
        <f>IFERROR(SUMIFS(T_TTAFStock[TTAF_Qty],T_TTAFStock[RM_Code],$A1553,T_TTAFStock[WeekIndex],50),"")</f>
        <v/>
      </c>
      <c r="BC1561">
        <f>IFERROR(SUMIFS(T_TTAFStock[TTAF_Qty],T_TTAFStock[RM_Code],$A1553,T_TTAFStock[WeekIndex],51),"")</f>
        <v/>
      </c>
      <c r="BD1561">
        <f>IFERROR(SUMIFS(T_TTAFStock[TTAF_Qty],T_TTAFStock[RM_Code],$A1553,T_TTAFStock[WeekIndex],52),"")</f>
        <v/>
      </c>
      <c r="BE1561">
        <f>IFERROR(SUMIFS(T_TTAFStock[TTAF_Qty],T_TTAFStock[RM_Code],$A1553,T_TTAFStock[WeekIndex],53),"")</f>
        <v/>
      </c>
      <c r="BF1561">
        <f>IFERROR(SUMIFS(T_TTAFStock[TTAF_Qty],T_TTAFStock[RM_Code],$A1553,T_TTAFStock[WeekIndex],54),"")</f>
        <v/>
      </c>
      <c r="BG1561">
        <f>IFERROR(SUMIFS(T_TTAFStock[TTAF_Qty],T_TTAFStock[RM_Code],$A1553,T_TTAFStock[WeekIndex],55),"")</f>
        <v/>
      </c>
      <c r="BH1561">
        <f>IFERROR(SUMIFS(T_TTAFStock[TTAF_Qty],T_TTAFStock[RM_Code],$A1553,T_TTAFStock[WeekIndex],56),"")</f>
        <v/>
      </c>
      <c r="BI1561">
        <f>IFERROR(SUMIFS(T_TTAFStock[TTAF_Qty],T_TTAFStock[RM_Code],$A1553,T_TTAFStock[WeekIndex],57),"")</f>
        <v/>
      </c>
      <c r="BJ1561">
        <f>IFERROR(SUMIFS(T_TTAFStock[TTAF_Qty],T_TTAFStock[RM_Code],$A1553,T_TTAFStock[WeekIndex],58),"")</f>
        <v/>
      </c>
      <c r="BK1561">
        <f>IFERROR(SUMIFS(T_TTAFStock[TTAF_Qty],T_TTAFStock[RM_Code],$A1553,T_TTAFStock[WeekIndex],59),"")</f>
        <v/>
      </c>
      <c r="BL1561">
        <f>IFERROR(SUMIFS(T_TTAFStock[TTAF_Qty],T_TTAFStock[RM_Code],$A1553,T_TTAFStock[WeekIndex],60),"")</f>
        <v/>
      </c>
      <c r="BM1561">
        <f>IFERROR(SUMIFS(T_TTAFStock[TTAF_Qty],T_TTAFStock[RM_Code],$A1553,T_TTAFStock[WeekIndex],61),"")</f>
        <v/>
      </c>
      <c r="BN1561">
        <f>IFERROR(SUMIFS(T_TTAFStock[TTAF_Qty],T_TTAFStock[RM_Code],$A1553,T_TTAFStock[WeekIndex],62),"")</f>
        <v/>
      </c>
      <c r="BO1561">
        <f>IFERROR(SUMIFS(T_TTAFStock[TTAF_Qty],T_TTAFStock[RM_Code],$A1553,T_TTAFStock[WeekIndex],63),"")</f>
        <v/>
      </c>
      <c r="BP1561">
        <f>IFERROR(SUMIFS(T_TTAFStock[TTAF_Qty],T_TTAFStock[RM_Code],$A1553,T_TTAFStock[WeekIndex],64),"")</f>
        <v/>
      </c>
      <c r="BQ1561">
        <f>IFERROR(SUMIFS(T_TTAFStock[TTAF_Qty],T_TTAFStock[RM_Code],$A1553,T_TTAFStock[WeekIndex],65),"")</f>
        <v/>
      </c>
      <c r="BR1561">
        <f>IFERROR(SUMIFS(T_TTAFStock[TTAF_Qty],T_TTAFStock[RM_Code],$A1553,T_TTAFStock[WeekIndex],66),"")</f>
        <v/>
      </c>
      <c r="BS1561">
        <f>IFERROR(SUMIFS(T_TTAFStock[TTAF_Qty],T_TTAFStock[RM_Code],$A1553,T_TTAFStock[WeekIndex],67),"")</f>
        <v/>
      </c>
      <c r="BT1561">
        <f>IFERROR(SUMIFS(T_TTAFStock[TTAF_Qty],T_TTAFStock[RM_Code],$A1553,T_TTAFStock[WeekIndex],68),"")</f>
        <v/>
      </c>
      <c r="BU1561">
        <f>IFERROR(SUMIFS(T_TTAFStock[TTAF_Qty],T_TTAFStock[RM_Code],$A1553,T_TTAFStock[WeekIndex],69),"")</f>
        <v/>
      </c>
      <c r="BV1561">
        <f>IFERROR(SUMIFS(T_TTAFStock[TTAF_Qty],T_TTAFStock[RM_Code],$A1553,T_TTAFStock[WeekIndex],70),"")</f>
        <v/>
      </c>
      <c r="BW1561">
        <f>IFERROR(SUMIFS(T_TTAFStock[TTAF_Qty],T_TTAFStock[RM_Code],$A1553,T_TTAFStock[WeekIndex],71),"")</f>
        <v/>
      </c>
      <c r="BX1561">
        <f>IFERROR(SUMIFS(T_TTAFStock[TTAF_Qty],T_TTAFStock[RM_Code],$A1553,T_TTAFStock[WeekIndex],72),"")</f>
        <v/>
      </c>
      <c r="BY1561">
        <f>IFERROR(SUMIFS(T_TTAFStock[TTAF_Qty],T_TTAFStock[RM_Code],$A1553,T_TTAFStock[WeekIndex],73),"")</f>
        <v/>
      </c>
      <c r="BZ1561">
        <f>IFERROR(SUMIFS(T_TTAFStock[TTAF_Qty],T_TTAFStock[RM_Code],$A1553,T_TTAFStock[WeekIndex],74),"")</f>
        <v/>
      </c>
      <c r="CA1561">
        <f>IFERROR(SUMIFS(T_TTAFStock[TTAF_Qty],T_TTAFStock[RM_Code],$A1553,T_TTAFStock[WeekIndex],75),"")</f>
        <v/>
      </c>
      <c r="CB1561">
        <f>IFERROR(SUMIFS(T_TTAFStock[TTAF_Qty],T_TTAFStock[RM_Code],$A1553,T_TTAFStock[WeekIndex],76),"")</f>
        <v/>
      </c>
      <c r="CC1561">
        <f>IFERROR(SUMIFS(T_TTAFStock[TTAF_Qty],T_TTAFStock[RM_Code],$A1553,T_TTAFStock[WeekIndex],77),"")</f>
        <v/>
      </c>
      <c r="CD1561">
        <f>IFERROR(SUMIFS(T_TTAFStock[TTAF_Qty],T_TTAFStock[RM_Code],$A1553,T_TTAFStock[WeekIndex],78),"")</f>
        <v/>
      </c>
      <c r="CE1561">
        <f>IFERROR(SUMIFS(T_TTAFStock[TTAF_Qty],T_TTAFStock[RM_Code],$A1553,T_TTAFStock[WeekIndex],79),"")</f>
        <v/>
      </c>
      <c r="CF1561">
        <f>IFERROR(SUMIFS(T_TTAFStock[TTAF_Qty],T_TTAFStock[RM_Code],$A1553,T_TTAFStock[WeekIndex],80),"")</f>
        <v/>
      </c>
      <c r="CG1561">
        <f>IFERROR(SUMIFS(T_TTAFStock[TTAF_Qty],T_TTAFStock[RM_Code],$A1553,T_TTAFStock[WeekIndex],81),"")</f>
        <v/>
      </c>
      <c r="CH1561">
        <f>IFERROR(SUMIFS(T_TTAFStock[TTAF_Qty],T_TTAFStock[RM_Code],$A1553,T_TTAFStock[WeekIndex],82),"")</f>
        <v/>
      </c>
      <c r="CI1561">
        <f>IFERROR(SUMIFS(T_TTAFStock[TTAF_Qty],T_TTAFStock[RM_Code],$A1553,T_TTAFStock[WeekIndex],83),"")</f>
        <v/>
      </c>
      <c r="CJ1561">
        <f>IFERROR(SUMIFS(T_TTAFStock[TTAF_Qty],T_TTAFStock[RM_Code],$A1553,T_TTAFStock[WeekIndex],84),"")</f>
        <v/>
      </c>
      <c r="CK1561">
        <f>IFERROR(SUMIFS(T_TTAFStock[TTAF_Qty],T_TTAFStock[RM_Code],$A1553,T_TTAFStock[WeekIndex],85),"")</f>
        <v/>
      </c>
      <c r="CL1561">
        <f>IFERROR(SUMIFS(T_TTAFStock[TTAF_Qty],T_TTAFStock[RM_Code],$A1553,T_TTAFStock[WeekIndex],86),"")</f>
        <v/>
      </c>
      <c r="CM1561">
        <f>IFERROR(SUMIFS(T_TTAFStock[TTAF_Qty],T_TTAFStock[RM_Code],$A1553,T_TTAFStock[WeekIndex],87),"")</f>
        <v/>
      </c>
      <c r="CN1561">
        <f>IFERROR(SUMIFS(T_TTAFStock[TTAF_Qty],T_TTAFStock[RM_Code],$A1553,T_TTAFStock[WeekIndex],88),"")</f>
        <v/>
      </c>
      <c r="CO1561">
        <f>IFERROR(SUMIFS(T_TTAFStock[TTAF_Qty],T_TTAFStock[RM_Code],$A1553,T_TTAFStock[WeekIndex],89),"")</f>
        <v/>
      </c>
      <c r="CP1561">
        <f>IFERROR(SUMIFS(T_TTAFStock[TTAF_Qty],T_TTAFStock[RM_Code],$A1553,T_TTAFStock[WeekIndex],90),"")</f>
        <v/>
      </c>
      <c r="CQ1561">
        <f>IFERROR(SUMIFS(T_TTAFStock[TTAF_Qty],T_TTAFStock[RM_Code],$A1553,T_TTAFStock[WeekIndex],91),"")</f>
        <v/>
      </c>
      <c r="CR1561">
        <f>IFERROR(SUMIFS(T_TTAFStock[TTAF_Qty],T_TTAFStock[RM_Code],$A1553,T_TTAFStock[WeekIndex],92),"")</f>
        <v/>
      </c>
      <c r="CS1561">
        <f>IFERROR(SUMIFS(T_TTAFStock[TTAF_Qty],T_TTAFStock[RM_Code],$A1553,T_TTAFStock[WeekIndex],93),"")</f>
        <v/>
      </c>
      <c r="CT1561">
        <f>IFERROR(SUMIFS(T_TTAFStock[TTAF_Qty],T_TTAFStock[RM_Code],$A1553,T_TTAFStock[WeekIndex],94),"")</f>
        <v/>
      </c>
      <c r="CU1561">
        <f>IFERROR(SUMIFS(T_TTAFStock[TTAF_Qty],T_TTAFStock[RM_Code],$A1553,T_TTAFStock[WeekIndex],95),"")</f>
        <v/>
      </c>
      <c r="CV1561">
        <f>IFERROR(SUMIFS(T_TTAFStock[TTAF_Qty],T_TTAFStock[RM_Code],$A1553,T_TTAFStock[WeekIndex],96),"")</f>
        <v/>
      </c>
      <c r="CW1561">
        <f>IFERROR(SUMIFS(T_TTAFStock[TTAF_Qty],T_TTAFStock[RM_Code],$A1553,T_TTAFStock[WeekIndex],97),"")</f>
        <v/>
      </c>
      <c r="CX1561">
        <f>IFERROR(SUMIFS(T_TTAFStock[TTAF_Qty],T_TTAFStock[RM_Code],$A1553,T_TTAFStock[WeekIndex],98),"")</f>
        <v/>
      </c>
      <c r="CY1561">
        <f>IFERROR(SUMIFS(T_TTAFStock[TTAF_Qty],T_TTAFStock[RM_Code],$A1553,T_TTAFStock[WeekIndex],99),"")</f>
        <v/>
      </c>
      <c r="CZ1561">
        <f>IFERROR(SUMIFS(T_TTAFStock[TTAF_Qty],T_TTAFStock[RM_Code],$A1553,T_TTAFStock[WeekIndex],100),"")</f>
        <v/>
      </c>
      <c r="DA1561">
        <f>IFERROR(SUMIFS(T_TTAFStock[TTAF_Qty],T_TTAFStock[RM_Code],$A1553,T_TTAFStock[WeekIndex],101),"")</f>
        <v/>
      </c>
      <c r="DB1561">
        <f>IFERROR(SUMIFS(T_TTAFStock[TTAF_Qty],T_TTAFStock[RM_Code],$A1553,T_TTAFStock[WeekIndex],102),"")</f>
        <v/>
      </c>
      <c r="DC1561">
        <f>IFERROR(SUMIFS(T_TTAFStock[TTAF_Qty],T_TTAFStock[RM_Code],$A1553,T_TTAFStock[WeekIndex],103),"")</f>
        <v/>
      </c>
      <c r="DD1561">
        <f>IFERROR(SUMIFS(T_TTAFStock[TTAF_Qty],T_TTAFStock[RM_Code],$A1553,T_TTAFStock[WeekIndex],104),"")</f>
        <v/>
      </c>
    </row>
    <row r="1562">
      <c r="B1562" t="inlineStr">
        <is>
          <t>自社在庫(実績,kg)</t>
        </is>
      </c>
      <c r="D1562">
        <f>IFERROR(INDEX(E1562:DD1562,$F$1),"")</f>
        <v/>
      </c>
      <c r="E1562">
        <f>IFERROR(SUMIFS(T_SelfStock[Self_Qty],T_SelfStock[RM_Code],$A1553,T_SelfStock[WeekIndex],1),"")</f>
        <v/>
      </c>
      <c r="F1562">
        <f>IFERROR(SUMIFS(T_SelfStock[Self_Qty],T_SelfStock[RM_Code],$A1553,T_SelfStock[WeekIndex],2),"")</f>
        <v/>
      </c>
      <c r="G1562">
        <f>IFERROR(SUMIFS(T_SelfStock[Self_Qty],T_SelfStock[RM_Code],$A1553,T_SelfStock[WeekIndex],3),"")</f>
        <v/>
      </c>
      <c r="H1562">
        <f>IFERROR(SUMIFS(T_SelfStock[Self_Qty],T_SelfStock[RM_Code],$A1553,T_SelfStock[WeekIndex],4),"")</f>
        <v/>
      </c>
      <c r="I1562">
        <f>IFERROR(SUMIFS(T_SelfStock[Self_Qty],T_SelfStock[RM_Code],$A1553,T_SelfStock[WeekIndex],5),"")</f>
        <v/>
      </c>
      <c r="J1562">
        <f>IFERROR(SUMIFS(T_SelfStock[Self_Qty],T_SelfStock[RM_Code],$A1553,T_SelfStock[WeekIndex],6),"")</f>
        <v/>
      </c>
      <c r="K1562">
        <f>IFERROR(SUMIFS(T_SelfStock[Self_Qty],T_SelfStock[RM_Code],$A1553,T_SelfStock[WeekIndex],7),"")</f>
        <v/>
      </c>
      <c r="L1562">
        <f>IFERROR(SUMIFS(T_SelfStock[Self_Qty],T_SelfStock[RM_Code],$A1553,T_SelfStock[WeekIndex],8),"")</f>
        <v/>
      </c>
      <c r="M1562">
        <f>IFERROR(SUMIFS(T_SelfStock[Self_Qty],T_SelfStock[RM_Code],$A1553,T_SelfStock[WeekIndex],9),"")</f>
        <v/>
      </c>
      <c r="N1562">
        <f>IFERROR(SUMIFS(T_SelfStock[Self_Qty],T_SelfStock[RM_Code],$A1553,T_SelfStock[WeekIndex],10),"")</f>
        <v/>
      </c>
      <c r="O1562">
        <f>IFERROR(SUMIFS(T_SelfStock[Self_Qty],T_SelfStock[RM_Code],$A1553,T_SelfStock[WeekIndex],11),"")</f>
        <v/>
      </c>
      <c r="P1562">
        <f>IFERROR(SUMIFS(T_SelfStock[Self_Qty],T_SelfStock[RM_Code],$A1553,T_SelfStock[WeekIndex],12),"")</f>
        <v/>
      </c>
      <c r="Q1562">
        <f>IFERROR(SUMIFS(T_SelfStock[Self_Qty],T_SelfStock[RM_Code],$A1553,T_SelfStock[WeekIndex],13),"")</f>
        <v/>
      </c>
      <c r="R1562">
        <f>IFERROR(SUMIFS(T_SelfStock[Self_Qty],T_SelfStock[RM_Code],$A1553,T_SelfStock[WeekIndex],14),"")</f>
        <v/>
      </c>
      <c r="S1562">
        <f>IFERROR(SUMIFS(T_SelfStock[Self_Qty],T_SelfStock[RM_Code],$A1553,T_SelfStock[WeekIndex],15),"")</f>
        <v/>
      </c>
      <c r="T1562">
        <f>IFERROR(SUMIFS(T_SelfStock[Self_Qty],T_SelfStock[RM_Code],$A1553,T_SelfStock[WeekIndex],16),"")</f>
        <v/>
      </c>
      <c r="U1562">
        <f>IFERROR(SUMIFS(T_SelfStock[Self_Qty],T_SelfStock[RM_Code],$A1553,T_SelfStock[WeekIndex],17),"")</f>
        <v/>
      </c>
      <c r="V1562">
        <f>IFERROR(SUMIFS(T_SelfStock[Self_Qty],T_SelfStock[RM_Code],$A1553,T_SelfStock[WeekIndex],18),"")</f>
        <v/>
      </c>
      <c r="W1562">
        <f>IFERROR(SUMIFS(T_SelfStock[Self_Qty],T_SelfStock[RM_Code],$A1553,T_SelfStock[WeekIndex],19),"")</f>
        <v/>
      </c>
      <c r="X1562">
        <f>IFERROR(SUMIFS(T_SelfStock[Self_Qty],T_SelfStock[RM_Code],$A1553,T_SelfStock[WeekIndex],20),"")</f>
        <v/>
      </c>
      <c r="Y1562">
        <f>IFERROR(SUMIFS(T_SelfStock[Self_Qty],T_SelfStock[RM_Code],$A1553,T_SelfStock[WeekIndex],21),"")</f>
        <v/>
      </c>
      <c r="Z1562">
        <f>IFERROR(SUMIFS(T_SelfStock[Self_Qty],T_SelfStock[RM_Code],$A1553,T_SelfStock[WeekIndex],22),"")</f>
        <v/>
      </c>
      <c r="AA1562">
        <f>IFERROR(SUMIFS(T_SelfStock[Self_Qty],T_SelfStock[RM_Code],$A1553,T_SelfStock[WeekIndex],23),"")</f>
        <v/>
      </c>
      <c r="AB1562">
        <f>IFERROR(SUMIFS(T_SelfStock[Self_Qty],T_SelfStock[RM_Code],$A1553,T_SelfStock[WeekIndex],24),"")</f>
        <v/>
      </c>
      <c r="AC1562">
        <f>IFERROR(SUMIFS(T_SelfStock[Self_Qty],T_SelfStock[RM_Code],$A1553,T_SelfStock[WeekIndex],25),"")</f>
        <v/>
      </c>
      <c r="AD1562">
        <f>IFERROR(SUMIFS(T_SelfStock[Self_Qty],T_SelfStock[RM_Code],$A1553,T_SelfStock[WeekIndex],26),"")</f>
        <v/>
      </c>
      <c r="AE1562">
        <f>IFERROR(SUMIFS(T_SelfStock[Self_Qty],T_SelfStock[RM_Code],$A1553,T_SelfStock[WeekIndex],27),"")</f>
        <v/>
      </c>
      <c r="AF1562">
        <f>IFERROR(SUMIFS(T_SelfStock[Self_Qty],T_SelfStock[RM_Code],$A1553,T_SelfStock[WeekIndex],28),"")</f>
        <v/>
      </c>
      <c r="AG1562">
        <f>IFERROR(SUMIFS(T_SelfStock[Self_Qty],T_SelfStock[RM_Code],$A1553,T_SelfStock[WeekIndex],29),"")</f>
        <v/>
      </c>
      <c r="AH1562">
        <f>IFERROR(SUMIFS(T_SelfStock[Self_Qty],T_SelfStock[RM_Code],$A1553,T_SelfStock[WeekIndex],30),"")</f>
        <v/>
      </c>
      <c r="AI1562">
        <f>IFERROR(SUMIFS(T_SelfStock[Self_Qty],T_SelfStock[RM_Code],$A1553,T_SelfStock[WeekIndex],31),"")</f>
        <v/>
      </c>
      <c r="AJ1562">
        <f>IFERROR(SUMIFS(T_SelfStock[Self_Qty],T_SelfStock[RM_Code],$A1553,T_SelfStock[WeekIndex],32),"")</f>
        <v/>
      </c>
      <c r="AK1562">
        <f>IFERROR(SUMIFS(T_SelfStock[Self_Qty],T_SelfStock[RM_Code],$A1553,T_SelfStock[WeekIndex],33),"")</f>
        <v/>
      </c>
      <c r="AL1562">
        <f>IFERROR(SUMIFS(T_SelfStock[Self_Qty],T_SelfStock[RM_Code],$A1553,T_SelfStock[WeekIndex],34),"")</f>
        <v/>
      </c>
      <c r="AM1562">
        <f>IFERROR(SUMIFS(T_SelfStock[Self_Qty],T_SelfStock[RM_Code],$A1553,T_SelfStock[WeekIndex],35),"")</f>
        <v/>
      </c>
      <c r="AN1562">
        <f>IFERROR(SUMIFS(T_SelfStock[Self_Qty],T_SelfStock[RM_Code],$A1553,T_SelfStock[WeekIndex],36),"")</f>
        <v/>
      </c>
      <c r="AO1562">
        <f>IFERROR(SUMIFS(T_SelfStock[Self_Qty],T_SelfStock[RM_Code],$A1553,T_SelfStock[WeekIndex],37),"")</f>
        <v/>
      </c>
      <c r="AP1562">
        <f>IFERROR(SUMIFS(T_SelfStock[Self_Qty],T_SelfStock[RM_Code],$A1553,T_SelfStock[WeekIndex],38),"")</f>
        <v/>
      </c>
      <c r="AQ1562">
        <f>IFERROR(SUMIFS(T_SelfStock[Self_Qty],T_SelfStock[RM_Code],$A1553,T_SelfStock[WeekIndex],39),"")</f>
        <v/>
      </c>
      <c r="AR1562">
        <f>IFERROR(SUMIFS(T_SelfStock[Self_Qty],T_SelfStock[RM_Code],$A1553,T_SelfStock[WeekIndex],40),"")</f>
        <v/>
      </c>
      <c r="AS1562">
        <f>IFERROR(SUMIFS(T_SelfStock[Self_Qty],T_SelfStock[RM_Code],$A1553,T_SelfStock[WeekIndex],41),"")</f>
        <v/>
      </c>
      <c r="AT1562">
        <f>IFERROR(SUMIFS(T_SelfStock[Self_Qty],T_SelfStock[RM_Code],$A1553,T_SelfStock[WeekIndex],42),"")</f>
        <v/>
      </c>
      <c r="AU1562">
        <f>IFERROR(SUMIFS(T_SelfStock[Self_Qty],T_SelfStock[RM_Code],$A1553,T_SelfStock[WeekIndex],43),"")</f>
        <v/>
      </c>
      <c r="AV1562">
        <f>IFERROR(SUMIFS(T_SelfStock[Self_Qty],T_SelfStock[RM_Code],$A1553,T_SelfStock[WeekIndex],44),"")</f>
        <v/>
      </c>
      <c r="AW1562">
        <f>IFERROR(SUMIFS(T_SelfStock[Self_Qty],T_SelfStock[RM_Code],$A1553,T_SelfStock[WeekIndex],45),"")</f>
        <v/>
      </c>
      <c r="AX1562">
        <f>IFERROR(SUMIFS(T_SelfStock[Self_Qty],T_SelfStock[RM_Code],$A1553,T_SelfStock[WeekIndex],46),"")</f>
        <v/>
      </c>
      <c r="AY1562">
        <f>IFERROR(SUMIFS(T_SelfStock[Self_Qty],T_SelfStock[RM_Code],$A1553,T_SelfStock[WeekIndex],47),"")</f>
        <v/>
      </c>
      <c r="AZ1562">
        <f>IFERROR(SUMIFS(T_SelfStock[Self_Qty],T_SelfStock[RM_Code],$A1553,T_SelfStock[WeekIndex],48),"")</f>
        <v/>
      </c>
      <c r="BA1562">
        <f>IFERROR(SUMIFS(T_SelfStock[Self_Qty],T_SelfStock[RM_Code],$A1553,T_SelfStock[WeekIndex],49),"")</f>
        <v/>
      </c>
      <c r="BB1562">
        <f>IFERROR(SUMIFS(T_SelfStock[Self_Qty],T_SelfStock[RM_Code],$A1553,T_SelfStock[WeekIndex],50),"")</f>
        <v/>
      </c>
      <c r="BC1562">
        <f>IFERROR(SUMIFS(T_SelfStock[Self_Qty],T_SelfStock[RM_Code],$A1553,T_SelfStock[WeekIndex],51),"")</f>
        <v/>
      </c>
      <c r="BD1562">
        <f>IFERROR(SUMIFS(T_SelfStock[Self_Qty],T_SelfStock[RM_Code],$A1553,T_SelfStock[WeekIndex],52),"")</f>
        <v/>
      </c>
      <c r="BE1562">
        <f>IFERROR(SUMIFS(T_SelfStock[Self_Qty],T_SelfStock[RM_Code],$A1553,T_SelfStock[WeekIndex],53),"")</f>
        <v/>
      </c>
      <c r="BF1562">
        <f>IFERROR(SUMIFS(T_SelfStock[Self_Qty],T_SelfStock[RM_Code],$A1553,T_SelfStock[WeekIndex],54),"")</f>
        <v/>
      </c>
      <c r="BG1562">
        <f>IFERROR(SUMIFS(T_SelfStock[Self_Qty],T_SelfStock[RM_Code],$A1553,T_SelfStock[WeekIndex],55),"")</f>
        <v/>
      </c>
      <c r="BH1562">
        <f>IFERROR(SUMIFS(T_SelfStock[Self_Qty],T_SelfStock[RM_Code],$A1553,T_SelfStock[WeekIndex],56),"")</f>
        <v/>
      </c>
      <c r="BI1562">
        <f>IFERROR(SUMIFS(T_SelfStock[Self_Qty],T_SelfStock[RM_Code],$A1553,T_SelfStock[WeekIndex],57),"")</f>
        <v/>
      </c>
      <c r="BJ1562">
        <f>IFERROR(SUMIFS(T_SelfStock[Self_Qty],T_SelfStock[RM_Code],$A1553,T_SelfStock[WeekIndex],58),"")</f>
        <v/>
      </c>
      <c r="BK1562">
        <f>IFERROR(SUMIFS(T_SelfStock[Self_Qty],T_SelfStock[RM_Code],$A1553,T_SelfStock[WeekIndex],59),"")</f>
        <v/>
      </c>
      <c r="BL1562">
        <f>IFERROR(SUMIFS(T_SelfStock[Self_Qty],T_SelfStock[RM_Code],$A1553,T_SelfStock[WeekIndex],60),"")</f>
        <v/>
      </c>
      <c r="BM1562">
        <f>IFERROR(SUMIFS(T_SelfStock[Self_Qty],T_SelfStock[RM_Code],$A1553,T_SelfStock[WeekIndex],61),"")</f>
        <v/>
      </c>
      <c r="BN1562">
        <f>IFERROR(SUMIFS(T_SelfStock[Self_Qty],T_SelfStock[RM_Code],$A1553,T_SelfStock[WeekIndex],62),"")</f>
        <v/>
      </c>
      <c r="BO1562">
        <f>IFERROR(SUMIFS(T_SelfStock[Self_Qty],T_SelfStock[RM_Code],$A1553,T_SelfStock[WeekIndex],63),"")</f>
        <v/>
      </c>
      <c r="BP1562">
        <f>IFERROR(SUMIFS(T_SelfStock[Self_Qty],T_SelfStock[RM_Code],$A1553,T_SelfStock[WeekIndex],64),"")</f>
        <v/>
      </c>
      <c r="BQ1562">
        <f>IFERROR(SUMIFS(T_SelfStock[Self_Qty],T_SelfStock[RM_Code],$A1553,T_SelfStock[WeekIndex],65),"")</f>
        <v/>
      </c>
      <c r="BR1562">
        <f>IFERROR(SUMIFS(T_SelfStock[Self_Qty],T_SelfStock[RM_Code],$A1553,T_SelfStock[WeekIndex],66),"")</f>
        <v/>
      </c>
      <c r="BS1562">
        <f>IFERROR(SUMIFS(T_SelfStock[Self_Qty],T_SelfStock[RM_Code],$A1553,T_SelfStock[WeekIndex],67),"")</f>
        <v/>
      </c>
      <c r="BT1562">
        <f>IFERROR(SUMIFS(T_SelfStock[Self_Qty],T_SelfStock[RM_Code],$A1553,T_SelfStock[WeekIndex],68),"")</f>
        <v/>
      </c>
      <c r="BU1562">
        <f>IFERROR(SUMIFS(T_SelfStock[Self_Qty],T_SelfStock[RM_Code],$A1553,T_SelfStock[WeekIndex],69),"")</f>
        <v/>
      </c>
      <c r="BV1562">
        <f>IFERROR(SUMIFS(T_SelfStock[Self_Qty],T_SelfStock[RM_Code],$A1553,T_SelfStock[WeekIndex],70),"")</f>
        <v/>
      </c>
      <c r="BW1562">
        <f>IFERROR(SUMIFS(T_SelfStock[Self_Qty],T_SelfStock[RM_Code],$A1553,T_SelfStock[WeekIndex],71),"")</f>
        <v/>
      </c>
      <c r="BX1562">
        <f>IFERROR(SUMIFS(T_SelfStock[Self_Qty],T_SelfStock[RM_Code],$A1553,T_SelfStock[WeekIndex],72),"")</f>
        <v/>
      </c>
      <c r="BY1562">
        <f>IFERROR(SUMIFS(T_SelfStock[Self_Qty],T_SelfStock[RM_Code],$A1553,T_SelfStock[WeekIndex],73),"")</f>
        <v/>
      </c>
      <c r="BZ1562">
        <f>IFERROR(SUMIFS(T_SelfStock[Self_Qty],T_SelfStock[RM_Code],$A1553,T_SelfStock[WeekIndex],74),"")</f>
        <v/>
      </c>
      <c r="CA1562">
        <f>IFERROR(SUMIFS(T_SelfStock[Self_Qty],T_SelfStock[RM_Code],$A1553,T_SelfStock[WeekIndex],75),"")</f>
        <v/>
      </c>
      <c r="CB1562">
        <f>IFERROR(SUMIFS(T_SelfStock[Self_Qty],T_SelfStock[RM_Code],$A1553,T_SelfStock[WeekIndex],76),"")</f>
        <v/>
      </c>
      <c r="CC1562">
        <f>IFERROR(SUMIFS(T_SelfStock[Self_Qty],T_SelfStock[RM_Code],$A1553,T_SelfStock[WeekIndex],77),"")</f>
        <v/>
      </c>
      <c r="CD1562">
        <f>IFERROR(SUMIFS(T_SelfStock[Self_Qty],T_SelfStock[RM_Code],$A1553,T_SelfStock[WeekIndex],78),"")</f>
        <v/>
      </c>
      <c r="CE1562">
        <f>IFERROR(SUMIFS(T_SelfStock[Self_Qty],T_SelfStock[RM_Code],$A1553,T_SelfStock[WeekIndex],79),"")</f>
        <v/>
      </c>
      <c r="CF1562">
        <f>IFERROR(SUMIFS(T_SelfStock[Self_Qty],T_SelfStock[RM_Code],$A1553,T_SelfStock[WeekIndex],80),"")</f>
        <v/>
      </c>
      <c r="CG1562">
        <f>IFERROR(SUMIFS(T_SelfStock[Self_Qty],T_SelfStock[RM_Code],$A1553,T_SelfStock[WeekIndex],81),"")</f>
        <v/>
      </c>
      <c r="CH1562">
        <f>IFERROR(SUMIFS(T_SelfStock[Self_Qty],T_SelfStock[RM_Code],$A1553,T_SelfStock[WeekIndex],82),"")</f>
        <v/>
      </c>
      <c r="CI1562">
        <f>IFERROR(SUMIFS(T_SelfStock[Self_Qty],T_SelfStock[RM_Code],$A1553,T_SelfStock[WeekIndex],83),"")</f>
        <v/>
      </c>
      <c r="CJ1562">
        <f>IFERROR(SUMIFS(T_SelfStock[Self_Qty],T_SelfStock[RM_Code],$A1553,T_SelfStock[WeekIndex],84),"")</f>
        <v/>
      </c>
      <c r="CK1562">
        <f>IFERROR(SUMIFS(T_SelfStock[Self_Qty],T_SelfStock[RM_Code],$A1553,T_SelfStock[WeekIndex],85),"")</f>
        <v/>
      </c>
      <c r="CL1562">
        <f>IFERROR(SUMIFS(T_SelfStock[Self_Qty],T_SelfStock[RM_Code],$A1553,T_SelfStock[WeekIndex],86),"")</f>
        <v/>
      </c>
      <c r="CM1562">
        <f>IFERROR(SUMIFS(T_SelfStock[Self_Qty],T_SelfStock[RM_Code],$A1553,T_SelfStock[WeekIndex],87),"")</f>
        <v/>
      </c>
      <c r="CN1562">
        <f>IFERROR(SUMIFS(T_SelfStock[Self_Qty],T_SelfStock[RM_Code],$A1553,T_SelfStock[WeekIndex],88),"")</f>
        <v/>
      </c>
      <c r="CO1562">
        <f>IFERROR(SUMIFS(T_SelfStock[Self_Qty],T_SelfStock[RM_Code],$A1553,T_SelfStock[WeekIndex],89),"")</f>
        <v/>
      </c>
      <c r="CP1562">
        <f>IFERROR(SUMIFS(T_SelfStock[Self_Qty],T_SelfStock[RM_Code],$A1553,T_SelfStock[WeekIndex],90),"")</f>
        <v/>
      </c>
      <c r="CQ1562">
        <f>IFERROR(SUMIFS(T_SelfStock[Self_Qty],T_SelfStock[RM_Code],$A1553,T_SelfStock[WeekIndex],91),"")</f>
        <v/>
      </c>
      <c r="CR1562">
        <f>IFERROR(SUMIFS(T_SelfStock[Self_Qty],T_SelfStock[RM_Code],$A1553,T_SelfStock[WeekIndex],92),"")</f>
        <v/>
      </c>
      <c r="CS1562">
        <f>IFERROR(SUMIFS(T_SelfStock[Self_Qty],T_SelfStock[RM_Code],$A1553,T_SelfStock[WeekIndex],93),"")</f>
        <v/>
      </c>
      <c r="CT1562">
        <f>IFERROR(SUMIFS(T_SelfStock[Self_Qty],T_SelfStock[RM_Code],$A1553,T_SelfStock[WeekIndex],94),"")</f>
        <v/>
      </c>
      <c r="CU1562">
        <f>IFERROR(SUMIFS(T_SelfStock[Self_Qty],T_SelfStock[RM_Code],$A1553,T_SelfStock[WeekIndex],95),"")</f>
        <v/>
      </c>
      <c r="CV1562">
        <f>IFERROR(SUMIFS(T_SelfStock[Self_Qty],T_SelfStock[RM_Code],$A1553,T_SelfStock[WeekIndex],96),"")</f>
        <v/>
      </c>
      <c r="CW1562">
        <f>IFERROR(SUMIFS(T_SelfStock[Self_Qty],T_SelfStock[RM_Code],$A1553,T_SelfStock[WeekIndex],97),"")</f>
        <v/>
      </c>
      <c r="CX1562">
        <f>IFERROR(SUMIFS(T_SelfStock[Self_Qty],T_SelfStock[RM_Code],$A1553,T_SelfStock[WeekIndex],98),"")</f>
        <v/>
      </c>
      <c r="CY1562">
        <f>IFERROR(SUMIFS(T_SelfStock[Self_Qty],T_SelfStock[RM_Code],$A1553,T_SelfStock[WeekIndex],99),"")</f>
        <v/>
      </c>
      <c r="CZ1562">
        <f>IFERROR(SUMIFS(T_SelfStock[Self_Qty],T_SelfStock[RM_Code],$A1553,T_SelfStock[WeekIndex],100),"")</f>
        <v/>
      </c>
      <c r="DA1562">
        <f>IFERROR(SUMIFS(T_SelfStock[Self_Qty],T_SelfStock[RM_Code],$A1553,T_SelfStock[WeekIndex],101),"")</f>
        <v/>
      </c>
      <c r="DB1562">
        <f>IFERROR(SUMIFS(T_SelfStock[Self_Qty],T_SelfStock[RM_Code],$A1553,T_SelfStock[WeekIndex],102),"")</f>
        <v/>
      </c>
      <c r="DC1562">
        <f>IFERROR(SUMIFS(T_SelfStock[Self_Qty],T_SelfStock[RM_Code],$A1553,T_SelfStock[WeekIndex],103),"")</f>
        <v/>
      </c>
      <c r="DD1562">
        <f>IFERROR(SUMIFS(T_SelfStock[Self_Qty],T_SelfStock[RM_Code],$A1553,T_SelfStock[WeekIndex],104),"")</f>
        <v/>
      </c>
    </row>
    <row r="1563">
      <c r="B1563" s="4" t="inlineStr">
        <is>
          <t>合計在庫(週末時点,kg)</t>
        </is>
      </c>
      <c r="D1563" s="24">
        <f>IFERROR(INDEX(E1563:DD1563,$F$1),"")</f>
        <v/>
      </c>
      <c r="E1563">
        <f>'Grid_Stock'!B26</f>
        <v/>
      </c>
      <c r="F1563">
        <f>'Grid_Stock'!C26</f>
        <v/>
      </c>
      <c r="G1563">
        <f>'Grid_Stock'!D26</f>
        <v/>
      </c>
      <c r="H1563">
        <f>'Grid_Stock'!E26</f>
        <v/>
      </c>
      <c r="I1563">
        <f>'Grid_Stock'!F26</f>
        <v/>
      </c>
      <c r="J1563">
        <f>'Grid_Stock'!G26</f>
        <v/>
      </c>
      <c r="K1563">
        <f>'Grid_Stock'!H26</f>
        <v/>
      </c>
      <c r="L1563">
        <f>'Grid_Stock'!I26</f>
        <v/>
      </c>
      <c r="M1563">
        <f>'Grid_Stock'!J26</f>
        <v/>
      </c>
      <c r="N1563">
        <f>'Grid_Stock'!K26</f>
        <v/>
      </c>
      <c r="O1563">
        <f>'Grid_Stock'!L26</f>
        <v/>
      </c>
      <c r="P1563">
        <f>'Grid_Stock'!M26</f>
        <v/>
      </c>
      <c r="Q1563">
        <f>'Grid_Stock'!N26</f>
        <v/>
      </c>
      <c r="R1563">
        <f>'Grid_Stock'!O26</f>
        <v/>
      </c>
      <c r="S1563">
        <f>'Grid_Stock'!P26</f>
        <v/>
      </c>
      <c r="T1563">
        <f>'Grid_Stock'!Q26</f>
        <v/>
      </c>
      <c r="U1563">
        <f>'Grid_Stock'!R26</f>
        <v/>
      </c>
      <c r="V1563">
        <f>'Grid_Stock'!S26</f>
        <v/>
      </c>
      <c r="W1563">
        <f>'Grid_Stock'!T26</f>
        <v/>
      </c>
      <c r="X1563">
        <f>'Grid_Stock'!U26</f>
        <v/>
      </c>
      <c r="Y1563">
        <f>'Grid_Stock'!V26</f>
        <v/>
      </c>
      <c r="Z1563">
        <f>'Grid_Stock'!W26</f>
        <v/>
      </c>
      <c r="AA1563">
        <f>'Grid_Stock'!X26</f>
        <v/>
      </c>
      <c r="AB1563">
        <f>'Grid_Stock'!Y26</f>
        <v/>
      </c>
      <c r="AC1563">
        <f>'Grid_Stock'!Z26</f>
        <v/>
      </c>
      <c r="AD1563">
        <f>'Grid_Stock'!AA26</f>
        <v/>
      </c>
      <c r="AE1563">
        <f>'Grid_Stock'!AB26</f>
        <v/>
      </c>
      <c r="AF1563">
        <f>'Grid_Stock'!AC26</f>
        <v/>
      </c>
      <c r="AG1563">
        <f>'Grid_Stock'!AD26</f>
        <v/>
      </c>
      <c r="AH1563">
        <f>'Grid_Stock'!AE26</f>
        <v/>
      </c>
      <c r="AI1563">
        <f>'Grid_Stock'!AF26</f>
        <v/>
      </c>
      <c r="AJ1563">
        <f>'Grid_Stock'!AG26</f>
        <v/>
      </c>
      <c r="AK1563">
        <f>'Grid_Stock'!AH26</f>
        <v/>
      </c>
      <c r="AL1563">
        <f>'Grid_Stock'!AI26</f>
        <v/>
      </c>
      <c r="AM1563">
        <f>'Grid_Stock'!AJ26</f>
        <v/>
      </c>
      <c r="AN1563">
        <f>'Grid_Stock'!AK26</f>
        <v/>
      </c>
      <c r="AO1563">
        <f>'Grid_Stock'!AL26</f>
        <v/>
      </c>
      <c r="AP1563">
        <f>'Grid_Stock'!AM26</f>
        <v/>
      </c>
      <c r="AQ1563">
        <f>'Grid_Stock'!AN26</f>
        <v/>
      </c>
      <c r="AR1563">
        <f>'Grid_Stock'!AO26</f>
        <v/>
      </c>
      <c r="AS1563">
        <f>'Grid_Stock'!AP26</f>
        <v/>
      </c>
      <c r="AT1563">
        <f>'Grid_Stock'!AQ26</f>
        <v/>
      </c>
      <c r="AU1563">
        <f>'Grid_Stock'!AR26</f>
        <v/>
      </c>
      <c r="AV1563">
        <f>'Grid_Stock'!AS26</f>
        <v/>
      </c>
      <c r="AW1563">
        <f>'Grid_Stock'!AT26</f>
        <v/>
      </c>
      <c r="AX1563">
        <f>'Grid_Stock'!AU26</f>
        <v/>
      </c>
      <c r="AY1563">
        <f>'Grid_Stock'!AV26</f>
        <v/>
      </c>
      <c r="AZ1563">
        <f>'Grid_Stock'!AW26</f>
        <v/>
      </c>
      <c r="BA1563">
        <f>'Grid_Stock'!AX26</f>
        <v/>
      </c>
      <c r="BB1563">
        <f>'Grid_Stock'!AY26</f>
        <v/>
      </c>
      <c r="BC1563">
        <f>'Grid_Stock'!AZ26</f>
        <v/>
      </c>
      <c r="BD1563">
        <f>'Grid_Stock'!BA26</f>
        <v/>
      </c>
      <c r="BE1563">
        <f>'Grid_Stock'!BB26</f>
        <v/>
      </c>
      <c r="BF1563">
        <f>'Grid_Stock'!BC26</f>
        <v/>
      </c>
      <c r="BG1563">
        <f>'Grid_Stock'!BD26</f>
        <v/>
      </c>
      <c r="BH1563">
        <f>'Grid_Stock'!BE26</f>
        <v/>
      </c>
      <c r="BI1563">
        <f>'Grid_Stock'!BF26</f>
        <v/>
      </c>
      <c r="BJ1563">
        <f>'Grid_Stock'!BG26</f>
        <v/>
      </c>
      <c r="BK1563">
        <f>'Grid_Stock'!BH26</f>
        <v/>
      </c>
      <c r="BL1563">
        <f>'Grid_Stock'!BI26</f>
        <v/>
      </c>
      <c r="BM1563">
        <f>'Grid_Stock'!BJ26</f>
        <v/>
      </c>
      <c r="BN1563">
        <f>'Grid_Stock'!BK26</f>
        <v/>
      </c>
      <c r="BO1563">
        <f>'Grid_Stock'!BL26</f>
        <v/>
      </c>
      <c r="BP1563">
        <f>'Grid_Stock'!BM26</f>
        <v/>
      </c>
      <c r="BQ1563">
        <f>'Grid_Stock'!BN26</f>
        <v/>
      </c>
      <c r="BR1563">
        <f>'Grid_Stock'!BO26</f>
        <v/>
      </c>
      <c r="BS1563">
        <f>'Grid_Stock'!BP26</f>
        <v/>
      </c>
      <c r="BT1563">
        <f>'Grid_Stock'!BQ26</f>
        <v/>
      </c>
      <c r="BU1563">
        <f>'Grid_Stock'!BR26</f>
        <v/>
      </c>
      <c r="BV1563">
        <f>'Grid_Stock'!BS26</f>
        <v/>
      </c>
      <c r="BW1563">
        <f>'Grid_Stock'!BT26</f>
        <v/>
      </c>
      <c r="BX1563">
        <f>'Grid_Stock'!BU26</f>
        <v/>
      </c>
      <c r="BY1563">
        <f>'Grid_Stock'!BV26</f>
        <v/>
      </c>
      <c r="BZ1563">
        <f>'Grid_Stock'!BW26</f>
        <v/>
      </c>
      <c r="CA1563">
        <f>'Grid_Stock'!BX26</f>
        <v/>
      </c>
      <c r="CB1563">
        <f>'Grid_Stock'!BY26</f>
        <v/>
      </c>
      <c r="CC1563">
        <f>'Grid_Stock'!BZ26</f>
        <v/>
      </c>
      <c r="CD1563">
        <f>'Grid_Stock'!CA26</f>
        <v/>
      </c>
      <c r="CE1563">
        <f>'Grid_Stock'!CB26</f>
        <v/>
      </c>
      <c r="CF1563">
        <f>'Grid_Stock'!CC26</f>
        <v/>
      </c>
      <c r="CG1563">
        <f>'Grid_Stock'!CD26</f>
        <v/>
      </c>
      <c r="CH1563">
        <f>'Grid_Stock'!CE26</f>
        <v/>
      </c>
      <c r="CI1563">
        <f>'Grid_Stock'!CF26</f>
        <v/>
      </c>
      <c r="CJ1563">
        <f>'Grid_Stock'!CG26</f>
        <v/>
      </c>
      <c r="CK1563">
        <f>'Grid_Stock'!CH26</f>
        <v/>
      </c>
      <c r="CL1563">
        <f>'Grid_Stock'!CI26</f>
        <v/>
      </c>
      <c r="CM1563">
        <f>'Grid_Stock'!CJ26</f>
        <v/>
      </c>
      <c r="CN1563">
        <f>'Grid_Stock'!CK26</f>
        <v/>
      </c>
      <c r="CO1563">
        <f>'Grid_Stock'!CL26</f>
        <v/>
      </c>
      <c r="CP1563">
        <f>'Grid_Stock'!CM26</f>
        <v/>
      </c>
      <c r="CQ1563">
        <f>'Grid_Stock'!CN26</f>
        <v/>
      </c>
      <c r="CR1563">
        <f>'Grid_Stock'!CO26</f>
        <v/>
      </c>
      <c r="CS1563">
        <f>'Grid_Stock'!CP26</f>
        <v/>
      </c>
      <c r="CT1563">
        <f>'Grid_Stock'!CQ26</f>
        <v/>
      </c>
      <c r="CU1563">
        <f>'Grid_Stock'!CR26</f>
        <v/>
      </c>
      <c r="CV1563">
        <f>'Grid_Stock'!CS26</f>
        <v/>
      </c>
      <c r="CW1563">
        <f>'Grid_Stock'!CT26</f>
        <v/>
      </c>
      <c r="CX1563">
        <f>'Grid_Stock'!CU26</f>
        <v/>
      </c>
      <c r="CY1563">
        <f>'Grid_Stock'!CV26</f>
        <v/>
      </c>
      <c r="CZ1563">
        <f>'Grid_Stock'!CW26</f>
        <v/>
      </c>
      <c r="DA1563">
        <f>'Grid_Stock'!CX26</f>
        <v/>
      </c>
      <c r="DB1563">
        <f>'Grid_Stock'!CY26</f>
        <v/>
      </c>
      <c r="DC1563">
        <f>'Grid_Stock'!CZ26</f>
        <v/>
      </c>
      <c r="DD1563">
        <f>'Grid_Stock'!DA26</f>
        <v/>
      </c>
    </row>
    <row r="1564">
      <c r="B1564" s="25" t="inlineStr">
        <is>
          <t>（発注の目安はDashboardの基準在庫[下限/上限]と色分けを参照）</t>
        </is>
      </c>
    </row>
    <row r="1566">
      <c r="A1566" s="21" t="inlineStr">
        <is>
          <t>CHEM-1790</t>
        </is>
      </c>
      <c r="B1566" s="21" t="inlineStr">
        <is>
          <t>Optalys 466</t>
        </is>
      </c>
      <c r="C1566" s="22" t="n"/>
      <c r="D1566" s="21" t="n"/>
      <c r="E1566" s="21" t="n"/>
      <c r="F1566" s="21" t="n"/>
      <c r="G1566" s="21" t="n"/>
      <c r="H1566" s="21" t="n"/>
      <c r="I1566" s="21" t="n"/>
      <c r="J1566" s="21" t="n"/>
      <c r="K1566" s="21" t="n"/>
      <c r="L1566" s="21" t="n"/>
      <c r="M1566" s="21" t="n"/>
      <c r="N1566" s="21" t="n"/>
      <c r="O1566" s="21" t="n"/>
      <c r="P1566" s="21" t="n"/>
      <c r="Q1566" s="21" t="n"/>
      <c r="R1566" s="21" t="n"/>
      <c r="S1566" s="21" t="n"/>
      <c r="T1566" s="21" t="n"/>
      <c r="U1566" s="21" t="n"/>
      <c r="V1566" s="21" t="n"/>
      <c r="W1566" s="21" t="n"/>
      <c r="X1566" s="21" t="n"/>
      <c r="Y1566" s="21" t="n"/>
      <c r="Z1566" s="21" t="n"/>
      <c r="AA1566" s="21" t="n"/>
      <c r="AB1566" s="21" t="n"/>
      <c r="AC1566" s="21" t="n"/>
      <c r="AD1566" s="21" t="n"/>
      <c r="AE1566" s="21" t="n"/>
      <c r="AF1566" s="21" t="n"/>
      <c r="AG1566" s="21" t="n"/>
      <c r="AH1566" s="21" t="n"/>
      <c r="AI1566" s="21" t="n"/>
      <c r="AJ1566" s="21" t="n"/>
      <c r="AK1566" s="21" t="n"/>
      <c r="AL1566" s="21" t="n"/>
      <c r="AM1566" s="21" t="n"/>
      <c r="AN1566" s="21" t="n"/>
      <c r="AO1566" s="21" t="n"/>
      <c r="AP1566" s="21" t="n"/>
      <c r="AQ1566" s="21" t="n"/>
      <c r="AR1566" s="21" t="n"/>
      <c r="AS1566" s="21" t="n"/>
      <c r="AT1566" s="21" t="n"/>
      <c r="AU1566" s="21" t="n"/>
      <c r="AV1566" s="21" t="n"/>
      <c r="AW1566" s="21" t="n"/>
      <c r="AX1566" s="21" t="n"/>
      <c r="AY1566" s="21" t="n"/>
      <c r="AZ1566" s="21" t="n"/>
      <c r="BA1566" s="21" t="n"/>
      <c r="BB1566" s="21" t="n"/>
      <c r="BC1566" s="21" t="n"/>
      <c r="BD1566" s="21" t="n"/>
      <c r="BE1566" s="21" t="n"/>
      <c r="BF1566" s="21" t="n"/>
      <c r="BG1566" s="21" t="n"/>
      <c r="BH1566" s="21" t="n"/>
      <c r="BI1566" s="21" t="n"/>
      <c r="BJ1566" s="21" t="n"/>
      <c r="BK1566" s="21" t="n"/>
      <c r="BL1566" s="21" t="n"/>
      <c r="BM1566" s="21" t="n"/>
      <c r="BN1566" s="21" t="n"/>
      <c r="BO1566" s="21" t="n"/>
      <c r="BP1566" s="21" t="n"/>
      <c r="BQ1566" s="21" t="n"/>
      <c r="BR1566" s="21" t="n"/>
      <c r="BS1566" s="21" t="n"/>
      <c r="BT1566" s="21" t="n"/>
      <c r="BU1566" s="21" t="n"/>
      <c r="BV1566" s="21" t="n"/>
      <c r="BW1566" s="21" t="n"/>
      <c r="BX1566" s="21" t="n"/>
      <c r="BY1566" s="21" t="n"/>
      <c r="BZ1566" s="21" t="n"/>
      <c r="CA1566" s="21" t="n"/>
      <c r="CB1566" s="21" t="n"/>
      <c r="CC1566" s="21" t="n"/>
      <c r="CD1566" s="21" t="n"/>
      <c r="CE1566" s="21" t="n"/>
      <c r="CF1566" s="21" t="n"/>
      <c r="CG1566" s="21" t="n"/>
      <c r="CH1566" s="21" t="n"/>
      <c r="CI1566" s="21" t="n"/>
      <c r="CJ1566" s="21" t="n"/>
      <c r="CK1566" s="21" t="n"/>
      <c r="CL1566" s="21" t="n"/>
      <c r="CM1566" s="21" t="n"/>
      <c r="CN1566" s="21" t="n"/>
      <c r="CO1566" s="21" t="n"/>
      <c r="CP1566" s="21" t="n"/>
      <c r="CQ1566" s="21" t="n"/>
      <c r="CR1566" s="21" t="n"/>
      <c r="CS1566" s="21" t="n"/>
      <c r="CT1566" s="21" t="n"/>
      <c r="CU1566" s="21" t="n"/>
      <c r="CV1566" s="21" t="n"/>
      <c r="CW1566" s="21" t="n"/>
      <c r="CX1566" s="21" t="n"/>
      <c r="CY1566" s="21" t="n"/>
      <c r="CZ1566" s="21" t="n"/>
      <c r="DA1566" s="21" t="n"/>
      <c r="DB1566" s="21" t="n"/>
      <c r="DC1566" s="21" t="n"/>
      <c r="DD1566" s="21" t="n"/>
    </row>
    <row r="1567">
      <c r="B1567" t="inlineStr">
        <is>
          <t>TSP-1388</t>
        </is>
      </c>
      <c r="C1567" t="inlineStr">
        <is>
          <t>No. of batches</t>
        </is>
      </c>
      <c r="D1567">
        <f>IFERROR(INDEX(E1567:DD1567,$F$1),"")</f>
        <v/>
      </c>
      <c r="E1567">
        <f>IFERROR(INDEX(PP_Grid[#Data],$DE1567,2),0)</f>
        <v/>
      </c>
      <c r="F1567">
        <f>IFERROR(INDEX(PP_Grid[#Data],$DE1567,3),0)</f>
        <v/>
      </c>
      <c r="G1567">
        <f>IFERROR(INDEX(PP_Grid[#Data],$DE1567,4),0)</f>
        <v/>
      </c>
      <c r="H1567">
        <f>IFERROR(INDEX(PP_Grid[#Data],$DE1567,5),0)</f>
        <v/>
      </c>
      <c r="I1567">
        <f>IFERROR(INDEX(PP_Grid[#Data],$DE1567,6),0)</f>
        <v/>
      </c>
      <c r="J1567">
        <f>IFERROR(INDEX(PP_Grid[#Data],$DE1567,7),0)</f>
        <v/>
      </c>
      <c r="K1567">
        <f>IFERROR(INDEX(PP_Grid[#Data],$DE1567,8),0)</f>
        <v/>
      </c>
      <c r="L1567">
        <f>IFERROR(INDEX(PP_Grid[#Data],$DE1567,9),0)</f>
        <v/>
      </c>
      <c r="M1567">
        <f>IFERROR(INDEX(PP_Grid[#Data],$DE1567,10),0)</f>
        <v/>
      </c>
      <c r="N1567">
        <f>IFERROR(INDEX(PP_Grid[#Data],$DE1567,11),0)</f>
        <v/>
      </c>
      <c r="O1567">
        <f>IFERROR(INDEX(PP_Grid[#Data],$DE1567,12),0)</f>
        <v/>
      </c>
      <c r="P1567">
        <f>IFERROR(INDEX(PP_Grid[#Data],$DE1567,13),0)</f>
        <v/>
      </c>
      <c r="Q1567">
        <f>IFERROR(INDEX(PP_Grid[#Data],$DE1567,14),0)</f>
        <v/>
      </c>
      <c r="R1567">
        <f>IFERROR(INDEX(PP_Grid[#Data],$DE1567,15),0)</f>
        <v/>
      </c>
      <c r="S1567">
        <f>IFERROR(INDEX(PP_Grid[#Data],$DE1567,16),0)</f>
        <v/>
      </c>
      <c r="T1567">
        <f>IFERROR(INDEX(PP_Grid[#Data],$DE1567,17),0)</f>
        <v/>
      </c>
      <c r="U1567">
        <f>IFERROR(INDEX(PP_Grid[#Data],$DE1567,18),0)</f>
        <v/>
      </c>
      <c r="V1567">
        <f>IFERROR(INDEX(PP_Grid[#Data],$DE1567,19),0)</f>
        <v/>
      </c>
      <c r="W1567">
        <f>IFERROR(INDEX(PP_Grid[#Data],$DE1567,20),0)</f>
        <v/>
      </c>
      <c r="X1567">
        <f>IFERROR(INDEX(PP_Grid[#Data],$DE1567,21),0)</f>
        <v/>
      </c>
      <c r="Y1567">
        <f>IFERROR(INDEX(PP_Grid[#Data],$DE1567,22),0)</f>
        <v/>
      </c>
      <c r="Z1567">
        <f>IFERROR(INDEX(PP_Grid[#Data],$DE1567,23),0)</f>
        <v/>
      </c>
      <c r="AA1567">
        <f>IFERROR(INDEX(PP_Grid[#Data],$DE1567,24),0)</f>
        <v/>
      </c>
      <c r="AB1567">
        <f>IFERROR(INDEX(PP_Grid[#Data],$DE1567,25),0)</f>
        <v/>
      </c>
      <c r="AC1567">
        <f>IFERROR(INDEX(PP_Grid[#Data],$DE1567,26),0)</f>
        <v/>
      </c>
      <c r="AD1567">
        <f>IFERROR(INDEX(PP_Grid[#Data],$DE1567,27),0)</f>
        <v/>
      </c>
      <c r="AE1567">
        <f>IFERROR(INDEX(PP_Grid[#Data],$DE1567,28),0)</f>
        <v/>
      </c>
      <c r="AF1567">
        <f>IFERROR(INDEX(PP_Grid[#Data],$DE1567,29),0)</f>
        <v/>
      </c>
      <c r="AG1567">
        <f>IFERROR(INDEX(PP_Grid[#Data],$DE1567,30),0)</f>
        <v/>
      </c>
      <c r="AH1567">
        <f>IFERROR(INDEX(PP_Grid[#Data],$DE1567,31),0)</f>
        <v/>
      </c>
      <c r="AI1567">
        <f>IFERROR(INDEX(PP_Grid[#Data],$DE1567,32),0)</f>
        <v/>
      </c>
      <c r="AJ1567">
        <f>IFERROR(INDEX(PP_Grid[#Data],$DE1567,33),0)</f>
        <v/>
      </c>
      <c r="AK1567">
        <f>IFERROR(INDEX(PP_Grid[#Data],$DE1567,34),0)</f>
        <v/>
      </c>
      <c r="AL1567">
        <f>IFERROR(INDEX(PP_Grid[#Data],$DE1567,35),0)</f>
        <v/>
      </c>
      <c r="AM1567">
        <f>IFERROR(INDEX(PP_Grid[#Data],$DE1567,36),0)</f>
        <v/>
      </c>
      <c r="AN1567">
        <f>IFERROR(INDEX(PP_Grid[#Data],$DE1567,37),0)</f>
        <v/>
      </c>
      <c r="AO1567">
        <f>IFERROR(INDEX(PP_Grid[#Data],$DE1567,38),0)</f>
        <v/>
      </c>
      <c r="AP1567">
        <f>IFERROR(INDEX(PP_Grid[#Data],$DE1567,39),0)</f>
        <v/>
      </c>
      <c r="AQ1567">
        <f>IFERROR(INDEX(PP_Grid[#Data],$DE1567,40),0)</f>
        <v/>
      </c>
      <c r="AR1567">
        <f>IFERROR(INDEX(PP_Grid[#Data],$DE1567,41),0)</f>
        <v/>
      </c>
      <c r="AS1567">
        <f>IFERROR(INDEX(PP_Grid[#Data],$DE1567,42),0)</f>
        <v/>
      </c>
      <c r="AT1567">
        <f>IFERROR(INDEX(PP_Grid[#Data],$DE1567,43),0)</f>
        <v/>
      </c>
      <c r="AU1567">
        <f>IFERROR(INDEX(PP_Grid[#Data],$DE1567,44),0)</f>
        <v/>
      </c>
      <c r="AV1567">
        <f>IFERROR(INDEX(PP_Grid[#Data],$DE1567,45),0)</f>
        <v/>
      </c>
      <c r="AW1567">
        <f>IFERROR(INDEX(PP_Grid[#Data],$DE1567,46),0)</f>
        <v/>
      </c>
      <c r="AX1567">
        <f>IFERROR(INDEX(PP_Grid[#Data],$DE1567,47),0)</f>
        <v/>
      </c>
      <c r="AY1567">
        <f>IFERROR(INDEX(PP_Grid[#Data],$DE1567,48),0)</f>
        <v/>
      </c>
      <c r="AZ1567">
        <f>IFERROR(INDEX(PP_Grid[#Data],$DE1567,49),0)</f>
        <v/>
      </c>
      <c r="BA1567">
        <f>IFERROR(INDEX(PP_Grid[#Data],$DE1567,50),0)</f>
        <v/>
      </c>
      <c r="BB1567">
        <f>IFERROR(INDEX(PP_Grid[#Data],$DE1567,51),0)</f>
        <v/>
      </c>
      <c r="BC1567">
        <f>IFERROR(INDEX(PP_Grid[#Data],$DE1567,52),0)</f>
        <v/>
      </c>
      <c r="BD1567">
        <f>IFERROR(INDEX(PP_Grid[#Data],$DE1567,53),0)</f>
        <v/>
      </c>
      <c r="BE1567">
        <f>IFERROR(INDEX(PP_Grid[#Data],$DE1567,54),0)</f>
        <v/>
      </c>
      <c r="BF1567">
        <f>IFERROR(INDEX(PP_Grid[#Data],$DE1567,55),0)</f>
        <v/>
      </c>
      <c r="BG1567">
        <f>IFERROR(INDEX(PP_Grid[#Data],$DE1567,56),0)</f>
        <v/>
      </c>
      <c r="BH1567">
        <f>IFERROR(INDEX(PP_Grid[#Data],$DE1567,57),0)</f>
        <v/>
      </c>
      <c r="BI1567">
        <f>IFERROR(INDEX(PP_Grid[#Data],$DE1567,58),0)</f>
        <v/>
      </c>
      <c r="BJ1567">
        <f>IFERROR(INDEX(PP_Grid[#Data],$DE1567,59),0)</f>
        <v/>
      </c>
      <c r="BK1567">
        <f>IFERROR(INDEX(PP_Grid[#Data],$DE1567,60),0)</f>
        <v/>
      </c>
      <c r="BL1567">
        <f>IFERROR(INDEX(PP_Grid[#Data],$DE1567,61),0)</f>
        <v/>
      </c>
      <c r="BM1567">
        <f>IFERROR(INDEX(PP_Grid[#Data],$DE1567,62),0)</f>
        <v/>
      </c>
      <c r="BN1567">
        <f>IFERROR(INDEX(PP_Grid[#Data],$DE1567,63),0)</f>
        <v/>
      </c>
      <c r="BO1567">
        <f>IFERROR(INDEX(PP_Grid[#Data],$DE1567,64),0)</f>
        <v/>
      </c>
      <c r="BP1567">
        <f>IFERROR(INDEX(PP_Grid[#Data],$DE1567,65),0)</f>
        <v/>
      </c>
      <c r="BQ1567">
        <f>IFERROR(INDEX(PP_Grid[#Data],$DE1567,66),0)</f>
        <v/>
      </c>
      <c r="BR1567">
        <f>IFERROR(INDEX(PP_Grid[#Data],$DE1567,67),0)</f>
        <v/>
      </c>
      <c r="BS1567">
        <f>IFERROR(INDEX(PP_Grid[#Data],$DE1567,68),0)</f>
        <v/>
      </c>
      <c r="BT1567">
        <f>IFERROR(INDEX(PP_Grid[#Data],$DE1567,69),0)</f>
        <v/>
      </c>
      <c r="BU1567">
        <f>IFERROR(INDEX(PP_Grid[#Data],$DE1567,70),0)</f>
        <v/>
      </c>
      <c r="BV1567">
        <f>IFERROR(INDEX(PP_Grid[#Data],$DE1567,71),0)</f>
        <v/>
      </c>
      <c r="BW1567">
        <f>IFERROR(INDEX(PP_Grid[#Data],$DE1567,72),0)</f>
        <v/>
      </c>
      <c r="BX1567">
        <f>IFERROR(INDEX(PP_Grid[#Data],$DE1567,73),0)</f>
        <v/>
      </c>
      <c r="BY1567">
        <f>IFERROR(INDEX(PP_Grid[#Data],$DE1567,74),0)</f>
        <v/>
      </c>
      <c r="BZ1567">
        <f>IFERROR(INDEX(PP_Grid[#Data],$DE1567,75),0)</f>
        <v/>
      </c>
      <c r="CA1567">
        <f>IFERROR(INDEX(PP_Grid[#Data],$DE1567,76),0)</f>
        <v/>
      </c>
      <c r="CB1567">
        <f>IFERROR(INDEX(PP_Grid[#Data],$DE1567,77),0)</f>
        <v/>
      </c>
      <c r="CC1567">
        <f>IFERROR(INDEX(PP_Grid[#Data],$DE1567,78),0)</f>
        <v/>
      </c>
      <c r="CD1567">
        <f>IFERROR(INDEX(PP_Grid[#Data],$DE1567,79),0)</f>
        <v/>
      </c>
      <c r="CE1567">
        <f>IFERROR(INDEX(PP_Grid[#Data],$DE1567,80),0)</f>
        <v/>
      </c>
      <c r="CF1567">
        <f>IFERROR(INDEX(PP_Grid[#Data],$DE1567,81),0)</f>
        <v/>
      </c>
      <c r="CG1567">
        <f>IFERROR(INDEX(PP_Grid[#Data],$DE1567,82),0)</f>
        <v/>
      </c>
      <c r="CH1567">
        <f>IFERROR(INDEX(PP_Grid[#Data],$DE1567,83),0)</f>
        <v/>
      </c>
      <c r="CI1567">
        <f>IFERROR(INDEX(PP_Grid[#Data],$DE1567,84),0)</f>
        <v/>
      </c>
      <c r="CJ1567">
        <f>IFERROR(INDEX(PP_Grid[#Data],$DE1567,85),0)</f>
        <v/>
      </c>
      <c r="CK1567">
        <f>IFERROR(INDEX(PP_Grid[#Data],$DE1567,86),0)</f>
        <v/>
      </c>
      <c r="CL1567">
        <f>IFERROR(INDEX(PP_Grid[#Data],$DE1567,87),0)</f>
        <v/>
      </c>
      <c r="CM1567">
        <f>IFERROR(INDEX(PP_Grid[#Data],$DE1567,88),0)</f>
        <v/>
      </c>
      <c r="CN1567">
        <f>IFERROR(INDEX(PP_Grid[#Data],$DE1567,89),0)</f>
        <v/>
      </c>
      <c r="CO1567">
        <f>IFERROR(INDEX(PP_Grid[#Data],$DE1567,90),0)</f>
        <v/>
      </c>
      <c r="CP1567">
        <f>IFERROR(INDEX(PP_Grid[#Data],$DE1567,91),0)</f>
        <v/>
      </c>
      <c r="CQ1567">
        <f>IFERROR(INDEX(PP_Grid[#Data],$DE1567,92),0)</f>
        <v/>
      </c>
      <c r="CR1567">
        <f>IFERROR(INDEX(PP_Grid[#Data],$DE1567,93),0)</f>
        <v/>
      </c>
      <c r="CS1567">
        <f>IFERROR(INDEX(PP_Grid[#Data],$DE1567,94),0)</f>
        <v/>
      </c>
      <c r="CT1567">
        <f>IFERROR(INDEX(PP_Grid[#Data],$DE1567,95),0)</f>
        <v/>
      </c>
      <c r="CU1567">
        <f>IFERROR(INDEX(PP_Grid[#Data],$DE1567,96),0)</f>
        <v/>
      </c>
      <c r="CV1567">
        <f>IFERROR(INDEX(PP_Grid[#Data],$DE1567,97),0)</f>
        <v/>
      </c>
      <c r="CW1567">
        <f>IFERROR(INDEX(PP_Grid[#Data],$DE1567,98),0)</f>
        <v/>
      </c>
      <c r="CX1567">
        <f>IFERROR(INDEX(PP_Grid[#Data],$DE1567,99),0)</f>
        <v/>
      </c>
      <c r="CY1567">
        <f>IFERROR(INDEX(PP_Grid[#Data],$DE1567,100),0)</f>
        <v/>
      </c>
      <c r="CZ1567">
        <f>IFERROR(INDEX(PP_Grid[#Data],$DE1567,101),0)</f>
        <v/>
      </c>
      <c r="DA1567">
        <f>IFERROR(INDEX(PP_Grid[#Data],$DE1567,102),0)</f>
        <v/>
      </c>
      <c r="DB1567">
        <f>IFERROR(INDEX(PP_Grid[#Data],$DE1567,103),0)</f>
        <v/>
      </c>
      <c r="DC1567">
        <f>IFERROR(INDEX(PP_Grid[#Data],$DE1567,104),0)</f>
        <v/>
      </c>
      <c r="DD1567">
        <f>IFERROR(INDEX(PP_Grid[#Data],$DE1567,105),0)</f>
        <v/>
      </c>
      <c r="DE1567" s="7">
        <f>IFERROR(MATCH($B1567,PP_Grid[Intermediate],0),99999)</f>
        <v/>
      </c>
    </row>
    <row r="1568">
      <c r="B1568" t="inlineStr">
        <is>
          <t>使用量(kg)</t>
        </is>
      </c>
      <c r="C1568">
        <f>SUMIFS(M_BOM[RM_Qty_Per_Batch],M_BOM[Intermediate],$B1567,M_BOM[RM_Code],$A1566)</f>
        <v/>
      </c>
      <c r="D1568">
        <f>IFERROR(INDEX(E1568:DD1568,$F$1),"")</f>
        <v/>
      </c>
      <c r="E1568">
        <f>$C1568*E1567</f>
        <v/>
      </c>
      <c r="F1568">
        <f>$C1568*F1567</f>
        <v/>
      </c>
      <c r="G1568">
        <f>$C1568*G1567</f>
        <v/>
      </c>
      <c r="H1568">
        <f>$C1568*H1567</f>
        <v/>
      </c>
      <c r="I1568">
        <f>$C1568*I1567</f>
        <v/>
      </c>
      <c r="J1568">
        <f>$C1568*J1567</f>
        <v/>
      </c>
      <c r="K1568">
        <f>$C1568*K1567</f>
        <v/>
      </c>
      <c r="L1568">
        <f>$C1568*L1567</f>
        <v/>
      </c>
      <c r="M1568">
        <f>$C1568*M1567</f>
        <v/>
      </c>
      <c r="N1568">
        <f>$C1568*N1567</f>
        <v/>
      </c>
      <c r="O1568">
        <f>$C1568*O1567</f>
        <v/>
      </c>
      <c r="P1568">
        <f>$C1568*P1567</f>
        <v/>
      </c>
      <c r="Q1568">
        <f>$C1568*Q1567</f>
        <v/>
      </c>
      <c r="R1568">
        <f>$C1568*R1567</f>
        <v/>
      </c>
      <c r="S1568">
        <f>$C1568*S1567</f>
        <v/>
      </c>
      <c r="T1568">
        <f>$C1568*T1567</f>
        <v/>
      </c>
      <c r="U1568">
        <f>$C1568*U1567</f>
        <v/>
      </c>
      <c r="V1568">
        <f>$C1568*V1567</f>
        <v/>
      </c>
      <c r="W1568">
        <f>$C1568*W1567</f>
        <v/>
      </c>
      <c r="X1568">
        <f>$C1568*X1567</f>
        <v/>
      </c>
      <c r="Y1568">
        <f>$C1568*Y1567</f>
        <v/>
      </c>
      <c r="Z1568">
        <f>$C1568*Z1567</f>
        <v/>
      </c>
      <c r="AA1568">
        <f>$C1568*AA1567</f>
        <v/>
      </c>
      <c r="AB1568">
        <f>$C1568*AB1567</f>
        <v/>
      </c>
      <c r="AC1568">
        <f>$C1568*AC1567</f>
        <v/>
      </c>
      <c r="AD1568">
        <f>$C1568*AD1567</f>
        <v/>
      </c>
      <c r="AE1568">
        <f>$C1568*AE1567</f>
        <v/>
      </c>
      <c r="AF1568">
        <f>$C1568*AF1567</f>
        <v/>
      </c>
      <c r="AG1568">
        <f>$C1568*AG1567</f>
        <v/>
      </c>
      <c r="AH1568">
        <f>$C1568*AH1567</f>
        <v/>
      </c>
      <c r="AI1568">
        <f>$C1568*AI1567</f>
        <v/>
      </c>
      <c r="AJ1568">
        <f>$C1568*AJ1567</f>
        <v/>
      </c>
      <c r="AK1568">
        <f>$C1568*AK1567</f>
        <v/>
      </c>
      <c r="AL1568">
        <f>$C1568*AL1567</f>
        <v/>
      </c>
      <c r="AM1568">
        <f>$C1568*AM1567</f>
        <v/>
      </c>
      <c r="AN1568">
        <f>$C1568*AN1567</f>
        <v/>
      </c>
      <c r="AO1568">
        <f>$C1568*AO1567</f>
        <v/>
      </c>
      <c r="AP1568">
        <f>$C1568*AP1567</f>
        <v/>
      </c>
      <c r="AQ1568">
        <f>$C1568*AQ1567</f>
        <v/>
      </c>
      <c r="AR1568">
        <f>$C1568*AR1567</f>
        <v/>
      </c>
      <c r="AS1568">
        <f>$C1568*AS1567</f>
        <v/>
      </c>
      <c r="AT1568">
        <f>$C1568*AT1567</f>
        <v/>
      </c>
      <c r="AU1568">
        <f>$C1568*AU1567</f>
        <v/>
      </c>
      <c r="AV1568">
        <f>$C1568*AV1567</f>
        <v/>
      </c>
      <c r="AW1568">
        <f>$C1568*AW1567</f>
        <v/>
      </c>
      <c r="AX1568">
        <f>$C1568*AX1567</f>
        <v/>
      </c>
      <c r="AY1568">
        <f>$C1568*AY1567</f>
        <v/>
      </c>
      <c r="AZ1568">
        <f>$C1568*AZ1567</f>
        <v/>
      </c>
      <c r="BA1568">
        <f>$C1568*BA1567</f>
        <v/>
      </c>
      <c r="BB1568">
        <f>$C1568*BB1567</f>
        <v/>
      </c>
      <c r="BC1568">
        <f>$C1568*BC1567</f>
        <v/>
      </c>
      <c r="BD1568">
        <f>$C1568*BD1567</f>
        <v/>
      </c>
      <c r="BE1568">
        <f>$C1568*BE1567</f>
        <v/>
      </c>
      <c r="BF1568">
        <f>$C1568*BF1567</f>
        <v/>
      </c>
      <c r="BG1568">
        <f>$C1568*BG1567</f>
        <v/>
      </c>
      <c r="BH1568">
        <f>$C1568*BH1567</f>
        <v/>
      </c>
      <c r="BI1568">
        <f>$C1568*BI1567</f>
        <v/>
      </c>
      <c r="BJ1568">
        <f>$C1568*BJ1567</f>
        <v/>
      </c>
      <c r="BK1568">
        <f>$C1568*BK1567</f>
        <v/>
      </c>
      <c r="BL1568">
        <f>$C1568*BL1567</f>
        <v/>
      </c>
      <c r="BM1568">
        <f>$C1568*BM1567</f>
        <v/>
      </c>
      <c r="BN1568">
        <f>$C1568*BN1567</f>
        <v/>
      </c>
      <c r="BO1568">
        <f>$C1568*BO1567</f>
        <v/>
      </c>
      <c r="BP1568">
        <f>$C1568*BP1567</f>
        <v/>
      </c>
      <c r="BQ1568">
        <f>$C1568*BQ1567</f>
        <v/>
      </c>
      <c r="BR1568">
        <f>$C1568*BR1567</f>
        <v/>
      </c>
      <c r="BS1568">
        <f>$C1568*BS1567</f>
        <v/>
      </c>
      <c r="BT1568">
        <f>$C1568*BT1567</f>
        <v/>
      </c>
      <c r="BU1568">
        <f>$C1568*BU1567</f>
        <v/>
      </c>
      <c r="BV1568">
        <f>$C1568*BV1567</f>
        <v/>
      </c>
      <c r="BW1568">
        <f>$C1568*BW1567</f>
        <v/>
      </c>
      <c r="BX1568">
        <f>$C1568*BX1567</f>
        <v/>
      </c>
      <c r="BY1568">
        <f>$C1568*BY1567</f>
        <v/>
      </c>
      <c r="BZ1568">
        <f>$C1568*BZ1567</f>
        <v/>
      </c>
      <c r="CA1568">
        <f>$C1568*CA1567</f>
        <v/>
      </c>
      <c r="CB1568">
        <f>$C1568*CB1567</f>
        <v/>
      </c>
      <c r="CC1568">
        <f>$C1568*CC1567</f>
        <v/>
      </c>
      <c r="CD1568">
        <f>$C1568*CD1567</f>
        <v/>
      </c>
      <c r="CE1568">
        <f>$C1568*CE1567</f>
        <v/>
      </c>
      <c r="CF1568">
        <f>$C1568*CF1567</f>
        <v/>
      </c>
      <c r="CG1568">
        <f>$C1568*CG1567</f>
        <v/>
      </c>
      <c r="CH1568">
        <f>$C1568*CH1567</f>
        <v/>
      </c>
      <c r="CI1568">
        <f>$C1568*CI1567</f>
        <v/>
      </c>
      <c r="CJ1568">
        <f>$C1568*CJ1567</f>
        <v/>
      </c>
      <c r="CK1568">
        <f>$C1568*CK1567</f>
        <v/>
      </c>
      <c r="CL1568">
        <f>$C1568*CL1567</f>
        <v/>
      </c>
      <c r="CM1568">
        <f>$C1568*CM1567</f>
        <v/>
      </c>
      <c r="CN1568">
        <f>$C1568*CN1567</f>
        <v/>
      </c>
      <c r="CO1568">
        <f>$C1568*CO1567</f>
        <v/>
      </c>
      <c r="CP1568">
        <f>$C1568*CP1567</f>
        <v/>
      </c>
      <c r="CQ1568">
        <f>$C1568*CQ1567</f>
        <v/>
      </c>
      <c r="CR1568">
        <f>$C1568*CR1567</f>
        <v/>
      </c>
      <c r="CS1568">
        <f>$C1568*CS1567</f>
        <v/>
      </c>
      <c r="CT1568">
        <f>$C1568*CT1567</f>
        <v/>
      </c>
      <c r="CU1568">
        <f>$C1568*CU1567</f>
        <v/>
      </c>
      <c r="CV1568">
        <f>$C1568*CV1567</f>
        <v/>
      </c>
      <c r="CW1568">
        <f>$C1568*CW1567</f>
        <v/>
      </c>
      <c r="CX1568">
        <f>$C1568*CX1567</f>
        <v/>
      </c>
      <c r="CY1568">
        <f>$C1568*CY1567</f>
        <v/>
      </c>
      <c r="CZ1568">
        <f>$C1568*CZ1567</f>
        <v/>
      </c>
      <c r="DA1568">
        <f>$C1568*DA1567</f>
        <v/>
      </c>
      <c r="DB1568">
        <f>$C1568*DB1567</f>
        <v/>
      </c>
      <c r="DC1568">
        <f>$C1568*DC1567</f>
        <v/>
      </c>
      <c r="DD1568">
        <f>$C1568*DD1567</f>
        <v/>
      </c>
    </row>
    <row r="1569">
      <c r="B1569" s="4" t="inlineStr">
        <is>
          <t>合計使用量(kg)/週</t>
        </is>
      </c>
      <c r="D1569" s="23">
        <f>IFERROR(INDEX(E1569:DD1569,$F$1),"")</f>
        <v/>
      </c>
      <c r="E1569">
        <f>'Grid_Requirement'!B85</f>
        <v/>
      </c>
      <c r="F1569">
        <f>'Grid_Requirement'!C85</f>
        <v/>
      </c>
      <c r="G1569">
        <f>'Grid_Requirement'!D85</f>
        <v/>
      </c>
      <c r="H1569">
        <f>'Grid_Requirement'!E85</f>
        <v/>
      </c>
      <c r="I1569">
        <f>'Grid_Requirement'!F85</f>
        <v/>
      </c>
      <c r="J1569">
        <f>'Grid_Requirement'!G85</f>
        <v/>
      </c>
      <c r="K1569">
        <f>'Grid_Requirement'!H85</f>
        <v/>
      </c>
      <c r="L1569">
        <f>'Grid_Requirement'!I85</f>
        <v/>
      </c>
      <c r="M1569">
        <f>'Grid_Requirement'!J85</f>
        <v/>
      </c>
      <c r="N1569">
        <f>'Grid_Requirement'!K85</f>
        <v/>
      </c>
      <c r="O1569">
        <f>'Grid_Requirement'!L85</f>
        <v/>
      </c>
      <c r="P1569">
        <f>'Grid_Requirement'!M85</f>
        <v/>
      </c>
      <c r="Q1569">
        <f>'Grid_Requirement'!N85</f>
        <v/>
      </c>
      <c r="R1569">
        <f>'Grid_Requirement'!O85</f>
        <v/>
      </c>
      <c r="S1569">
        <f>'Grid_Requirement'!P85</f>
        <v/>
      </c>
      <c r="T1569">
        <f>'Grid_Requirement'!Q85</f>
        <v/>
      </c>
      <c r="U1569">
        <f>'Grid_Requirement'!R85</f>
        <v/>
      </c>
      <c r="V1569">
        <f>'Grid_Requirement'!S85</f>
        <v/>
      </c>
      <c r="W1569">
        <f>'Grid_Requirement'!T85</f>
        <v/>
      </c>
      <c r="X1569">
        <f>'Grid_Requirement'!U85</f>
        <v/>
      </c>
      <c r="Y1569">
        <f>'Grid_Requirement'!V85</f>
        <v/>
      </c>
      <c r="Z1569">
        <f>'Grid_Requirement'!W85</f>
        <v/>
      </c>
      <c r="AA1569">
        <f>'Grid_Requirement'!X85</f>
        <v/>
      </c>
      <c r="AB1569">
        <f>'Grid_Requirement'!Y85</f>
        <v/>
      </c>
      <c r="AC1569">
        <f>'Grid_Requirement'!Z85</f>
        <v/>
      </c>
      <c r="AD1569">
        <f>'Grid_Requirement'!AA85</f>
        <v/>
      </c>
      <c r="AE1569">
        <f>'Grid_Requirement'!AB85</f>
        <v/>
      </c>
      <c r="AF1569">
        <f>'Grid_Requirement'!AC85</f>
        <v/>
      </c>
      <c r="AG1569">
        <f>'Grid_Requirement'!AD85</f>
        <v/>
      </c>
      <c r="AH1569">
        <f>'Grid_Requirement'!AE85</f>
        <v/>
      </c>
      <c r="AI1569">
        <f>'Grid_Requirement'!AF85</f>
        <v/>
      </c>
      <c r="AJ1569">
        <f>'Grid_Requirement'!AG85</f>
        <v/>
      </c>
      <c r="AK1569">
        <f>'Grid_Requirement'!AH85</f>
        <v/>
      </c>
      <c r="AL1569">
        <f>'Grid_Requirement'!AI85</f>
        <v/>
      </c>
      <c r="AM1569">
        <f>'Grid_Requirement'!AJ85</f>
        <v/>
      </c>
      <c r="AN1569">
        <f>'Grid_Requirement'!AK85</f>
        <v/>
      </c>
      <c r="AO1569">
        <f>'Grid_Requirement'!AL85</f>
        <v/>
      </c>
      <c r="AP1569">
        <f>'Grid_Requirement'!AM85</f>
        <v/>
      </c>
      <c r="AQ1569">
        <f>'Grid_Requirement'!AN85</f>
        <v/>
      </c>
      <c r="AR1569">
        <f>'Grid_Requirement'!AO85</f>
        <v/>
      </c>
      <c r="AS1569">
        <f>'Grid_Requirement'!AP85</f>
        <v/>
      </c>
      <c r="AT1569">
        <f>'Grid_Requirement'!AQ85</f>
        <v/>
      </c>
      <c r="AU1569">
        <f>'Grid_Requirement'!AR85</f>
        <v/>
      </c>
      <c r="AV1569">
        <f>'Grid_Requirement'!AS85</f>
        <v/>
      </c>
      <c r="AW1569">
        <f>'Grid_Requirement'!AT85</f>
        <v/>
      </c>
      <c r="AX1569">
        <f>'Grid_Requirement'!AU85</f>
        <v/>
      </c>
      <c r="AY1569">
        <f>'Grid_Requirement'!AV85</f>
        <v/>
      </c>
      <c r="AZ1569">
        <f>'Grid_Requirement'!AW85</f>
        <v/>
      </c>
      <c r="BA1569">
        <f>'Grid_Requirement'!AX85</f>
        <v/>
      </c>
      <c r="BB1569">
        <f>'Grid_Requirement'!AY85</f>
        <v/>
      </c>
      <c r="BC1569">
        <f>'Grid_Requirement'!AZ85</f>
        <v/>
      </c>
      <c r="BD1569">
        <f>'Grid_Requirement'!BA85</f>
        <v/>
      </c>
      <c r="BE1569">
        <f>'Grid_Requirement'!BB85</f>
        <v/>
      </c>
      <c r="BF1569">
        <f>'Grid_Requirement'!BC85</f>
        <v/>
      </c>
      <c r="BG1569">
        <f>'Grid_Requirement'!BD85</f>
        <v/>
      </c>
      <c r="BH1569">
        <f>'Grid_Requirement'!BE85</f>
        <v/>
      </c>
      <c r="BI1569">
        <f>'Grid_Requirement'!BF85</f>
        <v/>
      </c>
      <c r="BJ1569">
        <f>'Grid_Requirement'!BG85</f>
        <v/>
      </c>
      <c r="BK1569">
        <f>'Grid_Requirement'!BH85</f>
        <v/>
      </c>
      <c r="BL1569">
        <f>'Grid_Requirement'!BI85</f>
        <v/>
      </c>
      <c r="BM1569">
        <f>'Grid_Requirement'!BJ85</f>
        <v/>
      </c>
      <c r="BN1569">
        <f>'Grid_Requirement'!BK85</f>
        <v/>
      </c>
      <c r="BO1569">
        <f>'Grid_Requirement'!BL85</f>
        <v/>
      </c>
      <c r="BP1569">
        <f>'Grid_Requirement'!BM85</f>
        <v/>
      </c>
      <c r="BQ1569">
        <f>'Grid_Requirement'!BN85</f>
        <v/>
      </c>
      <c r="BR1569">
        <f>'Grid_Requirement'!BO85</f>
        <v/>
      </c>
      <c r="BS1569">
        <f>'Grid_Requirement'!BP85</f>
        <v/>
      </c>
      <c r="BT1569">
        <f>'Grid_Requirement'!BQ85</f>
        <v/>
      </c>
      <c r="BU1569">
        <f>'Grid_Requirement'!BR85</f>
        <v/>
      </c>
      <c r="BV1569">
        <f>'Grid_Requirement'!BS85</f>
        <v/>
      </c>
      <c r="BW1569">
        <f>'Grid_Requirement'!BT85</f>
        <v/>
      </c>
      <c r="BX1569">
        <f>'Grid_Requirement'!BU85</f>
        <v/>
      </c>
      <c r="BY1569">
        <f>'Grid_Requirement'!BV85</f>
        <v/>
      </c>
      <c r="BZ1569">
        <f>'Grid_Requirement'!BW85</f>
        <v/>
      </c>
      <c r="CA1569">
        <f>'Grid_Requirement'!BX85</f>
        <v/>
      </c>
      <c r="CB1569">
        <f>'Grid_Requirement'!BY85</f>
        <v/>
      </c>
      <c r="CC1569">
        <f>'Grid_Requirement'!BZ85</f>
        <v/>
      </c>
      <c r="CD1569">
        <f>'Grid_Requirement'!CA85</f>
        <v/>
      </c>
      <c r="CE1569">
        <f>'Grid_Requirement'!CB85</f>
        <v/>
      </c>
      <c r="CF1569">
        <f>'Grid_Requirement'!CC85</f>
        <v/>
      </c>
      <c r="CG1569">
        <f>'Grid_Requirement'!CD85</f>
        <v/>
      </c>
      <c r="CH1569">
        <f>'Grid_Requirement'!CE85</f>
        <v/>
      </c>
      <c r="CI1569">
        <f>'Grid_Requirement'!CF85</f>
        <v/>
      </c>
      <c r="CJ1569">
        <f>'Grid_Requirement'!CG85</f>
        <v/>
      </c>
      <c r="CK1569">
        <f>'Grid_Requirement'!CH85</f>
        <v/>
      </c>
      <c r="CL1569">
        <f>'Grid_Requirement'!CI85</f>
        <v/>
      </c>
      <c r="CM1569">
        <f>'Grid_Requirement'!CJ85</f>
        <v/>
      </c>
      <c r="CN1569">
        <f>'Grid_Requirement'!CK85</f>
        <v/>
      </c>
      <c r="CO1569">
        <f>'Grid_Requirement'!CL85</f>
        <v/>
      </c>
      <c r="CP1569">
        <f>'Grid_Requirement'!CM85</f>
        <v/>
      </c>
      <c r="CQ1569">
        <f>'Grid_Requirement'!CN85</f>
        <v/>
      </c>
      <c r="CR1569">
        <f>'Grid_Requirement'!CO85</f>
        <v/>
      </c>
      <c r="CS1569">
        <f>'Grid_Requirement'!CP85</f>
        <v/>
      </c>
      <c r="CT1569">
        <f>'Grid_Requirement'!CQ85</f>
        <v/>
      </c>
      <c r="CU1569">
        <f>'Grid_Requirement'!CR85</f>
        <v/>
      </c>
      <c r="CV1569">
        <f>'Grid_Requirement'!CS85</f>
        <v/>
      </c>
      <c r="CW1569">
        <f>'Grid_Requirement'!CT85</f>
        <v/>
      </c>
      <c r="CX1569">
        <f>'Grid_Requirement'!CU85</f>
        <v/>
      </c>
      <c r="CY1569">
        <f>'Grid_Requirement'!CV85</f>
        <v/>
      </c>
      <c r="CZ1569">
        <f>'Grid_Requirement'!CW85</f>
        <v/>
      </c>
      <c r="DA1569">
        <f>'Grid_Requirement'!CX85</f>
        <v/>
      </c>
      <c r="DB1569">
        <f>'Grid_Requirement'!CY85</f>
        <v/>
      </c>
      <c r="DC1569">
        <f>'Grid_Requirement'!CZ85</f>
        <v/>
      </c>
      <c r="DD1569">
        <f>'Grid_Requirement'!DA85</f>
        <v/>
      </c>
    </row>
    <row r="1570">
      <c r="B1570" t="inlineStr">
        <is>
          <t>TTAF在庫(実績,kg)</t>
        </is>
      </c>
      <c r="D1570">
        <f>IFERROR(INDEX(E1570:DD1570,$F$1),"")</f>
        <v/>
      </c>
      <c r="E1570">
        <f>IFERROR(SUMIFS(T_TTAFStock[TTAF_Qty],T_TTAFStock[RM_Code],$A1566,T_TTAFStock[WeekIndex],1),"")</f>
        <v/>
      </c>
      <c r="F1570">
        <f>IFERROR(SUMIFS(T_TTAFStock[TTAF_Qty],T_TTAFStock[RM_Code],$A1566,T_TTAFStock[WeekIndex],2),"")</f>
        <v/>
      </c>
      <c r="G1570">
        <f>IFERROR(SUMIFS(T_TTAFStock[TTAF_Qty],T_TTAFStock[RM_Code],$A1566,T_TTAFStock[WeekIndex],3),"")</f>
        <v/>
      </c>
      <c r="H1570">
        <f>IFERROR(SUMIFS(T_TTAFStock[TTAF_Qty],T_TTAFStock[RM_Code],$A1566,T_TTAFStock[WeekIndex],4),"")</f>
        <v/>
      </c>
      <c r="I1570">
        <f>IFERROR(SUMIFS(T_TTAFStock[TTAF_Qty],T_TTAFStock[RM_Code],$A1566,T_TTAFStock[WeekIndex],5),"")</f>
        <v/>
      </c>
      <c r="J1570">
        <f>IFERROR(SUMIFS(T_TTAFStock[TTAF_Qty],T_TTAFStock[RM_Code],$A1566,T_TTAFStock[WeekIndex],6),"")</f>
        <v/>
      </c>
      <c r="K1570">
        <f>IFERROR(SUMIFS(T_TTAFStock[TTAF_Qty],T_TTAFStock[RM_Code],$A1566,T_TTAFStock[WeekIndex],7),"")</f>
        <v/>
      </c>
      <c r="L1570">
        <f>IFERROR(SUMIFS(T_TTAFStock[TTAF_Qty],T_TTAFStock[RM_Code],$A1566,T_TTAFStock[WeekIndex],8),"")</f>
        <v/>
      </c>
      <c r="M1570">
        <f>IFERROR(SUMIFS(T_TTAFStock[TTAF_Qty],T_TTAFStock[RM_Code],$A1566,T_TTAFStock[WeekIndex],9),"")</f>
        <v/>
      </c>
      <c r="N1570">
        <f>IFERROR(SUMIFS(T_TTAFStock[TTAF_Qty],T_TTAFStock[RM_Code],$A1566,T_TTAFStock[WeekIndex],10),"")</f>
        <v/>
      </c>
      <c r="O1570">
        <f>IFERROR(SUMIFS(T_TTAFStock[TTAF_Qty],T_TTAFStock[RM_Code],$A1566,T_TTAFStock[WeekIndex],11),"")</f>
        <v/>
      </c>
      <c r="P1570">
        <f>IFERROR(SUMIFS(T_TTAFStock[TTAF_Qty],T_TTAFStock[RM_Code],$A1566,T_TTAFStock[WeekIndex],12),"")</f>
        <v/>
      </c>
      <c r="Q1570">
        <f>IFERROR(SUMIFS(T_TTAFStock[TTAF_Qty],T_TTAFStock[RM_Code],$A1566,T_TTAFStock[WeekIndex],13),"")</f>
        <v/>
      </c>
      <c r="R1570">
        <f>IFERROR(SUMIFS(T_TTAFStock[TTAF_Qty],T_TTAFStock[RM_Code],$A1566,T_TTAFStock[WeekIndex],14),"")</f>
        <v/>
      </c>
      <c r="S1570">
        <f>IFERROR(SUMIFS(T_TTAFStock[TTAF_Qty],T_TTAFStock[RM_Code],$A1566,T_TTAFStock[WeekIndex],15),"")</f>
        <v/>
      </c>
      <c r="T1570">
        <f>IFERROR(SUMIFS(T_TTAFStock[TTAF_Qty],T_TTAFStock[RM_Code],$A1566,T_TTAFStock[WeekIndex],16),"")</f>
        <v/>
      </c>
      <c r="U1570">
        <f>IFERROR(SUMIFS(T_TTAFStock[TTAF_Qty],T_TTAFStock[RM_Code],$A1566,T_TTAFStock[WeekIndex],17),"")</f>
        <v/>
      </c>
      <c r="V1570">
        <f>IFERROR(SUMIFS(T_TTAFStock[TTAF_Qty],T_TTAFStock[RM_Code],$A1566,T_TTAFStock[WeekIndex],18),"")</f>
        <v/>
      </c>
      <c r="W1570">
        <f>IFERROR(SUMIFS(T_TTAFStock[TTAF_Qty],T_TTAFStock[RM_Code],$A1566,T_TTAFStock[WeekIndex],19),"")</f>
        <v/>
      </c>
      <c r="X1570">
        <f>IFERROR(SUMIFS(T_TTAFStock[TTAF_Qty],T_TTAFStock[RM_Code],$A1566,T_TTAFStock[WeekIndex],20),"")</f>
        <v/>
      </c>
      <c r="Y1570">
        <f>IFERROR(SUMIFS(T_TTAFStock[TTAF_Qty],T_TTAFStock[RM_Code],$A1566,T_TTAFStock[WeekIndex],21),"")</f>
        <v/>
      </c>
      <c r="Z1570">
        <f>IFERROR(SUMIFS(T_TTAFStock[TTAF_Qty],T_TTAFStock[RM_Code],$A1566,T_TTAFStock[WeekIndex],22),"")</f>
        <v/>
      </c>
      <c r="AA1570">
        <f>IFERROR(SUMIFS(T_TTAFStock[TTAF_Qty],T_TTAFStock[RM_Code],$A1566,T_TTAFStock[WeekIndex],23),"")</f>
        <v/>
      </c>
      <c r="AB1570">
        <f>IFERROR(SUMIFS(T_TTAFStock[TTAF_Qty],T_TTAFStock[RM_Code],$A1566,T_TTAFStock[WeekIndex],24),"")</f>
        <v/>
      </c>
      <c r="AC1570">
        <f>IFERROR(SUMIFS(T_TTAFStock[TTAF_Qty],T_TTAFStock[RM_Code],$A1566,T_TTAFStock[WeekIndex],25),"")</f>
        <v/>
      </c>
      <c r="AD1570">
        <f>IFERROR(SUMIFS(T_TTAFStock[TTAF_Qty],T_TTAFStock[RM_Code],$A1566,T_TTAFStock[WeekIndex],26),"")</f>
        <v/>
      </c>
      <c r="AE1570">
        <f>IFERROR(SUMIFS(T_TTAFStock[TTAF_Qty],T_TTAFStock[RM_Code],$A1566,T_TTAFStock[WeekIndex],27),"")</f>
        <v/>
      </c>
      <c r="AF1570">
        <f>IFERROR(SUMIFS(T_TTAFStock[TTAF_Qty],T_TTAFStock[RM_Code],$A1566,T_TTAFStock[WeekIndex],28),"")</f>
        <v/>
      </c>
      <c r="AG1570">
        <f>IFERROR(SUMIFS(T_TTAFStock[TTAF_Qty],T_TTAFStock[RM_Code],$A1566,T_TTAFStock[WeekIndex],29),"")</f>
        <v/>
      </c>
      <c r="AH1570">
        <f>IFERROR(SUMIFS(T_TTAFStock[TTAF_Qty],T_TTAFStock[RM_Code],$A1566,T_TTAFStock[WeekIndex],30),"")</f>
        <v/>
      </c>
      <c r="AI1570">
        <f>IFERROR(SUMIFS(T_TTAFStock[TTAF_Qty],T_TTAFStock[RM_Code],$A1566,T_TTAFStock[WeekIndex],31),"")</f>
        <v/>
      </c>
      <c r="AJ1570">
        <f>IFERROR(SUMIFS(T_TTAFStock[TTAF_Qty],T_TTAFStock[RM_Code],$A1566,T_TTAFStock[WeekIndex],32),"")</f>
        <v/>
      </c>
      <c r="AK1570">
        <f>IFERROR(SUMIFS(T_TTAFStock[TTAF_Qty],T_TTAFStock[RM_Code],$A1566,T_TTAFStock[WeekIndex],33),"")</f>
        <v/>
      </c>
      <c r="AL1570">
        <f>IFERROR(SUMIFS(T_TTAFStock[TTAF_Qty],T_TTAFStock[RM_Code],$A1566,T_TTAFStock[WeekIndex],34),"")</f>
        <v/>
      </c>
      <c r="AM1570">
        <f>IFERROR(SUMIFS(T_TTAFStock[TTAF_Qty],T_TTAFStock[RM_Code],$A1566,T_TTAFStock[WeekIndex],35),"")</f>
        <v/>
      </c>
      <c r="AN1570">
        <f>IFERROR(SUMIFS(T_TTAFStock[TTAF_Qty],T_TTAFStock[RM_Code],$A1566,T_TTAFStock[WeekIndex],36),"")</f>
        <v/>
      </c>
      <c r="AO1570">
        <f>IFERROR(SUMIFS(T_TTAFStock[TTAF_Qty],T_TTAFStock[RM_Code],$A1566,T_TTAFStock[WeekIndex],37),"")</f>
        <v/>
      </c>
      <c r="AP1570">
        <f>IFERROR(SUMIFS(T_TTAFStock[TTAF_Qty],T_TTAFStock[RM_Code],$A1566,T_TTAFStock[WeekIndex],38),"")</f>
        <v/>
      </c>
      <c r="AQ1570">
        <f>IFERROR(SUMIFS(T_TTAFStock[TTAF_Qty],T_TTAFStock[RM_Code],$A1566,T_TTAFStock[WeekIndex],39),"")</f>
        <v/>
      </c>
      <c r="AR1570">
        <f>IFERROR(SUMIFS(T_TTAFStock[TTAF_Qty],T_TTAFStock[RM_Code],$A1566,T_TTAFStock[WeekIndex],40),"")</f>
        <v/>
      </c>
      <c r="AS1570">
        <f>IFERROR(SUMIFS(T_TTAFStock[TTAF_Qty],T_TTAFStock[RM_Code],$A1566,T_TTAFStock[WeekIndex],41),"")</f>
        <v/>
      </c>
      <c r="AT1570">
        <f>IFERROR(SUMIFS(T_TTAFStock[TTAF_Qty],T_TTAFStock[RM_Code],$A1566,T_TTAFStock[WeekIndex],42),"")</f>
        <v/>
      </c>
      <c r="AU1570">
        <f>IFERROR(SUMIFS(T_TTAFStock[TTAF_Qty],T_TTAFStock[RM_Code],$A1566,T_TTAFStock[WeekIndex],43),"")</f>
        <v/>
      </c>
      <c r="AV1570">
        <f>IFERROR(SUMIFS(T_TTAFStock[TTAF_Qty],T_TTAFStock[RM_Code],$A1566,T_TTAFStock[WeekIndex],44),"")</f>
        <v/>
      </c>
      <c r="AW1570">
        <f>IFERROR(SUMIFS(T_TTAFStock[TTAF_Qty],T_TTAFStock[RM_Code],$A1566,T_TTAFStock[WeekIndex],45),"")</f>
        <v/>
      </c>
      <c r="AX1570">
        <f>IFERROR(SUMIFS(T_TTAFStock[TTAF_Qty],T_TTAFStock[RM_Code],$A1566,T_TTAFStock[WeekIndex],46),"")</f>
        <v/>
      </c>
      <c r="AY1570">
        <f>IFERROR(SUMIFS(T_TTAFStock[TTAF_Qty],T_TTAFStock[RM_Code],$A1566,T_TTAFStock[WeekIndex],47),"")</f>
        <v/>
      </c>
      <c r="AZ1570">
        <f>IFERROR(SUMIFS(T_TTAFStock[TTAF_Qty],T_TTAFStock[RM_Code],$A1566,T_TTAFStock[WeekIndex],48),"")</f>
        <v/>
      </c>
      <c r="BA1570">
        <f>IFERROR(SUMIFS(T_TTAFStock[TTAF_Qty],T_TTAFStock[RM_Code],$A1566,T_TTAFStock[WeekIndex],49),"")</f>
        <v/>
      </c>
      <c r="BB1570">
        <f>IFERROR(SUMIFS(T_TTAFStock[TTAF_Qty],T_TTAFStock[RM_Code],$A1566,T_TTAFStock[WeekIndex],50),"")</f>
        <v/>
      </c>
      <c r="BC1570">
        <f>IFERROR(SUMIFS(T_TTAFStock[TTAF_Qty],T_TTAFStock[RM_Code],$A1566,T_TTAFStock[WeekIndex],51),"")</f>
        <v/>
      </c>
      <c r="BD1570">
        <f>IFERROR(SUMIFS(T_TTAFStock[TTAF_Qty],T_TTAFStock[RM_Code],$A1566,T_TTAFStock[WeekIndex],52),"")</f>
        <v/>
      </c>
      <c r="BE1570">
        <f>IFERROR(SUMIFS(T_TTAFStock[TTAF_Qty],T_TTAFStock[RM_Code],$A1566,T_TTAFStock[WeekIndex],53),"")</f>
        <v/>
      </c>
      <c r="BF1570">
        <f>IFERROR(SUMIFS(T_TTAFStock[TTAF_Qty],T_TTAFStock[RM_Code],$A1566,T_TTAFStock[WeekIndex],54),"")</f>
        <v/>
      </c>
      <c r="BG1570">
        <f>IFERROR(SUMIFS(T_TTAFStock[TTAF_Qty],T_TTAFStock[RM_Code],$A1566,T_TTAFStock[WeekIndex],55),"")</f>
        <v/>
      </c>
      <c r="BH1570">
        <f>IFERROR(SUMIFS(T_TTAFStock[TTAF_Qty],T_TTAFStock[RM_Code],$A1566,T_TTAFStock[WeekIndex],56),"")</f>
        <v/>
      </c>
      <c r="BI1570">
        <f>IFERROR(SUMIFS(T_TTAFStock[TTAF_Qty],T_TTAFStock[RM_Code],$A1566,T_TTAFStock[WeekIndex],57),"")</f>
        <v/>
      </c>
      <c r="BJ1570">
        <f>IFERROR(SUMIFS(T_TTAFStock[TTAF_Qty],T_TTAFStock[RM_Code],$A1566,T_TTAFStock[WeekIndex],58),"")</f>
        <v/>
      </c>
      <c r="BK1570">
        <f>IFERROR(SUMIFS(T_TTAFStock[TTAF_Qty],T_TTAFStock[RM_Code],$A1566,T_TTAFStock[WeekIndex],59),"")</f>
        <v/>
      </c>
      <c r="BL1570">
        <f>IFERROR(SUMIFS(T_TTAFStock[TTAF_Qty],T_TTAFStock[RM_Code],$A1566,T_TTAFStock[WeekIndex],60),"")</f>
        <v/>
      </c>
      <c r="BM1570">
        <f>IFERROR(SUMIFS(T_TTAFStock[TTAF_Qty],T_TTAFStock[RM_Code],$A1566,T_TTAFStock[WeekIndex],61),"")</f>
        <v/>
      </c>
      <c r="BN1570">
        <f>IFERROR(SUMIFS(T_TTAFStock[TTAF_Qty],T_TTAFStock[RM_Code],$A1566,T_TTAFStock[WeekIndex],62),"")</f>
        <v/>
      </c>
      <c r="BO1570">
        <f>IFERROR(SUMIFS(T_TTAFStock[TTAF_Qty],T_TTAFStock[RM_Code],$A1566,T_TTAFStock[WeekIndex],63),"")</f>
        <v/>
      </c>
      <c r="BP1570">
        <f>IFERROR(SUMIFS(T_TTAFStock[TTAF_Qty],T_TTAFStock[RM_Code],$A1566,T_TTAFStock[WeekIndex],64),"")</f>
        <v/>
      </c>
      <c r="BQ1570">
        <f>IFERROR(SUMIFS(T_TTAFStock[TTAF_Qty],T_TTAFStock[RM_Code],$A1566,T_TTAFStock[WeekIndex],65),"")</f>
        <v/>
      </c>
      <c r="BR1570">
        <f>IFERROR(SUMIFS(T_TTAFStock[TTAF_Qty],T_TTAFStock[RM_Code],$A1566,T_TTAFStock[WeekIndex],66),"")</f>
        <v/>
      </c>
      <c r="BS1570">
        <f>IFERROR(SUMIFS(T_TTAFStock[TTAF_Qty],T_TTAFStock[RM_Code],$A1566,T_TTAFStock[WeekIndex],67),"")</f>
        <v/>
      </c>
      <c r="BT1570">
        <f>IFERROR(SUMIFS(T_TTAFStock[TTAF_Qty],T_TTAFStock[RM_Code],$A1566,T_TTAFStock[WeekIndex],68),"")</f>
        <v/>
      </c>
      <c r="BU1570">
        <f>IFERROR(SUMIFS(T_TTAFStock[TTAF_Qty],T_TTAFStock[RM_Code],$A1566,T_TTAFStock[WeekIndex],69),"")</f>
        <v/>
      </c>
      <c r="BV1570">
        <f>IFERROR(SUMIFS(T_TTAFStock[TTAF_Qty],T_TTAFStock[RM_Code],$A1566,T_TTAFStock[WeekIndex],70),"")</f>
        <v/>
      </c>
      <c r="BW1570">
        <f>IFERROR(SUMIFS(T_TTAFStock[TTAF_Qty],T_TTAFStock[RM_Code],$A1566,T_TTAFStock[WeekIndex],71),"")</f>
        <v/>
      </c>
      <c r="BX1570">
        <f>IFERROR(SUMIFS(T_TTAFStock[TTAF_Qty],T_TTAFStock[RM_Code],$A1566,T_TTAFStock[WeekIndex],72),"")</f>
        <v/>
      </c>
      <c r="BY1570">
        <f>IFERROR(SUMIFS(T_TTAFStock[TTAF_Qty],T_TTAFStock[RM_Code],$A1566,T_TTAFStock[WeekIndex],73),"")</f>
        <v/>
      </c>
      <c r="BZ1570">
        <f>IFERROR(SUMIFS(T_TTAFStock[TTAF_Qty],T_TTAFStock[RM_Code],$A1566,T_TTAFStock[WeekIndex],74),"")</f>
        <v/>
      </c>
      <c r="CA1570">
        <f>IFERROR(SUMIFS(T_TTAFStock[TTAF_Qty],T_TTAFStock[RM_Code],$A1566,T_TTAFStock[WeekIndex],75),"")</f>
        <v/>
      </c>
      <c r="CB1570">
        <f>IFERROR(SUMIFS(T_TTAFStock[TTAF_Qty],T_TTAFStock[RM_Code],$A1566,T_TTAFStock[WeekIndex],76),"")</f>
        <v/>
      </c>
      <c r="CC1570">
        <f>IFERROR(SUMIFS(T_TTAFStock[TTAF_Qty],T_TTAFStock[RM_Code],$A1566,T_TTAFStock[WeekIndex],77),"")</f>
        <v/>
      </c>
      <c r="CD1570">
        <f>IFERROR(SUMIFS(T_TTAFStock[TTAF_Qty],T_TTAFStock[RM_Code],$A1566,T_TTAFStock[WeekIndex],78),"")</f>
        <v/>
      </c>
      <c r="CE1570">
        <f>IFERROR(SUMIFS(T_TTAFStock[TTAF_Qty],T_TTAFStock[RM_Code],$A1566,T_TTAFStock[WeekIndex],79),"")</f>
        <v/>
      </c>
      <c r="CF1570">
        <f>IFERROR(SUMIFS(T_TTAFStock[TTAF_Qty],T_TTAFStock[RM_Code],$A1566,T_TTAFStock[WeekIndex],80),"")</f>
        <v/>
      </c>
      <c r="CG1570">
        <f>IFERROR(SUMIFS(T_TTAFStock[TTAF_Qty],T_TTAFStock[RM_Code],$A1566,T_TTAFStock[WeekIndex],81),"")</f>
        <v/>
      </c>
      <c r="CH1570">
        <f>IFERROR(SUMIFS(T_TTAFStock[TTAF_Qty],T_TTAFStock[RM_Code],$A1566,T_TTAFStock[WeekIndex],82),"")</f>
        <v/>
      </c>
      <c r="CI1570">
        <f>IFERROR(SUMIFS(T_TTAFStock[TTAF_Qty],T_TTAFStock[RM_Code],$A1566,T_TTAFStock[WeekIndex],83),"")</f>
        <v/>
      </c>
      <c r="CJ1570">
        <f>IFERROR(SUMIFS(T_TTAFStock[TTAF_Qty],T_TTAFStock[RM_Code],$A1566,T_TTAFStock[WeekIndex],84),"")</f>
        <v/>
      </c>
      <c r="CK1570">
        <f>IFERROR(SUMIFS(T_TTAFStock[TTAF_Qty],T_TTAFStock[RM_Code],$A1566,T_TTAFStock[WeekIndex],85),"")</f>
        <v/>
      </c>
      <c r="CL1570">
        <f>IFERROR(SUMIFS(T_TTAFStock[TTAF_Qty],T_TTAFStock[RM_Code],$A1566,T_TTAFStock[WeekIndex],86),"")</f>
        <v/>
      </c>
      <c r="CM1570">
        <f>IFERROR(SUMIFS(T_TTAFStock[TTAF_Qty],T_TTAFStock[RM_Code],$A1566,T_TTAFStock[WeekIndex],87),"")</f>
        <v/>
      </c>
      <c r="CN1570">
        <f>IFERROR(SUMIFS(T_TTAFStock[TTAF_Qty],T_TTAFStock[RM_Code],$A1566,T_TTAFStock[WeekIndex],88),"")</f>
        <v/>
      </c>
      <c r="CO1570">
        <f>IFERROR(SUMIFS(T_TTAFStock[TTAF_Qty],T_TTAFStock[RM_Code],$A1566,T_TTAFStock[WeekIndex],89),"")</f>
        <v/>
      </c>
      <c r="CP1570">
        <f>IFERROR(SUMIFS(T_TTAFStock[TTAF_Qty],T_TTAFStock[RM_Code],$A1566,T_TTAFStock[WeekIndex],90),"")</f>
        <v/>
      </c>
      <c r="CQ1570">
        <f>IFERROR(SUMIFS(T_TTAFStock[TTAF_Qty],T_TTAFStock[RM_Code],$A1566,T_TTAFStock[WeekIndex],91),"")</f>
        <v/>
      </c>
      <c r="CR1570">
        <f>IFERROR(SUMIFS(T_TTAFStock[TTAF_Qty],T_TTAFStock[RM_Code],$A1566,T_TTAFStock[WeekIndex],92),"")</f>
        <v/>
      </c>
      <c r="CS1570">
        <f>IFERROR(SUMIFS(T_TTAFStock[TTAF_Qty],T_TTAFStock[RM_Code],$A1566,T_TTAFStock[WeekIndex],93),"")</f>
        <v/>
      </c>
      <c r="CT1570">
        <f>IFERROR(SUMIFS(T_TTAFStock[TTAF_Qty],T_TTAFStock[RM_Code],$A1566,T_TTAFStock[WeekIndex],94),"")</f>
        <v/>
      </c>
      <c r="CU1570">
        <f>IFERROR(SUMIFS(T_TTAFStock[TTAF_Qty],T_TTAFStock[RM_Code],$A1566,T_TTAFStock[WeekIndex],95),"")</f>
        <v/>
      </c>
      <c r="CV1570">
        <f>IFERROR(SUMIFS(T_TTAFStock[TTAF_Qty],T_TTAFStock[RM_Code],$A1566,T_TTAFStock[WeekIndex],96),"")</f>
        <v/>
      </c>
      <c r="CW1570">
        <f>IFERROR(SUMIFS(T_TTAFStock[TTAF_Qty],T_TTAFStock[RM_Code],$A1566,T_TTAFStock[WeekIndex],97),"")</f>
        <v/>
      </c>
      <c r="CX1570">
        <f>IFERROR(SUMIFS(T_TTAFStock[TTAF_Qty],T_TTAFStock[RM_Code],$A1566,T_TTAFStock[WeekIndex],98),"")</f>
        <v/>
      </c>
      <c r="CY1570">
        <f>IFERROR(SUMIFS(T_TTAFStock[TTAF_Qty],T_TTAFStock[RM_Code],$A1566,T_TTAFStock[WeekIndex],99),"")</f>
        <v/>
      </c>
      <c r="CZ1570">
        <f>IFERROR(SUMIFS(T_TTAFStock[TTAF_Qty],T_TTAFStock[RM_Code],$A1566,T_TTAFStock[WeekIndex],100),"")</f>
        <v/>
      </c>
      <c r="DA1570">
        <f>IFERROR(SUMIFS(T_TTAFStock[TTAF_Qty],T_TTAFStock[RM_Code],$A1566,T_TTAFStock[WeekIndex],101),"")</f>
        <v/>
      </c>
      <c r="DB1570">
        <f>IFERROR(SUMIFS(T_TTAFStock[TTAF_Qty],T_TTAFStock[RM_Code],$A1566,T_TTAFStock[WeekIndex],102),"")</f>
        <v/>
      </c>
      <c r="DC1570">
        <f>IFERROR(SUMIFS(T_TTAFStock[TTAF_Qty],T_TTAFStock[RM_Code],$A1566,T_TTAFStock[WeekIndex],103),"")</f>
        <v/>
      </c>
      <c r="DD1570">
        <f>IFERROR(SUMIFS(T_TTAFStock[TTAF_Qty],T_TTAFStock[RM_Code],$A1566,T_TTAFStock[WeekIndex],104),"")</f>
        <v/>
      </c>
    </row>
    <row r="1571">
      <c r="B1571" t="inlineStr">
        <is>
          <t>自社在庫(実績,kg)</t>
        </is>
      </c>
      <c r="D1571">
        <f>IFERROR(INDEX(E1571:DD1571,$F$1),"")</f>
        <v/>
      </c>
      <c r="E1571">
        <f>IFERROR(SUMIFS(T_SelfStock[Self_Qty],T_SelfStock[RM_Code],$A1566,T_SelfStock[WeekIndex],1),"")</f>
        <v/>
      </c>
      <c r="F1571">
        <f>IFERROR(SUMIFS(T_SelfStock[Self_Qty],T_SelfStock[RM_Code],$A1566,T_SelfStock[WeekIndex],2),"")</f>
        <v/>
      </c>
      <c r="G1571">
        <f>IFERROR(SUMIFS(T_SelfStock[Self_Qty],T_SelfStock[RM_Code],$A1566,T_SelfStock[WeekIndex],3),"")</f>
        <v/>
      </c>
      <c r="H1571">
        <f>IFERROR(SUMIFS(T_SelfStock[Self_Qty],T_SelfStock[RM_Code],$A1566,T_SelfStock[WeekIndex],4),"")</f>
        <v/>
      </c>
      <c r="I1571">
        <f>IFERROR(SUMIFS(T_SelfStock[Self_Qty],T_SelfStock[RM_Code],$A1566,T_SelfStock[WeekIndex],5),"")</f>
        <v/>
      </c>
      <c r="J1571">
        <f>IFERROR(SUMIFS(T_SelfStock[Self_Qty],T_SelfStock[RM_Code],$A1566,T_SelfStock[WeekIndex],6),"")</f>
        <v/>
      </c>
      <c r="K1571">
        <f>IFERROR(SUMIFS(T_SelfStock[Self_Qty],T_SelfStock[RM_Code],$A1566,T_SelfStock[WeekIndex],7),"")</f>
        <v/>
      </c>
      <c r="L1571">
        <f>IFERROR(SUMIFS(T_SelfStock[Self_Qty],T_SelfStock[RM_Code],$A1566,T_SelfStock[WeekIndex],8),"")</f>
        <v/>
      </c>
      <c r="M1571">
        <f>IFERROR(SUMIFS(T_SelfStock[Self_Qty],T_SelfStock[RM_Code],$A1566,T_SelfStock[WeekIndex],9),"")</f>
        <v/>
      </c>
      <c r="N1571">
        <f>IFERROR(SUMIFS(T_SelfStock[Self_Qty],T_SelfStock[RM_Code],$A1566,T_SelfStock[WeekIndex],10),"")</f>
        <v/>
      </c>
      <c r="O1571">
        <f>IFERROR(SUMIFS(T_SelfStock[Self_Qty],T_SelfStock[RM_Code],$A1566,T_SelfStock[WeekIndex],11),"")</f>
        <v/>
      </c>
      <c r="P1571">
        <f>IFERROR(SUMIFS(T_SelfStock[Self_Qty],T_SelfStock[RM_Code],$A1566,T_SelfStock[WeekIndex],12),"")</f>
        <v/>
      </c>
      <c r="Q1571">
        <f>IFERROR(SUMIFS(T_SelfStock[Self_Qty],T_SelfStock[RM_Code],$A1566,T_SelfStock[WeekIndex],13),"")</f>
        <v/>
      </c>
      <c r="R1571">
        <f>IFERROR(SUMIFS(T_SelfStock[Self_Qty],T_SelfStock[RM_Code],$A1566,T_SelfStock[WeekIndex],14),"")</f>
        <v/>
      </c>
      <c r="S1571">
        <f>IFERROR(SUMIFS(T_SelfStock[Self_Qty],T_SelfStock[RM_Code],$A1566,T_SelfStock[WeekIndex],15),"")</f>
        <v/>
      </c>
      <c r="T1571">
        <f>IFERROR(SUMIFS(T_SelfStock[Self_Qty],T_SelfStock[RM_Code],$A1566,T_SelfStock[WeekIndex],16),"")</f>
        <v/>
      </c>
      <c r="U1571">
        <f>IFERROR(SUMIFS(T_SelfStock[Self_Qty],T_SelfStock[RM_Code],$A1566,T_SelfStock[WeekIndex],17),"")</f>
        <v/>
      </c>
      <c r="V1571">
        <f>IFERROR(SUMIFS(T_SelfStock[Self_Qty],T_SelfStock[RM_Code],$A1566,T_SelfStock[WeekIndex],18),"")</f>
        <v/>
      </c>
      <c r="W1571">
        <f>IFERROR(SUMIFS(T_SelfStock[Self_Qty],T_SelfStock[RM_Code],$A1566,T_SelfStock[WeekIndex],19),"")</f>
        <v/>
      </c>
      <c r="X1571">
        <f>IFERROR(SUMIFS(T_SelfStock[Self_Qty],T_SelfStock[RM_Code],$A1566,T_SelfStock[WeekIndex],20),"")</f>
        <v/>
      </c>
      <c r="Y1571">
        <f>IFERROR(SUMIFS(T_SelfStock[Self_Qty],T_SelfStock[RM_Code],$A1566,T_SelfStock[WeekIndex],21),"")</f>
        <v/>
      </c>
      <c r="Z1571">
        <f>IFERROR(SUMIFS(T_SelfStock[Self_Qty],T_SelfStock[RM_Code],$A1566,T_SelfStock[WeekIndex],22),"")</f>
        <v/>
      </c>
      <c r="AA1571">
        <f>IFERROR(SUMIFS(T_SelfStock[Self_Qty],T_SelfStock[RM_Code],$A1566,T_SelfStock[WeekIndex],23),"")</f>
        <v/>
      </c>
      <c r="AB1571">
        <f>IFERROR(SUMIFS(T_SelfStock[Self_Qty],T_SelfStock[RM_Code],$A1566,T_SelfStock[WeekIndex],24),"")</f>
        <v/>
      </c>
      <c r="AC1571">
        <f>IFERROR(SUMIFS(T_SelfStock[Self_Qty],T_SelfStock[RM_Code],$A1566,T_SelfStock[WeekIndex],25),"")</f>
        <v/>
      </c>
      <c r="AD1571">
        <f>IFERROR(SUMIFS(T_SelfStock[Self_Qty],T_SelfStock[RM_Code],$A1566,T_SelfStock[WeekIndex],26),"")</f>
        <v/>
      </c>
      <c r="AE1571">
        <f>IFERROR(SUMIFS(T_SelfStock[Self_Qty],T_SelfStock[RM_Code],$A1566,T_SelfStock[WeekIndex],27),"")</f>
        <v/>
      </c>
      <c r="AF1571">
        <f>IFERROR(SUMIFS(T_SelfStock[Self_Qty],T_SelfStock[RM_Code],$A1566,T_SelfStock[WeekIndex],28),"")</f>
        <v/>
      </c>
      <c r="AG1571">
        <f>IFERROR(SUMIFS(T_SelfStock[Self_Qty],T_SelfStock[RM_Code],$A1566,T_SelfStock[WeekIndex],29),"")</f>
        <v/>
      </c>
      <c r="AH1571">
        <f>IFERROR(SUMIFS(T_SelfStock[Self_Qty],T_SelfStock[RM_Code],$A1566,T_SelfStock[WeekIndex],30),"")</f>
        <v/>
      </c>
      <c r="AI1571">
        <f>IFERROR(SUMIFS(T_SelfStock[Self_Qty],T_SelfStock[RM_Code],$A1566,T_SelfStock[WeekIndex],31),"")</f>
        <v/>
      </c>
      <c r="AJ1571">
        <f>IFERROR(SUMIFS(T_SelfStock[Self_Qty],T_SelfStock[RM_Code],$A1566,T_SelfStock[WeekIndex],32),"")</f>
        <v/>
      </c>
      <c r="AK1571">
        <f>IFERROR(SUMIFS(T_SelfStock[Self_Qty],T_SelfStock[RM_Code],$A1566,T_SelfStock[WeekIndex],33),"")</f>
        <v/>
      </c>
      <c r="AL1571">
        <f>IFERROR(SUMIFS(T_SelfStock[Self_Qty],T_SelfStock[RM_Code],$A1566,T_SelfStock[WeekIndex],34),"")</f>
        <v/>
      </c>
      <c r="AM1571">
        <f>IFERROR(SUMIFS(T_SelfStock[Self_Qty],T_SelfStock[RM_Code],$A1566,T_SelfStock[WeekIndex],35),"")</f>
        <v/>
      </c>
      <c r="AN1571">
        <f>IFERROR(SUMIFS(T_SelfStock[Self_Qty],T_SelfStock[RM_Code],$A1566,T_SelfStock[WeekIndex],36),"")</f>
        <v/>
      </c>
      <c r="AO1571">
        <f>IFERROR(SUMIFS(T_SelfStock[Self_Qty],T_SelfStock[RM_Code],$A1566,T_SelfStock[WeekIndex],37),"")</f>
        <v/>
      </c>
      <c r="AP1571">
        <f>IFERROR(SUMIFS(T_SelfStock[Self_Qty],T_SelfStock[RM_Code],$A1566,T_SelfStock[WeekIndex],38),"")</f>
        <v/>
      </c>
      <c r="AQ1571">
        <f>IFERROR(SUMIFS(T_SelfStock[Self_Qty],T_SelfStock[RM_Code],$A1566,T_SelfStock[WeekIndex],39),"")</f>
        <v/>
      </c>
      <c r="AR1571">
        <f>IFERROR(SUMIFS(T_SelfStock[Self_Qty],T_SelfStock[RM_Code],$A1566,T_SelfStock[WeekIndex],40),"")</f>
        <v/>
      </c>
      <c r="AS1571">
        <f>IFERROR(SUMIFS(T_SelfStock[Self_Qty],T_SelfStock[RM_Code],$A1566,T_SelfStock[WeekIndex],41),"")</f>
        <v/>
      </c>
      <c r="AT1571">
        <f>IFERROR(SUMIFS(T_SelfStock[Self_Qty],T_SelfStock[RM_Code],$A1566,T_SelfStock[WeekIndex],42),"")</f>
        <v/>
      </c>
      <c r="AU1571">
        <f>IFERROR(SUMIFS(T_SelfStock[Self_Qty],T_SelfStock[RM_Code],$A1566,T_SelfStock[WeekIndex],43),"")</f>
        <v/>
      </c>
      <c r="AV1571">
        <f>IFERROR(SUMIFS(T_SelfStock[Self_Qty],T_SelfStock[RM_Code],$A1566,T_SelfStock[WeekIndex],44),"")</f>
        <v/>
      </c>
      <c r="AW1571">
        <f>IFERROR(SUMIFS(T_SelfStock[Self_Qty],T_SelfStock[RM_Code],$A1566,T_SelfStock[WeekIndex],45),"")</f>
        <v/>
      </c>
      <c r="AX1571">
        <f>IFERROR(SUMIFS(T_SelfStock[Self_Qty],T_SelfStock[RM_Code],$A1566,T_SelfStock[WeekIndex],46),"")</f>
        <v/>
      </c>
      <c r="AY1571">
        <f>IFERROR(SUMIFS(T_SelfStock[Self_Qty],T_SelfStock[RM_Code],$A1566,T_SelfStock[WeekIndex],47),"")</f>
        <v/>
      </c>
      <c r="AZ1571">
        <f>IFERROR(SUMIFS(T_SelfStock[Self_Qty],T_SelfStock[RM_Code],$A1566,T_SelfStock[WeekIndex],48),"")</f>
        <v/>
      </c>
      <c r="BA1571">
        <f>IFERROR(SUMIFS(T_SelfStock[Self_Qty],T_SelfStock[RM_Code],$A1566,T_SelfStock[WeekIndex],49),"")</f>
        <v/>
      </c>
      <c r="BB1571">
        <f>IFERROR(SUMIFS(T_SelfStock[Self_Qty],T_SelfStock[RM_Code],$A1566,T_SelfStock[WeekIndex],50),"")</f>
        <v/>
      </c>
      <c r="BC1571">
        <f>IFERROR(SUMIFS(T_SelfStock[Self_Qty],T_SelfStock[RM_Code],$A1566,T_SelfStock[WeekIndex],51),"")</f>
        <v/>
      </c>
      <c r="BD1571">
        <f>IFERROR(SUMIFS(T_SelfStock[Self_Qty],T_SelfStock[RM_Code],$A1566,T_SelfStock[WeekIndex],52),"")</f>
        <v/>
      </c>
      <c r="BE1571">
        <f>IFERROR(SUMIFS(T_SelfStock[Self_Qty],T_SelfStock[RM_Code],$A1566,T_SelfStock[WeekIndex],53),"")</f>
        <v/>
      </c>
      <c r="BF1571">
        <f>IFERROR(SUMIFS(T_SelfStock[Self_Qty],T_SelfStock[RM_Code],$A1566,T_SelfStock[WeekIndex],54),"")</f>
        <v/>
      </c>
      <c r="BG1571">
        <f>IFERROR(SUMIFS(T_SelfStock[Self_Qty],T_SelfStock[RM_Code],$A1566,T_SelfStock[WeekIndex],55),"")</f>
        <v/>
      </c>
      <c r="BH1571">
        <f>IFERROR(SUMIFS(T_SelfStock[Self_Qty],T_SelfStock[RM_Code],$A1566,T_SelfStock[WeekIndex],56),"")</f>
        <v/>
      </c>
      <c r="BI1571">
        <f>IFERROR(SUMIFS(T_SelfStock[Self_Qty],T_SelfStock[RM_Code],$A1566,T_SelfStock[WeekIndex],57),"")</f>
        <v/>
      </c>
      <c r="BJ1571">
        <f>IFERROR(SUMIFS(T_SelfStock[Self_Qty],T_SelfStock[RM_Code],$A1566,T_SelfStock[WeekIndex],58),"")</f>
        <v/>
      </c>
      <c r="BK1571">
        <f>IFERROR(SUMIFS(T_SelfStock[Self_Qty],T_SelfStock[RM_Code],$A1566,T_SelfStock[WeekIndex],59),"")</f>
        <v/>
      </c>
      <c r="BL1571">
        <f>IFERROR(SUMIFS(T_SelfStock[Self_Qty],T_SelfStock[RM_Code],$A1566,T_SelfStock[WeekIndex],60),"")</f>
        <v/>
      </c>
      <c r="BM1571">
        <f>IFERROR(SUMIFS(T_SelfStock[Self_Qty],T_SelfStock[RM_Code],$A1566,T_SelfStock[WeekIndex],61),"")</f>
        <v/>
      </c>
      <c r="BN1571">
        <f>IFERROR(SUMIFS(T_SelfStock[Self_Qty],T_SelfStock[RM_Code],$A1566,T_SelfStock[WeekIndex],62),"")</f>
        <v/>
      </c>
      <c r="BO1571">
        <f>IFERROR(SUMIFS(T_SelfStock[Self_Qty],T_SelfStock[RM_Code],$A1566,T_SelfStock[WeekIndex],63),"")</f>
        <v/>
      </c>
      <c r="BP1571">
        <f>IFERROR(SUMIFS(T_SelfStock[Self_Qty],T_SelfStock[RM_Code],$A1566,T_SelfStock[WeekIndex],64),"")</f>
        <v/>
      </c>
      <c r="BQ1571">
        <f>IFERROR(SUMIFS(T_SelfStock[Self_Qty],T_SelfStock[RM_Code],$A1566,T_SelfStock[WeekIndex],65),"")</f>
        <v/>
      </c>
      <c r="BR1571">
        <f>IFERROR(SUMIFS(T_SelfStock[Self_Qty],T_SelfStock[RM_Code],$A1566,T_SelfStock[WeekIndex],66),"")</f>
        <v/>
      </c>
      <c r="BS1571">
        <f>IFERROR(SUMIFS(T_SelfStock[Self_Qty],T_SelfStock[RM_Code],$A1566,T_SelfStock[WeekIndex],67),"")</f>
        <v/>
      </c>
      <c r="BT1571">
        <f>IFERROR(SUMIFS(T_SelfStock[Self_Qty],T_SelfStock[RM_Code],$A1566,T_SelfStock[WeekIndex],68),"")</f>
        <v/>
      </c>
      <c r="BU1571">
        <f>IFERROR(SUMIFS(T_SelfStock[Self_Qty],T_SelfStock[RM_Code],$A1566,T_SelfStock[WeekIndex],69),"")</f>
        <v/>
      </c>
      <c r="BV1571">
        <f>IFERROR(SUMIFS(T_SelfStock[Self_Qty],T_SelfStock[RM_Code],$A1566,T_SelfStock[WeekIndex],70),"")</f>
        <v/>
      </c>
      <c r="BW1571">
        <f>IFERROR(SUMIFS(T_SelfStock[Self_Qty],T_SelfStock[RM_Code],$A1566,T_SelfStock[WeekIndex],71),"")</f>
        <v/>
      </c>
      <c r="BX1571">
        <f>IFERROR(SUMIFS(T_SelfStock[Self_Qty],T_SelfStock[RM_Code],$A1566,T_SelfStock[WeekIndex],72),"")</f>
        <v/>
      </c>
      <c r="BY1571">
        <f>IFERROR(SUMIFS(T_SelfStock[Self_Qty],T_SelfStock[RM_Code],$A1566,T_SelfStock[WeekIndex],73),"")</f>
        <v/>
      </c>
      <c r="BZ1571">
        <f>IFERROR(SUMIFS(T_SelfStock[Self_Qty],T_SelfStock[RM_Code],$A1566,T_SelfStock[WeekIndex],74),"")</f>
        <v/>
      </c>
      <c r="CA1571">
        <f>IFERROR(SUMIFS(T_SelfStock[Self_Qty],T_SelfStock[RM_Code],$A1566,T_SelfStock[WeekIndex],75),"")</f>
        <v/>
      </c>
      <c r="CB1571">
        <f>IFERROR(SUMIFS(T_SelfStock[Self_Qty],T_SelfStock[RM_Code],$A1566,T_SelfStock[WeekIndex],76),"")</f>
        <v/>
      </c>
      <c r="CC1571">
        <f>IFERROR(SUMIFS(T_SelfStock[Self_Qty],T_SelfStock[RM_Code],$A1566,T_SelfStock[WeekIndex],77),"")</f>
        <v/>
      </c>
      <c r="CD1571">
        <f>IFERROR(SUMIFS(T_SelfStock[Self_Qty],T_SelfStock[RM_Code],$A1566,T_SelfStock[WeekIndex],78),"")</f>
        <v/>
      </c>
      <c r="CE1571">
        <f>IFERROR(SUMIFS(T_SelfStock[Self_Qty],T_SelfStock[RM_Code],$A1566,T_SelfStock[WeekIndex],79),"")</f>
        <v/>
      </c>
      <c r="CF1571">
        <f>IFERROR(SUMIFS(T_SelfStock[Self_Qty],T_SelfStock[RM_Code],$A1566,T_SelfStock[WeekIndex],80),"")</f>
        <v/>
      </c>
      <c r="CG1571">
        <f>IFERROR(SUMIFS(T_SelfStock[Self_Qty],T_SelfStock[RM_Code],$A1566,T_SelfStock[WeekIndex],81),"")</f>
        <v/>
      </c>
      <c r="CH1571">
        <f>IFERROR(SUMIFS(T_SelfStock[Self_Qty],T_SelfStock[RM_Code],$A1566,T_SelfStock[WeekIndex],82),"")</f>
        <v/>
      </c>
      <c r="CI1571">
        <f>IFERROR(SUMIFS(T_SelfStock[Self_Qty],T_SelfStock[RM_Code],$A1566,T_SelfStock[WeekIndex],83),"")</f>
        <v/>
      </c>
      <c r="CJ1571">
        <f>IFERROR(SUMIFS(T_SelfStock[Self_Qty],T_SelfStock[RM_Code],$A1566,T_SelfStock[WeekIndex],84),"")</f>
        <v/>
      </c>
      <c r="CK1571">
        <f>IFERROR(SUMIFS(T_SelfStock[Self_Qty],T_SelfStock[RM_Code],$A1566,T_SelfStock[WeekIndex],85),"")</f>
        <v/>
      </c>
      <c r="CL1571">
        <f>IFERROR(SUMIFS(T_SelfStock[Self_Qty],T_SelfStock[RM_Code],$A1566,T_SelfStock[WeekIndex],86),"")</f>
        <v/>
      </c>
      <c r="CM1571">
        <f>IFERROR(SUMIFS(T_SelfStock[Self_Qty],T_SelfStock[RM_Code],$A1566,T_SelfStock[WeekIndex],87),"")</f>
        <v/>
      </c>
      <c r="CN1571">
        <f>IFERROR(SUMIFS(T_SelfStock[Self_Qty],T_SelfStock[RM_Code],$A1566,T_SelfStock[WeekIndex],88),"")</f>
        <v/>
      </c>
      <c r="CO1571">
        <f>IFERROR(SUMIFS(T_SelfStock[Self_Qty],T_SelfStock[RM_Code],$A1566,T_SelfStock[WeekIndex],89),"")</f>
        <v/>
      </c>
      <c r="CP1571">
        <f>IFERROR(SUMIFS(T_SelfStock[Self_Qty],T_SelfStock[RM_Code],$A1566,T_SelfStock[WeekIndex],90),"")</f>
        <v/>
      </c>
      <c r="CQ1571">
        <f>IFERROR(SUMIFS(T_SelfStock[Self_Qty],T_SelfStock[RM_Code],$A1566,T_SelfStock[WeekIndex],91),"")</f>
        <v/>
      </c>
      <c r="CR1571">
        <f>IFERROR(SUMIFS(T_SelfStock[Self_Qty],T_SelfStock[RM_Code],$A1566,T_SelfStock[WeekIndex],92),"")</f>
        <v/>
      </c>
      <c r="CS1571">
        <f>IFERROR(SUMIFS(T_SelfStock[Self_Qty],T_SelfStock[RM_Code],$A1566,T_SelfStock[WeekIndex],93),"")</f>
        <v/>
      </c>
      <c r="CT1571">
        <f>IFERROR(SUMIFS(T_SelfStock[Self_Qty],T_SelfStock[RM_Code],$A1566,T_SelfStock[WeekIndex],94),"")</f>
        <v/>
      </c>
      <c r="CU1571">
        <f>IFERROR(SUMIFS(T_SelfStock[Self_Qty],T_SelfStock[RM_Code],$A1566,T_SelfStock[WeekIndex],95),"")</f>
        <v/>
      </c>
      <c r="CV1571">
        <f>IFERROR(SUMIFS(T_SelfStock[Self_Qty],T_SelfStock[RM_Code],$A1566,T_SelfStock[WeekIndex],96),"")</f>
        <v/>
      </c>
      <c r="CW1571">
        <f>IFERROR(SUMIFS(T_SelfStock[Self_Qty],T_SelfStock[RM_Code],$A1566,T_SelfStock[WeekIndex],97),"")</f>
        <v/>
      </c>
      <c r="CX1571">
        <f>IFERROR(SUMIFS(T_SelfStock[Self_Qty],T_SelfStock[RM_Code],$A1566,T_SelfStock[WeekIndex],98),"")</f>
        <v/>
      </c>
      <c r="CY1571">
        <f>IFERROR(SUMIFS(T_SelfStock[Self_Qty],T_SelfStock[RM_Code],$A1566,T_SelfStock[WeekIndex],99),"")</f>
        <v/>
      </c>
      <c r="CZ1571">
        <f>IFERROR(SUMIFS(T_SelfStock[Self_Qty],T_SelfStock[RM_Code],$A1566,T_SelfStock[WeekIndex],100),"")</f>
        <v/>
      </c>
      <c r="DA1571">
        <f>IFERROR(SUMIFS(T_SelfStock[Self_Qty],T_SelfStock[RM_Code],$A1566,T_SelfStock[WeekIndex],101),"")</f>
        <v/>
      </c>
      <c r="DB1571">
        <f>IFERROR(SUMIFS(T_SelfStock[Self_Qty],T_SelfStock[RM_Code],$A1566,T_SelfStock[WeekIndex],102),"")</f>
        <v/>
      </c>
      <c r="DC1571">
        <f>IFERROR(SUMIFS(T_SelfStock[Self_Qty],T_SelfStock[RM_Code],$A1566,T_SelfStock[WeekIndex],103),"")</f>
        <v/>
      </c>
      <c r="DD1571">
        <f>IFERROR(SUMIFS(T_SelfStock[Self_Qty],T_SelfStock[RM_Code],$A1566,T_SelfStock[WeekIndex],104),"")</f>
        <v/>
      </c>
    </row>
    <row r="1572">
      <c r="B1572" s="4" t="inlineStr">
        <is>
          <t>合計在庫(週末時点,kg)</t>
        </is>
      </c>
      <c r="D1572" s="24">
        <f>IFERROR(INDEX(E1572:DD1572,$F$1),"")</f>
        <v/>
      </c>
      <c r="E1572">
        <f>'Grid_Stock'!B85</f>
        <v/>
      </c>
      <c r="F1572">
        <f>'Grid_Stock'!C85</f>
        <v/>
      </c>
      <c r="G1572">
        <f>'Grid_Stock'!D85</f>
        <v/>
      </c>
      <c r="H1572">
        <f>'Grid_Stock'!E85</f>
        <v/>
      </c>
      <c r="I1572">
        <f>'Grid_Stock'!F85</f>
        <v/>
      </c>
      <c r="J1572">
        <f>'Grid_Stock'!G85</f>
        <v/>
      </c>
      <c r="K1572">
        <f>'Grid_Stock'!H85</f>
        <v/>
      </c>
      <c r="L1572">
        <f>'Grid_Stock'!I85</f>
        <v/>
      </c>
      <c r="M1572">
        <f>'Grid_Stock'!J85</f>
        <v/>
      </c>
      <c r="N1572">
        <f>'Grid_Stock'!K85</f>
        <v/>
      </c>
      <c r="O1572">
        <f>'Grid_Stock'!L85</f>
        <v/>
      </c>
      <c r="P1572">
        <f>'Grid_Stock'!M85</f>
        <v/>
      </c>
      <c r="Q1572">
        <f>'Grid_Stock'!N85</f>
        <v/>
      </c>
      <c r="R1572">
        <f>'Grid_Stock'!O85</f>
        <v/>
      </c>
      <c r="S1572">
        <f>'Grid_Stock'!P85</f>
        <v/>
      </c>
      <c r="T1572">
        <f>'Grid_Stock'!Q85</f>
        <v/>
      </c>
      <c r="U1572">
        <f>'Grid_Stock'!R85</f>
        <v/>
      </c>
      <c r="V1572">
        <f>'Grid_Stock'!S85</f>
        <v/>
      </c>
      <c r="W1572">
        <f>'Grid_Stock'!T85</f>
        <v/>
      </c>
      <c r="X1572">
        <f>'Grid_Stock'!U85</f>
        <v/>
      </c>
      <c r="Y1572">
        <f>'Grid_Stock'!V85</f>
        <v/>
      </c>
      <c r="Z1572">
        <f>'Grid_Stock'!W85</f>
        <v/>
      </c>
      <c r="AA1572">
        <f>'Grid_Stock'!X85</f>
        <v/>
      </c>
      <c r="AB1572">
        <f>'Grid_Stock'!Y85</f>
        <v/>
      </c>
      <c r="AC1572">
        <f>'Grid_Stock'!Z85</f>
        <v/>
      </c>
      <c r="AD1572">
        <f>'Grid_Stock'!AA85</f>
        <v/>
      </c>
      <c r="AE1572">
        <f>'Grid_Stock'!AB85</f>
        <v/>
      </c>
      <c r="AF1572">
        <f>'Grid_Stock'!AC85</f>
        <v/>
      </c>
      <c r="AG1572">
        <f>'Grid_Stock'!AD85</f>
        <v/>
      </c>
      <c r="AH1572">
        <f>'Grid_Stock'!AE85</f>
        <v/>
      </c>
      <c r="AI1572">
        <f>'Grid_Stock'!AF85</f>
        <v/>
      </c>
      <c r="AJ1572">
        <f>'Grid_Stock'!AG85</f>
        <v/>
      </c>
      <c r="AK1572">
        <f>'Grid_Stock'!AH85</f>
        <v/>
      </c>
      <c r="AL1572">
        <f>'Grid_Stock'!AI85</f>
        <v/>
      </c>
      <c r="AM1572">
        <f>'Grid_Stock'!AJ85</f>
        <v/>
      </c>
      <c r="AN1572">
        <f>'Grid_Stock'!AK85</f>
        <v/>
      </c>
      <c r="AO1572">
        <f>'Grid_Stock'!AL85</f>
        <v/>
      </c>
      <c r="AP1572">
        <f>'Grid_Stock'!AM85</f>
        <v/>
      </c>
      <c r="AQ1572">
        <f>'Grid_Stock'!AN85</f>
        <v/>
      </c>
      <c r="AR1572">
        <f>'Grid_Stock'!AO85</f>
        <v/>
      </c>
      <c r="AS1572">
        <f>'Grid_Stock'!AP85</f>
        <v/>
      </c>
      <c r="AT1572">
        <f>'Grid_Stock'!AQ85</f>
        <v/>
      </c>
      <c r="AU1572">
        <f>'Grid_Stock'!AR85</f>
        <v/>
      </c>
      <c r="AV1572">
        <f>'Grid_Stock'!AS85</f>
        <v/>
      </c>
      <c r="AW1572">
        <f>'Grid_Stock'!AT85</f>
        <v/>
      </c>
      <c r="AX1572">
        <f>'Grid_Stock'!AU85</f>
        <v/>
      </c>
      <c r="AY1572">
        <f>'Grid_Stock'!AV85</f>
        <v/>
      </c>
      <c r="AZ1572">
        <f>'Grid_Stock'!AW85</f>
        <v/>
      </c>
      <c r="BA1572">
        <f>'Grid_Stock'!AX85</f>
        <v/>
      </c>
      <c r="BB1572">
        <f>'Grid_Stock'!AY85</f>
        <v/>
      </c>
      <c r="BC1572">
        <f>'Grid_Stock'!AZ85</f>
        <v/>
      </c>
      <c r="BD1572">
        <f>'Grid_Stock'!BA85</f>
        <v/>
      </c>
      <c r="BE1572">
        <f>'Grid_Stock'!BB85</f>
        <v/>
      </c>
      <c r="BF1572">
        <f>'Grid_Stock'!BC85</f>
        <v/>
      </c>
      <c r="BG1572">
        <f>'Grid_Stock'!BD85</f>
        <v/>
      </c>
      <c r="BH1572">
        <f>'Grid_Stock'!BE85</f>
        <v/>
      </c>
      <c r="BI1572">
        <f>'Grid_Stock'!BF85</f>
        <v/>
      </c>
      <c r="BJ1572">
        <f>'Grid_Stock'!BG85</f>
        <v/>
      </c>
      <c r="BK1572">
        <f>'Grid_Stock'!BH85</f>
        <v/>
      </c>
      <c r="BL1572">
        <f>'Grid_Stock'!BI85</f>
        <v/>
      </c>
      <c r="BM1572">
        <f>'Grid_Stock'!BJ85</f>
        <v/>
      </c>
      <c r="BN1572">
        <f>'Grid_Stock'!BK85</f>
        <v/>
      </c>
      <c r="BO1572">
        <f>'Grid_Stock'!BL85</f>
        <v/>
      </c>
      <c r="BP1572">
        <f>'Grid_Stock'!BM85</f>
        <v/>
      </c>
      <c r="BQ1572">
        <f>'Grid_Stock'!BN85</f>
        <v/>
      </c>
      <c r="BR1572">
        <f>'Grid_Stock'!BO85</f>
        <v/>
      </c>
      <c r="BS1572">
        <f>'Grid_Stock'!BP85</f>
        <v/>
      </c>
      <c r="BT1572">
        <f>'Grid_Stock'!BQ85</f>
        <v/>
      </c>
      <c r="BU1572">
        <f>'Grid_Stock'!BR85</f>
        <v/>
      </c>
      <c r="BV1572">
        <f>'Grid_Stock'!BS85</f>
        <v/>
      </c>
      <c r="BW1572">
        <f>'Grid_Stock'!BT85</f>
        <v/>
      </c>
      <c r="BX1572">
        <f>'Grid_Stock'!BU85</f>
        <v/>
      </c>
      <c r="BY1572">
        <f>'Grid_Stock'!BV85</f>
        <v/>
      </c>
      <c r="BZ1572">
        <f>'Grid_Stock'!BW85</f>
        <v/>
      </c>
      <c r="CA1572">
        <f>'Grid_Stock'!BX85</f>
        <v/>
      </c>
      <c r="CB1572">
        <f>'Grid_Stock'!BY85</f>
        <v/>
      </c>
      <c r="CC1572">
        <f>'Grid_Stock'!BZ85</f>
        <v/>
      </c>
      <c r="CD1572">
        <f>'Grid_Stock'!CA85</f>
        <v/>
      </c>
      <c r="CE1572">
        <f>'Grid_Stock'!CB85</f>
        <v/>
      </c>
      <c r="CF1572">
        <f>'Grid_Stock'!CC85</f>
        <v/>
      </c>
      <c r="CG1572">
        <f>'Grid_Stock'!CD85</f>
        <v/>
      </c>
      <c r="CH1572">
        <f>'Grid_Stock'!CE85</f>
        <v/>
      </c>
      <c r="CI1572">
        <f>'Grid_Stock'!CF85</f>
        <v/>
      </c>
      <c r="CJ1572">
        <f>'Grid_Stock'!CG85</f>
        <v/>
      </c>
      <c r="CK1572">
        <f>'Grid_Stock'!CH85</f>
        <v/>
      </c>
      <c r="CL1572">
        <f>'Grid_Stock'!CI85</f>
        <v/>
      </c>
      <c r="CM1572">
        <f>'Grid_Stock'!CJ85</f>
        <v/>
      </c>
      <c r="CN1572">
        <f>'Grid_Stock'!CK85</f>
        <v/>
      </c>
      <c r="CO1572">
        <f>'Grid_Stock'!CL85</f>
        <v/>
      </c>
      <c r="CP1572">
        <f>'Grid_Stock'!CM85</f>
        <v/>
      </c>
      <c r="CQ1572">
        <f>'Grid_Stock'!CN85</f>
        <v/>
      </c>
      <c r="CR1572">
        <f>'Grid_Stock'!CO85</f>
        <v/>
      </c>
      <c r="CS1572">
        <f>'Grid_Stock'!CP85</f>
        <v/>
      </c>
      <c r="CT1572">
        <f>'Grid_Stock'!CQ85</f>
        <v/>
      </c>
      <c r="CU1572">
        <f>'Grid_Stock'!CR85</f>
        <v/>
      </c>
      <c r="CV1572">
        <f>'Grid_Stock'!CS85</f>
        <v/>
      </c>
      <c r="CW1572">
        <f>'Grid_Stock'!CT85</f>
        <v/>
      </c>
      <c r="CX1572">
        <f>'Grid_Stock'!CU85</f>
        <v/>
      </c>
      <c r="CY1572">
        <f>'Grid_Stock'!CV85</f>
        <v/>
      </c>
      <c r="CZ1572">
        <f>'Grid_Stock'!CW85</f>
        <v/>
      </c>
      <c r="DA1572">
        <f>'Grid_Stock'!CX85</f>
        <v/>
      </c>
      <c r="DB1572">
        <f>'Grid_Stock'!CY85</f>
        <v/>
      </c>
      <c r="DC1572">
        <f>'Grid_Stock'!CZ85</f>
        <v/>
      </c>
      <c r="DD1572">
        <f>'Grid_Stock'!DA85</f>
        <v/>
      </c>
    </row>
    <row r="1573">
      <c r="B1573" s="25" t="inlineStr">
        <is>
          <t>（発注の目安はDashboardの基準在庫[下限/上限]と色分けを参照）</t>
        </is>
      </c>
    </row>
    <row r="1575">
      <c r="A1575" s="21" t="inlineStr">
        <is>
          <t>CHEM-1710</t>
        </is>
      </c>
      <c r="B1575" s="21" t="inlineStr">
        <is>
          <t>Stabilys 308</t>
        </is>
      </c>
      <c r="C1575" s="22" t="n"/>
      <c r="D1575" s="21" t="n"/>
      <c r="E1575" s="21" t="n"/>
      <c r="F1575" s="21" t="n"/>
      <c r="G1575" s="21" t="n"/>
      <c r="H1575" s="21" t="n"/>
      <c r="I1575" s="21" t="n"/>
      <c r="J1575" s="21" t="n"/>
      <c r="K1575" s="21" t="n"/>
      <c r="L1575" s="21" t="n"/>
      <c r="M1575" s="21" t="n"/>
      <c r="N1575" s="21" t="n"/>
      <c r="O1575" s="21" t="n"/>
      <c r="P1575" s="21" t="n"/>
      <c r="Q1575" s="21" t="n"/>
      <c r="R1575" s="21" t="n"/>
      <c r="S1575" s="21" t="n"/>
      <c r="T1575" s="21" t="n"/>
      <c r="U1575" s="21" t="n"/>
      <c r="V1575" s="21" t="n"/>
      <c r="W1575" s="21" t="n"/>
      <c r="X1575" s="21" t="n"/>
      <c r="Y1575" s="21" t="n"/>
      <c r="Z1575" s="21" t="n"/>
      <c r="AA1575" s="21" t="n"/>
      <c r="AB1575" s="21" t="n"/>
      <c r="AC1575" s="21" t="n"/>
      <c r="AD1575" s="21" t="n"/>
      <c r="AE1575" s="21" t="n"/>
      <c r="AF1575" s="21" t="n"/>
      <c r="AG1575" s="21" t="n"/>
      <c r="AH1575" s="21" t="n"/>
      <c r="AI1575" s="21" t="n"/>
      <c r="AJ1575" s="21" t="n"/>
      <c r="AK1575" s="21" t="n"/>
      <c r="AL1575" s="21" t="n"/>
      <c r="AM1575" s="21" t="n"/>
      <c r="AN1575" s="21" t="n"/>
      <c r="AO1575" s="21" t="n"/>
      <c r="AP1575" s="21" t="n"/>
      <c r="AQ1575" s="21" t="n"/>
      <c r="AR1575" s="21" t="n"/>
      <c r="AS1575" s="21" t="n"/>
      <c r="AT1575" s="21" t="n"/>
      <c r="AU1575" s="21" t="n"/>
      <c r="AV1575" s="21" t="n"/>
      <c r="AW1575" s="21" t="n"/>
      <c r="AX1575" s="21" t="n"/>
      <c r="AY1575" s="21" t="n"/>
      <c r="AZ1575" s="21" t="n"/>
      <c r="BA1575" s="21" t="n"/>
      <c r="BB1575" s="21" t="n"/>
      <c r="BC1575" s="21" t="n"/>
      <c r="BD1575" s="21" t="n"/>
      <c r="BE1575" s="21" t="n"/>
      <c r="BF1575" s="21" t="n"/>
      <c r="BG1575" s="21" t="n"/>
      <c r="BH1575" s="21" t="n"/>
      <c r="BI1575" s="21" t="n"/>
      <c r="BJ1575" s="21" t="n"/>
      <c r="BK1575" s="21" t="n"/>
      <c r="BL1575" s="21" t="n"/>
      <c r="BM1575" s="21" t="n"/>
      <c r="BN1575" s="21" t="n"/>
      <c r="BO1575" s="21" t="n"/>
      <c r="BP1575" s="21" t="n"/>
      <c r="BQ1575" s="21" t="n"/>
      <c r="BR1575" s="21" t="n"/>
      <c r="BS1575" s="21" t="n"/>
      <c r="BT1575" s="21" t="n"/>
      <c r="BU1575" s="21" t="n"/>
      <c r="BV1575" s="21" t="n"/>
      <c r="BW1575" s="21" t="n"/>
      <c r="BX1575" s="21" t="n"/>
      <c r="BY1575" s="21" t="n"/>
      <c r="BZ1575" s="21" t="n"/>
      <c r="CA1575" s="21" t="n"/>
      <c r="CB1575" s="21" t="n"/>
      <c r="CC1575" s="21" t="n"/>
      <c r="CD1575" s="21" t="n"/>
      <c r="CE1575" s="21" t="n"/>
      <c r="CF1575" s="21" t="n"/>
      <c r="CG1575" s="21" t="n"/>
      <c r="CH1575" s="21" t="n"/>
      <c r="CI1575" s="21" t="n"/>
      <c r="CJ1575" s="21" t="n"/>
      <c r="CK1575" s="21" t="n"/>
      <c r="CL1575" s="21" t="n"/>
      <c r="CM1575" s="21" t="n"/>
      <c r="CN1575" s="21" t="n"/>
      <c r="CO1575" s="21" t="n"/>
      <c r="CP1575" s="21" t="n"/>
      <c r="CQ1575" s="21" t="n"/>
      <c r="CR1575" s="21" t="n"/>
      <c r="CS1575" s="21" t="n"/>
      <c r="CT1575" s="21" t="n"/>
      <c r="CU1575" s="21" t="n"/>
      <c r="CV1575" s="21" t="n"/>
      <c r="CW1575" s="21" t="n"/>
      <c r="CX1575" s="21" t="n"/>
      <c r="CY1575" s="21" t="n"/>
      <c r="CZ1575" s="21" t="n"/>
      <c r="DA1575" s="21" t="n"/>
      <c r="DB1575" s="21" t="n"/>
      <c r="DC1575" s="21" t="n"/>
      <c r="DD1575" s="21" t="n"/>
    </row>
    <row r="1576">
      <c r="B1576" t="inlineStr">
        <is>
          <t>TPP-609</t>
        </is>
      </c>
      <c r="C1576" t="inlineStr">
        <is>
          <t>No. of batches</t>
        </is>
      </c>
      <c r="D1576">
        <f>IFERROR(INDEX(E1576:DD1576,$F$1),"")</f>
        <v/>
      </c>
      <c r="E1576">
        <f>IFERROR(INDEX(PP_Grid[#Data],$DE1576,2),0)</f>
        <v/>
      </c>
      <c r="F1576">
        <f>IFERROR(INDEX(PP_Grid[#Data],$DE1576,3),0)</f>
        <v/>
      </c>
      <c r="G1576">
        <f>IFERROR(INDEX(PP_Grid[#Data],$DE1576,4),0)</f>
        <v/>
      </c>
      <c r="H1576">
        <f>IFERROR(INDEX(PP_Grid[#Data],$DE1576,5),0)</f>
        <v/>
      </c>
      <c r="I1576">
        <f>IFERROR(INDEX(PP_Grid[#Data],$DE1576,6),0)</f>
        <v/>
      </c>
      <c r="J1576">
        <f>IFERROR(INDEX(PP_Grid[#Data],$DE1576,7),0)</f>
        <v/>
      </c>
      <c r="K1576">
        <f>IFERROR(INDEX(PP_Grid[#Data],$DE1576,8),0)</f>
        <v/>
      </c>
      <c r="L1576">
        <f>IFERROR(INDEX(PP_Grid[#Data],$DE1576,9),0)</f>
        <v/>
      </c>
      <c r="M1576">
        <f>IFERROR(INDEX(PP_Grid[#Data],$DE1576,10),0)</f>
        <v/>
      </c>
      <c r="N1576">
        <f>IFERROR(INDEX(PP_Grid[#Data],$DE1576,11),0)</f>
        <v/>
      </c>
      <c r="O1576">
        <f>IFERROR(INDEX(PP_Grid[#Data],$DE1576,12),0)</f>
        <v/>
      </c>
      <c r="P1576">
        <f>IFERROR(INDEX(PP_Grid[#Data],$DE1576,13),0)</f>
        <v/>
      </c>
      <c r="Q1576">
        <f>IFERROR(INDEX(PP_Grid[#Data],$DE1576,14),0)</f>
        <v/>
      </c>
      <c r="R1576">
        <f>IFERROR(INDEX(PP_Grid[#Data],$DE1576,15),0)</f>
        <v/>
      </c>
      <c r="S1576">
        <f>IFERROR(INDEX(PP_Grid[#Data],$DE1576,16),0)</f>
        <v/>
      </c>
      <c r="T1576">
        <f>IFERROR(INDEX(PP_Grid[#Data],$DE1576,17),0)</f>
        <v/>
      </c>
      <c r="U1576">
        <f>IFERROR(INDEX(PP_Grid[#Data],$DE1576,18),0)</f>
        <v/>
      </c>
      <c r="V1576">
        <f>IFERROR(INDEX(PP_Grid[#Data],$DE1576,19),0)</f>
        <v/>
      </c>
      <c r="W1576">
        <f>IFERROR(INDEX(PP_Grid[#Data],$DE1576,20),0)</f>
        <v/>
      </c>
      <c r="X1576">
        <f>IFERROR(INDEX(PP_Grid[#Data],$DE1576,21),0)</f>
        <v/>
      </c>
      <c r="Y1576">
        <f>IFERROR(INDEX(PP_Grid[#Data],$DE1576,22),0)</f>
        <v/>
      </c>
      <c r="Z1576">
        <f>IFERROR(INDEX(PP_Grid[#Data],$DE1576,23),0)</f>
        <v/>
      </c>
      <c r="AA1576">
        <f>IFERROR(INDEX(PP_Grid[#Data],$DE1576,24),0)</f>
        <v/>
      </c>
      <c r="AB1576">
        <f>IFERROR(INDEX(PP_Grid[#Data],$DE1576,25),0)</f>
        <v/>
      </c>
      <c r="AC1576">
        <f>IFERROR(INDEX(PP_Grid[#Data],$DE1576,26),0)</f>
        <v/>
      </c>
      <c r="AD1576">
        <f>IFERROR(INDEX(PP_Grid[#Data],$DE1576,27),0)</f>
        <v/>
      </c>
      <c r="AE1576">
        <f>IFERROR(INDEX(PP_Grid[#Data],$DE1576,28),0)</f>
        <v/>
      </c>
      <c r="AF1576">
        <f>IFERROR(INDEX(PP_Grid[#Data],$DE1576,29),0)</f>
        <v/>
      </c>
      <c r="AG1576">
        <f>IFERROR(INDEX(PP_Grid[#Data],$DE1576,30),0)</f>
        <v/>
      </c>
      <c r="AH1576">
        <f>IFERROR(INDEX(PP_Grid[#Data],$DE1576,31),0)</f>
        <v/>
      </c>
      <c r="AI1576">
        <f>IFERROR(INDEX(PP_Grid[#Data],$DE1576,32),0)</f>
        <v/>
      </c>
      <c r="AJ1576">
        <f>IFERROR(INDEX(PP_Grid[#Data],$DE1576,33),0)</f>
        <v/>
      </c>
      <c r="AK1576">
        <f>IFERROR(INDEX(PP_Grid[#Data],$DE1576,34),0)</f>
        <v/>
      </c>
      <c r="AL1576">
        <f>IFERROR(INDEX(PP_Grid[#Data],$DE1576,35),0)</f>
        <v/>
      </c>
      <c r="AM1576">
        <f>IFERROR(INDEX(PP_Grid[#Data],$DE1576,36),0)</f>
        <v/>
      </c>
      <c r="AN1576">
        <f>IFERROR(INDEX(PP_Grid[#Data],$DE1576,37),0)</f>
        <v/>
      </c>
      <c r="AO1576">
        <f>IFERROR(INDEX(PP_Grid[#Data],$DE1576,38),0)</f>
        <v/>
      </c>
      <c r="AP1576">
        <f>IFERROR(INDEX(PP_Grid[#Data],$DE1576,39),0)</f>
        <v/>
      </c>
      <c r="AQ1576">
        <f>IFERROR(INDEX(PP_Grid[#Data],$DE1576,40),0)</f>
        <v/>
      </c>
      <c r="AR1576">
        <f>IFERROR(INDEX(PP_Grid[#Data],$DE1576,41),0)</f>
        <v/>
      </c>
      <c r="AS1576">
        <f>IFERROR(INDEX(PP_Grid[#Data],$DE1576,42),0)</f>
        <v/>
      </c>
      <c r="AT1576">
        <f>IFERROR(INDEX(PP_Grid[#Data],$DE1576,43),0)</f>
        <v/>
      </c>
      <c r="AU1576">
        <f>IFERROR(INDEX(PP_Grid[#Data],$DE1576,44),0)</f>
        <v/>
      </c>
      <c r="AV1576">
        <f>IFERROR(INDEX(PP_Grid[#Data],$DE1576,45),0)</f>
        <v/>
      </c>
      <c r="AW1576">
        <f>IFERROR(INDEX(PP_Grid[#Data],$DE1576,46),0)</f>
        <v/>
      </c>
      <c r="AX1576">
        <f>IFERROR(INDEX(PP_Grid[#Data],$DE1576,47),0)</f>
        <v/>
      </c>
      <c r="AY1576">
        <f>IFERROR(INDEX(PP_Grid[#Data],$DE1576,48),0)</f>
        <v/>
      </c>
      <c r="AZ1576">
        <f>IFERROR(INDEX(PP_Grid[#Data],$DE1576,49),0)</f>
        <v/>
      </c>
      <c r="BA1576">
        <f>IFERROR(INDEX(PP_Grid[#Data],$DE1576,50),0)</f>
        <v/>
      </c>
      <c r="BB1576">
        <f>IFERROR(INDEX(PP_Grid[#Data],$DE1576,51),0)</f>
        <v/>
      </c>
      <c r="BC1576">
        <f>IFERROR(INDEX(PP_Grid[#Data],$DE1576,52),0)</f>
        <v/>
      </c>
      <c r="BD1576">
        <f>IFERROR(INDEX(PP_Grid[#Data],$DE1576,53),0)</f>
        <v/>
      </c>
      <c r="BE1576">
        <f>IFERROR(INDEX(PP_Grid[#Data],$DE1576,54),0)</f>
        <v/>
      </c>
      <c r="BF1576">
        <f>IFERROR(INDEX(PP_Grid[#Data],$DE1576,55),0)</f>
        <v/>
      </c>
      <c r="BG1576">
        <f>IFERROR(INDEX(PP_Grid[#Data],$DE1576,56),0)</f>
        <v/>
      </c>
      <c r="BH1576">
        <f>IFERROR(INDEX(PP_Grid[#Data],$DE1576,57),0)</f>
        <v/>
      </c>
      <c r="BI1576">
        <f>IFERROR(INDEX(PP_Grid[#Data],$DE1576,58),0)</f>
        <v/>
      </c>
      <c r="BJ1576">
        <f>IFERROR(INDEX(PP_Grid[#Data],$DE1576,59),0)</f>
        <v/>
      </c>
      <c r="BK1576">
        <f>IFERROR(INDEX(PP_Grid[#Data],$DE1576,60),0)</f>
        <v/>
      </c>
      <c r="BL1576">
        <f>IFERROR(INDEX(PP_Grid[#Data],$DE1576,61),0)</f>
        <v/>
      </c>
      <c r="BM1576">
        <f>IFERROR(INDEX(PP_Grid[#Data],$DE1576,62),0)</f>
        <v/>
      </c>
      <c r="BN1576">
        <f>IFERROR(INDEX(PP_Grid[#Data],$DE1576,63),0)</f>
        <v/>
      </c>
      <c r="BO1576">
        <f>IFERROR(INDEX(PP_Grid[#Data],$DE1576,64),0)</f>
        <v/>
      </c>
      <c r="BP1576">
        <f>IFERROR(INDEX(PP_Grid[#Data],$DE1576,65),0)</f>
        <v/>
      </c>
      <c r="BQ1576">
        <f>IFERROR(INDEX(PP_Grid[#Data],$DE1576,66),0)</f>
        <v/>
      </c>
      <c r="BR1576">
        <f>IFERROR(INDEX(PP_Grid[#Data],$DE1576,67),0)</f>
        <v/>
      </c>
      <c r="BS1576">
        <f>IFERROR(INDEX(PP_Grid[#Data],$DE1576,68),0)</f>
        <v/>
      </c>
      <c r="BT1576">
        <f>IFERROR(INDEX(PP_Grid[#Data],$DE1576,69),0)</f>
        <v/>
      </c>
      <c r="BU1576">
        <f>IFERROR(INDEX(PP_Grid[#Data],$DE1576,70),0)</f>
        <v/>
      </c>
      <c r="BV1576">
        <f>IFERROR(INDEX(PP_Grid[#Data],$DE1576,71),0)</f>
        <v/>
      </c>
      <c r="BW1576">
        <f>IFERROR(INDEX(PP_Grid[#Data],$DE1576,72),0)</f>
        <v/>
      </c>
      <c r="BX1576">
        <f>IFERROR(INDEX(PP_Grid[#Data],$DE1576,73),0)</f>
        <v/>
      </c>
      <c r="BY1576">
        <f>IFERROR(INDEX(PP_Grid[#Data],$DE1576,74),0)</f>
        <v/>
      </c>
      <c r="BZ1576">
        <f>IFERROR(INDEX(PP_Grid[#Data],$DE1576,75),0)</f>
        <v/>
      </c>
      <c r="CA1576">
        <f>IFERROR(INDEX(PP_Grid[#Data],$DE1576,76),0)</f>
        <v/>
      </c>
      <c r="CB1576">
        <f>IFERROR(INDEX(PP_Grid[#Data],$DE1576,77),0)</f>
        <v/>
      </c>
      <c r="CC1576">
        <f>IFERROR(INDEX(PP_Grid[#Data],$DE1576,78),0)</f>
        <v/>
      </c>
      <c r="CD1576">
        <f>IFERROR(INDEX(PP_Grid[#Data],$DE1576,79),0)</f>
        <v/>
      </c>
      <c r="CE1576">
        <f>IFERROR(INDEX(PP_Grid[#Data],$DE1576,80),0)</f>
        <v/>
      </c>
      <c r="CF1576">
        <f>IFERROR(INDEX(PP_Grid[#Data],$DE1576,81),0)</f>
        <v/>
      </c>
      <c r="CG1576">
        <f>IFERROR(INDEX(PP_Grid[#Data],$DE1576,82),0)</f>
        <v/>
      </c>
      <c r="CH1576">
        <f>IFERROR(INDEX(PP_Grid[#Data],$DE1576,83),0)</f>
        <v/>
      </c>
      <c r="CI1576">
        <f>IFERROR(INDEX(PP_Grid[#Data],$DE1576,84),0)</f>
        <v/>
      </c>
      <c r="CJ1576">
        <f>IFERROR(INDEX(PP_Grid[#Data],$DE1576,85),0)</f>
        <v/>
      </c>
      <c r="CK1576">
        <f>IFERROR(INDEX(PP_Grid[#Data],$DE1576,86),0)</f>
        <v/>
      </c>
      <c r="CL1576">
        <f>IFERROR(INDEX(PP_Grid[#Data],$DE1576,87),0)</f>
        <v/>
      </c>
      <c r="CM1576">
        <f>IFERROR(INDEX(PP_Grid[#Data],$DE1576,88),0)</f>
        <v/>
      </c>
      <c r="CN1576">
        <f>IFERROR(INDEX(PP_Grid[#Data],$DE1576,89),0)</f>
        <v/>
      </c>
      <c r="CO1576">
        <f>IFERROR(INDEX(PP_Grid[#Data],$DE1576,90),0)</f>
        <v/>
      </c>
      <c r="CP1576">
        <f>IFERROR(INDEX(PP_Grid[#Data],$DE1576,91),0)</f>
        <v/>
      </c>
      <c r="CQ1576">
        <f>IFERROR(INDEX(PP_Grid[#Data],$DE1576,92),0)</f>
        <v/>
      </c>
      <c r="CR1576">
        <f>IFERROR(INDEX(PP_Grid[#Data],$DE1576,93),0)</f>
        <v/>
      </c>
      <c r="CS1576">
        <f>IFERROR(INDEX(PP_Grid[#Data],$DE1576,94),0)</f>
        <v/>
      </c>
      <c r="CT1576">
        <f>IFERROR(INDEX(PP_Grid[#Data],$DE1576,95),0)</f>
        <v/>
      </c>
      <c r="CU1576">
        <f>IFERROR(INDEX(PP_Grid[#Data],$DE1576,96),0)</f>
        <v/>
      </c>
      <c r="CV1576">
        <f>IFERROR(INDEX(PP_Grid[#Data],$DE1576,97),0)</f>
        <v/>
      </c>
      <c r="CW1576">
        <f>IFERROR(INDEX(PP_Grid[#Data],$DE1576,98),0)</f>
        <v/>
      </c>
      <c r="CX1576">
        <f>IFERROR(INDEX(PP_Grid[#Data],$DE1576,99),0)</f>
        <v/>
      </c>
      <c r="CY1576">
        <f>IFERROR(INDEX(PP_Grid[#Data],$DE1576,100),0)</f>
        <v/>
      </c>
      <c r="CZ1576">
        <f>IFERROR(INDEX(PP_Grid[#Data],$DE1576,101),0)</f>
        <v/>
      </c>
      <c r="DA1576">
        <f>IFERROR(INDEX(PP_Grid[#Data],$DE1576,102),0)</f>
        <v/>
      </c>
      <c r="DB1576">
        <f>IFERROR(INDEX(PP_Grid[#Data],$DE1576,103),0)</f>
        <v/>
      </c>
      <c r="DC1576">
        <f>IFERROR(INDEX(PP_Grid[#Data],$DE1576,104),0)</f>
        <v/>
      </c>
      <c r="DD1576">
        <f>IFERROR(INDEX(PP_Grid[#Data],$DE1576,105),0)</f>
        <v/>
      </c>
      <c r="DE1576" s="7">
        <f>IFERROR(MATCH($B1576,PP_Grid[Intermediate],0),99999)</f>
        <v/>
      </c>
    </row>
    <row r="1577">
      <c r="B1577" t="inlineStr">
        <is>
          <t>使用量(kg)</t>
        </is>
      </c>
      <c r="C1577">
        <f>SUMIFS(M_BOM[RM_Qty_Per_Batch],M_BOM[Intermediate],$B1576,M_BOM[RM_Code],$A1575)</f>
        <v/>
      </c>
      <c r="D1577">
        <f>IFERROR(INDEX(E1577:DD1577,$F$1),"")</f>
        <v/>
      </c>
      <c r="E1577">
        <f>$C1577*E1576</f>
        <v/>
      </c>
      <c r="F1577">
        <f>$C1577*F1576</f>
        <v/>
      </c>
      <c r="G1577">
        <f>$C1577*G1576</f>
        <v/>
      </c>
      <c r="H1577">
        <f>$C1577*H1576</f>
        <v/>
      </c>
      <c r="I1577">
        <f>$C1577*I1576</f>
        <v/>
      </c>
      <c r="J1577">
        <f>$C1577*J1576</f>
        <v/>
      </c>
      <c r="K1577">
        <f>$C1577*K1576</f>
        <v/>
      </c>
      <c r="L1577">
        <f>$C1577*L1576</f>
        <v/>
      </c>
      <c r="M1577">
        <f>$C1577*M1576</f>
        <v/>
      </c>
      <c r="N1577">
        <f>$C1577*N1576</f>
        <v/>
      </c>
      <c r="O1577">
        <f>$C1577*O1576</f>
        <v/>
      </c>
      <c r="P1577">
        <f>$C1577*P1576</f>
        <v/>
      </c>
      <c r="Q1577">
        <f>$C1577*Q1576</f>
        <v/>
      </c>
      <c r="R1577">
        <f>$C1577*R1576</f>
        <v/>
      </c>
      <c r="S1577">
        <f>$C1577*S1576</f>
        <v/>
      </c>
      <c r="T1577">
        <f>$C1577*T1576</f>
        <v/>
      </c>
      <c r="U1577">
        <f>$C1577*U1576</f>
        <v/>
      </c>
      <c r="V1577">
        <f>$C1577*V1576</f>
        <v/>
      </c>
      <c r="W1577">
        <f>$C1577*W1576</f>
        <v/>
      </c>
      <c r="X1577">
        <f>$C1577*X1576</f>
        <v/>
      </c>
      <c r="Y1577">
        <f>$C1577*Y1576</f>
        <v/>
      </c>
      <c r="Z1577">
        <f>$C1577*Z1576</f>
        <v/>
      </c>
      <c r="AA1577">
        <f>$C1577*AA1576</f>
        <v/>
      </c>
      <c r="AB1577">
        <f>$C1577*AB1576</f>
        <v/>
      </c>
      <c r="AC1577">
        <f>$C1577*AC1576</f>
        <v/>
      </c>
      <c r="AD1577">
        <f>$C1577*AD1576</f>
        <v/>
      </c>
      <c r="AE1577">
        <f>$C1577*AE1576</f>
        <v/>
      </c>
      <c r="AF1577">
        <f>$C1577*AF1576</f>
        <v/>
      </c>
      <c r="AG1577">
        <f>$C1577*AG1576</f>
        <v/>
      </c>
      <c r="AH1577">
        <f>$C1577*AH1576</f>
        <v/>
      </c>
      <c r="AI1577">
        <f>$C1577*AI1576</f>
        <v/>
      </c>
      <c r="AJ1577">
        <f>$C1577*AJ1576</f>
        <v/>
      </c>
      <c r="AK1577">
        <f>$C1577*AK1576</f>
        <v/>
      </c>
      <c r="AL1577">
        <f>$C1577*AL1576</f>
        <v/>
      </c>
      <c r="AM1577">
        <f>$C1577*AM1576</f>
        <v/>
      </c>
      <c r="AN1577">
        <f>$C1577*AN1576</f>
        <v/>
      </c>
      <c r="AO1577">
        <f>$C1577*AO1576</f>
        <v/>
      </c>
      <c r="AP1577">
        <f>$C1577*AP1576</f>
        <v/>
      </c>
      <c r="AQ1577">
        <f>$C1577*AQ1576</f>
        <v/>
      </c>
      <c r="AR1577">
        <f>$C1577*AR1576</f>
        <v/>
      </c>
      <c r="AS1577">
        <f>$C1577*AS1576</f>
        <v/>
      </c>
      <c r="AT1577">
        <f>$C1577*AT1576</f>
        <v/>
      </c>
      <c r="AU1577">
        <f>$C1577*AU1576</f>
        <v/>
      </c>
      <c r="AV1577">
        <f>$C1577*AV1576</f>
        <v/>
      </c>
      <c r="AW1577">
        <f>$C1577*AW1576</f>
        <v/>
      </c>
      <c r="AX1577">
        <f>$C1577*AX1576</f>
        <v/>
      </c>
      <c r="AY1577">
        <f>$C1577*AY1576</f>
        <v/>
      </c>
      <c r="AZ1577">
        <f>$C1577*AZ1576</f>
        <v/>
      </c>
      <c r="BA1577">
        <f>$C1577*BA1576</f>
        <v/>
      </c>
      <c r="BB1577">
        <f>$C1577*BB1576</f>
        <v/>
      </c>
      <c r="BC1577">
        <f>$C1577*BC1576</f>
        <v/>
      </c>
      <c r="BD1577">
        <f>$C1577*BD1576</f>
        <v/>
      </c>
      <c r="BE1577">
        <f>$C1577*BE1576</f>
        <v/>
      </c>
      <c r="BF1577">
        <f>$C1577*BF1576</f>
        <v/>
      </c>
      <c r="BG1577">
        <f>$C1577*BG1576</f>
        <v/>
      </c>
      <c r="BH1577">
        <f>$C1577*BH1576</f>
        <v/>
      </c>
      <c r="BI1577">
        <f>$C1577*BI1576</f>
        <v/>
      </c>
      <c r="BJ1577">
        <f>$C1577*BJ1576</f>
        <v/>
      </c>
      <c r="BK1577">
        <f>$C1577*BK1576</f>
        <v/>
      </c>
      <c r="BL1577">
        <f>$C1577*BL1576</f>
        <v/>
      </c>
      <c r="BM1577">
        <f>$C1577*BM1576</f>
        <v/>
      </c>
      <c r="BN1577">
        <f>$C1577*BN1576</f>
        <v/>
      </c>
      <c r="BO1577">
        <f>$C1577*BO1576</f>
        <v/>
      </c>
      <c r="BP1577">
        <f>$C1577*BP1576</f>
        <v/>
      </c>
      <c r="BQ1577">
        <f>$C1577*BQ1576</f>
        <v/>
      </c>
      <c r="BR1577">
        <f>$C1577*BR1576</f>
        <v/>
      </c>
      <c r="BS1577">
        <f>$C1577*BS1576</f>
        <v/>
      </c>
      <c r="BT1577">
        <f>$C1577*BT1576</f>
        <v/>
      </c>
      <c r="BU1577">
        <f>$C1577*BU1576</f>
        <v/>
      </c>
      <c r="BV1577">
        <f>$C1577*BV1576</f>
        <v/>
      </c>
      <c r="BW1577">
        <f>$C1577*BW1576</f>
        <v/>
      </c>
      <c r="BX1577">
        <f>$C1577*BX1576</f>
        <v/>
      </c>
      <c r="BY1577">
        <f>$C1577*BY1576</f>
        <v/>
      </c>
      <c r="BZ1577">
        <f>$C1577*BZ1576</f>
        <v/>
      </c>
      <c r="CA1577">
        <f>$C1577*CA1576</f>
        <v/>
      </c>
      <c r="CB1577">
        <f>$C1577*CB1576</f>
        <v/>
      </c>
      <c r="CC1577">
        <f>$C1577*CC1576</f>
        <v/>
      </c>
      <c r="CD1577">
        <f>$C1577*CD1576</f>
        <v/>
      </c>
      <c r="CE1577">
        <f>$C1577*CE1576</f>
        <v/>
      </c>
      <c r="CF1577">
        <f>$C1577*CF1576</f>
        <v/>
      </c>
      <c r="CG1577">
        <f>$C1577*CG1576</f>
        <v/>
      </c>
      <c r="CH1577">
        <f>$C1577*CH1576</f>
        <v/>
      </c>
      <c r="CI1577">
        <f>$C1577*CI1576</f>
        <v/>
      </c>
      <c r="CJ1577">
        <f>$C1577*CJ1576</f>
        <v/>
      </c>
      <c r="CK1577">
        <f>$C1577*CK1576</f>
        <v/>
      </c>
      <c r="CL1577">
        <f>$C1577*CL1576</f>
        <v/>
      </c>
      <c r="CM1577">
        <f>$C1577*CM1576</f>
        <v/>
      </c>
      <c r="CN1577">
        <f>$C1577*CN1576</f>
        <v/>
      </c>
      <c r="CO1577">
        <f>$C1577*CO1576</f>
        <v/>
      </c>
      <c r="CP1577">
        <f>$C1577*CP1576</f>
        <v/>
      </c>
      <c r="CQ1577">
        <f>$C1577*CQ1576</f>
        <v/>
      </c>
      <c r="CR1577">
        <f>$C1577*CR1576</f>
        <v/>
      </c>
      <c r="CS1577">
        <f>$C1577*CS1576</f>
        <v/>
      </c>
      <c r="CT1577">
        <f>$C1577*CT1576</f>
        <v/>
      </c>
      <c r="CU1577">
        <f>$C1577*CU1576</f>
        <v/>
      </c>
      <c r="CV1577">
        <f>$C1577*CV1576</f>
        <v/>
      </c>
      <c r="CW1577">
        <f>$C1577*CW1576</f>
        <v/>
      </c>
      <c r="CX1577">
        <f>$C1577*CX1576</f>
        <v/>
      </c>
      <c r="CY1577">
        <f>$C1577*CY1576</f>
        <v/>
      </c>
      <c r="CZ1577">
        <f>$C1577*CZ1576</f>
        <v/>
      </c>
      <c r="DA1577">
        <f>$C1577*DA1576</f>
        <v/>
      </c>
      <c r="DB1577">
        <f>$C1577*DB1576</f>
        <v/>
      </c>
      <c r="DC1577">
        <f>$C1577*DC1576</f>
        <v/>
      </c>
      <c r="DD1577">
        <f>$C1577*DD1576</f>
        <v/>
      </c>
    </row>
    <row r="1578">
      <c r="B1578" t="inlineStr">
        <is>
          <t>No of times used</t>
        </is>
      </c>
      <c r="C1578" t="inlineStr">
        <is>
          <t>No. of batches</t>
        </is>
      </c>
      <c r="D1578">
        <f>IFERROR(INDEX(E1578:DD1578,$F$1),"")</f>
        <v/>
      </c>
      <c r="E1578">
        <f>IFERROR(INDEX(PP_Grid[#Data],$DE1578,2),0)</f>
        <v/>
      </c>
      <c r="F1578">
        <f>IFERROR(INDEX(PP_Grid[#Data],$DE1578,3),0)</f>
        <v/>
      </c>
      <c r="G1578">
        <f>IFERROR(INDEX(PP_Grid[#Data],$DE1578,4),0)</f>
        <v/>
      </c>
      <c r="H1578">
        <f>IFERROR(INDEX(PP_Grid[#Data],$DE1578,5),0)</f>
        <v/>
      </c>
      <c r="I1578">
        <f>IFERROR(INDEX(PP_Grid[#Data],$DE1578,6),0)</f>
        <v/>
      </c>
      <c r="J1578">
        <f>IFERROR(INDEX(PP_Grid[#Data],$DE1578,7),0)</f>
        <v/>
      </c>
      <c r="K1578">
        <f>IFERROR(INDEX(PP_Grid[#Data],$DE1578,8),0)</f>
        <v/>
      </c>
      <c r="L1578">
        <f>IFERROR(INDEX(PP_Grid[#Data],$DE1578,9),0)</f>
        <v/>
      </c>
      <c r="M1578">
        <f>IFERROR(INDEX(PP_Grid[#Data],$DE1578,10),0)</f>
        <v/>
      </c>
      <c r="N1578">
        <f>IFERROR(INDEX(PP_Grid[#Data],$DE1578,11),0)</f>
        <v/>
      </c>
      <c r="O1578">
        <f>IFERROR(INDEX(PP_Grid[#Data],$DE1578,12),0)</f>
        <v/>
      </c>
      <c r="P1578">
        <f>IFERROR(INDEX(PP_Grid[#Data],$DE1578,13),0)</f>
        <v/>
      </c>
      <c r="Q1578">
        <f>IFERROR(INDEX(PP_Grid[#Data],$DE1578,14),0)</f>
        <v/>
      </c>
      <c r="R1578">
        <f>IFERROR(INDEX(PP_Grid[#Data],$DE1578,15),0)</f>
        <v/>
      </c>
      <c r="S1578">
        <f>IFERROR(INDEX(PP_Grid[#Data],$DE1578,16),0)</f>
        <v/>
      </c>
      <c r="T1578">
        <f>IFERROR(INDEX(PP_Grid[#Data],$DE1578,17),0)</f>
        <v/>
      </c>
      <c r="U1578">
        <f>IFERROR(INDEX(PP_Grid[#Data],$DE1578,18),0)</f>
        <v/>
      </c>
      <c r="V1578">
        <f>IFERROR(INDEX(PP_Grid[#Data],$DE1578,19),0)</f>
        <v/>
      </c>
      <c r="W1578">
        <f>IFERROR(INDEX(PP_Grid[#Data],$DE1578,20),0)</f>
        <v/>
      </c>
      <c r="X1578">
        <f>IFERROR(INDEX(PP_Grid[#Data],$DE1578,21),0)</f>
        <v/>
      </c>
      <c r="Y1578">
        <f>IFERROR(INDEX(PP_Grid[#Data],$DE1578,22),0)</f>
        <v/>
      </c>
      <c r="Z1578">
        <f>IFERROR(INDEX(PP_Grid[#Data],$DE1578,23),0)</f>
        <v/>
      </c>
      <c r="AA1578">
        <f>IFERROR(INDEX(PP_Grid[#Data],$DE1578,24),0)</f>
        <v/>
      </c>
      <c r="AB1578">
        <f>IFERROR(INDEX(PP_Grid[#Data],$DE1578,25),0)</f>
        <v/>
      </c>
      <c r="AC1578">
        <f>IFERROR(INDEX(PP_Grid[#Data],$DE1578,26),0)</f>
        <v/>
      </c>
      <c r="AD1578">
        <f>IFERROR(INDEX(PP_Grid[#Data],$DE1578,27),0)</f>
        <v/>
      </c>
      <c r="AE1578">
        <f>IFERROR(INDEX(PP_Grid[#Data],$DE1578,28),0)</f>
        <v/>
      </c>
      <c r="AF1578">
        <f>IFERROR(INDEX(PP_Grid[#Data],$DE1578,29),0)</f>
        <v/>
      </c>
      <c r="AG1578">
        <f>IFERROR(INDEX(PP_Grid[#Data],$DE1578,30),0)</f>
        <v/>
      </c>
      <c r="AH1578">
        <f>IFERROR(INDEX(PP_Grid[#Data],$DE1578,31),0)</f>
        <v/>
      </c>
      <c r="AI1578">
        <f>IFERROR(INDEX(PP_Grid[#Data],$DE1578,32),0)</f>
        <v/>
      </c>
      <c r="AJ1578">
        <f>IFERROR(INDEX(PP_Grid[#Data],$DE1578,33),0)</f>
        <v/>
      </c>
      <c r="AK1578">
        <f>IFERROR(INDEX(PP_Grid[#Data],$DE1578,34),0)</f>
        <v/>
      </c>
      <c r="AL1578">
        <f>IFERROR(INDEX(PP_Grid[#Data],$DE1578,35),0)</f>
        <v/>
      </c>
      <c r="AM1578">
        <f>IFERROR(INDEX(PP_Grid[#Data],$DE1578,36),0)</f>
        <v/>
      </c>
      <c r="AN1578">
        <f>IFERROR(INDEX(PP_Grid[#Data],$DE1578,37),0)</f>
        <v/>
      </c>
      <c r="AO1578">
        <f>IFERROR(INDEX(PP_Grid[#Data],$DE1578,38),0)</f>
        <v/>
      </c>
      <c r="AP1578">
        <f>IFERROR(INDEX(PP_Grid[#Data],$DE1578,39),0)</f>
        <v/>
      </c>
      <c r="AQ1578">
        <f>IFERROR(INDEX(PP_Grid[#Data],$DE1578,40),0)</f>
        <v/>
      </c>
      <c r="AR1578">
        <f>IFERROR(INDEX(PP_Grid[#Data],$DE1578,41),0)</f>
        <v/>
      </c>
      <c r="AS1578">
        <f>IFERROR(INDEX(PP_Grid[#Data],$DE1578,42),0)</f>
        <v/>
      </c>
      <c r="AT1578">
        <f>IFERROR(INDEX(PP_Grid[#Data],$DE1578,43),0)</f>
        <v/>
      </c>
      <c r="AU1578">
        <f>IFERROR(INDEX(PP_Grid[#Data],$DE1578,44),0)</f>
        <v/>
      </c>
      <c r="AV1578">
        <f>IFERROR(INDEX(PP_Grid[#Data],$DE1578,45),0)</f>
        <v/>
      </c>
      <c r="AW1578">
        <f>IFERROR(INDEX(PP_Grid[#Data],$DE1578,46),0)</f>
        <v/>
      </c>
      <c r="AX1578">
        <f>IFERROR(INDEX(PP_Grid[#Data],$DE1578,47),0)</f>
        <v/>
      </c>
      <c r="AY1578">
        <f>IFERROR(INDEX(PP_Grid[#Data],$DE1578,48),0)</f>
        <v/>
      </c>
      <c r="AZ1578">
        <f>IFERROR(INDEX(PP_Grid[#Data],$DE1578,49),0)</f>
        <v/>
      </c>
      <c r="BA1578">
        <f>IFERROR(INDEX(PP_Grid[#Data],$DE1578,50),0)</f>
        <v/>
      </c>
      <c r="BB1578">
        <f>IFERROR(INDEX(PP_Grid[#Data],$DE1578,51),0)</f>
        <v/>
      </c>
      <c r="BC1578">
        <f>IFERROR(INDEX(PP_Grid[#Data],$DE1578,52),0)</f>
        <v/>
      </c>
      <c r="BD1578">
        <f>IFERROR(INDEX(PP_Grid[#Data],$DE1578,53),0)</f>
        <v/>
      </c>
      <c r="BE1578">
        <f>IFERROR(INDEX(PP_Grid[#Data],$DE1578,54),0)</f>
        <v/>
      </c>
      <c r="BF1578">
        <f>IFERROR(INDEX(PP_Grid[#Data],$DE1578,55),0)</f>
        <v/>
      </c>
      <c r="BG1578">
        <f>IFERROR(INDEX(PP_Grid[#Data],$DE1578,56),0)</f>
        <v/>
      </c>
      <c r="BH1578">
        <f>IFERROR(INDEX(PP_Grid[#Data],$DE1578,57),0)</f>
        <v/>
      </c>
      <c r="BI1578">
        <f>IFERROR(INDEX(PP_Grid[#Data],$DE1578,58),0)</f>
        <v/>
      </c>
      <c r="BJ1578">
        <f>IFERROR(INDEX(PP_Grid[#Data],$DE1578,59),0)</f>
        <v/>
      </c>
      <c r="BK1578">
        <f>IFERROR(INDEX(PP_Grid[#Data],$DE1578,60),0)</f>
        <v/>
      </c>
      <c r="BL1578">
        <f>IFERROR(INDEX(PP_Grid[#Data],$DE1578,61),0)</f>
        <v/>
      </c>
      <c r="BM1578">
        <f>IFERROR(INDEX(PP_Grid[#Data],$DE1578,62),0)</f>
        <v/>
      </c>
      <c r="BN1578">
        <f>IFERROR(INDEX(PP_Grid[#Data],$DE1578,63),0)</f>
        <v/>
      </c>
      <c r="BO1578">
        <f>IFERROR(INDEX(PP_Grid[#Data],$DE1578,64),0)</f>
        <v/>
      </c>
      <c r="BP1578">
        <f>IFERROR(INDEX(PP_Grid[#Data],$DE1578,65),0)</f>
        <v/>
      </c>
      <c r="BQ1578">
        <f>IFERROR(INDEX(PP_Grid[#Data],$DE1578,66),0)</f>
        <v/>
      </c>
      <c r="BR1578">
        <f>IFERROR(INDEX(PP_Grid[#Data],$DE1578,67),0)</f>
        <v/>
      </c>
      <c r="BS1578">
        <f>IFERROR(INDEX(PP_Grid[#Data],$DE1578,68),0)</f>
        <v/>
      </c>
      <c r="BT1578">
        <f>IFERROR(INDEX(PP_Grid[#Data],$DE1578,69),0)</f>
        <v/>
      </c>
      <c r="BU1578">
        <f>IFERROR(INDEX(PP_Grid[#Data],$DE1578,70),0)</f>
        <v/>
      </c>
      <c r="BV1578">
        <f>IFERROR(INDEX(PP_Grid[#Data],$DE1578,71),0)</f>
        <v/>
      </c>
      <c r="BW1578">
        <f>IFERROR(INDEX(PP_Grid[#Data],$DE1578,72),0)</f>
        <v/>
      </c>
      <c r="BX1578">
        <f>IFERROR(INDEX(PP_Grid[#Data],$DE1578,73),0)</f>
        <v/>
      </c>
      <c r="BY1578">
        <f>IFERROR(INDEX(PP_Grid[#Data],$DE1578,74),0)</f>
        <v/>
      </c>
      <c r="BZ1578">
        <f>IFERROR(INDEX(PP_Grid[#Data],$DE1578,75),0)</f>
        <v/>
      </c>
      <c r="CA1578">
        <f>IFERROR(INDEX(PP_Grid[#Data],$DE1578,76),0)</f>
        <v/>
      </c>
      <c r="CB1578">
        <f>IFERROR(INDEX(PP_Grid[#Data],$DE1578,77),0)</f>
        <v/>
      </c>
      <c r="CC1578">
        <f>IFERROR(INDEX(PP_Grid[#Data],$DE1578,78),0)</f>
        <v/>
      </c>
      <c r="CD1578">
        <f>IFERROR(INDEX(PP_Grid[#Data],$DE1578,79),0)</f>
        <v/>
      </c>
      <c r="CE1578">
        <f>IFERROR(INDEX(PP_Grid[#Data],$DE1578,80),0)</f>
        <v/>
      </c>
      <c r="CF1578">
        <f>IFERROR(INDEX(PP_Grid[#Data],$DE1578,81),0)</f>
        <v/>
      </c>
      <c r="CG1578">
        <f>IFERROR(INDEX(PP_Grid[#Data],$DE1578,82),0)</f>
        <v/>
      </c>
      <c r="CH1578">
        <f>IFERROR(INDEX(PP_Grid[#Data],$DE1578,83),0)</f>
        <v/>
      </c>
      <c r="CI1578">
        <f>IFERROR(INDEX(PP_Grid[#Data],$DE1578,84),0)</f>
        <v/>
      </c>
      <c r="CJ1578">
        <f>IFERROR(INDEX(PP_Grid[#Data],$DE1578,85),0)</f>
        <v/>
      </c>
      <c r="CK1578">
        <f>IFERROR(INDEX(PP_Grid[#Data],$DE1578,86),0)</f>
        <v/>
      </c>
      <c r="CL1578">
        <f>IFERROR(INDEX(PP_Grid[#Data],$DE1578,87),0)</f>
        <v/>
      </c>
      <c r="CM1578">
        <f>IFERROR(INDEX(PP_Grid[#Data],$DE1578,88),0)</f>
        <v/>
      </c>
      <c r="CN1578">
        <f>IFERROR(INDEX(PP_Grid[#Data],$DE1578,89),0)</f>
        <v/>
      </c>
      <c r="CO1578">
        <f>IFERROR(INDEX(PP_Grid[#Data],$DE1578,90),0)</f>
        <v/>
      </c>
      <c r="CP1578">
        <f>IFERROR(INDEX(PP_Grid[#Data],$DE1578,91),0)</f>
        <v/>
      </c>
      <c r="CQ1578">
        <f>IFERROR(INDEX(PP_Grid[#Data],$DE1578,92),0)</f>
        <v/>
      </c>
      <c r="CR1578">
        <f>IFERROR(INDEX(PP_Grid[#Data],$DE1578,93),0)</f>
        <v/>
      </c>
      <c r="CS1578">
        <f>IFERROR(INDEX(PP_Grid[#Data],$DE1578,94),0)</f>
        <v/>
      </c>
      <c r="CT1578">
        <f>IFERROR(INDEX(PP_Grid[#Data],$DE1578,95),0)</f>
        <v/>
      </c>
      <c r="CU1578">
        <f>IFERROR(INDEX(PP_Grid[#Data],$DE1578,96),0)</f>
        <v/>
      </c>
      <c r="CV1578">
        <f>IFERROR(INDEX(PP_Grid[#Data],$DE1578,97),0)</f>
        <v/>
      </c>
      <c r="CW1578">
        <f>IFERROR(INDEX(PP_Grid[#Data],$DE1578,98),0)</f>
        <v/>
      </c>
      <c r="CX1578">
        <f>IFERROR(INDEX(PP_Grid[#Data],$DE1578,99),0)</f>
        <v/>
      </c>
      <c r="CY1578">
        <f>IFERROR(INDEX(PP_Grid[#Data],$DE1578,100),0)</f>
        <v/>
      </c>
      <c r="CZ1578">
        <f>IFERROR(INDEX(PP_Grid[#Data],$DE1578,101),0)</f>
        <v/>
      </c>
      <c r="DA1578">
        <f>IFERROR(INDEX(PP_Grid[#Data],$DE1578,102),0)</f>
        <v/>
      </c>
      <c r="DB1578">
        <f>IFERROR(INDEX(PP_Grid[#Data],$DE1578,103),0)</f>
        <v/>
      </c>
      <c r="DC1578">
        <f>IFERROR(INDEX(PP_Grid[#Data],$DE1578,104),0)</f>
        <v/>
      </c>
      <c r="DD1578">
        <f>IFERROR(INDEX(PP_Grid[#Data],$DE1578,105),0)</f>
        <v/>
      </c>
      <c r="DE1578" s="7">
        <f>IFERROR(MATCH($B1578,PP_Grid[Intermediate],0),99999)</f>
        <v/>
      </c>
    </row>
    <row r="1579">
      <c r="B1579" t="inlineStr">
        <is>
          <t>使用量(kg)</t>
        </is>
      </c>
      <c r="C1579">
        <f>SUMIFS(M_BOM[RM_Qty_Per_Batch],M_BOM[Intermediate],$B1578,M_BOM[RM_Code],$A1575)</f>
        <v/>
      </c>
      <c r="D1579">
        <f>IFERROR(INDEX(E1579:DD1579,$F$1),"")</f>
        <v/>
      </c>
      <c r="E1579">
        <f>$C1579*E1578</f>
        <v/>
      </c>
      <c r="F1579">
        <f>$C1579*F1578</f>
        <v/>
      </c>
      <c r="G1579">
        <f>$C1579*G1578</f>
        <v/>
      </c>
      <c r="H1579">
        <f>$C1579*H1578</f>
        <v/>
      </c>
      <c r="I1579">
        <f>$C1579*I1578</f>
        <v/>
      </c>
      <c r="J1579">
        <f>$C1579*J1578</f>
        <v/>
      </c>
      <c r="K1579">
        <f>$C1579*K1578</f>
        <v/>
      </c>
      <c r="L1579">
        <f>$C1579*L1578</f>
        <v/>
      </c>
      <c r="M1579">
        <f>$C1579*M1578</f>
        <v/>
      </c>
      <c r="N1579">
        <f>$C1579*N1578</f>
        <v/>
      </c>
      <c r="O1579">
        <f>$C1579*O1578</f>
        <v/>
      </c>
      <c r="P1579">
        <f>$C1579*P1578</f>
        <v/>
      </c>
      <c r="Q1579">
        <f>$C1579*Q1578</f>
        <v/>
      </c>
      <c r="R1579">
        <f>$C1579*R1578</f>
        <v/>
      </c>
      <c r="S1579">
        <f>$C1579*S1578</f>
        <v/>
      </c>
      <c r="T1579">
        <f>$C1579*T1578</f>
        <v/>
      </c>
      <c r="U1579">
        <f>$C1579*U1578</f>
        <v/>
      </c>
      <c r="V1579">
        <f>$C1579*V1578</f>
        <v/>
      </c>
      <c r="W1579">
        <f>$C1579*W1578</f>
        <v/>
      </c>
      <c r="X1579">
        <f>$C1579*X1578</f>
        <v/>
      </c>
      <c r="Y1579">
        <f>$C1579*Y1578</f>
        <v/>
      </c>
      <c r="Z1579">
        <f>$C1579*Z1578</f>
        <v/>
      </c>
      <c r="AA1579">
        <f>$C1579*AA1578</f>
        <v/>
      </c>
      <c r="AB1579">
        <f>$C1579*AB1578</f>
        <v/>
      </c>
      <c r="AC1579">
        <f>$C1579*AC1578</f>
        <v/>
      </c>
      <c r="AD1579">
        <f>$C1579*AD1578</f>
        <v/>
      </c>
      <c r="AE1579">
        <f>$C1579*AE1578</f>
        <v/>
      </c>
      <c r="AF1579">
        <f>$C1579*AF1578</f>
        <v/>
      </c>
      <c r="AG1579">
        <f>$C1579*AG1578</f>
        <v/>
      </c>
      <c r="AH1579">
        <f>$C1579*AH1578</f>
        <v/>
      </c>
      <c r="AI1579">
        <f>$C1579*AI1578</f>
        <v/>
      </c>
      <c r="AJ1579">
        <f>$C1579*AJ1578</f>
        <v/>
      </c>
      <c r="AK1579">
        <f>$C1579*AK1578</f>
        <v/>
      </c>
      <c r="AL1579">
        <f>$C1579*AL1578</f>
        <v/>
      </c>
      <c r="AM1579">
        <f>$C1579*AM1578</f>
        <v/>
      </c>
      <c r="AN1579">
        <f>$C1579*AN1578</f>
        <v/>
      </c>
      <c r="AO1579">
        <f>$C1579*AO1578</f>
        <v/>
      </c>
      <c r="AP1579">
        <f>$C1579*AP1578</f>
        <v/>
      </c>
      <c r="AQ1579">
        <f>$C1579*AQ1578</f>
        <v/>
      </c>
      <c r="AR1579">
        <f>$C1579*AR1578</f>
        <v/>
      </c>
      <c r="AS1579">
        <f>$C1579*AS1578</f>
        <v/>
      </c>
      <c r="AT1579">
        <f>$C1579*AT1578</f>
        <v/>
      </c>
      <c r="AU1579">
        <f>$C1579*AU1578</f>
        <v/>
      </c>
      <c r="AV1579">
        <f>$C1579*AV1578</f>
        <v/>
      </c>
      <c r="AW1579">
        <f>$C1579*AW1578</f>
        <v/>
      </c>
      <c r="AX1579">
        <f>$C1579*AX1578</f>
        <v/>
      </c>
      <c r="AY1579">
        <f>$C1579*AY1578</f>
        <v/>
      </c>
      <c r="AZ1579">
        <f>$C1579*AZ1578</f>
        <v/>
      </c>
      <c r="BA1579">
        <f>$C1579*BA1578</f>
        <v/>
      </c>
      <c r="BB1579">
        <f>$C1579*BB1578</f>
        <v/>
      </c>
      <c r="BC1579">
        <f>$C1579*BC1578</f>
        <v/>
      </c>
      <c r="BD1579">
        <f>$C1579*BD1578</f>
        <v/>
      </c>
      <c r="BE1579">
        <f>$C1579*BE1578</f>
        <v/>
      </c>
      <c r="BF1579">
        <f>$C1579*BF1578</f>
        <v/>
      </c>
      <c r="BG1579">
        <f>$C1579*BG1578</f>
        <v/>
      </c>
      <c r="BH1579">
        <f>$C1579*BH1578</f>
        <v/>
      </c>
      <c r="BI1579">
        <f>$C1579*BI1578</f>
        <v/>
      </c>
      <c r="BJ1579">
        <f>$C1579*BJ1578</f>
        <v/>
      </c>
      <c r="BK1579">
        <f>$C1579*BK1578</f>
        <v/>
      </c>
      <c r="BL1579">
        <f>$C1579*BL1578</f>
        <v/>
      </c>
      <c r="BM1579">
        <f>$C1579*BM1578</f>
        <v/>
      </c>
      <c r="BN1579">
        <f>$C1579*BN1578</f>
        <v/>
      </c>
      <c r="BO1579">
        <f>$C1579*BO1578</f>
        <v/>
      </c>
      <c r="BP1579">
        <f>$C1579*BP1578</f>
        <v/>
      </c>
      <c r="BQ1579">
        <f>$C1579*BQ1578</f>
        <v/>
      </c>
      <c r="BR1579">
        <f>$C1579*BR1578</f>
        <v/>
      </c>
      <c r="BS1579">
        <f>$C1579*BS1578</f>
        <v/>
      </c>
      <c r="BT1579">
        <f>$C1579*BT1578</f>
        <v/>
      </c>
      <c r="BU1579">
        <f>$C1579*BU1578</f>
        <v/>
      </c>
      <c r="BV1579">
        <f>$C1579*BV1578</f>
        <v/>
      </c>
      <c r="BW1579">
        <f>$C1579*BW1578</f>
        <v/>
      </c>
      <c r="BX1579">
        <f>$C1579*BX1578</f>
        <v/>
      </c>
      <c r="BY1579">
        <f>$C1579*BY1578</f>
        <v/>
      </c>
      <c r="BZ1579">
        <f>$C1579*BZ1578</f>
        <v/>
      </c>
      <c r="CA1579">
        <f>$C1579*CA1578</f>
        <v/>
      </c>
      <c r="CB1579">
        <f>$C1579*CB1578</f>
        <v/>
      </c>
      <c r="CC1579">
        <f>$C1579*CC1578</f>
        <v/>
      </c>
      <c r="CD1579">
        <f>$C1579*CD1578</f>
        <v/>
      </c>
      <c r="CE1579">
        <f>$C1579*CE1578</f>
        <v/>
      </c>
      <c r="CF1579">
        <f>$C1579*CF1578</f>
        <v/>
      </c>
      <c r="CG1579">
        <f>$C1579*CG1578</f>
        <v/>
      </c>
      <c r="CH1579">
        <f>$C1579*CH1578</f>
        <v/>
      </c>
      <c r="CI1579">
        <f>$C1579*CI1578</f>
        <v/>
      </c>
      <c r="CJ1579">
        <f>$C1579*CJ1578</f>
        <v/>
      </c>
      <c r="CK1579">
        <f>$C1579*CK1578</f>
        <v/>
      </c>
      <c r="CL1579">
        <f>$C1579*CL1578</f>
        <v/>
      </c>
      <c r="CM1579">
        <f>$C1579*CM1578</f>
        <v/>
      </c>
      <c r="CN1579">
        <f>$C1579*CN1578</f>
        <v/>
      </c>
      <c r="CO1579">
        <f>$C1579*CO1578</f>
        <v/>
      </c>
      <c r="CP1579">
        <f>$C1579*CP1578</f>
        <v/>
      </c>
      <c r="CQ1579">
        <f>$C1579*CQ1578</f>
        <v/>
      </c>
      <c r="CR1579">
        <f>$C1579*CR1578</f>
        <v/>
      </c>
      <c r="CS1579">
        <f>$C1579*CS1578</f>
        <v/>
      </c>
      <c r="CT1579">
        <f>$C1579*CT1578</f>
        <v/>
      </c>
      <c r="CU1579">
        <f>$C1579*CU1578</f>
        <v/>
      </c>
      <c r="CV1579">
        <f>$C1579*CV1578</f>
        <v/>
      </c>
      <c r="CW1579">
        <f>$C1579*CW1578</f>
        <v/>
      </c>
      <c r="CX1579">
        <f>$C1579*CX1578</f>
        <v/>
      </c>
      <c r="CY1579">
        <f>$C1579*CY1578</f>
        <v/>
      </c>
      <c r="CZ1579">
        <f>$C1579*CZ1578</f>
        <v/>
      </c>
      <c r="DA1579">
        <f>$C1579*DA1578</f>
        <v/>
      </c>
      <c r="DB1579">
        <f>$C1579*DB1578</f>
        <v/>
      </c>
      <c r="DC1579">
        <f>$C1579*DC1578</f>
        <v/>
      </c>
      <c r="DD1579">
        <f>$C1579*DD1578</f>
        <v/>
      </c>
    </row>
    <row r="1580">
      <c r="B1580" s="4" t="inlineStr">
        <is>
          <t>合計使用量(kg)/週</t>
        </is>
      </c>
      <c r="D1580" s="23">
        <f>IFERROR(INDEX(E1580:DD1580,$F$1),"")</f>
        <v/>
      </c>
      <c r="E1580">
        <f>'Grid_Requirement'!B95</f>
        <v/>
      </c>
      <c r="F1580">
        <f>'Grid_Requirement'!C95</f>
        <v/>
      </c>
      <c r="G1580">
        <f>'Grid_Requirement'!D95</f>
        <v/>
      </c>
      <c r="H1580">
        <f>'Grid_Requirement'!E95</f>
        <v/>
      </c>
      <c r="I1580">
        <f>'Grid_Requirement'!F95</f>
        <v/>
      </c>
      <c r="J1580">
        <f>'Grid_Requirement'!G95</f>
        <v/>
      </c>
      <c r="K1580">
        <f>'Grid_Requirement'!H95</f>
        <v/>
      </c>
      <c r="L1580">
        <f>'Grid_Requirement'!I95</f>
        <v/>
      </c>
      <c r="M1580">
        <f>'Grid_Requirement'!J95</f>
        <v/>
      </c>
      <c r="N1580">
        <f>'Grid_Requirement'!K95</f>
        <v/>
      </c>
      <c r="O1580">
        <f>'Grid_Requirement'!L95</f>
        <v/>
      </c>
      <c r="P1580">
        <f>'Grid_Requirement'!M95</f>
        <v/>
      </c>
      <c r="Q1580">
        <f>'Grid_Requirement'!N95</f>
        <v/>
      </c>
      <c r="R1580">
        <f>'Grid_Requirement'!O95</f>
        <v/>
      </c>
      <c r="S1580">
        <f>'Grid_Requirement'!P95</f>
        <v/>
      </c>
      <c r="T1580">
        <f>'Grid_Requirement'!Q95</f>
        <v/>
      </c>
      <c r="U1580">
        <f>'Grid_Requirement'!R95</f>
        <v/>
      </c>
      <c r="V1580">
        <f>'Grid_Requirement'!S95</f>
        <v/>
      </c>
      <c r="W1580">
        <f>'Grid_Requirement'!T95</f>
        <v/>
      </c>
      <c r="X1580">
        <f>'Grid_Requirement'!U95</f>
        <v/>
      </c>
      <c r="Y1580">
        <f>'Grid_Requirement'!V95</f>
        <v/>
      </c>
      <c r="Z1580">
        <f>'Grid_Requirement'!W95</f>
        <v/>
      </c>
      <c r="AA1580">
        <f>'Grid_Requirement'!X95</f>
        <v/>
      </c>
      <c r="AB1580">
        <f>'Grid_Requirement'!Y95</f>
        <v/>
      </c>
      <c r="AC1580">
        <f>'Grid_Requirement'!Z95</f>
        <v/>
      </c>
      <c r="AD1580">
        <f>'Grid_Requirement'!AA95</f>
        <v/>
      </c>
      <c r="AE1580">
        <f>'Grid_Requirement'!AB95</f>
        <v/>
      </c>
      <c r="AF1580">
        <f>'Grid_Requirement'!AC95</f>
        <v/>
      </c>
      <c r="AG1580">
        <f>'Grid_Requirement'!AD95</f>
        <v/>
      </c>
      <c r="AH1580">
        <f>'Grid_Requirement'!AE95</f>
        <v/>
      </c>
      <c r="AI1580">
        <f>'Grid_Requirement'!AF95</f>
        <v/>
      </c>
      <c r="AJ1580">
        <f>'Grid_Requirement'!AG95</f>
        <v/>
      </c>
      <c r="AK1580">
        <f>'Grid_Requirement'!AH95</f>
        <v/>
      </c>
      <c r="AL1580">
        <f>'Grid_Requirement'!AI95</f>
        <v/>
      </c>
      <c r="AM1580">
        <f>'Grid_Requirement'!AJ95</f>
        <v/>
      </c>
      <c r="AN1580">
        <f>'Grid_Requirement'!AK95</f>
        <v/>
      </c>
      <c r="AO1580">
        <f>'Grid_Requirement'!AL95</f>
        <v/>
      </c>
      <c r="AP1580">
        <f>'Grid_Requirement'!AM95</f>
        <v/>
      </c>
      <c r="AQ1580">
        <f>'Grid_Requirement'!AN95</f>
        <v/>
      </c>
      <c r="AR1580">
        <f>'Grid_Requirement'!AO95</f>
        <v/>
      </c>
      <c r="AS1580">
        <f>'Grid_Requirement'!AP95</f>
        <v/>
      </c>
      <c r="AT1580">
        <f>'Grid_Requirement'!AQ95</f>
        <v/>
      </c>
      <c r="AU1580">
        <f>'Grid_Requirement'!AR95</f>
        <v/>
      </c>
      <c r="AV1580">
        <f>'Grid_Requirement'!AS95</f>
        <v/>
      </c>
      <c r="AW1580">
        <f>'Grid_Requirement'!AT95</f>
        <v/>
      </c>
      <c r="AX1580">
        <f>'Grid_Requirement'!AU95</f>
        <v/>
      </c>
      <c r="AY1580">
        <f>'Grid_Requirement'!AV95</f>
        <v/>
      </c>
      <c r="AZ1580">
        <f>'Grid_Requirement'!AW95</f>
        <v/>
      </c>
      <c r="BA1580">
        <f>'Grid_Requirement'!AX95</f>
        <v/>
      </c>
      <c r="BB1580">
        <f>'Grid_Requirement'!AY95</f>
        <v/>
      </c>
      <c r="BC1580">
        <f>'Grid_Requirement'!AZ95</f>
        <v/>
      </c>
      <c r="BD1580">
        <f>'Grid_Requirement'!BA95</f>
        <v/>
      </c>
      <c r="BE1580">
        <f>'Grid_Requirement'!BB95</f>
        <v/>
      </c>
      <c r="BF1580">
        <f>'Grid_Requirement'!BC95</f>
        <v/>
      </c>
      <c r="BG1580">
        <f>'Grid_Requirement'!BD95</f>
        <v/>
      </c>
      <c r="BH1580">
        <f>'Grid_Requirement'!BE95</f>
        <v/>
      </c>
      <c r="BI1580">
        <f>'Grid_Requirement'!BF95</f>
        <v/>
      </c>
      <c r="BJ1580">
        <f>'Grid_Requirement'!BG95</f>
        <v/>
      </c>
      <c r="BK1580">
        <f>'Grid_Requirement'!BH95</f>
        <v/>
      </c>
      <c r="BL1580">
        <f>'Grid_Requirement'!BI95</f>
        <v/>
      </c>
      <c r="BM1580">
        <f>'Grid_Requirement'!BJ95</f>
        <v/>
      </c>
      <c r="BN1580">
        <f>'Grid_Requirement'!BK95</f>
        <v/>
      </c>
      <c r="BO1580">
        <f>'Grid_Requirement'!BL95</f>
        <v/>
      </c>
      <c r="BP1580">
        <f>'Grid_Requirement'!BM95</f>
        <v/>
      </c>
      <c r="BQ1580">
        <f>'Grid_Requirement'!BN95</f>
        <v/>
      </c>
      <c r="BR1580">
        <f>'Grid_Requirement'!BO95</f>
        <v/>
      </c>
      <c r="BS1580">
        <f>'Grid_Requirement'!BP95</f>
        <v/>
      </c>
      <c r="BT1580">
        <f>'Grid_Requirement'!BQ95</f>
        <v/>
      </c>
      <c r="BU1580">
        <f>'Grid_Requirement'!BR95</f>
        <v/>
      </c>
      <c r="BV1580">
        <f>'Grid_Requirement'!BS95</f>
        <v/>
      </c>
      <c r="BW1580">
        <f>'Grid_Requirement'!BT95</f>
        <v/>
      </c>
      <c r="BX1580">
        <f>'Grid_Requirement'!BU95</f>
        <v/>
      </c>
      <c r="BY1580">
        <f>'Grid_Requirement'!BV95</f>
        <v/>
      </c>
      <c r="BZ1580">
        <f>'Grid_Requirement'!BW95</f>
        <v/>
      </c>
      <c r="CA1580">
        <f>'Grid_Requirement'!BX95</f>
        <v/>
      </c>
      <c r="CB1580">
        <f>'Grid_Requirement'!BY95</f>
        <v/>
      </c>
      <c r="CC1580">
        <f>'Grid_Requirement'!BZ95</f>
        <v/>
      </c>
      <c r="CD1580">
        <f>'Grid_Requirement'!CA95</f>
        <v/>
      </c>
      <c r="CE1580">
        <f>'Grid_Requirement'!CB95</f>
        <v/>
      </c>
      <c r="CF1580">
        <f>'Grid_Requirement'!CC95</f>
        <v/>
      </c>
      <c r="CG1580">
        <f>'Grid_Requirement'!CD95</f>
        <v/>
      </c>
      <c r="CH1580">
        <f>'Grid_Requirement'!CE95</f>
        <v/>
      </c>
      <c r="CI1580">
        <f>'Grid_Requirement'!CF95</f>
        <v/>
      </c>
      <c r="CJ1580">
        <f>'Grid_Requirement'!CG95</f>
        <v/>
      </c>
      <c r="CK1580">
        <f>'Grid_Requirement'!CH95</f>
        <v/>
      </c>
      <c r="CL1580">
        <f>'Grid_Requirement'!CI95</f>
        <v/>
      </c>
      <c r="CM1580">
        <f>'Grid_Requirement'!CJ95</f>
        <v/>
      </c>
      <c r="CN1580">
        <f>'Grid_Requirement'!CK95</f>
        <v/>
      </c>
      <c r="CO1580">
        <f>'Grid_Requirement'!CL95</f>
        <v/>
      </c>
      <c r="CP1580">
        <f>'Grid_Requirement'!CM95</f>
        <v/>
      </c>
      <c r="CQ1580">
        <f>'Grid_Requirement'!CN95</f>
        <v/>
      </c>
      <c r="CR1580">
        <f>'Grid_Requirement'!CO95</f>
        <v/>
      </c>
      <c r="CS1580">
        <f>'Grid_Requirement'!CP95</f>
        <v/>
      </c>
      <c r="CT1580">
        <f>'Grid_Requirement'!CQ95</f>
        <v/>
      </c>
      <c r="CU1580">
        <f>'Grid_Requirement'!CR95</f>
        <v/>
      </c>
      <c r="CV1580">
        <f>'Grid_Requirement'!CS95</f>
        <v/>
      </c>
      <c r="CW1580">
        <f>'Grid_Requirement'!CT95</f>
        <v/>
      </c>
      <c r="CX1580">
        <f>'Grid_Requirement'!CU95</f>
        <v/>
      </c>
      <c r="CY1580">
        <f>'Grid_Requirement'!CV95</f>
        <v/>
      </c>
      <c r="CZ1580">
        <f>'Grid_Requirement'!CW95</f>
        <v/>
      </c>
      <c r="DA1580">
        <f>'Grid_Requirement'!CX95</f>
        <v/>
      </c>
      <c r="DB1580">
        <f>'Grid_Requirement'!CY95</f>
        <v/>
      </c>
      <c r="DC1580">
        <f>'Grid_Requirement'!CZ95</f>
        <v/>
      </c>
      <c r="DD1580">
        <f>'Grid_Requirement'!DA95</f>
        <v/>
      </c>
    </row>
    <row r="1581">
      <c r="B1581" t="inlineStr">
        <is>
          <t>TTAF在庫(実績,kg)</t>
        </is>
      </c>
      <c r="D1581">
        <f>IFERROR(INDEX(E1581:DD1581,$F$1),"")</f>
        <v/>
      </c>
      <c r="E1581">
        <f>IFERROR(SUMIFS(T_TTAFStock[TTAF_Qty],T_TTAFStock[RM_Code],$A1575,T_TTAFStock[WeekIndex],1),"")</f>
        <v/>
      </c>
      <c r="F1581">
        <f>IFERROR(SUMIFS(T_TTAFStock[TTAF_Qty],T_TTAFStock[RM_Code],$A1575,T_TTAFStock[WeekIndex],2),"")</f>
        <v/>
      </c>
      <c r="G1581">
        <f>IFERROR(SUMIFS(T_TTAFStock[TTAF_Qty],T_TTAFStock[RM_Code],$A1575,T_TTAFStock[WeekIndex],3),"")</f>
        <v/>
      </c>
      <c r="H1581">
        <f>IFERROR(SUMIFS(T_TTAFStock[TTAF_Qty],T_TTAFStock[RM_Code],$A1575,T_TTAFStock[WeekIndex],4),"")</f>
        <v/>
      </c>
      <c r="I1581">
        <f>IFERROR(SUMIFS(T_TTAFStock[TTAF_Qty],T_TTAFStock[RM_Code],$A1575,T_TTAFStock[WeekIndex],5),"")</f>
        <v/>
      </c>
      <c r="J1581">
        <f>IFERROR(SUMIFS(T_TTAFStock[TTAF_Qty],T_TTAFStock[RM_Code],$A1575,T_TTAFStock[WeekIndex],6),"")</f>
        <v/>
      </c>
      <c r="K1581">
        <f>IFERROR(SUMIFS(T_TTAFStock[TTAF_Qty],T_TTAFStock[RM_Code],$A1575,T_TTAFStock[WeekIndex],7),"")</f>
        <v/>
      </c>
      <c r="L1581">
        <f>IFERROR(SUMIFS(T_TTAFStock[TTAF_Qty],T_TTAFStock[RM_Code],$A1575,T_TTAFStock[WeekIndex],8),"")</f>
        <v/>
      </c>
      <c r="M1581">
        <f>IFERROR(SUMIFS(T_TTAFStock[TTAF_Qty],T_TTAFStock[RM_Code],$A1575,T_TTAFStock[WeekIndex],9),"")</f>
        <v/>
      </c>
      <c r="N1581">
        <f>IFERROR(SUMIFS(T_TTAFStock[TTAF_Qty],T_TTAFStock[RM_Code],$A1575,T_TTAFStock[WeekIndex],10),"")</f>
        <v/>
      </c>
      <c r="O1581">
        <f>IFERROR(SUMIFS(T_TTAFStock[TTAF_Qty],T_TTAFStock[RM_Code],$A1575,T_TTAFStock[WeekIndex],11),"")</f>
        <v/>
      </c>
      <c r="P1581">
        <f>IFERROR(SUMIFS(T_TTAFStock[TTAF_Qty],T_TTAFStock[RM_Code],$A1575,T_TTAFStock[WeekIndex],12),"")</f>
        <v/>
      </c>
      <c r="Q1581">
        <f>IFERROR(SUMIFS(T_TTAFStock[TTAF_Qty],T_TTAFStock[RM_Code],$A1575,T_TTAFStock[WeekIndex],13),"")</f>
        <v/>
      </c>
      <c r="R1581">
        <f>IFERROR(SUMIFS(T_TTAFStock[TTAF_Qty],T_TTAFStock[RM_Code],$A1575,T_TTAFStock[WeekIndex],14),"")</f>
        <v/>
      </c>
      <c r="S1581">
        <f>IFERROR(SUMIFS(T_TTAFStock[TTAF_Qty],T_TTAFStock[RM_Code],$A1575,T_TTAFStock[WeekIndex],15),"")</f>
        <v/>
      </c>
      <c r="T1581">
        <f>IFERROR(SUMIFS(T_TTAFStock[TTAF_Qty],T_TTAFStock[RM_Code],$A1575,T_TTAFStock[WeekIndex],16),"")</f>
        <v/>
      </c>
      <c r="U1581">
        <f>IFERROR(SUMIFS(T_TTAFStock[TTAF_Qty],T_TTAFStock[RM_Code],$A1575,T_TTAFStock[WeekIndex],17),"")</f>
        <v/>
      </c>
      <c r="V1581">
        <f>IFERROR(SUMIFS(T_TTAFStock[TTAF_Qty],T_TTAFStock[RM_Code],$A1575,T_TTAFStock[WeekIndex],18),"")</f>
        <v/>
      </c>
      <c r="W1581">
        <f>IFERROR(SUMIFS(T_TTAFStock[TTAF_Qty],T_TTAFStock[RM_Code],$A1575,T_TTAFStock[WeekIndex],19),"")</f>
        <v/>
      </c>
      <c r="X1581">
        <f>IFERROR(SUMIFS(T_TTAFStock[TTAF_Qty],T_TTAFStock[RM_Code],$A1575,T_TTAFStock[WeekIndex],20),"")</f>
        <v/>
      </c>
      <c r="Y1581">
        <f>IFERROR(SUMIFS(T_TTAFStock[TTAF_Qty],T_TTAFStock[RM_Code],$A1575,T_TTAFStock[WeekIndex],21),"")</f>
        <v/>
      </c>
      <c r="Z1581">
        <f>IFERROR(SUMIFS(T_TTAFStock[TTAF_Qty],T_TTAFStock[RM_Code],$A1575,T_TTAFStock[WeekIndex],22),"")</f>
        <v/>
      </c>
      <c r="AA1581">
        <f>IFERROR(SUMIFS(T_TTAFStock[TTAF_Qty],T_TTAFStock[RM_Code],$A1575,T_TTAFStock[WeekIndex],23),"")</f>
        <v/>
      </c>
      <c r="AB1581">
        <f>IFERROR(SUMIFS(T_TTAFStock[TTAF_Qty],T_TTAFStock[RM_Code],$A1575,T_TTAFStock[WeekIndex],24),"")</f>
        <v/>
      </c>
      <c r="AC1581">
        <f>IFERROR(SUMIFS(T_TTAFStock[TTAF_Qty],T_TTAFStock[RM_Code],$A1575,T_TTAFStock[WeekIndex],25),"")</f>
        <v/>
      </c>
      <c r="AD1581">
        <f>IFERROR(SUMIFS(T_TTAFStock[TTAF_Qty],T_TTAFStock[RM_Code],$A1575,T_TTAFStock[WeekIndex],26),"")</f>
        <v/>
      </c>
      <c r="AE1581">
        <f>IFERROR(SUMIFS(T_TTAFStock[TTAF_Qty],T_TTAFStock[RM_Code],$A1575,T_TTAFStock[WeekIndex],27),"")</f>
        <v/>
      </c>
      <c r="AF1581">
        <f>IFERROR(SUMIFS(T_TTAFStock[TTAF_Qty],T_TTAFStock[RM_Code],$A1575,T_TTAFStock[WeekIndex],28),"")</f>
        <v/>
      </c>
      <c r="AG1581">
        <f>IFERROR(SUMIFS(T_TTAFStock[TTAF_Qty],T_TTAFStock[RM_Code],$A1575,T_TTAFStock[WeekIndex],29),"")</f>
        <v/>
      </c>
      <c r="AH1581">
        <f>IFERROR(SUMIFS(T_TTAFStock[TTAF_Qty],T_TTAFStock[RM_Code],$A1575,T_TTAFStock[WeekIndex],30),"")</f>
        <v/>
      </c>
      <c r="AI1581">
        <f>IFERROR(SUMIFS(T_TTAFStock[TTAF_Qty],T_TTAFStock[RM_Code],$A1575,T_TTAFStock[WeekIndex],31),"")</f>
        <v/>
      </c>
      <c r="AJ1581">
        <f>IFERROR(SUMIFS(T_TTAFStock[TTAF_Qty],T_TTAFStock[RM_Code],$A1575,T_TTAFStock[WeekIndex],32),"")</f>
        <v/>
      </c>
      <c r="AK1581">
        <f>IFERROR(SUMIFS(T_TTAFStock[TTAF_Qty],T_TTAFStock[RM_Code],$A1575,T_TTAFStock[WeekIndex],33),"")</f>
        <v/>
      </c>
      <c r="AL1581">
        <f>IFERROR(SUMIFS(T_TTAFStock[TTAF_Qty],T_TTAFStock[RM_Code],$A1575,T_TTAFStock[WeekIndex],34),"")</f>
        <v/>
      </c>
      <c r="AM1581">
        <f>IFERROR(SUMIFS(T_TTAFStock[TTAF_Qty],T_TTAFStock[RM_Code],$A1575,T_TTAFStock[WeekIndex],35),"")</f>
        <v/>
      </c>
      <c r="AN1581">
        <f>IFERROR(SUMIFS(T_TTAFStock[TTAF_Qty],T_TTAFStock[RM_Code],$A1575,T_TTAFStock[WeekIndex],36),"")</f>
        <v/>
      </c>
      <c r="AO1581">
        <f>IFERROR(SUMIFS(T_TTAFStock[TTAF_Qty],T_TTAFStock[RM_Code],$A1575,T_TTAFStock[WeekIndex],37),"")</f>
        <v/>
      </c>
      <c r="AP1581">
        <f>IFERROR(SUMIFS(T_TTAFStock[TTAF_Qty],T_TTAFStock[RM_Code],$A1575,T_TTAFStock[WeekIndex],38),"")</f>
        <v/>
      </c>
      <c r="AQ1581">
        <f>IFERROR(SUMIFS(T_TTAFStock[TTAF_Qty],T_TTAFStock[RM_Code],$A1575,T_TTAFStock[WeekIndex],39),"")</f>
        <v/>
      </c>
      <c r="AR1581">
        <f>IFERROR(SUMIFS(T_TTAFStock[TTAF_Qty],T_TTAFStock[RM_Code],$A1575,T_TTAFStock[WeekIndex],40),"")</f>
        <v/>
      </c>
      <c r="AS1581">
        <f>IFERROR(SUMIFS(T_TTAFStock[TTAF_Qty],T_TTAFStock[RM_Code],$A1575,T_TTAFStock[WeekIndex],41),"")</f>
        <v/>
      </c>
      <c r="AT1581">
        <f>IFERROR(SUMIFS(T_TTAFStock[TTAF_Qty],T_TTAFStock[RM_Code],$A1575,T_TTAFStock[WeekIndex],42),"")</f>
        <v/>
      </c>
      <c r="AU1581">
        <f>IFERROR(SUMIFS(T_TTAFStock[TTAF_Qty],T_TTAFStock[RM_Code],$A1575,T_TTAFStock[WeekIndex],43),"")</f>
        <v/>
      </c>
      <c r="AV1581">
        <f>IFERROR(SUMIFS(T_TTAFStock[TTAF_Qty],T_TTAFStock[RM_Code],$A1575,T_TTAFStock[WeekIndex],44),"")</f>
        <v/>
      </c>
      <c r="AW1581">
        <f>IFERROR(SUMIFS(T_TTAFStock[TTAF_Qty],T_TTAFStock[RM_Code],$A1575,T_TTAFStock[WeekIndex],45),"")</f>
        <v/>
      </c>
      <c r="AX1581">
        <f>IFERROR(SUMIFS(T_TTAFStock[TTAF_Qty],T_TTAFStock[RM_Code],$A1575,T_TTAFStock[WeekIndex],46),"")</f>
        <v/>
      </c>
      <c r="AY1581">
        <f>IFERROR(SUMIFS(T_TTAFStock[TTAF_Qty],T_TTAFStock[RM_Code],$A1575,T_TTAFStock[WeekIndex],47),"")</f>
        <v/>
      </c>
      <c r="AZ1581">
        <f>IFERROR(SUMIFS(T_TTAFStock[TTAF_Qty],T_TTAFStock[RM_Code],$A1575,T_TTAFStock[WeekIndex],48),"")</f>
        <v/>
      </c>
      <c r="BA1581">
        <f>IFERROR(SUMIFS(T_TTAFStock[TTAF_Qty],T_TTAFStock[RM_Code],$A1575,T_TTAFStock[WeekIndex],49),"")</f>
        <v/>
      </c>
      <c r="BB1581">
        <f>IFERROR(SUMIFS(T_TTAFStock[TTAF_Qty],T_TTAFStock[RM_Code],$A1575,T_TTAFStock[WeekIndex],50),"")</f>
        <v/>
      </c>
      <c r="BC1581">
        <f>IFERROR(SUMIFS(T_TTAFStock[TTAF_Qty],T_TTAFStock[RM_Code],$A1575,T_TTAFStock[WeekIndex],51),"")</f>
        <v/>
      </c>
      <c r="BD1581">
        <f>IFERROR(SUMIFS(T_TTAFStock[TTAF_Qty],T_TTAFStock[RM_Code],$A1575,T_TTAFStock[WeekIndex],52),"")</f>
        <v/>
      </c>
      <c r="BE1581">
        <f>IFERROR(SUMIFS(T_TTAFStock[TTAF_Qty],T_TTAFStock[RM_Code],$A1575,T_TTAFStock[WeekIndex],53),"")</f>
        <v/>
      </c>
      <c r="BF1581">
        <f>IFERROR(SUMIFS(T_TTAFStock[TTAF_Qty],T_TTAFStock[RM_Code],$A1575,T_TTAFStock[WeekIndex],54),"")</f>
        <v/>
      </c>
      <c r="BG1581">
        <f>IFERROR(SUMIFS(T_TTAFStock[TTAF_Qty],T_TTAFStock[RM_Code],$A1575,T_TTAFStock[WeekIndex],55),"")</f>
        <v/>
      </c>
      <c r="BH1581">
        <f>IFERROR(SUMIFS(T_TTAFStock[TTAF_Qty],T_TTAFStock[RM_Code],$A1575,T_TTAFStock[WeekIndex],56),"")</f>
        <v/>
      </c>
      <c r="BI1581">
        <f>IFERROR(SUMIFS(T_TTAFStock[TTAF_Qty],T_TTAFStock[RM_Code],$A1575,T_TTAFStock[WeekIndex],57),"")</f>
        <v/>
      </c>
      <c r="BJ1581">
        <f>IFERROR(SUMIFS(T_TTAFStock[TTAF_Qty],T_TTAFStock[RM_Code],$A1575,T_TTAFStock[WeekIndex],58),"")</f>
        <v/>
      </c>
      <c r="BK1581">
        <f>IFERROR(SUMIFS(T_TTAFStock[TTAF_Qty],T_TTAFStock[RM_Code],$A1575,T_TTAFStock[WeekIndex],59),"")</f>
        <v/>
      </c>
      <c r="BL1581">
        <f>IFERROR(SUMIFS(T_TTAFStock[TTAF_Qty],T_TTAFStock[RM_Code],$A1575,T_TTAFStock[WeekIndex],60),"")</f>
        <v/>
      </c>
      <c r="BM1581">
        <f>IFERROR(SUMIFS(T_TTAFStock[TTAF_Qty],T_TTAFStock[RM_Code],$A1575,T_TTAFStock[WeekIndex],61),"")</f>
        <v/>
      </c>
      <c r="BN1581">
        <f>IFERROR(SUMIFS(T_TTAFStock[TTAF_Qty],T_TTAFStock[RM_Code],$A1575,T_TTAFStock[WeekIndex],62),"")</f>
        <v/>
      </c>
      <c r="BO1581">
        <f>IFERROR(SUMIFS(T_TTAFStock[TTAF_Qty],T_TTAFStock[RM_Code],$A1575,T_TTAFStock[WeekIndex],63),"")</f>
        <v/>
      </c>
      <c r="BP1581">
        <f>IFERROR(SUMIFS(T_TTAFStock[TTAF_Qty],T_TTAFStock[RM_Code],$A1575,T_TTAFStock[WeekIndex],64),"")</f>
        <v/>
      </c>
      <c r="BQ1581">
        <f>IFERROR(SUMIFS(T_TTAFStock[TTAF_Qty],T_TTAFStock[RM_Code],$A1575,T_TTAFStock[WeekIndex],65),"")</f>
        <v/>
      </c>
      <c r="BR1581">
        <f>IFERROR(SUMIFS(T_TTAFStock[TTAF_Qty],T_TTAFStock[RM_Code],$A1575,T_TTAFStock[WeekIndex],66),"")</f>
        <v/>
      </c>
      <c r="BS1581">
        <f>IFERROR(SUMIFS(T_TTAFStock[TTAF_Qty],T_TTAFStock[RM_Code],$A1575,T_TTAFStock[WeekIndex],67),"")</f>
        <v/>
      </c>
      <c r="BT1581">
        <f>IFERROR(SUMIFS(T_TTAFStock[TTAF_Qty],T_TTAFStock[RM_Code],$A1575,T_TTAFStock[WeekIndex],68),"")</f>
        <v/>
      </c>
      <c r="BU1581">
        <f>IFERROR(SUMIFS(T_TTAFStock[TTAF_Qty],T_TTAFStock[RM_Code],$A1575,T_TTAFStock[WeekIndex],69),"")</f>
        <v/>
      </c>
      <c r="BV1581">
        <f>IFERROR(SUMIFS(T_TTAFStock[TTAF_Qty],T_TTAFStock[RM_Code],$A1575,T_TTAFStock[WeekIndex],70),"")</f>
        <v/>
      </c>
      <c r="BW1581">
        <f>IFERROR(SUMIFS(T_TTAFStock[TTAF_Qty],T_TTAFStock[RM_Code],$A1575,T_TTAFStock[WeekIndex],71),"")</f>
        <v/>
      </c>
      <c r="BX1581">
        <f>IFERROR(SUMIFS(T_TTAFStock[TTAF_Qty],T_TTAFStock[RM_Code],$A1575,T_TTAFStock[WeekIndex],72),"")</f>
        <v/>
      </c>
      <c r="BY1581">
        <f>IFERROR(SUMIFS(T_TTAFStock[TTAF_Qty],T_TTAFStock[RM_Code],$A1575,T_TTAFStock[WeekIndex],73),"")</f>
        <v/>
      </c>
      <c r="BZ1581">
        <f>IFERROR(SUMIFS(T_TTAFStock[TTAF_Qty],T_TTAFStock[RM_Code],$A1575,T_TTAFStock[WeekIndex],74),"")</f>
        <v/>
      </c>
      <c r="CA1581">
        <f>IFERROR(SUMIFS(T_TTAFStock[TTAF_Qty],T_TTAFStock[RM_Code],$A1575,T_TTAFStock[WeekIndex],75),"")</f>
        <v/>
      </c>
      <c r="CB1581">
        <f>IFERROR(SUMIFS(T_TTAFStock[TTAF_Qty],T_TTAFStock[RM_Code],$A1575,T_TTAFStock[WeekIndex],76),"")</f>
        <v/>
      </c>
      <c r="CC1581">
        <f>IFERROR(SUMIFS(T_TTAFStock[TTAF_Qty],T_TTAFStock[RM_Code],$A1575,T_TTAFStock[WeekIndex],77),"")</f>
        <v/>
      </c>
      <c r="CD1581">
        <f>IFERROR(SUMIFS(T_TTAFStock[TTAF_Qty],T_TTAFStock[RM_Code],$A1575,T_TTAFStock[WeekIndex],78),"")</f>
        <v/>
      </c>
      <c r="CE1581">
        <f>IFERROR(SUMIFS(T_TTAFStock[TTAF_Qty],T_TTAFStock[RM_Code],$A1575,T_TTAFStock[WeekIndex],79),"")</f>
        <v/>
      </c>
      <c r="CF1581">
        <f>IFERROR(SUMIFS(T_TTAFStock[TTAF_Qty],T_TTAFStock[RM_Code],$A1575,T_TTAFStock[WeekIndex],80),"")</f>
        <v/>
      </c>
      <c r="CG1581">
        <f>IFERROR(SUMIFS(T_TTAFStock[TTAF_Qty],T_TTAFStock[RM_Code],$A1575,T_TTAFStock[WeekIndex],81),"")</f>
        <v/>
      </c>
      <c r="CH1581">
        <f>IFERROR(SUMIFS(T_TTAFStock[TTAF_Qty],T_TTAFStock[RM_Code],$A1575,T_TTAFStock[WeekIndex],82),"")</f>
        <v/>
      </c>
      <c r="CI1581">
        <f>IFERROR(SUMIFS(T_TTAFStock[TTAF_Qty],T_TTAFStock[RM_Code],$A1575,T_TTAFStock[WeekIndex],83),"")</f>
        <v/>
      </c>
      <c r="CJ1581">
        <f>IFERROR(SUMIFS(T_TTAFStock[TTAF_Qty],T_TTAFStock[RM_Code],$A1575,T_TTAFStock[WeekIndex],84),"")</f>
        <v/>
      </c>
      <c r="CK1581">
        <f>IFERROR(SUMIFS(T_TTAFStock[TTAF_Qty],T_TTAFStock[RM_Code],$A1575,T_TTAFStock[WeekIndex],85),"")</f>
        <v/>
      </c>
      <c r="CL1581">
        <f>IFERROR(SUMIFS(T_TTAFStock[TTAF_Qty],T_TTAFStock[RM_Code],$A1575,T_TTAFStock[WeekIndex],86),"")</f>
        <v/>
      </c>
      <c r="CM1581">
        <f>IFERROR(SUMIFS(T_TTAFStock[TTAF_Qty],T_TTAFStock[RM_Code],$A1575,T_TTAFStock[WeekIndex],87),"")</f>
        <v/>
      </c>
      <c r="CN1581">
        <f>IFERROR(SUMIFS(T_TTAFStock[TTAF_Qty],T_TTAFStock[RM_Code],$A1575,T_TTAFStock[WeekIndex],88),"")</f>
        <v/>
      </c>
      <c r="CO1581">
        <f>IFERROR(SUMIFS(T_TTAFStock[TTAF_Qty],T_TTAFStock[RM_Code],$A1575,T_TTAFStock[WeekIndex],89),"")</f>
        <v/>
      </c>
      <c r="CP1581">
        <f>IFERROR(SUMIFS(T_TTAFStock[TTAF_Qty],T_TTAFStock[RM_Code],$A1575,T_TTAFStock[WeekIndex],90),"")</f>
        <v/>
      </c>
      <c r="CQ1581">
        <f>IFERROR(SUMIFS(T_TTAFStock[TTAF_Qty],T_TTAFStock[RM_Code],$A1575,T_TTAFStock[WeekIndex],91),"")</f>
        <v/>
      </c>
      <c r="CR1581">
        <f>IFERROR(SUMIFS(T_TTAFStock[TTAF_Qty],T_TTAFStock[RM_Code],$A1575,T_TTAFStock[WeekIndex],92),"")</f>
        <v/>
      </c>
      <c r="CS1581">
        <f>IFERROR(SUMIFS(T_TTAFStock[TTAF_Qty],T_TTAFStock[RM_Code],$A1575,T_TTAFStock[WeekIndex],93),"")</f>
        <v/>
      </c>
      <c r="CT1581">
        <f>IFERROR(SUMIFS(T_TTAFStock[TTAF_Qty],T_TTAFStock[RM_Code],$A1575,T_TTAFStock[WeekIndex],94),"")</f>
        <v/>
      </c>
      <c r="CU1581">
        <f>IFERROR(SUMIFS(T_TTAFStock[TTAF_Qty],T_TTAFStock[RM_Code],$A1575,T_TTAFStock[WeekIndex],95),"")</f>
        <v/>
      </c>
      <c r="CV1581">
        <f>IFERROR(SUMIFS(T_TTAFStock[TTAF_Qty],T_TTAFStock[RM_Code],$A1575,T_TTAFStock[WeekIndex],96),"")</f>
        <v/>
      </c>
      <c r="CW1581">
        <f>IFERROR(SUMIFS(T_TTAFStock[TTAF_Qty],T_TTAFStock[RM_Code],$A1575,T_TTAFStock[WeekIndex],97),"")</f>
        <v/>
      </c>
      <c r="CX1581">
        <f>IFERROR(SUMIFS(T_TTAFStock[TTAF_Qty],T_TTAFStock[RM_Code],$A1575,T_TTAFStock[WeekIndex],98),"")</f>
        <v/>
      </c>
      <c r="CY1581">
        <f>IFERROR(SUMIFS(T_TTAFStock[TTAF_Qty],T_TTAFStock[RM_Code],$A1575,T_TTAFStock[WeekIndex],99),"")</f>
        <v/>
      </c>
      <c r="CZ1581">
        <f>IFERROR(SUMIFS(T_TTAFStock[TTAF_Qty],T_TTAFStock[RM_Code],$A1575,T_TTAFStock[WeekIndex],100),"")</f>
        <v/>
      </c>
      <c r="DA1581">
        <f>IFERROR(SUMIFS(T_TTAFStock[TTAF_Qty],T_TTAFStock[RM_Code],$A1575,T_TTAFStock[WeekIndex],101),"")</f>
        <v/>
      </c>
      <c r="DB1581">
        <f>IFERROR(SUMIFS(T_TTAFStock[TTAF_Qty],T_TTAFStock[RM_Code],$A1575,T_TTAFStock[WeekIndex],102),"")</f>
        <v/>
      </c>
      <c r="DC1581">
        <f>IFERROR(SUMIFS(T_TTAFStock[TTAF_Qty],T_TTAFStock[RM_Code],$A1575,T_TTAFStock[WeekIndex],103),"")</f>
        <v/>
      </c>
      <c r="DD1581">
        <f>IFERROR(SUMIFS(T_TTAFStock[TTAF_Qty],T_TTAFStock[RM_Code],$A1575,T_TTAFStock[WeekIndex],104),"")</f>
        <v/>
      </c>
    </row>
    <row r="1582">
      <c r="B1582" t="inlineStr">
        <is>
          <t>自社在庫(実績,kg)</t>
        </is>
      </c>
      <c r="D1582">
        <f>IFERROR(INDEX(E1582:DD1582,$F$1),"")</f>
        <v/>
      </c>
      <c r="E1582">
        <f>IFERROR(SUMIFS(T_SelfStock[Self_Qty],T_SelfStock[RM_Code],$A1575,T_SelfStock[WeekIndex],1),"")</f>
        <v/>
      </c>
      <c r="F1582">
        <f>IFERROR(SUMIFS(T_SelfStock[Self_Qty],T_SelfStock[RM_Code],$A1575,T_SelfStock[WeekIndex],2),"")</f>
        <v/>
      </c>
      <c r="G1582">
        <f>IFERROR(SUMIFS(T_SelfStock[Self_Qty],T_SelfStock[RM_Code],$A1575,T_SelfStock[WeekIndex],3),"")</f>
        <v/>
      </c>
      <c r="H1582">
        <f>IFERROR(SUMIFS(T_SelfStock[Self_Qty],T_SelfStock[RM_Code],$A1575,T_SelfStock[WeekIndex],4),"")</f>
        <v/>
      </c>
      <c r="I1582">
        <f>IFERROR(SUMIFS(T_SelfStock[Self_Qty],T_SelfStock[RM_Code],$A1575,T_SelfStock[WeekIndex],5),"")</f>
        <v/>
      </c>
      <c r="J1582">
        <f>IFERROR(SUMIFS(T_SelfStock[Self_Qty],T_SelfStock[RM_Code],$A1575,T_SelfStock[WeekIndex],6),"")</f>
        <v/>
      </c>
      <c r="K1582">
        <f>IFERROR(SUMIFS(T_SelfStock[Self_Qty],T_SelfStock[RM_Code],$A1575,T_SelfStock[WeekIndex],7),"")</f>
        <v/>
      </c>
      <c r="L1582">
        <f>IFERROR(SUMIFS(T_SelfStock[Self_Qty],T_SelfStock[RM_Code],$A1575,T_SelfStock[WeekIndex],8),"")</f>
        <v/>
      </c>
      <c r="M1582">
        <f>IFERROR(SUMIFS(T_SelfStock[Self_Qty],T_SelfStock[RM_Code],$A1575,T_SelfStock[WeekIndex],9),"")</f>
        <v/>
      </c>
      <c r="N1582">
        <f>IFERROR(SUMIFS(T_SelfStock[Self_Qty],T_SelfStock[RM_Code],$A1575,T_SelfStock[WeekIndex],10),"")</f>
        <v/>
      </c>
      <c r="O1582">
        <f>IFERROR(SUMIFS(T_SelfStock[Self_Qty],T_SelfStock[RM_Code],$A1575,T_SelfStock[WeekIndex],11),"")</f>
        <v/>
      </c>
      <c r="P1582">
        <f>IFERROR(SUMIFS(T_SelfStock[Self_Qty],T_SelfStock[RM_Code],$A1575,T_SelfStock[WeekIndex],12),"")</f>
        <v/>
      </c>
      <c r="Q1582">
        <f>IFERROR(SUMIFS(T_SelfStock[Self_Qty],T_SelfStock[RM_Code],$A1575,T_SelfStock[WeekIndex],13),"")</f>
        <v/>
      </c>
      <c r="R1582">
        <f>IFERROR(SUMIFS(T_SelfStock[Self_Qty],T_SelfStock[RM_Code],$A1575,T_SelfStock[WeekIndex],14),"")</f>
        <v/>
      </c>
      <c r="S1582">
        <f>IFERROR(SUMIFS(T_SelfStock[Self_Qty],T_SelfStock[RM_Code],$A1575,T_SelfStock[WeekIndex],15),"")</f>
        <v/>
      </c>
      <c r="T1582">
        <f>IFERROR(SUMIFS(T_SelfStock[Self_Qty],T_SelfStock[RM_Code],$A1575,T_SelfStock[WeekIndex],16),"")</f>
        <v/>
      </c>
      <c r="U1582">
        <f>IFERROR(SUMIFS(T_SelfStock[Self_Qty],T_SelfStock[RM_Code],$A1575,T_SelfStock[WeekIndex],17),"")</f>
        <v/>
      </c>
      <c r="V1582">
        <f>IFERROR(SUMIFS(T_SelfStock[Self_Qty],T_SelfStock[RM_Code],$A1575,T_SelfStock[WeekIndex],18),"")</f>
        <v/>
      </c>
      <c r="W1582">
        <f>IFERROR(SUMIFS(T_SelfStock[Self_Qty],T_SelfStock[RM_Code],$A1575,T_SelfStock[WeekIndex],19),"")</f>
        <v/>
      </c>
      <c r="X1582">
        <f>IFERROR(SUMIFS(T_SelfStock[Self_Qty],T_SelfStock[RM_Code],$A1575,T_SelfStock[WeekIndex],20),"")</f>
        <v/>
      </c>
      <c r="Y1582">
        <f>IFERROR(SUMIFS(T_SelfStock[Self_Qty],T_SelfStock[RM_Code],$A1575,T_SelfStock[WeekIndex],21),"")</f>
        <v/>
      </c>
      <c r="Z1582">
        <f>IFERROR(SUMIFS(T_SelfStock[Self_Qty],T_SelfStock[RM_Code],$A1575,T_SelfStock[WeekIndex],22),"")</f>
        <v/>
      </c>
      <c r="AA1582">
        <f>IFERROR(SUMIFS(T_SelfStock[Self_Qty],T_SelfStock[RM_Code],$A1575,T_SelfStock[WeekIndex],23),"")</f>
        <v/>
      </c>
      <c r="AB1582">
        <f>IFERROR(SUMIFS(T_SelfStock[Self_Qty],T_SelfStock[RM_Code],$A1575,T_SelfStock[WeekIndex],24),"")</f>
        <v/>
      </c>
      <c r="AC1582">
        <f>IFERROR(SUMIFS(T_SelfStock[Self_Qty],T_SelfStock[RM_Code],$A1575,T_SelfStock[WeekIndex],25),"")</f>
        <v/>
      </c>
      <c r="AD1582">
        <f>IFERROR(SUMIFS(T_SelfStock[Self_Qty],T_SelfStock[RM_Code],$A1575,T_SelfStock[WeekIndex],26),"")</f>
        <v/>
      </c>
      <c r="AE1582">
        <f>IFERROR(SUMIFS(T_SelfStock[Self_Qty],T_SelfStock[RM_Code],$A1575,T_SelfStock[WeekIndex],27),"")</f>
        <v/>
      </c>
      <c r="AF1582">
        <f>IFERROR(SUMIFS(T_SelfStock[Self_Qty],T_SelfStock[RM_Code],$A1575,T_SelfStock[WeekIndex],28),"")</f>
        <v/>
      </c>
      <c r="AG1582">
        <f>IFERROR(SUMIFS(T_SelfStock[Self_Qty],T_SelfStock[RM_Code],$A1575,T_SelfStock[WeekIndex],29),"")</f>
        <v/>
      </c>
      <c r="AH1582">
        <f>IFERROR(SUMIFS(T_SelfStock[Self_Qty],T_SelfStock[RM_Code],$A1575,T_SelfStock[WeekIndex],30),"")</f>
        <v/>
      </c>
      <c r="AI1582">
        <f>IFERROR(SUMIFS(T_SelfStock[Self_Qty],T_SelfStock[RM_Code],$A1575,T_SelfStock[WeekIndex],31),"")</f>
        <v/>
      </c>
      <c r="AJ1582">
        <f>IFERROR(SUMIFS(T_SelfStock[Self_Qty],T_SelfStock[RM_Code],$A1575,T_SelfStock[WeekIndex],32),"")</f>
        <v/>
      </c>
      <c r="AK1582">
        <f>IFERROR(SUMIFS(T_SelfStock[Self_Qty],T_SelfStock[RM_Code],$A1575,T_SelfStock[WeekIndex],33),"")</f>
        <v/>
      </c>
      <c r="AL1582">
        <f>IFERROR(SUMIFS(T_SelfStock[Self_Qty],T_SelfStock[RM_Code],$A1575,T_SelfStock[WeekIndex],34),"")</f>
        <v/>
      </c>
      <c r="AM1582">
        <f>IFERROR(SUMIFS(T_SelfStock[Self_Qty],T_SelfStock[RM_Code],$A1575,T_SelfStock[WeekIndex],35),"")</f>
        <v/>
      </c>
      <c r="AN1582">
        <f>IFERROR(SUMIFS(T_SelfStock[Self_Qty],T_SelfStock[RM_Code],$A1575,T_SelfStock[WeekIndex],36),"")</f>
        <v/>
      </c>
      <c r="AO1582">
        <f>IFERROR(SUMIFS(T_SelfStock[Self_Qty],T_SelfStock[RM_Code],$A1575,T_SelfStock[WeekIndex],37),"")</f>
        <v/>
      </c>
      <c r="AP1582">
        <f>IFERROR(SUMIFS(T_SelfStock[Self_Qty],T_SelfStock[RM_Code],$A1575,T_SelfStock[WeekIndex],38),"")</f>
        <v/>
      </c>
      <c r="AQ1582">
        <f>IFERROR(SUMIFS(T_SelfStock[Self_Qty],T_SelfStock[RM_Code],$A1575,T_SelfStock[WeekIndex],39),"")</f>
        <v/>
      </c>
      <c r="AR1582">
        <f>IFERROR(SUMIFS(T_SelfStock[Self_Qty],T_SelfStock[RM_Code],$A1575,T_SelfStock[WeekIndex],40),"")</f>
        <v/>
      </c>
      <c r="AS1582">
        <f>IFERROR(SUMIFS(T_SelfStock[Self_Qty],T_SelfStock[RM_Code],$A1575,T_SelfStock[WeekIndex],41),"")</f>
        <v/>
      </c>
      <c r="AT1582">
        <f>IFERROR(SUMIFS(T_SelfStock[Self_Qty],T_SelfStock[RM_Code],$A1575,T_SelfStock[WeekIndex],42),"")</f>
        <v/>
      </c>
      <c r="AU1582">
        <f>IFERROR(SUMIFS(T_SelfStock[Self_Qty],T_SelfStock[RM_Code],$A1575,T_SelfStock[WeekIndex],43),"")</f>
        <v/>
      </c>
      <c r="AV1582">
        <f>IFERROR(SUMIFS(T_SelfStock[Self_Qty],T_SelfStock[RM_Code],$A1575,T_SelfStock[WeekIndex],44),"")</f>
        <v/>
      </c>
      <c r="AW1582">
        <f>IFERROR(SUMIFS(T_SelfStock[Self_Qty],T_SelfStock[RM_Code],$A1575,T_SelfStock[WeekIndex],45),"")</f>
        <v/>
      </c>
      <c r="AX1582">
        <f>IFERROR(SUMIFS(T_SelfStock[Self_Qty],T_SelfStock[RM_Code],$A1575,T_SelfStock[WeekIndex],46),"")</f>
        <v/>
      </c>
      <c r="AY1582">
        <f>IFERROR(SUMIFS(T_SelfStock[Self_Qty],T_SelfStock[RM_Code],$A1575,T_SelfStock[WeekIndex],47),"")</f>
        <v/>
      </c>
      <c r="AZ1582">
        <f>IFERROR(SUMIFS(T_SelfStock[Self_Qty],T_SelfStock[RM_Code],$A1575,T_SelfStock[WeekIndex],48),"")</f>
        <v/>
      </c>
      <c r="BA1582">
        <f>IFERROR(SUMIFS(T_SelfStock[Self_Qty],T_SelfStock[RM_Code],$A1575,T_SelfStock[WeekIndex],49),"")</f>
        <v/>
      </c>
      <c r="BB1582">
        <f>IFERROR(SUMIFS(T_SelfStock[Self_Qty],T_SelfStock[RM_Code],$A1575,T_SelfStock[WeekIndex],50),"")</f>
        <v/>
      </c>
      <c r="BC1582">
        <f>IFERROR(SUMIFS(T_SelfStock[Self_Qty],T_SelfStock[RM_Code],$A1575,T_SelfStock[WeekIndex],51),"")</f>
        <v/>
      </c>
      <c r="BD1582">
        <f>IFERROR(SUMIFS(T_SelfStock[Self_Qty],T_SelfStock[RM_Code],$A1575,T_SelfStock[WeekIndex],52),"")</f>
        <v/>
      </c>
      <c r="BE1582">
        <f>IFERROR(SUMIFS(T_SelfStock[Self_Qty],T_SelfStock[RM_Code],$A1575,T_SelfStock[WeekIndex],53),"")</f>
        <v/>
      </c>
      <c r="BF1582">
        <f>IFERROR(SUMIFS(T_SelfStock[Self_Qty],T_SelfStock[RM_Code],$A1575,T_SelfStock[WeekIndex],54),"")</f>
        <v/>
      </c>
      <c r="BG1582">
        <f>IFERROR(SUMIFS(T_SelfStock[Self_Qty],T_SelfStock[RM_Code],$A1575,T_SelfStock[WeekIndex],55),"")</f>
        <v/>
      </c>
      <c r="BH1582">
        <f>IFERROR(SUMIFS(T_SelfStock[Self_Qty],T_SelfStock[RM_Code],$A1575,T_SelfStock[WeekIndex],56),"")</f>
        <v/>
      </c>
      <c r="BI1582">
        <f>IFERROR(SUMIFS(T_SelfStock[Self_Qty],T_SelfStock[RM_Code],$A1575,T_SelfStock[WeekIndex],57),"")</f>
        <v/>
      </c>
      <c r="BJ1582">
        <f>IFERROR(SUMIFS(T_SelfStock[Self_Qty],T_SelfStock[RM_Code],$A1575,T_SelfStock[WeekIndex],58),"")</f>
        <v/>
      </c>
      <c r="BK1582">
        <f>IFERROR(SUMIFS(T_SelfStock[Self_Qty],T_SelfStock[RM_Code],$A1575,T_SelfStock[WeekIndex],59),"")</f>
        <v/>
      </c>
      <c r="BL1582">
        <f>IFERROR(SUMIFS(T_SelfStock[Self_Qty],T_SelfStock[RM_Code],$A1575,T_SelfStock[WeekIndex],60),"")</f>
        <v/>
      </c>
      <c r="BM1582">
        <f>IFERROR(SUMIFS(T_SelfStock[Self_Qty],T_SelfStock[RM_Code],$A1575,T_SelfStock[WeekIndex],61),"")</f>
        <v/>
      </c>
      <c r="BN1582">
        <f>IFERROR(SUMIFS(T_SelfStock[Self_Qty],T_SelfStock[RM_Code],$A1575,T_SelfStock[WeekIndex],62),"")</f>
        <v/>
      </c>
      <c r="BO1582">
        <f>IFERROR(SUMIFS(T_SelfStock[Self_Qty],T_SelfStock[RM_Code],$A1575,T_SelfStock[WeekIndex],63),"")</f>
        <v/>
      </c>
      <c r="BP1582">
        <f>IFERROR(SUMIFS(T_SelfStock[Self_Qty],T_SelfStock[RM_Code],$A1575,T_SelfStock[WeekIndex],64),"")</f>
        <v/>
      </c>
      <c r="BQ1582">
        <f>IFERROR(SUMIFS(T_SelfStock[Self_Qty],T_SelfStock[RM_Code],$A1575,T_SelfStock[WeekIndex],65),"")</f>
        <v/>
      </c>
      <c r="BR1582">
        <f>IFERROR(SUMIFS(T_SelfStock[Self_Qty],T_SelfStock[RM_Code],$A1575,T_SelfStock[WeekIndex],66),"")</f>
        <v/>
      </c>
      <c r="BS1582">
        <f>IFERROR(SUMIFS(T_SelfStock[Self_Qty],T_SelfStock[RM_Code],$A1575,T_SelfStock[WeekIndex],67),"")</f>
        <v/>
      </c>
      <c r="BT1582">
        <f>IFERROR(SUMIFS(T_SelfStock[Self_Qty],T_SelfStock[RM_Code],$A1575,T_SelfStock[WeekIndex],68),"")</f>
        <v/>
      </c>
      <c r="BU1582">
        <f>IFERROR(SUMIFS(T_SelfStock[Self_Qty],T_SelfStock[RM_Code],$A1575,T_SelfStock[WeekIndex],69),"")</f>
        <v/>
      </c>
      <c r="BV1582">
        <f>IFERROR(SUMIFS(T_SelfStock[Self_Qty],T_SelfStock[RM_Code],$A1575,T_SelfStock[WeekIndex],70),"")</f>
        <v/>
      </c>
      <c r="BW1582">
        <f>IFERROR(SUMIFS(T_SelfStock[Self_Qty],T_SelfStock[RM_Code],$A1575,T_SelfStock[WeekIndex],71),"")</f>
        <v/>
      </c>
      <c r="BX1582">
        <f>IFERROR(SUMIFS(T_SelfStock[Self_Qty],T_SelfStock[RM_Code],$A1575,T_SelfStock[WeekIndex],72),"")</f>
        <v/>
      </c>
      <c r="BY1582">
        <f>IFERROR(SUMIFS(T_SelfStock[Self_Qty],T_SelfStock[RM_Code],$A1575,T_SelfStock[WeekIndex],73),"")</f>
        <v/>
      </c>
      <c r="BZ1582">
        <f>IFERROR(SUMIFS(T_SelfStock[Self_Qty],T_SelfStock[RM_Code],$A1575,T_SelfStock[WeekIndex],74),"")</f>
        <v/>
      </c>
      <c r="CA1582">
        <f>IFERROR(SUMIFS(T_SelfStock[Self_Qty],T_SelfStock[RM_Code],$A1575,T_SelfStock[WeekIndex],75),"")</f>
        <v/>
      </c>
      <c r="CB1582">
        <f>IFERROR(SUMIFS(T_SelfStock[Self_Qty],T_SelfStock[RM_Code],$A1575,T_SelfStock[WeekIndex],76),"")</f>
        <v/>
      </c>
      <c r="CC1582">
        <f>IFERROR(SUMIFS(T_SelfStock[Self_Qty],T_SelfStock[RM_Code],$A1575,T_SelfStock[WeekIndex],77),"")</f>
        <v/>
      </c>
      <c r="CD1582">
        <f>IFERROR(SUMIFS(T_SelfStock[Self_Qty],T_SelfStock[RM_Code],$A1575,T_SelfStock[WeekIndex],78),"")</f>
        <v/>
      </c>
      <c r="CE1582">
        <f>IFERROR(SUMIFS(T_SelfStock[Self_Qty],T_SelfStock[RM_Code],$A1575,T_SelfStock[WeekIndex],79),"")</f>
        <v/>
      </c>
      <c r="CF1582">
        <f>IFERROR(SUMIFS(T_SelfStock[Self_Qty],T_SelfStock[RM_Code],$A1575,T_SelfStock[WeekIndex],80),"")</f>
        <v/>
      </c>
      <c r="CG1582">
        <f>IFERROR(SUMIFS(T_SelfStock[Self_Qty],T_SelfStock[RM_Code],$A1575,T_SelfStock[WeekIndex],81),"")</f>
        <v/>
      </c>
      <c r="CH1582">
        <f>IFERROR(SUMIFS(T_SelfStock[Self_Qty],T_SelfStock[RM_Code],$A1575,T_SelfStock[WeekIndex],82),"")</f>
        <v/>
      </c>
      <c r="CI1582">
        <f>IFERROR(SUMIFS(T_SelfStock[Self_Qty],T_SelfStock[RM_Code],$A1575,T_SelfStock[WeekIndex],83),"")</f>
        <v/>
      </c>
      <c r="CJ1582">
        <f>IFERROR(SUMIFS(T_SelfStock[Self_Qty],T_SelfStock[RM_Code],$A1575,T_SelfStock[WeekIndex],84),"")</f>
        <v/>
      </c>
      <c r="CK1582">
        <f>IFERROR(SUMIFS(T_SelfStock[Self_Qty],T_SelfStock[RM_Code],$A1575,T_SelfStock[WeekIndex],85),"")</f>
        <v/>
      </c>
      <c r="CL1582">
        <f>IFERROR(SUMIFS(T_SelfStock[Self_Qty],T_SelfStock[RM_Code],$A1575,T_SelfStock[WeekIndex],86),"")</f>
        <v/>
      </c>
      <c r="CM1582">
        <f>IFERROR(SUMIFS(T_SelfStock[Self_Qty],T_SelfStock[RM_Code],$A1575,T_SelfStock[WeekIndex],87),"")</f>
        <v/>
      </c>
      <c r="CN1582">
        <f>IFERROR(SUMIFS(T_SelfStock[Self_Qty],T_SelfStock[RM_Code],$A1575,T_SelfStock[WeekIndex],88),"")</f>
        <v/>
      </c>
      <c r="CO1582">
        <f>IFERROR(SUMIFS(T_SelfStock[Self_Qty],T_SelfStock[RM_Code],$A1575,T_SelfStock[WeekIndex],89),"")</f>
        <v/>
      </c>
      <c r="CP1582">
        <f>IFERROR(SUMIFS(T_SelfStock[Self_Qty],T_SelfStock[RM_Code],$A1575,T_SelfStock[WeekIndex],90),"")</f>
        <v/>
      </c>
      <c r="CQ1582">
        <f>IFERROR(SUMIFS(T_SelfStock[Self_Qty],T_SelfStock[RM_Code],$A1575,T_SelfStock[WeekIndex],91),"")</f>
        <v/>
      </c>
      <c r="CR1582">
        <f>IFERROR(SUMIFS(T_SelfStock[Self_Qty],T_SelfStock[RM_Code],$A1575,T_SelfStock[WeekIndex],92),"")</f>
        <v/>
      </c>
      <c r="CS1582">
        <f>IFERROR(SUMIFS(T_SelfStock[Self_Qty],T_SelfStock[RM_Code],$A1575,T_SelfStock[WeekIndex],93),"")</f>
        <v/>
      </c>
      <c r="CT1582">
        <f>IFERROR(SUMIFS(T_SelfStock[Self_Qty],T_SelfStock[RM_Code],$A1575,T_SelfStock[WeekIndex],94),"")</f>
        <v/>
      </c>
      <c r="CU1582">
        <f>IFERROR(SUMIFS(T_SelfStock[Self_Qty],T_SelfStock[RM_Code],$A1575,T_SelfStock[WeekIndex],95),"")</f>
        <v/>
      </c>
      <c r="CV1582">
        <f>IFERROR(SUMIFS(T_SelfStock[Self_Qty],T_SelfStock[RM_Code],$A1575,T_SelfStock[WeekIndex],96),"")</f>
        <v/>
      </c>
      <c r="CW1582">
        <f>IFERROR(SUMIFS(T_SelfStock[Self_Qty],T_SelfStock[RM_Code],$A1575,T_SelfStock[WeekIndex],97),"")</f>
        <v/>
      </c>
      <c r="CX1582">
        <f>IFERROR(SUMIFS(T_SelfStock[Self_Qty],T_SelfStock[RM_Code],$A1575,T_SelfStock[WeekIndex],98),"")</f>
        <v/>
      </c>
      <c r="CY1582">
        <f>IFERROR(SUMIFS(T_SelfStock[Self_Qty],T_SelfStock[RM_Code],$A1575,T_SelfStock[WeekIndex],99),"")</f>
        <v/>
      </c>
      <c r="CZ1582">
        <f>IFERROR(SUMIFS(T_SelfStock[Self_Qty],T_SelfStock[RM_Code],$A1575,T_SelfStock[WeekIndex],100),"")</f>
        <v/>
      </c>
      <c r="DA1582">
        <f>IFERROR(SUMIFS(T_SelfStock[Self_Qty],T_SelfStock[RM_Code],$A1575,T_SelfStock[WeekIndex],101),"")</f>
        <v/>
      </c>
      <c r="DB1582">
        <f>IFERROR(SUMIFS(T_SelfStock[Self_Qty],T_SelfStock[RM_Code],$A1575,T_SelfStock[WeekIndex],102),"")</f>
        <v/>
      </c>
      <c r="DC1582">
        <f>IFERROR(SUMIFS(T_SelfStock[Self_Qty],T_SelfStock[RM_Code],$A1575,T_SelfStock[WeekIndex],103),"")</f>
        <v/>
      </c>
      <c r="DD1582">
        <f>IFERROR(SUMIFS(T_SelfStock[Self_Qty],T_SelfStock[RM_Code],$A1575,T_SelfStock[WeekIndex],104),"")</f>
        <v/>
      </c>
    </row>
    <row r="1583">
      <c r="B1583" s="4" t="inlineStr">
        <is>
          <t>合計在庫(週末時点,kg)</t>
        </is>
      </c>
      <c r="D1583" s="24">
        <f>IFERROR(INDEX(E1583:DD1583,$F$1),"")</f>
        <v/>
      </c>
      <c r="E1583">
        <f>'Grid_Stock'!B95</f>
        <v/>
      </c>
      <c r="F1583">
        <f>'Grid_Stock'!C95</f>
        <v/>
      </c>
      <c r="G1583">
        <f>'Grid_Stock'!D95</f>
        <v/>
      </c>
      <c r="H1583">
        <f>'Grid_Stock'!E95</f>
        <v/>
      </c>
      <c r="I1583">
        <f>'Grid_Stock'!F95</f>
        <v/>
      </c>
      <c r="J1583">
        <f>'Grid_Stock'!G95</f>
        <v/>
      </c>
      <c r="K1583">
        <f>'Grid_Stock'!H95</f>
        <v/>
      </c>
      <c r="L1583">
        <f>'Grid_Stock'!I95</f>
        <v/>
      </c>
      <c r="M1583">
        <f>'Grid_Stock'!J95</f>
        <v/>
      </c>
      <c r="N1583">
        <f>'Grid_Stock'!K95</f>
        <v/>
      </c>
      <c r="O1583">
        <f>'Grid_Stock'!L95</f>
        <v/>
      </c>
      <c r="P1583">
        <f>'Grid_Stock'!M95</f>
        <v/>
      </c>
      <c r="Q1583">
        <f>'Grid_Stock'!N95</f>
        <v/>
      </c>
      <c r="R1583">
        <f>'Grid_Stock'!O95</f>
        <v/>
      </c>
      <c r="S1583">
        <f>'Grid_Stock'!P95</f>
        <v/>
      </c>
      <c r="T1583">
        <f>'Grid_Stock'!Q95</f>
        <v/>
      </c>
      <c r="U1583">
        <f>'Grid_Stock'!R95</f>
        <v/>
      </c>
      <c r="V1583">
        <f>'Grid_Stock'!S95</f>
        <v/>
      </c>
      <c r="W1583">
        <f>'Grid_Stock'!T95</f>
        <v/>
      </c>
      <c r="X1583">
        <f>'Grid_Stock'!U95</f>
        <v/>
      </c>
      <c r="Y1583">
        <f>'Grid_Stock'!V95</f>
        <v/>
      </c>
      <c r="Z1583">
        <f>'Grid_Stock'!W95</f>
        <v/>
      </c>
      <c r="AA1583">
        <f>'Grid_Stock'!X95</f>
        <v/>
      </c>
      <c r="AB1583">
        <f>'Grid_Stock'!Y95</f>
        <v/>
      </c>
      <c r="AC1583">
        <f>'Grid_Stock'!Z95</f>
        <v/>
      </c>
      <c r="AD1583">
        <f>'Grid_Stock'!AA95</f>
        <v/>
      </c>
      <c r="AE1583">
        <f>'Grid_Stock'!AB95</f>
        <v/>
      </c>
      <c r="AF1583">
        <f>'Grid_Stock'!AC95</f>
        <v/>
      </c>
      <c r="AG1583">
        <f>'Grid_Stock'!AD95</f>
        <v/>
      </c>
      <c r="AH1583">
        <f>'Grid_Stock'!AE95</f>
        <v/>
      </c>
      <c r="AI1583">
        <f>'Grid_Stock'!AF95</f>
        <v/>
      </c>
      <c r="AJ1583">
        <f>'Grid_Stock'!AG95</f>
        <v/>
      </c>
      <c r="AK1583">
        <f>'Grid_Stock'!AH95</f>
        <v/>
      </c>
      <c r="AL1583">
        <f>'Grid_Stock'!AI95</f>
        <v/>
      </c>
      <c r="AM1583">
        <f>'Grid_Stock'!AJ95</f>
        <v/>
      </c>
      <c r="AN1583">
        <f>'Grid_Stock'!AK95</f>
        <v/>
      </c>
      <c r="AO1583">
        <f>'Grid_Stock'!AL95</f>
        <v/>
      </c>
      <c r="AP1583">
        <f>'Grid_Stock'!AM95</f>
        <v/>
      </c>
      <c r="AQ1583">
        <f>'Grid_Stock'!AN95</f>
        <v/>
      </c>
      <c r="AR1583">
        <f>'Grid_Stock'!AO95</f>
        <v/>
      </c>
      <c r="AS1583">
        <f>'Grid_Stock'!AP95</f>
        <v/>
      </c>
      <c r="AT1583">
        <f>'Grid_Stock'!AQ95</f>
        <v/>
      </c>
      <c r="AU1583">
        <f>'Grid_Stock'!AR95</f>
        <v/>
      </c>
      <c r="AV1583">
        <f>'Grid_Stock'!AS95</f>
        <v/>
      </c>
      <c r="AW1583">
        <f>'Grid_Stock'!AT95</f>
        <v/>
      </c>
      <c r="AX1583">
        <f>'Grid_Stock'!AU95</f>
        <v/>
      </c>
      <c r="AY1583">
        <f>'Grid_Stock'!AV95</f>
        <v/>
      </c>
      <c r="AZ1583">
        <f>'Grid_Stock'!AW95</f>
        <v/>
      </c>
      <c r="BA1583">
        <f>'Grid_Stock'!AX95</f>
        <v/>
      </c>
      <c r="BB1583">
        <f>'Grid_Stock'!AY95</f>
        <v/>
      </c>
      <c r="BC1583">
        <f>'Grid_Stock'!AZ95</f>
        <v/>
      </c>
      <c r="BD1583">
        <f>'Grid_Stock'!BA95</f>
        <v/>
      </c>
      <c r="BE1583">
        <f>'Grid_Stock'!BB95</f>
        <v/>
      </c>
      <c r="BF1583">
        <f>'Grid_Stock'!BC95</f>
        <v/>
      </c>
      <c r="BG1583">
        <f>'Grid_Stock'!BD95</f>
        <v/>
      </c>
      <c r="BH1583">
        <f>'Grid_Stock'!BE95</f>
        <v/>
      </c>
      <c r="BI1583">
        <f>'Grid_Stock'!BF95</f>
        <v/>
      </c>
      <c r="BJ1583">
        <f>'Grid_Stock'!BG95</f>
        <v/>
      </c>
      <c r="BK1583">
        <f>'Grid_Stock'!BH95</f>
        <v/>
      </c>
      <c r="BL1583">
        <f>'Grid_Stock'!BI95</f>
        <v/>
      </c>
      <c r="BM1583">
        <f>'Grid_Stock'!BJ95</f>
        <v/>
      </c>
      <c r="BN1583">
        <f>'Grid_Stock'!BK95</f>
        <v/>
      </c>
      <c r="BO1583">
        <f>'Grid_Stock'!BL95</f>
        <v/>
      </c>
      <c r="BP1583">
        <f>'Grid_Stock'!BM95</f>
        <v/>
      </c>
      <c r="BQ1583">
        <f>'Grid_Stock'!BN95</f>
        <v/>
      </c>
      <c r="BR1583">
        <f>'Grid_Stock'!BO95</f>
        <v/>
      </c>
      <c r="BS1583">
        <f>'Grid_Stock'!BP95</f>
        <v/>
      </c>
      <c r="BT1583">
        <f>'Grid_Stock'!BQ95</f>
        <v/>
      </c>
      <c r="BU1583">
        <f>'Grid_Stock'!BR95</f>
        <v/>
      </c>
      <c r="BV1583">
        <f>'Grid_Stock'!BS95</f>
        <v/>
      </c>
      <c r="BW1583">
        <f>'Grid_Stock'!BT95</f>
        <v/>
      </c>
      <c r="BX1583">
        <f>'Grid_Stock'!BU95</f>
        <v/>
      </c>
      <c r="BY1583">
        <f>'Grid_Stock'!BV95</f>
        <v/>
      </c>
      <c r="BZ1583">
        <f>'Grid_Stock'!BW95</f>
        <v/>
      </c>
      <c r="CA1583">
        <f>'Grid_Stock'!BX95</f>
        <v/>
      </c>
      <c r="CB1583">
        <f>'Grid_Stock'!BY95</f>
        <v/>
      </c>
      <c r="CC1583">
        <f>'Grid_Stock'!BZ95</f>
        <v/>
      </c>
      <c r="CD1583">
        <f>'Grid_Stock'!CA95</f>
        <v/>
      </c>
      <c r="CE1583">
        <f>'Grid_Stock'!CB95</f>
        <v/>
      </c>
      <c r="CF1583">
        <f>'Grid_Stock'!CC95</f>
        <v/>
      </c>
      <c r="CG1583">
        <f>'Grid_Stock'!CD95</f>
        <v/>
      </c>
      <c r="CH1583">
        <f>'Grid_Stock'!CE95</f>
        <v/>
      </c>
      <c r="CI1583">
        <f>'Grid_Stock'!CF95</f>
        <v/>
      </c>
      <c r="CJ1583">
        <f>'Grid_Stock'!CG95</f>
        <v/>
      </c>
      <c r="CK1583">
        <f>'Grid_Stock'!CH95</f>
        <v/>
      </c>
      <c r="CL1583">
        <f>'Grid_Stock'!CI95</f>
        <v/>
      </c>
      <c r="CM1583">
        <f>'Grid_Stock'!CJ95</f>
        <v/>
      </c>
      <c r="CN1583">
        <f>'Grid_Stock'!CK95</f>
        <v/>
      </c>
      <c r="CO1583">
        <f>'Grid_Stock'!CL95</f>
        <v/>
      </c>
      <c r="CP1583">
        <f>'Grid_Stock'!CM95</f>
        <v/>
      </c>
      <c r="CQ1583">
        <f>'Grid_Stock'!CN95</f>
        <v/>
      </c>
      <c r="CR1583">
        <f>'Grid_Stock'!CO95</f>
        <v/>
      </c>
      <c r="CS1583">
        <f>'Grid_Stock'!CP95</f>
        <v/>
      </c>
      <c r="CT1583">
        <f>'Grid_Stock'!CQ95</f>
        <v/>
      </c>
      <c r="CU1583">
        <f>'Grid_Stock'!CR95</f>
        <v/>
      </c>
      <c r="CV1583">
        <f>'Grid_Stock'!CS95</f>
        <v/>
      </c>
      <c r="CW1583">
        <f>'Grid_Stock'!CT95</f>
        <v/>
      </c>
      <c r="CX1583">
        <f>'Grid_Stock'!CU95</f>
        <v/>
      </c>
      <c r="CY1583">
        <f>'Grid_Stock'!CV95</f>
        <v/>
      </c>
      <c r="CZ1583">
        <f>'Grid_Stock'!CW95</f>
        <v/>
      </c>
      <c r="DA1583">
        <f>'Grid_Stock'!CX95</f>
        <v/>
      </c>
      <c r="DB1583">
        <f>'Grid_Stock'!CY95</f>
        <v/>
      </c>
      <c r="DC1583">
        <f>'Grid_Stock'!CZ95</f>
        <v/>
      </c>
      <c r="DD1583">
        <f>'Grid_Stock'!DA95</f>
        <v/>
      </c>
    </row>
    <row r="1584">
      <c r="B1584" s="25" t="inlineStr">
        <is>
          <t>（発注の目安はDashboardの基準在庫[下限/上限]と色分けを参照）</t>
        </is>
      </c>
    </row>
    <row r="1586">
      <c r="A1586" s="21" t="inlineStr">
        <is>
          <t>CHEM-1680</t>
        </is>
      </c>
      <c r="B1586" s="21" t="inlineStr">
        <is>
          <t>NAT38</t>
        </is>
      </c>
      <c r="C1586" s="22" t="n"/>
      <c r="D1586" s="21" t="n"/>
      <c r="E1586" s="21" t="n"/>
      <c r="F1586" s="21" t="n"/>
      <c r="G1586" s="21" t="n"/>
      <c r="H1586" s="21" t="n"/>
      <c r="I1586" s="21" t="n"/>
      <c r="J1586" s="21" t="n"/>
      <c r="K1586" s="21" t="n"/>
      <c r="L1586" s="21" t="n"/>
      <c r="M1586" s="21" t="n"/>
      <c r="N1586" s="21" t="n"/>
      <c r="O1586" s="21" t="n"/>
      <c r="P1586" s="21" t="n"/>
      <c r="Q1586" s="21" t="n"/>
      <c r="R1586" s="21" t="n"/>
      <c r="S1586" s="21" t="n"/>
      <c r="T1586" s="21" t="n"/>
      <c r="U1586" s="21" t="n"/>
      <c r="V1586" s="21" t="n"/>
      <c r="W1586" s="21" t="n"/>
      <c r="X1586" s="21" t="n"/>
      <c r="Y1586" s="21" t="n"/>
      <c r="Z1586" s="21" t="n"/>
      <c r="AA1586" s="21" t="n"/>
      <c r="AB1586" s="21" t="n"/>
      <c r="AC1586" s="21" t="n"/>
      <c r="AD1586" s="21" t="n"/>
      <c r="AE1586" s="21" t="n"/>
      <c r="AF1586" s="21" t="n"/>
      <c r="AG1586" s="21" t="n"/>
      <c r="AH1586" s="21" t="n"/>
      <c r="AI1586" s="21" t="n"/>
      <c r="AJ1586" s="21" t="n"/>
      <c r="AK1586" s="21" t="n"/>
      <c r="AL1586" s="21" t="n"/>
      <c r="AM1586" s="21" t="n"/>
      <c r="AN1586" s="21" t="n"/>
      <c r="AO1586" s="21" t="n"/>
      <c r="AP1586" s="21" t="n"/>
      <c r="AQ1586" s="21" t="n"/>
      <c r="AR1586" s="21" t="n"/>
      <c r="AS1586" s="21" t="n"/>
      <c r="AT1586" s="21" t="n"/>
      <c r="AU1586" s="21" t="n"/>
      <c r="AV1586" s="21" t="n"/>
      <c r="AW1586" s="21" t="n"/>
      <c r="AX1586" s="21" t="n"/>
      <c r="AY1586" s="21" t="n"/>
      <c r="AZ1586" s="21" t="n"/>
      <c r="BA1586" s="21" t="n"/>
      <c r="BB1586" s="21" t="n"/>
      <c r="BC1586" s="21" t="n"/>
      <c r="BD1586" s="21" t="n"/>
      <c r="BE1586" s="21" t="n"/>
      <c r="BF1586" s="21" t="n"/>
      <c r="BG1586" s="21" t="n"/>
      <c r="BH1586" s="21" t="n"/>
      <c r="BI1586" s="21" t="n"/>
      <c r="BJ1586" s="21" t="n"/>
      <c r="BK1586" s="21" t="n"/>
      <c r="BL1586" s="21" t="n"/>
      <c r="BM1586" s="21" t="n"/>
      <c r="BN1586" s="21" t="n"/>
      <c r="BO1586" s="21" t="n"/>
      <c r="BP1586" s="21" t="n"/>
      <c r="BQ1586" s="21" t="n"/>
      <c r="BR1586" s="21" t="n"/>
      <c r="BS1586" s="21" t="n"/>
      <c r="BT1586" s="21" t="n"/>
      <c r="BU1586" s="21" t="n"/>
      <c r="BV1586" s="21" t="n"/>
      <c r="BW1586" s="21" t="n"/>
      <c r="BX1586" s="21" t="n"/>
      <c r="BY1586" s="21" t="n"/>
      <c r="BZ1586" s="21" t="n"/>
      <c r="CA1586" s="21" t="n"/>
      <c r="CB1586" s="21" t="n"/>
      <c r="CC1586" s="21" t="n"/>
      <c r="CD1586" s="21" t="n"/>
      <c r="CE1586" s="21" t="n"/>
      <c r="CF1586" s="21" t="n"/>
      <c r="CG1586" s="21" t="n"/>
      <c r="CH1586" s="21" t="n"/>
      <c r="CI1586" s="21" t="n"/>
      <c r="CJ1586" s="21" t="n"/>
      <c r="CK1586" s="21" t="n"/>
      <c r="CL1586" s="21" t="n"/>
      <c r="CM1586" s="21" t="n"/>
      <c r="CN1586" s="21" t="n"/>
      <c r="CO1586" s="21" t="n"/>
      <c r="CP1586" s="21" t="n"/>
      <c r="CQ1586" s="21" t="n"/>
      <c r="CR1586" s="21" t="n"/>
      <c r="CS1586" s="21" t="n"/>
      <c r="CT1586" s="21" t="n"/>
      <c r="CU1586" s="21" t="n"/>
      <c r="CV1586" s="21" t="n"/>
      <c r="CW1586" s="21" t="n"/>
      <c r="CX1586" s="21" t="n"/>
      <c r="CY1586" s="21" t="n"/>
      <c r="CZ1586" s="21" t="n"/>
      <c r="DA1586" s="21" t="n"/>
      <c r="DB1586" s="21" t="n"/>
      <c r="DC1586" s="21" t="n"/>
      <c r="DD1586" s="21" t="n"/>
    </row>
    <row r="1587">
      <c r="B1587" t="inlineStr">
        <is>
          <t>TPP-611</t>
        </is>
      </c>
      <c r="C1587" t="inlineStr">
        <is>
          <t>No. of batches</t>
        </is>
      </c>
      <c r="D1587">
        <f>IFERROR(INDEX(E1587:DD1587,$F$1),"")</f>
        <v/>
      </c>
      <c r="E1587">
        <f>IFERROR(INDEX(PP_Grid[#Data],$DE1587,2),0)</f>
        <v/>
      </c>
      <c r="F1587">
        <f>IFERROR(INDEX(PP_Grid[#Data],$DE1587,3),0)</f>
        <v/>
      </c>
      <c r="G1587">
        <f>IFERROR(INDEX(PP_Grid[#Data],$DE1587,4),0)</f>
        <v/>
      </c>
      <c r="H1587">
        <f>IFERROR(INDEX(PP_Grid[#Data],$DE1587,5),0)</f>
        <v/>
      </c>
      <c r="I1587">
        <f>IFERROR(INDEX(PP_Grid[#Data],$DE1587,6),0)</f>
        <v/>
      </c>
      <c r="J1587">
        <f>IFERROR(INDEX(PP_Grid[#Data],$DE1587,7),0)</f>
        <v/>
      </c>
      <c r="K1587">
        <f>IFERROR(INDEX(PP_Grid[#Data],$DE1587,8),0)</f>
        <v/>
      </c>
      <c r="L1587">
        <f>IFERROR(INDEX(PP_Grid[#Data],$DE1587,9),0)</f>
        <v/>
      </c>
      <c r="M1587">
        <f>IFERROR(INDEX(PP_Grid[#Data],$DE1587,10),0)</f>
        <v/>
      </c>
      <c r="N1587">
        <f>IFERROR(INDEX(PP_Grid[#Data],$DE1587,11),0)</f>
        <v/>
      </c>
      <c r="O1587">
        <f>IFERROR(INDEX(PP_Grid[#Data],$DE1587,12),0)</f>
        <v/>
      </c>
      <c r="P1587">
        <f>IFERROR(INDEX(PP_Grid[#Data],$DE1587,13),0)</f>
        <v/>
      </c>
      <c r="Q1587">
        <f>IFERROR(INDEX(PP_Grid[#Data],$DE1587,14),0)</f>
        <v/>
      </c>
      <c r="R1587">
        <f>IFERROR(INDEX(PP_Grid[#Data],$DE1587,15),0)</f>
        <v/>
      </c>
      <c r="S1587">
        <f>IFERROR(INDEX(PP_Grid[#Data],$DE1587,16),0)</f>
        <v/>
      </c>
      <c r="T1587">
        <f>IFERROR(INDEX(PP_Grid[#Data],$DE1587,17),0)</f>
        <v/>
      </c>
      <c r="U1587">
        <f>IFERROR(INDEX(PP_Grid[#Data],$DE1587,18),0)</f>
        <v/>
      </c>
      <c r="V1587">
        <f>IFERROR(INDEX(PP_Grid[#Data],$DE1587,19),0)</f>
        <v/>
      </c>
      <c r="W1587">
        <f>IFERROR(INDEX(PP_Grid[#Data],$DE1587,20),0)</f>
        <v/>
      </c>
      <c r="X1587">
        <f>IFERROR(INDEX(PP_Grid[#Data],$DE1587,21),0)</f>
        <v/>
      </c>
      <c r="Y1587">
        <f>IFERROR(INDEX(PP_Grid[#Data],$DE1587,22),0)</f>
        <v/>
      </c>
      <c r="Z1587">
        <f>IFERROR(INDEX(PP_Grid[#Data],$DE1587,23),0)</f>
        <v/>
      </c>
      <c r="AA1587">
        <f>IFERROR(INDEX(PP_Grid[#Data],$DE1587,24),0)</f>
        <v/>
      </c>
      <c r="AB1587">
        <f>IFERROR(INDEX(PP_Grid[#Data],$DE1587,25),0)</f>
        <v/>
      </c>
      <c r="AC1587">
        <f>IFERROR(INDEX(PP_Grid[#Data],$DE1587,26),0)</f>
        <v/>
      </c>
      <c r="AD1587">
        <f>IFERROR(INDEX(PP_Grid[#Data],$DE1587,27),0)</f>
        <v/>
      </c>
      <c r="AE1587">
        <f>IFERROR(INDEX(PP_Grid[#Data],$DE1587,28),0)</f>
        <v/>
      </c>
      <c r="AF1587">
        <f>IFERROR(INDEX(PP_Grid[#Data],$DE1587,29),0)</f>
        <v/>
      </c>
      <c r="AG1587">
        <f>IFERROR(INDEX(PP_Grid[#Data],$DE1587,30),0)</f>
        <v/>
      </c>
      <c r="AH1587">
        <f>IFERROR(INDEX(PP_Grid[#Data],$DE1587,31),0)</f>
        <v/>
      </c>
      <c r="AI1587">
        <f>IFERROR(INDEX(PP_Grid[#Data],$DE1587,32),0)</f>
        <v/>
      </c>
      <c r="AJ1587">
        <f>IFERROR(INDEX(PP_Grid[#Data],$DE1587,33),0)</f>
        <v/>
      </c>
      <c r="AK1587">
        <f>IFERROR(INDEX(PP_Grid[#Data],$DE1587,34),0)</f>
        <v/>
      </c>
      <c r="AL1587">
        <f>IFERROR(INDEX(PP_Grid[#Data],$DE1587,35),0)</f>
        <v/>
      </c>
      <c r="AM1587">
        <f>IFERROR(INDEX(PP_Grid[#Data],$DE1587,36),0)</f>
        <v/>
      </c>
      <c r="AN1587">
        <f>IFERROR(INDEX(PP_Grid[#Data],$DE1587,37),0)</f>
        <v/>
      </c>
      <c r="AO1587">
        <f>IFERROR(INDEX(PP_Grid[#Data],$DE1587,38),0)</f>
        <v/>
      </c>
      <c r="AP1587">
        <f>IFERROR(INDEX(PP_Grid[#Data],$DE1587,39),0)</f>
        <v/>
      </c>
      <c r="AQ1587">
        <f>IFERROR(INDEX(PP_Grid[#Data],$DE1587,40),0)</f>
        <v/>
      </c>
      <c r="AR1587">
        <f>IFERROR(INDEX(PP_Grid[#Data],$DE1587,41),0)</f>
        <v/>
      </c>
      <c r="AS1587">
        <f>IFERROR(INDEX(PP_Grid[#Data],$DE1587,42),0)</f>
        <v/>
      </c>
      <c r="AT1587">
        <f>IFERROR(INDEX(PP_Grid[#Data],$DE1587,43),0)</f>
        <v/>
      </c>
      <c r="AU1587">
        <f>IFERROR(INDEX(PP_Grid[#Data],$DE1587,44),0)</f>
        <v/>
      </c>
      <c r="AV1587">
        <f>IFERROR(INDEX(PP_Grid[#Data],$DE1587,45),0)</f>
        <v/>
      </c>
      <c r="AW1587">
        <f>IFERROR(INDEX(PP_Grid[#Data],$DE1587,46),0)</f>
        <v/>
      </c>
      <c r="AX1587">
        <f>IFERROR(INDEX(PP_Grid[#Data],$DE1587,47),0)</f>
        <v/>
      </c>
      <c r="AY1587">
        <f>IFERROR(INDEX(PP_Grid[#Data],$DE1587,48),0)</f>
        <v/>
      </c>
      <c r="AZ1587">
        <f>IFERROR(INDEX(PP_Grid[#Data],$DE1587,49),0)</f>
        <v/>
      </c>
      <c r="BA1587">
        <f>IFERROR(INDEX(PP_Grid[#Data],$DE1587,50),0)</f>
        <v/>
      </c>
      <c r="BB1587">
        <f>IFERROR(INDEX(PP_Grid[#Data],$DE1587,51),0)</f>
        <v/>
      </c>
      <c r="BC1587">
        <f>IFERROR(INDEX(PP_Grid[#Data],$DE1587,52),0)</f>
        <v/>
      </c>
      <c r="BD1587">
        <f>IFERROR(INDEX(PP_Grid[#Data],$DE1587,53),0)</f>
        <v/>
      </c>
      <c r="BE1587">
        <f>IFERROR(INDEX(PP_Grid[#Data],$DE1587,54),0)</f>
        <v/>
      </c>
      <c r="BF1587">
        <f>IFERROR(INDEX(PP_Grid[#Data],$DE1587,55),0)</f>
        <v/>
      </c>
      <c r="BG1587">
        <f>IFERROR(INDEX(PP_Grid[#Data],$DE1587,56),0)</f>
        <v/>
      </c>
      <c r="BH1587">
        <f>IFERROR(INDEX(PP_Grid[#Data],$DE1587,57),0)</f>
        <v/>
      </c>
      <c r="BI1587">
        <f>IFERROR(INDEX(PP_Grid[#Data],$DE1587,58),0)</f>
        <v/>
      </c>
      <c r="BJ1587">
        <f>IFERROR(INDEX(PP_Grid[#Data],$DE1587,59),0)</f>
        <v/>
      </c>
      <c r="BK1587">
        <f>IFERROR(INDEX(PP_Grid[#Data],$DE1587,60),0)</f>
        <v/>
      </c>
      <c r="BL1587">
        <f>IFERROR(INDEX(PP_Grid[#Data],$DE1587,61),0)</f>
        <v/>
      </c>
      <c r="BM1587">
        <f>IFERROR(INDEX(PP_Grid[#Data],$DE1587,62),0)</f>
        <v/>
      </c>
      <c r="BN1587">
        <f>IFERROR(INDEX(PP_Grid[#Data],$DE1587,63),0)</f>
        <v/>
      </c>
      <c r="BO1587">
        <f>IFERROR(INDEX(PP_Grid[#Data],$DE1587,64),0)</f>
        <v/>
      </c>
      <c r="BP1587">
        <f>IFERROR(INDEX(PP_Grid[#Data],$DE1587,65),0)</f>
        <v/>
      </c>
      <c r="BQ1587">
        <f>IFERROR(INDEX(PP_Grid[#Data],$DE1587,66),0)</f>
        <v/>
      </c>
      <c r="BR1587">
        <f>IFERROR(INDEX(PP_Grid[#Data],$DE1587,67),0)</f>
        <v/>
      </c>
      <c r="BS1587">
        <f>IFERROR(INDEX(PP_Grid[#Data],$DE1587,68),0)</f>
        <v/>
      </c>
      <c r="BT1587">
        <f>IFERROR(INDEX(PP_Grid[#Data],$DE1587,69),0)</f>
        <v/>
      </c>
      <c r="BU1587">
        <f>IFERROR(INDEX(PP_Grid[#Data],$DE1587,70),0)</f>
        <v/>
      </c>
      <c r="BV1587">
        <f>IFERROR(INDEX(PP_Grid[#Data],$DE1587,71),0)</f>
        <v/>
      </c>
      <c r="BW1587">
        <f>IFERROR(INDEX(PP_Grid[#Data],$DE1587,72),0)</f>
        <v/>
      </c>
      <c r="BX1587">
        <f>IFERROR(INDEX(PP_Grid[#Data],$DE1587,73),0)</f>
        <v/>
      </c>
      <c r="BY1587">
        <f>IFERROR(INDEX(PP_Grid[#Data],$DE1587,74),0)</f>
        <v/>
      </c>
      <c r="BZ1587">
        <f>IFERROR(INDEX(PP_Grid[#Data],$DE1587,75),0)</f>
        <v/>
      </c>
      <c r="CA1587">
        <f>IFERROR(INDEX(PP_Grid[#Data],$DE1587,76),0)</f>
        <v/>
      </c>
      <c r="CB1587">
        <f>IFERROR(INDEX(PP_Grid[#Data],$DE1587,77),0)</f>
        <v/>
      </c>
      <c r="CC1587">
        <f>IFERROR(INDEX(PP_Grid[#Data],$DE1587,78),0)</f>
        <v/>
      </c>
      <c r="CD1587">
        <f>IFERROR(INDEX(PP_Grid[#Data],$DE1587,79),0)</f>
        <v/>
      </c>
      <c r="CE1587">
        <f>IFERROR(INDEX(PP_Grid[#Data],$DE1587,80),0)</f>
        <v/>
      </c>
      <c r="CF1587">
        <f>IFERROR(INDEX(PP_Grid[#Data],$DE1587,81),0)</f>
        <v/>
      </c>
      <c r="CG1587">
        <f>IFERROR(INDEX(PP_Grid[#Data],$DE1587,82),0)</f>
        <v/>
      </c>
      <c r="CH1587">
        <f>IFERROR(INDEX(PP_Grid[#Data],$DE1587,83),0)</f>
        <v/>
      </c>
      <c r="CI1587">
        <f>IFERROR(INDEX(PP_Grid[#Data],$DE1587,84),0)</f>
        <v/>
      </c>
      <c r="CJ1587">
        <f>IFERROR(INDEX(PP_Grid[#Data],$DE1587,85),0)</f>
        <v/>
      </c>
      <c r="CK1587">
        <f>IFERROR(INDEX(PP_Grid[#Data],$DE1587,86),0)</f>
        <v/>
      </c>
      <c r="CL1587">
        <f>IFERROR(INDEX(PP_Grid[#Data],$DE1587,87),0)</f>
        <v/>
      </c>
      <c r="CM1587">
        <f>IFERROR(INDEX(PP_Grid[#Data],$DE1587,88),0)</f>
        <v/>
      </c>
      <c r="CN1587">
        <f>IFERROR(INDEX(PP_Grid[#Data],$DE1587,89),0)</f>
        <v/>
      </c>
      <c r="CO1587">
        <f>IFERROR(INDEX(PP_Grid[#Data],$DE1587,90),0)</f>
        <v/>
      </c>
      <c r="CP1587">
        <f>IFERROR(INDEX(PP_Grid[#Data],$DE1587,91),0)</f>
        <v/>
      </c>
      <c r="CQ1587">
        <f>IFERROR(INDEX(PP_Grid[#Data],$DE1587,92),0)</f>
        <v/>
      </c>
      <c r="CR1587">
        <f>IFERROR(INDEX(PP_Grid[#Data],$DE1587,93),0)</f>
        <v/>
      </c>
      <c r="CS1587">
        <f>IFERROR(INDEX(PP_Grid[#Data],$DE1587,94),0)</f>
        <v/>
      </c>
      <c r="CT1587">
        <f>IFERROR(INDEX(PP_Grid[#Data],$DE1587,95),0)</f>
        <v/>
      </c>
      <c r="CU1587">
        <f>IFERROR(INDEX(PP_Grid[#Data],$DE1587,96),0)</f>
        <v/>
      </c>
      <c r="CV1587">
        <f>IFERROR(INDEX(PP_Grid[#Data],$DE1587,97),0)</f>
        <v/>
      </c>
      <c r="CW1587">
        <f>IFERROR(INDEX(PP_Grid[#Data],$DE1587,98),0)</f>
        <v/>
      </c>
      <c r="CX1587">
        <f>IFERROR(INDEX(PP_Grid[#Data],$DE1587,99),0)</f>
        <v/>
      </c>
      <c r="CY1587">
        <f>IFERROR(INDEX(PP_Grid[#Data],$DE1587,100),0)</f>
        <v/>
      </c>
      <c r="CZ1587">
        <f>IFERROR(INDEX(PP_Grid[#Data],$DE1587,101),0)</f>
        <v/>
      </c>
      <c r="DA1587">
        <f>IFERROR(INDEX(PP_Grid[#Data],$DE1587,102),0)</f>
        <v/>
      </c>
      <c r="DB1587">
        <f>IFERROR(INDEX(PP_Grid[#Data],$DE1587,103),0)</f>
        <v/>
      </c>
      <c r="DC1587">
        <f>IFERROR(INDEX(PP_Grid[#Data],$DE1587,104),0)</f>
        <v/>
      </c>
      <c r="DD1587">
        <f>IFERROR(INDEX(PP_Grid[#Data],$DE1587,105),0)</f>
        <v/>
      </c>
      <c r="DE1587" s="7">
        <f>IFERROR(MATCH($B1587,PP_Grid[Intermediate],0),99999)</f>
        <v/>
      </c>
    </row>
    <row r="1588">
      <c r="B1588" t="inlineStr">
        <is>
          <t>使用量(kg)</t>
        </is>
      </c>
      <c r="C1588">
        <f>SUMIFS(M_BOM[RM_Qty_Per_Batch],M_BOM[Intermediate],$B1587,M_BOM[RM_Code],$A1586)</f>
        <v/>
      </c>
      <c r="D1588">
        <f>IFERROR(INDEX(E1588:DD1588,$F$1),"")</f>
        <v/>
      </c>
      <c r="E1588">
        <f>$C1588*E1587</f>
        <v/>
      </c>
      <c r="F1588">
        <f>$C1588*F1587</f>
        <v/>
      </c>
      <c r="G1588">
        <f>$C1588*G1587</f>
        <v/>
      </c>
      <c r="H1588">
        <f>$C1588*H1587</f>
        <v/>
      </c>
      <c r="I1588">
        <f>$C1588*I1587</f>
        <v/>
      </c>
      <c r="J1588">
        <f>$C1588*J1587</f>
        <v/>
      </c>
      <c r="K1588">
        <f>$C1588*K1587</f>
        <v/>
      </c>
      <c r="L1588">
        <f>$C1588*L1587</f>
        <v/>
      </c>
      <c r="M1588">
        <f>$C1588*M1587</f>
        <v/>
      </c>
      <c r="N1588">
        <f>$C1588*N1587</f>
        <v/>
      </c>
      <c r="O1588">
        <f>$C1588*O1587</f>
        <v/>
      </c>
      <c r="P1588">
        <f>$C1588*P1587</f>
        <v/>
      </c>
      <c r="Q1588">
        <f>$C1588*Q1587</f>
        <v/>
      </c>
      <c r="R1588">
        <f>$C1588*R1587</f>
        <v/>
      </c>
      <c r="S1588">
        <f>$C1588*S1587</f>
        <v/>
      </c>
      <c r="T1588">
        <f>$C1588*T1587</f>
        <v/>
      </c>
      <c r="U1588">
        <f>$C1588*U1587</f>
        <v/>
      </c>
      <c r="V1588">
        <f>$C1588*V1587</f>
        <v/>
      </c>
      <c r="W1588">
        <f>$C1588*W1587</f>
        <v/>
      </c>
      <c r="X1588">
        <f>$C1588*X1587</f>
        <v/>
      </c>
      <c r="Y1588">
        <f>$C1588*Y1587</f>
        <v/>
      </c>
      <c r="Z1588">
        <f>$C1588*Z1587</f>
        <v/>
      </c>
      <c r="AA1588">
        <f>$C1588*AA1587</f>
        <v/>
      </c>
      <c r="AB1588">
        <f>$C1588*AB1587</f>
        <v/>
      </c>
      <c r="AC1588">
        <f>$C1588*AC1587</f>
        <v/>
      </c>
      <c r="AD1588">
        <f>$C1588*AD1587</f>
        <v/>
      </c>
      <c r="AE1588">
        <f>$C1588*AE1587</f>
        <v/>
      </c>
      <c r="AF1588">
        <f>$C1588*AF1587</f>
        <v/>
      </c>
      <c r="AG1588">
        <f>$C1588*AG1587</f>
        <v/>
      </c>
      <c r="AH1588">
        <f>$C1588*AH1587</f>
        <v/>
      </c>
      <c r="AI1588">
        <f>$C1588*AI1587</f>
        <v/>
      </c>
      <c r="AJ1588">
        <f>$C1588*AJ1587</f>
        <v/>
      </c>
      <c r="AK1588">
        <f>$C1588*AK1587</f>
        <v/>
      </c>
      <c r="AL1588">
        <f>$C1588*AL1587</f>
        <v/>
      </c>
      <c r="AM1588">
        <f>$C1588*AM1587</f>
        <v/>
      </c>
      <c r="AN1588">
        <f>$C1588*AN1587</f>
        <v/>
      </c>
      <c r="AO1588">
        <f>$C1588*AO1587</f>
        <v/>
      </c>
      <c r="AP1588">
        <f>$C1588*AP1587</f>
        <v/>
      </c>
      <c r="AQ1588">
        <f>$C1588*AQ1587</f>
        <v/>
      </c>
      <c r="AR1588">
        <f>$C1588*AR1587</f>
        <v/>
      </c>
      <c r="AS1588">
        <f>$C1588*AS1587</f>
        <v/>
      </c>
      <c r="AT1588">
        <f>$C1588*AT1587</f>
        <v/>
      </c>
      <c r="AU1588">
        <f>$C1588*AU1587</f>
        <v/>
      </c>
      <c r="AV1588">
        <f>$C1588*AV1587</f>
        <v/>
      </c>
      <c r="AW1588">
        <f>$C1588*AW1587</f>
        <v/>
      </c>
      <c r="AX1588">
        <f>$C1588*AX1587</f>
        <v/>
      </c>
      <c r="AY1588">
        <f>$C1588*AY1587</f>
        <v/>
      </c>
      <c r="AZ1588">
        <f>$C1588*AZ1587</f>
        <v/>
      </c>
      <c r="BA1588">
        <f>$C1588*BA1587</f>
        <v/>
      </c>
      <c r="BB1588">
        <f>$C1588*BB1587</f>
        <v/>
      </c>
      <c r="BC1588">
        <f>$C1588*BC1587</f>
        <v/>
      </c>
      <c r="BD1588">
        <f>$C1588*BD1587</f>
        <v/>
      </c>
      <c r="BE1588">
        <f>$C1588*BE1587</f>
        <v/>
      </c>
      <c r="BF1588">
        <f>$C1588*BF1587</f>
        <v/>
      </c>
      <c r="BG1588">
        <f>$C1588*BG1587</f>
        <v/>
      </c>
      <c r="BH1588">
        <f>$C1588*BH1587</f>
        <v/>
      </c>
      <c r="BI1588">
        <f>$C1588*BI1587</f>
        <v/>
      </c>
      <c r="BJ1588">
        <f>$C1588*BJ1587</f>
        <v/>
      </c>
      <c r="BK1588">
        <f>$C1588*BK1587</f>
        <v/>
      </c>
      <c r="BL1588">
        <f>$C1588*BL1587</f>
        <v/>
      </c>
      <c r="BM1588">
        <f>$C1588*BM1587</f>
        <v/>
      </c>
      <c r="BN1588">
        <f>$C1588*BN1587</f>
        <v/>
      </c>
      <c r="BO1588">
        <f>$C1588*BO1587</f>
        <v/>
      </c>
      <c r="BP1588">
        <f>$C1588*BP1587</f>
        <v/>
      </c>
      <c r="BQ1588">
        <f>$C1588*BQ1587</f>
        <v/>
      </c>
      <c r="BR1588">
        <f>$C1588*BR1587</f>
        <v/>
      </c>
      <c r="BS1588">
        <f>$C1588*BS1587</f>
        <v/>
      </c>
      <c r="BT1588">
        <f>$C1588*BT1587</f>
        <v/>
      </c>
      <c r="BU1588">
        <f>$C1588*BU1587</f>
        <v/>
      </c>
      <c r="BV1588">
        <f>$C1588*BV1587</f>
        <v/>
      </c>
      <c r="BW1588">
        <f>$C1588*BW1587</f>
        <v/>
      </c>
      <c r="BX1588">
        <f>$C1588*BX1587</f>
        <v/>
      </c>
      <c r="BY1588">
        <f>$C1588*BY1587</f>
        <v/>
      </c>
      <c r="BZ1588">
        <f>$C1588*BZ1587</f>
        <v/>
      </c>
      <c r="CA1588">
        <f>$C1588*CA1587</f>
        <v/>
      </c>
      <c r="CB1588">
        <f>$C1588*CB1587</f>
        <v/>
      </c>
      <c r="CC1588">
        <f>$C1588*CC1587</f>
        <v/>
      </c>
      <c r="CD1588">
        <f>$C1588*CD1587</f>
        <v/>
      </c>
      <c r="CE1588">
        <f>$C1588*CE1587</f>
        <v/>
      </c>
      <c r="CF1588">
        <f>$C1588*CF1587</f>
        <v/>
      </c>
      <c r="CG1588">
        <f>$C1588*CG1587</f>
        <v/>
      </c>
      <c r="CH1588">
        <f>$C1588*CH1587</f>
        <v/>
      </c>
      <c r="CI1588">
        <f>$C1588*CI1587</f>
        <v/>
      </c>
      <c r="CJ1588">
        <f>$C1588*CJ1587</f>
        <v/>
      </c>
      <c r="CK1588">
        <f>$C1588*CK1587</f>
        <v/>
      </c>
      <c r="CL1588">
        <f>$C1588*CL1587</f>
        <v/>
      </c>
      <c r="CM1588">
        <f>$C1588*CM1587</f>
        <v/>
      </c>
      <c r="CN1588">
        <f>$C1588*CN1587</f>
        <v/>
      </c>
      <c r="CO1588">
        <f>$C1588*CO1587</f>
        <v/>
      </c>
      <c r="CP1588">
        <f>$C1588*CP1587</f>
        <v/>
      </c>
      <c r="CQ1588">
        <f>$C1588*CQ1587</f>
        <v/>
      </c>
      <c r="CR1588">
        <f>$C1588*CR1587</f>
        <v/>
      </c>
      <c r="CS1588">
        <f>$C1588*CS1587</f>
        <v/>
      </c>
      <c r="CT1588">
        <f>$C1588*CT1587</f>
        <v/>
      </c>
      <c r="CU1588">
        <f>$C1588*CU1587</f>
        <v/>
      </c>
      <c r="CV1588">
        <f>$C1588*CV1587</f>
        <v/>
      </c>
      <c r="CW1588">
        <f>$C1588*CW1587</f>
        <v/>
      </c>
      <c r="CX1588">
        <f>$C1588*CX1587</f>
        <v/>
      </c>
      <c r="CY1588">
        <f>$C1588*CY1587</f>
        <v/>
      </c>
      <c r="CZ1588">
        <f>$C1588*CZ1587</f>
        <v/>
      </c>
      <c r="DA1588">
        <f>$C1588*DA1587</f>
        <v/>
      </c>
      <c r="DB1588">
        <f>$C1588*DB1587</f>
        <v/>
      </c>
      <c r="DC1588">
        <f>$C1588*DC1587</f>
        <v/>
      </c>
      <c r="DD1588">
        <f>$C1588*DD1587</f>
        <v/>
      </c>
    </row>
    <row r="1589">
      <c r="B1589" t="inlineStr">
        <is>
          <t>TPP-613</t>
        </is>
      </c>
      <c r="C1589" t="inlineStr">
        <is>
          <t>No. of batches</t>
        </is>
      </c>
      <c r="D1589">
        <f>IFERROR(INDEX(E1589:DD1589,$F$1),"")</f>
        <v/>
      </c>
      <c r="E1589">
        <f>IFERROR(INDEX(PP_Grid[#Data],$DE1589,2),0)</f>
        <v/>
      </c>
      <c r="F1589">
        <f>IFERROR(INDEX(PP_Grid[#Data],$DE1589,3),0)</f>
        <v/>
      </c>
      <c r="G1589">
        <f>IFERROR(INDEX(PP_Grid[#Data],$DE1589,4),0)</f>
        <v/>
      </c>
      <c r="H1589">
        <f>IFERROR(INDEX(PP_Grid[#Data],$DE1589,5),0)</f>
        <v/>
      </c>
      <c r="I1589">
        <f>IFERROR(INDEX(PP_Grid[#Data],$DE1589,6),0)</f>
        <v/>
      </c>
      <c r="J1589">
        <f>IFERROR(INDEX(PP_Grid[#Data],$DE1589,7),0)</f>
        <v/>
      </c>
      <c r="K1589">
        <f>IFERROR(INDEX(PP_Grid[#Data],$DE1589,8),0)</f>
        <v/>
      </c>
      <c r="L1589">
        <f>IFERROR(INDEX(PP_Grid[#Data],$DE1589,9),0)</f>
        <v/>
      </c>
      <c r="M1589">
        <f>IFERROR(INDEX(PP_Grid[#Data],$DE1589,10),0)</f>
        <v/>
      </c>
      <c r="N1589">
        <f>IFERROR(INDEX(PP_Grid[#Data],$DE1589,11),0)</f>
        <v/>
      </c>
      <c r="O1589">
        <f>IFERROR(INDEX(PP_Grid[#Data],$DE1589,12),0)</f>
        <v/>
      </c>
      <c r="P1589">
        <f>IFERROR(INDEX(PP_Grid[#Data],$DE1589,13),0)</f>
        <v/>
      </c>
      <c r="Q1589">
        <f>IFERROR(INDEX(PP_Grid[#Data],$DE1589,14),0)</f>
        <v/>
      </c>
      <c r="R1589">
        <f>IFERROR(INDEX(PP_Grid[#Data],$DE1589,15),0)</f>
        <v/>
      </c>
      <c r="S1589">
        <f>IFERROR(INDEX(PP_Grid[#Data],$DE1589,16),0)</f>
        <v/>
      </c>
      <c r="T1589">
        <f>IFERROR(INDEX(PP_Grid[#Data],$DE1589,17),0)</f>
        <v/>
      </c>
      <c r="U1589">
        <f>IFERROR(INDEX(PP_Grid[#Data],$DE1589,18),0)</f>
        <v/>
      </c>
      <c r="V1589">
        <f>IFERROR(INDEX(PP_Grid[#Data],$DE1589,19),0)</f>
        <v/>
      </c>
      <c r="W1589">
        <f>IFERROR(INDEX(PP_Grid[#Data],$DE1589,20),0)</f>
        <v/>
      </c>
      <c r="X1589">
        <f>IFERROR(INDEX(PP_Grid[#Data],$DE1589,21),0)</f>
        <v/>
      </c>
      <c r="Y1589">
        <f>IFERROR(INDEX(PP_Grid[#Data],$DE1589,22),0)</f>
        <v/>
      </c>
      <c r="Z1589">
        <f>IFERROR(INDEX(PP_Grid[#Data],$DE1589,23),0)</f>
        <v/>
      </c>
      <c r="AA1589">
        <f>IFERROR(INDEX(PP_Grid[#Data],$DE1589,24),0)</f>
        <v/>
      </c>
      <c r="AB1589">
        <f>IFERROR(INDEX(PP_Grid[#Data],$DE1589,25),0)</f>
        <v/>
      </c>
      <c r="AC1589">
        <f>IFERROR(INDEX(PP_Grid[#Data],$DE1589,26),0)</f>
        <v/>
      </c>
      <c r="AD1589">
        <f>IFERROR(INDEX(PP_Grid[#Data],$DE1589,27),0)</f>
        <v/>
      </c>
      <c r="AE1589">
        <f>IFERROR(INDEX(PP_Grid[#Data],$DE1589,28),0)</f>
        <v/>
      </c>
      <c r="AF1589">
        <f>IFERROR(INDEX(PP_Grid[#Data],$DE1589,29),0)</f>
        <v/>
      </c>
      <c r="AG1589">
        <f>IFERROR(INDEX(PP_Grid[#Data],$DE1589,30),0)</f>
        <v/>
      </c>
      <c r="AH1589">
        <f>IFERROR(INDEX(PP_Grid[#Data],$DE1589,31),0)</f>
        <v/>
      </c>
      <c r="AI1589">
        <f>IFERROR(INDEX(PP_Grid[#Data],$DE1589,32),0)</f>
        <v/>
      </c>
      <c r="AJ1589">
        <f>IFERROR(INDEX(PP_Grid[#Data],$DE1589,33),0)</f>
        <v/>
      </c>
      <c r="AK1589">
        <f>IFERROR(INDEX(PP_Grid[#Data],$DE1589,34),0)</f>
        <v/>
      </c>
      <c r="AL1589">
        <f>IFERROR(INDEX(PP_Grid[#Data],$DE1589,35),0)</f>
        <v/>
      </c>
      <c r="AM1589">
        <f>IFERROR(INDEX(PP_Grid[#Data],$DE1589,36),0)</f>
        <v/>
      </c>
      <c r="AN1589">
        <f>IFERROR(INDEX(PP_Grid[#Data],$DE1589,37),0)</f>
        <v/>
      </c>
      <c r="AO1589">
        <f>IFERROR(INDEX(PP_Grid[#Data],$DE1589,38),0)</f>
        <v/>
      </c>
      <c r="AP1589">
        <f>IFERROR(INDEX(PP_Grid[#Data],$DE1589,39),0)</f>
        <v/>
      </c>
      <c r="AQ1589">
        <f>IFERROR(INDEX(PP_Grid[#Data],$DE1589,40),0)</f>
        <v/>
      </c>
      <c r="AR1589">
        <f>IFERROR(INDEX(PP_Grid[#Data],$DE1589,41),0)</f>
        <v/>
      </c>
      <c r="AS1589">
        <f>IFERROR(INDEX(PP_Grid[#Data],$DE1589,42),0)</f>
        <v/>
      </c>
      <c r="AT1589">
        <f>IFERROR(INDEX(PP_Grid[#Data],$DE1589,43),0)</f>
        <v/>
      </c>
      <c r="AU1589">
        <f>IFERROR(INDEX(PP_Grid[#Data],$DE1589,44),0)</f>
        <v/>
      </c>
      <c r="AV1589">
        <f>IFERROR(INDEX(PP_Grid[#Data],$DE1589,45),0)</f>
        <v/>
      </c>
      <c r="AW1589">
        <f>IFERROR(INDEX(PP_Grid[#Data],$DE1589,46),0)</f>
        <v/>
      </c>
      <c r="AX1589">
        <f>IFERROR(INDEX(PP_Grid[#Data],$DE1589,47),0)</f>
        <v/>
      </c>
      <c r="AY1589">
        <f>IFERROR(INDEX(PP_Grid[#Data],$DE1589,48),0)</f>
        <v/>
      </c>
      <c r="AZ1589">
        <f>IFERROR(INDEX(PP_Grid[#Data],$DE1589,49),0)</f>
        <v/>
      </c>
      <c r="BA1589">
        <f>IFERROR(INDEX(PP_Grid[#Data],$DE1589,50),0)</f>
        <v/>
      </c>
      <c r="BB1589">
        <f>IFERROR(INDEX(PP_Grid[#Data],$DE1589,51),0)</f>
        <v/>
      </c>
      <c r="BC1589">
        <f>IFERROR(INDEX(PP_Grid[#Data],$DE1589,52),0)</f>
        <v/>
      </c>
      <c r="BD1589">
        <f>IFERROR(INDEX(PP_Grid[#Data],$DE1589,53),0)</f>
        <v/>
      </c>
      <c r="BE1589">
        <f>IFERROR(INDEX(PP_Grid[#Data],$DE1589,54),0)</f>
        <v/>
      </c>
      <c r="BF1589">
        <f>IFERROR(INDEX(PP_Grid[#Data],$DE1589,55),0)</f>
        <v/>
      </c>
      <c r="BG1589">
        <f>IFERROR(INDEX(PP_Grid[#Data],$DE1589,56),0)</f>
        <v/>
      </c>
      <c r="BH1589">
        <f>IFERROR(INDEX(PP_Grid[#Data],$DE1589,57),0)</f>
        <v/>
      </c>
      <c r="BI1589">
        <f>IFERROR(INDEX(PP_Grid[#Data],$DE1589,58),0)</f>
        <v/>
      </c>
      <c r="BJ1589">
        <f>IFERROR(INDEX(PP_Grid[#Data],$DE1589,59),0)</f>
        <v/>
      </c>
      <c r="BK1589">
        <f>IFERROR(INDEX(PP_Grid[#Data],$DE1589,60),0)</f>
        <v/>
      </c>
      <c r="BL1589">
        <f>IFERROR(INDEX(PP_Grid[#Data],$DE1589,61),0)</f>
        <v/>
      </c>
      <c r="BM1589">
        <f>IFERROR(INDEX(PP_Grid[#Data],$DE1589,62),0)</f>
        <v/>
      </c>
      <c r="BN1589">
        <f>IFERROR(INDEX(PP_Grid[#Data],$DE1589,63),0)</f>
        <v/>
      </c>
      <c r="BO1589">
        <f>IFERROR(INDEX(PP_Grid[#Data],$DE1589,64),0)</f>
        <v/>
      </c>
      <c r="BP1589">
        <f>IFERROR(INDEX(PP_Grid[#Data],$DE1589,65),0)</f>
        <v/>
      </c>
      <c r="BQ1589">
        <f>IFERROR(INDEX(PP_Grid[#Data],$DE1589,66),0)</f>
        <v/>
      </c>
      <c r="BR1589">
        <f>IFERROR(INDEX(PP_Grid[#Data],$DE1589,67),0)</f>
        <v/>
      </c>
      <c r="BS1589">
        <f>IFERROR(INDEX(PP_Grid[#Data],$DE1589,68),0)</f>
        <v/>
      </c>
      <c r="BT1589">
        <f>IFERROR(INDEX(PP_Grid[#Data],$DE1589,69),0)</f>
        <v/>
      </c>
      <c r="BU1589">
        <f>IFERROR(INDEX(PP_Grid[#Data],$DE1589,70),0)</f>
        <v/>
      </c>
      <c r="BV1589">
        <f>IFERROR(INDEX(PP_Grid[#Data],$DE1589,71),0)</f>
        <v/>
      </c>
      <c r="BW1589">
        <f>IFERROR(INDEX(PP_Grid[#Data],$DE1589,72),0)</f>
        <v/>
      </c>
      <c r="BX1589">
        <f>IFERROR(INDEX(PP_Grid[#Data],$DE1589,73),0)</f>
        <v/>
      </c>
      <c r="BY1589">
        <f>IFERROR(INDEX(PP_Grid[#Data],$DE1589,74),0)</f>
        <v/>
      </c>
      <c r="BZ1589">
        <f>IFERROR(INDEX(PP_Grid[#Data],$DE1589,75),0)</f>
        <v/>
      </c>
      <c r="CA1589">
        <f>IFERROR(INDEX(PP_Grid[#Data],$DE1589,76),0)</f>
        <v/>
      </c>
      <c r="CB1589">
        <f>IFERROR(INDEX(PP_Grid[#Data],$DE1589,77),0)</f>
        <v/>
      </c>
      <c r="CC1589">
        <f>IFERROR(INDEX(PP_Grid[#Data],$DE1589,78),0)</f>
        <v/>
      </c>
      <c r="CD1589">
        <f>IFERROR(INDEX(PP_Grid[#Data],$DE1589,79),0)</f>
        <v/>
      </c>
      <c r="CE1589">
        <f>IFERROR(INDEX(PP_Grid[#Data],$DE1589,80),0)</f>
        <v/>
      </c>
      <c r="CF1589">
        <f>IFERROR(INDEX(PP_Grid[#Data],$DE1589,81),0)</f>
        <v/>
      </c>
      <c r="CG1589">
        <f>IFERROR(INDEX(PP_Grid[#Data],$DE1589,82),0)</f>
        <v/>
      </c>
      <c r="CH1589">
        <f>IFERROR(INDEX(PP_Grid[#Data],$DE1589,83),0)</f>
        <v/>
      </c>
      <c r="CI1589">
        <f>IFERROR(INDEX(PP_Grid[#Data],$DE1589,84),0)</f>
        <v/>
      </c>
      <c r="CJ1589">
        <f>IFERROR(INDEX(PP_Grid[#Data],$DE1589,85),0)</f>
        <v/>
      </c>
      <c r="CK1589">
        <f>IFERROR(INDEX(PP_Grid[#Data],$DE1589,86),0)</f>
        <v/>
      </c>
      <c r="CL1589">
        <f>IFERROR(INDEX(PP_Grid[#Data],$DE1589,87),0)</f>
        <v/>
      </c>
      <c r="CM1589">
        <f>IFERROR(INDEX(PP_Grid[#Data],$DE1589,88),0)</f>
        <v/>
      </c>
      <c r="CN1589">
        <f>IFERROR(INDEX(PP_Grid[#Data],$DE1589,89),0)</f>
        <v/>
      </c>
      <c r="CO1589">
        <f>IFERROR(INDEX(PP_Grid[#Data],$DE1589,90),0)</f>
        <v/>
      </c>
      <c r="CP1589">
        <f>IFERROR(INDEX(PP_Grid[#Data],$DE1589,91),0)</f>
        <v/>
      </c>
      <c r="CQ1589">
        <f>IFERROR(INDEX(PP_Grid[#Data],$DE1589,92),0)</f>
        <v/>
      </c>
      <c r="CR1589">
        <f>IFERROR(INDEX(PP_Grid[#Data],$DE1589,93),0)</f>
        <v/>
      </c>
      <c r="CS1589">
        <f>IFERROR(INDEX(PP_Grid[#Data],$DE1589,94),0)</f>
        <v/>
      </c>
      <c r="CT1589">
        <f>IFERROR(INDEX(PP_Grid[#Data],$DE1589,95),0)</f>
        <v/>
      </c>
      <c r="CU1589">
        <f>IFERROR(INDEX(PP_Grid[#Data],$DE1589,96),0)</f>
        <v/>
      </c>
      <c r="CV1589">
        <f>IFERROR(INDEX(PP_Grid[#Data],$DE1589,97),0)</f>
        <v/>
      </c>
      <c r="CW1589">
        <f>IFERROR(INDEX(PP_Grid[#Data],$DE1589,98),0)</f>
        <v/>
      </c>
      <c r="CX1589">
        <f>IFERROR(INDEX(PP_Grid[#Data],$DE1589,99),0)</f>
        <v/>
      </c>
      <c r="CY1589">
        <f>IFERROR(INDEX(PP_Grid[#Data],$DE1589,100),0)</f>
        <v/>
      </c>
      <c r="CZ1589">
        <f>IFERROR(INDEX(PP_Grid[#Data],$DE1589,101),0)</f>
        <v/>
      </c>
      <c r="DA1589">
        <f>IFERROR(INDEX(PP_Grid[#Data],$DE1589,102),0)</f>
        <v/>
      </c>
      <c r="DB1589">
        <f>IFERROR(INDEX(PP_Grid[#Data],$DE1589,103),0)</f>
        <v/>
      </c>
      <c r="DC1589">
        <f>IFERROR(INDEX(PP_Grid[#Data],$DE1589,104),0)</f>
        <v/>
      </c>
      <c r="DD1589">
        <f>IFERROR(INDEX(PP_Grid[#Data],$DE1589,105),0)</f>
        <v/>
      </c>
      <c r="DE1589" s="7">
        <f>IFERROR(MATCH($B1589,PP_Grid[Intermediate],0),99999)</f>
        <v/>
      </c>
    </row>
    <row r="1590">
      <c r="B1590" t="inlineStr">
        <is>
          <t>使用量(kg)</t>
        </is>
      </c>
      <c r="C1590">
        <f>SUMIFS(M_BOM[RM_Qty_Per_Batch],M_BOM[Intermediate],$B1589,M_BOM[RM_Code],$A1586)</f>
        <v/>
      </c>
      <c r="D1590">
        <f>IFERROR(INDEX(E1590:DD1590,$F$1),"")</f>
        <v/>
      </c>
      <c r="E1590">
        <f>$C1590*E1589</f>
        <v/>
      </c>
      <c r="F1590">
        <f>$C1590*F1589</f>
        <v/>
      </c>
      <c r="G1590">
        <f>$C1590*G1589</f>
        <v/>
      </c>
      <c r="H1590">
        <f>$C1590*H1589</f>
        <v/>
      </c>
      <c r="I1590">
        <f>$C1590*I1589</f>
        <v/>
      </c>
      <c r="J1590">
        <f>$C1590*J1589</f>
        <v/>
      </c>
      <c r="K1590">
        <f>$C1590*K1589</f>
        <v/>
      </c>
      <c r="L1590">
        <f>$C1590*L1589</f>
        <v/>
      </c>
      <c r="M1590">
        <f>$C1590*M1589</f>
        <v/>
      </c>
      <c r="N1590">
        <f>$C1590*N1589</f>
        <v/>
      </c>
      <c r="O1590">
        <f>$C1590*O1589</f>
        <v/>
      </c>
      <c r="P1590">
        <f>$C1590*P1589</f>
        <v/>
      </c>
      <c r="Q1590">
        <f>$C1590*Q1589</f>
        <v/>
      </c>
      <c r="R1590">
        <f>$C1590*R1589</f>
        <v/>
      </c>
      <c r="S1590">
        <f>$C1590*S1589</f>
        <v/>
      </c>
      <c r="T1590">
        <f>$C1590*T1589</f>
        <v/>
      </c>
      <c r="U1590">
        <f>$C1590*U1589</f>
        <v/>
      </c>
      <c r="V1590">
        <f>$C1590*V1589</f>
        <v/>
      </c>
      <c r="W1590">
        <f>$C1590*W1589</f>
        <v/>
      </c>
      <c r="X1590">
        <f>$C1590*X1589</f>
        <v/>
      </c>
      <c r="Y1590">
        <f>$C1590*Y1589</f>
        <v/>
      </c>
      <c r="Z1590">
        <f>$C1590*Z1589</f>
        <v/>
      </c>
      <c r="AA1590">
        <f>$C1590*AA1589</f>
        <v/>
      </c>
      <c r="AB1590">
        <f>$C1590*AB1589</f>
        <v/>
      </c>
      <c r="AC1590">
        <f>$C1590*AC1589</f>
        <v/>
      </c>
      <c r="AD1590">
        <f>$C1590*AD1589</f>
        <v/>
      </c>
      <c r="AE1590">
        <f>$C1590*AE1589</f>
        <v/>
      </c>
      <c r="AF1590">
        <f>$C1590*AF1589</f>
        <v/>
      </c>
      <c r="AG1590">
        <f>$C1590*AG1589</f>
        <v/>
      </c>
      <c r="AH1590">
        <f>$C1590*AH1589</f>
        <v/>
      </c>
      <c r="AI1590">
        <f>$C1590*AI1589</f>
        <v/>
      </c>
      <c r="AJ1590">
        <f>$C1590*AJ1589</f>
        <v/>
      </c>
      <c r="AK1590">
        <f>$C1590*AK1589</f>
        <v/>
      </c>
      <c r="AL1590">
        <f>$C1590*AL1589</f>
        <v/>
      </c>
      <c r="AM1590">
        <f>$C1590*AM1589</f>
        <v/>
      </c>
      <c r="AN1590">
        <f>$C1590*AN1589</f>
        <v/>
      </c>
      <c r="AO1590">
        <f>$C1590*AO1589</f>
        <v/>
      </c>
      <c r="AP1590">
        <f>$C1590*AP1589</f>
        <v/>
      </c>
      <c r="AQ1590">
        <f>$C1590*AQ1589</f>
        <v/>
      </c>
      <c r="AR1590">
        <f>$C1590*AR1589</f>
        <v/>
      </c>
      <c r="AS1590">
        <f>$C1590*AS1589</f>
        <v/>
      </c>
      <c r="AT1590">
        <f>$C1590*AT1589</f>
        <v/>
      </c>
      <c r="AU1590">
        <f>$C1590*AU1589</f>
        <v/>
      </c>
      <c r="AV1590">
        <f>$C1590*AV1589</f>
        <v/>
      </c>
      <c r="AW1590">
        <f>$C1590*AW1589</f>
        <v/>
      </c>
      <c r="AX1590">
        <f>$C1590*AX1589</f>
        <v/>
      </c>
      <c r="AY1590">
        <f>$C1590*AY1589</f>
        <v/>
      </c>
      <c r="AZ1590">
        <f>$C1590*AZ1589</f>
        <v/>
      </c>
      <c r="BA1590">
        <f>$C1590*BA1589</f>
        <v/>
      </c>
      <c r="BB1590">
        <f>$C1590*BB1589</f>
        <v/>
      </c>
      <c r="BC1590">
        <f>$C1590*BC1589</f>
        <v/>
      </c>
      <c r="BD1590">
        <f>$C1590*BD1589</f>
        <v/>
      </c>
      <c r="BE1590">
        <f>$C1590*BE1589</f>
        <v/>
      </c>
      <c r="BF1590">
        <f>$C1590*BF1589</f>
        <v/>
      </c>
      <c r="BG1590">
        <f>$C1590*BG1589</f>
        <v/>
      </c>
      <c r="BH1590">
        <f>$C1590*BH1589</f>
        <v/>
      </c>
      <c r="BI1590">
        <f>$C1590*BI1589</f>
        <v/>
      </c>
      <c r="BJ1590">
        <f>$C1590*BJ1589</f>
        <v/>
      </c>
      <c r="BK1590">
        <f>$C1590*BK1589</f>
        <v/>
      </c>
      <c r="BL1590">
        <f>$C1590*BL1589</f>
        <v/>
      </c>
      <c r="BM1590">
        <f>$C1590*BM1589</f>
        <v/>
      </c>
      <c r="BN1590">
        <f>$C1590*BN1589</f>
        <v/>
      </c>
      <c r="BO1590">
        <f>$C1590*BO1589</f>
        <v/>
      </c>
      <c r="BP1590">
        <f>$C1590*BP1589</f>
        <v/>
      </c>
      <c r="BQ1590">
        <f>$C1590*BQ1589</f>
        <v/>
      </c>
      <c r="BR1590">
        <f>$C1590*BR1589</f>
        <v/>
      </c>
      <c r="BS1590">
        <f>$C1590*BS1589</f>
        <v/>
      </c>
      <c r="BT1590">
        <f>$C1590*BT1589</f>
        <v/>
      </c>
      <c r="BU1590">
        <f>$C1590*BU1589</f>
        <v/>
      </c>
      <c r="BV1590">
        <f>$C1590*BV1589</f>
        <v/>
      </c>
      <c r="BW1590">
        <f>$C1590*BW1589</f>
        <v/>
      </c>
      <c r="BX1590">
        <f>$C1590*BX1589</f>
        <v/>
      </c>
      <c r="BY1590">
        <f>$C1590*BY1589</f>
        <v/>
      </c>
      <c r="BZ1590">
        <f>$C1590*BZ1589</f>
        <v/>
      </c>
      <c r="CA1590">
        <f>$C1590*CA1589</f>
        <v/>
      </c>
      <c r="CB1590">
        <f>$C1590*CB1589</f>
        <v/>
      </c>
      <c r="CC1590">
        <f>$C1590*CC1589</f>
        <v/>
      </c>
      <c r="CD1590">
        <f>$C1590*CD1589</f>
        <v/>
      </c>
      <c r="CE1590">
        <f>$C1590*CE1589</f>
        <v/>
      </c>
      <c r="CF1590">
        <f>$C1590*CF1589</f>
        <v/>
      </c>
      <c r="CG1590">
        <f>$C1590*CG1589</f>
        <v/>
      </c>
      <c r="CH1590">
        <f>$C1590*CH1589</f>
        <v/>
      </c>
      <c r="CI1590">
        <f>$C1590*CI1589</f>
        <v/>
      </c>
      <c r="CJ1590">
        <f>$C1590*CJ1589</f>
        <v/>
      </c>
      <c r="CK1590">
        <f>$C1590*CK1589</f>
        <v/>
      </c>
      <c r="CL1590">
        <f>$C1590*CL1589</f>
        <v/>
      </c>
      <c r="CM1590">
        <f>$C1590*CM1589</f>
        <v/>
      </c>
      <c r="CN1590">
        <f>$C1590*CN1589</f>
        <v/>
      </c>
      <c r="CO1590">
        <f>$C1590*CO1589</f>
        <v/>
      </c>
      <c r="CP1590">
        <f>$C1590*CP1589</f>
        <v/>
      </c>
      <c r="CQ1590">
        <f>$C1590*CQ1589</f>
        <v/>
      </c>
      <c r="CR1590">
        <f>$C1590*CR1589</f>
        <v/>
      </c>
      <c r="CS1590">
        <f>$C1590*CS1589</f>
        <v/>
      </c>
      <c r="CT1590">
        <f>$C1590*CT1589</f>
        <v/>
      </c>
      <c r="CU1590">
        <f>$C1590*CU1589</f>
        <v/>
      </c>
      <c r="CV1590">
        <f>$C1590*CV1589</f>
        <v/>
      </c>
      <c r="CW1590">
        <f>$C1590*CW1589</f>
        <v/>
      </c>
      <c r="CX1590">
        <f>$C1590*CX1589</f>
        <v/>
      </c>
      <c r="CY1590">
        <f>$C1590*CY1589</f>
        <v/>
      </c>
      <c r="CZ1590">
        <f>$C1590*CZ1589</f>
        <v/>
      </c>
      <c r="DA1590">
        <f>$C1590*DA1589</f>
        <v/>
      </c>
      <c r="DB1590">
        <f>$C1590*DB1589</f>
        <v/>
      </c>
      <c r="DC1590">
        <f>$C1590*DC1589</f>
        <v/>
      </c>
      <c r="DD1590">
        <f>$C1590*DD1589</f>
        <v/>
      </c>
    </row>
    <row r="1591">
      <c r="B1591" t="inlineStr">
        <is>
          <t>TPP-915</t>
        </is>
      </c>
      <c r="C1591" t="inlineStr">
        <is>
          <t>No. of batches</t>
        </is>
      </c>
      <c r="D1591">
        <f>IFERROR(INDEX(E1591:DD1591,$F$1),"")</f>
        <v/>
      </c>
      <c r="E1591">
        <f>IFERROR(INDEX(PP_Grid[#Data],$DE1591,2),0)</f>
        <v/>
      </c>
      <c r="F1591">
        <f>IFERROR(INDEX(PP_Grid[#Data],$DE1591,3),0)</f>
        <v/>
      </c>
      <c r="G1591">
        <f>IFERROR(INDEX(PP_Grid[#Data],$DE1591,4),0)</f>
        <v/>
      </c>
      <c r="H1591">
        <f>IFERROR(INDEX(PP_Grid[#Data],$DE1591,5),0)</f>
        <v/>
      </c>
      <c r="I1591">
        <f>IFERROR(INDEX(PP_Grid[#Data],$DE1591,6),0)</f>
        <v/>
      </c>
      <c r="J1591">
        <f>IFERROR(INDEX(PP_Grid[#Data],$DE1591,7),0)</f>
        <v/>
      </c>
      <c r="K1591">
        <f>IFERROR(INDEX(PP_Grid[#Data],$DE1591,8),0)</f>
        <v/>
      </c>
      <c r="L1591">
        <f>IFERROR(INDEX(PP_Grid[#Data],$DE1591,9),0)</f>
        <v/>
      </c>
      <c r="M1591">
        <f>IFERROR(INDEX(PP_Grid[#Data],$DE1591,10),0)</f>
        <v/>
      </c>
      <c r="N1591">
        <f>IFERROR(INDEX(PP_Grid[#Data],$DE1591,11),0)</f>
        <v/>
      </c>
      <c r="O1591">
        <f>IFERROR(INDEX(PP_Grid[#Data],$DE1591,12),0)</f>
        <v/>
      </c>
      <c r="P1591">
        <f>IFERROR(INDEX(PP_Grid[#Data],$DE1591,13),0)</f>
        <v/>
      </c>
      <c r="Q1591">
        <f>IFERROR(INDEX(PP_Grid[#Data],$DE1591,14),0)</f>
        <v/>
      </c>
      <c r="R1591">
        <f>IFERROR(INDEX(PP_Grid[#Data],$DE1591,15),0)</f>
        <v/>
      </c>
      <c r="S1591">
        <f>IFERROR(INDEX(PP_Grid[#Data],$DE1591,16),0)</f>
        <v/>
      </c>
      <c r="T1591">
        <f>IFERROR(INDEX(PP_Grid[#Data],$DE1591,17),0)</f>
        <v/>
      </c>
      <c r="U1591">
        <f>IFERROR(INDEX(PP_Grid[#Data],$DE1591,18),0)</f>
        <v/>
      </c>
      <c r="V1591">
        <f>IFERROR(INDEX(PP_Grid[#Data],$DE1591,19),0)</f>
        <v/>
      </c>
      <c r="W1591">
        <f>IFERROR(INDEX(PP_Grid[#Data],$DE1591,20),0)</f>
        <v/>
      </c>
      <c r="X1591">
        <f>IFERROR(INDEX(PP_Grid[#Data],$DE1591,21),0)</f>
        <v/>
      </c>
      <c r="Y1591">
        <f>IFERROR(INDEX(PP_Grid[#Data],$DE1591,22),0)</f>
        <v/>
      </c>
      <c r="Z1591">
        <f>IFERROR(INDEX(PP_Grid[#Data],$DE1591,23),0)</f>
        <v/>
      </c>
      <c r="AA1591">
        <f>IFERROR(INDEX(PP_Grid[#Data],$DE1591,24),0)</f>
        <v/>
      </c>
      <c r="AB1591">
        <f>IFERROR(INDEX(PP_Grid[#Data],$DE1591,25),0)</f>
        <v/>
      </c>
      <c r="AC1591">
        <f>IFERROR(INDEX(PP_Grid[#Data],$DE1591,26),0)</f>
        <v/>
      </c>
      <c r="AD1591">
        <f>IFERROR(INDEX(PP_Grid[#Data],$DE1591,27),0)</f>
        <v/>
      </c>
      <c r="AE1591">
        <f>IFERROR(INDEX(PP_Grid[#Data],$DE1591,28),0)</f>
        <v/>
      </c>
      <c r="AF1591">
        <f>IFERROR(INDEX(PP_Grid[#Data],$DE1591,29),0)</f>
        <v/>
      </c>
      <c r="AG1591">
        <f>IFERROR(INDEX(PP_Grid[#Data],$DE1591,30),0)</f>
        <v/>
      </c>
      <c r="AH1591">
        <f>IFERROR(INDEX(PP_Grid[#Data],$DE1591,31),0)</f>
        <v/>
      </c>
      <c r="AI1591">
        <f>IFERROR(INDEX(PP_Grid[#Data],$DE1591,32),0)</f>
        <v/>
      </c>
      <c r="AJ1591">
        <f>IFERROR(INDEX(PP_Grid[#Data],$DE1591,33),0)</f>
        <v/>
      </c>
      <c r="AK1591">
        <f>IFERROR(INDEX(PP_Grid[#Data],$DE1591,34),0)</f>
        <v/>
      </c>
      <c r="AL1591">
        <f>IFERROR(INDEX(PP_Grid[#Data],$DE1591,35),0)</f>
        <v/>
      </c>
      <c r="AM1591">
        <f>IFERROR(INDEX(PP_Grid[#Data],$DE1591,36),0)</f>
        <v/>
      </c>
      <c r="AN1591">
        <f>IFERROR(INDEX(PP_Grid[#Data],$DE1591,37),0)</f>
        <v/>
      </c>
      <c r="AO1591">
        <f>IFERROR(INDEX(PP_Grid[#Data],$DE1591,38),0)</f>
        <v/>
      </c>
      <c r="AP1591">
        <f>IFERROR(INDEX(PP_Grid[#Data],$DE1591,39),0)</f>
        <v/>
      </c>
      <c r="AQ1591">
        <f>IFERROR(INDEX(PP_Grid[#Data],$DE1591,40),0)</f>
        <v/>
      </c>
      <c r="AR1591">
        <f>IFERROR(INDEX(PP_Grid[#Data],$DE1591,41),0)</f>
        <v/>
      </c>
      <c r="AS1591">
        <f>IFERROR(INDEX(PP_Grid[#Data],$DE1591,42),0)</f>
        <v/>
      </c>
      <c r="AT1591">
        <f>IFERROR(INDEX(PP_Grid[#Data],$DE1591,43),0)</f>
        <v/>
      </c>
      <c r="AU1591">
        <f>IFERROR(INDEX(PP_Grid[#Data],$DE1591,44),0)</f>
        <v/>
      </c>
      <c r="AV1591">
        <f>IFERROR(INDEX(PP_Grid[#Data],$DE1591,45),0)</f>
        <v/>
      </c>
      <c r="AW1591">
        <f>IFERROR(INDEX(PP_Grid[#Data],$DE1591,46),0)</f>
        <v/>
      </c>
      <c r="AX1591">
        <f>IFERROR(INDEX(PP_Grid[#Data],$DE1591,47),0)</f>
        <v/>
      </c>
      <c r="AY1591">
        <f>IFERROR(INDEX(PP_Grid[#Data],$DE1591,48),0)</f>
        <v/>
      </c>
      <c r="AZ1591">
        <f>IFERROR(INDEX(PP_Grid[#Data],$DE1591,49),0)</f>
        <v/>
      </c>
      <c r="BA1591">
        <f>IFERROR(INDEX(PP_Grid[#Data],$DE1591,50),0)</f>
        <v/>
      </c>
      <c r="BB1591">
        <f>IFERROR(INDEX(PP_Grid[#Data],$DE1591,51),0)</f>
        <v/>
      </c>
      <c r="BC1591">
        <f>IFERROR(INDEX(PP_Grid[#Data],$DE1591,52),0)</f>
        <v/>
      </c>
      <c r="BD1591">
        <f>IFERROR(INDEX(PP_Grid[#Data],$DE1591,53),0)</f>
        <v/>
      </c>
      <c r="BE1591">
        <f>IFERROR(INDEX(PP_Grid[#Data],$DE1591,54),0)</f>
        <v/>
      </c>
      <c r="BF1591">
        <f>IFERROR(INDEX(PP_Grid[#Data],$DE1591,55),0)</f>
        <v/>
      </c>
      <c r="BG1591">
        <f>IFERROR(INDEX(PP_Grid[#Data],$DE1591,56),0)</f>
        <v/>
      </c>
      <c r="BH1591">
        <f>IFERROR(INDEX(PP_Grid[#Data],$DE1591,57),0)</f>
        <v/>
      </c>
      <c r="BI1591">
        <f>IFERROR(INDEX(PP_Grid[#Data],$DE1591,58),0)</f>
        <v/>
      </c>
      <c r="BJ1591">
        <f>IFERROR(INDEX(PP_Grid[#Data],$DE1591,59),0)</f>
        <v/>
      </c>
      <c r="BK1591">
        <f>IFERROR(INDEX(PP_Grid[#Data],$DE1591,60),0)</f>
        <v/>
      </c>
      <c r="BL1591">
        <f>IFERROR(INDEX(PP_Grid[#Data],$DE1591,61),0)</f>
        <v/>
      </c>
      <c r="BM1591">
        <f>IFERROR(INDEX(PP_Grid[#Data],$DE1591,62),0)</f>
        <v/>
      </c>
      <c r="BN1591">
        <f>IFERROR(INDEX(PP_Grid[#Data],$DE1591,63),0)</f>
        <v/>
      </c>
      <c r="BO1591">
        <f>IFERROR(INDEX(PP_Grid[#Data],$DE1591,64),0)</f>
        <v/>
      </c>
      <c r="BP1591">
        <f>IFERROR(INDEX(PP_Grid[#Data],$DE1591,65),0)</f>
        <v/>
      </c>
      <c r="BQ1591">
        <f>IFERROR(INDEX(PP_Grid[#Data],$DE1591,66),0)</f>
        <v/>
      </c>
      <c r="BR1591">
        <f>IFERROR(INDEX(PP_Grid[#Data],$DE1591,67),0)</f>
        <v/>
      </c>
      <c r="BS1591">
        <f>IFERROR(INDEX(PP_Grid[#Data],$DE1591,68),0)</f>
        <v/>
      </c>
      <c r="BT1591">
        <f>IFERROR(INDEX(PP_Grid[#Data],$DE1591,69),0)</f>
        <v/>
      </c>
      <c r="BU1591">
        <f>IFERROR(INDEX(PP_Grid[#Data],$DE1591,70),0)</f>
        <v/>
      </c>
      <c r="BV1591">
        <f>IFERROR(INDEX(PP_Grid[#Data],$DE1591,71),0)</f>
        <v/>
      </c>
      <c r="BW1591">
        <f>IFERROR(INDEX(PP_Grid[#Data],$DE1591,72),0)</f>
        <v/>
      </c>
      <c r="BX1591">
        <f>IFERROR(INDEX(PP_Grid[#Data],$DE1591,73),0)</f>
        <v/>
      </c>
      <c r="BY1591">
        <f>IFERROR(INDEX(PP_Grid[#Data],$DE1591,74),0)</f>
        <v/>
      </c>
      <c r="BZ1591">
        <f>IFERROR(INDEX(PP_Grid[#Data],$DE1591,75),0)</f>
        <v/>
      </c>
      <c r="CA1591">
        <f>IFERROR(INDEX(PP_Grid[#Data],$DE1591,76),0)</f>
        <v/>
      </c>
      <c r="CB1591">
        <f>IFERROR(INDEX(PP_Grid[#Data],$DE1591,77),0)</f>
        <v/>
      </c>
      <c r="CC1591">
        <f>IFERROR(INDEX(PP_Grid[#Data],$DE1591,78),0)</f>
        <v/>
      </c>
      <c r="CD1591">
        <f>IFERROR(INDEX(PP_Grid[#Data],$DE1591,79),0)</f>
        <v/>
      </c>
      <c r="CE1591">
        <f>IFERROR(INDEX(PP_Grid[#Data],$DE1591,80),0)</f>
        <v/>
      </c>
      <c r="CF1591">
        <f>IFERROR(INDEX(PP_Grid[#Data],$DE1591,81),0)</f>
        <v/>
      </c>
      <c r="CG1591">
        <f>IFERROR(INDEX(PP_Grid[#Data],$DE1591,82),0)</f>
        <v/>
      </c>
      <c r="CH1591">
        <f>IFERROR(INDEX(PP_Grid[#Data],$DE1591,83),0)</f>
        <v/>
      </c>
      <c r="CI1591">
        <f>IFERROR(INDEX(PP_Grid[#Data],$DE1591,84),0)</f>
        <v/>
      </c>
      <c r="CJ1591">
        <f>IFERROR(INDEX(PP_Grid[#Data],$DE1591,85),0)</f>
        <v/>
      </c>
      <c r="CK1591">
        <f>IFERROR(INDEX(PP_Grid[#Data],$DE1591,86),0)</f>
        <v/>
      </c>
      <c r="CL1591">
        <f>IFERROR(INDEX(PP_Grid[#Data],$DE1591,87),0)</f>
        <v/>
      </c>
      <c r="CM1591">
        <f>IFERROR(INDEX(PP_Grid[#Data],$DE1591,88),0)</f>
        <v/>
      </c>
      <c r="CN1591">
        <f>IFERROR(INDEX(PP_Grid[#Data],$DE1591,89),0)</f>
        <v/>
      </c>
      <c r="CO1591">
        <f>IFERROR(INDEX(PP_Grid[#Data],$DE1591,90),0)</f>
        <v/>
      </c>
      <c r="CP1591">
        <f>IFERROR(INDEX(PP_Grid[#Data],$DE1591,91),0)</f>
        <v/>
      </c>
      <c r="CQ1591">
        <f>IFERROR(INDEX(PP_Grid[#Data],$DE1591,92),0)</f>
        <v/>
      </c>
      <c r="CR1591">
        <f>IFERROR(INDEX(PP_Grid[#Data],$DE1591,93),0)</f>
        <v/>
      </c>
      <c r="CS1591">
        <f>IFERROR(INDEX(PP_Grid[#Data],$DE1591,94),0)</f>
        <v/>
      </c>
      <c r="CT1591">
        <f>IFERROR(INDEX(PP_Grid[#Data],$DE1591,95),0)</f>
        <v/>
      </c>
      <c r="CU1591">
        <f>IFERROR(INDEX(PP_Grid[#Data],$DE1591,96),0)</f>
        <v/>
      </c>
      <c r="CV1591">
        <f>IFERROR(INDEX(PP_Grid[#Data],$DE1591,97),0)</f>
        <v/>
      </c>
      <c r="CW1591">
        <f>IFERROR(INDEX(PP_Grid[#Data],$DE1591,98),0)</f>
        <v/>
      </c>
      <c r="CX1591">
        <f>IFERROR(INDEX(PP_Grid[#Data],$DE1591,99),0)</f>
        <v/>
      </c>
      <c r="CY1591">
        <f>IFERROR(INDEX(PP_Grid[#Data],$DE1591,100),0)</f>
        <v/>
      </c>
      <c r="CZ1591">
        <f>IFERROR(INDEX(PP_Grid[#Data],$DE1591,101),0)</f>
        <v/>
      </c>
      <c r="DA1591">
        <f>IFERROR(INDEX(PP_Grid[#Data],$DE1591,102),0)</f>
        <v/>
      </c>
      <c r="DB1591">
        <f>IFERROR(INDEX(PP_Grid[#Data],$DE1591,103),0)</f>
        <v/>
      </c>
      <c r="DC1591">
        <f>IFERROR(INDEX(PP_Grid[#Data],$DE1591,104),0)</f>
        <v/>
      </c>
      <c r="DD1591">
        <f>IFERROR(INDEX(PP_Grid[#Data],$DE1591,105),0)</f>
        <v/>
      </c>
      <c r="DE1591" s="7">
        <f>IFERROR(MATCH($B1591,PP_Grid[Intermediate],0),99999)</f>
        <v/>
      </c>
    </row>
    <row r="1592">
      <c r="B1592" t="inlineStr">
        <is>
          <t>使用量(kg)</t>
        </is>
      </c>
      <c r="C1592">
        <f>SUMIFS(M_BOM[RM_Qty_Per_Batch],M_BOM[Intermediate],$B1591,M_BOM[RM_Code],$A1586)</f>
        <v/>
      </c>
      <c r="D1592">
        <f>IFERROR(INDEX(E1592:DD1592,$F$1),"")</f>
        <v/>
      </c>
      <c r="E1592">
        <f>$C1592*E1591</f>
        <v/>
      </c>
      <c r="F1592">
        <f>$C1592*F1591</f>
        <v/>
      </c>
      <c r="G1592">
        <f>$C1592*G1591</f>
        <v/>
      </c>
      <c r="H1592">
        <f>$C1592*H1591</f>
        <v/>
      </c>
      <c r="I1592">
        <f>$C1592*I1591</f>
        <v/>
      </c>
      <c r="J1592">
        <f>$C1592*J1591</f>
        <v/>
      </c>
      <c r="K1592">
        <f>$C1592*K1591</f>
        <v/>
      </c>
      <c r="L1592">
        <f>$C1592*L1591</f>
        <v/>
      </c>
      <c r="M1592">
        <f>$C1592*M1591</f>
        <v/>
      </c>
      <c r="N1592">
        <f>$C1592*N1591</f>
        <v/>
      </c>
      <c r="O1592">
        <f>$C1592*O1591</f>
        <v/>
      </c>
      <c r="P1592">
        <f>$C1592*P1591</f>
        <v/>
      </c>
      <c r="Q1592">
        <f>$C1592*Q1591</f>
        <v/>
      </c>
      <c r="R1592">
        <f>$C1592*R1591</f>
        <v/>
      </c>
      <c r="S1592">
        <f>$C1592*S1591</f>
        <v/>
      </c>
      <c r="T1592">
        <f>$C1592*T1591</f>
        <v/>
      </c>
      <c r="U1592">
        <f>$C1592*U1591</f>
        <v/>
      </c>
      <c r="V1592">
        <f>$C1592*V1591</f>
        <v/>
      </c>
      <c r="W1592">
        <f>$C1592*W1591</f>
        <v/>
      </c>
      <c r="X1592">
        <f>$C1592*X1591</f>
        <v/>
      </c>
      <c r="Y1592">
        <f>$C1592*Y1591</f>
        <v/>
      </c>
      <c r="Z1592">
        <f>$C1592*Z1591</f>
        <v/>
      </c>
      <c r="AA1592">
        <f>$C1592*AA1591</f>
        <v/>
      </c>
      <c r="AB1592">
        <f>$C1592*AB1591</f>
        <v/>
      </c>
      <c r="AC1592">
        <f>$C1592*AC1591</f>
        <v/>
      </c>
      <c r="AD1592">
        <f>$C1592*AD1591</f>
        <v/>
      </c>
      <c r="AE1592">
        <f>$C1592*AE1591</f>
        <v/>
      </c>
      <c r="AF1592">
        <f>$C1592*AF1591</f>
        <v/>
      </c>
      <c r="AG1592">
        <f>$C1592*AG1591</f>
        <v/>
      </c>
      <c r="AH1592">
        <f>$C1592*AH1591</f>
        <v/>
      </c>
      <c r="AI1592">
        <f>$C1592*AI1591</f>
        <v/>
      </c>
      <c r="AJ1592">
        <f>$C1592*AJ1591</f>
        <v/>
      </c>
      <c r="AK1592">
        <f>$C1592*AK1591</f>
        <v/>
      </c>
      <c r="AL1592">
        <f>$C1592*AL1591</f>
        <v/>
      </c>
      <c r="AM1592">
        <f>$C1592*AM1591</f>
        <v/>
      </c>
      <c r="AN1592">
        <f>$C1592*AN1591</f>
        <v/>
      </c>
      <c r="AO1592">
        <f>$C1592*AO1591</f>
        <v/>
      </c>
      <c r="AP1592">
        <f>$C1592*AP1591</f>
        <v/>
      </c>
      <c r="AQ1592">
        <f>$C1592*AQ1591</f>
        <v/>
      </c>
      <c r="AR1592">
        <f>$C1592*AR1591</f>
        <v/>
      </c>
      <c r="AS1592">
        <f>$C1592*AS1591</f>
        <v/>
      </c>
      <c r="AT1592">
        <f>$C1592*AT1591</f>
        <v/>
      </c>
      <c r="AU1592">
        <f>$C1592*AU1591</f>
        <v/>
      </c>
      <c r="AV1592">
        <f>$C1592*AV1591</f>
        <v/>
      </c>
      <c r="AW1592">
        <f>$C1592*AW1591</f>
        <v/>
      </c>
      <c r="AX1592">
        <f>$C1592*AX1591</f>
        <v/>
      </c>
      <c r="AY1592">
        <f>$C1592*AY1591</f>
        <v/>
      </c>
      <c r="AZ1592">
        <f>$C1592*AZ1591</f>
        <v/>
      </c>
      <c r="BA1592">
        <f>$C1592*BA1591</f>
        <v/>
      </c>
      <c r="BB1592">
        <f>$C1592*BB1591</f>
        <v/>
      </c>
      <c r="BC1592">
        <f>$C1592*BC1591</f>
        <v/>
      </c>
      <c r="BD1592">
        <f>$C1592*BD1591</f>
        <v/>
      </c>
      <c r="BE1592">
        <f>$C1592*BE1591</f>
        <v/>
      </c>
      <c r="BF1592">
        <f>$C1592*BF1591</f>
        <v/>
      </c>
      <c r="BG1592">
        <f>$C1592*BG1591</f>
        <v/>
      </c>
      <c r="BH1592">
        <f>$C1592*BH1591</f>
        <v/>
      </c>
      <c r="BI1592">
        <f>$C1592*BI1591</f>
        <v/>
      </c>
      <c r="BJ1592">
        <f>$C1592*BJ1591</f>
        <v/>
      </c>
      <c r="BK1592">
        <f>$C1592*BK1591</f>
        <v/>
      </c>
      <c r="BL1592">
        <f>$C1592*BL1591</f>
        <v/>
      </c>
      <c r="BM1592">
        <f>$C1592*BM1591</f>
        <v/>
      </c>
      <c r="BN1592">
        <f>$C1592*BN1591</f>
        <v/>
      </c>
      <c r="BO1592">
        <f>$C1592*BO1591</f>
        <v/>
      </c>
      <c r="BP1592">
        <f>$C1592*BP1591</f>
        <v/>
      </c>
      <c r="BQ1592">
        <f>$C1592*BQ1591</f>
        <v/>
      </c>
      <c r="BR1592">
        <f>$C1592*BR1591</f>
        <v/>
      </c>
      <c r="BS1592">
        <f>$C1592*BS1591</f>
        <v/>
      </c>
      <c r="BT1592">
        <f>$C1592*BT1591</f>
        <v/>
      </c>
      <c r="BU1592">
        <f>$C1592*BU1591</f>
        <v/>
      </c>
      <c r="BV1592">
        <f>$C1592*BV1591</f>
        <v/>
      </c>
      <c r="BW1592">
        <f>$C1592*BW1591</f>
        <v/>
      </c>
      <c r="BX1592">
        <f>$C1592*BX1591</f>
        <v/>
      </c>
      <c r="BY1592">
        <f>$C1592*BY1591</f>
        <v/>
      </c>
      <c r="BZ1592">
        <f>$C1592*BZ1591</f>
        <v/>
      </c>
      <c r="CA1592">
        <f>$C1592*CA1591</f>
        <v/>
      </c>
      <c r="CB1592">
        <f>$C1592*CB1591</f>
        <v/>
      </c>
      <c r="CC1592">
        <f>$C1592*CC1591</f>
        <v/>
      </c>
      <c r="CD1592">
        <f>$C1592*CD1591</f>
        <v/>
      </c>
      <c r="CE1592">
        <f>$C1592*CE1591</f>
        <v/>
      </c>
      <c r="CF1592">
        <f>$C1592*CF1591</f>
        <v/>
      </c>
      <c r="CG1592">
        <f>$C1592*CG1591</f>
        <v/>
      </c>
      <c r="CH1592">
        <f>$C1592*CH1591</f>
        <v/>
      </c>
      <c r="CI1592">
        <f>$C1592*CI1591</f>
        <v/>
      </c>
      <c r="CJ1592">
        <f>$C1592*CJ1591</f>
        <v/>
      </c>
      <c r="CK1592">
        <f>$C1592*CK1591</f>
        <v/>
      </c>
      <c r="CL1592">
        <f>$C1592*CL1591</f>
        <v/>
      </c>
      <c r="CM1592">
        <f>$C1592*CM1591</f>
        <v/>
      </c>
      <c r="CN1592">
        <f>$C1592*CN1591</f>
        <v/>
      </c>
      <c r="CO1592">
        <f>$C1592*CO1591</f>
        <v/>
      </c>
      <c r="CP1592">
        <f>$C1592*CP1591</f>
        <v/>
      </c>
      <c r="CQ1592">
        <f>$C1592*CQ1591</f>
        <v/>
      </c>
      <c r="CR1592">
        <f>$C1592*CR1591</f>
        <v/>
      </c>
      <c r="CS1592">
        <f>$C1592*CS1591</f>
        <v/>
      </c>
      <c r="CT1592">
        <f>$C1592*CT1591</f>
        <v/>
      </c>
      <c r="CU1592">
        <f>$C1592*CU1591</f>
        <v/>
      </c>
      <c r="CV1592">
        <f>$C1592*CV1591</f>
        <v/>
      </c>
      <c r="CW1592">
        <f>$C1592*CW1591</f>
        <v/>
      </c>
      <c r="CX1592">
        <f>$C1592*CX1591</f>
        <v/>
      </c>
      <c r="CY1592">
        <f>$C1592*CY1591</f>
        <v/>
      </c>
      <c r="CZ1592">
        <f>$C1592*CZ1591</f>
        <v/>
      </c>
      <c r="DA1592">
        <f>$C1592*DA1591</f>
        <v/>
      </c>
      <c r="DB1592">
        <f>$C1592*DB1591</f>
        <v/>
      </c>
      <c r="DC1592">
        <f>$C1592*DC1591</f>
        <v/>
      </c>
      <c r="DD1592">
        <f>$C1592*DD1591</f>
        <v/>
      </c>
    </row>
    <row r="1593">
      <c r="B1593" t="inlineStr">
        <is>
          <t>TPP-920</t>
        </is>
      </c>
      <c r="C1593" t="inlineStr">
        <is>
          <t>No. of batches</t>
        </is>
      </c>
      <c r="D1593">
        <f>IFERROR(INDEX(E1593:DD1593,$F$1),"")</f>
        <v/>
      </c>
      <c r="E1593">
        <f>IFERROR(INDEX(PP_Grid[#Data],$DE1593,2),0)</f>
        <v/>
      </c>
      <c r="F1593">
        <f>IFERROR(INDEX(PP_Grid[#Data],$DE1593,3),0)</f>
        <v/>
      </c>
      <c r="G1593">
        <f>IFERROR(INDEX(PP_Grid[#Data],$DE1593,4),0)</f>
        <v/>
      </c>
      <c r="H1593">
        <f>IFERROR(INDEX(PP_Grid[#Data],$DE1593,5),0)</f>
        <v/>
      </c>
      <c r="I1593">
        <f>IFERROR(INDEX(PP_Grid[#Data],$DE1593,6),0)</f>
        <v/>
      </c>
      <c r="J1593">
        <f>IFERROR(INDEX(PP_Grid[#Data],$DE1593,7),0)</f>
        <v/>
      </c>
      <c r="K1593">
        <f>IFERROR(INDEX(PP_Grid[#Data],$DE1593,8),0)</f>
        <v/>
      </c>
      <c r="L1593">
        <f>IFERROR(INDEX(PP_Grid[#Data],$DE1593,9),0)</f>
        <v/>
      </c>
      <c r="M1593">
        <f>IFERROR(INDEX(PP_Grid[#Data],$DE1593,10),0)</f>
        <v/>
      </c>
      <c r="N1593">
        <f>IFERROR(INDEX(PP_Grid[#Data],$DE1593,11),0)</f>
        <v/>
      </c>
      <c r="O1593">
        <f>IFERROR(INDEX(PP_Grid[#Data],$DE1593,12),0)</f>
        <v/>
      </c>
      <c r="P1593">
        <f>IFERROR(INDEX(PP_Grid[#Data],$DE1593,13),0)</f>
        <v/>
      </c>
      <c r="Q1593">
        <f>IFERROR(INDEX(PP_Grid[#Data],$DE1593,14),0)</f>
        <v/>
      </c>
      <c r="R1593">
        <f>IFERROR(INDEX(PP_Grid[#Data],$DE1593,15),0)</f>
        <v/>
      </c>
      <c r="S1593">
        <f>IFERROR(INDEX(PP_Grid[#Data],$DE1593,16),0)</f>
        <v/>
      </c>
      <c r="T1593">
        <f>IFERROR(INDEX(PP_Grid[#Data],$DE1593,17),0)</f>
        <v/>
      </c>
      <c r="U1593">
        <f>IFERROR(INDEX(PP_Grid[#Data],$DE1593,18),0)</f>
        <v/>
      </c>
      <c r="V1593">
        <f>IFERROR(INDEX(PP_Grid[#Data],$DE1593,19),0)</f>
        <v/>
      </c>
      <c r="W1593">
        <f>IFERROR(INDEX(PP_Grid[#Data],$DE1593,20),0)</f>
        <v/>
      </c>
      <c r="X1593">
        <f>IFERROR(INDEX(PP_Grid[#Data],$DE1593,21),0)</f>
        <v/>
      </c>
      <c r="Y1593">
        <f>IFERROR(INDEX(PP_Grid[#Data],$DE1593,22),0)</f>
        <v/>
      </c>
      <c r="Z1593">
        <f>IFERROR(INDEX(PP_Grid[#Data],$DE1593,23),0)</f>
        <v/>
      </c>
      <c r="AA1593">
        <f>IFERROR(INDEX(PP_Grid[#Data],$DE1593,24),0)</f>
        <v/>
      </c>
      <c r="AB1593">
        <f>IFERROR(INDEX(PP_Grid[#Data],$DE1593,25),0)</f>
        <v/>
      </c>
      <c r="AC1593">
        <f>IFERROR(INDEX(PP_Grid[#Data],$DE1593,26),0)</f>
        <v/>
      </c>
      <c r="AD1593">
        <f>IFERROR(INDEX(PP_Grid[#Data],$DE1593,27),0)</f>
        <v/>
      </c>
      <c r="AE1593">
        <f>IFERROR(INDEX(PP_Grid[#Data],$DE1593,28),0)</f>
        <v/>
      </c>
      <c r="AF1593">
        <f>IFERROR(INDEX(PP_Grid[#Data],$DE1593,29),0)</f>
        <v/>
      </c>
      <c r="AG1593">
        <f>IFERROR(INDEX(PP_Grid[#Data],$DE1593,30),0)</f>
        <v/>
      </c>
      <c r="AH1593">
        <f>IFERROR(INDEX(PP_Grid[#Data],$DE1593,31),0)</f>
        <v/>
      </c>
      <c r="AI1593">
        <f>IFERROR(INDEX(PP_Grid[#Data],$DE1593,32),0)</f>
        <v/>
      </c>
      <c r="AJ1593">
        <f>IFERROR(INDEX(PP_Grid[#Data],$DE1593,33),0)</f>
        <v/>
      </c>
      <c r="AK1593">
        <f>IFERROR(INDEX(PP_Grid[#Data],$DE1593,34),0)</f>
        <v/>
      </c>
      <c r="AL1593">
        <f>IFERROR(INDEX(PP_Grid[#Data],$DE1593,35),0)</f>
        <v/>
      </c>
      <c r="AM1593">
        <f>IFERROR(INDEX(PP_Grid[#Data],$DE1593,36),0)</f>
        <v/>
      </c>
      <c r="AN1593">
        <f>IFERROR(INDEX(PP_Grid[#Data],$DE1593,37),0)</f>
        <v/>
      </c>
      <c r="AO1593">
        <f>IFERROR(INDEX(PP_Grid[#Data],$DE1593,38),0)</f>
        <v/>
      </c>
      <c r="AP1593">
        <f>IFERROR(INDEX(PP_Grid[#Data],$DE1593,39),0)</f>
        <v/>
      </c>
      <c r="AQ1593">
        <f>IFERROR(INDEX(PP_Grid[#Data],$DE1593,40),0)</f>
        <v/>
      </c>
      <c r="AR1593">
        <f>IFERROR(INDEX(PP_Grid[#Data],$DE1593,41),0)</f>
        <v/>
      </c>
      <c r="AS1593">
        <f>IFERROR(INDEX(PP_Grid[#Data],$DE1593,42),0)</f>
        <v/>
      </c>
      <c r="AT1593">
        <f>IFERROR(INDEX(PP_Grid[#Data],$DE1593,43),0)</f>
        <v/>
      </c>
      <c r="AU1593">
        <f>IFERROR(INDEX(PP_Grid[#Data],$DE1593,44),0)</f>
        <v/>
      </c>
      <c r="AV1593">
        <f>IFERROR(INDEX(PP_Grid[#Data],$DE1593,45),0)</f>
        <v/>
      </c>
      <c r="AW1593">
        <f>IFERROR(INDEX(PP_Grid[#Data],$DE1593,46),0)</f>
        <v/>
      </c>
      <c r="AX1593">
        <f>IFERROR(INDEX(PP_Grid[#Data],$DE1593,47),0)</f>
        <v/>
      </c>
      <c r="AY1593">
        <f>IFERROR(INDEX(PP_Grid[#Data],$DE1593,48),0)</f>
        <v/>
      </c>
      <c r="AZ1593">
        <f>IFERROR(INDEX(PP_Grid[#Data],$DE1593,49),0)</f>
        <v/>
      </c>
      <c r="BA1593">
        <f>IFERROR(INDEX(PP_Grid[#Data],$DE1593,50),0)</f>
        <v/>
      </c>
      <c r="BB1593">
        <f>IFERROR(INDEX(PP_Grid[#Data],$DE1593,51),0)</f>
        <v/>
      </c>
      <c r="BC1593">
        <f>IFERROR(INDEX(PP_Grid[#Data],$DE1593,52),0)</f>
        <v/>
      </c>
      <c r="BD1593">
        <f>IFERROR(INDEX(PP_Grid[#Data],$DE1593,53),0)</f>
        <v/>
      </c>
      <c r="BE1593">
        <f>IFERROR(INDEX(PP_Grid[#Data],$DE1593,54),0)</f>
        <v/>
      </c>
      <c r="BF1593">
        <f>IFERROR(INDEX(PP_Grid[#Data],$DE1593,55),0)</f>
        <v/>
      </c>
      <c r="BG1593">
        <f>IFERROR(INDEX(PP_Grid[#Data],$DE1593,56),0)</f>
        <v/>
      </c>
      <c r="BH1593">
        <f>IFERROR(INDEX(PP_Grid[#Data],$DE1593,57),0)</f>
        <v/>
      </c>
      <c r="BI1593">
        <f>IFERROR(INDEX(PP_Grid[#Data],$DE1593,58),0)</f>
        <v/>
      </c>
      <c r="BJ1593">
        <f>IFERROR(INDEX(PP_Grid[#Data],$DE1593,59),0)</f>
        <v/>
      </c>
      <c r="BK1593">
        <f>IFERROR(INDEX(PP_Grid[#Data],$DE1593,60),0)</f>
        <v/>
      </c>
      <c r="BL1593">
        <f>IFERROR(INDEX(PP_Grid[#Data],$DE1593,61),0)</f>
        <v/>
      </c>
      <c r="BM1593">
        <f>IFERROR(INDEX(PP_Grid[#Data],$DE1593,62),0)</f>
        <v/>
      </c>
      <c r="BN1593">
        <f>IFERROR(INDEX(PP_Grid[#Data],$DE1593,63),0)</f>
        <v/>
      </c>
      <c r="BO1593">
        <f>IFERROR(INDEX(PP_Grid[#Data],$DE1593,64),0)</f>
        <v/>
      </c>
      <c r="BP1593">
        <f>IFERROR(INDEX(PP_Grid[#Data],$DE1593,65),0)</f>
        <v/>
      </c>
      <c r="BQ1593">
        <f>IFERROR(INDEX(PP_Grid[#Data],$DE1593,66),0)</f>
        <v/>
      </c>
      <c r="BR1593">
        <f>IFERROR(INDEX(PP_Grid[#Data],$DE1593,67),0)</f>
        <v/>
      </c>
      <c r="BS1593">
        <f>IFERROR(INDEX(PP_Grid[#Data],$DE1593,68),0)</f>
        <v/>
      </c>
      <c r="BT1593">
        <f>IFERROR(INDEX(PP_Grid[#Data],$DE1593,69),0)</f>
        <v/>
      </c>
      <c r="BU1593">
        <f>IFERROR(INDEX(PP_Grid[#Data],$DE1593,70),0)</f>
        <v/>
      </c>
      <c r="BV1593">
        <f>IFERROR(INDEX(PP_Grid[#Data],$DE1593,71),0)</f>
        <v/>
      </c>
      <c r="BW1593">
        <f>IFERROR(INDEX(PP_Grid[#Data],$DE1593,72),0)</f>
        <v/>
      </c>
      <c r="BX1593">
        <f>IFERROR(INDEX(PP_Grid[#Data],$DE1593,73),0)</f>
        <v/>
      </c>
      <c r="BY1593">
        <f>IFERROR(INDEX(PP_Grid[#Data],$DE1593,74),0)</f>
        <v/>
      </c>
      <c r="BZ1593">
        <f>IFERROR(INDEX(PP_Grid[#Data],$DE1593,75),0)</f>
        <v/>
      </c>
      <c r="CA1593">
        <f>IFERROR(INDEX(PP_Grid[#Data],$DE1593,76),0)</f>
        <v/>
      </c>
      <c r="CB1593">
        <f>IFERROR(INDEX(PP_Grid[#Data],$DE1593,77),0)</f>
        <v/>
      </c>
      <c r="CC1593">
        <f>IFERROR(INDEX(PP_Grid[#Data],$DE1593,78),0)</f>
        <v/>
      </c>
      <c r="CD1593">
        <f>IFERROR(INDEX(PP_Grid[#Data],$DE1593,79),0)</f>
        <v/>
      </c>
      <c r="CE1593">
        <f>IFERROR(INDEX(PP_Grid[#Data],$DE1593,80),0)</f>
        <v/>
      </c>
      <c r="CF1593">
        <f>IFERROR(INDEX(PP_Grid[#Data],$DE1593,81),0)</f>
        <v/>
      </c>
      <c r="CG1593">
        <f>IFERROR(INDEX(PP_Grid[#Data],$DE1593,82),0)</f>
        <v/>
      </c>
      <c r="CH1593">
        <f>IFERROR(INDEX(PP_Grid[#Data],$DE1593,83),0)</f>
        <v/>
      </c>
      <c r="CI1593">
        <f>IFERROR(INDEX(PP_Grid[#Data],$DE1593,84),0)</f>
        <v/>
      </c>
      <c r="CJ1593">
        <f>IFERROR(INDEX(PP_Grid[#Data],$DE1593,85),0)</f>
        <v/>
      </c>
      <c r="CK1593">
        <f>IFERROR(INDEX(PP_Grid[#Data],$DE1593,86),0)</f>
        <v/>
      </c>
      <c r="CL1593">
        <f>IFERROR(INDEX(PP_Grid[#Data],$DE1593,87),0)</f>
        <v/>
      </c>
      <c r="CM1593">
        <f>IFERROR(INDEX(PP_Grid[#Data],$DE1593,88),0)</f>
        <v/>
      </c>
      <c r="CN1593">
        <f>IFERROR(INDEX(PP_Grid[#Data],$DE1593,89),0)</f>
        <v/>
      </c>
      <c r="CO1593">
        <f>IFERROR(INDEX(PP_Grid[#Data],$DE1593,90),0)</f>
        <v/>
      </c>
      <c r="CP1593">
        <f>IFERROR(INDEX(PP_Grid[#Data],$DE1593,91),0)</f>
        <v/>
      </c>
      <c r="CQ1593">
        <f>IFERROR(INDEX(PP_Grid[#Data],$DE1593,92),0)</f>
        <v/>
      </c>
      <c r="CR1593">
        <f>IFERROR(INDEX(PP_Grid[#Data],$DE1593,93),0)</f>
        <v/>
      </c>
      <c r="CS1593">
        <f>IFERROR(INDEX(PP_Grid[#Data],$DE1593,94),0)</f>
        <v/>
      </c>
      <c r="CT1593">
        <f>IFERROR(INDEX(PP_Grid[#Data],$DE1593,95),0)</f>
        <v/>
      </c>
      <c r="CU1593">
        <f>IFERROR(INDEX(PP_Grid[#Data],$DE1593,96),0)</f>
        <v/>
      </c>
      <c r="CV1593">
        <f>IFERROR(INDEX(PP_Grid[#Data],$DE1593,97),0)</f>
        <v/>
      </c>
      <c r="CW1593">
        <f>IFERROR(INDEX(PP_Grid[#Data],$DE1593,98),0)</f>
        <v/>
      </c>
      <c r="CX1593">
        <f>IFERROR(INDEX(PP_Grid[#Data],$DE1593,99),0)</f>
        <v/>
      </c>
      <c r="CY1593">
        <f>IFERROR(INDEX(PP_Grid[#Data],$DE1593,100),0)</f>
        <v/>
      </c>
      <c r="CZ1593">
        <f>IFERROR(INDEX(PP_Grid[#Data],$DE1593,101),0)</f>
        <v/>
      </c>
      <c r="DA1593">
        <f>IFERROR(INDEX(PP_Grid[#Data],$DE1593,102),0)</f>
        <v/>
      </c>
      <c r="DB1593">
        <f>IFERROR(INDEX(PP_Grid[#Data],$DE1593,103),0)</f>
        <v/>
      </c>
      <c r="DC1593">
        <f>IFERROR(INDEX(PP_Grid[#Data],$DE1593,104),0)</f>
        <v/>
      </c>
      <c r="DD1593">
        <f>IFERROR(INDEX(PP_Grid[#Data],$DE1593,105),0)</f>
        <v/>
      </c>
      <c r="DE1593" s="7">
        <f>IFERROR(MATCH($B1593,PP_Grid[Intermediate],0),99999)</f>
        <v/>
      </c>
    </row>
    <row r="1594">
      <c r="B1594" t="inlineStr">
        <is>
          <t>使用量(kg)</t>
        </is>
      </c>
      <c r="C1594">
        <f>SUMIFS(M_BOM[RM_Qty_Per_Batch],M_BOM[Intermediate],$B1593,M_BOM[RM_Code],$A1586)</f>
        <v/>
      </c>
      <c r="D1594">
        <f>IFERROR(INDEX(E1594:DD1594,$F$1),"")</f>
        <v/>
      </c>
      <c r="E1594">
        <f>$C1594*E1593</f>
        <v/>
      </c>
      <c r="F1594">
        <f>$C1594*F1593</f>
        <v/>
      </c>
      <c r="G1594">
        <f>$C1594*G1593</f>
        <v/>
      </c>
      <c r="H1594">
        <f>$C1594*H1593</f>
        <v/>
      </c>
      <c r="I1594">
        <f>$C1594*I1593</f>
        <v/>
      </c>
      <c r="J1594">
        <f>$C1594*J1593</f>
        <v/>
      </c>
      <c r="K1594">
        <f>$C1594*K1593</f>
        <v/>
      </c>
      <c r="L1594">
        <f>$C1594*L1593</f>
        <v/>
      </c>
      <c r="M1594">
        <f>$C1594*M1593</f>
        <v/>
      </c>
      <c r="N1594">
        <f>$C1594*N1593</f>
        <v/>
      </c>
      <c r="O1594">
        <f>$C1594*O1593</f>
        <v/>
      </c>
      <c r="P1594">
        <f>$C1594*P1593</f>
        <v/>
      </c>
      <c r="Q1594">
        <f>$C1594*Q1593</f>
        <v/>
      </c>
      <c r="R1594">
        <f>$C1594*R1593</f>
        <v/>
      </c>
      <c r="S1594">
        <f>$C1594*S1593</f>
        <v/>
      </c>
      <c r="T1594">
        <f>$C1594*T1593</f>
        <v/>
      </c>
      <c r="U1594">
        <f>$C1594*U1593</f>
        <v/>
      </c>
      <c r="V1594">
        <f>$C1594*V1593</f>
        <v/>
      </c>
      <c r="W1594">
        <f>$C1594*W1593</f>
        <v/>
      </c>
      <c r="X1594">
        <f>$C1594*X1593</f>
        <v/>
      </c>
      <c r="Y1594">
        <f>$C1594*Y1593</f>
        <v/>
      </c>
      <c r="Z1594">
        <f>$C1594*Z1593</f>
        <v/>
      </c>
      <c r="AA1594">
        <f>$C1594*AA1593</f>
        <v/>
      </c>
      <c r="AB1594">
        <f>$C1594*AB1593</f>
        <v/>
      </c>
      <c r="AC1594">
        <f>$C1594*AC1593</f>
        <v/>
      </c>
      <c r="AD1594">
        <f>$C1594*AD1593</f>
        <v/>
      </c>
      <c r="AE1594">
        <f>$C1594*AE1593</f>
        <v/>
      </c>
      <c r="AF1594">
        <f>$C1594*AF1593</f>
        <v/>
      </c>
      <c r="AG1594">
        <f>$C1594*AG1593</f>
        <v/>
      </c>
      <c r="AH1594">
        <f>$C1594*AH1593</f>
        <v/>
      </c>
      <c r="AI1594">
        <f>$C1594*AI1593</f>
        <v/>
      </c>
      <c r="AJ1594">
        <f>$C1594*AJ1593</f>
        <v/>
      </c>
      <c r="AK1594">
        <f>$C1594*AK1593</f>
        <v/>
      </c>
      <c r="AL1594">
        <f>$C1594*AL1593</f>
        <v/>
      </c>
      <c r="AM1594">
        <f>$C1594*AM1593</f>
        <v/>
      </c>
      <c r="AN1594">
        <f>$C1594*AN1593</f>
        <v/>
      </c>
      <c r="AO1594">
        <f>$C1594*AO1593</f>
        <v/>
      </c>
      <c r="AP1594">
        <f>$C1594*AP1593</f>
        <v/>
      </c>
      <c r="AQ1594">
        <f>$C1594*AQ1593</f>
        <v/>
      </c>
      <c r="AR1594">
        <f>$C1594*AR1593</f>
        <v/>
      </c>
      <c r="AS1594">
        <f>$C1594*AS1593</f>
        <v/>
      </c>
      <c r="AT1594">
        <f>$C1594*AT1593</f>
        <v/>
      </c>
      <c r="AU1594">
        <f>$C1594*AU1593</f>
        <v/>
      </c>
      <c r="AV1594">
        <f>$C1594*AV1593</f>
        <v/>
      </c>
      <c r="AW1594">
        <f>$C1594*AW1593</f>
        <v/>
      </c>
      <c r="AX1594">
        <f>$C1594*AX1593</f>
        <v/>
      </c>
      <c r="AY1594">
        <f>$C1594*AY1593</f>
        <v/>
      </c>
      <c r="AZ1594">
        <f>$C1594*AZ1593</f>
        <v/>
      </c>
      <c r="BA1594">
        <f>$C1594*BA1593</f>
        <v/>
      </c>
      <c r="BB1594">
        <f>$C1594*BB1593</f>
        <v/>
      </c>
      <c r="BC1594">
        <f>$C1594*BC1593</f>
        <v/>
      </c>
      <c r="BD1594">
        <f>$C1594*BD1593</f>
        <v/>
      </c>
      <c r="BE1594">
        <f>$C1594*BE1593</f>
        <v/>
      </c>
      <c r="BF1594">
        <f>$C1594*BF1593</f>
        <v/>
      </c>
      <c r="BG1594">
        <f>$C1594*BG1593</f>
        <v/>
      </c>
      <c r="BH1594">
        <f>$C1594*BH1593</f>
        <v/>
      </c>
      <c r="BI1594">
        <f>$C1594*BI1593</f>
        <v/>
      </c>
      <c r="BJ1594">
        <f>$C1594*BJ1593</f>
        <v/>
      </c>
      <c r="BK1594">
        <f>$C1594*BK1593</f>
        <v/>
      </c>
      <c r="BL1594">
        <f>$C1594*BL1593</f>
        <v/>
      </c>
      <c r="BM1594">
        <f>$C1594*BM1593</f>
        <v/>
      </c>
      <c r="BN1594">
        <f>$C1594*BN1593</f>
        <v/>
      </c>
      <c r="BO1594">
        <f>$C1594*BO1593</f>
        <v/>
      </c>
      <c r="BP1594">
        <f>$C1594*BP1593</f>
        <v/>
      </c>
      <c r="BQ1594">
        <f>$C1594*BQ1593</f>
        <v/>
      </c>
      <c r="BR1594">
        <f>$C1594*BR1593</f>
        <v/>
      </c>
      <c r="BS1594">
        <f>$C1594*BS1593</f>
        <v/>
      </c>
      <c r="BT1594">
        <f>$C1594*BT1593</f>
        <v/>
      </c>
      <c r="BU1594">
        <f>$C1594*BU1593</f>
        <v/>
      </c>
      <c r="BV1594">
        <f>$C1594*BV1593</f>
        <v/>
      </c>
      <c r="BW1594">
        <f>$C1594*BW1593</f>
        <v/>
      </c>
      <c r="BX1594">
        <f>$C1594*BX1593</f>
        <v/>
      </c>
      <c r="BY1594">
        <f>$C1594*BY1593</f>
        <v/>
      </c>
      <c r="BZ1594">
        <f>$C1594*BZ1593</f>
        <v/>
      </c>
      <c r="CA1594">
        <f>$C1594*CA1593</f>
        <v/>
      </c>
      <c r="CB1594">
        <f>$C1594*CB1593</f>
        <v/>
      </c>
      <c r="CC1594">
        <f>$C1594*CC1593</f>
        <v/>
      </c>
      <c r="CD1594">
        <f>$C1594*CD1593</f>
        <v/>
      </c>
      <c r="CE1594">
        <f>$C1594*CE1593</f>
        <v/>
      </c>
      <c r="CF1594">
        <f>$C1594*CF1593</f>
        <v/>
      </c>
      <c r="CG1594">
        <f>$C1594*CG1593</f>
        <v/>
      </c>
      <c r="CH1594">
        <f>$C1594*CH1593</f>
        <v/>
      </c>
      <c r="CI1594">
        <f>$C1594*CI1593</f>
        <v/>
      </c>
      <c r="CJ1594">
        <f>$C1594*CJ1593</f>
        <v/>
      </c>
      <c r="CK1594">
        <f>$C1594*CK1593</f>
        <v/>
      </c>
      <c r="CL1594">
        <f>$C1594*CL1593</f>
        <v/>
      </c>
      <c r="CM1594">
        <f>$C1594*CM1593</f>
        <v/>
      </c>
      <c r="CN1594">
        <f>$C1594*CN1593</f>
        <v/>
      </c>
      <c r="CO1594">
        <f>$C1594*CO1593</f>
        <v/>
      </c>
      <c r="CP1594">
        <f>$C1594*CP1593</f>
        <v/>
      </c>
      <c r="CQ1594">
        <f>$C1594*CQ1593</f>
        <v/>
      </c>
      <c r="CR1594">
        <f>$C1594*CR1593</f>
        <v/>
      </c>
      <c r="CS1594">
        <f>$C1594*CS1593</f>
        <v/>
      </c>
      <c r="CT1594">
        <f>$C1594*CT1593</f>
        <v/>
      </c>
      <c r="CU1594">
        <f>$C1594*CU1593</f>
        <v/>
      </c>
      <c r="CV1594">
        <f>$C1594*CV1593</f>
        <v/>
      </c>
      <c r="CW1594">
        <f>$C1594*CW1593</f>
        <v/>
      </c>
      <c r="CX1594">
        <f>$C1594*CX1593</f>
        <v/>
      </c>
      <c r="CY1594">
        <f>$C1594*CY1593</f>
        <v/>
      </c>
      <c r="CZ1594">
        <f>$C1594*CZ1593</f>
        <v/>
      </c>
      <c r="DA1594">
        <f>$C1594*DA1593</f>
        <v/>
      </c>
      <c r="DB1594">
        <f>$C1594*DB1593</f>
        <v/>
      </c>
      <c r="DC1594">
        <f>$C1594*DC1593</f>
        <v/>
      </c>
      <c r="DD1594">
        <f>$C1594*DD1593</f>
        <v/>
      </c>
    </row>
    <row r="1595">
      <c r="B1595" t="inlineStr">
        <is>
          <t>TPP-914</t>
        </is>
      </c>
      <c r="C1595" t="inlineStr">
        <is>
          <t>No. of batches</t>
        </is>
      </c>
      <c r="D1595">
        <f>IFERROR(INDEX(E1595:DD1595,$F$1),"")</f>
        <v/>
      </c>
      <c r="E1595">
        <f>IFERROR(INDEX(PP_Grid[#Data],$DE1595,2),0)</f>
        <v/>
      </c>
      <c r="F1595">
        <f>IFERROR(INDEX(PP_Grid[#Data],$DE1595,3),0)</f>
        <v/>
      </c>
      <c r="G1595">
        <f>IFERROR(INDEX(PP_Grid[#Data],$DE1595,4),0)</f>
        <v/>
      </c>
      <c r="H1595">
        <f>IFERROR(INDEX(PP_Grid[#Data],$DE1595,5),0)</f>
        <v/>
      </c>
      <c r="I1595">
        <f>IFERROR(INDEX(PP_Grid[#Data],$DE1595,6),0)</f>
        <v/>
      </c>
      <c r="J1595">
        <f>IFERROR(INDEX(PP_Grid[#Data],$DE1595,7),0)</f>
        <v/>
      </c>
      <c r="K1595">
        <f>IFERROR(INDEX(PP_Grid[#Data],$DE1595,8),0)</f>
        <v/>
      </c>
      <c r="L1595">
        <f>IFERROR(INDEX(PP_Grid[#Data],$DE1595,9),0)</f>
        <v/>
      </c>
      <c r="M1595">
        <f>IFERROR(INDEX(PP_Grid[#Data],$DE1595,10),0)</f>
        <v/>
      </c>
      <c r="N1595">
        <f>IFERROR(INDEX(PP_Grid[#Data],$DE1595,11),0)</f>
        <v/>
      </c>
      <c r="O1595">
        <f>IFERROR(INDEX(PP_Grid[#Data],$DE1595,12),0)</f>
        <v/>
      </c>
      <c r="P1595">
        <f>IFERROR(INDEX(PP_Grid[#Data],$DE1595,13),0)</f>
        <v/>
      </c>
      <c r="Q1595">
        <f>IFERROR(INDEX(PP_Grid[#Data],$DE1595,14),0)</f>
        <v/>
      </c>
      <c r="R1595">
        <f>IFERROR(INDEX(PP_Grid[#Data],$DE1595,15),0)</f>
        <v/>
      </c>
      <c r="S1595">
        <f>IFERROR(INDEX(PP_Grid[#Data],$DE1595,16),0)</f>
        <v/>
      </c>
      <c r="T1595">
        <f>IFERROR(INDEX(PP_Grid[#Data],$DE1595,17),0)</f>
        <v/>
      </c>
      <c r="U1595">
        <f>IFERROR(INDEX(PP_Grid[#Data],$DE1595,18),0)</f>
        <v/>
      </c>
      <c r="V1595">
        <f>IFERROR(INDEX(PP_Grid[#Data],$DE1595,19),0)</f>
        <v/>
      </c>
      <c r="W1595">
        <f>IFERROR(INDEX(PP_Grid[#Data],$DE1595,20),0)</f>
        <v/>
      </c>
      <c r="X1595">
        <f>IFERROR(INDEX(PP_Grid[#Data],$DE1595,21),0)</f>
        <v/>
      </c>
      <c r="Y1595">
        <f>IFERROR(INDEX(PP_Grid[#Data],$DE1595,22),0)</f>
        <v/>
      </c>
      <c r="Z1595">
        <f>IFERROR(INDEX(PP_Grid[#Data],$DE1595,23),0)</f>
        <v/>
      </c>
      <c r="AA1595">
        <f>IFERROR(INDEX(PP_Grid[#Data],$DE1595,24),0)</f>
        <v/>
      </c>
      <c r="AB1595">
        <f>IFERROR(INDEX(PP_Grid[#Data],$DE1595,25),0)</f>
        <v/>
      </c>
      <c r="AC1595">
        <f>IFERROR(INDEX(PP_Grid[#Data],$DE1595,26),0)</f>
        <v/>
      </c>
      <c r="AD1595">
        <f>IFERROR(INDEX(PP_Grid[#Data],$DE1595,27),0)</f>
        <v/>
      </c>
      <c r="AE1595">
        <f>IFERROR(INDEX(PP_Grid[#Data],$DE1595,28),0)</f>
        <v/>
      </c>
      <c r="AF1595">
        <f>IFERROR(INDEX(PP_Grid[#Data],$DE1595,29),0)</f>
        <v/>
      </c>
      <c r="AG1595">
        <f>IFERROR(INDEX(PP_Grid[#Data],$DE1595,30),0)</f>
        <v/>
      </c>
      <c r="AH1595">
        <f>IFERROR(INDEX(PP_Grid[#Data],$DE1595,31),0)</f>
        <v/>
      </c>
      <c r="AI1595">
        <f>IFERROR(INDEX(PP_Grid[#Data],$DE1595,32),0)</f>
        <v/>
      </c>
      <c r="AJ1595">
        <f>IFERROR(INDEX(PP_Grid[#Data],$DE1595,33),0)</f>
        <v/>
      </c>
      <c r="AK1595">
        <f>IFERROR(INDEX(PP_Grid[#Data],$DE1595,34),0)</f>
        <v/>
      </c>
      <c r="AL1595">
        <f>IFERROR(INDEX(PP_Grid[#Data],$DE1595,35),0)</f>
        <v/>
      </c>
      <c r="AM1595">
        <f>IFERROR(INDEX(PP_Grid[#Data],$DE1595,36),0)</f>
        <v/>
      </c>
      <c r="AN1595">
        <f>IFERROR(INDEX(PP_Grid[#Data],$DE1595,37),0)</f>
        <v/>
      </c>
      <c r="AO1595">
        <f>IFERROR(INDEX(PP_Grid[#Data],$DE1595,38),0)</f>
        <v/>
      </c>
      <c r="AP1595">
        <f>IFERROR(INDEX(PP_Grid[#Data],$DE1595,39),0)</f>
        <v/>
      </c>
      <c r="AQ1595">
        <f>IFERROR(INDEX(PP_Grid[#Data],$DE1595,40),0)</f>
        <v/>
      </c>
      <c r="AR1595">
        <f>IFERROR(INDEX(PP_Grid[#Data],$DE1595,41),0)</f>
        <v/>
      </c>
      <c r="AS1595">
        <f>IFERROR(INDEX(PP_Grid[#Data],$DE1595,42),0)</f>
        <v/>
      </c>
      <c r="AT1595">
        <f>IFERROR(INDEX(PP_Grid[#Data],$DE1595,43),0)</f>
        <v/>
      </c>
      <c r="AU1595">
        <f>IFERROR(INDEX(PP_Grid[#Data],$DE1595,44),0)</f>
        <v/>
      </c>
      <c r="AV1595">
        <f>IFERROR(INDEX(PP_Grid[#Data],$DE1595,45),0)</f>
        <v/>
      </c>
      <c r="AW1595">
        <f>IFERROR(INDEX(PP_Grid[#Data],$DE1595,46),0)</f>
        <v/>
      </c>
      <c r="AX1595">
        <f>IFERROR(INDEX(PP_Grid[#Data],$DE1595,47),0)</f>
        <v/>
      </c>
      <c r="AY1595">
        <f>IFERROR(INDEX(PP_Grid[#Data],$DE1595,48),0)</f>
        <v/>
      </c>
      <c r="AZ1595">
        <f>IFERROR(INDEX(PP_Grid[#Data],$DE1595,49),0)</f>
        <v/>
      </c>
      <c r="BA1595">
        <f>IFERROR(INDEX(PP_Grid[#Data],$DE1595,50),0)</f>
        <v/>
      </c>
      <c r="BB1595">
        <f>IFERROR(INDEX(PP_Grid[#Data],$DE1595,51),0)</f>
        <v/>
      </c>
      <c r="BC1595">
        <f>IFERROR(INDEX(PP_Grid[#Data],$DE1595,52),0)</f>
        <v/>
      </c>
      <c r="BD1595">
        <f>IFERROR(INDEX(PP_Grid[#Data],$DE1595,53),0)</f>
        <v/>
      </c>
      <c r="BE1595">
        <f>IFERROR(INDEX(PP_Grid[#Data],$DE1595,54),0)</f>
        <v/>
      </c>
      <c r="BF1595">
        <f>IFERROR(INDEX(PP_Grid[#Data],$DE1595,55),0)</f>
        <v/>
      </c>
      <c r="BG1595">
        <f>IFERROR(INDEX(PP_Grid[#Data],$DE1595,56),0)</f>
        <v/>
      </c>
      <c r="BH1595">
        <f>IFERROR(INDEX(PP_Grid[#Data],$DE1595,57),0)</f>
        <v/>
      </c>
      <c r="BI1595">
        <f>IFERROR(INDEX(PP_Grid[#Data],$DE1595,58),0)</f>
        <v/>
      </c>
      <c r="BJ1595">
        <f>IFERROR(INDEX(PP_Grid[#Data],$DE1595,59),0)</f>
        <v/>
      </c>
      <c r="BK1595">
        <f>IFERROR(INDEX(PP_Grid[#Data],$DE1595,60),0)</f>
        <v/>
      </c>
      <c r="BL1595">
        <f>IFERROR(INDEX(PP_Grid[#Data],$DE1595,61),0)</f>
        <v/>
      </c>
      <c r="BM1595">
        <f>IFERROR(INDEX(PP_Grid[#Data],$DE1595,62),0)</f>
        <v/>
      </c>
      <c r="BN1595">
        <f>IFERROR(INDEX(PP_Grid[#Data],$DE1595,63),0)</f>
        <v/>
      </c>
      <c r="BO1595">
        <f>IFERROR(INDEX(PP_Grid[#Data],$DE1595,64),0)</f>
        <v/>
      </c>
      <c r="BP1595">
        <f>IFERROR(INDEX(PP_Grid[#Data],$DE1595,65),0)</f>
        <v/>
      </c>
      <c r="BQ1595">
        <f>IFERROR(INDEX(PP_Grid[#Data],$DE1595,66),0)</f>
        <v/>
      </c>
      <c r="BR1595">
        <f>IFERROR(INDEX(PP_Grid[#Data],$DE1595,67),0)</f>
        <v/>
      </c>
      <c r="BS1595">
        <f>IFERROR(INDEX(PP_Grid[#Data],$DE1595,68),0)</f>
        <v/>
      </c>
      <c r="BT1595">
        <f>IFERROR(INDEX(PP_Grid[#Data],$DE1595,69),0)</f>
        <v/>
      </c>
      <c r="BU1595">
        <f>IFERROR(INDEX(PP_Grid[#Data],$DE1595,70),0)</f>
        <v/>
      </c>
      <c r="BV1595">
        <f>IFERROR(INDEX(PP_Grid[#Data],$DE1595,71),0)</f>
        <v/>
      </c>
      <c r="BW1595">
        <f>IFERROR(INDEX(PP_Grid[#Data],$DE1595,72),0)</f>
        <v/>
      </c>
      <c r="BX1595">
        <f>IFERROR(INDEX(PP_Grid[#Data],$DE1595,73),0)</f>
        <v/>
      </c>
      <c r="BY1595">
        <f>IFERROR(INDEX(PP_Grid[#Data],$DE1595,74),0)</f>
        <v/>
      </c>
      <c r="BZ1595">
        <f>IFERROR(INDEX(PP_Grid[#Data],$DE1595,75),0)</f>
        <v/>
      </c>
      <c r="CA1595">
        <f>IFERROR(INDEX(PP_Grid[#Data],$DE1595,76),0)</f>
        <v/>
      </c>
      <c r="CB1595">
        <f>IFERROR(INDEX(PP_Grid[#Data],$DE1595,77),0)</f>
        <v/>
      </c>
      <c r="CC1595">
        <f>IFERROR(INDEX(PP_Grid[#Data],$DE1595,78),0)</f>
        <v/>
      </c>
      <c r="CD1595">
        <f>IFERROR(INDEX(PP_Grid[#Data],$DE1595,79),0)</f>
        <v/>
      </c>
      <c r="CE1595">
        <f>IFERROR(INDEX(PP_Grid[#Data],$DE1595,80),0)</f>
        <v/>
      </c>
      <c r="CF1595">
        <f>IFERROR(INDEX(PP_Grid[#Data],$DE1595,81),0)</f>
        <v/>
      </c>
      <c r="CG1595">
        <f>IFERROR(INDEX(PP_Grid[#Data],$DE1595,82),0)</f>
        <v/>
      </c>
      <c r="CH1595">
        <f>IFERROR(INDEX(PP_Grid[#Data],$DE1595,83),0)</f>
        <v/>
      </c>
      <c r="CI1595">
        <f>IFERROR(INDEX(PP_Grid[#Data],$DE1595,84),0)</f>
        <v/>
      </c>
      <c r="CJ1595">
        <f>IFERROR(INDEX(PP_Grid[#Data],$DE1595,85),0)</f>
        <v/>
      </c>
      <c r="CK1595">
        <f>IFERROR(INDEX(PP_Grid[#Data],$DE1595,86),0)</f>
        <v/>
      </c>
      <c r="CL1595">
        <f>IFERROR(INDEX(PP_Grid[#Data],$DE1595,87),0)</f>
        <v/>
      </c>
      <c r="CM1595">
        <f>IFERROR(INDEX(PP_Grid[#Data],$DE1595,88),0)</f>
        <v/>
      </c>
      <c r="CN1595">
        <f>IFERROR(INDEX(PP_Grid[#Data],$DE1595,89),0)</f>
        <v/>
      </c>
      <c r="CO1595">
        <f>IFERROR(INDEX(PP_Grid[#Data],$DE1595,90),0)</f>
        <v/>
      </c>
      <c r="CP1595">
        <f>IFERROR(INDEX(PP_Grid[#Data],$DE1595,91),0)</f>
        <v/>
      </c>
      <c r="CQ1595">
        <f>IFERROR(INDEX(PP_Grid[#Data],$DE1595,92),0)</f>
        <v/>
      </c>
      <c r="CR1595">
        <f>IFERROR(INDEX(PP_Grid[#Data],$DE1595,93),0)</f>
        <v/>
      </c>
      <c r="CS1595">
        <f>IFERROR(INDEX(PP_Grid[#Data],$DE1595,94),0)</f>
        <v/>
      </c>
      <c r="CT1595">
        <f>IFERROR(INDEX(PP_Grid[#Data],$DE1595,95),0)</f>
        <v/>
      </c>
      <c r="CU1595">
        <f>IFERROR(INDEX(PP_Grid[#Data],$DE1595,96),0)</f>
        <v/>
      </c>
      <c r="CV1595">
        <f>IFERROR(INDEX(PP_Grid[#Data],$DE1595,97),0)</f>
        <v/>
      </c>
      <c r="CW1595">
        <f>IFERROR(INDEX(PP_Grid[#Data],$DE1595,98),0)</f>
        <v/>
      </c>
      <c r="CX1595">
        <f>IFERROR(INDEX(PP_Grid[#Data],$DE1595,99),0)</f>
        <v/>
      </c>
      <c r="CY1595">
        <f>IFERROR(INDEX(PP_Grid[#Data],$DE1595,100),0)</f>
        <v/>
      </c>
      <c r="CZ1595">
        <f>IFERROR(INDEX(PP_Grid[#Data],$DE1595,101),0)</f>
        <v/>
      </c>
      <c r="DA1595">
        <f>IFERROR(INDEX(PP_Grid[#Data],$DE1595,102),0)</f>
        <v/>
      </c>
      <c r="DB1595">
        <f>IFERROR(INDEX(PP_Grid[#Data],$DE1595,103),0)</f>
        <v/>
      </c>
      <c r="DC1595">
        <f>IFERROR(INDEX(PP_Grid[#Data],$DE1595,104),0)</f>
        <v/>
      </c>
      <c r="DD1595">
        <f>IFERROR(INDEX(PP_Grid[#Data],$DE1595,105),0)</f>
        <v/>
      </c>
      <c r="DE1595" s="7">
        <f>IFERROR(MATCH($B1595,PP_Grid[Intermediate],0),99999)</f>
        <v/>
      </c>
    </row>
    <row r="1596">
      <c r="B1596" t="inlineStr">
        <is>
          <t>使用量(kg)</t>
        </is>
      </c>
      <c r="C1596">
        <f>SUMIFS(M_BOM[RM_Qty_Per_Batch],M_BOM[Intermediate],$B1595,M_BOM[RM_Code],$A1586)</f>
        <v/>
      </c>
      <c r="D1596">
        <f>IFERROR(INDEX(E1596:DD1596,$F$1),"")</f>
        <v/>
      </c>
      <c r="E1596">
        <f>$C1596*E1595</f>
        <v/>
      </c>
      <c r="F1596">
        <f>$C1596*F1595</f>
        <v/>
      </c>
      <c r="G1596">
        <f>$C1596*G1595</f>
        <v/>
      </c>
      <c r="H1596">
        <f>$C1596*H1595</f>
        <v/>
      </c>
      <c r="I1596">
        <f>$C1596*I1595</f>
        <v/>
      </c>
      <c r="J1596">
        <f>$C1596*J1595</f>
        <v/>
      </c>
      <c r="K1596">
        <f>$C1596*K1595</f>
        <v/>
      </c>
      <c r="L1596">
        <f>$C1596*L1595</f>
        <v/>
      </c>
      <c r="M1596">
        <f>$C1596*M1595</f>
        <v/>
      </c>
      <c r="N1596">
        <f>$C1596*N1595</f>
        <v/>
      </c>
      <c r="O1596">
        <f>$C1596*O1595</f>
        <v/>
      </c>
      <c r="P1596">
        <f>$C1596*P1595</f>
        <v/>
      </c>
      <c r="Q1596">
        <f>$C1596*Q1595</f>
        <v/>
      </c>
      <c r="R1596">
        <f>$C1596*R1595</f>
        <v/>
      </c>
      <c r="S1596">
        <f>$C1596*S1595</f>
        <v/>
      </c>
      <c r="T1596">
        <f>$C1596*T1595</f>
        <v/>
      </c>
      <c r="U1596">
        <f>$C1596*U1595</f>
        <v/>
      </c>
      <c r="V1596">
        <f>$C1596*V1595</f>
        <v/>
      </c>
      <c r="W1596">
        <f>$C1596*W1595</f>
        <v/>
      </c>
      <c r="X1596">
        <f>$C1596*X1595</f>
        <v/>
      </c>
      <c r="Y1596">
        <f>$C1596*Y1595</f>
        <v/>
      </c>
      <c r="Z1596">
        <f>$C1596*Z1595</f>
        <v/>
      </c>
      <c r="AA1596">
        <f>$C1596*AA1595</f>
        <v/>
      </c>
      <c r="AB1596">
        <f>$C1596*AB1595</f>
        <v/>
      </c>
      <c r="AC1596">
        <f>$C1596*AC1595</f>
        <v/>
      </c>
      <c r="AD1596">
        <f>$C1596*AD1595</f>
        <v/>
      </c>
      <c r="AE1596">
        <f>$C1596*AE1595</f>
        <v/>
      </c>
      <c r="AF1596">
        <f>$C1596*AF1595</f>
        <v/>
      </c>
      <c r="AG1596">
        <f>$C1596*AG1595</f>
        <v/>
      </c>
      <c r="AH1596">
        <f>$C1596*AH1595</f>
        <v/>
      </c>
      <c r="AI1596">
        <f>$C1596*AI1595</f>
        <v/>
      </c>
      <c r="AJ1596">
        <f>$C1596*AJ1595</f>
        <v/>
      </c>
      <c r="AK1596">
        <f>$C1596*AK1595</f>
        <v/>
      </c>
      <c r="AL1596">
        <f>$C1596*AL1595</f>
        <v/>
      </c>
      <c r="AM1596">
        <f>$C1596*AM1595</f>
        <v/>
      </c>
      <c r="AN1596">
        <f>$C1596*AN1595</f>
        <v/>
      </c>
      <c r="AO1596">
        <f>$C1596*AO1595</f>
        <v/>
      </c>
      <c r="AP1596">
        <f>$C1596*AP1595</f>
        <v/>
      </c>
      <c r="AQ1596">
        <f>$C1596*AQ1595</f>
        <v/>
      </c>
      <c r="AR1596">
        <f>$C1596*AR1595</f>
        <v/>
      </c>
      <c r="AS1596">
        <f>$C1596*AS1595</f>
        <v/>
      </c>
      <c r="AT1596">
        <f>$C1596*AT1595</f>
        <v/>
      </c>
      <c r="AU1596">
        <f>$C1596*AU1595</f>
        <v/>
      </c>
      <c r="AV1596">
        <f>$C1596*AV1595</f>
        <v/>
      </c>
      <c r="AW1596">
        <f>$C1596*AW1595</f>
        <v/>
      </c>
      <c r="AX1596">
        <f>$C1596*AX1595</f>
        <v/>
      </c>
      <c r="AY1596">
        <f>$C1596*AY1595</f>
        <v/>
      </c>
      <c r="AZ1596">
        <f>$C1596*AZ1595</f>
        <v/>
      </c>
      <c r="BA1596">
        <f>$C1596*BA1595</f>
        <v/>
      </c>
      <c r="BB1596">
        <f>$C1596*BB1595</f>
        <v/>
      </c>
      <c r="BC1596">
        <f>$C1596*BC1595</f>
        <v/>
      </c>
      <c r="BD1596">
        <f>$C1596*BD1595</f>
        <v/>
      </c>
      <c r="BE1596">
        <f>$C1596*BE1595</f>
        <v/>
      </c>
      <c r="BF1596">
        <f>$C1596*BF1595</f>
        <v/>
      </c>
      <c r="BG1596">
        <f>$C1596*BG1595</f>
        <v/>
      </c>
      <c r="BH1596">
        <f>$C1596*BH1595</f>
        <v/>
      </c>
      <c r="BI1596">
        <f>$C1596*BI1595</f>
        <v/>
      </c>
      <c r="BJ1596">
        <f>$C1596*BJ1595</f>
        <v/>
      </c>
      <c r="BK1596">
        <f>$C1596*BK1595</f>
        <v/>
      </c>
      <c r="BL1596">
        <f>$C1596*BL1595</f>
        <v/>
      </c>
      <c r="BM1596">
        <f>$C1596*BM1595</f>
        <v/>
      </c>
      <c r="BN1596">
        <f>$C1596*BN1595</f>
        <v/>
      </c>
      <c r="BO1596">
        <f>$C1596*BO1595</f>
        <v/>
      </c>
      <c r="BP1596">
        <f>$C1596*BP1595</f>
        <v/>
      </c>
      <c r="BQ1596">
        <f>$C1596*BQ1595</f>
        <v/>
      </c>
      <c r="BR1596">
        <f>$C1596*BR1595</f>
        <v/>
      </c>
      <c r="BS1596">
        <f>$C1596*BS1595</f>
        <v/>
      </c>
      <c r="BT1596">
        <f>$C1596*BT1595</f>
        <v/>
      </c>
      <c r="BU1596">
        <f>$C1596*BU1595</f>
        <v/>
      </c>
      <c r="BV1596">
        <f>$C1596*BV1595</f>
        <v/>
      </c>
      <c r="BW1596">
        <f>$C1596*BW1595</f>
        <v/>
      </c>
      <c r="BX1596">
        <f>$C1596*BX1595</f>
        <v/>
      </c>
      <c r="BY1596">
        <f>$C1596*BY1595</f>
        <v/>
      </c>
      <c r="BZ1596">
        <f>$C1596*BZ1595</f>
        <v/>
      </c>
      <c r="CA1596">
        <f>$C1596*CA1595</f>
        <v/>
      </c>
      <c r="CB1596">
        <f>$C1596*CB1595</f>
        <v/>
      </c>
      <c r="CC1596">
        <f>$C1596*CC1595</f>
        <v/>
      </c>
      <c r="CD1596">
        <f>$C1596*CD1595</f>
        <v/>
      </c>
      <c r="CE1596">
        <f>$C1596*CE1595</f>
        <v/>
      </c>
      <c r="CF1596">
        <f>$C1596*CF1595</f>
        <v/>
      </c>
      <c r="CG1596">
        <f>$C1596*CG1595</f>
        <v/>
      </c>
      <c r="CH1596">
        <f>$C1596*CH1595</f>
        <v/>
      </c>
      <c r="CI1596">
        <f>$C1596*CI1595</f>
        <v/>
      </c>
      <c r="CJ1596">
        <f>$C1596*CJ1595</f>
        <v/>
      </c>
      <c r="CK1596">
        <f>$C1596*CK1595</f>
        <v/>
      </c>
      <c r="CL1596">
        <f>$C1596*CL1595</f>
        <v/>
      </c>
      <c r="CM1596">
        <f>$C1596*CM1595</f>
        <v/>
      </c>
      <c r="CN1596">
        <f>$C1596*CN1595</f>
        <v/>
      </c>
      <c r="CO1596">
        <f>$C1596*CO1595</f>
        <v/>
      </c>
      <c r="CP1596">
        <f>$C1596*CP1595</f>
        <v/>
      </c>
      <c r="CQ1596">
        <f>$C1596*CQ1595</f>
        <v/>
      </c>
      <c r="CR1596">
        <f>$C1596*CR1595</f>
        <v/>
      </c>
      <c r="CS1596">
        <f>$C1596*CS1595</f>
        <v/>
      </c>
      <c r="CT1596">
        <f>$C1596*CT1595</f>
        <v/>
      </c>
      <c r="CU1596">
        <f>$C1596*CU1595</f>
        <v/>
      </c>
      <c r="CV1596">
        <f>$C1596*CV1595</f>
        <v/>
      </c>
      <c r="CW1596">
        <f>$C1596*CW1595</f>
        <v/>
      </c>
      <c r="CX1596">
        <f>$C1596*CX1595</f>
        <v/>
      </c>
      <c r="CY1596">
        <f>$C1596*CY1595</f>
        <v/>
      </c>
      <c r="CZ1596">
        <f>$C1596*CZ1595</f>
        <v/>
      </c>
      <c r="DA1596">
        <f>$C1596*DA1595</f>
        <v/>
      </c>
      <c r="DB1596">
        <f>$C1596*DB1595</f>
        <v/>
      </c>
      <c r="DC1596">
        <f>$C1596*DC1595</f>
        <v/>
      </c>
      <c r="DD1596">
        <f>$C1596*DD1595</f>
        <v/>
      </c>
    </row>
    <row r="1597">
      <c r="B1597" t="inlineStr">
        <is>
          <t>TPP-919</t>
        </is>
      </c>
      <c r="C1597" t="inlineStr">
        <is>
          <t>No. of batches</t>
        </is>
      </c>
      <c r="D1597">
        <f>IFERROR(INDEX(E1597:DD1597,$F$1),"")</f>
        <v/>
      </c>
      <c r="E1597">
        <f>IFERROR(INDEX(PP_Grid[#Data],$DE1597,2),0)</f>
        <v/>
      </c>
      <c r="F1597">
        <f>IFERROR(INDEX(PP_Grid[#Data],$DE1597,3),0)</f>
        <v/>
      </c>
      <c r="G1597">
        <f>IFERROR(INDEX(PP_Grid[#Data],$DE1597,4),0)</f>
        <v/>
      </c>
      <c r="H1597">
        <f>IFERROR(INDEX(PP_Grid[#Data],$DE1597,5),0)</f>
        <v/>
      </c>
      <c r="I1597">
        <f>IFERROR(INDEX(PP_Grid[#Data],$DE1597,6),0)</f>
        <v/>
      </c>
      <c r="J1597">
        <f>IFERROR(INDEX(PP_Grid[#Data],$DE1597,7),0)</f>
        <v/>
      </c>
      <c r="K1597">
        <f>IFERROR(INDEX(PP_Grid[#Data],$DE1597,8),0)</f>
        <v/>
      </c>
      <c r="L1597">
        <f>IFERROR(INDEX(PP_Grid[#Data],$DE1597,9),0)</f>
        <v/>
      </c>
      <c r="M1597">
        <f>IFERROR(INDEX(PP_Grid[#Data],$DE1597,10),0)</f>
        <v/>
      </c>
      <c r="N1597">
        <f>IFERROR(INDEX(PP_Grid[#Data],$DE1597,11),0)</f>
        <v/>
      </c>
      <c r="O1597">
        <f>IFERROR(INDEX(PP_Grid[#Data],$DE1597,12),0)</f>
        <v/>
      </c>
      <c r="P1597">
        <f>IFERROR(INDEX(PP_Grid[#Data],$DE1597,13),0)</f>
        <v/>
      </c>
      <c r="Q1597">
        <f>IFERROR(INDEX(PP_Grid[#Data],$DE1597,14),0)</f>
        <v/>
      </c>
      <c r="R1597">
        <f>IFERROR(INDEX(PP_Grid[#Data],$DE1597,15),0)</f>
        <v/>
      </c>
      <c r="S1597">
        <f>IFERROR(INDEX(PP_Grid[#Data],$DE1597,16),0)</f>
        <v/>
      </c>
      <c r="T1597">
        <f>IFERROR(INDEX(PP_Grid[#Data],$DE1597,17),0)</f>
        <v/>
      </c>
      <c r="U1597">
        <f>IFERROR(INDEX(PP_Grid[#Data],$DE1597,18),0)</f>
        <v/>
      </c>
      <c r="V1597">
        <f>IFERROR(INDEX(PP_Grid[#Data],$DE1597,19),0)</f>
        <v/>
      </c>
      <c r="W1597">
        <f>IFERROR(INDEX(PP_Grid[#Data],$DE1597,20),0)</f>
        <v/>
      </c>
      <c r="X1597">
        <f>IFERROR(INDEX(PP_Grid[#Data],$DE1597,21),0)</f>
        <v/>
      </c>
      <c r="Y1597">
        <f>IFERROR(INDEX(PP_Grid[#Data],$DE1597,22),0)</f>
        <v/>
      </c>
      <c r="Z1597">
        <f>IFERROR(INDEX(PP_Grid[#Data],$DE1597,23),0)</f>
        <v/>
      </c>
      <c r="AA1597">
        <f>IFERROR(INDEX(PP_Grid[#Data],$DE1597,24),0)</f>
        <v/>
      </c>
      <c r="AB1597">
        <f>IFERROR(INDEX(PP_Grid[#Data],$DE1597,25),0)</f>
        <v/>
      </c>
      <c r="AC1597">
        <f>IFERROR(INDEX(PP_Grid[#Data],$DE1597,26),0)</f>
        <v/>
      </c>
      <c r="AD1597">
        <f>IFERROR(INDEX(PP_Grid[#Data],$DE1597,27),0)</f>
        <v/>
      </c>
      <c r="AE1597">
        <f>IFERROR(INDEX(PP_Grid[#Data],$DE1597,28),0)</f>
        <v/>
      </c>
      <c r="AF1597">
        <f>IFERROR(INDEX(PP_Grid[#Data],$DE1597,29),0)</f>
        <v/>
      </c>
      <c r="AG1597">
        <f>IFERROR(INDEX(PP_Grid[#Data],$DE1597,30),0)</f>
        <v/>
      </c>
      <c r="AH1597">
        <f>IFERROR(INDEX(PP_Grid[#Data],$DE1597,31),0)</f>
        <v/>
      </c>
      <c r="AI1597">
        <f>IFERROR(INDEX(PP_Grid[#Data],$DE1597,32),0)</f>
        <v/>
      </c>
      <c r="AJ1597">
        <f>IFERROR(INDEX(PP_Grid[#Data],$DE1597,33),0)</f>
        <v/>
      </c>
      <c r="AK1597">
        <f>IFERROR(INDEX(PP_Grid[#Data],$DE1597,34),0)</f>
        <v/>
      </c>
      <c r="AL1597">
        <f>IFERROR(INDEX(PP_Grid[#Data],$DE1597,35),0)</f>
        <v/>
      </c>
      <c r="AM1597">
        <f>IFERROR(INDEX(PP_Grid[#Data],$DE1597,36),0)</f>
        <v/>
      </c>
      <c r="AN1597">
        <f>IFERROR(INDEX(PP_Grid[#Data],$DE1597,37),0)</f>
        <v/>
      </c>
      <c r="AO1597">
        <f>IFERROR(INDEX(PP_Grid[#Data],$DE1597,38),0)</f>
        <v/>
      </c>
      <c r="AP1597">
        <f>IFERROR(INDEX(PP_Grid[#Data],$DE1597,39),0)</f>
        <v/>
      </c>
      <c r="AQ1597">
        <f>IFERROR(INDEX(PP_Grid[#Data],$DE1597,40),0)</f>
        <v/>
      </c>
      <c r="AR1597">
        <f>IFERROR(INDEX(PP_Grid[#Data],$DE1597,41),0)</f>
        <v/>
      </c>
      <c r="AS1597">
        <f>IFERROR(INDEX(PP_Grid[#Data],$DE1597,42),0)</f>
        <v/>
      </c>
      <c r="AT1597">
        <f>IFERROR(INDEX(PP_Grid[#Data],$DE1597,43),0)</f>
        <v/>
      </c>
      <c r="AU1597">
        <f>IFERROR(INDEX(PP_Grid[#Data],$DE1597,44),0)</f>
        <v/>
      </c>
      <c r="AV1597">
        <f>IFERROR(INDEX(PP_Grid[#Data],$DE1597,45),0)</f>
        <v/>
      </c>
      <c r="AW1597">
        <f>IFERROR(INDEX(PP_Grid[#Data],$DE1597,46),0)</f>
        <v/>
      </c>
      <c r="AX1597">
        <f>IFERROR(INDEX(PP_Grid[#Data],$DE1597,47),0)</f>
        <v/>
      </c>
      <c r="AY1597">
        <f>IFERROR(INDEX(PP_Grid[#Data],$DE1597,48),0)</f>
        <v/>
      </c>
      <c r="AZ1597">
        <f>IFERROR(INDEX(PP_Grid[#Data],$DE1597,49),0)</f>
        <v/>
      </c>
      <c r="BA1597">
        <f>IFERROR(INDEX(PP_Grid[#Data],$DE1597,50),0)</f>
        <v/>
      </c>
      <c r="BB1597">
        <f>IFERROR(INDEX(PP_Grid[#Data],$DE1597,51),0)</f>
        <v/>
      </c>
      <c r="BC1597">
        <f>IFERROR(INDEX(PP_Grid[#Data],$DE1597,52),0)</f>
        <v/>
      </c>
      <c r="BD1597">
        <f>IFERROR(INDEX(PP_Grid[#Data],$DE1597,53),0)</f>
        <v/>
      </c>
      <c r="BE1597">
        <f>IFERROR(INDEX(PP_Grid[#Data],$DE1597,54),0)</f>
        <v/>
      </c>
      <c r="BF1597">
        <f>IFERROR(INDEX(PP_Grid[#Data],$DE1597,55),0)</f>
        <v/>
      </c>
      <c r="BG1597">
        <f>IFERROR(INDEX(PP_Grid[#Data],$DE1597,56),0)</f>
        <v/>
      </c>
      <c r="BH1597">
        <f>IFERROR(INDEX(PP_Grid[#Data],$DE1597,57),0)</f>
        <v/>
      </c>
      <c r="BI1597">
        <f>IFERROR(INDEX(PP_Grid[#Data],$DE1597,58),0)</f>
        <v/>
      </c>
      <c r="BJ1597">
        <f>IFERROR(INDEX(PP_Grid[#Data],$DE1597,59),0)</f>
        <v/>
      </c>
      <c r="BK1597">
        <f>IFERROR(INDEX(PP_Grid[#Data],$DE1597,60),0)</f>
        <v/>
      </c>
      <c r="BL1597">
        <f>IFERROR(INDEX(PP_Grid[#Data],$DE1597,61),0)</f>
        <v/>
      </c>
      <c r="BM1597">
        <f>IFERROR(INDEX(PP_Grid[#Data],$DE1597,62),0)</f>
        <v/>
      </c>
      <c r="BN1597">
        <f>IFERROR(INDEX(PP_Grid[#Data],$DE1597,63),0)</f>
        <v/>
      </c>
      <c r="BO1597">
        <f>IFERROR(INDEX(PP_Grid[#Data],$DE1597,64),0)</f>
        <v/>
      </c>
      <c r="BP1597">
        <f>IFERROR(INDEX(PP_Grid[#Data],$DE1597,65),0)</f>
        <v/>
      </c>
      <c r="BQ1597">
        <f>IFERROR(INDEX(PP_Grid[#Data],$DE1597,66),0)</f>
        <v/>
      </c>
      <c r="BR1597">
        <f>IFERROR(INDEX(PP_Grid[#Data],$DE1597,67),0)</f>
        <v/>
      </c>
      <c r="BS1597">
        <f>IFERROR(INDEX(PP_Grid[#Data],$DE1597,68),0)</f>
        <v/>
      </c>
      <c r="BT1597">
        <f>IFERROR(INDEX(PP_Grid[#Data],$DE1597,69),0)</f>
        <v/>
      </c>
      <c r="BU1597">
        <f>IFERROR(INDEX(PP_Grid[#Data],$DE1597,70),0)</f>
        <v/>
      </c>
      <c r="BV1597">
        <f>IFERROR(INDEX(PP_Grid[#Data],$DE1597,71),0)</f>
        <v/>
      </c>
      <c r="BW1597">
        <f>IFERROR(INDEX(PP_Grid[#Data],$DE1597,72),0)</f>
        <v/>
      </c>
      <c r="BX1597">
        <f>IFERROR(INDEX(PP_Grid[#Data],$DE1597,73),0)</f>
        <v/>
      </c>
      <c r="BY1597">
        <f>IFERROR(INDEX(PP_Grid[#Data],$DE1597,74),0)</f>
        <v/>
      </c>
      <c r="BZ1597">
        <f>IFERROR(INDEX(PP_Grid[#Data],$DE1597,75),0)</f>
        <v/>
      </c>
      <c r="CA1597">
        <f>IFERROR(INDEX(PP_Grid[#Data],$DE1597,76),0)</f>
        <v/>
      </c>
      <c r="CB1597">
        <f>IFERROR(INDEX(PP_Grid[#Data],$DE1597,77),0)</f>
        <v/>
      </c>
      <c r="CC1597">
        <f>IFERROR(INDEX(PP_Grid[#Data],$DE1597,78),0)</f>
        <v/>
      </c>
      <c r="CD1597">
        <f>IFERROR(INDEX(PP_Grid[#Data],$DE1597,79),0)</f>
        <v/>
      </c>
      <c r="CE1597">
        <f>IFERROR(INDEX(PP_Grid[#Data],$DE1597,80),0)</f>
        <v/>
      </c>
      <c r="CF1597">
        <f>IFERROR(INDEX(PP_Grid[#Data],$DE1597,81),0)</f>
        <v/>
      </c>
      <c r="CG1597">
        <f>IFERROR(INDEX(PP_Grid[#Data],$DE1597,82),0)</f>
        <v/>
      </c>
      <c r="CH1597">
        <f>IFERROR(INDEX(PP_Grid[#Data],$DE1597,83),0)</f>
        <v/>
      </c>
      <c r="CI1597">
        <f>IFERROR(INDEX(PP_Grid[#Data],$DE1597,84),0)</f>
        <v/>
      </c>
      <c r="CJ1597">
        <f>IFERROR(INDEX(PP_Grid[#Data],$DE1597,85),0)</f>
        <v/>
      </c>
      <c r="CK1597">
        <f>IFERROR(INDEX(PP_Grid[#Data],$DE1597,86),0)</f>
        <v/>
      </c>
      <c r="CL1597">
        <f>IFERROR(INDEX(PP_Grid[#Data],$DE1597,87),0)</f>
        <v/>
      </c>
      <c r="CM1597">
        <f>IFERROR(INDEX(PP_Grid[#Data],$DE1597,88),0)</f>
        <v/>
      </c>
      <c r="CN1597">
        <f>IFERROR(INDEX(PP_Grid[#Data],$DE1597,89),0)</f>
        <v/>
      </c>
      <c r="CO1597">
        <f>IFERROR(INDEX(PP_Grid[#Data],$DE1597,90),0)</f>
        <v/>
      </c>
      <c r="CP1597">
        <f>IFERROR(INDEX(PP_Grid[#Data],$DE1597,91),0)</f>
        <v/>
      </c>
      <c r="CQ1597">
        <f>IFERROR(INDEX(PP_Grid[#Data],$DE1597,92),0)</f>
        <v/>
      </c>
      <c r="CR1597">
        <f>IFERROR(INDEX(PP_Grid[#Data],$DE1597,93),0)</f>
        <v/>
      </c>
      <c r="CS1597">
        <f>IFERROR(INDEX(PP_Grid[#Data],$DE1597,94),0)</f>
        <v/>
      </c>
      <c r="CT1597">
        <f>IFERROR(INDEX(PP_Grid[#Data],$DE1597,95),0)</f>
        <v/>
      </c>
      <c r="CU1597">
        <f>IFERROR(INDEX(PP_Grid[#Data],$DE1597,96),0)</f>
        <v/>
      </c>
      <c r="CV1597">
        <f>IFERROR(INDEX(PP_Grid[#Data],$DE1597,97),0)</f>
        <v/>
      </c>
      <c r="CW1597">
        <f>IFERROR(INDEX(PP_Grid[#Data],$DE1597,98),0)</f>
        <v/>
      </c>
      <c r="CX1597">
        <f>IFERROR(INDEX(PP_Grid[#Data],$DE1597,99),0)</f>
        <v/>
      </c>
      <c r="CY1597">
        <f>IFERROR(INDEX(PP_Grid[#Data],$DE1597,100),0)</f>
        <v/>
      </c>
      <c r="CZ1597">
        <f>IFERROR(INDEX(PP_Grid[#Data],$DE1597,101),0)</f>
        <v/>
      </c>
      <c r="DA1597">
        <f>IFERROR(INDEX(PP_Grid[#Data],$DE1597,102),0)</f>
        <v/>
      </c>
      <c r="DB1597">
        <f>IFERROR(INDEX(PP_Grid[#Data],$DE1597,103),0)</f>
        <v/>
      </c>
      <c r="DC1597">
        <f>IFERROR(INDEX(PP_Grid[#Data],$DE1597,104),0)</f>
        <v/>
      </c>
      <c r="DD1597">
        <f>IFERROR(INDEX(PP_Grid[#Data],$DE1597,105),0)</f>
        <v/>
      </c>
      <c r="DE1597" s="7">
        <f>IFERROR(MATCH($B1597,PP_Grid[Intermediate],0),99999)</f>
        <v/>
      </c>
    </row>
    <row r="1598">
      <c r="B1598" t="inlineStr">
        <is>
          <t>使用量(kg)</t>
        </is>
      </c>
      <c r="C1598">
        <f>SUMIFS(M_BOM[RM_Qty_Per_Batch],M_BOM[Intermediate],$B1597,M_BOM[RM_Code],$A1586)</f>
        <v/>
      </c>
      <c r="D1598">
        <f>IFERROR(INDEX(E1598:DD1598,$F$1),"")</f>
        <v/>
      </c>
      <c r="E1598">
        <f>$C1598*E1597</f>
        <v/>
      </c>
      <c r="F1598">
        <f>$C1598*F1597</f>
        <v/>
      </c>
      <c r="G1598">
        <f>$C1598*G1597</f>
        <v/>
      </c>
      <c r="H1598">
        <f>$C1598*H1597</f>
        <v/>
      </c>
      <c r="I1598">
        <f>$C1598*I1597</f>
        <v/>
      </c>
      <c r="J1598">
        <f>$C1598*J1597</f>
        <v/>
      </c>
      <c r="K1598">
        <f>$C1598*K1597</f>
        <v/>
      </c>
      <c r="L1598">
        <f>$C1598*L1597</f>
        <v/>
      </c>
      <c r="M1598">
        <f>$C1598*M1597</f>
        <v/>
      </c>
      <c r="N1598">
        <f>$C1598*N1597</f>
        <v/>
      </c>
      <c r="O1598">
        <f>$C1598*O1597</f>
        <v/>
      </c>
      <c r="P1598">
        <f>$C1598*P1597</f>
        <v/>
      </c>
      <c r="Q1598">
        <f>$C1598*Q1597</f>
        <v/>
      </c>
      <c r="R1598">
        <f>$C1598*R1597</f>
        <v/>
      </c>
      <c r="S1598">
        <f>$C1598*S1597</f>
        <v/>
      </c>
      <c r="T1598">
        <f>$C1598*T1597</f>
        <v/>
      </c>
      <c r="U1598">
        <f>$C1598*U1597</f>
        <v/>
      </c>
      <c r="V1598">
        <f>$C1598*V1597</f>
        <v/>
      </c>
      <c r="W1598">
        <f>$C1598*W1597</f>
        <v/>
      </c>
      <c r="X1598">
        <f>$C1598*X1597</f>
        <v/>
      </c>
      <c r="Y1598">
        <f>$C1598*Y1597</f>
        <v/>
      </c>
      <c r="Z1598">
        <f>$C1598*Z1597</f>
        <v/>
      </c>
      <c r="AA1598">
        <f>$C1598*AA1597</f>
        <v/>
      </c>
      <c r="AB1598">
        <f>$C1598*AB1597</f>
        <v/>
      </c>
      <c r="AC1598">
        <f>$C1598*AC1597</f>
        <v/>
      </c>
      <c r="AD1598">
        <f>$C1598*AD1597</f>
        <v/>
      </c>
      <c r="AE1598">
        <f>$C1598*AE1597</f>
        <v/>
      </c>
      <c r="AF1598">
        <f>$C1598*AF1597</f>
        <v/>
      </c>
      <c r="AG1598">
        <f>$C1598*AG1597</f>
        <v/>
      </c>
      <c r="AH1598">
        <f>$C1598*AH1597</f>
        <v/>
      </c>
      <c r="AI1598">
        <f>$C1598*AI1597</f>
        <v/>
      </c>
      <c r="AJ1598">
        <f>$C1598*AJ1597</f>
        <v/>
      </c>
      <c r="AK1598">
        <f>$C1598*AK1597</f>
        <v/>
      </c>
      <c r="AL1598">
        <f>$C1598*AL1597</f>
        <v/>
      </c>
      <c r="AM1598">
        <f>$C1598*AM1597</f>
        <v/>
      </c>
      <c r="AN1598">
        <f>$C1598*AN1597</f>
        <v/>
      </c>
      <c r="AO1598">
        <f>$C1598*AO1597</f>
        <v/>
      </c>
      <c r="AP1598">
        <f>$C1598*AP1597</f>
        <v/>
      </c>
      <c r="AQ1598">
        <f>$C1598*AQ1597</f>
        <v/>
      </c>
      <c r="AR1598">
        <f>$C1598*AR1597</f>
        <v/>
      </c>
      <c r="AS1598">
        <f>$C1598*AS1597</f>
        <v/>
      </c>
      <c r="AT1598">
        <f>$C1598*AT1597</f>
        <v/>
      </c>
      <c r="AU1598">
        <f>$C1598*AU1597</f>
        <v/>
      </c>
      <c r="AV1598">
        <f>$C1598*AV1597</f>
        <v/>
      </c>
      <c r="AW1598">
        <f>$C1598*AW1597</f>
        <v/>
      </c>
      <c r="AX1598">
        <f>$C1598*AX1597</f>
        <v/>
      </c>
      <c r="AY1598">
        <f>$C1598*AY1597</f>
        <v/>
      </c>
      <c r="AZ1598">
        <f>$C1598*AZ1597</f>
        <v/>
      </c>
      <c r="BA1598">
        <f>$C1598*BA1597</f>
        <v/>
      </c>
      <c r="BB1598">
        <f>$C1598*BB1597</f>
        <v/>
      </c>
      <c r="BC1598">
        <f>$C1598*BC1597</f>
        <v/>
      </c>
      <c r="BD1598">
        <f>$C1598*BD1597</f>
        <v/>
      </c>
      <c r="BE1598">
        <f>$C1598*BE1597</f>
        <v/>
      </c>
      <c r="BF1598">
        <f>$C1598*BF1597</f>
        <v/>
      </c>
      <c r="BG1598">
        <f>$C1598*BG1597</f>
        <v/>
      </c>
      <c r="BH1598">
        <f>$C1598*BH1597</f>
        <v/>
      </c>
      <c r="BI1598">
        <f>$C1598*BI1597</f>
        <v/>
      </c>
      <c r="BJ1598">
        <f>$C1598*BJ1597</f>
        <v/>
      </c>
      <c r="BK1598">
        <f>$C1598*BK1597</f>
        <v/>
      </c>
      <c r="BL1598">
        <f>$C1598*BL1597</f>
        <v/>
      </c>
      <c r="BM1598">
        <f>$C1598*BM1597</f>
        <v/>
      </c>
      <c r="BN1598">
        <f>$C1598*BN1597</f>
        <v/>
      </c>
      <c r="BO1598">
        <f>$C1598*BO1597</f>
        <v/>
      </c>
      <c r="BP1598">
        <f>$C1598*BP1597</f>
        <v/>
      </c>
      <c r="BQ1598">
        <f>$C1598*BQ1597</f>
        <v/>
      </c>
      <c r="BR1598">
        <f>$C1598*BR1597</f>
        <v/>
      </c>
      <c r="BS1598">
        <f>$C1598*BS1597</f>
        <v/>
      </c>
      <c r="BT1598">
        <f>$C1598*BT1597</f>
        <v/>
      </c>
      <c r="BU1598">
        <f>$C1598*BU1597</f>
        <v/>
      </c>
      <c r="BV1598">
        <f>$C1598*BV1597</f>
        <v/>
      </c>
      <c r="BW1598">
        <f>$C1598*BW1597</f>
        <v/>
      </c>
      <c r="BX1598">
        <f>$C1598*BX1597</f>
        <v/>
      </c>
      <c r="BY1598">
        <f>$C1598*BY1597</f>
        <v/>
      </c>
      <c r="BZ1598">
        <f>$C1598*BZ1597</f>
        <v/>
      </c>
      <c r="CA1598">
        <f>$C1598*CA1597</f>
        <v/>
      </c>
      <c r="CB1598">
        <f>$C1598*CB1597</f>
        <v/>
      </c>
      <c r="CC1598">
        <f>$C1598*CC1597</f>
        <v/>
      </c>
      <c r="CD1598">
        <f>$C1598*CD1597</f>
        <v/>
      </c>
      <c r="CE1598">
        <f>$C1598*CE1597</f>
        <v/>
      </c>
      <c r="CF1598">
        <f>$C1598*CF1597</f>
        <v/>
      </c>
      <c r="CG1598">
        <f>$C1598*CG1597</f>
        <v/>
      </c>
      <c r="CH1598">
        <f>$C1598*CH1597</f>
        <v/>
      </c>
      <c r="CI1598">
        <f>$C1598*CI1597</f>
        <v/>
      </c>
      <c r="CJ1598">
        <f>$C1598*CJ1597</f>
        <v/>
      </c>
      <c r="CK1598">
        <f>$C1598*CK1597</f>
        <v/>
      </c>
      <c r="CL1598">
        <f>$C1598*CL1597</f>
        <v/>
      </c>
      <c r="CM1598">
        <f>$C1598*CM1597</f>
        <v/>
      </c>
      <c r="CN1598">
        <f>$C1598*CN1597</f>
        <v/>
      </c>
      <c r="CO1598">
        <f>$C1598*CO1597</f>
        <v/>
      </c>
      <c r="CP1598">
        <f>$C1598*CP1597</f>
        <v/>
      </c>
      <c r="CQ1598">
        <f>$C1598*CQ1597</f>
        <v/>
      </c>
      <c r="CR1598">
        <f>$C1598*CR1597</f>
        <v/>
      </c>
      <c r="CS1598">
        <f>$C1598*CS1597</f>
        <v/>
      </c>
      <c r="CT1598">
        <f>$C1598*CT1597</f>
        <v/>
      </c>
      <c r="CU1598">
        <f>$C1598*CU1597</f>
        <v/>
      </c>
      <c r="CV1598">
        <f>$C1598*CV1597</f>
        <v/>
      </c>
      <c r="CW1598">
        <f>$C1598*CW1597</f>
        <v/>
      </c>
      <c r="CX1598">
        <f>$C1598*CX1597</f>
        <v/>
      </c>
      <c r="CY1598">
        <f>$C1598*CY1597</f>
        <v/>
      </c>
      <c r="CZ1598">
        <f>$C1598*CZ1597</f>
        <v/>
      </c>
      <c r="DA1598">
        <f>$C1598*DA1597</f>
        <v/>
      </c>
      <c r="DB1598">
        <f>$C1598*DB1597</f>
        <v/>
      </c>
      <c r="DC1598">
        <f>$C1598*DC1597</f>
        <v/>
      </c>
      <c r="DD1598">
        <f>$C1598*DD1597</f>
        <v/>
      </c>
    </row>
    <row r="1599">
      <c r="B1599" t="inlineStr">
        <is>
          <t>TPP-916</t>
        </is>
      </c>
      <c r="C1599" t="inlineStr">
        <is>
          <t>No. of batches</t>
        </is>
      </c>
      <c r="D1599">
        <f>IFERROR(INDEX(E1599:DD1599,$F$1),"")</f>
        <v/>
      </c>
      <c r="E1599">
        <f>IFERROR(INDEX(PP_Grid[#Data],$DE1599,2),0)</f>
        <v/>
      </c>
      <c r="F1599">
        <f>IFERROR(INDEX(PP_Grid[#Data],$DE1599,3),0)</f>
        <v/>
      </c>
      <c r="G1599">
        <f>IFERROR(INDEX(PP_Grid[#Data],$DE1599,4),0)</f>
        <v/>
      </c>
      <c r="H1599">
        <f>IFERROR(INDEX(PP_Grid[#Data],$DE1599,5),0)</f>
        <v/>
      </c>
      <c r="I1599">
        <f>IFERROR(INDEX(PP_Grid[#Data],$DE1599,6),0)</f>
        <v/>
      </c>
      <c r="J1599">
        <f>IFERROR(INDEX(PP_Grid[#Data],$DE1599,7),0)</f>
        <v/>
      </c>
      <c r="K1599">
        <f>IFERROR(INDEX(PP_Grid[#Data],$DE1599,8),0)</f>
        <v/>
      </c>
      <c r="L1599">
        <f>IFERROR(INDEX(PP_Grid[#Data],$DE1599,9),0)</f>
        <v/>
      </c>
      <c r="M1599">
        <f>IFERROR(INDEX(PP_Grid[#Data],$DE1599,10),0)</f>
        <v/>
      </c>
      <c r="N1599">
        <f>IFERROR(INDEX(PP_Grid[#Data],$DE1599,11),0)</f>
        <v/>
      </c>
      <c r="O1599">
        <f>IFERROR(INDEX(PP_Grid[#Data],$DE1599,12),0)</f>
        <v/>
      </c>
      <c r="P1599">
        <f>IFERROR(INDEX(PP_Grid[#Data],$DE1599,13),0)</f>
        <v/>
      </c>
      <c r="Q1599">
        <f>IFERROR(INDEX(PP_Grid[#Data],$DE1599,14),0)</f>
        <v/>
      </c>
      <c r="R1599">
        <f>IFERROR(INDEX(PP_Grid[#Data],$DE1599,15),0)</f>
        <v/>
      </c>
      <c r="S1599">
        <f>IFERROR(INDEX(PP_Grid[#Data],$DE1599,16),0)</f>
        <v/>
      </c>
      <c r="T1599">
        <f>IFERROR(INDEX(PP_Grid[#Data],$DE1599,17),0)</f>
        <v/>
      </c>
      <c r="U1599">
        <f>IFERROR(INDEX(PP_Grid[#Data],$DE1599,18),0)</f>
        <v/>
      </c>
      <c r="V1599">
        <f>IFERROR(INDEX(PP_Grid[#Data],$DE1599,19),0)</f>
        <v/>
      </c>
      <c r="W1599">
        <f>IFERROR(INDEX(PP_Grid[#Data],$DE1599,20),0)</f>
        <v/>
      </c>
      <c r="X1599">
        <f>IFERROR(INDEX(PP_Grid[#Data],$DE1599,21),0)</f>
        <v/>
      </c>
      <c r="Y1599">
        <f>IFERROR(INDEX(PP_Grid[#Data],$DE1599,22),0)</f>
        <v/>
      </c>
      <c r="Z1599">
        <f>IFERROR(INDEX(PP_Grid[#Data],$DE1599,23),0)</f>
        <v/>
      </c>
      <c r="AA1599">
        <f>IFERROR(INDEX(PP_Grid[#Data],$DE1599,24),0)</f>
        <v/>
      </c>
      <c r="AB1599">
        <f>IFERROR(INDEX(PP_Grid[#Data],$DE1599,25),0)</f>
        <v/>
      </c>
      <c r="AC1599">
        <f>IFERROR(INDEX(PP_Grid[#Data],$DE1599,26),0)</f>
        <v/>
      </c>
      <c r="AD1599">
        <f>IFERROR(INDEX(PP_Grid[#Data],$DE1599,27),0)</f>
        <v/>
      </c>
      <c r="AE1599">
        <f>IFERROR(INDEX(PP_Grid[#Data],$DE1599,28),0)</f>
        <v/>
      </c>
      <c r="AF1599">
        <f>IFERROR(INDEX(PP_Grid[#Data],$DE1599,29),0)</f>
        <v/>
      </c>
      <c r="AG1599">
        <f>IFERROR(INDEX(PP_Grid[#Data],$DE1599,30),0)</f>
        <v/>
      </c>
      <c r="AH1599">
        <f>IFERROR(INDEX(PP_Grid[#Data],$DE1599,31),0)</f>
        <v/>
      </c>
      <c r="AI1599">
        <f>IFERROR(INDEX(PP_Grid[#Data],$DE1599,32),0)</f>
        <v/>
      </c>
      <c r="AJ1599">
        <f>IFERROR(INDEX(PP_Grid[#Data],$DE1599,33),0)</f>
        <v/>
      </c>
      <c r="AK1599">
        <f>IFERROR(INDEX(PP_Grid[#Data],$DE1599,34),0)</f>
        <v/>
      </c>
      <c r="AL1599">
        <f>IFERROR(INDEX(PP_Grid[#Data],$DE1599,35),0)</f>
        <v/>
      </c>
      <c r="AM1599">
        <f>IFERROR(INDEX(PP_Grid[#Data],$DE1599,36),0)</f>
        <v/>
      </c>
      <c r="AN1599">
        <f>IFERROR(INDEX(PP_Grid[#Data],$DE1599,37),0)</f>
        <v/>
      </c>
      <c r="AO1599">
        <f>IFERROR(INDEX(PP_Grid[#Data],$DE1599,38),0)</f>
        <v/>
      </c>
      <c r="AP1599">
        <f>IFERROR(INDEX(PP_Grid[#Data],$DE1599,39),0)</f>
        <v/>
      </c>
      <c r="AQ1599">
        <f>IFERROR(INDEX(PP_Grid[#Data],$DE1599,40),0)</f>
        <v/>
      </c>
      <c r="AR1599">
        <f>IFERROR(INDEX(PP_Grid[#Data],$DE1599,41),0)</f>
        <v/>
      </c>
      <c r="AS1599">
        <f>IFERROR(INDEX(PP_Grid[#Data],$DE1599,42),0)</f>
        <v/>
      </c>
      <c r="AT1599">
        <f>IFERROR(INDEX(PP_Grid[#Data],$DE1599,43),0)</f>
        <v/>
      </c>
      <c r="AU1599">
        <f>IFERROR(INDEX(PP_Grid[#Data],$DE1599,44),0)</f>
        <v/>
      </c>
      <c r="AV1599">
        <f>IFERROR(INDEX(PP_Grid[#Data],$DE1599,45),0)</f>
        <v/>
      </c>
      <c r="AW1599">
        <f>IFERROR(INDEX(PP_Grid[#Data],$DE1599,46),0)</f>
        <v/>
      </c>
      <c r="AX1599">
        <f>IFERROR(INDEX(PP_Grid[#Data],$DE1599,47),0)</f>
        <v/>
      </c>
      <c r="AY1599">
        <f>IFERROR(INDEX(PP_Grid[#Data],$DE1599,48),0)</f>
        <v/>
      </c>
      <c r="AZ1599">
        <f>IFERROR(INDEX(PP_Grid[#Data],$DE1599,49),0)</f>
        <v/>
      </c>
      <c r="BA1599">
        <f>IFERROR(INDEX(PP_Grid[#Data],$DE1599,50),0)</f>
        <v/>
      </c>
      <c r="BB1599">
        <f>IFERROR(INDEX(PP_Grid[#Data],$DE1599,51),0)</f>
        <v/>
      </c>
      <c r="BC1599">
        <f>IFERROR(INDEX(PP_Grid[#Data],$DE1599,52),0)</f>
        <v/>
      </c>
      <c r="BD1599">
        <f>IFERROR(INDEX(PP_Grid[#Data],$DE1599,53),0)</f>
        <v/>
      </c>
      <c r="BE1599">
        <f>IFERROR(INDEX(PP_Grid[#Data],$DE1599,54),0)</f>
        <v/>
      </c>
      <c r="BF1599">
        <f>IFERROR(INDEX(PP_Grid[#Data],$DE1599,55),0)</f>
        <v/>
      </c>
      <c r="BG1599">
        <f>IFERROR(INDEX(PP_Grid[#Data],$DE1599,56),0)</f>
        <v/>
      </c>
      <c r="BH1599">
        <f>IFERROR(INDEX(PP_Grid[#Data],$DE1599,57),0)</f>
        <v/>
      </c>
      <c r="BI1599">
        <f>IFERROR(INDEX(PP_Grid[#Data],$DE1599,58),0)</f>
        <v/>
      </c>
      <c r="BJ1599">
        <f>IFERROR(INDEX(PP_Grid[#Data],$DE1599,59),0)</f>
        <v/>
      </c>
      <c r="BK1599">
        <f>IFERROR(INDEX(PP_Grid[#Data],$DE1599,60),0)</f>
        <v/>
      </c>
      <c r="BL1599">
        <f>IFERROR(INDEX(PP_Grid[#Data],$DE1599,61),0)</f>
        <v/>
      </c>
      <c r="BM1599">
        <f>IFERROR(INDEX(PP_Grid[#Data],$DE1599,62),0)</f>
        <v/>
      </c>
      <c r="BN1599">
        <f>IFERROR(INDEX(PP_Grid[#Data],$DE1599,63),0)</f>
        <v/>
      </c>
      <c r="BO1599">
        <f>IFERROR(INDEX(PP_Grid[#Data],$DE1599,64),0)</f>
        <v/>
      </c>
      <c r="BP1599">
        <f>IFERROR(INDEX(PP_Grid[#Data],$DE1599,65),0)</f>
        <v/>
      </c>
      <c r="BQ1599">
        <f>IFERROR(INDEX(PP_Grid[#Data],$DE1599,66),0)</f>
        <v/>
      </c>
      <c r="BR1599">
        <f>IFERROR(INDEX(PP_Grid[#Data],$DE1599,67),0)</f>
        <v/>
      </c>
      <c r="BS1599">
        <f>IFERROR(INDEX(PP_Grid[#Data],$DE1599,68),0)</f>
        <v/>
      </c>
      <c r="BT1599">
        <f>IFERROR(INDEX(PP_Grid[#Data],$DE1599,69),0)</f>
        <v/>
      </c>
      <c r="BU1599">
        <f>IFERROR(INDEX(PP_Grid[#Data],$DE1599,70),0)</f>
        <v/>
      </c>
      <c r="BV1599">
        <f>IFERROR(INDEX(PP_Grid[#Data],$DE1599,71),0)</f>
        <v/>
      </c>
      <c r="BW1599">
        <f>IFERROR(INDEX(PP_Grid[#Data],$DE1599,72),0)</f>
        <v/>
      </c>
      <c r="BX1599">
        <f>IFERROR(INDEX(PP_Grid[#Data],$DE1599,73),0)</f>
        <v/>
      </c>
      <c r="BY1599">
        <f>IFERROR(INDEX(PP_Grid[#Data],$DE1599,74),0)</f>
        <v/>
      </c>
      <c r="BZ1599">
        <f>IFERROR(INDEX(PP_Grid[#Data],$DE1599,75),0)</f>
        <v/>
      </c>
      <c r="CA1599">
        <f>IFERROR(INDEX(PP_Grid[#Data],$DE1599,76),0)</f>
        <v/>
      </c>
      <c r="CB1599">
        <f>IFERROR(INDEX(PP_Grid[#Data],$DE1599,77),0)</f>
        <v/>
      </c>
      <c r="CC1599">
        <f>IFERROR(INDEX(PP_Grid[#Data],$DE1599,78),0)</f>
        <v/>
      </c>
      <c r="CD1599">
        <f>IFERROR(INDEX(PP_Grid[#Data],$DE1599,79),0)</f>
        <v/>
      </c>
      <c r="CE1599">
        <f>IFERROR(INDEX(PP_Grid[#Data],$DE1599,80),0)</f>
        <v/>
      </c>
      <c r="CF1599">
        <f>IFERROR(INDEX(PP_Grid[#Data],$DE1599,81),0)</f>
        <v/>
      </c>
      <c r="CG1599">
        <f>IFERROR(INDEX(PP_Grid[#Data],$DE1599,82),0)</f>
        <v/>
      </c>
      <c r="CH1599">
        <f>IFERROR(INDEX(PP_Grid[#Data],$DE1599,83),0)</f>
        <v/>
      </c>
      <c r="CI1599">
        <f>IFERROR(INDEX(PP_Grid[#Data],$DE1599,84),0)</f>
        <v/>
      </c>
      <c r="CJ1599">
        <f>IFERROR(INDEX(PP_Grid[#Data],$DE1599,85),0)</f>
        <v/>
      </c>
      <c r="CK1599">
        <f>IFERROR(INDEX(PP_Grid[#Data],$DE1599,86),0)</f>
        <v/>
      </c>
      <c r="CL1599">
        <f>IFERROR(INDEX(PP_Grid[#Data],$DE1599,87),0)</f>
        <v/>
      </c>
      <c r="CM1599">
        <f>IFERROR(INDEX(PP_Grid[#Data],$DE1599,88),0)</f>
        <v/>
      </c>
      <c r="CN1599">
        <f>IFERROR(INDEX(PP_Grid[#Data],$DE1599,89),0)</f>
        <v/>
      </c>
      <c r="CO1599">
        <f>IFERROR(INDEX(PP_Grid[#Data],$DE1599,90),0)</f>
        <v/>
      </c>
      <c r="CP1599">
        <f>IFERROR(INDEX(PP_Grid[#Data],$DE1599,91),0)</f>
        <v/>
      </c>
      <c r="CQ1599">
        <f>IFERROR(INDEX(PP_Grid[#Data],$DE1599,92),0)</f>
        <v/>
      </c>
      <c r="CR1599">
        <f>IFERROR(INDEX(PP_Grid[#Data],$DE1599,93),0)</f>
        <v/>
      </c>
      <c r="CS1599">
        <f>IFERROR(INDEX(PP_Grid[#Data],$DE1599,94),0)</f>
        <v/>
      </c>
      <c r="CT1599">
        <f>IFERROR(INDEX(PP_Grid[#Data],$DE1599,95),0)</f>
        <v/>
      </c>
      <c r="CU1599">
        <f>IFERROR(INDEX(PP_Grid[#Data],$DE1599,96),0)</f>
        <v/>
      </c>
      <c r="CV1599">
        <f>IFERROR(INDEX(PP_Grid[#Data],$DE1599,97),0)</f>
        <v/>
      </c>
      <c r="CW1599">
        <f>IFERROR(INDEX(PP_Grid[#Data],$DE1599,98),0)</f>
        <v/>
      </c>
      <c r="CX1599">
        <f>IFERROR(INDEX(PP_Grid[#Data],$DE1599,99),0)</f>
        <v/>
      </c>
      <c r="CY1599">
        <f>IFERROR(INDEX(PP_Grid[#Data],$DE1599,100),0)</f>
        <v/>
      </c>
      <c r="CZ1599">
        <f>IFERROR(INDEX(PP_Grid[#Data],$DE1599,101),0)</f>
        <v/>
      </c>
      <c r="DA1599">
        <f>IFERROR(INDEX(PP_Grid[#Data],$DE1599,102),0)</f>
        <v/>
      </c>
      <c r="DB1599">
        <f>IFERROR(INDEX(PP_Grid[#Data],$DE1599,103),0)</f>
        <v/>
      </c>
      <c r="DC1599">
        <f>IFERROR(INDEX(PP_Grid[#Data],$DE1599,104),0)</f>
        <v/>
      </c>
      <c r="DD1599">
        <f>IFERROR(INDEX(PP_Grid[#Data],$DE1599,105),0)</f>
        <v/>
      </c>
      <c r="DE1599" s="7">
        <f>IFERROR(MATCH($B1599,PP_Grid[Intermediate],0),99999)</f>
        <v/>
      </c>
    </row>
    <row r="1600">
      <c r="B1600" t="inlineStr">
        <is>
          <t>使用量(kg)</t>
        </is>
      </c>
      <c r="C1600">
        <f>SUMIFS(M_BOM[RM_Qty_Per_Batch],M_BOM[Intermediate],$B1599,M_BOM[RM_Code],$A1586)</f>
        <v/>
      </c>
      <c r="D1600">
        <f>IFERROR(INDEX(E1600:DD1600,$F$1),"")</f>
        <v/>
      </c>
      <c r="E1600">
        <f>$C1600*E1599</f>
        <v/>
      </c>
      <c r="F1600">
        <f>$C1600*F1599</f>
        <v/>
      </c>
      <c r="G1600">
        <f>$C1600*G1599</f>
        <v/>
      </c>
      <c r="H1600">
        <f>$C1600*H1599</f>
        <v/>
      </c>
      <c r="I1600">
        <f>$C1600*I1599</f>
        <v/>
      </c>
      <c r="J1600">
        <f>$C1600*J1599</f>
        <v/>
      </c>
      <c r="K1600">
        <f>$C1600*K1599</f>
        <v/>
      </c>
      <c r="L1600">
        <f>$C1600*L1599</f>
        <v/>
      </c>
      <c r="M1600">
        <f>$C1600*M1599</f>
        <v/>
      </c>
      <c r="N1600">
        <f>$C1600*N1599</f>
        <v/>
      </c>
      <c r="O1600">
        <f>$C1600*O1599</f>
        <v/>
      </c>
      <c r="P1600">
        <f>$C1600*P1599</f>
        <v/>
      </c>
      <c r="Q1600">
        <f>$C1600*Q1599</f>
        <v/>
      </c>
      <c r="R1600">
        <f>$C1600*R1599</f>
        <v/>
      </c>
      <c r="S1600">
        <f>$C1600*S1599</f>
        <v/>
      </c>
      <c r="T1600">
        <f>$C1600*T1599</f>
        <v/>
      </c>
      <c r="U1600">
        <f>$C1600*U1599</f>
        <v/>
      </c>
      <c r="V1600">
        <f>$C1600*V1599</f>
        <v/>
      </c>
      <c r="W1600">
        <f>$C1600*W1599</f>
        <v/>
      </c>
      <c r="X1600">
        <f>$C1600*X1599</f>
        <v/>
      </c>
      <c r="Y1600">
        <f>$C1600*Y1599</f>
        <v/>
      </c>
      <c r="Z1600">
        <f>$C1600*Z1599</f>
        <v/>
      </c>
      <c r="AA1600">
        <f>$C1600*AA1599</f>
        <v/>
      </c>
      <c r="AB1600">
        <f>$C1600*AB1599</f>
        <v/>
      </c>
      <c r="AC1600">
        <f>$C1600*AC1599</f>
        <v/>
      </c>
      <c r="AD1600">
        <f>$C1600*AD1599</f>
        <v/>
      </c>
      <c r="AE1600">
        <f>$C1600*AE1599</f>
        <v/>
      </c>
      <c r="AF1600">
        <f>$C1600*AF1599</f>
        <v/>
      </c>
      <c r="AG1600">
        <f>$C1600*AG1599</f>
        <v/>
      </c>
      <c r="AH1600">
        <f>$C1600*AH1599</f>
        <v/>
      </c>
      <c r="AI1600">
        <f>$C1600*AI1599</f>
        <v/>
      </c>
      <c r="AJ1600">
        <f>$C1600*AJ1599</f>
        <v/>
      </c>
      <c r="AK1600">
        <f>$C1600*AK1599</f>
        <v/>
      </c>
      <c r="AL1600">
        <f>$C1600*AL1599</f>
        <v/>
      </c>
      <c r="AM1600">
        <f>$C1600*AM1599</f>
        <v/>
      </c>
      <c r="AN1600">
        <f>$C1600*AN1599</f>
        <v/>
      </c>
      <c r="AO1600">
        <f>$C1600*AO1599</f>
        <v/>
      </c>
      <c r="AP1600">
        <f>$C1600*AP1599</f>
        <v/>
      </c>
      <c r="AQ1600">
        <f>$C1600*AQ1599</f>
        <v/>
      </c>
      <c r="AR1600">
        <f>$C1600*AR1599</f>
        <v/>
      </c>
      <c r="AS1600">
        <f>$C1600*AS1599</f>
        <v/>
      </c>
      <c r="AT1600">
        <f>$C1600*AT1599</f>
        <v/>
      </c>
      <c r="AU1600">
        <f>$C1600*AU1599</f>
        <v/>
      </c>
      <c r="AV1600">
        <f>$C1600*AV1599</f>
        <v/>
      </c>
      <c r="AW1600">
        <f>$C1600*AW1599</f>
        <v/>
      </c>
      <c r="AX1600">
        <f>$C1600*AX1599</f>
        <v/>
      </c>
      <c r="AY1600">
        <f>$C1600*AY1599</f>
        <v/>
      </c>
      <c r="AZ1600">
        <f>$C1600*AZ1599</f>
        <v/>
      </c>
      <c r="BA1600">
        <f>$C1600*BA1599</f>
        <v/>
      </c>
      <c r="BB1600">
        <f>$C1600*BB1599</f>
        <v/>
      </c>
      <c r="BC1600">
        <f>$C1600*BC1599</f>
        <v/>
      </c>
      <c r="BD1600">
        <f>$C1600*BD1599</f>
        <v/>
      </c>
      <c r="BE1600">
        <f>$C1600*BE1599</f>
        <v/>
      </c>
      <c r="BF1600">
        <f>$C1600*BF1599</f>
        <v/>
      </c>
      <c r="BG1600">
        <f>$C1600*BG1599</f>
        <v/>
      </c>
      <c r="BH1600">
        <f>$C1600*BH1599</f>
        <v/>
      </c>
      <c r="BI1600">
        <f>$C1600*BI1599</f>
        <v/>
      </c>
      <c r="BJ1600">
        <f>$C1600*BJ1599</f>
        <v/>
      </c>
      <c r="BK1600">
        <f>$C1600*BK1599</f>
        <v/>
      </c>
      <c r="BL1600">
        <f>$C1600*BL1599</f>
        <v/>
      </c>
      <c r="BM1600">
        <f>$C1600*BM1599</f>
        <v/>
      </c>
      <c r="BN1600">
        <f>$C1600*BN1599</f>
        <v/>
      </c>
      <c r="BO1600">
        <f>$C1600*BO1599</f>
        <v/>
      </c>
      <c r="BP1600">
        <f>$C1600*BP1599</f>
        <v/>
      </c>
      <c r="BQ1600">
        <f>$C1600*BQ1599</f>
        <v/>
      </c>
      <c r="BR1600">
        <f>$C1600*BR1599</f>
        <v/>
      </c>
      <c r="BS1600">
        <f>$C1600*BS1599</f>
        <v/>
      </c>
      <c r="BT1600">
        <f>$C1600*BT1599</f>
        <v/>
      </c>
      <c r="BU1600">
        <f>$C1600*BU1599</f>
        <v/>
      </c>
      <c r="BV1600">
        <f>$C1600*BV1599</f>
        <v/>
      </c>
      <c r="BW1600">
        <f>$C1600*BW1599</f>
        <v/>
      </c>
      <c r="BX1600">
        <f>$C1600*BX1599</f>
        <v/>
      </c>
      <c r="BY1600">
        <f>$C1600*BY1599</f>
        <v/>
      </c>
      <c r="BZ1600">
        <f>$C1600*BZ1599</f>
        <v/>
      </c>
      <c r="CA1600">
        <f>$C1600*CA1599</f>
        <v/>
      </c>
      <c r="CB1600">
        <f>$C1600*CB1599</f>
        <v/>
      </c>
      <c r="CC1600">
        <f>$C1600*CC1599</f>
        <v/>
      </c>
      <c r="CD1600">
        <f>$C1600*CD1599</f>
        <v/>
      </c>
      <c r="CE1600">
        <f>$C1600*CE1599</f>
        <v/>
      </c>
      <c r="CF1600">
        <f>$C1600*CF1599</f>
        <v/>
      </c>
      <c r="CG1600">
        <f>$C1600*CG1599</f>
        <v/>
      </c>
      <c r="CH1600">
        <f>$C1600*CH1599</f>
        <v/>
      </c>
      <c r="CI1600">
        <f>$C1600*CI1599</f>
        <v/>
      </c>
      <c r="CJ1600">
        <f>$C1600*CJ1599</f>
        <v/>
      </c>
      <c r="CK1600">
        <f>$C1600*CK1599</f>
        <v/>
      </c>
      <c r="CL1600">
        <f>$C1600*CL1599</f>
        <v/>
      </c>
      <c r="CM1600">
        <f>$C1600*CM1599</f>
        <v/>
      </c>
      <c r="CN1600">
        <f>$C1600*CN1599</f>
        <v/>
      </c>
      <c r="CO1600">
        <f>$C1600*CO1599</f>
        <v/>
      </c>
      <c r="CP1600">
        <f>$C1600*CP1599</f>
        <v/>
      </c>
      <c r="CQ1600">
        <f>$C1600*CQ1599</f>
        <v/>
      </c>
      <c r="CR1600">
        <f>$C1600*CR1599</f>
        <v/>
      </c>
      <c r="CS1600">
        <f>$C1600*CS1599</f>
        <v/>
      </c>
      <c r="CT1600">
        <f>$C1600*CT1599</f>
        <v/>
      </c>
      <c r="CU1600">
        <f>$C1600*CU1599</f>
        <v/>
      </c>
      <c r="CV1600">
        <f>$C1600*CV1599</f>
        <v/>
      </c>
      <c r="CW1600">
        <f>$C1600*CW1599</f>
        <v/>
      </c>
      <c r="CX1600">
        <f>$C1600*CX1599</f>
        <v/>
      </c>
      <c r="CY1600">
        <f>$C1600*CY1599</f>
        <v/>
      </c>
      <c r="CZ1600">
        <f>$C1600*CZ1599</f>
        <v/>
      </c>
      <c r="DA1600">
        <f>$C1600*DA1599</f>
        <v/>
      </c>
      <c r="DB1600">
        <f>$C1600*DB1599</f>
        <v/>
      </c>
      <c r="DC1600">
        <f>$C1600*DC1599</f>
        <v/>
      </c>
      <c r="DD1600">
        <f>$C1600*DD1599</f>
        <v/>
      </c>
    </row>
    <row r="1601">
      <c r="B1601" t="inlineStr">
        <is>
          <t>TPP-917</t>
        </is>
      </c>
      <c r="C1601" t="inlineStr">
        <is>
          <t>No. of batches</t>
        </is>
      </c>
      <c r="D1601">
        <f>IFERROR(INDEX(E1601:DD1601,$F$1),"")</f>
        <v/>
      </c>
      <c r="E1601">
        <f>IFERROR(INDEX(PP_Grid[#Data],$DE1601,2),0)</f>
        <v/>
      </c>
      <c r="F1601">
        <f>IFERROR(INDEX(PP_Grid[#Data],$DE1601,3),0)</f>
        <v/>
      </c>
      <c r="G1601">
        <f>IFERROR(INDEX(PP_Grid[#Data],$DE1601,4),0)</f>
        <v/>
      </c>
      <c r="H1601">
        <f>IFERROR(INDEX(PP_Grid[#Data],$DE1601,5),0)</f>
        <v/>
      </c>
      <c r="I1601">
        <f>IFERROR(INDEX(PP_Grid[#Data],$DE1601,6),0)</f>
        <v/>
      </c>
      <c r="J1601">
        <f>IFERROR(INDEX(PP_Grid[#Data],$DE1601,7),0)</f>
        <v/>
      </c>
      <c r="K1601">
        <f>IFERROR(INDEX(PP_Grid[#Data],$DE1601,8),0)</f>
        <v/>
      </c>
      <c r="L1601">
        <f>IFERROR(INDEX(PP_Grid[#Data],$DE1601,9),0)</f>
        <v/>
      </c>
      <c r="M1601">
        <f>IFERROR(INDEX(PP_Grid[#Data],$DE1601,10),0)</f>
        <v/>
      </c>
      <c r="N1601">
        <f>IFERROR(INDEX(PP_Grid[#Data],$DE1601,11),0)</f>
        <v/>
      </c>
      <c r="O1601">
        <f>IFERROR(INDEX(PP_Grid[#Data],$DE1601,12),0)</f>
        <v/>
      </c>
      <c r="P1601">
        <f>IFERROR(INDEX(PP_Grid[#Data],$DE1601,13),0)</f>
        <v/>
      </c>
      <c r="Q1601">
        <f>IFERROR(INDEX(PP_Grid[#Data],$DE1601,14),0)</f>
        <v/>
      </c>
      <c r="R1601">
        <f>IFERROR(INDEX(PP_Grid[#Data],$DE1601,15),0)</f>
        <v/>
      </c>
      <c r="S1601">
        <f>IFERROR(INDEX(PP_Grid[#Data],$DE1601,16),0)</f>
        <v/>
      </c>
      <c r="T1601">
        <f>IFERROR(INDEX(PP_Grid[#Data],$DE1601,17),0)</f>
        <v/>
      </c>
      <c r="U1601">
        <f>IFERROR(INDEX(PP_Grid[#Data],$DE1601,18),0)</f>
        <v/>
      </c>
      <c r="V1601">
        <f>IFERROR(INDEX(PP_Grid[#Data],$DE1601,19),0)</f>
        <v/>
      </c>
      <c r="W1601">
        <f>IFERROR(INDEX(PP_Grid[#Data],$DE1601,20),0)</f>
        <v/>
      </c>
      <c r="X1601">
        <f>IFERROR(INDEX(PP_Grid[#Data],$DE1601,21),0)</f>
        <v/>
      </c>
      <c r="Y1601">
        <f>IFERROR(INDEX(PP_Grid[#Data],$DE1601,22),0)</f>
        <v/>
      </c>
      <c r="Z1601">
        <f>IFERROR(INDEX(PP_Grid[#Data],$DE1601,23),0)</f>
        <v/>
      </c>
      <c r="AA1601">
        <f>IFERROR(INDEX(PP_Grid[#Data],$DE1601,24),0)</f>
        <v/>
      </c>
      <c r="AB1601">
        <f>IFERROR(INDEX(PP_Grid[#Data],$DE1601,25),0)</f>
        <v/>
      </c>
      <c r="AC1601">
        <f>IFERROR(INDEX(PP_Grid[#Data],$DE1601,26),0)</f>
        <v/>
      </c>
      <c r="AD1601">
        <f>IFERROR(INDEX(PP_Grid[#Data],$DE1601,27),0)</f>
        <v/>
      </c>
      <c r="AE1601">
        <f>IFERROR(INDEX(PP_Grid[#Data],$DE1601,28),0)</f>
        <v/>
      </c>
      <c r="AF1601">
        <f>IFERROR(INDEX(PP_Grid[#Data],$DE1601,29),0)</f>
        <v/>
      </c>
      <c r="AG1601">
        <f>IFERROR(INDEX(PP_Grid[#Data],$DE1601,30),0)</f>
        <v/>
      </c>
      <c r="AH1601">
        <f>IFERROR(INDEX(PP_Grid[#Data],$DE1601,31),0)</f>
        <v/>
      </c>
      <c r="AI1601">
        <f>IFERROR(INDEX(PP_Grid[#Data],$DE1601,32),0)</f>
        <v/>
      </c>
      <c r="AJ1601">
        <f>IFERROR(INDEX(PP_Grid[#Data],$DE1601,33),0)</f>
        <v/>
      </c>
      <c r="AK1601">
        <f>IFERROR(INDEX(PP_Grid[#Data],$DE1601,34),0)</f>
        <v/>
      </c>
      <c r="AL1601">
        <f>IFERROR(INDEX(PP_Grid[#Data],$DE1601,35),0)</f>
        <v/>
      </c>
      <c r="AM1601">
        <f>IFERROR(INDEX(PP_Grid[#Data],$DE1601,36),0)</f>
        <v/>
      </c>
      <c r="AN1601">
        <f>IFERROR(INDEX(PP_Grid[#Data],$DE1601,37),0)</f>
        <v/>
      </c>
      <c r="AO1601">
        <f>IFERROR(INDEX(PP_Grid[#Data],$DE1601,38),0)</f>
        <v/>
      </c>
      <c r="AP1601">
        <f>IFERROR(INDEX(PP_Grid[#Data],$DE1601,39),0)</f>
        <v/>
      </c>
      <c r="AQ1601">
        <f>IFERROR(INDEX(PP_Grid[#Data],$DE1601,40),0)</f>
        <v/>
      </c>
      <c r="AR1601">
        <f>IFERROR(INDEX(PP_Grid[#Data],$DE1601,41),0)</f>
        <v/>
      </c>
      <c r="AS1601">
        <f>IFERROR(INDEX(PP_Grid[#Data],$DE1601,42),0)</f>
        <v/>
      </c>
      <c r="AT1601">
        <f>IFERROR(INDEX(PP_Grid[#Data],$DE1601,43),0)</f>
        <v/>
      </c>
      <c r="AU1601">
        <f>IFERROR(INDEX(PP_Grid[#Data],$DE1601,44),0)</f>
        <v/>
      </c>
      <c r="AV1601">
        <f>IFERROR(INDEX(PP_Grid[#Data],$DE1601,45),0)</f>
        <v/>
      </c>
      <c r="AW1601">
        <f>IFERROR(INDEX(PP_Grid[#Data],$DE1601,46),0)</f>
        <v/>
      </c>
      <c r="AX1601">
        <f>IFERROR(INDEX(PP_Grid[#Data],$DE1601,47),0)</f>
        <v/>
      </c>
      <c r="AY1601">
        <f>IFERROR(INDEX(PP_Grid[#Data],$DE1601,48),0)</f>
        <v/>
      </c>
      <c r="AZ1601">
        <f>IFERROR(INDEX(PP_Grid[#Data],$DE1601,49),0)</f>
        <v/>
      </c>
      <c r="BA1601">
        <f>IFERROR(INDEX(PP_Grid[#Data],$DE1601,50),0)</f>
        <v/>
      </c>
      <c r="BB1601">
        <f>IFERROR(INDEX(PP_Grid[#Data],$DE1601,51),0)</f>
        <v/>
      </c>
      <c r="BC1601">
        <f>IFERROR(INDEX(PP_Grid[#Data],$DE1601,52),0)</f>
        <v/>
      </c>
      <c r="BD1601">
        <f>IFERROR(INDEX(PP_Grid[#Data],$DE1601,53),0)</f>
        <v/>
      </c>
      <c r="BE1601">
        <f>IFERROR(INDEX(PP_Grid[#Data],$DE1601,54),0)</f>
        <v/>
      </c>
      <c r="BF1601">
        <f>IFERROR(INDEX(PP_Grid[#Data],$DE1601,55),0)</f>
        <v/>
      </c>
      <c r="BG1601">
        <f>IFERROR(INDEX(PP_Grid[#Data],$DE1601,56),0)</f>
        <v/>
      </c>
      <c r="BH1601">
        <f>IFERROR(INDEX(PP_Grid[#Data],$DE1601,57),0)</f>
        <v/>
      </c>
      <c r="BI1601">
        <f>IFERROR(INDEX(PP_Grid[#Data],$DE1601,58),0)</f>
        <v/>
      </c>
      <c r="BJ1601">
        <f>IFERROR(INDEX(PP_Grid[#Data],$DE1601,59),0)</f>
        <v/>
      </c>
      <c r="BK1601">
        <f>IFERROR(INDEX(PP_Grid[#Data],$DE1601,60),0)</f>
        <v/>
      </c>
      <c r="BL1601">
        <f>IFERROR(INDEX(PP_Grid[#Data],$DE1601,61),0)</f>
        <v/>
      </c>
      <c r="BM1601">
        <f>IFERROR(INDEX(PP_Grid[#Data],$DE1601,62),0)</f>
        <v/>
      </c>
      <c r="BN1601">
        <f>IFERROR(INDEX(PP_Grid[#Data],$DE1601,63),0)</f>
        <v/>
      </c>
      <c r="BO1601">
        <f>IFERROR(INDEX(PP_Grid[#Data],$DE1601,64),0)</f>
        <v/>
      </c>
      <c r="BP1601">
        <f>IFERROR(INDEX(PP_Grid[#Data],$DE1601,65),0)</f>
        <v/>
      </c>
      <c r="BQ1601">
        <f>IFERROR(INDEX(PP_Grid[#Data],$DE1601,66),0)</f>
        <v/>
      </c>
      <c r="BR1601">
        <f>IFERROR(INDEX(PP_Grid[#Data],$DE1601,67),0)</f>
        <v/>
      </c>
      <c r="BS1601">
        <f>IFERROR(INDEX(PP_Grid[#Data],$DE1601,68),0)</f>
        <v/>
      </c>
      <c r="BT1601">
        <f>IFERROR(INDEX(PP_Grid[#Data],$DE1601,69),0)</f>
        <v/>
      </c>
      <c r="BU1601">
        <f>IFERROR(INDEX(PP_Grid[#Data],$DE1601,70),0)</f>
        <v/>
      </c>
      <c r="BV1601">
        <f>IFERROR(INDEX(PP_Grid[#Data],$DE1601,71),0)</f>
        <v/>
      </c>
      <c r="BW1601">
        <f>IFERROR(INDEX(PP_Grid[#Data],$DE1601,72),0)</f>
        <v/>
      </c>
      <c r="BX1601">
        <f>IFERROR(INDEX(PP_Grid[#Data],$DE1601,73),0)</f>
        <v/>
      </c>
      <c r="BY1601">
        <f>IFERROR(INDEX(PP_Grid[#Data],$DE1601,74),0)</f>
        <v/>
      </c>
      <c r="BZ1601">
        <f>IFERROR(INDEX(PP_Grid[#Data],$DE1601,75),0)</f>
        <v/>
      </c>
      <c r="CA1601">
        <f>IFERROR(INDEX(PP_Grid[#Data],$DE1601,76),0)</f>
        <v/>
      </c>
      <c r="CB1601">
        <f>IFERROR(INDEX(PP_Grid[#Data],$DE1601,77),0)</f>
        <v/>
      </c>
      <c r="CC1601">
        <f>IFERROR(INDEX(PP_Grid[#Data],$DE1601,78),0)</f>
        <v/>
      </c>
      <c r="CD1601">
        <f>IFERROR(INDEX(PP_Grid[#Data],$DE1601,79),0)</f>
        <v/>
      </c>
      <c r="CE1601">
        <f>IFERROR(INDEX(PP_Grid[#Data],$DE1601,80),0)</f>
        <v/>
      </c>
      <c r="CF1601">
        <f>IFERROR(INDEX(PP_Grid[#Data],$DE1601,81),0)</f>
        <v/>
      </c>
      <c r="CG1601">
        <f>IFERROR(INDEX(PP_Grid[#Data],$DE1601,82),0)</f>
        <v/>
      </c>
      <c r="CH1601">
        <f>IFERROR(INDEX(PP_Grid[#Data],$DE1601,83),0)</f>
        <v/>
      </c>
      <c r="CI1601">
        <f>IFERROR(INDEX(PP_Grid[#Data],$DE1601,84),0)</f>
        <v/>
      </c>
      <c r="CJ1601">
        <f>IFERROR(INDEX(PP_Grid[#Data],$DE1601,85),0)</f>
        <v/>
      </c>
      <c r="CK1601">
        <f>IFERROR(INDEX(PP_Grid[#Data],$DE1601,86),0)</f>
        <v/>
      </c>
      <c r="CL1601">
        <f>IFERROR(INDEX(PP_Grid[#Data],$DE1601,87),0)</f>
        <v/>
      </c>
      <c r="CM1601">
        <f>IFERROR(INDEX(PP_Grid[#Data],$DE1601,88),0)</f>
        <v/>
      </c>
      <c r="CN1601">
        <f>IFERROR(INDEX(PP_Grid[#Data],$DE1601,89),0)</f>
        <v/>
      </c>
      <c r="CO1601">
        <f>IFERROR(INDEX(PP_Grid[#Data],$DE1601,90),0)</f>
        <v/>
      </c>
      <c r="CP1601">
        <f>IFERROR(INDEX(PP_Grid[#Data],$DE1601,91),0)</f>
        <v/>
      </c>
      <c r="CQ1601">
        <f>IFERROR(INDEX(PP_Grid[#Data],$DE1601,92),0)</f>
        <v/>
      </c>
      <c r="CR1601">
        <f>IFERROR(INDEX(PP_Grid[#Data],$DE1601,93),0)</f>
        <v/>
      </c>
      <c r="CS1601">
        <f>IFERROR(INDEX(PP_Grid[#Data],$DE1601,94),0)</f>
        <v/>
      </c>
      <c r="CT1601">
        <f>IFERROR(INDEX(PP_Grid[#Data],$DE1601,95),0)</f>
        <v/>
      </c>
      <c r="CU1601">
        <f>IFERROR(INDEX(PP_Grid[#Data],$DE1601,96),0)</f>
        <v/>
      </c>
      <c r="CV1601">
        <f>IFERROR(INDEX(PP_Grid[#Data],$DE1601,97),0)</f>
        <v/>
      </c>
      <c r="CW1601">
        <f>IFERROR(INDEX(PP_Grid[#Data],$DE1601,98),0)</f>
        <v/>
      </c>
      <c r="CX1601">
        <f>IFERROR(INDEX(PP_Grid[#Data],$DE1601,99),0)</f>
        <v/>
      </c>
      <c r="CY1601">
        <f>IFERROR(INDEX(PP_Grid[#Data],$DE1601,100),0)</f>
        <v/>
      </c>
      <c r="CZ1601">
        <f>IFERROR(INDEX(PP_Grid[#Data],$DE1601,101),0)</f>
        <v/>
      </c>
      <c r="DA1601">
        <f>IFERROR(INDEX(PP_Grid[#Data],$DE1601,102),0)</f>
        <v/>
      </c>
      <c r="DB1601">
        <f>IFERROR(INDEX(PP_Grid[#Data],$DE1601,103),0)</f>
        <v/>
      </c>
      <c r="DC1601">
        <f>IFERROR(INDEX(PP_Grid[#Data],$DE1601,104),0)</f>
        <v/>
      </c>
      <c r="DD1601">
        <f>IFERROR(INDEX(PP_Grid[#Data],$DE1601,105),0)</f>
        <v/>
      </c>
      <c r="DE1601" s="7">
        <f>IFERROR(MATCH($B1601,PP_Grid[Intermediate],0),99999)</f>
        <v/>
      </c>
    </row>
    <row r="1602">
      <c r="B1602" t="inlineStr">
        <is>
          <t>使用量(kg)</t>
        </is>
      </c>
      <c r="C1602">
        <f>SUMIFS(M_BOM[RM_Qty_Per_Batch],M_BOM[Intermediate],$B1601,M_BOM[RM_Code],$A1586)</f>
        <v/>
      </c>
      <c r="D1602">
        <f>IFERROR(INDEX(E1602:DD1602,$F$1),"")</f>
        <v/>
      </c>
      <c r="E1602">
        <f>$C1602*E1601</f>
        <v/>
      </c>
      <c r="F1602">
        <f>$C1602*F1601</f>
        <v/>
      </c>
      <c r="G1602">
        <f>$C1602*G1601</f>
        <v/>
      </c>
      <c r="H1602">
        <f>$C1602*H1601</f>
        <v/>
      </c>
      <c r="I1602">
        <f>$C1602*I1601</f>
        <v/>
      </c>
      <c r="J1602">
        <f>$C1602*J1601</f>
        <v/>
      </c>
      <c r="K1602">
        <f>$C1602*K1601</f>
        <v/>
      </c>
      <c r="L1602">
        <f>$C1602*L1601</f>
        <v/>
      </c>
      <c r="M1602">
        <f>$C1602*M1601</f>
        <v/>
      </c>
      <c r="N1602">
        <f>$C1602*N1601</f>
        <v/>
      </c>
      <c r="O1602">
        <f>$C1602*O1601</f>
        <v/>
      </c>
      <c r="P1602">
        <f>$C1602*P1601</f>
        <v/>
      </c>
      <c r="Q1602">
        <f>$C1602*Q1601</f>
        <v/>
      </c>
      <c r="R1602">
        <f>$C1602*R1601</f>
        <v/>
      </c>
      <c r="S1602">
        <f>$C1602*S1601</f>
        <v/>
      </c>
      <c r="T1602">
        <f>$C1602*T1601</f>
        <v/>
      </c>
      <c r="U1602">
        <f>$C1602*U1601</f>
        <v/>
      </c>
      <c r="V1602">
        <f>$C1602*V1601</f>
        <v/>
      </c>
      <c r="W1602">
        <f>$C1602*W1601</f>
        <v/>
      </c>
      <c r="X1602">
        <f>$C1602*X1601</f>
        <v/>
      </c>
      <c r="Y1602">
        <f>$C1602*Y1601</f>
        <v/>
      </c>
      <c r="Z1602">
        <f>$C1602*Z1601</f>
        <v/>
      </c>
      <c r="AA1602">
        <f>$C1602*AA1601</f>
        <v/>
      </c>
      <c r="AB1602">
        <f>$C1602*AB1601</f>
        <v/>
      </c>
      <c r="AC1602">
        <f>$C1602*AC1601</f>
        <v/>
      </c>
      <c r="AD1602">
        <f>$C1602*AD1601</f>
        <v/>
      </c>
      <c r="AE1602">
        <f>$C1602*AE1601</f>
        <v/>
      </c>
      <c r="AF1602">
        <f>$C1602*AF1601</f>
        <v/>
      </c>
      <c r="AG1602">
        <f>$C1602*AG1601</f>
        <v/>
      </c>
      <c r="AH1602">
        <f>$C1602*AH1601</f>
        <v/>
      </c>
      <c r="AI1602">
        <f>$C1602*AI1601</f>
        <v/>
      </c>
      <c r="AJ1602">
        <f>$C1602*AJ1601</f>
        <v/>
      </c>
      <c r="AK1602">
        <f>$C1602*AK1601</f>
        <v/>
      </c>
      <c r="AL1602">
        <f>$C1602*AL1601</f>
        <v/>
      </c>
      <c r="AM1602">
        <f>$C1602*AM1601</f>
        <v/>
      </c>
      <c r="AN1602">
        <f>$C1602*AN1601</f>
        <v/>
      </c>
      <c r="AO1602">
        <f>$C1602*AO1601</f>
        <v/>
      </c>
      <c r="AP1602">
        <f>$C1602*AP1601</f>
        <v/>
      </c>
      <c r="AQ1602">
        <f>$C1602*AQ1601</f>
        <v/>
      </c>
      <c r="AR1602">
        <f>$C1602*AR1601</f>
        <v/>
      </c>
      <c r="AS1602">
        <f>$C1602*AS1601</f>
        <v/>
      </c>
      <c r="AT1602">
        <f>$C1602*AT1601</f>
        <v/>
      </c>
      <c r="AU1602">
        <f>$C1602*AU1601</f>
        <v/>
      </c>
      <c r="AV1602">
        <f>$C1602*AV1601</f>
        <v/>
      </c>
      <c r="AW1602">
        <f>$C1602*AW1601</f>
        <v/>
      </c>
      <c r="AX1602">
        <f>$C1602*AX1601</f>
        <v/>
      </c>
      <c r="AY1602">
        <f>$C1602*AY1601</f>
        <v/>
      </c>
      <c r="AZ1602">
        <f>$C1602*AZ1601</f>
        <v/>
      </c>
      <c r="BA1602">
        <f>$C1602*BA1601</f>
        <v/>
      </c>
      <c r="BB1602">
        <f>$C1602*BB1601</f>
        <v/>
      </c>
      <c r="BC1602">
        <f>$C1602*BC1601</f>
        <v/>
      </c>
      <c r="BD1602">
        <f>$C1602*BD1601</f>
        <v/>
      </c>
      <c r="BE1602">
        <f>$C1602*BE1601</f>
        <v/>
      </c>
      <c r="BF1602">
        <f>$C1602*BF1601</f>
        <v/>
      </c>
      <c r="BG1602">
        <f>$C1602*BG1601</f>
        <v/>
      </c>
      <c r="BH1602">
        <f>$C1602*BH1601</f>
        <v/>
      </c>
      <c r="BI1602">
        <f>$C1602*BI1601</f>
        <v/>
      </c>
      <c r="BJ1602">
        <f>$C1602*BJ1601</f>
        <v/>
      </c>
      <c r="BK1602">
        <f>$C1602*BK1601</f>
        <v/>
      </c>
      <c r="BL1602">
        <f>$C1602*BL1601</f>
        <v/>
      </c>
      <c r="BM1602">
        <f>$C1602*BM1601</f>
        <v/>
      </c>
      <c r="BN1602">
        <f>$C1602*BN1601</f>
        <v/>
      </c>
      <c r="BO1602">
        <f>$C1602*BO1601</f>
        <v/>
      </c>
      <c r="BP1602">
        <f>$C1602*BP1601</f>
        <v/>
      </c>
      <c r="BQ1602">
        <f>$C1602*BQ1601</f>
        <v/>
      </c>
      <c r="BR1602">
        <f>$C1602*BR1601</f>
        <v/>
      </c>
      <c r="BS1602">
        <f>$C1602*BS1601</f>
        <v/>
      </c>
      <c r="BT1602">
        <f>$C1602*BT1601</f>
        <v/>
      </c>
      <c r="BU1602">
        <f>$C1602*BU1601</f>
        <v/>
      </c>
      <c r="BV1602">
        <f>$C1602*BV1601</f>
        <v/>
      </c>
      <c r="BW1602">
        <f>$C1602*BW1601</f>
        <v/>
      </c>
      <c r="BX1602">
        <f>$C1602*BX1601</f>
        <v/>
      </c>
      <c r="BY1602">
        <f>$C1602*BY1601</f>
        <v/>
      </c>
      <c r="BZ1602">
        <f>$C1602*BZ1601</f>
        <v/>
      </c>
      <c r="CA1602">
        <f>$C1602*CA1601</f>
        <v/>
      </c>
      <c r="CB1602">
        <f>$C1602*CB1601</f>
        <v/>
      </c>
      <c r="CC1602">
        <f>$C1602*CC1601</f>
        <v/>
      </c>
      <c r="CD1602">
        <f>$C1602*CD1601</f>
        <v/>
      </c>
      <c r="CE1602">
        <f>$C1602*CE1601</f>
        <v/>
      </c>
      <c r="CF1602">
        <f>$C1602*CF1601</f>
        <v/>
      </c>
      <c r="CG1602">
        <f>$C1602*CG1601</f>
        <v/>
      </c>
      <c r="CH1602">
        <f>$C1602*CH1601</f>
        <v/>
      </c>
      <c r="CI1602">
        <f>$C1602*CI1601</f>
        <v/>
      </c>
      <c r="CJ1602">
        <f>$C1602*CJ1601</f>
        <v/>
      </c>
      <c r="CK1602">
        <f>$C1602*CK1601</f>
        <v/>
      </c>
      <c r="CL1602">
        <f>$C1602*CL1601</f>
        <v/>
      </c>
      <c r="CM1602">
        <f>$C1602*CM1601</f>
        <v/>
      </c>
      <c r="CN1602">
        <f>$C1602*CN1601</f>
        <v/>
      </c>
      <c r="CO1602">
        <f>$C1602*CO1601</f>
        <v/>
      </c>
      <c r="CP1602">
        <f>$C1602*CP1601</f>
        <v/>
      </c>
      <c r="CQ1602">
        <f>$C1602*CQ1601</f>
        <v/>
      </c>
      <c r="CR1602">
        <f>$C1602*CR1601</f>
        <v/>
      </c>
      <c r="CS1602">
        <f>$C1602*CS1601</f>
        <v/>
      </c>
      <c r="CT1602">
        <f>$C1602*CT1601</f>
        <v/>
      </c>
      <c r="CU1602">
        <f>$C1602*CU1601</f>
        <v/>
      </c>
      <c r="CV1602">
        <f>$C1602*CV1601</f>
        <v/>
      </c>
      <c r="CW1602">
        <f>$C1602*CW1601</f>
        <v/>
      </c>
      <c r="CX1602">
        <f>$C1602*CX1601</f>
        <v/>
      </c>
      <c r="CY1602">
        <f>$C1602*CY1601</f>
        <v/>
      </c>
      <c r="CZ1602">
        <f>$C1602*CZ1601</f>
        <v/>
      </c>
      <c r="DA1602">
        <f>$C1602*DA1601</f>
        <v/>
      </c>
      <c r="DB1602">
        <f>$C1602*DB1601</f>
        <v/>
      </c>
      <c r="DC1602">
        <f>$C1602*DC1601</f>
        <v/>
      </c>
      <c r="DD1602">
        <f>$C1602*DD1601</f>
        <v/>
      </c>
    </row>
    <row r="1603">
      <c r="B1603" t="inlineStr">
        <is>
          <t>TPP-922</t>
        </is>
      </c>
      <c r="C1603" t="inlineStr">
        <is>
          <t>No. of batches</t>
        </is>
      </c>
      <c r="D1603">
        <f>IFERROR(INDEX(E1603:DD1603,$F$1),"")</f>
        <v/>
      </c>
      <c r="E1603">
        <f>IFERROR(INDEX(PP_Grid[#Data],$DE1603,2),0)</f>
        <v/>
      </c>
      <c r="F1603">
        <f>IFERROR(INDEX(PP_Grid[#Data],$DE1603,3),0)</f>
        <v/>
      </c>
      <c r="G1603">
        <f>IFERROR(INDEX(PP_Grid[#Data],$DE1603,4),0)</f>
        <v/>
      </c>
      <c r="H1603">
        <f>IFERROR(INDEX(PP_Grid[#Data],$DE1603,5),0)</f>
        <v/>
      </c>
      <c r="I1603">
        <f>IFERROR(INDEX(PP_Grid[#Data],$DE1603,6),0)</f>
        <v/>
      </c>
      <c r="J1603">
        <f>IFERROR(INDEX(PP_Grid[#Data],$DE1603,7),0)</f>
        <v/>
      </c>
      <c r="K1603">
        <f>IFERROR(INDEX(PP_Grid[#Data],$DE1603,8),0)</f>
        <v/>
      </c>
      <c r="L1603">
        <f>IFERROR(INDEX(PP_Grid[#Data],$DE1603,9),0)</f>
        <v/>
      </c>
      <c r="M1603">
        <f>IFERROR(INDEX(PP_Grid[#Data],$DE1603,10),0)</f>
        <v/>
      </c>
      <c r="N1603">
        <f>IFERROR(INDEX(PP_Grid[#Data],$DE1603,11),0)</f>
        <v/>
      </c>
      <c r="O1603">
        <f>IFERROR(INDEX(PP_Grid[#Data],$DE1603,12),0)</f>
        <v/>
      </c>
      <c r="P1603">
        <f>IFERROR(INDEX(PP_Grid[#Data],$DE1603,13),0)</f>
        <v/>
      </c>
      <c r="Q1603">
        <f>IFERROR(INDEX(PP_Grid[#Data],$DE1603,14),0)</f>
        <v/>
      </c>
      <c r="R1603">
        <f>IFERROR(INDEX(PP_Grid[#Data],$DE1603,15),0)</f>
        <v/>
      </c>
      <c r="S1603">
        <f>IFERROR(INDEX(PP_Grid[#Data],$DE1603,16),0)</f>
        <v/>
      </c>
      <c r="T1603">
        <f>IFERROR(INDEX(PP_Grid[#Data],$DE1603,17),0)</f>
        <v/>
      </c>
      <c r="U1603">
        <f>IFERROR(INDEX(PP_Grid[#Data],$DE1603,18),0)</f>
        <v/>
      </c>
      <c r="V1603">
        <f>IFERROR(INDEX(PP_Grid[#Data],$DE1603,19),0)</f>
        <v/>
      </c>
      <c r="W1603">
        <f>IFERROR(INDEX(PP_Grid[#Data],$DE1603,20),0)</f>
        <v/>
      </c>
      <c r="X1603">
        <f>IFERROR(INDEX(PP_Grid[#Data],$DE1603,21),0)</f>
        <v/>
      </c>
      <c r="Y1603">
        <f>IFERROR(INDEX(PP_Grid[#Data],$DE1603,22),0)</f>
        <v/>
      </c>
      <c r="Z1603">
        <f>IFERROR(INDEX(PP_Grid[#Data],$DE1603,23),0)</f>
        <v/>
      </c>
      <c r="AA1603">
        <f>IFERROR(INDEX(PP_Grid[#Data],$DE1603,24),0)</f>
        <v/>
      </c>
      <c r="AB1603">
        <f>IFERROR(INDEX(PP_Grid[#Data],$DE1603,25),0)</f>
        <v/>
      </c>
      <c r="AC1603">
        <f>IFERROR(INDEX(PP_Grid[#Data],$DE1603,26),0)</f>
        <v/>
      </c>
      <c r="AD1603">
        <f>IFERROR(INDEX(PP_Grid[#Data],$DE1603,27),0)</f>
        <v/>
      </c>
      <c r="AE1603">
        <f>IFERROR(INDEX(PP_Grid[#Data],$DE1603,28),0)</f>
        <v/>
      </c>
      <c r="AF1603">
        <f>IFERROR(INDEX(PP_Grid[#Data],$DE1603,29),0)</f>
        <v/>
      </c>
      <c r="AG1603">
        <f>IFERROR(INDEX(PP_Grid[#Data],$DE1603,30),0)</f>
        <v/>
      </c>
      <c r="AH1603">
        <f>IFERROR(INDEX(PP_Grid[#Data],$DE1603,31),0)</f>
        <v/>
      </c>
      <c r="AI1603">
        <f>IFERROR(INDEX(PP_Grid[#Data],$DE1603,32),0)</f>
        <v/>
      </c>
      <c r="AJ1603">
        <f>IFERROR(INDEX(PP_Grid[#Data],$DE1603,33),0)</f>
        <v/>
      </c>
      <c r="AK1603">
        <f>IFERROR(INDEX(PP_Grid[#Data],$DE1603,34),0)</f>
        <v/>
      </c>
      <c r="AL1603">
        <f>IFERROR(INDEX(PP_Grid[#Data],$DE1603,35),0)</f>
        <v/>
      </c>
      <c r="AM1603">
        <f>IFERROR(INDEX(PP_Grid[#Data],$DE1603,36),0)</f>
        <v/>
      </c>
      <c r="AN1603">
        <f>IFERROR(INDEX(PP_Grid[#Data],$DE1603,37),0)</f>
        <v/>
      </c>
      <c r="AO1603">
        <f>IFERROR(INDEX(PP_Grid[#Data],$DE1603,38),0)</f>
        <v/>
      </c>
      <c r="AP1603">
        <f>IFERROR(INDEX(PP_Grid[#Data],$DE1603,39),0)</f>
        <v/>
      </c>
      <c r="AQ1603">
        <f>IFERROR(INDEX(PP_Grid[#Data],$DE1603,40),0)</f>
        <v/>
      </c>
      <c r="AR1603">
        <f>IFERROR(INDEX(PP_Grid[#Data],$DE1603,41),0)</f>
        <v/>
      </c>
      <c r="AS1603">
        <f>IFERROR(INDEX(PP_Grid[#Data],$DE1603,42),0)</f>
        <v/>
      </c>
      <c r="AT1603">
        <f>IFERROR(INDEX(PP_Grid[#Data],$DE1603,43),0)</f>
        <v/>
      </c>
      <c r="AU1603">
        <f>IFERROR(INDEX(PP_Grid[#Data],$DE1603,44),0)</f>
        <v/>
      </c>
      <c r="AV1603">
        <f>IFERROR(INDEX(PP_Grid[#Data],$DE1603,45),0)</f>
        <v/>
      </c>
      <c r="AW1603">
        <f>IFERROR(INDEX(PP_Grid[#Data],$DE1603,46),0)</f>
        <v/>
      </c>
      <c r="AX1603">
        <f>IFERROR(INDEX(PP_Grid[#Data],$DE1603,47),0)</f>
        <v/>
      </c>
      <c r="AY1603">
        <f>IFERROR(INDEX(PP_Grid[#Data],$DE1603,48),0)</f>
        <v/>
      </c>
      <c r="AZ1603">
        <f>IFERROR(INDEX(PP_Grid[#Data],$DE1603,49),0)</f>
        <v/>
      </c>
      <c r="BA1603">
        <f>IFERROR(INDEX(PP_Grid[#Data],$DE1603,50),0)</f>
        <v/>
      </c>
      <c r="BB1603">
        <f>IFERROR(INDEX(PP_Grid[#Data],$DE1603,51),0)</f>
        <v/>
      </c>
      <c r="BC1603">
        <f>IFERROR(INDEX(PP_Grid[#Data],$DE1603,52),0)</f>
        <v/>
      </c>
      <c r="BD1603">
        <f>IFERROR(INDEX(PP_Grid[#Data],$DE1603,53),0)</f>
        <v/>
      </c>
      <c r="BE1603">
        <f>IFERROR(INDEX(PP_Grid[#Data],$DE1603,54),0)</f>
        <v/>
      </c>
      <c r="BF1603">
        <f>IFERROR(INDEX(PP_Grid[#Data],$DE1603,55),0)</f>
        <v/>
      </c>
      <c r="BG1603">
        <f>IFERROR(INDEX(PP_Grid[#Data],$DE1603,56),0)</f>
        <v/>
      </c>
      <c r="BH1603">
        <f>IFERROR(INDEX(PP_Grid[#Data],$DE1603,57),0)</f>
        <v/>
      </c>
      <c r="BI1603">
        <f>IFERROR(INDEX(PP_Grid[#Data],$DE1603,58),0)</f>
        <v/>
      </c>
      <c r="BJ1603">
        <f>IFERROR(INDEX(PP_Grid[#Data],$DE1603,59),0)</f>
        <v/>
      </c>
      <c r="BK1603">
        <f>IFERROR(INDEX(PP_Grid[#Data],$DE1603,60),0)</f>
        <v/>
      </c>
      <c r="BL1603">
        <f>IFERROR(INDEX(PP_Grid[#Data],$DE1603,61),0)</f>
        <v/>
      </c>
      <c r="BM1603">
        <f>IFERROR(INDEX(PP_Grid[#Data],$DE1603,62),0)</f>
        <v/>
      </c>
      <c r="BN1603">
        <f>IFERROR(INDEX(PP_Grid[#Data],$DE1603,63),0)</f>
        <v/>
      </c>
      <c r="BO1603">
        <f>IFERROR(INDEX(PP_Grid[#Data],$DE1603,64),0)</f>
        <v/>
      </c>
      <c r="BP1603">
        <f>IFERROR(INDEX(PP_Grid[#Data],$DE1603,65),0)</f>
        <v/>
      </c>
      <c r="BQ1603">
        <f>IFERROR(INDEX(PP_Grid[#Data],$DE1603,66),0)</f>
        <v/>
      </c>
      <c r="BR1603">
        <f>IFERROR(INDEX(PP_Grid[#Data],$DE1603,67),0)</f>
        <v/>
      </c>
      <c r="BS1603">
        <f>IFERROR(INDEX(PP_Grid[#Data],$DE1603,68),0)</f>
        <v/>
      </c>
      <c r="BT1603">
        <f>IFERROR(INDEX(PP_Grid[#Data],$DE1603,69),0)</f>
        <v/>
      </c>
      <c r="BU1603">
        <f>IFERROR(INDEX(PP_Grid[#Data],$DE1603,70),0)</f>
        <v/>
      </c>
      <c r="BV1603">
        <f>IFERROR(INDEX(PP_Grid[#Data],$DE1603,71),0)</f>
        <v/>
      </c>
      <c r="BW1603">
        <f>IFERROR(INDEX(PP_Grid[#Data],$DE1603,72),0)</f>
        <v/>
      </c>
      <c r="BX1603">
        <f>IFERROR(INDEX(PP_Grid[#Data],$DE1603,73),0)</f>
        <v/>
      </c>
      <c r="BY1603">
        <f>IFERROR(INDEX(PP_Grid[#Data],$DE1603,74),0)</f>
        <v/>
      </c>
      <c r="BZ1603">
        <f>IFERROR(INDEX(PP_Grid[#Data],$DE1603,75),0)</f>
        <v/>
      </c>
      <c r="CA1603">
        <f>IFERROR(INDEX(PP_Grid[#Data],$DE1603,76),0)</f>
        <v/>
      </c>
      <c r="CB1603">
        <f>IFERROR(INDEX(PP_Grid[#Data],$DE1603,77),0)</f>
        <v/>
      </c>
      <c r="CC1603">
        <f>IFERROR(INDEX(PP_Grid[#Data],$DE1603,78),0)</f>
        <v/>
      </c>
      <c r="CD1603">
        <f>IFERROR(INDEX(PP_Grid[#Data],$DE1603,79),0)</f>
        <v/>
      </c>
      <c r="CE1603">
        <f>IFERROR(INDEX(PP_Grid[#Data],$DE1603,80),0)</f>
        <v/>
      </c>
      <c r="CF1603">
        <f>IFERROR(INDEX(PP_Grid[#Data],$DE1603,81),0)</f>
        <v/>
      </c>
      <c r="CG1603">
        <f>IFERROR(INDEX(PP_Grid[#Data],$DE1603,82),0)</f>
        <v/>
      </c>
      <c r="CH1603">
        <f>IFERROR(INDEX(PP_Grid[#Data],$DE1603,83),0)</f>
        <v/>
      </c>
      <c r="CI1603">
        <f>IFERROR(INDEX(PP_Grid[#Data],$DE1603,84),0)</f>
        <v/>
      </c>
      <c r="CJ1603">
        <f>IFERROR(INDEX(PP_Grid[#Data],$DE1603,85),0)</f>
        <v/>
      </c>
      <c r="CK1603">
        <f>IFERROR(INDEX(PP_Grid[#Data],$DE1603,86),0)</f>
        <v/>
      </c>
      <c r="CL1603">
        <f>IFERROR(INDEX(PP_Grid[#Data],$DE1603,87),0)</f>
        <v/>
      </c>
      <c r="CM1603">
        <f>IFERROR(INDEX(PP_Grid[#Data],$DE1603,88),0)</f>
        <v/>
      </c>
      <c r="CN1603">
        <f>IFERROR(INDEX(PP_Grid[#Data],$DE1603,89),0)</f>
        <v/>
      </c>
      <c r="CO1603">
        <f>IFERROR(INDEX(PP_Grid[#Data],$DE1603,90),0)</f>
        <v/>
      </c>
      <c r="CP1603">
        <f>IFERROR(INDEX(PP_Grid[#Data],$DE1603,91),0)</f>
        <v/>
      </c>
      <c r="CQ1603">
        <f>IFERROR(INDEX(PP_Grid[#Data],$DE1603,92),0)</f>
        <v/>
      </c>
      <c r="CR1603">
        <f>IFERROR(INDEX(PP_Grid[#Data],$DE1603,93),0)</f>
        <v/>
      </c>
      <c r="CS1603">
        <f>IFERROR(INDEX(PP_Grid[#Data],$DE1603,94),0)</f>
        <v/>
      </c>
      <c r="CT1603">
        <f>IFERROR(INDEX(PP_Grid[#Data],$DE1603,95),0)</f>
        <v/>
      </c>
      <c r="CU1603">
        <f>IFERROR(INDEX(PP_Grid[#Data],$DE1603,96),0)</f>
        <v/>
      </c>
      <c r="CV1603">
        <f>IFERROR(INDEX(PP_Grid[#Data],$DE1603,97),0)</f>
        <v/>
      </c>
      <c r="CW1603">
        <f>IFERROR(INDEX(PP_Grid[#Data],$DE1603,98),0)</f>
        <v/>
      </c>
      <c r="CX1603">
        <f>IFERROR(INDEX(PP_Grid[#Data],$DE1603,99),0)</f>
        <v/>
      </c>
      <c r="CY1603">
        <f>IFERROR(INDEX(PP_Grid[#Data],$DE1603,100),0)</f>
        <v/>
      </c>
      <c r="CZ1603">
        <f>IFERROR(INDEX(PP_Grid[#Data],$DE1603,101),0)</f>
        <v/>
      </c>
      <c r="DA1603">
        <f>IFERROR(INDEX(PP_Grid[#Data],$DE1603,102),0)</f>
        <v/>
      </c>
      <c r="DB1603">
        <f>IFERROR(INDEX(PP_Grid[#Data],$DE1603,103),0)</f>
        <v/>
      </c>
      <c r="DC1603">
        <f>IFERROR(INDEX(PP_Grid[#Data],$DE1603,104),0)</f>
        <v/>
      </c>
      <c r="DD1603">
        <f>IFERROR(INDEX(PP_Grid[#Data],$DE1603,105),0)</f>
        <v/>
      </c>
      <c r="DE1603" s="7">
        <f>IFERROR(MATCH($B1603,PP_Grid[Intermediate],0),99999)</f>
        <v/>
      </c>
    </row>
    <row r="1604">
      <c r="B1604" t="inlineStr">
        <is>
          <t>使用量(kg)</t>
        </is>
      </c>
      <c r="C1604">
        <f>SUMIFS(M_BOM[RM_Qty_Per_Batch],M_BOM[Intermediate],$B1603,M_BOM[RM_Code],$A1586)</f>
        <v/>
      </c>
      <c r="D1604">
        <f>IFERROR(INDEX(E1604:DD1604,$F$1),"")</f>
        <v/>
      </c>
      <c r="E1604">
        <f>$C1604*E1603</f>
        <v/>
      </c>
      <c r="F1604">
        <f>$C1604*F1603</f>
        <v/>
      </c>
      <c r="G1604">
        <f>$C1604*G1603</f>
        <v/>
      </c>
      <c r="H1604">
        <f>$C1604*H1603</f>
        <v/>
      </c>
      <c r="I1604">
        <f>$C1604*I1603</f>
        <v/>
      </c>
      <c r="J1604">
        <f>$C1604*J1603</f>
        <v/>
      </c>
      <c r="K1604">
        <f>$C1604*K1603</f>
        <v/>
      </c>
      <c r="L1604">
        <f>$C1604*L1603</f>
        <v/>
      </c>
      <c r="M1604">
        <f>$C1604*M1603</f>
        <v/>
      </c>
      <c r="N1604">
        <f>$C1604*N1603</f>
        <v/>
      </c>
      <c r="O1604">
        <f>$C1604*O1603</f>
        <v/>
      </c>
      <c r="P1604">
        <f>$C1604*P1603</f>
        <v/>
      </c>
      <c r="Q1604">
        <f>$C1604*Q1603</f>
        <v/>
      </c>
      <c r="R1604">
        <f>$C1604*R1603</f>
        <v/>
      </c>
      <c r="S1604">
        <f>$C1604*S1603</f>
        <v/>
      </c>
      <c r="T1604">
        <f>$C1604*T1603</f>
        <v/>
      </c>
      <c r="U1604">
        <f>$C1604*U1603</f>
        <v/>
      </c>
      <c r="V1604">
        <f>$C1604*V1603</f>
        <v/>
      </c>
      <c r="W1604">
        <f>$C1604*W1603</f>
        <v/>
      </c>
      <c r="X1604">
        <f>$C1604*X1603</f>
        <v/>
      </c>
      <c r="Y1604">
        <f>$C1604*Y1603</f>
        <v/>
      </c>
      <c r="Z1604">
        <f>$C1604*Z1603</f>
        <v/>
      </c>
      <c r="AA1604">
        <f>$C1604*AA1603</f>
        <v/>
      </c>
      <c r="AB1604">
        <f>$C1604*AB1603</f>
        <v/>
      </c>
      <c r="AC1604">
        <f>$C1604*AC1603</f>
        <v/>
      </c>
      <c r="AD1604">
        <f>$C1604*AD1603</f>
        <v/>
      </c>
      <c r="AE1604">
        <f>$C1604*AE1603</f>
        <v/>
      </c>
      <c r="AF1604">
        <f>$C1604*AF1603</f>
        <v/>
      </c>
      <c r="AG1604">
        <f>$C1604*AG1603</f>
        <v/>
      </c>
      <c r="AH1604">
        <f>$C1604*AH1603</f>
        <v/>
      </c>
      <c r="AI1604">
        <f>$C1604*AI1603</f>
        <v/>
      </c>
      <c r="AJ1604">
        <f>$C1604*AJ1603</f>
        <v/>
      </c>
      <c r="AK1604">
        <f>$C1604*AK1603</f>
        <v/>
      </c>
      <c r="AL1604">
        <f>$C1604*AL1603</f>
        <v/>
      </c>
      <c r="AM1604">
        <f>$C1604*AM1603</f>
        <v/>
      </c>
      <c r="AN1604">
        <f>$C1604*AN1603</f>
        <v/>
      </c>
      <c r="AO1604">
        <f>$C1604*AO1603</f>
        <v/>
      </c>
      <c r="AP1604">
        <f>$C1604*AP1603</f>
        <v/>
      </c>
      <c r="AQ1604">
        <f>$C1604*AQ1603</f>
        <v/>
      </c>
      <c r="AR1604">
        <f>$C1604*AR1603</f>
        <v/>
      </c>
      <c r="AS1604">
        <f>$C1604*AS1603</f>
        <v/>
      </c>
      <c r="AT1604">
        <f>$C1604*AT1603</f>
        <v/>
      </c>
      <c r="AU1604">
        <f>$C1604*AU1603</f>
        <v/>
      </c>
      <c r="AV1604">
        <f>$C1604*AV1603</f>
        <v/>
      </c>
      <c r="AW1604">
        <f>$C1604*AW1603</f>
        <v/>
      </c>
      <c r="AX1604">
        <f>$C1604*AX1603</f>
        <v/>
      </c>
      <c r="AY1604">
        <f>$C1604*AY1603</f>
        <v/>
      </c>
      <c r="AZ1604">
        <f>$C1604*AZ1603</f>
        <v/>
      </c>
      <c r="BA1604">
        <f>$C1604*BA1603</f>
        <v/>
      </c>
      <c r="BB1604">
        <f>$C1604*BB1603</f>
        <v/>
      </c>
      <c r="BC1604">
        <f>$C1604*BC1603</f>
        <v/>
      </c>
      <c r="BD1604">
        <f>$C1604*BD1603</f>
        <v/>
      </c>
      <c r="BE1604">
        <f>$C1604*BE1603</f>
        <v/>
      </c>
      <c r="BF1604">
        <f>$C1604*BF1603</f>
        <v/>
      </c>
      <c r="BG1604">
        <f>$C1604*BG1603</f>
        <v/>
      </c>
      <c r="BH1604">
        <f>$C1604*BH1603</f>
        <v/>
      </c>
      <c r="BI1604">
        <f>$C1604*BI1603</f>
        <v/>
      </c>
      <c r="BJ1604">
        <f>$C1604*BJ1603</f>
        <v/>
      </c>
      <c r="BK1604">
        <f>$C1604*BK1603</f>
        <v/>
      </c>
      <c r="BL1604">
        <f>$C1604*BL1603</f>
        <v/>
      </c>
      <c r="BM1604">
        <f>$C1604*BM1603</f>
        <v/>
      </c>
      <c r="BN1604">
        <f>$C1604*BN1603</f>
        <v/>
      </c>
      <c r="BO1604">
        <f>$C1604*BO1603</f>
        <v/>
      </c>
      <c r="BP1604">
        <f>$C1604*BP1603</f>
        <v/>
      </c>
      <c r="BQ1604">
        <f>$C1604*BQ1603</f>
        <v/>
      </c>
      <c r="BR1604">
        <f>$C1604*BR1603</f>
        <v/>
      </c>
      <c r="BS1604">
        <f>$C1604*BS1603</f>
        <v/>
      </c>
      <c r="BT1604">
        <f>$C1604*BT1603</f>
        <v/>
      </c>
      <c r="BU1604">
        <f>$C1604*BU1603</f>
        <v/>
      </c>
      <c r="BV1604">
        <f>$C1604*BV1603</f>
        <v/>
      </c>
      <c r="BW1604">
        <f>$C1604*BW1603</f>
        <v/>
      </c>
      <c r="BX1604">
        <f>$C1604*BX1603</f>
        <v/>
      </c>
      <c r="BY1604">
        <f>$C1604*BY1603</f>
        <v/>
      </c>
      <c r="BZ1604">
        <f>$C1604*BZ1603</f>
        <v/>
      </c>
      <c r="CA1604">
        <f>$C1604*CA1603</f>
        <v/>
      </c>
      <c r="CB1604">
        <f>$C1604*CB1603</f>
        <v/>
      </c>
      <c r="CC1604">
        <f>$C1604*CC1603</f>
        <v/>
      </c>
      <c r="CD1604">
        <f>$C1604*CD1603</f>
        <v/>
      </c>
      <c r="CE1604">
        <f>$C1604*CE1603</f>
        <v/>
      </c>
      <c r="CF1604">
        <f>$C1604*CF1603</f>
        <v/>
      </c>
      <c r="CG1604">
        <f>$C1604*CG1603</f>
        <v/>
      </c>
      <c r="CH1604">
        <f>$C1604*CH1603</f>
        <v/>
      </c>
      <c r="CI1604">
        <f>$C1604*CI1603</f>
        <v/>
      </c>
      <c r="CJ1604">
        <f>$C1604*CJ1603</f>
        <v/>
      </c>
      <c r="CK1604">
        <f>$C1604*CK1603</f>
        <v/>
      </c>
      <c r="CL1604">
        <f>$C1604*CL1603</f>
        <v/>
      </c>
      <c r="CM1604">
        <f>$C1604*CM1603</f>
        <v/>
      </c>
      <c r="CN1604">
        <f>$C1604*CN1603</f>
        <v/>
      </c>
      <c r="CO1604">
        <f>$C1604*CO1603</f>
        <v/>
      </c>
      <c r="CP1604">
        <f>$C1604*CP1603</f>
        <v/>
      </c>
      <c r="CQ1604">
        <f>$C1604*CQ1603</f>
        <v/>
      </c>
      <c r="CR1604">
        <f>$C1604*CR1603</f>
        <v/>
      </c>
      <c r="CS1604">
        <f>$C1604*CS1603</f>
        <v/>
      </c>
      <c r="CT1604">
        <f>$C1604*CT1603</f>
        <v/>
      </c>
      <c r="CU1604">
        <f>$C1604*CU1603</f>
        <v/>
      </c>
      <c r="CV1604">
        <f>$C1604*CV1603</f>
        <v/>
      </c>
      <c r="CW1604">
        <f>$C1604*CW1603</f>
        <v/>
      </c>
      <c r="CX1604">
        <f>$C1604*CX1603</f>
        <v/>
      </c>
      <c r="CY1604">
        <f>$C1604*CY1603</f>
        <v/>
      </c>
      <c r="CZ1604">
        <f>$C1604*CZ1603</f>
        <v/>
      </c>
      <c r="DA1604">
        <f>$C1604*DA1603</f>
        <v/>
      </c>
      <c r="DB1604">
        <f>$C1604*DB1603</f>
        <v/>
      </c>
      <c r="DC1604">
        <f>$C1604*DC1603</f>
        <v/>
      </c>
      <c r="DD1604">
        <f>$C1604*DD1603</f>
        <v/>
      </c>
    </row>
    <row r="1605">
      <c r="B1605" t="inlineStr">
        <is>
          <t>TPP-923</t>
        </is>
      </c>
      <c r="C1605" t="inlineStr">
        <is>
          <t>No. of batches</t>
        </is>
      </c>
      <c r="D1605">
        <f>IFERROR(INDEX(E1605:DD1605,$F$1),"")</f>
        <v/>
      </c>
      <c r="E1605">
        <f>IFERROR(INDEX(PP_Grid[#Data],$DE1605,2),0)</f>
        <v/>
      </c>
      <c r="F1605">
        <f>IFERROR(INDEX(PP_Grid[#Data],$DE1605,3),0)</f>
        <v/>
      </c>
      <c r="G1605">
        <f>IFERROR(INDEX(PP_Grid[#Data],$DE1605,4),0)</f>
        <v/>
      </c>
      <c r="H1605">
        <f>IFERROR(INDEX(PP_Grid[#Data],$DE1605,5),0)</f>
        <v/>
      </c>
      <c r="I1605">
        <f>IFERROR(INDEX(PP_Grid[#Data],$DE1605,6),0)</f>
        <v/>
      </c>
      <c r="J1605">
        <f>IFERROR(INDEX(PP_Grid[#Data],$DE1605,7),0)</f>
        <v/>
      </c>
      <c r="K1605">
        <f>IFERROR(INDEX(PP_Grid[#Data],$DE1605,8),0)</f>
        <v/>
      </c>
      <c r="L1605">
        <f>IFERROR(INDEX(PP_Grid[#Data],$DE1605,9),0)</f>
        <v/>
      </c>
      <c r="M1605">
        <f>IFERROR(INDEX(PP_Grid[#Data],$DE1605,10),0)</f>
        <v/>
      </c>
      <c r="N1605">
        <f>IFERROR(INDEX(PP_Grid[#Data],$DE1605,11),0)</f>
        <v/>
      </c>
      <c r="O1605">
        <f>IFERROR(INDEX(PP_Grid[#Data],$DE1605,12),0)</f>
        <v/>
      </c>
      <c r="P1605">
        <f>IFERROR(INDEX(PP_Grid[#Data],$DE1605,13),0)</f>
        <v/>
      </c>
      <c r="Q1605">
        <f>IFERROR(INDEX(PP_Grid[#Data],$DE1605,14),0)</f>
        <v/>
      </c>
      <c r="R1605">
        <f>IFERROR(INDEX(PP_Grid[#Data],$DE1605,15),0)</f>
        <v/>
      </c>
      <c r="S1605">
        <f>IFERROR(INDEX(PP_Grid[#Data],$DE1605,16),0)</f>
        <v/>
      </c>
      <c r="T1605">
        <f>IFERROR(INDEX(PP_Grid[#Data],$DE1605,17),0)</f>
        <v/>
      </c>
      <c r="U1605">
        <f>IFERROR(INDEX(PP_Grid[#Data],$DE1605,18),0)</f>
        <v/>
      </c>
      <c r="V1605">
        <f>IFERROR(INDEX(PP_Grid[#Data],$DE1605,19),0)</f>
        <v/>
      </c>
      <c r="W1605">
        <f>IFERROR(INDEX(PP_Grid[#Data],$DE1605,20),0)</f>
        <v/>
      </c>
      <c r="X1605">
        <f>IFERROR(INDEX(PP_Grid[#Data],$DE1605,21),0)</f>
        <v/>
      </c>
      <c r="Y1605">
        <f>IFERROR(INDEX(PP_Grid[#Data],$DE1605,22),0)</f>
        <v/>
      </c>
      <c r="Z1605">
        <f>IFERROR(INDEX(PP_Grid[#Data],$DE1605,23),0)</f>
        <v/>
      </c>
      <c r="AA1605">
        <f>IFERROR(INDEX(PP_Grid[#Data],$DE1605,24),0)</f>
        <v/>
      </c>
      <c r="AB1605">
        <f>IFERROR(INDEX(PP_Grid[#Data],$DE1605,25),0)</f>
        <v/>
      </c>
      <c r="AC1605">
        <f>IFERROR(INDEX(PP_Grid[#Data],$DE1605,26),0)</f>
        <v/>
      </c>
      <c r="AD1605">
        <f>IFERROR(INDEX(PP_Grid[#Data],$DE1605,27),0)</f>
        <v/>
      </c>
      <c r="AE1605">
        <f>IFERROR(INDEX(PP_Grid[#Data],$DE1605,28),0)</f>
        <v/>
      </c>
      <c r="AF1605">
        <f>IFERROR(INDEX(PP_Grid[#Data],$DE1605,29),0)</f>
        <v/>
      </c>
      <c r="AG1605">
        <f>IFERROR(INDEX(PP_Grid[#Data],$DE1605,30),0)</f>
        <v/>
      </c>
      <c r="AH1605">
        <f>IFERROR(INDEX(PP_Grid[#Data],$DE1605,31),0)</f>
        <v/>
      </c>
      <c r="AI1605">
        <f>IFERROR(INDEX(PP_Grid[#Data],$DE1605,32),0)</f>
        <v/>
      </c>
      <c r="AJ1605">
        <f>IFERROR(INDEX(PP_Grid[#Data],$DE1605,33),0)</f>
        <v/>
      </c>
      <c r="AK1605">
        <f>IFERROR(INDEX(PP_Grid[#Data],$DE1605,34),0)</f>
        <v/>
      </c>
      <c r="AL1605">
        <f>IFERROR(INDEX(PP_Grid[#Data],$DE1605,35),0)</f>
        <v/>
      </c>
      <c r="AM1605">
        <f>IFERROR(INDEX(PP_Grid[#Data],$DE1605,36),0)</f>
        <v/>
      </c>
      <c r="AN1605">
        <f>IFERROR(INDEX(PP_Grid[#Data],$DE1605,37),0)</f>
        <v/>
      </c>
      <c r="AO1605">
        <f>IFERROR(INDEX(PP_Grid[#Data],$DE1605,38),0)</f>
        <v/>
      </c>
      <c r="AP1605">
        <f>IFERROR(INDEX(PP_Grid[#Data],$DE1605,39),0)</f>
        <v/>
      </c>
      <c r="AQ1605">
        <f>IFERROR(INDEX(PP_Grid[#Data],$DE1605,40),0)</f>
        <v/>
      </c>
      <c r="AR1605">
        <f>IFERROR(INDEX(PP_Grid[#Data],$DE1605,41),0)</f>
        <v/>
      </c>
      <c r="AS1605">
        <f>IFERROR(INDEX(PP_Grid[#Data],$DE1605,42),0)</f>
        <v/>
      </c>
      <c r="AT1605">
        <f>IFERROR(INDEX(PP_Grid[#Data],$DE1605,43),0)</f>
        <v/>
      </c>
      <c r="AU1605">
        <f>IFERROR(INDEX(PP_Grid[#Data],$DE1605,44),0)</f>
        <v/>
      </c>
      <c r="AV1605">
        <f>IFERROR(INDEX(PP_Grid[#Data],$DE1605,45),0)</f>
        <v/>
      </c>
      <c r="AW1605">
        <f>IFERROR(INDEX(PP_Grid[#Data],$DE1605,46),0)</f>
        <v/>
      </c>
      <c r="AX1605">
        <f>IFERROR(INDEX(PP_Grid[#Data],$DE1605,47),0)</f>
        <v/>
      </c>
      <c r="AY1605">
        <f>IFERROR(INDEX(PP_Grid[#Data],$DE1605,48),0)</f>
        <v/>
      </c>
      <c r="AZ1605">
        <f>IFERROR(INDEX(PP_Grid[#Data],$DE1605,49),0)</f>
        <v/>
      </c>
      <c r="BA1605">
        <f>IFERROR(INDEX(PP_Grid[#Data],$DE1605,50),0)</f>
        <v/>
      </c>
      <c r="BB1605">
        <f>IFERROR(INDEX(PP_Grid[#Data],$DE1605,51),0)</f>
        <v/>
      </c>
      <c r="BC1605">
        <f>IFERROR(INDEX(PP_Grid[#Data],$DE1605,52),0)</f>
        <v/>
      </c>
      <c r="BD1605">
        <f>IFERROR(INDEX(PP_Grid[#Data],$DE1605,53),0)</f>
        <v/>
      </c>
      <c r="BE1605">
        <f>IFERROR(INDEX(PP_Grid[#Data],$DE1605,54),0)</f>
        <v/>
      </c>
      <c r="BF1605">
        <f>IFERROR(INDEX(PP_Grid[#Data],$DE1605,55),0)</f>
        <v/>
      </c>
      <c r="BG1605">
        <f>IFERROR(INDEX(PP_Grid[#Data],$DE1605,56),0)</f>
        <v/>
      </c>
      <c r="BH1605">
        <f>IFERROR(INDEX(PP_Grid[#Data],$DE1605,57),0)</f>
        <v/>
      </c>
      <c r="BI1605">
        <f>IFERROR(INDEX(PP_Grid[#Data],$DE1605,58),0)</f>
        <v/>
      </c>
      <c r="BJ1605">
        <f>IFERROR(INDEX(PP_Grid[#Data],$DE1605,59),0)</f>
        <v/>
      </c>
      <c r="BK1605">
        <f>IFERROR(INDEX(PP_Grid[#Data],$DE1605,60),0)</f>
        <v/>
      </c>
      <c r="BL1605">
        <f>IFERROR(INDEX(PP_Grid[#Data],$DE1605,61),0)</f>
        <v/>
      </c>
      <c r="BM1605">
        <f>IFERROR(INDEX(PP_Grid[#Data],$DE1605,62),0)</f>
        <v/>
      </c>
      <c r="BN1605">
        <f>IFERROR(INDEX(PP_Grid[#Data],$DE1605,63),0)</f>
        <v/>
      </c>
      <c r="BO1605">
        <f>IFERROR(INDEX(PP_Grid[#Data],$DE1605,64),0)</f>
        <v/>
      </c>
      <c r="BP1605">
        <f>IFERROR(INDEX(PP_Grid[#Data],$DE1605,65),0)</f>
        <v/>
      </c>
      <c r="BQ1605">
        <f>IFERROR(INDEX(PP_Grid[#Data],$DE1605,66),0)</f>
        <v/>
      </c>
      <c r="BR1605">
        <f>IFERROR(INDEX(PP_Grid[#Data],$DE1605,67),0)</f>
        <v/>
      </c>
      <c r="BS1605">
        <f>IFERROR(INDEX(PP_Grid[#Data],$DE1605,68),0)</f>
        <v/>
      </c>
      <c r="BT1605">
        <f>IFERROR(INDEX(PP_Grid[#Data],$DE1605,69),0)</f>
        <v/>
      </c>
      <c r="BU1605">
        <f>IFERROR(INDEX(PP_Grid[#Data],$DE1605,70),0)</f>
        <v/>
      </c>
      <c r="BV1605">
        <f>IFERROR(INDEX(PP_Grid[#Data],$DE1605,71),0)</f>
        <v/>
      </c>
      <c r="BW1605">
        <f>IFERROR(INDEX(PP_Grid[#Data],$DE1605,72),0)</f>
        <v/>
      </c>
      <c r="BX1605">
        <f>IFERROR(INDEX(PP_Grid[#Data],$DE1605,73),0)</f>
        <v/>
      </c>
      <c r="BY1605">
        <f>IFERROR(INDEX(PP_Grid[#Data],$DE1605,74),0)</f>
        <v/>
      </c>
      <c r="BZ1605">
        <f>IFERROR(INDEX(PP_Grid[#Data],$DE1605,75),0)</f>
        <v/>
      </c>
      <c r="CA1605">
        <f>IFERROR(INDEX(PP_Grid[#Data],$DE1605,76),0)</f>
        <v/>
      </c>
      <c r="CB1605">
        <f>IFERROR(INDEX(PP_Grid[#Data],$DE1605,77),0)</f>
        <v/>
      </c>
      <c r="CC1605">
        <f>IFERROR(INDEX(PP_Grid[#Data],$DE1605,78),0)</f>
        <v/>
      </c>
      <c r="CD1605">
        <f>IFERROR(INDEX(PP_Grid[#Data],$DE1605,79),0)</f>
        <v/>
      </c>
      <c r="CE1605">
        <f>IFERROR(INDEX(PP_Grid[#Data],$DE1605,80),0)</f>
        <v/>
      </c>
      <c r="CF1605">
        <f>IFERROR(INDEX(PP_Grid[#Data],$DE1605,81),0)</f>
        <v/>
      </c>
      <c r="CG1605">
        <f>IFERROR(INDEX(PP_Grid[#Data],$DE1605,82),0)</f>
        <v/>
      </c>
      <c r="CH1605">
        <f>IFERROR(INDEX(PP_Grid[#Data],$DE1605,83),0)</f>
        <v/>
      </c>
      <c r="CI1605">
        <f>IFERROR(INDEX(PP_Grid[#Data],$DE1605,84),0)</f>
        <v/>
      </c>
      <c r="CJ1605">
        <f>IFERROR(INDEX(PP_Grid[#Data],$DE1605,85),0)</f>
        <v/>
      </c>
      <c r="CK1605">
        <f>IFERROR(INDEX(PP_Grid[#Data],$DE1605,86),0)</f>
        <v/>
      </c>
      <c r="CL1605">
        <f>IFERROR(INDEX(PP_Grid[#Data],$DE1605,87),0)</f>
        <v/>
      </c>
      <c r="CM1605">
        <f>IFERROR(INDEX(PP_Grid[#Data],$DE1605,88),0)</f>
        <v/>
      </c>
      <c r="CN1605">
        <f>IFERROR(INDEX(PP_Grid[#Data],$DE1605,89),0)</f>
        <v/>
      </c>
      <c r="CO1605">
        <f>IFERROR(INDEX(PP_Grid[#Data],$DE1605,90),0)</f>
        <v/>
      </c>
      <c r="CP1605">
        <f>IFERROR(INDEX(PP_Grid[#Data],$DE1605,91),0)</f>
        <v/>
      </c>
      <c r="CQ1605">
        <f>IFERROR(INDEX(PP_Grid[#Data],$DE1605,92),0)</f>
        <v/>
      </c>
      <c r="CR1605">
        <f>IFERROR(INDEX(PP_Grid[#Data],$DE1605,93),0)</f>
        <v/>
      </c>
      <c r="CS1605">
        <f>IFERROR(INDEX(PP_Grid[#Data],$DE1605,94),0)</f>
        <v/>
      </c>
      <c r="CT1605">
        <f>IFERROR(INDEX(PP_Grid[#Data],$DE1605,95),0)</f>
        <v/>
      </c>
      <c r="CU1605">
        <f>IFERROR(INDEX(PP_Grid[#Data],$DE1605,96),0)</f>
        <v/>
      </c>
      <c r="CV1605">
        <f>IFERROR(INDEX(PP_Grid[#Data],$DE1605,97),0)</f>
        <v/>
      </c>
      <c r="CW1605">
        <f>IFERROR(INDEX(PP_Grid[#Data],$DE1605,98),0)</f>
        <v/>
      </c>
      <c r="CX1605">
        <f>IFERROR(INDEX(PP_Grid[#Data],$DE1605,99),0)</f>
        <v/>
      </c>
      <c r="CY1605">
        <f>IFERROR(INDEX(PP_Grid[#Data],$DE1605,100),0)</f>
        <v/>
      </c>
      <c r="CZ1605">
        <f>IFERROR(INDEX(PP_Grid[#Data],$DE1605,101),0)</f>
        <v/>
      </c>
      <c r="DA1605">
        <f>IFERROR(INDEX(PP_Grid[#Data],$DE1605,102),0)</f>
        <v/>
      </c>
      <c r="DB1605">
        <f>IFERROR(INDEX(PP_Grid[#Data],$DE1605,103),0)</f>
        <v/>
      </c>
      <c r="DC1605">
        <f>IFERROR(INDEX(PP_Grid[#Data],$DE1605,104),0)</f>
        <v/>
      </c>
      <c r="DD1605">
        <f>IFERROR(INDEX(PP_Grid[#Data],$DE1605,105),0)</f>
        <v/>
      </c>
      <c r="DE1605" s="7">
        <f>IFERROR(MATCH($B1605,PP_Grid[Intermediate],0),99999)</f>
        <v/>
      </c>
    </row>
    <row r="1606">
      <c r="B1606" t="inlineStr">
        <is>
          <t>使用量(kg)</t>
        </is>
      </c>
      <c r="C1606">
        <f>SUMIFS(M_BOM[RM_Qty_Per_Batch],M_BOM[Intermediate],$B1605,M_BOM[RM_Code],$A1586)</f>
        <v/>
      </c>
      <c r="D1606">
        <f>IFERROR(INDEX(E1606:DD1606,$F$1),"")</f>
        <v/>
      </c>
      <c r="E1606">
        <f>$C1606*E1605</f>
        <v/>
      </c>
      <c r="F1606">
        <f>$C1606*F1605</f>
        <v/>
      </c>
      <c r="G1606">
        <f>$C1606*G1605</f>
        <v/>
      </c>
      <c r="H1606">
        <f>$C1606*H1605</f>
        <v/>
      </c>
      <c r="I1606">
        <f>$C1606*I1605</f>
        <v/>
      </c>
      <c r="J1606">
        <f>$C1606*J1605</f>
        <v/>
      </c>
      <c r="K1606">
        <f>$C1606*K1605</f>
        <v/>
      </c>
      <c r="L1606">
        <f>$C1606*L1605</f>
        <v/>
      </c>
      <c r="M1606">
        <f>$C1606*M1605</f>
        <v/>
      </c>
      <c r="N1606">
        <f>$C1606*N1605</f>
        <v/>
      </c>
      <c r="O1606">
        <f>$C1606*O1605</f>
        <v/>
      </c>
      <c r="P1606">
        <f>$C1606*P1605</f>
        <v/>
      </c>
      <c r="Q1606">
        <f>$C1606*Q1605</f>
        <v/>
      </c>
      <c r="R1606">
        <f>$C1606*R1605</f>
        <v/>
      </c>
      <c r="S1606">
        <f>$C1606*S1605</f>
        <v/>
      </c>
      <c r="T1606">
        <f>$C1606*T1605</f>
        <v/>
      </c>
      <c r="U1606">
        <f>$C1606*U1605</f>
        <v/>
      </c>
      <c r="V1606">
        <f>$C1606*V1605</f>
        <v/>
      </c>
      <c r="W1606">
        <f>$C1606*W1605</f>
        <v/>
      </c>
      <c r="X1606">
        <f>$C1606*X1605</f>
        <v/>
      </c>
      <c r="Y1606">
        <f>$C1606*Y1605</f>
        <v/>
      </c>
      <c r="Z1606">
        <f>$C1606*Z1605</f>
        <v/>
      </c>
      <c r="AA1606">
        <f>$C1606*AA1605</f>
        <v/>
      </c>
      <c r="AB1606">
        <f>$C1606*AB1605</f>
        <v/>
      </c>
      <c r="AC1606">
        <f>$C1606*AC1605</f>
        <v/>
      </c>
      <c r="AD1606">
        <f>$C1606*AD1605</f>
        <v/>
      </c>
      <c r="AE1606">
        <f>$C1606*AE1605</f>
        <v/>
      </c>
      <c r="AF1606">
        <f>$C1606*AF1605</f>
        <v/>
      </c>
      <c r="AG1606">
        <f>$C1606*AG1605</f>
        <v/>
      </c>
      <c r="AH1606">
        <f>$C1606*AH1605</f>
        <v/>
      </c>
      <c r="AI1606">
        <f>$C1606*AI1605</f>
        <v/>
      </c>
      <c r="AJ1606">
        <f>$C1606*AJ1605</f>
        <v/>
      </c>
      <c r="AK1606">
        <f>$C1606*AK1605</f>
        <v/>
      </c>
      <c r="AL1606">
        <f>$C1606*AL1605</f>
        <v/>
      </c>
      <c r="AM1606">
        <f>$C1606*AM1605</f>
        <v/>
      </c>
      <c r="AN1606">
        <f>$C1606*AN1605</f>
        <v/>
      </c>
      <c r="AO1606">
        <f>$C1606*AO1605</f>
        <v/>
      </c>
      <c r="AP1606">
        <f>$C1606*AP1605</f>
        <v/>
      </c>
      <c r="AQ1606">
        <f>$C1606*AQ1605</f>
        <v/>
      </c>
      <c r="AR1606">
        <f>$C1606*AR1605</f>
        <v/>
      </c>
      <c r="AS1606">
        <f>$C1606*AS1605</f>
        <v/>
      </c>
      <c r="AT1606">
        <f>$C1606*AT1605</f>
        <v/>
      </c>
      <c r="AU1606">
        <f>$C1606*AU1605</f>
        <v/>
      </c>
      <c r="AV1606">
        <f>$C1606*AV1605</f>
        <v/>
      </c>
      <c r="AW1606">
        <f>$C1606*AW1605</f>
        <v/>
      </c>
      <c r="AX1606">
        <f>$C1606*AX1605</f>
        <v/>
      </c>
      <c r="AY1606">
        <f>$C1606*AY1605</f>
        <v/>
      </c>
      <c r="AZ1606">
        <f>$C1606*AZ1605</f>
        <v/>
      </c>
      <c r="BA1606">
        <f>$C1606*BA1605</f>
        <v/>
      </c>
      <c r="BB1606">
        <f>$C1606*BB1605</f>
        <v/>
      </c>
      <c r="BC1606">
        <f>$C1606*BC1605</f>
        <v/>
      </c>
      <c r="BD1606">
        <f>$C1606*BD1605</f>
        <v/>
      </c>
      <c r="BE1606">
        <f>$C1606*BE1605</f>
        <v/>
      </c>
      <c r="BF1606">
        <f>$C1606*BF1605</f>
        <v/>
      </c>
      <c r="BG1606">
        <f>$C1606*BG1605</f>
        <v/>
      </c>
      <c r="BH1606">
        <f>$C1606*BH1605</f>
        <v/>
      </c>
      <c r="BI1606">
        <f>$C1606*BI1605</f>
        <v/>
      </c>
      <c r="BJ1606">
        <f>$C1606*BJ1605</f>
        <v/>
      </c>
      <c r="BK1606">
        <f>$C1606*BK1605</f>
        <v/>
      </c>
      <c r="BL1606">
        <f>$C1606*BL1605</f>
        <v/>
      </c>
      <c r="BM1606">
        <f>$C1606*BM1605</f>
        <v/>
      </c>
      <c r="BN1606">
        <f>$C1606*BN1605</f>
        <v/>
      </c>
      <c r="BO1606">
        <f>$C1606*BO1605</f>
        <v/>
      </c>
      <c r="BP1606">
        <f>$C1606*BP1605</f>
        <v/>
      </c>
      <c r="BQ1606">
        <f>$C1606*BQ1605</f>
        <v/>
      </c>
      <c r="BR1606">
        <f>$C1606*BR1605</f>
        <v/>
      </c>
      <c r="BS1606">
        <f>$C1606*BS1605</f>
        <v/>
      </c>
      <c r="BT1606">
        <f>$C1606*BT1605</f>
        <v/>
      </c>
      <c r="BU1606">
        <f>$C1606*BU1605</f>
        <v/>
      </c>
      <c r="BV1606">
        <f>$C1606*BV1605</f>
        <v/>
      </c>
      <c r="BW1606">
        <f>$C1606*BW1605</f>
        <v/>
      </c>
      <c r="BX1606">
        <f>$C1606*BX1605</f>
        <v/>
      </c>
      <c r="BY1606">
        <f>$C1606*BY1605</f>
        <v/>
      </c>
      <c r="BZ1606">
        <f>$C1606*BZ1605</f>
        <v/>
      </c>
      <c r="CA1606">
        <f>$C1606*CA1605</f>
        <v/>
      </c>
      <c r="CB1606">
        <f>$C1606*CB1605</f>
        <v/>
      </c>
      <c r="CC1606">
        <f>$C1606*CC1605</f>
        <v/>
      </c>
      <c r="CD1606">
        <f>$C1606*CD1605</f>
        <v/>
      </c>
      <c r="CE1606">
        <f>$C1606*CE1605</f>
        <v/>
      </c>
      <c r="CF1606">
        <f>$C1606*CF1605</f>
        <v/>
      </c>
      <c r="CG1606">
        <f>$C1606*CG1605</f>
        <v/>
      </c>
      <c r="CH1606">
        <f>$C1606*CH1605</f>
        <v/>
      </c>
      <c r="CI1606">
        <f>$C1606*CI1605</f>
        <v/>
      </c>
      <c r="CJ1606">
        <f>$C1606*CJ1605</f>
        <v/>
      </c>
      <c r="CK1606">
        <f>$C1606*CK1605</f>
        <v/>
      </c>
      <c r="CL1606">
        <f>$C1606*CL1605</f>
        <v/>
      </c>
      <c r="CM1606">
        <f>$C1606*CM1605</f>
        <v/>
      </c>
      <c r="CN1606">
        <f>$C1606*CN1605</f>
        <v/>
      </c>
      <c r="CO1606">
        <f>$C1606*CO1605</f>
        <v/>
      </c>
      <c r="CP1606">
        <f>$C1606*CP1605</f>
        <v/>
      </c>
      <c r="CQ1606">
        <f>$C1606*CQ1605</f>
        <v/>
      </c>
      <c r="CR1606">
        <f>$C1606*CR1605</f>
        <v/>
      </c>
      <c r="CS1606">
        <f>$C1606*CS1605</f>
        <v/>
      </c>
      <c r="CT1606">
        <f>$C1606*CT1605</f>
        <v/>
      </c>
      <c r="CU1606">
        <f>$C1606*CU1605</f>
        <v/>
      </c>
      <c r="CV1606">
        <f>$C1606*CV1605</f>
        <v/>
      </c>
      <c r="CW1606">
        <f>$C1606*CW1605</f>
        <v/>
      </c>
      <c r="CX1606">
        <f>$C1606*CX1605</f>
        <v/>
      </c>
      <c r="CY1606">
        <f>$C1606*CY1605</f>
        <v/>
      </c>
      <c r="CZ1606">
        <f>$C1606*CZ1605</f>
        <v/>
      </c>
      <c r="DA1606">
        <f>$C1606*DA1605</f>
        <v/>
      </c>
      <c r="DB1606">
        <f>$C1606*DB1605</f>
        <v/>
      </c>
      <c r="DC1606">
        <f>$C1606*DC1605</f>
        <v/>
      </c>
      <c r="DD1606">
        <f>$C1606*DD1605</f>
        <v/>
      </c>
    </row>
    <row r="1607">
      <c r="B1607" t="inlineStr">
        <is>
          <t>No of times used</t>
        </is>
      </c>
      <c r="C1607" t="inlineStr">
        <is>
          <t>No. of batches</t>
        </is>
      </c>
      <c r="D1607">
        <f>IFERROR(INDEX(E1607:DD1607,$F$1),"")</f>
        <v/>
      </c>
      <c r="E1607">
        <f>IFERROR(INDEX(PP_Grid[#Data],$DE1607,2),0)</f>
        <v/>
      </c>
      <c r="F1607">
        <f>IFERROR(INDEX(PP_Grid[#Data],$DE1607,3),0)</f>
        <v/>
      </c>
      <c r="G1607">
        <f>IFERROR(INDEX(PP_Grid[#Data],$DE1607,4),0)</f>
        <v/>
      </c>
      <c r="H1607">
        <f>IFERROR(INDEX(PP_Grid[#Data],$DE1607,5),0)</f>
        <v/>
      </c>
      <c r="I1607">
        <f>IFERROR(INDEX(PP_Grid[#Data],$DE1607,6),0)</f>
        <v/>
      </c>
      <c r="J1607">
        <f>IFERROR(INDEX(PP_Grid[#Data],$DE1607,7),0)</f>
        <v/>
      </c>
      <c r="K1607">
        <f>IFERROR(INDEX(PP_Grid[#Data],$DE1607,8),0)</f>
        <v/>
      </c>
      <c r="L1607">
        <f>IFERROR(INDEX(PP_Grid[#Data],$DE1607,9),0)</f>
        <v/>
      </c>
      <c r="M1607">
        <f>IFERROR(INDEX(PP_Grid[#Data],$DE1607,10),0)</f>
        <v/>
      </c>
      <c r="N1607">
        <f>IFERROR(INDEX(PP_Grid[#Data],$DE1607,11),0)</f>
        <v/>
      </c>
      <c r="O1607">
        <f>IFERROR(INDEX(PP_Grid[#Data],$DE1607,12),0)</f>
        <v/>
      </c>
      <c r="P1607">
        <f>IFERROR(INDEX(PP_Grid[#Data],$DE1607,13),0)</f>
        <v/>
      </c>
      <c r="Q1607">
        <f>IFERROR(INDEX(PP_Grid[#Data],$DE1607,14),0)</f>
        <v/>
      </c>
      <c r="R1607">
        <f>IFERROR(INDEX(PP_Grid[#Data],$DE1607,15),0)</f>
        <v/>
      </c>
      <c r="S1607">
        <f>IFERROR(INDEX(PP_Grid[#Data],$DE1607,16),0)</f>
        <v/>
      </c>
      <c r="T1607">
        <f>IFERROR(INDEX(PP_Grid[#Data],$DE1607,17),0)</f>
        <v/>
      </c>
      <c r="U1607">
        <f>IFERROR(INDEX(PP_Grid[#Data],$DE1607,18),0)</f>
        <v/>
      </c>
      <c r="V1607">
        <f>IFERROR(INDEX(PP_Grid[#Data],$DE1607,19),0)</f>
        <v/>
      </c>
      <c r="W1607">
        <f>IFERROR(INDEX(PP_Grid[#Data],$DE1607,20),0)</f>
        <v/>
      </c>
      <c r="X1607">
        <f>IFERROR(INDEX(PP_Grid[#Data],$DE1607,21),0)</f>
        <v/>
      </c>
      <c r="Y1607">
        <f>IFERROR(INDEX(PP_Grid[#Data],$DE1607,22),0)</f>
        <v/>
      </c>
      <c r="Z1607">
        <f>IFERROR(INDEX(PP_Grid[#Data],$DE1607,23),0)</f>
        <v/>
      </c>
      <c r="AA1607">
        <f>IFERROR(INDEX(PP_Grid[#Data],$DE1607,24),0)</f>
        <v/>
      </c>
      <c r="AB1607">
        <f>IFERROR(INDEX(PP_Grid[#Data],$DE1607,25),0)</f>
        <v/>
      </c>
      <c r="AC1607">
        <f>IFERROR(INDEX(PP_Grid[#Data],$DE1607,26),0)</f>
        <v/>
      </c>
      <c r="AD1607">
        <f>IFERROR(INDEX(PP_Grid[#Data],$DE1607,27),0)</f>
        <v/>
      </c>
      <c r="AE1607">
        <f>IFERROR(INDEX(PP_Grid[#Data],$DE1607,28),0)</f>
        <v/>
      </c>
      <c r="AF1607">
        <f>IFERROR(INDEX(PP_Grid[#Data],$DE1607,29),0)</f>
        <v/>
      </c>
      <c r="AG1607">
        <f>IFERROR(INDEX(PP_Grid[#Data],$DE1607,30),0)</f>
        <v/>
      </c>
      <c r="AH1607">
        <f>IFERROR(INDEX(PP_Grid[#Data],$DE1607,31),0)</f>
        <v/>
      </c>
      <c r="AI1607">
        <f>IFERROR(INDEX(PP_Grid[#Data],$DE1607,32),0)</f>
        <v/>
      </c>
      <c r="AJ1607">
        <f>IFERROR(INDEX(PP_Grid[#Data],$DE1607,33),0)</f>
        <v/>
      </c>
      <c r="AK1607">
        <f>IFERROR(INDEX(PP_Grid[#Data],$DE1607,34),0)</f>
        <v/>
      </c>
      <c r="AL1607">
        <f>IFERROR(INDEX(PP_Grid[#Data],$DE1607,35),0)</f>
        <v/>
      </c>
      <c r="AM1607">
        <f>IFERROR(INDEX(PP_Grid[#Data],$DE1607,36),0)</f>
        <v/>
      </c>
      <c r="AN1607">
        <f>IFERROR(INDEX(PP_Grid[#Data],$DE1607,37),0)</f>
        <v/>
      </c>
      <c r="AO1607">
        <f>IFERROR(INDEX(PP_Grid[#Data],$DE1607,38),0)</f>
        <v/>
      </c>
      <c r="AP1607">
        <f>IFERROR(INDEX(PP_Grid[#Data],$DE1607,39),0)</f>
        <v/>
      </c>
      <c r="AQ1607">
        <f>IFERROR(INDEX(PP_Grid[#Data],$DE1607,40),0)</f>
        <v/>
      </c>
      <c r="AR1607">
        <f>IFERROR(INDEX(PP_Grid[#Data],$DE1607,41),0)</f>
        <v/>
      </c>
      <c r="AS1607">
        <f>IFERROR(INDEX(PP_Grid[#Data],$DE1607,42),0)</f>
        <v/>
      </c>
      <c r="AT1607">
        <f>IFERROR(INDEX(PP_Grid[#Data],$DE1607,43),0)</f>
        <v/>
      </c>
      <c r="AU1607">
        <f>IFERROR(INDEX(PP_Grid[#Data],$DE1607,44),0)</f>
        <v/>
      </c>
      <c r="AV1607">
        <f>IFERROR(INDEX(PP_Grid[#Data],$DE1607,45),0)</f>
        <v/>
      </c>
      <c r="AW1607">
        <f>IFERROR(INDEX(PP_Grid[#Data],$DE1607,46),0)</f>
        <v/>
      </c>
      <c r="AX1607">
        <f>IFERROR(INDEX(PP_Grid[#Data],$DE1607,47),0)</f>
        <v/>
      </c>
      <c r="AY1607">
        <f>IFERROR(INDEX(PP_Grid[#Data],$DE1607,48),0)</f>
        <v/>
      </c>
      <c r="AZ1607">
        <f>IFERROR(INDEX(PP_Grid[#Data],$DE1607,49),0)</f>
        <v/>
      </c>
      <c r="BA1607">
        <f>IFERROR(INDEX(PP_Grid[#Data],$DE1607,50),0)</f>
        <v/>
      </c>
      <c r="BB1607">
        <f>IFERROR(INDEX(PP_Grid[#Data],$DE1607,51),0)</f>
        <v/>
      </c>
      <c r="BC1607">
        <f>IFERROR(INDEX(PP_Grid[#Data],$DE1607,52),0)</f>
        <v/>
      </c>
      <c r="BD1607">
        <f>IFERROR(INDEX(PP_Grid[#Data],$DE1607,53),0)</f>
        <v/>
      </c>
      <c r="BE1607">
        <f>IFERROR(INDEX(PP_Grid[#Data],$DE1607,54),0)</f>
        <v/>
      </c>
      <c r="BF1607">
        <f>IFERROR(INDEX(PP_Grid[#Data],$DE1607,55),0)</f>
        <v/>
      </c>
      <c r="BG1607">
        <f>IFERROR(INDEX(PP_Grid[#Data],$DE1607,56),0)</f>
        <v/>
      </c>
      <c r="BH1607">
        <f>IFERROR(INDEX(PP_Grid[#Data],$DE1607,57),0)</f>
        <v/>
      </c>
      <c r="BI1607">
        <f>IFERROR(INDEX(PP_Grid[#Data],$DE1607,58),0)</f>
        <v/>
      </c>
      <c r="BJ1607">
        <f>IFERROR(INDEX(PP_Grid[#Data],$DE1607,59),0)</f>
        <v/>
      </c>
      <c r="BK1607">
        <f>IFERROR(INDEX(PP_Grid[#Data],$DE1607,60),0)</f>
        <v/>
      </c>
      <c r="BL1607">
        <f>IFERROR(INDEX(PP_Grid[#Data],$DE1607,61),0)</f>
        <v/>
      </c>
      <c r="BM1607">
        <f>IFERROR(INDEX(PP_Grid[#Data],$DE1607,62),0)</f>
        <v/>
      </c>
      <c r="BN1607">
        <f>IFERROR(INDEX(PP_Grid[#Data],$DE1607,63),0)</f>
        <v/>
      </c>
      <c r="BO1607">
        <f>IFERROR(INDEX(PP_Grid[#Data],$DE1607,64),0)</f>
        <v/>
      </c>
      <c r="BP1607">
        <f>IFERROR(INDEX(PP_Grid[#Data],$DE1607,65),0)</f>
        <v/>
      </c>
      <c r="BQ1607">
        <f>IFERROR(INDEX(PP_Grid[#Data],$DE1607,66),0)</f>
        <v/>
      </c>
      <c r="BR1607">
        <f>IFERROR(INDEX(PP_Grid[#Data],$DE1607,67),0)</f>
        <v/>
      </c>
      <c r="BS1607">
        <f>IFERROR(INDEX(PP_Grid[#Data],$DE1607,68),0)</f>
        <v/>
      </c>
      <c r="BT1607">
        <f>IFERROR(INDEX(PP_Grid[#Data],$DE1607,69),0)</f>
        <v/>
      </c>
      <c r="BU1607">
        <f>IFERROR(INDEX(PP_Grid[#Data],$DE1607,70),0)</f>
        <v/>
      </c>
      <c r="BV1607">
        <f>IFERROR(INDEX(PP_Grid[#Data],$DE1607,71),0)</f>
        <v/>
      </c>
      <c r="BW1607">
        <f>IFERROR(INDEX(PP_Grid[#Data],$DE1607,72),0)</f>
        <v/>
      </c>
      <c r="BX1607">
        <f>IFERROR(INDEX(PP_Grid[#Data],$DE1607,73),0)</f>
        <v/>
      </c>
      <c r="BY1607">
        <f>IFERROR(INDEX(PP_Grid[#Data],$DE1607,74),0)</f>
        <v/>
      </c>
      <c r="BZ1607">
        <f>IFERROR(INDEX(PP_Grid[#Data],$DE1607,75),0)</f>
        <v/>
      </c>
      <c r="CA1607">
        <f>IFERROR(INDEX(PP_Grid[#Data],$DE1607,76),0)</f>
        <v/>
      </c>
      <c r="CB1607">
        <f>IFERROR(INDEX(PP_Grid[#Data],$DE1607,77),0)</f>
        <v/>
      </c>
      <c r="CC1607">
        <f>IFERROR(INDEX(PP_Grid[#Data],$DE1607,78),0)</f>
        <v/>
      </c>
      <c r="CD1607">
        <f>IFERROR(INDEX(PP_Grid[#Data],$DE1607,79),0)</f>
        <v/>
      </c>
      <c r="CE1607">
        <f>IFERROR(INDEX(PP_Grid[#Data],$DE1607,80),0)</f>
        <v/>
      </c>
      <c r="CF1607">
        <f>IFERROR(INDEX(PP_Grid[#Data],$DE1607,81),0)</f>
        <v/>
      </c>
      <c r="CG1607">
        <f>IFERROR(INDEX(PP_Grid[#Data],$DE1607,82),0)</f>
        <v/>
      </c>
      <c r="CH1607">
        <f>IFERROR(INDEX(PP_Grid[#Data],$DE1607,83),0)</f>
        <v/>
      </c>
      <c r="CI1607">
        <f>IFERROR(INDEX(PP_Grid[#Data],$DE1607,84),0)</f>
        <v/>
      </c>
      <c r="CJ1607">
        <f>IFERROR(INDEX(PP_Grid[#Data],$DE1607,85),0)</f>
        <v/>
      </c>
      <c r="CK1607">
        <f>IFERROR(INDEX(PP_Grid[#Data],$DE1607,86),0)</f>
        <v/>
      </c>
      <c r="CL1607">
        <f>IFERROR(INDEX(PP_Grid[#Data],$DE1607,87),0)</f>
        <v/>
      </c>
      <c r="CM1607">
        <f>IFERROR(INDEX(PP_Grid[#Data],$DE1607,88),0)</f>
        <v/>
      </c>
      <c r="CN1607">
        <f>IFERROR(INDEX(PP_Grid[#Data],$DE1607,89),0)</f>
        <v/>
      </c>
      <c r="CO1607">
        <f>IFERROR(INDEX(PP_Grid[#Data],$DE1607,90),0)</f>
        <v/>
      </c>
      <c r="CP1607">
        <f>IFERROR(INDEX(PP_Grid[#Data],$DE1607,91),0)</f>
        <v/>
      </c>
      <c r="CQ1607">
        <f>IFERROR(INDEX(PP_Grid[#Data],$DE1607,92),0)</f>
        <v/>
      </c>
      <c r="CR1607">
        <f>IFERROR(INDEX(PP_Grid[#Data],$DE1607,93),0)</f>
        <v/>
      </c>
      <c r="CS1607">
        <f>IFERROR(INDEX(PP_Grid[#Data],$DE1607,94),0)</f>
        <v/>
      </c>
      <c r="CT1607">
        <f>IFERROR(INDEX(PP_Grid[#Data],$DE1607,95),0)</f>
        <v/>
      </c>
      <c r="CU1607">
        <f>IFERROR(INDEX(PP_Grid[#Data],$DE1607,96),0)</f>
        <v/>
      </c>
      <c r="CV1607">
        <f>IFERROR(INDEX(PP_Grid[#Data],$DE1607,97),0)</f>
        <v/>
      </c>
      <c r="CW1607">
        <f>IFERROR(INDEX(PP_Grid[#Data],$DE1607,98),0)</f>
        <v/>
      </c>
      <c r="CX1607">
        <f>IFERROR(INDEX(PP_Grid[#Data],$DE1607,99),0)</f>
        <v/>
      </c>
      <c r="CY1607">
        <f>IFERROR(INDEX(PP_Grid[#Data],$DE1607,100),0)</f>
        <v/>
      </c>
      <c r="CZ1607">
        <f>IFERROR(INDEX(PP_Grid[#Data],$DE1607,101),0)</f>
        <v/>
      </c>
      <c r="DA1607">
        <f>IFERROR(INDEX(PP_Grid[#Data],$DE1607,102),0)</f>
        <v/>
      </c>
      <c r="DB1607">
        <f>IFERROR(INDEX(PP_Grid[#Data],$DE1607,103),0)</f>
        <v/>
      </c>
      <c r="DC1607">
        <f>IFERROR(INDEX(PP_Grid[#Data],$DE1607,104),0)</f>
        <v/>
      </c>
      <c r="DD1607">
        <f>IFERROR(INDEX(PP_Grid[#Data],$DE1607,105),0)</f>
        <v/>
      </c>
      <c r="DE1607" s="7">
        <f>IFERROR(MATCH($B1607,PP_Grid[Intermediate],0),99999)</f>
        <v/>
      </c>
    </row>
    <row r="1608">
      <c r="B1608" t="inlineStr">
        <is>
          <t>使用量(kg)</t>
        </is>
      </c>
      <c r="C1608">
        <f>SUMIFS(M_BOM[RM_Qty_Per_Batch],M_BOM[Intermediate],$B1607,M_BOM[RM_Code],$A1586)</f>
        <v/>
      </c>
      <c r="D1608">
        <f>IFERROR(INDEX(E1608:DD1608,$F$1),"")</f>
        <v/>
      </c>
      <c r="E1608">
        <f>$C1608*E1607</f>
        <v/>
      </c>
      <c r="F1608">
        <f>$C1608*F1607</f>
        <v/>
      </c>
      <c r="G1608">
        <f>$C1608*G1607</f>
        <v/>
      </c>
      <c r="H1608">
        <f>$C1608*H1607</f>
        <v/>
      </c>
      <c r="I1608">
        <f>$C1608*I1607</f>
        <v/>
      </c>
      <c r="J1608">
        <f>$C1608*J1607</f>
        <v/>
      </c>
      <c r="K1608">
        <f>$C1608*K1607</f>
        <v/>
      </c>
      <c r="L1608">
        <f>$C1608*L1607</f>
        <v/>
      </c>
      <c r="M1608">
        <f>$C1608*M1607</f>
        <v/>
      </c>
      <c r="N1608">
        <f>$C1608*N1607</f>
        <v/>
      </c>
      <c r="O1608">
        <f>$C1608*O1607</f>
        <v/>
      </c>
      <c r="P1608">
        <f>$C1608*P1607</f>
        <v/>
      </c>
      <c r="Q1608">
        <f>$C1608*Q1607</f>
        <v/>
      </c>
      <c r="R1608">
        <f>$C1608*R1607</f>
        <v/>
      </c>
      <c r="S1608">
        <f>$C1608*S1607</f>
        <v/>
      </c>
      <c r="T1608">
        <f>$C1608*T1607</f>
        <v/>
      </c>
      <c r="U1608">
        <f>$C1608*U1607</f>
        <v/>
      </c>
      <c r="V1608">
        <f>$C1608*V1607</f>
        <v/>
      </c>
      <c r="W1608">
        <f>$C1608*W1607</f>
        <v/>
      </c>
      <c r="X1608">
        <f>$C1608*X1607</f>
        <v/>
      </c>
      <c r="Y1608">
        <f>$C1608*Y1607</f>
        <v/>
      </c>
      <c r="Z1608">
        <f>$C1608*Z1607</f>
        <v/>
      </c>
      <c r="AA1608">
        <f>$C1608*AA1607</f>
        <v/>
      </c>
      <c r="AB1608">
        <f>$C1608*AB1607</f>
        <v/>
      </c>
      <c r="AC1608">
        <f>$C1608*AC1607</f>
        <v/>
      </c>
      <c r="AD1608">
        <f>$C1608*AD1607</f>
        <v/>
      </c>
      <c r="AE1608">
        <f>$C1608*AE1607</f>
        <v/>
      </c>
      <c r="AF1608">
        <f>$C1608*AF1607</f>
        <v/>
      </c>
      <c r="AG1608">
        <f>$C1608*AG1607</f>
        <v/>
      </c>
      <c r="AH1608">
        <f>$C1608*AH1607</f>
        <v/>
      </c>
      <c r="AI1608">
        <f>$C1608*AI1607</f>
        <v/>
      </c>
      <c r="AJ1608">
        <f>$C1608*AJ1607</f>
        <v/>
      </c>
      <c r="AK1608">
        <f>$C1608*AK1607</f>
        <v/>
      </c>
      <c r="AL1608">
        <f>$C1608*AL1607</f>
        <v/>
      </c>
      <c r="AM1608">
        <f>$C1608*AM1607</f>
        <v/>
      </c>
      <c r="AN1608">
        <f>$C1608*AN1607</f>
        <v/>
      </c>
      <c r="AO1608">
        <f>$C1608*AO1607</f>
        <v/>
      </c>
      <c r="AP1608">
        <f>$C1608*AP1607</f>
        <v/>
      </c>
      <c r="AQ1608">
        <f>$C1608*AQ1607</f>
        <v/>
      </c>
      <c r="AR1608">
        <f>$C1608*AR1607</f>
        <v/>
      </c>
      <c r="AS1608">
        <f>$C1608*AS1607</f>
        <v/>
      </c>
      <c r="AT1608">
        <f>$C1608*AT1607</f>
        <v/>
      </c>
      <c r="AU1608">
        <f>$C1608*AU1607</f>
        <v/>
      </c>
      <c r="AV1608">
        <f>$C1608*AV1607</f>
        <v/>
      </c>
      <c r="AW1608">
        <f>$C1608*AW1607</f>
        <v/>
      </c>
      <c r="AX1608">
        <f>$C1608*AX1607</f>
        <v/>
      </c>
      <c r="AY1608">
        <f>$C1608*AY1607</f>
        <v/>
      </c>
      <c r="AZ1608">
        <f>$C1608*AZ1607</f>
        <v/>
      </c>
      <c r="BA1608">
        <f>$C1608*BA1607</f>
        <v/>
      </c>
      <c r="BB1608">
        <f>$C1608*BB1607</f>
        <v/>
      </c>
      <c r="BC1608">
        <f>$C1608*BC1607</f>
        <v/>
      </c>
      <c r="BD1608">
        <f>$C1608*BD1607</f>
        <v/>
      </c>
      <c r="BE1608">
        <f>$C1608*BE1607</f>
        <v/>
      </c>
      <c r="BF1608">
        <f>$C1608*BF1607</f>
        <v/>
      </c>
      <c r="BG1608">
        <f>$C1608*BG1607</f>
        <v/>
      </c>
      <c r="BH1608">
        <f>$C1608*BH1607</f>
        <v/>
      </c>
      <c r="BI1608">
        <f>$C1608*BI1607</f>
        <v/>
      </c>
      <c r="BJ1608">
        <f>$C1608*BJ1607</f>
        <v/>
      </c>
      <c r="BK1608">
        <f>$C1608*BK1607</f>
        <v/>
      </c>
      <c r="BL1608">
        <f>$C1608*BL1607</f>
        <v/>
      </c>
      <c r="BM1608">
        <f>$C1608*BM1607</f>
        <v/>
      </c>
      <c r="BN1608">
        <f>$C1608*BN1607</f>
        <v/>
      </c>
      <c r="BO1608">
        <f>$C1608*BO1607</f>
        <v/>
      </c>
      <c r="BP1608">
        <f>$C1608*BP1607</f>
        <v/>
      </c>
      <c r="BQ1608">
        <f>$C1608*BQ1607</f>
        <v/>
      </c>
      <c r="BR1608">
        <f>$C1608*BR1607</f>
        <v/>
      </c>
      <c r="BS1608">
        <f>$C1608*BS1607</f>
        <v/>
      </c>
      <c r="BT1608">
        <f>$C1608*BT1607</f>
        <v/>
      </c>
      <c r="BU1608">
        <f>$C1608*BU1607</f>
        <v/>
      </c>
      <c r="BV1608">
        <f>$C1608*BV1607</f>
        <v/>
      </c>
      <c r="BW1608">
        <f>$C1608*BW1607</f>
        <v/>
      </c>
      <c r="BX1608">
        <f>$C1608*BX1607</f>
        <v/>
      </c>
      <c r="BY1608">
        <f>$C1608*BY1607</f>
        <v/>
      </c>
      <c r="BZ1608">
        <f>$C1608*BZ1607</f>
        <v/>
      </c>
      <c r="CA1608">
        <f>$C1608*CA1607</f>
        <v/>
      </c>
      <c r="CB1608">
        <f>$C1608*CB1607</f>
        <v/>
      </c>
      <c r="CC1608">
        <f>$C1608*CC1607</f>
        <v/>
      </c>
      <c r="CD1608">
        <f>$C1608*CD1607</f>
        <v/>
      </c>
      <c r="CE1608">
        <f>$C1608*CE1607</f>
        <v/>
      </c>
      <c r="CF1608">
        <f>$C1608*CF1607</f>
        <v/>
      </c>
      <c r="CG1608">
        <f>$C1608*CG1607</f>
        <v/>
      </c>
      <c r="CH1608">
        <f>$C1608*CH1607</f>
        <v/>
      </c>
      <c r="CI1608">
        <f>$C1608*CI1607</f>
        <v/>
      </c>
      <c r="CJ1608">
        <f>$C1608*CJ1607</f>
        <v/>
      </c>
      <c r="CK1608">
        <f>$C1608*CK1607</f>
        <v/>
      </c>
      <c r="CL1608">
        <f>$C1608*CL1607</f>
        <v/>
      </c>
      <c r="CM1608">
        <f>$C1608*CM1607</f>
        <v/>
      </c>
      <c r="CN1608">
        <f>$C1608*CN1607</f>
        <v/>
      </c>
      <c r="CO1608">
        <f>$C1608*CO1607</f>
        <v/>
      </c>
      <c r="CP1608">
        <f>$C1608*CP1607</f>
        <v/>
      </c>
      <c r="CQ1608">
        <f>$C1608*CQ1607</f>
        <v/>
      </c>
      <c r="CR1608">
        <f>$C1608*CR1607</f>
        <v/>
      </c>
      <c r="CS1608">
        <f>$C1608*CS1607</f>
        <v/>
      </c>
      <c r="CT1608">
        <f>$C1608*CT1607</f>
        <v/>
      </c>
      <c r="CU1608">
        <f>$C1608*CU1607</f>
        <v/>
      </c>
      <c r="CV1608">
        <f>$C1608*CV1607</f>
        <v/>
      </c>
      <c r="CW1608">
        <f>$C1608*CW1607</f>
        <v/>
      </c>
      <c r="CX1608">
        <f>$C1608*CX1607</f>
        <v/>
      </c>
      <c r="CY1608">
        <f>$C1608*CY1607</f>
        <v/>
      </c>
      <c r="CZ1608">
        <f>$C1608*CZ1607</f>
        <v/>
      </c>
      <c r="DA1608">
        <f>$C1608*DA1607</f>
        <v/>
      </c>
      <c r="DB1608">
        <f>$C1608*DB1607</f>
        <v/>
      </c>
      <c r="DC1608">
        <f>$C1608*DC1607</f>
        <v/>
      </c>
      <c r="DD1608">
        <f>$C1608*DD1607</f>
        <v/>
      </c>
    </row>
    <row r="1609">
      <c r="B1609" s="4" t="inlineStr">
        <is>
          <t>合計使用量(kg)/週</t>
        </is>
      </c>
      <c r="D1609" s="23">
        <f>IFERROR(INDEX(E1609:DD1609,$F$1),"")</f>
        <v/>
      </c>
      <c r="E1609">
        <f>'Grid_Requirement'!B37</f>
        <v/>
      </c>
      <c r="F1609">
        <f>'Grid_Requirement'!C37</f>
        <v/>
      </c>
      <c r="G1609">
        <f>'Grid_Requirement'!D37</f>
        <v/>
      </c>
      <c r="H1609">
        <f>'Grid_Requirement'!E37</f>
        <v/>
      </c>
      <c r="I1609">
        <f>'Grid_Requirement'!F37</f>
        <v/>
      </c>
      <c r="J1609">
        <f>'Grid_Requirement'!G37</f>
        <v/>
      </c>
      <c r="K1609">
        <f>'Grid_Requirement'!H37</f>
        <v/>
      </c>
      <c r="L1609">
        <f>'Grid_Requirement'!I37</f>
        <v/>
      </c>
      <c r="M1609">
        <f>'Grid_Requirement'!J37</f>
        <v/>
      </c>
      <c r="N1609">
        <f>'Grid_Requirement'!K37</f>
        <v/>
      </c>
      <c r="O1609">
        <f>'Grid_Requirement'!L37</f>
        <v/>
      </c>
      <c r="P1609">
        <f>'Grid_Requirement'!M37</f>
        <v/>
      </c>
      <c r="Q1609">
        <f>'Grid_Requirement'!N37</f>
        <v/>
      </c>
      <c r="R1609">
        <f>'Grid_Requirement'!O37</f>
        <v/>
      </c>
      <c r="S1609">
        <f>'Grid_Requirement'!P37</f>
        <v/>
      </c>
      <c r="T1609">
        <f>'Grid_Requirement'!Q37</f>
        <v/>
      </c>
      <c r="U1609">
        <f>'Grid_Requirement'!R37</f>
        <v/>
      </c>
      <c r="V1609">
        <f>'Grid_Requirement'!S37</f>
        <v/>
      </c>
      <c r="W1609">
        <f>'Grid_Requirement'!T37</f>
        <v/>
      </c>
      <c r="X1609">
        <f>'Grid_Requirement'!U37</f>
        <v/>
      </c>
      <c r="Y1609">
        <f>'Grid_Requirement'!V37</f>
        <v/>
      </c>
      <c r="Z1609">
        <f>'Grid_Requirement'!W37</f>
        <v/>
      </c>
      <c r="AA1609">
        <f>'Grid_Requirement'!X37</f>
        <v/>
      </c>
      <c r="AB1609">
        <f>'Grid_Requirement'!Y37</f>
        <v/>
      </c>
      <c r="AC1609">
        <f>'Grid_Requirement'!Z37</f>
        <v/>
      </c>
      <c r="AD1609">
        <f>'Grid_Requirement'!AA37</f>
        <v/>
      </c>
      <c r="AE1609">
        <f>'Grid_Requirement'!AB37</f>
        <v/>
      </c>
      <c r="AF1609">
        <f>'Grid_Requirement'!AC37</f>
        <v/>
      </c>
      <c r="AG1609">
        <f>'Grid_Requirement'!AD37</f>
        <v/>
      </c>
      <c r="AH1609">
        <f>'Grid_Requirement'!AE37</f>
        <v/>
      </c>
      <c r="AI1609">
        <f>'Grid_Requirement'!AF37</f>
        <v/>
      </c>
      <c r="AJ1609">
        <f>'Grid_Requirement'!AG37</f>
        <v/>
      </c>
      <c r="AK1609">
        <f>'Grid_Requirement'!AH37</f>
        <v/>
      </c>
      <c r="AL1609">
        <f>'Grid_Requirement'!AI37</f>
        <v/>
      </c>
      <c r="AM1609">
        <f>'Grid_Requirement'!AJ37</f>
        <v/>
      </c>
      <c r="AN1609">
        <f>'Grid_Requirement'!AK37</f>
        <v/>
      </c>
      <c r="AO1609">
        <f>'Grid_Requirement'!AL37</f>
        <v/>
      </c>
      <c r="AP1609">
        <f>'Grid_Requirement'!AM37</f>
        <v/>
      </c>
      <c r="AQ1609">
        <f>'Grid_Requirement'!AN37</f>
        <v/>
      </c>
      <c r="AR1609">
        <f>'Grid_Requirement'!AO37</f>
        <v/>
      </c>
      <c r="AS1609">
        <f>'Grid_Requirement'!AP37</f>
        <v/>
      </c>
      <c r="AT1609">
        <f>'Grid_Requirement'!AQ37</f>
        <v/>
      </c>
      <c r="AU1609">
        <f>'Grid_Requirement'!AR37</f>
        <v/>
      </c>
      <c r="AV1609">
        <f>'Grid_Requirement'!AS37</f>
        <v/>
      </c>
      <c r="AW1609">
        <f>'Grid_Requirement'!AT37</f>
        <v/>
      </c>
      <c r="AX1609">
        <f>'Grid_Requirement'!AU37</f>
        <v/>
      </c>
      <c r="AY1609">
        <f>'Grid_Requirement'!AV37</f>
        <v/>
      </c>
      <c r="AZ1609">
        <f>'Grid_Requirement'!AW37</f>
        <v/>
      </c>
      <c r="BA1609">
        <f>'Grid_Requirement'!AX37</f>
        <v/>
      </c>
      <c r="BB1609">
        <f>'Grid_Requirement'!AY37</f>
        <v/>
      </c>
      <c r="BC1609">
        <f>'Grid_Requirement'!AZ37</f>
        <v/>
      </c>
      <c r="BD1609">
        <f>'Grid_Requirement'!BA37</f>
        <v/>
      </c>
      <c r="BE1609">
        <f>'Grid_Requirement'!BB37</f>
        <v/>
      </c>
      <c r="BF1609">
        <f>'Grid_Requirement'!BC37</f>
        <v/>
      </c>
      <c r="BG1609">
        <f>'Grid_Requirement'!BD37</f>
        <v/>
      </c>
      <c r="BH1609">
        <f>'Grid_Requirement'!BE37</f>
        <v/>
      </c>
      <c r="BI1609">
        <f>'Grid_Requirement'!BF37</f>
        <v/>
      </c>
      <c r="BJ1609">
        <f>'Grid_Requirement'!BG37</f>
        <v/>
      </c>
      <c r="BK1609">
        <f>'Grid_Requirement'!BH37</f>
        <v/>
      </c>
      <c r="BL1609">
        <f>'Grid_Requirement'!BI37</f>
        <v/>
      </c>
      <c r="BM1609">
        <f>'Grid_Requirement'!BJ37</f>
        <v/>
      </c>
      <c r="BN1609">
        <f>'Grid_Requirement'!BK37</f>
        <v/>
      </c>
      <c r="BO1609">
        <f>'Grid_Requirement'!BL37</f>
        <v/>
      </c>
      <c r="BP1609">
        <f>'Grid_Requirement'!BM37</f>
        <v/>
      </c>
      <c r="BQ1609">
        <f>'Grid_Requirement'!BN37</f>
        <v/>
      </c>
      <c r="BR1609">
        <f>'Grid_Requirement'!BO37</f>
        <v/>
      </c>
      <c r="BS1609">
        <f>'Grid_Requirement'!BP37</f>
        <v/>
      </c>
      <c r="BT1609">
        <f>'Grid_Requirement'!BQ37</f>
        <v/>
      </c>
      <c r="BU1609">
        <f>'Grid_Requirement'!BR37</f>
        <v/>
      </c>
      <c r="BV1609">
        <f>'Grid_Requirement'!BS37</f>
        <v/>
      </c>
      <c r="BW1609">
        <f>'Grid_Requirement'!BT37</f>
        <v/>
      </c>
      <c r="BX1609">
        <f>'Grid_Requirement'!BU37</f>
        <v/>
      </c>
      <c r="BY1609">
        <f>'Grid_Requirement'!BV37</f>
        <v/>
      </c>
      <c r="BZ1609">
        <f>'Grid_Requirement'!BW37</f>
        <v/>
      </c>
      <c r="CA1609">
        <f>'Grid_Requirement'!BX37</f>
        <v/>
      </c>
      <c r="CB1609">
        <f>'Grid_Requirement'!BY37</f>
        <v/>
      </c>
      <c r="CC1609">
        <f>'Grid_Requirement'!BZ37</f>
        <v/>
      </c>
      <c r="CD1609">
        <f>'Grid_Requirement'!CA37</f>
        <v/>
      </c>
      <c r="CE1609">
        <f>'Grid_Requirement'!CB37</f>
        <v/>
      </c>
      <c r="CF1609">
        <f>'Grid_Requirement'!CC37</f>
        <v/>
      </c>
      <c r="CG1609">
        <f>'Grid_Requirement'!CD37</f>
        <v/>
      </c>
      <c r="CH1609">
        <f>'Grid_Requirement'!CE37</f>
        <v/>
      </c>
      <c r="CI1609">
        <f>'Grid_Requirement'!CF37</f>
        <v/>
      </c>
      <c r="CJ1609">
        <f>'Grid_Requirement'!CG37</f>
        <v/>
      </c>
      <c r="CK1609">
        <f>'Grid_Requirement'!CH37</f>
        <v/>
      </c>
      <c r="CL1609">
        <f>'Grid_Requirement'!CI37</f>
        <v/>
      </c>
      <c r="CM1609">
        <f>'Grid_Requirement'!CJ37</f>
        <v/>
      </c>
      <c r="CN1609">
        <f>'Grid_Requirement'!CK37</f>
        <v/>
      </c>
      <c r="CO1609">
        <f>'Grid_Requirement'!CL37</f>
        <v/>
      </c>
      <c r="CP1609">
        <f>'Grid_Requirement'!CM37</f>
        <v/>
      </c>
      <c r="CQ1609">
        <f>'Grid_Requirement'!CN37</f>
        <v/>
      </c>
      <c r="CR1609">
        <f>'Grid_Requirement'!CO37</f>
        <v/>
      </c>
      <c r="CS1609">
        <f>'Grid_Requirement'!CP37</f>
        <v/>
      </c>
      <c r="CT1609">
        <f>'Grid_Requirement'!CQ37</f>
        <v/>
      </c>
      <c r="CU1609">
        <f>'Grid_Requirement'!CR37</f>
        <v/>
      </c>
      <c r="CV1609">
        <f>'Grid_Requirement'!CS37</f>
        <v/>
      </c>
      <c r="CW1609">
        <f>'Grid_Requirement'!CT37</f>
        <v/>
      </c>
      <c r="CX1609">
        <f>'Grid_Requirement'!CU37</f>
        <v/>
      </c>
      <c r="CY1609">
        <f>'Grid_Requirement'!CV37</f>
        <v/>
      </c>
      <c r="CZ1609">
        <f>'Grid_Requirement'!CW37</f>
        <v/>
      </c>
      <c r="DA1609">
        <f>'Grid_Requirement'!CX37</f>
        <v/>
      </c>
      <c r="DB1609">
        <f>'Grid_Requirement'!CY37</f>
        <v/>
      </c>
      <c r="DC1609">
        <f>'Grid_Requirement'!CZ37</f>
        <v/>
      </c>
      <c r="DD1609">
        <f>'Grid_Requirement'!DA37</f>
        <v/>
      </c>
    </row>
    <row r="1610">
      <c r="B1610" t="inlineStr">
        <is>
          <t>TTAF在庫(実績,kg)</t>
        </is>
      </c>
      <c r="D1610">
        <f>IFERROR(INDEX(E1610:DD1610,$F$1),"")</f>
        <v/>
      </c>
      <c r="E1610">
        <f>IFERROR(SUMIFS(T_TTAFStock[TTAF_Qty],T_TTAFStock[RM_Code],$A1586,T_TTAFStock[WeekIndex],1),"")</f>
        <v/>
      </c>
      <c r="F1610">
        <f>IFERROR(SUMIFS(T_TTAFStock[TTAF_Qty],T_TTAFStock[RM_Code],$A1586,T_TTAFStock[WeekIndex],2),"")</f>
        <v/>
      </c>
      <c r="G1610">
        <f>IFERROR(SUMIFS(T_TTAFStock[TTAF_Qty],T_TTAFStock[RM_Code],$A1586,T_TTAFStock[WeekIndex],3),"")</f>
        <v/>
      </c>
      <c r="H1610">
        <f>IFERROR(SUMIFS(T_TTAFStock[TTAF_Qty],T_TTAFStock[RM_Code],$A1586,T_TTAFStock[WeekIndex],4),"")</f>
        <v/>
      </c>
      <c r="I1610">
        <f>IFERROR(SUMIFS(T_TTAFStock[TTAF_Qty],T_TTAFStock[RM_Code],$A1586,T_TTAFStock[WeekIndex],5),"")</f>
        <v/>
      </c>
      <c r="J1610">
        <f>IFERROR(SUMIFS(T_TTAFStock[TTAF_Qty],T_TTAFStock[RM_Code],$A1586,T_TTAFStock[WeekIndex],6),"")</f>
        <v/>
      </c>
      <c r="K1610">
        <f>IFERROR(SUMIFS(T_TTAFStock[TTAF_Qty],T_TTAFStock[RM_Code],$A1586,T_TTAFStock[WeekIndex],7),"")</f>
        <v/>
      </c>
      <c r="L1610">
        <f>IFERROR(SUMIFS(T_TTAFStock[TTAF_Qty],T_TTAFStock[RM_Code],$A1586,T_TTAFStock[WeekIndex],8),"")</f>
        <v/>
      </c>
      <c r="M1610">
        <f>IFERROR(SUMIFS(T_TTAFStock[TTAF_Qty],T_TTAFStock[RM_Code],$A1586,T_TTAFStock[WeekIndex],9),"")</f>
        <v/>
      </c>
      <c r="N1610">
        <f>IFERROR(SUMIFS(T_TTAFStock[TTAF_Qty],T_TTAFStock[RM_Code],$A1586,T_TTAFStock[WeekIndex],10),"")</f>
        <v/>
      </c>
      <c r="O1610">
        <f>IFERROR(SUMIFS(T_TTAFStock[TTAF_Qty],T_TTAFStock[RM_Code],$A1586,T_TTAFStock[WeekIndex],11),"")</f>
        <v/>
      </c>
      <c r="P1610">
        <f>IFERROR(SUMIFS(T_TTAFStock[TTAF_Qty],T_TTAFStock[RM_Code],$A1586,T_TTAFStock[WeekIndex],12),"")</f>
        <v/>
      </c>
      <c r="Q1610">
        <f>IFERROR(SUMIFS(T_TTAFStock[TTAF_Qty],T_TTAFStock[RM_Code],$A1586,T_TTAFStock[WeekIndex],13),"")</f>
        <v/>
      </c>
      <c r="R1610">
        <f>IFERROR(SUMIFS(T_TTAFStock[TTAF_Qty],T_TTAFStock[RM_Code],$A1586,T_TTAFStock[WeekIndex],14),"")</f>
        <v/>
      </c>
      <c r="S1610">
        <f>IFERROR(SUMIFS(T_TTAFStock[TTAF_Qty],T_TTAFStock[RM_Code],$A1586,T_TTAFStock[WeekIndex],15),"")</f>
        <v/>
      </c>
      <c r="T1610">
        <f>IFERROR(SUMIFS(T_TTAFStock[TTAF_Qty],T_TTAFStock[RM_Code],$A1586,T_TTAFStock[WeekIndex],16),"")</f>
        <v/>
      </c>
      <c r="U1610">
        <f>IFERROR(SUMIFS(T_TTAFStock[TTAF_Qty],T_TTAFStock[RM_Code],$A1586,T_TTAFStock[WeekIndex],17),"")</f>
        <v/>
      </c>
      <c r="V1610">
        <f>IFERROR(SUMIFS(T_TTAFStock[TTAF_Qty],T_TTAFStock[RM_Code],$A1586,T_TTAFStock[WeekIndex],18),"")</f>
        <v/>
      </c>
      <c r="W1610">
        <f>IFERROR(SUMIFS(T_TTAFStock[TTAF_Qty],T_TTAFStock[RM_Code],$A1586,T_TTAFStock[WeekIndex],19),"")</f>
        <v/>
      </c>
      <c r="X1610">
        <f>IFERROR(SUMIFS(T_TTAFStock[TTAF_Qty],T_TTAFStock[RM_Code],$A1586,T_TTAFStock[WeekIndex],20),"")</f>
        <v/>
      </c>
      <c r="Y1610">
        <f>IFERROR(SUMIFS(T_TTAFStock[TTAF_Qty],T_TTAFStock[RM_Code],$A1586,T_TTAFStock[WeekIndex],21),"")</f>
        <v/>
      </c>
      <c r="Z1610">
        <f>IFERROR(SUMIFS(T_TTAFStock[TTAF_Qty],T_TTAFStock[RM_Code],$A1586,T_TTAFStock[WeekIndex],22),"")</f>
        <v/>
      </c>
      <c r="AA1610">
        <f>IFERROR(SUMIFS(T_TTAFStock[TTAF_Qty],T_TTAFStock[RM_Code],$A1586,T_TTAFStock[WeekIndex],23),"")</f>
        <v/>
      </c>
      <c r="AB1610">
        <f>IFERROR(SUMIFS(T_TTAFStock[TTAF_Qty],T_TTAFStock[RM_Code],$A1586,T_TTAFStock[WeekIndex],24),"")</f>
        <v/>
      </c>
      <c r="AC1610">
        <f>IFERROR(SUMIFS(T_TTAFStock[TTAF_Qty],T_TTAFStock[RM_Code],$A1586,T_TTAFStock[WeekIndex],25),"")</f>
        <v/>
      </c>
      <c r="AD1610">
        <f>IFERROR(SUMIFS(T_TTAFStock[TTAF_Qty],T_TTAFStock[RM_Code],$A1586,T_TTAFStock[WeekIndex],26),"")</f>
        <v/>
      </c>
      <c r="AE1610">
        <f>IFERROR(SUMIFS(T_TTAFStock[TTAF_Qty],T_TTAFStock[RM_Code],$A1586,T_TTAFStock[WeekIndex],27),"")</f>
        <v/>
      </c>
      <c r="AF1610">
        <f>IFERROR(SUMIFS(T_TTAFStock[TTAF_Qty],T_TTAFStock[RM_Code],$A1586,T_TTAFStock[WeekIndex],28),"")</f>
        <v/>
      </c>
      <c r="AG1610">
        <f>IFERROR(SUMIFS(T_TTAFStock[TTAF_Qty],T_TTAFStock[RM_Code],$A1586,T_TTAFStock[WeekIndex],29),"")</f>
        <v/>
      </c>
      <c r="AH1610">
        <f>IFERROR(SUMIFS(T_TTAFStock[TTAF_Qty],T_TTAFStock[RM_Code],$A1586,T_TTAFStock[WeekIndex],30),"")</f>
        <v/>
      </c>
      <c r="AI1610">
        <f>IFERROR(SUMIFS(T_TTAFStock[TTAF_Qty],T_TTAFStock[RM_Code],$A1586,T_TTAFStock[WeekIndex],31),"")</f>
        <v/>
      </c>
      <c r="AJ1610">
        <f>IFERROR(SUMIFS(T_TTAFStock[TTAF_Qty],T_TTAFStock[RM_Code],$A1586,T_TTAFStock[WeekIndex],32),"")</f>
        <v/>
      </c>
      <c r="AK1610">
        <f>IFERROR(SUMIFS(T_TTAFStock[TTAF_Qty],T_TTAFStock[RM_Code],$A1586,T_TTAFStock[WeekIndex],33),"")</f>
        <v/>
      </c>
      <c r="AL1610">
        <f>IFERROR(SUMIFS(T_TTAFStock[TTAF_Qty],T_TTAFStock[RM_Code],$A1586,T_TTAFStock[WeekIndex],34),"")</f>
        <v/>
      </c>
      <c r="AM1610">
        <f>IFERROR(SUMIFS(T_TTAFStock[TTAF_Qty],T_TTAFStock[RM_Code],$A1586,T_TTAFStock[WeekIndex],35),"")</f>
        <v/>
      </c>
      <c r="AN1610">
        <f>IFERROR(SUMIFS(T_TTAFStock[TTAF_Qty],T_TTAFStock[RM_Code],$A1586,T_TTAFStock[WeekIndex],36),"")</f>
        <v/>
      </c>
      <c r="AO1610">
        <f>IFERROR(SUMIFS(T_TTAFStock[TTAF_Qty],T_TTAFStock[RM_Code],$A1586,T_TTAFStock[WeekIndex],37),"")</f>
        <v/>
      </c>
      <c r="AP1610">
        <f>IFERROR(SUMIFS(T_TTAFStock[TTAF_Qty],T_TTAFStock[RM_Code],$A1586,T_TTAFStock[WeekIndex],38),"")</f>
        <v/>
      </c>
      <c r="AQ1610">
        <f>IFERROR(SUMIFS(T_TTAFStock[TTAF_Qty],T_TTAFStock[RM_Code],$A1586,T_TTAFStock[WeekIndex],39),"")</f>
        <v/>
      </c>
      <c r="AR1610">
        <f>IFERROR(SUMIFS(T_TTAFStock[TTAF_Qty],T_TTAFStock[RM_Code],$A1586,T_TTAFStock[WeekIndex],40),"")</f>
        <v/>
      </c>
      <c r="AS1610">
        <f>IFERROR(SUMIFS(T_TTAFStock[TTAF_Qty],T_TTAFStock[RM_Code],$A1586,T_TTAFStock[WeekIndex],41),"")</f>
        <v/>
      </c>
      <c r="AT1610">
        <f>IFERROR(SUMIFS(T_TTAFStock[TTAF_Qty],T_TTAFStock[RM_Code],$A1586,T_TTAFStock[WeekIndex],42),"")</f>
        <v/>
      </c>
      <c r="AU1610">
        <f>IFERROR(SUMIFS(T_TTAFStock[TTAF_Qty],T_TTAFStock[RM_Code],$A1586,T_TTAFStock[WeekIndex],43),"")</f>
        <v/>
      </c>
      <c r="AV1610">
        <f>IFERROR(SUMIFS(T_TTAFStock[TTAF_Qty],T_TTAFStock[RM_Code],$A1586,T_TTAFStock[WeekIndex],44),"")</f>
        <v/>
      </c>
      <c r="AW1610">
        <f>IFERROR(SUMIFS(T_TTAFStock[TTAF_Qty],T_TTAFStock[RM_Code],$A1586,T_TTAFStock[WeekIndex],45),"")</f>
        <v/>
      </c>
      <c r="AX1610">
        <f>IFERROR(SUMIFS(T_TTAFStock[TTAF_Qty],T_TTAFStock[RM_Code],$A1586,T_TTAFStock[WeekIndex],46),"")</f>
        <v/>
      </c>
      <c r="AY1610">
        <f>IFERROR(SUMIFS(T_TTAFStock[TTAF_Qty],T_TTAFStock[RM_Code],$A1586,T_TTAFStock[WeekIndex],47),"")</f>
        <v/>
      </c>
      <c r="AZ1610">
        <f>IFERROR(SUMIFS(T_TTAFStock[TTAF_Qty],T_TTAFStock[RM_Code],$A1586,T_TTAFStock[WeekIndex],48),"")</f>
        <v/>
      </c>
      <c r="BA1610">
        <f>IFERROR(SUMIFS(T_TTAFStock[TTAF_Qty],T_TTAFStock[RM_Code],$A1586,T_TTAFStock[WeekIndex],49),"")</f>
        <v/>
      </c>
      <c r="BB1610">
        <f>IFERROR(SUMIFS(T_TTAFStock[TTAF_Qty],T_TTAFStock[RM_Code],$A1586,T_TTAFStock[WeekIndex],50),"")</f>
        <v/>
      </c>
      <c r="BC1610">
        <f>IFERROR(SUMIFS(T_TTAFStock[TTAF_Qty],T_TTAFStock[RM_Code],$A1586,T_TTAFStock[WeekIndex],51),"")</f>
        <v/>
      </c>
      <c r="BD1610">
        <f>IFERROR(SUMIFS(T_TTAFStock[TTAF_Qty],T_TTAFStock[RM_Code],$A1586,T_TTAFStock[WeekIndex],52),"")</f>
        <v/>
      </c>
      <c r="BE1610">
        <f>IFERROR(SUMIFS(T_TTAFStock[TTAF_Qty],T_TTAFStock[RM_Code],$A1586,T_TTAFStock[WeekIndex],53),"")</f>
        <v/>
      </c>
      <c r="BF1610">
        <f>IFERROR(SUMIFS(T_TTAFStock[TTAF_Qty],T_TTAFStock[RM_Code],$A1586,T_TTAFStock[WeekIndex],54),"")</f>
        <v/>
      </c>
      <c r="BG1610">
        <f>IFERROR(SUMIFS(T_TTAFStock[TTAF_Qty],T_TTAFStock[RM_Code],$A1586,T_TTAFStock[WeekIndex],55),"")</f>
        <v/>
      </c>
      <c r="BH1610">
        <f>IFERROR(SUMIFS(T_TTAFStock[TTAF_Qty],T_TTAFStock[RM_Code],$A1586,T_TTAFStock[WeekIndex],56),"")</f>
        <v/>
      </c>
      <c r="BI1610">
        <f>IFERROR(SUMIFS(T_TTAFStock[TTAF_Qty],T_TTAFStock[RM_Code],$A1586,T_TTAFStock[WeekIndex],57),"")</f>
        <v/>
      </c>
      <c r="BJ1610">
        <f>IFERROR(SUMIFS(T_TTAFStock[TTAF_Qty],T_TTAFStock[RM_Code],$A1586,T_TTAFStock[WeekIndex],58),"")</f>
        <v/>
      </c>
      <c r="BK1610">
        <f>IFERROR(SUMIFS(T_TTAFStock[TTAF_Qty],T_TTAFStock[RM_Code],$A1586,T_TTAFStock[WeekIndex],59),"")</f>
        <v/>
      </c>
      <c r="BL1610">
        <f>IFERROR(SUMIFS(T_TTAFStock[TTAF_Qty],T_TTAFStock[RM_Code],$A1586,T_TTAFStock[WeekIndex],60),"")</f>
        <v/>
      </c>
      <c r="BM1610">
        <f>IFERROR(SUMIFS(T_TTAFStock[TTAF_Qty],T_TTAFStock[RM_Code],$A1586,T_TTAFStock[WeekIndex],61),"")</f>
        <v/>
      </c>
      <c r="BN1610">
        <f>IFERROR(SUMIFS(T_TTAFStock[TTAF_Qty],T_TTAFStock[RM_Code],$A1586,T_TTAFStock[WeekIndex],62),"")</f>
        <v/>
      </c>
      <c r="BO1610">
        <f>IFERROR(SUMIFS(T_TTAFStock[TTAF_Qty],T_TTAFStock[RM_Code],$A1586,T_TTAFStock[WeekIndex],63),"")</f>
        <v/>
      </c>
      <c r="BP1610">
        <f>IFERROR(SUMIFS(T_TTAFStock[TTAF_Qty],T_TTAFStock[RM_Code],$A1586,T_TTAFStock[WeekIndex],64),"")</f>
        <v/>
      </c>
      <c r="BQ1610">
        <f>IFERROR(SUMIFS(T_TTAFStock[TTAF_Qty],T_TTAFStock[RM_Code],$A1586,T_TTAFStock[WeekIndex],65),"")</f>
        <v/>
      </c>
      <c r="BR1610">
        <f>IFERROR(SUMIFS(T_TTAFStock[TTAF_Qty],T_TTAFStock[RM_Code],$A1586,T_TTAFStock[WeekIndex],66),"")</f>
        <v/>
      </c>
      <c r="BS1610">
        <f>IFERROR(SUMIFS(T_TTAFStock[TTAF_Qty],T_TTAFStock[RM_Code],$A1586,T_TTAFStock[WeekIndex],67),"")</f>
        <v/>
      </c>
      <c r="BT1610">
        <f>IFERROR(SUMIFS(T_TTAFStock[TTAF_Qty],T_TTAFStock[RM_Code],$A1586,T_TTAFStock[WeekIndex],68),"")</f>
        <v/>
      </c>
      <c r="BU1610">
        <f>IFERROR(SUMIFS(T_TTAFStock[TTAF_Qty],T_TTAFStock[RM_Code],$A1586,T_TTAFStock[WeekIndex],69),"")</f>
        <v/>
      </c>
      <c r="BV1610">
        <f>IFERROR(SUMIFS(T_TTAFStock[TTAF_Qty],T_TTAFStock[RM_Code],$A1586,T_TTAFStock[WeekIndex],70),"")</f>
        <v/>
      </c>
      <c r="BW1610">
        <f>IFERROR(SUMIFS(T_TTAFStock[TTAF_Qty],T_TTAFStock[RM_Code],$A1586,T_TTAFStock[WeekIndex],71),"")</f>
        <v/>
      </c>
      <c r="BX1610">
        <f>IFERROR(SUMIFS(T_TTAFStock[TTAF_Qty],T_TTAFStock[RM_Code],$A1586,T_TTAFStock[WeekIndex],72),"")</f>
        <v/>
      </c>
      <c r="BY1610">
        <f>IFERROR(SUMIFS(T_TTAFStock[TTAF_Qty],T_TTAFStock[RM_Code],$A1586,T_TTAFStock[WeekIndex],73),"")</f>
        <v/>
      </c>
      <c r="BZ1610">
        <f>IFERROR(SUMIFS(T_TTAFStock[TTAF_Qty],T_TTAFStock[RM_Code],$A1586,T_TTAFStock[WeekIndex],74),"")</f>
        <v/>
      </c>
      <c r="CA1610">
        <f>IFERROR(SUMIFS(T_TTAFStock[TTAF_Qty],T_TTAFStock[RM_Code],$A1586,T_TTAFStock[WeekIndex],75),"")</f>
        <v/>
      </c>
      <c r="CB1610">
        <f>IFERROR(SUMIFS(T_TTAFStock[TTAF_Qty],T_TTAFStock[RM_Code],$A1586,T_TTAFStock[WeekIndex],76),"")</f>
        <v/>
      </c>
      <c r="CC1610">
        <f>IFERROR(SUMIFS(T_TTAFStock[TTAF_Qty],T_TTAFStock[RM_Code],$A1586,T_TTAFStock[WeekIndex],77),"")</f>
        <v/>
      </c>
      <c r="CD1610">
        <f>IFERROR(SUMIFS(T_TTAFStock[TTAF_Qty],T_TTAFStock[RM_Code],$A1586,T_TTAFStock[WeekIndex],78),"")</f>
        <v/>
      </c>
      <c r="CE1610">
        <f>IFERROR(SUMIFS(T_TTAFStock[TTAF_Qty],T_TTAFStock[RM_Code],$A1586,T_TTAFStock[WeekIndex],79),"")</f>
        <v/>
      </c>
      <c r="CF1610">
        <f>IFERROR(SUMIFS(T_TTAFStock[TTAF_Qty],T_TTAFStock[RM_Code],$A1586,T_TTAFStock[WeekIndex],80),"")</f>
        <v/>
      </c>
      <c r="CG1610">
        <f>IFERROR(SUMIFS(T_TTAFStock[TTAF_Qty],T_TTAFStock[RM_Code],$A1586,T_TTAFStock[WeekIndex],81),"")</f>
        <v/>
      </c>
      <c r="CH1610">
        <f>IFERROR(SUMIFS(T_TTAFStock[TTAF_Qty],T_TTAFStock[RM_Code],$A1586,T_TTAFStock[WeekIndex],82),"")</f>
        <v/>
      </c>
      <c r="CI1610">
        <f>IFERROR(SUMIFS(T_TTAFStock[TTAF_Qty],T_TTAFStock[RM_Code],$A1586,T_TTAFStock[WeekIndex],83),"")</f>
        <v/>
      </c>
      <c r="CJ1610">
        <f>IFERROR(SUMIFS(T_TTAFStock[TTAF_Qty],T_TTAFStock[RM_Code],$A1586,T_TTAFStock[WeekIndex],84),"")</f>
        <v/>
      </c>
      <c r="CK1610">
        <f>IFERROR(SUMIFS(T_TTAFStock[TTAF_Qty],T_TTAFStock[RM_Code],$A1586,T_TTAFStock[WeekIndex],85),"")</f>
        <v/>
      </c>
      <c r="CL1610">
        <f>IFERROR(SUMIFS(T_TTAFStock[TTAF_Qty],T_TTAFStock[RM_Code],$A1586,T_TTAFStock[WeekIndex],86),"")</f>
        <v/>
      </c>
      <c r="CM1610">
        <f>IFERROR(SUMIFS(T_TTAFStock[TTAF_Qty],T_TTAFStock[RM_Code],$A1586,T_TTAFStock[WeekIndex],87),"")</f>
        <v/>
      </c>
      <c r="CN1610">
        <f>IFERROR(SUMIFS(T_TTAFStock[TTAF_Qty],T_TTAFStock[RM_Code],$A1586,T_TTAFStock[WeekIndex],88),"")</f>
        <v/>
      </c>
      <c r="CO1610">
        <f>IFERROR(SUMIFS(T_TTAFStock[TTAF_Qty],T_TTAFStock[RM_Code],$A1586,T_TTAFStock[WeekIndex],89),"")</f>
        <v/>
      </c>
      <c r="CP1610">
        <f>IFERROR(SUMIFS(T_TTAFStock[TTAF_Qty],T_TTAFStock[RM_Code],$A1586,T_TTAFStock[WeekIndex],90),"")</f>
        <v/>
      </c>
      <c r="CQ1610">
        <f>IFERROR(SUMIFS(T_TTAFStock[TTAF_Qty],T_TTAFStock[RM_Code],$A1586,T_TTAFStock[WeekIndex],91),"")</f>
        <v/>
      </c>
      <c r="CR1610">
        <f>IFERROR(SUMIFS(T_TTAFStock[TTAF_Qty],T_TTAFStock[RM_Code],$A1586,T_TTAFStock[WeekIndex],92),"")</f>
        <v/>
      </c>
      <c r="CS1610">
        <f>IFERROR(SUMIFS(T_TTAFStock[TTAF_Qty],T_TTAFStock[RM_Code],$A1586,T_TTAFStock[WeekIndex],93),"")</f>
        <v/>
      </c>
      <c r="CT1610">
        <f>IFERROR(SUMIFS(T_TTAFStock[TTAF_Qty],T_TTAFStock[RM_Code],$A1586,T_TTAFStock[WeekIndex],94),"")</f>
        <v/>
      </c>
      <c r="CU1610">
        <f>IFERROR(SUMIFS(T_TTAFStock[TTAF_Qty],T_TTAFStock[RM_Code],$A1586,T_TTAFStock[WeekIndex],95),"")</f>
        <v/>
      </c>
      <c r="CV1610">
        <f>IFERROR(SUMIFS(T_TTAFStock[TTAF_Qty],T_TTAFStock[RM_Code],$A1586,T_TTAFStock[WeekIndex],96),"")</f>
        <v/>
      </c>
      <c r="CW1610">
        <f>IFERROR(SUMIFS(T_TTAFStock[TTAF_Qty],T_TTAFStock[RM_Code],$A1586,T_TTAFStock[WeekIndex],97),"")</f>
        <v/>
      </c>
      <c r="CX1610">
        <f>IFERROR(SUMIFS(T_TTAFStock[TTAF_Qty],T_TTAFStock[RM_Code],$A1586,T_TTAFStock[WeekIndex],98),"")</f>
        <v/>
      </c>
      <c r="CY1610">
        <f>IFERROR(SUMIFS(T_TTAFStock[TTAF_Qty],T_TTAFStock[RM_Code],$A1586,T_TTAFStock[WeekIndex],99),"")</f>
        <v/>
      </c>
      <c r="CZ1610">
        <f>IFERROR(SUMIFS(T_TTAFStock[TTAF_Qty],T_TTAFStock[RM_Code],$A1586,T_TTAFStock[WeekIndex],100),"")</f>
        <v/>
      </c>
      <c r="DA1610">
        <f>IFERROR(SUMIFS(T_TTAFStock[TTAF_Qty],T_TTAFStock[RM_Code],$A1586,T_TTAFStock[WeekIndex],101),"")</f>
        <v/>
      </c>
      <c r="DB1610">
        <f>IFERROR(SUMIFS(T_TTAFStock[TTAF_Qty],T_TTAFStock[RM_Code],$A1586,T_TTAFStock[WeekIndex],102),"")</f>
        <v/>
      </c>
      <c r="DC1610">
        <f>IFERROR(SUMIFS(T_TTAFStock[TTAF_Qty],T_TTAFStock[RM_Code],$A1586,T_TTAFStock[WeekIndex],103),"")</f>
        <v/>
      </c>
      <c r="DD1610">
        <f>IFERROR(SUMIFS(T_TTAFStock[TTAF_Qty],T_TTAFStock[RM_Code],$A1586,T_TTAFStock[WeekIndex],104),"")</f>
        <v/>
      </c>
    </row>
    <row r="1611">
      <c r="B1611" t="inlineStr">
        <is>
          <t>自社在庫(実績,kg)</t>
        </is>
      </c>
      <c r="D1611">
        <f>IFERROR(INDEX(E1611:DD1611,$F$1),"")</f>
        <v/>
      </c>
      <c r="E1611">
        <f>IFERROR(SUMIFS(T_SelfStock[Self_Qty],T_SelfStock[RM_Code],$A1586,T_SelfStock[WeekIndex],1),"")</f>
        <v/>
      </c>
      <c r="F1611">
        <f>IFERROR(SUMIFS(T_SelfStock[Self_Qty],T_SelfStock[RM_Code],$A1586,T_SelfStock[WeekIndex],2),"")</f>
        <v/>
      </c>
      <c r="G1611">
        <f>IFERROR(SUMIFS(T_SelfStock[Self_Qty],T_SelfStock[RM_Code],$A1586,T_SelfStock[WeekIndex],3),"")</f>
        <v/>
      </c>
      <c r="H1611">
        <f>IFERROR(SUMIFS(T_SelfStock[Self_Qty],T_SelfStock[RM_Code],$A1586,T_SelfStock[WeekIndex],4),"")</f>
        <v/>
      </c>
      <c r="I1611">
        <f>IFERROR(SUMIFS(T_SelfStock[Self_Qty],T_SelfStock[RM_Code],$A1586,T_SelfStock[WeekIndex],5),"")</f>
        <v/>
      </c>
      <c r="J1611">
        <f>IFERROR(SUMIFS(T_SelfStock[Self_Qty],T_SelfStock[RM_Code],$A1586,T_SelfStock[WeekIndex],6),"")</f>
        <v/>
      </c>
      <c r="K1611">
        <f>IFERROR(SUMIFS(T_SelfStock[Self_Qty],T_SelfStock[RM_Code],$A1586,T_SelfStock[WeekIndex],7),"")</f>
        <v/>
      </c>
      <c r="L1611">
        <f>IFERROR(SUMIFS(T_SelfStock[Self_Qty],T_SelfStock[RM_Code],$A1586,T_SelfStock[WeekIndex],8),"")</f>
        <v/>
      </c>
      <c r="M1611">
        <f>IFERROR(SUMIFS(T_SelfStock[Self_Qty],T_SelfStock[RM_Code],$A1586,T_SelfStock[WeekIndex],9),"")</f>
        <v/>
      </c>
      <c r="N1611">
        <f>IFERROR(SUMIFS(T_SelfStock[Self_Qty],T_SelfStock[RM_Code],$A1586,T_SelfStock[WeekIndex],10),"")</f>
        <v/>
      </c>
      <c r="O1611">
        <f>IFERROR(SUMIFS(T_SelfStock[Self_Qty],T_SelfStock[RM_Code],$A1586,T_SelfStock[WeekIndex],11),"")</f>
        <v/>
      </c>
      <c r="P1611">
        <f>IFERROR(SUMIFS(T_SelfStock[Self_Qty],T_SelfStock[RM_Code],$A1586,T_SelfStock[WeekIndex],12),"")</f>
        <v/>
      </c>
      <c r="Q1611">
        <f>IFERROR(SUMIFS(T_SelfStock[Self_Qty],T_SelfStock[RM_Code],$A1586,T_SelfStock[WeekIndex],13),"")</f>
        <v/>
      </c>
      <c r="R1611">
        <f>IFERROR(SUMIFS(T_SelfStock[Self_Qty],T_SelfStock[RM_Code],$A1586,T_SelfStock[WeekIndex],14),"")</f>
        <v/>
      </c>
      <c r="S1611">
        <f>IFERROR(SUMIFS(T_SelfStock[Self_Qty],T_SelfStock[RM_Code],$A1586,T_SelfStock[WeekIndex],15),"")</f>
        <v/>
      </c>
      <c r="T1611">
        <f>IFERROR(SUMIFS(T_SelfStock[Self_Qty],T_SelfStock[RM_Code],$A1586,T_SelfStock[WeekIndex],16),"")</f>
        <v/>
      </c>
      <c r="U1611">
        <f>IFERROR(SUMIFS(T_SelfStock[Self_Qty],T_SelfStock[RM_Code],$A1586,T_SelfStock[WeekIndex],17),"")</f>
        <v/>
      </c>
      <c r="V1611">
        <f>IFERROR(SUMIFS(T_SelfStock[Self_Qty],T_SelfStock[RM_Code],$A1586,T_SelfStock[WeekIndex],18),"")</f>
        <v/>
      </c>
      <c r="W1611">
        <f>IFERROR(SUMIFS(T_SelfStock[Self_Qty],T_SelfStock[RM_Code],$A1586,T_SelfStock[WeekIndex],19),"")</f>
        <v/>
      </c>
      <c r="X1611">
        <f>IFERROR(SUMIFS(T_SelfStock[Self_Qty],T_SelfStock[RM_Code],$A1586,T_SelfStock[WeekIndex],20),"")</f>
        <v/>
      </c>
      <c r="Y1611">
        <f>IFERROR(SUMIFS(T_SelfStock[Self_Qty],T_SelfStock[RM_Code],$A1586,T_SelfStock[WeekIndex],21),"")</f>
        <v/>
      </c>
      <c r="Z1611">
        <f>IFERROR(SUMIFS(T_SelfStock[Self_Qty],T_SelfStock[RM_Code],$A1586,T_SelfStock[WeekIndex],22),"")</f>
        <v/>
      </c>
      <c r="AA1611">
        <f>IFERROR(SUMIFS(T_SelfStock[Self_Qty],T_SelfStock[RM_Code],$A1586,T_SelfStock[WeekIndex],23),"")</f>
        <v/>
      </c>
      <c r="AB1611">
        <f>IFERROR(SUMIFS(T_SelfStock[Self_Qty],T_SelfStock[RM_Code],$A1586,T_SelfStock[WeekIndex],24),"")</f>
        <v/>
      </c>
      <c r="AC1611">
        <f>IFERROR(SUMIFS(T_SelfStock[Self_Qty],T_SelfStock[RM_Code],$A1586,T_SelfStock[WeekIndex],25),"")</f>
        <v/>
      </c>
      <c r="AD1611">
        <f>IFERROR(SUMIFS(T_SelfStock[Self_Qty],T_SelfStock[RM_Code],$A1586,T_SelfStock[WeekIndex],26),"")</f>
        <v/>
      </c>
      <c r="AE1611">
        <f>IFERROR(SUMIFS(T_SelfStock[Self_Qty],T_SelfStock[RM_Code],$A1586,T_SelfStock[WeekIndex],27),"")</f>
        <v/>
      </c>
      <c r="AF1611">
        <f>IFERROR(SUMIFS(T_SelfStock[Self_Qty],T_SelfStock[RM_Code],$A1586,T_SelfStock[WeekIndex],28),"")</f>
        <v/>
      </c>
      <c r="AG1611">
        <f>IFERROR(SUMIFS(T_SelfStock[Self_Qty],T_SelfStock[RM_Code],$A1586,T_SelfStock[WeekIndex],29),"")</f>
        <v/>
      </c>
      <c r="AH1611">
        <f>IFERROR(SUMIFS(T_SelfStock[Self_Qty],T_SelfStock[RM_Code],$A1586,T_SelfStock[WeekIndex],30),"")</f>
        <v/>
      </c>
      <c r="AI1611">
        <f>IFERROR(SUMIFS(T_SelfStock[Self_Qty],T_SelfStock[RM_Code],$A1586,T_SelfStock[WeekIndex],31),"")</f>
        <v/>
      </c>
      <c r="AJ1611">
        <f>IFERROR(SUMIFS(T_SelfStock[Self_Qty],T_SelfStock[RM_Code],$A1586,T_SelfStock[WeekIndex],32),"")</f>
        <v/>
      </c>
      <c r="AK1611">
        <f>IFERROR(SUMIFS(T_SelfStock[Self_Qty],T_SelfStock[RM_Code],$A1586,T_SelfStock[WeekIndex],33),"")</f>
        <v/>
      </c>
      <c r="AL1611">
        <f>IFERROR(SUMIFS(T_SelfStock[Self_Qty],T_SelfStock[RM_Code],$A1586,T_SelfStock[WeekIndex],34),"")</f>
        <v/>
      </c>
      <c r="AM1611">
        <f>IFERROR(SUMIFS(T_SelfStock[Self_Qty],T_SelfStock[RM_Code],$A1586,T_SelfStock[WeekIndex],35),"")</f>
        <v/>
      </c>
      <c r="AN1611">
        <f>IFERROR(SUMIFS(T_SelfStock[Self_Qty],T_SelfStock[RM_Code],$A1586,T_SelfStock[WeekIndex],36),"")</f>
        <v/>
      </c>
      <c r="AO1611">
        <f>IFERROR(SUMIFS(T_SelfStock[Self_Qty],T_SelfStock[RM_Code],$A1586,T_SelfStock[WeekIndex],37),"")</f>
        <v/>
      </c>
      <c r="AP1611">
        <f>IFERROR(SUMIFS(T_SelfStock[Self_Qty],T_SelfStock[RM_Code],$A1586,T_SelfStock[WeekIndex],38),"")</f>
        <v/>
      </c>
      <c r="AQ1611">
        <f>IFERROR(SUMIFS(T_SelfStock[Self_Qty],T_SelfStock[RM_Code],$A1586,T_SelfStock[WeekIndex],39),"")</f>
        <v/>
      </c>
      <c r="AR1611">
        <f>IFERROR(SUMIFS(T_SelfStock[Self_Qty],T_SelfStock[RM_Code],$A1586,T_SelfStock[WeekIndex],40),"")</f>
        <v/>
      </c>
      <c r="AS1611">
        <f>IFERROR(SUMIFS(T_SelfStock[Self_Qty],T_SelfStock[RM_Code],$A1586,T_SelfStock[WeekIndex],41),"")</f>
        <v/>
      </c>
      <c r="AT1611">
        <f>IFERROR(SUMIFS(T_SelfStock[Self_Qty],T_SelfStock[RM_Code],$A1586,T_SelfStock[WeekIndex],42),"")</f>
        <v/>
      </c>
      <c r="AU1611">
        <f>IFERROR(SUMIFS(T_SelfStock[Self_Qty],T_SelfStock[RM_Code],$A1586,T_SelfStock[WeekIndex],43),"")</f>
        <v/>
      </c>
      <c r="AV1611">
        <f>IFERROR(SUMIFS(T_SelfStock[Self_Qty],T_SelfStock[RM_Code],$A1586,T_SelfStock[WeekIndex],44),"")</f>
        <v/>
      </c>
      <c r="AW1611">
        <f>IFERROR(SUMIFS(T_SelfStock[Self_Qty],T_SelfStock[RM_Code],$A1586,T_SelfStock[WeekIndex],45),"")</f>
        <v/>
      </c>
      <c r="AX1611">
        <f>IFERROR(SUMIFS(T_SelfStock[Self_Qty],T_SelfStock[RM_Code],$A1586,T_SelfStock[WeekIndex],46),"")</f>
        <v/>
      </c>
      <c r="AY1611">
        <f>IFERROR(SUMIFS(T_SelfStock[Self_Qty],T_SelfStock[RM_Code],$A1586,T_SelfStock[WeekIndex],47),"")</f>
        <v/>
      </c>
      <c r="AZ1611">
        <f>IFERROR(SUMIFS(T_SelfStock[Self_Qty],T_SelfStock[RM_Code],$A1586,T_SelfStock[WeekIndex],48),"")</f>
        <v/>
      </c>
      <c r="BA1611">
        <f>IFERROR(SUMIFS(T_SelfStock[Self_Qty],T_SelfStock[RM_Code],$A1586,T_SelfStock[WeekIndex],49),"")</f>
        <v/>
      </c>
      <c r="BB1611">
        <f>IFERROR(SUMIFS(T_SelfStock[Self_Qty],T_SelfStock[RM_Code],$A1586,T_SelfStock[WeekIndex],50),"")</f>
        <v/>
      </c>
      <c r="BC1611">
        <f>IFERROR(SUMIFS(T_SelfStock[Self_Qty],T_SelfStock[RM_Code],$A1586,T_SelfStock[WeekIndex],51),"")</f>
        <v/>
      </c>
      <c r="BD1611">
        <f>IFERROR(SUMIFS(T_SelfStock[Self_Qty],T_SelfStock[RM_Code],$A1586,T_SelfStock[WeekIndex],52),"")</f>
        <v/>
      </c>
      <c r="BE1611">
        <f>IFERROR(SUMIFS(T_SelfStock[Self_Qty],T_SelfStock[RM_Code],$A1586,T_SelfStock[WeekIndex],53),"")</f>
        <v/>
      </c>
      <c r="BF1611">
        <f>IFERROR(SUMIFS(T_SelfStock[Self_Qty],T_SelfStock[RM_Code],$A1586,T_SelfStock[WeekIndex],54),"")</f>
        <v/>
      </c>
      <c r="BG1611">
        <f>IFERROR(SUMIFS(T_SelfStock[Self_Qty],T_SelfStock[RM_Code],$A1586,T_SelfStock[WeekIndex],55),"")</f>
        <v/>
      </c>
      <c r="BH1611">
        <f>IFERROR(SUMIFS(T_SelfStock[Self_Qty],T_SelfStock[RM_Code],$A1586,T_SelfStock[WeekIndex],56),"")</f>
        <v/>
      </c>
      <c r="BI1611">
        <f>IFERROR(SUMIFS(T_SelfStock[Self_Qty],T_SelfStock[RM_Code],$A1586,T_SelfStock[WeekIndex],57),"")</f>
        <v/>
      </c>
      <c r="BJ1611">
        <f>IFERROR(SUMIFS(T_SelfStock[Self_Qty],T_SelfStock[RM_Code],$A1586,T_SelfStock[WeekIndex],58),"")</f>
        <v/>
      </c>
      <c r="BK1611">
        <f>IFERROR(SUMIFS(T_SelfStock[Self_Qty],T_SelfStock[RM_Code],$A1586,T_SelfStock[WeekIndex],59),"")</f>
        <v/>
      </c>
      <c r="BL1611">
        <f>IFERROR(SUMIFS(T_SelfStock[Self_Qty],T_SelfStock[RM_Code],$A1586,T_SelfStock[WeekIndex],60),"")</f>
        <v/>
      </c>
      <c r="BM1611">
        <f>IFERROR(SUMIFS(T_SelfStock[Self_Qty],T_SelfStock[RM_Code],$A1586,T_SelfStock[WeekIndex],61),"")</f>
        <v/>
      </c>
      <c r="BN1611">
        <f>IFERROR(SUMIFS(T_SelfStock[Self_Qty],T_SelfStock[RM_Code],$A1586,T_SelfStock[WeekIndex],62),"")</f>
        <v/>
      </c>
      <c r="BO1611">
        <f>IFERROR(SUMIFS(T_SelfStock[Self_Qty],T_SelfStock[RM_Code],$A1586,T_SelfStock[WeekIndex],63),"")</f>
        <v/>
      </c>
      <c r="BP1611">
        <f>IFERROR(SUMIFS(T_SelfStock[Self_Qty],T_SelfStock[RM_Code],$A1586,T_SelfStock[WeekIndex],64),"")</f>
        <v/>
      </c>
      <c r="BQ1611">
        <f>IFERROR(SUMIFS(T_SelfStock[Self_Qty],T_SelfStock[RM_Code],$A1586,T_SelfStock[WeekIndex],65),"")</f>
        <v/>
      </c>
      <c r="BR1611">
        <f>IFERROR(SUMIFS(T_SelfStock[Self_Qty],T_SelfStock[RM_Code],$A1586,T_SelfStock[WeekIndex],66),"")</f>
        <v/>
      </c>
      <c r="BS1611">
        <f>IFERROR(SUMIFS(T_SelfStock[Self_Qty],T_SelfStock[RM_Code],$A1586,T_SelfStock[WeekIndex],67),"")</f>
        <v/>
      </c>
      <c r="BT1611">
        <f>IFERROR(SUMIFS(T_SelfStock[Self_Qty],T_SelfStock[RM_Code],$A1586,T_SelfStock[WeekIndex],68),"")</f>
        <v/>
      </c>
      <c r="BU1611">
        <f>IFERROR(SUMIFS(T_SelfStock[Self_Qty],T_SelfStock[RM_Code],$A1586,T_SelfStock[WeekIndex],69),"")</f>
        <v/>
      </c>
      <c r="BV1611">
        <f>IFERROR(SUMIFS(T_SelfStock[Self_Qty],T_SelfStock[RM_Code],$A1586,T_SelfStock[WeekIndex],70),"")</f>
        <v/>
      </c>
      <c r="BW1611">
        <f>IFERROR(SUMIFS(T_SelfStock[Self_Qty],T_SelfStock[RM_Code],$A1586,T_SelfStock[WeekIndex],71),"")</f>
        <v/>
      </c>
      <c r="BX1611">
        <f>IFERROR(SUMIFS(T_SelfStock[Self_Qty],T_SelfStock[RM_Code],$A1586,T_SelfStock[WeekIndex],72),"")</f>
        <v/>
      </c>
      <c r="BY1611">
        <f>IFERROR(SUMIFS(T_SelfStock[Self_Qty],T_SelfStock[RM_Code],$A1586,T_SelfStock[WeekIndex],73),"")</f>
        <v/>
      </c>
      <c r="BZ1611">
        <f>IFERROR(SUMIFS(T_SelfStock[Self_Qty],T_SelfStock[RM_Code],$A1586,T_SelfStock[WeekIndex],74),"")</f>
        <v/>
      </c>
      <c r="CA1611">
        <f>IFERROR(SUMIFS(T_SelfStock[Self_Qty],T_SelfStock[RM_Code],$A1586,T_SelfStock[WeekIndex],75),"")</f>
        <v/>
      </c>
      <c r="CB1611">
        <f>IFERROR(SUMIFS(T_SelfStock[Self_Qty],T_SelfStock[RM_Code],$A1586,T_SelfStock[WeekIndex],76),"")</f>
        <v/>
      </c>
      <c r="CC1611">
        <f>IFERROR(SUMIFS(T_SelfStock[Self_Qty],T_SelfStock[RM_Code],$A1586,T_SelfStock[WeekIndex],77),"")</f>
        <v/>
      </c>
      <c r="CD1611">
        <f>IFERROR(SUMIFS(T_SelfStock[Self_Qty],T_SelfStock[RM_Code],$A1586,T_SelfStock[WeekIndex],78),"")</f>
        <v/>
      </c>
      <c r="CE1611">
        <f>IFERROR(SUMIFS(T_SelfStock[Self_Qty],T_SelfStock[RM_Code],$A1586,T_SelfStock[WeekIndex],79),"")</f>
        <v/>
      </c>
      <c r="CF1611">
        <f>IFERROR(SUMIFS(T_SelfStock[Self_Qty],T_SelfStock[RM_Code],$A1586,T_SelfStock[WeekIndex],80),"")</f>
        <v/>
      </c>
      <c r="CG1611">
        <f>IFERROR(SUMIFS(T_SelfStock[Self_Qty],T_SelfStock[RM_Code],$A1586,T_SelfStock[WeekIndex],81),"")</f>
        <v/>
      </c>
      <c r="CH1611">
        <f>IFERROR(SUMIFS(T_SelfStock[Self_Qty],T_SelfStock[RM_Code],$A1586,T_SelfStock[WeekIndex],82),"")</f>
        <v/>
      </c>
      <c r="CI1611">
        <f>IFERROR(SUMIFS(T_SelfStock[Self_Qty],T_SelfStock[RM_Code],$A1586,T_SelfStock[WeekIndex],83),"")</f>
        <v/>
      </c>
      <c r="CJ1611">
        <f>IFERROR(SUMIFS(T_SelfStock[Self_Qty],T_SelfStock[RM_Code],$A1586,T_SelfStock[WeekIndex],84),"")</f>
        <v/>
      </c>
      <c r="CK1611">
        <f>IFERROR(SUMIFS(T_SelfStock[Self_Qty],T_SelfStock[RM_Code],$A1586,T_SelfStock[WeekIndex],85),"")</f>
        <v/>
      </c>
      <c r="CL1611">
        <f>IFERROR(SUMIFS(T_SelfStock[Self_Qty],T_SelfStock[RM_Code],$A1586,T_SelfStock[WeekIndex],86),"")</f>
        <v/>
      </c>
      <c r="CM1611">
        <f>IFERROR(SUMIFS(T_SelfStock[Self_Qty],T_SelfStock[RM_Code],$A1586,T_SelfStock[WeekIndex],87),"")</f>
        <v/>
      </c>
      <c r="CN1611">
        <f>IFERROR(SUMIFS(T_SelfStock[Self_Qty],T_SelfStock[RM_Code],$A1586,T_SelfStock[WeekIndex],88),"")</f>
        <v/>
      </c>
      <c r="CO1611">
        <f>IFERROR(SUMIFS(T_SelfStock[Self_Qty],T_SelfStock[RM_Code],$A1586,T_SelfStock[WeekIndex],89),"")</f>
        <v/>
      </c>
      <c r="CP1611">
        <f>IFERROR(SUMIFS(T_SelfStock[Self_Qty],T_SelfStock[RM_Code],$A1586,T_SelfStock[WeekIndex],90),"")</f>
        <v/>
      </c>
      <c r="CQ1611">
        <f>IFERROR(SUMIFS(T_SelfStock[Self_Qty],T_SelfStock[RM_Code],$A1586,T_SelfStock[WeekIndex],91),"")</f>
        <v/>
      </c>
      <c r="CR1611">
        <f>IFERROR(SUMIFS(T_SelfStock[Self_Qty],T_SelfStock[RM_Code],$A1586,T_SelfStock[WeekIndex],92),"")</f>
        <v/>
      </c>
      <c r="CS1611">
        <f>IFERROR(SUMIFS(T_SelfStock[Self_Qty],T_SelfStock[RM_Code],$A1586,T_SelfStock[WeekIndex],93),"")</f>
        <v/>
      </c>
      <c r="CT1611">
        <f>IFERROR(SUMIFS(T_SelfStock[Self_Qty],T_SelfStock[RM_Code],$A1586,T_SelfStock[WeekIndex],94),"")</f>
        <v/>
      </c>
      <c r="CU1611">
        <f>IFERROR(SUMIFS(T_SelfStock[Self_Qty],T_SelfStock[RM_Code],$A1586,T_SelfStock[WeekIndex],95),"")</f>
        <v/>
      </c>
      <c r="CV1611">
        <f>IFERROR(SUMIFS(T_SelfStock[Self_Qty],T_SelfStock[RM_Code],$A1586,T_SelfStock[WeekIndex],96),"")</f>
        <v/>
      </c>
      <c r="CW1611">
        <f>IFERROR(SUMIFS(T_SelfStock[Self_Qty],T_SelfStock[RM_Code],$A1586,T_SelfStock[WeekIndex],97),"")</f>
        <v/>
      </c>
      <c r="CX1611">
        <f>IFERROR(SUMIFS(T_SelfStock[Self_Qty],T_SelfStock[RM_Code],$A1586,T_SelfStock[WeekIndex],98),"")</f>
        <v/>
      </c>
      <c r="CY1611">
        <f>IFERROR(SUMIFS(T_SelfStock[Self_Qty],T_SelfStock[RM_Code],$A1586,T_SelfStock[WeekIndex],99),"")</f>
        <v/>
      </c>
      <c r="CZ1611">
        <f>IFERROR(SUMIFS(T_SelfStock[Self_Qty],T_SelfStock[RM_Code],$A1586,T_SelfStock[WeekIndex],100),"")</f>
        <v/>
      </c>
      <c r="DA1611">
        <f>IFERROR(SUMIFS(T_SelfStock[Self_Qty],T_SelfStock[RM_Code],$A1586,T_SelfStock[WeekIndex],101),"")</f>
        <v/>
      </c>
      <c r="DB1611">
        <f>IFERROR(SUMIFS(T_SelfStock[Self_Qty],T_SelfStock[RM_Code],$A1586,T_SelfStock[WeekIndex],102),"")</f>
        <v/>
      </c>
      <c r="DC1611">
        <f>IFERROR(SUMIFS(T_SelfStock[Self_Qty],T_SelfStock[RM_Code],$A1586,T_SelfStock[WeekIndex],103),"")</f>
        <v/>
      </c>
      <c r="DD1611">
        <f>IFERROR(SUMIFS(T_SelfStock[Self_Qty],T_SelfStock[RM_Code],$A1586,T_SelfStock[WeekIndex],104),"")</f>
        <v/>
      </c>
    </row>
    <row r="1612">
      <c r="B1612" s="4" t="inlineStr">
        <is>
          <t>合計在庫(週末時点,kg)</t>
        </is>
      </c>
      <c r="D1612" s="24">
        <f>IFERROR(INDEX(E1612:DD1612,$F$1),"")</f>
        <v/>
      </c>
      <c r="E1612">
        <f>'Grid_Stock'!B37</f>
        <v/>
      </c>
      <c r="F1612">
        <f>'Grid_Stock'!C37</f>
        <v/>
      </c>
      <c r="G1612">
        <f>'Grid_Stock'!D37</f>
        <v/>
      </c>
      <c r="H1612">
        <f>'Grid_Stock'!E37</f>
        <v/>
      </c>
      <c r="I1612">
        <f>'Grid_Stock'!F37</f>
        <v/>
      </c>
      <c r="J1612">
        <f>'Grid_Stock'!G37</f>
        <v/>
      </c>
      <c r="K1612">
        <f>'Grid_Stock'!H37</f>
        <v/>
      </c>
      <c r="L1612">
        <f>'Grid_Stock'!I37</f>
        <v/>
      </c>
      <c r="M1612">
        <f>'Grid_Stock'!J37</f>
        <v/>
      </c>
      <c r="N1612">
        <f>'Grid_Stock'!K37</f>
        <v/>
      </c>
      <c r="O1612">
        <f>'Grid_Stock'!L37</f>
        <v/>
      </c>
      <c r="P1612">
        <f>'Grid_Stock'!M37</f>
        <v/>
      </c>
      <c r="Q1612">
        <f>'Grid_Stock'!N37</f>
        <v/>
      </c>
      <c r="R1612">
        <f>'Grid_Stock'!O37</f>
        <v/>
      </c>
      <c r="S1612">
        <f>'Grid_Stock'!P37</f>
        <v/>
      </c>
      <c r="T1612">
        <f>'Grid_Stock'!Q37</f>
        <v/>
      </c>
      <c r="U1612">
        <f>'Grid_Stock'!R37</f>
        <v/>
      </c>
      <c r="V1612">
        <f>'Grid_Stock'!S37</f>
        <v/>
      </c>
      <c r="W1612">
        <f>'Grid_Stock'!T37</f>
        <v/>
      </c>
      <c r="X1612">
        <f>'Grid_Stock'!U37</f>
        <v/>
      </c>
      <c r="Y1612">
        <f>'Grid_Stock'!V37</f>
        <v/>
      </c>
      <c r="Z1612">
        <f>'Grid_Stock'!W37</f>
        <v/>
      </c>
      <c r="AA1612">
        <f>'Grid_Stock'!X37</f>
        <v/>
      </c>
      <c r="AB1612">
        <f>'Grid_Stock'!Y37</f>
        <v/>
      </c>
      <c r="AC1612">
        <f>'Grid_Stock'!Z37</f>
        <v/>
      </c>
      <c r="AD1612">
        <f>'Grid_Stock'!AA37</f>
        <v/>
      </c>
      <c r="AE1612">
        <f>'Grid_Stock'!AB37</f>
        <v/>
      </c>
      <c r="AF1612">
        <f>'Grid_Stock'!AC37</f>
        <v/>
      </c>
      <c r="AG1612">
        <f>'Grid_Stock'!AD37</f>
        <v/>
      </c>
      <c r="AH1612">
        <f>'Grid_Stock'!AE37</f>
        <v/>
      </c>
      <c r="AI1612">
        <f>'Grid_Stock'!AF37</f>
        <v/>
      </c>
      <c r="AJ1612">
        <f>'Grid_Stock'!AG37</f>
        <v/>
      </c>
      <c r="AK1612">
        <f>'Grid_Stock'!AH37</f>
        <v/>
      </c>
      <c r="AL1612">
        <f>'Grid_Stock'!AI37</f>
        <v/>
      </c>
      <c r="AM1612">
        <f>'Grid_Stock'!AJ37</f>
        <v/>
      </c>
      <c r="AN1612">
        <f>'Grid_Stock'!AK37</f>
        <v/>
      </c>
      <c r="AO1612">
        <f>'Grid_Stock'!AL37</f>
        <v/>
      </c>
      <c r="AP1612">
        <f>'Grid_Stock'!AM37</f>
        <v/>
      </c>
      <c r="AQ1612">
        <f>'Grid_Stock'!AN37</f>
        <v/>
      </c>
      <c r="AR1612">
        <f>'Grid_Stock'!AO37</f>
        <v/>
      </c>
      <c r="AS1612">
        <f>'Grid_Stock'!AP37</f>
        <v/>
      </c>
      <c r="AT1612">
        <f>'Grid_Stock'!AQ37</f>
        <v/>
      </c>
      <c r="AU1612">
        <f>'Grid_Stock'!AR37</f>
        <v/>
      </c>
      <c r="AV1612">
        <f>'Grid_Stock'!AS37</f>
        <v/>
      </c>
      <c r="AW1612">
        <f>'Grid_Stock'!AT37</f>
        <v/>
      </c>
      <c r="AX1612">
        <f>'Grid_Stock'!AU37</f>
        <v/>
      </c>
      <c r="AY1612">
        <f>'Grid_Stock'!AV37</f>
        <v/>
      </c>
      <c r="AZ1612">
        <f>'Grid_Stock'!AW37</f>
        <v/>
      </c>
      <c r="BA1612">
        <f>'Grid_Stock'!AX37</f>
        <v/>
      </c>
      <c r="BB1612">
        <f>'Grid_Stock'!AY37</f>
        <v/>
      </c>
      <c r="BC1612">
        <f>'Grid_Stock'!AZ37</f>
        <v/>
      </c>
      <c r="BD1612">
        <f>'Grid_Stock'!BA37</f>
        <v/>
      </c>
      <c r="BE1612">
        <f>'Grid_Stock'!BB37</f>
        <v/>
      </c>
      <c r="BF1612">
        <f>'Grid_Stock'!BC37</f>
        <v/>
      </c>
      <c r="BG1612">
        <f>'Grid_Stock'!BD37</f>
        <v/>
      </c>
      <c r="BH1612">
        <f>'Grid_Stock'!BE37</f>
        <v/>
      </c>
      <c r="BI1612">
        <f>'Grid_Stock'!BF37</f>
        <v/>
      </c>
      <c r="BJ1612">
        <f>'Grid_Stock'!BG37</f>
        <v/>
      </c>
      <c r="BK1612">
        <f>'Grid_Stock'!BH37</f>
        <v/>
      </c>
      <c r="BL1612">
        <f>'Grid_Stock'!BI37</f>
        <v/>
      </c>
      <c r="BM1612">
        <f>'Grid_Stock'!BJ37</f>
        <v/>
      </c>
      <c r="BN1612">
        <f>'Grid_Stock'!BK37</f>
        <v/>
      </c>
      <c r="BO1612">
        <f>'Grid_Stock'!BL37</f>
        <v/>
      </c>
      <c r="BP1612">
        <f>'Grid_Stock'!BM37</f>
        <v/>
      </c>
      <c r="BQ1612">
        <f>'Grid_Stock'!BN37</f>
        <v/>
      </c>
      <c r="BR1612">
        <f>'Grid_Stock'!BO37</f>
        <v/>
      </c>
      <c r="BS1612">
        <f>'Grid_Stock'!BP37</f>
        <v/>
      </c>
      <c r="BT1612">
        <f>'Grid_Stock'!BQ37</f>
        <v/>
      </c>
      <c r="BU1612">
        <f>'Grid_Stock'!BR37</f>
        <v/>
      </c>
      <c r="BV1612">
        <f>'Grid_Stock'!BS37</f>
        <v/>
      </c>
      <c r="BW1612">
        <f>'Grid_Stock'!BT37</f>
        <v/>
      </c>
      <c r="BX1612">
        <f>'Grid_Stock'!BU37</f>
        <v/>
      </c>
      <c r="BY1612">
        <f>'Grid_Stock'!BV37</f>
        <v/>
      </c>
      <c r="BZ1612">
        <f>'Grid_Stock'!BW37</f>
        <v/>
      </c>
      <c r="CA1612">
        <f>'Grid_Stock'!BX37</f>
        <v/>
      </c>
      <c r="CB1612">
        <f>'Grid_Stock'!BY37</f>
        <v/>
      </c>
      <c r="CC1612">
        <f>'Grid_Stock'!BZ37</f>
        <v/>
      </c>
      <c r="CD1612">
        <f>'Grid_Stock'!CA37</f>
        <v/>
      </c>
      <c r="CE1612">
        <f>'Grid_Stock'!CB37</f>
        <v/>
      </c>
      <c r="CF1612">
        <f>'Grid_Stock'!CC37</f>
        <v/>
      </c>
      <c r="CG1612">
        <f>'Grid_Stock'!CD37</f>
        <v/>
      </c>
      <c r="CH1612">
        <f>'Grid_Stock'!CE37</f>
        <v/>
      </c>
      <c r="CI1612">
        <f>'Grid_Stock'!CF37</f>
        <v/>
      </c>
      <c r="CJ1612">
        <f>'Grid_Stock'!CG37</f>
        <v/>
      </c>
      <c r="CK1612">
        <f>'Grid_Stock'!CH37</f>
        <v/>
      </c>
      <c r="CL1612">
        <f>'Grid_Stock'!CI37</f>
        <v/>
      </c>
      <c r="CM1612">
        <f>'Grid_Stock'!CJ37</f>
        <v/>
      </c>
      <c r="CN1612">
        <f>'Grid_Stock'!CK37</f>
        <v/>
      </c>
      <c r="CO1612">
        <f>'Grid_Stock'!CL37</f>
        <v/>
      </c>
      <c r="CP1612">
        <f>'Grid_Stock'!CM37</f>
        <v/>
      </c>
      <c r="CQ1612">
        <f>'Grid_Stock'!CN37</f>
        <v/>
      </c>
      <c r="CR1612">
        <f>'Grid_Stock'!CO37</f>
        <v/>
      </c>
      <c r="CS1612">
        <f>'Grid_Stock'!CP37</f>
        <v/>
      </c>
      <c r="CT1612">
        <f>'Grid_Stock'!CQ37</f>
        <v/>
      </c>
      <c r="CU1612">
        <f>'Grid_Stock'!CR37</f>
        <v/>
      </c>
      <c r="CV1612">
        <f>'Grid_Stock'!CS37</f>
        <v/>
      </c>
      <c r="CW1612">
        <f>'Grid_Stock'!CT37</f>
        <v/>
      </c>
      <c r="CX1612">
        <f>'Grid_Stock'!CU37</f>
        <v/>
      </c>
      <c r="CY1612">
        <f>'Grid_Stock'!CV37</f>
        <v/>
      </c>
      <c r="CZ1612">
        <f>'Grid_Stock'!CW37</f>
        <v/>
      </c>
      <c r="DA1612">
        <f>'Grid_Stock'!CX37</f>
        <v/>
      </c>
      <c r="DB1612">
        <f>'Grid_Stock'!CY37</f>
        <v/>
      </c>
      <c r="DC1612">
        <f>'Grid_Stock'!CZ37</f>
        <v/>
      </c>
      <c r="DD1612">
        <f>'Grid_Stock'!DA37</f>
        <v/>
      </c>
    </row>
    <row r="1613">
      <c r="B1613" s="25" t="inlineStr">
        <is>
          <t>（発注の目安はDashboardの基準在庫[下限/上限]と色分けを参照）</t>
        </is>
      </c>
    </row>
    <row r="1615">
      <c r="A1615" s="21" t="inlineStr">
        <is>
          <t>CHEM-1730</t>
        </is>
      </c>
      <c r="B1615" s="21" t="inlineStr">
        <is>
          <t>NAT-41</t>
        </is>
      </c>
      <c r="C1615" s="22" t="n"/>
      <c r="D1615" s="21" t="n"/>
      <c r="E1615" s="21" t="n"/>
      <c r="F1615" s="21" t="n"/>
      <c r="G1615" s="21" t="n"/>
      <c r="H1615" s="21" t="n"/>
      <c r="I1615" s="21" t="n"/>
      <c r="J1615" s="21" t="n"/>
      <c r="K1615" s="21" t="n"/>
      <c r="L1615" s="21" t="n"/>
      <c r="M1615" s="21" t="n"/>
      <c r="N1615" s="21" t="n"/>
      <c r="O1615" s="21" t="n"/>
      <c r="P1615" s="21" t="n"/>
      <c r="Q1615" s="21" t="n"/>
      <c r="R1615" s="21" t="n"/>
      <c r="S1615" s="21" t="n"/>
      <c r="T1615" s="21" t="n"/>
      <c r="U1615" s="21" t="n"/>
      <c r="V1615" s="21" t="n"/>
      <c r="W1615" s="21" t="n"/>
      <c r="X1615" s="21" t="n"/>
      <c r="Y1615" s="21" t="n"/>
      <c r="Z1615" s="21" t="n"/>
      <c r="AA1615" s="21" t="n"/>
      <c r="AB1615" s="21" t="n"/>
      <c r="AC1615" s="21" t="n"/>
      <c r="AD1615" s="21" t="n"/>
      <c r="AE1615" s="21" t="n"/>
      <c r="AF1615" s="21" t="n"/>
      <c r="AG1615" s="21" t="n"/>
      <c r="AH1615" s="21" t="n"/>
      <c r="AI1615" s="21" t="n"/>
      <c r="AJ1615" s="21" t="n"/>
      <c r="AK1615" s="21" t="n"/>
      <c r="AL1615" s="21" t="n"/>
      <c r="AM1615" s="21" t="n"/>
      <c r="AN1615" s="21" t="n"/>
      <c r="AO1615" s="21" t="n"/>
      <c r="AP1615" s="21" t="n"/>
      <c r="AQ1615" s="21" t="n"/>
      <c r="AR1615" s="21" t="n"/>
      <c r="AS1615" s="21" t="n"/>
      <c r="AT1615" s="21" t="n"/>
      <c r="AU1615" s="21" t="n"/>
      <c r="AV1615" s="21" t="n"/>
      <c r="AW1615" s="21" t="n"/>
      <c r="AX1615" s="21" t="n"/>
      <c r="AY1615" s="21" t="n"/>
      <c r="AZ1615" s="21" t="n"/>
      <c r="BA1615" s="21" t="n"/>
      <c r="BB1615" s="21" t="n"/>
      <c r="BC1615" s="21" t="n"/>
      <c r="BD1615" s="21" t="n"/>
      <c r="BE1615" s="21" t="n"/>
      <c r="BF1615" s="21" t="n"/>
      <c r="BG1615" s="21" t="n"/>
      <c r="BH1615" s="21" t="n"/>
      <c r="BI1615" s="21" t="n"/>
      <c r="BJ1615" s="21" t="n"/>
      <c r="BK1615" s="21" t="n"/>
      <c r="BL1615" s="21" t="n"/>
      <c r="BM1615" s="21" t="n"/>
      <c r="BN1615" s="21" t="n"/>
      <c r="BO1615" s="21" t="n"/>
      <c r="BP1615" s="21" t="n"/>
      <c r="BQ1615" s="21" t="n"/>
      <c r="BR1615" s="21" t="n"/>
      <c r="BS1615" s="21" t="n"/>
      <c r="BT1615" s="21" t="n"/>
      <c r="BU1615" s="21" t="n"/>
      <c r="BV1615" s="21" t="n"/>
      <c r="BW1615" s="21" t="n"/>
      <c r="BX1615" s="21" t="n"/>
      <c r="BY1615" s="21" t="n"/>
      <c r="BZ1615" s="21" t="n"/>
      <c r="CA1615" s="21" t="n"/>
      <c r="CB1615" s="21" t="n"/>
      <c r="CC1615" s="21" t="n"/>
      <c r="CD1615" s="21" t="n"/>
      <c r="CE1615" s="21" t="n"/>
      <c r="CF1615" s="21" t="n"/>
      <c r="CG1615" s="21" t="n"/>
      <c r="CH1615" s="21" t="n"/>
      <c r="CI1615" s="21" t="n"/>
      <c r="CJ1615" s="21" t="n"/>
      <c r="CK1615" s="21" t="n"/>
      <c r="CL1615" s="21" t="n"/>
      <c r="CM1615" s="21" t="n"/>
      <c r="CN1615" s="21" t="n"/>
      <c r="CO1615" s="21" t="n"/>
      <c r="CP1615" s="21" t="n"/>
      <c r="CQ1615" s="21" t="n"/>
      <c r="CR1615" s="21" t="n"/>
      <c r="CS1615" s="21" t="n"/>
      <c r="CT1615" s="21" t="n"/>
      <c r="CU1615" s="21" t="n"/>
      <c r="CV1615" s="21" t="n"/>
      <c r="CW1615" s="21" t="n"/>
      <c r="CX1615" s="21" t="n"/>
      <c r="CY1615" s="21" t="n"/>
      <c r="CZ1615" s="21" t="n"/>
      <c r="DA1615" s="21" t="n"/>
      <c r="DB1615" s="21" t="n"/>
      <c r="DC1615" s="21" t="n"/>
      <c r="DD1615" s="21" t="n"/>
    </row>
    <row r="1616">
      <c r="B1616" t="inlineStr">
        <is>
          <t>TPP-911</t>
        </is>
      </c>
      <c r="C1616" t="inlineStr">
        <is>
          <t>No. of batches</t>
        </is>
      </c>
      <c r="D1616">
        <f>IFERROR(INDEX(E1616:DD1616,$F$1),"")</f>
        <v/>
      </c>
      <c r="E1616">
        <f>IFERROR(INDEX(PP_Grid[#Data],$DE1616,2),0)</f>
        <v/>
      </c>
      <c r="F1616">
        <f>IFERROR(INDEX(PP_Grid[#Data],$DE1616,3),0)</f>
        <v/>
      </c>
      <c r="G1616">
        <f>IFERROR(INDEX(PP_Grid[#Data],$DE1616,4),0)</f>
        <v/>
      </c>
      <c r="H1616">
        <f>IFERROR(INDEX(PP_Grid[#Data],$DE1616,5),0)</f>
        <v/>
      </c>
      <c r="I1616">
        <f>IFERROR(INDEX(PP_Grid[#Data],$DE1616,6),0)</f>
        <v/>
      </c>
      <c r="J1616">
        <f>IFERROR(INDEX(PP_Grid[#Data],$DE1616,7),0)</f>
        <v/>
      </c>
      <c r="K1616">
        <f>IFERROR(INDEX(PP_Grid[#Data],$DE1616,8),0)</f>
        <v/>
      </c>
      <c r="L1616">
        <f>IFERROR(INDEX(PP_Grid[#Data],$DE1616,9),0)</f>
        <v/>
      </c>
      <c r="M1616">
        <f>IFERROR(INDEX(PP_Grid[#Data],$DE1616,10),0)</f>
        <v/>
      </c>
      <c r="N1616">
        <f>IFERROR(INDEX(PP_Grid[#Data],$DE1616,11),0)</f>
        <v/>
      </c>
      <c r="O1616">
        <f>IFERROR(INDEX(PP_Grid[#Data],$DE1616,12),0)</f>
        <v/>
      </c>
      <c r="P1616">
        <f>IFERROR(INDEX(PP_Grid[#Data],$DE1616,13),0)</f>
        <v/>
      </c>
      <c r="Q1616">
        <f>IFERROR(INDEX(PP_Grid[#Data],$DE1616,14),0)</f>
        <v/>
      </c>
      <c r="R1616">
        <f>IFERROR(INDEX(PP_Grid[#Data],$DE1616,15),0)</f>
        <v/>
      </c>
      <c r="S1616">
        <f>IFERROR(INDEX(PP_Grid[#Data],$DE1616,16),0)</f>
        <v/>
      </c>
      <c r="T1616">
        <f>IFERROR(INDEX(PP_Grid[#Data],$DE1616,17),0)</f>
        <v/>
      </c>
      <c r="U1616">
        <f>IFERROR(INDEX(PP_Grid[#Data],$DE1616,18),0)</f>
        <v/>
      </c>
      <c r="V1616">
        <f>IFERROR(INDEX(PP_Grid[#Data],$DE1616,19),0)</f>
        <v/>
      </c>
      <c r="W1616">
        <f>IFERROR(INDEX(PP_Grid[#Data],$DE1616,20),0)</f>
        <v/>
      </c>
      <c r="X1616">
        <f>IFERROR(INDEX(PP_Grid[#Data],$DE1616,21),0)</f>
        <v/>
      </c>
      <c r="Y1616">
        <f>IFERROR(INDEX(PP_Grid[#Data],$DE1616,22),0)</f>
        <v/>
      </c>
      <c r="Z1616">
        <f>IFERROR(INDEX(PP_Grid[#Data],$DE1616,23),0)</f>
        <v/>
      </c>
      <c r="AA1616">
        <f>IFERROR(INDEX(PP_Grid[#Data],$DE1616,24),0)</f>
        <v/>
      </c>
      <c r="AB1616">
        <f>IFERROR(INDEX(PP_Grid[#Data],$DE1616,25),0)</f>
        <v/>
      </c>
      <c r="AC1616">
        <f>IFERROR(INDEX(PP_Grid[#Data],$DE1616,26),0)</f>
        <v/>
      </c>
      <c r="AD1616">
        <f>IFERROR(INDEX(PP_Grid[#Data],$DE1616,27),0)</f>
        <v/>
      </c>
      <c r="AE1616">
        <f>IFERROR(INDEX(PP_Grid[#Data],$DE1616,28),0)</f>
        <v/>
      </c>
      <c r="AF1616">
        <f>IFERROR(INDEX(PP_Grid[#Data],$DE1616,29),0)</f>
        <v/>
      </c>
      <c r="AG1616">
        <f>IFERROR(INDEX(PP_Grid[#Data],$DE1616,30),0)</f>
        <v/>
      </c>
      <c r="AH1616">
        <f>IFERROR(INDEX(PP_Grid[#Data],$DE1616,31),0)</f>
        <v/>
      </c>
      <c r="AI1616">
        <f>IFERROR(INDEX(PP_Grid[#Data],$DE1616,32),0)</f>
        <v/>
      </c>
      <c r="AJ1616">
        <f>IFERROR(INDEX(PP_Grid[#Data],$DE1616,33),0)</f>
        <v/>
      </c>
      <c r="AK1616">
        <f>IFERROR(INDEX(PP_Grid[#Data],$DE1616,34),0)</f>
        <v/>
      </c>
      <c r="AL1616">
        <f>IFERROR(INDEX(PP_Grid[#Data],$DE1616,35),0)</f>
        <v/>
      </c>
      <c r="AM1616">
        <f>IFERROR(INDEX(PP_Grid[#Data],$DE1616,36),0)</f>
        <v/>
      </c>
      <c r="AN1616">
        <f>IFERROR(INDEX(PP_Grid[#Data],$DE1616,37),0)</f>
        <v/>
      </c>
      <c r="AO1616">
        <f>IFERROR(INDEX(PP_Grid[#Data],$DE1616,38),0)</f>
        <v/>
      </c>
      <c r="AP1616">
        <f>IFERROR(INDEX(PP_Grid[#Data],$DE1616,39),0)</f>
        <v/>
      </c>
      <c r="AQ1616">
        <f>IFERROR(INDEX(PP_Grid[#Data],$DE1616,40),0)</f>
        <v/>
      </c>
      <c r="AR1616">
        <f>IFERROR(INDEX(PP_Grid[#Data],$DE1616,41),0)</f>
        <v/>
      </c>
      <c r="AS1616">
        <f>IFERROR(INDEX(PP_Grid[#Data],$DE1616,42),0)</f>
        <v/>
      </c>
      <c r="AT1616">
        <f>IFERROR(INDEX(PP_Grid[#Data],$DE1616,43),0)</f>
        <v/>
      </c>
      <c r="AU1616">
        <f>IFERROR(INDEX(PP_Grid[#Data],$DE1616,44),0)</f>
        <v/>
      </c>
      <c r="AV1616">
        <f>IFERROR(INDEX(PP_Grid[#Data],$DE1616,45),0)</f>
        <v/>
      </c>
      <c r="AW1616">
        <f>IFERROR(INDEX(PP_Grid[#Data],$DE1616,46),0)</f>
        <v/>
      </c>
      <c r="AX1616">
        <f>IFERROR(INDEX(PP_Grid[#Data],$DE1616,47),0)</f>
        <v/>
      </c>
      <c r="AY1616">
        <f>IFERROR(INDEX(PP_Grid[#Data],$DE1616,48),0)</f>
        <v/>
      </c>
      <c r="AZ1616">
        <f>IFERROR(INDEX(PP_Grid[#Data],$DE1616,49),0)</f>
        <v/>
      </c>
      <c r="BA1616">
        <f>IFERROR(INDEX(PP_Grid[#Data],$DE1616,50),0)</f>
        <v/>
      </c>
      <c r="BB1616">
        <f>IFERROR(INDEX(PP_Grid[#Data],$DE1616,51),0)</f>
        <v/>
      </c>
      <c r="BC1616">
        <f>IFERROR(INDEX(PP_Grid[#Data],$DE1616,52),0)</f>
        <v/>
      </c>
      <c r="BD1616">
        <f>IFERROR(INDEX(PP_Grid[#Data],$DE1616,53),0)</f>
        <v/>
      </c>
      <c r="BE1616">
        <f>IFERROR(INDEX(PP_Grid[#Data],$DE1616,54),0)</f>
        <v/>
      </c>
      <c r="BF1616">
        <f>IFERROR(INDEX(PP_Grid[#Data],$DE1616,55),0)</f>
        <v/>
      </c>
      <c r="BG1616">
        <f>IFERROR(INDEX(PP_Grid[#Data],$DE1616,56),0)</f>
        <v/>
      </c>
      <c r="BH1616">
        <f>IFERROR(INDEX(PP_Grid[#Data],$DE1616,57),0)</f>
        <v/>
      </c>
      <c r="BI1616">
        <f>IFERROR(INDEX(PP_Grid[#Data],$DE1616,58),0)</f>
        <v/>
      </c>
      <c r="BJ1616">
        <f>IFERROR(INDEX(PP_Grid[#Data],$DE1616,59),0)</f>
        <v/>
      </c>
      <c r="BK1616">
        <f>IFERROR(INDEX(PP_Grid[#Data],$DE1616,60),0)</f>
        <v/>
      </c>
      <c r="BL1616">
        <f>IFERROR(INDEX(PP_Grid[#Data],$DE1616,61),0)</f>
        <v/>
      </c>
      <c r="BM1616">
        <f>IFERROR(INDEX(PP_Grid[#Data],$DE1616,62),0)</f>
        <v/>
      </c>
      <c r="BN1616">
        <f>IFERROR(INDEX(PP_Grid[#Data],$DE1616,63),0)</f>
        <v/>
      </c>
      <c r="BO1616">
        <f>IFERROR(INDEX(PP_Grid[#Data],$DE1616,64),0)</f>
        <v/>
      </c>
      <c r="BP1616">
        <f>IFERROR(INDEX(PP_Grid[#Data],$DE1616,65),0)</f>
        <v/>
      </c>
      <c r="BQ1616">
        <f>IFERROR(INDEX(PP_Grid[#Data],$DE1616,66),0)</f>
        <v/>
      </c>
      <c r="BR1616">
        <f>IFERROR(INDEX(PP_Grid[#Data],$DE1616,67),0)</f>
        <v/>
      </c>
      <c r="BS1616">
        <f>IFERROR(INDEX(PP_Grid[#Data],$DE1616,68),0)</f>
        <v/>
      </c>
      <c r="BT1616">
        <f>IFERROR(INDEX(PP_Grid[#Data],$DE1616,69),0)</f>
        <v/>
      </c>
      <c r="BU1616">
        <f>IFERROR(INDEX(PP_Grid[#Data],$DE1616,70),0)</f>
        <v/>
      </c>
      <c r="BV1616">
        <f>IFERROR(INDEX(PP_Grid[#Data],$DE1616,71),0)</f>
        <v/>
      </c>
      <c r="BW1616">
        <f>IFERROR(INDEX(PP_Grid[#Data],$DE1616,72),0)</f>
        <v/>
      </c>
      <c r="BX1616">
        <f>IFERROR(INDEX(PP_Grid[#Data],$DE1616,73),0)</f>
        <v/>
      </c>
      <c r="BY1616">
        <f>IFERROR(INDEX(PP_Grid[#Data],$DE1616,74),0)</f>
        <v/>
      </c>
      <c r="BZ1616">
        <f>IFERROR(INDEX(PP_Grid[#Data],$DE1616,75),0)</f>
        <v/>
      </c>
      <c r="CA1616">
        <f>IFERROR(INDEX(PP_Grid[#Data],$DE1616,76),0)</f>
        <v/>
      </c>
      <c r="CB1616">
        <f>IFERROR(INDEX(PP_Grid[#Data],$DE1616,77),0)</f>
        <v/>
      </c>
      <c r="CC1616">
        <f>IFERROR(INDEX(PP_Grid[#Data],$DE1616,78),0)</f>
        <v/>
      </c>
      <c r="CD1616">
        <f>IFERROR(INDEX(PP_Grid[#Data],$DE1616,79),0)</f>
        <v/>
      </c>
      <c r="CE1616">
        <f>IFERROR(INDEX(PP_Grid[#Data],$DE1616,80),0)</f>
        <v/>
      </c>
      <c r="CF1616">
        <f>IFERROR(INDEX(PP_Grid[#Data],$DE1616,81),0)</f>
        <v/>
      </c>
      <c r="CG1616">
        <f>IFERROR(INDEX(PP_Grid[#Data],$DE1616,82),0)</f>
        <v/>
      </c>
      <c r="CH1616">
        <f>IFERROR(INDEX(PP_Grid[#Data],$DE1616,83),0)</f>
        <v/>
      </c>
      <c r="CI1616">
        <f>IFERROR(INDEX(PP_Grid[#Data],$DE1616,84),0)</f>
        <v/>
      </c>
      <c r="CJ1616">
        <f>IFERROR(INDEX(PP_Grid[#Data],$DE1616,85),0)</f>
        <v/>
      </c>
      <c r="CK1616">
        <f>IFERROR(INDEX(PP_Grid[#Data],$DE1616,86),0)</f>
        <v/>
      </c>
      <c r="CL1616">
        <f>IFERROR(INDEX(PP_Grid[#Data],$DE1616,87),0)</f>
        <v/>
      </c>
      <c r="CM1616">
        <f>IFERROR(INDEX(PP_Grid[#Data],$DE1616,88),0)</f>
        <v/>
      </c>
      <c r="CN1616">
        <f>IFERROR(INDEX(PP_Grid[#Data],$DE1616,89),0)</f>
        <v/>
      </c>
      <c r="CO1616">
        <f>IFERROR(INDEX(PP_Grid[#Data],$DE1616,90),0)</f>
        <v/>
      </c>
      <c r="CP1616">
        <f>IFERROR(INDEX(PP_Grid[#Data],$DE1616,91),0)</f>
        <v/>
      </c>
      <c r="CQ1616">
        <f>IFERROR(INDEX(PP_Grid[#Data],$DE1616,92),0)</f>
        <v/>
      </c>
      <c r="CR1616">
        <f>IFERROR(INDEX(PP_Grid[#Data],$DE1616,93),0)</f>
        <v/>
      </c>
      <c r="CS1616">
        <f>IFERROR(INDEX(PP_Grid[#Data],$DE1616,94),0)</f>
        <v/>
      </c>
      <c r="CT1616">
        <f>IFERROR(INDEX(PP_Grid[#Data],$DE1616,95),0)</f>
        <v/>
      </c>
      <c r="CU1616">
        <f>IFERROR(INDEX(PP_Grid[#Data],$DE1616,96),0)</f>
        <v/>
      </c>
      <c r="CV1616">
        <f>IFERROR(INDEX(PP_Grid[#Data],$DE1616,97),0)</f>
        <v/>
      </c>
      <c r="CW1616">
        <f>IFERROR(INDEX(PP_Grid[#Data],$DE1616,98),0)</f>
        <v/>
      </c>
      <c r="CX1616">
        <f>IFERROR(INDEX(PP_Grid[#Data],$DE1616,99),0)</f>
        <v/>
      </c>
      <c r="CY1616">
        <f>IFERROR(INDEX(PP_Grid[#Data],$DE1616,100),0)</f>
        <v/>
      </c>
      <c r="CZ1616">
        <f>IFERROR(INDEX(PP_Grid[#Data],$DE1616,101),0)</f>
        <v/>
      </c>
      <c r="DA1616">
        <f>IFERROR(INDEX(PP_Grid[#Data],$DE1616,102),0)</f>
        <v/>
      </c>
      <c r="DB1616">
        <f>IFERROR(INDEX(PP_Grid[#Data],$DE1616,103),0)</f>
        <v/>
      </c>
      <c r="DC1616">
        <f>IFERROR(INDEX(PP_Grid[#Data],$DE1616,104),0)</f>
        <v/>
      </c>
      <c r="DD1616">
        <f>IFERROR(INDEX(PP_Grid[#Data],$DE1616,105),0)</f>
        <v/>
      </c>
      <c r="DE1616" s="7">
        <f>IFERROR(MATCH($B1616,PP_Grid[Intermediate],0),99999)</f>
        <v/>
      </c>
    </row>
    <row r="1617">
      <c r="B1617" t="inlineStr">
        <is>
          <t>使用量(kg)</t>
        </is>
      </c>
      <c r="C1617">
        <f>SUMIFS(M_BOM[RM_Qty_Per_Batch],M_BOM[Intermediate],$B1616,M_BOM[RM_Code],$A1615)</f>
        <v/>
      </c>
      <c r="D1617">
        <f>IFERROR(INDEX(E1617:DD1617,$F$1),"")</f>
        <v/>
      </c>
      <c r="E1617">
        <f>$C1617*E1616</f>
        <v/>
      </c>
      <c r="F1617">
        <f>$C1617*F1616</f>
        <v/>
      </c>
      <c r="G1617">
        <f>$C1617*G1616</f>
        <v/>
      </c>
      <c r="H1617">
        <f>$C1617*H1616</f>
        <v/>
      </c>
      <c r="I1617">
        <f>$C1617*I1616</f>
        <v/>
      </c>
      <c r="J1617">
        <f>$C1617*J1616</f>
        <v/>
      </c>
      <c r="K1617">
        <f>$C1617*K1616</f>
        <v/>
      </c>
      <c r="L1617">
        <f>$C1617*L1616</f>
        <v/>
      </c>
      <c r="M1617">
        <f>$C1617*M1616</f>
        <v/>
      </c>
      <c r="N1617">
        <f>$C1617*N1616</f>
        <v/>
      </c>
      <c r="O1617">
        <f>$C1617*O1616</f>
        <v/>
      </c>
      <c r="P1617">
        <f>$C1617*P1616</f>
        <v/>
      </c>
      <c r="Q1617">
        <f>$C1617*Q1616</f>
        <v/>
      </c>
      <c r="R1617">
        <f>$C1617*R1616</f>
        <v/>
      </c>
      <c r="S1617">
        <f>$C1617*S1616</f>
        <v/>
      </c>
      <c r="T1617">
        <f>$C1617*T1616</f>
        <v/>
      </c>
      <c r="U1617">
        <f>$C1617*U1616</f>
        <v/>
      </c>
      <c r="V1617">
        <f>$C1617*V1616</f>
        <v/>
      </c>
      <c r="W1617">
        <f>$C1617*W1616</f>
        <v/>
      </c>
      <c r="X1617">
        <f>$C1617*X1616</f>
        <v/>
      </c>
      <c r="Y1617">
        <f>$C1617*Y1616</f>
        <v/>
      </c>
      <c r="Z1617">
        <f>$C1617*Z1616</f>
        <v/>
      </c>
      <c r="AA1617">
        <f>$C1617*AA1616</f>
        <v/>
      </c>
      <c r="AB1617">
        <f>$C1617*AB1616</f>
        <v/>
      </c>
      <c r="AC1617">
        <f>$C1617*AC1616</f>
        <v/>
      </c>
      <c r="AD1617">
        <f>$C1617*AD1616</f>
        <v/>
      </c>
      <c r="AE1617">
        <f>$C1617*AE1616</f>
        <v/>
      </c>
      <c r="AF1617">
        <f>$C1617*AF1616</f>
        <v/>
      </c>
      <c r="AG1617">
        <f>$C1617*AG1616</f>
        <v/>
      </c>
      <c r="AH1617">
        <f>$C1617*AH1616</f>
        <v/>
      </c>
      <c r="AI1617">
        <f>$C1617*AI1616</f>
        <v/>
      </c>
      <c r="AJ1617">
        <f>$C1617*AJ1616</f>
        <v/>
      </c>
      <c r="AK1617">
        <f>$C1617*AK1616</f>
        <v/>
      </c>
      <c r="AL1617">
        <f>$C1617*AL1616</f>
        <v/>
      </c>
      <c r="AM1617">
        <f>$C1617*AM1616</f>
        <v/>
      </c>
      <c r="AN1617">
        <f>$C1617*AN1616</f>
        <v/>
      </c>
      <c r="AO1617">
        <f>$C1617*AO1616</f>
        <v/>
      </c>
      <c r="AP1617">
        <f>$C1617*AP1616</f>
        <v/>
      </c>
      <c r="AQ1617">
        <f>$C1617*AQ1616</f>
        <v/>
      </c>
      <c r="AR1617">
        <f>$C1617*AR1616</f>
        <v/>
      </c>
      <c r="AS1617">
        <f>$C1617*AS1616</f>
        <v/>
      </c>
      <c r="AT1617">
        <f>$C1617*AT1616</f>
        <v/>
      </c>
      <c r="AU1617">
        <f>$C1617*AU1616</f>
        <v/>
      </c>
      <c r="AV1617">
        <f>$C1617*AV1616</f>
        <v/>
      </c>
      <c r="AW1617">
        <f>$C1617*AW1616</f>
        <v/>
      </c>
      <c r="AX1617">
        <f>$C1617*AX1616</f>
        <v/>
      </c>
      <c r="AY1617">
        <f>$C1617*AY1616</f>
        <v/>
      </c>
      <c r="AZ1617">
        <f>$C1617*AZ1616</f>
        <v/>
      </c>
      <c r="BA1617">
        <f>$C1617*BA1616</f>
        <v/>
      </c>
      <c r="BB1617">
        <f>$C1617*BB1616</f>
        <v/>
      </c>
      <c r="BC1617">
        <f>$C1617*BC1616</f>
        <v/>
      </c>
      <c r="BD1617">
        <f>$C1617*BD1616</f>
        <v/>
      </c>
      <c r="BE1617">
        <f>$C1617*BE1616</f>
        <v/>
      </c>
      <c r="BF1617">
        <f>$C1617*BF1616</f>
        <v/>
      </c>
      <c r="BG1617">
        <f>$C1617*BG1616</f>
        <v/>
      </c>
      <c r="BH1617">
        <f>$C1617*BH1616</f>
        <v/>
      </c>
      <c r="BI1617">
        <f>$C1617*BI1616</f>
        <v/>
      </c>
      <c r="BJ1617">
        <f>$C1617*BJ1616</f>
        <v/>
      </c>
      <c r="BK1617">
        <f>$C1617*BK1616</f>
        <v/>
      </c>
      <c r="BL1617">
        <f>$C1617*BL1616</f>
        <v/>
      </c>
      <c r="BM1617">
        <f>$C1617*BM1616</f>
        <v/>
      </c>
      <c r="BN1617">
        <f>$C1617*BN1616</f>
        <v/>
      </c>
      <c r="BO1617">
        <f>$C1617*BO1616</f>
        <v/>
      </c>
      <c r="BP1617">
        <f>$C1617*BP1616</f>
        <v/>
      </c>
      <c r="BQ1617">
        <f>$C1617*BQ1616</f>
        <v/>
      </c>
      <c r="BR1617">
        <f>$C1617*BR1616</f>
        <v/>
      </c>
      <c r="BS1617">
        <f>$C1617*BS1616</f>
        <v/>
      </c>
      <c r="BT1617">
        <f>$C1617*BT1616</f>
        <v/>
      </c>
      <c r="BU1617">
        <f>$C1617*BU1616</f>
        <v/>
      </c>
      <c r="BV1617">
        <f>$C1617*BV1616</f>
        <v/>
      </c>
      <c r="BW1617">
        <f>$C1617*BW1616</f>
        <v/>
      </c>
      <c r="BX1617">
        <f>$C1617*BX1616</f>
        <v/>
      </c>
      <c r="BY1617">
        <f>$C1617*BY1616</f>
        <v/>
      </c>
      <c r="BZ1617">
        <f>$C1617*BZ1616</f>
        <v/>
      </c>
      <c r="CA1617">
        <f>$C1617*CA1616</f>
        <v/>
      </c>
      <c r="CB1617">
        <f>$C1617*CB1616</f>
        <v/>
      </c>
      <c r="CC1617">
        <f>$C1617*CC1616</f>
        <v/>
      </c>
      <c r="CD1617">
        <f>$C1617*CD1616</f>
        <v/>
      </c>
      <c r="CE1617">
        <f>$C1617*CE1616</f>
        <v/>
      </c>
      <c r="CF1617">
        <f>$C1617*CF1616</f>
        <v/>
      </c>
      <c r="CG1617">
        <f>$C1617*CG1616</f>
        <v/>
      </c>
      <c r="CH1617">
        <f>$C1617*CH1616</f>
        <v/>
      </c>
      <c r="CI1617">
        <f>$C1617*CI1616</f>
        <v/>
      </c>
      <c r="CJ1617">
        <f>$C1617*CJ1616</f>
        <v/>
      </c>
      <c r="CK1617">
        <f>$C1617*CK1616</f>
        <v/>
      </c>
      <c r="CL1617">
        <f>$C1617*CL1616</f>
        <v/>
      </c>
      <c r="CM1617">
        <f>$C1617*CM1616</f>
        <v/>
      </c>
      <c r="CN1617">
        <f>$C1617*CN1616</f>
        <v/>
      </c>
      <c r="CO1617">
        <f>$C1617*CO1616</f>
        <v/>
      </c>
      <c r="CP1617">
        <f>$C1617*CP1616</f>
        <v/>
      </c>
      <c r="CQ1617">
        <f>$C1617*CQ1616</f>
        <v/>
      </c>
      <c r="CR1617">
        <f>$C1617*CR1616</f>
        <v/>
      </c>
      <c r="CS1617">
        <f>$C1617*CS1616</f>
        <v/>
      </c>
      <c r="CT1617">
        <f>$C1617*CT1616</f>
        <v/>
      </c>
      <c r="CU1617">
        <f>$C1617*CU1616</f>
        <v/>
      </c>
      <c r="CV1617">
        <f>$C1617*CV1616</f>
        <v/>
      </c>
      <c r="CW1617">
        <f>$C1617*CW1616</f>
        <v/>
      </c>
      <c r="CX1617">
        <f>$C1617*CX1616</f>
        <v/>
      </c>
      <c r="CY1617">
        <f>$C1617*CY1616</f>
        <v/>
      </c>
      <c r="CZ1617">
        <f>$C1617*CZ1616</f>
        <v/>
      </c>
      <c r="DA1617">
        <f>$C1617*DA1616</f>
        <v/>
      </c>
      <c r="DB1617">
        <f>$C1617*DB1616</f>
        <v/>
      </c>
      <c r="DC1617">
        <f>$C1617*DC1616</f>
        <v/>
      </c>
      <c r="DD1617">
        <f>$C1617*DD1616</f>
        <v/>
      </c>
    </row>
    <row r="1618">
      <c r="B1618" t="inlineStr">
        <is>
          <t>TPP-912</t>
        </is>
      </c>
      <c r="C1618" t="inlineStr">
        <is>
          <t>No. of batches</t>
        </is>
      </c>
      <c r="D1618">
        <f>IFERROR(INDEX(E1618:DD1618,$F$1),"")</f>
        <v/>
      </c>
      <c r="E1618">
        <f>IFERROR(INDEX(PP_Grid[#Data],$DE1618,2),0)</f>
        <v/>
      </c>
      <c r="F1618">
        <f>IFERROR(INDEX(PP_Grid[#Data],$DE1618,3),0)</f>
        <v/>
      </c>
      <c r="G1618">
        <f>IFERROR(INDEX(PP_Grid[#Data],$DE1618,4),0)</f>
        <v/>
      </c>
      <c r="H1618">
        <f>IFERROR(INDEX(PP_Grid[#Data],$DE1618,5),0)</f>
        <v/>
      </c>
      <c r="I1618">
        <f>IFERROR(INDEX(PP_Grid[#Data],$DE1618,6),0)</f>
        <v/>
      </c>
      <c r="J1618">
        <f>IFERROR(INDEX(PP_Grid[#Data],$DE1618,7),0)</f>
        <v/>
      </c>
      <c r="K1618">
        <f>IFERROR(INDEX(PP_Grid[#Data],$DE1618,8),0)</f>
        <v/>
      </c>
      <c r="L1618">
        <f>IFERROR(INDEX(PP_Grid[#Data],$DE1618,9),0)</f>
        <v/>
      </c>
      <c r="M1618">
        <f>IFERROR(INDEX(PP_Grid[#Data],$DE1618,10),0)</f>
        <v/>
      </c>
      <c r="N1618">
        <f>IFERROR(INDEX(PP_Grid[#Data],$DE1618,11),0)</f>
        <v/>
      </c>
      <c r="O1618">
        <f>IFERROR(INDEX(PP_Grid[#Data],$DE1618,12),0)</f>
        <v/>
      </c>
      <c r="P1618">
        <f>IFERROR(INDEX(PP_Grid[#Data],$DE1618,13),0)</f>
        <v/>
      </c>
      <c r="Q1618">
        <f>IFERROR(INDEX(PP_Grid[#Data],$DE1618,14),0)</f>
        <v/>
      </c>
      <c r="R1618">
        <f>IFERROR(INDEX(PP_Grid[#Data],$DE1618,15),0)</f>
        <v/>
      </c>
      <c r="S1618">
        <f>IFERROR(INDEX(PP_Grid[#Data],$DE1618,16),0)</f>
        <v/>
      </c>
      <c r="T1618">
        <f>IFERROR(INDEX(PP_Grid[#Data],$DE1618,17),0)</f>
        <v/>
      </c>
      <c r="U1618">
        <f>IFERROR(INDEX(PP_Grid[#Data],$DE1618,18),0)</f>
        <v/>
      </c>
      <c r="V1618">
        <f>IFERROR(INDEX(PP_Grid[#Data],$DE1618,19),0)</f>
        <v/>
      </c>
      <c r="W1618">
        <f>IFERROR(INDEX(PP_Grid[#Data],$DE1618,20),0)</f>
        <v/>
      </c>
      <c r="X1618">
        <f>IFERROR(INDEX(PP_Grid[#Data],$DE1618,21),0)</f>
        <v/>
      </c>
      <c r="Y1618">
        <f>IFERROR(INDEX(PP_Grid[#Data],$DE1618,22),0)</f>
        <v/>
      </c>
      <c r="Z1618">
        <f>IFERROR(INDEX(PP_Grid[#Data],$DE1618,23),0)</f>
        <v/>
      </c>
      <c r="AA1618">
        <f>IFERROR(INDEX(PP_Grid[#Data],$DE1618,24),0)</f>
        <v/>
      </c>
      <c r="AB1618">
        <f>IFERROR(INDEX(PP_Grid[#Data],$DE1618,25),0)</f>
        <v/>
      </c>
      <c r="AC1618">
        <f>IFERROR(INDEX(PP_Grid[#Data],$DE1618,26),0)</f>
        <v/>
      </c>
      <c r="AD1618">
        <f>IFERROR(INDEX(PP_Grid[#Data],$DE1618,27),0)</f>
        <v/>
      </c>
      <c r="AE1618">
        <f>IFERROR(INDEX(PP_Grid[#Data],$DE1618,28),0)</f>
        <v/>
      </c>
      <c r="AF1618">
        <f>IFERROR(INDEX(PP_Grid[#Data],$DE1618,29),0)</f>
        <v/>
      </c>
      <c r="AG1618">
        <f>IFERROR(INDEX(PP_Grid[#Data],$DE1618,30),0)</f>
        <v/>
      </c>
      <c r="AH1618">
        <f>IFERROR(INDEX(PP_Grid[#Data],$DE1618,31),0)</f>
        <v/>
      </c>
      <c r="AI1618">
        <f>IFERROR(INDEX(PP_Grid[#Data],$DE1618,32),0)</f>
        <v/>
      </c>
      <c r="AJ1618">
        <f>IFERROR(INDEX(PP_Grid[#Data],$DE1618,33),0)</f>
        <v/>
      </c>
      <c r="AK1618">
        <f>IFERROR(INDEX(PP_Grid[#Data],$DE1618,34),0)</f>
        <v/>
      </c>
      <c r="AL1618">
        <f>IFERROR(INDEX(PP_Grid[#Data],$DE1618,35),0)</f>
        <v/>
      </c>
      <c r="AM1618">
        <f>IFERROR(INDEX(PP_Grid[#Data],$DE1618,36),0)</f>
        <v/>
      </c>
      <c r="AN1618">
        <f>IFERROR(INDEX(PP_Grid[#Data],$DE1618,37),0)</f>
        <v/>
      </c>
      <c r="AO1618">
        <f>IFERROR(INDEX(PP_Grid[#Data],$DE1618,38),0)</f>
        <v/>
      </c>
      <c r="AP1618">
        <f>IFERROR(INDEX(PP_Grid[#Data],$DE1618,39),0)</f>
        <v/>
      </c>
      <c r="AQ1618">
        <f>IFERROR(INDEX(PP_Grid[#Data],$DE1618,40),0)</f>
        <v/>
      </c>
      <c r="AR1618">
        <f>IFERROR(INDEX(PP_Grid[#Data],$DE1618,41),0)</f>
        <v/>
      </c>
      <c r="AS1618">
        <f>IFERROR(INDEX(PP_Grid[#Data],$DE1618,42),0)</f>
        <v/>
      </c>
      <c r="AT1618">
        <f>IFERROR(INDEX(PP_Grid[#Data],$DE1618,43),0)</f>
        <v/>
      </c>
      <c r="AU1618">
        <f>IFERROR(INDEX(PP_Grid[#Data],$DE1618,44),0)</f>
        <v/>
      </c>
      <c r="AV1618">
        <f>IFERROR(INDEX(PP_Grid[#Data],$DE1618,45),0)</f>
        <v/>
      </c>
      <c r="AW1618">
        <f>IFERROR(INDEX(PP_Grid[#Data],$DE1618,46),0)</f>
        <v/>
      </c>
      <c r="AX1618">
        <f>IFERROR(INDEX(PP_Grid[#Data],$DE1618,47),0)</f>
        <v/>
      </c>
      <c r="AY1618">
        <f>IFERROR(INDEX(PP_Grid[#Data],$DE1618,48),0)</f>
        <v/>
      </c>
      <c r="AZ1618">
        <f>IFERROR(INDEX(PP_Grid[#Data],$DE1618,49),0)</f>
        <v/>
      </c>
      <c r="BA1618">
        <f>IFERROR(INDEX(PP_Grid[#Data],$DE1618,50),0)</f>
        <v/>
      </c>
      <c r="BB1618">
        <f>IFERROR(INDEX(PP_Grid[#Data],$DE1618,51),0)</f>
        <v/>
      </c>
      <c r="BC1618">
        <f>IFERROR(INDEX(PP_Grid[#Data],$DE1618,52),0)</f>
        <v/>
      </c>
      <c r="BD1618">
        <f>IFERROR(INDEX(PP_Grid[#Data],$DE1618,53),0)</f>
        <v/>
      </c>
      <c r="BE1618">
        <f>IFERROR(INDEX(PP_Grid[#Data],$DE1618,54),0)</f>
        <v/>
      </c>
      <c r="BF1618">
        <f>IFERROR(INDEX(PP_Grid[#Data],$DE1618,55),0)</f>
        <v/>
      </c>
      <c r="BG1618">
        <f>IFERROR(INDEX(PP_Grid[#Data],$DE1618,56),0)</f>
        <v/>
      </c>
      <c r="BH1618">
        <f>IFERROR(INDEX(PP_Grid[#Data],$DE1618,57),0)</f>
        <v/>
      </c>
      <c r="BI1618">
        <f>IFERROR(INDEX(PP_Grid[#Data],$DE1618,58),0)</f>
        <v/>
      </c>
      <c r="BJ1618">
        <f>IFERROR(INDEX(PP_Grid[#Data],$DE1618,59),0)</f>
        <v/>
      </c>
      <c r="BK1618">
        <f>IFERROR(INDEX(PP_Grid[#Data],$DE1618,60),0)</f>
        <v/>
      </c>
      <c r="BL1618">
        <f>IFERROR(INDEX(PP_Grid[#Data],$DE1618,61),0)</f>
        <v/>
      </c>
      <c r="BM1618">
        <f>IFERROR(INDEX(PP_Grid[#Data],$DE1618,62),0)</f>
        <v/>
      </c>
      <c r="BN1618">
        <f>IFERROR(INDEX(PP_Grid[#Data],$DE1618,63),0)</f>
        <v/>
      </c>
      <c r="BO1618">
        <f>IFERROR(INDEX(PP_Grid[#Data],$DE1618,64),0)</f>
        <v/>
      </c>
      <c r="BP1618">
        <f>IFERROR(INDEX(PP_Grid[#Data],$DE1618,65),0)</f>
        <v/>
      </c>
      <c r="BQ1618">
        <f>IFERROR(INDEX(PP_Grid[#Data],$DE1618,66),0)</f>
        <v/>
      </c>
      <c r="BR1618">
        <f>IFERROR(INDEX(PP_Grid[#Data],$DE1618,67),0)</f>
        <v/>
      </c>
      <c r="BS1618">
        <f>IFERROR(INDEX(PP_Grid[#Data],$DE1618,68),0)</f>
        <v/>
      </c>
      <c r="BT1618">
        <f>IFERROR(INDEX(PP_Grid[#Data],$DE1618,69),0)</f>
        <v/>
      </c>
      <c r="BU1618">
        <f>IFERROR(INDEX(PP_Grid[#Data],$DE1618,70),0)</f>
        <v/>
      </c>
      <c r="BV1618">
        <f>IFERROR(INDEX(PP_Grid[#Data],$DE1618,71),0)</f>
        <v/>
      </c>
      <c r="BW1618">
        <f>IFERROR(INDEX(PP_Grid[#Data],$DE1618,72),0)</f>
        <v/>
      </c>
      <c r="BX1618">
        <f>IFERROR(INDEX(PP_Grid[#Data],$DE1618,73),0)</f>
        <v/>
      </c>
      <c r="BY1618">
        <f>IFERROR(INDEX(PP_Grid[#Data],$DE1618,74),0)</f>
        <v/>
      </c>
      <c r="BZ1618">
        <f>IFERROR(INDEX(PP_Grid[#Data],$DE1618,75),0)</f>
        <v/>
      </c>
      <c r="CA1618">
        <f>IFERROR(INDEX(PP_Grid[#Data],$DE1618,76),0)</f>
        <v/>
      </c>
      <c r="CB1618">
        <f>IFERROR(INDEX(PP_Grid[#Data],$DE1618,77),0)</f>
        <v/>
      </c>
      <c r="CC1618">
        <f>IFERROR(INDEX(PP_Grid[#Data],$DE1618,78),0)</f>
        <v/>
      </c>
      <c r="CD1618">
        <f>IFERROR(INDEX(PP_Grid[#Data],$DE1618,79),0)</f>
        <v/>
      </c>
      <c r="CE1618">
        <f>IFERROR(INDEX(PP_Grid[#Data],$DE1618,80),0)</f>
        <v/>
      </c>
      <c r="CF1618">
        <f>IFERROR(INDEX(PP_Grid[#Data],$DE1618,81),0)</f>
        <v/>
      </c>
      <c r="CG1618">
        <f>IFERROR(INDEX(PP_Grid[#Data],$DE1618,82),0)</f>
        <v/>
      </c>
      <c r="CH1618">
        <f>IFERROR(INDEX(PP_Grid[#Data],$DE1618,83),0)</f>
        <v/>
      </c>
      <c r="CI1618">
        <f>IFERROR(INDEX(PP_Grid[#Data],$DE1618,84),0)</f>
        <v/>
      </c>
      <c r="CJ1618">
        <f>IFERROR(INDEX(PP_Grid[#Data],$DE1618,85),0)</f>
        <v/>
      </c>
      <c r="CK1618">
        <f>IFERROR(INDEX(PP_Grid[#Data],$DE1618,86),0)</f>
        <v/>
      </c>
      <c r="CL1618">
        <f>IFERROR(INDEX(PP_Grid[#Data],$DE1618,87),0)</f>
        <v/>
      </c>
      <c r="CM1618">
        <f>IFERROR(INDEX(PP_Grid[#Data],$DE1618,88),0)</f>
        <v/>
      </c>
      <c r="CN1618">
        <f>IFERROR(INDEX(PP_Grid[#Data],$DE1618,89),0)</f>
        <v/>
      </c>
      <c r="CO1618">
        <f>IFERROR(INDEX(PP_Grid[#Data],$DE1618,90),0)</f>
        <v/>
      </c>
      <c r="CP1618">
        <f>IFERROR(INDEX(PP_Grid[#Data],$DE1618,91),0)</f>
        <v/>
      </c>
      <c r="CQ1618">
        <f>IFERROR(INDEX(PP_Grid[#Data],$DE1618,92),0)</f>
        <v/>
      </c>
      <c r="CR1618">
        <f>IFERROR(INDEX(PP_Grid[#Data],$DE1618,93),0)</f>
        <v/>
      </c>
      <c r="CS1618">
        <f>IFERROR(INDEX(PP_Grid[#Data],$DE1618,94),0)</f>
        <v/>
      </c>
      <c r="CT1618">
        <f>IFERROR(INDEX(PP_Grid[#Data],$DE1618,95),0)</f>
        <v/>
      </c>
      <c r="CU1618">
        <f>IFERROR(INDEX(PP_Grid[#Data],$DE1618,96),0)</f>
        <v/>
      </c>
      <c r="CV1618">
        <f>IFERROR(INDEX(PP_Grid[#Data],$DE1618,97),0)</f>
        <v/>
      </c>
      <c r="CW1618">
        <f>IFERROR(INDEX(PP_Grid[#Data],$DE1618,98),0)</f>
        <v/>
      </c>
      <c r="CX1618">
        <f>IFERROR(INDEX(PP_Grid[#Data],$DE1618,99),0)</f>
        <v/>
      </c>
      <c r="CY1618">
        <f>IFERROR(INDEX(PP_Grid[#Data],$DE1618,100),0)</f>
        <v/>
      </c>
      <c r="CZ1618">
        <f>IFERROR(INDEX(PP_Grid[#Data],$DE1618,101),0)</f>
        <v/>
      </c>
      <c r="DA1618">
        <f>IFERROR(INDEX(PP_Grid[#Data],$DE1618,102),0)</f>
        <v/>
      </c>
      <c r="DB1618">
        <f>IFERROR(INDEX(PP_Grid[#Data],$DE1618,103),0)</f>
        <v/>
      </c>
      <c r="DC1618">
        <f>IFERROR(INDEX(PP_Grid[#Data],$DE1618,104),0)</f>
        <v/>
      </c>
      <c r="DD1618">
        <f>IFERROR(INDEX(PP_Grid[#Data],$DE1618,105),0)</f>
        <v/>
      </c>
      <c r="DE1618" s="7">
        <f>IFERROR(MATCH($B1618,PP_Grid[Intermediate],0),99999)</f>
        <v/>
      </c>
    </row>
    <row r="1619">
      <c r="B1619" t="inlineStr">
        <is>
          <t>使用量(kg)</t>
        </is>
      </c>
      <c r="C1619">
        <f>SUMIFS(M_BOM[RM_Qty_Per_Batch],M_BOM[Intermediate],$B1618,M_BOM[RM_Code],$A1615)</f>
        <v/>
      </c>
      <c r="D1619">
        <f>IFERROR(INDEX(E1619:DD1619,$F$1),"")</f>
        <v/>
      </c>
      <c r="E1619">
        <f>$C1619*E1618</f>
        <v/>
      </c>
      <c r="F1619">
        <f>$C1619*F1618</f>
        <v/>
      </c>
      <c r="G1619">
        <f>$C1619*G1618</f>
        <v/>
      </c>
      <c r="H1619">
        <f>$C1619*H1618</f>
        <v/>
      </c>
      <c r="I1619">
        <f>$C1619*I1618</f>
        <v/>
      </c>
      <c r="J1619">
        <f>$C1619*J1618</f>
        <v/>
      </c>
      <c r="K1619">
        <f>$C1619*K1618</f>
        <v/>
      </c>
      <c r="L1619">
        <f>$C1619*L1618</f>
        <v/>
      </c>
      <c r="M1619">
        <f>$C1619*M1618</f>
        <v/>
      </c>
      <c r="N1619">
        <f>$C1619*N1618</f>
        <v/>
      </c>
      <c r="O1619">
        <f>$C1619*O1618</f>
        <v/>
      </c>
      <c r="P1619">
        <f>$C1619*P1618</f>
        <v/>
      </c>
      <c r="Q1619">
        <f>$C1619*Q1618</f>
        <v/>
      </c>
      <c r="R1619">
        <f>$C1619*R1618</f>
        <v/>
      </c>
      <c r="S1619">
        <f>$C1619*S1618</f>
        <v/>
      </c>
      <c r="T1619">
        <f>$C1619*T1618</f>
        <v/>
      </c>
      <c r="U1619">
        <f>$C1619*U1618</f>
        <v/>
      </c>
      <c r="V1619">
        <f>$C1619*V1618</f>
        <v/>
      </c>
      <c r="W1619">
        <f>$C1619*W1618</f>
        <v/>
      </c>
      <c r="X1619">
        <f>$C1619*X1618</f>
        <v/>
      </c>
      <c r="Y1619">
        <f>$C1619*Y1618</f>
        <v/>
      </c>
      <c r="Z1619">
        <f>$C1619*Z1618</f>
        <v/>
      </c>
      <c r="AA1619">
        <f>$C1619*AA1618</f>
        <v/>
      </c>
      <c r="AB1619">
        <f>$C1619*AB1618</f>
        <v/>
      </c>
      <c r="AC1619">
        <f>$C1619*AC1618</f>
        <v/>
      </c>
      <c r="AD1619">
        <f>$C1619*AD1618</f>
        <v/>
      </c>
      <c r="AE1619">
        <f>$C1619*AE1618</f>
        <v/>
      </c>
      <c r="AF1619">
        <f>$C1619*AF1618</f>
        <v/>
      </c>
      <c r="AG1619">
        <f>$C1619*AG1618</f>
        <v/>
      </c>
      <c r="AH1619">
        <f>$C1619*AH1618</f>
        <v/>
      </c>
      <c r="AI1619">
        <f>$C1619*AI1618</f>
        <v/>
      </c>
      <c r="AJ1619">
        <f>$C1619*AJ1618</f>
        <v/>
      </c>
      <c r="AK1619">
        <f>$C1619*AK1618</f>
        <v/>
      </c>
      <c r="AL1619">
        <f>$C1619*AL1618</f>
        <v/>
      </c>
      <c r="AM1619">
        <f>$C1619*AM1618</f>
        <v/>
      </c>
      <c r="AN1619">
        <f>$C1619*AN1618</f>
        <v/>
      </c>
      <c r="AO1619">
        <f>$C1619*AO1618</f>
        <v/>
      </c>
      <c r="AP1619">
        <f>$C1619*AP1618</f>
        <v/>
      </c>
      <c r="AQ1619">
        <f>$C1619*AQ1618</f>
        <v/>
      </c>
      <c r="AR1619">
        <f>$C1619*AR1618</f>
        <v/>
      </c>
      <c r="AS1619">
        <f>$C1619*AS1618</f>
        <v/>
      </c>
      <c r="AT1619">
        <f>$C1619*AT1618</f>
        <v/>
      </c>
      <c r="AU1619">
        <f>$C1619*AU1618</f>
        <v/>
      </c>
      <c r="AV1619">
        <f>$C1619*AV1618</f>
        <v/>
      </c>
      <c r="AW1619">
        <f>$C1619*AW1618</f>
        <v/>
      </c>
      <c r="AX1619">
        <f>$C1619*AX1618</f>
        <v/>
      </c>
      <c r="AY1619">
        <f>$C1619*AY1618</f>
        <v/>
      </c>
      <c r="AZ1619">
        <f>$C1619*AZ1618</f>
        <v/>
      </c>
      <c r="BA1619">
        <f>$C1619*BA1618</f>
        <v/>
      </c>
      <c r="BB1619">
        <f>$C1619*BB1618</f>
        <v/>
      </c>
      <c r="BC1619">
        <f>$C1619*BC1618</f>
        <v/>
      </c>
      <c r="BD1619">
        <f>$C1619*BD1618</f>
        <v/>
      </c>
      <c r="BE1619">
        <f>$C1619*BE1618</f>
        <v/>
      </c>
      <c r="BF1619">
        <f>$C1619*BF1618</f>
        <v/>
      </c>
      <c r="BG1619">
        <f>$C1619*BG1618</f>
        <v/>
      </c>
      <c r="BH1619">
        <f>$C1619*BH1618</f>
        <v/>
      </c>
      <c r="BI1619">
        <f>$C1619*BI1618</f>
        <v/>
      </c>
      <c r="BJ1619">
        <f>$C1619*BJ1618</f>
        <v/>
      </c>
      <c r="BK1619">
        <f>$C1619*BK1618</f>
        <v/>
      </c>
      <c r="BL1619">
        <f>$C1619*BL1618</f>
        <v/>
      </c>
      <c r="BM1619">
        <f>$C1619*BM1618</f>
        <v/>
      </c>
      <c r="BN1619">
        <f>$C1619*BN1618</f>
        <v/>
      </c>
      <c r="BO1619">
        <f>$C1619*BO1618</f>
        <v/>
      </c>
      <c r="BP1619">
        <f>$C1619*BP1618</f>
        <v/>
      </c>
      <c r="BQ1619">
        <f>$C1619*BQ1618</f>
        <v/>
      </c>
      <c r="BR1619">
        <f>$C1619*BR1618</f>
        <v/>
      </c>
      <c r="BS1619">
        <f>$C1619*BS1618</f>
        <v/>
      </c>
      <c r="BT1619">
        <f>$C1619*BT1618</f>
        <v/>
      </c>
      <c r="BU1619">
        <f>$C1619*BU1618</f>
        <v/>
      </c>
      <c r="BV1619">
        <f>$C1619*BV1618</f>
        <v/>
      </c>
      <c r="BW1619">
        <f>$C1619*BW1618</f>
        <v/>
      </c>
      <c r="BX1619">
        <f>$C1619*BX1618</f>
        <v/>
      </c>
      <c r="BY1619">
        <f>$C1619*BY1618</f>
        <v/>
      </c>
      <c r="BZ1619">
        <f>$C1619*BZ1618</f>
        <v/>
      </c>
      <c r="CA1619">
        <f>$C1619*CA1618</f>
        <v/>
      </c>
      <c r="CB1619">
        <f>$C1619*CB1618</f>
        <v/>
      </c>
      <c r="CC1619">
        <f>$C1619*CC1618</f>
        <v/>
      </c>
      <c r="CD1619">
        <f>$C1619*CD1618</f>
        <v/>
      </c>
      <c r="CE1619">
        <f>$C1619*CE1618</f>
        <v/>
      </c>
      <c r="CF1619">
        <f>$C1619*CF1618</f>
        <v/>
      </c>
      <c r="CG1619">
        <f>$C1619*CG1618</f>
        <v/>
      </c>
      <c r="CH1619">
        <f>$C1619*CH1618</f>
        <v/>
      </c>
      <c r="CI1619">
        <f>$C1619*CI1618</f>
        <v/>
      </c>
      <c r="CJ1619">
        <f>$C1619*CJ1618</f>
        <v/>
      </c>
      <c r="CK1619">
        <f>$C1619*CK1618</f>
        <v/>
      </c>
      <c r="CL1619">
        <f>$C1619*CL1618</f>
        <v/>
      </c>
      <c r="CM1619">
        <f>$C1619*CM1618</f>
        <v/>
      </c>
      <c r="CN1619">
        <f>$C1619*CN1618</f>
        <v/>
      </c>
      <c r="CO1619">
        <f>$C1619*CO1618</f>
        <v/>
      </c>
      <c r="CP1619">
        <f>$C1619*CP1618</f>
        <v/>
      </c>
      <c r="CQ1619">
        <f>$C1619*CQ1618</f>
        <v/>
      </c>
      <c r="CR1619">
        <f>$C1619*CR1618</f>
        <v/>
      </c>
      <c r="CS1619">
        <f>$C1619*CS1618</f>
        <v/>
      </c>
      <c r="CT1619">
        <f>$C1619*CT1618</f>
        <v/>
      </c>
      <c r="CU1619">
        <f>$C1619*CU1618</f>
        <v/>
      </c>
      <c r="CV1619">
        <f>$C1619*CV1618</f>
        <v/>
      </c>
      <c r="CW1619">
        <f>$C1619*CW1618</f>
        <v/>
      </c>
      <c r="CX1619">
        <f>$C1619*CX1618</f>
        <v/>
      </c>
      <c r="CY1619">
        <f>$C1619*CY1618</f>
        <v/>
      </c>
      <c r="CZ1619">
        <f>$C1619*CZ1618</f>
        <v/>
      </c>
      <c r="DA1619">
        <f>$C1619*DA1618</f>
        <v/>
      </c>
      <c r="DB1619">
        <f>$C1619*DB1618</f>
        <v/>
      </c>
      <c r="DC1619">
        <f>$C1619*DC1618</f>
        <v/>
      </c>
      <c r="DD1619">
        <f>$C1619*DD1618</f>
        <v/>
      </c>
    </row>
    <row r="1620">
      <c r="B1620" t="inlineStr">
        <is>
          <t>No of times used</t>
        </is>
      </c>
      <c r="C1620" t="inlineStr">
        <is>
          <t>No. of batches</t>
        </is>
      </c>
      <c r="D1620">
        <f>IFERROR(INDEX(E1620:DD1620,$F$1),"")</f>
        <v/>
      </c>
      <c r="E1620">
        <f>IFERROR(INDEX(PP_Grid[#Data],$DE1620,2),0)</f>
        <v/>
      </c>
      <c r="F1620">
        <f>IFERROR(INDEX(PP_Grid[#Data],$DE1620,3),0)</f>
        <v/>
      </c>
      <c r="G1620">
        <f>IFERROR(INDEX(PP_Grid[#Data],$DE1620,4),0)</f>
        <v/>
      </c>
      <c r="H1620">
        <f>IFERROR(INDEX(PP_Grid[#Data],$DE1620,5),0)</f>
        <v/>
      </c>
      <c r="I1620">
        <f>IFERROR(INDEX(PP_Grid[#Data],$DE1620,6),0)</f>
        <v/>
      </c>
      <c r="J1620">
        <f>IFERROR(INDEX(PP_Grid[#Data],$DE1620,7),0)</f>
        <v/>
      </c>
      <c r="K1620">
        <f>IFERROR(INDEX(PP_Grid[#Data],$DE1620,8),0)</f>
        <v/>
      </c>
      <c r="L1620">
        <f>IFERROR(INDEX(PP_Grid[#Data],$DE1620,9),0)</f>
        <v/>
      </c>
      <c r="M1620">
        <f>IFERROR(INDEX(PP_Grid[#Data],$DE1620,10),0)</f>
        <v/>
      </c>
      <c r="N1620">
        <f>IFERROR(INDEX(PP_Grid[#Data],$DE1620,11),0)</f>
        <v/>
      </c>
      <c r="O1620">
        <f>IFERROR(INDEX(PP_Grid[#Data],$DE1620,12),0)</f>
        <v/>
      </c>
      <c r="P1620">
        <f>IFERROR(INDEX(PP_Grid[#Data],$DE1620,13),0)</f>
        <v/>
      </c>
      <c r="Q1620">
        <f>IFERROR(INDEX(PP_Grid[#Data],$DE1620,14),0)</f>
        <v/>
      </c>
      <c r="R1620">
        <f>IFERROR(INDEX(PP_Grid[#Data],$DE1620,15),0)</f>
        <v/>
      </c>
      <c r="S1620">
        <f>IFERROR(INDEX(PP_Grid[#Data],$DE1620,16),0)</f>
        <v/>
      </c>
      <c r="T1620">
        <f>IFERROR(INDEX(PP_Grid[#Data],$DE1620,17),0)</f>
        <v/>
      </c>
      <c r="U1620">
        <f>IFERROR(INDEX(PP_Grid[#Data],$DE1620,18),0)</f>
        <v/>
      </c>
      <c r="V1620">
        <f>IFERROR(INDEX(PP_Grid[#Data],$DE1620,19),0)</f>
        <v/>
      </c>
      <c r="W1620">
        <f>IFERROR(INDEX(PP_Grid[#Data],$DE1620,20),0)</f>
        <v/>
      </c>
      <c r="X1620">
        <f>IFERROR(INDEX(PP_Grid[#Data],$DE1620,21),0)</f>
        <v/>
      </c>
      <c r="Y1620">
        <f>IFERROR(INDEX(PP_Grid[#Data],$DE1620,22),0)</f>
        <v/>
      </c>
      <c r="Z1620">
        <f>IFERROR(INDEX(PP_Grid[#Data],$DE1620,23),0)</f>
        <v/>
      </c>
      <c r="AA1620">
        <f>IFERROR(INDEX(PP_Grid[#Data],$DE1620,24),0)</f>
        <v/>
      </c>
      <c r="AB1620">
        <f>IFERROR(INDEX(PP_Grid[#Data],$DE1620,25),0)</f>
        <v/>
      </c>
      <c r="AC1620">
        <f>IFERROR(INDEX(PP_Grid[#Data],$DE1620,26),0)</f>
        <v/>
      </c>
      <c r="AD1620">
        <f>IFERROR(INDEX(PP_Grid[#Data],$DE1620,27),0)</f>
        <v/>
      </c>
      <c r="AE1620">
        <f>IFERROR(INDEX(PP_Grid[#Data],$DE1620,28),0)</f>
        <v/>
      </c>
      <c r="AF1620">
        <f>IFERROR(INDEX(PP_Grid[#Data],$DE1620,29),0)</f>
        <v/>
      </c>
      <c r="AG1620">
        <f>IFERROR(INDEX(PP_Grid[#Data],$DE1620,30),0)</f>
        <v/>
      </c>
      <c r="AH1620">
        <f>IFERROR(INDEX(PP_Grid[#Data],$DE1620,31),0)</f>
        <v/>
      </c>
      <c r="AI1620">
        <f>IFERROR(INDEX(PP_Grid[#Data],$DE1620,32),0)</f>
        <v/>
      </c>
      <c r="AJ1620">
        <f>IFERROR(INDEX(PP_Grid[#Data],$DE1620,33),0)</f>
        <v/>
      </c>
      <c r="AK1620">
        <f>IFERROR(INDEX(PP_Grid[#Data],$DE1620,34),0)</f>
        <v/>
      </c>
      <c r="AL1620">
        <f>IFERROR(INDEX(PP_Grid[#Data],$DE1620,35),0)</f>
        <v/>
      </c>
      <c r="AM1620">
        <f>IFERROR(INDEX(PP_Grid[#Data],$DE1620,36),0)</f>
        <v/>
      </c>
      <c r="AN1620">
        <f>IFERROR(INDEX(PP_Grid[#Data],$DE1620,37),0)</f>
        <v/>
      </c>
      <c r="AO1620">
        <f>IFERROR(INDEX(PP_Grid[#Data],$DE1620,38),0)</f>
        <v/>
      </c>
      <c r="AP1620">
        <f>IFERROR(INDEX(PP_Grid[#Data],$DE1620,39),0)</f>
        <v/>
      </c>
      <c r="AQ1620">
        <f>IFERROR(INDEX(PP_Grid[#Data],$DE1620,40),0)</f>
        <v/>
      </c>
      <c r="AR1620">
        <f>IFERROR(INDEX(PP_Grid[#Data],$DE1620,41),0)</f>
        <v/>
      </c>
      <c r="AS1620">
        <f>IFERROR(INDEX(PP_Grid[#Data],$DE1620,42),0)</f>
        <v/>
      </c>
      <c r="AT1620">
        <f>IFERROR(INDEX(PP_Grid[#Data],$DE1620,43),0)</f>
        <v/>
      </c>
      <c r="AU1620">
        <f>IFERROR(INDEX(PP_Grid[#Data],$DE1620,44),0)</f>
        <v/>
      </c>
      <c r="AV1620">
        <f>IFERROR(INDEX(PP_Grid[#Data],$DE1620,45),0)</f>
        <v/>
      </c>
      <c r="AW1620">
        <f>IFERROR(INDEX(PP_Grid[#Data],$DE1620,46),0)</f>
        <v/>
      </c>
      <c r="AX1620">
        <f>IFERROR(INDEX(PP_Grid[#Data],$DE1620,47),0)</f>
        <v/>
      </c>
      <c r="AY1620">
        <f>IFERROR(INDEX(PP_Grid[#Data],$DE1620,48),0)</f>
        <v/>
      </c>
      <c r="AZ1620">
        <f>IFERROR(INDEX(PP_Grid[#Data],$DE1620,49),0)</f>
        <v/>
      </c>
      <c r="BA1620">
        <f>IFERROR(INDEX(PP_Grid[#Data],$DE1620,50),0)</f>
        <v/>
      </c>
      <c r="BB1620">
        <f>IFERROR(INDEX(PP_Grid[#Data],$DE1620,51),0)</f>
        <v/>
      </c>
      <c r="BC1620">
        <f>IFERROR(INDEX(PP_Grid[#Data],$DE1620,52),0)</f>
        <v/>
      </c>
      <c r="BD1620">
        <f>IFERROR(INDEX(PP_Grid[#Data],$DE1620,53),0)</f>
        <v/>
      </c>
      <c r="BE1620">
        <f>IFERROR(INDEX(PP_Grid[#Data],$DE1620,54),0)</f>
        <v/>
      </c>
      <c r="BF1620">
        <f>IFERROR(INDEX(PP_Grid[#Data],$DE1620,55),0)</f>
        <v/>
      </c>
      <c r="BG1620">
        <f>IFERROR(INDEX(PP_Grid[#Data],$DE1620,56),0)</f>
        <v/>
      </c>
      <c r="BH1620">
        <f>IFERROR(INDEX(PP_Grid[#Data],$DE1620,57),0)</f>
        <v/>
      </c>
      <c r="BI1620">
        <f>IFERROR(INDEX(PP_Grid[#Data],$DE1620,58),0)</f>
        <v/>
      </c>
      <c r="BJ1620">
        <f>IFERROR(INDEX(PP_Grid[#Data],$DE1620,59),0)</f>
        <v/>
      </c>
      <c r="BK1620">
        <f>IFERROR(INDEX(PP_Grid[#Data],$DE1620,60),0)</f>
        <v/>
      </c>
      <c r="BL1620">
        <f>IFERROR(INDEX(PP_Grid[#Data],$DE1620,61),0)</f>
        <v/>
      </c>
      <c r="BM1620">
        <f>IFERROR(INDEX(PP_Grid[#Data],$DE1620,62),0)</f>
        <v/>
      </c>
      <c r="BN1620">
        <f>IFERROR(INDEX(PP_Grid[#Data],$DE1620,63),0)</f>
        <v/>
      </c>
      <c r="BO1620">
        <f>IFERROR(INDEX(PP_Grid[#Data],$DE1620,64),0)</f>
        <v/>
      </c>
      <c r="BP1620">
        <f>IFERROR(INDEX(PP_Grid[#Data],$DE1620,65),0)</f>
        <v/>
      </c>
      <c r="BQ1620">
        <f>IFERROR(INDEX(PP_Grid[#Data],$DE1620,66),0)</f>
        <v/>
      </c>
      <c r="BR1620">
        <f>IFERROR(INDEX(PP_Grid[#Data],$DE1620,67),0)</f>
        <v/>
      </c>
      <c r="BS1620">
        <f>IFERROR(INDEX(PP_Grid[#Data],$DE1620,68),0)</f>
        <v/>
      </c>
      <c r="BT1620">
        <f>IFERROR(INDEX(PP_Grid[#Data],$DE1620,69),0)</f>
        <v/>
      </c>
      <c r="BU1620">
        <f>IFERROR(INDEX(PP_Grid[#Data],$DE1620,70),0)</f>
        <v/>
      </c>
      <c r="BV1620">
        <f>IFERROR(INDEX(PP_Grid[#Data],$DE1620,71),0)</f>
        <v/>
      </c>
      <c r="BW1620">
        <f>IFERROR(INDEX(PP_Grid[#Data],$DE1620,72),0)</f>
        <v/>
      </c>
      <c r="BX1620">
        <f>IFERROR(INDEX(PP_Grid[#Data],$DE1620,73),0)</f>
        <v/>
      </c>
      <c r="BY1620">
        <f>IFERROR(INDEX(PP_Grid[#Data],$DE1620,74),0)</f>
        <v/>
      </c>
      <c r="BZ1620">
        <f>IFERROR(INDEX(PP_Grid[#Data],$DE1620,75),0)</f>
        <v/>
      </c>
      <c r="CA1620">
        <f>IFERROR(INDEX(PP_Grid[#Data],$DE1620,76),0)</f>
        <v/>
      </c>
      <c r="CB1620">
        <f>IFERROR(INDEX(PP_Grid[#Data],$DE1620,77),0)</f>
        <v/>
      </c>
      <c r="CC1620">
        <f>IFERROR(INDEX(PP_Grid[#Data],$DE1620,78),0)</f>
        <v/>
      </c>
      <c r="CD1620">
        <f>IFERROR(INDEX(PP_Grid[#Data],$DE1620,79),0)</f>
        <v/>
      </c>
      <c r="CE1620">
        <f>IFERROR(INDEX(PP_Grid[#Data],$DE1620,80),0)</f>
        <v/>
      </c>
      <c r="CF1620">
        <f>IFERROR(INDEX(PP_Grid[#Data],$DE1620,81),0)</f>
        <v/>
      </c>
      <c r="CG1620">
        <f>IFERROR(INDEX(PP_Grid[#Data],$DE1620,82),0)</f>
        <v/>
      </c>
      <c r="CH1620">
        <f>IFERROR(INDEX(PP_Grid[#Data],$DE1620,83),0)</f>
        <v/>
      </c>
      <c r="CI1620">
        <f>IFERROR(INDEX(PP_Grid[#Data],$DE1620,84),0)</f>
        <v/>
      </c>
      <c r="CJ1620">
        <f>IFERROR(INDEX(PP_Grid[#Data],$DE1620,85),0)</f>
        <v/>
      </c>
      <c r="CK1620">
        <f>IFERROR(INDEX(PP_Grid[#Data],$DE1620,86),0)</f>
        <v/>
      </c>
      <c r="CL1620">
        <f>IFERROR(INDEX(PP_Grid[#Data],$DE1620,87),0)</f>
        <v/>
      </c>
      <c r="CM1620">
        <f>IFERROR(INDEX(PP_Grid[#Data],$DE1620,88),0)</f>
        <v/>
      </c>
      <c r="CN1620">
        <f>IFERROR(INDEX(PP_Grid[#Data],$DE1620,89),0)</f>
        <v/>
      </c>
      <c r="CO1620">
        <f>IFERROR(INDEX(PP_Grid[#Data],$DE1620,90),0)</f>
        <v/>
      </c>
      <c r="CP1620">
        <f>IFERROR(INDEX(PP_Grid[#Data],$DE1620,91),0)</f>
        <v/>
      </c>
      <c r="CQ1620">
        <f>IFERROR(INDEX(PP_Grid[#Data],$DE1620,92),0)</f>
        <v/>
      </c>
      <c r="CR1620">
        <f>IFERROR(INDEX(PP_Grid[#Data],$DE1620,93),0)</f>
        <v/>
      </c>
      <c r="CS1620">
        <f>IFERROR(INDEX(PP_Grid[#Data],$DE1620,94),0)</f>
        <v/>
      </c>
      <c r="CT1620">
        <f>IFERROR(INDEX(PP_Grid[#Data],$DE1620,95),0)</f>
        <v/>
      </c>
      <c r="CU1620">
        <f>IFERROR(INDEX(PP_Grid[#Data],$DE1620,96),0)</f>
        <v/>
      </c>
      <c r="CV1620">
        <f>IFERROR(INDEX(PP_Grid[#Data],$DE1620,97),0)</f>
        <v/>
      </c>
      <c r="CW1620">
        <f>IFERROR(INDEX(PP_Grid[#Data],$DE1620,98),0)</f>
        <v/>
      </c>
      <c r="CX1620">
        <f>IFERROR(INDEX(PP_Grid[#Data],$DE1620,99),0)</f>
        <v/>
      </c>
      <c r="CY1620">
        <f>IFERROR(INDEX(PP_Grid[#Data],$DE1620,100),0)</f>
        <v/>
      </c>
      <c r="CZ1620">
        <f>IFERROR(INDEX(PP_Grid[#Data],$DE1620,101),0)</f>
        <v/>
      </c>
      <c r="DA1620">
        <f>IFERROR(INDEX(PP_Grid[#Data],$DE1620,102),0)</f>
        <v/>
      </c>
      <c r="DB1620">
        <f>IFERROR(INDEX(PP_Grid[#Data],$DE1620,103),0)</f>
        <v/>
      </c>
      <c r="DC1620">
        <f>IFERROR(INDEX(PP_Grid[#Data],$DE1620,104),0)</f>
        <v/>
      </c>
      <c r="DD1620">
        <f>IFERROR(INDEX(PP_Grid[#Data],$DE1620,105),0)</f>
        <v/>
      </c>
      <c r="DE1620" s="7">
        <f>IFERROR(MATCH($B1620,PP_Grid[Intermediate],0),99999)</f>
        <v/>
      </c>
    </row>
    <row r="1621">
      <c r="B1621" t="inlineStr">
        <is>
          <t>使用量(kg)</t>
        </is>
      </c>
      <c r="C1621">
        <f>SUMIFS(M_BOM[RM_Qty_Per_Batch],M_BOM[Intermediate],$B1620,M_BOM[RM_Code],$A1615)</f>
        <v/>
      </c>
      <c r="D1621">
        <f>IFERROR(INDEX(E1621:DD1621,$F$1),"")</f>
        <v/>
      </c>
      <c r="E1621">
        <f>$C1621*E1620</f>
        <v/>
      </c>
      <c r="F1621">
        <f>$C1621*F1620</f>
        <v/>
      </c>
      <c r="G1621">
        <f>$C1621*G1620</f>
        <v/>
      </c>
      <c r="H1621">
        <f>$C1621*H1620</f>
        <v/>
      </c>
      <c r="I1621">
        <f>$C1621*I1620</f>
        <v/>
      </c>
      <c r="J1621">
        <f>$C1621*J1620</f>
        <v/>
      </c>
      <c r="K1621">
        <f>$C1621*K1620</f>
        <v/>
      </c>
      <c r="L1621">
        <f>$C1621*L1620</f>
        <v/>
      </c>
      <c r="M1621">
        <f>$C1621*M1620</f>
        <v/>
      </c>
      <c r="N1621">
        <f>$C1621*N1620</f>
        <v/>
      </c>
      <c r="O1621">
        <f>$C1621*O1620</f>
        <v/>
      </c>
      <c r="P1621">
        <f>$C1621*P1620</f>
        <v/>
      </c>
      <c r="Q1621">
        <f>$C1621*Q1620</f>
        <v/>
      </c>
      <c r="R1621">
        <f>$C1621*R1620</f>
        <v/>
      </c>
      <c r="S1621">
        <f>$C1621*S1620</f>
        <v/>
      </c>
      <c r="T1621">
        <f>$C1621*T1620</f>
        <v/>
      </c>
      <c r="U1621">
        <f>$C1621*U1620</f>
        <v/>
      </c>
      <c r="V1621">
        <f>$C1621*V1620</f>
        <v/>
      </c>
      <c r="W1621">
        <f>$C1621*W1620</f>
        <v/>
      </c>
      <c r="X1621">
        <f>$C1621*X1620</f>
        <v/>
      </c>
      <c r="Y1621">
        <f>$C1621*Y1620</f>
        <v/>
      </c>
      <c r="Z1621">
        <f>$C1621*Z1620</f>
        <v/>
      </c>
      <c r="AA1621">
        <f>$C1621*AA1620</f>
        <v/>
      </c>
      <c r="AB1621">
        <f>$C1621*AB1620</f>
        <v/>
      </c>
      <c r="AC1621">
        <f>$C1621*AC1620</f>
        <v/>
      </c>
      <c r="AD1621">
        <f>$C1621*AD1620</f>
        <v/>
      </c>
      <c r="AE1621">
        <f>$C1621*AE1620</f>
        <v/>
      </c>
      <c r="AF1621">
        <f>$C1621*AF1620</f>
        <v/>
      </c>
      <c r="AG1621">
        <f>$C1621*AG1620</f>
        <v/>
      </c>
      <c r="AH1621">
        <f>$C1621*AH1620</f>
        <v/>
      </c>
      <c r="AI1621">
        <f>$C1621*AI1620</f>
        <v/>
      </c>
      <c r="AJ1621">
        <f>$C1621*AJ1620</f>
        <v/>
      </c>
      <c r="AK1621">
        <f>$C1621*AK1620</f>
        <v/>
      </c>
      <c r="AL1621">
        <f>$C1621*AL1620</f>
        <v/>
      </c>
      <c r="AM1621">
        <f>$C1621*AM1620</f>
        <v/>
      </c>
      <c r="AN1621">
        <f>$C1621*AN1620</f>
        <v/>
      </c>
      <c r="AO1621">
        <f>$C1621*AO1620</f>
        <v/>
      </c>
      <c r="AP1621">
        <f>$C1621*AP1620</f>
        <v/>
      </c>
      <c r="AQ1621">
        <f>$C1621*AQ1620</f>
        <v/>
      </c>
      <c r="AR1621">
        <f>$C1621*AR1620</f>
        <v/>
      </c>
      <c r="AS1621">
        <f>$C1621*AS1620</f>
        <v/>
      </c>
      <c r="AT1621">
        <f>$C1621*AT1620</f>
        <v/>
      </c>
      <c r="AU1621">
        <f>$C1621*AU1620</f>
        <v/>
      </c>
      <c r="AV1621">
        <f>$C1621*AV1620</f>
        <v/>
      </c>
      <c r="AW1621">
        <f>$C1621*AW1620</f>
        <v/>
      </c>
      <c r="AX1621">
        <f>$C1621*AX1620</f>
        <v/>
      </c>
      <c r="AY1621">
        <f>$C1621*AY1620</f>
        <v/>
      </c>
      <c r="AZ1621">
        <f>$C1621*AZ1620</f>
        <v/>
      </c>
      <c r="BA1621">
        <f>$C1621*BA1620</f>
        <v/>
      </c>
      <c r="BB1621">
        <f>$C1621*BB1620</f>
        <v/>
      </c>
      <c r="BC1621">
        <f>$C1621*BC1620</f>
        <v/>
      </c>
      <c r="BD1621">
        <f>$C1621*BD1620</f>
        <v/>
      </c>
      <c r="BE1621">
        <f>$C1621*BE1620</f>
        <v/>
      </c>
      <c r="BF1621">
        <f>$C1621*BF1620</f>
        <v/>
      </c>
      <c r="BG1621">
        <f>$C1621*BG1620</f>
        <v/>
      </c>
      <c r="BH1621">
        <f>$C1621*BH1620</f>
        <v/>
      </c>
      <c r="BI1621">
        <f>$C1621*BI1620</f>
        <v/>
      </c>
      <c r="BJ1621">
        <f>$C1621*BJ1620</f>
        <v/>
      </c>
      <c r="BK1621">
        <f>$C1621*BK1620</f>
        <v/>
      </c>
      <c r="BL1621">
        <f>$C1621*BL1620</f>
        <v/>
      </c>
      <c r="BM1621">
        <f>$C1621*BM1620</f>
        <v/>
      </c>
      <c r="BN1621">
        <f>$C1621*BN1620</f>
        <v/>
      </c>
      <c r="BO1621">
        <f>$C1621*BO1620</f>
        <v/>
      </c>
      <c r="BP1621">
        <f>$C1621*BP1620</f>
        <v/>
      </c>
      <c r="BQ1621">
        <f>$C1621*BQ1620</f>
        <v/>
      </c>
      <c r="BR1621">
        <f>$C1621*BR1620</f>
        <v/>
      </c>
      <c r="BS1621">
        <f>$C1621*BS1620</f>
        <v/>
      </c>
      <c r="BT1621">
        <f>$C1621*BT1620</f>
        <v/>
      </c>
      <c r="BU1621">
        <f>$C1621*BU1620</f>
        <v/>
      </c>
      <c r="BV1621">
        <f>$C1621*BV1620</f>
        <v/>
      </c>
      <c r="BW1621">
        <f>$C1621*BW1620</f>
        <v/>
      </c>
      <c r="BX1621">
        <f>$C1621*BX1620</f>
        <v/>
      </c>
      <c r="BY1621">
        <f>$C1621*BY1620</f>
        <v/>
      </c>
      <c r="BZ1621">
        <f>$C1621*BZ1620</f>
        <v/>
      </c>
      <c r="CA1621">
        <f>$C1621*CA1620</f>
        <v/>
      </c>
      <c r="CB1621">
        <f>$C1621*CB1620</f>
        <v/>
      </c>
      <c r="CC1621">
        <f>$C1621*CC1620</f>
        <v/>
      </c>
      <c r="CD1621">
        <f>$C1621*CD1620</f>
        <v/>
      </c>
      <c r="CE1621">
        <f>$C1621*CE1620</f>
        <v/>
      </c>
      <c r="CF1621">
        <f>$C1621*CF1620</f>
        <v/>
      </c>
      <c r="CG1621">
        <f>$C1621*CG1620</f>
        <v/>
      </c>
      <c r="CH1621">
        <f>$C1621*CH1620</f>
        <v/>
      </c>
      <c r="CI1621">
        <f>$C1621*CI1620</f>
        <v/>
      </c>
      <c r="CJ1621">
        <f>$C1621*CJ1620</f>
        <v/>
      </c>
      <c r="CK1621">
        <f>$C1621*CK1620</f>
        <v/>
      </c>
      <c r="CL1621">
        <f>$C1621*CL1620</f>
        <v/>
      </c>
      <c r="CM1621">
        <f>$C1621*CM1620</f>
        <v/>
      </c>
      <c r="CN1621">
        <f>$C1621*CN1620</f>
        <v/>
      </c>
      <c r="CO1621">
        <f>$C1621*CO1620</f>
        <v/>
      </c>
      <c r="CP1621">
        <f>$C1621*CP1620</f>
        <v/>
      </c>
      <c r="CQ1621">
        <f>$C1621*CQ1620</f>
        <v/>
      </c>
      <c r="CR1621">
        <f>$C1621*CR1620</f>
        <v/>
      </c>
      <c r="CS1621">
        <f>$C1621*CS1620</f>
        <v/>
      </c>
      <c r="CT1621">
        <f>$C1621*CT1620</f>
        <v/>
      </c>
      <c r="CU1621">
        <f>$C1621*CU1620</f>
        <v/>
      </c>
      <c r="CV1621">
        <f>$C1621*CV1620</f>
        <v/>
      </c>
      <c r="CW1621">
        <f>$C1621*CW1620</f>
        <v/>
      </c>
      <c r="CX1621">
        <f>$C1621*CX1620</f>
        <v/>
      </c>
      <c r="CY1621">
        <f>$C1621*CY1620</f>
        <v/>
      </c>
      <c r="CZ1621">
        <f>$C1621*CZ1620</f>
        <v/>
      </c>
      <c r="DA1621">
        <f>$C1621*DA1620</f>
        <v/>
      </c>
      <c r="DB1621">
        <f>$C1621*DB1620</f>
        <v/>
      </c>
      <c r="DC1621">
        <f>$C1621*DC1620</f>
        <v/>
      </c>
      <c r="DD1621">
        <f>$C1621*DD1620</f>
        <v/>
      </c>
    </row>
    <row r="1622">
      <c r="B1622" s="4" t="inlineStr">
        <is>
          <t>合計使用量(kg)/週</t>
        </is>
      </c>
      <c r="D1622" s="23">
        <f>IFERROR(INDEX(E1622:DD1622,$F$1),"")</f>
        <v/>
      </c>
      <c r="E1622">
        <f>'Grid_Requirement'!B42</f>
        <v/>
      </c>
      <c r="F1622">
        <f>'Grid_Requirement'!C42</f>
        <v/>
      </c>
      <c r="G1622">
        <f>'Grid_Requirement'!D42</f>
        <v/>
      </c>
      <c r="H1622">
        <f>'Grid_Requirement'!E42</f>
        <v/>
      </c>
      <c r="I1622">
        <f>'Grid_Requirement'!F42</f>
        <v/>
      </c>
      <c r="J1622">
        <f>'Grid_Requirement'!G42</f>
        <v/>
      </c>
      <c r="K1622">
        <f>'Grid_Requirement'!H42</f>
        <v/>
      </c>
      <c r="L1622">
        <f>'Grid_Requirement'!I42</f>
        <v/>
      </c>
      <c r="M1622">
        <f>'Grid_Requirement'!J42</f>
        <v/>
      </c>
      <c r="N1622">
        <f>'Grid_Requirement'!K42</f>
        <v/>
      </c>
      <c r="O1622">
        <f>'Grid_Requirement'!L42</f>
        <v/>
      </c>
      <c r="P1622">
        <f>'Grid_Requirement'!M42</f>
        <v/>
      </c>
      <c r="Q1622">
        <f>'Grid_Requirement'!N42</f>
        <v/>
      </c>
      <c r="R1622">
        <f>'Grid_Requirement'!O42</f>
        <v/>
      </c>
      <c r="S1622">
        <f>'Grid_Requirement'!P42</f>
        <v/>
      </c>
      <c r="T1622">
        <f>'Grid_Requirement'!Q42</f>
        <v/>
      </c>
      <c r="U1622">
        <f>'Grid_Requirement'!R42</f>
        <v/>
      </c>
      <c r="V1622">
        <f>'Grid_Requirement'!S42</f>
        <v/>
      </c>
      <c r="W1622">
        <f>'Grid_Requirement'!T42</f>
        <v/>
      </c>
      <c r="X1622">
        <f>'Grid_Requirement'!U42</f>
        <v/>
      </c>
      <c r="Y1622">
        <f>'Grid_Requirement'!V42</f>
        <v/>
      </c>
      <c r="Z1622">
        <f>'Grid_Requirement'!W42</f>
        <v/>
      </c>
      <c r="AA1622">
        <f>'Grid_Requirement'!X42</f>
        <v/>
      </c>
      <c r="AB1622">
        <f>'Grid_Requirement'!Y42</f>
        <v/>
      </c>
      <c r="AC1622">
        <f>'Grid_Requirement'!Z42</f>
        <v/>
      </c>
      <c r="AD1622">
        <f>'Grid_Requirement'!AA42</f>
        <v/>
      </c>
      <c r="AE1622">
        <f>'Grid_Requirement'!AB42</f>
        <v/>
      </c>
      <c r="AF1622">
        <f>'Grid_Requirement'!AC42</f>
        <v/>
      </c>
      <c r="AG1622">
        <f>'Grid_Requirement'!AD42</f>
        <v/>
      </c>
      <c r="AH1622">
        <f>'Grid_Requirement'!AE42</f>
        <v/>
      </c>
      <c r="AI1622">
        <f>'Grid_Requirement'!AF42</f>
        <v/>
      </c>
      <c r="AJ1622">
        <f>'Grid_Requirement'!AG42</f>
        <v/>
      </c>
      <c r="AK1622">
        <f>'Grid_Requirement'!AH42</f>
        <v/>
      </c>
      <c r="AL1622">
        <f>'Grid_Requirement'!AI42</f>
        <v/>
      </c>
      <c r="AM1622">
        <f>'Grid_Requirement'!AJ42</f>
        <v/>
      </c>
      <c r="AN1622">
        <f>'Grid_Requirement'!AK42</f>
        <v/>
      </c>
      <c r="AO1622">
        <f>'Grid_Requirement'!AL42</f>
        <v/>
      </c>
      <c r="AP1622">
        <f>'Grid_Requirement'!AM42</f>
        <v/>
      </c>
      <c r="AQ1622">
        <f>'Grid_Requirement'!AN42</f>
        <v/>
      </c>
      <c r="AR1622">
        <f>'Grid_Requirement'!AO42</f>
        <v/>
      </c>
      <c r="AS1622">
        <f>'Grid_Requirement'!AP42</f>
        <v/>
      </c>
      <c r="AT1622">
        <f>'Grid_Requirement'!AQ42</f>
        <v/>
      </c>
      <c r="AU1622">
        <f>'Grid_Requirement'!AR42</f>
        <v/>
      </c>
      <c r="AV1622">
        <f>'Grid_Requirement'!AS42</f>
        <v/>
      </c>
      <c r="AW1622">
        <f>'Grid_Requirement'!AT42</f>
        <v/>
      </c>
      <c r="AX1622">
        <f>'Grid_Requirement'!AU42</f>
        <v/>
      </c>
      <c r="AY1622">
        <f>'Grid_Requirement'!AV42</f>
        <v/>
      </c>
      <c r="AZ1622">
        <f>'Grid_Requirement'!AW42</f>
        <v/>
      </c>
      <c r="BA1622">
        <f>'Grid_Requirement'!AX42</f>
        <v/>
      </c>
      <c r="BB1622">
        <f>'Grid_Requirement'!AY42</f>
        <v/>
      </c>
      <c r="BC1622">
        <f>'Grid_Requirement'!AZ42</f>
        <v/>
      </c>
      <c r="BD1622">
        <f>'Grid_Requirement'!BA42</f>
        <v/>
      </c>
      <c r="BE1622">
        <f>'Grid_Requirement'!BB42</f>
        <v/>
      </c>
      <c r="BF1622">
        <f>'Grid_Requirement'!BC42</f>
        <v/>
      </c>
      <c r="BG1622">
        <f>'Grid_Requirement'!BD42</f>
        <v/>
      </c>
      <c r="BH1622">
        <f>'Grid_Requirement'!BE42</f>
        <v/>
      </c>
      <c r="BI1622">
        <f>'Grid_Requirement'!BF42</f>
        <v/>
      </c>
      <c r="BJ1622">
        <f>'Grid_Requirement'!BG42</f>
        <v/>
      </c>
      <c r="BK1622">
        <f>'Grid_Requirement'!BH42</f>
        <v/>
      </c>
      <c r="BL1622">
        <f>'Grid_Requirement'!BI42</f>
        <v/>
      </c>
      <c r="BM1622">
        <f>'Grid_Requirement'!BJ42</f>
        <v/>
      </c>
      <c r="BN1622">
        <f>'Grid_Requirement'!BK42</f>
        <v/>
      </c>
      <c r="BO1622">
        <f>'Grid_Requirement'!BL42</f>
        <v/>
      </c>
      <c r="BP1622">
        <f>'Grid_Requirement'!BM42</f>
        <v/>
      </c>
      <c r="BQ1622">
        <f>'Grid_Requirement'!BN42</f>
        <v/>
      </c>
      <c r="BR1622">
        <f>'Grid_Requirement'!BO42</f>
        <v/>
      </c>
      <c r="BS1622">
        <f>'Grid_Requirement'!BP42</f>
        <v/>
      </c>
      <c r="BT1622">
        <f>'Grid_Requirement'!BQ42</f>
        <v/>
      </c>
      <c r="BU1622">
        <f>'Grid_Requirement'!BR42</f>
        <v/>
      </c>
      <c r="BV1622">
        <f>'Grid_Requirement'!BS42</f>
        <v/>
      </c>
      <c r="BW1622">
        <f>'Grid_Requirement'!BT42</f>
        <v/>
      </c>
      <c r="BX1622">
        <f>'Grid_Requirement'!BU42</f>
        <v/>
      </c>
      <c r="BY1622">
        <f>'Grid_Requirement'!BV42</f>
        <v/>
      </c>
      <c r="BZ1622">
        <f>'Grid_Requirement'!BW42</f>
        <v/>
      </c>
      <c r="CA1622">
        <f>'Grid_Requirement'!BX42</f>
        <v/>
      </c>
      <c r="CB1622">
        <f>'Grid_Requirement'!BY42</f>
        <v/>
      </c>
      <c r="CC1622">
        <f>'Grid_Requirement'!BZ42</f>
        <v/>
      </c>
      <c r="CD1622">
        <f>'Grid_Requirement'!CA42</f>
        <v/>
      </c>
      <c r="CE1622">
        <f>'Grid_Requirement'!CB42</f>
        <v/>
      </c>
      <c r="CF1622">
        <f>'Grid_Requirement'!CC42</f>
        <v/>
      </c>
      <c r="CG1622">
        <f>'Grid_Requirement'!CD42</f>
        <v/>
      </c>
      <c r="CH1622">
        <f>'Grid_Requirement'!CE42</f>
        <v/>
      </c>
      <c r="CI1622">
        <f>'Grid_Requirement'!CF42</f>
        <v/>
      </c>
      <c r="CJ1622">
        <f>'Grid_Requirement'!CG42</f>
        <v/>
      </c>
      <c r="CK1622">
        <f>'Grid_Requirement'!CH42</f>
        <v/>
      </c>
      <c r="CL1622">
        <f>'Grid_Requirement'!CI42</f>
        <v/>
      </c>
      <c r="CM1622">
        <f>'Grid_Requirement'!CJ42</f>
        <v/>
      </c>
      <c r="CN1622">
        <f>'Grid_Requirement'!CK42</f>
        <v/>
      </c>
      <c r="CO1622">
        <f>'Grid_Requirement'!CL42</f>
        <v/>
      </c>
      <c r="CP1622">
        <f>'Grid_Requirement'!CM42</f>
        <v/>
      </c>
      <c r="CQ1622">
        <f>'Grid_Requirement'!CN42</f>
        <v/>
      </c>
      <c r="CR1622">
        <f>'Grid_Requirement'!CO42</f>
        <v/>
      </c>
      <c r="CS1622">
        <f>'Grid_Requirement'!CP42</f>
        <v/>
      </c>
      <c r="CT1622">
        <f>'Grid_Requirement'!CQ42</f>
        <v/>
      </c>
      <c r="CU1622">
        <f>'Grid_Requirement'!CR42</f>
        <v/>
      </c>
      <c r="CV1622">
        <f>'Grid_Requirement'!CS42</f>
        <v/>
      </c>
      <c r="CW1622">
        <f>'Grid_Requirement'!CT42</f>
        <v/>
      </c>
      <c r="CX1622">
        <f>'Grid_Requirement'!CU42</f>
        <v/>
      </c>
      <c r="CY1622">
        <f>'Grid_Requirement'!CV42</f>
        <v/>
      </c>
      <c r="CZ1622">
        <f>'Grid_Requirement'!CW42</f>
        <v/>
      </c>
      <c r="DA1622">
        <f>'Grid_Requirement'!CX42</f>
        <v/>
      </c>
      <c r="DB1622">
        <f>'Grid_Requirement'!CY42</f>
        <v/>
      </c>
      <c r="DC1622">
        <f>'Grid_Requirement'!CZ42</f>
        <v/>
      </c>
      <c r="DD1622">
        <f>'Grid_Requirement'!DA42</f>
        <v/>
      </c>
    </row>
    <row r="1623">
      <c r="B1623" t="inlineStr">
        <is>
          <t>TTAF在庫(実績,kg)</t>
        </is>
      </c>
      <c r="D1623">
        <f>IFERROR(INDEX(E1623:DD1623,$F$1),"")</f>
        <v/>
      </c>
      <c r="E1623">
        <f>IFERROR(SUMIFS(T_TTAFStock[TTAF_Qty],T_TTAFStock[RM_Code],$A1615,T_TTAFStock[WeekIndex],1),"")</f>
        <v/>
      </c>
      <c r="F1623">
        <f>IFERROR(SUMIFS(T_TTAFStock[TTAF_Qty],T_TTAFStock[RM_Code],$A1615,T_TTAFStock[WeekIndex],2),"")</f>
        <v/>
      </c>
      <c r="G1623">
        <f>IFERROR(SUMIFS(T_TTAFStock[TTAF_Qty],T_TTAFStock[RM_Code],$A1615,T_TTAFStock[WeekIndex],3),"")</f>
        <v/>
      </c>
      <c r="H1623">
        <f>IFERROR(SUMIFS(T_TTAFStock[TTAF_Qty],T_TTAFStock[RM_Code],$A1615,T_TTAFStock[WeekIndex],4),"")</f>
        <v/>
      </c>
      <c r="I1623">
        <f>IFERROR(SUMIFS(T_TTAFStock[TTAF_Qty],T_TTAFStock[RM_Code],$A1615,T_TTAFStock[WeekIndex],5),"")</f>
        <v/>
      </c>
      <c r="J1623">
        <f>IFERROR(SUMIFS(T_TTAFStock[TTAF_Qty],T_TTAFStock[RM_Code],$A1615,T_TTAFStock[WeekIndex],6),"")</f>
        <v/>
      </c>
      <c r="K1623">
        <f>IFERROR(SUMIFS(T_TTAFStock[TTAF_Qty],T_TTAFStock[RM_Code],$A1615,T_TTAFStock[WeekIndex],7),"")</f>
        <v/>
      </c>
      <c r="L1623">
        <f>IFERROR(SUMIFS(T_TTAFStock[TTAF_Qty],T_TTAFStock[RM_Code],$A1615,T_TTAFStock[WeekIndex],8),"")</f>
        <v/>
      </c>
      <c r="M1623">
        <f>IFERROR(SUMIFS(T_TTAFStock[TTAF_Qty],T_TTAFStock[RM_Code],$A1615,T_TTAFStock[WeekIndex],9),"")</f>
        <v/>
      </c>
      <c r="N1623">
        <f>IFERROR(SUMIFS(T_TTAFStock[TTAF_Qty],T_TTAFStock[RM_Code],$A1615,T_TTAFStock[WeekIndex],10),"")</f>
        <v/>
      </c>
      <c r="O1623">
        <f>IFERROR(SUMIFS(T_TTAFStock[TTAF_Qty],T_TTAFStock[RM_Code],$A1615,T_TTAFStock[WeekIndex],11),"")</f>
        <v/>
      </c>
      <c r="P1623">
        <f>IFERROR(SUMIFS(T_TTAFStock[TTAF_Qty],T_TTAFStock[RM_Code],$A1615,T_TTAFStock[WeekIndex],12),"")</f>
        <v/>
      </c>
      <c r="Q1623">
        <f>IFERROR(SUMIFS(T_TTAFStock[TTAF_Qty],T_TTAFStock[RM_Code],$A1615,T_TTAFStock[WeekIndex],13),"")</f>
        <v/>
      </c>
      <c r="R1623">
        <f>IFERROR(SUMIFS(T_TTAFStock[TTAF_Qty],T_TTAFStock[RM_Code],$A1615,T_TTAFStock[WeekIndex],14),"")</f>
        <v/>
      </c>
      <c r="S1623">
        <f>IFERROR(SUMIFS(T_TTAFStock[TTAF_Qty],T_TTAFStock[RM_Code],$A1615,T_TTAFStock[WeekIndex],15),"")</f>
        <v/>
      </c>
      <c r="T1623">
        <f>IFERROR(SUMIFS(T_TTAFStock[TTAF_Qty],T_TTAFStock[RM_Code],$A1615,T_TTAFStock[WeekIndex],16),"")</f>
        <v/>
      </c>
      <c r="U1623">
        <f>IFERROR(SUMIFS(T_TTAFStock[TTAF_Qty],T_TTAFStock[RM_Code],$A1615,T_TTAFStock[WeekIndex],17),"")</f>
        <v/>
      </c>
      <c r="V1623">
        <f>IFERROR(SUMIFS(T_TTAFStock[TTAF_Qty],T_TTAFStock[RM_Code],$A1615,T_TTAFStock[WeekIndex],18),"")</f>
        <v/>
      </c>
      <c r="W1623">
        <f>IFERROR(SUMIFS(T_TTAFStock[TTAF_Qty],T_TTAFStock[RM_Code],$A1615,T_TTAFStock[WeekIndex],19),"")</f>
        <v/>
      </c>
      <c r="X1623">
        <f>IFERROR(SUMIFS(T_TTAFStock[TTAF_Qty],T_TTAFStock[RM_Code],$A1615,T_TTAFStock[WeekIndex],20),"")</f>
        <v/>
      </c>
      <c r="Y1623">
        <f>IFERROR(SUMIFS(T_TTAFStock[TTAF_Qty],T_TTAFStock[RM_Code],$A1615,T_TTAFStock[WeekIndex],21),"")</f>
        <v/>
      </c>
      <c r="Z1623">
        <f>IFERROR(SUMIFS(T_TTAFStock[TTAF_Qty],T_TTAFStock[RM_Code],$A1615,T_TTAFStock[WeekIndex],22),"")</f>
        <v/>
      </c>
      <c r="AA1623">
        <f>IFERROR(SUMIFS(T_TTAFStock[TTAF_Qty],T_TTAFStock[RM_Code],$A1615,T_TTAFStock[WeekIndex],23),"")</f>
        <v/>
      </c>
      <c r="AB1623">
        <f>IFERROR(SUMIFS(T_TTAFStock[TTAF_Qty],T_TTAFStock[RM_Code],$A1615,T_TTAFStock[WeekIndex],24),"")</f>
        <v/>
      </c>
      <c r="AC1623">
        <f>IFERROR(SUMIFS(T_TTAFStock[TTAF_Qty],T_TTAFStock[RM_Code],$A1615,T_TTAFStock[WeekIndex],25),"")</f>
        <v/>
      </c>
      <c r="AD1623">
        <f>IFERROR(SUMIFS(T_TTAFStock[TTAF_Qty],T_TTAFStock[RM_Code],$A1615,T_TTAFStock[WeekIndex],26),"")</f>
        <v/>
      </c>
      <c r="AE1623">
        <f>IFERROR(SUMIFS(T_TTAFStock[TTAF_Qty],T_TTAFStock[RM_Code],$A1615,T_TTAFStock[WeekIndex],27),"")</f>
        <v/>
      </c>
      <c r="AF1623">
        <f>IFERROR(SUMIFS(T_TTAFStock[TTAF_Qty],T_TTAFStock[RM_Code],$A1615,T_TTAFStock[WeekIndex],28),"")</f>
        <v/>
      </c>
      <c r="AG1623">
        <f>IFERROR(SUMIFS(T_TTAFStock[TTAF_Qty],T_TTAFStock[RM_Code],$A1615,T_TTAFStock[WeekIndex],29),"")</f>
        <v/>
      </c>
      <c r="AH1623">
        <f>IFERROR(SUMIFS(T_TTAFStock[TTAF_Qty],T_TTAFStock[RM_Code],$A1615,T_TTAFStock[WeekIndex],30),"")</f>
        <v/>
      </c>
      <c r="AI1623">
        <f>IFERROR(SUMIFS(T_TTAFStock[TTAF_Qty],T_TTAFStock[RM_Code],$A1615,T_TTAFStock[WeekIndex],31),"")</f>
        <v/>
      </c>
      <c r="AJ1623">
        <f>IFERROR(SUMIFS(T_TTAFStock[TTAF_Qty],T_TTAFStock[RM_Code],$A1615,T_TTAFStock[WeekIndex],32),"")</f>
        <v/>
      </c>
      <c r="AK1623">
        <f>IFERROR(SUMIFS(T_TTAFStock[TTAF_Qty],T_TTAFStock[RM_Code],$A1615,T_TTAFStock[WeekIndex],33),"")</f>
        <v/>
      </c>
      <c r="AL1623">
        <f>IFERROR(SUMIFS(T_TTAFStock[TTAF_Qty],T_TTAFStock[RM_Code],$A1615,T_TTAFStock[WeekIndex],34),"")</f>
        <v/>
      </c>
      <c r="AM1623">
        <f>IFERROR(SUMIFS(T_TTAFStock[TTAF_Qty],T_TTAFStock[RM_Code],$A1615,T_TTAFStock[WeekIndex],35),"")</f>
        <v/>
      </c>
      <c r="AN1623">
        <f>IFERROR(SUMIFS(T_TTAFStock[TTAF_Qty],T_TTAFStock[RM_Code],$A1615,T_TTAFStock[WeekIndex],36),"")</f>
        <v/>
      </c>
      <c r="AO1623">
        <f>IFERROR(SUMIFS(T_TTAFStock[TTAF_Qty],T_TTAFStock[RM_Code],$A1615,T_TTAFStock[WeekIndex],37),"")</f>
        <v/>
      </c>
      <c r="AP1623">
        <f>IFERROR(SUMIFS(T_TTAFStock[TTAF_Qty],T_TTAFStock[RM_Code],$A1615,T_TTAFStock[WeekIndex],38),"")</f>
        <v/>
      </c>
      <c r="AQ1623">
        <f>IFERROR(SUMIFS(T_TTAFStock[TTAF_Qty],T_TTAFStock[RM_Code],$A1615,T_TTAFStock[WeekIndex],39),"")</f>
        <v/>
      </c>
      <c r="AR1623">
        <f>IFERROR(SUMIFS(T_TTAFStock[TTAF_Qty],T_TTAFStock[RM_Code],$A1615,T_TTAFStock[WeekIndex],40),"")</f>
        <v/>
      </c>
      <c r="AS1623">
        <f>IFERROR(SUMIFS(T_TTAFStock[TTAF_Qty],T_TTAFStock[RM_Code],$A1615,T_TTAFStock[WeekIndex],41),"")</f>
        <v/>
      </c>
      <c r="AT1623">
        <f>IFERROR(SUMIFS(T_TTAFStock[TTAF_Qty],T_TTAFStock[RM_Code],$A1615,T_TTAFStock[WeekIndex],42),"")</f>
        <v/>
      </c>
      <c r="AU1623">
        <f>IFERROR(SUMIFS(T_TTAFStock[TTAF_Qty],T_TTAFStock[RM_Code],$A1615,T_TTAFStock[WeekIndex],43),"")</f>
        <v/>
      </c>
      <c r="AV1623">
        <f>IFERROR(SUMIFS(T_TTAFStock[TTAF_Qty],T_TTAFStock[RM_Code],$A1615,T_TTAFStock[WeekIndex],44),"")</f>
        <v/>
      </c>
      <c r="AW1623">
        <f>IFERROR(SUMIFS(T_TTAFStock[TTAF_Qty],T_TTAFStock[RM_Code],$A1615,T_TTAFStock[WeekIndex],45),"")</f>
        <v/>
      </c>
      <c r="AX1623">
        <f>IFERROR(SUMIFS(T_TTAFStock[TTAF_Qty],T_TTAFStock[RM_Code],$A1615,T_TTAFStock[WeekIndex],46),"")</f>
        <v/>
      </c>
      <c r="AY1623">
        <f>IFERROR(SUMIFS(T_TTAFStock[TTAF_Qty],T_TTAFStock[RM_Code],$A1615,T_TTAFStock[WeekIndex],47),"")</f>
        <v/>
      </c>
      <c r="AZ1623">
        <f>IFERROR(SUMIFS(T_TTAFStock[TTAF_Qty],T_TTAFStock[RM_Code],$A1615,T_TTAFStock[WeekIndex],48),"")</f>
        <v/>
      </c>
      <c r="BA1623">
        <f>IFERROR(SUMIFS(T_TTAFStock[TTAF_Qty],T_TTAFStock[RM_Code],$A1615,T_TTAFStock[WeekIndex],49),"")</f>
        <v/>
      </c>
      <c r="BB1623">
        <f>IFERROR(SUMIFS(T_TTAFStock[TTAF_Qty],T_TTAFStock[RM_Code],$A1615,T_TTAFStock[WeekIndex],50),"")</f>
        <v/>
      </c>
      <c r="BC1623">
        <f>IFERROR(SUMIFS(T_TTAFStock[TTAF_Qty],T_TTAFStock[RM_Code],$A1615,T_TTAFStock[WeekIndex],51),"")</f>
        <v/>
      </c>
      <c r="BD1623">
        <f>IFERROR(SUMIFS(T_TTAFStock[TTAF_Qty],T_TTAFStock[RM_Code],$A1615,T_TTAFStock[WeekIndex],52),"")</f>
        <v/>
      </c>
      <c r="BE1623">
        <f>IFERROR(SUMIFS(T_TTAFStock[TTAF_Qty],T_TTAFStock[RM_Code],$A1615,T_TTAFStock[WeekIndex],53),"")</f>
        <v/>
      </c>
      <c r="BF1623">
        <f>IFERROR(SUMIFS(T_TTAFStock[TTAF_Qty],T_TTAFStock[RM_Code],$A1615,T_TTAFStock[WeekIndex],54),"")</f>
        <v/>
      </c>
      <c r="BG1623">
        <f>IFERROR(SUMIFS(T_TTAFStock[TTAF_Qty],T_TTAFStock[RM_Code],$A1615,T_TTAFStock[WeekIndex],55),"")</f>
        <v/>
      </c>
      <c r="BH1623">
        <f>IFERROR(SUMIFS(T_TTAFStock[TTAF_Qty],T_TTAFStock[RM_Code],$A1615,T_TTAFStock[WeekIndex],56),"")</f>
        <v/>
      </c>
      <c r="BI1623">
        <f>IFERROR(SUMIFS(T_TTAFStock[TTAF_Qty],T_TTAFStock[RM_Code],$A1615,T_TTAFStock[WeekIndex],57),"")</f>
        <v/>
      </c>
      <c r="BJ1623">
        <f>IFERROR(SUMIFS(T_TTAFStock[TTAF_Qty],T_TTAFStock[RM_Code],$A1615,T_TTAFStock[WeekIndex],58),"")</f>
        <v/>
      </c>
      <c r="BK1623">
        <f>IFERROR(SUMIFS(T_TTAFStock[TTAF_Qty],T_TTAFStock[RM_Code],$A1615,T_TTAFStock[WeekIndex],59),"")</f>
        <v/>
      </c>
      <c r="BL1623">
        <f>IFERROR(SUMIFS(T_TTAFStock[TTAF_Qty],T_TTAFStock[RM_Code],$A1615,T_TTAFStock[WeekIndex],60),"")</f>
        <v/>
      </c>
      <c r="BM1623">
        <f>IFERROR(SUMIFS(T_TTAFStock[TTAF_Qty],T_TTAFStock[RM_Code],$A1615,T_TTAFStock[WeekIndex],61),"")</f>
        <v/>
      </c>
      <c r="BN1623">
        <f>IFERROR(SUMIFS(T_TTAFStock[TTAF_Qty],T_TTAFStock[RM_Code],$A1615,T_TTAFStock[WeekIndex],62),"")</f>
        <v/>
      </c>
      <c r="BO1623">
        <f>IFERROR(SUMIFS(T_TTAFStock[TTAF_Qty],T_TTAFStock[RM_Code],$A1615,T_TTAFStock[WeekIndex],63),"")</f>
        <v/>
      </c>
      <c r="BP1623">
        <f>IFERROR(SUMIFS(T_TTAFStock[TTAF_Qty],T_TTAFStock[RM_Code],$A1615,T_TTAFStock[WeekIndex],64),"")</f>
        <v/>
      </c>
      <c r="BQ1623">
        <f>IFERROR(SUMIFS(T_TTAFStock[TTAF_Qty],T_TTAFStock[RM_Code],$A1615,T_TTAFStock[WeekIndex],65),"")</f>
        <v/>
      </c>
      <c r="BR1623">
        <f>IFERROR(SUMIFS(T_TTAFStock[TTAF_Qty],T_TTAFStock[RM_Code],$A1615,T_TTAFStock[WeekIndex],66),"")</f>
        <v/>
      </c>
      <c r="BS1623">
        <f>IFERROR(SUMIFS(T_TTAFStock[TTAF_Qty],T_TTAFStock[RM_Code],$A1615,T_TTAFStock[WeekIndex],67),"")</f>
        <v/>
      </c>
      <c r="BT1623">
        <f>IFERROR(SUMIFS(T_TTAFStock[TTAF_Qty],T_TTAFStock[RM_Code],$A1615,T_TTAFStock[WeekIndex],68),"")</f>
        <v/>
      </c>
      <c r="BU1623">
        <f>IFERROR(SUMIFS(T_TTAFStock[TTAF_Qty],T_TTAFStock[RM_Code],$A1615,T_TTAFStock[WeekIndex],69),"")</f>
        <v/>
      </c>
      <c r="BV1623">
        <f>IFERROR(SUMIFS(T_TTAFStock[TTAF_Qty],T_TTAFStock[RM_Code],$A1615,T_TTAFStock[WeekIndex],70),"")</f>
        <v/>
      </c>
      <c r="BW1623">
        <f>IFERROR(SUMIFS(T_TTAFStock[TTAF_Qty],T_TTAFStock[RM_Code],$A1615,T_TTAFStock[WeekIndex],71),"")</f>
        <v/>
      </c>
      <c r="BX1623">
        <f>IFERROR(SUMIFS(T_TTAFStock[TTAF_Qty],T_TTAFStock[RM_Code],$A1615,T_TTAFStock[WeekIndex],72),"")</f>
        <v/>
      </c>
      <c r="BY1623">
        <f>IFERROR(SUMIFS(T_TTAFStock[TTAF_Qty],T_TTAFStock[RM_Code],$A1615,T_TTAFStock[WeekIndex],73),"")</f>
        <v/>
      </c>
      <c r="BZ1623">
        <f>IFERROR(SUMIFS(T_TTAFStock[TTAF_Qty],T_TTAFStock[RM_Code],$A1615,T_TTAFStock[WeekIndex],74),"")</f>
        <v/>
      </c>
      <c r="CA1623">
        <f>IFERROR(SUMIFS(T_TTAFStock[TTAF_Qty],T_TTAFStock[RM_Code],$A1615,T_TTAFStock[WeekIndex],75),"")</f>
        <v/>
      </c>
      <c r="CB1623">
        <f>IFERROR(SUMIFS(T_TTAFStock[TTAF_Qty],T_TTAFStock[RM_Code],$A1615,T_TTAFStock[WeekIndex],76),"")</f>
        <v/>
      </c>
      <c r="CC1623">
        <f>IFERROR(SUMIFS(T_TTAFStock[TTAF_Qty],T_TTAFStock[RM_Code],$A1615,T_TTAFStock[WeekIndex],77),"")</f>
        <v/>
      </c>
      <c r="CD1623">
        <f>IFERROR(SUMIFS(T_TTAFStock[TTAF_Qty],T_TTAFStock[RM_Code],$A1615,T_TTAFStock[WeekIndex],78),"")</f>
        <v/>
      </c>
      <c r="CE1623">
        <f>IFERROR(SUMIFS(T_TTAFStock[TTAF_Qty],T_TTAFStock[RM_Code],$A1615,T_TTAFStock[WeekIndex],79),"")</f>
        <v/>
      </c>
      <c r="CF1623">
        <f>IFERROR(SUMIFS(T_TTAFStock[TTAF_Qty],T_TTAFStock[RM_Code],$A1615,T_TTAFStock[WeekIndex],80),"")</f>
        <v/>
      </c>
      <c r="CG1623">
        <f>IFERROR(SUMIFS(T_TTAFStock[TTAF_Qty],T_TTAFStock[RM_Code],$A1615,T_TTAFStock[WeekIndex],81),"")</f>
        <v/>
      </c>
      <c r="CH1623">
        <f>IFERROR(SUMIFS(T_TTAFStock[TTAF_Qty],T_TTAFStock[RM_Code],$A1615,T_TTAFStock[WeekIndex],82),"")</f>
        <v/>
      </c>
      <c r="CI1623">
        <f>IFERROR(SUMIFS(T_TTAFStock[TTAF_Qty],T_TTAFStock[RM_Code],$A1615,T_TTAFStock[WeekIndex],83),"")</f>
        <v/>
      </c>
      <c r="CJ1623">
        <f>IFERROR(SUMIFS(T_TTAFStock[TTAF_Qty],T_TTAFStock[RM_Code],$A1615,T_TTAFStock[WeekIndex],84),"")</f>
        <v/>
      </c>
      <c r="CK1623">
        <f>IFERROR(SUMIFS(T_TTAFStock[TTAF_Qty],T_TTAFStock[RM_Code],$A1615,T_TTAFStock[WeekIndex],85),"")</f>
        <v/>
      </c>
      <c r="CL1623">
        <f>IFERROR(SUMIFS(T_TTAFStock[TTAF_Qty],T_TTAFStock[RM_Code],$A1615,T_TTAFStock[WeekIndex],86),"")</f>
        <v/>
      </c>
      <c r="CM1623">
        <f>IFERROR(SUMIFS(T_TTAFStock[TTAF_Qty],T_TTAFStock[RM_Code],$A1615,T_TTAFStock[WeekIndex],87),"")</f>
        <v/>
      </c>
      <c r="CN1623">
        <f>IFERROR(SUMIFS(T_TTAFStock[TTAF_Qty],T_TTAFStock[RM_Code],$A1615,T_TTAFStock[WeekIndex],88),"")</f>
        <v/>
      </c>
      <c r="CO1623">
        <f>IFERROR(SUMIFS(T_TTAFStock[TTAF_Qty],T_TTAFStock[RM_Code],$A1615,T_TTAFStock[WeekIndex],89),"")</f>
        <v/>
      </c>
      <c r="CP1623">
        <f>IFERROR(SUMIFS(T_TTAFStock[TTAF_Qty],T_TTAFStock[RM_Code],$A1615,T_TTAFStock[WeekIndex],90),"")</f>
        <v/>
      </c>
      <c r="CQ1623">
        <f>IFERROR(SUMIFS(T_TTAFStock[TTAF_Qty],T_TTAFStock[RM_Code],$A1615,T_TTAFStock[WeekIndex],91),"")</f>
        <v/>
      </c>
      <c r="CR1623">
        <f>IFERROR(SUMIFS(T_TTAFStock[TTAF_Qty],T_TTAFStock[RM_Code],$A1615,T_TTAFStock[WeekIndex],92),"")</f>
        <v/>
      </c>
      <c r="CS1623">
        <f>IFERROR(SUMIFS(T_TTAFStock[TTAF_Qty],T_TTAFStock[RM_Code],$A1615,T_TTAFStock[WeekIndex],93),"")</f>
        <v/>
      </c>
      <c r="CT1623">
        <f>IFERROR(SUMIFS(T_TTAFStock[TTAF_Qty],T_TTAFStock[RM_Code],$A1615,T_TTAFStock[WeekIndex],94),"")</f>
        <v/>
      </c>
      <c r="CU1623">
        <f>IFERROR(SUMIFS(T_TTAFStock[TTAF_Qty],T_TTAFStock[RM_Code],$A1615,T_TTAFStock[WeekIndex],95),"")</f>
        <v/>
      </c>
      <c r="CV1623">
        <f>IFERROR(SUMIFS(T_TTAFStock[TTAF_Qty],T_TTAFStock[RM_Code],$A1615,T_TTAFStock[WeekIndex],96),"")</f>
        <v/>
      </c>
      <c r="CW1623">
        <f>IFERROR(SUMIFS(T_TTAFStock[TTAF_Qty],T_TTAFStock[RM_Code],$A1615,T_TTAFStock[WeekIndex],97),"")</f>
        <v/>
      </c>
      <c r="CX1623">
        <f>IFERROR(SUMIFS(T_TTAFStock[TTAF_Qty],T_TTAFStock[RM_Code],$A1615,T_TTAFStock[WeekIndex],98),"")</f>
        <v/>
      </c>
      <c r="CY1623">
        <f>IFERROR(SUMIFS(T_TTAFStock[TTAF_Qty],T_TTAFStock[RM_Code],$A1615,T_TTAFStock[WeekIndex],99),"")</f>
        <v/>
      </c>
      <c r="CZ1623">
        <f>IFERROR(SUMIFS(T_TTAFStock[TTAF_Qty],T_TTAFStock[RM_Code],$A1615,T_TTAFStock[WeekIndex],100),"")</f>
        <v/>
      </c>
      <c r="DA1623">
        <f>IFERROR(SUMIFS(T_TTAFStock[TTAF_Qty],T_TTAFStock[RM_Code],$A1615,T_TTAFStock[WeekIndex],101),"")</f>
        <v/>
      </c>
      <c r="DB1623">
        <f>IFERROR(SUMIFS(T_TTAFStock[TTAF_Qty],T_TTAFStock[RM_Code],$A1615,T_TTAFStock[WeekIndex],102),"")</f>
        <v/>
      </c>
      <c r="DC1623">
        <f>IFERROR(SUMIFS(T_TTAFStock[TTAF_Qty],T_TTAFStock[RM_Code],$A1615,T_TTAFStock[WeekIndex],103),"")</f>
        <v/>
      </c>
      <c r="DD1623">
        <f>IFERROR(SUMIFS(T_TTAFStock[TTAF_Qty],T_TTAFStock[RM_Code],$A1615,T_TTAFStock[WeekIndex],104),"")</f>
        <v/>
      </c>
    </row>
    <row r="1624">
      <c r="B1624" t="inlineStr">
        <is>
          <t>自社在庫(実績,kg)</t>
        </is>
      </c>
      <c r="D1624">
        <f>IFERROR(INDEX(E1624:DD1624,$F$1),"")</f>
        <v/>
      </c>
      <c r="E1624">
        <f>IFERROR(SUMIFS(T_SelfStock[Self_Qty],T_SelfStock[RM_Code],$A1615,T_SelfStock[WeekIndex],1),"")</f>
        <v/>
      </c>
      <c r="F1624">
        <f>IFERROR(SUMIFS(T_SelfStock[Self_Qty],T_SelfStock[RM_Code],$A1615,T_SelfStock[WeekIndex],2),"")</f>
        <v/>
      </c>
      <c r="G1624">
        <f>IFERROR(SUMIFS(T_SelfStock[Self_Qty],T_SelfStock[RM_Code],$A1615,T_SelfStock[WeekIndex],3),"")</f>
        <v/>
      </c>
      <c r="H1624">
        <f>IFERROR(SUMIFS(T_SelfStock[Self_Qty],T_SelfStock[RM_Code],$A1615,T_SelfStock[WeekIndex],4),"")</f>
        <v/>
      </c>
      <c r="I1624">
        <f>IFERROR(SUMIFS(T_SelfStock[Self_Qty],T_SelfStock[RM_Code],$A1615,T_SelfStock[WeekIndex],5),"")</f>
        <v/>
      </c>
      <c r="J1624">
        <f>IFERROR(SUMIFS(T_SelfStock[Self_Qty],T_SelfStock[RM_Code],$A1615,T_SelfStock[WeekIndex],6),"")</f>
        <v/>
      </c>
      <c r="K1624">
        <f>IFERROR(SUMIFS(T_SelfStock[Self_Qty],T_SelfStock[RM_Code],$A1615,T_SelfStock[WeekIndex],7),"")</f>
        <v/>
      </c>
      <c r="L1624">
        <f>IFERROR(SUMIFS(T_SelfStock[Self_Qty],T_SelfStock[RM_Code],$A1615,T_SelfStock[WeekIndex],8),"")</f>
        <v/>
      </c>
      <c r="M1624">
        <f>IFERROR(SUMIFS(T_SelfStock[Self_Qty],T_SelfStock[RM_Code],$A1615,T_SelfStock[WeekIndex],9),"")</f>
        <v/>
      </c>
      <c r="N1624">
        <f>IFERROR(SUMIFS(T_SelfStock[Self_Qty],T_SelfStock[RM_Code],$A1615,T_SelfStock[WeekIndex],10),"")</f>
        <v/>
      </c>
      <c r="O1624">
        <f>IFERROR(SUMIFS(T_SelfStock[Self_Qty],T_SelfStock[RM_Code],$A1615,T_SelfStock[WeekIndex],11),"")</f>
        <v/>
      </c>
      <c r="P1624">
        <f>IFERROR(SUMIFS(T_SelfStock[Self_Qty],T_SelfStock[RM_Code],$A1615,T_SelfStock[WeekIndex],12),"")</f>
        <v/>
      </c>
      <c r="Q1624">
        <f>IFERROR(SUMIFS(T_SelfStock[Self_Qty],T_SelfStock[RM_Code],$A1615,T_SelfStock[WeekIndex],13),"")</f>
        <v/>
      </c>
      <c r="R1624">
        <f>IFERROR(SUMIFS(T_SelfStock[Self_Qty],T_SelfStock[RM_Code],$A1615,T_SelfStock[WeekIndex],14),"")</f>
        <v/>
      </c>
      <c r="S1624">
        <f>IFERROR(SUMIFS(T_SelfStock[Self_Qty],T_SelfStock[RM_Code],$A1615,T_SelfStock[WeekIndex],15),"")</f>
        <v/>
      </c>
      <c r="T1624">
        <f>IFERROR(SUMIFS(T_SelfStock[Self_Qty],T_SelfStock[RM_Code],$A1615,T_SelfStock[WeekIndex],16),"")</f>
        <v/>
      </c>
      <c r="U1624">
        <f>IFERROR(SUMIFS(T_SelfStock[Self_Qty],T_SelfStock[RM_Code],$A1615,T_SelfStock[WeekIndex],17),"")</f>
        <v/>
      </c>
      <c r="V1624">
        <f>IFERROR(SUMIFS(T_SelfStock[Self_Qty],T_SelfStock[RM_Code],$A1615,T_SelfStock[WeekIndex],18),"")</f>
        <v/>
      </c>
      <c r="W1624">
        <f>IFERROR(SUMIFS(T_SelfStock[Self_Qty],T_SelfStock[RM_Code],$A1615,T_SelfStock[WeekIndex],19),"")</f>
        <v/>
      </c>
      <c r="X1624">
        <f>IFERROR(SUMIFS(T_SelfStock[Self_Qty],T_SelfStock[RM_Code],$A1615,T_SelfStock[WeekIndex],20),"")</f>
        <v/>
      </c>
      <c r="Y1624">
        <f>IFERROR(SUMIFS(T_SelfStock[Self_Qty],T_SelfStock[RM_Code],$A1615,T_SelfStock[WeekIndex],21),"")</f>
        <v/>
      </c>
      <c r="Z1624">
        <f>IFERROR(SUMIFS(T_SelfStock[Self_Qty],T_SelfStock[RM_Code],$A1615,T_SelfStock[WeekIndex],22),"")</f>
        <v/>
      </c>
      <c r="AA1624">
        <f>IFERROR(SUMIFS(T_SelfStock[Self_Qty],T_SelfStock[RM_Code],$A1615,T_SelfStock[WeekIndex],23),"")</f>
        <v/>
      </c>
      <c r="AB1624">
        <f>IFERROR(SUMIFS(T_SelfStock[Self_Qty],T_SelfStock[RM_Code],$A1615,T_SelfStock[WeekIndex],24),"")</f>
        <v/>
      </c>
      <c r="AC1624">
        <f>IFERROR(SUMIFS(T_SelfStock[Self_Qty],T_SelfStock[RM_Code],$A1615,T_SelfStock[WeekIndex],25),"")</f>
        <v/>
      </c>
      <c r="AD1624">
        <f>IFERROR(SUMIFS(T_SelfStock[Self_Qty],T_SelfStock[RM_Code],$A1615,T_SelfStock[WeekIndex],26),"")</f>
        <v/>
      </c>
      <c r="AE1624">
        <f>IFERROR(SUMIFS(T_SelfStock[Self_Qty],T_SelfStock[RM_Code],$A1615,T_SelfStock[WeekIndex],27),"")</f>
        <v/>
      </c>
      <c r="AF1624">
        <f>IFERROR(SUMIFS(T_SelfStock[Self_Qty],T_SelfStock[RM_Code],$A1615,T_SelfStock[WeekIndex],28),"")</f>
        <v/>
      </c>
      <c r="AG1624">
        <f>IFERROR(SUMIFS(T_SelfStock[Self_Qty],T_SelfStock[RM_Code],$A1615,T_SelfStock[WeekIndex],29),"")</f>
        <v/>
      </c>
      <c r="AH1624">
        <f>IFERROR(SUMIFS(T_SelfStock[Self_Qty],T_SelfStock[RM_Code],$A1615,T_SelfStock[WeekIndex],30),"")</f>
        <v/>
      </c>
      <c r="AI1624">
        <f>IFERROR(SUMIFS(T_SelfStock[Self_Qty],T_SelfStock[RM_Code],$A1615,T_SelfStock[WeekIndex],31),"")</f>
        <v/>
      </c>
      <c r="AJ1624">
        <f>IFERROR(SUMIFS(T_SelfStock[Self_Qty],T_SelfStock[RM_Code],$A1615,T_SelfStock[WeekIndex],32),"")</f>
        <v/>
      </c>
      <c r="AK1624">
        <f>IFERROR(SUMIFS(T_SelfStock[Self_Qty],T_SelfStock[RM_Code],$A1615,T_SelfStock[WeekIndex],33),"")</f>
        <v/>
      </c>
      <c r="AL1624">
        <f>IFERROR(SUMIFS(T_SelfStock[Self_Qty],T_SelfStock[RM_Code],$A1615,T_SelfStock[WeekIndex],34),"")</f>
        <v/>
      </c>
      <c r="AM1624">
        <f>IFERROR(SUMIFS(T_SelfStock[Self_Qty],T_SelfStock[RM_Code],$A1615,T_SelfStock[WeekIndex],35),"")</f>
        <v/>
      </c>
      <c r="AN1624">
        <f>IFERROR(SUMIFS(T_SelfStock[Self_Qty],T_SelfStock[RM_Code],$A1615,T_SelfStock[WeekIndex],36),"")</f>
        <v/>
      </c>
      <c r="AO1624">
        <f>IFERROR(SUMIFS(T_SelfStock[Self_Qty],T_SelfStock[RM_Code],$A1615,T_SelfStock[WeekIndex],37),"")</f>
        <v/>
      </c>
      <c r="AP1624">
        <f>IFERROR(SUMIFS(T_SelfStock[Self_Qty],T_SelfStock[RM_Code],$A1615,T_SelfStock[WeekIndex],38),"")</f>
        <v/>
      </c>
      <c r="AQ1624">
        <f>IFERROR(SUMIFS(T_SelfStock[Self_Qty],T_SelfStock[RM_Code],$A1615,T_SelfStock[WeekIndex],39),"")</f>
        <v/>
      </c>
      <c r="AR1624">
        <f>IFERROR(SUMIFS(T_SelfStock[Self_Qty],T_SelfStock[RM_Code],$A1615,T_SelfStock[WeekIndex],40),"")</f>
        <v/>
      </c>
      <c r="AS1624">
        <f>IFERROR(SUMIFS(T_SelfStock[Self_Qty],T_SelfStock[RM_Code],$A1615,T_SelfStock[WeekIndex],41),"")</f>
        <v/>
      </c>
      <c r="AT1624">
        <f>IFERROR(SUMIFS(T_SelfStock[Self_Qty],T_SelfStock[RM_Code],$A1615,T_SelfStock[WeekIndex],42),"")</f>
        <v/>
      </c>
      <c r="AU1624">
        <f>IFERROR(SUMIFS(T_SelfStock[Self_Qty],T_SelfStock[RM_Code],$A1615,T_SelfStock[WeekIndex],43),"")</f>
        <v/>
      </c>
      <c r="AV1624">
        <f>IFERROR(SUMIFS(T_SelfStock[Self_Qty],T_SelfStock[RM_Code],$A1615,T_SelfStock[WeekIndex],44),"")</f>
        <v/>
      </c>
      <c r="AW1624">
        <f>IFERROR(SUMIFS(T_SelfStock[Self_Qty],T_SelfStock[RM_Code],$A1615,T_SelfStock[WeekIndex],45),"")</f>
        <v/>
      </c>
      <c r="AX1624">
        <f>IFERROR(SUMIFS(T_SelfStock[Self_Qty],T_SelfStock[RM_Code],$A1615,T_SelfStock[WeekIndex],46),"")</f>
        <v/>
      </c>
      <c r="AY1624">
        <f>IFERROR(SUMIFS(T_SelfStock[Self_Qty],T_SelfStock[RM_Code],$A1615,T_SelfStock[WeekIndex],47),"")</f>
        <v/>
      </c>
      <c r="AZ1624">
        <f>IFERROR(SUMIFS(T_SelfStock[Self_Qty],T_SelfStock[RM_Code],$A1615,T_SelfStock[WeekIndex],48),"")</f>
        <v/>
      </c>
      <c r="BA1624">
        <f>IFERROR(SUMIFS(T_SelfStock[Self_Qty],T_SelfStock[RM_Code],$A1615,T_SelfStock[WeekIndex],49),"")</f>
        <v/>
      </c>
      <c r="BB1624">
        <f>IFERROR(SUMIFS(T_SelfStock[Self_Qty],T_SelfStock[RM_Code],$A1615,T_SelfStock[WeekIndex],50),"")</f>
        <v/>
      </c>
      <c r="BC1624">
        <f>IFERROR(SUMIFS(T_SelfStock[Self_Qty],T_SelfStock[RM_Code],$A1615,T_SelfStock[WeekIndex],51),"")</f>
        <v/>
      </c>
      <c r="BD1624">
        <f>IFERROR(SUMIFS(T_SelfStock[Self_Qty],T_SelfStock[RM_Code],$A1615,T_SelfStock[WeekIndex],52),"")</f>
        <v/>
      </c>
      <c r="BE1624">
        <f>IFERROR(SUMIFS(T_SelfStock[Self_Qty],T_SelfStock[RM_Code],$A1615,T_SelfStock[WeekIndex],53),"")</f>
        <v/>
      </c>
      <c r="BF1624">
        <f>IFERROR(SUMIFS(T_SelfStock[Self_Qty],T_SelfStock[RM_Code],$A1615,T_SelfStock[WeekIndex],54),"")</f>
        <v/>
      </c>
      <c r="BG1624">
        <f>IFERROR(SUMIFS(T_SelfStock[Self_Qty],T_SelfStock[RM_Code],$A1615,T_SelfStock[WeekIndex],55),"")</f>
        <v/>
      </c>
      <c r="BH1624">
        <f>IFERROR(SUMIFS(T_SelfStock[Self_Qty],T_SelfStock[RM_Code],$A1615,T_SelfStock[WeekIndex],56),"")</f>
        <v/>
      </c>
      <c r="BI1624">
        <f>IFERROR(SUMIFS(T_SelfStock[Self_Qty],T_SelfStock[RM_Code],$A1615,T_SelfStock[WeekIndex],57),"")</f>
        <v/>
      </c>
      <c r="BJ1624">
        <f>IFERROR(SUMIFS(T_SelfStock[Self_Qty],T_SelfStock[RM_Code],$A1615,T_SelfStock[WeekIndex],58),"")</f>
        <v/>
      </c>
      <c r="BK1624">
        <f>IFERROR(SUMIFS(T_SelfStock[Self_Qty],T_SelfStock[RM_Code],$A1615,T_SelfStock[WeekIndex],59),"")</f>
        <v/>
      </c>
      <c r="BL1624">
        <f>IFERROR(SUMIFS(T_SelfStock[Self_Qty],T_SelfStock[RM_Code],$A1615,T_SelfStock[WeekIndex],60),"")</f>
        <v/>
      </c>
      <c r="BM1624">
        <f>IFERROR(SUMIFS(T_SelfStock[Self_Qty],T_SelfStock[RM_Code],$A1615,T_SelfStock[WeekIndex],61),"")</f>
        <v/>
      </c>
      <c r="BN1624">
        <f>IFERROR(SUMIFS(T_SelfStock[Self_Qty],T_SelfStock[RM_Code],$A1615,T_SelfStock[WeekIndex],62),"")</f>
        <v/>
      </c>
      <c r="BO1624">
        <f>IFERROR(SUMIFS(T_SelfStock[Self_Qty],T_SelfStock[RM_Code],$A1615,T_SelfStock[WeekIndex],63),"")</f>
        <v/>
      </c>
      <c r="BP1624">
        <f>IFERROR(SUMIFS(T_SelfStock[Self_Qty],T_SelfStock[RM_Code],$A1615,T_SelfStock[WeekIndex],64),"")</f>
        <v/>
      </c>
      <c r="BQ1624">
        <f>IFERROR(SUMIFS(T_SelfStock[Self_Qty],T_SelfStock[RM_Code],$A1615,T_SelfStock[WeekIndex],65),"")</f>
        <v/>
      </c>
      <c r="BR1624">
        <f>IFERROR(SUMIFS(T_SelfStock[Self_Qty],T_SelfStock[RM_Code],$A1615,T_SelfStock[WeekIndex],66),"")</f>
        <v/>
      </c>
      <c r="BS1624">
        <f>IFERROR(SUMIFS(T_SelfStock[Self_Qty],T_SelfStock[RM_Code],$A1615,T_SelfStock[WeekIndex],67),"")</f>
        <v/>
      </c>
      <c r="BT1624">
        <f>IFERROR(SUMIFS(T_SelfStock[Self_Qty],T_SelfStock[RM_Code],$A1615,T_SelfStock[WeekIndex],68),"")</f>
        <v/>
      </c>
      <c r="BU1624">
        <f>IFERROR(SUMIFS(T_SelfStock[Self_Qty],T_SelfStock[RM_Code],$A1615,T_SelfStock[WeekIndex],69),"")</f>
        <v/>
      </c>
      <c r="BV1624">
        <f>IFERROR(SUMIFS(T_SelfStock[Self_Qty],T_SelfStock[RM_Code],$A1615,T_SelfStock[WeekIndex],70),"")</f>
        <v/>
      </c>
      <c r="BW1624">
        <f>IFERROR(SUMIFS(T_SelfStock[Self_Qty],T_SelfStock[RM_Code],$A1615,T_SelfStock[WeekIndex],71),"")</f>
        <v/>
      </c>
      <c r="BX1624">
        <f>IFERROR(SUMIFS(T_SelfStock[Self_Qty],T_SelfStock[RM_Code],$A1615,T_SelfStock[WeekIndex],72),"")</f>
        <v/>
      </c>
      <c r="BY1624">
        <f>IFERROR(SUMIFS(T_SelfStock[Self_Qty],T_SelfStock[RM_Code],$A1615,T_SelfStock[WeekIndex],73),"")</f>
        <v/>
      </c>
      <c r="BZ1624">
        <f>IFERROR(SUMIFS(T_SelfStock[Self_Qty],T_SelfStock[RM_Code],$A1615,T_SelfStock[WeekIndex],74),"")</f>
        <v/>
      </c>
      <c r="CA1624">
        <f>IFERROR(SUMIFS(T_SelfStock[Self_Qty],T_SelfStock[RM_Code],$A1615,T_SelfStock[WeekIndex],75),"")</f>
        <v/>
      </c>
      <c r="CB1624">
        <f>IFERROR(SUMIFS(T_SelfStock[Self_Qty],T_SelfStock[RM_Code],$A1615,T_SelfStock[WeekIndex],76),"")</f>
        <v/>
      </c>
      <c r="CC1624">
        <f>IFERROR(SUMIFS(T_SelfStock[Self_Qty],T_SelfStock[RM_Code],$A1615,T_SelfStock[WeekIndex],77),"")</f>
        <v/>
      </c>
      <c r="CD1624">
        <f>IFERROR(SUMIFS(T_SelfStock[Self_Qty],T_SelfStock[RM_Code],$A1615,T_SelfStock[WeekIndex],78),"")</f>
        <v/>
      </c>
      <c r="CE1624">
        <f>IFERROR(SUMIFS(T_SelfStock[Self_Qty],T_SelfStock[RM_Code],$A1615,T_SelfStock[WeekIndex],79),"")</f>
        <v/>
      </c>
      <c r="CF1624">
        <f>IFERROR(SUMIFS(T_SelfStock[Self_Qty],T_SelfStock[RM_Code],$A1615,T_SelfStock[WeekIndex],80),"")</f>
        <v/>
      </c>
      <c r="CG1624">
        <f>IFERROR(SUMIFS(T_SelfStock[Self_Qty],T_SelfStock[RM_Code],$A1615,T_SelfStock[WeekIndex],81),"")</f>
        <v/>
      </c>
      <c r="CH1624">
        <f>IFERROR(SUMIFS(T_SelfStock[Self_Qty],T_SelfStock[RM_Code],$A1615,T_SelfStock[WeekIndex],82),"")</f>
        <v/>
      </c>
      <c r="CI1624">
        <f>IFERROR(SUMIFS(T_SelfStock[Self_Qty],T_SelfStock[RM_Code],$A1615,T_SelfStock[WeekIndex],83),"")</f>
        <v/>
      </c>
      <c r="CJ1624">
        <f>IFERROR(SUMIFS(T_SelfStock[Self_Qty],T_SelfStock[RM_Code],$A1615,T_SelfStock[WeekIndex],84),"")</f>
        <v/>
      </c>
      <c r="CK1624">
        <f>IFERROR(SUMIFS(T_SelfStock[Self_Qty],T_SelfStock[RM_Code],$A1615,T_SelfStock[WeekIndex],85),"")</f>
        <v/>
      </c>
      <c r="CL1624">
        <f>IFERROR(SUMIFS(T_SelfStock[Self_Qty],T_SelfStock[RM_Code],$A1615,T_SelfStock[WeekIndex],86),"")</f>
        <v/>
      </c>
      <c r="CM1624">
        <f>IFERROR(SUMIFS(T_SelfStock[Self_Qty],T_SelfStock[RM_Code],$A1615,T_SelfStock[WeekIndex],87),"")</f>
        <v/>
      </c>
      <c r="CN1624">
        <f>IFERROR(SUMIFS(T_SelfStock[Self_Qty],T_SelfStock[RM_Code],$A1615,T_SelfStock[WeekIndex],88),"")</f>
        <v/>
      </c>
      <c r="CO1624">
        <f>IFERROR(SUMIFS(T_SelfStock[Self_Qty],T_SelfStock[RM_Code],$A1615,T_SelfStock[WeekIndex],89),"")</f>
        <v/>
      </c>
      <c r="CP1624">
        <f>IFERROR(SUMIFS(T_SelfStock[Self_Qty],T_SelfStock[RM_Code],$A1615,T_SelfStock[WeekIndex],90),"")</f>
        <v/>
      </c>
      <c r="CQ1624">
        <f>IFERROR(SUMIFS(T_SelfStock[Self_Qty],T_SelfStock[RM_Code],$A1615,T_SelfStock[WeekIndex],91),"")</f>
        <v/>
      </c>
      <c r="CR1624">
        <f>IFERROR(SUMIFS(T_SelfStock[Self_Qty],T_SelfStock[RM_Code],$A1615,T_SelfStock[WeekIndex],92),"")</f>
        <v/>
      </c>
      <c r="CS1624">
        <f>IFERROR(SUMIFS(T_SelfStock[Self_Qty],T_SelfStock[RM_Code],$A1615,T_SelfStock[WeekIndex],93),"")</f>
        <v/>
      </c>
      <c r="CT1624">
        <f>IFERROR(SUMIFS(T_SelfStock[Self_Qty],T_SelfStock[RM_Code],$A1615,T_SelfStock[WeekIndex],94),"")</f>
        <v/>
      </c>
      <c r="CU1624">
        <f>IFERROR(SUMIFS(T_SelfStock[Self_Qty],T_SelfStock[RM_Code],$A1615,T_SelfStock[WeekIndex],95),"")</f>
        <v/>
      </c>
      <c r="CV1624">
        <f>IFERROR(SUMIFS(T_SelfStock[Self_Qty],T_SelfStock[RM_Code],$A1615,T_SelfStock[WeekIndex],96),"")</f>
        <v/>
      </c>
      <c r="CW1624">
        <f>IFERROR(SUMIFS(T_SelfStock[Self_Qty],T_SelfStock[RM_Code],$A1615,T_SelfStock[WeekIndex],97),"")</f>
        <v/>
      </c>
      <c r="CX1624">
        <f>IFERROR(SUMIFS(T_SelfStock[Self_Qty],T_SelfStock[RM_Code],$A1615,T_SelfStock[WeekIndex],98),"")</f>
        <v/>
      </c>
      <c r="CY1624">
        <f>IFERROR(SUMIFS(T_SelfStock[Self_Qty],T_SelfStock[RM_Code],$A1615,T_SelfStock[WeekIndex],99),"")</f>
        <v/>
      </c>
      <c r="CZ1624">
        <f>IFERROR(SUMIFS(T_SelfStock[Self_Qty],T_SelfStock[RM_Code],$A1615,T_SelfStock[WeekIndex],100),"")</f>
        <v/>
      </c>
      <c r="DA1624">
        <f>IFERROR(SUMIFS(T_SelfStock[Self_Qty],T_SelfStock[RM_Code],$A1615,T_SelfStock[WeekIndex],101),"")</f>
        <v/>
      </c>
      <c r="DB1624">
        <f>IFERROR(SUMIFS(T_SelfStock[Self_Qty],T_SelfStock[RM_Code],$A1615,T_SelfStock[WeekIndex],102),"")</f>
        <v/>
      </c>
      <c r="DC1624">
        <f>IFERROR(SUMIFS(T_SelfStock[Self_Qty],T_SelfStock[RM_Code],$A1615,T_SelfStock[WeekIndex],103),"")</f>
        <v/>
      </c>
      <c r="DD1624">
        <f>IFERROR(SUMIFS(T_SelfStock[Self_Qty],T_SelfStock[RM_Code],$A1615,T_SelfStock[WeekIndex],104),"")</f>
        <v/>
      </c>
    </row>
    <row r="1625">
      <c r="B1625" s="4" t="inlineStr">
        <is>
          <t>合計在庫(週末時点,kg)</t>
        </is>
      </c>
      <c r="D1625" s="24">
        <f>IFERROR(INDEX(E1625:DD1625,$F$1),"")</f>
        <v/>
      </c>
      <c r="E1625">
        <f>'Grid_Stock'!B42</f>
        <v/>
      </c>
      <c r="F1625">
        <f>'Grid_Stock'!C42</f>
        <v/>
      </c>
      <c r="G1625">
        <f>'Grid_Stock'!D42</f>
        <v/>
      </c>
      <c r="H1625">
        <f>'Grid_Stock'!E42</f>
        <v/>
      </c>
      <c r="I1625">
        <f>'Grid_Stock'!F42</f>
        <v/>
      </c>
      <c r="J1625">
        <f>'Grid_Stock'!G42</f>
        <v/>
      </c>
      <c r="K1625">
        <f>'Grid_Stock'!H42</f>
        <v/>
      </c>
      <c r="L1625">
        <f>'Grid_Stock'!I42</f>
        <v/>
      </c>
      <c r="M1625">
        <f>'Grid_Stock'!J42</f>
        <v/>
      </c>
      <c r="N1625">
        <f>'Grid_Stock'!K42</f>
        <v/>
      </c>
      <c r="O1625">
        <f>'Grid_Stock'!L42</f>
        <v/>
      </c>
      <c r="P1625">
        <f>'Grid_Stock'!M42</f>
        <v/>
      </c>
      <c r="Q1625">
        <f>'Grid_Stock'!N42</f>
        <v/>
      </c>
      <c r="R1625">
        <f>'Grid_Stock'!O42</f>
        <v/>
      </c>
      <c r="S1625">
        <f>'Grid_Stock'!P42</f>
        <v/>
      </c>
      <c r="T1625">
        <f>'Grid_Stock'!Q42</f>
        <v/>
      </c>
      <c r="U1625">
        <f>'Grid_Stock'!R42</f>
        <v/>
      </c>
      <c r="V1625">
        <f>'Grid_Stock'!S42</f>
        <v/>
      </c>
      <c r="W1625">
        <f>'Grid_Stock'!T42</f>
        <v/>
      </c>
      <c r="X1625">
        <f>'Grid_Stock'!U42</f>
        <v/>
      </c>
      <c r="Y1625">
        <f>'Grid_Stock'!V42</f>
        <v/>
      </c>
      <c r="Z1625">
        <f>'Grid_Stock'!W42</f>
        <v/>
      </c>
      <c r="AA1625">
        <f>'Grid_Stock'!X42</f>
        <v/>
      </c>
      <c r="AB1625">
        <f>'Grid_Stock'!Y42</f>
        <v/>
      </c>
      <c r="AC1625">
        <f>'Grid_Stock'!Z42</f>
        <v/>
      </c>
      <c r="AD1625">
        <f>'Grid_Stock'!AA42</f>
        <v/>
      </c>
      <c r="AE1625">
        <f>'Grid_Stock'!AB42</f>
        <v/>
      </c>
      <c r="AF1625">
        <f>'Grid_Stock'!AC42</f>
        <v/>
      </c>
      <c r="AG1625">
        <f>'Grid_Stock'!AD42</f>
        <v/>
      </c>
      <c r="AH1625">
        <f>'Grid_Stock'!AE42</f>
        <v/>
      </c>
      <c r="AI1625">
        <f>'Grid_Stock'!AF42</f>
        <v/>
      </c>
      <c r="AJ1625">
        <f>'Grid_Stock'!AG42</f>
        <v/>
      </c>
      <c r="AK1625">
        <f>'Grid_Stock'!AH42</f>
        <v/>
      </c>
      <c r="AL1625">
        <f>'Grid_Stock'!AI42</f>
        <v/>
      </c>
      <c r="AM1625">
        <f>'Grid_Stock'!AJ42</f>
        <v/>
      </c>
      <c r="AN1625">
        <f>'Grid_Stock'!AK42</f>
        <v/>
      </c>
      <c r="AO1625">
        <f>'Grid_Stock'!AL42</f>
        <v/>
      </c>
      <c r="AP1625">
        <f>'Grid_Stock'!AM42</f>
        <v/>
      </c>
      <c r="AQ1625">
        <f>'Grid_Stock'!AN42</f>
        <v/>
      </c>
      <c r="AR1625">
        <f>'Grid_Stock'!AO42</f>
        <v/>
      </c>
      <c r="AS1625">
        <f>'Grid_Stock'!AP42</f>
        <v/>
      </c>
      <c r="AT1625">
        <f>'Grid_Stock'!AQ42</f>
        <v/>
      </c>
      <c r="AU1625">
        <f>'Grid_Stock'!AR42</f>
        <v/>
      </c>
      <c r="AV1625">
        <f>'Grid_Stock'!AS42</f>
        <v/>
      </c>
      <c r="AW1625">
        <f>'Grid_Stock'!AT42</f>
        <v/>
      </c>
      <c r="AX1625">
        <f>'Grid_Stock'!AU42</f>
        <v/>
      </c>
      <c r="AY1625">
        <f>'Grid_Stock'!AV42</f>
        <v/>
      </c>
      <c r="AZ1625">
        <f>'Grid_Stock'!AW42</f>
        <v/>
      </c>
      <c r="BA1625">
        <f>'Grid_Stock'!AX42</f>
        <v/>
      </c>
      <c r="BB1625">
        <f>'Grid_Stock'!AY42</f>
        <v/>
      </c>
      <c r="BC1625">
        <f>'Grid_Stock'!AZ42</f>
        <v/>
      </c>
      <c r="BD1625">
        <f>'Grid_Stock'!BA42</f>
        <v/>
      </c>
      <c r="BE1625">
        <f>'Grid_Stock'!BB42</f>
        <v/>
      </c>
      <c r="BF1625">
        <f>'Grid_Stock'!BC42</f>
        <v/>
      </c>
      <c r="BG1625">
        <f>'Grid_Stock'!BD42</f>
        <v/>
      </c>
      <c r="BH1625">
        <f>'Grid_Stock'!BE42</f>
        <v/>
      </c>
      <c r="BI1625">
        <f>'Grid_Stock'!BF42</f>
        <v/>
      </c>
      <c r="BJ1625">
        <f>'Grid_Stock'!BG42</f>
        <v/>
      </c>
      <c r="BK1625">
        <f>'Grid_Stock'!BH42</f>
        <v/>
      </c>
      <c r="BL1625">
        <f>'Grid_Stock'!BI42</f>
        <v/>
      </c>
      <c r="BM1625">
        <f>'Grid_Stock'!BJ42</f>
        <v/>
      </c>
      <c r="BN1625">
        <f>'Grid_Stock'!BK42</f>
        <v/>
      </c>
      <c r="BO1625">
        <f>'Grid_Stock'!BL42</f>
        <v/>
      </c>
      <c r="BP1625">
        <f>'Grid_Stock'!BM42</f>
        <v/>
      </c>
      <c r="BQ1625">
        <f>'Grid_Stock'!BN42</f>
        <v/>
      </c>
      <c r="BR1625">
        <f>'Grid_Stock'!BO42</f>
        <v/>
      </c>
      <c r="BS1625">
        <f>'Grid_Stock'!BP42</f>
        <v/>
      </c>
      <c r="BT1625">
        <f>'Grid_Stock'!BQ42</f>
        <v/>
      </c>
      <c r="BU1625">
        <f>'Grid_Stock'!BR42</f>
        <v/>
      </c>
      <c r="BV1625">
        <f>'Grid_Stock'!BS42</f>
        <v/>
      </c>
      <c r="BW1625">
        <f>'Grid_Stock'!BT42</f>
        <v/>
      </c>
      <c r="BX1625">
        <f>'Grid_Stock'!BU42</f>
        <v/>
      </c>
      <c r="BY1625">
        <f>'Grid_Stock'!BV42</f>
        <v/>
      </c>
      <c r="BZ1625">
        <f>'Grid_Stock'!BW42</f>
        <v/>
      </c>
      <c r="CA1625">
        <f>'Grid_Stock'!BX42</f>
        <v/>
      </c>
      <c r="CB1625">
        <f>'Grid_Stock'!BY42</f>
        <v/>
      </c>
      <c r="CC1625">
        <f>'Grid_Stock'!BZ42</f>
        <v/>
      </c>
      <c r="CD1625">
        <f>'Grid_Stock'!CA42</f>
        <v/>
      </c>
      <c r="CE1625">
        <f>'Grid_Stock'!CB42</f>
        <v/>
      </c>
      <c r="CF1625">
        <f>'Grid_Stock'!CC42</f>
        <v/>
      </c>
      <c r="CG1625">
        <f>'Grid_Stock'!CD42</f>
        <v/>
      </c>
      <c r="CH1625">
        <f>'Grid_Stock'!CE42</f>
        <v/>
      </c>
      <c r="CI1625">
        <f>'Grid_Stock'!CF42</f>
        <v/>
      </c>
      <c r="CJ1625">
        <f>'Grid_Stock'!CG42</f>
        <v/>
      </c>
      <c r="CK1625">
        <f>'Grid_Stock'!CH42</f>
        <v/>
      </c>
      <c r="CL1625">
        <f>'Grid_Stock'!CI42</f>
        <v/>
      </c>
      <c r="CM1625">
        <f>'Grid_Stock'!CJ42</f>
        <v/>
      </c>
      <c r="CN1625">
        <f>'Grid_Stock'!CK42</f>
        <v/>
      </c>
      <c r="CO1625">
        <f>'Grid_Stock'!CL42</f>
        <v/>
      </c>
      <c r="CP1625">
        <f>'Grid_Stock'!CM42</f>
        <v/>
      </c>
      <c r="CQ1625">
        <f>'Grid_Stock'!CN42</f>
        <v/>
      </c>
      <c r="CR1625">
        <f>'Grid_Stock'!CO42</f>
        <v/>
      </c>
      <c r="CS1625">
        <f>'Grid_Stock'!CP42</f>
        <v/>
      </c>
      <c r="CT1625">
        <f>'Grid_Stock'!CQ42</f>
        <v/>
      </c>
      <c r="CU1625">
        <f>'Grid_Stock'!CR42</f>
        <v/>
      </c>
      <c r="CV1625">
        <f>'Grid_Stock'!CS42</f>
        <v/>
      </c>
      <c r="CW1625">
        <f>'Grid_Stock'!CT42</f>
        <v/>
      </c>
      <c r="CX1625">
        <f>'Grid_Stock'!CU42</f>
        <v/>
      </c>
      <c r="CY1625">
        <f>'Grid_Stock'!CV42</f>
        <v/>
      </c>
      <c r="CZ1625">
        <f>'Grid_Stock'!CW42</f>
        <v/>
      </c>
      <c r="DA1625">
        <f>'Grid_Stock'!CX42</f>
        <v/>
      </c>
      <c r="DB1625">
        <f>'Grid_Stock'!CY42</f>
        <v/>
      </c>
      <c r="DC1625">
        <f>'Grid_Stock'!CZ42</f>
        <v/>
      </c>
      <c r="DD1625">
        <f>'Grid_Stock'!DA42</f>
        <v/>
      </c>
    </row>
    <row r="1626">
      <c r="B1626" s="25" t="inlineStr">
        <is>
          <t>（発注の目安はDashboardの基準在庫[下限/上限]と色分けを参照）</t>
        </is>
      </c>
    </row>
    <row r="1628">
      <c r="A1628" s="21" t="inlineStr">
        <is>
          <t>CHEM-1800</t>
        </is>
      </c>
      <c r="B1628" s="21" t="inlineStr">
        <is>
          <t>Stabilys 392</t>
        </is>
      </c>
      <c r="C1628" s="22" t="n"/>
      <c r="D1628" s="21" t="n"/>
      <c r="E1628" s="21" t="n"/>
      <c r="F1628" s="21" t="n"/>
      <c r="G1628" s="21" t="n"/>
      <c r="H1628" s="21" t="n"/>
      <c r="I1628" s="21" t="n"/>
      <c r="J1628" s="21" t="n"/>
      <c r="K1628" s="21" t="n"/>
      <c r="L1628" s="21" t="n"/>
      <c r="M1628" s="21" t="n"/>
      <c r="N1628" s="21" t="n"/>
      <c r="O1628" s="21" t="n"/>
      <c r="P1628" s="21" t="n"/>
      <c r="Q1628" s="21" t="n"/>
      <c r="R1628" s="21" t="n"/>
      <c r="S1628" s="21" t="n"/>
      <c r="T1628" s="21" t="n"/>
      <c r="U1628" s="21" t="n"/>
      <c r="V1628" s="21" t="n"/>
      <c r="W1628" s="21" t="n"/>
      <c r="X1628" s="21" t="n"/>
      <c r="Y1628" s="21" t="n"/>
      <c r="Z1628" s="21" t="n"/>
      <c r="AA1628" s="21" t="n"/>
      <c r="AB1628" s="21" t="n"/>
      <c r="AC1628" s="21" t="n"/>
      <c r="AD1628" s="21" t="n"/>
      <c r="AE1628" s="21" t="n"/>
      <c r="AF1628" s="21" t="n"/>
      <c r="AG1628" s="21" t="n"/>
      <c r="AH1628" s="21" t="n"/>
      <c r="AI1628" s="21" t="n"/>
      <c r="AJ1628" s="21" t="n"/>
      <c r="AK1628" s="21" t="n"/>
      <c r="AL1628" s="21" t="n"/>
      <c r="AM1628" s="21" t="n"/>
      <c r="AN1628" s="21" t="n"/>
      <c r="AO1628" s="21" t="n"/>
      <c r="AP1628" s="21" t="n"/>
      <c r="AQ1628" s="21" t="n"/>
      <c r="AR1628" s="21" t="n"/>
      <c r="AS1628" s="21" t="n"/>
      <c r="AT1628" s="21" t="n"/>
      <c r="AU1628" s="21" t="n"/>
      <c r="AV1628" s="21" t="n"/>
      <c r="AW1628" s="21" t="n"/>
      <c r="AX1628" s="21" t="n"/>
      <c r="AY1628" s="21" t="n"/>
      <c r="AZ1628" s="21" t="n"/>
      <c r="BA1628" s="21" t="n"/>
      <c r="BB1628" s="21" t="n"/>
      <c r="BC1628" s="21" t="n"/>
      <c r="BD1628" s="21" t="n"/>
      <c r="BE1628" s="21" t="n"/>
      <c r="BF1628" s="21" t="n"/>
      <c r="BG1628" s="21" t="n"/>
      <c r="BH1628" s="21" t="n"/>
      <c r="BI1628" s="21" t="n"/>
      <c r="BJ1628" s="21" t="n"/>
      <c r="BK1628" s="21" t="n"/>
      <c r="BL1628" s="21" t="n"/>
      <c r="BM1628" s="21" t="n"/>
      <c r="BN1628" s="21" t="n"/>
      <c r="BO1628" s="21" t="n"/>
      <c r="BP1628" s="21" t="n"/>
      <c r="BQ1628" s="21" t="n"/>
      <c r="BR1628" s="21" t="n"/>
      <c r="BS1628" s="21" t="n"/>
      <c r="BT1628" s="21" t="n"/>
      <c r="BU1628" s="21" t="n"/>
      <c r="BV1628" s="21" t="n"/>
      <c r="BW1628" s="21" t="n"/>
      <c r="BX1628" s="21" t="n"/>
      <c r="BY1628" s="21" t="n"/>
      <c r="BZ1628" s="21" t="n"/>
      <c r="CA1628" s="21" t="n"/>
      <c r="CB1628" s="21" t="n"/>
      <c r="CC1628" s="21" t="n"/>
      <c r="CD1628" s="21" t="n"/>
      <c r="CE1628" s="21" t="n"/>
      <c r="CF1628" s="21" t="n"/>
      <c r="CG1628" s="21" t="n"/>
      <c r="CH1628" s="21" t="n"/>
      <c r="CI1628" s="21" t="n"/>
      <c r="CJ1628" s="21" t="n"/>
      <c r="CK1628" s="21" t="n"/>
      <c r="CL1628" s="21" t="n"/>
      <c r="CM1628" s="21" t="n"/>
      <c r="CN1628" s="21" t="n"/>
      <c r="CO1628" s="21" t="n"/>
      <c r="CP1628" s="21" t="n"/>
      <c r="CQ1628" s="21" t="n"/>
      <c r="CR1628" s="21" t="n"/>
      <c r="CS1628" s="21" t="n"/>
      <c r="CT1628" s="21" t="n"/>
      <c r="CU1628" s="21" t="n"/>
      <c r="CV1628" s="21" t="n"/>
      <c r="CW1628" s="21" t="n"/>
      <c r="CX1628" s="21" t="n"/>
      <c r="CY1628" s="21" t="n"/>
      <c r="CZ1628" s="21" t="n"/>
      <c r="DA1628" s="21" t="n"/>
      <c r="DB1628" s="21" t="n"/>
      <c r="DC1628" s="21" t="n"/>
      <c r="DD1628" s="21" t="n"/>
    </row>
    <row r="1629">
      <c r="B1629" t="inlineStr">
        <is>
          <t>TPP-1367</t>
        </is>
      </c>
      <c r="C1629" t="inlineStr">
        <is>
          <t>No. of batches</t>
        </is>
      </c>
      <c r="D1629">
        <f>IFERROR(INDEX(E1629:DD1629,$F$1),"")</f>
        <v/>
      </c>
      <c r="E1629">
        <f>IFERROR(INDEX(PP_Grid[#Data],$DE1629,2),0)</f>
        <v/>
      </c>
      <c r="F1629">
        <f>IFERROR(INDEX(PP_Grid[#Data],$DE1629,3),0)</f>
        <v/>
      </c>
      <c r="G1629">
        <f>IFERROR(INDEX(PP_Grid[#Data],$DE1629,4),0)</f>
        <v/>
      </c>
      <c r="H1629">
        <f>IFERROR(INDEX(PP_Grid[#Data],$DE1629,5),0)</f>
        <v/>
      </c>
      <c r="I1629">
        <f>IFERROR(INDEX(PP_Grid[#Data],$DE1629,6),0)</f>
        <v/>
      </c>
      <c r="J1629">
        <f>IFERROR(INDEX(PP_Grid[#Data],$DE1629,7),0)</f>
        <v/>
      </c>
      <c r="K1629">
        <f>IFERROR(INDEX(PP_Grid[#Data],$DE1629,8),0)</f>
        <v/>
      </c>
      <c r="L1629">
        <f>IFERROR(INDEX(PP_Grid[#Data],$DE1629,9),0)</f>
        <v/>
      </c>
      <c r="M1629">
        <f>IFERROR(INDEX(PP_Grid[#Data],$DE1629,10),0)</f>
        <v/>
      </c>
      <c r="N1629">
        <f>IFERROR(INDEX(PP_Grid[#Data],$DE1629,11),0)</f>
        <v/>
      </c>
      <c r="O1629">
        <f>IFERROR(INDEX(PP_Grid[#Data],$DE1629,12),0)</f>
        <v/>
      </c>
      <c r="P1629">
        <f>IFERROR(INDEX(PP_Grid[#Data],$DE1629,13),0)</f>
        <v/>
      </c>
      <c r="Q1629">
        <f>IFERROR(INDEX(PP_Grid[#Data],$DE1629,14),0)</f>
        <v/>
      </c>
      <c r="R1629">
        <f>IFERROR(INDEX(PP_Grid[#Data],$DE1629,15),0)</f>
        <v/>
      </c>
      <c r="S1629">
        <f>IFERROR(INDEX(PP_Grid[#Data],$DE1629,16),0)</f>
        <v/>
      </c>
      <c r="T1629">
        <f>IFERROR(INDEX(PP_Grid[#Data],$DE1629,17),0)</f>
        <v/>
      </c>
      <c r="U1629">
        <f>IFERROR(INDEX(PP_Grid[#Data],$DE1629,18),0)</f>
        <v/>
      </c>
      <c r="V1629">
        <f>IFERROR(INDEX(PP_Grid[#Data],$DE1629,19),0)</f>
        <v/>
      </c>
      <c r="W1629">
        <f>IFERROR(INDEX(PP_Grid[#Data],$DE1629,20),0)</f>
        <v/>
      </c>
      <c r="X1629">
        <f>IFERROR(INDEX(PP_Grid[#Data],$DE1629,21),0)</f>
        <v/>
      </c>
      <c r="Y1629">
        <f>IFERROR(INDEX(PP_Grid[#Data],$DE1629,22),0)</f>
        <v/>
      </c>
      <c r="Z1629">
        <f>IFERROR(INDEX(PP_Grid[#Data],$DE1629,23),0)</f>
        <v/>
      </c>
      <c r="AA1629">
        <f>IFERROR(INDEX(PP_Grid[#Data],$DE1629,24),0)</f>
        <v/>
      </c>
      <c r="AB1629">
        <f>IFERROR(INDEX(PP_Grid[#Data],$DE1629,25),0)</f>
        <v/>
      </c>
      <c r="AC1629">
        <f>IFERROR(INDEX(PP_Grid[#Data],$DE1629,26),0)</f>
        <v/>
      </c>
      <c r="AD1629">
        <f>IFERROR(INDEX(PP_Grid[#Data],$DE1629,27),0)</f>
        <v/>
      </c>
      <c r="AE1629">
        <f>IFERROR(INDEX(PP_Grid[#Data],$DE1629,28),0)</f>
        <v/>
      </c>
      <c r="AF1629">
        <f>IFERROR(INDEX(PP_Grid[#Data],$DE1629,29),0)</f>
        <v/>
      </c>
      <c r="AG1629">
        <f>IFERROR(INDEX(PP_Grid[#Data],$DE1629,30),0)</f>
        <v/>
      </c>
      <c r="AH1629">
        <f>IFERROR(INDEX(PP_Grid[#Data],$DE1629,31),0)</f>
        <v/>
      </c>
      <c r="AI1629">
        <f>IFERROR(INDEX(PP_Grid[#Data],$DE1629,32),0)</f>
        <v/>
      </c>
      <c r="AJ1629">
        <f>IFERROR(INDEX(PP_Grid[#Data],$DE1629,33),0)</f>
        <v/>
      </c>
      <c r="AK1629">
        <f>IFERROR(INDEX(PP_Grid[#Data],$DE1629,34),0)</f>
        <v/>
      </c>
      <c r="AL1629">
        <f>IFERROR(INDEX(PP_Grid[#Data],$DE1629,35),0)</f>
        <v/>
      </c>
      <c r="AM1629">
        <f>IFERROR(INDEX(PP_Grid[#Data],$DE1629,36),0)</f>
        <v/>
      </c>
      <c r="AN1629">
        <f>IFERROR(INDEX(PP_Grid[#Data],$DE1629,37),0)</f>
        <v/>
      </c>
      <c r="AO1629">
        <f>IFERROR(INDEX(PP_Grid[#Data],$DE1629,38),0)</f>
        <v/>
      </c>
      <c r="AP1629">
        <f>IFERROR(INDEX(PP_Grid[#Data],$DE1629,39),0)</f>
        <v/>
      </c>
      <c r="AQ1629">
        <f>IFERROR(INDEX(PP_Grid[#Data],$DE1629,40),0)</f>
        <v/>
      </c>
      <c r="AR1629">
        <f>IFERROR(INDEX(PP_Grid[#Data],$DE1629,41),0)</f>
        <v/>
      </c>
      <c r="AS1629">
        <f>IFERROR(INDEX(PP_Grid[#Data],$DE1629,42),0)</f>
        <v/>
      </c>
      <c r="AT1629">
        <f>IFERROR(INDEX(PP_Grid[#Data],$DE1629,43),0)</f>
        <v/>
      </c>
      <c r="AU1629">
        <f>IFERROR(INDEX(PP_Grid[#Data],$DE1629,44),0)</f>
        <v/>
      </c>
      <c r="AV1629">
        <f>IFERROR(INDEX(PP_Grid[#Data],$DE1629,45),0)</f>
        <v/>
      </c>
      <c r="AW1629">
        <f>IFERROR(INDEX(PP_Grid[#Data],$DE1629,46),0)</f>
        <v/>
      </c>
      <c r="AX1629">
        <f>IFERROR(INDEX(PP_Grid[#Data],$DE1629,47),0)</f>
        <v/>
      </c>
      <c r="AY1629">
        <f>IFERROR(INDEX(PP_Grid[#Data],$DE1629,48),0)</f>
        <v/>
      </c>
      <c r="AZ1629">
        <f>IFERROR(INDEX(PP_Grid[#Data],$DE1629,49),0)</f>
        <v/>
      </c>
      <c r="BA1629">
        <f>IFERROR(INDEX(PP_Grid[#Data],$DE1629,50),0)</f>
        <v/>
      </c>
      <c r="BB1629">
        <f>IFERROR(INDEX(PP_Grid[#Data],$DE1629,51),0)</f>
        <v/>
      </c>
      <c r="BC1629">
        <f>IFERROR(INDEX(PP_Grid[#Data],$DE1629,52),0)</f>
        <v/>
      </c>
      <c r="BD1629">
        <f>IFERROR(INDEX(PP_Grid[#Data],$DE1629,53),0)</f>
        <v/>
      </c>
      <c r="BE1629">
        <f>IFERROR(INDEX(PP_Grid[#Data],$DE1629,54),0)</f>
        <v/>
      </c>
      <c r="BF1629">
        <f>IFERROR(INDEX(PP_Grid[#Data],$DE1629,55),0)</f>
        <v/>
      </c>
      <c r="BG1629">
        <f>IFERROR(INDEX(PP_Grid[#Data],$DE1629,56),0)</f>
        <v/>
      </c>
      <c r="BH1629">
        <f>IFERROR(INDEX(PP_Grid[#Data],$DE1629,57),0)</f>
        <v/>
      </c>
      <c r="BI1629">
        <f>IFERROR(INDEX(PP_Grid[#Data],$DE1629,58),0)</f>
        <v/>
      </c>
      <c r="BJ1629">
        <f>IFERROR(INDEX(PP_Grid[#Data],$DE1629,59),0)</f>
        <v/>
      </c>
      <c r="BK1629">
        <f>IFERROR(INDEX(PP_Grid[#Data],$DE1629,60),0)</f>
        <v/>
      </c>
      <c r="BL1629">
        <f>IFERROR(INDEX(PP_Grid[#Data],$DE1629,61),0)</f>
        <v/>
      </c>
      <c r="BM1629">
        <f>IFERROR(INDEX(PP_Grid[#Data],$DE1629,62),0)</f>
        <v/>
      </c>
      <c r="BN1629">
        <f>IFERROR(INDEX(PP_Grid[#Data],$DE1629,63),0)</f>
        <v/>
      </c>
      <c r="BO1629">
        <f>IFERROR(INDEX(PP_Grid[#Data],$DE1629,64),0)</f>
        <v/>
      </c>
      <c r="BP1629">
        <f>IFERROR(INDEX(PP_Grid[#Data],$DE1629,65),0)</f>
        <v/>
      </c>
      <c r="BQ1629">
        <f>IFERROR(INDEX(PP_Grid[#Data],$DE1629,66),0)</f>
        <v/>
      </c>
      <c r="BR1629">
        <f>IFERROR(INDEX(PP_Grid[#Data],$DE1629,67),0)</f>
        <v/>
      </c>
      <c r="BS1629">
        <f>IFERROR(INDEX(PP_Grid[#Data],$DE1629,68),0)</f>
        <v/>
      </c>
      <c r="BT1629">
        <f>IFERROR(INDEX(PP_Grid[#Data],$DE1629,69),0)</f>
        <v/>
      </c>
      <c r="BU1629">
        <f>IFERROR(INDEX(PP_Grid[#Data],$DE1629,70),0)</f>
        <v/>
      </c>
      <c r="BV1629">
        <f>IFERROR(INDEX(PP_Grid[#Data],$DE1629,71),0)</f>
        <v/>
      </c>
      <c r="BW1629">
        <f>IFERROR(INDEX(PP_Grid[#Data],$DE1629,72),0)</f>
        <v/>
      </c>
      <c r="BX1629">
        <f>IFERROR(INDEX(PP_Grid[#Data],$DE1629,73),0)</f>
        <v/>
      </c>
      <c r="BY1629">
        <f>IFERROR(INDEX(PP_Grid[#Data],$DE1629,74),0)</f>
        <v/>
      </c>
      <c r="BZ1629">
        <f>IFERROR(INDEX(PP_Grid[#Data],$DE1629,75),0)</f>
        <v/>
      </c>
      <c r="CA1629">
        <f>IFERROR(INDEX(PP_Grid[#Data],$DE1629,76),0)</f>
        <v/>
      </c>
      <c r="CB1629">
        <f>IFERROR(INDEX(PP_Grid[#Data],$DE1629,77),0)</f>
        <v/>
      </c>
      <c r="CC1629">
        <f>IFERROR(INDEX(PP_Grid[#Data],$DE1629,78),0)</f>
        <v/>
      </c>
      <c r="CD1629">
        <f>IFERROR(INDEX(PP_Grid[#Data],$DE1629,79),0)</f>
        <v/>
      </c>
      <c r="CE1629">
        <f>IFERROR(INDEX(PP_Grid[#Data],$DE1629,80),0)</f>
        <v/>
      </c>
      <c r="CF1629">
        <f>IFERROR(INDEX(PP_Grid[#Data],$DE1629,81),0)</f>
        <v/>
      </c>
      <c r="CG1629">
        <f>IFERROR(INDEX(PP_Grid[#Data],$DE1629,82),0)</f>
        <v/>
      </c>
      <c r="CH1629">
        <f>IFERROR(INDEX(PP_Grid[#Data],$DE1629,83),0)</f>
        <v/>
      </c>
      <c r="CI1629">
        <f>IFERROR(INDEX(PP_Grid[#Data],$DE1629,84),0)</f>
        <v/>
      </c>
      <c r="CJ1629">
        <f>IFERROR(INDEX(PP_Grid[#Data],$DE1629,85),0)</f>
        <v/>
      </c>
      <c r="CK1629">
        <f>IFERROR(INDEX(PP_Grid[#Data],$DE1629,86),0)</f>
        <v/>
      </c>
      <c r="CL1629">
        <f>IFERROR(INDEX(PP_Grid[#Data],$DE1629,87),0)</f>
        <v/>
      </c>
      <c r="CM1629">
        <f>IFERROR(INDEX(PP_Grid[#Data],$DE1629,88),0)</f>
        <v/>
      </c>
      <c r="CN1629">
        <f>IFERROR(INDEX(PP_Grid[#Data],$DE1629,89),0)</f>
        <v/>
      </c>
      <c r="CO1629">
        <f>IFERROR(INDEX(PP_Grid[#Data],$DE1629,90),0)</f>
        <v/>
      </c>
      <c r="CP1629">
        <f>IFERROR(INDEX(PP_Grid[#Data],$DE1629,91),0)</f>
        <v/>
      </c>
      <c r="CQ1629">
        <f>IFERROR(INDEX(PP_Grid[#Data],$DE1629,92),0)</f>
        <v/>
      </c>
      <c r="CR1629">
        <f>IFERROR(INDEX(PP_Grid[#Data],$DE1629,93),0)</f>
        <v/>
      </c>
      <c r="CS1629">
        <f>IFERROR(INDEX(PP_Grid[#Data],$DE1629,94),0)</f>
        <v/>
      </c>
      <c r="CT1629">
        <f>IFERROR(INDEX(PP_Grid[#Data],$DE1629,95),0)</f>
        <v/>
      </c>
      <c r="CU1629">
        <f>IFERROR(INDEX(PP_Grid[#Data],$DE1629,96),0)</f>
        <v/>
      </c>
      <c r="CV1629">
        <f>IFERROR(INDEX(PP_Grid[#Data],$DE1629,97),0)</f>
        <v/>
      </c>
      <c r="CW1629">
        <f>IFERROR(INDEX(PP_Grid[#Data],$DE1629,98),0)</f>
        <v/>
      </c>
      <c r="CX1629">
        <f>IFERROR(INDEX(PP_Grid[#Data],$DE1629,99),0)</f>
        <v/>
      </c>
      <c r="CY1629">
        <f>IFERROR(INDEX(PP_Grid[#Data],$DE1629,100),0)</f>
        <v/>
      </c>
      <c r="CZ1629">
        <f>IFERROR(INDEX(PP_Grid[#Data],$DE1629,101),0)</f>
        <v/>
      </c>
      <c r="DA1629">
        <f>IFERROR(INDEX(PP_Grid[#Data],$DE1629,102),0)</f>
        <v/>
      </c>
      <c r="DB1629">
        <f>IFERROR(INDEX(PP_Grid[#Data],$DE1629,103),0)</f>
        <v/>
      </c>
      <c r="DC1629">
        <f>IFERROR(INDEX(PP_Grid[#Data],$DE1629,104),0)</f>
        <v/>
      </c>
      <c r="DD1629">
        <f>IFERROR(INDEX(PP_Grid[#Data],$DE1629,105),0)</f>
        <v/>
      </c>
      <c r="DE1629" s="7">
        <f>IFERROR(MATCH($B1629,PP_Grid[Intermediate],0),99999)</f>
        <v/>
      </c>
    </row>
    <row r="1630">
      <c r="B1630" t="inlineStr">
        <is>
          <t>使用量(kg)</t>
        </is>
      </c>
      <c r="C1630">
        <f>SUMIFS(M_BOM[RM_Qty_Per_Batch],M_BOM[Intermediate],$B1629,M_BOM[RM_Code],$A1628)</f>
        <v/>
      </c>
      <c r="D1630">
        <f>IFERROR(INDEX(E1630:DD1630,$F$1),"")</f>
        <v/>
      </c>
      <c r="E1630">
        <f>$C1630*E1629</f>
        <v/>
      </c>
      <c r="F1630">
        <f>$C1630*F1629</f>
        <v/>
      </c>
      <c r="G1630">
        <f>$C1630*G1629</f>
        <v/>
      </c>
      <c r="H1630">
        <f>$C1630*H1629</f>
        <v/>
      </c>
      <c r="I1630">
        <f>$C1630*I1629</f>
        <v/>
      </c>
      <c r="J1630">
        <f>$C1630*J1629</f>
        <v/>
      </c>
      <c r="K1630">
        <f>$C1630*K1629</f>
        <v/>
      </c>
      <c r="L1630">
        <f>$C1630*L1629</f>
        <v/>
      </c>
      <c r="M1630">
        <f>$C1630*M1629</f>
        <v/>
      </c>
      <c r="N1630">
        <f>$C1630*N1629</f>
        <v/>
      </c>
      <c r="O1630">
        <f>$C1630*O1629</f>
        <v/>
      </c>
      <c r="P1630">
        <f>$C1630*P1629</f>
        <v/>
      </c>
      <c r="Q1630">
        <f>$C1630*Q1629</f>
        <v/>
      </c>
      <c r="R1630">
        <f>$C1630*R1629</f>
        <v/>
      </c>
      <c r="S1630">
        <f>$C1630*S1629</f>
        <v/>
      </c>
      <c r="T1630">
        <f>$C1630*T1629</f>
        <v/>
      </c>
      <c r="U1630">
        <f>$C1630*U1629</f>
        <v/>
      </c>
      <c r="V1630">
        <f>$C1630*V1629</f>
        <v/>
      </c>
      <c r="W1630">
        <f>$C1630*W1629</f>
        <v/>
      </c>
      <c r="X1630">
        <f>$C1630*X1629</f>
        <v/>
      </c>
      <c r="Y1630">
        <f>$C1630*Y1629</f>
        <v/>
      </c>
      <c r="Z1630">
        <f>$C1630*Z1629</f>
        <v/>
      </c>
      <c r="AA1630">
        <f>$C1630*AA1629</f>
        <v/>
      </c>
      <c r="AB1630">
        <f>$C1630*AB1629</f>
        <v/>
      </c>
      <c r="AC1630">
        <f>$C1630*AC1629</f>
        <v/>
      </c>
      <c r="AD1630">
        <f>$C1630*AD1629</f>
        <v/>
      </c>
      <c r="AE1630">
        <f>$C1630*AE1629</f>
        <v/>
      </c>
      <c r="AF1630">
        <f>$C1630*AF1629</f>
        <v/>
      </c>
      <c r="AG1630">
        <f>$C1630*AG1629</f>
        <v/>
      </c>
      <c r="AH1630">
        <f>$C1630*AH1629</f>
        <v/>
      </c>
      <c r="AI1630">
        <f>$C1630*AI1629</f>
        <v/>
      </c>
      <c r="AJ1630">
        <f>$C1630*AJ1629</f>
        <v/>
      </c>
      <c r="AK1630">
        <f>$C1630*AK1629</f>
        <v/>
      </c>
      <c r="AL1630">
        <f>$C1630*AL1629</f>
        <v/>
      </c>
      <c r="AM1630">
        <f>$C1630*AM1629</f>
        <v/>
      </c>
      <c r="AN1630">
        <f>$C1630*AN1629</f>
        <v/>
      </c>
      <c r="AO1630">
        <f>$C1630*AO1629</f>
        <v/>
      </c>
      <c r="AP1630">
        <f>$C1630*AP1629</f>
        <v/>
      </c>
      <c r="AQ1630">
        <f>$C1630*AQ1629</f>
        <v/>
      </c>
      <c r="AR1630">
        <f>$C1630*AR1629</f>
        <v/>
      </c>
      <c r="AS1630">
        <f>$C1630*AS1629</f>
        <v/>
      </c>
      <c r="AT1630">
        <f>$C1630*AT1629</f>
        <v/>
      </c>
      <c r="AU1630">
        <f>$C1630*AU1629</f>
        <v/>
      </c>
      <c r="AV1630">
        <f>$C1630*AV1629</f>
        <v/>
      </c>
      <c r="AW1630">
        <f>$C1630*AW1629</f>
        <v/>
      </c>
      <c r="AX1630">
        <f>$C1630*AX1629</f>
        <v/>
      </c>
      <c r="AY1630">
        <f>$C1630*AY1629</f>
        <v/>
      </c>
      <c r="AZ1630">
        <f>$C1630*AZ1629</f>
        <v/>
      </c>
      <c r="BA1630">
        <f>$C1630*BA1629</f>
        <v/>
      </c>
      <c r="BB1630">
        <f>$C1630*BB1629</f>
        <v/>
      </c>
      <c r="BC1630">
        <f>$C1630*BC1629</f>
        <v/>
      </c>
      <c r="BD1630">
        <f>$C1630*BD1629</f>
        <v/>
      </c>
      <c r="BE1630">
        <f>$C1630*BE1629</f>
        <v/>
      </c>
      <c r="BF1630">
        <f>$C1630*BF1629</f>
        <v/>
      </c>
      <c r="BG1630">
        <f>$C1630*BG1629</f>
        <v/>
      </c>
      <c r="BH1630">
        <f>$C1630*BH1629</f>
        <v/>
      </c>
      <c r="BI1630">
        <f>$C1630*BI1629</f>
        <v/>
      </c>
      <c r="BJ1630">
        <f>$C1630*BJ1629</f>
        <v/>
      </c>
      <c r="BK1630">
        <f>$C1630*BK1629</f>
        <v/>
      </c>
      <c r="BL1630">
        <f>$C1630*BL1629</f>
        <v/>
      </c>
      <c r="BM1630">
        <f>$C1630*BM1629</f>
        <v/>
      </c>
      <c r="BN1630">
        <f>$C1630*BN1629</f>
        <v/>
      </c>
      <c r="BO1630">
        <f>$C1630*BO1629</f>
        <v/>
      </c>
      <c r="BP1630">
        <f>$C1630*BP1629</f>
        <v/>
      </c>
      <c r="BQ1630">
        <f>$C1630*BQ1629</f>
        <v/>
      </c>
      <c r="BR1630">
        <f>$C1630*BR1629</f>
        <v/>
      </c>
      <c r="BS1630">
        <f>$C1630*BS1629</f>
        <v/>
      </c>
      <c r="BT1630">
        <f>$C1630*BT1629</f>
        <v/>
      </c>
      <c r="BU1630">
        <f>$C1630*BU1629</f>
        <v/>
      </c>
      <c r="BV1630">
        <f>$C1630*BV1629</f>
        <v/>
      </c>
      <c r="BW1630">
        <f>$C1630*BW1629</f>
        <v/>
      </c>
      <c r="BX1630">
        <f>$C1630*BX1629</f>
        <v/>
      </c>
      <c r="BY1630">
        <f>$C1630*BY1629</f>
        <v/>
      </c>
      <c r="BZ1630">
        <f>$C1630*BZ1629</f>
        <v/>
      </c>
      <c r="CA1630">
        <f>$C1630*CA1629</f>
        <v/>
      </c>
      <c r="CB1630">
        <f>$C1630*CB1629</f>
        <v/>
      </c>
      <c r="CC1630">
        <f>$C1630*CC1629</f>
        <v/>
      </c>
      <c r="CD1630">
        <f>$C1630*CD1629</f>
        <v/>
      </c>
      <c r="CE1630">
        <f>$C1630*CE1629</f>
        <v/>
      </c>
      <c r="CF1630">
        <f>$C1630*CF1629</f>
        <v/>
      </c>
      <c r="CG1630">
        <f>$C1630*CG1629</f>
        <v/>
      </c>
      <c r="CH1630">
        <f>$C1630*CH1629</f>
        <v/>
      </c>
      <c r="CI1630">
        <f>$C1630*CI1629</f>
        <v/>
      </c>
      <c r="CJ1630">
        <f>$C1630*CJ1629</f>
        <v/>
      </c>
      <c r="CK1630">
        <f>$C1630*CK1629</f>
        <v/>
      </c>
      <c r="CL1630">
        <f>$C1630*CL1629</f>
        <v/>
      </c>
      <c r="CM1630">
        <f>$C1630*CM1629</f>
        <v/>
      </c>
      <c r="CN1630">
        <f>$C1630*CN1629</f>
        <v/>
      </c>
      <c r="CO1630">
        <f>$C1630*CO1629</f>
        <v/>
      </c>
      <c r="CP1630">
        <f>$C1630*CP1629</f>
        <v/>
      </c>
      <c r="CQ1630">
        <f>$C1630*CQ1629</f>
        <v/>
      </c>
      <c r="CR1630">
        <f>$C1630*CR1629</f>
        <v/>
      </c>
      <c r="CS1630">
        <f>$C1630*CS1629</f>
        <v/>
      </c>
      <c r="CT1630">
        <f>$C1630*CT1629</f>
        <v/>
      </c>
      <c r="CU1630">
        <f>$C1630*CU1629</f>
        <v/>
      </c>
      <c r="CV1630">
        <f>$C1630*CV1629</f>
        <v/>
      </c>
      <c r="CW1630">
        <f>$C1630*CW1629</f>
        <v/>
      </c>
      <c r="CX1630">
        <f>$C1630*CX1629</f>
        <v/>
      </c>
      <c r="CY1630">
        <f>$C1630*CY1629</f>
        <v/>
      </c>
      <c r="CZ1630">
        <f>$C1630*CZ1629</f>
        <v/>
      </c>
      <c r="DA1630">
        <f>$C1630*DA1629</f>
        <v/>
      </c>
      <c r="DB1630">
        <f>$C1630*DB1629</f>
        <v/>
      </c>
      <c r="DC1630">
        <f>$C1630*DC1629</f>
        <v/>
      </c>
      <c r="DD1630">
        <f>$C1630*DD1629</f>
        <v/>
      </c>
    </row>
    <row r="1631">
      <c r="B1631" t="inlineStr">
        <is>
          <t>TPP-1378</t>
        </is>
      </c>
      <c r="C1631" t="inlineStr">
        <is>
          <t>No. of batches</t>
        </is>
      </c>
      <c r="D1631">
        <f>IFERROR(INDEX(E1631:DD1631,$F$1),"")</f>
        <v/>
      </c>
      <c r="E1631">
        <f>IFERROR(INDEX(PP_Grid[#Data],$DE1631,2),0)</f>
        <v/>
      </c>
      <c r="F1631">
        <f>IFERROR(INDEX(PP_Grid[#Data],$DE1631,3),0)</f>
        <v/>
      </c>
      <c r="G1631">
        <f>IFERROR(INDEX(PP_Grid[#Data],$DE1631,4),0)</f>
        <v/>
      </c>
      <c r="H1631">
        <f>IFERROR(INDEX(PP_Grid[#Data],$DE1631,5),0)</f>
        <v/>
      </c>
      <c r="I1631">
        <f>IFERROR(INDEX(PP_Grid[#Data],$DE1631,6),0)</f>
        <v/>
      </c>
      <c r="J1631">
        <f>IFERROR(INDEX(PP_Grid[#Data],$DE1631,7),0)</f>
        <v/>
      </c>
      <c r="K1631">
        <f>IFERROR(INDEX(PP_Grid[#Data],$DE1631,8),0)</f>
        <v/>
      </c>
      <c r="L1631">
        <f>IFERROR(INDEX(PP_Grid[#Data],$DE1631,9),0)</f>
        <v/>
      </c>
      <c r="M1631">
        <f>IFERROR(INDEX(PP_Grid[#Data],$DE1631,10),0)</f>
        <v/>
      </c>
      <c r="N1631">
        <f>IFERROR(INDEX(PP_Grid[#Data],$DE1631,11),0)</f>
        <v/>
      </c>
      <c r="O1631">
        <f>IFERROR(INDEX(PP_Grid[#Data],$DE1631,12),0)</f>
        <v/>
      </c>
      <c r="P1631">
        <f>IFERROR(INDEX(PP_Grid[#Data],$DE1631,13),0)</f>
        <v/>
      </c>
      <c r="Q1631">
        <f>IFERROR(INDEX(PP_Grid[#Data],$DE1631,14),0)</f>
        <v/>
      </c>
      <c r="R1631">
        <f>IFERROR(INDEX(PP_Grid[#Data],$DE1631,15),0)</f>
        <v/>
      </c>
      <c r="S1631">
        <f>IFERROR(INDEX(PP_Grid[#Data],$DE1631,16),0)</f>
        <v/>
      </c>
      <c r="T1631">
        <f>IFERROR(INDEX(PP_Grid[#Data],$DE1631,17),0)</f>
        <v/>
      </c>
      <c r="U1631">
        <f>IFERROR(INDEX(PP_Grid[#Data],$DE1631,18),0)</f>
        <v/>
      </c>
      <c r="V1631">
        <f>IFERROR(INDEX(PP_Grid[#Data],$DE1631,19),0)</f>
        <v/>
      </c>
      <c r="W1631">
        <f>IFERROR(INDEX(PP_Grid[#Data],$DE1631,20),0)</f>
        <v/>
      </c>
      <c r="X1631">
        <f>IFERROR(INDEX(PP_Grid[#Data],$DE1631,21),0)</f>
        <v/>
      </c>
      <c r="Y1631">
        <f>IFERROR(INDEX(PP_Grid[#Data],$DE1631,22),0)</f>
        <v/>
      </c>
      <c r="Z1631">
        <f>IFERROR(INDEX(PP_Grid[#Data],$DE1631,23),0)</f>
        <v/>
      </c>
      <c r="AA1631">
        <f>IFERROR(INDEX(PP_Grid[#Data],$DE1631,24),0)</f>
        <v/>
      </c>
      <c r="AB1631">
        <f>IFERROR(INDEX(PP_Grid[#Data],$DE1631,25),0)</f>
        <v/>
      </c>
      <c r="AC1631">
        <f>IFERROR(INDEX(PP_Grid[#Data],$DE1631,26),0)</f>
        <v/>
      </c>
      <c r="AD1631">
        <f>IFERROR(INDEX(PP_Grid[#Data],$DE1631,27),0)</f>
        <v/>
      </c>
      <c r="AE1631">
        <f>IFERROR(INDEX(PP_Grid[#Data],$DE1631,28),0)</f>
        <v/>
      </c>
      <c r="AF1631">
        <f>IFERROR(INDEX(PP_Grid[#Data],$DE1631,29),0)</f>
        <v/>
      </c>
      <c r="AG1631">
        <f>IFERROR(INDEX(PP_Grid[#Data],$DE1631,30),0)</f>
        <v/>
      </c>
      <c r="AH1631">
        <f>IFERROR(INDEX(PP_Grid[#Data],$DE1631,31),0)</f>
        <v/>
      </c>
      <c r="AI1631">
        <f>IFERROR(INDEX(PP_Grid[#Data],$DE1631,32),0)</f>
        <v/>
      </c>
      <c r="AJ1631">
        <f>IFERROR(INDEX(PP_Grid[#Data],$DE1631,33),0)</f>
        <v/>
      </c>
      <c r="AK1631">
        <f>IFERROR(INDEX(PP_Grid[#Data],$DE1631,34),0)</f>
        <v/>
      </c>
      <c r="AL1631">
        <f>IFERROR(INDEX(PP_Grid[#Data],$DE1631,35),0)</f>
        <v/>
      </c>
      <c r="AM1631">
        <f>IFERROR(INDEX(PP_Grid[#Data],$DE1631,36),0)</f>
        <v/>
      </c>
      <c r="AN1631">
        <f>IFERROR(INDEX(PP_Grid[#Data],$DE1631,37),0)</f>
        <v/>
      </c>
      <c r="AO1631">
        <f>IFERROR(INDEX(PP_Grid[#Data],$DE1631,38),0)</f>
        <v/>
      </c>
      <c r="AP1631">
        <f>IFERROR(INDEX(PP_Grid[#Data],$DE1631,39),0)</f>
        <v/>
      </c>
      <c r="AQ1631">
        <f>IFERROR(INDEX(PP_Grid[#Data],$DE1631,40),0)</f>
        <v/>
      </c>
      <c r="AR1631">
        <f>IFERROR(INDEX(PP_Grid[#Data],$DE1631,41),0)</f>
        <v/>
      </c>
      <c r="AS1631">
        <f>IFERROR(INDEX(PP_Grid[#Data],$DE1631,42),0)</f>
        <v/>
      </c>
      <c r="AT1631">
        <f>IFERROR(INDEX(PP_Grid[#Data],$DE1631,43),0)</f>
        <v/>
      </c>
      <c r="AU1631">
        <f>IFERROR(INDEX(PP_Grid[#Data],$DE1631,44),0)</f>
        <v/>
      </c>
      <c r="AV1631">
        <f>IFERROR(INDEX(PP_Grid[#Data],$DE1631,45),0)</f>
        <v/>
      </c>
      <c r="AW1631">
        <f>IFERROR(INDEX(PP_Grid[#Data],$DE1631,46),0)</f>
        <v/>
      </c>
      <c r="AX1631">
        <f>IFERROR(INDEX(PP_Grid[#Data],$DE1631,47),0)</f>
        <v/>
      </c>
      <c r="AY1631">
        <f>IFERROR(INDEX(PP_Grid[#Data],$DE1631,48),0)</f>
        <v/>
      </c>
      <c r="AZ1631">
        <f>IFERROR(INDEX(PP_Grid[#Data],$DE1631,49),0)</f>
        <v/>
      </c>
      <c r="BA1631">
        <f>IFERROR(INDEX(PP_Grid[#Data],$DE1631,50),0)</f>
        <v/>
      </c>
      <c r="BB1631">
        <f>IFERROR(INDEX(PP_Grid[#Data],$DE1631,51),0)</f>
        <v/>
      </c>
      <c r="BC1631">
        <f>IFERROR(INDEX(PP_Grid[#Data],$DE1631,52),0)</f>
        <v/>
      </c>
      <c r="BD1631">
        <f>IFERROR(INDEX(PP_Grid[#Data],$DE1631,53),0)</f>
        <v/>
      </c>
      <c r="BE1631">
        <f>IFERROR(INDEX(PP_Grid[#Data],$DE1631,54),0)</f>
        <v/>
      </c>
      <c r="BF1631">
        <f>IFERROR(INDEX(PP_Grid[#Data],$DE1631,55),0)</f>
        <v/>
      </c>
      <c r="BG1631">
        <f>IFERROR(INDEX(PP_Grid[#Data],$DE1631,56),0)</f>
        <v/>
      </c>
      <c r="BH1631">
        <f>IFERROR(INDEX(PP_Grid[#Data],$DE1631,57),0)</f>
        <v/>
      </c>
      <c r="BI1631">
        <f>IFERROR(INDEX(PP_Grid[#Data],$DE1631,58),0)</f>
        <v/>
      </c>
      <c r="BJ1631">
        <f>IFERROR(INDEX(PP_Grid[#Data],$DE1631,59),0)</f>
        <v/>
      </c>
      <c r="BK1631">
        <f>IFERROR(INDEX(PP_Grid[#Data],$DE1631,60),0)</f>
        <v/>
      </c>
      <c r="BL1631">
        <f>IFERROR(INDEX(PP_Grid[#Data],$DE1631,61),0)</f>
        <v/>
      </c>
      <c r="BM1631">
        <f>IFERROR(INDEX(PP_Grid[#Data],$DE1631,62),0)</f>
        <v/>
      </c>
      <c r="BN1631">
        <f>IFERROR(INDEX(PP_Grid[#Data],$DE1631,63),0)</f>
        <v/>
      </c>
      <c r="BO1631">
        <f>IFERROR(INDEX(PP_Grid[#Data],$DE1631,64),0)</f>
        <v/>
      </c>
      <c r="BP1631">
        <f>IFERROR(INDEX(PP_Grid[#Data],$DE1631,65),0)</f>
        <v/>
      </c>
      <c r="BQ1631">
        <f>IFERROR(INDEX(PP_Grid[#Data],$DE1631,66),0)</f>
        <v/>
      </c>
      <c r="BR1631">
        <f>IFERROR(INDEX(PP_Grid[#Data],$DE1631,67),0)</f>
        <v/>
      </c>
      <c r="BS1631">
        <f>IFERROR(INDEX(PP_Grid[#Data],$DE1631,68),0)</f>
        <v/>
      </c>
      <c r="BT1631">
        <f>IFERROR(INDEX(PP_Grid[#Data],$DE1631,69),0)</f>
        <v/>
      </c>
      <c r="BU1631">
        <f>IFERROR(INDEX(PP_Grid[#Data],$DE1631,70),0)</f>
        <v/>
      </c>
      <c r="BV1631">
        <f>IFERROR(INDEX(PP_Grid[#Data],$DE1631,71),0)</f>
        <v/>
      </c>
      <c r="BW1631">
        <f>IFERROR(INDEX(PP_Grid[#Data],$DE1631,72),0)</f>
        <v/>
      </c>
      <c r="BX1631">
        <f>IFERROR(INDEX(PP_Grid[#Data],$DE1631,73),0)</f>
        <v/>
      </c>
      <c r="BY1631">
        <f>IFERROR(INDEX(PP_Grid[#Data],$DE1631,74),0)</f>
        <v/>
      </c>
      <c r="BZ1631">
        <f>IFERROR(INDEX(PP_Grid[#Data],$DE1631,75),0)</f>
        <v/>
      </c>
      <c r="CA1631">
        <f>IFERROR(INDEX(PP_Grid[#Data],$DE1631,76),0)</f>
        <v/>
      </c>
      <c r="CB1631">
        <f>IFERROR(INDEX(PP_Grid[#Data],$DE1631,77),0)</f>
        <v/>
      </c>
      <c r="CC1631">
        <f>IFERROR(INDEX(PP_Grid[#Data],$DE1631,78),0)</f>
        <v/>
      </c>
      <c r="CD1631">
        <f>IFERROR(INDEX(PP_Grid[#Data],$DE1631,79),0)</f>
        <v/>
      </c>
      <c r="CE1631">
        <f>IFERROR(INDEX(PP_Grid[#Data],$DE1631,80),0)</f>
        <v/>
      </c>
      <c r="CF1631">
        <f>IFERROR(INDEX(PP_Grid[#Data],$DE1631,81),0)</f>
        <v/>
      </c>
      <c r="CG1631">
        <f>IFERROR(INDEX(PP_Grid[#Data],$DE1631,82),0)</f>
        <v/>
      </c>
      <c r="CH1631">
        <f>IFERROR(INDEX(PP_Grid[#Data],$DE1631,83),0)</f>
        <v/>
      </c>
      <c r="CI1631">
        <f>IFERROR(INDEX(PP_Grid[#Data],$DE1631,84),0)</f>
        <v/>
      </c>
      <c r="CJ1631">
        <f>IFERROR(INDEX(PP_Grid[#Data],$DE1631,85),0)</f>
        <v/>
      </c>
      <c r="CK1631">
        <f>IFERROR(INDEX(PP_Grid[#Data],$DE1631,86),0)</f>
        <v/>
      </c>
      <c r="CL1631">
        <f>IFERROR(INDEX(PP_Grid[#Data],$DE1631,87),0)</f>
        <v/>
      </c>
      <c r="CM1631">
        <f>IFERROR(INDEX(PP_Grid[#Data],$DE1631,88),0)</f>
        <v/>
      </c>
      <c r="CN1631">
        <f>IFERROR(INDEX(PP_Grid[#Data],$DE1631,89),0)</f>
        <v/>
      </c>
      <c r="CO1631">
        <f>IFERROR(INDEX(PP_Grid[#Data],$DE1631,90),0)</f>
        <v/>
      </c>
      <c r="CP1631">
        <f>IFERROR(INDEX(PP_Grid[#Data],$DE1631,91),0)</f>
        <v/>
      </c>
      <c r="CQ1631">
        <f>IFERROR(INDEX(PP_Grid[#Data],$DE1631,92),0)</f>
        <v/>
      </c>
      <c r="CR1631">
        <f>IFERROR(INDEX(PP_Grid[#Data],$DE1631,93),0)</f>
        <v/>
      </c>
      <c r="CS1631">
        <f>IFERROR(INDEX(PP_Grid[#Data],$DE1631,94),0)</f>
        <v/>
      </c>
      <c r="CT1631">
        <f>IFERROR(INDEX(PP_Grid[#Data],$DE1631,95),0)</f>
        <v/>
      </c>
      <c r="CU1631">
        <f>IFERROR(INDEX(PP_Grid[#Data],$DE1631,96),0)</f>
        <v/>
      </c>
      <c r="CV1631">
        <f>IFERROR(INDEX(PP_Grid[#Data],$DE1631,97),0)</f>
        <v/>
      </c>
      <c r="CW1631">
        <f>IFERROR(INDEX(PP_Grid[#Data],$DE1631,98),0)</f>
        <v/>
      </c>
      <c r="CX1631">
        <f>IFERROR(INDEX(PP_Grid[#Data],$DE1631,99),0)</f>
        <v/>
      </c>
      <c r="CY1631">
        <f>IFERROR(INDEX(PP_Grid[#Data],$DE1631,100),0)</f>
        <v/>
      </c>
      <c r="CZ1631">
        <f>IFERROR(INDEX(PP_Grid[#Data],$DE1631,101),0)</f>
        <v/>
      </c>
      <c r="DA1631">
        <f>IFERROR(INDEX(PP_Grid[#Data],$DE1631,102),0)</f>
        <v/>
      </c>
      <c r="DB1631">
        <f>IFERROR(INDEX(PP_Grid[#Data],$DE1631,103),0)</f>
        <v/>
      </c>
      <c r="DC1631">
        <f>IFERROR(INDEX(PP_Grid[#Data],$DE1631,104),0)</f>
        <v/>
      </c>
      <c r="DD1631">
        <f>IFERROR(INDEX(PP_Grid[#Data],$DE1631,105),0)</f>
        <v/>
      </c>
      <c r="DE1631" s="7">
        <f>IFERROR(MATCH($B1631,PP_Grid[Intermediate],0),99999)</f>
        <v/>
      </c>
    </row>
    <row r="1632">
      <c r="B1632" t="inlineStr">
        <is>
          <t>使用量(kg)</t>
        </is>
      </c>
      <c r="C1632">
        <f>SUMIFS(M_BOM[RM_Qty_Per_Batch],M_BOM[Intermediate],$B1631,M_BOM[RM_Code],$A1628)</f>
        <v/>
      </c>
      <c r="D1632">
        <f>IFERROR(INDEX(E1632:DD1632,$F$1),"")</f>
        <v/>
      </c>
      <c r="E1632">
        <f>$C1632*E1631</f>
        <v/>
      </c>
      <c r="F1632">
        <f>$C1632*F1631</f>
        <v/>
      </c>
      <c r="G1632">
        <f>$C1632*G1631</f>
        <v/>
      </c>
      <c r="H1632">
        <f>$C1632*H1631</f>
        <v/>
      </c>
      <c r="I1632">
        <f>$C1632*I1631</f>
        <v/>
      </c>
      <c r="J1632">
        <f>$C1632*J1631</f>
        <v/>
      </c>
      <c r="K1632">
        <f>$C1632*K1631</f>
        <v/>
      </c>
      <c r="L1632">
        <f>$C1632*L1631</f>
        <v/>
      </c>
      <c r="M1632">
        <f>$C1632*M1631</f>
        <v/>
      </c>
      <c r="N1632">
        <f>$C1632*N1631</f>
        <v/>
      </c>
      <c r="O1632">
        <f>$C1632*O1631</f>
        <v/>
      </c>
      <c r="P1632">
        <f>$C1632*P1631</f>
        <v/>
      </c>
      <c r="Q1632">
        <f>$C1632*Q1631</f>
        <v/>
      </c>
      <c r="R1632">
        <f>$C1632*R1631</f>
        <v/>
      </c>
      <c r="S1632">
        <f>$C1632*S1631</f>
        <v/>
      </c>
      <c r="T1632">
        <f>$C1632*T1631</f>
        <v/>
      </c>
      <c r="U1632">
        <f>$C1632*U1631</f>
        <v/>
      </c>
      <c r="V1632">
        <f>$C1632*V1631</f>
        <v/>
      </c>
      <c r="W1632">
        <f>$C1632*W1631</f>
        <v/>
      </c>
      <c r="X1632">
        <f>$C1632*X1631</f>
        <v/>
      </c>
      <c r="Y1632">
        <f>$C1632*Y1631</f>
        <v/>
      </c>
      <c r="Z1632">
        <f>$C1632*Z1631</f>
        <v/>
      </c>
      <c r="AA1632">
        <f>$C1632*AA1631</f>
        <v/>
      </c>
      <c r="AB1632">
        <f>$C1632*AB1631</f>
        <v/>
      </c>
      <c r="AC1632">
        <f>$C1632*AC1631</f>
        <v/>
      </c>
      <c r="AD1632">
        <f>$C1632*AD1631</f>
        <v/>
      </c>
      <c r="AE1632">
        <f>$C1632*AE1631</f>
        <v/>
      </c>
      <c r="AF1632">
        <f>$C1632*AF1631</f>
        <v/>
      </c>
      <c r="AG1632">
        <f>$C1632*AG1631</f>
        <v/>
      </c>
      <c r="AH1632">
        <f>$C1632*AH1631</f>
        <v/>
      </c>
      <c r="AI1632">
        <f>$C1632*AI1631</f>
        <v/>
      </c>
      <c r="AJ1632">
        <f>$C1632*AJ1631</f>
        <v/>
      </c>
      <c r="AK1632">
        <f>$C1632*AK1631</f>
        <v/>
      </c>
      <c r="AL1632">
        <f>$C1632*AL1631</f>
        <v/>
      </c>
      <c r="AM1632">
        <f>$C1632*AM1631</f>
        <v/>
      </c>
      <c r="AN1632">
        <f>$C1632*AN1631</f>
        <v/>
      </c>
      <c r="AO1632">
        <f>$C1632*AO1631</f>
        <v/>
      </c>
      <c r="AP1632">
        <f>$C1632*AP1631</f>
        <v/>
      </c>
      <c r="AQ1632">
        <f>$C1632*AQ1631</f>
        <v/>
      </c>
      <c r="AR1632">
        <f>$C1632*AR1631</f>
        <v/>
      </c>
      <c r="AS1632">
        <f>$C1632*AS1631</f>
        <v/>
      </c>
      <c r="AT1632">
        <f>$C1632*AT1631</f>
        <v/>
      </c>
      <c r="AU1632">
        <f>$C1632*AU1631</f>
        <v/>
      </c>
      <c r="AV1632">
        <f>$C1632*AV1631</f>
        <v/>
      </c>
      <c r="AW1632">
        <f>$C1632*AW1631</f>
        <v/>
      </c>
      <c r="AX1632">
        <f>$C1632*AX1631</f>
        <v/>
      </c>
      <c r="AY1632">
        <f>$C1632*AY1631</f>
        <v/>
      </c>
      <c r="AZ1632">
        <f>$C1632*AZ1631</f>
        <v/>
      </c>
      <c r="BA1632">
        <f>$C1632*BA1631</f>
        <v/>
      </c>
      <c r="BB1632">
        <f>$C1632*BB1631</f>
        <v/>
      </c>
      <c r="BC1632">
        <f>$C1632*BC1631</f>
        <v/>
      </c>
      <c r="BD1632">
        <f>$C1632*BD1631</f>
        <v/>
      </c>
      <c r="BE1632">
        <f>$C1632*BE1631</f>
        <v/>
      </c>
      <c r="BF1632">
        <f>$C1632*BF1631</f>
        <v/>
      </c>
      <c r="BG1632">
        <f>$C1632*BG1631</f>
        <v/>
      </c>
      <c r="BH1632">
        <f>$C1632*BH1631</f>
        <v/>
      </c>
      <c r="BI1632">
        <f>$C1632*BI1631</f>
        <v/>
      </c>
      <c r="BJ1632">
        <f>$C1632*BJ1631</f>
        <v/>
      </c>
      <c r="BK1632">
        <f>$C1632*BK1631</f>
        <v/>
      </c>
      <c r="BL1632">
        <f>$C1632*BL1631</f>
        <v/>
      </c>
      <c r="BM1632">
        <f>$C1632*BM1631</f>
        <v/>
      </c>
      <c r="BN1632">
        <f>$C1632*BN1631</f>
        <v/>
      </c>
      <c r="BO1632">
        <f>$C1632*BO1631</f>
        <v/>
      </c>
      <c r="BP1632">
        <f>$C1632*BP1631</f>
        <v/>
      </c>
      <c r="BQ1632">
        <f>$C1632*BQ1631</f>
        <v/>
      </c>
      <c r="BR1632">
        <f>$C1632*BR1631</f>
        <v/>
      </c>
      <c r="BS1632">
        <f>$C1632*BS1631</f>
        <v/>
      </c>
      <c r="BT1632">
        <f>$C1632*BT1631</f>
        <v/>
      </c>
      <c r="BU1632">
        <f>$C1632*BU1631</f>
        <v/>
      </c>
      <c r="BV1632">
        <f>$C1632*BV1631</f>
        <v/>
      </c>
      <c r="BW1632">
        <f>$C1632*BW1631</f>
        <v/>
      </c>
      <c r="BX1632">
        <f>$C1632*BX1631</f>
        <v/>
      </c>
      <c r="BY1632">
        <f>$C1632*BY1631</f>
        <v/>
      </c>
      <c r="BZ1632">
        <f>$C1632*BZ1631</f>
        <v/>
      </c>
      <c r="CA1632">
        <f>$C1632*CA1631</f>
        <v/>
      </c>
      <c r="CB1632">
        <f>$C1632*CB1631</f>
        <v/>
      </c>
      <c r="CC1632">
        <f>$C1632*CC1631</f>
        <v/>
      </c>
      <c r="CD1632">
        <f>$C1632*CD1631</f>
        <v/>
      </c>
      <c r="CE1632">
        <f>$C1632*CE1631</f>
        <v/>
      </c>
      <c r="CF1632">
        <f>$C1632*CF1631</f>
        <v/>
      </c>
      <c r="CG1632">
        <f>$C1632*CG1631</f>
        <v/>
      </c>
      <c r="CH1632">
        <f>$C1632*CH1631</f>
        <v/>
      </c>
      <c r="CI1632">
        <f>$C1632*CI1631</f>
        <v/>
      </c>
      <c r="CJ1632">
        <f>$C1632*CJ1631</f>
        <v/>
      </c>
      <c r="CK1632">
        <f>$C1632*CK1631</f>
        <v/>
      </c>
      <c r="CL1632">
        <f>$C1632*CL1631</f>
        <v/>
      </c>
      <c r="CM1632">
        <f>$C1632*CM1631</f>
        <v/>
      </c>
      <c r="CN1632">
        <f>$C1632*CN1631</f>
        <v/>
      </c>
      <c r="CO1632">
        <f>$C1632*CO1631</f>
        <v/>
      </c>
      <c r="CP1632">
        <f>$C1632*CP1631</f>
        <v/>
      </c>
      <c r="CQ1632">
        <f>$C1632*CQ1631</f>
        <v/>
      </c>
      <c r="CR1632">
        <f>$C1632*CR1631</f>
        <v/>
      </c>
      <c r="CS1632">
        <f>$C1632*CS1631</f>
        <v/>
      </c>
      <c r="CT1632">
        <f>$C1632*CT1631</f>
        <v/>
      </c>
      <c r="CU1632">
        <f>$C1632*CU1631</f>
        <v/>
      </c>
      <c r="CV1632">
        <f>$C1632*CV1631</f>
        <v/>
      </c>
      <c r="CW1632">
        <f>$C1632*CW1631</f>
        <v/>
      </c>
      <c r="CX1632">
        <f>$C1632*CX1631</f>
        <v/>
      </c>
      <c r="CY1632">
        <f>$C1632*CY1631</f>
        <v/>
      </c>
      <c r="CZ1632">
        <f>$C1632*CZ1631</f>
        <v/>
      </c>
      <c r="DA1632">
        <f>$C1632*DA1631</f>
        <v/>
      </c>
      <c r="DB1632">
        <f>$C1632*DB1631</f>
        <v/>
      </c>
      <c r="DC1632">
        <f>$C1632*DC1631</f>
        <v/>
      </c>
      <c r="DD1632">
        <f>$C1632*DD1631</f>
        <v/>
      </c>
    </row>
    <row r="1633">
      <c r="B1633" t="inlineStr">
        <is>
          <t>TPP-1369</t>
        </is>
      </c>
      <c r="C1633" t="inlineStr">
        <is>
          <t>No. of batches</t>
        </is>
      </c>
      <c r="D1633">
        <f>IFERROR(INDEX(E1633:DD1633,$F$1),"")</f>
        <v/>
      </c>
      <c r="E1633">
        <f>IFERROR(INDEX(PP_Grid[#Data],$DE1633,2),0)</f>
        <v/>
      </c>
      <c r="F1633">
        <f>IFERROR(INDEX(PP_Grid[#Data],$DE1633,3),0)</f>
        <v/>
      </c>
      <c r="G1633">
        <f>IFERROR(INDEX(PP_Grid[#Data],$DE1633,4),0)</f>
        <v/>
      </c>
      <c r="H1633">
        <f>IFERROR(INDEX(PP_Grid[#Data],$DE1633,5),0)</f>
        <v/>
      </c>
      <c r="I1633">
        <f>IFERROR(INDEX(PP_Grid[#Data],$DE1633,6),0)</f>
        <v/>
      </c>
      <c r="J1633">
        <f>IFERROR(INDEX(PP_Grid[#Data],$DE1633,7),0)</f>
        <v/>
      </c>
      <c r="K1633">
        <f>IFERROR(INDEX(PP_Grid[#Data],$DE1633,8),0)</f>
        <v/>
      </c>
      <c r="L1633">
        <f>IFERROR(INDEX(PP_Grid[#Data],$DE1633,9),0)</f>
        <v/>
      </c>
      <c r="M1633">
        <f>IFERROR(INDEX(PP_Grid[#Data],$DE1633,10),0)</f>
        <v/>
      </c>
      <c r="N1633">
        <f>IFERROR(INDEX(PP_Grid[#Data],$DE1633,11),0)</f>
        <v/>
      </c>
      <c r="O1633">
        <f>IFERROR(INDEX(PP_Grid[#Data],$DE1633,12),0)</f>
        <v/>
      </c>
      <c r="P1633">
        <f>IFERROR(INDEX(PP_Grid[#Data],$DE1633,13),0)</f>
        <v/>
      </c>
      <c r="Q1633">
        <f>IFERROR(INDEX(PP_Grid[#Data],$DE1633,14),0)</f>
        <v/>
      </c>
      <c r="R1633">
        <f>IFERROR(INDEX(PP_Grid[#Data],$DE1633,15),0)</f>
        <v/>
      </c>
      <c r="S1633">
        <f>IFERROR(INDEX(PP_Grid[#Data],$DE1633,16),0)</f>
        <v/>
      </c>
      <c r="T1633">
        <f>IFERROR(INDEX(PP_Grid[#Data],$DE1633,17),0)</f>
        <v/>
      </c>
      <c r="U1633">
        <f>IFERROR(INDEX(PP_Grid[#Data],$DE1633,18),0)</f>
        <v/>
      </c>
      <c r="V1633">
        <f>IFERROR(INDEX(PP_Grid[#Data],$DE1633,19),0)</f>
        <v/>
      </c>
      <c r="W1633">
        <f>IFERROR(INDEX(PP_Grid[#Data],$DE1633,20),0)</f>
        <v/>
      </c>
      <c r="X1633">
        <f>IFERROR(INDEX(PP_Grid[#Data],$DE1633,21),0)</f>
        <v/>
      </c>
      <c r="Y1633">
        <f>IFERROR(INDEX(PP_Grid[#Data],$DE1633,22),0)</f>
        <v/>
      </c>
      <c r="Z1633">
        <f>IFERROR(INDEX(PP_Grid[#Data],$DE1633,23),0)</f>
        <v/>
      </c>
      <c r="AA1633">
        <f>IFERROR(INDEX(PP_Grid[#Data],$DE1633,24),0)</f>
        <v/>
      </c>
      <c r="AB1633">
        <f>IFERROR(INDEX(PP_Grid[#Data],$DE1633,25),0)</f>
        <v/>
      </c>
      <c r="AC1633">
        <f>IFERROR(INDEX(PP_Grid[#Data],$DE1633,26),0)</f>
        <v/>
      </c>
      <c r="AD1633">
        <f>IFERROR(INDEX(PP_Grid[#Data],$DE1633,27),0)</f>
        <v/>
      </c>
      <c r="AE1633">
        <f>IFERROR(INDEX(PP_Grid[#Data],$DE1633,28),0)</f>
        <v/>
      </c>
      <c r="AF1633">
        <f>IFERROR(INDEX(PP_Grid[#Data],$DE1633,29),0)</f>
        <v/>
      </c>
      <c r="AG1633">
        <f>IFERROR(INDEX(PP_Grid[#Data],$DE1633,30),0)</f>
        <v/>
      </c>
      <c r="AH1633">
        <f>IFERROR(INDEX(PP_Grid[#Data],$DE1633,31),0)</f>
        <v/>
      </c>
      <c r="AI1633">
        <f>IFERROR(INDEX(PP_Grid[#Data],$DE1633,32),0)</f>
        <v/>
      </c>
      <c r="AJ1633">
        <f>IFERROR(INDEX(PP_Grid[#Data],$DE1633,33),0)</f>
        <v/>
      </c>
      <c r="AK1633">
        <f>IFERROR(INDEX(PP_Grid[#Data],$DE1633,34),0)</f>
        <v/>
      </c>
      <c r="AL1633">
        <f>IFERROR(INDEX(PP_Grid[#Data],$DE1633,35),0)</f>
        <v/>
      </c>
      <c r="AM1633">
        <f>IFERROR(INDEX(PP_Grid[#Data],$DE1633,36),0)</f>
        <v/>
      </c>
      <c r="AN1633">
        <f>IFERROR(INDEX(PP_Grid[#Data],$DE1633,37),0)</f>
        <v/>
      </c>
      <c r="AO1633">
        <f>IFERROR(INDEX(PP_Grid[#Data],$DE1633,38),0)</f>
        <v/>
      </c>
      <c r="AP1633">
        <f>IFERROR(INDEX(PP_Grid[#Data],$DE1633,39),0)</f>
        <v/>
      </c>
      <c r="AQ1633">
        <f>IFERROR(INDEX(PP_Grid[#Data],$DE1633,40),0)</f>
        <v/>
      </c>
      <c r="AR1633">
        <f>IFERROR(INDEX(PP_Grid[#Data],$DE1633,41),0)</f>
        <v/>
      </c>
      <c r="AS1633">
        <f>IFERROR(INDEX(PP_Grid[#Data],$DE1633,42),0)</f>
        <v/>
      </c>
      <c r="AT1633">
        <f>IFERROR(INDEX(PP_Grid[#Data],$DE1633,43),0)</f>
        <v/>
      </c>
      <c r="AU1633">
        <f>IFERROR(INDEX(PP_Grid[#Data],$DE1633,44),0)</f>
        <v/>
      </c>
      <c r="AV1633">
        <f>IFERROR(INDEX(PP_Grid[#Data],$DE1633,45),0)</f>
        <v/>
      </c>
      <c r="AW1633">
        <f>IFERROR(INDEX(PP_Grid[#Data],$DE1633,46),0)</f>
        <v/>
      </c>
      <c r="AX1633">
        <f>IFERROR(INDEX(PP_Grid[#Data],$DE1633,47),0)</f>
        <v/>
      </c>
      <c r="AY1633">
        <f>IFERROR(INDEX(PP_Grid[#Data],$DE1633,48),0)</f>
        <v/>
      </c>
      <c r="AZ1633">
        <f>IFERROR(INDEX(PP_Grid[#Data],$DE1633,49),0)</f>
        <v/>
      </c>
      <c r="BA1633">
        <f>IFERROR(INDEX(PP_Grid[#Data],$DE1633,50),0)</f>
        <v/>
      </c>
      <c r="BB1633">
        <f>IFERROR(INDEX(PP_Grid[#Data],$DE1633,51),0)</f>
        <v/>
      </c>
      <c r="BC1633">
        <f>IFERROR(INDEX(PP_Grid[#Data],$DE1633,52),0)</f>
        <v/>
      </c>
      <c r="BD1633">
        <f>IFERROR(INDEX(PP_Grid[#Data],$DE1633,53),0)</f>
        <v/>
      </c>
      <c r="BE1633">
        <f>IFERROR(INDEX(PP_Grid[#Data],$DE1633,54),0)</f>
        <v/>
      </c>
      <c r="BF1633">
        <f>IFERROR(INDEX(PP_Grid[#Data],$DE1633,55),0)</f>
        <v/>
      </c>
      <c r="BG1633">
        <f>IFERROR(INDEX(PP_Grid[#Data],$DE1633,56),0)</f>
        <v/>
      </c>
      <c r="BH1633">
        <f>IFERROR(INDEX(PP_Grid[#Data],$DE1633,57),0)</f>
        <v/>
      </c>
      <c r="BI1633">
        <f>IFERROR(INDEX(PP_Grid[#Data],$DE1633,58),0)</f>
        <v/>
      </c>
      <c r="BJ1633">
        <f>IFERROR(INDEX(PP_Grid[#Data],$DE1633,59),0)</f>
        <v/>
      </c>
      <c r="BK1633">
        <f>IFERROR(INDEX(PP_Grid[#Data],$DE1633,60),0)</f>
        <v/>
      </c>
      <c r="BL1633">
        <f>IFERROR(INDEX(PP_Grid[#Data],$DE1633,61),0)</f>
        <v/>
      </c>
      <c r="BM1633">
        <f>IFERROR(INDEX(PP_Grid[#Data],$DE1633,62),0)</f>
        <v/>
      </c>
      <c r="BN1633">
        <f>IFERROR(INDEX(PP_Grid[#Data],$DE1633,63),0)</f>
        <v/>
      </c>
      <c r="BO1633">
        <f>IFERROR(INDEX(PP_Grid[#Data],$DE1633,64),0)</f>
        <v/>
      </c>
      <c r="BP1633">
        <f>IFERROR(INDEX(PP_Grid[#Data],$DE1633,65),0)</f>
        <v/>
      </c>
      <c r="BQ1633">
        <f>IFERROR(INDEX(PP_Grid[#Data],$DE1633,66),0)</f>
        <v/>
      </c>
      <c r="BR1633">
        <f>IFERROR(INDEX(PP_Grid[#Data],$DE1633,67),0)</f>
        <v/>
      </c>
      <c r="BS1633">
        <f>IFERROR(INDEX(PP_Grid[#Data],$DE1633,68),0)</f>
        <v/>
      </c>
      <c r="BT1633">
        <f>IFERROR(INDEX(PP_Grid[#Data],$DE1633,69),0)</f>
        <v/>
      </c>
      <c r="BU1633">
        <f>IFERROR(INDEX(PP_Grid[#Data],$DE1633,70),0)</f>
        <v/>
      </c>
      <c r="BV1633">
        <f>IFERROR(INDEX(PP_Grid[#Data],$DE1633,71),0)</f>
        <v/>
      </c>
      <c r="BW1633">
        <f>IFERROR(INDEX(PP_Grid[#Data],$DE1633,72),0)</f>
        <v/>
      </c>
      <c r="BX1633">
        <f>IFERROR(INDEX(PP_Grid[#Data],$DE1633,73),0)</f>
        <v/>
      </c>
      <c r="BY1633">
        <f>IFERROR(INDEX(PP_Grid[#Data],$DE1633,74),0)</f>
        <v/>
      </c>
      <c r="BZ1633">
        <f>IFERROR(INDEX(PP_Grid[#Data],$DE1633,75),0)</f>
        <v/>
      </c>
      <c r="CA1633">
        <f>IFERROR(INDEX(PP_Grid[#Data],$DE1633,76),0)</f>
        <v/>
      </c>
      <c r="CB1633">
        <f>IFERROR(INDEX(PP_Grid[#Data],$DE1633,77),0)</f>
        <v/>
      </c>
      <c r="CC1633">
        <f>IFERROR(INDEX(PP_Grid[#Data],$DE1633,78),0)</f>
        <v/>
      </c>
      <c r="CD1633">
        <f>IFERROR(INDEX(PP_Grid[#Data],$DE1633,79),0)</f>
        <v/>
      </c>
      <c r="CE1633">
        <f>IFERROR(INDEX(PP_Grid[#Data],$DE1633,80),0)</f>
        <v/>
      </c>
      <c r="CF1633">
        <f>IFERROR(INDEX(PP_Grid[#Data],$DE1633,81),0)</f>
        <v/>
      </c>
      <c r="CG1633">
        <f>IFERROR(INDEX(PP_Grid[#Data],$DE1633,82),0)</f>
        <v/>
      </c>
      <c r="CH1633">
        <f>IFERROR(INDEX(PP_Grid[#Data],$DE1633,83),0)</f>
        <v/>
      </c>
      <c r="CI1633">
        <f>IFERROR(INDEX(PP_Grid[#Data],$DE1633,84),0)</f>
        <v/>
      </c>
      <c r="CJ1633">
        <f>IFERROR(INDEX(PP_Grid[#Data],$DE1633,85),0)</f>
        <v/>
      </c>
      <c r="CK1633">
        <f>IFERROR(INDEX(PP_Grid[#Data],$DE1633,86),0)</f>
        <v/>
      </c>
      <c r="CL1633">
        <f>IFERROR(INDEX(PP_Grid[#Data],$DE1633,87),0)</f>
        <v/>
      </c>
      <c r="CM1633">
        <f>IFERROR(INDEX(PP_Grid[#Data],$DE1633,88),0)</f>
        <v/>
      </c>
      <c r="CN1633">
        <f>IFERROR(INDEX(PP_Grid[#Data],$DE1633,89),0)</f>
        <v/>
      </c>
      <c r="CO1633">
        <f>IFERROR(INDEX(PP_Grid[#Data],$DE1633,90),0)</f>
        <v/>
      </c>
      <c r="CP1633">
        <f>IFERROR(INDEX(PP_Grid[#Data],$DE1633,91),0)</f>
        <v/>
      </c>
      <c r="CQ1633">
        <f>IFERROR(INDEX(PP_Grid[#Data],$DE1633,92),0)</f>
        <v/>
      </c>
      <c r="CR1633">
        <f>IFERROR(INDEX(PP_Grid[#Data],$DE1633,93),0)</f>
        <v/>
      </c>
      <c r="CS1633">
        <f>IFERROR(INDEX(PP_Grid[#Data],$DE1633,94),0)</f>
        <v/>
      </c>
      <c r="CT1633">
        <f>IFERROR(INDEX(PP_Grid[#Data],$DE1633,95),0)</f>
        <v/>
      </c>
      <c r="CU1633">
        <f>IFERROR(INDEX(PP_Grid[#Data],$DE1633,96),0)</f>
        <v/>
      </c>
      <c r="CV1633">
        <f>IFERROR(INDEX(PP_Grid[#Data],$DE1633,97),0)</f>
        <v/>
      </c>
      <c r="CW1633">
        <f>IFERROR(INDEX(PP_Grid[#Data],$DE1633,98),0)</f>
        <v/>
      </c>
      <c r="CX1633">
        <f>IFERROR(INDEX(PP_Grid[#Data],$DE1633,99),0)</f>
        <v/>
      </c>
      <c r="CY1633">
        <f>IFERROR(INDEX(PP_Grid[#Data],$DE1633,100),0)</f>
        <v/>
      </c>
      <c r="CZ1633">
        <f>IFERROR(INDEX(PP_Grid[#Data],$DE1633,101),0)</f>
        <v/>
      </c>
      <c r="DA1633">
        <f>IFERROR(INDEX(PP_Grid[#Data],$DE1633,102),0)</f>
        <v/>
      </c>
      <c r="DB1633">
        <f>IFERROR(INDEX(PP_Grid[#Data],$DE1633,103),0)</f>
        <v/>
      </c>
      <c r="DC1633">
        <f>IFERROR(INDEX(PP_Grid[#Data],$DE1633,104),0)</f>
        <v/>
      </c>
      <c r="DD1633">
        <f>IFERROR(INDEX(PP_Grid[#Data],$DE1633,105),0)</f>
        <v/>
      </c>
      <c r="DE1633" s="7">
        <f>IFERROR(MATCH($B1633,PP_Grid[Intermediate],0),99999)</f>
        <v/>
      </c>
    </row>
    <row r="1634">
      <c r="B1634" t="inlineStr">
        <is>
          <t>使用量(kg)</t>
        </is>
      </c>
      <c r="C1634">
        <f>SUMIFS(M_BOM[RM_Qty_Per_Batch],M_BOM[Intermediate],$B1633,M_BOM[RM_Code],$A1628)</f>
        <v/>
      </c>
      <c r="D1634">
        <f>IFERROR(INDEX(E1634:DD1634,$F$1),"")</f>
        <v/>
      </c>
      <c r="E1634">
        <f>$C1634*E1633</f>
        <v/>
      </c>
      <c r="F1634">
        <f>$C1634*F1633</f>
        <v/>
      </c>
      <c r="G1634">
        <f>$C1634*G1633</f>
        <v/>
      </c>
      <c r="H1634">
        <f>$C1634*H1633</f>
        <v/>
      </c>
      <c r="I1634">
        <f>$C1634*I1633</f>
        <v/>
      </c>
      <c r="J1634">
        <f>$C1634*J1633</f>
        <v/>
      </c>
      <c r="K1634">
        <f>$C1634*K1633</f>
        <v/>
      </c>
      <c r="L1634">
        <f>$C1634*L1633</f>
        <v/>
      </c>
      <c r="M1634">
        <f>$C1634*M1633</f>
        <v/>
      </c>
      <c r="N1634">
        <f>$C1634*N1633</f>
        <v/>
      </c>
      <c r="O1634">
        <f>$C1634*O1633</f>
        <v/>
      </c>
      <c r="P1634">
        <f>$C1634*P1633</f>
        <v/>
      </c>
      <c r="Q1634">
        <f>$C1634*Q1633</f>
        <v/>
      </c>
      <c r="R1634">
        <f>$C1634*R1633</f>
        <v/>
      </c>
      <c r="S1634">
        <f>$C1634*S1633</f>
        <v/>
      </c>
      <c r="T1634">
        <f>$C1634*T1633</f>
        <v/>
      </c>
      <c r="U1634">
        <f>$C1634*U1633</f>
        <v/>
      </c>
      <c r="V1634">
        <f>$C1634*V1633</f>
        <v/>
      </c>
      <c r="W1634">
        <f>$C1634*W1633</f>
        <v/>
      </c>
      <c r="X1634">
        <f>$C1634*X1633</f>
        <v/>
      </c>
      <c r="Y1634">
        <f>$C1634*Y1633</f>
        <v/>
      </c>
      <c r="Z1634">
        <f>$C1634*Z1633</f>
        <v/>
      </c>
      <c r="AA1634">
        <f>$C1634*AA1633</f>
        <v/>
      </c>
      <c r="AB1634">
        <f>$C1634*AB1633</f>
        <v/>
      </c>
      <c r="AC1634">
        <f>$C1634*AC1633</f>
        <v/>
      </c>
      <c r="AD1634">
        <f>$C1634*AD1633</f>
        <v/>
      </c>
      <c r="AE1634">
        <f>$C1634*AE1633</f>
        <v/>
      </c>
      <c r="AF1634">
        <f>$C1634*AF1633</f>
        <v/>
      </c>
      <c r="AG1634">
        <f>$C1634*AG1633</f>
        <v/>
      </c>
      <c r="AH1634">
        <f>$C1634*AH1633</f>
        <v/>
      </c>
      <c r="AI1634">
        <f>$C1634*AI1633</f>
        <v/>
      </c>
      <c r="AJ1634">
        <f>$C1634*AJ1633</f>
        <v/>
      </c>
      <c r="AK1634">
        <f>$C1634*AK1633</f>
        <v/>
      </c>
      <c r="AL1634">
        <f>$C1634*AL1633</f>
        <v/>
      </c>
      <c r="AM1634">
        <f>$C1634*AM1633</f>
        <v/>
      </c>
      <c r="AN1634">
        <f>$C1634*AN1633</f>
        <v/>
      </c>
      <c r="AO1634">
        <f>$C1634*AO1633</f>
        <v/>
      </c>
      <c r="AP1634">
        <f>$C1634*AP1633</f>
        <v/>
      </c>
      <c r="AQ1634">
        <f>$C1634*AQ1633</f>
        <v/>
      </c>
      <c r="AR1634">
        <f>$C1634*AR1633</f>
        <v/>
      </c>
      <c r="AS1634">
        <f>$C1634*AS1633</f>
        <v/>
      </c>
      <c r="AT1634">
        <f>$C1634*AT1633</f>
        <v/>
      </c>
      <c r="AU1634">
        <f>$C1634*AU1633</f>
        <v/>
      </c>
      <c r="AV1634">
        <f>$C1634*AV1633</f>
        <v/>
      </c>
      <c r="AW1634">
        <f>$C1634*AW1633</f>
        <v/>
      </c>
      <c r="AX1634">
        <f>$C1634*AX1633</f>
        <v/>
      </c>
      <c r="AY1634">
        <f>$C1634*AY1633</f>
        <v/>
      </c>
      <c r="AZ1634">
        <f>$C1634*AZ1633</f>
        <v/>
      </c>
      <c r="BA1634">
        <f>$C1634*BA1633</f>
        <v/>
      </c>
      <c r="BB1634">
        <f>$C1634*BB1633</f>
        <v/>
      </c>
      <c r="BC1634">
        <f>$C1634*BC1633</f>
        <v/>
      </c>
      <c r="BD1634">
        <f>$C1634*BD1633</f>
        <v/>
      </c>
      <c r="BE1634">
        <f>$C1634*BE1633</f>
        <v/>
      </c>
      <c r="BF1634">
        <f>$C1634*BF1633</f>
        <v/>
      </c>
      <c r="BG1634">
        <f>$C1634*BG1633</f>
        <v/>
      </c>
      <c r="BH1634">
        <f>$C1634*BH1633</f>
        <v/>
      </c>
      <c r="BI1634">
        <f>$C1634*BI1633</f>
        <v/>
      </c>
      <c r="BJ1634">
        <f>$C1634*BJ1633</f>
        <v/>
      </c>
      <c r="BK1634">
        <f>$C1634*BK1633</f>
        <v/>
      </c>
      <c r="BL1634">
        <f>$C1634*BL1633</f>
        <v/>
      </c>
      <c r="BM1634">
        <f>$C1634*BM1633</f>
        <v/>
      </c>
      <c r="BN1634">
        <f>$C1634*BN1633</f>
        <v/>
      </c>
      <c r="BO1634">
        <f>$C1634*BO1633</f>
        <v/>
      </c>
      <c r="BP1634">
        <f>$C1634*BP1633</f>
        <v/>
      </c>
      <c r="BQ1634">
        <f>$C1634*BQ1633</f>
        <v/>
      </c>
      <c r="BR1634">
        <f>$C1634*BR1633</f>
        <v/>
      </c>
      <c r="BS1634">
        <f>$C1634*BS1633</f>
        <v/>
      </c>
      <c r="BT1634">
        <f>$C1634*BT1633</f>
        <v/>
      </c>
      <c r="BU1634">
        <f>$C1634*BU1633</f>
        <v/>
      </c>
      <c r="BV1634">
        <f>$C1634*BV1633</f>
        <v/>
      </c>
      <c r="BW1634">
        <f>$C1634*BW1633</f>
        <v/>
      </c>
      <c r="BX1634">
        <f>$C1634*BX1633</f>
        <v/>
      </c>
      <c r="BY1634">
        <f>$C1634*BY1633</f>
        <v/>
      </c>
      <c r="BZ1634">
        <f>$C1634*BZ1633</f>
        <v/>
      </c>
      <c r="CA1634">
        <f>$C1634*CA1633</f>
        <v/>
      </c>
      <c r="CB1634">
        <f>$C1634*CB1633</f>
        <v/>
      </c>
      <c r="CC1634">
        <f>$C1634*CC1633</f>
        <v/>
      </c>
      <c r="CD1634">
        <f>$C1634*CD1633</f>
        <v/>
      </c>
      <c r="CE1634">
        <f>$C1634*CE1633</f>
        <v/>
      </c>
      <c r="CF1634">
        <f>$C1634*CF1633</f>
        <v/>
      </c>
      <c r="CG1634">
        <f>$C1634*CG1633</f>
        <v/>
      </c>
      <c r="CH1634">
        <f>$C1634*CH1633</f>
        <v/>
      </c>
      <c r="CI1634">
        <f>$C1634*CI1633</f>
        <v/>
      </c>
      <c r="CJ1634">
        <f>$C1634*CJ1633</f>
        <v/>
      </c>
      <c r="CK1634">
        <f>$C1634*CK1633</f>
        <v/>
      </c>
      <c r="CL1634">
        <f>$C1634*CL1633</f>
        <v/>
      </c>
      <c r="CM1634">
        <f>$C1634*CM1633</f>
        <v/>
      </c>
      <c r="CN1634">
        <f>$C1634*CN1633</f>
        <v/>
      </c>
      <c r="CO1634">
        <f>$C1634*CO1633</f>
        <v/>
      </c>
      <c r="CP1634">
        <f>$C1634*CP1633</f>
        <v/>
      </c>
      <c r="CQ1634">
        <f>$C1634*CQ1633</f>
        <v/>
      </c>
      <c r="CR1634">
        <f>$C1634*CR1633</f>
        <v/>
      </c>
      <c r="CS1634">
        <f>$C1634*CS1633</f>
        <v/>
      </c>
      <c r="CT1634">
        <f>$C1634*CT1633</f>
        <v/>
      </c>
      <c r="CU1634">
        <f>$C1634*CU1633</f>
        <v/>
      </c>
      <c r="CV1634">
        <f>$C1634*CV1633</f>
        <v/>
      </c>
      <c r="CW1634">
        <f>$C1634*CW1633</f>
        <v/>
      </c>
      <c r="CX1634">
        <f>$C1634*CX1633</f>
        <v/>
      </c>
      <c r="CY1634">
        <f>$C1634*CY1633</f>
        <v/>
      </c>
      <c r="CZ1634">
        <f>$C1634*CZ1633</f>
        <v/>
      </c>
      <c r="DA1634">
        <f>$C1634*DA1633</f>
        <v/>
      </c>
      <c r="DB1634">
        <f>$C1634*DB1633</f>
        <v/>
      </c>
      <c r="DC1634">
        <f>$C1634*DC1633</f>
        <v/>
      </c>
      <c r="DD1634">
        <f>$C1634*DD1633</f>
        <v/>
      </c>
    </row>
    <row r="1635">
      <c r="B1635" t="inlineStr">
        <is>
          <t>TPP-1379</t>
        </is>
      </c>
      <c r="C1635" t="inlineStr">
        <is>
          <t>No. of batches</t>
        </is>
      </c>
      <c r="D1635">
        <f>IFERROR(INDEX(E1635:DD1635,$F$1),"")</f>
        <v/>
      </c>
      <c r="E1635">
        <f>IFERROR(INDEX(PP_Grid[#Data],$DE1635,2),0)</f>
        <v/>
      </c>
      <c r="F1635">
        <f>IFERROR(INDEX(PP_Grid[#Data],$DE1635,3),0)</f>
        <v/>
      </c>
      <c r="G1635">
        <f>IFERROR(INDEX(PP_Grid[#Data],$DE1635,4),0)</f>
        <v/>
      </c>
      <c r="H1635">
        <f>IFERROR(INDEX(PP_Grid[#Data],$DE1635,5),0)</f>
        <v/>
      </c>
      <c r="I1635">
        <f>IFERROR(INDEX(PP_Grid[#Data],$DE1635,6),0)</f>
        <v/>
      </c>
      <c r="J1635">
        <f>IFERROR(INDEX(PP_Grid[#Data],$DE1635,7),0)</f>
        <v/>
      </c>
      <c r="K1635">
        <f>IFERROR(INDEX(PP_Grid[#Data],$DE1635,8),0)</f>
        <v/>
      </c>
      <c r="L1635">
        <f>IFERROR(INDEX(PP_Grid[#Data],$DE1635,9),0)</f>
        <v/>
      </c>
      <c r="M1635">
        <f>IFERROR(INDEX(PP_Grid[#Data],$DE1635,10),0)</f>
        <v/>
      </c>
      <c r="N1635">
        <f>IFERROR(INDEX(PP_Grid[#Data],$DE1635,11),0)</f>
        <v/>
      </c>
      <c r="O1635">
        <f>IFERROR(INDEX(PP_Grid[#Data],$DE1635,12),0)</f>
        <v/>
      </c>
      <c r="P1635">
        <f>IFERROR(INDEX(PP_Grid[#Data],$DE1635,13),0)</f>
        <v/>
      </c>
      <c r="Q1635">
        <f>IFERROR(INDEX(PP_Grid[#Data],$DE1635,14),0)</f>
        <v/>
      </c>
      <c r="R1635">
        <f>IFERROR(INDEX(PP_Grid[#Data],$DE1635,15),0)</f>
        <v/>
      </c>
      <c r="S1635">
        <f>IFERROR(INDEX(PP_Grid[#Data],$DE1635,16),0)</f>
        <v/>
      </c>
      <c r="T1635">
        <f>IFERROR(INDEX(PP_Grid[#Data],$DE1635,17),0)</f>
        <v/>
      </c>
      <c r="U1635">
        <f>IFERROR(INDEX(PP_Grid[#Data],$DE1635,18),0)</f>
        <v/>
      </c>
      <c r="V1635">
        <f>IFERROR(INDEX(PP_Grid[#Data],$DE1635,19),0)</f>
        <v/>
      </c>
      <c r="W1635">
        <f>IFERROR(INDEX(PP_Grid[#Data],$DE1635,20),0)</f>
        <v/>
      </c>
      <c r="X1635">
        <f>IFERROR(INDEX(PP_Grid[#Data],$DE1635,21),0)</f>
        <v/>
      </c>
      <c r="Y1635">
        <f>IFERROR(INDEX(PP_Grid[#Data],$DE1635,22),0)</f>
        <v/>
      </c>
      <c r="Z1635">
        <f>IFERROR(INDEX(PP_Grid[#Data],$DE1635,23),0)</f>
        <v/>
      </c>
      <c r="AA1635">
        <f>IFERROR(INDEX(PP_Grid[#Data],$DE1635,24),0)</f>
        <v/>
      </c>
      <c r="AB1635">
        <f>IFERROR(INDEX(PP_Grid[#Data],$DE1635,25),0)</f>
        <v/>
      </c>
      <c r="AC1635">
        <f>IFERROR(INDEX(PP_Grid[#Data],$DE1635,26),0)</f>
        <v/>
      </c>
      <c r="AD1635">
        <f>IFERROR(INDEX(PP_Grid[#Data],$DE1635,27),0)</f>
        <v/>
      </c>
      <c r="AE1635">
        <f>IFERROR(INDEX(PP_Grid[#Data],$DE1635,28),0)</f>
        <v/>
      </c>
      <c r="AF1635">
        <f>IFERROR(INDEX(PP_Grid[#Data],$DE1635,29),0)</f>
        <v/>
      </c>
      <c r="AG1635">
        <f>IFERROR(INDEX(PP_Grid[#Data],$DE1635,30),0)</f>
        <v/>
      </c>
      <c r="AH1635">
        <f>IFERROR(INDEX(PP_Grid[#Data],$DE1635,31),0)</f>
        <v/>
      </c>
      <c r="AI1635">
        <f>IFERROR(INDEX(PP_Grid[#Data],$DE1635,32),0)</f>
        <v/>
      </c>
      <c r="AJ1635">
        <f>IFERROR(INDEX(PP_Grid[#Data],$DE1635,33),0)</f>
        <v/>
      </c>
      <c r="AK1635">
        <f>IFERROR(INDEX(PP_Grid[#Data],$DE1635,34),0)</f>
        <v/>
      </c>
      <c r="AL1635">
        <f>IFERROR(INDEX(PP_Grid[#Data],$DE1635,35),0)</f>
        <v/>
      </c>
      <c r="AM1635">
        <f>IFERROR(INDEX(PP_Grid[#Data],$DE1635,36),0)</f>
        <v/>
      </c>
      <c r="AN1635">
        <f>IFERROR(INDEX(PP_Grid[#Data],$DE1635,37),0)</f>
        <v/>
      </c>
      <c r="AO1635">
        <f>IFERROR(INDEX(PP_Grid[#Data],$DE1635,38),0)</f>
        <v/>
      </c>
      <c r="AP1635">
        <f>IFERROR(INDEX(PP_Grid[#Data],$DE1635,39),0)</f>
        <v/>
      </c>
      <c r="AQ1635">
        <f>IFERROR(INDEX(PP_Grid[#Data],$DE1635,40),0)</f>
        <v/>
      </c>
      <c r="AR1635">
        <f>IFERROR(INDEX(PP_Grid[#Data],$DE1635,41),0)</f>
        <v/>
      </c>
      <c r="AS1635">
        <f>IFERROR(INDEX(PP_Grid[#Data],$DE1635,42),0)</f>
        <v/>
      </c>
      <c r="AT1635">
        <f>IFERROR(INDEX(PP_Grid[#Data],$DE1635,43),0)</f>
        <v/>
      </c>
      <c r="AU1635">
        <f>IFERROR(INDEX(PP_Grid[#Data],$DE1635,44),0)</f>
        <v/>
      </c>
      <c r="AV1635">
        <f>IFERROR(INDEX(PP_Grid[#Data],$DE1635,45),0)</f>
        <v/>
      </c>
      <c r="AW1635">
        <f>IFERROR(INDEX(PP_Grid[#Data],$DE1635,46),0)</f>
        <v/>
      </c>
      <c r="AX1635">
        <f>IFERROR(INDEX(PP_Grid[#Data],$DE1635,47),0)</f>
        <v/>
      </c>
      <c r="AY1635">
        <f>IFERROR(INDEX(PP_Grid[#Data],$DE1635,48),0)</f>
        <v/>
      </c>
      <c r="AZ1635">
        <f>IFERROR(INDEX(PP_Grid[#Data],$DE1635,49),0)</f>
        <v/>
      </c>
      <c r="BA1635">
        <f>IFERROR(INDEX(PP_Grid[#Data],$DE1635,50),0)</f>
        <v/>
      </c>
      <c r="BB1635">
        <f>IFERROR(INDEX(PP_Grid[#Data],$DE1635,51),0)</f>
        <v/>
      </c>
      <c r="BC1635">
        <f>IFERROR(INDEX(PP_Grid[#Data],$DE1635,52),0)</f>
        <v/>
      </c>
      <c r="BD1635">
        <f>IFERROR(INDEX(PP_Grid[#Data],$DE1635,53),0)</f>
        <v/>
      </c>
      <c r="BE1635">
        <f>IFERROR(INDEX(PP_Grid[#Data],$DE1635,54),0)</f>
        <v/>
      </c>
      <c r="BF1635">
        <f>IFERROR(INDEX(PP_Grid[#Data],$DE1635,55),0)</f>
        <v/>
      </c>
      <c r="BG1635">
        <f>IFERROR(INDEX(PP_Grid[#Data],$DE1635,56),0)</f>
        <v/>
      </c>
      <c r="BH1635">
        <f>IFERROR(INDEX(PP_Grid[#Data],$DE1635,57),0)</f>
        <v/>
      </c>
      <c r="BI1635">
        <f>IFERROR(INDEX(PP_Grid[#Data],$DE1635,58),0)</f>
        <v/>
      </c>
      <c r="BJ1635">
        <f>IFERROR(INDEX(PP_Grid[#Data],$DE1635,59),0)</f>
        <v/>
      </c>
      <c r="BK1635">
        <f>IFERROR(INDEX(PP_Grid[#Data],$DE1635,60),0)</f>
        <v/>
      </c>
      <c r="BL1635">
        <f>IFERROR(INDEX(PP_Grid[#Data],$DE1635,61),0)</f>
        <v/>
      </c>
      <c r="BM1635">
        <f>IFERROR(INDEX(PP_Grid[#Data],$DE1635,62),0)</f>
        <v/>
      </c>
      <c r="BN1635">
        <f>IFERROR(INDEX(PP_Grid[#Data],$DE1635,63),0)</f>
        <v/>
      </c>
      <c r="BO1635">
        <f>IFERROR(INDEX(PP_Grid[#Data],$DE1635,64),0)</f>
        <v/>
      </c>
      <c r="BP1635">
        <f>IFERROR(INDEX(PP_Grid[#Data],$DE1635,65),0)</f>
        <v/>
      </c>
      <c r="BQ1635">
        <f>IFERROR(INDEX(PP_Grid[#Data],$DE1635,66),0)</f>
        <v/>
      </c>
      <c r="BR1635">
        <f>IFERROR(INDEX(PP_Grid[#Data],$DE1635,67),0)</f>
        <v/>
      </c>
      <c r="BS1635">
        <f>IFERROR(INDEX(PP_Grid[#Data],$DE1635,68),0)</f>
        <v/>
      </c>
      <c r="BT1635">
        <f>IFERROR(INDEX(PP_Grid[#Data],$DE1635,69),0)</f>
        <v/>
      </c>
      <c r="BU1635">
        <f>IFERROR(INDEX(PP_Grid[#Data],$DE1635,70),0)</f>
        <v/>
      </c>
      <c r="BV1635">
        <f>IFERROR(INDEX(PP_Grid[#Data],$DE1635,71),0)</f>
        <v/>
      </c>
      <c r="BW1635">
        <f>IFERROR(INDEX(PP_Grid[#Data],$DE1635,72),0)</f>
        <v/>
      </c>
      <c r="BX1635">
        <f>IFERROR(INDEX(PP_Grid[#Data],$DE1635,73),0)</f>
        <v/>
      </c>
      <c r="BY1635">
        <f>IFERROR(INDEX(PP_Grid[#Data],$DE1635,74),0)</f>
        <v/>
      </c>
      <c r="BZ1635">
        <f>IFERROR(INDEX(PP_Grid[#Data],$DE1635,75),0)</f>
        <v/>
      </c>
      <c r="CA1635">
        <f>IFERROR(INDEX(PP_Grid[#Data],$DE1635,76),0)</f>
        <v/>
      </c>
      <c r="CB1635">
        <f>IFERROR(INDEX(PP_Grid[#Data],$DE1635,77),0)</f>
        <v/>
      </c>
      <c r="CC1635">
        <f>IFERROR(INDEX(PP_Grid[#Data],$DE1635,78),0)</f>
        <v/>
      </c>
      <c r="CD1635">
        <f>IFERROR(INDEX(PP_Grid[#Data],$DE1635,79),0)</f>
        <v/>
      </c>
      <c r="CE1635">
        <f>IFERROR(INDEX(PP_Grid[#Data],$DE1635,80),0)</f>
        <v/>
      </c>
      <c r="CF1635">
        <f>IFERROR(INDEX(PP_Grid[#Data],$DE1635,81),0)</f>
        <v/>
      </c>
      <c r="CG1635">
        <f>IFERROR(INDEX(PP_Grid[#Data],$DE1635,82),0)</f>
        <v/>
      </c>
      <c r="CH1635">
        <f>IFERROR(INDEX(PP_Grid[#Data],$DE1635,83),0)</f>
        <v/>
      </c>
      <c r="CI1635">
        <f>IFERROR(INDEX(PP_Grid[#Data],$DE1635,84),0)</f>
        <v/>
      </c>
      <c r="CJ1635">
        <f>IFERROR(INDEX(PP_Grid[#Data],$DE1635,85),0)</f>
        <v/>
      </c>
      <c r="CK1635">
        <f>IFERROR(INDEX(PP_Grid[#Data],$DE1635,86),0)</f>
        <v/>
      </c>
      <c r="CL1635">
        <f>IFERROR(INDEX(PP_Grid[#Data],$DE1635,87),0)</f>
        <v/>
      </c>
      <c r="CM1635">
        <f>IFERROR(INDEX(PP_Grid[#Data],$DE1635,88),0)</f>
        <v/>
      </c>
      <c r="CN1635">
        <f>IFERROR(INDEX(PP_Grid[#Data],$DE1635,89),0)</f>
        <v/>
      </c>
      <c r="CO1635">
        <f>IFERROR(INDEX(PP_Grid[#Data],$DE1635,90),0)</f>
        <v/>
      </c>
      <c r="CP1635">
        <f>IFERROR(INDEX(PP_Grid[#Data],$DE1635,91),0)</f>
        <v/>
      </c>
      <c r="CQ1635">
        <f>IFERROR(INDEX(PP_Grid[#Data],$DE1635,92),0)</f>
        <v/>
      </c>
      <c r="CR1635">
        <f>IFERROR(INDEX(PP_Grid[#Data],$DE1635,93),0)</f>
        <v/>
      </c>
      <c r="CS1635">
        <f>IFERROR(INDEX(PP_Grid[#Data],$DE1635,94),0)</f>
        <v/>
      </c>
      <c r="CT1635">
        <f>IFERROR(INDEX(PP_Grid[#Data],$DE1635,95),0)</f>
        <v/>
      </c>
      <c r="CU1635">
        <f>IFERROR(INDEX(PP_Grid[#Data],$DE1635,96),0)</f>
        <v/>
      </c>
      <c r="CV1635">
        <f>IFERROR(INDEX(PP_Grid[#Data],$DE1635,97),0)</f>
        <v/>
      </c>
      <c r="CW1635">
        <f>IFERROR(INDEX(PP_Grid[#Data],$DE1635,98),0)</f>
        <v/>
      </c>
      <c r="CX1635">
        <f>IFERROR(INDEX(PP_Grid[#Data],$DE1635,99),0)</f>
        <v/>
      </c>
      <c r="CY1635">
        <f>IFERROR(INDEX(PP_Grid[#Data],$DE1635,100),0)</f>
        <v/>
      </c>
      <c r="CZ1635">
        <f>IFERROR(INDEX(PP_Grid[#Data],$DE1635,101),0)</f>
        <v/>
      </c>
      <c r="DA1635">
        <f>IFERROR(INDEX(PP_Grid[#Data],$DE1635,102),0)</f>
        <v/>
      </c>
      <c r="DB1635">
        <f>IFERROR(INDEX(PP_Grid[#Data],$DE1635,103),0)</f>
        <v/>
      </c>
      <c r="DC1635">
        <f>IFERROR(INDEX(PP_Grid[#Data],$DE1635,104),0)</f>
        <v/>
      </c>
      <c r="DD1635">
        <f>IFERROR(INDEX(PP_Grid[#Data],$DE1635,105),0)</f>
        <v/>
      </c>
      <c r="DE1635" s="7">
        <f>IFERROR(MATCH($B1635,PP_Grid[Intermediate],0),99999)</f>
        <v/>
      </c>
    </row>
    <row r="1636">
      <c r="B1636" t="inlineStr">
        <is>
          <t>使用量(kg)</t>
        </is>
      </c>
      <c r="C1636">
        <f>SUMIFS(M_BOM[RM_Qty_Per_Batch],M_BOM[Intermediate],$B1635,M_BOM[RM_Code],$A1628)</f>
        <v/>
      </c>
      <c r="D1636">
        <f>IFERROR(INDEX(E1636:DD1636,$F$1),"")</f>
        <v/>
      </c>
      <c r="E1636">
        <f>$C1636*E1635</f>
        <v/>
      </c>
      <c r="F1636">
        <f>$C1636*F1635</f>
        <v/>
      </c>
      <c r="G1636">
        <f>$C1636*G1635</f>
        <v/>
      </c>
      <c r="H1636">
        <f>$C1636*H1635</f>
        <v/>
      </c>
      <c r="I1636">
        <f>$C1636*I1635</f>
        <v/>
      </c>
      <c r="J1636">
        <f>$C1636*J1635</f>
        <v/>
      </c>
      <c r="K1636">
        <f>$C1636*K1635</f>
        <v/>
      </c>
      <c r="L1636">
        <f>$C1636*L1635</f>
        <v/>
      </c>
      <c r="M1636">
        <f>$C1636*M1635</f>
        <v/>
      </c>
      <c r="N1636">
        <f>$C1636*N1635</f>
        <v/>
      </c>
      <c r="O1636">
        <f>$C1636*O1635</f>
        <v/>
      </c>
      <c r="P1636">
        <f>$C1636*P1635</f>
        <v/>
      </c>
      <c r="Q1636">
        <f>$C1636*Q1635</f>
        <v/>
      </c>
      <c r="R1636">
        <f>$C1636*R1635</f>
        <v/>
      </c>
      <c r="S1636">
        <f>$C1636*S1635</f>
        <v/>
      </c>
      <c r="T1636">
        <f>$C1636*T1635</f>
        <v/>
      </c>
      <c r="U1636">
        <f>$C1636*U1635</f>
        <v/>
      </c>
      <c r="V1636">
        <f>$C1636*V1635</f>
        <v/>
      </c>
      <c r="W1636">
        <f>$C1636*W1635</f>
        <v/>
      </c>
      <c r="X1636">
        <f>$C1636*X1635</f>
        <v/>
      </c>
      <c r="Y1636">
        <f>$C1636*Y1635</f>
        <v/>
      </c>
      <c r="Z1636">
        <f>$C1636*Z1635</f>
        <v/>
      </c>
      <c r="AA1636">
        <f>$C1636*AA1635</f>
        <v/>
      </c>
      <c r="AB1636">
        <f>$C1636*AB1635</f>
        <v/>
      </c>
      <c r="AC1636">
        <f>$C1636*AC1635</f>
        <v/>
      </c>
      <c r="AD1636">
        <f>$C1636*AD1635</f>
        <v/>
      </c>
      <c r="AE1636">
        <f>$C1636*AE1635</f>
        <v/>
      </c>
      <c r="AF1636">
        <f>$C1636*AF1635</f>
        <v/>
      </c>
      <c r="AG1636">
        <f>$C1636*AG1635</f>
        <v/>
      </c>
      <c r="AH1636">
        <f>$C1636*AH1635</f>
        <v/>
      </c>
      <c r="AI1636">
        <f>$C1636*AI1635</f>
        <v/>
      </c>
      <c r="AJ1636">
        <f>$C1636*AJ1635</f>
        <v/>
      </c>
      <c r="AK1636">
        <f>$C1636*AK1635</f>
        <v/>
      </c>
      <c r="AL1636">
        <f>$C1636*AL1635</f>
        <v/>
      </c>
      <c r="AM1636">
        <f>$C1636*AM1635</f>
        <v/>
      </c>
      <c r="AN1636">
        <f>$C1636*AN1635</f>
        <v/>
      </c>
      <c r="AO1636">
        <f>$C1636*AO1635</f>
        <v/>
      </c>
      <c r="AP1636">
        <f>$C1636*AP1635</f>
        <v/>
      </c>
      <c r="AQ1636">
        <f>$C1636*AQ1635</f>
        <v/>
      </c>
      <c r="AR1636">
        <f>$C1636*AR1635</f>
        <v/>
      </c>
      <c r="AS1636">
        <f>$C1636*AS1635</f>
        <v/>
      </c>
      <c r="AT1636">
        <f>$C1636*AT1635</f>
        <v/>
      </c>
      <c r="AU1636">
        <f>$C1636*AU1635</f>
        <v/>
      </c>
      <c r="AV1636">
        <f>$C1636*AV1635</f>
        <v/>
      </c>
      <c r="AW1636">
        <f>$C1636*AW1635</f>
        <v/>
      </c>
      <c r="AX1636">
        <f>$C1636*AX1635</f>
        <v/>
      </c>
      <c r="AY1636">
        <f>$C1636*AY1635</f>
        <v/>
      </c>
      <c r="AZ1636">
        <f>$C1636*AZ1635</f>
        <v/>
      </c>
      <c r="BA1636">
        <f>$C1636*BA1635</f>
        <v/>
      </c>
      <c r="BB1636">
        <f>$C1636*BB1635</f>
        <v/>
      </c>
      <c r="BC1636">
        <f>$C1636*BC1635</f>
        <v/>
      </c>
      <c r="BD1636">
        <f>$C1636*BD1635</f>
        <v/>
      </c>
      <c r="BE1636">
        <f>$C1636*BE1635</f>
        <v/>
      </c>
      <c r="BF1636">
        <f>$C1636*BF1635</f>
        <v/>
      </c>
      <c r="BG1636">
        <f>$C1636*BG1635</f>
        <v/>
      </c>
      <c r="BH1636">
        <f>$C1636*BH1635</f>
        <v/>
      </c>
      <c r="BI1636">
        <f>$C1636*BI1635</f>
        <v/>
      </c>
      <c r="BJ1636">
        <f>$C1636*BJ1635</f>
        <v/>
      </c>
      <c r="BK1636">
        <f>$C1636*BK1635</f>
        <v/>
      </c>
      <c r="BL1636">
        <f>$C1636*BL1635</f>
        <v/>
      </c>
      <c r="BM1636">
        <f>$C1636*BM1635</f>
        <v/>
      </c>
      <c r="BN1636">
        <f>$C1636*BN1635</f>
        <v/>
      </c>
      <c r="BO1636">
        <f>$C1636*BO1635</f>
        <v/>
      </c>
      <c r="BP1636">
        <f>$C1636*BP1635</f>
        <v/>
      </c>
      <c r="BQ1636">
        <f>$C1636*BQ1635</f>
        <v/>
      </c>
      <c r="BR1636">
        <f>$C1636*BR1635</f>
        <v/>
      </c>
      <c r="BS1636">
        <f>$C1636*BS1635</f>
        <v/>
      </c>
      <c r="BT1636">
        <f>$C1636*BT1635</f>
        <v/>
      </c>
      <c r="BU1636">
        <f>$C1636*BU1635</f>
        <v/>
      </c>
      <c r="BV1636">
        <f>$C1636*BV1635</f>
        <v/>
      </c>
      <c r="BW1636">
        <f>$C1636*BW1635</f>
        <v/>
      </c>
      <c r="BX1636">
        <f>$C1636*BX1635</f>
        <v/>
      </c>
      <c r="BY1636">
        <f>$C1636*BY1635</f>
        <v/>
      </c>
      <c r="BZ1636">
        <f>$C1636*BZ1635</f>
        <v/>
      </c>
      <c r="CA1636">
        <f>$C1636*CA1635</f>
        <v/>
      </c>
      <c r="CB1636">
        <f>$C1636*CB1635</f>
        <v/>
      </c>
      <c r="CC1636">
        <f>$C1636*CC1635</f>
        <v/>
      </c>
      <c r="CD1636">
        <f>$C1636*CD1635</f>
        <v/>
      </c>
      <c r="CE1636">
        <f>$C1636*CE1635</f>
        <v/>
      </c>
      <c r="CF1636">
        <f>$C1636*CF1635</f>
        <v/>
      </c>
      <c r="CG1636">
        <f>$C1636*CG1635</f>
        <v/>
      </c>
      <c r="CH1636">
        <f>$C1636*CH1635</f>
        <v/>
      </c>
      <c r="CI1636">
        <f>$C1636*CI1635</f>
        <v/>
      </c>
      <c r="CJ1636">
        <f>$C1636*CJ1635</f>
        <v/>
      </c>
      <c r="CK1636">
        <f>$C1636*CK1635</f>
        <v/>
      </c>
      <c r="CL1636">
        <f>$C1636*CL1635</f>
        <v/>
      </c>
      <c r="CM1636">
        <f>$C1636*CM1635</f>
        <v/>
      </c>
      <c r="CN1636">
        <f>$C1636*CN1635</f>
        <v/>
      </c>
      <c r="CO1636">
        <f>$C1636*CO1635</f>
        <v/>
      </c>
      <c r="CP1636">
        <f>$C1636*CP1635</f>
        <v/>
      </c>
      <c r="CQ1636">
        <f>$C1636*CQ1635</f>
        <v/>
      </c>
      <c r="CR1636">
        <f>$C1636*CR1635</f>
        <v/>
      </c>
      <c r="CS1636">
        <f>$C1636*CS1635</f>
        <v/>
      </c>
      <c r="CT1636">
        <f>$C1636*CT1635</f>
        <v/>
      </c>
      <c r="CU1636">
        <f>$C1636*CU1635</f>
        <v/>
      </c>
      <c r="CV1636">
        <f>$C1636*CV1635</f>
        <v/>
      </c>
      <c r="CW1636">
        <f>$C1636*CW1635</f>
        <v/>
      </c>
      <c r="CX1636">
        <f>$C1636*CX1635</f>
        <v/>
      </c>
      <c r="CY1636">
        <f>$C1636*CY1635</f>
        <v/>
      </c>
      <c r="CZ1636">
        <f>$C1636*CZ1635</f>
        <v/>
      </c>
      <c r="DA1636">
        <f>$C1636*DA1635</f>
        <v/>
      </c>
      <c r="DB1636">
        <f>$C1636*DB1635</f>
        <v/>
      </c>
      <c r="DC1636">
        <f>$C1636*DC1635</f>
        <v/>
      </c>
      <c r="DD1636">
        <f>$C1636*DD1635</f>
        <v/>
      </c>
    </row>
    <row r="1637">
      <c r="B1637" t="inlineStr">
        <is>
          <t>TPP-1368</t>
        </is>
      </c>
      <c r="C1637" t="inlineStr">
        <is>
          <t>No. of batches</t>
        </is>
      </c>
      <c r="D1637">
        <f>IFERROR(INDEX(E1637:DD1637,$F$1),"")</f>
        <v/>
      </c>
      <c r="E1637">
        <f>IFERROR(INDEX(PP_Grid[#Data],$DE1637,2),0)</f>
        <v/>
      </c>
      <c r="F1637">
        <f>IFERROR(INDEX(PP_Grid[#Data],$DE1637,3),0)</f>
        <v/>
      </c>
      <c r="G1637">
        <f>IFERROR(INDEX(PP_Grid[#Data],$DE1637,4),0)</f>
        <v/>
      </c>
      <c r="H1637">
        <f>IFERROR(INDEX(PP_Grid[#Data],$DE1637,5),0)</f>
        <v/>
      </c>
      <c r="I1637">
        <f>IFERROR(INDEX(PP_Grid[#Data],$DE1637,6),0)</f>
        <v/>
      </c>
      <c r="J1637">
        <f>IFERROR(INDEX(PP_Grid[#Data],$DE1637,7),0)</f>
        <v/>
      </c>
      <c r="K1637">
        <f>IFERROR(INDEX(PP_Grid[#Data],$DE1637,8),0)</f>
        <v/>
      </c>
      <c r="L1637">
        <f>IFERROR(INDEX(PP_Grid[#Data],$DE1637,9),0)</f>
        <v/>
      </c>
      <c r="M1637">
        <f>IFERROR(INDEX(PP_Grid[#Data],$DE1637,10),0)</f>
        <v/>
      </c>
      <c r="N1637">
        <f>IFERROR(INDEX(PP_Grid[#Data],$DE1637,11),0)</f>
        <v/>
      </c>
      <c r="O1637">
        <f>IFERROR(INDEX(PP_Grid[#Data],$DE1637,12),0)</f>
        <v/>
      </c>
      <c r="P1637">
        <f>IFERROR(INDEX(PP_Grid[#Data],$DE1637,13),0)</f>
        <v/>
      </c>
      <c r="Q1637">
        <f>IFERROR(INDEX(PP_Grid[#Data],$DE1637,14),0)</f>
        <v/>
      </c>
      <c r="R1637">
        <f>IFERROR(INDEX(PP_Grid[#Data],$DE1637,15),0)</f>
        <v/>
      </c>
      <c r="S1637">
        <f>IFERROR(INDEX(PP_Grid[#Data],$DE1637,16),0)</f>
        <v/>
      </c>
      <c r="T1637">
        <f>IFERROR(INDEX(PP_Grid[#Data],$DE1637,17),0)</f>
        <v/>
      </c>
      <c r="U1637">
        <f>IFERROR(INDEX(PP_Grid[#Data],$DE1637,18),0)</f>
        <v/>
      </c>
      <c r="V1637">
        <f>IFERROR(INDEX(PP_Grid[#Data],$DE1637,19),0)</f>
        <v/>
      </c>
      <c r="W1637">
        <f>IFERROR(INDEX(PP_Grid[#Data],$DE1637,20),0)</f>
        <v/>
      </c>
      <c r="X1637">
        <f>IFERROR(INDEX(PP_Grid[#Data],$DE1637,21),0)</f>
        <v/>
      </c>
      <c r="Y1637">
        <f>IFERROR(INDEX(PP_Grid[#Data],$DE1637,22),0)</f>
        <v/>
      </c>
      <c r="Z1637">
        <f>IFERROR(INDEX(PP_Grid[#Data],$DE1637,23),0)</f>
        <v/>
      </c>
      <c r="AA1637">
        <f>IFERROR(INDEX(PP_Grid[#Data],$DE1637,24),0)</f>
        <v/>
      </c>
      <c r="AB1637">
        <f>IFERROR(INDEX(PP_Grid[#Data],$DE1637,25),0)</f>
        <v/>
      </c>
      <c r="AC1637">
        <f>IFERROR(INDEX(PP_Grid[#Data],$DE1637,26),0)</f>
        <v/>
      </c>
      <c r="AD1637">
        <f>IFERROR(INDEX(PP_Grid[#Data],$DE1637,27),0)</f>
        <v/>
      </c>
      <c r="AE1637">
        <f>IFERROR(INDEX(PP_Grid[#Data],$DE1637,28),0)</f>
        <v/>
      </c>
      <c r="AF1637">
        <f>IFERROR(INDEX(PP_Grid[#Data],$DE1637,29),0)</f>
        <v/>
      </c>
      <c r="AG1637">
        <f>IFERROR(INDEX(PP_Grid[#Data],$DE1637,30),0)</f>
        <v/>
      </c>
      <c r="AH1637">
        <f>IFERROR(INDEX(PP_Grid[#Data],$DE1637,31),0)</f>
        <v/>
      </c>
      <c r="AI1637">
        <f>IFERROR(INDEX(PP_Grid[#Data],$DE1637,32),0)</f>
        <v/>
      </c>
      <c r="AJ1637">
        <f>IFERROR(INDEX(PP_Grid[#Data],$DE1637,33),0)</f>
        <v/>
      </c>
      <c r="AK1637">
        <f>IFERROR(INDEX(PP_Grid[#Data],$DE1637,34),0)</f>
        <v/>
      </c>
      <c r="AL1637">
        <f>IFERROR(INDEX(PP_Grid[#Data],$DE1637,35),0)</f>
        <v/>
      </c>
      <c r="AM1637">
        <f>IFERROR(INDEX(PP_Grid[#Data],$DE1637,36),0)</f>
        <v/>
      </c>
      <c r="AN1637">
        <f>IFERROR(INDEX(PP_Grid[#Data],$DE1637,37),0)</f>
        <v/>
      </c>
      <c r="AO1637">
        <f>IFERROR(INDEX(PP_Grid[#Data],$DE1637,38),0)</f>
        <v/>
      </c>
      <c r="AP1637">
        <f>IFERROR(INDEX(PP_Grid[#Data],$DE1637,39),0)</f>
        <v/>
      </c>
      <c r="AQ1637">
        <f>IFERROR(INDEX(PP_Grid[#Data],$DE1637,40),0)</f>
        <v/>
      </c>
      <c r="AR1637">
        <f>IFERROR(INDEX(PP_Grid[#Data],$DE1637,41),0)</f>
        <v/>
      </c>
      <c r="AS1637">
        <f>IFERROR(INDEX(PP_Grid[#Data],$DE1637,42),0)</f>
        <v/>
      </c>
      <c r="AT1637">
        <f>IFERROR(INDEX(PP_Grid[#Data],$DE1637,43),0)</f>
        <v/>
      </c>
      <c r="AU1637">
        <f>IFERROR(INDEX(PP_Grid[#Data],$DE1637,44),0)</f>
        <v/>
      </c>
      <c r="AV1637">
        <f>IFERROR(INDEX(PP_Grid[#Data],$DE1637,45),0)</f>
        <v/>
      </c>
      <c r="AW1637">
        <f>IFERROR(INDEX(PP_Grid[#Data],$DE1637,46),0)</f>
        <v/>
      </c>
      <c r="AX1637">
        <f>IFERROR(INDEX(PP_Grid[#Data],$DE1637,47),0)</f>
        <v/>
      </c>
      <c r="AY1637">
        <f>IFERROR(INDEX(PP_Grid[#Data],$DE1637,48),0)</f>
        <v/>
      </c>
      <c r="AZ1637">
        <f>IFERROR(INDEX(PP_Grid[#Data],$DE1637,49),0)</f>
        <v/>
      </c>
      <c r="BA1637">
        <f>IFERROR(INDEX(PP_Grid[#Data],$DE1637,50),0)</f>
        <v/>
      </c>
      <c r="BB1637">
        <f>IFERROR(INDEX(PP_Grid[#Data],$DE1637,51),0)</f>
        <v/>
      </c>
      <c r="BC1637">
        <f>IFERROR(INDEX(PP_Grid[#Data],$DE1637,52),0)</f>
        <v/>
      </c>
      <c r="BD1637">
        <f>IFERROR(INDEX(PP_Grid[#Data],$DE1637,53),0)</f>
        <v/>
      </c>
      <c r="BE1637">
        <f>IFERROR(INDEX(PP_Grid[#Data],$DE1637,54),0)</f>
        <v/>
      </c>
      <c r="BF1637">
        <f>IFERROR(INDEX(PP_Grid[#Data],$DE1637,55),0)</f>
        <v/>
      </c>
      <c r="BG1637">
        <f>IFERROR(INDEX(PP_Grid[#Data],$DE1637,56),0)</f>
        <v/>
      </c>
      <c r="BH1637">
        <f>IFERROR(INDEX(PP_Grid[#Data],$DE1637,57),0)</f>
        <v/>
      </c>
      <c r="BI1637">
        <f>IFERROR(INDEX(PP_Grid[#Data],$DE1637,58),0)</f>
        <v/>
      </c>
      <c r="BJ1637">
        <f>IFERROR(INDEX(PP_Grid[#Data],$DE1637,59),0)</f>
        <v/>
      </c>
      <c r="BK1637">
        <f>IFERROR(INDEX(PP_Grid[#Data],$DE1637,60),0)</f>
        <v/>
      </c>
      <c r="BL1637">
        <f>IFERROR(INDEX(PP_Grid[#Data],$DE1637,61),0)</f>
        <v/>
      </c>
      <c r="BM1637">
        <f>IFERROR(INDEX(PP_Grid[#Data],$DE1637,62),0)</f>
        <v/>
      </c>
      <c r="BN1637">
        <f>IFERROR(INDEX(PP_Grid[#Data],$DE1637,63),0)</f>
        <v/>
      </c>
      <c r="BO1637">
        <f>IFERROR(INDEX(PP_Grid[#Data],$DE1637,64),0)</f>
        <v/>
      </c>
      <c r="BP1637">
        <f>IFERROR(INDEX(PP_Grid[#Data],$DE1637,65),0)</f>
        <v/>
      </c>
      <c r="BQ1637">
        <f>IFERROR(INDEX(PP_Grid[#Data],$DE1637,66),0)</f>
        <v/>
      </c>
      <c r="BR1637">
        <f>IFERROR(INDEX(PP_Grid[#Data],$DE1637,67),0)</f>
        <v/>
      </c>
      <c r="BS1637">
        <f>IFERROR(INDEX(PP_Grid[#Data],$DE1637,68),0)</f>
        <v/>
      </c>
      <c r="BT1637">
        <f>IFERROR(INDEX(PP_Grid[#Data],$DE1637,69),0)</f>
        <v/>
      </c>
      <c r="BU1637">
        <f>IFERROR(INDEX(PP_Grid[#Data],$DE1637,70),0)</f>
        <v/>
      </c>
      <c r="BV1637">
        <f>IFERROR(INDEX(PP_Grid[#Data],$DE1637,71),0)</f>
        <v/>
      </c>
      <c r="BW1637">
        <f>IFERROR(INDEX(PP_Grid[#Data],$DE1637,72),0)</f>
        <v/>
      </c>
      <c r="BX1637">
        <f>IFERROR(INDEX(PP_Grid[#Data],$DE1637,73),0)</f>
        <v/>
      </c>
      <c r="BY1637">
        <f>IFERROR(INDEX(PP_Grid[#Data],$DE1637,74),0)</f>
        <v/>
      </c>
      <c r="BZ1637">
        <f>IFERROR(INDEX(PP_Grid[#Data],$DE1637,75),0)</f>
        <v/>
      </c>
      <c r="CA1637">
        <f>IFERROR(INDEX(PP_Grid[#Data],$DE1637,76),0)</f>
        <v/>
      </c>
      <c r="CB1637">
        <f>IFERROR(INDEX(PP_Grid[#Data],$DE1637,77),0)</f>
        <v/>
      </c>
      <c r="CC1637">
        <f>IFERROR(INDEX(PP_Grid[#Data],$DE1637,78),0)</f>
        <v/>
      </c>
      <c r="CD1637">
        <f>IFERROR(INDEX(PP_Grid[#Data],$DE1637,79),0)</f>
        <v/>
      </c>
      <c r="CE1637">
        <f>IFERROR(INDEX(PP_Grid[#Data],$DE1637,80),0)</f>
        <v/>
      </c>
      <c r="CF1637">
        <f>IFERROR(INDEX(PP_Grid[#Data],$DE1637,81),0)</f>
        <v/>
      </c>
      <c r="CG1637">
        <f>IFERROR(INDEX(PP_Grid[#Data],$DE1637,82),0)</f>
        <v/>
      </c>
      <c r="CH1637">
        <f>IFERROR(INDEX(PP_Grid[#Data],$DE1637,83),0)</f>
        <v/>
      </c>
      <c r="CI1637">
        <f>IFERROR(INDEX(PP_Grid[#Data],$DE1637,84),0)</f>
        <v/>
      </c>
      <c r="CJ1637">
        <f>IFERROR(INDEX(PP_Grid[#Data],$DE1637,85),0)</f>
        <v/>
      </c>
      <c r="CK1637">
        <f>IFERROR(INDEX(PP_Grid[#Data],$DE1637,86),0)</f>
        <v/>
      </c>
      <c r="CL1637">
        <f>IFERROR(INDEX(PP_Grid[#Data],$DE1637,87),0)</f>
        <v/>
      </c>
      <c r="CM1637">
        <f>IFERROR(INDEX(PP_Grid[#Data],$DE1637,88),0)</f>
        <v/>
      </c>
      <c r="CN1637">
        <f>IFERROR(INDEX(PP_Grid[#Data],$DE1637,89),0)</f>
        <v/>
      </c>
      <c r="CO1637">
        <f>IFERROR(INDEX(PP_Grid[#Data],$DE1637,90),0)</f>
        <v/>
      </c>
      <c r="CP1637">
        <f>IFERROR(INDEX(PP_Grid[#Data],$DE1637,91),0)</f>
        <v/>
      </c>
      <c r="CQ1637">
        <f>IFERROR(INDEX(PP_Grid[#Data],$DE1637,92),0)</f>
        <v/>
      </c>
      <c r="CR1637">
        <f>IFERROR(INDEX(PP_Grid[#Data],$DE1637,93),0)</f>
        <v/>
      </c>
      <c r="CS1637">
        <f>IFERROR(INDEX(PP_Grid[#Data],$DE1637,94),0)</f>
        <v/>
      </c>
      <c r="CT1637">
        <f>IFERROR(INDEX(PP_Grid[#Data],$DE1637,95),0)</f>
        <v/>
      </c>
      <c r="CU1637">
        <f>IFERROR(INDEX(PP_Grid[#Data],$DE1637,96),0)</f>
        <v/>
      </c>
      <c r="CV1637">
        <f>IFERROR(INDEX(PP_Grid[#Data],$DE1637,97),0)</f>
        <v/>
      </c>
      <c r="CW1637">
        <f>IFERROR(INDEX(PP_Grid[#Data],$DE1637,98),0)</f>
        <v/>
      </c>
      <c r="CX1637">
        <f>IFERROR(INDEX(PP_Grid[#Data],$DE1637,99),0)</f>
        <v/>
      </c>
      <c r="CY1637">
        <f>IFERROR(INDEX(PP_Grid[#Data],$DE1637,100),0)</f>
        <v/>
      </c>
      <c r="CZ1637">
        <f>IFERROR(INDEX(PP_Grid[#Data],$DE1637,101),0)</f>
        <v/>
      </c>
      <c r="DA1637">
        <f>IFERROR(INDEX(PP_Grid[#Data],$DE1637,102),0)</f>
        <v/>
      </c>
      <c r="DB1637">
        <f>IFERROR(INDEX(PP_Grid[#Data],$DE1637,103),0)</f>
        <v/>
      </c>
      <c r="DC1637">
        <f>IFERROR(INDEX(PP_Grid[#Data],$DE1637,104),0)</f>
        <v/>
      </c>
      <c r="DD1637">
        <f>IFERROR(INDEX(PP_Grid[#Data],$DE1637,105),0)</f>
        <v/>
      </c>
      <c r="DE1637" s="7">
        <f>IFERROR(MATCH($B1637,PP_Grid[Intermediate],0),99999)</f>
        <v/>
      </c>
    </row>
    <row r="1638">
      <c r="B1638" t="inlineStr">
        <is>
          <t>使用量(kg)</t>
        </is>
      </c>
      <c r="C1638">
        <f>SUMIFS(M_BOM[RM_Qty_Per_Batch],M_BOM[Intermediate],$B1637,M_BOM[RM_Code],$A1628)</f>
        <v/>
      </c>
      <c r="D1638">
        <f>IFERROR(INDEX(E1638:DD1638,$F$1),"")</f>
        <v/>
      </c>
      <c r="E1638">
        <f>$C1638*E1637</f>
        <v/>
      </c>
      <c r="F1638">
        <f>$C1638*F1637</f>
        <v/>
      </c>
      <c r="G1638">
        <f>$C1638*G1637</f>
        <v/>
      </c>
      <c r="H1638">
        <f>$C1638*H1637</f>
        <v/>
      </c>
      <c r="I1638">
        <f>$C1638*I1637</f>
        <v/>
      </c>
      <c r="J1638">
        <f>$C1638*J1637</f>
        <v/>
      </c>
      <c r="K1638">
        <f>$C1638*K1637</f>
        <v/>
      </c>
      <c r="L1638">
        <f>$C1638*L1637</f>
        <v/>
      </c>
      <c r="M1638">
        <f>$C1638*M1637</f>
        <v/>
      </c>
      <c r="N1638">
        <f>$C1638*N1637</f>
        <v/>
      </c>
      <c r="O1638">
        <f>$C1638*O1637</f>
        <v/>
      </c>
      <c r="P1638">
        <f>$C1638*P1637</f>
        <v/>
      </c>
      <c r="Q1638">
        <f>$C1638*Q1637</f>
        <v/>
      </c>
      <c r="R1638">
        <f>$C1638*R1637</f>
        <v/>
      </c>
      <c r="S1638">
        <f>$C1638*S1637</f>
        <v/>
      </c>
      <c r="T1638">
        <f>$C1638*T1637</f>
        <v/>
      </c>
      <c r="U1638">
        <f>$C1638*U1637</f>
        <v/>
      </c>
      <c r="V1638">
        <f>$C1638*V1637</f>
        <v/>
      </c>
      <c r="W1638">
        <f>$C1638*W1637</f>
        <v/>
      </c>
      <c r="X1638">
        <f>$C1638*X1637</f>
        <v/>
      </c>
      <c r="Y1638">
        <f>$C1638*Y1637</f>
        <v/>
      </c>
      <c r="Z1638">
        <f>$C1638*Z1637</f>
        <v/>
      </c>
      <c r="AA1638">
        <f>$C1638*AA1637</f>
        <v/>
      </c>
      <c r="AB1638">
        <f>$C1638*AB1637</f>
        <v/>
      </c>
      <c r="AC1638">
        <f>$C1638*AC1637</f>
        <v/>
      </c>
      <c r="AD1638">
        <f>$C1638*AD1637</f>
        <v/>
      </c>
      <c r="AE1638">
        <f>$C1638*AE1637</f>
        <v/>
      </c>
      <c r="AF1638">
        <f>$C1638*AF1637</f>
        <v/>
      </c>
      <c r="AG1638">
        <f>$C1638*AG1637</f>
        <v/>
      </c>
      <c r="AH1638">
        <f>$C1638*AH1637</f>
        <v/>
      </c>
      <c r="AI1638">
        <f>$C1638*AI1637</f>
        <v/>
      </c>
      <c r="AJ1638">
        <f>$C1638*AJ1637</f>
        <v/>
      </c>
      <c r="AK1638">
        <f>$C1638*AK1637</f>
        <v/>
      </c>
      <c r="AL1638">
        <f>$C1638*AL1637</f>
        <v/>
      </c>
      <c r="AM1638">
        <f>$C1638*AM1637</f>
        <v/>
      </c>
      <c r="AN1638">
        <f>$C1638*AN1637</f>
        <v/>
      </c>
      <c r="AO1638">
        <f>$C1638*AO1637</f>
        <v/>
      </c>
      <c r="AP1638">
        <f>$C1638*AP1637</f>
        <v/>
      </c>
      <c r="AQ1638">
        <f>$C1638*AQ1637</f>
        <v/>
      </c>
      <c r="AR1638">
        <f>$C1638*AR1637</f>
        <v/>
      </c>
      <c r="AS1638">
        <f>$C1638*AS1637</f>
        <v/>
      </c>
      <c r="AT1638">
        <f>$C1638*AT1637</f>
        <v/>
      </c>
      <c r="AU1638">
        <f>$C1638*AU1637</f>
        <v/>
      </c>
      <c r="AV1638">
        <f>$C1638*AV1637</f>
        <v/>
      </c>
      <c r="AW1638">
        <f>$C1638*AW1637</f>
        <v/>
      </c>
      <c r="AX1638">
        <f>$C1638*AX1637</f>
        <v/>
      </c>
      <c r="AY1638">
        <f>$C1638*AY1637</f>
        <v/>
      </c>
      <c r="AZ1638">
        <f>$C1638*AZ1637</f>
        <v/>
      </c>
      <c r="BA1638">
        <f>$C1638*BA1637</f>
        <v/>
      </c>
      <c r="BB1638">
        <f>$C1638*BB1637</f>
        <v/>
      </c>
      <c r="BC1638">
        <f>$C1638*BC1637</f>
        <v/>
      </c>
      <c r="BD1638">
        <f>$C1638*BD1637</f>
        <v/>
      </c>
      <c r="BE1638">
        <f>$C1638*BE1637</f>
        <v/>
      </c>
      <c r="BF1638">
        <f>$C1638*BF1637</f>
        <v/>
      </c>
      <c r="BG1638">
        <f>$C1638*BG1637</f>
        <v/>
      </c>
      <c r="BH1638">
        <f>$C1638*BH1637</f>
        <v/>
      </c>
      <c r="BI1638">
        <f>$C1638*BI1637</f>
        <v/>
      </c>
      <c r="BJ1638">
        <f>$C1638*BJ1637</f>
        <v/>
      </c>
      <c r="BK1638">
        <f>$C1638*BK1637</f>
        <v/>
      </c>
      <c r="BL1638">
        <f>$C1638*BL1637</f>
        <v/>
      </c>
      <c r="BM1638">
        <f>$C1638*BM1637</f>
        <v/>
      </c>
      <c r="BN1638">
        <f>$C1638*BN1637</f>
        <v/>
      </c>
      <c r="BO1638">
        <f>$C1638*BO1637</f>
        <v/>
      </c>
      <c r="BP1638">
        <f>$C1638*BP1637</f>
        <v/>
      </c>
      <c r="BQ1638">
        <f>$C1638*BQ1637</f>
        <v/>
      </c>
      <c r="BR1638">
        <f>$C1638*BR1637</f>
        <v/>
      </c>
      <c r="BS1638">
        <f>$C1638*BS1637</f>
        <v/>
      </c>
      <c r="BT1638">
        <f>$C1638*BT1637</f>
        <v/>
      </c>
      <c r="BU1638">
        <f>$C1638*BU1637</f>
        <v/>
      </c>
      <c r="BV1638">
        <f>$C1638*BV1637</f>
        <v/>
      </c>
      <c r="BW1638">
        <f>$C1638*BW1637</f>
        <v/>
      </c>
      <c r="BX1638">
        <f>$C1638*BX1637</f>
        <v/>
      </c>
      <c r="BY1638">
        <f>$C1638*BY1637</f>
        <v/>
      </c>
      <c r="BZ1638">
        <f>$C1638*BZ1637</f>
        <v/>
      </c>
      <c r="CA1638">
        <f>$C1638*CA1637</f>
        <v/>
      </c>
      <c r="CB1638">
        <f>$C1638*CB1637</f>
        <v/>
      </c>
      <c r="CC1638">
        <f>$C1638*CC1637</f>
        <v/>
      </c>
      <c r="CD1638">
        <f>$C1638*CD1637</f>
        <v/>
      </c>
      <c r="CE1638">
        <f>$C1638*CE1637</f>
        <v/>
      </c>
      <c r="CF1638">
        <f>$C1638*CF1637</f>
        <v/>
      </c>
      <c r="CG1638">
        <f>$C1638*CG1637</f>
        <v/>
      </c>
      <c r="CH1638">
        <f>$C1638*CH1637</f>
        <v/>
      </c>
      <c r="CI1638">
        <f>$C1638*CI1637</f>
        <v/>
      </c>
      <c r="CJ1638">
        <f>$C1638*CJ1637</f>
        <v/>
      </c>
      <c r="CK1638">
        <f>$C1638*CK1637</f>
        <v/>
      </c>
      <c r="CL1638">
        <f>$C1638*CL1637</f>
        <v/>
      </c>
      <c r="CM1638">
        <f>$C1638*CM1637</f>
        <v/>
      </c>
      <c r="CN1638">
        <f>$C1638*CN1637</f>
        <v/>
      </c>
      <c r="CO1638">
        <f>$C1638*CO1637</f>
        <v/>
      </c>
      <c r="CP1638">
        <f>$C1638*CP1637</f>
        <v/>
      </c>
      <c r="CQ1638">
        <f>$C1638*CQ1637</f>
        <v/>
      </c>
      <c r="CR1638">
        <f>$C1638*CR1637</f>
        <v/>
      </c>
      <c r="CS1638">
        <f>$C1638*CS1637</f>
        <v/>
      </c>
      <c r="CT1638">
        <f>$C1638*CT1637</f>
        <v/>
      </c>
      <c r="CU1638">
        <f>$C1638*CU1637</f>
        <v/>
      </c>
      <c r="CV1638">
        <f>$C1638*CV1637</f>
        <v/>
      </c>
      <c r="CW1638">
        <f>$C1638*CW1637</f>
        <v/>
      </c>
      <c r="CX1638">
        <f>$C1638*CX1637</f>
        <v/>
      </c>
      <c r="CY1638">
        <f>$C1638*CY1637</f>
        <v/>
      </c>
      <c r="CZ1638">
        <f>$C1638*CZ1637</f>
        <v/>
      </c>
      <c r="DA1638">
        <f>$C1638*DA1637</f>
        <v/>
      </c>
      <c r="DB1638">
        <f>$C1638*DB1637</f>
        <v/>
      </c>
      <c r="DC1638">
        <f>$C1638*DC1637</f>
        <v/>
      </c>
      <c r="DD1638">
        <f>$C1638*DD1637</f>
        <v/>
      </c>
    </row>
    <row r="1639">
      <c r="B1639" s="4" t="inlineStr">
        <is>
          <t>合計使用量(kg)/週</t>
        </is>
      </c>
      <c r="D1639" s="23">
        <f>IFERROR(INDEX(E1639:DD1639,$F$1),"")</f>
        <v/>
      </c>
      <c r="E1639">
        <f>'Grid_Requirement'!B94</f>
        <v/>
      </c>
      <c r="F1639">
        <f>'Grid_Requirement'!C94</f>
        <v/>
      </c>
      <c r="G1639">
        <f>'Grid_Requirement'!D94</f>
        <v/>
      </c>
      <c r="H1639">
        <f>'Grid_Requirement'!E94</f>
        <v/>
      </c>
      <c r="I1639">
        <f>'Grid_Requirement'!F94</f>
        <v/>
      </c>
      <c r="J1639">
        <f>'Grid_Requirement'!G94</f>
        <v/>
      </c>
      <c r="K1639">
        <f>'Grid_Requirement'!H94</f>
        <v/>
      </c>
      <c r="L1639">
        <f>'Grid_Requirement'!I94</f>
        <v/>
      </c>
      <c r="M1639">
        <f>'Grid_Requirement'!J94</f>
        <v/>
      </c>
      <c r="N1639">
        <f>'Grid_Requirement'!K94</f>
        <v/>
      </c>
      <c r="O1639">
        <f>'Grid_Requirement'!L94</f>
        <v/>
      </c>
      <c r="P1639">
        <f>'Grid_Requirement'!M94</f>
        <v/>
      </c>
      <c r="Q1639">
        <f>'Grid_Requirement'!N94</f>
        <v/>
      </c>
      <c r="R1639">
        <f>'Grid_Requirement'!O94</f>
        <v/>
      </c>
      <c r="S1639">
        <f>'Grid_Requirement'!P94</f>
        <v/>
      </c>
      <c r="T1639">
        <f>'Grid_Requirement'!Q94</f>
        <v/>
      </c>
      <c r="U1639">
        <f>'Grid_Requirement'!R94</f>
        <v/>
      </c>
      <c r="V1639">
        <f>'Grid_Requirement'!S94</f>
        <v/>
      </c>
      <c r="W1639">
        <f>'Grid_Requirement'!T94</f>
        <v/>
      </c>
      <c r="X1639">
        <f>'Grid_Requirement'!U94</f>
        <v/>
      </c>
      <c r="Y1639">
        <f>'Grid_Requirement'!V94</f>
        <v/>
      </c>
      <c r="Z1639">
        <f>'Grid_Requirement'!W94</f>
        <v/>
      </c>
      <c r="AA1639">
        <f>'Grid_Requirement'!X94</f>
        <v/>
      </c>
      <c r="AB1639">
        <f>'Grid_Requirement'!Y94</f>
        <v/>
      </c>
      <c r="AC1639">
        <f>'Grid_Requirement'!Z94</f>
        <v/>
      </c>
      <c r="AD1639">
        <f>'Grid_Requirement'!AA94</f>
        <v/>
      </c>
      <c r="AE1639">
        <f>'Grid_Requirement'!AB94</f>
        <v/>
      </c>
      <c r="AF1639">
        <f>'Grid_Requirement'!AC94</f>
        <v/>
      </c>
      <c r="AG1639">
        <f>'Grid_Requirement'!AD94</f>
        <v/>
      </c>
      <c r="AH1639">
        <f>'Grid_Requirement'!AE94</f>
        <v/>
      </c>
      <c r="AI1639">
        <f>'Grid_Requirement'!AF94</f>
        <v/>
      </c>
      <c r="AJ1639">
        <f>'Grid_Requirement'!AG94</f>
        <v/>
      </c>
      <c r="AK1639">
        <f>'Grid_Requirement'!AH94</f>
        <v/>
      </c>
      <c r="AL1639">
        <f>'Grid_Requirement'!AI94</f>
        <v/>
      </c>
      <c r="AM1639">
        <f>'Grid_Requirement'!AJ94</f>
        <v/>
      </c>
      <c r="AN1639">
        <f>'Grid_Requirement'!AK94</f>
        <v/>
      </c>
      <c r="AO1639">
        <f>'Grid_Requirement'!AL94</f>
        <v/>
      </c>
      <c r="AP1639">
        <f>'Grid_Requirement'!AM94</f>
        <v/>
      </c>
      <c r="AQ1639">
        <f>'Grid_Requirement'!AN94</f>
        <v/>
      </c>
      <c r="AR1639">
        <f>'Grid_Requirement'!AO94</f>
        <v/>
      </c>
      <c r="AS1639">
        <f>'Grid_Requirement'!AP94</f>
        <v/>
      </c>
      <c r="AT1639">
        <f>'Grid_Requirement'!AQ94</f>
        <v/>
      </c>
      <c r="AU1639">
        <f>'Grid_Requirement'!AR94</f>
        <v/>
      </c>
      <c r="AV1639">
        <f>'Grid_Requirement'!AS94</f>
        <v/>
      </c>
      <c r="AW1639">
        <f>'Grid_Requirement'!AT94</f>
        <v/>
      </c>
      <c r="AX1639">
        <f>'Grid_Requirement'!AU94</f>
        <v/>
      </c>
      <c r="AY1639">
        <f>'Grid_Requirement'!AV94</f>
        <v/>
      </c>
      <c r="AZ1639">
        <f>'Grid_Requirement'!AW94</f>
        <v/>
      </c>
      <c r="BA1639">
        <f>'Grid_Requirement'!AX94</f>
        <v/>
      </c>
      <c r="BB1639">
        <f>'Grid_Requirement'!AY94</f>
        <v/>
      </c>
      <c r="BC1639">
        <f>'Grid_Requirement'!AZ94</f>
        <v/>
      </c>
      <c r="BD1639">
        <f>'Grid_Requirement'!BA94</f>
        <v/>
      </c>
      <c r="BE1639">
        <f>'Grid_Requirement'!BB94</f>
        <v/>
      </c>
      <c r="BF1639">
        <f>'Grid_Requirement'!BC94</f>
        <v/>
      </c>
      <c r="BG1639">
        <f>'Grid_Requirement'!BD94</f>
        <v/>
      </c>
      <c r="BH1639">
        <f>'Grid_Requirement'!BE94</f>
        <v/>
      </c>
      <c r="BI1639">
        <f>'Grid_Requirement'!BF94</f>
        <v/>
      </c>
      <c r="BJ1639">
        <f>'Grid_Requirement'!BG94</f>
        <v/>
      </c>
      <c r="BK1639">
        <f>'Grid_Requirement'!BH94</f>
        <v/>
      </c>
      <c r="BL1639">
        <f>'Grid_Requirement'!BI94</f>
        <v/>
      </c>
      <c r="BM1639">
        <f>'Grid_Requirement'!BJ94</f>
        <v/>
      </c>
      <c r="BN1639">
        <f>'Grid_Requirement'!BK94</f>
        <v/>
      </c>
      <c r="BO1639">
        <f>'Grid_Requirement'!BL94</f>
        <v/>
      </c>
      <c r="BP1639">
        <f>'Grid_Requirement'!BM94</f>
        <v/>
      </c>
      <c r="BQ1639">
        <f>'Grid_Requirement'!BN94</f>
        <v/>
      </c>
      <c r="BR1639">
        <f>'Grid_Requirement'!BO94</f>
        <v/>
      </c>
      <c r="BS1639">
        <f>'Grid_Requirement'!BP94</f>
        <v/>
      </c>
      <c r="BT1639">
        <f>'Grid_Requirement'!BQ94</f>
        <v/>
      </c>
      <c r="BU1639">
        <f>'Grid_Requirement'!BR94</f>
        <v/>
      </c>
      <c r="BV1639">
        <f>'Grid_Requirement'!BS94</f>
        <v/>
      </c>
      <c r="BW1639">
        <f>'Grid_Requirement'!BT94</f>
        <v/>
      </c>
      <c r="BX1639">
        <f>'Grid_Requirement'!BU94</f>
        <v/>
      </c>
      <c r="BY1639">
        <f>'Grid_Requirement'!BV94</f>
        <v/>
      </c>
      <c r="BZ1639">
        <f>'Grid_Requirement'!BW94</f>
        <v/>
      </c>
      <c r="CA1639">
        <f>'Grid_Requirement'!BX94</f>
        <v/>
      </c>
      <c r="CB1639">
        <f>'Grid_Requirement'!BY94</f>
        <v/>
      </c>
      <c r="CC1639">
        <f>'Grid_Requirement'!BZ94</f>
        <v/>
      </c>
      <c r="CD1639">
        <f>'Grid_Requirement'!CA94</f>
        <v/>
      </c>
      <c r="CE1639">
        <f>'Grid_Requirement'!CB94</f>
        <v/>
      </c>
      <c r="CF1639">
        <f>'Grid_Requirement'!CC94</f>
        <v/>
      </c>
      <c r="CG1639">
        <f>'Grid_Requirement'!CD94</f>
        <v/>
      </c>
      <c r="CH1639">
        <f>'Grid_Requirement'!CE94</f>
        <v/>
      </c>
      <c r="CI1639">
        <f>'Grid_Requirement'!CF94</f>
        <v/>
      </c>
      <c r="CJ1639">
        <f>'Grid_Requirement'!CG94</f>
        <v/>
      </c>
      <c r="CK1639">
        <f>'Grid_Requirement'!CH94</f>
        <v/>
      </c>
      <c r="CL1639">
        <f>'Grid_Requirement'!CI94</f>
        <v/>
      </c>
      <c r="CM1639">
        <f>'Grid_Requirement'!CJ94</f>
        <v/>
      </c>
      <c r="CN1639">
        <f>'Grid_Requirement'!CK94</f>
        <v/>
      </c>
      <c r="CO1639">
        <f>'Grid_Requirement'!CL94</f>
        <v/>
      </c>
      <c r="CP1639">
        <f>'Grid_Requirement'!CM94</f>
        <v/>
      </c>
      <c r="CQ1639">
        <f>'Grid_Requirement'!CN94</f>
        <v/>
      </c>
      <c r="CR1639">
        <f>'Grid_Requirement'!CO94</f>
        <v/>
      </c>
      <c r="CS1639">
        <f>'Grid_Requirement'!CP94</f>
        <v/>
      </c>
      <c r="CT1639">
        <f>'Grid_Requirement'!CQ94</f>
        <v/>
      </c>
      <c r="CU1639">
        <f>'Grid_Requirement'!CR94</f>
        <v/>
      </c>
      <c r="CV1639">
        <f>'Grid_Requirement'!CS94</f>
        <v/>
      </c>
      <c r="CW1639">
        <f>'Grid_Requirement'!CT94</f>
        <v/>
      </c>
      <c r="CX1639">
        <f>'Grid_Requirement'!CU94</f>
        <v/>
      </c>
      <c r="CY1639">
        <f>'Grid_Requirement'!CV94</f>
        <v/>
      </c>
      <c r="CZ1639">
        <f>'Grid_Requirement'!CW94</f>
        <v/>
      </c>
      <c r="DA1639">
        <f>'Grid_Requirement'!CX94</f>
        <v/>
      </c>
      <c r="DB1639">
        <f>'Grid_Requirement'!CY94</f>
        <v/>
      </c>
      <c r="DC1639">
        <f>'Grid_Requirement'!CZ94</f>
        <v/>
      </c>
      <c r="DD1639">
        <f>'Grid_Requirement'!DA94</f>
        <v/>
      </c>
    </row>
    <row r="1640">
      <c r="B1640" t="inlineStr">
        <is>
          <t>TTAF在庫(実績,kg)</t>
        </is>
      </c>
      <c r="D1640">
        <f>IFERROR(INDEX(E1640:DD1640,$F$1),"")</f>
        <v/>
      </c>
      <c r="E1640">
        <f>IFERROR(SUMIFS(T_TTAFStock[TTAF_Qty],T_TTAFStock[RM_Code],$A1628,T_TTAFStock[WeekIndex],1),"")</f>
        <v/>
      </c>
      <c r="F1640">
        <f>IFERROR(SUMIFS(T_TTAFStock[TTAF_Qty],T_TTAFStock[RM_Code],$A1628,T_TTAFStock[WeekIndex],2),"")</f>
        <v/>
      </c>
      <c r="G1640">
        <f>IFERROR(SUMIFS(T_TTAFStock[TTAF_Qty],T_TTAFStock[RM_Code],$A1628,T_TTAFStock[WeekIndex],3),"")</f>
        <v/>
      </c>
      <c r="H1640">
        <f>IFERROR(SUMIFS(T_TTAFStock[TTAF_Qty],T_TTAFStock[RM_Code],$A1628,T_TTAFStock[WeekIndex],4),"")</f>
        <v/>
      </c>
      <c r="I1640">
        <f>IFERROR(SUMIFS(T_TTAFStock[TTAF_Qty],T_TTAFStock[RM_Code],$A1628,T_TTAFStock[WeekIndex],5),"")</f>
        <v/>
      </c>
      <c r="J1640">
        <f>IFERROR(SUMIFS(T_TTAFStock[TTAF_Qty],T_TTAFStock[RM_Code],$A1628,T_TTAFStock[WeekIndex],6),"")</f>
        <v/>
      </c>
      <c r="K1640">
        <f>IFERROR(SUMIFS(T_TTAFStock[TTAF_Qty],T_TTAFStock[RM_Code],$A1628,T_TTAFStock[WeekIndex],7),"")</f>
        <v/>
      </c>
      <c r="L1640">
        <f>IFERROR(SUMIFS(T_TTAFStock[TTAF_Qty],T_TTAFStock[RM_Code],$A1628,T_TTAFStock[WeekIndex],8),"")</f>
        <v/>
      </c>
      <c r="M1640">
        <f>IFERROR(SUMIFS(T_TTAFStock[TTAF_Qty],T_TTAFStock[RM_Code],$A1628,T_TTAFStock[WeekIndex],9),"")</f>
        <v/>
      </c>
      <c r="N1640">
        <f>IFERROR(SUMIFS(T_TTAFStock[TTAF_Qty],T_TTAFStock[RM_Code],$A1628,T_TTAFStock[WeekIndex],10),"")</f>
        <v/>
      </c>
      <c r="O1640">
        <f>IFERROR(SUMIFS(T_TTAFStock[TTAF_Qty],T_TTAFStock[RM_Code],$A1628,T_TTAFStock[WeekIndex],11),"")</f>
        <v/>
      </c>
      <c r="P1640">
        <f>IFERROR(SUMIFS(T_TTAFStock[TTAF_Qty],T_TTAFStock[RM_Code],$A1628,T_TTAFStock[WeekIndex],12),"")</f>
        <v/>
      </c>
      <c r="Q1640">
        <f>IFERROR(SUMIFS(T_TTAFStock[TTAF_Qty],T_TTAFStock[RM_Code],$A1628,T_TTAFStock[WeekIndex],13),"")</f>
        <v/>
      </c>
      <c r="R1640">
        <f>IFERROR(SUMIFS(T_TTAFStock[TTAF_Qty],T_TTAFStock[RM_Code],$A1628,T_TTAFStock[WeekIndex],14),"")</f>
        <v/>
      </c>
      <c r="S1640">
        <f>IFERROR(SUMIFS(T_TTAFStock[TTAF_Qty],T_TTAFStock[RM_Code],$A1628,T_TTAFStock[WeekIndex],15),"")</f>
        <v/>
      </c>
      <c r="T1640">
        <f>IFERROR(SUMIFS(T_TTAFStock[TTAF_Qty],T_TTAFStock[RM_Code],$A1628,T_TTAFStock[WeekIndex],16),"")</f>
        <v/>
      </c>
      <c r="U1640">
        <f>IFERROR(SUMIFS(T_TTAFStock[TTAF_Qty],T_TTAFStock[RM_Code],$A1628,T_TTAFStock[WeekIndex],17),"")</f>
        <v/>
      </c>
      <c r="V1640">
        <f>IFERROR(SUMIFS(T_TTAFStock[TTAF_Qty],T_TTAFStock[RM_Code],$A1628,T_TTAFStock[WeekIndex],18),"")</f>
        <v/>
      </c>
      <c r="W1640">
        <f>IFERROR(SUMIFS(T_TTAFStock[TTAF_Qty],T_TTAFStock[RM_Code],$A1628,T_TTAFStock[WeekIndex],19),"")</f>
        <v/>
      </c>
      <c r="X1640">
        <f>IFERROR(SUMIFS(T_TTAFStock[TTAF_Qty],T_TTAFStock[RM_Code],$A1628,T_TTAFStock[WeekIndex],20),"")</f>
        <v/>
      </c>
      <c r="Y1640">
        <f>IFERROR(SUMIFS(T_TTAFStock[TTAF_Qty],T_TTAFStock[RM_Code],$A1628,T_TTAFStock[WeekIndex],21),"")</f>
        <v/>
      </c>
      <c r="Z1640">
        <f>IFERROR(SUMIFS(T_TTAFStock[TTAF_Qty],T_TTAFStock[RM_Code],$A1628,T_TTAFStock[WeekIndex],22),"")</f>
        <v/>
      </c>
      <c r="AA1640">
        <f>IFERROR(SUMIFS(T_TTAFStock[TTAF_Qty],T_TTAFStock[RM_Code],$A1628,T_TTAFStock[WeekIndex],23),"")</f>
        <v/>
      </c>
      <c r="AB1640">
        <f>IFERROR(SUMIFS(T_TTAFStock[TTAF_Qty],T_TTAFStock[RM_Code],$A1628,T_TTAFStock[WeekIndex],24),"")</f>
        <v/>
      </c>
      <c r="AC1640">
        <f>IFERROR(SUMIFS(T_TTAFStock[TTAF_Qty],T_TTAFStock[RM_Code],$A1628,T_TTAFStock[WeekIndex],25),"")</f>
        <v/>
      </c>
      <c r="AD1640">
        <f>IFERROR(SUMIFS(T_TTAFStock[TTAF_Qty],T_TTAFStock[RM_Code],$A1628,T_TTAFStock[WeekIndex],26),"")</f>
        <v/>
      </c>
      <c r="AE1640">
        <f>IFERROR(SUMIFS(T_TTAFStock[TTAF_Qty],T_TTAFStock[RM_Code],$A1628,T_TTAFStock[WeekIndex],27),"")</f>
        <v/>
      </c>
      <c r="AF1640">
        <f>IFERROR(SUMIFS(T_TTAFStock[TTAF_Qty],T_TTAFStock[RM_Code],$A1628,T_TTAFStock[WeekIndex],28),"")</f>
        <v/>
      </c>
      <c r="AG1640">
        <f>IFERROR(SUMIFS(T_TTAFStock[TTAF_Qty],T_TTAFStock[RM_Code],$A1628,T_TTAFStock[WeekIndex],29),"")</f>
        <v/>
      </c>
      <c r="AH1640">
        <f>IFERROR(SUMIFS(T_TTAFStock[TTAF_Qty],T_TTAFStock[RM_Code],$A1628,T_TTAFStock[WeekIndex],30),"")</f>
        <v/>
      </c>
      <c r="AI1640">
        <f>IFERROR(SUMIFS(T_TTAFStock[TTAF_Qty],T_TTAFStock[RM_Code],$A1628,T_TTAFStock[WeekIndex],31),"")</f>
        <v/>
      </c>
      <c r="AJ1640">
        <f>IFERROR(SUMIFS(T_TTAFStock[TTAF_Qty],T_TTAFStock[RM_Code],$A1628,T_TTAFStock[WeekIndex],32),"")</f>
        <v/>
      </c>
      <c r="AK1640">
        <f>IFERROR(SUMIFS(T_TTAFStock[TTAF_Qty],T_TTAFStock[RM_Code],$A1628,T_TTAFStock[WeekIndex],33),"")</f>
        <v/>
      </c>
      <c r="AL1640">
        <f>IFERROR(SUMIFS(T_TTAFStock[TTAF_Qty],T_TTAFStock[RM_Code],$A1628,T_TTAFStock[WeekIndex],34),"")</f>
        <v/>
      </c>
      <c r="AM1640">
        <f>IFERROR(SUMIFS(T_TTAFStock[TTAF_Qty],T_TTAFStock[RM_Code],$A1628,T_TTAFStock[WeekIndex],35),"")</f>
        <v/>
      </c>
      <c r="AN1640">
        <f>IFERROR(SUMIFS(T_TTAFStock[TTAF_Qty],T_TTAFStock[RM_Code],$A1628,T_TTAFStock[WeekIndex],36),"")</f>
        <v/>
      </c>
      <c r="AO1640">
        <f>IFERROR(SUMIFS(T_TTAFStock[TTAF_Qty],T_TTAFStock[RM_Code],$A1628,T_TTAFStock[WeekIndex],37),"")</f>
        <v/>
      </c>
      <c r="AP1640">
        <f>IFERROR(SUMIFS(T_TTAFStock[TTAF_Qty],T_TTAFStock[RM_Code],$A1628,T_TTAFStock[WeekIndex],38),"")</f>
        <v/>
      </c>
      <c r="AQ1640">
        <f>IFERROR(SUMIFS(T_TTAFStock[TTAF_Qty],T_TTAFStock[RM_Code],$A1628,T_TTAFStock[WeekIndex],39),"")</f>
        <v/>
      </c>
      <c r="AR1640">
        <f>IFERROR(SUMIFS(T_TTAFStock[TTAF_Qty],T_TTAFStock[RM_Code],$A1628,T_TTAFStock[WeekIndex],40),"")</f>
        <v/>
      </c>
      <c r="AS1640">
        <f>IFERROR(SUMIFS(T_TTAFStock[TTAF_Qty],T_TTAFStock[RM_Code],$A1628,T_TTAFStock[WeekIndex],41),"")</f>
        <v/>
      </c>
      <c r="AT1640">
        <f>IFERROR(SUMIFS(T_TTAFStock[TTAF_Qty],T_TTAFStock[RM_Code],$A1628,T_TTAFStock[WeekIndex],42),"")</f>
        <v/>
      </c>
      <c r="AU1640">
        <f>IFERROR(SUMIFS(T_TTAFStock[TTAF_Qty],T_TTAFStock[RM_Code],$A1628,T_TTAFStock[WeekIndex],43),"")</f>
        <v/>
      </c>
      <c r="AV1640">
        <f>IFERROR(SUMIFS(T_TTAFStock[TTAF_Qty],T_TTAFStock[RM_Code],$A1628,T_TTAFStock[WeekIndex],44),"")</f>
        <v/>
      </c>
      <c r="AW1640">
        <f>IFERROR(SUMIFS(T_TTAFStock[TTAF_Qty],T_TTAFStock[RM_Code],$A1628,T_TTAFStock[WeekIndex],45),"")</f>
        <v/>
      </c>
      <c r="AX1640">
        <f>IFERROR(SUMIFS(T_TTAFStock[TTAF_Qty],T_TTAFStock[RM_Code],$A1628,T_TTAFStock[WeekIndex],46),"")</f>
        <v/>
      </c>
      <c r="AY1640">
        <f>IFERROR(SUMIFS(T_TTAFStock[TTAF_Qty],T_TTAFStock[RM_Code],$A1628,T_TTAFStock[WeekIndex],47),"")</f>
        <v/>
      </c>
      <c r="AZ1640">
        <f>IFERROR(SUMIFS(T_TTAFStock[TTAF_Qty],T_TTAFStock[RM_Code],$A1628,T_TTAFStock[WeekIndex],48),"")</f>
        <v/>
      </c>
      <c r="BA1640">
        <f>IFERROR(SUMIFS(T_TTAFStock[TTAF_Qty],T_TTAFStock[RM_Code],$A1628,T_TTAFStock[WeekIndex],49),"")</f>
        <v/>
      </c>
      <c r="BB1640">
        <f>IFERROR(SUMIFS(T_TTAFStock[TTAF_Qty],T_TTAFStock[RM_Code],$A1628,T_TTAFStock[WeekIndex],50),"")</f>
        <v/>
      </c>
      <c r="BC1640">
        <f>IFERROR(SUMIFS(T_TTAFStock[TTAF_Qty],T_TTAFStock[RM_Code],$A1628,T_TTAFStock[WeekIndex],51),"")</f>
        <v/>
      </c>
      <c r="BD1640">
        <f>IFERROR(SUMIFS(T_TTAFStock[TTAF_Qty],T_TTAFStock[RM_Code],$A1628,T_TTAFStock[WeekIndex],52),"")</f>
        <v/>
      </c>
      <c r="BE1640">
        <f>IFERROR(SUMIFS(T_TTAFStock[TTAF_Qty],T_TTAFStock[RM_Code],$A1628,T_TTAFStock[WeekIndex],53),"")</f>
        <v/>
      </c>
      <c r="BF1640">
        <f>IFERROR(SUMIFS(T_TTAFStock[TTAF_Qty],T_TTAFStock[RM_Code],$A1628,T_TTAFStock[WeekIndex],54),"")</f>
        <v/>
      </c>
      <c r="BG1640">
        <f>IFERROR(SUMIFS(T_TTAFStock[TTAF_Qty],T_TTAFStock[RM_Code],$A1628,T_TTAFStock[WeekIndex],55),"")</f>
        <v/>
      </c>
      <c r="BH1640">
        <f>IFERROR(SUMIFS(T_TTAFStock[TTAF_Qty],T_TTAFStock[RM_Code],$A1628,T_TTAFStock[WeekIndex],56),"")</f>
        <v/>
      </c>
      <c r="BI1640">
        <f>IFERROR(SUMIFS(T_TTAFStock[TTAF_Qty],T_TTAFStock[RM_Code],$A1628,T_TTAFStock[WeekIndex],57),"")</f>
        <v/>
      </c>
      <c r="BJ1640">
        <f>IFERROR(SUMIFS(T_TTAFStock[TTAF_Qty],T_TTAFStock[RM_Code],$A1628,T_TTAFStock[WeekIndex],58),"")</f>
        <v/>
      </c>
      <c r="BK1640">
        <f>IFERROR(SUMIFS(T_TTAFStock[TTAF_Qty],T_TTAFStock[RM_Code],$A1628,T_TTAFStock[WeekIndex],59),"")</f>
        <v/>
      </c>
      <c r="BL1640">
        <f>IFERROR(SUMIFS(T_TTAFStock[TTAF_Qty],T_TTAFStock[RM_Code],$A1628,T_TTAFStock[WeekIndex],60),"")</f>
        <v/>
      </c>
      <c r="BM1640">
        <f>IFERROR(SUMIFS(T_TTAFStock[TTAF_Qty],T_TTAFStock[RM_Code],$A1628,T_TTAFStock[WeekIndex],61),"")</f>
        <v/>
      </c>
      <c r="BN1640">
        <f>IFERROR(SUMIFS(T_TTAFStock[TTAF_Qty],T_TTAFStock[RM_Code],$A1628,T_TTAFStock[WeekIndex],62),"")</f>
        <v/>
      </c>
      <c r="BO1640">
        <f>IFERROR(SUMIFS(T_TTAFStock[TTAF_Qty],T_TTAFStock[RM_Code],$A1628,T_TTAFStock[WeekIndex],63),"")</f>
        <v/>
      </c>
      <c r="BP1640">
        <f>IFERROR(SUMIFS(T_TTAFStock[TTAF_Qty],T_TTAFStock[RM_Code],$A1628,T_TTAFStock[WeekIndex],64),"")</f>
        <v/>
      </c>
      <c r="BQ1640">
        <f>IFERROR(SUMIFS(T_TTAFStock[TTAF_Qty],T_TTAFStock[RM_Code],$A1628,T_TTAFStock[WeekIndex],65),"")</f>
        <v/>
      </c>
      <c r="BR1640">
        <f>IFERROR(SUMIFS(T_TTAFStock[TTAF_Qty],T_TTAFStock[RM_Code],$A1628,T_TTAFStock[WeekIndex],66),"")</f>
        <v/>
      </c>
      <c r="BS1640">
        <f>IFERROR(SUMIFS(T_TTAFStock[TTAF_Qty],T_TTAFStock[RM_Code],$A1628,T_TTAFStock[WeekIndex],67),"")</f>
        <v/>
      </c>
      <c r="BT1640">
        <f>IFERROR(SUMIFS(T_TTAFStock[TTAF_Qty],T_TTAFStock[RM_Code],$A1628,T_TTAFStock[WeekIndex],68),"")</f>
        <v/>
      </c>
      <c r="BU1640">
        <f>IFERROR(SUMIFS(T_TTAFStock[TTAF_Qty],T_TTAFStock[RM_Code],$A1628,T_TTAFStock[WeekIndex],69),"")</f>
        <v/>
      </c>
      <c r="BV1640">
        <f>IFERROR(SUMIFS(T_TTAFStock[TTAF_Qty],T_TTAFStock[RM_Code],$A1628,T_TTAFStock[WeekIndex],70),"")</f>
        <v/>
      </c>
      <c r="BW1640">
        <f>IFERROR(SUMIFS(T_TTAFStock[TTAF_Qty],T_TTAFStock[RM_Code],$A1628,T_TTAFStock[WeekIndex],71),"")</f>
        <v/>
      </c>
      <c r="BX1640">
        <f>IFERROR(SUMIFS(T_TTAFStock[TTAF_Qty],T_TTAFStock[RM_Code],$A1628,T_TTAFStock[WeekIndex],72),"")</f>
        <v/>
      </c>
      <c r="BY1640">
        <f>IFERROR(SUMIFS(T_TTAFStock[TTAF_Qty],T_TTAFStock[RM_Code],$A1628,T_TTAFStock[WeekIndex],73),"")</f>
        <v/>
      </c>
      <c r="BZ1640">
        <f>IFERROR(SUMIFS(T_TTAFStock[TTAF_Qty],T_TTAFStock[RM_Code],$A1628,T_TTAFStock[WeekIndex],74),"")</f>
        <v/>
      </c>
      <c r="CA1640">
        <f>IFERROR(SUMIFS(T_TTAFStock[TTAF_Qty],T_TTAFStock[RM_Code],$A1628,T_TTAFStock[WeekIndex],75),"")</f>
        <v/>
      </c>
      <c r="CB1640">
        <f>IFERROR(SUMIFS(T_TTAFStock[TTAF_Qty],T_TTAFStock[RM_Code],$A1628,T_TTAFStock[WeekIndex],76),"")</f>
        <v/>
      </c>
      <c r="CC1640">
        <f>IFERROR(SUMIFS(T_TTAFStock[TTAF_Qty],T_TTAFStock[RM_Code],$A1628,T_TTAFStock[WeekIndex],77),"")</f>
        <v/>
      </c>
      <c r="CD1640">
        <f>IFERROR(SUMIFS(T_TTAFStock[TTAF_Qty],T_TTAFStock[RM_Code],$A1628,T_TTAFStock[WeekIndex],78),"")</f>
        <v/>
      </c>
      <c r="CE1640">
        <f>IFERROR(SUMIFS(T_TTAFStock[TTAF_Qty],T_TTAFStock[RM_Code],$A1628,T_TTAFStock[WeekIndex],79),"")</f>
        <v/>
      </c>
      <c r="CF1640">
        <f>IFERROR(SUMIFS(T_TTAFStock[TTAF_Qty],T_TTAFStock[RM_Code],$A1628,T_TTAFStock[WeekIndex],80),"")</f>
        <v/>
      </c>
      <c r="CG1640">
        <f>IFERROR(SUMIFS(T_TTAFStock[TTAF_Qty],T_TTAFStock[RM_Code],$A1628,T_TTAFStock[WeekIndex],81),"")</f>
        <v/>
      </c>
      <c r="CH1640">
        <f>IFERROR(SUMIFS(T_TTAFStock[TTAF_Qty],T_TTAFStock[RM_Code],$A1628,T_TTAFStock[WeekIndex],82),"")</f>
        <v/>
      </c>
      <c r="CI1640">
        <f>IFERROR(SUMIFS(T_TTAFStock[TTAF_Qty],T_TTAFStock[RM_Code],$A1628,T_TTAFStock[WeekIndex],83),"")</f>
        <v/>
      </c>
      <c r="CJ1640">
        <f>IFERROR(SUMIFS(T_TTAFStock[TTAF_Qty],T_TTAFStock[RM_Code],$A1628,T_TTAFStock[WeekIndex],84),"")</f>
        <v/>
      </c>
      <c r="CK1640">
        <f>IFERROR(SUMIFS(T_TTAFStock[TTAF_Qty],T_TTAFStock[RM_Code],$A1628,T_TTAFStock[WeekIndex],85),"")</f>
        <v/>
      </c>
      <c r="CL1640">
        <f>IFERROR(SUMIFS(T_TTAFStock[TTAF_Qty],T_TTAFStock[RM_Code],$A1628,T_TTAFStock[WeekIndex],86),"")</f>
        <v/>
      </c>
      <c r="CM1640">
        <f>IFERROR(SUMIFS(T_TTAFStock[TTAF_Qty],T_TTAFStock[RM_Code],$A1628,T_TTAFStock[WeekIndex],87),"")</f>
        <v/>
      </c>
      <c r="CN1640">
        <f>IFERROR(SUMIFS(T_TTAFStock[TTAF_Qty],T_TTAFStock[RM_Code],$A1628,T_TTAFStock[WeekIndex],88),"")</f>
        <v/>
      </c>
      <c r="CO1640">
        <f>IFERROR(SUMIFS(T_TTAFStock[TTAF_Qty],T_TTAFStock[RM_Code],$A1628,T_TTAFStock[WeekIndex],89),"")</f>
        <v/>
      </c>
      <c r="CP1640">
        <f>IFERROR(SUMIFS(T_TTAFStock[TTAF_Qty],T_TTAFStock[RM_Code],$A1628,T_TTAFStock[WeekIndex],90),"")</f>
        <v/>
      </c>
      <c r="CQ1640">
        <f>IFERROR(SUMIFS(T_TTAFStock[TTAF_Qty],T_TTAFStock[RM_Code],$A1628,T_TTAFStock[WeekIndex],91),"")</f>
        <v/>
      </c>
      <c r="CR1640">
        <f>IFERROR(SUMIFS(T_TTAFStock[TTAF_Qty],T_TTAFStock[RM_Code],$A1628,T_TTAFStock[WeekIndex],92),"")</f>
        <v/>
      </c>
      <c r="CS1640">
        <f>IFERROR(SUMIFS(T_TTAFStock[TTAF_Qty],T_TTAFStock[RM_Code],$A1628,T_TTAFStock[WeekIndex],93),"")</f>
        <v/>
      </c>
      <c r="CT1640">
        <f>IFERROR(SUMIFS(T_TTAFStock[TTAF_Qty],T_TTAFStock[RM_Code],$A1628,T_TTAFStock[WeekIndex],94),"")</f>
        <v/>
      </c>
      <c r="CU1640">
        <f>IFERROR(SUMIFS(T_TTAFStock[TTAF_Qty],T_TTAFStock[RM_Code],$A1628,T_TTAFStock[WeekIndex],95),"")</f>
        <v/>
      </c>
      <c r="CV1640">
        <f>IFERROR(SUMIFS(T_TTAFStock[TTAF_Qty],T_TTAFStock[RM_Code],$A1628,T_TTAFStock[WeekIndex],96),"")</f>
        <v/>
      </c>
      <c r="CW1640">
        <f>IFERROR(SUMIFS(T_TTAFStock[TTAF_Qty],T_TTAFStock[RM_Code],$A1628,T_TTAFStock[WeekIndex],97),"")</f>
        <v/>
      </c>
      <c r="CX1640">
        <f>IFERROR(SUMIFS(T_TTAFStock[TTAF_Qty],T_TTAFStock[RM_Code],$A1628,T_TTAFStock[WeekIndex],98),"")</f>
        <v/>
      </c>
      <c r="CY1640">
        <f>IFERROR(SUMIFS(T_TTAFStock[TTAF_Qty],T_TTAFStock[RM_Code],$A1628,T_TTAFStock[WeekIndex],99),"")</f>
        <v/>
      </c>
      <c r="CZ1640">
        <f>IFERROR(SUMIFS(T_TTAFStock[TTAF_Qty],T_TTAFStock[RM_Code],$A1628,T_TTAFStock[WeekIndex],100),"")</f>
        <v/>
      </c>
      <c r="DA1640">
        <f>IFERROR(SUMIFS(T_TTAFStock[TTAF_Qty],T_TTAFStock[RM_Code],$A1628,T_TTAFStock[WeekIndex],101),"")</f>
        <v/>
      </c>
      <c r="DB1640">
        <f>IFERROR(SUMIFS(T_TTAFStock[TTAF_Qty],T_TTAFStock[RM_Code],$A1628,T_TTAFStock[WeekIndex],102),"")</f>
        <v/>
      </c>
      <c r="DC1640">
        <f>IFERROR(SUMIFS(T_TTAFStock[TTAF_Qty],T_TTAFStock[RM_Code],$A1628,T_TTAFStock[WeekIndex],103),"")</f>
        <v/>
      </c>
      <c r="DD1640">
        <f>IFERROR(SUMIFS(T_TTAFStock[TTAF_Qty],T_TTAFStock[RM_Code],$A1628,T_TTAFStock[WeekIndex],104),"")</f>
        <v/>
      </c>
    </row>
    <row r="1641">
      <c r="B1641" t="inlineStr">
        <is>
          <t>自社在庫(実績,kg)</t>
        </is>
      </c>
      <c r="D1641">
        <f>IFERROR(INDEX(E1641:DD1641,$F$1),"")</f>
        <v/>
      </c>
      <c r="E1641">
        <f>IFERROR(SUMIFS(T_SelfStock[Self_Qty],T_SelfStock[RM_Code],$A1628,T_SelfStock[WeekIndex],1),"")</f>
        <v/>
      </c>
      <c r="F1641">
        <f>IFERROR(SUMIFS(T_SelfStock[Self_Qty],T_SelfStock[RM_Code],$A1628,T_SelfStock[WeekIndex],2),"")</f>
        <v/>
      </c>
      <c r="G1641">
        <f>IFERROR(SUMIFS(T_SelfStock[Self_Qty],T_SelfStock[RM_Code],$A1628,T_SelfStock[WeekIndex],3),"")</f>
        <v/>
      </c>
      <c r="H1641">
        <f>IFERROR(SUMIFS(T_SelfStock[Self_Qty],T_SelfStock[RM_Code],$A1628,T_SelfStock[WeekIndex],4),"")</f>
        <v/>
      </c>
      <c r="I1641">
        <f>IFERROR(SUMIFS(T_SelfStock[Self_Qty],T_SelfStock[RM_Code],$A1628,T_SelfStock[WeekIndex],5),"")</f>
        <v/>
      </c>
      <c r="J1641">
        <f>IFERROR(SUMIFS(T_SelfStock[Self_Qty],T_SelfStock[RM_Code],$A1628,T_SelfStock[WeekIndex],6),"")</f>
        <v/>
      </c>
      <c r="K1641">
        <f>IFERROR(SUMIFS(T_SelfStock[Self_Qty],T_SelfStock[RM_Code],$A1628,T_SelfStock[WeekIndex],7),"")</f>
        <v/>
      </c>
      <c r="L1641">
        <f>IFERROR(SUMIFS(T_SelfStock[Self_Qty],T_SelfStock[RM_Code],$A1628,T_SelfStock[WeekIndex],8),"")</f>
        <v/>
      </c>
      <c r="M1641">
        <f>IFERROR(SUMIFS(T_SelfStock[Self_Qty],T_SelfStock[RM_Code],$A1628,T_SelfStock[WeekIndex],9),"")</f>
        <v/>
      </c>
      <c r="N1641">
        <f>IFERROR(SUMIFS(T_SelfStock[Self_Qty],T_SelfStock[RM_Code],$A1628,T_SelfStock[WeekIndex],10),"")</f>
        <v/>
      </c>
      <c r="O1641">
        <f>IFERROR(SUMIFS(T_SelfStock[Self_Qty],T_SelfStock[RM_Code],$A1628,T_SelfStock[WeekIndex],11),"")</f>
        <v/>
      </c>
      <c r="P1641">
        <f>IFERROR(SUMIFS(T_SelfStock[Self_Qty],T_SelfStock[RM_Code],$A1628,T_SelfStock[WeekIndex],12),"")</f>
        <v/>
      </c>
      <c r="Q1641">
        <f>IFERROR(SUMIFS(T_SelfStock[Self_Qty],T_SelfStock[RM_Code],$A1628,T_SelfStock[WeekIndex],13),"")</f>
        <v/>
      </c>
      <c r="R1641">
        <f>IFERROR(SUMIFS(T_SelfStock[Self_Qty],T_SelfStock[RM_Code],$A1628,T_SelfStock[WeekIndex],14),"")</f>
        <v/>
      </c>
      <c r="S1641">
        <f>IFERROR(SUMIFS(T_SelfStock[Self_Qty],T_SelfStock[RM_Code],$A1628,T_SelfStock[WeekIndex],15),"")</f>
        <v/>
      </c>
      <c r="T1641">
        <f>IFERROR(SUMIFS(T_SelfStock[Self_Qty],T_SelfStock[RM_Code],$A1628,T_SelfStock[WeekIndex],16),"")</f>
        <v/>
      </c>
      <c r="U1641">
        <f>IFERROR(SUMIFS(T_SelfStock[Self_Qty],T_SelfStock[RM_Code],$A1628,T_SelfStock[WeekIndex],17),"")</f>
        <v/>
      </c>
      <c r="V1641">
        <f>IFERROR(SUMIFS(T_SelfStock[Self_Qty],T_SelfStock[RM_Code],$A1628,T_SelfStock[WeekIndex],18),"")</f>
        <v/>
      </c>
      <c r="W1641">
        <f>IFERROR(SUMIFS(T_SelfStock[Self_Qty],T_SelfStock[RM_Code],$A1628,T_SelfStock[WeekIndex],19),"")</f>
        <v/>
      </c>
      <c r="X1641">
        <f>IFERROR(SUMIFS(T_SelfStock[Self_Qty],T_SelfStock[RM_Code],$A1628,T_SelfStock[WeekIndex],20),"")</f>
        <v/>
      </c>
      <c r="Y1641">
        <f>IFERROR(SUMIFS(T_SelfStock[Self_Qty],T_SelfStock[RM_Code],$A1628,T_SelfStock[WeekIndex],21),"")</f>
        <v/>
      </c>
      <c r="Z1641">
        <f>IFERROR(SUMIFS(T_SelfStock[Self_Qty],T_SelfStock[RM_Code],$A1628,T_SelfStock[WeekIndex],22),"")</f>
        <v/>
      </c>
      <c r="AA1641">
        <f>IFERROR(SUMIFS(T_SelfStock[Self_Qty],T_SelfStock[RM_Code],$A1628,T_SelfStock[WeekIndex],23),"")</f>
        <v/>
      </c>
      <c r="AB1641">
        <f>IFERROR(SUMIFS(T_SelfStock[Self_Qty],T_SelfStock[RM_Code],$A1628,T_SelfStock[WeekIndex],24),"")</f>
        <v/>
      </c>
      <c r="AC1641">
        <f>IFERROR(SUMIFS(T_SelfStock[Self_Qty],T_SelfStock[RM_Code],$A1628,T_SelfStock[WeekIndex],25),"")</f>
        <v/>
      </c>
      <c r="AD1641">
        <f>IFERROR(SUMIFS(T_SelfStock[Self_Qty],T_SelfStock[RM_Code],$A1628,T_SelfStock[WeekIndex],26),"")</f>
        <v/>
      </c>
      <c r="AE1641">
        <f>IFERROR(SUMIFS(T_SelfStock[Self_Qty],T_SelfStock[RM_Code],$A1628,T_SelfStock[WeekIndex],27),"")</f>
        <v/>
      </c>
      <c r="AF1641">
        <f>IFERROR(SUMIFS(T_SelfStock[Self_Qty],T_SelfStock[RM_Code],$A1628,T_SelfStock[WeekIndex],28),"")</f>
        <v/>
      </c>
      <c r="AG1641">
        <f>IFERROR(SUMIFS(T_SelfStock[Self_Qty],T_SelfStock[RM_Code],$A1628,T_SelfStock[WeekIndex],29),"")</f>
        <v/>
      </c>
      <c r="AH1641">
        <f>IFERROR(SUMIFS(T_SelfStock[Self_Qty],T_SelfStock[RM_Code],$A1628,T_SelfStock[WeekIndex],30),"")</f>
        <v/>
      </c>
      <c r="AI1641">
        <f>IFERROR(SUMIFS(T_SelfStock[Self_Qty],T_SelfStock[RM_Code],$A1628,T_SelfStock[WeekIndex],31),"")</f>
        <v/>
      </c>
      <c r="AJ1641">
        <f>IFERROR(SUMIFS(T_SelfStock[Self_Qty],T_SelfStock[RM_Code],$A1628,T_SelfStock[WeekIndex],32),"")</f>
        <v/>
      </c>
      <c r="AK1641">
        <f>IFERROR(SUMIFS(T_SelfStock[Self_Qty],T_SelfStock[RM_Code],$A1628,T_SelfStock[WeekIndex],33),"")</f>
        <v/>
      </c>
      <c r="AL1641">
        <f>IFERROR(SUMIFS(T_SelfStock[Self_Qty],T_SelfStock[RM_Code],$A1628,T_SelfStock[WeekIndex],34),"")</f>
        <v/>
      </c>
      <c r="AM1641">
        <f>IFERROR(SUMIFS(T_SelfStock[Self_Qty],T_SelfStock[RM_Code],$A1628,T_SelfStock[WeekIndex],35),"")</f>
        <v/>
      </c>
      <c r="AN1641">
        <f>IFERROR(SUMIFS(T_SelfStock[Self_Qty],T_SelfStock[RM_Code],$A1628,T_SelfStock[WeekIndex],36),"")</f>
        <v/>
      </c>
      <c r="AO1641">
        <f>IFERROR(SUMIFS(T_SelfStock[Self_Qty],T_SelfStock[RM_Code],$A1628,T_SelfStock[WeekIndex],37),"")</f>
        <v/>
      </c>
      <c r="AP1641">
        <f>IFERROR(SUMIFS(T_SelfStock[Self_Qty],T_SelfStock[RM_Code],$A1628,T_SelfStock[WeekIndex],38),"")</f>
        <v/>
      </c>
      <c r="AQ1641">
        <f>IFERROR(SUMIFS(T_SelfStock[Self_Qty],T_SelfStock[RM_Code],$A1628,T_SelfStock[WeekIndex],39),"")</f>
        <v/>
      </c>
      <c r="AR1641">
        <f>IFERROR(SUMIFS(T_SelfStock[Self_Qty],T_SelfStock[RM_Code],$A1628,T_SelfStock[WeekIndex],40),"")</f>
        <v/>
      </c>
      <c r="AS1641">
        <f>IFERROR(SUMIFS(T_SelfStock[Self_Qty],T_SelfStock[RM_Code],$A1628,T_SelfStock[WeekIndex],41),"")</f>
        <v/>
      </c>
      <c r="AT1641">
        <f>IFERROR(SUMIFS(T_SelfStock[Self_Qty],T_SelfStock[RM_Code],$A1628,T_SelfStock[WeekIndex],42),"")</f>
        <v/>
      </c>
      <c r="AU1641">
        <f>IFERROR(SUMIFS(T_SelfStock[Self_Qty],T_SelfStock[RM_Code],$A1628,T_SelfStock[WeekIndex],43),"")</f>
        <v/>
      </c>
      <c r="AV1641">
        <f>IFERROR(SUMIFS(T_SelfStock[Self_Qty],T_SelfStock[RM_Code],$A1628,T_SelfStock[WeekIndex],44),"")</f>
        <v/>
      </c>
      <c r="AW1641">
        <f>IFERROR(SUMIFS(T_SelfStock[Self_Qty],T_SelfStock[RM_Code],$A1628,T_SelfStock[WeekIndex],45),"")</f>
        <v/>
      </c>
      <c r="AX1641">
        <f>IFERROR(SUMIFS(T_SelfStock[Self_Qty],T_SelfStock[RM_Code],$A1628,T_SelfStock[WeekIndex],46),"")</f>
        <v/>
      </c>
      <c r="AY1641">
        <f>IFERROR(SUMIFS(T_SelfStock[Self_Qty],T_SelfStock[RM_Code],$A1628,T_SelfStock[WeekIndex],47),"")</f>
        <v/>
      </c>
      <c r="AZ1641">
        <f>IFERROR(SUMIFS(T_SelfStock[Self_Qty],T_SelfStock[RM_Code],$A1628,T_SelfStock[WeekIndex],48),"")</f>
        <v/>
      </c>
      <c r="BA1641">
        <f>IFERROR(SUMIFS(T_SelfStock[Self_Qty],T_SelfStock[RM_Code],$A1628,T_SelfStock[WeekIndex],49),"")</f>
        <v/>
      </c>
      <c r="BB1641">
        <f>IFERROR(SUMIFS(T_SelfStock[Self_Qty],T_SelfStock[RM_Code],$A1628,T_SelfStock[WeekIndex],50),"")</f>
        <v/>
      </c>
      <c r="BC1641">
        <f>IFERROR(SUMIFS(T_SelfStock[Self_Qty],T_SelfStock[RM_Code],$A1628,T_SelfStock[WeekIndex],51),"")</f>
        <v/>
      </c>
      <c r="BD1641">
        <f>IFERROR(SUMIFS(T_SelfStock[Self_Qty],T_SelfStock[RM_Code],$A1628,T_SelfStock[WeekIndex],52),"")</f>
        <v/>
      </c>
      <c r="BE1641">
        <f>IFERROR(SUMIFS(T_SelfStock[Self_Qty],T_SelfStock[RM_Code],$A1628,T_SelfStock[WeekIndex],53),"")</f>
        <v/>
      </c>
      <c r="BF1641">
        <f>IFERROR(SUMIFS(T_SelfStock[Self_Qty],T_SelfStock[RM_Code],$A1628,T_SelfStock[WeekIndex],54),"")</f>
        <v/>
      </c>
      <c r="BG1641">
        <f>IFERROR(SUMIFS(T_SelfStock[Self_Qty],T_SelfStock[RM_Code],$A1628,T_SelfStock[WeekIndex],55),"")</f>
        <v/>
      </c>
      <c r="BH1641">
        <f>IFERROR(SUMIFS(T_SelfStock[Self_Qty],T_SelfStock[RM_Code],$A1628,T_SelfStock[WeekIndex],56),"")</f>
        <v/>
      </c>
      <c r="BI1641">
        <f>IFERROR(SUMIFS(T_SelfStock[Self_Qty],T_SelfStock[RM_Code],$A1628,T_SelfStock[WeekIndex],57),"")</f>
        <v/>
      </c>
      <c r="BJ1641">
        <f>IFERROR(SUMIFS(T_SelfStock[Self_Qty],T_SelfStock[RM_Code],$A1628,T_SelfStock[WeekIndex],58),"")</f>
        <v/>
      </c>
      <c r="BK1641">
        <f>IFERROR(SUMIFS(T_SelfStock[Self_Qty],T_SelfStock[RM_Code],$A1628,T_SelfStock[WeekIndex],59),"")</f>
        <v/>
      </c>
      <c r="BL1641">
        <f>IFERROR(SUMIFS(T_SelfStock[Self_Qty],T_SelfStock[RM_Code],$A1628,T_SelfStock[WeekIndex],60),"")</f>
        <v/>
      </c>
      <c r="BM1641">
        <f>IFERROR(SUMIFS(T_SelfStock[Self_Qty],T_SelfStock[RM_Code],$A1628,T_SelfStock[WeekIndex],61),"")</f>
        <v/>
      </c>
      <c r="BN1641">
        <f>IFERROR(SUMIFS(T_SelfStock[Self_Qty],T_SelfStock[RM_Code],$A1628,T_SelfStock[WeekIndex],62),"")</f>
        <v/>
      </c>
      <c r="BO1641">
        <f>IFERROR(SUMIFS(T_SelfStock[Self_Qty],T_SelfStock[RM_Code],$A1628,T_SelfStock[WeekIndex],63),"")</f>
        <v/>
      </c>
      <c r="BP1641">
        <f>IFERROR(SUMIFS(T_SelfStock[Self_Qty],T_SelfStock[RM_Code],$A1628,T_SelfStock[WeekIndex],64),"")</f>
        <v/>
      </c>
      <c r="BQ1641">
        <f>IFERROR(SUMIFS(T_SelfStock[Self_Qty],T_SelfStock[RM_Code],$A1628,T_SelfStock[WeekIndex],65),"")</f>
        <v/>
      </c>
      <c r="BR1641">
        <f>IFERROR(SUMIFS(T_SelfStock[Self_Qty],T_SelfStock[RM_Code],$A1628,T_SelfStock[WeekIndex],66),"")</f>
        <v/>
      </c>
      <c r="BS1641">
        <f>IFERROR(SUMIFS(T_SelfStock[Self_Qty],T_SelfStock[RM_Code],$A1628,T_SelfStock[WeekIndex],67),"")</f>
        <v/>
      </c>
      <c r="BT1641">
        <f>IFERROR(SUMIFS(T_SelfStock[Self_Qty],T_SelfStock[RM_Code],$A1628,T_SelfStock[WeekIndex],68),"")</f>
        <v/>
      </c>
      <c r="BU1641">
        <f>IFERROR(SUMIFS(T_SelfStock[Self_Qty],T_SelfStock[RM_Code],$A1628,T_SelfStock[WeekIndex],69),"")</f>
        <v/>
      </c>
      <c r="BV1641">
        <f>IFERROR(SUMIFS(T_SelfStock[Self_Qty],T_SelfStock[RM_Code],$A1628,T_SelfStock[WeekIndex],70),"")</f>
        <v/>
      </c>
      <c r="BW1641">
        <f>IFERROR(SUMIFS(T_SelfStock[Self_Qty],T_SelfStock[RM_Code],$A1628,T_SelfStock[WeekIndex],71),"")</f>
        <v/>
      </c>
      <c r="BX1641">
        <f>IFERROR(SUMIFS(T_SelfStock[Self_Qty],T_SelfStock[RM_Code],$A1628,T_SelfStock[WeekIndex],72),"")</f>
        <v/>
      </c>
      <c r="BY1641">
        <f>IFERROR(SUMIFS(T_SelfStock[Self_Qty],T_SelfStock[RM_Code],$A1628,T_SelfStock[WeekIndex],73),"")</f>
        <v/>
      </c>
      <c r="BZ1641">
        <f>IFERROR(SUMIFS(T_SelfStock[Self_Qty],T_SelfStock[RM_Code],$A1628,T_SelfStock[WeekIndex],74),"")</f>
        <v/>
      </c>
      <c r="CA1641">
        <f>IFERROR(SUMIFS(T_SelfStock[Self_Qty],T_SelfStock[RM_Code],$A1628,T_SelfStock[WeekIndex],75),"")</f>
        <v/>
      </c>
      <c r="CB1641">
        <f>IFERROR(SUMIFS(T_SelfStock[Self_Qty],T_SelfStock[RM_Code],$A1628,T_SelfStock[WeekIndex],76),"")</f>
        <v/>
      </c>
      <c r="CC1641">
        <f>IFERROR(SUMIFS(T_SelfStock[Self_Qty],T_SelfStock[RM_Code],$A1628,T_SelfStock[WeekIndex],77),"")</f>
        <v/>
      </c>
      <c r="CD1641">
        <f>IFERROR(SUMIFS(T_SelfStock[Self_Qty],T_SelfStock[RM_Code],$A1628,T_SelfStock[WeekIndex],78),"")</f>
        <v/>
      </c>
      <c r="CE1641">
        <f>IFERROR(SUMIFS(T_SelfStock[Self_Qty],T_SelfStock[RM_Code],$A1628,T_SelfStock[WeekIndex],79),"")</f>
        <v/>
      </c>
      <c r="CF1641">
        <f>IFERROR(SUMIFS(T_SelfStock[Self_Qty],T_SelfStock[RM_Code],$A1628,T_SelfStock[WeekIndex],80),"")</f>
        <v/>
      </c>
      <c r="CG1641">
        <f>IFERROR(SUMIFS(T_SelfStock[Self_Qty],T_SelfStock[RM_Code],$A1628,T_SelfStock[WeekIndex],81),"")</f>
        <v/>
      </c>
      <c r="CH1641">
        <f>IFERROR(SUMIFS(T_SelfStock[Self_Qty],T_SelfStock[RM_Code],$A1628,T_SelfStock[WeekIndex],82),"")</f>
        <v/>
      </c>
      <c r="CI1641">
        <f>IFERROR(SUMIFS(T_SelfStock[Self_Qty],T_SelfStock[RM_Code],$A1628,T_SelfStock[WeekIndex],83),"")</f>
        <v/>
      </c>
      <c r="CJ1641">
        <f>IFERROR(SUMIFS(T_SelfStock[Self_Qty],T_SelfStock[RM_Code],$A1628,T_SelfStock[WeekIndex],84),"")</f>
        <v/>
      </c>
      <c r="CK1641">
        <f>IFERROR(SUMIFS(T_SelfStock[Self_Qty],T_SelfStock[RM_Code],$A1628,T_SelfStock[WeekIndex],85),"")</f>
        <v/>
      </c>
      <c r="CL1641">
        <f>IFERROR(SUMIFS(T_SelfStock[Self_Qty],T_SelfStock[RM_Code],$A1628,T_SelfStock[WeekIndex],86),"")</f>
        <v/>
      </c>
      <c r="CM1641">
        <f>IFERROR(SUMIFS(T_SelfStock[Self_Qty],T_SelfStock[RM_Code],$A1628,T_SelfStock[WeekIndex],87),"")</f>
        <v/>
      </c>
      <c r="CN1641">
        <f>IFERROR(SUMIFS(T_SelfStock[Self_Qty],T_SelfStock[RM_Code],$A1628,T_SelfStock[WeekIndex],88),"")</f>
        <v/>
      </c>
      <c r="CO1641">
        <f>IFERROR(SUMIFS(T_SelfStock[Self_Qty],T_SelfStock[RM_Code],$A1628,T_SelfStock[WeekIndex],89),"")</f>
        <v/>
      </c>
      <c r="CP1641">
        <f>IFERROR(SUMIFS(T_SelfStock[Self_Qty],T_SelfStock[RM_Code],$A1628,T_SelfStock[WeekIndex],90),"")</f>
        <v/>
      </c>
      <c r="CQ1641">
        <f>IFERROR(SUMIFS(T_SelfStock[Self_Qty],T_SelfStock[RM_Code],$A1628,T_SelfStock[WeekIndex],91),"")</f>
        <v/>
      </c>
      <c r="CR1641">
        <f>IFERROR(SUMIFS(T_SelfStock[Self_Qty],T_SelfStock[RM_Code],$A1628,T_SelfStock[WeekIndex],92),"")</f>
        <v/>
      </c>
      <c r="CS1641">
        <f>IFERROR(SUMIFS(T_SelfStock[Self_Qty],T_SelfStock[RM_Code],$A1628,T_SelfStock[WeekIndex],93),"")</f>
        <v/>
      </c>
      <c r="CT1641">
        <f>IFERROR(SUMIFS(T_SelfStock[Self_Qty],T_SelfStock[RM_Code],$A1628,T_SelfStock[WeekIndex],94),"")</f>
        <v/>
      </c>
      <c r="CU1641">
        <f>IFERROR(SUMIFS(T_SelfStock[Self_Qty],T_SelfStock[RM_Code],$A1628,T_SelfStock[WeekIndex],95),"")</f>
        <v/>
      </c>
      <c r="CV1641">
        <f>IFERROR(SUMIFS(T_SelfStock[Self_Qty],T_SelfStock[RM_Code],$A1628,T_SelfStock[WeekIndex],96),"")</f>
        <v/>
      </c>
      <c r="CW1641">
        <f>IFERROR(SUMIFS(T_SelfStock[Self_Qty],T_SelfStock[RM_Code],$A1628,T_SelfStock[WeekIndex],97),"")</f>
        <v/>
      </c>
      <c r="CX1641">
        <f>IFERROR(SUMIFS(T_SelfStock[Self_Qty],T_SelfStock[RM_Code],$A1628,T_SelfStock[WeekIndex],98),"")</f>
        <v/>
      </c>
      <c r="CY1641">
        <f>IFERROR(SUMIFS(T_SelfStock[Self_Qty],T_SelfStock[RM_Code],$A1628,T_SelfStock[WeekIndex],99),"")</f>
        <v/>
      </c>
      <c r="CZ1641">
        <f>IFERROR(SUMIFS(T_SelfStock[Self_Qty],T_SelfStock[RM_Code],$A1628,T_SelfStock[WeekIndex],100),"")</f>
        <v/>
      </c>
      <c r="DA1641">
        <f>IFERROR(SUMIFS(T_SelfStock[Self_Qty],T_SelfStock[RM_Code],$A1628,T_SelfStock[WeekIndex],101),"")</f>
        <v/>
      </c>
      <c r="DB1641">
        <f>IFERROR(SUMIFS(T_SelfStock[Self_Qty],T_SelfStock[RM_Code],$A1628,T_SelfStock[WeekIndex],102),"")</f>
        <v/>
      </c>
      <c r="DC1641">
        <f>IFERROR(SUMIFS(T_SelfStock[Self_Qty],T_SelfStock[RM_Code],$A1628,T_SelfStock[WeekIndex],103),"")</f>
        <v/>
      </c>
      <c r="DD1641">
        <f>IFERROR(SUMIFS(T_SelfStock[Self_Qty],T_SelfStock[RM_Code],$A1628,T_SelfStock[WeekIndex],104),"")</f>
        <v/>
      </c>
    </row>
    <row r="1642">
      <c r="B1642" s="4" t="inlineStr">
        <is>
          <t>合計在庫(週末時点,kg)</t>
        </is>
      </c>
      <c r="D1642" s="24">
        <f>IFERROR(INDEX(E1642:DD1642,$F$1),"")</f>
        <v/>
      </c>
      <c r="E1642">
        <f>'Grid_Stock'!B94</f>
        <v/>
      </c>
      <c r="F1642">
        <f>'Grid_Stock'!C94</f>
        <v/>
      </c>
      <c r="G1642">
        <f>'Grid_Stock'!D94</f>
        <v/>
      </c>
      <c r="H1642">
        <f>'Grid_Stock'!E94</f>
        <v/>
      </c>
      <c r="I1642">
        <f>'Grid_Stock'!F94</f>
        <v/>
      </c>
      <c r="J1642">
        <f>'Grid_Stock'!G94</f>
        <v/>
      </c>
      <c r="K1642">
        <f>'Grid_Stock'!H94</f>
        <v/>
      </c>
      <c r="L1642">
        <f>'Grid_Stock'!I94</f>
        <v/>
      </c>
      <c r="M1642">
        <f>'Grid_Stock'!J94</f>
        <v/>
      </c>
      <c r="N1642">
        <f>'Grid_Stock'!K94</f>
        <v/>
      </c>
      <c r="O1642">
        <f>'Grid_Stock'!L94</f>
        <v/>
      </c>
      <c r="P1642">
        <f>'Grid_Stock'!M94</f>
        <v/>
      </c>
      <c r="Q1642">
        <f>'Grid_Stock'!N94</f>
        <v/>
      </c>
      <c r="R1642">
        <f>'Grid_Stock'!O94</f>
        <v/>
      </c>
      <c r="S1642">
        <f>'Grid_Stock'!P94</f>
        <v/>
      </c>
      <c r="T1642">
        <f>'Grid_Stock'!Q94</f>
        <v/>
      </c>
      <c r="U1642">
        <f>'Grid_Stock'!R94</f>
        <v/>
      </c>
      <c r="V1642">
        <f>'Grid_Stock'!S94</f>
        <v/>
      </c>
      <c r="W1642">
        <f>'Grid_Stock'!T94</f>
        <v/>
      </c>
      <c r="X1642">
        <f>'Grid_Stock'!U94</f>
        <v/>
      </c>
      <c r="Y1642">
        <f>'Grid_Stock'!V94</f>
        <v/>
      </c>
      <c r="Z1642">
        <f>'Grid_Stock'!W94</f>
        <v/>
      </c>
      <c r="AA1642">
        <f>'Grid_Stock'!X94</f>
        <v/>
      </c>
      <c r="AB1642">
        <f>'Grid_Stock'!Y94</f>
        <v/>
      </c>
      <c r="AC1642">
        <f>'Grid_Stock'!Z94</f>
        <v/>
      </c>
      <c r="AD1642">
        <f>'Grid_Stock'!AA94</f>
        <v/>
      </c>
      <c r="AE1642">
        <f>'Grid_Stock'!AB94</f>
        <v/>
      </c>
      <c r="AF1642">
        <f>'Grid_Stock'!AC94</f>
        <v/>
      </c>
      <c r="AG1642">
        <f>'Grid_Stock'!AD94</f>
        <v/>
      </c>
      <c r="AH1642">
        <f>'Grid_Stock'!AE94</f>
        <v/>
      </c>
      <c r="AI1642">
        <f>'Grid_Stock'!AF94</f>
        <v/>
      </c>
      <c r="AJ1642">
        <f>'Grid_Stock'!AG94</f>
        <v/>
      </c>
      <c r="AK1642">
        <f>'Grid_Stock'!AH94</f>
        <v/>
      </c>
      <c r="AL1642">
        <f>'Grid_Stock'!AI94</f>
        <v/>
      </c>
      <c r="AM1642">
        <f>'Grid_Stock'!AJ94</f>
        <v/>
      </c>
      <c r="AN1642">
        <f>'Grid_Stock'!AK94</f>
        <v/>
      </c>
      <c r="AO1642">
        <f>'Grid_Stock'!AL94</f>
        <v/>
      </c>
      <c r="AP1642">
        <f>'Grid_Stock'!AM94</f>
        <v/>
      </c>
      <c r="AQ1642">
        <f>'Grid_Stock'!AN94</f>
        <v/>
      </c>
      <c r="AR1642">
        <f>'Grid_Stock'!AO94</f>
        <v/>
      </c>
      <c r="AS1642">
        <f>'Grid_Stock'!AP94</f>
        <v/>
      </c>
      <c r="AT1642">
        <f>'Grid_Stock'!AQ94</f>
        <v/>
      </c>
      <c r="AU1642">
        <f>'Grid_Stock'!AR94</f>
        <v/>
      </c>
      <c r="AV1642">
        <f>'Grid_Stock'!AS94</f>
        <v/>
      </c>
      <c r="AW1642">
        <f>'Grid_Stock'!AT94</f>
        <v/>
      </c>
      <c r="AX1642">
        <f>'Grid_Stock'!AU94</f>
        <v/>
      </c>
      <c r="AY1642">
        <f>'Grid_Stock'!AV94</f>
        <v/>
      </c>
      <c r="AZ1642">
        <f>'Grid_Stock'!AW94</f>
        <v/>
      </c>
      <c r="BA1642">
        <f>'Grid_Stock'!AX94</f>
        <v/>
      </c>
      <c r="BB1642">
        <f>'Grid_Stock'!AY94</f>
        <v/>
      </c>
      <c r="BC1642">
        <f>'Grid_Stock'!AZ94</f>
        <v/>
      </c>
      <c r="BD1642">
        <f>'Grid_Stock'!BA94</f>
        <v/>
      </c>
      <c r="BE1642">
        <f>'Grid_Stock'!BB94</f>
        <v/>
      </c>
      <c r="BF1642">
        <f>'Grid_Stock'!BC94</f>
        <v/>
      </c>
      <c r="BG1642">
        <f>'Grid_Stock'!BD94</f>
        <v/>
      </c>
      <c r="BH1642">
        <f>'Grid_Stock'!BE94</f>
        <v/>
      </c>
      <c r="BI1642">
        <f>'Grid_Stock'!BF94</f>
        <v/>
      </c>
      <c r="BJ1642">
        <f>'Grid_Stock'!BG94</f>
        <v/>
      </c>
      <c r="BK1642">
        <f>'Grid_Stock'!BH94</f>
        <v/>
      </c>
      <c r="BL1642">
        <f>'Grid_Stock'!BI94</f>
        <v/>
      </c>
      <c r="BM1642">
        <f>'Grid_Stock'!BJ94</f>
        <v/>
      </c>
      <c r="BN1642">
        <f>'Grid_Stock'!BK94</f>
        <v/>
      </c>
      <c r="BO1642">
        <f>'Grid_Stock'!BL94</f>
        <v/>
      </c>
      <c r="BP1642">
        <f>'Grid_Stock'!BM94</f>
        <v/>
      </c>
      <c r="BQ1642">
        <f>'Grid_Stock'!BN94</f>
        <v/>
      </c>
      <c r="BR1642">
        <f>'Grid_Stock'!BO94</f>
        <v/>
      </c>
      <c r="BS1642">
        <f>'Grid_Stock'!BP94</f>
        <v/>
      </c>
      <c r="BT1642">
        <f>'Grid_Stock'!BQ94</f>
        <v/>
      </c>
      <c r="BU1642">
        <f>'Grid_Stock'!BR94</f>
        <v/>
      </c>
      <c r="BV1642">
        <f>'Grid_Stock'!BS94</f>
        <v/>
      </c>
      <c r="BW1642">
        <f>'Grid_Stock'!BT94</f>
        <v/>
      </c>
      <c r="BX1642">
        <f>'Grid_Stock'!BU94</f>
        <v/>
      </c>
      <c r="BY1642">
        <f>'Grid_Stock'!BV94</f>
        <v/>
      </c>
      <c r="BZ1642">
        <f>'Grid_Stock'!BW94</f>
        <v/>
      </c>
      <c r="CA1642">
        <f>'Grid_Stock'!BX94</f>
        <v/>
      </c>
      <c r="CB1642">
        <f>'Grid_Stock'!BY94</f>
        <v/>
      </c>
      <c r="CC1642">
        <f>'Grid_Stock'!BZ94</f>
        <v/>
      </c>
      <c r="CD1642">
        <f>'Grid_Stock'!CA94</f>
        <v/>
      </c>
      <c r="CE1642">
        <f>'Grid_Stock'!CB94</f>
        <v/>
      </c>
      <c r="CF1642">
        <f>'Grid_Stock'!CC94</f>
        <v/>
      </c>
      <c r="CG1642">
        <f>'Grid_Stock'!CD94</f>
        <v/>
      </c>
      <c r="CH1642">
        <f>'Grid_Stock'!CE94</f>
        <v/>
      </c>
      <c r="CI1642">
        <f>'Grid_Stock'!CF94</f>
        <v/>
      </c>
      <c r="CJ1642">
        <f>'Grid_Stock'!CG94</f>
        <v/>
      </c>
      <c r="CK1642">
        <f>'Grid_Stock'!CH94</f>
        <v/>
      </c>
      <c r="CL1642">
        <f>'Grid_Stock'!CI94</f>
        <v/>
      </c>
      <c r="CM1642">
        <f>'Grid_Stock'!CJ94</f>
        <v/>
      </c>
      <c r="CN1642">
        <f>'Grid_Stock'!CK94</f>
        <v/>
      </c>
      <c r="CO1642">
        <f>'Grid_Stock'!CL94</f>
        <v/>
      </c>
      <c r="CP1642">
        <f>'Grid_Stock'!CM94</f>
        <v/>
      </c>
      <c r="CQ1642">
        <f>'Grid_Stock'!CN94</f>
        <v/>
      </c>
      <c r="CR1642">
        <f>'Grid_Stock'!CO94</f>
        <v/>
      </c>
      <c r="CS1642">
        <f>'Grid_Stock'!CP94</f>
        <v/>
      </c>
      <c r="CT1642">
        <f>'Grid_Stock'!CQ94</f>
        <v/>
      </c>
      <c r="CU1642">
        <f>'Grid_Stock'!CR94</f>
        <v/>
      </c>
      <c r="CV1642">
        <f>'Grid_Stock'!CS94</f>
        <v/>
      </c>
      <c r="CW1642">
        <f>'Grid_Stock'!CT94</f>
        <v/>
      </c>
      <c r="CX1642">
        <f>'Grid_Stock'!CU94</f>
        <v/>
      </c>
      <c r="CY1642">
        <f>'Grid_Stock'!CV94</f>
        <v/>
      </c>
      <c r="CZ1642">
        <f>'Grid_Stock'!CW94</f>
        <v/>
      </c>
      <c r="DA1642">
        <f>'Grid_Stock'!CX94</f>
        <v/>
      </c>
      <c r="DB1642">
        <f>'Grid_Stock'!CY94</f>
        <v/>
      </c>
      <c r="DC1642">
        <f>'Grid_Stock'!CZ94</f>
        <v/>
      </c>
      <c r="DD1642">
        <f>'Grid_Stock'!DA94</f>
        <v/>
      </c>
    </row>
    <row r="1643">
      <c r="B1643" s="25" t="inlineStr">
        <is>
          <t>（発注の目安はDashboardの基準在庫[下限/上限]と色分けを参照）</t>
        </is>
      </c>
    </row>
    <row r="1645">
      <c r="A1645" s="21" t="inlineStr">
        <is>
          <t>CHEM-1770</t>
        </is>
      </c>
      <c r="B1645" s="21" t="inlineStr">
        <is>
          <t>RCT-39</t>
        </is>
      </c>
      <c r="C1645" s="22" t="n"/>
      <c r="D1645" s="21" t="n"/>
      <c r="E1645" s="21" t="n"/>
      <c r="F1645" s="21" t="n"/>
      <c r="G1645" s="21" t="n"/>
      <c r="H1645" s="21" t="n"/>
      <c r="I1645" s="21" t="n"/>
      <c r="J1645" s="21" t="n"/>
      <c r="K1645" s="21" t="n"/>
      <c r="L1645" s="21" t="n"/>
      <c r="M1645" s="21" t="n"/>
      <c r="N1645" s="21" t="n"/>
      <c r="O1645" s="21" t="n"/>
      <c r="P1645" s="21" t="n"/>
      <c r="Q1645" s="21" t="n"/>
      <c r="R1645" s="21" t="n"/>
      <c r="S1645" s="21" t="n"/>
      <c r="T1645" s="21" t="n"/>
      <c r="U1645" s="21" t="n"/>
      <c r="V1645" s="21" t="n"/>
      <c r="W1645" s="21" t="n"/>
      <c r="X1645" s="21" t="n"/>
      <c r="Y1645" s="21" t="n"/>
      <c r="Z1645" s="21" t="n"/>
      <c r="AA1645" s="21" t="n"/>
      <c r="AB1645" s="21" t="n"/>
      <c r="AC1645" s="21" t="n"/>
      <c r="AD1645" s="21" t="n"/>
      <c r="AE1645" s="21" t="n"/>
      <c r="AF1645" s="21" t="n"/>
      <c r="AG1645" s="21" t="n"/>
      <c r="AH1645" s="21" t="n"/>
      <c r="AI1645" s="21" t="n"/>
      <c r="AJ1645" s="21" t="n"/>
      <c r="AK1645" s="21" t="n"/>
      <c r="AL1645" s="21" t="n"/>
      <c r="AM1645" s="21" t="n"/>
      <c r="AN1645" s="21" t="n"/>
      <c r="AO1645" s="21" t="n"/>
      <c r="AP1645" s="21" t="n"/>
      <c r="AQ1645" s="21" t="n"/>
      <c r="AR1645" s="21" t="n"/>
      <c r="AS1645" s="21" t="n"/>
      <c r="AT1645" s="21" t="n"/>
      <c r="AU1645" s="21" t="n"/>
      <c r="AV1645" s="21" t="n"/>
      <c r="AW1645" s="21" t="n"/>
      <c r="AX1645" s="21" t="n"/>
      <c r="AY1645" s="21" t="n"/>
      <c r="AZ1645" s="21" t="n"/>
      <c r="BA1645" s="21" t="n"/>
      <c r="BB1645" s="21" t="n"/>
      <c r="BC1645" s="21" t="n"/>
      <c r="BD1645" s="21" t="n"/>
      <c r="BE1645" s="21" t="n"/>
      <c r="BF1645" s="21" t="n"/>
      <c r="BG1645" s="21" t="n"/>
      <c r="BH1645" s="21" t="n"/>
      <c r="BI1645" s="21" t="n"/>
      <c r="BJ1645" s="21" t="n"/>
      <c r="BK1645" s="21" t="n"/>
      <c r="BL1645" s="21" t="n"/>
      <c r="BM1645" s="21" t="n"/>
      <c r="BN1645" s="21" t="n"/>
      <c r="BO1645" s="21" t="n"/>
      <c r="BP1645" s="21" t="n"/>
      <c r="BQ1645" s="21" t="n"/>
      <c r="BR1645" s="21" t="n"/>
      <c r="BS1645" s="21" t="n"/>
      <c r="BT1645" s="21" t="n"/>
      <c r="BU1645" s="21" t="n"/>
      <c r="BV1645" s="21" t="n"/>
      <c r="BW1645" s="21" t="n"/>
      <c r="BX1645" s="21" t="n"/>
      <c r="BY1645" s="21" t="n"/>
      <c r="BZ1645" s="21" t="n"/>
      <c r="CA1645" s="21" t="n"/>
      <c r="CB1645" s="21" t="n"/>
      <c r="CC1645" s="21" t="n"/>
      <c r="CD1645" s="21" t="n"/>
      <c r="CE1645" s="21" t="n"/>
      <c r="CF1645" s="21" t="n"/>
      <c r="CG1645" s="21" t="n"/>
      <c r="CH1645" s="21" t="n"/>
      <c r="CI1645" s="21" t="n"/>
      <c r="CJ1645" s="21" t="n"/>
      <c r="CK1645" s="21" t="n"/>
      <c r="CL1645" s="21" t="n"/>
      <c r="CM1645" s="21" t="n"/>
      <c r="CN1645" s="21" t="n"/>
      <c r="CO1645" s="21" t="n"/>
      <c r="CP1645" s="21" t="n"/>
      <c r="CQ1645" s="21" t="n"/>
      <c r="CR1645" s="21" t="n"/>
      <c r="CS1645" s="21" t="n"/>
      <c r="CT1645" s="21" t="n"/>
      <c r="CU1645" s="21" t="n"/>
      <c r="CV1645" s="21" t="n"/>
      <c r="CW1645" s="21" t="n"/>
      <c r="CX1645" s="21" t="n"/>
      <c r="CY1645" s="21" t="n"/>
      <c r="CZ1645" s="21" t="n"/>
      <c r="DA1645" s="21" t="n"/>
      <c r="DB1645" s="21" t="n"/>
      <c r="DC1645" s="21" t="n"/>
      <c r="DD1645" s="21" t="n"/>
    </row>
    <row r="1646">
      <c r="B1646" t="inlineStr">
        <is>
          <t>TPP-635</t>
        </is>
      </c>
      <c r="C1646" t="inlineStr">
        <is>
          <t>No. of batches</t>
        </is>
      </c>
      <c r="D1646">
        <f>IFERROR(INDEX(E1646:DD1646,$F$1),"")</f>
        <v/>
      </c>
      <c r="E1646">
        <f>IFERROR(INDEX(PP_Grid[#Data],$DE1646,2),0)</f>
        <v/>
      </c>
      <c r="F1646">
        <f>IFERROR(INDEX(PP_Grid[#Data],$DE1646,3),0)</f>
        <v/>
      </c>
      <c r="G1646">
        <f>IFERROR(INDEX(PP_Grid[#Data],$DE1646,4),0)</f>
        <v/>
      </c>
      <c r="H1646">
        <f>IFERROR(INDEX(PP_Grid[#Data],$DE1646,5),0)</f>
        <v/>
      </c>
      <c r="I1646">
        <f>IFERROR(INDEX(PP_Grid[#Data],$DE1646,6),0)</f>
        <v/>
      </c>
      <c r="J1646">
        <f>IFERROR(INDEX(PP_Grid[#Data],$DE1646,7),0)</f>
        <v/>
      </c>
      <c r="K1646">
        <f>IFERROR(INDEX(PP_Grid[#Data],$DE1646,8),0)</f>
        <v/>
      </c>
      <c r="L1646">
        <f>IFERROR(INDEX(PP_Grid[#Data],$DE1646,9),0)</f>
        <v/>
      </c>
      <c r="M1646">
        <f>IFERROR(INDEX(PP_Grid[#Data],$DE1646,10),0)</f>
        <v/>
      </c>
      <c r="N1646">
        <f>IFERROR(INDEX(PP_Grid[#Data],$DE1646,11),0)</f>
        <v/>
      </c>
      <c r="O1646">
        <f>IFERROR(INDEX(PP_Grid[#Data],$DE1646,12),0)</f>
        <v/>
      </c>
      <c r="P1646">
        <f>IFERROR(INDEX(PP_Grid[#Data],$DE1646,13),0)</f>
        <v/>
      </c>
      <c r="Q1646">
        <f>IFERROR(INDEX(PP_Grid[#Data],$DE1646,14),0)</f>
        <v/>
      </c>
      <c r="R1646">
        <f>IFERROR(INDEX(PP_Grid[#Data],$DE1646,15),0)</f>
        <v/>
      </c>
      <c r="S1646">
        <f>IFERROR(INDEX(PP_Grid[#Data],$DE1646,16),0)</f>
        <v/>
      </c>
      <c r="T1646">
        <f>IFERROR(INDEX(PP_Grid[#Data],$DE1646,17),0)</f>
        <v/>
      </c>
      <c r="U1646">
        <f>IFERROR(INDEX(PP_Grid[#Data],$DE1646,18),0)</f>
        <v/>
      </c>
      <c r="V1646">
        <f>IFERROR(INDEX(PP_Grid[#Data],$DE1646,19),0)</f>
        <v/>
      </c>
      <c r="W1646">
        <f>IFERROR(INDEX(PP_Grid[#Data],$DE1646,20),0)</f>
        <v/>
      </c>
      <c r="X1646">
        <f>IFERROR(INDEX(PP_Grid[#Data],$DE1646,21),0)</f>
        <v/>
      </c>
      <c r="Y1646">
        <f>IFERROR(INDEX(PP_Grid[#Data],$DE1646,22),0)</f>
        <v/>
      </c>
      <c r="Z1646">
        <f>IFERROR(INDEX(PP_Grid[#Data],$DE1646,23),0)</f>
        <v/>
      </c>
      <c r="AA1646">
        <f>IFERROR(INDEX(PP_Grid[#Data],$DE1646,24),0)</f>
        <v/>
      </c>
      <c r="AB1646">
        <f>IFERROR(INDEX(PP_Grid[#Data],$DE1646,25),0)</f>
        <v/>
      </c>
      <c r="AC1646">
        <f>IFERROR(INDEX(PP_Grid[#Data],$DE1646,26),0)</f>
        <v/>
      </c>
      <c r="AD1646">
        <f>IFERROR(INDEX(PP_Grid[#Data],$DE1646,27),0)</f>
        <v/>
      </c>
      <c r="AE1646">
        <f>IFERROR(INDEX(PP_Grid[#Data],$DE1646,28),0)</f>
        <v/>
      </c>
      <c r="AF1646">
        <f>IFERROR(INDEX(PP_Grid[#Data],$DE1646,29),0)</f>
        <v/>
      </c>
      <c r="AG1646">
        <f>IFERROR(INDEX(PP_Grid[#Data],$DE1646,30),0)</f>
        <v/>
      </c>
      <c r="AH1646">
        <f>IFERROR(INDEX(PP_Grid[#Data],$DE1646,31),0)</f>
        <v/>
      </c>
      <c r="AI1646">
        <f>IFERROR(INDEX(PP_Grid[#Data],$DE1646,32),0)</f>
        <v/>
      </c>
      <c r="AJ1646">
        <f>IFERROR(INDEX(PP_Grid[#Data],$DE1646,33),0)</f>
        <v/>
      </c>
      <c r="AK1646">
        <f>IFERROR(INDEX(PP_Grid[#Data],$DE1646,34),0)</f>
        <v/>
      </c>
      <c r="AL1646">
        <f>IFERROR(INDEX(PP_Grid[#Data],$DE1646,35),0)</f>
        <v/>
      </c>
      <c r="AM1646">
        <f>IFERROR(INDEX(PP_Grid[#Data],$DE1646,36),0)</f>
        <v/>
      </c>
      <c r="AN1646">
        <f>IFERROR(INDEX(PP_Grid[#Data],$DE1646,37),0)</f>
        <v/>
      </c>
      <c r="AO1646">
        <f>IFERROR(INDEX(PP_Grid[#Data],$DE1646,38),0)</f>
        <v/>
      </c>
      <c r="AP1646">
        <f>IFERROR(INDEX(PP_Grid[#Data],$DE1646,39),0)</f>
        <v/>
      </c>
      <c r="AQ1646">
        <f>IFERROR(INDEX(PP_Grid[#Data],$DE1646,40),0)</f>
        <v/>
      </c>
      <c r="AR1646">
        <f>IFERROR(INDEX(PP_Grid[#Data],$DE1646,41),0)</f>
        <v/>
      </c>
      <c r="AS1646">
        <f>IFERROR(INDEX(PP_Grid[#Data],$DE1646,42),0)</f>
        <v/>
      </c>
      <c r="AT1646">
        <f>IFERROR(INDEX(PP_Grid[#Data],$DE1646,43),0)</f>
        <v/>
      </c>
      <c r="AU1646">
        <f>IFERROR(INDEX(PP_Grid[#Data],$DE1646,44),0)</f>
        <v/>
      </c>
      <c r="AV1646">
        <f>IFERROR(INDEX(PP_Grid[#Data],$DE1646,45),0)</f>
        <v/>
      </c>
      <c r="AW1646">
        <f>IFERROR(INDEX(PP_Grid[#Data],$DE1646,46),0)</f>
        <v/>
      </c>
      <c r="AX1646">
        <f>IFERROR(INDEX(PP_Grid[#Data],$DE1646,47),0)</f>
        <v/>
      </c>
      <c r="AY1646">
        <f>IFERROR(INDEX(PP_Grid[#Data],$DE1646,48),0)</f>
        <v/>
      </c>
      <c r="AZ1646">
        <f>IFERROR(INDEX(PP_Grid[#Data],$DE1646,49),0)</f>
        <v/>
      </c>
      <c r="BA1646">
        <f>IFERROR(INDEX(PP_Grid[#Data],$DE1646,50),0)</f>
        <v/>
      </c>
      <c r="BB1646">
        <f>IFERROR(INDEX(PP_Grid[#Data],$DE1646,51),0)</f>
        <v/>
      </c>
      <c r="BC1646">
        <f>IFERROR(INDEX(PP_Grid[#Data],$DE1646,52),0)</f>
        <v/>
      </c>
      <c r="BD1646">
        <f>IFERROR(INDEX(PP_Grid[#Data],$DE1646,53),0)</f>
        <v/>
      </c>
      <c r="BE1646">
        <f>IFERROR(INDEX(PP_Grid[#Data],$DE1646,54),0)</f>
        <v/>
      </c>
      <c r="BF1646">
        <f>IFERROR(INDEX(PP_Grid[#Data],$DE1646,55),0)</f>
        <v/>
      </c>
      <c r="BG1646">
        <f>IFERROR(INDEX(PP_Grid[#Data],$DE1646,56),0)</f>
        <v/>
      </c>
      <c r="BH1646">
        <f>IFERROR(INDEX(PP_Grid[#Data],$DE1646,57),0)</f>
        <v/>
      </c>
      <c r="BI1646">
        <f>IFERROR(INDEX(PP_Grid[#Data],$DE1646,58),0)</f>
        <v/>
      </c>
      <c r="BJ1646">
        <f>IFERROR(INDEX(PP_Grid[#Data],$DE1646,59),0)</f>
        <v/>
      </c>
      <c r="BK1646">
        <f>IFERROR(INDEX(PP_Grid[#Data],$DE1646,60),0)</f>
        <v/>
      </c>
      <c r="BL1646">
        <f>IFERROR(INDEX(PP_Grid[#Data],$DE1646,61),0)</f>
        <v/>
      </c>
      <c r="BM1646">
        <f>IFERROR(INDEX(PP_Grid[#Data],$DE1646,62),0)</f>
        <v/>
      </c>
      <c r="BN1646">
        <f>IFERROR(INDEX(PP_Grid[#Data],$DE1646,63),0)</f>
        <v/>
      </c>
      <c r="BO1646">
        <f>IFERROR(INDEX(PP_Grid[#Data],$DE1646,64),0)</f>
        <v/>
      </c>
      <c r="BP1646">
        <f>IFERROR(INDEX(PP_Grid[#Data],$DE1646,65),0)</f>
        <v/>
      </c>
      <c r="BQ1646">
        <f>IFERROR(INDEX(PP_Grid[#Data],$DE1646,66),0)</f>
        <v/>
      </c>
      <c r="BR1646">
        <f>IFERROR(INDEX(PP_Grid[#Data],$DE1646,67),0)</f>
        <v/>
      </c>
      <c r="BS1646">
        <f>IFERROR(INDEX(PP_Grid[#Data],$DE1646,68),0)</f>
        <v/>
      </c>
      <c r="BT1646">
        <f>IFERROR(INDEX(PP_Grid[#Data],$DE1646,69),0)</f>
        <v/>
      </c>
      <c r="BU1646">
        <f>IFERROR(INDEX(PP_Grid[#Data],$DE1646,70),0)</f>
        <v/>
      </c>
      <c r="BV1646">
        <f>IFERROR(INDEX(PP_Grid[#Data],$DE1646,71),0)</f>
        <v/>
      </c>
      <c r="BW1646">
        <f>IFERROR(INDEX(PP_Grid[#Data],$DE1646,72),0)</f>
        <v/>
      </c>
      <c r="BX1646">
        <f>IFERROR(INDEX(PP_Grid[#Data],$DE1646,73),0)</f>
        <v/>
      </c>
      <c r="BY1646">
        <f>IFERROR(INDEX(PP_Grid[#Data],$DE1646,74),0)</f>
        <v/>
      </c>
      <c r="BZ1646">
        <f>IFERROR(INDEX(PP_Grid[#Data],$DE1646,75),0)</f>
        <v/>
      </c>
      <c r="CA1646">
        <f>IFERROR(INDEX(PP_Grid[#Data],$DE1646,76),0)</f>
        <v/>
      </c>
      <c r="CB1646">
        <f>IFERROR(INDEX(PP_Grid[#Data],$DE1646,77),0)</f>
        <v/>
      </c>
      <c r="CC1646">
        <f>IFERROR(INDEX(PP_Grid[#Data],$DE1646,78),0)</f>
        <v/>
      </c>
      <c r="CD1646">
        <f>IFERROR(INDEX(PP_Grid[#Data],$DE1646,79),0)</f>
        <v/>
      </c>
      <c r="CE1646">
        <f>IFERROR(INDEX(PP_Grid[#Data],$DE1646,80),0)</f>
        <v/>
      </c>
      <c r="CF1646">
        <f>IFERROR(INDEX(PP_Grid[#Data],$DE1646,81),0)</f>
        <v/>
      </c>
      <c r="CG1646">
        <f>IFERROR(INDEX(PP_Grid[#Data],$DE1646,82),0)</f>
        <v/>
      </c>
      <c r="CH1646">
        <f>IFERROR(INDEX(PP_Grid[#Data],$DE1646,83),0)</f>
        <v/>
      </c>
      <c r="CI1646">
        <f>IFERROR(INDEX(PP_Grid[#Data],$DE1646,84),0)</f>
        <v/>
      </c>
      <c r="CJ1646">
        <f>IFERROR(INDEX(PP_Grid[#Data],$DE1646,85),0)</f>
        <v/>
      </c>
      <c r="CK1646">
        <f>IFERROR(INDEX(PP_Grid[#Data],$DE1646,86),0)</f>
        <v/>
      </c>
      <c r="CL1646">
        <f>IFERROR(INDEX(PP_Grid[#Data],$DE1646,87),0)</f>
        <v/>
      </c>
      <c r="CM1646">
        <f>IFERROR(INDEX(PP_Grid[#Data],$DE1646,88),0)</f>
        <v/>
      </c>
      <c r="CN1646">
        <f>IFERROR(INDEX(PP_Grid[#Data],$DE1646,89),0)</f>
        <v/>
      </c>
      <c r="CO1646">
        <f>IFERROR(INDEX(PP_Grid[#Data],$DE1646,90),0)</f>
        <v/>
      </c>
      <c r="CP1646">
        <f>IFERROR(INDEX(PP_Grid[#Data],$DE1646,91),0)</f>
        <v/>
      </c>
      <c r="CQ1646">
        <f>IFERROR(INDEX(PP_Grid[#Data],$DE1646,92),0)</f>
        <v/>
      </c>
      <c r="CR1646">
        <f>IFERROR(INDEX(PP_Grid[#Data],$DE1646,93),0)</f>
        <v/>
      </c>
      <c r="CS1646">
        <f>IFERROR(INDEX(PP_Grid[#Data],$DE1646,94),0)</f>
        <v/>
      </c>
      <c r="CT1646">
        <f>IFERROR(INDEX(PP_Grid[#Data],$DE1646,95),0)</f>
        <v/>
      </c>
      <c r="CU1646">
        <f>IFERROR(INDEX(PP_Grid[#Data],$DE1646,96),0)</f>
        <v/>
      </c>
      <c r="CV1646">
        <f>IFERROR(INDEX(PP_Grid[#Data],$DE1646,97),0)</f>
        <v/>
      </c>
      <c r="CW1646">
        <f>IFERROR(INDEX(PP_Grid[#Data],$DE1646,98),0)</f>
        <v/>
      </c>
      <c r="CX1646">
        <f>IFERROR(INDEX(PP_Grid[#Data],$DE1646,99),0)</f>
        <v/>
      </c>
      <c r="CY1646">
        <f>IFERROR(INDEX(PP_Grid[#Data],$DE1646,100),0)</f>
        <v/>
      </c>
      <c r="CZ1646">
        <f>IFERROR(INDEX(PP_Grid[#Data],$DE1646,101),0)</f>
        <v/>
      </c>
      <c r="DA1646">
        <f>IFERROR(INDEX(PP_Grid[#Data],$DE1646,102),0)</f>
        <v/>
      </c>
      <c r="DB1646">
        <f>IFERROR(INDEX(PP_Grid[#Data],$DE1646,103),0)</f>
        <v/>
      </c>
      <c r="DC1646">
        <f>IFERROR(INDEX(PP_Grid[#Data],$DE1646,104),0)</f>
        <v/>
      </c>
      <c r="DD1646">
        <f>IFERROR(INDEX(PP_Grid[#Data],$DE1646,105),0)</f>
        <v/>
      </c>
      <c r="DE1646" s="7">
        <f>IFERROR(MATCH($B1646,PP_Grid[Intermediate],0),99999)</f>
        <v/>
      </c>
    </row>
    <row r="1647">
      <c r="B1647" t="inlineStr">
        <is>
          <t>使用量(kg)</t>
        </is>
      </c>
      <c r="C1647">
        <f>SUMIFS(M_BOM[RM_Qty_Per_Batch],M_BOM[Intermediate],$B1646,M_BOM[RM_Code],$A1645)</f>
        <v/>
      </c>
      <c r="D1647">
        <f>IFERROR(INDEX(E1647:DD1647,$F$1),"")</f>
        <v/>
      </c>
      <c r="E1647">
        <f>$C1647*E1646</f>
        <v/>
      </c>
      <c r="F1647">
        <f>$C1647*F1646</f>
        <v/>
      </c>
      <c r="G1647">
        <f>$C1647*G1646</f>
        <v/>
      </c>
      <c r="H1647">
        <f>$C1647*H1646</f>
        <v/>
      </c>
      <c r="I1647">
        <f>$C1647*I1646</f>
        <v/>
      </c>
      <c r="J1647">
        <f>$C1647*J1646</f>
        <v/>
      </c>
      <c r="K1647">
        <f>$C1647*K1646</f>
        <v/>
      </c>
      <c r="L1647">
        <f>$C1647*L1646</f>
        <v/>
      </c>
      <c r="M1647">
        <f>$C1647*M1646</f>
        <v/>
      </c>
      <c r="N1647">
        <f>$C1647*N1646</f>
        <v/>
      </c>
      <c r="O1647">
        <f>$C1647*O1646</f>
        <v/>
      </c>
      <c r="P1647">
        <f>$C1647*P1646</f>
        <v/>
      </c>
      <c r="Q1647">
        <f>$C1647*Q1646</f>
        <v/>
      </c>
      <c r="R1647">
        <f>$C1647*R1646</f>
        <v/>
      </c>
      <c r="S1647">
        <f>$C1647*S1646</f>
        <v/>
      </c>
      <c r="T1647">
        <f>$C1647*T1646</f>
        <v/>
      </c>
      <c r="U1647">
        <f>$C1647*U1646</f>
        <v/>
      </c>
      <c r="V1647">
        <f>$C1647*V1646</f>
        <v/>
      </c>
      <c r="W1647">
        <f>$C1647*W1646</f>
        <v/>
      </c>
      <c r="X1647">
        <f>$C1647*X1646</f>
        <v/>
      </c>
      <c r="Y1647">
        <f>$C1647*Y1646</f>
        <v/>
      </c>
      <c r="Z1647">
        <f>$C1647*Z1646</f>
        <v/>
      </c>
      <c r="AA1647">
        <f>$C1647*AA1646</f>
        <v/>
      </c>
      <c r="AB1647">
        <f>$C1647*AB1646</f>
        <v/>
      </c>
      <c r="AC1647">
        <f>$C1647*AC1646</f>
        <v/>
      </c>
      <c r="AD1647">
        <f>$C1647*AD1646</f>
        <v/>
      </c>
      <c r="AE1647">
        <f>$C1647*AE1646</f>
        <v/>
      </c>
      <c r="AF1647">
        <f>$C1647*AF1646</f>
        <v/>
      </c>
      <c r="AG1647">
        <f>$C1647*AG1646</f>
        <v/>
      </c>
      <c r="AH1647">
        <f>$C1647*AH1646</f>
        <v/>
      </c>
      <c r="AI1647">
        <f>$C1647*AI1646</f>
        <v/>
      </c>
      <c r="AJ1647">
        <f>$C1647*AJ1646</f>
        <v/>
      </c>
      <c r="AK1647">
        <f>$C1647*AK1646</f>
        <v/>
      </c>
      <c r="AL1647">
        <f>$C1647*AL1646</f>
        <v/>
      </c>
      <c r="AM1647">
        <f>$C1647*AM1646</f>
        <v/>
      </c>
      <c r="AN1647">
        <f>$C1647*AN1646</f>
        <v/>
      </c>
      <c r="AO1647">
        <f>$C1647*AO1646</f>
        <v/>
      </c>
      <c r="AP1647">
        <f>$C1647*AP1646</f>
        <v/>
      </c>
      <c r="AQ1647">
        <f>$C1647*AQ1646</f>
        <v/>
      </c>
      <c r="AR1647">
        <f>$C1647*AR1646</f>
        <v/>
      </c>
      <c r="AS1647">
        <f>$C1647*AS1646</f>
        <v/>
      </c>
      <c r="AT1647">
        <f>$C1647*AT1646</f>
        <v/>
      </c>
      <c r="AU1647">
        <f>$C1647*AU1646</f>
        <v/>
      </c>
      <c r="AV1647">
        <f>$C1647*AV1646</f>
        <v/>
      </c>
      <c r="AW1647">
        <f>$C1647*AW1646</f>
        <v/>
      </c>
      <c r="AX1647">
        <f>$C1647*AX1646</f>
        <v/>
      </c>
      <c r="AY1647">
        <f>$C1647*AY1646</f>
        <v/>
      </c>
      <c r="AZ1647">
        <f>$C1647*AZ1646</f>
        <v/>
      </c>
      <c r="BA1647">
        <f>$C1647*BA1646</f>
        <v/>
      </c>
      <c r="BB1647">
        <f>$C1647*BB1646</f>
        <v/>
      </c>
      <c r="BC1647">
        <f>$C1647*BC1646</f>
        <v/>
      </c>
      <c r="BD1647">
        <f>$C1647*BD1646</f>
        <v/>
      </c>
      <c r="BE1647">
        <f>$C1647*BE1646</f>
        <v/>
      </c>
      <c r="BF1647">
        <f>$C1647*BF1646</f>
        <v/>
      </c>
      <c r="BG1647">
        <f>$C1647*BG1646</f>
        <v/>
      </c>
      <c r="BH1647">
        <f>$C1647*BH1646</f>
        <v/>
      </c>
      <c r="BI1647">
        <f>$C1647*BI1646</f>
        <v/>
      </c>
      <c r="BJ1647">
        <f>$C1647*BJ1646</f>
        <v/>
      </c>
      <c r="BK1647">
        <f>$C1647*BK1646</f>
        <v/>
      </c>
      <c r="BL1647">
        <f>$C1647*BL1646</f>
        <v/>
      </c>
      <c r="BM1647">
        <f>$C1647*BM1646</f>
        <v/>
      </c>
      <c r="BN1647">
        <f>$C1647*BN1646</f>
        <v/>
      </c>
      <c r="BO1647">
        <f>$C1647*BO1646</f>
        <v/>
      </c>
      <c r="BP1647">
        <f>$C1647*BP1646</f>
        <v/>
      </c>
      <c r="BQ1647">
        <f>$C1647*BQ1646</f>
        <v/>
      </c>
      <c r="BR1647">
        <f>$C1647*BR1646</f>
        <v/>
      </c>
      <c r="BS1647">
        <f>$C1647*BS1646</f>
        <v/>
      </c>
      <c r="BT1647">
        <f>$C1647*BT1646</f>
        <v/>
      </c>
      <c r="BU1647">
        <f>$C1647*BU1646</f>
        <v/>
      </c>
      <c r="BV1647">
        <f>$C1647*BV1646</f>
        <v/>
      </c>
      <c r="BW1647">
        <f>$C1647*BW1646</f>
        <v/>
      </c>
      <c r="BX1647">
        <f>$C1647*BX1646</f>
        <v/>
      </c>
      <c r="BY1647">
        <f>$C1647*BY1646</f>
        <v/>
      </c>
      <c r="BZ1647">
        <f>$C1647*BZ1646</f>
        <v/>
      </c>
      <c r="CA1647">
        <f>$C1647*CA1646</f>
        <v/>
      </c>
      <c r="CB1647">
        <f>$C1647*CB1646</f>
        <v/>
      </c>
      <c r="CC1647">
        <f>$C1647*CC1646</f>
        <v/>
      </c>
      <c r="CD1647">
        <f>$C1647*CD1646</f>
        <v/>
      </c>
      <c r="CE1647">
        <f>$C1647*CE1646</f>
        <v/>
      </c>
      <c r="CF1647">
        <f>$C1647*CF1646</f>
        <v/>
      </c>
      <c r="CG1647">
        <f>$C1647*CG1646</f>
        <v/>
      </c>
      <c r="CH1647">
        <f>$C1647*CH1646</f>
        <v/>
      </c>
      <c r="CI1647">
        <f>$C1647*CI1646</f>
        <v/>
      </c>
      <c r="CJ1647">
        <f>$C1647*CJ1646</f>
        <v/>
      </c>
      <c r="CK1647">
        <f>$C1647*CK1646</f>
        <v/>
      </c>
      <c r="CL1647">
        <f>$C1647*CL1646</f>
        <v/>
      </c>
      <c r="CM1647">
        <f>$C1647*CM1646</f>
        <v/>
      </c>
      <c r="CN1647">
        <f>$C1647*CN1646</f>
        <v/>
      </c>
      <c r="CO1647">
        <f>$C1647*CO1646</f>
        <v/>
      </c>
      <c r="CP1647">
        <f>$C1647*CP1646</f>
        <v/>
      </c>
      <c r="CQ1647">
        <f>$C1647*CQ1646</f>
        <v/>
      </c>
      <c r="CR1647">
        <f>$C1647*CR1646</f>
        <v/>
      </c>
      <c r="CS1647">
        <f>$C1647*CS1646</f>
        <v/>
      </c>
      <c r="CT1647">
        <f>$C1647*CT1646</f>
        <v/>
      </c>
      <c r="CU1647">
        <f>$C1647*CU1646</f>
        <v/>
      </c>
      <c r="CV1647">
        <f>$C1647*CV1646</f>
        <v/>
      </c>
      <c r="CW1647">
        <f>$C1647*CW1646</f>
        <v/>
      </c>
      <c r="CX1647">
        <f>$C1647*CX1646</f>
        <v/>
      </c>
      <c r="CY1647">
        <f>$C1647*CY1646</f>
        <v/>
      </c>
      <c r="CZ1647">
        <f>$C1647*CZ1646</f>
        <v/>
      </c>
      <c r="DA1647">
        <f>$C1647*DA1646</f>
        <v/>
      </c>
      <c r="DB1647">
        <f>$C1647*DB1646</f>
        <v/>
      </c>
      <c r="DC1647">
        <f>$C1647*DC1646</f>
        <v/>
      </c>
      <c r="DD1647">
        <f>$C1647*DD1646</f>
        <v/>
      </c>
    </row>
    <row r="1648">
      <c r="B1648" t="inlineStr">
        <is>
          <t>No of times used</t>
        </is>
      </c>
      <c r="C1648" t="inlineStr">
        <is>
          <t>No. of batches</t>
        </is>
      </c>
      <c r="D1648">
        <f>IFERROR(INDEX(E1648:DD1648,$F$1),"")</f>
        <v/>
      </c>
      <c r="E1648">
        <f>IFERROR(INDEX(PP_Grid[#Data],$DE1648,2),0)</f>
        <v/>
      </c>
      <c r="F1648">
        <f>IFERROR(INDEX(PP_Grid[#Data],$DE1648,3),0)</f>
        <v/>
      </c>
      <c r="G1648">
        <f>IFERROR(INDEX(PP_Grid[#Data],$DE1648,4),0)</f>
        <v/>
      </c>
      <c r="H1648">
        <f>IFERROR(INDEX(PP_Grid[#Data],$DE1648,5),0)</f>
        <v/>
      </c>
      <c r="I1648">
        <f>IFERROR(INDEX(PP_Grid[#Data],$DE1648,6),0)</f>
        <v/>
      </c>
      <c r="J1648">
        <f>IFERROR(INDEX(PP_Grid[#Data],$DE1648,7),0)</f>
        <v/>
      </c>
      <c r="K1648">
        <f>IFERROR(INDEX(PP_Grid[#Data],$DE1648,8),0)</f>
        <v/>
      </c>
      <c r="L1648">
        <f>IFERROR(INDEX(PP_Grid[#Data],$DE1648,9),0)</f>
        <v/>
      </c>
      <c r="M1648">
        <f>IFERROR(INDEX(PP_Grid[#Data],$DE1648,10),0)</f>
        <v/>
      </c>
      <c r="N1648">
        <f>IFERROR(INDEX(PP_Grid[#Data],$DE1648,11),0)</f>
        <v/>
      </c>
      <c r="O1648">
        <f>IFERROR(INDEX(PP_Grid[#Data],$DE1648,12),0)</f>
        <v/>
      </c>
      <c r="P1648">
        <f>IFERROR(INDEX(PP_Grid[#Data],$DE1648,13),0)</f>
        <v/>
      </c>
      <c r="Q1648">
        <f>IFERROR(INDEX(PP_Grid[#Data],$DE1648,14),0)</f>
        <v/>
      </c>
      <c r="R1648">
        <f>IFERROR(INDEX(PP_Grid[#Data],$DE1648,15),0)</f>
        <v/>
      </c>
      <c r="S1648">
        <f>IFERROR(INDEX(PP_Grid[#Data],$DE1648,16),0)</f>
        <v/>
      </c>
      <c r="T1648">
        <f>IFERROR(INDEX(PP_Grid[#Data],$DE1648,17),0)</f>
        <v/>
      </c>
      <c r="U1648">
        <f>IFERROR(INDEX(PP_Grid[#Data],$DE1648,18),0)</f>
        <v/>
      </c>
      <c r="V1648">
        <f>IFERROR(INDEX(PP_Grid[#Data],$DE1648,19),0)</f>
        <v/>
      </c>
      <c r="W1648">
        <f>IFERROR(INDEX(PP_Grid[#Data],$DE1648,20),0)</f>
        <v/>
      </c>
      <c r="X1648">
        <f>IFERROR(INDEX(PP_Grid[#Data],$DE1648,21),0)</f>
        <v/>
      </c>
      <c r="Y1648">
        <f>IFERROR(INDEX(PP_Grid[#Data],$DE1648,22),0)</f>
        <v/>
      </c>
      <c r="Z1648">
        <f>IFERROR(INDEX(PP_Grid[#Data],$DE1648,23),0)</f>
        <v/>
      </c>
      <c r="AA1648">
        <f>IFERROR(INDEX(PP_Grid[#Data],$DE1648,24),0)</f>
        <v/>
      </c>
      <c r="AB1648">
        <f>IFERROR(INDEX(PP_Grid[#Data],$DE1648,25),0)</f>
        <v/>
      </c>
      <c r="AC1648">
        <f>IFERROR(INDEX(PP_Grid[#Data],$DE1648,26),0)</f>
        <v/>
      </c>
      <c r="AD1648">
        <f>IFERROR(INDEX(PP_Grid[#Data],$DE1648,27),0)</f>
        <v/>
      </c>
      <c r="AE1648">
        <f>IFERROR(INDEX(PP_Grid[#Data],$DE1648,28),0)</f>
        <v/>
      </c>
      <c r="AF1648">
        <f>IFERROR(INDEX(PP_Grid[#Data],$DE1648,29),0)</f>
        <v/>
      </c>
      <c r="AG1648">
        <f>IFERROR(INDEX(PP_Grid[#Data],$DE1648,30),0)</f>
        <v/>
      </c>
      <c r="AH1648">
        <f>IFERROR(INDEX(PP_Grid[#Data],$DE1648,31),0)</f>
        <v/>
      </c>
      <c r="AI1648">
        <f>IFERROR(INDEX(PP_Grid[#Data],$DE1648,32),0)</f>
        <v/>
      </c>
      <c r="AJ1648">
        <f>IFERROR(INDEX(PP_Grid[#Data],$DE1648,33),0)</f>
        <v/>
      </c>
      <c r="AK1648">
        <f>IFERROR(INDEX(PP_Grid[#Data],$DE1648,34),0)</f>
        <v/>
      </c>
      <c r="AL1648">
        <f>IFERROR(INDEX(PP_Grid[#Data],$DE1648,35),0)</f>
        <v/>
      </c>
      <c r="AM1648">
        <f>IFERROR(INDEX(PP_Grid[#Data],$DE1648,36),0)</f>
        <v/>
      </c>
      <c r="AN1648">
        <f>IFERROR(INDEX(PP_Grid[#Data],$DE1648,37),0)</f>
        <v/>
      </c>
      <c r="AO1648">
        <f>IFERROR(INDEX(PP_Grid[#Data],$DE1648,38),0)</f>
        <v/>
      </c>
      <c r="AP1648">
        <f>IFERROR(INDEX(PP_Grid[#Data],$DE1648,39),0)</f>
        <v/>
      </c>
      <c r="AQ1648">
        <f>IFERROR(INDEX(PP_Grid[#Data],$DE1648,40),0)</f>
        <v/>
      </c>
      <c r="AR1648">
        <f>IFERROR(INDEX(PP_Grid[#Data],$DE1648,41),0)</f>
        <v/>
      </c>
      <c r="AS1648">
        <f>IFERROR(INDEX(PP_Grid[#Data],$DE1648,42),0)</f>
        <v/>
      </c>
      <c r="AT1648">
        <f>IFERROR(INDEX(PP_Grid[#Data],$DE1648,43),0)</f>
        <v/>
      </c>
      <c r="AU1648">
        <f>IFERROR(INDEX(PP_Grid[#Data],$DE1648,44),0)</f>
        <v/>
      </c>
      <c r="AV1648">
        <f>IFERROR(INDEX(PP_Grid[#Data],$DE1648,45),0)</f>
        <v/>
      </c>
      <c r="AW1648">
        <f>IFERROR(INDEX(PP_Grid[#Data],$DE1648,46),0)</f>
        <v/>
      </c>
      <c r="AX1648">
        <f>IFERROR(INDEX(PP_Grid[#Data],$DE1648,47),0)</f>
        <v/>
      </c>
      <c r="AY1648">
        <f>IFERROR(INDEX(PP_Grid[#Data],$DE1648,48),0)</f>
        <v/>
      </c>
      <c r="AZ1648">
        <f>IFERROR(INDEX(PP_Grid[#Data],$DE1648,49),0)</f>
        <v/>
      </c>
      <c r="BA1648">
        <f>IFERROR(INDEX(PP_Grid[#Data],$DE1648,50),0)</f>
        <v/>
      </c>
      <c r="BB1648">
        <f>IFERROR(INDEX(PP_Grid[#Data],$DE1648,51),0)</f>
        <v/>
      </c>
      <c r="BC1648">
        <f>IFERROR(INDEX(PP_Grid[#Data],$DE1648,52),0)</f>
        <v/>
      </c>
      <c r="BD1648">
        <f>IFERROR(INDEX(PP_Grid[#Data],$DE1648,53),0)</f>
        <v/>
      </c>
      <c r="BE1648">
        <f>IFERROR(INDEX(PP_Grid[#Data],$DE1648,54),0)</f>
        <v/>
      </c>
      <c r="BF1648">
        <f>IFERROR(INDEX(PP_Grid[#Data],$DE1648,55),0)</f>
        <v/>
      </c>
      <c r="BG1648">
        <f>IFERROR(INDEX(PP_Grid[#Data],$DE1648,56),0)</f>
        <v/>
      </c>
      <c r="BH1648">
        <f>IFERROR(INDEX(PP_Grid[#Data],$DE1648,57),0)</f>
        <v/>
      </c>
      <c r="BI1648">
        <f>IFERROR(INDEX(PP_Grid[#Data],$DE1648,58),0)</f>
        <v/>
      </c>
      <c r="BJ1648">
        <f>IFERROR(INDEX(PP_Grid[#Data],$DE1648,59),0)</f>
        <v/>
      </c>
      <c r="BK1648">
        <f>IFERROR(INDEX(PP_Grid[#Data],$DE1648,60),0)</f>
        <v/>
      </c>
      <c r="BL1648">
        <f>IFERROR(INDEX(PP_Grid[#Data],$DE1648,61),0)</f>
        <v/>
      </c>
      <c r="BM1648">
        <f>IFERROR(INDEX(PP_Grid[#Data],$DE1648,62),0)</f>
        <v/>
      </c>
      <c r="BN1648">
        <f>IFERROR(INDEX(PP_Grid[#Data],$DE1648,63),0)</f>
        <v/>
      </c>
      <c r="BO1648">
        <f>IFERROR(INDEX(PP_Grid[#Data],$DE1648,64),0)</f>
        <v/>
      </c>
      <c r="BP1648">
        <f>IFERROR(INDEX(PP_Grid[#Data],$DE1648,65),0)</f>
        <v/>
      </c>
      <c r="BQ1648">
        <f>IFERROR(INDEX(PP_Grid[#Data],$DE1648,66),0)</f>
        <v/>
      </c>
      <c r="BR1648">
        <f>IFERROR(INDEX(PP_Grid[#Data],$DE1648,67),0)</f>
        <v/>
      </c>
      <c r="BS1648">
        <f>IFERROR(INDEX(PP_Grid[#Data],$DE1648,68),0)</f>
        <v/>
      </c>
      <c r="BT1648">
        <f>IFERROR(INDEX(PP_Grid[#Data],$DE1648,69),0)</f>
        <v/>
      </c>
      <c r="BU1648">
        <f>IFERROR(INDEX(PP_Grid[#Data],$DE1648,70),0)</f>
        <v/>
      </c>
      <c r="BV1648">
        <f>IFERROR(INDEX(PP_Grid[#Data],$DE1648,71),0)</f>
        <v/>
      </c>
      <c r="BW1648">
        <f>IFERROR(INDEX(PP_Grid[#Data],$DE1648,72),0)</f>
        <v/>
      </c>
      <c r="BX1648">
        <f>IFERROR(INDEX(PP_Grid[#Data],$DE1648,73),0)</f>
        <v/>
      </c>
      <c r="BY1648">
        <f>IFERROR(INDEX(PP_Grid[#Data],$DE1648,74),0)</f>
        <v/>
      </c>
      <c r="BZ1648">
        <f>IFERROR(INDEX(PP_Grid[#Data],$DE1648,75),0)</f>
        <v/>
      </c>
      <c r="CA1648">
        <f>IFERROR(INDEX(PP_Grid[#Data],$DE1648,76),0)</f>
        <v/>
      </c>
      <c r="CB1648">
        <f>IFERROR(INDEX(PP_Grid[#Data],$DE1648,77),0)</f>
        <v/>
      </c>
      <c r="CC1648">
        <f>IFERROR(INDEX(PP_Grid[#Data],$DE1648,78),0)</f>
        <v/>
      </c>
      <c r="CD1648">
        <f>IFERROR(INDEX(PP_Grid[#Data],$DE1648,79),0)</f>
        <v/>
      </c>
      <c r="CE1648">
        <f>IFERROR(INDEX(PP_Grid[#Data],$DE1648,80),0)</f>
        <v/>
      </c>
      <c r="CF1648">
        <f>IFERROR(INDEX(PP_Grid[#Data],$DE1648,81),0)</f>
        <v/>
      </c>
      <c r="CG1648">
        <f>IFERROR(INDEX(PP_Grid[#Data],$DE1648,82),0)</f>
        <v/>
      </c>
      <c r="CH1648">
        <f>IFERROR(INDEX(PP_Grid[#Data],$DE1648,83),0)</f>
        <v/>
      </c>
      <c r="CI1648">
        <f>IFERROR(INDEX(PP_Grid[#Data],$DE1648,84),0)</f>
        <v/>
      </c>
      <c r="CJ1648">
        <f>IFERROR(INDEX(PP_Grid[#Data],$DE1648,85),0)</f>
        <v/>
      </c>
      <c r="CK1648">
        <f>IFERROR(INDEX(PP_Grid[#Data],$DE1648,86),0)</f>
        <v/>
      </c>
      <c r="CL1648">
        <f>IFERROR(INDEX(PP_Grid[#Data],$DE1648,87),0)</f>
        <v/>
      </c>
      <c r="CM1648">
        <f>IFERROR(INDEX(PP_Grid[#Data],$DE1648,88),0)</f>
        <v/>
      </c>
      <c r="CN1648">
        <f>IFERROR(INDEX(PP_Grid[#Data],$DE1648,89),0)</f>
        <v/>
      </c>
      <c r="CO1648">
        <f>IFERROR(INDEX(PP_Grid[#Data],$DE1648,90),0)</f>
        <v/>
      </c>
      <c r="CP1648">
        <f>IFERROR(INDEX(PP_Grid[#Data],$DE1648,91),0)</f>
        <v/>
      </c>
      <c r="CQ1648">
        <f>IFERROR(INDEX(PP_Grid[#Data],$DE1648,92),0)</f>
        <v/>
      </c>
      <c r="CR1648">
        <f>IFERROR(INDEX(PP_Grid[#Data],$DE1648,93),0)</f>
        <v/>
      </c>
      <c r="CS1648">
        <f>IFERROR(INDEX(PP_Grid[#Data],$DE1648,94),0)</f>
        <v/>
      </c>
      <c r="CT1648">
        <f>IFERROR(INDEX(PP_Grid[#Data],$DE1648,95),0)</f>
        <v/>
      </c>
      <c r="CU1648">
        <f>IFERROR(INDEX(PP_Grid[#Data],$DE1648,96),0)</f>
        <v/>
      </c>
      <c r="CV1648">
        <f>IFERROR(INDEX(PP_Grid[#Data],$DE1648,97),0)</f>
        <v/>
      </c>
      <c r="CW1648">
        <f>IFERROR(INDEX(PP_Grid[#Data],$DE1648,98),0)</f>
        <v/>
      </c>
      <c r="CX1648">
        <f>IFERROR(INDEX(PP_Grid[#Data],$DE1648,99),0)</f>
        <v/>
      </c>
      <c r="CY1648">
        <f>IFERROR(INDEX(PP_Grid[#Data],$DE1648,100),0)</f>
        <v/>
      </c>
      <c r="CZ1648">
        <f>IFERROR(INDEX(PP_Grid[#Data],$DE1648,101),0)</f>
        <v/>
      </c>
      <c r="DA1648">
        <f>IFERROR(INDEX(PP_Grid[#Data],$DE1648,102),0)</f>
        <v/>
      </c>
      <c r="DB1648">
        <f>IFERROR(INDEX(PP_Grid[#Data],$DE1648,103),0)</f>
        <v/>
      </c>
      <c r="DC1648">
        <f>IFERROR(INDEX(PP_Grid[#Data],$DE1648,104),0)</f>
        <v/>
      </c>
      <c r="DD1648">
        <f>IFERROR(INDEX(PP_Grid[#Data],$DE1648,105),0)</f>
        <v/>
      </c>
      <c r="DE1648" s="7">
        <f>IFERROR(MATCH($B1648,PP_Grid[Intermediate],0),99999)</f>
        <v/>
      </c>
    </row>
    <row r="1649">
      <c r="B1649" t="inlineStr">
        <is>
          <t>使用量(kg)</t>
        </is>
      </c>
      <c r="C1649">
        <f>SUMIFS(M_BOM[RM_Qty_Per_Batch],M_BOM[Intermediate],$B1648,M_BOM[RM_Code],$A1645)</f>
        <v/>
      </c>
      <c r="D1649">
        <f>IFERROR(INDEX(E1649:DD1649,$F$1),"")</f>
        <v/>
      </c>
      <c r="E1649">
        <f>$C1649*E1648</f>
        <v/>
      </c>
      <c r="F1649">
        <f>$C1649*F1648</f>
        <v/>
      </c>
      <c r="G1649">
        <f>$C1649*G1648</f>
        <v/>
      </c>
      <c r="H1649">
        <f>$C1649*H1648</f>
        <v/>
      </c>
      <c r="I1649">
        <f>$C1649*I1648</f>
        <v/>
      </c>
      <c r="J1649">
        <f>$C1649*J1648</f>
        <v/>
      </c>
      <c r="K1649">
        <f>$C1649*K1648</f>
        <v/>
      </c>
      <c r="L1649">
        <f>$C1649*L1648</f>
        <v/>
      </c>
      <c r="M1649">
        <f>$C1649*M1648</f>
        <v/>
      </c>
      <c r="N1649">
        <f>$C1649*N1648</f>
        <v/>
      </c>
      <c r="O1649">
        <f>$C1649*O1648</f>
        <v/>
      </c>
      <c r="P1649">
        <f>$C1649*P1648</f>
        <v/>
      </c>
      <c r="Q1649">
        <f>$C1649*Q1648</f>
        <v/>
      </c>
      <c r="R1649">
        <f>$C1649*R1648</f>
        <v/>
      </c>
      <c r="S1649">
        <f>$C1649*S1648</f>
        <v/>
      </c>
      <c r="T1649">
        <f>$C1649*T1648</f>
        <v/>
      </c>
      <c r="U1649">
        <f>$C1649*U1648</f>
        <v/>
      </c>
      <c r="V1649">
        <f>$C1649*V1648</f>
        <v/>
      </c>
      <c r="W1649">
        <f>$C1649*W1648</f>
        <v/>
      </c>
      <c r="X1649">
        <f>$C1649*X1648</f>
        <v/>
      </c>
      <c r="Y1649">
        <f>$C1649*Y1648</f>
        <v/>
      </c>
      <c r="Z1649">
        <f>$C1649*Z1648</f>
        <v/>
      </c>
      <c r="AA1649">
        <f>$C1649*AA1648</f>
        <v/>
      </c>
      <c r="AB1649">
        <f>$C1649*AB1648</f>
        <v/>
      </c>
      <c r="AC1649">
        <f>$C1649*AC1648</f>
        <v/>
      </c>
      <c r="AD1649">
        <f>$C1649*AD1648</f>
        <v/>
      </c>
      <c r="AE1649">
        <f>$C1649*AE1648</f>
        <v/>
      </c>
      <c r="AF1649">
        <f>$C1649*AF1648</f>
        <v/>
      </c>
      <c r="AG1649">
        <f>$C1649*AG1648</f>
        <v/>
      </c>
      <c r="AH1649">
        <f>$C1649*AH1648</f>
        <v/>
      </c>
      <c r="AI1649">
        <f>$C1649*AI1648</f>
        <v/>
      </c>
      <c r="AJ1649">
        <f>$C1649*AJ1648</f>
        <v/>
      </c>
      <c r="AK1649">
        <f>$C1649*AK1648</f>
        <v/>
      </c>
      <c r="AL1649">
        <f>$C1649*AL1648</f>
        <v/>
      </c>
      <c r="AM1649">
        <f>$C1649*AM1648</f>
        <v/>
      </c>
      <c r="AN1649">
        <f>$C1649*AN1648</f>
        <v/>
      </c>
      <c r="AO1649">
        <f>$C1649*AO1648</f>
        <v/>
      </c>
      <c r="AP1649">
        <f>$C1649*AP1648</f>
        <v/>
      </c>
      <c r="AQ1649">
        <f>$C1649*AQ1648</f>
        <v/>
      </c>
      <c r="AR1649">
        <f>$C1649*AR1648</f>
        <v/>
      </c>
      <c r="AS1649">
        <f>$C1649*AS1648</f>
        <v/>
      </c>
      <c r="AT1649">
        <f>$C1649*AT1648</f>
        <v/>
      </c>
      <c r="AU1649">
        <f>$C1649*AU1648</f>
        <v/>
      </c>
      <c r="AV1649">
        <f>$C1649*AV1648</f>
        <v/>
      </c>
      <c r="AW1649">
        <f>$C1649*AW1648</f>
        <v/>
      </c>
      <c r="AX1649">
        <f>$C1649*AX1648</f>
        <v/>
      </c>
      <c r="AY1649">
        <f>$C1649*AY1648</f>
        <v/>
      </c>
      <c r="AZ1649">
        <f>$C1649*AZ1648</f>
        <v/>
      </c>
      <c r="BA1649">
        <f>$C1649*BA1648</f>
        <v/>
      </c>
      <c r="BB1649">
        <f>$C1649*BB1648</f>
        <v/>
      </c>
      <c r="BC1649">
        <f>$C1649*BC1648</f>
        <v/>
      </c>
      <c r="BD1649">
        <f>$C1649*BD1648</f>
        <v/>
      </c>
      <c r="BE1649">
        <f>$C1649*BE1648</f>
        <v/>
      </c>
      <c r="BF1649">
        <f>$C1649*BF1648</f>
        <v/>
      </c>
      <c r="BG1649">
        <f>$C1649*BG1648</f>
        <v/>
      </c>
      <c r="BH1649">
        <f>$C1649*BH1648</f>
        <v/>
      </c>
      <c r="BI1649">
        <f>$C1649*BI1648</f>
        <v/>
      </c>
      <c r="BJ1649">
        <f>$C1649*BJ1648</f>
        <v/>
      </c>
      <c r="BK1649">
        <f>$C1649*BK1648</f>
        <v/>
      </c>
      <c r="BL1649">
        <f>$C1649*BL1648</f>
        <v/>
      </c>
      <c r="BM1649">
        <f>$C1649*BM1648</f>
        <v/>
      </c>
      <c r="BN1649">
        <f>$C1649*BN1648</f>
        <v/>
      </c>
      <c r="BO1649">
        <f>$C1649*BO1648</f>
        <v/>
      </c>
      <c r="BP1649">
        <f>$C1649*BP1648</f>
        <v/>
      </c>
      <c r="BQ1649">
        <f>$C1649*BQ1648</f>
        <v/>
      </c>
      <c r="BR1649">
        <f>$C1649*BR1648</f>
        <v/>
      </c>
      <c r="BS1649">
        <f>$C1649*BS1648</f>
        <v/>
      </c>
      <c r="BT1649">
        <f>$C1649*BT1648</f>
        <v/>
      </c>
      <c r="BU1649">
        <f>$C1649*BU1648</f>
        <v/>
      </c>
      <c r="BV1649">
        <f>$C1649*BV1648</f>
        <v/>
      </c>
      <c r="BW1649">
        <f>$C1649*BW1648</f>
        <v/>
      </c>
      <c r="BX1649">
        <f>$C1649*BX1648</f>
        <v/>
      </c>
      <c r="BY1649">
        <f>$C1649*BY1648</f>
        <v/>
      </c>
      <c r="BZ1649">
        <f>$C1649*BZ1648</f>
        <v/>
      </c>
      <c r="CA1649">
        <f>$C1649*CA1648</f>
        <v/>
      </c>
      <c r="CB1649">
        <f>$C1649*CB1648</f>
        <v/>
      </c>
      <c r="CC1649">
        <f>$C1649*CC1648</f>
        <v/>
      </c>
      <c r="CD1649">
        <f>$C1649*CD1648</f>
        <v/>
      </c>
      <c r="CE1649">
        <f>$C1649*CE1648</f>
        <v/>
      </c>
      <c r="CF1649">
        <f>$C1649*CF1648</f>
        <v/>
      </c>
      <c r="CG1649">
        <f>$C1649*CG1648</f>
        <v/>
      </c>
      <c r="CH1649">
        <f>$C1649*CH1648</f>
        <v/>
      </c>
      <c r="CI1649">
        <f>$C1649*CI1648</f>
        <v/>
      </c>
      <c r="CJ1649">
        <f>$C1649*CJ1648</f>
        <v/>
      </c>
      <c r="CK1649">
        <f>$C1649*CK1648</f>
        <v/>
      </c>
      <c r="CL1649">
        <f>$C1649*CL1648</f>
        <v/>
      </c>
      <c r="CM1649">
        <f>$C1649*CM1648</f>
        <v/>
      </c>
      <c r="CN1649">
        <f>$C1649*CN1648</f>
        <v/>
      </c>
      <c r="CO1649">
        <f>$C1649*CO1648</f>
        <v/>
      </c>
      <c r="CP1649">
        <f>$C1649*CP1648</f>
        <v/>
      </c>
      <c r="CQ1649">
        <f>$C1649*CQ1648</f>
        <v/>
      </c>
      <c r="CR1649">
        <f>$C1649*CR1648</f>
        <v/>
      </c>
      <c r="CS1649">
        <f>$C1649*CS1648</f>
        <v/>
      </c>
      <c r="CT1649">
        <f>$C1649*CT1648</f>
        <v/>
      </c>
      <c r="CU1649">
        <f>$C1649*CU1648</f>
        <v/>
      </c>
      <c r="CV1649">
        <f>$C1649*CV1648</f>
        <v/>
      </c>
      <c r="CW1649">
        <f>$C1649*CW1648</f>
        <v/>
      </c>
      <c r="CX1649">
        <f>$C1649*CX1648</f>
        <v/>
      </c>
      <c r="CY1649">
        <f>$C1649*CY1648</f>
        <v/>
      </c>
      <c r="CZ1649">
        <f>$C1649*CZ1648</f>
        <v/>
      </c>
      <c r="DA1649">
        <f>$C1649*DA1648</f>
        <v/>
      </c>
      <c r="DB1649">
        <f>$C1649*DB1648</f>
        <v/>
      </c>
      <c r="DC1649">
        <f>$C1649*DC1648</f>
        <v/>
      </c>
      <c r="DD1649">
        <f>$C1649*DD1648</f>
        <v/>
      </c>
    </row>
    <row r="1650">
      <c r="B1650" s="4" t="inlineStr">
        <is>
          <t>合計使用量(kg)/週</t>
        </is>
      </c>
      <c r="D1650" s="23">
        <f>IFERROR(INDEX(E1650:DD1650,$F$1),"")</f>
        <v/>
      </c>
      <c r="E1650">
        <f>'Grid_Requirement'!B57</f>
        <v/>
      </c>
      <c r="F1650">
        <f>'Grid_Requirement'!C57</f>
        <v/>
      </c>
      <c r="G1650">
        <f>'Grid_Requirement'!D57</f>
        <v/>
      </c>
      <c r="H1650">
        <f>'Grid_Requirement'!E57</f>
        <v/>
      </c>
      <c r="I1650">
        <f>'Grid_Requirement'!F57</f>
        <v/>
      </c>
      <c r="J1650">
        <f>'Grid_Requirement'!G57</f>
        <v/>
      </c>
      <c r="K1650">
        <f>'Grid_Requirement'!H57</f>
        <v/>
      </c>
      <c r="L1650">
        <f>'Grid_Requirement'!I57</f>
        <v/>
      </c>
      <c r="M1650">
        <f>'Grid_Requirement'!J57</f>
        <v/>
      </c>
      <c r="N1650">
        <f>'Grid_Requirement'!K57</f>
        <v/>
      </c>
      <c r="O1650">
        <f>'Grid_Requirement'!L57</f>
        <v/>
      </c>
      <c r="P1650">
        <f>'Grid_Requirement'!M57</f>
        <v/>
      </c>
      <c r="Q1650">
        <f>'Grid_Requirement'!N57</f>
        <v/>
      </c>
      <c r="R1650">
        <f>'Grid_Requirement'!O57</f>
        <v/>
      </c>
      <c r="S1650">
        <f>'Grid_Requirement'!P57</f>
        <v/>
      </c>
      <c r="T1650">
        <f>'Grid_Requirement'!Q57</f>
        <v/>
      </c>
      <c r="U1650">
        <f>'Grid_Requirement'!R57</f>
        <v/>
      </c>
      <c r="V1650">
        <f>'Grid_Requirement'!S57</f>
        <v/>
      </c>
      <c r="W1650">
        <f>'Grid_Requirement'!T57</f>
        <v/>
      </c>
      <c r="X1650">
        <f>'Grid_Requirement'!U57</f>
        <v/>
      </c>
      <c r="Y1650">
        <f>'Grid_Requirement'!V57</f>
        <v/>
      </c>
      <c r="Z1650">
        <f>'Grid_Requirement'!W57</f>
        <v/>
      </c>
      <c r="AA1650">
        <f>'Grid_Requirement'!X57</f>
        <v/>
      </c>
      <c r="AB1650">
        <f>'Grid_Requirement'!Y57</f>
        <v/>
      </c>
      <c r="AC1650">
        <f>'Grid_Requirement'!Z57</f>
        <v/>
      </c>
      <c r="AD1650">
        <f>'Grid_Requirement'!AA57</f>
        <v/>
      </c>
      <c r="AE1650">
        <f>'Grid_Requirement'!AB57</f>
        <v/>
      </c>
      <c r="AF1650">
        <f>'Grid_Requirement'!AC57</f>
        <v/>
      </c>
      <c r="AG1650">
        <f>'Grid_Requirement'!AD57</f>
        <v/>
      </c>
      <c r="AH1650">
        <f>'Grid_Requirement'!AE57</f>
        <v/>
      </c>
      <c r="AI1650">
        <f>'Grid_Requirement'!AF57</f>
        <v/>
      </c>
      <c r="AJ1650">
        <f>'Grid_Requirement'!AG57</f>
        <v/>
      </c>
      <c r="AK1650">
        <f>'Grid_Requirement'!AH57</f>
        <v/>
      </c>
      <c r="AL1650">
        <f>'Grid_Requirement'!AI57</f>
        <v/>
      </c>
      <c r="AM1650">
        <f>'Grid_Requirement'!AJ57</f>
        <v/>
      </c>
      <c r="AN1650">
        <f>'Grid_Requirement'!AK57</f>
        <v/>
      </c>
      <c r="AO1650">
        <f>'Grid_Requirement'!AL57</f>
        <v/>
      </c>
      <c r="AP1650">
        <f>'Grid_Requirement'!AM57</f>
        <v/>
      </c>
      <c r="AQ1650">
        <f>'Grid_Requirement'!AN57</f>
        <v/>
      </c>
      <c r="AR1650">
        <f>'Grid_Requirement'!AO57</f>
        <v/>
      </c>
      <c r="AS1650">
        <f>'Grid_Requirement'!AP57</f>
        <v/>
      </c>
      <c r="AT1650">
        <f>'Grid_Requirement'!AQ57</f>
        <v/>
      </c>
      <c r="AU1650">
        <f>'Grid_Requirement'!AR57</f>
        <v/>
      </c>
      <c r="AV1650">
        <f>'Grid_Requirement'!AS57</f>
        <v/>
      </c>
      <c r="AW1650">
        <f>'Grid_Requirement'!AT57</f>
        <v/>
      </c>
      <c r="AX1650">
        <f>'Grid_Requirement'!AU57</f>
        <v/>
      </c>
      <c r="AY1650">
        <f>'Grid_Requirement'!AV57</f>
        <v/>
      </c>
      <c r="AZ1650">
        <f>'Grid_Requirement'!AW57</f>
        <v/>
      </c>
      <c r="BA1650">
        <f>'Grid_Requirement'!AX57</f>
        <v/>
      </c>
      <c r="BB1650">
        <f>'Grid_Requirement'!AY57</f>
        <v/>
      </c>
      <c r="BC1650">
        <f>'Grid_Requirement'!AZ57</f>
        <v/>
      </c>
      <c r="BD1650">
        <f>'Grid_Requirement'!BA57</f>
        <v/>
      </c>
      <c r="BE1650">
        <f>'Grid_Requirement'!BB57</f>
        <v/>
      </c>
      <c r="BF1650">
        <f>'Grid_Requirement'!BC57</f>
        <v/>
      </c>
      <c r="BG1650">
        <f>'Grid_Requirement'!BD57</f>
        <v/>
      </c>
      <c r="BH1650">
        <f>'Grid_Requirement'!BE57</f>
        <v/>
      </c>
      <c r="BI1650">
        <f>'Grid_Requirement'!BF57</f>
        <v/>
      </c>
      <c r="BJ1650">
        <f>'Grid_Requirement'!BG57</f>
        <v/>
      </c>
      <c r="BK1650">
        <f>'Grid_Requirement'!BH57</f>
        <v/>
      </c>
      <c r="BL1650">
        <f>'Grid_Requirement'!BI57</f>
        <v/>
      </c>
      <c r="BM1650">
        <f>'Grid_Requirement'!BJ57</f>
        <v/>
      </c>
      <c r="BN1650">
        <f>'Grid_Requirement'!BK57</f>
        <v/>
      </c>
      <c r="BO1650">
        <f>'Grid_Requirement'!BL57</f>
        <v/>
      </c>
      <c r="BP1650">
        <f>'Grid_Requirement'!BM57</f>
        <v/>
      </c>
      <c r="BQ1650">
        <f>'Grid_Requirement'!BN57</f>
        <v/>
      </c>
      <c r="BR1650">
        <f>'Grid_Requirement'!BO57</f>
        <v/>
      </c>
      <c r="BS1650">
        <f>'Grid_Requirement'!BP57</f>
        <v/>
      </c>
      <c r="BT1650">
        <f>'Grid_Requirement'!BQ57</f>
        <v/>
      </c>
      <c r="BU1650">
        <f>'Grid_Requirement'!BR57</f>
        <v/>
      </c>
      <c r="BV1650">
        <f>'Grid_Requirement'!BS57</f>
        <v/>
      </c>
      <c r="BW1650">
        <f>'Grid_Requirement'!BT57</f>
        <v/>
      </c>
      <c r="BX1650">
        <f>'Grid_Requirement'!BU57</f>
        <v/>
      </c>
      <c r="BY1650">
        <f>'Grid_Requirement'!BV57</f>
        <v/>
      </c>
      <c r="BZ1650">
        <f>'Grid_Requirement'!BW57</f>
        <v/>
      </c>
      <c r="CA1650">
        <f>'Grid_Requirement'!BX57</f>
        <v/>
      </c>
      <c r="CB1650">
        <f>'Grid_Requirement'!BY57</f>
        <v/>
      </c>
      <c r="CC1650">
        <f>'Grid_Requirement'!BZ57</f>
        <v/>
      </c>
      <c r="CD1650">
        <f>'Grid_Requirement'!CA57</f>
        <v/>
      </c>
      <c r="CE1650">
        <f>'Grid_Requirement'!CB57</f>
        <v/>
      </c>
      <c r="CF1650">
        <f>'Grid_Requirement'!CC57</f>
        <v/>
      </c>
      <c r="CG1650">
        <f>'Grid_Requirement'!CD57</f>
        <v/>
      </c>
      <c r="CH1650">
        <f>'Grid_Requirement'!CE57</f>
        <v/>
      </c>
      <c r="CI1650">
        <f>'Grid_Requirement'!CF57</f>
        <v/>
      </c>
      <c r="CJ1650">
        <f>'Grid_Requirement'!CG57</f>
        <v/>
      </c>
      <c r="CK1650">
        <f>'Grid_Requirement'!CH57</f>
        <v/>
      </c>
      <c r="CL1650">
        <f>'Grid_Requirement'!CI57</f>
        <v/>
      </c>
      <c r="CM1650">
        <f>'Grid_Requirement'!CJ57</f>
        <v/>
      </c>
      <c r="CN1650">
        <f>'Grid_Requirement'!CK57</f>
        <v/>
      </c>
      <c r="CO1650">
        <f>'Grid_Requirement'!CL57</f>
        <v/>
      </c>
      <c r="CP1650">
        <f>'Grid_Requirement'!CM57</f>
        <v/>
      </c>
      <c r="CQ1650">
        <f>'Grid_Requirement'!CN57</f>
        <v/>
      </c>
      <c r="CR1650">
        <f>'Grid_Requirement'!CO57</f>
        <v/>
      </c>
      <c r="CS1650">
        <f>'Grid_Requirement'!CP57</f>
        <v/>
      </c>
      <c r="CT1650">
        <f>'Grid_Requirement'!CQ57</f>
        <v/>
      </c>
      <c r="CU1650">
        <f>'Grid_Requirement'!CR57</f>
        <v/>
      </c>
      <c r="CV1650">
        <f>'Grid_Requirement'!CS57</f>
        <v/>
      </c>
      <c r="CW1650">
        <f>'Grid_Requirement'!CT57</f>
        <v/>
      </c>
      <c r="CX1650">
        <f>'Grid_Requirement'!CU57</f>
        <v/>
      </c>
      <c r="CY1650">
        <f>'Grid_Requirement'!CV57</f>
        <v/>
      </c>
      <c r="CZ1650">
        <f>'Grid_Requirement'!CW57</f>
        <v/>
      </c>
      <c r="DA1650">
        <f>'Grid_Requirement'!CX57</f>
        <v/>
      </c>
      <c r="DB1650">
        <f>'Grid_Requirement'!CY57</f>
        <v/>
      </c>
      <c r="DC1650">
        <f>'Grid_Requirement'!CZ57</f>
        <v/>
      </c>
      <c r="DD1650">
        <f>'Grid_Requirement'!DA57</f>
        <v/>
      </c>
    </row>
    <row r="1651">
      <c r="B1651" t="inlineStr">
        <is>
          <t>TTAF在庫(実績,kg)</t>
        </is>
      </c>
      <c r="D1651">
        <f>IFERROR(INDEX(E1651:DD1651,$F$1),"")</f>
        <v/>
      </c>
      <c r="E1651">
        <f>IFERROR(SUMIFS(T_TTAFStock[TTAF_Qty],T_TTAFStock[RM_Code],$A1645,T_TTAFStock[WeekIndex],1),"")</f>
        <v/>
      </c>
      <c r="F1651">
        <f>IFERROR(SUMIFS(T_TTAFStock[TTAF_Qty],T_TTAFStock[RM_Code],$A1645,T_TTAFStock[WeekIndex],2),"")</f>
        <v/>
      </c>
      <c r="G1651">
        <f>IFERROR(SUMIFS(T_TTAFStock[TTAF_Qty],T_TTAFStock[RM_Code],$A1645,T_TTAFStock[WeekIndex],3),"")</f>
        <v/>
      </c>
      <c r="H1651">
        <f>IFERROR(SUMIFS(T_TTAFStock[TTAF_Qty],T_TTAFStock[RM_Code],$A1645,T_TTAFStock[WeekIndex],4),"")</f>
        <v/>
      </c>
      <c r="I1651">
        <f>IFERROR(SUMIFS(T_TTAFStock[TTAF_Qty],T_TTAFStock[RM_Code],$A1645,T_TTAFStock[WeekIndex],5),"")</f>
        <v/>
      </c>
      <c r="J1651">
        <f>IFERROR(SUMIFS(T_TTAFStock[TTAF_Qty],T_TTAFStock[RM_Code],$A1645,T_TTAFStock[WeekIndex],6),"")</f>
        <v/>
      </c>
      <c r="K1651">
        <f>IFERROR(SUMIFS(T_TTAFStock[TTAF_Qty],T_TTAFStock[RM_Code],$A1645,T_TTAFStock[WeekIndex],7),"")</f>
        <v/>
      </c>
      <c r="L1651">
        <f>IFERROR(SUMIFS(T_TTAFStock[TTAF_Qty],T_TTAFStock[RM_Code],$A1645,T_TTAFStock[WeekIndex],8),"")</f>
        <v/>
      </c>
      <c r="M1651">
        <f>IFERROR(SUMIFS(T_TTAFStock[TTAF_Qty],T_TTAFStock[RM_Code],$A1645,T_TTAFStock[WeekIndex],9),"")</f>
        <v/>
      </c>
      <c r="N1651">
        <f>IFERROR(SUMIFS(T_TTAFStock[TTAF_Qty],T_TTAFStock[RM_Code],$A1645,T_TTAFStock[WeekIndex],10),"")</f>
        <v/>
      </c>
      <c r="O1651">
        <f>IFERROR(SUMIFS(T_TTAFStock[TTAF_Qty],T_TTAFStock[RM_Code],$A1645,T_TTAFStock[WeekIndex],11),"")</f>
        <v/>
      </c>
      <c r="P1651">
        <f>IFERROR(SUMIFS(T_TTAFStock[TTAF_Qty],T_TTAFStock[RM_Code],$A1645,T_TTAFStock[WeekIndex],12),"")</f>
        <v/>
      </c>
      <c r="Q1651">
        <f>IFERROR(SUMIFS(T_TTAFStock[TTAF_Qty],T_TTAFStock[RM_Code],$A1645,T_TTAFStock[WeekIndex],13),"")</f>
        <v/>
      </c>
      <c r="R1651">
        <f>IFERROR(SUMIFS(T_TTAFStock[TTAF_Qty],T_TTAFStock[RM_Code],$A1645,T_TTAFStock[WeekIndex],14),"")</f>
        <v/>
      </c>
      <c r="S1651">
        <f>IFERROR(SUMIFS(T_TTAFStock[TTAF_Qty],T_TTAFStock[RM_Code],$A1645,T_TTAFStock[WeekIndex],15),"")</f>
        <v/>
      </c>
      <c r="T1651">
        <f>IFERROR(SUMIFS(T_TTAFStock[TTAF_Qty],T_TTAFStock[RM_Code],$A1645,T_TTAFStock[WeekIndex],16),"")</f>
        <v/>
      </c>
      <c r="U1651">
        <f>IFERROR(SUMIFS(T_TTAFStock[TTAF_Qty],T_TTAFStock[RM_Code],$A1645,T_TTAFStock[WeekIndex],17),"")</f>
        <v/>
      </c>
      <c r="V1651">
        <f>IFERROR(SUMIFS(T_TTAFStock[TTAF_Qty],T_TTAFStock[RM_Code],$A1645,T_TTAFStock[WeekIndex],18),"")</f>
        <v/>
      </c>
      <c r="W1651">
        <f>IFERROR(SUMIFS(T_TTAFStock[TTAF_Qty],T_TTAFStock[RM_Code],$A1645,T_TTAFStock[WeekIndex],19),"")</f>
        <v/>
      </c>
      <c r="X1651">
        <f>IFERROR(SUMIFS(T_TTAFStock[TTAF_Qty],T_TTAFStock[RM_Code],$A1645,T_TTAFStock[WeekIndex],20),"")</f>
        <v/>
      </c>
      <c r="Y1651">
        <f>IFERROR(SUMIFS(T_TTAFStock[TTAF_Qty],T_TTAFStock[RM_Code],$A1645,T_TTAFStock[WeekIndex],21),"")</f>
        <v/>
      </c>
      <c r="Z1651">
        <f>IFERROR(SUMIFS(T_TTAFStock[TTAF_Qty],T_TTAFStock[RM_Code],$A1645,T_TTAFStock[WeekIndex],22),"")</f>
        <v/>
      </c>
      <c r="AA1651">
        <f>IFERROR(SUMIFS(T_TTAFStock[TTAF_Qty],T_TTAFStock[RM_Code],$A1645,T_TTAFStock[WeekIndex],23),"")</f>
        <v/>
      </c>
      <c r="AB1651">
        <f>IFERROR(SUMIFS(T_TTAFStock[TTAF_Qty],T_TTAFStock[RM_Code],$A1645,T_TTAFStock[WeekIndex],24),"")</f>
        <v/>
      </c>
      <c r="AC1651">
        <f>IFERROR(SUMIFS(T_TTAFStock[TTAF_Qty],T_TTAFStock[RM_Code],$A1645,T_TTAFStock[WeekIndex],25),"")</f>
        <v/>
      </c>
      <c r="AD1651">
        <f>IFERROR(SUMIFS(T_TTAFStock[TTAF_Qty],T_TTAFStock[RM_Code],$A1645,T_TTAFStock[WeekIndex],26),"")</f>
        <v/>
      </c>
      <c r="AE1651">
        <f>IFERROR(SUMIFS(T_TTAFStock[TTAF_Qty],T_TTAFStock[RM_Code],$A1645,T_TTAFStock[WeekIndex],27),"")</f>
        <v/>
      </c>
      <c r="AF1651">
        <f>IFERROR(SUMIFS(T_TTAFStock[TTAF_Qty],T_TTAFStock[RM_Code],$A1645,T_TTAFStock[WeekIndex],28),"")</f>
        <v/>
      </c>
      <c r="AG1651">
        <f>IFERROR(SUMIFS(T_TTAFStock[TTAF_Qty],T_TTAFStock[RM_Code],$A1645,T_TTAFStock[WeekIndex],29),"")</f>
        <v/>
      </c>
      <c r="AH1651">
        <f>IFERROR(SUMIFS(T_TTAFStock[TTAF_Qty],T_TTAFStock[RM_Code],$A1645,T_TTAFStock[WeekIndex],30),"")</f>
        <v/>
      </c>
      <c r="AI1651">
        <f>IFERROR(SUMIFS(T_TTAFStock[TTAF_Qty],T_TTAFStock[RM_Code],$A1645,T_TTAFStock[WeekIndex],31),"")</f>
        <v/>
      </c>
      <c r="AJ1651">
        <f>IFERROR(SUMIFS(T_TTAFStock[TTAF_Qty],T_TTAFStock[RM_Code],$A1645,T_TTAFStock[WeekIndex],32),"")</f>
        <v/>
      </c>
      <c r="AK1651">
        <f>IFERROR(SUMIFS(T_TTAFStock[TTAF_Qty],T_TTAFStock[RM_Code],$A1645,T_TTAFStock[WeekIndex],33),"")</f>
        <v/>
      </c>
      <c r="AL1651">
        <f>IFERROR(SUMIFS(T_TTAFStock[TTAF_Qty],T_TTAFStock[RM_Code],$A1645,T_TTAFStock[WeekIndex],34),"")</f>
        <v/>
      </c>
      <c r="AM1651">
        <f>IFERROR(SUMIFS(T_TTAFStock[TTAF_Qty],T_TTAFStock[RM_Code],$A1645,T_TTAFStock[WeekIndex],35),"")</f>
        <v/>
      </c>
      <c r="AN1651">
        <f>IFERROR(SUMIFS(T_TTAFStock[TTAF_Qty],T_TTAFStock[RM_Code],$A1645,T_TTAFStock[WeekIndex],36),"")</f>
        <v/>
      </c>
      <c r="AO1651">
        <f>IFERROR(SUMIFS(T_TTAFStock[TTAF_Qty],T_TTAFStock[RM_Code],$A1645,T_TTAFStock[WeekIndex],37),"")</f>
        <v/>
      </c>
      <c r="AP1651">
        <f>IFERROR(SUMIFS(T_TTAFStock[TTAF_Qty],T_TTAFStock[RM_Code],$A1645,T_TTAFStock[WeekIndex],38),"")</f>
        <v/>
      </c>
      <c r="AQ1651">
        <f>IFERROR(SUMIFS(T_TTAFStock[TTAF_Qty],T_TTAFStock[RM_Code],$A1645,T_TTAFStock[WeekIndex],39),"")</f>
        <v/>
      </c>
      <c r="AR1651">
        <f>IFERROR(SUMIFS(T_TTAFStock[TTAF_Qty],T_TTAFStock[RM_Code],$A1645,T_TTAFStock[WeekIndex],40),"")</f>
        <v/>
      </c>
      <c r="AS1651">
        <f>IFERROR(SUMIFS(T_TTAFStock[TTAF_Qty],T_TTAFStock[RM_Code],$A1645,T_TTAFStock[WeekIndex],41),"")</f>
        <v/>
      </c>
      <c r="AT1651">
        <f>IFERROR(SUMIFS(T_TTAFStock[TTAF_Qty],T_TTAFStock[RM_Code],$A1645,T_TTAFStock[WeekIndex],42),"")</f>
        <v/>
      </c>
      <c r="AU1651">
        <f>IFERROR(SUMIFS(T_TTAFStock[TTAF_Qty],T_TTAFStock[RM_Code],$A1645,T_TTAFStock[WeekIndex],43),"")</f>
        <v/>
      </c>
      <c r="AV1651">
        <f>IFERROR(SUMIFS(T_TTAFStock[TTAF_Qty],T_TTAFStock[RM_Code],$A1645,T_TTAFStock[WeekIndex],44),"")</f>
        <v/>
      </c>
      <c r="AW1651">
        <f>IFERROR(SUMIFS(T_TTAFStock[TTAF_Qty],T_TTAFStock[RM_Code],$A1645,T_TTAFStock[WeekIndex],45),"")</f>
        <v/>
      </c>
      <c r="AX1651">
        <f>IFERROR(SUMIFS(T_TTAFStock[TTAF_Qty],T_TTAFStock[RM_Code],$A1645,T_TTAFStock[WeekIndex],46),"")</f>
        <v/>
      </c>
      <c r="AY1651">
        <f>IFERROR(SUMIFS(T_TTAFStock[TTAF_Qty],T_TTAFStock[RM_Code],$A1645,T_TTAFStock[WeekIndex],47),"")</f>
        <v/>
      </c>
      <c r="AZ1651">
        <f>IFERROR(SUMIFS(T_TTAFStock[TTAF_Qty],T_TTAFStock[RM_Code],$A1645,T_TTAFStock[WeekIndex],48),"")</f>
        <v/>
      </c>
      <c r="BA1651">
        <f>IFERROR(SUMIFS(T_TTAFStock[TTAF_Qty],T_TTAFStock[RM_Code],$A1645,T_TTAFStock[WeekIndex],49),"")</f>
        <v/>
      </c>
      <c r="BB1651">
        <f>IFERROR(SUMIFS(T_TTAFStock[TTAF_Qty],T_TTAFStock[RM_Code],$A1645,T_TTAFStock[WeekIndex],50),"")</f>
        <v/>
      </c>
      <c r="BC1651">
        <f>IFERROR(SUMIFS(T_TTAFStock[TTAF_Qty],T_TTAFStock[RM_Code],$A1645,T_TTAFStock[WeekIndex],51),"")</f>
        <v/>
      </c>
      <c r="BD1651">
        <f>IFERROR(SUMIFS(T_TTAFStock[TTAF_Qty],T_TTAFStock[RM_Code],$A1645,T_TTAFStock[WeekIndex],52),"")</f>
        <v/>
      </c>
      <c r="BE1651">
        <f>IFERROR(SUMIFS(T_TTAFStock[TTAF_Qty],T_TTAFStock[RM_Code],$A1645,T_TTAFStock[WeekIndex],53),"")</f>
        <v/>
      </c>
      <c r="BF1651">
        <f>IFERROR(SUMIFS(T_TTAFStock[TTAF_Qty],T_TTAFStock[RM_Code],$A1645,T_TTAFStock[WeekIndex],54),"")</f>
        <v/>
      </c>
      <c r="BG1651">
        <f>IFERROR(SUMIFS(T_TTAFStock[TTAF_Qty],T_TTAFStock[RM_Code],$A1645,T_TTAFStock[WeekIndex],55),"")</f>
        <v/>
      </c>
      <c r="BH1651">
        <f>IFERROR(SUMIFS(T_TTAFStock[TTAF_Qty],T_TTAFStock[RM_Code],$A1645,T_TTAFStock[WeekIndex],56),"")</f>
        <v/>
      </c>
      <c r="BI1651">
        <f>IFERROR(SUMIFS(T_TTAFStock[TTAF_Qty],T_TTAFStock[RM_Code],$A1645,T_TTAFStock[WeekIndex],57),"")</f>
        <v/>
      </c>
      <c r="BJ1651">
        <f>IFERROR(SUMIFS(T_TTAFStock[TTAF_Qty],T_TTAFStock[RM_Code],$A1645,T_TTAFStock[WeekIndex],58),"")</f>
        <v/>
      </c>
      <c r="BK1651">
        <f>IFERROR(SUMIFS(T_TTAFStock[TTAF_Qty],T_TTAFStock[RM_Code],$A1645,T_TTAFStock[WeekIndex],59),"")</f>
        <v/>
      </c>
      <c r="BL1651">
        <f>IFERROR(SUMIFS(T_TTAFStock[TTAF_Qty],T_TTAFStock[RM_Code],$A1645,T_TTAFStock[WeekIndex],60),"")</f>
        <v/>
      </c>
      <c r="BM1651">
        <f>IFERROR(SUMIFS(T_TTAFStock[TTAF_Qty],T_TTAFStock[RM_Code],$A1645,T_TTAFStock[WeekIndex],61),"")</f>
        <v/>
      </c>
      <c r="BN1651">
        <f>IFERROR(SUMIFS(T_TTAFStock[TTAF_Qty],T_TTAFStock[RM_Code],$A1645,T_TTAFStock[WeekIndex],62),"")</f>
        <v/>
      </c>
      <c r="BO1651">
        <f>IFERROR(SUMIFS(T_TTAFStock[TTAF_Qty],T_TTAFStock[RM_Code],$A1645,T_TTAFStock[WeekIndex],63),"")</f>
        <v/>
      </c>
      <c r="BP1651">
        <f>IFERROR(SUMIFS(T_TTAFStock[TTAF_Qty],T_TTAFStock[RM_Code],$A1645,T_TTAFStock[WeekIndex],64),"")</f>
        <v/>
      </c>
      <c r="BQ1651">
        <f>IFERROR(SUMIFS(T_TTAFStock[TTAF_Qty],T_TTAFStock[RM_Code],$A1645,T_TTAFStock[WeekIndex],65),"")</f>
        <v/>
      </c>
      <c r="BR1651">
        <f>IFERROR(SUMIFS(T_TTAFStock[TTAF_Qty],T_TTAFStock[RM_Code],$A1645,T_TTAFStock[WeekIndex],66),"")</f>
        <v/>
      </c>
      <c r="BS1651">
        <f>IFERROR(SUMIFS(T_TTAFStock[TTAF_Qty],T_TTAFStock[RM_Code],$A1645,T_TTAFStock[WeekIndex],67),"")</f>
        <v/>
      </c>
      <c r="BT1651">
        <f>IFERROR(SUMIFS(T_TTAFStock[TTAF_Qty],T_TTAFStock[RM_Code],$A1645,T_TTAFStock[WeekIndex],68),"")</f>
        <v/>
      </c>
      <c r="BU1651">
        <f>IFERROR(SUMIFS(T_TTAFStock[TTAF_Qty],T_TTAFStock[RM_Code],$A1645,T_TTAFStock[WeekIndex],69),"")</f>
        <v/>
      </c>
      <c r="BV1651">
        <f>IFERROR(SUMIFS(T_TTAFStock[TTAF_Qty],T_TTAFStock[RM_Code],$A1645,T_TTAFStock[WeekIndex],70),"")</f>
        <v/>
      </c>
      <c r="BW1651">
        <f>IFERROR(SUMIFS(T_TTAFStock[TTAF_Qty],T_TTAFStock[RM_Code],$A1645,T_TTAFStock[WeekIndex],71),"")</f>
        <v/>
      </c>
      <c r="BX1651">
        <f>IFERROR(SUMIFS(T_TTAFStock[TTAF_Qty],T_TTAFStock[RM_Code],$A1645,T_TTAFStock[WeekIndex],72),"")</f>
        <v/>
      </c>
      <c r="BY1651">
        <f>IFERROR(SUMIFS(T_TTAFStock[TTAF_Qty],T_TTAFStock[RM_Code],$A1645,T_TTAFStock[WeekIndex],73),"")</f>
        <v/>
      </c>
      <c r="BZ1651">
        <f>IFERROR(SUMIFS(T_TTAFStock[TTAF_Qty],T_TTAFStock[RM_Code],$A1645,T_TTAFStock[WeekIndex],74),"")</f>
        <v/>
      </c>
      <c r="CA1651">
        <f>IFERROR(SUMIFS(T_TTAFStock[TTAF_Qty],T_TTAFStock[RM_Code],$A1645,T_TTAFStock[WeekIndex],75),"")</f>
        <v/>
      </c>
      <c r="CB1651">
        <f>IFERROR(SUMIFS(T_TTAFStock[TTAF_Qty],T_TTAFStock[RM_Code],$A1645,T_TTAFStock[WeekIndex],76),"")</f>
        <v/>
      </c>
      <c r="CC1651">
        <f>IFERROR(SUMIFS(T_TTAFStock[TTAF_Qty],T_TTAFStock[RM_Code],$A1645,T_TTAFStock[WeekIndex],77),"")</f>
        <v/>
      </c>
      <c r="CD1651">
        <f>IFERROR(SUMIFS(T_TTAFStock[TTAF_Qty],T_TTAFStock[RM_Code],$A1645,T_TTAFStock[WeekIndex],78),"")</f>
        <v/>
      </c>
      <c r="CE1651">
        <f>IFERROR(SUMIFS(T_TTAFStock[TTAF_Qty],T_TTAFStock[RM_Code],$A1645,T_TTAFStock[WeekIndex],79),"")</f>
        <v/>
      </c>
      <c r="CF1651">
        <f>IFERROR(SUMIFS(T_TTAFStock[TTAF_Qty],T_TTAFStock[RM_Code],$A1645,T_TTAFStock[WeekIndex],80),"")</f>
        <v/>
      </c>
      <c r="CG1651">
        <f>IFERROR(SUMIFS(T_TTAFStock[TTAF_Qty],T_TTAFStock[RM_Code],$A1645,T_TTAFStock[WeekIndex],81),"")</f>
        <v/>
      </c>
      <c r="CH1651">
        <f>IFERROR(SUMIFS(T_TTAFStock[TTAF_Qty],T_TTAFStock[RM_Code],$A1645,T_TTAFStock[WeekIndex],82),"")</f>
        <v/>
      </c>
      <c r="CI1651">
        <f>IFERROR(SUMIFS(T_TTAFStock[TTAF_Qty],T_TTAFStock[RM_Code],$A1645,T_TTAFStock[WeekIndex],83),"")</f>
        <v/>
      </c>
      <c r="CJ1651">
        <f>IFERROR(SUMIFS(T_TTAFStock[TTAF_Qty],T_TTAFStock[RM_Code],$A1645,T_TTAFStock[WeekIndex],84),"")</f>
        <v/>
      </c>
      <c r="CK1651">
        <f>IFERROR(SUMIFS(T_TTAFStock[TTAF_Qty],T_TTAFStock[RM_Code],$A1645,T_TTAFStock[WeekIndex],85),"")</f>
        <v/>
      </c>
      <c r="CL1651">
        <f>IFERROR(SUMIFS(T_TTAFStock[TTAF_Qty],T_TTAFStock[RM_Code],$A1645,T_TTAFStock[WeekIndex],86),"")</f>
        <v/>
      </c>
      <c r="CM1651">
        <f>IFERROR(SUMIFS(T_TTAFStock[TTAF_Qty],T_TTAFStock[RM_Code],$A1645,T_TTAFStock[WeekIndex],87),"")</f>
        <v/>
      </c>
      <c r="CN1651">
        <f>IFERROR(SUMIFS(T_TTAFStock[TTAF_Qty],T_TTAFStock[RM_Code],$A1645,T_TTAFStock[WeekIndex],88),"")</f>
        <v/>
      </c>
      <c r="CO1651">
        <f>IFERROR(SUMIFS(T_TTAFStock[TTAF_Qty],T_TTAFStock[RM_Code],$A1645,T_TTAFStock[WeekIndex],89),"")</f>
        <v/>
      </c>
      <c r="CP1651">
        <f>IFERROR(SUMIFS(T_TTAFStock[TTAF_Qty],T_TTAFStock[RM_Code],$A1645,T_TTAFStock[WeekIndex],90),"")</f>
        <v/>
      </c>
      <c r="CQ1651">
        <f>IFERROR(SUMIFS(T_TTAFStock[TTAF_Qty],T_TTAFStock[RM_Code],$A1645,T_TTAFStock[WeekIndex],91),"")</f>
        <v/>
      </c>
      <c r="CR1651">
        <f>IFERROR(SUMIFS(T_TTAFStock[TTAF_Qty],T_TTAFStock[RM_Code],$A1645,T_TTAFStock[WeekIndex],92),"")</f>
        <v/>
      </c>
      <c r="CS1651">
        <f>IFERROR(SUMIFS(T_TTAFStock[TTAF_Qty],T_TTAFStock[RM_Code],$A1645,T_TTAFStock[WeekIndex],93),"")</f>
        <v/>
      </c>
      <c r="CT1651">
        <f>IFERROR(SUMIFS(T_TTAFStock[TTAF_Qty],T_TTAFStock[RM_Code],$A1645,T_TTAFStock[WeekIndex],94),"")</f>
        <v/>
      </c>
      <c r="CU1651">
        <f>IFERROR(SUMIFS(T_TTAFStock[TTAF_Qty],T_TTAFStock[RM_Code],$A1645,T_TTAFStock[WeekIndex],95),"")</f>
        <v/>
      </c>
      <c r="CV1651">
        <f>IFERROR(SUMIFS(T_TTAFStock[TTAF_Qty],T_TTAFStock[RM_Code],$A1645,T_TTAFStock[WeekIndex],96),"")</f>
        <v/>
      </c>
      <c r="CW1651">
        <f>IFERROR(SUMIFS(T_TTAFStock[TTAF_Qty],T_TTAFStock[RM_Code],$A1645,T_TTAFStock[WeekIndex],97),"")</f>
        <v/>
      </c>
      <c r="CX1651">
        <f>IFERROR(SUMIFS(T_TTAFStock[TTAF_Qty],T_TTAFStock[RM_Code],$A1645,T_TTAFStock[WeekIndex],98),"")</f>
        <v/>
      </c>
      <c r="CY1651">
        <f>IFERROR(SUMIFS(T_TTAFStock[TTAF_Qty],T_TTAFStock[RM_Code],$A1645,T_TTAFStock[WeekIndex],99),"")</f>
        <v/>
      </c>
      <c r="CZ1651">
        <f>IFERROR(SUMIFS(T_TTAFStock[TTAF_Qty],T_TTAFStock[RM_Code],$A1645,T_TTAFStock[WeekIndex],100),"")</f>
        <v/>
      </c>
      <c r="DA1651">
        <f>IFERROR(SUMIFS(T_TTAFStock[TTAF_Qty],T_TTAFStock[RM_Code],$A1645,T_TTAFStock[WeekIndex],101),"")</f>
        <v/>
      </c>
      <c r="DB1651">
        <f>IFERROR(SUMIFS(T_TTAFStock[TTAF_Qty],T_TTAFStock[RM_Code],$A1645,T_TTAFStock[WeekIndex],102),"")</f>
        <v/>
      </c>
      <c r="DC1651">
        <f>IFERROR(SUMIFS(T_TTAFStock[TTAF_Qty],T_TTAFStock[RM_Code],$A1645,T_TTAFStock[WeekIndex],103),"")</f>
        <v/>
      </c>
      <c r="DD1651">
        <f>IFERROR(SUMIFS(T_TTAFStock[TTAF_Qty],T_TTAFStock[RM_Code],$A1645,T_TTAFStock[WeekIndex],104),"")</f>
        <v/>
      </c>
    </row>
    <row r="1652">
      <c r="B1652" t="inlineStr">
        <is>
          <t>自社在庫(実績,kg)</t>
        </is>
      </c>
      <c r="D1652">
        <f>IFERROR(INDEX(E1652:DD1652,$F$1),"")</f>
        <v/>
      </c>
      <c r="E1652">
        <f>IFERROR(SUMIFS(T_SelfStock[Self_Qty],T_SelfStock[RM_Code],$A1645,T_SelfStock[WeekIndex],1),"")</f>
        <v/>
      </c>
      <c r="F1652">
        <f>IFERROR(SUMIFS(T_SelfStock[Self_Qty],T_SelfStock[RM_Code],$A1645,T_SelfStock[WeekIndex],2),"")</f>
        <v/>
      </c>
      <c r="G1652">
        <f>IFERROR(SUMIFS(T_SelfStock[Self_Qty],T_SelfStock[RM_Code],$A1645,T_SelfStock[WeekIndex],3),"")</f>
        <v/>
      </c>
      <c r="H1652">
        <f>IFERROR(SUMIFS(T_SelfStock[Self_Qty],T_SelfStock[RM_Code],$A1645,T_SelfStock[WeekIndex],4),"")</f>
        <v/>
      </c>
      <c r="I1652">
        <f>IFERROR(SUMIFS(T_SelfStock[Self_Qty],T_SelfStock[RM_Code],$A1645,T_SelfStock[WeekIndex],5),"")</f>
        <v/>
      </c>
      <c r="J1652">
        <f>IFERROR(SUMIFS(T_SelfStock[Self_Qty],T_SelfStock[RM_Code],$A1645,T_SelfStock[WeekIndex],6),"")</f>
        <v/>
      </c>
      <c r="K1652">
        <f>IFERROR(SUMIFS(T_SelfStock[Self_Qty],T_SelfStock[RM_Code],$A1645,T_SelfStock[WeekIndex],7),"")</f>
        <v/>
      </c>
      <c r="L1652">
        <f>IFERROR(SUMIFS(T_SelfStock[Self_Qty],T_SelfStock[RM_Code],$A1645,T_SelfStock[WeekIndex],8),"")</f>
        <v/>
      </c>
      <c r="M1652">
        <f>IFERROR(SUMIFS(T_SelfStock[Self_Qty],T_SelfStock[RM_Code],$A1645,T_SelfStock[WeekIndex],9),"")</f>
        <v/>
      </c>
      <c r="N1652">
        <f>IFERROR(SUMIFS(T_SelfStock[Self_Qty],T_SelfStock[RM_Code],$A1645,T_SelfStock[WeekIndex],10),"")</f>
        <v/>
      </c>
      <c r="O1652">
        <f>IFERROR(SUMIFS(T_SelfStock[Self_Qty],T_SelfStock[RM_Code],$A1645,T_SelfStock[WeekIndex],11),"")</f>
        <v/>
      </c>
      <c r="P1652">
        <f>IFERROR(SUMIFS(T_SelfStock[Self_Qty],T_SelfStock[RM_Code],$A1645,T_SelfStock[WeekIndex],12),"")</f>
        <v/>
      </c>
      <c r="Q1652">
        <f>IFERROR(SUMIFS(T_SelfStock[Self_Qty],T_SelfStock[RM_Code],$A1645,T_SelfStock[WeekIndex],13),"")</f>
        <v/>
      </c>
      <c r="R1652">
        <f>IFERROR(SUMIFS(T_SelfStock[Self_Qty],T_SelfStock[RM_Code],$A1645,T_SelfStock[WeekIndex],14),"")</f>
        <v/>
      </c>
      <c r="S1652">
        <f>IFERROR(SUMIFS(T_SelfStock[Self_Qty],T_SelfStock[RM_Code],$A1645,T_SelfStock[WeekIndex],15),"")</f>
        <v/>
      </c>
      <c r="T1652">
        <f>IFERROR(SUMIFS(T_SelfStock[Self_Qty],T_SelfStock[RM_Code],$A1645,T_SelfStock[WeekIndex],16),"")</f>
        <v/>
      </c>
      <c r="U1652">
        <f>IFERROR(SUMIFS(T_SelfStock[Self_Qty],T_SelfStock[RM_Code],$A1645,T_SelfStock[WeekIndex],17),"")</f>
        <v/>
      </c>
      <c r="V1652">
        <f>IFERROR(SUMIFS(T_SelfStock[Self_Qty],T_SelfStock[RM_Code],$A1645,T_SelfStock[WeekIndex],18),"")</f>
        <v/>
      </c>
      <c r="W1652">
        <f>IFERROR(SUMIFS(T_SelfStock[Self_Qty],T_SelfStock[RM_Code],$A1645,T_SelfStock[WeekIndex],19),"")</f>
        <v/>
      </c>
      <c r="X1652">
        <f>IFERROR(SUMIFS(T_SelfStock[Self_Qty],T_SelfStock[RM_Code],$A1645,T_SelfStock[WeekIndex],20),"")</f>
        <v/>
      </c>
      <c r="Y1652">
        <f>IFERROR(SUMIFS(T_SelfStock[Self_Qty],T_SelfStock[RM_Code],$A1645,T_SelfStock[WeekIndex],21),"")</f>
        <v/>
      </c>
      <c r="Z1652">
        <f>IFERROR(SUMIFS(T_SelfStock[Self_Qty],T_SelfStock[RM_Code],$A1645,T_SelfStock[WeekIndex],22),"")</f>
        <v/>
      </c>
      <c r="AA1652">
        <f>IFERROR(SUMIFS(T_SelfStock[Self_Qty],T_SelfStock[RM_Code],$A1645,T_SelfStock[WeekIndex],23),"")</f>
        <v/>
      </c>
      <c r="AB1652">
        <f>IFERROR(SUMIFS(T_SelfStock[Self_Qty],T_SelfStock[RM_Code],$A1645,T_SelfStock[WeekIndex],24),"")</f>
        <v/>
      </c>
      <c r="AC1652">
        <f>IFERROR(SUMIFS(T_SelfStock[Self_Qty],T_SelfStock[RM_Code],$A1645,T_SelfStock[WeekIndex],25),"")</f>
        <v/>
      </c>
      <c r="AD1652">
        <f>IFERROR(SUMIFS(T_SelfStock[Self_Qty],T_SelfStock[RM_Code],$A1645,T_SelfStock[WeekIndex],26),"")</f>
        <v/>
      </c>
      <c r="AE1652">
        <f>IFERROR(SUMIFS(T_SelfStock[Self_Qty],T_SelfStock[RM_Code],$A1645,T_SelfStock[WeekIndex],27),"")</f>
        <v/>
      </c>
      <c r="AF1652">
        <f>IFERROR(SUMIFS(T_SelfStock[Self_Qty],T_SelfStock[RM_Code],$A1645,T_SelfStock[WeekIndex],28),"")</f>
        <v/>
      </c>
      <c r="AG1652">
        <f>IFERROR(SUMIFS(T_SelfStock[Self_Qty],T_SelfStock[RM_Code],$A1645,T_SelfStock[WeekIndex],29),"")</f>
        <v/>
      </c>
      <c r="AH1652">
        <f>IFERROR(SUMIFS(T_SelfStock[Self_Qty],T_SelfStock[RM_Code],$A1645,T_SelfStock[WeekIndex],30),"")</f>
        <v/>
      </c>
      <c r="AI1652">
        <f>IFERROR(SUMIFS(T_SelfStock[Self_Qty],T_SelfStock[RM_Code],$A1645,T_SelfStock[WeekIndex],31),"")</f>
        <v/>
      </c>
      <c r="AJ1652">
        <f>IFERROR(SUMIFS(T_SelfStock[Self_Qty],T_SelfStock[RM_Code],$A1645,T_SelfStock[WeekIndex],32),"")</f>
        <v/>
      </c>
      <c r="AK1652">
        <f>IFERROR(SUMIFS(T_SelfStock[Self_Qty],T_SelfStock[RM_Code],$A1645,T_SelfStock[WeekIndex],33),"")</f>
        <v/>
      </c>
      <c r="AL1652">
        <f>IFERROR(SUMIFS(T_SelfStock[Self_Qty],T_SelfStock[RM_Code],$A1645,T_SelfStock[WeekIndex],34),"")</f>
        <v/>
      </c>
      <c r="AM1652">
        <f>IFERROR(SUMIFS(T_SelfStock[Self_Qty],T_SelfStock[RM_Code],$A1645,T_SelfStock[WeekIndex],35),"")</f>
        <v/>
      </c>
      <c r="AN1652">
        <f>IFERROR(SUMIFS(T_SelfStock[Self_Qty],T_SelfStock[RM_Code],$A1645,T_SelfStock[WeekIndex],36),"")</f>
        <v/>
      </c>
      <c r="AO1652">
        <f>IFERROR(SUMIFS(T_SelfStock[Self_Qty],T_SelfStock[RM_Code],$A1645,T_SelfStock[WeekIndex],37),"")</f>
        <v/>
      </c>
      <c r="AP1652">
        <f>IFERROR(SUMIFS(T_SelfStock[Self_Qty],T_SelfStock[RM_Code],$A1645,T_SelfStock[WeekIndex],38),"")</f>
        <v/>
      </c>
      <c r="AQ1652">
        <f>IFERROR(SUMIFS(T_SelfStock[Self_Qty],T_SelfStock[RM_Code],$A1645,T_SelfStock[WeekIndex],39),"")</f>
        <v/>
      </c>
      <c r="AR1652">
        <f>IFERROR(SUMIFS(T_SelfStock[Self_Qty],T_SelfStock[RM_Code],$A1645,T_SelfStock[WeekIndex],40),"")</f>
        <v/>
      </c>
      <c r="AS1652">
        <f>IFERROR(SUMIFS(T_SelfStock[Self_Qty],T_SelfStock[RM_Code],$A1645,T_SelfStock[WeekIndex],41),"")</f>
        <v/>
      </c>
      <c r="AT1652">
        <f>IFERROR(SUMIFS(T_SelfStock[Self_Qty],T_SelfStock[RM_Code],$A1645,T_SelfStock[WeekIndex],42),"")</f>
        <v/>
      </c>
      <c r="AU1652">
        <f>IFERROR(SUMIFS(T_SelfStock[Self_Qty],T_SelfStock[RM_Code],$A1645,T_SelfStock[WeekIndex],43),"")</f>
        <v/>
      </c>
      <c r="AV1652">
        <f>IFERROR(SUMIFS(T_SelfStock[Self_Qty],T_SelfStock[RM_Code],$A1645,T_SelfStock[WeekIndex],44),"")</f>
        <v/>
      </c>
      <c r="AW1652">
        <f>IFERROR(SUMIFS(T_SelfStock[Self_Qty],T_SelfStock[RM_Code],$A1645,T_SelfStock[WeekIndex],45),"")</f>
        <v/>
      </c>
      <c r="AX1652">
        <f>IFERROR(SUMIFS(T_SelfStock[Self_Qty],T_SelfStock[RM_Code],$A1645,T_SelfStock[WeekIndex],46),"")</f>
        <v/>
      </c>
      <c r="AY1652">
        <f>IFERROR(SUMIFS(T_SelfStock[Self_Qty],T_SelfStock[RM_Code],$A1645,T_SelfStock[WeekIndex],47),"")</f>
        <v/>
      </c>
      <c r="AZ1652">
        <f>IFERROR(SUMIFS(T_SelfStock[Self_Qty],T_SelfStock[RM_Code],$A1645,T_SelfStock[WeekIndex],48),"")</f>
        <v/>
      </c>
      <c r="BA1652">
        <f>IFERROR(SUMIFS(T_SelfStock[Self_Qty],T_SelfStock[RM_Code],$A1645,T_SelfStock[WeekIndex],49),"")</f>
        <v/>
      </c>
      <c r="BB1652">
        <f>IFERROR(SUMIFS(T_SelfStock[Self_Qty],T_SelfStock[RM_Code],$A1645,T_SelfStock[WeekIndex],50),"")</f>
        <v/>
      </c>
      <c r="BC1652">
        <f>IFERROR(SUMIFS(T_SelfStock[Self_Qty],T_SelfStock[RM_Code],$A1645,T_SelfStock[WeekIndex],51),"")</f>
        <v/>
      </c>
      <c r="BD1652">
        <f>IFERROR(SUMIFS(T_SelfStock[Self_Qty],T_SelfStock[RM_Code],$A1645,T_SelfStock[WeekIndex],52),"")</f>
        <v/>
      </c>
      <c r="BE1652">
        <f>IFERROR(SUMIFS(T_SelfStock[Self_Qty],T_SelfStock[RM_Code],$A1645,T_SelfStock[WeekIndex],53),"")</f>
        <v/>
      </c>
      <c r="BF1652">
        <f>IFERROR(SUMIFS(T_SelfStock[Self_Qty],T_SelfStock[RM_Code],$A1645,T_SelfStock[WeekIndex],54),"")</f>
        <v/>
      </c>
      <c r="BG1652">
        <f>IFERROR(SUMIFS(T_SelfStock[Self_Qty],T_SelfStock[RM_Code],$A1645,T_SelfStock[WeekIndex],55),"")</f>
        <v/>
      </c>
      <c r="BH1652">
        <f>IFERROR(SUMIFS(T_SelfStock[Self_Qty],T_SelfStock[RM_Code],$A1645,T_SelfStock[WeekIndex],56),"")</f>
        <v/>
      </c>
      <c r="BI1652">
        <f>IFERROR(SUMIFS(T_SelfStock[Self_Qty],T_SelfStock[RM_Code],$A1645,T_SelfStock[WeekIndex],57),"")</f>
        <v/>
      </c>
      <c r="BJ1652">
        <f>IFERROR(SUMIFS(T_SelfStock[Self_Qty],T_SelfStock[RM_Code],$A1645,T_SelfStock[WeekIndex],58),"")</f>
        <v/>
      </c>
      <c r="BK1652">
        <f>IFERROR(SUMIFS(T_SelfStock[Self_Qty],T_SelfStock[RM_Code],$A1645,T_SelfStock[WeekIndex],59),"")</f>
        <v/>
      </c>
      <c r="BL1652">
        <f>IFERROR(SUMIFS(T_SelfStock[Self_Qty],T_SelfStock[RM_Code],$A1645,T_SelfStock[WeekIndex],60),"")</f>
        <v/>
      </c>
      <c r="BM1652">
        <f>IFERROR(SUMIFS(T_SelfStock[Self_Qty],T_SelfStock[RM_Code],$A1645,T_SelfStock[WeekIndex],61),"")</f>
        <v/>
      </c>
      <c r="BN1652">
        <f>IFERROR(SUMIFS(T_SelfStock[Self_Qty],T_SelfStock[RM_Code],$A1645,T_SelfStock[WeekIndex],62),"")</f>
        <v/>
      </c>
      <c r="BO1652">
        <f>IFERROR(SUMIFS(T_SelfStock[Self_Qty],T_SelfStock[RM_Code],$A1645,T_SelfStock[WeekIndex],63),"")</f>
        <v/>
      </c>
      <c r="BP1652">
        <f>IFERROR(SUMIFS(T_SelfStock[Self_Qty],T_SelfStock[RM_Code],$A1645,T_SelfStock[WeekIndex],64),"")</f>
        <v/>
      </c>
      <c r="BQ1652">
        <f>IFERROR(SUMIFS(T_SelfStock[Self_Qty],T_SelfStock[RM_Code],$A1645,T_SelfStock[WeekIndex],65),"")</f>
        <v/>
      </c>
      <c r="BR1652">
        <f>IFERROR(SUMIFS(T_SelfStock[Self_Qty],T_SelfStock[RM_Code],$A1645,T_SelfStock[WeekIndex],66),"")</f>
        <v/>
      </c>
      <c r="BS1652">
        <f>IFERROR(SUMIFS(T_SelfStock[Self_Qty],T_SelfStock[RM_Code],$A1645,T_SelfStock[WeekIndex],67),"")</f>
        <v/>
      </c>
      <c r="BT1652">
        <f>IFERROR(SUMIFS(T_SelfStock[Self_Qty],T_SelfStock[RM_Code],$A1645,T_SelfStock[WeekIndex],68),"")</f>
        <v/>
      </c>
      <c r="BU1652">
        <f>IFERROR(SUMIFS(T_SelfStock[Self_Qty],T_SelfStock[RM_Code],$A1645,T_SelfStock[WeekIndex],69),"")</f>
        <v/>
      </c>
      <c r="BV1652">
        <f>IFERROR(SUMIFS(T_SelfStock[Self_Qty],T_SelfStock[RM_Code],$A1645,T_SelfStock[WeekIndex],70),"")</f>
        <v/>
      </c>
      <c r="BW1652">
        <f>IFERROR(SUMIFS(T_SelfStock[Self_Qty],T_SelfStock[RM_Code],$A1645,T_SelfStock[WeekIndex],71),"")</f>
        <v/>
      </c>
      <c r="BX1652">
        <f>IFERROR(SUMIFS(T_SelfStock[Self_Qty],T_SelfStock[RM_Code],$A1645,T_SelfStock[WeekIndex],72),"")</f>
        <v/>
      </c>
      <c r="BY1652">
        <f>IFERROR(SUMIFS(T_SelfStock[Self_Qty],T_SelfStock[RM_Code],$A1645,T_SelfStock[WeekIndex],73),"")</f>
        <v/>
      </c>
      <c r="BZ1652">
        <f>IFERROR(SUMIFS(T_SelfStock[Self_Qty],T_SelfStock[RM_Code],$A1645,T_SelfStock[WeekIndex],74),"")</f>
        <v/>
      </c>
      <c r="CA1652">
        <f>IFERROR(SUMIFS(T_SelfStock[Self_Qty],T_SelfStock[RM_Code],$A1645,T_SelfStock[WeekIndex],75),"")</f>
        <v/>
      </c>
      <c r="CB1652">
        <f>IFERROR(SUMIFS(T_SelfStock[Self_Qty],T_SelfStock[RM_Code],$A1645,T_SelfStock[WeekIndex],76),"")</f>
        <v/>
      </c>
      <c r="CC1652">
        <f>IFERROR(SUMIFS(T_SelfStock[Self_Qty],T_SelfStock[RM_Code],$A1645,T_SelfStock[WeekIndex],77),"")</f>
        <v/>
      </c>
      <c r="CD1652">
        <f>IFERROR(SUMIFS(T_SelfStock[Self_Qty],T_SelfStock[RM_Code],$A1645,T_SelfStock[WeekIndex],78),"")</f>
        <v/>
      </c>
      <c r="CE1652">
        <f>IFERROR(SUMIFS(T_SelfStock[Self_Qty],T_SelfStock[RM_Code],$A1645,T_SelfStock[WeekIndex],79),"")</f>
        <v/>
      </c>
      <c r="CF1652">
        <f>IFERROR(SUMIFS(T_SelfStock[Self_Qty],T_SelfStock[RM_Code],$A1645,T_SelfStock[WeekIndex],80),"")</f>
        <v/>
      </c>
      <c r="CG1652">
        <f>IFERROR(SUMIFS(T_SelfStock[Self_Qty],T_SelfStock[RM_Code],$A1645,T_SelfStock[WeekIndex],81),"")</f>
        <v/>
      </c>
      <c r="CH1652">
        <f>IFERROR(SUMIFS(T_SelfStock[Self_Qty],T_SelfStock[RM_Code],$A1645,T_SelfStock[WeekIndex],82),"")</f>
        <v/>
      </c>
      <c r="CI1652">
        <f>IFERROR(SUMIFS(T_SelfStock[Self_Qty],T_SelfStock[RM_Code],$A1645,T_SelfStock[WeekIndex],83),"")</f>
        <v/>
      </c>
      <c r="CJ1652">
        <f>IFERROR(SUMIFS(T_SelfStock[Self_Qty],T_SelfStock[RM_Code],$A1645,T_SelfStock[WeekIndex],84),"")</f>
        <v/>
      </c>
      <c r="CK1652">
        <f>IFERROR(SUMIFS(T_SelfStock[Self_Qty],T_SelfStock[RM_Code],$A1645,T_SelfStock[WeekIndex],85),"")</f>
        <v/>
      </c>
      <c r="CL1652">
        <f>IFERROR(SUMIFS(T_SelfStock[Self_Qty],T_SelfStock[RM_Code],$A1645,T_SelfStock[WeekIndex],86),"")</f>
        <v/>
      </c>
      <c r="CM1652">
        <f>IFERROR(SUMIFS(T_SelfStock[Self_Qty],T_SelfStock[RM_Code],$A1645,T_SelfStock[WeekIndex],87),"")</f>
        <v/>
      </c>
      <c r="CN1652">
        <f>IFERROR(SUMIFS(T_SelfStock[Self_Qty],T_SelfStock[RM_Code],$A1645,T_SelfStock[WeekIndex],88),"")</f>
        <v/>
      </c>
      <c r="CO1652">
        <f>IFERROR(SUMIFS(T_SelfStock[Self_Qty],T_SelfStock[RM_Code],$A1645,T_SelfStock[WeekIndex],89),"")</f>
        <v/>
      </c>
      <c r="CP1652">
        <f>IFERROR(SUMIFS(T_SelfStock[Self_Qty],T_SelfStock[RM_Code],$A1645,T_SelfStock[WeekIndex],90),"")</f>
        <v/>
      </c>
      <c r="CQ1652">
        <f>IFERROR(SUMIFS(T_SelfStock[Self_Qty],T_SelfStock[RM_Code],$A1645,T_SelfStock[WeekIndex],91),"")</f>
        <v/>
      </c>
      <c r="CR1652">
        <f>IFERROR(SUMIFS(T_SelfStock[Self_Qty],T_SelfStock[RM_Code],$A1645,T_SelfStock[WeekIndex],92),"")</f>
        <v/>
      </c>
      <c r="CS1652">
        <f>IFERROR(SUMIFS(T_SelfStock[Self_Qty],T_SelfStock[RM_Code],$A1645,T_SelfStock[WeekIndex],93),"")</f>
        <v/>
      </c>
      <c r="CT1652">
        <f>IFERROR(SUMIFS(T_SelfStock[Self_Qty],T_SelfStock[RM_Code],$A1645,T_SelfStock[WeekIndex],94),"")</f>
        <v/>
      </c>
      <c r="CU1652">
        <f>IFERROR(SUMIFS(T_SelfStock[Self_Qty],T_SelfStock[RM_Code],$A1645,T_SelfStock[WeekIndex],95),"")</f>
        <v/>
      </c>
      <c r="CV1652">
        <f>IFERROR(SUMIFS(T_SelfStock[Self_Qty],T_SelfStock[RM_Code],$A1645,T_SelfStock[WeekIndex],96),"")</f>
        <v/>
      </c>
      <c r="CW1652">
        <f>IFERROR(SUMIFS(T_SelfStock[Self_Qty],T_SelfStock[RM_Code],$A1645,T_SelfStock[WeekIndex],97),"")</f>
        <v/>
      </c>
      <c r="CX1652">
        <f>IFERROR(SUMIFS(T_SelfStock[Self_Qty],T_SelfStock[RM_Code],$A1645,T_SelfStock[WeekIndex],98),"")</f>
        <v/>
      </c>
      <c r="CY1652">
        <f>IFERROR(SUMIFS(T_SelfStock[Self_Qty],T_SelfStock[RM_Code],$A1645,T_SelfStock[WeekIndex],99),"")</f>
        <v/>
      </c>
      <c r="CZ1652">
        <f>IFERROR(SUMIFS(T_SelfStock[Self_Qty],T_SelfStock[RM_Code],$A1645,T_SelfStock[WeekIndex],100),"")</f>
        <v/>
      </c>
      <c r="DA1652">
        <f>IFERROR(SUMIFS(T_SelfStock[Self_Qty],T_SelfStock[RM_Code],$A1645,T_SelfStock[WeekIndex],101),"")</f>
        <v/>
      </c>
      <c r="DB1652">
        <f>IFERROR(SUMIFS(T_SelfStock[Self_Qty],T_SelfStock[RM_Code],$A1645,T_SelfStock[WeekIndex],102),"")</f>
        <v/>
      </c>
      <c r="DC1652">
        <f>IFERROR(SUMIFS(T_SelfStock[Self_Qty],T_SelfStock[RM_Code],$A1645,T_SelfStock[WeekIndex],103),"")</f>
        <v/>
      </c>
      <c r="DD1652">
        <f>IFERROR(SUMIFS(T_SelfStock[Self_Qty],T_SelfStock[RM_Code],$A1645,T_SelfStock[WeekIndex],104),"")</f>
        <v/>
      </c>
    </row>
    <row r="1653">
      <c r="B1653" s="4" t="inlineStr">
        <is>
          <t>合計在庫(週末時点,kg)</t>
        </is>
      </c>
      <c r="D1653" s="24">
        <f>IFERROR(INDEX(E1653:DD1653,$F$1),"")</f>
        <v/>
      </c>
      <c r="E1653">
        <f>'Grid_Stock'!B57</f>
        <v/>
      </c>
      <c r="F1653">
        <f>'Grid_Stock'!C57</f>
        <v/>
      </c>
      <c r="G1653">
        <f>'Grid_Stock'!D57</f>
        <v/>
      </c>
      <c r="H1653">
        <f>'Grid_Stock'!E57</f>
        <v/>
      </c>
      <c r="I1653">
        <f>'Grid_Stock'!F57</f>
        <v/>
      </c>
      <c r="J1653">
        <f>'Grid_Stock'!G57</f>
        <v/>
      </c>
      <c r="K1653">
        <f>'Grid_Stock'!H57</f>
        <v/>
      </c>
      <c r="L1653">
        <f>'Grid_Stock'!I57</f>
        <v/>
      </c>
      <c r="M1653">
        <f>'Grid_Stock'!J57</f>
        <v/>
      </c>
      <c r="N1653">
        <f>'Grid_Stock'!K57</f>
        <v/>
      </c>
      <c r="O1653">
        <f>'Grid_Stock'!L57</f>
        <v/>
      </c>
      <c r="P1653">
        <f>'Grid_Stock'!M57</f>
        <v/>
      </c>
      <c r="Q1653">
        <f>'Grid_Stock'!N57</f>
        <v/>
      </c>
      <c r="R1653">
        <f>'Grid_Stock'!O57</f>
        <v/>
      </c>
      <c r="S1653">
        <f>'Grid_Stock'!P57</f>
        <v/>
      </c>
      <c r="T1653">
        <f>'Grid_Stock'!Q57</f>
        <v/>
      </c>
      <c r="U1653">
        <f>'Grid_Stock'!R57</f>
        <v/>
      </c>
      <c r="V1653">
        <f>'Grid_Stock'!S57</f>
        <v/>
      </c>
      <c r="W1653">
        <f>'Grid_Stock'!T57</f>
        <v/>
      </c>
      <c r="X1653">
        <f>'Grid_Stock'!U57</f>
        <v/>
      </c>
      <c r="Y1653">
        <f>'Grid_Stock'!V57</f>
        <v/>
      </c>
      <c r="Z1653">
        <f>'Grid_Stock'!W57</f>
        <v/>
      </c>
      <c r="AA1653">
        <f>'Grid_Stock'!X57</f>
        <v/>
      </c>
      <c r="AB1653">
        <f>'Grid_Stock'!Y57</f>
        <v/>
      </c>
      <c r="AC1653">
        <f>'Grid_Stock'!Z57</f>
        <v/>
      </c>
      <c r="AD1653">
        <f>'Grid_Stock'!AA57</f>
        <v/>
      </c>
      <c r="AE1653">
        <f>'Grid_Stock'!AB57</f>
        <v/>
      </c>
      <c r="AF1653">
        <f>'Grid_Stock'!AC57</f>
        <v/>
      </c>
      <c r="AG1653">
        <f>'Grid_Stock'!AD57</f>
        <v/>
      </c>
      <c r="AH1653">
        <f>'Grid_Stock'!AE57</f>
        <v/>
      </c>
      <c r="AI1653">
        <f>'Grid_Stock'!AF57</f>
        <v/>
      </c>
      <c r="AJ1653">
        <f>'Grid_Stock'!AG57</f>
        <v/>
      </c>
      <c r="AK1653">
        <f>'Grid_Stock'!AH57</f>
        <v/>
      </c>
      <c r="AL1653">
        <f>'Grid_Stock'!AI57</f>
        <v/>
      </c>
      <c r="AM1653">
        <f>'Grid_Stock'!AJ57</f>
        <v/>
      </c>
      <c r="AN1653">
        <f>'Grid_Stock'!AK57</f>
        <v/>
      </c>
      <c r="AO1653">
        <f>'Grid_Stock'!AL57</f>
        <v/>
      </c>
      <c r="AP1653">
        <f>'Grid_Stock'!AM57</f>
        <v/>
      </c>
      <c r="AQ1653">
        <f>'Grid_Stock'!AN57</f>
        <v/>
      </c>
      <c r="AR1653">
        <f>'Grid_Stock'!AO57</f>
        <v/>
      </c>
      <c r="AS1653">
        <f>'Grid_Stock'!AP57</f>
        <v/>
      </c>
      <c r="AT1653">
        <f>'Grid_Stock'!AQ57</f>
        <v/>
      </c>
      <c r="AU1653">
        <f>'Grid_Stock'!AR57</f>
        <v/>
      </c>
      <c r="AV1653">
        <f>'Grid_Stock'!AS57</f>
        <v/>
      </c>
      <c r="AW1653">
        <f>'Grid_Stock'!AT57</f>
        <v/>
      </c>
      <c r="AX1653">
        <f>'Grid_Stock'!AU57</f>
        <v/>
      </c>
      <c r="AY1653">
        <f>'Grid_Stock'!AV57</f>
        <v/>
      </c>
      <c r="AZ1653">
        <f>'Grid_Stock'!AW57</f>
        <v/>
      </c>
      <c r="BA1653">
        <f>'Grid_Stock'!AX57</f>
        <v/>
      </c>
      <c r="BB1653">
        <f>'Grid_Stock'!AY57</f>
        <v/>
      </c>
      <c r="BC1653">
        <f>'Grid_Stock'!AZ57</f>
        <v/>
      </c>
      <c r="BD1653">
        <f>'Grid_Stock'!BA57</f>
        <v/>
      </c>
      <c r="BE1653">
        <f>'Grid_Stock'!BB57</f>
        <v/>
      </c>
      <c r="BF1653">
        <f>'Grid_Stock'!BC57</f>
        <v/>
      </c>
      <c r="BG1653">
        <f>'Grid_Stock'!BD57</f>
        <v/>
      </c>
      <c r="BH1653">
        <f>'Grid_Stock'!BE57</f>
        <v/>
      </c>
      <c r="BI1653">
        <f>'Grid_Stock'!BF57</f>
        <v/>
      </c>
      <c r="BJ1653">
        <f>'Grid_Stock'!BG57</f>
        <v/>
      </c>
      <c r="BK1653">
        <f>'Grid_Stock'!BH57</f>
        <v/>
      </c>
      <c r="BL1653">
        <f>'Grid_Stock'!BI57</f>
        <v/>
      </c>
      <c r="BM1653">
        <f>'Grid_Stock'!BJ57</f>
        <v/>
      </c>
      <c r="BN1653">
        <f>'Grid_Stock'!BK57</f>
        <v/>
      </c>
      <c r="BO1653">
        <f>'Grid_Stock'!BL57</f>
        <v/>
      </c>
      <c r="BP1653">
        <f>'Grid_Stock'!BM57</f>
        <v/>
      </c>
      <c r="BQ1653">
        <f>'Grid_Stock'!BN57</f>
        <v/>
      </c>
      <c r="BR1653">
        <f>'Grid_Stock'!BO57</f>
        <v/>
      </c>
      <c r="BS1653">
        <f>'Grid_Stock'!BP57</f>
        <v/>
      </c>
      <c r="BT1653">
        <f>'Grid_Stock'!BQ57</f>
        <v/>
      </c>
      <c r="BU1653">
        <f>'Grid_Stock'!BR57</f>
        <v/>
      </c>
      <c r="BV1653">
        <f>'Grid_Stock'!BS57</f>
        <v/>
      </c>
      <c r="BW1653">
        <f>'Grid_Stock'!BT57</f>
        <v/>
      </c>
      <c r="BX1653">
        <f>'Grid_Stock'!BU57</f>
        <v/>
      </c>
      <c r="BY1653">
        <f>'Grid_Stock'!BV57</f>
        <v/>
      </c>
      <c r="BZ1653">
        <f>'Grid_Stock'!BW57</f>
        <v/>
      </c>
      <c r="CA1653">
        <f>'Grid_Stock'!BX57</f>
        <v/>
      </c>
      <c r="CB1653">
        <f>'Grid_Stock'!BY57</f>
        <v/>
      </c>
      <c r="CC1653">
        <f>'Grid_Stock'!BZ57</f>
        <v/>
      </c>
      <c r="CD1653">
        <f>'Grid_Stock'!CA57</f>
        <v/>
      </c>
      <c r="CE1653">
        <f>'Grid_Stock'!CB57</f>
        <v/>
      </c>
      <c r="CF1653">
        <f>'Grid_Stock'!CC57</f>
        <v/>
      </c>
      <c r="CG1653">
        <f>'Grid_Stock'!CD57</f>
        <v/>
      </c>
      <c r="CH1653">
        <f>'Grid_Stock'!CE57</f>
        <v/>
      </c>
      <c r="CI1653">
        <f>'Grid_Stock'!CF57</f>
        <v/>
      </c>
      <c r="CJ1653">
        <f>'Grid_Stock'!CG57</f>
        <v/>
      </c>
      <c r="CK1653">
        <f>'Grid_Stock'!CH57</f>
        <v/>
      </c>
      <c r="CL1653">
        <f>'Grid_Stock'!CI57</f>
        <v/>
      </c>
      <c r="CM1653">
        <f>'Grid_Stock'!CJ57</f>
        <v/>
      </c>
      <c r="CN1653">
        <f>'Grid_Stock'!CK57</f>
        <v/>
      </c>
      <c r="CO1653">
        <f>'Grid_Stock'!CL57</f>
        <v/>
      </c>
      <c r="CP1653">
        <f>'Grid_Stock'!CM57</f>
        <v/>
      </c>
      <c r="CQ1653">
        <f>'Grid_Stock'!CN57</f>
        <v/>
      </c>
      <c r="CR1653">
        <f>'Grid_Stock'!CO57</f>
        <v/>
      </c>
      <c r="CS1653">
        <f>'Grid_Stock'!CP57</f>
        <v/>
      </c>
      <c r="CT1653">
        <f>'Grid_Stock'!CQ57</f>
        <v/>
      </c>
      <c r="CU1653">
        <f>'Grid_Stock'!CR57</f>
        <v/>
      </c>
      <c r="CV1653">
        <f>'Grid_Stock'!CS57</f>
        <v/>
      </c>
      <c r="CW1653">
        <f>'Grid_Stock'!CT57</f>
        <v/>
      </c>
      <c r="CX1653">
        <f>'Grid_Stock'!CU57</f>
        <v/>
      </c>
      <c r="CY1653">
        <f>'Grid_Stock'!CV57</f>
        <v/>
      </c>
      <c r="CZ1653">
        <f>'Grid_Stock'!CW57</f>
        <v/>
      </c>
      <c r="DA1653">
        <f>'Grid_Stock'!CX57</f>
        <v/>
      </c>
      <c r="DB1653">
        <f>'Grid_Stock'!CY57</f>
        <v/>
      </c>
      <c r="DC1653">
        <f>'Grid_Stock'!CZ57</f>
        <v/>
      </c>
      <c r="DD1653">
        <f>'Grid_Stock'!DA57</f>
        <v/>
      </c>
    </row>
    <row r="1654">
      <c r="B1654" s="25" t="inlineStr">
        <is>
          <t>（発注の目安はDashboardの基準在庫[下限/上限]と色分けを参照）</t>
        </is>
      </c>
    </row>
    <row r="1656">
      <c r="A1656" s="21" t="inlineStr">
        <is>
          <t>CHEM-1110</t>
        </is>
      </c>
      <c r="B1656" s="21" t="inlineStr">
        <is>
          <t>Alumina Powder Mi-386</t>
        </is>
      </c>
      <c r="C1656" s="22" t="n"/>
      <c r="D1656" s="21" t="n"/>
      <c r="E1656" s="21" t="n"/>
      <c r="F1656" s="21" t="n"/>
      <c r="G1656" s="21" t="n"/>
      <c r="H1656" s="21" t="n"/>
      <c r="I1656" s="21" t="n"/>
      <c r="J1656" s="21" t="n"/>
      <c r="K1656" s="21" t="n"/>
      <c r="L1656" s="21" t="n"/>
      <c r="M1656" s="21" t="n"/>
      <c r="N1656" s="21" t="n"/>
      <c r="O1656" s="21" t="n"/>
      <c r="P1656" s="21" t="n"/>
      <c r="Q1656" s="21" t="n"/>
      <c r="R1656" s="21" t="n"/>
      <c r="S1656" s="21" t="n"/>
      <c r="T1656" s="21" t="n"/>
      <c r="U1656" s="21" t="n"/>
      <c r="V1656" s="21" t="n"/>
      <c r="W1656" s="21" t="n"/>
      <c r="X1656" s="21" t="n"/>
      <c r="Y1656" s="21" t="n"/>
      <c r="Z1656" s="21" t="n"/>
      <c r="AA1656" s="21" t="n"/>
      <c r="AB1656" s="21" t="n"/>
      <c r="AC1656" s="21" t="n"/>
      <c r="AD1656" s="21" t="n"/>
      <c r="AE1656" s="21" t="n"/>
      <c r="AF1656" s="21" t="n"/>
      <c r="AG1656" s="21" t="n"/>
      <c r="AH1656" s="21" t="n"/>
      <c r="AI1656" s="21" t="n"/>
      <c r="AJ1656" s="21" t="n"/>
      <c r="AK1656" s="21" t="n"/>
      <c r="AL1656" s="21" t="n"/>
      <c r="AM1656" s="21" t="n"/>
      <c r="AN1656" s="21" t="n"/>
      <c r="AO1656" s="21" t="n"/>
      <c r="AP1656" s="21" t="n"/>
      <c r="AQ1656" s="21" t="n"/>
      <c r="AR1656" s="21" t="n"/>
      <c r="AS1656" s="21" t="n"/>
      <c r="AT1656" s="21" t="n"/>
      <c r="AU1656" s="21" t="n"/>
      <c r="AV1656" s="21" t="n"/>
      <c r="AW1656" s="21" t="n"/>
      <c r="AX1656" s="21" t="n"/>
      <c r="AY1656" s="21" t="n"/>
      <c r="AZ1656" s="21" t="n"/>
      <c r="BA1656" s="21" t="n"/>
      <c r="BB1656" s="21" t="n"/>
      <c r="BC1656" s="21" t="n"/>
      <c r="BD1656" s="21" t="n"/>
      <c r="BE1656" s="21" t="n"/>
      <c r="BF1656" s="21" t="n"/>
      <c r="BG1656" s="21" t="n"/>
      <c r="BH1656" s="21" t="n"/>
      <c r="BI1656" s="21" t="n"/>
      <c r="BJ1656" s="21" t="n"/>
      <c r="BK1656" s="21" t="n"/>
      <c r="BL1656" s="21" t="n"/>
      <c r="BM1656" s="21" t="n"/>
      <c r="BN1656" s="21" t="n"/>
      <c r="BO1656" s="21" t="n"/>
      <c r="BP1656" s="21" t="n"/>
      <c r="BQ1656" s="21" t="n"/>
      <c r="BR1656" s="21" t="n"/>
      <c r="BS1656" s="21" t="n"/>
      <c r="BT1656" s="21" t="n"/>
      <c r="BU1656" s="21" t="n"/>
      <c r="BV1656" s="21" t="n"/>
      <c r="BW1656" s="21" t="n"/>
      <c r="BX1656" s="21" t="n"/>
      <c r="BY1656" s="21" t="n"/>
      <c r="BZ1656" s="21" t="n"/>
      <c r="CA1656" s="21" t="n"/>
      <c r="CB1656" s="21" t="n"/>
      <c r="CC1656" s="21" t="n"/>
      <c r="CD1656" s="21" t="n"/>
      <c r="CE1656" s="21" t="n"/>
      <c r="CF1656" s="21" t="n"/>
      <c r="CG1656" s="21" t="n"/>
      <c r="CH1656" s="21" t="n"/>
      <c r="CI1656" s="21" t="n"/>
      <c r="CJ1656" s="21" t="n"/>
      <c r="CK1656" s="21" t="n"/>
      <c r="CL1656" s="21" t="n"/>
      <c r="CM1656" s="21" t="n"/>
      <c r="CN1656" s="21" t="n"/>
      <c r="CO1656" s="21" t="n"/>
      <c r="CP1656" s="21" t="n"/>
      <c r="CQ1656" s="21" t="n"/>
      <c r="CR1656" s="21" t="n"/>
      <c r="CS1656" s="21" t="n"/>
      <c r="CT1656" s="21" t="n"/>
      <c r="CU1656" s="21" t="n"/>
      <c r="CV1656" s="21" t="n"/>
      <c r="CW1656" s="21" t="n"/>
      <c r="CX1656" s="21" t="n"/>
      <c r="CY1656" s="21" t="n"/>
      <c r="CZ1656" s="21" t="n"/>
      <c r="DA1656" s="21" t="n"/>
      <c r="DB1656" s="21" t="n"/>
      <c r="DC1656" s="21" t="n"/>
      <c r="DD1656" s="21" t="n"/>
    </row>
    <row r="1657">
      <c r="B1657" t="inlineStr">
        <is>
          <t>No of times used</t>
        </is>
      </c>
      <c r="C1657" t="inlineStr">
        <is>
          <t>No. of batches</t>
        </is>
      </c>
      <c r="D1657">
        <f>IFERROR(INDEX(E1657:DD1657,$F$1),"")</f>
        <v/>
      </c>
      <c r="E1657">
        <f>IFERROR(INDEX(PP_Grid[#Data],$DE1657,2),0)</f>
        <v/>
      </c>
      <c r="F1657">
        <f>IFERROR(INDEX(PP_Grid[#Data],$DE1657,3),0)</f>
        <v/>
      </c>
      <c r="G1657">
        <f>IFERROR(INDEX(PP_Grid[#Data],$DE1657,4),0)</f>
        <v/>
      </c>
      <c r="H1657">
        <f>IFERROR(INDEX(PP_Grid[#Data],$DE1657,5),0)</f>
        <v/>
      </c>
      <c r="I1657">
        <f>IFERROR(INDEX(PP_Grid[#Data],$DE1657,6),0)</f>
        <v/>
      </c>
      <c r="J1657">
        <f>IFERROR(INDEX(PP_Grid[#Data],$DE1657,7),0)</f>
        <v/>
      </c>
      <c r="K1657">
        <f>IFERROR(INDEX(PP_Grid[#Data],$DE1657,8),0)</f>
        <v/>
      </c>
      <c r="L1657">
        <f>IFERROR(INDEX(PP_Grid[#Data],$DE1657,9),0)</f>
        <v/>
      </c>
      <c r="M1657">
        <f>IFERROR(INDEX(PP_Grid[#Data],$DE1657,10),0)</f>
        <v/>
      </c>
      <c r="N1657">
        <f>IFERROR(INDEX(PP_Grid[#Data],$DE1657,11),0)</f>
        <v/>
      </c>
      <c r="O1657">
        <f>IFERROR(INDEX(PP_Grid[#Data],$DE1657,12),0)</f>
        <v/>
      </c>
      <c r="P1657">
        <f>IFERROR(INDEX(PP_Grid[#Data],$DE1657,13),0)</f>
        <v/>
      </c>
      <c r="Q1657">
        <f>IFERROR(INDEX(PP_Grid[#Data],$DE1657,14),0)</f>
        <v/>
      </c>
      <c r="R1657">
        <f>IFERROR(INDEX(PP_Grid[#Data],$DE1657,15),0)</f>
        <v/>
      </c>
      <c r="S1657">
        <f>IFERROR(INDEX(PP_Grid[#Data],$DE1657,16),0)</f>
        <v/>
      </c>
      <c r="T1657">
        <f>IFERROR(INDEX(PP_Grid[#Data],$DE1657,17),0)</f>
        <v/>
      </c>
      <c r="U1657">
        <f>IFERROR(INDEX(PP_Grid[#Data],$DE1657,18),0)</f>
        <v/>
      </c>
      <c r="V1657">
        <f>IFERROR(INDEX(PP_Grid[#Data],$DE1657,19),0)</f>
        <v/>
      </c>
      <c r="W1657">
        <f>IFERROR(INDEX(PP_Grid[#Data],$DE1657,20),0)</f>
        <v/>
      </c>
      <c r="X1657">
        <f>IFERROR(INDEX(PP_Grid[#Data],$DE1657,21),0)</f>
        <v/>
      </c>
      <c r="Y1657">
        <f>IFERROR(INDEX(PP_Grid[#Data],$DE1657,22),0)</f>
        <v/>
      </c>
      <c r="Z1657">
        <f>IFERROR(INDEX(PP_Grid[#Data],$DE1657,23),0)</f>
        <v/>
      </c>
      <c r="AA1657">
        <f>IFERROR(INDEX(PP_Grid[#Data],$DE1657,24),0)</f>
        <v/>
      </c>
      <c r="AB1657">
        <f>IFERROR(INDEX(PP_Grid[#Data],$DE1657,25),0)</f>
        <v/>
      </c>
      <c r="AC1657">
        <f>IFERROR(INDEX(PP_Grid[#Data],$DE1657,26),0)</f>
        <v/>
      </c>
      <c r="AD1657">
        <f>IFERROR(INDEX(PP_Grid[#Data],$DE1657,27),0)</f>
        <v/>
      </c>
      <c r="AE1657">
        <f>IFERROR(INDEX(PP_Grid[#Data],$DE1657,28),0)</f>
        <v/>
      </c>
      <c r="AF1657">
        <f>IFERROR(INDEX(PP_Grid[#Data],$DE1657,29),0)</f>
        <v/>
      </c>
      <c r="AG1657">
        <f>IFERROR(INDEX(PP_Grid[#Data],$DE1657,30),0)</f>
        <v/>
      </c>
      <c r="AH1657">
        <f>IFERROR(INDEX(PP_Grid[#Data],$DE1657,31),0)</f>
        <v/>
      </c>
      <c r="AI1657">
        <f>IFERROR(INDEX(PP_Grid[#Data],$DE1657,32),0)</f>
        <v/>
      </c>
      <c r="AJ1657">
        <f>IFERROR(INDEX(PP_Grid[#Data],$DE1657,33),0)</f>
        <v/>
      </c>
      <c r="AK1657">
        <f>IFERROR(INDEX(PP_Grid[#Data],$DE1657,34),0)</f>
        <v/>
      </c>
      <c r="AL1657">
        <f>IFERROR(INDEX(PP_Grid[#Data],$DE1657,35),0)</f>
        <v/>
      </c>
      <c r="AM1657">
        <f>IFERROR(INDEX(PP_Grid[#Data],$DE1657,36),0)</f>
        <v/>
      </c>
      <c r="AN1657">
        <f>IFERROR(INDEX(PP_Grid[#Data],$DE1657,37),0)</f>
        <v/>
      </c>
      <c r="AO1657">
        <f>IFERROR(INDEX(PP_Grid[#Data],$DE1657,38),0)</f>
        <v/>
      </c>
      <c r="AP1657">
        <f>IFERROR(INDEX(PP_Grid[#Data],$DE1657,39),0)</f>
        <v/>
      </c>
      <c r="AQ1657">
        <f>IFERROR(INDEX(PP_Grid[#Data],$DE1657,40),0)</f>
        <v/>
      </c>
      <c r="AR1657">
        <f>IFERROR(INDEX(PP_Grid[#Data],$DE1657,41),0)</f>
        <v/>
      </c>
      <c r="AS1657">
        <f>IFERROR(INDEX(PP_Grid[#Data],$DE1657,42),0)</f>
        <v/>
      </c>
      <c r="AT1657">
        <f>IFERROR(INDEX(PP_Grid[#Data],$DE1657,43),0)</f>
        <v/>
      </c>
      <c r="AU1657">
        <f>IFERROR(INDEX(PP_Grid[#Data],$DE1657,44),0)</f>
        <v/>
      </c>
      <c r="AV1657">
        <f>IFERROR(INDEX(PP_Grid[#Data],$DE1657,45),0)</f>
        <v/>
      </c>
      <c r="AW1657">
        <f>IFERROR(INDEX(PP_Grid[#Data],$DE1657,46),0)</f>
        <v/>
      </c>
      <c r="AX1657">
        <f>IFERROR(INDEX(PP_Grid[#Data],$DE1657,47),0)</f>
        <v/>
      </c>
      <c r="AY1657">
        <f>IFERROR(INDEX(PP_Grid[#Data],$DE1657,48),0)</f>
        <v/>
      </c>
      <c r="AZ1657">
        <f>IFERROR(INDEX(PP_Grid[#Data],$DE1657,49),0)</f>
        <v/>
      </c>
      <c r="BA1657">
        <f>IFERROR(INDEX(PP_Grid[#Data],$DE1657,50),0)</f>
        <v/>
      </c>
      <c r="BB1657">
        <f>IFERROR(INDEX(PP_Grid[#Data],$DE1657,51),0)</f>
        <v/>
      </c>
      <c r="BC1657">
        <f>IFERROR(INDEX(PP_Grid[#Data],$DE1657,52),0)</f>
        <v/>
      </c>
      <c r="BD1657">
        <f>IFERROR(INDEX(PP_Grid[#Data],$DE1657,53),0)</f>
        <v/>
      </c>
      <c r="BE1657">
        <f>IFERROR(INDEX(PP_Grid[#Data],$DE1657,54),0)</f>
        <v/>
      </c>
      <c r="BF1657">
        <f>IFERROR(INDEX(PP_Grid[#Data],$DE1657,55),0)</f>
        <v/>
      </c>
      <c r="BG1657">
        <f>IFERROR(INDEX(PP_Grid[#Data],$DE1657,56),0)</f>
        <v/>
      </c>
      <c r="BH1657">
        <f>IFERROR(INDEX(PP_Grid[#Data],$DE1657,57),0)</f>
        <v/>
      </c>
      <c r="BI1657">
        <f>IFERROR(INDEX(PP_Grid[#Data],$DE1657,58),0)</f>
        <v/>
      </c>
      <c r="BJ1657">
        <f>IFERROR(INDEX(PP_Grid[#Data],$DE1657,59),0)</f>
        <v/>
      </c>
      <c r="BK1657">
        <f>IFERROR(INDEX(PP_Grid[#Data],$DE1657,60),0)</f>
        <v/>
      </c>
      <c r="BL1657">
        <f>IFERROR(INDEX(PP_Grid[#Data],$DE1657,61),0)</f>
        <v/>
      </c>
      <c r="BM1657">
        <f>IFERROR(INDEX(PP_Grid[#Data],$DE1657,62),0)</f>
        <v/>
      </c>
      <c r="BN1657">
        <f>IFERROR(INDEX(PP_Grid[#Data],$DE1657,63),0)</f>
        <v/>
      </c>
      <c r="BO1657">
        <f>IFERROR(INDEX(PP_Grid[#Data],$DE1657,64),0)</f>
        <v/>
      </c>
      <c r="BP1657">
        <f>IFERROR(INDEX(PP_Grid[#Data],$DE1657,65),0)</f>
        <v/>
      </c>
      <c r="BQ1657">
        <f>IFERROR(INDEX(PP_Grid[#Data],$DE1657,66),0)</f>
        <v/>
      </c>
      <c r="BR1657">
        <f>IFERROR(INDEX(PP_Grid[#Data],$DE1657,67),0)</f>
        <v/>
      </c>
      <c r="BS1657">
        <f>IFERROR(INDEX(PP_Grid[#Data],$DE1657,68),0)</f>
        <v/>
      </c>
      <c r="BT1657">
        <f>IFERROR(INDEX(PP_Grid[#Data],$DE1657,69),0)</f>
        <v/>
      </c>
      <c r="BU1657">
        <f>IFERROR(INDEX(PP_Grid[#Data],$DE1657,70),0)</f>
        <v/>
      </c>
      <c r="BV1657">
        <f>IFERROR(INDEX(PP_Grid[#Data],$DE1657,71),0)</f>
        <v/>
      </c>
      <c r="BW1657">
        <f>IFERROR(INDEX(PP_Grid[#Data],$DE1657,72),0)</f>
        <v/>
      </c>
      <c r="BX1657">
        <f>IFERROR(INDEX(PP_Grid[#Data],$DE1657,73),0)</f>
        <v/>
      </c>
      <c r="BY1657">
        <f>IFERROR(INDEX(PP_Grid[#Data],$DE1657,74),0)</f>
        <v/>
      </c>
      <c r="BZ1657">
        <f>IFERROR(INDEX(PP_Grid[#Data],$DE1657,75),0)</f>
        <v/>
      </c>
      <c r="CA1657">
        <f>IFERROR(INDEX(PP_Grid[#Data],$DE1657,76),0)</f>
        <v/>
      </c>
      <c r="CB1657">
        <f>IFERROR(INDEX(PP_Grid[#Data],$DE1657,77),0)</f>
        <v/>
      </c>
      <c r="CC1657">
        <f>IFERROR(INDEX(PP_Grid[#Data],$DE1657,78),0)</f>
        <v/>
      </c>
      <c r="CD1657">
        <f>IFERROR(INDEX(PP_Grid[#Data],$DE1657,79),0)</f>
        <v/>
      </c>
      <c r="CE1657">
        <f>IFERROR(INDEX(PP_Grid[#Data],$DE1657,80),0)</f>
        <v/>
      </c>
      <c r="CF1657">
        <f>IFERROR(INDEX(PP_Grid[#Data],$DE1657,81),0)</f>
        <v/>
      </c>
      <c r="CG1657">
        <f>IFERROR(INDEX(PP_Grid[#Data],$DE1657,82),0)</f>
        <v/>
      </c>
      <c r="CH1657">
        <f>IFERROR(INDEX(PP_Grid[#Data],$DE1657,83),0)</f>
        <v/>
      </c>
      <c r="CI1657">
        <f>IFERROR(INDEX(PP_Grid[#Data],$DE1657,84),0)</f>
        <v/>
      </c>
      <c r="CJ1657">
        <f>IFERROR(INDEX(PP_Grid[#Data],$DE1657,85),0)</f>
        <v/>
      </c>
      <c r="CK1657">
        <f>IFERROR(INDEX(PP_Grid[#Data],$DE1657,86),0)</f>
        <v/>
      </c>
      <c r="CL1657">
        <f>IFERROR(INDEX(PP_Grid[#Data],$DE1657,87),0)</f>
        <v/>
      </c>
      <c r="CM1657">
        <f>IFERROR(INDEX(PP_Grid[#Data],$DE1657,88),0)</f>
        <v/>
      </c>
      <c r="CN1657">
        <f>IFERROR(INDEX(PP_Grid[#Data],$DE1657,89),0)</f>
        <v/>
      </c>
      <c r="CO1657">
        <f>IFERROR(INDEX(PP_Grid[#Data],$DE1657,90),0)</f>
        <v/>
      </c>
      <c r="CP1657">
        <f>IFERROR(INDEX(PP_Grid[#Data],$DE1657,91),0)</f>
        <v/>
      </c>
      <c r="CQ1657">
        <f>IFERROR(INDEX(PP_Grid[#Data],$DE1657,92),0)</f>
        <v/>
      </c>
      <c r="CR1657">
        <f>IFERROR(INDEX(PP_Grid[#Data],$DE1657,93),0)</f>
        <v/>
      </c>
      <c r="CS1657">
        <f>IFERROR(INDEX(PP_Grid[#Data],$DE1657,94),0)</f>
        <v/>
      </c>
      <c r="CT1657">
        <f>IFERROR(INDEX(PP_Grid[#Data],$DE1657,95),0)</f>
        <v/>
      </c>
      <c r="CU1657">
        <f>IFERROR(INDEX(PP_Grid[#Data],$DE1657,96),0)</f>
        <v/>
      </c>
      <c r="CV1657">
        <f>IFERROR(INDEX(PP_Grid[#Data],$DE1657,97),0)</f>
        <v/>
      </c>
      <c r="CW1657">
        <f>IFERROR(INDEX(PP_Grid[#Data],$DE1657,98),0)</f>
        <v/>
      </c>
      <c r="CX1657">
        <f>IFERROR(INDEX(PP_Grid[#Data],$DE1657,99),0)</f>
        <v/>
      </c>
      <c r="CY1657">
        <f>IFERROR(INDEX(PP_Grid[#Data],$DE1657,100),0)</f>
        <v/>
      </c>
      <c r="CZ1657">
        <f>IFERROR(INDEX(PP_Grid[#Data],$DE1657,101),0)</f>
        <v/>
      </c>
      <c r="DA1657">
        <f>IFERROR(INDEX(PP_Grid[#Data],$DE1657,102),0)</f>
        <v/>
      </c>
      <c r="DB1657">
        <f>IFERROR(INDEX(PP_Grid[#Data],$DE1657,103),0)</f>
        <v/>
      </c>
      <c r="DC1657">
        <f>IFERROR(INDEX(PP_Grid[#Data],$DE1657,104),0)</f>
        <v/>
      </c>
      <c r="DD1657">
        <f>IFERROR(INDEX(PP_Grid[#Data],$DE1657,105),0)</f>
        <v/>
      </c>
      <c r="DE1657" s="7">
        <f>IFERROR(MATCH($B1657,PP_Grid[Intermediate],0),99999)</f>
        <v/>
      </c>
    </row>
    <row r="1658">
      <c r="B1658" t="inlineStr">
        <is>
          <t>使用量(kg)</t>
        </is>
      </c>
      <c r="C1658">
        <f>SUMIFS(M_BOM[RM_Qty_Per_Batch],M_BOM[Intermediate],$B1657,M_BOM[RM_Code],$A1656)</f>
        <v/>
      </c>
      <c r="D1658">
        <f>IFERROR(INDEX(E1658:DD1658,$F$1),"")</f>
        <v/>
      </c>
      <c r="E1658">
        <f>$C1658*E1657</f>
        <v/>
      </c>
      <c r="F1658">
        <f>$C1658*F1657</f>
        <v/>
      </c>
      <c r="G1658">
        <f>$C1658*G1657</f>
        <v/>
      </c>
      <c r="H1658">
        <f>$C1658*H1657</f>
        <v/>
      </c>
      <c r="I1658">
        <f>$C1658*I1657</f>
        <v/>
      </c>
      <c r="J1658">
        <f>$C1658*J1657</f>
        <v/>
      </c>
      <c r="K1658">
        <f>$C1658*K1657</f>
        <v/>
      </c>
      <c r="L1658">
        <f>$C1658*L1657</f>
        <v/>
      </c>
      <c r="M1658">
        <f>$C1658*M1657</f>
        <v/>
      </c>
      <c r="N1658">
        <f>$C1658*N1657</f>
        <v/>
      </c>
      <c r="O1658">
        <f>$C1658*O1657</f>
        <v/>
      </c>
      <c r="P1658">
        <f>$C1658*P1657</f>
        <v/>
      </c>
      <c r="Q1658">
        <f>$C1658*Q1657</f>
        <v/>
      </c>
      <c r="R1658">
        <f>$C1658*R1657</f>
        <v/>
      </c>
      <c r="S1658">
        <f>$C1658*S1657</f>
        <v/>
      </c>
      <c r="T1658">
        <f>$C1658*T1657</f>
        <v/>
      </c>
      <c r="U1658">
        <f>$C1658*U1657</f>
        <v/>
      </c>
      <c r="V1658">
        <f>$C1658*V1657</f>
        <v/>
      </c>
      <c r="W1658">
        <f>$C1658*W1657</f>
        <v/>
      </c>
      <c r="X1658">
        <f>$C1658*X1657</f>
        <v/>
      </c>
      <c r="Y1658">
        <f>$C1658*Y1657</f>
        <v/>
      </c>
      <c r="Z1658">
        <f>$C1658*Z1657</f>
        <v/>
      </c>
      <c r="AA1658">
        <f>$C1658*AA1657</f>
        <v/>
      </c>
      <c r="AB1658">
        <f>$C1658*AB1657</f>
        <v/>
      </c>
      <c r="AC1658">
        <f>$C1658*AC1657</f>
        <v/>
      </c>
      <c r="AD1658">
        <f>$C1658*AD1657</f>
        <v/>
      </c>
      <c r="AE1658">
        <f>$C1658*AE1657</f>
        <v/>
      </c>
      <c r="AF1658">
        <f>$C1658*AF1657</f>
        <v/>
      </c>
      <c r="AG1658">
        <f>$C1658*AG1657</f>
        <v/>
      </c>
      <c r="AH1658">
        <f>$C1658*AH1657</f>
        <v/>
      </c>
      <c r="AI1658">
        <f>$C1658*AI1657</f>
        <v/>
      </c>
      <c r="AJ1658">
        <f>$C1658*AJ1657</f>
        <v/>
      </c>
      <c r="AK1658">
        <f>$C1658*AK1657</f>
        <v/>
      </c>
      <c r="AL1658">
        <f>$C1658*AL1657</f>
        <v/>
      </c>
      <c r="AM1658">
        <f>$C1658*AM1657</f>
        <v/>
      </c>
      <c r="AN1658">
        <f>$C1658*AN1657</f>
        <v/>
      </c>
      <c r="AO1658">
        <f>$C1658*AO1657</f>
        <v/>
      </c>
      <c r="AP1658">
        <f>$C1658*AP1657</f>
        <v/>
      </c>
      <c r="AQ1658">
        <f>$C1658*AQ1657</f>
        <v/>
      </c>
      <c r="AR1658">
        <f>$C1658*AR1657</f>
        <v/>
      </c>
      <c r="AS1658">
        <f>$C1658*AS1657</f>
        <v/>
      </c>
      <c r="AT1658">
        <f>$C1658*AT1657</f>
        <v/>
      </c>
      <c r="AU1658">
        <f>$C1658*AU1657</f>
        <v/>
      </c>
      <c r="AV1658">
        <f>$C1658*AV1657</f>
        <v/>
      </c>
      <c r="AW1658">
        <f>$C1658*AW1657</f>
        <v/>
      </c>
      <c r="AX1658">
        <f>$C1658*AX1657</f>
        <v/>
      </c>
      <c r="AY1658">
        <f>$C1658*AY1657</f>
        <v/>
      </c>
      <c r="AZ1658">
        <f>$C1658*AZ1657</f>
        <v/>
      </c>
      <c r="BA1658">
        <f>$C1658*BA1657</f>
        <v/>
      </c>
      <c r="BB1658">
        <f>$C1658*BB1657</f>
        <v/>
      </c>
      <c r="BC1658">
        <f>$C1658*BC1657</f>
        <v/>
      </c>
      <c r="BD1658">
        <f>$C1658*BD1657</f>
        <v/>
      </c>
      <c r="BE1658">
        <f>$C1658*BE1657</f>
        <v/>
      </c>
      <c r="BF1658">
        <f>$C1658*BF1657</f>
        <v/>
      </c>
      <c r="BG1658">
        <f>$C1658*BG1657</f>
        <v/>
      </c>
      <c r="BH1658">
        <f>$C1658*BH1657</f>
        <v/>
      </c>
      <c r="BI1658">
        <f>$C1658*BI1657</f>
        <v/>
      </c>
      <c r="BJ1658">
        <f>$C1658*BJ1657</f>
        <v/>
      </c>
      <c r="BK1658">
        <f>$C1658*BK1657</f>
        <v/>
      </c>
      <c r="BL1658">
        <f>$C1658*BL1657</f>
        <v/>
      </c>
      <c r="BM1658">
        <f>$C1658*BM1657</f>
        <v/>
      </c>
      <c r="BN1658">
        <f>$C1658*BN1657</f>
        <v/>
      </c>
      <c r="BO1658">
        <f>$C1658*BO1657</f>
        <v/>
      </c>
      <c r="BP1658">
        <f>$C1658*BP1657</f>
        <v/>
      </c>
      <c r="BQ1658">
        <f>$C1658*BQ1657</f>
        <v/>
      </c>
      <c r="BR1658">
        <f>$C1658*BR1657</f>
        <v/>
      </c>
      <c r="BS1658">
        <f>$C1658*BS1657</f>
        <v/>
      </c>
      <c r="BT1658">
        <f>$C1658*BT1657</f>
        <v/>
      </c>
      <c r="BU1658">
        <f>$C1658*BU1657</f>
        <v/>
      </c>
      <c r="BV1658">
        <f>$C1658*BV1657</f>
        <v/>
      </c>
      <c r="BW1658">
        <f>$C1658*BW1657</f>
        <v/>
      </c>
      <c r="BX1658">
        <f>$C1658*BX1657</f>
        <v/>
      </c>
      <c r="BY1658">
        <f>$C1658*BY1657</f>
        <v/>
      </c>
      <c r="BZ1658">
        <f>$C1658*BZ1657</f>
        <v/>
      </c>
      <c r="CA1658">
        <f>$C1658*CA1657</f>
        <v/>
      </c>
      <c r="CB1658">
        <f>$C1658*CB1657</f>
        <v/>
      </c>
      <c r="CC1658">
        <f>$C1658*CC1657</f>
        <v/>
      </c>
      <c r="CD1658">
        <f>$C1658*CD1657</f>
        <v/>
      </c>
      <c r="CE1658">
        <f>$C1658*CE1657</f>
        <v/>
      </c>
      <c r="CF1658">
        <f>$C1658*CF1657</f>
        <v/>
      </c>
      <c r="CG1658">
        <f>$C1658*CG1657</f>
        <v/>
      </c>
      <c r="CH1658">
        <f>$C1658*CH1657</f>
        <v/>
      </c>
      <c r="CI1658">
        <f>$C1658*CI1657</f>
        <v/>
      </c>
      <c r="CJ1658">
        <f>$C1658*CJ1657</f>
        <v/>
      </c>
      <c r="CK1658">
        <f>$C1658*CK1657</f>
        <v/>
      </c>
      <c r="CL1658">
        <f>$C1658*CL1657</f>
        <v/>
      </c>
      <c r="CM1658">
        <f>$C1658*CM1657</f>
        <v/>
      </c>
      <c r="CN1658">
        <f>$C1658*CN1657</f>
        <v/>
      </c>
      <c r="CO1658">
        <f>$C1658*CO1657</f>
        <v/>
      </c>
      <c r="CP1658">
        <f>$C1658*CP1657</f>
        <v/>
      </c>
      <c r="CQ1658">
        <f>$C1658*CQ1657</f>
        <v/>
      </c>
      <c r="CR1658">
        <f>$C1658*CR1657</f>
        <v/>
      </c>
      <c r="CS1658">
        <f>$C1658*CS1657</f>
        <v/>
      </c>
      <c r="CT1658">
        <f>$C1658*CT1657</f>
        <v/>
      </c>
      <c r="CU1658">
        <f>$C1658*CU1657</f>
        <v/>
      </c>
      <c r="CV1658">
        <f>$C1658*CV1657</f>
        <v/>
      </c>
      <c r="CW1658">
        <f>$C1658*CW1657</f>
        <v/>
      </c>
      <c r="CX1658">
        <f>$C1658*CX1657</f>
        <v/>
      </c>
      <c r="CY1658">
        <f>$C1658*CY1657</f>
        <v/>
      </c>
      <c r="CZ1658">
        <f>$C1658*CZ1657</f>
        <v/>
      </c>
      <c r="DA1658">
        <f>$C1658*DA1657</f>
        <v/>
      </c>
      <c r="DB1658">
        <f>$C1658*DB1657</f>
        <v/>
      </c>
      <c r="DC1658">
        <f>$C1658*DC1657</f>
        <v/>
      </c>
      <c r="DD1658">
        <f>$C1658*DD1657</f>
        <v/>
      </c>
    </row>
    <row r="1659">
      <c r="B1659" t="inlineStr">
        <is>
          <t>TPP-103</t>
        </is>
      </c>
      <c r="C1659" t="inlineStr">
        <is>
          <t>No. of batches</t>
        </is>
      </c>
      <c r="D1659">
        <f>IFERROR(INDEX(E1659:DD1659,$F$1),"")</f>
        <v/>
      </c>
      <c r="E1659">
        <f>IFERROR(INDEX(PP_Grid[#Data],$DE1659,2),0)</f>
        <v/>
      </c>
      <c r="F1659">
        <f>IFERROR(INDEX(PP_Grid[#Data],$DE1659,3),0)</f>
        <v/>
      </c>
      <c r="G1659">
        <f>IFERROR(INDEX(PP_Grid[#Data],$DE1659,4),0)</f>
        <v/>
      </c>
      <c r="H1659">
        <f>IFERROR(INDEX(PP_Grid[#Data],$DE1659,5),0)</f>
        <v/>
      </c>
      <c r="I1659">
        <f>IFERROR(INDEX(PP_Grid[#Data],$DE1659,6),0)</f>
        <v/>
      </c>
      <c r="J1659">
        <f>IFERROR(INDEX(PP_Grid[#Data],$DE1659,7),0)</f>
        <v/>
      </c>
      <c r="K1659">
        <f>IFERROR(INDEX(PP_Grid[#Data],$DE1659,8),0)</f>
        <v/>
      </c>
      <c r="L1659">
        <f>IFERROR(INDEX(PP_Grid[#Data],$DE1659,9),0)</f>
        <v/>
      </c>
      <c r="M1659">
        <f>IFERROR(INDEX(PP_Grid[#Data],$DE1659,10),0)</f>
        <v/>
      </c>
      <c r="N1659">
        <f>IFERROR(INDEX(PP_Grid[#Data],$DE1659,11),0)</f>
        <v/>
      </c>
      <c r="O1659">
        <f>IFERROR(INDEX(PP_Grid[#Data],$DE1659,12),0)</f>
        <v/>
      </c>
      <c r="P1659">
        <f>IFERROR(INDEX(PP_Grid[#Data],$DE1659,13),0)</f>
        <v/>
      </c>
      <c r="Q1659">
        <f>IFERROR(INDEX(PP_Grid[#Data],$DE1659,14),0)</f>
        <v/>
      </c>
      <c r="R1659">
        <f>IFERROR(INDEX(PP_Grid[#Data],$DE1659,15),0)</f>
        <v/>
      </c>
      <c r="S1659">
        <f>IFERROR(INDEX(PP_Grid[#Data],$DE1659,16),0)</f>
        <v/>
      </c>
      <c r="T1659">
        <f>IFERROR(INDEX(PP_Grid[#Data],$DE1659,17),0)</f>
        <v/>
      </c>
      <c r="U1659">
        <f>IFERROR(INDEX(PP_Grid[#Data],$DE1659,18),0)</f>
        <v/>
      </c>
      <c r="V1659">
        <f>IFERROR(INDEX(PP_Grid[#Data],$DE1659,19),0)</f>
        <v/>
      </c>
      <c r="W1659">
        <f>IFERROR(INDEX(PP_Grid[#Data],$DE1659,20),0)</f>
        <v/>
      </c>
      <c r="X1659">
        <f>IFERROR(INDEX(PP_Grid[#Data],$DE1659,21),0)</f>
        <v/>
      </c>
      <c r="Y1659">
        <f>IFERROR(INDEX(PP_Grid[#Data],$DE1659,22),0)</f>
        <v/>
      </c>
      <c r="Z1659">
        <f>IFERROR(INDEX(PP_Grid[#Data],$DE1659,23),0)</f>
        <v/>
      </c>
      <c r="AA1659">
        <f>IFERROR(INDEX(PP_Grid[#Data],$DE1659,24),0)</f>
        <v/>
      </c>
      <c r="AB1659">
        <f>IFERROR(INDEX(PP_Grid[#Data],$DE1659,25),0)</f>
        <v/>
      </c>
      <c r="AC1659">
        <f>IFERROR(INDEX(PP_Grid[#Data],$DE1659,26),0)</f>
        <v/>
      </c>
      <c r="AD1659">
        <f>IFERROR(INDEX(PP_Grid[#Data],$DE1659,27),0)</f>
        <v/>
      </c>
      <c r="AE1659">
        <f>IFERROR(INDEX(PP_Grid[#Data],$DE1659,28),0)</f>
        <v/>
      </c>
      <c r="AF1659">
        <f>IFERROR(INDEX(PP_Grid[#Data],$DE1659,29),0)</f>
        <v/>
      </c>
      <c r="AG1659">
        <f>IFERROR(INDEX(PP_Grid[#Data],$DE1659,30),0)</f>
        <v/>
      </c>
      <c r="AH1659">
        <f>IFERROR(INDEX(PP_Grid[#Data],$DE1659,31),0)</f>
        <v/>
      </c>
      <c r="AI1659">
        <f>IFERROR(INDEX(PP_Grid[#Data],$DE1659,32),0)</f>
        <v/>
      </c>
      <c r="AJ1659">
        <f>IFERROR(INDEX(PP_Grid[#Data],$DE1659,33),0)</f>
        <v/>
      </c>
      <c r="AK1659">
        <f>IFERROR(INDEX(PP_Grid[#Data],$DE1659,34),0)</f>
        <v/>
      </c>
      <c r="AL1659">
        <f>IFERROR(INDEX(PP_Grid[#Data],$DE1659,35),0)</f>
        <v/>
      </c>
      <c r="AM1659">
        <f>IFERROR(INDEX(PP_Grid[#Data],$DE1659,36),0)</f>
        <v/>
      </c>
      <c r="AN1659">
        <f>IFERROR(INDEX(PP_Grid[#Data],$DE1659,37),0)</f>
        <v/>
      </c>
      <c r="AO1659">
        <f>IFERROR(INDEX(PP_Grid[#Data],$DE1659,38),0)</f>
        <v/>
      </c>
      <c r="AP1659">
        <f>IFERROR(INDEX(PP_Grid[#Data],$DE1659,39),0)</f>
        <v/>
      </c>
      <c r="AQ1659">
        <f>IFERROR(INDEX(PP_Grid[#Data],$DE1659,40),0)</f>
        <v/>
      </c>
      <c r="AR1659">
        <f>IFERROR(INDEX(PP_Grid[#Data],$DE1659,41),0)</f>
        <v/>
      </c>
      <c r="AS1659">
        <f>IFERROR(INDEX(PP_Grid[#Data],$DE1659,42),0)</f>
        <v/>
      </c>
      <c r="AT1659">
        <f>IFERROR(INDEX(PP_Grid[#Data],$DE1659,43),0)</f>
        <v/>
      </c>
      <c r="AU1659">
        <f>IFERROR(INDEX(PP_Grid[#Data],$DE1659,44),0)</f>
        <v/>
      </c>
      <c r="AV1659">
        <f>IFERROR(INDEX(PP_Grid[#Data],$DE1659,45),0)</f>
        <v/>
      </c>
      <c r="AW1659">
        <f>IFERROR(INDEX(PP_Grid[#Data],$DE1659,46),0)</f>
        <v/>
      </c>
      <c r="AX1659">
        <f>IFERROR(INDEX(PP_Grid[#Data],$DE1659,47),0)</f>
        <v/>
      </c>
      <c r="AY1659">
        <f>IFERROR(INDEX(PP_Grid[#Data],$DE1659,48),0)</f>
        <v/>
      </c>
      <c r="AZ1659">
        <f>IFERROR(INDEX(PP_Grid[#Data],$DE1659,49),0)</f>
        <v/>
      </c>
      <c r="BA1659">
        <f>IFERROR(INDEX(PP_Grid[#Data],$DE1659,50),0)</f>
        <v/>
      </c>
      <c r="BB1659">
        <f>IFERROR(INDEX(PP_Grid[#Data],$DE1659,51),0)</f>
        <v/>
      </c>
      <c r="BC1659">
        <f>IFERROR(INDEX(PP_Grid[#Data],$DE1659,52),0)</f>
        <v/>
      </c>
      <c r="BD1659">
        <f>IFERROR(INDEX(PP_Grid[#Data],$DE1659,53),0)</f>
        <v/>
      </c>
      <c r="BE1659">
        <f>IFERROR(INDEX(PP_Grid[#Data],$DE1659,54),0)</f>
        <v/>
      </c>
      <c r="BF1659">
        <f>IFERROR(INDEX(PP_Grid[#Data],$DE1659,55),0)</f>
        <v/>
      </c>
      <c r="BG1659">
        <f>IFERROR(INDEX(PP_Grid[#Data],$DE1659,56),0)</f>
        <v/>
      </c>
      <c r="BH1659">
        <f>IFERROR(INDEX(PP_Grid[#Data],$DE1659,57),0)</f>
        <v/>
      </c>
      <c r="BI1659">
        <f>IFERROR(INDEX(PP_Grid[#Data],$DE1659,58),0)</f>
        <v/>
      </c>
      <c r="BJ1659">
        <f>IFERROR(INDEX(PP_Grid[#Data],$DE1659,59),0)</f>
        <v/>
      </c>
      <c r="BK1659">
        <f>IFERROR(INDEX(PP_Grid[#Data],$DE1659,60),0)</f>
        <v/>
      </c>
      <c r="BL1659">
        <f>IFERROR(INDEX(PP_Grid[#Data],$DE1659,61),0)</f>
        <v/>
      </c>
      <c r="BM1659">
        <f>IFERROR(INDEX(PP_Grid[#Data],$DE1659,62),0)</f>
        <v/>
      </c>
      <c r="BN1659">
        <f>IFERROR(INDEX(PP_Grid[#Data],$DE1659,63),0)</f>
        <v/>
      </c>
      <c r="BO1659">
        <f>IFERROR(INDEX(PP_Grid[#Data],$DE1659,64),0)</f>
        <v/>
      </c>
      <c r="BP1659">
        <f>IFERROR(INDEX(PP_Grid[#Data],$DE1659,65),0)</f>
        <v/>
      </c>
      <c r="BQ1659">
        <f>IFERROR(INDEX(PP_Grid[#Data],$DE1659,66),0)</f>
        <v/>
      </c>
      <c r="BR1659">
        <f>IFERROR(INDEX(PP_Grid[#Data],$DE1659,67),0)</f>
        <v/>
      </c>
      <c r="BS1659">
        <f>IFERROR(INDEX(PP_Grid[#Data],$DE1659,68),0)</f>
        <v/>
      </c>
      <c r="BT1659">
        <f>IFERROR(INDEX(PP_Grid[#Data],$DE1659,69),0)</f>
        <v/>
      </c>
      <c r="BU1659">
        <f>IFERROR(INDEX(PP_Grid[#Data],$DE1659,70),0)</f>
        <v/>
      </c>
      <c r="BV1659">
        <f>IFERROR(INDEX(PP_Grid[#Data],$DE1659,71),0)</f>
        <v/>
      </c>
      <c r="BW1659">
        <f>IFERROR(INDEX(PP_Grid[#Data],$DE1659,72),0)</f>
        <v/>
      </c>
      <c r="BX1659">
        <f>IFERROR(INDEX(PP_Grid[#Data],$DE1659,73),0)</f>
        <v/>
      </c>
      <c r="BY1659">
        <f>IFERROR(INDEX(PP_Grid[#Data],$DE1659,74),0)</f>
        <v/>
      </c>
      <c r="BZ1659">
        <f>IFERROR(INDEX(PP_Grid[#Data],$DE1659,75),0)</f>
        <v/>
      </c>
      <c r="CA1659">
        <f>IFERROR(INDEX(PP_Grid[#Data],$DE1659,76),0)</f>
        <v/>
      </c>
      <c r="CB1659">
        <f>IFERROR(INDEX(PP_Grid[#Data],$DE1659,77),0)</f>
        <v/>
      </c>
      <c r="CC1659">
        <f>IFERROR(INDEX(PP_Grid[#Data],$DE1659,78),0)</f>
        <v/>
      </c>
      <c r="CD1659">
        <f>IFERROR(INDEX(PP_Grid[#Data],$DE1659,79),0)</f>
        <v/>
      </c>
      <c r="CE1659">
        <f>IFERROR(INDEX(PP_Grid[#Data],$DE1659,80),0)</f>
        <v/>
      </c>
      <c r="CF1659">
        <f>IFERROR(INDEX(PP_Grid[#Data],$DE1659,81),0)</f>
        <v/>
      </c>
      <c r="CG1659">
        <f>IFERROR(INDEX(PP_Grid[#Data],$DE1659,82),0)</f>
        <v/>
      </c>
      <c r="CH1659">
        <f>IFERROR(INDEX(PP_Grid[#Data],$DE1659,83),0)</f>
        <v/>
      </c>
      <c r="CI1659">
        <f>IFERROR(INDEX(PP_Grid[#Data],$DE1659,84),0)</f>
        <v/>
      </c>
      <c r="CJ1659">
        <f>IFERROR(INDEX(PP_Grid[#Data],$DE1659,85),0)</f>
        <v/>
      </c>
      <c r="CK1659">
        <f>IFERROR(INDEX(PP_Grid[#Data],$DE1659,86),0)</f>
        <v/>
      </c>
      <c r="CL1659">
        <f>IFERROR(INDEX(PP_Grid[#Data],$DE1659,87),0)</f>
        <v/>
      </c>
      <c r="CM1659">
        <f>IFERROR(INDEX(PP_Grid[#Data],$DE1659,88),0)</f>
        <v/>
      </c>
      <c r="CN1659">
        <f>IFERROR(INDEX(PP_Grid[#Data],$DE1659,89),0)</f>
        <v/>
      </c>
      <c r="CO1659">
        <f>IFERROR(INDEX(PP_Grid[#Data],$DE1659,90),0)</f>
        <v/>
      </c>
      <c r="CP1659">
        <f>IFERROR(INDEX(PP_Grid[#Data],$DE1659,91),0)</f>
        <v/>
      </c>
      <c r="CQ1659">
        <f>IFERROR(INDEX(PP_Grid[#Data],$DE1659,92),0)</f>
        <v/>
      </c>
      <c r="CR1659">
        <f>IFERROR(INDEX(PP_Grid[#Data],$DE1659,93),0)</f>
        <v/>
      </c>
      <c r="CS1659">
        <f>IFERROR(INDEX(PP_Grid[#Data],$DE1659,94),0)</f>
        <v/>
      </c>
      <c r="CT1659">
        <f>IFERROR(INDEX(PP_Grid[#Data],$DE1659,95),0)</f>
        <v/>
      </c>
      <c r="CU1659">
        <f>IFERROR(INDEX(PP_Grid[#Data],$DE1659,96),0)</f>
        <v/>
      </c>
      <c r="CV1659">
        <f>IFERROR(INDEX(PP_Grid[#Data],$DE1659,97),0)</f>
        <v/>
      </c>
      <c r="CW1659">
        <f>IFERROR(INDEX(PP_Grid[#Data],$DE1659,98),0)</f>
        <v/>
      </c>
      <c r="CX1659">
        <f>IFERROR(INDEX(PP_Grid[#Data],$DE1659,99),0)</f>
        <v/>
      </c>
      <c r="CY1659">
        <f>IFERROR(INDEX(PP_Grid[#Data],$DE1659,100),0)</f>
        <v/>
      </c>
      <c r="CZ1659">
        <f>IFERROR(INDEX(PP_Grid[#Data],$DE1659,101),0)</f>
        <v/>
      </c>
      <c r="DA1659">
        <f>IFERROR(INDEX(PP_Grid[#Data],$DE1659,102),0)</f>
        <v/>
      </c>
      <c r="DB1659">
        <f>IFERROR(INDEX(PP_Grid[#Data],$DE1659,103),0)</f>
        <v/>
      </c>
      <c r="DC1659">
        <f>IFERROR(INDEX(PP_Grid[#Data],$DE1659,104),0)</f>
        <v/>
      </c>
      <c r="DD1659">
        <f>IFERROR(INDEX(PP_Grid[#Data],$DE1659,105),0)</f>
        <v/>
      </c>
      <c r="DE1659" s="7">
        <f>IFERROR(MATCH($B1659,PP_Grid[Intermediate],0),99999)</f>
        <v/>
      </c>
    </row>
    <row r="1660">
      <c r="B1660" t="inlineStr">
        <is>
          <t>使用量(kg)</t>
        </is>
      </c>
      <c r="C1660">
        <f>SUMIFS(M_BOM[RM_Qty_Per_Batch],M_BOM[Intermediate],$B1659,M_BOM[RM_Code],$A1656)</f>
        <v/>
      </c>
      <c r="D1660">
        <f>IFERROR(INDEX(E1660:DD1660,$F$1),"")</f>
        <v/>
      </c>
      <c r="E1660">
        <f>$C1660*E1659</f>
        <v/>
      </c>
      <c r="F1660">
        <f>$C1660*F1659</f>
        <v/>
      </c>
      <c r="G1660">
        <f>$C1660*G1659</f>
        <v/>
      </c>
      <c r="H1660">
        <f>$C1660*H1659</f>
        <v/>
      </c>
      <c r="I1660">
        <f>$C1660*I1659</f>
        <v/>
      </c>
      <c r="J1660">
        <f>$C1660*J1659</f>
        <v/>
      </c>
      <c r="K1660">
        <f>$C1660*K1659</f>
        <v/>
      </c>
      <c r="L1660">
        <f>$C1660*L1659</f>
        <v/>
      </c>
      <c r="M1660">
        <f>$C1660*M1659</f>
        <v/>
      </c>
      <c r="N1660">
        <f>$C1660*N1659</f>
        <v/>
      </c>
      <c r="O1660">
        <f>$C1660*O1659</f>
        <v/>
      </c>
      <c r="P1660">
        <f>$C1660*P1659</f>
        <v/>
      </c>
      <c r="Q1660">
        <f>$C1660*Q1659</f>
        <v/>
      </c>
      <c r="R1660">
        <f>$C1660*R1659</f>
        <v/>
      </c>
      <c r="S1660">
        <f>$C1660*S1659</f>
        <v/>
      </c>
      <c r="T1660">
        <f>$C1660*T1659</f>
        <v/>
      </c>
      <c r="U1660">
        <f>$C1660*U1659</f>
        <v/>
      </c>
      <c r="V1660">
        <f>$C1660*V1659</f>
        <v/>
      </c>
      <c r="W1660">
        <f>$C1660*W1659</f>
        <v/>
      </c>
      <c r="X1660">
        <f>$C1660*X1659</f>
        <v/>
      </c>
      <c r="Y1660">
        <f>$C1660*Y1659</f>
        <v/>
      </c>
      <c r="Z1660">
        <f>$C1660*Z1659</f>
        <v/>
      </c>
      <c r="AA1660">
        <f>$C1660*AA1659</f>
        <v/>
      </c>
      <c r="AB1660">
        <f>$C1660*AB1659</f>
        <v/>
      </c>
      <c r="AC1660">
        <f>$C1660*AC1659</f>
        <v/>
      </c>
      <c r="AD1660">
        <f>$C1660*AD1659</f>
        <v/>
      </c>
      <c r="AE1660">
        <f>$C1660*AE1659</f>
        <v/>
      </c>
      <c r="AF1660">
        <f>$C1660*AF1659</f>
        <v/>
      </c>
      <c r="AG1660">
        <f>$C1660*AG1659</f>
        <v/>
      </c>
      <c r="AH1660">
        <f>$C1660*AH1659</f>
        <v/>
      </c>
      <c r="AI1660">
        <f>$C1660*AI1659</f>
        <v/>
      </c>
      <c r="AJ1660">
        <f>$C1660*AJ1659</f>
        <v/>
      </c>
      <c r="AK1660">
        <f>$C1660*AK1659</f>
        <v/>
      </c>
      <c r="AL1660">
        <f>$C1660*AL1659</f>
        <v/>
      </c>
      <c r="AM1660">
        <f>$C1660*AM1659</f>
        <v/>
      </c>
      <c r="AN1660">
        <f>$C1660*AN1659</f>
        <v/>
      </c>
      <c r="AO1660">
        <f>$C1660*AO1659</f>
        <v/>
      </c>
      <c r="AP1660">
        <f>$C1660*AP1659</f>
        <v/>
      </c>
      <c r="AQ1660">
        <f>$C1660*AQ1659</f>
        <v/>
      </c>
      <c r="AR1660">
        <f>$C1660*AR1659</f>
        <v/>
      </c>
      <c r="AS1660">
        <f>$C1660*AS1659</f>
        <v/>
      </c>
      <c r="AT1660">
        <f>$C1660*AT1659</f>
        <v/>
      </c>
      <c r="AU1660">
        <f>$C1660*AU1659</f>
        <v/>
      </c>
      <c r="AV1660">
        <f>$C1660*AV1659</f>
        <v/>
      </c>
      <c r="AW1660">
        <f>$C1660*AW1659</f>
        <v/>
      </c>
      <c r="AX1660">
        <f>$C1660*AX1659</f>
        <v/>
      </c>
      <c r="AY1660">
        <f>$C1660*AY1659</f>
        <v/>
      </c>
      <c r="AZ1660">
        <f>$C1660*AZ1659</f>
        <v/>
      </c>
      <c r="BA1660">
        <f>$C1660*BA1659</f>
        <v/>
      </c>
      <c r="BB1660">
        <f>$C1660*BB1659</f>
        <v/>
      </c>
      <c r="BC1660">
        <f>$C1660*BC1659</f>
        <v/>
      </c>
      <c r="BD1660">
        <f>$C1660*BD1659</f>
        <v/>
      </c>
      <c r="BE1660">
        <f>$C1660*BE1659</f>
        <v/>
      </c>
      <c r="BF1660">
        <f>$C1660*BF1659</f>
        <v/>
      </c>
      <c r="BG1660">
        <f>$C1660*BG1659</f>
        <v/>
      </c>
      <c r="BH1660">
        <f>$C1660*BH1659</f>
        <v/>
      </c>
      <c r="BI1660">
        <f>$C1660*BI1659</f>
        <v/>
      </c>
      <c r="BJ1660">
        <f>$C1660*BJ1659</f>
        <v/>
      </c>
      <c r="BK1660">
        <f>$C1660*BK1659</f>
        <v/>
      </c>
      <c r="BL1660">
        <f>$C1660*BL1659</f>
        <v/>
      </c>
      <c r="BM1660">
        <f>$C1660*BM1659</f>
        <v/>
      </c>
      <c r="BN1660">
        <f>$C1660*BN1659</f>
        <v/>
      </c>
      <c r="BO1660">
        <f>$C1660*BO1659</f>
        <v/>
      </c>
      <c r="BP1660">
        <f>$C1660*BP1659</f>
        <v/>
      </c>
      <c r="BQ1660">
        <f>$C1660*BQ1659</f>
        <v/>
      </c>
      <c r="BR1660">
        <f>$C1660*BR1659</f>
        <v/>
      </c>
      <c r="BS1660">
        <f>$C1660*BS1659</f>
        <v/>
      </c>
      <c r="BT1660">
        <f>$C1660*BT1659</f>
        <v/>
      </c>
      <c r="BU1660">
        <f>$C1660*BU1659</f>
        <v/>
      </c>
      <c r="BV1660">
        <f>$C1660*BV1659</f>
        <v/>
      </c>
      <c r="BW1660">
        <f>$C1660*BW1659</f>
        <v/>
      </c>
      <c r="BX1660">
        <f>$C1660*BX1659</f>
        <v/>
      </c>
      <c r="BY1660">
        <f>$C1660*BY1659</f>
        <v/>
      </c>
      <c r="BZ1660">
        <f>$C1660*BZ1659</f>
        <v/>
      </c>
      <c r="CA1660">
        <f>$C1660*CA1659</f>
        <v/>
      </c>
      <c r="CB1660">
        <f>$C1660*CB1659</f>
        <v/>
      </c>
      <c r="CC1660">
        <f>$C1660*CC1659</f>
        <v/>
      </c>
      <c r="CD1660">
        <f>$C1660*CD1659</f>
        <v/>
      </c>
      <c r="CE1660">
        <f>$C1660*CE1659</f>
        <v/>
      </c>
      <c r="CF1660">
        <f>$C1660*CF1659</f>
        <v/>
      </c>
      <c r="CG1660">
        <f>$C1660*CG1659</f>
        <v/>
      </c>
      <c r="CH1660">
        <f>$C1660*CH1659</f>
        <v/>
      </c>
      <c r="CI1660">
        <f>$C1660*CI1659</f>
        <v/>
      </c>
      <c r="CJ1660">
        <f>$C1660*CJ1659</f>
        <v/>
      </c>
      <c r="CK1660">
        <f>$C1660*CK1659</f>
        <v/>
      </c>
      <c r="CL1660">
        <f>$C1660*CL1659</f>
        <v/>
      </c>
      <c r="CM1660">
        <f>$C1660*CM1659</f>
        <v/>
      </c>
      <c r="CN1660">
        <f>$C1660*CN1659</f>
        <v/>
      </c>
      <c r="CO1660">
        <f>$C1660*CO1659</f>
        <v/>
      </c>
      <c r="CP1660">
        <f>$C1660*CP1659</f>
        <v/>
      </c>
      <c r="CQ1660">
        <f>$C1660*CQ1659</f>
        <v/>
      </c>
      <c r="CR1660">
        <f>$C1660*CR1659</f>
        <v/>
      </c>
      <c r="CS1660">
        <f>$C1660*CS1659</f>
        <v/>
      </c>
      <c r="CT1660">
        <f>$C1660*CT1659</f>
        <v/>
      </c>
      <c r="CU1660">
        <f>$C1660*CU1659</f>
        <v/>
      </c>
      <c r="CV1660">
        <f>$C1660*CV1659</f>
        <v/>
      </c>
      <c r="CW1660">
        <f>$C1660*CW1659</f>
        <v/>
      </c>
      <c r="CX1660">
        <f>$C1660*CX1659</f>
        <v/>
      </c>
      <c r="CY1660">
        <f>$C1660*CY1659</f>
        <v/>
      </c>
      <c r="CZ1660">
        <f>$C1660*CZ1659</f>
        <v/>
      </c>
      <c r="DA1660">
        <f>$C1660*DA1659</f>
        <v/>
      </c>
      <c r="DB1660">
        <f>$C1660*DB1659</f>
        <v/>
      </c>
      <c r="DC1660">
        <f>$C1660*DC1659</f>
        <v/>
      </c>
      <c r="DD1660">
        <f>$C1660*DD1659</f>
        <v/>
      </c>
    </row>
    <row r="1661">
      <c r="B1661" t="inlineStr">
        <is>
          <t>TSP-WACZ</t>
        </is>
      </c>
      <c r="C1661" t="inlineStr">
        <is>
          <t>No. of batches</t>
        </is>
      </c>
      <c r="D1661">
        <f>IFERROR(INDEX(E1661:DD1661,$F$1),"")</f>
        <v/>
      </c>
      <c r="E1661">
        <f>IFERROR(INDEX(PP_Grid[#Data],$DE1661,2),0)</f>
        <v/>
      </c>
      <c r="F1661">
        <f>IFERROR(INDEX(PP_Grid[#Data],$DE1661,3),0)</f>
        <v/>
      </c>
      <c r="G1661">
        <f>IFERROR(INDEX(PP_Grid[#Data],$DE1661,4),0)</f>
        <v/>
      </c>
      <c r="H1661">
        <f>IFERROR(INDEX(PP_Grid[#Data],$DE1661,5),0)</f>
        <v/>
      </c>
      <c r="I1661">
        <f>IFERROR(INDEX(PP_Grid[#Data],$DE1661,6),0)</f>
        <v/>
      </c>
      <c r="J1661">
        <f>IFERROR(INDEX(PP_Grid[#Data],$DE1661,7),0)</f>
        <v/>
      </c>
      <c r="K1661">
        <f>IFERROR(INDEX(PP_Grid[#Data],$DE1661,8),0)</f>
        <v/>
      </c>
      <c r="L1661">
        <f>IFERROR(INDEX(PP_Grid[#Data],$DE1661,9),0)</f>
        <v/>
      </c>
      <c r="M1661">
        <f>IFERROR(INDEX(PP_Grid[#Data],$DE1661,10),0)</f>
        <v/>
      </c>
      <c r="N1661">
        <f>IFERROR(INDEX(PP_Grid[#Data],$DE1661,11),0)</f>
        <v/>
      </c>
      <c r="O1661">
        <f>IFERROR(INDEX(PP_Grid[#Data],$DE1661,12),0)</f>
        <v/>
      </c>
      <c r="P1661">
        <f>IFERROR(INDEX(PP_Grid[#Data],$DE1661,13),0)</f>
        <v/>
      </c>
      <c r="Q1661">
        <f>IFERROR(INDEX(PP_Grid[#Data],$DE1661,14),0)</f>
        <v/>
      </c>
      <c r="R1661">
        <f>IFERROR(INDEX(PP_Grid[#Data],$DE1661,15),0)</f>
        <v/>
      </c>
      <c r="S1661">
        <f>IFERROR(INDEX(PP_Grid[#Data],$DE1661,16),0)</f>
        <v/>
      </c>
      <c r="T1661">
        <f>IFERROR(INDEX(PP_Grid[#Data],$DE1661,17),0)</f>
        <v/>
      </c>
      <c r="U1661">
        <f>IFERROR(INDEX(PP_Grid[#Data],$DE1661,18),0)</f>
        <v/>
      </c>
      <c r="V1661">
        <f>IFERROR(INDEX(PP_Grid[#Data],$DE1661,19),0)</f>
        <v/>
      </c>
      <c r="W1661">
        <f>IFERROR(INDEX(PP_Grid[#Data],$DE1661,20),0)</f>
        <v/>
      </c>
      <c r="X1661">
        <f>IFERROR(INDEX(PP_Grid[#Data],$DE1661,21),0)</f>
        <v/>
      </c>
      <c r="Y1661">
        <f>IFERROR(INDEX(PP_Grid[#Data],$DE1661,22),0)</f>
        <v/>
      </c>
      <c r="Z1661">
        <f>IFERROR(INDEX(PP_Grid[#Data],$DE1661,23),0)</f>
        <v/>
      </c>
      <c r="AA1661">
        <f>IFERROR(INDEX(PP_Grid[#Data],$DE1661,24),0)</f>
        <v/>
      </c>
      <c r="AB1661">
        <f>IFERROR(INDEX(PP_Grid[#Data],$DE1661,25),0)</f>
        <v/>
      </c>
      <c r="AC1661">
        <f>IFERROR(INDEX(PP_Grid[#Data],$DE1661,26),0)</f>
        <v/>
      </c>
      <c r="AD1661">
        <f>IFERROR(INDEX(PP_Grid[#Data],$DE1661,27),0)</f>
        <v/>
      </c>
      <c r="AE1661">
        <f>IFERROR(INDEX(PP_Grid[#Data],$DE1661,28),0)</f>
        <v/>
      </c>
      <c r="AF1661">
        <f>IFERROR(INDEX(PP_Grid[#Data],$DE1661,29),0)</f>
        <v/>
      </c>
      <c r="AG1661">
        <f>IFERROR(INDEX(PP_Grid[#Data],$DE1661,30),0)</f>
        <v/>
      </c>
      <c r="AH1661">
        <f>IFERROR(INDEX(PP_Grid[#Data],$DE1661,31),0)</f>
        <v/>
      </c>
      <c r="AI1661">
        <f>IFERROR(INDEX(PP_Grid[#Data],$DE1661,32),0)</f>
        <v/>
      </c>
      <c r="AJ1661">
        <f>IFERROR(INDEX(PP_Grid[#Data],$DE1661,33),0)</f>
        <v/>
      </c>
      <c r="AK1661">
        <f>IFERROR(INDEX(PP_Grid[#Data],$DE1661,34),0)</f>
        <v/>
      </c>
      <c r="AL1661">
        <f>IFERROR(INDEX(PP_Grid[#Data],$DE1661,35),0)</f>
        <v/>
      </c>
      <c r="AM1661">
        <f>IFERROR(INDEX(PP_Grid[#Data],$DE1661,36),0)</f>
        <v/>
      </c>
      <c r="AN1661">
        <f>IFERROR(INDEX(PP_Grid[#Data],$DE1661,37),0)</f>
        <v/>
      </c>
      <c r="AO1661">
        <f>IFERROR(INDEX(PP_Grid[#Data],$DE1661,38),0)</f>
        <v/>
      </c>
      <c r="AP1661">
        <f>IFERROR(INDEX(PP_Grid[#Data],$DE1661,39),0)</f>
        <v/>
      </c>
      <c r="AQ1661">
        <f>IFERROR(INDEX(PP_Grid[#Data],$DE1661,40),0)</f>
        <v/>
      </c>
      <c r="AR1661">
        <f>IFERROR(INDEX(PP_Grid[#Data],$DE1661,41),0)</f>
        <v/>
      </c>
      <c r="AS1661">
        <f>IFERROR(INDEX(PP_Grid[#Data],$DE1661,42),0)</f>
        <v/>
      </c>
      <c r="AT1661">
        <f>IFERROR(INDEX(PP_Grid[#Data],$DE1661,43),0)</f>
        <v/>
      </c>
      <c r="AU1661">
        <f>IFERROR(INDEX(PP_Grid[#Data],$DE1661,44),0)</f>
        <v/>
      </c>
      <c r="AV1661">
        <f>IFERROR(INDEX(PP_Grid[#Data],$DE1661,45),0)</f>
        <v/>
      </c>
      <c r="AW1661">
        <f>IFERROR(INDEX(PP_Grid[#Data],$DE1661,46),0)</f>
        <v/>
      </c>
      <c r="AX1661">
        <f>IFERROR(INDEX(PP_Grid[#Data],$DE1661,47),0)</f>
        <v/>
      </c>
      <c r="AY1661">
        <f>IFERROR(INDEX(PP_Grid[#Data],$DE1661,48),0)</f>
        <v/>
      </c>
      <c r="AZ1661">
        <f>IFERROR(INDEX(PP_Grid[#Data],$DE1661,49),0)</f>
        <v/>
      </c>
      <c r="BA1661">
        <f>IFERROR(INDEX(PP_Grid[#Data],$DE1661,50),0)</f>
        <v/>
      </c>
      <c r="BB1661">
        <f>IFERROR(INDEX(PP_Grid[#Data],$DE1661,51),0)</f>
        <v/>
      </c>
      <c r="BC1661">
        <f>IFERROR(INDEX(PP_Grid[#Data],$DE1661,52),0)</f>
        <v/>
      </c>
      <c r="BD1661">
        <f>IFERROR(INDEX(PP_Grid[#Data],$DE1661,53),0)</f>
        <v/>
      </c>
      <c r="BE1661">
        <f>IFERROR(INDEX(PP_Grid[#Data],$DE1661,54),0)</f>
        <v/>
      </c>
      <c r="BF1661">
        <f>IFERROR(INDEX(PP_Grid[#Data],$DE1661,55),0)</f>
        <v/>
      </c>
      <c r="BG1661">
        <f>IFERROR(INDEX(PP_Grid[#Data],$DE1661,56),0)</f>
        <v/>
      </c>
      <c r="BH1661">
        <f>IFERROR(INDEX(PP_Grid[#Data],$DE1661,57),0)</f>
        <v/>
      </c>
      <c r="BI1661">
        <f>IFERROR(INDEX(PP_Grid[#Data],$DE1661,58),0)</f>
        <v/>
      </c>
      <c r="BJ1661">
        <f>IFERROR(INDEX(PP_Grid[#Data],$DE1661,59),0)</f>
        <v/>
      </c>
      <c r="BK1661">
        <f>IFERROR(INDEX(PP_Grid[#Data],$DE1661,60),0)</f>
        <v/>
      </c>
      <c r="BL1661">
        <f>IFERROR(INDEX(PP_Grid[#Data],$DE1661,61),0)</f>
        <v/>
      </c>
      <c r="BM1661">
        <f>IFERROR(INDEX(PP_Grid[#Data],$DE1661,62),0)</f>
        <v/>
      </c>
      <c r="BN1661">
        <f>IFERROR(INDEX(PP_Grid[#Data],$DE1661,63),0)</f>
        <v/>
      </c>
      <c r="BO1661">
        <f>IFERROR(INDEX(PP_Grid[#Data],$DE1661,64),0)</f>
        <v/>
      </c>
      <c r="BP1661">
        <f>IFERROR(INDEX(PP_Grid[#Data],$DE1661,65),0)</f>
        <v/>
      </c>
      <c r="BQ1661">
        <f>IFERROR(INDEX(PP_Grid[#Data],$DE1661,66),0)</f>
        <v/>
      </c>
      <c r="BR1661">
        <f>IFERROR(INDEX(PP_Grid[#Data],$DE1661,67),0)</f>
        <v/>
      </c>
      <c r="BS1661">
        <f>IFERROR(INDEX(PP_Grid[#Data],$DE1661,68),0)</f>
        <v/>
      </c>
      <c r="BT1661">
        <f>IFERROR(INDEX(PP_Grid[#Data],$DE1661,69),0)</f>
        <v/>
      </c>
      <c r="BU1661">
        <f>IFERROR(INDEX(PP_Grid[#Data],$DE1661,70),0)</f>
        <v/>
      </c>
      <c r="BV1661">
        <f>IFERROR(INDEX(PP_Grid[#Data],$DE1661,71),0)</f>
        <v/>
      </c>
      <c r="BW1661">
        <f>IFERROR(INDEX(PP_Grid[#Data],$DE1661,72),0)</f>
        <v/>
      </c>
      <c r="BX1661">
        <f>IFERROR(INDEX(PP_Grid[#Data],$DE1661,73),0)</f>
        <v/>
      </c>
      <c r="BY1661">
        <f>IFERROR(INDEX(PP_Grid[#Data],$DE1661,74),0)</f>
        <v/>
      </c>
      <c r="BZ1661">
        <f>IFERROR(INDEX(PP_Grid[#Data],$DE1661,75),0)</f>
        <v/>
      </c>
      <c r="CA1661">
        <f>IFERROR(INDEX(PP_Grid[#Data],$DE1661,76),0)</f>
        <v/>
      </c>
      <c r="CB1661">
        <f>IFERROR(INDEX(PP_Grid[#Data],$DE1661,77),0)</f>
        <v/>
      </c>
      <c r="CC1661">
        <f>IFERROR(INDEX(PP_Grid[#Data],$DE1661,78),0)</f>
        <v/>
      </c>
      <c r="CD1661">
        <f>IFERROR(INDEX(PP_Grid[#Data],$DE1661,79),0)</f>
        <v/>
      </c>
      <c r="CE1661">
        <f>IFERROR(INDEX(PP_Grid[#Data],$DE1661,80),0)</f>
        <v/>
      </c>
      <c r="CF1661">
        <f>IFERROR(INDEX(PP_Grid[#Data],$DE1661,81),0)</f>
        <v/>
      </c>
      <c r="CG1661">
        <f>IFERROR(INDEX(PP_Grid[#Data],$DE1661,82),0)</f>
        <v/>
      </c>
      <c r="CH1661">
        <f>IFERROR(INDEX(PP_Grid[#Data],$DE1661,83),0)</f>
        <v/>
      </c>
      <c r="CI1661">
        <f>IFERROR(INDEX(PP_Grid[#Data],$DE1661,84),0)</f>
        <v/>
      </c>
      <c r="CJ1661">
        <f>IFERROR(INDEX(PP_Grid[#Data],$DE1661,85),0)</f>
        <v/>
      </c>
      <c r="CK1661">
        <f>IFERROR(INDEX(PP_Grid[#Data],$DE1661,86),0)</f>
        <v/>
      </c>
      <c r="CL1661">
        <f>IFERROR(INDEX(PP_Grid[#Data],$DE1661,87),0)</f>
        <v/>
      </c>
      <c r="CM1661">
        <f>IFERROR(INDEX(PP_Grid[#Data],$DE1661,88),0)</f>
        <v/>
      </c>
      <c r="CN1661">
        <f>IFERROR(INDEX(PP_Grid[#Data],$DE1661,89),0)</f>
        <v/>
      </c>
      <c r="CO1661">
        <f>IFERROR(INDEX(PP_Grid[#Data],$DE1661,90),0)</f>
        <v/>
      </c>
      <c r="CP1661">
        <f>IFERROR(INDEX(PP_Grid[#Data],$DE1661,91),0)</f>
        <v/>
      </c>
      <c r="CQ1661">
        <f>IFERROR(INDEX(PP_Grid[#Data],$DE1661,92),0)</f>
        <v/>
      </c>
      <c r="CR1661">
        <f>IFERROR(INDEX(PP_Grid[#Data],$DE1661,93),0)</f>
        <v/>
      </c>
      <c r="CS1661">
        <f>IFERROR(INDEX(PP_Grid[#Data],$DE1661,94),0)</f>
        <v/>
      </c>
      <c r="CT1661">
        <f>IFERROR(INDEX(PP_Grid[#Data],$DE1661,95),0)</f>
        <v/>
      </c>
      <c r="CU1661">
        <f>IFERROR(INDEX(PP_Grid[#Data],$DE1661,96),0)</f>
        <v/>
      </c>
      <c r="CV1661">
        <f>IFERROR(INDEX(PP_Grid[#Data],$DE1661,97),0)</f>
        <v/>
      </c>
      <c r="CW1661">
        <f>IFERROR(INDEX(PP_Grid[#Data],$DE1661,98),0)</f>
        <v/>
      </c>
      <c r="CX1661">
        <f>IFERROR(INDEX(PP_Grid[#Data],$DE1661,99),0)</f>
        <v/>
      </c>
      <c r="CY1661">
        <f>IFERROR(INDEX(PP_Grid[#Data],$DE1661,100),0)</f>
        <v/>
      </c>
      <c r="CZ1661">
        <f>IFERROR(INDEX(PP_Grid[#Data],$DE1661,101),0)</f>
        <v/>
      </c>
      <c r="DA1661">
        <f>IFERROR(INDEX(PP_Grid[#Data],$DE1661,102),0)</f>
        <v/>
      </c>
      <c r="DB1661">
        <f>IFERROR(INDEX(PP_Grid[#Data],$DE1661,103),0)</f>
        <v/>
      </c>
      <c r="DC1661">
        <f>IFERROR(INDEX(PP_Grid[#Data],$DE1661,104),0)</f>
        <v/>
      </c>
      <c r="DD1661">
        <f>IFERROR(INDEX(PP_Grid[#Data],$DE1661,105),0)</f>
        <v/>
      </c>
      <c r="DE1661" s="7">
        <f>IFERROR(MATCH($B1661,PP_Grid[Intermediate],0),99999)</f>
        <v/>
      </c>
    </row>
    <row r="1662">
      <c r="B1662" t="inlineStr">
        <is>
          <t>使用量(kg)</t>
        </is>
      </c>
      <c r="C1662">
        <f>SUMIFS(M_BOM[RM_Qty_Per_Batch],M_BOM[Intermediate],$B1661,M_BOM[RM_Code],$A1656)</f>
        <v/>
      </c>
      <c r="D1662">
        <f>IFERROR(INDEX(E1662:DD1662,$F$1),"")</f>
        <v/>
      </c>
      <c r="E1662">
        <f>$C1662*E1661</f>
        <v/>
      </c>
      <c r="F1662">
        <f>$C1662*F1661</f>
        <v/>
      </c>
      <c r="G1662">
        <f>$C1662*G1661</f>
        <v/>
      </c>
      <c r="H1662">
        <f>$C1662*H1661</f>
        <v/>
      </c>
      <c r="I1662">
        <f>$C1662*I1661</f>
        <v/>
      </c>
      <c r="J1662">
        <f>$C1662*J1661</f>
        <v/>
      </c>
      <c r="K1662">
        <f>$C1662*K1661</f>
        <v/>
      </c>
      <c r="L1662">
        <f>$C1662*L1661</f>
        <v/>
      </c>
      <c r="M1662">
        <f>$C1662*M1661</f>
        <v/>
      </c>
      <c r="N1662">
        <f>$C1662*N1661</f>
        <v/>
      </c>
      <c r="O1662">
        <f>$C1662*O1661</f>
        <v/>
      </c>
      <c r="P1662">
        <f>$C1662*P1661</f>
        <v/>
      </c>
      <c r="Q1662">
        <f>$C1662*Q1661</f>
        <v/>
      </c>
      <c r="R1662">
        <f>$C1662*R1661</f>
        <v/>
      </c>
      <c r="S1662">
        <f>$C1662*S1661</f>
        <v/>
      </c>
      <c r="T1662">
        <f>$C1662*T1661</f>
        <v/>
      </c>
      <c r="U1662">
        <f>$C1662*U1661</f>
        <v/>
      </c>
      <c r="V1662">
        <f>$C1662*V1661</f>
        <v/>
      </c>
      <c r="W1662">
        <f>$C1662*W1661</f>
        <v/>
      </c>
      <c r="X1662">
        <f>$C1662*X1661</f>
        <v/>
      </c>
      <c r="Y1662">
        <f>$C1662*Y1661</f>
        <v/>
      </c>
      <c r="Z1662">
        <f>$C1662*Z1661</f>
        <v/>
      </c>
      <c r="AA1662">
        <f>$C1662*AA1661</f>
        <v/>
      </c>
      <c r="AB1662">
        <f>$C1662*AB1661</f>
        <v/>
      </c>
      <c r="AC1662">
        <f>$C1662*AC1661</f>
        <v/>
      </c>
      <c r="AD1662">
        <f>$C1662*AD1661</f>
        <v/>
      </c>
      <c r="AE1662">
        <f>$C1662*AE1661</f>
        <v/>
      </c>
      <c r="AF1662">
        <f>$C1662*AF1661</f>
        <v/>
      </c>
      <c r="AG1662">
        <f>$C1662*AG1661</f>
        <v/>
      </c>
      <c r="AH1662">
        <f>$C1662*AH1661</f>
        <v/>
      </c>
      <c r="AI1662">
        <f>$C1662*AI1661</f>
        <v/>
      </c>
      <c r="AJ1662">
        <f>$C1662*AJ1661</f>
        <v/>
      </c>
      <c r="AK1662">
        <f>$C1662*AK1661</f>
        <v/>
      </c>
      <c r="AL1662">
        <f>$C1662*AL1661</f>
        <v/>
      </c>
      <c r="AM1662">
        <f>$C1662*AM1661</f>
        <v/>
      </c>
      <c r="AN1662">
        <f>$C1662*AN1661</f>
        <v/>
      </c>
      <c r="AO1662">
        <f>$C1662*AO1661</f>
        <v/>
      </c>
      <c r="AP1662">
        <f>$C1662*AP1661</f>
        <v/>
      </c>
      <c r="AQ1662">
        <f>$C1662*AQ1661</f>
        <v/>
      </c>
      <c r="AR1662">
        <f>$C1662*AR1661</f>
        <v/>
      </c>
      <c r="AS1662">
        <f>$C1662*AS1661</f>
        <v/>
      </c>
      <c r="AT1662">
        <f>$C1662*AT1661</f>
        <v/>
      </c>
      <c r="AU1662">
        <f>$C1662*AU1661</f>
        <v/>
      </c>
      <c r="AV1662">
        <f>$C1662*AV1661</f>
        <v/>
      </c>
      <c r="AW1662">
        <f>$C1662*AW1661</f>
        <v/>
      </c>
      <c r="AX1662">
        <f>$C1662*AX1661</f>
        <v/>
      </c>
      <c r="AY1662">
        <f>$C1662*AY1661</f>
        <v/>
      </c>
      <c r="AZ1662">
        <f>$C1662*AZ1661</f>
        <v/>
      </c>
      <c r="BA1662">
        <f>$C1662*BA1661</f>
        <v/>
      </c>
      <c r="BB1662">
        <f>$C1662*BB1661</f>
        <v/>
      </c>
      <c r="BC1662">
        <f>$C1662*BC1661</f>
        <v/>
      </c>
      <c r="BD1662">
        <f>$C1662*BD1661</f>
        <v/>
      </c>
      <c r="BE1662">
        <f>$C1662*BE1661</f>
        <v/>
      </c>
      <c r="BF1662">
        <f>$C1662*BF1661</f>
        <v/>
      </c>
      <c r="BG1662">
        <f>$C1662*BG1661</f>
        <v/>
      </c>
      <c r="BH1662">
        <f>$C1662*BH1661</f>
        <v/>
      </c>
      <c r="BI1662">
        <f>$C1662*BI1661</f>
        <v/>
      </c>
      <c r="BJ1662">
        <f>$C1662*BJ1661</f>
        <v/>
      </c>
      <c r="BK1662">
        <f>$C1662*BK1661</f>
        <v/>
      </c>
      <c r="BL1662">
        <f>$C1662*BL1661</f>
        <v/>
      </c>
      <c r="BM1662">
        <f>$C1662*BM1661</f>
        <v/>
      </c>
      <c r="BN1662">
        <f>$C1662*BN1661</f>
        <v/>
      </c>
      <c r="BO1662">
        <f>$C1662*BO1661</f>
        <v/>
      </c>
      <c r="BP1662">
        <f>$C1662*BP1661</f>
        <v/>
      </c>
      <c r="BQ1662">
        <f>$C1662*BQ1661</f>
        <v/>
      </c>
      <c r="BR1662">
        <f>$C1662*BR1661</f>
        <v/>
      </c>
      <c r="BS1662">
        <f>$C1662*BS1661</f>
        <v/>
      </c>
      <c r="BT1662">
        <f>$C1662*BT1661</f>
        <v/>
      </c>
      <c r="BU1662">
        <f>$C1662*BU1661</f>
        <v/>
      </c>
      <c r="BV1662">
        <f>$C1662*BV1661</f>
        <v/>
      </c>
      <c r="BW1662">
        <f>$C1662*BW1661</f>
        <v/>
      </c>
      <c r="BX1662">
        <f>$C1662*BX1661</f>
        <v/>
      </c>
      <c r="BY1662">
        <f>$C1662*BY1661</f>
        <v/>
      </c>
      <c r="BZ1662">
        <f>$C1662*BZ1661</f>
        <v/>
      </c>
      <c r="CA1662">
        <f>$C1662*CA1661</f>
        <v/>
      </c>
      <c r="CB1662">
        <f>$C1662*CB1661</f>
        <v/>
      </c>
      <c r="CC1662">
        <f>$C1662*CC1661</f>
        <v/>
      </c>
      <c r="CD1662">
        <f>$C1662*CD1661</f>
        <v/>
      </c>
      <c r="CE1662">
        <f>$C1662*CE1661</f>
        <v/>
      </c>
      <c r="CF1662">
        <f>$C1662*CF1661</f>
        <v/>
      </c>
      <c r="CG1662">
        <f>$C1662*CG1661</f>
        <v/>
      </c>
      <c r="CH1662">
        <f>$C1662*CH1661</f>
        <v/>
      </c>
      <c r="CI1662">
        <f>$C1662*CI1661</f>
        <v/>
      </c>
      <c r="CJ1662">
        <f>$C1662*CJ1661</f>
        <v/>
      </c>
      <c r="CK1662">
        <f>$C1662*CK1661</f>
        <v/>
      </c>
      <c r="CL1662">
        <f>$C1662*CL1661</f>
        <v/>
      </c>
      <c r="CM1662">
        <f>$C1662*CM1661</f>
        <v/>
      </c>
      <c r="CN1662">
        <f>$C1662*CN1661</f>
        <v/>
      </c>
      <c r="CO1662">
        <f>$C1662*CO1661</f>
        <v/>
      </c>
      <c r="CP1662">
        <f>$C1662*CP1661</f>
        <v/>
      </c>
      <c r="CQ1662">
        <f>$C1662*CQ1661</f>
        <v/>
      </c>
      <c r="CR1662">
        <f>$C1662*CR1661</f>
        <v/>
      </c>
      <c r="CS1662">
        <f>$C1662*CS1661</f>
        <v/>
      </c>
      <c r="CT1662">
        <f>$C1662*CT1661</f>
        <v/>
      </c>
      <c r="CU1662">
        <f>$C1662*CU1661</f>
        <v/>
      </c>
      <c r="CV1662">
        <f>$C1662*CV1661</f>
        <v/>
      </c>
      <c r="CW1662">
        <f>$C1662*CW1661</f>
        <v/>
      </c>
      <c r="CX1662">
        <f>$C1662*CX1661</f>
        <v/>
      </c>
      <c r="CY1662">
        <f>$C1662*CY1661</f>
        <v/>
      </c>
      <c r="CZ1662">
        <f>$C1662*CZ1661</f>
        <v/>
      </c>
      <c r="DA1662">
        <f>$C1662*DA1661</f>
        <v/>
      </c>
      <c r="DB1662">
        <f>$C1662*DB1661</f>
        <v/>
      </c>
      <c r="DC1662">
        <f>$C1662*DC1661</f>
        <v/>
      </c>
      <c r="DD1662">
        <f>$C1662*DD1661</f>
        <v/>
      </c>
    </row>
    <row r="1663">
      <c r="B1663" s="4" t="inlineStr">
        <is>
          <t>合計使用量(kg)/週</t>
        </is>
      </c>
      <c r="D1663" s="23">
        <f>IFERROR(INDEX(E1663:DD1663,$F$1),"")</f>
        <v/>
      </c>
      <c r="E1663">
        <f>'Grid_Requirement'!B43</f>
        <v/>
      </c>
      <c r="F1663">
        <f>'Grid_Requirement'!C43</f>
        <v/>
      </c>
      <c r="G1663">
        <f>'Grid_Requirement'!D43</f>
        <v/>
      </c>
      <c r="H1663">
        <f>'Grid_Requirement'!E43</f>
        <v/>
      </c>
      <c r="I1663">
        <f>'Grid_Requirement'!F43</f>
        <v/>
      </c>
      <c r="J1663">
        <f>'Grid_Requirement'!G43</f>
        <v/>
      </c>
      <c r="K1663">
        <f>'Grid_Requirement'!H43</f>
        <v/>
      </c>
      <c r="L1663">
        <f>'Grid_Requirement'!I43</f>
        <v/>
      </c>
      <c r="M1663">
        <f>'Grid_Requirement'!J43</f>
        <v/>
      </c>
      <c r="N1663">
        <f>'Grid_Requirement'!K43</f>
        <v/>
      </c>
      <c r="O1663">
        <f>'Grid_Requirement'!L43</f>
        <v/>
      </c>
      <c r="P1663">
        <f>'Grid_Requirement'!M43</f>
        <v/>
      </c>
      <c r="Q1663">
        <f>'Grid_Requirement'!N43</f>
        <v/>
      </c>
      <c r="R1663">
        <f>'Grid_Requirement'!O43</f>
        <v/>
      </c>
      <c r="S1663">
        <f>'Grid_Requirement'!P43</f>
        <v/>
      </c>
      <c r="T1663">
        <f>'Grid_Requirement'!Q43</f>
        <v/>
      </c>
      <c r="U1663">
        <f>'Grid_Requirement'!R43</f>
        <v/>
      </c>
      <c r="V1663">
        <f>'Grid_Requirement'!S43</f>
        <v/>
      </c>
      <c r="W1663">
        <f>'Grid_Requirement'!T43</f>
        <v/>
      </c>
      <c r="X1663">
        <f>'Grid_Requirement'!U43</f>
        <v/>
      </c>
      <c r="Y1663">
        <f>'Grid_Requirement'!V43</f>
        <v/>
      </c>
      <c r="Z1663">
        <f>'Grid_Requirement'!W43</f>
        <v/>
      </c>
      <c r="AA1663">
        <f>'Grid_Requirement'!X43</f>
        <v/>
      </c>
      <c r="AB1663">
        <f>'Grid_Requirement'!Y43</f>
        <v/>
      </c>
      <c r="AC1663">
        <f>'Grid_Requirement'!Z43</f>
        <v/>
      </c>
      <c r="AD1663">
        <f>'Grid_Requirement'!AA43</f>
        <v/>
      </c>
      <c r="AE1663">
        <f>'Grid_Requirement'!AB43</f>
        <v/>
      </c>
      <c r="AF1663">
        <f>'Grid_Requirement'!AC43</f>
        <v/>
      </c>
      <c r="AG1663">
        <f>'Grid_Requirement'!AD43</f>
        <v/>
      </c>
      <c r="AH1663">
        <f>'Grid_Requirement'!AE43</f>
        <v/>
      </c>
      <c r="AI1663">
        <f>'Grid_Requirement'!AF43</f>
        <v/>
      </c>
      <c r="AJ1663">
        <f>'Grid_Requirement'!AG43</f>
        <v/>
      </c>
      <c r="AK1663">
        <f>'Grid_Requirement'!AH43</f>
        <v/>
      </c>
      <c r="AL1663">
        <f>'Grid_Requirement'!AI43</f>
        <v/>
      </c>
      <c r="AM1663">
        <f>'Grid_Requirement'!AJ43</f>
        <v/>
      </c>
      <c r="AN1663">
        <f>'Grid_Requirement'!AK43</f>
        <v/>
      </c>
      <c r="AO1663">
        <f>'Grid_Requirement'!AL43</f>
        <v/>
      </c>
      <c r="AP1663">
        <f>'Grid_Requirement'!AM43</f>
        <v/>
      </c>
      <c r="AQ1663">
        <f>'Grid_Requirement'!AN43</f>
        <v/>
      </c>
      <c r="AR1663">
        <f>'Grid_Requirement'!AO43</f>
        <v/>
      </c>
      <c r="AS1663">
        <f>'Grid_Requirement'!AP43</f>
        <v/>
      </c>
      <c r="AT1663">
        <f>'Grid_Requirement'!AQ43</f>
        <v/>
      </c>
      <c r="AU1663">
        <f>'Grid_Requirement'!AR43</f>
        <v/>
      </c>
      <c r="AV1663">
        <f>'Grid_Requirement'!AS43</f>
        <v/>
      </c>
      <c r="AW1663">
        <f>'Grid_Requirement'!AT43</f>
        <v/>
      </c>
      <c r="AX1663">
        <f>'Grid_Requirement'!AU43</f>
        <v/>
      </c>
      <c r="AY1663">
        <f>'Grid_Requirement'!AV43</f>
        <v/>
      </c>
      <c r="AZ1663">
        <f>'Grid_Requirement'!AW43</f>
        <v/>
      </c>
      <c r="BA1663">
        <f>'Grid_Requirement'!AX43</f>
        <v/>
      </c>
      <c r="BB1663">
        <f>'Grid_Requirement'!AY43</f>
        <v/>
      </c>
      <c r="BC1663">
        <f>'Grid_Requirement'!AZ43</f>
        <v/>
      </c>
      <c r="BD1663">
        <f>'Grid_Requirement'!BA43</f>
        <v/>
      </c>
      <c r="BE1663">
        <f>'Grid_Requirement'!BB43</f>
        <v/>
      </c>
      <c r="BF1663">
        <f>'Grid_Requirement'!BC43</f>
        <v/>
      </c>
      <c r="BG1663">
        <f>'Grid_Requirement'!BD43</f>
        <v/>
      </c>
      <c r="BH1663">
        <f>'Grid_Requirement'!BE43</f>
        <v/>
      </c>
      <c r="BI1663">
        <f>'Grid_Requirement'!BF43</f>
        <v/>
      </c>
      <c r="BJ1663">
        <f>'Grid_Requirement'!BG43</f>
        <v/>
      </c>
      <c r="BK1663">
        <f>'Grid_Requirement'!BH43</f>
        <v/>
      </c>
      <c r="BL1663">
        <f>'Grid_Requirement'!BI43</f>
        <v/>
      </c>
      <c r="BM1663">
        <f>'Grid_Requirement'!BJ43</f>
        <v/>
      </c>
      <c r="BN1663">
        <f>'Grid_Requirement'!BK43</f>
        <v/>
      </c>
      <c r="BO1663">
        <f>'Grid_Requirement'!BL43</f>
        <v/>
      </c>
      <c r="BP1663">
        <f>'Grid_Requirement'!BM43</f>
        <v/>
      </c>
      <c r="BQ1663">
        <f>'Grid_Requirement'!BN43</f>
        <v/>
      </c>
      <c r="BR1663">
        <f>'Grid_Requirement'!BO43</f>
        <v/>
      </c>
      <c r="BS1663">
        <f>'Grid_Requirement'!BP43</f>
        <v/>
      </c>
      <c r="BT1663">
        <f>'Grid_Requirement'!BQ43</f>
        <v/>
      </c>
      <c r="BU1663">
        <f>'Grid_Requirement'!BR43</f>
        <v/>
      </c>
      <c r="BV1663">
        <f>'Grid_Requirement'!BS43</f>
        <v/>
      </c>
      <c r="BW1663">
        <f>'Grid_Requirement'!BT43</f>
        <v/>
      </c>
      <c r="BX1663">
        <f>'Grid_Requirement'!BU43</f>
        <v/>
      </c>
      <c r="BY1663">
        <f>'Grid_Requirement'!BV43</f>
        <v/>
      </c>
      <c r="BZ1663">
        <f>'Grid_Requirement'!BW43</f>
        <v/>
      </c>
      <c r="CA1663">
        <f>'Grid_Requirement'!BX43</f>
        <v/>
      </c>
      <c r="CB1663">
        <f>'Grid_Requirement'!BY43</f>
        <v/>
      </c>
      <c r="CC1663">
        <f>'Grid_Requirement'!BZ43</f>
        <v/>
      </c>
      <c r="CD1663">
        <f>'Grid_Requirement'!CA43</f>
        <v/>
      </c>
      <c r="CE1663">
        <f>'Grid_Requirement'!CB43</f>
        <v/>
      </c>
      <c r="CF1663">
        <f>'Grid_Requirement'!CC43</f>
        <v/>
      </c>
      <c r="CG1663">
        <f>'Grid_Requirement'!CD43</f>
        <v/>
      </c>
      <c r="CH1663">
        <f>'Grid_Requirement'!CE43</f>
        <v/>
      </c>
      <c r="CI1663">
        <f>'Grid_Requirement'!CF43</f>
        <v/>
      </c>
      <c r="CJ1663">
        <f>'Grid_Requirement'!CG43</f>
        <v/>
      </c>
      <c r="CK1663">
        <f>'Grid_Requirement'!CH43</f>
        <v/>
      </c>
      <c r="CL1663">
        <f>'Grid_Requirement'!CI43</f>
        <v/>
      </c>
      <c r="CM1663">
        <f>'Grid_Requirement'!CJ43</f>
        <v/>
      </c>
      <c r="CN1663">
        <f>'Grid_Requirement'!CK43</f>
        <v/>
      </c>
      <c r="CO1663">
        <f>'Grid_Requirement'!CL43</f>
        <v/>
      </c>
      <c r="CP1663">
        <f>'Grid_Requirement'!CM43</f>
        <v/>
      </c>
      <c r="CQ1663">
        <f>'Grid_Requirement'!CN43</f>
        <v/>
      </c>
      <c r="CR1663">
        <f>'Grid_Requirement'!CO43</f>
        <v/>
      </c>
      <c r="CS1663">
        <f>'Grid_Requirement'!CP43</f>
        <v/>
      </c>
      <c r="CT1663">
        <f>'Grid_Requirement'!CQ43</f>
        <v/>
      </c>
      <c r="CU1663">
        <f>'Grid_Requirement'!CR43</f>
        <v/>
      </c>
      <c r="CV1663">
        <f>'Grid_Requirement'!CS43</f>
        <v/>
      </c>
      <c r="CW1663">
        <f>'Grid_Requirement'!CT43</f>
        <v/>
      </c>
      <c r="CX1663">
        <f>'Grid_Requirement'!CU43</f>
        <v/>
      </c>
      <c r="CY1663">
        <f>'Grid_Requirement'!CV43</f>
        <v/>
      </c>
      <c r="CZ1663">
        <f>'Grid_Requirement'!CW43</f>
        <v/>
      </c>
      <c r="DA1663">
        <f>'Grid_Requirement'!CX43</f>
        <v/>
      </c>
      <c r="DB1663">
        <f>'Grid_Requirement'!CY43</f>
        <v/>
      </c>
      <c r="DC1663">
        <f>'Grid_Requirement'!CZ43</f>
        <v/>
      </c>
      <c r="DD1663">
        <f>'Grid_Requirement'!DA43</f>
        <v/>
      </c>
    </row>
    <row r="1664">
      <c r="B1664" t="inlineStr">
        <is>
          <t>TTAF在庫(実績,kg)</t>
        </is>
      </c>
      <c r="D1664">
        <f>IFERROR(INDEX(E1664:DD1664,$F$1),"")</f>
        <v/>
      </c>
      <c r="E1664">
        <f>IFERROR(SUMIFS(T_TTAFStock[TTAF_Qty],T_TTAFStock[RM_Code],$A1656,T_TTAFStock[WeekIndex],1),"")</f>
        <v/>
      </c>
      <c r="F1664">
        <f>IFERROR(SUMIFS(T_TTAFStock[TTAF_Qty],T_TTAFStock[RM_Code],$A1656,T_TTAFStock[WeekIndex],2),"")</f>
        <v/>
      </c>
      <c r="G1664">
        <f>IFERROR(SUMIFS(T_TTAFStock[TTAF_Qty],T_TTAFStock[RM_Code],$A1656,T_TTAFStock[WeekIndex],3),"")</f>
        <v/>
      </c>
      <c r="H1664">
        <f>IFERROR(SUMIFS(T_TTAFStock[TTAF_Qty],T_TTAFStock[RM_Code],$A1656,T_TTAFStock[WeekIndex],4),"")</f>
        <v/>
      </c>
      <c r="I1664">
        <f>IFERROR(SUMIFS(T_TTAFStock[TTAF_Qty],T_TTAFStock[RM_Code],$A1656,T_TTAFStock[WeekIndex],5),"")</f>
        <v/>
      </c>
      <c r="J1664">
        <f>IFERROR(SUMIFS(T_TTAFStock[TTAF_Qty],T_TTAFStock[RM_Code],$A1656,T_TTAFStock[WeekIndex],6),"")</f>
        <v/>
      </c>
      <c r="K1664">
        <f>IFERROR(SUMIFS(T_TTAFStock[TTAF_Qty],T_TTAFStock[RM_Code],$A1656,T_TTAFStock[WeekIndex],7),"")</f>
        <v/>
      </c>
      <c r="L1664">
        <f>IFERROR(SUMIFS(T_TTAFStock[TTAF_Qty],T_TTAFStock[RM_Code],$A1656,T_TTAFStock[WeekIndex],8),"")</f>
        <v/>
      </c>
      <c r="M1664">
        <f>IFERROR(SUMIFS(T_TTAFStock[TTAF_Qty],T_TTAFStock[RM_Code],$A1656,T_TTAFStock[WeekIndex],9),"")</f>
        <v/>
      </c>
      <c r="N1664">
        <f>IFERROR(SUMIFS(T_TTAFStock[TTAF_Qty],T_TTAFStock[RM_Code],$A1656,T_TTAFStock[WeekIndex],10),"")</f>
        <v/>
      </c>
      <c r="O1664">
        <f>IFERROR(SUMIFS(T_TTAFStock[TTAF_Qty],T_TTAFStock[RM_Code],$A1656,T_TTAFStock[WeekIndex],11),"")</f>
        <v/>
      </c>
      <c r="P1664">
        <f>IFERROR(SUMIFS(T_TTAFStock[TTAF_Qty],T_TTAFStock[RM_Code],$A1656,T_TTAFStock[WeekIndex],12),"")</f>
        <v/>
      </c>
      <c r="Q1664">
        <f>IFERROR(SUMIFS(T_TTAFStock[TTAF_Qty],T_TTAFStock[RM_Code],$A1656,T_TTAFStock[WeekIndex],13),"")</f>
        <v/>
      </c>
      <c r="R1664">
        <f>IFERROR(SUMIFS(T_TTAFStock[TTAF_Qty],T_TTAFStock[RM_Code],$A1656,T_TTAFStock[WeekIndex],14),"")</f>
        <v/>
      </c>
      <c r="S1664">
        <f>IFERROR(SUMIFS(T_TTAFStock[TTAF_Qty],T_TTAFStock[RM_Code],$A1656,T_TTAFStock[WeekIndex],15),"")</f>
        <v/>
      </c>
      <c r="T1664">
        <f>IFERROR(SUMIFS(T_TTAFStock[TTAF_Qty],T_TTAFStock[RM_Code],$A1656,T_TTAFStock[WeekIndex],16),"")</f>
        <v/>
      </c>
      <c r="U1664">
        <f>IFERROR(SUMIFS(T_TTAFStock[TTAF_Qty],T_TTAFStock[RM_Code],$A1656,T_TTAFStock[WeekIndex],17),"")</f>
        <v/>
      </c>
      <c r="V1664">
        <f>IFERROR(SUMIFS(T_TTAFStock[TTAF_Qty],T_TTAFStock[RM_Code],$A1656,T_TTAFStock[WeekIndex],18),"")</f>
        <v/>
      </c>
      <c r="W1664">
        <f>IFERROR(SUMIFS(T_TTAFStock[TTAF_Qty],T_TTAFStock[RM_Code],$A1656,T_TTAFStock[WeekIndex],19),"")</f>
        <v/>
      </c>
      <c r="X1664">
        <f>IFERROR(SUMIFS(T_TTAFStock[TTAF_Qty],T_TTAFStock[RM_Code],$A1656,T_TTAFStock[WeekIndex],20),"")</f>
        <v/>
      </c>
      <c r="Y1664">
        <f>IFERROR(SUMIFS(T_TTAFStock[TTAF_Qty],T_TTAFStock[RM_Code],$A1656,T_TTAFStock[WeekIndex],21),"")</f>
        <v/>
      </c>
      <c r="Z1664">
        <f>IFERROR(SUMIFS(T_TTAFStock[TTAF_Qty],T_TTAFStock[RM_Code],$A1656,T_TTAFStock[WeekIndex],22),"")</f>
        <v/>
      </c>
      <c r="AA1664">
        <f>IFERROR(SUMIFS(T_TTAFStock[TTAF_Qty],T_TTAFStock[RM_Code],$A1656,T_TTAFStock[WeekIndex],23),"")</f>
        <v/>
      </c>
      <c r="AB1664">
        <f>IFERROR(SUMIFS(T_TTAFStock[TTAF_Qty],T_TTAFStock[RM_Code],$A1656,T_TTAFStock[WeekIndex],24),"")</f>
        <v/>
      </c>
      <c r="AC1664">
        <f>IFERROR(SUMIFS(T_TTAFStock[TTAF_Qty],T_TTAFStock[RM_Code],$A1656,T_TTAFStock[WeekIndex],25),"")</f>
        <v/>
      </c>
      <c r="AD1664">
        <f>IFERROR(SUMIFS(T_TTAFStock[TTAF_Qty],T_TTAFStock[RM_Code],$A1656,T_TTAFStock[WeekIndex],26),"")</f>
        <v/>
      </c>
      <c r="AE1664">
        <f>IFERROR(SUMIFS(T_TTAFStock[TTAF_Qty],T_TTAFStock[RM_Code],$A1656,T_TTAFStock[WeekIndex],27),"")</f>
        <v/>
      </c>
      <c r="AF1664">
        <f>IFERROR(SUMIFS(T_TTAFStock[TTAF_Qty],T_TTAFStock[RM_Code],$A1656,T_TTAFStock[WeekIndex],28),"")</f>
        <v/>
      </c>
      <c r="AG1664">
        <f>IFERROR(SUMIFS(T_TTAFStock[TTAF_Qty],T_TTAFStock[RM_Code],$A1656,T_TTAFStock[WeekIndex],29),"")</f>
        <v/>
      </c>
      <c r="AH1664">
        <f>IFERROR(SUMIFS(T_TTAFStock[TTAF_Qty],T_TTAFStock[RM_Code],$A1656,T_TTAFStock[WeekIndex],30),"")</f>
        <v/>
      </c>
      <c r="AI1664">
        <f>IFERROR(SUMIFS(T_TTAFStock[TTAF_Qty],T_TTAFStock[RM_Code],$A1656,T_TTAFStock[WeekIndex],31),"")</f>
        <v/>
      </c>
      <c r="AJ1664">
        <f>IFERROR(SUMIFS(T_TTAFStock[TTAF_Qty],T_TTAFStock[RM_Code],$A1656,T_TTAFStock[WeekIndex],32),"")</f>
        <v/>
      </c>
      <c r="AK1664">
        <f>IFERROR(SUMIFS(T_TTAFStock[TTAF_Qty],T_TTAFStock[RM_Code],$A1656,T_TTAFStock[WeekIndex],33),"")</f>
        <v/>
      </c>
      <c r="AL1664">
        <f>IFERROR(SUMIFS(T_TTAFStock[TTAF_Qty],T_TTAFStock[RM_Code],$A1656,T_TTAFStock[WeekIndex],34),"")</f>
        <v/>
      </c>
      <c r="AM1664">
        <f>IFERROR(SUMIFS(T_TTAFStock[TTAF_Qty],T_TTAFStock[RM_Code],$A1656,T_TTAFStock[WeekIndex],35),"")</f>
        <v/>
      </c>
      <c r="AN1664">
        <f>IFERROR(SUMIFS(T_TTAFStock[TTAF_Qty],T_TTAFStock[RM_Code],$A1656,T_TTAFStock[WeekIndex],36),"")</f>
        <v/>
      </c>
      <c r="AO1664">
        <f>IFERROR(SUMIFS(T_TTAFStock[TTAF_Qty],T_TTAFStock[RM_Code],$A1656,T_TTAFStock[WeekIndex],37),"")</f>
        <v/>
      </c>
      <c r="AP1664">
        <f>IFERROR(SUMIFS(T_TTAFStock[TTAF_Qty],T_TTAFStock[RM_Code],$A1656,T_TTAFStock[WeekIndex],38),"")</f>
        <v/>
      </c>
      <c r="AQ1664">
        <f>IFERROR(SUMIFS(T_TTAFStock[TTAF_Qty],T_TTAFStock[RM_Code],$A1656,T_TTAFStock[WeekIndex],39),"")</f>
        <v/>
      </c>
      <c r="AR1664">
        <f>IFERROR(SUMIFS(T_TTAFStock[TTAF_Qty],T_TTAFStock[RM_Code],$A1656,T_TTAFStock[WeekIndex],40),"")</f>
        <v/>
      </c>
      <c r="AS1664">
        <f>IFERROR(SUMIFS(T_TTAFStock[TTAF_Qty],T_TTAFStock[RM_Code],$A1656,T_TTAFStock[WeekIndex],41),"")</f>
        <v/>
      </c>
      <c r="AT1664">
        <f>IFERROR(SUMIFS(T_TTAFStock[TTAF_Qty],T_TTAFStock[RM_Code],$A1656,T_TTAFStock[WeekIndex],42),"")</f>
        <v/>
      </c>
      <c r="AU1664">
        <f>IFERROR(SUMIFS(T_TTAFStock[TTAF_Qty],T_TTAFStock[RM_Code],$A1656,T_TTAFStock[WeekIndex],43),"")</f>
        <v/>
      </c>
      <c r="AV1664">
        <f>IFERROR(SUMIFS(T_TTAFStock[TTAF_Qty],T_TTAFStock[RM_Code],$A1656,T_TTAFStock[WeekIndex],44),"")</f>
        <v/>
      </c>
      <c r="AW1664">
        <f>IFERROR(SUMIFS(T_TTAFStock[TTAF_Qty],T_TTAFStock[RM_Code],$A1656,T_TTAFStock[WeekIndex],45),"")</f>
        <v/>
      </c>
      <c r="AX1664">
        <f>IFERROR(SUMIFS(T_TTAFStock[TTAF_Qty],T_TTAFStock[RM_Code],$A1656,T_TTAFStock[WeekIndex],46),"")</f>
        <v/>
      </c>
      <c r="AY1664">
        <f>IFERROR(SUMIFS(T_TTAFStock[TTAF_Qty],T_TTAFStock[RM_Code],$A1656,T_TTAFStock[WeekIndex],47),"")</f>
        <v/>
      </c>
      <c r="AZ1664">
        <f>IFERROR(SUMIFS(T_TTAFStock[TTAF_Qty],T_TTAFStock[RM_Code],$A1656,T_TTAFStock[WeekIndex],48),"")</f>
        <v/>
      </c>
      <c r="BA1664">
        <f>IFERROR(SUMIFS(T_TTAFStock[TTAF_Qty],T_TTAFStock[RM_Code],$A1656,T_TTAFStock[WeekIndex],49),"")</f>
        <v/>
      </c>
      <c r="BB1664">
        <f>IFERROR(SUMIFS(T_TTAFStock[TTAF_Qty],T_TTAFStock[RM_Code],$A1656,T_TTAFStock[WeekIndex],50),"")</f>
        <v/>
      </c>
      <c r="BC1664">
        <f>IFERROR(SUMIFS(T_TTAFStock[TTAF_Qty],T_TTAFStock[RM_Code],$A1656,T_TTAFStock[WeekIndex],51),"")</f>
        <v/>
      </c>
      <c r="BD1664">
        <f>IFERROR(SUMIFS(T_TTAFStock[TTAF_Qty],T_TTAFStock[RM_Code],$A1656,T_TTAFStock[WeekIndex],52),"")</f>
        <v/>
      </c>
      <c r="BE1664">
        <f>IFERROR(SUMIFS(T_TTAFStock[TTAF_Qty],T_TTAFStock[RM_Code],$A1656,T_TTAFStock[WeekIndex],53),"")</f>
        <v/>
      </c>
      <c r="BF1664">
        <f>IFERROR(SUMIFS(T_TTAFStock[TTAF_Qty],T_TTAFStock[RM_Code],$A1656,T_TTAFStock[WeekIndex],54),"")</f>
        <v/>
      </c>
      <c r="BG1664">
        <f>IFERROR(SUMIFS(T_TTAFStock[TTAF_Qty],T_TTAFStock[RM_Code],$A1656,T_TTAFStock[WeekIndex],55),"")</f>
        <v/>
      </c>
      <c r="BH1664">
        <f>IFERROR(SUMIFS(T_TTAFStock[TTAF_Qty],T_TTAFStock[RM_Code],$A1656,T_TTAFStock[WeekIndex],56),"")</f>
        <v/>
      </c>
      <c r="BI1664">
        <f>IFERROR(SUMIFS(T_TTAFStock[TTAF_Qty],T_TTAFStock[RM_Code],$A1656,T_TTAFStock[WeekIndex],57),"")</f>
        <v/>
      </c>
      <c r="BJ1664">
        <f>IFERROR(SUMIFS(T_TTAFStock[TTAF_Qty],T_TTAFStock[RM_Code],$A1656,T_TTAFStock[WeekIndex],58),"")</f>
        <v/>
      </c>
      <c r="BK1664">
        <f>IFERROR(SUMIFS(T_TTAFStock[TTAF_Qty],T_TTAFStock[RM_Code],$A1656,T_TTAFStock[WeekIndex],59),"")</f>
        <v/>
      </c>
      <c r="BL1664">
        <f>IFERROR(SUMIFS(T_TTAFStock[TTAF_Qty],T_TTAFStock[RM_Code],$A1656,T_TTAFStock[WeekIndex],60),"")</f>
        <v/>
      </c>
      <c r="BM1664">
        <f>IFERROR(SUMIFS(T_TTAFStock[TTAF_Qty],T_TTAFStock[RM_Code],$A1656,T_TTAFStock[WeekIndex],61),"")</f>
        <v/>
      </c>
      <c r="BN1664">
        <f>IFERROR(SUMIFS(T_TTAFStock[TTAF_Qty],T_TTAFStock[RM_Code],$A1656,T_TTAFStock[WeekIndex],62),"")</f>
        <v/>
      </c>
      <c r="BO1664">
        <f>IFERROR(SUMIFS(T_TTAFStock[TTAF_Qty],T_TTAFStock[RM_Code],$A1656,T_TTAFStock[WeekIndex],63),"")</f>
        <v/>
      </c>
      <c r="BP1664">
        <f>IFERROR(SUMIFS(T_TTAFStock[TTAF_Qty],T_TTAFStock[RM_Code],$A1656,T_TTAFStock[WeekIndex],64),"")</f>
        <v/>
      </c>
      <c r="BQ1664">
        <f>IFERROR(SUMIFS(T_TTAFStock[TTAF_Qty],T_TTAFStock[RM_Code],$A1656,T_TTAFStock[WeekIndex],65),"")</f>
        <v/>
      </c>
      <c r="BR1664">
        <f>IFERROR(SUMIFS(T_TTAFStock[TTAF_Qty],T_TTAFStock[RM_Code],$A1656,T_TTAFStock[WeekIndex],66),"")</f>
        <v/>
      </c>
      <c r="BS1664">
        <f>IFERROR(SUMIFS(T_TTAFStock[TTAF_Qty],T_TTAFStock[RM_Code],$A1656,T_TTAFStock[WeekIndex],67),"")</f>
        <v/>
      </c>
      <c r="BT1664">
        <f>IFERROR(SUMIFS(T_TTAFStock[TTAF_Qty],T_TTAFStock[RM_Code],$A1656,T_TTAFStock[WeekIndex],68),"")</f>
        <v/>
      </c>
      <c r="BU1664">
        <f>IFERROR(SUMIFS(T_TTAFStock[TTAF_Qty],T_TTAFStock[RM_Code],$A1656,T_TTAFStock[WeekIndex],69),"")</f>
        <v/>
      </c>
      <c r="BV1664">
        <f>IFERROR(SUMIFS(T_TTAFStock[TTAF_Qty],T_TTAFStock[RM_Code],$A1656,T_TTAFStock[WeekIndex],70),"")</f>
        <v/>
      </c>
      <c r="BW1664">
        <f>IFERROR(SUMIFS(T_TTAFStock[TTAF_Qty],T_TTAFStock[RM_Code],$A1656,T_TTAFStock[WeekIndex],71),"")</f>
        <v/>
      </c>
      <c r="BX1664">
        <f>IFERROR(SUMIFS(T_TTAFStock[TTAF_Qty],T_TTAFStock[RM_Code],$A1656,T_TTAFStock[WeekIndex],72),"")</f>
        <v/>
      </c>
      <c r="BY1664">
        <f>IFERROR(SUMIFS(T_TTAFStock[TTAF_Qty],T_TTAFStock[RM_Code],$A1656,T_TTAFStock[WeekIndex],73),"")</f>
        <v/>
      </c>
      <c r="BZ1664">
        <f>IFERROR(SUMIFS(T_TTAFStock[TTAF_Qty],T_TTAFStock[RM_Code],$A1656,T_TTAFStock[WeekIndex],74),"")</f>
        <v/>
      </c>
      <c r="CA1664">
        <f>IFERROR(SUMIFS(T_TTAFStock[TTAF_Qty],T_TTAFStock[RM_Code],$A1656,T_TTAFStock[WeekIndex],75),"")</f>
        <v/>
      </c>
      <c r="CB1664">
        <f>IFERROR(SUMIFS(T_TTAFStock[TTAF_Qty],T_TTAFStock[RM_Code],$A1656,T_TTAFStock[WeekIndex],76),"")</f>
        <v/>
      </c>
      <c r="CC1664">
        <f>IFERROR(SUMIFS(T_TTAFStock[TTAF_Qty],T_TTAFStock[RM_Code],$A1656,T_TTAFStock[WeekIndex],77),"")</f>
        <v/>
      </c>
      <c r="CD1664">
        <f>IFERROR(SUMIFS(T_TTAFStock[TTAF_Qty],T_TTAFStock[RM_Code],$A1656,T_TTAFStock[WeekIndex],78),"")</f>
        <v/>
      </c>
      <c r="CE1664">
        <f>IFERROR(SUMIFS(T_TTAFStock[TTAF_Qty],T_TTAFStock[RM_Code],$A1656,T_TTAFStock[WeekIndex],79),"")</f>
        <v/>
      </c>
      <c r="CF1664">
        <f>IFERROR(SUMIFS(T_TTAFStock[TTAF_Qty],T_TTAFStock[RM_Code],$A1656,T_TTAFStock[WeekIndex],80),"")</f>
        <v/>
      </c>
      <c r="CG1664">
        <f>IFERROR(SUMIFS(T_TTAFStock[TTAF_Qty],T_TTAFStock[RM_Code],$A1656,T_TTAFStock[WeekIndex],81),"")</f>
        <v/>
      </c>
      <c r="CH1664">
        <f>IFERROR(SUMIFS(T_TTAFStock[TTAF_Qty],T_TTAFStock[RM_Code],$A1656,T_TTAFStock[WeekIndex],82),"")</f>
        <v/>
      </c>
      <c r="CI1664">
        <f>IFERROR(SUMIFS(T_TTAFStock[TTAF_Qty],T_TTAFStock[RM_Code],$A1656,T_TTAFStock[WeekIndex],83),"")</f>
        <v/>
      </c>
      <c r="CJ1664">
        <f>IFERROR(SUMIFS(T_TTAFStock[TTAF_Qty],T_TTAFStock[RM_Code],$A1656,T_TTAFStock[WeekIndex],84),"")</f>
        <v/>
      </c>
      <c r="CK1664">
        <f>IFERROR(SUMIFS(T_TTAFStock[TTAF_Qty],T_TTAFStock[RM_Code],$A1656,T_TTAFStock[WeekIndex],85),"")</f>
        <v/>
      </c>
      <c r="CL1664">
        <f>IFERROR(SUMIFS(T_TTAFStock[TTAF_Qty],T_TTAFStock[RM_Code],$A1656,T_TTAFStock[WeekIndex],86),"")</f>
        <v/>
      </c>
      <c r="CM1664">
        <f>IFERROR(SUMIFS(T_TTAFStock[TTAF_Qty],T_TTAFStock[RM_Code],$A1656,T_TTAFStock[WeekIndex],87),"")</f>
        <v/>
      </c>
      <c r="CN1664">
        <f>IFERROR(SUMIFS(T_TTAFStock[TTAF_Qty],T_TTAFStock[RM_Code],$A1656,T_TTAFStock[WeekIndex],88),"")</f>
        <v/>
      </c>
      <c r="CO1664">
        <f>IFERROR(SUMIFS(T_TTAFStock[TTAF_Qty],T_TTAFStock[RM_Code],$A1656,T_TTAFStock[WeekIndex],89),"")</f>
        <v/>
      </c>
      <c r="CP1664">
        <f>IFERROR(SUMIFS(T_TTAFStock[TTAF_Qty],T_TTAFStock[RM_Code],$A1656,T_TTAFStock[WeekIndex],90),"")</f>
        <v/>
      </c>
      <c r="CQ1664">
        <f>IFERROR(SUMIFS(T_TTAFStock[TTAF_Qty],T_TTAFStock[RM_Code],$A1656,T_TTAFStock[WeekIndex],91),"")</f>
        <v/>
      </c>
      <c r="CR1664">
        <f>IFERROR(SUMIFS(T_TTAFStock[TTAF_Qty],T_TTAFStock[RM_Code],$A1656,T_TTAFStock[WeekIndex],92),"")</f>
        <v/>
      </c>
      <c r="CS1664">
        <f>IFERROR(SUMIFS(T_TTAFStock[TTAF_Qty],T_TTAFStock[RM_Code],$A1656,T_TTAFStock[WeekIndex],93),"")</f>
        <v/>
      </c>
      <c r="CT1664">
        <f>IFERROR(SUMIFS(T_TTAFStock[TTAF_Qty],T_TTAFStock[RM_Code],$A1656,T_TTAFStock[WeekIndex],94),"")</f>
        <v/>
      </c>
      <c r="CU1664">
        <f>IFERROR(SUMIFS(T_TTAFStock[TTAF_Qty],T_TTAFStock[RM_Code],$A1656,T_TTAFStock[WeekIndex],95),"")</f>
        <v/>
      </c>
      <c r="CV1664">
        <f>IFERROR(SUMIFS(T_TTAFStock[TTAF_Qty],T_TTAFStock[RM_Code],$A1656,T_TTAFStock[WeekIndex],96),"")</f>
        <v/>
      </c>
      <c r="CW1664">
        <f>IFERROR(SUMIFS(T_TTAFStock[TTAF_Qty],T_TTAFStock[RM_Code],$A1656,T_TTAFStock[WeekIndex],97),"")</f>
        <v/>
      </c>
      <c r="CX1664">
        <f>IFERROR(SUMIFS(T_TTAFStock[TTAF_Qty],T_TTAFStock[RM_Code],$A1656,T_TTAFStock[WeekIndex],98),"")</f>
        <v/>
      </c>
      <c r="CY1664">
        <f>IFERROR(SUMIFS(T_TTAFStock[TTAF_Qty],T_TTAFStock[RM_Code],$A1656,T_TTAFStock[WeekIndex],99),"")</f>
        <v/>
      </c>
      <c r="CZ1664">
        <f>IFERROR(SUMIFS(T_TTAFStock[TTAF_Qty],T_TTAFStock[RM_Code],$A1656,T_TTAFStock[WeekIndex],100),"")</f>
        <v/>
      </c>
      <c r="DA1664">
        <f>IFERROR(SUMIFS(T_TTAFStock[TTAF_Qty],T_TTAFStock[RM_Code],$A1656,T_TTAFStock[WeekIndex],101),"")</f>
        <v/>
      </c>
      <c r="DB1664">
        <f>IFERROR(SUMIFS(T_TTAFStock[TTAF_Qty],T_TTAFStock[RM_Code],$A1656,T_TTAFStock[WeekIndex],102),"")</f>
        <v/>
      </c>
      <c r="DC1664">
        <f>IFERROR(SUMIFS(T_TTAFStock[TTAF_Qty],T_TTAFStock[RM_Code],$A1656,T_TTAFStock[WeekIndex],103),"")</f>
        <v/>
      </c>
      <c r="DD1664">
        <f>IFERROR(SUMIFS(T_TTAFStock[TTAF_Qty],T_TTAFStock[RM_Code],$A1656,T_TTAFStock[WeekIndex],104),"")</f>
        <v/>
      </c>
    </row>
    <row r="1665">
      <c r="B1665" t="inlineStr">
        <is>
          <t>自社在庫(実績,kg)</t>
        </is>
      </c>
      <c r="D1665">
        <f>IFERROR(INDEX(E1665:DD1665,$F$1),"")</f>
        <v/>
      </c>
      <c r="E1665">
        <f>IFERROR(SUMIFS(T_SelfStock[Self_Qty],T_SelfStock[RM_Code],$A1656,T_SelfStock[WeekIndex],1),"")</f>
        <v/>
      </c>
      <c r="F1665">
        <f>IFERROR(SUMIFS(T_SelfStock[Self_Qty],T_SelfStock[RM_Code],$A1656,T_SelfStock[WeekIndex],2),"")</f>
        <v/>
      </c>
      <c r="G1665">
        <f>IFERROR(SUMIFS(T_SelfStock[Self_Qty],T_SelfStock[RM_Code],$A1656,T_SelfStock[WeekIndex],3),"")</f>
        <v/>
      </c>
      <c r="H1665">
        <f>IFERROR(SUMIFS(T_SelfStock[Self_Qty],T_SelfStock[RM_Code],$A1656,T_SelfStock[WeekIndex],4),"")</f>
        <v/>
      </c>
      <c r="I1665">
        <f>IFERROR(SUMIFS(T_SelfStock[Self_Qty],T_SelfStock[RM_Code],$A1656,T_SelfStock[WeekIndex],5),"")</f>
        <v/>
      </c>
      <c r="J1665">
        <f>IFERROR(SUMIFS(T_SelfStock[Self_Qty],T_SelfStock[RM_Code],$A1656,T_SelfStock[WeekIndex],6),"")</f>
        <v/>
      </c>
      <c r="K1665">
        <f>IFERROR(SUMIFS(T_SelfStock[Self_Qty],T_SelfStock[RM_Code],$A1656,T_SelfStock[WeekIndex],7),"")</f>
        <v/>
      </c>
      <c r="L1665">
        <f>IFERROR(SUMIFS(T_SelfStock[Self_Qty],T_SelfStock[RM_Code],$A1656,T_SelfStock[WeekIndex],8),"")</f>
        <v/>
      </c>
      <c r="M1665">
        <f>IFERROR(SUMIFS(T_SelfStock[Self_Qty],T_SelfStock[RM_Code],$A1656,T_SelfStock[WeekIndex],9),"")</f>
        <v/>
      </c>
      <c r="N1665">
        <f>IFERROR(SUMIFS(T_SelfStock[Self_Qty],T_SelfStock[RM_Code],$A1656,T_SelfStock[WeekIndex],10),"")</f>
        <v/>
      </c>
      <c r="O1665">
        <f>IFERROR(SUMIFS(T_SelfStock[Self_Qty],T_SelfStock[RM_Code],$A1656,T_SelfStock[WeekIndex],11),"")</f>
        <v/>
      </c>
      <c r="P1665">
        <f>IFERROR(SUMIFS(T_SelfStock[Self_Qty],T_SelfStock[RM_Code],$A1656,T_SelfStock[WeekIndex],12),"")</f>
        <v/>
      </c>
      <c r="Q1665">
        <f>IFERROR(SUMIFS(T_SelfStock[Self_Qty],T_SelfStock[RM_Code],$A1656,T_SelfStock[WeekIndex],13),"")</f>
        <v/>
      </c>
      <c r="R1665">
        <f>IFERROR(SUMIFS(T_SelfStock[Self_Qty],T_SelfStock[RM_Code],$A1656,T_SelfStock[WeekIndex],14),"")</f>
        <v/>
      </c>
      <c r="S1665">
        <f>IFERROR(SUMIFS(T_SelfStock[Self_Qty],T_SelfStock[RM_Code],$A1656,T_SelfStock[WeekIndex],15),"")</f>
        <v/>
      </c>
      <c r="T1665">
        <f>IFERROR(SUMIFS(T_SelfStock[Self_Qty],T_SelfStock[RM_Code],$A1656,T_SelfStock[WeekIndex],16),"")</f>
        <v/>
      </c>
      <c r="U1665">
        <f>IFERROR(SUMIFS(T_SelfStock[Self_Qty],T_SelfStock[RM_Code],$A1656,T_SelfStock[WeekIndex],17),"")</f>
        <v/>
      </c>
      <c r="V1665">
        <f>IFERROR(SUMIFS(T_SelfStock[Self_Qty],T_SelfStock[RM_Code],$A1656,T_SelfStock[WeekIndex],18),"")</f>
        <v/>
      </c>
      <c r="W1665">
        <f>IFERROR(SUMIFS(T_SelfStock[Self_Qty],T_SelfStock[RM_Code],$A1656,T_SelfStock[WeekIndex],19),"")</f>
        <v/>
      </c>
      <c r="X1665">
        <f>IFERROR(SUMIFS(T_SelfStock[Self_Qty],T_SelfStock[RM_Code],$A1656,T_SelfStock[WeekIndex],20),"")</f>
        <v/>
      </c>
      <c r="Y1665">
        <f>IFERROR(SUMIFS(T_SelfStock[Self_Qty],T_SelfStock[RM_Code],$A1656,T_SelfStock[WeekIndex],21),"")</f>
        <v/>
      </c>
      <c r="Z1665">
        <f>IFERROR(SUMIFS(T_SelfStock[Self_Qty],T_SelfStock[RM_Code],$A1656,T_SelfStock[WeekIndex],22),"")</f>
        <v/>
      </c>
      <c r="AA1665">
        <f>IFERROR(SUMIFS(T_SelfStock[Self_Qty],T_SelfStock[RM_Code],$A1656,T_SelfStock[WeekIndex],23),"")</f>
        <v/>
      </c>
      <c r="AB1665">
        <f>IFERROR(SUMIFS(T_SelfStock[Self_Qty],T_SelfStock[RM_Code],$A1656,T_SelfStock[WeekIndex],24),"")</f>
        <v/>
      </c>
      <c r="AC1665">
        <f>IFERROR(SUMIFS(T_SelfStock[Self_Qty],T_SelfStock[RM_Code],$A1656,T_SelfStock[WeekIndex],25),"")</f>
        <v/>
      </c>
      <c r="AD1665">
        <f>IFERROR(SUMIFS(T_SelfStock[Self_Qty],T_SelfStock[RM_Code],$A1656,T_SelfStock[WeekIndex],26),"")</f>
        <v/>
      </c>
      <c r="AE1665">
        <f>IFERROR(SUMIFS(T_SelfStock[Self_Qty],T_SelfStock[RM_Code],$A1656,T_SelfStock[WeekIndex],27),"")</f>
        <v/>
      </c>
      <c r="AF1665">
        <f>IFERROR(SUMIFS(T_SelfStock[Self_Qty],T_SelfStock[RM_Code],$A1656,T_SelfStock[WeekIndex],28),"")</f>
        <v/>
      </c>
      <c r="AG1665">
        <f>IFERROR(SUMIFS(T_SelfStock[Self_Qty],T_SelfStock[RM_Code],$A1656,T_SelfStock[WeekIndex],29),"")</f>
        <v/>
      </c>
      <c r="AH1665">
        <f>IFERROR(SUMIFS(T_SelfStock[Self_Qty],T_SelfStock[RM_Code],$A1656,T_SelfStock[WeekIndex],30),"")</f>
        <v/>
      </c>
      <c r="AI1665">
        <f>IFERROR(SUMIFS(T_SelfStock[Self_Qty],T_SelfStock[RM_Code],$A1656,T_SelfStock[WeekIndex],31),"")</f>
        <v/>
      </c>
      <c r="AJ1665">
        <f>IFERROR(SUMIFS(T_SelfStock[Self_Qty],T_SelfStock[RM_Code],$A1656,T_SelfStock[WeekIndex],32),"")</f>
        <v/>
      </c>
      <c r="AK1665">
        <f>IFERROR(SUMIFS(T_SelfStock[Self_Qty],T_SelfStock[RM_Code],$A1656,T_SelfStock[WeekIndex],33),"")</f>
        <v/>
      </c>
      <c r="AL1665">
        <f>IFERROR(SUMIFS(T_SelfStock[Self_Qty],T_SelfStock[RM_Code],$A1656,T_SelfStock[WeekIndex],34),"")</f>
        <v/>
      </c>
      <c r="AM1665">
        <f>IFERROR(SUMIFS(T_SelfStock[Self_Qty],T_SelfStock[RM_Code],$A1656,T_SelfStock[WeekIndex],35),"")</f>
        <v/>
      </c>
      <c r="AN1665">
        <f>IFERROR(SUMIFS(T_SelfStock[Self_Qty],T_SelfStock[RM_Code],$A1656,T_SelfStock[WeekIndex],36),"")</f>
        <v/>
      </c>
      <c r="AO1665">
        <f>IFERROR(SUMIFS(T_SelfStock[Self_Qty],T_SelfStock[RM_Code],$A1656,T_SelfStock[WeekIndex],37),"")</f>
        <v/>
      </c>
      <c r="AP1665">
        <f>IFERROR(SUMIFS(T_SelfStock[Self_Qty],T_SelfStock[RM_Code],$A1656,T_SelfStock[WeekIndex],38),"")</f>
        <v/>
      </c>
      <c r="AQ1665">
        <f>IFERROR(SUMIFS(T_SelfStock[Self_Qty],T_SelfStock[RM_Code],$A1656,T_SelfStock[WeekIndex],39),"")</f>
        <v/>
      </c>
      <c r="AR1665">
        <f>IFERROR(SUMIFS(T_SelfStock[Self_Qty],T_SelfStock[RM_Code],$A1656,T_SelfStock[WeekIndex],40),"")</f>
        <v/>
      </c>
      <c r="AS1665">
        <f>IFERROR(SUMIFS(T_SelfStock[Self_Qty],T_SelfStock[RM_Code],$A1656,T_SelfStock[WeekIndex],41),"")</f>
        <v/>
      </c>
      <c r="AT1665">
        <f>IFERROR(SUMIFS(T_SelfStock[Self_Qty],T_SelfStock[RM_Code],$A1656,T_SelfStock[WeekIndex],42),"")</f>
        <v/>
      </c>
      <c r="AU1665">
        <f>IFERROR(SUMIFS(T_SelfStock[Self_Qty],T_SelfStock[RM_Code],$A1656,T_SelfStock[WeekIndex],43),"")</f>
        <v/>
      </c>
      <c r="AV1665">
        <f>IFERROR(SUMIFS(T_SelfStock[Self_Qty],T_SelfStock[RM_Code],$A1656,T_SelfStock[WeekIndex],44),"")</f>
        <v/>
      </c>
      <c r="AW1665">
        <f>IFERROR(SUMIFS(T_SelfStock[Self_Qty],T_SelfStock[RM_Code],$A1656,T_SelfStock[WeekIndex],45),"")</f>
        <v/>
      </c>
      <c r="AX1665">
        <f>IFERROR(SUMIFS(T_SelfStock[Self_Qty],T_SelfStock[RM_Code],$A1656,T_SelfStock[WeekIndex],46),"")</f>
        <v/>
      </c>
      <c r="AY1665">
        <f>IFERROR(SUMIFS(T_SelfStock[Self_Qty],T_SelfStock[RM_Code],$A1656,T_SelfStock[WeekIndex],47),"")</f>
        <v/>
      </c>
      <c r="AZ1665">
        <f>IFERROR(SUMIFS(T_SelfStock[Self_Qty],T_SelfStock[RM_Code],$A1656,T_SelfStock[WeekIndex],48),"")</f>
        <v/>
      </c>
      <c r="BA1665">
        <f>IFERROR(SUMIFS(T_SelfStock[Self_Qty],T_SelfStock[RM_Code],$A1656,T_SelfStock[WeekIndex],49),"")</f>
        <v/>
      </c>
      <c r="BB1665">
        <f>IFERROR(SUMIFS(T_SelfStock[Self_Qty],T_SelfStock[RM_Code],$A1656,T_SelfStock[WeekIndex],50),"")</f>
        <v/>
      </c>
      <c r="BC1665">
        <f>IFERROR(SUMIFS(T_SelfStock[Self_Qty],T_SelfStock[RM_Code],$A1656,T_SelfStock[WeekIndex],51),"")</f>
        <v/>
      </c>
      <c r="BD1665">
        <f>IFERROR(SUMIFS(T_SelfStock[Self_Qty],T_SelfStock[RM_Code],$A1656,T_SelfStock[WeekIndex],52),"")</f>
        <v/>
      </c>
      <c r="BE1665">
        <f>IFERROR(SUMIFS(T_SelfStock[Self_Qty],T_SelfStock[RM_Code],$A1656,T_SelfStock[WeekIndex],53),"")</f>
        <v/>
      </c>
      <c r="BF1665">
        <f>IFERROR(SUMIFS(T_SelfStock[Self_Qty],T_SelfStock[RM_Code],$A1656,T_SelfStock[WeekIndex],54),"")</f>
        <v/>
      </c>
      <c r="BG1665">
        <f>IFERROR(SUMIFS(T_SelfStock[Self_Qty],T_SelfStock[RM_Code],$A1656,T_SelfStock[WeekIndex],55),"")</f>
        <v/>
      </c>
      <c r="BH1665">
        <f>IFERROR(SUMIFS(T_SelfStock[Self_Qty],T_SelfStock[RM_Code],$A1656,T_SelfStock[WeekIndex],56),"")</f>
        <v/>
      </c>
      <c r="BI1665">
        <f>IFERROR(SUMIFS(T_SelfStock[Self_Qty],T_SelfStock[RM_Code],$A1656,T_SelfStock[WeekIndex],57),"")</f>
        <v/>
      </c>
      <c r="BJ1665">
        <f>IFERROR(SUMIFS(T_SelfStock[Self_Qty],T_SelfStock[RM_Code],$A1656,T_SelfStock[WeekIndex],58),"")</f>
        <v/>
      </c>
      <c r="BK1665">
        <f>IFERROR(SUMIFS(T_SelfStock[Self_Qty],T_SelfStock[RM_Code],$A1656,T_SelfStock[WeekIndex],59),"")</f>
        <v/>
      </c>
      <c r="BL1665">
        <f>IFERROR(SUMIFS(T_SelfStock[Self_Qty],T_SelfStock[RM_Code],$A1656,T_SelfStock[WeekIndex],60),"")</f>
        <v/>
      </c>
      <c r="BM1665">
        <f>IFERROR(SUMIFS(T_SelfStock[Self_Qty],T_SelfStock[RM_Code],$A1656,T_SelfStock[WeekIndex],61),"")</f>
        <v/>
      </c>
      <c r="BN1665">
        <f>IFERROR(SUMIFS(T_SelfStock[Self_Qty],T_SelfStock[RM_Code],$A1656,T_SelfStock[WeekIndex],62),"")</f>
        <v/>
      </c>
      <c r="BO1665">
        <f>IFERROR(SUMIFS(T_SelfStock[Self_Qty],T_SelfStock[RM_Code],$A1656,T_SelfStock[WeekIndex],63),"")</f>
        <v/>
      </c>
      <c r="BP1665">
        <f>IFERROR(SUMIFS(T_SelfStock[Self_Qty],T_SelfStock[RM_Code],$A1656,T_SelfStock[WeekIndex],64),"")</f>
        <v/>
      </c>
      <c r="BQ1665">
        <f>IFERROR(SUMIFS(T_SelfStock[Self_Qty],T_SelfStock[RM_Code],$A1656,T_SelfStock[WeekIndex],65),"")</f>
        <v/>
      </c>
      <c r="BR1665">
        <f>IFERROR(SUMIFS(T_SelfStock[Self_Qty],T_SelfStock[RM_Code],$A1656,T_SelfStock[WeekIndex],66),"")</f>
        <v/>
      </c>
      <c r="BS1665">
        <f>IFERROR(SUMIFS(T_SelfStock[Self_Qty],T_SelfStock[RM_Code],$A1656,T_SelfStock[WeekIndex],67),"")</f>
        <v/>
      </c>
      <c r="BT1665">
        <f>IFERROR(SUMIFS(T_SelfStock[Self_Qty],T_SelfStock[RM_Code],$A1656,T_SelfStock[WeekIndex],68),"")</f>
        <v/>
      </c>
      <c r="BU1665">
        <f>IFERROR(SUMIFS(T_SelfStock[Self_Qty],T_SelfStock[RM_Code],$A1656,T_SelfStock[WeekIndex],69),"")</f>
        <v/>
      </c>
      <c r="BV1665">
        <f>IFERROR(SUMIFS(T_SelfStock[Self_Qty],T_SelfStock[RM_Code],$A1656,T_SelfStock[WeekIndex],70),"")</f>
        <v/>
      </c>
      <c r="BW1665">
        <f>IFERROR(SUMIFS(T_SelfStock[Self_Qty],T_SelfStock[RM_Code],$A1656,T_SelfStock[WeekIndex],71),"")</f>
        <v/>
      </c>
      <c r="BX1665">
        <f>IFERROR(SUMIFS(T_SelfStock[Self_Qty],T_SelfStock[RM_Code],$A1656,T_SelfStock[WeekIndex],72),"")</f>
        <v/>
      </c>
      <c r="BY1665">
        <f>IFERROR(SUMIFS(T_SelfStock[Self_Qty],T_SelfStock[RM_Code],$A1656,T_SelfStock[WeekIndex],73),"")</f>
        <v/>
      </c>
      <c r="BZ1665">
        <f>IFERROR(SUMIFS(T_SelfStock[Self_Qty],T_SelfStock[RM_Code],$A1656,T_SelfStock[WeekIndex],74),"")</f>
        <v/>
      </c>
      <c r="CA1665">
        <f>IFERROR(SUMIFS(T_SelfStock[Self_Qty],T_SelfStock[RM_Code],$A1656,T_SelfStock[WeekIndex],75),"")</f>
        <v/>
      </c>
      <c r="CB1665">
        <f>IFERROR(SUMIFS(T_SelfStock[Self_Qty],T_SelfStock[RM_Code],$A1656,T_SelfStock[WeekIndex],76),"")</f>
        <v/>
      </c>
      <c r="CC1665">
        <f>IFERROR(SUMIFS(T_SelfStock[Self_Qty],T_SelfStock[RM_Code],$A1656,T_SelfStock[WeekIndex],77),"")</f>
        <v/>
      </c>
      <c r="CD1665">
        <f>IFERROR(SUMIFS(T_SelfStock[Self_Qty],T_SelfStock[RM_Code],$A1656,T_SelfStock[WeekIndex],78),"")</f>
        <v/>
      </c>
      <c r="CE1665">
        <f>IFERROR(SUMIFS(T_SelfStock[Self_Qty],T_SelfStock[RM_Code],$A1656,T_SelfStock[WeekIndex],79),"")</f>
        <v/>
      </c>
      <c r="CF1665">
        <f>IFERROR(SUMIFS(T_SelfStock[Self_Qty],T_SelfStock[RM_Code],$A1656,T_SelfStock[WeekIndex],80),"")</f>
        <v/>
      </c>
      <c r="CG1665">
        <f>IFERROR(SUMIFS(T_SelfStock[Self_Qty],T_SelfStock[RM_Code],$A1656,T_SelfStock[WeekIndex],81),"")</f>
        <v/>
      </c>
      <c r="CH1665">
        <f>IFERROR(SUMIFS(T_SelfStock[Self_Qty],T_SelfStock[RM_Code],$A1656,T_SelfStock[WeekIndex],82),"")</f>
        <v/>
      </c>
      <c r="CI1665">
        <f>IFERROR(SUMIFS(T_SelfStock[Self_Qty],T_SelfStock[RM_Code],$A1656,T_SelfStock[WeekIndex],83),"")</f>
        <v/>
      </c>
      <c r="CJ1665">
        <f>IFERROR(SUMIFS(T_SelfStock[Self_Qty],T_SelfStock[RM_Code],$A1656,T_SelfStock[WeekIndex],84),"")</f>
        <v/>
      </c>
      <c r="CK1665">
        <f>IFERROR(SUMIFS(T_SelfStock[Self_Qty],T_SelfStock[RM_Code],$A1656,T_SelfStock[WeekIndex],85),"")</f>
        <v/>
      </c>
      <c r="CL1665">
        <f>IFERROR(SUMIFS(T_SelfStock[Self_Qty],T_SelfStock[RM_Code],$A1656,T_SelfStock[WeekIndex],86),"")</f>
        <v/>
      </c>
      <c r="CM1665">
        <f>IFERROR(SUMIFS(T_SelfStock[Self_Qty],T_SelfStock[RM_Code],$A1656,T_SelfStock[WeekIndex],87),"")</f>
        <v/>
      </c>
      <c r="CN1665">
        <f>IFERROR(SUMIFS(T_SelfStock[Self_Qty],T_SelfStock[RM_Code],$A1656,T_SelfStock[WeekIndex],88),"")</f>
        <v/>
      </c>
      <c r="CO1665">
        <f>IFERROR(SUMIFS(T_SelfStock[Self_Qty],T_SelfStock[RM_Code],$A1656,T_SelfStock[WeekIndex],89),"")</f>
        <v/>
      </c>
      <c r="CP1665">
        <f>IFERROR(SUMIFS(T_SelfStock[Self_Qty],T_SelfStock[RM_Code],$A1656,T_SelfStock[WeekIndex],90),"")</f>
        <v/>
      </c>
      <c r="CQ1665">
        <f>IFERROR(SUMIFS(T_SelfStock[Self_Qty],T_SelfStock[RM_Code],$A1656,T_SelfStock[WeekIndex],91),"")</f>
        <v/>
      </c>
      <c r="CR1665">
        <f>IFERROR(SUMIFS(T_SelfStock[Self_Qty],T_SelfStock[RM_Code],$A1656,T_SelfStock[WeekIndex],92),"")</f>
        <v/>
      </c>
      <c r="CS1665">
        <f>IFERROR(SUMIFS(T_SelfStock[Self_Qty],T_SelfStock[RM_Code],$A1656,T_SelfStock[WeekIndex],93),"")</f>
        <v/>
      </c>
      <c r="CT1665">
        <f>IFERROR(SUMIFS(T_SelfStock[Self_Qty],T_SelfStock[RM_Code],$A1656,T_SelfStock[WeekIndex],94),"")</f>
        <v/>
      </c>
      <c r="CU1665">
        <f>IFERROR(SUMIFS(T_SelfStock[Self_Qty],T_SelfStock[RM_Code],$A1656,T_SelfStock[WeekIndex],95),"")</f>
        <v/>
      </c>
      <c r="CV1665">
        <f>IFERROR(SUMIFS(T_SelfStock[Self_Qty],T_SelfStock[RM_Code],$A1656,T_SelfStock[WeekIndex],96),"")</f>
        <v/>
      </c>
      <c r="CW1665">
        <f>IFERROR(SUMIFS(T_SelfStock[Self_Qty],T_SelfStock[RM_Code],$A1656,T_SelfStock[WeekIndex],97),"")</f>
        <v/>
      </c>
      <c r="CX1665">
        <f>IFERROR(SUMIFS(T_SelfStock[Self_Qty],T_SelfStock[RM_Code],$A1656,T_SelfStock[WeekIndex],98),"")</f>
        <v/>
      </c>
      <c r="CY1665">
        <f>IFERROR(SUMIFS(T_SelfStock[Self_Qty],T_SelfStock[RM_Code],$A1656,T_SelfStock[WeekIndex],99),"")</f>
        <v/>
      </c>
      <c r="CZ1665">
        <f>IFERROR(SUMIFS(T_SelfStock[Self_Qty],T_SelfStock[RM_Code],$A1656,T_SelfStock[WeekIndex],100),"")</f>
        <v/>
      </c>
      <c r="DA1665">
        <f>IFERROR(SUMIFS(T_SelfStock[Self_Qty],T_SelfStock[RM_Code],$A1656,T_SelfStock[WeekIndex],101),"")</f>
        <v/>
      </c>
      <c r="DB1665">
        <f>IFERROR(SUMIFS(T_SelfStock[Self_Qty],T_SelfStock[RM_Code],$A1656,T_SelfStock[WeekIndex],102),"")</f>
        <v/>
      </c>
      <c r="DC1665">
        <f>IFERROR(SUMIFS(T_SelfStock[Self_Qty],T_SelfStock[RM_Code],$A1656,T_SelfStock[WeekIndex],103),"")</f>
        <v/>
      </c>
      <c r="DD1665">
        <f>IFERROR(SUMIFS(T_SelfStock[Self_Qty],T_SelfStock[RM_Code],$A1656,T_SelfStock[WeekIndex],104),"")</f>
        <v/>
      </c>
    </row>
    <row r="1666">
      <c r="B1666" s="4" t="inlineStr">
        <is>
          <t>合計在庫(週末時点,kg)</t>
        </is>
      </c>
      <c r="D1666" s="24">
        <f>IFERROR(INDEX(E1666:DD1666,$F$1),"")</f>
        <v/>
      </c>
      <c r="E1666">
        <f>'Grid_Stock'!B43</f>
        <v/>
      </c>
      <c r="F1666">
        <f>'Grid_Stock'!C43</f>
        <v/>
      </c>
      <c r="G1666">
        <f>'Grid_Stock'!D43</f>
        <v/>
      </c>
      <c r="H1666">
        <f>'Grid_Stock'!E43</f>
        <v/>
      </c>
      <c r="I1666">
        <f>'Grid_Stock'!F43</f>
        <v/>
      </c>
      <c r="J1666">
        <f>'Grid_Stock'!G43</f>
        <v/>
      </c>
      <c r="K1666">
        <f>'Grid_Stock'!H43</f>
        <v/>
      </c>
      <c r="L1666">
        <f>'Grid_Stock'!I43</f>
        <v/>
      </c>
      <c r="M1666">
        <f>'Grid_Stock'!J43</f>
        <v/>
      </c>
      <c r="N1666">
        <f>'Grid_Stock'!K43</f>
        <v/>
      </c>
      <c r="O1666">
        <f>'Grid_Stock'!L43</f>
        <v/>
      </c>
      <c r="P1666">
        <f>'Grid_Stock'!M43</f>
        <v/>
      </c>
      <c r="Q1666">
        <f>'Grid_Stock'!N43</f>
        <v/>
      </c>
      <c r="R1666">
        <f>'Grid_Stock'!O43</f>
        <v/>
      </c>
      <c r="S1666">
        <f>'Grid_Stock'!P43</f>
        <v/>
      </c>
      <c r="T1666">
        <f>'Grid_Stock'!Q43</f>
        <v/>
      </c>
      <c r="U1666">
        <f>'Grid_Stock'!R43</f>
        <v/>
      </c>
      <c r="V1666">
        <f>'Grid_Stock'!S43</f>
        <v/>
      </c>
      <c r="W1666">
        <f>'Grid_Stock'!T43</f>
        <v/>
      </c>
      <c r="X1666">
        <f>'Grid_Stock'!U43</f>
        <v/>
      </c>
      <c r="Y1666">
        <f>'Grid_Stock'!V43</f>
        <v/>
      </c>
      <c r="Z1666">
        <f>'Grid_Stock'!W43</f>
        <v/>
      </c>
      <c r="AA1666">
        <f>'Grid_Stock'!X43</f>
        <v/>
      </c>
      <c r="AB1666">
        <f>'Grid_Stock'!Y43</f>
        <v/>
      </c>
      <c r="AC1666">
        <f>'Grid_Stock'!Z43</f>
        <v/>
      </c>
      <c r="AD1666">
        <f>'Grid_Stock'!AA43</f>
        <v/>
      </c>
      <c r="AE1666">
        <f>'Grid_Stock'!AB43</f>
        <v/>
      </c>
      <c r="AF1666">
        <f>'Grid_Stock'!AC43</f>
        <v/>
      </c>
      <c r="AG1666">
        <f>'Grid_Stock'!AD43</f>
        <v/>
      </c>
      <c r="AH1666">
        <f>'Grid_Stock'!AE43</f>
        <v/>
      </c>
      <c r="AI1666">
        <f>'Grid_Stock'!AF43</f>
        <v/>
      </c>
      <c r="AJ1666">
        <f>'Grid_Stock'!AG43</f>
        <v/>
      </c>
      <c r="AK1666">
        <f>'Grid_Stock'!AH43</f>
        <v/>
      </c>
      <c r="AL1666">
        <f>'Grid_Stock'!AI43</f>
        <v/>
      </c>
      <c r="AM1666">
        <f>'Grid_Stock'!AJ43</f>
        <v/>
      </c>
      <c r="AN1666">
        <f>'Grid_Stock'!AK43</f>
        <v/>
      </c>
      <c r="AO1666">
        <f>'Grid_Stock'!AL43</f>
        <v/>
      </c>
      <c r="AP1666">
        <f>'Grid_Stock'!AM43</f>
        <v/>
      </c>
      <c r="AQ1666">
        <f>'Grid_Stock'!AN43</f>
        <v/>
      </c>
      <c r="AR1666">
        <f>'Grid_Stock'!AO43</f>
        <v/>
      </c>
      <c r="AS1666">
        <f>'Grid_Stock'!AP43</f>
        <v/>
      </c>
      <c r="AT1666">
        <f>'Grid_Stock'!AQ43</f>
        <v/>
      </c>
      <c r="AU1666">
        <f>'Grid_Stock'!AR43</f>
        <v/>
      </c>
      <c r="AV1666">
        <f>'Grid_Stock'!AS43</f>
        <v/>
      </c>
      <c r="AW1666">
        <f>'Grid_Stock'!AT43</f>
        <v/>
      </c>
      <c r="AX1666">
        <f>'Grid_Stock'!AU43</f>
        <v/>
      </c>
      <c r="AY1666">
        <f>'Grid_Stock'!AV43</f>
        <v/>
      </c>
      <c r="AZ1666">
        <f>'Grid_Stock'!AW43</f>
        <v/>
      </c>
      <c r="BA1666">
        <f>'Grid_Stock'!AX43</f>
        <v/>
      </c>
      <c r="BB1666">
        <f>'Grid_Stock'!AY43</f>
        <v/>
      </c>
      <c r="BC1666">
        <f>'Grid_Stock'!AZ43</f>
        <v/>
      </c>
      <c r="BD1666">
        <f>'Grid_Stock'!BA43</f>
        <v/>
      </c>
      <c r="BE1666">
        <f>'Grid_Stock'!BB43</f>
        <v/>
      </c>
      <c r="BF1666">
        <f>'Grid_Stock'!BC43</f>
        <v/>
      </c>
      <c r="BG1666">
        <f>'Grid_Stock'!BD43</f>
        <v/>
      </c>
      <c r="BH1666">
        <f>'Grid_Stock'!BE43</f>
        <v/>
      </c>
      <c r="BI1666">
        <f>'Grid_Stock'!BF43</f>
        <v/>
      </c>
      <c r="BJ1666">
        <f>'Grid_Stock'!BG43</f>
        <v/>
      </c>
      <c r="BK1666">
        <f>'Grid_Stock'!BH43</f>
        <v/>
      </c>
      <c r="BL1666">
        <f>'Grid_Stock'!BI43</f>
        <v/>
      </c>
      <c r="BM1666">
        <f>'Grid_Stock'!BJ43</f>
        <v/>
      </c>
      <c r="BN1666">
        <f>'Grid_Stock'!BK43</f>
        <v/>
      </c>
      <c r="BO1666">
        <f>'Grid_Stock'!BL43</f>
        <v/>
      </c>
      <c r="BP1666">
        <f>'Grid_Stock'!BM43</f>
        <v/>
      </c>
      <c r="BQ1666">
        <f>'Grid_Stock'!BN43</f>
        <v/>
      </c>
      <c r="BR1666">
        <f>'Grid_Stock'!BO43</f>
        <v/>
      </c>
      <c r="BS1666">
        <f>'Grid_Stock'!BP43</f>
        <v/>
      </c>
      <c r="BT1666">
        <f>'Grid_Stock'!BQ43</f>
        <v/>
      </c>
      <c r="BU1666">
        <f>'Grid_Stock'!BR43</f>
        <v/>
      </c>
      <c r="BV1666">
        <f>'Grid_Stock'!BS43</f>
        <v/>
      </c>
      <c r="BW1666">
        <f>'Grid_Stock'!BT43</f>
        <v/>
      </c>
      <c r="BX1666">
        <f>'Grid_Stock'!BU43</f>
        <v/>
      </c>
      <c r="BY1666">
        <f>'Grid_Stock'!BV43</f>
        <v/>
      </c>
      <c r="BZ1666">
        <f>'Grid_Stock'!BW43</f>
        <v/>
      </c>
      <c r="CA1666">
        <f>'Grid_Stock'!BX43</f>
        <v/>
      </c>
      <c r="CB1666">
        <f>'Grid_Stock'!BY43</f>
        <v/>
      </c>
      <c r="CC1666">
        <f>'Grid_Stock'!BZ43</f>
        <v/>
      </c>
      <c r="CD1666">
        <f>'Grid_Stock'!CA43</f>
        <v/>
      </c>
      <c r="CE1666">
        <f>'Grid_Stock'!CB43</f>
        <v/>
      </c>
      <c r="CF1666">
        <f>'Grid_Stock'!CC43</f>
        <v/>
      </c>
      <c r="CG1666">
        <f>'Grid_Stock'!CD43</f>
        <v/>
      </c>
      <c r="CH1666">
        <f>'Grid_Stock'!CE43</f>
        <v/>
      </c>
      <c r="CI1666">
        <f>'Grid_Stock'!CF43</f>
        <v/>
      </c>
      <c r="CJ1666">
        <f>'Grid_Stock'!CG43</f>
        <v/>
      </c>
      <c r="CK1666">
        <f>'Grid_Stock'!CH43</f>
        <v/>
      </c>
      <c r="CL1666">
        <f>'Grid_Stock'!CI43</f>
        <v/>
      </c>
      <c r="CM1666">
        <f>'Grid_Stock'!CJ43</f>
        <v/>
      </c>
      <c r="CN1666">
        <f>'Grid_Stock'!CK43</f>
        <v/>
      </c>
      <c r="CO1666">
        <f>'Grid_Stock'!CL43</f>
        <v/>
      </c>
      <c r="CP1666">
        <f>'Grid_Stock'!CM43</f>
        <v/>
      </c>
      <c r="CQ1666">
        <f>'Grid_Stock'!CN43</f>
        <v/>
      </c>
      <c r="CR1666">
        <f>'Grid_Stock'!CO43</f>
        <v/>
      </c>
      <c r="CS1666">
        <f>'Grid_Stock'!CP43</f>
        <v/>
      </c>
      <c r="CT1666">
        <f>'Grid_Stock'!CQ43</f>
        <v/>
      </c>
      <c r="CU1666">
        <f>'Grid_Stock'!CR43</f>
        <v/>
      </c>
      <c r="CV1666">
        <f>'Grid_Stock'!CS43</f>
        <v/>
      </c>
      <c r="CW1666">
        <f>'Grid_Stock'!CT43</f>
        <v/>
      </c>
      <c r="CX1666">
        <f>'Grid_Stock'!CU43</f>
        <v/>
      </c>
      <c r="CY1666">
        <f>'Grid_Stock'!CV43</f>
        <v/>
      </c>
      <c r="CZ1666">
        <f>'Grid_Stock'!CW43</f>
        <v/>
      </c>
      <c r="DA1666">
        <f>'Grid_Stock'!CX43</f>
        <v/>
      </c>
      <c r="DB1666">
        <f>'Grid_Stock'!CY43</f>
        <v/>
      </c>
      <c r="DC1666">
        <f>'Grid_Stock'!CZ43</f>
        <v/>
      </c>
      <c r="DD1666">
        <f>'Grid_Stock'!DA43</f>
        <v/>
      </c>
    </row>
    <row r="1667">
      <c r="B1667" s="25" t="inlineStr">
        <is>
          <t>（発注の目安はDashboardの基準在庫[下限/上限]と色分けを参照）</t>
        </is>
      </c>
    </row>
    <row r="1669">
      <c r="A1669" s="21" t="inlineStr">
        <is>
          <t>5SN</t>
        </is>
      </c>
      <c r="B1669" s="21" t="inlineStr">
        <is>
          <t>5SN</t>
        </is>
      </c>
      <c r="C1669" s="22" t="n"/>
      <c r="D1669" s="21" t="n"/>
      <c r="E1669" s="21" t="n"/>
      <c r="F1669" s="21" t="n"/>
      <c r="G1669" s="21" t="n"/>
      <c r="H1669" s="21" t="n"/>
      <c r="I1669" s="21" t="n"/>
      <c r="J1669" s="21" t="n"/>
      <c r="K1669" s="21" t="n"/>
      <c r="L1669" s="21" t="n"/>
      <c r="M1669" s="21" t="n"/>
      <c r="N1669" s="21" t="n"/>
      <c r="O1669" s="21" t="n"/>
      <c r="P1669" s="21" t="n"/>
      <c r="Q1669" s="21" t="n"/>
      <c r="R1669" s="21" t="n"/>
      <c r="S1669" s="21" t="n"/>
      <c r="T1669" s="21" t="n"/>
      <c r="U1669" s="21" t="n"/>
      <c r="V1669" s="21" t="n"/>
      <c r="W1669" s="21" t="n"/>
      <c r="X1669" s="21" t="n"/>
      <c r="Y1669" s="21" t="n"/>
      <c r="Z1669" s="21" t="n"/>
      <c r="AA1669" s="21" t="n"/>
      <c r="AB1669" s="21" t="n"/>
      <c r="AC1669" s="21" t="n"/>
      <c r="AD1669" s="21" t="n"/>
      <c r="AE1669" s="21" t="n"/>
      <c r="AF1669" s="21" t="n"/>
      <c r="AG1669" s="21" t="n"/>
      <c r="AH1669" s="21" t="n"/>
      <c r="AI1669" s="21" t="n"/>
      <c r="AJ1669" s="21" t="n"/>
      <c r="AK1669" s="21" t="n"/>
      <c r="AL1669" s="21" t="n"/>
      <c r="AM1669" s="21" t="n"/>
      <c r="AN1669" s="21" t="n"/>
      <c r="AO1669" s="21" t="n"/>
      <c r="AP1669" s="21" t="n"/>
      <c r="AQ1669" s="21" t="n"/>
      <c r="AR1669" s="21" t="n"/>
      <c r="AS1669" s="21" t="n"/>
      <c r="AT1669" s="21" t="n"/>
      <c r="AU1669" s="21" t="n"/>
      <c r="AV1669" s="21" t="n"/>
      <c r="AW1669" s="21" t="n"/>
      <c r="AX1669" s="21" t="n"/>
      <c r="AY1669" s="21" t="n"/>
      <c r="AZ1669" s="21" t="n"/>
      <c r="BA1669" s="21" t="n"/>
      <c r="BB1669" s="21" t="n"/>
      <c r="BC1669" s="21" t="n"/>
      <c r="BD1669" s="21" t="n"/>
      <c r="BE1669" s="21" t="n"/>
      <c r="BF1669" s="21" t="n"/>
      <c r="BG1669" s="21" t="n"/>
      <c r="BH1669" s="21" t="n"/>
      <c r="BI1669" s="21" t="n"/>
      <c r="BJ1669" s="21" t="n"/>
      <c r="BK1669" s="21" t="n"/>
      <c r="BL1669" s="21" t="n"/>
      <c r="BM1669" s="21" t="n"/>
      <c r="BN1669" s="21" t="n"/>
      <c r="BO1669" s="21" t="n"/>
      <c r="BP1669" s="21" t="n"/>
      <c r="BQ1669" s="21" t="n"/>
      <c r="BR1669" s="21" t="n"/>
      <c r="BS1669" s="21" t="n"/>
      <c r="BT1669" s="21" t="n"/>
      <c r="BU1669" s="21" t="n"/>
      <c r="BV1669" s="21" t="n"/>
      <c r="BW1669" s="21" t="n"/>
      <c r="BX1669" s="21" t="n"/>
      <c r="BY1669" s="21" t="n"/>
      <c r="BZ1669" s="21" t="n"/>
      <c r="CA1669" s="21" t="n"/>
      <c r="CB1669" s="21" t="n"/>
      <c r="CC1669" s="21" t="n"/>
      <c r="CD1669" s="21" t="n"/>
      <c r="CE1669" s="21" t="n"/>
      <c r="CF1669" s="21" t="n"/>
      <c r="CG1669" s="21" t="n"/>
      <c r="CH1669" s="21" t="n"/>
      <c r="CI1669" s="21" t="n"/>
      <c r="CJ1669" s="21" t="n"/>
      <c r="CK1669" s="21" t="n"/>
      <c r="CL1669" s="21" t="n"/>
      <c r="CM1669" s="21" t="n"/>
      <c r="CN1669" s="21" t="n"/>
      <c r="CO1669" s="21" t="n"/>
      <c r="CP1669" s="21" t="n"/>
      <c r="CQ1669" s="21" t="n"/>
      <c r="CR1669" s="21" t="n"/>
      <c r="CS1669" s="21" t="n"/>
      <c r="CT1669" s="21" t="n"/>
      <c r="CU1669" s="21" t="n"/>
      <c r="CV1669" s="21" t="n"/>
      <c r="CW1669" s="21" t="n"/>
      <c r="CX1669" s="21" t="n"/>
      <c r="CY1669" s="21" t="n"/>
      <c r="CZ1669" s="21" t="n"/>
      <c r="DA1669" s="21" t="n"/>
      <c r="DB1669" s="21" t="n"/>
      <c r="DC1669" s="21" t="n"/>
      <c r="DD1669" s="21" t="n"/>
    </row>
    <row r="1670">
      <c r="B1670" t="inlineStr">
        <is>
          <t>0Q110</t>
        </is>
      </c>
      <c r="C1670" t="inlineStr">
        <is>
          <t>No. of batches</t>
        </is>
      </c>
      <c r="D1670">
        <f>IFERROR(INDEX(E1670:DD1670,$F$1),"")</f>
        <v/>
      </c>
      <c r="E1670">
        <f>IFERROR(INDEX(PP_Grid[#Data],$DE1670,2),0)</f>
        <v/>
      </c>
      <c r="F1670">
        <f>IFERROR(INDEX(PP_Grid[#Data],$DE1670,3),0)</f>
        <v/>
      </c>
      <c r="G1670">
        <f>IFERROR(INDEX(PP_Grid[#Data],$DE1670,4),0)</f>
        <v/>
      </c>
      <c r="H1670">
        <f>IFERROR(INDEX(PP_Grid[#Data],$DE1670,5),0)</f>
        <v/>
      </c>
      <c r="I1670">
        <f>IFERROR(INDEX(PP_Grid[#Data],$DE1670,6),0)</f>
        <v/>
      </c>
      <c r="J1670">
        <f>IFERROR(INDEX(PP_Grid[#Data],$DE1670,7),0)</f>
        <v/>
      </c>
      <c r="K1670">
        <f>IFERROR(INDEX(PP_Grid[#Data],$DE1670,8),0)</f>
        <v/>
      </c>
      <c r="L1670">
        <f>IFERROR(INDEX(PP_Grid[#Data],$DE1670,9),0)</f>
        <v/>
      </c>
      <c r="M1670">
        <f>IFERROR(INDEX(PP_Grid[#Data],$DE1670,10),0)</f>
        <v/>
      </c>
      <c r="N1670">
        <f>IFERROR(INDEX(PP_Grid[#Data],$DE1670,11),0)</f>
        <v/>
      </c>
      <c r="O1670">
        <f>IFERROR(INDEX(PP_Grid[#Data],$DE1670,12),0)</f>
        <v/>
      </c>
      <c r="P1670">
        <f>IFERROR(INDEX(PP_Grid[#Data],$DE1670,13),0)</f>
        <v/>
      </c>
      <c r="Q1670">
        <f>IFERROR(INDEX(PP_Grid[#Data],$DE1670,14),0)</f>
        <v/>
      </c>
      <c r="R1670">
        <f>IFERROR(INDEX(PP_Grid[#Data],$DE1670,15),0)</f>
        <v/>
      </c>
      <c r="S1670">
        <f>IFERROR(INDEX(PP_Grid[#Data],$DE1670,16),0)</f>
        <v/>
      </c>
      <c r="T1670">
        <f>IFERROR(INDEX(PP_Grid[#Data],$DE1670,17),0)</f>
        <v/>
      </c>
      <c r="U1670">
        <f>IFERROR(INDEX(PP_Grid[#Data],$DE1670,18),0)</f>
        <v/>
      </c>
      <c r="V1670">
        <f>IFERROR(INDEX(PP_Grid[#Data],$DE1670,19),0)</f>
        <v/>
      </c>
      <c r="W1670">
        <f>IFERROR(INDEX(PP_Grid[#Data],$DE1670,20),0)</f>
        <v/>
      </c>
      <c r="X1670">
        <f>IFERROR(INDEX(PP_Grid[#Data],$DE1670,21),0)</f>
        <v/>
      </c>
      <c r="Y1670">
        <f>IFERROR(INDEX(PP_Grid[#Data],$DE1670,22),0)</f>
        <v/>
      </c>
      <c r="Z1670">
        <f>IFERROR(INDEX(PP_Grid[#Data],$DE1670,23),0)</f>
        <v/>
      </c>
      <c r="AA1670">
        <f>IFERROR(INDEX(PP_Grid[#Data],$DE1670,24),0)</f>
        <v/>
      </c>
      <c r="AB1670">
        <f>IFERROR(INDEX(PP_Grid[#Data],$DE1670,25),0)</f>
        <v/>
      </c>
      <c r="AC1670">
        <f>IFERROR(INDEX(PP_Grid[#Data],$DE1670,26),0)</f>
        <v/>
      </c>
      <c r="AD1670">
        <f>IFERROR(INDEX(PP_Grid[#Data],$DE1670,27),0)</f>
        <v/>
      </c>
      <c r="AE1670">
        <f>IFERROR(INDEX(PP_Grid[#Data],$DE1670,28),0)</f>
        <v/>
      </c>
      <c r="AF1670">
        <f>IFERROR(INDEX(PP_Grid[#Data],$DE1670,29),0)</f>
        <v/>
      </c>
      <c r="AG1670">
        <f>IFERROR(INDEX(PP_Grid[#Data],$DE1670,30),0)</f>
        <v/>
      </c>
      <c r="AH1670">
        <f>IFERROR(INDEX(PP_Grid[#Data],$DE1670,31),0)</f>
        <v/>
      </c>
      <c r="AI1670">
        <f>IFERROR(INDEX(PP_Grid[#Data],$DE1670,32),0)</f>
        <v/>
      </c>
      <c r="AJ1670">
        <f>IFERROR(INDEX(PP_Grid[#Data],$DE1670,33),0)</f>
        <v/>
      </c>
      <c r="AK1670">
        <f>IFERROR(INDEX(PP_Grid[#Data],$DE1670,34),0)</f>
        <v/>
      </c>
      <c r="AL1670">
        <f>IFERROR(INDEX(PP_Grid[#Data],$DE1670,35),0)</f>
        <v/>
      </c>
      <c r="AM1670">
        <f>IFERROR(INDEX(PP_Grid[#Data],$DE1670,36),0)</f>
        <v/>
      </c>
      <c r="AN1670">
        <f>IFERROR(INDEX(PP_Grid[#Data],$DE1670,37),0)</f>
        <v/>
      </c>
      <c r="AO1670">
        <f>IFERROR(INDEX(PP_Grid[#Data],$DE1670,38),0)</f>
        <v/>
      </c>
      <c r="AP1670">
        <f>IFERROR(INDEX(PP_Grid[#Data],$DE1670,39),0)</f>
        <v/>
      </c>
      <c r="AQ1670">
        <f>IFERROR(INDEX(PP_Grid[#Data],$DE1670,40),0)</f>
        <v/>
      </c>
      <c r="AR1670">
        <f>IFERROR(INDEX(PP_Grid[#Data],$DE1670,41),0)</f>
        <v/>
      </c>
      <c r="AS1670">
        <f>IFERROR(INDEX(PP_Grid[#Data],$DE1670,42),0)</f>
        <v/>
      </c>
      <c r="AT1670">
        <f>IFERROR(INDEX(PP_Grid[#Data],$DE1670,43),0)</f>
        <v/>
      </c>
      <c r="AU1670">
        <f>IFERROR(INDEX(PP_Grid[#Data],$DE1670,44),0)</f>
        <v/>
      </c>
      <c r="AV1670">
        <f>IFERROR(INDEX(PP_Grid[#Data],$DE1670,45),0)</f>
        <v/>
      </c>
      <c r="AW1670">
        <f>IFERROR(INDEX(PP_Grid[#Data],$DE1670,46),0)</f>
        <v/>
      </c>
      <c r="AX1670">
        <f>IFERROR(INDEX(PP_Grid[#Data],$DE1670,47),0)</f>
        <v/>
      </c>
      <c r="AY1670">
        <f>IFERROR(INDEX(PP_Grid[#Data],$DE1670,48),0)</f>
        <v/>
      </c>
      <c r="AZ1670">
        <f>IFERROR(INDEX(PP_Grid[#Data],$DE1670,49),0)</f>
        <v/>
      </c>
      <c r="BA1670">
        <f>IFERROR(INDEX(PP_Grid[#Data],$DE1670,50),0)</f>
        <v/>
      </c>
      <c r="BB1670">
        <f>IFERROR(INDEX(PP_Grid[#Data],$DE1670,51),0)</f>
        <v/>
      </c>
      <c r="BC1670">
        <f>IFERROR(INDEX(PP_Grid[#Data],$DE1670,52),0)</f>
        <v/>
      </c>
      <c r="BD1670">
        <f>IFERROR(INDEX(PP_Grid[#Data],$DE1670,53),0)</f>
        <v/>
      </c>
      <c r="BE1670">
        <f>IFERROR(INDEX(PP_Grid[#Data],$DE1670,54),0)</f>
        <v/>
      </c>
      <c r="BF1670">
        <f>IFERROR(INDEX(PP_Grid[#Data],$DE1670,55),0)</f>
        <v/>
      </c>
      <c r="BG1670">
        <f>IFERROR(INDEX(PP_Grid[#Data],$DE1670,56),0)</f>
        <v/>
      </c>
      <c r="BH1670">
        <f>IFERROR(INDEX(PP_Grid[#Data],$DE1670,57),0)</f>
        <v/>
      </c>
      <c r="BI1670">
        <f>IFERROR(INDEX(PP_Grid[#Data],$DE1670,58),0)</f>
        <v/>
      </c>
      <c r="BJ1670">
        <f>IFERROR(INDEX(PP_Grid[#Data],$DE1670,59),0)</f>
        <v/>
      </c>
      <c r="BK1670">
        <f>IFERROR(INDEX(PP_Grid[#Data],$DE1670,60),0)</f>
        <v/>
      </c>
      <c r="BL1670">
        <f>IFERROR(INDEX(PP_Grid[#Data],$DE1670,61),0)</f>
        <v/>
      </c>
      <c r="BM1670">
        <f>IFERROR(INDEX(PP_Grid[#Data],$DE1670,62),0)</f>
        <v/>
      </c>
      <c r="BN1670">
        <f>IFERROR(INDEX(PP_Grid[#Data],$DE1670,63),0)</f>
        <v/>
      </c>
      <c r="BO1670">
        <f>IFERROR(INDEX(PP_Grid[#Data],$DE1670,64),0)</f>
        <v/>
      </c>
      <c r="BP1670">
        <f>IFERROR(INDEX(PP_Grid[#Data],$DE1670,65),0)</f>
        <v/>
      </c>
      <c r="BQ1670">
        <f>IFERROR(INDEX(PP_Grid[#Data],$DE1670,66),0)</f>
        <v/>
      </c>
      <c r="BR1670">
        <f>IFERROR(INDEX(PP_Grid[#Data],$DE1670,67),0)</f>
        <v/>
      </c>
      <c r="BS1670">
        <f>IFERROR(INDEX(PP_Grid[#Data],$DE1670,68),0)</f>
        <v/>
      </c>
      <c r="BT1670">
        <f>IFERROR(INDEX(PP_Grid[#Data],$DE1670,69),0)</f>
        <v/>
      </c>
      <c r="BU1670">
        <f>IFERROR(INDEX(PP_Grid[#Data],$DE1670,70),0)</f>
        <v/>
      </c>
      <c r="BV1670">
        <f>IFERROR(INDEX(PP_Grid[#Data],$DE1670,71),0)</f>
        <v/>
      </c>
      <c r="BW1670">
        <f>IFERROR(INDEX(PP_Grid[#Data],$DE1670,72),0)</f>
        <v/>
      </c>
      <c r="BX1670">
        <f>IFERROR(INDEX(PP_Grid[#Data],$DE1670,73),0)</f>
        <v/>
      </c>
      <c r="BY1670">
        <f>IFERROR(INDEX(PP_Grid[#Data],$DE1670,74),0)</f>
        <v/>
      </c>
      <c r="BZ1670">
        <f>IFERROR(INDEX(PP_Grid[#Data],$DE1670,75),0)</f>
        <v/>
      </c>
      <c r="CA1670">
        <f>IFERROR(INDEX(PP_Grid[#Data],$DE1670,76),0)</f>
        <v/>
      </c>
      <c r="CB1670">
        <f>IFERROR(INDEX(PP_Grid[#Data],$DE1670,77),0)</f>
        <v/>
      </c>
      <c r="CC1670">
        <f>IFERROR(INDEX(PP_Grid[#Data],$DE1670,78),0)</f>
        <v/>
      </c>
      <c r="CD1670">
        <f>IFERROR(INDEX(PP_Grid[#Data],$DE1670,79),0)</f>
        <v/>
      </c>
      <c r="CE1670">
        <f>IFERROR(INDEX(PP_Grid[#Data],$DE1670,80),0)</f>
        <v/>
      </c>
      <c r="CF1670">
        <f>IFERROR(INDEX(PP_Grid[#Data],$DE1670,81),0)</f>
        <v/>
      </c>
      <c r="CG1670">
        <f>IFERROR(INDEX(PP_Grid[#Data],$DE1670,82),0)</f>
        <v/>
      </c>
      <c r="CH1670">
        <f>IFERROR(INDEX(PP_Grid[#Data],$DE1670,83),0)</f>
        <v/>
      </c>
      <c r="CI1670">
        <f>IFERROR(INDEX(PP_Grid[#Data],$DE1670,84),0)</f>
        <v/>
      </c>
      <c r="CJ1670">
        <f>IFERROR(INDEX(PP_Grid[#Data],$DE1670,85),0)</f>
        <v/>
      </c>
      <c r="CK1670">
        <f>IFERROR(INDEX(PP_Grid[#Data],$DE1670,86),0)</f>
        <v/>
      </c>
      <c r="CL1670">
        <f>IFERROR(INDEX(PP_Grid[#Data],$DE1670,87),0)</f>
        <v/>
      </c>
      <c r="CM1670">
        <f>IFERROR(INDEX(PP_Grid[#Data],$DE1670,88),0)</f>
        <v/>
      </c>
      <c r="CN1670">
        <f>IFERROR(INDEX(PP_Grid[#Data],$DE1670,89),0)</f>
        <v/>
      </c>
      <c r="CO1670">
        <f>IFERROR(INDEX(PP_Grid[#Data],$DE1670,90),0)</f>
        <v/>
      </c>
      <c r="CP1670">
        <f>IFERROR(INDEX(PP_Grid[#Data],$DE1670,91),0)</f>
        <v/>
      </c>
      <c r="CQ1670">
        <f>IFERROR(INDEX(PP_Grid[#Data],$DE1670,92),0)</f>
        <v/>
      </c>
      <c r="CR1670">
        <f>IFERROR(INDEX(PP_Grid[#Data],$DE1670,93),0)</f>
        <v/>
      </c>
      <c r="CS1670">
        <f>IFERROR(INDEX(PP_Grid[#Data],$DE1670,94),0)</f>
        <v/>
      </c>
      <c r="CT1670">
        <f>IFERROR(INDEX(PP_Grid[#Data],$DE1670,95),0)</f>
        <v/>
      </c>
      <c r="CU1670">
        <f>IFERROR(INDEX(PP_Grid[#Data],$DE1670,96),0)</f>
        <v/>
      </c>
      <c r="CV1670">
        <f>IFERROR(INDEX(PP_Grid[#Data],$DE1670,97),0)</f>
        <v/>
      </c>
      <c r="CW1670">
        <f>IFERROR(INDEX(PP_Grid[#Data],$DE1670,98),0)</f>
        <v/>
      </c>
      <c r="CX1670">
        <f>IFERROR(INDEX(PP_Grid[#Data],$DE1670,99),0)</f>
        <v/>
      </c>
      <c r="CY1670">
        <f>IFERROR(INDEX(PP_Grid[#Data],$DE1670,100),0)</f>
        <v/>
      </c>
      <c r="CZ1670">
        <f>IFERROR(INDEX(PP_Grid[#Data],$DE1670,101),0)</f>
        <v/>
      </c>
      <c r="DA1670">
        <f>IFERROR(INDEX(PP_Grid[#Data],$DE1670,102),0)</f>
        <v/>
      </c>
      <c r="DB1670">
        <f>IFERROR(INDEX(PP_Grid[#Data],$DE1670,103),0)</f>
        <v/>
      </c>
      <c r="DC1670">
        <f>IFERROR(INDEX(PP_Grid[#Data],$DE1670,104),0)</f>
        <v/>
      </c>
      <c r="DD1670">
        <f>IFERROR(INDEX(PP_Grid[#Data],$DE1670,105),0)</f>
        <v/>
      </c>
      <c r="DE1670" s="7">
        <f>IFERROR(MATCH($B1670,PP_Grid[Intermediate],0),99999)</f>
        <v/>
      </c>
    </row>
    <row r="1671">
      <c r="B1671" t="inlineStr">
        <is>
          <t>使用量(kg)</t>
        </is>
      </c>
      <c r="C1671">
        <f>SUMIFS(M_BOM[RM_Qty_Per_Batch],M_BOM[Intermediate],$B1670,M_BOM[RM_Code],$A1669)</f>
        <v/>
      </c>
      <c r="D1671">
        <f>IFERROR(INDEX(E1671:DD1671,$F$1),"")</f>
        <v/>
      </c>
      <c r="E1671">
        <f>$C1671*E1670</f>
        <v/>
      </c>
      <c r="F1671">
        <f>$C1671*F1670</f>
        <v/>
      </c>
      <c r="G1671">
        <f>$C1671*G1670</f>
        <v/>
      </c>
      <c r="H1671">
        <f>$C1671*H1670</f>
        <v/>
      </c>
      <c r="I1671">
        <f>$C1671*I1670</f>
        <v/>
      </c>
      <c r="J1671">
        <f>$C1671*J1670</f>
        <v/>
      </c>
      <c r="K1671">
        <f>$C1671*K1670</f>
        <v/>
      </c>
      <c r="L1671">
        <f>$C1671*L1670</f>
        <v/>
      </c>
      <c r="M1671">
        <f>$C1671*M1670</f>
        <v/>
      </c>
      <c r="N1671">
        <f>$C1671*N1670</f>
        <v/>
      </c>
      <c r="O1671">
        <f>$C1671*O1670</f>
        <v/>
      </c>
      <c r="P1671">
        <f>$C1671*P1670</f>
        <v/>
      </c>
      <c r="Q1671">
        <f>$C1671*Q1670</f>
        <v/>
      </c>
      <c r="R1671">
        <f>$C1671*R1670</f>
        <v/>
      </c>
      <c r="S1671">
        <f>$C1671*S1670</f>
        <v/>
      </c>
      <c r="T1671">
        <f>$C1671*T1670</f>
        <v/>
      </c>
      <c r="U1671">
        <f>$C1671*U1670</f>
        <v/>
      </c>
      <c r="V1671">
        <f>$C1671*V1670</f>
        <v/>
      </c>
      <c r="W1671">
        <f>$C1671*W1670</f>
        <v/>
      </c>
      <c r="X1671">
        <f>$C1671*X1670</f>
        <v/>
      </c>
      <c r="Y1671">
        <f>$C1671*Y1670</f>
        <v/>
      </c>
      <c r="Z1671">
        <f>$C1671*Z1670</f>
        <v/>
      </c>
      <c r="AA1671">
        <f>$C1671*AA1670</f>
        <v/>
      </c>
      <c r="AB1671">
        <f>$C1671*AB1670</f>
        <v/>
      </c>
      <c r="AC1671">
        <f>$C1671*AC1670</f>
        <v/>
      </c>
      <c r="AD1671">
        <f>$C1671*AD1670</f>
        <v/>
      </c>
      <c r="AE1671">
        <f>$C1671*AE1670</f>
        <v/>
      </c>
      <c r="AF1671">
        <f>$C1671*AF1670</f>
        <v/>
      </c>
      <c r="AG1671">
        <f>$C1671*AG1670</f>
        <v/>
      </c>
      <c r="AH1671">
        <f>$C1671*AH1670</f>
        <v/>
      </c>
      <c r="AI1671">
        <f>$C1671*AI1670</f>
        <v/>
      </c>
      <c r="AJ1671">
        <f>$C1671*AJ1670</f>
        <v/>
      </c>
      <c r="AK1671">
        <f>$C1671*AK1670</f>
        <v/>
      </c>
      <c r="AL1671">
        <f>$C1671*AL1670</f>
        <v/>
      </c>
      <c r="AM1671">
        <f>$C1671*AM1670</f>
        <v/>
      </c>
      <c r="AN1671">
        <f>$C1671*AN1670</f>
        <v/>
      </c>
      <c r="AO1671">
        <f>$C1671*AO1670</f>
        <v/>
      </c>
      <c r="AP1671">
        <f>$C1671*AP1670</f>
        <v/>
      </c>
      <c r="AQ1671">
        <f>$C1671*AQ1670</f>
        <v/>
      </c>
      <c r="AR1671">
        <f>$C1671*AR1670</f>
        <v/>
      </c>
      <c r="AS1671">
        <f>$C1671*AS1670</f>
        <v/>
      </c>
      <c r="AT1671">
        <f>$C1671*AT1670</f>
        <v/>
      </c>
      <c r="AU1671">
        <f>$C1671*AU1670</f>
        <v/>
      </c>
      <c r="AV1671">
        <f>$C1671*AV1670</f>
        <v/>
      </c>
      <c r="AW1671">
        <f>$C1671*AW1670</f>
        <v/>
      </c>
      <c r="AX1671">
        <f>$C1671*AX1670</f>
        <v/>
      </c>
      <c r="AY1671">
        <f>$C1671*AY1670</f>
        <v/>
      </c>
      <c r="AZ1671">
        <f>$C1671*AZ1670</f>
        <v/>
      </c>
      <c r="BA1671">
        <f>$C1671*BA1670</f>
        <v/>
      </c>
      <c r="BB1671">
        <f>$C1671*BB1670</f>
        <v/>
      </c>
      <c r="BC1671">
        <f>$C1671*BC1670</f>
        <v/>
      </c>
      <c r="BD1671">
        <f>$C1671*BD1670</f>
        <v/>
      </c>
      <c r="BE1671">
        <f>$C1671*BE1670</f>
        <v/>
      </c>
      <c r="BF1671">
        <f>$C1671*BF1670</f>
        <v/>
      </c>
      <c r="BG1671">
        <f>$C1671*BG1670</f>
        <v/>
      </c>
      <c r="BH1671">
        <f>$C1671*BH1670</f>
        <v/>
      </c>
      <c r="BI1671">
        <f>$C1671*BI1670</f>
        <v/>
      </c>
      <c r="BJ1671">
        <f>$C1671*BJ1670</f>
        <v/>
      </c>
      <c r="BK1671">
        <f>$C1671*BK1670</f>
        <v/>
      </c>
      <c r="BL1671">
        <f>$C1671*BL1670</f>
        <v/>
      </c>
      <c r="BM1671">
        <f>$C1671*BM1670</f>
        <v/>
      </c>
      <c r="BN1671">
        <f>$C1671*BN1670</f>
        <v/>
      </c>
      <c r="BO1671">
        <f>$C1671*BO1670</f>
        <v/>
      </c>
      <c r="BP1671">
        <f>$C1671*BP1670</f>
        <v/>
      </c>
      <c r="BQ1671">
        <f>$C1671*BQ1670</f>
        <v/>
      </c>
      <c r="BR1671">
        <f>$C1671*BR1670</f>
        <v/>
      </c>
      <c r="BS1671">
        <f>$C1671*BS1670</f>
        <v/>
      </c>
      <c r="BT1671">
        <f>$C1671*BT1670</f>
        <v/>
      </c>
      <c r="BU1671">
        <f>$C1671*BU1670</f>
        <v/>
      </c>
      <c r="BV1671">
        <f>$C1671*BV1670</f>
        <v/>
      </c>
      <c r="BW1671">
        <f>$C1671*BW1670</f>
        <v/>
      </c>
      <c r="BX1671">
        <f>$C1671*BX1670</f>
        <v/>
      </c>
      <c r="BY1671">
        <f>$C1671*BY1670</f>
        <v/>
      </c>
      <c r="BZ1671">
        <f>$C1671*BZ1670</f>
        <v/>
      </c>
      <c r="CA1671">
        <f>$C1671*CA1670</f>
        <v/>
      </c>
      <c r="CB1671">
        <f>$C1671*CB1670</f>
        <v/>
      </c>
      <c r="CC1671">
        <f>$C1671*CC1670</f>
        <v/>
      </c>
      <c r="CD1671">
        <f>$C1671*CD1670</f>
        <v/>
      </c>
      <c r="CE1671">
        <f>$C1671*CE1670</f>
        <v/>
      </c>
      <c r="CF1671">
        <f>$C1671*CF1670</f>
        <v/>
      </c>
      <c r="CG1671">
        <f>$C1671*CG1670</f>
        <v/>
      </c>
      <c r="CH1671">
        <f>$C1671*CH1670</f>
        <v/>
      </c>
      <c r="CI1671">
        <f>$C1671*CI1670</f>
        <v/>
      </c>
      <c r="CJ1671">
        <f>$C1671*CJ1670</f>
        <v/>
      </c>
      <c r="CK1671">
        <f>$C1671*CK1670</f>
        <v/>
      </c>
      <c r="CL1671">
        <f>$C1671*CL1670</f>
        <v/>
      </c>
      <c r="CM1671">
        <f>$C1671*CM1670</f>
        <v/>
      </c>
      <c r="CN1671">
        <f>$C1671*CN1670</f>
        <v/>
      </c>
      <c r="CO1671">
        <f>$C1671*CO1670</f>
        <v/>
      </c>
      <c r="CP1671">
        <f>$C1671*CP1670</f>
        <v/>
      </c>
      <c r="CQ1671">
        <f>$C1671*CQ1670</f>
        <v/>
      </c>
      <c r="CR1671">
        <f>$C1671*CR1670</f>
        <v/>
      </c>
      <c r="CS1671">
        <f>$C1671*CS1670</f>
        <v/>
      </c>
      <c r="CT1671">
        <f>$C1671*CT1670</f>
        <v/>
      </c>
      <c r="CU1671">
        <f>$C1671*CU1670</f>
        <v/>
      </c>
      <c r="CV1671">
        <f>$C1671*CV1670</f>
        <v/>
      </c>
      <c r="CW1671">
        <f>$C1671*CW1670</f>
        <v/>
      </c>
      <c r="CX1671">
        <f>$C1671*CX1670</f>
        <v/>
      </c>
      <c r="CY1671">
        <f>$C1671*CY1670</f>
        <v/>
      </c>
      <c r="CZ1671">
        <f>$C1671*CZ1670</f>
        <v/>
      </c>
      <c r="DA1671">
        <f>$C1671*DA1670</f>
        <v/>
      </c>
      <c r="DB1671">
        <f>$C1671*DB1670</f>
        <v/>
      </c>
      <c r="DC1671">
        <f>$C1671*DC1670</f>
        <v/>
      </c>
      <c r="DD1671">
        <f>$C1671*DD1670</f>
        <v/>
      </c>
    </row>
    <row r="1672">
      <c r="B1672" s="4" t="inlineStr">
        <is>
          <t>合計使用量(kg)/週</t>
        </is>
      </c>
      <c r="D1672" s="23">
        <f>IFERROR(INDEX(E1672:DD1672,$F$1),"")</f>
        <v/>
      </c>
      <c r="E1672">
        <f>'Grid_Requirement'!B64</f>
        <v/>
      </c>
      <c r="F1672">
        <f>'Grid_Requirement'!C64</f>
        <v/>
      </c>
      <c r="G1672">
        <f>'Grid_Requirement'!D64</f>
        <v/>
      </c>
      <c r="H1672">
        <f>'Grid_Requirement'!E64</f>
        <v/>
      </c>
      <c r="I1672">
        <f>'Grid_Requirement'!F64</f>
        <v/>
      </c>
      <c r="J1672">
        <f>'Grid_Requirement'!G64</f>
        <v/>
      </c>
      <c r="K1672">
        <f>'Grid_Requirement'!H64</f>
        <v/>
      </c>
      <c r="L1672">
        <f>'Grid_Requirement'!I64</f>
        <v/>
      </c>
      <c r="M1672">
        <f>'Grid_Requirement'!J64</f>
        <v/>
      </c>
      <c r="N1672">
        <f>'Grid_Requirement'!K64</f>
        <v/>
      </c>
      <c r="O1672">
        <f>'Grid_Requirement'!L64</f>
        <v/>
      </c>
      <c r="P1672">
        <f>'Grid_Requirement'!M64</f>
        <v/>
      </c>
      <c r="Q1672">
        <f>'Grid_Requirement'!N64</f>
        <v/>
      </c>
      <c r="R1672">
        <f>'Grid_Requirement'!O64</f>
        <v/>
      </c>
      <c r="S1672">
        <f>'Grid_Requirement'!P64</f>
        <v/>
      </c>
      <c r="T1672">
        <f>'Grid_Requirement'!Q64</f>
        <v/>
      </c>
      <c r="U1672">
        <f>'Grid_Requirement'!R64</f>
        <v/>
      </c>
      <c r="V1672">
        <f>'Grid_Requirement'!S64</f>
        <v/>
      </c>
      <c r="W1672">
        <f>'Grid_Requirement'!T64</f>
        <v/>
      </c>
      <c r="X1672">
        <f>'Grid_Requirement'!U64</f>
        <v/>
      </c>
      <c r="Y1672">
        <f>'Grid_Requirement'!V64</f>
        <v/>
      </c>
      <c r="Z1672">
        <f>'Grid_Requirement'!W64</f>
        <v/>
      </c>
      <c r="AA1672">
        <f>'Grid_Requirement'!X64</f>
        <v/>
      </c>
      <c r="AB1672">
        <f>'Grid_Requirement'!Y64</f>
        <v/>
      </c>
      <c r="AC1672">
        <f>'Grid_Requirement'!Z64</f>
        <v/>
      </c>
      <c r="AD1672">
        <f>'Grid_Requirement'!AA64</f>
        <v/>
      </c>
      <c r="AE1672">
        <f>'Grid_Requirement'!AB64</f>
        <v/>
      </c>
      <c r="AF1672">
        <f>'Grid_Requirement'!AC64</f>
        <v/>
      </c>
      <c r="AG1672">
        <f>'Grid_Requirement'!AD64</f>
        <v/>
      </c>
      <c r="AH1672">
        <f>'Grid_Requirement'!AE64</f>
        <v/>
      </c>
      <c r="AI1672">
        <f>'Grid_Requirement'!AF64</f>
        <v/>
      </c>
      <c r="AJ1672">
        <f>'Grid_Requirement'!AG64</f>
        <v/>
      </c>
      <c r="AK1672">
        <f>'Grid_Requirement'!AH64</f>
        <v/>
      </c>
      <c r="AL1672">
        <f>'Grid_Requirement'!AI64</f>
        <v/>
      </c>
      <c r="AM1672">
        <f>'Grid_Requirement'!AJ64</f>
        <v/>
      </c>
      <c r="AN1672">
        <f>'Grid_Requirement'!AK64</f>
        <v/>
      </c>
      <c r="AO1672">
        <f>'Grid_Requirement'!AL64</f>
        <v/>
      </c>
      <c r="AP1672">
        <f>'Grid_Requirement'!AM64</f>
        <v/>
      </c>
      <c r="AQ1672">
        <f>'Grid_Requirement'!AN64</f>
        <v/>
      </c>
      <c r="AR1672">
        <f>'Grid_Requirement'!AO64</f>
        <v/>
      </c>
      <c r="AS1672">
        <f>'Grid_Requirement'!AP64</f>
        <v/>
      </c>
      <c r="AT1672">
        <f>'Grid_Requirement'!AQ64</f>
        <v/>
      </c>
      <c r="AU1672">
        <f>'Grid_Requirement'!AR64</f>
        <v/>
      </c>
      <c r="AV1672">
        <f>'Grid_Requirement'!AS64</f>
        <v/>
      </c>
      <c r="AW1672">
        <f>'Grid_Requirement'!AT64</f>
        <v/>
      </c>
      <c r="AX1672">
        <f>'Grid_Requirement'!AU64</f>
        <v/>
      </c>
      <c r="AY1672">
        <f>'Grid_Requirement'!AV64</f>
        <v/>
      </c>
      <c r="AZ1672">
        <f>'Grid_Requirement'!AW64</f>
        <v/>
      </c>
      <c r="BA1672">
        <f>'Grid_Requirement'!AX64</f>
        <v/>
      </c>
      <c r="BB1672">
        <f>'Grid_Requirement'!AY64</f>
        <v/>
      </c>
      <c r="BC1672">
        <f>'Grid_Requirement'!AZ64</f>
        <v/>
      </c>
      <c r="BD1672">
        <f>'Grid_Requirement'!BA64</f>
        <v/>
      </c>
      <c r="BE1672">
        <f>'Grid_Requirement'!BB64</f>
        <v/>
      </c>
      <c r="BF1672">
        <f>'Grid_Requirement'!BC64</f>
        <v/>
      </c>
      <c r="BG1672">
        <f>'Grid_Requirement'!BD64</f>
        <v/>
      </c>
      <c r="BH1672">
        <f>'Grid_Requirement'!BE64</f>
        <v/>
      </c>
      <c r="BI1672">
        <f>'Grid_Requirement'!BF64</f>
        <v/>
      </c>
      <c r="BJ1672">
        <f>'Grid_Requirement'!BG64</f>
        <v/>
      </c>
      <c r="BK1672">
        <f>'Grid_Requirement'!BH64</f>
        <v/>
      </c>
      <c r="BL1672">
        <f>'Grid_Requirement'!BI64</f>
        <v/>
      </c>
      <c r="BM1672">
        <f>'Grid_Requirement'!BJ64</f>
        <v/>
      </c>
      <c r="BN1672">
        <f>'Grid_Requirement'!BK64</f>
        <v/>
      </c>
      <c r="BO1672">
        <f>'Grid_Requirement'!BL64</f>
        <v/>
      </c>
      <c r="BP1672">
        <f>'Grid_Requirement'!BM64</f>
        <v/>
      </c>
      <c r="BQ1672">
        <f>'Grid_Requirement'!BN64</f>
        <v/>
      </c>
      <c r="BR1672">
        <f>'Grid_Requirement'!BO64</f>
        <v/>
      </c>
      <c r="BS1672">
        <f>'Grid_Requirement'!BP64</f>
        <v/>
      </c>
      <c r="BT1672">
        <f>'Grid_Requirement'!BQ64</f>
        <v/>
      </c>
      <c r="BU1672">
        <f>'Grid_Requirement'!BR64</f>
        <v/>
      </c>
      <c r="BV1672">
        <f>'Grid_Requirement'!BS64</f>
        <v/>
      </c>
      <c r="BW1672">
        <f>'Grid_Requirement'!BT64</f>
        <v/>
      </c>
      <c r="BX1672">
        <f>'Grid_Requirement'!BU64</f>
        <v/>
      </c>
      <c r="BY1672">
        <f>'Grid_Requirement'!BV64</f>
        <v/>
      </c>
      <c r="BZ1672">
        <f>'Grid_Requirement'!BW64</f>
        <v/>
      </c>
      <c r="CA1672">
        <f>'Grid_Requirement'!BX64</f>
        <v/>
      </c>
      <c r="CB1672">
        <f>'Grid_Requirement'!BY64</f>
        <v/>
      </c>
      <c r="CC1672">
        <f>'Grid_Requirement'!BZ64</f>
        <v/>
      </c>
      <c r="CD1672">
        <f>'Grid_Requirement'!CA64</f>
        <v/>
      </c>
      <c r="CE1672">
        <f>'Grid_Requirement'!CB64</f>
        <v/>
      </c>
      <c r="CF1672">
        <f>'Grid_Requirement'!CC64</f>
        <v/>
      </c>
      <c r="CG1672">
        <f>'Grid_Requirement'!CD64</f>
        <v/>
      </c>
      <c r="CH1672">
        <f>'Grid_Requirement'!CE64</f>
        <v/>
      </c>
      <c r="CI1672">
        <f>'Grid_Requirement'!CF64</f>
        <v/>
      </c>
      <c r="CJ1672">
        <f>'Grid_Requirement'!CG64</f>
        <v/>
      </c>
      <c r="CK1672">
        <f>'Grid_Requirement'!CH64</f>
        <v/>
      </c>
      <c r="CL1672">
        <f>'Grid_Requirement'!CI64</f>
        <v/>
      </c>
      <c r="CM1672">
        <f>'Grid_Requirement'!CJ64</f>
        <v/>
      </c>
      <c r="CN1672">
        <f>'Grid_Requirement'!CK64</f>
        <v/>
      </c>
      <c r="CO1672">
        <f>'Grid_Requirement'!CL64</f>
        <v/>
      </c>
      <c r="CP1672">
        <f>'Grid_Requirement'!CM64</f>
        <v/>
      </c>
      <c r="CQ1672">
        <f>'Grid_Requirement'!CN64</f>
        <v/>
      </c>
      <c r="CR1672">
        <f>'Grid_Requirement'!CO64</f>
        <v/>
      </c>
      <c r="CS1672">
        <f>'Grid_Requirement'!CP64</f>
        <v/>
      </c>
      <c r="CT1672">
        <f>'Grid_Requirement'!CQ64</f>
        <v/>
      </c>
      <c r="CU1672">
        <f>'Grid_Requirement'!CR64</f>
        <v/>
      </c>
      <c r="CV1672">
        <f>'Grid_Requirement'!CS64</f>
        <v/>
      </c>
      <c r="CW1672">
        <f>'Grid_Requirement'!CT64</f>
        <v/>
      </c>
      <c r="CX1672">
        <f>'Grid_Requirement'!CU64</f>
        <v/>
      </c>
      <c r="CY1672">
        <f>'Grid_Requirement'!CV64</f>
        <v/>
      </c>
      <c r="CZ1672">
        <f>'Grid_Requirement'!CW64</f>
        <v/>
      </c>
      <c r="DA1672">
        <f>'Grid_Requirement'!CX64</f>
        <v/>
      </c>
      <c r="DB1672">
        <f>'Grid_Requirement'!CY64</f>
        <v/>
      </c>
      <c r="DC1672">
        <f>'Grid_Requirement'!CZ64</f>
        <v/>
      </c>
      <c r="DD1672">
        <f>'Grid_Requirement'!DA64</f>
        <v/>
      </c>
    </row>
    <row r="1673">
      <c r="B1673" t="inlineStr">
        <is>
          <t>TTAF在庫(実績,kg)</t>
        </is>
      </c>
      <c r="D1673">
        <f>IFERROR(INDEX(E1673:DD1673,$F$1),"")</f>
        <v/>
      </c>
      <c r="E1673">
        <f>IFERROR(SUMIFS(T_TTAFStock[TTAF_Qty],T_TTAFStock[RM_Code],$A1669,T_TTAFStock[WeekIndex],1),"")</f>
        <v/>
      </c>
      <c r="F1673">
        <f>IFERROR(SUMIFS(T_TTAFStock[TTAF_Qty],T_TTAFStock[RM_Code],$A1669,T_TTAFStock[WeekIndex],2),"")</f>
        <v/>
      </c>
      <c r="G1673">
        <f>IFERROR(SUMIFS(T_TTAFStock[TTAF_Qty],T_TTAFStock[RM_Code],$A1669,T_TTAFStock[WeekIndex],3),"")</f>
        <v/>
      </c>
      <c r="H1673">
        <f>IFERROR(SUMIFS(T_TTAFStock[TTAF_Qty],T_TTAFStock[RM_Code],$A1669,T_TTAFStock[WeekIndex],4),"")</f>
        <v/>
      </c>
      <c r="I1673">
        <f>IFERROR(SUMIFS(T_TTAFStock[TTAF_Qty],T_TTAFStock[RM_Code],$A1669,T_TTAFStock[WeekIndex],5),"")</f>
        <v/>
      </c>
      <c r="J1673">
        <f>IFERROR(SUMIFS(T_TTAFStock[TTAF_Qty],T_TTAFStock[RM_Code],$A1669,T_TTAFStock[WeekIndex],6),"")</f>
        <v/>
      </c>
      <c r="K1673">
        <f>IFERROR(SUMIFS(T_TTAFStock[TTAF_Qty],T_TTAFStock[RM_Code],$A1669,T_TTAFStock[WeekIndex],7),"")</f>
        <v/>
      </c>
      <c r="L1673">
        <f>IFERROR(SUMIFS(T_TTAFStock[TTAF_Qty],T_TTAFStock[RM_Code],$A1669,T_TTAFStock[WeekIndex],8),"")</f>
        <v/>
      </c>
      <c r="M1673">
        <f>IFERROR(SUMIFS(T_TTAFStock[TTAF_Qty],T_TTAFStock[RM_Code],$A1669,T_TTAFStock[WeekIndex],9),"")</f>
        <v/>
      </c>
      <c r="N1673">
        <f>IFERROR(SUMIFS(T_TTAFStock[TTAF_Qty],T_TTAFStock[RM_Code],$A1669,T_TTAFStock[WeekIndex],10),"")</f>
        <v/>
      </c>
      <c r="O1673">
        <f>IFERROR(SUMIFS(T_TTAFStock[TTAF_Qty],T_TTAFStock[RM_Code],$A1669,T_TTAFStock[WeekIndex],11),"")</f>
        <v/>
      </c>
      <c r="P1673">
        <f>IFERROR(SUMIFS(T_TTAFStock[TTAF_Qty],T_TTAFStock[RM_Code],$A1669,T_TTAFStock[WeekIndex],12),"")</f>
        <v/>
      </c>
      <c r="Q1673">
        <f>IFERROR(SUMIFS(T_TTAFStock[TTAF_Qty],T_TTAFStock[RM_Code],$A1669,T_TTAFStock[WeekIndex],13),"")</f>
        <v/>
      </c>
      <c r="R1673">
        <f>IFERROR(SUMIFS(T_TTAFStock[TTAF_Qty],T_TTAFStock[RM_Code],$A1669,T_TTAFStock[WeekIndex],14),"")</f>
        <v/>
      </c>
      <c r="S1673">
        <f>IFERROR(SUMIFS(T_TTAFStock[TTAF_Qty],T_TTAFStock[RM_Code],$A1669,T_TTAFStock[WeekIndex],15),"")</f>
        <v/>
      </c>
      <c r="T1673">
        <f>IFERROR(SUMIFS(T_TTAFStock[TTAF_Qty],T_TTAFStock[RM_Code],$A1669,T_TTAFStock[WeekIndex],16),"")</f>
        <v/>
      </c>
      <c r="U1673">
        <f>IFERROR(SUMIFS(T_TTAFStock[TTAF_Qty],T_TTAFStock[RM_Code],$A1669,T_TTAFStock[WeekIndex],17),"")</f>
        <v/>
      </c>
      <c r="V1673">
        <f>IFERROR(SUMIFS(T_TTAFStock[TTAF_Qty],T_TTAFStock[RM_Code],$A1669,T_TTAFStock[WeekIndex],18),"")</f>
        <v/>
      </c>
      <c r="W1673">
        <f>IFERROR(SUMIFS(T_TTAFStock[TTAF_Qty],T_TTAFStock[RM_Code],$A1669,T_TTAFStock[WeekIndex],19),"")</f>
        <v/>
      </c>
      <c r="X1673">
        <f>IFERROR(SUMIFS(T_TTAFStock[TTAF_Qty],T_TTAFStock[RM_Code],$A1669,T_TTAFStock[WeekIndex],20),"")</f>
        <v/>
      </c>
      <c r="Y1673">
        <f>IFERROR(SUMIFS(T_TTAFStock[TTAF_Qty],T_TTAFStock[RM_Code],$A1669,T_TTAFStock[WeekIndex],21),"")</f>
        <v/>
      </c>
      <c r="Z1673">
        <f>IFERROR(SUMIFS(T_TTAFStock[TTAF_Qty],T_TTAFStock[RM_Code],$A1669,T_TTAFStock[WeekIndex],22),"")</f>
        <v/>
      </c>
      <c r="AA1673">
        <f>IFERROR(SUMIFS(T_TTAFStock[TTAF_Qty],T_TTAFStock[RM_Code],$A1669,T_TTAFStock[WeekIndex],23),"")</f>
        <v/>
      </c>
      <c r="AB1673">
        <f>IFERROR(SUMIFS(T_TTAFStock[TTAF_Qty],T_TTAFStock[RM_Code],$A1669,T_TTAFStock[WeekIndex],24),"")</f>
        <v/>
      </c>
      <c r="AC1673">
        <f>IFERROR(SUMIFS(T_TTAFStock[TTAF_Qty],T_TTAFStock[RM_Code],$A1669,T_TTAFStock[WeekIndex],25),"")</f>
        <v/>
      </c>
      <c r="AD1673">
        <f>IFERROR(SUMIFS(T_TTAFStock[TTAF_Qty],T_TTAFStock[RM_Code],$A1669,T_TTAFStock[WeekIndex],26),"")</f>
        <v/>
      </c>
      <c r="AE1673">
        <f>IFERROR(SUMIFS(T_TTAFStock[TTAF_Qty],T_TTAFStock[RM_Code],$A1669,T_TTAFStock[WeekIndex],27),"")</f>
        <v/>
      </c>
      <c r="AF1673">
        <f>IFERROR(SUMIFS(T_TTAFStock[TTAF_Qty],T_TTAFStock[RM_Code],$A1669,T_TTAFStock[WeekIndex],28),"")</f>
        <v/>
      </c>
      <c r="AG1673">
        <f>IFERROR(SUMIFS(T_TTAFStock[TTAF_Qty],T_TTAFStock[RM_Code],$A1669,T_TTAFStock[WeekIndex],29),"")</f>
        <v/>
      </c>
      <c r="AH1673">
        <f>IFERROR(SUMIFS(T_TTAFStock[TTAF_Qty],T_TTAFStock[RM_Code],$A1669,T_TTAFStock[WeekIndex],30),"")</f>
        <v/>
      </c>
      <c r="AI1673">
        <f>IFERROR(SUMIFS(T_TTAFStock[TTAF_Qty],T_TTAFStock[RM_Code],$A1669,T_TTAFStock[WeekIndex],31),"")</f>
        <v/>
      </c>
      <c r="AJ1673">
        <f>IFERROR(SUMIFS(T_TTAFStock[TTAF_Qty],T_TTAFStock[RM_Code],$A1669,T_TTAFStock[WeekIndex],32),"")</f>
        <v/>
      </c>
      <c r="AK1673">
        <f>IFERROR(SUMIFS(T_TTAFStock[TTAF_Qty],T_TTAFStock[RM_Code],$A1669,T_TTAFStock[WeekIndex],33),"")</f>
        <v/>
      </c>
      <c r="AL1673">
        <f>IFERROR(SUMIFS(T_TTAFStock[TTAF_Qty],T_TTAFStock[RM_Code],$A1669,T_TTAFStock[WeekIndex],34),"")</f>
        <v/>
      </c>
      <c r="AM1673">
        <f>IFERROR(SUMIFS(T_TTAFStock[TTAF_Qty],T_TTAFStock[RM_Code],$A1669,T_TTAFStock[WeekIndex],35),"")</f>
        <v/>
      </c>
      <c r="AN1673">
        <f>IFERROR(SUMIFS(T_TTAFStock[TTAF_Qty],T_TTAFStock[RM_Code],$A1669,T_TTAFStock[WeekIndex],36),"")</f>
        <v/>
      </c>
      <c r="AO1673">
        <f>IFERROR(SUMIFS(T_TTAFStock[TTAF_Qty],T_TTAFStock[RM_Code],$A1669,T_TTAFStock[WeekIndex],37),"")</f>
        <v/>
      </c>
      <c r="AP1673">
        <f>IFERROR(SUMIFS(T_TTAFStock[TTAF_Qty],T_TTAFStock[RM_Code],$A1669,T_TTAFStock[WeekIndex],38),"")</f>
        <v/>
      </c>
      <c r="AQ1673">
        <f>IFERROR(SUMIFS(T_TTAFStock[TTAF_Qty],T_TTAFStock[RM_Code],$A1669,T_TTAFStock[WeekIndex],39),"")</f>
        <v/>
      </c>
      <c r="AR1673">
        <f>IFERROR(SUMIFS(T_TTAFStock[TTAF_Qty],T_TTAFStock[RM_Code],$A1669,T_TTAFStock[WeekIndex],40),"")</f>
        <v/>
      </c>
      <c r="AS1673">
        <f>IFERROR(SUMIFS(T_TTAFStock[TTAF_Qty],T_TTAFStock[RM_Code],$A1669,T_TTAFStock[WeekIndex],41),"")</f>
        <v/>
      </c>
      <c r="AT1673">
        <f>IFERROR(SUMIFS(T_TTAFStock[TTAF_Qty],T_TTAFStock[RM_Code],$A1669,T_TTAFStock[WeekIndex],42),"")</f>
        <v/>
      </c>
      <c r="AU1673">
        <f>IFERROR(SUMIFS(T_TTAFStock[TTAF_Qty],T_TTAFStock[RM_Code],$A1669,T_TTAFStock[WeekIndex],43),"")</f>
        <v/>
      </c>
      <c r="AV1673">
        <f>IFERROR(SUMIFS(T_TTAFStock[TTAF_Qty],T_TTAFStock[RM_Code],$A1669,T_TTAFStock[WeekIndex],44),"")</f>
        <v/>
      </c>
      <c r="AW1673">
        <f>IFERROR(SUMIFS(T_TTAFStock[TTAF_Qty],T_TTAFStock[RM_Code],$A1669,T_TTAFStock[WeekIndex],45),"")</f>
        <v/>
      </c>
      <c r="AX1673">
        <f>IFERROR(SUMIFS(T_TTAFStock[TTAF_Qty],T_TTAFStock[RM_Code],$A1669,T_TTAFStock[WeekIndex],46),"")</f>
        <v/>
      </c>
      <c r="AY1673">
        <f>IFERROR(SUMIFS(T_TTAFStock[TTAF_Qty],T_TTAFStock[RM_Code],$A1669,T_TTAFStock[WeekIndex],47),"")</f>
        <v/>
      </c>
      <c r="AZ1673">
        <f>IFERROR(SUMIFS(T_TTAFStock[TTAF_Qty],T_TTAFStock[RM_Code],$A1669,T_TTAFStock[WeekIndex],48),"")</f>
        <v/>
      </c>
      <c r="BA1673">
        <f>IFERROR(SUMIFS(T_TTAFStock[TTAF_Qty],T_TTAFStock[RM_Code],$A1669,T_TTAFStock[WeekIndex],49),"")</f>
        <v/>
      </c>
      <c r="BB1673">
        <f>IFERROR(SUMIFS(T_TTAFStock[TTAF_Qty],T_TTAFStock[RM_Code],$A1669,T_TTAFStock[WeekIndex],50),"")</f>
        <v/>
      </c>
      <c r="BC1673">
        <f>IFERROR(SUMIFS(T_TTAFStock[TTAF_Qty],T_TTAFStock[RM_Code],$A1669,T_TTAFStock[WeekIndex],51),"")</f>
        <v/>
      </c>
      <c r="BD1673">
        <f>IFERROR(SUMIFS(T_TTAFStock[TTAF_Qty],T_TTAFStock[RM_Code],$A1669,T_TTAFStock[WeekIndex],52),"")</f>
        <v/>
      </c>
      <c r="BE1673">
        <f>IFERROR(SUMIFS(T_TTAFStock[TTAF_Qty],T_TTAFStock[RM_Code],$A1669,T_TTAFStock[WeekIndex],53),"")</f>
        <v/>
      </c>
      <c r="BF1673">
        <f>IFERROR(SUMIFS(T_TTAFStock[TTAF_Qty],T_TTAFStock[RM_Code],$A1669,T_TTAFStock[WeekIndex],54),"")</f>
        <v/>
      </c>
      <c r="BG1673">
        <f>IFERROR(SUMIFS(T_TTAFStock[TTAF_Qty],T_TTAFStock[RM_Code],$A1669,T_TTAFStock[WeekIndex],55),"")</f>
        <v/>
      </c>
      <c r="BH1673">
        <f>IFERROR(SUMIFS(T_TTAFStock[TTAF_Qty],T_TTAFStock[RM_Code],$A1669,T_TTAFStock[WeekIndex],56),"")</f>
        <v/>
      </c>
      <c r="BI1673">
        <f>IFERROR(SUMIFS(T_TTAFStock[TTAF_Qty],T_TTAFStock[RM_Code],$A1669,T_TTAFStock[WeekIndex],57),"")</f>
        <v/>
      </c>
      <c r="BJ1673">
        <f>IFERROR(SUMIFS(T_TTAFStock[TTAF_Qty],T_TTAFStock[RM_Code],$A1669,T_TTAFStock[WeekIndex],58),"")</f>
        <v/>
      </c>
      <c r="BK1673">
        <f>IFERROR(SUMIFS(T_TTAFStock[TTAF_Qty],T_TTAFStock[RM_Code],$A1669,T_TTAFStock[WeekIndex],59),"")</f>
        <v/>
      </c>
      <c r="BL1673">
        <f>IFERROR(SUMIFS(T_TTAFStock[TTAF_Qty],T_TTAFStock[RM_Code],$A1669,T_TTAFStock[WeekIndex],60),"")</f>
        <v/>
      </c>
      <c r="BM1673">
        <f>IFERROR(SUMIFS(T_TTAFStock[TTAF_Qty],T_TTAFStock[RM_Code],$A1669,T_TTAFStock[WeekIndex],61),"")</f>
        <v/>
      </c>
      <c r="BN1673">
        <f>IFERROR(SUMIFS(T_TTAFStock[TTAF_Qty],T_TTAFStock[RM_Code],$A1669,T_TTAFStock[WeekIndex],62),"")</f>
        <v/>
      </c>
      <c r="BO1673">
        <f>IFERROR(SUMIFS(T_TTAFStock[TTAF_Qty],T_TTAFStock[RM_Code],$A1669,T_TTAFStock[WeekIndex],63),"")</f>
        <v/>
      </c>
      <c r="BP1673">
        <f>IFERROR(SUMIFS(T_TTAFStock[TTAF_Qty],T_TTAFStock[RM_Code],$A1669,T_TTAFStock[WeekIndex],64),"")</f>
        <v/>
      </c>
      <c r="BQ1673">
        <f>IFERROR(SUMIFS(T_TTAFStock[TTAF_Qty],T_TTAFStock[RM_Code],$A1669,T_TTAFStock[WeekIndex],65),"")</f>
        <v/>
      </c>
      <c r="BR1673">
        <f>IFERROR(SUMIFS(T_TTAFStock[TTAF_Qty],T_TTAFStock[RM_Code],$A1669,T_TTAFStock[WeekIndex],66),"")</f>
        <v/>
      </c>
      <c r="BS1673">
        <f>IFERROR(SUMIFS(T_TTAFStock[TTAF_Qty],T_TTAFStock[RM_Code],$A1669,T_TTAFStock[WeekIndex],67),"")</f>
        <v/>
      </c>
      <c r="BT1673">
        <f>IFERROR(SUMIFS(T_TTAFStock[TTAF_Qty],T_TTAFStock[RM_Code],$A1669,T_TTAFStock[WeekIndex],68),"")</f>
        <v/>
      </c>
      <c r="BU1673">
        <f>IFERROR(SUMIFS(T_TTAFStock[TTAF_Qty],T_TTAFStock[RM_Code],$A1669,T_TTAFStock[WeekIndex],69),"")</f>
        <v/>
      </c>
      <c r="BV1673">
        <f>IFERROR(SUMIFS(T_TTAFStock[TTAF_Qty],T_TTAFStock[RM_Code],$A1669,T_TTAFStock[WeekIndex],70),"")</f>
        <v/>
      </c>
      <c r="BW1673">
        <f>IFERROR(SUMIFS(T_TTAFStock[TTAF_Qty],T_TTAFStock[RM_Code],$A1669,T_TTAFStock[WeekIndex],71),"")</f>
        <v/>
      </c>
      <c r="BX1673">
        <f>IFERROR(SUMIFS(T_TTAFStock[TTAF_Qty],T_TTAFStock[RM_Code],$A1669,T_TTAFStock[WeekIndex],72),"")</f>
        <v/>
      </c>
      <c r="BY1673">
        <f>IFERROR(SUMIFS(T_TTAFStock[TTAF_Qty],T_TTAFStock[RM_Code],$A1669,T_TTAFStock[WeekIndex],73),"")</f>
        <v/>
      </c>
      <c r="BZ1673">
        <f>IFERROR(SUMIFS(T_TTAFStock[TTAF_Qty],T_TTAFStock[RM_Code],$A1669,T_TTAFStock[WeekIndex],74),"")</f>
        <v/>
      </c>
      <c r="CA1673">
        <f>IFERROR(SUMIFS(T_TTAFStock[TTAF_Qty],T_TTAFStock[RM_Code],$A1669,T_TTAFStock[WeekIndex],75),"")</f>
        <v/>
      </c>
      <c r="CB1673">
        <f>IFERROR(SUMIFS(T_TTAFStock[TTAF_Qty],T_TTAFStock[RM_Code],$A1669,T_TTAFStock[WeekIndex],76),"")</f>
        <v/>
      </c>
      <c r="CC1673">
        <f>IFERROR(SUMIFS(T_TTAFStock[TTAF_Qty],T_TTAFStock[RM_Code],$A1669,T_TTAFStock[WeekIndex],77),"")</f>
        <v/>
      </c>
      <c r="CD1673">
        <f>IFERROR(SUMIFS(T_TTAFStock[TTAF_Qty],T_TTAFStock[RM_Code],$A1669,T_TTAFStock[WeekIndex],78),"")</f>
        <v/>
      </c>
      <c r="CE1673">
        <f>IFERROR(SUMIFS(T_TTAFStock[TTAF_Qty],T_TTAFStock[RM_Code],$A1669,T_TTAFStock[WeekIndex],79),"")</f>
        <v/>
      </c>
      <c r="CF1673">
        <f>IFERROR(SUMIFS(T_TTAFStock[TTAF_Qty],T_TTAFStock[RM_Code],$A1669,T_TTAFStock[WeekIndex],80),"")</f>
        <v/>
      </c>
      <c r="CG1673">
        <f>IFERROR(SUMIFS(T_TTAFStock[TTAF_Qty],T_TTAFStock[RM_Code],$A1669,T_TTAFStock[WeekIndex],81),"")</f>
        <v/>
      </c>
      <c r="CH1673">
        <f>IFERROR(SUMIFS(T_TTAFStock[TTAF_Qty],T_TTAFStock[RM_Code],$A1669,T_TTAFStock[WeekIndex],82),"")</f>
        <v/>
      </c>
      <c r="CI1673">
        <f>IFERROR(SUMIFS(T_TTAFStock[TTAF_Qty],T_TTAFStock[RM_Code],$A1669,T_TTAFStock[WeekIndex],83),"")</f>
        <v/>
      </c>
      <c r="CJ1673">
        <f>IFERROR(SUMIFS(T_TTAFStock[TTAF_Qty],T_TTAFStock[RM_Code],$A1669,T_TTAFStock[WeekIndex],84),"")</f>
        <v/>
      </c>
      <c r="CK1673">
        <f>IFERROR(SUMIFS(T_TTAFStock[TTAF_Qty],T_TTAFStock[RM_Code],$A1669,T_TTAFStock[WeekIndex],85),"")</f>
        <v/>
      </c>
      <c r="CL1673">
        <f>IFERROR(SUMIFS(T_TTAFStock[TTAF_Qty],T_TTAFStock[RM_Code],$A1669,T_TTAFStock[WeekIndex],86),"")</f>
        <v/>
      </c>
      <c r="CM1673">
        <f>IFERROR(SUMIFS(T_TTAFStock[TTAF_Qty],T_TTAFStock[RM_Code],$A1669,T_TTAFStock[WeekIndex],87),"")</f>
        <v/>
      </c>
      <c r="CN1673">
        <f>IFERROR(SUMIFS(T_TTAFStock[TTAF_Qty],T_TTAFStock[RM_Code],$A1669,T_TTAFStock[WeekIndex],88),"")</f>
        <v/>
      </c>
      <c r="CO1673">
        <f>IFERROR(SUMIFS(T_TTAFStock[TTAF_Qty],T_TTAFStock[RM_Code],$A1669,T_TTAFStock[WeekIndex],89),"")</f>
        <v/>
      </c>
      <c r="CP1673">
        <f>IFERROR(SUMIFS(T_TTAFStock[TTAF_Qty],T_TTAFStock[RM_Code],$A1669,T_TTAFStock[WeekIndex],90),"")</f>
        <v/>
      </c>
      <c r="CQ1673">
        <f>IFERROR(SUMIFS(T_TTAFStock[TTAF_Qty],T_TTAFStock[RM_Code],$A1669,T_TTAFStock[WeekIndex],91),"")</f>
        <v/>
      </c>
      <c r="CR1673">
        <f>IFERROR(SUMIFS(T_TTAFStock[TTAF_Qty],T_TTAFStock[RM_Code],$A1669,T_TTAFStock[WeekIndex],92),"")</f>
        <v/>
      </c>
      <c r="CS1673">
        <f>IFERROR(SUMIFS(T_TTAFStock[TTAF_Qty],T_TTAFStock[RM_Code],$A1669,T_TTAFStock[WeekIndex],93),"")</f>
        <v/>
      </c>
      <c r="CT1673">
        <f>IFERROR(SUMIFS(T_TTAFStock[TTAF_Qty],T_TTAFStock[RM_Code],$A1669,T_TTAFStock[WeekIndex],94),"")</f>
        <v/>
      </c>
      <c r="CU1673">
        <f>IFERROR(SUMIFS(T_TTAFStock[TTAF_Qty],T_TTAFStock[RM_Code],$A1669,T_TTAFStock[WeekIndex],95),"")</f>
        <v/>
      </c>
      <c r="CV1673">
        <f>IFERROR(SUMIFS(T_TTAFStock[TTAF_Qty],T_TTAFStock[RM_Code],$A1669,T_TTAFStock[WeekIndex],96),"")</f>
        <v/>
      </c>
      <c r="CW1673">
        <f>IFERROR(SUMIFS(T_TTAFStock[TTAF_Qty],T_TTAFStock[RM_Code],$A1669,T_TTAFStock[WeekIndex],97),"")</f>
        <v/>
      </c>
      <c r="CX1673">
        <f>IFERROR(SUMIFS(T_TTAFStock[TTAF_Qty],T_TTAFStock[RM_Code],$A1669,T_TTAFStock[WeekIndex],98),"")</f>
        <v/>
      </c>
      <c r="CY1673">
        <f>IFERROR(SUMIFS(T_TTAFStock[TTAF_Qty],T_TTAFStock[RM_Code],$A1669,T_TTAFStock[WeekIndex],99),"")</f>
        <v/>
      </c>
      <c r="CZ1673">
        <f>IFERROR(SUMIFS(T_TTAFStock[TTAF_Qty],T_TTAFStock[RM_Code],$A1669,T_TTAFStock[WeekIndex],100),"")</f>
        <v/>
      </c>
      <c r="DA1673">
        <f>IFERROR(SUMIFS(T_TTAFStock[TTAF_Qty],T_TTAFStock[RM_Code],$A1669,T_TTAFStock[WeekIndex],101),"")</f>
        <v/>
      </c>
      <c r="DB1673">
        <f>IFERROR(SUMIFS(T_TTAFStock[TTAF_Qty],T_TTAFStock[RM_Code],$A1669,T_TTAFStock[WeekIndex],102),"")</f>
        <v/>
      </c>
      <c r="DC1673">
        <f>IFERROR(SUMIFS(T_TTAFStock[TTAF_Qty],T_TTAFStock[RM_Code],$A1669,T_TTAFStock[WeekIndex],103),"")</f>
        <v/>
      </c>
      <c r="DD1673">
        <f>IFERROR(SUMIFS(T_TTAFStock[TTAF_Qty],T_TTAFStock[RM_Code],$A1669,T_TTAFStock[WeekIndex],104),"")</f>
        <v/>
      </c>
    </row>
    <row r="1674">
      <c r="B1674" t="inlineStr">
        <is>
          <t>自社在庫(実績,kg)</t>
        </is>
      </c>
      <c r="D1674">
        <f>IFERROR(INDEX(E1674:DD1674,$F$1),"")</f>
        <v/>
      </c>
      <c r="E1674">
        <f>IFERROR(SUMIFS(T_SelfStock[Self_Qty],T_SelfStock[RM_Code],$A1669,T_SelfStock[WeekIndex],1),"")</f>
        <v/>
      </c>
      <c r="F1674">
        <f>IFERROR(SUMIFS(T_SelfStock[Self_Qty],T_SelfStock[RM_Code],$A1669,T_SelfStock[WeekIndex],2),"")</f>
        <v/>
      </c>
      <c r="G1674">
        <f>IFERROR(SUMIFS(T_SelfStock[Self_Qty],T_SelfStock[RM_Code],$A1669,T_SelfStock[WeekIndex],3),"")</f>
        <v/>
      </c>
      <c r="H1674">
        <f>IFERROR(SUMIFS(T_SelfStock[Self_Qty],T_SelfStock[RM_Code],$A1669,T_SelfStock[WeekIndex],4),"")</f>
        <v/>
      </c>
      <c r="I1674">
        <f>IFERROR(SUMIFS(T_SelfStock[Self_Qty],T_SelfStock[RM_Code],$A1669,T_SelfStock[WeekIndex],5),"")</f>
        <v/>
      </c>
      <c r="J1674">
        <f>IFERROR(SUMIFS(T_SelfStock[Self_Qty],T_SelfStock[RM_Code],$A1669,T_SelfStock[WeekIndex],6),"")</f>
        <v/>
      </c>
      <c r="K1674">
        <f>IFERROR(SUMIFS(T_SelfStock[Self_Qty],T_SelfStock[RM_Code],$A1669,T_SelfStock[WeekIndex],7),"")</f>
        <v/>
      </c>
      <c r="L1674">
        <f>IFERROR(SUMIFS(T_SelfStock[Self_Qty],T_SelfStock[RM_Code],$A1669,T_SelfStock[WeekIndex],8),"")</f>
        <v/>
      </c>
      <c r="M1674">
        <f>IFERROR(SUMIFS(T_SelfStock[Self_Qty],T_SelfStock[RM_Code],$A1669,T_SelfStock[WeekIndex],9),"")</f>
        <v/>
      </c>
      <c r="N1674">
        <f>IFERROR(SUMIFS(T_SelfStock[Self_Qty],T_SelfStock[RM_Code],$A1669,T_SelfStock[WeekIndex],10),"")</f>
        <v/>
      </c>
      <c r="O1674">
        <f>IFERROR(SUMIFS(T_SelfStock[Self_Qty],T_SelfStock[RM_Code],$A1669,T_SelfStock[WeekIndex],11),"")</f>
        <v/>
      </c>
      <c r="P1674">
        <f>IFERROR(SUMIFS(T_SelfStock[Self_Qty],T_SelfStock[RM_Code],$A1669,T_SelfStock[WeekIndex],12),"")</f>
        <v/>
      </c>
      <c r="Q1674">
        <f>IFERROR(SUMIFS(T_SelfStock[Self_Qty],T_SelfStock[RM_Code],$A1669,T_SelfStock[WeekIndex],13),"")</f>
        <v/>
      </c>
      <c r="R1674">
        <f>IFERROR(SUMIFS(T_SelfStock[Self_Qty],T_SelfStock[RM_Code],$A1669,T_SelfStock[WeekIndex],14),"")</f>
        <v/>
      </c>
      <c r="S1674">
        <f>IFERROR(SUMIFS(T_SelfStock[Self_Qty],T_SelfStock[RM_Code],$A1669,T_SelfStock[WeekIndex],15),"")</f>
        <v/>
      </c>
      <c r="T1674">
        <f>IFERROR(SUMIFS(T_SelfStock[Self_Qty],T_SelfStock[RM_Code],$A1669,T_SelfStock[WeekIndex],16),"")</f>
        <v/>
      </c>
      <c r="U1674">
        <f>IFERROR(SUMIFS(T_SelfStock[Self_Qty],T_SelfStock[RM_Code],$A1669,T_SelfStock[WeekIndex],17),"")</f>
        <v/>
      </c>
      <c r="V1674">
        <f>IFERROR(SUMIFS(T_SelfStock[Self_Qty],T_SelfStock[RM_Code],$A1669,T_SelfStock[WeekIndex],18),"")</f>
        <v/>
      </c>
      <c r="W1674">
        <f>IFERROR(SUMIFS(T_SelfStock[Self_Qty],T_SelfStock[RM_Code],$A1669,T_SelfStock[WeekIndex],19),"")</f>
        <v/>
      </c>
      <c r="X1674">
        <f>IFERROR(SUMIFS(T_SelfStock[Self_Qty],T_SelfStock[RM_Code],$A1669,T_SelfStock[WeekIndex],20),"")</f>
        <v/>
      </c>
      <c r="Y1674">
        <f>IFERROR(SUMIFS(T_SelfStock[Self_Qty],T_SelfStock[RM_Code],$A1669,T_SelfStock[WeekIndex],21),"")</f>
        <v/>
      </c>
      <c r="Z1674">
        <f>IFERROR(SUMIFS(T_SelfStock[Self_Qty],T_SelfStock[RM_Code],$A1669,T_SelfStock[WeekIndex],22),"")</f>
        <v/>
      </c>
      <c r="AA1674">
        <f>IFERROR(SUMIFS(T_SelfStock[Self_Qty],T_SelfStock[RM_Code],$A1669,T_SelfStock[WeekIndex],23),"")</f>
        <v/>
      </c>
      <c r="AB1674">
        <f>IFERROR(SUMIFS(T_SelfStock[Self_Qty],T_SelfStock[RM_Code],$A1669,T_SelfStock[WeekIndex],24),"")</f>
        <v/>
      </c>
      <c r="AC1674">
        <f>IFERROR(SUMIFS(T_SelfStock[Self_Qty],T_SelfStock[RM_Code],$A1669,T_SelfStock[WeekIndex],25),"")</f>
        <v/>
      </c>
      <c r="AD1674">
        <f>IFERROR(SUMIFS(T_SelfStock[Self_Qty],T_SelfStock[RM_Code],$A1669,T_SelfStock[WeekIndex],26),"")</f>
        <v/>
      </c>
      <c r="AE1674">
        <f>IFERROR(SUMIFS(T_SelfStock[Self_Qty],T_SelfStock[RM_Code],$A1669,T_SelfStock[WeekIndex],27),"")</f>
        <v/>
      </c>
      <c r="AF1674">
        <f>IFERROR(SUMIFS(T_SelfStock[Self_Qty],T_SelfStock[RM_Code],$A1669,T_SelfStock[WeekIndex],28),"")</f>
        <v/>
      </c>
      <c r="AG1674">
        <f>IFERROR(SUMIFS(T_SelfStock[Self_Qty],T_SelfStock[RM_Code],$A1669,T_SelfStock[WeekIndex],29),"")</f>
        <v/>
      </c>
      <c r="AH1674">
        <f>IFERROR(SUMIFS(T_SelfStock[Self_Qty],T_SelfStock[RM_Code],$A1669,T_SelfStock[WeekIndex],30),"")</f>
        <v/>
      </c>
      <c r="AI1674">
        <f>IFERROR(SUMIFS(T_SelfStock[Self_Qty],T_SelfStock[RM_Code],$A1669,T_SelfStock[WeekIndex],31),"")</f>
        <v/>
      </c>
      <c r="AJ1674">
        <f>IFERROR(SUMIFS(T_SelfStock[Self_Qty],T_SelfStock[RM_Code],$A1669,T_SelfStock[WeekIndex],32),"")</f>
        <v/>
      </c>
      <c r="AK1674">
        <f>IFERROR(SUMIFS(T_SelfStock[Self_Qty],T_SelfStock[RM_Code],$A1669,T_SelfStock[WeekIndex],33),"")</f>
        <v/>
      </c>
      <c r="AL1674">
        <f>IFERROR(SUMIFS(T_SelfStock[Self_Qty],T_SelfStock[RM_Code],$A1669,T_SelfStock[WeekIndex],34),"")</f>
        <v/>
      </c>
      <c r="AM1674">
        <f>IFERROR(SUMIFS(T_SelfStock[Self_Qty],T_SelfStock[RM_Code],$A1669,T_SelfStock[WeekIndex],35),"")</f>
        <v/>
      </c>
      <c r="AN1674">
        <f>IFERROR(SUMIFS(T_SelfStock[Self_Qty],T_SelfStock[RM_Code],$A1669,T_SelfStock[WeekIndex],36),"")</f>
        <v/>
      </c>
      <c r="AO1674">
        <f>IFERROR(SUMIFS(T_SelfStock[Self_Qty],T_SelfStock[RM_Code],$A1669,T_SelfStock[WeekIndex],37),"")</f>
        <v/>
      </c>
      <c r="AP1674">
        <f>IFERROR(SUMIFS(T_SelfStock[Self_Qty],T_SelfStock[RM_Code],$A1669,T_SelfStock[WeekIndex],38),"")</f>
        <v/>
      </c>
      <c r="AQ1674">
        <f>IFERROR(SUMIFS(T_SelfStock[Self_Qty],T_SelfStock[RM_Code],$A1669,T_SelfStock[WeekIndex],39),"")</f>
        <v/>
      </c>
      <c r="AR1674">
        <f>IFERROR(SUMIFS(T_SelfStock[Self_Qty],T_SelfStock[RM_Code],$A1669,T_SelfStock[WeekIndex],40),"")</f>
        <v/>
      </c>
      <c r="AS1674">
        <f>IFERROR(SUMIFS(T_SelfStock[Self_Qty],T_SelfStock[RM_Code],$A1669,T_SelfStock[WeekIndex],41),"")</f>
        <v/>
      </c>
      <c r="AT1674">
        <f>IFERROR(SUMIFS(T_SelfStock[Self_Qty],T_SelfStock[RM_Code],$A1669,T_SelfStock[WeekIndex],42),"")</f>
        <v/>
      </c>
      <c r="AU1674">
        <f>IFERROR(SUMIFS(T_SelfStock[Self_Qty],T_SelfStock[RM_Code],$A1669,T_SelfStock[WeekIndex],43),"")</f>
        <v/>
      </c>
      <c r="AV1674">
        <f>IFERROR(SUMIFS(T_SelfStock[Self_Qty],T_SelfStock[RM_Code],$A1669,T_SelfStock[WeekIndex],44),"")</f>
        <v/>
      </c>
      <c r="AW1674">
        <f>IFERROR(SUMIFS(T_SelfStock[Self_Qty],T_SelfStock[RM_Code],$A1669,T_SelfStock[WeekIndex],45),"")</f>
        <v/>
      </c>
      <c r="AX1674">
        <f>IFERROR(SUMIFS(T_SelfStock[Self_Qty],T_SelfStock[RM_Code],$A1669,T_SelfStock[WeekIndex],46),"")</f>
        <v/>
      </c>
      <c r="AY1674">
        <f>IFERROR(SUMIFS(T_SelfStock[Self_Qty],T_SelfStock[RM_Code],$A1669,T_SelfStock[WeekIndex],47),"")</f>
        <v/>
      </c>
      <c r="AZ1674">
        <f>IFERROR(SUMIFS(T_SelfStock[Self_Qty],T_SelfStock[RM_Code],$A1669,T_SelfStock[WeekIndex],48),"")</f>
        <v/>
      </c>
      <c r="BA1674">
        <f>IFERROR(SUMIFS(T_SelfStock[Self_Qty],T_SelfStock[RM_Code],$A1669,T_SelfStock[WeekIndex],49),"")</f>
        <v/>
      </c>
      <c r="BB1674">
        <f>IFERROR(SUMIFS(T_SelfStock[Self_Qty],T_SelfStock[RM_Code],$A1669,T_SelfStock[WeekIndex],50),"")</f>
        <v/>
      </c>
      <c r="BC1674">
        <f>IFERROR(SUMIFS(T_SelfStock[Self_Qty],T_SelfStock[RM_Code],$A1669,T_SelfStock[WeekIndex],51),"")</f>
        <v/>
      </c>
      <c r="BD1674">
        <f>IFERROR(SUMIFS(T_SelfStock[Self_Qty],T_SelfStock[RM_Code],$A1669,T_SelfStock[WeekIndex],52),"")</f>
        <v/>
      </c>
      <c r="BE1674">
        <f>IFERROR(SUMIFS(T_SelfStock[Self_Qty],T_SelfStock[RM_Code],$A1669,T_SelfStock[WeekIndex],53),"")</f>
        <v/>
      </c>
      <c r="BF1674">
        <f>IFERROR(SUMIFS(T_SelfStock[Self_Qty],T_SelfStock[RM_Code],$A1669,T_SelfStock[WeekIndex],54),"")</f>
        <v/>
      </c>
      <c r="BG1674">
        <f>IFERROR(SUMIFS(T_SelfStock[Self_Qty],T_SelfStock[RM_Code],$A1669,T_SelfStock[WeekIndex],55),"")</f>
        <v/>
      </c>
      <c r="BH1674">
        <f>IFERROR(SUMIFS(T_SelfStock[Self_Qty],T_SelfStock[RM_Code],$A1669,T_SelfStock[WeekIndex],56),"")</f>
        <v/>
      </c>
      <c r="BI1674">
        <f>IFERROR(SUMIFS(T_SelfStock[Self_Qty],T_SelfStock[RM_Code],$A1669,T_SelfStock[WeekIndex],57),"")</f>
        <v/>
      </c>
      <c r="BJ1674">
        <f>IFERROR(SUMIFS(T_SelfStock[Self_Qty],T_SelfStock[RM_Code],$A1669,T_SelfStock[WeekIndex],58),"")</f>
        <v/>
      </c>
      <c r="BK1674">
        <f>IFERROR(SUMIFS(T_SelfStock[Self_Qty],T_SelfStock[RM_Code],$A1669,T_SelfStock[WeekIndex],59),"")</f>
        <v/>
      </c>
      <c r="BL1674">
        <f>IFERROR(SUMIFS(T_SelfStock[Self_Qty],T_SelfStock[RM_Code],$A1669,T_SelfStock[WeekIndex],60),"")</f>
        <v/>
      </c>
      <c r="BM1674">
        <f>IFERROR(SUMIFS(T_SelfStock[Self_Qty],T_SelfStock[RM_Code],$A1669,T_SelfStock[WeekIndex],61),"")</f>
        <v/>
      </c>
      <c r="BN1674">
        <f>IFERROR(SUMIFS(T_SelfStock[Self_Qty],T_SelfStock[RM_Code],$A1669,T_SelfStock[WeekIndex],62),"")</f>
        <v/>
      </c>
      <c r="BO1674">
        <f>IFERROR(SUMIFS(T_SelfStock[Self_Qty],T_SelfStock[RM_Code],$A1669,T_SelfStock[WeekIndex],63),"")</f>
        <v/>
      </c>
      <c r="BP1674">
        <f>IFERROR(SUMIFS(T_SelfStock[Self_Qty],T_SelfStock[RM_Code],$A1669,T_SelfStock[WeekIndex],64),"")</f>
        <v/>
      </c>
      <c r="BQ1674">
        <f>IFERROR(SUMIFS(T_SelfStock[Self_Qty],T_SelfStock[RM_Code],$A1669,T_SelfStock[WeekIndex],65),"")</f>
        <v/>
      </c>
      <c r="BR1674">
        <f>IFERROR(SUMIFS(T_SelfStock[Self_Qty],T_SelfStock[RM_Code],$A1669,T_SelfStock[WeekIndex],66),"")</f>
        <v/>
      </c>
      <c r="BS1674">
        <f>IFERROR(SUMIFS(T_SelfStock[Self_Qty],T_SelfStock[RM_Code],$A1669,T_SelfStock[WeekIndex],67),"")</f>
        <v/>
      </c>
      <c r="BT1674">
        <f>IFERROR(SUMIFS(T_SelfStock[Self_Qty],T_SelfStock[RM_Code],$A1669,T_SelfStock[WeekIndex],68),"")</f>
        <v/>
      </c>
      <c r="BU1674">
        <f>IFERROR(SUMIFS(T_SelfStock[Self_Qty],T_SelfStock[RM_Code],$A1669,T_SelfStock[WeekIndex],69),"")</f>
        <v/>
      </c>
      <c r="BV1674">
        <f>IFERROR(SUMIFS(T_SelfStock[Self_Qty],T_SelfStock[RM_Code],$A1669,T_SelfStock[WeekIndex],70),"")</f>
        <v/>
      </c>
      <c r="BW1674">
        <f>IFERROR(SUMIFS(T_SelfStock[Self_Qty],T_SelfStock[RM_Code],$A1669,T_SelfStock[WeekIndex],71),"")</f>
        <v/>
      </c>
      <c r="BX1674">
        <f>IFERROR(SUMIFS(T_SelfStock[Self_Qty],T_SelfStock[RM_Code],$A1669,T_SelfStock[WeekIndex],72),"")</f>
        <v/>
      </c>
      <c r="BY1674">
        <f>IFERROR(SUMIFS(T_SelfStock[Self_Qty],T_SelfStock[RM_Code],$A1669,T_SelfStock[WeekIndex],73),"")</f>
        <v/>
      </c>
      <c r="BZ1674">
        <f>IFERROR(SUMIFS(T_SelfStock[Self_Qty],T_SelfStock[RM_Code],$A1669,T_SelfStock[WeekIndex],74),"")</f>
        <v/>
      </c>
      <c r="CA1674">
        <f>IFERROR(SUMIFS(T_SelfStock[Self_Qty],T_SelfStock[RM_Code],$A1669,T_SelfStock[WeekIndex],75),"")</f>
        <v/>
      </c>
      <c r="CB1674">
        <f>IFERROR(SUMIFS(T_SelfStock[Self_Qty],T_SelfStock[RM_Code],$A1669,T_SelfStock[WeekIndex],76),"")</f>
        <v/>
      </c>
      <c r="CC1674">
        <f>IFERROR(SUMIFS(T_SelfStock[Self_Qty],T_SelfStock[RM_Code],$A1669,T_SelfStock[WeekIndex],77),"")</f>
        <v/>
      </c>
      <c r="CD1674">
        <f>IFERROR(SUMIFS(T_SelfStock[Self_Qty],T_SelfStock[RM_Code],$A1669,T_SelfStock[WeekIndex],78),"")</f>
        <v/>
      </c>
      <c r="CE1674">
        <f>IFERROR(SUMIFS(T_SelfStock[Self_Qty],T_SelfStock[RM_Code],$A1669,T_SelfStock[WeekIndex],79),"")</f>
        <v/>
      </c>
      <c r="CF1674">
        <f>IFERROR(SUMIFS(T_SelfStock[Self_Qty],T_SelfStock[RM_Code],$A1669,T_SelfStock[WeekIndex],80),"")</f>
        <v/>
      </c>
      <c r="CG1674">
        <f>IFERROR(SUMIFS(T_SelfStock[Self_Qty],T_SelfStock[RM_Code],$A1669,T_SelfStock[WeekIndex],81),"")</f>
        <v/>
      </c>
      <c r="CH1674">
        <f>IFERROR(SUMIFS(T_SelfStock[Self_Qty],T_SelfStock[RM_Code],$A1669,T_SelfStock[WeekIndex],82),"")</f>
        <v/>
      </c>
      <c r="CI1674">
        <f>IFERROR(SUMIFS(T_SelfStock[Self_Qty],T_SelfStock[RM_Code],$A1669,T_SelfStock[WeekIndex],83),"")</f>
        <v/>
      </c>
      <c r="CJ1674">
        <f>IFERROR(SUMIFS(T_SelfStock[Self_Qty],T_SelfStock[RM_Code],$A1669,T_SelfStock[WeekIndex],84),"")</f>
        <v/>
      </c>
      <c r="CK1674">
        <f>IFERROR(SUMIFS(T_SelfStock[Self_Qty],T_SelfStock[RM_Code],$A1669,T_SelfStock[WeekIndex],85),"")</f>
        <v/>
      </c>
      <c r="CL1674">
        <f>IFERROR(SUMIFS(T_SelfStock[Self_Qty],T_SelfStock[RM_Code],$A1669,T_SelfStock[WeekIndex],86),"")</f>
        <v/>
      </c>
      <c r="CM1674">
        <f>IFERROR(SUMIFS(T_SelfStock[Self_Qty],T_SelfStock[RM_Code],$A1669,T_SelfStock[WeekIndex],87),"")</f>
        <v/>
      </c>
      <c r="CN1674">
        <f>IFERROR(SUMIFS(T_SelfStock[Self_Qty],T_SelfStock[RM_Code],$A1669,T_SelfStock[WeekIndex],88),"")</f>
        <v/>
      </c>
      <c r="CO1674">
        <f>IFERROR(SUMIFS(T_SelfStock[Self_Qty],T_SelfStock[RM_Code],$A1669,T_SelfStock[WeekIndex],89),"")</f>
        <v/>
      </c>
      <c r="CP1674">
        <f>IFERROR(SUMIFS(T_SelfStock[Self_Qty],T_SelfStock[RM_Code],$A1669,T_SelfStock[WeekIndex],90),"")</f>
        <v/>
      </c>
      <c r="CQ1674">
        <f>IFERROR(SUMIFS(T_SelfStock[Self_Qty],T_SelfStock[RM_Code],$A1669,T_SelfStock[WeekIndex],91),"")</f>
        <v/>
      </c>
      <c r="CR1674">
        <f>IFERROR(SUMIFS(T_SelfStock[Self_Qty],T_SelfStock[RM_Code],$A1669,T_SelfStock[WeekIndex],92),"")</f>
        <v/>
      </c>
      <c r="CS1674">
        <f>IFERROR(SUMIFS(T_SelfStock[Self_Qty],T_SelfStock[RM_Code],$A1669,T_SelfStock[WeekIndex],93),"")</f>
        <v/>
      </c>
      <c r="CT1674">
        <f>IFERROR(SUMIFS(T_SelfStock[Self_Qty],T_SelfStock[RM_Code],$A1669,T_SelfStock[WeekIndex],94),"")</f>
        <v/>
      </c>
      <c r="CU1674">
        <f>IFERROR(SUMIFS(T_SelfStock[Self_Qty],T_SelfStock[RM_Code],$A1669,T_SelfStock[WeekIndex],95),"")</f>
        <v/>
      </c>
      <c r="CV1674">
        <f>IFERROR(SUMIFS(T_SelfStock[Self_Qty],T_SelfStock[RM_Code],$A1669,T_SelfStock[WeekIndex],96),"")</f>
        <v/>
      </c>
      <c r="CW1674">
        <f>IFERROR(SUMIFS(T_SelfStock[Self_Qty],T_SelfStock[RM_Code],$A1669,T_SelfStock[WeekIndex],97),"")</f>
        <v/>
      </c>
      <c r="CX1674">
        <f>IFERROR(SUMIFS(T_SelfStock[Self_Qty],T_SelfStock[RM_Code],$A1669,T_SelfStock[WeekIndex],98),"")</f>
        <v/>
      </c>
      <c r="CY1674">
        <f>IFERROR(SUMIFS(T_SelfStock[Self_Qty],T_SelfStock[RM_Code],$A1669,T_SelfStock[WeekIndex],99),"")</f>
        <v/>
      </c>
      <c r="CZ1674">
        <f>IFERROR(SUMIFS(T_SelfStock[Self_Qty],T_SelfStock[RM_Code],$A1669,T_SelfStock[WeekIndex],100),"")</f>
        <v/>
      </c>
      <c r="DA1674">
        <f>IFERROR(SUMIFS(T_SelfStock[Self_Qty],T_SelfStock[RM_Code],$A1669,T_SelfStock[WeekIndex],101),"")</f>
        <v/>
      </c>
      <c r="DB1674">
        <f>IFERROR(SUMIFS(T_SelfStock[Self_Qty],T_SelfStock[RM_Code],$A1669,T_SelfStock[WeekIndex],102),"")</f>
        <v/>
      </c>
      <c r="DC1674">
        <f>IFERROR(SUMIFS(T_SelfStock[Self_Qty],T_SelfStock[RM_Code],$A1669,T_SelfStock[WeekIndex],103),"")</f>
        <v/>
      </c>
      <c r="DD1674">
        <f>IFERROR(SUMIFS(T_SelfStock[Self_Qty],T_SelfStock[RM_Code],$A1669,T_SelfStock[WeekIndex],104),"")</f>
        <v/>
      </c>
    </row>
    <row r="1675">
      <c r="B1675" s="4" t="inlineStr">
        <is>
          <t>合計在庫(週末時点,kg)</t>
        </is>
      </c>
      <c r="D1675" s="24">
        <f>IFERROR(INDEX(E1675:DD1675,$F$1),"")</f>
        <v/>
      </c>
      <c r="E1675">
        <f>'Grid_Stock'!B64</f>
        <v/>
      </c>
      <c r="F1675">
        <f>'Grid_Stock'!C64</f>
        <v/>
      </c>
      <c r="G1675">
        <f>'Grid_Stock'!D64</f>
        <v/>
      </c>
      <c r="H1675">
        <f>'Grid_Stock'!E64</f>
        <v/>
      </c>
      <c r="I1675">
        <f>'Grid_Stock'!F64</f>
        <v/>
      </c>
      <c r="J1675">
        <f>'Grid_Stock'!G64</f>
        <v/>
      </c>
      <c r="K1675">
        <f>'Grid_Stock'!H64</f>
        <v/>
      </c>
      <c r="L1675">
        <f>'Grid_Stock'!I64</f>
        <v/>
      </c>
      <c r="M1675">
        <f>'Grid_Stock'!J64</f>
        <v/>
      </c>
      <c r="N1675">
        <f>'Grid_Stock'!K64</f>
        <v/>
      </c>
      <c r="O1675">
        <f>'Grid_Stock'!L64</f>
        <v/>
      </c>
      <c r="P1675">
        <f>'Grid_Stock'!M64</f>
        <v/>
      </c>
      <c r="Q1675">
        <f>'Grid_Stock'!N64</f>
        <v/>
      </c>
      <c r="R1675">
        <f>'Grid_Stock'!O64</f>
        <v/>
      </c>
      <c r="S1675">
        <f>'Grid_Stock'!P64</f>
        <v/>
      </c>
      <c r="T1675">
        <f>'Grid_Stock'!Q64</f>
        <v/>
      </c>
      <c r="U1675">
        <f>'Grid_Stock'!R64</f>
        <v/>
      </c>
      <c r="V1675">
        <f>'Grid_Stock'!S64</f>
        <v/>
      </c>
      <c r="W1675">
        <f>'Grid_Stock'!T64</f>
        <v/>
      </c>
      <c r="X1675">
        <f>'Grid_Stock'!U64</f>
        <v/>
      </c>
      <c r="Y1675">
        <f>'Grid_Stock'!V64</f>
        <v/>
      </c>
      <c r="Z1675">
        <f>'Grid_Stock'!W64</f>
        <v/>
      </c>
      <c r="AA1675">
        <f>'Grid_Stock'!X64</f>
        <v/>
      </c>
      <c r="AB1675">
        <f>'Grid_Stock'!Y64</f>
        <v/>
      </c>
      <c r="AC1675">
        <f>'Grid_Stock'!Z64</f>
        <v/>
      </c>
      <c r="AD1675">
        <f>'Grid_Stock'!AA64</f>
        <v/>
      </c>
      <c r="AE1675">
        <f>'Grid_Stock'!AB64</f>
        <v/>
      </c>
      <c r="AF1675">
        <f>'Grid_Stock'!AC64</f>
        <v/>
      </c>
      <c r="AG1675">
        <f>'Grid_Stock'!AD64</f>
        <v/>
      </c>
      <c r="AH1675">
        <f>'Grid_Stock'!AE64</f>
        <v/>
      </c>
      <c r="AI1675">
        <f>'Grid_Stock'!AF64</f>
        <v/>
      </c>
      <c r="AJ1675">
        <f>'Grid_Stock'!AG64</f>
        <v/>
      </c>
      <c r="AK1675">
        <f>'Grid_Stock'!AH64</f>
        <v/>
      </c>
      <c r="AL1675">
        <f>'Grid_Stock'!AI64</f>
        <v/>
      </c>
      <c r="AM1675">
        <f>'Grid_Stock'!AJ64</f>
        <v/>
      </c>
      <c r="AN1675">
        <f>'Grid_Stock'!AK64</f>
        <v/>
      </c>
      <c r="AO1675">
        <f>'Grid_Stock'!AL64</f>
        <v/>
      </c>
      <c r="AP1675">
        <f>'Grid_Stock'!AM64</f>
        <v/>
      </c>
      <c r="AQ1675">
        <f>'Grid_Stock'!AN64</f>
        <v/>
      </c>
      <c r="AR1675">
        <f>'Grid_Stock'!AO64</f>
        <v/>
      </c>
      <c r="AS1675">
        <f>'Grid_Stock'!AP64</f>
        <v/>
      </c>
      <c r="AT1675">
        <f>'Grid_Stock'!AQ64</f>
        <v/>
      </c>
      <c r="AU1675">
        <f>'Grid_Stock'!AR64</f>
        <v/>
      </c>
      <c r="AV1675">
        <f>'Grid_Stock'!AS64</f>
        <v/>
      </c>
      <c r="AW1675">
        <f>'Grid_Stock'!AT64</f>
        <v/>
      </c>
      <c r="AX1675">
        <f>'Grid_Stock'!AU64</f>
        <v/>
      </c>
      <c r="AY1675">
        <f>'Grid_Stock'!AV64</f>
        <v/>
      </c>
      <c r="AZ1675">
        <f>'Grid_Stock'!AW64</f>
        <v/>
      </c>
      <c r="BA1675">
        <f>'Grid_Stock'!AX64</f>
        <v/>
      </c>
      <c r="BB1675">
        <f>'Grid_Stock'!AY64</f>
        <v/>
      </c>
      <c r="BC1675">
        <f>'Grid_Stock'!AZ64</f>
        <v/>
      </c>
      <c r="BD1675">
        <f>'Grid_Stock'!BA64</f>
        <v/>
      </c>
      <c r="BE1675">
        <f>'Grid_Stock'!BB64</f>
        <v/>
      </c>
      <c r="BF1675">
        <f>'Grid_Stock'!BC64</f>
        <v/>
      </c>
      <c r="BG1675">
        <f>'Grid_Stock'!BD64</f>
        <v/>
      </c>
      <c r="BH1675">
        <f>'Grid_Stock'!BE64</f>
        <v/>
      </c>
      <c r="BI1675">
        <f>'Grid_Stock'!BF64</f>
        <v/>
      </c>
      <c r="BJ1675">
        <f>'Grid_Stock'!BG64</f>
        <v/>
      </c>
      <c r="BK1675">
        <f>'Grid_Stock'!BH64</f>
        <v/>
      </c>
      <c r="BL1675">
        <f>'Grid_Stock'!BI64</f>
        <v/>
      </c>
      <c r="BM1675">
        <f>'Grid_Stock'!BJ64</f>
        <v/>
      </c>
      <c r="BN1675">
        <f>'Grid_Stock'!BK64</f>
        <v/>
      </c>
      <c r="BO1675">
        <f>'Grid_Stock'!BL64</f>
        <v/>
      </c>
      <c r="BP1675">
        <f>'Grid_Stock'!BM64</f>
        <v/>
      </c>
      <c r="BQ1675">
        <f>'Grid_Stock'!BN64</f>
        <v/>
      </c>
      <c r="BR1675">
        <f>'Grid_Stock'!BO64</f>
        <v/>
      </c>
      <c r="BS1675">
        <f>'Grid_Stock'!BP64</f>
        <v/>
      </c>
      <c r="BT1675">
        <f>'Grid_Stock'!BQ64</f>
        <v/>
      </c>
      <c r="BU1675">
        <f>'Grid_Stock'!BR64</f>
        <v/>
      </c>
      <c r="BV1675">
        <f>'Grid_Stock'!BS64</f>
        <v/>
      </c>
      <c r="BW1675">
        <f>'Grid_Stock'!BT64</f>
        <v/>
      </c>
      <c r="BX1675">
        <f>'Grid_Stock'!BU64</f>
        <v/>
      </c>
      <c r="BY1675">
        <f>'Grid_Stock'!BV64</f>
        <v/>
      </c>
      <c r="BZ1675">
        <f>'Grid_Stock'!BW64</f>
        <v/>
      </c>
      <c r="CA1675">
        <f>'Grid_Stock'!BX64</f>
        <v/>
      </c>
      <c r="CB1675">
        <f>'Grid_Stock'!BY64</f>
        <v/>
      </c>
      <c r="CC1675">
        <f>'Grid_Stock'!BZ64</f>
        <v/>
      </c>
      <c r="CD1675">
        <f>'Grid_Stock'!CA64</f>
        <v/>
      </c>
      <c r="CE1675">
        <f>'Grid_Stock'!CB64</f>
        <v/>
      </c>
      <c r="CF1675">
        <f>'Grid_Stock'!CC64</f>
        <v/>
      </c>
      <c r="CG1675">
        <f>'Grid_Stock'!CD64</f>
        <v/>
      </c>
      <c r="CH1675">
        <f>'Grid_Stock'!CE64</f>
        <v/>
      </c>
      <c r="CI1675">
        <f>'Grid_Stock'!CF64</f>
        <v/>
      </c>
      <c r="CJ1675">
        <f>'Grid_Stock'!CG64</f>
        <v/>
      </c>
      <c r="CK1675">
        <f>'Grid_Stock'!CH64</f>
        <v/>
      </c>
      <c r="CL1675">
        <f>'Grid_Stock'!CI64</f>
        <v/>
      </c>
      <c r="CM1675">
        <f>'Grid_Stock'!CJ64</f>
        <v/>
      </c>
      <c r="CN1675">
        <f>'Grid_Stock'!CK64</f>
        <v/>
      </c>
      <c r="CO1675">
        <f>'Grid_Stock'!CL64</f>
        <v/>
      </c>
      <c r="CP1675">
        <f>'Grid_Stock'!CM64</f>
        <v/>
      </c>
      <c r="CQ1675">
        <f>'Grid_Stock'!CN64</f>
        <v/>
      </c>
      <c r="CR1675">
        <f>'Grid_Stock'!CO64</f>
        <v/>
      </c>
      <c r="CS1675">
        <f>'Grid_Stock'!CP64</f>
        <v/>
      </c>
      <c r="CT1675">
        <f>'Grid_Stock'!CQ64</f>
        <v/>
      </c>
      <c r="CU1675">
        <f>'Grid_Stock'!CR64</f>
        <v/>
      </c>
      <c r="CV1675">
        <f>'Grid_Stock'!CS64</f>
        <v/>
      </c>
      <c r="CW1675">
        <f>'Grid_Stock'!CT64</f>
        <v/>
      </c>
      <c r="CX1675">
        <f>'Grid_Stock'!CU64</f>
        <v/>
      </c>
      <c r="CY1675">
        <f>'Grid_Stock'!CV64</f>
        <v/>
      </c>
      <c r="CZ1675">
        <f>'Grid_Stock'!CW64</f>
        <v/>
      </c>
      <c r="DA1675">
        <f>'Grid_Stock'!CX64</f>
        <v/>
      </c>
      <c r="DB1675">
        <f>'Grid_Stock'!CY64</f>
        <v/>
      </c>
      <c r="DC1675">
        <f>'Grid_Stock'!CZ64</f>
        <v/>
      </c>
      <c r="DD1675">
        <f>'Grid_Stock'!DA64</f>
        <v/>
      </c>
    </row>
    <row r="1676">
      <c r="B1676" s="25" t="inlineStr">
        <is>
          <t>（発注の目安はDashboardの基準在庫[下限/上限]と色分けを参照）</t>
        </is>
      </c>
    </row>
    <row r="1678">
      <c r="A1678" s="21" t="inlineStr">
        <is>
          <t>7EP</t>
        </is>
      </c>
      <c r="B1678" s="21" t="inlineStr">
        <is>
          <t>N30S7R07WF7 4FK13093100</t>
        </is>
      </c>
      <c r="C1678" s="22" t="n"/>
      <c r="D1678" s="21" t="n"/>
      <c r="E1678" s="21" t="n"/>
      <c r="F1678" s="21" t="n"/>
      <c r="G1678" s="21" t="n"/>
      <c r="H1678" s="21" t="n"/>
      <c r="I1678" s="21" t="n"/>
      <c r="J1678" s="21" t="n"/>
      <c r="K1678" s="21" t="n"/>
      <c r="L1678" s="21" t="n"/>
      <c r="M1678" s="21" t="n"/>
      <c r="N1678" s="21" t="n"/>
      <c r="O1678" s="21" t="n"/>
      <c r="P1678" s="21" t="n"/>
      <c r="Q1678" s="21" t="n"/>
      <c r="R1678" s="21" t="n"/>
      <c r="S1678" s="21" t="n"/>
      <c r="T1678" s="21" t="n"/>
      <c r="U1678" s="21" t="n"/>
      <c r="V1678" s="21" t="n"/>
      <c r="W1678" s="21" t="n"/>
      <c r="X1678" s="21" t="n"/>
      <c r="Y1678" s="21" t="n"/>
      <c r="Z1678" s="21" t="n"/>
      <c r="AA1678" s="21" t="n"/>
      <c r="AB1678" s="21" t="n"/>
      <c r="AC1678" s="21" t="n"/>
      <c r="AD1678" s="21" t="n"/>
      <c r="AE1678" s="21" t="n"/>
      <c r="AF1678" s="21" t="n"/>
      <c r="AG1678" s="21" t="n"/>
      <c r="AH1678" s="21" t="n"/>
      <c r="AI1678" s="21" t="n"/>
      <c r="AJ1678" s="21" t="n"/>
      <c r="AK1678" s="21" t="n"/>
      <c r="AL1678" s="21" t="n"/>
      <c r="AM1678" s="21" t="n"/>
      <c r="AN1678" s="21" t="n"/>
      <c r="AO1678" s="21" t="n"/>
      <c r="AP1678" s="21" t="n"/>
      <c r="AQ1678" s="21" t="n"/>
      <c r="AR1678" s="21" t="n"/>
      <c r="AS1678" s="21" t="n"/>
      <c r="AT1678" s="21" t="n"/>
      <c r="AU1678" s="21" t="n"/>
      <c r="AV1678" s="21" t="n"/>
      <c r="AW1678" s="21" t="n"/>
      <c r="AX1678" s="21" t="n"/>
      <c r="AY1678" s="21" t="n"/>
      <c r="AZ1678" s="21" t="n"/>
      <c r="BA1678" s="21" t="n"/>
      <c r="BB1678" s="21" t="n"/>
      <c r="BC1678" s="21" t="n"/>
      <c r="BD1678" s="21" t="n"/>
      <c r="BE1678" s="21" t="n"/>
      <c r="BF1678" s="21" t="n"/>
      <c r="BG1678" s="21" t="n"/>
      <c r="BH1678" s="21" t="n"/>
      <c r="BI1678" s="21" t="n"/>
      <c r="BJ1678" s="21" t="n"/>
      <c r="BK1678" s="21" t="n"/>
      <c r="BL1678" s="21" t="n"/>
      <c r="BM1678" s="21" t="n"/>
      <c r="BN1678" s="21" t="n"/>
      <c r="BO1678" s="21" t="n"/>
      <c r="BP1678" s="21" t="n"/>
      <c r="BQ1678" s="21" t="n"/>
      <c r="BR1678" s="21" t="n"/>
      <c r="BS1678" s="21" t="n"/>
      <c r="BT1678" s="21" t="n"/>
      <c r="BU1678" s="21" t="n"/>
      <c r="BV1678" s="21" t="n"/>
      <c r="BW1678" s="21" t="n"/>
      <c r="BX1678" s="21" t="n"/>
      <c r="BY1678" s="21" t="n"/>
      <c r="BZ1678" s="21" t="n"/>
      <c r="CA1678" s="21" t="n"/>
      <c r="CB1678" s="21" t="n"/>
      <c r="CC1678" s="21" t="n"/>
      <c r="CD1678" s="21" t="n"/>
      <c r="CE1678" s="21" t="n"/>
      <c r="CF1678" s="21" t="n"/>
      <c r="CG1678" s="21" t="n"/>
      <c r="CH1678" s="21" t="n"/>
      <c r="CI1678" s="21" t="n"/>
      <c r="CJ1678" s="21" t="n"/>
      <c r="CK1678" s="21" t="n"/>
      <c r="CL1678" s="21" t="n"/>
      <c r="CM1678" s="21" t="n"/>
      <c r="CN1678" s="21" t="n"/>
      <c r="CO1678" s="21" t="n"/>
      <c r="CP1678" s="21" t="n"/>
      <c r="CQ1678" s="21" t="n"/>
      <c r="CR1678" s="21" t="n"/>
      <c r="CS1678" s="21" t="n"/>
      <c r="CT1678" s="21" t="n"/>
      <c r="CU1678" s="21" t="n"/>
      <c r="CV1678" s="21" t="n"/>
      <c r="CW1678" s="21" t="n"/>
      <c r="CX1678" s="21" t="n"/>
      <c r="CY1678" s="21" t="n"/>
      <c r="CZ1678" s="21" t="n"/>
      <c r="DA1678" s="21" t="n"/>
      <c r="DB1678" s="21" t="n"/>
      <c r="DC1678" s="21" t="n"/>
      <c r="DD1678" s="21" t="n"/>
    </row>
    <row r="1679">
      <c r="B1679" t="inlineStr">
        <is>
          <t>0Q120</t>
        </is>
      </c>
      <c r="C1679" t="inlineStr">
        <is>
          <t>No. of batches</t>
        </is>
      </c>
      <c r="D1679">
        <f>IFERROR(INDEX(E1679:DD1679,$F$1),"")</f>
        <v/>
      </c>
      <c r="E1679">
        <f>IFERROR(INDEX(PP_Grid[#Data],$DE1679,2),0)</f>
        <v/>
      </c>
      <c r="F1679">
        <f>IFERROR(INDEX(PP_Grid[#Data],$DE1679,3),0)</f>
        <v/>
      </c>
      <c r="G1679">
        <f>IFERROR(INDEX(PP_Grid[#Data],$DE1679,4),0)</f>
        <v/>
      </c>
      <c r="H1679">
        <f>IFERROR(INDEX(PP_Grid[#Data],$DE1679,5),0)</f>
        <v/>
      </c>
      <c r="I1679">
        <f>IFERROR(INDEX(PP_Grid[#Data],$DE1679,6),0)</f>
        <v/>
      </c>
      <c r="J1679">
        <f>IFERROR(INDEX(PP_Grid[#Data],$DE1679,7),0)</f>
        <v/>
      </c>
      <c r="K1679">
        <f>IFERROR(INDEX(PP_Grid[#Data],$DE1679,8),0)</f>
        <v/>
      </c>
      <c r="L1679">
        <f>IFERROR(INDEX(PP_Grid[#Data],$DE1679,9),0)</f>
        <v/>
      </c>
      <c r="M1679">
        <f>IFERROR(INDEX(PP_Grid[#Data],$DE1679,10),0)</f>
        <v/>
      </c>
      <c r="N1679">
        <f>IFERROR(INDEX(PP_Grid[#Data],$DE1679,11),0)</f>
        <v/>
      </c>
      <c r="O1679">
        <f>IFERROR(INDEX(PP_Grid[#Data],$DE1679,12),0)</f>
        <v/>
      </c>
      <c r="P1679">
        <f>IFERROR(INDEX(PP_Grid[#Data],$DE1679,13),0)</f>
        <v/>
      </c>
      <c r="Q1679">
        <f>IFERROR(INDEX(PP_Grid[#Data],$DE1679,14),0)</f>
        <v/>
      </c>
      <c r="R1679">
        <f>IFERROR(INDEX(PP_Grid[#Data],$DE1679,15),0)</f>
        <v/>
      </c>
      <c r="S1679">
        <f>IFERROR(INDEX(PP_Grid[#Data],$DE1679,16),0)</f>
        <v/>
      </c>
      <c r="T1679">
        <f>IFERROR(INDEX(PP_Grid[#Data],$DE1679,17),0)</f>
        <v/>
      </c>
      <c r="U1679">
        <f>IFERROR(INDEX(PP_Grid[#Data],$DE1679,18),0)</f>
        <v/>
      </c>
      <c r="V1679">
        <f>IFERROR(INDEX(PP_Grid[#Data],$DE1679,19),0)</f>
        <v/>
      </c>
      <c r="W1679">
        <f>IFERROR(INDEX(PP_Grid[#Data],$DE1679,20),0)</f>
        <v/>
      </c>
      <c r="X1679">
        <f>IFERROR(INDEX(PP_Grid[#Data],$DE1679,21),0)</f>
        <v/>
      </c>
      <c r="Y1679">
        <f>IFERROR(INDEX(PP_Grid[#Data],$DE1679,22),0)</f>
        <v/>
      </c>
      <c r="Z1679">
        <f>IFERROR(INDEX(PP_Grid[#Data],$DE1679,23),0)</f>
        <v/>
      </c>
      <c r="AA1679">
        <f>IFERROR(INDEX(PP_Grid[#Data],$DE1679,24),0)</f>
        <v/>
      </c>
      <c r="AB1679">
        <f>IFERROR(INDEX(PP_Grid[#Data],$DE1679,25),0)</f>
        <v/>
      </c>
      <c r="AC1679">
        <f>IFERROR(INDEX(PP_Grid[#Data],$DE1679,26),0)</f>
        <v/>
      </c>
      <c r="AD1679">
        <f>IFERROR(INDEX(PP_Grid[#Data],$DE1679,27),0)</f>
        <v/>
      </c>
      <c r="AE1679">
        <f>IFERROR(INDEX(PP_Grid[#Data],$DE1679,28),0)</f>
        <v/>
      </c>
      <c r="AF1679">
        <f>IFERROR(INDEX(PP_Grid[#Data],$DE1679,29),0)</f>
        <v/>
      </c>
      <c r="AG1679">
        <f>IFERROR(INDEX(PP_Grid[#Data],$DE1679,30),0)</f>
        <v/>
      </c>
      <c r="AH1679">
        <f>IFERROR(INDEX(PP_Grid[#Data],$DE1679,31),0)</f>
        <v/>
      </c>
      <c r="AI1679">
        <f>IFERROR(INDEX(PP_Grid[#Data],$DE1679,32),0)</f>
        <v/>
      </c>
      <c r="AJ1679">
        <f>IFERROR(INDEX(PP_Grid[#Data],$DE1679,33),0)</f>
        <v/>
      </c>
      <c r="AK1679">
        <f>IFERROR(INDEX(PP_Grid[#Data],$DE1679,34),0)</f>
        <v/>
      </c>
      <c r="AL1679">
        <f>IFERROR(INDEX(PP_Grid[#Data],$DE1679,35),0)</f>
        <v/>
      </c>
      <c r="AM1679">
        <f>IFERROR(INDEX(PP_Grid[#Data],$DE1679,36),0)</f>
        <v/>
      </c>
      <c r="AN1679">
        <f>IFERROR(INDEX(PP_Grid[#Data],$DE1679,37),0)</f>
        <v/>
      </c>
      <c r="AO1679">
        <f>IFERROR(INDEX(PP_Grid[#Data],$DE1679,38),0)</f>
        <v/>
      </c>
      <c r="AP1679">
        <f>IFERROR(INDEX(PP_Grid[#Data],$DE1679,39),0)</f>
        <v/>
      </c>
      <c r="AQ1679">
        <f>IFERROR(INDEX(PP_Grid[#Data],$DE1679,40),0)</f>
        <v/>
      </c>
      <c r="AR1679">
        <f>IFERROR(INDEX(PP_Grid[#Data],$DE1679,41),0)</f>
        <v/>
      </c>
      <c r="AS1679">
        <f>IFERROR(INDEX(PP_Grid[#Data],$DE1679,42),0)</f>
        <v/>
      </c>
      <c r="AT1679">
        <f>IFERROR(INDEX(PP_Grid[#Data],$DE1679,43),0)</f>
        <v/>
      </c>
      <c r="AU1679">
        <f>IFERROR(INDEX(PP_Grid[#Data],$DE1679,44),0)</f>
        <v/>
      </c>
      <c r="AV1679">
        <f>IFERROR(INDEX(PP_Grid[#Data],$DE1679,45),0)</f>
        <v/>
      </c>
      <c r="AW1679">
        <f>IFERROR(INDEX(PP_Grid[#Data],$DE1679,46),0)</f>
        <v/>
      </c>
      <c r="AX1679">
        <f>IFERROR(INDEX(PP_Grid[#Data],$DE1679,47),0)</f>
        <v/>
      </c>
      <c r="AY1679">
        <f>IFERROR(INDEX(PP_Grid[#Data],$DE1679,48),0)</f>
        <v/>
      </c>
      <c r="AZ1679">
        <f>IFERROR(INDEX(PP_Grid[#Data],$DE1679,49),0)</f>
        <v/>
      </c>
      <c r="BA1679">
        <f>IFERROR(INDEX(PP_Grid[#Data],$DE1679,50),0)</f>
        <v/>
      </c>
      <c r="BB1679">
        <f>IFERROR(INDEX(PP_Grid[#Data],$DE1679,51),0)</f>
        <v/>
      </c>
      <c r="BC1679">
        <f>IFERROR(INDEX(PP_Grid[#Data],$DE1679,52),0)</f>
        <v/>
      </c>
      <c r="BD1679">
        <f>IFERROR(INDEX(PP_Grid[#Data],$DE1679,53),0)</f>
        <v/>
      </c>
      <c r="BE1679">
        <f>IFERROR(INDEX(PP_Grid[#Data],$DE1679,54),0)</f>
        <v/>
      </c>
      <c r="BF1679">
        <f>IFERROR(INDEX(PP_Grid[#Data],$DE1679,55),0)</f>
        <v/>
      </c>
      <c r="BG1679">
        <f>IFERROR(INDEX(PP_Grid[#Data],$DE1679,56),0)</f>
        <v/>
      </c>
      <c r="BH1679">
        <f>IFERROR(INDEX(PP_Grid[#Data],$DE1679,57),0)</f>
        <v/>
      </c>
      <c r="BI1679">
        <f>IFERROR(INDEX(PP_Grid[#Data],$DE1679,58),0)</f>
        <v/>
      </c>
      <c r="BJ1679">
        <f>IFERROR(INDEX(PP_Grid[#Data],$DE1679,59),0)</f>
        <v/>
      </c>
      <c r="BK1679">
        <f>IFERROR(INDEX(PP_Grid[#Data],$DE1679,60),0)</f>
        <v/>
      </c>
      <c r="BL1679">
        <f>IFERROR(INDEX(PP_Grid[#Data],$DE1679,61),0)</f>
        <v/>
      </c>
      <c r="BM1679">
        <f>IFERROR(INDEX(PP_Grid[#Data],$DE1679,62),0)</f>
        <v/>
      </c>
      <c r="BN1679">
        <f>IFERROR(INDEX(PP_Grid[#Data],$DE1679,63),0)</f>
        <v/>
      </c>
      <c r="BO1679">
        <f>IFERROR(INDEX(PP_Grid[#Data],$DE1679,64),0)</f>
        <v/>
      </c>
      <c r="BP1679">
        <f>IFERROR(INDEX(PP_Grid[#Data],$DE1679,65),0)</f>
        <v/>
      </c>
      <c r="BQ1679">
        <f>IFERROR(INDEX(PP_Grid[#Data],$DE1679,66),0)</f>
        <v/>
      </c>
      <c r="BR1679">
        <f>IFERROR(INDEX(PP_Grid[#Data],$DE1679,67),0)</f>
        <v/>
      </c>
      <c r="BS1679">
        <f>IFERROR(INDEX(PP_Grid[#Data],$DE1679,68),0)</f>
        <v/>
      </c>
      <c r="BT1679">
        <f>IFERROR(INDEX(PP_Grid[#Data],$DE1679,69),0)</f>
        <v/>
      </c>
      <c r="BU1679">
        <f>IFERROR(INDEX(PP_Grid[#Data],$DE1679,70),0)</f>
        <v/>
      </c>
      <c r="BV1679">
        <f>IFERROR(INDEX(PP_Grid[#Data],$DE1679,71),0)</f>
        <v/>
      </c>
      <c r="BW1679">
        <f>IFERROR(INDEX(PP_Grid[#Data],$DE1679,72),0)</f>
        <v/>
      </c>
      <c r="BX1679">
        <f>IFERROR(INDEX(PP_Grid[#Data],$DE1679,73),0)</f>
        <v/>
      </c>
      <c r="BY1679">
        <f>IFERROR(INDEX(PP_Grid[#Data],$DE1679,74),0)</f>
        <v/>
      </c>
      <c r="BZ1679">
        <f>IFERROR(INDEX(PP_Grid[#Data],$DE1679,75),0)</f>
        <v/>
      </c>
      <c r="CA1679">
        <f>IFERROR(INDEX(PP_Grid[#Data],$DE1679,76),0)</f>
        <v/>
      </c>
      <c r="CB1679">
        <f>IFERROR(INDEX(PP_Grid[#Data],$DE1679,77),0)</f>
        <v/>
      </c>
      <c r="CC1679">
        <f>IFERROR(INDEX(PP_Grid[#Data],$DE1679,78),0)</f>
        <v/>
      </c>
      <c r="CD1679">
        <f>IFERROR(INDEX(PP_Grid[#Data],$DE1679,79),0)</f>
        <v/>
      </c>
      <c r="CE1679">
        <f>IFERROR(INDEX(PP_Grid[#Data],$DE1679,80),0)</f>
        <v/>
      </c>
      <c r="CF1679">
        <f>IFERROR(INDEX(PP_Grid[#Data],$DE1679,81),0)</f>
        <v/>
      </c>
      <c r="CG1679">
        <f>IFERROR(INDEX(PP_Grid[#Data],$DE1679,82),0)</f>
        <v/>
      </c>
      <c r="CH1679">
        <f>IFERROR(INDEX(PP_Grid[#Data],$DE1679,83),0)</f>
        <v/>
      </c>
      <c r="CI1679">
        <f>IFERROR(INDEX(PP_Grid[#Data],$DE1679,84),0)</f>
        <v/>
      </c>
      <c r="CJ1679">
        <f>IFERROR(INDEX(PP_Grid[#Data],$DE1679,85),0)</f>
        <v/>
      </c>
      <c r="CK1679">
        <f>IFERROR(INDEX(PP_Grid[#Data],$DE1679,86),0)</f>
        <v/>
      </c>
      <c r="CL1679">
        <f>IFERROR(INDEX(PP_Grid[#Data],$DE1679,87),0)</f>
        <v/>
      </c>
      <c r="CM1679">
        <f>IFERROR(INDEX(PP_Grid[#Data],$DE1679,88),0)</f>
        <v/>
      </c>
      <c r="CN1679">
        <f>IFERROR(INDEX(PP_Grid[#Data],$DE1679,89),0)</f>
        <v/>
      </c>
      <c r="CO1679">
        <f>IFERROR(INDEX(PP_Grid[#Data],$DE1679,90),0)</f>
        <v/>
      </c>
      <c r="CP1679">
        <f>IFERROR(INDEX(PP_Grid[#Data],$DE1679,91),0)</f>
        <v/>
      </c>
      <c r="CQ1679">
        <f>IFERROR(INDEX(PP_Grid[#Data],$DE1679,92),0)</f>
        <v/>
      </c>
      <c r="CR1679">
        <f>IFERROR(INDEX(PP_Grid[#Data],$DE1679,93),0)</f>
        <v/>
      </c>
      <c r="CS1679">
        <f>IFERROR(INDEX(PP_Grid[#Data],$DE1679,94),0)</f>
        <v/>
      </c>
      <c r="CT1679">
        <f>IFERROR(INDEX(PP_Grid[#Data],$DE1679,95),0)</f>
        <v/>
      </c>
      <c r="CU1679">
        <f>IFERROR(INDEX(PP_Grid[#Data],$DE1679,96),0)</f>
        <v/>
      </c>
      <c r="CV1679">
        <f>IFERROR(INDEX(PP_Grid[#Data],$DE1679,97),0)</f>
        <v/>
      </c>
      <c r="CW1679">
        <f>IFERROR(INDEX(PP_Grid[#Data],$DE1679,98),0)</f>
        <v/>
      </c>
      <c r="CX1679">
        <f>IFERROR(INDEX(PP_Grid[#Data],$DE1679,99),0)</f>
        <v/>
      </c>
      <c r="CY1679">
        <f>IFERROR(INDEX(PP_Grid[#Data],$DE1679,100),0)</f>
        <v/>
      </c>
      <c r="CZ1679">
        <f>IFERROR(INDEX(PP_Grid[#Data],$DE1679,101),0)</f>
        <v/>
      </c>
      <c r="DA1679">
        <f>IFERROR(INDEX(PP_Grid[#Data],$DE1679,102),0)</f>
        <v/>
      </c>
      <c r="DB1679">
        <f>IFERROR(INDEX(PP_Grid[#Data],$DE1679,103),0)</f>
        <v/>
      </c>
      <c r="DC1679">
        <f>IFERROR(INDEX(PP_Grid[#Data],$DE1679,104),0)</f>
        <v/>
      </c>
      <c r="DD1679">
        <f>IFERROR(INDEX(PP_Grid[#Data],$DE1679,105),0)</f>
        <v/>
      </c>
      <c r="DE1679" s="7">
        <f>IFERROR(MATCH($B1679,PP_Grid[Intermediate],0),99999)</f>
        <v/>
      </c>
    </row>
    <row r="1680">
      <c r="B1680" t="inlineStr">
        <is>
          <t>使用量(kg)</t>
        </is>
      </c>
      <c r="C1680">
        <f>SUMIFS(M_BOM[RM_Qty_Per_Batch],M_BOM[Intermediate],$B1679,M_BOM[RM_Code],$A1678)</f>
        <v/>
      </c>
      <c r="D1680">
        <f>IFERROR(INDEX(E1680:DD1680,$F$1),"")</f>
        <v/>
      </c>
      <c r="E1680">
        <f>$C1680*E1679</f>
        <v/>
      </c>
      <c r="F1680">
        <f>$C1680*F1679</f>
        <v/>
      </c>
      <c r="G1680">
        <f>$C1680*G1679</f>
        <v/>
      </c>
      <c r="H1680">
        <f>$C1680*H1679</f>
        <v/>
      </c>
      <c r="I1680">
        <f>$C1680*I1679</f>
        <v/>
      </c>
      <c r="J1680">
        <f>$C1680*J1679</f>
        <v/>
      </c>
      <c r="K1680">
        <f>$C1680*K1679</f>
        <v/>
      </c>
      <c r="L1680">
        <f>$C1680*L1679</f>
        <v/>
      </c>
      <c r="M1680">
        <f>$C1680*M1679</f>
        <v/>
      </c>
      <c r="N1680">
        <f>$C1680*N1679</f>
        <v/>
      </c>
      <c r="O1680">
        <f>$C1680*O1679</f>
        <v/>
      </c>
      <c r="P1680">
        <f>$C1680*P1679</f>
        <v/>
      </c>
      <c r="Q1680">
        <f>$C1680*Q1679</f>
        <v/>
      </c>
      <c r="R1680">
        <f>$C1680*R1679</f>
        <v/>
      </c>
      <c r="S1680">
        <f>$C1680*S1679</f>
        <v/>
      </c>
      <c r="T1680">
        <f>$C1680*T1679</f>
        <v/>
      </c>
      <c r="U1680">
        <f>$C1680*U1679</f>
        <v/>
      </c>
      <c r="V1680">
        <f>$C1680*V1679</f>
        <v/>
      </c>
      <c r="W1680">
        <f>$C1680*W1679</f>
        <v/>
      </c>
      <c r="X1680">
        <f>$C1680*X1679</f>
        <v/>
      </c>
      <c r="Y1680">
        <f>$C1680*Y1679</f>
        <v/>
      </c>
      <c r="Z1680">
        <f>$C1680*Z1679</f>
        <v/>
      </c>
      <c r="AA1680">
        <f>$C1680*AA1679</f>
        <v/>
      </c>
      <c r="AB1680">
        <f>$C1680*AB1679</f>
        <v/>
      </c>
      <c r="AC1680">
        <f>$C1680*AC1679</f>
        <v/>
      </c>
      <c r="AD1680">
        <f>$C1680*AD1679</f>
        <v/>
      </c>
      <c r="AE1680">
        <f>$C1680*AE1679</f>
        <v/>
      </c>
      <c r="AF1680">
        <f>$C1680*AF1679</f>
        <v/>
      </c>
      <c r="AG1680">
        <f>$C1680*AG1679</f>
        <v/>
      </c>
      <c r="AH1680">
        <f>$C1680*AH1679</f>
        <v/>
      </c>
      <c r="AI1680">
        <f>$C1680*AI1679</f>
        <v/>
      </c>
      <c r="AJ1680">
        <f>$C1680*AJ1679</f>
        <v/>
      </c>
      <c r="AK1680">
        <f>$C1680*AK1679</f>
        <v/>
      </c>
      <c r="AL1680">
        <f>$C1680*AL1679</f>
        <v/>
      </c>
      <c r="AM1680">
        <f>$C1680*AM1679</f>
        <v/>
      </c>
      <c r="AN1680">
        <f>$C1680*AN1679</f>
        <v/>
      </c>
      <c r="AO1680">
        <f>$C1680*AO1679</f>
        <v/>
      </c>
      <c r="AP1680">
        <f>$C1680*AP1679</f>
        <v/>
      </c>
      <c r="AQ1680">
        <f>$C1680*AQ1679</f>
        <v/>
      </c>
      <c r="AR1680">
        <f>$C1680*AR1679</f>
        <v/>
      </c>
      <c r="AS1680">
        <f>$C1680*AS1679</f>
        <v/>
      </c>
      <c r="AT1680">
        <f>$C1680*AT1679</f>
        <v/>
      </c>
      <c r="AU1680">
        <f>$C1680*AU1679</f>
        <v/>
      </c>
      <c r="AV1680">
        <f>$C1680*AV1679</f>
        <v/>
      </c>
      <c r="AW1680">
        <f>$C1680*AW1679</f>
        <v/>
      </c>
      <c r="AX1680">
        <f>$C1680*AX1679</f>
        <v/>
      </c>
      <c r="AY1680">
        <f>$C1680*AY1679</f>
        <v/>
      </c>
      <c r="AZ1680">
        <f>$C1680*AZ1679</f>
        <v/>
      </c>
      <c r="BA1680">
        <f>$C1680*BA1679</f>
        <v/>
      </c>
      <c r="BB1680">
        <f>$C1680*BB1679</f>
        <v/>
      </c>
      <c r="BC1680">
        <f>$C1680*BC1679</f>
        <v/>
      </c>
      <c r="BD1680">
        <f>$C1680*BD1679</f>
        <v/>
      </c>
      <c r="BE1680">
        <f>$C1680*BE1679</f>
        <v/>
      </c>
      <c r="BF1680">
        <f>$C1680*BF1679</f>
        <v/>
      </c>
      <c r="BG1680">
        <f>$C1680*BG1679</f>
        <v/>
      </c>
      <c r="BH1680">
        <f>$C1680*BH1679</f>
        <v/>
      </c>
      <c r="BI1680">
        <f>$C1680*BI1679</f>
        <v/>
      </c>
      <c r="BJ1680">
        <f>$C1680*BJ1679</f>
        <v/>
      </c>
      <c r="BK1680">
        <f>$C1680*BK1679</f>
        <v/>
      </c>
      <c r="BL1680">
        <f>$C1680*BL1679</f>
        <v/>
      </c>
      <c r="BM1680">
        <f>$C1680*BM1679</f>
        <v/>
      </c>
      <c r="BN1680">
        <f>$C1680*BN1679</f>
        <v/>
      </c>
      <c r="BO1680">
        <f>$C1680*BO1679</f>
        <v/>
      </c>
      <c r="BP1680">
        <f>$C1680*BP1679</f>
        <v/>
      </c>
      <c r="BQ1680">
        <f>$C1680*BQ1679</f>
        <v/>
      </c>
      <c r="BR1680">
        <f>$C1680*BR1679</f>
        <v/>
      </c>
      <c r="BS1680">
        <f>$C1680*BS1679</f>
        <v/>
      </c>
      <c r="BT1680">
        <f>$C1680*BT1679</f>
        <v/>
      </c>
      <c r="BU1680">
        <f>$C1680*BU1679</f>
        <v/>
      </c>
      <c r="BV1680">
        <f>$C1680*BV1679</f>
        <v/>
      </c>
      <c r="BW1680">
        <f>$C1680*BW1679</f>
        <v/>
      </c>
      <c r="BX1680">
        <f>$C1680*BX1679</f>
        <v/>
      </c>
      <c r="BY1680">
        <f>$C1680*BY1679</f>
        <v/>
      </c>
      <c r="BZ1680">
        <f>$C1680*BZ1679</f>
        <v/>
      </c>
      <c r="CA1680">
        <f>$C1680*CA1679</f>
        <v/>
      </c>
      <c r="CB1680">
        <f>$C1680*CB1679</f>
        <v/>
      </c>
      <c r="CC1680">
        <f>$C1680*CC1679</f>
        <v/>
      </c>
      <c r="CD1680">
        <f>$C1680*CD1679</f>
        <v/>
      </c>
      <c r="CE1680">
        <f>$C1680*CE1679</f>
        <v/>
      </c>
      <c r="CF1680">
        <f>$C1680*CF1679</f>
        <v/>
      </c>
      <c r="CG1680">
        <f>$C1680*CG1679</f>
        <v/>
      </c>
      <c r="CH1680">
        <f>$C1680*CH1679</f>
        <v/>
      </c>
      <c r="CI1680">
        <f>$C1680*CI1679</f>
        <v/>
      </c>
      <c r="CJ1680">
        <f>$C1680*CJ1679</f>
        <v/>
      </c>
      <c r="CK1680">
        <f>$C1680*CK1679</f>
        <v/>
      </c>
      <c r="CL1680">
        <f>$C1680*CL1679</f>
        <v/>
      </c>
      <c r="CM1680">
        <f>$C1680*CM1679</f>
        <v/>
      </c>
      <c r="CN1680">
        <f>$C1680*CN1679</f>
        <v/>
      </c>
      <c r="CO1680">
        <f>$C1680*CO1679</f>
        <v/>
      </c>
      <c r="CP1680">
        <f>$C1680*CP1679</f>
        <v/>
      </c>
      <c r="CQ1680">
        <f>$C1680*CQ1679</f>
        <v/>
      </c>
      <c r="CR1680">
        <f>$C1680*CR1679</f>
        <v/>
      </c>
      <c r="CS1680">
        <f>$C1680*CS1679</f>
        <v/>
      </c>
      <c r="CT1680">
        <f>$C1680*CT1679</f>
        <v/>
      </c>
      <c r="CU1680">
        <f>$C1680*CU1679</f>
        <v/>
      </c>
      <c r="CV1680">
        <f>$C1680*CV1679</f>
        <v/>
      </c>
      <c r="CW1680">
        <f>$C1680*CW1679</f>
        <v/>
      </c>
      <c r="CX1680">
        <f>$C1680*CX1679</f>
        <v/>
      </c>
      <c r="CY1680">
        <f>$C1680*CY1679</f>
        <v/>
      </c>
      <c r="CZ1680">
        <f>$C1680*CZ1679</f>
        <v/>
      </c>
      <c r="DA1680">
        <f>$C1680*DA1679</f>
        <v/>
      </c>
      <c r="DB1680">
        <f>$C1680*DB1679</f>
        <v/>
      </c>
      <c r="DC1680">
        <f>$C1680*DC1679</f>
        <v/>
      </c>
      <c r="DD1680">
        <f>$C1680*DD1679</f>
        <v/>
      </c>
    </row>
    <row r="1681">
      <c r="B1681" s="4" t="inlineStr">
        <is>
          <t>合計使用量(kg)/週</t>
        </is>
      </c>
      <c r="D1681" s="23">
        <f>IFERROR(INDEX(E1681:DD1681,$F$1),"")</f>
        <v/>
      </c>
      <c r="E1681">
        <f>'Grid_Requirement'!B16</f>
        <v/>
      </c>
      <c r="F1681">
        <f>'Grid_Requirement'!C16</f>
        <v/>
      </c>
      <c r="G1681">
        <f>'Grid_Requirement'!D16</f>
        <v/>
      </c>
      <c r="H1681">
        <f>'Grid_Requirement'!E16</f>
        <v/>
      </c>
      <c r="I1681">
        <f>'Grid_Requirement'!F16</f>
        <v/>
      </c>
      <c r="J1681">
        <f>'Grid_Requirement'!G16</f>
        <v/>
      </c>
      <c r="K1681">
        <f>'Grid_Requirement'!H16</f>
        <v/>
      </c>
      <c r="L1681">
        <f>'Grid_Requirement'!I16</f>
        <v/>
      </c>
      <c r="M1681">
        <f>'Grid_Requirement'!J16</f>
        <v/>
      </c>
      <c r="N1681">
        <f>'Grid_Requirement'!K16</f>
        <v/>
      </c>
      <c r="O1681">
        <f>'Grid_Requirement'!L16</f>
        <v/>
      </c>
      <c r="P1681">
        <f>'Grid_Requirement'!M16</f>
        <v/>
      </c>
      <c r="Q1681">
        <f>'Grid_Requirement'!N16</f>
        <v/>
      </c>
      <c r="R1681">
        <f>'Grid_Requirement'!O16</f>
        <v/>
      </c>
      <c r="S1681">
        <f>'Grid_Requirement'!P16</f>
        <v/>
      </c>
      <c r="T1681">
        <f>'Grid_Requirement'!Q16</f>
        <v/>
      </c>
      <c r="U1681">
        <f>'Grid_Requirement'!R16</f>
        <v/>
      </c>
      <c r="V1681">
        <f>'Grid_Requirement'!S16</f>
        <v/>
      </c>
      <c r="W1681">
        <f>'Grid_Requirement'!T16</f>
        <v/>
      </c>
      <c r="X1681">
        <f>'Grid_Requirement'!U16</f>
        <v/>
      </c>
      <c r="Y1681">
        <f>'Grid_Requirement'!V16</f>
        <v/>
      </c>
      <c r="Z1681">
        <f>'Grid_Requirement'!W16</f>
        <v/>
      </c>
      <c r="AA1681">
        <f>'Grid_Requirement'!X16</f>
        <v/>
      </c>
      <c r="AB1681">
        <f>'Grid_Requirement'!Y16</f>
        <v/>
      </c>
      <c r="AC1681">
        <f>'Grid_Requirement'!Z16</f>
        <v/>
      </c>
      <c r="AD1681">
        <f>'Grid_Requirement'!AA16</f>
        <v/>
      </c>
      <c r="AE1681">
        <f>'Grid_Requirement'!AB16</f>
        <v/>
      </c>
      <c r="AF1681">
        <f>'Grid_Requirement'!AC16</f>
        <v/>
      </c>
      <c r="AG1681">
        <f>'Grid_Requirement'!AD16</f>
        <v/>
      </c>
      <c r="AH1681">
        <f>'Grid_Requirement'!AE16</f>
        <v/>
      </c>
      <c r="AI1681">
        <f>'Grid_Requirement'!AF16</f>
        <v/>
      </c>
      <c r="AJ1681">
        <f>'Grid_Requirement'!AG16</f>
        <v/>
      </c>
      <c r="AK1681">
        <f>'Grid_Requirement'!AH16</f>
        <v/>
      </c>
      <c r="AL1681">
        <f>'Grid_Requirement'!AI16</f>
        <v/>
      </c>
      <c r="AM1681">
        <f>'Grid_Requirement'!AJ16</f>
        <v/>
      </c>
      <c r="AN1681">
        <f>'Grid_Requirement'!AK16</f>
        <v/>
      </c>
      <c r="AO1681">
        <f>'Grid_Requirement'!AL16</f>
        <v/>
      </c>
      <c r="AP1681">
        <f>'Grid_Requirement'!AM16</f>
        <v/>
      </c>
      <c r="AQ1681">
        <f>'Grid_Requirement'!AN16</f>
        <v/>
      </c>
      <c r="AR1681">
        <f>'Grid_Requirement'!AO16</f>
        <v/>
      </c>
      <c r="AS1681">
        <f>'Grid_Requirement'!AP16</f>
        <v/>
      </c>
      <c r="AT1681">
        <f>'Grid_Requirement'!AQ16</f>
        <v/>
      </c>
      <c r="AU1681">
        <f>'Grid_Requirement'!AR16</f>
        <v/>
      </c>
      <c r="AV1681">
        <f>'Grid_Requirement'!AS16</f>
        <v/>
      </c>
      <c r="AW1681">
        <f>'Grid_Requirement'!AT16</f>
        <v/>
      </c>
      <c r="AX1681">
        <f>'Grid_Requirement'!AU16</f>
        <v/>
      </c>
      <c r="AY1681">
        <f>'Grid_Requirement'!AV16</f>
        <v/>
      </c>
      <c r="AZ1681">
        <f>'Grid_Requirement'!AW16</f>
        <v/>
      </c>
      <c r="BA1681">
        <f>'Grid_Requirement'!AX16</f>
        <v/>
      </c>
      <c r="BB1681">
        <f>'Grid_Requirement'!AY16</f>
        <v/>
      </c>
      <c r="BC1681">
        <f>'Grid_Requirement'!AZ16</f>
        <v/>
      </c>
      <c r="BD1681">
        <f>'Grid_Requirement'!BA16</f>
        <v/>
      </c>
      <c r="BE1681">
        <f>'Grid_Requirement'!BB16</f>
        <v/>
      </c>
      <c r="BF1681">
        <f>'Grid_Requirement'!BC16</f>
        <v/>
      </c>
      <c r="BG1681">
        <f>'Grid_Requirement'!BD16</f>
        <v/>
      </c>
      <c r="BH1681">
        <f>'Grid_Requirement'!BE16</f>
        <v/>
      </c>
      <c r="BI1681">
        <f>'Grid_Requirement'!BF16</f>
        <v/>
      </c>
      <c r="BJ1681">
        <f>'Grid_Requirement'!BG16</f>
        <v/>
      </c>
      <c r="BK1681">
        <f>'Grid_Requirement'!BH16</f>
        <v/>
      </c>
      <c r="BL1681">
        <f>'Grid_Requirement'!BI16</f>
        <v/>
      </c>
      <c r="BM1681">
        <f>'Grid_Requirement'!BJ16</f>
        <v/>
      </c>
      <c r="BN1681">
        <f>'Grid_Requirement'!BK16</f>
        <v/>
      </c>
      <c r="BO1681">
        <f>'Grid_Requirement'!BL16</f>
        <v/>
      </c>
      <c r="BP1681">
        <f>'Grid_Requirement'!BM16</f>
        <v/>
      </c>
      <c r="BQ1681">
        <f>'Grid_Requirement'!BN16</f>
        <v/>
      </c>
      <c r="BR1681">
        <f>'Grid_Requirement'!BO16</f>
        <v/>
      </c>
      <c r="BS1681">
        <f>'Grid_Requirement'!BP16</f>
        <v/>
      </c>
      <c r="BT1681">
        <f>'Grid_Requirement'!BQ16</f>
        <v/>
      </c>
      <c r="BU1681">
        <f>'Grid_Requirement'!BR16</f>
        <v/>
      </c>
      <c r="BV1681">
        <f>'Grid_Requirement'!BS16</f>
        <v/>
      </c>
      <c r="BW1681">
        <f>'Grid_Requirement'!BT16</f>
        <v/>
      </c>
      <c r="BX1681">
        <f>'Grid_Requirement'!BU16</f>
        <v/>
      </c>
      <c r="BY1681">
        <f>'Grid_Requirement'!BV16</f>
        <v/>
      </c>
      <c r="BZ1681">
        <f>'Grid_Requirement'!BW16</f>
        <v/>
      </c>
      <c r="CA1681">
        <f>'Grid_Requirement'!BX16</f>
        <v/>
      </c>
      <c r="CB1681">
        <f>'Grid_Requirement'!BY16</f>
        <v/>
      </c>
      <c r="CC1681">
        <f>'Grid_Requirement'!BZ16</f>
        <v/>
      </c>
      <c r="CD1681">
        <f>'Grid_Requirement'!CA16</f>
        <v/>
      </c>
      <c r="CE1681">
        <f>'Grid_Requirement'!CB16</f>
        <v/>
      </c>
      <c r="CF1681">
        <f>'Grid_Requirement'!CC16</f>
        <v/>
      </c>
      <c r="CG1681">
        <f>'Grid_Requirement'!CD16</f>
        <v/>
      </c>
      <c r="CH1681">
        <f>'Grid_Requirement'!CE16</f>
        <v/>
      </c>
      <c r="CI1681">
        <f>'Grid_Requirement'!CF16</f>
        <v/>
      </c>
      <c r="CJ1681">
        <f>'Grid_Requirement'!CG16</f>
        <v/>
      </c>
      <c r="CK1681">
        <f>'Grid_Requirement'!CH16</f>
        <v/>
      </c>
      <c r="CL1681">
        <f>'Grid_Requirement'!CI16</f>
        <v/>
      </c>
      <c r="CM1681">
        <f>'Grid_Requirement'!CJ16</f>
        <v/>
      </c>
      <c r="CN1681">
        <f>'Grid_Requirement'!CK16</f>
        <v/>
      </c>
      <c r="CO1681">
        <f>'Grid_Requirement'!CL16</f>
        <v/>
      </c>
      <c r="CP1681">
        <f>'Grid_Requirement'!CM16</f>
        <v/>
      </c>
      <c r="CQ1681">
        <f>'Grid_Requirement'!CN16</f>
        <v/>
      </c>
      <c r="CR1681">
        <f>'Grid_Requirement'!CO16</f>
        <v/>
      </c>
      <c r="CS1681">
        <f>'Grid_Requirement'!CP16</f>
        <v/>
      </c>
      <c r="CT1681">
        <f>'Grid_Requirement'!CQ16</f>
        <v/>
      </c>
      <c r="CU1681">
        <f>'Grid_Requirement'!CR16</f>
        <v/>
      </c>
      <c r="CV1681">
        <f>'Grid_Requirement'!CS16</f>
        <v/>
      </c>
      <c r="CW1681">
        <f>'Grid_Requirement'!CT16</f>
        <v/>
      </c>
      <c r="CX1681">
        <f>'Grid_Requirement'!CU16</f>
        <v/>
      </c>
      <c r="CY1681">
        <f>'Grid_Requirement'!CV16</f>
        <v/>
      </c>
      <c r="CZ1681">
        <f>'Grid_Requirement'!CW16</f>
        <v/>
      </c>
      <c r="DA1681">
        <f>'Grid_Requirement'!CX16</f>
        <v/>
      </c>
      <c r="DB1681">
        <f>'Grid_Requirement'!CY16</f>
        <v/>
      </c>
      <c r="DC1681">
        <f>'Grid_Requirement'!CZ16</f>
        <v/>
      </c>
      <c r="DD1681">
        <f>'Grid_Requirement'!DA16</f>
        <v/>
      </c>
    </row>
    <row r="1682">
      <c r="B1682" t="inlineStr">
        <is>
          <t>TTAF在庫(実績,kg)</t>
        </is>
      </c>
      <c r="D1682">
        <f>IFERROR(INDEX(E1682:DD1682,$F$1),"")</f>
        <v/>
      </c>
      <c r="E1682">
        <f>IFERROR(SUMIFS(T_TTAFStock[TTAF_Qty],T_TTAFStock[RM_Code],$A1678,T_TTAFStock[WeekIndex],1),"")</f>
        <v/>
      </c>
      <c r="F1682">
        <f>IFERROR(SUMIFS(T_TTAFStock[TTAF_Qty],T_TTAFStock[RM_Code],$A1678,T_TTAFStock[WeekIndex],2),"")</f>
        <v/>
      </c>
      <c r="G1682">
        <f>IFERROR(SUMIFS(T_TTAFStock[TTAF_Qty],T_TTAFStock[RM_Code],$A1678,T_TTAFStock[WeekIndex],3),"")</f>
        <v/>
      </c>
      <c r="H1682">
        <f>IFERROR(SUMIFS(T_TTAFStock[TTAF_Qty],T_TTAFStock[RM_Code],$A1678,T_TTAFStock[WeekIndex],4),"")</f>
        <v/>
      </c>
      <c r="I1682">
        <f>IFERROR(SUMIFS(T_TTAFStock[TTAF_Qty],T_TTAFStock[RM_Code],$A1678,T_TTAFStock[WeekIndex],5),"")</f>
        <v/>
      </c>
      <c r="J1682">
        <f>IFERROR(SUMIFS(T_TTAFStock[TTAF_Qty],T_TTAFStock[RM_Code],$A1678,T_TTAFStock[WeekIndex],6),"")</f>
        <v/>
      </c>
      <c r="K1682">
        <f>IFERROR(SUMIFS(T_TTAFStock[TTAF_Qty],T_TTAFStock[RM_Code],$A1678,T_TTAFStock[WeekIndex],7),"")</f>
        <v/>
      </c>
      <c r="L1682">
        <f>IFERROR(SUMIFS(T_TTAFStock[TTAF_Qty],T_TTAFStock[RM_Code],$A1678,T_TTAFStock[WeekIndex],8),"")</f>
        <v/>
      </c>
      <c r="M1682">
        <f>IFERROR(SUMIFS(T_TTAFStock[TTAF_Qty],T_TTAFStock[RM_Code],$A1678,T_TTAFStock[WeekIndex],9),"")</f>
        <v/>
      </c>
      <c r="N1682">
        <f>IFERROR(SUMIFS(T_TTAFStock[TTAF_Qty],T_TTAFStock[RM_Code],$A1678,T_TTAFStock[WeekIndex],10),"")</f>
        <v/>
      </c>
      <c r="O1682">
        <f>IFERROR(SUMIFS(T_TTAFStock[TTAF_Qty],T_TTAFStock[RM_Code],$A1678,T_TTAFStock[WeekIndex],11),"")</f>
        <v/>
      </c>
      <c r="P1682">
        <f>IFERROR(SUMIFS(T_TTAFStock[TTAF_Qty],T_TTAFStock[RM_Code],$A1678,T_TTAFStock[WeekIndex],12),"")</f>
        <v/>
      </c>
      <c r="Q1682">
        <f>IFERROR(SUMIFS(T_TTAFStock[TTAF_Qty],T_TTAFStock[RM_Code],$A1678,T_TTAFStock[WeekIndex],13),"")</f>
        <v/>
      </c>
      <c r="R1682">
        <f>IFERROR(SUMIFS(T_TTAFStock[TTAF_Qty],T_TTAFStock[RM_Code],$A1678,T_TTAFStock[WeekIndex],14),"")</f>
        <v/>
      </c>
      <c r="S1682">
        <f>IFERROR(SUMIFS(T_TTAFStock[TTAF_Qty],T_TTAFStock[RM_Code],$A1678,T_TTAFStock[WeekIndex],15),"")</f>
        <v/>
      </c>
      <c r="T1682">
        <f>IFERROR(SUMIFS(T_TTAFStock[TTAF_Qty],T_TTAFStock[RM_Code],$A1678,T_TTAFStock[WeekIndex],16),"")</f>
        <v/>
      </c>
      <c r="U1682">
        <f>IFERROR(SUMIFS(T_TTAFStock[TTAF_Qty],T_TTAFStock[RM_Code],$A1678,T_TTAFStock[WeekIndex],17),"")</f>
        <v/>
      </c>
      <c r="V1682">
        <f>IFERROR(SUMIFS(T_TTAFStock[TTAF_Qty],T_TTAFStock[RM_Code],$A1678,T_TTAFStock[WeekIndex],18),"")</f>
        <v/>
      </c>
      <c r="W1682">
        <f>IFERROR(SUMIFS(T_TTAFStock[TTAF_Qty],T_TTAFStock[RM_Code],$A1678,T_TTAFStock[WeekIndex],19),"")</f>
        <v/>
      </c>
      <c r="X1682">
        <f>IFERROR(SUMIFS(T_TTAFStock[TTAF_Qty],T_TTAFStock[RM_Code],$A1678,T_TTAFStock[WeekIndex],20),"")</f>
        <v/>
      </c>
      <c r="Y1682">
        <f>IFERROR(SUMIFS(T_TTAFStock[TTAF_Qty],T_TTAFStock[RM_Code],$A1678,T_TTAFStock[WeekIndex],21),"")</f>
        <v/>
      </c>
      <c r="Z1682">
        <f>IFERROR(SUMIFS(T_TTAFStock[TTAF_Qty],T_TTAFStock[RM_Code],$A1678,T_TTAFStock[WeekIndex],22),"")</f>
        <v/>
      </c>
      <c r="AA1682">
        <f>IFERROR(SUMIFS(T_TTAFStock[TTAF_Qty],T_TTAFStock[RM_Code],$A1678,T_TTAFStock[WeekIndex],23),"")</f>
        <v/>
      </c>
      <c r="AB1682">
        <f>IFERROR(SUMIFS(T_TTAFStock[TTAF_Qty],T_TTAFStock[RM_Code],$A1678,T_TTAFStock[WeekIndex],24),"")</f>
        <v/>
      </c>
      <c r="AC1682">
        <f>IFERROR(SUMIFS(T_TTAFStock[TTAF_Qty],T_TTAFStock[RM_Code],$A1678,T_TTAFStock[WeekIndex],25),"")</f>
        <v/>
      </c>
      <c r="AD1682">
        <f>IFERROR(SUMIFS(T_TTAFStock[TTAF_Qty],T_TTAFStock[RM_Code],$A1678,T_TTAFStock[WeekIndex],26),"")</f>
        <v/>
      </c>
      <c r="AE1682">
        <f>IFERROR(SUMIFS(T_TTAFStock[TTAF_Qty],T_TTAFStock[RM_Code],$A1678,T_TTAFStock[WeekIndex],27),"")</f>
        <v/>
      </c>
      <c r="AF1682">
        <f>IFERROR(SUMIFS(T_TTAFStock[TTAF_Qty],T_TTAFStock[RM_Code],$A1678,T_TTAFStock[WeekIndex],28),"")</f>
        <v/>
      </c>
      <c r="AG1682">
        <f>IFERROR(SUMIFS(T_TTAFStock[TTAF_Qty],T_TTAFStock[RM_Code],$A1678,T_TTAFStock[WeekIndex],29),"")</f>
        <v/>
      </c>
      <c r="AH1682">
        <f>IFERROR(SUMIFS(T_TTAFStock[TTAF_Qty],T_TTAFStock[RM_Code],$A1678,T_TTAFStock[WeekIndex],30),"")</f>
        <v/>
      </c>
      <c r="AI1682">
        <f>IFERROR(SUMIFS(T_TTAFStock[TTAF_Qty],T_TTAFStock[RM_Code],$A1678,T_TTAFStock[WeekIndex],31),"")</f>
        <v/>
      </c>
      <c r="AJ1682">
        <f>IFERROR(SUMIFS(T_TTAFStock[TTAF_Qty],T_TTAFStock[RM_Code],$A1678,T_TTAFStock[WeekIndex],32),"")</f>
        <v/>
      </c>
      <c r="AK1682">
        <f>IFERROR(SUMIFS(T_TTAFStock[TTAF_Qty],T_TTAFStock[RM_Code],$A1678,T_TTAFStock[WeekIndex],33),"")</f>
        <v/>
      </c>
      <c r="AL1682">
        <f>IFERROR(SUMIFS(T_TTAFStock[TTAF_Qty],T_TTAFStock[RM_Code],$A1678,T_TTAFStock[WeekIndex],34),"")</f>
        <v/>
      </c>
      <c r="AM1682">
        <f>IFERROR(SUMIFS(T_TTAFStock[TTAF_Qty],T_TTAFStock[RM_Code],$A1678,T_TTAFStock[WeekIndex],35),"")</f>
        <v/>
      </c>
      <c r="AN1682">
        <f>IFERROR(SUMIFS(T_TTAFStock[TTAF_Qty],T_TTAFStock[RM_Code],$A1678,T_TTAFStock[WeekIndex],36),"")</f>
        <v/>
      </c>
      <c r="AO1682">
        <f>IFERROR(SUMIFS(T_TTAFStock[TTAF_Qty],T_TTAFStock[RM_Code],$A1678,T_TTAFStock[WeekIndex],37),"")</f>
        <v/>
      </c>
      <c r="AP1682">
        <f>IFERROR(SUMIFS(T_TTAFStock[TTAF_Qty],T_TTAFStock[RM_Code],$A1678,T_TTAFStock[WeekIndex],38),"")</f>
        <v/>
      </c>
      <c r="AQ1682">
        <f>IFERROR(SUMIFS(T_TTAFStock[TTAF_Qty],T_TTAFStock[RM_Code],$A1678,T_TTAFStock[WeekIndex],39),"")</f>
        <v/>
      </c>
      <c r="AR1682">
        <f>IFERROR(SUMIFS(T_TTAFStock[TTAF_Qty],T_TTAFStock[RM_Code],$A1678,T_TTAFStock[WeekIndex],40),"")</f>
        <v/>
      </c>
      <c r="AS1682">
        <f>IFERROR(SUMIFS(T_TTAFStock[TTAF_Qty],T_TTAFStock[RM_Code],$A1678,T_TTAFStock[WeekIndex],41),"")</f>
        <v/>
      </c>
      <c r="AT1682">
        <f>IFERROR(SUMIFS(T_TTAFStock[TTAF_Qty],T_TTAFStock[RM_Code],$A1678,T_TTAFStock[WeekIndex],42),"")</f>
        <v/>
      </c>
      <c r="AU1682">
        <f>IFERROR(SUMIFS(T_TTAFStock[TTAF_Qty],T_TTAFStock[RM_Code],$A1678,T_TTAFStock[WeekIndex],43),"")</f>
        <v/>
      </c>
      <c r="AV1682">
        <f>IFERROR(SUMIFS(T_TTAFStock[TTAF_Qty],T_TTAFStock[RM_Code],$A1678,T_TTAFStock[WeekIndex],44),"")</f>
        <v/>
      </c>
      <c r="AW1682">
        <f>IFERROR(SUMIFS(T_TTAFStock[TTAF_Qty],T_TTAFStock[RM_Code],$A1678,T_TTAFStock[WeekIndex],45),"")</f>
        <v/>
      </c>
      <c r="AX1682">
        <f>IFERROR(SUMIFS(T_TTAFStock[TTAF_Qty],T_TTAFStock[RM_Code],$A1678,T_TTAFStock[WeekIndex],46),"")</f>
        <v/>
      </c>
      <c r="AY1682">
        <f>IFERROR(SUMIFS(T_TTAFStock[TTAF_Qty],T_TTAFStock[RM_Code],$A1678,T_TTAFStock[WeekIndex],47),"")</f>
        <v/>
      </c>
      <c r="AZ1682">
        <f>IFERROR(SUMIFS(T_TTAFStock[TTAF_Qty],T_TTAFStock[RM_Code],$A1678,T_TTAFStock[WeekIndex],48),"")</f>
        <v/>
      </c>
      <c r="BA1682">
        <f>IFERROR(SUMIFS(T_TTAFStock[TTAF_Qty],T_TTAFStock[RM_Code],$A1678,T_TTAFStock[WeekIndex],49),"")</f>
        <v/>
      </c>
      <c r="BB1682">
        <f>IFERROR(SUMIFS(T_TTAFStock[TTAF_Qty],T_TTAFStock[RM_Code],$A1678,T_TTAFStock[WeekIndex],50),"")</f>
        <v/>
      </c>
      <c r="BC1682">
        <f>IFERROR(SUMIFS(T_TTAFStock[TTAF_Qty],T_TTAFStock[RM_Code],$A1678,T_TTAFStock[WeekIndex],51),"")</f>
        <v/>
      </c>
      <c r="BD1682">
        <f>IFERROR(SUMIFS(T_TTAFStock[TTAF_Qty],T_TTAFStock[RM_Code],$A1678,T_TTAFStock[WeekIndex],52),"")</f>
        <v/>
      </c>
      <c r="BE1682">
        <f>IFERROR(SUMIFS(T_TTAFStock[TTAF_Qty],T_TTAFStock[RM_Code],$A1678,T_TTAFStock[WeekIndex],53),"")</f>
        <v/>
      </c>
      <c r="BF1682">
        <f>IFERROR(SUMIFS(T_TTAFStock[TTAF_Qty],T_TTAFStock[RM_Code],$A1678,T_TTAFStock[WeekIndex],54),"")</f>
        <v/>
      </c>
      <c r="BG1682">
        <f>IFERROR(SUMIFS(T_TTAFStock[TTAF_Qty],T_TTAFStock[RM_Code],$A1678,T_TTAFStock[WeekIndex],55),"")</f>
        <v/>
      </c>
      <c r="BH1682">
        <f>IFERROR(SUMIFS(T_TTAFStock[TTAF_Qty],T_TTAFStock[RM_Code],$A1678,T_TTAFStock[WeekIndex],56),"")</f>
        <v/>
      </c>
      <c r="BI1682">
        <f>IFERROR(SUMIFS(T_TTAFStock[TTAF_Qty],T_TTAFStock[RM_Code],$A1678,T_TTAFStock[WeekIndex],57),"")</f>
        <v/>
      </c>
      <c r="BJ1682">
        <f>IFERROR(SUMIFS(T_TTAFStock[TTAF_Qty],T_TTAFStock[RM_Code],$A1678,T_TTAFStock[WeekIndex],58),"")</f>
        <v/>
      </c>
      <c r="BK1682">
        <f>IFERROR(SUMIFS(T_TTAFStock[TTAF_Qty],T_TTAFStock[RM_Code],$A1678,T_TTAFStock[WeekIndex],59),"")</f>
        <v/>
      </c>
      <c r="BL1682">
        <f>IFERROR(SUMIFS(T_TTAFStock[TTAF_Qty],T_TTAFStock[RM_Code],$A1678,T_TTAFStock[WeekIndex],60),"")</f>
        <v/>
      </c>
      <c r="BM1682">
        <f>IFERROR(SUMIFS(T_TTAFStock[TTAF_Qty],T_TTAFStock[RM_Code],$A1678,T_TTAFStock[WeekIndex],61),"")</f>
        <v/>
      </c>
      <c r="BN1682">
        <f>IFERROR(SUMIFS(T_TTAFStock[TTAF_Qty],T_TTAFStock[RM_Code],$A1678,T_TTAFStock[WeekIndex],62),"")</f>
        <v/>
      </c>
      <c r="BO1682">
        <f>IFERROR(SUMIFS(T_TTAFStock[TTAF_Qty],T_TTAFStock[RM_Code],$A1678,T_TTAFStock[WeekIndex],63),"")</f>
        <v/>
      </c>
      <c r="BP1682">
        <f>IFERROR(SUMIFS(T_TTAFStock[TTAF_Qty],T_TTAFStock[RM_Code],$A1678,T_TTAFStock[WeekIndex],64),"")</f>
        <v/>
      </c>
      <c r="BQ1682">
        <f>IFERROR(SUMIFS(T_TTAFStock[TTAF_Qty],T_TTAFStock[RM_Code],$A1678,T_TTAFStock[WeekIndex],65),"")</f>
        <v/>
      </c>
      <c r="BR1682">
        <f>IFERROR(SUMIFS(T_TTAFStock[TTAF_Qty],T_TTAFStock[RM_Code],$A1678,T_TTAFStock[WeekIndex],66),"")</f>
        <v/>
      </c>
      <c r="BS1682">
        <f>IFERROR(SUMIFS(T_TTAFStock[TTAF_Qty],T_TTAFStock[RM_Code],$A1678,T_TTAFStock[WeekIndex],67),"")</f>
        <v/>
      </c>
      <c r="BT1682">
        <f>IFERROR(SUMIFS(T_TTAFStock[TTAF_Qty],T_TTAFStock[RM_Code],$A1678,T_TTAFStock[WeekIndex],68),"")</f>
        <v/>
      </c>
      <c r="BU1682">
        <f>IFERROR(SUMIFS(T_TTAFStock[TTAF_Qty],T_TTAFStock[RM_Code],$A1678,T_TTAFStock[WeekIndex],69),"")</f>
        <v/>
      </c>
      <c r="BV1682">
        <f>IFERROR(SUMIFS(T_TTAFStock[TTAF_Qty],T_TTAFStock[RM_Code],$A1678,T_TTAFStock[WeekIndex],70),"")</f>
        <v/>
      </c>
      <c r="BW1682">
        <f>IFERROR(SUMIFS(T_TTAFStock[TTAF_Qty],T_TTAFStock[RM_Code],$A1678,T_TTAFStock[WeekIndex],71),"")</f>
        <v/>
      </c>
      <c r="BX1682">
        <f>IFERROR(SUMIFS(T_TTAFStock[TTAF_Qty],T_TTAFStock[RM_Code],$A1678,T_TTAFStock[WeekIndex],72),"")</f>
        <v/>
      </c>
      <c r="BY1682">
        <f>IFERROR(SUMIFS(T_TTAFStock[TTAF_Qty],T_TTAFStock[RM_Code],$A1678,T_TTAFStock[WeekIndex],73),"")</f>
        <v/>
      </c>
      <c r="BZ1682">
        <f>IFERROR(SUMIFS(T_TTAFStock[TTAF_Qty],T_TTAFStock[RM_Code],$A1678,T_TTAFStock[WeekIndex],74),"")</f>
        <v/>
      </c>
      <c r="CA1682">
        <f>IFERROR(SUMIFS(T_TTAFStock[TTAF_Qty],T_TTAFStock[RM_Code],$A1678,T_TTAFStock[WeekIndex],75),"")</f>
        <v/>
      </c>
      <c r="CB1682">
        <f>IFERROR(SUMIFS(T_TTAFStock[TTAF_Qty],T_TTAFStock[RM_Code],$A1678,T_TTAFStock[WeekIndex],76),"")</f>
        <v/>
      </c>
      <c r="CC1682">
        <f>IFERROR(SUMIFS(T_TTAFStock[TTAF_Qty],T_TTAFStock[RM_Code],$A1678,T_TTAFStock[WeekIndex],77),"")</f>
        <v/>
      </c>
      <c r="CD1682">
        <f>IFERROR(SUMIFS(T_TTAFStock[TTAF_Qty],T_TTAFStock[RM_Code],$A1678,T_TTAFStock[WeekIndex],78),"")</f>
        <v/>
      </c>
      <c r="CE1682">
        <f>IFERROR(SUMIFS(T_TTAFStock[TTAF_Qty],T_TTAFStock[RM_Code],$A1678,T_TTAFStock[WeekIndex],79),"")</f>
        <v/>
      </c>
      <c r="CF1682">
        <f>IFERROR(SUMIFS(T_TTAFStock[TTAF_Qty],T_TTAFStock[RM_Code],$A1678,T_TTAFStock[WeekIndex],80),"")</f>
        <v/>
      </c>
      <c r="CG1682">
        <f>IFERROR(SUMIFS(T_TTAFStock[TTAF_Qty],T_TTAFStock[RM_Code],$A1678,T_TTAFStock[WeekIndex],81),"")</f>
        <v/>
      </c>
      <c r="CH1682">
        <f>IFERROR(SUMIFS(T_TTAFStock[TTAF_Qty],T_TTAFStock[RM_Code],$A1678,T_TTAFStock[WeekIndex],82),"")</f>
        <v/>
      </c>
      <c r="CI1682">
        <f>IFERROR(SUMIFS(T_TTAFStock[TTAF_Qty],T_TTAFStock[RM_Code],$A1678,T_TTAFStock[WeekIndex],83),"")</f>
        <v/>
      </c>
      <c r="CJ1682">
        <f>IFERROR(SUMIFS(T_TTAFStock[TTAF_Qty],T_TTAFStock[RM_Code],$A1678,T_TTAFStock[WeekIndex],84),"")</f>
        <v/>
      </c>
      <c r="CK1682">
        <f>IFERROR(SUMIFS(T_TTAFStock[TTAF_Qty],T_TTAFStock[RM_Code],$A1678,T_TTAFStock[WeekIndex],85),"")</f>
        <v/>
      </c>
      <c r="CL1682">
        <f>IFERROR(SUMIFS(T_TTAFStock[TTAF_Qty],T_TTAFStock[RM_Code],$A1678,T_TTAFStock[WeekIndex],86),"")</f>
        <v/>
      </c>
      <c r="CM1682">
        <f>IFERROR(SUMIFS(T_TTAFStock[TTAF_Qty],T_TTAFStock[RM_Code],$A1678,T_TTAFStock[WeekIndex],87),"")</f>
        <v/>
      </c>
      <c r="CN1682">
        <f>IFERROR(SUMIFS(T_TTAFStock[TTAF_Qty],T_TTAFStock[RM_Code],$A1678,T_TTAFStock[WeekIndex],88),"")</f>
        <v/>
      </c>
      <c r="CO1682">
        <f>IFERROR(SUMIFS(T_TTAFStock[TTAF_Qty],T_TTAFStock[RM_Code],$A1678,T_TTAFStock[WeekIndex],89),"")</f>
        <v/>
      </c>
      <c r="CP1682">
        <f>IFERROR(SUMIFS(T_TTAFStock[TTAF_Qty],T_TTAFStock[RM_Code],$A1678,T_TTAFStock[WeekIndex],90),"")</f>
        <v/>
      </c>
      <c r="CQ1682">
        <f>IFERROR(SUMIFS(T_TTAFStock[TTAF_Qty],T_TTAFStock[RM_Code],$A1678,T_TTAFStock[WeekIndex],91),"")</f>
        <v/>
      </c>
      <c r="CR1682">
        <f>IFERROR(SUMIFS(T_TTAFStock[TTAF_Qty],T_TTAFStock[RM_Code],$A1678,T_TTAFStock[WeekIndex],92),"")</f>
        <v/>
      </c>
      <c r="CS1682">
        <f>IFERROR(SUMIFS(T_TTAFStock[TTAF_Qty],T_TTAFStock[RM_Code],$A1678,T_TTAFStock[WeekIndex],93),"")</f>
        <v/>
      </c>
      <c r="CT1682">
        <f>IFERROR(SUMIFS(T_TTAFStock[TTAF_Qty],T_TTAFStock[RM_Code],$A1678,T_TTAFStock[WeekIndex],94),"")</f>
        <v/>
      </c>
      <c r="CU1682">
        <f>IFERROR(SUMIFS(T_TTAFStock[TTAF_Qty],T_TTAFStock[RM_Code],$A1678,T_TTAFStock[WeekIndex],95),"")</f>
        <v/>
      </c>
      <c r="CV1682">
        <f>IFERROR(SUMIFS(T_TTAFStock[TTAF_Qty],T_TTAFStock[RM_Code],$A1678,T_TTAFStock[WeekIndex],96),"")</f>
        <v/>
      </c>
      <c r="CW1682">
        <f>IFERROR(SUMIFS(T_TTAFStock[TTAF_Qty],T_TTAFStock[RM_Code],$A1678,T_TTAFStock[WeekIndex],97),"")</f>
        <v/>
      </c>
      <c r="CX1682">
        <f>IFERROR(SUMIFS(T_TTAFStock[TTAF_Qty],T_TTAFStock[RM_Code],$A1678,T_TTAFStock[WeekIndex],98),"")</f>
        <v/>
      </c>
      <c r="CY1682">
        <f>IFERROR(SUMIFS(T_TTAFStock[TTAF_Qty],T_TTAFStock[RM_Code],$A1678,T_TTAFStock[WeekIndex],99),"")</f>
        <v/>
      </c>
      <c r="CZ1682">
        <f>IFERROR(SUMIFS(T_TTAFStock[TTAF_Qty],T_TTAFStock[RM_Code],$A1678,T_TTAFStock[WeekIndex],100),"")</f>
        <v/>
      </c>
      <c r="DA1682">
        <f>IFERROR(SUMIFS(T_TTAFStock[TTAF_Qty],T_TTAFStock[RM_Code],$A1678,T_TTAFStock[WeekIndex],101),"")</f>
        <v/>
      </c>
      <c r="DB1682">
        <f>IFERROR(SUMIFS(T_TTAFStock[TTAF_Qty],T_TTAFStock[RM_Code],$A1678,T_TTAFStock[WeekIndex],102),"")</f>
        <v/>
      </c>
      <c r="DC1682">
        <f>IFERROR(SUMIFS(T_TTAFStock[TTAF_Qty],T_TTAFStock[RM_Code],$A1678,T_TTAFStock[WeekIndex],103),"")</f>
        <v/>
      </c>
      <c r="DD1682">
        <f>IFERROR(SUMIFS(T_TTAFStock[TTAF_Qty],T_TTAFStock[RM_Code],$A1678,T_TTAFStock[WeekIndex],104),"")</f>
        <v/>
      </c>
    </row>
    <row r="1683">
      <c r="B1683" t="inlineStr">
        <is>
          <t>自社在庫(実績,kg)</t>
        </is>
      </c>
      <c r="D1683">
        <f>IFERROR(INDEX(E1683:DD1683,$F$1),"")</f>
        <v/>
      </c>
      <c r="E1683">
        <f>IFERROR(SUMIFS(T_SelfStock[Self_Qty],T_SelfStock[RM_Code],$A1678,T_SelfStock[WeekIndex],1),"")</f>
        <v/>
      </c>
      <c r="F1683">
        <f>IFERROR(SUMIFS(T_SelfStock[Self_Qty],T_SelfStock[RM_Code],$A1678,T_SelfStock[WeekIndex],2),"")</f>
        <v/>
      </c>
      <c r="G1683">
        <f>IFERROR(SUMIFS(T_SelfStock[Self_Qty],T_SelfStock[RM_Code],$A1678,T_SelfStock[WeekIndex],3),"")</f>
        <v/>
      </c>
      <c r="H1683">
        <f>IFERROR(SUMIFS(T_SelfStock[Self_Qty],T_SelfStock[RM_Code],$A1678,T_SelfStock[WeekIndex],4),"")</f>
        <v/>
      </c>
      <c r="I1683">
        <f>IFERROR(SUMIFS(T_SelfStock[Self_Qty],T_SelfStock[RM_Code],$A1678,T_SelfStock[WeekIndex],5),"")</f>
        <v/>
      </c>
      <c r="J1683">
        <f>IFERROR(SUMIFS(T_SelfStock[Self_Qty],T_SelfStock[RM_Code],$A1678,T_SelfStock[WeekIndex],6),"")</f>
        <v/>
      </c>
      <c r="K1683">
        <f>IFERROR(SUMIFS(T_SelfStock[Self_Qty],T_SelfStock[RM_Code],$A1678,T_SelfStock[WeekIndex],7),"")</f>
        <v/>
      </c>
      <c r="L1683">
        <f>IFERROR(SUMIFS(T_SelfStock[Self_Qty],T_SelfStock[RM_Code],$A1678,T_SelfStock[WeekIndex],8),"")</f>
        <v/>
      </c>
      <c r="M1683">
        <f>IFERROR(SUMIFS(T_SelfStock[Self_Qty],T_SelfStock[RM_Code],$A1678,T_SelfStock[WeekIndex],9),"")</f>
        <v/>
      </c>
      <c r="N1683">
        <f>IFERROR(SUMIFS(T_SelfStock[Self_Qty],T_SelfStock[RM_Code],$A1678,T_SelfStock[WeekIndex],10),"")</f>
        <v/>
      </c>
      <c r="O1683">
        <f>IFERROR(SUMIFS(T_SelfStock[Self_Qty],T_SelfStock[RM_Code],$A1678,T_SelfStock[WeekIndex],11),"")</f>
        <v/>
      </c>
      <c r="P1683">
        <f>IFERROR(SUMIFS(T_SelfStock[Self_Qty],T_SelfStock[RM_Code],$A1678,T_SelfStock[WeekIndex],12),"")</f>
        <v/>
      </c>
      <c r="Q1683">
        <f>IFERROR(SUMIFS(T_SelfStock[Self_Qty],T_SelfStock[RM_Code],$A1678,T_SelfStock[WeekIndex],13),"")</f>
        <v/>
      </c>
      <c r="R1683">
        <f>IFERROR(SUMIFS(T_SelfStock[Self_Qty],T_SelfStock[RM_Code],$A1678,T_SelfStock[WeekIndex],14),"")</f>
        <v/>
      </c>
      <c r="S1683">
        <f>IFERROR(SUMIFS(T_SelfStock[Self_Qty],T_SelfStock[RM_Code],$A1678,T_SelfStock[WeekIndex],15),"")</f>
        <v/>
      </c>
      <c r="T1683">
        <f>IFERROR(SUMIFS(T_SelfStock[Self_Qty],T_SelfStock[RM_Code],$A1678,T_SelfStock[WeekIndex],16),"")</f>
        <v/>
      </c>
      <c r="U1683">
        <f>IFERROR(SUMIFS(T_SelfStock[Self_Qty],T_SelfStock[RM_Code],$A1678,T_SelfStock[WeekIndex],17),"")</f>
        <v/>
      </c>
      <c r="V1683">
        <f>IFERROR(SUMIFS(T_SelfStock[Self_Qty],T_SelfStock[RM_Code],$A1678,T_SelfStock[WeekIndex],18),"")</f>
        <v/>
      </c>
      <c r="W1683">
        <f>IFERROR(SUMIFS(T_SelfStock[Self_Qty],T_SelfStock[RM_Code],$A1678,T_SelfStock[WeekIndex],19),"")</f>
        <v/>
      </c>
      <c r="X1683">
        <f>IFERROR(SUMIFS(T_SelfStock[Self_Qty],T_SelfStock[RM_Code],$A1678,T_SelfStock[WeekIndex],20),"")</f>
        <v/>
      </c>
      <c r="Y1683">
        <f>IFERROR(SUMIFS(T_SelfStock[Self_Qty],T_SelfStock[RM_Code],$A1678,T_SelfStock[WeekIndex],21),"")</f>
        <v/>
      </c>
      <c r="Z1683">
        <f>IFERROR(SUMIFS(T_SelfStock[Self_Qty],T_SelfStock[RM_Code],$A1678,T_SelfStock[WeekIndex],22),"")</f>
        <v/>
      </c>
      <c r="AA1683">
        <f>IFERROR(SUMIFS(T_SelfStock[Self_Qty],T_SelfStock[RM_Code],$A1678,T_SelfStock[WeekIndex],23),"")</f>
        <v/>
      </c>
      <c r="AB1683">
        <f>IFERROR(SUMIFS(T_SelfStock[Self_Qty],T_SelfStock[RM_Code],$A1678,T_SelfStock[WeekIndex],24),"")</f>
        <v/>
      </c>
      <c r="AC1683">
        <f>IFERROR(SUMIFS(T_SelfStock[Self_Qty],T_SelfStock[RM_Code],$A1678,T_SelfStock[WeekIndex],25),"")</f>
        <v/>
      </c>
      <c r="AD1683">
        <f>IFERROR(SUMIFS(T_SelfStock[Self_Qty],T_SelfStock[RM_Code],$A1678,T_SelfStock[WeekIndex],26),"")</f>
        <v/>
      </c>
      <c r="AE1683">
        <f>IFERROR(SUMIFS(T_SelfStock[Self_Qty],T_SelfStock[RM_Code],$A1678,T_SelfStock[WeekIndex],27),"")</f>
        <v/>
      </c>
      <c r="AF1683">
        <f>IFERROR(SUMIFS(T_SelfStock[Self_Qty],T_SelfStock[RM_Code],$A1678,T_SelfStock[WeekIndex],28),"")</f>
        <v/>
      </c>
      <c r="AG1683">
        <f>IFERROR(SUMIFS(T_SelfStock[Self_Qty],T_SelfStock[RM_Code],$A1678,T_SelfStock[WeekIndex],29),"")</f>
        <v/>
      </c>
      <c r="AH1683">
        <f>IFERROR(SUMIFS(T_SelfStock[Self_Qty],T_SelfStock[RM_Code],$A1678,T_SelfStock[WeekIndex],30),"")</f>
        <v/>
      </c>
      <c r="AI1683">
        <f>IFERROR(SUMIFS(T_SelfStock[Self_Qty],T_SelfStock[RM_Code],$A1678,T_SelfStock[WeekIndex],31),"")</f>
        <v/>
      </c>
      <c r="AJ1683">
        <f>IFERROR(SUMIFS(T_SelfStock[Self_Qty],T_SelfStock[RM_Code],$A1678,T_SelfStock[WeekIndex],32),"")</f>
        <v/>
      </c>
      <c r="AK1683">
        <f>IFERROR(SUMIFS(T_SelfStock[Self_Qty],T_SelfStock[RM_Code],$A1678,T_SelfStock[WeekIndex],33),"")</f>
        <v/>
      </c>
      <c r="AL1683">
        <f>IFERROR(SUMIFS(T_SelfStock[Self_Qty],T_SelfStock[RM_Code],$A1678,T_SelfStock[WeekIndex],34),"")</f>
        <v/>
      </c>
      <c r="AM1683">
        <f>IFERROR(SUMIFS(T_SelfStock[Self_Qty],T_SelfStock[RM_Code],$A1678,T_SelfStock[WeekIndex],35),"")</f>
        <v/>
      </c>
      <c r="AN1683">
        <f>IFERROR(SUMIFS(T_SelfStock[Self_Qty],T_SelfStock[RM_Code],$A1678,T_SelfStock[WeekIndex],36),"")</f>
        <v/>
      </c>
      <c r="AO1683">
        <f>IFERROR(SUMIFS(T_SelfStock[Self_Qty],T_SelfStock[RM_Code],$A1678,T_SelfStock[WeekIndex],37),"")</f>
        <v/>
      </c>
      <c r="AP1683">
        <f>IFERROR(SUMIFS(T_SelfStock[Self_Qty],T_SelfStock[RM_Code],$A1678,T_SelfStock[WeekIndex],38),"")</f>
        <v/>
      </c>
      <c r="AQ1683">
        <f>IFERROR(SUMIFS(T_SelfStock[Self_Qty],T_SelfStock[RM_Code],$A1678,T_SelfStock[WeekIndex],39),"")</f>
        <v/>
      </c>
      <c r="AR1683">
        <f>IFERROR(SUMIFS(T_SelfStock[Self_Qty],T_SelfStock[RM_Code],$A1678,T_SelfStock[WeekIndex],40),"")</f>
        <v/>
      </c>
      <c r="AS1683">
        <f>IFERROR(SUMIFS(T_SelfStock[Self_Qty],T_SelfStock[RM_Code],$A1678,T_SelfStock[WeekIndex],41),"")</f>
        <v/>
      </c>
      <c r="AT1683">
        <f>IFERROR(SUMIFS(T_SelfStock[Self_Qty],T_SelfStock[RM_Code],$A1678,T_SelfStock[WeekIndex],42),"")</f>
        <v/>
      </c>
      <c r="AU1683">
        <f>IFERROR(SUMIFS(T_SelfStock[Self_Qty],T_SelfStock[RM_Code],$A1678,T_SelfStock[WeekIndex],43),"")</f>
        <v/>
      </c>
      <c r="AV1683">
        <f>IFERROR(SUMIFS(T_SelfStock[Self_Qty],T_SelfStock[RM_Code],$A1678,T_SelfStock[WeekIndex],44),"")</f>
        <v/>
      </c>
      <c r="AW1683">
        <f>IFERROR(SUMIFS(T_SelfStock[Self_Qty],T_SelfStock[RM_Code],$A1678,T_SelfStock[WeekIndex],45),"")</f>
        <v/>
      </c>
      <c r="AX1683">
        <f>IFERROR(SUMIFS(T_SelfStock[Self_Qty],T_SelfStock[RM_Code],$A1678,T_SelfStock[WeekIndex],46),"")</f>
        <v/>
      </c>
      <c r="AY1683">
        <f>IFERROR(SUMIFS(T_SelfStock[Self_Qty],T_SelfStock[RM_Code],$A1678,T_SelfStock[WeekIndex],47),"")</f>
        <v/>
      </c>
      <c r="AZ1683">
        <f>IFERROR(SUMIFS(T_SelfStock[Self_Qty],T_SelfStock[RM_Code],$A1678,T_SelfStock[WeekIndex],48),"")</f>
        <v/>
      </c>
      <c r="BA1683">
        <f>IFERROR(SUMIFS(T_SelfStock[Self_Qty],T_SelfStock[RM_Code],$A1678,T_SelfStock[WeekIndex],49),"")</f>
        <v/>
      </c>
      <c r="BB1683">
        <f>IFERROR(SUMIFS(T_SelfStock[Self_Qty],T_SelfStock[RM_Code],$A1678,T_SelfStock[WeekIndex],50),"")</f>
        <v/>
      </c>
      <c r="BC1683">
        <f>IFERROR(SUMIFS(T_SelfStock[Self_Qty],T_SelfStock[RM_Code],$A1678,T_SelfStock[WeekIndex],51),"")</f>
        <v/>
      </c>
      <c r="BD1683">
        <f>IFERROR(SUMIFS(T_SelfStock[Self_Qty],T_SelfStock[RM_Code],$A1678,T_SelfStock[WeekIndex],52),"")</f>
        <v/>
      </c>
      <c r="BE1683">
        <f>IFERROR(SUMIFS(T_SelfStock[Self_Qty],T_SelfStock[RM_Code],$A1678,T_SelfStock[WeekIndex],53),"")</f>
        <v/>
      </c>
      <c r="BF1683">
        <f>IFERROR(SUMIFS(T_SelfStock[Self_Qty],T_SelfStock[RM_Code],$A1678,T_SelfStock[WeekIndex],54),"")</f>
        <v/>
      </c>
      <c r="BG1683">
        <f>IFERROR(SUMIFS(T_SelfStock[Self_Qty],T_SelfStock[RM_Code],$A1678,T_SelfStock[WeekIndex],55),"")</f>
        <v/>
      </c>
      <c r="BH1683">
        <f>IFERROR(SUMIFS(T_SelfStock[Self_Qty],T_SelfStock[RM_Code],$A1678,T_SelfStock[WeekIndex],56),"")</f>
        <v/>
      </c>
      <c r="BI1683">
        <f>IFERROR(SUMIFS(T_SelfStock[Self_Qty],T_SelfStock[RM_Code],$A1678,T_SelfStock[WeekIndex],57),"")</f>
        <v/>
      </c>
      <c r="BJ1683">
        <f>IFERROR(SUMIFS(T_SelfStock[Self_Qty],T_SelfStock[RM_Code],$A1678,T_SelfStock[WeekIndex],58),"")</f>
        <v/>
      </c>
      <c r="BK1683">
        <f>IFERROR(SUMIFS(T_SelfStock[Self_Qty],T_SelfStock[RM_Code],$A1678,T_SelfStock[WeekIndex],59),"")</f>
        <v/>
      </c>
      <c r="BL1683">
        <f>IFERROR(SUMIFS(T_SelfStock[Self_Qty],T_SelfStock[RM_Code],$A1678,T_SelfStock[WeekIndex],60),"")</f>
        <v/>
      </c>
      <c r="BM1683">
        <f>IFERROR(SUMIFS(T_SelfStock[Self_Qty],T_SelfStock[RM_Code],$A1678,T_SelfStock[WeekIndex],61),"")</f>
        <v/>
      </c>
      <c r="BN1683">
        <f>IFERROR(SUMIFS(T_SelfStock[Self_Qty],T_SelfStock[RM_Code],$A1678,T_SelfStock[WeekIndex],62),"")</f>
        <v/>
      </c>
      <c r="BO1683">
        <f>IFERROR(SUMIFS(T_SelfStock[Self_Qty],T_SelfStock[RM_Code],$A1678,T_SelfStock[WeekIndex],63),"")</f>
        <v/>
      </c>
      <c r="BP1683">
        <f>IFERROR(SUMIFS(T_SelfStock[Self_Qty],T_SelfStock[RM_Code],$A1678,T_SelfStock[WeekIndex],64),"")</f>
        <v/>
      </c>
      <c r="BQ1683">
        <f>IFERROR(SUMIFS(T_SelfStock[Self_Qty],T_SelfStock[RM_Code],$A1678,T_SelfStock[WeekIndex],65),"")</f>
        <v/>
      </c>
      <c r="BR1683">
        <f>IFERROR(SUMIFS(T_SelfStock[Self_Qty],T_SelfStock[RM_Code],$A1678,T_SelfStock[WeekIndex],66),"")</f>
        <v/>
      </c>
      <c r="BS1683">
        <f>IFERROR(SUMIFS(T_SelfStock[Self_Qty],T_SelfStock[RM_Code],$A1678,T_SelfStock[WeekIndex],67),"")</f>
        <v/>
      </c>
      <c r="BT1683">
        <f>IFERROR(SUMIFS(T_SelfStock[Self_Qty],T_SelfStock[RM_Code],$A1678,T_SelfStock[WeekIndex],68),"")</f>
        <v/>
      </c>
      <c r="BU1683">
        <f>IFERROR(SUMIFS(T_SelfStock[Self_Qty],T_SelfStock[RM_Code],$A1678,T_SelfStock[WeekIndex],69),"")</f>
        <v/>
      </c>
      <c r="BV1683">
        <f>IFERROR(SUMIFS(T_SelfStock[Self_Qty],T_SelfStock[RM_Code],$A1678,T_SelfStock[WeekIndex],70),"")</f>
        <v/>
      </c>
      <c r="BW1683">
        <f>IFERROR(SUMIFS(T_SelfStock[Self_Qty],T_SelfStock[RM_Code],$A1678,T_SelfStock[WeekIndex],71),"")</f>
        <v/>
      </c>
      <c r="BX1683">
        <f>IFERROR(SUMIFS(T_SelfStock[Self_Qty],T_SelfStock[RM_Code],$A1678,T_SelfStock[WeekIndex],72),"")</f>
        <v/>
      </c>
      <c r="BY1683">
        <f>IFERROR(SUMIFS(T_SelfStock[Self_Qty],T_SelfStock[RM_Code],$A1678,T_SelfStock[WeekIndex],73),"")</f>
        <v/>
      </c>
      <c r="BZ1683">
        <f>IFERROR(SUMIFS(T_SelfStock[Self_Qty],T_SelfStock[RM_Code],$A1678,T_SelfStock[WeekIndex],74),"")</f>
        <v/>
      </c>
      <c r="CA1683">
        <f>IFERROR(SUMIFS(T_SelfStock[Self_Qty],T_SelfStock[RM_Code],$A1678,T_SelfStock[WeekIndex],75),"")</f>
        <v/>
      </c>
      <c r="CB1683">
        <f>IFERROR(SUMIFS(T_SelfStock[Self_Qty],T_SelfStock[RM_Code],$A1678,T_SelfStock[WeekIndex],76),"")</f>
        <v/>
      </c>
      <c r="CC1683">
        <f>IFERROR(SUMIFS(T_SelfStock[Self_Qty],T_SelfStock[RM_Code],$A1678,T_SelfStock[WeekIndex],77),"")</f>
        <v/>
      </c>
      <c r="CD1683">
        <f>IFERROR(SUMIFS(T_SelfStock[Self_Qty],T_SelfStock[RM_Code],$A1678,T_SelfStock[WeekIndex],78),"")</f>
        <v/>
      </c>
      <c r="CE1683">
        <f>IFERROR(SUMIFS(T_SelfStock[Self_Qty],T_SelfStock[RM_Code],$A1678,T_SelfStock[WeekIndex],79),"")</f>
        <v/>
      </c>
      <c r="CF1683">
        <f>IFERROR(SUMIFS(T_SelfStock[Self_Qty],T_SelfStock[RM_Code],$A1678,T_SelfStock[WeekIndex],80),"")</f>
        <v/>
      </c>
      <c r="CG1683">
        <f>IFERROR(SUMIFS(T_SelfStock[Self_Qty],T_SelfStock[RM_Code],$A1678,T_SelfStock[WeekIndex],81),"")</f>
        <v/>
      </c>
      <c r="CH1683">
        <f>IFERROR(SUMIFS(T_SelfStock[Self_Qty],T_SelfStock[RM_Code],$A1678,T_SelfStock[WeekIndex],82),"")</f>
        <v/>
      </c>
      <c r="CI1683">
        <f>IFERROR(SUMIFS(T_SelfStock[Self_Qty],T_SelfStock[RM_Code],$A1678,T_SelfStock[WeekIndex],83),"")</f>
        <v/>
      </c>
      <c r="CJ1683">
        <f>IFERROR(SUMIFS(T_SelfStock[Self_Qty],T_SelfStock[RM_Code],$A1678,T_SelfStock[WeekIndex],84),"")</f>
        <v/>
      </c>
      <c r="CK1683">
        <f>IFERROR(SUMIFS(T_SelfStock[Self_Qty],T_SelfStock[RM_Code],$A1678,T_SelfStock[WeekIndex],85),"")</f>
        <v/>
      </c>
      <c r="CL1683">
        <f>IFERROR(SUMIFS(T_SelfStock[Self_Qty],T_SelfStock[RM_Code],$A1678,T_SelfStock[WeekIndex],86),"")</f>
        <v/>
      </c>
      <c r="CM1683">
        <f>IFERROR(SUMIFS(T_SelfStock[Self_Qty],T_SelfStock[RM_Code],$A1678,T_SelfStock[WeekIndex],87),"")</f>
        <v/>
      </c>
      <c r="CN1683">
        <f>IFERROR(SUMIFS(T_SelfStock[Self_Qty],T_SelfStock[RM_Code],$A1678,T_SelfStock[WeekIndex],88),"")</f>
        <v/>
      </c>
      <c r="CO1683">
        <f>IFERROR(SUMIFS(T_SelfStock[Self_Qty],T_SelfStock[RM_Code],$A1678,T_SelfStock[WeekIndex],89),"")</f>
        <v/>
      </c>
      <c r="CP1683">
        <f>IFERROR(SUMIFS(T_SelfStock[Self_Qty],T_SelfStock[RM_Code],$A1678,T_SelfStock[WeekIndex],90),"")</f>
        <v/>
      </c>
      <c r="CQ1683">
        <f>IFERROR(SUMIFS(T_SelfStock[Self_Qty],T_SelfStock[RM_Code],$A1678,T_SelfStock[WeekIndex],91),"")</f>
        <v/>
      </c>
      <c r="CR1683">
        <f>IFERROR(SUMIFS(T_SelfStock[Self_Qty],T_SelfStock[RM_Code],$A1678,T_SelfStock[WeekIndex],92),"")</f>
        <v/>
      </c>
      <c r="CS1683">
        <f>IFERROR(SUMIFS(T_SelfStock[Self_Qty],T_SelfStock[RM_Code],$A1678,T_SelfStock[WeekIndex],93),"")</f>
        <v/>
      </c>
      <c r="CT1683">
        <f>IFERROR(SUMIFS(T_SelfStock[Self_Qty],T_SelfStock[RM_Code],$A1678,T_SelfStock[WeekIndex],94),"")</f>
        <v/>
      </c>
      <c r="CU1683">
        <f>IFERROR(SUMIFS(T_SelfStock[Self_Qty],T_SelfStock[RM_Code],$A1678,T_SelfStock[WeekIndex],95),"")</f>
        <v/>
      </c>
      <c r="CV1683">
        <f>IFERROR(SUMIFS(T_SelfStock[Self_Qty],T_SelfStock[RM_Code],$A1678,T_SelfStock[WeekIndex],96),"")</f>
        <v/>
      </c>
      <c r="CW1683">
        <f>IFERROR(SUMIFS(T_SelfStock[Self_Qty],T_SelfStock[RM_Code],$A1678,T_SelfStock[WeekIndex],97),"")</f>
        <v/>
      </c>
      <c r="CX1683">
        <f>IFERROR(SUMIFS(T_SelfStock[Self_Qty],T_SelfStock[RM_Code],$A1678,T_SelfStock[WeekIndex],98),"")</f>
        <v/>
      </c>
      <c r="CY1683">
        <f>IFERROR(SUMIFS(T_SelfStock[Self_Qty],T_SelfStock[RM_Code],$A1678,T_SelfStock[WeekIndex],99),"")</f>
        <v/>
      </c>
      <c r="CZ1683">
        <f>IFERROR(SUMIFS(T_SelfStock[Self_Qty],T_SelfStock[RM_Code],$A1678,T_SelfStock[WeekIndex],100),"")</f>
        <v/>
      </c>
      <c r="DA1683">
        <f>IFERROR(SUMIFS(T_SelfStock[Self_Qty],T_SelfStock[RM_Code],$A1678,T_SelfStock[WeekIndex],101),"")</f>
        <v/>
      </c>
      <c r="DB1683">
        <f>IFERROR(SUMIFS(T_SelfStock[Self_Qty],T_SelfStock[RM_Code],$A1678,T_SelfStock[WeekIndex],102),"")</f>
        <v/>
      </c>
      <c r="DC1683">
        <f>IFERROR(SUMIFS(T_SelfStock[Self_Qty],T_SelfStock[RM_Code],$A1678,T_SelfStock[WeekIndex],103),"")</f>
        <v/>
      </c>
      <c r="DD1683">
        <f>IFERROR(SUMIFS(T_SelfStock[Self_Qty],T_SelfStock[RM_Code],$A1678,T_SelfStock[WeekIndex],104),"")</f>
        <v/>
      </c>
    </row>
    <row r="1684">
      <c r="B1684" s="4" t="inlineStr">
        <is>
          <t>合計在庫(週末時点,kg)</t>
        </is>
      </c>
      <c r="D1684" s="24">
        <f>IFERROR(INDEX(E1684:DD1684,$F$1),"")</f>
        <v/>
      </c>
      <c r="E1684">
        <f>'Grid_Stock'!B16</f>
        <v/>
      </c>
      <c r="F1684">
        <f>'Grid_Stock'!C16</f>
        <v/>
      </c>
      <c r="G1684">
        <f>'Grid_Stock'!D16</f>
        <v/>
      </c>
      <c r="H1684">
        <f>'Grid_Stock'!E16</f>
        <v/>
      </c>
      <c r="I1684">
        <f>'Grid_Stock'!F16</f>
        <v/>
      </c>
      <c r="J1684">
        <f>'Grid_Stock'!G16</f>
        <v/>
      </c>
      <c r="K1684">
        <f>'Grid_Stock'!H16</f>
        <v/>
      </c>
      <c r="L1684">
        <f>'Grid_Stock'!I16</f>
        <v/>
      </c>
      <c r="M1684">
        <f>'Grid_Stock'!J16</f>
        <v/>
      </c>
      <c r="N1684">
        <f>'Grid_Stock'!K16</f>
        <v/>
      </c>
      <c r="O1684">
        <f>'Grid_Stock'!L16</f>
        <v/>
      </c>
      <c r="P1684">
        <f>'Grid_Stock'!M16</f>
        <v/>
      </c>
      <c r="Q1684">
        <f>'Grid_Stock'!N16</f>
        <v/>
      </c>
      <c r="R1684">
        <f>'Grid_Stock'!O16</f>
        <v/>
      </c>
      <c r="S1684">
        <f>'Grid_Stock'!P16</f>
        <v/>
      </c>
      <c r="T1684">
        <f>'Grid_Stock'!Q16</f>
        <v/>
      </c>
      <c r="U1684">
        <f>'Grid_Stock'!R16</f>
        <v/>
      </c>
      <c r="V1684">
        <f>'Grid_Stock'!S16</f>
        <v/>
      </c>
      <c r="W1684">
        <f>'Grid_Stock'!T16</f>
        <v/>
      </c>
      <c r="X1684">
        <f>'Grid_Stock'!U16</f>
        <v/>
      </c>
      <c r="Y1684">
        <f>'Grid_Stock'!V16</f>
        <v/>
      </c>
      <c r="Z1684">
        <f>'Grid_Stock'!W16</f>
        <v/>
      </c>
      <c r="AA1684">
        <f>'Grid_Stock'!X16</f>
        <v/>
      </c>
      <c r="AB1684">
        <f>'Grid_Stock'!Y16</f>
        <v/>
      </c>
      <c r="AC1684">
        <f>'Grid_Stock'!Z16</f>
        <v/>
      </c>
      <c r="AD1684">
        <f>'Grid_Stock'!AA16</f>
        <v/>
      </c>
      <c r="AE1684">
        <f>'Grid_Stock'!AB16</f>
        <v/>
      </c>
      <c r="AF1684">
        <f>'Grid_Stock'!AC16</f>
        <v/>
      </c>
      <c r="AG1684">
        <f>'Grid_Stock'!AD16</f>
        <v/>
      </c>
      <c r="AH1684">
        <f>'Grid_Stock'!AE16</f>
        <v/>
      </c>
      <c r="AI1684">
        <f>'Grid_Stock'!AF16</f>
        <v/>
      </c>
      <c r="AJ1684">
        <f>'Grid_Stock'!AG16</f>
        <v/>
      </c>
      <c r="AK1684">
        <f>'Grid_Stock'!AH16</f>
        <v/>
      </c>
      <c r="AL1684">
        <f>'Grid_Stock'!AI16</f>
        <v/>
      </c>
      <c r="AM1684">
        <f>'Grid_Stock'!AJ16</f>
        <v/>
      </c>
      <c r="AN1684">
        <f>'Grid_Stock'!AK16</f>
        <v/>
      </c>
      <c r="AO1684">
        <f>'Grid_Stock'!AL16</f>
        <v/>
      </c>
      <c r="AP1684">
        <f>'Grid_Stock'!AM16</f>
        <v/>
      </c>
      <c r="AQ1684">
        <f>'Grid_Stock'!AN16</f>
        <v/>
      </c>
      <c r="AR1684">
        <f>'Grid_Stock'!AO16</f>
        <v/>
      </c>
      <c r="AS1684">
        <f>'Grid_Stock'!AP16</f>
        <v/>
      </c>
      <c r="AT1684">
        <f>'Grid_Stock'!AQ16</f>
        <v/>
      </c>
      <c r="AU1684">
        <f>'Grid_Stock'!AR16</f>
        <v/>
      </c>
      <c r="AV1684">
        <f>'Grid_Stock'!AS16</f>
        <v/>
      </c>
      <c r="AW1684">
        <f>'Grid_Stock'!AT16</f>
        <v/>
      </c>
      <c r="AX1684">
        <f>'Grid_Stock'!AU16</f>
        <v/>
      </c>
      <c r="AY1684">
        <f>'Grid_Stock'!AV16</f>
        <v/>
      </c>
      <c r="AZ1684">
        <f>'Grid_Stock'!AW16</f>
        <v/>
      </c>
      <c r="BA1684">
        <f>'Grid_Stock'!AX16</f>
        <v/>
      </c>
      <c r="BB1684">
        <f>'Grid_Stock'!AY16</f>
        <v/>
      </c>
      <c r="BC1684">
        <f>'Grid_Stock'!AZ16</f>
        <v/>
      </c>
      <c r="BD1684">
        <f>'Grid_Stock'!BA16</f>
        <v/>
      </c>
      <c r="BE1684">
        <f>'Grid_Stock'!BB16</f>
        <v/>
      </c>
      <c r="BF1684">
        <f>'Grid_Stock'!BC16</f>
        <v/>
      </c>
      <c r="BG1684">
        <f>'Grid_Stock'!BD16</f>
        <v/>
      </c>
      <c r="BH1684">
        <f>'Grid_Stock'!BE16</f>
        <v/>
      </c>
      <c r="BI1684">
        <f>'Grid_Stock'!BF16</f>
        <v/>
      </c>
      <c r="BJ1684">
        <f>'Grid_Stock'!BG16</f>
        <v/>
      </c>
      <c r="BK1684">
        <f>'Grid_Stock'!BH16</f>
        <v/>
      </c>
      <c r="BL1684">
        <f>'Grid_Stock'!BI16</f>
        <v/>
      </c>
      <c r="BM1684">
        <f>'Grid_Stock'!BJ16</f>
        <v/>
      </c>
      <c r="BN1684">
        <f>'Grid_Stock'!BK16</f>
        <v/>
      </c>
      <c r="BO1684">
        <f>'Grid_Stock'!BL16</f>
        <v/>
      </c>
      <c r="BP1684">
        <f>'Grid_Stock'!BM16</f>
        <v/>
      </c>
      <c r="BQ1684">
        <f>'Grid_Stock'!BN16</f>
        <v/>
      </c>
      <c r="BR1684">
        <f>'Grid_Stock'!BO16</f>
        <v/>
      </c>
      <c r="BS1684">
        <f>'Grid_Stock'!BP16</f>
        <v/>
      </c>
      <c r="BT1684">
        <f>'Grid_Stock'!BQ16</f>
        <v/>
      </c>
      <c r="BU1684">
        <f>'Grid_Stock'!BR16</f>
        <v/>
      </c>
      <c r="BV1684">
        <f>'Grid_Stock'!BS16</f>
        <v/>
      </c>
      <c r="BW1684">
        <f>'Grid_Stock'!BT16</f>
        <v/>
      </c>
      <c r="BX1684">
        <f>'Grid_Stock'!BU16</f>
        <v/>
      </c>
      <c r="BY1684">
        <f>'Grid_Stock'!BV16</f>
        <v/>
      </c>
      <c r="BZ1684">
        <f>'Grid_Stock'!BW16</f>
        <v/>
      </c>
      <c r="CA1684">
        <f>'Grid_Stock'!BX16</f>
        <v/>
      </c>
      <c r="CB1684">
        <f>'Grid_Stock'!BY16</f>
        <v/>
      </c>
      <c r="CC1684">
        <f>'Grid_Stock'!BZ16</f>
        <v/>
      </c>
      <c r="CD1684">
        <f>'Grid_Stock'!CA16</f>
        <v/>
      </c>
      <c r="CE1684">
        <f>'Grid_Stock'!CB16</f>
        <v/>
      </c>
      <c r="CF1684">
        <f>'Grid_Stock'!CC16</f>
        <v/>
      </c>
      <c r="CG1684">
        <f>'Grid_Stock'!CD16</f>
        <v/>
      </c>
      <c r="CH1684">
        <f>'Grid_Stock'!CE16</f>
        <v/>
      </c>
      <c r="CI1684">
        <f>'Grid_Stock'!CF16</f>
        <v/>
      </c>
      <c r="CJ1684">
        <f>'Grid_Stock'!CG16</f>
        <v/>
      </c>
      <c r="CK1684">
        <f>'Grid_Stock'!CH16</f>
        <v/>
      </c>
      <c r="CL1684">
        <f>'Grid_Stock'!CI16</f>
        <v/>
      </c>
      <c r="CM1684">
        <f>'Grid_Stock'!CJ16</f>
        <v/>
      </c>
      <c r="CN1684">
        <f>'Grid_Stock'!CK16</f>
        <v/>
      </c>
      <c r="CO1684">
        <f>'Grid_Stock'!CL16</f>
        <v/>
      </c>
      <c r="CP1684">
        <f>'Grid_Stock'!CM16</f>
        <v/>
      </c>
      <c r="CQ1684">
        <f>'Grid_Stock'!CN16</f>
        <v/>
      </c>
      <c r="CR1684">
        <f>'Grid_Stock'!CO16</f>
        <v/>
      </c>
      <c r="CS1684">
        <f>'Grid_Stock'!CP16</f>
        <v/>
      </c>
      <c r="CT1684">
        <f>'Grid_Stock'!CQ16</f>
        <v/>
      </c>
      <c r="CU1684">
        <f>'Grid_Stock'!CR16</f>
        <v/>
      </c>
      <c r="CV1684">
        <f>'Grid_Stock'!CS16</f>
        <v/>
      </c>
      <c r="CW1684">
        <f>'Grid_Stock'!CT16</f>
        <v/>
      </c>
      <c r="CX1684">
        <f>'Grid_Stock'!CU16</f>
        <v/>
      </c>
      <c r="CY1684">
        <f>'Grid_Stock'!CV16</f>
        <v/>
      </c>
      <c r="CZ1684">
        <f>'Grid_Stock'!CW16</f>
        <v/>
      </c>
      <c r="DA1684">
        <f>'Grid_Stock'!CX16</f>
        <v/>
      </c>
      <c r="DB1684">
        <f>'Grid_Stock'!CY16</f>
        <v/>
      </c>
      <c r="DC1684">
        <f>'Grid_Stock'!CZ16</f>
        <v/>
      </c>
      <c r="DD1684">
        <f>'Grid_Stock'!DA16</f>
        <v/>
      </c>
    </row>
    <row r="1685">
      <c r="B1685" s="25" t="inlineStr">
        <is>
          <t>（発注の目安はDashboardの基準在庫[下限/上限]と色分けを参照）</t>
        </is>
      </c>
    </row>
    <row r="1687">
      <c r="A1687" s="21" t="inlineStr">
        <is>
          <t>TDJ</t>
        </is>
      </c>
      <c r="B1687" s="21" t="inlineStr">
        <is>
          <t>(11R-08) TP156- 103-130*TG</t>
        </is>
      </c>
      <c r="C1687" s="22" t="n"/>
      <c r="D1687" s="21" t="n"/>
      <c r="E1687" s="21" t="n"/>
      <c r="F1687" s="21" t="n"/>
      <c r="G1687" s="21" t="n"/>
      <c r="H1687" s="21" t="n"/>
      <c r="I1687" s="21" t="n"/>
      <c r="J1687" s="21" t="n"/>
      <c r="K1687" s="21" t="n"/>
      <c r="L1687" s="21" t="n"/>
      <c r="M1687" s="21" t="n"/>
      <c r="N1687" s="21" t="n"/>
      <c r="O1687" s="21" t="n"/>
      <c r="P1687" s="21" t="n"/>
      <c r="Q1687" s="21" t="n"/>
      <c r="R1687" s="21" t="n"/>
      <c r="S1687" s="21" t="n"/>
      <c r="T1687" s="21" t="n"/>
      <c r="U1687" s="21" t="n"/>
      <c r="V1687" s="21" t="n"/>
      <c r="W1687" s="21" t="n"/>
      <c r="X1687" s="21" t="n"/>
      <c r="Y1687" s="21" t="n"/>
      <c r="Z1687" s="21" t="n"/>
      <c r="AA1687" s="21" t="n"/>
      <c r="AB1687" s="21" t="n"/>
      <c r="AC1687" s="21" t="n"/>
      <c r="AD1687" s="21" t="n"/>
      <c r="AE1687" s="21" t="n"/>
      <c r="AF1687" s="21" t="n"/>
      <c r="AG1687" s="21" t="n"/>
      <c r="AH1687" s="21" t="n"/>
      <c r="AI1687" s="21" t="n"/>
      <c r="AJ1687" s="21" t="n"/>
      <c r="AK1687" s="21" t="n"/>
      <c r="AL1687" s="21" t="n"/>
      <c r="AM1687" s="21" t="n"/>
      <c r="AN1687" s="21" t="n"/>
      <c r="AO1687" s="21" t="n"/>
      <c r="AP1687" s="21" t="n"/>
      <c r="AQ1687" s="21" t="n"/>
      <c r="AR1687" s="21" t="n"/>
      <c r="AS1687" s="21" t="n"/>
      <c r="AT1687" s="21" t="n"/>
      <c r="AU1687" s="21" t="n"/>
      <c r="AV1687" s="21" t="n"/>
      <c r="AW1687" s="21" t="n"/>
      <c r="AX1687" s="21" t="n"/>
      <c r="AY1687" s="21" t="n"/>
      <c r="AZ1687" s="21" t="n"/>
      <c r="BA1687" s="21" t="n"/>
      <c r="BB1687" s="21" t="n"/>
      <c r="BC1687" s="21" t="n"/>
      <c r="BD1687" s="21" t="n"/>
      <c r="BE1687" s="21" t="n"/>
      <c r="BF1687" s="21" t="n"/>
      <c r="BG1687" s="21" t="n"/>
      <c r="BH1687" s="21" t="n"/>
      <c r="BI1687" s="21" t="n"/>
      <c r="BJ1687" s="21" t="n"/>
      <c r="BK1687" s="21" t="n"/>
      <c r="BL1687" s="21" t="n"/>
      <c r="BM1687" s="21" t="n"/>
      <c r="BN1687" s="21" t="n"/>
      <c r="BO1687" s="21" t="n"/>
      <c r="BP1687" s="21" t="n"/>
      <c r="BQ1687" s="21" t="n"/>
      <c r="BR1687" s="21" t="n"/>
      <c r="BS1687" s="21" t="n"/>
      <c r="BT1687" s="21" t="n"/>
      <c r="BU1687" s="21" t="n"/>
      <c r="BV1687" s="21" t="n"/>
      <c r="BW1687" s="21" t="n"/>
      <c r="BX1687" s="21" t="n"/>
      <c r="BY1687" s="21" t="n"/>
      <c r="BZ1687" s="21" t="n"/>
      <c r="CA1687" s="21" t="n"/>
      <c r="CB1687" s="21" t="n"/>
      <c r="CC1687" s="21" t="n"/>
      <c r="CD1687" s="21" t="n"/>
      <c r="CE1687" s="21" t="n"/>
      <c r="CF1687" s="21" t="n"/>
      <c r="CG1687" s="21" t="n"/>
      <c r="CH1687" s="21" t="n"/>
      <c r="CI1687" s="21" t="n"/>
      <c r="CJ1687" s="21" t="n"/>
      <c r="CK1687" s="21" t="n"/>
      <c r="CL1687" s="21" t="n"/>
      <c r="CM1687" s="21" t="n"/>
      <c r="CN1687" s="21" t="n"/>
      <c r="CO1687" s="21" t="n"/>
      <c r="CP1687" s="21" t="n"/>
      <c r="CQ1687" s="21" t="n"/>
      <c r="CR1687" s="21" t="n"/>
      <c r="CS1687" s="21" t="n"/>
      <c r="CT1687" s="21" t="n"/>
      <c r="CU1687" s="21" t="n"/>
      <c r="CV1687" s="21" t="n"/>
      <c r="CW1687" s="21" t="n"/>
      <c r="CX1687" s="21" t="n"/>
      <c r="CY1687" s="21" t="n"/>
      <c r="CZ1687" s="21" t="n"/>
      <c r="DA1687" s="21" t="n"/>
      <c r="DB1687" s="21" t="n"/>
      <c r="DC1687" s="21" t="n"/>
      <c r="DD1687" s="21" t="n"/>
    </row>
    <row r="1688">
      <c r="B1688" t="inlineStr">
        <is>
          <t>0TA30</t>
        </is>
      </c>
      <c r="C1688" t="inlineStr">
        <is>
          <t>No. of batches</t>
        </is>
      </c>
      <c r="D1688">
        <f>IFERROR(INDEX(E1688:DD1688,$F$1),"")</f>
        <v/>
      </c>
      <c r="E1688">
        <f>IFERROR(INDEX(PP_Grid[#Data],$DE1688,2),0)</f>
        <v/>
      </c>
      <c r="F1688">
        <f>IFERROR(INDEX(PP_Grid[#Data],$DE1688,3),0)</f>
        <v/>
      </c>
      <c r="G1688">
        <f>IFERROR(INDEX(PP_Grid[#Data],$DE1688,4),0)</f>
        <v/>
      </c>
      <c r="H1688">
        <f>IFERROR(INDEX(PP_Grid[#Data],$DE1688,5),0)</f>
        <v/>
      </c>
      <c r="I1688">
        <f>IFERROR(INDEX(PP_Grid[#Data],$DE1688,6),0)</f>
        <v/>
      </c>
      <c r="J1688">
        <f>IFERROR(INDEX(PP_Grid[#Data],$DE1688,7),0)</f>
        <v/>
      </c>
      <c r="K1688">
        <f>IFERROR(INDEX(PP_Grid[#Data],$DE1688,8),0)</f>
        <v/>
      </c>
      <c r="L1688">
        <f>IFERROR(INDEX(PP_Grid[#Data],$DE1688,9),0)</f>
        <v/>
      </c>
      <c r="M1688">
        <f>IFERROR(INDEX(PP_Grid[#Data],$DE1688,10),0)</f>
        <v/>
      </c>
      <c r="N1688">
        <f>IFERROR(INDEX(PP_Grid[#Data],$DE1688,11),0)</f>
        <v/>
      </c>
      <c r="O1688">
        <f>IFERROR(INDEX(PP_Grid[#Data],$DE1688,12),0)</f>
        <v/>
      </c>
      <c r="P1688">
        <f>IFERROR(INDEX(PP_Grid[#Data],$DE1688,13),0)</f>
        <v/>
      </c>
      <c r="Q1688">
        <f>IFERROR(INDEX(PP_Grid[#Data],$DE1688,14),0)</f>
        <v/>
      </c>
      <c r="R1688">
        <f>IFERROR(INDEX(PP_Grid[#Data],$DE1688,15),0)</f>
        <v/>
      </c>
      <c r="S1688">
        <f>IFERROR(INDEX(PP_Grid[#Data],$DE1688,16),0)</f>
        <v/>
      </c>
      <c r="T1688">
        <f>IFERROR(INDEX(PP_Grid[#Data],$DE1688,17),0)</f>
        <v/>
      </c>
      <c r="U1688">
        <f>IFERROR(INDEX(PP_Grid[#Data],$DE1688,18),0)</f>
        <v/>
      </c>
      <c r="V1688">
        <f>IFERROR(INDEX(PP_Grid[#Data],$DE1688,19),0)</f>
        <v/>
      </c>
      <c r="W1688">
        <f>IFERROR(INDEX(PP_Grid[#Data],$DE1688,20),0)</f>
        <v/>
      </c>
      <c r="X1688">
        <f>IFERROR(INDEX(PP_Grid[#Data],$DE1688,21),0)</f>
        <v/>
      </c>
      <c r="Y1688">
        <f>IFERROR(INDEX(PP_Grid[#Data],$DE1688,22),0)</f>
        <v/>
      </c>
      <c r="Z1688">
        <f>IFERROR(INDEX(PP_Grid[#Data],$DE1688,23),0)</f>
        <v/>
      </c>
      <c r="AA1688">
        <f>IFERROR(INDEX(PP_Grid[#Data],$DE1688,24),0)</f>
        <v/>
      </c>
      <c r="AB1688">
        <f>IFERROR(INDEX(PP_Grid[#Data],$DE1688,25),0)</f>
        <v/>
      </c>
      <c r="AC1688">
        <f>IFERROR(INDEX(PP_Grid[#Data],$DE1688,26),0)</f>
        <v/>
      </c>
      <c r="AD1688">
        <f>IFERROR(INDEX(PP_Grid[#Data],$DE1688,27),0)</f>
        <v/>
      </c>
      <c r="AE1688">
        <f>IFERROR(INDEX(PP_Grid[#Data],$DE1688,28),0)</f>
        <v/>
      </c>
      <c r="AF1688">
        <f>IFERROR(INDEX(PP_Grid[#Data],$DE1688,29),0)</f>
        <v/>
      </c>
      <c r="AG1688">
        <f>IFERROR(INDEX(PP_Grid[#Data],$DE1688,30),0)</f>
        <v/>
      </c>
      <c r="AH1688">
        <f>IFERROR(INDEX(PP_Grid[#Data],$DE1688,31),0)</f>
        <v/>
      </c>
      <c r="AI1688">
        <f>IFERROR(INDEX(PP_Grid[#Data],$DE1688,32),0)</f>
        <v/>
      </c>
      <c r="AJ1688">
        <f>IFERROR(INDEX(PP_Grid[#Data],$DE1688,33),0)</f>
        <v/>
      </c>
      <c r="AK1688">
        <f>IFERROR(INDEX(PP_Grid[#Data],$DE1688,34),0)</f>
        <v/>
      </c>
      <c r="AL1688">
        <f>IFERROR(INDEX(PP_Grid[#Data],$DE1688,35),0)</f>
        <v/>
      </c>
      <c r="AM1688">
        <f>IFERROR(INDEX(PP_Grid[#Data],$DE1688,36),0)</f>
        <v/>
      </c>
      <c r="AN1688">
        <f>IFERROR(INDEX(PP_Grid[#Data],$DE1688,37),0)</f>
        <v/>
      </c>
      <c r="AO1688">
        <f>IFERROR(INDEX(PP_Grid[#Data],$DE1688,38),0)</f>
        <v/>
      </c>
      <c r="AP1688">
        <f>IFERROR(INDEX(PP_Grid[#Data],$DE1688,39),0)</f>
        <v/>
      </c>
      <c r="AQ1688">
        <f>IFERROR(INDEX(PP_Grid[#Data],$DE1688,40),0)</f>
        <v/>
      </c>
      <c r="AR1688">
        <f>IFERROR(INDEX(PP_Grid[#Data],$DE1688,41),0)</f>
        <v/>
      </c>
      <c r="AS1688">
        <f>IFERROR(INDEX(PP_Grid[#Data],$DE1688,42),0)</f>
        <v/>
      </c>
      <c r="AT1688">
        <f>IFERROR(INDEX(PP_Grid[#Data],$DE1688,43),0)</f>
        <v/>
      </c>
      <c r="AU1688">
        <f>IFERROR(INDEX(PP_Grid[#Data],$DE1688,44),0)</f>
        <v/>
      </c>
      <c r="AV1688">
        <f>IFERROR(INDEX(PP_Grid[#Data],$DE1688,45),0)</f>
        <v/>
      </c>
      <c r="AW1688">
        <f>IFERROR(INDEX(PP_Grid[#Data],$DE1688,46),0)</f>
        <v/>
      </c>
      <c r="AX1688">
        <f>IFERROR(INDEX(PP_Grid[#Data],$DE1688,47),0)</f>
        <v/>
      </c>
      <c r="AY1688">
        <f>IFERROR(INDEX(PP_Grid[#Data],$DE1688,48),0)</f>
        <v/>
      </c>
      <c r="AZ1688">
        <f>IFERROR(INDEX(PP_Grid[#Data],$DE1688,49),0)</f>
        <v/>
      </c>
      <c r="BA1688">
        <f>IFERROR(INDEX(PP_Grid[#Data],$DE1688,50),0)</f>
        <v/>
      </c>
      <c r="BB1688">
        <f>IFERROR(INDEX(PP_Grid[#Data],$DE1688,51),0)</f>
        <v/>
      </c>
      <c r="BC1688">
        <f>IFERROR(INDEX(PP_Grid[#Data],$DE1688,52),0)</f>
        <v/>
      </c>
      <c r="BD1688">
        <f>IFERROR(INDEX(PP_Grid[#Data],$DE1688,53),0)</f>
        <v/>
      </c>
      <c r="BE1688">
        <f>IFERROR(INDEX(PP_Grid[#Data],$DE1688,54),0)</f>
        <v/>
      </c>
      <c r="BF1688">
        <f>IFERROR(INDEX(PP_Grid[#Data],$DE1688,55),0)</f>
        <v/>
      </c>
      <c r="BG1688">
        <f>IFERROR(INDEX(PP_Grid[#Data],$DE1688,56),0)</f>
        <v/>
      </c>
      <c r="BH1688">
        <f>IFERROR(INDEX(PP_Grid[#Data],$DE1688,57),0)</f>
        <v/>
      </c>
      <c r="BI1688">
        <f>IFERROR(INDEX(PP_Grid[#Data],$DE1688,58),0)</f>
        <v/>
      </c>
      <c r="BJ1688">
        <f>IFERROR(INDEX(PP_Grid[#Data],$DE1688,59),0)</f>
        <v/>
      </c>
      <c r="BK1688">
        <f>IFERROR(INDEX(PP_Grid[#Data],$DE1688,60),0)</f>
        <v/>
      </c>
      <c r="BL1688">
        <f>IFERROR(INDEX(PP_Grid[#Data],$DE1688,61),0)</f>
        <v/>
      </c>
      <c r="BM1688">
        <f>IFERROR(INDEX(PP_Grid[#Data],$DE1688,62),0)</f>
        <v/>
      </c>
      <c r="BN1688">
        <f>IFERROR(INDEX(PP_Grid[#Data],$DE1688,63),0)</f>
        <v/>
      </c>
      <c r="BO1688">
        <f>IFERROR(INDEX(PP_Grid[#Data],$DE1688,64),0)</f>
        <v/>
      </c>
      <c r="BP1688">
        <f>IFERROR(INDEX(PP_Grid[#Data],$DE1688,65),0)</f>
        <v/>
      </c>
      <c r="BQ1688">
        <f>IFERROR(INDEX(PP_Grid[#Data],$DE1688,66),0)</f>
        <v/>
      </c>
      <c r="BR1688">
        <f>IFERROR(INDEX(PP_Grid[#Data],$DE1688,67),0)</f>
        <v/>
      </c>
      <c r="BS1688">
        <f>IFERROR(INDEX(PP_Grid[#Data],$DE1688,68),0)</f>
        <v/>
      </c>
      <c r="BT1688">
        <f>IFERROR(INDEX(PP_Grid[#Data],$DE1688,69),0)</f>
        <v/>
      </c>
      <c r="BU1688">
        <f>IFERROR(INDEX(PP_Grid[#Data],$DE1688,70),0)</f>
        <v/>
      </c>
      <c r="BV1688">
        <f>IFERROR(INDEX(PP_Grid[#Data],$DE1688,71),0)</f>
        <v/>
      </c>
      <c r="BW1688">
        <f>IFERROR(INDEX(PP_Grid[#Data],$DE1688,72),0)</f>
        <v/>
      </c>
      <c r="BX1688">
        <f>IFERROR(INDEX(PP_Grid[#Data],$DE1688,73),0)</f>
        <v/>
      </c>
      <c r="BY1688">
        <f>IFERROR(INDEX(PP_Grid[#Data],$DE1688,74),0)</f>
        <v/>
      </c>
      <c r="BZ1688">
        <f>IFERROR(INDEX(PP_Grid[#Data],$DE1688,75),0)</f>
        <v/>
      </c>
      <c r="CA1688">
        <f>IFERROR(INDEX(PP_Grid[#Data],$DE1688,76),0)</f>
        <v/>
      </c>
      <c r="CB1688">
        <f>IFERROR(INDEX(PP_Grid[#Data],$DE1688,77),0)</f>
        <v/>
      </c>
      <c r="CC1688">
        <f>IFERROR(INDEX(PP_Grid[#Data],$DE1688,78),0)</f>
        <v/>
      </c>
      <c r="CD1688">
        <f>IFERROR(INDEX(PP_Grid[#Data],$DE1688,79),0)</f>
        <v/>
      </c>
      <c r="CE1688">
        <f>IFERROR(INDEX(PP_Grid[#Data],$DE1688,80),0)</f>
        <v/>
      </c>
      <c r="CF1688">
        <f>IFERROR(INDEX(PP_Grid[#Data],$DE1688,81),0)</f>
        <v/>
      </c>
      <c r="CG1688">
        <f>IFERROR(INDEX(PP_Grid[#Data],$DE1688,82),0)</f>
        <v/>
      </c>
      <c r="CH1688">
        <f>IFERROR(INDEX(PP_Grid[#Data],$DE1688,83),0)</f>
        <v/>
      </c>
      <c r="CI1688">
        <f>IFERROR(INDEX(PP_Grid[#Data],$DE1688,84),0)</f>
        <v/>
      </c>
      <c r="CJ1688">
        <f>IFERROR(INDEX(PP_Grid[#Data],$DE1688,85),0)</f>
        <v/>
      </c>
      <c r="CK1688">
        <f>IFERROR(INDEX(PP_Grid[#Data],$DE1688,86),0)</f>
        <v/>
      </c>
      <c r="CL1688">
        <f>IFERROR(INDEX(PP_Grid[#Data],$DE1688,87),0)</f>
        <v/>
      </c>
      <c r="CM1688">
        <f>IFERROR(INDEX(PP_Grid[#Data],$DE1688,88),0)</f>
        <v/>
      </c>
      <c r="CN1688">
        <f>IFERROR(INDEX(PP_Grid[#Data],$DE1688,89),0)</f>
        <v/>
      </c>
      <c r="CO1688">
        <f>IFERROR(INDEX(PP_Grid[#Data],$DE1688,90),0)</f>
        <v/>
      </c>
      <c r="CP1688">
        <f>IFERROR(INDEX(PP_Grid[#Data],$DE1688,91),0)</f>
        <v/>
      </c>
      <c r="CQ1688">
        <f>IFERROR(INDEX(PP_Grid[#Data],$DE1688,92),0)</f>
        <v/>
      </c>
      <c r="CR1688">
        <f>IFERROR(INDEX(PP_Grid[#Data],$DE1688,93),0)</f>
        <v/>
      </c>
      <c r="CS1688">
        <f>IFERROR(INDEX(PP_Grid[#Data],$DE1688,94),0)</f>
        <v/>
      </c>
      <c r="CT1688">
        <f>IFERROR(INDEX(PP_Grid[#Data],$DE1688,95),0)</f>
        <v/>
      </c>
      <c r="CU1688">
        <f>IFERROR(INDEX(PP_Grid[#Data],$DE1688,96),0)</f>
        <v/>
      </c>
      <c r="CV1688">
        <f>IFERROR(INDEX(PP_Grid[#Data],$DE1688,97),0)</f>
        <v/>
      </c>
      <c r="CW1688">
        <f>IFERROR(INDEX(PP_Grid[#Data],$DE1688,98),0)</f>
        <v/>
      </c>
      <c r="CX1688">
        <f>IFERROR(INDEX(PP_Grid[#Data],$DE1688,99),0)</f>
        <v/>
      </c>
      <c r="CY1688">
        <f>IFERROR(INDEX(PP_Grid[#Data],$DE1688,100),0)</f>
        <v/>
      </c>
      <c r="CZ1688">
        <f>IFERROR(INDEX(PP_Grid[#Data],$DE1688,101),0)</f>
        <v/>
      </c>
      <c r="DA1688">
        <f>IFERROR(INDEX(PP_Grid[#Data],$DE1688,102),0)</f>
        <v/>
      </c>
      <c r="DB1688">
        <f>IFERROR(INDEX(PP_Grid[#Data],$DE1688,103),0)</f>
        <v/>
      </c>
      <c r="DC1688">
        <f>IFERROR(INDEX(PP_Grid[#Data],$DE1688,104),0)</f>
        <v/>
      </c>
      <c r="DD1688">
        <f>IFERROR(INDEX(PP_Grid[#Data],$DE1688,105),0)</f>
        <v/>
      </c>
      <c r="DE1688" s="7">
        <f>IFERROR(MATCH($B1688,PP_Grid[Intermediate],0),99999)</f>
        <v/>
      </c>
    </row>
    <row r="1689">
      <c r="B1689" t="inlineStr">
        <is>
          <t>使用量(kg)</t>
        </is>
      </c>
      <c r="C1689">
        <f>SUMIFS(M_BOM[RM_Qty_Per_Batch],M_BOM[Intermediate],$B1688,M_BOM[RM_Code],$A1687)</f>
        <v/>
      </c>
      <c r="D1689">
        <f>IFERROR(INDEX(E1689:DD1689,$F$1),"")</f>
        <v/>
      </c>
      <c r="E1689">
        <f>$C1689*E1688</f>
        <v/>
      </c>
      <c r="F1689">
        <f>$C1689*F1688</f>
        <v/>
      </c>
      <c r="G1689">
        <f>$C1689*G1688</f>
        <v/>
      </c>
      <c r="H1689">
        <f>$C1689*H1688</f>
        <v/>
      </c>
      <c r="I1689">
        <f>$C1689*I1688</f>
        <v/>
      </c>
      <c r="J1689">
        <f>$C1689*J1688</f>
        <v/>
      </c>
      <c r="K1689">
        <f>$C1689*K1688</f>
        <v/>
      </c>
      <c r="L1689">
        <f>$C1689*L1688</f>
        <v/>
      </c>
      <c r="M1689">
        <f>$C1689*M1688</f>
        <v/>
      </c>
      <c r="N1689">
        <f>$C1689*N1688</f>
        <v/>
      </c>
      <c r="O1689">
        <f>$C1689*O1688</f>
        <v/>
      </c>
      <c r="P1689">
        <f>$C1689*P1688</f>
        <v/>
      </c>
      <c r="Q1689">
        <f>$C1689*Q1688</f>
        <v/>
      </c>
      <c r="R1689">
        <f>$C1689*R1688</f>
        <v/>
      </c>
      <c r="S1689">
        <f>$C1689*S1688</f>
        <v/>
      </c>
      <c r="T1689">
        <f>$C1689*T1688</f>
        <v/>
      </c>
      <c r="U1689">
        <f>$C1689*U1688</f>
        <v/>
      </c>
      <c r="V1689">
        <f>$C1689*V1688</f>
        <v/>
      </c>
      <c r="W1689">
        <f>$C1689*W1688</f>
        <v/>
      </c>
      <c r="X1689">
        <f>$C1689*X1688</f>
        <v/>
      </c>
      <c r="Y1689">
        <f>$C1689*Y1688</f>
        <v/>
      </c>
      <c r="Z1689">
        <f>$C1689*Z1688</f>
        <v/>
      </c>
      <c r="AA1689">
        <f>$C1689*AA1688</f>
        <v/>
      </c>
      <c r="AB1689">
        <f>$C1689*AB1688</f>
        <v/>
      </c>
      <c r="AC1689">
        <f>$C1689*AC1688</f>
        <v/>
      </c>
      <c r="AD1689">
        <f>$C1689*AD1688</f>
        <v/>
      </c>
      <c r="AE1689">
        <f>$C1689*AE1688</f>
        <v/>
      </c>
      <c r="AF1689">
        <f>$C1689*AF1688</f>
        <v/>
      </c>
      <c r="AG1689">
        <f>$C1689*AG1688</f>
        <v/>
      </c>
      <c r="AH1689">
        <f>$C1689*AH1688</f>
        <v/>
      </c>
      <c r="AI1689">
        <f>$C1689*AI1688</f>
        <v/>
      </c>
      <c r="AJ1689">
        <f>$C1689*AJ1688</f>
        <v/>
      </c>
      <c r="AK1689">
        <f>$C1689*AK1688</f>
        <v/>
      </c>
      <c r="AL1689">
        <f>$C1689*AL1688</f>
        <v/>
      </c>
      <c r="AM1689">
        <f>$C1689*AM1688</f>
        <v/>
      </c>
      <c r="AN1689">
        <f>$C1689*AN1688</f>
        <v/>
      </c>
      <c r="AO1689">
        <f>$C1689*AO1688</f>
        <v/>
      </c>
      <c r="AP1689">
        <f>$C1689*AP1688</f>
        <v/>
      </c>
      <c r="AQ1689">
        <f>$C1689*AQ1688</f>
        <v/>
      </c>
      <c r="AR1689">
        <f>$C1689*AR1688</f>
        <v/>
      </c>
      <c r="AS1689">
        <f>$C1689*AS1688</f>
        <v/>
      </c>
      <c r="AT1689">
        <f>$C1689*AT1688</f>
        <v/>
      </c>
      <c r="AU1689">
        <f>$C1689*AU1688</f>
        <v/>
      </c>
      <c r="AV1689">
        <f>$C1689*AV1688</f>
        <v/>
      </c>
      <c r="AW1689">
        <f>$C1689*AW1688</f>
        <v/>
      </c>
      <c r="AX1689">
        <f>$C1689*AX1688</f>
        <v/>
      </c>
      <c r="AY1689">
        <f>$C1689*AY1688</f>
        <v/>
      </c>
      <c r="AZ1689">
        <f>$C1689*AZ1688</f>
        <v/>
      </c>
      <c r="BA1689">
        <f>$C1689*BA1688</f>
        <v/>
      </c>
      <c r="BB1689">
        <f>$C1689*BB1688</f>
        <v/>
      </c>
      <c r="BC1689">
        <f>$C1689*BC1688</f>
        <v/>
      </c>
      <c r="BD1689">
        <f>$C1689*BD1688</f>
        <v/>
      </c>
      <c r="BE1689">
        <f>$C1689*BE1688</f>
        <v/>
      </c>
      <c r="BF1689">
        <f>$C1689*BF1688</f>
        <v/>
      </c>
      <c r="BG1689">
        <f>$C1689*BG1688</f>
        <v/>
      </c>
      <c r="BH1689">
        <f>$C1689*BH1688</f>
        <v/>
      </c>
      <c r="BI1689">
        <f>$C1689*BI1688</f>
        <v/>
      </c>
      <c r="BJ1689">
        <f>$C1689*BJ1688</f>
        <v/>
      </c>
      <c r="BK1689">
        <f>$C1689*BK1688</f>
        <v/>
      </c>
      <c r="BL1689">
        <f>$C1689*BL1688</f>
        <v/>
      </c>
      <c r="BM1689">
        <f>$C1689*BM1688</f>
        <v/>
      </c>
      <c r="BN1689">
        <f>$C1689*BN1688</f>
        <v/>
      </c>
      <c r="BO1689">
        <f>$C1689*BO1688</f>
        <v/>
      </c>
      <c r="BP1689">
        <f>$C1689*BP1688</f>
        <v/>
      </c>
      <c r="BQ1689">
        <f>$C1689*BQ1688</f>
        <v/>
      </c>
      <c r="BR1689">
        <f>$C1689*BR1688</f>
        <v/>
      </c>
      <c r="BS1689">
        <f>$C1689*BS1688</f>
        <v/>
      </c>
      <c r="BT1689">
        <f>$C1689*BT1688</f>
        <v/>
      </c>
      <c r="BU1689">
        <f>$C1689*BU1688</f>
        <v/>
      </c>
      <c r="BV1689">
        <f>$C1689*BV1688</f>
        <v/>
      </c>
      <c r="BW1689">
        <f>$C1689*BW1688</f>
        <v/>
      </c>
      <c r="BX1689">
        <f>$C1689*BX1688</f>
        <v/>
      </c>
      <c r="BY1689">
        <f>$C1689*BY1688</f>
        <v/>
      </c>
      <c r="BZ1689">
        <f>$C1689*BZ1688</f>
        <v/>
      </c>
      <c r="CA1689">
        <f>$C1689*CA1688</f>
        <v/>
      </c>
      <c r="CB1689">
        <f>$C1689*CB1688</f>
        <v/>
      </c>
      <c r="CC1689">
        <f>$C1689*CC1688</f>
        <v/>
      </c>
      <c r="CD1689">
        <f>$C1689*CD1688</f>
        <v/>
      </c>
      <c r="CE1689">
        <f>$C1689*CE1688</f>
        <v/>
      </c>
      <c r="CF1689">
        <f>$C1689*CF1688</f>
        <v/>
      </c>
      <c r="CG1689">
        <f>$C1689*CG1688</f>
        <v/>
      </c>
      <c r="CH1689">
        <f>$C1689*CH1688</f>
        <v/>
      </c>
      <c r="CI1689">
        <f>$C1689*CI1688</f>
        <v/>
      </c>
      <c r="CJ1689">
        <f>$C1689*CJ1688</f>
        <v/>
      </c>
      <c r="CK1689">
        <f>$C1689*CK1688</f>
        <v/>
      </c>
      <c r="CL1689">
        <f>$C1689*CL1688</f>
        <v/>
      </c>
      <c r="CM1689">
        <f>$C1689*CM1688</f>
        <v/>
      </c>
      <c r="CN1689">
        <f>$C1689*CN1688</f>
        <v/>
      </c>
      <c r="CO1689">
        <f>$C1689*CO1688</f>
        <v/>
      </c>
      <c r="CP1689">
        <f>$C1689*CP1688</f>
        <v/>
      </c>
      <c r="CQ1689">
        <f>$C1689*CQ1688</f>
        <v/>
      </c>
      <c r="CR1689">
        <f>$C1689*CR1688</f>
        <v/>
      </c>
      <c r="CS1689">
        <f>$C1689*CS1688</f>
        <v/>
      </c>
      <c r="CT1689">
        <f>$C1689*CT1688</f>
        <v/>
      </c>
      <c r="CU1689">
        <f>$C1689*CU1688</f>
        <v/>
      </c>
      <c r="CV1689">
        <f>$C1689*CV1688</f>
        <v/>
      </c>
      <c r="CW1689">
        <f>$C1689*CW1688</f>
        <v/>
      </c>
      <c r="CX1689">
        <f>$C1689*CX1688</f>
        <v/>
      </c>
      <c r="CY1689">
        <f>$C1689*CY1688</f>
        <v/>
      </c>
      <c r="CZ1689">
        <f>$C1689*CZ1688</f>
        <v/>
      </c>
      <c r="DA1689">
        <f>$C1689*DA1688</f>
        <v/>
      </c>
      <c r="DB1689">
        <f>$C1689*DB1688</f>
        <v/>
      </c>
      <c r="DC1689">
        <f>$C1689*DC1688</f>
        <v/>
      </c>
      <c r="DD1689">
        <f>$C1689*DD1688</f>
        <v/>
      </c>
    </row>
    <row r="1690">
      <c r="B1690" s="4" t="inlineStr">
        <is>
          <t>合計使用量(kg)/週</t>
        </is>
      </c>
      <c r="D1690" s="23">
        <f>IFERROR(INDEX(E1690:DD1690,$F$1),"")</f>
        <v/>
      </c>
      <c r="E1690">
        <f>'Grid_Requirement'!B41</f>
        <v/>
      </c>
      <c r="F1690">
        <f>'Grid_Requirement'!C41</f>
        <v/>
      </c>
      <c r="G1690">
        <f>'Grid_Requirement'!D41</f>
        <v/>
      </c>
      <c r="H1690">
        <f>'Grid_Requirement'!E41</f>
        <v/>
      </c>
      <c r="I1690">
        <f>'Grid_Requirement'!F41</f>
        <v/>
      </c>
      <c r="J1690">
        <f>'Grid_Requirement'!G41</f>
        <v/>
      </c>
      <c r="K1690">
        <f>'Grid_Requirement'!H41</f>
        <v/>
      </c>
      <c r="L1690">
        <f>'Grid_Requirement'!I41</f>
        <v/>
      </c>
      <c r="M1690">
        <f>'Grid_Requirement'!J41</f>
        <v/>
      </c>
      <c r="N1690">
        <f>'Grid_Requirement'!K41</f>
        <v/>
      </c>
      <c r="O1690">
        <f>'Grid_Requirement'!L41</f>
        <v/>
      </c>
      <c r="P1690">
        <f>'Grid_Requirement'!M41</f>
        <v/>
      </c>
      <c r="Q1690">
        <f>'Grid_Requirement'!N41</f>
        <v/>
      </c>
      <c r="R1690">
        <f>'Grid_Requirement'!O41</f>
        <v/>
      </c>
      <c r="S1690">
        <f>'Grid_Requirement'!P41</f>
        <v/>
      </c>
      <c r="T1690">
        <f>'Grid_Requirement'!Q41</f>
        <v/>
      </c>
      <c r="U1690">
        <f>'Grid_Requirement'!R41</f>
        <v/>
      </c>
      <c r="V1690">
        <f>'Grid_Requirement'!S41</f>
        <v/>
      </c>
      <c r="W1690">
        <f>'Grid_Requirement'!T41</f>
        <v/>
      </c>
      <c r="X1690">
        <f>'Grid_Requirement'!U41</f>
        <v/>
      </c>
      <c r="Y1690">
        <f>'Grid_Requirement'!V41</f>
        <v/>
      </c>
      <c r="Z1690">
        <f>'Grid_Requirement'!W41</f>
        <v/>
      </c>
      <c r="AA1690">
        <f>'Grid_Requirement'!X41</f>
        <v/>
      </c>
      <c r="AB1690">
        <f>'Grid_Requirement'!Y41</f>
        <v/>
      </c>
      <c r="AC1690">
        <f>'Grid_Requirement'!Z41</f>
        <v/>
      </c>
      <c r="AD1690">
        <f>'Grid_Requirement'!AA41</f>
        <v/>
      </c>
      <c r="AE1690">
        <f>'Grid_Requirement'!AB41</f>
        <v/>
      </c>
      <c r="AF1690">
        <f>'Grid_Requirement'!AC41</f>
        <v/>
      </c>
      <c r="AG1690">
        <f>'Grid_Requirement'!AD41</f>
        <v/>
      </c>
      <c r="AH1690">
        <f>'Grid_Requirement'!AE41</f>
        <v/>
      </c>
      <c r="AI1690">
        <f>'Grid_Requirement'!AF41</f>
        <v/>
      </c>
      <c r="AJ1690">
        <f>'Grid_Requirement'!AG41</f>
        <v/>
      </c>
      <c r="AK1690">
        <f>'Grid_Requirement'!AH41</f>
        <v/>
      </c>
      <c r="AL1690">
        <f>'Grid_Requirement'!AI41</f>
        <v/>
      </c>
      <c r="AM1690">
        <f>'Grid_Requirement'!AJ41</f>
        <v/>
      </c>
      <c r="AN1690">
        <f>'Grid_Requirement'!AK41</f>
        <v/>
      </c>
      <c r="AO1690">
        <f>'Grid_Requirement'!AL41</f>
        <v/>
      </c>
      <c r="AP1690">
        <f>'Grid_Requirement'!AM41</f>
        <v/>
      </c>
      <c r="AQ1690">
        <f>'Grid_Requirement'!AN41</f>
        <v/>
      </c>
      <c r="AR1690">
        <f>'Grid_Requirement'!AO41</f>
        <v/>
      </c>
      <c r="AS1690">
        <f>'Grid_Requirement'!AP41</f>
        <v/>
      </c>
      <c r="AT1690">
        <f>'Grid_Requirement'!AQ41</f>
        <v/>
      </c>
      <c r="AU1690">
        <f>'Grid_Requirement'!AR41</f>
        <v/>
      </c>
      <c r="AV1690">
        <f>'Grid_Requirement'!AS41</f>
        <v/>
      </c>
      <c r="AW1690">
        <f>'Grid_Requirement'!AT41</f>
        <v/>
      </c>
      <c r="AX1690">
        <f>'Grid_Requirement'!AU41</f>
        <v/>
      </c>
      <c r="AY1690">
        <f>'Grid_Requirement'!AV41</f>
        <v/>
      </c>
      <c r="AZ1690">
        <f>'Grid_Requirement'!AW41</f>
        <v/>
      </c>
      <c r="BA1690">
        <f>'Grid_Requirement'!AX41</f>
        <v/>
      </c>
      <c r="BB1690">
        <f>'Grid_Requirement'!AY41</f>
        <v/>
      </c>
      <c r="BC1690">
        <f>'Grid_Requirement'!AZ41</f>
        <v/>
      </c>
      <c r="BD1690">
        <f>'Grid_Requirement'!BA41</f>
        <v/>
      </c>
      <c r="BE1690">
        <f>'Grid_Requirement'!BB41</f>
        <v/>
      </c>
      <c r="BF1690">
        <f>'Grid_Requirement'!BC41</f>
        <v/>
      </c>
      <c r="BG1690">
        <f>'Grid_Requirement'!BD41</f>
        <v/>
      </c>
      <c r="BH1690">
        <f>'Grid_Requirement'!BE41</f>
        <v/>
      </c>
      <c r="BI1690">
        <f>'Grid_Requirement'!BF41</f>
        <v/>
      </c>
      <c r="BJ1690">
        <f>'Grid_Requirement'!BG41</f>
        <v/>
      </c>
      <c r="BK1690">
        <f>'Grid_Requirement'!BH41</f>
        <v/>
      </c>
      <c r="BL1690">
        <f>'Grid_Requirement'!BI41</f>
        <v/>
      </c>
      <c r="BM1690">
        <f>'Grid_Requirement'!BJ41</f>
        <v/>
      </c>
      <c r="BN1690">
        <f>'Grid_Requirement'!BK41</f>
        <v/>
      </c>
      <c r="BO1690">
        <f>'Grid_Requirement'!BL41</f>
        <v/>
      </c>
      <c r="BP1690">
        <f>'Grid_Requirement'!BM41</f>
        <v/>
      </c>
      <c r="BQ1690">
        <f>'Grid_Requirement'!BN41</f>
        <v/>
      </c>
      <c r="BR1690">
        <f>'Grid_Requirement'!BO41</f>
        <v/>
      </c>
      <c r="BS1690">
        <f>'Grid_Requirement'!BP41</f>
        <v/>
      </c>
      <c r="BT1690">
        <f>'Grid_Requirement'!BQ41</f>
        <v/>
      </c>
      <c r="BU1690">
        <f>'Grid_Requirement'!BR41</f>
        <v/>
      </c>
      <c r="BV1690">
        <f>'Grid_Requirement'!BS41</f>
        <v/>
      </c>
      <c r="BW1690">
        <f>'Grid_Requirement'!BT41</f>
        <v/>
      </c>
      <c r="BX1690">
        <f>'Grid_Requirement'!BU41</f>
        <v/>
      </c>
      <c r="BY1690">
        <f>'Grid_Requirement'!BV41</f>
        <v/>
      </c>
      <c r="BZ1690">
        <f>'Grid_Requirement'!BW41</f>
        <v/>
      </c>
      <c r="CA1690">
        <f>'Grid_Requirement'!BX41</f>
        <v/>
      </c>
      <c r="CB1690">
        <f>'Grid_Requirement'!BY41</f>
        <v/>
      </c>
      <c r="CC1690">
        <f>'Grid_Requirement'!BZ41</f>
        <v/>
      </c>
      <c r="CD1690">
        <f>'Grid_Requirement'!CA41</f>
        <v/>
      </c>
      <c r="CE1690">
        <f>'Grid_Requirement'!CB41</f>
        <v/>
      </c>
      <c r="CF1690">
        <f>'Grid_Requirement'!CC41</f>
        <v/>
      </c>
      <c r="CG1690">
        <f>'Grid_Requirement'!CD41</f>
        <v/>
      </c>
      <c r="CH1690">
        <f>'Grid_Requirement'!CE41</f>
        <v/>
      </c>
      <c r="CI1690">
        <f>'Grid_Requirement'!CF41</f>
        <v/>
      </c>
      <c r="CJ1690">
        <f>'Grid_Requirement'!CG41</f>
        <v/>
      </c>
      <c r="CK1690">
        <f>'Grid_Requirement'!CH41</f>
        <v/>
      </c>
      <c r="CL1690">
        <f>'Grid_Requirement'!CI41</f>
        <v/>
      </c>
      <c r="CM1690">
        <f>'Grid_Requirement'!CJ41</f>
        <v/>
      </c>
      <c r="CN1690">
        <f>'Grid_Requirement'!CK41</f>
        <v/>
      </c>
      <c r="CO1690">
        <f>'Grid_Requirement'!CL41</f>
        <v/>
      </c>
      <c r="CP1690">
        <f>'Grid_Requirement'!CM41</f>
        <v/>
      </c>
      <c r="CQ1690">
        <f>'Grid_Requirement'!CN41</f>
        <v/>
      </c>
      <c r="CR1690">
        <f>'Grid_Requirement'!CO41</f>
        <v/>
      </c>
      <c r="CS1690">
        <f>'Grid_Requirement'!CP41</f>
        <v/>
      </c>
      <c r="CT1690">
        <f>'Grid_Requirement'!CQ41</f>
        <v/>
      </c>
      <c r="CU1690">
        <f>'Grid_Requirement'!CR41</f>
        <v/>
      </c>
      <c r="CV1690">
        <f>'Grid_Requirement'!CS41</f>
        <v/>
      </c>
      <c r="CW1690">
        <f>'Grid_Requirement'!CT41</f>
        <v/>
      </c>
      <c r="CX1690">
        <f>'Grid_Requirement'!CU41</f>
        <v/>
      </c>
      <c r="CY1690">
        <f>'Grid_Requirement'!CV41</f>
        <v/>
      </c>
      <c r="CZ1690">
        <f>'Grid_Requirement'!CW41</f>
        <v/>
      </c>
      <c r="DA1690">
        <f>'Grid_Requirement'!CX41</f>
        <v/>
      </c>
      <c r="DB1690">
        <f>'Grid_Requirement'!CY41</f>
        <v/>
      </c>
      <c r="DC1690">
        <f>'Grid_Requirement'!CZ41</f>
        <v/>
      </c>
      <c r="DD1690">
        <f>'Grid_Requirement'!DA41</f>
        <v/>
      </c>
    </row>
    <row r="1691">
      <c r="B1691" t="inlineStr">
        <is>
          <t>TTAF在庫(実績,kg)</t>
        </is>
      </c>
      <c r="D1691">
        <f>IFERROR(INDEX(E1691:DD1691,$F$1),"")</f>
        <v/>
      </c>
      <c r="E1691">
        <f>IFERROR(SUMIFS(T_TTAFStock[TTAF_Qty],T_TTAFStock[RM_Code],$A1687,T_TTAFStock[WeekIndex],1),"")</f>
        <v/>
      </c>
      <c r="F1691">
        <f>IFERROR(SUMIFS(T_TTAFStock[TTAF_Qty],T_TTAFStock[RM_Code],$A1687,T_TTAFStock[WeekIndex],2),"")</f>
        <v/>
      </c>
      <c r="G1691">
        <f>IFERROR(SUMIFS(T_TTAFStock[TTAF_Qty],T_TTAFStock[RM_Code],$A1687,T_TTAFStock[WeekIndex],3),"")</f>
        <v/>
      </c>
      <c r="H1691">
        <f>IFERROR(SUMIFS(T_TTAFStock[TTAF_Qty],T_TTAFStock[RM_Code],$A1687,T_TTAFStock[WeekIndex],4),"")</f>
        <v/>
      </c>
      <c r="I1691">
        <f>IFERROR(SUMIFS(T_TTAFStock[TTAF_Qty],T_TTAFStock[RM_Code],$A1687,T_TTAFStock[WeekIndex],5),"")</f>
        <v/>
      </c>
      <c r="J1691">
        <f>IFERROR(SUMIFS(T_TTAFStock[TTAF_Qty],T_TTAFStock[RM_Code],$A1687,T_TTAFStock[WeekIndex],6),"")</f>
        <v/>
      </c>
      <c r="K1691">
        <f>IFERROR(SUMIFS(T_TTAFStock[TTAF_Qty],T_TTAFStock[RM_Code],$A1687,T_TTAFStock[WeekIndex],7),"")</f>
        <v/>
      </c>
      <c r="L1691">
        <f>IFERROR(SUMIFS(T_TTAFStock[TTAF_Qty],T_TTAFStock[RM_Code],$A1687,T_TTAFStock[WeekIndex],8),"")</f>
        <v/>
      </c>
      <c r="M1691">
        <f>IFERROR(SUMIFS(T_TTAFStock[TTAF_Qty],T_TTAFStock[RM_Code],$A1687,T_TTAFStock[WeekIndex],9),"")</f>
        <v/>
      </c>
      <c r="N1691">
        <f>IFERROR(SUMIFS(T_TTAFStock[TTAF_Qty],T_TTAFStock[RM_Code],$A1687,T_TTAFStock[WeekIndex],10),"")</f>
        <v/>
      </c>
      <c r="O1691">
        <f>IFERROR(SUMIFS(T_TTAFStock[TTAF_Qty],T_TTAFStock[RM_Code],$A1687,T_TTAFStock[WeekIndex],11),"")</f>
        <v/>
      </c>
      <c r="P1691">
        <f>IFERROR(SUMIFS(T_TTAFStock[TTAF_Qty],T_TTAFStock[RM_Code],$A1687,T_TTAFStock[WeekIndex],12),"")</f>
        <v/>
      </c>
      <c r="Q1691">
        <f>IFERROR(SUMIFS(T_TTAFStock[TTAF_Qty],T_TTAFStock[RM_Code],$A1687,T_TTAFStock[WeekIndex],13),"")</f>
        <v/>
      </c>
      <c r="R1691">
        <f>IFERROR(SUMIFS(T_TTAFStock[TTAF_Qty],T_TTAFStock[RM_Code],$A1687,T_TTAFStock[WeekIndex],14),"")</f>
        <v/>
      </c>
      <c r="S1691">
        <f>IFERROR(SUMIFS(T_TTAFStock[TTAF_Qty],T_TTAFStock[RM_Code],$A1687,T_TTAFStock[WeekIndex],15),"")</f>
        <v/>
      </c>
      <c r="T1691">
        <f>IFERROR(SUMIFS(T_TTAFStock[TTAF_Qty],T_TTAFStock[RM_Code],$A1687,T_TTAFStock[WeekIndex],16),"")</f>
        <v/>
      </c>
      <c r="U1691">
        <f>IFERROR(SUMIFS(T_TTAFStock[TTAF_Qty],T_TTAFStock[RM_Code],$A1687,T_TTAFStock[WeekIndex],17),"")</f>
        <v/>
      </c>
      <c r="V1691">
        <f>IFERROR(SUMIFS(T_TTAFStock[TTAF_Qty],T_TTAFStock[RM_Code],$A1687,T_TTAFStock[WeekIndex],18),"")</f>
        <v/>
      </c>
      <c r="W1691">
        <f>IFERROR(SUMIFS(T_TTAFStock[TTAF_Qty],T_TTAFStock[RM_Code],$A1687,T_TTAFStock[WeekIndex],19),"")</f>
        <v/>
      </c>
      <c r="X1691">
        <f>IFERROR(SUMIFS(T_TTAFStock[TTAF_Qty],T_TTAFStock[RM_Code],$A1687,T_TTAFStock[WeekIndex],20),"")</f>
        <v/>
      </c>
      <c r="Y1691">
        <f>IFERROR(SUMIFS(T_TTAFStock[TTAF_Qty],T_TTAFStock[RM_Code],$A1687,T_TTAFStock[WeekIndex],21),"")</f>
        <v/>
      </c>
      <c r="Z1691">
        <f>IFERROR(SUMIFS(T_TTAFStock[TTAF_Qty],T_TTAFStock[RM_Code],$A1687,T_TTAFStock[WeekIndex],22),"")</f>
        <v/>
      </c>
      <c r="AA1691">
        <f>IFERROR(SUMIFS(T_TTAFStock[TTAF_Qty],T_TTAFStock[RM_Code],$A1687,T_TTAFStock[WeekIndex],23),"")</f>
        <v/>
      </c>
      <c r="AB1691">
        <f>IFERROR(SUMIFS(T_TTAFStock[TTAF_Qty],T_TTAFStock[RM_Code],$A1687,T_TTAFStock[WeekIndex],24),"")</f>
        <v/>
      </c>
      <c r="AC1691">
        <f>IFERROR(SUMIFS(T_TTAFStock[TTAF_Qty],T_TTAFStock[RM_Code],$A1687,T_TTAFStock[WeekIndex],25),"")</f>
        <v/>
      </c>
      <c r="AD1691">
        <f>IFERROR(SUMIFS(T_TTAFStock[TTAF_Qty],T_TTAFStock[RM_Code],$A1687,T_TTAFStock[WeekIndex],26),"")</f>
        <v/>
      </c>
      <c r="AE1691">
        <f>IFERROR(SUMIFS(T_TTAFStock[TTAF_Qty],T_TTAFStock[RM_Code],$A1687,T_TTAFStock[WeekIndex],27),"")</f>
        <v/>
      </c>
      <c r="AF1691">
        <f>IFERROR(SUMIFS(T_TTAFStock[TTAF_Qty],T_TTAFStock[RM_Code],$A1687,T_TTAFStock[WeekIndex],28),"")</f>
        <v/>
      </c>
      <c r="AG1691">
        <f>IFERROR(SUMIFS(T_TTAFStock[TTAF_Qty],T_TTAFStock[RM_Code],$A1687,T_TTAFStock[WeekIndex],29),"")</f>
        <v/>
      </c>
      <c r="AH1691">
        <f>IFERROR(SUMIFS(T_TTAFStock[TTAF_Qty],T_TTAFStock[RM_Code],$A1687,T_TTAFStock[WeekIndex],30),"")</f>
        <v/>
      </c>
      <c r="AI1691">
        <f>IFERROR(SUMIFS(T_TTAFStock[TTAF_Qty],T_TTAFStock[RM_Code],$A1687,T_TTAFStock[WeekIndex],31),"")</f>
        <v/>
      </c>
      <c r="AJ1691">
        <f>IFERROR(SUMIFS(T_TTAFStock[TTAF_Qty],T_TTAFStock[RM_Code],$A1687,T_TTAFStock[WeekIndex],32),"")</f>
        <v/>
      </c>
      <c r="AK1691">
        <f>IFERROR(SUMIFS(T_TTAFStock[TTAF_Qty],T_TTAFStock[RM_Code],$A1687,T_TTAFStock[WeekIndex],33),"")</f>
        <v/>
      </c>
      <c r="AL1691">
        <f>IFERROR(SUMIFS(T_TTAFStock[TTAF_Qty],T_TTAFStock[RM_Code],$A1687,T_TTAFStock[WeekIndex],34),"")</f>
        <v/>
      </c>
      <c r="AM1691">
        <f>IFERROR(SUMIFS(T_TTAFStock[TTAF_Qty],T_TTAFStock[RM_Code],$A1687,T_TTAFStock[WeekIndex],35),"")</f>
        <v/>
      </c>
      <c r="AN1691">
        <f>IFERROR(SUMIFS(T_TTAFStock[TTAF_Qty],T_TTAFStock[RM_Code],$A1687,T_TTAFStock[WeekIndex],36),"")</f>
        <v/>
      </c>
      <c r="AO1691">
        <f>IFERROR(SUMIFS(T_TTAFStock[TTAF_Qty],T_TTAFStock[RM_Code],$A1687,T_TTAFStock[WeekIndex],37),"")</f>
        <v/>
      </c>
      <c r="AP1691">
        <f>IFERROR(SUMIFS(T_TTAFStock[TTAF_Qty],T_TTAFStock[RM_Code],$A1687,T_TTAFStock[WeekIndex],38),"")</f>
        <v/>
      </c>
      <c r="AQ1691">
        <f>IFERROR(SUMIFS(T_TTAFStock[TTAF_Qty],T_TTAFStock[RM_Code],$A1687,T_TTAFStock[WeekIndex],39),"")</f>
        <v/>
      </c>
      <c r="AR1691">
        <f>IFERROR(SUMIFS(T_TTAFStock[TTAF_Qty],T_TTAFStock[RM_Code],$A1687,T_TTAFStock[WeekIndex],40),"")</f>
        <v/>
      </c>
      <c r="AS1691">
        <f>IFERROR(SUMIFS(T_TTAFStock[TTAF_Qty],T_TTAFStock[RM_Code],$A1687,T_TTAFStock[WeekIndex],41),"")</f>
        <v/>
      </c>
      <c r="AT1691">
        <f>IFERROR(SUMIFS(T_TTAFStock[TTAF_Qty],T_TTAFStock[RM_Code],$A1687,T_TTAFStock[WeekIndex],42),"")</f>
        <v/>
      </c>
      <c r="AU1691">
        <f>IFERROR(SUMIFS(T_TTAFStock[TTAF_Qty],T_TTAFStock[RM_Code],$A1687,T_TTAFStock[WeekIndex],43),"")</f>
        <v/>
      </c>
      <c r="AV1691">
        <f>IFERROR(SUMIFS(T_TTAFStock[TTAF_Qty],T_TTAFStock[RM_Code],$A1687,T_TTAFStock[WeekIndex],44),"")</f>
        <v/>
      </c>
      <c r="AW1691">
        <f>IFERROR(SUMIFS(T_TTAFStock[TTAF_Qty],T_TTAFStock[RM_Code],$A1687,T_TTAFStock[WeekIndex],45),"")</f>
        <v/>
      </c>
      <c r="AX1691">
        <f>IFERROR(SUMIFS(T_TTAFStock[TTAF_Qty],T_TTAFStock[RM_Code],$A1687,T_TTAFStock[WeekIndex],46),"")</f>
        <v/>
      </c>
      <c r="AY1691">
        <f>IFERROR(SUMIFS(T_TTAFStock[TTAF_Qty],T_TTAFStock[RM_Code],$A1687,T_TTAFStock[WeekIndex],47),"")</f>
        <v/>
      </c>
      <c r="AZ1691">
        <f>IFERROR(SUMIFS(T_TTAFStock[TTAF_Qty],T_TTAFStock[RM_Code],$A1687,T_TTAFStock[WeekIndex],48),"")</f>
        <v/>
      </c>
      <c r="BA1691">
        <f>IFERROR(SUMIFS(T_TTAFStock[TTAF_Qty],T_TTAFStock[RM_Code],$A1687,T_TTAFStock[WeekIndex],49),"")</f>
        <v/>
      </c>
      <c r="BB1691">
        <f>IFERROR(SUMIFS(T_TTAFStock[TTAF_Qty],T_TTAFStock[RM_Code],$A1687,T_TTAFStock[WeekIndex],50),"")</f>
        <v/>
      </c>
      <c r="BC1691">
        <f>IFERROR(SUMIFS(T_TTAFStock[TTAF_Qty],T_TTAFStock[RM_Code],$A1687,T_TTAFStock[WeekIndex],51),"")</f>
        <v/>
      </c>
      <c r="BD1691">
        <f>IFERROR(SUMIFS(T_TTAFStock[TTAF_Qty],T_TTAFStock[RM_Code],$A1687,T_TTAFStock[WeekIndex],52),"")</f>
        <v/>
      </c>
      <c r="BE1691">
        <f>IFERROR(SUMIFS(T_TTAFStock[TTAF_Qty],T_TTAFStock[RM_Code],$A1687,T_TTAFStock[WeekIndex],53),"")</f>
        <v/>
      </c>
      <c r="BF1691">
        <f>IFERROR(SUMIFS(T_TTAFStock[TTAF_Qty],T_TTAFStock[RM_Code],$A1687,T_TTAFStock[WeekIndex],54),"")</f>
        <v/>
      </c>
      <c r="BG1691">
        <f>IFERROR(SUMIFS(T_TTAFStock[TTAF_Qty],T_TTAFStock[RM_Code],$A1687,T_TTAFStock[WeekIndex],55),"")</f>
        <v/>
      </c>
      <c r="BH1691">
        <f>IFERROR(SUMIFS(T_TTAFStock[TTAF_Qty],T_TTAFStock[RM_Code],$A1687,T_TTAFStock[WeekIndex],56),"")</f>
        <v/>
      </c>
      <c r="BI1691">
        <f>IFERROR(SUMIFS(T_TTAFStock[TTAF_Qty],T_TTAFStock[RM_Code],$A1687,T_TTAFStock[WeekIndex],57),"")</f>
        <v/>
      </c>
      <c r="BJ1691">
        <f>IFERROR(SUMIFS(T_TTAFStock[TTAF_Qty],T_TTAFStock[RM_Code],$A1687,T_TTAFStock[WeekIndex],58),"")</f>
        <v/>
      </c>
      <c r="BK1691">
        <f>IFERROR(SUMIFS(T_TTAFStock[TTAF_Qty],T_TTAFStock[RM_Code],$A1687,T_TTAFStock[WeekIndex],59),"")</f>
        <v/>
      </c>
      <c r="BL1691">
        <f>IFERROR(SUMIFS(T_TTAFStock[TTAF_Qty],T_TTAFStock[RM_Code],$A1687,T_TTAFStock[WeekIndex],60),"")</f>
        <v/>
      </c>
      <c r="BM1691">
        <f>IFERROR(SUMIFS(T_TTAFStock[TTAF_Qty],T_TTAFStock[RM_Code],$A1687,T_TTAFStock[WeekIndex],61),"")</f>
        <v/>
      </c>
      <c r="BN1691">
        <f>IFERROR(SUMIFS(T_TTAFStock[TTAF_Qty],T_TTAFStock[RM_Code],$A1687,T_TTAFStock[WeekIndex],62),"")</f>
        <v/>
      </c>
      <c r="BO1691">
        <f>IFERROR(SUMIFS(T_TTAFStock[TTAF_Qty],T_TTAFStock[RM_Code],$A1687,T_TTAFStock[WeekIndex],63),"")</f>
        <v/>
      </c>
      <c r="BP1691">
        <f>IFERROR(SUMIFS(T_TTAFStock[TTAF_Qty],T_TTAFStock[RM_Code],$A1687,T_TTAFStock[WeekIndex],64),"")</f>
        <v/>
      </c>
      <c r="BQ1691">
        <f>IFERROR(SUMIFS(T_TTAFStock[TTAF_Qty],T_TTAFStock[RM_Code],$A1687,T_TTAFStock[WeekIndex],65),"")</f>
        <v/>
      </c>
      <c r="BR1691">
        <f>IFERROR(SUMIFS(T_TTAFStock[TTAF_Qty],T_TTAFStock[RM_Code],$A1687,T_TTAFStock[WeekIndex],66),"")</f>
        <v/>
      </c>
      <c r="BS1691">
        <f>IFERROR(SUMIFS(T_TTAFStock[TTAF_Qty],T_TTAFStock[RM_Code],$A1687,T_TTAFStock[WeekIndex],67),"")</f>
        <v/>
      </c>
      <c r="BT1691">
        <f>IFERROR(SUMIFS(T_TTAFStock[TTAF_Qty],T_TTAFStock[RM_Code],$A1687,T_TTAFStock[WeekIndex],68),"")</f>
        <v/>
      </c>
      <c r="BU1691">
        <f>IFERROR(SUMIFS(T_TTAFStock[TTAF_Qty],T_TTAFStock[RM_Code],$A1687,T_TTAFStock[WeekIndex],69),"")</f>
        <v/>
      </c>
      <c r="BV1691">
        <f>IFERROR(SUMIFS(T_TTAFStock[TTAF_Qty],T_TTAFStock[RM_Code],$A1687,T_TTAFStock[WeekIndex],70),"")</f>
        <v/>
      </c>
      <c r="BW1691">
        <f>IFERROR(SUMIFS(T_TTAFStock[TTAF_Qty],T_TTAFStock[RM_Code],$A1687,T_TTAFStock[WeekIndex],71),"")</f>
        <v/>
      </c>
      <c r="BX1691">
        <f>IFERROR(SUMIFS(T_TTAFStock[TTAF_Qty],T_TTAFStock[RM_Code],$A1687,T_TTAFStock[WeekIndex],72),"")</f>
        <v/>
      </c>
      <c r="BY1691">
        <f>IFERROR(SUMIFS(T_TTAFStock[TTAF_Qty],T_TTAFStock[RM_Code],$A1687,T_TTAFStock[WeekIndex],73),"")</f>
        <v/>
      </c>
      <c r="BZ1691">
        <f>IFERROR(SUMIFS(T_TTAFStock[TTAF_Qty],T_TTAFStock[RM_Code],$A1687,T_TTAFStock[WeekIndex],74),"")</f>
        <v/>
      </c>
      <c r="CA1691">
        <f>IFERROR(SUMIFS(T_TTAFStock[TTAF_Qty],T_TTAFStock[RM_Code],$A1687,T_TTAFStock[WeekIndex],75),"")</f>
        <v/>
      </c>
      <c r="CB1691">
        <f>IFERROR(SUMIFS(T_TTAFStock[TTAF_Qty],T_TTAFStock[RM_Code],$A1687,T_TTAFStock[WeekIndex],76),"")</f>
        <v/>
      </c>
      <c r="CC1691">
        <f>IFERROR(SUMIFS(T_TTAFStock[TTAF_Qty],T_TTAFStock[RM_Code],$A1687,T_TTAFStock[WeekIndex],77),"")</f>
        <v/>
      </c>
      <c r="CD1691">
        <f>IFERROR(SUMIFS(T_TTAFStock[TTAF_Qty],T_TTAFStock[RM_Code],$A1687,T_TTAFStock[WeekIndex],78),"")</f>
        <v/>
      </c>
      <c r="CE1691">
        <f>IFERROR(SUMIFS(T_TTAFStock[TTAF_Qty],T_TTAFStock[RM_Code],$A1687,T_TTAFStock[WeekIndex],79),"")</f>
        <v/>
      </c>
      <c r="CF1691">
        <f>IFERROR(SUMIFS(T_TTAFStock[TTAF_Qty],T_TTAFStock[RM_Code],$A1687,T_TTAFStock[WeekIndex],80),"")</f>
        <v/>
      </c>
      <c r="CG1691">
        <f>IFERROR(SUMIFS(T_TTAFStock[TTAF_Qty],T_TTAFStock[RM_Code],$A1687,T_TTAFStock[WeekIndex],81),"")</f>
        <v/>
      </c>
      <c r="CH1691">
        <f>IFERROR(SUMIFS(T_TTAFStock[TTAF_Qty],T_TTAFStock[RM_Code],$A1687,T_TTAFStock[WeekIndex],82),"")</f>
        <v/>
      </c>
      <c r="CI1691">
        <f>IFERROR(SUMIFS(T_TTAFStock[TTAF_Qty],T_TTAFStock[RM_Code],$A1687,T_TTAFStock[WeekIndex],83),"")</f>
        <v/>
      </c>
      <c r="CJ1691">
        <f>IFERROR(SUMIFS(T_TTAFStock[TTAF_Qty],T_TTAFStock[RM_Code],$A1687,T_TTAFStock[WeekIndex],84),"")</f>
        <v/>
      </c>
      <c r="CK1691">
        <f>IFERROR(SUMIFS(T_TTAFStock[TTAF_Qty],T_TTAFStock[RM_Code],$A1687,T_TTAFStock[WeekIndex],85),"")</f>
        <v/>
      </c>
      <c r="CL1691">
        <f>IFERROR(SUMIFS(T_TTAFStock[TTAF_Qty],T_TTAFStock[RM_Code],$A1687,T_TTAFStock[WeekIndex],86),"")</f>
        <v/>
      </c>
      <c r="CM1691">
        <f>IFERROR(SUMIFS(T_TTAFStock[TTAF_Qty],T_TTAFStock[RM_Code],$A1687,T_TTAFStock[WeekIndex],87),"")</f>
        <v/>
      </c>
      <c r="CN1691">
        <f>IFERROR(SUMIFS(T_TTAFStock[TTAF_Qty],T_TTAFStock[RM_Code],$A1687,T_TTAFStock[WeekIndex],88),"")</f>
        <v/>
      </c>
      <c r="CO1691">
        <f>IFERROR(SUMIFS(T_TTAFStock[TTAF_Qty],T_TTAFStock[RM_Code],$A1687,T_TTAFStock[WeekIndex],89),"")</f>
        <v/>
      </c>
      <c r="CP1691">
        <f>IFERROR(SUMIFS(T_TTAFStock[TTAF_Qty],T_TTAFStock[RM_Code],$A1687,T_TTAFStock[WeekIndex],90),"")</f>
        <v/>
      </c>
      <c r="CQ1691">
        <f>IFERROR(SUMIFS(T_TTAFStock[TTAF_Qty],T_TTAFStock[RM_Code],$A1687,T_TTAFStock[WeekIndex],91),"")</f>
        <v/>
      </c>
      <c r="CR1691">
        <f>IFERROR(SUMIFS(T_TTAFStock[TTAF_Qty],T_TTAFStock[RM_Code],$A1687,T_TTAFStock[WeekIndex],92),"")</f>
        <v/>
      </c>
      <c r="CS1691">
        <f>IFERROR(SUMIFS(T_TTAFStock[TTAF_Qty],T_TTAFStock[RM_Code],$A1687,T_TTAFStock[WeekIndex],93),"")</f>
        <v/>
      </c>
      <c r="CT1691">
        <f>IFERROR(SUMIFS(T_TTAFStock[TTAF_Qty],T_TTAFStock[RM_Code],$A1687,T_TTAFStock[WeekIndex],94),"")</f>
        <v/>
      </c>
      <c r="CU1691">
        <f>IFERROR(SUMIFS(T_TTAFStock[TTAF_Qty],T_TTAFStock[RM_Code],$A1687,T_TTAFStock[WeekIndex],95),"")</f>
        <v/>
      </c>
      <c r="CV1691">
        <f>IFERROR(SUMIFS(T_TTAFStock[TTAF_Qty],T_TTAFStock[RM_Code],$A1687,T_TTAFStock[WeekIndex],96),"")</f>
        <v/>
      </c>
      <c r="CW1691">
        <f>IFERROR(SUMIFS(T_TTAFStock[TTAF_Qty],T_TTAFStock[RM_Code],$A1687,T_TTAFStock[WeekIndex],97),"")</f>
        <v/>
      </c>
      <c r="CX1691">
        <f>IFERROR(SUMIFS(T_TTAFStock[TTAF_Qty],T_TTAFStock[RM_Code],$A1687,T_TTAFStock[WeekIndex],98),"")</f>
        <v/>
      </c>
      <c r="CY1691">
        <f>IFERROR(SUMIFS(T_TTAFStock[TTAF_Qty],T_TTAFStock[RM_Code],$A1687,T_TTAFStock[WeekIndex],99),"")</f>
        <v/>
      </c>
      <c r="CZ1691">
        <f>IFERROR(SUMIFS(T_TTAFStock[TTAF_Qty],T_TTAFStock[RM_Code],$A1687,T_TTAFStock[WeekIndex],100),"")</f>
        <v/>
      </c>
      <c r="DA1691">
        <f>IFERROR(SUMIFS(T_TTAFStock[TTAF_Qty],T_TTAFStock[RM_Code],$A1687,T_TTAFStock[WeekIndex],101),"")</f>
        <v/>
      </c>
      <c r="DB1691">
        <f>IFERROR(SUMIFS(T_TTAFStock[TTAF_Qty],T_TTAFStock[RM_Code],$A1687,T_TTAFStock[WeekIndex],102),"")</f>
        <v/>
      </c>
      <c r="DC1691">
        <f>IFERROR(SUMIFS(T_TTAFStock[TTAF_Qty],T_TTAFStock[RM_Code],$A1687,T_TTAFStock[WeekIndex],103),"")</f>
        <v/>
      </c>
      <c r="DD1691">
        <f>IFERROR(SUMIFS(T_TTAFStock[TTAF_Qty],T_TTAFStock[RM_Code],$A1687,T_TTAFStock[WeekIndex],104),"")</f>
        <v/>
      </c>
    </row>
    <row r="1692">
      <c r="B1692" t="inlineStr">
        <is>
          <t>自社在庫(実績,kg)</t>
        </is>
      </c>
      <c r="D1692">
        <f>IFERROR(INDEX(E1692:DD1692,$F$1),"")</f>
        <v/>
      </c>
      <c r="E1692">
        <f>IFERROR(SUMIFS(T_SelfStock[Self_Qty],T_SelfStock[RM_Code],$A1687,T_SelfStock[WeekIndex],1),"")</f>
        <v/>
      </c>
      <c r="F1692">
        <f>IFERROR(SUMIFS(T_SelfStock[Self_Qty],T_SelfStock[RM_Code],$A1687,T_SelfStock[WeekIndex],2),"")</f>
        <v/>
      </c>
      <c r="G1692">
        <f>IFERROR(SUMIFS(T_SelfStock[Self_Qty],T_SelfStock[RM_Code],$A1687,T_SelfStock[WeekIndex],3),"")</f>
        <v/>
      </c>
      <c r="H1692">
        <f>IFERROR(SUMIFS(T_SelfStock[Self_Qty],T_SelfStock[RM_Code],$A1687,T_SelfStock[WeekIndex],4),"")</f>
        <v/>
      </c>
      <c r="I1692">
        <f>IFERROR(SUMIFS(T_SelfStock[Self_Qty],T_SelfStock[RM_Code],$A1687,T_SelfStock[WeekIndex],5),"")</f>
        <v/>
      </c>
      <c r="J1692">
        <f>IFERROR(SUMIFS(T_SelfStock[Self_Qty],T_SelfStock[RM_Code],$A1687,T_SelfStock[WeekIndex],6),"")</f>
        <v/>
      </c>
      <c r="K1692">
        <f>IFERROR(SUMIFS(T_SelfStock[Self_Qty],T_SelfStock[RM_Code],$A1687,T_SelfStock[WeekIndex],7),"")</f>
        <v/>
      </c>
      <c r="L1692">
        <f>IFERROR(SUMIFS(T_SelfStock[Self_Qty],T_SelfStock[RM_Code],$A1687,T_SelfStock[WeekIndex],8),"")</f>
        <v/>
      </c>
      <c r="M1692">
        <f>IFERROR(SUMIFS(T_SelfStock[Self_Qty],T_SelfStock[RM_Code],$A1687,T_SelfStock[WeekIndex],9),"")</f>
        <v/>
      </c>
      <c r="N1692">
        <f>IFERROR(SUMIFS(T_SelfStock[Self_Qty],T_SelfStock[RM_Code],$A1687,T_SelfStock[WeekIndex],10),"")</f>
        <v/>
      </c>
      <c r="O1692">
        <f>IFERROR(SUMIFS(T_SelfStock[Self_Qty],T_SelfStock[RM_Code],$A1687,T_SelfStock[WeekIndex],11),"")</f>
        <v/>
      </c>
      <c r="P1692">
        <f>IFERROR(SUMIFS(T_SelfStock[Self_Qty],T_SelfStock[RM_Code],$A1687,T_SelfStock[WeekIndex],12),"")</f>
        <v/>
      </c>
      <c r="Q1692">
        <f>IFERROR(SUMIFS(T_SelfStock[Self_Qty],T_SelfStock[RM_Code],$A1687,T_SelfStock[WeekIndex],13),"")</f>
        <v/>
      </c>
      <c r="R1692">
        <f>IFERROR(SUMIFS(T_SelfStock[Self_Qty],T_SelfStock[RM_Code],$A1687,T_SelfStock[WeekIndex],14),"")</f>
        <v/>
      </c>
      <c r="S1692">
        <f>IFERROR(SUMIFS(T_SelfStock[Self_Qty],T_SelfStock[RM_Code],$A1687,T_SelfStock[WeekIndex],15),"")</f>
        <v/>
      </c>
      <c r="T1692">
        <f>IFERROR(SUMIFS(T_SelfStock[Self_Qty],T_SelfStock[RM_Code],$A1687,T_SelfStock[WeekIndex],16),"")</f>
        <v/>
      </c>
      <c r="U1692">
        <f>IFERROR(SUMIFS(T_SelfStock[Self_Qty],T_SelfStock[RM_Code],$A1687,T_SelfStock[WeekIndex],17),"")</f>
        <v/>
      </c>
      <c r="V1692">
        <f>IFERROR(SUMIFS(T_SelfStock[Self_Qty],T_SelfStock[RM_Code],$A1687,T_SelfStock[WeekIndex],18),"")</f>
        <v/>
      </c>
      <c r="W1692">
        <f>IFERROR(SUMIFS(T_SelfStock[Self_Qty],T_SelfStock[RM_Code],$A1687,T_SelfStock[WeekIndex],19),"")</f>
        <v/>
      </c>
      <c r="X1692">
        <f>IFERROR(SUMIFS(T_SelfStock[Self_Qty],T_SelfStock[RM_Code],$A1687,T_SelfStock[WeekIndex],20),"")</f>
        <v/>
      </c>
      <c r="Y1692">
        <f>IFERROR(SUMIFS(T_SelfStock[Self_Qty],T_SelfStock[RM_Code],$A1687,T_SelfStock[WeekIndex],21),"")</f>
        <v/>
      </c>
      <c r="Z1692">
        <f>IFERROR(SUMIFS(T_SelfStock[Self_Qty],T_SelfStock[RM_Code],$A1687,T_SelfStock[WeekIndex],22),"")</f>
        <v/>
      </c>
      <c r="AA1692">
        <f>IFERROR(SUMIFS(T_SelfStock[Self_Qty],T_SelfStock[RM_Code],$A1687,T_SelfStock[WeekIndex],23),"")</f>
        <v/>
      </c>
      <c r="AB1692">
        <f>IFERROR(SUMIFS(T_SelfStock[Self_Qty],T_SelfStock[RM_Code],$A1687,T_SelfStock[WeekIndex],24),"")</f>
        <v/>
      </c>
      <c r="AC1692">
        <f>IFERROR(SUMIFS(T_SelfStock[Self_Qty],T_SelfStock[RM_Code],$A1687,T_SelfStock[WeekIndex],25),"")</f>
        <v/>
      </c>
      <c r="AD1692">
        <f>IFERROR(SUMIFS(T_SelfStock[Self_Qty],T_SelfStock[RM_Code],$A1687,T_SelfStock[WeekIndex],26),"")</f>
        <v/>
      </c>
      <c r="AE1692">
        <f>IFERROR(SUMIFS(T_SelfStock[Self_Qty],T_SelfStock[RM_Code],$A1687,T_SelfStock[WeekIndex],27),"")</f>
        <v/>
      </c>
      <c r="AF1692">
        <f>IFERROR(SUMIFS(T_SelfStock[Self_Qty],T_SelfStock[RM_Code],$A1687,T_SelfStock[WeekIndex],28),"")</f>
        <v/>
      </c>
      <c r="AG1692">
        <f>IFERROR(SUMIFS(T_SelfStock[Self_Qty],T_SelfStock[RM_Code],$A1687,T_SelfStock[WeekIndex],29),"")</f>
        <v/>
      </c>
      <c r="AH1692">
        <f>IFERROR(SUMIFS(T_SelfStock[Self_Qty],T_SelfStock[RM_Code],$A1687,T_SelfStock[WeekIndex],30),"")</f>
        <v/>
      </c>
      <c r="AI1692">
        <f>IFERROR(SUMIFS(T_SelfStock[Self_Qty],T_SelfStock[RM_Code],$A1687,T_SelfStock[WeekIndex],31),"")</f>
        <v/>
      </c>
      <c r="AJ1692">
        <f>IFERROR(SUMIFS(T_SelfStock[Self_Qty],T_SelfStock[RM_Code],$A1687,T_SelfStock[WeekIndex],32),"")</f>
        <v/>
      </c>
      <c r="AK1692">
        <f>IFERROR(SUMIFS(T_SelfStock[Self_Qty],T_SelfStock[RM_Code],$A1687,T_SelfStock[WeekIndex],33),"")</f>
        <v/>
      </c>
      <c r="AL1692">
        <f>IFERROR(SUMIFS(T_SelfStock[Self_Qty],T_SelfStock[RM_Code],$A1687,T_SelfStock[WeekIndex],34),"")</f>
        <v/>
      </c>
      <c r="AM1692">
        <f>IFERROR(SUMIFS(T_SelfStock[Self_Qty],T_SelfStock[RM_Code],$A1687,T_SelfStock[WeekIndex],35),"")</f>
        <v/>
      </c>
      <c r="AN1692">
        <f>IFERROR(SUMIFS(T_SelfStock[Self_Qty],T_SelfStock[RM_Code],$A1687,T_SelfStock[WeekIndex],36),"")</f>
        <v/>
      </c>
      <c r="AO1692">
        <f>IFERROR(SUMIFS(T_SelfStock[Self_Qty],T_SelfStock[RM_Code],$A1687,T_SelfStock[WeekIndex],37),"")</f>
        <v/>
      </c>
      <c r="AP1692">
        <f>IFERROR(SUMIFS(T_SelfStock[Self_Qty],T_SelfStock[RM_Code],$A1687,T_SelfStock[WeekIndex],38),"")</f>
        <v/>
      </c>
      <c r="AQ1692">
        <f>IFERROR(SUMIFS(T_SelfStock[Self_Qty],T_SelfStock[RM_Code],$A1687,T_SelfStock[WeekIndex],39),"")</f>
        <v/>
      </c>
      <c r="AR1692">
        <f>IFERROR(SUMIFS(T_SelfStock[Self_Qty],T_SelfStock[RM_Code],$A1687,T_SelfStock[WeekIndex],40),"")</f>
        <v/>
      </c>
      <c r="AS1692">
        <f>IFERROR(SUMIFS(T_SelfStock[Self_Qty],T_SelfStock[RM_Code],$A1687,T_SelfStock[WeekIndex],41),"")</f>
        <v/>
      </c>
      <c r="AT1692">
        <f>IFERROR(SUMIFS(T_SelfStock[Self_Qty],T_SelfStock[RM_Code],$A1687,T_SelfStock[WeekIndex],42),"")</f>
        <v/>
      </c>
      <c r="AU1692">
        <f>IFERROR(SUMIFS(T_SelfStock[Self_Qty],T_SelfStock[RM_Code],$A1687,T_SelfStock[WeekIndex],43),"")</f>
        <v/>
      </c>
      <c r="AV1692">
        <f>IFERROR(SUMIFS(T_SelfStock[Self_Qty],T_SelfStock[RM_Code],$A1687,T_SelfStock[WeekIndex],44),"")</f>
        <v/>
      </c>
      <c r="AW1692">
        <f>IFERROR(SUMIFS(T_SelfStock[Self_Qty],T_SelfStock[RM_Code],$A1687,T_SelfStock[WeekIndex],45),"")</f>
        <v/>
      </c>
      <c r="AX1692">
        <f>IFERROR(SUMIFS(T_SelfStock[Self_Qty],T_SelfStock[RM_Code],$A1687,T_SelfStock[WeekIndex],46),"")</f>
        <v/>
      </c>
      <c r="AY1692">
        <f>IFERROR(SUMIFS(T_SelfStock[Self_Qty],T_SelfStock[RM_Code],$A1687,T_SelfStock[WeekIndex],47),"")</f>
        <v/>
      </c>
      <c r="AZ1692">
        <f>IFERROR(SUMIFS(T_SelfStock[Self_Qty],T_SelfStock[RM_Code],$A1687,T_SelfStock[WeekIndex],48),"")</f>
        <v/>
      </c>
      <c r="BA1692">
        <f>IFERROR(SUMIFS(T_SelfStock[Self_Qty],T_SelfStock[RM_Code],$A1687,T_SelfStock[WeekIndex],49),"")</f>
        <v/>
      </c>
      <c r="BB1692">
        <f>IFERROR(SUMIFS(T_SelfStock[Self_Qty],T_SelfStock[RM_Code],$A1687,T_SelfStock[WeekIndex],50),"")</f>
        <v/>
      </c>
      <c r="BC1692">
        <f>IFERROR(SUMIFS(T_SelfStock[Self_Qty],T_SelfStock[RM_Code],$A1687,T_SelfStock[WeekIndex],51),"")</f>
        <v/>
      </c>
      <c r="BD1692">
        <f>IFERROR(SUMIFS(T_SelfStock[Self_Qty],T_SelfStock[RM_Code],$A1687,T_SelfStock[WeekIndex],52),"")</f>
        <v/>
      </c>
      <c r="BE1692">
        <f>IFERROR(SUMIFS(T_SelfStock[Self_Qty],T_SelfStock[RM_Code],$A1687,T_SelfStock[WeekIndex],53),"")</f>
        <v/>
      </c>
      <c r="BF1692">
        <f>IFERROR(SUMIFS(T_SelfStock[Self_Qty],T_SelfStock[RM_Code],$A1687,T_SelfStock[WeekIndex],54),"")</f>
        <v/>
      </c>
      <c r="BG1692">
        <f>IFERROR(SUMIFS(T_SelfStock[Self_Qty],T_SelfStock[RM_Code],$A1687,T_SelfStock[WeekIndex],55),"")</f>
        <v/>
      </c>
      <c r="BH1692">
        <f>IFERROR(SUMIFS(T_SelfStock[Self_Qty],T_SelfStock[RM_Code],$A1687,T_SelfStock[WeekIndex],56),"")</f>
        <v/>
      </c>
      <c r="BI1692">
        <f>IFERROR(SUMIFS(T_SelfStock[Self_Qty],T_SelfStock[RM_Code],$A1687,T_SelfStock[WeekIndex],57),"")</f>
        <v/>
      </c>
      <c r="BJ1692">
        <f>IFERROR(SUMIFS(T_SelfStock[Self_Qty],T_SelfStock[RM_Code],$A1687,T_SelfStock[WeekIndex],58),"")</f>
        <v/>
      </c>
      <c r="BK1692">
        <f>IFERROR(SUMIFS(T_SelfStock[Self_Qty],T_SelfStock[RM_Code],$A1687,T_SelfStock[WeekIndex],59),"")</f>
        <v/>
      </c>
      <c r="BL1692">
        <f>IFERROR(SUMIFS(T_SelfStock[Self_Qty],T_SelfStock[RM_Code],$A1687,T_SelfStock[WeekIndex],60),"")</f>
        <v/>
      </c>
      <c r="BM1692">
        <f>IFERROR(SUMIFS(T_SelfStock[Self_Qty],T_SelfStock[RM_Code],$A1687,T_SelfStock[WeekIndex],61),"")</f>
        <v/>
      </c>
      <c r="BN1692">
        <f>IFERROR(SUMIFS(T_SelfStock[Self_Qty],T_SelfStock[RM_Code],$A1687,T_SelfStock[WeekIndex],62),"")</f>
        <v/>
      </c>
      <c r="BO1692">
        <f>IFERROR(SUMIFS(T_SelfStock[Self_Qty],T_SelfStock[RM_Code],$A1687,T_SelfStock[WeekIndex],63),"")</f>
        <v/>
      </c>
      <c r="BP1692">
        <f>IFERROR(SUMIFS(T_SelfStock[Self_Qty],T_SelfStock[RM_Code],$A1687,T_SelfStock[WeekIndex],64),"")</f>
        <v/>
      </c>
      <c r="BQ1692">
        <f>IFERROR(SUMIFS(T_SelfStock[Self_Qty],T_SelfStock[RM_Code],$A1687,T_SelfStock[WeekIndex],65),"")</f>
        <v/>
      </c>
      <c r="BR1692">
        <f>IFERROR(SUMIFS(T_SelfStock[Self_Qty],T_SelfStock[RM_Code],$A1687,T_SelfStock[WeekIndex],66),"")</f>
        <v/>
      </c>
      <c r="BS1692">
        <f>IFERROR(SUMIFS(T_SelfStock[Self_Qty],T_SelfStock[RM_Code],$A1687,T_SelfStock[WeekIndex],67),"")</f>
        <v/>
      </c>
      <c r="BT1692">
        <f>IFERROR(SUMIFS(T_SelfStock[Self_Qty],T_SelfStock[RM_Code],$A1687,T_SelfStock[WeekIndex],68),"")</f>
        <v/>
      </c>
      <c r="BU1692">
        <f>IFERROR(SUMIFS(T_SelfStock[Self_Qty],T_SelfStock[RM_Code],$A1687,T_SelfStock[WeekIndex],69),"")</f>
        <v/>
      </c>
      <c r="BV1692">
        <f>IFERROR(SUMIFS(T_SelfStock[Self_Qty],T_SelfStock[RM_Code],$A1687,T_SelfStock[WeekIndex],70),"")</f>
        <v/>
      </c>
      <c r="BW1692">
        <f>IFERROR(SUMIFS(T_SelfStock[Self_Qty],T_SelfStock[RM_Code],$A1687,T_SelfStock[WeekIndex],71),"")</f>
        <v/>
      </c>
      <c r="BX1692">
        <f>IFERROR(SUMIFS(T_SelfStock[Self_Qty],T_SelfStock[RM_Code],$A1687,T_SelfStock[WeekIndex],72),"")</f>
        <v/>
      </c>
      <c r="BY1692">
        <f>IFERROR(SUMIFS(T_SelfStock[Self_Qty],T_SelfStock[RM_Code],$A1687,T_SelfStock[WeekIndex],73),"")</f>
        <v/>
      </c>
      <c r="BZ1692">
        <f>IFERROR(SUMIFS(T_SelfStock[Self_Qty],T_SelfStock[RM_Code],$A1687,T_SelfStock[WeekIndex],74),"")</f>
        <v/>
      </c>
      <c r="CA1692">
        <f>IFERROR(SUMIFS(T_SelfStock[Self_Qty],T_SelfStock[RM_Code],$A1687,T_SelfStock[WeekIndex],75),"")</f>
        <v/>
      </c>
      <c r="CB1692">
        <f>IFERROR(SUMIFS(T_SelfStock[Self_Qty],T_SelfStock[RM_Code],$A1687,T_SelfStock[WeekIndex],76),"")</f>
        <v/>
      </c>
      <c r="CC1692">
        <f>IFERROR(SUMIFS(T_SelfStock[Self_Qty],T_SelfStock[RM_Code],$A1687,T_SelfStock[WeekIndex],77),"")</f>
        <v/>
      </c>
      <c r="CD1692">
        <f>IFERROR(SUMIFS(T_SelfStock[Self_Qty],T_SelfStock[RM_Code],$A1687,T_SelfStock[WeekIndex],78),"")</f>
        <v/>
      </c>
      <c r="CE1692">
        <f>IFERROR(SUMIFS(T_SelfStock[Self_Qty],T_SelfStock[RM_Code],$A1687,T_SelfStock[WeekIndex],79),"")</f>
        <v/>
      </c>
      <c r="CF1692">
        <f>IFERROR(SUMIFS(T_SelfStock[Self_Qty],T_SelfStock[RM_Code],$A1687,T_SelfStock[WeekIndex],80),"")</f>
        <v/>
      </c>
      <c r="CG1692">
        <f>IFERROR(SUMIFS(T_SelfStock[Self_Qty],T_SelfStock[RM_Code],$A1687,T_SelfStock[WeekIndex],81),"")</f>
        <v/>
      </c>
      <c r="CH1692">
        <f>IFERROR(SUMIFS(T_SelfStock[Self_Qty],T_SelfStock[RM_Code],$A1687,T_SelfStock[WeekIndex],82),"")</f>
        <v/>
      </c>
      <c r="CI1692">
        <f>IFERROR(SUMIFS(T_SelfStock[Self_Qty],T_SelfStock[RM_Code],$A1687,T_SelfStock[WeekIndex],83),"")</f>
        <v/>
      </c>
      <c r="CJ1692">
        <f>IFERROR(SUMIFS(T_SelfStock[Self_Qty],T_SelfStock[RM_Code],$A1687,T_SelfStock[WeekIndex],84),"")</f>
        <v/>
      </c>
      <c r="CK1692">
        <f>IFERROR(SUMIFS(T_SelfStock[Self_Qty],T_SelfStock[RM_Code],$A1687,T_SelfStock[WeekIndex],85),"")</f>
        <v/>
      </c>
      <c r="CL1692">
        <f>IFERROR(SUMIFS(T_SelfStock[Self_Qty],T_SelfStock[RM_Code],$A1687,T_SelfStock[WeekIndex],86),"")</f>
        <v/>
      </c>
      <c r="CM1692">
        <f>IFERROR(SUMIFS(T_SelfStock[Self_Qty],T_SelfStock[RM_Code],$A1687,T_SelfStock[WeekIndex],87),"")</f>
        <v/>
      </c>
      <c r="CN1692">
        <f>IFERROR(SUMIFS(T_SelfStock[Self_Qty],T_SelfStock[RM_Code],$A1687,T_SelfStock[WeekIndex],88),"")</f>
        <v/>
      </c>
      <c r="CO1692">
        <f>IFERROR(SUMIFS(T_SelfStock[Self_Qty],T_SelfStock[RM_Code],$A1687,T_SelfStock[WeekIndex],89),"")</f>
        <v/>
      </c>
      <c r="CP1692">
        <f>IFERROR(SUMIFS(T_SelfStock[Self_Qty],T_SelfStock[RM_Code],$A1687,T_SelfStock[WeekIndex],90),"")</f>
        <v/>
      </c>
      <c r="CQ1692">
        <f>IFERROR(SUMIFS(T_SelfStock[Self_Qty],T_SelfStock[RM_Code],$A1687,T_SelfStock[WeekIndex],91),"")</f>
        <v/>
      </c>
      <c r="CR1692">
        <f>IFERROR(SUMIFS(T_SelfStock[Self_Qty],T_SelfStock[RM_Code],$A1687,T_SelfStock[WeekIndex],92),"")</f>
        <v/>
      </c>
      <c r="CS1692">
        <f>IFERROR(SUMIFS(T_SelfStock[Self_Qty],T_SelfStock[RM_Code],$A1687,T_SelfStock[WeekIndex],93),"")</f>
        <v/>
      </c>
      <c r="CT1692">
        <f>IFERROR(SUMIFS(T_SelfStock[Self_Qty],T_SelfStock[RM_Code],$A1687,T_SelfStock[WeekIndex],94),"")</f>
        <v/>
      </c>
      <c r="CU1692">
        <f>IFERROR(SUMIFS(T_SelfStock[Self_Qty],T_SelfStock[RM_Code],$A1687,T_SelfStock[WeekIndex],95),"")</f>
        <v/>
      </c>
      <c r="CV1692">
        <f>IFERROR(SUMIFS(T_SelfStock[Self_Qty],T_SelfStock[RM_Code],$A1687,T_SelfStock[WeekIndex],96),"")</f>
        <v/>
      </c>
      <c r="CW1692">
        <f>IFERROR(SUMIFS(T_SelfStock[Self_Qty],T_SelfStock[RM_Code],$A1687,T_SelfStock[WeekIndex],97),"")</f>
        <v/>
      </c>
      <c r="CX1692">
        <f>IFERROR(SUMIFS(T_SelfStock[Self_Qty],T_SelfStock[RM_Code],$A1687,T_SelfStock[WeekIndex],98),"")</f>
        <v/>
      </c>
      <c r="CY1692">
        <f>IFERROR(SUMIFS(T_SelfStock[Self_Qty],T_SelfStock[RM_Code],$A1687,T_SelfStock[WeekIndex],99),"")</f>
        <v/>
      </c>
      <c r="CZ1692">
        <f>IFERROR(SUMIFS(T_SelfStock[Self_Qty],T_SelfStock[RM_Code],$A1687,T_SelfStock[WeekIndex],100),"")</f>
        <v/>
      </c>
      <c r="DA1692">
        <f>IFERROR(SUMIFS(T_SelfStock[Self_Qty],T_SelfStock[RM_Code],$A1687,T_SelfStock[WeekIndex],101),"")</f>
        <v/>
      </c>
      <c r="DB1692">
        <f>IFERROR(SUMIFS(T_SelfStock[Self_Qty],T_SelfStock[RM_Code],$A1687,T_SelfStock[WeekIndex],102),"")</f>
        <v/>
      </c>
      <c r="DC1692">
        <f>IFERROR(SUMIFS(T_SelfStock[Self_Qty],T_SelfStock[RM_Code],$A1687,T_SelfStock[WeekIndex],103),"")</f>
        <v/>
      </c>
      <c r="DD1692">
        <f>IFERROR(SUMIFS(T_SelfStock[Self_Qty],T_SelfStock[RM_Code],$A1687,T_SelfStock[WeekIndex],104),"")</f>
        <v/>
      </c>
    </row>
    <row r="1693">
      <c r="B1693" s="4" t="inlineStr">
        <is>
          <t>合計在庫(週末時点,kg)</t>
        </is>
      </c>
      <c r="D1693" s="24">
        <f>IFERROR(INDEX(E1693:DD1693,$F$1),"")</f>
        <v/>
      </c>
      <c r="E1693">
        <f>'Grid_Stock'!B41</f>
        <v/>
      </c>
      <c r="F1693">
        <f>'Grid_Stock'!C41</f>
        <v/>
      </c>
      <c r="G1693">
        <f>'Grid_Stock'!D41</f>
        <v/>
      </c>
      <c r="H1693">
        <f>'Grid_Stock'!E41</f>
        <v/>
      </c>
      <c r="I1693">
        <f>'Grid_Stock'!F41</f>
        <v/>
      </c>
      <c r="J1693">
        <f>'Grid_Stock'!G41</f>
        <v/>
      </c>
      <c r="K1693">
        <f>'Grid_Stock'!H41</f>
        <v/>
      </c>
      <c r="L1693">
        <f>'Grid_Stock'!I41</f>
        <v/>
      </c>
      <c r="M1693">
        <f>'Grid_Stock'!J41</f>
        <v/>
      </c>
      <c r="N1693">
        <f>'Grid_Stock'!K41</f>
        <v/>
      </c>
      <c r="O1693">
        <f>'Grid_Stock'!L41</f>
        <v/>
      </c>
      <c r="P1693">
        <f>'Grid_Stock'!M41</f>
        <v/>
      </c>
      <c r="Q1693">
        <f>'Grid_Stock'!N41</f>
        <v/>
      </c>
      <c r="R1693">
        <f>'Grid_Stock'!O41</f>
        <v/>
      </c>
      <c r="S1693">
        <f>'Grid_Stock'!P41</f>
        <v/>
      </c>
      <c r="T1693">
        <f>'Grid_Stock'!Q41</f>
        <v/>
      </c>
      <c r="U1693">
        <f>'Grid_Stock'!R41</f>
        <v/>
      </c>
      <c r="V1693">
        <f>'Grid_Stock'!S41</f>
        <v/>
      </c>
      <c r="W1693">
        <f>'Grid_Stock'!T41</f>
        <v/>
      </c>
      <c r="X1693">
        <f>'Grid_Stock'!U41</f>
        <v/>
      </c>
      <c r="Y1693">
        <f>'Grid_Stock'!V41</f>
        <v/>
      </c>
      <c r="Z1693">
        <f>'Grid_Stock'!W41</f>
        <v/>
      </c>
      <c r="AA1693">
        <f>'Grid_Stock'!X41</f>
        <v/>
      </c>
      <c r="AB1693">
        <f>'Grid_Stock'!Y41</f>
        <v/>
      </c>
      <c r="AC1693">
        <f>'Grid_Stock'!Z41</f>
        <v/>
      </c>
      <c r="AD1693">
        <f>'Grid_Stock'!AA41</f>
        <v/>
      </c>
      <c r="AE1693">
        <f>'Grid_Stock'!AB41</f>
        <v/>
      </c>
      <c r="AF1693">
        <f>'Grid_Stock'!AC41</f>
        <v/>
      </c>
      <c r="AG1693">
        <f>'Grid_Stock'!AD41</f>
        <v/>
      </c>
      <c r="AH1693">
        <f>'Grid_Stock'!AE41</f>
        <v/>
      </c>
      <c r="AI1693">
        <f>'Grid_Stock'!AF41</f>
        <v/>
      </c>
      <c r="AJ1693">
        <f>'Grid_Stock'!AG41</f>
        <v/>
      </c>
      <c r="AK1693">
        <f>'Grid_Stock'!AH41</f>
        <v/>
      </c>
      <c r="AL1693">
        <f>'Grid_Stock'!AI41</f>
        <v/>
      </c>
      <c r="AM1693">
        <f>'Grid_Stock'!AJ41</f>
        <v/>
      </c>
      <c r="AN1693">
        <f>'Grid_Stock'!AK41</f>
        <v/>
      </c>
      <c r="AO1693">
        <f>'Grid_Stock'!AL41</f>
        <v/>
      </c>
      <c r="AP1693">
        <f>'Grid_Stock'!AM41</f>
        <v/>
      </c>
      <c r="AQ1693">
        <f>'Grid_Stock'!AN41</f>
        <v/>
      </c>
      <c r="AR1693">
        <f>'Grid_Stock'!AO41</f>
        <v/>
      </c>
      <c r="AS1693">
        <f>'Grid_Stock'!AP41</f>
        <v/>
      </c>
      <c r="AT1693">
        <f>'Grid_Stock'!AQ41</f>
        <v/>
      </c>
      <c r="AU1693">
        <f>'Grid_Stock'!AR41</f>
        <v/>
      </c>
      <c r="AV1693">
        <f>'Grid_Stock'!AS41</f>
        <v/>
      </c>
      <c r="AW1693">
        <f>'Grid_Stock'!AT41</f>
        <v/>
      </c>
      <c r="AX1693">
        <f>'Grid_Stock'!AU41</f>
        <v/>
      </c>
      <c r="AY1693">
        <f>'Grid_Stock'!AV41</f>
        <v/>
      </c>
      <c r="AZ1693">
        <f>'Grid_Stock'!AW41</f>
        <v/>
      </c>
      <c r="BA1693">
        <f>'Grid_Stock'!AX41</f>
        <v/>
      </c>
      <c r="BB1693">
        <f>'Grid_Stock'!AY41</f>
        <v/>
      </c>
      <c r="BC1693">
        <f>'Grid_Stock'!AZ41</f>
        <v/>
      </c>
      <c r="BD1693">
        <f>'Grid_Stock'!BA41</f>
        <v/>
      </c>
      <c r="BE1693">
        <f>'Grid_Stock'!BB41</f>
        <v/>
      </c>
      <c r="BF1693">
        <f>'Grid_Stock'!BC41</f>
        <v/>
      </c>
      <c r="BG1693">
        <f>'Grid_Stock'!BD41</f>
        <v/>
      </c>
      <c r="BH1693">
        <f>'Grid_Stock'!BE41</f>
        <v/>
      </c>
      <c r="BI1693">
        <f>'Grid_Stock'!BF41</f>
        <v/>
      </c>
      <c r="BJ1693">
        <f>'Grid_Stock'!BG41</f>
        <v/>
      </c>
      <c r="BK1693">
        <f>'Grid_Stock'!BH41</f>
        <v/>
      </c>
      <c r="BL1693">
        <f>'Grid_Stock'!BI41</f>
        <v/>
      </c>
      <c r="BM1693">
        <f>'Grid_Stock'!BJ41</f>
        <v/>
      </c>
      <c r="BN1693">
        <f>'Grid_Stock'!BK41</f>
        <v/>
      </c>
      <c r="BO1693">
        <f>'Grid_Stock'!BL41</f>
        <v/>
      </c>
      <c r="BP1693">
        <f>'Grid_Stock'!BM41</f>
        <v/>
      </c>
      <c r="BQ1693">
        <f>'Grid_Stock'!BN41</f>
        <v/>
      </c>
      <c r="BR1693">
        <f>'Grid_Stock'!BO41</f>
        <v/>
      </c>
      <c r="BS1693">
        <f>'Grid_Stock'!BP41</f>
        <v/>
      </c>
      <c r="BT1693">
        <f>'Grid_Stock'!BQ41</f>
        <v/>
      </c>
      <c r="BU1693">
        <f>'Grid_Stock'!BR41</f>
        <v/>
      </c>
      <c r="BV1693">
        <f>'Grid_Stock'!BS41</f>
        <v/>
      </c>
      <c r="BW1693">
        <f>'Grid_Stock'!BT41</f>
        <v/>
      </c>
      <c r="BX1693">
        <f>'Grid_Stock'!BU41</f>
        <v/>
      </c>
      <c r="BY1693">
        <f>'Grid_Stock'!BV41</f>
        <v/>
      </c>
      <c r="BZ1693">
        <f>'Grid_Stock'!BW41</f>
        <v/>
      </c>
      <c r="CA1693">
        <f>'Grid_Stock'!BX41</f>
        <v/>
      </c>
      <c r="CB1693">
        <f>'Grid_Stock'!BY41</f>
        <v/>
      </c>
      <c r="CC1693">
        <f>'Grid_Stock'!BZ41</f>
        <v/>
      </c>
      <c r="CD1693">
        <f>'Grid_Stock'!CA41</f>
        <v/>
      </c>
      <c r="CE1693">
        <f>'Grid_Stock'!CB41</f>
        <v/>
      </c>
      <c r="CF1693">
        <f>'Grid_Stock'!CC41</f>
        <v/>
      </c>
      <c r="CG1693">
        <f>'Grid_Stock'!CD41</f>
        <v/>
      </c>
      <c r="CH1693">
        <f>'Grid_Stock'!CE41</f>
        <v/>
      </c>
      <c r="CI1693">
        <f>'Grid_Stock'!CF41</f>
        <v/>
      </c>
      <c r="CJ1693">
        <f>'Grid_Stock'!CG41</f>
        <v/>
      </c>
      <c r="CK1693">
        <f>'Grid_Stock'!CH41</f>
        <v/>
      </c>
      <c r="CL1693">
        <f>'Grid_Stock'!CI41</f>
        <v/>
      </c>
      <c r="CM1693">
        <f>'Grid_Stock'!CJ41</f>
        <v/>
      </c>
      <c r="CN1693">
        <f>'Grid_Stock'!CK41</f>
        <v/>
      </c>
      <c r="CO1693">
        <f>'Grid_Stock'!CL41</f>
        <v/>
      </c>
      <c r="CP1693">
        <f>'Grid_Stock'!CM41</f>
        <v/>
      </c>
      <c r="CQ1693">
        <f>'Grid_Stock'!CN41</f>
        <v/>
      </c>
      <c r="CR1693">
        <f>'Grid_Stock'!CO41</f>
        <v/>
      </c>
      <c r="CS1693">
        <f>'Grid_Stock'!CP41</f>
        <v/>
      </c>
      <c r="CT1693">
        <f>'Grid_Stock'!CQ41</f>
        <v/>
      </c>
      <c r="CU1693">
        <f>'Grid_Stock'!CR41</f>
        <v/>
      </c>
      <c r="CV1693">
        <f>'Grid_Stock'!CS41</f>
        <v/>
      </c>
      <c r="CW1693">
        <f>'Grid_Stock'!CT41</f>
        <v/>
      </c>
      <c r="CX1693">
        <f>'Grid_Stock'!CU41</f>
        <v/>
      </c>
      <c r="CY1693">
        <f>'Grid_Stock'!CV41</f>
        <v/>
      </c>
      <c r="CZ1693">
        <f>'Grid_Stock'!CW41</f>
        <v/>
      </c>
      <c r="DA1693">
        <f>'Grid_Stock'!CX41</f>
        <v/>
      </c>
      <c r="DB1693">
        <f>'Grid_Stock'!CY41</f>
        <v/>
      </c>
      <c r="DC1693">
        <f>'Grid_Stock'!CZ41</f>
        <v/>
      </c>
      <c r="DD1693">
        <f>'Grid_Stock'!DA41</f>
        <v/>
      </c>
    </row>
    <row r="1694">
      <c r="B1694" s="25" t="inlineStr">
        <is>
          <t>（発注の目安はDashboardの基準在庫[下限/上限]と色分けを参照）</t>
        </is>
      </c>
    </row>
    <row r="1696">
      <c r="A1696" s="21" t="inlineStr">
        <is>
          <t>CHEM-1020</t>
        </is>
      </c>
      <c r="B1696" s="21" t="inlineStr">
        <is>
          <t>Sodium Nitrite</t>
        </is>
      </c>
      <c r="C1696" s="22" t="n"/>
      <c r="D1696" s="21" t="n"/>
      <c r="E1696" s="21" t="n"/>
      <c r="F1696" s="21" t="n"/>
      <c r="G1696" s="21" t="n"/>
      <c r="H1696" s="21" t="n"/>
      <c r="I1696" s="21" t="n"/>
      <c r="J1696" s="21" t="n"/>
      <c r="K1696" s="21" t="n"/>
      <c r="L1696" s="21" t="n"/>
      <c r="M1696" s="21" t="n"/>
      <c r="N1696" s="21" t="n"/>
      <c r="O1696" s="21" t="n"/>
      <c r="P1696" s="21" t="n"/>
      <c r="Q1696" s="21" t="n"/>
      <c r="R1696" s="21" t="n"/>
      <c r="S1696" s="21" t="n"/>
      <c r="T1696" s="21" t="n"/>
      <c r="U1696" s="21" t="n"/>
      <c r="V1696" s="21" t="n"/>
      <c r="W1696" s="21" t="n"/>
      <c r="X1696" s="21" t="n"/>
      <c r="Y1696" s="21" t="n"/>
      <c r="Z1696" s="21" t="n"/>
      <c r="AA1696" s="21" t="n"/>
      <c r="AB1696" s="21" t="n"/>
      <c r="AC1696" s="21" t="n"/>
      <c r="AD1696" s="21" t="n"/>
      <c r="AE1696" s="21" t="n"/>
      <c r="AF1696" s="21" t="n"/>
      <c r="AG1696" s="21" t="n"/>
      <c r="AH1696" s="21" t="n"/>
      <c r="AI1696" s="21" t="n"/>
      <c r="AJ1696" s="21" t="n"/>
      <c r="AK1696" s="21" t="n"/>
      <c r="AL1696" s="21" t="n"/>
      <c r="AM1696" s="21" t="n"/>
      <c r="AN1696" s="21" t="n"/>
      <c r="AO1696" s="21" t="n"/>
      <c r="AP1696" s="21" t="n"/>
      <c r="AQ1696" s="21" t="n"/>
      <c r="AR1696" s="21" t="n"/>
      <c r="AS1696" s="21" t="n"/>
      <c r="AT1696" s="21" t="n"/>
      <c r="AU1696" s="21" t="n"/>
      <c r="AV1696" s="21" t="n"/>
      <c r="AW1696" s="21" t="n"/>
      <c r="AX1696" s="21" t="n"/>
      <c r="AY1696" s="21" t="n"/>
      <c r="AZ1696" s="21" t="n"/>
      <c r="BA1696" s="21" t="n"/>
      <c r="BB1696" s="21" t="n"/>
      <c r="BC1696" s="21" t="n"/>
      <c r="BD1696" s="21" t="n"/>
      <c r="BE1696" s="21" t="n"/>
      <c r="BF1696" s="21" t="n"/>
      <c r="BG1696" s="21" t="n"/>
      <c r="BH1696" s="21" t="n"/>
      <c r="BI1696" s="21" t="n"/>
      <c r="BJ1696" s="21" t="n"/>
      <c r="BK1696" s="21" t="n"/>
      <c r="BL1696" s="21" t="n"/>
      <c r="BM1696" s="21" t="n"/>
      <c r="BN1696" s="21" t="n"/>
      <c r="BO1696" s="21" t="n"/>
      <c r="BP1696" s="21" t="n"/>
      <c r="BQ1696" s="21" t="n"/>
      <c r="BR1696" s="21" t="n"/>
      <c r="BS1696" s="21" t="n"/>
      <c r="BT1696" s="21" t="n"/>
      <c r="BU1696" s="21" t="n"/>
      <c r="BV1696" s="21" t="n"/>
      <c r="BW1696" s="21" t="n"/>
      <c r="BX1696" s="21" t="n"/>
      <c r="BY1696" s="21" t="n"/>
      <c r="BZ1696" s="21" t="n"/>
      <c r="CA1696" s="21" t="n"/>
      <c r="CB1696" s="21" t="n"/>
      <c r="CC1696" s="21" t="n"/>
      <c r="CD1696" s="21" t="n"/>
      <c r="CE1696" s="21" t="n"/>
      <c r="CF1696" s="21" t="n"/>
      <c r="CG1696" s="21" t="n"/>
      <c r="CH1696" s="21" t="n"/>
      <c r="CI1696" s="21" t="n"/>
      <c r="CJ1696" s="21" t="n"/>
      <c r="CK1696" s="21" t="n"/>
      <c r="CL1696" s="21" t="n"/>
      <c r="CM1696" s="21" t="n"/>
      <c r="CN1696" s="21" t="n"/>
      <c r="CO1696" s="21" t="n"/>
      <c r="CP1696" s="21" t="n"/>
      <c r="CQ1696" s="21" t="n"/>
      <c r="CR1696" s="21" t="n"/>
      <c r="CS1696" s="21" t="n"/>
      <c r="CT1696" s="21" t="n"/>
      <c r="CU1696" s="21" t="n"/>
      <c r="CV1696" s="21" t="n"/>
      <c r="CW1696" s="21" t="n"/>
      <c r="CX1696" s="21" t="n"/>
      <c r="CY1696" s="21" t="n"/>
      <c r="CZ1696" s="21" t="n"/>
      <c r="DA1696" s="21" t="n"/>
      <c r="DB1696" s="21" t="n"/>
      <c r="DC1696" s="21" t="n"/>
      <c r="DD1696" s="21" t="n"/>
    </row>
    <row r="1697">
      <c r="B1697" t="inlineStr">
        <is>
          <t>20p</t>
        </is>
      </c>
      <c r="C1697" t="inlineStr">
        <is>
          <t>No. of batches</t>
        </is>
      </c>
      <c r="D1697">
        <f>IFERROR(INDEX(E1697:DD1697,$F$1),"")</f>
        <v/>
      </c>
      <c r="E1697">
        <f>IFERROR(INDEX(PP_Grid[#Data],$DE1697,2),0)</f>
        <v/>
      </c>
      <c r="F1697">
        <f>IFERROR(INDEX(PP_Grid[#Data],$DE1697,3),0)</f>
        <v/>
      </c>
      <c r="G1697">
        <f>IFERROR(INDEX(PP_Grid[#Data],$DE1697,4),0)</f>
        <v/>
      </c>
      <c r="H1697">
        <f>IFERROR(INDEX(PP_Grid[#Data],$DE1697,5),0)</f>
        <v/>
      </c>
      <c r="I1697">
        <f>IFERROR(INDEX(PP_Grid[#Data],$DE1697,6),0)</f>
        <v/>
      </c>
      <c r="J1697">
        <f>IFERROR(INDEX(PP_Grid[#Data],$DE1697,7),0)</f>
        <v/>
      </c>
      <c r="K1697">
        <f>IFERROR(INDEX(PP_Grid[#Data],$DE1697,8),0)</f>
        <v/>
      </c>
      <c r="L1697">
        <f>IFERROR(INDEX(PP_Grid[#Data],$DE1697,9),0)</f>
        <v/>
      </c>
      <c r="M1697">
        <f>IFERROR(INDEX(PP_Grid[#Data],$DE1697,10),0)</f>
        <v/>
      </c>
      <c r="N1697">
        <f>IFERROR(INDEX(PP_Grid[#Data],$DE1697,11),0)</f>
        <v/>
      </c>
      <c r="O1697">
        <f>IFERROR(INDEX(PP_Grid[#Data],$DE1697,12),0)</f>
        <v/>
      </c>
      <c r="P1697">
        <f>IFERROR(INDEX(PP_Grid[#Data],$DE1697,13),0)</f>
        <v/>
      </c>
      <c r="Q1697">
        <f>IFERROR(INDEX(PP_Grid[#Data],$DE1697,14),0)</f>
        <v/>
      </c>
      <c r="R1697">
        <f>IFERROR(INDEX(PP_Grid[#Data],$DE1697,15),0)</f>
        <v/>
      </c>
      <c r="S1697">
        <f>IFERROR(INDEX(PP_Grid[#Data],$DE1697,16),0)</f>
        <v/>
      </c>
      <c r="T1697">
        <f>IFERROR(INDEX(PP_Grid[#Data],$DE1697,17),0)</f>
        <v/>
      </c>
      <c r="U1697">
        <f>IFERROR(INDEX(PP_Grid[#Data],$DE1697,18),0)</f>
        <v/>
      </c>
      <c r="V1697">
        <f>IFERROR(INDEX(PP_Grid[#Data],$DE1697,19),0)</f>
        <v/>
      </c>
      <c r="W1697">
        <f>IFERROR(INDEX(PP_Grid[#Data],$DE1697,20),0)</f>
        <v/>
      </c>
      <c r="X1697">
        <f>IFERROR(INDEX(PP_Grid[#Data],$DE1697,21),0)</f>
        <v/>
      </c>
      <c r="Y1697">
        <f>IFERROR(INDEX(PP_Grid[#Data],$DE1697,22),0)</f>
        <v/>
      </c>
      <c r="Z1697">
        <f>IFERROR(INDEX(PP_Grid[#Data],$DE1697,23),0)</f>
        <v/>
      </c>
      <c r="AA1697">
        <f>IFERROR(INDEX(PP_Grid[#Data],$DE1697,24),0)</f>
        <v/>
      </c>
      <c r="AB1697">
        <f>IFERROR(INDEX(PP_Grid[#Data],$DE1697,25),0)</f>
        <v/>
      </c>
      <c r="AC1697">
        <f>IFERROR(INDEX(PP_Grid[#Data],$DE1697,26),0)</f>
        <v/>
      </c>
      <c r="AD1697">
        <f>IFERROR(INDEX(PP_Grid[#Data],$DE1697,27),0)</f>
        <v/>
      </c>
      <c r="AE1697">
        <f>IFERROR(INDEX(PP_Grid[#Data],$DE1697,28),0)</f>
        <v/>
      </c>
      <c r="AF1697">
        <f>IFERROR(INDEX(PP_Grid[#Data],$DE1697,29),0)</f>
        <v/>
      </c>
      <c r="AG1697">
        <f>IFERROR(INDEX(PP_Grid[#Data],$DE1697,30),0)</f>
        <v/>
      </c>
      <c r="AH1697">
        <f>IFERROR(INDEX(PP_Grid[#Data],$DE1697,31),0)</f>
        <v/>
      </c>
      <c r="AI1697">
        <f>IFERROR(INDEX(PP_Grid[#Data],$DE1697,32),0)</f>
        <v/>
      </c>
      <c r="AJ1697">
        <f>IFERROR(INDEX(PP_Grid[#Data],$DE1697,33),0)</f>
        <v/>
      </c>
      <c r="AK1697">
        <f>IFERROR(INDEX(PP_Grid[#Data],$DE1697,34),0)</f>
        <v/>
      </c>
      <c r="AL1697">
        <f>IFERROR(INDEX(PP_Grid[#Data],$DE1697,35),0)</f>
        <v/>
      </c>
      <c r="AM1697">
        <f>IFERROR(INDEX(PP_Grid[#Data],$DE1697,36),0)</f>
        <v/>
      </c>
      <c r="AN1697">
        <f>IFERROR(INDEX(PP_Grid[#Data],$DE1697,37),0)</f>
        <v/>
      </c>
      <c r="AO1697">
        <f>IFERROR(INDEX(PP_Grid[#Data],$DE1697,38),0)</f>
        <v/>
      </c>
      <c r="AP1697">
        <f>IFERROR(INDEX(PP_Grid[#Data],$DE1697,39),0)</f>
        <v/>
      </c>
      <c r="AQ1697">
        <f>IFERROR(INDEX(PP_Grid[#Data],$DE1697,40),0)</f>
        <v/>
      </c>
      <c r="AR1697">
        <f>IFERROR(INDEX(PP_Grid[#Data],$DE1697,41),0)</f>
        <v/>
      </c>
      <c r="AS1697">
        <f>IFERROR(INDEX(PP_Grid[#Data],$DE1697,42),0)</f>
        <v/>
      </c>
      <c r="AT1697">
        <f>IFERROR(INDEX(PP_Grid[#Data],$DE1697,43),0)</f>
        <v/>
      </c>
      <c r="AU1697">
        <f>IFERROR(INDEX(PP_Grid[#Data],$DE1697,44),0)</f>
        <v/>
      </c>
      <c r="AV1697">
        <f>IFERROR(INDEX(PP_Grid[#Data],$DE1697,45),0)</f>
        <v/>
      </c>
      <c r="AW1697">
        <f>IFERROR(INDEX(PP_Grid[#Data],$DE1697,46),0)</f>
        <v/>
      </c>
      <c r="AX1697">
        <f>IFERROR(INDEX(PP_Grid[#Data],$DE1697,47),0)</f>
        <v/>
      </c>
      <c r="AY1697">
        <f>IFERROR(INDEX(PP_Grid[#Data],$DE1697,48),0)</f>
        <v/>
      </c>
      <c r="AZ1697">
        <f>IFERROR(INDEX(PP_Grid[#Data],$DE1697,49),0)</f>
        <v/>
      </c>
      <c r="BA1697">
        <f>IFERROR(INDEX(PP_Grid[#Data],$DE1697,50),0)</f>
        <v/>
      </c>
      <c r="BB1697">
        <f>IFERROR(INDEX(PP_Grid[#Data],$DE1697,51),0)</f>
        <v/>
      </c>
      <c r="BC1697">
        <f>IFERROR(INDEX(PP_Grid[#Data],$DE1697,52),0)</f>
        <v/>
      </c>
      <c r="BD1697">
        <f>IFERROR(INDEX(PP_Grid[#Data],$DE1697,53),0)</f>
        <v/>
      </c>
      <c r="BE1697">
        <f>IFERROR(INDEX(PP_Grid[#Data],$DE1697,54),0)</f>
        <v/>
      </c>
      <c r="BF1697">
        <f>IFERROR(INDEX(PP_Grid[#Data],$DE1697,55),0)</f>
        <v/>
      </c>
      <c r="BG1697">
        <f>IFERROR(INDEX(PP_Grid[#Data],$DE1697,56),0)</f>
        <v/>
      </c>
      <c r="BH1697">
        <f>IFERROR(INDEX(PP_Grid[#Data],$DE1697,57),0)</f>
        <v/>
      </c>
      <c r="BI1697">
        <f>IFERROR(INDEX(PP_Grid[#Data],$DE1697,58),0)</f>
        <v/>
      </c>
      <c r="BJ1697">
        <f>IFERROR(INDEX(PP_Grid[#Data],$DE1697,59),0)</f>
        <v/>
      </c>
      <c r="BK1697">
        <f>IFERROR(INDEX(PP_Grid[#Data],$DE1697,60),0)</f>
        <v/>
      </c>
      <c r="BL1697">
        <f>IFERROR(INDEX(PP_Grid[#Data],$DE1697,61),0)</f>
        <v/>
      </c>
      <c r="BM1697">
        <f>IFERROR(INDEX(PP_Grid[#Data],$DE1697,62),0)</f>
        <v/>
      </c>
      <c r="BN1697">
        <f>IFERROR(INDEX(PP_Grid[#Data],$DE1697,63),0)</f>
        <v/>
      </c>
      <c r="BO1697">
        <f>IFERROR(INDEX(PP_Grid[#Data],$DE1697,64),0)</f>
        <v/>
      </c>
      <c r="BP1697">
        <f>IFERROR(INDEX(PP_Grid[#Data],$DE1697,65),0)</f>
        <v/>
      </c>
      <c r="BQ1697">
        <f>IFERROR(INDEX(PP_Grid[#Data],$DE1697,66),0)</f>
        <v/>
      </c>
      <c r="BR1697">
        <f>IFERROR(INDEX(PP_Grid[#Data],$DE1697,67),0)</f>
        <v/>
      </c>
      <c r="BS1697">
        <f>IFERROR(INDEX(PP_Grid[#Data],$DE1697,68),0)</f>
        <v/>
      </c>
      <c r="BT1697">
        <f>IFERROR(INDEX(PP_Grid[#Data],$DE1697,69),0)</f>
        <v/>
      </c>
      <c r="BU1697">
        <f>IFERROR(INDEX(PP_Grid[#Data],$DE1697,70),0)</f>
        <v/>
      </c>
      <c r="BV1697">
        <f>IFERROR(INDEX(PP_Grid[#Data],$DE1697,71),0)</f>
        <v/>
      </c>
      <c r="BW1697">
        <f>IFERROR(INDEX(PP_Grid[#Data],$DE1697,72),0)</f>
        <v/>
      </c>
      <c r="BX1697">
        <f>IFERROR(INDEX(PP_Grid[#Data],$DE1697,73),0)</f>
        <v/>
      </c>
      <c r="BY1697">
        <f>IFERROR(INDEX(PP_Grid[#Data],$DE1697,74),0)</f>
        <v/>
      </c>
      <c r="BZ1697">
        <f>IFERROR(INDEX(PP_Grid[#Data],$DE1697,75),0)</f>
        <v/>
      </c>
      <c r="CA1697">
        <f>IFERROR(INDEX(PP_Grid[#Data],$DE1697,76),0)</f>
        <v/>
      </c>
      <c r="CB1697">
        <f>IFERROR(INDEX(PP_Grid[#Data],$DE1697,77),0)</f>
        <v/>
      </c>
      <c r="CC1697">
        <f>IFERROR(INDEX(PP_Grid[#Data],$DE1697,78),0)</f>
        <v/>
      </c>
      <c r="CD1697">
        <f>IFERROR(INDEX(PP_Grid[#Data],$DE1697,79),0)</f>
        <v/>
      </c>
      <c r="CE1697">
        <f>IFERROR(INDEX(PP_Grid[#Data],$DE1697,80),0)</f>
        <v/>
      </c>
      <c r="CF1697">
        <f>IFERROR(INDEX(PP_Grid[#Data],$DE1697,81),0)</f>
        <v/>
      </c>
      <c r="CG1697">
        <f>IFERROR(INDEX(PP_Grid[#Data],$DE1697,82),0)</f>
        <v/>
      </c>
      <c r="CH1697">
        <f>IFERROR(INDEX(PP_Grid[#Data],$DE1697,83),0)</f>
        <v/>
      </c>
      <c r="CI1697">
        <f>IFERROR(INDEX(PP_Grid[#Data],$DE1697,84),0)</f>
        <v/>
      </c>
      <c r="CJ1697">
        <f>IFERROR(INDEX(PP_Grid[#Data],$DE1697,85),0)</f>
        <v/>
      </c>
      <c r="CK1697">
        <f>IFERROR(INDEX(PP_Grid[#Data],$DE1697,86),0)</f>
        <v/>
      </c>
      <c r="CL1697">
        <f>IFERROR(INDEX(PP_Grid[#Data],$DE1697,87),0)</f>
        <v/>
      </c>
      <c r="CM1697">
        <f>IFERROR(INDEX(PP_Grid[#Data],$DE1697,88),0)</f>
        <v/>
      </c>
      <c r="CN1697">
        <f>IFERROR(INDEX(PP_Grid[#Data],$DE1697,89),0)</f>
        <v/>
      </c>
      <c r="CO1697">
        <f>IFERROR(INDEX(PP_Grid[#Data],$DE1697,90),0)</f>
        <v/>
      </c>
      <c r="CP1697">
        <f>IFERROR(INDEX(PP_Grid[#Data],$DE1697,91),0)</f>
        <v/>
      </c>
      <c r="CQ1697">
        <f>IFERROR(INDEX(PP_Grid[#Data],$DE1697,92),0)</f>
        <v/>
      </c>
      <c r="CR1697">
        <f>IFERROR(INDEX(PP_Grid[#Data],$DE1697,93),0)</f>
        <v/>
      </c>
      <c r="CS1697">
        <f>IFERROR(INDEX(PP_Grid[#Data],$DE1697,94),0)</f>
        <v/>
      </c>
      <c r="CT1697">
        <f>IFERROR(INDEX(PP_Grid[#Data],$DE1697,95),0)</f>
        <v/>
      </c>
      <c r="CU1697">
        <f>IFERROR(INDEX(PP_Grid[#Data],$DE1697,96),0)</f>
        <v/>
      </c>
      <c r="CV1697">
        <f>IFERROR(INDEX(PP_Grid[#Data],$DE1697,97),0)</f>
        <v/>
      </c>
      <c r="CW1697">
        <f>IFERROR(INDEX(PP_Grid[#Data],$DE1697,98),0)</f>
        <v/>
      </c>
      <c r="CX1697">
        <f>IFERROR(INDEX(PP_Grid[#Data],$DE1697,99),0)</f>
        <v/>
      </c>
      <c r="CY1697">
        <f>IFERROR(INDEX(PP_Grid[#Data],$DE1697,100),0)</f>
        <v/>
      </c>
      <c r="CZ1697">
        <f>IFERROR(INDEX(PP_Grid[#Data],$DE1697,101),0)</f>
        <v/>
      </c>
      <c r="DA1697">
        <f>IFERROR(INDEX(PP_Grid[#Data],$DE1697,102),0)</f>
        <v/>
      </c>
      <c r="DB1697">
        <f>IFERROR(INDEX(PP_Grid[#Data],$DE1697,103),0)</f>
        <v/>
      </c>
      <c r="DC1697">
        <f>IFERROR(INDEX(PP_Grid[#Data],$DE1697,104),0)</f>
        <v/>
      </c>
      <c r="DD1697">
        <f>IFERROR(INDEX(PP_Grid[#Data],$DE1697,105),0)</f>
        <v/>
      </c>
      <c r="DE1697" s="7">
        <f>IFERROR(MATCH($B1697,PP_Grid[Intermediate],0),99999)</f>
        <v/>
      </c>
    </row>
    <row r="1698">
      <c r="B1698" t="inlineStr">
        <is>
          <t>使用量(kg)</t>
        </is>
      </c>
      <c r="C1698">
        <f>SUMIFS(M_BOM[RM_Qty_Per_Batch],M_BOM[Intermediate],$B1697,M_BOM[RM_Code],$A1696)</f>
        <v/>
      </c>
      <c r="D1698">
        <f>IFERROR(INDEX(E1698:DD1698,$F$1),"")</f>
        <v/>
      </c>
      <c r="E1698">
        <f>$C1698*E1697</f>
        <v/>
      </c>
      <c r="F1698">
        <f>$C1698*F1697</f>
        <v/>
      </c>
      <c r="G1698">
        <f>$C1698*G1697</f>
        <v/>
      </c>
      <c r="H1698">
        <f>$C1698*H1697</f>
        <v/>
      </c>
      <c r="I1698">
        <f>$C1698*I1697</f>
        <v/>
      </c>
      <c r="J1698">
        <f>$C1698*J1697</f>
        <v/>
      </c>
      <c r="K1698">
        <f>$C1698*K1697</f>
        <v/>
      </c>
      <c r="L1698">
        <f>$C1698*L1697</f>
        <v/>
      </c>
      <c r="M1698">
        <f>$C1698*M1697</f>
        <v/>
      </c>
      <c r="N1698">
        <f>$C1698*N1697</f>
        <v/>
      </c>
      <c r="O1698">
        <f>$C1698*O1697</f>
        <v/>
      </c>
      <c r="P1698">
        <f>$C1698*P1697</f>
        <v/>
      </c>
      <c r="Q1698">
        <f>$C1698*Q1697</f>
        <v/>
      </c>
      <c r="R1698">
        <f>$C1698*R1697</f>
        <v/>
      </c>
      <c r="S1698">
        <f>$C1698*S1697</f>
        <v/>
      </c>
      <c r="T1698">
        <f>$C1698*T1697</f>
        <v/>
      </c>
      <c r="U1698">
        <f>$C1698*U1697</f>
        <v/>
      </c>
      <c r="V1698">
        <f>$C1698*V1697</f>
        <v/>
      </c>
      <c r="W1698">
        <f>$C1698*W1697</f>
        <v/>
      </c>
      <c r="X1698">
        <f>$C1698*X1697</f>
        <v/>
      </c>
      <c r="Y1698">
        <f>$C1698*Y1697</f>
        <v/>
      </c>
      <c r="Z1698">
        <f>$C1698*Z1697</f>
        <v/>
      </c>
      <c r="AA1698">
        <f>$C1698*AA1697</f>
        <v/>
      </c>
      <c r="AB1698">
        <f>$C1698*AB1697</f>
        <v/>
      </c>
      <c r="AC1698">
        <f>$C1698*AC1697</f>
        <v/>
      </c>
      <c r="AD1698">
        <f>$C1698*AD1697</f>
        <v/>
      </c>
      <c r="AE1698">
        <f>$C1698*AE1697</f>
        <v/>
      </c>
      <c r="AF1698">
        <f>$C1698*AF1697</f>
        <v/>
      </c>
      <c r="AG1698">
        <f>$C1698*AG1697</f>
        <v/>
      </c>
      <c r="AH1698">
        <f>$C1698*AH1697</f>
        <v/>
      </c>
      <c r="AI1698">
        <f>$C1698*AI1697</f>
        <v/>
      </c>
      <c r="AJ1698">
        <f>$C1698*AJ1697</f>
        <v/>
      </c>
      <c r="AK1698">
        <f>$C1698*AK1697</f>
        <v/>
      </c>
      <c r="AL1698">
        <f>$C1698*AL1697</f>
        <v/>
      </c>
      <c r="AM1698">
        <f>$C1698*AM1697</f>
        <v/>
      </c>
      <c r="AN1698">
        <f>$C1698*AN1697</f>
        <v/>
      </c>
      <c r="AO1698">
        <f>$C1698*AO1697</f>
        <v/>
      </c>
      <c r="AP1698">
        <f>$C1698*AP1697</f>
        <v/>
      </c>
      <c r="AQ1698">
        <f>$C1698*AQ1697</f>
        <v/>
      </c>
      <c r="AR1698">
        <f>$C1698*AR1697</f>
        <v/>
      </c>
      <c r="AS1698">
        <f>$C1698*AS1697</f>
        <v/>
      </c>
      <c r="AT1698">
        <f>$C1698*AT1697</f>
        <v/>
      </c>
      <c r="AU1698">
        <f>$C1698*AU1697</f>
        <v/>
      </c>
      <c r="AV1698">
        <f>$C1698*AV1697</f>
        <v/>
      </c>
      <c r="AW1698">
        <f>$C1698*AW1697</f>
        <v/>
      </c>
      <c r="AX1698">
        <f>$C1698*AX1697</f>
        <v/>
      </c>
      <c r="AY1698">
        <f>$C1698*AY1697</f>
        <v/>
      </c>
      <c r="AZ1698">
        <f>$C1698*AZ1697</f>
        <v/>
      </c>
      <c r="BA1698">
        <f>$C1698*BA1697</f>
        <v/>
      </c>
      <c r="BB1698">
        <f>$C1698*BB1697</f>
        <v/>
      </c>
      <c r="BC1698">
        <f>$C1698*BC1697</f>
        <v/>
      </c>
      <c r="BD1698">
        <f>$C1698*BD1697</f>
        <v/>
      </c>
      <c r="BE1698">
        <f>$C1698*BE1697</f>
        <v/>
      </c>
      <c r="BF1698">
        <f>$C1698*BF1697</f>
        <v/>
      </c>
      <c r="BG1698">
        <f>$C1698*BG1697</f>
        <v/>
      </c>
      <c r="BH1698">
        <f>$C1698*BH1697</f>
        <v/>
      </c>
      <c r="BI1698">
        <f>$C1698*BI1697</f>
        <v/>
      </c>
      <c r="BJ1698">
        <f>$C1698*BJ1697</f>
        <v/>
      </c>
      <c r="BK1698">
        <f>$C1698*BK1697</f>
        <v/>
      </c>
      <c r="BL1698">
        <f>$C1698*BL1697</f>
        <v/>
      </c>
      <c r="BM1698">
        <f>$C1698*BM1697</f>
        <v/>
      </c>
      <c r="BN1698">
        <f>$C1698*BN1697</f>
        <v/>
      </c>
      <c r="BO1698">
        <f>$C1698*BO1697</f>
        <v/>
      </c>
      <c r="BP1698">
        <f>$C1698*BP1697</f>
        <v/>
      </c>
      <c r="BQ1698">
        <f>$C1698*BQ1697</f>
        <v/>
      </c>
      <c r="BR1698">
        <f>$C1698*BR1697</f>
        <v/>
      </c>
      <c r="BS1698">
        <f>$C1698*BS1697</f>
        <v/>
      </c>
      <c r="BT1698">
        <f>$C1698*BT1697</f>
        <v/>
      </c>
      <c r="BU1698">
        <f>$C1698*BU1697</f>
        <v/>
      </c>
      <c r="BV1698">
        <f>$C1698*BV1697</f>
        <v/>
      </c>
      <c r="BW1698">
        <f>$C1698*BW1697</f>
        <v/>
      </c>
      <c r="BX1698">
        <f>$C1698*BX1697</f>
        <v/>
      </c>
      <c r="BY1698">
        <f>$C1698*BY1697</f>
        <v/>
      </c>
      <c r="BZ1698">
        <f>$C1698*BZ1697</f>
        <v/>
      </c>
      <c r="CA1698">
        <f>$C1698*CA1697</f>
        <v/>
      </c>
      <c r="CB1698">
        <f>$C1698*CB1697</f>
        <v/>
      </c>
      <c r="CC1698">
        <f>$C1698*CC1697</f>
        <v/>
      </c>
      <c r="CD1698">
        <f>$C1698*CD1697</f>
        <v/>
      </c>
      <c r="CE1698">
        <f>$C1698*CE1697</f>
        <v/>
      </c>
      <c r="CF1698">
        <f>$C1698*CF1697</f>
        <v/>
      </c>
      <c r="CG1698">
        <f>$C1698*CG1697</f>
        <v/>
      </c>
      <c r="CH1698">
        <f>$C1698*CH1697</f>
        <v/>
      </c>
      <c r="CI1698">
        <f>$C1698*CI1697</f>
        <v/>
      </c>
      <c r="CJ1698">
        <f>$C1698*CJ1697</f>
        <v/>
      </c>
      <c r="CK1698">
        <f>$C1698*CK1697</f>
        <v/>
      </c>
      <c r="CL1698">
        <f>$C1698*CL1697</f>
        <v/>
      </c>
      <c r="CM1698">
        <f>$C1698*CM1697</f>
        <v/>
      </c>
      <c r="CN1698">
        <f>$C1698*CN1697</f>
        <v/>
      </c>
      <c r="CO1698">
        <f>$C1698*CO1697</f>
        <v/>
      </c>
      <c r="CP1698">
        <f>$C1698*CP1697</f>
        <v/>
      </c>
      <c r="CQ1698">
        <f>$C1698*CQ1697</f>
        <v/>
      </c>
      <c r="CR1698">
        <f>$C1698*CR1697</f>
        <v/>
      </c>
      <c r="CS1698">
        <f>$C1698*CS1697</f>
        <v/>
      </c>
      <c r="CT1698">
        <f>$C1698*CT1697</f>
        <v/>
      </c>
      <c r="CU1698">
        <f>$C1698*CU1697</f>
        <v/>
      </c>
      <c r="CV1698">
        <f>$C1698*CV1697</f>
        <v/>
      </c>
      <c r="CW1698">
        <f>$C1698*CW1697</f>
        <v/>
      </c>
      <c r="CX1698">
        <f>$C1698*CX1697</f>
        <v/>
      </c>
      <c r="CY1698">
        <f>$C1698*CY1697</f>
        <v/>
      </c>
      <c r="CZ1698">
        <f>$C1698*CZ1697</f>
        <v/>
      </c>
      <c r="DA1698">
        <f>$C1698*DA1697</f>
        <v/>
      </c>
      <c r="DB1698">
        <f>$C1698*DB1697</f>
        <v/>
      </c>
      <c r="DC1698">
        <f>$C1698*DC1697</f>
        <v/>
      </c>
      <c r="DD1698">
        <f>$C1698*DD1697</f>
        <v/>
      </c>
    </row>
    <row r="1699">
      <c r="B1699" s="4" t="inlineStr">
        <is>
          <t>合計使用量(kg)/週</t>
        </is>
      </c>
      <c r="D1699" s="23">
        <f>IFERROR(INDEX(E1699:DD1699,$F$1),"")</f>
        <v/>
      </c>
      <c r="E1699">
        <f>'Grid_Requirement'!B60</f>
        <v/>
      </c>
      <c r="F1699">
        <f>'Grid_Requirement'!C60</f>
        <v/>
      </c>
      <c r="G1699">
        <f>'Grid_Requirement'!D60</f>
        <v/>
      </c>
      <c r="H1699">
        <f>'Grid_Requirement'!E60</f>
        <v/>
      </c>
      <c r="I1699">
        <f>'Grid_Requirement'!F60</f>
        <v/>
      </c>
      <c r="J1699">
        <f>'Grid_Requirement'!G60</f>
        <v/>
      </c>
      <c r="K1699">
        <f>'Grid_Requirement'!H60</f>
        <v/>
      </c>
      <c r="L1699">
        <f>'Grid_Requirement'!I60</f>
        <v/>
      </c>
      <c r="M1699">
        <f>'Grid_Requirement'!J60</f>
        <v/>
      </c>
      <c r="N1699">
        <f>'Grid_Requirement'!K60</f>
        <v/>
      </c>
      <c r="O1699">
        <f>'Grid_Requirement'!L60</f>
        <v/>
      </c>
      <c r="P1699">
        <f>'Grid_Requirement'!M60</f>
        <v/>
      </c>
      <c r="Q1699">
        <f>'Grid_Requirement'!N60</f>
        <v/>
      </c>
      <c r="R1699">
        <f>'Grid_Requirement'!O60</f>
        <v/>
      </c>
      <c r="S1699">
        <f>'Grid_Requirement'!P60</f>
        <v/>
      </c>
      <c r="T1699">
        <f>'Grid_Requirement'!Q60</f>
        <v/>
      </c>
      <c r="U1699">
        <f>'Grid_Requirement'!R60</f>
        <v/>
      </c>
      <c r="V1699">
        <f>'Grid_Requirement'!S60</f>
        <v/>
      </c>
      <c r="W1699">
        <f>'Grid_Requirement'!T60</f>
        <v/>
      </c>
      <c r="X1699">
        <f>'Grid_Requirement'!U60</f>
        <v/>
      </c>
      <c r="Y1699">
        <f>'Grid_Requirement'!V60</f>
        <v/>
      </c>
      <c r="Z1699">
        <f>'Grid_Requirement'!W60</f>
        <v/>
      </c>
      <c r="AA1699">
        <f>'Grid_Requirement'!X60</f>
        <v/>
      </c>
      <c r="AB1699">
        <f>'Grid_Requirement'!Y60</f>
        <v/>
      </c>
      <c r="AC1699">
        <f>'Grid_Requirement'!Z60</f>
        <v/>
      </c>
      <c r="AD1699">
        <f>'Grid_Requirement'!AA60</f>
        <v/>
      </c>
      <c r="AE1699">
        <f>'Grid_Requirement'!AB60</f>
        <v/>
      </c>
      <c r="AF1699">
        <f>'Grid_Requirement'!AC60</f>
        <v/>
      </c>
      <c r="AG1699">
        <f>'Grid_Requirement'!AD60</f>
        <v/>
      </c>
      <c r="AH1699">
        <f>'Grid_Requirement'!AE60</f>
        <v/>
      </c>
      <c r="AI1699">
        <f>'Grid_Requirement'!AF60</f>
        <v/>
      </c>
      <c r="AJ1699">
        <f>'Grid_Requirement'!AG60</f>
        <v/>
      </c>
      <c r="AK1699">
        <f>'Grid_Requirement'!AH60</f>
        <v/>
      </c>
      <c r="AL1699">
        <f>'Grid_Requirement'!AI60</f>
        <v/>
      </c>
      <c r="AM1699">
        <f>'Grid_Requirement'!AJ60</f>
        <v/>
      </c>
      <c r="AN1699">
        <f>'Grid_Requirement'!AK60</f>
        <v/>
      </c>
      <c r="AO1699">
        <f>'Grid_Requirement'!AL60</f>
        <v/>
      </c>
      <c r="AP1699">
        <f>'Grid_Requirement'!AM60</f>
        <v/>
      </c>
      <c r="AQ1699">
        <f>'Grid_Requirement'!AN60</f>
        <v/>
      </c>
      <c r="AR1699">
        <f>'Grid_Requirement'!AO60</f>
        <v/>
      </c>
      <c r="AS1699">
        <f>'Grid_Requirement'!AP60</f>
        <v/>
      </c>
      <c r="AT1699">
        <f>'Grid_Requirement'!AQ60</f>
        <v/>
      </c>
      <c r="AU1699">
        <f>'Grid_Requirement'!AR60</f>
        <v/>
      </c>
      <c r="AV1699">
        <f>'Grid_Requirement'!AS60</f>
        <v/>
      </c>
      <c r="AW1699">
        <f>'Grid_Requirement'!AT60</f>
        <v/>
      </c>
      <c r="AX1699">
        <f>'Grid_Requirement'!AU60</f>
        <v/>
      </c>
      <c r="AY1699">
        <f>'Grid_Requirement'!AV60</f>
        <v/>
      </c>
      <c r="AZ1699">
        <f>'Grid_Requirement'!AW60</f>
        <v/>
      </c>
      <c r="BA1699">
        <f>'Grid_Requirement'!AX60</f>
        <v/>
      </c>
      <c r="BB1699">
        <f>'Grid_Requirement'!AY60</f>
        <v/>
      </c>
      <c r="BC1699">
        <f>'Grid_Requirement'!AZ60</f>
        <v/>
      </c>
      <c r="BD1699">
        <f>'Grid_Requirement'!BA60</f>
        <v/>
      </c>
      <c r="BE1699">
        <f>'Grid_Requirement'!BB60</f>
        <v/>
      </c>
      <c r="BF1699">
        <f>'Grid_Requirement'!BC60</f>
        <v/>
      </c>
      <c r="BG1699">
        <f>'Grid_Requirement'!BD60</f>
        <v/>
      </c>
      <c r="BH1699">
        <f>'Grid_Requirement'!BE60</f>
        <v/>
      </c>
      <c r="BI1699">
        <f>'Grid_Requirement'!BF60</f>
        <v/>
      </c>
      <c r="BJ1699">
        <f>'Grid_Requirement'!BG60</f>
        <v/>
      </c>
      <c r="BK1699">
        <f>'Grid_Requirement'!BH60</f>
        <v/>
      </c>
      <c r="BL1699">
        <f>'Grid_Requirement'!BI60</f>
        <v/>
      </c>
      <c r="BM1699">
        <f>'Grid_Requirement'!BJ60</f>
        <v/>
      </c>
      <c r="BN1699">
        <f>'Grid_Requirement'!BK60</f>
        <v/>
      </c>
      <c r="BO1699">
        <f>'Grid_Requirement'!BL60</f>
        <v/>
      </c>
      <c r="BP1699">
        <f>'Grid_Requirement'!BM60</f>
        <v/>
      </c>
      <c r="BQ1699">
        <f>'Grid_Requirement'!BN60</f>
        <v/>
      </c>
      <c r="BR1699">
        <f>'Grid_Requirement'!BO60</f>
        <v/>
      </c>
      <c r="BS1699">
        <f>'Grid_Requirement'!BP60</f>
        <v/>
      </c>
      <c r="BT1699">
        <f>'Grid_Requirement'!BQ60</f>
        <v/>
      </c>
      <c r="BU1699">
        <f>'Grid_Requirement'!BR60</f>
        <v/>
      </c>
      <c r="BV1699">
        <f>'Grid_Requirement'!BS60</f>
        <v/>
      </c>
      <c r="BW1699">
        <f>'Grid_Requirement'!BT60</f>
        <v/>
      </c>
      <c r="BX1699">
        <f>'Grid_Requirement'!BU60</f>
        <v/>
      </c>
      <c r="BY1699">
        <f>'Grid_Requirement'!BV60</f>
        <v/>
      </c>
      <c r="BZ1699">
        <f>'Grid_Requirement'!BW60</f>
        <v/>
      </c>
      <c r="CA1699">
        <f>'Grid_Requirement'!BX60</f>
        <v/>
      </c>
      <c r="CB1699">
        <f>'Grid_Requirement'!BY60</f>
        <v/>
      </c>
      <c r="CC1699">
        <f>'Grid_Requirement'!BZ60</f>
        <v/>
      </c>
      <c r="CD1699">
        <f>'Grid_Requirement'!CA60</f>
        <v/>
      </c>
      <c r="CE1699">
        <f>'Grid_Requirement'!CB60</f>
        <v/>
      </c>
      <c r="CF1699">
        <f>'Grid_Requirement'!CC60</f>
        <v/>
      </c>
      <c r="CG1699">
        <f>'Grid_Requirement'!CD60</f>
        <v/>
      </c>
      <c r="CH1699">
        <f>'Grid_Requirement'!CE60</f>
        <v/>
      </c>
      <c r="CI1699">
        <f>'Grid_Requirement'!CF60</f>
        <v/>
      </c>
      <c r="CJ1699">
        <f>'Grid_Requirement'!CG60</f>
        <v/>
      </c>
      <c r="CK1699">
        <f>'Grid_Requirement'!CH60</f>
        <v/>
      </c>
      <c r="CL1699">
        <f>'Grid_Requirement'!CI60</f>
        <v/>
      </c>
      <c r="CM1699">
        <f>'Grid_Requirement'!CJ60</f>
        <v/>
      </c>
      <c r="CN1699">
        <f>'Grid_Requirement'!CK60</f>
        <v/>
      </c>
      <c r="CO1699">
        <f>'Grid_Requirement'!CL60</f>
        <v/>
      </c>
      <c r="CP1699">
        <f>'Grid_Requirement'!CM60</f>
        <v/>
      </c>
      <c r="CQ1699">
        <f>'Grid_Requirement'!CN60</f>
        <v/>
      </c>
      <c r="CR1699">
        <f>'Grid_Requirement'!CO60</f>
        <v/>
      </c>
      <c r="CS1699">
        <f>'Grid_Requirement'!CP60</f>
        <v/>
      </c>
      <c r="CT1699">
        <f>'Grid_Requirement'!CQ60</f>
        <v/>
      </c>
      <c r="CU1699">
        <f>'Grid_Requirement'!CR60</f>
        <v/>
      </c>
      <c r="CV1699">
        <f>'Grid_Requirement'!CS60</f>
        <v/>
      </c>
      <c r="CW1699">
        <f>'Grid_Requirement'!CT60</f>
        <v/>
      </c>
      <c r="CX1699">
        <f>'Grid_Requirement'!CU60</f>
        <v/>
      </c>
      <c r="CY1699">
        <f>'Grid_Requirement'!CV60</f>
        <v/>
      </c>
      <c r="CZ1699">
        <f>'Grid_Requirement'!CW60</f>
        <v/>
      </c>
      <c r="DA1699">
        <f>'Grid_Requirement'!CX60</f>
        <v/>
      </c>
      <c r="DB1699">
        <f>'Grid_Requirement'!CY60</f>
        <v/>
      </c>
      <c r="DC1699">
        <f>'Grid_Requirement'!CZ60</f>
        <v/>
      </c>
      <c r="DD1699">
        <f>'Grid_Requirement'!DA60</f>
        <v/>
      </c>
    </row>
    <row r="1700">
      <c r="B1700" t="inlineStr">
        <is>
          <t>TTAF在庫(実績,kg)</t>
        </is>
      </c>
      <c r="D1700">
        <f>IFERROR(INDEX(E1700:DD1700,$F$1),"")</f>
        <v/>
      </c>
      <c r="E1700">
        <f>IFERROR(SUMIFS(T_TTAFStock[TTAF_Qty],T_TTAFStock[RM_Code],$A1696,T_TTAFStock[WeekIndex],1),"")</f>
        <v/>
      </c>
      <c r="F1700">
        <f>IFERROR(SUMIFS(T_TTAFStock[TTAF_Qty],T_TTAFStock[RM_Code],$A1696,T_TTAFStock[WeekIndex],2),"")</f>
        <v/>
      </c>
      <c r="G1700">
        <f>IFERROR(SUMIFS(T_TTAFStock[TTAF_Qty],T_TTAFStock[RM_Code],$A1696,T_TTAFStock[WeekIndex],3),"")</f>
        <v/>
      </c>
      <c r="H1700">
        <f>IFERROR(SUMIFS(T_TTAFStock[TTAF_Qty],T_TTAFStock[RM_Code],$A1696,T_TTAFStock[WeekIndex],4),"")</f>
        <v/>
      </c>
      <c r="I1700">
        <f>IFERROR(SUMIFS(T_TTAFStock[TTAF_Qty],T_TTAFStock[RM_Code],$A1696,T_TTAFStock[WeekIndex],5),"")</f>
        <v/>
      </c>
      <c r="J1700">
        <f>IFERROR(SUMIFS(T_TTAFStock[TTAF_Qty],T_TTAFStock[RM_Code],$A1696,T_TTAFStock[WeekIndex],6),"")</f>
        <v/>
      </c>
      <c r="K1700">
        <f>IFERROR(SUMIFS(T_TTAFStock[TTAF_Qty],T_TTAFStock[RM_Code],$A1696,T_TTAFStock[WeekIndex],7),"")</f>
        <v/>
      </c>
      <c r="L1700">
        <f>IFERROR(SUMIFS(T_TTAFStock[TTAF_Qty],T_TTAFStock[RM_Code],$A1696,T_TTAFStock[WeekIndex],8),"")</f>
        <v/>
      </c>
      <c r="M1700">
        <f>IFERROR(SUMIFS(T_TTAFStock[TTAF_Qty],T_TTAFStock[RM_Code],$A1696,T_TTAFStock[WeekIndex],9),"")</f>
        <v/>
      </c>
      <c r="N1700">
        <f>IFERROR(SUMIFS(T_TTAFStock[TTAF_Qty],T_TTAFStock[RM_Code],$A1696,T_TTAFStock[WeekIndex],10),"")</f>
        <v/>
      </c>
      <c r="O1700">
        <f>IFERROR(SUMIFS(T_TTAFStock[TTAF_Qty],T_TTAFStock[RM_Code],$A1696,T_TTAFStock[WeekIndex],11),"")</f>
        <v/>
      </c>
      <c r="P1700">
        <f>IFERROR(SUMIFS(T_TTAFStock[TTAF_Qty],T_TTAFStock[RM_Code],$A1696,T_TTAFStock[WeekIndex],12),"")</f>
        <v/>
      </c>
      <c r="Q1700">
        <f>IFERROR(SUMIFS(T_TTAFStock[TTAF_Qty],T_TTAFStock[RM_Code],$A1696,T_TTAFStock[WeekIndex],13),"")</f>
        <v/>
      </c>
      <c r="R1700">
        <f>IFERROR(SUMIFS(T_TTAFStock[TTAF_Qty],T_TTAFStock[RM_Code],$A1696,T_TTAFStock[WeekIndex],14),"")</f>
        <v/>
      </c>
      <c r="S1700">
        <f>IFERROR(SUMIFS(T_TTAFStock[TTAF_Qty],T_TTAFStock[RM_Code],$A1696,T_TTAFStock[WeekIndex],15),"")</f>
        <v/>
      </c>
      <c r="T1700">
        <f>IFERROR(SUMIFS(T_TTAFStock[TTAF_Qty],T_TTAFStock[RM_Code],$A1696,T_TTAFStock[WeekIndex],16),"")</f>
        <v/>
      </c>
      <c r="U1700">
        <f>IFERROR(SUMIFS(T_TTAFStock[TTAF_Qty],T_TTAFStock[RM_Code],$A1696,T_TTAFStock[WeekIndex],17),"")</f>
        <v/>
      </c>
      <c r="V1700">
        <f>IFERROR(SUMIFS(T_TTAFStock[TTAF_Qty],T_TTAFStock[RM_Code],$A1696,T_TTAFStock[WeekIndex],18),"")</f>
        <v/>
      </c>
      <c r="W1700">
        <f>IFERROR(SUMIFS(T_TTAFStock[TTAF_Qty],T_TTAFStock[RM_Code],$A1696,T_TTAFStock[WeekIndex],19),"")</f>
        <v/>
      </c>
      <c r="X1700">
        <f>IFERROR(SUMIFS(T_TTAFStock[TTAF_Qty],T_TTAFStock[RM_Code],$A1696,T_TTAFStock[WeekIndex],20),"")</f>
        <v/>
      </c>
      <c r="Y1700">
        <f>IFERROR(SUMIFS(T_TTAFStock[TTAF_Qty],T_TTAFStock[RM_Code],$A1696,T_TTAFStock[WeekIndex],21),"")</f>
        <v/>
      </c>
      <c r="Z1700">
        <f>IFERROR(SUMIFS(T_TTAFStock[TTAF_Qty],T_TTAFStock[RM_Code],$A1696,T_TTAFStock[WeekIndex],22),"")</f>
        <v/>
      </c>
      <c r="AA1700">
        <f>IFERROR(SUMIFS(T_TTAFStock[TTAF_Qty],T_TTAFStock[RM_Code],$A1696,T_TTAFStock[WeekIndex],23),"")</f>
        <v/>
      </c>
      <c r="AB1700">
        <f>IFERROR(SUMIFS(T_TTAFStock[TTAF_Qty],T_TTAFStock[RM_Code],$A1696,T_TTAFStock[WeekIndex],24),"")</f>
        <v/>
      </c>
      <c r="AC1700">
        <f>IFERROR(SUMIFS(T_TTAFStock[TTAF_Qty],T_TTAFStock[RM_Code],$A1696,T_TTAFStock[WeekIndex],25),"")</f>
        <v/>
      </c>
      <c r="AD1700">
        <f>IFERROR(SUMIFS(T_TTAFStock[TTAF_Qty],T_TTAFStock[RM_Code],$A1696,T_TTAFStock[WeekIndex],26),"")</f>
        <v/>
      </c>
      <c r="AE1700">
        <f>IFERROR(SUMIFS(T_TTAFStock[TTAF_Qty],T_TTAFStock[RM_Code],$A1696,T_TTAFStock[WeekIndex],27),"")</f>
        <v/>
      </c>
      <c r="AF1700">
        <f>IFERROR(SUMIFS(T_TTAFStock[TTAF_Qty],T_TTAFStock[RM_Code],$A1696,T_TTAFStock[WeekIndex],28),"")</f>
        <v/>
      </c>
      <c r="AG1700">
        <f>IFERROR(SUMIFS(T_TTAFStock[TTAF_Qty],T_TTAFStock[RM_Code],$A1696,T_TTAFStock[WeekIndex],29),"")</f>
        <v/>
      </c>
      <c r="AH1700">
        <f>IFERROR(SUMIFS(T_TTAFStock[TTAF_Qty],T_TTAFStock[RM_Code],$A1696,T_TTAFStock[WeekIndex],30),"")</f>
        <v/>
      </c>
      <c r="AI1700">
        <f>IFERROR(SUMIFS(T_TTAFStock[TTAF_Qty],T_TTAFStock[RM_Code],$A1696,T_TTAFStock[WeekIndex],31),"")</f>
        <v/>
      </c>
      <c r="AJ1700">
        <f>IFERROR(SUMIFS(T_TTAFStock[TTAF_Qty],T_TTAFStock[RM_Code],$A1696,T_TTAFStock[WeekIndex],32),"")</f>
        <v/>
      </c>
      <c r="AK1700">
        <f>IFERROR(SUMIFS(T_TTAFStock[TTAF_Qty],T_TTAFStock[RM_Code],$A1696,T_TTAFStock[WeekIndex],33),"")</f>
        <v/>
      </c>
      <c r="AL1700">
        <f>IFERROR(SUMIFS(T_TTAFStock[TTAF_Qty],T_TTAFStock[RM_Code],$A1696,T_TTAFStock[WeekIndex],34),"")</f>
        <v/>
      </c>
      <c r="AM1700">
        <f>IFERROR(SUMIFS(T_TTAFStock[TTAF_Qty],T_TTAFStock[RM_Code],$A1696,T_TTAFStock[WeekIndex],35),"")</f>
        <v/>
      </c>
      <c r="AN1700">
        <f>IFERROR(SUMIFS(T_TTAFStock[TTAF_Qty],T_TTAFStock[RM_Code],$A1696,T_TTAFStock[WeekIndex],36),"")</f>
        <v/>
      </c>
      <c r="AO1700">
        <f>IFERROR(SUMIFS(T_TTAFStock[TTAF_Qty],T_TTAFStock[RM_Code],$A1696,T_TTAFStock[WeekIndex],37),"")</f>
        <v/>
      </c>
      <c r="AP1700">
        <f>IFERROR(SUMIFS(T_TTAFStock[TTAF_Qty],T_TTAFStock[RM_Code],$A1696,T_TTAFStock[WeekIndex],38),"")</f>
        <v/>
      </c>
      <c r="AQ1700">
        <f>IFERROR(SUMIFS(T_TTAFStock[TTAF_Qty],T_TTAFStock[RM_Code],$A1696,T_TTAFStock[WeekIndex],39),"")</f>
        <v/>
      </c>
      <c r="AR1700">
        <f>IFERROR(SUMIFS(T_TTAFStock[TTAF_Qty],T_TTAFStock[RM_Code],$A1696,T_TTAFStock[WeekIndex],40),"")</f>
        <v/>
      </c>
      <c r="AS1700">
        <f>IFERROR(SUMIFS(T_TTAFStock[TTAF_Qty],T_TTAFStock[RM_Code],$A1696,T_TTAFStock[WeekIndex],41),"")</f>
        <v/>
      </c>
      <c r="AT1700">
        <f>IFERROR(SUMIFS(T_TTAFStock[TTAF_Qty],T_TTAFStock[RM_Code],$A1696,T_TTAFStock[WeekIndex],42),"")</f>
        <v/>
      </c>
      <c r="AU1700">
        <f>IFERROR(SUMIFS(T_TTAFStock[TTAF_Qty],T_TTAFStock[RM_Code],$A1696,T_TTAFStock[WeekIndex],43),"")</f>
        <v/>
      </c>
      <c r="AV1700">
        <f>IFERROR(SUMIFS(T_TTAFStock[TTAF_Qty],T_TTAFStock[RM_Code],$A1696,T_TTAFStock[WeekIndex],44),"")</f>
        <v/>
      </c>
      <c r="AW1700">
        <f>IFERROR(SUMIFS(T_TTAFStock[TTAF_Qty],T_TTAFStock[RM_Code],$A1696,T_TTAFStock[WeekIndex],45),"")</f>
        <v/>
      </c>
      <c r="AX1700">
        <f>IFERROR(SUMIFS(T_TTAFStock[TTAF_Qty],T_TTAFStock[RM_Code],$A1696,T_TTAFStock[WeekIndex],46),"")</f>
        <v/>
      </c>
      <c r="AY1700">
        <f>IFERROR(SUMIFS(T_TTAFStock[TTAF_Qty],T_TTAFStock[RM_Code],$A1696,T_TTAFStock[WeekIndex],47),"")</f>
        <v/>
      </c>
      <c r="AZ1700">
        <f>IFERROR(SUMIFS(T_TTAFStock[TTAF_Qty],T_TTAFStock[RM_Code],$A1696,T_TTAFStock[WeekIndex],48),"")</f>
        <v/>
      </c>
      <c r="BA1700">
        <f>IFERROR(SUMIFS(T_TTAFStock[TTAF_Qty],T_TTAFStock[RM_Code],$A1696,T_TTAFStock[WeekIndex],49),"")</f>
        <v/>
      </c>
      <c r="BB1700">
        <f>IFERROR(SUMIFS(T_TTAFStock[TTAF_Qty],T_TTAFStock[RM_Code],$A1696,T_TTAFStock[WeekIndex],50),"")</f>
        <v/>
      </c>
      <c r="BC1700">
        <f>IFERROR(SUMIFS(T_TTAFStock[TTAF_Qty],T_TTAFStock[RM_Code],$A1696,T_TTAFStock[WeekIndex],51),"")</f>
        <v/>
      </c>
      <c r="BD1700">
        <f>IFERROR(SUMIFS(T_TTAFStock[TTAF_Qty],T_TTAFStock[RM_Code],$A1696,T_TTAFStock[WeekIndex],52),"")</f>
        <v/>
      </c>
      <c r="BE1700">
        <f>IFERROR(SUMIFS(T_TTAFStock[TTAF_Qty],T_TTAFStock[RM_Code],$A1696,T_TTAFStock[WeekIndex],53),"")</f>
        <v/>
      </c>
      <c r="BF1700">
        <f>IFERROR(SUMIFS(T_TTAFStock[TTAF_Qty],T_TTAFStock[RM_Code],$A1696,T_TTAFStock[WeekIndex],54),"")</f>
        <v/>
      </c>
      <c r="BG1700">
        <f>IFERROR(SUMIFS(T_TTAFStock[TTAF_Qty],T_TTAFStock[RM_Code],$A1696,T_TTAFStock[WeekIndex],55),"")</f>
        <v/>
      </c>
      <c r="BH1700">
        <f>IFERROR(SUMIFS(T_TTAFStock[TTAF_Qty],T_TTAFStock[RM_Code],$A1696,T_TTAFStock[WeekIndex],56),"")</f>
        <v/>
      </c>
      <c r="BI1700">
        <f>IFERROR(SUMIFS(T_TTAFStock[TTAF_Qty],T_TTAFStock[RM_Code],$A1696,T_TTAFStock[WeekIndex],57),"")</f>
        <v/>
      </c>
      <c r="BJ1700">
        <f>IFERROR(SUMIFS(T_TTAFStock[TTAF_Qty],T_TTAFStock[RM_Code],$A1696,T_TTAFStock[WeekIndex],58),"")</f>
        <v/>
      </c>
      <c r="BK1700">
        <f>IFERROR(SUMIFS(T_TTAFStock[TTAF_Qty],T_TTAFStock[RM_Code],$A1696,T_TTAFStock[WeekIndex],59),"")</f>
        <v/>
      </c>
      <c r="BL1700">
        <f>IFERROR(SUMIFS(T_TTAFStock[TTAF_Qty],T_TTAFStock[RM_Code],$A1696,T_TTAFStock[WeekIndex],60),"")</f>
        <v/>
      </c>
      <c r="BM1700">
        <f>IFERROR(SUMIFS(T_TTAFStock[TTAF_Qty],T_TTAFStock[RM_Code],$A1696,T_TTAFStock[WeekIndex],61),"")</f>
        <v/>
      </c>
      <c r="BN1700">
        <f>IFERROR(SUMIFS(T_TTAFStock[TTAF_Qty],T_TTAFStock[RM_Code],$A1696,T_TTAFStock[WeekIndex],62),"")</f>
        <v/>
      </c>
      <c r="BO1700">
        <f>IFERROR(SUMIFS(T_TTAFStock[TTAF_Qty],T_TTAFStock[RM_Code],$A1696,T_TTAFStock[WeekIndex],63),"")</f>
        <v/>
      </c>
      <c r="BP1700">
        <f>IFERROR(SUMIFS(T_TTAFStock[TTAF_Qty],T_TTAFStock[RM_Code],$A1696,T_TTAFStock[WeekIndex],64),"")</f>
        <v/>
      </c>
      <c r="BQ1700">
        <f>IFERROR(SUMIFS(T_TTAFStock[TTAF_Qty],T_TTAFStock[RM_Code],$A1696,T_TTAFStock[WeekIndex],65),"")</f>
        <v/>
      </c>
      <c r="BR1700">
        <f>IFERROR(SUMIFS(T_TTAFStock[TTAF_Qty],T_TTAFStock[RM_Code],$A1696,T_TTAFStock[WeekIndex],66),"")</f>
        <v/>
      </c>
      <c r="BS1700">
        <f>IFERROR(SUMIFS(T_TTAFStock[TTAF_Qty],T_TTAFStock[RM_Code],$A1696,T_TTAFStock[WeekIndex],67),"")</f>
        <v/>
      </c>
      <c r="BT1700">
        <f>IFERROR(SUMIFS(T_TTAFStock[TTAF_Qty],T_TTAFStock[RM_Code],$A1696,T_TTAFStock[WeekIndex],68),"")</f>
        <v/>
      </c>
      <c r="BU1700">
        <f>IFERROR(SUMIFS(T_TTAFStock[TTAF_Qty],T_TTAFStock[RM_Code],$A1696,T_TTAFStock[WeekIndex],69),"")</f>
        <v/>
      </c>
      <c r="BV1700">
        <f>IFERROR(SUMIFS(T_TTAFStock[TTAF_Qty],T_TTAFStock[RM_Code],$A1696,T_TTAFStock[WeekIndex],70),"")</f>
        <v/>
      </c>
      <c r="BW1700">
        <f>IFERROR(SUMIFS(T_TTAFStock[TTAF_Qty],T_TTAFStock[RM_Code],$A1696,T_TTAFStock[WeekIndex],71),"")</f>
        <v/>
      </c>
      <c r="BX1700">
        <f>IFERROR(SUMIFS(T_TTAFStock[TTAF_Qty],T_TTAFStock[RM_Code],$A1696,T_TTAFStock[WeekIndex],72),"")</f>
        <v/>
      </c>
      <c r="BY1700">
        <f>IFERROR(SUMIFS(T_TTAFStock[TTAF_Qty],T_TTAFStock[RM_Code],$A1696,T_TTAFStock[WeekIndex],73),"")</f>
        <v/>
      </c>
      <c r="BZ1700">
        <f>IFERROR(SUMIFS(T_TTAFStock[TTAF_Qty],T_TTAFStock[RM_Code],$A1696,T_TTAFStock[WeekIndex],74),"")</f>
        <v/>
      </c>
      <c r="CA1700">
        <f>IFERROR(SUMIFS(T_TTAFStock[TTAF_Qty],T_TTAFStock[RM_Code],$A1696,T_TTAFStock[WeekIndex],75),"")</f>
        <v/>
      </c>
      <c r="CB1700">
        <f>IFERROR(SUMIFS(T_TTAFStock[TTAF_Qty],T_TTAFStock[RM_Code],$A1696,T_TTAFStock[WeekIndex],76),"")</f>
        <v/>
      </c>
      <c r="CC1700">
        <f>IFERROR(SUMIFS(T_TTAFStock[TTAF_Qty],T_TTAFStock[RM_Code],$A1696,T_TTAFStock[WeekIndex],77),"")</f>
        <v/>
      </c>
      <c r="CD1700">
        <f>IFERROR(SUMIFS(T_TTAFStock[TTAF_Qty],T_TTAFStock[RM_Code],$A1696,T_TTAFStock[WeekIndex],78),"")</f>
        <v/>
      </c>
      <c r="CE1700">
        <f>IFERROR(SUMIFS(T_TTAFStock[TTAF_Qty],T_TTAFStock[RM_Code],$A1696,T_TTAFStock[WeekIndex],79),"")</f>
        <v/>
      </c>
      <c r="CF1700">
        <f>IFERROR(SUMIFS(T_TTAFStock[TTAF_Qty],T_TTAFStock[RM_Code],$A1696,T_TTAFStock[WeekIndex],80),"")</f>
        <v/>
      </c>
      <c r="CG1700">
        <f>IFERROR(SUMIFS(T_TTAFStock[TTAF_Qty],T_TTAFStock[RM_Code],$A1696,T_TTAFStock[WeekIndex],81),"")</f>
        <v/>
      </c>
      <c r="CH1700">
        <f>IFERROR(SUMIFS(T_TTAFStock[TTAF_Qty],T_TTAFStock[RM_Code],$A1696,T_TTAFStock[WeekIndex],82),"")</f>
        <v/>
      </c>
      <c r="CI1700">
        <f>IFERROR(SUMIFS(T_TTAFStock[TTAF_Qty],T_TTAFStock[RM_Code],$A1696,T_TTAFStock[WeekIndex],83),"")</f>
        <v/>
      </c>
      <c r="CJ1700">
        <f>IFERROR(SUMIFS(T_TTAFStock[TTAF_Qty],T_TTAFStock[RM_Code],$A1696,T_TTAFStock[WeekIndex],84),"")</f>
        <v/>
      </c>
      <c r="CK1700">
        <f>IFERROR(SUMIFS(T_TTAFStock[TTAF_Qty],T_TTAFStock[RM_Code],$A1696,T_TTAFStock[WeekIndex],85),"")</f>
        <v/>
      </c>
      <c r="CL1700">
        <f>IFERROR(SUMIFS(T_TTAFStock[TTAF_Qty],T_TTAFStock[RM_Code],$A1696,T_TTAFStock[WeekIndex],86),"")</f>
        <v/>
      </c>
      <c r="CM1700">
        <f>IFERROR(SUMIFS(T_TTAFStock[TTAF_Qty],T_TTAFStock[RM_Code],$A1696,T_TTAFStock[WeekIndex],87),"")</f>
        <v/>
      </c>
      <c r="CN1700">
        <f>IFERROR(SUMIFS(T_TTAFStock[TTAF_Qty],T_TTAFStock[RM_Code],$A1696,T_TTAFStock[WeekIndex],88),"")</f>
        <v/>
      </c>
      <c r="CO1700">
        <f>IFERROR(SUMIFS(T_TTAFStock[TTAF_Qty],T_TTAFStock[RM_Code],$A1696,T_TTAFStock[WeekIndex],89),"")</f>
        <v/>
      </c>
      <c r="CP1700">
        <f>IFERROR(SUMIFS(T_TTAFStock[TTAF_Qty],T_TTAFStock[RM_Code],$A1696,T_TTAFStock[WeekIndex],90),"")</f>
        <v/>
      </c>
      <c r="CQ1700">
        <f>IFERROR(SUMIFS(T_TTAFStock[TTAF_Qty],T_TTAFStock[RM_Code],$A1696,T_TTAFStock[WeekIndex],91),"")</f>
        <v/>
      </c>
      <c r="CR1700">
        <f>IFERROR(SUMIFS(T_TTAFStock[TTAF_Qty],T_TTAFStock[RM_Code],$A1696,T_TTAFStock[WeekIndex],92),"")</f>
        <v/>
      </c>
      <c r="CS1700">
        <f>IFERROR(SUMIFS(T_TTAFStock[TTAF_Qty],T_TTAFStock[RM_Code],$A1696,T_TTAFStock[WeekIndex],93),"")</f>
        <v/>
      </c>
      <c r="CT1700">
        <f>IFERROR(SUMIFS(T_TTAFStock[TTAF_Qty],T_TTAFStock[RM_Code],$A1696,T_TTAFStock[WeekIndex],94),"")</f>
        <v/>
      </c>
      <c r="CU1700">
        <f>IFERROR(SUMIFS(T_TTAFStock[TTAF_Qty],T_TTAFStock[RM_Code],$A1696,T_TTAFStock[WeekIndex],95),"")</f>
        <v/>
      </c>
      <c r="CV1700">
        <f>IFERROR(SUMIFS(T_TTAFStock[TTAF_Qty],T_TTAFStock[RM_Code],$A1696,T_TTAFStock[WeekIndex],96),"")</f>
        <v/>
      </c>
      <c r="CW1700">
        <f>IFERROR(SUMIFS(T_TTAFStock[TTAF_Qty],T_TTAFStock[RM_Code],$A1696,T_TTAFStock[WeekIndex],97),"")</f>
        <v/>
      </c>
      <c r="CX1700">
        <f>IFERROR(SUMIFS(T_TTAFStock[TTAF_Qty],T_TTAFStock[RM_Code],$A1696,T_TTAFStock[WeekIndex],98),"")</f>
        <v/>
      </c>
      <c r="CY1700">
        <f>IFERROR(SUMIFS(T_TTAFStock[TTAF_Qty],T_TTAFStock[RM_Code],$A1696,T_TTAFStock[WeekIndex],99),"")</f>
        <v/>
      </c>
      <c r="CZ1700">
        <f>IFERROR(SUMIFS(T_TTAFStock[TTAF_Qty],T_TTAFStock[RM_Code],$A1696,T_TTAFStock[WeekIndex],100),"")</f>
        <v/>
      </c>
      <c r="DA1700">
        <f>IFERROR(SUMIFS(T_TTAFStock[TTAF_Qty],T_TTAFStock[RM_Code],$A1696,T_TTAFStock[WeekIndex],101),"")</f>
        <v/>
      </c>
      <c r="DB1700">
        <f>IFERROR(SUMIFS(T_TTAFStock[TTAF_Qty],T_TTAFStock[RM_Code],$A1696,T_TTAFStock[WeekIndex],102),"")</f>
        <v/>
      </c>
      <c r="DC1700">
        <f>IFERROR(SUMIFS(T_TTAFStock[TTAF_Qty],T_TTAFStock[RM_Code],$A1696,T_TTAFStock[WeekIndex],103),"")</f>
        <v/>
      </c>
      <c r="DD1700">
        <f>IFERROR(SUMIFS(T_TTAFStock[TTAF_Qty],T_TTAFStock[RM_Code],$A1696,T_TTAFStock[WeekIndex],104),"")</f>
        <v/>
      </c>
    </row>
    <row r="1701">
      <c r="B1701" t="inlineStr">
        <is>
          <t>自社在庫(実績,kg)</t>
        </is>
      </c>
      <c r="D1701">
        <f>IFERROR(INDEX(E1701:DD1701,$F$1),"")</f>
        <v/>
      </c>
      <c r="E1701">
        <f>IFERROR(SUMIFS(T_SelfStock[Self_Qty],T_SelfStock[RM_Code],$A1696,T_SelfStock[WeekIndex],1),"")</f>
        <v/>
      </c>
      <c r="F1701">
        <f>IFERROR(SUMIFS(T_SelfStock[Self_Qty],T_SelfStock[RM_Code],$A1696,T_SelfStock[WeekIndex],2),"")</f>
        <v/>
      </c>
      <c r="G1701">
        <f>IFERROR(SUMIFS(T_SelfStock[Self_Qty],T_SelfStock[RM_Code],$A1696,T_SelfStock[WeekIndex],3),"")</f>
        <v/>
      </c>
      <c r="H1701">
        <f>IFERROR(SUMIFS(T_SelfStock[Self_Qty],T_SelfStock[RM_Code],$A1696,T_SelfStock[WeekIndex],4),"")</f>
        <v/>
      </c>
      <c r="I1701">
        <f>IFERROR(SUMIFS(T_SelfStock[Self_Qty],T_SelfStock[RM_Code],$A1696,T_SelfStock[WeekIndex],5),"")</f>
        <v/>
      </c>
      <c r="J1701">
        <f>IFERROR(SUMIFS(T_SelfStock[Self_Qty],T_SelfStock[RM_Code],$A1696,T_SelfStock[WeekIndex],6),"")</f>
        <v/>
      </c>
      <c r="K1701">
        <f>IFERROR(SUMIFS(T_SelfStock[Self_Qty],T_SelfStock[RM_Code],$A1696,T_SelfStock[WeekIndex],7),"")</f>
        <v/>
      </c>
      <c r="L1701">
        <f>IFERROR(SUMIFS(T_SelfStock[Self_Qty],T_SelfStock[RM_Code],$A1696,T_SelfStock[WeekIndex],8),"")</f>
        <v/>
      </c>
      <c r="M1701">
        <f>IFERROR(SUMIFS(T_SelfStock[Self_Qty],T_SelfStock[RM_Code],$A1696,T_SelfStock[WeekIndex],9),"")</f>
        <v/>
      </c>
      <c r="N1701">
        <f>IFERROR(SUMIFS(T_SelfStock[Self_Qty],T_SelfStock[RM_Code],$A1696,T_SelfStock[WeekIndex],10),"")</f>
        <v/>
      </c>
      <c r="O1701">
        <f>IFERROR(SUMIFS(T_SelfStock[Self_Qty],T_SelfStock[RM_Code],$A1696,T_SelfStock[WeekIndex],11),"")</f>
        <v/>
      </c>
      <c r="P1701">
        <f>IFERROR(SUMIFS(T_SelfStock[Self_Qty],T_SelfStock[RM_Code],$A1696,T_SelfStock[WeekIndex],12),"")</f>
        <v/>
      </c>
      <c r="Q1701">
        <f>IFERROR(SUMIFS(T_SelfStock[Self_Qty],T_SelfStock[RM_Code],$A1696,T_SelfStock[WeekIndex],13),"")</f>
        <v/>
      </c>
      <c r="R1701">
        <f>IFERROR(SUMIFS(T_SelfStock[Self_Qty],T_SelfStock[RM_Code],$A1696,T_SelfStock[WeekIndex],14),"")</f>
        <v/>
      </c>
      <c r="S1701">
        <f>IFERROR(SUMIFS(T_SelfStock[Self_Qty],T_SelfStock[RM_Code],$A1696,T_SelfStock[WeekIndex],15),"")</f>
        <v/>
      </c>
      <c r="T1701">
        <f>IFERROR(SUMIFS(T_SelfStock[Self_Qty],T_SelfStock[RM_Code],$A1696,T_SelfStock[WeekIndex],16),"")</f>
        <v/>
      </c>
      <c r="U1701">
        <f>IFERROR(SUMIFS(T_SelfStock[Self_Qty],T_SelfStock[RM_Code],$A1696,T_SelfStock[WeekIndex],17),"")</f>
        <v/>
      </c>
      <c r="V1701">
        <f>IFERROR(SUMIFS(T_SelfStock[Self_Qty],T_SelfStock[RM_Code],$A1696,T_SelfStock[WeekIndex],18),"")</f>
        <v/>
      </c>
      <c r="W1701">
        <f>IFERROR(SUMIFS(T_SelfStock[Self_Qty],T_SelfStock[RM_Code],$A1696,T_SelfStock[WeekIndex],19),"")</f>
        <v/>
      </c>
      <c r="X1701">
        <f>IFERROR(SUMIFS(T_SelfStock[Self_Qty],T_SelfStock[RM_Code],$A1696,T_SelfStock[WeekIndex],20),"")</f>
        <v/>
      </c>
      <c r="Y1701">
        <f>IFERROR(SUMIFS(T_SelfStock[Self_Qty],T_SelfStock[RM_Code],$A1696,T_SelfStock[WeekIndex],21),"")</f>
        <v/>
      </c>
      <c r="Z1701">
        <f>IFERROR(SUMIFS(T_SelfStock[Self_Qty],T_SelfStock[RM_Code],$A1696,T_SelfStock[WeekIndex],22),"")</f>
        <v/>
      </c>
      <c r="AA1701">
        <f>IFERROR(SUMIFS(T_SelfStock[Self_Qty],T_SelfStock[RM_Code],$A1696,T_SelfStock[WeekIndex],23),"")</f>
        <v/>
      </c>
      <c r="AB1701">
        <f>IFERROR(SUMIFS(T_SelfStock[Self_Qty],T_SelfStock[RM_Code],$A1696,T_SelfStock[WeekIndex],24),"")</f>
        <v/>
      </c>
      <c r="AC1701">
        <f>IFERROR(SUMIFS(T_SelfStock[Self_Qty],T_SelfStock[RM_Code],$A1696,T_SelfStock[WeekIndex],25),"")</f>
        <v/>
      </c>
      <c r="AD1701">
        <f>IFERROR(SUMIFS(T_SelfStock[Self_Qty],T_SelfStock[RM_Code],$A1696,T_SelfStock[WeekIndex],26),"")</f>
        <v/>
      </c>
      <c r="AE1701">
        <f>IFERROR(SUMIFS(T_SelfStock[Self_Qty],T_SelfStock[RM_Code],$A1696,T_SelfStock[WeekIndex],27),"")</f>
        <v/>
      </c>
      <c r="AF1701">
        <f>IFERROR(SUMIFS(T_SelfStock[Self_Qty],T_SelfStock[RM_Code],$A1696,T_SelfStock[WeekIndex],28),"")</f>
        <v/>
      </c>
      <c r="AG1701">
        <f>IFERROR(SUMIFS(T_SelfStock[Self_Qty],T_SelfStock[RM_Code],$A1696,T_SelfStock[WeekIndex],29),"")</f>
        <v/>
      </c>
      <c r="AH1701">
        <f>IFERROR(SUMIFS(T_SelfStock[Self_Qty],T_SelfStock[RM_Code],$A1696,T_SelfStock[WeekIndex],30),"")</f>
        <v/>
      </c>
      <c r="AI1701">
        <f>IFERROR(SUMIFS(T_SelfStock[Self_Qty],T_SelfStock[RM_Code],$A1696,T_SelfStock[WeekIndex],31),"")</f>
        <v/>
      </c>
      <c r="AJ1701">
        <f>IFERROR(SUMIFS(T_SelfStock[Self_Qty],T_SelfStock[RM_Code],$A1696,T_SelfStock[WeekIndex],32),"")</f>
        <v/>
      </c>
      <c r="AK1701">
        <f>IFERROR(SUMIFS(T_SelfStock[Self_Qty],T_SelfStock[RM_Code],$A1696,T_SelfStock[WeekIndex],33),"")</f>
        <v/>
      </c>
      <c r="AL1701">
        <f>IFERROR(SUMIFS(T_SelfStock[Self_Qty],T_SelfStock[RM_Code],$A1696,T_SelfStock[WeekIndex],34),"")</f>
        <v/>
      </c>
      <c r="AM1701">
        <f>IFERROR(SUMIFS(T_SelfStock[Self_Qty],T_SelfStock[RM_Code],$A1696,T_SelfStock[WeekIndex],35),"")</f>
        <v/>
      </c>
      <c r="AN1701">
        <f>IFERROR(SUMIFS(T_SelfStock[Self_Qty],T_SelfStock[RM_Code],$A1696,T_SelfStock[WeekIndex],36),"")</f>
        <v/>
      </c>
      <c r="AO1701">
        <f>IFERROR(SUMIFS(T_SelfStock[Self_Qty],T_SelfStock[RM_Code],$A1696,T_SelfStock[WeekIndex],37),"")</f>
        <v/>
      </c>
      <c r="AP1701">
        <f>IFERROR(SUMIFS(T_SelfStock[Self_Qty],T_SelfStock[RM_Code],$A1696,T_SelfStock[WeekIndex],38),"")</f>
        <v/>
      </c>
      <c r="AQ1701">
        <f>IFERROR(SUMIFS(T_SelfStock[Self_Qty],T_SelfStock[RM_Code],$A1696,T_SelfStock[WeekIndex],39),"")</f>
        <v/>
      </c>
      <c r="AR1701">
        <f>IFERROR(SUMIFS(T_SelfStock[Self_Qty],T_SelfStock[RM_Code],$A1696,T_SelfStock[WeekIndex],40),"")</f>
        <v/>
      </c>
      <c r="AS1701">
        <f>IFERROR(SUMIFS(T_SelfStock[Self_Qty],T_SelfStock[RM_Code],$A1696,T_SelfStock[WeekIndex],41),"")</f>
        <v/>
      </c>
      <c r="AT1701">
        <f>IFERROR(SUMIFS(T_SelfStock[Self_Qty],T_SelfStock[RM_Code],$A1696,T_SelfStock[WeekIndex],42),"")</f>
        <v/>
      </c>
      <c r="AU1701">
        <f>IFERROR(SUMIFS(T_SelfStock[Self_Qty],T_SelfStock[RM_Code],$A1696,T_SelfStock[WeekIndex],43),"")</f>
        <v/>
      </c>
      <c r="AV1701">
        <f>IFERROR(SUMIFS(T_SelfStock[Self_Qty],T_SelfStock[RM_Code],$A1696,T_SelfStock[WeekIndex],44),"")</f>
        <v/>
      </c>
      <c r="AW1701">
        <f>IFERROR(SUMIFS(T_SelfStock[Self_Qty],T_SelfStock[RM_Code],$A1696,T_SelfStock[WeekIndex],45),"")</f>
        <v/>
      </c>
      <c r="AX1701">
        <f>IFERROR(SUMIFS(T_SelfStock[Self_Qty],T_SelfStock[RM_Code],$A1696,T_SelfStock[WeekIndex],46),"")</f>
        <v/>
      </c>
      <c r="AY1701">
        <f>IFERROR(SUMIFS(T_SelfStock[Self_Qty],T_SelfStock[RM_Code],$A1696,T_SelfStock[WeekIndex],47),"")</f>
        <v/>
      </c>
      <c r="AZ1701">
        <f>IFERROR(SUMIFS(T_SelfStock[Self_Qty],T_SelfStock[RM_Code],$A1696,T_SelfStock[WeekIndex],48),"")</f>
        <v/>
      </c>
      <c r="BA1701">
        <f>IFERROR(SUMIFS(T_SelfStock[Self_Qty],T_SelfStock[RM_Code],$A1696,T_SelfStock[WeekIndex],49),"")</f>
        <v/>
      </c>
      <c r="BB1701">
        <f>IFERROR(SUMIFS(T_SelfStock[Self_Qty],T_SelfStock[RM_Code],$A1696,T_SelfStock[WeekIndex],50),"")</f>
        <v/>
      </c>
      <c r="BC1701">
        <f>IFERROR(SUMIFS(T_SelfStock[Self_Qty],T_SelfStock[RM_Code],$A1696,T_SelfStock[WeekIndex],51),"")</f>
        <v/>
      </c>
      <c r="BD1701">
        <f>IFERROR(SUMIFS(T_SelfStock[Self_Qty],T_SelfStock[RM_Code],$A1696,T_SelfStock[WeekIndex],52),"")</f>
        <v/>
      </c>
      <c r="BE1701">
        <f>IFERROR(SUMIFS(T_SelfStock[Self_Qty],T_SelfStock[RM_Code],$A1696,T_SelfStock[WeekIndex],53),"")</f>
        <v/>
      </c>
      <c r="BF1701">
        <f>IFERROR(SUMIFS(T_SelfStock[Self_Qty],T_SelfStock[RM_Code],$A1696,T_SelfStock[WeekIndex],54),"")</f>
        <v/>
      </c>
      <c r="BG1701">
        <f>IFERROR(SUMIFS(T_SelfStock[Self_Qty],T_SelfStock[RM_Code],$A1696,T_SelfStock[WeekIndex],55),"")</f>
        <v/>
      </c>
      <c r="BH1701">
        <f>IFERROR(SUMIFS(T_SelfStock[Self_Qty],T_SelfStock[RM_Code],$A1696,T_SelfStock[WeekIndex],56),"")</f>
        <v/>
      </c>
      <c r="BI1701">
        <f>IFERROR(SUMIFS(T_SelfStock[Self_Qty],T_SelfStock[RM_Code],$A1696,T_SelfStock[WeekIndex],57),"")</f>
        <v/>
      </c>
      <c r="BJ1701">
        <f>IFERROR(SUMIFS(T_SelfStock[Self_Qty],T_SelfStock[RM_Code],$A1696,T_SelfStock[WeekIndex],58),"")</f>
        <v/>
      </c>
      <c r="BK1701">
        <f>IFERROR(SUMIFS(T_SelfStock[Self_Qty],T_SelfStock[RM_Code],$A1696,T_SelfStock[WeekIndex],59),"")</f>
        <v/>
      </c>
      <c r="BL1701">
        <f>IFERROR(SUMIFS(T_SelfStock[Self_Qty],T_SelfStock[RM_Code],$A1696,T_SelfStock[WeekIndex],60),"")</f>
        <v/>
      </c>
      <c r="BM1701">
        <f>IFERROR(SUMIFS(T_SelfStock[Self_Qty],T_SelfStock[RM_Code],$A1696,T_SelfStock[WeekIndex],61),"")</f>
        <v/>
      </c>
      <c r="BN1701">
        <f>IFERROR(SUMIFS(T_SelfStock[Self_Qty],T_SelfStock[RM_Code],$A1696,T_SelfStock[WeekIndex],62),"")</f>
        <v/>
      </c>
      <c r="BO1701">
        <f>IFERROR(SUMIFS(T_SelfStock[Self_Qty],T_SelfStock[RM_Code],$A1696,T_SelfStock[WeekIndex],63),"")</f>
        <v/>
      </c>
      <c r="BP1701">
        <f>IFERROR(SUMIFS(T_SelfStock[Self_Qty],T_SelfStock[RM_Code],$A1696,T_SelfStock[WeekIndex],64),"")</f>
        <v/>
      </c>
      <c r="BQ1701">
        <f>IFERROR(SUMIFS(T_SelfStock[Self_Qty],T_SelfStock[RM_Code],$A1696,T_SelfStock[WeekIndex],65),"")</f>
        <v/>
      </c>
      <c r="BR1701">
        <f>IFERROR(SUMIFS(T_SelfStock[Self_Qty],T_SelfStock[RM_Code],$A1696,T_SelfStock[WeekIndex],66),"")</f>
        <v/>
      </c>
      <c r="BS1701">
        <f>IFERROR(SUMIFS(T_SelfStock[Self_Qty],T_SelfStock[RM_Code],$A1696,T_SelfStock[WeekIndex],67),"")</f>
        <v/>
      </c>
      <c r="BT1701">
        <f>IFERROR(SUMIFS(T_SelfStock[Self_Qty],T_SelfStock[RM_Code],$A1696,T_SelfStock[WeekIndex],68),"")</f>
        <v/>
      </c>
      <c r="BU1701">
        <f>IFERROR(SUMIFS(T_SelfStock[Self_Qty],T_SelfStock[RM_Code],$A1696,T_SelfStock[WeekIndex],69),"")</f>
        <v/>
      </c>
      <c r="BV1701">
        <f>IFERROR(SUMIFS(T_SelfStock[Self_Qty],T_SelfStock[RM_Code],$A1696,T_SelfStock[WeekIndex],70),"")</f>
        <v/>
      </c>
      <c r="BW1701">
        <f>IFERROR(SUMIFS(T_SelfStock[Self_Qty],T_SelfStock[RM_Code],$A1696,T_SelfStock[WeekIndex],71),"")</f>
        <v/>
      </c>
      <c r="BX1701">
        <f>IFERROR(SUMIFS(T_SelfStock[Self_Qty],T_SelfStock[RM_Code],$A1696,T_SelfStock[WeekIndex],72),"")</f>
        <v/>
      </c>
      <c r="BY1701">
        <f>IFERROR(SUMIFS(T_SelfStock[Self_Qty],T_SelfStock[RM_Code],$A1696,T_SelfStock[WeekIndex],73),"")</f>
        <v/>
      </c>
      <c r="BZ1701">
        <f>IFERROR(SUMIFS(T_SelfStock[Self_Qty],T_SelfStock[RM_Code],$A1696,T_SelfStock[WeekIndex],74),"")</f>
        <v/>
      </c>
      <c r="CA1701">
        <f>IFERROR(SUMIFS(T_SelfStock[Self_Qty],T_SelfStock[RM_Code],$A1696,T_SelfStock[WeekIndex],75),"")</f>
        <v/>
      </c>
      <c r="CB1701">
        <f>IFERROR(SUMIFS(T_SelfStock[Self_Qty],T_SelfStock[RM_Code],$A1696,T_SelfStock[WeekIndex],76),"")</f>
        <v/>
      </c>
      <c r="CC1701">
        <f>IFERROR(SUMIFS(T_SelfStock[Self_Qty],T_SelfStock[RM_Code],$A1696,T_SelfStock[WeekIndex],77),"")</f>
        <v/>
      </c>
      <c r="CD1701">
        <f>IFERROR(SUMIFS(T_SelfStock[Self_Qty],T_SelfStock[RM_Code],$A1696,T_SelfStock[WeekIndex],78),"")</f>
        <v/>
      </c>
      <c r="CE1701">
        <f>IFERROR(SUMIFS(T_SelfStock[Self_Qty],T_SelfStock[RM_Code],$A1696,T_SelfStock[WeekIndex],79),"")</f>
        <v/>
      </c>
      <c r="CF1701">
        <f>IFERROR(SUMIFS(T_SelfStock[Self_Qty],T_SelfStock[RM_Code],$A1696,T_SelfStock[WeekIndex],80),"")</f>
        <v/>
      </c>
      <c r="CG1701">
        <f>IFERROR(SUMIFS(T_SelfStock[Self_Qty],T_SelfStock[RM_Code],$A1696,T_SelfStock[WeekIndex],81),"")</f>
        <v/>
      </c>
      <c r="CH1701">
        <f>IFERROR(SUMIFS(T_SelfStock[Self_Qty],T_SelfStock[RM_Code],$A1696,T_SelfStock[WeekIndex],82),"")</f>
        <v/>
      </c>
      <c r="CI1701">
        <f>IFERROR(SUMIFS(T_SelfStock[Self_Qty],T_SelfStock[RM_Code],$A1696,T_SelfStock[WeekIndex],83),"")</f>
        <v/>
      </c>
      <c r="CJ1701">
        <f>IFERROR(SUMIFS(T_SelfStock[Self_Qty],T_SelfStock[RM_Code],$A1696,T_SelfStock[WeekIndex],84),"")</f>
        <v/>
      </c>
      <c r="CK1701">
        <f>IFERROR(SUMIFS(T_SelfStock[Self_Qty],T_SelfStock[RM_Code],$A1696,T_SelfStock[WeekIndex],85),"")</f>
        <v/>
      </c>
      <c r="CL1701">
        <f>IFERROR(SUMIFS(T_SelfStock[Self_Qty],T_SelfStock[RM_Code],$A1696,T_SelfStock[WeekIndex],86),"")</f>
        <v/>
      </c>
      <c r="CM1701">
        <f>IFERROR(SUMIFS(T_SelfStock[Self_Qty],T_SelfStock[RM_Code],$A1696,T_SelfStock[WeekIndex],87),"")</f>
        <v/>
      </c>
      <c r="CN1701">
        <f>IFERROR(SUMIFS(T_SelfStock[Self_Qty],T_SelfStock[RM_Code],$A1696,T_SelfStock[WeekIndex],88),"")</f>
        <v/>
      </c>
      <c r="CO1701">
        <f>IFERROR(SUMIFS(T_SelfStock[Self_Qty],T_SelfStock[RM_Code],$A1696,T_SelfStock[WeekIndex],89),"")</f>
        <v/>
      </c>
      <c r="CP1701">
        <f>IFERROR(SUMIFS(T_SelfStock[Self_Qty],T_SelfStock[RM_Code],$A1696,T_SelfStock[WeekIndex],90),"")</f>
        <v/>
      </c>
      <c r="CQ1701">
        <f>IFERROR(SUMIFS(T_SelfStock[Self_Qty],T_SelfStock[RM_Code],$A1696,T_SelfStock[WeekIndex],91),"")</f>
        <v/>
      </c>
      <c r="CR1701">
        <f>IFERROR(SUMIFS(T_SelfStock[Self_Qty],T_SelfStock[RM_Code],$A1696,T_SelfStock[WeekIndex],92),"")</f>
        <v/>
      </c>
      <c r="CS1701">
        <f>IFERROR(SUMIFS(T_SelfStock[Self_Qty],T_SelfStock[RM_Code],$A1696,T_SelfStock[WeekIndex],93),"")</f>
        <v/>
      </c>
      <c r="CT1701">
        <f>IFERROR(SUMIFS(T_SelfStock[Self_Qty],T_SelfStock[RM_Code],$A1696,T_SelfStock[WeekIndex],94),"")</f>
        <v/>
      </c>
      <c r="CU1701">
        <f>IFERROR(SUMIFS(T_SelfStock[Self_Qty],T_SelfStock[RM_Code],$A1696,T_SelfStock[WeekIndex],95),"")</f>
        <v/>
      </c>
      <c r="CV1701">
        <f>IFERROR(SUMIFS(T_SelfStock[Self_Qty],T_SelfStock[RM_Code],$A1696,T_SelfStock[WeekIndex],96),"")</f>
        <v/>
      </c>
      <c r="CW1701">
        <f>IFERROR(SUMIFS(T_SelfStock[Self_Qty],T_SelfStock[RM_Code],$A1696,T_SelfStock[WeekIndex],97),"")</f>
        <v/>
      </c>
      <c r="CX1701">
        <f>IFERROR(SUMIFS(T_SelfStock[Self_Qty],T_SelfStock[RM_Code],$A1696,T_SelfStock[WeekIndex],98),"")</f>
        <v/>
      </c>
      <c r="CY1701">
        <f>IFERROR(SUMIFS(T_SelfStock[Self_Qty],T_SelfStock[RM_Code],$A1696,T_SelfStock[WeekIndex],99),"")</f>
        <v/>
      </c>
      <c r="CZ1701">
        <f>IFERROR(SUMIFS(T_SelfStock[Self_Qty],T_SelfStock[RM_Code],$A1696,T_SelfStock[WeekIndex],100),"")</f>
        <v/>
      </c>
      <c r="DA1701">
        <f>IFERROR(SUMIFS(T_SelfStock[Self_Qty],T_SelfStock[RM_Code],$A1696,T_SelfStock[WeekIndex],101),"")</f>
        <v/>
      </c>
      <c r="DB1701">
        <f>IFERROR(SUMIFS(T_SelfStock[Self_Qty],T_SelfStock[RM_Code],$A1696,T_SelfStock[WeekIndex],102),"")</f>
        <v/>
      </c>
      <c r="DC1701">
        <f>IFERROR(SUMIFS(T_SelfStock[Self_Qty],T_SelfStock[RM_Code],$A1696,T_SelfStock[WeekIndex],103),"")</f>
        <v/>
      </c>
      <c r="DD1701">
        <f>IFERROR(SUMIFS(T_SelfStock[Self_Qty],T_SelfStock[RM_Code],$A1696,T_SelfStock[WeekIndex],104),"")</f>
        <v/>
      </c>
    </row>
    <row r="1702">
      <c r="B1702" s="4" t="inlineStr">
        <is>
          <t>合計在庫(週末時点,kg)</t>
        </is>
      </c>
      <c r="D1702" s="24">
        <f>IFERROR(INDEX(E1702:DD1702,$F$1),"")</f>
        <v/>
      </c>
      <c r="E1702">
        <f>'Grid_Stock'!B60</f>
        <v/>
      </c>
      <c r="F1702">
        <f>'Grid_Stock'!C60</f>
        <v/>
      </c>
      <c r="G1702">
        <f>'Grid_Stock'!D60</f>
        <v/>
      </c>
      <c r="H1702">
        <f>'Grid_Stock'!E60</f>
        <v/>
      </c>
      <c r="I1702">
        <f>'Grid_Stock'!F60</f>
        <v/>
      </c>
      <c r="J1702">
        <f>'Grid_Stock'!G60</f>
        <v/>
      </c>
      <c r="K1702">
        <f>'Grid_Stock'!H60</f>
        <v/>
      </c>
      <c r="L1702">
        <f>'Grid_Stock'!I60</f>
        <v/>
      </c>
      <c r="M1702">
        <f>'Grid_Stock'!J60</f>
        <v/>
      </c>
      <c r="N1702">
        <f>'Grid_Stock'!K60</f>
        <v/>
      </c>
      <c r="O1702">
        <f>'Grid_Stock'!L60</f>
        <v/>
      </c>
      <c r="P1702">
        <f>'Grid_Stock'!M60</f>
        <v/>
      </c>
      <c r="Q1702">
        <f>'Grid_Stock'!N60</f>
        <v/>
      </c>
      <c r="R1702">
        <f>'Grid_Stock'!O60</f>
        <v/>
      </c>
      <c r="S1702">
        <f>'Grid_Stock'!P60</f>
        <v/>
      </c>
      <c r="T1702">
        <f>'Grid_Stock'!Q60</f>
        <v/>
      </c>
      <c r="U1702">
        <f>'Grid_Stock'!R60</f>
        <v/>
      </c>
      <c r="V1702">
        <f>'Grid_Stock'!S60</f>
        <v/>
      </c>
      <c r="W1702">
        <f>'Grid_Stock'!T60</f>
        <v/>
      </c>
      <c r="X1702">
        <f>'Grid_Stock'!U60</f>
        <v/>
      </c>
      <c r="Y1702">
        <f>'Grid_Stock'!V60</f>
        <v/>
      </c>
      <c r="Z1702">
        <f>'Grid_Stock'!W60</f>
        <v/>
      </c>
      <c r="AA1702">
        <f>'Grid_Stock'!X60</f>
        <v/>
      </c>
      <c r="AB1702">
        <f>'Grid_Stock'!Y60</f>
        <v/>
      </c>
      <c r="AC1702">
        <f>'Grid_Stock'!Z60</f>
        <v/>
      </c>
      <c r="AD1702">
        <f>'Grid_Stock'!AA60</f>
        <v/>
      </c>
      <c r="AE1702">
        <f>'Grid_Stock'!AB60</f>
        <v/>
      </c>
      <c r="AF1702">
        <f>'Grid_Stock'!AC60</f>
        <v/>
      </c>
      <c r="AG1702">
        <f>'Grid_Stock'!AD60</f>
        <v/>
      </c>
      <c r="AH1702">
        <f>'Grid_Stock'!AE60</f>
        <v/>
      </c>
      <c r="AI1702">
        <f>'Grid_Stock'!AF60</f>
        <v/>
      </c>
      <c r="AJ1702">
        <f>'Grid_Stock'!AG60</f>
        <v/>
      </c>
      <c r="AK1702">
        <f>'Grid_Stock'!AH60</f>
        <v/>
      </c>
      <c r="AL1702">
        <f>'Grid_Stock'!AI60</f>
        <v/>
      </c>
      <c r="AM1702">
        <f>'Grid_Stock'!AJ60</f>
        <v/>
      </c>
      <c r="AN1702">
        <f>'Grid_Stock'!AK60</f>
        <v/>
      </c>
      <c r="AO1702">
        <f>'Grid_Stock'!AL60</f>
        <v/>
      </c>
      <c r="AP1702">
        <f>'Grid_Stock'!AM60</f>
        <v/>
      </c>
      <c r="AQ1702">
        <f>'Grid_Stock'!AN60</f>
        <v/>
      </c>
      <c r="AR1702">
        <f>'Grid_Stock'!AO60</f>
        <v/>
      </c>
      <c r="AS1702">
        <f>'Grid_Stock'!AP60</f>
        <v/>
      </c>
      <c r="AT1702">
        <f>'Grid_Stock'!AQ60</f>
        <v/>
      </c>
      <c r="AU1702">
        <f>'Grid_Stock'!AR60</f>
        <v/>
      </c>
      <c r="AV1702">
        <f>'Grid_Stock'!AS60</f>
        <v/>
      </c>
      <c r="AW1702">
        <f>'Grid_Stock'!AT60</f>
        <v/>
      </c>
      <c r="AX1702">
        <f>'Grid_Stock'!AU60</f>
        <v/>
      </c>
      <c r="AY1702">
        <f>'Grid_Stock'!AV60</f>
        <v/>
      </c>
      <c r="AZ1702">
        <f>'Grid_Stock'!AW60</f>
        <v/>
      </c>
      <c r="BA1702">
        <f>'Grid_Stock'!AX60</f>
        <v/>
      </c>
      <c r="BB1702">
        <f>'Grid_Stock'!AY60</f>
        <v/>
      </c>
      <c r="BC1702">
        <f>'Grid_Stock'!AZ60</f>
        <v/>
      </c>
      <c r="BD1702">
        <f>'Grid_Stock'!BA60</f>
        <v/>
      </c>
      <c r="BE1702">
        <f>'Grid_Stock'!BB60</f>
        <v/>
      </c>
      <c r="BF1702">
        <f>'Grid_Stock'!BC60</f>
        <v/>
      </c>
      <c r="BG1702">
        <f>'Grid_Stock'!BD60</f>
        <v/>
      </c>
      <c r="BH1702">
        <f>'Grid_Stock'!BE60</f>
        <v/>
      </c>
      <c r="BI1702">
        <f>'Grid_Stock'!BF60</f>
        <v/>
      </c>
      <c r="BJ1702">
        <f>'Grid_Stock'!BG60</f>
        <v/>
      </c>
      <c r="BK1702">
        <f>'Grid_Stock'!BH60</f>
        <v/>
      </c>
      <c r="BL1702">
        <f>'Grid_Stock'!BI60</f>
        <v/>
      </c>
      <c r="BM1702">
        <f>'Grid_Stock'!BJ60</f>
        <v/>
      </c>
      <c r="BN1702">
        <f>'Grid_Stock'!BK60</f>
        <v/>
      </c>
      <c r="BO1702">
        <f>'Grid_Stock'!BL60</f>
        <v/>
      </c>
      <c r="BP1702">
        <f>'Grid_Stock'!BM60</f>
        <v/>
      </c>
      <c r="BQ1702">
        <f>'Grid_Stock'!BN60</f>
        <v/>
      </c>
      <c r="BR1702">
        <f>'Grid_Stock'!BO60</f>
        <v/>
      </c>
      <c r="BS1702">
        <f>'Grid_Stock'!BP60</f>
        <v/>
      </c>
      <c r="BT1702">
        <f>'Grid_Stock'!BQ60</f>
        <v/>
      </c>
      <c r="BU1702">
        <f>'Grid_Stock'!BR60</f>
        <v/>
      </c>
      <c r="BV1702">
        <f>'Grid_Stock'!BS60</f>
        <v/>
      </c>
      <c r="BW1702">
        <f>'Grid_Stock'!BT60</f>
        <v/>
      </c>
      <c r="BX1702">
        <f>'Grid_Stock'!BU60</f>
        <v/>
      </c>
      <c r="BY1702">
        <f>'Grid_Stock'!BV60</f>
        <v/>
      </c>
      <c r="BZ1702">
        <f>'Grid_Stock'!BW60</f>
        <v/>
      </c>
      <c r="CA1702">
        <f>'Grid_Stock'!BX60</f>
        <v/>
      </c>
      <c r="CB1702">
        <f>'Grid_Stock'!BY60</f>
        <v/>
      </c>
      <c r="CC1702">
        <f>'Grid_Stock'!BZ60</f>
        <v/>
      </c>
      <c r="CD1702">
        <f>'Grid_Stock'!CA60</f>
        <v/>
      </c>
      <c r="CE1702">
        <f>'Grid_Stock'!CB60</f>
        <v/>
      </c>
      <c r="CF1702">
        <f>'Grid_Stock'!CC60</f>
        <v/>
      </c>
      <c r="CG1702">
        <f>'Grid_Stock'!CD60</f>
        <v/>
      </c>
      <c r="CH1702">
        <f>'Grid_Stock'!CE60</f>
        <v/>
      </c>
      <c r="CI1702">
        <f>'Grid_Stock'!CF60</f>
        <v/>
      </c>
      <c r="CJ1702">
        <f>'Grid_Stock'!CG60</f>
        <v/>
      </c>
      <c r="CK1702">
        <f>'Grid_Stock'!CH60</f>
        <v/>
      </c>
      <c r="CL1702">
        <f>'Grid_Stock'!CI60</f>
        <v/>
      </c>
      <c r="CM1702">
        <f>'Grid_Stock'!CJ60</f>
        <v/>
      </c>
      <c r="CN1702">
        <f>'Grid_Stock'!CK60</f>
        <v/>
      </c>
      <c r="CO1702">
        <f>'Grid_Stock'!CL60</f>
        <v/>
      </c>
      <c r="CP1702">
        <f>'Grid_Stock'!CM60</f>
        <v/>
      </c>
      <c r="CQ1702">
        <f>'Grid_Stock'!CN60</f>
        <v/>
      </c>
      <c r="CR1702">
        <f>'Grid_Stock'!CO60</f>
        <v/>
      </c>
      <c r="CS1702">
        <f>'Grid_Stock'!CP60</f>
        <v/>
      </c>
      <c r="CT1702">
        <f>'Grid_Stock'!CQ60</f>
        <v/>
      </c>
      <c r="CU1702">
        <f>'Grid_Stock'!CR60</f>
        <v/>
      </c>
      <c r="CV1702">
        <f>'Grid_Stock'!CS60</f>
        <v/>
      </c>
      <c r="CW1702">
        <f>'Grid_Stock'!CT60</f>
        <v/>
      </c>
      <c r="CX1702">
        <f>'Grid_Stock'!CU60</f>
        <v/>
      </c>
      <c r="CY1702">
        <f>'Grid_Stock'!CV60</f>
        <v/>
      </c>
      <c r="CZ1702">
        <f>'Grid_Stock'!CW60</f>
        <v/>
      </c>
      <c r="DA1702">
        <f>'Grid_Stock'!CX60</f>
        <v/>
      </c>
      <c r="DB1702">
        <f>'Grid_Stock'!CY60</f>
        <v/>
      </c>
      <c r="DC1702">
        <f>'Grid_Stock'!CZ60</f>
        <v/>
      </c>
      <c r="DD1702">
        <f>'Grid_Stock'!DA60</f>
        <v/>
      </c>
    </row>
    <row r="1703">
      <c r="B1703" s="25" t="inlineStr">
        <is>
          <t>（発注の目安はDashboardの基準在庫[下限/上限]と色分けを参照）</t>
        </is>
      </c>
    </row>
    <row r="1705">
      <c r="A1705" s="21" t="inlineStr">
        <is>
          <t>Ester Film</t>
        </is>
      </c>
      <c r="B1705" s="21" t="inlineStr">
        <is>
          <t>Ester Film</t>
        </is>
      </c>
      <c r="C1705" s="22" t="n"/>
      <c r="D1705" s="21" t="n"/>
      <c r="E1705" s="21" t="n"/>
      <c r="F1705" s="21" t="n"/>
      <c r="G1705" s="21" t="n"/>
      <c r="H1705" s="21" t="n"/>
      <c r="I1705" s="21" t="n"/>
      <c r="J1705" s="21" t="n"/>
      <c r="K1705" s="21" t="n"/>
      <c r="L1705" s="21" t="n"/>
      <c r="M1705" s="21" t="n"/>
      <c r="N1705" s="21" t="n"/>
      <c r="O1705" s="21" t="n"/>
      <c r="P1705" s="21" t="n"/>
      <c r="Q1705" s="21" t="n"/>
      <c r="R1705" s="21" t="n"/>
      <c r="S1705" s="21" t="n"/>
      <c r="T1705" s="21" t="n"/>
      <c r="U1705" s="21" t="n"/>
      <c r="V1705" s="21" t="n"/>
      <c r="W1705" s="21" t="n"/>
      <c r="X1705" s="21" t="n"/>
      <c r="Y1705" s="21" t="n"/>
      <c r="Z1705" s="21" t="n"/>
      <c r="AA1705" s="21" t="n"/>
      <c r="AB1705" s="21" t="n"/>
      <c r="AC1705" s="21" t="n"/>
      <c r="AD1705" s="21" t="n"/>
      <c r="AE1705" s="21" t="n"/>
      <c r="AF1705" s="21" t="n"/>
      <c r="AG1705" s="21" t="n"/>
      <c r="AH1705" s="21" t="n"/>
      <c r="AI1705" s="21" t="n"/>
      <c r="AJ1705" s="21" t="n"/>
      <c r="AK1705" s="21" t="n"/>
      <c r="AL1705" s="21" t="n"/>
      <c r="AM1705" s="21" t="n"/>
      <c r="AN1705" s="21" t="n"/>
      <c r="AO1705" s="21" t="n"/>
      <c r="AP1705" s="21" t="n"/>
      <c r="AQ1705" s="21" t="n"/>
      <c r="AR1705" s="21" t="n"/>
      <c r="AS1705" s="21" t="n"/>
      <c r="AT1705" s="21" t="n"/>
      <c r="AU1705" s="21" t="n"/>
      <c r="AV1705" s="21" t="n"/>
      <c r="AW1705" s="21" t="n"/>
      <c r="AX1705" s="21" t="n"/>
      <c r="AY1705" s="21" t="n"/>
      <c r="AZ1705" s="21" t="n"/>
      <c r="BA1705" s="21" t="n"/>
      <c r="BB1705" s="21" t="n"/>
      <c r="BC1705" s="21" t="n"/>
      <c r="BD1705" s="21" t="n"/>
      <c r="BE1705" s="21" t="n"/>
      <c r="BF1705" s="21" t="n"/>
      <c r="BG1705" s="21" t="n"/>
      <c r="BH1705" s="21" t="n"/>
      <c r="BI1705" s="21" t="n"/>
      <c r="BJ1705" s="21" t="n"/>
      <c r="BK1705" s="21" t="n"/>
      <c r="BL1705" s="21" t="n"/>
      <c r="BM1705" s="21" t="n"/>
      <c r="BN1705" s="21" t="n"/>
      <c r="BO1705" s="21" t="n"/>
      <c r="BP1705" s="21" t="n"/>
      <c r="BQ1705" s="21" t="n"/>
      <c r="BR1705" s="21" t="n"/>
      <c r="BS1705" s="21" t="n"/>
      <c r="BT1705" s="21" t="n"/>
      <c r="BU1705" s="21" t="n"/>
      <c r="BV1705" s="21" t="n"/>
      <c r="BW1705" s="21" t="n"/>
      <c r="BX1705" s="21" t="n"/>
      <c r="BY1705" s="21" t="n"/>
      <c r="BZ1705" s="21" t="n"/>
      <c r="CA1705" s="21" t="n"/>
      <c r="CB1705" s="21" t="n"/>
      <c r="CC1705" s="21" t="n"/>
      <c r="CD1705" s="21" t="n"/>
      <c r="CE1705" s="21" t="n"/>
      <c r="CF1705" s="21" t="n"/>
      <c r="CG1705" s="21" t="n"/>
      <c r="CH1705" s="21" t="n"/>
      <c r="CI1705" s="21" t="n"/>
      <c r="CJ1705" s="21" t="n"/>
      <c r="CK1705" s="21" t="n"/>
      <c r="CL1705" s="21" t="n"/>
      <c r="CM1705" s="21" t="n"/>
      <c r="CN1705" s="21" t="n"/>
      <c r="CO1705" s="21" t="n"/>
      <c r="CP1705" s="21" t="n"/>
      <c r="CQ1705" s="21" t="n"/>
      <c r="CR1705" s="21" t="n"/>
      <c r="CS1705" s="21" t="n"/>
      <c r="CT1705" s="21" t="n"/>
      <c r="CU1705" s="21" t="n"/>
      <c r="CV1705" s="21" t="n"/>
      <c r="CW1705" s="21" t="n"/>
      <c r="CX1705" s="21" t="n"/>
      <c r="CY1705" s="21" t="n"/>
      <c r="CZ1705" s="21" t="n"/>
      <c r="DA1705" s="21" t="n"/>
      <c r="DB1705" s="21" t="n"/>
      <c r="DC1705" s="21" t="n"/>
      <c r="DD1705" s="21" t="n"/>
    </row>
    <row r="1706">
      <c r="B1706" t="inlineStr">
        <is>
          <t>Ester Film</t>
        </is>
      </c>
      <c r="C1706" t="inlineStr">
        <is>
          <t>No. of batches</t>
        </is>
      </c>
      <c r="D1706">
        <f>IFERROR(INDEX(E1706:DD1706,$F$1),"")</f>
        <v/>
      </c>
      <c r="E1706">
        <f>IFERROR(INDEX(PP_Grid[#Data],$DE1706,2),0)</f>
        <v/>
      </c>
      <c r="F1706">
        <f>IFERROR(INDEX(PP_Grid[#Data],$DE1706,3),0)</f>
        <v/>
      </c>
      <c r="G1706">
        <f>IFERROR(INDEX(PP_Grid[#Data],$DE1706,4),0)</f>
        <v/>
      </c>
      <c r="H1706">
        <f>IFERROR(INDEX(PP_Grid[#Data],$DE1706,5),0)</f>
        <v/>
      </c>
      <c r="I1706">
        <f>IFERROR(INDEX(PP_Grid[#Data],$DE1706,6),0)</f>
        <v/>
      </c>
      <c r="J1706">
        <f>IFERROR(INDEX(PP_Grid[#Data],$DE1706,7),0)</f>
        <v/>
      </c>
      <c r="K1706">
        <f>IFERROR(INDEX(PP_Grid[#Data],$DE1706,8),0)</f>
        <v/>
      </c>
      <c r="L1706">
        <f>IFERROR(INDEX(PP_Grid[#Data],$DE1706,9),0)</f>
        <v/>
      </c>
      <c r="M1706">
        <f>IFERROR(INDEX(PP_Grid[#Data],$DE1706,10),0)</f>
        <v/>
      </c>
      <c r="N1706">
        <f>IFERROR(INDEX(PP_Grid[#Data],$DE1706,11),0)</f>
        <v/>
      </c>
      <c r="O1706">
        <f>IFERROR(INDEX(PP_Grid[#Data],$DE1706,12),0)</f>
        <v/>
      </c>
      <c r="P1706">
        <f>IFERROR(INDEX(PP_Grid[#Data],$DE1706,13),0)</f>
        <v/>
      </c>
      <c r="Q1706">
        <f>IFERROR(INDEX(PP_Grid[#Data],$DE1706,14),0)</f>
        <v/>
      </c>
      <c r="R1706">
        <f>IFERROR(INDEX(PP_Grid[#Data],$DE1706,15),0)</f>
        <v/>
      </c>
      <c r="S1706">
        <f>IFERROR(INDEX(PP_Grid[#Data],$DE1706,16),0)</f>
        <v/>
      </c>
      <c r="T1706">
        <f>IFERROR(INDEX(PP_Grid[#Data],$DE1706,17),0)</f>
        <v/>
      </c>
      <c r="U1706">
        <f>IFERROR(INDEX(PP_Grid[#Data],$DE1706,18),0)</f>
        <v/>
      </c>
      <c r="V1706">
        <f>IFERROR(INDEX(PP_Grid[#Data],$DE1706,19),0)</f>
        <v/>
      </c>
      <c r="W1706">
        <f>IFERROR(INDEX(PP_Grid[#Data],$DE1706,20),0)</f>
        <v/>
      </c>
      <c r="X1706">
        <f>IFERROR(INDEX(PP_Grid[#Data],$DE1706,21),0)</f>
        <v/>
      </c>
      <c r="Y1706">
        <f>IFERROR(INDEX(PP_Grid[#Data],$DE1706,22),0)</f>
        <v/>
      </c>
      <c r="Z1706">
        <f>IFERROR(INDEX(PP_Grid[#Data],$DE1706,23),0)</f>
        <v/>
      </c>
      <c r="AA1706">
        <f>IFERROR(INDEX(PP_Grid[#Data],$DE1706,24),0)</f>
        <v/>
      </c>
      <c r="AB1706">
        <f>IFERROR(INDEX(PP_Grid[#Data],$DE1706,25),0)</f>
        <v/>
      </c>
      <c r="AC1706">
        <f>IFERROR(INDEX(PP_Grid[#Data],$DE1706,26),0)</f>
        <v/>
      </c>
      <c r="AD1706">
        <f>IFERROR(INDEX(PP_Grid[#Data],$DE1706,27),0)</f>
        <v/>
      </c>
      <c r="AE1706">
        <f>IFERROR(INDEX(PP_Grid[#Data],$DE1706,28),0)</f>
        <v/>
      </c>
      <c r="AF1706">
        <f>IFERROR(INDEX(PP_Grid[#Data],$DE1706,29),0)</f>
        <v/>
      </c>
      <c r="AG1706">
        <f>IFERROR(INDEX(PP_Grid[#Data],$DE1706,30),0)</f>
        <v/>
      </c>
      <c r="AH1706">
        <f>IFERROR(INDEX(PP_Grid[#Data],$DE1706,31),0)</f>
        <v/>
      </c>
      <c r="AI1706">
        <f>IFERROR(INDEX(PP_Grid[#Data],$DE1706,32),0)</f>
        <v/>
      </c>
      <c r="AJ1706">
        <f>IFERROR(INDEX(PP_Grid[#Data],$DE1706,33),0)</f>
        <v/>
      </c>
      <c r="AK1706">
        <f>IFERROR(INDEX(PP_Grid[#Data],$DE1706,34),0)</f>
        <v/>
      </c>
      <c r="AL1706">
        <f>IFERROR(INDEX(PP_Grid[#Data],$DE1706,35),0)</f>
        <v/>
      </c>
      <c r="AM1706">
        <f>IFERROR(INDEX(PP_Grid[#Data],$DE1706,36),0)</f>
        <v/>
      </c>
      <c r="AN1706">
        <f>IFERROR(INDEX(PP_Grid[#Data],$DE1706,37),0)</f>
        <v/>
      </c>
      <c r="AO1706">
        <f>IFERROR(INDEX(PP_Grid[#Data],$DE1706,38),0)</f>
        <v/>
      </c>
      <c r="AP1706">
        <f>IFERROR(INDEX(PP_Grid[#Data],$DE1706,39),0)</f>
        <v/>
      </c>
      <c r="AQ1706">
        <f>IFERROR(INDEX(PP_Grid[#Data],$DE1706,40),0)</f>
        <v/>
      </c>
      <c r="AR1706">
        <f>IFERROR(INDEX(PP_Grid[#Data],$DE1706,41),0)</f>
        <v/>
      </c>
      <c r="AS1706">
        <f>IFERROR(INDEX(PP_Grid[#Data],$DE1706,42),0)</f>
        <v/>
      </c>
      <c r="AT1706">
        <f>IFERROR(INDEX(PP_Grid[#Data],$DE1706,43),0)</f>
        <v/>
      </c>
      <c r="AU1706">
        <f>IFERROR(INDEX(PP_Grid[#Data],$DE1706,44),0)</f>
        <v/>
      </c>
      <c r="AV1706">
        <f>IFERROR(INDEX(PP_Grid[#Data],$DE1706,45),0)</f>
        <v/>
      </c>
      <c r="AW1706">
        <f>IFERROR(INDEX(PP_Grid[#Data],$DE1706,46),0)</f>
        <v/>
      </c>
      <c r="AX1706">
        <f>IFERROR(INDEX(PP_Grid[#Data],$DE1706,47),0)</f>
        <v/>
      </c>
      <c r="AY1706">
        <f>IFERROR(INDEX(PP_Grid[#Data],$DE1706,48),0)</f>
        <v/>
      </c>
      <c r="AZ1706">
        <f>IFERROR(INDEX(PP_Grid[#Data],$DE1706,49),0)</f>
        <v/>
      </c>
      <c r="BA1706">
        <f>IFERROR(INDEX(PP_Grid[#Data],$DE1706,50),0)</f>
        <v/>
      </c>
      <c r="BB1706">
        <f>IFERROR(INDEX(PP_Grid[#Data],$DE1706,51),0)</f>
        <v/>
      </c>
      <c r="BC1706">
        <f>IFERROR(INDEX(PP_Grid[#Data],$DE1706,52),0)</f>
        <v/>
      </c>
      <c r="BD1706">
        <f>IFERROR(INDEX(PP_Grid[#Data],$DE1706,53),0)</f>
        <v/>
      </c>
      <c r="BE1706">
        <f>IFERROR(INDEX(PP_Grid[#Data],$DE1706,54),0)</f>
        <v/>
      </c>
      <c r="BF1706">
        <f>IFERROR(INDEX(PP_Grid[#Data],$DE1706,55),0)</f>
        <v/>
      </c>
      <c r="BG1706">
        <f>IFERROR(INDEX(PP_Grid[#Data],$DE1706,56),0)</f>
        <v/>
      </c>
      <c r="BH1706">
        <f>IFERROR(INDEX(PP_Grid[#Data],$DE1706,57),0)</f>
        <v/>
      </c>
      <c r="BI1706">
        <f>IFERROR(INDEX(PP_Grid[#Data],$DE1706,58),0)</f>
        <v/>
      </c>
      <c r="BJ1706">
        <f>IFERROR(INDEX(PP_Grid[#Data],$DE1706,59),0)</f>
        <v/>
      </c>
      <c r="BK1706">
        <f>IFERROR(INDEX(PP_Grid[#Data],$DE1706,60),0)</f>
        <v/>
      </c>
      <c r="BL1706">
        <f>IFERROR(INDEX(PP_Grid[#Data],$DE1706,61),0)</f>
        <v/>
      </c>
      <c r="BM1706">
        <f>IFERROR(INDEX(PP_Grid[#Data],$DE1706,62),0)</f>
        <v/>
      </c>
      <c r="BN1706">
        <f>IFERROR(INDEX(PP_Grid[#Data],$DE1706,63),0)</f>
        <v/>
      </c>
      <c r="BO1706">
        <f>IFERROR(INDEX(PP_Grid[#Data],$DE1706,64),0)</f>
        <v/>
      </c>
      <c r="BP1706">
        <f>IFERROR(INDEX(PP_Grid[#Data],$DE1706,65),0)</f>
        <v/>
      </c>
      <c r="BQ1706">
        <f>IFERROR(INDEX(PP_Grid[#Data],$DE1706,66),0)</f>
        <v/>
      </c>
      <c r="BR1706">
        <f>IFERROR(INDEX(PP_Grid[#Data],$DE1706,67),0)</f>
        <v/>
      </c>
      <c r="BS1706">
        <f>IFERROR(INDEX(PP_Grid[#Data],$DE1706,68),0)</f>
        <v/>
      </c>
      <c r="BT1706">
        <f>IFERROR(INDEX(PP_Grid[#Data],$DE1706,69),0)</f>
        <v/>
      </c>
      <c r="BU1706">
        <f>IFERROR(INDEX(PP_Grid[#Data],$DE1706,70),0)</f>
        <v/>
      </c>
      <c r="BV1706">
        <f>IFERROR(INDEX(PP_Grid[#Data],$DE1706,71),0)</f>
        <v/>
      </c>
      <c r="BW1706">
        <f>IFERROR(INDEX(PP_Grid[#Data],$DE1706,72),0)</f>
        <v/>
      </c>
      <c r="BX1706">
        <f>IFERROR(INDEX(PP_Grid[#Data],$DE1706,73),0)</f>
        <v/>
      </c>
      <c r="BY1706">
        <f>IFERROR(INDEX(PP_Grid[#Data],$DE1706,74),0)</f>
        <v/>
      </c>
      <c r="BZ1706">
        <f>IFERROR(INDEX(PP_Grid[#Data],$DE1706,75),0)</f>
        <v/>
      </c>
      <c r="CA1706">
        <f>IFERROR(INDEX(PP_Grid[#Data],$DE1706,76),0)</f>
        <v/>
      </c>
      <c r="CB1706">
        <f>IFERROR(INDEX(PP_Grid[#Data],$DE1706,77),0)</f>
        <v/>
      </c>
      <c r="CC1706">
        <f>IFERROR(INDEX(PP_Grid[#Data],$DE1706,78),0)</f>
        <v/>
      </c>
      <c r="CD1706">
        <f>IFERROR(INDEX(PP_Grid[#Data],$DE1706,79),0)</f>
        <v/>
      </c>
      <c r="CE1706">
        <f>IFERROR(INDEX(PP_Grid[#Data],$DE1706,80),0)</f>
        <v/>
      </c>
      <c r="CF1706">
        <f>IFERROR(INDEX(PP_Grid[#Data],$DE1706,81),0)</f>
        <v/>
      </c>
      <c r="CG1706">
        <f>IFERROR(INDEX(PP_Grid[#Data],$DE1706,82),0)</f>
        <v/>
      </c>
      <c r="CH1706">
        <f>IFERROR(INDEX(PP_Grid[#Data],$DE1706,83),0)</f>
        <v/>
      </c>
      <c r="CI1706">
        <f>IFERROR(INDEX(PP_Grid[#Data],$DE1706,84),0)</f>
        <v/>
      </c>
      <c r="CJ1706">
        <f>IFERROR(INDEX(PP_Grid[#Data],$DE1706,85),0)</f>
        <v/>
      </c>
      <c r="CK1706">
        <f>IFERROR(INDEX(PP_Grid[#Data],$DE1706,86),0)</f>
        <v/>
      </c>
      <c r="CL1706">
        <f>IFERROR(INDEX(PP_Grid[#Data],$DE1706,87),0)</f>
        <v/>
      </c>
      <c r="CM1706">
        <f>IFERROR(INDEX(PP_Grid[#Data],$DE1706,88),0)</f>
        <v/>
      </c>
      <c r="CN1706">
        <f>IFERROR(INDEX(PP_Grid[#Data],$DE1706,89),0)</f>
        <v/>
      </c>
      <c r="CO1706">
        <f>IFERROR(INDEX(PP_Grid[#Data],$DE1706,90),0)</f>
        <v/>
      </c>
      <c r="CP1706">
        <f>IFERROR(INDEX(PP_Grid[#Data],$DE1706,91),0)</f>
        <v/>
      </c>
      <c r="CQ1706">
        <f>IFERROR(INDEX(PP_Grid[#Data],$DE1706,92),0)</f>
        <v/>
      </c>
      <c r="CR1706">
        <f>IFERROR(INDEX(PP_Grid[#Data],$DE1706,93),0)</f>
        <v/>
      </c>
      <c r="CS1706">
        <f>IFERROR(INDEX(PP_Grid[#Data],$DE1706,94),0)</f>
        <v/>
      </c>
      <c r="CT1706">
        <f>IFERROR(INDEX(PP_Grid[#Data],$DE1706,95),0)</f>
        <v/>
      </c>
      <c r="CU1706">
        <f>IFERROR(INDEX(PP_Grid[#Data],$DE1706,96),0)</f>
        <v/>
      </c>
      <c r="CV1706">
        <f>IFERROR(INDEX(PP_Grid[#Data],$DE1706,97),0)</f>
        <v/>
      </c>
      <c r="CW1706">
        <f>IFERROR(INDEX(PP_Grid[#Data],$DE1706,98),0)</f>
        <v/>
      </c>
      <c r="CX1706">
        <f>IFERROR(INDEX(PP_Grid[#Data],$DE1706,99),0)</f>
        <v/>
      </c>
      <c r="CY1706">
        <f>IFERROR(INDEX(PP_Grid[#Data],$DE1706,100),0)</f>
        <v/>
      </c>
      <c r="CZ1706">
        <f>IFERROR(INDEX(PP_Grid[#Data],$DE1706,101),0)</f>
        <v/>
      </c>
      <c r="DA1706">
        <f>IFERROR(INDEX(PP_Grid[#Data],$DE1706,102),0)</f>
        <v/>
      </c>
      <c r="DB1706">
        <f>IFERROR(INDEX(PP_Grid[#Data],$DE1706,103),0)</f>
        <v/>
      </c>
      <c r="DC1706">
        <f>IFERROR(INDEX(PP_Grid[#Data],$DE1706,104),0)</f>
        <v/>
      </c>
      <c r="DD1706">
        <f>IFERROR(INDEX(PP_Grid[#Data],$DE1706,105),0)</f>
        <v/>
      </c>
      <c r="DE1706" s="7">
        <f>IFERROR(MATCH($B1706,PP_Grid[Intermediate],0),99999)</f>
        <v/>
      </c>
    </row>
    <row r="1707">
      <c r="B1707" t="inlineStr">
        <is>
          <t>使用量(kg)</t>
        </is>
      </c>
      <c r="C1707">
        <f>SUMIFS(M_BOM[RM_Qty_Per_Batch],M_BOM[Intermediate],$B1706,M_BOM[RM_Code],$A1705)</f>
        <v/>
      </c>
      <c r="D1707">
        <f>IFERROR(INDEX(E1707:DD1707,$F$1),"")</f>
        <v/>
      </c>
      <c r="E1707">
        <f>$C1707*E1706</f>
        <v/>
      </c>
      <c r="F1707">
        <f>$C1707*F1706</f>
        <v/>
      </c>
      <c r="G1707">
        <f>$C1707*G1706</f>
        <v/>
      </c>
      <c r="H1707">
        <f>$C1707*H1706</f>
        <v/>
      </c>
      <c r="I1707">
        <f>$C1707*I1706</f>
        <v/>
      </c>
      <c r="J1707">
        <f>$C1707*J1706</f>
        <v/>
      </c>
      <c r="K1707">
        <f>$C1707*K1706</f>
        <v/>
      </c>
      <c r="L1707">
        <f>$C1707*L1706</f>
        <v/>
      </c>
      <c r="M1707">
        <f>$C1707*M1706</f>
        <v/>
      </c>
      <c r="N1707">
        <f>$C1707*N1706</f>
        <v/>
      </c>
      <c r="O1707">
        <f>$C1707*O1706</f>
        <v/>
      </c>
      <c r="P1707">
        <f>$C1707*P1706</f>
        <v/>
      </c>
      <c r="Q1707">
        <f>$C1707*Q1706</f>
        <v/>
      </c>
      <c r="R1707">
        <f>$C1707*R1706</f>
        <v/>
      </c>
      <c r="S1707">
        <f>$C1707*S1706</f>
        <v/>
      </c>
      <c r="T1707">
        <f>$C1707*T1706</f>
        <v/>
      </c>
      <c r="U1707">
        <f>$C1707*U1706</f>
        <v/>
      </c>
      <c r="V1707">
        <f>$C1707*V1706</f>
        <v/>
      </c>
      <c r="W1707">
        <f>$C1707*W1706</f>
        <v/>
      </c>
      <c r="X1707">
        <f>$C1707*X1706</f>
        <v/>
      </c>
      <c r="Y1707">
        <f>$C1707*Y1706</f>
        <v/>
      </c>
      <c r="Z1707">
        <f>$C1707*Z1706</f>
        <v/>
      </c>
      <c r="AA1707">
        <f>$C1707*AA1706</f>
        <v/>
      </c>
      <c r="AB1707">
        <f>$C1707*AB1706</f>
        <v/>
      </c>
      <c r="AC1707">
        <f>$C1707*AC1706</f>
        <v/>
      </c>
      <c r="AD1707">
        <f>$C1707*AD1706</f>
        <v/>
      </c>
      <c r="AE1707">
        <f>$C1707*AE1706</f>
        <v/>
      </c>
      <c r="AF1707">
        <f>$C1707*AF1706</f>
        <v/>
      </c>
      <c r="AG1707">
        <f>$C1707*AG1706</f>
        <v/>
      </c>
      <c r="AH1707">
        <f>$C1707*AH1706</f>
        <v/>
      </c>
      <c r="AI1707">
        <f>$C1707*AI1706</f>
        <v/>
      </c>
      <c r="AJ1707">
        <f>$C1707*AJ1706</f>
        <v/>
      </c>
      <c r="AK1707">
        <f>$C1707*AK1706</f>
        <v/>
      </c>
      <c r="AL1707">
        <f>$C1707*AL1706</f>
        <v/>
      </c>
      <c r="AM1707">
        <f>$C1707*AM1706</f>
        <v/>
      </c>
      <c r="AN1707">
        <f>$C1707*AN1706</f>
        <v/>
      </c>
      <c r="AO1707">
        <f>$C1707*AO1706</f>
        <v/>
      </c>
      <c r="AP1707">
        <f>$C1707*AP1706</f>
        <v/>
      </c>
      <c r="AQ1707">
        <f>$C1707*AQ1706</f>
        <v/>
      </c>
      <c r="AR1707">
        <f>$C1707*AR1706</f>
        <v/>
      </c>
      <c r="AS1707">
        <f>$C1707*AS1706</f>
        <v/>
      </c>
      <c r="AT1707">
        <f>$C1707*AT1706</f>
        <v/>
      </c>
      <c r="AU1707">
        <f>$C1707*AU1706</f>
        <v/>
      </c>
      <c r="AV1707">
        <f>$C1707*AV1706</f>
        <v/>
      </c>
      <c r="AW1707">
        <f>$C1707*AW1706</f>
        <v/>
      </c>
      <c r="AX1707">
        <f>$C1707*AX1706</f>
        <v/>
      </c>
      <c r="AY1707">
        <f>$C1707*AY1706</f>
        <v/>
      </c>
      <c r="AZ1707">
        <f>$C1707*AZ1706</f>
        <v/>
      </c>
      <c r="BA1707">
        <f>$C1707*BA1706</f>
        <v/>
      </c>
      <c r="BB1707">
        <f>$C1707*BB1706</f>
        <v/>
      </c>
      <c r="BC1707">
        <f>$C1707*BC1706</f>
        <v/>
      </c>
      <c r="BD1707">
        <f>$C1707*BD1706</f>
        <v/>
      </c>
      <c r="BE1707">
        <f>$C1707*BE1706</f>
        <v/>
      </c>
      <c r="BF1707">
        <f>$C1707*BF1706</f>
        <v/>
      </c>
      <c r="BG1707">
        <f>$C1707*BG1706</f>
        <v/>
      </c>
      <c r="BH1707">
        <f>$C1707*BH1706</f>
        <v/>
      </c>
      <c r="BI1707">
        <f>$C1707*BI1706</f>
        <v/>
      </c>
      <c r="BJ1707">
        <f>$C1707*BJ1706</f>
        <v/>
      </c>
      <c r="BK1707">
        <f>$C1707*BK1706</f>
        <v/>
      </c>
      <c r="BL1707">
        <f>$C1707*BL1706</f>
        <v/>
      </c>
      <c r="BM1707">
        <f>$C1707*BM1706</f>
        <v/>
      </c>
      <c r="BN1707">
        <f>$C1707*BN1706</f>
        <v/>
      </c>
      <c r="BO1707">
        <f>$C1707*BO1706</f>
        <v/>
      </c>
      <c r="BP1707">
        <f>$C1707*BP1706</f>
        <v/>
      </c>
      <c r="BQ1707">
        <f>$C1707*BQ1706</f>
        <v/>
      </c>
      <c r="BR1707">
        <f>$C1707*BR1706</f>
        <v/>
      </c>
      <c r="BS1707">
        <f>$C1707*BS1706</f>
        <v/>
      </c>
      <c r="BT1707">
        <f>$C1707*BT1706</f>
        <v/>
      </c>
      <c r="BU1707">
        <f>$C1707*BU1706</f>
        <v/>
      </c>
      <c r="BV1707">
        <f>$C1707*BV1706</f>
        <v/>
      </c>
      <c r="BW1707">
        <f>$C1707*BW1706</f>
        <v/>
      </c>
      <c r="BX1707">
        <f>$C1707*BX1706</f>
        <v/>
      </c>
      <c r="BY1707">
        <f>$C1707*BY1706</f>
        <v/>
      </c>
      <c r="BZ1707">
        <f>$C1707*BZ1706</f>
        <v/>
      </c>
      <c r="CA1707">
        <f>$C1707*CA1706</f>
        <v/>
      </c>
      <c r="CB1707">
        <f>$C1707*CB1706</f>
        <v/>
      </c>
      <c r="CC1707">
        <f>$C1707*CC1706</f>
        <v/>
      </c>
      <c r="CD1707">
        <f>$C1707*CD1706</f>
        <v/>
      </c>
      <c r="CE1707">
        <f>$C1707*CE1706</f>
        <v/>
      </c>
      <c r="CF1707">
        <f>$C1707*CF1706</f>
        <v/>
      </c>
      <c r="CG1707">
        <f>$C1707*CG1706</f>
        <v/>
      </c>
      <c r="CH1707">
        <f>$C1707*CH1706</f>
        <v/>
      </c>
      <c r="CI1707">
        <f>$C1707*CI1706</f>
        <v/>
      </c>
      <c r="CJ1707">
        <f>$C1707*CJ1706</f>
        <v/>
      </c>
      <c r="CK1707">
        <f>$C1707*CK1706</f>
        <v/>
      </c>
      <c r="CL1707">
        <f>$C1707*CL1706</f>
        <v/>
      </c>
      <c r="CM1707">
        <f>$C1707*CM1706</f>
        <v/>
      </c>
      <c r="CN1707">
        <f>$C1707*CN1706</f>
        <v/>
      </c>
      <c r="CO1707">
        <f>$C1707*CO1706</f>
        <v/>
      </c>
      <c r="CP1707">
        <f>$C1707*CP1706</f>
        <v/>
      </c>
      <c r="CQ1707">
        <f>$C1707*CQ1706</f>
        <v/>
      </c>
      <c r="CR1707">
        <f>$C1707*CR1706</f>
        <v/>
      </c>
      <c r="CS1707">
        <f>$C1707*CS1706</f>
        <v/>
      </c>
      <c r="CT1707">
        <f>$C1707*CT1706</f>
        <v/>
      </c>
      <c r="CU1707">
        <f>$C1707*CU1706</f>
        <v/>
      </c>
      <c r="CV1707">
        <f>$C1707*CV1706</f>
        <v/>
      </c>
      <c r="CW1707">
        <f>$C1707*CW1706</f>
        <v/>
      </c>
      <c r="CX1707">
        <f>$C1707*CX1706</f>
        <v/>
      </c>
      <c r="CY1707">
        <f>$C1707*CY1706</f>
        <v/>
      </c>
      <c r="CZ1707">
        <f>$C1707*CZ1706</f>
        <v/>
      </c>
      <c r="DA1707">
        <f>$C1707*DA1706</f>
        <v/>
      </c>
      <c r="DB1707">
        <f>$C1707*DB1706</f>
        <v/>
      </c>
      <c r="DC1707">
        <f>$C1707*DC1706</f>
        <v/>
      </c>
      <c r="DD1707">
        <f>$C1707*DD1706</f>
        <v/>
      </c>
    </row>
    <row r="1708">
      <c r="B1708" s="4" t="inlineStr">
        <is>
          <t>合計使用量(kg)/週</t>
        </is>
      </c>
      <c r="D1708" s="23">
        <f>IFERROR(INDEX(E1708:DD1708,$F$1),"")</f>
        <v/>
      </c>
      <c r="E1708">
        <f>'Grid_Requirement'!B62</f>
        <v/>
      </c>
      <c r="F1708">
        <f>'Grid_Requirement'!C62</f>
        <v/>
      </c>
      <c r="G1708">
        <f>'Grid_Requirement'!D62</f>
        <v/>
      </c>
      <c r="H1708">
        <f>'Grid_Requirement'!E62</f>
        <v/>
      </c>
      <c r="I1708">
        <f>'Grid_Requirement'!F62</f>
        <v/>
      </c>
      <c r="J1708">
        <f>'Grid_Requirement'!G62</f>
        <v/>
      </c>
      <c r="K1708">
        <f>'Grid_Requirement'!H62</f>
        <v/>
      </c>
      <c r="L1708">
        <f>'Grid_Requirement'!I62</f>
        <v/>
      </c>
      <c r="M1708">
        <f>'Grid_Requirement'!J62</f>
        <v/>
      </c>
      <c r="N1708">
        <f>'Grid_Requirement'!K62</f>
        <v/>
      </c>
      <c r="O1708">
        <f>'Grid_Requirement'!L62</f>
        <v/>
      </c>
      <c r="P1708">
        <f>'Grid_Requirement'!M62</f>
        <v/>
      </c>
      <c r="Q1708">
        <f>'Grid_Requirement'!N62</f>
        <v/>
      </c>
      <c r="R1708">
        <f>'Grid_Requirement'!O62</f>
        <v/>
      </c>
      <c r="S1708">
        <f>'Grid_Requirement'!P62</f>
        <v/>
      </c>
      <c r="T1708">
        <f>'Grid_Requirement'!Q62</f>
        <v/>
      </c>
      <c r="U1708">
        <f>'Grid_Requirement'!R62</f>
        <v/>
      </c>
      <c r="V1708">
        <f>'Grid_Requirement'!S62</f>
        <v/>
      </c>
      <c r="W1708">
        <f>'Grid_Requirement'!T62</f>
        <v/>
      </c>
      <c r="X1708">
        <f>'Grid_Requirement'!U62</f>
        <v/>
      </c>
      <c r="Y1708">
        <f>'Grid_Requirement'!V62</f>
        <v/>
      </c>
      <c r="Z1708">
        <f>'Grid_Requirement'!W62</f>
        <v/>
      </c>
      <c r="AA1708">
        <f>'Grid_Requirement'!X62</f>
        <v/>
      </c>
      <c r="AB1708">
        <f>'Grid_Requirement'!Y62</f>
        <v/>
      </c>
      <c r="AC1708">
        <f>'Grid_Requirement'!Z62</f>
        <v/>
      </c>
      <c r="AD1708">
        <f>'Grid_Requirement'!AA62</f>
        <v/>
      </c>
      <c r="AE1708">
        <f>'Grid_Requirement'!AB62</f>
        <v/>
      </c>
      <c r="AF1708">
        <f>'Grid_Requirement'!AC62</f>
        <v/>
      </c>
      <c r="AG1708">
        <f>'Grid_Requirement'!AD62</f>
        <v/>
      </c>
      <c r="AH1708">
        <f>'Grid_Requirement'!AE62</f>
        <v/>
      </c>
      <c r="AI1708">
        <f>'Grid_Requirement'!AF62</f>
        <v/>
      </c>
      <c r="AJ1708">
        <f>'Grid_Requirement'!AG62</f>
        <v/>
      </c>
      <c r="AK1708">
        <f>'Grid_Requirement'!AH62</f>
        <v/>
      </c>
      <c r="AL1708">
        <f>'Grid_Requirement'!AI62</f>
        <v/>
      </c>
      <c r="AM1708">
        <f>'Grid_Requirement'!AJ62</f>
        <v/>
      </c>
      <c r="AN1708">
        <f>'Grid_Requirement'!AK62</f>
        <v/>
      </c>
      <c r="AO1708">
        <f>'Grid_Requirement'!AL62</f>
        <v/>
      </c>
      <c r="AP1708">
        <f>'Grid_Requirement'!AM62</f>
        <v/>
      </c>
      <c r="AQ1708">
        <f>'Grid_Requirement'!AN62</f>
        <v/>
      </c>
      <c r="AR1708">
        <f>'Grid_Requirement'!AO62</f>
        <v/>
      </c>
      <c r="AS1708">
        <f>'Grid_Requirement'!AP62</f>
        <v/>
      </c>
      <c r="AT1708">
        <f>'Grid_Requirement'!AQ62</f>
        <v/>
      </c>
      <c r="AU1708">
        <f>'Grid_Requirement'!AR62</f>
        <v/>
      </c>
      <c r="AV1708">
        <f>'Grid_Requirement'!AS62</f>
        <v/>
      </c>
      <c r="AW1708">
        <f>'Grid_Requirement'!AT62</f>
        <v/>
      </c>
      <c r="AX1708">
        <f>'Grid_Requirement'!AU62</f>
        <v/>
      </c>
      <c r="AY1708">
        <f>'Grid_Requirement'!AV62</f>
        <v/>
      </c>
      <c r="AZ1708">
        <f>'Grid_Requirement'!AW62</f>
        <v/>
      </c>
      <c r="BA1708">
        <f>'Grid_Requirement'!AX62</f>
        <v/>
      </c>
      <c r="BB1708">
        <f>'Grid_Requirement'!AY62</f>
        <v/>
      </c>
      <c r="BC1708">
        <f>'Grid_Requirement'!AZ62</f>
        <v/>
      </c>
      <c r="BD1708">
        <f>'Grid_Requirement'!BA62</f>
        <v/>
      </c>
      <c r="BE1708">
        <f>'Grid_Requirement'!BB62</f>
        <v/>
      </c>
      <c r="BF1708">
        <f>'Grid_Requirement'!BC62</f>
        <v/>
      </c>
      <c r="BG1708">
        <f>'Grid_Requirement'!BD62</f>
        <v/>
      </c>
      <c r="BH1708">
        <f>'Grid_Requirement'!BE62</f>
        <v/>
      </c>
      <c r="BI1708">
        <f>'Grid_Requirement'!BF62</f>
        <v/>
      </c>
      <c r="BJ1708">
        <f>'Grid_Requirement'!BG62</f>
        <v/>
      </c>
      <c r="BK1708">
        <f>'Grid_Requirement'!BH62</f>
        <v/>
      </c>
      <c r="BL1708">
        <f>'Grid_Requirement'!BI62</f>
        <v/>
      </c>
      <c r="BM1708">
        <f>'Grid_Requirement'!BJ62</f>
        <v/>
      </c>
      <c r="BN1708">
        <f>'Grid_Requirement'!BK62</f>
        <v/>
      </c>
      <c r="BO1708">
        <f>'Grid_Requirement'!BL62</f>
        <v/>
      </c>
      <c r="BP1708">
        <f>'Grid_Requirement'!BM62</f>
        <v/>
      </c>
      <c r="BQ1708">
        <f>'Grid_Requirement'!BN62</f>
        <v/>
      </c>
      <c r="BR1708">
        <f>'Grid_Requirement'!BO62</f>
        <v/>
      </c>
      <c r="BS1708">
        <f>'Grid_Requirement'!BP62</f>
        <v/>
      </c>
      <c r="BT1708">
        <f>'Grid_Requirement'!BQ62</f>
        <v/>
      </c>
      <c r="BU1708">
        <f>'Grid_Requirement'!BR62</f>
        <v/>
      </c>
      <c r="BV1708">
        <f>'Grid_Requirement'!BS62</f>
        <v/>
      </c>
      <c r="BW1708">
        <f>'Grid_Requirement'!BT62</f>
        <v/>
      </c>
      <c r="BX1708">
        <f>'Grid_Requirement'!BU62</f>
        <v/>
      </c>
      <c r="BY1708">
        <f>'Grid_Requirement'!BV62</f>
        <v/>
      </c>
      <c r="BZ1708">
        <f>'Grid_Requirement'!BW62</f>
        <v/>
      </c>
      <c r="CA1708">
        <f>'Grid_Requirement'!BX62</f>
        <v/>
      </c>
      <c r="CB1708">
        <f>'Grid_Requirement'!BY62</f>
        <v/>
      </c>
      <c r="CC1708">
        <f>'Grid_Requirement'!BZ62</f>
        <v/>
      </c>
      <c r="CD1708">
        <f>'Grid_Requirement'!CA62</f>
        <v/>
      </c>
      <c r="CE1708">
        <f>'Grid_Requirement'!CB62</f>
        <v/>
      </c>
      <c r="CF1708">
        <f>'Grid_Requirement'!CC62</f>
        <v/>
      </c>
      <c r="CG1708">
        <f>'Grid_Requirement'!CD62</f>
        <v/>
      </c>
      <c r="CH1708">
        <f>'Grid_Requirement'!CE62</f>
        <v/>
      </c>
      <c r="CI1708">
        <f>'Grid_Requirement'!CF62</f>
        <v/>
      </c>
      <c r="CJ1708">
        <f>'Grid_Requirement'!CG62</f>
        <v/>
      </c>
      <c r="CK1708">
        <f>'Grid_Requirement'!CH62</f>
        <v/>
      </c>
      <c r="CL1708">
        <f>'Grid_Requirement'!CI62</f>
        <v/>
      </c>
      <c r="CM1708">
        <f>'Grid_Requirement'!CJ62</f>
        <v/>
      </c>
      <c r="CN1708">
        <f>'Grid_Requirement'!CK62</f>
        <v/>
      </c>
      <c r="CO1708">
        <f>'Grid_Requirement'!CL62</f>
        <v/>
      </c>
      <c r="CP1708">
        <f>'Grid_Requirement'!CM62</f>
        <v/>
      </c>
      <c r="CQ1708">
        <f>'Grid_Requirement'!CN62</f>
        <v/>
      </c>
      <c r="CR1708">
        <f>'Grid_Requirement'!CO62</f>
        <v/>
      </c>
      <c r="CS1708">
        <f>'Grid_Requirement'!CP62</f>
        <v/>
      </c>
      <c r="CT1708">
        <f>'Grid_Requirement'!CQ62</f>
        <v/>
      </c>
      <c r="CU1708">
        <f>'Grid_Requirement'!CR62</f>
        <v/>
      </c>
      <c r="CV1708">
        <f>'Grid_Requirement'!CS62</f>
        <v/>
      </c>
      <c r="CW1708">
        <f>'Grid_Requirement'!CT62</f>
        <v/>
      </c>
      <c r="CX1708">
        <f>'Grid_Requirement'!CU62</f>
        <v/>
      </c>
      <c r="CY1708">
        <f>'Grid_Requirement'!CV62</f>
        <v/>
      </c>
      <c r="CZ1708">
        <f>'Grid_Requirement'!CW62</f>
        <v/>
      </c>
      <c r="DA1708">
        <f>'Grid_Requirement'!CX62</f>
        <v/>
      </c>
      <c r="DB1708">
        <f>'Grid_Requirement'!CY62</f>
        <v/>
      </c>
      <c r="DC1708">
        <f>'Grid_Requirement'!CZ62</f>
        <v/>
      </c>
      <c r="DD1708">
        <f>'Grid_Requirement'!DA62</f>
        <v/>
      </c>
    </row>
    <row r="1709">
      <c r="B1709" t="inlineStr">
        <is>
          <t>TTAF在庫(実績,kg)</t>
        </is>
      </c>
      <c r="D1709">
        <f>IFERROR(INDEX(E1709:DD1709,$F$1),"")</f>
        <v/>
      </c>
      <c r="E1709">
        <f>IFERROR(SUMIFS(T_TTAFStock[TTAF_Qty],T_TTAFStock[RM_Code],$A1705,T_TTAFStock[WeekIndex],1),"")</f>
        <v/>
      </c>
      <c r="F1709">
        <f>IFERROR(SUMIFS(T_TTAFStock[TTAF_Qty],T_TTAFStock[RM_Code],$A1705,T_TTAFStock[WeekIndex],2),"")</f>
        <v/>
      </c>
      <c r="G1709">
        <f>IFERROR(SUMIFS(T_TTAFStock[TTAF_Qty],T_TTAFStock[RM_Code],$A1705,T_TTAFStock[WeekIndex],3),"")</f>
        <v/>
      </c>
      <c r="H1709">
        <f>IFERROR(SUMIFS(T_TTAFStock[TTAF_Qty],T_TTAFStock[RM_Code],$A1705,T_TTAFStock[WeekIndex],4),"")</f>
        <v/>
      </c>
      <c r="I1709">
        <f>IFERROR(SUMIFS(T_TTAFStock[TTAF_Qty],T_TTAFStock[RM_Code],$A1705,T_TTAFStock[WeekIndex],5),"")</f>
        <v/>
      </c>
      <c r="J1709">
        <f>IFERROR(SUMIFS(T_TTAFStock[TTAF_Qty],T_TTAFStock[RM_Code],$A1705,T_TTAFStock[WeekIndex],6),"")</f>
        <v/>
      </c>
      <c r="K1709">
        <f>IFERROR(SUMIFS(T_TTAFStock[TTAF_Qty],T_TTAFStock[RM_Code],$A1705,T_TTAFStock[WeekIndex],7),"")</f>
        <v/>
      </c>
      <c r="L1709">
        <f>IFERROR(SUMIFS(T_TTAFStock[TTAF_Qty],T_TTAFStock[RM_Code],$A1705,T_TTAFStock[WeekIndex],8),"")</f>
        <v/>
      </c>
      <c r="M1709">
        <f>IFERROR(SUMIFS(T_TTAFStock[TTAF_Qty],T_TTAFStock[RM_Code],$A1705,T_TTAFStock[WeekIndex],9),"")</f>
        <v/>
      </c>
      <c r="N1709">
        <f>IFERROR(SUMIFS(T_TTAFStock[TTAF_Qty],T_TTAFStock[RM_Code],$A1705,T_TTAFStock[WeekIndex],10),"")</f>
        <v/>
      </c>
      <c r="O1709">
        <f>IFERROR(SUMIFS(T_TTAFStock[TTAF_Qty],T_TTAFStock[RM_Code],$A1705,T_TTAFStock[WeekIndex],11),"")</f>
        <v/>
      </c>
      <c r="P1709">
        <f>IFERROR(SUMIFS(T_TTAFStock[TTAF_Qty],T_TTAFStock[RM_Code],$A1705,T_TTAFStock[WeekIndex],12),"")</f>
        <v/>
      </c>
      <c r="Q1709">
        <f>IFERROR(SUMIFS(T_TTAFStock[TTAF_Qty],T_TTAFStock[RM_Code],$A1705,T_TTAFStock[WeekIndex],13),"")</f>
        <v/>
      </c>
      <c r="R1709">
        <f>IFERROR(SUMIFS(T_TTAFStock[TTAF_Qty],T_TTAFStock[RM_Code],$A1705,T_TTAFStock[WeekIndex],14),"")</f>
        <v/>
      </c>
      <c r="S1709">
        <f>IFERROR(SUMIFS(T_TTAFStock[TTAF_Qty],T_TTAFStock[RM_Code],$A1705,T_TTAFStock[WeekIndex],15),"")</f>
        <v/>
      </c>
      <c r="T1709">
        <f>IFERROR(SUMIFS(T_TTAFStock[TTAF_Qty],T_TTAFStock[RM_Code],$A1705,T_TTAFStock[WeekIndex],16),"")</f>
        <v/>
      </c>
      <c r="U1709">
        <f>IFERROR(SUMIFS(T_TTAFStock[TTAF_Qty],T_TTAFStock[RM_Code],$A1705,T_TTAFStock[WeekIndex],17),"")</f>
        <v/>
      </c>
      <c r="V1709">
        <f>IFERROR(SUMIFS(T_TTAFStock[TTAF_Qty],T_TTAFStock[RM_Code],$A1705,T_TTAFStock[WeekIndex],18),"")</f>
        <v/>
      </c>
      <c r="W1709">
        <f>IFERROR(SUMIFS(T_TTAFStock[TTAF_Qty],T_TTAFStock[RM_Code],$A1705,T_TTAFStock[WeekIndex],19),"")</f>
        <v/>
      </c>
      <c r="X1709">
        <f>IFERROR(SUMIFS(T_TTAFStock[TTAF_Qty],T_TTAFStock[RM_Code],$A1705,T_TTAFStock[WeekIndex],20),"")</f>
        <v/>
      </c>
      <c r="Y1709">
        <f>IFERROR(SUMIFS(T_TTAFStock[TTAF_Qty],T_TTAFStock[RM_Code],$A1705,T_TTAFStock[WeekIndex],21),"")</f>
        <v/>
      </c>
      <c r="Z1709">
        <f>IFERROR(SUMIFS(T_TTAFStock[TTAF_Qty],T_TTAFStock[RM_Code],$A1705,T_TTAFStock[WeekIndex],22),"")</f>
        <v/>
      </c>
      <c r="AA1709">
        <f>IFERROR(SUMIFS(T_TTAFStock[TTAF_Qty],T_TTAFStock[RM_Code],$A1705,T_TTAFStock[WeekIndex],23),"")</f>
        <v/>
      </c>
      <c r="AB1709">
        <f>IFERROR(SUMIFS(T_TTAFStock[TTAF_Qty],T_TTAFStock[RM_Code],$A1705,T_TTAFStock[WeekIndex],24),"")</f>
        <v/>
      </c>
      <c r="AC1709">
        <f>IFERROR(SUMIFS(T_TTAFStock[TTAF_Qty],T_TTAFStock[RM_Code],$A1705,T_TTAFStock[WeekIndex],25),"")</f>
        <v/>
      </c>
      <c r="AD1709">
        <f>IFERROR(SUMIFS(T_TTAFStock[TTAF_Qty],T_TTAFStock[RM_Code],$A1705,T_TTAFStock[WeekIndex],26),"")</f>
        <v/>
      </c>
      <c r="AE1709">
        <f>IFERROR(SUMIFS(T_TTAFStock[TTAF_Qty],T_TTAFStock[RM_Code],$A1705,T_TTAFStock[WeekIndex],27),"")</f>
        <v/>
      </c>
      <c r="AF1709">
        <f>IFERROR(SUMIFS(T_TTAFStock[TTAF_Qty],T_TTAFStock[RM_Code],$A1705,T_TTAFStock[WeekIndex],28),"")</f>
        <v/>
      </c>
      <c r="AG1709">
        <f>IFERROR(SUMIFS(T_TTAFStock[TTAF_Qty],T_TTAFStock[RM_Code],$A1705,T_TTAFStock[WeekIndex],29),"")</f>
        <v/>
      </c>
      <c r="AH1709">
        <f>IFERROR(SUMIFS(T_TTAFStock[TTAF_Qty],T_TTAFStock[RM_Code],$A1705,T_TTAFStock[WeekIndex],30),"")</f>
        <v/>
      </c>
      <c r="AI1709">
        <f>IFERROR(SUMIFS(T_TTAFStock[TTAF_Qty],T_TTAFStock[RM_Code],$A1705,T_TTAFStock[WeekIndex],31),"")</f>
        <v/>
      </c>
      <c r="AJ1709">
        <f>IFERROR(SUMIFS(T_TTAFStock[TTAF_Qty],T_TTAFStock[RM_Code],$A1705,T_TTAFStock[WeekIndex],32),"")</f>
        <v/>
      </c>
      <c r="AK1709">
        <f>IFERROR(SUMIFS(T_TTAFStock[TTAF_Qty],T_TTAFStock[RM_Code],$A1705,T_TTAFStock[WeekIndex],33),"")</f>
        <v/>
      </c>
      <c r="AL1709">
        <f>IFERROR(SUMIFS(T_TTAFStock[TTAF_Qty],T_TTAFStock[RM_Code],$A1705,T_TTAFStock[WeekIndex],34),"")</f>
        <v/>
      </c>
      <c r="AM1709">
        <f>IFERROR(SUMIFS(T_TTAFStock[TTAF_Qty],T_TTAFStock[RM_Code],$A1705,T_TTAFStock[WeekIndex],35),"")</f>
        <v/>
      </c>
      <c r="AN1709">
        <f>IFERROR(SUMIFS(T_TTAFStock[TTAF_Qty],T_TTAFStock[RM_Code],$A1705,T_TTAFStock[WeekIndex],36),"")</f>
        <v/>
      </c>
      <c r="AO1709">
        <f>IFERROR(SUMIFS(T_TTAFStock[TTAF_Qty],T_TTAFStock[RM_Code],$A1705,T_TTAFStock[WeekIndex],37),"")</f>
        <v/>
      </c>
      <c r="AP1709">
        <f>IFERROR(SUMIFS(T_TTAFStock[TTAF_Qty],T_TTAFStock[RM_Code],$A1705,T_TTAFStock[WeekIndex],38),"")</f>
        <v/>
      </c>
      <c r="AQ1709">
        <f>IFERROR(SUMIFS(T_TTAFStock[TTAF_Qty],T_TTAFStock[RM_Code],$A1705,T_TTAFStock[WeekIndex],39),"")</f>
        <v/>
      </c>
      <c r="AR1709">
        <f>IFERROR(SUMIFS(T_TTAFStock[TTAF_Qty],T_TTAFStock[RM_Code],$A1705,T_TTAFStock[WeekIndex],40),"")</f>
        <v/>
      </c>
      <c r="AS1709">
        <f>IFERROR(SUMIFS(T_TTAFStock[TTAF_Qty],T_TTAFStock[RM_Code],$A1705,T_TTAFStock[WeekIndex],41),"")</f>
        <v/>
      </c>
      <c r="AT1709">
        <f>IFERROR(SUMIFS(T_TTAFStock[TTAF_Qty],T_TTAFStock[RM_Code],$A1705,T_TTAFStock[WeekIndex],42),"")</f>
        <v/>
      </c>
      <c r="AU1709">
        <f>IFERROR(SUMIFS(T_TTAFStock[TTAF_Qty],T_TTAFStock[RM_Code],$A1705,T_TTAFStock[WeekIndex],43),"")</f>
        <v/>
      </c>
      <c r="AV1709">
        <f>IFERROR(SUMIFS(T_TTAFStock[TTAF_Qty],T_TTAFStock[RM_Code],$A1705,T_TTAFStock[WeekIndex],44),"")</f>
        <v/>
      </c>
      <c r="AW1709">
        <f>IFERROR(SUMIFS(T_TTAFStock[TTAF_Qty],T_TTAFStock[RM_Code],$A1705,T_TTAFStock[WeekIndex],45),"")</f>
        <v/>
      </c>
      <c r="AX1709">
        <f>IFERROR(SUMIFS(T_TTAFStock[TTAF_Qty],T_TTAFStock[RM_Code],$A1705,T_TTAFStock[WeekIndex],46),"")</f>
        <v/>
      </c>
      <c r="AY1709">
        <f>IFERROR(SUMIFS(T_TTAFStock[TTAF_Qty],T_TTAFStock[RM_Code],$A1705,T_TTAFStock[WeekIndex],47),"")</f>
        <v/>
      </c>
      <c r="AZ1709">
        <f>IFERROR(SUMIFS(T_TTAFStock[TTAF_Qty],T_TTAFStock[RM_Code],$A1705,T_TTAFStock[WeekIndex],48),"")</f>
        <v/>
      </c>
      <c r="BA1709">
        <f>IFERROR(SUMIFS(T_TTAFStock[TTAF_Qty],T_TTAFStock[RM_Code],$A1705,T_TTAFStock[WeekIndex],49),"")</f>
        <v/>
      </c>
      <c r="BB1709">
        <f>IFERROR(SUMIFS(T_TTAFStock[TTAF_Qty],T_TTAFStock[RM_Code],$A1705,T_TTAFStock[WeekIndex],50),"")</f>
        <v/>
      </c>
      <c r="BC1709">
        <f>IFERROR(SUMIFS(T_TTAFStock[TTAF_Qty],T_TTAFStock[RM_Code],$A1705,T_TTAFStock[WeekIndex],51),"")</f>
        <v/>
      </c>
      <c r="BD1709">
        <f>IFERROR(SUMIFS(T_TTAFStock[TTAF_Qty],T_TTAFStock[RM_Code],$A1705,T_TTAFStock[WeekIndex],52),"")</f>
        <v/>
      </c>
      <c r="BE1709">
        <f>IFERROR(SUMIFS(T_TTAFStock[TTAF_Qty],T_TTAFStock[RM_Code],$A1705,T_TTAFStock[WeekIndex],53),"")</f>
        <v/>
      </c>
      <c r="BF1709">
        <f>IFERROR(SUMIFS(T_TTAFStock[TTAF_Qty],T_TTAFStock[RM_Code],$A1705,T_TTAFStock[WeekIndex],54),"")</f>
        <v/>
      </c>
      <c r="BG1709">
        <f>IFERROR(SUMIFS(T_TTAFStock[TTAF_Qty],T_TTAFStock[RM_Code],$A1705,T_TTAFStock[WeekIndex],55),"")</f>
        <v/>
      </c>
      <c r="BH1709">
        <f>IFERROR(SUMIFS(T_TTAFStock[TTAF_Qty],T_TTAFStock[RM_Code],$A1705,T_TTAFStock[WeekIndex],56),"")</f>
        <v/>
      </c>
      <c r="BI1709">
        <f>IFERROR(SUMIFS(T_TTAFStock[TTAF_Qty],T_TTAFStock[RM_Code],$A1705,T_TTAFStock[WeekIndex],57),"")</f>
        <v/>
      </c>
      <c r="BJ1709">
        <f>IFERROR(SUMIFS(T_TTAFStock[TTAF_Qty],T_TTAFStock[RM_Code],$A1705,T_TTAFStock[WeekIndex],58),"")</f>
        <v/>
      </c>
      <c r="BK1709">
        <f>IFERROR(SUMIFS(T_TTAFStock[TTAF_Qty],T_TTAFStock[RM_Code],$A1705,T_TTAFStock[WeekIndex],59),"")</f>
        <v/>
      </c>
      <c r="BL1709">
        <f>IFERROR(SUMIFS(T_TTAFStock[TTAF_Qty],T_TTAFStock[RM_Code],$A1705,T_TTAFStock[WeekIndex],60),"")</f>
        <v/>
      </c>
      <c r="BM1709">
        <f>IFERROR(SUMIFS(T_TTAFStock[TTAF_Qty],T_TTAFStock[RM_Code],$A1705,T_TTAFStock[WeekIndex],61),"")</f>
        <v/>
      </c>
      <c r="BN1709">
        <f>IFERROR(SUMIFS(T_TTAFStock[TTAF_Qty],T_TTAFStock[RM_Code],$A1705,T_TTAFStock[WeekIndex],62),"")</f>
        <v/>
      </c>
      <c r="BO1709">
        <f>IFERROR(SUMIFS(T_TTAFStock[TTAF_Qty],T_TTAFStock[RM_Code],$A1705,T_TTAFStock[WeekIndex],63),"")</f>
        <v/>
      </c>
      <c r="BP1709">
        <f>IFERROR(SUMIFS(T_TTAFStock[TTAF_Qty],T_TTAFStock[RM_Code],$A1705,T_TTAFStock[WeekIndex],64),"")</f>
        <v/>
      </c>
      <c r="BQ1709">
        <f>IFERROR(SUMIFS(T_TTAFStock[TTAF_Qty],T_TTAFStock[RM_Code],$A1705,T_TTAFStock[WeekIndex],65),"")</f>
        <v/>
      </c>
      <c r="BR1709">
        <f>IFERROR(SUMIFS(T_TTAFStock[TTAF_Qty],T_TTAFStock[RM_Code],$A1705,T_TTAFStock[WeekIndex],66),"")</f>
        <v/>
      </c>
      <c r="BS1709">
        <f>IFERROR(SUMIFS(T_TTAFStock[TTAF_Qty],T_TTAFStock[RM_Code],$A1705,T_TTAFStock[WeekIndex],67),"")</f>
        <v/>
      </c>
      <c r="BT1709">
        <f>IFERROR(SUMIFS(T_TTAFStock[TTAF_Qty],T_TTAFStock[RM_Code],$A1705,T_TTAFStock[WeekIndex],68),"")</f>
        <v/>
      </c>
      <c r="BU1709">
        <f>IFERROR(SUMIFS(T_TTAFStock[TTAF_Qty],T_TTAFStock[RM_Code],$A1705,T_TTAFStock[WeekIndex],69),"")</f>
        <v/>
      </c>
      <c r="BV1709">
        <f>IFERROR(SUMIFS(T_TTAFStock[TTAF_Qty],T_TTAFStock[RM_Code],$A1705,T_TTAFStock[WeekIndex],70),"")</f>
        <v/>
      </c>
      <c r="BW1709">
        <f>IFERROR(SUMIFS(T_TTAFStock[TTAF_Qty],T_TTAFStock[RM_Code],$A1705,T_TTAFStock[WeekIndex],71),"")</f>
        <v/>
      </c>
      <c r="BX1709">
        <f>IFERROR(SUMIFS(T_TTAFStock[TTAF_Qty],T_TTAFStock[RM_Code],$A1705,T_TTAFStock[WeekIndex],72),"")</f>
        <v/>
      </c>
      <c r="BY1709">
        <f>IFERROR(SUMIFS(T_TTAFStock[TTAF_Qty],T_TTAFStock[RM_Code],$A1705,T_TTAFStock[WeekIndex],73),"")</f>
        <v/>
      </c>
      <c r="BZ1709">
        <f>IFERROR(SUMIFS(T_TTAFStock[TTAF_Qty],T_TTAFStock[RM_Code],$A1705,T_TTAFStock[WeekIndex],74),"")</f>
        <v/>
      </c>
      <c r="CA1709">
        <f>IFERROR(SUMIFS(T_TTAFStock[TTAF_Qty],T_TTAFStock[RM_Code],$A1705,T_TTAFStock[WeekIndex],75),"")</f>
        <v/>
      </c>
      <c r="CB1709">
        <f>IFERROR(SUMIFS(T_TTAFStock[TTAF_Qty],T_TTAFStock[RM_Code],$A1705,T_TTAFStock[WeekIndex],76),"")</f>
        <v/>
      </c>
      <c r="CC1709">
        <f>IFERROR(SUMIFS(T_TTAFStock[TTAF_Qty],T_TTAFStock[RM_Code],$A1705,T_TTAFStock[WeekIndex],77),"")</f>
        <v/>
      </c>
      <c r="CD1709">
        <f>IFERROR(SUMIFS(T_TTAFStock[TTAF_Qty],T_TTAFStock[RM_Code],$A1705,T_TTAFStock[WeekIndex],78),"")</f>
        <v/>
      </c>
      <c r="CE1709">
        <f>IFERROR(SUMIFS(T_TTAFStock[TTAF_Qty],T_TTAFStock[RM_Code],$A1705,T_TTAFStock[WeekIndex],79),"")</f>
        <v/>
      </c>
      <c r="CF1709">
        <f>IFERROR(SUMIFS(T_TTAFStock[TTAF_Qty],T_TTAFStock[RM_Code],$A1705,T_TTAFStock[WeekIndex],80),"")</f>
        <v/>
      </c>
      <c r="CG1709">
        <f>IFERROR(SUMIFS(T_TTAFStock[TTAF_Qty],T_TTAFStock[RM_Code],$A1705,T_TTAFStock[WeekIndex],81),"")</f>
        <v/>
      </c>
      <c r="CH1709">
        <f>IFERROR(SUMIFS(T_TTAFStock[TTAF_Qty],T_TTAFStock[RM_Code],$A1705,T_TTAFStock[WeekIndex],82),"")</f>
        <v/>
      </c>
      <c r="CI1709">
        <f>IFERROR(SUMIFS(T_TTAFStock[TTAF_Qty],T_TTAFStock[RM_Code],$A1705,T_TTAFStock[WeekIndex],83),"")</f>
        <v/>
      </c>
      <c r="CJ1709">
        <f>IFERROR(SUMIFS(T_TTAFStock[TTAF_Qty],T_TTAFStock[RM_Code],$A1705,T_TTAFStock[WeekIndex],84),"")</f>
        <v/>
      </c>
      <c r="CK1709">
        <f>IFERROR(SUMIFS(T_TTAFStock[TTAF_Qty],T_TTAFStock[RM_Code],$A1705,T_TTAFStock[WeekIndex],85),"")</f>
        <v/>
      </c>
      <c r="CL1709">
        <f>IFERROR(SUMIFS(T_TTAFStock[TTAF_Qty],T_TTAFStock[RM_Code],$A1705,T_TTAFStock[WeekIndex],86),"")</f>
        <v/>
      </c>
      <c r="CM1709">
        <f>IFERROR(SUMIFS(T_TTAFStock[TTAF_Qty],T_TTAFStock[RM_Code],$A1705,T_TTAFStock[WeekIndex],87),"")</f>
        <v/>
      </c>
      <c r="CN1709">
        <f>IFERROR(SUMIFS(T_TTAFStock[TTAF_Qty],T_TTAFStock[RM_Code],$A1705,T_TTAFStock[WeekIndex],88),"")</f>
        <v/>
      </c>
      <c r="CO1709">
        <f>IFERROR(SUMIFS(T_TTAFStock[TTAF_Qty],T_TTAFStock[RM_Code],$A1705,T_TTAFStock[WeekIndex],89),"")</f>
        <v/>
      </c>
      <c r="CP1709">
        <f>IFERROR(SUMIFS(T_TTAFStock[TTAF_Qty],T_TTAFStock[RM_Code],$A1705,T_TTAFStock[WeekIndex],90),"")</f>
        <v/>
      </c>
      <c r="CQ1709">
        <f>IFERROR(SUMIFS(T_TTAFStock[TTAF_Qty],T_TTAFStock[RM_Code],$A1705,T_TTAFStock[WeekIndex],91),"")</f>
        <v/>
      </c>
      <c r="CR1709">
        <f>IFERROR(SUMIFS(T_TTAFStock[TTAF_Qty],T_TTAFStock[RM_Code],$A1705,T_TTAFStock[WeekIndex],92),"")</f>
        <v/>
      </c>
      <c r="CS1709">
        <f>IFERROR(SUMIFS(T_TTAFStock[TTAF_Qty],T_TTAFStock[RM_Code],$A1705,T_TTAFStock[WeekIndex],93),"")</f>
        <v/>
      </c>
      <c r="CT1709">
        <f>IFERROR(SUMIFS(T_TTAFStock[TTAF_Qty],T_TTAFStock[RM_Code],$A1705,T_TTAFStock[WeekIndex],94),"")</f>
        <v/>
      </c>
      <c r="CU1709">
        <f>IFERROR(SUMIFS(T_TTAFStock[TTAF_Qty],T_TTAFStock[RM_Code],$A1705,T_TTAFStock[WeekIndex],95),"")</f>
        <v/>
      </c>
      <c r="CV1709">
        <f>IFERROR(SUMIFS(T_TTAFStock[TTAF_Qty],T_TTAFStock[RM_Code],$A1705,T_TTAFStock[WeekIndex],96),"")</f>
        <v/>
      </c>
      <c r="CW1709">
        <f>IFERROR(SUMIFS(T_TTAFStock[TTAF_Qty],T_TTAFStock[RM_Code],$A1705,T_TTAFStock[WeekIndex],97),"")</f>
        <v/>
      </c>
      <c r="CX1709">
        <f>IFERROR(SUMIFS(T_TTAFStock[TTAF_Qty],T_TTAFStock[RM_Code],$A1705,T_TTAFStock[WeekIndex],98),"")</f>
        <v/>
      </c>
      <c r="CY1709">
        <f>IFERROR(SUMIFS(T_TTAFStock[TTAF_Qty],T_TTAFStock[RM_Code],$A1705,T_TTAFStock[WeekIndex],99),"")</f>
        <v/>
      </c>
      <c r="CZ1709">
        <f>IFERROR(SUMIFS(T_TTAFStock[TTAF_Qty],T_TTAFStock[RM_Code],$A1705,T_TTAFStock[WeekIndex],100),"")</f>
        <v/>
      </c>
      <c r="DA1709">
        <f>IFERROR(SUMIFS(T_TTAFStock[TTAF_Qty],T_TTAFStock[RM_Code],$A1705,T_TTAFStock[WeekIndex],101),"")</f>
        <v/>
      </c>
      <c r="DB1709">
        <f>IFERROR(SUMIFS(T_TTAFStock[TTAF_Qty],T_TTAFStock[RM_Code],$A1705,T_TTAFStock[WeekIndex],102),"")</f>
        <v/>
      </c>
      <c r="DC1709">
        <f>IFERROR(SUMIFS(T_TTAFStock[TTAF_Qty],T_TTAFStock[RM_Code],$A1705,T_TTAFStock[WeekIndex],103),"")</f>
        <v/>
      </c>
      <c r="DD1709">
        <f>IFERROR(SUMIFS(T_TTAFStock[TTAF_Qty],T_TTAFStock[RM_Code],$A1705,T_TTAFStock[WeekIndex],104),"")</f>
        <v/>
      </c>
    </row>
    <row r="1710">
      <c r="B1710" t="inlineStr">
        <is>
          <t>自社在庫(実績,kg)</t>
        </is>
      </c>
      <c r="D1710">
        <f>IFERROR(INDEX(E1710:DD1710,$F$1),"")</f>
        <v/>
      </c>
      <c r="E1710">
        <f>IFERROR(SUMIFS(T_SelfStock[Self_Qty],T_SelfStock[RM_Code],$A1705,T_SelfStock[WeekIndex],1),"")</f>
        <v/>
      </c>
      <c r="F1710">
        <f>IFERROR(SUMIFS(T_SelfStock[Self_Qty],T_SelfStock[RM_Code],$A1705,T_SelfStock[WeekIndex],2),"")</f>
        <v/>
      </c>
      <c r="G1710">
        <f>IFERROR(SUMIFS(T_SelfStock[Self_Qty],T_SelfStock[RM_Code],$A1705,T_SelfStock[WeekIndex],3),"")</f>
        <v/>
      </c>
      <c r="H1710">
        <f>IFERROR(SUMIFS(T_SelfStock[Self_Qty],T_SelfStock[RM_Code],$A1705,T_SelfStock[WeekIndex],4),"")</f>
        <v/>
      </c>
      <c r="I1710">
        <f>IFERROR(SUMIFS(T_SelfStock[Self_Qty],T_SelfStock[RM_Code],$A1705,T_SelfStock[WeekIndex],5),"")</f>
        <v/>
      </c>
      <c r="J1710">
        <f>IFERROR(SUMIFS(T_SelfStock[Self_Qty],T_SelfStock[RM_Code],$A1705,T_SelfStock[WeekIndex],6),"")</f>
        <v/>
      </c>
      <c r="K1710">
        <f>IFERROR(SUMIFS(T_SelfStock[Self_Qty],T_SelfStock[RM_Code],$A1705,T_SelfStock[WeekIndex],7),"")</f>
        <v/>
      </c>
      <c r="L1710">
        <f>IFERROR(SUMIFS(T_SelfStock[Self_Qty],T_SelfStock[RM_Code],$A1705,T_SelfStock[WeekIndex],8),"")</f>
        <v/>
      </c>
      <c r="M1710">
        <f>IFERROR(SUMIFS(T_SelfStock[Self_Qty],T_SelfStock[RM_Code],$A1705,T_SelfStock[WeekIndex],9),"")</f>
        <v/>
      </c>
      <c r="N1710">
        <f>IFERROR(SUMIFS(T_SelfStock[Self_Qty],T_SelfStock[RM_Code],$A1705,T_SelfStock[WeekIndex],10),"")</f>
        <v/>
      </c>
      <c r="O1710">
        <f>IFERROR(SUMIFS(T_SelfStock[Self_Qty],T_SelfStock[RM_Code],$A1705,T_SelfStock[WeekIndex],11),"")</f>
        <v/>
      </c>
      <c r="P1710">
        <f>IFERROR(SUMIFS(T_SelfStock[Self_Qty],T_SelfStock[RM_Code],$A1705,T_SelfStock[WeekIndex],12),"")</f>
        <v/>
      </c>
      <c r="Q1710">
        <f>IFERROR(SUMIFS(T_SelfStock[Self_Qty],T_SelfStock[RM_Code],$A1705,T_SelfStock[WeekIndex],13),"")</f>
        <v/>
      </c>
      <c r="R1710">
        <f>IFERROR(SUMIFS(T_SelfStock[Self_Qty],T_SelfStock[RM_Code],$A1705,T_SelfStock[WeekIndex],14),"")</f>
        <v/>
      </c>
      <c r="S1710">
        <f>IFERROR(SUMIFS(T_SelfStock[Self_Qty],T_SelfStock[RM_Code],$A1705,T_SelfStock[WeekIndex],15),"")</f>
        <v/>
      </c>
      <c r="T1710">
        <f>IFERROR(SUMIFS(T_SelfStock[Self_Qty],T_SelfStock[RM_Code],$A1705,T_SelfStock[WeekIndex],16),"")</f>
        <v/>
      </c>
      <c r="U1710">
        <f>IFERROR(SUMIFS(T_SelfStock[Self_Qty],T_SelfStock[RM_Code],$A1705,T_SelfStock[WeekIndex],17),"")</f>
        <v/>
      </c>
      <c r="V1710">
        <f>IFERROR(SUMIFS(T_SelfStock[Self_Qty],T_SelfStock[RM_Code],$A1705,T_SelfStock[WeekIndex],18),"")</f>
        <v/>
      </c>
      <c r="W1710">
        <f>IFERROR(SUMIFS(T_SelfStock[Self_Qty],T_SelfStock[RM_Code],$A1705,T_SelfStock[WeekIndex],19),"")</f>
        <v/>
      </c>
      <c r="X1710">
        <f>IFERROR(SUMIFS(T_SelfStock[Self_Qty],T_SelfStock[RM_Code],$A1705,T_SelfStock[WeekIndex],20),"")</f>
        <v/>
      </c>
      <c r="Y1710">
        <f>IFERROR(SUMIFS(T_SelfStock[Self_Qty],T_SelfStock[RM_Code],$A1705,T_SelfStock[WeekIndex],21),"")</f>
        <v/>
      </c>
      <c r="Z1710">
        <f>IFERROR(SUMIFS(T_SelfStock[Self_Qty],T_SelfStock[RM_Code],$A1705,T_SelfStock[WeekIndex],22),"")</f>
        <v/>
      </c>
      <c r="AA1710">
        <f>IFERROR(SUMIFS(T_SelfStock[Self_Qty],T_SelfStock[RM_Code],$A1705,T_SelfStock[WeekIndex],23),"")</f>
        <v/>
      </c>
      <c r="AB1710">
        <f>IFERROR(SUMIFS(T_SelfStock[Self_Qty],T_SelfStock[RM_Code],$A1705,T_SelfStock[WeekIndex],24),"")</f>
        <v/>
      </c>
      <c r="AC1710">
        <f>IFERROR(SUMIFS(T_SelfStock[Self_Qty],T_SelfStock[RM_Code],$A1705,T_SelfStock[WeekIndex],25),"")</f>
        <v/>
      </c>
      <c r="AD1710">
        <f>IFERROR(SUMIFS(T_SelfStock[Self_Qty],T_SelfStock[RM_Code],$A1705,T_SelfStock[WeekIndex],26),"")</f>
        <v/>
      </c>
      <c r="AE1710">
        <f>IFERROR(SUMIFS(T_SelfStock[Self_Qty],T_SelfStock[RM_Code],$A1705,T_SelfStock[WeekIndex],27),"")</f>
        <v/>
      </c>
      <c r="AF1710">
        <f>IFERROR(SUMIFS(T_SelfStock[Self_Qty],T_SelfStock[RM_Code],$A1705,T_SelfStock[WeekIndex],28),"")</f>
        <v/>
      </c>
      <c r="AG1710">
        <f>IFERROR(SUMIFS(T_SelfStock[Self_Qty],T_SelfStock[RM_Code],$A1705,T_SelfStock[WeekIndex],29),"")</f>
        <v/>
      </c>
      <c r="AH1710">
        <f>IFERROR(SUMIFS(T_SelfStock[Self_Qty],T_SelfStock[RM_Code],$A1705,T_SelfStock[WeekIndex],30),"")</f>
        <v/>
      </c>
      <c r="AI1710">
        <f>IFERROR(SUMIFS(T_SelfStock[Self_Qty],T_SelfStock[RM_Code],$A1705,T_SelfStock[WeekIndex],31),"")</f>
        <v/>
      </c>
      <c r="AJ1710">
        <f>IFERROR(SUMIFS(T_SelfStock[Self_Qty],T_SelfStock[RM_Code],$A1705,T_SelfStock[WeekIndex],32),"")</f>
        <v/>
      </c>
      <c r="AK1710">
        <f>IFERROR(SUMIFS(T_SelfStock[Self_Qty],T_SelfStock[RM_Code],$A1705,T_SelfStock[WeekIndex],33),"")</f>
        <v/>
      </c>
      <c r="AL1710">
        <f>IFERROR(SUMIFS(T_SelfStock[Self_Qty],T_SelfStock[RM_Code],$A1705,T_SelfStock[WeekIndex],34),"")</f>
        <v/>
      </c>
      <c r="AM1710">
        <f>IFERROR(SUMIFS(T_SelfStock[Self_Qty],T_SelfStock[RM_Code],$A1705,T_SelfStock[WeekIndex],35),"")</f>
        <v/>
      </c>
      <c r="AN1710">
        <f>IFERROR(SUMIFS(T_SelfStock[Self_Qty],T_SelfStock[RM_Code],$A1705,T_SelfStock[WeekIndex],36),"")</f>
        <v/>
      </c>
      <c r="AO1710">
        <f>IFERROR(SUMIFS(T_SelfStock[Self_Qty],T_SelfStock[RM_Code],$A1705,T_SelfStock[WeekIndex],37),"")</f>
        <v/>
      </c>
      <c r="AP1710">
        <f>IFERROR(SUMIFS(T_SelfStock[Self_Qty],T_SelfStock[RM_Code],$A1705,T_SelfStock[WeekIndex],38),"")</f>
        <v/>
      </c>
      <c r="AQ1710">
        <f>IFERROR(SUMIFS(T_SelfStock[Self_Qty],T_SelfStock[RM_Code],$A1705,T_SelfStock[WeekIndex],39),"")</f>
        <v/>
      </c>
      <c r="AR1710">
        <f>IFERROR(SUMIFS(T_SelfStock[Self_Qty],T_SelfStock[RM_Code],$A1705,T_SelfStock[WeekIndex],40),"")</f>
        <v/>
      </c>
      <c r="AS1710">
        <f>IFERROR(SUMIFS(T_SelfStock[Self_Qty],T_SelfStock[RM_Code],$A1705,T_SelfStock[WeekIndex],41),"")</f>
        <v/>
      </c>
      <c r="AT1710">
        <f>IFERROR(SUMIFS(T_SelfStock[Self_Qty],T_SelfStock[RM_Code],$A1705,T_SelfStock[WeekIndex],42),"")</f>
        <v/>
      </c>
      <c r="AU1710">
        <f>IFERROR(SUMIFS(T_SelfStock[Self_Qty],T_SelfStock[RM_Code],$A1705,T_SelfStock[WeekIndex],43),"")</f>
        <v/>
      </c>
      <c r="AV1710">
        <f>IFERROR(SUMIFS(T_SelfStock[Self_Qty],T_SelfStock[RM_Code],$A1705,T_SelfStock[WeekIndex],44),"")</f>
        <v/>
      </c>
      <c r="AW1710">
        <f>IFERROR(SUMIFS(T_SelfStock[Self_Qty],T_SelfStock[RM_Code],$A1705,T_SelfStock[WeekIndex],45),"")</f>
        <v/>
      </c>
      <c r="AX1710">
        <f>IFERROR(SUMIFS(T_SelfStock[Self_Qty],T_SelfStock[RM_Code],$A1705,T_SelfStock[WeekIndex],46),"")</f>
        <v/>
      </c>
      <c r="AY1710">
        <f>IFERROR(SUMIFS(T_SelfStock[Self_Qty],T_SelfStock[RM_Code],$A1705,T_SelfStock[WeekIndex],47),"")</f>
        <v/>
      </c>
      <c r="AZ1710">
        <f>IFERROR(SUMIFS(T_SelfStock[Self_Qty],T_SelfStock[RM_Code],$A1705,T_SelfStock[WeekIndex],48),"")</f>
        <v/>
      </c>
      <c r="BA1710">
        <f>IFERROR(SUMIFS(T_SelfStock[Self_Qty],T_SelfStock[RM_Code],$A1705,T_SelfStock[WeekIndex],49),"")</f>
        <v/>
      </c>
      <c r="BB1710">
        <f>IFERROR(SUMIFS(T_SelfStock[Self_Qty],T_SelfStock[RM_Code],$A1705,T_SelfStock[WeekIndex],50),"")</f>
        <v/>
      </c>
      <c r="BC1710">
        <f>IFERROR(SUMIFS(T_SelfStock[Self_Qty],T_SelfStock[RM_Code],$A1705,T_SelfStock[WeekIndex],51),"")</f>
        <v/>
      </c>
      <c r="BD1710">
        <f>IFERROR(SUMIFS(T_SelfStock[Self_Qty],T_SelfStock[RM_Code],$A1705,T_SelfStock[WeekIndex],52),"")</f>
        <v/>
      </c>
      <c r="BE1710">
        <f>IFERROR(SUMIFS(T_SelfStock[Self_Qty],T_SelfStock[RM_Code],$A1705,T_SelfStock[WeekIndex],53),"")</f>
        <v/>
      </c>
      <c r="BF1710">
        <f>IFERROR(SUMIFS(T_SelfStock[Self_Qty],T_SelfStock[RM_Code],$A1705,T_SelfStock[WeekIndex],54),"")</f>
        <v/>
      </c>
      <c r="BG1710">
        <f>IFERROR(SUMIFS(T_SelfStock[Self_Qty],T_SelfStock[RM_Code],$A1705,T_SelfStock[WeekIndex],55),"")</f>
        <v/>
      </c>
      <c r="BH1710">
        <f>IFERROR(SUMIFS(T_SelfStock[Self_Qty],T_SelfStock[RM_Code],$A1705,T_SelfStock[WeekIndex],56),"")</f>
        <v/>
      </c>
      <c r="BI1710">
        <f>IFERROR(SUMIFS(T_SelfStock[Self_Qty],T_SelfStock[RM_Code],$A1705,T_SelfStock[WeekIndex],57),"")</f>
        <v/>
      </c>
      <c r="BJ1710">
        <f>IFERROR(SUMIFS(T_SelfStock[Self_Qty],T_SelfStock[RM_Code],$A1705,T_SelfStock[WeekIndex],58),"")</f>
        <v/>
      </c>
      <c r="BK1710">
        <f>IFERROR(SUMIFS(T_SelfStock[Self_Qty],T_SelfStock[RM_Code],$A1705,T_SelfStock[WeekIndex],59),"")</f>
        <v/>
      </c>
      <c r="BL1710">
        <f>IFERROR(SUMIFS(T_SelfStock[Self_Qty],T_SelfStock[RM_Code],$A1705,T_SelfStock[WeekIndex],60),"")</f>
        <v/>
      </c>
      <c r="BM1710">
        <f>IFERROR(SUMIFS(T_SelfStock[Self_Qty],T_SelfStock[RM_Code],$A1705,T_SelfStock[WeekIndex],61),"")</f>
        <v/>
      </c>
      <c r="BN1710">
        <f>IFERROR(SUMIFS(T_SelfStock[Self_Qty],T_SelfStock[RM_Code],$A1705,T_SelfStock[WeekIndex],62),"")</f>
        <v/>
      </c>
      <c r="BO1710">
        <f>IFERROR(SUMIFS(T_SelfStock[Self_Qty],T_SelfStock[RM_Code],$A1705,T_SelfStock[WeekIndex],63),"")</f>
        <v/>
      </c>
      <c r="BP1710">
        <f>IFERROR(SUMIFS(T_SelfStock[Self_Qty],T_SelfStock[RM_Code],$A1705,T_SelfStock[WeekIndex],64),"")</f>
        <v/>
      </c>
      <c r="BQ1710">
        <f>IFERROR(SUMIFS(T_SelfStock[Self_Qty],T_SelfStock[RM_Code],$A1705,T_SelfStock[WeekIndex],65),"")</f>
        <v/>
      </c>
      <c r="BR1710">
        <f>IFERROR(SUMIFS(T_SelfStock[Self_Qty],T_SelfStock[RM_Code],$A1705,T_SelfStock[WeekIndex],66),"")</f>
        <v/>
      </c>
      <c r="BS1710">
        <f>IFERROR(SUMIFS(T_SelfStock[Self_Qty],T_SelfStock[RM_Code],$A1705,T_SelfStock[WeekIndex],67),"")</f>
        <v/>
      </c>
      <c r="BT1710">
        <f>IFERROR(SUMIFS(T_SelfStock[Self_Qty],T_SelfStock[RM_Code],$A1705,T_SelfStock[WeekIndex],68),"")</f>
        <v/>
      </c>
      <c r="BU1710">
        <f>IFERROR(SUMIFS(T_SelfStock[Self_Qty],T_SelfStock[RM_Code],$A1705,T_SelfStock[WeekIndex],69),"")</f>
        <v/>
      </c>
      <c r="BV1710">
        <f>IFERROR(SUMIFS(T_SelfStock[Self_Qty],T_SelfStock[RM_Code],$A1705,T_SelfStock[WeekIndex],70),"")</f>
        <v/>
      </c>
      <c r="BW1710">
        <f>IFERROR(SUMIFS(T_SelfStock[Self_Qty],T_SelfStock[RM_Code],$A1705,T_SelfStock[WeekIndex],71),"")</f>
        <v/>
      </c>
      <c r="BX1710">
        <f>IFERROR(SUMIFS(T_SelfStock[Self_Qty],T_SelfStock[RM_Code],$A1705,T_SelfStock[WeekIndex],72),"")</f>
        <v/>
      </c>
      <c r="BY1710">
        <f>IFERROR(SUMIFS(T_SelfStock[Self_Qty],T_SelfStock[RM_Code],$A1705,T_SelfStock[WeekIndex],73),"")</f>
        <v/>
      </c>
      <c r="BZ1710">
        <f>IFERROR(SUMIFS(T_SelfStock[Self_Qty],T_SelfStock[RM_Code],$A1705,T_SelfStock[WeekIndex],74),"")</f>
        <v/>
      </c>
      <c r="CA1710">
        <f>IFERROR(SUMIFS(T_SelfStock[Self_Qty],T_SelfStock[RM_Code],$A1705,T_SelfStock[WeekIndex],75),"")</f>
        <v/>
      </c>
      <c r="CB1710">
        <f>IFERROR(SUMIFS(T_SelfStock[Self_Qty],T_SelfStock[RM_Code],$A1705,T_SelfStock[WeekIndex],76),"")</f>
        <v/>
      </c>
      <c r="CC1710">
        <f>IFERROR(SUMIFS(T_SelfStock[Self_Qty],T_SelfStock[RM_Code],$A1705,T_SelfStock[WeekIndex],77),"")</f>
        <v/>
      </c>
      <c r="CD1710">
        <f>IFERROR(SUMIFS(T_SelfStock[Self_Qty],T_SelfStock[RM_Code],$A1705,T_SelfStock[WeekIndex],78),"")</f>
        <v/>
      </c>
      <c r="CE1710">
        <f>IFERROR(SUMIFS(T_SelfStock[Self_Qty],T_SelfStock[RM_Code],$A1705,T_SelfStock[WeekIndex],79),"")</f>
        <v/>
      </c>
      <c r="CF1710">
        <f>IFERROR(SUMIFS(T_SelfStock[Self_Qty],T_SelfStock[RM_Code],$A1705,T_SelfStock[WeekIndex],80),"")</f>
        <v/>
      </c>
      <c r="CG1710">
        <f>IFERROR(SUMIFS(T_SelfStock[Self_Qty],T_SelfStock[RM_Code],$A1705,T_SelfStock[WeekIndex],81),"")</f>
        <v/>
      </c>
      <c r="CH1710">
        <f>IFERROR(SUMIFS(T_SelfStock[Self_Qty],T_SelfStock[RM_Code],$A1705,T_SelfStock[WeekIndex],82),"")</f>
        <v/>
      </c>
      <c r="CI1710">
        <f>IFERROR(SUMIFS(T_SelfStock[Self_Qty],T_SelfStock[RM_Code],$A1705,T_SelfStock[WeekIndex],83),"")</f>
        <v/>
      </c>
      <c r="CJ1710">
        <f>IFERROR(SUMIFS(T_SelfStock[Self_Qty],T_SelfStock[RM_Code],$A1705,T_SelfStock[WeekIndex],84),"")</f>
        <v/>
      </c>
      <c r="CK1710">
        <f>IFERROR(SUMIFS(T_SelfStock[Self_Qty],T_SelfStock[RM_Code],$A1705,T_SelfStock[WeekIndex],85),"")</f>
        <v/>
      </c>
      <c r="CL1710">
        <f>IFERROR(SUMIFS(T_SelfStock[Self_Qty],T_SelfStock[RM_Code],$A1705,T_SelfStock[WeekIndex],86),"")</f>
        <v/>
      </c>
      <c r="CM1710">
        <f>IFERROR(SUMIFS(T_SelfStock[Self_Qty],T_SelfStock[RM_Code],$A1705,T_SelfStock[WeekIndex],87),"")</f>
        <v/>
      </c>
      <c r="CN1710">
        <f>IFERROR(SUMIFS(T_SelfStock[Self_Qty],T_SelfStock[RM_Code],$A1705,T_SelfStock[WeekIndex],88),"")</f>
        <v/>
      </c>
      <c r="CO1710">
        <f>IFERROR(SUMIFS(T_SelfStock[Self_Qty],T_SelfStock[RM_Code],$A1705,T_SelfStock[WeekIndex],89),"")</f>
        <v/>
      </c>
      <c r="CP1710">
        <f>IFERROR(SUMIFS(T_SelfStock[Self_Qty],T_SelfStock[RM_Code],$A1705,T_SelfStock[WeekIndex],90),"")</f>
        <v/>
      </c>
      <c r="CQ1710">
        <f>IFERROR(SUMIFS(T_SelfStock[Self_Qty],T_SelfStock[RM_Code],$A1705,T_SelfStock[WeekIndex],91),"")</f>
        <v/>
      </c>
      <c r="CR1710">
        <f>IFERROR(SUMIFS(T_SelfStock[Self_Qty],T_SelfStock[RM_Code],$A1705,T_SelfStock[WeekIndex],92),"")</f>
        <v/>
      </c>
      <c r="CS1710">
        <f>IFERROR(SUMIFS(T_SelfStock[Self_Qty],T_SelfStock[RM_Code],$A1705,T_SelfStock[WeekIndex],93),"")</f>
        <v/>
      </c>
      <c r="CT1710">
        <f>IFERROR(SUMIFS(T_SelfStock[Self_Qty],T_SelfStock[RM_Code],$A1705,T_SelfStock[WeekIndex],94),"")</f>
        <v/>
      </c>
      <c r="CU1710">
        <f>IFERROR(SUMIFS(T_SelfStock[Self_Qty],T_SelfStock[RM_Code],$A1705,T_SelfStock[WeekIndex],95),"")</f>
        <v/>
      </c>
      <c r="CV1710">
        <f>IFERROR(SUMIFS(T_SelfStock[Self_Qty],T_SelfStock[RM_Code],$A1705,T_SelfStock[WeekIndex],96),"")</f>
        <v/>
      </c>
      <c r="CW1710">
        <f>IFERROR(SUMIFS(T_SelfStock[Self_Qty],T_SelfStock[RM_Code],$A1705,T_SelfStock[WeekIndex],97),"")</f>
        <v/>
      </c>
      <c r="CX1710">
        <f>IFERROR(SUMIFS(T_SelfStock[Self_Qty],T_SelfStock[RM_Code],$A1705,T_SelfStock[WeekIndex],98),"")</f>
        <v/>
      </c>
      <c r="CY1710">
        <f>IFERROR(SUMIFS(T_SelfStock[Self_Qty],T_SelfStock[RM_Code],$A1705,T_SelfStock[WeekIndex],99),"")</f>
        <v/>
      </c>
      <c r="CZ1710">
        <f>IFERROR(SUMIFS(T_SelfStock[Self_Qty],T_SelfStock[RM_Code],$A1705,T_SelfStock[WeekIndex],100),"")</f>
        <v/>
      </c>
      <c r="DA1710">
        <f>IFERROR(SUMIFS(T_SelfStock[Self_Qty],T_SelfStock[RM_Code],$A1705,T_SelfStock[WeekIndex],101),"")</f>
        <v/>
      </c>
      <c r="DB1710">
        <f>IFERROR(SUMIFS(T_SelfStock[Self_Qty],T_SelfStock[RM_Code],$A1705,T_SelfStock[WeekIndex],102),"")</f>
        <v/>
      </c>
      <c r="DC1710">
        <f>IFERROR(SUMIFS(T_SelfStock[Self_Qty],T_SelfStock[RM_Code],$A1705,T_SelfStock[WeekIndex],103),"")</f>
        <v/>
      </c>
      <c r="DD1710">
        <f>IFERROR(SUMIFS(T_SelfStock[Self_Qty],T_SelfStock[RM_Code],$A1705,T_SelfStock[WeekIndex],104),"")</f>
        <v/>
      </c>
    </row>
    <row r="1711">
      <c r="B1711" s="4" t="inlineStr">
        <is>
          <t>合計在庫(週末時点,kg)</t>
        </is>
      </c>
      <c r="D1711" s="24">
        <f>IFERROR(INDEX(E1711:DD1711,$F$1),"")</f>
        <v/>
      </c>
      <c r="E1711">
        <f>'Grid_Stock'!B62</f>
        <v/>
      </c>
      <c r="F1711">
        <f>'Grid_Stock'!C62</f>
        <v/>
      </c>
      <c r="G1711">
        <f>'Grid_Stock'!D62</f>
        <v/>
      </c>
      <c r="H1711">
        <f>'Grid_Stock'!E62</f>
        <v/>
      </c>
      <c r="I1711">
        <f>'Grid_Stock'!F62</f>
        <v/>
      </c>
      <c r="J1711">
        <f>'Grid_Stock'!G62</f>
        <v/>
      </c>
      <c r="K1711">
        <f>'Grid_Stock'!H62</f>
        <v/>
      </c>
      <c r="L1711">
        <f>'Grid_Stock'!I62</f>
        <v/>
      </c>
      <c r="M1711">
        <f>'Grid_Stock'!J62</f>
        <v/>
      </c>
      <c r="N1711">
        <f>'Grid_Stock'!K62</f>
        <v/>
      </c>
      <c r="O1711">
        <f>'Grid_Stock'!L62</f>
        <v/>
      </c>
      <c r="P1711">
        <f>'Grid_Stock'!M62</f>
        <v/>
      </c>
      <c r="Q1711">
        <f>'Grid_Stock'!N62</f>
        <v/>
      </c>
      <c r="R1711">
        <f>'Grid_Stock'!O62</f>
        <v/>
      </c>
      <c r="S1711">
        <f>'Grid_Stock'!P62</f>
        <v/>
      </c>
      <c r="T1711">
        <f>'Grid_Stock'!Q62</f>
        <v/>
      </c>
      <c r="U1711">
        <f>'Grid_Stock'!R62</f>
        <v/>
      </c>
      <c r="V1711">
        <f>'Grid_Stock'!S62</f>
        <v/>
      </c>
      <c r="W1711">
        <f>'Grid_Stock'!T62</f>
        <v/>
      </c>
      <c r="X1711">
        <f>'Grid_Stock'!U62</f>
        <v/>
      </c>
      <c r="Y1711">
        <f>'Grid_Stock'!V62</f>
        <v/>
      </c>
      <c r="Z1711">
        <f>'Grid_Stock'!W62</f>
        <v/>
      </c>
      <c r="AA1711">
        <f>'Grid_Stock'!X62</f>
        <v/>
      </c>
      <c r="AB1711">
        <f>'Grid_Stock'!Y62</f>
        <v/>
      </c>
      <c r="AC1711">
        <f>'Grid_Stock'!Z62</f>
        <v/>
      </c>
      <c r="AD1711">
        <f>'Grid_Stock'!AA62</f>
        <v/>
      </c>
      <c r="AE1711">
        <f>'Grid_Stock'!AB62</f>
        <v/>
      </c>
      <c r="AF1711">
        <f>'Grid_Stock'!AC62</f>
        <v/>
      </c>
      <c r="AG1711">
        <f>'Grid_Stock'!AD62</f>
        <v/>
      </c>
      <c r="AH1711">
        <f>'Grid_Stock'!AE62</f>
        <v/>
      </c>
      <c r="AI1711">
        <f>'Grid_Stock'!AF62</f>
        <v/>
      </c>
      <c r="AJ1711">
        <f>'Grid_Stock'!AG62</f>
        <v/>
      </c>
      <c r="AK1711">
        <f>'Grid_Stock'!AH62</f>
        <v/>
      </c>
      <c r="AL1711">
        <f>'Grid_Stock'!AI62</f>
        <v/>
      </c>
      <c r="AM1711">
        <f>'Grid_Stock'!AJ62</f>
        <v/>
      </c>
      <c r="AN1711">
        <f>'Grid_Stock'!AK62</f>
        <v/>
      </c>
      <c r="AO1711">
        <f>'Grid_Stock'!AL62</f>
        <v/>
      </c>
      <c r="AP1711">
        <f>'Grid_Stock'!AM62</f>
        <v/>
      </c>
      <c r="AQ1711">
        <f>'Grid_Stock'!AN62</f>
        <v/>
      </c>
      <c r="AR1711">
        <f>'Grid_Stock'!AO62</f>
        <v/>
      </c>
      <c r="AS1711">
        <f>'Grid_Stock'!AP62</f>
        <v/>
      </c>
      <c r="AT1711">
        <f>'Grid_Stock'!AQ62</f>
        <v/>
      </c>
      <c r="AU1711">
        <f>'Grid_Stock'!AR62</f>
        <v/>
      </c>
      <c r="AV1711">
        <f>'Grid_Stock'!AS62</f>
        <v/>
      </c>
      <c r="AW1711">
        <f>'Grid_Stock'!AT62</f>
        <v/>
      </c>
      <c r="AX1711">
        <f>'Grid_Stock'!AU62</f>
        <v/>
      </c>
      <c r="AY1711">
        <f>'Grid_Stock'!AV62</f>
        <v/>
      </c>
      <c r="AZ1711">
        <f>'Grid_Stock'!AW62</f>
        <v/>
      </c>
      <c r="BA1711">
        <f>'Grid_Stock'!AX62</f>
        <v/>
      </c>
      <c r="BB1711">
        <f>'Grid_Stock'!AY62</f>
        <v/>
      </c>
      <c r="BC1711">
        <f>'Grid_Stock'!AZ62</f>
        <v/>
      </c>
      <c r="BD1711">
        <f>'Grid_Stock'!BA62</f>
        <v/>
      </c>
      <c r="BE1711">
        <f>'Grid_Stock'!BB62</f>
        <v/>
      </c>
      <c r="BF1711">
        <f>'Grid_Stock'!BC62</f>
        <v/>
      </c>
      <c r="BG1711">
        <f>'Grid_Stock'!BD62</f>
        <v/>
      </c>
      <c r="BH1711">
        <f>'Grid_Stock'!BE62</f>
        <v/>
      </c>
      <c r="BI1711">
        <f>'Grid_Stock'!BF62</f>
        <v/>
      </c>
      <c r="BJ1711">
        <f>'Grid_Stock'!BG62</f>
        <v/>
      </c>
      <c r="BK1711">
        <f>'Grid_Stock'!BH62</f>
        <v/>
      </c>
      <c r="BL1711">
        <f>'Grid_Stock'!BI62</f>
        <v/>
      </c>
      <c r="BM1711">
        <f>'Grid_Stock'!BJ62</f>
        <v/>
      </c>
      <c r="BN1711">
        <f>'Grid_Stock'!BK62</f>
        <v/>
      </c>
      <c r="BO1711">
        <f>'Grid_Stock'!BL62</f>
        <v/>
      </c>
      <c r="BP1711">
        <f>'Grid_Stock'!BM62</f>
        <v/>
      </c>
      <c r="BQ1711">
        <f>'Grid_Stock'!BN62</f>
        <v/>
      </c>
      <c r="BR1711">
        <f>'Grid_Stock'!BO62</f>
        <v/>
      </c>
      <c r="BS1711">
        <f>'Grid_Stock'!BP62</f>
        <v/>
      </c>
      <c r="BT1711">
        <f>'Grid_Stock'!BQ62</f>
        <v/>
      </c>
      <c r="BU1711">
        <f>'Grid_Stock'!BR62</f>
        <v/>
      </c>
      <c r="BV1711">
        <f>'Grid_Stock'!BS62</f>
        <v/>
      </c>
      <c r="BW1711">
        <f>'Grid_Stock'!BT62</f>
        <v/>
      </c>
      <c r="BX1711">
        <f>'Grid_Stock'!BU62</f>
        <v/>
      </c>
      <c r="BY1711">
        <f>'Grid_Stock'!BV62</f>
        <v/>
      </c>
      <c r="BZ1711">
        <f>'Grid_Stock'!BW62</f>
        <v/>
      </c>
      <c r="CA1711">
        <f>'Grid_Stock'!BX62</f>
        <v/>
      </c>
      <c r="CB1711">
        <f>'Grid_Stock'!BY62</f>
        <v/>
      </c>
      <c r="CC1711">
        <f>'Grid_Stock'!BZ62</f>
        <v/>
      </c>
      <c r="CD1711">
        <f>'Grid_Stock'!CA62</f>
        <v/>
      </c>
      <c r="CE1711">
        <f>'Grid_Stock'!CB62</f>
        <v/>
      </c>
      <c r="CF1711">
        <f>'Grid_Stock'!CC62</f>
        <v/>
      </c>
      <c r="CG1711">
        <f>'Grid_Stock'!CD62</f>
        <v/>
      </c>
      <c r="CH1711">
        <f>'Grid_Stock'!CE62</f>
        <v/>
      </c>
      <c r="CI1711">
        <f>'Grid_Stock'!CF62</f>
        <v/>
      </c>
      <c r="CJ1711">
        <f>'Grid_Stock'!CG62</f>
        <v/>
      </c>
      <c r="CK1711">
        <f>'Grid_Stock'!CH62</f>
        <v/>
      </c>
      <c r="CL1711">
        <f>'Grid_Stock'!CI62</f>
        <v/>
      </c>
      <c r="CM1711">
        <f>'Grid_Stock'!CJ62</f>
        <v/>
      </c>
      <c r="CN1711">
        <f>'Grid_Stock'!CK62</f>
        <v/>
      </c>
      <c r="CO1711">
        <f>'Grid_Stock'!CL62</f>
        <v/>
      </c>
      <c r="CP1711">
        <f>'Grid_Stock'!CM62</f>
        <v/>
      </c>
      <c r="CQ1711">
        <f>'Grid_Stock'!CN62</f>
        <v/>
      </c>
      <c r="CR1711">
        <f>'Grid_Stock'!CO62</f>
        <v/>
      </c>
      <c r="CS1711">
        <f>'Grid_Stock'!CP62</f>
        <v/>
      </c>
      <c r="CT1711">
        <f>'Grid_Stock'!CQ62</f>
        <v/>
      </c>
      <c r="CU1711">
        <f>'Grid_Stock'!CR62</f>
        <v/>
      </c>
      <c r="CV1711">
        <f>'Grid_Stock'!CS62</f>
        <v/>
      </c>
      <c r="CW1711">
        <f>'Grid_Stock'!CT62</f>
        <v/>
      </c>
      <c r="CX1711">
        <f>'Grid_Stock'!CU62</f>
        <v/>
      </c>
      <c r="CY1711">
        <f>'Grid_Stock'!CV62</f>
        <v/>
      </c>
      <c r="CZ1711">
        <f>'Grid_Stock'!CW62</f>
        <v/>
      </c>
      <c r="DA1711">
        <f>'Grid_Stock'!CX62</f>
        <v/>
      </c>
      <c r="DB1711">
        <f>'Grid_Stock'!CY62</f>
        <v/>
      </c>
      <c r="DC1711">
        <f>'Grid_Stock'!CZ62</f>
        <v/>
      </c>
      <c r="DD1711">
        <f>'Grid_Stock'!DA62</f>
        <v/>
      </c>
    </row>
    <row r="1712">
      <c r="B1712" s="25" t="inlineStr">
        <is>
          <t>（発注の目安はDashboardの基準在庫[下限/上限]と色分けを参照）</t>
        </is>
      </c>
    </row>
    <row r="1714">
      <c r="A1714" s="21" t="inlineStr">
        <is>
          <t>3TP</t>
        </is>
      </c>
      <c r="B1714" s="21" t="inlineStr">
        <is>
          <t>3TP</t>
        </is>
      </c>
      <c r="C1714" s="22" t="n"/>
      <c r="D1714" s="21" t="n"/>
      <c r="E1714" s="21" t="n"/>
      <c r="F1714" s="21" t="n"/>
      <c r="G1714" s="21" t="n"/>
      <c r="H1714" s="21" t="n"/>
      <c r="I1714" s="21" t="n"/>
      <c r="J1714" s="21" t="n"/>
      <c r="K1714" s="21" t="n"/>
      <c r="L1714" s="21" t="n"/>
      <c r="M1714" s="21" t="n"/>
      <c r="N1714" s="21" t="n"/>
      <c r="O1714" s="21" t="n"/>
      <c r="P1714" s="21" t="n"/>
      <c r="Q1714" s="21" t="n"/>
      <c r="R1714" s="21" t="n"/>
      <c r="S1714" s="21" t="n"/>
      <c r="T1714" s="21" t="n"/>
      <c r="U1714" s="21" t="n"/>
      <c r="V1714" s="21" t="n"/>
      <c r="W1714" s="21" t="n"/>
      <c r="X1714" s="21" t="n"/>
      <c r="Y1714" s="21" t="n"/>
      <c r="Z1714" s="21" t="n"/>
      <c r="AA1714" s="21" t="n"/>
      <c r="AB1714" s="21" t="n"/>
      <c r="AC1714" s="21" t="n"/>
      <c r="AD1714" s="21" t="n"/>
      <c r="AE1714" s="21" t="n"/>
      <c r="AF1714" s="21" t="n"/>
      <c r="AG1714" s="21" t="n"/>
      <c r="AH1714" s="21" t="n"/>
      <c r="AI1714" s="21" t="n"/>
      <c r="AJ1714" s="21" t="n"/>
      <c r="AK1714" s="21" t="n"/>
      <c r="AL1714" s="21" t="n"/>
      <c r="AM1714" s="21" t="n"/>
      <c r="AN1714" s="21" t="n"/>
      <c r="AO1714" s="21" t="n"/>
      <c r="AP1714" s="21" t="n"/>
      <c r="AQ1714" s="21" t="n"/>
      <c r="AR1714" s="21" t="n"/>
      <c r="AS1714" s="21" t="n"/>
      <c r="AT1714" s="21" t="n"/>
      <c r="AU1714" s="21" t="n"/>
      <c r="AV1714" s="21" t="n"/>
      <c r="AW1714" s="21" t="n"/>
      <c r="AX1714" s="21" t="n"/>
      <c r="AY1714" s="21" t="n"/>
      <c r="AZ1714" s="21" t="n"/>
      <c r="BA1714" s="21" t="n"/>
      <c r="BB1714" s="21" t="n"/>
      <c r="BC1714" s="21" t="n"/>
      <c r="BD1714" s="21" t="n"/>
      <c r="BE1714" s="21" t="n"/>
      <c r="BF1714" s="21" t="n"/>
      <c r="BG1714" s="21" t="n"/>
      <c r="BH1714" s="21" t="n"/>
      <c r="BI1714" s="21" t="n"/>
      <c r="BJ1714" s="21" t="n"/>
      <c r="BK1714" s="21" t="n"/>
      <c r="BL1714" s="21" t="n"/>
      <c r="BM1714" s="21" t="n"/>
      <c r="BN1714" s="21" t="n"/>
      <c r="BO1714" s="21" t="n"/>
      <c r="BP1714" s="21" t="n"/>
      <c r="BQ1714" s="21" t="n"/>
      <c r="BR1714" s="21" t="n"/>
      <c r="BS1714" s="21" t="n"/>
      <c r="BT1714" s="21" t="n"/>
      <c r="BU1714" s="21" t="n"/>
      <c r="BV1714" s="21" t="n"/>
      <c r="BW1714" s="21" t="n"/>
      <c r="BX1714" s="21" t="n"/>
      <c r="BY1714" s="21" t="n"/>
      <c r="BZ1714" s="21" t="n"/>
      <c r="CA1714" s="21" t="n"/>
      <c r="CB1714" s="21" t="n"/>
      <c r="CC1714" s="21" t="n"/>
      <c r="CD1714" s="21" t="n"/>
      <c r="CE1714" s="21" t="n"/>
      <c r="CF1714" s="21" t="n"/>
      <c r="CG1714" s="21" t="n"/>
      <c r="CH1714" s="21" t="n"/>
      <c r="CI1714" s="21" t="n"/>
      <c r="CJ1714" s="21" t="n"/>
      <c r="CK1714" s="21" t="n"/>
      <c r="CL1714" s="21" t="n"/>
      <c r="CM1714" s="21" t="n"/>
      <c r="CN1714" s="21" t="n"/>
      <c r="CO1714" s="21" t="n"/>
      <c r="CP1714" s="21" t="n"/>
      <c r="CQ1714" s="21" t="n"/>
      <c r="CR1714" s="21" t="n"/>
      <c r="CS1714" s="21" t="n"/>
      <c r="CT1714" s="21" t="n"/>
      <c r="CU1714" s="21" t="n"/>
      <c r="CV1714" s="21" t="n"/>
      <c r="CW1714" s="21" t="n"/>
      <c r="CX1714" s="21" t="n"/>
      <c r="CY1714" s="21" t="n"/>
      <c r="CZ1714" s="21" t="n"/>
      <c r="DA1714" s="21" t="n"/>
      <c r="DB1714" s="21" t="n"/>
      <c r="DC1714" s="21" t="n"/>
      <c r="DD1714" s="21" t="n"/>
    </row>
    <row r="1715">
      <c r="B1715" t="inlineStr">
        <is>
          <t>F2290</t>
        </is>
      </c>
      <c r="C1715" t="inlineStr">
        <is>
          <t>No. of batches</t>
        </is>
      </c>
      <c r="D1715">
        <f>IFERROR(INDEX(E1715:DD1715,$F$1),"")</f>
        <v/>
      </c>
      <c r="E1715">
        <f>IFERROR(INDEX(PP_Grid[#Data],$DE1715,2),0)</f>
        <v/>
      </c>
      <c r="F1715">
        <f>IFERROR(INDEX(PP_Grid[#Data],$DE1715,3),0)</f>
        <v/>
      </c>
      <c r="G1715">
        <f>IFERROR(INDEX(PP_Grid[#Data],$DE1715,4),0)</f>
        <v/>
      </c>
      <c r="H1715">
        <f>IFERROR(INDEX(PP_Grid[#Data],$DE1715,5),0)</f>
        <v/>
      </c>
      <c r="I1715">
        <f>IFERROR(INDEX(PP_Grid[#Data],$DE1715,6),0)</f>
        <v/>
      </c>
      <c r="J1715">
        <f>IFERROR(INDEX(PP_Grid[#Data],$DE1715,7),0)</f>
        <v/>
      </c>
      <c r="K1715">
        <f>IFERROR(INDEX(PP_Grid[#Data],$DE1715,8),0)</f>
        <v/>
      </c>
      <c r="L1715">
        <f>IFERROR(INDEX(PP_Grid[#Data],$DE1715,9),0)</f>
        <v/>
      </c>
      <c r="M1715">
        <f>IFERROR(INDEX(PP_Grid[#Data],$DE1715,10),0)</f>
        <v/>
      </c>
      <c r="N1715">
        <f>IFERROR(INDEX(PP_Grid[#Data],$DE1715,11),0)</f>
        <v/>
      </c>
      <c r="O1715">
        <f>IFERROR(INDEX(PP_Grid[#Data],$DE1715,12),0)</f>
        <v/>
      </c>
      <c r="P1715">
        <f>IFERROR(INDEX(PP_Grid[#Data],$DE1715,13),0)</f>
        <v/>
      </c>
      <c r="Q1715">
        <f>IFERROR(INDEX(PP_Grid[#Data],$DE1715,14),0)</f>
        <v/>
      </c>
      <c r="R1715">
        <f>IFERROR(INDEX(PP_Grid[#Data],$DE1715,15),0)</f>
        <v/>
      </c>
      <c r="S1715">
        <f>IFERROR(INDEX(PP_Grid[#Data],$DE1715,16),0)</f>
        <v/>
      </c>
      <c r="T1715">
        <f>IFERROR(INDEX(PP_Grid[#Data],$DE1715,17),0)</f>
        <v/>
      </c>
      <c r="U1715">
        <f>IFERROR(INDEX(PP_Grid[#Data],$DE1715,18),0)</f>
        <v/>
      </c>
      <c r="V1715">
        <f>IFERROR(INDEX(PP_Grid[#Data],$DE1715,19),0)</f>
        <v/>
      </c>
      <c r="W1715">
        <f>IFERROR(INDEX(PP_Grid[#Data],$DE1715,20),0)</f>
        <v/>
      </c>
      <c r="X1715">
        <f>IFERROR(INDEX(PP_Grid[#Data],$DE1715,21),0)</f>
        <v/>
      </c>
      <c r="Y1715">
        <f>IFERROR(INDEX(PP_Grid[#Data],$DE1715,22),0)</f>
        <v/>
      </c>
      <c r="Z1715">
        <f>IFERROR(INDEX(PP_Grid[#Data],$DE1715,23),0)</f>
        <v/>
      </c>
      <c r="AA1715">
        <f>IFERROR(INDEX(PP_Grid[#Data],$DE1715,24),0)</f>
        <v/>
      </c>
      <c r="AB1715">
        <f>IFERROR(INDEX(PP_Grid[#Data],$DE1715,25),0)</f>
        <v/>
      </c>
      <c r="AC1715">
        <f>IFERROR(INDEX(PP_Grid[#Data],$DE1715,26),0)</f>
        <v/>
      </c>
      <c r="AD1715">
        <f>IFERROR(INDEX(PP_Grid[#Data],$DE1715,27),0)</f>
        <v/>
      </c>
      <c r="AE1715">
        <f>IFERROR(INDEX(PP_Grid[#Data],$DE1715,28),0)</f>
        <v/>
      </c>
      <c r="AF1715">
        <f>IFERROR(INDEX(PP_Grid[#Data],$DE1715,29),0)</f>
        <v/>
      </c>
      <c r="AG1715">
        <f>IFERROR(INDEX(PP_Grid[#Data],$DE1715,30),0)</f>
        <v/>
      </c>
      <c r="AH1715">
        <f>IFERROR(INDEX(PP_Grid[#Data],$DE1715,31),0)</f>
        <v/>
      </c>
      <c r="AI1715">
        <f>IFERROR(INDEX(PP_Grid[#Data],$DE1715,32),0)</f>
        <v/>
      </c>
      <c r="AJ1715">
        <f>IFERROR(INDEX(PP_Grid[#Data],$DE1715,33),0)</f>
        <v/>
      </c>
      <c r="AK1715">
        <f>IFERROR(INDEX(PP_Grid[#Data],$DE1715,34),0)</f>
        <v/>
      </c>
      <c r="AL1715">
        <f>IFERROR(INDEX(PP_Grid[#Data],$DE1715,35),0)</f>
        <v/>
      </c>
      <c r="AM1715">
        <f>IFERROR(INDEX(PP_Grid[#Data],$DE1715,36),0)</f>
        <v/>
      </c>
      <c r="AN1715">
        <f>IFERROR(INDEX(PP_Grid[#Data],$DE1715,37),0)</f>
        <v/>
      </c>
      <c r="AO1715">
        <f>IFERROR(INDEX(PP_Grid[#Data],$DE1715,38),0)</f>
        <v/>
      </c>
      <c r="AP1715">
        <f>IFERROR(INDEX(PP_Grid[#Data],$DE1715,39),0)</f>
        <v/>
      </c>
      <c r="AQ1715">
        <f>IFERROR(INDEX(PP_Grid[#Data],$DE1715,40),0)</f>
        <v/>
      </c>
      <c r="AR1715">
        <f>IFERROR(INDEX(PP_Grid[#Data],$DE1715,41),0)</f>
        <v/>
      </c>
      <c r="AS1715">
        <f>IFERROR(INDEX(PP_Grid[#Data],$DE1715,42),0)</f>
        <v/>
      </c>
      <c r="AT1715">
        <f>IFERROR(INDEX(PP_Grid[#Data],$DE1715,43),0)</f>
        <v/>
      </c>
      <c r="AU1715">
        <f>IFERROR(INDEX(PP_Grid[#Data],$DE1715,44),0)</f>
        <v/>
      </c>
      <c r="AV1715">
        <f>IFERROR(INDEX(PP_Grid[#Data],$DE1715,45),0)</f>
        <v/>
      </c>
      <c r="AW1715">
        <f>IFERROR(INDEX(PP_Grid[#Data],$DE1715,46),0)</f>
        <v/>
      </c>
      <c r="AX1715">
        <f>IFERROR(INDEX(PP_Grid[#Data],$DE1715,47),0)</f>
        <v/>
      </c>
      <c r="AY1715">
        <f>IFERROR(INDEX(PP_Grid[#Data],$DE1715,48),0)</f>
        <v/>
      </c>
      <c r="AZ1715">
        <f>IFERROR(INDEX(PP_Grid[#Data],$DE1715,49),0)</f>
        <v/>
      </c>
      <c r="BA1715">
        <f>IFERROR(INDEX(PP_Grid[#Data],$DE1715,50),0)</f>
        <v/>
      </c>
      <c r="BB1715">
        <f>IFERROR(INDEX(PP_Grid[#Data],$DE1715,51),0)</f>
        <v/>
      </c>
      <c r="BC1715">
        <f>IFERROR(INDEX(PP_Grid[#Data],$DE1715,52),0)</f>
        <v/>
      </c>
      <c r="BD1715">
        <f>IFERROR(INDEX(PP_Grid[#Data],$DE1715,53),0)</f>
        <v/>
      </c>
      <c r="BE1715">
        <f>IFERROR(INDEX(PP_Grid[#Data],$DE1715,54),0)</f>
        <v/>
      </c>
      <c r="BF1715">
        <f>IFERROR(INDEX(PP_Grid[#Data],$DE1715,55),0)</f>
        <v/>
      </c>
      <c r="BG1715">
        <f>IFERROR(INDEX(PP_Grid[#Data],$DE1715,56),0)</f>
        <v/>
      </c>
      <c r="BH1715">
        <f>IFERROR(INDEX(PP_Grid[#Data],$DE1715,57),0)</f>
        <v/>
      </c>
      <c r="BI1715">
        <f>IFERROR(INDEX(PP_Grid[#Data],$DE1715,58),0)</f>
        <v/>
      </c>
      <c r="BJ1715">
        <f>IFERROR(INDEX(PP_Grid[#Data],$DE1715,59),0)</f>
        <v/>
      </c>
      <c r="BK1715">
        <f>IFERROR(INDEX(PP_Grid[#Data],$DE1715,60),0)</f>
        <v/>
      </c>
      <c r="BL1715">
        <f>IFERROR(INDEX(PP_Grid[#Data],$DE1715,61),0)</f>
        <v/>
      </c>
      <c r="BM1715">
        <f>IFERROR(INDEX(PP_Grid[#Data],$DE1715,62),0)</f>
        <v/>
      </c>
      <c r="BN1715">
        <f>IFERROR(INDEX(PP_Grid[#Data],$DE1715,63),0)</f>
        <v/>
      </c>
      <c r="BO1715">
        <f>IFERROR(INDEX(PP_Grid[#Data],$DE1715,64),0)</f>
        <v/>
      </c>
      <c r="BP1715">
        <f>IFERROR(INDEX(PP_Grid[#Data],$DE1715,65),0)</f>
        <v/>
      </c>
      <c r="BQ1715">
        <f>IFERROR(INDEX(PP_Grid[#Data],$DE1715,66),0)</f>
        <v/>
      </c>
      <c r="BR1715">
        <f>IFERROR(INDEX(PP_Grid[#Data],$DE1715,67),0)</f>
        <v/>
      </c>
      <c r="BS1715">
        <f>IFERROR(INDEX(PP_Grid[#Data],$DE1715,68),0)</f>
        <v/>
      </c>
      <c r="BT1715">
        <f>IFERROR(INDEX(PP_Grid[#Data],$DE1715,69),0)</f>
        <v/>
      </c>
      <c r="BU1715">
        <f>IFERROR(INDEX(PP_Grid[#Data],$DE1715,70),0)</f>
        <v/>
      </c>
      <c r="BV1715">
        <f>IFERROR(INDEX(PP_Grid[#Data],$DE1715,71),0)</f>
        <v/>
      </c>
      <c r="BW1715">
        <f>IFERROR(INDEX(PP_Grid[#Data],$DE1715,72),0)</f>
        <v/>
      </c>
      <c r="BX1715">
        <f>IFERROR(INDEX(PP_Grid[#Data],$DE1715,73),0)</f>
        <v/>
      </c>
      <c r="BY1715">
        <f>IFERROR(INDEX(PP_Grid[#Data],$DE1715,74),0)</f>
        <v/>
      </c>
      <c r="BZ1715">
        <f>IFERROR(INDEX(PP_Grid[#Data],$DE1715,75),0)</f>
        <v/>
      </c>
      <c r="CA1715">
        <f>IFERROR(INDEX(PP_Grid[#Data],$DE1715,76),0)</f>
        <v/>
      </c>
      <c r="CB1715">
        <f>IFERROR(INDEX(PP_Grid[#Data],$DE1715,77),0)</f>
        <v/>
      </c>
      <c r="CC1715">
        <f>IFERROR(INDEX(PP_Grid[#Data],$DE1715,78),0)</f>
        <v/>
      </c>
      <c r="CD1715">
        <f>IFERROR(INDEX(PP_Grid[#Data],$DE1715,79),0)</f>
        <v/>
      </c>
      <c r="CE1715">
        <f>IFERROR(INDEX(PP_Grid[#Data],$DE1715,80),0)</f>
        <v/>
      </c>
      <c r="CF1715">
        <f>IFERROR(INDEX(PP_Grid[#Data],$DE1715,81),0)</f>
        <v/>
      </c>
      <c r="CG1715">
        <f>IFERROR(INDEX(PP_Grid[#Data],$DE1715,82),0)</f>
        <v/>
      </c>
      <c r="CH1715">
        <f>IFERROR(INDEX(PP_Grid[#Data],$DE1715,83),0)</f>
        <v/>
      </c>
      <c r="CI1715">
        <f>IFERROR(INDEX(PP_Grid[#Data],$DE1715,84),0)</f>
        <v/>
      </c>
      <c r="CJ1715">
        <f>IFERROR(INDEX(PP_Grid[#Data],$DE1715,85),0)</f>
        <v/>
      </c>
      <c r="CK1715">
        <f>IFERROR(INDEX(PP_Grid[#Data],$DE1715,86),0)</f>
        <v/>
      </c>
      <c r="CL1715">
        <f>IFERROR(INDEX(PP_Grid[#Data],$DE1715,87),0)</f>
        <v/>
      </c>
      <c r="CM1715">
        <f>IFERROR(INDEX(PP_Grid[#Data],$DE1715,88),0)</f>
        <v/>
      </c>
      <c r="CN1715">
        <f>IFERROR(INDEX(PP_Grid[#Data],$DE1715,89),0)</f>
        <v/>
      </c>
      <c r="CO1715">
        <f>IFERROR(INDEX(PP_Grid[#Data],$DE1715,90),0)</f>
        <v/>
      </c>
      <c r="CP1715">
        <f>IFERROR(INDEX(PP_Grid[#Data],$DE1715,91),0)</f>
        <v/>
      </c>
      <c r="CQ1715">
        <f>IFERROR(INDEX(PP_Grid[#Data],$DE1715,92),0)</f>
        <v/>
      </c>
      <c r="CR1715">
        <f>IFERROR(INDEX(PP_Grid[#Data],$DE1715,93),0)</f>
        <v/>
      </c>
      <c r="CS1715">
        <f>IFERROR(INDEX(PP_Grid[#Data],$DE1715,94),0)</f>
        <v/>
      </c>
      <c r="CT1715">
        <f>IFERROR(INDEX(PP_Grid[#Data],$DE1715,95),0)</f>
        <v/>
      </c>
      <c r="CU1715">
        <f>IFERROR(INDEX(PP_Grid[#Data],$DE1715,96),0)</f>
        <v/>
      </c>
      <c r="CV1715">
        <f>IFERROR(INDEX(PP_Grid[#Data],$DE1715,97),0)</f>
        <v/>
      </c>
      <c r="CW1715">
        <f>IFERROR(INDEX(PP_Grid[#Data],$DE1715,98),0)</f>
        <v/>
      </c>
      <c r="CX1715">
        <f>IFERROR(INDEX(PP_Grid[#Data],$DE1715,99),0)</f>
        <v/>
      </c>
      <c r="CY1715">
        <f>IFERROR(INDEX(PP_Grid[#Data],$DE1715,100),0)</f>
        <v/>
      </c>
      <c r="CZ1715">
        <f>IFERROR(INDEX(PP_Grid[#Data],$DE1715,101),0)</f>
        <v/>
      </c>
      <c r="DA1715">
        <f>IFERROR(INDEX(PP_Grid[#Data],$DE1715,102),0)</f>
        <v/>
      </c>
      <c r="DB1715">
        <f>IFERROR(INDEX(PP_Grid[#Data],$DE1715,103),0)</f>
        <v/>
      </c>
      <c r="DC1715">
        <f>IFERROR(INDEX(PP_Grid[#Data],$DE1715,104),0)</f>
        <v/>
      </c>
      <c r="DD1715">
        <f>IFERROR(INDEX(PP_Grid[#Data],$DE1715,105),0)</f>
        <v/>
      </c>
      <c r="DE1715" s="7">
        <f>IFERROR(MATCH($B1715,PP_Grid[Intermediate],0),99999)</f>
        <v/>
      </c>
    </row>
    <row r="1716">
      <c r="B1716" t="inlineStr">
        <is>
          <t>使用量(kg)</t>
        </is>
      </c>
      <c r="C1716">
        <f>SUMIFS(M_BOM[RM_Qty_Per_Batch],M_BOM[Intermediate],$B1715,M_BOM[RM_Code],$A1714)</f>
        <v/>
      </c>
      <c r="D1716">
        <f>IFERROR(INDEX(E1716:DD1716,$F$1),"")</f>
        <v/>
      </c>
      <c r="E1716">
        <f>$C1716*E1715</f>
        <v/>
      </c>
      <c r="F1716">
        <f>$C1716*F1715</f>
        <v/>
      </c>
      <c r="G1716">
        <f>$C1716*G1715</f>
        <v/>
      </c>
      <c r="H1716">
        <f>$C1716*H1715</f>
        <v/>
      </c>
      <c r="I1716">
        <f>$C1716*I1715</f>
        <v/>
      </c>
      <c r="J1716">
        <f>$C1716*J1715</f>
        <v/>
      </c>
      <c r="K1716">
        <f>$C1716*K1715</f>
        <v/>
      </c>
      <c r="L1716">
        <f>$C1716*L1715</f>
        <v/>
      </c>
      <c r="M1716">
        <f>$C1716*M1715</f>
        <v/>
      </c>
      <c r="N1716">
        <f>$C1716*N1715</f>
        <v/>
      </c>
      <c r="O1716">
        <f>$C1716*O1715</f>
        <v/>
      </c>
      <c r="P1716">
        <f>$C1716*P1715</f>
        <v/>
      </c>
      <c r="Q1716">
        <f>$C1716*Q1715</f>
        <v/>
      </c>
      <c r="R1716">
        <f>$C1716*R1715</f>
        <v/>
      </c>
      <c r="S1716">
        <f>$C1716*S1715</f>
        <v/>
      </c>
      <c r="T1716">
        <f>$C1716*T1715</f>
        <v/>
      </c>
      <c r="U1716">
        <f>$C1716*U1715</f>
        <v/>
      </c>
      <c r="V1716">
        <f>$C1716*V1715</f>
        <v/>
      </c>
      <c r="W1716">
        <f>$C1716*W1715</f>
        <v/>
      </c>
      <c r="X1716">
        <f>$C1716*X1715</f>
        <v/>
      </c>
      <c r="Y1716">
        <f>$C1716*Y1715</f>
        <v/>
      </c>
      <c r="Z1716">
        <f>$C1716*Z1715</f>
        <v/>
      </c>
      <c r="AA1716">
        <f>$C1716*AA1715</f>
        <v/>
      </c>
      <c r="AB1716">
        <f>$C1716*AB1715</f>
        <v/>
      </c>
      <c r="AC1716">
        <f>$C1716*AC1715</f>
        <v/>
      </c>
      <c r="AD1716">
        <f>$C1716*AD1715</f>
        <v/>
      </c>
      <c r="AE1716">
        <f>$C1716*AE1715</f>
        <v/>
      </c>
      <c r="AF1716">
        <f>$C1716*AF1715</f>
        <v/>
      </c>
      <c r="AG1716">
        <f>$C1716*AG1715</f>
        <v/>
      </c>
      <c r="AH1716">
        <f>$C1716*AH1715</f>
        <v/>
      </c>
      <c r="AI1716">
        <f>$C1716*AI1715</f>
        <v/>
      </c>
      <c r="AJ1716">
        <f>$C1716*AJ1715</f>
        <v/>
      </c>
      <c r="AK1716">
        <f>$C1716*AK1715</f>
        <v/>
      </c>
      <c r="AL1716">
        <f>$C1716*AL1715</f>
        <v/>
      </c>
      <c r="AM1716">
        <f>$C1716*AM1715</f>
        <v/>
      </c>
      <c r="AN1716">
        <f>$C1716*AN1715</f>
        <v/>
      </c>
      <c r="AO1716">
        <f>$C1716*AO1715</f>
        <v/>
      </c>
      <c r="AP1716">
        <f>$C1716*AP1715</f>
        <v/>
      </c>
      <c r="AQ1716">
        <f>$C1716*AQ1715</f>
        <v/>
      </c>
      <c r="AR1716">
        <f>$C1716*AR1715</f>
        <v/>
      </c>
      <c r="AS1716">
        <f>$C1716*AS1715</f>
        <v/>
      </c>
      <c r="AT1716">
        <f>$C1716*AT1715</f>
        <v/>
      </c>
      <c r="AU1716">
        <f>$C1716*AU1715</f>
        <v/>
      </c>
      <c r="AV1716">
        <f>$C1716*AV1715</f>
        <v/>
      </c>
      <c r="AW1716">
        <f>$C1716*AW1715</f>
        <v/>
      </c>
      <c r="AX1716">
        <f>$C1716*AX1715</f>
        <v/>
      </c>
      <c r="AY1716">
        <f>$C1716*AY1715</f>
        <v/>
      </c>
      <c r="AZ1716">
        <f>$C1716*AZ1715</f>
        <v/>
      </c>
      <c r="BA1716">
        <f>$C1716*BA1715</f>
        <v/>
      </c>
      <c r="BB1716">
        <f>$C1716*BB1715</f>
        <v/>
      </c>
      <c r="BC1716">
        <f>$C1716*BC1715</f>
        <v/>
      </c>
      <c r="BD1716">
        <f>$C1716*BD1715</f>
        <v/>
      </c>
      <c r="BE1716">
        <f>$C1716*BE1715</f>
        <v/>
      </c>
      <c r="BF1716">
        <f>$C1716*BF1715</f>
        <v/>
      </c>
      <c r="BG1716">
        <f>$C1716*BG1715</f>
        <v/>
      </c>
      <c r="BH1716">
        <f>$C1716*BH1715</f>
        <v/>
      </c>
      <c r="BI1716">
        <f>$C1716*BI1715</f>
        <v/>
      </c>
      <c r="BJ1716">
        <f>$C1716*BJ1715</f>
        <v/>
      </c>
      <c r="BK1716">
        <f>$C1716*BK1715</f>
        <v/>
      </c>
      <c r="BL1716">
        <f>$C1716*BL1715</f>
        <v/>
      </c>
      <c r="BM1716">
        <f>$C1716*BM1715</f>
        <v/>
      </c>
      <c r="BN1716">
        <f>$C1716*BN1715</f>
        <v/>
      </c>
      <c r="BO1716">
        <f>$C1716*BO1715</f>
        <v/>
      </c>
      <c r="BP1716">
        <f>$C1716*BP1715</f>
        <v/>
      </c>
      <c r="BQ1716">
        <f>$C1716*BQ1715</f>
        <v/>
      </c>
      <c r="BR1716">
        <f>$C1716*BR1715</f>
        <v/>
      </c>
      <c r="BS1716">
        <f>$C1716*BS1715</f>
        <v/>
      </c>
      <c r="BT1716">
        <f>$C1716*BT1715</f>
        <v/>
      </c>
      <c r="BU1716">
        <f>$C1716*BU1715</f>
        <v/>
      </c>
      <c r="BV1716">
        <f>$C1716*BV1715</f>
        <v/>
      </c>
      <c r="BW1716">
        <f>$C1716*BW1715</f>
        <v/>
      </c>
      <c r="BX1716">
        <f>$C1716*BX1715</f>
        <v/>
      </c>
      <c r="BY1716">
        <f>$C1716*BY1715</f>
        <v/>
      </c>
      <c r="BZ1716">
        <f>$C1716*BZ1715</f>
        <v/>
      </c>
      <c r="CA1716">
        <f>$C1716*CA1715</f>
        <v/>
      </c>
      <c r="CB1716">
        <f>$C1716*CB1715</f>
        <v/>
      </c>
      <c r="CC1716">
        <f>$C1716*CC1715</f>
        <v/>
      </c>
      <c r="CD1716">
        <f>$C1716*CD1715</f>
        <v/>
      </c>
      <c r="CE1716">
        <f>$C1716*CE1715</f>
        <v/>
      </c>
      <c r="CF1716">
        <f>$C1716*CF1715</f>
        <v/>
      </c>
      <c r="CG1716">
        <f>$C1716*CG1715</f>
        <v/>
      </c>
      <c r="CH1716">
        <f>$C1716*CH1715</f>
        <v/>
      </c>
      <c r="CI1716">
        <f>$C1716*CI1715</f>
        <v/>
      </c>
      <c r="CJ1716">
        <f>$C1716*CJ1715</f>
        <v/>
      </c>
      <c r="CK1716">
        <f>$C1716*CK1715</f>
        <v/>
      </c>
      <c r="CL1716">
        <f>$C1716*CL1715</f>
        <v/>
      </c>
      <c r="CM1716">
        <f>$C1716*CM1715</f>
        <v/>
      </c>
      <c r="CN1716">
        <f>$C1716*CN1715</f>
        <v/>
      </c>
      <c r="CO1716">
        <f>$C1716*CO1715</f>
        <v/>
      </c>
      <c r="CP1716">
        <f>$C1716*CP1715</f>
        <v/>
      </c>
      <c r="CQ1716">
        <f>$C1716*CQ1715</f>
        <v/>
      </c>
      <c r="CR1716">
        <f>$C1716*CR1715</f>
        <v/>
      </c>
      <c r="CS1716">
        <f>$C1716*CS1715</f>
        <v/>
      </c>
      <c r="CT1716">
        <f>$C1716*CT1715</f>
        <v/>
      </c>
      <c r="CU1716">
        <f>$C1716*CU1715</f>
        <v/>
      </c>
      <c r="CV1716">
        <f>$C1716*CV1715</f>
        <v/>
      </c>
      <c r="CW1716">
        <f>$C1716*CW1715</f>
        <v/>
      </c>
      <c r="CX1716">
        <f>$C1716*CX1715</f>
        <v/>
      </c>
      <c r="CY1716">
        <f>$C1716*CY1715</f>
        <v/>
      </c>
      <c r="CZ1716">
        <f>$C1716*CZ1715</f>
        <v/>
      </c>
      <c r="DA1716">
        <f>$C1716*DA1715</f>
        <v/>
      </c>
      <c r="DB1716">
        <f>$C1716*DB1715</f>
        <v/>
      </c>
      <c r="DC1716">
        <f>$C1716*DC1715</f>
        <v/>
      </c>
      <c r="DD1716">
        <f>$C1716*DD1715</f>
        <v/>
      </c>
    </row>
    <row r="1717">
      <c r="B1717" s="4" t="inlineStr">
        <is>
          <t>合計使用量(kg)/週</t>
        </is>
      </c>
      <c r="D1717" s="23">
        <f>IFERROR(INDEX(E1717:DD1717,$F$1),"")</f>
        <v/>
      </c>
      <c r="E1717">
        <f>'Grid_Requirement'!B68</f>
        <v/>
      </c>
      <c r="F1717">
        <f>'Grid_Requirement'!C68</f>
        <v/>
      </c>
      <c r="G1717">
        <f>'Grid_Requirement'!D68</f>
        <v/>
      </c>
      <c r="H1717">
        <f>'Grid_Requirement'!E68</f>
        <v/>
      </c>
      <c r="I1717">
        <f>'Grid_Requirement'!F68</f>
        <v/>
      </c>
      <c r="J1717">
        <f>'Grid_Requirement'!G68</f>
        <v/>
      </c>
      <c r="K1717">
        <f>'Grid_Requirement'!H68</f>
        <v/>
      </c>
      <c r="L1717">
        <f>'Grid_Requirement'!I68</f>
        <v/>
      </c>
      <c r="M1717">
        <f>'Grid_Requirement'!J68</f>
        <v/>
      </c>
      <c r="N1717">
        <f>'Grid_Requirement'!K68</f>
        <v/>
      </c>
      <c r="O1717">
        <f>'Grid_Requirement'!L68</f>
        <v/>
      </c>
      <c r="P1717">
        <f>'Grid_Requirement'!M68</f>
        <v/>
      </c>
      <c r="Q1717">
        <f>'Grid_Requirement'!N68</f>
        <v/>
      </c>
      <c r="R1717">
        <f>'Grid_Requirement'!O68</f>
        <v/>
      </c>
      <c r="S1717">
        <f>'Grid_Requirement'!P68</f>
        <v/>
      </c>
      <c r="T1717">
        <f>'Grid_Requirement'!Q68</f>
        <v/>
      </c>
      <c r="U1717">
        <f>'Grid_Requirement'!R68</f>
        <v/>
      </c>
      <c r="V1717">
        <f>'Grid_Requirement'!S68</f>
        <v/>
      </c>
      <c r="W1717">
        <f>'Grid_Requirement'!T68</f>
        <v/>
      </c>
      <c r="X1717">
        <f>'Grid_Requirement'!U68</f>
        <v/>
      </c>
      <c r="Y1717">
        <f>'Grid_Requirement'!V68</f>
        <v/>
      </c>
      <c r="Z1717">
        <f>'Grid_Requirement'!W68</f>
        <v/>
      </c>
      <c r="AA1717">
        <f>'Grid_Requirement'!X68</f>
        <v/>
      </c>
      <c r="AB1717">
        <f>'Grid_Requirement'!Y68</f>
        <v/>
      </c>
      <c r="AC1717">
        <f>'Grid_Requirement'!Z68</f>
        <v/>
      </c>
      <c r="AD1717">
        <f>'Grid_Requirement'!AA68</f>
        <v/>
      </c>
      <c r="AE1717">
        <f>'Grid_Requirement'!AB68</f>
        <v/>
      </c>
      <c r="AF1717">
        <f>'Grid_Requirement'!AC68</f>
        <v/>
      </c>
      <c r="AG1717">
        <f>'Grid_Requirement'!AD68</f>
        <v/>
      </c>
      <c r="AH1717">
        <f>'Grid_Requirement'!AE68</f>
        <v/>
      </c>
      <c r="AI1717">
        <f>'Grid_Requirement'!AF68</f>
        <v/>
      </c>
      <c r="AJ1717">
        <f>'Grid_Requirement'!AG68</f>
        <v/>
      </c>
      <c r="AK1717">
        <f>'Grid_Requirement'!AH68</f>
        <v/>
      </c>
      <c r="AL1717">
        <f>'Grid_Requirement'!AI68</f>
        <v/>
      </c>
      <c r="AM1717">
        <f>'Grid_Requirement'!AJ68</f>
        <v/>
      </c>
      <c r="AN1717">
        <f>'Grid_Requirement'!AK68</f>
        <v/>
      </c>
      <c r="AO1717">
        <f>'Grid_Requirement'!AL68</f>
        <v/>
      </c>
      <c r="AP1717">
        <f>'Grid_Requirement'!AM68</f>
        <v/>
      </c>
      <c r="AQ1717">
        <f>'Grid_Requirement'!AN68</f>
        <v/>
      </c>
      <c r="AR1717">
        <f>'Grid_Requirement'!AO68</f>
        <v/>
      </c>
      <c r="AS1717">
        <f>'Grid_Requirement'!AP68</f>
        <v/>
      </c>
      <c r="AT1717">
        <f>'Grid_Requirement'!AQ68</f>
        <v/>
      </c>
      <c r="AU1717">
        <f>'Grid_Requirement'!AR68</f>
        <v/>
      </c>
      <c r="AV1717">
        <f>'Grid_Requirement'!AS68</f>
        <v/>
      </c>
      <c r="AW1717">
        <f>'Grid_Requirement'!AT68</f>
        <v/>
      </c>
      <c r="AX1717">
        <f>'Grid_Requirement'!AU68</f>
        <v/>
      </c>
      <c r="AY1717">
        <f>'Grid_Requirement'!AV68</f>
        <v/>
      </c>
      <c r="AZ1717">
        <f>'Grid_Requirement'!AW68</f>
        <v/>
      </c>
      <c r="BA1717">
        <f>'Grid_Requirement'!AX68</f>
        <v/>
      </c>
      <c r="BB1717">
        <f>'Grid_Requirement'!AY68</f>
        <v/>
      </c>
      <c r="BC1717">
        <f>'Grid_Requirement'!AZ68</f>
        <v/>
      </c>
      <c r="BD1717">
        <f>'Grid_Requirement'!BA68</f>
        <v/>
      </c>
      <c r="BE1717">
        <f>'Grid_Requirement'!BB68</f>
        <v/>
      </c>
      <c r="BF1717">
        <f>'Grid_Requirement'!BC68</f>
        <v/>
      </c>
      <c r="BG1717">
        <f>'Grid_Requirement'!BD68</f>
        <v/>
      </c>
      <c r="BH1717">
        <f>'Grid_Requirement'!BE68</f>
        <v/>
      </c>
      <c r="BI1717">
        <f>'Grid_Requirement'!BF68</f>
        <v/>
      </c>
      <c r="BJ1717">
        <f>'Grid_Requirement'!BG68</f>
        <v/>
      </c>
      <c r="BK1717">
        <f>'Grid_Requirement'!BH68</f>
        <v/>
      </c>
      <c r="BL1717">
        <f>'Grid_Requirement'!BI68</f>
        <v/>
      </c>
      <c r="BM1717">
        <f>'Grid_Requirement'!BJ68</f>
        <v/>
      </c>
      <c r="BN1717">
        <f>'Grid_Requirement'!BK68</f>
        <v/>
      </c>
      <c r="BO1717">
        <f>'Grid_Requirement'!BL68</f>
        <v/>
      </c>
      <c r="BP1717">
        <f>'Grid_Requirement'!BM68</f>
        <v/>
      </c>
      <c r="BQ1717">
        <f>'Grid_Requirement'!BN68</f>
        <v/>
      </c>
      <c r="BR1717">
        <f>'Grid_Requirement'!BO68</f>
        <v/>
      </c>
      <c r="BS1717">
        <f>'Grid_Requirement'!BP68</f>
        <v/>
      </c>
      <c r="BT1717">
        <f>'Grid_Requirement'!BQ68</f>
        <v/>
      </c>
      <c r="BU1717">
        <f>'Grid_Requirement'!BR68</f>
        <v/>
      </c>
      <c r="BV1717">
        <f>'Grid_Requirement'!BS68</f>
        <v/>
      </c>
      <c r="BW1717">
        <f>'Grid_Requirement'!BT68</f>
        <v/>
      </c>
      <c r="BX1717">
        <f>'Grid_Requirement'!BU68</f>
        <v/>
      </c>
      <c r="BY1717">
        <f>'Grid_Requirement'!BV68</f>
        <v/>
      </c>
      <c r="BZ1717">
        <f>'Grid_Requirement'!BW68</f>
        <v/>
      </c>
      <c r="CA1717">
        <f>'Grid_Requirement'!BX68</f>
        <v/>
      </c>
      <c r="CB1717">
        <f>'Grid_Requirement'!BY68</f>
        <v/>
      </c>
      <c r="CC1717">
        <f>'Grid_Requirement'!BZ68</f>
        <v/>
      </c>
      <c r="CD1717">
        <f>'Grid_Requirement'!CA68</f>
        <v/>
      </c>
      <c r="CE1717">
        <f>'Grid_Requirement'!CB68</f>
        <v/>
      </c>
      <c r="CF1717">
        <f>'Grid_Requirement'!CC68</f>
        <v/>
      </c>
      <c r="CG1717">
        <f>'Grid_Requirement'!CD68</f>
        <v/>
      </c>
      <c r="CH1717">
        <f>'Grid_Requirement'!CE68</f>
        <v/>
      </c>
      <c r="CI1717">
        <f>'Grid_Requirement'!CF68</f>
        <v/>
      </c>
      <c r="CJ1717">
        <f>'Grid_Requirement'!CG68</f>
        <v/>
      </c>
      <c r="CK1717">
        <f>'Grid_Requirement'!CH68</f>
        <v/>
      </c>
      <c r="CL1717">
        <f>'Grid_Requirement'!CI68</f>
        <v/>
      </c>
      <c r="CM1717">
        <f>'Grid_Requirement'!CJ68</f>
        <v/>
      </c>
      <c r="CN1717">
        <f>'Grid_Requirement'!CK68</f>
        <v/>
      </c>
      <c r="CO1717">
        <f>'Grid_Requirement'!CL68</f>
        <v/>
      </c>
      <c r="CP1717">
        <f>'Grid_Requirement'!CM68</f>
        <v/>
      </c>
      <c r="CQ1717">
        <f>'Grid_Requirement'!CN68</f>
        <v/>
      </c>
      <c r="CR1717">
        <f>'Grid_Requirement'!CO68</f>
        <v/>
      </c>
      <c r="CS1717">
        <f>'Grid_Requirement'!CP68</f>
        <v/>
      </c>
      <c r="CT1717">
        <f>'Grid_Requirement'!CQ68</f>
        <v/>
      </c>
      <c r="CU1717">
        <f>'Grid_Requirement'!CR68</f>
        <v/>
      </c>
      <c r="CV1717">
        <f>'Grid_Requirement'!CS68</f>
        <v/>
      </c>
      <c r="CW1717">
        <f>'Grid_Requirement'!CT68</f>
        <v/>
      </c>
      <c r="CX1717">
        <f>'Grid_Requirement'!CU68</f>
        <v/>
      </c>
      <c r="CY1717">
        <f>'Grid_Requirement'!CV68</f>
        <v/>
      </c>
      <c r="CZ1717">
        <f>'Grid_Requirement'!CW68</f>
        <v/>
      </c>
      <c r="DA1717">
        <f>'Grid_Requirement'!CX68</f>
        <v/>
      </c>
      <c r="DB1717">
        <f>'Grid_Requirement'!CY68</f>
        <v/>
      </c>
      <c r="DC1717">
        <f>'Grid_Requirement'!CZ68</f>
        <v/>
      </c>
      <c r="DD1717">
        <f>'Grid_Requirement'!DA68</f>
        <v/>
      </c>
    </row>
    <row r="1718">
      <c r="B1718" t="inlineStr">
        <is>
          <t>TTAF在庫(実績,kg)</t>
        </is>
      </c>
      <c r="D1718">
        <f>IFERROR(INDEX(E1718:DD1718,$F$1),"")</f>
        <v/>
      </c>
      <c r="E1718">
        <f>IFERROR(SUMIFS(T_TTAFStock[TTAF_Qty],T_TTAFStock[RM_Code],$A1714,T_TTAFStock[WeekIndex],1),"")</f>
        <v/>
      </c>
      <c r="F1718">
        <f>IFERROR(SUMIFS(T_TTAFStock[TTAF_Qty],T_TTAFStock[RM_Code],$A1714,T_TTAFStock[WeekIndex],2),"")</f>
        <v/>
      </c>
      <c r="G1718">
        <f>IFERROR(SUMIFS(T_TTAFStock[TTAF_Qty],T_TTAFStock[RM_Code],$A1714,T_TTAFStock[WeekIndex],3),"")</f>
        <v/>
      </c>
      <c r="H1718">
        <f>IFERROR(SUMIFS(T_TTAFStock[TTAF_Qty],T_TTAFStock[RM_Code],$A1714,T_TTAFStock[WeekIndex],4),"")</f>
        <v/>
      </c>
      <c r="I1718">
        <f>IFERROR(SUMIFS(T_TTAFStock[TTAF_Qty],T_TTAFStock[RM_Code],$A1714,T_TTAFStock[WeekIndex],5),"")</f>
        <v/>
      </c>
      <c r="J1718">
        <f>IFERROR(SUMIFS(T_TTAFStock[TTAF_Qty],T_TTAFStock[RM_Code],$A1714,T_TTAFStock[WeekIndex],6),"")</f>
        <v/>
      </c>
      <c r="K1718">
        <f>IFERROR(SUMIFS(T_TTAFStock[TTAF_Qty],T_TTAFStock[RM_Code],$A1714,T_TTAFStock[WeekIndex],7),"")</f>
        <v/>
      </c>
      <c r="L1718">
        <f>IFERROR(SUMIFS(T_TTAFStock[TTAF_Qty],T_TTAFStock[RM_Code],$A1714,T_TTAFStock[WeekIndex],8),"")</f>
        <v/>
      </c>
      <c r="M1718">
        <f>IFERROR(SUMIFS(T_TTAFStock[TTAF_Qty],T_TTAFStock[RM_Code],$A1714,T_TTAFStock[WeekIndex],9),"")</f>
        <v/>
      </c>
      <c r="N1718">
        <f>IFERROR(SUMIFS(T_TTAFStock[TTAF_Qty],T_TTAFStock[RM_Code],$A1714,T_TTAFStock[WeekIndex],10),"")</f>
        <v/>
      </c>
      <c r="O1718">
        <f>IFERROR(SUMIFS(T_TTAFStock[TTAF_Qty],T_TTAFStock[RM_Code],$A1714,T_TTAFStock[WeekIndex],11),"")</f>
        <v/>
      </c>
      <c r="P1718">
        <f>IFERROR(SUMIFS(T_TTAFStock[TTAF_Qty],T_TTAFStock[RM_Code],$A1714,T_TTAFStock[WeekIndex],12),"")</f>
        <v/>
      </c>
      <c r="Q1718">
        <f>IFERROR(SUMIFS(T_TTAFStock[TTAF_Qty],T_TTAFStock[RM_Code],$A1714,T_TTAFStock[WeekIndex],13),"")</f>
        <v/>
      </c>
      <c r="R1718">
        <f>IFERROR(SUMIFS(T_TTAFStock[TTAF_Qty],T_TTAFStock[RM_Code],$A1714,T_TTAFStock[WeekIndex],14),"")</f>
        <v/>
      </c>
      <c r="S1718">
        <f>IFERROR(SUMIFS(T_TTAFStock[TTAF_Qty],T_TTAFStock[RM_Code],$A1714,T_TTAFStock[WeekIndex],15),"")</f>
        <v/>
      </c>
      <c r="T1718">
        <f>IFERROR(SUMIFS(T_TTAFStock[TTAF_Qty],T_TTAFStock[RM_Code],$A1714,T_TTAFStock[WeekIndex],16),"")</f>
        <v/>
      </c>
      <c r="U1718">
        <f>IFERROR(SUMIFS(T_TTAFStock[TTAF_Qty],T_TTAFStock[RM_Code],$A1714,T_TTAFStock[WeekIndex],17),"")</f>
        <v/>
      </c>
      <c r="V1718">
        <f>IFERROR(SUMIFS(T_TTAFStock[TTAF_Qty],T_TTAFStock[RM_Code],$A1714,T_TTAFStock[WeekIndex],18),"")</f>
        <v/>
      </c>
      <c r="W1718">
        <f>IFERROR(SUMIFS(T_TTAFStock[TTAF_Qty],T_TTAFStock[RM_Code],$A1714,T_TTAFStock[WeekIndex],19),"")</f>
        <v/>
      </c>
      <c r="X1718">
        <f>IFERROR(SUMIFS(T_TTAFStock[TTAF_Qty],T_TTAFStock[RM_Code],$A1714,T_TTAFStock[WeekIndex],20),"")</f>
        <v/>
      </c>
      <c r="Y1718">
        <f>IFERROR(SUMIFS(T_TTAFStock[TTAF_Qty],T_TTAFStock[RM_Code],$A1714,T_TTAFStock[WeekIndex],21),"")</f>
        <v/>
      </c>
      <c r="Z1718">
        <f>IFERROR(SUMIFS(T_TTAFStock[TTAF_Qty],T_TTAFStock[RM_Code],$A1714,T_TTAFStock[WeekIndex],22),"")</f>
        <v/>
      </c>
      <c r="AA1718">
        <f>IFERROR(SUMIFS(T_TTAFStock[TTAF_Qty],T_TTAFStock[RM_Code],$A1714,T_TTAFStock[WeekIndex],23),"")</f>
        <v/>
      </c>
      <c r="AB1718">
        <f>IFERROR(SUMIFS(T_TTAFStock[TTAF_Qty],T_TTAFStock[RM_Code],$A1714,T_TTAFStock[WeekIndex],24),"")</f>
        <v/>
      </c>
      <c r="AC1718">
        <f>IFERROR(SUMIFS(T_TTAFStock[TTAF_Qty],T_TTAFStock[RM_Code],$A1714,T_TTAFStock[WeekIndex],25),"")</f>
        <v/>
      </c>
      <c r="AD1718">
        <f>IFERROR(SUMIFS(T_TTAFStock[TTAF_Qty],T_TTAFStock[RM_Code],$A1714,T_TTAFStock[WeekIndex],26),"")</f>
        <v/>
      </c>
      <c r="AE1718">
        <f>IFERROR(SUMIFS(T_TTAFStock[TTAF_Qty],T_TTAFStock[RM_Code],$A1714,T_TTAFStock[WeekIndex],27),"")</f>
        <v/>
      </c>
      <c r="AF1718">
        <f>IFERROR(SUMIFS(T_TTAFStock[TTAF_Qty],T_TTAFStock[RM_Code],$A1714,T_TTAFStock[WeekIndex],28),"")</f>
        <v/>
      </c>
      <c r="AG1718">
        <f>IFERROR(SUMIFS(T_TTAFStock[TTAF_Qty],T_TTAFStock[RM_Code],$A1714,T_TTAFStock[WeekIndex],29),"")</f>
        <v/>
      </c>
      <c r="AH1718">
        <f>IFERROR(SUMIFS(T_TTAFStock[TTAF_Qty],T_TTAFStock[RM_Code],$A1714,T_TTAFStock[WeekIndex],30),"")</f>
        <v/>
      </c>
      <c r="AI1718">
        <f>IFERROR(SUMIFS(T_TTAFStock[TTAF_Qty],T_TTAFStock[RM_Code],$A1714,T_TTAFStock[WeekIndex],31),"")</f>
        <v/>
      </c>
      <c r="AJ1718">
        <f>IFERROR(SUMIFS(T_TTAFStock[TTAF_Qty],T_TTAFStock[RM_Code],$A1714,T_TTAFStock[WeekIndex],32),"")</f>
        <v/>
      </c>
      <c r="AK1718">
        <f>IFERROR(SUMIFS(T_TTAFStock[TTAF_Qty],T_TTAFStock[RM_Code],$A1714,T_TTAFStock[WeekIndex],33),"")</f>
        <v/>
      </c>
      <c r="AL1718">
        <f>IFERROR(SUMIFS(T_TTAFStock[TTAF_Qty],T_TTAFStock[RM_Code],$A1714,T_TTAFStock[WeekIndex],34),"")</f>
        <v/>
      </c>
      <c r="AM1718">
        <f>IFERROR(SUMIFS(T_TTAFStock[TTAF_Qty],T_TTAFStock[RM_Code],$A1714,T_TTAFStock[WeekIndex],35),"")</f>
        <v/>
      </c>
      <c r="AN1718">
        <f>IFERROR(SUMIFS(T_TTAFStock[TTAF_Qty],T_TTAFStock[RM_Code],$A1714,T_TTAFStock[WeekIndex],36),"")</f>
        <v/>
      </c>
      <c r="AO1718">
        <f>IFERROR(SUMIFS(T_TTAFStock[TTAF_Qty],T_TTAFStock[RM_Code],$A1714,T_TTAFStock[WeekIndex],37),"")</f>
        <v/>
      </c>
      <c r="AP1718">
        <f>IFERROR(SUMIFS(T_TTAFStock[TTAF_Qty],T_TTAFStock[RM_Code],$A1714,T_TTAFStock[WeekIndex],38),"")</f>
        <v/>
      </c>
      <c r="AQ1718">
        <f>IFERROR(SUMIFS(T_TTAFStock[TTAF_Qty],T_TTAFStock[RM_Code],$A1714,T_TTAFStock[WeekIndex],39),"")</f>
        <v/>
      </c>
      <c r="AR1718">
        <f>IFERROR(SUMIFS(T_TTAFStock[TTAF_Qty],T_TTAFStock[RM_Code],$A1714,T_TTAFStock[WeekIndex],40),"")</f>
        <v/>
      </c>
      <c r="AS1718">
        <f>IFERROR(SUMIFS(T_TTAFStock[TTAF_Qty],T_TTAFStock[RM_Code],$A1714,T_TTAFStock[WeekIndex],41),"")</f>
        <v/>
      </c>
      <c r="AT1718">
        <f>IFERROR(SUMIFS(T_TTAFStock[TTAF_Qty],T_TTAFStock[RM_Code],$A1714,T_TTAFStock[WeekIndex],42),"")</f>
        <v/>
      </c>
      <c r="AU1718">
        <f>IFERROR(SUMIFS(T_TTAFStock[TTAF_Qty],T_TTAFStock[RM_Code],$A1714,T_TTAFStock[WeekIndex],43),"")</f>
        <v/>
      </c>
      <c r="AV1718">
        <f>IFERROR(SUMIFS(T_TTAFStock[TTAF_Qty],T_TTAFStock[RM_Code],$A1714,T_TTAFStock[WeekIndex],44),"")</f>
        <v/>
      </c>
      <c r="AW1718">
        <f>IFERROR(SUMIFS(T_TTAFStock[TTAF_Qty],T_TTAFStock[RM_Code],$A1714,T_TTAFStock[WeekIndex],45),"")</f>
        <v/>
      </c>
      <c r="AX1718">
        <f>IFERROR(SUMIFS(T_TTAFStock[TTAF_Qty],T_TTAFStock[RM_Code],$A1714,T_TTAFStock[WeekIndex],46),"")</f>
        <v/>
      </c>
      <c r="AY1718">
        <f>IFERROR(SUMIFS(T_TTAFStock[TTAF_Qty],T_TTAFStock[RM_Code],$A1714,T_TTAFStock[WeekIndex],47),"")</f>
        <v/>
      </c>
      <c r="AZ1718">
        <f>IFERROR(SUMIFS(T_TTAFStock[TTAF_Qty],T_TTAFStock[RM_Code],$A1714,T_TTAFStock[WeekIndex],48),"")</f>
        <v/>
      </c>
      <c r="BA1718">
        <f>IFERROR(SUMIFS(T_TTAFStock[TTAF_Qty],T_TTAFStock[RM_Code],$A1714,T_TTAFStock[WeekIndex],49),"")</f>
        <v/>
      </c>
      <c r="BB1718">
        <f>IFERROR(SUMIFS(T_TTAFStock[TTAF_Qty],T_TTAFStock[RM_Code],$A1714,T_TTAFStock[WeekIndex],50),"")</f>
        <v/>
      </c>
      <c r="BC1718">
        <f>IFERROR(SUMIFS(T_TTAFStock[TTAF_Qty],T_TTAFStock[RM_Code],$A1714,T_TTAFStock[WeekIndex],51),"")</f>
        <v/>
      </c>
      <c r="BD1718">
        <f>IFERROR(SUMIFS(T_TTAFStock[TTAF_Qty],T_TTAFStock[RM_Code],$A1714,T_TTAFStock[WeekIndex],52),"")</f>
        <v/>
      </c>
      <c r="BE1718">
        <f>IFERROR(SUMIFS(T_TTAFStock[TTAF_Qty],T_TTAFStock[RM_Code],$A1714,T_TTAFStock[WeekIndex],53),"")</f>
        <v/>
      </c>
      <c r="BF1718">
        <f>IFERROR(SUMIFS(T_TTAFStock[TTAF_Qty],T_TTAFStock[RM_Code],$A1714,T_TTAFStock[WeekIndex],54),"")</f>
        <v/>
      </c>
      <c r="BG1718">
        <f>IFERROR(SUMIFS(T_TTAFStock[TTAF_Qty],T_TTAFStock[RM_Code],$A1714,T_TTAFStock[WeekIndex],55),"")</f>
        <v/>
      </c>
      <c r="BH1718">
        <f>IFERROR(SUMIFS(T_TTAFStock[TTAF_Qty],T_TTAFStock[RM_Code],$A1714,T_TTAFStock[WeekIndex],56),"")</f>
        <v/>
      </c>
      <c r="BI1718">
        <f>IFERROR(SUMIFS(T_TTAFStock[TTAF_Qty],T_TTAFStock[RM_Code],$A1714,T_TTAFStock[WeekIndex],57),"")</f>
        <v/>
      </c>
      <c r="BJ1718">
        <f>IFERROR(SUMIFS(T_TTAFStock[TTAF_Qty],T_TTAFStock[RM_Code],$A1714,T_TTAFStock[WeekIndex],58),"")</f>
        <v/>
      </c>
      <c r="BK1718">
        <f>IFERROR(SUMIFS(T_TTAFStock[TTAF_Qty],T_TTAFStock[RM_Code],$A1714,T_TTAFStock[WeekIndex],59),"")</f>
        <v/>
      </c>
      <c r="BL1718">
        <f>IFERROR(SUMIFS(T_TTAFStock[TTAF_Qty],T_TTAFStock[RM_Code],$A1714,T_TTAFStock[WeekIndex],60),"")</f>
        <v/>
      </c>
      <c r="BM1718">
        <f>IFERROR(SUMIFS(T_TTAFStock[TTAF_Qty],T_TTAFStock[RM_Code],$A1714,T_TTAFStock[WeekIndex],61),"")</f>
        <v/>
      </c>
      <c r="BN1718">
        <f>IFERROR(SUMIFS(T_TTAFStock[TTAF_Qty],T_TTAFStock[RM_Code],$A1714,T_TTAFStock[WeekIndex],62),"")</f>
        <v/>
      </c>
      <c r="BO1718">
        <f>IFERROR(SUMIFS(T_TTAFStock[TTAF_Qty],T_TTAFStock[RM_Code],$A1714,T_TTAFStock[WeekIndex],63),"")</f>
        <v/>
      </c>
      <c r="BP1718">
        <f>IFERROR(SUMIFS(T_TTAFStock[TTAF_Qty],T_TTAFStock[RM_Code],$A1714,T_TTAFStock[WeekIndex],64),"")</f>
        <v/>
      </c>
      <c r="BQ1718">
        <f>IFERROR(SUMIFS(T_TTAFStock[TTAF_Qty],T_TTAFStock[RM_Code],$A1714,T_TTAFStock[WeekIndex],65),"")</f>
        <v/>
      </c>
      <c r="BR1718">
        <f>IFERROR(SUMIFS(T_TTAFStock[TTAF_Qty],T_TTAFStock[RM_Code],$A1714,T_TTAFStock[WeekIndex],66),"")</f>
        <v/>
      </c>
      <c r="BS1718">
        <f>IFERROR(SUMIFS(T_TTAFStock[TTAF_Qty],T_TTAFStock[RM_Code],$A1714,T_TTAFStock[WeekIndex],67),"")</f>
        <v/>
      </c>
      <c r="BT1718">
        <f>IFERROR(SUMIFS(T_TTAFStock[TTAF_Qty],T_TTAFStock[RM_Code],$A1714,T_TTAFStock[WeekIndex],68),"")</f>
        <v/>
      </c>
      <c r="BU1718">
        <f>IFERROR(SUMIFS(T_TTAFStock[TTAF_Qty],T_TTAFStock[RM_Code],$A1714,T_TTAFStock[WeekIndex],69),"")</f>
        <v/>
      </c>
      <c r="BV1718">
        <f>IFERROR(SUMIFS(T_TTAFStock[TTAF_Qty],T_TTAFStock[RM_Code],$A1714,T_TTAFStock[WeekIndex],70),"")</f>
        <v/>
      </c>
      <c r="BW1718">
        <f>IFERROR(SUMIFS(T_TTAFStock[TTAF_Qty],T_TTAFStock[RM_Code],$A1714,T_TTAFStock[WeekIndex],71),"")</f>
        <v/>
      </c>
      <c r="BX1718">
        <f>IFERROR(SUMIFS(T_TTAFStock[TTAF_Qty],T_TTAFStock[RM_Code],$A1714,T_TTAFStock[WeekIndex],72),"")</f>
        <v/>
      </c>
      <c r="BY1718">
        <f>IFERROR(SUMIFS(T_TTAFStock[TTAF_Qty],T_TTAFStock[RM_Code],$A1714,T_TTAFStock[WeekIndex],73),"")</f>
        <v/>
      </c>
      <c r="BZ1718">
        <f>IFERROR(SUMIFS(T_TTAFStock[TTAF_Qty],T_TTAFStock[RM_Code],$A1714,T_TTAFStock[WeekIndex],74),"")</f>
        <v/>
      </c>
      <c r="CA1718">
        <f>IFERROR(SUMIFS(T_TTAFStock[TTAF_Qty],T_TTAFStock[RM_Code],$A1714,T_TTAFStock[WeekIndex],75),"")</f>
        <v/>
      </c>
      <c r="CB1718">
        <f>IFERROR(SUMIFS(T_TTAFStock[TTAF_Qty],T_TTAFStock[RM_Code],$A1714,T_TTAFStock[WeekIndex],76),"")</f>
        <v/>
      </c>
      <c r="CC1718">
        <f>IFERROR(SUMIFS(T_TTAFStock[TTAF_Qty],T_TTAFStock[RM_Code],$A1714,T_TTAFStock[WeekIndex],77),"")</f>
        <v/>
      </c>
      <c r="CD1718">
        <f>IFERROR(SUMIFS(T_TTAFStock[TTAF_Qty],T_TTAFStock[RM_Code],$A1714,T_TTAFStock[WeekIndex],78),"")</f>
        <v/>
      </c>
      <c r="CE1718">
        <f>IFERROR(SUMIFS(T_TTAFStock[TTAF_Qty],T_TTAFStock[RM_Code],$A1714,T_TTAFStock[WeekIndex],79),"")</f>
        <v/>
      </c>
      <c r="CF1718">
        <f>IFERROR(SUMIFS(T_TTAFStock[TTAF_Qty],T_TTAFStock[RM_Code],$A1714,T_TTAFStock[WeekIndex],80),"")</f>
        <v/>
      </c>
      <c r="CG1718">
        <f>IFERROR(SUMIFS(T_TTAFStock[TTAF_Qty],T_TTAFStock[RM_Code],$A1714,T_TTAFStock[WeekIndex],81),"")</f>
        <v/>
      </c>
      <c r="CH1718">
        <f>IFERROR(SUMIFS(T_TTAFStock[TTAF_Qty],T_TTAFStock[RM_Code],$A1714,T_TTAFStock[WeekIndex],82),"")</f>
        <v/>
      </c>
      <c r="CI1718">
        <f>IFERROR(SUMIFS(T_TTAFStock[TTAF_Qty],T_TTAFStock[RM_Code],$A1714,T_TTAFStock[WeekIndex],83),"")</f>
        <v/>
      </c>
      <c r="CJ1718">
        <f>IFERROR(SUMIFS(T_TTAFStock[TTAF_Qty],T_TTAFStock[RM_Code],$A1714,T_TTAFStock[WeekIndex],84),"")</f>
        <v/>
      </c>
      <c r="CK1718">
        <f>IFERROR(SUMIFS(T_TTAFStock[TTAF_Qty],T_TTAFStock[RM_Code],$A1714,T_TTAFStock[WeekIndex],85),"")</f>
        <v/>
      </c>
      <c r="CL1718">
        <f>IFERROR(SUMIFS(T_TTAFStock[TTAF_Qty],T_TTAFStock[RM_Code],$A1714,T_TTAFStock[WeekIndex],86),"")</f>
        <v/>
      </c>
      <c r="CM1718">
        <f>IFERROR(SUMIFS(T_TTAFStock[TTAF_Qty],T_TTAFStock[RM_Code],$A1714,T_TTAFStock[WeekIndex],87),"")</f>
        <v/>
      </c>
      <c r="CN1718">
        <f>IFERROR(SUMIFS(T_TTAFStock[TTAF_Qty],T_TTAFStock[RM_Code],$A1714,T_TTAFStock[WeekIndex],88),"")</f>
        <v/>
      </c>
      <c r="CO1718">
        <f>IFERROR(SUMIFS(T_TTAFStock[TTAF_Qty],T_TTAFStock[RM_Code],$A1714,T_TTAFStock[WeekIndex],89),"")</f>
        <v/>
      </c>
      <c r="CP1718">
        <f>IFERROR(SUMIFS(T_TTAFStock[TTAF_Qty],T_TTAFStock[RM_Code],$A1714,T_TTAFStock[WeekIndex],90),"")</f>
        <v/>
      </c>
      <c r="CQ1718">
        <f>IFERROR(SUMIFS(T_TTAFStock[TTAF_Qty],T_TTAFStock[RM_Code],$A1714,T_TTAFStock[WeekIndex],91),"")</f>
        <v/>
      </c>
      <c r="CR1718">
        <f>IFERROR(SUMIFS(T_TTAFStock[TTAF_Qty],T_TTAFStock[RM_Code],$A1714,T_TTAFStock[WeekIndex],92),"")</f>
        <v/>
      </c>
      <c r="CS1718">
        <f>IFERROR(SUMIFS(T_TTAFStock[TTAF_Qty],T_TTAFStock[RM_Code],$A1714,T_TTAFStock[WeekIndex],93),"")</f>
        <v/>
      </c>
      <c r="CT1718">
        <f>IFERROR(SUMIFS(T_TTAFStock[TTAF_Qty],T_TTAFStock[RM_Code],$A1714,T_TTAFStock[WeekIndex],94),"")</f>
        <v/>
      </c>
      <c r="CU1718">
        <f>IFERROR(SUMIFS(T_TTAFStock[TTAF_Qty],T_TTAFStock[RM_Code],$A1714,T_TTAFStock[WeekIndex],95),"")</f>
        <v/>
      </c>
      <c r="CV1718">
        <f>IFERROR(SUMIFS(T_TTAFStock[TTAF_Qty],T_TTAFStock[RM_Code],$A1714,T_TTAFStock[WeekIndex],96),"")</f>
        <v/>
      </c>
      <c r="CW1718">
        <f>IFERROR(SUMIFS(T_TTAFStock[TTAF_Qty],T_TTAFStock[RM_Code],$A1714,T_TTAFStock[WeekIndex],97),"")</f>
        <v/>
      </c>
      <c r="CX1718">
        <f>IFERROR(SUMIFS(T_TTAFStock[TTAF_Qty],T_TTAFStock[RM_Code],$A1714,T_TTAFStock[WeekIndex],98),"")</f>
        <v/>
      </c>
      <c r="CY1718">
        <f>IFERROR(SUMIFS(T_TTAFStock[TTAF_Qty],T_TTAFStock[RM_Code],$A1714,T_TTAFStock[WeekIndex],99),"")</f>
        <v/>
      </c>
      <c r="CZ1718">
        <f>IFERROR(SUMIFS(T_TTAFStock[TTAF_Qty],T_TTAFStock[RM_Code],$A1714,T_TTAFStock[WeekIndex],100),"")</f>
        <v/>
      </c>
      <c r="DA1718">
        <f>IFERROR(SUMIFS(T_TTAFStock[TTAF_Qty],T_TTAFStock[RM_Code],$A1714,T_TTAFStock[WeekIndex],101),"")</f>
        <v/>
      </c>
      <c r="DB1718">
        <f>IFERROR(SUMIFS(T_TTAFStock[TTAF_Qty],T_TTAFStock[RM_Code],$A1714,T_TTAFStock[WeekIndex],102),"")</f>
        <v/>
      </c>
      <c r="DC1718">
        <f>IFERROR(SUMIFS(T_TTAFStock[TTAF_Qty],T_TTAFStock[RM_Code],$A1714,T_TTAFStock[WeekIndex],103),"")</f>
        <v/>
      </c>
      <c r="DD1718">
        <f>IFERROR(SUMIFS(T_TTAFStock[TTAF_Qty],T_TTAFStock[RM_Code],$A1714,T_TTAFStock[WeekIndex],104),"")</f>
        <v/>
      </c>
    </row>
    <row r="1719">
      <c r="B1719" t="inlineStr">
        <is>
          <t>自社在庫(実績,kg)</t>
        </is>
      </c>
      <c r="D1719">
        <f>IFERROR(INDEX(E1719:DD1719,$F$1),"")</f>
        <v/>
      </c>
      <c r="E1719">
        <f>IFERROR(SUMIFS(T_SelfStock[Self_Qty],T_SelfStock[RM_Code],$A1714,T_SelfStock[WeekIndex],1),"")</f>
        <v/>
      </c>
      <c r="F1719">
        <f>IFERROR(SUMIFS(T_SelfStock[Self_Qty],T_SelfStock[RM_Code],$A1714,T_SelfStock[WeekIndex],2),"")</f>
        <v/>
      </c>
      <c r="G1719">
        <f>IFERROR(SUMIFS(T_SelfStock[Self_Qty],T_SelfStock[RM_Code],$A1714,T_SelfStock[WeekIndex],3),"")</f>
        <v/>
      </c>
      <c r="H1719">
        <f>IFERROR(SUMIFS(T_SelfStock[Self_Qty],T_SelfStock[RM_Code],$A1714,T_SelfStock[WeekIndex],4),"")</f>
        <v/>
      </c>
      <c r="I1719">
        <f>IFERROR(SUMIFS(T_SelfStock[Self_Qty],T_SelfStock[RM_Code],$A1714,T_SelfStock[WeekIndex],5),"")</f>
        <v/>
      </c>
      <c r="J1719">
        <f>IFERROR(SUMIFS(T_SelfStock[Self_Qty],T_SelfStock[RM_Code],$A1714,T_SelfStock[WeekIndex],6),"")</f>
        <v/>
      </c>
      <c r="K1719">
        <f>IFERROR(SUMIFS(T_SelfStock[Self_Qty],T_SelfStock[RM_Code],$A1714,T_SelfStock[WeekIndex],7),"")</f>
        <v/>
      </c>
      <c r="L1719">
        <f>IFERROR(SUMIFS(T_SelfStock[Self_Qty],T_SelfStock[RM_Code],$A1714,T_SelfStock[WeekIndex],8),"")</f>
        <v/>
      </c>
      <c r="M1719">
        <f>IFERROR(SUMIFS(T_SelfStock[Self_Qty],T_SelfStock[RM_Code],$A1714,T_SelfStock[WeekIndex],9),"")</f>
        <v/>
      </c>
      <c r="N1719">
        <f>IFERROR(SUMIFS(T_SelfStock[Self_Qty],T_SelfStock[RM_Code],$A1714,T_SelfStock[WeekIndex],10),"")</f>
        <v/>
      </c>
      <c r="O1719">
        <f>IFERROR(SUMIFS(T_SelfStock[Self_Qty],T_SelfStock[RM_Code],$A1714,T_SelfStock[WeekIndex],11),"")</f>
        <v/>
      </c>
      <c r="P1719">
        <f>IFERROR(SUMIFS(T_SelfStock[Self_Qty],T_SelfStock[RM_Code],$A1714,T_SelfStock[WeekIndex],12),"")</f>
        <v/>
      </c>
      <c r="Q1719">
        <f>IFERROR(SUMIFS(T_SelfStock[Self_Qty],T_SelfStock[RM_Code],$A1714,T_SelfStock[WeekIndex],13),"")</f>
        <v/>
      </c>
      <c r="R1719">
        <f>IFERROR(SUMIFS(T_SelfStock[Self_Qty],T_SelfStock[RM_Code],$A1714,T_SelfStock[WeekIndex],14),"")</f>
        <v/>
      </c>
      <c r="S1719">
        <f>IFERROR(SUMIFS(T_SelfStock[Self_Qty],T_SelfStock[RM_Code],$A1714,T_SelfStock[WeekIndex],15),"")</f>
        <v/>
      </c>
      <c r="T1719">
        <f>IFERROR(SUMIFS(T_SelfStock[Self_Qty],T_SelfStock[RM_Code],$A1714,T_SelfStock[WeekIndex],16),"")</f>
        <v/>
      </c>
      <c r="U1719">
        <f>IFERROR(SUMIFS(T_SelfStock[Self_Qty],T_SelfStock[RM_Code],$A1714,T_SelfStock[WeekIndex],17),"")</f>
        <v/>
      </c>
      <c r="V1719">
        <f>IFERROR(SUMIFS(T_SelfStock[Self_Qty],T_SelfStock[RM_Code],$A1714,T_SelfStock[WeekIndex],18),"")</f>
        <v/>
      </c>
      <c r="W1719">
        <f>IFERROR(SUMIFS(T_SelfStock[Self_Qty],T_SelfStock[RM_Code],$A1714,T_SelfStock[WeekIndex],19),"")</f>
        <v/>
      </c>
      <c r="X1719">
        <f>IFERROR(SUMIFS(T_SelfStock[Self_Qty],T_SelfStock[RM_Code],$A1714,T_SelfStock[WeekIndex],20),"")</f>
        <v/>
      </c>
      <c r="Y1719">
        <f>IFERROR(SUMIFS(T_SelfStock[Self_Qty],T_SelfStock[RM_Code],$A1714,T_SelfStock[WeekIndex],21),"")</f>
        <v/>
      </c>
      <c r="Z1719">
        <f>IFERROR(SUMIFS(T_SelfStock[Self_Qty],T_SelfStock[RM_Code],$A1714,T_SelfStock[WeekIndex],22),"")</f>
        <v/>
      </c>
      <c r="AA1719">
        <f>IFERROR(SUMIFS(T_SelfStock[Self_Qty],T_SelfStock[RM_Code],$A1714,T_SelfStock[WeekIndex],23),"")</f>
        <v/>
      </c>
      <c r="AB1719">
        <f>IFERROR(SUMIFS(T_SelfStock[Self_Qty],T_SelfStock[RM_Code],$A1714,T_SelfStock[WeekIndex],24),"")</f>
        <v/>
      </c>
      <c r="AC1719">
        <f>IFERROR(SUMIFS(T_SelfStock[Self_Qty],T_SelfStock[RM_Code],$A1714,T_SelfStock[WeekIndex],25),"")</f>
        <v/>
      </c>
      <c r="AD1719">
        <f>IFERROR(SUMIFS(T_SelfStock[Self_Qty],T_SelfStock[RM_Code],$A1714,T_SelfStock[WeekIndex],26),"")</f>
        <v/>
      </c>
      <c r="AE1719">
        <f>IFERROR(SUMIFS(T_SelfStock[Self_Qty],T_SelfStock[RM_Code],$A1714,T_SelfStock[WeekIndex],27),"")</f>
        <v/>
      </c>
      <c r="AF1719">
        <f>IFERROR(SUMIFS(T_SelfStock[Self_Qty],T_SelfStock[RM_Code],$A1714,T_SelfStock[WeekIndex],28),"")</f>
        <v/>
      </c>
      <c r="AG1719">
        <f>IFERROR(SUMIFS(T_SelfStock[Self_Qty],T_SelfStock[RM_Code],$A1714,T_SelfStock[WeekIndex],29),"")</f>
        <v/>
      </c>
      <c r="AH1719">
        <f>IFERROR(SUMIFS(T_SelfStock[Self_Qty],T_SelfStock[RM_Code],$A1714,T_SelfStock[WeekIndex],30),"")</f>
        <v/>
      </c>
      <c r="AI1719">
        <f>IFERROR(SUMIFS(T_SelfStock[Self_Qty],T_SelfStock[RM_Code],$A1714,T_SelfStock[WeekIndex],31),"")</f>
        <v/>
      </c>
      <c r="AJ1719">
        <f>IFERROR(SUMIFS(T_SelfStock[Self_Qty],T_SelfStock[RM_Code],$A1714,T_SelfStock[WeekIndex],32),"")</f>
        <v/>
      </c>
      <c r="AK1719">
        <f>IFERROR(SUMIFS(T_SelfStock[Self_Qty],T_SelfStock[RM_Code],$A1714,T_SelfStock[WeekIndex],33),"")</f>
        <v/>
      </c>
      <c r="AL1719">
        <f>IFERROR(SUMIFS(T_SelfStock[Self_Qty],T_SelfStock[RM_Code],$A1714,T_SelfStock[WeekIndex],34),"")</f>
        <v/>
      </c>
      <c r="AM1719">
        <f>IFERROR(SUMIFS(T_SelfStock[Self_Qty],T_SelfStock[RM_Code],$A1714,T_SelfStock[WeekIndex],35),"")</f>
        <v/>
      </c>
      <c r="AN1719">
        <f>IFERROR(SUMIFS(T_SelfStock[Self_Qty],T_SelfStock[RM_Code],$A1714,T_SelfStock[WeekIndex],36),"")</f>
        <v/>
      </c>
      <c r="AO1719">
        <f>IFERROR(SUMIFS(T_SelfStock[Self_Qty],T_SelfStock[RM_Code],$A1714,T_SelfStock[WeekIndex],37),"")</f>
        <v/>
      </c>
      <c r="AP1719">
        <f>IFERROR(SUMIFS(T_SelfStock[Self_Qty],T_SelfStock[RM_Code],$A1714,T_SelfStock[WeekIndex],38),"")</f>
        <v/>
      </c>
      <c r="AQ1719">
        <f>IFERROR(SUMIFS(T_SelfStock[Self_Qty],T_SelfStock[RM_Code],$A1714,T_SelfStock[WeekIndex],39),"")</f>
        <v/>
      </c>
      <c r="AR1719">
        <f>IFERROR(SUMIFS(T_SelfStock[Self_Qty],T_SelfStock[RM_Code],$A1714,T_SelfStock[WeekIndex],40),"")</f>
        <v/>
      </c>
      <c r="AS1719">
        <f>IFERROR(SUMIFS(T_SelfStock[Self_Qty],T_SelfStock[RM_Code],$A1714,T_SelfStock[WeekIndex],41),"")</f>
        <v/>
      </c>
      <c r="AT1719">
        <f>IFERROR(SUMIFS(T_SelfStock[Self_Qty],T_SelfStock[RM_Code],$A1714,T_SelfStock[WeekIndex],42),"")</f>
        <v/>
      </c>
      <c r="AU1719">
        <f>IFERROR(SUMIFS(T_SelfStock[Self_Qty],T_SelfStock[RM_Code],$A1714,T_SelfStock[WeekIndex],43),"")</f>
        <v/>
      </c>
      <c r="AV1719">
        <f>IFERROR(SUMIFS(T_SelfStock[Self_Qty],T_SelfStock[RM_Code],$A1714,T_SelfStock[WeekIndex],44),"")</f>
        <v/>
      </c>
      <c r="AW1719">
        <f>IFERROR(SUMIFS(T_SelfStock[Self_Qty],T_SelfStock[RM_Code],$A1714,T_SelfStock[WeekIndex],45),"")</f>
        <v/>
      </c>
      <c r="AX1719">
        <f>IFERROR(SUMIFS(T_SelfStock[Self_Qty],T_SelfStock[RM_Code],$A1714,T_SelfStock[WeekIndex],46),"")</f>
        <v/>
      </c>
      <c r="AY1719">
        <f>IFERROR(SUMIFS(T_SelfStock[Self_Qty],T_SelfStock[RM_Code],$A1714,T_SelfStock[WeekIndex],47),"")</f>
        <v/>
      </c>
      <c r="AZ1719">
        <f>IFERROR(SUMIFS(T_SelfStock[Self_Qty],T_SelfStock[RM_Code],$A1714,T_SelfStock[WeekIndex],48),"")</f>
        <v/>
      </c>
      <c r="BA1719">
        <f>IFERROR(SUMIFS(T_SelfStock[Self_Qty],T_SelfStock[RM_Code],$A1714,T_SelfStock[WeekIndex],49),"")</f>
        <v/>
      </c>
      <c r="BB1719">
        <f>IFERROR(SUMIFS(T_SelfStock[Self_Qty],T_SelfStock[RM_Code],$A1714,T_SelfStock[WeekIndex],50),"")</f>
        <v/>
      </c>
      <c r="BC1719">
        <f>IFERROR(SUMIFS(T_SelfStock[Self_Qty],T_SelfStock[RM_Code],$A1714,T_SelfStock[WeekIndex],51),"")</f>
        <v/>
      </c>
      <c r="BD1719">
        <f>IFERROR(SUMIFS(T_SelfStock[Self_Qty],T_SelfStock[RM_Code],$A1714,T_SelfStock[WeekIndex],52),"")</f>
        <v/>
      </c>
      <c r="BE1719">
        <f>IFERROR(SUMIFS(T_SelfStock[Self_Qty],T_SelfStock[RM_Code],$A1714,T_SelfStock[WeekIndex],53),"")</f>
        <v/>
      </c>
      <c r="BF1719">
        <f>IFERROR(SUMIFS(T_SelfStock[Self_Qty],T_SelfStock[RM_Code],$A1714,T_SelfStock[WeekIndex],54),"")</f>
        <v/>
      </c>
      <c r="BG1719">
        <f>IFERROR(SUMIFS(T_SelfStock[Self_Qty],T_SelfStock[RM_Code],$A1714,T_SelfStock[WeekIndex],55),"")</f>
        <v/>
      </c>
      <c r="BH1719">
        <f>IFERROR(SUMIFS(T_SelfStock[Self_Qty],T_SelfStock[RM_Code],$A1714,T_SelfStock[WeekIndex],56),"")</f>
        <v/>
      </c>
      <c r="BI1719">
        <f>IFERROR(SUMIFS(T_SelfStock[Self_Qty],T_SelfStock[RM_Code],$A1714,T_SelfStock[WeekIndex],57),"")</f>
        <v/>
      </c>
      <c r="BJ1719">
        <f>IFERROR(SUMIFS(T_SelfStock[Self_Qty],T_SelfStock[RM_Code],$A1714,T_SelfStock[WeekIndex],58),"")</f>
        <v/>
      </c>
      <c r="BK1719">
        <f>IFERROR(SUMIFS(T_SelfStock[Self_Qty],T_SelfStock[RM_Code],$A1714,T_SelfStock[WeekIndex],59),"")</f>
        <v/>
      </c>
      <c r="BL1719">
        <f>IFERROR(SUMIFS(T_SelfStock[Self_Qty],T_SelfStock[RM_Code],$A1714,T_SelfStock[WeekIndex],60),"")</f>
        <v/>
      </c>
      <c r="BM1719">
        <f>IFERROR(SUMIFS(T_SelfStock[Self_Qty],T_SelfStock[RM_Code],$A1714,T_SelfStock[WeekIndex],61),"")</f>
        <v/>
      </c>
      <c r="BN1719">
        <f>IFERROR(SUMIFS(T_SelfStock[Self_Qty],T_SelfStock[RM_Code],$A1714,T_SelfStock[WeekIndex],62),"")</f>
        <v/>
      </c>
      <c r="BO1719">
        <f>IFERROR(SUMIFS(T_SelfStock[Self_Qty],T_SelfStock[RM_Code],$A1714,T_SelfStock[WeekIndex],63),"")</f>
        <v/>
      </c>
      <c r="BP1719">
        <f>IFERROR(SUMIFS(T_SelfStock[Self_Qty],T_SelfStock[RM_Code],$A1714,T_SelfStock[WeekIndex],64),"")</f>
        <v/>
      </c>
      <c r="BQ1719">
        <f>IFERROR(SUMIFS(T_SelfStock[Self_Qty],T_SelfStock[RM_Code],$A1714,T_SelfStock[WeekIndex],65),"")</f>
        <v/>
      </c>
      <c r="BR1719">
        <f>IFERROR(SUMIFS(T_SelfStock[Self_Qty],T_SelfStock[RM_Code],$A1714,T_SelfStock[WeekIndex],66),"")</f>
        <v/>
      </c>
      <c r="BS1719">
        <f>IFERROR(SUMIFS(T_SelfStock[Self_Qty],T_SelfStock[RM_Code],$A1714,T_SelfStock[WeekIndex],67),"")</f>
        <v/>
      </c>
      <c r="BT1719">
        <f>IFERROR(SUMIFS(T_SelfStock[Self_Qty],T_SelfStock[RM_Code],$A1714,T_SelfStock[WeekIndex],68),"")</f>
        <v/>
      </c>
      <c r="BU1719">
        <f>IFERROR(SUMIFS(T_SelfStock[Self_Qty],T_SelfStock[RM_Code],$A1714,T_SelfStock[WeekIndex],69),"")</f>
        <v/>
      </c>
      <c r="BV1719">
        <f>IFERROR(SUMIFS(T_SelfStock[Self_Qty],T_SelfStock[RM_Code],$A1714,T_SelfStock[WeekIndex],70),"")</f>
        <v/>
      </c>
      <c r="BW1719">
        <f>IFERROR(SUMIFS(T_SelfStock[Self_Qty],T_SelfStock[RM_Code],$A1714,T_SelfStock[WeekIndex],71),"")</f>
        <v/>
      </c>
      <c r="BX1719">
        <f>IFERROR(SUMIFS(T_SelfStock[Self_Qty],T_SelfStock[RM_Code],$A1714,T_SelfStock[WeekIndex],72),"")</f>
        <v/>
      </c>
      <c r="BY1719">
        <f>IFERROR(SUMIFS(T_SelfStock[Self_Qty],T_SelfStock[RM_Code],$A1714,T_SelfStock[WeekIndex],73),"")</f>
        <v/>
      </c>
      <c r="BZ1719">
        <f>IFERROR(SUMIFS(T_SelfStock[Self_Qty],T_SelfStock[RM_Code],$A1714,T_SelfStock[WeekIndex],74),"")</f>
        <v/>
      </c>
      <c r="CA1719">
        <f>IFERROR(SUMIFS(T_SelfStock[Self_Qty],T_SelfStock[RM_Code],$A1714,T_SelfStock[WeekIndex],75),"")</f>
        <v/>
      </c>
      <c r="CB1719">
        <f>IFERROR(SUMIFS(T_SelfStock[Self_Qty],T_SelfStock[RM_Code],$A1714,T_SelfStock[WeekIndex],76),"")</f>
        <v/>
      </c>
      <c r="CC1719">
        <f>IFERROR(SUMIFS(T_SelfStock[Self_Qty],T_SelfStock[RM_Code],$A1714,T_SelfStock[WeekIndex],77),"")</f>
        <v/>
      </c>
      <c r="CD1719">
        <f>IFERROR(SUMIFS(T_SelfStock[Self_Qty],T_SelfStock[RM_Code],$A1714,T_SelfStock[WeekIndex],78),"")</f>
        <v/>
      </c>
      <c r="CE1719">
        <f>IFERROR(SUMIFS(T_SelfStock[Self_Qty],T_SelfStock[RM_Code],$A1714,T_SelfStock[WeekIndex],79),"")</f>
        <v/>
      </c>
      <c r="CF1719">
        <f>IFERROR(SUMIFS(T_SelfStock[Self_Qty],T_SelfStock[RM_Code],$A1714,T_SelfStock[WeekIndex],80),"")</f>
        <v/>
      </c>
      <c r="CG1719">
        <f>IFERROR(SUMIFS(T_SelfStock[Self_Qty],T_SelfStock[RM_Code],$A1714,T_SelfStock[WeekIndex],81),"")</f>
        <v/>
      </c>
      <c r="CH1719">
        <f>IFERROR(SUMIFS(T_SelfStock[Self_Qty],T_SelfStock[RM_Code],$A1714,T_SelfStock[WeekIndex],82),"")</f>
        <v/>
      </c>
      <c r="CI1719">
        <f>IFERROR(SUMIFS(T_SelfStock[Self_Qty],T_SelfStock[RM_Code],$A1714,T_SelfStock[WeekIndex],83),"")</f>
        <v/>
      </c>
      <c r="CJ1719">
        <f>IFERROR(SUMIFS(T_SelfStock[Self_Qty],T_SelfStock[RM_Code],$A1714,T_SelfStock[WeekIndex],84),"")</f>
        <v/>
      </c>
      <c r="CK1719">
        <f>IFERROR(SUMIFS(T_SelfStock[Self_Qty],T_SelfStock[RM_Code],$A1714,T_SelfStock[WeekIndex],85),"")</f>
        <v/>
      </c>
      <c r="CL1719">
        <f>IFERROR(SUMIFS(T_SelfStock[Self_Qty],T_SelfStock[RM_Code],$A1714,T_SelfStock[WeekIndex],86),"")</f>
        <v/>
      </c>
      <c r="CM1719">
        <f>IFERROR(SUMIFS(T_SelfStock[Self_Qty],T_SelfStock[RM_Code],$A1714,T_SelfStock[WeekIndex],87),"")</f>
        <v/>
      </c>
      <c r="CN1719">
        <f>IFERROR(SUMIFS(T_SelfStock[Self_Qty],T_SelfStock[RM_Code],$A1714,T_SelfStock[WeekIndex],88),"")</f>
        <v/>
      </c>
      <c r="CO1719">
        <f>IFERROR(SUMIFS(T_SelfStock[Self_Qty],T_SelfStock[RM_Code],$A1714,T_SelfStock[WeekIndex],89),"")</f>
        <v/>
      </c>
      <c r="CP1719">
        <f>IFERROR(SUMIFS(T_SelfStock[Self_Qty],T_SelfStock[RM_Code],$A1714,T_SelfStock[WeekIndex],90),"")</f>
        <v/>
      </c>
      <c r="CQ1719">
        <f>IFERROR(SUMIFS(T_SelfStock[Self_Qty],T_SelfStock[RM_Code],$A1714,T_SelfStock[WeekIndex],91),"")</f>
        <v/>
      </c>
      <c r="CR1719">
        <f>IFERROR(SUMIFS(T_SelfStock[Self_Qty],T_SelfStock[RM_Code],$A1714,T_SelfStock[WeekIndex],92),"")</f>
        <v/>
      </c>
      <c r="CS1719">
        <f>IFERROR(SUMIFS(T_SelfStock[Self_Qty],T_SelfStock[RM_Code],$A1714,T_SelfStock[WeekIndex],93),"")</f>
        <v/>
      </c>
      <c r="CT1719">
        <f>IFERROR(SUMIFS(T_SelfStock[Self_Qty],T_SelfStock[RM_Code],$A1714,T_SelfStock[WeekIndex],94),"")</f>
        <v/>
      </c>
      <c r="CU1719">
        <f>IFERROR(SUMIFS(T_SelfStock[Self_Qty],T_SelfStock[RM_Code],$A1714,T_SelfStock[WeekIndex],95),"")</f>
        <v/>
      </c>
      <c r="CV1719">
        <f>IFERROR(SUMIFS(T_SelfStock[Self_Qty],T_SelfStock[RM_Code],$A1714,T_SelfStock[WeekIndex],96),"")</f>
        <v/>
      </c>
      <c r="CW1719">
        <f>IFERROR(SUMIFS(T_SelfStock[Self_Qty],T_SelfStock[RM_Code],$A1714,T_SelfStock[WeekIndex],97),"")</f>
        <v/>
      </c>
      <c r="CX1719">
        <f>IFERROR(SUMIFS(T_SelfStock[Self_Qty],T_SelfStock[RM_Code],$A1714,T_SelfStock[WeekIndex],98),"")</f>
        <v/>
      </c>
      <c r="CY1719">
        <f>IFERROR(SUMIFS(T_SelfStock[Self_Qty],T_SelfStock[RM_Code],$A1714,T_SelfStock[WeekIndex],99),"")</f>
        <v/>
      </c>
      <c r="CZ1719">
        <f>IFERROR(SUMIFS(T_SelfStock[Self_Qty],T_SelfStock[RM_Code],$A1714,T_SelfStock[WeekIndex],100),"")</f>
        <v/>
      </c>
      <c r="DA1719">
        <f>IFERROR(SUMIFS(T_SelfStock[Self_Qty],T_SelfStock[RM_Code],$A1714,T_SelfStock[WeekIndex],101),"")</f>
        <v/>
      </c>
      <c r="DB1719">
        <f>IFERROR(SUMIFS(T_SelfStock[Self_Qty],T_SelfStock[RM_Code],$A1714,T_SelfStock[WeekIndex],102),"")</f>
        <v/>
      </c>
      <c r="DC1719">
        <f>IFERROR(SUMIFS(T_SelfStock[Self_Qty],T_SelfStock[RM_Code],$A1714,T_SelfStock[WeekIndex],103),"")</f>
        <v/>
      </c>
      <c r="DD1719">
        <f>IFERROR(SUMIFS(T_SelfStock[Self_Qty],T_SelfStock[RM_Code],$A1714,T_SelfStock[WeekIndex],104),"")</f>
        <v/>
      </c>
    </row>
    <row r="1720">
      <c r="B1720" s="4" t="inlineStr">
        <is>
          <t>合計在庫(週末時点,kg)</t>
        </is>
      </c>
      <c r="D1720" s="24">
        <f>IFERROR(INDEX(E1720:DD1720,$F$1),"")</f>
        <v/>
      </c>
      <c r="E1720">
        <f>'Grid_Stock'!B68</f>
        <v/>
      </c>
      <c r="F1720">
        <f>'Grid_Stock'!C68</f>
        <v/>
      </c>
      <c r="G1720">
        <f>'Grid_Stock'!D68</f>
        <v/>
      </c>
      <c r="H1720">
        <f>'Grid_Stock'!E68</f>
        <v/>
      </c>
      <c r="I1720">
        <f>'Grid_Stock'!F68</f>
        <v/>
      </c>
      <c r="J1720">
        <f>'Grid_Stock'!G68</f>
        <v/>
      </c>
      <c r="K1720">
        <f>'Grid_Stock'!H68</f>
        <v/>
      </c>
      <c r="L1720">
        <f>'Grid_Stock'!I68</f>
        <v/>
      </c>
      <c r="M1720">
        <f>'Grid_Stock'!J68</f>
        <v/>
      </c>
      <c r="N1720">
        <f>'Grid_Stock'!K68</f>
        <v/>
      </c>
      <c r="O1720">
        <f>'Grid_Stock'!L68</f>
        <v/>
      </c>
      <c r="P1720">
        <f>'Grid_Stock'!M68</f>
        <v/>
      </c>
      <c r="Q1720">
        <f>'Grid_Stock'!N68</f>
        <v/>
      </c>
      <c r="R1720">
        <f>'Grid_Stock'!O68</f>
        <v/>
      </c>
      <c r="S1720">
        <f>'Grid_Stock'!P68</f>
        <v/>
      </c>
      <c r="T1720">
        <f>'Grid_Stock'!Q68</f>
        <v/>
      </c>
      <c r="U1720">
        <f>'Grid_Stock'!R68</f>
        <v/>
      </c>
      <c r="V1720">
        <f>'Grid_Stock'!S68</f>
        <v/>
      </c>
      <c r="W1720">
        <f>'Grid_Stock'!T68</f>
        <v/>
      </c>
      <c r="X1720">
        <f>'Grid_Stock'!U68</f>
        <v/>
      </c>
      <c r="Y1720">
        <f>'Grid_Stock'!V68</f>
        <v/>
      </c>
      <c r="Z1720">
        <f>'Grid_Stock'!W68</f>
        <v/>
      </c>
      <c r="AA1720">
        <f>'Grid_Stock'!X68</f>
        <v/>
      </c>
      <c r="AB1720">
        <f>'Grid_Stock'!Y68</f>
        <v/>
      </c>
      <c r="AC1720">
        <f>'Grid_Stock'!Z68</f>
        <v/>
      </c>
      <c r="AD1720">
        <f>'Grid_Stock'!AA68</f>
        <v/>
      </c>
      <c r="AE1720">
        <f>'Grid_Stock'!AB68</f>
        <v/>
      </c>
      <c r="AF1720">
        <f>'Grid_Stock'!AC68</f>
        <v/>
      </c>
      <c r="AG1720">
        <f>'Grid_Stock'!AD68</f>
        <v/>
      </c>
      <c r="AH1720">
        <f>'Grid_Stock'!AE68</f>
        <v/>
      </c>
      <c r="AI1720">
        <f>'Grid_Stock'!AF68</f>
        <v/>
      </c>
      <c r="AJ1720">
        <f>'Grid_Stock'!AG68</f>
        <v/>
      </c>
      <c r="AK1720">
        <f>'Grid_Stock'!AH68</f>
        <v/>
      </c>
      <c r="AL1720">
        <f>'Grid_Stock'!AI68</f>
        <v/>
      </c>
      <c r="AM1720">
        <f>'Grid_Stock'!AJ68</f>
        <v/>
      </c>
      <c r="AN1720">
        <f>'Grid_Stock'!AK68</f>
        <v/>
      </c>
      <c r="AO1720">
        <f>'Grid_Stock'!AL68</f>
        <v/>
      </c>
      <c r="AP1720">
        <f>'Grid_Stock'!AM68</f>
        <v/>
      </c>
      <c r="AQ1720">
        <f>'Grid_Stock'!AN68</f>
        <v/>
      </c>
      <c r="AR1720">
        <f>'Grid_Stock'!AO68</f>
        <v/>
      </c>
      <c r="AS1720">
        <f>'Grid_Stock'!AP68</f>
        <v/>
      </c>
      <c r="AT1720">
        <f>'Grid_Stock'!AQ68</f>
        <v/>
      </c>
      <c r="AU1720">
        <f>'Grid_Stock'!AR68</f>
        <v/>
      </c>
      <c r="AV1720">
        <f>'Grid_Stock'!AS68</f>
        <v/>
      </c>
      <c r="AW1720">
        <f>'Grid_Stock'!AT68</f>
        <v/>
      </c>
      <c r="AX1720">
        <f>'Grid_Stock'!AU68</f>
        <v/>
      </c>
      <c r="AY1720">
        <f>'Grid_Stock'!AV68</f>
        <v/>
      </c>
      <c r="AZ1720">
        <f>'Grid_Stock'!AW68</f>
        <v/>
      </c>
      <c r="BA1720">
        <f>'Grid_Stock'!AX68</f>
        <v/>
      </c>
      <c r="BB1720">
        <f>'Grid_Stock'!AY68</f>
        <v/>
      </c>
      <c r="BC1720">
        <f>'Grid_Stock'!AZ68</f>
        <v/>
      </c>
      <c r="BD1720">
        <f>'Grid_Stock'!BA68</f>
        <v/>
      </c>
      <c r="BE1720">
        <f>'Grid_Stock'!BB68</f>
        <v/>
      </c>
      <c r="BF1720">
        <f>'Grid_Stock'!BC68</f>
        <v/>
      </c>
      <c r="BG1720">
        <f>'Grid_Stock'!BD68</f>
        <v/>
      </c>
      <c r="BH1720">
        <f>'Grid_Stock'!BE68</f>
        <v/>
      </c>
      <c r="BI1720">
        <f>'Grid_Stock'!BF68</f>
        <v/>
      </c>
      <c r="BJ1720">
        <f>'Grid_Stock'!BG68</f>
        <v/>
      </c>
      <c r="BK1720">
        <f>'Grid_Stock'!BH68</f>
        <v/>
      </c>
      <c r="BL1720">
        <f>'Grid_Stock'!BI68</f>
        <v/>
      </c>
      <c r="BM1720">
        <f>'Grid_Stock'!BJ68</f>
        <v/>
      </c>
      <c r="BN1720">
        <f>'Grid_Stock'!BK68</f>
        <v/>
      </c>
      <c r="BO1720">
        <f>'Grid_Stock'!BL68</f>
        <v/>
      </c>
      <c r="BP1720">
        <f>'Grid_Stock'!BM68</f>
        <v/>
      </c>
      <c r="BQ1720">
        <f>'Grid_Stock'!BN68</f>
        <v/>
      </c>
      <c r="BR1720">
        <f>'Grid_Stock'!BO68</f>
        <v/>
      </c>
      <c r="BS1720">
        <f>'Grid_Stock'!BP68</f>
        <v/>
      </c>
      <c r="BT1720">
        <f>'Grid_Stock'!BQ68</f>
        <v/>
      </c>
      <c r="BU1720">
        <f>'Grid_Stock'!BR68</f>
        <v/>
      </c>
      <c r="BV1720">
        <f>'Grid_Stock'!BS68</f>
        <v/>
      </c>
      <c r="BW1720">
        <f>'Grid_Stock'!BT68</f>
        <v/>
      </c>
      <c r="BX1720">
        <f>'Grid_Stock'!BU68</f>
        <v/>
      </c>
      <c r="BY1720">
        <f>'Grid_Stock'!BV68</f>
        <v/>
      </c>
      <c r="BZ1720">
        <f>'Grid_Stock'!BW68</f>
        <v/>
      </c>
      <c r="CA1720">
        <f>'Grid_Stock'!BX68</f>
        <v/>
      </c>
      <c r="CB1720">
        <f>'Grid_Stock'!BY68</f>
        <v/>
      </c>
      <c r="CC1720">
        <f>'Grid_Stock'!BZ68</f>
        <v/>
      </c>
      <c r="CD1720">
        <f>'Grid_Stock'!CA68</f>
        <v/>
      </c>
      <c r="CE1720">
        <f>'Grid_Stock'!CB68</f>
        <v/>
      </c>
      <c r="CF1720">
        <f>'Grid_Stock'!CC68</f>
        <v/>
      </c>
      <c r="CG1720">
        <f>'Grid_Stock'!CD68</f>
        <v/>
      </c>
      <c r="CH1720">
        <f>'Grid_Stock'!CE68</f>
        <v/>
      </c>
      <c r="CI1720">
        <f>'Grid_Stock'!CF68</f>
        <v/>
      </c>
      <c r="CJ1720">
        <f>'Grid_Stock'!CG68</f>
        <v/>
      </c>
      <c r="CK1720">
        <f>'Grid_Stock'!CH68</f>
        <v/>
      </c>
      <c r="CL1720">
        <f>'Grid_Stock'!CI68</f>
        <v/>
      </c>
      <c r="CM1720">
        <f>'Grid_Stock'!CJ68</f>
        <v/>
      </c>
      <c r="CN1720">
        <f>'Grid_Stock'!CK68</f>
        <v/>
      </c>
      <c r="CO1720">
        <f>'Grid_Stock'!CL68</f>
        <v/>
      </c>
      <c r="CP1720">
        <f>'Grid_Stock'!CM68</f>
        <v/>
      </c>
      <c r="CQ1720">
        <f>'Grid_Stock'!CN68</f>
        <v/>
      </c>
      <c r="CR1720">
        <f>'Grid_Stock'!CO68</f>
        <v/>
      </c>
      <c r="CS1720">
        <f>'Grid_Stock'!CP68</f>
        <v/>
      </c>
      <c r="CT1720">
        <f>'Grid_Stock'!CQ68</f>
        <v/>
      </c>
      <c r="CU1720">
        <f>'Grid_Stock'!CR68</f>
        <v/>
      </c>
      <c r="CV1720">
        <f>'Grid_Stock'!CS68</f>
        <v/>
      </c>
      <c r="CW1720">
        <f>'Grid_Stock'!CT68</f>
        <v/>
      </c>
      <c r="CX1720">
        <f>'Grid_Stock'!CU68</f>
        <v/>
      </c>
      <c r="CY1720">
        <f>'Grid_Stock'!CV68</f>
        <v/>
      </c>
      <c r="CZ1720">
        <f>'Grid_Stock'!CW68</f>
        <v/>
      </c>
      <c r="DA1720">
        <f>'Grid_Stock'!CX68</f>
        <v/>
      </c>
      <c r="DB1720">
        <f>'Grid_Stock'!CY68</f>
        <v/>
      </c>
      <c r="DC1720">
        <f>'Grid_Stock'!CZ68</f>
        <v/>
      </c>
      <c r="DD1720">
        <f>'Grid_Stock'!DA68</f>
        <v/>
      </c>
    </row>
    <row r="1721">
      <c r="B1721" s="25" t="inlineStr">
        <is>
          <t>（発注の目安はDashboardの基準在庫[下限/上限]と色分けを参照）</t>
        </is>
      </c>
    </row>
    <row r="1723">
      <c r="A1723" s="21" t="inlineStr">
        <is>
          <t>9RN</t>
        </is>
      </c>
      <c r="B1723" s="21" t="inlineStr">
        <is>
          <t>N30S89R11WF7  4FK13117080</t>
        </is>
      </c>
      <c r="C1723" s="22" t="n"/>
      <c r="D1723" s="21" t="n"/>
      <c r="E1723" s="21" t="n"/>
      <c r="F1723" s="21" t="n"/>
      <c r="G1723" s="21" t="n"/>
      <c r="H1723" s="21" t="n"/>
      <c r="I1723" s="21" t="n"/>
      <c r="J1723" s="21" t="n"/>
      <c r="K1723" s="21" t="n"/>
      <c r="L1723" s="21" t="n"/>
      <c r="M1723" s="21" t="n"/>
      <c r="N1723" s="21" t="n"/>
      <c r="O1723" s="21" t="n"/>
      <c r="P1723" s="21" t="n"/>
      <c r="Q1723" s="21" t="n"/>
      <c r="R1723" s="21" t="n"/>
      <c r="S1723" s="21" t="n"/>
      <c r="T1723" s="21" t="n"/>
      <c r="U1723" s="21" t="n"/>
      <c r="V1723" s="21" t="n"/>
      <c r="W1723" s="21" t="n"/>
      <c r="X1723" s="21" t="n"/>
      <c r="Y1723" s="21" t="n"/>
      <c r="Z1723" s="21" t="n"/>
      <c r="AA1723" s="21" t="n"/>
      <c r="AB1723" s="21" t="n"/>
      <c r="AC1723" s="21" t="n"/>
      <c r="AD1723" s="21" t="n"/>
      <c r="AE1723" s="21" t="n"/>
      <c r="AF1723" s="21" t="n"/>
      <c r="AG1723" s="21" t="n"/>
      <c r="AH1723" s="21" t="n"/>
      <c r="AI1723" s="21" t="n"/>
      <c r="AJ1723" s="21" t="n"/>
      <c r="AK1723" s="21" t="n"/>
      <c r="AL1723" s="21" t="n"/>
      <c r="AM1723" s="21" t="n"/>
      <c r="AN1723" s="21" t="n"/>
      <c r="AO1723" s="21" t="n"/>
      <c r="AP1723" s="21" t="n"/>
      <c r="AQ1723" s="21" t="n"/>
      <c r="AR1723" s="21" t="n"/>
      <c r="AS1723" s="21" t="n"/>
      <c r="AT1723" s="21" t="n"/>
      <c r="AU1723" s="21" t="n"/>
      <c r="AV1723" s="21" t="n"/>
      <c r="AW1723" s="21" t="n"/>
      <c r="AX1723" s="21" t="n"/>
      <c r="AY1723" s="21" t="n"/>
      <c r="AZ1723" s="21" t="n"/>
      <c r="BA1723" s="21" t="n"/>
      <c r="BB1723" s="21" t="n"/>
      <c r="BC1723" s="21" t="n"/>
      <c r="BD1723" s="21" t="n"/>
      <c r="BE1723" s="21" t="n"/>
      <c r="BF1723" s="21" t="n"/>
      <c r="BG1723" s="21" t="n"/>
      <c r="BH1723" s="21" t="n"/>
      <c r="BI1723" s="21" t="n"/>
      <c r="BJ1723" s="21" t="n"/>
      <c r="BK1723" s="21" t="n"/>
      <c r="BL1723" s="21" t="n"/>
      <c r="BM1723" s="21" t="n"/>
      <c r="BN1723" s="21" t="n"/>
      <c r="BO1723" s="21" t="n"/>
      <c r="BP1723" s="21" t="n"/>
      <c r="BQ1723" s="21" t="n"/>
      <c r="BR1723" s="21" t="n"/>
      <c r="BS1723" s="21" t="n"/>
      <c r="BT1723" s="21" t="n"/>
      <c r="BU1723" s="21" t="n"/>
      <c r="BV1723" s="21" t="n"/>
      <c r="BW1723" s="21" t="n"/>
      <c r="BX1723" s="21" t="n"/>
      <c r="BY1723" s="21" t="n"/>
      <c r="BZ1723" s="21" t="n"/>
      <c r="CA1723" s="21" t="n"/>
      <c r="CB1723" s="21" t="n"/>
      <c r="CC1723" s="21" t="n"/>
      <c r="CD1723" s="21" t="n"/>
      <c r="CE1723" s="21" t="n"/>
      <c r="CF1723" s="21" t="n"/>
      <c r="CG1723" s="21" t="n"/>
      <c r="CH1723" s="21" t="n"/>
      <c r="CI1723" s="21" t="n"/>
      <c r="CJ1723" s="21" t="n"/>
      <c r="CK1723" s="21" t="n"/>
      <c r="CL1723" s="21" t="n"/>
      <c r="CM1723" s="21" t="n"/>
      <c r="CN1723" s="21" t="n"/>
      <c r="CO1723" s="21" t="n"/>
      <c r="CP1723" s="21" t="n"/>
      <c r="CQ1723" s="21" t="n"/>
      <c r="CR1723" s="21" t="n"/>
      <c r="CS1723" s="21" t="n"/>
      <c r="CT1723" s="21" t="n"/>
      <c r="CU1723" s="21" t="n"/>
      <c r="CV1723" s="21" t="n"/>
      <c r="CW1723" s="21" t="n"/>
      <c r="CX1723" s="21" t="n"/>
      <c r="CY1723" s="21" t="n"/>
      <c r="CZ1723" s="21" t="n"/>
      <c r="DA1723" s="21" t="n"/>
      <c r="DB1723" s="21" t="n"/>
      <c r="DC1723" s="21" t="n"/>
      <c r="DD1723" s="21" t="n"/>
    </row>
    <row r="1724">
      <c r="B1724" t="inlineStr">
        <is>
          <t>K0050</t>
        </is>
      </c>
      <c r="C1724" t="inlineStr">
        <is>
          <t>No. of batches</t>
        </is>
      </c>
      <c r="D1724">
        <f>IFERROR(INDEX(E1724:DD1724,$F$1),"")</f>
        <v/>
      </c>
      <c r="E1724">
        <f>IFERROR(INDEX(PP_Grid[#Data],$DE1724,2),0)</f>
        <v/>
      </c>
      <c r="F1724">
        <f>IFERROR(INDEX(PP_Grid[#Data],$DE1724,3),0)</f>
        <v/>
      </c>
      <c r="G1724">
        <f>IFERROR(INDEX(PP_Grid[#Data],$DE1724,4),0)</f>
        <v/>
      </c>
      <c r="H1724">
        <f>IFERROR(INDEX(PP_Grid[#Data],$DE1724,5),0)</f>
        <v/>
      </c>
      <c r="I1724">
        <f>IFERROR(INDEX(PP_Grid[#Data],$DE1724,6),0)</f>
        <v/>
      </c>
      <c r="J1724">
        <f>IFERROR(INDEX(PP_Grid[#Data],$DE1724,7),0)</f>
        <v/>
      </c>
      <c r="K1724">
        <f>IFERROR(INDEX(PP_Grid[#Data],$DE1724,8),0)</f>
        <v/>
      </c>
      <c r="L1724">
        <f>IFERROR(INDEX(PP_Grid[#Data],$DE1724,9),0)</f>
        <v/>
      </c>
      <c r="M1724">
        <f>IFERROR(INDEX(PP_Grid[#Data],$DE1724,10),0)</f>
        <v/>
      </c>
      <c r="N1724">
        <f>IFERROR(INDEX(PP_Grid[#Data],$DE1724,11),0)</f>
        <v/>
      </c>
      <c r="O1724">
        <f>IFERROR(INDEX(PP_Grid[#Data],$DE1724,12),0)</f>
        <v/>
      </c>
      <c r="P1724">
        <f>IFERROR(INDEX(PP_Grid[#Data],$DE1724,13),0)</f>
        <v/>
      </c>
      <c r="Q1724">
        <f>IFERROR(INDEX(PP_Grid[#Data],$DE1724,14),0)</f>
        <v/>
      </c>
      <c r="R1724">
        <f>IFERROR(INDEX(PP_Grid[#Data],$DE1724,15),0)</f>
        <v/>
      </c>
      <c r="S1724">
        <f>IFERROR(INDEX(PP_Grid[#Data],$DE1724,16),0)</f>
        <v/>
      </c>
      <c r="T1724">
        <f>IFERROR(INDEX(PP_Grid[#Data],$DE1724,17),0)</f>
        <v/>
      </c>
      <c r="U1724">
        <f>IFERROR(INDEX(PP_Grid[#Data],$DE1724,18),0)</f>
        <v/>
      </c>
      <c r="V1724">
        <f>IFERROR(INDEX(PP_Grid[#Data],$DE1724,19),0)</f>
        <v/>
      </c>
      <c r="W1724">
        <f>IFERROR(INDEX(PP_Grid[#Data],$DE1724,20),0)</f>
        <v/>
      </c>
      <c r="X1724">
        <f>IFERROR(INDEX(PP_Grid[#Data],$DE1724,21),0)</f>
        <v/>
      </c>
      <c r="Y1724">
        <f>IFERROR(INDEX(PP_Grid[#Data],$DE1724,22),0)</f>
        <v/>
      </c>
      <c r="Z1724">
        <f>IFERROR(INDEX(PP_Grid[#Data],$DE1724,23),0)</f>
        <v/>
      </c>
      <c r="AA1724">
        <f>IFERROR(INDEX(PP_Grid[#Data],$DE1724,24),0)</f>
        <v/>
      </c>
      <c r="AB1724">
        <f>IFERROR(INDEX(PP_Grid[#Data],$DE1724,25),0)</f>
        <v/>
      </c>
      <c r="AC1724">
        <f>IFERROR(INDEX(PP_Grid[#Data],$DE1724,26),0)</f>
        <v/>
      </c>
      <c r="AD1724">
        <f>IFERROR(INDEX(PP_Grid[#Data],$DE1724,27),0)</f>
        <v/>
      </c>
      <c r="AE1724">
        <f>IFERROR(INDEX(PP_Grid[#Data],$DE1724,28),0)</f>
        <v/>
      </c>
      <c r="AF1724">
        <f>IFERROR(INDEX(PP_Grid[#Data],$DE1724,29),0)</f>
        <v/>
      </c>
      <c r="AG1724">
        <f>IFERROR(INDEX(PP_Grid[#Data],$DE1724,30),0)</f>
        <v/>
      </c>
      <c r="AH1724">
        <f>IFERROR(INDEX(PP_Grid[#Data],$DE1724,31),0)</f>
        <v/>
      </c>
      <c r="AI1724">
        <f>IFERROR(INDEX(PP_Grid[#Data],$DE1724,32),0)</f>
        <v/>
      </c>
      <c r="AJ1724">
        <f>IFERROR(INDEX(PP_Grid[#Data],$DE1724,33),0)</f>
        <v/>
      </c>
      <c r="AK1724">
        <f>IFERROR(INDEX(PP_Grid[#Data],$DE1724,34),0)</f>
        <v/>
      </c>
      <c r="AL1724">
        <f>IFERROR(INDEX(PP_Grid[#Data],$DE1724,35),0)</f>
        <v/>
      </c>
      <c r="AM1724">
        <f>IFERROR(INDEX(PP_Grid[#Data],$DE1724,36),0)</f>
        <v/>
      </c>
      <c r="AN1724">
        <f>IFERROR(INDEX(PP_Grid[#Data],$DE1724,37),0)</f>
        <v/>
      </c>
      <c r="AO1724">
        <f>IFERROR(INDEX(PP_Grid[#Data],$DE1724,38),0)</f>
        <v/>
      </c>
      <c r="AP1724">
        <f>IFERROR(INDEX(PP_Grid[#Data],$DE1724,39),0)</f>
        <v/>
      </c>
      <c r="AQ1724">
        <f>IFERROR(INDEX(PP_Grid[#Data],$DE1724,40),0)</f>
        <v/>
      </c>
      <c r="AR1724">
        <f>IFERROR(INDEX(PP_Grid[#Data],$DE1724,41),0)</f>
        <v/>
      </c>
      <c r="AS1724">
        <f>IFERROR(INDEX(PP_Grid[#Data],$DE1724,42),0)</f>
        <v/>
      </c>
      <c r="AT1724">
        <f>IFERROR(INDEX(PP_Grid[#Data],$DE1724,43),0)</f>
        <v/>
      </c>
      <c r="AU1724">
        <f>IFERROR(INDEX(PP_Grid[#Data],$DE1724,44),0)</f>
        <v/>
      </c>
      <c r="AV1724">
        <f>IFERROR(INDEX(PP_Grid[#Data],$DE1724,45),0)</f>
        <v/>
      </c>
      <c r="AW1724">
        <f>IFERROR(INDEX(PP_Grid[#Data],$DE1724,46),0)</f>
        <v/>
      </c>
      <c r="AX1724">
        <f>IFERROR(INDEX(PP_Grid[#Data],$DE1724,47),0)</f>
        <v/>
      </c>
      <c r="AY1724">
        <f>IFERROR(INDEX(PP_Grid[#Data],$DE1724,48),0)</f>
        <v/>
      </c>
      <c r="AZ1724">
        <f>IFERROR(INDEX(PP_Grid[#Data],$DE1724,49),0)</f>
        <v/>
      </c>
      <c r="BA1724">
        <f>IFERROR(INDEX(PP_Grid[#Data],$DE1724,50),0)</f>
        <v/>
      </c>
      <c r="BB1724">
        <f>IFERROR(INDEX(PP_Grid[#Data],$DE1724,51),0)</f>
        <v/>
      </c>
      <c r="BC1724">
        <f>IFERROR(INDEX(PP_Grid[#Data],$DE1724,52),0)</f>
        <v/>
      </c>
      <c r="BD1724">
        <f>IFERROR(INDEX(PP_Grid[#Data],$DE1724,53),0)</f>
        <v/>
      </c>
      <c r="BE1724">
        <f>IFERROR(INDEX(PP_Grid[#Data],$DE1724,54),0)</f>
        <v/>
      </c>
      <c r="BF1724">
        <f>IFERROR(INDEX(PP_Grid[#Data],$DE1724,55),0)</f>
        <v/>
      </c>
      <c r="BG1724">
        <f>IFERROR(INDEX(PP_Grid[#Data],$DE1724,56),0)</f>
        <v/>
      </c>
      <c r="BH1724">
        <f>IFERROR(INDEX(PP_Grid[#Data],$DE1724,57),0)</f>
        <v/>
      </c>
      <c r="BI1724">
        <f>IFERROR(INDEX(PP_Grid[#Data],$DE1724,58),0)</f>
        <v/>
      </c>
      <c r="BJ1724">
        <f>IFERROR(INDEX(PP_Grid[#Data],$DE1724,59),0)</f>
        <v/>
      </c>
      <c r="BK1724">
        <f>IFERROR(INDEX(PP_Grid[#Data],$DE1724,60),0)</f>
        <v/>
      </c>
      <c r="BL1724">
        <f>IFERROR(INDEX(PP_Grid[#Data],$DE1724,61),0)</f>
        <v/>
      </c>
      <c r="BM1724">
        <f>IFERROR(INDEX(PP_Grid[#Data],$DE1724,62),0)</f>
        <v/>
      </c>
      <c r="BN1724">
        <f>IFERROR(INDEX(PP_Grid[#Data],$DE1724,63),0)</f>
        <v/>
      </c>
      <c r="BO1724">
        <f>IFERROR(INDEX(PP_Grid[#Data],$DE1724,64),0)</f>
        <v/>
      </c>
      <c r="BP1724">
        <f>IFERROR(INDEX(PP_Grid[#Data],$DE1724,65),0)</f>
        <v/>
      </c>
      <c r="BQ1724">
        <f>IFERROR(INDEX(PP_Grid[#Data],$DE1724,66),0)</f>
        <v/>
      </c>
      <c r="BR1724">
        <f>IFERROR(INDEX(PP_Grid[#Data],$DE1724,67),0)</f>
        <v/>
      </c>
      <c r="BS1724">
        <f>IFERROR(INDEX(PP_Grid[#Data],$DE1724,68),0)</f>
        <v/>
      </c>
      <c r="BT1724">
        <f>IFERROR(INDEX(PP_Grid[#Data],$DE1724,69),0)</f>
        <v/>
      </c>
      <c r="BU1724">
        <f>IFERROR(INDEX(PP_Grid[#Data],$DE1724,70),0)</f>
        <v/>
      </c>
      <c r="BV1724">
        <f>IFERROR(INDEX(PP_Grid[#Data],$DE1724,71),0)</f>
        <v/>
      </c>
      <c r="BW1724">
        <f>IFERROR(INDEX(PP_Grid[#Data],$DE1724,72),0)</f>
        <v/>
      </c>
      <c r="BX1724">
        <f>IFERROR(INDEX(PP_Grid[#Data],$DE1724,73),0)</f>
        <v/>
      </c>
      <c r="BY1724">
        <f>IFERROR(INDEX(PP_Grid[#Data],$DE1724,74),0)</f>
        <v/>
      </c>
      <c r="BZ1724">
        <f>IFERROR(INDEX(PP_Grid[#Data],$DE1724,75),0)</f>
        <v/>
      </c>
      <c r="CA1724">
        <f>IFERROR(INDEX(PP_Grid[#Data],$DE1724,76),0)</f>
        <v/>
      </c>
      <c r="CB1724">
        <f>IFERROR(INDEX(PP_Grid[#Data],$DE1724,77),0)</f>
        <v/>
      </c>
      <c r="CC1724">
        <f>IFERROR(INDEX(PP_Grid[#Data],$DE1724,78),0)</f>
        <v/>
      </c>
      <c r="CD1724">
        <f>IFERROR(INDEX(PP_Grid[#Data],$DE1724,79),0)</f>
        <v/>
      </c>
      <c r="CE1724">
        <f>IFERROR(INDEX(PP_Grid[#Data],$DE1724,80),0)</f>
        <v/>
      </c>
      <c r="CF1724">
        <f>IFERROR(INDEX(PP_Grid[#Data],$DE1724,81),0)</f>
        <v/>
      </c>
      <c r="CG1724">
        <f>IFERROR(INDEX(PP_Grid[#Data],$DE1724,82),0)</f>
        <v/>
      </c>
      <c r="CH1724">
        <f>IFERROR(INDEX(PP_Grid[#Data],$DE1724,83),0)</f>
        <v/>
      </c>
      <c r="CI1724">
        <f>IFERROR(INDEX(PP_Grid[#Data],$DE1724,84),0)</f>
        <v/>
      </c>
      <c r="CJ1724">
        <f>IFERROR(INDEX(PP_Grid[#Data],$DE1724,85),0)</f>
        <v/>
      </c>
      <c r="CK1724">
        <f>IFERROR(INDEX(PP_Grid[#Data],$DE1724,86),0)</f>
        <v/>
      </c>
      <c r="CL1724">
        <f>IFERROR(INDEX(PP_Grid[#Data],$DE1724,87),0)</f>
        <v/>
      </c>
      <c r="CM1724">
        <f>IFERROR(INDEX(PP_Grid[#Data],$DE1724,88),0)</f>
        <v/>
      </c>
      <c r="CN1724">
        <f>IFERROR(INDEX(PP_Grid[#Data],$DE1724,89),0)</f>
        <v/>
      </c>
      <c r="CO1724">
        <f>IFERROR(INDEX(PP_Grid[#Data],$DE1724,90),0)</f>
        <v/>
      </c>
      <c r="CP1724">
        <f>IFERROR(INDEX(PP_Grid[#Data],$DE1724,91),0)</f>
        <v/>
      </c>
      <c r="CQ1724">
        <f>IFERROR(INDEX(PP_Grid[#Data],$DE1724,92),0)</f>
        <v/>
      </c>
      <c r="CR1724">
        <f>IFERROR(INDEX(PP_Grid[#Data],$DE1724,93),0)</f>
        <v/>
      </c>
      <c r="CS1724">
        <f>IFERROR(INDEX(PP_Grid[#Data],$DE1724,94),0)</f>
        <v/>
      </c>
      <c r="CT1724">
        <f>IFERROR(INDEX(PP_Grid[#Data],$DE1724,95),0)</f>
        <v/>
      </c>
      <c r="CU1724">
        <f>IFERROR(INDEX(PP_Grid[#Data],$DE1724,96),0)</f>
        <v/>
      </c>
      <c r="CV1724">
        <f>IFERROR(INDEX(PP_Grid[#Data],$DE1724,97),0)</f>
        <v/>
      </c>
      <c r="CW1724">
        <f>IFERROR(INDEX(PP_Grid[#Data],$DE1724,98),0)</f>
        <v/>
      </c>
      <c r="CX1724">
        <f>IFERROR(INDEX(PP_Grid[#Data],$DE1724,99),0)</f>
        <v/>
      </c>
      <c r="CY1724">
        <f>IFERROR(INDEX(PP_Grid[#Data],$DE1724,100),0)</f>
        <v/>
      </c>
      <c r="CZ1724">
        <f>IFERROR(INDEX(PP_Grid[#Data],$DE1724,101),0)</f>
        <v/>
      </c>
      <c r="DA1724">
        <f>IFERROR(INDEX(PP_Grid[#Data],$DE1724,102),0)</f>
        <v/>
      </c>
      <c r="DB1724">
        <f>IFERROR(INDEX(PP_Grid[#Data],$DE1724,103),0)</f>
        <v/>
      </c>
      <c r="DC1724">
        <f>IFERROR(INDEX(PP_Grid[#Data],$DE1724,104),0)</f>
        <v/>
      </c>
      <c r="DD1724">
        <f>IFERROR(INDEX(PP_Grid[#Data],$DE1724,105),0)</f>
        <v/>
      </c>
      <c r="DE1724" s="7">
        <f>IFERROR(MATCH($B1724,PP_Grid[Intermediate],0),99999)</f>
        <v/>
      </c>
    </row>
    <row r="1725">
      <c r="B1725" t="inlineStr">
        <is>
          <t>使用量(kg)</t>
        </is>
      </c>
      <c r="C1725">
        <f>SUMIFS(M_BOM[RM_Qty_Per_Batch],M_BOM[Intermediate],$B1724,M_BOM[RM_Code],$A1723)</f>
        <v/>
      </c>
      <c r="D1725">
        <f>IFERROR(INDEX(E1725:DD1725,$F$1),"")</f>
        <v/>
      </c>
      <c r="E1725">
        <f>$C1725*E1724</f>
        <v/>
      </c>
      <c r="F1725">
        <f>$C1725*F1724</f>
        <v/>
      </c>
      <c r="G1725">
        <f>$C1725*G1724</f>
        <v/>
      </c>
      <c r="H1725">
        <f>$C1725*H1724</f>
        <v/>
      </c>
      <c r="I1725">
        <f>$C1725*I1724</f>
        <v/>
      </c>
      <c r="J1725">
        <f>$C1725*J1724</f>
        <v/>
      </c>
      <c r="K1725">
        <f>$C1725*K1724</f>
        <v/>
      </c>
      <c r="L1725">
        <f>$C1725*L1724</f>
        <v/>
      </c>
      <c r="M1725">
        <f>$C1725*M1724</f>
        <v/>
      </c>
      <c r="N1725">
        <f>$C1725*N1724</f>
        <v/>
      </c>
      <c r="O1725">
        <f>$C1725*O1724</f>
        <v/>
      </c>
      <c r="P1725">
        <f>$C1725*P1724</f>
        <v/>
      </c>
      <c r="Q1725">
        <f>$C1725*Q1724</f>
        <v/>
      </c>
      <c r="R1725">
        <f>$C1725*R1724</f>
        <v/>
      </c>
      <c r="S1725">
        <f>$C1725*S1724</f>
        <v/>
      </c>
      <c r="T1725">
        <f>$C1725*T1724</f>
        <v/>
      </c>
      <c r="U1725">
        <f>$C1725*U1724</f>
        <v/>
      </c>
      <c r="V1725">
        <f>$C1725*V1724</f>
        <v/>
      </c>
      <c r="W1725">
        <f>$C1725*W1724</f>
        <v/>
      </c>
      <c r="X1725">
        <f>$C1725*X1724</f>
        <v/>
      </c>
      <c r="Y1725">
        <f>$C1725*Y1724</f>
        <v/>
      </c>
      <c r="Z1725">
        <f>$C1725*Z1724</f>
        <v/>
      </c>
      <c r="AA1725">
        <f>$C1725*AA1724</f>
        <v/>
      </c>
      <c r="AB1725">
        <f>$C1725*AB1724</f>
        <v/>
      </c>
      <c r="AC1725">
        <f>$C1725*AC1724</f>
        <v/>
      </c>
      <c r="AD1725">
        <f>$C1725*AD1724</f>
        <v/>
      </c>
      <c r="AE1725">
        <f>$C1725*AE1724</f>
        <v/>
      </c>
      <c r="AF1725">
        <f>$C1725*AF1724</f>
        <v/>
      </c>
      <c r="AG1725">
        <f>$C1725*AG1724</f>
        <v/>
      </c>
      <c r="AH1725">
        <f>$C1725*AH1724</f>
        <v/>
      </c>
      <c r="AI1725">
        <f>$C1725*AI1724</f>
        <v/>
      </c>
      <c r="AJ1725">
        <f>$C1725*AJ1724</f>
        <v/>
      </c>
      <c r="AK1725">
        <f>$C1725*AK1724</f>
        <v/>
      </c>
      <c r="AL1725">
        <f>$C1725*AL1724</f>
        <v/>
      </c>
      <c r="AM1725">
        <f>$C1725*AM1724</f>
        <v/>
      </c>
      <c r="AN1725">
        <f>$C1725*AN1724</f>
        <v/>
      </c>
      <c r="AO1725">
        <f>$C1725*AO1724</f>
        <v/>
      </c>
      <c r="AP1725">
        <f>$C1725*AP1724</f>
        <v/>
      </c>
      <c r="AQ1725">
        <f>$C1725*AQ1724</f>
        <v/>
      </c>
      <c r="AR1725">
        <f>$C1725*AR1724</f>
        <v/>
      </c>
      <c r="AS1725">
        <f>$C1725*AS1724</f>
        <v/>
      </c>
      <c r="AT1725">
        <f>$C1725*AT1724</f>
        <v/>
      </c>
      <c r="AU1725">
        <f>$C1725*AU1724</f>
        <v/>
      </c>
      <c r="AV1725">
        <f>$C1725*AV1724</f>
        <v/>
      </c>
      <c r="AW1725">
        <f>$C1725*AW1724</f>
        <v/>
      </c>
      <c r="AX1725">
        <f>$C1725*AX1724</f>
        <v/>
      </c>
      <c r="AY1725">
        <f>$C1725*AY1724</f>
        <v/>
      </c>
      <c r="AZ1725">
        <f>$C1725*AZ1724</f>
        <v/>
      </c>
      <c r="BA1725">
        <f>$C1725*BA1724</f>
        <v/>
      </c>
      <c r="BB1725">
        <f>$C1725*BB1724</f>
        <v/>
      </c>
      <c r="BC1725">
        <f>$C1725*BC1724</f>
        <v/>
      </c>
      <c r="BD1725">
        <f>$C1725*BD1724</f>
        <v/>
      </c>
      <c r="BE1725">
        <f>$C1725*BE1724</f>
        <v/>
      </c>
      <c r="BF1725">
        <f>$C1725*BF1724</f>
        <v/>
      </c>
      <c r="BG1725">
        <f>$C1725*BG1724</f>
        <v/>
      </c>
      <c r="BH1725">
        <f>$C1725*BH1724</f>
        <v/>
      </c>
      <c r="BI1725">
        <f>$C1725*BI1724</f>
        <v/>
      </c>
      <c r="BJ1725">
        <f>$C1725*BJ1724</f>
        <v/>
      </c>
      <c r="BK1725">
        <f>$C1725*BK1724</f>
        <v/>
      </c>
      <c r="BL1725">
        <f>$C1725*BL1724</f>
        <v/>
      </c>
      <c r="BM1725">
        <f>$C1725*BM1724</f>
        <v/>
      </c>
      <c r="BN1725">
        <f>$C1725*BN1724</f>
        <v/>
      </c>
      <c r="BO1725">
        <f>$C1725*BO1724</f>
        <v/>
      </c>
      <c r="BP1725">
        <f>$C1725*BP1724</f>
        <v/>
      </c>
      <c r="BQ1725">
        <f>$C1725*BQ1724</f>
        <v/>
      </c>
      <c r="BR1725">
        <f>$C1725*BR1724</f>
        <v/>
      </c>
      <c r="BS1725">
        <f>$C1725*BS1724</f>
        <v/>
      </c>
      <c r="BT1725">
        <f>$C1725*BT1724</f>
        <v/>
      </c>
      <c r="BU1725">
        <f>$C1725*BU1724</f>
        <v/>
      </c>
      <c r="BV1725">
        <f>$C1725*BV1724</f>
        <v/>
      </c>
      <c r="BW1725">
        <f>$C1725*BW1724</f>
        <v/>
      </c>
      <c r="BX1725">
        <f>$C1725*BX1724</f>
        <v/>
      </c>
      <c r="BY1725">
        <f>$C1725*BY1724</f>
        <v/>
      </c>
      <c r="BZ1725">
        <f>$C1725*BZ1724</f>
        <v/>
      </c>
      <c r="CA1725">
        <f>$C1725*CA1724</f>
        <v/>
      </c>
      <c r="CB1725">
        <f>$C1725*CB1724</f>
        <v/>
      </c>
      <c r="CC1725">
        <f>$C1725*CC1724</f>
        <v/>
      </c>
      <c r="CD1725">
        <f>$C1725*CD1724</f>
        <v/>
      </c>
      <c r="CE1725">
        <f>$C1725*CE1724</f>
        <v/>
      </c>
      <c r="CF1725">
        <f>$C1725*CF1724</f>
        <v/>
      </c>
      <c r="CG1725">
        <f>$C1725*CG1724</f>
        <v/>
      </c>
      <c r="CH1725">
        <f>$C1725*CH1724</f>
        <v/>
      </c>
      <c r="CI1725">
        <f>$C1725*CI1724</f>
        <v/>
      </c>
      <c r="CJ1725">
        <f>$C1725*CJ1724</f>
        <v/>
      </c>
      <c r="CK1725">
        <f>$C1725*CK1724</f>
        <v/>
      </c>
      <c r="CL1725">
        <f>$C1725*CL1724</f>
        <v/>
      </c>
      <c r="CM1725">
        <f>$C1725*CM1724</f>
        <v/>
      </c>
      <c r="CN1725">
        <f>$C1725*CN1724</f>
        <v/>
      </c>
      <c r="CO1725">
        <f>$C1725*CO1724</f>
        <v/>
      </c>
      <c r="CP1725">
        <f>$C1725*CP1724</f>
        <v/>
      </c>
      <c r="CQ1725">
        <f>$C1725*CQ1724</f>
        <v/>
      </c>
      <c r="CR1725">
        <f>$C1725*CR1724</f>
        <v/>
      </c>
      <c r="CS1725">
        <f>$C1725*CS1724</f>
        <v/>
      </c>
      <c r="CT1725">
        <f>$C1725*CT1724</f>
        <v/>
      </c>
      <c r="CU1725">
        <f>$C1725*CU1724</f>
        <v/>
      </c>
      <c r="CV1725">
        <f>$C1725*CV1724</f>
        <v/>
      </c>
      <c r="CW1725">
        <f>$C1725*CW1724</f>
        <v/>
      </c>
      <c r="CX1725">
        <f>$C1725*CX1724</f>
        <v/>
      </c>
      <c r="CY1725">
        <f>$C1725*CY1724</f>
        <v/>
      </c>
      <c r="CZ1725">
        <f>$C1725*CZ1724</f>
        <v/>
      </c>
      <c r="DA1725">
        <f>$C1725*DA1724</f>
        <v/>
      </c>
      <c r="DB1725">
        <f>$C1725*DB1724</f>
        <v/>
      </c>
      <c r="DC1725">
        <f>$C1725*DC1724</f>
        <v/>
      </c>
      <c r="DD1725">
        <f>$C1725*DD1724</f>
        <v/>
      </c>
    </row>
    <row r="1726">
      <c r="B1726" s="4" t="inlineStr">
        <is>
          <t>合計使用量(kg)/週</t>
        </is>
      </c>
      <c r="D1726" s="23">
        <f>IFERROR(INDEX(E1726:DD1726,$F$1),"")</f>
        <v/>
      </c>
      <c r="E1726">
        <f>'Grid_Requirement'!B15</f>
        <v/>
      </c>
      <c r="F1726">
        <f>'Grid_Requirement'!C15</f>
        <v/>
      </c>
      <c r="G1726">
        <f>'Grid_Requirement'!D15</f>
        <v/>
      </c>
      <c r="H1726">
        <f>'Grid_Requirement'!E15</f>
        <v/>
      </c>
      <c r="I1726">
        <f>'Grid_Requirement'!F15</f>
        <v/>
      </c>
      <c r="J1726">
        <f>'Grid_Requirement'!G15</f>
        <v/>
      </c>
      <c r="K1726">
        <f>'Grid_Requirement'!H15</f>
        <v/>
      </c>
      <c r="L1726">
        <f>'Grid_Requirement'!I15</f>
        <v/>
      </c>
      <c r="M1726">
        <f>'Grid_Requirement'!J15</f>
        <v/>
      </c>
      <c r="N1726">
        <f>'Grid_Requirement'!K15</f>
        <v/>
      </c>
      <c r="O1726">
        <f>'Grid_Requirement'!L15</f>
        <v/>
      </c>
      <c r="P1726">
        <f>'Grid_Requirement'!M15</f>
        <v/>
      </c>
      <c r="Q1726">
        <f>'Grid_Requirement'!N15</f>
        <v/>
      </c>
      <c r="R1726">
        <f>'Grid_Requirement'!O15</f>
        <v/>
      </c>
      <c r="S1726">
        <f>'Grid_Requirement'!P15</f>
        <v/>
      </c>
      <c r="T1726">
        <f>'Grid_Requirement'!Q15</f>
        <v/>
      </c>
      <c r="U1726">
        <f>'Grid_Requirement'!R15</f>
        <v/>
      </c>
      <c r="V1726">
        <f>'Grid_Requirement'!S15</f>
        <v/>
      </c>
      <c r="W1726">
        <f>'Grid_Requirement'!T15</f>
        <v/>
      </c>
      <c r="X1726">
        <f>'Grid_Requirement'!U15</f>
        <v/>
      </c>
      <c r="Y1726">
        <f>'Grid_Requirement'!V15</f>
        <v/>
      </c>
      <c r="Z1726">
        <f>'Grid_Requirement'!W15</f>
        <v/>
      </c>
      <c r="AA1726">
        <f>'Grid_Requirement'!X15</f>
        <v/>
      </c>
      <c r="AB1726">
        <f>'Grid_Requirement'!Y15</f>
        <v/>
      </c>
      <c r="AC1726">
        <f>'Grid_Requirement'!Z15</f>
        <v/>
      </c>
      <c r="AD1726">
        <f>'Grid_Requirement'!AA15</f>
        <v/>
      </c>
      <c r="AE1726">
        <f>'Grid_Requirement'!AB15</f>
        <v/>
      </c>
      <c r="AF1726">
        <f>'Grid_Requirement'!AC15</f>
        <v/>
      </c>
      <c r="AG1726">
        <f>'Grid_Requirement'!AD15</f>
        <v/>
      </c>
      <c r="AH1726">
        <f>'Grid_Requirement'!AE15</f>
        <v/>
      </c>
      <c r="AI1726">
        <f>'Grid_Requirement'!AF15</f>
        <v/>
      </c>
      <c r="AJ1726">
        <f>'Grid_Requirement'!AG15</f>
        <v/>
      </c>
      <c r="AK1726">
        <f>'Grid_Requirement'!AH15</f>
        <v/>
      </c>
      <c r="AL1726">
        <f>'Grid_Requirement'!AI15</f>
        <v/>
      </c>
      <c r="AM1726">
        <f>'Grid_Requirement'!AJ15</f>
        <v/>
      </c>
      <c r="AN1726">
        <f>'Grid_Requirement'!AK15</f>
        <v/>
      </c>
      <c r="AO1726">
        <f>'Grid_Requirement'!AL15</f>
        <v/>
      </c>
      <c r="AP1726">
        <f>'Grid_Requirement'!AM15</f>
        <v/>
      </c>
      <c r="AQ1726">
        <f>'Grid_Requirement'!AN15</f>
        <v/>
      </c>
      <c r="AR1726">
        <f>'Grid_Requirement'!AO15</f>
        <v/>
      </c>
      <c r="AS1726">
        <f>'Grid_Requirement'!AP15</f>
        <v/>
      </c>
      <c r="AT1726">
        <f>'Grid_Requirement'!AQ15</f>
        <v/>
      </c>
      <c r="AU1726">
        <f>'Grid_Requirement'!AR15</f>
        <v/>
      </c>
      <c r="AV1726">
        <f>'Grid_Requirement'!AS15</f>
        <v/>
      </c>
      <c r="AW1726">
        <f>'Grid_Requirement'!AT15</f>
        <v/>
      </c>
      <c r="AX1726">
        <f>'Grid_Requirement'!AU15</f>
        <v/>
      </c>
      <c r="AY1726">
        <f>'Grid_Requirement'!AV15</f>
        <v/>
      </c>
      <c r="AZ1726">
        <f>'Grid_Requirement'!AW15</f>
        <v/>
      </c>
      <c r="BA1726">
        <f>'Grid_Requirement'!AX15</f>
        <v/>
      </c>
      <c r="BB1726">
        <f>'Grid_Requirement'!AY15</f>
        <v/>
      </c>
      <c r="BC1726">
        <f>'Grid_Requirement'!AZ15</f>
        <v/>
      </c>
      <c r="BD1726">
        <f>'Grid_Requirement'!BA15</f>
        <v/>
      </c>
      <c r="BE1726">
        <f>'Grid_Requirement'!BB15</f>
        <v/>
      </c>
      <c r="BF1726">
        <f>'Grid_Requirement'!BC15</f>
        <v/>
      </c>
      <c r="BG1726">
        <f>'Grid_Requirement'!BD15</f>
        <v/>
      </c>
      <c r="BH1726">
        <f>'Grid_Requirement'!BE15</f>
        <v/>
      </c>
      <c r="BI1726">
        <f>'Grid_Requirement'!BF15</f>
        <v/>
      </c>
      <c r="BJ1726">
        <f>'Grid_Requirement'!BG15</f>
        <v/>
      </c>
      <c r="BK1726">
        <f>'Grid_Requirement'!BH15</f>
        <v/>
      </c>
      <c r="BL1726">
        <f>'Grid_Requirement'!BI15</f>
        <v/>
      </c>
      <c r="BM1726">
        <f>'Grid_Requirement'!BJ15</f>
        <v/>
      </c>
      <c r="BN1726">
        <f>'Grid_Requirement'!BK15</f>
        <v/>
      </c>
      <c r="BO1726">
        <f>'Grid_Requirement'!BL15</f>
        <v/>
      </c>
      <c r="BP1726">
        <f>'Grid_Requirement'!BM15</f>
        <v/>
      </c>
      <c r="BQ1726">
        <f>'Grid_Requirement'!BN15</f>
        <v/>
      </c>
      <c r="BR1726">
        <f>'Grid_Requirement'!BO15</f>
        <v/>
      </c>
      <c r="BS1726">
        <f>'Grid_Requirement'!BP15</f>
        <v/>
      </c>
      <c r="BT1726">
        <f>'Grid_Requirement'!BQ15</f>
        <v/>
      </c>
      <c r="BU1726">
        <f>'Grid_Requirement'!BR15</f>
        <v/>
      </c>
      <c r="BV1726">
        <f>'Grid_Requirement'!BS15</f>
        <v/>
      </c>
      <c r="BW1726">
        <f>'Grid_Requirement'!BT15</f>
        <v/>
      </c>
      <c r="BX1726">
        <f>'Grid_Requirement'!BU15</f>
        <v/>
      </c>
      <c r="BY1726">
        <f>'Grid_Requirement'!BV15</f>
        <v/>
      </c>
      <c r="BZ1726">
        <f>'Grid_Requirement'!BW15</f>
        <v/>
      </c>
      <c r="CA1726">
        <f>'Grid_Requirement'!BX15</f>
        <v/>
      </c>
      <c r="CB1726">
        <f>'Grid_Requirement'!BY15</f>
        <v/>
      </c>
      <c r="CC1726">
        <f>'Grid_Requirement'!BZ15</f>
        <v/>
      </c>
      <c r="CD1726">
        <f>'Grid_Requirement'!CA15</f>
        <v/>
      </c>
      <c r="CE1726">
        <f>'Grid_Requirement'!CB15</f>
        <v/>
      </c>
      <c r="CF1726">
        <f>'Grid_Requirement'!CC15</f>
        <v/>
      </c>
      <c r="CG1726">
        <f>'Grid_Requirement'!CD15</f>
        <v/>
      </c>
      <c r="CH1726">
        <f>'Grid_Requirement'!CE15</f>
        <v/>
      </c>
      <c r="CI1726">
        <f>'Grid_Requirement'!CF15</f>
        <v/>
      </c>
      <c r="CJ1726">
        <f>'Grid_Requirement'!CG15</f>
        <v/>
      </c>
      <c r="CK1726">
        <f>'Grid_Requirement'!CH15</f>
        <v/>
      </c>
      <c r="CL1726">
        <f>'Grid_Requirement'!CI15</f>
        <v/>
      </c>
      <c r="CM1726">
        <f>'Grid_Requirement'!CJ15</f>
        <v/>
      </c>
      <c r="CN1726">
        <f>'Grid_Requirement'!CK15</f>
        <v/>
      </c>
      <c r="CO1726">
        <f>'Grid_Requirement'!CL15</f>
        <v/>
      </c>
      <c r="CP1726">
        <f>'Grid_Requirement'!CM15</f>
        <v/>
      </c>
      <c r="CQ1726">
        <f>'Grid_Requirement'!CN15</f>
        <v/>
      </c>
      <c r="CR1726">
        <f>'Grid_Requirement'!CO15</f>
        <v/>
      </c>
      <c r="CS1726">
        <f>'Grid_Requirement'!CP15</f>
        <v/>
      </c>
      <c r="CT1726">
        <f>'Grid_Requirement'!CQ15</f>
        <v/>
      </c>
      <c r="CU1726">
        <f>'Grid_Requirement'!CR15</f>
        <v/>
      </c>
      <c r="CV1726">
        <f>'Grid_Requirement'!CS15</f>
        <v/>
      </c>
      <c r="CW1726">
        <f>'Grid_Requirement'!CT15</f>
        <v/>
      </c>
      <c r="CX1726">
        <f>'Grid_Requirement'!CU15</f>
        <v/>
      </c>
      <c r="CY1726">
        <f>'Grid_Requirement'!CV15</f>
        <v/>
      </c>
      <c r="CZ1726">
        <f>'Grid_Requirement'!CW15</f>
        <v/>
      </c>
      <c r="DA1726">
        <f>'Grid_Requirement'!CX15</f>
        <v/>
      </c>
      <c r="DB1726">
        <f>'Grid_Requirement'!CY15</f>
        <v/>
      </c>
      <c r="DC1726">
        <f>'Grid_Requirement'!CZ15</f>
        <v/>
      </c>
      <c r="DD1726">
        <f>'Grid_Requirement'!DA15</f>
        <v/>
      </c>
    </row>
    <row r="1727">
      <c r="B1727" t="inlineStr">
        <is>
          <t>TTAF在庫(実績,kg)</t>
        </is>
      </c>
      <c r="D1727">
        <f>IFERROR(INDEX(E1727:DD1727,$F$1),"")</f>
        <v/>
      </c>
      <c r="E1727">
        <f>IFERROR(SUMIFS(T_TTAFStock[TTAF_Qty],T_TTAFStock[RM_Code],$A1723,T_TTAFStock[WeekIndex],1),"")</f>
        <v/>
      </c>
      <c r="F1727">
        <f>IFERROR(SUMIFS(T_TTAFStock[TTAF_Qty],T_TTAFStock[RM_Code],$A1723,T_TTAFStock[WeekIndex],2),"")</f>
        <v/>
      </c>
      <c r="G1727">
        <f>IFERROR(SUMIFS(T_TTAFStock[TTAF_Qty],T_TTAFStock[RM_Code],$A1723,T_TTAFStock[WeekIndex],3),"")</f>
        <v/>
      </c>
      <c r="H1727">
        <f>IFERROR(SUMIFS(T_TTAFStock[TTAF_Qty],T_TTAFStock[RM_Code],$A1723,T_TTAFStock[WeekIndex],4),"")</f>
        <v/>
      </c>
      <c r="I1727">
        <f>IFERROR(SUMIFS(T_TTAFStock[TTAF_Qty],T_TTAFStock[RM_Code],$A1723,T_TTAFStock[WeekIndex],5),"")</f>
        <v/>
      </c>
      <c r="J1727">
        <f>IFERROR(SUMIFS(T_TTAFStock[TTAF_Qty],T_TTAFStock[RM_Code],$A1723,T_TTAFStock[WeekIndex],6),"")</f>
        <v/>
      </c>
      <c r="K1727">
        <f>IFERROR(SUMIFS(T_TTAFStock[TTAF_Qty],T_TTAFStock[RM_Code],$A1723,T_TTAFStock[WeekIndex],7),"")</f>
        <v/>
      </c>
      <c r="L1727">
        <f>IFERROR(SUMIFS(T_TTAFStock[TTAF_Qty],T_TTAFStock[RM_Code],$A1723,T_TTAFStock[WeekIndex],8),"")</f>
        <v/>
      </c>
      <c r="M1727">
        <f>IFERROR(SUMIFS(T_TTAFStock[TTAF_Qty],T_TTAFStock[RM_Code],$A1723,T_TTAFStock[WeekIndex],9),"")</f>
        <v/>
      </c>
      <c r="N1727">
        <f>IFERROR(SUMIFS(T_TTAFStock[TTAF_Qty],T_TTAFStock[RM_Code],$A1723,T_TTAFStock[WeekIndex],10),"")</f>
        <v/>
      </c>
      <c r="O1727">
        <f>IFERROR(SUMIFS(T_TTAFStock[TTAF_Qty],T_TTAFStock[RM_Code],$A1723,T_TTAFStock[WeekIndex],11),"")</f>
        <v/>
      </c>
      <c r="P1727">
        <f>IFERROR(SUMIFS(T_TTAFStock[TTAF_Qty],T_TTAFStock[RM_Code],$A1723,T_TTAFStock[WeekIndex],12),"")</f>
        <v/>
      </c>
      <c r="Q1727">
        <f>IFERROR(SUMIFS(T_TTAFStock[TTAF_Qty],T_TTAFStock[RM_Code],$A1723,T_TTAFStock[WeekIndex],13),"")</f>
        <v/>
      </c>
      <c r="R1727">
        <f>IFERROR(SUMIFS(T_TTAFStock[TTAF_Qty],T_TTAFStock[RM_Code],$A1723,T_TTAFStock[WeekIndex],14),"")</f>
        <v/>
      </c>
      <c r="S1727">
        <f>IFERROR(SUMIFS(T_TTAFStock[TTAF_Qty],T_TTAFStock[RM_Code],$A1723,T_TTAFStock[WeekIndex],15),"")</f>
        <v/>
      </c>
      <c r="T1727">
        <f>IFERROR(SUMIFS(T_TTAFStock[TTAF_Qty],T_TTAFStock[RM_Code],$A1723,T_TTAFStock[WeekIndex],16),"")</f>
        <v/>
      </c>
      <c r="U1727">
        <f>IFERROR(SUMIFS(T_TTAFStock[TTAF_Qty],T_TTAFStock[RM_Code],$A1723,T_TTAFStock[WeekIndex],17),"")</f>
        <v/>
      </c>
      <c r="V1727">
        <f>IFERROR(SUMIFS(T_TTAFStock[TTAF_Qty],T_TTAFStock[RM_Code],$A1723,T_TTAFStock[WeekIndex],18),"")</f>
        <v/>
      </c>
      <c r="W1727">
        <f>IFERROR(SUMIFS(T_TTAFStock[TTAF_Qty],T_TTAFStock[RM_Code],$A1723,T_TTAFStock[WeekIndex],19),"")</f>
        <v/>
      </c>
      <c r="X1727">
        <f>IFERROR(SUMIFS(T_TTAFStock[TTAF_Qty],T_TTAFStock[RM_Code],$A1723,T_TTAFStock[WeekIndex],20),"")</f>
        <v/>
      </c>
      <c r="Y1727">
        <f>IFERROR(SUMIFS(T_TTAFStock[TTAF_Qty],T_TTAFStock[RM_Code],$A1723,T_TTAFStock[WeekIndex],21),"")</f>
        <v/>
      </c>
      <c r="Z1727">
        <f>IFERROR(SUMIFS(T_TTAFStock[TTAF_Qty],T_TTAFStock[RM_Code],$A1723,T_TTAFStock[WeekIndex],22),"")</f>
        <v/>
      </c>
      <c r="AA1727">
        <f>IFERROR(SUMIFS(T_TTAFStock[TTAF_Qty],T_TTAFStock[RM_Code],$A1723,T_TTAFStock[WeekIndex],23),"")</f>
        <v/>
      </c>
      <c r="AB1727">
        <f>IFERROR(SUMIFS(T_TTAFStock[TTAF_Qty],T_TTAFStock[RM_Code],$A1723,T_TTAFStock[WeekIndex],24),"")</f>
        <v/>
      </c>
      <c r="AC1727">
        <f>IFERROR(SUMIFS(T_TTAFStock[TTAF_Qty],T_TTAFStock[RM_Code],$A1723,T_TTAFStock[WeekIndex],25),"")</f>
        <v/>
      </c>
      <c r="AD1727">
        <f>IFERROR(SUMIFS(T_TTAFStock[TTAF_Qty],T_TTAFStock[RM_Code],$A1723,T_TTAFStock[WeekIndex],26),"")</f>
        <v/>
      </c>
      <c r="AE1727">
        <f>IFERROR(SUMIFS(T_TTAFStock[TTAF_Qty],T_TTAFStock[RM_Code],$A1723,T_TTAFStock[WeekIndex],27),"")</f>
        <v/>
      </c>
      <c r="AF1727">
        <f>IFERROR(SUMIFS(T_TTAFStock[TTAF_Qty],T_TTAFStock[RM_Code],$A1723,T_TTAFStock[WeekIndex],28),"")</f>
        <v/>
      </c>
      <c r="AG1727">
        <f>IFERROR(SUMIFS(T_TTAFStock[TTAF_Qty],T_TTAFStock[RM_Code],$A1723,T_TTAFStock[WeekIndex],29),"")</f>
        <v/>
      </c>
      <c r="AH1727">
        <f>IFERROR(SUMIFS(T_TTAFStock[TTAF_Qty],T_TTAFStock[RM_Code],$A1723,T_TTAFStock[WeekIndex],30),"")</f>
        <v/>
      </c>
      <c r="AI1727">
        <f>IFERROR(SUMIFS(T_TTAFStock[TTAF_Qty],T_TTAFStock[RM_Code],$A1723,T_TTAFStock[WeekIndex],31),"")</f>
        <v/>
      </c>
      <c r="AJ1727">
        <f>IFERROR(SUMIFS(T_TTAFStock[TTAF_Qty],T_TTAFStock[RM_Code],$A1723,T_TTAFStock[WeekIndex],32),"")</f>
        <v/>
      </c>
      <c r="AK1727">
        <f>IFERROR(SUMIFS(T_TTAFStock[TTAF_Qty],T_TTAFStock[RM_Code],$A1723,T_TTAFStock[WeekIndex],33),"")</f>
        <v/>
      </c>
      <c r="AL1727">
        <f>IFERROR(SUMIFS(T_TTAFStock[TTAF_Qty],T_TTAFStock[RM_Code],$A1723,T_TTAFStock[WeekIndex],34),"")</f>
        <v/>
      </c>
      <c r="AM1727">
        <f>IFERROR(SUMIFS(T_TTAFStock[TTAF_Qty],T_TTAFStock[RM_Code],$A1723,T_TTAFStock[WeekIndex],35),"")</f>
        <v/>
      </c>
      <c r="AN1727">
        <f>IFERROR(SUMIFS(T_TTAFStock[TTAF_Qty],T_TTAFStock[RM_Code],$A1723,T_TTAFStock[WeekIndex],36),"")</f>
        <v/>
      </c>
      <c r="AO1727">
        <f>IFERROR(SUMIFS(T_TTAFStock[TTAF_Qty],T_TTAFStock[RM_Code],$A1723,T_TTAFStock[WeekIndex],37),"")</f>
        <v/>
      </c>
      <c r="AP1727">
        <f>IFERROR(SUMIFS(T_TTAFStock[TTAF_Qty],T_TTAFStock[RM_Code],$A1723,T_TTAFStock[WeekIndex],38),"")</f>
        <v/>
      </c>
      <c r="AQ1727">
        <f>IFERROR(SUMIFS(T_TTAFStock[TTAF_Qty],T_TTAFStock[RM_Code],$A1723,T_TTAFStock[WeekIndex],39),"")</f>
        <v/>
      </c>
      <c r="AR1727">
        <f>IFERROR(SUMIFS(T_TTAFStock[TTAF_Qty],T_TTAFStock[RM_Code],$A1723,T_TTAFStock[WeekIndex],40),"")</f>
        <v/>
      </c>
      <c r="AS1727">
        <f>IFERROR(SUMIFS(T_TTAFStock[TTAF_Qty],T_TTAFStock[RM_Code],$A1723,T_TTAFStock[WeekIndex],41),"")</f>
        <v/>
      </c>
      <c r="AT1727">
        <f>IFERROR(SUMIFS(T_TTAFStock[TTAF_Qty],T_TTAFStock[RM_Code],$A1723,T_TTAFStock[WeekIndex],42),"")</f>
        <v/>
      </c>
      <c r="AU1727">
        <f>IFERROR(SUMIFS(T_TTAFStock[TTAF_Qty],T_TTAFStock[RM_Code],$A1723,T_TTAFStock[WeekIndex],43),"")</f>
        <v/>
      </c>
      <c r="AV1727">
        <f>IFERROR(SUMIFS(T_TTAFStock[TTAF_Qty],T_TTAFStock[RM_Code],$A1723,T_TTAFStock[WeekIndex],44),"")</f>
        <v/>
      </c>
      <c r="AW1727">
        <f>IFERROR(SUMIFS(T_TTAFStock[TTAF_Qty],T_TTAFStock[RM_Code],$A1723,T_TTAFStock[WeekIndex],45),"")</f>
        <v/>
      </c>
      <c r="AX1727">
        <f>IFERROR(SUMIFS(T_TTAFStock[TTAF_Qty],T_TTAFStock[RM_Code],$A1723,T_TTAFStock[WeekIndex],46),"")</f>
        <v/>
      </c>
      <c r="AY1727">
        <f>IFERROR(SUMIFS(T_TTAFStock[TTAF_Qty],T_TTAFStock[RM_Code],$A1723,T_TTAFStock[WeekIndex],47),"")</f>
        <v/>
      </c>
      <c r="AZ1727">
        <f>IFERROR(SUMIFS(T_TTAFStock[TTAF_Qty],T_TTAFStock[RM_Code],$A1723,T_TTAFStock[WeekIndex],48),"")</f>
        <v/>
      </c>
      <c r="BA1727">
        <f>IFERROR(SUMIFS(T_TTAFStock[TTAF_Qty],T_TTAFStock[RM_Code],$A1723,T_TTAFStock[WeekIndex],49),"")</f>
        <v/>
      </c>
      <c r="BB1727">
        <f>IFERROR(SUMIFS(T_TTAFStock[TTAF_Qty],T_TTAFStock[RM_Code],$A1723,T_TTAFStock[WeekIndex],50),"")</f>
        <v/>
      </c>
      <c r="BC1727">
        <f>IFERROR(SUMIFS(T_TTAFStock[TTAF_Qty],T_TTAFStock[RM_Code],$A1723,T_TTAFStock[WeekIndex],51),"")</f>
        <v/>
      </c>
      <c r="BD1727">
        <f>IFERROR(SUMIFS(T_TTAFStock[TTAF_Qty],T_TTAFStock[RM_Code],$A1723,T_TTAFStock[WeekIndex],52),"")</f>
        <v/>
      </c>
      <c r="BE1727">
        <f>IFERROR(SUMIFS(T_TTAFStock[TTAF_Qty],T_TTAFStock[RM_Code],$A1723,T_TTAFStock[WeekIndex],53),"")</f>
        <v/>
      </c>
      <c r="BF1727">
        <f>IFERROR(SUMIFS(T_TTAFStock[TTAF_Qty],T_TTAFStock[RM_Code],$A1723,T_TTAFStock[WeekIndex],54),"")</f>
        <v/>
      </c>
      <c r="BG1727">
        <f>IFERROR(SUMIFS(T_TTAFStock[TTAF_Qty],T_TTAFStock[RM_Code],$A1723,T_TTAFStock[WeekIndex],55),"")</f>
        <v/>
      </c>
      <c r="BH1727">
        <f>IFERROR(SUMIFS(T_TTAFStock[TTAF_Qty],T_TTAFStock[RM_Code],$A1723,T_TTAFStock[WeekIndex],56),"")</f>
        <v/>
      </c>
      <c r="BI1727">
        <f>IFERROR(SUMIFS(T_TTAFStock[TTAF_Qty],T_TTAFStock[RM_Code],$A1723,T_TTAFStock[WeekIndex],57),"")</f>
        <v/>
      </c>
      <c r="BJ1727">
        <f>IFERROR(SUMIFS(T_TTAFStock[TTAF_Qty],T_TTAFStock[RM_Code],$A1723,T_TTAFStock[WeekIndex],58),"")</f>
        <v/>
      </c>
      <c r="BK1727">
        <f>IFERROR(SUMIFS(T_TTAFStock[TTAF_Qty],T_TTAFStock[RM_Code],$A1723,T_TTAFStock[WeekIndex],59),"")</f>
        <v/>
      </c>
      <c r="BL1727">
        <f>IFERROR(SUMIFS(T_TTAFStock[TTAF_Qty],T_TTAFStock[RM_Code],$A1723,T_TTAFStock[WeekIndex],60),"")</f>
        <v/>
      </c>
      <c r="BM1727">
        <f>IFERROR(SUMIFS(T_TTAFStock[TTAF_Qty],T_TTAFStock[RM_Code],$A1723,T_TTAFStock[WeekIndex],61),"")</f>
        <v/>
      </c>
      <c r="BN1727">
        <f>IFERROR(SUMIFS(T_TTAFStock[TTAF_Qty],T_TTAFStock[RM_Code],$A1723,T_TTAFStock[WeekIndex],62),"")</f>
        <v/>
      </c>
      <c r="BO1727">
        <f>IFERROR(SUMIFS(T_TTAFStock[TTAF_Qty],T_TTAFStock[RM_Code],$A1723,T_TTAFStock[WeekIndex],63),"")</f>
        <v/>
      </c>
      <c r="BP1727">
        <f>IFERROR(SUMIFS(T_TTAFStock[TTAF_Qty],T_TTAFStock[RM_Code],$A1723,T_TTAFStock[WeekIndex],64),"")</f>
        <v/>
      </c>
      <c r="BQ1727">
        <f>IFERROR(SUMIFS(T_TTAFStock[TTAF_Qty],T_TTAFStock[RM_Code],$A1723,T_TTAFStock[WeekIndex],65),"")</f>
        <v/>
      </c>
      <c r="BR1727">
        <f>IFERROR(SUMIFS(T_TTAFStock[TTAF_Qty],T_TTAFStock[RM_Code],$A1723,T_TTAFStock[WeekIndex],66),"")</f>
        <v/>
      </c>
      <c r="BS1727">
        <f>IFERROR(SUMIFS(T_TTAFStock[TTAF_Qty],T_TTAFStock[RM_Code],$A1723,T_TTAFStock[WeekIndex],67),"")</f>
        <v/>
      </c>
      <c r="BT1727">
        <f>IFERROR(SUMIFS(T_TTAFStock[TTAF_Qty],T_TTAFStock[RM_Code],$A1723,T_TTAFStock[WeekIndex],68),"")</f>
        <v/>
      </c>
      <c r="BU1727">
        <f>IFERROR(SUMIFS(T_TTAFStock[TTAF_Qty],T_TTAFStock[RM_Code],$A1723,T_TTAFStock[WeekIndex],69),"")</f>
        <v/>
      </c>
      <c r="BV1727">
        <f>IFERROR(SUMIFS(T_TTAFStock[TTAF_Qty],T_TTAFStock[RM_Code],$A1723,T_TTAFStock[WeekIndex],70),"")</f>
        <v/>
      </c>
      <c r="BW1727">
        <f>IFERROR(SUMIFS(T_TTAFStock[TTAF_Qty],T_TTAFStock[RM_Code],$A1723,T_TTAFStock[WeekIndex],71),"")</f>
        <v/>
      </c>
      <c r="BX1727">
        <f>IFERROR(SUMIFS(T_TTAFStock[TTAF_Qty],T_TTAFStock[RM_Code],$A1723,T_TTAFStock[WeekIndex],72),"")</f>
        <v/>
      </c>
      <c r="BY1727">
        <f>IFERROR(SUMIFS(T_TTAFStock[TTAF_Qty],T_TTAFStock[RM_Code],$A1723,T_TTAFStock[WeekIndex],73),"")</f>
        <v/>
      </c>
      <c r="BZ1727">
        <f>IFERROR(SUMIFS(T_TTAFStock[TTAF_Qty],T_TTAFStock[RM_Code],$A1723,T_TTAFStock[WeekIndex],74),"")</f>
        <v/>
      </c>
      <c r="CA1727">
        <f>IFERROR(SUMIFS(T_TTAFStock[TTAF_Qty],T_TTAFStock[RM_Code],$A1723,T_TTAFStock[WeekIndex],75),"")</f>
        <v/>
      </c>
      <c r="CB1727">
        <f>IFERROR(SUMIFS(T_TTAFStock[TTAF_Qty],T_TTAFStock[RM_Code],$A1723,T_TTAFStock[WeekIndex],76),"")</f>
        <v/>
      </c>
      <c r="CC1727">
        <f>IFERROR(SUMIFS(T_TTAFStock[TTAF_Qty],T_TTAFStock[RM_Code],$A1723,T_TTAFStock[WeekIndex],77),"")</f>
        <v/>
      </c>
      <c r="CD1727">
        <f>IFERROR(SUMIFS(T_TTAFStock[TTAF_Qty],T_TTAFStock[RM_Code],$A1723,T_TTAFStock[WeekIndex],78),"")</f>
        <v/>
      </c>
      <c r="CE1727">
        <f>IFERROR(SUMIFS(T_TTAFStock[TTAF_Qty],T_TTAFStock[RM_Code],$A1723,T_TTAFStock[WeekIndex],79),"")</f>
        <v/>
      </c>
      <c r="CF1727">
        <f>IFERROR(SUMIFS(T_TTAFStock[TTAF_Qty],T_TTAFStock[RM_Code],$A1723,T_TTAFStock[WeekIndex],80),"")</f>
        <v/>
      </c>
      <c r="CG1727">
        <f>IFERROR(SUMIFS(T_TTAFStock[TTAF_Qty],T_TTAFStock[RM_Code],$A1723,T_TTAFStock[WeekIndex],81),"")</f>
        <v/>
      </c>
      <c r="CH1727">
        <f>IFERROR(SUMIFS(T_TTAFStock[TTAF_Qty],T_TTAFStock[RM_Code],$A1723,T_TTAFStock[WeekIndex],82),"")</f>
        <v/>
      </c>
      <c r="CI1727">
        <f>IFERROR(SUMIFS(T_TTAFStock[TTAF_Qty],T_TTAFStock[RM_Code],$A1723,T_TTAFStock[WeekIndex],83),"")</f>
        <v/>
      </c>
      <c r="CJ1727">
        <f>IFERROR(SUMIFS(T_TTAFStock[TTAF_Qty],T_TTAFStock[RM_Code],$A1723,T_TTAFStock[WeekIndex],84),"")</f>
        <v/>
      </c>
      <c r="CK1727">
        <f>IFERROR(SUMIFS(T_TTAFStock[TTAF_Qty],T_TTAFStock[RM_Code],$A1723,T_TTAFStock[WeekIndex],85),"")</f>
        <v/>
      </c>
      <c r="CL1727">
        <f>IFERROR(SUMIFS(T_TTAFStock[TTAF_Qty],T_TTAFStock[RM_Code],$A1723,T_TTAFStock[WeekIndex],86),"")</f>
        <v/>
      </c>
      <c r="CM1727">
        <f>IFERROR(SUMIFS(T_TTAFStock[TTAF_Qty],T_TTAFStock[RM_Code],$A1723,T_TTAFStock[WeekIndex],87),"")</f>
        <v/>
      </c>
      <c r="CN1727">
        <f>IFERROR(SUMIFS(T_TTAFStock[TTAF_Qty],T_TTAFStock[RM_Code],$A1723,T_TTAFStock[WeekIndex],88),"")</f>
        <v/>
      </c>
      <c r="CO1727">
        <f>IFERROR(SUMIFS(T_TTAFStock[TTAF_Qty],T_TTAFStock[RM_Code],$A1723,T_TTAFStock[WeekIndex],89),"")</f>
        <v/>
      </c>
      <c r="CP1727">
        <f>IFERROR(SUMIFS(T_TTAFStock[TTAF_Qty],T_TTAFStock[RM_Code],$A1723,T_TTAFStock[WeekIndex],90),"")</f>
        <v/>
      </c>
      <c r="CQ1727">
        <f>IFERROR(SUMIFS(T_TTAFStock[TTAF_Qty],T_TTAFStock[RM_Code],$A1723,T_TTAFStock[WeekIndex],91),"")</f>
        <v/>
      </c>
      <c r="CR1727">
        <f>IFERROR(SUMIFS(T_TTAFStock[TTAF_Qty],T_TTAFStock[RM_Code],$A1723,T_TTAFStock[WeekIndex],92),"")</f>
        <v/>
      </c>
      <c r="CS1727">
        <f>IFERROR(SUMIFS(T_TTAFStock[TTAF_Qty],T_TTAFStock[RM_Code],$A1723,T_TTAFStock[WeekIndex],93),"")</f>
        <v/>
      </c>
      <c r="CT1727">
        <f>IFERROR(SUMIFS(T_TTAFStock[TTAF_Qty],T_TTAFStock[RM_Code],$A1723,T_TTAFStock[WeekIndex],94),"")</f>
        <v/>
      </c>
      <c r="CU1727">
        <f>IFERROR(SUMIFS(T_TTAFStock[TTAF_Qty],T_TTAFStock[RM_Code],$A1723,T_TTAFStock[WeekIndex],95),"")</f>
        <v/>
      </c>
      <c r="CV1727">
        <f>IFERROR(SUMIFS(T_TTAFStock[TTAF_Qty],T_TTAFStock[RM_Code],$A1723,T_TTAFStock[WeekIndex],96),"")</f>
        <v/>
      </c>
      <c r="CW1727">
        <f>IFERROR(SUMIFS(T_TTAFStock[TTAF_Qty],T_TTAFStock[RM_Code],$A1723,T_TTAFStock[WeekIndex],97),"")</f>
        <v/>
      </c>
      <c r="CX1727">
        <f>IFERROR(SUMIFS(T_TTAFStock[TTAF_Qty],T_TTAFStock[RM_Code],$A1723,T_TTAFStock[WeekIndex],98),"")</f>
        <v/>
      </c>
      <c r="CY1727">
        <f>IFERROR(SUMIFS(T_TTAFStock[TTAF_Qty],T_TTAFStock[RM_Code],$A1723,T_TTAFStock[WeekIndex],99),"")</f>
        <v/>
      </c>
      <c r="CZ1727">
        <f>IFERROR(SUMIFS(T_TTAFStock[TTAF_Qty],T_TTAFStock[RM_Code],$A1723,T_TTAFStock[WeekIndex],100),"")</f>
        <v/>
      </c>
      <c r="DA1727">
        <f>IFERROR(SUMIFS(T_TTAFStock[TTAF_Qty],T_TTAFStock[RM_Code],$A1723,T_TTAFStock[WeekIndex],101),"")</f>
        <v/>
      </c>
      <c r="DB1727">
        <f>IFERROR(SUMIFS(T_TTAFStock[TTAF_Qty],T_TTAFStock[RM_Code],$A1723,T_TTAFStock[WeekIndex],102),"")</f>
        <v/>
      </c>
      <c r="DC1727">
        <f>IFERROR(SUMIFS(T_TTAFStock[TTAF_Qty],T_TTAFStock[RM_Code],$A1723,T_TTAFStock[WeekIndex],103),"")</f>
        <v/>
      </c>
      <c r="DD1727">
        <f>IFERROR(SUMIFS(T_TTAFStock[TTAF_Qty],T_TTAFStock[RM_Code],$A1723,T_TTAFStock[WeekIndex],104),"")</f>
        <v/>
      </c>
    </row>
    <row r="1728">
      <c r="B1728" t="inlineStr">
        <is>
          <t>自社在庫(実績,kg)</t>
        </is>
      </c>
      <c r="D1728">
        <f>IFERROR(INDEX(E1728:DD1728,$F$1),"")</f>
        <v/>
      </c>
      <c r="E1728">
        <f>IFERROR(SUMIFS(T_SelfStock[Self_Qty],T_SelfStock[RM_Code],$A1723,T_SelfStock[WeekIndex],1),"")</f>
        <v/>
      </c>
      <c r="F1728">
        <f>IFERROR(SUMIFS(T_SelfStock[Self_Qty],T_SelfStock[RM_Code],$A1723,T_SelfStock[WeekIndex],2),"")</f>
        <v/>
      </c>
      <c r="G1728">
        <f>IFERROR(SUMIFS(T_SelfStock[Self_Qty],T_SelfStock[RM_Code],$A1723,T_SelfStock[WeekIndex],3),"")</f>
        <v/>
      </c>
      <c r="H1728">
        <f>IFERROR(SUMIFS(T_SelfStock[Self_Qty],T_SelfStock[RM_Code],$A1723,T_SelfStock[WeekIndex],4),"")</f>
        <v/>
      </c>
      <c r="I1728">
        <f>IFERROR(SUMIFS(T_SelfStock[Self_Qty],T_SelfStock[RM_Code],$A1723,T_SelfStock[WeekIndex],5),"")</f>
        <v/>
      </c>
      <c r="J1728">
        <f>IFERROR(SUMIFS(T_SelfStock[Self_Qty],T_SelfStock[RM_Code],$A1723,T_SelfStock[WeekIndex],6),"")</f>
        <v/>
      </c>
      <c r="K1728">
        <f>IFERROR(SUMIFS(T_SelfStock[Self_Qty],T_SelfStock[RM_Code],$A1723,T_SelfStock[WeekIndex],7),"")</f>
        <v/>
      </c>
      <c r="L1728">
        <f>IFERROR(SUMIFS(T_SelfStock[Self_Qty],T_SelfStock[RM_Code],$A1723,T_SelfStock[WeekIndex],8),"")</f>
        <v/>
      </c>
      <c r="M1728">
        <f>IFERROR(SUMIFS(T_SelfStock[Self_Qty],T_SelfStock[RM_Code],$A1723,T_SelfStock[WeekIndex],9),"")</f>
        <v/>
      </c>
      <c r="N1728">
        <f>IFERROR(SUMIFS(T_SelfStock[Self_Qty],T_SelfStock[RM_Code],$A1723,T_SelfStock[WeekIndex],10),"")</f>
        <v/>
      </c>
      <c r="O1728">
        <f>IFERROR(SUMIFS(T_SelfStock[Self_Qty],T_SelfStock[RM_Code],$A1723,T_SelfStock[WeekIndex],11),"")</f>
        <v/>
      </c>
      <c r="P1728">
        <f>IFERROR(SUMIFS(T_SelfStock[Self_Qty],T_SelfStock[RM_Code],$A1723,T_SelfStock[WeekIndex],12),"")</f>
        <v/>
      </c>
      <c r="Q1728">
        <f>IFERROR(SUMIFS(T_SelfStock[Self_Qty],T_SelfStock[RM_Code],$A1723,T_SelfStock[WeekIndex],13),"")</f>
        <v/>
      </c>
      <c r="R1728">
        <f>IFERROR(SUMIFS(T_SelfStock[Self_Qty],T_SelfStock[RM_Code],$A1723,T_SelfStock[WeekIndex],14),"")</f>
        <v/>
      </c>
      <c r="S1728">
        <f>IFERROR(SUMIFS(T_SelfStock[Self_Qty],T_SelfStock[RM_Code],$A1723,T_SelfStock[WeekIndex],15),"")</f>
        <v/>
      </c>
      <c r="T1728">
        <f>IFERROR(SUMIFS(T_SelfStock[Self_Qty],T_SelfStock[RM_Code],$A1723,T_SelfStock[WeekIndex],16),"")</f>
        <v/>
      </c>
      <c r="U1728">
        <f>IFERROR(SUMIFS(T_SelfStock[Self_Qty],T_SelfStock[RM_Code],$A1723,T_SelfStock[WeekIndex],17),"")</f>
        <v/>
      </c>
      <c r="V1728">
        <f>IFERROR(SUMIFS(T_SelfStock[Self_Qty],T_SelfStock[RM_Code],$A1723,T_SelfStock[WeekIndex],18),"")</f>
        <v/>
      </c>
      <c r="W1728">
        <f>IFERROR(SUMIFS(T_SelfStock[Self_Qty],T_SelfStock[RM_Code],$A1723,T_SelfStock[WeekIndex],19),"")</f>
        <v/>
      </c>
      <c r="X1728">
        <f>IFERROR(SUMIFS(T_SelfStock[Self_Qty],T_SelfStock[RM_Code],$A1723,T_SelfStock[WeekIndex],20),"")</f>
        <v/>
      </c>
      <c r="Y1728">
        <f>IFERROR(SUMIFS(T_SelfStock[Self_Qty],T_SelfStock[RM_Code],$A1723,T_SelfStock[WeekIndex],21),"")</f>
        <v/>
      </c>
      <c r="Z1728">
        <f>IFERROR(SUMIFS(T_SelfStock[Self_Qty],T_SelfStock[RM_Code],$A1723,T_SelfStock[WeekIndex],22),"")</f>
        <v/>
      </c>
      <c r="AA1728">
        <f>IFERROR(SUMIFS(T_SelfStock[Self_Qty],T_SelfStock[RM_Code],$A1723,T_SelfStock[WeekIndex],23),"")</f>
        <v/>
      </c>
      <c r="AB1728">
        <f>IFERROR(SUMIFS(T_SelfStock[Self_Qty],T_SelfStock[RM_Code],$A1723,T_SelfStock[WeekIndex],24),"")</f>
        <v/>
      </c>
      <c r="AC1728">
        <f>IFERROR(SUMIFS(T_SelfStock[Self_Qty],T_SelfStock[RM_Code],$A1723,T_SelfStock[WeekIndex],25),"")</f>
        <v/>
      </c>
      <c r="AD1728">
        <f>IFERROR(SUMIFS(T_SelfStock[Self_Qty],T_SelfStock[RM_Code],$A1723,T_SelfStock[WeekIndex],26),"")</f>
        <v/>
      </c>
      <c r="AE1728">
        <f>IFERROR(SUMIFS(T_SelfStock[Self_Qty],T_SelfStock[RM_Code],$A1723,T_SelfStock[WeekIndex],27),"")</f>
        <v/>
      </c>
      <c r="AF1728">
        <f>IFERROR(SUMIFS(T_SelfStock[Self_Qty],T_SelfStock[RM_Code],$A1723,T_SelfStock[WeekIndex],28),"")</f>
        <v/>
      </c>
      <c r="AG1728">
        <f>IFERROR(SUMIFS(T_SelfStock[Self_Qty],T_SelfStock[RM_Code],$A1723,T_SelfStock[WeekIndex],29),"")</f>
        <v/>
      </c>
      <c r="AH1728">
        <f>IFERROR(SUMIFS(T_SelfStock[Self_Qty],T_SelfStock[RM_Code],$A1723,T_SelfStock[WeekIndex],30),"")</f>
        <v/>
      </c>
      <c r="AI1728">
        <f>IFERROR(SUMIFS(T_SelfStock[Self_Qty],T_SelfStock[RM_Code],$A1723,T_SelfStock[WeekIndex],31),"")</f>
        <v/>
      </c>
      <c r="AJ1728">
        <f>IFERROR(SUMIFS(T_SelfStock[Self_Qty],T_SelfStock[RM_Code],$A1723,T_SelfStock[WeekIndex],32),"")</f>
        <v/>
      </c>
      <c r="AK1728">
        <f>IFERROR(SUMIFS(T_SelfStock[Self_Qty],T_SelfStock[RM_Code],$A1723,T_SelfStock[WeekIndex],33),"")</f>
        <v/>
      </c>
      <c r="AL1728">
        <f>IFERROR(SUMIFS(T_SelfStock[Self_Qty],T_SelfStock[RM_Code],$A1723,T_SelfStock[WeekIndex],34),"")</f>
        <v/>
      </c>
      <c r="AM1728">
        <f>IFERROR(SUMIFS(T_SelfStock[Self_Qty],T_SelfStock[RM_Code],$A1723,T_SelfStock[WeekIndex],35),"")</f>
        <v/>
      </c>
      <c r="AN1728">
        <f>IFERROR(SUMIFS(T_SelfStock[Self_Qty],T_SelfStock[RM_Code],$A1723,T_SelfStock[WeekIndex],36),"")</f>
        <v/>
      </c>
      <c r="AO1728">
        <f>IFERROR(SUMIFS(T_SelfStock[Self_Qty],T_SelfStock[RM_Code],$A1723,T_SelfStock[WeekIndex],37),"")</f>
        <v/>
      </c>
      <c r="AP1728">
        <f>IFERROR(SUMIFS(T_SelfStock[Self_Qty],T_SelfStock[RM_Code],$A1723,T_SelfStock[WeekIndex],38),"")</f>
        <v/>
      </c>
      <c r="AQ1728">
        <f>IFERROR(SUMIFS(T_SelfStock[Self_Qty],T_SelfStock[RM_Code],$A1723,T_SelfStock[WeekIndex],39),"")</f>
        <v/>
      </c>
      <c r="AR1728">
        <f>IFERROR(SUMIFS(T_SelfStock[Self_Qty],T_SelfStock[RM_Code],$A1723,T_SelfStock[WeekIndex],40),"")</f>
        <v/>
      </c>
      <c r="AS1728">
        <f>IFERROR(SUMIFS(T_SelfStock[Self_Qty],T_SelfStock[RM_Code],$A1723,T_SelfStock[WeekIndex],41),"")</f>
        <v/>
      </c>
      <c r="AT1728">
        <f>IFERROR(SUMIFS(T_SelfStock[Self_Qty],T_SelfStock[RM_Code],$A1723,T_SelfStock[WeekIndex],42),"")</f>
        <v/>
      </c>
      <c r="AU1728">
        <f>IFERROR(SUMIFS(T_SelfStock[Self_Qty],T_SelfStock[RM_Code],$A1723,T_SelfStock[WeekIndex],43),"")</f>
        <v/>
      </c>
      <c r="AV1728">
        <f>IFERROR(SUMIFS(T_SelfStock[Self_Qty],T_SelfStock[RM_Code],$A1723,T_SelfStock[WeekIndex],44),"")</f>
        <v/>
      </c>
      <c r="AW1728">
        <f>IFERROR(SUMIFS(T_SelfStock[Self_Qty],T_SelfStock[RM_Code],$A1723,T_SelfStock[WeekIndex],45),"")</f>
        <v/>
      </c>
      <c r="AX1728">
        <f>IFERROR(SUMIFS(T_SelfStock[Self_Qty],T_SelfStock[RM_Code],$A1723,T_SelfStock[WeekIndex],46),"")</f>
        <v/>
      </c>
      <c r="AY1728">
        <f>IFERROR(SUMIFS(T_SelfStock[Self_Qty],T_SelfStock[RM_Code],$A1723,T_SelfStock[WeekIndex],47),"")</f>
        <v/>
      </c>
      <c r="AZ1728">
        <f>IFERROR(SUMIFS(T_SelfStock[Self_Qty],T_SelfStock[RM_Code],$A1723,T_SelfStock[WeekIndex],48),"")</f>
        <v/>
      </c>
      <c r="BA1728">
        <f>IFERROR(SUMIFS(T_SelfStock[Self_Qty],T_SelfStock[RM_Code],$A1723,T_SelfStock[WeekIndex],49),"")</f>
        <v/>
      </c>
      <c r="BB1728">
        <f>IFERROR(SUMIFS(T_SelfStock[Self_Qty],T_SelfStock[RM_Code],$A1723,T_SelfStock[WeekIndex],50),"")</f>
        <v/>
      </c>
      <c r="BC1728">
        <f>IFERROR(SUMIFS(T_SelfStock[Self_Qty],T_SelfStock[RM_Code],$A1723,T_SelfStock[WeekIndex],51),"")</f>
        <v/>
      </c>
      <c r="BD1728">
        <f>IFERROR(SUMIFS(T_SelfStock[Self_Qty],T_SelfStock[RM_Code],$A1723,T_SelfStock[WeekIndex],52),"")</f>
        <v/>
      </c>
      <c r="BE1728">
        <f>IFERROR(SUMIFS(T_SelfStock[Self_Qty],T_SelfStock[RM_Code],$A1723,T_SelfStock[WeekIndex],53),"")</f>
        <v/>
      </c>
      <c r="BF1728">
        <f>IFERROR(SUMIFS(T_SelfStock[Self_Qty],T_SelfStock[RM_Code],$A1723,T_SelfStock[WeekIndex],54),"")</f>
        <v/>
      </c>
      <c r="BG1728">
        <f>IFERROR(SUMIFS(T_SelfStock[Self_Qty],T_SelfStock[RM_Code],$A1723,T_SelfStock[WeekIndex],55),"")</f>
        <v/>
      </c>
      <c r="BH1728">
        <f>IFERROR(SUMIFS(T_SelfStock[Self_Qty],T_SelfStock[RM_Code],$A1723,T_SelfStock[WeekIndex],56),"")</f>
        <v/>
      </c>
      <c r="BI1728">
        <f>IFERROR(SUMIFS(T_SelfStock[Self_Qty],T_SelfStock[RM_Code],$A1723,T_SelfStock[WeekIndex],57),"")</f>
        <v/>
      </c>
      <c r="BJ1728">
        <f>IFERROR(SUMIFS(T_SelfStock[Self_Qty],T_SelfStock[RM_Code],$A1723,T_SelfStock[WeekIndex],58),"")</f>
        <v/>
      </c>
      <c r="BK1728">
        <f>IFERROR(SUMIFS(T_SelfStock[Self_Qty],T_SelfStock[RM_Code],$A1723,T_SelfStock[WeekIndex],59),"")</f>
        <v/>
      </c>
      <c r="BL1728">
        <f>IFERROR(SUMIFS(T_SelfStock[Self_Qty],T_SelfStock[RM_Code],$A1723,T_SelfStock[WeekIndex],60),"")</f>
        <v/>
      </c>
      <c r="BM1728">
        <f>IFERROR(SUMIFS(T_SelfStock[Self_Qty],T_SelfStock[RM_Code],$A1723,T_SelfStock[WeekIndex],61),"")</f>
        <v/>
      </c>
      <c r="BN1728">
        <f>IFERROR(SUMIFS(T_SelfStock[Self_Qty],T_SelfStock[RM_Code],$A1723,T_SelfStock[WeekIndex],62),"")</f>
        <v/>
      </c>
      <c r="BO1728">
        <f>IFERROR(SUMIFS(T_SelfStock[Self_Qty],T_SelfStock[RM_Code],$A1723,T_SelfStock[WeekIndex],63),"")</f>
        <v/>
      </c>
      <c r="BP1728">
        <f>IFERROR(SUMIFS(T_SelfStock[Self_Qty],T_SelfStock[RM_Code],$A1723,T_SelfStock[WeekIndex],64),"")</f>
        <v/>
      </c>
      <c r="BQ1728">
        <f>IFERROR(SUMIFS(T_SelfStock[Self_Qty],T_SelfStock[RM_Code],$A1723,T_SelfStock[WeekIndex],65),"")</f>
        <v/>
      </c>
      <c r="BR1728">
        <f>IFERROR(SUMIFS(T_SelfStock[Self_Qty],T_SelfStock[RM_Code],$A1723,T_SelfStock[WeekIndex],66),"")</f>
        <v/>
      </c>
      <c r="BS1728">
        <f>IFERROR(SUMIFS(T_SelfStock[Self_Qty],T_SelfStock[RM_Code],$A1723,T_SelfStock[WeekIndex],67),"")</f>
        <v/>
      </c>
      <c r="BT1728">
        <f>IFERROR(SUMIFS(T_SelfStock[Self_Qty],T_SelfStock[RM_Code],$A1723,T_SelfStock[WeekIndex],68),"")</f>
        <v/>
      </c>
      <c r="BU1728">
        <f>IFERROR(SUMIFS(T_SelfStock[Self_Qty],T_SelfStock[RM_Code],$A1723,T_SelfStock[WeekIndex],69),"")</f>
        <v/>
      </c>
      <c r="BV1728">
        <f>IFERROR(SUMIFS(T_SelfStock[Self_Qty],T_SelfStock[RM_Code],$A1723,T_SelfStock[WeekIndex],70),"")</f>
        <v/>
      </c>
      <c r="BW1728">
        <f>IFERROR(SUMIFS(T_SelfStock[Self_Qty],T_SelfStock[RM_Code],$A1723,T_SelfStock[WeekIndex],71),"")</f>
        <v/>
      </c>
      <c r="BX1728">
        <f>IFERROR(SUMIFS(T_SelfStock[Self_Qty],T_SelfStock[RM_Code],$A1723,T_SelfStock[WeekIndex],72),"")</f>
        <v/>
      </c>
      <c r="BY1728">
        <f>IFERROR(SUMIFS(T_SelfStock[Self_Qty],T_SelfStock[RM_Code],$A1723,T_SelfStock[WeekIndex],73),"")</f>
        <v/>
      </c>
      <c r="BZ1728">
        <f>IFERROR(SUMIFS(T_SelfStock[Self_Qty],T_SelfStock[RM_Code],$A1723,T_SelfStock[WeekIndex],74),"")</f>
        <v/>
      </c>
      <c r="CA1728">
        <f>IFERROR(SUMIFS(T_SelfStock[Self_Qty],T_SelfStock[RM_Code],$A1723,T_SelfStock[WeekIndex],75),"")</f>
        <v/>
      </c>
      <c r="CB1728">
        <f>IFERROR(SUMIFS(T_SelfStock[Self_Qty],T_SelfStock[RM_Code],$A1723,T_SelfStock[WeekIndex],76),"")</f>
        <v/>
      </c>
      <c r="CC1728">
        <f>IFERROR(SUMIFS(T_SelfStock[Self_Qty],T_SelfStock[RM_Code],$A1723,T_SelfStock[WeekIndex],77),"")</f>
        <v/>
      </c>
      <c r="CD1728">
        <f>IFERROR(SUMIFS(T_SelfStock[Self_Qty],T_SelfStock[RM_Code],$A1723,T_SelfStock[WeekIndex],78),"")</f>
        <v/>
      </c>
      <c r="CE1728">
        <f>IFERROR(SUMIFS(T_SelfStock[Self_Qty],T_SelfStock[RM_Code],$A1723,T_SelfStock[WeekIndex],79),"")</f>
        <v/>
      </c>
      <c r="CF1728">
        <f>IFERROR(SUMIFS(T_SelfStock[Self_Qty],T_SelfStock[RM_Code],$A1723,T_SelfStock[WeekIndex],80),"")</f>
        <v/>
      </c>
      <c r="CG1728">
        <f>IFERROR(SUMIFS(T_SelfStock[Self_Qty],T_SelfStock[RM_Code],$A1723,T_SelfStock[WeekIndex],81),"")</f>
        <v/>
      </c>
      <c r="CH1728">
        <f>IFERROR(SUMIFS(T_SelfStock[Self_Qty],T_SelfStock[RM_Code],$A1723,T_SelfStock[WeekIndex],82),"")</f>
        <v/>
      </c>
      <c r="CI1728">
        <f>IFERROR(SUMIFS(T_SelfStock[Self_Qty],T_SelfStock[RM_Code],$A1723,T_SelfStock[WeekIndex],83),"")</f>
        <v/>
      </c>
      <c r="CJ1728">
        <f>IFERROR(SUMIFS(T_SelfStock[Self_Qty],T_SelfStock[RM_Code],$A1723,T_SelfStock[WeekIndex],84),"")</f>
        <v/>
      </c>
      <c r="CK1728">
        <f>IFERROR(SUMIFS(T_SelfStock[Self_Qty],T_SelfStock[RM_Code],$A1723,T_SelfStock[WeekIndex],85),"")</f>
        <v/>
      </c>
      <c r="CL1728">
        <f>IFERROR(SUMIFS(T_SelfStock[Self_Qty],T_SelfStock[RM_Code],$A1723,T_SelfStock[WeekIndex],86),"")</f>
        <v/>
      </c>
      <c r="CM1728">
        <f>IFERROR(SUMIFS(T_SelfStock[Self_Qty],T_SelfStock[RM_Code],$A1723,T_SelfStock[WeekIndex],87),"")</f>
        <v/>
      </c>
      <c r="CN1728">
        <f>IFERROR(SUMIFS(T_SelfStock[Self_Qty],T_SelfStock[RM_Code],$A1723,T_SelfStock[WeekIndex],88),"")</f>
        <v/>
      </c>
      <c r="CO1728">
        <f>IFERROR(SUMIFS(T_SelfStock[Self_Qty],T_SelfStock[RM_Code],$A1723,T_SelfStock[WeekIndex],89),"")</f>
        <v/>
      </c>
      <c r="CP1728">
        <f>IFERROR(SUMIFS(T_SelfStock[Self_Qty],T_SelfStock[RM_Code],$A1723,T_SelfStock[WeekIndex],90),"")</f>
        <v/>
      </c>
      <c r="CQ1728">
        <f>IFERROR(SUMIFS(T_SelfStock[Self_Qty],T_SelfStock[RM_Code],$A1723,T_SelfStock[WeekIndex],91),"")</f>
        <v/>
      </c>
      <c r="CR1728">
        <f>IFERROR(SUMIFS(T_SelfStock[Self_Qty],T_SelfStock[RM_Code],$A1723,T_SelfStock[WeekIndex],92),"")</f>
        <v/>
      </c>
      <c r="CS1728">
        <f>IFERROR(SUMIFS(T_SelfStock[Self_Qty],T_SelfStock[RM_Code],$A1723,T_SelfStock[WeekIndex],93),"")</f>
        <v/>
      </c>
      <c r="CT1728">
        <f>IFERROR(SUMIFS(T_SelfStock[Self_Qty],T_SelfStock[RM_Code],$A1723,T_SelfStock[WeekIndex],94),"")</f>
        <v/>
      </c>
      <c r="CU1728">
        <f>IFERROR(SUMIFS(T_SelfStock[Self_Qty],T_SelfStock[RM_Code],$A1723,T_SelfStock[WeekIndex],95),"")</f>
        <v/>
      </c>
      <c r="CV1728">
        <f>IFERROR(SUMIFS(T_SelfStock[Self_Qty],T_SelfStock[RM_Code],$A1723,T_SelfStock[WeekIndex],96),"")</f>
        <v/>
      </c>
      <c r="CW1728">
        <f>IFERROR(SUMIFS(T_SelfStock[Self_Qty],T_SelfStock[RM_Code],$A1723,T_SelfStock[WeekIndex],97),"")</f>
        <v/>
      </c>
      <c r="CX1728">
        <f>IFERROR(SUMIFS(T_SelfStock[Self_Qty],T_SelfStock[RM_Code],$A1723,T_SelfStock[WeekIndex],98),"")</f>
        <v/>
      </c>
      <c r="CY1728">
        <f>IFERROR(SUMIFS(T_SelfStock[Self_Qty],T_SelfStock[RM_Code],$A1723,T_SelfStock[WeekIndex],99),"")</f>
        <v/>
      </c>
      <c r="CZ1728">
        <f>IFERROR(SUMIFS(T_SelfStock[Self_Qty],T_SelfStock[RM_Code],$A1723,T_SelfStock[WeekIndex],100),"")</f>
        <v/>
      </c>
      <c r="DA1728">
        <f>IFERROR(SUMIFS(T_SelfStock[Self_Qty],T_SelfStock[RM_Code],$A1723,T_SelfStock[WeekIndex],101),"")</f>
        <v/>
      </c>
      <c r="DB1728">
        <f>IFERROR(SUMIFS(T_SelfStock[Self_Qty],T_SelfStock[RM_Code],$A1723,T_SelfStock[WeekIndex],102),"")</f>
        <v/>
      </c>
      <c r="DC1728">
        <f>IFERROR(SUMIFS(T_SelfStock[Self_Qty],T_SelfStock[RM_Code],$A1723,T_SelfStock[WeekIndex],103),"")</f>
        <v/>
      </c>
      <c r="DD1728">
        <f>IFERROR(SUMIFS(T_SelfStock[Self_Qty],T_SelfStock[RM_Code],$A1723,T_SelfStock[WeekIndex],104),"")</f>
        <v/>
      </c>
    </row>
    <row r="1729">
      <c r="B1729" s="4" t="inlineStr">
        <is>
          <t>合計在庫(週末時点,kg)</t>
        </is>
      </c>
      <c r="D1729" s="24">
        <f>IFERROR(INDEX(E1729:DD1729,$F$1),"")</f>
        <v/>
      </c>
      <c r="E1729">
        <f>'Grid_Stock'!B15</f>
        <v/>
      </c>
      <c r="F1729">
        <f>'Grid_Stock'!C15</f>
        <v/>
      </c>
      <c r="G1729">
        <f>'Grid_Stock'!D15</f>
        <v/>
      </c>
      <c r="H1729">
        <f>'Grid_Stock'!E15</f>
        <v/>
      </c>
      <c r="I1729">
        <f>'Grid_Stock'!F15</f>
        <v/>
      </c>
      <c r="J1729">
        <f>'Grid_Stock'!G15</f>
        <v/>
      </c>
      <c r="K1729">
        <f>'Grid_Stock'!H15</f>
        <v/>
      </c>
      <c r="L1729">
        <f>'Grid_Stock'!I15</f>
        <v/>
      </c>
      <c r="M1729">
        <f>'Grid_Stock'!J15</f>
        <v/>
      </c>
      <c r="N1729">
        <f>'Grid_Stock'!K15</f>
        <v/>
      </c>
      <c r="O1729">
        <f>'Grid_Stock'!L15</f>
        <v/>
      </c>
      <c r="P1729">
        <f>'Grid_Stock'!M15</f>
        <v/>
      </c>
      <c r="Q1729">
        <f>'Grid_Stock'!N15</f>
        <v/>
      </c>
      <c r="R1729">
        <f>'Grid_Stock'!O15</f>
        <v/>
      </c>
      <c r="S1729">
        <f>'Grid_Stock'!P15</f>
        <v/>
      </c>
      <c r="T1729">
        <f>'Grid_Stock'!Q15</f>
        <v/>
      </c>
      <c r="U1729">
        <f>'Grid_Stock'!R15</f>
        <v/>
      </c>
      <c r="V1729">
        <f>'Grid_Stock'!S15</f>
        <v/>
      </c>
      <c r="W1729">
        <f>'Grid_Stock'!T15</f>
        <v/>
      </c>
      <c r="X1729">
        <f>'Grid_Stock'!U15</f>
        <v/>
      </c>
      <c r="Y1729">
        <f>'Grid_Stock'!V15</f>
        <v/>
      </c>
      <c r="Z1729">
        <f>'Grid_Stock'!W15</f>
        <v/>
      </c>
      <c r="AA1729">
        <f>'Grid_Stock'!X15</f>
        <v/>
      </c>
      <c r="AB1729">
        <f>'Grid_Stock'!Y15</f>
        <v/>
      </c>
      <c r="AC1729">
        <f>'Grid_Stock'!Z15</f>
        <v/>
      </c>
      <c r="AD1729">
        <f>'Grid_Stock'!AA15</f>
        <v/>
      </c>
      <c r="AE1729">
        <f>'Grid_Stock'!AB15</f>
        <v/>
      </c>
      <c r="AF1729">
        <f>'Grid_Stock'!AC15</f>
        <v/>
      </c>
      <c r="AG1729">
        <f>'Grid_Stock'!AD15</f>
        <v/>
      </c>
      <c r="AH1729">
        <f>'Grid_Stock'!AE15</f>
        <v/>
      </c>
      <c r="AI1729">
        <f>'Grid_Stock'!AF15</f>
        <v/>
      </c>
      <c r="AJ1729">
        <f>'Grid_Stock'!AG15</f>
        <v/>
      </c>
      <c r="AK1729">
        <f>'Grid_Stock'!AH15</f>
        <v/>
      </c>
      <c r="AL1729">
        <f>'Grid_Stock'!AI15</f>
        <v/>
      </c>
      <c r="AM1729">
        <f>'Grid_Stock'!AJ15</f>
        <v/>
      </c>
      <c r="AN1729">
        <f>'Grid_Stock'!AK15</f>
        <v/>
      </c>
      <c r="AO1729">
        <f>'Grid_Stock'!AL15</f>
        <v/>
      </c>
      <c r="AP1729">
        <f>'Grid_Stock'!AM15</f>
        <v/>
      </c>
      <c r="AQ1729">
        <f>'Grid_Stock'!AN15</f>
        <v/>
      </c>
      <c r="AR1729">
        <f>'Grid_Stock'!AO15</f>
        <v/>
      </c>
      <c r="AS1729">
        <f>'Grid_Stock'!AP15</f>
        <v/>
      </c>
      <c r="AT1729">
        <f>'Grid_Stock'!AQ15</f>
        <v/>
      </c>
      <c r="AU1729">
        <f>'Grid_Stock'!AR15</f>
        <v/>
      </c>
      <c r="AV1729">
        <f>'Grid_Stock'!AS15</f>
        <v/>
      </c>
      <c r="AW1729">
        <f>'Grid_Stock'!AT15</f>
        <v/>
      </c>
      <c r="AX1729">
        <f>'Grid_Stock'!AU15</f>
        <v/>
      </c>
      <c r="AY1729">
        <f>'Grid_Stock'!AV15</f>
        <v/>
      </c>
      <c r="AZ1729">
        <f>'Grid_Stock'!AW15</f>
        <v/>
      </c>
      <c r="BA1729">
        <f>'Grid_Stock'!AX15</f>
        <v/>
      </c>
      <c r="BB1729">
        <f>'Grid_Stock'!AY15</f>
        <v/>
      </c>
      <c r="BC1729">
        <f>'Grid_Stock'!AZ15</f>
        <v/>
      </c>
      <c r="BD1729">
        <f>'Grid_Stock'!BA15</f>
        <v/>
      </c>
      <c r="BE1729">
        <f>'Grid_Stock'!BB15</f>
        <v/>
      </c>
      <c r="BF1729">
        <f>'Grid_Stock'!BC15</f>
        <v/>
      </c>
      <c r="BG1729">
        <f>'Grid_Stock'!BD15</f>
        <v/>
      </c>
      <c r="BH1729">
        <f>'Grid_Stock'!BE15</f>
        <v/>
      </c>
      <c r="BI1729">
        <f>'Grid_Stock'!BF15</f>
        <v/>
      </c>
      <c r="BJ1729">
        <f>'Grid_Stock'!BG15</f>
        <v/>
      </c>
      <c r="BK1729">
        <f>'Grid_Stock'!BH15</f>
        <v/>
      </c>
      <c r="BL1729">
        <f>'Grid_Stock'!BI15</f>
        <v/>
      </c>
      <c r="BM1729">
        <f>'Grid_Stock'!BJ15</f>
        <v/>
      </c>
      <c r="BN1729">
        <f>'Grid_Stock'!BK15</f>
        <v/>
      </c>
      <c r="BO1729">
        <f>'Grid_Stock'!BL15</f>
        <v/>
      </c>
      <c r="BP1729">
        <f>'Grid_Stock'!BM15</f>
        <v/>
      </c>
      <c r="BQ1729">
        <f>'Grid_Stock'!BN15</f>
        <v/>
      </c>
      <c r="BR1729">
        <f>'Grid_Stock'!BO15</f>
        <v/>
      </c>
      <c r="BS1729">
        <f>'Grid_Stock'!BP15</f>
        <v/>
      </c>
      <c r="BT1729">
        <f>'Grid_Stock'!BQ15</f>
        <v/>
      </c>
      <c r="BU1729">
        <f>'Grid_Stock'!BR15</f>
        <v/>
      </c>
      <c r="BV1729">
        <f>'Grid_Stock'!BS15</f>
        <v/>
      </c>
      <c r="BW1729">
        <f>'Grid_Stock'!BT15</f>
        <v/>
      </c>
      <c r="BX1729">
        <f>'Grid_Stock'!BU15</f>
        <v/>
      </c>
      <c r="BY1729">
        <f>'Grid_Stock'!BV15</f>
        <v/>
      </c>
      <c r="BZ1729">
        <f>'Grid_Stock'!BW15</f>
        <v/>
      </c>
      <c r="CA1729">
        <f>'Grid_Stock'!BX15</f>
        <v/>
      </c>
      <c r="CB1729">
        <f>'Grid_Stock'!BY15</f>
        <v/>
      </c>
      <c r="CC1729">
        <f>'Grid_Stock'!BZ15</f>
        <v/>
      </c>
      <c r="CD1729">
        <f>'Grid_Stock'!CA15</f>
        <v/>
      </c>
      <c r="CE1729">
        <f>'Grid_Stock'!CB15</f>
        <v/>
      </c>
      <c r="CF1729">
        <f>'Grid_Stock'!CC15</f>
        <v/>
      </c>
      <c r="CG1729">
        <f>'Grid_Stock'!CD15</f>
        <v/>
      </c>
      <c r="CH1729">
        <f>'Grid_Stock'!CE15</f>
        <v/>
      </c>
      <c r="CI1729">
        <f>'Grid_Stock'!CF15</f>
        <v/>
      </c>
      <c r="CJ1729">
        <f>'Grid_Stock'!CG15</f>
        <v/>
      </c>
      <c r="CK1729">
        <f>'Grid_Stock'!CH15</f>
        <v/>
      </c>
      <c r="CL1729">
        <f>'Grid_Stock'!CI15</f>
        <v/>
      </c>
      <c r="CM1729">
        <f>'Grid_Stock'!CJ15</f>
        <v/>
      </c>
      <c r="CN1729">
        <f>'Grid_Stock'!CK15</f>
        <v/>
      </c>
      <c r="CO1729">
        <f>'Grid_Stock'!CL15</f>
        <v/>
      </c>
      <c r="CP1729">
        <f>'Grid_Stock'!CM15</f>
        <v/>
      </c>
      <c r="CQ1729">
        <f>'Grid_Stock'!CN15</f>
        <v/>
      </c>
      <c r="CR1729">
        <f>'Grid_Stock'!CO15</f>
        <v/>
      </c>
      <c r="CS1729">
        <f>'Grid_Stock'!CP15</f>
        <v/>
      </c>
      <c r="CT1729">
        <f>'Grid_Stock'!CQ15</f>
        <v/>
      </c>
      <c r="CU1729">
        <f>'Grid_Stock'!CR15</f>
        <v/>
      </c>
      <c r="CV1729">
        <f>'Grid_Stock'!CS15</f>
        <v/>
      </c>
      <c r="CW1729">
        <f>'Grid_Stock'!CT15</f>
        <v/>
      </c>
      <c r="CX1729">
        <f>'Grid_Stock'!CU15</f>
        <v/>
      </c>
      <c r="CY1729">
        <f>'Grid_Stock'!CV15</f>
        <v/>
      </c>
      <c r="CZ1729">
        <f>'Grid_Stock'!CW15</f>
        <v/>
      </c>
      <c r="DA1729">
        <f>'Grid_Stock'!CX15</f>
        <v/>
      </c>
      <c r="DB1729">
        <f>'Grid_Stock'!CY15</f>
        <v/>
      </c>
      <c r="DC1729">
        <f>'Grid_Stock'!CZ15</f>
        <v/>
      </c>
      <c r="DD1729">
        <f>'Grid_Stock'!DA15</f>
        <v/>
      </c>
    </row>
    <row r="1730">
      <c r="B1730" s="25" t="inlineStr">
        <is>
          <t>（発注の目安はDashboardの基準在庫[下限/上限]と色分けを参照）</t>
        </is>
      </c>
    </row>
    <row r="1732">
      <c r="A1732" s="21" t="inlineStr">
        <is>
          <t>PP Film</t>
        </is>
      </c>
      <c r="B1732" s="21" t="inlineStr">
        <is>
          <t>PP Film</t>
        </is>
      </c>
      <c r="C1732" s="22" t="n"/>
      <c r="D1732" s="21" t="n"/>
      <c r="E1732" s="21" t="n"/>
      <c r="F1732" s="21" t="n"/>
      <c r="G1732" s="21" t="n"/>
      <c r="H1732" s="21" t="n"/>
      <c r="I1732" s="21" t="n"/>
      <c r="J1732" s="21" t="n"/>
      <c r="K1732" s="21" t="n"/>
      <c r="L1732" s="21" t="n"/>
      <c r="M1732" s="21" t="n"/>
      <c r="N1732" s="21" t="n"/>
      <c r="O1732" s="21" t="n"/>
      <c r="P1732" s="21" t="n"/>
      <c r="Q1732" s="21" t="n"/>
      <c r="R1732" s="21" t="n"/>
      <c r="S1732" s="21" t="n"/>
      <c r="T1732" s="21" t="n"/>
      <c r="U1732" s="21" t="n"/>
      <c r="V1732" s="21" t="n"/>
      <c r="W1732" s="21" t="n"/>
      <c r="X1732" s="21" t="n"/>
      <c r="Y1732" s="21" t="n"/>
      <c r="Z1732" s="21" t="n"/>
      <c r="AA1732" s="21" t="n"/>
      <c r="AB1732" s="21" t="n"/>
      <c r="AC1732" s="21" t="n"/>
      <c r="AD1732" s="21" t="n"/>
      <c r="AE1732" s="21" t="n"/>
      <c r="AF1732" s="21" t="n"/>
      <c r="AG1732" s="21" t="n"/>
      <c r="AH1732" s="21" t="n"/>
      <c r="AI1732" s="21" t="n"/>
      <c r="AJ1732" s="21" t="n"/>
      <c r="AK1732" s="21" t="n"/>
      <c r="AL1732" s="21" t="n"/>
      <c r="AM1732" s="21" t="n"/>
      <c r="AN1732" s="21" t="n"/>
      <c r="AO1732" s="21" t="n"/>
      <c r="AP1732" s="21" t="n"/>
      <c r="AQ1732" s="21" t="n"/>
      <c r="AR1732" s="21" t="n"/>
      <c r="AS1732" s="21" t="n"/>
      <c r="AT1732" s="21" t="n"/>
      <c r="AU1732" s="21" t="n"/>
      <c r="AV1732" s="21" t="n"/>
      <c r="AW1732" s="21" t="n"/>
      <c r="AX1732" s="21" t="n"/>
      <c r="AY1732" s="21" t="n"/>
      <c r="AZ1732" s="21" t="n"/>
      <c r="BA1732" s="21" t="n"/>
      <c r="BB1732" s="21" t="n"/>
      <c r="BC1732" s="21" t="n"/>
      <c r="BD1732" s="21" t="n"/>
      <c r="BE1732" s="21" t="n"/>
      <c r="BF1732" s="21" t="n"/>
      <c r="BG1732" s="21" t="n"/>
      <c r="BH1732" s="21" t="n"/>
      <c r="BI1732" s="21" t="n"/>
      <c r="BJ1732" s="21" t="n"/>
      <c r="BK1732" s="21" t="n"/>
      <c r="BL1732" s="21" t="n"/>
      <c r="BM1732" s="21" t="n"/>
      <c r="BN1732" s="21" t="n"/>
      <c r="BO1732" s="21" t="n"/>
      <c r="BP1732" s="21" t="n"/>
      <c r="BQ1732" s="21" t="n"/>
      <c r="BR1732" s="21" t="n"/>
      <c r="BS1732" s="21" t="n"/>
      <c r="BT1732" s="21" t="n"/>
      <c r="BU1732" s="21" t="n"/>
      <c r="BV1732" s="21" t="n"/>
      <c r="BW1732" s="21" t="n"/>
      <c r="BX1732" s="21" t="n"/>
      <c r="BY1732" s="21" t="n"/>
      <c r="BZ1732" s="21" t="n"/>
      <c r="CA1732" s="21" t="n"/>
      <c r="CB1732" s="21" t="n"/>
      <c r="CC1732" s="21" t="n"/>
      <c r="CD1732" s="21" t="n"/>
      <c r="CE1732" s="21" t="n"/>
      <c r="CF1732" s="21" t="n"/>
      <c r="CG1732" s="21" t="n"/>
      <c r="CH1732" s="21" t="n"/>
      <c r="CI1732" s="21" t="n"/>
      <c r="CJ1732" s="21" t="n"/>
      <c r="CK1732" s="21" t="n"/>
      <c r="CL1732" s="21" t="n"/>
      <c r="CM1732" s="21" t="n"/>
      <c r="CN1732" s="21" t="n"/>
      <c r="CO1732" s="21" t="n"/>
      <c r="CP1732" s="21" t="n"/>
      <c r="CQ1732" s="21" t="n"/>
      <c r="CR1732" s="21" t="n"/>
      <c r="CS1732" s="21" t="n"/>
      <c r="CT1732" s="21" t="n"/>
      <c r="CU1732" s="21" t="n"/>
      <c r="CV1732" s="21" t="n"/>
      <c r="CW1732" s="21" t="n"/>
      <c r="CX1732" s="21" t="n"/>
      <c r="CY1732" s="21" t="n"/>
      <c r="CZ1732" s="21" t="n"/>
      <c r="DA1732" s="21" t="n"/>
      <c r="DB1732" s="21" t="n"/>
      <c r="DC1732" s="21" t="n"/>
      <c r="DD1732" s="21" t="n"/>
    </row>
    <row r="1733">
      <c r="B1733" t="inlineStr">
        <is>
          <t>PP Film</t>
        </is>
      </c>
      <c r="C1733" t="inlineStr">
        <is>
          <t>No. of batches</t>
        </is>
      </c>
      <c r="D1733">
        <f>IFERROR(INDEX(E1733:DD1733,$F$1),"")</f>
        <v/>
      </c>
      <c r="E1733">
        <f>IFERROR(INDEX(PP_Grid[#Data],$DE1733,2),0)</f>
        <v/>
      </c>
      <c r="F1733">
        <f>IFERROR(INDEX(PP_Grid[#Data],$DE1733,3),0)</f>
        <v/>
      </c>
      <c r="G1733">
        <f>IFERROR(INDEX(PP_Grid[#Data],$DE1733,4),0)</f>
        <v/>
      </c>
      <c r="H1733">
        <f>IFERROR(INDEX(PP_Grid[#Data],$DE1733,5),0)</f>
        <v/>
      </c>
      <c r="I1733">
        <f>IFERROR(INDEX(PP_Grid[#Data],$DE1733,6),0)</f>
        <v/>
      </c>
      <c r="J1733">
        <f>IFERROR(INDEX(PP_Grid[#Data],$DE1733,7),0)</f>
        <v/>
      </c>
      <c r="K1733">
        <f>IFERROR(INDEX(PP_Grid[#Data],$DE1733,8),0)</f>
        <v/>
      </c>
      <c r="L1733">
        <f>IFERROR(INDEX(PP_Grid[#Data],$DE1733,9),0)</f>
        <v/>
      </c>
      <c r="M1733">
        <f>IFERROR(INDEX(PP_Grid[#Data],$DE1733,10),0)</f>
        <v/>
      </c>
      <c r="N1733">
        <f>IFERROR(INDEX(PP_Grid[#Data],$DE1733,11),0)</f>
        <v/>
      </c>
      <c r="O1733">
        <f>IFERROR(INDEX(PP_Grid[#Data],$DE1733,12),0)</f>
        <v/>
      </c>
      <c r="P1733">
        <f>IFERROR(INDEX(PP_Grid[#Data],$DE1733,13),0)</f>
        <v/>
      </c>
      <c r="Q1733">
        <f>IFERROR(INDEX(PP_Grid[#Data],$DE1733,14),0)</f>
        <v/>
      </c>
      <c r="R1733">
        <f>IFERROR(INDEX(PP_Grid[#Data],$DE1733,15),0)</f>
        <v/>
      </c>
      <c r="S1733">
        <f>IFERROR(INDEX(PP_Grid[#Data],$DE1733,16),0)</f>
        <v/>
      </c>
      <c r="T1733">
        <f>IFERROR(INDEX(PP_Grid[#Data],$DE1733,17),0)</f>
        <v/>
      </c>
      <c r="U1733">
        <f>IFERROR(INDEX(PP_Grid[#Data],$DE1733,18),0)</f>
        <v/>
      </c>
      <c r="V1733">
        <f>IFERROR(INDEX(PP_Grid[#Data],$DE1733,19),0)</f>
        <v/>
      </c>
      <c r="W1733">
        <f>IFERROR(INDEX(PP_Grid[#Data],$DE1733,20),0)</f>
        <v/>
      </c>
      <c r="X1733">
        <f>IFERROR(INDEX(PP_Grid[#Data],$DE1733,21),0)</f>
        <v/>
      </c>
      <c r="Y1733">
        <f>IFERROR(INDEX(PP_Grid[#Data],$DE1733,22),0)</f>
        <v/>
      </c>
      <c r="Z1733">
        <f>IFERROR(INDEX(PP_Grid[#Data],$DE1733,23),0)</f>
        <v/>
      </c>
      <c r="AA1733">
        <f>IFERROR(INDEX(PP_Grid[#Data],$DE1733,24),0)</f>
        <v/>
      </c>
      <c r="AB1733">
        <f>IFERROR(INDEX(PP_Grid[#Data],$DE1733,25),0)</f>
        <v/>
      </c>
      <c r="AC1733">
        <f>IFERROR(INDEX(PP_Grid[#Data],$DE1733,26),0)</f>
        <v/>
      </c>
      <c r="AD1733">
        <f>IFERROR(INDEX(PP_Grid[#Data],$DE1733,27),0)</f>
        <v/>
      </c>
      <c r="AE1733">
        <f>IFERROR(INDEX(PP_Grid[#Data],$DE1733,28),0)</f>
        <v/>
      </c>
      <c r="AF1733">
        <f>IFERROR(INDEX(PP_Grid[#Data],$DE1733,29),0)</f>
        <v/>
      </c>
      <c r="AG1733">
        <f>IFERROR(INDEX(PP_Grid[#Data],$DE1733,30),0)</f>
        <v/>
      </c>
      <c r="AH1733">
        <f>IFERROR(INDEX(PP_Grid[#Data],$DE1733,31),0)</f>
        <v/>
      </c>
      <c r="AI1733">
        <f>IFERROR(INDEX(PP_Grid[#Data],$DE1733,32),0)</f>
        <v/>
      </c>
      <c r="AJ1733">
        <f>IFERROR(INDEX(PP_Grid[#Data],$DE1733,33),0)</f>
        <v/>
      </c>
      <c r="AK1733">
        <f>IFERROR(INDEX(PP_Grid[#Data],$DE1733,34),0)</f>
        <v/>
      </c>
      <c r="AL1733">
        <f>IFERROR(INDEX(PP_Grid[#Data],$DE1733,35),0)</f>
        <v/>
      </c>
      <c r="AM1733">
        <f>IFERROR(INDEX(PP_Grid[#Data],$DE1733,36),0)</f>
        <v/>
      </c>
      <c r="AN1733">
        <f>IFERROR(INDEX(PP_Grid[#Data],$DE1733,37),0)</f>
        <v/>
      </c>
      <c r="AO1733">
        <f>IFERROR(INDEX(PP_Grid[#Data],$DE1733,38),0)</f>
        <v/>
      </c>
      <c r="AP1733">
        <f>IFERROR(INDEX(PP_Grid[#Data],$DE1733,39),0)</f>
        <v/>
      </c>
      <c r="AQ1733">
        <f>IFERROR(INDEX(PP_Grid[#Data],$DE1733,40),0)</f>
        <v/>
      </c>
      <c r="AR1733">
        <f>IFERROR(INDEX(PP_Grid[#Data],$DE1733,41),0)</f>
        <v/>
      </c>
      <c r="AS1733">
        <f>IFERROR(INDEX(PP_Grid[#Data],$DE1733,42),0)</f>
        <v/>
      </c>
      <c r="AT1733">
        <f>IFERROR(INDEX(PP_Grid[#Data],$DE1733,43),0)</f>
        <v/>
      </c>
      <c r="AU1733">
        <f>IFERROR(INDEX(PP_Grid[#Data],$DE1733,44),0)</f>
        <v/>
      </c>
      <c r="AV1733">
        <f>IFERROR(INDEX(PP_Grid[#Data],$DE1733,45),0)</f>
        <v/>
      </c>
      <c r="AW1733">
        <f>IFERROR(INDEX(PP_Grid[#Data],$DE1733,46),0)</f>
        <v/>
      </c>
      <c r="AX1733">
        <f>IFERROR(INDEX(PP_Grid[#Data],$DE1733,47),0)</f>
        <v/>
      </c>
      <c r="AY1733">
        <f>IFERROR(INDEX(PP_Grid[#Data],$DE1733,48),0)</f>
        <v/>
      </c>
      <c r="AZ1733">
        <f>IFERROR(INDEX(PP_Grid[#Data],$DE1733,49),0)</f>
        <v/>
      </c>
      <c r="BA1733">
        <f>IFERROR(INDEX(PP_Grid[#Data],$DE1733,50),0)</f>
        <v/>
      </c>
      <c r="BB1733">
        <f>IFERROR(INDEX(PP_Grid[#Data],$DE1733,51),0)</f>
        <v/>
      </c>
      <c r="BC1733">
        <f>IFERROR(INDEX(PP_Grid[#Data],$DE1733,52),0)</f>
        <v/>
      </c>
      <c r="BD1733">
        <f>IFERROR(INDEX(PP_Grid[#Data],$DE1733,53),0)</f>
        <v/>
      </c>
      <c r="BE1733">
        <f>IFERROR(INDEX(PP_Grid[#Data],$DE1733,54),0)</f>
        <v/>
      </c>
      <c r="BF1733">
        <f>IFERROR(INDEX(PP_Grid[#Data],$DE1733,55),0)</f>
        <v/>
      </c>
      <c r="BG1733">
        <f>IFERROR(INDEX(PP_Grid[#Data],$DE1733,56),0)</f>
        <v/>
      </c>
      <c r="BH1733">
        <f>IFERROR(INDEX(PP_Grid[#Data],$DE1733,57),0)</f>
        <v/>
      </c>
      <c r="BI1733">
        <f>IFERROR(INDEX(PP_Grid[#Data],$DE1733,58),0)</f>
        <v/>
      </c>
      <c r="BJ1733">
        <f>IFERROR(INDEX(PP_Grid[#Data],$DE1733,59),0)</f>
        <v/>
      </c>
      <c r="BK1733">
        <f>IFERROR(INDEX(PP_Grid[#Data],$DE1733,60),0)</f>
        <v/>
      </c>
      <c r="BL1733">
        <f>IFERROR(INDEX(PP_Grid[#Data],$DE1733,61),0)</f>
        <v/>
      </c>
      <c r="BM1733">
        <f>IFERROR(INDEX(PP_Grid[#Data],$DE1733,62),0)</f>
        <v/>
      </c>
      <c r="BN1733">
        <f>IFERROR(INDEX(PP_Grid[#Data],$DE1733,63),0)</f>
        <v/>
      </c>
      <c r="BO1733">
        <f>IFERROR(INDEX(PP_Grid[#Data],$DE1733,64),0)</f>
        <v/>
      </c>
      <c r="BP1733">
        <f>IFERROR(INDEX(PP_Grid[#Data],$DE1733,65),0)</f>
        <v/>
      </c>
      <c r="BQ1733">
        <f>IFERROR(INDEX(PP_Grid[#Data],$DE1733,66),0)</f>
        <v/>
      </c>
      <c r="BR1733">
        <f>IFERROR(INDEX(PP_Grid[#Data],$DE1733,67),0)</f>
        <v/>
      </c>
      <c r="BS1733">
        <f>IFERROR(INDEX(PP_Grid[#Data],$DE1733,68),0)</f>
        <v/>
      </c>
      <c r="BT1733">
        <f>IFERROR(INDEX(PP_Grid[#Data],$DE1733,69),0)</f>
        <v/>
      </c>
      <c r="BU1733">
        <f>IFERROR(INDEX(PP_Grid[#Data],$DE1733,70),0)</f>
        <v/>
      </c>
      <c r="BV1733">
        <f>IFERROR(INDEX(PP_Grid[#Data],$DE1733,71),0)</f>
        <v/>
      </c>
      <c r="BW1733">
        <f>IFERROR(INDEX(PP_Grid[#Data],$DE1733,72),0)</f>
        <v/>
      </c>
      <c r="BX1733">
        <f>IFERROR(INDEX(PP_Grid[#Data],$DE1733,73),0)</f>
        <v/>
      </c>
      <c r="BY1733">
        <f>IFERROR(INDEX(PP_Grid[#Data],$DE1733,74),0)</f>
        <v/>
      </c>
      <c r="BZ1733">
        <f>IFERROR(INDEX(PP_Grid[#Data],$DE1733,75),0)</f>
        <v/>
      </c>
      <c r="CA1733">
        <f>IFERROR(INDEX(PP_Grid[#Data],$DE1733,76),0)</f>
        <v/>
      </c>
      <c r="CB1733">
        <f>IFERROR(INDEX(PP_Grid[#Data],$DE1733,77),0)</f>
        <v/>
      </c>
      <c r="CC1733">
        <f>IFERROR(INDEX(PP_Grid[#Data],$DE1733,78),0)</f>
        <v/>
      </c>
      <c r="CD1733">
        <f>IFERROR(INDEX(PP_Grid[#Data],$DE1733,79),0)</f>
        <v/>
      </c>
      <c r="CE1733">
        <f>IFERROR(INDEX(PP_Grid[#Data],$DE1733,80),0)</f>
        <v/>
      </c>
      <c r="CF1733">
        <f>IFERROR(INDEX(PP_Grid[#Data],$DE1733,81),0)</f>
        <v/>
      </c>
      <c r="CG1733">
        <f>IFERROR(INDEX(PP_Grid[#Data],$DE1733,82),0)</f>
        <v/>
      </c>
      <c r="CH1733">
        <f>IFERROR(INDEX(PP_Grid[#Data],$DE1733,83),0)</f>
        <v/>
      </c>
      <c r="CI1733">
        <f>IFERROR(INDEX(PP_Grid[#Data],$DE1733,84),0)</f>
        <v/>
      </c>
      <c r="CJ1733">
        <f>IFERROR(INDEX(PP_Grid[#Data],$DE1733,85),0)</f>
        <v/>
      </c>
      <c r="CK1733">
        <f>IFERROR(INDEX(PP_Grid[#Data],$DE1733,86),0)</f>
        <v/>
      </c>
      <c r="CL1733">
        <f>IFERROR(INDEX(PP_Grid[#Data],$DE1733,87),0)</f>
        <v/>
      </c>
      <c r="CM1733">
        <f>IFERROR(INDEX(PP_Grid[#Data],$DE1733,88),0)</f>
        <v/>
      </c>
      <c r="CN1733">
        <f>IFERROR(INDEX(PP_Grid[#Data],$DE1733,89),0)</f>
        <v/>
      </c>
      <c r="CO1733">
        <f>IFERROR(INDEX(PP_Grid[#Data],$DE1733,90),0)</f>
        <v/>
      </c>
      <c r="CP1733">
        <f>IFERROR(INDEX(PP_Grid[#Data],$DE1733,91),0)</f>
        <v/>
      </c>
      <c r="CQ1733">
        <f>IFERROR(INDEX(PP_Grid[#Data],$DE1733,92),0)</f>
        <v/>
      </c>
      <c r="CR1733">
        <f>IFERROR(INDEX(PP_Grid[#Data],$DE1733,93),0)</f>
        <v/>
      </c>
      <c r="CS1733">
        <f>IFERROR(INDEX(PP_Grid[#Data],$DE1733,94),0)</f>
        <v/>
      </c>
      <c r="CT1733">
        <f>IFERROR(INDEX(PP_Grid[#Data],$DE1733,95),0)</f>
        <v/>
      </c>
      <c r="CU1733">
        <f>IFERROR(INDEX(PP_Grid[#Data],$DE1733,96),0)</f>
        <v/>
      </c>
      <c r="CV1733">
        <f>IFERROR(INDEX(PP_Grid[#Data],$DE1733,97),0)</f>
        <v/>
      </c>
      <c r="CW1733">
        <f>IFERROR(INDEX(PP_Grid[#Data],$DE1733,98),0)</f>
        <v/>
      </c>
      <c r="CX1733">
        <f>IFERROR(INDEX(PP_Grid[#Data],$DE1733,99),0)</f>
        <v/>
      </c>
      <c r="CY1733">
        <f>IFERROR(INDEX(PP_Grid[#Data],$DE1733,100),0)</f>
        <v/>
      </c>
      <c r="CZ1733">
        <f>IFERROR(INDEX(PP_Grid[#Data],$DE1733,101),0)</f>
        <v/>
      </c>
      <c r="DA1733">
        <f>IFERROR(INDEX(PP_Grid[#Data],$DE1733,102),0)</f>
        <v/>
      </c>
      <c r="DB1733">
        <f>IFERROR(INDEX(PP_Grid[#Data],$DE1733,103),0)</f>
        <v/>
      </c>
      <c r="DC1733">
        <f>IFERROR(INDEX(PP_Grid[#Data],$DE1733,104),0)</f>
        <v/>
      </c>
      <c r="DD1733">
        <f>IFERROR(INDEX(PP_Grid[#Data],$DE1733,105),0)</f>
        <v/>
      </c>
      <c r="DE1733" s="7">
        <f>IFERROR(MATCH($B1733,PP_Grid[Intermediate],0),99999)</f>
        <v/>
      </c>
    </row>
    <row r="1734">
      <c r="B1734" t="inlineStr">
        <is>
          <t>使用量(kg)</t>
        </is>
      </c>
      <c r="C1734">
        <f>SUMIFS(M_BOM[RM_Qty_Per_Batch],M_BOM[Intermediate],$B1733,M_BOM[RM_Code],$A1732)</f>
        <v/>
      </c>
      <c r="D1734">
        <f>IFERROR(INDEX(E1734:DD1734,$F$1),"")</f>
        <v/>
      </c>
      <c r="E1734">
        <f>$C1734*E1733</f>
        <v/>
      </c>
      <c r="F1734">
        <f>$C1734*F1733</f>
        <v/>
      </c>
      <c r="G1734">
        <f>$C1734*G1733</f>
        <v/>
      </c>
      <c r="H1734">
        <f>$C1734*H1733</f>
        <v/>
      </c>
      <c r="I1734">
        <f>$C1734*I1733</f>
        <v/>
      </c>
      <c r="J1734">
        <f>$C1734*J1733</f>
        <v/>
      </c>
      <c r="K1734">
        <f>$C1734*K1733</f>
        <v/>
      </c>
      <c r="L1734">
        <f>$C1734*L1733</f>
        <v/>
      </c>
      <c r="M1734">
        <f>$C1734*M1733</f>
        <v/>
      </c>
      <c r="N1734">
        <f>$C1734*N1733</f>
        <v/>
      </c>
      <c r="O1734">
        <f>$C1734*O1733</f>
        <v/>
      </c>
      <c r="P1734">
        <f>$C1734*P1733</f>
        <v/>
      </c>
      <c r="Q1734">
        <f>$C1734*Q1733</f>
        <v/>
      </c>
      <c r="R1734">
        <f>$C1734*R1733</f>
        <v/>
      </c>
      <c r="S1734">
        <f>$C1734*S1733</f>
        <v/>
      </c>
      <c r="T1734">
        <f>$C1734*T1733</f>
        <v/>
      </c>
      <c r="U1734">
        <f>$C1734*U1733</f>
        <v/>
      </c>
      <c r="V1734">
        <f>$C1734*V1733</f>
        <v/>
      </c>
      <c r="W1734">
        <f>$C1734*W1733</f>
        <v/>
      </c>
      <c r="X1734">
        <f>$C1734*X1733</f>
        <v/>
      </c>
      <c r="Y1734">
        <f>$C1734*Y1733</f>
        <v/>
      </c>
      <c r="Z1734">
        <f>$C1734*Z1733</f>
        <v/>
      </c>
      <c r="AA1734">
        <f>$C1734*AA1733</f>
        <v/>
      </c>
      <c r="AB1734">
        <f>$C1734*AB1733</f>
        <v/>
      </c>
      <c r="AC1734">
        <f>$C1734*AC1733</f>
        <v/>
      </c>
      <c r="AD1734">
        <f>$C1734*AD1733</f>
        <v/>
      </c>
      <c r="AE1734">
        <f>$C1734*AE1733</f>
        <v/>
      </c>
      <c r="AF1734">
        <f>$C1734*AF1733</f>
        <v/>
      </c>
      <c r="AG1734">
        <f>$C1734*AG1733</f>
        <v/>
      </c>
      <c r="AH1734">
        <f>$C1734*AH1733</f>
        <v/>
      </c>
      <c r="AI1734">
        <f>$C1734*AI1733</f>
        <v/>
      </c>
      <c r="AJ1734">
        <f>$C1734*AJ1733</f>
        <v/>
      </c>
      <c r="AK1734">
        <f>$C1734*AK1733</f>
        <v/>
      </c>
      <c r="AL1734">
        <f>$C1734*AL1733</f>
        <v/>
      </c>
      <c r="AM1734">
        <f>$C1734*AM1733</f>
        <v/>
      </c>
      <c r="AN1734">
        <f>$C1734*AN1733</f>
        <v/>
      </c>
      <c r="AO1734">
        <f>$C1734*AO1733</f>
        <v/>
      </c>
      <c r="AP1734">
        <f>$C1734*AP1733</f>
        <v/>
      </c>
      <c r="AQ1734">
        <f>$C1734*AQ1733</f>
        <v/>
      </c>
      <c r="AR1734">
        <f>$C1734*AR1733</f>
        <v/>
      </c>
      <c r="AS1734">
        <f>$C1734*AS1733</f>
        <v/>
      </c>
      <c r="AT1734">
        <f>$C1734*AT1733</f>
        <v/>
      </c>
      <c r="AU1734">
        <f>$C1734*AU1733</f>
        <v/>
      </c>
      <c r="AV1734">
        <f>$C1734*AV1733</f>
        <v/>
      </c>
      <c r="AW1734">
        <f>$C1734*AW1733</f>
        <v/>
      </c>
      <c r="AX1734">
        <f>$C1734*AX1733</f>
        <v/>
      </c>
      <c r="AY1734">
        <f>$C1734*AY1733</f>
        <v/>
      </c>
      <c r="AZ1734">
        <f>$C1734*AZ1733</f>
        <v/>
      </c>
      <c r="BA1734">
        <f>$C1734*BA1733</f>
        <v/>
      </c>
      <c r="BB1734">
        <f>$C1734*BB1733</f>
        <v/>
      </c>
      <c r="BC1734">
        <f>$C1734*BC1733</f>
        <v/>
      </c>
      <c r="BD1734">
        <f>$C1734*BD1733</f>
        <v/>
      </c>
      <c r="BE1734">
        <f>$C1734*BE1733</f>
        <v/>
      </c>
      <c r="BF1734">
        <f>$C1734*BF1733</f>
        <v/>
      </c>
      <c r="BG1734">
        <f>$C1734*BG1733</f>
        <v/>
      </c>
      <c r="BH1734">
        <f>$C1734*BH1733</f>
        <v/>
      </c>
      <c r="BI1734">
        <f>$C1734*BI1733</f>
        <v/>
      </c>
      <c r="BJ1734">
        <f>$C1734*BJ1733</f>
        <v/>
      </c>
      <c r="BK1734">
        <f>$C1734*BK1733</f>
        <v/>
      </c>
      <c r="BL1734">
        <f>$C1734*BL1733</f>
        <v/>
      </c>
      <c r="BM1734">
        <f>$C1734*BM1733</f>
        <v/>
      </c>
      <c r="BN1734">
        <f>$C1734*BN1733</f>
        <v/>
      </c>
      <c r="BO1734">
        <f>$C1734*BO1733</f>
        <v/>
      </c>
      <c r="BP1734">
        <f>$C1734*BP1733</f>
        <v/>
      </c>
      <c r="BQ1734">
        <f>$C1734*BQ1733</f>
        <v/>
      </c>
      <c r="BR1734">
        <f>$C1734*BR1733</f>
        <v/>
      </c>
      <c r="BS1734">
        <f>$C1734*BS1733</f>
        <v/>
      </c>
      <c r="BT1734">
        <f>$C1734*BT1733</f>
        <v/>
      </c>
      <c r="BU1734">
        <f>$C1734*BU1733</f>
        <v/>
      </c>
      <c r="BV1734">
        <f>$C1734*BV1733</f>
        <v/>
      </c>
      <c r="BW1734">
        <f>$C1734*BW1733</f>
        <v/>
      </c>
      <c r="BX1734">
        <f>$C1734*BX1733</f>
        <v/>
      </c>
      <c r="BY1734">
        <f>$C1734*BY1733</f>
        <v/>
      </c>
      <c r="BZ1734">
        <f>$C1734*BZ1733</f>
        <v/>
      </c>
      <c r="CA1734">
        <f>$C1734*CA1733</f>
        <v/>
      </c>
      <c r="CB1734">
        <f>$C1734*CB1733</f>
        <v/>
      </c>
      <c r="CC1734">
        <f>$C1734*CC1733</f>
        <v/>
      </c>
      <c r="CD1734">
        <f>$C1734*CD1733</f>
        <v/>
      </c>
      <c r="CE1734">
        <f>$C1734*CE1733</f>
        <v/>
      </c>
      <c r="CF1734">
        <f>$C1734*CF1733</f>
        <v/>
      </c>
      <c r="CG1734">
        <f>$C1734*CG1733</f>
        <v/>
      </c>
      <c r="CH1734">
        <f>$C1734*CH1733</f>
        <v/>
      </c>
      <c r="CI1734">
        <f>$C1734*CI1733</f>
        <v/>
      </c>
      <c r="CJ1734">
        <f>$C1734*CJ1733</f>
        <v/>
      </c>
      <c r="CK1734">
        <f>$C1734*CK1733</f>
        <v/>
      </c>
      <c r="CL1734">
        <f>$C1734*CL1733</f>
        <v/>
      </c>
      <c r="CM1734">
        <f>$C1734*CM1733</f>
        <v/>
      </c>
      <c r="CN1734">
        <f>$C1734*CN1733</f>
        <v/>
      </c>
      <c r="CO1734">
        <f>$C1734*CO1733</f>
        <v/>
      </c>
      <c r="CP1734">
        <f>$C1734*CP1733</f>
        <v/>
      </c>
      <c r="CQ1734">
        <f>$C1734*CQ1733</f>
        <v/>
      </c>
      <c r="CR1734">
        <f>$C1734*CR1733</f>
        <v/>
      </c>
      <c r="CS1734">
        <f>$C1734*CS1733</f>
        <v/>
      </c>
      <c r="CT1734">
        <f>$C1734*CT1733</f>
        <v/>
      </c>
      <c r="CU1734">
        <f>$C1734*CU1733</f>
        <v/>
      </c>
      <c r="CV1734">
        <f>$C1734*CV1733</f>
        <v/>
      </c>
      <c r="CW1734">
        <f>$C1734*CW1733</f>
        <v/>
      </c>
      <c r="CX1734">
        <f>$C1734*CX1733</f>
        <v/>
      </c>
      <c r="CY1734">
        <f>$C1734*CY1733</f>
        <v/>
      </c>
      <c r="CZ1734">
        <f>$C1734*CZ1733</f>
        <v/>
      </c>
      <c r="DA1734">
        <f>$C1734*DA1733</f>
        <v/>
      </c>
      <c r="DB1734">
        <f>$C1734*DB1733</f>
        <v/>
      </c>
      <c r="DC1734">
        <f>$C1734*DC1733</f>
        <v/>
      </c>
      <c r="DD1734">
        <f>$C1734*DD1733</f>
        <v/>
      </c>
    </row>
    <row r="1735">
      <c r="B1735" s="4" t="inlineStr">
        <is>
          <t>合計使用量(kg)/週</t>
        </is>
      </c>
      <c r="D1735" s="23">
        <f>IFERROR(INDEX(E1735:DD1735,$F$1),"")</f>
        <v/>
      </c>
      <c r="E1735">
        <f>'Grid_Requirement'!B63</f>
        <v/>
      </c>
      <c r="F1735">
        <f>'Grid_Requirement'!C63</f>
        <v/>
      </c>
      <c r="G1735">
        <f>'Grid_Requirement'!D63</f>
        <v/>
      </c>
      <c r="H1735">
        <f>'Grid_Requirement'!E63</f>
        <v/>
      </c>
      <c r="I1735">
        <f>'Grid_Requirement'!F63</f>
        <v/>
      </c>
      <c r="J1735">
        <f>'Grid_Requirement'!G63</f>
        <v/>
      </c>
      <c r="K1735">
        <f>'Grid_Requirement'!H63</f>
        <v/>
      </c>
      <c r="L1735">
        <f>'Grid_Requirement'!I63</f>
        <v/>
      </c>
      <c r="M1735">
        <f>'Grid_Requirement'!J63</f>
        <v/>
      </c>
      <c r="N1735">
        <f>'Grid_Requirement'!K63</f>
        <v/>
      </c>
      <c r="O1735">
        <f>'Grid_Requirement'!L63</f>
        <v/>
      </c>
      <c r="P1735">
        <f>'Grid_Requirement'!M63</f>
        <v/>
      </c>
      <c r="Q1735">
        <f>'Grid_Requirement'!N63</f>
        <v/>
      </c>
      <c r="R1735">
        <f>'Grid_Requirement'!O63</f>
        <v/>
      </c>
      <c r="S1735">
        <f>'Grid_Requirement'!P63</f>
        <v/>
      </c>
      <c r="T1735">
        <f>'Grid_Requirement'!Q63</f>
        <v/>
      </c>
      <c r="U1735">
        <f>'Grid_Requirement'!R63</f>
        <v/>
      </c>
      <c r="V1735">
        <f>'Grid_Requirement'!S63</f>
        <v/>
      </c>
      <c r="W1735">
        <f>'Grid_Requirement'!T63</f>
        <v/>
      </c>
      <c r="X1735">
        <f>'Grid_Requirement'!U63</f>
        <v/>
      </c>
      <c r="Y1735">
        <f>'Grid_Requirement'!V63</f>
        <v/>
      </c>
      <c r="Z1735">
        <f>'Grid_Requirement'!W63</f>
        <v/>
      </c>
      <c r="AA1735">
        <f>'Grid_Requirement'!X63</f>
        <v/>
      </c>
      <c r="AB1735">
        <f>'Grid_Requirement'!Y63</f>
        <v/>
      </c>
      <c r="AC1735">
        <f>'Grid_Requirement'!Z63</f>
        <v/>
      </c>
      <c r="AD1735">
        <f>'Grid_Requirement'!AA63</f>
        <v/>
      </c>
      <c r="AE1735">
        <f>'Grid_Requirement'!AB63</f>
        <v/>
      </c>
      <c r="AF1735">
        <f>'Grid_Requirement'!AC63</f>
        <v/>
      </c>
      <c r="AG1735">
        <f>'Grid_Requirement'!AD63</f>
        <v/>
      </c>
      <c r="AH1735">
        <f>'Grid_Requirement'!AE63</f>
        <v/>
      </c>
      <c r="AI1735">
        <f>'Grid_Requirement'!AF63</f>
        <v/>
      </c>
      <c r="AJ1735">
        <f>'Grid_Requirement'!AG63</f>
        <v/>
      </c>
      <c r="AK1735">
        <f>'Grid_Requirement'!AH63</f>
        <v/>
      </c>
      <c r="AL1735">
        <f>'Grid_Requirement'!AI63</f>
        <v/>
      </c>
      <c r="AM1735">
        <f>'Grid_Requirement'!AJ63</f>
        <v/>
      </c>
      <c r="AN1735">
        <f>'Grid_Requirement'!AK63</f>
        <v/>
      </c>
      <c r="AO1735">
        <f>'Grid_Requirement'!AL63</f>
        <v/>
      </c>
      <c r="AP1735">
        <f>'Grid_Requirement'!AM63</f>
        <v/>
      </c>
      <c r="AQ1735">
        <f>'Grid_Requirement'!AN63</f>
        <v/>
      </c>
      <c r="AR1735">
        <f>'Grid_Requirement'!AO63</f>
        <v/>
      </c>
      <c r="AS1735">
        <f>'Grid_Requirement'!AP63</f>
        <v/>
      </c>
      <c r="AT1735">
        <f>'Grid_Requirement'!AQ63</f>
        <v/>
      </c>
      <c r="AU1735">
        <f>'Grid_Requirement'!AR63</f>
        <v/>
      </c>
      <c r="AV1735">
        <f>'Grid_Requirement'!AS63</f>
        <v/>
      </c>
      <c r="AW1735">
        <f>'Grid_Requirement'!AT63</f>
        <v/>
      </c>
      <c r="AX1735">
        <f>'Grid_Requirement'!AU63</f>
        <v/>
      </c>
      <c r="AY1735">
        <f>'Grid_Requirement'!AV63</f>
        <v/>
      </c>
      <c r="AZ1735">
        <f>'Grid_Requirement'!AW63</f>
        <v/>
      </c>
      <c r="BA1735">
        <f>'Grid_Requirement'!AX63</f>
        <v/>
      </c>
      <c r="BB1735">
        <f>'Grid_Requirement'!AY63</f>
        <v/>
      </c>
      <c r="BC1735">
        <f>'Grid_Requirement'!AZ63</f>
        <v/>
      </c>
      <c r="BD1735">
        <f>'Grid_Requirement'!BA63</f>
        <v/>
      </c>
      <c r="BE1735">
        <f>'Grid_Requirement'!BB63</f>
        <v/>
      </c>
      <c r="BF1735">
        <f>'Grid_Requirement'!BC63</f>
        <v/>
      </c>
      <c r="BG1735">
        <f>'Grid_Requirement'!BD63</f>
        <v/>
      </c>
      <c r="BH1735">
        <f>'Grid_Requirement'!BE63</f>
        <v/>
      </c>
      <c r="BI1735">
        <f>'Grid_Requirement'!BF63</f>
        <v/>
      </c>
      <c r="BJ1735">
        <f>'Grid_Requirement'!BG63</f>
        <v/>
      </c>
      <c r="BK1735">
        <f>'Grid_Requirement'!BH63</f>
        <v/>
      </c>
      <c r="BL1735">
        <f>'Grid_Requirement'!BI63</f>
        <v/>
      </c>
      <c r="BM1735">
        <f>'Grid_Requirement'!BJ63</f>
        <v/>
      </c>
      <c r="BN1735">
        <f>'Grid_Requirement'!BK63</f>
        <v/>
      </c>
      <c r="BO1735">
        <f>'Grid_Requirement'!BL63</f>
        <v/>
      </c>
      <c r="BP1735">
        <f>'Grid_Requirement'!BM63</f>
        <v/>
      </c>
      <c r="BQ1735">
        <f>'Grid_Requirement'!BN63</f>
        <v/>
      </c>
      <c r="BR1735">
        <f>'Grid_Requirement'!BO63</f>
        <v/>
      </c>
      <c r="BS1735">
        <f>'Grid_Requirement'!BP63</f>
        <v/>
      </c>
      <c r="BT1735">
        <f>'Grid_Requirement'!BQ63</f>
        <v/>
      </c>
      <c r="BU1735">
        <f>'Grid_Requirement'!BR63</f>
        <v/>
      </c>
      <c r="BV1735">
        <f>'Grid_Requirement'!BS63</f>
        <v/>
      </c>
      <c r="BW1735">
        <f>'Grid_Requirement'!BT63</f>
        <v/>
      </c>
      <c r="BX1735">
        <f>'Grid_Requirement'!BU63</f>
        <v/>
      </c>
      <c r="BY1735">
        <f>'Grid_Requirement'!BV63</f>
        <v/>
      </c>
      <c r="BZ1735">
        <f>'Grid_Requirement'!BW63</f>
        <v/>
      </c>
      <c r="CA1735">
        <f>'Grid_Requirement'!BX63</f>
        <v/>
      </c>
      <c r="CB1735">
        <f>'Grid_Requirement'!BY63</f>
        <v/>
      </c>
      <c r="CC1735">
        <f>'Grid_Requirement'!BZ63</f>
        <v/>
      </c>
      <c r="CD1735">
        <f>'Grid_Requirement'!CA63</f>
        <v/>
      </c>
      <c r="CE1735">
        <f>'Grid_Requirement'!CB63</f>
        <v/>
      </c>
      <c r="CF1735">
        <f>'Grid_Requirement'!CC63</f>
        <v/>
      </c>
      <c r="CG1735">
        <f>'Grid_Requirement'!CD63</f>
        <v/>
      </c>
      <c r="CH1735">
        <f>'Grid_Requirement'!CE63</f>
        <v/>
      </c>
      <c r="CI1735">
        <f>'Grid_Requirement'!CF63</f>
        <v/>
      </c>
      <c r="CJ1735">
        <f>'Grid_Requirement'!CG63</f>
        <v/>
      </c>
      <c r="CK1735">
        <f>'Grid_Requirement'!CH63</f>
        <v/>
      </c>
      <c r="CL1735">
        <f>'Grid_Requirement'!CI63</f>
        <v/>
      </c>
      <c r="CM1735">
        <f>'Grid_Requirement'!CJ63</f>
        <v/>
      </c>
      <c r="CN1735">
        <f>'Grid_Requirement'!CK63</f>
        <v/>
      </c>
      <c r="CO1735">
        <f>'Grid_Requirement'!CL63</f>
        <v/>
      </c>
      <c r="CP1735">
        <f>'Grid_Requirement'!CM63</f>
        <v/>
      </c>
      <c r="CQ1735">
        <f>'Grid_Requirement'!CN63</f>
        <v/>
      </c>
      <c r="CR1735">
        <f>'Grid_Requirement'!CO63</f>
        <v/>
      </c>
      <c r="CS1735">
        <f>'Grid_Requirement'!CP63</f>
        <v/>
      </c>
      <c r="CT1735">
        <f>'Grid_Requirement'!CQ63</f>
        <v/>
      </c>
      <c r="CU1735">
        <f>'Grid_Requirement'!CR63</f>
        <v/>
      </c>
      <c r="CV1735">
        <f>'Grid_Requirement'!CS63</f>
        <v/>
      </c>
      <c r="CW1735">
        <f>'Grid_Requirement'!CT63</f>
        <v/>
      </c>
      <c r="CX1735">
        <f>'Grid_Requirement'!CU63</f>
        <v/>
      </c>
      <c r="CY1735">
        <f>'Grid_Requirement'!CV63</f>
        <v/>
      </c>
      <c r="CZ1735">
        <f>'Grid_Requirement'!CW63</f>
        <v/>
      </c>
      <c r="DA1735">
        <f>'Grid_Requirement'!CX63</f>
        <v/>
      </c>
      <c r="DB1735">
        <f>'Grid_Requirement'!CY63</f>
        <v/>
      </c>
      <c r="DC1735">
        <f>'Grid_Requirement'!CZ63</f>
        <v/>
      </c>
      <c r="DD1735">
        <f>'Grid_Requirement'!DA63</f>
        <v/>
      </c>
    </row>
    <row r="1736">
      <c r="B1736" t="inlineStr">
        <is>
          <t>TTAF在庫(実績,kg)</t>
        </is>
      </c>
      <c r="D1736">
        <f>IFERROR(INDEX(E1736:DD1736,$F$1),"")</f>
        <v/>
      </c>
      <c r="E1736">
        <f>IFERROR(SUMIFS(T_TTAFStock[TTAF_Qty],T_TTAFStock[RM_Code],$A1732,T_TTAFStock[WeekIndex],1),"")</f>
        <v/>
      </c>
      <c r="F1736">
        <f>IFERROR(SUMIFS(T_TTAFStock[TTAF_Qty],T_TTAFStock[RM_Code],$A1732,T_TTAFStock[WeekIndex],2),"")</f>
        <v/>
      </c>
      <c r="G1736">
        <f>IFERROR(SUMIFS(T_TTAFStock[TTAF_Qty],T_TTAFStock[RM_Code],$A1732,T_TTAFStock[WeekIndex],3),"")</f>
        <v/>
      </c>
      <c r="H1736">
        <f>IFERROR(SUMIFS(T_TTAFStock[TTAF_Qty],T_TTAFStock[RM_Code],$A1732,T_TTAFStock[WeekIndex],4),"")</f>
        <v/>
      </c>
      <c r="I1736">
        <f>IFERROR(SUMIFS(T_TTAFStock[TTAF_Qty],T_TTAFStock[RM_Code],$A1732,T_TTAFStock[WeekIndex],5),"")</f>
        <v/>
      </c>
      <c r="J1736">
        <f>IFERROR(SUMIFS(T_TTAFStock[TTAF_Qty],T_TTAFStock[RM_Code],$A1732,T_TTAFStock[WeekIndex],6),"")</f>
        <v/>
      </c>
      <c r="K1736">
        <f>IFERROR(SUMIFS(T_TTAFStock[TTAF_Qty],T_TTAFStock[RM_Code],$A1732,T_TTAFStock[WeekIndex],7),"")</f>
        <v/>
      </c>
      <c r="L1736">
        <f>IFERROR(SUMIFS(T_TTAFStock[TTAF_Qty],T_TTAFStock[RM_Code],$A1732,T_TTAFStock[WeekIndex],8),"")</f>
        <v/>
      </c>
      <c r="M1736">
        <f>IFERROR(SUMIFS(T_TTAFStock[TTAF_Qty],T_TTAFStock[RM_Code],$A1732,T_TTAFStock[WeekIndex],9),"")</f>
        <v/>
      </c>
      <c r="N1736">
        <f>IFERROR(SUMIFS(T_TTAFStock[TTAF_Qty],T_TTAFStock[RM_Code],$A1732,T_TTAFStock[WeekIndex],10),"")</f>
        <v/>
      </c>
      <c r="O1736">
        <f>IFERROR(SUMIFS(T_TTAFStock[TTAF_Qty],T_TTAFStock[RM_Code],$A1732,T_TTAFStock[WeekIndex],11),"")</f>
        <v/>
      </c>
      <c r="P1736">
        <f>IFERROR(SUMIFS(T_TTAFStock[TTAF_Qty],T_TTAFStock[RM_Code],$A1732,T_TTAFStock[WeekIndex],12),"")</f>
        <v/>
      </c>
      <c r="Q1736">
        <f>IFERROR(SUMIFS(T_TTAFStock[TTAF_Qty],T_TTAFStock[RM_Code],$A1732,T_TTAFStock[WeekIndex],13),"")</f>
        <v/>
      </c>
      <c r="R1736">
        <f>IFERROR(SUMIFS(T_TTAFStock[TTAF_Qty],T_TTAFStock[RM_Code],$A1732,T_TTAFStock[WeekIndex],14),"")</f>
        <v/>
      </c>
      <c r="S1736">
        <f>IFERROR(SUMIFS(T_TTAFStock[TTAF_Qty],T_TTAFStock[RM_Code],$A1732,T_TTAFStock[WeekIndex],15),"")</f>
        <v/>
      </c>
      <c r="T1736">
        <f>IFERROR(SUMIFS(T_TTAFStock[TTAF_Qty],T_TTAFStock[RM_Code],$A1732,T_TTAFStock[WeekIndex],16),"")</f>
        <v/>
      </c>
      <c r="U1736">
        <f>IFERROR(SUMIFS(T_TTAFStock[TTAF_Qty],T_TTAFStock[RM_Code],$A1732,T_TTAFStock[WeekIndex],17),"")</f>
        <v/>
      </c>
      <c r="V1736">
        <f>IFERROR(SUMIFS(T_TTAFStock[TTAF_Qty],T_TTAFStock[RM_Code],$A1732,T_TTAFStock[WeekIndex],18),"")</f>
        <v/>
      </c>
      <c r="W1736">
        <f>IFERROR(SUMIFS(T_TTAFStock[TTAF_Qty],T_TTAFStock[RM_Code],$A1732,T_TTAFStock[WeekIndex],19),"")</f>
        <v/>
      </c>
      <c r="X1736">
        <f>IFERROR(SUMIFS(T_TTAFStock[TTAF_Qty],T_TTAFStock[RM_Code],$A1732,T_TTAFStock[WeekIndex],20),"")</f>
        <v/>
      </c>
      <c r="Y1736">
        <f>IFERROR(SUMIFS(T_TTAFStock[TTAF_Qty],T_TTAFStock[RM_Code],$A1732,T_TTAFStock[WeekIndex],21),"")</f>
        <v/>
      </c>
      <c r="Z1736">
        <f>IFERROR(SUMIFS(T_TTAFStock[TTAF_Qty],T_TTAFStock[RM_Code],$A1732,T_TTAFStock[WeekIndex],22),"")</f>
        <v/>
      </c>
      <c r="AA1736">
        <f>IFERROR(SUMIFS(T_TTAFStock[TTAF_Qty],T_TTAFStock[RM_Code],$A1732,T_TTAFStock[WeekIndex],23),"")</f>
        <v/>
      </c>
      <c r="AB1736">
        <f>IFERROR(SUMIFS(T_TTAFStock[TTAF_Qty],T_TTAFStock[RM_Code],$A1732,T_TTAFStock[WeekIndex],24),"")</f>
        <v/>
      </c>
      <c r="AC1736">
        <f>IFERROR(SUMIFS(T_TTAFStock[TTAF_Qty],T_TTAFStock[RM_Code],$A1732,T_TTAFStock[WeekIndex],25),"")</f>
        <v/>
      </c>
      <c r="AD1736">
        <f>IFERROR(SUMIFS(T_TTAFStock[TTAF_Qty],T_TTAFStock[RM_Code],$A1732,T_TTAFStock[WeekIndex],26),"")</f>
        <v/>
      </c>
      <c r="AE1736">
        <f>IFERROR(SUMIFS(T_TTAFStock[TTAF_Qty],T_TTAFStock[RM_Code],$A1732,T_TTAFStock[WeekIndex],27),"")</f>
        <v/>
      </c>
      <c r="AF1736">
        <f>IFERROR(SUMIFS(T_TTAFStock[TTAF_Qty],T_TTAFStock[RM_Code],$A1732,T_TTAFStock[WeekIndex],28),"")</f>
        <v/>
      </c>
      <c r="AG1736">
        <f>IFERROR(SUMIFS(T_TTAFStock[TTAF_Qty],T_TTAFStock[RM_Code],$A1732,T_TTAFStock[WeekIndex],29),"")</f>
        <v/>
      </c>
      <c r="AH1736">
        <f>IFERROR(SUMIFS(T_TTAFStock[TTAF_Qty],T_TTAFStock[RM_Code],$A1732,T_TTAFStock[WeekIndex],30),"")</f>
        <v/>
      </c>
      <c r="AI1736">
        <f>IFERROR(SUMIFS(T_TTAFStock[TTAF_Qty],T_TTAFStock[RM_Code],$A1732,T_TTAFStock[WeekIndex],31),"")</f>
        <v/>
      </c>
      <c r="AJ1736">
        <f>IFERROR(SUMIFS(T_TTAFStock[TTAF_Qty],T_TTAFStock[RM_Code],$A1732,T_TTAFStock[WeekIndex],32),"")</f>
        <v/>
      </c>
      <c r="AK1736">
        <f>IFERROR(SUMIFS(T_TTAFStock[TTAF_Qty],T_TTAFStock[RM_Code],$A1732,T_TTAFStock[WeekIndex],33),"")</f>
        <v/>
      </c>
      <c r="AL1736">
        <f>IFERROR(SUMIFS(T_TTAFStock[TTAF_Qty],T_TTAFStock[RM_Code],$A1732,T_TTAFStock[WeekIndex],34),"")</f>
        <v/>
      </c>
      <c r="AM1736">
        <f>IFERROR(SUMIFS(T_TTAFStock[TTAF_Qty],T_TTAFStock[RM_Code],$A1732,T_TTAFStock[WeekIndex],35),"")</f>
        <v/>
      </c>
      <c r="AN1736">
        <f>IFERROR(SUMIFS(T_TTAFStock[TTAF_Qty],T_TTAFStock[RM_Code],$A1732,T_TTAFStock[WeekIndex],36),"")</f>
        <v/>
      </c>
      <c r="AO1736">
        <f>IFERROR(SUMIFS(T_TTAFStock[TTAF_Qty],T_TTAFStock[RM_Code],$A1732,T_TTAFStock[WeekIndex],37),"")</f>
        <v/>
      </c>
      <c r="AP1736">
        <f>IFERROR(SUMIFS(T_TTAFStock[TTAF_Qty],T_TTAFStock[RM_Code],$A1732,T_TTAFStock[WeekIndex],38),"")</f>
        <v/>
      </c>
      <c r="AQ1736">
        <f>IFERROR(SUMIFS(T_TTAFStock[TTAF_Qty],T_TTAFStock[RM_Code],$A1732,T_TTAFStock[WeekIndex],39),"")</f>
        <v/>
      </c>
      <c r="AR1736">
        <f>IFERROR(SUMIFS(T_TTAFStock[TTAF_Qty],T_TTAFStock[RM_Code],$A1732,T_TTAFStock[WeekIndex],40),"")</f>
        <v/>
      </c>
      <c r="AS1736">
        <f>IFERROR(SUMIFS(T_TTAFStock[TTAF_Qty],T_TTAFStock[RM_Code],$A1732,T_TTAFStock[WeekIndex],41),"")</f>
        <v/>
      </c>
      <c r="AT1736">
        <f>IFERROR(SUMIFS(T_TTAFStock[TTAF_Qty],T_TTAFStock[RM_Code],$A1732,T_TTAFStock[WeekIndex],42),"")</f>
        <v/>
      </c>
      <c r="AU1736">
        <f>IFERROR(SUMIFS(T_TTAFStock[TTAF_Qty],T_TTAFStock[RM_Code],$A1732,T_TTAFStock[WeekIndex],43),"")</f>
        <v/>
      </c>
      <c r="AV1736">
        <f>IFERROR(SUMIFS(T_TTAFStock[TTAF_Qty],T_TTAFStock[RM_Code],$A1732,T_TTAFStock[WeekIndex],44),"")</f>
        <v/>
      </c>
      <c r="AW1736">
        <f>IFERROR(SUMIFS(T_TTAFStock[TTAF_Qty],T_TTAFStock[RM_Code],$A1732,T_TTAFStock[WeekIndex],45),"")</f>
        <v/>
      </c>
      <c r="AX1736">
        <f>IFERROR(SUMIFS(T_TTAFStock[TTAF_Qty],T_TTAFStock[RM_Code],$A1732,T_TTAFStock[WeekIndex],46),"")</f>
        <v/>
      </c>
      <c r="AY1736">
        <f>IFERROR(SUMIFS(T_TTAFStock[TTAF_Qty],T_TTAFStock[RM_Code],$A1732,T_TTAFStock[WeekIndex],47),"")</f>
        <v/>
      </c>
      <c r="AZ1736">
        <f>IFERROR(SUMIFS(T_TTAFStock[TTAF_Qty],T_TTAFStock[RM_Code],$A1732,T_TTAFStock[WeekIndex],48),"")</f>
        <v/>
      </c>
      <c r="BA1736">
        <f>IFERROR(SUMIFS(T_TTAFStock[TTAF_Qty],T_TTAFStock[RM_Code],$A1732,T_TTAFStock[WeekIndex],49),"")</f>
        <v/>
      </c>
      <c r="BB1736">
        <f>IFERROR(SUMIFS(T_TTAFStock[TTAF_Qty],T_TTAFStock[RM_Code],$A1732,T_TTAFStock[WeekIndex],50),"")</f>
        <v/>
      </c>
      <c r="BC1736">
        <f>IFERROR(SUMIFS(T_TTAFStock[TTAF_Qty],T_TTAFStock[RM_Code],$A1732,T_TTAFStock[WeekIndex],51),"")</f>
        <v/>
      </c>
      <c r="BD1736">
        <f>IFERROR(SUMIFS(T_TTAFStock[TTAF_Qty],T_TTAFStock[RM_Code],$A1732,T_TTAFStock[WeekIndex],52),"")</f>
        <v/>
      </c>
      <c r="BE1736">
        <f>IFERROR(SUMIFS(T_TTAFStock[TTAF_Qty],T_TTAFStock[RM_Code],$A1732,T_TTAFStock[WeekIndex],53),"")</f>
        <v/>
      </c>
      <c r="BF1736">
        <f>IFERROR(SUMIFS(T_TTAFStock[TTAF_Qty],T_TTAFStock[RM_Code],$A1732,T_TTAFStock[WeekIndex],54),"")</f>
        <v/>
      </c>
      <c r="BG1736">
        <f>IFERROR(SUMIFS(T_TTAFStock[TTAF_Qty],T_TTAFStock[RM_Code],$A1732,T_TTAFStock[WeekIndex],55),"")</f>
        <v/>
      </c>
      <c r="BH1736">
        <f>IFERROR(SUMIFS(T_TTAFStock[TTAF_Qty],T_TTAFStock[RM_Code],$A1732,T_TTAFStock[WeekIndex],56),"")</f>
        <v/>
      </c>
      <c r="BI1736">
        <f>IFERROR(SUMIFS(T_TTAFStock[TTAF_Qty],T_TTAFStock[RM_Code],$A1732,T_TTAFStock[WeekIndex],57),"")</f>
        <v/>
      </c>
      <c r="BJ1736">
        <f>IFERROR(SUMIFS(T_TTAFStock[TTAF_Qty],T_TTAFStock[RM_Code],$A1732,T_TTAFStock[WeekIndex],58),"")</f>
        <v/>
      </c>
      <c r="BK1736">
        <f>IFERROR(SUMIFS(T_TTAFStock[TTAF_Qty],T_TTAFStock[RM_Code],$A1732,T_TTAFStock[WeekIndex],59),"")</f>
        <v/>
      </c>
      <c r="BL1736">
        <f>IFERROR(SUMIFS(T_TTAFStock[TTAF_Qty],T_TTAFStock[RM_Code],$A1732,T_TTAFStock[WeekIndex],60),"")</f>
        <v/>
      </c>
      <c r="BM1736">
        <f>IFERROR(SUMIFS(T_TTAFStock[TTAF_Qty],T_TTAFStock[RM_Code],$A1732,T_TTAFStock[WeekIndex],61),"")</f>
        <v/>
      </c>
      <c r="BN1736">
        <f>IFERROR(SUMIFS(T_TTAFStock[TTAF_Qty],T_TTAFStock[RM_Code],$A1732,T_TTAFStock[WeekIndex],62),"")</f>
        <v/>
      </c>
      <c r="BO1736">
        <f>IFERROR(SUMIFS(T_TTAFStock[TTAF_Qty],T_TTAFStock[RM_Code],$A1732,T_TTAFStock[WeekIndex],63),"")</f>
        <v/>
      </c>
      <c r="BP1736">
        <f>IFERROR(SUMIFS(T_TTAFStock[TTAF_Qty],T_TTAFStock[RM_Code],$A1732,T_TTAFStock[WeekIndex],64),"")</f>
        <v/>
      </c>
      <c r="BQ1736">
        <f>IFERROR(SUMIFS(T_TTAFStock[TTAF_Qty],T_TTAFStock[RM_Code],$A1732,T_TTAFStock[WeekIndex],65),"")</f>
        <v/>
      </c>
      <c r="BR1736">
        <f>IFERROR(SUMIFS(T_TTAFStock[TTAF_Qty],T_TTAFStock[RM_Code],$A1732,T_TTAFStock[WeekIndex],66),"")</f>
        <v/>
      </c>
      <c r="BS1736">
        <f>IFERROR(SUMIFS(T_TTAFStock[TTAF_Qty],T_TTAFStock[RM_Code],$A1732,T_TTAFStock[WeekIndex],67),"")</f>
        <v/>
      </c>
      <c r="BT1736">
        <f>IFERROR(SUMIFS(T_TTAFStock[TTAF_Qty],T_TTAFStock[RM_Code],$A1732,T_TTAFStock[WeekIndex],68),"")</f>
        <v/>
      </c>
      <c r="BU1736">
        <f>IFERROR(SUMIFS(T_TTAFStock[TTAF_Qty],T_TTAFStock[RM_Code],$A1732,T_TTAFStock[WeekIndex],69),"")</f>
        <v/>
      </c>
      <c r="BV1736">
        <f>IFERROR(SUMIFS(T_TTAFStock[TTAF_Qty],T_TTAFStock[RM_Code],$A1732,T_TTAFStock[WeekIndex],70),"")</f>
        <v/>
      </c>
      <c r="BW1736">
        <f>IFERROR(SUMIFS(T_TTAFStock[TTAF_Qty],T_TTAFStock[RM_Code],$A1732,T_TTAFStock[WeekIndex],71),"")</f>
        <v/>
      </c>
      <c r="BX1736">
        <f>IFERROR(SUMIFS(T_TTAFStock[TTAF_Qty],T_TTAFStock[RM_Code],$A1732,T_TTAFStock[WeekIndex],72),"")</f>
        <v/>
      </c>
      <c r="BY1736">
        <f>IFERROR(SUMIFS(T_TTAFStock[TTAF_Qty],T_TTAFStock[RM_Code],$A1732,T_TTAFStock[WeekIndex],73),"")</f>
        <v/>
      </c>
      <c r="BZ1736">
        <f>IFERROR(SUMIFS(T_TTAFStock[TTAF_Qty],T_TTAFStock[RM_Code],$A1732,T_TTAFStock[WeekIndex],74),"")</f>
        <v/>
      </c>
      <c r="CA1736">
        <f>IFERROR(SUMIFS(T_TTAFStock[TTAF_Qty],T_TTAFStock[RM_Code],$A1732,T_TTAFStock[WeekIndex],75),"")</f>
        <v/>
      </c>
      <c r="CB1736">
        <f>IFERROR(SUMIFS(T_TTAFStock[TTAF_Qty],T_TTAFStock[RM_Code],$A1732,T_TTAFStock[WeekIndex],76),"")</f>
        <v/>
      </c>
      <c r="CC1736">
        <f>IFERROR(SUMIFS(T_TTAFStock[TTAF_Qty],T_TTAFStock[RM_Code],$A1732,T_TTAFStock[WeekIndex],77),"")</f>
        <v/>
      </c>
      <c r="CD1736">
        <f>IFERROR(SUMIFS(T_TTAFStock[TTAF_Qty],T_TTAFStock[RM_Code],$A1732,T_TTAFStock[WeekIndex],78),"")</f>
        <v/>
      </c>
      <c r="CE1736">
        <f>IFERROR(SUMIFS(T_TTAFStock[TTAF_Qty],T_TTAFStock[RM_Code],$A1732,T_TTAFStock[WeekIndex],79),"")</f>
        <v/>
      </c>
      <c r="CF1736">
        <f>IFERROR(SUMIFS(T_TTAFStock[TTAF_Qty],T_TTAFStock[RM_Code],$A1732,T_TTAFStock[WeekIndex],80),"")</f>
        <v/>
      </c>
      <c r="CG1736">
        <f>IFERROR(SUMIFS(T_TTAFStock[TTAF_Qty],T_TTAFStock[RM_Code],$A1732,T_TTAFStock[WeekIndex],81),"")</f>
        <v/>
      </c>
      <c r="CH1736">
        <f>IFERROR(SUMIFS(T_TTAFStock[TTAF_Qty],T_TTAFStock[RM_Code],$A1732,T_TTAFStock[WeekIndex],82),"")</f>
        <v/>
      </c>
      <c r="CI1736">
        <f>IFERROR(SUMIFS(T_TTAFStock[TTAF_Qty],T_TTAFStock[RM_Code],$A1732,T_TTAFStock[WeekIndex],83),"")</f>
        <v/>
      </c>
      <c r="CJ1736">
        <f>IFERROR(SUMIFS(T_TTAFStock[TTAF_Qty],T_TTAFStock[RM_Code],$A1732,T_TTAFStock[WeekIndex],84),"")</f>
        <v/>
      </c>
      <c r="CK1736">
        <f>IFERROR(SUMIFS(T_TTAFStock[TTAF_Qty],T_TTAFStock[RM_Code],$A1732,T_TTAFStock[WeekIndex],85),"")</f>
        <v/>
      </c>
      <c r="CL1736">
        <f>IFERROR(SUMIFS(T_TTAFStock[TTAF_Qty],T_TTAFStock[RM_Code],$A1732,T_TTAFStock[WeekIndex],86),"")</f>
        <v/>
      </c>
      <c r="CM1736">
        <f>IFERROR(SUMIFS(T_TTAFStock[TTAF_Qty],T_TTAFStock[RM_Code],$A1732,T_TTAFStock[WeekIndex],87),"")</f>
        <v/>
      </c>
      <c r="CN1736">
        <f>IFERROR(SUMIFS(T_TTAFStock[TTAF_Qty],T_TTAFStock[RM_Code],$A1732,T_TTAFStock[WeekIndex],88),"")</f>
        <v/>
      </c>
      <c r="CO1736">
        <f>IFERROR(SUMIFS(T_TTAFStock[TTAF_Qty],T_TTAFStock[RM_Code],$A1732,T_TTAFStock[WeekIndex],89),"")</f>
        <v/>
      </c>
      <c r="CP1736">
        <f>IFERROR(SUMIFS(T_TTAFStock[TTAF_Qty],T_TTAFStock[RM_Code],$A1732,T_TTAFStock[WeekIndex],90),"")</f>
        <v/>
      </c>
      <c r="CQ1736">
        <f>IFERROR(SUMIFS(T_TTAFStock[TTAF_Qty],T_TTAFStock[RM_Code],$A1732,T_TTAFStock[WeekIndex],91),"")</f>
        <v/>
      </c>
      <c r="CR1736">
        <f>IFERROR(SUMIFS(T_TTAFStock[TTAF_Qty],T_TTAFStock[RM_Code],$A1732,T_TTAFStock[WeekIndex],92),"")</f>
        <v/>
      </c>
      <c r="CS1736">
        <f>IFERROR(SUMIFS(T_TTAFStock[TTAF_Qty],T_TTAFStock[RM_Code],$A1732,T_TTAFStock[WeekIndex],93),"")</f>
        <v/>
      </c>
      <c r="CT1736">
        <f>IFERROR(SUMIFS(T_TTAFStock[TTAF_Qty],T_TTAFStock[RM_Code],$A1732,T_TTAFStock[WeekIndex],94),"")</f>
        <v/>
      </c>
      <c r="CU1736">
        <f>IFERROR(SUMIFS(T_TTAFStock[TTAF_Qty],T_TTAFStock[RM_Code],$A1732,T_TTAFStock[WeekIndex],95),"")</f>
        <v/>
      </c>
      <c r="CV1736">
        <f>IFERROR(SUMIFS(T_TTAFStock[TTAF_Qty],T_TTAFStock[RM_Code],$A1732,T_TTAFStock[WeekIndex],96),"")</f>
        <v/>
      </c>
      <c r="CW1736">
        <f>IFERROR(SUMIFS(T_TTAFStock[TTAF_Qty],T_TTAFStock[RM_Code],$A1732,T_TTAFStock[WeekIndex],97),"")</f>
        <v/>
      </c>
      <c r="CX1736">
        <f>IFERROR(SUMIFS(T_TTAFStock[TTAF_Qty],T_TTAFStock[RM_Code],$A1732,T_TTAFStock[WeekIndex],98),"")</f>
        <v/>
      </c>
      <c r="CY1736">
        <f>IFERROR(SUMIFS(T_TTAFStock[TTAF_Qty],T_TTAFStock[RM_Code],$A1732,T_TTAFStock[WeekIndex],99),"")</f>
        <v/>
      </c>
      <c r="CZ1736">
        <f>IFERROR(SUMIFS(T_TTAFStock[TTAF_Qty],T_TTAFStock[RM_Code],$A1732,T_TTAFStock[WeekIndex],100),"")</f>
        <v/>
      </c>
      <c r="DA1736">
        <f>IFERROR(SUMIFS(T_TTAFStock[TTAF_Qty],T_TTAFStock[RM_Code],$A1732,T_TTAFStock[WeekIndex],101),"")</f>
        <v/>
      </c>
      <c r="DB1736">
        <f>IFERROR(SUMIFS(T_TTAFStock[TTAF_Qty],T_TTAFStock[RM_Code],$A1732,T_TTAFStock[WeekIndex],102),"")</f>
        <v/>
      </c>
      <c r="DC1736">
        <f>IFERROR(SUMIFS(T_TTAFStock[TTAF_Qty],T_TTAFStock[RM_Code],$A1732,T_TTAFStock[WeekIndex],103),"")</f>
        <v/>
      </c>
      <c r="DD1736">
        <f>IFERROR(SUMIFS(T_TTAFStock[TTAF_Qty],T_TTAFStock[RM_Code],$A1732,T_TTAFStock[WeekIndex],104),"")</f>
        <v/>
      </c>
    </row>
    <row r="1737">
      <c r="B1737" t="inlineStr">
        <is>
          <t>自社在庫(実績,kg)</t>
        </is>
      </c>
      <c r="D1737">
        <f>IFERROR(INDEX(E1737:DD1737,$F$1),"")</f>
        <v/>
      </c>
      <c r="E1737">
        <f>IFERROR(SUMIFS(T_SelfStock[Self_Qty],T_SelfStock[RM_Code],$A1732,T_SelfStock[WeekIndex],1),"")</f>
        <v/>
      </c>
      <c r="F1737">
        <f>IFERROR(SUMIFS(T_SelfStock[Self_Qty],T_SelfStock[RM_Code],$A1732,T_SelfStock[WeekIndex],2),"")</f>
        <v/>
      </c>
      <c r="G1737">
        <f>IFERROR(SUMIFS(T_SelfStock[Self_Qty],T_SelfStock[RM_Code],$A1732,T_SelfStock[WeekIndex],3),"")</f>
        <v/>
      </c>
      <c r="H1737">
        <f>IFERROR(SUMIFS(T_SelfStock[Self_Qty],T_SelfStock[RM_Code],$A1732,T_SelfStock[WeekIndex],4),"")</f>
        <v/>
      </c>
      <c r="I1737">
        <f>IFERROR(SUMIFS(T_SelfStock[Self_Qty],T_SelfStock[RM_Code],$A1732,T_SelfStock[WeekIndex],5),"")</f>
        <v/>
      </c>
      <c r="J1737">
        <f>IFERROR(SUMIFS(T_SelfStock[Self_Qty],T_SelfStock[RM_Code],$A1732,T_SelfStock[WeekIndex],6),"")</f>
        <v/>
      </c>
      <c r="K1737">
        <f>IFERROR(SUMIFS(T_SelfStock[Self_Qty],T_SelfStock[RM_Code],$A1732,T_SelfStock[WeekIndex],7),"")</f>
        <v/>
      </c>
      <c r="L1737">
        <f>IFERROR(SUMIFS(T_SelfStock[Self_Qty],T_SelfStock[RM_Code],$A1732,T_SelfStock[WeekIndex],8),"")</f>
        <v/>
      </c>
      <c r="M1737">
        <f>IFERROR(SUMIFS(T_SelfStock[Self_Qty],T_SelfStock[RM_Code],$A1732,T_SelfStock[WeekIndex],9),"")</f>
        <v/>
      </c>
      <c r="N1737">
        <f>IFERROR(SUMIFS(T_SelfStock[Self_Qty],T_SelfStock[RM_Code],$A1732,T_SelfStock[WeekIndex],10),"")</f>
        <v/>
      </c>
      <c r="O1737">
        <f>IFERROR(SUMIFS(T_SelfStock[Self_Qty],T_SelfStock[RM_Code],$A1732,T_SelfStock[WeekIndex],11),"")</f>
        <v/>
      </c>
      <c r="P1737">
        <f>IFERROR(SUMIFS(T_SelfStock[Self_Qty],T_SelfStock[RM_Code],$A1732,T_SelfStock[WeekIndex],12),"")</f>
        <v/>
      </c>
      <c r="Q1737">
        <f>IFERROR(SUMIFS(T_SelfStock[Self_Qty],T_SelfStock[RM_Code],$A1732,T_SelfStock[WeekIndex],13),"")</f>
        <v/>
      </c>
      <c r="R1737">
        <f>IFERROR(SUMIFS(T_SelfStock[Self_Qty],T_SelfStock[RM_Code],$A1732,T_SelfStock[WeekIndex],14),"")</f>
        <v/>
      </c>
      <c r="S1737">
        <f>IFERROR(SUMIFS(T_SelfStock[Self_Qty],T_SelfStock[RM_Code],$A1732,T_SelfStock[WeekIndex],15),"")</f>
        <v/>
      </c>
      <c r="T1737">
        <f>IFERROR(SUMIFS(T_SelfStock[Self_Qty],T_SelfStock[RM_Code],$A1732,T_SelfStock[WeekIndex],16),"")</f>
        <v/>
      </c>
      <c r="U1737">
        <f>IFERROR(SUMIFS(T_SelfStock[Self_Qty],T_SelfStock[RM_Code],$A1732,T_SelfStock[WeekIndex],17),"")</f>
        <v/>
      </c>
      <c r="V1737">
        <f>IFERROR(SUMIFS(T_SelfStock[Self_Qty],T_SelfStock[RM_Code],$A1732,T_SelfStock[WeekIndex],18),"")</f>
        <v/>
      </c>
      <c r="W1737">
        <f>IFERROR(SUMIFS(T_SelfStock[Self_Qty],T_SelfStock[RM_Code],$A1732,T_SelfStock[WeekIndex],19),"")</f>
        <v/>
      </c>
      <c r="X1737">
        <f>IFERROR(SUMIFS(T_SelfStock[Self_Qty],T_SelfStock[RM_Code],$A1732,T_SelfStock[WeekIndex],20),"")</f>
        <v/>
      </c>
      <c r="Y1737">
        <f>IFERROR(SUMIFS(T_SelfStock[Self_Qty],T_SelfStock[RM_Code],$A1732,T_SelfStock[WeekIndex],21),"")</f>
        <v/>
      </c>
      <c r="Z1737">
        <f>IFERROR(SUMIFS(T_SelfStock[Self_Qty],T_SelfStock[RM_Code],$A1732,T_SelfStock[WeekIndex],22),"")</f>
        <v/>
      </c>
      <c r="AA1737">
        <f>IFERROR(SUMIFS(T_SelfStock[Self_Qty],T_SelfStock[RM_Code],$A1732,T_SelfStock[WeekIndex],23),"")</f>
        <v/>
      </c>
      <c r="AB1737">
        <f>IFERROR(SUMIFS(T_SelfStock[Self_Qty],T_SelfStock[RM_Code],$A1732,T_SelfStock[WeekIndex],24),"")</f>
        <v/>
      </c>
      <c r="AC1737">
        <f>IFERROR(SUMIFS(T_SelfStock[Self_Qty],T_SelfStock[RM_Code],$A1732,T_SelfStock[WeekIndex],25),"")</f>
        <v/>
      </c>
      <c r="AD1737">
        <f>IFERROR(SUMIFS(T_SelfStock[Self_Qty],T_SelfStock[RM_Code],$A1732,T_SelfStock[WeekIndex],26),"")</f>
        <v/>
      </c>
      <c r="AE1737">
        <f>IFERROR(SUMIFS(T_SelfStock[Self_Qty],T_SelfStock[RM_Code],$A1732,T_SelfStock[WeekIndex],27),"")</f>
        <v/>
      </c>
      <c r="AF1737">
        <f>IFERROR(SUMIFS(T_SelfStock[Self_Qty],T_SelfStock[RM_Code],$A1732,T_SelfStock[WeekIndex],28),"")</f>
        <v/>
      </c>
      <c r="AG1737">
        <f>IFERROR(SUMIFS(T_SelfStock[Self_Qty],T_SelfStock[RM_Code],$A1732,T_SelfStock[WeekIndex],29),"")</f>
        <v/>
      </c>
      <c r="AH1737">
        <f>IFERROR(SUMIFS(T_SelfStock[Self_Qty],T_SelfStock[RM_Code],$A1732,T_SelfStock[WeekIndex],30),"")</f>
        <v/>
      </c>
      <c r="AI1737">
        <f>IFERROR(SUMIFS(T_SelfStock[Self_Qty],T_SelfStock[RM_Code],$A1732,T_SelfStock[WeekIndex],31),"")</f>
        <v/>
      </c>
      <c r="AJ1737">
        <f>IFERROR(SUMIFS(T_SelfStock[Self_Qty],T_SelfStock[RM_Code],$A1732,T_SelfStock[WeekIndex],32),"")</f>
        <v/>
      </c>
      <c r="AK1737">
        <f>IFERROR(SUMIFS(T_SelfStock[Self_Qty],T_SelfStock[RM_Code],$A1732,T_SelfStock[WeekIndex],33),"")</f>
        <v/>
      </c>
      <c r="AL1737">
        <f>IFERROR(SUMIFS(T_SelfStock[Self_Qty],T_SelfStock[RM_Code],$A1732,T_SelfStock[WeekIndex],34),"")</f>
        <v/>
      </c>
      <c r="AM1737">
        <f>IFERROR(SUMIFS(T_SelfStock[Self_Qty],T_SelfStock[RM_Code],$A1732,T_SelfStock[WeekIndex],35),"")</f>
        <v/>
      </c>
      <c r="AN1737">
        <f>IFERROR(SUMIFS(T_SelfStock[Self_Qty],T_SelfStock[RM_Code],$A1732,T_SelfStock[WeekIndex],36),"")</f>
        <v/>
      </c>
      <c r="AO1737">
        <f>IFERROR(SUMIFS(T_SelfStock[Self_Qty],T_SelfStock[RM_Code],$A1732,T_SelfStock[WeekIndex],37),"")</f>
        <v/>
      </c>
      <c r="AP1737">
        <f>IFERROR(SUMIFS(T_SelfStock[Self_Qty],T_SelfStock[RM_Code],$A1732,T_SelfStock[WeekIndex],38),"")</f>
        <v/>
      </c>
      <c r="AQ1737">
        <f>IFERROR(SUMIFS(T_SelfStock[Self_Qty],T_SelfStock[RM_Code],$A1732,T_SelfStock[WeekIndex],39),"")</f>
        <v/>
      </c>
      <c r="AR1737">
        <f>IFERROR(SUMIFS(T_SelfStock[Self_Qty],T_SelfStock[RM_Code],$A1732,T_SelfStock[WeekIndex],40),"")</f>
        <v/>
      </c>
      <c r="AS1737">
        <f>IFERROR(SUMIFS(T_SelfStock[Self_Qty],T_SelfStock[RM_Code],$A1732,T_SelfStock[WeekIndex],41),"")</f>
        <v/>
      </c>
      <c r="AT1737">
        <f>IFERROR(SUMIFS(T_SelfStock[Self_Qty],T_SelfStock[RM_Code],$A1732,T_SelfStock[WeekIndex],42),"")</f>
        <v/>
      </c>
      <c r="AU1737">
        <f>IFERROR(SUMIFS(T_SelfStock[Self_Qty],T_SelfStock[RM_Code],$A1732,T_SelfStock[WeekIndex],43),"")</f>
        <v/>
      </c>
      <c r="AV1737">
        <f>IFERROR(SUMIFS(T_SelfStock[Self_Qty],T_SelfStock[RM_Code],$A1732,T_SelfStock[WeekIndex],44),"")</f>
        <v/>
      </c>
      <c r="AW1737">
        <f>IFERROR(SUMIFS(T_SelfStock[Self_Qty],T_SelfStock[RM_Code],$A1732,T_SelfStock[WeekIndex],45),"")</f>
        <v/>
      </c>
      <c r="AX1737">
        <f>IFERROR(SUMIFS(T_SelfStock[Self_Qty],T_SelfStock[RM_Code],$A1732,T_SelfStock[WeekIndex],46),"")</f>
        <v/>
      </c>
      <c r="AY1737">
        <f>IFERROR(SUMIFS(T_SelfStock[Self_Qty],T_SelfStock[RM_Code],$A1732,T_SelfStock[WeekIndex],47),"")</f>
        <v/>
      </c>
      <c r="AZ1737">
        <f>IFERROR(SUMIFS(T_SelfStock[Self_Qty],T_SelfStock[RM_Code],$A1732,T_SelfStock[WeekIndex],48),"")</f>
        <v/>
      </c>
      <c r="BA1737">
        <f>IFERROR(SUMIFS(T_SelfStock[Self_Qty],T_SelfStock[RM_Code],$A1732,T_SelfStock[WeekIndex],49),"")</f>
        <v/>
      </c>
      <c r="BB1737">
        <f>IFERROR(SUMIFS(T_SelfStock[Self_Qty],T_SelfStock[RM_Code],$A1732,T_SelfStock[WeekIndex],50),"")</f>
        <v/>
      </c>
      <c r="BC1737">
        <f>IFERROR(SUMIFS(T_SelfStock[Self_Qty],T_SelfStock[RM_Code],$A1732,T_SelfStock[WeekIndex],51),"")</f>
        <v/>
      </c>
      <c r="BD1737">
        <f>IFERROR(SUMIFS(T_SelfStock[Self_Qty],T_SelfStock[RM_Code],$A1732,T_SelfStock[WeekIndex],52),"")</f>
        <v/>
      </c>
      <c r="BE1737">
        <f>IFERROR(SUMIFS(T_SelfStock[Self_Qty],T_SelfStock[RM_Code],$A1732,T_SelfStock[WeekIndex],53),"")</f>
        <v/>
      </c>
      <c r="BF1737">
        <f>IFERROR(SUMIFS(T_SelfStock[Self_Qty],T_SelfStock[RM_Code],$A1732,T_SelfStock[WeekIndex],54),"")</f>
        <v/>
      </c>
      <c r="BG1737">
        <f>IFERROR(SUMIFS(T_SelfStock[Self_Qty],T_SelfStock[RM_Code],$A1732,T_SelfStock[WeekIndex],55),"")</f>
        <v/>
      </c>
      <c r="BH1737">
        <f>IFERROR(SUMIFS(T_SelfStock[Self_Qty],T_SelfStock[RM_Code],$A1732,T_SelfStock[WeekIndex],56),"")</f>
        <v/>
      </c>
      <c r="BI1737">
        <f>IFERROR(SUMIFS(T_SelfStock[Self_Qty],T_SelfStock[RM_Code],$A1732,T_SelfStock[WeekIndex],57),"")</f>
        <v/>
      </c>
      <c r="BJ1737">
        <f>IFERROR(SUMIFS(T_SelfStock[Self_Qty],T_SelfStock[RM_Code],$A1732,T_SelfStock[WeekIndex],58),"")</f>
        <v/>
      </c>
      <c r="BK1737">
        <f>IFERROR(SUMIFS(T_SelfStock[Self_Qty],T_SelfStock[RM_Code],$A1732,T_SelfStock[WeekIndex],59),"")</f>
        <v/>
      </c>
      <c r="BL1737">
        <f>IFERROR(SUMIFS(T_SelfStock[Self_Qty],T_SelfStock[RM_Code],$A1732,T_SelfStock[WeekIndex],60),"")</f>
        <v/>
      </c>
      <c r="BM1737">
        <f>IFERROR(SUMIFS(T_SelfStock[Self_Qty],T_SelfStock[RM_Code],$A1732,T_SelfStock[WeekIndex],61),"")</f>
        <v/>
      </c>
      <c r="BN1737">
        <f>IFERROR(SUMIFS(T_SelfStock[Self_Qty],T_SelfStock[RM_Code],$A1732,T_SelfStock[WeekIndex],62),"")</f>
        <v/>
      </c>
      <c r="BO1737">
        <f>IFERROR(SUMIFS(T_SelfStock[Self_Qty],T_SelfStock[RM_Code],$A1732,T_SelfStock[WeekIndex],63),"")</f>
        <v/>
      </c>
      <c r="BP1737">
        <f>IFERROR(SUMIFS(T_SelfStock[Self_Qty],T_SelfStock[RM_Code],$A1732,T_SelfStock[WeekIndex],64),"")</f>
        <v/>
      </c>
      <c r="BQ1737">
        <f>IFERROR(SUMIFS(T_SelfStock[Self_Qty],T_SelfStock[RM_Code],$A1732,T_SelfStock[WeekIndex],65),"")</f>
        <v/>
      </c>
      <c r="BR1737">
        <f>IFERROR(SUMIFS(T_SelfStock[Self_Qty],T_SelfStock[RM_Code],$A1732,T_SelfStock[WeekIndex],66),"")</f>
        <v/>
      </c>
      <c r="BS1737">
        <f>IFERROR(SUMIFS(T_SelfStock[Self_Qty],T_SelfStock[RM_Code],$A1732,T_SelfStock[WeekIndex],67),"")</f>
        <v/>
      </c>
      <c r="BT1737">
        <f>IFERROR(SUMIFS(T_SelfStock[Self_Qty],T_SelfStock[RM_Code],$A1732,T_SelfStock[WeekIndex],68),"")</f>
        <v/>
      </c>
      <c r="BU1737">
        <f>IFERROR(SUMIFS(T_SelfStock[Self_Qty],T_SelfStock[RM_Code],$A1732,T_SelfStock[WeekIndex],69),"")</f>
        <v/>
      </c>
      <c r="BV1737">
        <f>IFERROR(SUMIFS(T_SelfStock[Self_Qty],T_SelfStock[RM_Code],$A1732,T_SelfStock[WeekIndex],70),"")</f>
        <v/>
      </c>
      <c r="BW1737">
        <f>IFERROR(SUMIFS(T_SelfStock[Self_Qty],T_SelfStock[RM_Code],$A1732,T_SelfStock[WeekIndex],71),"")</f>
        <v/>
      </c>
      <c r="BX1737">
        <f>IFERROR(SUMIFS(T_SelfStock[Self_Qty],T_SelfStock[RM_Code],$A1732,T_SelfStock[WeekIndex],72),"")</f>
        <v/>
      </c>
      <c r="BY1737">
        <f>IFERROR(SUMIFS(T_SelfStock[Self_Qty],T_SelfStock[RM_Code],$A1732,T_SelfStock[WeekIndex],73),"")</f>
        <v/>
      </c>
      <c r="BZ1737">
        <f>IFERROR(SUMIFS(T_SelfStock[Self_Qty],T_SelfStock[RM_Code],$A1732,T_SelfStock[WeekIndex],74),"")</f>
        <v/>
      </c>
      <c r="CA1737">
        <f>IFERROR(SUMIFS(T_SelfStock[Self_Qty],T_SelfStock[RM_Code],$A1732,T_SelfStock[WeekIndex],75),"")</f>
        <v/>
      </c>
      <c r="CB1737">
        <f>IFERROR(SUMIFS(T_SelfStock[Self_Qty],T_SelfStock[RM_Code],$A1732,T_SelfStock[WeekIndex],76),"")</f>
        <v/>
      </c>
      <c r="CC1737">
        <f>IFERROR(SUMIFS(T_SelfStock[Self_Qty],T_SelfStock[RM_Code],$A1732,T_SelfStock[WeekIndex],77),"")</f>
        <v/>
      </c>
      <c r="CD1737">
        <f>IFERROR(SUMIFS(T_SelfStock[Self_Qty],T_SelfStock[RM_Code],$A1732,T_SelfStock[WeekIndex],78),"")</f>
        <v/>
      </c>
      <c r="CE1737">
        <f>IFERROR(SUMIFS(T_SelfStock[Self_Qty],T_SelfStock[RM_Code],$A1732,T_SelfStock[WeekIndex],79),"")</f>
        <v/>
      </c>
      <c r="CF1737">
        <f>IFERROR(SUMIFS(T_SelfStock[Self_Qty],T_SelfStock[RM_Code],$A1732,T_SelfStock[WeekIndex],80),"")</f>
        <v/>
      </c>
      <c r="CG1737">
        <f>IFERROR(SUMIFS(T_SelfStock[Self_Qty],T_SelfStock[RM_Code],$A1732,T_SelfStock[WeekIndex],81),"")</f>
        <v/>
      </c>
      <c r="CH1737">
        <f>IFERROR(SUMIFS(T_SelfStock[Self_Qty],T_SelfStock[RM_Code],$A1732,T_SelfStock[WeekIndex],82),"")</f>
        <v/>
      </c>
      <c r="CI1737">
        <f>IFERROR(SUMIFS(T_SelfStock[Self_Qty],T_SelfStock[RM_Code],$A1732,T_SelfStock[WeekIndex],83),"")</f>
        <v/>
      </c>
      <c r="CJ1737">
        <f>IFERROR(SUMIFS(T_SelfStock[Self_Qty],T_SelfStock[RM_Code],$A1732,T_SelfStock[WeekIndex],84),"")</f>
        <v/>
      </c>
      <c r="CK1737">
        <f>IFERROR(SUMIFS(T_SelfStock[Self_Qty],T_SelfStock[RM_Code],$A1732,T_SelfStock[WeekIndex],85),"")</f>
        <v/>
      </c>
      <c r="CL1737">
        <f>IFERROR(SUMIFS(T_SelfStock[Self_Qty],T_SelfStock[RM_Code],$A1732,T_SelfStock[WeekIndex],86),"")</f>
        <v/>
      </c>
      <c r="CM1737">
        <f>IFERROR(SUMIFS(T_SelfStock[Self_Qty],T_SelfStock[RM_Code],$A1732,T_SelfStock[WeekIndex],87),"")</f>
        <v/>
      </c>
      <c r="CN1737">
        <f>IFERROR(SUMIFS(T_SelfStock[Self_Qty],T_SelfStock[RM_Code],$A1732,T_SelfStock[WeekIndex],88),"")</f>
        <v/>
      </c>
      <c r="CO1737">
        <f>IFERROR(SUMIFS(T_SelfStock[Self_Qty],T_SelfStock[RM_Code],$A1732,T_SelfStock[WeekIndex],89),"")</f>
        <v/>
      </c>
      <c r="CP1737">
        <f>IFERROR(SUMIFS(T_SelfStock[Self_Qty],T_SelfStock[RM_Code],$A1732,T_SelfStock[WeekIndex],90),"")</f>
        <v/>
      </c>
      <c r="CQ1737">
        <f>IFERROR(SUMIFS(T_SelfStock[Self_Qty],T_SelfStock[RM_Code],$A1732,T_SelfStock[WeekIndex],91),"")</f>
        <v/>
      </c>
      <c r="CR1737">
        <f>IFERROR(SUMIFS(T_SelfStock[Self_Qty],T_SelfStock[RM_Code],$A1732,T_SelfStock[WeekIndex],92),"")</f>
        <v/>
      </c>
      <c r="CS1737">
        <f>IFERROR(SUMIFS(T_SelfStock[Self_Qty],T_SelfStock[RM_Code],$A1732,T_SelfStock[WeekIndex],93),"")</f>
        <v/>
      </c>
      <c r="CT1737">
        <f>IFERROR(SUMIFS(T_SelfStock[Self_Qty],T_SelfStock[RM_Code],$A1732,T_SelfStock[WeekIndex],94),"")</f>
        <v/>
      </c>
      <c r="CU1737">
        <f>IFERROR(SUMIFS(T_SelfStock[Self_Qty],T_SelfStock[RM_Code],$A1732,T_SelfStock[WeekIndex],95),"")</f>
        <v/>
      </c>
      <c r="CV1737">
        <f>IFERROR(SUMIFS(T_SelfStock[Self_Qty],T_SelfStock[RM_Code],$A1732,T_SelfStock[WeekIndex],96),"")</f>
        <v/>
      </c>
      <c r="CW1737">
        <f>IFERROR(SUMIFS(T_SelfStock[Self_Qty],T_SelfStock[RM_Code],$A1732,T_SelfStock[WeekIndex],97),"")</f>
        <v/>
      </c>
      <c r="CX1737">
        <f>IFERROR(SUMIFS(T_SelfStock[Self_Qty],T_SelfStock[RM_Code],$A1732,T_SelfStock[WeekIndex],98),"")</f>
        <v/>
      </c>
      <c r="CY1737">
        <f>IFERROR(SUMIFS(T_SelfStock[Self_Qty],T_SelfStock[RM_Code],$A1732,T_SelfStock[WeekIndex],99),"")</f>
        <v/>
      </c>
      <c r="CZ1737">
        <f>IFERROR(SUMIFS(T_SelfStock[Self_Qty],T_SelfStock[RM_Code],$A1732,T_SelfStock[WeekIndex],100),"")</f>
        <v/>
      </c>
      <c r="DA1737">
        <f>IFERROR(SUMIFS(T_SelfStock[Self_Qty],T_SelfStock[RM_Code],$A1732,T_SelfStock[WeekIndex],101),"")</f>
        <v/>
      </c>
      <c r="DB1737">
        <f>IFERROR(SUMIFS(T_SelfStock[Self_Qty],T_SelfStock[RM_Code],$A1732,T_SelfStock[WeekIndex],102),"")</f>
        <v/>
      </c>
      <c r="DC1737">
        <f>IFERROR(SUMIFS(T_SelfStock[Self_Qty],T_SelfStock[RM_Code],$A1732,T_SelfStock[WeekIndex],103),"")</f>
        <v/>
      </c>
      <c r="DD1737">
        <f>IFERROR(SUMIFS(T_SelfStock[Self_Qty],T_SelfStock[RM_Code],$A1732,T_SelfStock[WeekIndex],104),"")</f>
        <v/>
      </c>
    </row>
    <row r="1738">
      <c r="B1738" s="4" t="inlineStr">
        <is>
          <t>合計在庫(週末時点,kg)</t>
        </is>
      </c>
      <c r="D1738" s="24">
        <f>IFERROR(INDEX(E1738:DD1738,$F$1),"")</f>
        <v/>
      </c>
      <c r="E1738">
        <f>'Grid_Stock'!B63</f>
        <v/>
      </c>
      <c r="F1738">
        <f>'Grid_Stock'!C63</f>
        <v/>
      </c>
      <c r="G1738">
        <f>'Grid_Stock'!D63</f>
        <v/>
      </c>
      <c r="H1738">
        <f>'Grid_Stock'!E63</f>
        <v/>
      </c>
      <c r="I1738">
        <f>'Grid_Stock'!F63</f>
        <v/>
      </c>
      <c r="J1738">
        <f>'Grid_Stock'!G63</f>
        <v/>
      </c>
      <c r="K1738">
        <f>'Grid_Stock'!H63</f>
        <v/>
      </c>
      <c r="L1738">
        <f>'Grid_Stock'!I63</f>
        <v/>
      </c>
      <c r="M1738">
        <f>'Grid_Stock'!J63</f>
        <v/>
      </c>
      <c r="N1738">
        <f>'Grid_Stock'!K63</f>
        <v/>
      </c>
      <c r="O1738">
        <f>'Grid_Stock'!L63</f>
        <v/>
      </c>
      <c r="P1738">
        <f>'Grid_Stock'!M63</f>
        <v/>
      </c>
      <c r="Q1738">
        <f>'Grid_Stock'!N63</f>
        <v/>
      </c>
      <c r="R1738">
        <f>'Grid_Stock'!O63</f>
        <v/>
      </c>
      <c r="S1738">
        <f>'Grid_Stock'!P63</f>
        <v/>
      </c>
      <c r="T1738">
        <f>'Grid_Stock'!Q63</f>
        <v/>
      </c>
      <c r="U1738">
        <f>'Grid_Stock'!R63</f>
        <v/>
      </c>
      <c r="V1738">
        <f>'Grid_Stock'!S63</f>
        <v/>
      </c>
      <c r="W1738">
        <f>'Grid_Stock'!T63</f>
        <v/>
      </c>
      <c r="X1738">
        <f>'Grid_Stock'!U63</f>
        <v/>
      </c>
      <c r="Y1738">
        <f>'Grid_Stock'!V63</f>
        <v/>
      </c>
      <c r="Z1738">
        <f>'Grid_Stock'!W63</f>
        <v/>
      </c>
      <c r="AA1738">
        <f>'Grid_Stock'!X63</f>
        <v/>
      </c>
      <c r="AB1738">
        <f>'Grid_Stock'!Y63</f>
        <v/>
      </c>
      <c r="AC1738">
        <f>'Grid_Stock'!Z63</f>
        <v/>
      </c>
      <c r="AD1738">
        <f>'Grid_Stock'!AA63</f>
        <v/>
      </c>
      <c r="AE1738">
        <f>'Grid_Stock'!AB63</f>
        <v/>
      </c>
      <c r="AF1738">
        <f>'Grid_Stock'!AC63</f>
        <v/>
      </c>
      <c r="AG1738">
        <f>'Grid_Stock'!AD63</f>
        <v/>
      </c>
      <c r="AH1738">
        <f>'Grid_Stock'!AE63</f>
        <v/>
      </c>
      <c r="AI1738">
        <f>'Grid_Stock'!AF63</f>
        <v/>
      </c>
      <c r="AJ1738">
        <f>'Grid_Stock'!AG63</f>
        <v/>
      </c>
      <c r="AK1738">
        <f>'Grid_Stock'!AH63</f>
        <v/>
      </c>
      <c r="AL1738">
        <f>'Grid_Stock'!AI63</f>
        <v/>
      </c>
      <c r="AM1738">
        <f>'Grid_Stock'!AJ63</f>
        <v/>
      </c>
      <c r="AN1738">
        <f>'Grid_Stock'!AK63</f>
        <v/>
      </c>
      <c r="AO1738">
        <f>'Grid_Stock'!AL63</f>
        <v/>
      </c>
      <c r="AP1738">
        <f>'Grid_Stock'!AM63</f>
        <v/>
      </c>
      <c r="AQ1738">
        <f>'Grid_Stock'!AN63</f>
        <v/>
      </c>
      <c r="AR1738">
        <f>'Grid_Stock'!AO63</f>
        <v/>
      </c>
      <c r="AS1738">
        <f>'Grid_Stock'!AP63</f>
        <v/>
      </c>
      <c r="AT1738">
        <f>'Grid_Stock'!AQ63</f>
        <v/>
      </c>
      <c r="AU1738">
        <f>'Grid_Stock'!AR63</f>
        <v/>
      </c>
      <c r="AV1738">
        <f>'Grid_Stock'!AS63</f>
        <v/>
      </c>
      <c r="AW1738">
        <f>'Grid_Stock'!AT63</f>
        <v/>
      </c>
      <c r="AX1738">
        <f>'Grid_Stock'!AU63</f>
        <v/>
      </c>
      <c r="AY1738">
        <f>'Grid_Stock'!AV63</f>
        <v/>
      </c>
      <c r="AZ1738">
        <f>'Grid_Stock'!AW63</f>
        <v/>
      </c>
      <c r="BA1738">
        <f>'Grid_Stock'!AX63</f>
        <v/>
      </c>
      <c r="BB1738">
        <f>'Grid_Stock'!AY63</f>
        <v/>
      </c>
      <c r="BC1738">
        <f>'Grid_Stock'!AZ63</f>
        <v/>
      </c>
      <c r="BD1738">
        <f>'Grid_Stock'!BA63</f>
        <v/>
      </c>
      <c r="BE1738">
        <f>'Grid_Stock'!BB63</f>
        <v/>
      </c>
      <c r="BF1738">
        <f>'Grid_Stock'!BC63</f>
        <v/>
      </c>
      <c r="BG1738">
        <f>'Grid_Stock'!BD63</f>
        <v/>
      </c>
      <c r="BH1738">
        <f>'Grid_Stock'!BE63</f>
        <v/>
      </c>
      <c r="BI1738">
        <f>'Grid_Stock'!BF63</f>
        <v/>
      </c>
      <c r="BJ1738">
        <f>'Grid_Stock'!BG63</f>
        <v/>
      </c>
      <c r="BK1738">
        <f>'Grid_Stock'!BH63</f>
        <v/>
      </c>
      <c r="BL1738">
        <f>'Grid_Stock'!BI63</f>
        <v/>
      </c>
      <c r="BM1738">
        <f>'Grid_Stock'!BJ63</f>
        <v/>
      </c>
      <c r="BN1738">
        <f>'Grid_Stock'!BK63</f>
        <v/>
      </c>
      <c r="BO1738">
        <f>'Grid_Stock'!BL63</f>
        <v/>
      </c>
      <c r="BP1738">
        <f>'Grid_Stock'!BM63</f>
        <v/>
      </c>
      <c r="BQ1738">
        <f>'Grid_Stock'!BN63</f>
        <v/>
      </c>
      <c r="BR1738">
        <f>'Grid_Stock'!BO63</f>
        <v/>
      </c>
      <c r="BS1738">
        <f>'Grid_Stock'!BP63</f>
        <v/>
      </c>
      <c r="BT1738">
        <f>'Grid_Stock'!BQ63</f>
        <v/>
      </c>
      <c r="BU1738">
        <f>'Grid_Stock'!BR63</f>
        <v/>
      </c>
      <c r="BV1738">
        <f>'Grid_Stock'!BS63</f>
        <v/>
      </c>
      <c r="BW1738">
        <f>'Grid_Stock'!BT63</f>
        <v/>
      </c>
      <c r="BX1738">
        <f>'Grid_Stock'!BU63</f>
        <v/>
      </c>
      <c r="BY1738">
        <f>'Grid_Stock'!BV63</f>
        <v/>
      </c>
      <c r="BZ1738">
        <f>'Grid_Stock'!BW63</f>
        <v/>
      </c>
      <c r="CA1738">
        <f>'Grid_Stock'!BX63</f>
        <v/>
      </c>
      <c r="CB1738">
        <f>'Grid_Stock'!BY63</f>
        <v/>
      </c>
      <c r="CC1738">
        <f>'Grid_Stock'!BZ63</f>
        <v/>
      </c>
      <c r="CD1738">
        <f>'Grid_Stock'!CA63</f>
        <v/>
      </c>
      <c r="CE1738">
        <f>'Grid_Stock'!CB63</f>
        <v/>
      </c>
      <c r="CF1738">
        <f>'Grid_Stock'!CC63</f>
        <v/>
      </c>
      <c r="CG1738">
        <f>'Grid_Stock'!CD63</f>
        <v/>
      </c>
      <c r="CH1738">
        <f>'Grid_Stock'!CE63</f>
        <v/>
      </c>
      <c r="CI1738">
        <f>'Grid_Stock'!CF63</f>
        <v/>
      </c>
      <c r="CJ1738">
        <f>'Grid_Stock'!CG63</f>
        <v/>
      </c>
      <c r="CK1738">
        <f>'Grid_Stock'!CH63</f>
        <v/>
      </c>
      <c r="CL1738">
        <f>'Grid_Stock'!CI63</f>
        <v/>
      </c>
      <c r="CM1738">
        <f>'Grid_Stock'!CJ63</f>
        <v/>
      </c>
      <c r="CN1738">
        <f>'Grid_Stock'!CK63</f>
        <v/>
      </c>
      <c r="CO1738">
        <f>'Grid_Stock'!CL63</f>
        <v/>
      </c>
      <c r="CP1738">
        <f>'Grid_Stock'!CM63</f>
        <v/>
      </c>
      <c r="CQ1738">
        <f>'Grid_Stock'!CN63</f>
        <v/>
      </c>
      <c r="CR1738">
        <f>'Grid_Stock'!CO63</f>
        <v/>
      </c>
      <c r="CS1738">
        <f>'Grid_Stock'!CP63</f>
        <v/>
      </c>
      <c r="CT1738">
        <f>'Grid_Stock'!CQ63</f>
        <v/>
      </c>
      <c r="CU1738">
        <f>'Grid_Stock'!CR63</f>
        <v/>
      </c>
      <c r="CV1738">
        <f>'Grid_Stock'!CS63</f>
        <v/>
      </c>
      <c r="CW1738">
        <f>'Grid_Stock'!CT63</f>
        <v/>
      </c>
      <c r="CX1738">
        <f>'Grid_Stock'!CU63</f>
        <v/>
      </c>
      <c r="CY1738">
        <f>'Grid_Stock'!CV63</f>
        <v/>
      </c>
      <c r="CZ1738">
        <f>'Grid_Stock'!CW63</f>
        <v/>
      </c>
      <c r="DA1738">
        <f>'Grid_Stock'!CX63</f>
        <v/>
      </c>
      <c r="DB1738">
        <f>'Grid_Stock'!CY63</f>
        <v/>
      </c>
      <c r="DC1738">
        <f>'Grid_Stock'!CZ63</f>
        <v/>
      </c>
      <c r="DD1738">
        <f>'Grid_Stock'!DA63</f>
        <v/>
      </c>
    </row>
    <row r="1739">
      <c r="B1739" s="25" t="inlineStr">
        <is>
          <t>（発注の目安はDashboardの基準在庫[下限/上限]と色分けを参照）</t>
        </is>
      </c>
    </row>
    <row r="1741">
      <c r="A1741" s="21" t="inlineStr">
        <is>
          <t>CHEM-1820</t>
        </is>
      </c>
      <c r="B1741" s="21" t="inlineStr">
        <is>
          <t>JCK-472</t>
        </is>
      </c>
      <c r="C1741" s="22" t="n"/>
      <c r="D1741" s="21" t="n"/>
      <c r="E1741" s="21" t="n"/>
      <c r="F1741" s="21" t="n"/>
      <c r="G1741" s="21" t="n"/>
      <c r="H1741" s="21" t="n"/>
      <c r="I1741" s="21" t="n"/>
      <c r="J1741" s="21" t="n"/>
      <c r="K1741" s="21" t="n"/>
      <c r="L1741" s="21" t="n"/>
      <c r="M1741" s="21" t="n"/>
      <c r="N1741" s="21" t="n"/>
      <c r="O1741" s="21" t="n"/>
      <c r="P1741" s="21" t="n"/>
      <c r="Q1741" s="21" t="n"/>
      <c r="R1741" s="21" t="n"/>
      <c r="S1741" s="21" t="n"/>
      <c r="T1741" s="21" t="n"/>
      <c r="U1741" s="21" t="n"/>
      <c r="V1741" s="21" t="n"/>
      <c r="W1741" s="21" t="n"/>
      <c r="X1741" s="21" t="n"/>
      <c r="Y1741" s="21" t="n"/>
      <c r="Z1741" s="21" t="n"/>
      <c r="AA1741" s="21" t="n"/>
      <c r="AB1741" s="21" t="n"/>
      <c r="AC1741" s="21" t="n"/>
      <c r="AD1741" s="21" t="n"/>
      <c r="AE1741" s="21" t="n"/>
      <c r="AF1741" s="21" t="n"/>
      <c r="AG1741" s="21" t="n"/>
      <c r="AH1741" s="21" t="n"/>
      <c r="AI1741" s="21" t="n"/>
      <c r="AJ1741" s="21" t="n"/>
      <c r="AK1741" s="21" t="n"/>
      <c r="AL1741" s="21" t="n"/>
      <c r="AM1741" s="21" t="n"/>
      <c r="AN1741" s="21" t="n"/>
      <c r="AO1741" s="21" t="n"/>
      <c r="AP1741" s="21" t="n"/>
      <c r="AQ1741" s="21" t="n"/>
      <c r="AR1741" s="21" t="n"/>
      <c r="AS1741" s="21" t="n"/>
      <c r="AT1741" s="21" t="n"/>
      <c r="AU1741" s="21" t="n"/>
      <c r="AV1741" s="21" t="n"/>
      <c r="AW1741" s="21" t="n"/>
      <c r="AX1741" s="21" t="n"/>
      <c r="AY1741" s="21" t="n"/>
      <c r="AZ1741" s="21" t="n"/>
      <c r="BA1741" s="21" t="n"/>
      <c r="BB1741" s="21" t="n"/>
      <c r="BC1741" s="21" t="n"/>
      <c r="BD1741" s="21" t="n"/>
      <c r="BE1741" s="21" t="n"/>
      <c r="BF1741" s="21" t="n"/>
      <c r="BG1741" s="21" t="n"/>
      <c r="BH1741" s="21" t="n"/>
      <c r="BI1741" s="21" t="n"/>
      <c r="BJ1741" s="21" t="n"/>
      <c r="BK1741" s="21" t="n"/>
      <c r="BL1741" s="21" t="n"/>
      <c r="BM1741" s="21" t="n"/>
      <c r="BN1741" s="21" t="n"/>
      <c r="BO1741" s="21" t="n"/>
      <c r="BP1741" s="21" t="n"/>
      <c r="BQ1741" s="21" t="n"/>
      <c r="BR1741" s="21" t="n"/>
      <c r="BS1741" s="21" t="n"/>
      <c r="BT1741" s="21" t="n"/>
      <c r="BU1741" s="21" t="n"/>
      <c r="BV1741" s="21" t="n"/>
      <c r="BW1741" s="21" t="n"/>
      <c r="BX1741" s="21" t="n"/>
      <c r="BY1741" s="21" t="n"/>
      <c r="BZ1741" s="21" t="n"/>
      <c r="CA1741" s="21" t="n"/>
      <c r="CB1741" s="21" t="n"/>
      <c r="CC1741" s="21" t="n"/>
      <c r="CD1741" s="21" t="n"/>
      <c r="CE1741" s="21" t="n"/>
      <c r="CF1741" s="21" t="n"/>
      <c r="CG1741" s="21" t="n"/>
      <c r="CH1741" s="21" t="n"/>
      <c r="CI1741" s="21" t="n"/>
      <c r="CJ1741" s="21" t="n"/>
      <c r="CK1741" s="21" t="n"/>
      <c r="CL1741" s="21" t="n"/>
      <c r="CM1741" s="21" t="n"/>
      <c r="CN1741" s="21" t="n"/>
      <c r="CO1741" s="21" t="n"/>
      <c r="CP1741" s="21" t="n"/>
      <c r="CQ1741" s="21" t="n"/>
      <c r="CR1741" s="21" t="n"/>
      <c r="CS1741" s="21" t="n"/>
      <c r="CT1741" s="21" t="n"/>
      <c r="CU1741" s="21" t="n"/>
      <c r="CV1741" s="21" t="n"/>
      <c r="CW1741" s="21" t="n"/>
      <c r="CX1741" s="21" t="n"/>
      <c r="CY1741" s="21" t="n"/>
      <c r="CZ1741" s="21" t="n"/>
      <c r="DA1741" s="21" t="n"/>
      <c r="DB1741" s="21" t="n"/>
      <c r="DC1741" s="21" t="n"/>
      <c r="DD1741" s="21" t="n"/>
    </row>
    <row r="1742">
      <c r="B1742" t="inlineStr">
        <is>
          <t>TPP-1459</t>
        </is>
      </c>
      <c r="C1742" t="inlineStr">
        <is>
          <t>No. of batches</t>
        </is>
      </c>
      <c r="D1742">
        <f>IFERROR(INDEX(E1742:DD1742,$F$1),"")</f>
        <v/>
      </c>
      <c r="E1742">
        <f>IFERROR(INDEX(PP_Grid[#Data],$DE1742,2),0)</f>
        <v/>
      </c>
      <c r="F1742">
        <f>IFERROR(INDEX(PP_Grid[#Data],$DE1742,3),0)</f>
        <v/>
      </c>
      <c r="G1742">
        <f>IFERROR(INDEX(PP_Grid[#Data],$DE1742,4),0)</f>
        <v/>
      </c>
      <c r="H1742">
        <f>IFERROR(INDEX(PP_Grid[#Data],$DE1742,5),0)</f>
        <v/>
      </c>
      <c r="I1742">
        <f>IFERROR(INDEX(PP_Grid[#Data],$DE1742,6),0)</f>
        <v/>
      </c>
      <c r="J1742">
        <f>IFERROR(INDEX(PP_Grid[#Data],$DE1742,7),0)</f>
        <v/>
      </c>
      <c r="K1742">
        <f>IFERROR(INDEX(PP_Grid[#Data],$DE1742,8),0)</f>
        <v/>
      </c>
      <c r="L1742">
        <f>IFERROR(INDEX(PP_Grid[#Data],$DE1742,9),0)</f>
        <v/>
      </c>
      <c r="M1742">
        <f>IFERROR(INDEX(PP_Grid[#Data],$DE1742,10),0)</f>
        <v/>
      </c>
      <c r="N1742">
        <f>IFERROR(INDEX(PP_Grid[#Data],$DE1742,11),0)</f>
        <v/>
      </c>
      <c r="O1742">
        <f>IFERROR(INDEX(PP_Grid[#Data],$DE1742,12),0)</f>
        <v/>
      </c>
      <c r="P1742">
        <f>IFERROR(INDEX(PP_Grid[#Data],$DE1742,13),0)</f>
        <v/>
      </c>
      <c r="Q1742">
        <f>IFERROR(INDEX(PP_Grid[#Data],$DE1742,14),0)</f>
        <v/>
      </c>
      <c r="R1742">
        <f>IFERROR(INDEX(PP_Grid[#Data],$DE1742,15),0)</f>
        <v/>
      </c>
      <c r="S1742">
        <f>IFERROR(INDEX(PP_Grid[#Data],$DE1742,16),0)</f>
        <v/>
      </c>
      <c r="T1742">
        <f>IFERROR(INDEX(PP_Grid[#Data],$DE1742,17),0)</f>
        <v/>
      </c>
      <c r="U1742">
        <f>IFERROR(INDEX(PP_Grid[#Data],$DE1742,18),0)</f>
        <v/>
      </c>
      <c r="V1742">
        <f>IFERROR(INDEX(PP_Grid[#Data],$DE1742,19),0)</f>
        <v/>
      </c>
      <c r="W1742">
        <f>IFERROR(INDEX(PP_Grid[#Data],$DE1742,20),0)</f>
        <v/>
      </c>
      <c r="X1742">
        <f>IFERROR(INDEX(PP_Grid[#Data],$DE1742,21),0)</f>
        <v/>
      </c>
      <c r="Y1742">
        <f>IFERROR(INDEX(PP_Grid[#Data],$DE1742,22),0)</f>
        <v/>
      </c>
      <c r="Z1742">
        <f>IFERROR(INDEX(PP_Grid[#Data],$DE1742,23),0)</f>
        <v/>
      </c>
      <c r="AA1742">
        <f>IFERROR(INDEX(PP_Grid[#Data],$DE1742,24),0)</f>
        <v/>
      </c>
      <c r="AB1742">
        <f>IFERROR(INDEX(PP_Grid[#Data],$DE1742,25),0)</f>
        <v/>
      </c>
      <c r="AC1742">
        <f>IFERROR(INDEX(PP_Grid[#Data],$DE1742,26),0)</f>
        <v/>
      </c>
      <c r="AD1742">
        <f>IFERROR(INDEX(PP_Grid[#Data],$DE1742,27),0)</f>
        <v/>
      </c>
      <c r="AE1742">
        <f>IFERROR(INDEX(PP_Grid[#Data],$DE1742,28),0)</f>
        <v/>
      </c>
      <c r="AF1742">
        <f>IFERROR(INDEX(PP_Grid[#Data],$DE1742,29),0)</f>
        <v/>
      </c>
      <c r="AG1742">
        <f>IFERROR(INDEX(PP_Grid[#Data],$DE1742,30),0)</f>
        <v/>
      </c>
      <c r="AH1742">
        <f>IFERROR(INDEX(PP_Grid[#Data],$DE1742,31),0)</f>
        <v/>
      </c>
      <c r="AI1742">
        <f>IFERROR(INDEX(PP_Grid[#Data],$DE1742,32),0)</f>
        <v/>
      </c>
      <c r="AJ1742">
        <f>IFERROR(INDEX(PP_Grid[#Data],$DE1742,33),0)</f>
        <v/>
      </c>
      <c r="AK1742">
        <f>IFERROR(INDEX(PP_Grid[#Data],$DE1742,34),0)</f>
        <v/>
      </c>
      <c r="AL1742">
        <f>IFERROR(INDEX(PP_Grid[#Data],$DE1742,35),0)</f>
        <v/>
      </c>
      <c r="AM1742">
        <f>IFERROR(INDEX(PP_Grid[#Data],$DE1742,36),0)</f>
        <v/>
      </c>
      <c r="AN1742">
        <f>IFERROR(INDEX(PP_Grid[#Data],$DE1742,37),0)</f>
        <v/>
      </c>
      <c r="AO1742">
        <f>IFERROR(INDEX(PP_Grid[#Data],$DE1742,38),0)</f>
        <v/>
      </c>
      <c r="AP1742">
        <f>IFERROR(INDEX(PP_Grid[#Data],$DE1742,39),0)</f>
        <v/>
      </c>
      <c r="AQ1742">
        <f>IFERROR(INDEX(PP_Grid[#Data],$DE1742,40),0)</f>
        <v/>
      </c>
      <c r="AR1742">
        <f>IFERROR(INDEX(PP_Grid[#Data],$DE1742,41),0)</f>
        <v/>
      </c>
      <c r="AS1742">
        <f>IFERROR(INDEX(PP_Grid[#Data],$DE1742,42),0)</f>
        <v/>
      </c>
      <c r="AT1742">
        <f>IFERROR(INDEX(PP_Grid[#Data],$DE1742,43),0)</f>
        <v/>
      </c>
      <c r="AU1742">
        <f>IFERROR(INDEX(PP_Grid[#Data],$DE1742,44),0)</f>
        <v/>
      </c>
      <c r="AV1742">
        <f>IFERROR(INDEX(PP_Grid[#Data],$DE1742,45),0)</f>
        <v/>
      </c>
      <c r="AW1742">
        <f>IFERROR(INDEX(PP_Grid[#Data],$DE1742,46),0)</f>
        <v/>
      </c>
      <c r="AX1742">
        <f>IFERROR(INDEX(PP_Grid[#Data],$DE1742,47),0)</f>
        <v/>
      </c>
      <c r="AY1742">
        <f>IFERROR(INDEX(PP_Grid[#Data],$DE1742,48),0)</f>
        <v/>
      </c>
      <c r="AZ1742">
        <f>IFERROR(INDEX(PP_Grid[#Data],$DE1742,49),0)</f>
        <v/>
      </c>
      <c r="BA1742">
        <f>IFERROR(INDEX(PP_Grid[#Data],$DE1742,50),0)</f>
        <v/>
      </c>
      <c r="BB1742">
        <f>IFERROR(INDEX(PP_Grid[#Data],$DE1742,51),0)</f>
        <v/>
      </c>
      <c r="BC1742">
        <f>IFERROR(INDEX(PP_Grid[#Data],$DE1742,52),0)</f>
        <v/>
      </c>
      <c r="BD1742">
        <f>IFERROR(INDEX(PP_Grid[#Data],$DE1742,53),0)</f>
        <v/>
      </c>
      <c r="BE1742">
        <f>IFERROR(INDEX(PP_Grid[#Data],$DE1742,54),0)</f>
        <v/>
      </c>
      <c r="BF1742">
        <f>IFERROR(INDEX(PP_Grid[#Data],$DE1742,55),0)</f>
        <v/>
      </c>
      <c r="BG1742">
        <f>IFERROR(INDEX(PP_Grid[#Data],$DE1742,56),0)</f>
        <v/>
      </c>
      <c r="BH1742">
        <f>IFERROR(INDEX(PP_Grid[#Data],$DE1742,57),0)</f>
        <v/>
      </c>
      <c r="BI1742">
        <f>IFERROR(INDEX(PP_Grid[#Data],$DE1742,58),0)</f>
        <v/>
      </c>
      <c r="BJ1742">
        <f>IFERROR(INDEX(PP_Grid[#Data],$DE1742,59),0)</f>
        <v/>
      </c>
      <c r="BK1742">
        <f>IFERROR(INDEX(PP_Grid[#Data],$DE1742,60),0)</f>
        <v/>
      </c>
      <c r="BL1742">
        <f>IFERROR(INDEX(PP_Grid[#Data],$DE1742,61),0)</f>
        <v/>
      </c>
      <c r="BM1742">
        <f>IFERROR(INDEX(PP_Grid[#Data],$DE1742,62),0)</f>
        <v/>
      </c>
      <c r="BN1742">
        <f>IFERROR(INDEX(PP_Grid[#Data],$DE1742,63),0)</f>
        <v/>
      </c>
      <c r="BO1742">
        <f>IFERROR(INDEX(PP_Grid[#Data],$DE1742,64),0)</f>
        <v/>
      </c>
      <c r="BP1742">
        <f>IFERROR(INDEX(PP_Grid[#Data],$DE1742,65),0)</f>
        <v/>
      </c>
      <c r="BQ1742">
        <f>IFERROR(INDEX(PP_Grid[#Data],$DE1742,66),0)</f>
        <v/>
      </c>
      <c r="BR1742">
        <f>IFERROR(INDEX(PP_Grid[#Data],$DE1742,67),0)</f>
        <v/>
      </c>
      <c r="BS1742">
        <f>IFERROR(INDEX(PP_Grid[#Data],$DE1742,68),0)</f>
        <v/>
      </c>
      <c r="BT1742">
        <f>IFERROR(INDEX(PP_Grid[#Data],$DE1742,69),0)</f>
        <v/>
      </c>
      <c r="BU1742">
        <f>IFERROR(INDEX(PP_Grid[#Data],$DE1742,70),0)</f>
        <v/>
      </c>
      <c r="BV1742">
        <f>IFERROR(INDEX(PP_Grid[#Data],$DE1742,71),0)</f>
        <v/>
      </c>
      <c r="BW1742">
        <f>IFERROR(INDEX(PP_Grid[#Data],$DE1742,72),0)</f>
        <v/>
      </c>
      <c r="BX1742">
        <f>IFERROR(INDEX(PP_Grid[#Data],$DE1742,73),0)</f>
        <v/>
      </c>
      <c r="BY1742">
        <f>IFERROR(INDEX(PP_Grid[#Data],$DE1742,74),0)</f>
        <v/>
      </c>
      <c r="BZ1742">
        <f>IFERROR(INDEX(PP_Grid[#Data],$DE1742,75),0)</f>
        <v/>
      </c>
      <c r="CA1742">
        <f>IFERROR(INDEX(PP_Grid[#Data],$DE1742,76),0)</f>
        <v/>
      </c>
      <c r="CB1742">
        <f>IFERROR(INDEX(PP_Grid[#Data],$DE1742,77),0)</f>
        <v/>
      </c>
      <c r="CC1742">
        <f>IFERROR(INDEX(PP_Grid[#Data],$DE1742,78),0)</f>
        <v/>
      </c>
      <c r="CD1742">
        <f>IFERROR(INDEX(PP_Grid[#Data],$DE1742,79),0)</f>
        <v/>
      </c>
      <c r="CE1742">
        <f>IFERROR(INDEX(PP_Grid[#Data],$DE1742,80),0)</f>
        <v/>
      </c>
      <c r="CF1742">
        <f>IFERROR(INDEX(PP_Grid[#Data],$DE1742,81),0)</f>
        <v/>
      </c>
      <c r="CG1742">
        <f>IFERROR(INDEX(PP_Grid[#Data],$DE1742,82),0)</f>
        <v/>
      </c>
      <c r="CH1742">
        <f>IFERROR(INDEX(PP_Grid[#Data],$DE1742,83),0)</f>
        <v/>
      </c>
      <c r="CI1742">
        <f>IFERROR(INDEX(PP_Grid[#Data],$DE1742,84),0)</f>
        <v/>
      </c>
      <c r="CJ1742">
        <f>IFERROR(INDEX(PP_Grid[#Data],$DE1742,85),0)</f>
        <v/>
      </c>
      <c r="CK1742">
        <f>IFERROR(INDEX(PP_Grid[#Data],$DE1742,86),0)</f>
        <v/>
      </c>
      <c r="CL1742">
        <f>IFERROR(INDEX(PP_Grid[#Data],$DE1742,87),0)</f>
        <v/>
      </c>
      <c r="CM1742">
        <f>IFERROR(INDEX(PP_Grid[#Data],$DE1742,88),0)</f>
        <v/>
      </c>
      <c r="CN1742">
        <f>IFERROR(INDEX(PP_Grid[#Data],$DE1742,89),0)</f>
        <v/>
      </c>
      <c r="CO1742">
        <f>IFERROR(INDEX(PP_Grid[#Data],$DE1742,90),0)</f>
        <v/>
      </c>
      <c r="CP1742">
        <f>IFERROR(INDEX(PP_Grid[#Data],$DE1742,91),0)</f>
        <v/>
      </c>
      <c r="CQ1742">
        <f>IFERROR(INDEX(PP_Grid[#Data],$DE1742,92),0)</f>
        <v/>
      </c>
      <c r="CR1742">
        <f>IFERROR(INDEX(PP_Grid[#Data],$DE1742,93),0)</f>
        <v/>
      </c>
      <c r="CS1742">
        <f>IFERROR(INDEX(PP_Grid[#Data],$DE1742,94),0)</f>
        <v/>
      </c>
      <c r="CT1742">
        <f>IFERROR(INDEX(PP_Grid[#Data],$DE1742,95),0)</f>
        <v/>
      </c>
      <c r="CU1742">
        <f>IFERROR(INDEX(PP_Grid[#Data],$DE1742,96),0)</f>
        <v/>
      </c>
      <c r="CV1742">
        <f>IFERROR(INDEX(PP_Grid[#Data],$DE1742,97),0)</f>
        <v/>
      </c>
      <c r="CW1742">
        <f>IFERROR(INDEX(PP_Grid[#Data],$DE1742,98),0)</f>
        <v/>
      </c>
      <c r="CX1742">
        <f>IFERROR(INDEX(PP_Grid[#Data],$DE1742,99),0)</f>
        <v/>
      </c>
      <c r="CY1742">
        <f>IFERROR(INDEX(PP_Grid[#Data],$DE1742,100),0)</f>
        <v/>
      </c>
      <c r="CZ1742">
        <f>IFERROR(INDEX(PP_Grid[#Data],$DE1742,101),0)</f>
        <v/>
      </c>
      <c r="DA1742">
        <f>IFERROR(INDEX(PP_Grid[#Data],$DE1742,102),0)</f>
        <v/>
      </c>
      <c r="DB1742">
        <f>IFERROR(INDEX(PP_Grid[#Data],$DE1742,103),0)</f>
        <v/>
      </c>
      <c r="DC1742">
        <f>IFERROR(INDEX(PP_Grid[#Data],$DE1742,104),0)</f>
        <v/>
      </c>
      <c r="DD1742">
        <f>IFERROR(INDEX(PP_Grid[#Data],$DE1742,105),0)</f>
        <v/>
      </c>
      <c r="DE1742" s="7">
        <f>IFERROR(MATCH($B1742,PP_Grid[Intermediate],0),99999)</f>
        <v/>
      </c>
    </row>
    <row r="1743">
      <c r="B1743" t="inlineStr">
        <is>
          <t>使用量(kg)</t>
        </is>
      </c>
      <c r="C1743">
        <f>SUMIFS(M_BOM[RM_Qty_Per_Batch],M_BOM[Intermediate],$B1742,M_BOM[RM_Code],$A1741)</f>
        <v/>
      </c>
      <c r="D1743">
        <f>IFERROR(INDEX(E1743:DD1743,$F$1),"")</f>
        <v/>
      </c>
      <c r="E1743">
        <f>$C1743*E1742</f>
        <v/>
      </c>
      <c r="F1743">
        <f>$C1743*F1742</f>
        <v/>
      </c>
      <c r="G1743">
        <f>$C1743*G1742</f>
        <v/>
      </c>
      <c r="H1743">
        <f>$C1743*H1742</f>
        <v/>
      </c>
      <c r="I1743">
        <f>$C1743*I1742</f>
        <v/>
      </c>
      <c r="J1743">
        <f>$C1743*J1742</f>
        <v/>
      </c>
      <c r="K1743">
        <f>$C1743*K1742</f>
        <v/>
      </c>
      <c r="L1743">
        <f>$C1743*L1742</f>
        <v/>
      </c>
      <c r="M1743">
        <f>$C1743*M1742</f>
        <v/>
      </c>
      <c r="N1743">
        <f>$C1743*N1742</f>
        <v/>
      </c>
      <c r="O1743">
        <f>$C1743*O1742</f>
        <v/>
      </c>
      <c r="P1743">
        <f>$C1743*P1742</f>
        <v/>
      </c>
      <c r="Q1743">
        <f>$C1743*Q1742</f>
        <v/>
      </c>
      <c r="R1743">
        <f>$C1743*R1742</f>
        <v/>
      </c>
      <c r="S1743">
        <f>$C1743*S1742</f>
        <v/>
      </c>
      <c r="T1743">
        <f>$C1743*T1742</f>
        <v/>
      </c>
      <c r="U1743">
        <f>$C1743*U1742</f>
        <v/>
      </c>
      <c r="V1743">
        <f>$C1743*V1742</f>
        <v/>
      </c>
      <c r="W1743">
        <f>$C1743*W1742</f>
        <v/>
      </c>
      <c r="X1743">
        <f>$C1743*X1742</f>
        <v/>
      </c>
      <c r="Y1743">
        <f>$C1743*Y1742</f>
        <v/>
      </c>
      <c r="Z1743">
        <f>$C1743*Z1742</f>
        <v/>
      </c>
      <c r="AA1743">
        <f>$C1743*AA1742</f>
        <v/>
      </c>
      <c r="AB1743">
        <f>$C1743*AB1742</f>
        <v/>
      </c>
      <c r="AC1743">
        <f>$C1743*AC1742</f>
        <v/>
      </c>
      <c r="AD1743">
        <f>$C1743*AD1742</f>
        <v/>
      </c>
      <c r="AE1743">
        <f>$C1743*AE1742</f>
        <v/>
      </c>
      <c r="AF1743">
        <f>$C1743*AF1742</f>
        <v/>
      </c>
      <c r="AG1743">
        <f>$C1743*AG1742</f>
        <v/>
      </c>
      <c r="AH1743">
        <f>$C1743*AH1742</f>
        <v/>
      </c>
      <c r="AI1743">
        <f>$C1743*AI1742</f>
        <v/>
      </c>
      <c r="AJ1743">
        <f>$C1743*AJ1742</f>
        <v/>
      </c>
      <c r="AK1743">
        <f>$C1743*AK1742</f>
        <v/>
      </c>
      <c r="AL1743">
        <f>$C1743*AL1742</f>
        <v/>
      </c>
      <c r="AM1743">
        <f>$C1743*AM1742</f>
        <v/>
      </c>
      <c r="AN1743">
        <f>$C1743*AN1742</f>
        <v/>
      </c>
      <c r="AO1743">
        <f>$C1743*AO1742</f>
        <v/>
      </c>
      <c r="AP1743">
        <f>$C1743*AP1742</f>
        <v/>
      </c>
      <c r="AQ1743">
        <f>$C1743*AQ1742</f>
        <v/>
      </c>
      <c r="AR1743">
        <f>$C1743*AR1742</f>
        <v/>
      </c>
      <c r="AS1743">
        <f>$C1743*AS1742</f>
        <v/>
      </c>
      <c r="AT1743">
        <f>$C1743*AT1742</f>
        <v/>
      </c>
      <c r="AU1743">
        <f>$C1743*AU1742</f>
        <v/>
      </c>
      <c r="AV1743">
        <f>$C1743*AV1742</f>
        <v/>
      </c>
      <c r="AW1743">
        <f>$C1743*AW1742</f>
        <v/>
      </c>
      <c r="AX1743">
        <f>$C1743*AX1742</f>
        <v/>
      </c>
      <c r="AY1743">
        <f>$C1743*AY1742</f>
        <v/>
      </c>
      <c r="AZ1743">
        <f>$C1743*AZ1742</f>
        <v/>
      </c>
      <c r="BA1743">
        <f>$C1743*BA1742</f>
        <v/>
      </c>
      <c r="BB1743">
        <f>$C1743*BB1742</f>
        <v/>
      </c>
      <c r="BC1743">
        <f>$C1743*BC1742</f>
        <v/>
      </c>
      <c r="BD1743">
        <f>$C1743*BD1742</f>
        <v/>
      </c>
      <c r="BE1743">
        <f>$C1743*BE1742</f>
        <v/>
      </c>
      <c r="BF1743">
        <f>$C1743*BF1742</f>
        <v/>
      </c>
      <c r="BG1743">
        <f>$C1743*BG1742</f>
        <v/>
      </c>
      <c r="BH1743">
        <f>$C1743*BH1742</f>
        <v/>
      </c>
      <c r="BI1743">
        <f>$C1743*BI1742</f>
        <v/>
      </c>
      <c r="BJ1743">
        <f>$C1743*BJ1742</f>
        <v/>
      </c>
      <c r="BK1743">
        <f>$C1743*BK1742</f>
        <v/>
      </c>
      <c r="BL1743">
        <f>$C1743*BL1742</f>
        <v/>
      </c>
      <c r="BM1743">
        <f>$C1743*BM1742</f>
        <v/>
      </c>
      <c r="BN1743">
        <f>$C1743*BN1742</f>
        <v/>
      </c>
      <c r="BO1743">
        <f>$C1743*BO1742</f>
        <v/>
      </c>
      <c r="BP1743">
        <f>$C1743*BP1742</f>
        <v/>
      </c>
      <c r="BQ1743">
        <f>$C1743*BQ1742</f>
        <v/>
      </c>
      <c r="BR1743">
        <f>$C1743*BR1742</f>
        <v/>
      </c>
      <c r="BS1743">
        <f>$C1743*BS1742</f>
        <v/>
      </c>
      <c r="BT1743">
        <f>$C1743*BT1742</f>
        <v/>
      </c>
      <c r="BU1743">
        <f>$C1743*BU1742</f>
        <v/>
      </c>
      <c r="BV1743">
        <f>$C1743*BV1742</f>
        <v/>
      </c>
      <c r="BW1743">
        <f>$C1743*BW1742</f>
        <v/>
      </c>
      <c r="BX1743">
        <f>$C1743*BX1742</f>
        <v/>
      </c>
      <c r="BY1743">
        <f>$C1743*BY1742</f>
        <v/>
      </c>
      <c r="BZ1743">
        <f>$C1743*BZ1742</f>
        <v/>
      </c>
      <c r="CA1743">
        <f>$C1743*CA1742</f>
        <v/>
      </c>
      <c r="CB1743">
        <f>$C1743*CB1742</f>
        <v/>
      </c>
      <c r="CC1743">
        <f>$C1743*CC1742</f>
        <v/>
      </c>
      <c r="CD1743">
        <f>$C1743*CD1742</f>
        <v/>
      </c>
      <c r="CE1743">
        <f>$C1743*CE1742</f>
        <v/>
      </c>
      <c r="CF1743">
        <f>$C1743*CF1742</f>
        <v/>
      </c>
      <c r="CG1743">
        <f>$C1743*CG1742</f>
        <v/>
      </c>
      <c r="CH1743">
        <f>$C1743*CH1742</f>
        <v/>
      </c>
      <c r="CI1743">
        <f>$C1743*CI1742</f>
        <v/>
      </c>
      <c r="CJ1743">
        <f>$C1743*CJ1742</f>
        <v/>
      </c>
      <c r="CK1743">
        <f>$C1743*CK1742</f>
        <v/>
      </c>
      <c r="CL1743">
        <f>$C1743*CL1742</f>
        <v/>
      </c>
      <c r="CM1743">
        <f>$C1743*CM1742</f>
        <v/>
      </c>
      <c r="CN1743">
        <f>$C1743*CN1742</f>
        <v/>
      </c>
      <c r="CO1743">
        <f>$C1743*CO1742</f>
        <v/>
      </c>
      <c r="CP1743">
        <f>$C1743*CP1742</f>
        <v/>
      </c>
      <c r="CQ1743">
        <f>$C1743*CQ1742</f>
        <v/>
      </c>
      <c r="CR1743">
        <f>$C1743*CR1742</f>
        <v/>
      </c>
      <c r="CS1743">
        <f>$C1743*CS1742</f>
        <v/>
      </c>
      <c r="CT1743">
        <f>$C1743*CT1742</f>
        <v/>
      </c>
      <c r="CU1743">
        <f>$C1743*CU1742</f>
        <v/>
      </c>
      <c r="CV1743">
        <f>$C1743*CV1742</f>
        <v/>
      </c>
      <c r="CW1743">
        <f>$C1743*CW1742</f>
        <v/>
      </c>
      <c r="CX1743">
        <f>$C1743*CX1742</f>
        <v/>
      </c>
      <c r="CY1743">
        <f>$C1743*CY1742</f>
        <v/>
      </c>
      <c r="CZ1743">
        <f>$C1743*CZ1742</f>
        <v/>
      </c>
      <c r="DA1743">
        <f>$C1743*DA1742</f>
        <v/>
      </c>
      <c r="DB1743">
        <f>$C1743*DB1742</f>
        <v/>
      </c>
      <c r="DC1743">
        <f>$C1743*DC1742</f>
        <v/>
      </c>
      <c r="DD1743">
        <f>$C1743*DD1742</f>
        <v/>
      </c>
    </row>
    <row r="1744">
      <c r="B1744" t="inlineStr">
        <is>
          <t>TPP-1466</t>
        </is>
      </c>
      <c r="C1744" t="inlineStr">
        <is>
          <t>No. of batches</t>
        </is>
      </c>
      <c r="D1744">
        <f>IFERROR(INDEX(E1744:DD1744,$F$1),"")</f>
        <v/>
      </c>
      <c r="E1744">
        <f>IFERROR(INDEX(PP_Grid[#Data],$DE1744,2),0)</f>
        <v/>
      </c>
      <c r="F1744">
        <f>IFERROR(INDEX(PP_Grid[#Data],$DE1744,3),0)</f>
        <v/>
      </c>
      <c r="G1744">
        <f>IFERROR(INDEX(PP_Grid[#Data],$DE1744,4),0)</f>
        <v/>
      </c>
      <c r="H1744">
        <f>IFERROR(INDEX(PP_Grid[#Data],$DE1744,5),0)</f>
        <v/>
      </c>
      <c r="I1744">
        <f>IFERROR(INDEX(PP_Grid[#Data],$DE1744,6),0)</f>
        <v/>
      </c>
      <c r="J1744">
        <f>IFERROR(INDEX(PP_Grid[#Data],$DE1744,7),0)</f>
        <v/>
      </c>
      <c r="K1744">
        <f>IFERROR(INDEX(PP_Grid[#Data],$DE1744,8),0)</f>
        <v/>
      </c>
      <c r="L1744">
        <f>IFERROR(INDEX(PP_Grid[#Data],$DE1744,9),0)</f>
        <v/>
      </c>
      <c r="M1744">
        <f>IFERROR(INDEX(PP_Grid[#Data],$DE1744,10),0)</f>
        <v/>
      </c>
      <c r="N1744">
        <f>IFERROR(INDEX(PP_Grid[#Data],$DE1744,11),0)</f>
        <v/>
      </c>
      <c r="O1744">
        <f>IFERROR(INDEX(PP_Grid[#Data],$DE1744,12),0)</f>
        <v/>
      </c>
      <c r="P1744">
        <f>IFERROR(INDEX(PP_Grid[#Data],$DE1744,13),0)</f>
        <v/>
      </c>
      <c r="Q1744">
        <f>IFERROR(INDEX(PP_Grid[#Data],$DE1744,14),0)</f>
        <v/>
      </c>
      <c r="R1744">
        <f>IFERROR(INDEX(PP_Grid[#Data],$DE1744,15),0)</f>
        <v/>
      </c>
      <c r="S1744">
        <f>IFERROR(INDEX(PP_Grid[#Data],$DE1744,16),0)</f>
        <v/>
      </c>
      <c r="T1744">
        <f>IFERROR(INDEX(PP_Grid[#Data],$DE1744,17),0)</f>
        <v/>
      </c>
      <c r="U1744">
        <f>IFERROR(INDEX(PP_Grid[#Data],$DE1744,18),0)</f>
        <v/>
      </c>
      <c r="V1744">
        <f>IFERROR(INDEX(PP_Grid[#Data],$DE1744,19),0)</f>
        <v/>
      </c>
      <c r="W1744">
        <f>IFERROR(INDEX(PP_Grid[#Data],$DE1744,20),0)</f>
        <v/>
      </c>
      <c r="X1744">
        <f>IFERROR(INDEX(PP_Grid[#Data],$DE1744,21),0)</f>
        <v/>
      </c>
      <c r="Y1744">
        <f>IFERROR(INDEX(PP_Grid[#Data],$DE1744,22),0)</f>
        <v/>
      </c>
      <c r="Z1744">
        <f>IFERROR(INDEX(PP_Grid[#Data],$DE1744,23),0)</f>
        <v/>
      </c>
      <c r="AA1744">
        <f>IFERROR(INDEX(PP_Grid[#Data],$DE1744,24),0)</f>
        <v/>
      </c>
      <c r="AB1744">
        <f>IFERROR(INDEX(PP_Grid[#Data],$DE1744,25),0)</f>
        <v/>
      </c>
      <c r="AC1744">
        <f>IFERROR(INDEX(PP_Grid[#Data],$DE1744,26),0)</f>
        <v/>
      </c>
      <c r="AD1744">
        <f>IFERROR(INDEX(PP_Grid[#Data],$DE1744,27),0)</f>
        <v/>
      </c>
      <c r="AE1744">
        <f>IFERROR(INDEX(PP_Grid[#Data],$DE1744,28),0)</f>
        <v/>
      </c>
      <c r="AF1744">
        <f>IFERROR(INDEX(PP_Grid[#Data],$DE1744,29),0)</f>
        <v/>
      </c>
      <c r="AG1744">
        <f>IFERROR(INDEX(PP_Grid[#Data],$DE1744,30),0)</f>
        <v/>
      </c>
      <c r="AH1744">
        <f>IFERROR(INDEX(PP_Grid[#Data],$DE1744,31),0)</f>
        <v/>
      </c>
      <c r="AI1744">
        <f>IFERROR(INDEX(PP_Grid[#Data],$DE1744,32),0)</f>
        <v/>
      </c>
      <c r="AJ1744">
        <f>IFERROR(INDEX(PP_Grid[#Data],$DE1744,33),0)</f>
        <v/>
      </c>
      <c r="AK1744">
        <f>IFERROR(INDEX(PP_Grid[#Data],$DE1744,34),0)</f>
        <v/>
      </c>
      <c r="AL1744">
        <f>IFERROR(INDEX(PP_Grid[#Data],$DE1744,35),0)</f>
        <v/>
      </c>
      <c r="AM1744">
        <f>IFERROR(INDEX(PP_Grid[#Data],$DE1744,36),0)</f>
        <v/>
      </c>
      <c r="AN1744">
        <f>IFERROR(INDEX(PP_Grid[#Data],$DE1744,37),0)</f>
        <v/>
      </c>
      <c r="AO1744">
        <f>IFERROR(INDEX(PP_Grid[#Data],$DE1744,38),0)</f>
        <v/>
      </c>
      <c r="AP1744">
        <f>IFERROR(INDEX(PP_Grid[#Data],$DE1744,39),0)</f>
        <v/>
      </c>
      <c r="AQ1744">
        <f>IFERROR(INDEX(PP_Grid[#Data],$DE1744,40),0)</f>
        <v/>
      </c>
      <c r="AR1744">
        <f>IFERROR(INDEX(PP_Grid[#Data],$DE1744,41),0)</f>
        <v/>
      </c>
      <c r="AS1744">
        <f>IFERROR(INDEX(PP_Grid[#Data],$DE1744,42),0)</f>
        <v/>
      </c>
      <c r="AT1744">
        <f>IFERROR(INDEX(PP_Grid[#Data],$DE1744,43),0)</f>
        <v/>
      </c>
      <c r="AU1744">
        <f>IFERROR(INDEX(PP_Grid[#Data],$DE1744,44),0)</f>
        <v/>
      </c>
      <c r="AV1744">
        <f>IFERROR(INDEX(PP_Grid[#Data],$DE1744,45),0)</f>
        <v/>
      </c>
      <c r="AW1744">
        <f>IFERROR(INDEX(PP_Grid[#Data],$DE1744,46),0)</f>
        <v/>
      </c>
      <c r="AX1744">
        <f>IFERROR(INDEX(PP_Grid[#Data],$DE1744,47),0)</f>
        <v/>
      </c>
      <c r="AY1744">
        <f>IFERROR(INDEX(PP_Grid[#Data],$DE1744,48),0)</f>
        <v/>
      </c>
      <c r="AZ1744">
        <f>IFERROR(INDEX(PP_Grid[#Data],$DE1744,49),0)</f>
        <v/>
      </c>
      <c r="BA1744">
        <f>IFERROR(INDEX(PP_Grid[#Data],$DE1744,50),0)</f>
        <v/>
      </c>
      <c r="BB1744">
        <f>IFERROR(INDEX(PP_Grid[#Data],$DE1744,51),0)</f>
        <v/>
      </c>
      <c r="BC1744">
        <f>IFERROR(INDEX(PP_Grid[#Data],$DE1744,52),0)</f>
        <v/>
      </c>
      <c r="BD1744">
        <f>IFERROR(INDEX(PP_Grid[#Data],$DE1744,53),0)</f>
        <v/>
      </c>
      <c r="BE1744">
        <f>IFERROR(INDEX(PP_Grid[#Data],$DE1744,54),0)</f>
        <v/>
      </c>
      <c r="BF1744">
        <f>IFERROR(INDEX(PP_Grid[#Data],$DE1744,55),0)</f>
        <v/>
      </c>
      <c r="BG1744">
        <f>IFERROR(INDEX(PP_Grid[#Data],$DE1744,56),0)</f>
        <v/>
      </c>
      <c r="BH1744">
        <f>IFERROR(INDEX(PP_Grid[#Data],$DE1744,57),0)</f>
        <v/>
      </c>
      <c r="BI1744">
        <f>IFERROR(INDEX(PP_Grid[#Data],$DE1744,58),0)</f>
        <v/>
      </c>
      <c r="BJ1744">
        <f>IFERROR(INDEX(PP_Grid[#Data],$DE1744,59),0)</f>
        <v/>
      </c>
      <c r="BK1744">
        <f>IFERROR(INDEX(PP_Grid[#Data],$DE1744,60),0)</f>
        <v/>
      </c>
      <c r="BL1744">
        <f>IFERROR(INDEX(PP_Grid[#Data],$DE1744,61),0)</f>
        <v/>
      </c>
      <c r="BM1744">
        <f>IFERROR(INDEX(PP_Grid[#Data],$DE1744,62),0)</f>
        <v/>
      </c>
      <c r="BN1744">
        <f>IFERROR(INDEX(PP_Grid[#Data],$DE1744,63),0)</f>
        <v/>
      </c>
      <c r="BO1744">
        <f>IFERROR(INDEX(PP_Grid[#Data],$DE1744,64),0)</f>
        <v/>
      </c>
      <c r="BP1744">
        <f>IFERROR(INDEX(PP_Grid[#Data],$DE1744,65),0)</f>
        <v/>
      </c>
      <c r="BQ1744">
        <f>IFERROR(INDEX(PP_Grid[#Data],$DE1744,66),0)</f>
        <v/>
      </c>
      <c r="BR1744">
        <f>IFERROR(INDEX(PP_Grid[#Data],$DE1744,67),0)</f>
        <v/>
      </c>
      <c r="BS1744">
        <f>IFERROR(INDEX(PP_Grid[#Data],$DE1744,68),0)</f>
        <v/>
      </c>
      <c r="BT1744">
        <f>IFERROR(INDEX(PP_Grid[#Data],$DE1744,69),0)</f>
        <v/>
      </c>
      <c r="BU1744">
        <f>IFERROR(INDEX(PP_Grid[#Data],$DE1744,70),0)</f>
        <v/>
      </c>
      <c r="BV1744">
        <f>IFERROR(INDEX(PP_Grid[#Data],$DE1744,71),0)</f>
        <v/>
      </c>
      <c r="BW1744">
        <f>IFERROR(INDEX(PP_Grid[#Data],$DE1744,72),0)</f>
        <v/>
      </c>
      <c r="BX1744">
        <f>IFERROR(INDEX(PP_Grid[#Data],$DE1744,73),0)</f>
        <v/>
      </c>
      <c r="BY1744">
        <f>IFERROR(INDEX(PP_Grid[#Data],$DE1744,74),0)</f>
        <v/>
      </c>
      <c r="BZ1744">
        <f>IFERROR(INDEX(PP_Grid[#Data],$DE1744,75),0)</f>
        <v/>
      </c>
      <c r="CA1744">
        <f>IFERROR(INDEX(PP_Grid[#Data],$DE1744,76),0)</f>
        <v/>
      </c>
      <c r="CB1744">
        <f>IFERROR(INDEX(PP_Grid[#Data],$DE1744,77),0)</f>
        <v/>
      </c>
      <c r="CC1744">
        <f>IFERROR(INDEX(PP_Grid[#Data],$DE1744,78),0)</f>
        <v/>
      </c>
      <c r="CD1744">
        <f>IFERROR(INDEX(PP_Grid[#Data],$DE1744,79),0)</f>
        <v/>
      </c>
      <c r="CE1744">
        <f>IFERROR(INDEX(PP_Grid[#Data],$DE1744,80),0)</f>
        <v/>
      </c>
      <c r="CF1744">
        <f>IFERROR(INDEX(PP_Grid[#Data],$DE1744,81),0)</f>
        <v/>
      </c>
      <c r="CG1744">
        <f>IFERROR(INDEX(PP_Grid[#Data],$DE1744,82),0)</f>
        <v/>
      </c>
      <c r="CH1744">
        <f>IFERROR(INDEX(PP_Grid[#Data],$DE1744,83),0)</f>
        <v/>
      </c>
      <c r="CI1744">
        <f>IFERROR(INDEX(PP_Grid[#Data],$DE1744,84),0)</f>
        <v/>
      </c>
      <c r="CJ1744">
        <f>IFERROR(INDEX(PP_Grid[#Data],$DE1744,85),0)</f>
        <v/>
      </c>
      <c r="CK1744">
        <f>IFERROR(INDEX(PP_Grid[#Data],$DE1744,86),0)</f>
        <v/>
      </c>
      <c r="CL1744">
        <f>IFERROR(INDEX(PP_Grid[#Data],$DE1744,87),0)</f>
        <v/>
      </c>
      <c r="CM1744">
        <f>IFERROR(INDEX(PP_Grid[#Data],$DE1744,88),0)</f>
        <v/>
      </c>
      <c r="CN1744">
        <f>IFERROR(INDEX(PP_Grid[#Data],$DE1744,89),0)</f>
        <v/>
      </c>
      <c r="CO1744">
        <f>IFERROR(INDEX(PP_Grid[#Data],$DE1744,90),0)</f>
        <v/>
      </c>
      <c r="CP1744">
        <f>IFERROR(INDEX(PP_Grid[#Data],$DE1744,91),0)</f>
        <v/>
      </c>
      <c r="CQ1744">
        <f>IFERROR(INDEX(PP_Grid[#Data],$DE1744,92),0)</f>
        <v/>
      </c>
      <c r="CR1744">
        <f>IFERROR(INDEX(PP_Grid[#Data],$DE1744,93),0)</f>
        <v/>
      </c>
      <c r="CS1744">
        <f>IFERROR(INDEX(PP_Grid[#Data],$DE1744,94),0)</f>
        <v/>
      </c>
      <c r="CT1744">
        <f>IFERROR(INDEX(PP_Grid[#Data],$DE1744,95),0)</f>
        <v/>
      </c>
      <c r="CU1744">
        <f>IFERROR(INDEX(PP_Grid[#Data],$DE1744,96),0)</f>
        <v/>
      </c>
      <c r="CV1744">
        <f>IFERROR(INDEX(PP_Grid[#Data],$DE1744,97),0)</f>
        <v/>
      </c>
      <c r="CW1744">
        <f>IFERROR(INDEX(PP_Grid[#Data],$DE1744,98),0)</f>
        <v/>
      </c>
      <c r="CX1744">
        <f>IFERROR(INDEX(PP_Grid[#Data],$DE1744,99),0)</f>
        <v/>
      </c>
      <c r="CY1744">
        <f>IFERROR(INDEX(PP_Grid[#Data],$DE1744,100),0)</f>
        <v/>
      </c>
      <c r="CZ1744">
        <f>IFERROR(INDEX(PP_Grid[#Data],$DE1744,101),0)</f>
        <v/>
      </c>
      <c r="DA1744">
        <f>IFERROR(INDEX(PP_Grid[#Data],$DE1744,102),0)</f>
        <v/>
      </c>
      <c r="DB1744">
        <f>IFERROR(INDEX(PP_Grid[#Data],$DE1744,103),0)</f>
        <v/>
      </c>
      <c r="DC1744">
        <f>IFERROR(INDEX(PP_Grid[#Data],$DE1744,104),0)</f>
        <v/>
      </c>
      <c r="DD1744">
        <f>IFERROR(INDEX(PP_Grid[#Data],$DE1744,105),0)</f>
        <v/>
      </c>
      <c r="DE1744" s="7">
        <f>IFERROR(MATCH($B1744,PP_Grid[Intermediate],0),99999)</f>
        <v/>
      </c>
    </row>
    <row r="1745">
      <c r="B1745" t="inlineStr">
        <is>
          <t>使用量(kg)</t>
        </is>
      </c>
      <c r="C1745">
        <f>SUMIFS(M_BOM[RM_Qty_Per_Batch],M_BOM[Intermediate],$B1744,M_BOM[RM_Code],$A1741)</f>
        <v/>
      </c>
      <c r="D1745">
        <f>IFERROR(INDEX(E1745:DD1745,$F$1),"")</f>
        <v/>
      </c>
      <c r="E1745">
        <f>$C1745*E1744</f>
        <v/>
      </c>
      <c r="F1745">
        <f>$C1745*F1744</f>
        <v/>
      </c>
      <c r="G1745">
        <f>$C1745*G1744</f>
        <v/>
      </c>
      <c r="H1745">
        <f>$C1745*H1744</f>
        <v/>
      </c>
      <c r="I1745">
        <f>$C1745*I1744</f>
        <v/>
      </c>
      <c r="J1745">
        <f>$C1745*J1744</f>
        <v/>
      </c>
      <c r="K1745">
        <f>$C1745*K1744</f>
        <v/>
      </c>
      <c r="L1745">
        <f>$C1745*L1744</f>
        <v/>
      </c>
      <c r="M1745">
        <f>$C1745*M1744</f>
        <v/>
      </c>
      <c r="N1745">
        <f>$C1745*N1744</f>
        <v/>
      </c>
      <c r="O1745">
        <f>$C1745*O1744</f>
        <v/>
      </c>
      <c r="P1745">
        <f>$C1745*P1744</f>
        <v/>
      </c>
      <c r="Q1745">
        <f>$C1745*Q1744</f>
        <v/>
      </c>
      <c r="R1745">
        <f>$C1745*R1744</f>
        <v/>
      </c>
      <c r="S1745">
        <f>$C1745*S1744</f>
        <v/>
      </c>
      <c r="T1745">
        <f>$C1745*T1744</f>
        <v/>
      </c>
      <c r="U1745">
        <f>$C1745*U1744</f>
        <v/>
      </c>
      <c r="V1745">
        <f>$C1745*V1744</f>
        <v/>
      </c>
      <c r="W1745">
        <f>$C1745*W1744</f>
        <v/>
      </c>
      <c r="X1745">
        <f>$C1745*X1744</f>
        <v/>
      </c>
      <c r="Y1745">
        <f>$C1745*Y1744</f>
        <v/>
      </c>
      <c r="Z1745">
        <f>$C1745*Z1744</f>
        <v/>
      </c>
      <c r="AA1745">
        <f>$C1745*AA1744</f>
        <v/>
      </c>
      <c r="AB1745">
        <f>$C1745*AB1744</f>
        <v/>
      </c>
      <c r="AC1745">
        <f>$C1745*AC1744</f>
        <v/>
      </c>
      <c r="AD1745">
        <f>$C1745*AD1744</f>
        <v/>
      </c>
      <c r="AE1745">
        <f>$C1745*AE1744</f>
        <v/>
      </c>
      <c r="AF1745">
        <f>$C1745*AF1744</f>
        <v/>
      </c>
      <c r="AG1745">
        <f>$C1745*AG1744</f>
        <v/>
      </c>
      <c r="AH1745">
        <f>$C1745*AH1744</f>
        <v/>
      </c>
      <c r="AI1745">
        <f>$C1745*AI1744</f>
        <v/>
      </c>
      <c r="AJ1745">
        <f>$C1745*AJ1744</f>
        <v/>
      </c>
      <c r="AK1745">
        <f>$C1745*AK1744</f>
        <v/>
      </c>
      <c r="AL1745">
        <f>$C1745*AL1744</f>
        <v/>
      </c>
      <c r="AM1745">
        <f>$C1745*AM1744</f>
        <v/>
      </c>
      <c r="AN1745">
        <f>$C1745*AN1744</f>
        <v/>
      </c>
      <c r="AO1745">
        <f>$C1745*AO1744</f>
        <v/>
      </c>
      <c r="AP1745">
        <f>$C1745*AP1744</f>
        <v/>
      </c>
      <c r="AQ1745">
        <f>$C1745*AQ1744</f>
        <v/>
      </c>
      <c r="AR1745">
        <f>$C1745*AR1744</f>
        <v/>
      </c>
      <c r="AS1745">
        <f>$C1745*AS1744</f>
        <v/>
      </c>
      <c r="AT1745">
        <f>$C1745*AT1744</f>
        <v/>
      </c>
      <c r="AU1745">
        <f>$C1745*AU1744</f>
        <v/>
      </c>
      <c r="AV1745">
        <f>$C1745*AV1744</f>
        <v/>
      </c>
      <c r="AW1745">
        <f>$C1745*AW1744</f>
        <v/>
      </c>
      <c r="AX1745">
        <f>$C1745*AX1744</f>
        <v/>
      </c>
      <c r="AY1745">
        <f>$C1745*AY1744</f>
        <v/>
      </c>
      <c r="AZ1745">
        <f>$C1745*AZ1744</f>
        <v/>
      </c>
      <c r="BA1745">
        <f>$C1745*BA1744</f>
        <v/>
      </c>
      <c r="BB1745">
        <f>$C1745*BB1744</f>
        <v/>
      </c>
      <c r="BC1745">
        <f>$C1745*BC1744</f>
        <v/>
      </c>
      <c r="BD1745">
        <f>$C1745*BD1744</f>
        <v/>
      </c>
      <c r="BE1745">
        <f>$C1745*BE1744</f>
        <v/>
      </c>
      <c r="BF1745">
        <f>$C1745*BF1744</f>
        <v/>
      </c>
      <c r="BG1745">
        <f>$C1745*BG1744</f>
        <v/>
      </c>
      <c r="BH1745">
        <f>$C1745*BH1744</f>
        <v/>
      </c>
      <c r="BI1745">
        <f>$C1745*BI1744</f>
        <v/>
      </c>
      <c r="BJ1745">
        <f>$C1745*BJ1744</f>
        <v/>
      </c>
      <c r="BK1745">
        <f>$C1745*BK1744</f>
        <v/>
      </c>
      <c r="BL1745">
        <f>$C1745*BL1744</f>
        <v/>
      </c>
      <c r="BM1745">
        <f>$C1745*BM1744</f>
        <v/>
      </c>
      <c r="BN1745">
        <f>$C1745*BN1744</f>
        <v/>
      </c>
      <c r="BO1745">
        <f>$C1745*BO1744</f>
        <v/>
      </c>
      <c r="BP1745">
        <f>$C1745*BP1744</f>
        <v/>
      </c>
      <c r="BQ1745">
        <f>$C1745*BQ1744</f>
        <v/>
      </c>
      <c r="BR1745">
        <f>$C1745*BR1744</f>
        <v/>
      </c>
      <c r="BS1745">
        <f>$C1745*BS1744</f>
        <v/>
      </c>
      <c r="BT1745">
        <f>$C1745*BT1744</f>
        <v/>
      </c>
      <c r="BU1745">
        <f>$C1745*BU1744</f>
        <v/>
      </c>
      <c r="BV1745">
        <f>$C1745*BV1744</f>
        <v/>
      </c>
      <c r="BW1745">
        <f>$C1745*BW1744</f>
        <v/>
      </c>
      <c r="BX1745">
        <f>$C1745*BX1744</f>
        <v/>
      </c>
      <c r="BY1745">
        <f>$C1745*BY1744</f>
        <v/>
      </c>
      <c r="BZ1745">
        <f>$C1745*BZ1744</f>
        <v/>
      </c>
      <c r="CA1745">
        <f>$C1745*CA1744</f>
        <v/>
      </c>
      <c r="CB1745">
        <f>$C1745*CB1744</f>
        <v/>
      </c>
      <c r="CC1745">
        <f>$C1745*CC1744</f>
        <v/>
      </c>
      <c r="CD1745">
        <f>$C1745*CD1744</f>
        <v/>
      </c>
      <c r="CE1745">
        <f>$C1745*CE1744</f>
        <v/>
      </c>
      <c r="CF1745">
        <f>$C1745*CF1744</f>
        <v/>
      </c>
      <c r="CG1745">
        <f>$C1745*CG1744</f>
        <v/>
      </c>
      <c r="CH1745">
        <f>$C1745*CH1744</f>
        <v/>
      </c>
      <c r="CI1745">
        <f>$C1745*CI1744</f>
        <v/>
      </c>
      <c r="CJ1745">
        <f>$C1745*CJ1744</f>
        <v/>
      </c>
      <c r="CK1745">
        <f>$C1745*CK1744</f>
        <v/>
      </c>
      <c r="CL1745">
        <f>$C1745*CL1744</f>
        <v/>
      </c>
      <c r="CM1745">
        <f>$C1745*CM1744</f>
        <v/>
      </c>
      <c r="CN1745">
        <f>$C1745*CN1744</f>
        <v/>
      </c>
      <c r="CO1745">
        <f>$C1745*CO1744</f>
        <v/>
      </c>
      <c r="CP1745">
        <f>$C1745*CP1744</f>
        <v/>
      </c>
      <c r="CQ1745">
        <f>$C1745*CQ1744</f>
        <v/>
      </c>
      <c r="CR1745">
        <f>$C1745*CR1744</f>
        <v/>
      </c>
      <c r="CS1745">
        <f>$C1745*CS1744</f>
        <v/>
      </c>
      <c r="CT1745">
        <f>$C1745*CT1744</f>
        <v/>
      </c>
      <c r="CU1745">
        <f>$C1745*CU1744</f>
        <v/>
      </c>
      <c r="CV1745">
        <f>$C1745*CV1744</f>
        <v/>
      </c>
      <c r="CW1745">
        <f>$C1745*CW1744</f>
        <v/>
      </c>
      <c r="CX1745">
        <f>$C1745*CX1744</f>
        <v/>
      </c>
      <c r="CY1745">
        <f>$C1745*CY1744</f>
        <v/>
      </c>
      <c r="CZ1745">
        <f>$C1745*CZ1744</f>
        <v/>
      </c>
      <c r="DA1745">
        <f>$C1745*DA1744</f>
        <v/>
      </c>
      <c r="DB1745">
        <f>$C1745*DB1744</f>
        <v/>
      </c>
      <c r="DC1745">
        <f>$C1745*DC1744</f>
        <v/>
      </c>
      <c r="DD1745">
        <f>$C1745*DD1744</f>
        <v/>
      </c>
    </row>
    <row r="1746">
      <c r="B1746" t="inlineStr">
        <is>
          <t>TSP-219</t>
        </is>
      </c>
      <c r="C1746" t="inlineStr">
        <is>
          <t>No. of batches</t>
        </is>
      </c>
      <c r="D1746">
        <f>IFERROR(INDEX(E1746:DD1746,$F$1),"")</f>
        <v/>
      </c>
      <c r="E1746">
        <f>IFERROR(INDEX(PP_Grid[#Data],$DE1746,2),0)</f>
        <v/>
      </c>
      <c r="F1746">
        <f>IFERROR(INDEX(PP_Grid[#Data],$DE1746,3),0)</f>
        <v/>
      </c>
      <c r="G1746">
        <f>IFERROR(INDEX(PP_Grid[#Data],$DE1746,4),0)</f>
        <v/>
      </c>
      <c r="H1746">
        <f>IFERROR(INDEX(PP_Grid[#Data],$DE1746,5),0)</f>
        <v/>
      </c>
      <c r="I1746">
        <f>IFERROR(INDEX(PP_Grid[#Data],$DE1746,6),0)</f>
        <v/>
      </c>
      <c r="J1746">
        <f>IFERROR(INDEX(PP_Grid[#Data],$DE1746,7),0)</f>
        <v/>
      </c>
      <c r="K1746">
        <f>IFERROR(INDEX(PP_Grid[#Data],$DE1746,8),0)</f>
        <v/>
      </c>
      <c r="L1746">
        <f>IFERROR(INDEX(PP_Grid[#Data],$DE1746,9),0)</f>
        <v/>
      </c>
      <c r="M1746">
        <f>IFERROR(INDEX(PP_Grid[#Data],$DE1746,10),0)</f>
        <v/>
      </c>
      <c r="N1746">
        <f>IFERROR(INDEX(PP_Grid[#Data],$DE1746,11),0)</f>
        <v/>
      </c>
      <c r="O1746">
        <f>IFERROR(INDEX(PP_Grid[#Data],$DE1746,12),0)</f>
        <v/>
      </c>
      <c r="P1746">
        <f>IFERROR(INDEX(PP_Grid[#Data],$DE1746,13),0)</f>
        <v/>
      </c>
      <c r="Q1746">
        <f>IFERROR(INDEX(PP_Grid[#Data],$DE1746,14),0)</f>
        <v/>
      </c>
      <c r="R1746">
        <f>IFERROR(INDEX(PP_Grid[#Data],$DE1746,15),0)</f>
        <v/>
      </c>
      <c r="S1746">
        <f>IFERROR(INDEX(PP_Grid[#Data],$DE1746,16),0)</f>
        <v/>
      </c>
      <c r="T1746">
        <f>IFERROR(INDEX(PP_Grid[#Data],$DE1746,17),0)</f>
        <v/>
      </c>
      <c r="U1746">
        <f>IFERROR(INDEX(PP_Grid[#Data],$DE1746,18),0)</f>
        <v/>
      </c>
      <c r="V1746">
        <f>IFERROR(INDEX(PP_Grid[#Data],$DE1746,19),0)</f>
        <v/>
      </c>
      <c r="W1746">
        <f>IFERROR(INDEX(PP_Grid[#Data],$DE1746,20),0)</f>
        <v/>
      </c>
      <c r="X1746">
        <f>IFERROR(INDEX(PP_Grid[#Data],$DE1746,21),0)</f>
        <v/>
      </c>
      <c r="Y1746">
        <f>IFERROR(INDEX(PP_Grid[#Data],$DE1746,22),0)</f>
        <v/>
      </c>
      <c r="Z1746">
        <f>IFERROR(INDEX(PP_Grid[#Data],$DE1746,23),0)</f>
        <v/>
      </c>
      <c r="AA1746">
        <f>IFERROR(INDEX(PP_Grid[#Data],$DE1746,24),0)</f>
        <v/>
      </c>
      <c r="AB1746">
        <f>IFERROR(INDEX(PP_Grid[#Data],$DE1746,25),0)</f>
        <v/>
      </c>
      <c r="AC1746">
        <f>IFERROR(INDEX(PP_Grid[#Data],$DE1746,26),0)</f>
        <v/>
      </c>
      <c r="AD1746">
        <f>IFERROR(INDEX(PP_Grid[#Data],$DE1746,27),0)</f>
        <v/>
      </c>
      <c r="AE1746">
        <f>IFERROR(INDEX(PP_Grid[#Data],$DE1746,28),0)</f>
        <v/>
      </c>
      <c r="AF1746">
        <f>IFERROR(INDEX(PP_Grid[#Data],$DE1746,29),0)</f>
        <v/>
      </c>
      <c r="AG1746">
        <f>IFERROR(INDEX(PP_Grid[#Data],$DE1746,30),0)</f>
        <v/>
      </c>
      <c r="AH1746">
        <f>IFERROR(INDEX(PP_Grid[#Data],$DE1746,31),0)</f>
        <v/>
      </c>
      <c r="AI1746">
        <f>IFERROR(INDEX(PP_Grid[#Data],$DE1746,32),0)</f>
        <v/>
      </c>
      <c r="AJ1746">
        <f>IFERROR(INDEX(PP_Grid[#Data],$DE1746,33),0)</f>
        <v/>
      </c>
      <c r="AK1746">
        <f>IFERROR(INDEX(PP_Grid[#Data],$DE1746,34),0)</f>
        <v/>
      </c>
      <c r="AL1746">
        <f>IFERROR(INDEX(PP_Grid[#Data],$DE1746,35),0)</f>
        <v/>
      </c>
      <c r="AM1746">
        <f>IFERROR(INDEX(PP_Grid[#Data],$DE1746,36),0)</f>
        <v/>
      </c>
      <c r="AN1746">
        <f>IFERROR(INDEX(PP_Grid[#Data],$DE1746,37),0)</f>
        <v/>
      </c>
      <c r="AO1746">
        <f>IFERROR(INDEX(PP_Grid[#Data],$DE1746,38),0)</f>
        <v/>
      </c>
      <c r="AP1746">
        <f>IFERROR(INDEX(PP_Grid[#Data],$DE1746,39),0)</f>
        <v/>
      </c>
      <c r="AQ1746">
        <f>IFERROR(INDEX(PP_Grid[#Data],$DE1746,40),0)</f>
        <v/>
      </c>
      <c r="AR1746">
        <f>IFERROR(INDEX(PP_Grid[#Data],$DE1746,41),0)</f>
        <v/>
      </c>
      <c r="AS1746">
        <f>IFERROR(INDEX(PP_Grid[#Data],$DE1746,42),0)</f>
        <v/>
      </c>
      <c r="AT1746">
        <f>IFERROR(INDEX(PP_Grid[#Data],$DE1746,43),0)</f>
        <v/>
      </c>
      <c r="AU1746">
        <f>IFERROR(INDEX(PP_Grid[#Data],$DE1746,44),0)</f>
        <v/>
      </c>
      <c r="AV1746">
        <f>IFERROR(INDEX(PP_Grid[#Data],$DE1746,45),0)</f>
        <v/>
      </c>
      <c r="AW1746">
        <f>IFERROR(INDEX(PP_Grid[#Data],$DE1746,46),0)</f>
        <v/>
      </c>
      <c r="AX1746">
        <f>IFERROR(INDEX(PP_Grid[#Data],$DE1746,47),0)</f>
        <v/>
      </c>
      <c r="AY1746">
        <f>IFERROR(INDEX(PP_Grid[#Data],$DE1746,48),0)</f>
        <v/>
      </c>
      <c r="AZ1746">
        <f>IFERROR(INDEX(PP_Grid[#Data],$DE1746,49),0)</f>
        <v/>
      </c>
      <c r="BA1746">
        <f>IFERROR(INDEX(PP_Grid[#Data],$DE1746,50),0)</f>
        <v/>
      </c>
      <c r="BB1746">
        <f>IFERROR(INDEX(PP_Grid[#Data],$DE1746,51),0)</f>
        <v/>
      </c>
      <c r="BC1746">
        <f>IFERROR(INDEX(PP_Grid[#Data],$DE1746,52),0)</f>
        <v/>
      </c>
      <c r="BD1746">
        <f>IFERROR(INDEX(PP_Grid[#Data],$DE1746,53),0)</f>
        <v/>
      </c>
      <c r="BE1746">
        <f>IFERROR(INDEX(PP_Grid[#Data],$DE1746,54),0)</f>
        <v/>
      </c>
      <c r="BF1746">
        <f>IFERROR(INDEX(PP_Grid[#Data],$DE1746,55),0)</f>
        <v/>
      </c>
      <c r="BG1746">
        <f>IFERROR(INDEX(PP_Grid[#Data],$DE1746,56),0)</f>
        <v/>
      </c>
      <c r="BH1746">
        <f>IFERROR(INDEX(PP_Grid[#Data],$DE1746,57),0)</f>
        <v/>
      </c>
      <c r="BI1746">
        <f>IFERROR(INDEX(PP_Grid[#Data],$DE1746,58),0)</f>
        <v/>
      </c>
      <c r="BJ1746">
        <f>IFERROR(INDEX(PP_Grid[#Data],$DE1746,59),0)</f>
        <v/>
      </c>
      <c r="BK1746">
        <f>IFERROR(INDEX(PP_Grid[#Data],$DE1746,60),0)</f>
        <v/>
      </c>
      <c r="BL1746">
        <f>IFERROR(INDEX(PP_Grid[#Data],$DE1746,61),0)</f>
        <v/>
      </c>
      <c r="BM1746">
        <f>IFERROR(INDEX(PP_Grid[#Data],$DE1746,62),0)</f>
        <v/>
      </c>
      <c r="BN1746">
        <f>IFERROR(INDEX(PP_Grid[#Data],$DE1746,63),0)</f>
        <v/>
      </c>
      <c r="BO1746">
        <f>IFERROR(INDEX(PP_Grid[#Data],$DE1746,64),0)</f>
        <v/>
      </c>
      <c r="BP1746">
        <f>IFERROR(INDEX(PP_Grid[#Data],$DE1746,65),0)</f>
        <v/>
      </c>
      <c r="BQ1746">
        <f>IFERROR(INDEX(PP_Grid[#Data],$DE1746,66),0)</f>
        <v/>
      </c>
      <c r="BR1746">
        <f>IFERROR(INDEX(PP_Grid[#Data],$DE1746,67),0)</f>
        <v/>
      </c>
      <c r="BS1746">
        <f>IFERROR(INDEX(PP_Grid[#Data],$DE1746,68),0)</f>
        <v/>
      </c>
      <c r="BT1746">
        <f>IFERROR(INDEX(PP_Grid[#Data],$DE1746,69),0)</f>
        <v/>
      </c>
      <c r="BU1746">
        <f>IFERROR(INDEX(PP_Grid[#Data],$DE1746,70),0)</f>
        <v/>
      </c>
      <c r="BV1746">
        <f>IFERROR(INDEX(PP_Grid[#Data],$DE1746,71),0)</f>
        <v/>
      </c>
      <c r="BW1746">
        <f>IFERROR(INDEX(PP_Grid[#Data],$DE1746,72),0)</f>
        <v/>
      </c>
      <c r="BX1746">
        <f>IFERROR(INDEX(PP_Grid[#Data],$DE1746,73),0)</f>
        <v/>
      </c>
      <c r="BY1746">
        <f>IFERROR(INDEX(PP_Grid[#Data],$DE1746,74),0)</f>
        <v/>
      </c>
      <c r="BZ1746">
        <f>IFERROR(INDEX(PP_Grid[#Data],$DE1746,75),0)</f>
        <v/>
      </c>
      <c r="CA1746">
        <f>IFERROR(INDEX(PP_Grid[#Data],$DE1746,76),0)</f>
        <v/>
      </c>
      <c r="CB1746">
        <f>IFERROR(INDEX(PP_Grid[#Data],$DE1746,77),0)</f>
        <v/>
      </c>
      <c r="CC1746">
        <f>IFERROR(INDEX(PP_Grid[#Data],$DE1746,78),0)</f>
        <v/>
      </c>
      <c r="CD1746">
        <f>IFERROR(INDEX(PP_Grid[#Data],$DE1746,79),0)</f>
        <v/>
      </c>
      <c r="CE1746">
        <f>IFERROR(INDEX(PP_Grid[#Data],$DE1746,80),0)</f>
        <v/>
      </c>
      <c r="CF1746">
        <f>IFERROR(INDEX(PP_Grid[#Data],$DE1746,81),0)</f>
        <v/>
      </c>
      <c r="CG1746">
        <f>IFERROR(INDEX(PP_Grid[#Data],$DE1746,82),0)</f>
        <v/>
      </c>
      <c r="CH1746">
        <f>IFERROR(INDEX(PP_Grid[#Data],$DE1746,83),0)</f>
        <v/>
      </c>
      <c r="CI1746">
        <f>IFERROR(INDEX(PP_Grid[#Data],$DE1746,84),0)</f>
        <v/>
      </c>
      <c r="CJ1746">
        <f>IFERROR(INDEX(PP_Grid[#Data],$DE1746,85),0)</f>
        <v/>
      </c>
      <c r="CK1746">
        <f>IFERROR(INDEX(PP_Grid[#Data],$DE1746,86),0)</f>
        <v/>
      </c>
      <c r="CL1746">
        <f>IFERROR(INDEX(PP_Grid[#Data],$DE1746,87),0)</f>
        <v/>
      </c>
      <c r="CM1746">
        <f>IFERROR(INDEX(PP_Grid[#Data],$DE1746,88),0)</f>
        <v/>
      </c>
      <c r="CN1746">
        <f>IFERROR(INDEX(PP_Grid[#Data],$DE1746,89),0)</f>
        <v/>
      </c>
      <c r="CO1746">
        <f>IFERROR(INDEX(PP_Grid[#Data],$DE1746,90),0)</f>
        <v/>
      </c>
      <c r="CP1746">
        <f>IFERROR(INDEX(PP_Grid[#Data],$DE1746,91),0)</f>
        <v/>
      </c>
      <c r="CQ1746">
        <f>IFERROR(INDEX(PP_Grid[#Data],$DE1746,92),0)</f>
        <v/>
      </c>
      <c r="CR1746">
        <f>IFERROR(INDEX(PP_Grid[#Data],$DE1746,93),0)</f>
        <v/>
      </c>
      <c r="CS1746">
        <f>IFERROR(INDEX(PP_Grid[#Data],$DE1746,94),0)</f>
        <v/>
      </c>
      <c r="CT1746">
        <f>IFERROR(INDEX(PP_Grid[#Data],$DE1746,95),0)</f>
        <v/>
      </c>
      <c r="CU1746">
        <f>IFERROR(INDEX(PP_Grid[#Data],$DE1746,96),0)</f>
        <v/>
      </c>
      <c r="CV1746">
        <f>IFERROR(INDEX(PP_Grid[#Data],$DE1746,97),0)</f>
        <v/>
      </c>
      <c r="CW1746">
        <f>IFERROR(INDEX(PP_Grid[#Data],$DE1746,98),0)</f>
        <v/>
      </c>
      <c r="CX1746">
        <f>IFERROR(INDEX(PP_Grid[#Data],$DE1746,99),0)</f>
        <v/>
      </c>
      <c r="CY1746">
        <f>IFERROR(INDEX(PP_Grid[#Data],$DE1746,100),0)</f>
        <v/>
      </c>
      <c r="CZ1746">
        <f>IFERROR(INDEX(PP_Grid[#Data],$DE1746,101),0)</f>
        <v/>
      </c>
      <c r="DA1746">
        <f>IFERROR(INDEX(PP_Grid[#Data],$DE1746,102),0)</f>
        <v/>
      </c>
      <c r="DB1746">
        <f>IFERROR(INDEX(PP_Grid[#Data],$DE1746,103),0)</f>
        <v/>
      </c>
      <c r="DC1746">
        <f>IFERROR(INDEX(PP_Grid[#Data],$DE1746,104),0)</f>
        <v/>
      </c>
      <c r="DD1746">
        <f>IFERROR(INDEX(PP_Grid[#Data],$DE1746,105),0)</f>
        <v/>
      </c>
      <c r="DE1746" s="7">
        <f>IFERROR(MATCH($B1746,PP_Grid[Intermediate],0),99999)</f>
        <v/>
      </c>
    </row>
    <row r="1747">
      <c r="B1747" t="inlineStr">
        <is>
          <t>使用量(kg)</t>
        </is>
      </c>
      <c r="C1747">
        <f>SUMIFS(M_BOM[RM_Qty_Per_Batch],M_BOM[Intermediate],$B1746,M_BOM[RM_Code],$A1741)</f>
        <v/>
      </c>
      <c r="D1747">
        <f>IFERROR(INDEX(E1747:DD1747,$F$1),"")</f>
        <v/>
      </c>
      <c r="E1747">
        <f>$C1747*E1746</f>
        <v/>
      </c>
      <c r="F1747">
        <f>$C1747*F1746</f>
        <v/>
      </c>
      <c r="G1747">
        <f>$C1747*G1746</f>
        <v/>
      </c>
      <c r="H1747">
        <f>$C1747*H1746</f>
        <v/>
      </c>
      <c r="I1747">
        <f>$C1747*I1746</f>
        <v/>
      </c>
      <c r="J1747">
        <f>$C1747*J1746</f>
        <v/>
      </c>
      <c r="K1747">
        <f>$C1747*K1746</f>
        <v/>
      </c>
      <c r="L1747">
        <f>$C1747*L1746</f>
        <v/>
      </c>
      <c r="M1747">
        <f>$C1747*M1746</f>
        <v/>
      </c>
      <c r="N1747">
        <f>$C1747*N1746</f>
        <v/>
      </c>
      <c r="O1747">
        <f>$C1747*O1746</f>
        <v/>
      </c>
      <c r="P1747">
        <f>$C1747*P1746</f>
        <v/>
      </c>
      <c r="Q1747">
        <f>$C1747*Q1746</f>
        <v/>
      </c>
      <c r="R1747">
        <f>$C1747*R1746</f>
        <v/>
      </c>
      <c r="S1747">
        <f>$C1747*S1746</f>
        <v/>
      </c>
      <c r="T1747">
        <f>$C1747*T1746</f>
        <v/>
      </c>
      <c r="U1747">
        <f>$C1747*U1746</f>
        <v/>
      </c>
      <c r="V1747">
        <f>$C1747*V1746</f>
        <v/>
      </c>
      <c r="W1747">
        <f>$C1747*W1746</f>
        <v/>
      </c>
      <c r="X1747">
        <f>$C1747*X1746</f>
        <v/>
      </c>
      <c r="Y1747">
        <f>$C1747*Y1746</f>
        <v/>
      </c>
      <c r="Z1747">
        <f>$C1747*Z1746</f>
        <v/>
      </c>
      <c r="AA1747">
        <f>$C1747*AA1746</f>
        <v/>
      </c>
      <c r="AB1747">
        <f>$C1747*AB1746</f>
        <v/>
      </c>
      <c r="AC1747">
        <f>$C1747*AC1746</f>
        <v/>
      </c>
      <c r="AD1747">
        <f>$C1747*AD1746</f>
        <v/>
      </c>
      <c r="AE1747">
        <f>$C1747*AE1746</f>
        <v/>
      </c>
      <c r="AF1747">
        <f>$C1747*AF1746</f>
        <v/>
      </c>
      <c r="AG1747">
        <f>$C1747*AG1746</f>
        <v/>
      </c>
      <c r="AH1747">
        <f>$C1747*AH1746</f>
        <v/>
      </c>
      <c r="AI1747">
        <f>$C1747*AI1746</f>
        <v/>
      </c>
      <c r="AJ1747">
        <f>$C1747*AJ1746</f>
        <v/>
      </c>
      <c r="AK1747">
        <f>$C1747*AK1746</f>
        <v/>
      </c>
      <c r="AL1747">
        <f>$C1747*AL1746</f>
        <v/>
      </c>
      <c r="AM1747">
        <f>$C1747*AM1746</f>
        <v/>
      </c>
      <c r="AN1747">
        <f>$C1747*AN1746</f>
        <v/>
      </c>
      <c r="AO1747">
        <f>$C1747*AO1746</f>
        <v/>
      </c>
      <c r="AP1747">
        <f>$C1747*AP1746</f>
        <v/>
      </c>
      <c r="AQ1747">
        <f>$C1747*AQ1746</f>
        <v/>
      </c>
      <c r="AR1747">
        <f>$C1747*AR1746</f>
        <v/>
      </c>
      <c r="AS1747">
        <f>$C1747*AS1746</f>
        <v/>
      </c>
      <c r="AT1747">
        <f>$C1747*AT1746</f>
        <v/>
      </c>
      <c r="AU1747">
        <f>$C1747*AU1746</f>
        <v/>
      </c>
      <c r="AV1747">
        <f>$C1747*AV1746</f>
        <v/>
      </c>
      <c r="AW1747">
        <f>$C1747*AW1746</f>
        <v/>
      </c>
      <c r="AX1747">
        <f>$C1747*AX1746</f>
        <v/>
      </c>
      <c r="AY1747">
        <f>$C1747*AY1746</f>
        <v/>
      </c>
      <c r="AZ1747">
        <f>$C1747*AZ1746</f>
        <v/>
      </c>
      <c r="BA1747">
        <f>$C1747*BA1746</f>
        <v/>
      </c>
      <c r="BB1747">
        <f>$C1747*BB1746</f>
        <v/>
      </c>
      <c r="BC1747">
        <f>$C1747*BC1746</f>
        <v/>
      </c>
      <c r="BD1747">
        <f>$C1747*BD1746</f>
        <v/>
      </c>
      <c r="BE1747">
        <f>$C1747*BE1746</f>
        <v/>
      </c>
      <c r="BF1747">
        <f>$C1747*BF1746</f>
        <v/>
      </c>
      <c r="BG1747">
        <f>$C1747*BG1746</f>
        <v/>
      </c>
      <c r="BH1747">
        <f>$C1747*BH1746</f>
        <v/>
      </c>
      <c r="BI1747">
        <f>$C1747*BI1746</f>
        <v/>
      </c>
      <c r="BJ1747">
        <f>$C1747*BJ1746</f>
        <v/>
      </c>
      <c r="BK1747">
        <f>$C1747*BK1746</f>
        <v/>
      </c>
      <c r="BL1747">
        <f>$C1747*BL1746</f>
        <v/>
      </c>
      <c r="BM1747">
        <f>$C1747*BM1746</f>
        <v/>
      </c>
      <c r="BN1747">
        <f>$C1747*BN1746</f>
        <v/>
      </c>
      <c r="BO1747">
        <f>$C1747*BO1746</f>
        <v/>
      </c>
      <c r="BP1747">
        <f>$C1747*BP1746</f>
        <v/>
      </c>
      <c r="BQ1747">
        <f>$C1747*BQ1746</f>
        <v/>
      </c>
      <c r="BR1747">
        <f>$C1747*BR1746</f>
        <v/>
      </c>
      <c r="BS1747">
        <f>$C1747*BS1746</f>
        <v/>
      </c>
      <c r="BT1747">
        <f>$C1747*BT1746</f>
        <v/>
      </c>
      <c r="BU1747">
        <f>$C1747*BU1746</f>
        <v/>
      </c>
      <c r="BV1747">
        <f>$C1747*BV1746</f>
        <v/>
      </c>
      <c r="BW1747">
        <f>$C1747*BW1746</f>
        <v/>
      </c>
      <c r="BX1747">
        <f>$C1747*BX1746</f>
        <v/>
      </c>
      <c r="BY1747">
        <f>$C1747*BY1746</f>
        <v/>
      </c>
      <c r="BZ1747">
        <f>$C1747*BZ1746</f>
        <v/>
      </c>
      <c r="CA1747">
        <f>$C1747*CA1746</f>
        <v/>
      </c>
      <c r="CB1747">
        <f>$C1747*CB1746</f>
        <v/>
      </c>
      <c r="CC1747">
        <f>$C1747*CC1746</f>
        <v/>
      </c>
      <c r="CD1747">
        <f>$C1747*CD1746</f>
        <v/>
      </c>
      <c r="CE1747">
        <f>$C1747*CE1746</f>
        <v/>
      </c>
      <c r="CF1747">
        <f>$C1747*CF1746</f>
        <v/>
      </c>
      <c r="CG1747">
        <f>$C1747*CG1746</f>
        <v/>
      </c>
      <c r="CH1747">
        <f>$C1747*CH1746</f>
        <v/>
      </c>
      <c r="CI1747">
        <f>$C1747*CI1746</f>
        <v/>
      </c>
      <c r="CJ1747">
        <f>$C1747*CJ1746</f>
        <v/>
      </c>
      <c r="CK1747">
        <f>$C1747*CK1746</f>
        <v/>
      </c>
      <c r="CL1747">
        <f>$C1747*CL1746</f>
        <v/>
      </c>
      <c r="CM1747">
        <f>$C1747*CM1746</f>
        <v/>
      </c>
      <c r="CN1747">
        <f>$C1747*CN1746</f>
        <v/>
      </c>
      <c r="CO1747">
        <f>$C1747*CO1746</f>
        <v/>
      </c>
      <c r="CP1747">
        <f>$C1747*CP1746</f>
        <v/>
      </c>
      <c r="CQ1747">
        <f>$C1747*CQ1746</f>
        <v/>
      </c>
      <c r="CR1747">
        <f>$C1747*CR1746</f>
        <v/>
      </c>
      <c r="CS1747">
        <f>$C1747*CS1746</f>
        <v/>
      </c>
      <c r="CT1747">
        <f>$C1747*CT1746</f>
        <v/>
      </c>
      <c r="CU1747">
        <f>$C1747*CU1746</f>
        <v/>
      </c>
      <c r="CV1747">
        <f>$C1747*CV1746</f>
        <v/>
      </c>
      <c r="CW1747">
        <f>$C1747*CW1746</f>
        <v/>
      </c>
      <c r="CX1747">
        <f>$C1747*CX1746</f>
        <v/>
      </c>
      <c r="CY1747">
        <f>$C1747*CY1746</f>
        <v/>
      </c>
      <c r="CZ1747">
        <f>$C1747*CZ1746</f>
        <v/>
      </c>
      <c r="DA1747">
        <f>$C1747*DA1746</f>
        <v/>
      </c>
      <c r="DB1747">
        <f>$C1747*DB1746</f>
        <v/>
      </c>
      <c r="DC1747">
        <f>$C1747*DC1746</f>
        <v/>
      </c>
      <c r="DD1747">
        <f>$C1747*DD1746</f>
        <v/>
      </c>
    </row>
    <row r="1748">
      <c r="B1748" s="4" t="inlineStr">
        <is>
          <t>合計使用量(kg)/週</t>
        </is>
      </c>
      <c r="D1748" s="23">
        <f>IFERROR(INDEX(E1748:DD1748,$F$1),"")</f>
        <v/>
      </c>
      <c r="E1748">
        <f>'Grid_Requirement'!B38</f>
        <v/>
      </c>
      <c r="F1748">
        <f>'Grid_Requirement'!C38</f>
        <v/>
      </c>
      <c r="G1748">
        <f>'Grid_Requirement'!D38</f>
        <v/>
      </c>
      <c r="H1748">
        <f>'Grid_Requirement'!E38</f>
        <v/>
      </c>
      <c r="I1748">
        <f>'Grid_Requirement'!F38</f>
        <v/>
      </c>
      <c r="J1748">
        <f>'Grid_Requirement'!G38</f>
        <v/>
      </c>
      <c r="K1748">
        <f>'Grid_Requirement'!H38</f>
        <v/>
      </c>
      <c r="L1748">
        <f>'Grid_Requirement'!I38</f>
        <v/>
      </c>
      <c r="M1748">
        <f>'Grid_Requirement'!J38</f>
        <v/>
      </c>
      <c r="N1748">
        <f>'Grid_Requirement'!K38</f>
        <v/>
      </c>
      <c r="O1748">
        <f>'Grid_Requirement'!L38</f>
        <v/>
      </c>
      <c r="P1748">
        <f>'Grid_Requirement'!M38</f>
        <v/>
      </c>
      <c r="Q1748">
        <f>'Grid_Requirement'!N38</f>
        <v/>
      </c>
      <c r="R1748">
        <f>'Grid_Requirement'!O38</f>
        <v/>
      </c>
      <c r="S1748">
        <f>'Grid_Requirement'!P38</f>
        <v/>
      </c>
      <c r="T1748">
        <f>'Grid_Requirement'!Q38</f>
        <v/>
      </c>
      <c r="U1748">
        <f>'Grid_Requirement'!R38</f>
        <v/>
      </c>
      <c r="V1748">
        <f>'Grid_Requirement'!S38</f>
        <v/>
      </c>
      <c r="W1748">
        <f>'Grid_Requirement'!T38</f>
        <v/>
      </c>
      <c r="X1748">
        <f>'Grid_Requirement'!U38</f>
        <v/>
      </c>
      <c r="Y1748">
        <f>'Grid_Requirement'!V38</f>
        <v/>
      </c>
      <c r="Z1748">
        <f>'Grid_Requirement'!W38</f>
        <v/>
      </c>
      <c r="AA1748">
        <f>'Grid_Requirement'!X38</f>
        <v/>
      </c>
      <c r="AB1748">
        <f>'Grid_Requirement'!Y38</f>
        <v/>
      </c>
      <c r="AC1748">
        <f>'Grid_Requirement'!Z38</f>
        <v/>
      </c>
      <c r="AD1748">
        <f>'Grid_Requirement'!AA38</f>
        <v/>
      </c>
      <c r="AE1748">
        <f>'Grid_Requirement'!AB38</f>
        <v/>
      </c>
      <c r="AF1748">
        <f>'Grid_Requirement'!AC38</f>
        <v/>
      </c>
      <c r="AG1748">
        <f>'Grid_Requirement'!AD38</f>
        <v/>
      </c>
      <c r="AH1748">
        <f>'Grid_Requirement'!AE38</f>
        <v/>
      </c>
      <c r="AI1748">
        <f>'Grid_Requirement'!AF38</f>
        <v/>
      </c>
      <c r="AJ1748">
        <f>'Grid_Requirement'!AG38</f>
        <v/>
      </c>
      <c r="AK1748">
        <f>'Grid_Requirement'!AH38</f>
        <v/>
      </c>
      <c r="AL1748">
        <f>'Grid_Requirement'!AI38</f>
        <v/>
      </c>
      <c r="AM1748">
        <f>'Grid_Requirement'!AJ38</f>
        <v/>
      </c>
      <c r="AN1748">
        <f>'Grid_Requirement'!AK38</f>
        <v/>
      </c>
      <c r="AO1748">
        <f>'Grid_Requirement'!AL38</f>
        <v/>
      </c>
      <c r="AP1748">
        <f>'Grid_Requirement'!AM38</f>
        <v/>
      </c>
      <c r="AQ1748">
        <f>'Grid_Requirement'!AN38</f>
        <v/>
      </c>
      <c r="AR1748">
        <f>'Grid_Requirement'!AO38</f>
        <v/>
      </c>
      <c r="AS1748">
        <f>'Grid_Requirement'!AP38</f>
        <v/>
      </c>
      <c r="AT1748">
        <f>'Grid_Requirement'!AQ38</f>
        <v/>
      </c>
      <c r="AU1748">
        <f>'Grid_Requirement'!AR38</f>
        <v/>
      </c>
      <c r="AV1748">
        <f>'Grid_Requirement'!AS38</f>
        <v/>
      </c>
      <c r="AW1748">
        <f>'Grid_Requirement'!AT38</f>
        <v/>
      </c>
      <c r="AX1748">
        <f>'Grid_Requirement'!AU38</f>
        <v/>
      </c>
      <c r="AY1748">
        <f>'Grid_Requirement'!AV38</f>
        <v/>
      </c>
      <c r="AZ1748">
        <f>'Grid_Requirement'!AW38</f>
        <v/>
      </c>
      <c r="BA1748">
        <f>'Grid_Requirement'!AX38</f>
        <v/>
      </c>
      <c r="BB1748">
        <f>'Grid_Requirement'!AY38</f>
        <v/>
      </c>
      <c r="BC1748">
        <f>'Grid_Requirement'!AZ38</f>
        <v/>
      </c>
      <c r="BD1748">
        <f>'Grid_Requirement'!BA38</f>
        <v/>
      </c>
      <c r="BE1748">
        <f>'Grid_Requirement'!BB38</f>
        <v/>
      </c>
      <c r="BF1748">
        <f>'Grid_Requirement'!BC38</f>
        <v/>
      </c>
      <c r="BG1748">
        <f>'Grid_Requirement'!BD38</f>
        <v/>
      </c>
      <c r="BH1748">
        <f>'Grid_Requirement'!BE38</f>
        <v/>
      </c>
      <c r="BI1748">
        <f>'Grid_Requirement'!BF38</f>
        <v/>
      </c>
      <c r="BJ1748">
        <f>'Grid_Requirement'!BG38</f>
        <v/>
      </c>
      <c r="BK1748">
        <f>'Grid_Requirement'!BH38</f>
        <v/>
      </c>
      <c r="BL1748">
        <f>'Grid_Requirement'!BI38</f>
        <v/>
      </c>
      <c r="BM1748">
        <f>'Grid_Requirement'!BJ38</f>
        <v/>
      </c>
      <c r="BN1748">
        <f>'Grid_Requirement'!BK38</f>
        <v/>
      </c>
      <c r="BO1748">
        <f>'Grid_Requirement'!BL38</f>
        <v/>
      </c>
      <c r="BP1748">
        <f>'Grid_Requirement'!BM38</f>
        <v/>
      </c>
      <c r="BQ1748">
        <f>'Grid_Requirement'!BN38</f>
        <v/>
      </c>
      <c r="BR1748">
        <f>'Grid_Requirement'!BO38</f>
        <v/>
      </c>
      <c r="BS1748">
        <f>'Grid_Requirement'!BP38</f>
        <v/>
      </c>
      <c r="BT1748">
        <f>'Grid_Requirement'!BQ38</f>
        <v/>
      </c>
      <c r="BU1748">
        <f>'Grid_Requirement'!BR38</f>
        <v/>
      </c>
      <c r="BV1748">
        <f>'Grid_Requirement'!BS38</f>
        <v/>
      </c>
      <c r="BW1748">
        <f>'Grid_Requirement'!BT38</f>
        <v/>
      </c>
      <c r="BX1748">
        <f>'Grid_Requirement'!BU38</f>
        <v/>
      </c>
      <c r="BY1748">
        <f>'Grid_Requirement'!BV38</f>
        <v/>
      </c>
      <c r="BZ1748">
        <f>'Grid_Requirement'!BW38</f>
        <v/>
      </c>
      <c r="CA1748">
        <f>'Grid_Requirement'!BX38</f>
        <v/>
      </c>
      <c r="CB1748">
        <f>'Grid_Requirement'!BY38</f>
        <v/>
      </c>
      <c r="CC1748">
        <f>'Grid_Requirement'!BZ38</f>
        <v/>
      </c>
      <c r="CD1748">
        <f>'Grid_Requirement'!CA38</f>
        <v/>
      </c>
      <c r="CE1748">
        <f>'Grid_Requirement'!CB38</f>
        <v/>
      </c>
      <c r="CF1748">
        <f>'Grid_Requirement'!CC38</f>
        <v/>
      </c>
      <c r="CG1748">
        <f>'Grid_Requirement'!CD38</f>
        <v/>
      </c>
      <c r="CH1748">
        <f>'Grid_Requirement'!CE38</f>
        <v/>
      </c>
      <c r="CI1748">
        <f>'Grid_Requirement'!CF38</f>
        <v/>
      </c>
      <c r="CJ1748">
        <f>'Grid_Requirement'!CG38</f>
        <v/>
      </c>
      <c r="CK1748">
        <f>'Grid_Requirement'!CH38</f>
        <v/>
      </c>
      <c r="CL1748">
        <f>'Grid_Requirement'!CI38</f>
        <v/>
      </c>
      <c r="CM1748">
        <f>'Grid_Requirement'!CJ38</f>
        <v/>
      </c>
      <c r="CN1748">
        <f>'Grid_Requirement'!CK38</f>
        <v/>
      </c>
      <c r="CO1748">
        <f>'Grid_Requirement'!CL38</f>
        <v/>
      </c>
      <c r="CP1748">
        <f>'Grid_Requirement'!CM38</f>
        <v/>
      </c>
      <c r="CQ1748">
        <f>'Grid_Requirement'!CN38</f>
        <v/>
      </c>
      <c r="CR1748">
        <f>'Grid_Requirement'!CO38</f>
        <v/>
      </c>
      <c r="CS1748">
        <f>'Grid_Requirement'!CP38</f>
        <v/>
      </c>
      <c r="CT1748">
        <f>'Grid_Requirement'!CQ38</f>
        <v/>
      </c>
      <c r="CU1748">
        <f>'Grid_Requirement'!CR38</f>
        <v/>
      </c>
      <c r="CV1748">
        <f>'Grid_Requirement'!CS38</f>
        <v/>
      </c>
      <c r="CW1748">
        <f>'Grid_Requirement'!CT38</f>
        <v/>
      </c>
      <c r="CX1748">
        <f>'Grid_Requirement'!CU38</f>
        <v/>
      </c>
      <c r="CY1748">
        <f>'Grid_Requirement'!CV38</f>
        <v/>
      </c>
      <c r="CZ1748">
        <f>'Grid_Requirement'!CW38</f>
        <v/>
      </c>
      <c r="DA1748">
        <f>'Grid_Requirement'!CX38</f>
        <v/>
      </c>
      <c r="DB1748">
        <f>'Grid_Requirement'!CY38</f>
        <v/>
      </c>
      <c r="DC1748">
        <f>'Grid_Requirement'!CZ38</f>
        <v/>
      </c>
      <c r="DD1748">
        <f>'Grid_Requirement'!DA38</f>
        <v/>
      </c>
    </row>
    <row r="1749">
      <c r="B1749" t="inlineStr">
        <is>
          <t>TTAF在庫(実績,kg)</t>
        </is>
      </c>
      <c r="D1749">
        <f>IFERROR(INDEX(E1749:DD1749,$F$1),"")</f>
        <v/>
      </c>
      <c r="E1749">
        <f>IFERROR(SUMIFS(T_TTAFStock[TTAF_Qty],T_TTAFStock[RM_Code],$A1741,T_TTAFStock[WeekIndex],1),"")</f>
        <v/>
      </c>
      <c r="F1749">
        <f>IFERROR(SUMIFS(T_TTAFStock[TTAF_Qty],T_TTAFStock[RM_Code],$A1741,T_TTAFStock[WeekIndex],2),"")</f>
        <v/>
      </c>
      <c r="G1749">
        <f>IFERROR(SUMIFS(T_TTAFStock[TTAF_Qty],T_TTAFStock[RM_Code],$A1741,T_TTAFStock[WeekIndex],3),"")</f>
        <v/>
      </c>
      <c r="H1749">
        <f>IFERROR(SUMIFS(T_TTAFStock[TTAF_Qty],T_TTAFStock[RM_Code],$A1741,T_TTAFStock[WeekIndex],4),"")</f>
        <v/>
      </c>
      <c r="I1749">
        <f>IFERROR(SUMIFS(T_TTAFStock[TTAF_Qty],T_TTAFStock[RM_Code],$A1741,T_TTAFStock[WeekIndex],5),"")</f>
        <v/>
      </c>
      <c r="J1749">
        <f>IFERROR(SUMIFS(T_TTAFStock[TTAF_Qty],T_TTAFStock[RM_Code],$A1741,T_TTAFStock[WeekIndex],6),"")</f>
        <v/>
      </c>
      <c r="K1749">
        <f>IFERROR(SUMIFS(T_TTAFStock[TTAF_Qty],T_TTAFStock[RM_Code],$A1741,T_TTAFStock[WeekIndex],7),"")</f>
        <v/>
      </c>
      <c r="L1749">
        <f>IFERROR(SUMIFS(T_TTAFStock[TTAF_Qty],T_TTAFStock[RM_Code],$A1741,T_TTAFStock[WeekIndex],8),"")</f>
        <v/>
      </c>
      <c r="M1749">
        <f>IFERROR(SUMIFS(T_TTAFStock[TTAF_Qty],T_TTAFStock[RM_Code],$A1741,T_TTAFStock[WeekIndex],9),"")</f>
        <v/>
      </c>
      <c r="N1749">
        <f>IFERROR(SUMIFS(T_TTAFStock[TTAF_Qty],T_TTAFStock[RM_Code],$A1741,T_TTAFStock[WeekIndex],10),"")</f>
        <v/>
      </c>
      <c r="O1749">
        <f>IFERROR(SUMIFS(T_TTAFStock[TTAF_Qty],T_TTAFStock[RM_Code],$A1741,T_TTAFStock[WeekIndex],11),"")</f>
        <v/>
      </c>
      <c r="P1749">
        <f>IFERROR(SUMIFS(T_TTAFStock[TTAF_Qty],T_TTAFStock[RM_Code],$A1741,T_TTAFStock[WeekIndex],12),"")</f>
        <v/>
      </c>
      <c r="Q1749">
        <f>IFERROR(SUMIFS(T_TTAFStock[TTAF_Qty],T_TTAFStock[RM_Code],$A1741,T_TTAFStock[WeekIndex],13),"")</f>
        <v/>
      </c>
      <c r="R1749">
        <f>IFERROR(SUMIFS(T_TTAFStock[TTAF_Qty],T_TTAFStock[RM_Code],$A1741,T_TTAFStock[WeekIndex],14),"")</f>
        <v/>
      </c>
      <c r="S1749">
        <f>IFERROR(SUMIFS(T_TTAFStock[TTAF_Qty],T_TTAFStock[RM_Code],$A1741,T_TTAFStock[WeekIndex],15),"")</f>
        <v/>
      </c>
      <c r="T1749">
        <f>IFERROR(SUMIFS(T_TTAFStock[TTAF_Qty],T_TTAFStock[RM_Code],$A1741,T_TTAFStock[WeekIndex],16),"")</f>
        <v/>
      </c>
      <c r="U1749">
        <f>IFERROR(SUMIFS(T_TTAFStock[TTAF_Qty],T_TTAFStock[RM_Code],$A1741,T_TTAFStock[WeekIndex],17),"")</f>
        <v/>
      </c>
      <c r="V1749">
        <f>IFERROR(SUMIFS(T_TTAFStock[TTAF_Qty],T_TTAFStock[RM_Code],$A1741,T_TTAFStock[WeekIndex],18),"")</f>
        <v/>
      </c>
      <c r="W1749">
        <f>IFERROR(SUMIFS(T_TTAFStock[TTAF_Qty],T_TTAFStock[RM_Code],$A1741,T_TTAFStock[WeekIndex],19),"")</f>
        <v/>
      </c>
      <c r="X1749">
        <f>IFERROR(SUMIFS(T_TTAFStock[TTAF_Qty],T_TTAFStock[RM_Code],$A1741,T_TTAFStock[WeekIndex],20),"")</f>
        <v/>
      </c>
      <c r="Y1749">
        <f>IFERROR(SUMIFS(T_TTAFStock[TTAF_Qty],T_TTAFStock[RM_Code],$A1741,T_TTAFStock[WeekIndex],21),"")</f>
        <v/>
      </c>
      <c r="Z1749">
        <f>IFERROR(SUMIFS(T_TTAFStock[TTAF_Qty],T_TTAFStock[RM_Code],$A1741,T_TTAFStock[WeekIndex],22),"")</f>
        <v/>
      </c>
      <c r="AA1749">
        <f>IFERROR(SUMIFS(T_TTAFStock[TTAF_Qty],T_TTAFStock[RM_Code],$A1741,T_TTAFStock[WeekIndex],23),"")</f>
        <v/>
      </c>
      <c r="AB1749">
        <f>IFERROR(SUMIFS(T_TTAFStock[TTAF_Qty],T_TTAFStock[RM_Code],$A1741,T_TTAFStock[WeekIndex],24),"")</f>
        <v/>
      </c>
      <c r="AC1749">
        <f>IFERROR(SUMIFS(T_TTAFStock[TTAF_Qty],T_TTAFStock[RM_Code],$A1741,T_TTAFStock[WeekIndex],25),"")</f>
        <v/>
      </c>
      <c r="AD1749">
        <f>IFERROR(SUMIFS(T_TTAFStock[TTAF_Qty],T_TTAFStock[RM_Code],$A1741,T_TTAFStock[WeekIndex],26),"")</f>
        <v/>
      </c>
      <c r="AE1749">
        <f>IFERROR(SUMIFS(T_TTAFStock[TTAF_Qty],T_TTAFStock[RM_Code],$A1741,T_TTAFStock[WeekIndex],27),"")</f>
        <v/>
      </c>
      <c r="AF1749">
        <f>IFERROR(SUMIFS(T_TTAFStock[TTAF_Qty],T_TTAFStock[RM_Code],$A1741,T_TTAFStock[WeekIndex],28),"")</f>
        <v/>
      </c>
      <c r="AG1749">
        <f>IFERROR(SUMIFS(T_TTAFStock[TTAF_Qty],T_TTAFStock[RM_Code],$A1741,T_TTAFStock[WeekIndex],29),"")</f>
        <v/>
      </c>
      <c r="AH1749">
        <f>IFERROR(SUMIFS(T_TTAFStock[TTAF_Qty],T_TTAFStock[RM_Code],$A1741,T_TTAFStock[WeekIndex],30),"")</f>
        <v/>
      </c>
      <c r="AI1749">
        <f>IFERROR(SUMIFS(T_TTAFStock[TTAF_Qty],T_TTAFStock[RM_Code],$A1741,T_TTAFStock[WeekIndex],31),"")</f>
        <v/>
      </c>
      <c r="AJ1749">
        <f>IFERROR(SUMIFS(T_TTAFStock[TTAF_Qty],T_TTAFStock[RM_Code],$A1741,T_TTAFStock[WeekIndex],32),"")</f>
        <v/>
      </c>
      <c r="AK1749">
        <f>IFERROR(SUMIFS(T_TTAFStock[TTAF_Qty],T_TTAFStock[RM_Code],$A1741,T_TTAFStock[WeekIndex],33),"")</f>
        <v/>
      </c>
      <c r="AL1749">
        <f>IFERROR(SUMIFS(T_TTAFStock[TTAF_Qty],T_TTAFStock[RM_Code],$A1741,T_TTAFStock[WeekIndex],34),"")</f>
        <v/>
      </c>
      <c r="AM1749">
        <f>IFERROR(SUMIFS(T_TTAFStock[TTAF_Qty],T_TTAFStock[RM_Code],$A1741,T_TTAFStock[WeekIndex],35),"")</f>
        <v/>
      </c>
      <c r="AN1749">
        <f>IFERROR(SUMIFS(T_TTAFStock[TTAF_Qty],T_TTAFStock[RM_Code],$A1741,T_TTAFStock[WeekIndex],36),"")</f>
        <v/>
      </c>
      <c r="AO1749">
        <f>IFERROR(SUMIFS(T_TTAFStock[TTAF_Qty],T_TTAFStock[RM_Code],$A1741,T_TTAFStock[WeekIndex],37),"")</f>
        <v/>
      </c>
      <c r="AP1749">
        <f>IFERROR(SUMIFS(T_TTAFStock[TTAF_Qty],T_TTAFStock[RM_Code],$A1741,T_TTAFStock[WeekIndex],38),"")</f>
        <v/>
      </c>
      <c r="AQ1749">
        <f>IFERROR(SUMIFS(T_TTAFStock[TTAF_Qty],T_TTAFStock[RM_Code],$A1741,T_TTAFStock[WeekIndex],39),"")</f>
        <v/>
      </c>
      <c r="AR1749">
        <f>IFERROR(SUMIFS(T_TTAFStock[TTAF_Qty],T_TTAFStock[RM_Code],$A1741,T_TTAFStock[WeekIndex],40),"")</f>
        <v/>
      </c>
      <c r="AS1749">
        <f>IFERROR(SUMIFS(T_TTAFStock[TTAF_Qty],T_TTAFStock[RM_Code],$A1741,T_TTAFStock[WeekIndex],41),"")</f>
        <v/>
      </c>
      <c r="AT1749">
        <f>IFERROR(SUMIFS(T_TTAFStock[TTAF_Qty],T_TTAFStock[RM_Code],$A1741,T_TTAFStock[WeekIndex],42),"")</f>
        <v/>
      </c>
      <c r="AU1749">
        <f>IFERROR(SUMIFS(T_TTAFStock[TTAF_Qty],T_TTAFStock[RM_Code],$A1741,T_TTAFStock[WeekIndex],43),"")</f>
        <v/>
      </c>
      <c r="AV1749">
        <f>IFERROR(SUMIFS(T_TTAFStock[TTAF_Qty],T_TTAFStock[RM_Code],$A1741,T_TTAFStock[WeekIndex],44),"")</f>
        <v/>
      </c>
      <c r="AW1749">
        <f>IFERROR(SUMIFS(T_TTAFStock[TTAF_Qty],T_TTAFStock[RM_Code],$A1741,T_TTAFStock[WeekIndex],45),"")</f>
        <v/>
      </c>
      <c r="AX1749">
        <f>IFERROR(SUMIFS(T_TTAFStock[TTAF_Qty],T_TTAFStock[RM_Code],$A1741,T_TTAFStock[WeekIndex],46),"")</f>
        <v/>
      </c>
      <c r="AY1749">
        <f>IFERROR(SUMIFS(T_TTAFStock[TTAF_Qty],T_TTAFStock[RM_Code],$A1741,T_TTAFStock[WeekIndex],47),"")</f>
        <v/>
      </c>
      <c r="AZ1749">
        <f>IFERROR(SUMIFS(T_TTAFStock[TTAF_Qty],T_TTAFStock[RM_Code],$A1741,T_TTAFStock[WeekIndex],48),"")</f>
        <v/>
      </c>
      <c r="BA1749">
        <f>IFERROR(SUMIFS(T_TTAFStock[TTAF_Qty],T_TTAFStock[RM_Code],$A1741,T_TTAFStock[WeekIndex],49),"")</f>
        <v/>
      </c>
      <c r="BB1749">
        <f>IFERROR(SUMIFS(T_TTAFStock[TTAF_Qty],T_TTAFStock[RM_Code],$A1741,T_TTAFStock[WeekIndex],50),"")</f>
        <v/>
      </c>
      <c r="BC1749">
        <f>IFERROR(SUMIFS(T_TTAFStock[TTAF_Qty],T_TTAFStock[RM_Code],$A1741,T_TTAFStock[WeekIndex],51),"")</f>
        <v/>
      </c>
      <c r="BD1749">
        <f>IFERROR(SUMIFS(T_TTAFStock[TTAF_Qty],T_TTAFStock[RM_Code],$A1741,T_TTAFStock[WeekIndex],52),"")</f>
        <v/>
      </c>
      <c r="BE1749">
        <f>IFERROR(SUMIFS(T_TTAFStock[TTAF_Qty],T_TTAFStock[RM_Code],$A1741,T_TTAFStock[WeekIndex],53),"")</f>
        <v/>
      </c>
      <c r="BF1749">
        <f>IFERROR(SUMIFS(T_TTAFStock[TTAF_Qty],T_TTAFStock[RM_Code],$A1741,T_TTAFStock[WeekIndex],54),"")</f>
        <v/>
      </c>
      <c r="BG1749">
        <f>IFERROR(SUMIFS(T_TTAFStock[TTAF_Qty],T_TTAFStock[RM_Code],$A1741,T_TTAFStock[WeekIndex],55),"")</f>
        <v/>
      </c>
      <c r="BH1749">
        <f>IFERROR(SUMIFS(T_TTAFStock[TTAF_Qty],T_TTAFStock[RM_Code],$A1741,T_TTAFStock[WeekIndex],56),"")</f>
        <v/>
      </c>
      <c r="BI1749">
        <f>IFERROR(SUMIFS(T_TTAFStock[TTAF_Qty],T_TTAFStock[RM_Code],$A1741,T_TTAFStock[WeekIndex],57),"")</f>
        <v/>
      </c>
      <c r="BJ1749">
        <f>IFERROR(SUMIFS(T_TTAFStock[TTAF_Qty],T_TTAFStock[RM_Code],$A1741,T_TTAFStock[WeekIndex],58),"")</f>
        <v/>
      </c>
      <c r="BK1749">
        <f>IFERROR(SUMIFS(T_TTAFStock[TTAF_Qty],T_TTAFStock[RM_Code],$A1741,T_TTAFStock[WeekIndex],59),"")</f>
        <v/>
      </c>
      <c r="BL1749">
        <f>IFERROR(SUMIFS(T_TTAFStock[TTAF_Qty],T_TTAFStock[RM_Code],$A1741,T_TTAFStock[WeekIndex],60),"")</f>
        <v/>
      </c>
      <c r="BM1749">
        <f>IFERROR(SUMIFS(T_TTAFStock[TTAF_Qty],T_TTAFStock[RM_Code],$A1741,T_TTAFStock[WeekIndex],61),"")</f>
        <v/>
      </c>
      <c r="BN1749">
        <f>IFERROR(SUMIFS(T_TTAFStock[TTAF_Qty],T_TTAFStock[RM_Code],$A1741,T_TTAFStock[WeekIndex],62),"")</f>
        <v/>
      </c>
      <c r="BO1749">
        <f>IFERROR(SUMIFS(T_TTAFStock[TTAF_Qty],T_TTAFStock[RM_Code],$A1741,T_TTAFStock[WeekIndex],63),"")</f>
        <v/>
      </c>
      <c r="BP1749">
        <f>IFERROR(SUMIFS(T_TTAFStock[TTAF_Qty],T_TTAFStock[RM_Code],$A1741,T_TTAFStock[WeekIndex],64),"")</f>
        <v/>
      </c>
      <c r="BQ1749">
        <f>IFERROR(SUMIFS(T_TTAFStock[TTAF_Qty],T_TTAFStock[RM_Code],$A1741,T_TTAFStock[WeekIndex],65),"")</f>
        <v/>
      </c>
      <c r="BR1749">
        <f>IFERROR(SUMIFS(T_TTAFStock[TTAF_Qty],T_TTAFStock[RM_Code],$A1741,T_TTAFStock[WeekIndex],66),"")</f>
        <v/>
      </c>
      <c r="BS1749">
        <f>IFERROR(SUMIFS(T_TTAFStock[TTAF_Qty],T_TTAFStock[RM_Code],$A1741,T_TTAFStock[WeekIndex],67),"")</f>
        <v/>
      </c>
      <c r="BT1749">
        <f>IFERROR(SUMIFS(T_TTAFStock[TTAF_Qty],T_TTAFStock[RM_Code],$A1741,T_TTAFStock[WeekIndex],68),"")</f>
        <v/>
      </c>
      <c r="BU1749">
        <f>IFERROR(SUMIFS(T_TTAFStock[TTAF_Qty],T_TTAFStock[RM_Code],$A1741,T_TTAFStock[WeekIndex],69),"")</f>
        <v/>
      </c>
      <c r="BV1749">
        <f>IFERROR(SUMIFS(T_TTAFStock[TTAF_Qty],T_TTAFStock[RM_Code],$A1741,T_TTAFStock[WeekIndex],70),"")</f>
        <v/>
      </c>
      <c r="BW1749">
        <f>IFERROR(SUMIFS(T_TTAFStock[TTAF_Qty],T_TTAFStock[RM_Code],$A1741,T_TTAFStock[WeekIndex],71),"")</f>
        <v/>
      </c>
      <c r="BX1749">
        <f>IFERROR(SUMIFS(T_TTAFStock[TTAF_Qty],T_TTAFStock[RM_Code],$A1741,T_TTAFStock[WeekIndex],72),"")</f>
        <v/>
      </c>
      <c r="BY1749">
        <f>IFERROR(SUMIFS(T_TTAFStock[TTAF_Qty],T_TTAFStock[RM_Code],$A1741,T_TTAFStock[WeekIndex],73),"")</f>
        <v/>
      </c>
      <c r="BZ1749">
        <f>IFERROR(SUMIFS(T_TTAFStock[TTAF_Qty],T_TTAFStock[RM_Code],$A1741,T_TTAFStock[WeekIndex],74),"")</f>
        <v/>
      </c>
      <c r="CA1749">
        <f>IFERROR(SUMIFS(T_TTAFStock[TTAF_Qty],T_TTAFStock[RM_Code],$A1741,T_TTAFStock[WeekIndex],75),"")</f>
        <v/>
      </c>
      <c r="CB1749">
        <f>IFERROR(SUMIFS(T_TTAFStock[TTAF_Qty],T_TTAFStock[RM_Code],$A1741,T_TTAFStock[WeekIndex],76),"")</f>
        <v/>
      </c>
      <c r="CC1749">
        <f>IFERROR(SUMIFS(T_TTAFStock[TTAF_Qty],T_TTAFStock[RM_Code],$A1741,T_TTAFStock[WeekIndex],77),"")</f>
        <v/>
      </c>
      <c r="CD1749">
        <f>IFERROR(SUMIFS(T_TTAFStock[TTAF_Qty],T_TTAFStock[RM_Code],$A1741,T_TTAFStock[WeekIndex],78),"")</f>
        <v/>
      </c>
      <c r="CE1749">
        <f>IFERROR(SUMIFS(T_TTAFStock[TTAF_Qty],T_TTAFStock[RM_Code],$A1741,T_TTAFStock[WeekIndex],79),"")</f>
        <v/>
      </c>
      <c r="CF1749">
        <f>IFERROR(SUMIFS(T_TTAFStock[TTAF_Qty],T_TTAFStock[RM_Code],$A1741,T_TTAFStock[WeekIndex],80),"")</f>
        <v/>
      </c>
      <c r="CG1749">
        <f>IFERROR(SUMIFS(T_TTAFStock[TTAF_Qty],T_TTAFStock[RM_Code],$A1741,T_TTAFStock[WeekIndex],81),"")</f>
        <v/>
      </c>
      <c r="CH1749">
        <f>IFERROR(SUMIFS(T_TTAFStock[TTAF_Qty],T_TTAFStock[RM_Code],$A1741,T_TTAFStock[WeekIndex],82),"")</f>
        <v/>
      </c>
      <c r="CI1749">
        <f>IFERROR(SUMIFS(T_TTAFStock[TTAF_Qty],T_TTAFStock[RM_Code],$A1741,T_TTAFStock[WeekIndex],83),"")</f>
        <v/>
      </c>
      <c r="CJ1749">
        <f>IFERROR(SUMIFS(T_TTAFStock[TTAF_Qty],T_TTAFStock[RM_Code],$A1741,T_TTAFStock[WeekIndex],84),"")</f>
        <v/>
      </c>
      <c r="CK1749">
        <f>IFERROR(SUMIFS(T_TTAFStock[TTAF_Qty],T_TTAFStock[RM_Code],$A1741,T_TTAFStock[WeekIndex],85),"")</f>
        <v/>
      </c>
      <c r="CL1749">
        <f>IFERROR(SUMIFS(T_TTAFStock[TTAF_Qty],T_TTAFStock[RM_Code],$A1741,T_TTAFStock[WeekIndex],86),"")</f>
        <v/>
      </c>
      <c r="CM1749">
        <f>IFERROR(SUMIFS(T_TTAFStock[TTAF_Qty],T_TTAFStock[RM_Code],$A1741,T_TTAFStock[WeekIndex],87),"")</f>
        <v/>
      </c>
      <c r="CN1749">
        <f>IFERROR(SUMIFS(T_TTAFStock[TTAF_Qty],T_TTAFStock[RM_Code],$A1741,T_TTAFStock[WeekIndex],88),"")</f>
        <v/>
      </c>
      <c r="CO1749">
        <f>IFERROR(SUMIFS(T_TTAFStock[TTAF_Qty],T_TTAFStock[RM_Code],$A1741,T_TTAFStock[WeekIndex],89),"")</f>
        <v/>
      </c>
      <c r="CP1749">
        <f>IFERROR(SUMIFS(T_TTAFStock[TTAF_Qty],T_TTAFStock[RM_Code],$A1741,T_TTAFStock[WeekIndex],90),"")</f>
        <v/>
      </c>
      <c r="CQ1749">
        <f>IFERROR(SUMIFS(T_TTAFStock[TTAF_Qty],T_TTAFStock[RM_Code],$A1741,T_TTAFStock[WeekIndex],91),"")</f>
        <v/>
      </c>
      <c r="CR1749">
        <f>IFERROR(SUMIFS(T_TTAFStock[TTAF_Qty],T_TTAFStock[RM_Code],$A1741,T_TTAFStock[WeekIndex],92),"")</f>
        <v/>
      </c>
      <c r="CS1749">
        <f>IFERROR(SUMIFS(T_TTAFStock[TTAF_Qty],T_TTAFStock[RM_Code],$A1741,T_TTAFStock[WeekIndex],93),"")</f>
        <v/>
      </c>
      <c r="CT1749">
        <f>IFERROR(SUMIFS(T_TTAFStock[TTAF_Qty],T_TTAFStock[RM_Code],$A1741,T_TTAFStock[WeekIndex],94),"")</f>
        <v/>
      </c>
      <c r="CU1749">
        <f>IFERROR(SUMIFS(T_TTAFStock[TTAF_Qty],T_TTAFStock[RM_Code],$A1741,T_TTAFStock[WeekIndex],95),"")</f>
        <v/>
      </c>
      <c r="CV1749">
        <f>IFERROR(SUMIFS(T_TTAFStock[TTAF_Qty],T_TTAFStock[RM_Code],$A1741,T_TTAFStock[WeekIndex],96),"")</f>
        <v/>
      </c>
      <c r="CW1749">
        <f>IFERROR(SUMIFS(T_TTAFStock[TTAF_Qty],T_TTAFStock[RM_Code],$A1741,T_TTAFStock[WeekIndex],97),"")</f>
        <v/>
      </c>
      <c r="CX1749">
        <f>IFERROR(SUMIFS(T_TTAFStock[TTAF_Qty],T_TTAFStock[RM_Code],$A1741,T_TTAFStock[WeekIndex],98),"")</f>
        <v/>
      </c>
      <c r="CY1749">
        <f>IFERROR(SUMIFS(T_TTAFStock[TTAF_Qty],T_TTAFStock[RM_Code],$A1741,T_TTAFStock[WeekIndex],99),"")</f>
        <v/>
      </c>
      <c r="CZ1749">
        <f>IFERROR(SUMIFS(T_TTAFStock[TTAF_Qty],T_TTAFStock[RM_Code],$A1741,T_TTAFStock[WeekIndex],100),"")</f>
        <v/>
      </c>
      <c r="DA1749">
        <f>IFERROR(SUMIFS(T_TTAFStock[TTAF_Qty],T_TTAFStock[RM_Code],$A1741,T_TTAFStock[WeekIndex],101),"")</f>
        <v/>
      </c>
      <c r="DB1749">
        <f>IFERROR(SUMIFS(T_TTAFStock[TTAF_Qty],T_TTAFStock[RM_Code],$A1741,T_TTAFStock[WeekIndex],102),"")</f>
        <v/>
      </c>
      <c r="DC1749">
        <f>IFERROR(SUMIFS(T_TTAFStock[TTAF_Qty],T_TTAFStock[RM_Code],$A1741,T_TTAFStock[WeekIndex],103),"")</f>
        <v/>
      </c>
      <c r="DD1749">
        <f>IFERROR(SUMIFS(T_TTAFStock[TTAF_Qty],T_TTAFStock[RM_Code],$A1741,T_TTAFStock[WeekIndex],104),"")</f>
        <v/>
      </c>
    </row>
    <row r="1750">
      <c r="B1750" t="inlineStr">
        <is>
          <t>自社在庫(実績,kg)</t>
        </is>
      </c>
      <c r="D1750">
        <f>IFERROR(INDEX(E1750:DD1750,$F$1),"")</f>
        <v/>
      </c>
      <c r="E1750">
        <f>IFERROR(SUMIFS(T_SelfStock[Self_Qty],T_SelfStock[RM_Code],$A1741,T_SelfStock[WeekIndex],1),"")</f>
        <v/>
      </c>
      <c r="F1750">
        <f>IFERROR(SUMIFS(T_SelfStock[Self_Qty],T_SelfStock[RM_Code],$A1741,T_SelfStock[WeekIndex],2),"")</f>
        <v/>
      </c>
      <c r="G1750">
        <f>IFERROR(SUMIFS(T_SelfStock[Self_Qty],T_SelfStock[RM_Code],$A1741,T_SelfStock[WeekIndex],3),"")</f>
        <v/>
      </c>
      <c r="H1750">
        <f>IFERROR(SUMIFS(T_SelfStock[Self_Qty],T_SelfStock[RM_Code],$A1741,T_SelfStock[WeekIndex],4),"")</f>
        <v/>
      </c>
      <c r="I1750">
        <f>IFERROR(SUMIFS(T_SelfStock[Self_Qty],T_SelfStock[RM_Code],$A1741,T_SelfStock[WeekIndex],5),"")</f>
        <v/>
      </c>
      <c r="J1750">
        <f>IFERROR(SUMIFS(T_SelfStock[Self_Qty],T_SelfStock[RM_Code],$A1741,T_SelfStock[WeekIndex],6),"")</f>
        <v/>
      </c>
      <c r="K1750">
        <f>IFERROR(SUMIFS(T_SelfStock[Self_Qty],T_SelfStock[RM_Code],$A1741,T_SelfStock[WeekIndex],7),"")</f>
        <v/>
      </c>
      <c r="L1750">
        <f>IFERROR(SUMIFS(T_SelfStock[Self_Qty],T_SelfStock[RM_Code],$A1741,T_SelfStock[WeekIndex],8),"")</f>
        <v/>
      </c>
      <c r="M1750">
        <f>IFERROR(SUMIFS(T_SelfStock[Self_Qty],T_SelfStock[RM_Code],$A1741,T_SelfStock[WeekIndex],9),"")</f>
        <v/>
      </c>
      <c r="N1750">
        <f>IFERROR(SUMIFS(T_SelfStock[Self_Qty],T_SelfStock[RM_Code],$A1741,T_SelfStock[WeekIndex],10),"")</f>
        <v/>
      </c>
      <c r="O1750">
        <f>IFERROR(SUMIFS(T_SelfStock[Self_Qty],T_SelfStock[RM_Code],$A1741,T_SelfStock[WeekIndex],11),"")</f>
        <v/>
      </c>
      <c r="P1750">
        <f>IFERROR(SUMIFS(T_SelfStock[Self_Qty],T_SelfStock[RM_Code],$A1741,T_SelfStock[WeekIndex],12),"")</f>
        <v/>
      </c>
      <c r="Q1750">
        <f>IFERROR(SUMIFS(T_SelfStock[Self_Qty],T_SelfStock[RM_Code],$A1741,T_SelfStock[WeekIndex],13),"")</f>
        <v/>
      </c>
      <c r="R1750">
        <f>IFERROR(SUMIFS(T_SelfStock[Self_Qty],T_SelfStock[RM_Code],$A1741,T_SelfStock[WeekIndex],14),"")</f>
        <v/>
      </c>
      <c r="S1750">
        <f>IFERROR(SUMIFS(T_SelfStock[Self_Qty],T_SelfStock[RM_Code],$A1741,T_SelfStock[WeekIndex],15),"")</f>
        <v/>
      </c>
      <c r="T1750">
        <f>IFERROR(SUMIFS(T_SelfStock[Self_Qty],T_SelfStock[RM_Code],$A1741,T_SelfStock[WeekIndex],16),"")</f>
        <v/>
      </c>
      <c r="U1750">
        <f>IFERROR(SUMIFS(T_SelfStock[Self_Qty],T_SelfStock[RM_Code],$A1741,T_SelfStock[WeekIndex],17),"")</f>
        <v/>
      </c>
      <c r="V1750">
        <f>IFERROR(SUMIFS(T_SelfStock[Self_Qty],T_SelfStock[RM_Code],$A1741,T_SelfStock[WeekIndex],18),"")</f>
        <v/>
      </c>
      <c r="W1750">
        <f>IFERROR(SUMIFS(T_SelfStock[Self_Qty],T_SelfStock[RM_Code],$A1741,T_SelfStock[WeekIndex],19),"")</f>
        <v/>
      </c>
      <c r="X1750">
        <f>IFERROR(SUMIFS(T_SelfStock[Self_Qty],T_SelfStock[RM_Code],$A1741,T_SelfStock[WeekIndex],20),"")</f>
        <v/>
      </c>
      <c r="Y1750">
        <f>IFERROR(SUMIFS(T_SelfStock[Self_Qty],T_SelfStock[RM_Code],$A1741,T_SelfStock[WeekIndex],21),"")</f>
        <v/>
      </c>
      <c r="Z1750">
        <f>IFERROR(SUMIFS(T_SelfStock[Self_Qty],T_SelfStock[RM_Code],$A1741,T_SelfStock[WeekIndex],22),"")</f>
        <v/>
      </c>
      <c r="AA1750">
        <f>IFERROR(SUMIFS(T_SelfStock[Self_Qty],T_SelfStock[RM_Code],$A1741,T_SelfStock[WeekIndex],23),"")</f>
        <v/>
      </c>
      <c r="AB1750">
        <f>IFERROR(SUMIFS(T_SelfStock[Self_Qty],T_SelfStock[RM_Code],$A1741,T_SelfStock[WeekIndex],24),"")</f>
        <v/>
      </c>
      <c r="AC1750">
        <f>IFERROR(SUMIFS(T_SelfStock[Self_Qty],T_SelfStock[RM_Code],$A1741,T_SelfStock[WeekIndex],25),"")</f>
        <v/>
      </c>
      <c r="AD1750">
        <f>IFERROR(SUMIFS(T_SelfStock[Self_Qty],T_SelfStock[RM_Code],$A1741,T_SelfStock[WeekIndex],26),"")</f>
        <v/>
      </c>
      <c r="AE1750">
        <f>IFERROR(SUMIFS(T_SelfStock[Self_Qty],T_SelfStock[RM_Code],$A1741,T_SelfStock[WeekIndex],27),"")</f>
        <v/>
      </c>
      <c r="AF1750">
        <f>IFERROR(SUMIFS(T_SelfStock[Self_Qty],T_SelfStock[RM_Code],$A1741,T_SelfStock[WeekIndex],28),"")</f>
        <v/>
      </c>
      <c r="AG1750">
        <f>IFERROR(SUMIFS(T_SelfStock[Self_Qty],T_SelfStock[RM_Code],$A1741,T_SelfStock[WeekIndex],29),"")</f>
        <v/>
      </c>
      <c r="AH1750">
        <f>IFERROR(SUMIFS(T_SelfStock[Self_Qty],T_SelfStock[RM_Code],$A1741,T_SelfStock[WeekIndex],30),"")</f>
        <v/>
      </c>
      <c r="AI1750">
        <f>IFERROR(SUMIFS(T_SelfStock[Self_Qty],T_SelfStock[RM_Code],$A1741,T_SelfStock[WeekIndex],31),"")</f>
        <v/>
      </c>
      <c r="AJ1750">
        <f>IFERROR(SUMIFS(T_SelfStock[Self_Qty],T_SelfStock[RM_Code],$A1741,T_SelfStock[WeekIndex],32),"")</f>
        <v/>
      </c>
      <c r="AK1750">
        <f>IFERROR(SUMIFS(T_SelfStock[Self_Qty],T_SelfStock[RM_Code],$A1741,T_SelfStock[WeekIndex],33),"")</f>
        <v/>
      </c>
      <c r="AL1750">
        <f>IFERROR(SUMIFS(T_SelfStock[Self_Qty],T_SelfStock[RM_Code],$A1741,T_SelfStock[WeekIndex],34),"")</f>
        <v/>
      </c>
      <c r="AM1750">
        <f>IFERROR(SUMIFS(T_SelfStock[Self_Qty],T_SelfStock[RM_Code],$A1741,T_SelfStock[WeekIndex],35),"")</f>
        <v/>
      </c>
      <c r="AN1750">
        <f>IFERROR(SUMIFS(T_SelfStock[Self_Qty],T_SelfStock[RM_Code],$A1741,T_SelfStock[WeekIndex],36),"")</f>
        <v/>
      </c>
      <c r="AO1750">
        <f>IFERROR(SUMIFS(T_SelfStock[Self_Qty],T_SelfStock[RM_Code],$A1741,T_SelfStock[WeekIndex],37),"")</f>
        <v/>
      </c>
      <c r="AP1750">
        <f>IFERROR(SUMIFS(T_SelfStock[Self_Qty],T_SelfStock[RM_Code],$A1741,T_SelfStock[WeekIndex],38),"")</f>
        <v/>
      </c>
      <c r="AQ1750">
        <f>IFERROR(SUMIFS(T_SelfStock[Self_Qty],T_SelfStock[RM_Code],$A1741,T_SelfStock[WeekIndex],39),"")</f>
        <v/>
      </c>
      <c r="AR1750">
        <f>IFERROR(SUMIFS(T_SelfStock[Self_Qty],T_SelfStock[RM_Code],$A1741,T_SelfStock[WeekIndex],40),"")</f>
        <v/>
      </c>
      <c r="AS1750">
        <f>IFERROR(SUMIFS(T_SelfStock[Self_Qty],T_SelfStock[RM_Code],$A1741,T_SelfStock[WeekIndex],41),"")</f>
        <v/>
      </c>
      <c r="AT1750">
        <f>IFERROR(SUMIFS(T_SelfStock[Self_Qty],T_SelfStock[RM_Code],$A1741,T_SelfStock[WeekIndex],42),"")</f>
        <v/>
      </c>
      <c r="AU1750">
        <f>IFERROR(SUMIFS(T_SelfStock[Self_Qty],T_SelfStock[RM_Code],$A1741,T_SelfStock[WeekIndex],43),"")</f>
        <v/>
      </c>
      <c r="AV1750">
        <f>IFERROR(SUMIFS(T_SelfStock[Self_Qty],T_SelfStock[RM_Code],$A1741,T_SelfStock[WeekIndex],44),"")</f>
        <v/>
      </c>
      <c r="AW1750">
        <f>IFERROR(SUMIFS(T_SelfStock[Self_Qty],T_SelfStock[RM_Code],$A1741,T_SelfStock[WeekIndex],45),"")</f>
        <v/>
      </c>
      <c r="AX1750">
        <f>IFERROR(SUMIFS(T_SelfStock[Self_Qty],T_SelfStock[RM_Code],$A1741,T_SelfStock[WeekIndex],46),"")</f>
        <v/>
      </c>
      <c r="AY1750">
        <f>IFERROR(SUMIFS(T_SelfStock[Self_Qty],T_SelfStock[RM_Code],$A1741,T_SelfStock[WeekIndex],47),"")</f>
        <v/>
      </c>
      <c r="AZ1750">
        <f>IFERROR(SUMIFS(T_SelfStock[Self_Qty],T_SelfStock[RM_Code],$A1741,T_SelfStock[WeekIndex],48),"")</f>
        <v/>
      </c>
      <c r="BA1750">
        <f>IFERROR(SUMIFS(T_SelfStock[Self_Qty],T_SelfStock[RM_Code],$A1741,T_SelfStock[WeekIndex],49),"")</f>
        <v/>
      </c>
      <c r="BB1750">
        <f>IFERROR(SUMIFS(T_SelfStock[Self_Qty],T_SelfStock[RM_Code],$A1741,T_SelfStock[WeekIndex],50),"")</f>
        <v/>
      </c>
      <c r="BC1750">
        <f>IFERROR(SUMIFS(T_SelfStock[Self_Qty],T_SelfStock[RM_Code],$A1741,T_SelfStock[WeekIndex],51),"")</f>
        <v/>
      </c>
      <c r="BD1750">
        <f>IFERROR(SUMIFS(T_SelfStock[Self_Qty],T_SelfStock[RM_Code],$A1741,T_SelfStock[WeekIndex],52),"")</f>
        <v/>
      </c>
      <c r="BE1750">
        <f>IFERROR(SUMIFS(T_SelfStock[Self_Qty],T_SelfStock[RM_Code],$A1741,T_SelfStock[WeekIndex],53),"")</f>
        <v/>
      </c>
      <c r="BF1750">
        <f>IFERROR(SUMIFS(T_SelfStock[Self_Qty],T_SelfStock[RM_Code],$A1741,T_SelfStock[WeekIndex],54),"")</f>
        <v/>
      </c>
      <c r="BG1750">
        <f>IFERROR(SUMIFS(T_SelfStock[Self_Qty],T_SelfStock[RM_Code],$A1741,T_SelfStock[WeekIndex],55),"")</f>
        <v/>
      </c>
      <c r="BH1750">
        <f>IFERROR(SUMIFS(T_SelfStock[Self_Qty],T_SelfStock[RM_Code],$A1741,T_SelfStock[WeekIndex],56),"")</f>
        <v/>
      </c>
      <c r="BI1750">
        <f>IFERROR(SUMIFS(T_SelfStock[Self_Qty],T_SelfStock[RM_Code],$A1741,T_SelfStock[WeekIndex],57),"")</f>
        <v/>
      </c>
      <c r="BJ1750">
        <f>IFERROR(SUMIFS(T_SelfStock[Self_Qty],T_SelfStock[RM_Code],$A1741,T_SelfStock[WeekIndex],58),"")</f>
        <v/>
      </c>
      <c r="BK1750">
        <f>IFERROR(SUMIFS(T_SelfStock[Self_Qty],T_SelfStock[RM_Code],$A1741,T_SelfStock[WeekIndex],59),"")</f>
        <v/>
      </c>
      <c r="BL1750">
        <f>IFERROR(SUMIFS(T_SelfStock[Self_Qty],T_SelfStock[RM_Code],$A1741,T_SelfStock[WeekIndex],60),"")</f>
        <v/>
      </c>
      <c r="BM1750">
        <f>IFERROR(SUMIFS(T_SelfStock[Self_Qty],T_SelfStock[RM_Code],$A1741,T_SelfStock[WeekIndex],61),"")</f>
        <v/>
      </c>
      <c r="BN1750">
        <f>IFERROR(SUMIFS(T_SelfStock[Self_Qty],T_SelfStock[RM_Code],$A1741,T_SelfStock[WeekIndex],62),"")</f>
        <v/>
      </c>
      <c r="BO1750">
        <f>IFERROR(SUMIFS(T_SelfStock[Self_Qty],T_SelfStock[RM_Code],$A1741,T_SelfStock[WeekIndex],63),"")</f>
        <v/>
      </c>
      <c r="BP1750">
        <f>IFERROR(SUMIFS(T_SelfStock[Self_Qty],T_SelfStock[RM_Code],$A1741,T_SelfStock[WeekIndex],64),"")</f>
        <v/>
      </c>
      <c r="BQ1750">
        <f>IFERROR(SUMIFS(T_SelfStock[Self_Qty],T_SelfStock[RM_Code],$A1741,T_SelfStock[WeekIndex],65),"")</f>
        <v/>
      </c>
      <c r="BR1750">
        <f>IFERROR(SUMIFS(T_SelfStock[Self_Qty],T_SelfStock[RM_Code],$A1741,T_SelfStock[WeekIndex],66),"")</f>
        <v/>
      </c>
      <c r="BS1750">
        <f>IFERROR(SUMIFS(T_SelfStock[Self_Qty],T_SelfStock[RM_Code],$A1741,T_SelfStock[WeekIndex],67),"")</f>
        <v/>
      </c>
      <c r="BT1750">
        <f>IFERROR(SUMIFS(T_SelfStock[Self_Qty],T_SelfStock[RM_Code],$A1741,T_SelfStock[WeekIndex],68),"")</f>
        <v/>
      </c>
      <c r="BU1750">
        <f>IFERROR(SUMIFS(T_SelfStock[Self_Qty],T_SelfStock[RM_Code],$A1741,T_SelfStock[WeekIndex],69),"")</f>
        <v/>
      </c>
      <c r="BV1750">
        <f>IFERROR(SUMIFS(T_SelfStock[Self_Qty],T_SelfStock[RM_Code],$A1741,T_SelfStock[WeekIndex],70),"")</f>
        <v/>
      </c>
      <c r="BW1750">
        <f>IFERROR(SUMIFS(T_SelfStock[Self_Qty],T_SelfStock[RM_Code],$A1741,T_SelfStock[WeekIndex],71),"")</f>
        <v/>
      </c>
      <c r="BX1750">
        <f>IFERROR(SUMIFS(T_SelfStock[Self_Qty],T_SelfStock[RM_Code],$A1741,T_SelfStock[WeekIndex],72),"")</f>
        <v/>
      </c>
      <c r="BY1750">
        <f>IFERROR(SUMIFS(T_SelfStock[Self_Qty],T_SelfStock[RM_Code],$A1741,T_SelfStock[WeekIndex],73),"")</f>
        <v/>
      </c>
      <c r="BZ1750">
        <f>IFERROR(SUMIFS(T_SelfStock[Self_Qty],T_SelfStock[RM_Code],$A1741,T_SelfStock[WeekIndex],74),"")</f>
        <v/>
      </c>
      <c r="CA1750">
        <f>IFERROR(SUMIFS(T_SelfStock[Self_Qty],T_SelfStock[RM_Code],$A1741,T_SelfStock[WeekIndex],75),"")</f>
        <v/>
      </c>
      <c r="CB1750">
        <f>IFERROR(SUMIFS(T_SelfStock[Self_Qty],T_SelfStock[RM_Code],$A1741,T_SelfStock[WeekIndex],76),"")</f>
        <v/>
      </c>
      <c r="CC1750">
        <f>IFERROR(SUMIFS(T_SelfStock[Self_Qty],T_SelfStock[RM_Code],$A1741,T_SelfStock[WeekIndex],77),"")</f>
        <v/>
      </c>
      <c r="CD1750">
        <f>IFERROR(SUMIFS(T_SelfStock[Self_Qty],T_SelfStock[RM_Code],$A1741,T_SelfStock[WeekIndex],78),"")</f>
        <v/>
      </c>
      <c r="CE1750">
        <f>IFERROR(SUMIFS(T_SelfStock[Self_Qty],T_SelfStock[RM_Code],$A1741,T_SelfStock[WeekIndex],79),"")</f>
        <v/>
      </c>
      <c r="CF1750">
        <f>IFERROR(SUMIFS(T_SelfStock[Self_Qty],T_SelfStock[RM_Code],$A1741,T_SelfStock[WeekIndex],80),"")</f>
        <v/>
      </c>
      <c r="CG1750">
        <f>IFERROR(SUMIFS(T_SelfStock[Self_Qty],T_SelfStock[RM_Code],$A1741,T_SelfStock[WeekIndex],81),"")</f>
        <v/>
      </c>
      <c r="CH1750">
        <f>IFERROR(SUMIFS(T_SelfStock[Self_Qty],T_SelfStock[RM_Code],$A1741,T_SelfStock[WeekIndex],82),"")</f>
        <v/>
      </c>
      <c r="CI1750">
        <f>IFERROR(SUMIFS(T_SelfStock[Self_Qty],T_SelfStock[RM_Code],$A1741,T_SelfStock[WeekIndex],83),"")</f>
        <v/>
      </c>
      <c r="CJ1750">
        <f>IFERROR(SUMIFS(T_SelfStock[Self_Qty],T_SelfStock[RM_Code],$A1741,T_SelfStock[WeekIndex],84),"")</f>
        <v/>
      </c>
      <c r="CK1750">
        <f>IFERROR(SUMIFS(T_SelfStock[Self_Qty],T_SelfStock[RM_Code],$A1741,T_SelfStock[WeekIndex],85),"")</f>
        <v/>
      </c>
      <c r="CL1750">
        <f>IFERROR(SUMIFS(T_SelfStock[Self_Qty],T_SelfStock[RM_Code],$A1741,T_SelfStock[WeekIndex],86),"")</f>
        <v/>
      </c>
      <c r="CM1750">
        <f>IFERROR(SUMIFS(T_SelfStock[Self_Qty],T_SelfStock[RM_Code],$A1741,T_SelfStock[WeekIndex],87),"")</f>
        <v/>
      </c>
      <c r="CN1750">
        <f>IFERROR(SUMIFS(T_SelfStock[Self_Qty],T_SelfStock[RM_Code],$A1741,T_SelfStock[WeekIndex],88),"")</f>
        <v/>
      </c>
      <c r="CO1750">
        <f>IFERROR(SUMIFS(T_SelfStock[Self_Qty],T_SelfStock[RM_Code],$A1741,T_SelfStock[WeekIndex],89),"")</f>
        <v/>
      </c>
      <c r="CP1750">
        <f>IFERROR(SUMIFS(T_SelfStock[Self_Qty],T_SelfStock[RM_Code],$A1741,T_SelfStock[WeekIndex],90),"")</f>
        <v/>
      </c>
      <c r="CQ1750">
        <f>IFERROR(SUMIFS(T_SelfStock[Self_Qty],T_SelfStock[RM_Code],$A1741,T_SelfStock[WeekIndex],91),"")</f>
        <v/>
      </c>
      <c r="CR1750">
        <f>IFERROR(SUMIFS(T_SelfStock[Self_Qty],T_SelfStock[RM_Code],$A1741,T_SelfStock[WeekIndex],92),"")</f>
        <v/>
      </c>
      <c r="CS1750">
        <f>IFERROR(SUMIFS(T_SelfStock[Self_Qty],T_SelfStock[RM_Code],$A1741,T_SelfStock[WeekIndex],93),"")</f>
        <v/>
      </c>
      <c r="CT1750">
        <f>IFERROR(SUMIFS(T_SelfStock[Self_Qty],T_SelfStock[RM_Code],$A1741,T_SelfStock[WeekIndex],94),"")</f>
        <v/>
      </c>
      <c r="CU1750">
        <f>IFERROR(SUMIFS(T_SelfStock[Self_Qty],T_SelfStock[RM_Code],$A1741,T_SelfStock[WeekIndex],95),"")</f>
        <v/>
      </c>
      <c r="CV1750">
        <f>IFERROR(SUMIFS(T_SelfStock[Self_Qty],T_SelfStock[RM_Code],$A1741,T_SelfStock[WeekIndex],96),"")</f>
        <v/>
      </c>
      <c r="CW1750">
        <f>IFERROR(SUMIFS(T_SelfStock[Self_Qty],T_SelfStock[RM_Code],$A1741,T_SelfStock[WeekIndex],97),"")</f>
        <v/>
      </c>
      <c r="CX1750">
        <f>IFERROR(SUMIFS(T_SelfStock[Self_Qty],T_SelfStock[RM_Code],$A1741,T_SelfStock[WeekIndex],98),"")</f>
        <v/>
      </c>
      <c r="CY1750">
        <f>IFERROR(SUMIFS(T_SelfStock[Self_Qty],T_SelfStock[RM_Code],$A1741,T_SelfStock[WeekIndex],99),"")</f>
        <v/>
      </c>
      <c r="CZ1750">
        <f>IFERROR(SUMIFS(T_SelfStock[Self_Qty],T_SelfStock[RM_Code],$A1741,T_SelfStock[WeekIndex],100),"")</f>
        <v/>
      </c>
      <c r="DA1750">
        <f>IFERROR(SUMIFS(T_SelfStock[Self_Qty],T_SelfStock[RM_Code],$A1741,T_SelfStock[WeekIndex],101),"")</f>
        <v/>
      </c>
      <c r="DB1750">
        <f>IFERROR(SUMIFS(T_SelfStock[Self_Qty],T_SelfStock[RM_Code],$A1741,T_SelfStock[WeekIndex],102),"")</f>
        <v/>
      </c>
      <c r="DC1750">
        <f>IFERROR(SUMIFS(T_SelfStock[Self_Qty],T_SelfStock[RM_Code],$A1741,T_SelfStock[WeekIndex],103),"")</f>
        <v/>
      </c>
      <c r="DD1750">
        <f>IFERROR(SUMIFS(T_SelfStock[Self_Qty],T_SelfStock[RM_Code],$A1741,T_SelfStock[WeekIndex],104),"")</f>
        <v/>
      </c>
    </row>
    <row r="1751">
      <c r="B1751" s="4" t="inlineStr">
        <is>
          <t>合計在庫(週末時点,kg)</t>
        </is>
      </c>
      <c r="D1751" s="24">
        <f>IFERROR(INDEX(E1751:DD1751,$F$1),"")</f>
        <v/>
      </c>
      <c r="E1751">
        <f>'Grid_Stock'!B38</f>
        <v/>
      </c>
      <c r="F1751">
        <f>'Grid_Stock'!C38</f>
        <v/>
      </c>
      <c r="G1751">
        <f>'Grid_Stock'!D38</f>
        <v/>
      </c>
      <c r="H1751">
        <f>'Grid_Stock'!E38</f>
        <v/>
      </c>
      <c r="I1751">
        <f>'Grid_Stock'!F38</f>
        <v/>
      </c>
      <c r="J1751">
        <f>'Grid_Stock'!G38</f>
        <v/>
      </c>
      <c r="K1751">
        <f>'Grid_Stock'!H38</f>
        <v/>
      </c>
      <c r="L1751">
        <f>'Grid_Stock'!I38</f>
        <v/>
      </c>
      <c r="M1751">
        <f>'Grid_Stock'!J38</f>
        <v/>
      </c>
      <c r="N1751">
        <f>'Grid_Stock'!K38</f>
        <v/>
      </c>
      <c r="O1751">
        <f>'Grid_Stock'!L38</f>
        <v/>
      </c>
      <c r="P1751">
        <f>'Grid_Stock'!M38</f>
        <v/>
      </c>
      <c r="Q1751">
        <f>'Grid_Stock'!N38</f>
        <v/>
      </c>
      <c r="R1751">
        <f>'Grid_Stock'!O38</f>
        <v/>
      </c>
      <c r="S1751">
        <f>'Grid_Stock'!P38</f>
        <v/>
      </c>
      <c r="T1751">
        <f>'Grid_Stock'!Q38</f>
        <v/>
      </c>
      <c r="U1751">
        <f>'Grid_Stock'!R38</f>
        <v/>
      </c>
      <c r="V1751">
        <f>'Grid_Stock'!S38</f>
        <v/>
      </c>
      <c r="W1751">
        <f>'Grid_Stock'!T38</f>
        <v/>
      </c>
      <c r="X1751">
        <f>'Grid_Stock'!U38</f>
        <v/>
      </c>
      <c r="Y1751">
        <f>'Grid_Stock'!V38</f>
        <v/>
      </c>
      <c r="Z1751">
        <f>'Grid_Stock'!W38</f>
        <v/>
      </c>
      <c r="AA1751">
        <f>'Grid_Stock'!X38</f>
        <v/>
      </c>
      <c r="AB1751">
        <f>'Grid_Stock'!Y38</f>
        <v/>
      </c>
      <c r="AC1751">
        <f>'Grid_Stock'!Z38</f>
        <v/>
      </c>
      <c r="AD1751">
        <f>'Grid_Stock'!AA38</f>
        <v/>
      </c>
      <c r="AE1751">
        <f>'Grid_Stock'!AB38</f>
        <v/>
      </c>
      <c r="AF1751">
        <f>'Grid_Stock'!AC38</f>
        <v/>
      </c>
      <c r="AG1751">
        <f>'Grid_Stock'!AD38</f>
        <v/>
      </c>
      <c r="AH1751">
        <f>'Grid_Stock'!AE38</f>
        <v/>
      </c>
      <c r="AI1751">
        <f>'Grid_Stock'!AF38</f>
        <v/>
      </c>
      <c r="AJ1751">
        <f>'Grid_Stock'!AG38</f>
        <v/>
      </c>
      <c r="AK1751">
        <f>'Grid_Stock'!AH38</f>
        <v/>
      </c>
      <c r="AL1751">
        <f>'Grid_Stock'!AI38</f>
        <v/>
      </c>
      <c r="AM1751">
        <f>'Grid_Stock'!AJ38</f>
        <v/>
      </c>
      <c r="AN1751">
        <f>'Grid_Stock'!AK38</f>
        <v/>
      </c>
      <c r="AO1751">
        <f>'Grid_Stock'!AL38</f>
        <v/>
      </c>
      <c r="AP1751">
        <f>'Grid_Stock'!AM38</f>
        <v/>
      </c>
      <c r="AQ1751">
        <f>'Grid_Stock'!AN38</f>
        <v/>
      </c>
      <c r="AR1751">
        <f>'Grid_Stock'!AO38</f>
        <v/>
      </c>
      <c r="AS1751">
        <f>'Grid_Stock'!AP38</f>
        <v/>
      </c>
      <c r="AT1751">
        <f>'Grid_Stock'!AQ38</f>
        <v/>
      </c>
      <c r="AU1751">
        <f>'Grid_Stock'!AR38</f>
        <v/>
      </c>
      <c r="AV1751">
        <f>'Grid_Stock'!AS38</f>
        <v/>
      </c>
      <c r="AW1751">
        <f>'Grid_Stock'!AT38</f>
        <v/>
      </c>
      <c r="AX1751">
        <f>'Grid_Stock'!AU38</f>
        <v/>
      </c>
      <c r="AY1751">
        <f>'Grid_Stock'!AV38</f>
        <v/>
      </c>
      <c r="AZ1751">
        <f>'Grid_Stock'!AW38</f>
        <v/>
      </c>
      <c r="BA1751">
        <f>'Grid_Stock'!AX38</f>
        <v/>
      </c>
      <c r="BB1751">
        <f>'Grid_Stock'!AY38</f>
        <v/>
      </c>
      <c r="BC1751">
        <f>'Grid_Stock'!AZ38</f>
        <v/>
      </c>
      <c r="BD1751">
        <f>'Grid_Stock'!BA38</f>
        <v/>
      </c>
      <c r="BE1751">
        <f>'Grid_Stock'!BB38</f>
        <v/>
      </c>
      <c r="BF1751">
        <f>'Grid_Stock'!BC38</f>
        <v/>
      </c>
      <c r="BG1751">
        <f>'Grid_Stock'!BD38</f>
        <v/>
      </c>
      <c r="BH1751">
        <f>'Grid_Stock'!BE38</f>
        <v/>
      </c>
      <c r="BI1751">
        <f>'Grid_Stock'!BF38</f>
        <v/>
      </c>
      <c r="BJ1751">
        <f>'Grid_Stock'!BG38</f>
        <v/>
      </c>
      <c r="BK1751">
        <f>'Grid_Stock'!BH38</f>
        <v/>
      </c>
      <c r="BL1751">
        <f>'Grid_Stock'!BI38</f>
        <v/>
      </c>
      <c r="BM1751">
        <f>'Grid_Stock'!BJ38</f>
        <v/>
      </c>
      <c r="BN1751">
        <f>'Grid_Stock'!BK38</f>
        <v/>
      </c>
      <c r="BO1751">
        <f>'Grid_Stock'!BL38</f>
        <v/>
      </c>
      <c r="BP1751">
        <f>'Grid_Stock'!BM38</f>
        <v/>
      </c>
      <c r="BQ1751">
        <f>'Grid_Stock'!BN38</f>
        <v/>
      </c>
      <c r="BR1751">
        <f>'Grid_Stock'!BO38</f>
        <v/>
      </c>
      <c r="BS1751">
        <f>'Grid_Stock'!BP38</f>
        <v/>
      </c>
      <c r="BT1751">
        <f>'Grid_Stock'!BQ38</f>
        <v/>
      </c>
      <c r="BU1751">
        <f>'Grid_Stock'!BR38</f>
        <v/>
      </c>
      <c r="BV1751">
        <f>'Grid_Stock'!BS38</f>
        <v/>
      </c>
      <c r="BW1751">
        <f>'Grid_Stock'!BT38</f>
        <v/>
      </c>
      <c r="BX1751">
        <f>'Grid_Stock'!BU38</f>
        <v/>
      </c>
      <c r="BY1751">
        <f>'Grid_Stock'!BV38</f>
        <v/>
      </c>
      <c r="BZ1751">
        <f>'Grid_Stock'!BW38</f>
        <v/>
      </c>
      <c r="CA1751">
        <f>'Grid_Stock'!BX38</f>
        <v/>
      </c>
      <c r="CB1751">
        <f>'Grid_Stock'!BY38</f>
        <v/>
      </c>
      <c r="CC1751">
        <f>'Grid_Stock'!BZ38</f>
        <v/>
      </c>
      <c r="CD1751">
        <f>'Grid_Stock'!CA38</f>
        <v/>
      </c>
      <c r="CE1751">
        <f>'Grid_Stock'!CB38</f>
        <v/>
      </c>
      <c r="CF1751">
        <f>'Grid_Stock'!CC38</f>
        <v/>
      </c>
      <c r="CG1751">
        <f>'Grid_Stock'!CD38</f>
        <v/>
      </c>
      <c r="CH1751">
        <f>'Grid_Stock'!CE38</f>
        <v/>
      </c>
      <c r="CI1751">
        <f>'Grid_Stock'!CF38</f>
        <v/>
      </c>
      <c r="CJ1751">
        <f>'Grid_Stock'!CG38</f>
        <v/>
      </c>
      <c r="CK1751">
        <f>'Grid_Stock'!CH38</f>
        <v/>
      </c>
      <c r="CL1751">
        <f>'Grid_Stock'!CI38</f>
        <v/>
      </c>
      <c r="CM1751">
        <f>'Grid_Stock'!CJ38</f>
        <v/>
      </c>
      <c r="CN1751">
        <f>'Grid_Stock'!CK38</f>
        <v/>
      </c>
      <c r="CO1751">
        <f>'Grid_Stock'!CL38</f>
        <v/>
      </c>
      <c r="CP1751">
        <f>'Grid_Stock'!CM38</f>
        <v/>
      </c>
      <c r="CQ1751">
        <f>'Grid_Stock'!CN38</f>
        <v/>
      </c>
      <c r="CR1751">
        <f>'Grid_Stock'!CO38</f>
        <v/>
      </c>
      <c r="CS1751">
        <f>'Grid_Stock'!CP38</f>
        <v/>
      </c>
      <c r="CT1751">
        <f>'Grid_Stock'!CQ38</f>
        <v/>
      </c>
      <c r="CU1751">
        <f>'Grid_Stock'!CR38</f>
        <v/>
      </c>
      <c r="CV1751">
        <f>'Grid_Stock'!CS38</f>
        <v/>
      </c>
      <c r="CW1751">
        <f>'Grid_Stock'!CT38</f>
        <v/>
      </c>
      <c r="CX1751">
        <f>'Grid_Stock'!CU38</f>
        <v/>
      </c>
      <c r="CY1751">
        <f>'Grid_Stock'!CV38</f>
        <v/>
      </c>
      <c r="CZ1751">
        <f>'Grid_Stock'!CW38</f>
        <v/>
      </c>
      <c r="DA1751">
        <f>'Grid_Stock'!CX38</f>
        <v/>
      </c>
      <c r="DB1751">
        <f>'Grid_Stock'!CY38</f>
        <v/>
      </c>
      <c r="DC1751">
        <f>'Grid_Stock'!CZ38</f>
        <v/>
      </c>
      <c r="DD1751">
        <f>'Grid_Stock'!DA38</f>
        <v/>
      </c>
    </row>
    <row r="1752">
      <c r="B1752" s="25" t="inlineStr">
        <is>
          <t>（発注の目安はDashboardの基準在庫[下限/上限]と色分けを参照）</t>
        </is>
      </c>
    </row>
    <row r="1754">
      <c r="A1754" s="21" t="inlineStr">
        <is>
          <t>CHEM-1830</t>
        </is>
      </c>
      <c r="B1754" s="21" t="inlineStr">
        <is>
          <t>RCT-43</t>
        </is>
      </c>
      <c r="C1754" s="22" t="n"/>
      <c r="D1754" s="21" t="n"/>
      <c r="E1754" s="21" t="n"/>
      <c r="F1754" s="21" t="n"/>
      <c r="G1754" s="21" t="n"/>
      <c r="H1754" s="21" t="n"/>
      <c r="I1754" s="21" t="n"/>
      <c r="J1754" s="21" t="n"/>
      <c r="K1754" s="21" t="n"/>
      <c r="L1754" s="21" t="n"/>
      <c r="M1754" s="21" t="n"/>
      <c r="N1754" s="21" t="n"/>
      <c r="O1754" s="21" t="n"/>
      <c r="P1754" s="21" t="n"/>
      <c r="Q1754" s="21" t="n"/>
      <c r="R1754" s="21" t="n"/>
      <c r="S1754" s="21" t="n"/>
      <c r="T1754" s="21" t="n"/>
      <c r="U1754" s="21" t="n"/>
      <c r="V1754" s="21" t="n"/>
      <c r="W1754" s="21" t="n"/>
      <c r="X1754" s="21" t="n"/>
      <c r="Y1754" s="21" t="n"/>
      <c r="Z1754" s="21" t="n"/>
      <c r="AA1754" s="21" t="n"/>
      <c r="AB1754" s="21" t="n"/>
      <c r="AC1754" s="21" t="n"/>
      <c r="AD1754" s="21" t="n"/>
      <c r="AE1754" s="21" t="n"/>
      <c r="AF1754" s="21" t="n"/>
      <c r="AG1754" s="21" t="n"/>
      <c r="AH1754" s="21" t="n"/>
      <c r="AI1754" s="21" t="n"/>
      <c r="AJ1754" s="21" t="n"/>
      <c r="AK1754" s="21" t="n"/>
      <c r="AL1754" s="21" t="n"/>
      <c r="AM1754" s="21" t="n"/>
      <c r="AN1754" s="21" t="n"/>
      <c r="AO1754" s="21" t="n"/>
      <c r="AP1754" s="21" t="n"/>
      <c r="AQ1754" s="21" t="n"/>
      <c r="AR1754" s="21" t="n"/>
      <c r="AS1754" s="21" t="n"/>
      <c r="AT1754" s="21" t="n"/>
      <c r="AU1754" s="21" t="n"/>
      <c r="AV1754" s="21" t="n"/>
      <c r="AW1754" s="21" t="n"/>
      <c r="AX1754" s="21" t="n"/>
      <c r="AY1754" s="21" t="n"/>
      <c r="AZ1754" s="21" t="n"/>
      <c r="BA1754" s="21" t="n"/>
      <c r="BB1754" s="21" t="n"/>
      <c r="BC1754" s="21" t="n"/>
      <c r="BD1754" s="21" t="n"/>
      <c r="BE1754" s="21" t="n"/>
      <c r="BF1754" s="21" t="n"/>
      <c r="BG1754" s="21" t="n"/>
      <c r="BH1754" s="21" t="n"/>
      <c r="BI1754" s="21" t="n"/>
      <c r="BJ1754" s="21" t="n"/>
      <c r="BK1754" s="21" t="n"/>
      <c r="BL1754" s="21" t="n"/>
      <c r="BM1754" s="21" t="n"/>
      <c r="BN1754" s="21" t="n"/>
      <c r="BO1754" s="21" t="n"/>
      <c r="BP1754" s="21" t="n"/>
      <c r="BQ1754" s="21" t="n"/>
      <c r="BR1754" s="21" t="n"/>
      <c r="BS1754" s="21" t="n"/>
      <c r="BT1754" s="21" t="n"/>
      <c r="BU1754" s="21" t="n"/>
      <c r="BV1754" s="21" t="n"/>
      <c r="BW1754" s="21" t="n"/>
      <c r="BX1754" s="21" t="n"/>
      <c r="BY1754" s="21" t="n"/>
      <c r="BZ1754" s="21" t="n"/>
      <c r="CA1754" s="21" t="n"/>
      <c r="CB1754" s="21" t="n"/>
      <c r="CC1754" s="21" t="n"/>
      <c r="CD1754" s="21" t="n"/>
      <c r="CE1754" s="21" t="n"/>
      <c r="CF1754" s="21" t="n"/>
      <c r="CG1754" s="21" t="n"/>
      <c r="CH1754" s="21" t="n"/>
      <c r="CI1754" s="21" t="n"/>
      <c r="CJ1754" s="21" t="n"/>
      <c r="CK1754" s="21" t="n"/>
      <c r="CL1754" s="21" t="n"/>
      <c r="CM1754" s="21" t="n"/>
      <c r="CN1754" s="21" t="n"/>
      <c r="CO1754" s="21" t="n"/>
      <c r="CP1754" s="21" t="n"/>
      <c r="CQ1754" s="21" t="n"/>
      <c r="CR1754" s="21" t="n"/>
      <c r="CS1754" s="21" t="n"/>
      <c r="CT1754" s="21" t="n"/>
      <c r="CU1754" s="21" t="n"/>
      <c r="CV1754" s="21" t="n"/>
      <c r="CW1754" s="21" t="n"/>
      <c r="CX1754" s="21" t="n"/>
      <c r="CY1754" s="21" t="n"/>
      <c r="CZ1754" s="21" t="n"/>
      <c r="DA1754" s="21" t="n"/>
      <c r="DB1754" s="21" t="n"/>
      <c r="DC1754" s="21" t="n"/>
      <c r="DD1754" s="21" t="n"/>
    </row>
    <row r="1755">
      <c r="B1755" t="inlineStr">
        <is>
          <t>TPP-2245</t>
        </is>
      </c>
      <c r="C1755" t="inlineStr">
        <is>
          <t>No. of batches</t>
        </is>
      </c>
      <c r="D1755">
        <f>IFERROR(INDEX(E1755:DD1755,$F$1),"")</f>
        <v/>
      </c>
      <c r="E1755">
        <f>IFERROR(INDEX(PP_Grid[#Data],$DE1755,2),0)</f>
        <v/>
      </c>
      <c r="F1755">
        <f>IFERROR(INDEX(PP_Grid[#Data],$DE1755,3),0)</f>
        <v/>
      </c>
      <c r="G1755">
        <f>IFERROR(INDEX(PP_Grid[#Data],$DE1755,4),0)</f>
        <v/>
      </c>
      <c r="H1755">
        <f>IFERROR(INDEX(PP_Grid[#Data],$DE1755,5),0)</f>
        <v/>
      </c>
      <c r="I1755">
        <f>IFERROR(INDEX(PP_Grid[#Data],$DE1755,6),0)</f>
        <v/>
      </c>
      <c r="J1755">
        <f>IFERROR(INDEX(PP_Grid[#Data],$DE1755,7),0)</f>
        <v/>
      </c>
      <c r="K1755">
        <f>IFERROR(INDEX(PP_Grid[#Data],$DE1755,8),0)</f>
        <v/>
      </c>
      <c r="L1755">
        <f>IFERROR(INDEX(PP_Grid[#Data],$DE1755,9),0)</f>
        <v/>
      </c>
      <c r="M1755">
        <f>IFERROR(INDEX(PP_Grid[#Data],$DE1755,10),0)</f>
        <v/>
      </c>
      <c r="N1755">
        <f>IFERROR(INDEX(PP_Grid[#Data],$DE1755,11),0)</f>
        <v/>
      </c>
      <c r="O1755">
        <f>IFERROR(INDEX(PP_Grid[#Data],$DE1755,12),0)</f>
        <v/>
      </c>
      <c r="P1755">
        <f>IFERROR(INDEX(PP_Grid[#Data],$DE1755,13),0)</f>
        <v/>
      </c>
      <c r="Q1755">
        <f>IFERROR(INDEX(PP_Grid[#Data],$DE1755,14),0)</f>
        <v/>
      </c>
      <c r="R1755">
        <f>IFERROR(INDEX(PP_Grid[#Data],$DE1755,15),0)</f>
        <v/>
      </c>
      <c r="S1755">
        <f>IFERROR(INDEX(PP_Grid[#Data],$DE1755,16),0)</f>
        <v/>
      </c>
      <c r="T1755">
        <f>IFERROR(INDEX(PP_Grid[#Data],$DE1755,17),0)</f>
        <v/>
      </c>
      <c r="U1755">
        <f>IFERROR(INDEX(PP_Grid[#Data],$DE1755,18),0)</f>
        <v/>
      </c>
      <c r="V1755">
        <f>IFERROR(INDEX(PP_Grid[#Data],$DE1755,19),0)</f>
        <v/>
      </c>
      <c r="W1755">
        <f>IFERROR(INDEX(PP_Grid[#Data],$DE1755,20),0)</f>
        <v/>
      </c>
      <c r="X1755">
        <f>IFERROR(INDEX(PP_Grid[#Data],$DE1755,21),0)</f>
        <v/>
      </c>
      <c r="Y1755">
        <f>IFERROR(INDEX(PP_Grid[#Data],$DE1755,22),0)</f>
        <v/>
      </c>
      <c r="Z1755">
        <f>IFERROR(INDEX(PP_Grid[#Data],$DE1755,23),0)</f>
        <v/>
      </c>
      <c r="AA1755">
        <f>IFERROR(INDEX(PP_Grid[#Data],$DE1755,24),0)</f>
        <v/>
      </c>
      <c r="AB1755">
        <f>IFERROR(INDEX(PP_Grid[#Data],$DE1755,25),0)</f>
        <v/>
      </c>
      <c r="AC1755">
        <f>IFERROR(INDEX(PP_Grid[#Data],$DE1755,26),0)</f>
        <v/>
      </c>
      <c r="AD1755">
        <f>IFERROR(INDEX(PP_Grid[#Data],$DE1755,27),0)</f>
        <v/>
      </c>
      <c r="AE1755">
        <f>IFERROR(INDEX(PP_Grid[#Data],$DE1755,28),0)</f>
        <v/>
      </c>
      <c r="AF1755">
        <f>IFERROR(INDEX(PP_Grid[#Data],$DE1755,29),0)</f>
        <v/>
      </c>
      <c r="AG1755">
        <f>IFERROR(INDEX(PP_Grid[#Data],$DE1755,30),0)</f>
        <v/>
      </c>
      <c r="AH1755">
        <f>IFERROR(INDEX(PP_Grid[#Data],$DE1755,31),0)</f>
        <v/>
      </c>
      <c r="AI1755">
        <f>IFERROR(INDEX(PP_Grid[#Data],$DE1755,32),0)</f>
        <v/>
      </c>
      <c r="AJ1755">
        <f>IFERROR(INDEX(PP_Grid[#Data],$DE1755,33),0)</f>
        <v/>
      </c>
      <c r="AK1755">
        <f>IFERROR(INDEX(PP_Grid[#Data],$DE1755,34),0)</f>
        <v/>
      </c>
      <c r="AL1755">
        <f>IFERROR(INDEX(PP_Grid[#Data],$DE1755,35),0)</f>
        <v/>
      </c>
      <c r="AM1755">
        <f>IFERROR(INDEX(PP_Grid[#Data],$DE1755,36),0)</f>
        <v/>
      </c>
      <c r="AN1755">
        <f>IFERROR(INDEX(PP_Grid[#Data],$DE1755,37),0)</f>
        <v/>
      </c>
      <c r="AO1755">
        <f>IFERROR(INDEX(PP_Grid[#Data],$DE1755,38),0)</f>
        <v/>
      </c>
      <c r="AP1755">
        <f>IFERROR(INDEX(PP_Grid[#Data],$DE1755,39),0)</f>
        <v/>
      </c>
      <c r="AQ1755">
        <f>IFERROR(INDEX(PP_Grid[#Data],$DE1755,40),0)</f>
        <v/>
      </c>
      <c r="AR1755">
        <f>IFERROR(INDEX(PP_Grid[#Data],$DE1755,41),0)</f>
        <v/>
      </c>
      <c r="AS1755">
        <f>IFERROR(INDEX(PP_Grid[#Data],$DE1755,42),0)</f>
        <v/>
      </c>
      <c r="AT1755">
        <f>IFERROR(INDEX(PP_Grid[#Data],$DE1755,43),0)</f>
        <v/>
      </c>
      <c r="AU1755">
        <f>IFERROR(INDEX(PP_Grid[#Data],$DE1755,44),0)</f>
        <v/>
      </c>
      <c r="AV1755">
        <f>IFERROR(INDEX(PP_Grid[#Data],$DE1755,45),0)</f>
        <v/>
      </c>
      <c r="AW1755">
        <f>IFERROR(INDEX(PP_Grid[#Data],$DE1755,46),0)</f>
        <v/>
      </c>
      <c r="AX1755">
        <f>IFERROR(INDEX(PP_Grid[#Data],$DE1755,47),0)</f>
        <v/>
      </c>
      <c r="AY1755">
        <f>IFERROR(INDEX(PP_Grid[#Data],$DE1755,48),0)</f>
        <v/>
      </c>
      <c r="AZ1755">
        <f>IFERROR(INDEX(PP_Grid[#Data],$DE1755,49),0)</f>
        <v/>
      </c>
      <c r="BA1755">
        <f>IFERROR(INDEX(PP_Grid[#Data],$DE1755,50),0)</f>
        <v/>
      </c>
      <c r="BB1755">
        <f>IFERROR(INDEX(PP_Grid[#Data],$DE1755,51),0)</f>
        <v/>
      </c>
      <c r="BC1755">
        <f>IFERROR(INDEX(PP_Grid[#Data],$DE1755,52),0)</f>
        <v/>
      </c>
      <c r="BD1755">
        <f>IFERROR(INDEX(PP_Grid[#Data],$DE1755,53),0)</f>
        <v/>
      </c>
      <c r="BE1755">
        <f>IFERROR(INDEX(PP_Grid[#Data],$DE1755,54),0)</f>
        <v/>
      </c>
      <c r="BF1755">
        <f>IFERROR(INDEX(PP_Grid[#Data],$DE1755,55),0)</f>
        <v/>
      </c>
      <c r="BG1755">
        <f>IFERROR(INDEX(PP_Grid[#Data],$DE1755,56),0)</f>
        <v/>
      </c>
      <c r="BH1755">
        <f>IFERROR(INDEX(PP_Grid[#Data],$DE1755,57),0)</f>
        <v/>
      </c>
      <c r="BI1755">
        <f>IFERROR(INDEX(PP_Grid[#Data],$DE1755,58),0)</f>
        <v/>
      </c>
      <c r="BJ1755">
        <f>IFERROR(INDEX(PP_Grid[#Data],$DE1755,59),0)</f>
        <v/>
      </c>
      <c r="BK1755">
        <f>IFERROR(INDEX(PP_Grid[#Data],$DE1755,60),0)</f>
        <v/>
      </c>
      <c r="BL1755">
        <f>IFERROR(INDEX(PP_Grid[#Data],$DE1755,61),0)</f>
        <v/>
      </c>
      <c r="BM1755">
        <f>IFERROR(INDEX(PP_Grid[#Data],$DE1755,62),0)</f>
        <v/>
      </c>
      <c r="BN1755">
        <f>IFERROR(INDEX(PP_Grid[#Data],$DE1755,63),0)</f>
        <v/>
      </c>
      <c r="BO1755">
        <f>IFERROR(INDEX(PP_Grid[#Data],$DE1755,64),0)</f>
        <v/>
      </c>
      <c r="BP1755">
        <f>IFERROR(INDEX(PP_Grid[#Data],$DE1755,65),0)</f>
        <v/>
      </c>
      <c r="BQ1755">
        <f>IFERROR(INDEX(PP_Grid[#Data],$DE1755,66),0)</f>
        <v/>
      </c>
      <c r="BR1755">
        <f>IFERROR(INDEX(PP_Grid[#Data],$DE1755,67),0)</f>
        <v/>
      </c>
      <c r="BS1755">
        <f>IFERROR(INDEX(PP_Grid[#Data],$DE1755,68),0)</f>
        <v/>
      </c>
      <c r="BT1755">
        <f>IFERROR(INDEX(PP_Grid[#Data],$DE1755,69),0)</f>
        <v/>
      </c>
      <c r="BU1755">
        <f>IFERROR(INDEX(PP_Grid[#Data],$DE1755,70),0)</f>
        <v/>
      </c>
      <c r="BV1755">
        <f>IFERROR(INDEX(PP_Grid[#Data],$DE1755,71),0)</f>
        <v/>
      </c>
      <c r="BW1755">
        <f>IFERROR(INDEX(PP_Grid[#Data],$DE1755,72),0)</f>
        <v/>
      </c>
      <c r="BX1755">
        <f>IFERROR(INDEX(PP_Grid[#Data],$DE1755,73),0)</f>
        <v/>
      </c>
      <c r="BY1755">
        <f>IFERROR(INDEX(PP_Grid[#Data],$DE1755,74),0)</f>
        <v/>
      </c>
      <c r="BZ1755">
        <f>IFERROR(INDEX(PP_Grid[#Data],$DE1755,75),0)</f>
        <v/>
      </c>
      <c r="CA1755">
        <f>IFERROR(INDEX(PP_Grid[#Data],$DE1755,76),0)</f>
        <v/>
      </c>
      <c r="CB1755">
        <f>IFERROR(INDEX(PP_Grid[#Data],$DE1755,77),0)</f>
        <v/>
      </c>
      <c r="CC1755">
        <f>IFERROR(INDEX(PP_Grid[#Data],$DE1755,78),0)</f>
        <v/>
      </c>
      <c r="CD1755">
        <f>IFERROR(INDEX(PP_Grid[#Data],$DE1755,79),0)</f>
        <v/>
      </c>
      <c r="CE1755">
        <f>IFERROR(INDEX(PP_Grid[#Data],$DE1755,80),0)</f>
        <v/>
      </c>
      <c r="CF1755">
        <f>IFERROR(INDEX(PP_Grid[#Data],$DE1755,81),0)</f>
        <v/>
      </c>
      <c r="CG1755">
        <f>IFERROR(INDEX(PP_Grid[#Data],$DE1755,82),0)</f>
        <v/>
      </c>
      <c r="CH1755">
        <f>IFERROR(INDEX(PP_Grid[#Data],$DE1755,83),0)</f>
        <v/>
      </c>
      <c r="CI1755">
        <f>IFERROR(INDEX(PP_Grid[#Data],$DE1755,84),0)</f>
        <v/>
      </c>
      <c r="CJ1755">
        <f>IFERROR(INDEX(PP_Grid[#Data],$DE1755,85),0)</f>
        <v/>
      </c>
      <c r="CK1755">
        <f>IFERROR(INDEX(PP_Grid[#Data],$DE1755,86),0)</f>
        <v/>
      </c>
      <c r="CL1755">
        <f>IFERROR(INDEX(PP_Grid[#Data],$DE1755,87),0)</f>
        <v/>
      </c>
      <c r="CM1755">
        <f>IFERROR(INDEX(PP_Grid[#Data],$DE1755,88),0)</f>
        <v/>
      </c>
      <c r="CN1755">
        <f>IFERROR(INDEX(PP_Grid[#Data],$DE1755,89),0)</f>
        <v/>
      </c>
      <c r="CO1755">
        <f>IFERROR(INDEX(PP_Grid[#Data],$DE1755,90),0)</f>
        <v/>
      </c>
      <c r="CP1755">
        <f>IFERROR(INDEX(PP_Grid[#Data],$DE1755,91),0)</f>
        <v/>
      </c>
      <c r="CQ1755">
        <f>IFERROR(INDEX(PP_Grid[#Data],$DE1755,92),0)</f>
        <v/>
      </c>
      <c r="CR1755">
        <f>IFERROR(INDEX(PP_Grid[#Data],$DE1755,93),0)</f>
        <v/>
      </c>
      <c r="CS1755">
        <f>IFERROR(INDEX(PP_Grid[#Data],$DE1755,94),0)</f>
        <v/>
      </c>
      <c r="CT1755">
        <f>IFERROR(INDEX(PP_Grid[#Data],$DE1755,95),0)</f>
        <v/>
      </c>
      <c r="CU1755">
        <f>IFERROR(INDEX(PP_Grid[#Data],$DE1755,96),0)</f>
        <v/>
      </c>
      <c r="CV1755">
        <f>IFERROR(INDEX(PP_Grid[#Data],$DE1755,97),0)</f>
        <v/>
      </c>
      <c r="CW1755">
        <f>IFERROR(INDEX(PP_Grid[#Data],$DE1755,98),0)</f>
        <v/>
      </c>
      <c r="CX1755">
        <f>IFERROR(INDEX(PP_Grid[#Data],$DE1755,99),0)</f>
        <v/>
      </c>
      <c r="CY1755">
        <f>IFERROR(INDEX(PP_Grid[#Data],$DE1755,100),0)</f>
        <v/>
      </c>
      <c r="CZ1755">
        <f>IFERROR(INDEX(PP_Grid[#Data],$DE1755,101),0)</f>
        <v/>
      </c>
      <c r="DA1755">
        <f>IFERROR(INDEX(PP_Grid[#Data],$DE1755,102),0)</f>
        <v/>
      </c>
      <c r="DB1755">
        <f>IFERROR(INDEX(PP_Grid[#Data],$DE1755,103),0)</f>
        <v/>
      </c>
      <c r="DC1755">
        <f>IFERROR(INDEX(PP_Grid[#Data],$DE1755,104),0)</f>
        <v/>
      </c>
      <c r="DD1755">
        <f>IFERROR(INDEX(PP_Grid[#Data],$DE1755,105),0)</f>
        <v/>
      </c>
      <c r="DE1755" s="7">
        <f>IFERROR(MATCH($B1755,PP_Grid[Intermediate],0),99999)</f>
        <v/>
      </c>
    </row>
    <row r="1756">
      <c r="B1756" t="inlineStr">
        <is>
          <t>使用量(kg)</t>
        </is>
      </c>
      <c r="C1756">
        <f>SUMIFS(M_BOM[RM_Qty_Per_Batch],M_BOM[Intermediate],$B1755,M_BOM[RM_Code],$A1754)</f>
        <v/>
      </c>
      <c r="D1756">
        <f>IFERROR(INDEX(E1756:DD1756,$F$1),"")</f>
        <v/>
      </c>
      <c r="E1756">
        <f>$C1756*E1755</f>
        <v/>
      </c>
      <c r="F1756">
        <f>$C1756*F1755</f>
        <v/>
      </c>
      <c r="G1756">
        <f>$C1756*G1755</f>
        <v/>
      </c>
      <c r="H1756">
        <f>$C1756*H1755</f>
        <v/>
      </c>
      <c r="I1756">
        <f>$C1756*I1755</f>
        <v/>
      </c>
      <c r="J1756">
        <f>$C1756*J1755</f>
        <v/>
      </c>
      <c r="K1756">
        <f>$C1756*K1755</f>
        <v/>
      </c>
      <c r="L1756">
        <f>$C1756*L1755</f>
        <v/>
      </c>
      <c r="M1756">
        <f>$C1756*M1755</f>
        <v/>
      </c>
      <c r="N1756">
        <f>$C1756*N1755</f>
        <v/>
      </c>
      <c r="O1756">
        <f>$C1756*O1755</f>
        <v/>
      </c>
      <c r="P1756">
        <f>$C1756*P1755</f>
        <v/>
      </c>
      <c r="Q1756">
        <f>$C1756*Q1755</f>
        <v/>
      </c>
      <c r="R1756">
        <f>$C1756*R1755</f>
        <v/>
      </c>
      <c r="S1756">
        <f>$C1756*S1755</f>
        <v/>
      </c>
      <c r="T1756">
        <f>$C1756*T1755</f>
        <v/>
      </c>
      <c r="U1756">
        <f>$C1756*U1755</f>
        <v/>
      </c>
      <c r="V1756">
        <f>$C1756*V1755</f>
        <v/>
      </c>
      <c r="W1756">
        <f>$C1756*W1755</f>
        <v/>
      </c>
      <c r="X1756">
        <f>$C1756*X1755</f>
        <v/>
      </c>
      <c r="Y1756">
        <f>$C1756*Y1755</f>
        <v/>
      </c>
      <c r="Z1756">
        <f>$C1756*Z1755</f>
        <v/>
      </c>
      <c r="AA1756">
        <f>$C1756*AA1755</f>
        <v/>
      </c>
      <c r="AB1756">
        <f>$C1756*AB1755</f>
        <v/>
      </c>
      <c r="AC1756">
        <f>$C1756*AC1755</f>
        <v/>
      </c>
      <c r="AD1756">
        <f>$C1756*AD1755</f>
        <v/>
      </c>
      <c r="AE1756">
        <f>$C1756*AE1755</f>
        <v/>
      </c>
      <c r="AF1756">
        <f>$C1756*AF1755</f>
        <v/>
      </c>
      <c r="AG1756">
        <f>$C1756*AG1755</f>
        <v/>
      </c>
      <c r="AH1756">
        <f>$C1756*AH1755</f>
        <v/>
      </c>
      <c r="AI1756">
        <f>$C1756*AI1755</f>
        <v/>
      </c>
      <c r="AJ1756">
        <f>$C1756*AJ1755</f>
        <v/>
      </c>
      <c r="AK1756">
        <f>$C1756*AK1755</f>
        <v/>
      </c>
      <c r="AL1756">
        <f>$C1756*AL1755</f>
        <v/>
      </c>
      <c r="AM1756">
        <f>$C1756*AM1755</f>
        <v/>
      </c>
      <c r="AN1756">
        <f>$C1756*AN1755</f>
        <v/>
      </c>
      <c r="AO1756">
        <f>$C1756*AO1755</f>
        <v/>
      </c>
      <c r="AP1756">
        <f>$C1756*AP1755</f>
        <v/>
      </c>
      <c r="AQ1756">
        <f>$C1756*AQ1755</f>
        <v/>
      </c>
      <c r="AR1756">
        <f>$C1756*AR1755</f>
        <v/>
      </c>
      <c r="AS1756">
        <f>$C1756*AS1755</f>
        <v/>
      </c>
      <c r="AT1756">
        <f>$C1756*AT1755</f>
        <v/>
      </c>
      <c r="AU1756">
        <f>$C1756*AU1755</f>
        <v/>
      </c>
      <c r="AV1756">
        <f>$C1756*AV1755</f>
        <v/>
      </c>
      <c r="AW1756">
        <f>$C1756*AW1755</f>
        <v/>
      </c>
      <c r="AX1756">
        <f>$C1756*AX1755</f>
        <v/>
      </c>
      <c r="AY1756">
        <f>$C1756*AY1755</f>
        <v/>
      </c>
      <c r="AZ1756">
        <f>$C1756*AZ1755</f>
        <v/>
      </c>
      <c r="BA1756">
        <f>$C1756*BA1755</f>
        <v/>
      </c>
      <c r="BB1756">
        <f>$C1756*BB1755</f>
        <v/>
      </c>
      <c r="BC1756">
        <f>$C1756*BC1755</f>
        <v/>
      </c>
      <c r="BD1756">
        <f>$C1756*BD1755</f>
        <v/>
      </c>
      <c r="BE1756">
        <f>$C1756*BE1755</f>
        <v/>
      </c>
      <c r="BF1756">
        <f>$C1756*BF1755</f>
        <v/>
      </c>
      <c r="BG1756">
        <f>$C1756*BG1755</f>
        <v/>
      </c>
      <c r="BH1756">
        <f>$C1756*BH1755</f>
        <v/>
      </c>
      <c r="BI1756">
        <f>$C1756*BI1755</f>
        <v/>
      </c>
      <c r="BJ1756">
        <f>$C1756*BJ1755</f>
        <v/>
      </c>
      <c r="BK1756">
        <f>$C1756*BK1755</f>
        <v/>
      </c>
      <c r="BL1756">
        <f>$C1756*BL1755</f>
        <v/>
      </c>
      <c r="BM1756">
        <f>$C1756*BM1755</f>
        <v/>
      </c>
      <c r="BN1756">
        <f>$C1756*BN1755</f>
        <v/>
      </c>
      <c r="BO1756">
        <f>$C1756*BO1755</f>
        <v/>
      </c>
      <c r="BP1756">
        <f>$C1756*BP1755</f>
        <v/>
      </c>
      <c r="BQ1756">
        <f>$C1756*BQ1755</f>
        <v/>
      </c>
      <c r="BR1756">
        <f>$C1756*BR1755</f>
        <v/>
      </c>
      <c r="BS1756">
        <f>$C1756*BS1755</f>
        <v/>
      </c>
      <c r="BT1756">
        <f>$C1756*BT1755</f>
        <v/>
      </c>
      <c r="BU1756">
        <f>$C1756*BU1755</f>
        <v/>
      </c>
      <c r="BV1756">
        <f>$C1756*BV1755</f>
        <v/>
      </c>
      <c r="BW1756">
        <f>$C1756*BW1755</f>
        <v/>
      </c>
      <c r="BX1756">
        <f>$C1756*BX1755</f>
        <v/>
      </c>
      <c r="BY1756">
        <f>$C1756*BY1755</f>
        <v/>
      </c>
      <c r="BZ1756">
        <f>$C1756*BZ1755</f>
        <v/>
      </c>
      <c r="CA1756">
        <f>$C1756*CA1755</f>
        <v/>
      </c>
      <c r="CB1756">
        <f>$C1756*CB1755</f>
        <v/>
      </c>
      <c r="CC1756">
        <f>$C1756*CC1755</f>
        <v/>
      </c>
      <c r="CD1756">
        <f>$C1756*CD1755</f>
        <v/>
      </c>
      <c r="CE1756">
        <f>$C1756*CE1755</f>
        <v/>
      </c>
      <c r="CF1756">
        <f>$C1756*CF1755</f>
        <v/>
      </c>
      <c r="CG1756">
        <f>$C1756*CG1755</f>
        <v/>
      </c>
      <c r="CH1756">
        <f>$C1756*CH1755</f>
        <v/>
      </c>
      <c r="CI1756">
        <f>$C1756*CI1755</f>
        <v/>
      </c>
      <c r="CJ1756">
        <f>$C1756*CJ1755</f>
        <v/>
      </c>
      <c r="CK1756">
        <f>$C1756*CK1755</f>
        <v/>
      </c>
      <c r="CL1756">
        <f>$C1756*CL1755</f>
        <v/>
      </c>
      <c r="CM1756">
        <f>$C1756*CM1755</f>
        <v/>
      </c>
      <c r="CN1756">
        <f>$C1756*CN1755</f>
        <v/>
      </c>
      <c r="CO1756">
        <f>$C1756*CO1755</f>
        <v/>
      </c>
      <c r="CP1756">
        <f>$C1756*CP1755</f>
        <v/>
      </c>
      <c r="CQ1756">
        <f>$C1756*CQ1755</f>
        <v/>
      </c>
      <c r="CR1756">
        <f>$C1756*CR1755</f>
        <v/>
      </c>
      <c r="CS1756">
        <f>$C1756*CS1755</f>
        <v/>
      </c>
      <c r="CT1756">
        <f>$C1756*CT1755</f>
        <v/>
      </c>
      <c r="CU1756">
        <f>$C1756*CU1755</f>
        <v/>
      </c>
      <c r="CV1756">
        <f>$C1756*CV1755</f>
        <v/>
      </c>
      <c r="CW1756">
        <f>$C1756*CW1755</f>
        <v/>
      </c>
      <c r="CX1756">
        <f>$C1756*CX1755</f>
        <v/>
      </c>
      <c r="CY1756">
        <f>$C1756*CY1755</f>
        <v/>
      </c>
      <c r="CZ1756">
        <f>$C1756*CZ1755</f>
        <v/>
      </c>
      <c r="DA1756">
        <f>$C1756*DA1755</f>
        <v/>
      </c>
      <c r="DB1756">
        <f>$C1756*DB1755</f>
        <v/>
      </c>
      <c r="DC1756">
        <f>$C1756*DC1755</f>
        <v/>
      </c>
      <c r="DD1756">
        <f>$C1756*DD1755</f>
        <v/>
      </c>
    </row>
    <row r="1757">
      <c r="B1757" t="inlineStr">
        <is>
          <t>TSP-1558</t>
        </is>
      </c>
      <c r="C1757" t="inlineStr">
        <is>
          <t>No. of batches</t>
        </is>
      </c>
      <c r="D1757">
        <f>IFERROR(INDEX(E1757:DD1757,$F$1),"")</f>
        <v/>
      </c>
      <c r="E1757">
        <f>IFERROR(INDEX(PP_Grid[#Data],$DE1757,2),0)</f>
        <v/>
      </c>
      <c r="F1757">
        <f>IFERROR(INDEX(PP_Grid[#Data],$DE1757,3),0)</f>
        <v/>
      </c>
      <c r="G1757">
        <f>IFERROR(INDEX(PP_Grid[#Data],$DE1757,4),0)</f>
        <v/>
      </c>
      <c r="H1757">
        <f>IFERROR(INDEX(PP_Grid[#Data],$DE1757,5),0)</f>
        <v/>
      </c>
      <c r="I1757">
        <f>IFERROR(INDEX(PP_Grid[#Data],$DE1757,6),0)</f>
        <v/>
      </c>
      <c r="J1757">
        <f>IFERROR(INDEX(PP_Grid[#Data],$DE1757,7),0)</f>
        <v/>
      </c>
      <c r="K1757">
        <f>IFERROR(INDEX(PP_Grid[#Data],$DE1757,8),0)</f>
        <v/>
      </c>
      <c r="L1757">
        <f>IFERROR(INDEX(PP_Grid[#Data],$DE1757,9),0)</f>
        <v/>
      </c>
      <c r="M1757">
        <f>IFERROR(INDEX(PP_Grid[#Data],$DE1757,10),0)</f>
        <v/>
      </c>
      <c r="N1757">
        <f>IFERROR(INDEX(PP_Grid[#Data],$DE1757,11),0)</f>
        <v/>
      </c>
      <c r="O1757">
        <f>IFERROR(INDEX(PP_Grid[#Data],$DE1757,12),0)</f>
        <v/>
      </c>
      <c r="P1757">
        <f>IFERROR(INDEX(PP_Grid[#Data],$DE1757,13),0)</f>
        <v/>
      </c>
      <c r="Q1757">
        <f>IFERROR(INDEX(PP_Grid[#Data],$DE1757,14),0)</f>
        <v/>
      </c>
      <c r="R1757">
        <f>IFERROR(INDEX(PP_Grid[#Data],$DE1757,15),0)</f>
        <v/>
      </c>
      <c r="S1757">
        <f>IFERROR(INDEX(PP_Grid[#Data],$DE1757,16),0)</f>
        <v/>
      </c>
      <c r="T1757">
        <f>IFERROR(INDEX(PP_Grid[#Data],$DE1757,17),0)</f>
        <v/>
      </c>
      <c r="U1757">
        <f>IFERROR(INDEX(PP_Grid[#Data],$DE1757,18),0)</f>
        <v/>
      </c>
      <c r="V1757">
        <f>IFERROR(INDEX(PP_Grid[#Data],$DE1757,19),0)</f>
        <v/>
      </c>
      <c r="W1757">
        <f>IFERROR(INDEX(PP_Grid[#Data],$DE1757,20),0)</f>
        <v/>
      </c>
      <c r="X1757">
        <f>IFERROR(INDEX(PP_Grid[#Data],$DE1757,21),0)</f>
        <v/>
      </c>
      <c r="Y1757">
        <f>IFERROR(INDEX(PP_Grid[#Data],$DE1757,22),0)</f>
        <v/>
      </c>
      <c r="Z1757">
        <f>IFERROR(INDEX(PP_Grid[#Data],$DE1757,23),0)</f>
        <v/>
      </c>
      <c r="AA1757">
        <f>IFERROR(INDEX(PP_Grid[#Data],$DE1757,24),0)</f>
        <v/>
      </c>
      <c r="AB1757">
        <f>IFERROR(INDEX(PP_Grid[#Data],$DE1757,25),0)</f>
        <v/>
      </c>
      <c r="AC1757">
        <f>IFERROR(INDEX(PP_Grid[#Data],$DE1757,26),0)</f>
        <v/>
      </c>
      <c r="AD1757">
        <f>IFERROR(INDEX(PP_Grid[#Data],$DE1757,27),0)</f>
        <v/>
      </c>
      <c r="AE1757">
        <f>IFERROR(INDEX(PP_Grid[#Data],$DE1757,28),0)</f>
        <v/>
      </c>
      <c r="AF1757">
        <f>IFERROR(INDEX(PP_Grid[#Data],$DE1757,29),0)</f>
        <v/>
      </c>
      <c r="AG1757">
        <f>IFERROR(INDEX(PP_Grid[#Data],$DE1757,30),0)</f>
        <v/>
      </c>
      <c r="AH1757">
        <f>IFERROR(INDEX(PP_Grid[#Data],$DE1757,31),0)</f>
        <v/>
      </c>
      <c r="AI1757">
        <f>IFERROR(INDEX(PP_Grid[#Data],$DE1757,32),0)</f>
        <v/>
      </c>
      <c r="AJ1757">
        <f>IFERROR(INDEX(PP_Grid[#Data],$DE1757,33),0)</f>
        <v/>
      </c>
      <c r="AK1757">
        <f>IFERROR(INDEX(PP_Grid[#Data],$DE1757,34),0)</f>
        <v/>
      </c>
      <c r="AL1757">
        <f>IFERROR(INDEX(PP_Grid[#Data],$DE1757,35),0)</f>
        <v/>
      </c>
      <c r="AM1757">
        <f>IFERROR(INDEX(PP_Grid[#Data],$DE1757,36),0)</f>
        <v/>
      </c>
      <c r="AN1757">
        <f>IFERROR(INDEX(PP_Grid[#Data],$DE1757,37),0)</f>
        <v/>
      </c>
      <c r="AO1757">
        <f>IFERROR(INDEX(PP_Grid[#Data],$DE1757,38),0)</f>
        <v/>
      </c>
      <c r="AP1757">
        <f>IFERROR(INDEX(PP_Grid[#Data],$DE1757,39),0)</f>
        <v/>
      </c>
      <c r="AQ1757">
        <f>IFERROR(INDEX(PP_Grid[#Data],$DE1757,40),0)</f>
        <v/>
      </c>
      <c r="AR1757">
        <f>IFERROR(INDEX(PP_Grid[#Data],$DE1757,41),0)</f>
        <v/>
      </c>
      <c r="AS1757">
        <f>IFERROR(INDEX(PP_Grid[#Data],$DE1757,42),0)</f>
        <v/>
      </c>
      <c r="AT1757">
        <f>IFERROR(INDEX(PP_Grid[#Data],$DE1757,43),0)</f>
        <v/>
      </c>
      <c r="AU1757">
        <f>IFERROR(INDEX(PP_Grid[#Data],$DE1757,44),0)</f>
        <v/>
      </c>
      <c r="AV1757">
        <f>IFERROR(INDEX(PP_Grid[#Data],$DE1757,45),0)</f>
        <v/>
      </c>
      <c r="AW1757">
        <f>IFERROR(INDEX(PP_Grid[#Data],$DE1757,46),0)</f>
        <v/>
      </c>
      <c r="AX1757">
        <f>IFERROR(INDEX(PP_Grid[#Data],$DE1757,47),0)</f>
        <v/>
      </c>
      <c r="AY1757">
        <f>IFERROR(INDEX(PP_Grid[#Data],$DE1757,48),0)</f>
        <v/>
      </c>
      <c r="AZ1757">
        <f>IFERROR(INDEX(PP_Grid[#Data],$DE1757,49),0)</f>
        <v/>
      </c>
      <c r="BA1757">
        <f>IFERROR(INDEX(PP_Grid[#Data],$DE1757,50),0)</f>
        <v/>
      </c>
      <c r="BB1757">
        <f>IFERROR(INDEX(PP_Grid[#Data],$DE1757,51),0)</f>
        <v/>
      </c>
      <c r="BC1757">
        <f>IFERROR(INDEX(PP_Grid[#Data],$DE1757,52),0)</f>
        <v/>
      </c>
      <c r="BD1757">
        <f>IFERROR(INDEX(PP_Grid[#Data],$DE1757,53),0)</f>
        <v/>
      </c>
      <c r="BE1757">
        <f>IFERROR(INDEX(PP_Grid[#Data],$DE1757,54),0)</f>
        <v/>
      </c>
      <c r="BF1757">
        <f>IFERROR(INDEX(PP_Grid[#Data],$DE1757,55),0)</f>
        <v/>
      </c>
      <c r="BG1757">
        <f>IFERROR(INDEX(PP_Grid[#Data],$DE1757,56),0)</f>
        <v/>
      </c>
      <c r="BH1757">
        <f>IFERROR(INDEX(PP_Grid[#Data],$DE1757,57),0)</f>
        <v/>
      </c>
      <c r="BI1757">
        <f>IFERROR(INDEX(PP_Grid[#Data],$DE1757,58),0)</f>
        <v/>
      </c>
      <c r="BJ1757">
        <f>IFERROR(INDEX(PP_Grid[#Data],$DE1757,59),0)</f>
        <v/>
      </c>
      <c r="BK1757">
        <f>IFERROR(INDEX(PP_Grid[#Data],$DE1757,60),0)</f>
        <v/>
      </c>
      <c r="BL1757">
        <f>IFERROR(INDEX(PP_Grid[#Data],$DE1757,61),0)</f>
        <v/>
      </c>
      <c r="BM1757">
        <f>IFERROR(INDEX(PP_Grid[#Data],$DE1757,62),0)</f>
        <v/>
      </c>
      <c r="BN1757">
        <f>IFERROR(INDEX(PP_Grid[#Data],$DE1757,63),0)</f>
        <v/>
      </c>
      <c r="BO1757">
        <f>IFERROR(INDEX(PP_Grid[#Data],$DE1757,64),0)</f>
        <v/>
      </c>
      <c r="BP1757">
        <f>IFERROR(INDEX(PP_Grid[#Data],$DE1757,65),0)</f>
        <v/>
      </c>
      <c r="BQ1757">
        <f>IFERROR(INDEX(PP_Grid[#Data],$DE1757,66),0)</f>
        <v/>
      </c>
      <c r="BR1757">
        <f>IFERROR(INDEX(PP_Grid[#Data],$DE1757,67),0)</f>
        <v/>
      </c>
      <c r="BS1757">
        <f>IFERROR(INDEX(PP_Grid[#Data],$DE1757,68),0)</f>
        <v/>
      </c>
      <c r="BT1757">
        <f>IFERROR(INDEX(PP_Grid[#Data],$DE1757,69),0)</f>
        <v/>
      </c>
      <c r="BU1757">
        <f>IFERROR(INDEX(PP_Grid[#Data],$DE1757,70),0)</f>
        <v/>
      </c>
      <c r="BV1757">
        <f>IFERROR(INDEX(PP_Grid[#Data],$DE1757,71),0)</f>
        <v/>
      </c>
      <c r="BW1757">
        <f>IFERROR(INDEX(PP_Grid[#Data],$DE1757,72),0)</f>
        <v/>
      </c>
      <c r="BX1757">
        <f>IFERROR(INDEX(PP_Grid[#Data],$DE1757,73),0)</f>
        <v/>
      </c>
      <c r="BY1757">
        <f>IFERROR(INDEX(PP_Grid[#Data],$DE1757,74),0)</f>
        <v/>
      </c>
      <c r="BZ1757">
        <f>IFERROR(INDEX(PP_Grid[#Data],$DE1757,75),0)</f>
        <v/>
      </c>
      <c r="CA1757">
        <f>IFERROR(INDEX(PP_Grid[#Data],$DE1757,76),0)</f>
        <v/>
      </c>
      <c r="CB1757">
        <f>IFERROR(INDEX(PP_Grid[#Data],$DE1757,77),0)</f>
        <v/>
      </c>
      <c r="CC1757">
        <f>IFERROR(INDEX(PP_Grid[#Data],$DE1757,78),0)</f>
        <v/>
      </c>
      <c r="CD1757">
        <f>IFERROR(INDEX(PP_Grid[#Data],$DE1757,79),0)</f>
        <v/>
      </c>
      <c r="CE1757">
        <f>IFERROR(INDEX(PP_Grid[#Data],$DE1757,80),0)</f>
        <v/>
      </c>
      <c r="CF1757">
        <f>IFERROR(INDEX(PP_Grid[#Data],$DE1757,81),0)</f>
        <v/>
      </c>
      <c r="CG1757">
        <f>IFERROR(INDEX(PP_Grid[#Data],$DE1757,82),0)</f>
        <v/>
      </c>
      <c r="CH1757">
        <f>IFERROR(INDEX(PP_Grid[#Data],$DE1757,83),0)</f>
        <v/>
      </c>
      <c r="CI1757">
        <f>IFERROR(INDEX(PP_Grid[#Data],$DE1757,84),0)</f>
        <v/>
      </c>
      <c r="CJ1757">
        <f>IFERROR(INDEX(PP_Grid[#Data],$DE1757,85),0)</f>
        <v/>
      </c>
      <c r="CK1757">
        <f>IFERROR(INDEX(PP_Grid[#Data],$DE1757,86),0)</f>
        <v/>
      </c>
      <c r="CL1757">
        <f>IFERROR(INDEX(PP_Grid[#Data],$DE1757,87),0)</f>
        <v/>
      </c>
      <c r="CM1757">
        <f>IFERROR(INDEX(PP_Grid[#Data],$DE1757,88),0)</f>
        <v/>
      </c>
      <c r="CN1757">
        <f>IFERROR(INDEX(PP_Grid[#Data],$DE1757,89),0)</f>
        <v/>
      </c>
      <c r="CO1757">
        <f>IFERROR(INDEX(PP_Grid[#Data],$DE1757,90),0)</f>
        <v/>
      </c>
      <c r="CP1757">
        <f>IFERROR(INDEX(PP_Grid[#Data],$DE1757,91),0)</f>
        <v/>
      </c>
      <c r="CQ1757">
        <f>IFERROR(INDEX(PP_Grid[#Data],$DE1757,92),0)</f>
        <v/>
      </c>
      <c r="CR1757">
        <f>IFERROR(INDEX(PP_Grid[#Data],$DE1757,93),0)</f>
        <v/>
      </c>
      <c r="CS1757">
        <f>IFERROR(INDEX(PP_Grid[#Data],$DE1757,94),0)</f>
        <v/>
      </c>
      <c r="CT1757">
        <f>IFERROR(INDEX(PP_Grid[#Data],$DE1757,95),0)</f>
        <v/>
      </c>
      <c r="CU1757">
        <f>IFERROR(INDEX(PP_Grid[#Data],$DE1757,96),0)</f>
        <v/>
      </c>
      <c r="CV1757">
        <f>IFERROR(INDEX(PP_Grid[#Data],$DE1757,97),0)</f>
        <v/>
      </c>
      <c r="CW1757">
        <f>IFERROR(INDEX(PP_Grid[#Data],$DE1757,98),0)</f>
        <v/>
      </c>
      <c r="CX1757">
        <f>IFERROR(INDEX(PP_Grid[#Data],$DE1757,99),0)</f>
        <v/>
      </c>
      <c r="CY1757">
        <f>IFERROR(INDEX(PP_Grid[#Data],$DE1757,100),0)</f>
        <v/>
      </c>
      <c r="CZ1757">
        <f>IFERROR(INDEX(PP_Grid[#Data],$DE1757,101),0)</f>
        <v/>
      </c>
      <c r="DA1757">
        <f>IFERROR(INDEX(PP_Grid[#Data],$DE1757,102),0)</f>
        <v/>
      </c>
      <c r="DB1757">
        <f>IFERROR(INDEX(PP_Grid[#Data],$DE1757,103),0)</f>
        <v/>
      </c>
      <c r="DC1757">
        <f>IFERROR(INDEX(PP_Grid[#Data],$DE1757,104),0)</f>
        <v/>
      </c>
      <c r="DD1757">
        <f>IFERROR(INDEX(PP_Grid[#Data],$DE1757,105),0)</f>
        <v/>
      </c>
      <c r="DE1757" s="7">
        <f>IFERROR(MATCH($B1757,PP_Grid[Intermediate],0),99999)</f>
        <v/>
      </c>
    </row>
    <row r="1758">
      <c r="B1758" t="inlineStr">
        <is>
          <t>使用量(kg)</t>
        </is>
      </c>
      <c r="C1758">
        <f>SUMIFS(M_BOM[RM_Qty_Per_Batch],M_BOM[Intermediate],$B1757,M_BOM[RM_Code],$A1754)</f>
        <v/>
      </c>
      <c r="D1758">
        <f>IFERROR(INDEX(E1758:DD1758,$F$1),"")</f>
        <v/>
      </c>
      <c r="E1758">
        <f>$C1758*E1757</f>
        <v/>
      </c>
      <c r="F1758">
        <f>$C1758*F1757</f>
        <v/>
      </c>
      <c r="G1758">
        <f>$C1758*G1757</f>
        <v/>
      </c>
      <c r="H1758">
        <f>$C1758*H1757</f>
        <v/>
      </c>
      <c r="I1758">
        <f>$C1758*I1757</f>
        <v/>
      </c>
      <c r="J1758">
        <f>$C1758*J1757</f>
        <v/>
      </c>
      <c r="K1758">
        <f>$C1758*K1757</f>
        <v/>
      </c>
      <c r="L1758">
        <f>$C1758*L1757</f>
        <v/>
      </c>
      <c r="M1758">
        <f>$C1758*M1757</f>
        <v/>
      </c>
      <c r="N1758">
        <f>$C1758*N1757</f>
        <v/>
      </c>
      <c r="O1758">
        <f>$C1758*O1757</f>
        <v/>
      </c>
      <c r="P1758">
        <f>$C1758*P1757</f>
        <v/>
      </c>
      <c r="Q1758">
        <f>$C1758*Q1757</f>
        <v/>
      </c>
      <c r="R1758">
        <f>$C1758*R1757</f>
        <v/>
      </c>
      <c r="S1758">
        <f>$C1758*S1757</f>
        <v/>
      </c>
      <c r="T1758">
        <f>$C1758*T1757</f>
        <v/>
      </c>
      <c r="U1758">
        <f>$C1758*U1757</f>
        <v/>
      </c>
      <c r="V1758">
        <f>$C1758*V1757</f>
        <v/>
      </c>
      <c r="W1758">
        <f>$C1758*W1757</f>
        <v/>
      </c>
      <c r="X1758">
        <f>$C1758*X1757</f>
        <v/>
      </c>
      <c r="Y1758">
        <f>$C1758*Y1757</f>
        <v/>
      </c>
      <c r="Z1758">
        <f>$C1758*Z1757</f>
        <v/>
      </c>
      <c r="AA1758">
        <f>$C1758*AA1757</f>
        <v/>
      </c>
      <c r="AB1758">
        <f>$C1758*AB1757</f>
        <v/>
      </c>
      <c r="AC1758">
        <f>$C1758*AC1757</f>
        <v/>
      </c>
      <c r="AD1758">
        <f>$C1758*AD1757</f>
        <v/>
      </c>
      <c r="AE1758">
        <f>$C1758*AE1757</f>
        <v/>
      </c>
      <c r="AF1758">
        <f>$C1758*AF1757</f>
        <v/>
      </c>
      <c r="AG1758">
        <f>$C1758*AG1757</f>
        <v/>
      </c>
      <c r="AH1758">
        <f>$C1758*AH1757</f>
        <v/>
      </c>
      <c r="AI1758">
        <f>$C1758*AI1757</f>
        <v/>
      </c>
      <c r="AJ1758">
        <f>$C1758*AJ1757</f>
        <v/>
      </c>
      <c r="AK1758">
        <f>$C1758*AK1757</f>
        <v/>
      </c>
      <c r="AL1758">
        <f>$C1758*AL1757</f>
        <v/>
      </c>
      <c r="AM1758">
        <f>$C1758*AM1757</f>
        <v/>
      </c>
      <c r="AN1758">
        <f>$C1758*AN1757</f>
        <v/>
      </c>
      <c r="AO1758">
        <f>$C1758*AO1757</f>
        <v/>
      </c>
      <c r="AP1758">
        <f>$C1758*AP1757</f>
        <v/>
      </c>
      <c r="AQ1758">
        <f>$C1758*AQ1757</f>
        <v/>
      </c>
      <c r="AR1758">
        <f>$C1758*AR1757</f>
        <v/>
      </c>
      <c r="AS1758">
        <f>$C1758*AS1757</f>
        <v/>
      </c>
      <c r="AT1758">
        <f>$C1758*AT1757</f>
        <v/>
      </c>
      <c r="AU1758">
        <f>$C1758*AU1757</f>
        <v/>
      </c>
      <c r="AV1758">
        <f>$C1758*AV1757</f>
        <v/>
      </c>
      <c r="AW1758">
        <f>$C1758*AW1757</f>
        <v/>
      </c>
      <c r="AX1758">
        <f>$C1758*AX1757</f>
        <v/>
      </c>
      <c r="AY1758">
        <f>$C1758*AY1757</f>
        <v/>
      </c>
      <c r="AZ1758">
        <f>$C1758*AZ1757</f>
        <v/>
      </c>
      <c r="BA1758">
        <f>$C1758*BA1757</f>
        <v/>
      </c>
      <c r="BB1758">
        <f>$C1758*BB1757</f>
        <v/>
      </c>
      <c r="BC1758">
        <f>$C1758*BC1757</f>
        <v/>
      </c>
      <c r="BD1758">
        <f>$C1758*BD1757</f>
        <v/>
      </c>
      <c r="BE1758">
        <f>$C1758*BE1757</f>
        <v/>
      </c>
      <c r="BF1758">
        <f>$C1758*BF1757</f>
        <v/>
      </c>
      <c r="BG1758">
        <f>$C1758*BG1757</f>
        <v/>
      </c>
      <c r="BH1758">
        <f>$C1758*BH1757</f>
        <v/>
      </c>
      <c r="BI1758">
        <f>$C1758*BI1757</f>
        <v/>
      </c>
      <c r="BJ1758">
        <f>$C1758*BJ1757</f>
        <v/>
      </c>
      <c r="BK1758">
        <f>$C1758*BK1757</f>
        <v/>
      </c>
      <c r="BL1758">
        <f>$C1758*BL1757</f>
        <v/>
      </c>
      <c r="BM1758">
        <f>$C1758*BM1757</f>
        <v/>
      </c>
      <c r="BN1758">
        <f>$C1758*BN1757</f>
        <v/>
      </c>
      <c r="BO1758">
        <f>$C1758*BO1757</f>
        <v/>
      </c>
      <c r="BP1758">
        <f>$C1758*BP1757</f>
        <v/>
      </c>
      <c r="BQ1758">
        <f>$C1758*BQ1757</f>
        <v/>
      </c>
      <c r="BR1758">
        <f>$C1758*BR1757</f>
        <v/>
      </c>
      <c r="BS1758">
        <f>$C1758*BS1757</f>
        <v/>
      </c>
      <c r="BT1758">
        <f>$C1758*BT1757</f>
        <v/>
      </c>
      <c r="BU1758">
        <f>$C1758*BU1757</f>
        <v/>
      </c>
      <c r="BV1758">
        <f>$C1758*BV1757</f>
        <v/>
      </c>
      <c r="BW1758">
        <f>$C1758*BW1757</f>
        <v/>
      </c>
      <c r="BX1758">
        <f>$C1758*BX1757</f>
        <v/>
      </c>
      <c r="BY1758">
        <f>$C1758*BY1757</f>
        <v/>
      </c>
      <c r="BZ1758">
        <f>$C1758*BZ1757</f>
        <v/>
      </c>
      <c r="CA1758">
        <f>$C1758*CA1757</f>
        <v/>
      </c>
      <c r="CB1758">
        <f>$C1758*CB1757</f>
        <v/>
      </c>
      <c r="CC1758">
        <f>$C1758*CC1757</f>
        <v/>
      </c>
      <c r="CD1758">
        <f>$C1758*CD1757</f>
        <v/>
      </c>
      <c r="CE1758">
        <f>$C1758*CE1757</f>
        <v/>
      </c>
      <c r="CF1758">
        <f>$C1758*CF1757</f>
        <v/>
      </c>
      <c r="CG1758">
        <f>$C1758*CG1757</f>
        <v/>
      </c>
      <c r="CH1758">
        <f>$C1758*CH1757</f>
        <v/>
      </c>
      <c r="CI1758">
        <f>$C1758*CI1757</f>
        <v/>
      </c>
      <c r="CJ1758">
        <f>$C1758*CJ1757</f>
        <v/>
      </c>
      <c r="CK1758">
        <f>$C1758*CK1757</f>
        <v/>
      </c>
      <c r="CL1758">
        <f>$C1758*CL1757</f>
        <v/>
      </c>
      <c r="CM1758">
        <f>$C1758*CM1757</f>
        <v/>
      </c>
      <c r="CN1758">
        <f>$C1758*CN1757</f>
        <v/>
      </c>
      <c r="CO1758">
        <f>$C1758*CO1757</f>
        <v/>
      </c>
      <c r="CP1758">
        <f>$C1758*CP1757</f>
        <v/>
      </c>
      <c r="CQ1758">
        <f>$C1758*CQ1757</f>
        <v/>
      </c>
      <c r="CR1758">
        <f>$C1758*CR1757</f>
        <v/>
      </c>
      <c r="CS1758">
        <f>$C1758*CS1757</f>
        <v/>
      </c>
      <c r="CT1758">
        <f>$C1758*CT1757</f>
        <v/>
      </c>
      <c r="CU1758">
        <f>$C1758*CU1757</f>
        <v/>
      </c>
      <c r="CV1758">
        <f>$C1758*CV1757</f>
        <v/>
      </c>
      <c r="CW1758">
        <f>$C1758*CW1757</f>
        <v/>
      </c>
      <c r="CX1758">
        <f>$C1758*CX1757</f>
        <v/>
      </c>
      <c r="CY1758">
        <f>$C1758*CY1757</f>
        <v/>
      </c>
      <c r="CZ1758">
        <f>$C1758*CZ1757</f>
        <v/>
      </c>
      <c r="DA1758">
        <f>$C1758*DA1757</f>
        <v/>
      </c>
      <c r="DB1758">
        <f>$C1758*DB1757</f>
        <v/>
      </c>
      <c r="DC1758">
        <f>$C1758*DC1757</f>
        <v/>
      </c>
      <c r="DD1758">
        <f>$C1758*DD1757</f>
        <v/>
      </c>
    </row>
    <row r="1759">
      <c r="B1759" t="inlineStr">
        <is>
          <t>TSP-1559</t>
        </is>
      </c>
      <c r="C1759" t="inlineStr">
        <is>
          <t>No. of batches</t>
        </is>
      </c>
      <c r="D1759">
        <f>IFERROR(INDEX(E1759:DD1759,$F$1),"")</f>
        <v/>
      </c>
      <c r="E1759">
        <f>IFERROR(INDEX(PP_Grid[#Data],$DE1759,2),0)</f>
        <v/>
      </c>
      <c r="F1759">
        <f>IFERROR(INDEX(PP_Grid[#Data],$DE1759,3),0)</f>
        <v/>
      </c>
      <c r="G1759">
        <f>IFERROR(INDEX(PP_Grid[#Data],$DE1759,4),0)</f>
        <v/>
      </c>
      <c r="H1759">
        <f>IFERROR(INDEX(PP_Grid[#Data],$DE1759,5),0)</f>
        <v/>
      </c>
      <c r="I1759">
        <f>IFERROR(INDEX(PP_Grid[#Data],$DE1759,6),0)</f>
        <v/>
      </c>
      <c r="J1759">
        <f>IFERROR(INDEX(PP_Grid[#Data],$DE1759,7),0)</f>
        <v/>
      </c>
      <c r="K1759">
        <f>IFERROR(INDEX(PP_Grid[#Data],$DE1759,8),0)</f>
        <v/>
      </c>
      <c r="L1759">
        <f>IFERROR(INDEX(PP_Grid[#Data],$DE1759,9),0)</f>
        <v/>
      </c>
      <c r="M1759">
        <f>IFERROR(INDEX(PP_Grid[#Data],$DE1759,10),0)</f>
        <v/>
      </c>
      <c r="N1759">
        <f>IFERROR(INDEX(PP_Grid[#Data],$DE1759,11),0)</f>
        <v/>
      </c>
      <c r="O1759">
        <f>IFERROR(INDEX(PP_Grid[#Data],$DE1759,12),0)</f>
        <v/>
      </c>
      <c r="P1759">
        <f>IFERROR(INDEX(PP_Grid[#Data],$DE1759,13),0)</f>
        <v/>
      </c>
      <c r="Q1759">
        <f>IFERROR(INDEX(PP_Grid[#Data],$DE1759,14),0)</f>
        <v/>
      </c>
      <c r="R1759">
        <f>IFERROR(INDEX(PP_Grid[#Data],$DE1759,15),0)</f>
        <v/>
      </c>
      <c r="S1759">
        <f>IFERROR(INDEX(PP_Grid[#Data],$DE1759,16),0)</f>
        <v/>
      </c>
      <c r="T1759">
        <f>IFERROR(INDEX(PP_Grid[#Data],$DE1759,17),0)</f>
        <v/>
      </c>
      <c r="U1759">
        <f>IFERROR(INDEX(PP_Grid[#Data],$DE1759,18),0)</f>
        <v/>
      </c>
      <c r="V1759">
        <f>IFERROR(INDEX(PP_Grid[#Data],$DE1759,19),0)</f>
        <v/>
      </c>
      <c r="W1759">
        <f>IFERROR(INDEX(PP_Grid[#Data],$DE1759,20),0)</f>
        <v/>
      </c>
      <c r="X1759">
        <f>IFERROR(INDEX(PP_Grid[#Data],$DE1759,21),0)</f>
        <v/>
      </c>
      <c r="Y1759">
        <f>IFERROR(INDEX(PP_Grid[#Data],$DE1759,22),0)</f>
        <v/>
      </c>
      <c r="Z1759">
        <f>IFERROR(INDEX(PP_Grid[#Data],$DE1759,23),0)</f>
        <v/>
      </c>
      <c r="AA1759">
        <f>IFERROR(INDEX(PP_Grid[#Data],$DE1759,24),0)</f>
        <v/>
      </c>
      <c r="AB1759">
        <f>IFERROR(INDEX(PP_Grid[#Data],$DE1759,25),0)</f>
        <v/>
      </c>
      <c r="AC1759">
        <f>IFERROR(INDEX(PP_Grid[#Data],$DE1759,26),0)</f>
        <v/>
      </c>
      <c r="AD1759">
        <f>IFERROR(INDEX(PP_Grid[#Data],$DE1759,27),0)</f>
        <v/>
      </c>
      <c r="AE1759">
        <f>IFERROR(INDEX(PP_Grid[#Data],$DE1759,28),0)</f>
        <v/>
      </c>
      <c r="AF1759">
        <f>IFERROR(INDEX(PP_Grid[#Data],$DE1759,29),0)</f>
        <v/>
      </c>
      <c r="AG1759">
        <f>IFERROR(INDEX(PP_Grid[#Data],$DE1759,30),0)</f>
        <v/>
      </c>
      <c r="AH1759">
        <f>IFERROR(INDEX(PP_Grid[#Data],$DE1759,31),0)</f>
        <v/>
      </c>
      <c r="AI1759">
        <f>IFERROR(INDEX(PP_Grid[#Data],$DE1759,32),0)</f>
        <v/>
      </c>
      <c r="AJ1759">
        <f>IFERROR(INDEX(PP_Grid[#Data],$DE1759,33),0)</f>
        <v/>
      </c>
      <c r="AK1759">
        <f>IFERROR(INDEX(PP_Grid[#Data],$DE1759,34),0)</f>
        <v/>
      </c>
      <c r="AL1759">
        <f>IFERROR(INDEX(PP_Grid[#Data],$DE1759,35),0)</f>
        <v/>
      </c>
      <c r="AM1759">
        <f>IFERROR(INDEX(PP_Grid[#Data],$DE1759,36),0)</f>
        <v/>
      </c>
      <c r="AN1759">
        <f>IFERROR(INDEX(PP_Grid[#Data],$DE1759,37),0)</f>
        <v/>
      </c>
      <c r="AO1759">
        <f>IFERROR(INDEX(PP_Grid[#Data],$DE1759,38),0)</f>
        <v/>
      </c>
      <c r="AP1759">
        <f>IFERROR(INDEX(PP_Grid[#Data],$DE1759,39),0)</f>
        <v/>
      </c>
      <c r="AQ1759">
        <f>IFERROR(INDEX(PP_Grid[#Data],$DE1759,40),0)</f>
        <v/>
      </c>
      <c r="AR1759">
        <f>IFERROR(INDEX(PP_Grid[#Data],$DE1759,41),0)</f>
        <v/>
      </c>
      <c r="AS1759">
        <f>IFERROR(INDEX(PP_Grid[#Data],$DE1759,42),0)</f>
        <v/>
      </c>
      <c r="AT1759">
        <f>IFERROR(INDEX(PP_Grid[#Data],$DE1759,43),0)</f>
        <v/>
      </c>
      <c r="AU1759">
        <f>IFERROR(INDEX(PP_Grid[#Data],$DE1759,44),0)</f>
        <v/>
      </c>
      <c r="AV1759">
        <f>IFERROR(INDEX(PP_Grid[#Data],$DE1759,45),0)</f>
        <v/>
      </c>
      <c r="AW1759">
        <f>IFERROR(INDEX(PP_Grid[#Data],$DE1759,46),0)</f>
        <v/>
      </c>
      <c r="AX1759">
        <f>IFERROR(INDEX(PP_Grid[#Data],$DE1759,47),0)</f>
        <v/>
      </c>
      <c r="AY1759">
        <f>IFERROR(INDEX(PP_Grid[#Data],$DE1759,48),0)</f>
        <v/>
      </c>
      <c r="AZ1759">
        <f>IFERROR(INDEX(PP_Grid[#Data],$DE1759,49),0)</f>
        <v/>
      </c>
      <c r="BA1759">
        <f>IFERROR(INDEX(PP_Grid[#Data],$DE1759,50),0)</f>
        <v/>
      </c>
      <c r="BB1759">
        <f>IFERROR(INDEX(PP_Grid[#Data],$DE1759,51),0)</f>
        <v/>
      </c>
      <c r="BC1759">
        <f>IFERROR(INDEX(PP_Grid[#Data],$DE1759,52),0)</f>
        <v/>
      </c>
      <c r="BD1759">
        <f>IFERROR(INDEX(PP_Grid[#Data],$DE1759,53),0)</f>
        <v/>
      </c>
      <c r="BE1759">
        <f>IFERROR(INDEX(PP_Grid[#Data],$DE1759,54),0)</f>
        <v/>
      </c>
      <c r="BF1759">
        <f>IFERROR(INDEX(PP_Grid[#Data],$DE1759,55),0)</f>
        <v/>
      </c>
      <c r="BG1759">
        <f>IFERROR(INDEX(PP_Grid[#Data],$DE1759,56),0)</f>
        <v/>
      </c>
      <c r="BH1759">
        <f>IFERROR(INDEX(PP_Grid[#Data],$DE1759,57),0)</f>
        <v/>
      </c>
      <c r="BI1759">
        <f>IFERROR(INDEX(PP_Grid[#Data],$DE1759,58),0)</f>
        <v/>
      </c>
      <c r="BJ1759">
        <f>IFERROR(INDEX(PP_Grid[#Data],$DE1759,59),0)</f>
        <v/>
      </c>
      <c r="BK1759">
        <f>IFERROR(INDEX(PP_Grid[#Data],$DE1759,60),0)</f>
        <v/>
      </c>
      <c r="BL1759">
        <f>IFERROR(INDEX(PP_Grid[#Data],$DE1759,61),0)</f>
        <v/>
      </c>
      <c r="BM1759">
        <f>IFERROR(INDEX(PP_Grid[#Data],$DE1759,62),0)</f>
        <v/>
      </c>
      <c r="BN1759">
        <f>IFERROR(INDEX(PP_Grid[#Data],$DE1759,63),0)</f>
        <v/>
      </c>
      <c r="BO1759">
        <f>IFERROR(INDEX(PP_Grid[#Data],$DE1759,64),0)</f>
        <v/>
      </c>
      <c r="BP1759">
        <f>IFERROR(INDEX(PP_Grid[#Data],$DE1759,65),0)</f>
        <v/>
      </c>
      <c r="BQ1759">
        <f>IFERROR(INDEX(PP_Grid[#Data],$DE1759,66),0)</f>
        <v/>
      </c>
      <c r="BR1759">
        <f>IFERROR(INDEX(PP_Grid[#Data],$DE1759,67),0)</f>
        <v/>
      </c>
      <c r="BS1759">
        <f>IFERROR(INDEX(PP_Grid[#Data],$DE1759,68),0)</f>
        <v/>
      </c>
      <c r="BT1759">
        <f>IFERROR(INDEX(PP_Grid[#Data],$DE1759,69),0)</f>
        <v/>
      </c>
      <c r="BU1759">
        <f>IFERROR(INDEX(PP_Grid[#Data],$DE1759,70),0)</f>
        <v/>
      </c>
      <c r="BV1759">
        <f>IFERROR(INDEX(PP_Grid[#Data],$DE1759,71),0)</f>
        <v/>
      </c>
      <c r="BW1759">
        <f>IFERROR(INDEX(PP_Grid[#Data],$DE1759,72),0)</f>
        <v/>
      </c>
      <c r="BX1759">
        <f>IFERROR(INDEX(PP_Grid[#Data],$DE1759,73),0)</f>
        <v/>
      </c>
      <c r="BY1759">
        <f>IFERROR(INDEX(PP_Grid[#Data],$DE1759,74),0)</f>
        <v/>
      </c>
      <c r="BZ1759">
        <f>IFERROR(INDEX(PP_Grid[#Data],$DE1759,75),0)</f>
        <v/>
      </c>
      <c r="CA1759">
        <f>IFERROR(INDEX(PP_Grid[#Data],$DE1759,76),0)</f>
        <v/>
      </c>
      <c r="CB1759">
        <f>IFERROR(INDEX(PP_Grid[#Data],$DE1759,77),0)</f>
        <v/>
      </c>
      <c r="CC1759">
        <f>IFERROR(INDEX(PP_Grid[#Data],$DE1759,78),0)</f>
        <v/>
      </c>
      <c r="CD1759">
        <f>IFERROR(INDEX(PP_Grid[#Data],$DE1759,79),0)</f>
        <v/>
      </c>
      <c r="CE1759">
        <f>IFERROR(INDEX(PP_Grid[#Data],$DE1759,80),0)</f>
        <v/>
      </c>
      <c r="CF1759">
        <f>IFERROR(INDEX(PP_Grid[#Data],$DE1759,81),0)</f>
        <v/>
      </c>
      <c r="CG1759">
        <f>IFERROR(INDEX(PP_Grid[#Data],$DE1759,82),0)</f>
        <v/>
      </c>
      <c r="CH1759">
        <f>IFERROR(INDEX(PP_Grid[#Data],$DE1759,83),0)</f>
        <v/>
      </c>
      <c r="CI1759">
        <f>IFERROR(INDEX(PP_Grid[#Data],$DE1759,84),0)</f>
        <v/>
      </c>
      <c r="CJ1759">
        <f>IFERROR(INDEX(PP_Grid[#Data],$DE1759,85),0)</f>
        <v/>
      </c>
      <c r="CK1759">
        <f>IFERROR(INDEX(PP_Grid[#Data],$DE1759,86),0)</f>
        <v/>
      </c>
      <c r="CL1759">
        <f>IFERROR(INDEX(PP_Grid[#Data],$DE1759,87),0)</f>
        <v/>
      </c>
      <c r="CM1759">
        <f>IFERROR(INDEX(PP_Grid[#Data],$DE1759,88),0)</f>
        <v/>
      </c>
      <c r="CN1759">
        <f>IFERROR(INDEX(PP_Grid[#Data],$DE1759,89),0)</f>
        <v/>
      </c>
      <c r="CO1759">
        <f>IFERROR(INDEX(PP_Grid[#Data],$DE1759,90),0)</f>
        <v/>
      </c>
      <c r="CP1759">
        <f>IFERROR(INDEX(PP_Grid[#Data],$DE1759,91),0)</f>
        <v/>
      </c>
      <c r="CQ1759">
        <f>IFERROR(INDEX(PP_Grid[#Data],$DE1759,92),0)</f>
        <v/>
      </c>
      <c r="CR1759">
        <f>IFERROR(INDEX(PP_Grid[#Data],$DE1759,93),0)</f>
        <v/>
      </c>
      <c r="CS1759">
        <f>IFERROR(INDEX(PP_Grid[#Data],$DE1759,94),0)</f>
        <v/>
      </c>
      <c r="CT1759">
        <f>IFERROR(INDEX(PP_Grid[#Data],$DE1759,95),0)</f>
        <v/>
      </c>
      <c r="CU1759">
        <f>IFERROR(INDEX(PP_Grid[#Data],$DE1759,96),0)</f>
        <v/>
      </c>
      <c r="CV1759">
        <f>IFERROR(INDEX(PP_Grid[#Data],$DE1759,97),0)</f>
        <v/>
      </c>
      <c r="CW1759">
        <f>IFERROR(INDEX(PP_Grid[#Data],$DE1759,98),0)</f>
        <v/>
      </c>
      <c r="CX1759">
        <f>IFERROR(INDEX(PP_Grid[#Data],$DE1759,99),0)</f>
        <v/>
      </c>
      <c r="CY1759">
        <f>IFERROR(INDEX(PP_Grid[#Data],$DE1759,100),0)</f>
        <v/>
      </c>
      <c r="CZ1759">
        <f>IFERROR(INDEX(PP_Grid[#Data],$DE1759,101),0)</f>
        <v/>
      </c>
      <c r="DA1759">
        <f>IFERROR(INDEX(PP_Grid[#Data],$DE1759,102),0)</f>
        <v/>
      </c>
      <c r="DB1759">
        <f>IFERROR(INDEX(PP_Grid[#Data],$DE1759,103),0)</f>
        <v/>
      </c>
      <c r="DC1759">
        <f>IFERROR(INDEX(PP_Grid[#Data],$DE1759,104),0)</f>
        <v/>
      </c>
      <c r="DD1759">
        <f>IFERROR(INDEX(PP_Grid[#Data],$DE1759,105),0)</f>
        <v/>
      </c>
      <c r="DE1759" s="7">
        <f>IFERROR(MATCH($B1759,PP_Grid[Intermediate],0),99999)</f>
        <v/>
      </c>
    </row>
    <row r="1760">
      <c r="B1760" t="inlineStr">
        <is>
          <t>使用量(kg)</t>
        </is>
      </c>
      <c r="C1760">
        <f>SUMIFS(M_BOM[RM_Qty_Per_Batch],M_BOM[Intermediate],$B1759,M_BOM[RM_Code],$A1754)</f>
        <v/>
      </c>
      <c r="D1760">
        <f>IFERROR(INDEX(E1760:DD1760,$F$1),"")</f>
        <v/>
      </c>
      <c r="E1760">
        <f>$C1760*E1759</f>
        <v/>
      </c>
      <c r="F1760">
        <f>$C1760*F1759</f>
        <v/>
      </c>
      <c r="G1760">
        <f>$C1760*G1759</f>
        <v/>
      </c>
      <c r="H1760">
        <f>$C1760*H1759</f>
        <v/>
      </c>
      <c r="I1760">
        <f>$C1760*I1759</f>
        <v/>
      </c>
      <c r="J1760">
        <f>$C1760*J1759</f>
        <v/>
      </c>
      <c r="K1760">
        <f>$C1760*K1759</f>
        <v/>
      </c>
      <c r="L1760">
        <f>$C1760*L1759</f>
        <v/>
      </c>
      <c r="M1760">
        <f>$C1760*M1759</f>
        <v/>
      </c>
      <c r="N1760">
        <f>$C1760*N1759</f>
        <v/>
      </c>
      <c r="O1760">
        <f>$C1760*O1759</f>
        <v/>
      </c>
      <c r="P1760">
        <f>$C1760*P1759</f>
        <v/>
      </c>
      <c r="Q1760">
        <f>$C1760*Q1759</f>
        <v/>
      </c>
      <c r="R1760">
        <f>$C1760*R1759</f>
        <v/>
      </c>
      <c r="S1760">
        <f>$C1760*S1759</f>
        <v/>
      </c>
      <c r="T1760">
        <f>$C1760*T1759</f>
        <v/>
      </c>
      <c r="U1760">
        <f>$C1760*U1759</f>
        <v/>
      </c>
      <c r="V1760">
        <f>$C1760*V1759</f>
        <v/>
      </c>
      <c r="W1760">
        <f>$C1760*W1759</f>
        <v/>
      </c>
      <c r="X1760">
        <f>$C1760*X1759</f>
        <v/>
      </c>
      <c r="Y1760">
        <f>$C1760*Y1759</f>
        <v/>
      </c>
      <c r="Z1760">
        <f>$C1760*Z1759</f>
        <v/>
      </c>
      <c r="AA1760">
        <f>$C1760*AA1759</f>
        <v/>
      </c>
      <c r="AB1760">
        <f>$C1760*AB1759</f>
        <v/>
      </c>
      <c r="AC1760">
        <f>$C1760*AC1759</f>
        <v/>
      </c>
      <c r="AD1760">
        <f>$C1760*AD1759</f>
        <v/>
      </c>
      <c r="AE1760">
        <f>$C1760*AE1759</f>
        <v/>
      </c>
      <c r="AF1760">
        <f>$C1760*AF1759</f>
        <v/>
      </c>
      <c r="AG1760">
        <f>$C1760*AG1759</f>
        <v/>
      </c>
      <c r="AH1760">
        <f>$C1760*AH1759</f>
        <v/>
      </c>
      <c r="AI1760">
        <f>$C1760*AI1759</f>
        <v/>
      </c>
      <c r="AJ1760">
        <f>$C1760*AJ1759</f>
        <v/>
      </c>
      <c r="AK1760">
        <f>$C1760*AK1759</f>
        <v/>
      </c>
      <c r="AL1760">
        <f>$C1760*AL1759</f>
        <v/>
      </c>
      <c r="AM1760">
        <f>$C1760*AM1759</f>
        <v/>
      </c>
      <c r="AN1760">
        <f>$C1760*AN1759</f>
        <v/>
      </c>
      <c r="AO1760">
        <f>$C1760*AO1759</f>
        <v/>
      </c>
      <c r="AP1760">
        <f>$C1760*AP1759</f>
        <v/>
      </c>
      <c r="AQ1760">
        <f>$C1760*AQ1759</f>
        <v/>
      </c>
      <c r="AR1760">
        <f>$C1760*AR1759</f>
        <v/>
      </c>
      <c r="AS1760">
        <f>$C1760*AS1759</f>
        <v/>
      </c>
      <c r="AT1760">
        <f>$C1760*AT1759</f>
        <v/>
      </c>
      <c r="AU1760">
        <f>$C1760*AU1759</f>
        <v/>
      </c>
      <c r="AV1760">
        <f>$C1760*AV1759</f>
        <v/>
      </c>
      <c r="AW1760">
        <f>$C1760*AW1759</f>
        <v/>
      </c>
      <c r="AX1760">
        <f>$C1760*AX1759</f>
        <v/>
      </c>
      <c r="AY1760">
        <f>$C1760*AY1759</f>
        <v/>
      </c>
      <c r="AZ1760">
        <f>$C1760*AZ1759</f>
        <v/>
      </c>
      <c r="BA1760">
        <f>$C1760*BA1759</f>
        <v/>
      </c>
      <c r="BB1760">
        <f>$C1760*BB1759</f>
        <v/>
      </c>
      <c r="BC1760">
        <f>$C1760*BC1759</f>
        <v/>
      </c>
      <c r="BD1760">
        <f>$C1760*BD1759</f>
        <v/>
      </c>
      <c r="BE1760">
        <f>$C1760*BE1759</f>
        <v/>
      </c>
      <c r="BF1760">
        <f>$C1760*BF1759</f>
        <v/>
      </c>
      <c r="BG1760">
        <f>$C1760*BG1759</f>
        <v/>
      </c>
      <c r="BH1760">
        <f>$C1760*BH1759</f>
        <v/>
      </c>
      <c r="BI1760">
        <f>$C1760*BI1759</f>
        <v/>
      </c>
      <c r="BJ1760">
        <f>$C1760*BJ1759</f>
        <v/>
      </c>
      <c r="BK1760">
        <f>$C1760*BK1759</f>
        <v/>
      </c>
      <c r="BL1760">
        <f>$C1760*BL1759</f>
        <v/>
      </c>
      <c r="BM1760">
        <f>$C1760*BM1759</f>
        <v/>
      </c>
      <c r="BN1760">
        <f>$C1760*BN1759</f>
        <v/>
      </c>
      <c r="BO1760">
        <f>$C1760*BO1759</f>
        <v/>
      </c>
      <c r="BP1760">
        <f>$C1760*BP1759</f>
        <v/>
      </c>
      <c r="BQ1760">
        <f>$C1760*BQ1759</f>
        <v/>
      </c>
      <c r="BR1760">
        <f>$C1760*BR1759</f>
        <v/>
      </c>
      <c r="BS1760">
        <f>$C1760*BS1759</f>
        <v/>
      </c>
      <c r="BT1760">
        <f>$C1760*BT1759</f>
        <v/>
      </c>
      <c r="BU1760">
        <f>$C1760*BU1759</f>
        <v/>
      </c>
      <c r="BV1760">
        <f>$C1760*BV1759</f>
        <v/>
      </c>
      <c r="BW1760">
        <f>$C1760*BW1759</f>
        <v/>
      </c>
      <c r="BX1760">
        <f>$C1760*BX1759</f>
        <v/>
      </c>
      <c r="BY1760">
        <f>$C1760*BY1759</f>
        <v/>
      </c>
      <c r="BZ1760">
        <f>$C1760*BZ1759</f>
        <v/>
      </c>
      <c r="CA1760">
        <f>$C1760*CA1759</f>
        <v/>
      </c>
      <c r="CB1760">
        <f>$C1760*CB1759</f>
        <v/>
      </c>
      <c r="CC1760">
        <f>$C1760*CC1759</f>
        <v/>
      </c>
      <c r="CD1760">
        <f>$C1760*CD1759</f>
        <v/>
      </c>
      <c r="CE1760">
        <f>$C1760*CE1759</f>
        <v/>
      </c>
      <c r="CF1760">
        <f>$C1760*CF1759</f>
        <v/>
      </c>
      <c r="CG1760">
        <f>$C1760*CG1759</f>
        <v/>
      </c>
      <c r="CH1760">
        <f>$C1760*CH1759</f>
        <v/>
      </c>
      <c r="CI1760">
        <f>$C1760*CI1759</f>
        <v/>
      </c>
      <c r="CJ1760">
        <f>$C1760*CJ1759</f>
        <v/>
      </c>
      <c r="CK1760">
        <f>$C1760*CK1759</f>
        <v/>
      </c>
      <c r="CL1760">
        <f>$C1760*CL1759</f>
        <v/>
      </c>
      <c r="CM1760">
        <f>$C1760*CM1759</f>
        <v/>
      </c>
      <c r="CN1760">
        <f>$C1760*CN1759</f>
        <v/>
      </c>
      <c r="CO1760">
        <f>$C1760*CO1759</f>
        <v/>
      </c>
      <c r="CP1760">
        <f>$C1760*CP1759</f>
        <v/>
      </c>
      <c r="CQ1760">
        <f>$C1760*CQ1759</f>
        <v/>
      </c>
      <c r="CR1760">
        <f>$C1760*CR1759</f>
        <v/>
      </c>
      <c r="CS1760">
        <f>$C1760*CS1759</f>
        <v/>
      </c>
      <c r="CT1760">
        <f>$C1760*CT1759</f>
        <v/>
      </c>
      <c r="CU1760">
        <f>$C1760*CU1759</f>
        <v/>
      </c>
      <c r="CV1760">
        <f>$C1760*CV1759</f>
        <v/>
      </c>
      <c r="CW1760">
        <f>$C1760*CW1759</f>
        <v/>
      </c>
      <c r="CX1760">
        <f>$C1760*CX1759</f>
        <v/>
      </c>
      <c r="CY1760">
        <f>$C1760*CY1759</f>
        <v/>
      </c>
      <c r="CZ1760">
        <f>$C1760*CZ1759</f>
        <v/>
      </c>
      <c r="DA1760">
        <f>$C1760*DA1759</f>
        <v/>
      </c>
      <c r="DB1760">
        <f>$C1760*DB1759</f>
        <v/>
      </c>
      <c r="DC1760">
        <f>$C1760*DC1759</f>
        <v/>
      </c>
      <c r="DD1760">
        <f>$C1760*DD1759</f>
        <v/>
      </c>
    </row>
    <row r="1761">
      <c r="B1761" t="inlineStr">
        <is>
          <t>TSP-2157</t>
        </is>
      </c>
      <c r="C1761" t="inlineStr">
        <is>
          <t>No. of batches</t>
        </is>
      </c>
      <c r="D1761">
        <f>IFERROR(INDEX(E1761:DD1761,$F$1),"")</f>
        <v/>
      </c>
      <c r="E1761">
        <f>IFERROR(INDEX(PP_Grid[#Data],$DE1761,2),0)</f>
        <v/>
      </c>
      <c r="F1761">
        <f>IFERROR(INDEX(PP_Grid[#Data],$DE1761,3),0)</f>
        <v/>
      </c>
      <c r="G1761">
        <f>IFERROR(INDEX(PP_Grid[#Data],$DE1761,4),0)</f>
        <v/>
      </c>
      <c r="H1761">
        <f>IFERROR(INDEX(PP_Grid[#Data],$DE1761,5),0)</f>
        <v/>
      </c>
      <c r="I1761">
        <f>IFERROR(INDEX(PP_Grid[#Data],$DE1761,6),0)</f>
        <v/>
      </c>
      <c r="J1761">
        <f>IFERROR(INDEX(PP_Grid[#Data],$DE1761,7),0)</f>
        <v/>
      </c>
      <c r="K1761">
        <f>IFERROR(INDEX(PP_Grid[#Data],$DE1761,8),0)</f>
        <v/>
      </c>
      <c r="L1761">
        <f>IFERROR(INDEX(PP_Grid[#Data],$DE1761,9),0)</f>
        <v/>
      </c>
      <c r="M1761">
        <f>IFERROR(INDEX(PP_Grid[#Data],$DE1761,10),0)</f>
        <v/>
      </c>
      <c r="N1761">
        <f>IFERROR(INDEX(PP_Grid[#Data],$DE1761,11),0)</f>
        <v/>
      </c>
      <c r="O1761">
        <f>IFERROR(INDEX(PP_Grid[#Data],$DE1761,12),0)</f>
        <v/>
      </c>
      <c r="P1761">
        <f>IFERROR(INDEX(PP_Grid[#Data],$DE1761,13),0)</f>
        <v/>
      </c>
      <c r="Q1761">
        <f>IFERROR(INDEX(PP_Grid[#Data],$DE1761,14),0)</f>
        <v/>
      </c>
      <c r="R1761">
        <f>IFERROR(INDEX(PP_Grid[#Data],$DE1761,15),0)</f>
        <v/>
      </c>
      <c r="S1761">
        <f>IFERROR(INDEX(PP_Grid[#Data],$DE1761,16),0)</f>
        <v/>
      </c>
      <c r="T1761">
        <f>IFERROR(INDEX(PP_Grid[#Data],$DE1761,17),0)</f>
        <v/>
      </c>
      <c r="U1761">
        <f>IFERROR(INDEX(PP_Grid[#Data],$DE1761,18),0)</f>
        <v/>
      </c>
      <c r="V1761">
        <f>IFERROR(INDEX(PP_Grid[#Data],$DE1761,19),0)</f>
        <v/>
      </c>
      <c r="W1761">
        <f>IFERROR(INDEX(PP_Grid[#Data],$DE1761,20),0)</f>
        <v/>
      </c>
      <c r="X1761">
        <f>IFERROR(INDEX(PP_Grid[#Data],$DE1761,21),0)</f>
        <v/>
      </c>
      <c r="Y1761">
        <f>IFERROR(INDEX(PP_Grid[#Data],$DE1761,22),0)</f>
        <v/>
      </c>
      <c r="Z1761">
        <f>IFERROR(INDEX(PP_Grid[#Data],$DE1761,23),0)</f>
        <v/>
      </c>
      <c r="AA1761">
        <f>IFERROR(INDEX(PP_Grid[#Data],$DE1761,24),0)</f>
        <v/>
      </c>
      <c r="AB1761">
        <f>IFERROR(INDEX(PP_Grid[#Data],$DE1761,25),0)</f>
        <v/>
      </c>
      <c r="AC1761">
        <f>IFERROR(INDEX(PP_Grid[#Data],$DE1761,26),0)</f>
        <v/>
      </c>
      <c r="AD1761">
        <f>IFERROR(INDEX(PP_Grid[#Data],$DE1761,27),0)</f>
        <v/>
      </c>
      <c r="AE1761">
        <f>IFERROR(INDEX(PP_Grid[#Data],$DE1761,28),0)</f>
        <v/>
      </c>
      <c r="AF1761">
        <f>IFERROR(INDEX(PP_Grid[#Data],$DE1761,29),0)</f>
        <v/>
      </c>
      <c r="AG1761">
        <f>IFERROR(INDEX(PP_Grid[#Data],$DE1761,30),0)</f>
        <v/>
      </c>
      <c r="AH1761">
        <f>IFERROR(INDEX(PP_Grid[#Data],$DE1761,31),0)</f>
        <v/>
      </c>
      <c r="AI1761">
        <f>IFERROR(INDEX(PP_Grid[#Data],$DE1761,32),0)</f>
        <v/>
      </c>
      <c r="AJ1761">
        <f>IFERROR(INDEX(PP_Grid[#Data],$DE1761,33),0)</f>
        <v/>
      </c>
      <c r="AK1761">
        <f>IFERROR(INDEX(PP_Grid[#Data],$DE1761,34),0)</f>
        <v/>
      </c>
      <c r="AL1761">
        <f>IFERROR(INDEX(PP_Grid[#Data],$DE1761,35),0)</f>
        <v/>
      </c>
      <c r="AM1761">
        <f>IFERROR(INDEX(PP_Grid[#Data],$DE1761,36),0)</f>
        <v/>
      </c>
      <c r="AN1761">
        <f>IFERROR(INDEX(PP_Grid[#Data],$DE1761,37),0)</f>
        <v/>
      </c>
      <c r="AO1761">
        <f>IFERROR(INDEX(PP_Grid[#Data],$DE1761,38),0)</f>
        <v/>
      </c>
      <c r="AP1761">
        <f>IFERROR(INDEX(PP_Grid[#Data],$DE1761,39),0)</f>
        <v/>
      </c>
      <c r="AQ1761">
        <f>IFERROR(INDEX(PP_Grid[#Data],$DE1761,40),0)</f>
        <v/>
      </c>
      <c r="AR1761">
        <f>IFERROR(INDEX(PP_Grid[#Data],$DE1761,41),0)</f>
        <v/>
      </c>
      <c r="AS1761">
        <f>IFERROR(INDEX(PP_Grid[#Data],$DE1761,42),0)</f>
        <v/>
      </c>
      <c r="AT1761">
        <f>IFERROR(INDEX(PP_Grid[#Data],$DE1761,43),0)</f>
        <v/>
      </c>
      <c r="AU1761">
        <f>IFERROR(INDEX(PP_Grid[#Data],$DE1761,44),0)</f>
        <v/>
      </c>
      <c r="AV1761">
        <f>IFERROR(INDEX(PP_Grid[#Data],$DE1761,45),0)</f>
        <v/>
      </c>
      <c r="AW1761">
        <f>IFERROR(INDEX(PP_Grid[#Data],$DE1761,46),0)</f>
        <v/>
      </c>
      <c r="AX1761">
        <f>IFERROR(INDEX(PP_Grid[#Data],$DE1761,47),0)</f>
        <v/>
      </c>
      <c r="AY1761">
        <f>IFERROR(INDEX(PP_Grid[#Data],$DE1761,48),0)</f>
        <v/>
      </c>
      <c r="AZ1761">
        <f>IFERROR(INDEX(PP_Grid[#Data],$DE1761,49),0)</f>
        <v/>
      </c>
      <c r="BA1761">
        <f>IFERROR(INDEX(PP_Grid[#Data],$DE1761,50),0)</f>
        <v/>
      </c>
      <c r="BB1761">
        <f>IFERROR(INDEX(PP_Grid[#Data],$DE1761,51),0)</f>
        <v/>
      </c>
      <c r="BC1761">
        <f>IFERROR(INDEX(PP_Grid[#Data],$DE1761,52),0)</f>
        <v/>
      </c>
      <c r="BD1761">
        <f>IFERROR(INDEX(PP_Grid[#Data],$DE1761,53),0)</f>
        <v/>
      </c>
      <c r="BE1761">
        <f>IFERROR(INDEX(PP_Grid[#Data],$DE1761,54),0)</f>
        <v/>
      </c>
      <c r="BF1761">
        <f>IFERROR(INDEX(PP_Grid[#Data],$DE1761,55),0)</f>
        <v/>
      </c>
      <c r="BG1761">
        <f>IFERROR(INDEX(PP_Grid[#Data],$DE1761,56),0)</f>
        <v/>
      </c>
      <c r="BH1761">
        <f>IFERROR(INDEX(PP_Grid[#Data],$DE1761,57),0)</f>
        <v/>
      </c>
      <c r="BI1761">
        <f>IFERROR(INDEX(PP_Grid[#Data],$DE1761,58),0)</f>
        <v/>
      </c>
      <c r="BJ1761">
        <f>IFERROR(INDEX(PP_Grid[#Data],$DE1761,59),0)</f>
        <v/>
      </c>
      <c r="BK1761">
        <f>IFERROR(INDEX(PP_Grid[#Data],$DE1761,60),0)</f>
        <v/>
      </c>
      <c r="BL1761">
        <f>IFERROR(INDEX(PP_Grid[#Data],$DE1761,61),0)</f>
        <v/>
      </c>
      <c r="BM1761">
        <f>IFERROR(INDEX(PP_Grid[#Data],$DE1761,62),0)</f>
        <v/>
      </c>
      <c r="BN1761">
        <f>IFERROR(INDEX(PP_Grid[#Data],$DE1761,63),0)</f>
        <v/>
      </c>
      <c r="BO1761">
        <f>IFERROR(INDEX(PP_Grid[#Data],$DE1761,64),0)</f>
        <v/>
      </c>
      <c r="BP1761">
        <f>IFERROR(INDEX(PP_Grid[#Data],$DE1761,65),0)</f>
        <v/>
      </c>
      <c r="BQ1761">
        <f>IFERROR(INDEX(PP_Grid[#Data],$DE1761,66),0)</f>
        <v/>
      </c>
      <c r="BR1761">
        <f>IFERROR(INDEX(PP_Grid[#Data],$DE1761,67),0)</f>
        <v/>
      </c>
      <c r="BS1761">
        <f>IFERROR(INDEX(PP_Grid[#Data],$DE1761,68),0)</f>
        <v/>
      </c>
      <c r="BT1761">
        <f>IFERROR(INDEX(PP_Grid[#Data],$DE1761,69),0)</f>
        <v/>
      </c>
      <c r="BU1761">
        <f>IFERROR(INDEX(PP_Grid[#Data],$DE1761,70),0)</f>
        <v/>
      </c>
      <c r="BV1761">
        <f>IFERROR(INDEX(PP_Grid[#Data],$DE1761,71),0)</f>
        <v/>
      </c>
      <c r="BW1761">
        <f>IFERROR(INDEX(PP_Grid[#Data],$DE1761,72),0)</f>
        <v/>
      </c>
      <c r="BX1761">
        <f>IFERROR(INDEX(PP_Grid[#Data],$DE1761,73),0)</f>
        <v/>
      </c>
      <c r="BY1761">
        <f>IFERROR(INDEX(PP_Grid[#Data],$DE1761,74),0)</f>
        <v/>
      </c>
      <c r="BZ1761">
        <f>IFERROR(INDEX(PP_Grid[#Data],$DE1761,75),0)</f>
        <v/>
      </c>
      <c r="CA1761">
        <f>IFERROR(INDEX(PP_Grid[#Data],$DE1761,76),0)</f>
        <v/>
      </c>
      <c r="CB1761">
        <f>IFERROR(INDEX(PP_Grid[#Data],$DE1761,77),0)</f>
        <v/>
      </c>
      <c r="CC1761">
        <f>IFERROR(INDEX(PP_Grid[#Data],$DE1761,78),0)</f>
        <v/>
      </c>
      <c r="CD1761">
        <f>IFERROR(INDEX(PP_Grid[#Data],$DE1761,79),0)</f>
        <v/>
      </c>
      <c r="CE1761">
        <f>IFERROR(INDEX(PP_Grid[#Data],$DE1761,80),0)</f>
        <v/>
      </c>
      <c r="CF1761">
        <f>IFERROR(INDEX(PP_Grid[#Data],$DE1761,81),0)</f>
        <v/>
      </c>
      <c r="CG1761">
        <f>IFERROR(INDEX(PP_Grid[#Data],$DE1761,82),0)</f>
        <v/>
      </c>
      <c r="CH1761">
        <f>IFERROR(INDEX(PP_Grid[#Data],$DE1761,83),0)</f>
        <v/>
      </c>
      <c r="CI1761">
        <f>IFERROR(INDEX(PP_Grid[#Data],$DE1761,84),0)</f>
        <v/>
      </c>
      <c r="CJ1761">
        <f>IFERROR(INDEX(PP_Grid[#Data],$DE1761,85),0)</f>
        <v/>
      </c>
      <c r="CK1761">
        <f>IFERROR(INDEX(PP_Grid[#Data],$DE1761,86),0)</f>
        <v/>
      </c>
      <c r="CL1761">
        <f>IFERROR(INDEX(PP_Grid[#Data],$DE1761,87),0)</f>
        <v/>
      </c>
      <c r="CM1761">
        <f>IFERROR(INDEX(PP_Grid[#Data],$DE1761,88),0)</f>
        <v/>
      </c>
      <c r="CN1761">
        <f>IFERROR(INDEX(PP_Grid[#Data],$DE1761,89),0)</f>
        <v/>
      </c>
      <c r="CO1761">
        <f>IFERROR(INDEX(PP_Grid[#Data],$DE1761,90),0)</f>
        <v/>
      </c>
      <c r="CP1761">
        <f>IFERROR(INDEX(PP_Grid[#Data],$DE1761,91),0)</f>
        <v/>
      </c>
      <c r="CQ1761">
        <f>IFERROR(INDEX(PP_Grid[#Data],$DE1761,92),0)</f>
        <v/>
      </c>
      <c r="CR1761">
        <f>IFERROR(INDEX(PP_Grid[#Data],$DE1761,93),0)</f>
        <v/>
      </c>
      <c r="CS1761">
        <f>IFERROR(INDEX(PP_Grid[#Data],$DE1761,94),0)</f>
        <v/>
      </c>
      <c r="CT1761">
        <f>IFERROR(INDEX(PP_Grid[#Data],$DE1761,95),0)</f>
        <v/>
      </c>
      <c r="CU1761">
        <f>IFERROR(INDEX(PP_Grid[#Data],$DE1761,96),0)</f>
        <v/>
      </c>
      <c r="CV1761">
        <f>IFERROR(INDEX(PP_Grid[#Data],$DE1761,97),0)</f>
        <v/>
      </c>
      <c r="CW1761">
        <f>IFERROR(INDEX(PP_Grid[#Data],$DE1761,98),0)</f>
        <v/>
      </c>
      <c r="CX1761">
        <f>IFERROR(INDEX(PP_Grid[#Data],$DE1761,99),0)</f>
        <v/>
      </c>
      <c r="CY1761">
        <f>IFERROR(INDEX(PP_Grid[#Data],$DE1761,100),0)</f>
        <v/>
      </c>
      <c r="CZ1761">
        <f>IFERROR(INDEX(PP_Grid[#Data],$DE1761,101),0)</f>
        <v/>
      </c>
      <c r="DA1761">
        <f>IFERROR(INDEX(PP_Grid[#Data],$DE1761,102),0)</f>
        <v/>
      </c>
      <c r="DB1761">
        <f>IFERROR(INDEX(PP_Grid[#Data],$DE1761,103),0)</f>
        <v/>
      </c>
      <c r="DC1761">
        <f>IFERROR(INDEX(PP_Grid[#Data],$DE1761,104),0)</f>
        <v/>
      </c>
      <c r="DD1761">
        <f>IFERROR(INDEX(PP_Grid[#Data],$DE1761,105),0)</f>
        <v/>
      </c>
      <c r="DE1761" s="7">
        <f>IFERROR(MATCH($B1761,PP_Grid[Intermediate],0),99999)</f>
        <v/>
      </c>
    </row>
    <row r="1762">
      <c r="B1762" t="inlineStr">
        <is>
          <t>使用量(kg)</t>
        </is>
      </c>
      <c r="C1762">
        <f>SUMIFS(M_BOM[RM_Qty_Per_Batch],M_BOM[Intermediate],$B1761,M_BOM[RM_Code],$A1754)</f>
        <v/>
      </c>
      <c r="D1762">
        <f>IFERROR(INDEX(E1762:DD1762,$F$1),"")</f>
        <v/>
      </c>
      <c r="E1762">
        <f>$C1762*E1761</f>
        <v/>
      </c>
      <c r="F1762">
        <f>$C1762*F1761</f>
        <v/>
      </c>
      <c r="G1762">
        <f>$C1762*G1761</f>
        <v/>
      </c>
      <c r="H1762">
        <f>$C1762*H1761</f>
        <v/>
      </c>
      <c r="I1762">
        <f>$C1762*I1761</f>
        <v/>
      </c>
      <c r="J1762">
        <f>$C1762*J1761</f>
        <v/>
      </c>
      <c r="K1762">
        <f>$C1762*K1761</f>
        <v/>
      </c>
      <c r="L1762">
        <f>$C1762*L1761</f>
        <v/>
      </c>
      <c r="M1762">
        <f>$C1762*M1761</f>
        <v/>
      </c>
      <c r="N1762">
        <f>$C1762*N1761</f>
        <v/>
      </c>
      <c r="O1762">
        <f>$C1762*O1761</f>
        <v/>
      </c>
      <c r="P1762">
        <f>$C1762*P1761</f>
        <v/>
      </c>
      <c r="Q1762">
        <f>$C1762*Q1761</f>
        <v/>
      </c>
      <c r="R1762">
        <f>$C1762*R1761</f>
        <v/>
      </c>
      <c r="S1762">
        <f>$C1762*S1761</f>
        <v/>
      </c>
      <c r="T1762">
        <f>$C1762*T1761</f>
        <v/>
      </c>
      <c r="U1762">
        <f>$C1762*U1761</f>
        <v/>
      </c>
      <c r="V1762">
        <f>$C1762*V1761</f>
        <v/>
      </c>
      <c r="W1762">
        <f>$C1762*W1761</f>
        <v/>
      </c>
      <c r="X1762">
        <f>$C1762*X1761</f>
        <v/>
      </c>
      <c r="Y1762">
        <f>$C1762*Y1761</f>
        <v/>
      </c>
      <c r="Z1762">
        <f>$C1762*Z1761</f>
        <v/>
      </c>
      <c r="AA1762">
        <f>$C1762*AA1761</f>
        <v/>
      </c>
      <c r="AB1762">
        <f>$C1762*AB1761</f>
        <v/>
      </c>
      <c r="AC1762">
        <f>$C1762*AC1761</f>
        <v/>
      </c>
      <c r="AD1762">
        <f>$C1762*AD1761</f>
        <v/>
      </c>
      <c r="AE1762">
        <f>$C1762*AE1761</f>
        <v/>
      </c>
      <c r="AF1762">
        <f>$C1762*AF1761</f>
        <v/>
      </c>
      <c r="AG1762">
        <f>$C1762*AG1761</f>
        <v/>
      </c>
      <c r="AH1762">
        <f>$C1762*AH1761</f>
        <v/>
      </c>
      <c r="AI1762">
        <f>$C1762*AI1761</f>
        <v/>
      </c>
      <c r="AJ1762">
        <f>$C1762*AJ1761</f>
        <v/>
      </c>
      <c r="AK1762">
        <f>$C1762*AK1761</f>
        <v/>
      </c>
      <c r="AL1762">
        <f>$C1762*AL1761</f>
        <v/>
      </c>
      <c r="AM1762">
        <f>$C1762*AM1761</f>
        <v/>
      </c>
      <c r="AN1762">
        <f>$C1762*AN1761</f>
        <v/>
      </c>
      <c r="AO1762">
        <f>$C1762*AO1761</f>
        <v/>
      </c>
      <c r="AP1762">
        <f>$C1762*AP1761</f>
        <v/>
      </c>
      <c r="AQ1762">
        <f>$C1762*AQ1761</f>
        <v/>
      </c>
      <c r="AR1762">
        <f>$C1762*AR1761</f>
        <v/>
      </c>
      <c r="AS1762">
        <f>$C1762*AS1761</f>
        <v/>
      </c>
      <c r="AT1762">
        <f>$C1762*AT1761</f>
        <v/>
      </c>
      <c r="AU1762">
        <f>$C1762*AU1761</f>
        <v/>
      </c>
      <c r="AV1762">
        <f>$C1762*AV1761</f>
        <v/>
      </c>
      <c r="AW1762">
        <f>$C1762*AW1761</f>
        <v/>
      </c>
      <c r="AX1762">
        <f>$C1762*AX1761</f>
        <v/>
      </c>
      <c r="AY1762">
        <f>$C1762*AY1761</f>
        <v/>
      </c>
      <c r="AZ1762">
        <f>$C1762*AZ1761</f>
        <v/>
      </c>
      <c r="BA1762">
        <f>$C1762*BA1761</f>
        <v/>
      </c>
      <c r="BB1762">
        <f>$C1762*BB1761</f>
        <v/>
      </c>
      <c r="BC1762">
        <f>$C1762*BC1761</f>
        <v/>
      </c>
      <c r="BD1762">
        <f>$C1762*BD1761</f>
        <v/>
      </c>
      <c r="BE1762">
        <f>$C1762*BE1761</f>
        <v/>
      </c>
      <c r="BF1762">
        <f>$C1762*BF1761</f>
        <v/>
      </c>
      <c r="BG1762">
        <f>$C1762*BG1761</f>
        <v/>
      </c>
      <c r="BH1762">
        <f>$C1762*BH1761</f>
        <v/>
      </c>
      <c r="BI1762">
        <f>$C1762*BI1761</f>
        <v/>
      </c>
      <c r="BJ1762">
        <f>$C1762*BJ1761</f>
        <v/>
      </c>
      <c r="BK1762">
        <f>$C1762*BK1761</f>
        <v/>
      </c>
      <c r="BL1762">
        <f>$C1762*BL1761</f>
        <v/>
      </c>
      <c r="BM1762">
        <f>$C1762*BM1761</f>
        <v/>
      </c>
      <c r="BN1762">
        <f>$C1762*BN1761</f>
        <v/>
      </c>
      <c r="BO1762">
        <f>$C1762*BO1761</f>
        <v/>
      </c>
      <c r="BP1762">
        <f>$C1762*BP1761</f>
        <v/>
      </c>
      <c r="BQ1762">
        <f>$C1762*BQ1761</f>
        <v/>
      </c>
      <c r="BR1762">
        <f>$C1762*BR1761</f>
        <v/>
      </c>
      <c r="BS1762">
        <f>$C1762*BS1761</f>
        <v/>
      </c>
      <c r="BT1762">
        <f>$C1762*BT1761</f>
        <v/>
      </c>
      <c r="BU1762">
        <f>$C1762*BU1761</f>
        <v/>
      </c>
      <c r="BV1762">
        <f>$C1762*BV1761</f>
        <v/>
      </c>
      <c r="BW1762">
        <f>$C1762*BW1761</f>
        <v/>
      </c>
      <c r="BX1762">
        <f>$C1762*BX1761</f>
        <v/>
      </c>
      <c r="BY1762">
        <f>$C1762*BY1761</f>
        <v/>
      </c>
      <c r="BZ1762">
        <f>$C1762*BZ1761</f>
        <v/>
      </c>
      <c r="CA1762">
        <f>$C1762*CA1761</f>
        <v/>
      </c>
      <c r="CB1762">
        <f>$C1762*CB1761</f>
        <v/>
      </c>
      <c r="CC1762">
        <f>$C1762*CC1761</f>
        <v/>
      </c>
      <c r="CD1762">
        <f>$C1762*CD1761</f>
        <v/>
      </c>
      <c r="CE1762">
        <f>$C1762*CE1761</f>
        <v/>
      </c>
      <c r="CF1762">
        <f>$C1762*CF1761</f>
        <v/>
      </c>
      <c r="CG1762">
        <f>$C1762*CG1761</f>
        <v/>
      </c>
      <c r="CH1762">
        <f>$C1762*CH1761</f>
        <v/>
      </c>
      <c r="CI1762">
        <f>$C1762*CI1761</f>
        <v/>
      </c>
      <c r="CJ1762">
        <f>$C1762*CJ1761</f>
        <v/>
      </c>
      <c r="CK1762">
        <f>$C1762*CK1761</f>
        <v/>
      </c>
      <c r="CL1762">
        <f>$C1762*CL1761</f>
        <v/>
      </c>
      <c r="CM1762">
        <f>$C1762*CM1761</f>
        <v/>
      </c>
      <c r="CN1762">
        <f>$C1762*CN1761</f>
        <v/>
      </c>
      <c r="CO1762">
        <f>$C1762*CO1761</f>
        <v/>
      </c>
      <c r="CP1762">
        <f>$C1762*CP1761</f>
        <v/>
      </c>
      <c r="CQ1762">
        <f>$C1762*CQ1761</f>
        <v/>
      </c>
      <c r="CR1762">
        <f>$C1762*CR1761</f>
        <v/>
      </c>
      <c r="CS1762">
        <f>$C1762*CS1761</f>
        <v/>
      </c>
      <c r="CT1762">
        <f>$C1762*CT1761</f>
        <v/>
      </c>
      <c r="CU1762">
        <f>$C1762*CU1761</f>
        <v/>
      </c>
      <c r="CV1762">
        <f>$C1762*CV1761</f>
        <v/>
      </c>
      <c r="CW1762">
        <f>$C1762*CW1761</f>
        <v/>
      </c>
      <c r="CX1762">
        <f>$C1762*CX1761</f>
        <v/>
      </c>
      <c r="CY1762">
        <f>$C1762*CY1761</f>
        <v/>
      </c>
      <c r="CZ1762">
        <f>$C1762*CZ1761</f>
        <v/>
      </c>
      <c r="DA1762">
        <f>$C1762*DA1761</f>
        <v/>
      </c>
      <c r="DB1762">
        <f>$C1762*DB1761</f>
        <v/>
      </c>
      <c r="DC1762">
        <f>$C1762*DC1761</f>
        <v/>
      </c>
      <c r="DD1762">
        <f>$C1762*DD1761</f>
        <v/>
      </c>
    </row>
    <row r="1763">
      <c r="B1763" t="inlineStr">
        <is>
          <t>TSP-2168</t>
        </is>
      </c>
      <c r="C1763" t="inlineStr">
        <is>
          <t>No. of batches</t>
        </is>
      </c>
      <c r="D1763">
        <f>IFERROR(INDEX(E1763:DD1763,$F$1),"")</f>
        <v/>
      </c>
      <c r="E1763">
        <f>IFERROR(INDEX(PP_Grid[#Data],$DE1763,2),0)</f>
        <v/>
      </c>
      <c r="F1763">
        <f>IFERROR(INDEX(PP_Grid[#Data],$DE1763,3),0)</f>
        <v/>
      </c>
      <c r="G1763">
        <f>IFERROR(INDEX(PP_Grid[#Data],$DE1763,4),0)</f>
        <v/>
      </c>
      <c r="H1763">
        <f>IFERROR(INDEX(PP_Grid[#Data],$DE1763,5),0)</f>
        <v/>
      </c>
      <c r="I1763">
        <f>IFERROR(INDEX(PP_Grid[#Data],$DE1763,6),0)</f>
        <v/>
      </c>
      <c r="J1763">
        <f>IFERROR(INDEX(PP_Grid[#Data],$DE1763,7),0)</f>
        <v/>
      </c>
      <c r="K1763">
        <f>IFERROR(INDEX(PP_Grid[#Data],$DE1763,8),0)</f>
        <v/>
      </c>
      <c r="L1763">
        <f>IFERROR(INDEX(PP_Grid[#Data],$DE1763,9),0)</f>
        <v/>
      </c>
      <c r="M1763">
        <f>IFERROR(INDEX(PP_Grid[#Data],$DE1763,10),0)</f>
        <v/>
      </c>
      <c r="N1763">
        <f>IFERROR(INDEX(PP_Grid[#Data],$DE1763,11),0)</f>
        <v/>
      </c>
      <c r="O1763">
        <f>IFERROR(INDEX(PP_Grid[#Data],$DE1763,12),0)</f>
        <v/>
      </c>
      <c r="P1763">
        <f>IFERROR(INDEX(PP_Grid[#Data],$DE1763,13),0)</f>
        <v/>
      </c>
      <c r="Q1763">
        <f>IFERROR(INDEX(PP_Grid[#Data],$DE1763,14),0)</f>
        <v/>
      </c>
      <c r="R1763">
        <f>IFERROR(INDEX(PP_Grid[#Data],$DE1763,15),0)</f>
        <v/>
      </c>
      <c r="S1763">
        <f>IFERROR(INDEX(PP_Grid[#Data],$DE1763,16),0)</f>
        <v/>
      </c>
      <c r="T1763">
        <f>IFERROR(INDEX(PP_Grid[#Data],$DE1763,17),0)</f>
        <v/>
      </c>
      <c r="U1763">
        <f>IFERROR(INDEX(PP_Grid[#Data],$DE1763,18),0)</f>
        <v/>
      </c>
      <c r="V1763">
        <f>IFERROR(INDEX(PP_Grid[#Data],$DE1763,19),0)</f>
        <v/>
      </c>
      <c r="W1763">
        <f>IFERROR(INDEX(PP_Grid[#Data],$DE1763,20),0)</f>
        <v/>
      </c>
      <c r="X1763">
        <f>IFERROR(INDEX(PP_Grid[#Data],$DE1763,21),0)</f>
        <v/>
      </c>
      <c r="Y1763">
        <f>IFERROR(INDEX(PP_Grid[#Data],$DE1763,22),0)</f>
        <v/>
      </c>
      <c r="Z1763">
        <f>IFERROR(INDEX(PP_Grid[#Data],$DE1763,23),0)</f>
        <v/>
      </c>
      <c r="AA1763">
        <f>IFERROR(INDEX(PP_Grid[#Data],$DE1763,24),0)</f>
        <v/>
      </c>
      <c r="AB1763">
        <f>IFERROR(INDEX(PP_Grid[#Data],$DE1763,25),0)</f>
        <v/>
      </c>
      <c r="AC1763">
        <f>IFERROR(INDEX(PP_Grid[#Data],$DE1763,26),0)</f>
        <v/>
      </c>
      <c r="AD1763">
        <f>IFERROR(INDEX(PP_Grid[#Data],$DE1763,27),0)</f>
        <v/>
      </c>
      <c r="AE1763">
        <f>IFERROR(INDEX(PP_Grid[#Data],$DE1763,28),0)</f>
        <v/>
      </c>
      <c r="AF1763">
        <f>IFERROR(INDEX(PP_Grid[#Data],$DE1763,29),0)</f>
        <v/>
      </c>
      <c r="AG1763">
        <f>IFERROR(INDEX(PP_Grid[#Data],$DE1763,30),0)</f>
        <v/>
      </c>
      <c r="AH1763">
        <f>IFERROR(INDEX(PP_Grid[#Data],$DE1763,31),0)</f>
        <v/>
      </c>
      <c r="AI1763">
        <f>IFERROR(INDEX(PP_Grid[#Data],$DE1763,32),0)</f>
        <v/>
      </c>
      <c r="AJ1763">
        <f>IFERROR(INDEX(PP_Grid[#Data],$DE1763,33),0)</f>
        <v/>
      </c>
      <c r="AK1763">
        <f>IFERROR(INDEX(PP_Grid[#Data],$DE1763,34),0)</f>
        <v/>
      </c>
      <c r="AL1763">
        <f>IFERROR(INDEX(PP_Grid[#Data],$DE1763,35),0)</f>
        <v/>
      </c>
      <c r="AM1763">
        <f>IFERROR(INDEX(PP_Grid[#Data],$DE1763,36),0)</f>
        <v/>
      </c>
      <c r="AN1763">
        <f>IFERROR(INDEX(PP_Grid[#Data],$DE1763,37),0)</f>
        <v/>
      </c>
      <c r="AO1763">
        <f>IFERROR(INDEX(PP_Grid[#Data],$DE1763,38),0)</f>
        <v/>
      </c>
      <c r="AP1763">
        <f>IFERROR(INDEX(PP_Grid[#Data],$DE1763,39),0)</f>
        <v/>
      </c>
      <c r="AQ1763">
        <f>IFERROR(INDEX(PP_Grid[#Data],$DE1763,40),0)</f>
        <v/>
      </c>
      <c r="AR1763">
        <f>IFERROR(INDEX(PP_Grid[#Data],$DE1763,41),0)</f>
        <v/>
      </c>
      <c r="AS1763">
        <f>IFERROR(INDEX(PP_Grid[#Data],$DE1763,42),0)</f>
        <v/>
      </c>
      <c r="AT1763">
        <f>IFERROR(INDEX(PP_Grid[#Data],$DE1763,43),0)</f>
        <v/>
      </c>
      <c r="AU1763">
        <f>IFERROR(INDEX(PP_Grid[#Data],$DE1763,44),0)</f>
        <v/>
      </c>
      <c r="AV1763">
        <f>IFERROR(INDEX(PP_Grid[#Data],$DE1763,45),0)</f>
        <v/>
      </c>
      <c r="AW1763">
        <f>IFERROR(INDEX(PP_Grid[#Data],$DE1763,46),0)</f>
        <v/>
      </c>
      <c r="AX1763">
        <f>IFERROR(INDEX(PP_Grid[#Data],$DE1763,47),0)</f>
        <v/>
      </c>
      <c r="AY1763">
        <f>IFERROR(INDEX(PP_Grid[#Data],$DE1763,48),0)</f>
        <v/>
      </c>
      <c r="AZ1763">
        <f>IFERROR(INDEX(PP_Grid[#Data],$DE1763,49),0)</f>
        <v/>
      </c>
      <c r="BA1763">
        <f>IFERROR(INDEX(PP_Grid[#Data],$DE1763,50),0)</f>
        <v/>
      </c>
      <c r="BB1763">
        <f>IFERROR(INDEX(PP_Grid[#Data],$DE1763,51),0)</f>
        <v/>
      </c>
      <c r="BC1763">
        <f>IFERROR(INDEX(PP_Grid[#Data],$DE1763,52),0)</f>
        <v/>
      </c>
      <c r="BD1763">
        <f>IFERROR(INDEX(PP_Grid[#Data],$DE1763,53),0)</f>
        <v/>
      </c>
      <c r="BE1763">
        <f>IFERROR(INDEX(PP_Grid[#Data],$DE1763,54),0)</f>
        <v/>
      </c>
      <c r="BF1763">
        <f>IFERROR(INDEX(PP_Grid[#Data],$DE1763,55),0)</f>
        <v/>
      </c>
      <c r="BG1763">
        <f>IFERROR(INDEX(PP_Grid[#Data],$DE1763,56),0)</f>
        <v/>
      </c>
      <c r="BH1763">
        <f>IFERROR(INDEX(PP_Grid[#Data],$DE1763,57),0)</f>
        <v/>
      </c>
      <c r="BI1763">
        <f>IFERROR(INDEX(PP_Grid[#Data],$DE1763,58),0)</f>
        <v/>
      </c>
      <c r="BJ1763">
        <f>IFERROR(INDEX(PP_Grid[#Data],$DE1763,59),0)</f>
        <v/>
      </c>
      <c r="BK1763">
        <f>IFERROR(INDEX(PP_Grid[#Data],$DE1763,60),0)</f>
        <v/>
      </c>
      <c r="BL1763">
        <f>IFERROR(INDEX(PP_Grid[#Data],$DE1763,61),0)</f>
        <v/>
      </c>
      <c r="BM1763">
        <f>IFERROR(INDEX(PP_Grid[#Data],$DE1763,62),0)</f>
        <v/>
      </c>
      <c r="BN1763">
        <f>IFERROR(INDEX(PP_Grid[#Data],$DE1763,63),0)</f>
        <v/>
      </c>
      <c r="BO1763">
        <f>IFERROR(INDEX(PP_Grid[#Data],$DE1763,64),0)</f>
        <v/>
      </c>
      <c r="BP1763">
        <f>IFERROR(INDEX(PP_Grid[#Data],$DE1763,65),0)</f>
        <v/>
      </c>
      <c r="BQ1763">
        <f>IFERROR(INDEX(PP_Grid[#Data],$DE1763,66),0)</f>
        <v/>
      </c>
      <c r="BR1763">
        <f>IFERROR(INDEX(PP_Grid[#Data],$DE1763,67),0)</f>
        <v/>
      </c>
      <c r="BS1763">
        <f>IFERROR(INDEX(PP_Grid[#Data],$DE1763,68),0)</f>
        <v/>
      </c>
      <c r="BT1763">
        <f>IFERROR(INDEX(PP_Grid[#Data],$DE1763,69),0)</f>
        <v/>
      </c>
      <c r="BU1763">
        <f>IFERROR(INDEX(PP_Grid[#Data],$DE1763,70),0)</f>
        <v/>
      </c>
      <c r="BV1763">
        <f>IFERROR(INDEX(PP_Grid[#Data],$DE1763,71),0)</f>
        <v/>
      </c>
      <c r="BW1763">
        <f>IFERROR(INDEX(PP_Grid[#Data],$DE1763,72),0)</f>
        <v/>
      </c>
      <c r="BX1763">
        <f>IFERROR(INDEX(PP_Grid[#Data],$DE1763,73),0)</f>
        <v/>
      </c>
      <c r="BY1763">
        <f>IFERROR(INDEX(PP_Grid[#Data],$DE1763,74),0)</f>
        <v/>
      </c>
      <c r="BZ1763">
        <f>IFERROR(INDEX(PP_Grid[#Data],$DE1763,75),0)</f>
        <v/>
      </c>
      <c r="CA1763">
        <f>IFERROR(INDEX(PP_Grid[#Data],$DE1763,76),0)</f>
        <v/>
      </c>
      <c r="CB1763">
        <f>IFERROR(INDEX(PP_Grid[#Data],$DE1763,77),0)</f>
        <v/>
      </c>
      <c r="CC1763">
        <f>IFERROR(INDEX(PP_Grid[#Data],$DE1763,78),0)</f>
        <v/>
      </c>
      <c r="CD1763">
        <f>IFERROR(INDEX(PP_Grid[#Data],$DE1763,79),0)</f>
        <v/>
      </c>
      <c r="CE1763">
        <f>IFERROR(INDEX(PP_Grid[#Data],$DE1763,80),0)</f>
        <v/>
      </c>
      <c r="CF1763">
        <f>IFERROR(INDEX(PP_Grid[#Data],$DE1763,81),0)</f>
        <v/>
      </c>
      <c r="CG1763">
        <f>IFERROR(INDEX(PP_Grid[#Data],$DE1763,82),0)</f>
        <v/>
      </c>
      <c r="CH1763">
        <f>IFERROR(INDEX(PP_Grid[#Data],$DE1763,83),0)</f>
        <v/>
      </c>
      <c r="CI1763">
        <f>IFERROR(INDEX(PP_Grid[#Data],$DE1763,84),0)</f>
        <v/>
      </c>
      <c r="CJ1763">
        <f>IFERROR(INDEX(PP_Grid[#Data],$DE1763,85),0)</f>
        <v/>
      </c>
      <c r="CK1763">
        <f>IFERROR(INDEX(PP_Grid[#Data],$DE1763,86),0)</f>
        <v/>
      </c>
      <c r="CL1763">
        <f>IFERROR(INDEX(PP_Grid[#Data],$DE1763,87),0)</f>
        <v/>
      </c>
      <c r="CM1763">
        <f>IFERROR(INDEX(PP_Grid[#Data],$DE1763,88),0)</f>
        <v/>
      </c>
      <c r="CN1763">
        <f>IFERROR(INDEX(PP_Grid[#Data],$DE1763,89),0)</f>
        <v/>
      </c>
      <c r="CO1763">
        <f>IFERROR(INDEX(PP_Grid[#Data],$DE1763,90),0)</f>
        <v/>
      </c>
      <c r="CP1763">
        <f>IFERROR(INDEX(PP_Grid[#Data],$DE1763,91),0)</f>
        <v/>
      </c>
      <c r="CQ1763">
        <f>IFERROR(INDEX(PP_Grid[#Data],$DE1763,92),0)</f>
        <v/>
      </c>
      <c r="CR1763">
        <f>IFERROR(INDEX(PP_Grid[#Data],$DE1763,93),0)</f>
        <v/>
      </c>
      <c r="CS1763">
        <f>IFERROR(INDEX(PP_Grid[#Data],$DE1763,94),0)</f>
        <v/>
      </c>
      <c r="CT1763">
        <f>IFERROR(INDEX(PP_Grid[#Data],$DE1763,95),0)</f>
        <v/>
      </c>
      <c r="CU1763">
        <f>IFERROR(INDEX(PP_Grid[#Data],$DE1763,96),0)</f>
        <v/>
      </c>
      <c r="CV1763">
        <f>IFERROR(INDEX(PP_Grid[#Data],$DE1763,97),0)</f>
        <v/>
      </c>
      <c r="CW1763">
        <f>IFERROR(INDEX(PP_Grid[#Data],$DE1763,98),0)</f>
        <v/>
      </c>
      <c r="CX1763">
        <f>IFERROR(INDEX(PP_Grid[#Data],$DE1763,99),0)</f>
        <v/>
      </c>
      <c r="CY1763">
        <f>IFERROR(INDEX(PP_Grid[#Data],$DE1763,100),0)</f>
        <v/>
      </c>
      <c r="CZ1763">
        <f>IFERROR(INDEX(PP_Grid[#Data],$DE1763,101),0)</f>
        <v/>
      </c>
      <c r="DA1763">
        <f>IFERROR(INDEX(PP_Grid[#Data],$DE1763,102),0)</f>
        <v/>
      </c>
      <c r="DB1763">
        <f>IFERROR(INDEX(PP_Grid[#Data],$DE1763,103),0)</f>
        <v/>
      </c>
      <c r="DC1763">
        <f>IFERROR(INDEX(PP_Grid[#Data],$DE1763,104),0)</f>
        <v/>
      </c>
      <c r="DD1763">
        <f>IFERROR(INDEX(PP_Grid[#Data],$DE1763,105),0)</f>
        <v/>
      </c>
      <c r="DE1763" s="7">
        <f>IFERROR(MATCH($B1763,PP_Grid[Intermediate],0),99999)</f>
        <v/>
      </c>
    </row>
    <row r="1764">
      <c r="B1764" t="inlineStr">
        <is>
          <t>使用量(kg)</t>
        </is>
      </c>
      <c r="C1764">
        <f>SUMIFS(M_BOM[RM_Qty_Per_Batch],M_BOM[Intermediate],$B1763,M_BOM[RM_Code],$A1754)</f>
        <v/>
      </c>
      <c r="D1764">
        <f>IFERROR(INDEX(E1764:DD1764,$F$1),"")</f>
        <v/>
      </c>
      <c r="E1764">
        <f>$C1764*E1763</f>
        <v/>
      </c>
      <c r="F1764">
        <f>$C1764*F1763</f>
        <v/>
      </c>
      <c r="G1764">
        <f>$C1764*G1763</f>
        <v/>
      </c>
      <c r="H1764">
        <f>$C1764*H1763</f>
        <v/>
      </c>
      <c r="I1764">
        <f>$C1764*I1763</f>
        <v/>
      </c>
      <c r="J1764">
        <f>$C1764*J1763</f>
        <v/>
      </c>
      <c r="K1764">
        <f>$C1764*K1763</f>
        <v/>
      </c>
      <c r="L1764">
        <f>$C1764*L1763</f>
        <v/>
      </c>
      <c r="M1764">
        <f>$C1764*M1763</f>
        <v/>
      </c>
      <c r="N1764">
        <f>$C1764*N1763</f>
        <v/>
      </c>
      <c r="O1764">
        <f>$C1764*O1763</f>
        <v/>
      </c>
      <c r="P1764">
        <f>$C1764*P1763</f>
        <v/>
      </c>
      <c r="Q1764">
        <f>$C1764*Q1763</f>
        <v/>
      </c>
      <c r="R1764">
        <f>$C1764*R1763</f>
        <v/>
      </c>
      <c r="S1764">
        <f>$C1764*S1763</f>
        <v/>
      </c>
      <c r="T1764">
        <f>$C1764*T1763</f>
        <v/>
      </c>
      <c r="U1764">
        <f>$C1764*U1763</f>
        <v/>
      </c>
      <c r="V1764">
        <f>$C1764*V1763</f>
        <v/>
      </c>
      <c r="W1764">
        <f>$C1764*W1763</f>
        <v/>
      </c>
      <c r="X1764">
        <f>$C1764*X1763</f>
        <v/>
      </c>
      <c r="Y1764">
        <f>$C1764*Y1763</f>
        <v/>
      </c>
      <c r="Z1764">
        <f>$C1764*Z1763</f>
        <v/>
      </c>
      <c r="AA1764">
        <f>$C1764*AA1763</f>
        <v/>
      </c>
      <c r="AB1764">
        <f>$C1764*AB1763</f>
        <v/>
      </c>
      <c r="AC1764">
        <f>$C1764*AC1763</f>
        <v/>
      </c>
      <c r="AD1764">
        <f>$C1764*AD1763</f>
        <v/>
      </c>
      <c r="AE1764">
        <f>$C1764*AE1763</f>
        <v/>
      </c>
      <c r="AF1764">
        <f>$C1764*AF1763</f>
        <v/>
      </c>
      <c r="AG1764">
        <f>$C1764*AG1763</f>
        <v/>
      </c>
      <c r="AH1764">
        <f>$C1764*AH1763</f>
        <v/>
      </c>
      <c r="AI1764">
        <f>$C1764*AI1763</f>
        <v/>
      </c>
      <c r="AJ1764">
        <f>$C1764*AJ1763</f>
        <v/>
      </c>
      <c r="AK1764">
        <f>$C1764*AK1763</f>
        <v/>
      </c>
      <c r="AL1764">
        <f>$C1764*AL1763</f>
        <v/>
      </c>
      <c r="AM1764">
        <f>$C1764*AM1763</f>
        <v/>
      </c>
      <c r="AN1764">
        <f>$C1764*AN1763</f>
        <v/>
      </c>
      <c r="AO1764">
        <f>$C1764*AO1763</f>
        <v/>
      </c>
      <c r="AP1764">
        <f>$C1764*AP1763</f>
        <v/>
      </c>
      <c r="AQ1764">
        <f>$C1764*AQ1763</f>
        <v/>
      </c>
      <c r="AR1764">
        <f>$C1764*AR1763</f>
        <v/>
      </c>
      <c r="AS1764">
        <f>$C1764*AS1763</f>
        <v/>
      </c>
      <c r="AT1764">
        <f>$C1764*AT1763</f>
        <v/>
      </c>
      <c r="AU1764">
        <f>$C1764*AU1763</f>
        <v/>
      </c>
      <c r="AV1764">
        <f>$C1764*AV1763</f>
        <v/>
      </c>
      <c r="AW1764">
        <f>$C1764*AW1763</f>
        <v/>
      </c>
      <c r="AX1764">
        <f>$C1764*AX1763</f>
        <v/>
      </c>
      <c r="AY1764">
        <f>$C1764*AY1763</f>
        <v/>
      </c>
      <c r="AZ1764">
        <f>$C1764*AZ1763</f>
        <v/>
      </c>
      <c r="BA1764">
        <f>$C1764*BA1763</f>
        <v/>
      </c>
      <c r="BB1764">
        <f>$C1764*BB1763</f>
        <v/>
      </c>
      <c r="BC1764">
        <f>$C1764*BC1763</f>
        <v/>
      </c>
      <c r="BD1764">
        <f>$C1764*BD1763</f>
        <v/>
      </c>
      <c r="BE1764">
        <f>$C1764*BE1763</f>
        <v/>
      </c>
      <c r="BF1764">
        <f>$C1764*BF1763</f>
        <v/>
      </c>
      <c r="BG1764">
        <f>$C1764*BG1763</f>
        <v/>
      </c>
      <c r="BH1764">
        <f>$C1764*BH1763</f>
        <v/>
      </c>
      <c r="BI1764">
        <f>$C1764*BI1763</f>
        <v/>
      </c>
      <c r="BJ1764">
        <f>$C1764*BJ1763</f>
        <v/>
      </c>
      <c r="BK1764">
        <f>$C1764*BK1763</f>
        <v/>
      </c>
      <c r="BL1764">
        <f>$C1764*BL1763</f>
        <v/>
      </c>
      <c r="BM1764">
        <f>$C1764*BM1763</f>
        <v/>
      </c>
      <c r="BN1764">
        <f>$C1764*BN1763</f>
        <v/>
      </c>
      <c r="BO1764">
        <f>$C1764*BO1763</f>
        <v/>
      </c>
      <c r="BP1764">
        <f>$C1764*BP1763</f>
        <v/>
      </c>
      <c r="BQ1764">
        <f>$C1764*BQ1763</f>
        <v/>
      </c>
      <c r="BR1764">
        <f>$C1764*BR1763</f>
        <v/>
      </c>
      <c r="BS1764">
        <f>$C1764*BS1763</f>
        <v/>
      </c>
      <c r="BT1764">
        <f>$C1764*BT1763</f>
        <v/>
      </c>
      <c r="BU1764">
        <f>$C1764*BU1763</f>
        <v/>
      </c>
      <c r="BV1764">
        <f>$C1764*BV1763</f>
        <v/>
      </c>
      <c r="BW1764">
        <f>$C1764*BW1763</f>
        <v/>
      </c>
      <c r="BX1764">
        <f>$C1764*BX1763</f>
        <v/>
      </c>
      <c r="BY1764">
        <f>$C1764*BY1763</f>
        <v/>
      </c>
      <c r="BZ1764">
        <f>$C1764*BZ1763</f>
        <v/>
      </c>
      <c r="CA1764">
        <f>$C1764*CA1763</f>
        <v/>
      </c>
      <c r="CB1764">
        <f>$C1764*CB1763</f>
        <v/>
      </c>
      <c r="CC1764">
        <f>$C1764*CC1763</f>
        <v/>
      </c>
      <c r="CD1764">
        <f>$C1764*CD1763</f>
        <v/>
      </c>
      <c r="CE1764">
        <f>$C1764*CE1763</f>
        <v/>
      </c>
      <c r="CF1764">
        <f>$C1764*CF1763</f>
        <v/>
      </c>
      <c r="CG1764">
        <f>$C1764*CG1763</f>
        <v/>
      </c>
      <c r="CH1764">
        <f>$C1764*CH1763</f>
        <v/>
      </c>
      <c r="CI1764">
        <f>$C1764*CI1763</f>
        <v/>
      </c>
      <c r="CJ1764">
        <f>$C1764*CJ1763</f>
        <v/>
      </c>
      <c r="CK1764">
        <f>$C1764*CK1763</f>
        <v/>
      </c>
      <c r="CL1764">
        <f>$C1764*CL1763</f>
        <v/>
      </c>
      <c r="CM1764">
        <f>$C1764*CM1763</f>
        <v/>
      </c>
      <c r="CN1764">
        <f>$C1764*CN1763</f>
        <v/>
      </c>
      <c r="CO1764">
        <f>$C1764*CO1763</f>
        <v/>
      </c>
      <c r="CP1764">
        <f>$C1764*CP1763</f>
        <v/>
      </c>
      <c r="CQ1764">
        <f>$C1764*CQ1763</f>
        <v/>
      </c>
      <c r="CR1764">
        <f>$C1764*CR1763</f>
        <v/>
      </c>
      <c r="CS1764">
        <f>$C1764*CS1763</f>
        <v/>
      </c>
      <c r="CT1764">
        <f>$C1764*CT1763</f>
        <v/>
      </c>
      <c r="CU1764">
        <f>$C1764*CU1763</f>
        <v/>
      </c>
      <c r="CV1764">
        <f>$C1764*CV1763</f>
        <v/>
      </c>
      <c r="CW1764">
        <f>$C1764*CW1763</f>
        <v/>
      </c>
      <c r="CX1764">
        <f>$C1764*CX1763</f>
        <v/>
      </c>
      <c r="CY1764">
        <f>$C1764*CY1763</f>
        <v/>
      </c>
      <c r="CZ1764">
        <f>$C1764*CZ1763</f>
        <v/>
      </c>
      <c r="DA1764">
        <f>$C1764*DA1763</f>
        <v/>
      </c>
      <c r="DB1764">
        <f>$C1764*DB1763</f>
        <v/>
      </c>
      <c r="DC1764">
        <f>$C1764*DC1763</f>
        <v/>
      </c>
      <c r="DD1764">
        <f>$C1764*DD1763</f>
        <v/>
      </c>
    </row>
    <row r="1765">
      <c r="B1765" s="4" t="inlineStr">
        <is>
          <t>合計使用量(kg)/週</t>
        </is>
      </c>
      <c r="D1765" s="23">
        <f>IFERROR(INDEX(E1765:DD1765,$F$1),"")</f>
        <v/>
      </c>
      <c r="E1765">
        <f>'Grid_Requirement'!B35</f>
        <v/>
      </c>
      <c r="F1765">
        <f>'Grid_Requirement'!C35</f>
        <v/>
      </c>
      <c r="G1765">
        <f>'Grid_Requirement'!D35</f>
        <v/>
      </c>
      <c r="H1765">
        <f>'Grid_Requirement'!E35</f>
        <v/>
      </c>
      <c r="I1765">
        <f>'Grid_Requirement'!F35</f>
        <v/>
      </c>
      <c r="J1765">
        <f>'Grid_Requirement'!G35</f>
        <v/>
      </c>
      <c r="K1765">
        <f>'Grid_Requirement'!H35</f>
        <v/>
      </c>
      <c r="L1765">
        <f>'Grid_Requirement'!I35</f>
        <v/>
      </c>
      <c r="M1765">
        <f>'Grid_Requirement'!J35</f>
        <v/>
      </c>
      <c r="N1765">
        <f>'Grid_Requirement'!K35</f>
        <v/>
      </c>
      <c r="O1765">
        <f>'Grid_Requirement'!L35</f>
        <v/>
      </c>
      <c r="P1765">
        <f>'Grid_Requirement'!M35</f>
        <v/>
      </c>
      <c r="Q1765">
        <f>'Grid_Requirement'!N35</f>
        <v/>
      </c>
      <c r="R1765">
        <f>'Grid_Requirement'!O35</f>
        <v/>
      </c>
      <c r="S1765">
        <f>'Grid_Requirement'!P35</f>
        <v/>
      </c>
      <c r="T1765">
        <f>'Grid_Requirement'!Q35</f>
        <v/>
      </c>
      <c r="U1765">
        <f>'Grid_Requirement'!R35</f>
        <v/>
      </c>
      <c r="V1765">
        <f>'Grid_Requirement'!S35</f>
        <v/>
      </c>
      <c r="W1765">
        <f>'Grid_Requirement'!T35</f>
        <v/>
      </c>
      <c r="X1765">
        <f>'Grid_Requirement'!U35</f>
        <v/>
      </c>
      <c r="Y1765">
        <f>'Grid_Requirement'!V35</f>
        <v/>
      </c>
      <c r="Z1765">
        <f>'Grid_Requirement'!W35</f>
        <v/>
      </c>
      <c r="AA1765">
        <f>'Grid_Requirement'!X35</f>
        <v/>
      </c>
      <c r="AB1765">
        <f>'Grid_Requirement'!Y35</f>
        <v/>
      </c>
      <c r="AC1765">
        <f>'Grid_Requirement'!Z35</f>
        <v/>
      </c>
      <c r="AD1765">
        <f>'Grid_Requirement'!AA35</f>
        <v/>
      </c>
      <c r="AE1765">
        <f>'Grid_Requirement'!AB35</f>
        <v/>
      </c>
      <c r="AF1765">
        <f>'Grid_Requirement'!AC35</f>
        <v/>
      </c>
      <c r="AG1765">
        <f>'Grid_Requirement'!AD35</f>
        <v/>
      </c>
      <c r="AH1765">
        <f>'Grid_Requirement'!AE35</f>
        <v/>
      </c>
      <c r="AI1765">
        <f>'Grid_Requirement'!AF35</f>
        <v/>
      </c>
      <c r="AJ1765">
        <f>'Grid_Requirement'!AG35</f>
        <v/>
      </c>
      <c r="AK1765">
        <f>'Grid_Requirement'!AH35</f>
        <v/>
      </c>
      <c r="AL1765">
        <f>'Grid_Requirement'!AI35</f>
        <v/>
      </c>
      <c r="AM1765">
        <f>'Grid_Requirement'!AJ35</f>
        <v/>
      </c>
      <c r="AN1765">
        <f>'Grid_Requirement'!AK35</f>
        <v/>
      </c>
      <c r="AO1765">
        <f>'Grid_Requirement'!AL35</f>
        <v/>
      </c>
      <c r="AP1765">
        <f>'Grid_Requirement'!AM35</f>
        <v/>
      </c>
      <c r="AQ1765">
        <f>'Grid_Requirement'!AN35</f>
        <v/>
      </c>
      <c r="AR1765">
        <f>'Grid_Requirement'!AO35</f>
        <v/>
      </c>
      <c r="AS1765">
        <f>'Grid_Requirement'!AP35</f>
        <v/>
      </c>
      <c r="AT1765">
        <f>'Grid_Requirement'!AQ35</f>
        <v/>
      </c>
      <c r="AU1765">
        <f>'Grid_Requirement'!AR35</f>
        <v/>
      </c>
      <c r="AV1765">
        <f>'Grid_Requirement'!AS35</f>
        <v/>
      </c>
      <c r="AW1765">
        <f>'Grid_Requirement'!AT35</f>
        <v/>
      </c>
      <c r="AX1765">
        <f>'Grid_Requirement'!AU35</f>
        <v/>
      </c>
      <c r="AY1765">
        <f>'Grid_Requirement'!AV35</f>
        <v/>
      </c>
      <c r="AZ1765">
        <f>'Grid_Requirement'!AW35</f>
        <v/>
      </c>
      <c r="BA1765">
        <f>'Grid_Requirement'!AX35</f>
        <v/>
      </c>
      <c r="BB1765">
        <f>'Grid_Requirement'!AY35</f>
        <v/>
      </c>
      <c r="BC1765">
        <f>'Grid_Requirement'!AZ35</f>
        <v/>
      </c>
      <c r="BD1765">
        <f>'Grid_Requirement'!BA35</f>
        <v/>
      </c>
      <c r="BE1765">
        <f>'Grid_Requirement'!BB35</f>
        <v/>
      </c>
      <c r="BF1765">
        <f>'Grid_Requirement'!BC35</f>
        <v/>
      </c>
      <c r="BG1765">
        <f>'Grid_Requirement'!BD35</f>
        <v/>
      </c>
      <c r="BH1765">
        <f>'Grid_Requirement'!BE35</f>
        <v/>
      </c>
      <c r="BI1765">
        <f>'Grid_Requirement'!BF35</f>
        <v/>
      </c>
      <c r="BJ1765">
        <f>'Grid_Requirement'!BG35</f>
        <v/>
      </c>
      <c r="BK1765">
        <f>'Grid_Requirement'!BH35</f>
        <v/>
      </c>
      <c r="BL1765">
        <f>'Grid_Requirement'!BI35</f>
        <v/>
      </c>
      <c r="BM1765">
        <f>'Grid_Requirement'!BJ35</f>
        <v/>
      </c>
      <c r="BN1765">
        <f>'Grid_Requirement'!BK35</f>
        <v/>
      </c>
      <c r="BO1765">
        <f>'Grid_Requirement'!BL35</f>
        <v/>
      </c>
      <c r="BP1765">
        <f>'Grid_Requirement'!BM35</f>
        <v/>
      </c>
      <c r="BQ1765">
        <f>'Grid_Requirement'!BN35</f>
        <v/>
      </c>
      <c r="BR1765">
        <f>'Grid_Requirement'!BO35</f>
        <v/>
      </c>
      <c r="BS1765">
        <f>'Grid_Requirement'!BP35</f>
        <v/>
      </c>
      <c r="BT1765">
        <f>'Grid_Requirement'!BQ35</f>
        <v/>
      </c>
      <c r="BU1765">
        <f>'Grid_Requirement'!BR35</f>
        <v/>
      </c>
      <c r="BV1765">
        <f>'Grid_Requirement'!BS35</f>
        <v/>
      </c>
      <c r="BW1765">
        <f>'Grid_Requirement'!BT35</f>
        <v/>
      </c>
      <c r="BX1765">
        <f>'Grid_Requirement'!BU35</f>
        <v/>
      </c>
      <c r="BY1765">
        <f>'Grid_Requirement'!BV35</f>
        <v/>
      </c>
      <c r="BZ1765">
        <f>'Grid_Requirement'!BW35</f>
        <v/>
      </c>
      <c r="CA1765">
        <f>'Grid_Requirement'!BX35</f>
        <v/>
      </c>
      <c r="CB1765">
        <f>'Grid_Requirement'!BY35</f>
        <v/>
      </c>
      <c r="CC1765">
        <f>'Grid_Requirement'!BZ35</f>
        <v/>
      </c>
      <c r="CD1765">
        <f>'Grid_Requirement'!CA35</f>
        <v/>
      </c>
      <c r="CE1765">
        <f>'Grid_Requirement'!CB35</f>
        <v/>
      </c>
      <c r="CF1765">
        <f>'Grid_Requirement'!CC35</f>
        <v/>
      </c>
      <c r="CG1765">
        <f>'Grid_Requirement'!CD35</f>
        <v/>
      </c>
      <c r="CH1765">
        <f>'Grid_Requirement'!CE35</f>
        <v/>
      </c>
      <c r="CI1765">
        <f>'Grid_Requirement'!CF35</f>
        <v/>
      </c>
      <c r="CJ1765">
        <f>'Grid_Requirement'!CG35</f>
        <v/>
      </c>
      <c r="CK1765">
        <f>'Grid_Requirement'!CH35</f>
        <v/>
      </c>
      <c r="CL1765">
        <f>'Grid_Requirement'!CI35</f>
        <v/>
      </c>
      <c r="CM1765">
        <f>'Grid_Requirement'!CJ35</f>
        <v/>
      </c>
      <c r="CN1765">
        <f>'Grid_Requirement'!CK35</f>
        <v/>
      </c>
      <c r="CO1765">
        <f>'Grid_Requirement'!CL35</f>
        <v/>
      </c>
      <c r="CP1765">
        <f>'Grid_Requirement'!CM35</f>
        <v/>
      </c>
      <c r="CQ1765">
        <f>'Grid_Requirement'!CN35</f>
        <v/>
      </c>
      <c r="CR1765">
        <f>'Grid_Requirement'!CO35</f>
        <v/>
      </c>
      <c r="CS1765">
        <f>'Grid_Requirement'!CP35</f>
        <v/>
      </c>
      <c r="CT1765">
        <f>'Grid_Requirement'!CQ35</f>
        <v/>
      </c>
      <c r="CU1765">
        <f>'Grid_Requirement'!CR35</f>
        <v/>
      </c>
      <c r="CV1765">
        <f>'Grid_Requirement'!CS35</f>
        <v/>
      </c>
      <c r="CW1765">
        <f>'Grid_Requirement'!CT35</f>
        <v/>
      </c>
      <c r="CX1765">
        <f>'Grid_Requirement'!CU35</f>
        <v/>
      </c>
      <c r="CY1765">
        <f>'Grid_Requirement'!CV35</f>
        <v/>
      </c>
      <c r="CZ1765">
        <f>'Grid_Requirement'!CW35</f>
        <v/>
      </c>
      <c r="DA1765">
        <f>'Grid_Requirement'!CX35</f>
        <v/>
      </c>
      <c r="DB1765">
        <f>'Grid_Requirement'!CY35</f>
        <v/>
      </c>
      <c r="DC1765">
        <f>'Grid_Requirement'!CZ35</f>
        <v/>
      </c>
      <c r="DD1765">
        <f>'Grid_Requirement'!DA35</f>
        <v/>
      </c>
    </row>
    <row r="1766">
      <c r="B1766" t="inlineStr">
        <is>
          <t>TTAF在庫(実績,kg)</t>
        </is>
      </c>
      <c r="D1766">
        <f>IFERROR(INDEX(E1766:DD1766,$F$1),"")</f>
        <v/>
      </c>
      <c r="E1766">
        <f>IFERROR(SUMIFS(T_TTAFStock[TTAF_Qty],T_TTAFStock[RM_Code],$A1754,T_TTAFStock[WeekIndex],1),"")</f>
        <v/>
      </c>
      <c r="F1766">
        <f>IFERROR(SUMIFS(T_TTAFStock[TTAF_Qty],T_TTAFStock[RM_Code],$A1754,T_TTAFStock[WeekIndex],2),"")</f>
        <v/>
      </c>
      <c r="G1766">
        <f>IFERROR(SUMIFS(T_TTAFStock[TTAF_Qty],T_TTAFStock[RM_Code],$A1754,T_TTAFStock[WeekIndex],3),"")</f>
        <v/>
      </c>
      <c r="H1766">
        <f>IFERROR(SUMIFS(T_TTAFStock[TTAF_Qty],T_TTAFStock[RM_Code],$A1754,T_TTAFStock[WeekIndex],4),"")</f>
        <v/>
      </c>
      <c r="I1766">
        <f>IFERROR(SUMIFS(T_TTAFStock[TTAF_Qty],T_TTAFStock[RM_Code],$A1754,T_TTAFStock[WeekIndex],5),"")</f>
        <v/>
      </c>
      <c r="J1766">
        <f>IFERROR(SUMIFS(T_TTAFStock[TTAF_Qty],T_TTAFStock[RM_Code],$A1754,T_TTAFStock[WeekIndex],6),"")</f>
        <v/>
      </c>
      <c r="K1766">
        <f>IFERROR(SUMIFS(T_TTAFStock[TTAF_Qty],T_TTAFStock[RM_Code],$A1754,T_TTAFStock[WeekIndex],7),"")</f>
        <v/>
      </c>
      <c r="L1766">
        <f>IFERROR(SUMIFS(T_TTAFStock[TTAF_Qty],T_TTAFStock[RM_Code],$A1754,T_TTAFStock[WeekIndex],8),"")</f>
        <v/>
      </c>
      <c r="M1766">
        <f>IFERROR(SUMIFS(T_TTAFStock[TTAF_Qty],T_TTAFStock[RM_Code],$A1754,T_TTAFStock[WeekIndex],9),"")</f>
        <v/>
      </c>
      <c r="N1766">
        <f>IFERROR(SUMIFS(T_TTAFStock[TTAF_Qty],T_TTAFStock[RM_Code],$A1754,T_TTAFStock[WeekIndex],10),"")</f>
        <v/>
      </c>
      <c r="O1766">
        <f>IFERROR(SUMIFS(T_TTAFStock[TTAF_Qty],T_TTAFStock[RM_Code],$A1754,T_TTAFStock[WeekIndex],11),"")</f>
        <v/>
      </c>
      <c r="P1766">
        <f>IFERROR(SUMIFS(T_TTAFStock[TTAF_Qty],T_TTAFStock[RM_Code],$A1754,T_TTAFStock[WeekIndex],12),"")</f>
        <v/>
      </c>
      <c r="Q1766">
        <f>IFERROR(SUMIFS(T_TTAFStock[TTAF_Qty],T_TTAFStock[RM_Code],$A1754,T_TTAFStock[WeekIndex],13),"")</f>
        <v/>
      </c>
      <c r="R1766">
        <f>IFERROR(SUMIFS(T_TTAFStock[TTAF_Qty],T_TTAFStock[RM_Code],$A1754,T_TTAFStock[WeekIndex],14),"")</f>
        <v/>
      </c>
      <c r="S1766">
        <f>IFERROR(SUMIFS(T_TTAFStock[TTAF_Qty],T_TTAFStock[RM_Code],$A1754,T_TTAFStock[WeekIndex],15),"")</f>
        <v/>
      </c>
      <c r="T1766">
        <f>IFERROR(SUMIFS(T_TTAFStock[TTAF_Qty],T_TTAFStock[RM_Code],$A1754,T_TTAFStock[WeekIndex],16),"")</f>
        <v/>
      </c>
      <c r="U1766">
        <f>IFERROR(SUMIFS(T_TTAFStock[TTAF_Qty],T_TTAFStock[RM_Code],$A1754,T_TTAFStock[WeekIndex],17),"")</f>
        <v/>
      </c>
      <c r="V1766">
        <f>IFERROR(SUMIFS(T_TTAFStock[TTAF_Qty],T_TTAFStock[RM_Code],$A1754,T_TTAFStock[WeekIndex],18),"")</f>
        <v/>
      </c>
      <c r="W1766">
        <f>IFERROR(SUMIFS(T_TTAFStock[TTAF_Qty],T_TTAFStock[RM_Code],$A1754,T_TTAFStock[WeekIndex],19),"")</f>
        <v/>
      </c>
      <c r="X1766">
        <f>IFERROR(SUMIFS(T_TTAFStock[TTAF_Qty],T_TTAFStock[RM_Code],$A1754,T_TTAFStock[WeekIndex],20),"")</f>
        <v/>
      </c>
      <c r="Y1766">
        <f>IFERROR(SUMIFS(T_TTAFStock[TTAF_Qty],T_TTAFStock[RM_Code],$A1754,T_TTAFStock[WeekIndex],21),"")</f>
        <v/>
      </c>
      <c r="Z1766">
        <f>IFERROR(SUMIFS(T_TTAFStock[TTAF_Qty],T_TTAFStock[RM_Code],$A1754,T_TTAFStock[WeekIndex],22),"")</f>
        <v/>
      </c>
      <c r="AA1766">
        <f>IFERROR(SUMIFS(T_TTAFStock[TTAF_Qty],T_TTAFStock[RM_Code],$A1754,T_TTAFStock[WeekIndex],23),"")</f>
        <v/>
      </c>
      <c r="AB1766">
        <f>IFERROR(SUMIFS(T_TTAFStock[TTAF_Qty],T_TTAFStock[RM_Code],$A1754,T_TTAFStock[WeekIndex],24),"")</f>
        <v/>
      </c>
      <c r="AC1766">
        <f>IFERROR(SUMIFS(T_TTAFStock[TTAF_Qty],T_TTAFStock[RM_Code],$A1754,T_TTAFStock[WeekIndex],25),"")</f>
        <v/>
      </c>
      <c r="AD1766">
        <f>IFERROR(SUMIFS(T_TTAFStock[TTAF_Qty],T_TTAFStock[RM_Code],$A1754,T_TTAFStock[WeekIndex],26),"")</f>
        <v/>
      </c>
      <c r="AE1766">
        <f>IFERROR(SUMIFS(T_TTAFStock[TTAF_Qty],T_TTAFStock[RM_Code],$A1754,T_TTAFStock[WeekIndex],27),"")</f>
        <v/>
      </c>
      <c r="AF1766">
        <f>IFERROR(SUMIFS(T_TTAFStock[TTAF_Qty],T_TTAFStock[RM_Code],$A1754,T_TTAFStock[WeekIndex],28),"")</f>
        <v/>
      </c>
      <c r="AG1766">
        <f>IFERROR(SUMIFS(T_TTAFStock[TTAF_Qty],T_TTAFStock[RM_Code],$A1754,T_TTAFStock[WeekIndex],29),"")</f>
        <v/>
      </c>
      <c r="AH1766">
        <f>IFERROR(SUMIFS(T_TTAFStock[TTAF_Qty],T_TTAFStock[RM_Code],$A1754,T_TTAFStock[WeekIndex],30),"")</f>
        <v/>
      </c>
      <c r="AI1766">
        <f>IFERROR(SUMIFS(T_TTAFStock[TTAF_Qty],T_TTAFStock[RM_Code],$A1754,T_TTAFStock[WeekIndex],31),"")</f>
        <v/>
      </c>
      <c r="AJ1766">
        <f>IFERROR(SUMIFS(T_TTAFStock[TTAF_Qty],T_TTAFStock[RM_Code],$A1754,T_TTAFStock[WeekIndex],32),"")</f>
        <v/>
      </c>
      <c r="AK1766">
        <f>IFERROR(SUMIFS(T_TTAFStock[TTAF_Qty],T_TTAFStock[RM_Code],$A1754,T_TTAFStock[WeekIndex],33),"")</f>
        <v/>
      </c>
      <c r="AL1766">
        <f>IFERROR(SUMIFS(T_TTAFStock[TTAF_Qty],T_TTAFStock[RM_Code],$A1754,T_TTAFStock[WeekIndex],34),"")</f>
        <v/>
      </c>
      <c r="AM1766">
        <f>IFERROR(SUMIFS(T_TTAFStock[TTAF_Qty],T_TTAFStock[RM_Code],$A1754,T_TTAFStock[WeekIndex],35),"")</f>
        <v/>
      </c>
      <c r="AN1766">
        <f>IFERROR(SUMIFS(T_TTAFStock[TTAF_Qty],T_TTAFStock[RM_Code],$A1754,T_TTAFStock[WeekIndex],36),"")</f>
        <v/>
      </c>
      <c r="AO1766">
        <f>IFERROR(SUMIFS(T_TTAFStock[TTAF_Qty],T_TTAFStock[RM_Code],$A1754,T_TTAFStock[WeekIndex],37),"")</f>
        <v/>
      </c>
      <c r="AP1766">
        <f>IFERROR(SUMIFS(T_TTAFStock[TTAF_Qty],T_TTAFStock[RM_Code],$A1754,T_TTAFStock[WeekIndex],38),"")</f>
        <v/>
      </c>
      <c r="AQ1766">
        <f>IFERROR(SUMIFS(T_TTAFStock[TTAF_Qty],T_TTAFStock[RM_Code],$A1754,T_TTAFStock[WeekIndex],39),"")</f>
        <v/>
      </c>
      <c r="AR1766">
        <f>IFERROR(SUMIFS(T_TTAFStock[TTAF_Qty],T_TTAFStock[RM_Code],$A1754,T_TTAFStock[WeekIndex],40),"")</f>
        <v/>
      </c>
      <c r="AS1766">
        <f>IFERROR(SUMIFS(T_TTAFStock[TTAF_Qty],T_TTAFStock[RM_Code],$A1754,T_TTAFStock[WeekIndex],41),"")</f>
        <v/>
      </c>
      <c r="AT1766">
        <f>IFERROR(SUMIFS(T_TTAFStock[TTAF_Qty],T_TTAFStock[RM_Code],$A1754,T_TTAFStock[WeekIndex],42),"")</f>
        <v/>
      </c>
      <c r="AU1766">
        <f>IFERROR(SUMIFS(T_TTAFStock[TTAF_Qty],T_TTAFStock[RM_Code],$A1754,T_TTAFStock[WeekIndex],43),"")</f>
        <v/>
      </c>
      <c r="AV1766">
        <f>IFERROR(SUMIFS(T_TTAFStock[TTAF_Qty],T_TTAFStock[RM_Code],$A1754,T_TTAFStock[WeekIndex],44),"")</f>
        <v/>
      </c>
      <c r="AW1766">
        <f>IFERROR(SUMIFS(T_TTAFStock[TTAF_Qty],T_TTAFStock[RM_Code],$A1754,T_TTAFStock[WeekIndex],45),"")</f>
        <v/>
      </c>
      <c r="AX1766">
        <f>IFERROR(SUMIFS(T_TTAFStock[TTAF_Qty],T_TTAFStock[RM_Code],$A1754,T_TTAFStock[WeekIndex],46),"")</f>
        <v/>
      </c>
      <c r="AY1766">
        <f>IFERROR(SUMIFS(T_TTAFStock[TTAF_Qty],T_TTAFStock[RM_Code],$A1754,T_TTAFStock[WeekIndex],47),"")</f>
        <v/>
      </c>
      <c r="AZ1766">
        <f>IFERROR(SUMIFS(T_TTAFStock[TTAF_Qty],T_TTAFStock[RM_Code],$A1754,T_TTAFStock[WeekIndex],48),"")</f>
        <v/>
      </c>
      <c r="BA1766">
        <f>IFERROR(SUMIFS(T_TTAFStock[TTAF_Qty],T_TTAFStock[RM_Code],$A1754,T_TTAFStock[WeekIndex],49),"")</f>
        <v/>
      </c>
      <c r="BB1766">
        <f>IFERROR(SUMIFS(T_TTAFStock[TTAF_Qty],T_TTAFStock[RM_Code],$A1754,T_TTAFStock[WeekIndex],50),"")</f>
        <v/>
      </c>
      <c r="BC1766">
        <f>IFERROR(SUMIFS(T_TTAFStock[TTAF_Qty],T_TTAFStock[RM_Code],$A1754,T_TTAFStock[WeekIndex],51),"")</f>
        <v/>
      </c>
      <c r="BD1766">
        <f>IFERROR(SUMIFS(T_TTAFStock[TTAF_Qty],T_TTAFStock[RM_Code],$A1754,T_TTAFStock[WeekIndex],52),"")</f>
        <v/>
      </c>
      <c r="BE1766">
        <f>IFERROR(SUMIFS(T_TTAFStock[TTAF_Qty],T_TTAFStock[RM_Code],$A1754,T_TTAFStock[WeekIndex],53),"")</f>
        <v/>
      </c>
      <c r="BF1766">
        <f>IFERROR(SUMIFS(T_TTAFStock[TTAF_Qty],T_TTAFStock[RM_Code],$A1754,T_TTAFStock[WeekIndex],54),"")</f>
        <v/>
      </c>
      <c r="BG1766">
        <f>IFERROR(SUMIFS(T_TTAFStock[TTAF_Qty],T_TTAFStock[RM_Code],$A1754,T_TTAFStock[WeekIndex],55),"")</f>
        <v/>
      </c>
      <c r="BH1766">
        <f>IFERROR(SUMIFS(T_TTAFStock[TTAF_Qty],T_TTAFStock[RM_Code],$A1754,T_TTAFStock[WeekIndex],56),"")</f>
        <v/>
      </c>
      <c r="BI1766">
        <f>IFERROR(SUMIFS(T_TTAFStock[TTAF_Qty],T_TTAFStock[RM_Code],$A1754,T_TTAFStock[WeekIndex],57),"")</f>
        <v/>
      </c>
      <c r="BJ1766">
        <f>IFERROR(SUMIFS(T_TTAFStock[TTAF_Qty],T_TTAFStock[RM_Code],$A1754,T_TTAFStock[WeekIndex],58),"")</f>
        <v/>
      </c>
      <c r="BK1766">
        <f>IFERROR(SUMIFS(T_TTAFStock[TTAF_Qty],T_TTAFStock[RM_Code],$A1754,T_TTAFStock[WeekIndex],59),"")</f>
        <v/>
      </c>
      <c r="BL1766">
        <f>IFERROR(SUMIFS(T_TTAFStock[TTAF_Qty],T_TTAFStock[RM_Code],$A1754,T_TTAFStock[WeekIndex],60),"")</f>
        <v/>
      </c>
      <c r="BM1766">
        <f>IFERROR(SUMIFS(T_TTAFStock[TTAF_Qty],T_TTAFStock[RM_Code],$A1754,T_TTAFStock[WeekIndex],61),"")</f>
        <v/>
      </c>
      <c r="BN1766">
        <f>IFERROR(SUMIFS(T_TTAFStock[TTAF_Qty],T_TTAFStock[RM_Code],$A1754,T_TTAFStock[WeekIndex],62),"")</f>
        <v/>
      </c>
      <c r="BO1766">
        <f>IFERROR(SUMIFS(T_TTAFStock[TTAF_Qty],T_TTAFStock[RM_Code],$A1754,T_TTAFStock[WeekIndex],63),"")</f>
        <v/>
      </c>
      <c r="BP1766">
        <f>IFERROR(SUMIFS(T_TTAFStock[TTAF_Qty],T_TTAFStock[RM_Code],$A1754,T_TTAFStock[WeekIndex],64),"")</f>
        <v/>
      </c>
      <c r="BQ1766">
        <f>IFERROR(SUMIFS(T_TTAFStock[TTAF_Qty],T_TTAFStock[RM_Code],$A1754,T_TTAFStock[WeekIndex],65),"")</f>
        <v/>
      </c>
      <c r="BR1766">
        <f>IFERROR(SUMIFS(T_TTAFStock[TTAF_Qty],T_TTAFStock[RM_Code],$A1754,T_TTAFStock[WeekIndex],66),"")</f>
        <v/>
      </c>
      <c r="BS1766">
        <f>IFERROR(SUMIFS(T_TTAFStock[TTAF_Qty],T_TTAFStock[RM_Code],$A1754,T_TTAFStock[WeekIndex],67),"")</f>
        <v/>
      </c>
      <c r="BT1766">
        <f>IFERROR(SUMIFS(T_TTAFStock[TTAF_Qty],T_TTAFStock[RM_Code],$A1754,T_TTAFStock[WeekIndex],68),"")</f>
        <v/>
      </c>
      <c r="BU1766">
        <f>IFERROR(SUMIFS(T_TTAFStock[TTAF_Qty],T_TTAFStock[RM_Code],$A1754,T_TTAFStock[WeekIndex],69),"")</f>
        <v/>
      </c>
      <c r="BV1766">
        <f>IFERROR(SUMIFS(T_TTAFStock[TTAF_Qty],T_TTAFStock[RM_Code],$A1754,T_TTAFStock[WeekIndex],70),"")</f>
        <v/>
      </c>
      <c r="BW1766">
        <f>IFERROR(SUMIFS(T_TTAFStock[TTAF_Qty],T_TTAFStock[RM_Code],$A1754,T_TTAFStock[WeekIndex],71),"")</f>
        <v/>
      </c>
      <c r="BX1766">
        <f>IFERROR(SUMIFS(T_TTAFStock[TTAF_Qty],T_TTAFStock[RM_Code],$A1754,T_TTAFStock[WeekIndex],72),"")</f>
        <v/>
      </c>
      <c r="BY1766">
        <f>IFERROR(SUMIFS(T_TTAFStock[TTAF_Qty],T_TTAFStock[RM_Code],$A1754,T_TTAFStock[WeekIndex],73),"")</f>
        <v/>
      </c>
      <c r="BZ1766">
        <f>IFERROR(SUMIFS(T_TTAFStock[TTAF_Qty],T_TTAFStock[RM_Code],$A1754,T_TTAFStock[WeekIndex],74),"")</f>
        <v/>
      </c>
      <c r="CA1766">
        <f>IFERROR(SUMIFS(T_TTAFStock[TTAF_Qty],T_TTAFStock[RM_Code],$A1754,T_TTAFStock[WeekIndex],75),"")</f>
        <v/>
      </c>
      <c r="CB1766">
        <f>IFERROR(SUMIFS(T_TTAFStock[TTAF_Qty],T_TTAFStock[RM_Code],$A1754,T_TTAFStock[WeekIndex],76),"")</f>
        <v/>
      </c>
      <c r="CC1766">
        <f>IFERROR(SUMIFS(T_TTAFStock[TTAF_Qty],T_TTAFStock[RM_Code],$A1754,T_TTAFStock[WeekIndex],77),"")</f>
        <v/>
      </c>
      <c r="CD1766">
        <f>IFERROR(SUMIFS(T_TTAFStock[TTAF_Qty],T_TTAFStock[RM_Code],$A1754,T_TTAFStock[WeekIndex],78),"")</f>
        <v/>
      </c>
      <c r="CE1766">
        <f>IFERROR(SUMIFS(T_TTAFStock[TTAF_Qty],T_TTAFStock[RM_Code],$A1754,T_TTAFStock[WeekIndex],79),"")</f>
        <v/>
      </c>
      <c r="CF1766">
        <f>IFERROR(SUMIFS(T_TTAFStock[TTAF_Qty],T_TTAFStock[RM_Code],$A1754,T_TTAFStock[WeekIndex],80),"")</f>
        <v/>
      </c>
      <c r="CG1766">
        <f>IFERROR(SUMIFS(T_TTAFStock[TTAF_Qty],T_TTAFStock[RM_Code],$A1754,T_TTAFStock[WeekIndex],81),"")</f>
        <v/>
      </c>
      <c r="CH1766">
        <f>IFERROR(SUMIFS(T_TTAFStock[TTAF_Qty],T_TTAFStock[RM_Code],$A1754,T_TTAFStock[WeekIndex],82),"")</f>
        <v/>
      </c>
      <c r="CI1766">
        <f>IFERROR(SUMIFS(T_TTAFStock[TTAF_Qty],T_TTAFStock[RM_Code],$A1754,T_TTAFStock[WeekIndex],83),"")</f>
        <v/>
      </c>
      <c r="CJ1766">
        <f>IFERROR(SUMIFS(T_TTAFStock[TTAF_Qty],T_TTAFStock[RM_Code],$A1754,T_TTAFStock[WeekIndex],84),"")</f>
        <v/>
      </c>
      <c r="CK1766">
        <f>IFERROR(SUMIFS(T_TTAFStock[TTAF_Qty],T_TTAFStock[RM_Code],$A1754,T_TTAFStock[WeekIndex],85),"")</f>
        <v/>
      </c>
      <c r="CL1766">
        <f>IFERROR(SUMIFS(T_TTAFStock[TTAF_Qty],T_TTAFStock[RM_Code],$A1754,T_TTAFStock[WeekIndex],86),"")</f>
        <v/>
      </c>
      <c r="CM1766">
        <f>IFERROR(SUMIFS(T_TTAFStock[TTAF_Qty],T_TTAFStock[RM_Code],$A1754,T_TTAFStock[WeekIndex],87),"")</f>
        <v/>
      </c>
      <c r="CN1766">
        <f>IFERROR(SUMIFS(T_TTAFStock[TTAF_Qty],T_TTAFStock[RM_Code],$A1754,T_TTAFStock[WeekIndex],88),"")</f>
        <v/>
      </c>
      <c r="CO1766">
        <f>IFERROR(SUMIFS(T_TTAFStock[TTAF_Qty],T_TTAFStock[RM_Code],$A1754,T_TTAFStock[WeekIndex],89),"")</f>
        <v/>
      </c>
      <c r="CP1766">
        <f>IFERROR(SUMIFS(T_TTAFStock[TTAF_Qty],T_TTAFStock[RM_Code],$A1754,T_TTAFStock[WeekIndex],90),"")</f>
        <v/>
      </c>
      <c r="CQ1766">
        <f>IFERROR(SUMIFS(T_TTAFStock[TTAF_Qty],T_TTAFStock[RM_Code],$A1754,T_TTAFStock[WeekIndex],91),"")</f>
        <v/>
      </c>
      <c r="CR1766">
        <f>IFERROR(SUMIFS(T_TTAFStock[TTAF_Qty],T_TTAFStock[RM_Code],$A1754,T_TTAFStock[WeekIndex],92),"")</f>
        <v/>
      </c>
      <c r="CS1766">
        <f>IFERROR(SUMIFS(T_TTAFStock[TTAF_Qty],T_TTAFStock[RM_Code],$A1754,T_TTAFStock[WeekIndex],93),"")</f>
        <v/>
      </c>
      <c r="CT1766">
        <f>IFERROR(SUMIFS(T_TTAFStock[TTAF_Qty],T_TTAFStock[RM_Code],$A1754,T_TTAFStock[WeekIndex],94),"")</f>
        <v/>
      </c>
      <c r="CU1766">
        <f>IFERROR(SUMIFS(T_TTAFStock[TTAF_Qty],T_TTAFStock[RM_Code],$A1754,T_TTAFStock[WeekIndex],95),"")</f>
        <v/>
      </c>
      <c r="CV1766">
        <f>IFERROR(SUMIFS(T_TTAFStock[TTAF_Qty],T_TTAFStock[RM_Code],$A1754,T_TTAFStock[WeekIndex],96),"")</f>
        <v/>
      </c>
      <c r="CW1766">
        <f>IFERROR(SUMIFS(T_TTAFStock[TTAF_Qty],T_TTAFStock[RM_Code],$A1754,T_TTAFStock[WeekIndex],97),"")</f>
        <v/>
      </c>
      <c r="CX1766">
        <f>IFERROR(SUMIFS(T_TTAFStock[TTAF_Qty],T_TTAFStock[RM_Code],$A1754,T_TTAFStock[WeekIndex],98),"")</f>
        <v/>
      </c>
      <c r="CY1766">
        <f>IFERROR(SUMIFS(T_TTAFStock[TTAF_Qty],T_TTAFStock[RM_Code],$A1754,T_TTAFStock[WeekIndex],99),"")</f>
        <v/>
      </c>
      <c r="CZ1766">
        <f>IFERROR(SUMIFS(T_TTAFStock[TTAF_Qty],T_TTAFStock[RM_Code],$A1754,T_TTAFStock[WeekIndex],100),"")</f>
        <v/>
      </c>
      <c r="DA1766">
        <f>IFERROR(SUMIFS(T_TTAFStock[TTAF_Qty],T_TTAFStock[RM_Code],$A1754,T_TTAFStock[WeekIndex],101),"")</f>
        <v/>
      </c>
      <c r="DB1766">
        <f>IFERROR(SUMIFS(T_TTAFStock[TTAF_Qty],T_TTAFStock[RM_Code],$A1754,T_TTAFStock[WeekIndex],102),"")</f>
        <v/>
      </c>
      <c r="DC1766">
        <f>IFERROR(SUMIFS(T_TTAFStock[TTAF_Qty],T_TTAFStock[RM_Code],$A1754,T_TTAFStock[WeekIndex],103),"")</f>
        <v/>
      </c>
      <c r="DD1766">
        <f>IFERROR(SUMIFS(T_TTAFStock[TTAF_Qty],T_TTAFStock[RM_Code],$A1754,T_TTAFStock[WeekIndex],104),"")</f>
        <v/>
      </c>
    </row>
    <row r="1767">
      <c r="B1767" t="inlineStr">
        <is>
          <t>自社在庫(実績,kg)</t>
        </is>
      </c>
      <c r="D1767">
        <f>IFERROR(INDEX(E1767:DD1767,$F$1),"")</f>
        <v/>
      </c>
      <c r="E1767">
        <f>IFERROR(SUMIFS(T_SelfStock[Self_Qty],T_SelfStock[RM_Code],$A1754,T_SelfStock[WeekIndex],1),"")</f>
        <v/>
      </c>
      <c r="F1767">
        <f>IFERROR(SUMIFS(T_SelfStock[Self_Qty],T_SelfStock[RM_Code],$A1754,T_SelfStock[WeekIndex],2),"")</f>
        <v/>
      </c>
      <c r="G1767">
        <f>IFERROR(SUMIFS(T_SelfStock[Self_Qty],T_SelfStock[RM_Code],$A1754,T_SelfStock[WeekIndex],3),"")</f>
        <v/>
      </c>
      <c r="H1767">
        <f>IFERROR(SUMIFS(T_SelfStock[Self_Qty],T_SelfStock[RM_Code],$A1754,T_SelfStock[WeekIndex],4),"")</f>
        <v/>
      </c>
      <c r="I1767">
        <f>IFERROR(SUMIFS(T_SelfStock[Self_Qty],T_SelfStock[RM_Code],$A1754,T_SelfStock[WeekIndex],5),"")</f>
        <v/>
      </c>
      <c r="J1767">
        <f>IFERROR(SUMIFS(T_SelfStock[Self_Qty],T_SelfStock[RM_Code],$A1754,T_SelfStock[WeekIndex],6),"")</f>
        <v/>
      </c>
      <c r="K1767">
        <f>IFERROR(SUMIFS(T_SelfStock[Self_Qty],T_SelfStock[RM_Code],$A1754,T_SelfStock[WeekIndex],7),"")</f>
        <v/>
      </c>
      <c r="L1767">
        <f>IFERROR(SUMIFS(T_SelfStock[Self_Qty],T_SelfStock[RM_Code],$A1754,T_SelfStock[WeekIndex],8),"")</f>
        <v/>
      </c>
      <c r="M1767">
        <f>IFERROR(SUMIFS(T_SelfStock[Self_Qty],T_SelfStock[RM_Code],$A1754,T_SelfStock[WeekIndex],9),"")</f>
        <v/>
      </c>
      <c r="N1767">
        <f>IFERROR(SUMIFS(T_SelfStock[Self_Qty],T_SelfStock[RM_Code],$A1754,T_SelfStock[WeekIndex],10),"")</f>
        <v/>
      </c>
      <c r="O1767">
        <f>IFERROR(SUMIFS(T_SelfStock[Self_Qty],T_SelfStock[RM_Code],$A1754,T_SelfStock[WeekIndex],11),"")</f>
        <v/>
      </c>
      <c r="P1767">
        <f>IFERROR(SUMIFS(T_SelfStock[Self_Qty],T_SelfStock[RM_Code],$A1754,T_SelfStock[WeekIndex],12),"")</f>
        <v/>
      </c>
      <c r="Q1767">
        <f>IFERROR(SUMIFS(T_SelfStock[Self_Qty],T_SelfStock[RM_Code],$A1754,T_SelfStock[WeekIndex],13),"")</f>
        <v/>
      </c>
      <c r="R1767">
        <f>IFERROR(SUMIFS(T_SelfStock[Self_Qty],T_SelfStock[RM_Code],$A1754,T_SelfStock[WeekIndex],14),"")</f>
        <v/>
      </c>
      <c r="S1767">
        <f>IFERROR(SUMIFS(T_SelfStock[Self_Qty],T_SelfStock[RM_Code],$A1754,T_SelfStock[WeekIndex],15),"")</f>
        <v/>
      </c>
      <c r="T1767">
        <f>IFERROR(SUMIFS(T_SelfStock[Self_Qty],T_SelfStock[RM_Code],$A1754,T_SelfStock[WeekIndex],16),"")</f>
        <v/>
      </c>
      <c r="U1767">
        <f>IFERROR(SUMIFS(T_SelfStock[Self_Qty],T_SelfStock[RM_Code],$A1754,T_SelfStock[WeekIndex],17),"")</f>
        <v/>
      </c>
      <c r="V1767">
        <f>IFERROR(SUMIFS(T_SelfStock[Self_Qty],T_SelfStock[RM_Code],$A1754,T_SelfStock[WeekIndex],18),"")</f>
        <v/>
      </c>
      <c r="W1767">
        <f>IFERROR(SUMIFS(T_SelfStock[Self_Qty],T_SelfStock[RM_Code],$A1754,T_SelfStock[WeekIndex],19),"")</f>
        <v/>
      </c>
      <c r="X1767">
        <f>IFERROR(SUMIFS(T_SelfStock[Self_Qty],T_SelfStock[RM_Code],$A1754,T_SelfStock[WeekIndex],20),"")</f>
        <v/>
      </c>
      <c r="Y1767">
        <f>IFERROR(SUMIFS(T_SelfStock[Self_Qty],T_SelfStock[RM_Code],$A1754,T_SelfStock[WeekIndex],21),"")</f>
        <v/>
      </c>
      <c r="Z1767">
        <f>IFERROR(SUMIFS(T_SelfStock[Self_Qty],T_SelfStock[RM_Code],$A1754,T_SelfStock[WeekIndex],22),"")</f>
        <v/>
      </c>
      <c r="AA1767">
        <f>IFERROR(SUMIFS(T_SelfStock[Self_Qty],T_SelfStock[RM_Code],$A1754,T_SelfStock[WeekIndex],23),"")</f>
        <v/>
      </c>
      <c r="AB1767">
        <f>IFERROR(SUMIFS(T_SelfStock[Self_Qty],T_SelfStock[RM_Code],$A1754,T_SelfStock[WeekIndex],24),"")</f>
        <v/>
      </c>
      <c r="AC1767">
        <f>IFERROR(SUMIFS(T_SelfStock[Self_Qty],T_SelfStock[RM_Code],$A1754,T_SelfStock[WeekIndex],25),"")</f>
        <v/>
      </c>
      <c r="AD1767">
        <f>IFERROR(SUMIFS(T_SelfStock[Self_Qty],T_SelfStock[RM_Code],$A1754,T_SelfStock[WeekIndex],26),"")</f>
        <v/>
      </c>
      <c r="AE1767">
        <f>IFERROR(SUMIFS(T_SelfStock[Self_Qty],T_SelfStock[RM_Code],$A1754,T_SelfStock[WeekIndex],27),"")</f>
        <v/>
      </c>
      <c r="AF1767">
        <f>IFERROR(SUMIFS(T_SelfStock[Self_Qty],T_SelfStock[RM_Code],$A1754,T_SelfStock[WeekIndex],28),"")</f>
        <v/>
      </c>
      <c r="AG1767">
        <f>IFERROR(SUMIFS(T_SelfStock[Self_Qty],T_SelfStock[RM_Code],$A1754,T_SelfStock[WeekIndex],29),"")</f>
        <v/>
      </c>
      <c r="AH1767">
        <f>IFERROR(SUMIFS(T_SelfStock[Self_Qty],T_SelfStock[RM_Code],$A1754,T_SelfStock[WeekIndex],30),"")</f>
        <v/>
      </c>
      <c r="AI1767">
        <f>IFERROR(SUMIFS(T_SelfStock[Self_Qty],T_SelfStock[RM_Code],$A1754,T_SelfStock[WeekIndex],31),"")</f>
        <v/>
      </c>
      <c r="AJ1767">
        <f>IFERROR(SUMIFS(T_SelfStock[Self_Qty],T_SelfStock[RM_Code],$A1754,T_SelfStock[WeekIndex],32),"")</f>
        <v/>
      </c>
      <c r="AK1767">
        <f>IFERROR(SUMIFS(T_SelfStock[Self_Qty],T_SelfStock[RM_Code],$A1754,T_SelfStock[WeekIndex],33),"")</f>
        <v/>
      </c>
      <c r="AL1767">
        <f>IFERROR(SUMIFS(T_SelfStock[Self_Qty],T_SelfStock[RM_Code],$A1754,T_SelfStock[WeekIndex],34),"")</f>
        <v/>
      </c>
      <c r="AM1767">
        <f>IFERROR(SUMIFS(T_SelfStock[Self_Qty],T_SelfStock[RM_Code],$A1754,T_SelfStock[WeekIndex],35),"")</f>
        <v/>
      </c>
      <c r="AN1767">
        <f>IFERROR(SUMIFS(T_SelfStock[Self_Qty],T_SelfStock[RM_Code],$A1754,T_SelfStock[WeekIndex],36),"")</f>
        <v/>
      </c>
      <c r="AO1767">
        <f>IFERROR(SUMIFS(T_SelfStock[Self_Qty],T_SelfStock[RM_Code],$A1754,T_SelfStock[WeekIndex],37),"")</f>
        <v/>
      </c>
      <c r="AP1767">
        <f>IFERROR(SUMIFS(T_SelfStock[Self_Qty],T_SelfStock[RM_Code],$A1754,T_SelfStock[WeekIndex],38),"")</f>
        <v/>
      </c>
      <c r="AQ1767">
        <f>IFERROR(SUMIFS(T_SelfStock[Self_Qty],T_SelfStock[RM_Code],$A1754,T_SelfStock[WeekIndex],39),"")</f>
        <v/>
      </c>
      <c r="AR1767">
        <f>IFERROR(SUMIFS(T_SelfStock[Self_Qty],T_SelfStock[RM_Code],$A1754,T_SelfStock[WeekIndex],40),"")</f>
        <v/>
      </c>
      <c r="AS1767">
        <f>IFERROR(SUMIFS(T_SelfStock[Self_Qty],T_SelfStock[RM_Code],$A1754,T_SelfStock[WeekIndex],41),"")</f>
        <v/>
      </c>
      <c r="AT1767">
        <f>IFERROR(SUMIFS(T_SelfStock[Self_Qty],T_SelfStock[RM_Code],$A1754,T_SelfStock[WeekIndex],42),"")</f>
        <v/>
      </c>
      <c r="AU1767">
        <f>IFERROR(SUMIFS(T_SelfStock[Self_Qty],T_SelfStock[RM_Code],$A1754,T_SelfStock[WeekIndex],43),"")</f>
        <v/>
      </c>
      <c r="AV1767">
        <f>IFERROR(SUMIFS(T_SelfStock[Self_Qty],T_SelfStock[RM_Code],$A1754,T_SelfStock[WeekIndex],44),"")</f>
        <v/>
      </c>
      <c r="AW1767">
        <f>IFERROR(SUMIFS(T_SelfStock[Self_Qty],T_SelfStock[RM_Code],$A1754,T_SelfStock[WeekIndex],45),"")</f>
        <v/>
      </c>
      <c r="AX1767">
        <f>IFERROR(SUMIFS(T_SelfStock[Self_Qty],T_SelfStock[RM_Code],$A1754,T_SelfStock[WeekIndex],46),"")</f>
        <v/>
      </c>
      <c r="AY1767">
        <f>IFERROR(SUMIFS(T_SelfStock[Self_Qty],T_SelfStock[RM_Code],$A1754,T_SelfStock[WeekIndex],47),"")</f>
        <v/>
      </c>
      <c r="AZ1767">
        <f>IFERROR(SUMIFS(T_SelfStock[Self_Qty],T_SelfStock[RM_Code],$A1754,T_SelfStock[WeekIndex],48),"")</f>
        <v/>
      </c>
      <c r="BA1767">
        <f>IFERROR(SUMIFS(T_SelfStock[Self_Qty],T_SelfStock[RM_Code],$A1754,T_SelfStock[WeekIndex],49),"")</f>
        <v/>
      </c>
      <c r="BB1767">
        <f>IFERROR(SUMIFS(T_SelfStock[Self_Qty],T_SelfStock[RM_Code],$A1754,T_SelfStock[WeekIndex],50),"")</f>
        <v/>
      </c>
      <c r="BC1767">
        <f>IFERROR(SUMIFS(T_SelfStock[Self_Qty],T_SelfStock[RM_Code],$A1754,T_SelfStock[WeekIndex],51),"")</f>
        <v/>
      </c>
      <c r="BD1767">
        <f>IFERROR(SUMIFS(T_SelfStock[Self_Qty],T_SelfStock[RM_Code],$A1754,T_SelfStock[WeekIndex],52),"")</f>
        <v/>
      </c>
      <c r="BE1767">
        <f>IFERROR(SUMIFS(T_SelfStock[Self_Qty],T_SelfStock[RM_Code],$A1754,T_SelfStock[WeekIndex],53),"")</f>
        <v/>
      </c>
      <c r="BF1767">
        <f>IFERROR(SUMIFS(T_SelfStock[Self_Qty],T_SelfStock[RM_Code],$A1754,T_SelfStock[WeekIndex],54),"")</f>
        <v/>
      </c>
      <c r="BG1767">
        <f>IFERROR(SUMIFS(T_SelfStock[Self_Qty],T_SelfStock[RM_Code],$A1754,T_SelfStock[WeekIndex],55),"")</f>
        <v/>
      </c>
      <c r="BH1767">
        <f>IFERROR(SUMIFS(T_SelfStock[Self_Qty],T_SelfStock[RM_Code],$A1754,T_SelfStock[WeekIndex],56),"")</f>
        <v/>
      </c>
      <c r="BI1767">
        <f>IFERROR(SUMIFS(T_SelfStock[Self_Qty],T_SelfStock[RM_Code],$A1754,T_SelfStock[WeekIndex],57),"")</f>
        <v/>
      </c>
      <c r="BJ1767">
        <f>IFERROR(SUMIFS(T_SelfStock[Self_Qty],T_SelfStock[RM_Code],$A1754,T_SelfStock[WeekIndex],58),"")</f>
        <v/>
      </c>
      <c r="BK1767">
        <f>IFERROR(SUMIFS(T_SelfStock[Self_Qty],T_SelfStock[RM_Code],$A1754,T_SelfStock[WeekIndex],59),"")</f>
        <v/>
      </c>
      <c r="BL1767">
        <f>IFERROR(SUMIFS(T_SelfStock[Self_Qty],T_SelfStock[RM_Code],$A1754,T_SelfStock[WeekIndex],60),"")</f>
        <v/>
      </c>
      <c r="BM1767">
        <f>IFERROR(SUMIFS(T_SelfStock[Self_Qty],T_SelfStock[RM_Code],$A1754,T_SelfStock[WeekIndex],61),"")</f>
        <v/>
      </c>
      <c r="BN1767">
        <f>IFERROR(SUMIFS(T_SelfStock[Self_Qty],T_SelfStock[RM_Code],$A1754,T_SelfStock[WeekIndex],62),"")</f>
        <v/>
      </c>
      <c r="BO1767">
        <f>IFERROR(SUMIFS(T_SelfStock[Self_Qty],T_SelfStock[RM_Code],$A1754,T_SelfStock[WeekIndex],63),"")</f>
        <v/>
      </c>
      <c r="BP1767">
        <f>IFERROR(SUMIFS(T_SelfStock[Self_Qty],T_SelfStock[RM_Code],$A1754,T_SelfStock[WeekIndex],64),"")</f>
        <v/>
      </c>
      <c r="BQ1767">
        <f>IFERROR(SUMIFS(T_SelfStock[Self_Qty],T_SelfStock[RM_Code],$A1754,T_SelfStock[WeekIndex],65),"")</f>
        <v/>
      </c>
      <c r="BR1767">
        <f>IFERROR(SUMIFS(T_SelfStock[Self_Qty],T_SelfStock[RM_Code],$A1754,T_SelfStock[WeekIndex],66),"")</f>
        <v/>
      </c>
      <c r="BS1767">
        <f>IFERROR(SUMIFS(T_SelfStock[Self_Qty],T_SelfStock[RM_Code],$A1754,T_SelfStock[WeekIndex],67),"")</f>
        <v/>
      </c>
      <c r="BT1767">
        <f>IFERROR(SUMIFS(T_SelfStock[Self_Qty],T_SelfStock[RM_Code],$A1754,T_SelfStock[WeekIndex],68),"")</f>
        <v/>
      </c>
      <c r="BU1767">
        <f>IFERROR(SUMIFS(T_SelfStock[Self_Qty],T_SelfStock[RM_Code],$A1754,T_SelfStock[WeekIndex],69),"")</f>
        <v/>
      </c>
      <c r="BV1767">
        <f>IFERROR(SUMIFS(T_SelfStock[Self_Qty],T_SelfStock[RM_Code],$A1754,T_SelfStock[WeekIndex],70),"")</f>
        <v/>
      </c>
      <c r="BW1767">
        <f>IFERROR(SUMIFS(T_SelfStock[Self_Qty],T_SelfStock[RM_Code],$A1754,T_SelfStock[WeekIndex],71),"")</f>
        <v/>
      </c>
      <c r="BX1767">
        <f>IFERROR(SUMIFS(T_SelfStock[Self_Qty],T_SelfStock[RM_Code],$A1754,T_SelfStock[WeekIndex],72),"")</f>
        <v/>
      </c>
      <c r="BY1767">
        <f>IFERROR(SUMIFS(T_SelfStock[Self_Qty],T_SelfStock[RM_Code],$A1754,T_SelfStock[WeekIndex],73),"")</f>
        <v/>
      </c>
      <c r="BZ1767">
        <f>IFERROR(SUMIFS(T_SelfStock[Self_Qty],T_SelfStock[RM_Code],$A1754,T_SelfStock[WeekIndex],74),"")</f>
        <v/>
      </c>
      <c r="CA1767">
        <f>IFERROR(SUMIFS(T_SelfStock[Self_Qty],T_SelfStock[RM_Code],$A1754,T_SelfStock[WeekIndex],75),"")</f>
        <v/>
      </c>
      <c r="CB1767">
        <f>IFERROR(SUMIFS(T_SelfStock[Self_Qty],T_SelfStock[RM_Code],$A1754,T_SelfStock[WeekIndex],76),"")</f>
        <v/>
      </c>
      <c r="CC1767">
        <f>IFERROR(SUMIFS(T_SelfStock[Self_Qty],T_SelfStock[RM_Code],$A1754,T_SelfStock[WeekIndex],77),"")</f>
        <v/>
      </c>
      <c r="CD1767">
        <f>IFERROR(SUMIFS(T_SelfStock[Self_Qty],T_SelfStock[RM_Code],$A1754,T_SelfStock[WeekIndex],78),"")</f>
        <v/>
      </c>
      <c r="CE1767">
        <f>IFERROR(SUMIFS(T_SelfStock[Self_Qty],T_SelfStock[RM_Code],$A1754,T_SelfStock[WeekIndex],79),"")</f>
        <v/>
      </c>
      <c r="CF1767">
        <f>IFERROR(SUMIFS(T_SelfStock[Self_Qty],T_SelfStock[RM_Code],$A1754,T_SelfStock[WeekIndex],80),"")</f>
        <v/>
      </c>
      <c r="CG1767">
        <f>IFERROR(SUMIFS(T_SelfStock[Self_Qty],T_SelfStock[RM_Code],$A1754,T_SelfStock[WeekIndex],81),"")</f>
        <v/>
      </c>
      <c r="CH1767">
        <f>IFERROR(SUMIFS(T_SelfStock[Self_Qty],T_SelfStock[RM_Code],$A1754,T_SelfStock[WeekIndex],82),"")</f>
        <v/>
      </c>
      <c r="CI1767">
        <f>IFERROR(SUMIFS(T_SelfStock[Self_Qty],T_SelfStock[RM_Code],$A1754,T_SelfStock[WeekIndex],83),"")</f>
        <v/>
      </c>
      <c r="CJ1767">
        <f>IFERROR(SUMIFS(T_SelfStock[Self_Qty],T_SelfStock[RM_Code],$A1754,T_SelfStock[WeekIndex],84),"")</f>
        <v/>
      </c>
      <c r="CK1767">
        <f>IFERROR(SUMIFS(T_SelfStock[Self_Qty],T_SelfStock[RM_Code],$A1754,T_SelfStock[WeekIndex],85),"")</f>
        <v/>
      </c>
      <c r="CL1767">
        <f>IFERROR(SUMIFS(T_SelfStock[Self_Qty],T_SelfStock[RM_Code],$A1754,T_SelfStock[WeekIndex],86),"")</f>
        <v/>
      </c>
      <c r="CM1767">
        <f>IFERROR(SUMIFS(T_SelfStock[Self_Qty],T_SelfStock[RM_Code],$A1754,T_SelfStock[WeekIndex],87),"")</f>
        <v/>
      </c>
      <c r="CN1767">
        <f>IFERROR(SUMIFS(T_SelfStock[Self_Qty],T_SelfStock[RM_Code],$A1754,T_SelfStock[WeekIndex],88),"")</f>
        <v/>
      </c>
      <c r="CO1767">
        <f>IFERROR(SUMIFS(T_SelfStock[Self_Qty],T_SelfStock[RM_Code],$A1754,T_SelfStock[WeekIndex],89),"")</f>
        <v/>
      </c>
      <c r="CP1767">
        <f>IFERROR(SUMIFS(T_SelfStock[Self_Qty],T_SelfStock[RM_Code],$A1754,T_SelfStock[WeekIndex],90),"")</f>
        <v/>
      </c>
      <c r="CQ1767">
        <f>IFERROR(SUMIFS(T_SelfStock[Self_Qty],T_SelfStock[RM_Code],$A1754,T_SelfStock[WeekIndex],91),"")</f>
        <v/>
      </c>
      <c r="CR1767">
        <f>IFERROR(SUMIFS(T_SelfStock[Self_Qty],T_SelfStock[RM_Code],$A1754,T_SelfStock[WeekIndex],92),"")</f>
        <v/>
      </c>
      <c r="CS1767">
        <f>IFERROR(SUMIFS(T_SelfStock[Self_Qty],T_SelfStock[RM_Code],$A1754,T_SelfStock[WeekIndex],93),"")</f>
        <v/>
      </c>
      <c r="CT1767">
        <f>IFERROR(SUMIFS(T_SelfStock[Self_Qty],T_SelfStock[RM_Code],$A1754,T_SelfStock[WeekIndex],94),"")</f>
        <v/>
      </c>
      <c r="CU1767">
        <f>IFERROR(SUMIFS(T_SelfStock[Self_Qty],T_SelfStock[RM_Code],$A1754,T_SelfStock[WeekIndex],95),"")</f>
        <v/>
      </c>
      <c r="CV1767">
        <f>IFERROR(SUMIFS(T_SelfStock[Self_Qty],T_SelfStock[RM_Code],$A1754,T_SelfStock[WeekIndex],96),"")</f>
        <v/>
      </c>
      <c r="CW1767">
        <f>IFERROR(SUMIFS(T_SelfStock[Self_Qty],T_SelfStock[RM_Code],$A1754,T_SelfStock[WeekIndex],97),"")</f>
        <v/>
      </c>
      <c r="CX1767">
        <f>IFERROR(SUMIFS(T_SelfStock[Self_Qty],T_SelfStock[RM_Code],$A1754,T_SelfStock[WeekIndex],98),"")</f>
        <v/>
      </c>
      <c r="CY1767">
        <f>IFERROR(SUMIFS(T_SelfStock[Self_Qty],T_SelfStock[RM_Code],$A1754,T_SelfStock[WeekIndex],99),"")</f>
        <v/>
      </c>
      <c r="CZ1767">
        <f>IFERROR(SUMIFS(T_SelfStock[Self_Qty],T_SelfStock[RM_Code],$A1754,T_SelfStock[WeekIndex],100),"")</f>
        <v/>
      </c>
      <c r="DA1767">
        <f>IFERROR(SUMIFS(T_SelfStock[Self_Qty],T_SelfStock[RM_Code],$A1754,T_SelfStock[WeekIndex],101),"")</f>
        <v/>
      </c>
      <c r="DB1767">
        <f>IFERROR(SUMIFS(T_SelfStock[Self_Qty],T_SelfStock[RM_Code],$A1754,T_SelfStock[WeekIndex],102),"")</f>
        <v/>
      </c>
      <c r="DC1767">
        <f>IFERROR(SUMIFS(T_SelfStock[Self_Qty],T_SelfStock[RM_Code],$A1754,T_SelfStock[WeekIndex],103),"")</f>
        <v/>
      </c>
      <c r="DD1767">
        <f>IFERROR(SUMIFS(T_SelfStock[Self_Qty],T_SelfStock[RM_Code],$A1754,T_SelfStock[WeekIndex],104),"")</f>
        <v/>
      </c>
    </row>
    <row r="1768">
      <c r="B1768" s="4" t="inlineStr">
        <is>
          <t>合計在庫(週末時点,kg)</t>
        </is>
      </c>
      <c r="D1768" s="24">
        <f>IFERROR(INDEX(E1768:DD1768,$F$1),"")</f>
        <v/>
      </c>
      <c r="E1768">
        <f>'Grid_Stock'!B35</f>
        <v/>
      </c>
      <c r="F1768">
        <f>'Grid_Stock'!C35</f>
        <v/>
      </c>
      <c r="G1768">
        <f>'Grid_Stock'!D35</f>
        <v/>
      </c>
      <c r="H1768">
        <f>'Grid_Stock'!E35</f>
        <v/>
      </c>
      <c r="I1768">
        <f>'Grid_Stock'!F35</f>
        <v/>
      </c>
      <c r="J1768">
        <f>'Grid_Stock'!G35</f>
        <v/>
      </c>
      <c r="K1768">
        <f>'Grid_Stock'!H35</f>
        <v/>
      </c>
      <c r="L1768">
        <f>'Grid_Stock'!I35</f>
        <v/>
      </c>
      <c r="M1768">
        <f>'Grid_Stock'!J35</f>
        <v/>
      </c>
      <c r="N1768">
        <f>'Grid_Stock'!K35</f>
        <v/>
      </c>
      <c r="O1768">
        <f>'Grid_Stock'!L35</f>
        <v/>
      </c>
      <c r="P1768">
        <f>'Grid_Stock'!M35</f>
        <v/>
      </c>
      <c r="Q1768">
        <f>'Grid_Stock'!N35</f>
        <v/>
      </c>
      <c r="R1768">
        <f>'Grid_Stock'!O35</f>
        <v/>
      </c>
      <c r="S1768">
        <f>'Grid_Stock'!P35</f>
        <v/>
      </c>
      <c r="T1768">
        <f>'Grid_Stock'!Q35</f>
        <v/>
      </c>
      <c r="U1768">
        <f>'Grid_Stock'!R35</f>
        <v/>
      </c>
      <c r="V1768">
        <f>'Grid_Stock'!S35</f>
        <v/>
      </c>
      <c r="W1768">
        <f>'Grid_Stock'!T35</f>
        <v/>
      </c>
      <c r="X1768">
        <f>'Grid_Stock'!U35</f>
        <v/>
      </c>
      <c r="Y1768">
        <f>'Grid_Stock'!V35</f>
        <v/>
      </c>
      <c r="Z1768">
        <f>'Grid_Stock'!W35</f>
        <v/>
      </c>
      <c r="AA1768">
        <f>'Grid_Stock'!X35</f>
        <v/>
      </c>
      <c r="AB1768">
        <f>'Grid_Stock'!Y35</f>
        <v/>
      </c>
      <c r="AC1768">
        <f>'Grid_Stock'!Z35</f>
        <v/>
      </c>
      <c r="AD1768">
        <f>'Grid_Stock'!AA35</f>
        <v/>
      </c>
      <c r="AE1768">
        <f>'Grid_Stock'!AB35</f>
        <v/>
      </c>
      <c r="AF1768">
        <f>'Grid_Stock'!AC35</f>
        <v/>
      </c>
      <c r="AG1768">
        <f>'Grid_Stock'!AD35</f>
        <v/>
      </c>
      <c r="AH1768">
        <f>'Grid_Stock'!AE35</f>
        <v/>
      </c>
      <c r="AI1768">
        <f>'Grid_Stock'!AF35</f>
        <v/>
      </c>
      <c r="AJ1768">
        <f>'Grid_Stock'!AG35</f>
        <v/>
      </c>
      <c r="AK1768">
        <f>'Grid_Stock'!AH35</f>
        <v/>
      </c>
      <c r="AL1768">
        <f>'Grid_Stock'!AI35</f>
        <v/>
      </c>
      <c r="AM1768">
        <f>'Grid_Stock'!AJ35</f>
        <v/>
      </c>
      <c r="AN1768">
        <f>'Grid_Stock'!AK35</f>
        <v/>
      </c>
      <c r="AO1768">
        <f>'Grid_Stock'!AL35</f>
        <v/>
      </c>
      <c r="AP1768">
        <f>'Grid_Stock'!AM35</f>
        <v/>
      </c>
      <c r="AQ1768">
        <f>'Grid_Stock'!AN35</f>
        <v/>
      </c>
      <c r="AR1768">
        <f>'Grid_Stock'!AO35</f>
        <v/>
      </c>
      <c r="AS1768">
        <f>'Grid_Stock'!AP35</f>
        <v/>
      </c>
      <c r="AT1768">
        <f>'Grid_Stock'!AQ35</f>
        <v/>
      </c>
      <c r="AU1768">
        <f>'Grid_Stock'!AR35</f>
        <v/>
      </c>
      <c r="AV1768">
        <f>'Grid_Stock'!AS35</f>
        <v/>
      </c>
      <c r="AW1768">
        <f>'Grid_Stock'!AT35</f>
        <v/>
      </c>
      <c r="AX1768">
        <f>'Grid_Stock'!AU35</f>
        <v/>
      </c>
      <c r="AY1768">
        <f>'Grid_Stock'!AV35</f>
        <v/>
      </c>
      <c r="AZ1768">
        <f>'Grid_Stock'!AW35</f>
        <v/>
      </c>
      <c r="BA1768">
        <f>'Grid_Stock'!AX35</f>
        <v/>
      </c>
      <c r="BB1768">
        <f>'Grid_Stock'!AY35</f>
        <v/>
      </c>
      <c r="BC1768">
        <f>'Grid_Stock'!AZ35</f>
        <v/>
      </c>
      <c r="BD1768">
        <f>'Grid_Stock'!BA35</f>
        <v/>
      </c>
      <c r="BE1768">
        <f>'Grid_Stock'!BB35</f>
        <v/>
      </c>
      <c r="BF1768">
        <f>'Grid_Stock'!BC35</f>
        <v/>
      </c>
      <c r="BG1768">
        <f>'Grid_Stock'!BD35</f>
        <v/>
      </c>
      <c r="BH1768">
        <f>'Grid_Stock'!BE35</f>
        <v/>
      </c>
      <c r="BI1768">
        <f>'Grid_Stock'!BF35</f>
        <v/>
      </c>
      <c r="BJ1768">
        <f>'Grid_Stock'!BG35</f>
        <v/>
      </c>
      <c r="BK1768">
        <f>'Grid_Stock'!BH35</f>
        <v/>
      </c>
      <c r="BL1768">
        <f>'Grid_Stock'!BI35</f>
        <v/>
      </c>
      <c r="BM1768">
        <f>'Grid_Stock'!BJ35</f>
        <v/>
      </c>
      <c r="BN1768">
        <f>'Grid_Stock'!BK35</f>
        <v/>
      </c>
      <c r="BO1768">
        <f>'Grid_Stock'!BL35</f>
        <v/>
      </c>
      <c r="BP1768">
        <f>'Grid_Stock'!BM35</f>
        <v/>
      </c>
      <c r="BQ1768">
        <f>'Grid_Stock'!BN35</f>
        <v/>
      </c>
      <c r="BR1768">
        <f>'Grid_Stock'!BO35</f>
        <v/>
      </c>
      <c r="BS1768">
        <f>'Grid_Stock'!BP35</f>
        <v/>
      </c>
      <c r="BT1768">
        <f>'Grid_Stock'!BQ35</f>
        <v/>
      </c>
      <c r="BU1768">
        <f>'Grid_Stock'!BR35</f>
        <v/>
      </c>
      <c r="BV1768">
        <f>'Grid_Stock'!BS35</f>
        <v/>
      </c>
      <c r="BW1768">
        <f>'Grid_Stock'!BT35</f>
        <v/>
      </c>
      <c r="BX1768">
        <f>'Grid_Stock'!BU35</f>
        <v/>
      </c>
      <c r="BY1768">
        <f>'Grid_Stock'!BV35</f>
        <v/>
      </c>
      <c r="BZ1768">
        <f>'Grid_Stock'!BW35</f>
        <v/>
      </c>
      <c r="CA1768">
        <f>'Grid_Stock'!BX35</f>
        <v/>
      </c>
      <c r="CB1768">
        <f>'Grid_Stock'!BY35</f>
        <v/>
      </c>
      <c r="CC1768">
        <f>'Grid_Stock'!BZ35</f>
        <v/>
      </c>
      <c r="CD1768">
        <f>'Grid_Stock'!CA35</f>
        <v/>
      </c>
      <c r="CE1768">
        <f>'Grid_Stock'!CB35</f>
        <v/>
      </c>
      <c r="CF1768">
        <f>'Grid_Stock'!CC35</f>
        <v/>
      </c>
      <c r="CG1768">
        <f>'Grid_Stock'!CD35</f>
        <v/>
      </c>
      <c r="CH1768">
        <f>'Grid_Stock'!CE35</f>
        <v/>
      </c>
      <c r="CI1768">
        <f>'Grid_Stock'!CF35</f>
        <v/>
      </c>
      <c r="CJ1768">
        <f>'Grid_Stock'!CG35</f>
        <v/>
      </c>
      <c r="CK1768">
        <f>'Grid_Stock'!CH35</f>
        <v/>
      </c>
      <c r="CL1768">
        <f>'Grid_Stock'!CI35</f>
        <v/>
      </c>
      <c r="CM1768">
        <f>'Grid_Stock'!CJ35</f>
        <v/>
      </c>
      <c r="CN1768">
        <f>'Grid_Stock'!CK35</f>
        <v/>
      </c>
      <c r="CO1768">
        <f>'Grid_Stock'!CL35</f>
        <v/>
      </c>
      <c r="CP1768">
        <f>'Grid_Stock'!CM35</f>
        <v/>
      </c>
      <c r="CQ1768">
        <f>'Grid_Stock'!CN35</f>
        <v/>
      </c>
      <c r="CR1768">
        <f>'Grid_Stock'!CO35</f>
        <v/>
      </c>
      <c r="CS1768">
        <f>'Grid_Stock'!CP35</f>
        <v/>
      </c>
      <c r="CT1768">
        <f>'Grid_Stock'!CQ35</f>
        <v/>
      </c>
      <c r="CU1768">
        <f>'Grid_Stock'!CR35</f>
        <v/>
      </c>
      <c r="CV1768">
        <f>'Grid_Stock'!CS35</f>
        <v/>
      </c>
      <c r="CW1768">
        <f>'Grid_Stock'!CT35</f>
        <v/>
      </c>
      <c r="CX1768">
        <f>'Grid_Stock'!CU35</f>
        <v/>
      </c>
      <c r="CY1768">
        <f>'Grid_Stock'!CV35</f>
        <v/>
      </c>
      <c r="CZ1768">
        <f>'Grid_Stock'!CW35</f>
        <v/>
      </c>
      <c r="DA1768">
        <f>'Grid_Stock'!CX35</f>
        <v/>
      </c>
      <c r="DB1768">
        <f>'Grid_Stock'!CY35</f>
        <v/>
      </c>
      <c r="DC1768">
        <f>'Grid_Stock'!CZ35</f>
        <v/>
      </c>
      <c r="DD1768">
        <f>'Grid_Stock'!DA35</f>
        <v/>
      </c>
    </row>
    <row r="1769">
      <c r="B1769" s="25" t="inlineStr">
        <is>
          <t>（発注の目安はDashboardの基準在庫[下限/上限]と色分けを参照）</t>
        </is>
      </c>
    </row>
    <row r="1771">
      <c r="A1771" s="21" t="inlineStr">
        <is>
          <t>CHEM-1570</t>
        </is>
      </c>
      <c r="B1771" s="21" t="inlineStr">
        <is>
          <t>NOPAGOAL A</t>
        </is>
      </c>
      <c r="C1771" s="22" t="n"/>
      <c r="D1771" s="21" t="n"/>
      <c r="E1771" s="21" t="n"/>
      <c r="F1771" s="21" t="n"/>
      <c r="G1771" s="21" t="n"/>
      <c r="H1771" s="21" t="n"/>
      <c r="I1771" s="21" t="n"/>
      <c r="J1771" s="21" t="n"/>
      <c r="K1771" s="21" t="n"/>
      <c r="L1771" s="21" t="n"/>
      <c r="M1771" s="21" t="n"/>
      <c r="N1771" s="21" t="n"/>
      <c r="O1771" s="21" t="n"/>
      <c r="P1771" s="21" t="n"/>
      <c r="Q1771" s="21" t="n"/>
      <c r="R1771" s="21" t="n"/>
      <c r="S1771" s="21" t="n"/>
      <c r="T1771" s="21" t="n"/>
      <c r="U1771" s="21" t="n"/>
      <c r="V1771" s="21" t="n"/>
      <c r="W1771" s="21" t="n"/>
      <c r="X1771" s="21" t="n"/>
      <c r="Y1771" s="21" t="n"/>
      <c r="Z1771" s="21" t="n"/>
      <c r="AA1771" s="21" t="n"/>
      <c r="AB1771" s="21" t="n"/>
      <c r="AC1771" s="21" t="n"/>
      <c r="AD1771" s="21" t="n"/>
      <c r="AE1771" s="21" t="n"/>
      <c r="AF1771" s="21" t="n"/>
      <c r="AG1771" s="21" t="n"/>
      <c r="AH1771" s="21" t="n"/>
      <c r="AI1771" s="21" t="n"/>
      <c r="AJ1771" s="21" t="n"/>
      <c r="AK1771" s="21" t="n"/>
      <c r="AL1771" s="21" t="n"/>
      <c r="AM1771" s="21" t="n"/>
      <c r="AN1771" s="21" t="n"/>
      <c r="AO1771" s="21" t="n"/>
      <c r="AP1771" s="21" t="n"/>
      <c r="AQ1771" s="21" t="n"/>
      <c r="AR1771" s="21" t="n"/>
      <c r="AS1771" s="21" t="n"/>
      <c r="AT1771" s="21" t="n"/>
      <c r="AU1771" s="21" t="n"/>
      <c r="AV1771" s="21" t="n"/>
      <c r="AW1771" s="21" t="n"/>
      <c r="AX1771" s="21" t="n"/>
      <c r="AY1771" s="21" t="n"/>
      <c r="AZ1771" s="21" t="n"/>
      <c r="BA1771" s="21" t="n"/>
      <c r="BB1771" s="21" t="n"/>
      <c r="BC1771" s="21" t="n"/>
      <c r="BD1771" s="21" t="n"/>
      <c r="BE1771" s="21" t="n"/>
      <c r="BF1771" s="21" t="n"/>
      <c r="BG1771" s="21" t="n"/>
      <c r="BH1771" s="21" t="n"/>
      <c r="BI1771" s="21" t="n"/>
      <c r="BJ1771" s="21" t="n"/>
      <c r="BK1771" s="21" t="n"/>
      <c r="BL1771" s="21" t="n"/>
      <c r="BM1771" s="21" t="n"/>
      <c r="BN1771" s="21" t="n"/>
      <c r="BO1771" s="21" t="n"/>
      <c r="BP1771" s="21" t="n"/>
      <c r="BQ1771" s="21" t="n"/>
      <c r="BR1771" s="21" t="n"/>
      <c r="BS1771" s="21" t="n"/>
      <c r="BT1771" s="21" t="n"/>
      <c r="BU1771" s="21" t="n"/>
      <c r="BV1771" s="21" t="n"/>
      <c r="BW1771" s="21" t="n"/>
      <c r="BX1771" s="21" t="n"/>
      <c r="BY1771" s="21" t="n"/>
      <c r="BZ1771" s="21" t="n"/>
      <c r="CA1771" s="21" t="n"/>
      <c r="CB1771" s="21" t="n"/>
      <c r="CC1771" s="21" t="n"/>
      <c r="CD1771" s="21" t="n"/>
      <c r="CE1771" s="21" t="n"/>
      <c r="CF1771" s="21" t="n"/>
      <c r="CG1771" s="21" t="n"/>
      <c r="CH1771" s="21" t="n"/>
      <c r="CI1771" s="21" t="n"/>
      <c r="CJ1771" s="21" t="n"/>
      <c r="CK1771" s="21" t="n"/>
      <c r="CL1771" s="21" t="n"/>
      <c r="CM1771" s="21" t="n"/>
      <c r="CN1771" s="21" t="n"/>
      <c r="CO1771" s="21" t="n"/>
      <c r="CP1771" s="21" t="n"/>
      <c r="CQ1771" s="21" t="n"/>
      <c r="CR1771" s="21" t="n"/>
      <c r="CS1771" s="21" t="n"/>
      <c r="CT1771" s="21" t="n"/>
      <c r="CU1771" s="21" t="n"/>
      <c r="CV1771" s="21" t="n"/>
      <c r="CW1771" s="21" t="n"/>
      <c r="CX1771" s="21" t="n"/>
      <c r="CY1771" s="21" t="n"/>
      <c r="CZ1771" s="21" t="n"/>
      <c r="DA1771" s="21" t="n"/>
      <c r="DB1771" s="21" t="n"/>
      <c r="DC1771" s="21" t="n"/>
      <c r="DD1771" s="21" t="n"/>
    </row>
    <row r="1772">
      <c r="B1772" t="inlineStr">
        <is>
          <t>TSP-1388</t>
        </is>
      </c>
      <c r="C1772" t="inlineStr">
        <is>
          <t>No. of batches</t>
        </is>
      </c>
      <c r="D1772">
        <f>IFERROR(INDEX(E1772:DD1772,$F$1),"")</f>
        <v/>
      </c>
      <c r="E1772">
        <f>IFERROR(INDEX(PP_Grid[#Data],$DE1772,2),0)</f>
        <v/>
      </c>
      <c r="F1772">
        <f>IFERROR(INDEX(PP_Grid[#Data],$DE1772,3),0)</f>
        <v/>
      </c>
      <c r="G1772">
        <f>IFERROR(INDEX(PP_Grid[#Data],$DE1772,4),0)</f>
        <v/>
      </c>
      <c r="H1772">
        <f>IFERROR(INDEX(PP_Grid[#Data],$DE1772,5),0)</f>
        <v/>
      </c>
      <c r="I1772">
        <f>IFERROR(INDEX(PP_Grid[#Data],$DE1772,6),0)</f>
        <v/>
      </c>
      <c r="J1772">
        <f>IFERROR(INDEX(PP_Grid[#Data],$DE1772,7),0)</f>
        <v/>
      </c>
      <c r="K1772">
        <f>IFERROR(INDEX(PP_Grid[#Data],$DE1772,8),0)</f>
        <v/>
      </c>
      <c r="L1772">
        <f>IFERROR(INDEX(PP_Grid[#Data],$DE1772,9),0)</f>
        <v/>
      </c>
      <c r="M1772">
        <f>IFERROR(INDEX(PP_Grid[#Data],$DE1772,10),0)</f>
        <v/>
      </c>
      <c r="N1772">
        <f>IFERROR(INDEX(PP_Grid[#Data],$DE1772,11),0)</f>
        <v/>
      </c>
      <c r="O1772">
        <f>IFERROR(INDEX(PP_Grid[#Data],$DE1772,12),0)</f>
        <v/>
      </c>
      <c r="P1772">
        <f>IFERROR(INDEX(PP_Grid[#Data],$DE1772,13),0)</f>
        <v/>
      </c>
      <c r="Q1772">
        <f>IFERROR(INDEX(PP_Grid[#Data],$DE1772,14),0)</f>
        <v/>
      </c>
      <c r="R1772">
        <f>IFERROR(INDEX(PP_Grid[#Data],$DE1772,15),0)</f>
        <v/>
      </c>
      <c r="S1772">
        <f>IFERROR(INDEX(PP_Grid[#Data],$DE1772,16),0)</f>
        <v/>
      </c>
      <c r="T1772">
        <f>IFERROR(INDEX(PP_Grid[#Data],$DE1772,17),0)</f>
        <v/>
      </c>
      <c r="U1772">
        <f>IFERROR(INDEX(PP_Grid[#Data],$DE1772,18),0)</f>
        <v/>
      </c>
      <c r="V1772">
        <f>IFERROR(INDEX(PP_Grid[#Data],$DE1772,19),0)</f>
        <v/>
      </c>
      <c r="W1772">
        <f>IFERROR(INDEX(PP_Grid[#Data],$DE1772,20),0)</f>
        <v/>
      </c>
      <c r="X1772">
        <f>IFERROR(INDEX(PP_Grid[#Data],$DE1772,21),0)</f>
        <v/>
      </c>
      <c r="Y1772">
        <f>IFERROR(INDEX(PP_Grid[#Data],$DE1772,22),0)</f>
        <v/>
      </c>
      <c r="Z1772">
        <f>IFERROR(INDEX(PP_Grid[#Data],$DE1772,23),0)</f>
        <v/>
      </c>
      <c r="AA1772">
        <f>IFERROR(INDEX(PP_Grid[#Data],$DE1772,24),0)</f>
        <v/>
      </c>
      <c r="AB1772">
        <f>IFERROR(INDEX(PP_Grid[#Data],$DE1772,25),0)</f>
        <v/>
      </c>
      <c r="AC1772">
        <f>IFERROR(INDEX(PP_Grid[#Data],$DE1772,26),0)</f>
        <v/>
      </c>
      <c r="AD1772">
        <f>IFERROR(INDEX(PP_Grid[#Data],$DE1772,27),0)</f>
        <v/>
      </c>
      <c r="AE1772">
        <f>IFERROR(INDEX(PP_Grid[#Data],$DE1772,28),0)</f>
        <v/>
      </c>
      <c r="AF1772">
        <f>IFERROR(INDEX(PP_Grid[#Data],$DE1772,29),0)</f>
        <v/>
      </c>
      <c r="AG1772">
        <f>IFERROR(INDEX(PP_Grid[#Data],$DE1772,30),0)</f>
        <v/>
      </c>
      <c r="AH1772">
        <f>IFERROR(INDEX(PP_Grid[#Data],$DE1772,31),0)</f>
        <v/>
      </c>
      <c r="AI1772">
        <f>IFERROR(INDEX(PP_Grid[#Data],$DE1772,32),0)</f>
        <v/>
      </c>
      <c r="AJ1772">
        <f>IFERROR(INDEX(PP_Grid[#Data],$DE1772,33),0)</f>
        <v/>
      </c>
      <c r="AK1772">
        <f>IFERROR(INDEX(PP_Grid[#Data],$DE1772,34),0)</f>
        <v/>
      </c>
      <c r="AL1772">
        <f>IFERROR(INDEX(PP_Grid[#Data],$DE1772,35),0)</f>
        <v/>
      </c>
      <c r="AM1772">
        <f>IFERROR(INDEX(PP_Grid[#Data],$DE1772,36),0)</f>
        <v/>
      </c>
      <c r="AN1772">
        <f>IFERROR(INDEX(PP_Grid[#Data],$DE1772,37),0)</f>
        <v/>
      </c>
      <c r="AO1772">
        <f>IFERROR(INDEX(PP_Grid[#Data],$DE1772,38),0)</f>
        <v/>
      </c>
      <c r="AP1772">
        <f>IFERROR(INDEX(PP_Grid[#Data],$DE1772,39),0)</f>
        <v/>
      </c>
      <c r="AQ1772">
        <f>IFERROR(INDEX(PP_Grid[#Data],$DE1772,40),0)</f>
        <v/>
      </c>
      <c r="AR1772">
        <f>IFERROR(INDEX(PP_Grid[#Data],$DE1772,41),0)</f>
        <v/>
      </c>
      <c r="AS1772">
        <f>IFERROR(INDEX(PP_Grid[#Data],$DE1772,42),0)</f>
        <v/>
      </c>
      <c r="AT1772">
        <f>IFERROR(INDEX(PP_Grid[#Data],$DE1772,43),0)</f>
        <v/>
      </c>
      <c r="AU1772">
        <f>IFERROR(INDEX(PP_Grid[#Data],$DE1772,44),0)</f>
        <v/>
      </c>
      <c r="AV1772">
        <f>IFERROR(INDEX(PP_Grid[#Data],$DE1772,45),0)</f>
        <v/>
      </c>
      <c r="AW1772">
        <f>IFERROR(INDEX(PP_Grid[#Data],$DE1772,46),0)</f>
        <v/>
      </c>
      <c r="AX1772">
        <f>IFERROR(INDEX(PP_Grid[#Data],$DE1772,47),0)</f>
        <v/>
      </c>
      <c r="AY1772">
        <f>IFERROR(INDEX(PP_Grid[#Data],$DE1772,48),0)</f>
        <v/>
      </c>
      <c r="AZ1772">
        <f>IFERROR(INDEX(PP_Grid[#Data],$DE1772,49),0)</f>
        <v/>
      </c>
      <c r="BA1772">
        <f>IFERROR(INDEX(PP_Grid[#Data],$DE1772,50),0)</f>
        <v/>
      </c>
      <c r="BB1772">
        <f>IFERROR(INDEX(PP_Grid[#Data],$DE1772,51),0)</f>
        <v/>
      </c>
      <c r="BC1772">
        <f>IFERROR(INDEX(PP_Grid[#Data],$DE1772,52),0)</f>
        <v/>
      </c>
      <c r="BD1772">
        <f>IFERROR(INDEX(PP_Grid[#Data],$DE1772,53),0)</f>
        <v/>
      </c>
      <c r="BE1772">
        <f>IFERROR(INDEX(PP_Grid[#Data],$DE1772,54),0)</f>
        <v/>
      </c>
      <c r="BF1772">
        <f>IFERROR(INDEX(PP_Grid[#Data],$DE1772,55),0)</f>
        <v/>
      </c>
      <c r="BG1772">
        <f>IFERROR(INDEX(PP_Grid[#Data],$DE1772,56),0)</f>
        <v/>
      </c>
      <c r="BH1772">
        <f>IFERROR(INDEX(PP_Grid[#Data],$DE1772,57),0)</f>
        <v/>
      </c>
      <c r="BI1772">
        <f>IFERROR(INDEX(PP_Grid[#Data],$DE1772,58),0)</f>
        <v/>
      </c>
      <c r="BJ1772">
        <f>IFERROR(INDEX(PP_Grid[#Data],$DE1772,59),0)</f>
        <v/>
      </c>
      <c r="BK1772">
        <f>IFERROR(INDEX(PP_Grid[#Data],$DE1772,60),0)</f>
        <v/>
      </c>
      <c r="BL1772">
        <f>IFERROR(INDEX(PP_Grid[#Data],$DE1772,61),0)</f>
        <v/>
      </c>
      <c r="BM1772">
        <f>IFERROR(INDEX(PP_Grid[#Data],$DE1772,62),0)</f>
        <v/>
      </c>
      <c r="BN1772">
        <f>IFERROR(INDEX(PP_Grid[#Data],$DE1772,63),0)</f>
        <v/>
      </c>
      <c r="BO1772">
        <f>IFERROR(INDEX(PP_Grid[#Data],$DE1772,64),0)</f>
        <v/>
      </c>
      <c r="BP1772">
        <f>IFERROR(INDEX(PP_Grid[#Data],$DE1772,65),0)</f>
        <v/>
      </c>
      <c r="BQ1772">
        <f>IFERROR(INDEX(PP_Grid[#Data],$DE1772,66),0)</f>
        <v/>
      </c>
      <c r="BR1772">
        <f>IFERROR(INDEX(PP_Grid[#Data],$DE1772,67),0)</f>
        <v/>
      </c>
      <c r="BS1772">
        <f>IFERROR(INDEX(PP_Grid[#Data],$DE1772,68),0)</f>
        <v/>
      </c>
      <c r="BT1772">
        <f>IFERROR(INDEX(PP_Grid[#Data],$DE1772,69),0)</f>
        <v/>
      </c>
      <c r="BU1772">
        <f>IFERROR(INDEX(PP_Grid[#Data],$DE1772,70),0)</f>
        <v/>
      </c>
      <c r="BV1772">
        <f>IFERROR(INDEX(PP_Grid[#Data],$DE1772,71),0)</f>
        <v/>
      </c>
      <c r="BW1772">
        <f>IFERROR(INDEX(PP_Grid[#Data],$DE1772,72),0)</f>
        <v/>
      </c>
      <c r="BX1772">
        <f>IFERROR(INDEX(PP_Grid[#Data],$DE1772,73),0)</f>
        <v/>
      </c>
      <c r="BY1772">
        <f>IFERROR(INDEX(PP_Grid[#Data],$DE1772,74),0)</f>
        <v/>
      </c>
      <c r="BZ1772">
        <f>IFERROR(INDEX(PP_Grid[#Data],$DE1772,75),0)</f>
        <v/>
      </c>
      <c r="CA1772">
        <f>IFERROR(INDEX(PP_Grid[#Data],$DE1772,76),0)</f>
        <v/>
      </c>
      <c r="CB1772">
        <f>IFERROR(INDEX(PP_Grid[#Data],$DE1772,77),0)</f>
        <v/>
      </c>
      <c r="CC1772">
        <f>IFERROR(INDEX(PP_Grid[#Data],$DE1772,78),0)</f>
        <v/>
      </c>
      <c r="CD1772">
        <f>IFERROR(INDEX(PP_Grid[#Data],$DE1772,79),0)</f>
        <v/>
      </c>
      <c r="CE1772">
        <f>IFERROR(INDEX(PP_Grid[#Data],$DE1772,80),0)</f>
        <v/>
      </c>
      <c r="CF1772">
        <f>IFERROR(INDEX(PP_Grid[#Data],$DE1772,81),0)</f>
        <v/>
      </c>
      <c r="CG1772">
        <f>IFERROR(INDEX(PP_Grid[#Data],$DE1772,82),0)</f>
        <v/>
      </c>
      <c r="CH1772">
        <f>IFERROR(INDEX(PP_Grid[#Data],$DE1772,83),0)</f>
        <v/>
      </c>
      <c r="CI1772">
        <f>IFERROR(INDEX(PP_Grid[#Data],$DE1772,84),0)</f>
        <v/>
      </c>
      <c r="CJ1772">
        <f>IFERROR(INDEX(PP_Grid[#Data],$DE1772,85),0)</f>
        <v/>
      </c>
      <c r="CK1772">
        <f>IFERROR(INDEX(PP_Grid[#Data],$DE1772,86),0)</f>
        <v/>
      </c>
      <c r="CL1772">
        <f>IFERROR(INDEX(PP_Grid[#Data],$DE1772,87),0)</f>
        <v/>
      </c>
      <c r="CM1772">
        <f>IFERROR(INDEX(PP_Grid[#Data],$DE1772,88),0)</f>
        <v/>
      </c>
      <c r="CN1772">
        <f>IFERROR(INDEX(PP_Grid[#Data],$DE1772,89),0)</f>
        <v/>
      </c>
      <c r="CO1772">
        <f>IFERROR(INDEX(PP_Grid[#Data],$DE1772,90),0)</f>
        <v/>
      </c>
      <c r="CP1772">
        <f>IFERROR(INDEX(PP_Grid[#Data],$DE1772,91),0)</f>
        <v/>
      </c>
      <c r="CQ1772">
        <f>IFERROR(INDEX(PP_Grid[#Data],$DE1772,92),0)</f>
        <v/>
      </c>
      <c r="CR1772">
        <f>IFERROR(INDEX(PP_Grid[#Data],$DE1772,93),0)</f>
        <v/>
      </c>
      <c r="CS1772">
        <f>IFERROR(INDEX(PP_Grid[#Data],$DE1772,94),0)</f>
        <v/>
      </c>
      <c r="CT1772">
        <f>IFERROR(INDEX(PP_Grid[#Data],$DE1772,95),0)</f>
        <v/>
      </c>
      <c r="CU1772">
        <f>IFERROR(INDEX(PP_Grid[#Data],$DE1772,96),0)</f>
        <v/>
      </c>
      <c r="CV1772">
        <f>IFERROR(INDEX(PP_Grid[#Data],$DE1772,97),0)</f>
        <v/>
      </c>
      <c r="CW1772">
        <f>IFERROR(INDEX(PP_Grid[#Data],$DE1772,98),0)</f>
        <v/>
      </c>
      <c r="CX1772">
        <f>IFERROR(INDEX(PP_Grid[#Data],$DE1772,99),0)</f>
        <v/>
      </c>
      <c r="CY1772">
        <f>IFERROR(INDEX(PP_Grid[#Data],$DE1772,100),0)</f>
        <v/>
      </c>
      <c r="CZ1772">
        <f>IFERROR(INDEX(PP_Grid[#Data],$DE1772,101),0)</f>
        <v/>
      </c>
      <c r="DA1772">
        <f>IFERROR(INDEX(PP_Grid[#Data],$DE1772,102),0)</f>
        <v/>
      </c>
      <c r="DB1772">
        <f>IFERROR(INDEX(PP_Grid[#Data],$DE1772,103),0)</f>
        <v/>
      </c>
      <c r="DC1772">
        <f>IFERROR(INDEX(PP_Grid[#Data],$DE1772,104),0)</f>
        <v/>
      </c>
      <c r="DD1772">
        <f>IFERROR(INDEX(PP_Grid[#Data],$DE1772,105),0)</f>
        <v/>
      </c>
      <c r="DE1772" s="7">
        <f>IFERROR(MATCH($B1772,PP_Grid[Intermediate],0),99999)</f>
        <v/>
      </c>
    </row>
    <row r="1773">
      <c r="B1773" t="inlineStr">
        <is>
          <t>使用量(kg)</t>
        </is>
      </c>
      <c r="C1773">
        <f>SUMIFS(M_BOM[RM_Qty_Per_Batch],M_BOM[Intermediate],$B1772,M_BOM[RM_Code],$A1771)</f>
        <v/>
      </c>
      <c r="D1773">
        <f>IFERROR(INDEX(E1773:DD1773,$F$1),"")</f>
        <v/>
      </c>
      <c r="E1773">
        <f>$C1773*E1772</f>
        <v/>
      </c>
      <c r="F1773">
        <f>$C1773*F1772</f>
        <v/>
      </c>
      <c r="G1773">
        <f>$C1773*G1772</f>
        <v/>
      </c>
      <c r="H1773">
        <f>$C1773*H1772</f>
        <v/>
      </c>
      <c r="I1773">
        <f>$C1773*I1772</f>
        <v/>
      </c>
      <c r="J1773">
        <f>$C1773*J1772</f>
        <v/>
      </c>
      <c r="K1773">
        <f>$C1773*K1772</f>
        <v/>
      </c>
      <c r="L1773">
        <f>$C1773*L1772</f>
        <v/>
      </c>
      <c r="M1773">
        <f>$C1773*M1772</f>
        <v/>
      </c>
      <c r="N1773">
        <f>$C1773*N1772</f>
        <v/>
      </c>
      <c r="O1773">
        <f>$C1773*O1772</f>
        <v/>
      </c>
      <c r="P1773">
        <f>$C1773*P1772</f>
        <v/>
      </c>
      <c r="Q1773">
        <f>$C1773*Q1772</f>
        <v/>
      </c>
      <c r="R1773">
        <f>$C1773*R1772</f>
        <v/>
      </c>
      <c r="S1773">
        <f>$C1773*S1772</f>
        <v/>
      </c>
      <c r="T1773">
        <f>$C1773*T1772</f>
        <v/>
      </c>
      <c r="U1773">
        <f>$C1773*U1772</f>
        <v/>
      </c>
      <c r="V1773">
        <f>$C1773*V1772</f>
        <v/>
      </c>
      <c r="W1773">
        <f>$C1773*W1772</f>
        <v/>
      </c>
      <c r="X1773">
        <f>$C1773*X1772</f>
        <v/>
      </c>
      <c r="Y1773">
        <f>$C1773*Y1772</f>
        <v/>
      </c>
      <c r="Z1773">
        <f>$C1773*Z1772</f>
        <v/>
      </c>
      <c r="AA1773">
        <f>$C1773*AA1772</f>
        <v/>
      </c>
      <c r="AB1773">
        <f>$C1773*AB1772</f>
        <v/>
      </c>
      <c r="AC1773">
        <f>$C1773*AC1772</f>
        <v/>
      </c>
      <c r="AD1773">
        <f>$C1773*AD1772</f>
        <v/>
      </c>
      <c r="AE1773">
        <f>$C1773*AE1772</f>
        <v/>
      </c>
      <c r="AF1773">
        <f>$C1773*AF1772</f>
        <v/>
      </c>
      <c r="AG1773">
        <f>$C1773*AG1772</f>
        <v/>
      </c>
      <c r="AH1773">
        <f>$C1773*AH1772</f>
        <v/>
      </c>
      <c r="AI1773">
        <f>$C1773*AI1772</f>
        <v/>
      </c>
      <c r="AJ1773">
        <f>$C1773*AJ1772</f>
        <v/>
      </c>
      <c r="AK1773">
        <f>$C1773*AK1772</f>
        <v/>
      </c>
      <c r="AL1773">
        <f>$C1773*AL1772</f>
        <v/>
      </c>
      <c r="AM1773">
        <f>$C1773*AM1772</f>
        <v/>
      </c>
      <c r="AN1773">
        <f>$C1773*AN1772</f>
        <v/>
      </c>
      <c r="AO1773">
        <f>$C1773*AO1772</f>
        <v/>
      </c>
      <c r="AP1773">
        <f>$C1773*AP1772</f>
        <v/>
      </c>
      <c r="AQ1773">
        <f>$C1773*AQ1772</f>
        <v/>
      </c>
      <c r="AR1773">
        <f>$C1773*AR1772</f>
        <v/>
      </c>
      <c r="AS1773">
        <f>$C1773*AS1772</f>
        <v/>
      </c>
      <c r="AT1773">
        <f>$C1773*AT1772</f>
        <v/>
      </c>
      <c r="AU1773">
        <f>$C1773*AU1772</f>
        <v/>
      </c>
      <c r="AV1773">
        <f>$C1773*AV1772</f>
        <v/>
      </c>
      <c r="AW1773">
        <f>$C1773*AW1772</f>
        <v/>
      </c>
      <c r="AX1773">
        <f>$C1773*AX1772</f>
        <v/>
      </c>
      <c r="AY1773">
        <f>$C1773*AY1772</f>
        <v/>
      </c>
      <c r="AZ1773">
        <f>$C1773*AZ1772</f>
        <v/>
      </c>
      <c r="BA1773">
        <f>$C1773*BA1772</f>
        <v/>
      </c>
      <c r="BB1773">
        <f>$C1773*BB1772</f>
        <v/>
      </c>
      <c r="BC1773">
        <f>$C1773*BC1772</f>
        <v/>
      </c>
      <c r="BD1773">
        <f>$C1773*BD1772</f>
        <v/>
      </c>
      <c r="BE1773">
        <f>$C1773*BE1772</f>
        <v/>
      </c>
      <c r="BF1773">
        <f>$C1773*BF1772</f>
        <v/>
      </c>
      <c r="BG1773">
        <f>$C1773*BG1772</f>
        <v/>
      </c>
      <c r="BH1773">
        <f>$C1773*BH1772</f>
        <v/>
      </c>
      <c r="BI1773">
        <f>$C1773*BI1772</f>
        <v/>
      </c>
      <c r="BJ1773">
        <f>$C1773*BJ1772</f>
        <v/>
      </c>
      <c r="BK1773">
        <f>$C1773*BK1772</f>
        <v/>
      </c>
      <c r="BL1773">
        <f>$C1773*BL1772</f>
        <v/>
      </c>
      <c r="BM1773">
        <f>$C1773*BM1772</f>
        <v/>
      </c>
      <c r="BN1773">
        <f>$C1773*BN1772</f>
        <v/>
      </c>
      <c r="BO1773">
        <f>$C1773*BO1772</f>
        <v/>
      </c>
      <c r="BP1773">
        <f>$C1773*BP1772</f>
        <v/>
      </c>
      <c r="BQ1773">
        <f>$C1773*BQ1772</f>
        <v/>
      </c>
      <c r="BR1773">
        <f>$C1773*BR1772</f>
        <v/>
      </c>
      <c r="BS1773">
        <f>$C1773*BS1772</f>
        <v/>
      </c>
      <c r="BT1773">
        <f>$C1773*BT1772</f>
        <v/>
      </c>
      <c r="BU1773">
        <f>$C1773*BU1772</f>
        <v/>
      </c>
      <c r="BV1773">
        <f>$C1773*BV1772</f>
        <v/>
      </c>
      <c r="BW1773">
        <f>$C1773*BW1772</f>
        <v/>
      </c>
      <c r="BX1773">
        <f>$C1773*BX1772</f>
        <v/>
      </c>
      <c r="BY1773">
        <f>$C1773*BY1772</f>
        <v/>
      </c>
      <c r="BZ1773">
        <f>$C1773*BZ1772</f>
        <v/>
      </c>
      <c r="CA1773">
        <f>$C1773*CA1772</f>
        <v/>
      </c>
      <c r="CB1773">
        <f>$C1773*CB1772</f>
        <v/>
      </c>
      <c r="CC1773">
        <f>$C1773*CC1772</f>
        <v/>
      </c>
      <c r="CD1773">
        <f>$C1773*CD1772</f>
        <v/>
      </c>
      <c r="CE1773">
        <f>$C1773*CE1772</f>
        <v/>
      </c>
      <c r="CF1773">
        <f>$C1773*CF1772</f>
        <v/>
      </c>
      <c r="CG1773">
        <f>$C1773*CG1772</f>
        <v/>
      </c>
      <c r="CH1773">
        <f>$C1773*CH1772</f>
        <v/>
      </c>
      <c r="CI1773">
        <f>$C1773*CI1772</f>
        <v/>
      </c>
      <c r="CJ1773">
        <f>$C1773*CJ1772</f>
        <v/>
      </c>
      <c r="CK1773">
        <f>$C1773*CK1772</f>
        <v/>
      </c>
      <c r="CL1773">
        <f>$C1773*CL1772</f>
        <v/>
      </c>
      <c r="CM1773">
        <f>$C1773*CM1772</f>
        <v/>
      </c>
      <c r="CN1773">
        <f>$C1773*CN1772</f>
        <v/>
      </c>
      <c r="CO1773">
        <f>$C1773*CO1772</f>
        <v/>
      </c>
      <c r="CP1773">
        <f>$C1773*CP1772</f>
        <v/>
      </c>
      <c r="CQ1773">
        <f>$C1773*CQ1772</f>
        <v/>
      </c>
      <c r="CR1773">
        <f>$C1773*CR1772</f>
        <v/>
      </c>
      <c r="CS1773">
        <f>$C1773*CS1772</f>
        <v/>
      </c>
      <c r="CT1773">
        <f>$C1773*CT1772</f>
        <v/>
      </c>
      <c r="CU1773">
        <f>$C1773*CU1772</f>
        <v/>
      </c>
      <c r="CV1773">
        <f>$C1773*CV1772</f>
        <v/>
      </c>
      <c r="CW1773">
        <f>$C1773*CW1772</f>
        <v/>
      </c>
      <c r="CX1773">
        <f>$C1773*CX1772</f>
        <v/>
      </c>
      <c r="CY1773">
        <f>$C1773*CY1772</f>
        <v/>
      </c>
      <c r="CZ1773">
        <f>$C1773*CZ1772</f>
        <v/>
      </c>
      <c r="DA1773">
        <f>$C1773*DA1772</f>
        <v/>
      </c>
      <c r="DB1773">
        <f>$C1773*DB1772</f>
        <v/>
      </c>
      <c r="DC1773">
        <f>$C1773*DC1772</f>
        <v/>
      </c>
      <c r="DD1773">
        <f>$C1773*DD1772</f>
        <v/>
      </c>
    </row>
    <row r="1774">
      <c r="B1774" t="inlineStr">
        <is>
          <t>TSP-1444</t>
        </is>
      </c>
      <c r="C1774" t="inlineStr">
        <is>
          <t>No. of batches</t>
        </is>
      </c>
      <c r="D1774">
        <f>IFERROR(INDEX(E1774:DD1774,$F$1),"")</f>
        <v/>
      </c>
      <c r="E1774">
        <f>IFERROR(INDEX(PP_Grid[#Data],$DE1774,2),0)</f>
        <v/>
      </c>
      <c r="F1774">
        <f>IFERROR(INDEX(PP_Grid[#Data],$DE1774,3),0)</f>
        <v/>
      </c>
      <c r="G1774">
        <f>IFERROR(INDEX(PP_Grid[#Data],$DE1774,4),0)</f>
        <v/>
      </c>
      <c r="H1774">
        <f>IFERROR(INDEX(PP_Grid[#Data],$DE1774,5),0)</f>
        <v/>
      </c>
      <c r="I1774">
        <f>IFERROR(INDEX(PP_Grid[#Data],$DE1774,6),0)</f>
        <v/>
      </c>
      <c r="J1774">
        <f>IFERROR(INDEX(PP_Grid[#Data],$DE1774,7),0)</f>
        <v/>
      </c>
      <c r="K1774">
        <f>IFERROR(INDEX(PP_Grid[#Data],$DE1774,8),0)</f>
        <v/>
      </c>
      <c r="L1774">
        <f>IFERROR(INDEX(PP_Grid[#Data],$DE1774,9),0)</f>
        <v/>
      </c>
      <c r="M1774">
        <f>IFERROR(INDEX(PP_Grid[#Data],$DE1774,10),0)</f>
        <v/>
      </c>
      <c r="N1774">
        <f>IFERROR(INDEX(PP_Grid[#Data],$DE1774,11),0)</f>
        <v/>
      </c>
      <c r="O1774">
        <f>IFERROR(INDEX(PP_Grid[#Data],$DE1774,12),0)</f>
        <v/>
      </c>
      <c r="P1774">
        <f>IFERROR(INDEX(PP_Grid[#Data],$DE1774,13),0)</f>
        <v/>
      </c>
      <c r="Q1774">
        <f>IFERROR(INDEX(PP_Grid[#Data],$DE1774,14),0)</f>
        <v/>
      </c>
      <c r="R1774">
        <f>IFERROR(INDEX(PP_Grid[#Data],$DE1774,15),0)</f>
        <v/>
      </c>
      <c r="S1774">
        <f>IFERROR(INDEX(PP_Grid[#Data],$DE1774,16),0)</f>
        <v/>
      </c>
      <c r="T1774">
        <f>IFERROR(INDEX(PP_Grid[#Data],$DE1774,17),0)</f>
        <v/>
      </c>
      <c r="U1774">
        <f>IFERROR(INDEX(PP_Grid[#Data],$DE1774,18),0)</f>
        <v/>
      </c>
      <c r="V1774">
        <f>IFERROR(INDEX(PP_Grid[#Data],$DE1774,19),0)</f>
        <v/>
      </c>
      <c r="W1774">
        <f>IFERROR(INDEX(PP_Grid[#Data],$DE1774,20),0)</f>
        <v/>
      </c>
      <c r="X1774">
        <f>IFERROR(INDEX(PP_Grid[#Data],$DE1774,21),0)</f>
        <v/>
      </c>
      <c r="Y1774">
        <f>IFERROR(INDEX(PP_Grid[#Data],$DE1774,22),0)</f>
        <v/>
      </c>
      <c r="Z1774">
        <f>IFERROR(INDEX(PP_Grid[#Data],$DE1774,23),0)</f>
        <v/>
      </c>
      <c r="AA1774">
        <f>IFERROR(INDEX(PP_Grid[#Data],$DE1774,24),0)</f>
        <v/>
      </c>
      <c r="AB1774">
        <f>IFERROR(INDEX(PP_Grid[#Data],$DE1774,25),0)</f>
        <v/>
      </c>
      <c r="AC1774">
        <f>IFERROR(INDEX(PP_Grid[#Data],$DE1774,26),0)</f>
        <v/>
      </c>
      <c r="AD1774">
        <f>IFERROR(INDEX(PP_Grid[#Data],$DE1774,27),0)</f>
        <v/>
      </c>
      <c r="AE1774">
        <f>IFERROR(INDEX(PP_Grid[#Data],$DE1774,28),0)</f>
        <v/>
      </c>
      <c r="AF1774">
        <f>IFERROR(INDEX(PP_Grid[#Data],$DE1774,29),0)</f>
        <v/>
      </c>
      <c r="AG1774">
        <f>IFERROR(INDEX(PP_Grid[#Data],$DE1774,30),0)</f>
        <v/>
      </c>
      <c r="AH1774">
        <f>IFERROR(INDEX(PP_Grid[#Data],$DE1774,31),0)</f>
        <v/>
      </c>
      <c r="AI1774">
        <f>IFERROR(INDEX(PP_Grid[#Data],$DE1774,32),0)</f>
        <v/>
      </c>
      <c r="AJ1774">
        <f>IFERROR(INDEX(PP_Grid[#Data],$DE1774,33),0)</f>
        <v/>
      </c>
      <c r="AK1774">
        <f>IFERROR(INDEX(PP_Grid[#Data],$DE1774,34),0)</f>
        <v/>
      </c>
      <c r="AL1774">
        <f>IFERROR(INDEX(PP_Grid[#Data],$DE1774,35),0)</f>
        <v/>
      </c>
      <c r="AM1774">
        <f>IFERROR(INDEX(PP_Grid[#Data],$DE1774,36),0)</f>
        <v/>
      </c>
      <c r="AN1774">
        <f>IFERROR(INDEX(PP_Grid[#Data],$DE1774,37),0)</f>
        <v/>
      </c>
      <c r="AO1774">
        <f>IFERROR(INDEX(PP_Grid[#Data],$DE1774,38),0)</f>
        <v/>
      </c>
      <c r="AP1774">
        <f>IFERROR(INDEX(PP_Grid[#Data],$DE1774,39),0)</f>
        <v/>
      </c>
      <c r="AQ1774">
        <f>IFERROR(INDEX(PP_Grid[#Data],$DE1774,40),0)</f>
        <v/>
      </c>
      <c r="AR1774">
        <f>IFERROR(INDEX(PP_Grid[#Data],$DE1774,41),0)</f>
        <v/>
      </c>
      <c r="AS1774">
        <f>IFERROR(INDEX(PP_Grid[#Data],$DE1774,42),0)</f>
        <v/>
      </c>
      <c r="AT1774">
        <f>IFERROR(INDEX(PP_Grid[#Data],$DE1774,43),0)</f>
        <v/>
      </c>
      <c r="AU1774">
        <f>IFERROR(INDEX(PP_Grid[#Data],$DE1774,44),0)</f>
        <v/>
      </c>
      <c r="AV1774">
        <f>IFERROR(INDEX(PP_Grid[#Data],$DE1774,45),0)</f>
        <v/>
      </c>
      <c r="AW1774">
        <f>IFERROR(INDEX(PP_Grid[#Data],$DE1774,46),0)</f>
        <v/>
      </c>
      <c r="AX1774">
        <f>IFERROR(INDEX(PP_Grid[#Data],$DE1774,47),0)</f>
        <v/>
      </c>
      <c r="AY1774">
        <f>IFERROR(INDEX(PP_Grid[#Data],$DE1774,48),0)</f>
        <v/>
      </c>
      <c r="AZ1774">
        <f>IFERROR(INDEX(PP_Grid[#Data],$DE1774,49),0)</f>
        <v/>
      </c>
      <c r="BA1774">
        <f>IFERROR(INDEX(PP_Grid[#Data],$DE1774,50),0)</f>
        <v/>
      </c>
      <c r="BB1774">
        <f>IFERROR(INDEX(PP_Grid[#Data],$DE1774,51),0)</f>
        <v/>
      </c>
      <c r="BC1774">
        <f>IFERROR(INDEX(PP_Grid[#Data],$DE1774,52),0)</f>
        <v/>
      </c>
      <c r="BD1774">
        <f>IFERROR(INDEX(PP_Grid[#Data],$DE1774,53),0)</f>
        <v/>
      </c>
      <c r="BE1774">
        <f>IFERROR(INDEX(PP_Grid[#Data],$DE1774,54),0)</f>
        <v/>
      </c>
      <c r="BF1774">
        <f>IFERROR(INDEX(PP_Grid[#Data],$DE1774,55),0)</f>
        <v/>
      </c>
      <c r="BG1774">
        <f>IFERROR(INDEX(PP_Grid[#Data],$DE1774,56),0)</f>
        <v/>
      </c>
      <c r="BH1774">
        <f>IFERROR(INDEX(PP_Grid[#Data],$DE1774,57),0)</f>
        <v/>
      </c>
      <c r="BI1774">
        <f>IFERROR(INDEX(PP_Grid[#Data],$DE1774,58),0)</f>
        <v/>
      </c>
      <c r="BJ1774">
        <f>IFERROR(INDEX(PP_Grid[#Data],$DE1774,59),0)</f>
        <v/>
      </c>
      <c r="BK1774">
        <f>IFERROR(INDEX(PP_Grid[#Data],$DE1774,60),0)</f>
        <v/>
      </c>
      <c r="BL1774">
        <f>IFERROR(INDEX(PP_Grid[#Data],$DE1774,61),0)</f>
        <v/>
      </c>
      <c r="BM1774">
        <f>IFERROR(INDEX(PP_Grid[#Data],$DE1774,62),0)</f>
        <v/>
      </c>
      <c r="BN1774">
        <f>IFERROR(INDEX(PP_Grid[#Data],$DE1774,63),0)</f>
        <v/>
      </c>
      <c r="BO1774">
        <f>IFERROR(INDEX(PP_Grid[#Data],$DE1774,64),0)</f>
        <v/>
      </c>
      <c r="BP1774">
        <f>IFERROR(INDEX(PP_Grid[#Data],$DE1774,65),0)</f>
        <v/>
      </c>
      <c r="BQ1774">
        <f>IFERROR(INDEX(PP_Grid[#Data],$DE1774,66),0)</f>
        <v/>
      </c>
      <c r="BR1774">
        <f>IFERROR(INDEX(PP_Grid[#Data],$DE1774,67),0)</f>
        <v/>
      </c>
      <c r="BS1774">
        <f>IFERROR(INDEX(PP_Grid[#Data],$DE1774,68),0)</f>
        <v/>
      </c>
      <c r="BT1774">
        <f>IFERROR(INDEX(PP_Grid[#Data],$DE1774,69),0)</f>
        <v/>
      </c>
      <c r="BU1774">
        <f>IFERROR(INDEX(PP_Grid[#Data],$DE1774,70),0)</f>
        <v/>
      </c>
      <c r="BV1774">
        <f>IFERROR(INDEX(PP_Grid[#Data],$DE1774,71),0)</f>
        <v/>
      </c>
      <c r="BW1774">
        <f>IFERROR(INDEX(PP_Grid[#Data],$DE1774,72),0)</f>
        <v/>
      </c>
      <c r="BX1774">
        <f>IFERROR(INDEX(PP_Grid[#Data],$DE1774,73),0)</f>
        <v/>
      </c>
      <c r="BY1774">
        <f>IFERROR(INDEX(PP_Grid[#Data],$DE1774,74),0)</f>
        <v/>
      </c>
      <c r="BZ1774">
        <f>IFERROR(INDEX(PP_Grid[#Data],$DE1774,75),0)</f>
        <v/>
      </c>
      <c r="CA1774">
        <f>IFERROR(INDEX(PP_Grid[#Data],$DE1774,76),0)</f>
        <v/>
      </c>
      <c r="CB1774">
        <f>IFERROR(INDEX(PP_Grid[#Data],$DE1774,77),0)</f>
        <v/>
      </c>
      <c r="CC1774">
        <f>IFERROR(INDEX(PP_Grid[#Data],$DE1774,78),0)</f>
        <v/>
      </c>
      <c r="CD1774">
        <f>IFERROR(INDEX(PP_Grid[#Data],$DE1774,79),0)</f>
        <v/>
      </c>
      <c r="CE1774">
        <f>IFERROR(INDEX(PP_Grid[#Data],$DE1774,80),0)</f>
        <v/>
      </c>
      <c r="CF1774">
        <f>IFERROR(INDEX(PP_Grid[#Data],$DE1774,81),0)</f>
        <v/>
      </c>
      <c r="CG1774">
        <f>IFERROR(INDEX(PP_Grid[#Data],$DE1774,82),0)</f>
        <v/>
      </c>
      <c r="CH1774">
        <f>IFERROR(INDEX(PP_Grid[#Data],$DE1774,83),0)</f>
        <v/>
      </c>
      <c r="CI1774">
        <f>IFERROR(INDEX(PP_Grid[#Data],$DE1774,84),0)</f>
        <v/>
      </c>
      <c r="CJ1774">
        <f>IFERROR(INDEX(PP_Grid[#Data],$DE1774,85),0)</f>
        <v/>
      </c>
      <c r="CK1774">
        <f>IFERROR(INDEX(PP_Grid[#Data],$DE1774,86),0)</f>
        <v/>
      </c>
      <c r="CL1774">
        <f>IFERROR(INDEX(PP_Grid[#Data],$DE1774,87),0)</f>
        <v/>
      </c>
      <c r="CM1774">
        <f>IFERROR(INDEX(PP_Grid[#Data],$DE1774,88),0)</f>
        <v/>
      </c>
      <c r="CN1774">
        <f>IFERROR(INDEX(PP_Grid[#Data],$DE1774,89),0)</f>
        <v/>
      </c>
      <c r="CO1774">
        <f>IFERROR(INDEX(PP_Grid[#Data],$DE1774,90),0)</f>
        <v/>
      </c>
      <c r="CP1774">
        <f>IFERROR(INDEX(PP_Grid[#Data],$DE1774,91),0)</f>
        <v/>
      </c>
      <c r="CQ1774">
        <f>IFERROR(INDEX(PP_Grid[#Data],$DE1774,92),0)</f>
        <v/>
      </c>
      <c r="CR1774">
        <f>IFERROR(INDEX(PP_Grid[#Data],$DE1774,93),0)</f>
        <v/>
      </c>
      <c r="CS1774">
        <f>IFERROR(INDEX(PP_Grid[#Data],$DE1774,94),0)</f>
        <v/>
      </c>
      <c r="CT1774">
        <f>IFERROR(INDEX(PP_Grid[#Data],$DE1774,95),0)</f>
        <v/>
      </c>
      <c r="CU1774">
        <f>IFERROR(INDEX(PP_Grid[#Data],$DE1774,96),0)</f>
        <v/>
      </c>
      <c r="CV1774">
        <f>IFERROR(INDEX(PP_Grid[#Data],$DE1774,97),0)</f>
        <v/>
      </c>
      <c r="CW1774">
        <f>IFERROR(INDEX(PP_Grid[#Data],$DE1774,98),0)</f>
        <v/>
      </c>
      <c r="CX1774">
        <f>IFERROR(INDEX(PP_Grid[#Data],$DE1774,99),0)</f>
        <v/>
      </c>
      <c r="CY1774">
        <f>IFERROR(INDEX(PP_Grid[#Data],$DE1774,100),0)</f>
        <v/>
      </c>
      <c r="CZ1774">
        <f>IFERROR(INDEX(PP_Grid[#Data],$DE1774,101),0)</f>
        <v/>
      </c>
      <c r="DA1774">
        <f>IFERROR(INDEX(PP_Grid[#Data],$DE1774,102),0)</f>
        <v/>
      </c>
      <c r="DB1774">
        <f>IFERROR(INDEX(PP_Grid[#Data],$DE1774,103),0)</f>
        <v/>
      </c>
      <c r="DC1774">
        <f>IFERROR(INDEX(PP_Grid[#Data],$DE1774,104),0)</f>
        <v/>
      </c>
      <c r="DD1774">
        <f>IFERROR(INDEX(PP_Grid[#Data],$DE1774,105),0)</f>
        <v/>
      </c>
      <c r="DE1774" s="7">
        <f>IFERROR(MATCH($B1774,PP_Grid[Intermediate],0),99999)</f>
        <v/>
      </c>
    </row>
    <row r="1775">
      <c r="B1775" t="inlineStr">
        <is>
          <t>使用量(kg)</t>
        </is>
      </c>
      <c r="C1775">
        <f>SUMIFS(M_BOM[RM_Qty_Per_Batch],M_BOM[Intermediate],$B1774,M_BOM[RM_Code],$A1771)</f>
        <v/>
      </c>
      <c r="D1775">
        <f>IFERROR(INDEX(E1775:DD1775,$F$1),"")</f>
        <v/>
      </c>
      <c r="E1775">
        <f>$C1775*E1774</f>
        <v/>
      </c>
      <c r="F1775">
        <f>$C1775*F1774</f>
        <v/>
      </c>
      <c r="G1775">
        <f>$C1775*G1774</f>
        <v/>
      </c>
      <c r="H1775">
        <f>$C1775*H1774</f>
        <v/>
      </c>
      <c r="I1775">
        <f>$C1775*I1774</f>
        <v/>
      </c>
      <c r="J1775">
        <f>$C1775*J1774</f>
        <v/>
      </c>
      <c r="K1775">
        <f>$C1775*K1774</f>
        <v/>
      </c>
      <c r="L1775">
        <f>$C1775*L1774</f>
        <v/>
      </c>
      <c r="M1775">
        <f>$C1775*M1774</f>
        <v/>
      </c>
      <c r="N1775">
        <f>$C1775*N1774</f>
        <v/>
      </c>
      <c r="O1775">
        <f>$C1775*O1774</f>
        <v/>
      </c>
      <c r="P1775">
        <f>$C1775*P1774</f>
        <v/>
      </c>
      <c r="Q1775">
        <f>$C1775*Q1774</f>
        <v/>
      </c>
      <c r="R1775">
        <f>$C1775*R1774</f>
        <v/>
      </c>
      <c r="S1775">
        <f>$C1775*S1774</f>
        <v/>
      </c>
      <c r="T1775">
        <f>$C1775*T1774</f>
        <v/>
      </c>
      <c r="U1775">
        <f>$C1775*U1774</f>
        <v/>
      </c>
      <c r="V1775">
        <f>$C1775*V1774</f>
        <v/>
      </c>
      <c r="W1775">
        <f>$C1775*W1774</f>
        <v/>
      </c>
      <c r="X1775">
        <f>$C1775*X1774</f>
        <v/>
      </c>
      <c r="Y1775">
        <f>$C1775*Y1774</f>
        <v/>
      </c>
      <c r="Z1775">
        <f>$C1775*Z1774</f>
        <v/>
      </c>
      <c r="AA1775">
        <f>$C1775*AA1774</f>
        <v/>
      </c>
      <c r="AB1775">
        <f>$C1775*AB1774</f>
        <v/>
      </c>
      <c r="AC1775">
        <f>$C1775*AC1774</f>
        <v/>
      </c>
      <c r="AD1775">
        <f>$C1775*AD1774</f>
        <v/>
      </c>
      <c r="AE1775">
        <f>$C1775*AE1774</f>
        <v/>
      </c>
      <c r="AF1775">
        <f>$C1775*AF1774</f>
        <v/>
      </c>
      <c r="AG1775">
        <f>$C1775*AG1774</f>
        <v/>
      </c>
      <c r="AH1775">
        <f>$C1775*AH1774</f>
        <v/>
      </c>
      <c r="AI1775">
        <f>$C1775*AI1774</f>
        <v/>
      </c>
      <c r="AJ1775">
        <f>$C1775*AJ1774</f>
        <v/>
      </c>
      <c r="AK1775">
        <f>$C1775*AK1774</f>
        <v/>
      </c>
      <c r="AL1775">
        <f>$C1775*AL1774</f>
        <v/>
      </c>
      <c r="AM1775">
        <f>$C1775*AM1774</f>
        <v/>
      </c>
      <c r="AN1775">
        <f>$C1775*AN1774</f>
        <v/>
      </c>
      <c r="AO1775">
        <f>$C1775*AO1774</f>
        <v/>
      </c>
      <c r="AP1775">
        <f>$C1775*AP1774</f>
        <v/>
      </c>
      <c r="AQ1775">
        <f>$C1775*AQ1774</f>
        <v/>
      </c>
      <c r="AR1775">
        <f>$C1775*AR1774</f>
        <v/>
      </c>
      <c r="AS1775">
        <f>$C1775*AS1774</f>
        <v/>
      </c>
      <c r="AT1775">
        <f>$C1775*AT1774</f>
        <v/>
      </c>
      <c r="AU1775">
        <f>$C1775*AU1774</f>
        <v/>
      </c>
      <c r="AV1775">
        <f>$C1775*AV1774</f>
        <v/>
      </c>
      <c r="AW1775">
        <f>$C1775*AW1774</f>
        <v/>
      </c>
      <c r="AX1775">
        <f>$C1775*AX1774</f>
        <v/>
      </c>
      <c r="AY1775">
        <f>$C1775*AY1774</f>
        <v/>
      </c>
      <c r="AZ1775">
        <f>$C1775*AZ1774</f>
        <v/>
      </c>
      <c r="BA1775">
        <f>$C1775*BA1774</f>
        <v/>
      </c>
      <c r="BB1775">
        <f>$C1775*BB1774</f>
        <v/>
      </c>
      <c r="BC1775">
        <f>$C1775*BC1774</f>
        <v/>
      </c>
      <c r="BD1775">
        <f>$C1775*BD1774</f>
        <v/>
      </c>
      <c r="BE1775">
        <f>$C1775*BE1774</f>
        <v/>
      </c>
      <c r="BF1775">
        <f>$C1775*BF1774</f>
        <v/>
      </c>
      <c r="BG1775">
        <f>$C1775*BG1774</f>
        <v/>
      </c>
      <c r="BH1775">
        <f>$C1775*BH1774</f>
        <v/>
      </c>
      <c r="BI1775">
        <f>$C1775*BI1774</f>
        <v/>
      </c>
      <c r="BJ1775">
        <f>$C1775*BJ1774</f>
        <v/>
      </c>
      <c r="BK1775">
        <f>$C1775*BK1774</f>
        <v/>
      </c>
      <c r="BL1775">
        <f>$C1775*BL1774</f>
        <v/>
      </c>
      <c r="BM1775">
        <f>$C1775*BM1774</f>
        <v/>
      </c>
      <c r="BN1775">
        <f>$C1775*BN1774</f>
        <v/>
      </c>
      <c r="BO1775">
        <f>$C1775*BO1774</f>
        <v/>
      </c>
      <c r="BP1775">
        <f>$C1775*BP1774</f>
        <v/>
      </c>
      <c r="BQ1775">
        <f>$C1775*BQ1774</f>
        <v/>
      </c>
      <c r="BR1775">
        <f>$C1775*BR1774</f>
        <v/>
      </c>
      <c r="BS1775">
        <f>$C1775*BS1774</f>
        <v/>
      </c>
      <c r="BT1775">
        <f>$C1775*BT1774</f>
        <v/>
      </c>
      <c r="BU1775">
        <f>$C1775*BU1774</f>
        <v/>
      </c>
      <c r="BV1775">
        <f>$C1775*BV1774</f>
        <v/>
      </c>
      <c r="BW1775">
        <f>$C1775*BW1774</f>
        <v/>
      </c>
      <c r="BX1775">
        <f>$C1775*BX1774</f>
        <v/>
      </c>
      <c r="BY1775">
        <f>$C1775*BY1774</f>
        <v/>
      </c>
      <c r="BZ1775">
        <f>$C1775*BZ1774</f>
        <v/>
      </c>
      <c r="CA1775">
        <f>$C1775*CA1774</f>
        <v/>
      </c>
      <c r="CB1775">
        <f>$C1775*CB1774</f>
        <v/>
      </c>
      <c r="CC1775">
        <f>$C1775*CC1774</f>
        <v/>
      </c>
      <c r="CD1775">
        <f>$C1775*CD1774</f>
        <v/>
      </c>
      <c r="CE1775">
        <f>$C1775*CE1774</f>
        <v/>
      </c>
      <c r="CF1775">
        <f>$C1775*CF1774</f>
        <v/>
      </c>
      <c r="CG1775">
        <f>$C1775*CG1774</f>
        <v/>
      </c>
      <c r="CH1775">
        <f>$C1775*CH1774</f>
        <v/>
      </c>
      <c r="CI1775">
        <f>$C1775*CI1774</f>
        <v/>
      </c>
      <c r="CJ1775">
        <f>$C1775*CJ1774</f>
        <v/>
      </c>
      <c r="CK1775">
        <f>$C1775*CK1774</f>
        <v/>
      </c>
      <c r="CL1775">
        <f>$C1775*CL1774</f>
        <v/>
      </c>
      <c r="CM1775">
        <f>$C1775*CM1774</f>
        <v/>
      </c>
      <c r="CN1775">
        <f>$C1775*CN1774</f>
        <v/>
      </c>
      <c r="CO1775">
        <f>$C1775*CO1774</f>
        <v/>
      </c>
      <c r="CP1775">
        <f>$C1775*CP1774</f>
        <v/>
      </c>
      <c r="CQ1775">
        <f>$C1775*CQ1774</f>
        <v/>
      </c>
      <c r="CR1775">
        <f>$C1775*CR1774</f>
        <v/>
      </c>
      <c r="CS1775">
        <f>$C1775*CS1774</f>
        <v/>
      </c>
      <c r="CT1775">
        <f>$C1775*CT1774</f>
        <v/>
      </c>
      <c r="CU1775">
        <f>$C1775*CU1774</f>
        <v/>
      </c>
      <c r="CV1775">
        <f>$C1775*CV1774</f>
        <v/>
      </c>
      <c r="CW1775">
        <f>$C1775*CW1774</f>
        <v/>
      </c>
      <c r="CX1775">
        <f>$C1775*CX1774</f>
        <v/>
      </c>
      <c r="CY1775">
        <f>$C1775*CY1774</f>
        <v/>
      </c>
      <c r="CZ1775">
        <f>$C1775*CZ1774</f>
        <v/>
      </c>
      <c r="DA1775">
        <f>$C1775*DA1774</f>
        <v/>
      </c>
      <c r="DB1775">
        <f>$C1775*DB1774</f>
        <v/>
      </c>
      <c r="DC1775">
        <f>$C1775*DC1774</f>
        <v/>
      </c>
      <c r="DD1775">
        <f>$C1775*DD1774</f>
        <v/>
      </c>
    </row>
    <row r="1776">
      <c r="B1776" t="inlineStr">
        <is>
          <t>TSP-1445</t>
        </is>
      </c>
      <c r="C1776" t="inlineStr">
        <is>
          <t>No. of batches</t>
        </is>
      </c>
      <c r="D1776">
        <f>IFERROR(INDEX(E1776:DD1776,$F$1),"")</f>
        <v/>
      </c>
      <c r="E1776">
        <f>IFERROR(INDEX(PP_Grid[#Data],$DE1776,2),0)</f>
        <v/>
      </c>
      <c r="F1776">
        <f>IFERROR(INDEX(PP_Grid[#Data],$DE1776,3),0)</f>
        <v/>
      </c>
      <c r="G1776">
        <f>IFERROR(INDEX(PP_Grid[#Data],$DE1776,4),0)</f>
        <v/>
      </c>
      <c r="H1776">
        <f>IFERROR(INDEX(PP_Grid[#Data],$DE1776,5),0)</f>
        <v/>
      </c>
      <c r="I1776">
        <f>IFERROR(INDEX(PP_Grid[#Data],$DE1776,6),0)</f>
        <v/>
      </c>
      <c r="J1776">
        <f>IFERROR(INDEX(PP_Grid[#Data],$DE1776,7),0)</f>
        <v/>
      </c>
      <c r="K1776">
        <f>IFERROR(INDEX(PP_Grid[#Data],$DE1776,8),0)</f>
        <v/>
      </c>
      <c r="L1776">
        <f>IFERROR(INDEX(PP_Grid[#Data],$DE1776,9),0)</f>
        <v/>
      </c>
      <c r="M1776">
        <f>IFERROR(INDEX(PP_Grid[#Data],$DE1776,10),0)</f>
        <v/>
      </c>
      <c r="N1776">
        <f>IFERROR(INDEX(PP_Grid[#Data],$DE1776,11),0)</f>
        <v/>
      </c>
      <c r="O1776">
        <f>IFERROR(INDEX(PP_Grid[#Data],$DE1776,12),0)</f>
        <v/>
      </c>
      <c r="P1776">
        <f>IFERROR(INDEX(PP_Grid[#Data],$DE1776,13),0)</f>
        <v/>
      </c>
      <c r="Q1776">
        <f>IFERROR(INDEX(PP_Grid[#Data],$DE1776,14),0)</f>
        <v/>
      </c>
      <c r="R1776">
        <f>IFERROR(INDEX(PP_Grid[#Data],$DE1776,15),0)</f>
        <v/>
      </c>
      <c r="S1776">
        <f>IFERROR(INDEX(PP_Grid[#Data],$DE1776,16),0)</f>
        <v/>
      </c>
      <c r="T1776">
        <f>IFERROR(INDEX(PP_Grid[#Data],$DE1776,17),0)</f>
        <v/>
      </c>
      <c r="U1776">
        <f>IFERROR(INDEX(PP_Grid[#Data],$DE1776,18),0)</f>
        <v/>
      </c>
      <c r="V1776">
        <f>IFERROR(INDEX(PP_Grid[#Data],$DE1776,19),0)</f>
        <v/>
      </c>
      <c r="W1776">
        <f>IFERROR(INDEX(PP_Grid[#Data],$DE1776,20),0)</f>
        <v/>
      </c>
      <c r="X1776">
        <f>IFERROR(INDEX(PP_Grid[#Data],$DE1776,21),0)</f>
        <v/>
      </c>
      <c r="Y1776">
        <f>IFERROR(INDEX(PP_Grid[#Data],$DE1776,22),0)</f>
        <v/>
      </c>
      <c r="Z1776">
        <f>IFERROR(INDEX(PP_Grid[#Data],$DE1776,23),0)</f>
        <v/>
      </c>
      <c r="AA1776">
        <f>IFERROR(INDEX(PP_Grid[#Data],$DE1776,24),0)</f>
        <v/>
      </c>
      <c r="AB1776">
        <f>IFERROR(INDEX(PP_Grid[#Data],$DE1776,25),0)</f>
        <v/>
      </c>
      <c r="AC1776">
        <f>IFERROR(INDEX(PP_Grid[#Data],$DE1776,26),0)</f>
        <v/>
      </c>
      <c r="AD1776">
        <f>IFERROR(INDEX(PP_Grid[#Data],$DE1776,27),0)</f>
        <v/>
      </c>
      <c r="AE1776">
        <f>IFERROR(INDEX(PP_Grid[#Data],$DE1776,28),0)</f>
        <v/>
      </c>
      <c r="AF1776">
        <f>IFERROR(INDEX(PP_Grid[#Data],$DE1776,29),0)</f>
        <v/>
      </c>
      <c r="AG1776">
        <f>IFERROR(INDEX(PP_Grid[#Data],$DE1776,30),0)</f>
        <v/>
      </c>
      <c r="AH1776">
        <f>IFERROR(INDEX(PP_Grid[#Data],$DE1776,31),0)</f>
        <v/>
      </c>
      <c r="AI1776">
        <f>IFERROR(INDEX(PP_Grid[#Data],$DE1776,32),0)</f>
        <v/>
      </c>
      <c r="AJ1776">
        <f>IFERROR(INDEX(PP_Grid[#Data],$DE1776,33),0)</f>
        <v/>
      </c>
      <c r="AK1776">
        <f>IFERROR(INDEX(PP_Grid[#Data],$DE1776,34),0)</f>
        <v/>
      </c>
      <c r="AL1776">
        <f>IFERROR(INDEX(PP_Grid[#Data],$DE1776,35),0)</f>
        <v/>
      </c>
      <c r="AM1776">
        <f>IFERROR(INDEX(PP_Grid[#Data],$DE1776,36),0)</f>
        <v/>
      </c>
      <c r="AN1776">
        <f>IFERROR(INDEX(PP_Grid[#Data],$DE1776,37),0)</f>
        <v/>
      </c>
      <c r="AO1776">
        <f>IFERROR(INDEX(PP_Grid[#Data],$DE1776,38),0)</f>
        <v/>
      </c>
      <c r="AP1776">
        <f>IFERROR(INDEX(PP_Grid[#Data],$DE1776,39),0)</f>
        <v/>
      </c>
      <c r="AQ1776">
        <f>IFERROR(INDEX(PP_Grid[#Data],$DE1776,40),0)</f>
        <v/>
      </c>
      <c r="AR1776">
        <f>IFERROR(INDEX(PP_Grid[#Data],$DE1776,41),0)</f>
        <v/>
      </c>
      <c r="AS1776">
        <f>IFERROR(INDEX(PP_Grid[#Data],$DE1776,42),0)</f>
        <v/>
      </c>
      <c r="AT1776">
        <f>IFERROR(INDEX(PP_Grid[#Data],$DE1776,43),0)</f>
        <v/>
      </c>
      <c r="AU1776">
        <f>IFERROR(INDEX(PP_Grid[#Data],$DE1776,44),0)</f>
        <v/>
      </c>
      <c r="AV1776">
        <f>IFERROR(INDEX(PP_Grid[#Data],$DE1776,45),0)</f>
        <v/>
      </c>
      <c r="AW1776">
        <f>IFERROR(INDEX(PP_Grid[#Data],$DE1776,46),0)</f>
        <v/>
      </c>
      <c r="AX1776">
        <f>IFERROR(INDEX(PP_Grid[#Data],$DE1776,47),0)</f>
        <v/>
      </c>
      <c r="AY1776">
        <f>IFERROR(INDEX(PP_Grid[#Data],$DE1776,48),0)</f>
        <v/>
      </c>
      <c r="AZ1776">
        <f>IFERROR(INDEX(PP_Grid[#Data],$DE1776,49),0)</f>
        <v/>
      </c>
      <c r="BA1776">
        <f>IFERROR(INDEX(PP_Grid[#Data],$DE1776,50),0)</f>
        <v/>
      </c>
      <c r="BB1776">
        <f>IFERROR(INDEX(PP_Grid[#Data],$DE1776,51),0)</f>
        <v/>
      </c>
      <c r="BC1776">
        <f>IFERROR(INDEX(PP_Grid[#Data],$DE1776,52),0)</f>
        <v/>
      </c>
      <c r="BD1776">
        <f>IFERROR(INDEX(PP_Grid[#Data],$DE1776,53),0)</f>
        <v/>
      </c>
      <c r="BE1776">
        <f>IFERROR(INDEX(PP_Grid[#Data],$DE1776,54),0)</f>
        <v/>
      </c>
      <c r="BF1776">
        <f>IFERROR(INDEX(PP_Grid[#Data],$DE1776,55),0)</f>
        <v/>
      </c>
      <c r="BG1776">
        <f>IFERROR(INDEX(PP_Grid[#Data],$DE1776,56),0)</f>
        <v/>
      </c>
      <c r="BH1776">
        <f>IFERROR(INDEX(PP_Grid[#Data],$DE1776,57),0)</f>
        <v/>
      </c>
      <c r="BI1776">
        <f>IFERROR(INDEX(PP_Grid[#Data],$DE1776,58),0)</f>
        <v/>
      </c>
      <c r="BJ1776">
        <f>IFERROR(INDEX(PP_Grid[#Data],$DE1776,59),0)</f>
        <v/>
      </c>
      <c r="BK1776">
        <f>IFERROR(INDEX(PP_Grid[#Data],$DE1776,60),0)</f>
        <v/>
      </c>
      <c r="BL1776">
        <f>IFERROR(INDEX(PP_Grid[#Data],$DE1776,61),0)</f>
        <v/>
      </c>
      <c r="BM1776">
        <f>IFERROR(INDEX(PP_Grid[#Data],$DE1776,62),0)</f>
        <v/>
      </c>
      <c r="BN1776">
        <f>IFERROR(INDEX(PP_Grid[#Data],$DE1776,63),0)</f>
        <v/>
      </c>
      <c r="BO1776">
        <f>IFERROR(INDEX(PP_Grid[#Data],$DE1776,64),0)</f>
        <v/>
      </c>
      <c r="BP1776">
        <f>IFERROR(INDEX(PP_Grid[#Data],$DE1776,65),0)</f>
        <v/>
      </c>
      <c r="BQ1776">
        <f>IFERROR(INDEX(PP_Grid[#Data],$DE1776,66),0)</f>
        <v/>
      </c>
      <c r="BR1776">
        <f>IFERROR(INDEX(PP_Grid[#Data],$DE1776,67),0)</f>
        <v/>
      </c>
      <c r="BS1776">
        <f>IFERROR(INDEX(PP_Grid[#Data],$DE1776,68),0)</f>
        <v/>
      </c>
      <c r="BT1776">
        <f>IFERROR(INDEX(PP_Grid[#Data],$DE1776,69),0)</f>
        <v/>
      </c>
      <c r="BU1776">
        <f>IFERROR(INDEX(PP_Grid[#Data],$DE1776,70),0)</f>
        <v/>
      </c>
      <c r="BV1776">
        <f>IFERROR(INDEX(PP_Grid[#Data],$DE1776,71),0)</f>
        <v/>
      </c>
      <c r="BW1776">
        <f>IFERROR(INDEX(PP_Grid[#Data],$DE1776,72),0)</f>
        <v/>
      </c>
      <c r="BX1776">
        <f>IFERROR(INDEX(PP_Grid[#Data],$DE1776,73),0)</f>
        <v/>
      </c>
      <c r="BY1776">
        <f>IFERROR(INDEX(PP_Grid[#Data],$DE1776,74),0)</f>
        <v/>
      </c>
      <c r="BZ1776">
        <f>IFERROR(INDEX(PP_Grid[#Data],$DE1776,75),0)</f>
        <v/>
      </c>
      <c r="CA1776">
        <f>IFERROR(INDEX(PP_Grid[#Data],$DE1776,76),0)</f>
        <v/>
      </c>
      <c r="CB1776">
        <f>IFERROR(INDEX(PP_Grid[#Data],$DE1776,77),0)</f>
        <v/>
      </c>
      <c r="CC1776">
        <f>IFERROR(INDEX(PP_Grid[#Data],$DE1776,78),0)</f>
        <v/>
      </c>
      <c r="CD1776">
        <f>IFERROR(INDEX(PP_Grid[#Data],$DE1776,79),0)</f>
        <v/>
      </c>
      <c r="CE1776">
        <f>IFERROR(INDEX(PP_Grid[#Data],$DE1776,80),0)</f>
        <v/>
      </c>
      <c r="CF1776">
        <f>IFERROR(INDEX(PP_Grid[#Data],$DE1776,81),0)</f>
        <v/>
      </c>
      <c r="CG1776">
        <f>IFERROR(INDEX(PP_Grid[#Data],$DE1776,82),0)</f>
        <v/>
      </c>
      <c r="CH1776">
        <f>IFERROR(INDEX(PP_Grid[#Data],$DE1776,83),0)</f>
        <v/>
      </c>
      <c r="CI1776">
        <f>IFERROR(INDEX(PP_Grid[#Data],$DE1776,84),0)</f>
        <v/>
      </c>
      <c r="CJ1776">
        <f>IFERROR(INDEX(PP_Grid[#Data],$DE1776,85),0)</f>
        <v/>
      </c>
      <c r="CK1776">
        <f>IFERROR(INDEX(PP_Grid[#Data],$DE1776,86),0)</f>
        <v/>
      </c>
      <c r="CL1776">
        <f>IFERROR(INDEX(PP_Grid[#Data],$DE1776,87),0)</f>
        <v/>
      </c>
      <c r="CM1776">
        <f>IFERROR(INDEX(PP_Grid[#Data],$DE1776,88),0)</f>
        <v/>
      </c>
      <c r="CN1776">
        <f>IFERROR(INDEX(PP_Grid[#Data],$DE1776,89),0)</f>
        <v/>
      </c>
      <c r="CO1776">
        <f>IFERROR(INDEX(PP_Grid[#Data],$DE1776,90),0)</f>
        <v/>
      </c>
      <c r="CP1776">
        <f>IFERROR(INDEX(PP_Grid[#Data],$DE1776,91),0)</f>
        <v/>
      </c>
      <c r="CQ1776">
        <f>IFERROR(INDEX(PP_Grid[#Data],$DE1776,92),0)</f>
        <v/>
      </c>
      <c r="CR1776">
        <f>IFERROR(INDEX(PP_Grid[#Data],$DE1776,93),0)</f>
        <v/>
      </c>
      <c r="CS1776">
        <f>IFERROR(INDEX(PP_Grid[#Data],$DE1776,94),0)</f>
        <v/>
      </c>
      <c r="CT1776">
        <f>IFERROR(INDEX(PP_Grid[#Data],$DE1776,95),0)</f>
        <v/>
      </c>
      <c r="CU1776">
        <f>IFERROR(INDEX(PP_Grid[#Data],$DE1776,96),0)</f>
        <v/>
      </c>
      <c r="CV1776">
        <f>IFERROR(INDEX(PP_Grid[#Data],$DE1776,97),0)</f>
        <v/>
      </c>
      <c r="CW1776">
        <f>IFERROR(INDEX(PP_Grid[#Data],$DE1776,98),0)</f>
        <v/>
      </c>
      <c r="CX1776">
        <f>IFERROR(INDEX(PP_Grid[#Data],$DE1776,99),0)</f>
        <v/>
      </c>
      <c r="CY1776">
        <f>IFERROR(INDEX(PP_Grid[#Data],$DE1776,100),0)</f>
        <v/>
      </c>
      <c r="CZ1776">
        <f>IFERROR(INDEX(PP_Grid[#Data],$DE1776,101),0)</f>
        <v/>
      </c>
      <c r="DA1776">
        <f>IFERROR(INDEX(PP_Grid[#Data],$DE1776,102),0)</f>
        <v/>
      </c>
      <c r="DB1776">
        <f>IFERROR(INDEX(PP_Grid[#Data],$DE1776,103),0)</f>
        <v/>
      </c>
      <c r="DC1776">
        <f>IFERROR(INDEX(PP_Grid[#Data],$DE1776,104),0)</f>
        <v/>
      </c>
      <c r="DD1776">
        <f>IFERROR(INDEX(PP_Grid[#Data],$DE1776,105),0)</f>
        <v/>
      </c>
      <c r="DE1776" s="7">
        <f>IFERROR(MATCH($B1776,PP_Grid[Intermediate],0),99999)</f>
        <v/>
      </c>
    </row>
    <row r="1777">
      <c r="B1777" t="inlineStr">
        <is>
          <t>使用量(kg)</t>
        </is>
      </c>
      <c r="C1777">
        <f>SUMIFS(M_BOM[RM_Qty_Per_Batch],M_BOM[Intermediate],$B1776,M_BOM[RM_Code],$A1771)</f>
        <v/>
      </c>
      <c r="D1777">
        <f>IFERROR(INDEX(E1777:DD1777,$F$1),"")</f>
        <v/>
      </c>
      <c r="E1777">
        <f>$C1777*E1776</f>
        <v/>
      </c>
      <c r="F1777">
        <f>$C1777*F1776</f>
        <v/>
      </c>
      <c r="G1777">
        <f>$C1777*G1776</f>
        <v/>
      </c>
      <c r="H1777">
        <f>$C1777*H1776</f>
        <v/>
      </c>
      <c r="I1777">
        <f>$C1777*I1776</f>
        <v/>
      </c>
      <c r="J1777">
        <f>$C1777*J1776</f>
        <v/>
      </c>
      <c r="K1777">
        <f>$C1777*K1776</f>
        <v/>
      </c>
      <c r="L1777">
        <f>$C1777*L1776</f>
        <v/>
      </c>
      <c r="M1777">
        <f>$C1777*M1776</f>
        <v/>
      </c>
      <c r="N1777">
        <f>$C1777*N1776</f>
        <v/>
      </c>
      <c r="O1777">
        <f>$C1777*O1776</f>
        <v/>
      </c>
      <c r="P1777">
        <f>$C1777*P1776</f>
        <v/>
      </c>
      <c r="Q1777">
        <f>$C1777*Q1776</f>
        <v/>
      </c>
      <c r="R1777">
        <f>$C1777*R1776</f>
        <v/>
      </c>
      <c r="S1777">
        <f>$C1777*S1776</f>
        <v/>
      </c>
      <c r="T1777">
        <f>$C1777*T1776</f>
        <v/>
      </c>
      <c r="U1777">
        <f>$C1777*U1776</f>
        <v/>
      </c>
      <c r="V1777">
        <f>$C1777*V1776</f>
        <v/>
      </c>
      <c r="W1777">
        <f>$C1777*W1776</f>
        <v/>
      </c>
      <c r="X1777">
        <f>$C1777*X1776</f>
        <v/>
      </c>
      <c r="Y1777">
        <f>$C1777*Y1776</f>
        <v/>
      </c>
      <c r="Z1777">
        <f>$C1777*Z1776</f>
        <v/>
      </c>
      <c r="AA1777">
        <f>$C1777*AA1776</f>
        <v/>
      </c>
      <c r="AB1777">
        <f>$C1777*AB1776</f>
        <v/>
      </c>
      <c r="AC1777">
        <f>$C1777*AC1776</f>
        <v/>
      </c>
      <c r="AD1777">
        <f>$C1777*AD1776</f>
        <v/>
      </c>
      <c r="AE1777">
        <f>$C1777*AE1776</f>
        <v/>
      </c>
      <c r="AF1777">
        <f>$C1777*AF1776</f>
        <v/>
      </c>
      <c r="AG1777">
        <f>$C1777*AG1776</f>
        <v/>
      </c>
      <c r="AH1777">
        <f>$C1777*AH1776</f>
        <v/>
      </c>
      <c r="AI1777">
        <f>$C1777*AI1776</f>
        <v/>
      </c>
      <c r="AJ1777">
        <f>$C1777*AJ1776</f>
        <v/>
      </c>
      <c r="AK1777">
        <f>$C1777*AK1776</f>
        <v/>
      </c>
      <c r="AL1777">
        <f>$C1777*AL1776</f>
        <v/>
      </c>
      <c r="AM1777">
        <f>$C1777*AM1776</f>
        <v/>
      </c>
      <c r="AN1777">
        <f>$C1777*AN1776</f>
        <v/>
      </c>
      <c r="AO1777">
        <f>$C1777*AO1776</f>
        <v/>
      </c>
      <c r="AP1777">
        <f>$C1777*AP1776</f>
        <v/>
      </c>
      <c r="AQ1777">
        <f>$C1777*AQ1776</f>
        <v/>
      </c>
      <c r="AR1777">
        <f>$C1777*AR1776</f>
        <v/>
      </c>
      <c r="AS1777">
        <f>$C1777*AS1776</f>
        <v/>
      </c>
      <c r="AT1777">
        <f>$C1777*AT1776</f>
        <v/>
      </c>
      <c r="AU1777">
        <f>$C1777*AU1776</f>
        <v/>
      </c>
      <c r="AV1777">
        <f>$C1777*AV1776</f>
        <v/>
      </c>
      <c r="AW1777">
        <f>$C1777*AW1776</f>
        <v/>
      </c>
      <c r="AX1777">
        <f>$C1777*AX1776</f>
        <v/>
      </c>
      <c r="AY1777">
        <f>$C1777*AY1776</f>
        <v/>
      </c>
      <c r="AZ1777">
        <f>$C1777*AZ1776</f>
        <v/>
      </c>
      <c r="BA1777">
        <f>$C1777*BA1776</f>
        <v/>
      </c>
      <c r="BB1777">
        <f>$C1777*BB1776</f>
        <v/>
      </c>
      <c r="BC1777">
        <f>$C1777*BC1776</f>
        <v/>
      </c>
      <c r="BD1777">
        <f>$C1777*BD1776</f>
        <v/>
      </c>
      <c r="BE1777">
        <f>$C1777*BE1776</f>
        <v/>
      </c>
      <c r="BF1777">
        <f>$C1777*BF1776</f>
        <v/>
      </c>
      <c r="BG1777">
        <f>$C1777*BG1776</f>
        <v/>
      </c>
      <c r="BH1777">
        <f>$C1777*BH1776</f>
        <v/>
      </c>
      <c r="BI1777">
        <f>$C1777*BI1776</f>
        <v/>
      </c>
      <c r="BJ1777">
        <f>$C1777*BJ1776</f>
        <v/>
      </c>
      <c r="BK1777">
        <f>$C1777*BK1776</f>
        <v/>
      </c>
      <c r="BL1777">
        <f>$C1777*BL1776</f>
        <v/>
      </c>
      <c r="BM1777">
        <f>$C1777*BM1776</f>
        <v/>
      </c>
      <c r="BN1777">
        <f>$C1777*BN1776</f>
        <v/>
      </c>
      <c r="BO1777">
        <f>$C1777*BO1776</f>
        <v/>
      </c>
      <c r="BP1777">
        <f>$C1777*BP1776</f>
        <v/>
      </c>
      <c r="BQ1777">
        <f>$C1777*BQ1776</f>
        <v/>
      </c>
      <c r="BR1777">
        <f>$C1777*BR1776</f>
        <v/>
      </c>
      <c r="BS1777">
        <f>$C1777*BS1776</f>
        <v/>
      </c>
      <c r="BT1777">
        <f>$C1777*BT1776</f>
        <v/>
      </c>
      <c r="BU1777">
        <f>$C1777*BU1776</f>
        <v/>
      </c>
      <c r="BV1777">
        <f>$C1777*BV1776</f>
        <v/>
      </c>
      <c r="BW1777">
        <f>$C1777*BW1776</f>
        <v/>
      </c>
      <c r="BX1777">
        <f>$C1777*BX1776</f>
        <v/>
      </c>
      <c r="BY1777">
        <f>$C1777*BY1776</f>
        <v/>
      </c>
      <c r="BZ1777">
        <f>$C1777*BZ1776</f>
        <v/>
      </c>
      <c r="CA1777">
        <f>$C1777*CA1776</f>
        <v/>
      </c>
      <c r="CB1777">
        <f>$C1777*CB1776</f>
        <v/>
      </c>
      <c r="CC1777">
        <f>$C1777*CC1776</f>
        <v/>
      </c>
      <c r="CD1777">
        <f>$C1777*CD1776</f>
        <v/>
      </c>
      <c r="CE1777">
        <f>$C1777*CE1776</f>
        <v/>
      </c>
      <c r="CF1777">
        <f>$C1777*CF1776</f>
        <v/>
      </c>
      <c r="CG1777">
        <f>$C1777*CG1776</f>
        <v/>
      </c>
      <c r="CH1777">
        <f>$C1777*CH1776</f>
        <v/>
      </c>
      <c r="CI1777">
        <f>$C1777*CI1776</f>
        <v/>
      </c>
      <c r="CJ1777">
        <f>$C1777*CJ1776</f>
        <v/>
      </c>
      <c r="CK1777">
        <f>$C1777*CK1776</f>
        <v/>
      </c>
      <c r="CL1777">
        <f>$C1777*CL1776</f>
        <v/>
      </c>
      <c r="CM1777">
        <f>$C1777*CM1776</f>
        <v/>
      </c>
      <c r="CN1777">
        <f>$C1777*CN1776</f>
        <v/>
      </c>
      <c r="CO1777">
        <f>$C1777*CO1776</f>
        <v/>
      </c>
      <c r="CP1777">
        <f>$C1777*CP1776</f>
        <v/>
      </c>
      <c r="CQ1777">
        <f>$C1777*CQ1776</f>
        <v/>
      </c>
      <c r="CR1777">
        <f>$C1777*CR1776</f>
        <v/>
      </c>
      <c r="CS1777">
        <f>$C1777*CS1776</f>
        <v/>
      </c>
      <c r="CT1777">
        <f>$C1777*CT1776</f>
        <v/>
      </c>
      <c r="CU1777">
        <f>$C1777*CU1776</f>
        <v/>
      </c>
      <c r="CV1777">
        <f>$C1777*CV1776</f>
        <v/>
      </c>
      <c r="CW1777">
        <f>$C1777*CW1776</f>
        <v/>
      </c>
      <c r="CX1777">
        <f>$C1777*CX1776</f>
        <v/>
      </c>
      <c r="CY1777">
        <f>$C1777*CY1776</f>
        <v/>
      </c>
      <c r="CZ1777">
        <f>$C1777*CZ1776</f>
        <v/>
      </c>
      <c r="DA1777">
        <f>$C1777*DA1776</f>
        <v/>
      </c>
      <c r="DB1777">
        <f>$C1777*DB1776</f>
        <v/>
      </c>
      <c r="DC1777">
        <f>$C1777*DC1776</f>
        <v/>
      </c>
      <c r="DD1777">
        <f>$C1777*DD1776</f>
        <v/>
      </c>
    </row>
    <row r="1778">
      <c r="B1778" t="inlineStr">
        <is>
          <t>TSP-1446</t>
        </is>
      </c>
      <c r="C1778" t="inlineStr">
        <is>
          <t>No. of batches</t>
        </is>
      </c>
      <c r="D1778">
        <f>IFERROR(INDEX(E1778:DD1778,$F$1),"")</f>
        <v/>
      </c>
      <c r="E1778">
        <f>IFERROR(INDEX(PP_Grid[#Data],$DE1778,2),0)</f>
        <v/>
      </c>
      <c r="F1778">
        <f>IFERROR(INDEX(PP_Grid[#Data],$DE1778,3),0)</f>
        <v/>
      </c>
      <c r="G1778">
        <f>IFERROR(INDEX(PP_Grid[#Data],$DE1778,4),0)</f>
        <v/>
      </c>
      <c r="H1778">
        <f>IFERROR(INDEX(PP_Grid[#Data],$DE1778,5),0)</f>
        <v/>
      </c>
      <c r="I1778">
        <f>IFERROR(INDEX(PP_Grid[#Data],$DE1778,6),0)</f>
        <v/>
      </c>
      <c r="J1778">
        <f>IFERROR(INDEX(PP_Grid[#Data],$DE1778,7),0)</f>
        <v/>
      </c>
      <c r="K1778">
        <f>IFERROR(INDEX(PP_Grid[#Data],$DE1778,8),0)</f>
        <v/>
      </c>
      <c r="L1778">
        <f>IFERROR(INDEX(PP_Grid[#Data],$DE1778,9),0)</f>
        <v/>
      </c>
      <c r="M1778">
        <f>IFERROR(INDEX(PP_Grid[#Data],$DE1778,10),0)</f>
        <v/>
      </c>
      <c r="N1778">
        <f>IFERROR(INDEX(PP_Grid[#Data],$DE1778,11),0)</f>
        <v/>
      </c>
      <c r="O1778">
        <f>IFERROR(INDEX(PP_Grid[#Data],$DE1778,12),0)</f>
        <v/>
      </c>
      <c r="P1778">
        <f>IFERROR(INDEX(PP_Grid[#Data],$DE1778,13),0)</f>
        <v/>
      </c>
      <c r="Q1778">
        <f>IFERROR(INDEX(PP_Grid[#Data],$DE1778,14),0)</f>
        <v/>
      </c>
      <c r="R1778">
        <f>IFERROR(INDEX(PP_Grid[#Data],$DE1778,15),0)</f>
        <v/>
      </c>
      <c r="S1778">
        <f>IFERROR(INDEX(PP_Grid[#Data],$DE1778,16),0)</f>
        <v/>
      </c>
      <c r="T1778">
        <f>IFERROR(INDEX(PP_Grid[#Data],$DE1778,17),0)</f>
        <v/>
      </c>
      <c r="U1778">
        <f>IFERROR(INDEX(PP_Grid[#Data],$DE1778,18),0)</f>
        <v/>
      </c>
      <c r="V1778">
        <f>IFERROR(INDEX(PP_Grid[#Data],$DE1778,19),0)</f>
        <v/>
      </c>
      <c r="W1778">
        <f>IFERROR(INDEX(PP_Grid[#Data],$DE1778,20),0)</f>
        <v/>
      </c>
      <c r="X1778">
        <f>IFERROR(INDEX(PP_Grid[#Data],$DE1778,21),0)</f>
        <v/>
      </c>
      <c r="Y1778">
        <f>IFERROR(INDEX(PP_Grid[#Data],$DE1778,22),0)</f>
        <v/>
      </c>
      <c r="Z1778">
        <f>IFERROR(INDEX(PP_Grid[#Data],$DE1778,23),0)</f>
        <v/>
      </c>
      <c r="AA1778">
        <f>IFERROR(INDEX(PP_Grid[#Data],$DE1778,24),0)</f>
        <v/>
      </c>
      <c r="AB1778">
        <f>IFERROR(INDEX(PP_Grid[#Data],$DE1778,25),0)</f>
        <v/>
      </c>
      <c r="AC1778">
        <f>IFERROR(INDEX(PP_Grid[#Data],$DE1778,26),0)</f>
        <v/>
      </c>
      <c r="AD1778">
        <f>IFERROR(INDEX(PP_Grid[#Data],$DE1778,27),0)</f>
        <v/>
      </c>
      <c r="AE1778">
        <f>IFERROR(INDEX(PP_Grid[#Data],$DE1778,28),0)</f>
        <v/>
      </c>
      <c r="AF1778">
        <f>IFERROR(INDEX(PP_Grid[#Data],$DE1778,29),0)</f>
        <v/>
      </c>
      <c r="AG1778">
        <f>IFERROR(INDEX(PP_Grid[#Data],$DE1778,30),0)</f>
        <v/>
      </c>
      <c r="AH1778">
        <f>IFERROR(INDEX(PP_Grid[#Data],$DE1778,31),0)</f>
        <v/>
      </c>
      <c r="AI1778">
        <f>IFERROR(INDEX(PP_Grid[#Data],$DE1778,32),0)</f>
        <v/>
      </c>
      <c r="AJ1778">
        <f>IFERROR(INDEX(PP_Grid[#Data],$DE1778,33),0)</f>
        <v/>
      </c>
      <c r="AK1778">
        <f>IFERROR(INDEX(PP_Grid[#Data],$DE1778,34),0)</f>
        <v/>
      </c>
      <c r="AL1778">
        <f>IFERROR(INDEX(PP_Grid[#Data],$DE1778,35),0)</f>
        <v/>
      </c>
      <c r="AM1778">
        <f>IFERROR(INDEX(PP_Grid[#Data],$DE1778,36),0)</f>
        <v/>
      </c>
      <c r="AN1778">
        <f>IFERROR(INDEX(PP_Grid[#Data],$DE1778,37),0)</f>
        <v/>
      </c>
      <c r="AO1778">
        <f>IFERROR(INDEX(PP_Grid[#Data],$DE1778,38),0)</f>
        <v/>
      </c>
      <c r="AP1778">
        <f>IFERROR(INDEX(PP_Grid[#Data],$DE1778,39),0)</f>
        <v/>
      </c>
      <c r="AQ1778">
        <f>IFERROR(INDEX(PP_Grid[#Data],$DE1778,40),0)</f>
        <v/>
      </c>
      <c r="AR1778">
        <f>IFERROR(INDEX(PP_Grid[#Data],$DE1778,41),0)</f>
        <v/>
      </c>
      <c r="AS1778">
        <f>IFERROR(INDEX(PP_Grid[#Data],$DE1778,42),0)</f>
        <v/>
      </c>
      <c r="AT1778">
        <f>IFERROR(INDEX(PP_Grid[#Data],$DE1778,43),0)</f>
        <v/>
      </c>
      <c r="AU1778">
        <f>IFERROR(INDEX(PP_Grid[#Data],$DE1778,44),0)</f>
        <v/>
      </c>
      <c r="AV1778">
        <f>IFERROR(INDEX(PP_Grid[#Data],$DE1778,45),0)</f>
        <v/>
      </c>
      <c r="AW1778">
        <f>IFERROR(INDEX(PP_Grid[#Data],$DE1778,46),0)</f>
        <v/>
      </c>
      <c r="AX1778">
        <f>IFERROR(INDEX(PP_Grid[#Data],$DE1778,47),0)</f>
        <v/>
      </c>
      <c r="AY1778">
        <f>IFERROR(INDEX(PP_Grid[#Data],$DE1778,48),0)</f>
        <v/>
      </c>
      <c r="AZ1778">
        <f>IFERROR(INDEX(PP_Grid[#Data],$DE1778,49),0)</f>
        <v/>
      </c>
      <c r="BA1778">
        <f>IFERROR(INDEX(PP_Grid[#Data],$DE1778,50),0)</f>
        <v/>
      </c>
      <c r="BB1778">
        <f>IFERROR(INDEX(PP_Grid[#Data],$DE1778,51),0)</f>
        <v/>
      </c>
      <c r="BC1778">
        <f>IFERROR(INDEX(PP_Grid[#Data],$DE1778,52),0)</f>
        <v/>
      </c>
      <c r="BD1778">
        <f>IFERROR(INDEX(PP_Grid[#Data],$DE1778,53),0)</f>
        <v/>
      </c>
      <c r="BE1778">
        <f>IFERROR(INDEX(PP_Grid[#Data],$DE1778,54),0)</f>
        <v/>
      </c>
      <c r="BF1778">
        <f>IFERROR(INDEX(PP_Grid[#Data],$DE1778,55),0)</f>
        <v/>
      </c>
      <c r="BG1778">
        <f>IFERROR(INDEX(PP_Grid[#Data],$DE1778,56),0)</f>
        <v/>
      </c>
      <c r="BH1778">
        <f>IFERROR(INDEX(PP_Grid[#Data],$DE1778,57),0)</f>
        <v/>
      </c>
      <c r="BI1778">
        <f>IFERROR(INDEX(PP_Grid[#Data],$DE1778,58),0)</f>
        <v/>
      </c>
      <c r="BJ1778">
        <f>IFERROR(INDEX(PP_Grid[#Data],$DE1778,59),0)</f>
        <v/>
      </c>
      <c r="BK1778">
        <f>IFERROR(INDEX(PP_Grid[#Data],$DE1778,60),0)</f>
        <v/>
      </c>
      <c r="BL1778">
        <f>IFERROR(INDEX(PP_Grid[#Data],$DE1778,61),0)</f>
        <v/>
      </c>
      <c r="BM1778">
        <f>IFERROR(INDEX(PP_Grid[#Data],$DE1778,62),0)</f>
        <v/>
      </c>
      <c r="BN1778">
        <f>IFERROR(INDEX(PP_Grid[#Data],$DE1778,63),0)</f>
        <v/>
      </c>
      <c r="BO1778">
        <f>IFERROR(INDEX(PP_Grid[#Data],$DE1778,64),0)</f>
        <v/>
      </c>
      <c r="BP1778">
        <f>IFERROR(INDEX(PP_Grid[#Data],$DE1778,65),0)</f>
        <v/>
      </c>
      <c r="BQ1778">
        <f>IFERROR(INDEX(PP_Grid[#Data],$DE1778,66),0)</f>
        <v/>
      </c>
      <c r="BR1778">
        <f>IFERROR(INDEX(PP_Grid[#Data],$DE1778,67),0)</f>
        <v/>
      </c>
      <c r="BS1778">
        <f>IFERROR(INDEX(PP_Grid[#Data],$DE1778,68),0)</f>
        <v/>
      </c>
      <c r="BT1778">
        <f>IFERROR(INDEX(PP_Grid[#Data],$DE1778,69),0)</f>
        <v/>
      </c>
      <c r="BU1778">
        <f>IFERROR(INDEX(PP_Grid[#Data],$DE1778,70),0)</f>
        <v/>
      </c>
      <c r="BV1778">
        <f>IFERROR(INDEX(PP_Grid[#Data],$DE1778,71),0)</f>
        <v/>
      </c>
      <c r="BW1778">
        <f>IFERROR(INDEX(PP_Grid[#Data],$DE1778,72),0)</f>
        <v/>
      </c>
      <c r="BX1778">
        <f>IFERROR(INDEX(PP_Grid[#Data],$DE1778,73),0)</f>
        <v/>
      </c>
      <c r="BY1778">
        <f>IFERROR(INDEX(PP_Grid[#Data],$DE1778,74),0)</f>
        <v/>
      </c>
      <c r="BZ1778">
        <f>IFERROR(INDEX(PP_Grid[#Data],$DE1778,75),0)</f>
        <v/>
      </c>
      <c r="CA1778">
        <f>IFERROR(INDEX(PP_Grid[#Data],$DE1778,76),0)</f>
        <v/>
      </c>
      <c r="CB1778">
        <f>IFERROR(INDEX(PP_Grid[#Data],$DE1778,77),0)</f>
        <v/>
      </c>
      <c r="CC1778">
        <f>IFERROR(INDEX(PP_Grid[#Data],$DE1778,78),0)</f>
        <v/>
      </c>
      <c r="CD1778">
        <f>IFERROR(INDEX(PP_Grid[#Data],$DE1778,79),0)</f>
        <v/>
      </c>
      <c r="CE1778">
        <f>IFERROR(INDEX(PP_Grid[#Data],$DE1778,80),0)</f>
        <v/>
      </c>
      <c r="CF1778">
        <f>IFERROR(INDEX(PP_Grid[#Data],$DE1778,81),0)</f>
        <v/>
      </c>
      <c r="CG1778">
        <f>IFERROR(INDEX(PP_Grid[#Data],$DE1778,82),0)</f>
        <v/>
      </c>
      <c r="CH1778">
        <f>IFERROR(INDEX(PP_Grid[#Data],$DE1778,83),0)</f>
        <v/>
      </c>
      <c r="CI1778">
        <f>IFERROR(INDEX(PP_Grid[#Data],$DE1778,84),0)</f>
        <v/>
      </c>
      <c r="CJ1778">
        <f>IFERROR(INDEX(PP_Grid[#Data],$DE1778,85),0)</f>
        <v/>
      </c>
      <c r="CK1778">
        <f>IFERROR(INDEX(PP_Grid[#Data],$DE1778,86),0)</f>
        <v/>
      </c>
      <c r="CL1778">
        <f>IFERROR(INDEX(PP_Grid[#Data],$DE1778,87),0)</f>
        <v/>
      </c>
      <c r="CM1778">
        <f>IFERROR(INDEX(PP_Grid[#Data],$DE1778,88),0)</f>
        <v/>
      </c>
      <c r="CN1778">
        <f>IFERROR(INDEX(PP_Grid[#Data],$DE1778,89),0)</f>
        <v/>
      </c>
      <c r="CO1778">
        <f>IFERROR(INDEX(PP_Grid[#Data],$DE1778,90),0)</f>
        <v/>
      </c>
      <c r="CP1778">
        <f>IFERROR(INDEX(PP_Grid[#Data],$DE1778,91),0)</f>
        <v/>
      </c>
      <c r="CQ1778">
        <f>IFERROR(INDEX(PP_Grid[#Data],$DE1778,92),0)</f>
        <v/>
      </c>
      <c r="CR1778">
        <f>IFERROR(INDEX(PP_Grid[#Data],$DE1778,93),0)</f>
        <v/>
      </c>
      <c r="CS1778">
        <f>IFERROR(INDEX(PP_Grid[#Data],$DE1778,94),0)</f>
        <v/>
      </c>
      <c r="CT1778">
        <f>IFERROR(INDEX(PP_Grid[#Data],$DE1778,95),0)</f>
        <v/>
      </c>
      <c r="CU1778">
        <f>IFERROR(INDEX(PP_Grid[#Data],$DE1778,96),0)</f>
        <v/>
      </c>
      <c r="CV1778">
        <f>IFERROR(INDEX(PP_Grid[#Data],$DE1778,97),0)</f>
        <v/>
      </c>
      <c r="CW1778">
        <f>IFERROR(INDEX(PP_Grid[#Data],$DE1778,98),0)</f>
        <v/>
      </c>
      <c r="CX1778">
        <f>IFERROR(INDEX(PP_Grid[#Data],$DE1778,99),0)</f>
        <v/>
      </c>
      <c r="CY1778">
        <f>IFERROR(INDEX(PP_Grid[#Data],$DE1778,100),0)</f>
        <v/>
      </c>
      <c r="CZ1778">
        <f>IFERROR(INDEX(PP_Grid[#Data],$DE1778,101),0)</f>
        <v/>
      </c>
      <c r="DA1778">
        <f>IFERROR(INDEX(PP_Grid[#Data],$DE1778,102),0)</f>
        <v/>
      </c>
      <c r="DB1778">
        <f>IFERROR(INDEX(PP_Grid[#Data],$DE1778,103),0)</f>
        <v/>
      </c>
      <c r="DC1778">
        <f>IFERROR(INDEX(PP_Grid[#Data],$DE1778,104),0)</f>
        <v/>
      </c>
      <c r="DD1778">
        <f>IFERROR(INDEX(PP_Grid[#Data],$DE1778,105),0)</f>
        <v/>
      </c>
      <c r="DE1778" s="7">
        <f>IFERROR(MATCH($B1778,PP_Grid[Intermediate],0),99999)</f>
        <v/>
      </c>
    </row>
    <row r="1779">
      <c r="B1779" t="inlineStr">
        <is>
          <t>使用量(kg)</t>
        </is>
      </c>
      <c r="C1779">
        <f>SUMIFS(M_BOM[RM_Qty_Per_Batch],M_BOM[Intermediate],$B1778,M_BOM[RM_Code],$A1771)</f>
        <v/>
      </c>
      <c r="D1779">
        <f>IFERROR(INDEX(E1779:DD1779,$F$1),"")</f>
        <v/>
      </c>
      <c r="E1779">
        <f>$C1779*E1778</f>
        <v/>
      </c>
      <c r="F1779">
        <f>$C1779*F1778</f>
        <v/>
      </c>
      <c r="G1779">
        <f>$C1779*G1778</f>
        <v/>
      </c>
      <c r="H1779">
        <f>$C1779*H1778</f>
        <v/>
      </c>
      <c r="I1779">
        <f>$C1779*I1778</f>
        <v/>
      </c>
      <c r="J1779">
        <f>$C1779*J1778</f>
        <v/>
      </c>
      <c r="K1779">
        <f>$C1779*K1778</f>
        <v/>
      </c>
      <c r="L1779">
        <f>$C1779*L1778</f>
        <v/>
      </c>
      <c r="M1779">
        <f>$C1779*M1778</f>
        <v/>
      </c>
      <c r="N1779">
        <f>$C1779*N1778</f>
        <v/>
      </c>
      <c r="O1779">
        <f>$C1779*O1778</f>
        <v/>
      </c>
      <c r="P1779">
        <f>$C1779*P1778</f>
        <v/>
      </c>
      <c r="Q1779">
        <f>$C1779*Q1778</f>
        <v/>
      </c>
      <c r="R1779">
        <f>$C1779*R1778</f>
        <v/>
      </c>
      <c r="S1779">
        <f>$C1779*S1778</f>
        <v/>
      </c>
      <c r="T1779">
        <f>$C1779*T1778</f>
        <v/>
      </c>
      <c r="U1779">
        <f>$C1779*U1778</f>
        <v/>
      </c>
      <c r="V1779">
        <f>$C1779*V1778</f>
        <v/>
      </c>
      <c r="W1779">
        <f>$C1779*W1778</f>
        <v/>
      </c>
      <c r="X1779">
        <f>$C1779*X1778</f>
        <v/>
      </c>
      <c r="Y1779">
        <f>$C1779*Y1778</f>
        <v/>
      </c>
      <c r="Z1779">
        <f>$C1779*Z1778</f>
        <v/>
      </c>
      <c r="AA1779">
        <f>$C1779*AA1778</f>
        <v/>
      </c>
      <c r="AB1779">
        <f>$C1779*AB1778</f>
        <v/>
      </c>
      <c r="AC1779">
        <f>$C1779*AC1778</f>
        <v/>
      </c>
      <c r="AD1779">
        <f>$C1779*AD1778</f>
        <v/>
      </c>
      <c r="AE1779">
        <f>$C1779*AE1778</f>
        <v/>
      </c>
      <c r="AF1779">
        <f>$C1779*AF1778</f>
        <v/>
      </c>
      <c r="AG1779">
        <f>$C1779*AG1778</f>
        <v/>
      </c>
      <c r="AH1779">
        <f>$C1779*AH1778</f>
        <v/>
      </c>
      <c r="AI1779">
        <f>$C1779*AI1778</f>
        <v/>
      </c>
      <c r="AJ1779">
        <f>$C1779*AJ1778</f>
        <v/>
      </c>
      <c r="AK1779">
        <f>$C1779*AK1778</f>
        <v/>
      </c>
      <c r="AL1779">
        <f>$C1779*AL1778</f>
        <v/>
      </c>
      <c r="AM1779">
        <f>$C1779*AM1778</f>
        <v/>
      </c>
      <c r="AN1779">
        <f>$C1779*AN1778</f>
        <v/>
      </c>
      <c r="AO1779">
        <f>$C1779*AO1778</f>
        <v/>
      </c>
      <c r="AP1779">
        <f>$C1779*AP1778</f>
        <v/>
      </c>
      <c r="AQ1779">
        <f>$C1779*AQ1778</f>
        <v/>
      </c>
      <c r="AR1779">
        <f>$C1779*AR1778</f>
        <v/>
      </c>
      <c r="AS1779">
        <f>$C1779*AS1778</f>
        <v/>
      </c>
      <c r="AT1779">
        <f>$C1779*AT1778</f>
        <v/>
      </c>
      <c r="AU1779">
        <f>$C1779*AU1778</f>
        <v/>
      </c>
      <c r="AV1779">
        <f>$C1779*AV1778</f>
        <v/>
      </c>
      <c r="AW1779">
        <f>$C1779*AW1778</f>
        <v/>
      </c>
      <c r="AX1779">
        <f>$C1779*AX1778</f>
        <v/>
      </c>
      <c r="AY1779">
        <f>$C1779*AY1778</f>
        <v/>
      </c>
      <c r="AZ1779">
        <f>$C1779*AZ1778</f>
        <v/>
      </c>
      <c r="BA1779">
        <f>$C1779*BA1778</f>
        <v/>
      </c>
      <c r="BB1779">
        <f>$C1779*BB1778</f>
        <v/>
      </c>
      <c r="BC1779">
        <f>$C1779*BC1778</f>
        <v/>
      </c>
      <c r="BD1779">
        <f>$C1779*BD1778</f>
        <v/>
      </c>
      <c r="BE1779">
        <f>$C1779*BE1778</f>
        <v/>
      </c>
      <c r="BF1779">
        <f>$C1779*BF1778</f>
        <v/>
      </c>
      <c r="BG1779">
        <f>$C1779*BG1778</f>
        <v/>
      </c>
      <c r="BH1779">
        <f>$C1779*BH1778</f>
        <v/>
      </c>
      <c r="BI1779">
        <f>$C1779*BI1778</f>
        <v/>
      </c>
      <c r="BJ1779">
        <f>$C1779*BJ1778</f>
        <v/>
      </c>
      <c r="BK1779">
        <f>$C1779*BK1778</f>
        <v/>
      </c>
      <c r="BL1779">
        <f>$C1779*BL1778</f>
        <v/>
      </c>
      <c r="BM1779">
        <f>$C1779*BM1778</f>
        <v/>
      </c>
      <c r="BN1779">
        <f>$C1779*BN1778</f>
        <v/>
      </c>
      <c r="BO1779">
        <f>$C1779*BO1778</f>
        <v/>
      </c>
      <c r="BP1779">
        <f>$C1779*BP1778</f>
        <v/>
      </c>
      <c r="BQ1779">
        <f>$C1779*BQ1778</f>
        <v/>
      </c>
      <c r="BR1779">
        <f>$C1779*BR1778</f>
        <v/>
      </c>
      <c r="BS1779">
        <f>$C1779*BS1778</f>
        <v/>
      </c>
      <c r="BT1779">
        <f>$C1779*BT1778</f>
        <v/>
      </c>
      <c r="BU1779">
        <f>$C1779*BU1778</f>
        <v/>
      </c>
      <c r="BV1779">
        <f>$C1779*BV1778</f>
        <v/>
      </c>
      <c r="BW1779">
        <f>$C1779*BW1778</f>
        <v/>
      </c>
      <c r="BX1779">
        <f>$C1779*BX1778</f>
        <v/>
      </c>
      <c r="BY1779">
        <f>$C1779*BY1778</f>
        <v/>
      </c>
      <c r="BZ1779">
        <f>$C1779*BZ1778</f>
        <v/>
      </c>
      <c r="CA1779">
        <f>$C1779*CA1778</f>
        <v/>
      </c>
      <c r="CB1779">
        <f>$C1779*CB1778</f>
        <v/>
      </c>
      <c r="CC1779">
        <f>$C1779*CC1778</f>
        <v/>
      </c>
      <c r="CD1779">
        <f>$C1779*CD1778</f>
        <v/>
      </c>
      <c r="CE1779">
        <f>$C1779*CE1778</f>
        <v/>
      </c>
      <c r="CF1779">
        <f>$C1779*CF1778</f>
        <v/>
      </c>
      <c r="CG1779">
        <f>$C1779*CG1778</f>
        <v/>
      </c>
      <c r="CH1779">
        <f>$C1779*CH1778</f>
        <v/>
      </c>
      <c r="CI1779">
        <f>$C1779*CI1778</f>
        <v/>
      </c>
      <c r="CJ1779">
        <f>$C1779*CJ1778</f>
        <v/>
      </c>
      <c r="CK1779">
        <f>$C1779*CK1778</f>
        <v/>
      </c>
      <c r="CL1779">
        <f>$C1779*CL1778</f>
        <v/>
      </c>
      <c r="CM1779">
        <f>$C1779*CM1778</f>
        <v/>
      </c>
      <c r="CN1779">
        <f>$C1779*CN1778</f>
        <v/>
      </c>
      <c r="CO1779">
        <f>$C1779*CO1778</f>
        <v/>
      </c>
      <c r="CP1779">
        <f>$C1779*CP1778</f>
        <v/>
      </c>
      <c r="CQ1779">
        <f>$C1779*CQ1778</f>
        <v/>
      </c>
      <c r="CR1779">
        <f>$C1779*CR1778</f>
        <v/>
      </c>
      <c r="CS1779">
        <f>$C1779*CS1778</f>
        <v/>
      </c>
      <c r="CT1779">
        <f>$C1779*CT1778</f>
        <v/>
      </c>
      <c r="CU1779">
        <f>$C1779*CU1778</f>
        <v/>
      </c>
      <c r="CV1779">
        <f>$C1779*CV1778</f>
        <v/>
      </c>
      <c r="CW1779">
        <f>$C1779*CW1778</f>
        <v/>
      </c>
      <c r="CX1779">
        <f>$C1779*CX1778</f>
        <v/>
      </c>
      <c r="CY1779">
        <f>$C1779*CY1778</f>
        <v/>
      </c>
      <c r="CZ1779">
        <f>$C1779*CZ1778</f>
        <v/>
      </c>
      <c r="DA1779">
        <f>$C1779*DA1778</f>
        <v/>
      </c>
      <c r="DB1779">
        <f>$C1779*DB1778</f>
        <v/>
      </c>
      <c r="DC1779">
        <f>$C1779*DC1778</f>
        <v/>
      </c>
      <c r="DD1779">
        <f>$C1779*DD1778</f>
        <v/>
      </c>
    </row>
    <row r="1780">
      <c r="B1780" t="inlineStr">
        <is>
          <t>TSP-1448</t>
        </is>
      </c>
      <c r="C1780" t="inlineStr">
        <is>
          <t>No. of batches</t>
        </is>
      </c>
      <c r="D1780">
        <f>IFERROR(INDEX(E1780:DD1780,$F$1),"")</f>
        <v/>
      </c>
      <c r="E1780">
        <f>IFERROR(INDEX(PP_Grid[#Data],$DE1780,2),0)</f>
        <v/>
      </c>
      <c r="F1780">
        <f>IFERROR(INDEX(PP_Grid[#Data],$DE1780,3),0)</f>
        <v/>
      </c>
      <c r="G1780">
        <f>IFERROR(INDEX(PP_Grid[#Data],$DE1780,4),0)</f>
        <v/>
      </c>
      <c r="H1780">
        <f>IFERROR(INDEX(PP_Grid[#Data],$DE1780,5),0)</f>
        <v/>
      </c>
      <c r="I1780">
        <f>IFERROR(INDEX(PP_Grid[#Data],$DE1780,6),0)</f>
        <v/>
      </c>
      <c r="J1780">
        <f>IFERROR(INDEX(PP_Grid[#Data],$DE1780,7),0)</f>
        <v/>
      </c>
      <c r="K1780">
        <f>IFERROR(INDEX(PP_Grid[#Data],$DE1780,8),0)</f>
        <v/>
      </c>
      <c r="L1780">
        <f>IFERROR(INDEX(PP_Grid[#Data],$DE1780,9),0)</f>
        <v/>
      </c>
      <c r="M1780">
        <f>IFERROR(INDEX(PP_Grid[#Data],$DE1780,10),0)</f>
        <v/>
      </c>
      <c r="N1780">
        <f>IFERROR(INDEX(PP_Grid[#Data],$DE1780,11),0)</f>
        <v/>
      </c>
      <c r="O1780">
        <f>IFERROR(INDEX(PP_Grid[#Data],$DE1780,12),0)</f>
        <v/>
      </c>
      <c r="P1780">
        <f>IFERROR(INDEX(PP_Grid[#Data],$DE1780,13),0)</f>
        <v/>
      </c>
      <c r="Q1780">
        <f>IFERROR(INDEX(PP_Grid[#Data],$DE1780,14),0)</f>
        <v/>
      </c>
      <c r="R1780">
        <f>IFERROR(INDEX(PP_Grid[#Data],$DE1780,15),0)</f>
        <v/>
      </c>
      <c r="S1780">
        <f>IFERROR(INDEX(PP_Grid[#Data],$DE1780,16),0)</f>
        <v/>
      </c>
      <c r="T1780">
        <f>IFERROR(INDEX(PP_Grid[#Data],$DE1780,17),0)</f>
        <v/>
      </c>
      <c r="U1780">
        <f>IFERROR(INDEX(PP_Grid[#Data],$DE1780,18),0)</f>
        <v/>
      </c>
      <c r="V1780">
        <f>IFERROR(INDEX(PP_Grid[#Data],$DE1780,19),0)</f>
        <v/>
      </c>
      <c r="W1780">
        <f>IFERROR(INDEX(PP_Grid[#Data],$DE1780,20),0)</f>
        <v/>
      </c>
      <c r="X1780">
        <f>IFERROR(INDEX(PP_Grid[#Data],$DE1780,21),0)</f>
        <v/>
      </c>
      <c r="Y1780">
        <f>IFERROR(INDEX(PP_Grid[#Data],$DE1780,22),0)</f>
        <v/>
      </c>
      <c r="Z1780">
        <f>IFERROR(INDEX(PP_Grid[#Data],$DE1780,23),0)</f>
        <v/>
      </c>
      <c r="AA1780">
        <f>IFERROR(INDEX(PP_Grid[#Data],$DE1780,24),0)</f>
        <v/>
      </c>
      <c r="AB1780">
        <f>IFERROR(INDEX(PP_Grid[#Data],$DE1780,25),0)</f>
        <v/>
      </c>
      <c r="AC1780">
        <f>IFERROR(INDEX(PP_Grid[#Data],$DE1780,26),0)</f>
        <v/>
      </c>
      <c r="AD1780">
        <f>IFERROR(INDEX(PP_Grid[#Data],$DE1780,27),0)</f>
        <v/>
      </c>
      <c r="AE1780">
        <f>IFERROR(INDEX(PP_Grid[#Data],$DE1780,28),0)</f>
        <v/>
      </c>
      <c r="AF1780">
        <f>IFERROR(INDEX(PP_Grid[#Data],$DE1780,29),0)</f>
        <v/>
      </c>
      <c r="AG1780">
        <f>IFERROR(INDEX(PP_Grid[#Data],$DE1780,30),0)</f>
        <v/>
      </c>
      <c r="AH1780">
        <f>IFERROR(INDEX(PP_Grid[#Data],$DE1780,31),0)</f>
        <v/>
      </c>
      <c r="AI1780">
        <f>IFERROR(INDEX(PP_Grid[#Data],$DE1780,32),0)</f>
        <v/>
      </c>
      <c r="AJ1780">
        <f>IFERROR(INDEX(PP_Grid[#Data],$DE1780,33),0)</f>
        <v/>
      </c>
      <c r="AK1780">
        <f>IFERROR(INDEX(PP_Grid[#Data],$DE1780,34),0)</f>
        <v/>
      </c>
      <c r="AL1780">
        <f>IFERROR(INDEX(PP_Grid[#Data],$DE1780,35),0)</f>
        <v/>
      </c>
      <c r="AM1780">
        <f>IFERROR(INDEX(PP_Grid[#Data],$DE1780,36),0)</f>
        <v/>
      </c>
      <c r="AN1780">
        <f>IFERROR(INDEX(PP_Grid[#Data],$DE1780,37),0)</f>
        <v/>
      </c>
      <c r="AO1780">
        <f>IFERROR(INDEX(PP_Grid[#Data],$DE1780,38),0)</f>
        <v/>
      </c>
      <c r="AP1780">
        <f>IFERROR(INDEX(PP_Grid[#Data],$DE1780,39),0)</f>
        <v/>
      </c>
      <c r="AQ1780">
        <f>IFERROR(INDEX(PP_Grid[#Data],$DE1780,40),0)</f>
        <v/>
      </c>
      <c r="AR1780">
        <f>IFERROR(INDEX(PP_Grid[#Data],$DE1780,41),0)</f>
        <v/>
      </c>
      <c r="AS1780">
        <f>IFERROR(INDEX(PP_Grid[#Data],$DE1780,42),0)</f>
        <v/>
      </c>
      <c r="AT1780">
        <f>IFERROR(INDEX(PP_Grid[#Data],$DE1780,43),0)</f>
        <v/>
      </c>
      <c r="AU1780">
        <f>IFERROR(INDEX(PP_Grid[#Data],$DE1780,44),0)</f>
        <v/>
      </c>
      <c r="AV1780">
        <f>IFERROR(INDEX(PP_Grid[#Data],$DE1780,45),0)</f>
        <v/>
      </c>
      <c r="AW1780">
        <f>IFERROR(INDEX(PP_Grid[#Data],$DE1780,46),0)</f>
        <v/>
      </c>
      <c r="AX1780">
        <f>IFERROR(INDEX(PP_Grid[#Data],$DE1780,47),0)</f>
        <v/>
      </c>
      <c r="AY1780">
        <f>IFERROR(INDEX(PP_Grid[#Data],$DE1780,48),0)</f>
        <v/>
      </c>
      <c r="AZ1780">
        <f>IFERROR(INDEX(PP_Grid[#Data],$DE1780,49),0)</f>
        <v/>
      </c>
      <c r="BA1780">
        <f>IFERROR(INDEX(PP_Grid[#Data],$DE1780,50),0)</f>
        <v/>
      </c>
      <c r="BB1780">
        <f>IFERROR(INDEX(PP_Grid[#Data],$DE1780,51),0)</f>
        <v/>
      </c>
      <c r="BC1780">
        <f>IFERROR(INDEX(PP_Grid[#Data],$DE1780,52),0)</f>
        <v/>
      </c>
      <c r="BD1780">
        <f>IFERROR(INDEX(PP_Grid[#Data],$DE1780,53),0)</f>
        <v/>
      </c>
      <c r="BE1780">
        <f>IFERROR(INDEX(PP_Grid[#Data],$DE1780,54),0)</f>
        <v/>
      </c>
      <c r="BF1780">
        <f>IFERROR(INDEX(PP_Grid[#Data],$DE1780,55),0)</f>
        <v/>
      </c>
      <c r="BG1780">
        <f>IFERROR(INDEX(PP_Grid[#Data],$DE1780,56),0)</f>
        <v/>
      </c>
      <c r="BH1780">
        <f>IFERROR(INDEX(PP_Grid[#Data],$DE1780,57),0)</f>
        <v/>
      </c>
      <c r="BI1780">
        <f>IFERROR(INDEX(PP_Grid[#Data],$DE1780,58),0)</f>
        <v/>
      </c>
      <c r="BJ1780">
        <f>IFERROR(INDEX(PP_Grid[#Data],$DE1780,59),0)</f>
        <v/>
      </c>
      <c r="BK1780">
        <f>IFERROR(INDEX(PP_Grid[#Data],$DE1780,60),0)</f>
        <v/>
      </c>
      <c r="BL1780">
        <f>IFERROR(INDEX(PP_Grid[#Data],$DE1780,61),0)</f>
        <v/>
      </c>
      <c r="BM1780">
        <f>IFERROR(INDEX(PP_Grid[#Data],$DE1780,62),0)</f>
        <v/>
      </c>
      <c r="BN1780">
        <f>IFERROR(INDEX(PP_Grid[#Data],$DE1780,63),0)</f>
        <v/>
      </c>
      <c r="BO1780">
        <f>IFERROR(INDEX(PP_Grid[#Data],$DE1780,64),0)</f>
        <v/>
      </c>
      <c r="BP1780">
        <f>IFERROR(INDEX(PP_Grid[#Data],$DE1780,65),0)</f>
        <v/>
      </c>
      <c r="BQ1780">
        <f>IFERROR(INDEX(PP_Grid[#Data],$DE1780,66),0)</f>
        <v/>
      </c>
      <c r="BR1780">
        <f>IFERROR(INDEX(PP_Grid[#Data],$DE1780,67),0)</f>
        <v/>
      </c>
      <c r="BS1780">
        <f>IFERROR(INDEX(PP_Grid[#Data],$DE1780,68),0)</f>
        <v/>
      </c>
      <c r="BT1780">
        <f>IFERROR(INDEX(PP_Grid[#Data],$DE1780,69),0)</f>
        <v/>
      </c>
      <c r="BU1780">
        <f>IFERROR(INDEX(PP_Grid[#Data],$DE1780,70),0)</f>
        <v/>
      </c>
      <c r="BV1780">
        <f>IFERROR(INDEX(PP_Grid[#Data],$DE1780,71),0)</f>
        <v/>
      </c>
      <c r="BW1780">
        <f>IFERROR(INDEX(PP_Grid[#Data],$DE1780,72),0)</f>
        <v/>
      </c>
      <c r="BX1780">
        <f>IFERROR(INDEX(PP_Grid[#Data],$DE1780,73),0)</f>
        <v/>
      </c>
      <c r="BY1780">
        <f>IFERROR(INDEX(PP_Grid[#Data],$DE1780,74),0)</f>
        <v/>
      </c>
      <c r="BZ1780">
        <f>IFERROR(INDEX(PP_Grid[#Data],$DE1780,75),0)</f>
        <v/>
      </c>
      <c r="CA1780">
        <f>IFERROR(INDEX(PP_Grid[#Data],$DE1780,76),0)</f>
        <v/>
      </c>
      <c r="CB1780">
        <f>IFERROR(INDEX(PP_Grid[#Data],$DE1780,77),0)</f>
        <v/>
      </c>
      <c r="CC1780">
        <f>IFERROR(INDEX(PP_Grid[#Data],$DE1780,78),0)</f>
        <v/>
      </c>
      <c r="CD1780">
        <f>IFERROR(INDEX(PP_Grid[#Data],$DE1780,79),0)</f>
        <v/>
      </c>
      <c r="CE1780">
        <f>IFERROR(INDEX(PP_Grid[#Data],$DE1780,80),0)</f>
        <v/>
      </c>
      <c r="CF1780">
        <f>IFERROR(INDEX(PP_Grid[#Data],$DE1780,81),0)</f>
        <v/>
      </c>
      <c r="CG1780">
        <f>IFERROR(INDEX(PP_Grid[#Data],$DE1780,82),0)</f>
        <v/>
      </c>
      <c r="CH1780">
        <f>IFERROR(INDEX(PP_Grid[#Data],$DE1780,83),0)</f>
        <v/>
      </c>
      <c r="CI1780">
        <f>IFERROR(INDEX(PP_Grid[#Data],$DE1780,84),0)</f>
        <v/>
      </c>
      <c r="CJ1780">
        <f>IFERROR(INDEX(PP_Grid[#Data],$DE1780,85),0)</f>
        <v/>
      </c>
      <c r="CK1780">
        <f>IFERROR(INDEX(PP_Grid[#Data],$DE1780,86),0)</f>
        <v/>
      </c>
      <c r="CL1780">
        <f>IFERROR(INDEX(PP_Grid[#Data],$DE1780,87),0)</f>
        <v/>
      </c>
      <c r="CM1780">
        <f>IFERROR(INDEX(PP_Grid[#Data],$DE1780,88),0)</f>
        <v/>
      </c>
      <c r="CN1780">
        <f>IFERROR(INDEX(PP_Grid[#Data],$DE1780,89),0)</f>
        <v/>
      </c>
      <c r="CO1780">
        <f>IFERROR(INDEX(PP_Grid[#Data],$DE1780,90),0)</f>
        <v/>
      </c>
      <c r="CP1780">
        <f>IFERROR(INDEX(PP_Grid[#Data],$DE1780,91),0)</f>
        <v/>
      </c>
      <c r="CQ1780">
        <f>IFERROR(INDEX(PP_Grid[#Data],$DE1780,92),0)</f>
        <v/>
      </c>
      <c r="CR1780">
        <f>IFERROR(INDEX(PP_Grid[#Data],$DE1780,93),0)</f>
        <v/>
      </c>
      <c r="CS1780">
        <f>IFERROR(INDEX(PP_Grid[#Data],$DE1780,94),0)</f>
        <v/>
      </c>
      <c r="CT1780">
        <f>IFERROR(INDEX(PP_Grid[#Data],$DE1780,95),0)</f>
        <v/>
      </c>
      <c r="CU1780">
        <f>IFERROR(INDEX(PP_Grid[#Data],$DE1780,96),0)</f>
        <v/>
      </c>
      <c r="CV1780">
        <f>IFERROR(INDEX(PP_Grid[#Data],$DE1780,97),0)</f>
        <v/>
      </c>
      <c r="CW1780">
        <f>IFERROR(INDEX(PP_Grid[#Data],$DE1780,98),0)</f>
        <v/>
      </c>
      <c r="CX1780">
        <f>IFERROR(INDEX(PP_Grid[#Data],$DE1780,99),0)</f>
        <v/>
      </c>
      <c r="CY1780">
        <f>IFERROR(INDEX(PP_Grid[#Data],$DE1780,100),0)</f>
        <v/>
      </c>
      <c r="CZ1780">
        <f>IFERROR(INDEX(PP_Grid[#Data],$DE1780,101),0)</f>
        <v/>
      </c>
      <c r="DA1780">
        <f>IFERROR(INDEX(PP_Grid[#Data],$DE1780,102),0)</f>
        <v/>
      </c>
      <c r="DB1780">
        <f>IFERROR(INDEX(PP_Grid[#Data],$DE1780,103),0)</f>
        <v/>
      </c>
      <c r="DC1780">
        <f>IFERROR(INDEX(PP_Grid[#Data],$DE1780,104),0)</f>
        <v/>
      </c>
      <c r="DD1780">
        <f>IFERROR(INDEX(PP_Grid[#Data],$DE1780,105),0)</f>
        <v/>
      </c>
      <c r="DE1780" s="7">
        <f>IFERROR(MATCH($B1780,PP_Grid[Intermediate],0),99999)</f>
        <v/>
      </c>
    </row>
    <row r="1781">
      <c r="B1781" t="inlineStr">
        <is>
          <t>使用量(kg)</t>
        </is>
      </c>
      <c r="C1781">
        <f>SUMIFS(M_BOM[RM_Qty_Per_Batch],M_BOM[Intermediate],$B1780,M_BOM[RM_Code],$A1771)</f>
        <v/>
      </c>
      <c r="D1781">
        <f>IFERROR(INDEX(E1781:DD1781,$F$1),"")</f>
        <v/>
      </c>
      <c r="E1781">
        <f>$C1781*E1780</f>
        <v/>
      </c>
      <c r="F1781">
        <f>$C1781*F1780</f>
        <v/>
      </c>
      <c r="G1781">
        <f>$C1781*G1780</f>
        <v/>
      </c>
      <c r="H1781">
        <f>$C1781*H1780</f>
        <v/>
      </c>
      <c r="I1781">
        <f>$C1781*I1780</f>
        <v/>
      </c>
      <c r="J1781">
        <f>$C1781*J1780</f>
        <v/>
      </c>
      <c r="K1781">
        <f>$C1781*K1780</f>
        <v/>
      </c>
      <c r="L1781">
        <f>$C1781*L1780</f>
        <v/>
      </c>
      <c r="M1781">
        <f>$C1781*M1780</f>
        <v/>
      </c>
      <c r="N1781">
        <f>$C1781*N1780</f>
        <v/>
      </c>
      <c r="O1781">
        <f>$C1781*O1780</f>
        <v/>
      </c>
      <c r="P1781">
        <f>$C1781*P1780</f>
        <v/>
      </c>
      <c r="Q1781">
        <f>$C1781*Q1780</f>
        <v/>
      </c>
      <c r="R1781">
        <f>$C1781*R1780</f>
        <v/>
      </c>
      <c r="S1781">
        <f>$C1781*S1780</f>
        <v/>
      </c>
      <c r="T1781">
        <f>$C1781*T1780</f>
        <v/>
      </c>
      <c r="U1781">
        <f>$C1781*U1780</f>
        <v/>
      </c>
      <c r="V1781">
        <f>$C1781*V1780</f>
        <v/>
      </c>
      <c r="W1781">
        <f>$C1781*W1780</f>
        <v/>
      </c>
      <c r="X1781">
        <f>$C1781*X1780</f>
        <v/>
      </c>
      <c r="Y1781">
        <f>$C1781*Y1780</f>
        <v/>
      </c>
      <c r="Z1781">
        <f>$C1781*Z1780</f>
        <v/>
      </c>
      <c r="AA1781">
        <f>$C1781*AA1780</f>
        <v/>
      </c>
      <c r="AB1781">
        <f>$C1781*AB1780</f>
        <v/>
      </c>
      <c r="AC1781">
        <f>$C1781*AC1780</f>
        <v/>
      </c>
      <c r="AD1781">
        <f>$C1781*AD1780</f>
        <v/>
      </c>
      <c r="AE1781">
        <f>$C1781*AE1780</f>
        <v/>
      </c>
      <c r="AF1781">
        <f>$C1781*AF1780</f>
        <v/>
      </c>
      <c r="AG1781">
        <f>$C1781*AG1780</f>
        <v/>
      </c>
      <c r="AH1781">
        <f>$C1781*AH1780</f>
        <v/>
      </c>
      <c r="AI1781">
        <f>$C1781*AI1780</f>
        <v/>
      </c>
      <c r="AJ1781">
        <f>$C1781*AJ1780</f>
        <v/>
      </c>
      <c r="AK1781">
        <f>$C1781*AK1780</f>
        <v/>
      </c>
      <c r="AL1781">
        <f>$C1781*AL1780</f>
        <v/>
      </c>
      <c r="AM1781">
        <f>$C1781*AM1780</f>
        <v/>
      </c>
      <c r="AN1781">
        <f>$C1781*AN1780</f>
        <v/>
      </c>
      <c r="AO1781">
        <f>$C1781*AO1780</f>
        <v/>
      </c>
      <c r="AP1781">
        <f>$C1781*AP1780</f>
        <v/>
      </c>
      <c r="AQ1781">
        <f>$C1781*AQ1780</f>
        <v/>
      </c>
      <c r="AR1781">
        <f>$C1781*AR1780</f>
        <v/>
      </c>
      <c r="AS1781">
        <f>$C1781*AS1780</f>
        <v/>
      </c>
      <c r="AT1781">
        <f>$C1781*AT1780</f>
        <v/>
      </c>
      <c r="AU1781">
        <f>$C1781*AU1780</f>
        <v/>
      </c>
      <c r="AV1781">
        <f>$C1781*AV1780</f>
        <v/>
      </c>
      <c r="AW1781">
        <f>$C1781*AW1780</f>
        <v/>
      </c>
      <c r="AX1781">
        <f>$C1781*AX1780</f>
        <v/>
      </c>
      <c r="AY1781">
        <f>$C1781*AY1780</f>
        <v/>
      </c>
      <c r="AZ1781">
        <f>$C1781*AZ1780</f>
        <v/>
      </c>
      <c r="BA1781">
        <f>$C1781*BA1780</f>
        <v/>
      </c>
      <c r="BB1781">
        <f>$C1781*BB1780</f>
        <v/>
      </c>
      <c r="BC1781">
        <f>$C1781*BC1780</f>
        <v/>
      </c>
      <c r="BD1781">
        <f>$C1781*BD1780</f>
        <v/>
      </c>
      <c r="BE1781">
        <f>$C1781*BE1780</f>
        <v/>
      </c>
      <c r="BF1781">
        <f>$C1781*BF1780</f>
        <v/>
      </c>
      <c r="BG1781">
        <f>$C1781*BG1780</f>
        <v/>
      </c>
      <c r="BH1781">
        <f>$C1781*BH1780</f>
        <v/>
      </c>
      <c r="BI1781">
        <f>$C1781*BI1780</f>
        <v/>
      </c>
      <c r="BJ1781">
        <f>$C1781*BJ1780</f>
        <v/>
      </c>
      <c r="BK1781">
        <f>$C1781*BK1780</f>
        <v/>
      </c>
      <c r="BL1781">
        <f>$C1781*BL1780</f>
        <v/>
      </c>
      <c r="BM1781">
        <f>$C1781*BM1780</f>
        <v/>
      </c>
      <c r="BN1781">
        <f>$C1781*BN1780</f>
        <v/>
      </c>
      <c r="BO1781">
        <f>$C1781*BO1780</f>
        <v/>
      </c>
      <c r="BP1781">
        <f>$C1781*BP1780</f>
        <v/>
      </c>
      <c r="BQ1781">
        <f>$C1781*BQ1780</f>
        <v/>
      </c>
      <c r="BR1781">
        <f>$C1781*BR1780</f>
        <v/>
      </c>
      <c r="BS1781">
        <f>$C1781*BS1780</f>
        <v/>
      </c>
      <c r="BT1781">
        <f>$C1781*BT1780</f>
        <v/>
      </c>
      <c r="BU1781">
        <f>$C1781*BU1780</f>
        <v/>
      </c>
      <c r="BV1781">
        <f>$C1781*BV1780</f>
        <v/>
      </c>
      <c r="BW1781">
        <f>$C1781*BW1780</f>
        <v/>
      </c>
      <c r="BX1781">
        <f>$C1781*BX1780</f>
        <v/>
      </c>
      <c r="BY1781">
        <f>$C1781*BY1780</f>
        <v/>
      </c>
      <c r="BZ1781">
        <f>$C1781*BZ1780</f>
        <v/>
      </c>
      <c r="CA1781">
        <f>$C1781*CA1780</f>
        <v/>
      </c>
      <c r="CB1781">
        <f>$C1781*CB1780</f>
        <v/>
      </c>
      <c r="CC1781">
        <f>$C1781*CC1780</f>
        <v/>
      </c>
      <c r="CD1781">
        <f>$C1781*CD1780</f>
        <v/>
      </c>
      <c r="CE1781">
        <f>$C1781*CE1780</f>
        <v/>
      </c>
      <c r="CF1781">
        <f>$C1781*CF1780</f>
        <v/>
      </c>
      <c r="CG1781">
        <f>$C1781*CG1780</f>
        <v/>
      </c>
      <c r="CH1781">
        <f>$C1781*CH1780</f>
        <v/>
      </c>
      <c r="CI1781">
        <f>$C1781*CI1780</f>
        <v/>
      </c>
      <c r="CJ1781">
        <f>$C1781*CJ1780</f>
        <v/>
      </c>
      <c r="CK1781">
        <f>$C1781*CK1780</f>
        <v/>
      </c>
      <c r="CL1781">
        <f>$C1781*CL1780</f>
        <v/>
      </c>
      <c r="CM1781">
        <f>$C1781*CM1780</f>
        <v/>
      </c>
      <c r="CN1781">
        <f>$C1781*CN1780</f>
        <v/>
      </c>
      <c r="CO1781">
        <f>$C1781*CO1780</f>
        <v/>
      </c>
      <c r="CP1781">
        <f>$C1781*CP1780</f>
        <v/>
      </c>
      <c r="CQ1781">
        <f>$C1781*CQ1780</f>
        <v/>
      </c>
      <c r="CR1781">
        <f>$C1781*CR1780</f>
        <v/>
      </c>
      <c r="CS1781">
        <f>$C1781*CS1780</f>
        <v/>
      </c>
      <c r="CT1781">
        <f>$C1781*CT1780</f>
        <v/>
      </c>
      <c r="CU1781">
        <f>$C1781*CU1780</f>
        <v/>
      </c>
      <c r="CV1781">
        <f>$C1781*CV1780</f>
        <v/>
      </c>
      <c r="CW1781">
        <f>$C1781*CW1780</f>
        <v/>
      </c>
      <c r="CX1781">
        <f>$C1781*CX1780</f>
        <v/>
      </c>
      <c r="CY1781">
        <f>$C1781*CY1780</f>
        <v/>
      </c>
      <c r="CZ1781">
        <f>$C1781*CZ1780</f>
        <v/>
      </c>
      <c r="DA1781">
        <f>$C1781*DA1780</f>
        <v/>
      </c>
      <c r="DB1781">
        <f>$C1781*DB1780</f>
        <v/>
      </c>
      <c r="DC1781">
        <f>$C1781*DC1780</f>
        <v/>
      </c>
      <c r="DD1781">
        <f>$C1781*DD1780</f>
        <v/>
      </c>
    </row>
    <row r="1782">
      <c r="B1782" t="inlineStr">
        <is>
          <t>TSP-1449</t>
        </is>
      </c>
      <c r="C1782" t="inlineStr">
        <is>
          <t>No. of batches</t>
        </is>
      </c>
      <c r="D1782">
        <f>IFERROR(INDEX(E1782:DD1782,$F$1),"")</f>
        <v/>
      </c>
      <c r="E1782">
        <f>IFERROR(INDEX(PP_Grid[#Data],$DE1782,2),0)</f>
        <v/>
      </c>
      <c r="F1782">
        <f>IFERROR(INDEX(PP_Grid[#Data],$DE1782,3),0)</f>
        <v/>
      </c>
      <c r="G1782">
        <f>IFERROR(INDEX(PP_Grid[#Data],$DE1782,4),0)</f>
        <v/>
      </c>
      <c r="H1782">
        <f>IFERROR(INDEX(PP_Grid[#Data],$DE1782,5),0)</f>
        <v/>
      </c>
      <c r="I1782">
        <f>IFERROR(INDEX(PP_Grid[#Data],$DE1782,6),0)</f>
        <v/>
      </c>
      <c r="J1782">
        <f>IFERROR(INDEX(PP_Grid[#Data],$DE1782,7),0)</f>
        <v/>
      </c>
      <c r="K1782">
        <f>IFERROR(INDEX(PP_Grid[#Data],$DE1782,8),0)</f>
        <v/>
      </c>
      <c r="L1782">
        <f>IFERROR(INDEX(PP_Grid[#Data],$DE1782,9),0)</f>
        <v/>
      </c>
      <c r="M1782">
        <f>IFERROR(INDEX(PP_Grid[#Data],$DE1782,10),0)</f>
        <v/>
      </c>
      <c r="N1782">
        <f>IFERROR(INDEX(PP_Grid[#Data],$DE1782,11),0)</f>
        <v/>
      </c>
      <c r="O1782">
        <f>IFERROR(INDEX(PP_Grid[#Data],$DE1782,12),0)</f>
        <v/>
      </c>
      <c r="P1782">
        <f>IFERROR(INDEX(PP_Grid[#Data],$DE1782,13),0)</f>
        <v/>
      </c>
      <c r="Q1782">
        <f>IFERROR(INDEX(PP_Grid[#Data],$DE1782,14),0)</f>
        <v/>
      </c>
      <c r="R1782">
        <f>IFERROR(INDEX(PP_Grid[#Data],$DE1782,15),0)</f>
        <v/>
      </c>
      <c r="S1782">
        <f>IFERROR(INDEX(PP_Grid[#Data],$DE1782,16),0)</f>
        <v/>
      </c>
      <c r="T1782">
        <f>IFERROR(INDEX(PP_Grid[#Data],$DE1782,17),0)</f>
        <v/>
      </c>
      <c r="U1782">
        <f>IFERROR(INDEX(PP_Grid[#Data],$DE1782,18),0)</f>
        <v/>
      </c>
      <c r="V1782">
        <f>IFERROR(INDEX(PP_Grid[#Data],$DE1782,19),0)</f>
        <v/>
      </c>
      <c r="W1782">
        <f>IFERROR(INDEX(PP_Grid[#Data],$DE1782,20),0)</f>
        <v/>
      </c>
      <c r="X1782">
        <f>IFERROR(INDEX(PP_Grid[#Data],$DE1782,21),0)</f>
        <v/>
      </c>
      <c r="Y1782">
        <f>IFERROR(INDEX(PP_Grid[#Data],$DE1782,22),0)</f>
        <v/>
      </c>
      <c r="Z1782">
        <f>IFERROR(INDEX(PP_Grid[#Data],$DE1782,23),0)</f>
        <v/>
      </c>
      <c r="AA1782">
        <f>IFERROR(INDEX(PP_Grid[#Data],$DE1782,24),0)</f>
        <v/>
      </c>
      <c r="AB1782">
        <f>IFERROR(INDEX(PP_Grid[#Data],$DE1782,25),0)</f>
        <v/>
      </c>
      <c r="AC1782">
        <f>IFERROR(INDEX(PP_Grid[#Data],$DE1782,26),0)</f>
        <v/>
      </c>
      <c r="AD1782">
        <f>IFERROR(INDEX(PP_Grid[#Data],$DE1782,27),0)</f>
        <v/>
      </c>
      <c r="AE1782">
        <f>IFERROR(INDEX(PP_Grid[#Data],$DE1782,28),0)</f>
        <v/>
      </c>
      <c r="AF1782">
        <f>IFERROR(INDEX(PP_Grid[#Data],$DE1782,29),0)</f>
        <v/>
      </c>
      <c r="AG1782">
        <f>IFERROR(INDEX(PP_Grid[#Data],$DE1782,30),0)</f>
        <v/>
      </c>
      <c r="AH1782">
        <f>IFERROR(INDEX(PP_Grid[#Data],$DE1782,31),0)</f>
        <v/>
      </c>
      <c r="AI1782">
        <f>IFERROR(INDEX(PP_Grid[#Data],$DE1782,32),0)</f>
        <v/>
      </c>
      <c r="AJ1782">
        <f>IFERROR(INDEX(PP_Grid[#Data],$DE1782,33),0)</f>
        <v/>
      </c>
      <c r="AK1782">
        <f>IFERROR(INDEX(PP_Grid[#Data],$DE1782,34),0)</f>
        <v/>
      </c>
      <c r="AL1782">
        <f>IFERROR(INDEX(PP_Grid[#Data],$DE1782,35),0)</f>
        <v/>
      </c>
      <c r="AM1782">
        <f>IFERROR(INDEX(PP_Grid[#Data],$DE1782,36),0)</f>
        <v/>
      </c>
      <c r="AN1782">
        <f>IFERROR(INDEX(PP_Grid[#Data],$DE1782,37),0)</f>
        <v/>
      </c>
      <c r="AO1782">
        <f>IFERROR(INDEX(PP_Grid[#Data],$DE1782,38),0)</f>
        <v/>
      </c>
      <c r="AP1782">
        <f>IFERROR(INDEX(PP_Grid[#Data],$DE1782,39),0)</f>
        <v/>
      </c>
      <c r="AQ1782">
        <f>IFERROR(INDEX(PP_Grid[#Data],$DE1782,40),0)</f>
        <v/>
      </c>
      <c r="AR1782">
        <f>IFERROR(INDEX(PP_Grid[#Data],$DE1782,41),0)</f>
        <v/>
      </c>
      <c r="AS1782">
        <f>IFERROR(INDEX(PP_Grid[#Data],$DE1782,42),0)</f>
        <v/>
      </c>
      <c r="AT1782">
        <f>IFERROR(INDEX(PP_Grid[#Data],$DE1782,43),0)</f>
        <v/>
      </c>
      <c r="AU1782">
        <f>IFERROR(INDEX(PP_Grid[#Data],$DE1782,44),0)</f>
        <v/>
      </c>
      <c r="AV1782">
        <f>IFERROR(INDEX(PP_Grid[#Data],$DE1782,45),0)</f>
        <v/>
      </c>
      <c r="AW1782">
        <f>IFERROR(INDEX(PP_Grid[#Data],$DE1782,46),0)</f>
        <v/>
      </c>
      <c r="AX1782">
        <f>IFERROR(INDEX(PP_Grid[#Data],$DE1782,47),0)</f>
        <v/>
      </c>
      <c r="AY1782">
        <f>IFERROR(INDEX(PP_Grid[#Data],$DE1782,48),0)</f>
        <v/>
      </c>
      <c r="AZ1782">
        <f>IFERROR(INDEX(PP_Grid[#Data],$DE1782,49),0)</f>
        <v/>
      </c>
      <c r="BA1782">
        <f>IFERROR(INDEX(PP_Grid[#Data],$DE1782,50),0)</f>
        <v/>
      </c>
      <c r="BB1782">
        <f>IFERROR(INDEX(PP_Grid[#Data],$DE1782,51),0)</f>
        <v/>
      </c>
      <c r="BC1782">
        <f>IFERROR(INDEX(PP_Grid[#Data],$DE1782,52),0)</f>
        <v/>
      </c>
      <c r="BD1782">
        <f>IFERROR(INDEX(PP_Grid[#Data],$DE1782,53),0)</f>
        <v/>
      </c>
      <c r="BE1782">
        <f>IFERROR(INDEX(PP_Grid[#Data],$DE1782,54),0)</f>
        <v/>
      </c>
      <c r="BF1782">
        <f>IFERROR(INDEX(PP_Grid[#Data],$DE1782,55),0)</f>
        <v/>
      </c>
      <c r="BG1782">
        <f>IFERROR(INDEX(PP_Grid[#Data],$DE1782,56),0)</f>
        <v/>
      </c>
      <c r="BH1782">
        <f>IFERROR(INDEX(PP_Grid[#Data],$DE1782,57),0)</f>
        <v/>
      </c>
      <c r="BI1782">
        <f>IFERROR(INDEX(PP_Grid[#Data],$DE1782,58),0)</f>
        <v/>
      </c>
      <c r="BJ1782">
        <f>IFERROR(INDEX(PP_Grid[#Data],$DE1782,59),0)</f>
        <v/>
      </c>
      <c r="BK1782">
        <f>IFERROR(INDEX(PP_Grid[#Data],$DE1782,60),0)</f>
        <v/>
      </c>
      <c r="BL1782">
        <f>IFERROR(INDEX(PP_Grid[#Data],$DE1782,61),0)</f>
        <v/>
      </c>
      <c r="BM1782">
        <f>IFERROR(INDEX(PP_Grid[#Data],$DE1782,62),0)</f>
        <v/>
      </c>
      <c r="BN1782">
        <f>IFERROR(INDEX(PP_Grid[#Data],$DE1782,63),0)</f>
        <v/>
      </c>
      <c r="BO1782">
        <f>IFERROR(INDEX(PP_Grid[#Data],$DE1782,64),0)</f>
        <v/>
      </c>
      <c r="BP1782">
        <f>IFERROR(INDEX(PP_Grid[#Data],$DE1782,65),0)</f>
        <v/>
      </c>
      <c r="BQ1782">
        <f>IFERROR(INDEX(PP_Grid[#Data],$DE1782,66),0)</f>
        <v/>
      </c>
      <c r="BR1782">
        <f>IFERROR(INDEX(PP_Grid[#Data],$DE1782,67),0)</f>
        <v/>
      </c>
      <c r="BS1782">
        <f>IFERROR(INDEX(PP_Grid[#Data],$DE1782,68),0)</f>
        <v/>
      </c>
      <c r="BT1782">
        <f>IFERROR(INDEX(PP_Grid[#Data],$DE1782,69),0)</f>
        <v/>
      </c>
      <c r="BU1782">
        <f>IFERROR(INDEX(PP_Grid[#Data],$DE1782,70),0)</f>
        <v/>
      </c>
      <c r="BV1782">
        <f>IFERROR(INDEX(PP_Grid[#Data],$DE1782,71),0)</f>
        <v/>
      </c>
      <c r="BW1782">
        <f>IFERROR(INDEX(PP_Grid[#Data],$DE1782,72),0)</f>
        <v/>
      </c>
      <c r="BX1782">
        <f>IFERROR(INDEX(PP_Grid[#Data],$DE1782,73),0)</f>
        <v/>
      </c>
      <c r="BY1782">
        <f>IFERROR(INDEX(PP_Grid[#Data],$DE1782,74),0)</f>
        <v/>
      </c>
      <c r="BZ1782">
        <f>IFERROR(INDEX(PP_Grid[#Data],$DE1782,75),0)</f>
        <v/>
      </c>
      <c r="CA1782">
        <f>IFERROR(INDEX(PP_Grid[#Data],$DE1782,76),0)</f>
        <v/>
      </c>
      <c r="CB1782">
        <f>IFERROR(INDEX(PP_Grid[#Data],$DE1782,77),0)</f>
        <v/>
      </c>
      <c r="CC1782">
        <f>IFERROR(INDEX(PP_Grid[#Data],$DE1782,78),0)</f>
        <v/>
      </c>
      <c r="CD1782">
        <f>IFERROR(INDEX(PP_Grid[#Data],$DE1782,79),0)</f>
        <v/>
      </c>
      <c r="CE1782">
        <f>IFERROR(INDEX(PP_Grid[#Data],$DE1782,80),0)</f>
        <v/>
      </c>
      <c r="CF1782">
        <f>IFERROR(INDEX(PP_Grid[#Data],$DE1782,81),0)</f>
        <v/>
      </c>
      <c r="CG1782">
        <f>IFERROR(INDEX(PP_Grid[#Data],$DE1782,82),0)</f>
        <v/>
      </c>
      <c r="CH1782">
        <f>IFERROR(INDEX(PP_Grid[#Data],$DE1782,83),0)</f>
        <v/>
      </c>
      <c r="CI1782">
        <f>IFERROR(INDEX(PP_Grid[#Data],$DE1782,84),0)</f>
        <v/>
      </c>
      <c r="CJ1782">
        <f>IFERROR(INDEX(PP_Grid[#Data],$DE1782,85),0)</f>
        <v/>
      </c>
      <c r="CK1782">
        <f>IFERROR(INDEX(PP_Grid[#Data],$DE1782,86),0)</f>
        <v/>
      </c>
      <c r="CL1782">
        <f>IFERROR(INDEX(PP_Grid[#Data],$DE1782,87),0)</f>
        <v/>
      </c>
      <c r="CM1782">
        <f>IFERROR(INDEX(PP_Grid[#Data],$DE1782,88),0)</f>
        <v/>
      </c>
      <c r="CN1782">
        <f>IFERROR(INDEX(PP_Grid[#Data],$DE1782,89),0)</f>
        <v/>
      </c>
      <c r="CO1782">
        <f>IFERROR(INDEX(PP_Grid[#Data],$DE1782,90),0)</f>
        <v/>
      </c>
      <c r="CP1782">
        <f>IFERROR(INDEX(PP_Grid[#Data],$DE1782,91),0)</f>
        <v/>
      </c>
      <c r="CQ1782">
        <f>IFERROR(INDEX(PP_Grid[#Data],$DE1782,92),0)</f>
        <v/>
      </c>
      <c r="CR1782">
        <f>IFERROR(INDEX(PP_Grid[#Data],$DE1782,93),0)</f>
        <v/>
      </c>
      <c r="CS1782">
        <f>IFERROR(INDEX(PP_Grid[#Data],$DE1782,94),0)</f>
        <v/>
      </c>
      <c r="CT1782">
        <f>IFERROR(INDEX(PP_Grid[#Data],$DE1782,95),0)</f>
        <v/>
      </c>
      <c r="CU1782">
        <f>IFERROR(INDEX(PP_Grid[#Data],$DE1782,96),0)</f>
        <v/>
      </c>
      <c r="CV1782">
        <f>IFERROR(INDEX(PP_Grid[#Data],$DE1782,97),0)</f>
        <v/>
      </c>
      <c r="CW1782">
        <f>IFERROR(INDEX(PP_Grid[#Data],$DE1782,98),0)</f>
        <v/>
      </c>
      <c r="CX1782">
        <f>IFERROR(INDEX(PP_Grid[#Data],$DE1782,99),0)</f>
        <v/>
      </c>
      <c r="CY1782">
        <f>IFERROR(INDEX(PP_Grid[#Data],$DE1782,100),0)</f>
        <v/>
      </c>
      <c r="CZ1782">
        <f>IFERROR(INDEX(PP_Grid[#Data],$DE1782,101),0)</f>
        <v/>
      </c>
      <c r="DA1782">
        <f>IFERROR(INDEX(PP_Grid[#Data],$DE1782,102),0)</f>
        <v/>
      </c>
      <c r="DB1782">
        <f>IFERROR(INDEX(PP_Grid[#Data],$DE1782,103),0)</f>
        <v/>
      </c>
      <c r="DC1782">
        <f>IFERROR(INDEX(PP_Grid[#Data],$DE1782,104),0)</f>
        <v/>
      </c>
      <c r="DD1782">
        <f>IFERROR(INDEX(PP_Grid[#Data],$DE1782,105),0)</f>
        <v/>
      </c>
      <c r="DE1782" s="7">
        <f>IFERROR(MATCH($B1782,PP_Grid[Intermediate],0),99999)</f>
        <v/>
      </c>
    </row>
    <row r="1783">
      <c r="B1783" t="inlineStr">
        <is>
          <t>使用量(kg)</t>
        </is>
      </c>
      <c r="C1783">
        <f>SUMIFS(M_BOM[RM_Qty_Per_Batch],M_BOM[Intermediate],$B1782,M_BOM[RM_Code],$A1771)</f>
        <v/>
      </c>
      <c r="D1783">
        <f>IFERROR(INDEX(E1783:DD1783,$F$1),"")</f>
        <v/>
      </c>
      <c r="E1783">
        <f>$C1783*E1782</f>
        <v/>
      </c>
      <c r="F1783">
        <f>$C1783*F1782</f>
        <v/>
      </c>
      <c r="G1783">
        <f>$C1783*G1782</f>
        <v/>
      </c>
      <c r="H1783">
        <f>$C1783*H1782</f>
        <v/>
      </c>
      <c r="I1783">
        <f>$C1783*I1782</f>
        <v/>
      </c>
      <c r="J1783">
        <f>$C1783*J1782</f>
        <v/>
      </c>
      <c r="K1783">
        <f>$C1783*K1782</f>
        <v/>
      </c>
      <c r="L1783">
        <f>$C1783*L1782</f>
        <v/>
      </c>
      <c r="M1783">
        <f>$C1783*M1782</f>
        <v/>
      </c>
      <c r="N1783">
        <f>$C1783*N1782</f>
        <v/>
      </c>
      <c r="O1783">
        <f>$C1783*O1782</f>
        <v/>
      </c>
      <c r="P1783">
        <f>$C1783*P1782</f>
        <v/>
      </c>
      <c r="Q1783">
        <f>$C1783*Q1782</f>
        <v/>
      </c>
      <c r="R1783">
        <f>$C1783*R1782</f>
        <v/>
      </c>
      <c r="S1783">
        <f>$C1783*S1782</f>
        <v/>
      </c>
      <c r="T1783">
        <f>$C1783*T1782</f>
        <v/>
      </c>
      <c r="U1783">
        <f>$C1783*U1782</f>
        <v/>
      </c>
      <c r="V1783">
        <f>$C1783*V1782</f>
        <v/>
      </c>
      <c r="W1783">
        <f>$C1783*W1782</f>
        <v/>
      </c>
      <c r="X1783">
        <f>$C1783*X1782</f>
        <v/>
      </c>
      <c r="Y1783">
        <f>$C1783*Y1782</f>
        <v/>
      </c>
      <c r="Z1783">
        <f>$C1783*Z1782</f>
        <v/>
      </c>
      <c r="AA1783">
        <f>$C1783*AA1782</f>
        <v/>
      </c>
      <c r="AB1783">
        <f>$C1783*AB1782</f>
        <v/>
      </c>
      <c r="AC1783">
        <f>$C1783*AC1782</f>
        <v/>
      </c>
      <c r="AD1783">
        <f>$C1783*AD1782</f>
        <v/>
      </c>
      <c r="AE1783">
        <f>$C1783*AE1782</f>
        <v/>
      </c>
      <c r="AF1783">
        <f>$C1783*AF1782</f>
        <v/>
      </c>
      <c r="AG1783">
        <f>$C1783*AG1782</f>
        <v/>
      </c>
      <c r="AH1783">
        <f>$C1783*AH1782</f>
        <v/>
      </c>
      <c r="AI1783">
        <f>$C1783*AI1782</f>
        <v/>
      </c>
      <c r="AJ1783">
        <f>$C1783*AJ1782</f>
        <v/>
      </c>
      <c r="AK1783">
        <f>$C1783*AK1782</f>
        <v/>
      </c>
      <c r="AL1783">
        <f>$C1783*AL1782</f>
        <v/>
      </c>
      <c r="AM1783">
        <f>$C1783*AM1782</f>
        <v/>
      </c>
      <c r="AN1783">
        <f>$C1783*AN1782</f>
        <v/>
      </c>
      <c r="AO1783">
        <f>$C1783*AO1782</f>
        <v/>
      </c>
      <c r="AP1783">
        <f>$C1783*AP1782</f>
        <v/>
      </c>
      <c r="AQ1783">
        <f>$C1783*AQ1782</f>
        <v/>
      </c>
      <c r="AR1783">
        <f>$C1783*AR1782</f>
        <v/>
      </c>
      <c r="AS1783">
        <f>$C1783*AS1782</f>
        <v/>
      </c>
      <c r="AT1783">
        <f>$C1783*AT1782</f>
        <v/>
      </c>
      <c r="AU1783">
        <f>$C1783*AU1782</f>
        <v/>
      </c>
      <c r="AV1783">
        <f>$C1783*AV1782</f>
        <v/>
      </c>
      <c r="AW1783">
        <f>$C1783*AW1782</f>
        <v/>
      </c>
      <c r="AX1783">
        <f>$C1783*AX1782</f>
        <v/>
      </c>
      <c r="AY1783">
        <f>$C1783*AY1782</f>
        <v/>
      </c>
      <c r="AZ1783">
        <f>$C1783*AZ1782</f>
        <v/>
      </c>
      <c r="BA1783">
        <f>$C1783*BA1782</f>
        <v/>
      </c>
      <c r="BB1783">
        <f>$C1783*BB1782</f>
        <v/>
      </c>
      <c r="BC1783">
        <f>$C1783*BC1782</f>
        <v/>
      </c>
      <c r="BD1783">
        <f>$C1783*BD1782</f>
        <v/>
      </c>
      <c r="BE1783">
        <f>$C1783*BE1782</f>
        <v/>
      </c>
      <c r="BF1783">
        <f>$C1783*BF1782</f>
        <v/>
      </c>
      <c r="BG1783">
        <f>$C1783*BG1782</f>
        <v/>
      </c>
      <c r="BH1783">
        <f>$C1783*BH1782</f>
        <v/>
      </c>
      <c r="BI1783">
        <f>$C1783*BI1782</f>
        <v/>
      </c>
      <c r="BJ1783">
        <f>$C1783*BJ1782</f>
        <v/>
      </c>
      <c r="BK1783">
        <f>$C1783*BK1782</f>
        <v/>
      </c>
      <c r="BL1783">
        <f>$C1783*BL1782</f>
        <v/>
      </c>
      <c r="BM1783">
        <f>$C1783*BM1782</f>
        <v/>
      </c>
      <c r="BN1783">
        <f>$C1783*BN1782</f>
        <v/>
      </c>
      <c r="BO1783">
        <f>$C1783*BO1782</f>
        <v/>
      </c>
      <c r="BP1783">
        <f>$C1783*BP1782</f>
        <v/>
      </c>
      <c r="BQ1783">
        <f>$C1783*BQ1782</f>
        <v/>
      </c>
      <c r="BR1783">
        <f>$C1783*BR1782</f>
        <v/>
      </c>
      <c r="BS1783">
        <f>$C1783*BS1782</f>
        <v/>
      </c>
      <c r="BT1783">
        <f>$C1783*BT1782</f>
        <v/>
      </c>
      <c r="BU1783">
        <f>$C1783*BU1782</f>
        <v/>
      </c>
      <c r="BV1783">
        <f>$C1783*BV1782</f>
        <v/>
      </c>
      <c r="BW1783">
        <f>$C1783*BW1782</f>
        <v/>
      </c>
      <c r="BX1783">
        <f>$C1783*BX1782</f>
        <v/>
      </c>
      <c r="BY1783">
        <f>$C1783*BY1782</f>
        <v/>
      </c>
      <c r="BZ1783">
        <f>$C1783*BZ1782</f>
        <v/>
      </c>
      <c r="CA1783">
        <f>$C1783*CA1782</f>
        <v/>
      </c>
      <c r="CB1783">
        <f>$C1783*CB1782</f>
        <v/>
      </c>
      <c r="CC1783">
        <f>$C1783*CC1782</f>
        <v/>
      </c>
      <c r="CD1783">
        <f>$C1783*CD1782</f>
        <v/>
      </c>
      <c r="CE1783">
        <f>$C1783*CE1782</f>
        <v/>
      </c>
      <c r="CF1783">
        <f>$C1783*CF1782</f>
        <v/>
      </c>
      <c r="CG1783">
        <f>$C1783*CG1782</f>
        <v/>
      </c>
      <c r="CH1783">
        <f>$C1783*CH1782</f>
        <v/>
      </c>
      <c r="CI1783">
        <f>$C1783*CI1782</f>
        <v/>
      </c>
      <c r="CJ1783">
        <f>$C1783*CJ1782</f>
        <v/>
      </c>
      <c r="CK1783">
        <f>$C1783*CK1782</f>
        <v/>
      </c>
      <c r="CL1783">
        <f>$C1783*CL1782</f>
        <v/>
      </c>
      <c r="CM1783">
        <f>$C1783*CM1782</f>
        <v/>
      </c>
      <c r="CN1783">
        <f>$C1783*CN1782</f>
        <v/>
      </c>
      <c r="CO1783">
        <f>$C1783*CO1782</f>
        <v/>
      </c>
      <c r="CP1783">
        <f>$C1783*CP1782</f>
        <v/>
      </c>
      <c r="CQ1783">
        <f>$C1783*CQ1782</f>
        <v/>
      </c>
      <c r="CR1783">
        <f>$C1783*CR1782</f>
        <v/>
      </c>
      <c r="CS1783">
        <f>$C1783*CS1782</f>
        <v/>
      </c>
      <c r="CT1783">
        <f>$C1783*CT1782</f>
        <v/>
      </c>
      <c r="CU1783">
        <f>$C1783*CU1782</f>
        <v/>
      </c>
      <c r="CV1783">
        <f>$C1783*CV1782</f>
        <v/>
      </c>
      <c r="CW1783">
        <f>$C1783*CW1782</f>
        <v/>
      </c>
      <c r="CX1783">
        <f>$C1783*CX1782</f>
        <v/>
      </c>
      <c r="CY1783">
        <f>$C1783*CY1782</f>
        <v/>
      </c>
      <c r="CZ1783">
        <f>$C1783*CZ1782</f>
        <v/>
      </c>
      <c r="DA1783">
        <f>$C1783*DA1782</f>
        <v/>
      </c>
      <c r="DB1783">
        <f>$C1783*DB1782</f>
        <v/>
      </c>
      <c r="DC1783">
        <f>$C1783*DC1782</f>
        <v/>
      </c>
      <c r="DD1783">
        <f>$C1783*DD1782</f>
        <v/>
      </c>
    </row>
    <row r="1784">
      <c r="B1784" t="inlineStr">
        <is>
          <t>TSP-1499</t>
        </is>
      </c>
      <c r="C1784" t="inlineStr">
        <is>
          <t>No. of batches</t>
        </is>
      </c>
      <c r="D1784">
        <f>IFERROR(INDEX(E1784:DD1784,$F$1),"")</f>
        <v/>
      </c>
      <c r="E1784">
        <f>IFERROR(INDEX(PP_Grid[#Data],$DE1784,2),0)</f>
        <v/>
      </c>
      <c r="F1784">
        <f>IFERROR(INDEX(PP_Grid[#Data],$DE1784,3),0)</f>
        <v/>
      </c>
      <c r="G1784">
        <f>IFERROR(INDEX(PP_Grid[#Data],$DE1784,4),0)</f>
        <v/>
      </c>
      <c r="H1784">
        <f>IFERROR(INDEX(PP_Grid[#Data],$DE1784,5),0)</f>
        <v/>
      </c>
      <c r="I1784">
        <f>IFERROR(INDEX(PP_Grid[#Data],$DE1784,6),0)</f>
        <v/>
      </c>
      <c r="J1784">
        <f>IFERROR(INDEX(PP_Grid[#Data],$DE1784,7),0)</f>
        <v/>
      </c>
      <c r="K1784">
        <f>IFERROR(INDEX(PP_Grid[#Data],$DE1784,8),0)</f>
        <v/>
      </c>
      <c r="L1784">
        <f>IFERROR(INDEX(PP_Grid[#Data],$DE1784,9),0)</f>
        <v/>
      </c>
      <c r="M1784">
        <f>IFERROR(INDEX(PP_Grid[#Data],$DE1784,10),0)</f>
        <v/>
      </c>
      <c r="N1784">
        <f>IFERROR(INDEX(PP_Grid[#Data],$DE1784,11),0)</f>
        <v/>
      </c>
      <c r="O1784">
        <f>IFERROR(INDEX(PP_Grid[#Data],$DE1784,12),0)</f>
        <v/>
      </c>
      <c r="P1784">
        <f>IFERROR(INDEX(PP_Grid[#Data],$DE1784,13),0)</f>
        <v/>
      </c>
      <c r="Q1784">
        <f>IFERROR(INDEX(PP_Grid[#Data],$DE1784,14),0)</f>
        <v/>
      </c>
      <c r="R1784">
        <f>IFERROR(INDEX(PP_Grid[#Data],$DE1784,15),0)</f>
        <v/>
      </c>
      <c r="S1784">
        <f>IFERROR(INDEX(PP_Grid[#Data],$DE1784,16),0)</f>
        <v/>
      </c>
      <c r="T1784">
        <f>IFERROR(INDEX(PP_Grid[#Data],$DE1784,17),0)</f>
        <v/>
      </c>
      <c r="U1784">
        <f>IFERROR(INDEX(PP_Grid[#Data],$DE1784,18),0)</f>
        <v/>
      </c>
      <c r="V1784">
        <f>IFERROR(INDEX(PP_Grid[#Data],$DE1784,19),0)</f>
        <v/>
      </c>
      <c r="W1784">
        <f>IFERROR(INDEX(PP_Grid[#Data],$DE1784,20),0)</f>
        <v/>
      </c>
      <c r="X1784">
        <f>IFERROR(INDEX(PP_Grid[#Data],$DE1784,21),0)</f>
        <v/>
      </c>
      <c r="Y1784">
        <f>IFERROR(INDEX(PP_Grid[#Data],$DE1784,22),0)</f>
        <v/>
      </c>
      <c r="Z1784">
        <f>IFERROR(INDEX(PP_Grid[#Data],$DE1784,23),0)</f>
        <v/>
      </c>
      <c r="AA1784">
        <f>IFERROR(INDEX(PP_Grid[#Data],$DE1784,24),0)</f>
        <v/>
      </c>
      <c r="AB1784">
        <f>IFERROR(INDEX(PP_Grid[#Data],$DE1784,25),0)</f>
        <v/>
      </c>
      <c r="AC1784">
        <f>IFERROR(INDEX(PP_Grid[#Data],$DE1784,26),0)</f>
        <v/>
      </c>
      <c r="AD1784">
        <f>IFERROR(INDEX(PP_Grid[#Data],$DE1784,27),0)</f>
        <v/>
      </c>
      <c r="AE1784">
        <f>IFERROR(INDEX(PP_Grid[#Data],$DE1784,28),0)</f>
        <v/>
      </c>
      <c r="AF1784">
        <f>IFERROR(INDEX(PP_Grid[#Data],$DE1784,29),0)</f>
        <v/>
      </c>
      <c r="AG1784">
        <f>IFERROR(INDEX(PP_Grid[#Data],$DE1784,30),0)</f>
        <v/>
      </c>
      <c r="AH1784">
        <f>IFERROR(INDEX(PP_Grid[#Data],$DE1784,31),0)</f>
        <v/>
      </c>
      <c r="AI1784">
        <f>IFERROR(INDEX(PP_Grid[#Data],$DE1784,32),0)</f>
        <v/>
      </c>
      <c r="AJ1784">
        <f>IFERROR(INDEX(PP_Grid[#Data],$DE1784,33),0)</f>
        <v/>
      </c>
      <c r="AK1784">
        <f>IFERROR(INDEX(PP_Grid[#Data],$DE1784,34),0)</f>
        <v/>
      </c>
      <c r="AL1784">
        <f>IFERROR(INDEX(PP_Grid[#Data],$DE1784,35),0)</f>
        <v/>
      </c>
      <c r="AM1784">
        <f>IFERROR(INDEX(PP_Grid[#Data],$DE1784,36),0)</f>
        <v/>
      </c>
      <c r="AN1784">
        <f>IFERROR(INDEX(PP_Grid[#Data],$DE1784,37),0)</f>
        <v/>
      </c>
      <c r="AO1784">
        <f>IFERROR(INDEX(PP_Grid[#Data],$DE1784,38),0)</f>
        <v/>
      </c>
      <c r="AP1784">
        <f>IFERROR(INDEX(PP_Grid[#Data],$DE1784,39),0)</f>
        <v/>
      </c>
      <c r="AQ1784">
        <f>IFERROR(INDEX(PP_Grid[#Data],$DE1784,40),0)</f>
        <v/>
      </c>
      <c r="AR1784">
        <f>IFERROR(INDEX(PP_Grid[#Data],$DE1784,41),0)</f>
        <v/>
      </c>
      <c r="AS1784">
        <f>IFERROR(INDEX(PP_Grid[#Data],$DE1784,42),0)</f>
        <v/>
      </c>
      <c r="AT1784">
        <f>IFERROR(INDEX(PP_Grid[#Data],$DE1784,43),0)</f>
        <v/>
      </c>
      <c r="AU1784">
        <f>IFERROR(INDEX(PP_Grid[#Data],$DE1784,44),0)</f>
        <v/>
      </c>
      <c r="AV1784">
        <f>IFERROR(INDEX(PP_Grid[#Data],$DE1784,45),0)</f>
        <v/>
      </c>
      <c r="AW1784">
        <f>IFERROR(INDEX(PP_Grid[#Data],$DE1784,46),0)</f>
        <v/>
      </c>
      <c r="AX1784">
        <f>IFERROR(INDEX(PP_Grid[#Data],$DE1784,47),0)</f>
        <v/>
      </c>
      <c r="AY1784">
        <f>IFERROR(INDEX(PP_Grid[#Data],$DE1784,48),0)</f>
        <v/>
      </c>
      <c r="AZ1784">
        <f>IFERROR(INDEX(PP_Grid[#Data],$DE1784,49),0)</f>
        <v/>
      </c>
      <c r="BA1784">
        <f>IFERROR(INDEX(PP_Grid[#Data],$DE1784,50),0)</f>
        <v/>
      </c>
      <c r="BB1784">
        <f>IFERROR(INDEX(PP_Grid[#Data],$DE1784,51),0)</f>
        <v/>
      </c>
      <c r="BC1784">
        <f>IFERROR(INDEX(PP_Grid[#Data],$DE1784,52),0)</f>
        <v/>
      </c>
      <c r="BD1784">
        <f>IFERROR(INDEX(PP_Grid[#Data],$DE1784,53),0)</f>
        <v/>
      </c>
      <c r="BE1784">
        <f>IFERROR(INDEX(PP_Grid[#Data],$DE1784,54),0)</f>
        <v/>
      </c>
      <c r="BF1784">
        <f>IFERROR(INDEX(PP_Grid[#Data],$DE1784,55),0)</f>
        <v/>
      </c>
      <c r="BG1784">
        <f>IFERROR(INDEX(PP_Grid[#Data],$DE1784,56),0)</f>
        <v/>
      </c>
      <c r="BH1784">
        <f>IFERROR(INDEX(PP_Grid[#Data],$DE1784,57),0)</f>
        <v/>
      </c>
      <c r="BI1784">
        <f>IFERROR(INDEX(PP_Grid[#Data],$DE1784,58),0)</f>
        <v/>
      </c>
      <c r="BJ1784">
        <f>IFERROR(INDEX(PP_Grid[#Data],$DE1784,59),0)</f>
        <v/>
      </c>
      <c r="BK1784">
        <f>IFERROR(INDEX(PP_Grid[#Data],$DE1784,60),0)</f>
        <v/>
      </c>
      <c r="BL1784">
        <f>IFERROR(INDEX(PP_Grid[#Data],$DE1784,61),0)</f>
        <v/>
      </c>
      <c r="BM1784">
        <f>IFERROR(INDEX(PP_Grid[#Data],$DE1784,62),0)</f>
        <v/>
      </c>
      <c r="BN1784">
        <f>IFERROR(INDEX(PP_Grid[#Data],$DE1784,63),0)</f>
        <v/>
      </c>
      <c r="BO1784">
        <f>IFERROR(INDEX(PP_Grid[#Data],$DE1784,64),0)</f>
        <v/>
      </c>
      <c r="BP1784">
        <f>IFERROR(INDEX(PP_Grid[#Data],$DE1784,65),0)</f>
        <v/>
      </c>
      <c r="BQ1784">
        <f>IFERROR(INDEX(PP_Grid[#Data],$DE1784,66),0)</f>
        <v/>
      </c>
      <c r="BR1784">
        <f>IFERROR(INDEX(PP_Grid[#Data],$DE1784,67),0)</f>
        <v/>
      </c>
      <c r="BS1784">
        <f>IFERROR(INDEX(PP_Grid[#Data],$DE1784,68),0)</f>
        <v/>
      </c>
      <c r="BT1784">
        <f>IFERROR(INDEX(PP_Grid[#Data],$DE1784,69),0)</f>
        <v/>
      </c>
      <c r="BU1784">
        <f>IFERROR(INDEX(PP_Grid[#Data],$DE1784,70),0)</f>
        <v/>
      </c>
      <c r="BV1784">
        <f>IFERROR(INDEX(PP_Grid[#Data],$DE1784,71),0)</f>
        <v/>
      </c>
      <c r="BW1784">
        <f>IFERROR(INDEX(PP_Grid[#Data],$DE1784,72),0)</f>
        <v/>
      </c>
      <c r="BX1784">
        <f>IFERROR(INDEX(PP_Grid[#Data],$DE1784,73),0)</f>
        <v/>
      </c>
      <c r="BY1784">
        <f>IFERROR(INDEX(PP_Grid[#Data],$DE1784,74),0)</f>
        <v/>
      </c>
      <c r="BZ1784">
        <f>IFERROR(INDEX(PP_Grid[#Data],$DE1784,75),0)</f>
        <v/>
      </c>
      <c r="CA1784">
        <f>IFERROR(INDEX(PP_Grid[#Data],$DE1784,76),0)</f>
        <v/>
      </c>
      <c r="CB1784">
        <f>IFERROR(INDEX(PP_Grid[#Data],$DE1784,77),0)</f>
        <v/>
      </c>
      <c r="CC1784">
        <f>IFERROR(INDEX(PP_Grid[#Data],$DE1784,78),0)</f>
        <v/>
      </c>
      <c r="CD1784">
        <f>IFERROR(INDEX(PP_Grid[#Data],$DE1784,79),0)</f>
        <v/>
      </c>
      <c r="CE1784">
        <f>IFERROR(INDEX(PP_Grid[#Data],$DE1784,80),0)</f>
        <v/>
      </c>
      <c r="CF1784">
        <f>IFERROR(INDEX(PP_Grid[#Data],$DE1784,81),0)</f>
        <v/>
      </c>
      <c r="CG1784">
        <f>IFERROR(INDEX(PP_Grid[#Data],$DE1784,82),0)</f>
        <v/>
      </c>
      <c r="CH1784">
        <f>IFERROR(INDEX(PP_Grid[#Data],$DE1784,83),0)</f>
        <v/>
      </c>
      <c r="CI1784">
        <f>IFERROR(INDEX(PP_Grid[#Data],$DE1784,84),0)</f>
        <v/>
      </c>
      <c r="CJ1784">
        <f>IFERROR(INDEX(PP_Grid[#Data],$DE1784,85),0)</f>
        <v/>
      </c>
      <c r="CK1784">
        <f>IFERROR(INDEX(PP_Grid[#Data],$DE1784,86),0)</f>
        <v/>
      </c>
      <c r="CL1784">
        <f>IFERROR(INDEX(PP_Grid[#Data],$DE1784,87),0)</f>
        <v/>
      </c>
      <c r="CM1784">
        <f>IFERROR(INDEX(PP_Grid[#Data],$DE1784,88),0)</f>
        <v/>
      </c>
      <c r="CN1784">
        <f>IFERROR(INDEX(PP_Grid[#Data],$DE1784,89),0)</f>
        <v/>
      </c>
      <c r="CO1784">
        <f>IFERROR(INDEX(PP_Grid[#Data],$DE1784,90),0)</f>
        <v/>
      </c>
      <c r="CP1784">
        <f>IFERROR(INDEX(PP_Grid[#Data],$DE1784,91),0)</f>
        <v/>
      </c>
      <c r="CQ1784">
        <f>IFERROR(INDEX(PP_Grid[#Data],$DE1784,92),0)</f>
        <v/>
      </c>
      <c r="CR1784">
        <f>IFERROR(INDEX(PP_Grid[#Data],$DE1784,93),0)</f>
        <v/>
      </c>
      <c r="CS1784">
        <f>IFERROR(INDEX(PP_Grid[#Data],$DE1784,94),0)</f>
        <v/>
      </c>
      <c r="CT1784">
        <f>IFERROR(INDEX(PP_Grid[#Data],$DE1784,95),0)</f>
        <v/>
      </c>
      <c r="CU1784">
        <f>IFERROR(INDEX(PP_Grid[#Data],$DE1784,96),0)</f>
        <v/>
      </c>
      <c r="CV1784">
        <f>IFERROR(INDEX(PP_Grid[#Data],$DE1784,97),0)</f>
        <v/>
      </c>
      <c r="CW1784">
        <f>IFERROR(INDEX(PP_Grid[#Data],$DE1784,98),0)</f>
        <v/>
      </c>
      <c r="CX1784">
        <f>IFERROR(INDEX(PP_Grid[#Data],$DE1784,99),0)</f>
        <v/>
      </c>
      <c r="CY1784">
        <f>IFERROR(INDEX(PP_Grid[#Data],$DE1784,100),0)</f>
        <v/>
      </c>
      <c r="CZ1784">
        <f>IFERROR(INDEX(PP_Grid[#Data],$DE1784,101),0)</f>
        <v/>
      </c>
      <c r="DA1784">
        <f>IFERROR(INDEX(PP_Grid[#Data],$DE1784,102),0)</f>
        <v/>
      </c>
      <c r="DB1784">
        <f>IFERROR(INDEX(PP_Grid[#Data],$DE1784,103),0)</f>
        <v/>
      </c>
      <c r="DC1784">
        <f>IFERROR(INDEX(PP_Grid[#Data],$DE1784,104),0)</f>
        <v/>
      </c>
      <c r="DD1784">
        <f>IFERROR(INDEX(PP_Grid[#Data],$DE1784,105),0)</f>
        <v/>
      </c>
      <c r="DE1784" s="7">
        <f>IFERROR(MATCH($B1784,PP_Grid[Intermediate],0),99999)</f>
        <v/>
      </c>
    </row>
    <row r="1785">
      <c r="B1785" t="inlineStr">
        <is>
          <t>使用量(kg)</t>
        </is>
      </c>
      <c r="C1785">
        <f>SUMIFS(M_BOM[RM_Qty_Per_Batch],M_BOM[Intermediate],$B1784,M_BOM[RM_Code],$A1771)</f>
        <v/>
      </c>
      <c r="D1785">
        <f>IFERROR(INDEX(E1785:DD1785,$F$1),"")</f>
        <v/>
      </c>
      <c r="E1785">
        <f>$C1785*E1784</f>
        <v/>
      </c>
      <c r="F1785">
        <f>$C1785*F1784</f>
        <v/>
      </c>
      <c r="G1785">
        <f>$C1785*G1784</f>
        <v/>
      </c>
      <c r="H1785">
        <f>$C1785*H1784</f>
        <v/>
      </c>
      <c r="I1785">
        <f>$C1785*I1784</f>
        <v/>
      </c>
      <c r="J1785">
        <f>$C1785*J1784</f>
        <v/>
      </c>
      <c r="K1785">
        <f>$C1785*K1784</f>
        <v/>
      </c>
      <c r="L1785">
        <f>$C1785*L1784</f>
        <v/>
      </c>
      <c r="M1785">
        <f>$C1785*M1784</f>
        <v/>
      </c>
      <c r="N1785">
        <f>$C1785*N1784</f>
        <v/>
      </c>
      <c r="O1785">
        <f>$C1785*O1784</f>
        <v/>
      </c>
      <c r="P1785">
        <f>$C1785*P1784</f>
        <v/>
      </c>
      <c r="Q1785">
        <f>$C1785*Q1784</f>
        <v/>
      </c>
      <c r="R1785">
        <f>$C1785*R1784</f>
        <v/>
      </c>
      <c r="S1785">
        <f>$C1785*S1784</f>
        <v/>
      </c>
      <c r="T1785">
        <f>$C1785*T1784</f>
        <v/>
      </c>
      <c r="U1785">
        <f>$C1785*U1784</f>
        <v/>
      </c>
      <c r="V1785">
        <f>$C1785*V1784</f>
        <v/>
      </c>
      <c r="W1785">
        <f>$C1785*W1784</f>
        <v/>
      </c>
      <c r="X1785">
        <f>$C1785*X1784</f>
        <v/>
      </c>
      <c r="Y1785">
        <f>$C1785*Y1784</f>
        <v/>
      </c>
      <c r="Z1785">
        <f>$C1785*Z1784</f>
        <v/>
      </c>
      <c r="AA1785">
        <f>$C1785*AA1784</f>
        <v/>
      </c>
      <c r="AB1785">
        <f>$C1785*AB1784</f>
        <v/>
      </c>
      <c r="AC1785">
        <f>$C1785*AC1784</f>
        <v/>
      </c>
      <c r="AD1785">
        <f>$C1785*AD1784</f>
        <v/>
      </c>
      <c r="AE1785">
        <f>$C1785*AE1784</f>
        <v/>
      </c>
      <c r="AF1785">
        <f>$C1785*AF1784</f>
        <v/>
      </c>
      <c r="AG1785">
        <f>$C1785*AG1784</f>
        <v/>
      </c>
      <c r="AH1785">
        <f>$C1785*AH1784</f>
        <v/>
      </c>
      <c r="AI1785">
        <f>$C1785*AI1784</f>
        <v/>
      </c>
      <c r="AJ1785">
        <f>$C1785*AJ1784</f>
        <v/>
      </c>
      <c r="AK1785">
        <f>$C1785*AK1784</f>
        <v/>
      </c>
      <c r="AL1785">
        <f>$C1785*AL1784</f>
        <v/>
      </c>
      <c r="AM1785">
        <f>$C1785*AM1784</f>
        <v/>
      </c>
      <c r="AN1785">
        <f>$C1785*AN1784</f>
        <v/>
      </c>
      <c r="AO1785">
        <f>$C1785*AO1784</f>
        <v/>
      </c>
      <c r="AP1785">
        <f>$C1785*AP1784</f>
        <v/>
      </c>
      <c r="AQ1785">
        <f>$C1785*AQ1784</f>
        <v/>
      </c>
      <c r="AR1785">
        <f>$C1785*AR1784</f>
        <v/>
      </c>
      <c r="AS1785">
        <f>$C1785*AS1784</f>
        <v/>
      </c>
      <c r="AT1785">
        <f>$C1785*AT1784</f>
        <v/>
      </c>
      <c r="AU1785">
        <f>$C1785*AU1784</f>
        <v/>
      </c>
      <c r="AV1785">
        <f>$C1785*AV1784</f>
        <v/>
      </c>
      <c r="AW1785">
        <f>$C1785*AW1784</f>
        <v/>
      </c>
      <c r="AX1785">
        <f>$C1785*AX1784</f>
        <v/>
      </c>
      <c r="AY1785">
        <f>$C1785*AY1784</f>
        <v/>
      </c>
      <c r="AZ1785">
        <f>$C1785*AZ1784</f>
        <v/>
      </c>
      <c r="BA1785">
        <f>$C1785*BA1784</f>
        <v/>
      </c>
      <c r="BB1785">
        <f>$C1785*BB1784</f>
        <v/>
      </c>
      <c r="BC1785">
        <f>$C1785*BC1784</f>
        <v/>
      </c>
      <c r="BD1785">
        <f>$C1785*BD1784</f>
        <v/>
      </c>
      <c r="BE1785">
        <f>$C1785*BE1784</f>
        <v/>
      </c>
      <c r="BF1785">
        <f>$C1785*BF1784</f>
        <v/>
      </c>
      <c r="BG1785">
        <f>$C1785*BG1784</f>
        <v/>
      </c>
      <c r="BH1785">
        <f>$C1785*BH1784</f>
        <v/>
      </c>
      <c r="BI1785">
        <f>$C1785*BI1784</f>
        <v/>
      </c>
      <c r="BJ1785">
        <f>$C1785*BJ1784</f>
        <v/>
      </c>
      <c r="BK1785">
        <f>$C1785*BK1784</f>
        <v/>
      </c>
      <c r="BL1785">
        <f>$C1785*BL1784</f>
        <v/>
      </c>
      <c r="BM1785">
        <f>$C1785*BM1784</f>
        <v/>
      </c>
      <c r="BN1785">
        <f>$C1785*BN1784</f>
        <v/>
      </c>
      <c r="BO1785">
        <f>$C1785*BO1784</f>
        <v/>
      </c>
      <c r="BP1785">
        <f>$C1785*BP1784</f>
        <v/>
      </c>
      <c r="BQ1785">
        <f>$C1785*BQ1784</f>
        <v/>
      </c>
      <c r="BR1785">
        <f>$C1785*BR1784</f>
        <v/>
      </c>
      <c r="BS1785">
        <f>$C1785*BS1784</f>
        <v/>
      </c>
      <c r="BT1785">
        <f>$C1785*BT1784</f>
        <v/>
      </c>
      <c r="BU1785">
        <f>$C1785*BU1784</f>
        <v/>
      </c>
      <c r="BV1785">
        <f>$C1785*BV1784</f>
        <v/>
      </c>
      <c r="BW1785">
        <f>$C1785*BW1784</f>
        <v/>
      </c>
      <c r="BX1785">
        <f>$C1785*BX1784</f>
        <v/>
      </c>
      <c r="BY1785">
        <f>$C1785*BY1784</f>
        <v/>
      </c>
      <c r="BZ1785">
        <f>$C1785*BZ1784</f>
        <v/>
      </c>
      <c r="CA1785">
        <f>$C1785*CA1784</f>
        <v/>
      </c>
      <c r="CB1785">
        <f>$C1785*CB1784</f>
        <v/>
      </c>
      <c r="CC1785">
        <f>$C1785*CC1784</f>
        <v/>
      </c>
      <c r="CD1785">
        <f>$C1785*CD1784</f>
        <v/>
      </c>
      <c r="CE1785">
        <f>$C1785*CE1784</f>
        <v/>
      </c>
      <c r="CF1785">
        <f>$C1785*CF1784</f>
        <v/>
      </c>
      <c r="CG1785">
        <f>$C1785*CG1784</f>
        <v/>
      </c>
      <c r="CH1785">
        <f>$C1785*CH1784</f>
        <v/>
      </c>
      <c r="CI1785">
        <f>$C1785*CI1784</f>
        <v/>
      </c>
      <c r="CJ1785">
        <f>$C1785*CJ1784</f>
        <v/>
      </c>
      <c r="CK1785">
        <f>$C1785*CK1784</f>
        <v/>
      </c>
      <c r="CL1785">
        <f>$C1785*CL1784</f>
        <v/>
      </c>
      <c r="CM1785">
        <f>$C1785*CM1784</f>
        <v/>
      </c>
      <c r="CN1785">
        <f>$C1785*CN1784</f>
        <v/>
      </c>
      <c r="CO1785">
        <f>$C1785*CO1784</f>
        <v/>
      </c>
      <c r="CP1785">
        <f>$C1785*CP1784</f>
        <v/>
      </c>
      <c r="CQ1785">
        <f>$C1785*CQ1784</f>
        <v/>
      </c>
      <c r="CR1785">
        <f>$C1785*CR1784</f>
        <v/>
      </c>
      <c r="CS1785">
        <f>$C1785*CS1784</f>
        <v/>
      </c>
      <c r="CT1785">
        <f>$C1785*CT1784</f>
        <v/>
      </c>
      <c r="CU1785">
        <f>$C1785*CU1784</f>
        <v/>
      </c>
      <c r="CV1785">
        <f>$C1785*CV1784</f>
        <v/>
      </c>
      <c r="CW1785">
        <f>$C1785*CW1784</f>
        <v/>
      </c>
      <c r="CX1785">
        <f>$C1785*CX1784</f>
        <v/>
      </c>
      <c r="CY1785">
        <f>$C1785*CY1784</f>
        <v/>
      </c>
      <c r="CZ1785">
        <f>$C1785*CZ1784</f>
        <v/>
      </c>
      <c r="DA1785">
        <f>$C1785*DA1784</f>
        <v/>
      </c>
      <c r="DB1785">
        <f>$C1785*DB1784</f>
        <v/>
      </c>
      <c r="DC1785">
        <f>$C1785*DC1784</f>
        <v/>
      </c>
      <c r="DD1785">
        <f>$C1785*DD1784</f>
        <v/>
      </c>
    </row>
    <row r="1786">
      <c r="B1786" t="inlineStr">
        <is>
          <t>TSP-1558</t>
        </is>
      </c>
      <c r="C1786" t="inlineStr">
        <is>
          <t>No. of batches</t>
        </is>
      </c>
      <c r="D1786">
        <f>IFERROR(INDEX(E1786:DD1786,$F$1),"")</f>
        <v/>
      </c>
      <c r="E1786">
        <f>IFERROR(INDEX(PP_Grid[#Data],$DE1786,2),0)</f>
        <v/>
      </c>
      <c r="F1786">
        <f>IFERROR(INDEX(PP_Grid[#Data],$DE1786,3),0)</f>
        <v/>
      </c>
      <c r="G1786">
        <f>IFERROR(INDEX(PP_Grid[#Data],$DE1786,4),0)</f>
        <v/>
      </c>
      <c r="H1786">
        <f>IFERROR(INDEX(PP_Grid[#Data],$DE1786,5),0)</f>
        <v/>
      </c>
      <c r="I1786">
        <f>IFERROR(INDEX(PP_Grid[#Data],$DE1786,6),0)</f>
        <v/>
      </c>
      <c r="J1786">
        <f>IFERROR(INDEX(PP_Grid[#Data],$DE1786,7),0)</f>
        <v/>
      </c>
      <c r="K1786">
        <f>IFERROR(INDEX(PP_Grid[#Data],$DE1786,8),0)</f>
        <v/>
      </c>
      <c r="L1786">
        <f>IFERROR(INDEX(PP_Grid[#Data],$DE1786,9),0)</f>
        <v/>
      </c>
      <c r="M1786">
        <f>IFERROR(INDEX(PP_Grid[#Data],$DE1786,10),0)</f>
        <v/>
      </c>
      <c r="N1786">
        <f>IFERROR(INDEX(PP_Grid[#Data],$DE1786,11),0)</f>
        <v/>
      </c>
      <c r="O1786">
        <f>IFERROR(INDEX(PP_Grid[#Data],$DE1786,12),0)</f>
        <v/>
      </c>
      <c r="P1786">
        <f>IFERROR(INDEX(PP_Grid[#Data],$DE1786,13),0)</f>
        <v/>
      </c>
      <c r="Q1786">
        <f>IFERROR(INDEX(PP_Grid[#Data],$DE1786,14),0)</f>
        <v/>
      </c>
      <c r="R1786">
        <f>IFERROR(INDEX(PP_Grid[#Data],$DE1786,15),0)</f>
        <v/>
      </c>
      <c r="S1786">
        <f>IFERROR(INDEX(PP_Grid[#Data],$DE1786,16),0)</f>
        <v/>
      </c>
      <c r="T1786">
        <f>IFERROR(INDEX(PP_Grid[#Data],$DE1786,17),0)</f>
        <v/>
      </c>
      <c r="U1786">
        <f>IFERROR(INDEX(PP_Grid[#Data],$DE1786,18),0)</f>
        <v/>
      </c>
      <c r="V1786">
        <f>IFERROR(INDEX(PP_Grid[#Data],$DE1786,19),0)</f>
        <v/>
      </c>
      <c r="W1786">
        <f>IFERROR(INDEX(PP_Grid[#Data],$DE1786,20),0)</f>
        <v/>
      </c>
      <c r="X1786">
        <f>IFERROR(INDEX(PP_Grid[#Data],$DE1786,21),0)</f>
        <v/>
      </c>
      <c r="Y1786">
        <f>IFERROR(INDEX(PP_Grid[#Data],$DE1786,22),0)</f>
        <v/>
      </c>
      <c r="Z1786">
        <f>IFERROR(INDEX(PP_Grid[#Data],$DE1786,23),0)</f>
        <v/>
      </c>
      <c r="AA1786">
        <f>IFERROR(INDEX(PP_Grid[#Data],$DE1786,24),0)</f>
        <v/>
      </c>
      <c r="AB1786">
        <f>IFERROR(INDEX(PP_Grid[#Data],$DE1786,25),0)</f>
        <v/>
      </c>
      <c r="AC1786">
        <f>IFERROR(INDEX(PP_Grid[#Data],$DE1786,26),0)</f>
        <v/>
      </c>
      <c r="AD1786">
        <f>IFERROR(INDEX(PP_Grid[#Data],$DE1786,27),0)</f>
        <v/>
      </c>
      <c r="AE1786">
        <f>IFERROR(INDEX(PP_Grid[#Data],$DE1786,28),0)</f>
        <v/>
      </c>
      <c r="AF1786">
        <f>IFERROR(INDEX(PP_Grid[#Data],$DE1786,29),0)</f>
        <v/>
      </c>
      <c r="AG1786">
        <f>IFERROR(INDEX(PP_Grid[#Data],$DE1786,30),0)</f>
        <v/>
      </c>
      <c r="AH1786">
        <f>IFERROR(INDEX(PP_Grid[#Data],$DE1786,31),0)</f>
        <v/>
      </c>
      <c r="AI1786">
        <f>IFERROR(INDEX(PP_Grid[#Data],$DE1786,32),0)</f>
        <v/>
      </c>
      <c r="AJ1786">
        <f>IFERROR(INDEX(PP_Grid[#Data],$DE1786,33),0)</f>
        <v/>
      </c>
      <c r="AK1786">
        <f>IFERROR(INDEX(PP_Grid[#Data],$DE1786,34),0)</f>
        <v/>
      </c>
      <c r="AL1786">
        <f>IFERROR(INDEX(PP_Grid[#Data],$DE1786,35),0)</f>
        <v/>
      </c>
      <c r="AM1786">
        <f>IFERROR(INDEX(PP_Grid[#Data],$DE1786,36),0)</f>
        <v/>
      </c>
      <c r="AN1786">
        <f>IFERROR(INDEX(PP_Grid[#Data],$DE1786,37),0)</f>
        <v/>
      </c>
      <c r="AO1786">
        <f>IFERROR(INDEX(PP_Grid[#Data],$DE1786,38),0)</f>
        <v/>
      </c>
      <c r="AP1786">
        <f>IFERROR(INDEX(PP_Grid[#Data],$DE1786,39),0)</f>
        <v/>
      </c>
      <c r="AQ1786">
        <f>IFERROR(INDEX(PP_Grid[#Data],$DE1786,40),0)</f>
        <v/>
      </c>
      <c r="AR1786">
        <f>IFERROR(INDEX(PP_Grid[#Data],$DE1786,41),0)</f>
        <v/>
      </c>
      <c r="AS1786">
        <f>IFERROR(INDEX(PP_Grid[#Data],$DE1786,42),0)</f>
        <v/>
      </c>
      <c r="AT1786">
        <f>IFERROR(INDEX(PP_Grid[#Data],$DE1786,43),0)</f>
        <v/>
      </c>
      <c r="AU1786">
        <f>IFERROR(INDEX(PP_Grid[#Data],$DE1786,44),0)</f>
        <v/>
      </c>
      <c r="AV1786">
        <f>IFERROR(INDEX(PP_Grid[#Data],$DE1786,45),0)</f>
        <v/>
      </c>
      <c r="AW1786">
        <f>IFERROR(INDEX(PP_Grid[#Data],$DE1786,46),0)</f>
        <v/>
      </c>
      <c r="AX1786">
        <f>IFERROR(INDEX(PP_Grid[#Data],$DE1786,47),0)</f>
        <v/>
      </c>
      <c r="AY1786">
        <f>IFERROR(INDEX(PP_Grid[#Data],$DE1786,48),0)</f>
        <v/>
      </c>
      <c r="AZ1786">
        <f>IFERROR(INDEX(PP_Grid[#Data],$DE1786,49),0)</f>
        <v/>
      </c>
      <c r="BA1786">
        <f>IFERROR(INDEX(PP_Grid[#Data],$DE1786,50),0)</f>
        <v/>
      </c>
      <c r="BB1786">
        <f>IFERROR(INDEX(PP_Grid[#Data],$DE1786,51),0)</f>
        <v/>
      </c>
      <c r="BC1786">
        <f>IFERROR(INDEX(PP_Grid[#Data],$DE1786,52),0)</f>
        <v/>
      </c>
      <c r="BD1786">
        <f>IFERROR(INDEX(PP_Grid[#Data],$DE1786,53),0)</f>
        <v/>
      </c>
      <c r="BE1786">
        <f>IFERROR(INDEX(PP_Grid[#Data],$DE1786,54),0)</f>
        <v/>
      </c>
      <c r="BF1786">
        <f>IFERROR(INDEX(PP_Grid[#Data],$DE1786,55),0)</f>
        <v/>
      </c>
      <c r="BG1786">
        <f>IFERROR(INDEX(PP_Grid[#Data],$DE1786,56),0)</f>
        <v/>
      </c>
      <c r="BH1786">
        <f>IFERROR(INDEX(PP_Grid[#Data],$DE1786,57),0)</f>
        <v/>
      </c>
      <c r="BI1786">
        <f>IFERROR(INDEX(PP_Grid[#Data],$DE1786,58),0)</f>
        <v/>
      </c>
      <c r="BJ1786">
        <f>IFERROR(INDEX(PP_Grid[#Data],$DE1786,59),0)</f>
        <v/>
      </c>
      <c r="BK1786">
        <f>IFERROR(INDEX(PP_Grid[#Data],$DE1786,60),0)</f>
        <v/>
      </c>
      <c r="BL1786">
        <f>IFERROR(INDEX(PP_Grid[#Data],$DE1786,61),0)</f>
        <v/>
      </c>
      <c r="BM1786">
        <f>IFERROR(INDEX(PP_Grid[#Data],$DE1786,62),0)</f>
        <v/>
      </c>
      <c r="BN1786">
        <f>IFERROR(INDEX(PP_Grid[#Data],$DE1786,63),0)</f>
        <v/>
      </c>
      <c r="BO1786">
        <f>IFERROR(INDEX(PP_Grid[#Data],$DE1786,64),0)</f>
        <v/>
      </c>
      <c r="BP1786">
        <f>IFERROR(INDEX(PP_Grid[#Data],$DE1786,65),0)</f>
        <v/>
      </c>
      <c r="BQ1786">
        <f>IFERROR(INDEX(PP_Grid[#Data],$DE1786,66),0)</f>
        <v/>
      </c>
      <c r="BR1786">
        <f>IFERROR(INDEX(PP_Grid[#Data],$DE1786,67),0)</f>
        <v/>
      </c>
      <c r="BS1786">
        <f>IFERROR(INDEX(PP_Grid[#Data],$DE1786,68),0)</f>
        <v/>
      </c>
      <c r="BT1786">
        <f>IFERROR(INDEX(PP_Grid[#Data],$DE1786,69),0)</f>
        <v/>
      </c>
      <c r="BU1786">
        <f>IFERROR(INDEX(PP_Grid[#Data],$DE1786,70),0)</f>
        <v/>
      </c>
      <c r="BV1786">
        <f>IFERROR(INDEX(PP_Grid[#Data],$DE1786,71),0)</f>
        <v/>
      </c>
      <c r="BW1786">
        <f>IFERROR(INDEX(PP_Grid[#Data],$DE1786,72),0)</f>
        <v/>
      </c>
      <c r="BX1786">
        <f>IFERROR(INDEX(PP_Grid[#Data],$DE1786,73),0)</f>
        <v/>
      </c>
      <c r="BY1786">
        <f>IFERROR(INDEX(PP_Grid[#Data],$DE1786,74),0)</f>
        <v/>
      </c>
      <c r="BZ1786">
        <f>IFERROR(INDEX(PP_Grid[#Data],$DE1786,75),0)</f>
        <v/>
      </c>
      <c r="CA1786">
        <f>IFERROR(INDEX(PP_Grid[#Data],$DE1786,76),0)</f>
        <v/>
      </c>
      <c r="CB1786">
        <f>IFERROR(INDEX(PP_Grid[#Data],$DE1786,77),0)</f>
        <v/>
      </c>
      <c r="CC1786">
        <f>IFERROR(INDEX(PP_Grid[#Data],$DE1786,78),0)</f>
        <v/>
      </c>
      <c r="CD1786">
        <f>IFERROR(INDEX(PP_Grid[#Data],$DE1786,79),0)</f>
        <v/>
      </c>
      <c r="CE1786">
        <f>IFERROR(INDEX(PP_Grid[#Data],$DE1786,80),0)</f>
        <v/>
      </c>
      <c r="CF1786">
        <f>IFERROR(INDEX(PP_Grid[#Data],$DE1786,81),0)</f>
        <v/>
      </c>
      <c r="CG1786">
        <f>IFERROR(INDEX(PP_Grid[#Data],$DE1786,82),0)</f>
        <v/>
      </c>
      <c r="CH1786">
        <f>IFERROR(INDEX(PP_Grid[#Data],$DE1786,83),0)</f>
        <v/>
      </c>
      <c r="CI1786">
        <f>IFERROR(INDEX(PP_Grid[#Data],$DE1786,84),0)</f>
        <v/>
      </c>
      <c r="CJ1786">
        <f>IFERROR(INDEX(PP_Grid[#Data],$DE1786,85),0)</f>
        <v/>
      </c>
      <c r="CK1786">
        <f>IFERROR(INDEX(PP_Grid[#Data],$DE1786,86),0)</f>
        <v/>
      </c>
      <c r="CL1786">
        <f>IFERROR(INDEX(PP_Grid[#Data],$DE1786,87),0)</f>
        <v/>
      </c>
      <c r="CM1786">
        <f>IFERROR(INDEX(PP_Grid[#Data],$DE1786,88),0)</f>
        <v/>
      </c>
      <c r="CN1786">
        <f>IFERROR(INDEX(PP_Grid[#Data],$DE1786,89),0)</f>
        <v/>
      </c>
      <c r="CO1786">
        <f>IFERROR(INDEX(PP_Grid[#Data],$DE1786,90),0)</f>
        <v/>
      </c>
      <c r="CP1786">
        <f>IFERROR(INDEX(PP_Grid[#Data],$DE1786,91),0)</f>
        <v/>
      </c>
      <c r="CQ1786">
        <f>IFERROR(INDEX(PP_Grid[#Data],$DE1786,92),0)</f>
        <v/>
      </c>
      <c r="CR1786">
        <f>IFERROR(INDEX(PP_Grid[#Data],$DE1786,93),0)</f>
        <v/>
      </c>
      <c r="CS1786">
        <f>IFERROR(INDEX(PP_Grid[#Data],$DE1786,94),0)</f>
        <v/>
      </c>
      <c r="CT1786">
        <f>IFERROR(INDEX(PP_Grid[#Data],$DE1786,95),0)</f>
        <v/>
      </c>
      <c r="CU1786">
        <f>IFERROR(INDEX(PP_Grid[#Data],$DE1786,96),0)</f>
        <v/>
      </c>
      <c r="CV1786">
        <f>IFERROR(INDEX(PP_Grid[#Data],$DE1786,97),0)</f>
        <v/>
      </c>
      <c r="CW1786">
        <f>IFERROR(INDEX(PP_Grid[#Data],$DE1786,98),0)</f>
        <v/>
      </c>
      <c r="CX1786">
        <f>IFERROR(INDEX(PP_Grid[#Data],$DE1786,99),0)</f>
        <v/>
      </c>
      <c r="CY1786">
        <f>IFERROR(INDEX(PP_Grid[#Data],$DE1786,100),0)</f>
        <v/>
      </c>
      <c r="CZ1786">
        <f>IFERROR(INDEX(PP_Grid[#Data],$DE1786,101),0)</f>
        <v/>
      </c>
      <c r="DA1786">
        <f>IFERROR(INDEX(PP_Grid[#Data],$DE1786,102),0)</f>
        <v/>
      </c>
      <c r="DB1786">
        <f>IFERROR(INDEX(PP_Grid[#Data],$DE1786,103),0)</f>
        <v/>
      </c>
      <c r="DC1786">
        <f>IFERROR(INDEX(PP_Grid[#Data],$DE1786,104),0)</f>
        <v/>
      </c>
      <c r="DD1786">
        <f>IFERROR(INDEX(PP_Grid[#Data],$DE1786,105),0)</f>
        <v/>
      </c>
      <c r="DE1786" s="7">
        <f>IFERROR(MATCH($B1786,PP_Grid[Intermediate],0),99999)</f>
        <v/>
      </c>
    </row>
    <row r="1787">
      <c r="B1787" t="inlineStr">
        <is>
          <t>使用量(kg)</t>
        </is>
      </c>
      <c r="C1787">
        <f>SUMIFS(M_BOM[RM_Qty_Per_Batch],M_BOM[Intermediate],$B1786,M_BOM[RM_Code],$A1771)</f>
        <v/>
      </c>
      <c r="D1787">
        <f>IFERROR(INDEX(E1787:DD1787,$F$1),"")</f>
        <v/>
      </c>
      <c r="E1787">
        <f>$C1787*E1786</f>
        <v/>
      </c>
      <c r="F1787">
        <f>$C1787*F1786</f>
        <v/>
      </c>
      <c r="G1787">
        <f>$C1787*G1786</f>
        <v/>
      </c>
      <c r="H1787">
        <f>$C1787*H1786</f>
        <v/>
      </c>
      <c r="I1787">
        <f>$C1787*I1786</f>
        <v/>
      </c>
      <c r="J1787">
        <f>$C1787*J1786</f>
        <v/>
      </c>
      <c r="K1787">
        <f>$C1787*K1786</f>
        <v/>
      </c>
      <c r="L1787">
        <f>$C1787*L1786</f>
        <v/>
      </c>
      <c r="M1787">
        <f>$C1787*M1786</f>
        <v/>
      </c>
      <c r="N1787">
        <f>$C1787*N1786</f>
        <v/>
      </c>
      <c r="O1787">
        <f>$C1787*O1786</f>
        <v/>
      </c>
      <c r="P1787">
        <f>$C1787*P1786</f>
        <v/>
      </c>
      <c r="Q1787">
        <f>$C1787*Q1786</f>
        <v/>
      </c>
      <c r="R1787">
        <f>$C1787*R1786</f>
        <v/>
      </c>
      <c r="S1787">
        <f>$C1787*S1786</f>
        <v/>
      </c>
      <c r="T1787">
        <f>$C1787*T1786</f>
        <v/>
      </c>
      <c r="U1787">
        <f>$C1787*U1786</f>
        <v/>
      </c>
      <c r="V1787">
        <f>$C1787*V1786</f>
        <v/>
      </c>
      <c r="W1787">
        <f>$C1787*W1786</f>
        <v/>
      </c>
      <c r="X1787">
        <f>$C1787*X1786</f>
        <v/>
      </c>
      <c r="Y1787">
        <f>$C1787*Y1786</f>
        <v/>
      </c>
      <c r="Z1787">
        <f>$C1787*Z1786</f>
        <v/>
      </c>
      <c r="AA1787">
        <f>$C1787*AA1786</f>
        <v/>
      </c>
      <c r="AB1787">
        <f>$C1787*AB1786</f>
        <v/>
      </c>
      <c r="AC1787">
        <f>$C1787*AC1786</f>
        <v/>
      </c>
      <c r="AD1787">
        <f>$C1787*AD1786</f>
        <v/>
      </c>
      <c r="AE1787">
        <f>$C1787*AE1786</f>
        <v/>
      </c>
      <c r="AF1787">
        <f>$C1787*AF1786</f>
        <v/>
      </c>
      <c r="AG1787">
        <f>$C1787*AG1786</f>
        <v/>
      </c>
      <c r="AH1787">
        <f>$C1787*AH1786</f>
        <v/>
      </c>
      <c r="AI1787">
        <f>$C1787*AI1786</f>
        <v/>
      </c>
      <c r="AJ1787">
        <f>$C1787*AJ1786</f>
        <v/>
      </c>
      <c r="AK1787">
        <f>$C1787*AK1786</f>
        <v/>
      </c>
      <c r="AL1787">
        <f>$C1787*AL1786</f>
        <v/>
      </c>
      <c r="AM1787">
        <f>$C1787*AM1786</f>
        <v/>
      </c>
      <c r="AN1787">
        <f>$C1787*AN1786</f>
        <v/>
      </c>
      <c r="AO1787">
        <f>$C1787*AO1786</f>
        <v/>
      </c>
      <c r="AP1787">
        <f>$C1787*AP1786</f>
        <v/>
      </c>
      <c r="AQ1787">
        <f>$C1787*AQ1786</f>
        <v/>
      </c>
      <c r="AR1787">
        <f>$C1787*AR1786</f>
        <v/>
      </c>
      <c r="AS1787">
        <f>$C1787*AS1786</f>
        <v/>
      </c>
      <c r="AT1787">
        <f>$C1787*AT1786</f>
        <v/>
      </c>
      <c r="AU1787">
        <f>$C1787*AU1786</f>
        <v/>
      </c>
      <c r="AV1787">
        <f>$C1787*AV1786</f>
        <v/>
      </c>
      <c r="AW1787">
        <f>$C1787*AW1786</f>
        <v/>
      </c>
      <c r="AX1787">
        <f>$C1787*AX1786</f>
        <v/>
      </c>
      <c r="AY1787">
        <f>$C1787*AY1786</f>
        <v/>
      </c>
      <c r="AZ1787">
        <f>$C1787*AZ1786</f>
        <v/>
      </c>
      <c r="BA1787">
        <f>$C1787*BA1786</f>
        <v/>
      </c>
      <c r="BB1787">
        <f>$C1787*BB1786</f>
        <v/>
      </c>
      <c r="BC1787">
        <f>$C1787*BC1786</f>
        <v/>
      </c>
      <c r="BD1787">
        <f>$C1787*BD1786</f>
        <v/>
      </c>
      <c r="BE1787">
        <f>$C1787*BE1786</f>
        <v/>
      </c>
      <c r="BF1787">
        <f>$C1787*BF1786</f>
        <v/>
      </c>
      <c r="BG1787">
        <f>$C1787*BG1786</f>
        <v/>
      </c>
      <c r="BH1787">
        <f>$C1787*BH1786</f>
        <v/>
      </c>
      <c r="BI1787">
        <f>$C1787*BI1786</f>
        <v/>
      </c>
      <c r="BJ1787">
        <f>$C1787*BJ1786</f>
        <v/>
      </c>
      <c r="BK1787">
        <f>$C1787*BK1786</f>
        <v/>
      </c>
      <c r="BL1787">
        <f>$C1787*BL1786</f>
        <v/>
      </c>
      <c r="BM1787">
        <f>$C1787*BM1786</f>
        <v/>
      </c>
      <c r="BN1787">
        <f>$C1787*BN1786</f>
        <v/>
      </c>
      <c r="BO1787">
        <f>$C1787*BO1786</f>
        <v/>
      </c>
      <c r="BP1787">
        <f>$C1787*BP1786</f>
        <v/>
      </c>
      <c r="BQ1787">
        <f>$C1787*BQ1786</f>
        <v/>
      </c>
      <c r="BR1787">
        <f>$C1787*BR1786</f>
        <v/>
      </c>
      <c r="BS1787">
        <f>$C1787*BS1786</f>
        <v/>
      </c>
      <c r="BT1787">
        <f>$C1787*BT1786</f>
        <v/>
      </c>
      <c r="BU1787">
        <f>$C1787*BU1786</f>
        <v/>
      </c>
      <c r="BV1787">
        <f>$C1787*BV1786</f>
        <v/>
      </c>
      <c r="BW1787">
        <f>$C1787*BW1786</f>
        <v/>
      </c>
      <c r="BX1787">
        <f>$C1787*BX1786</f>
        <v/>
      </c>
      <c r="BY1787">
        <f>$C1787*BY1786</f>
        <v/>
      </c>
      <c r="BZ1787">
        <f>$C1787*BZ1786</f>
        <v/>
      </c>
      <c r="CA1787">
        <f>$C1787*CA1786</f>
        <v/>
      </c>
      <c r="CB1787">
        <f>$C1787*CB1786</f>
        <v/>
      </c>
      <c r="CC1787">
        <f>$C1787*CC1786</f>
        <v/>
      </c>
      <c r="CD1787">
        <f>$C1787*CD1786</f>
        <v/>
      </c>
      <c r="CE1787">
        <f>$C1787*CE1786</f>
        <v/>
      </c>
      <c r="CF1787">
        <f>$C1787*CF1786</f>
        <v/>
      </c>
      <c r="CG1787">
        <f>$C1787*CG1786</f>
        <v/>
      </c>
      <c r="CH1787">
        <f>$C1787*CH1786</f>
        <v/>
      </c>
      <c r="CI1787">
        <f>$C1787*CI1786</f>
        <v/>
      </c>
      <c r="CJ1787">
        <f>$C1787*CJ1786</f>
        <v/>
      </c>
      <c r="CK1787">
        <f>$C1787*CK1786</f>
        <v/>
      </c>
      <c r="CL1787">
        <f>$C1787*CL1786</f>
        <v/>
      </c>
      <c r="CM1787">
        <f>$C1787*CM1786</f>
        <v/>
      </c>
      <c r="CN1787">
        <f>$C1787*CN1786</f>
        <v/>
      </c>
      <c r="CO1787">
        <f>$C1787*CO1786</f>
        <v/>
      </c>
      <c r="CP1787">
        <f>$C1787*CP1786</f>
        <v/>
      </c>
      <c r="CQ1787">
        <f>$C1787*CQ1786</f>
        <v/>
      </c>
      <c r="CR1787">
        <f>$C1787*CR1786</f>
        <v/>
      </c>
      <c r="CS1787">
        <f>$C1787*CS1786</f>
        <v/>
      </c>
      <c r="CT1787">
        <f>$C1787*CT1786</f>
        <v/>
      </c>
      <c r="CU1787">
        <f>$C1787*CU1786</f>
        <v/>
      </c>
      <c r="CV1787">
        <f>$C1787*CV1786</f>
        <v/>
      </c>
      <c r="CW1787">
        <f>$C1787*CW1786</f>
        <v/>
      </c>
      <c r="CX1787">
        <f>$C1787*CX1786</f>
        <v/>
      </c>
      <c r="CY1787">
        <f>$C1787*CY1786</f>
        <v/>
      </c>
      <c r="CZ1787">
        <f>$C1787*CZ1786</f>
        <v/>
      </c>
      <c r="DA1787">
        <f>$C1787*DA1786</f>
        <v/>
      </c>
      <c r="DB1787">
        <f>$C1787*DB1786</f>
        <v/>
      </c>
      <c r="DC1787">
        <f>$C1787*DC1786</f>
        <v/>
      </c>
      <c r="DD1787">
        <f>$C1787*DD1786</f>
        <v/>
      </c>
    </row>
    <row r="1788">
      <c r="B1788" t="inlineStr">
        <is>
          <t>TSP-655</t>
        </is>
      </c>
      <c r="C1788" t="inlineStr">
        <is>
          <t>No. of batches</t>
        </is>
      </c>
      <c r="D1788">
        <f>IFERROR(INDEX(E1788:DD1788,$F$1),"")</f>
        <v/>
      </c>
      <c r="E1788">
        <f>IFERROR(INDEX(PP_Grid[#Data],$DE1788,2),0)</f>
        <v/>
      </c>
      <c r="F1788">
        <f>IFERROR(INDEX(PP_Grid[#Data],$DE1788,3),0)</f>
        <v/>
      </c>
      <c r="G1788">
        <f>IFERROR(INDEX(PP_Grid[#Data],$DE1788,4),0)</f>
        <v/>
      </c>
      <c r="H1788">
        <f>IFERROR(INDEX(PP_Grid[#Data],$DE1788,5),0)</f>
        <v/>
      </c>
      <c r="I1788">
        <f>IFERROR(INDEX(PP_Grid[#Data],$DE1788,6),0)</f>
        <v/>
      </c>
      <c r="J1788">
        <f>IFERROR(INDEX(PP_Grid[#Data],$DE1788,7),0)</f>
        <v/>
      </c>
      <c r="K1788">
        <f>IFERROR(INDEX(PP_Grid[#Data],$DE1788,8),0)</f>
        <v/>
      </c>
      <c r="L1788">
        <f>IFERROR(INDEX(PP_Grid[#Data],$DE1788,9),0)</f>
        <v/>
      </c>
      <c r="M1788">
        <f>IFERROR(INDEX(PP_Grid[#Data],$DE1788,10),0)</f>
        <v/>
      </c>
      <c r="N1788">
        <f>IFERROR(INDEX(PP_Grid[#Data],$DE1788,11),0)</f>
        <v/>
      </c>
      <c r="O1788">
        <f>IFERROR(INDEX(PP_Grid[#Data],$DE1788,12),0)</f>
        <v/>
      </c>
      <c r="P1788">
        <f>IFERROR(INDEX(PP_Grid[#Data],$DE1788,13),0)</f>
        <v/>
      </c>
      <c r="Q1788">
        <f>IFERROR(INDEX(PP_Grid[#Data],$DE1788,14),0)</f>
        <v/>
      </c>
      <c r="R1788">
        <f>IFERROR(INDEX(PP_Grid[#Data],$DE1788,15),0)</f>
        <v/>
      </c>
      <c r="S1788">
        <f>IFERROR(INDEX(PP_Grid[#Data],$DE1788,16),0)</f>
        <v/>
      </c>
      <c r="T1788">
        <f>IFERROR(INDEX(PP_Grid[#Data],$DE1788,17),0)</f>
        <v/>
      </c>
      <c r="U1788">
        <f>IFERROR(INDEX(PP_Grid[#Data],$DE1788,18),0)</f>
        <v/>
      </c>
      <c r="V1788">
        <f>IFERROR(INDEX(PP_Grid[#Data],$DE1788,19),0)</f>
        <v/>
      </c>
      <c r="W1788">
        <f>IFERROR(INDEX(PP_Grid[#Data],$DE1788,20),0)</f>
        <v/>
      </c>
      <c r="X1788">
        <f>IFERROR(INDEX(PP_Grid[#Data],$DE1788,21),0)</f>
        <v/>
      </c>
      <c r="Y1788">
        <f>IFERROR(INDEX(PP_Grid[#Data],$DE1788,22),0)</f>
        <v/>
      </c>
      <c r="Z1788">
        <f>IFERROR(INDEX(PP_Grid[#Data],$DE1788,23),0)</f>
        <v/>
      </c>
      <c r="AA1788">
        <f>IFERROR(INDEX(PP_Grid[#Data],$DE1788,24),0)</f>
        <v/>
      </c>
      <c r="AB1788">
        <f>IFERROR(INDEX(PP_Grid[#Data],$DE1788,25),0)</f>
        <v/>
      </c>
      <c r="AC1788">
        <f>IFERROR(INDEX(PP_Grid[#Data],$DE1788,26),0)</f>
        <v/>
      </c>
      <c r="AD1788">
        <f>IFERROR(INDEX(PP_Grid[#Data],$DE1788,27),0)</f>
        <v/>
      </c>
      <c r="AE1788">
        <f>IFERROR(INDEX(PP_Grid[#Data],$DE1788,28),0)</f>
        <v/>
      </c>
      <c r="AF1788">
        <f>IFERROR(INDEX(PP_Grid[#Data],$DE1788,29),0)</f>
        <v/>
      </c>
      <c r="AG1788">
        <f>IFERROR(INDEX(PP_Grid[#Data],$DE1788,30),0)</f>
        <v/>
      </c>
      <c r="AH1788">
        <f>IFERROR(INDEX(PP_Grid[#Data],$DE1788,31),0)</f>
        <v/>
      </c>
      <c r="AI1788">
        <f>IFERROR(INDEX(PP_Grid[#Data],$DE1788,32),0)</f>
        <v/>
      </c>
      <c r="AJ1788">
        <f>IFERROR(INDEX(PP_Grid[#Data],$DE1788,33),0)</f>
        <v/>
      </c>
      <c r="AK1788">
        <f>IFERROR(INDEX(PP_Grid[#Data],$DE1788,34),0)</f>
        <v/>
      </c>
      <c r="AL1788">
        <f>IFERROR(INDEX(PP_Grid[#Data],$DE1788,35),0)</f>
        <v/>
      </c>
      <c r="AM1788">
        <f>IFERROR(INDEX(PP_Grid[#Data],$DE1788,36),0)</f>
        <v/>
      </c>
      <c r="AN1788">
        <f>IFERROR(INDEX(PP_Grid[#Data],$DE1788,37),0)</f>
        <v/>
      </c>
      <c r="AO1788">
        <f>IFERROR(INDEX(PP_Grid[#Data],$DE1788,38),0)</f>
        <v/>
      </c>
      <c r="AP1788">
        <f>IFERROR(INDEX(PP_Grid[#Data],$DE1788,39),0)</f>
        <v/>
      </c>
      <c r="AQ1788">
        <f>IFERROR(INDEX(PP_Grid[#Data],$DE1788,40),0)</f>
        <v/>
      </c>
      <c r="AR1788">
        <f>IFERROR(INDEX(PP_Grid[#Data],$DE1788,41),0)</f>
        <v/>
      </c>
      <c r="AS1788">
        <f>IFERROR(INDEX(PP_Grid[#Data],$DE1788,42),0)</f>
        <v/>
      </c>
      <c r="AT1788">
        <f>IFERROR(INDEX(PP_Grid[#Data],$DE1788,43),0)</f>
        <v/>
      </c>
      <c r="AU1788">
        <f>IFERROR(INDEX(PP_Grid[#Data],$DE1788,44),0)</f>
        <v/>
      </c>
      <c r="AV1788">
        <f>IFERROR(INDEX(PP_Grid[#Data],$DE1788,45),0)</f>
        <v/>
      </c>
      <c r="AW1788">
        <f>IFERROR(INDEX(PP_Grid[#Data],$DE1788,46),0)</f>
        <v/>
      </c>
      <c r="AX1788">
        <f>IFERROR(INDEX(PP_Grid[#Data],$DE1788,47),0)</f>
        <v/>
      </c>
      <c r="AY1788">
        <f>IFERROR(INDEX(PP_Grid[#Data],$DE1788,48),0)</f>
        <v/>
      </c>
      <c r="AZ1788">
        <f>IFERROR(INDEX(PP_Grid[#Data],$DE1788,49),0)</f>
        <v/>
      </c>
      <c r="BA1788">
        <f>IFERROR(INDEX(PP_Grid[#Data],$DE1788,50),0)</f>
        <v/>
      </c>
      <c r="BB1788">
        <f>IFERROR(INDEX(PP_Grid[#Data],$DE1788,51),0)</f>
        <v/>
      </c>
      <c r="BC1788">
        <f>IFERROR(INDEX(PP_Grid[#Data],$DE1788,52),0)</f>
        <v/>
      </c>
      <c r="BD1788">
        <f>IFERROR(INDEX(PP_Grid[#Data],$DE1788,53),0)</f>
        <v/>
      </c>
      <c r="BE1788">
        <f>IFERROR(INDEX(PP_Grid[#Data],$DE1788,54),0)</f>
        <v/>
      </c>
      <c r="BF1788">
        <f>IFERROR(INDEX(PP_Grid[#Data],$DE1788,55),0)</f>
        <v/>
      </c>
      <c r="BG1788">
        <f>IFERROR(INDEX(PP_Grid[#Data],$DE1788,56),0)</f>
        <v/>
      </c>
      <c r="BH1788">
        <f>IFERROR(INDEX(PP_Grid[#Data],$DE1788,57),0)</f>
        <v/>
      </c>
      <c r="BI1788">
        <f>IFERROR(INDEX(PP_Grid[#Data],$DE1788,58),0)</f>
        <v/>
      </c>
      <c r="BJ1788">
        <f>IFERROR(INDEX(PP_Grid[#Data],$DE1788,59),0)</f>
        <v/>
      </c>
      <c r="BK1788">
        <f>IFERROR(INDEX(PP_Grid[#Data],$DE1788,60),0)</f>
        <v/>
      </c>
      <c r="BL1788">
        <f>IFERROR(INDEX(PP_Grid[#Data],$DE1788,61),0)</f>
        <v/>
      </c>
      <c r="BM1788">
        <f>IFERROR(INDEX(PP_Grid[#Data],$DE1788,62),0)</f>
        <v/>
      </c>
      <c r="BN1788">
        <f>IFERROR(INDEX(PP_Grid[#Data],$DE1788,63),0)</f>
        <v/>
      </c>
      <c r="BO1788">
        <f>IFERROR(INDEX(PP_Grid[#Data],$DE1788,64),0)</f>
        <v/>
      </c>
      <c r="BP1788">
        <f>IFERROR(INDEX(PP_Grid[#Data],$DE1788,65),0)</f>
        <v/>
      </c>
      <c r="BQ1788">
        <f>IFERROR(INDEX(PP_Grid[#Data],$DE1788,66),0)</f>
        <v/>
      </c>
      <c r="BR1788">
        <f>IFERROR(INDEX(PP_Grid[#Data],$DE1788,67),0)</f>
        <v/>
      </c>
      <c r="BS1788">
        <f>IFERROR(INDEX(PP_Grid[#Data],$DE1788,68),0)</f>
        <v/>
      </c>
      <c r="BT1788">
        <f>IFERROR(INDEX(PP_Grid[#Data],$DE1788,69),0)</f>
        <v/>
      </c>
      <c r="BU1788">
        <f>IFERROR(INDEX(PP_Grid[#Data],$DE1788,70),0)</f>
        <v/>
      </c>
      <c r="BV1788">
        <f>IFERROR(INDEX(PP_Grid[#Data],$DE1788,71),0)</f>
        <v/>
      </c>
      <c r="BW1788">
        <f>IFERROR(INDEX(PP_Grid[#Data],$DE1788,72),0)</f>
        <v/>
      </c>
      <c r="BX1788">
        <f>IFERROR(INDEX(PP_Grid[#Data],$DE1788,73),0)</f>
        <v/>
      </c>
      <c r="BY1788">
        <f>IFERROR(INDEX(PP_Grid[#Data],$DE1788,74),0)</f>
        <v/>
      </c>
      <c r="BZ1788">
        <f>IFERROR(INDEX(PP_Grid[#Data],$DE1788,75),0)</f>
        <v/>
      </c>
      <c r="CA1788">
        <f>IFERROR(INDEX(PP_Grid[#Data],$DE1788,76),0)</f>
        <v/>
      </c>
      <c r="CB1788">
        <f>IFERROR(INDEX(PP_Grid[#Data],$DE1788,77),0)</f>
        <v/>
      </c>
      <c r="CC1788">
        <f>IFERROR(INDEX(PP_Grid[#Data],$DE1788,78),0)</f>
        <v/>
      </c>
      <c r="CD1788">
        <f>IFERROR(INDEX(PP_Grid[#Data],$DE1788,79),0)</f>
        <v/>
      </c>
      <c r="CE1788">
        <f>IFERROR(INDEX(PP_Grid[#Data],$DE1788,80),0)</f>
        <v/>
      </c>
      <c r="CF1788">
        <f>IFERROR(INDEX(PP_Grid[#Data],$DE1788,81),0)</f>
        <v/>
      </c>
      <c r="CG1788">
        <f>IFERROR(INDEX(PP_Grid[#Data],$DE1788,82),0)</f>
        <v/>
      </c>
      <c r="CH1788">
        <f>IFERROR(INDEX(PP_Grid[#Data],$DE1788,83),0)</f>
        <v/>
      </c>
      <c r="CI1788">
        <f>IFERROR(INDEX(PP_Grid[#Data],$DE1788,84),0)</f>
        <v/>
      </c>
      <c r="CJ1788">
        <f>IFERROR(INDEX(PP_Grid[#Data],$DE1788,85),0)</f>
        <v/>
      </c>
      <c r="CK1788">
        <f>IFERROR(INDEX(PP_Grid[#Data],$DE1788,86),0)</f>
        <v/>
      </c>
      <c r="CL1788">
        <f>IFERROR(INDEX(PP_Grid[#Data],$DE1788,87),0)</f>
        <v/>
      </c>
      <c r="CM1788">
        <f>IFERROR(INDEX(PP_Grid[#Data],$DE1788,88),0)</f>
        <v/>
      </c>
      <c r="CN1788">
        <f>IFERROR(INDEX(PP_Grid[#Data],$DE1788,89),0)</f>
        <v/>
      </c>
      <c r="CO1788">
        <f>IFERROR(INDEX(PP_Grid[#Data],$DE1788,90),0)</f>
        <v/>
      </c>
      <c r="CP1788">
        <f>IFERROR(INDEX(PP_Grid[#Data],$DE1788,91),0)</f>
        <v/>
      </c>
      <c r="CQ1788">
        <f>IFERROR(INDEX(PP_Grid[#Data],$DE1788,92),0)</f>
        <v/>
      </c>
      <c r="CR1788">
        <f>IFERROR(INDEX(PP_Grid[#Data],$DE1788,93),0)</f>
        <v/>
      </c>
      <c r="CS1788">
        <f>IFERROR(INDEX(PP_Grid[#Data],$DE1788,94),0)</f>
        <v/>
      </c>
      <c r="CT1788">
        <f>IFERROR(INDEX(PP_Grid[#Data],$DE1788,95),0)</f>
        <v/>
      </c>
      <c r="CU1788">
        <f>IFERROR(INDEX(PP_Grid[#Data],$DE1788,96),0)</f>
        <v/>
      </c>
      <c r="CV1788">
        <f>IFERROR(INDEX(PP_Grid[#Data],$DE1788,97),0)</f>
        <v/>
      </c>
      <c r="CW1788">
        <f>IFERROR(INDEX(PP_Grid[#Data],$DE1788,98),0)</f>
        <v/>
      </c>
      <c r="CX1788">
        <f>IFERROR(INDEX(PP_Grid[#Data],$DE1788,99),0)</f>
        <v/>
      </c>
      <c r="CY1788">
        <f>IFERROR(INDEX(PP_Grid[#Data],$DE1788,100),0)</f>
        <v/>
      </c>
      <c r="CZ1788">
        <f>IFERROR(INDEX(PP_Grid[#Data],$DE1788,101),0)</f>
        <v/>
      </c>
      <c r="DA1788">
        <f>IFERROR(INDEX(PP_Grid[#Data],$DE1788,102),0)</f>
        <v/>
      </c>
      <c r="DB1788">
        <f>IFERROR(INDEX(PP_Grid[#Data],$DE1788,103),0)</f>
        <v/>
      </c>
      <c r="DC1788">
        <f>IFERROR(INDEX(PP_Grid[#Data],$DE1788,104),0)</f>
        <v/>
      </c>
      <c r="DD1788">
        <f>IFERROR(INDEX(PP_Grid[#Data],$DE1788,105),0)</f>
        <v/>
      </c>
      <c r="DE1788" s="7">
        <f>IFERROR(MATCH($B1788,PP_Grid[Intermediate],0),99999)</f>
        <v/>
      </c>
    </row>
    <row r="1789">
      <c r="B1789" t="inlineStr">
        <is>
          <t>使用量(kg)</t>
        </is>
      </c>
      <c r="C1789">
        <f>SUMIFS(M_BOM[RM_Qty_Per_Batch],M_BOM[Intermediate],$B1788,M_BOM[RM_Code],$A1771)</f>
        <v/>
      </c>
      <c r="D1789">
        <f>IFERROR(INDEX(E1789:DD1789,$F$1),"")</f>
        <v/>
      </c>
      <c r="E1789">
        <f>$C1789*E1788</f>
        <v/>
      </c>
      <c r="F1789">
        <f>$C1789*F1788</f>
        <v/>
      </c>
      <c r="G1789">
        <f>$C1789*G1788</f>
        <v/>
      </c>
      <c r="H1789">
        <f>$C1789*H1788</f>
        <v/>
      </c>
      <c r="I1789">
        <f>$C1789*I1788</f>
        <v/>
      </c>
      <c r="J1789">
        <f>$C1789*J1788</f>
        <v/>
      </c>
      <c r="K1789">
        <f>$C1789*K1788</f>
        <v/>
      </c>
      <c r="L1789">
        <f>$C1789*L1788</f>
        <v/>
      </c>
      <c r="M1789">
        <f>$C1789*M1788</f>
        <v/>
      </c>
      <c r="N1789">
        <f>$C1789*N1788</f>
        <v/>
      </c>
      <c r="O1789">
        <f>$C1789*O1788</f>
        <v/>
      </c>
      <c r="P1789">
        <f>$C1789*P1788</f>
        <v/>
      </c>
      <c r="Q1789">
        <f>$C1789*Q1788</f>
        <v/>
      </c>
      <c r="R1789">
        <f>$C1789*R1788</f>
        <v/>
      </c>
      <c r="S1789">
        <f>$C1789*S1788</f>
        <v/>
      </c>
      <c r="T1789">
        <f>$C1789*T1788</f>
        <v/>
      </c>
      <c r="U1789">
        <f>$C1789*U1788</f>
        <v/>
      </c>
      <c r="V1789">
        <f>$C1789*V1788</f>
        <v/>
      </c>
      <c r="W1789">
        <f>$C1789*W1788</f>
        <v/>
      </c>
      <c r="X1789">
        <f>$C1789*X1788</f>
        <v/>
      </c>
      <c r="Y1789">
        <f>$C1789*Y1788</f>
        <v/>
      </c>
      <c r="Z1789">
        <f>$C1789*Z1788</f>
        <v/>
      </c>
      <c r="AA1789">
        <f>$C1789*AA1788</f>
        <v/>
      </c>
      <c r="AB1789">
        <f>$C1789*AB1788</f>
        <v/>
      </c>
      <c r="AC1789">
        <f>$C1789*AC1788</f>
        <v/>
      </c>
      <c r="AD1789">
        <f>$C1789*AD1788</f>
        <v/>
      </c>
      <c r="AE1789">
        <f>$C1789*AE1788</f>
        <v/>
      </c>
      <c r="AF1789">
        <f>$C1789*AF1788</f>
        <v/>
      </c>
      <c r="AG1789">
        <f>$C1789*AG1788</f>
        <v/>
      </c>
      <c r="AH1789">
        <f>$C1789*AH1788</f>
        <v/>
      </c>
      <c r="AI1789">
        <f>$C1789*AI1788</f>
        <v/>
      </c>
      <c r="AJ1789">
        <f>$C1789*AJ1788</f>
        <v/>
      </c>
      <c r="AK1789">
        <f>$C1789*AK1788</f>
        <v/>
      </c>
      <c r="AL1789">
        <f>$C1789*AL1788</f>
        <v/>
      </c>
      <c r="AM1789">
        <f>$C1789*AM1788</f>
        <v/>
      </c>
      <c r="AN1789">
        <f>$C1789*AN1788</f>
        <v/>
      </c>
      <c r="AO1789">
        <f>$C1789*AO1788</f>
        <v/>
      </c>
      <c r="AP1789">
        <f>$C1789*AP1788</f>
        <v/>
      </c>
      <c r="AQ1789">
        <f>$C1789*AQ1788</f>
        <v/>
      </c>
      <c r="AR1789">
        <f>$C1789*AR1788</f>
        <v/>
      </c>
      <c r="AS1789">
        <f>$C1789*AS1788</f>
        <v/>
      </c>
      <c r="AT1789">
        <f>$C1789*AT1788</f>
        <v/>
      </c>
      <c r="AU1789">
        <f>$C1789*AU1788</f>
        <v/>
      </c>
      <c r="AV1789">
        <f>$C1789*AV1788</f>
        <v/>
      </c>
      <c r="AW1789">
        <f>$C1789*AW1788</f>
        <v/>
      </c>
      <c r="AX1789">
        <f>$C1789*AX1788</f>
        <v/>
      </c>
      <c r="AY1789">
        <f>$C1789*AY1788</f>
        <v/>
      </c>
      <c r="AZ1789">
        <f>$C1789*AZ1788</f>
        <v/>
      </c>
      <c r="BA1789">
        <f>$C1789*BA1788</f>
        <v/>
      </c>
      <c r="BB1789">
        <f>$C1789*BB1788</f>
        <v/>
      </c>
      <c r="BC1789">
        <f>$C1789*BC1788</f>
        <v/>
      </c>
      <c r="BD1789">
        <f>$C1789*BD1788</f>
        <v/>
      </c>
      <c r="BE1789">
        <f>$C1789*BE1788</f>
        <v/>
      </c>
      <c r="BF1789">
        <f>$C1789*BF1788</f>
        <v/>
      </c>
      <c r="BG1789">
        <f>$C1789*BG1788</f>
        <v/>
      </c>
      <c r="BH1789">
        <f>$C1789*BH1788</f>
        <v/>
      </c>
      <c r="BI1789">
        <f>$C1789*BI1788</f>
        <v/>
      </c>
      <c r="BJ1789">
        <f>$C1789*BJ1788</f>
        <v/>
      </c>
      <c r="BK1789">
        <f>$C1789*BK1788</f>
        <v/>
      </c>
      <c r="BL1789">
        <f>$C1789*BL1788</f>
        <v/>
      </c>
      <c r="BM1789">
        <f>$C1789*BM1788</f>
        <v/>
      </c>
      <c r="BN1789">
        <f>$C1789*BN1788</f>
        <v/>
      </c>
      <c r="BO1789">
        <f>$C1789*BO1788</f>
        <v/>
      </c>
      <c r="BP1789">
        <f>$C1789*BP1788</f>
        <v/>
      </c>
      <c r="BQ1789">
        <f>$C1789*BQ1788</f>
        <v/>
      </c>
      <c r="BR1789">
        <f>$C1789*BR1788</f>
        <v/>
      </c>
      <c r="BS1789">
        <f>$C1789*BS1788</f>
        <v/>
      </c>
      <c r="BT1789">
        <f>$C1789*BT1788</f>
        <v/>
      </c>
      <c r="BU1789">
        <f>$C1789*BU1788</f>
        <v/>
      </c>
      <c r="BV1789">
        <f>$C1789*BV1788</f>
        <v/>
      </c>
      <c r="BW1789">
        <f>$C1789*BW1788</f>
        <v/>
      </c>
      <c r="BX1789">
        <f>$C1789*BX1788</f>
        <v/>
      </c>
      <c r="BY1789">
        <f>$C1789*BY1788</f>
        <v/>
      </c>
      <c r="BZ1789">
        <f>$C1789*BZ1788</f>
        <v/>
      </c>
      <c r="CA1789">
        <f>$C1789*CA1788</f>
        <v/>
      </c>
      <c r="CB1789">
        <f>$C1789*CB1788</f>
        <v/>
      </c>
      <c r="CC1789">
        <f>$C1789*CC1788</f>
        <v/>
      </c>
      <c r="CD1789">
        <f>$C1789*CD1788</f>
        <v/>
      </c>
      <c r="CE1789">
        <f>$C1789*CE1788</f>
        <v/>
      </c>
      <c r="CF1789">
        <f>$C1789*CF1788</f>
        <v/>
      </c>
      <c r="CG1789">
        <f>$C1789*CG1788</f>
        <v/>
      </c>
      <c r="CH1789">
        <f>$C1789*CH1788</f>
        <v/>
      </c>
      <c r="CI1789">
        <f>$C1789*CI1788</f>
        <v/>
      </c>
      <c r="CJ1789">
        <f>$C1789*CJ1788</f>
        <v/>
      </c>
      <c r="CK1789">
        <f>$C1789*CK1788</f>
        <v/>
      </c>
      <c r="CL1789">
        <f>$C1789*CL1788</f>
        <v/>
      </c>
      <c r="CM1789">
        <f>$C1789*CM1788</f>
        <v/>
      </c>
      <c r="CN1789">
        <f>$C1789*CN1788</f>
        <v/>
      </c>
      <c r="CO1789">
        <f>$C1789*CO1788</f>
        <v/>
      </c>
      <c r="CP1789">
        <f>$C1789*CP1788</f>
        <v/>
      </c>
      <c r="CQ1789">
        <f>$C1789*CQ1788</f>
        <v/>
      </c>
      <c r="CR1789">
        <f>$C1789*CR1788</f>
        <v/>
      </c>
      <c r="CS1789">
        <f>$C1789*CS1788</f>
        <v/>
      </c>
      <c r="CT1789">
        <f>$C1789*CT1788</f>
        <v/>
      </c>
      <c r="CU1789">
        <f>$C1789*CU1788</f>
        <v/>
      </c>
      <c r="CV1789">
        <f>$C1789*CV1788</f>
        <v/>
      </c>
      <c r="CW1789">
        <f>$C1789*CW1788</f>
        <v/>
      </c>
      <c r="CX1789">
        <f>$C1789*CX1788</f>
        <v/>
      </c>
      <c r="CY1789">
        <f>$C1789*CY1788</f>
        <v/>
      </c>
      <c r="CZ1789">
        <f>$C1789*CZ1788</f>
        <v/>
      </c>
      <c r="DA1789">
        <f>$C1789*DA1788</f>
        <v/>
      </c>
      <c r="DB1789">
        <f>$C1789*DB1788</f>
        <v/>
      </c>
      <c r="DC1789">
        <f>$C1789*DC1788</f>
        <v/>
      </c>
      <c r="DD1789">
        <f>$C1789*DD1788</f>
        <v/>
      </c>
    </row>
    <row r="1790">
      <c r="B1790" t="inlineStr">
        <is>
          <t>TSP-656</t>
        </is>
      </c>
      <c r="C1790" t="inlineStr">
        <is>
          <t>No. of batches</t>
        </is>
      </c>
      <c r="D1790">
        <f>IFERROR(INDEX(E1790:DD1790,$F$1),"")</f>
        <v/>
      </c>
      <c r="E1790">
        <f>IFERROR(INDEX(PP_Grid[#Data],$DE1790,2),0)</f>
        <v/>
      </c>
      <c r="F1790">
        <f>IFERROR(INDEX(PP_Grid[#Data],$DE1790,3),0)</f>
        <v/>
      </c>
      <c r="G1790">
        <f>IFERROR(INDEX(PP_Grid[#Data],$DE1790,4),0)</f>
        <v/>
      </c>
      <c r="H1790">
        <f>IFERROR(INDEX(PP_Grid[#Data],$DE1790,5),0)</f>
        <v/>
      </c>
      <c r="I1790">
        <f>IFERROR(INDEX(PP_Grid[#Data],$DE1790,6),0)</f>
        <v/>
      </c>
      <c r="J1790">
        <f>IFERROR(INDEX(PP_Grid[#Data],$DE1790,7),0)</f>
        <v/>
      </c>
      <c r="K1790">
        <f>IFERROR(INDEX(PP_Grid[#Data],$DE1790,8),0)</f>
        <v/>
      </c>
      <c r="L1790">
        <f>IFERROR(INDEX(PP_Grid[#Data],$DE1790,9),0)</f>
        <v/>
      </c>
      <c r="M1790">
        <f>IFERROR(INDEX(PP_Grid[#Data],$DE1790,10),0)</f>
        <v/>
      </c>
      <c r="N1790">
        <f>IFERROR(INDEX(PP_Grid[#Data],$DE1790,11),0)</f>
        <v/>
      </c>
      <c r="O1790">
        <f>IFERROR(INDEX(PP_Grid[#Data],$DE1790,12),0)</f>
        <v/>
      </c>
      <c r="P1790">
        <f>IFERROR(INDEX(PP_Grid[#Data],$DE1790,13),0)</f>
        <v/>
      </c>
      <c r="Q1790">
        <f>IFERROR(INDEX(PP_Grid[#Data],$DE1790,14),0)</f>
        <v/>
      </c>
      <c r="R1790">
        <f>IFERROR(INDEX(PP_Grid[#Data],$DE1790,15),0)</f>
        <v/>
      </c>
      <c r="S1790">
        <f>IFERROR(INDEX(PP_Grid[#Data],$DE1790,16),0)</f>
        <v/>
      </c>
      <c r="T1790">
        <f>IFERROR(INDEX(PP_Grid[#Data],$DE1790,17),0)</f>
        <v/>
      </c>
      <c r="U1790">
        <f>IFERROR(INDEX(PP_Grid[#Data],$DE1790,18),0)</f>
        <v/>
      </c>
      <c r="V1790">
        <f>IFERROR(INDEX(PP_Grid[#Data],$DE1790,19),0)</f>
        <v/>
      </c>
      <c r="W1790">
        <f>IFERROR(INDEX(PP_Grid[#Data],$DE1790,20),0)</f>
        <v/>
      </c>
      <c r="X1790">
        <f>IFERROR(INDEX(PP_Grid[#Data],$DE1790,21),0)</f>
        <v/>
      </c>
      <c r="Y1790">
        <f>IFERROR(INDEX(PP_Grid[#Data],$DE1790,22),0)</f>
        <v/>
      </c>
      <c r="Z1790">
        <f>IFERROR(INDEX(PP_Grid[#Data],$DE1790,23),0)</f>
        <v/>
      </c>
      <c r="AA1790">
        <f>IFERROR(INDEX(PP_Grid[#Data],$DE1790,24),0)</f>
        <v/>
      </c>
      <c r="AB1790">
        <f>IFERROR(INDEX(PP_Grid[#Data],$DE1790,25),0)</f>
        <v/>
      </c>
      <c r="AC1790">
        <f>IFERROR(INDEX(PP_Grid[#Data],$DE1790,26),0)</f>
        <v/>
      </c>
      <c r="AD1790">
        <f>IFERROR(INDEX(PP_Grid[#Data],$DE1790,27),0)</f>
        <v/>
      </c>
      <c r="AE1790">
        <f>IFERROR(INDEX(PP_Grid[#Data],$DE1790,28),0)</f>
        <v/>
      </c>
      <c r="AF1790">
        <f>IFERROR(INDEX(PP_Grid[#Data],$DE1790,29),0)</f>
        <v/>
      </c>
      <c r="AG1790">
        <f>IFERROR(INDEX(PP_Grid[#Data],$DE1790,30),0)</f>
        <v/>
      </c>
      <c r="AH1790">
        <f>IFERROR(INDEX(PP_Grid[#Data],$DE1790,31),0)</f>
        <v/>
      </c>
      <c r="AI1790">
        <f>IFERROR(INDEX(PP_Grid[#Data],$DE1790,32),0)</f>
        <v/>
      </c>
      <c r="AJ1790">
        <f>IFERROR(INDEX(PP_Grid[#Data],$DE1790,33),0)</f>
        <v/>
      </c>
      <c r="AK1790">
        <f>IFERROR(INDEX(PP_Grid[#Data],$DE1790,34),0)</f>
        <v/>
      </c>
      <c r="AL1790">
        <f>IFERROR(INDEX(PP_Grid[#Data],$DE1790,35),0)</f>
        <v/>
      </c>
      <c r="AM1790">
        <f>IFERROR(INDEX(PP_Grid[#Data],$DE1790,36),0)</f>
        <v/>
      </c>
      <c r="AN1790">
        <f>IFERROR(INDEX(PP_Grid[#Data],$DE1790,37),0)</f>
        <v/>
      </c>
      <c r="AO1790">
        <f>IFERROR(INDEX(PP_Grid[#Data],$DE1790,38),0)</f>
        <v/>
      </c>
      <c r="AP1790">
        <f>IFERROR(INDEX(PP_Grid[#Data],$DE1790,39),0)</f>
        <v/>
      </c>
      <c r="AQ1790">
        <f>IFERROR(INDEX(PP_Grid[#Data],$DE1790,40),0)</f>
        <v/>
      </c>
      <c r="AR1790">
        <f>IFERROR(INDEX(PP_Grid[#Data],$DE1790,41),0)</f>
        <v/>
      </c>
      <c r="AS1790">
        <f>IFERROR(INDEX(PP_Grid[#Data],$DE1790,42),0)</f>
        <v/>
      </c>
      <c r="AT1790">
        <f>IFERROR(INDEX(PP_Grid[#Data],$DE1790,43),0)</f>
        <v/>
      </c>
      <c r="AU1790">
        <f>IFERROR(INDEX(PP_Grid[#Data],$DE1790,44),0)</f>
        <v/>
      </c>
      <c r="AV1790">
        <f>IFERROR(INDEX(PP_Grid[#Data],$DE1790,45),0)</f>
        <v/>
      </c>
      <c r="AW1790">
        <f>IFERROR(INDEX(PP_Grid[#Data],$DE1790,46),0)</f>
        <v/>
      </c>
      <c r="AX1790">
        <f>IFERROR(INDEX(PP_Grid[#Data],$DE1790,47),0)</f>
        <v/>
      </c>
      <c r="AY1790">
        <f>IFERROR(INDEX(PP_Grid[#Data],$DE1790,48),0)</f>
        <v/>
      </c>
      <c r="AZ1790">
        <f>IFERROR(INDEX(PP_Grid[#Data],$DE1790,49),0)</f>
        <v/>
      </c>
      <c r="BA1790">
        <f>IFERROR(INDEX(PP_Grid[#Data],$DE1790,50),0)</f>
        <v/>
      </c>
      <c r="BB1790">
        <f>IFERROR(INDEX(PP_Grid[#Data],$DE1790,51),0)</f>
        <v/>
      </c>
      <c r="BC1790">
        <f>IFERROR(INDEX(PP_Grid[#Data],$DE1790,52),0)</f>
        <v/>
      </c>
      <c r="BD1790">
        <f>IFERROR(INDEX(PP_Grid[#Data],$DE1790,53),0)</f>
        <v/>
      </c>
      <c r="BE1790">
        <f>IFERROR(INDEX(PP_Grid[#Data],$DE1790,54),0)</f>
        <v/>
      </c>
      <c r="BF1790">
        <f>IFERROR(INDEX(PP_Grid[#Data],$DE1790,55),0)</f>
        <v/>
      </c>
      <c r="BG1790">
        <f>IFERROR(INDEX(PP_Grid[#Data],$DE1790,56),0)</f>
        <v/>
      </c>
      <c r="BH1790">
        <f>IFERROR(INDEX(PP_Grid[#Data],$DE1790,57),0)</f>
        <v/>
      </c>
      <c r="BI1790">
        <f>IFERROR(INDEX(PP_Grid[#Data],$DE1790,58),0)</f>
        <v/>
      </c>
      <c r="BJ1790">
        <f>IFERROR(INDEX(PP_Grid[#Data],$DE1790,59),0)</f>
        <v/>
      </c>
      <c r="BK1790">
        <f>IFERROR(INDEX(PP_Grid[#Data],$DE1790,60),0)</f>
        <v/>
      </c>
      <c r="BL1790">
        <f>IFERROR(INDEX(PP_Grid[#Data],$DE1790,61),0)</f>
        <v/>
      </c>
      <c r="BM1790">
        <f>IFERROR(INDEX(PP_Grid[#Data],$DE1790,62),0)</f>
        <v/>
      </c>
      <c r="BN1790">
        <f>IFERROR(INDEX(PP_Grid[#Data],$DE1790,63),0)</f>
        <v/>
      </c>
      <c r="BO1790">
        <f>IFERROR(INDEX(PP_Grid[#Data],$DE1790,64),0)</f>
        <v/>
      </c>
      <c r="BP1790">
        <f>IFERROR(INDEX(PP_Grid[#Data],$DE1790,65),0)</f>
        <v/>
      </c>
      <c r="BQ1790">
        <f>IFERROR(INDEX(PP_Grid[#Data],$DE1790,66),0)</f>
        <v/>
      </c>
      <c r="BR1790">
        <f>IFERROR(INDEX(PP_Grid[#Data],$DE1790,67),0)</f>
        <v/>
      </c>
      <c r="BS1790">
        <f>IFERROR(INDEX(PP_Grid[#Data],$DE1790,68),0)</f>
        <v/>
      </c>
      <c r="BT1790">
        <f>IFERROR(INDEX(PP_Grid[#Data],$DE1790,69),0)</f>
        <v/>
      </c>
      <c r="BU1790">
        <f>IFERROR(INDEX(PP_Grid[#Data],$DE1790,70),0)</f>
        <v/>
      </c>
      <c r="BV1790">
        <f>IFERROR(INDEX(PP_Grid[#Data],$DE1790,71),0)</f>
        <v/>
      </c>
      <c r="BW1790">
        <f>IFERROR(INDEX(PP_Grid[#Data],$DE1790,72),0)</f>
        <v/>
      </c>
      <c r="BX1790">
        <f>IFERROR(INDEX(PP_Grid[#Data],$DE1790,73),0)</f>
        <v/>
      </c>
      <c r="BY1790">
        <f>IFERROR(INDEX(PP_Grid[#Data],$DE1790,74),0)</f>
        <v/>
      </c>
      <c r="BZ1790">
        <f>IFERROR(INDEX(PP_Grid[#Data],$DE1790,75),0)</f>
        <v/>
      </c>
      <c r="CA1790">
        <f>IFERROR(INDEX(PP_Grid[#Data],$DE1790,76),0)</f>
        <v/>
      </c>
      <c r="CB1790">
        <f>IFERROR(INDEX(PP_Grid[#Data],$DE1790,77),0)</f>
        <v/>
      </c>
      <c r="CC1790">
        <f>IFERROR(INDEX(PP_Grid[#Data],$DE1790,78),0)</f>
        <v/>
      </c>
      <c r="CD1790">
        <f>IFERROR(INDEX(PP_Grid[#Data],$DE1790,79),0)</f>
        <v/>
      </c>
      <c r="CE1790">
        <f>IFERROR(INDEX(PP_Grid[#Data],$DE1790,80),0)</f>
        <v/>
      </c>
      <c r="CF1790">
        <f>IFERROR(INDEX(PP_Grid[#Data],$DE1790,81),0)</f>
        <v/>
      </c>
      <c r="CG1790">
        <f>IFERROR(INDEX(PP_Grid[#Data],$DE1790,82),0)</f>
        <v/>
      </c>
      <c r="CH1790">
        <f>IFERROR(INDEX(PP_Grid[#Data],$DE1790,83),0)</f>
        <v/>
      </c>
      <c r="CI1790">
        <f>IFERROR(INDEX(PP_Grid[#Data],$DE1790,84),0)</f>
        <v/>
      </c>
      <c r="CJ1790">
        <f>IFERROR(INDEX(PP_Grid[#Data],$DE1790,85),0)</f>
        <v/>
      </c>
      <c r="CK1790">
        <f>IFERROR(INDEX(PP_Grid[#Data],$DE1790,86),0)</f>
        <v/>
      </c>
      <c r="CL1790">
        <f>IFERROR(INDEX(PP_Grid[#Data],$DE1790,87),0)</f>
        <v/>
      </c>
      <c r="CM1790">
        <f>IFERROR(INDEX(PP_Grid[#Data],$DE1790,88),0)</f>
        <v/>
      </c>
      <c r="CN1790">
        <f>IFERROR(INDEX(PP_Grid[#Data],$DE1790,89),0)</f>
        <v/>
      </c>
      <c r="CO1790">
        <f>IFERROR(INDEX(PP_Grid[#Data],$DE1790,90),0)</f>
        <v/>
      </c>
      <c r="CP1790">
        <f>IFERROR(INDEX(PP_Grid[#Data],$DE1790,91),0)</f>
        <v/>
      </c>
      <c r="CQ1790">
        <f>IFERROR(INDEX(PP_Grid[#Data],$DE1790,92),0)</f>
        <v/>
      </c>
      <c r="CR1790">
        <f>IFERROR(INDEX(PP_Grid[#Data],$DE1790,93),0)</f>
        <v/>
      </c>
      <c r="CS1790">
        <f>IFERROR(INDEX(PP_Grid[#Data],$DE1790,94),0)</f>
        <v/>
      </c>
      <c r="CT1790">
        <f>IFERROR(INDEX(PP_Grid[#Data],$DE1790,95),0)</f>
        <v/>
      </c>
      <c r="CU1790">
        <f>IFERROR(INDEX(PP_Grid[#Data],$DE1790,96),0)</f>
        <v/>
      </c>
      <c r="CV1790">
        <f>IFERROR(INDEX(PP_Grid[#Data],$DE1790,97),0)</f>
        <v/>
      </c>
      <c r="CW1790">
        <f>IFERROR(INDEX(PP_Grid[#Data],$DE1790,98),0)</f>
        <v/>
      </c>
      <c r="CX1790">
        <f>IFERROR(INDEX(PP_Grid[#Data],$DE1790,99),0)</f>
        <v/>
      </c>
      <c r="CY1790">
        <f>IFERROR(INDEX(PP_Grid[#Data],$DE1790,100),0)</f>
        <v/>
      </c>
      <c r="CZ1790">
        <f>IFERROR(INDEX(PP_Grid[#Data],$DE1790,101),0)</f>
        <v/>
      </c>
      <c r="DA1790">
        <f>IFERROR(INDEX(PP_Grid[#Data],$DE1790,102),0)</f>
        <v/>
      </c>
      <c r="DB1790">
        <f>IFERROR(INDEX(PP_Grid[#Data],$DE1790,103),0)</f>
        <v/>
      </c>
      <c r="DC1790">
        <f>IFERROR(INDEX(PP_Grid[#Data],$DE1790,104),0)</f>
        <v/>
      </c>
      <c r="DD1790">
        <f>IFERROR(INDEX(PP_Grid[#Data],$DE1790,105),0)</f>
        <v/>
      </c>
      <c r="DE1790" s="7">
        <f>IFERROR(MATCH($B1790,PP_Grid[Intermediate],0),99999)</f>
        <v/>
      </c>
    </row>
    <row r="1791">
      <c r="B1791" t="inlineStr">
        <is>
          <t>使用量(kg)</t>
        </is>
      </c>
      <c r="C1791">
        <f>SUMIFS(M_BOM[RM_Qty_Per_Batch],M_BOM[Intermediate],$B1790,M_BOM[RM_Code],$A1771)</f>
        <v/>
      </c>
      <c r="D1791">
        <f>IFERROR(INDEX(E1791:DD1791,$F$1),"")</f>
        <v/>
      </c>
      <c r="E1791">
        <f>$C1791*E1790</f>
        <v/>
      </c>
      <c r="F1791">
        <f>$C1791*F1790</f>
        <v/>
      </c>
      <c r="G1791">
        <f>$C1791*G1790</f>
        <v/>
      </c>
      <c r="H1791">
        <f>$C1791*H1790</f>
        <v/>
      </c>
      <c r="I1791">
        <f>$C1791*I1790</f>
        <v/>
      </c>
      <c r="J1791">
        <f>$C1791*J1790</f>
        <v/>
      </c>
      <c r="K1791">
        <f>$C1791*K1790</f>
        <v/>
      </c>
      <c r="L1791">
        <f>$C1791*L1790</f>
        <v/>
      </c>
      <c r="M1791">
        <f>$C1791*M1790</f>
        <v/>
      </c>
      <c r="N1791">
        <f>$C1791*N1790</f>
        <v/>
      </c>
      <c r="O1791">
        <f>$C1791*O1790</f>
        <v/>
      </c>
      <c r="P1791">
        <f>$C1791*P1790</f>
        <v/>
      </c>
      <c r="Q1791">
        <f>$C1791*Q1790</f>
        <v/>
      </c>
      <c r="R1791">
        <f>$C1791*R1790</f>
        <v/>
      </c>
      <c r="S1791">
        <f>$C1791*S1790</f>
        <v/>
      </c>
      <c r="T1791">
        <f>$C1791*T1790</f>
        <v/>
      </c>
      <c r="U1791">
        <f>$C1791*U1790</f>
        <v/>
      </c>
      <c r="V1791">
        <f>$C1791*V1790</f>
        <v/>
      </c>
      <c r="W1791">
        <f>$C1791*W1790</f>
        <v/>
      </c>
      <c r="X1791">
        <f>$C1791*X1790</f>
        <v/>
      </c>
      <c r="Y1791">
        <f>$C1791*Y1790</f>
        <v/>
      </c>
      <c r="Z1791">
        <f>$C1791*Z1790</f>
        <v/>
      </c>
      <c r="AA1791">
        <f>$C1791*AA1790</f>
        <v/>
      </c>
      <c r="AB1791">
        <f>$C1791*AB1790</f>
        <v/>
      </c>
      <c r="AC1791">
        <f>$C1791*AC1790</f>
        <v/>
      </c>
      <c r="AD1791">
        <f>$C1791*AD1790</f>
        <v/>
      </c>
      <c r="AE1791">
        <f>$C1791*AE1790</f>
        <v/>
      </c>
      <c r="AF1791">
        <f>$C1791*AF1790</f>
        <v/>
      </c>
      <c r="AG1791">
        <f>$C1791*AG1790</f>
        <v/>
      </c>
      <c r="AH1791">
        <f>$C1791*AH1790</f>
        <v/>
      </c>
      <c r="AI1791">
        <f>$C1791*AI1790</f>
        <v/>
      </c>
      <c r="AJ1791">
        <f>$C1791*AJ1790</f>
        <v/>
      </c>
      <c r="AK1791">
        <f>$C1791*AK1790</f>
        <v/>
      </c>
      <c r="AL1791">
        <f>$C1791*AL1790</f>
        <v/>
      </c>
      <c r="AM1791">
        <f>$C1791*AM1790</f>
        <v/>
      </c>
      <c r="AN1791">
        <f>$C1791*AN1790</f>
        <v/>
      </c>
      <c r="AO1791">
        <f>$C1791*AO1790</f>
        <v/>
      </c>
      <c r="AP1791">
        <f>$C1791*AP1790</f>
        <v/>
      </c>
      <c r="AQ1791">
        <f>$C1791*AQ1790</f>
        <v/>
      </c>
      <c r="AR1791">
        <f>$C1791*AR1790</f>
        <v/>
      </c>
      <c r="AS1791">
        <f>$C1791*AS1790</f>
        <v/>
      </c>
      <c r="AT1791">
        <f>$C1791*AT1790</f>
        <v/>
      </c>
      <c r="AU1791">
        <f>$C1791*AU1790</f>
        <v/>
      </c>
      <c r="AV1791">
        <f>$C1791*AV1790</f>
        <v/>
      </c>
      <c r="AW1791">
        <f>$C1791*AW1790</f>
        <v/>
      </c>
      <c r="AX1791">
        <f>$C1791*AX1790</f>
        <v/>
      </c>
      <c r="AY1791">
        <f>$C1791*AY1790</f>
        <v/>
      </c>
      <c r="AZ1791">
        <f>$C1791*AZ1790</f>
        <v/>
      </c>
      <c r="BA1791">
        <f>$C1791*BA1790</f>
        <v/>
      </c>
      <c r="BB1791">
        <f>$C1791*BB1790</f>
        <v/>
      </c>
      <c r="BC1791">
        <f>$C1791*BC1790</f>
        <v/>
      </c>
      <c r="BD1791">
        <f>$C1791*BD1790</f>
        <v/>
      </c>
      <c r="BE1791">
        <f>$C1791*BE1790</f>
        <v/>
      </c>
      <c r="BF1791">
        <f>$C1791*BF1790</f>
        <v/>
      </c>
      <c r="BG1791">
        <f>$C1791*BG1790</f>
        <v/>
      </c>
      <c r="BH1791">
        <f>$C1791*BH1790</f>
        <v/>
      </c>
      <c r="BI1791">
        <f>$C1791*BI1790</f>
        <v/>
      </c>
      <c r="BJ1791">
        <f>$C1791*BJ1790</f>
        <v/>
      </c>
      <c r="BK1791">
        <f>$C1791*BK1790</f>
        <v/>
      </c>
      <c r="BL1791">
        <f>$C1791*BL1790</f>
        <v/>
      </c>
      <c r="BM1791">
        <f>$C1791*BM1790</f>
        <v/>
      </c>
      <c r="BN1791">
        <f>$C1791*BN1790</f>
        <v/>
      </c>
      <c r="BO1791">
        <f>$C1791*BO1790</f>
        <v/>
      </c>
      <c r="BP1791">
        <f>$C1791*BP1790</f>
        <v/>
      </c>
      <c r="BQ1791">
        <f>$C1791*BQ1790</f>
        <v/>
      </c>
      <c r="BR1791">
        <f>$C1791*BR1790</f>
        <v/>
      </c>
      <c r="BS1791">
        <f>$C1791*BS1790</f>
        <v/>
      </c>
      <c r="BT1791">
        <f>$C1791*BT1790</f>
        <v/>
      </c>
      <c r="BU1791">
        <f>$C1791*BU1790</f>
        <v/>
      </c>
      <c r="BV1791">
        <f>$C1791*BV1790</f>
        <v/>
      </c>
      <c r="BW1791">
        <f>$C1791*BW1790</f>
        <v/>
      </c>
      <c r="BX1791">
        <f>$C1791*BX1790</f>
        <v/>
      </c>
      <c r="BY1791">
        <f>$C1791*BY1790</f>
        <v/>
      </c>
      <c r="BZ1791">
        <f>$C1791*BZ1790</f>
        <v/>
      </c>
      <c r="CA1791">
        <f>$C1791*CA1790</f>
        <v/>
      </c>
      <c r="CB1791">
        <f>$C1791*CB1790</f>
        <v/>
      </c>
      <c r="CC1791">
        <f>$C1791*CC1790</f>
        <v/>
      </c>
      <c r="CD1791">
        <f>$C1791*CD1790</f>
        <v/>
      </c>
      <c r="CE1791">
        <f>$C1791*CE1790</f>
        <v/>
      </c>
      <c r="CF1791">
        <f>$C1791*CF1790</f>
        <v/>
      </c>
      <c r="CG1791">
        <f>$C1791*CG1790</f>
        <v/>
      </c>
      <c r="CH1791">
        <f>$C1791*CH1790</f>
        <v/>
      </c>
      <c r="CI1791">
        <f>$C1791*CI1790</f>
        <v/>
      </c>
      <c r="CJ1791">
        <f>$C1791*CJ1790</f>
        <v/>
      </c>
      <c r="CK1791">
        <f>$C1791*CK1790</f>
        <v/>
      </c>
      <c r="CL1791">
        <f>$C1791*CL1790</f>
        <v/>
      </c>
      <c r="CM1791">
        <f>$C1791*CM1790</f>
        <v/>
      </c>
      <c r="CN1791">
        <f>$C1791*CN1790</f>
        <v/>
      </c>
      <c r="CO1791">
        <f>$C1791*CO1790</f>
        <v/>
      </c>
      <c r="CP1791">
        <f>$C1791*CP1790</f>
        <v/>
      </c>
      <c r="CQ1791">
        <f>$C1791*CQ1790</f>
        <v/>
      </c>
      <c r="CR1791">
        <f>$C1791*CR1790</f>
        <v/>
      </c>
      <c r="CS1791">
        <f>$C1791*CS1790</f>
        <v/>
      </c>
      <c r="CT1791">
        <f>$C1791*CT1790</f>
        <v/>
      </c>
      <c r="CU1791">
        <f>$C1791*CU1790</f>
        <v/>
      </c>
      <c r="CV1791">
        <f>$C1791*CV1790</f>
        <v/>
      </c>
      <c r="CW1791">
        <f>$C1791*CW1790</f>
        <v/>
      </c>
      <c r="CX1791">
        <f>$C1791*CX1790</f>
        <v/>
      </c>
      <c r="CY1791">
        <f>$C1791*CY1790</f>
        <v/>
      </c>
      <c r="CZ1791">
        <f>$C1791*CZ1790</f>
        <v/>
      </c>
      <c r="DA1791">
        <f>$C1791*DA1790</f>
        <v/>
      </c>
      <c r="DB1791">
        <f>$C1791*DB1790</f>
        <v/>
      </c>
      <c r="DC1791">
        <f>$C1791*DC1790</f>
        <v/>
      </c>
      <c r="DD1791">
        <f>$C1791*DD1790</f>
        <v/>
      </c>
    </row>
    <row r="1792">
      <c r="B1792" t="inlineStr">
        <is>
          <t>TSP-903</t>
        </is>
      </c>
      <c r="C1792" t="inlineStr">
        <is>
          <t>No. of batches</t>
        </is>
      </c>
      <c r="D1792">
        <f>IFERROR(INDEX(E1792:DD1792,$F$1),"")</f>
        <v/>
      </c>
      <c r="E1792">
        <f>IFERROR(INDEX(PP_Grid[#Data],$DE1792,2),0)</f>
        <v/>
      </c>
      <c r="F1792">
        <f>IFERROR(INDEX(PP_Grid[#Data],$DE1792,3),0)</f>
        <v/>
      </c>
      <c r="G1792">
        <f>IFERROR(INDEX(PP_Grid[#Data],$DE1792,4),0)</f>
        <v/>
      </c>
      <c r="H1792">
        <f>IFERROR(INDEX(PP_Grid[#Data],$DE1792,5),0)</f>
        <v/>
      </c>
      <c r="I1792">
        <f>IFERROR(INDEX(PP_Grid[#Data],$DE1792,6),0)</f>
        <v/>
      </c>
      <c r="J1792">
        <f>IFERROR(INDEX(PP_Grid[#Data],$DE1792,7),0)</f>
        <v/>
      </c>
      <c r="K1792">
        <f>IFERROR(INDEX(PP_Grid[#Data],$DE1792,8),0)</f>
        <v/>
      </c>
      <c r="L1792">
        <f>IFERROR(INDEX(PP_Grid[#Data],$DE1792,9),0)</f>
        <v/>
      </c>
      <c r="M1792">
        <f>IFERROR(INDEX(PP_Grid[#Data],$DE1792,10),0)</f>
        <v/>
      </c>
      <c r="N1792">
        <f>IFERROR(INDEX(PP_Grid[#Data],$DE1792,11),0)</f>
        <v/>
      </c>
      <c r="O1792">
        <f>IFERROR(INDEX(PP_Grid[#Data],$DE1792,12),0)</f>
        <v/>
      </c>
      <c r="P1792">
        <f>IFERROR(INDEX(PP_Grid[#Data],$DE1792,13),0)</f>
        <v/>
      </c>
      <c r="Q1792">
        <f>IFERROR(INDEX(PP_Grid[#Data],$DE1792,14),0)</f>
        <v/>
      </c>
      <c r="R1792">
        <f>IFERROR(INDEX(PP_Grid[#Data],$DE1792,15),0)</f>
        <v/>
      </c>
      <c r="S1792">
        <f>IFERROR(INDEX(PP_Grid[#Data],$DE1792,16),0)</f>
        <v/>
      </c>
      <c r="T1792">
        <f>IFERROR(INDEX(PP_Grid[#Data],$DE1792,17),0)</f>
        <v/>
      </c>
      <c r="U1792">
        <f>IFERROR(INDEX(PP_Grid[#Data],$DE1792,18),0)</f>
        <v/>
      </c>
      <c r="V1792">
        <f>IFERROR(INDEX(PP_Grid[#Data],$DE1792,19),0)</f>
        <v/>
      </c>
      <c r="W1792">
        <f>IFERROR(INDEX(PP_Grid[#Data],$DE1792,20),0)</f>
        <v/>
      </c>
      <c r="X1792">
        <f>IFERROR(INDEX(PP_Grid[#Data],$DE1792,21),0)</f>
        <v/>
      </c>
      <c r="Y1792">
        <f>IFERROR(INDEX(PP_Grid[#Data],$DE1792,22),0)</f>
        <v/>
      </c>
      <c r="Z1792">
        <f>IFERROR(INDEX(PP_Grid[#Data],$DE1792,23),0)</f>
        <v/>
      </c>
      <c r="AA1792">
        <f>IFERROR(INDEX(PP_Grid[#Data],$DE1792,24),0)</f>
        <v/>
      </c>
      <c r="AB1792">
        <f>IFERROR(INDEX(PP_Grid[#Data],$DE1792,25),0)</f>
        <v/>
      </c>
      <c r="AC1792">
        <f>IFERROR(INDEX(PP_Grid[#Data],$DE1792,26),0)</f>
        <v/>
      </c>
      <c r="AD1792">
        <f>IFERROR(INDEX(PP_Grid[#Data],$DE1792,27),0)</f>
        <v/>
      </c>
      <c r="AE1792">
        <f>IFERROR(INDEX(PP_Grid[#Data],$DE1792,28),0)</f>
        <v/>
      </c>
      <c r="AF1792">
        <f>IFERROR(INDEX(PP_Grid[#Data],$DE1792,29),0)</f>
        <v/>
      </c>
      <c r="AG1792">
        <f>IFERROR(INDEX(PP_Grid[#Data],$DE1792,30),0)</f>
        <v/>
      </c>
      <c r="AH1792">
        <f>IFERROR(INDEX(PP_Grid[#Data],$DE1792,31),0)</f>
        <v/>
      </c>
      <c r="AI1792">
        <f>IFERROR(INDEX(PP_Grid[#Data],$DE1792,32),0)</f>
        <v/>
      </c>
      <c r="AJ1792">
        <f>IFERROR(INDEX(PP_Grid[#Data],$DE1792,33),0)</f>
        <v/>
      </c>
      <c r="AK1792">
        <f>IFERROR(INDEX(PP_Grid[#Data],$DE1792,34),0)</f>
        <v/>
      </c>
      <c r="AL1792">
        <f>IFERROR(INDEX(PP_Grid[#Data],$DE1792,35),0)</f>
        <v/>
      </c>
      <c r="AM1792">
        <f>IFERROR(INDEX(PP_Grid[#Data],$DE1792,36),0)</f>
        <v/>
      </c>
      <c r="AN1792">
        <f>IFERROR(INDEX(PP_Grid[#Data],$DE1792,37),0)</f>
        <v/>
      </c>
      <c r="AO1792">
        <f>IFERROR(INDEX(PP_Grid[#Data],$DE1792,38),0)</f>
        <v/>
      </c>
      <c r="AP1792">
        <f>IFERROR(INDEX(PP_Grid[#Data],$DE1792,39),0)</f>
        <v/>
      </c>
      <c r="AQ1792">
        <f>IFERROR(INDEX(PP_Grid[#Data],$DE1792,40),0)</f>
        <v/>
      </c>
      <c r="AR1792">
        <f>IFERROR(INDEX(PP_Grid[#Data],$DE1792,41),0)</f>
        <v/>
      </c>
      <c r="AS1792">
        <f>IFERROR(INDEX(PP_Grid[#Data],$DE1792,42),0)</f>
        <v/>
      </c>
      <c r="AT1792">
        <f>IFERROR(INDEX(PP_Grid[#Data],$DE1792,43),0)</f>
        <v/>
      </c>
      <c r="AU1792">
        <f>IFERROR(INDEX(PP_Grid[#Data],$DE1792,44),0)</f>
        <v/>
      </c>
      <c r="AV1792">
        <f>IFERROR(INDEX(PP_Grid[#Data],$DE1792,45),0)</f>
        <v/>
      </c>
      <c r="AW1792">
        <f>IFERROR(INDEX(PP_Grid[#Data],$DE1792,46),0)</f>
        <v/>
      </c>
      <c r="AX1792">
        <f>IFERROR(INDEX(PP_Grid[#Data],$DE1792,47),0)</f>
        <v/>
      </c>
      <c r="AY1792">
        <f>IFERROR(INDEX(PP_Grid[#Data],$DE1792,48),0)</f>
        <v/>
      </c>
      <c r="AZ1792">
        <f>IFERROR(INDEX(PP_Grid[#Data],$DE1792,49),0)</f>
        <v/>
      </c>
      <c r="BA1792">
        <f>IFERROR(INDEX(PP_Grid[#Data],$DE1792,50),0)</f>
        <v/>
      </c>
      <c r="BB1792">
        <f>IFERROR(INDEX(PP_Grid[#Data],$DE1792,51),0)</f>
        <v/>
      </c>
      <c r="BC1792">
        <f>IFERROR(INDEX(PP_Grid[#Data],$DE1792,52),0)</f>
        <v/>
      </c>
      <c r="BD1792">
        <f>IFERROR(INDEX(PP_Grid[#Data],$DE1792,53),0)</f>
        <v/>
      </c>
      <c r="BE1792">
        <f>IFERROR(INDEX(PP_Grid[#Data],$DE1792,54),0)</f>
        <v/>
      </c>
      <c r="BF1792">
        <f>IFERROR(INDEX(PP_Grid[#Data],$DE1792,55),0)</f>
        <v/>
      </c>
      <c r="BG1792">
        <f>IFERROR(INDEX(PP_Grid[#Data],$DE1792,56),0)</f>
        <v/>
      </c>
      <c r="BH1792">
        <f>IFERROR(INDEX(PP_Grid[#Data],$DE1792,57),0)</f>
        <v/>
      </c>
      <c r="BI1792">
        <f>IFERROR(INDEX(PP_Grid[#Data],$DE1792,58),0)</f>
        <v/>
      </c>
      <c r="BJ1792">
        <f>IFERROR(INDEX(PP_Grid[#Data],$DE1792,59),0)</f>
        <v/>
      </c>
      <c r="BK1792">
        <f>IFERROR(INDEX(PP_Grid[#Data],$DE1792,60),0)</f>
        <v/>
      </c>
      <c r="BL1792">
        <f>IFERROR(INDEX(PP_Grid[#Data],$DE1792,61),0)</f>
        <v/>
      </c>
      <c r="BM1792">
        <f>IFERROR(INDEX(PP_Grid[#Data],$DE1792,62),0)</f>
        <v/>
      </c>
      <c r="BN1792">
        <f>IFERROR(INDEX(PP_Grid[#Data],$DE1792,63),0)</f>
        <v/>
      </c>
      <c r="BO1792">
        <f>IFERROR(INDEX(PP_Grid[#Data],$DE1792,64),0)</f>
        <v/>
      </c>
      <c r="BP1792">
        <f>IFERROR(INDEX(PP_Grid[#Data],$DE1792,65),0)</f>
        <v/>
      </c>
      <c r="BQ1792">
        <f>IFERROR(INDEX(PP_Grid[#Data],$DE1792,66),0)</f>
        <v/>
      </c>
      <c r="BR1792">
        <f>IFERROR(INDEX(PP_Grid[#Data],$DE1792,67),0)</f>
        <v/>
      </c>
      <c r="BS1792">
        <f>IFERROR(INDEX(PP_Grid[#Data],$DE1792,68),0)</f>
        <v/>
      </c>
      <c r="BT1792">
        <f>IFERROR(INDEX(PP_Grid[#Data],$DE1792,69),0)</f>
        <v/>
      </c>
      <c r="BU1792">
        <f>IFERROR(INDEX(PP_Grid[#Data],$DE1792,70),0)</f>
        <v/>
      </c>
      <c r="BV1792">
        <f>IFERROR(INDEX(PP_Grid[#Data],$DE1792,71),0)</f>
        <v/>
      </c>
      <c r="BW1792">
        <f>IFERROR(INDEX(PP_Grid[#Data],$DE1792,72),0)</f>
        <v/>
      </c>
      <c r="BX1792">
        <f>IFERROR(INDEX(PP_Grid[#Data],$DE1792,73),0)</f>
        <v/>
      </c>
      <c r="BY1792">
        <f>IFERROR(INDEX(PP_Grid[#Data],$DE1792,74),0)</f>
        <v/>
      </c>
      <c r="BZ1792">
        <f>IFERROR(INDEX(PP_Grid[#Data],$DE1792,75),0)</f>
        <v/>
      </c>
      <c r="CA1792">
        <f>IFERROR(INDEX(PP_Grid[#Data],$DE1792,76),0)</f>
        <v/>
      </c>
      <c r="CB1792">
        <f>IFERROR(INDEX(PP_Grid[#Data],$DE1792,77),0)</f>
        <v/>
      </c>
      <c r="CC1792">
        <f>IFERROR(INDEX(PP_Grid[#Data],$DE1792,78),0)</f>
        <v/>
      </c>
      <c r="CD1792">
        <f>IFERROR(INDEX(PP_Grid[#Data],$DE1792,79),0)</f>
        <v/>
      </c>
      <c r="CE1792">
        <f>IFERROR(INDEX(PP_Grid[#Data],$DE1792,80),0)</f>
        <v/>
      </c>
      <c r="CF1792">
        <f>IFERROR(INDEX(PP_Grid[#Data],$DE1792,81),0)</f>
        <v/>
      </c>
      <c r="CG1792">
        <f>IFERROR(INDEX(PP_Grid[#Data],$DE1792,82),0)</f>
        <v/>
      </c>
      <c r="CH1792">
        <f>IFERROR(INDEX(PP_Grid[#Data],$DE1792,83),0)</f>
        <v/>
      </c>
      <c r="CI1792">
        <f>IFERROR(INDEX(PP_Grid[#Data],$DE1792,84),0)</f>
        <v/>
      </c>
      <c r="CJ1792">
        <f>IFERROR(INDEX(PP_Grid[#Data],$DE1792,85),0)</f>
        <v/>
      </c>
      <c r="CK1792">
        <f>IFERROR(INDEX(PP_Grid[#Data],$DE1792,86),0)</f>
        <v/>
      </c>
      <c r="CL1792">
        <f>IFERROR(INDEX(PP_Grid[#Data],$DE1792,87),0)</f>
        <v/>
      </c>
      <c r="CM1792">
        <f>IFERROR(INDEX(PP_Grid[#Data],$DE1792,88),0)</f>
        <v/>
      </c>
      <c r="CN1792">
        <f>IFERROR(INDEX(PP_Grid[#Data],$DE1792,89),0)</f>
        <v/>
      </c>
      <c r="CO1792">
        <f>IFERROR(INDEX(PP_Grid[#Data],$DE1792,90),0)</f>
        <v/>
      </c>
      <c r="CP1792">
        <f>IFERROR(INDEX(PP_Grid[#Data],$DE1792,91),0)</f>
        <v/>
      </c>
      <c r="CQ1792">
        <f>IFERROR(INDEX(PP_Grid[#Data],$DE1792,92),0)</f>
        <v/>
      </c>
      <c r="CR1792">
        <f>IFERROR(INDEX(PP_Grid[#Data],$DE1792,93),0)</f>
        <v/>
      </c>
      <c r="CS1792">
        <f>IFERROR(INDEX(PP_Grid[#Data],$DE1792,94),0)</f>
        <v/>
      </c>
      <c r="CT1792">
        <f>IFERROR(INDEX(PP_Grid[#Data],$DE1792,95),0)</f>
        <v/>
      </c>
      <c r="CU1792">
        <f>IFERROR(INDEX(PP_Grid[#Data],$DE1792,96),0)</f>
        <v/>
      </c>
      <c r="CV1792">
        <f>IFERROR(INDEX(PP_Grid[#Data],$DE1792,97),0)</f>
        <v/>
      </c>
      <c r="CW1792">
        <f>IFERROR(INDEX(PP_Grid[#Data],$DE1792,98),0)</f>
        <v/>
      </c>
      <c r="CX1792">
        <f>IFERROR(INDEX(PP_Grid[#Data],$DE1792,99),0)</f>
        <v/>
      </c>
      <c r="CY1792">
        <f>IFERROR(INDEX(PP_Grid[#Data],$DE1792,100),0)</f>
        <v/>
      </c>
      <c r="CZ1792">
        <f>IFERROR(INDEX(PP_Grid[#Data],$DE1792,101),0)</f>
        <v/>
      </c>
      <c r="DA1792">
        <f>IFERROR(INDEX(PP_Grid[#Data],$DE1792,102),0)</f>
        <v/>
      </c>
      <c r="DB1792">
        <f>IFERROR(INDEX(PP_Grid[#Data],$DE1792,103),0)</f>
        <v/>
      </c>
      <c r="DC1792">
        <f>IFERROR(INDEX(PP_Grid[#Data],$DE1792,104),0)</f>
        <v/>
      </c>
      <c r="DD1792">
        <f>IFERROR(INDEX(PP_Grid[#Data],$DE1792,105),0)</f>
        <v/>
      </c>
      <c r="DE1792" s="7">
        <f>IFERROR(MATCH($B1792,PP_Grid[Intermediate],0),99999)</f>
        <v/>
      </c>
    </row>
    <row r="1793">
      <c r="B1793" t="inlineStr">
        <is>
          <t>使用量(kg)</t>
        </is>
      </c>
      <c r="C1793">
        <f>SUMIFS(M_BOM[RM_Qty_Per_Batch],M_BOM[Intermediate],$B1792,M_BOM[RM_Code],$A1771)</f>
        <v/>
      </c>
      <c r="D1793">
        <f>IFERROR(INDEX(E1793:DD1793,$F$1),"")</f>
        <v/>
      </c>
      <c r="E1793">
        <f>$C1793*E1792</f>
        <v/>
      </c>
      <c r="F1793">
        <f>$C1793*F1792</f>
        <v/>
      </c>
      <c r="G1793">
        <f>$C1793*G1792</f>
        <v/>
      </c>
      <c r="H1793">
        <f>$C1793*H1792</f>
        <v/>
      </c>
      <c r="I1793">
        <f>$C1793*I1792</f>
        <v/>
      </c>
      <c r="J1793">
        <f>$C1793*J1792</f>
        <v/>
      </c>
      <c r="K1793">
        <f>$C1793*K1792</f>
        <v/>
      </c>
      <c r="L1793">
        <f>$C1793*L1792</f>
        <v/>
      </c>
      <c r="M1793">
        <f>$C1793*M1792</f>
        <v/>
      </c>
      <c r="N1793">
        <f>$C1793*N1792</f>
        <v/>
      </c>
      <c r="O1793">
        <f>$C1793*O1792</f>
        <v/>
      </c>
      <c r="P1793">
        <f>$C1793*P1792</f>
        <v/>
      </c>
      <c r="Q1793">
        <f>$C1793*Q1792</f>
        <v/>
      </c>
      <c r="R1793">
        <f>$C1793*R1792</f>
        <v/>
      </c>
      <c r="S1793">
        <f>$C1793*S1792</f>
        <v/>
      </c>
      <c r="T1793">
        <f>$C1793*T1792</f>
        <v/>
      </c>
      <c r="U1793">
        <f>$C1793*U1792</f>
        <v/>
      </c>
      <c r="V1793">
        <f>$C1793*V1792</f>
        <v/>
      </c>
      <c r="W1793">
        <f>$C1793*W1792</f>
        <v/>
      </c>
      <c r="X1793">
        <f>$C1793*X1792</f>
        <v/>
      </c>
      <c r="Y1793">
        <f>$C1793*Y1792</f>
        <v/>
      </c>
      <c r="Z1793">
        <f>$C1793*Z1792</f>
        <v/>
      </c>
      <c r="AA1793">
        <f>$C1793*AA1792</f>
        <v/>
      </c>
      <c r="AB1793">
        <f>$C1793*AB1792</f>
        <v/>
      </c>
      <c r="AC1793">
        <f>$C1793*AC1792</f>
        <v/>
      </c>
      <c r="AD1793">
        <f>$C1793*AD1792</f>
        <v/>
      </c>
      <c r="AE1793">
        <f>$C1793*AE1792</f>
        <v/>
      </c>
      <c r="AF1793">
        <f>$C1793*AF1792</f>
        <v/>
      </c>
      <c r="AG1793">
        <f>$C1793*AG1792</f>
        <v/>
      </c>
      <c r="AH1793">
        <f>$C1793*AH1792</f>
        <v/>
      </c>
      <c r="AI1793">
        <f>$C1793*AI1792</f>
        <v/>
      </c>
      <c r="AJ1793">
        <f>$C1793*AJ1792</f>
        <v/>
      </c>
      <c r="AK1793">
        <f>$C1793*AK1792</f>
        <v/>
      </c>
      <c r="AL1793">
        <f>$C1793*AL1792</f>
        <v/>
      </c>
      <c r="AM1793">
        <f>$C1793*AM1792</f>
        <v/>
      </c>
      <c r="AN1793">
        <f>$C1793*AN1792</f>
        <v/>
      </c>
      <c r="AO1793">
        <f>$C1793*AO1792</f>
        <v/>
      </c>
      <c r="AP1793">
        <f>$C1793*AP1792</f>
        <v/>
      </c>
      <c r="AQ1793">
        <f>$C1793*AQ1792</f>
        <v/>
      </c>
      <c r="AR1793">
        <f>$C1793*AR1792</f>
        <v/>
      </c>
      <c r="AS1793">
        <f>$C1793*AS1792</f>
        <v/>
      </c>
      <c r="AT1793">
        <f>$C1793*AT1792</f>
        <v/>
      </c>
      <c r="AU1793">
        <f>$C1793*AU1792</f>
        <v/>
      </c>
      <c r="AV1793">
        <f>$C1793*AV1792</f>
        <v/>
      </c>
      <c r="AW1793">
        <f>$C1793*AW1792</f>
        <v/>
      </c>
      <c r="AX1793">
        <f>$C1793*AX1792</f>
        <v/>
      </c>
      <c r="AY1793">
        <f>$C1793*AY1792</f>
        <v/>
      </c>
      <c r="AZ1793">
        <f>$C1793*AZ1792</f>
        <v/>
      </c>
      <c r="BA1793">
        <f>$C1793*BA1792</f>
        <v/>
      </c>
      <c r="BB1793">
        <f>$C1793*BB1792</f>
        <v/>
      </c>
      <c r="BC1793">
        <f>$C1793*BC1792</f>
        <v/>
      </c>
      <c r="BD1793">
        <f>$C1793*BD1792</f>
        <v/>
      </c>
      <c r="BE1793">
        <f>$C1793*BE1792</f>
        <v/>
      </c>
      <c r="BF1793">
        <f>$C1793*BF1792</f>
        <v/>
      </c>
      <c r="BG1793">
        <f>$C1793*BG1792</f>
        <v/>
      </c>
      <c r="BH1793">
        <f>$C1793*BH1792</f>
        <v/>
      </c>
      <c r="BI1793">
        <f>$C1793*BI1792</f>
        <v/>
      </c>
      <c r="BJ1793">
        <f>$C1793*BJ1792</f>
        <v/>
      </c>
      <c r="BK1793">
        <f>$C1793*BK1792</f>
        <v/>
      </c>
      <c r="BL1793">
        <f>$C1793*BL1792</f>
        <v/>
      </c>
      <c r="BM1793">
        <f>$C1793*BM1792</f>
        <v/>
      </c>
      <c r="BN1793">
        <f>$C1793*BN1792</f>
        <v/>
      </c>
      <c r="BO1793">
        <f>$C1793*BO1792</f>
        <v/>
      </c>
      <c r="BP1793">
        <f>$C1793*BP1792</f>
        <v/>
      </c>
      <c r="BQ1793">
        <f>$C1793*BQ1792</f>
        <v/>
      </c>
      <c r="BR1793">
        <f>$C1793*BR1792</f>
        <v/>
      </c>
      <c r="BS1793">
        <f>$C1793*BS1792</f>
        <v/>
      </c>
      <c r="BT1793">
        <f>$C1793*BT1792</f>
        <v/>
      </c>
      <c r="BU1793">
        <f>$C1793*BU1792</f>
        <v/>
      </c>
      <c r="BV1793">
        <f>$C1793*BV1792</f>
        <v/>
      </c>
      <c r="BW1793">
        <f>$C1793*BW1792</f>
        <v/>
      </c>
      <c r="BX1793">
        <f>$C1793*BX1792</f>
        <v/>
      </c>
      <c r="BY1793">
        <f>$C1793*BY1792</f>
        <v/>
      </c>
      <c r="BZ1793">
        <f>$C1793*BZ1792</f>
        <v/>
      </c>
      <c r="CA1793">
        <f>$C1793*CA1792</f>
        <v/>
      </c>
      <c r="CB1793">
        <f>$C1793*CB1792</f>
        <v/>
      </c>
      <c r="CC1793">
        <f>$C1793*CC1792</f>
        <v/>
      </c>
      <c r="CD1793">
        <f>$C1793*CD1792</f>
        <v/>
      </c>
      <c r="CE1793">
        <f>$C1793*CE1792</f>
        <v/>
      </c>
      <c r="CF1793">
        <f>$C1793*CF1792</f>
        <v/>
      </c>
      <c r="CG1793">
        <f>$C1793*CG1792</f>
        <v/>
      </c>
      <c r="CH1793">
        <f>$C1793*CH1792</f>
        <v/>
      </c>
      <c r="CI1793">
        <f>$C1793*CI1792</f>
        <v/>
      </c>
      <c r="CJ1793">
        <f>$C1793*CJ1792</f>
        <v/>
      </c>
      <c r="CK1793">
        <f>$C1793*CK1792</f>
        <v/>
      </c>
      <c r="CL1793">
        <f>$C1793*CL1792</f>
        <v/>
      </c>
      <c r="CM1793">
        <f>$C1793*CM1792</f>
        <v/>
      </c>
      <c r="CN1793">
        <f>$C1793*CN1792</f>
        <v/>
      </c>
      <c r="CO1793">
        <f>$C1793*CO1792</f>
        <v/>
      </c>
      <c r="CP1793">
        <f>$C1793*CP1792</f>
        <v/>
      </c>
      <c r="CQ1793">
        <f>$C1793*CQ1792</f>
        <v/>
      </c>
      <c r="CR1793">
        <f>$C1793*CR1792</f>
        <v/>
      </c>
      <c r="CS1793">
        <f>$C1793*CS1792</f>
        <v/>
      </c>
      <c r="CT1793">
        <f>$C1793*CT1792</f>
        <v/>
      </c>
      <c r="CU1793">
        <f>$C1793*CU1792</f>
        <v/>
      </c>
      <c r="CV1793">
        <f>$C1793*CV1792</f>
        <v/>
      </c>
      <c r="CW1793">
        <f>$C1793*CW1792</f>
        <v/>
      </c>
      <c r="CX1793">
        <f>$C1793*CX1792</f>
        <v/>
      </c>
      <c r="CY1793">
        <f>$C1793*CY1792</f>
        <v/>
      </c>
      <c r="CZ1793">
        <f>$C1793*CZ1792</f>
        <v/>
      </c>
      <c r="DA1793">
        <f>$C1793*DA1792</f>
        <v/>
      </c>
      <c r="DB1793">
        <f>$C1793*DB1792</f>
        <v/>
      </c>
      <c r="DC1793">
        <f>$C1793*DC1792</f>
        <v/>
      </c>
      <c r="DD1793">
        <f>$C1793*DD1792</f>
        <v/>
      </c>
    </row>
    <row r="1794">
      <c r="B1794" t="inlineStr">
        <is>
          <t>TSP-935</t>
        </is>
      </c>
      <c r="C1794" t="inlineStr">
        <is>
          <t>No. of batches</t>
        </is>
      </c>
      <c r="D1794">
        <f>IFERROR(INDEX(E1794:DD1794,$F$1),"")</f>
        <v/>
      </c>
      <c r="E1794">
        <f>IFERROR(INDEX(PP_Grid[#Data],$DE1794,2),0)</f>
        <v/>
      </c>
      <c r="F1794">
        <f>IFERROR(INDEX(PP_Grid[#Data],$DE1794,3),0)</f>
        <v/>
      </c>
      <c r="G1794">
        <f>IFERROR(INDEX(PP_Grid[#Data],$DE1794,4),0)</f>
        <v/>
      </c>
      <c r="H1794">
        <f>IFERROR(INDEX(PP_Grid[#Data],$DE1794,5),0)</f>
        <v/>
      </c>
      <c r="I1794">
        <f>IFERROR(INDEX(PP_Grid[#Data],$DE1794,6),0)</f>
        <v/>
      </c>
      <c r="J1794">
        <f>IFERROR(INDEX(PP_Grid[#Data],$DE1794,7),0)</f>
        <v/>
      </c>
      <c r="K1794">
        <f>IFERROR(INDEX(PP_Grid[#Data],$DE1794,8),0)</f>
        <v/>
      </c>
      <c r="L1794">
        <f>IFERROR(INDEX(PP_Grid[#Data],$DE1794,9),0)</f>
        <v/>
      </c>
      <c r="M1794">
        <f>IFERROR(INDEX(PP_Grid[#Data],$DE1794,10),0)</f>
        <v/>
      </c>
      <c r="N1794">
        <f>IFERROR(INDEX(PP_Grid[#Data],$DE1794,11),0)</f>
        <v/>
      </c>
      <c r="O1794">
        <f>IFERROR(INDEX(PP_Grid[#Data],$DE1794,12),0)</f>
        <v/>
      </c>
      <c r="P1794">
        <f>IFERROR(INDEX(PP_Grid[#Data],$DE1794,13),0)</f>
        <v/>
      </c>
      <c r="Q1794">
        <f>IFERROR(INDEX(PP_Grid[#Data],$DE1794,14),0)</f>
        <v/>
      </c>
      <c r="R1794">
        <f>IFERROR(INDEX(PP_Grid[#Data],$DE1794,15),0)</f>
        <v/>
      </c>
      <c r="S1794">
        <f>IFERROR(INDEX(PP_Grid[#Data],$DE1794,16),0)</f>
        <v/>
      </c>
      <c r="T1794">
        <f>IFERROR(INDEX(PP_Grid[#Data],$DE1794,17),0)</f>
        <v/>
      </c>
      <c r="U1794">
        <f>IFERROR(INDEX(PP_Grid[#Data],$DE1794,18),0)</f>
        <v/>
      </c>
      <c r="V1794">
        <f>IFERROR(INDEX(PP_Grid[#Data],$DE1794,19),0)</f>
        <v/>
      </c>
      <c r="W1794">
        <f>IFERROR(INDEX(PP_Grid[#Data],$DE1794,20),0)</f>
        <v/>
      </c>
      <c r="X1794">
        <f>IFERROR(INDEX(PP_Grid[#Data],$DE1794,21),0)</f>
        <v/>
      </c>
      <c r="Y1794">
        <f>IFERROR(INDEX(PP_Grid[#Data],$DE1794,22),0)</f>
        <v/>
      </c>
      <c r="Z1794">
        <f>IFERROR(INDEX(PP_Grid[#Data],$DE1794,23),0)</f>
        <v/>
      </c>
      <c r="AA1794">
        <f>IFERROR(INDEX(PP_Grid[#Data],$DE1794,24),0)</f>
        <v/>
      </c>
      <c r="AB1794">
        <f>IFERROR(INDEX(PP_Grid[#Data],$DE1794,25),0)</f>
        <v/>
      </c>
      <c r="AC1794">
        <f>IFERROR(INDEX(PP_Grid[#Data],$DE1794,26),0)</f>
        <v/>
      </c>
      <c r="AD1794">
        <f>IFERROR(INDEX(PP_Grid[#Data],$DE1794,27),0)</f>
        <v/>
      </c>
      <c r="AE1794">
        <f>IFERROR(INDEX(PP_Grid[#Data],$DE1794,28),0)</f>
        <v/>
      </c>
      <c r="AF1794">
        <f>IFERROR(INDEX(PP_Grid[#Data],$DE1794,29),0)</f>
        <v/>
      </c>
      <c r="AG1794">
        <f>IFERROR(INDEX(PP_Grid[#Data],$DE1794,30),0)</f>
        <v/>
      </c>
      <c r="AH1794">
        <f>IFERROR(INDEX(PP_Grid[#Data],$DE1794,31),0)</f>
        <v/>
      </c>
      <c r="AI1794">
        <f>IFERROR(INDEX(PP_Grid[#Data],$DE1794,32),0)</f>
        <v/>
      </c>
      <c r="AJ1794">
        <f>IFERROR(INDEX(PP_Grid[#Data],$DE1794,33),0)</f>
        <v/>
      </c>
      <c r="AK1794">
        <f>IFERROR(INDEX(PP_Grid[#Data],$DE1794,34),0)</f>
        <v/>
      </c>
      <c r="AL1794">
        <f>IFERROR(INDEX(PP_Grid[#Data],$DE1794,35),0)</f>
        <v/>
      </c>
      <c r="AM1794">
        <f>IFERROR(INDEX(PP_Grid[#Data],$DE1794,36),0)</f>
        <v/>
      </c>
      <c r="AN1794">
        <f>IFERROR(INDEX(PP_Grid[#Data],$DE1794,37),0)</f>
        <v/>
      </c>
      <c r="AO1794">
        <f>IFERROR(INDEX(PP_Grid[#Data],$DE1794,38),0)</f>
        <v/>
      </c>
      <c r="AP1794">
        <f>IFERROR(INDEX(PP_Grid[#Data],$DE1794,39),0)</f>
        <v/>
      </c>
      <c r="AQ1794">
        <f>IFERROR(INDEX(PP_Grid[#Data],$DE1794,40),0)</f>
        <v/>
      </c>
      <c r="AR1794">
        <f>IFERROR(INDEX(PP_Grid[#Data],$DE1794,41),0)</f>
        <v/>
      </c>
      <c r="AS1794">
        <f>IFERROR(INDEX(PP_Grid[#Data],$DE1794,42),0)</f>
        <v/>
      </c>
      <c r="AT1794">
        <f>IFERROR(INDEX(PP_Grid[#Data],$DE1794,43),0)</f>
        <v/>
      </c>
      <c r="AU1794">
        <f>IFERROR(INDEX(PP_Grid[#Data],$DE1794,44),0)</f>
        <v/>
      </c>
      <c r="AV1794">
        <f>IFERROR(INDEX(PP_Grid[#Data],$DE1794,45),0)</f>
        <v/>
      </c>
      <c r="AW1794">
        <f>IFERROR(INDEX(PP_Grid[#Data],$DE1794,46),0)</f>
        <v/>
      </c>
      <c r="AX1794">
        <f>IFERROR(INDEX(PP_Grid[#Data],$DE1794,47),0)</f>
        <v/>
      </c>
      <c r="AY1794">
        <f>IFERROR(INDEX(PP_Grid[#Data],$DE1794,48),0)</f>
        <v/>
      </c>
      <c r="AZ1794">
        <f>IFERROR(INDEX(PP_Grid[#Data],$DE1794,49),0)</f>
        <v/>
      </c>
      <c r="BA1794">
        <f>IFERROR(INDEX(PP_Grid[#Data],$DE1794,50),0)</f>
        <v/>
      </c>
      <c r="BB1794">
        <f>IFERROR(INDEX(PP_Grid[#Data],$DE1794,51),0)</f>
        <v/>
      </c>
      <c r="BC1794">
        <f>IFERROR(INDEX(PP_Grid[#Data],$DE1794,52),0)</f>
        <v/>
      </c>
      <c r="BD1794">
        <f>IFERROR(INDEX(PP_Grid[#Data],$DE1794,53),0)</f>
        <v/>
      </c>
      <c r="BE1794">
        <f>IFERROR(INDEX(PP_Grid[#Data],$DE1794,54),0)</f>
        <v/>
      </c>
      <c r="BF1794">
        <f>IFERROR(INDEX(PP_Grid[#Data],$DE1794,55),0)</f>
        <v/>
      </c>
      <c r="BG1794">
        <f>IFERROR(INDEX(PP_Grid[#Data],$DE1794,56),0)</f>
        <v/>
      </c>
      <c r="BH1794">
        <f>IFERROR(INDEX(PP_Grid[#Data],$DE1794,57),0)</f>
        <v/>
      </c>
      <c r="BI1794">
        <f>IFERROR(INDEX(PP_Grid[#Data],$DE1794,58),0)</f>
        <v/>
      </c>
      <c r="BJ1794">
        <f>IFERROR(INDEX(PP_Grid[#Data],$DE1794,59),0)</f>
        <v/>
      </c>
      <c r="BK1794">
        <f>IFERROR(INDEX(PP_Grid[#Data],$DE1794,60),0)</f>
        <v/>
      </c>
      <c r="BL1794">
        <f>IFERROR(INDEX(PP_Grid[#Data],$DE1794,61),0)</f>
        <v/>
      </c>
      <c r="BM1794">
        <f>IFERROR(INDEX(PP_Grid[#Data],$DE1794,62),0)</f>
        <v/>
      </c>
      <c r="BN1794">
        <f>IFERROR(INDEX(PP_Grid[#Data],$DE1794,63),0)</f>
        <v/>
      </c>
      <c r="BO1794">
        <f>IFERROR(INDEX(PP_Grid[#Data],$DE1794,64),0)</f>
        <v/>
      </c>
      <c r="BP1794">
        <f>IFERROR(INDEX(PP_Grid[#Data],$DE1794,65),0)</f>
        <v/>
      </c>
      <c r="BQ1794">
        <f>IFERROR(INDEX(PP_Grid[#Data],$DE1794,66),0)</f>
        <v/>
      </c>
      <c r="BR1794">
        <f>IFERROR(INDEX(PP_Grid[#Data],$DE1794,67),0)</f>
        <v/>
      </c>
      <c r="BS1794">
        <f>IFERROR(INDEX(PP_Grid[#Data],$DE1794,68),0)</f>
        <v/>
      </c>
      <c r="BT1794">
        <f>IFERROR(INDEX(PP_Grid[#Data],$DE1794,69),0)</f>
        <v/>
      </c>
      <c r="BU1794">
        <f>IFERROR(INDEX(PP_Grid[#Data],$DE1794,70),0)</f>
        <v/>
      </c>
      <c r="BV1794">
        <f>IFERROR(INDEX(PP_Grid[#Data],$DE1794,71),0)</f>
        <v/>
      </c>
      <c r="BW1794">
        <f>IFERROR(INDEX(PP_Grid[#Data],$DE1794,72),0)</f>
        <v/>
      </c>
      <c r="BX1794">
        <f>IFERROR(INDEX(PP_Grid[#Data],$DE1794,73),0)</f>
        <v/>
      </c>
      <c r="BY1794">
        <f>IFERROR(INDEX(PP_Grid[#Data],$DE1794,74),0)</f>
        <v/>
      </c>
      <c r="BZ1794">
        <f>IFERROR(INDEX(PP_Grid[#Data],$DE1794,75),0)</f>
        <v/>
      </c>
      <c r="CA1794">
        <f>IFERROR(INDEX(PP_Grid[#Data],$DE1794,76),0)</f>
        <v/>
      </c>
      <c r="CB1794">
        <f>IFERROR(INDEX(PP_Grid[#Data],$DE1794,77),0)</f>
        <v/>
      </c>
      <c r="CC1794">
        <f>IFERROR(INDEX(PP_Grid[#Data],$DE1794,78),0)</f>
        <v/>
      </c>
      <c r="CD1794">
        <f>IFERROR(INDEX(PP_Grid[#Data],$DE1794,79),0)</f>
        <v/>
      </c>
      <c r="CE1794">
        <f>IFERROR(INDEX(PP_Grid[#Data],$DE1794,80),0)</f>
        <v/>
      </c>
      <c r="CF1794">
        <f>IFERROR(INDEX(PP_Grid[#Data],$DE1794,81),0)</f>
        <v/>
      </c>
      <c r="CG1794">
        <f>IFERROR(INDEX(PP_Grid[#Data],$DE1794,82),0)</f>
        <v/>
      </c>
      <c r="CH1794">
        <f>IFERROR(INDEX(PP_Grid[#Data],$DE1794,83),0)</f>
        <v/>
      </c>
      <c r="CI1794">
        <f>IFERROR(INDEX(PP_Grid[#Data],$DE1794,84),0)</f>
        <v/>
      </c>
      <c r="CJ1794">
        <f>IFERROR(INDEX(PP_Grid[#Data],$DE1794,85),0)</f>
        <v/>
      </c>
      <c r="CK1794">
        <f>IFERROR(INDEX(PP_Grid[#Data],$DE1794,86),0)</f>
        <v/>
      </c>
      <c r="CL1794">
        <f>IFERROR(INDEX(PP_Grid[#Data],$DE1794,87),0)</f>
        <v/>
      </c>
      <c r="CM1794">
        <f>IFERROR(INDEX(PP_Grid[#Data],$DE1794,88),0)</f>
        <v/>
      </c>
      <c r="CN1794">
        <f>IFERROR(INDEX(PP_Grid[#Data],$DE1794,89),0)</f>
        <v/>
      </c>
      <c r="CO1794">
        <f>IFERROR(INDEX(PP_Grid[#Data],$DE1794,90),0)</f>
        <v/>
      </c>
      <c r="CP1794">
        <f>IFERROR(INDEX(PP_Grid[#Data],$DE1794,91),0)</f>
        <v/>
      </c>
      <c r="CQ1794">
        <f>IFERROR(INDEX(PP_Grid[#Data],$DE1794,92),0)</f>
        <v/>
      </c>
      <c r="CR1794">
        <f>IFERROR(INDEX(PP_Grid[#Data],$DE1794,93),0)</f>
        <v/>
      </c>
      <c r="CS1794">
        <f>IFERROR(INDEX(PP_Grid[#Data],$DE1794,94),0)</f>
        <v/>
      </c>
      <c r="CT1794">
        <f>IFERROR(INDEX(PP_Grid[#Data],$DE1794,95),0)</f>
        <v/>
      </c>
      <c r="CU1794">
        <f>IFERROR(INDEX(PP_Grid[#Data],$DE1794,96),0)</f>
        <v/>
      </c>
      <c r="CV1794">
        <f>IFERROR(INDEX(PP_Grid[#Data],$DE1794,97),0)</f>
        <v/>
      </c>
      <c r="CW1794">
        <f>IFERROR(INDEX(PP_Grid[#Data],$DE1794,98),0)</f>
        <v/>
      </c>
      <c r="CX1794">
        <f>IFERROR(INDEX(PP_Grid[#Data],$DE1794,99),0)</f>
        <v/>
      </c>
      <c r="CY1794">
        <f>IFERROR(INDEX(PP_Grid[#Data],$DE1794,100),0)</f>
        <v/>
      </c>
      <c r="CZ1794">
        <f>IFERROR(INDEX(PP_Grid[#Data],$DE1794,101),0)</f>
        <v/>
      </c>
      <c r="DA1794">
        <f>IFERROR(INDEX(PP_Grid[#Data],$DE1794,102),0)</f>
        <v/>
      </c>
      <c r="DB1794">
        <f>IFERROR(INDEX(PP_Grid[#Data],$DE1794,103),0)</f>
        <v/>
      </c>
      <c r="DC1794">
        <f>IFERROR(INDEX(PP_Grid[#Data],$DE1794,104),0)</f>
        <v/>
      </c>
      <c r="DD1794">
        <f>IFERROR(INDEX(PP_Grid[#Data],$DE1794,105),0)</f>
        <v/>
      </c>
      <c r="DE1794" s="7">
        <f>IFERROR(MATCH($B1794,PP_Grid[Intermediate],0),99999)</f>
        <v/>
      </c>
    </row>
    <row r="1795">
      <c r="B1795" t="inlineStr">
        <is>
          <t>使用量(kg)</t>
        </is>
      </c>
      <c r="C1795">
        <f>SUMIFS(M_BOM[RM_Qty_Per_Batch],M_BOM[Intermediate],$B1794,M_BOM[RM_Code],$A1771)</f>
        <v/>
      </c>
      <c r="D1795">
        <f>IFERROR(INDEX(E1795:DD1795,$F$1),"")</f>
        <v/>
      </c>
      <c r="E1795">
        <f>$C1795*E1794</f>
        <v/>
      </c>
      <c r="F1795">
        <f>$C1795*F1794</f>
        <v/>
      </c>
      <c r="G1795">
        <f>$C1795*G1794</f>
        <v/>
      </c>
      <c r="H1795">
        <f>$C1795*H1794</f>
        <v/>
      </c>
      <c r="I1795">
        <f>$C1795*I1794</f>
        <v/>
      </c>
      <c r="J1795">
        <f>$C1795*J1794</f>
        <v/>
      </c>
      <c r="K1795">
        <f>$C1795*K1794</f>
        <v/>
      </c>
      <c r="L1795">
        <f>$C1795*L1794</f>
        <v/>
      </c>
      <c r="M1795">
        <f>$C1795*M1794</f>
        <v/>
      </c>
      <c r="N1795">
        <f>$C1795*N1794</f>
        <v/>
      </c>
      <c r="O1795">
        <f>$C1795*O1794</f>
        <v/>
      </c>
      <c r="P1795">
        <f>$C1795*P1794</f>
        <v/>
      </c>
      <c r="Q1795">
        <f>$C1795*Q1794</f>
        <v/>
      </c>
      <c r="R1795">
        <f>$C1795*R1794</f>
        <v/>
      </c>
      <c r="S1795">
        <f>$C1795*S1794</f>
        <v/>
      </c>
      <c r="T1795">
        <f>$C1795*T1794</f>
        <v/>
      </c>
      <c r="U1795">
        <f>$C1795*U1794</f>
        <v/>
      </c>
      <c r="V1795">
        <f>$C1795*V1794</f>
        <v/>
      </c>
      <c r="W1795">
        <f>$C1795*W1794</f>
        <v/>
      </c>
      <c r="X1795">
        <f>$C1795*X1794</f>
        <v/>
      </c>
      <c r="Y1795">
        <f>$C1795*Y1794</f>
        <v/>
      </c>
      <c r="Z1795">
        <f>$C1795*Z1794</f>
        <v/>
      </c>
      <c r="AA1795">
        <f>$C1795*AA1794</f>
        <v/>
      </c>
      <c r="AB1795">
        <f>$C1795*AB1794</f>
        <v/>
      </c>
      <c r="AC1795">
        <f>$C1795*AC1794</f>
        <v/>
      </c>
      <c r="AD1795">
        <f>$C1795*AD1794</f>
        <v/>
      </c>
      <c r="AE1795">
        <f>$C1795*AE1794</f>
        <v/>
      </c>
      <c r="AF1795">
        <f>$C1795*AF1794</f>
        <v/>
      </c>
      <c r="AG1795">
        <f>$C1795*AG1794</f>
        <v/>
      </c>
      <c r="AH1795">
        <f>$C1795*AH1794</f>
        <v/>
      </c>
      <c r="AI1795">
        <f>$C1795*AI1794</f>
        <v/>
      </c>
      <c r="AJ1795">
        <f>$C1795*AJ1794</f>
        <v/>
      </c>
      <c r="AK1795">
        <f>$C1795*AK1794</f>
        <v/>
      </c>
      <c r="AL1795">
        <f>$C1795*AL1794</f>
        <v/>
      </c>
      <c r="AM1795">
        <f>$C1795*AM1794</f>
        <v/>
      </c>
      <c r="AN1795">
        <f>$C1795*AN1794</f>
        <v/>
      </c>
      <c r="AO1795">
        <f>$C1795*AO1794</f>
        <v/>
      </c>
      <c r="AP1795">
        <f>$C1795*AP1794</f>
        <v/>
      </c>
      <c r="AQ1795">
        <f>$C1795*AQ1794</f>
        <v/>
      </c>
      <c r="AR1795">
        <f>$C1795*AR1794</f>
        <v/>
      </c>
      <c r="AS1795">
        <f>$C1795*AS1794</f>
        <v/>
      </c>
      <c r="AT1795">
        <f>$C1795*AT1794</f>
        <v/>
      </c>
      <c r="AU1795">
        <f>$C1795*AU1794</f>
        <v/>
      </c>
      <c r="AV1795">
        <f>$C1795*AV1794</f>
        <v/>
      </c>
      <c r="AW1795">
        <f>$C1795*AW1794</f>
        <v/>
      </c>
      <c r="AX1795">
        <f>$C1795*AX1794</f>
        <v/>
      </c>
      <c r="AY1795">
        <f>$C1795*AY1794</f>
        <v/>
      </c>
      <c r="AZ1795">
        <f>$C1795*AZ1794</f>
        <v/>
      </c>
      <c r="BA1795">
        <f>$C1795*BA1794</f>
        <v/>
      </c>
      <c r="BB1795">
        <f>$C1795*BB1794</f>
        <v/>
      </c>
      <c r="BC1795">
        <f>$C1795*BC1794</f>
        <v/>
      </c>
      <c r="BD1795">
        <f>$C1795*BD1794</f>
        <v/>
      </c>
      <c r="BE1795">
        <f>$C1795*BE1794</f>
        <v/>
      </c>
      <c r="BF1795">
        <f>$C1795*BF1794</f>
        <v/>
      </c>
      <c r="BG1795">
        <f>$C1795*BG1794</f>
        <v/>
      </c>
      <c r="BH1795">
        <f>$C1795*BH1794</f>
        <v/>
      </c>
      <c r="BI1795">
        <f>$C1795*BI1794</f>
        <v/>
      </c>
      <c r="BJ1795">
        <f>$C1795*BJ1794</f>
        <v/>
      </c>
      <c r="BK1795">
        <f>$C1795*BK1794</f>
        <v/>
      </c>
      <c r="BL1795">
        <f>$C1795*BL1794</f>
        <v/>
      </c>
      <c r="BM1795">
        <f>$C1795*BM1794</f>
        <v/>
      </c>
      <c r="BN1795">
        <f>$C1795*BN1794</f>
        <v/>
      </c>
      <c r="BO1795">
        <f>$C1795*BO1794</f>
        <v/>
      </c>
      <c r="BP1795">
        <f>$C1795*BP1794</f>
        <v/>
      </c>
      <c r="BQ1795">
        <f>$C1795*BQ1794</f>
        <v/>
      </c>
      <c r="BR1795">
        <f>$C1795*BR1794</f>
        <v/>
      </c>
      <c r="BS1795">
        <f>$C1795*BS1794</f>
        <v/>
      </c>
      <c r="BT1795">
        <f>$C1795*BT1794</f>
        <v/>
      </c>
      <c r="BU1795">
        <f>$C1795*BU1794</f>
        <v/>
      </c>
      <c r="BV1795">
        <f>$C1795*BV1794</f>
        <v/>
      </c>
      <c r="BW1795">
        <f>$C1795*BW1794</f>
        <v/>
      </c>
      <c r="BX1795">
        <f>$C1795*BX1794</f>
        <v/>
      </c>
      <c r="BY1795">
        <f>$C1795*BY1794</f>
        <v/>
      </c>
      <c r="BZ1795">
        <f>$C1795*BZ1794</f>
        <v/>
      </c>
      <c r="CA1795">
        <f>$C1795*CA1794</f>
        <v/>
      </c>
      <c r="CB1795">
        <f>$C1795*CB1794</f>
        <v/>
      </c>
      <c r="CC1795">
        <f>$C1795*CC1794</f>
        <v/>
      </c>
      <c r="CD1795">
        <f>$C1795*CD1794</f>
        <v/>
      </c>
      <c r="CE1795">
        <f>$C1795*CE1794</f>
        <v/>
      </c>
      <c r="CF1795">
        <f>$C1795*CF1794</f>
        <v/>
      </c>
      <c r="CG1795">
        <f>$C1795*CG1794</f>
        <v/>
      </c>
      <c r="CH1795">
        <f>$C1795*CH1794</f>
        <v/>
      </c>
      <c r="CI1795">
        <f>$C1795*CI1794</f>
        <v/>
      </c>
      <c r="CJ1795">
        <f>$C1795*CJ1794</f>
        <v/>
      </c>
      <c r="CK1795">
        <f>$C1795*CK1794</f>
        <v/>
      </c>
      <c r="CL1795">
        <f>$C1795*CL1794</f>
        <v/>
      </c>
      <c r="CM1795">
        <f>$C1795*CM1794</f>
        <v/>
      </c>
      <c r="CN1795">
        <f>$C1795*CN1794</f>
        <v/>
      </c>
      <c r="CO1795">
        <f>$C1795*CO1794</f>
        <v/>
      </c>
      <c r="CP1795">
        <f>$C1795*CP1794</f>
        <v/>
      </c>
      <c r="CQ1795">
        <f>$C1795*CQ1794</f>
        <v/>
      </c>
      <c r="CR1795">
        <f>$C1795*CR1794</f>
        <v/>
      </c>
      <c r="CS1795">
        <f>$C1795*CS1794</f>
        <v/>
      </c>
      <c r="CT1795">
        <f>$C1795*CT1794</f>
        <v/>
      </c>
      <c r="CU1795">
        <f>$C1795*CU1794</f>
        <v/>
      </c>
      <c r="CV1795">
        <f>$C1795*CV1794</f>
        <v/>
      </c>
      <c r="CW1795">
        <f>$C1795*CW1794</f>
        <v/>
      </c>
      <c r="CX1795">
        <f>$C1795*CX1794</f>
        <v/>
      </c>
      <c r="CY1795">
        <f>$C1795*CY1794</f>
        <v/>
      </c>
      <c r="CZ1795">
        <f>$C1795*CZ1794</f>
        <v/>
      </c>
      <c r="DA1795">
        <f>$C1795*DA1794</f>
        <v/>
      </c>
      <c r="DB1795">
        <f>$C1795*DB1794</f>
        <v/>
      </c>
      <c r="DC1795">
        <f>$C1795*DC1794</f>
        <v/>
      </c>
      <c r="DD1795">
        <f>$C1795*DD1794</f>
        <v/>
      </c>
    </row>
    <row r="1796">
      <c r="B1796" t="inlineStr">
        <is>
          <t>TSP-937</t>
        </is>
      </c>
      <c r="C1796" t="inlineStr">
        <is>
          <t>No. of batches</t>
        </is>
      </c>
      <c r="D1796">
        <f>IFERROR(INDEX(E1796:DD1796,$F$1),"")</f>
        <v/>
      </c>
      <c r="E1796">
        <f>IFERROR(INDEX(PP_Grid[#Data],$DE1796,2),0)</f>
        <v/>
      </c>
      <c r="F1796">
        <f>IFERROR(INDEX(PP_Grid[#Data],$DE1796,3),0)</f>
        <v/>
      </c>
      <c r="G1796">
        <f>IFERROR(INDEX(PP_Grid[#Data],$DE1796,4),0)</f>
        <v/>
      </c>
      <c r="H1796">
        <f>IFERROR(INDEX(PP_Grid[#Data],$DE1796,5),0)</f>
        <v/>
      </c>
      <c r="I1796">
        <f>IFERROR(INDEX(PP_Grid[#Data],$DE1796,6),0)</f>
        <v/>
      </c>
      <c r="J1796">
        <f>IFERROR(INDEX(PP_Grid[#Data],$DE1796,7),0)</f>
        <v/>
      </c>
      <c r="K1796">
        <f>IFERROR(INDEX(PP_Grid[#Data],$DE1796,8),0)</f>
        <v/>
      </c>
      <c r="L1796">
        <f>IFERROR(INDEX(PP_Grid[#Data],$DE1796,9),0)</f>
        <v/>
      </c>
      <c r="M1796">
        <f>IFERROR(INDEX(PP_Grid[#Data],$DE1796,10),0)</f>
        <v/>
      </c>
      <c r="N1796">
        <f>IFERROR(INDEX(PP_Grid[#Data],$DE1796,11),0)</f>
        <v/>
      </c>
      <c r="O1796">
        <f>IFERROR(INDEX(PP_Grid[#Data],$DE1796,12),0)</f>
        <v/>
      </c>
      <c r="P1796">
        <f>IFERROR(INDEX(PP_Grid[#Data],$DE1796,13),0)</f>
        <v/>
      </c>
      <c r="Q1796">
        <f>IFERROR(INDEX(PP_Grid[#Data],$DE1796,14),0)</f>
        <v/>
      </c>
      <c r="R1796">
        <f>IFERROR(INDEX(PP_Grid[#Data],$DE1796,15),0)</f>
        <v/>
      </c>
      <c r="S1796">
        <f>IFERROR(INDEX(PP_Grid[#Data],$DE1796,16),0)</f>
        <v/>
      </c>
      <c r="T1796">
        <f>IFERROR(INDEX(PP_Grid[#Data],$DE1796,17),0)</f>
        <v/>
      </c>
      <c r="U1796">
        <f>IFERROR(INDEX(PP_Grid[#Data],$DE1796,18),0)</f>
        <v/>
      </c>
      <c r="V1796">
        <f>IFERROR(INDEX(PP_Grid[#Data],$DE1796,19),0)</f>
        <v/>
      </c>
      <c r="W1796">
        <f>IFERROR(INDEX(PP_Grid[#Data],$DE1796,20),0)</f>
        <v/>
      </c>
      <c r="X1796">
        <f>IFERROR(INDEX(PP_Grid[#Data],$DE1796,21),0)</f>
        <v/>
      </c>
      <c r="Y1796">
        <f>IFERROR(INDEX(PP_Grid[#Data],$DE1796,22),0)</f>
        <v/>
      </c>
      <c r="Z1796">
        <f>IFERROR(INDEX(PP_Grid[#Data],$DE1796,23),0)</f>
        <v/>
      </c>
      <c r="AA1796">
        <f>IFERROR(INDEX(PP_Grid[#Data],$DE1796,24),0)</f>
        <v/>
      </c>
      <c r="AB1796">
        <f>IFERROR(INDEX(PP_Grid[#Data],$DE1796,25),0)</f>
        <v/>
      </c>
      <c r="AC1796">
        <f>IFERROR(INDEX(PP_Grid[#Data],$DE1796,26),0)</f>
        <v/>
      </c>
      <c r="AD1796">
        <f>IFERROR(INDEX(PP_Grid[#Data],$DE1796,27),0)</f>
        <v/>
      </c>
      <c r="AE1796">
        <f>IFERROR(INDEX(PP_Grid[#Data],$DE1796,28),0)</f>
        <v/>
      </c>
      <c r="AF1796">
        <f>IFERROR(INDEX(PP_Grid[#Data],$DE1796,29),0)</f>
        <v/>
      </c>
      <c r="AG1796">
        <f>IFERROR(INDEX(PP_Grid[#Data],$DE1796,30),0)</f>
        <v/>
      </c>
      <c r="AH1796">
        <f>IFERROR(INDEX(PP_Grid[#Data],$DE1796,31),0)</f>
        <v/>
      </c>
      <c r="AI1796">
        <f>IFERROR(INDEX(PP_Grid[#Data],$DE1796,32),0)</f>
        <v/>
      </c>
      <c r="AJ1796">
        <f>IFERROR(INDEX(PP_Grid[#Data],$DE1796,33),0)</f>
        <v/>
      </c>
      <c r="AK1796">
        <f>IFERROR(INDEX(PP_Grid[#Data],$DE1796,34),0)</f>
        <v/>
      </c>
      <c r="AL1796">
        <f>IFERROR(INDEX(PP_Grid[#Data],$DE1796,35),0)</f>
        <v/>
      </c>
      <c r="AM1796">
        <f>IFERROR(INDEX(PP_Grid[#Data],$DE1796,36),0)</f>
        <v/>
      </c>
      <c r="AN1796">
        <f>IFERROR(INDEX(PP_Grid[#Data],$DE1796,37),0)</f>
        <v/>
      </c>
      <c r="AO1796">
        <f>IFERROR(INDEX(PP_Grid[#Data],$DE1796,38),0)</f>
        <v/>
      </c>
      <c r="AP1796">
        <f>IFERROR(INDEX(PP_Grid[#Data],$DE1796,39),0)</f>
        <v/>
      </c>
      <c r="AQ1796">
        <f>IFERROR(INDEX(PP_Grid[#Data],$DE1796,40),0)</f>
        <v/>
      </c>
      <c r="AR1796">
        <f>IFERROR(INDEX(PP_Grid[#Data],$DE1796,41),0)</f>
        <v/>
      </c>
      <c r="AS1796">
        <f>IFERROR(INDEX(PP_Grid[#Data],$DE1796,42),0)</f>
        <v/>
      </c>
      <c r="AT1796">
        <f>IFERROR(INDEX(PP_Grid[#Data],$DE1796,43),0)</f>
        <v/>
      </c>
      <c r="AU1796">
        <f>IFERROR(INDEX(PP_Grid[#Data],$DE1796,44),0)</f>
        <v/>
      </c>
      <c r="AV1796">
        <f>IFERROR(INDEX(PP_Grid[#Data],$DE1796,45),0)</f>
        <v/>
      </c>
      <c r="AW1796">
        <f>IFERROR(INDEX(PP_Grid[#Data],$DE1796,46),0)</f>
        <v/>
      </c>
      <c r="AX1796">
        <f>IFERROR(INDEX(PP_Grid[#Data],$DE1796,47),0)</f>
        <v/>
      </c>
      <c r="AY1796">
        <f>IFERROR(INDEX(PP_Grid[#Data],$DE1796,48),0)</f>
        <v/>
      </c>
      <c r="AZ1796">
        <f>IFERROR(INDEX(PP_Grid[#Data],$DE1796,49),0)</f>
        <v/>
      </c>
      <c r="BA1796">
        <f>IFERROR(INDEX(PP_Grid[#Data],$DE1796,50),0)</f>
        <v/>
      </c>
      <c r="BB1796">
        <f>IFERROR(INDEX(PP_Grid[#Data],$DE1796,51),0)</f>
        <v/>
      </c>
      <c r="BC1796">
        <f>IFERROR(INDEX(PP_Grid[#Data],$DE1796,52),0)</f>
        <v/>
      </c>
      <c r="BD1796">
        <f>IFERROR(INDEX(PP_Grid[#Data],$DE1796,53),0)</f>
        <v/>
      </c>
      <c r="BE1796">
        <f>IFERROR(INDEX(PP_Grid[#Data],$DE1796,54),0)</f>
        <v/>
      </c>
      <c r="BF1796">
        <f>IFERROR(INDEX(PP_Grid[#Data],$DE1796,55),0)</f>
        <v/>
      </c>
      <c r="BG1796">
        <f>IFERROR(INDEX(PP_Grid[#Data],$DE1796,56),0)</f>
        <v/>
      </c>
      <c r="BH1796">
        <f>IFERROR(INDEX(PP_Grid[#Data],$DE1796,57),0)</f>
        <v/>
      </c>
      <c r="BI1796">
        <f>IFERROR(INDEX(PP_Grid[#Data],$DE1796,58),0)</f>
        <v/>
      </c>
      <c r="BJ1796">
        <f>IFERROR(INDEX(PP_Grid[#Data],$DE1796,59),0)</f>
        <v/>
      </c>
      <c r="BK1796">
        <f>IFERROR(INDEX(PP_Grid[#Data],$DE1796,60),0)</f>
        <v/>
      </c>
      <c r="BL1796">
        <f>IFERROR(INDEX(PP_Grid[#Data],$DE1796,61),0)</f>
        <v/>
      </c>
      <c r="BM1796">
        <f>IFERROR(INDEX(PP_Grid[#Data],$DE1796,62),0)</f>
        <v/>
      </c>
      <c r="BN1796">
        <f>IFERROR(INDEX(PP_Grid[#Data],$DE1796,63),0)</f>
        <v/>
      </c>
      <c r="BO1796">
        <f>IFERROR(INDEX(PP_Grid[#Data],$DE1796,64),0)</f>
        <v/>
      </c>
      <c r="BP1796">
        <f>IFERROR(INDEX(PP_Grid[#Data],$DE1796,65),0)</f>
        <v/>
      </c>
      <c r="BQ1796">
        <f>IFERROR(INDEX(PP_Grid[#Data],$DE1796,66),0)</f>
        <v/>
      </c>
      <c r="BR1796">
        <f>IFERROR(INDEX(PP_Grid[#Data],$DE1796,67),0)</f>
        <v/>
      </c>
      <c r="BS1796">
        <f>IFERROR(INDEX(PP_Grid[#Data],$DE1796,68),0)</f>
        <v/>
      </c>
      <c r="BT1796">
        <f>IFERROR(INDEX(PP_Grid[#Data],$DE1796,69),0)</f>
        <v/>
      </c>
      <c r="BU1796">
        <f>IFERROR(INDEX(PP_Grid[#Data],$DE1796,70),0)</f>
        <v/>
      </c>
      <c r="BV1796">
        <f>IFERROR(INDEX(PP_Grid[#Data],$DE1796,71),0)</f>
        <v/>
      </c>
      <c r="BW1796">
        <f>IFERROR(INDEX(PP_Grid[#Data],$DE1796,72),0)</f>
        <v/>
      </c>
      <c r="BX1796">
        <f>IFERROR(INDEX(PP_Grid[#Data],$DE1796,73),0)</f>
        <v/>
      </c>
      <c r="BY1796">
        <f>IFERROR(INDEX(PP_Grid[#Data],$DE1796,74),0)</f>
        <v/>
      </c>
      <c r="BZ1796">
        <f>IFERROR(INDEX(PP_Grid[#Data],$DE1796,75),0)</f>
        <v/>
      </c>
      <c r="CA1796">
        <f>IFERROR(INDEX(PP_Grid[#Data],$DE1796,76),0)</f>
        <v/>
      </c>
      <c r="CB1796">
        <f>IFERROR(INDEX(PP_Grid[#Data],$DE1796,77),0)</f>
        <v/>
      </c>
      <c r="CC1796">
        <f>IFERROR(INDEX(PP_Grid[#Data],$DE1796,78),0)</f>
        <v/>
      </c>
      <c r="CD1796">
        <f>IFERROR(INDEX(PP_Grid[#Data],$DE1796,79),0)</f>
        <v/>
      </c>
      <c r="CE1796">
        <f>IFERROR(INDEX(PP_Grid[#Data],$DE1796,80),0)</f>
        <v/>
      </c>
      <c r="CF1796">
        <f>IFERROR(INDEX(PP_Grid[#Data],$DE1796,81),0)</f>
        <v/>
      </c>
      <c r="CG1796">
        <f>IFERROR(INDEX(PP_Grid[#Data],$DE1796,82),0)</f>
        <v/>
      </c>
      <c r="CH1796">
        <f>IFERROR(INDEX(PP_Grid[#Data],$DE1796,83),0)</f>
        <v/>
      </c>
      <c r="CI1796">
        <f>IFERROR(INDEX(PP_Grid[#Data],$DE1796,84),0)</f>
        <v/>
      </c>
      <c r="CJ1796">
        <f>IFERROR(INDEX(PP_Grid[#Data],$DE1796,85),0)</f>
        <v/>
      </c>
      <c r="CK1796">
        <f>IFERROR(INDEX(PP_Grid[#Data],$DE1796,86),0)</f>
        <v/>
      </c>
      <c r="CL1796">
        <f>IFERROR(INDEX(PP_Grid[#Data],$DE1796,87),0)</f>
        <v/>
      </c>
      <c r="CM1796">
        <f>IFERROR(INDEX(PP_Grid[#Data],$DE1796,88),0)</f>
        <v/>
      </c>
      <c r="CN1796">
        <f>IFERROR(INDEX(PP_Grid[#Data],$DE1796,89),0)</f>
        <v/>
      </c>
      <c r="CO1796">
        <f>IFERROR(INDEX(PP_Grid[#Data],$DE1796,90),0)</f>
        <v/>
      </c>
      <c r="CP1796">
        <f>IFERROR(INDEX(PP_Grid[#Data],$DE1796,91),0)</f>
        <v/>
      </c>
      <c r="CQ1796">
        <f>IFERROR(INDEX(PP_Grid[#Data],$DE1796,92),0)</f>
        <v/>
      </c>
      <c r="CR1796">
        <f>IFERROR(INDEX(PP_Grid[#Data],$DE1796,93),0)</f>
        <v/>
      </c>
      <c r="CS1796">
        <f>IFERROR(INDEX(PP_Grid[#Data],$DE1796,94),0)</f>
        <v/>
      </c>
      <c r="CT1796">
        <f>IFERROR(INDEX(PP_Grid[#Data],$DE1796,95),0)</f>
        <v/>
      </c>
      <c r="CU1796">
        <f>IFERROR(INDEX(PP_Grid[#Data],$DE1796,96),0)</f>
        <v/>
      </c>
      <c r="CV1796">
        <f>IFERROR(INDEX(PP_Grid[#Data],$DE1796,97),0)</f>
        <v/>
      </c>
      <c r="CW1796">
        <f>IFERROR(INDEX(PP_Grid[#Data],$DE1796,98),0)</f>
        <v/>
      </c>
      <c r="CX1796">
        <f>IFERROR(INDEX(PP_Grid[#Data],$DE1796,99),0)</f>
        <v/>
      </c>
      <c r="CY1796">
        <f>IFERROR(INDEX(PP_Grid[#Data],$DE1796,100),0)</f>
        <v/>
      </c>
      <c r="CZ1796">
        <f>IFERROR(INDEX(PP_Grid[#Data],$DE1796,101),0)</f>
        <v/>
      </c>
      <c r="DA1796">
        <f>IFERROR(INDEX(PP_Grid[#Data],$DE1796,102),0)</f>
        <v/>
      </c>
      <c r="DB1796">
        <f>IFERROR(INDEX(PP_Grid[#Data],$DE1796,103),0)</f>
        <v/>
      </c>
      <c r="DC1796">
        <f>IFERROR(INDEX(PP_Grid[#Data],$DE1796,104),0)</f>
        <v/>
      </c>
      <c r="DD1796">
        <f>IFERROR(INDEX(PP_Grid[#Data],$DE1796,105),0)</f>
        <v/>
      </c>
      <c r="DE1796" s="7">
        <f>IFERROR(MATCH($B1796,PP_Grid[Intermediate],0),99999)</f>
        <v/>
      </c>
    </row>
    <row r="1797">
      <c r="B1797" t="inlineStr">
        <is>
          <t>使用量(kg)</t>
        </is>
      </c>
      <c r="C1797">
        <f>SUMIFS(M_BOM[RM_Qty_Per_Batch],M_BOM[Intermediate],$B1796,M_BOM[RM_Code],$A1771)</f>
        <v/>
      </c>
      <c r="D1797">
        <f>IFERROR(INDEX(E1797:DD1797,$F$1),"")</f>
        <v/>
      </c>
      <c r="E1797">
        <f>$C1797*E1796</f>
        <v/>
      </c>
      <c r="F1797">
        <f>$C1797*F1796</f>
        <v/>
      </c>
      <c r="G1797">
        <f>$C1797*G1796</f>
        <v/>
      </c>
      <c r="H1797">
        <f>$C1797*H1796</f>
        <v/>
      </c>
      <c r="I1797">
        <f>$C1797*I1796</f>
        <v/>
      </c>
      <c r="J1797">
        <f>$C1797*J1796</f>
        <v/>
      </c>
      <c r="K1797">
        <f>$C1797*K1796</f>
        <v/>
      </c>
      <c r="L1797">
        <f>$C1797*L1796</f>
        <v/>
      </c>
      <c r="M1797">
        <f>$C1797*M1796</f>
        <v/>
      </c>
      <c r="N1797">
        <f>$C1797*N1796</f>
        <v/>
      </c>
      <c r="O1797">
        <f>$C1797*O1796</f>
        <v/>
      </c>
      <c r="P1797">
        <f>$C1797*P1796</f>
        <v/>
      </c>
      <c r="Q1797">
        <f>$C1797*Q1796</f>
        <v/>
      </c>
      <c r="R1797">
        <f>$C1797*R1796</f>
        <v/>
      </c>
      <c r="S1797">
        <f>$C1797*S1796</f>
        <v/>
      </c>
      <c r="T1797">
        <f>$C1797*T1796</f>
        <v/>
      </c>
      <c r="U1797">
        <f>$C1797*U1796</f>
        <v/>
      </c>
      <c r="V1797">
        <f>$C1797*V1796</f>
        <v/>
      </c>
      <c r="W1797">
        <f>$C1797*W1796</f>
        <v/>
      </c>
      <c r="X1797">
        <f>$C1797*X1796</f>
        <v/>
      </c>
      <c r="Y1797">
        <f>$C1797*Y1796</f>
        <v/>
      </c>
      <c r="Z1797">
        <f>$C1797*Z1796</f>
        <v/>
      </c>
      <c r="AA1797">
        <f>$C1797*AA1796</f>
        <v/>
      </c>
      <c r="AB1797">
        <f>$C1797*AB1796</f>
        <v/>
      </c>
      <c r="AC1797">
        <f>$C1797*AC1796</f>
        <v/>
      </c>
      <c r="AD1797">
        <f>$C1797*AD1796</f>
        <v/>
      </c>
      <c r="AE1797">
        <f>$C1797*AE1796</f>
        <v/>
      </c>
      <c r="AF1797">
        <f>$C1797*AF1796</f>
        <v/>
      </c>
      <c r="AG1797">
        <f>$C1797*AG1796</f>
        <v/>
      </c>
      <c r="AH1797">
        <f>$C1797*AH1796</f>
        <v/>
      </c>
      <c r="AI1797">
        <f>$C1797*AI1796</f>
        <v/>
      </c>
      <c r="AJ1797">
        <f>$C1797*AJ1796</f>
        <v/>
      </c>
      <c r="AK1797">
        <f>$C1797*AK1796</f>
        <v/>
      </c>
      <c r="AL1797">
        <f>$C1797*AL1796</f>
        <v/>
      </c>
      <c r="AM1797">
        <f>$C1797*AM1796</f>
        <v/>
      </c>
      <c r="AN1797">
        <f>$C1797*AN1796</f>
        <v/>
      </c>
      <c r="AO1797">
        <f>$C1797*AO1796</f>
        <v/>
      </c>
      <c r="AP1797">
        <f>$C1797*AP1796</f>
        <v/>
      </c>
      <c r="AQ1797">
        <f>$C1797*AQ1796</f>
        <v/>
      </c>
      <c r="AR1797">
        <f>$C1797*AR1796</f>
        <v/>
      </c>
      <c r="AS1797">
        <f>$C1797*AS1796</f>
        <v/>
      </c>
      <c r="AT1797">
        <f>$C1797*AT1796</f>
        <v/>
      </c>
      <c r="AU1797">
        <f>$C1797*AU1796</f>
        <v/>
      </c>
      <c r="AV1797">
        <f>$C1797*AV1796</f>
        <v/>
      </c>
      <c r="AW1797">
        <f>$C1797*AW1796</f>
        <v/>
      </c>
      <c r="AX1797">
        <f>$C1797*AX1796</f>
        <v/>
      </c>
      <c r="AY1797">
        <f>$C1797*AY1796</f>
        <v/>
      </c>
      <c r="AZ1797">
        <f>$C1797*AZ1796</f>
        <v/>
      </c>
      <c r="BA1797">
        <f>$C1797*BA1796</f>
        <v/>
      </c>
      <c r="BB1797">
        <f>$C1797*BB1796</f>
        <v/>
      </c>
      <c r="BC1797">
        <f>$C1797*BC1796</f>
        <v/>
      </c>
      <c r="BD1797">
        <f>$C1797*BD1796</f>
        <v/>
      </c>
      <c r="BE1797">
        <f>$C1797*BE1796</f>
        <v/>
      </c>
      <c r="BF1797">
        <f>$C1797*BF1796</f>
        <v/>
      </c>
      <c r="BG1797">
        <f>$C1797*BG1796</f>
        <v/>
      </c>
      <c r="BH1797">
        <f>$C1797*BH1796</f>
        <v/>
      </c>
      <c r="BI1797">
        <f>$C1797*BI1796</f>
        <v/>
      </c>
      <c r="BJ1797">
        <f>$C1797*BJ1796</f>
        <v/>
      </c>
      <c r="BK1797">
        <f>$C1797*BK1796</f>
        <v/>
      </c>
      <c r="BL1797">
        <f>$C1797*BL1796</f>
        <v/>
      </c>
      <c r="BM1797">
        <f>$C1797*BM1796</f>
        <v/>
      </c>
      <c r="BN1797">
        <f>$C1797*BN1796</f>
        <v/>
      </c>
      <c r="BO1797">
        <f>$C1797*BO1796</f>
        <v/>
      </c>
      <c r="BP1797">
        <f>$C1797*BP1796</f>
        <v/>
      </c>
      <c r="BQ1797">
        <f>$C1797*BQ1796</f>
        <v/>
      </c>
      <c r="BR1797">
        <f>$C1797*BR1796</f>
        <v/>
      </c>
      <c r="BS1797">
        <f>$C1797*BS1796</f>
        <v/>
      </c>
      <c r="BT1797">
        <f>$C1797*BT1796</f>
        <v/>
      </c>
      <c r="BU1797">
        <f>$C1797*BU1796</f>
        <v/>
      </c>
      <c r="BV1797">
        <f>$C1797*BV1796</f>
        <v/>
      </c>
      <c r="BW1797">
        <f>$C1797*BW1796</f>
        <v/>
      </c>
      <c r="BX1797">
        <f>$C1797*BX1796</f>
        <v/>
      </c>
      <c r="BY1797">
        <f>$C1797*BY1796</f>
        <v/>
      </c>
      <c r="BZ1797">
        <f>$C1797*BZ1796</f>
        <v/>
      </c>
      <c r="CA1797">
        <f>$C1797*CA1796</f>
        <v/>
      </c>
      <c r="CB1797">
        <f>$C1797*CB1796</f>
        <v/>
      </c>
      <c r="CC1797">
        <f>$C1797*CC1796</f>
        <v/>
      </c>
      <c r="CD1797">
        <f>$C1797*CD1796</f>
        <v/>
      </c>
      <c r="CE1797">
        <f>$C1797*CE1796</f>
        <v/>
      </c>
      <c r="CF1797">
        <f>$C1797*CF1796</f>
        <v/>
      </c>
      <c r="CG1797">
        <f>$C1797*CG1796</f>
        <v/>
      </c>
      <c r="CH1797">
        <f>$C1797*CH1796</f>
        <v/>
      </c>
      <c r="CI1797">
        <f>$C1797*CI1796</f>
        <v/>
      </c>
      <c r="CJ1797">
        <f>$C1797*CJ1796</f>
        <v/>
      </c>
      <c r="CK1797">
        <f>$C1797*CK1796</f>
        <v/>
      </c>
      <c r="CL1797">
        <f>$C1797*CL1796</f>
        <v/>
      </c>
      <c r="CM1797">
        <f>$C1797*CM1796</f>
        <v/>
      </c>
      <c r="CN1797">
        <f>$C1797*CN1796</f>
        <v/>
      </c>
      <c r="CO1797">
        <f>$C1797*CO1796</f>
        <v/>
      </c>
      <c r="CP1797">
        <f>$C1797*CP1796</f>
        <v/>
      </c>
      <c r="CQ1797">
        <f>$C1797*CQ1796</f>
        <v/>
      </c>
      <c r="CR1797">
        <f>$C1797*CR1796</f>
        <v/>
      </c>
      <c r="CS1797">
        <f>$C1797*CS1796</f>
        <v/>
      </c>
      <c r="CT1797">
        <f>$C1797*CT1796</f>
        <v/>
      </c>
      <c r="CU1797">
        <f>$C1797*CU1796</f>
        <v/>
      </c>
      <c r="CV1797">
        <f>$C1797*CV1796</f>
        <v/>
      </c>
      <c r="CW1797">
        <f>$C1797*CW1796</f>
        <v/>
      </c>
      <c r="CX1797">
        <f>$C1797*CX1796</f>
        <v/>
      </c>
      <c r="CY1797">
        <f>$C1797*CY1796</f>
        <v/>
      </c>
      <c r="CZ1797">
        <f>$C1797*CZ1796</f>
        <v/>
      </c>
      <c r="DA1797">
        <f>$C1797*DA1796</f>
        <v/>
      </c>
      <c r="DB1797">
        <f>$C1797*DB1796</f>
        <v/>
      </c>
      <c r="DC1797">
        <f>$C1797*DC1796</f>
        <v/>
      </c>
      <c r="DD1797">
        <f>$C1797*DD1796</f>
        <v/>
      </c>
    </row>
    <row r="1798">
      <c r="B1798" t="inlineStr">
        <is>
          <t>TSP-959</t>
        </is>
      </c>
      <c r="C1798" t="inlineStr">
        <is>
          <t>No. of batches</t>
        </is>
      </c>
      <c r="D1798">
        <f>IFERROR(INDEX(E1798:DD1798,$F$1),"")</f>
        <v/>
      </c>
      <c r="E1798">
        <f>IFERROR(INDEX(PP_Grid[#Data],$DE1798,2),0)</f>
        <v/>
      </c>
      <c r="F1798">
        <f>IFERROR(INDEX(PP_Grid[#Data],$DE1798,3),0)</f>
        <v/>
      </c>
      <c r="G1798">
        <f>IFERROR(INDEX(PP_Grid[#Data],$DE1798,4),0)</f>
        <v/>
      </c>
      <c r="H1798">
        <f>IFERROR(INDEX(PP_Grid[#Data],$DE1798,5),0)</f>
        <v/>
      </c>
      <c r="I1798">
        <f>IFERROR(INDEX(PP_Grid[#Data],$DE1798,6),0)</f>
        <v/>
      </c>
      <c r="J1798">
        <f>IFERROR(INDEX(PP_Grid[#Data],$DE1798,7),0)</f>
        <v/>
      </c>
      <c r="K1798">
        <f>IFERROR(INDEX(PP_Grid[#Data],$DE1798,8),0)</f>
        <v/>
      </c>
      <c r="L1798">
        <f>IFERROR(INDEX(PP_Grid[#Data],$DE1798,9),0)</f>
        <v/>
      </c>
      <c r="M1798">
        <f>IFERROR(INDEX(PP_Grid[#Data],$DE1798,10),0)</f>
        <v/>
      </c>
      <c r="N1798">
        <f>IFERROR(INDEX(PP_Grid[#Data],$DE1798,11),0)</f>
        <v/>
      </c>
      <c r="O1798">
        <f>IFERROR(INDEX(PP_Grid[#Data],$DE1798,12),0)</f>
        <v/>
      </c>
      <c r="P1798">
        <f>IFERROR(INDEX(PP_Grid[#Data],$DE1798,13),0)</f>
        <v/>
      </c>
      <c r="Q1798">
        <f>IFERROR(INDEX(PP_Grid[#Data],$DE1798,14),0)</f>
        <v/>
      </c>
      <c r="R1798">
        <f>IFERROR(INDEX(PP_Grid[#Data],$DE1798,15),0)</f>
        <v/>
      </c>
      <c r="S1798">
        <f>IFERROR(INDEX(PP_Grid[#Data],$DE1798,16),0)</f>
        <v/>
      </c>
      <c r="T1798">
        <f>IFERROR(INDEX(PP_Grid[#Data],$DE1798,17),0)</f>
        <v/>
      </c>
      <c r="U1798">
        <f>IFERROR(INDEX(PP_Grid[#Data],$DE1798,18),0)</f>
        <v/>
      </c>
      <c r="V1798">
        <f>IFERROR(INDEX(PP_Grid[#Data],$DE1798,19),0)</f>
        <v/>
      </c>
      <c r="W1798">
        <f>IFERROR(INDEX(PP_Grid[#Data],$DE1798,20),0)</f>
        <v/>
      </c>
      <c r="X1798">
        <f>IFERROR(INDEX(PP_Grid[#Data],$DE1798,21),0)</f>
        <v/>
      </c>
      <c r="Y1798">
        <f>IFERROR(INDEX(PP_Grid[#Data],$DE1798,22),0)</f>
        <v/>
      </c>
      <c r="Z1798">
        <f>IFERROR(INDEX(PP_Grid[#Data],$DE1798,23),0)</f>
        <v/>
      </c>
      <c r="AA1798">
        <f>IFERROR(INDEX(PP_Grid[#Data],$DE1798,24),0)</f>
        <v/>
      </c>
      <c r="AB1798">
        <f>IFERROR(INDEX(PP_Grid[#Data],$DE1798,25),0)</f>
        <v/>
      </c>
      <c r="AC1798">
        <f>IFERROR(INDEX(PP_Grid[#Data],$DE1798,26),0)</f>
        <v/>
      </c>
      <c r="AD1798">
        <f>IFERROR(INDEX(PP_Grid[#Data],$DE1798,27),0)</f>
        <v/>
      </c>
      <c r="AE1798">
        <f>IFERROR(INDEX(PP_Grid[#Data],$DE1798,28),0)</f>
        <v/>
      </c>
      <c r="AF1798">
        <f>IFERROR(INDEX(PP_Grid[#Data],$DE1798,29),0)</f>
        <v/>
      </c>
      <c r="AG1798">
        <f>IFERROR(INDEX(PP_Grid[#Data],$DE1798,30),0)</f>
        <v/>
      </c>
      <c r="AH1798">
        <f>IFERROR(INDEX(PP_Grid[#Data],$DE1798,31),0)</f>
        <v/>
      </c>
      <c r="AI1798">
        <f>IFERROR(INDEX(PP_Grid[#Data],$DE1798,32),0)</f>
        <v/>
      </c>
      <c r="AJ1798">
        <f>IFERROR(INDEX(PP_Grid[#Data],$DE1798,33),0)</f>
        <v/>
      </c>
      <c r="AK1798">
        <f>IFERROR(INDEX(PP_Grid[#Data],$DE1798,34),0)</f>
        <v/>
      </c>
      <c r="AL1798">
        <f>IFERROR(INDEX(PP_Grid[#Data],$DE1798,35),0)</f>
        <v/>
      </c>
      <c r="AM1798">
        <f>IFERROR(INDEX(PP_Grid[#Data],$DE1798,36),0)</f>
        <v/>
      </c>
      <c r="AN1798">
        <f>IFERROR(INDEX(PP_Grid[#Data],$DE1798,37),0)</f>
        <v/>
      </c>
      <c r="AO1798">
        <f>IFERROR(INDEX(PP_Grid[#Data],$DE1798,38),0)</f>
        <v/>
      </c>
      <c r="AP1798">
        <f>IFERROR(INDEX(PP_Grid[#Data],$DE1798,39),0)</f>
        <v/>
      </c>
      <c r="AQ1798">
        <f>IFERROR(INDEX(PP_Grid[#Data],$DE1798,40),0)</f>
        <v/>
      </c>
      <c r="AR1798">
        <f>IFERROR(INDEX(PP_Grid[#Data],$DE1798,41),0)</f>
        <v/>
      </c>
      <c r="AS1798">
        <f>IFERROR(INDEX(PP_Grid[#Data],$DE1798,42),0)</f>
        <v/>
      </c>
      <c r="AT1798">
        <f>IFERROR(INDEX(PP_Grid[#Data],$DE1798,43),0)</f>
        <v/>
      </c>
      <c r="AU1798">
        <f>IFERROR(INDEX(PP_Grid[#Data],$DE1798,44),0)</f>
        <v/>
      </c>
      <c r="AV1798">
        <f>IFERROR(INDEX(PP_Grid[#Data],$DE1798,45),0)</f>
        <v/>
      </c>
      <c r="AW1798">
        <f>IFERROR(INDEX(PP_Grid[#Data],$DE1798,46),0)</f>
        <v/>
      </c>
      <c r="AX1798">
        <f>IFERROR(INDEX(PP_Grid[#Data],$DE1798,47),0)</f>
        <v/>
      </c>
      <c r="AY1798">
        <f>IFERROR(INDEX(PP_Grid[#Data],$DE1798,48),0)</f>
        <v/>
      </c>
      <c r="AZ1798">
        <f>IFERROR(INDEX(PP_Grid[#Data],$DE1798,49),0)</f>
        <v/>
      </c>
      <c r="BA1798">
        <f>IFERROR(INDEX(PP_Grid[#Data],$DE1798,50),0)</f>
        <v/>
      </c>
      <c r="BB1798">
        <f>IFERROR(INDEX(PP_Grid[#Data],$DE1798,51),0)</f>
        <v/>
      </c>
      <c r="BC1798">
        <f>IFERROR(INDEX(PP_Grid[#Data],$DE1798,52),0)</f>
        <v/>
      </c>
      <c r="BD1798">
        <f>IFERROR(INDEX(PP_Grid[#Data],$DE1798,53),0)</f>
        <v/>
      </c>
      <c r="BE1798">
        <f>IFERROR(INDEX(PP_Grid[#Data],$DE1798,54),0)</f>
        <v/>
      </c>
      <c r="BF1798">
        <f>IFERROR(INDEX(PP_Grid[#Data],$DE1798,55),0)</f>
        <v/>
      </c>
      <c r="BG1798">
        <f>IFERROR(INDEX(PP_Grid[#Data],$DE1798,56),0)</f>
        <v/>
      </c>
      <c r="BH1798">
        <f>IFERROR(INDEX(PP_Grid[#Data],$DE1798,57),0)</f>
        <v/>
      </c>
      <c r="BI1798">
        <f>IFERROR(INDEX(PP_Grid[#Data],$DE1798,58),0)</f>
        <v/>
      </c>
      <c r="BJ1798">
        <f>IFERROR(INDEX(PP_Grid[#Data],$DE1798,59),0)</f>
        <v/>
      </c>
      <c r="BK1798">
        <f>IFERROR(INDEX(PP_Grid[#Data],$DE1798,60),0)</f>
        <v/>
      </c>
      <c r="BL1798">
        <f>IFERROR(INDEX(PP_Grid[#Data],$DE1798,61),0)</f>
        <v/>
      </c>
      <c r="BM1798">
        <f>IFERROR(INDEX(PP_Grid[#Data],$DE1798,62),0)</f>
        <v/>
      </c>
      <c r="BN1798">
        <f>IFERROR(INDEX(PP_Grid[#Data],$DE1798,63),0)</f>
        <v/>
      </c>
      <c r="BO1798">
        <f>IFERROR(INDEX(PP_Grid[#Data],$DE1798,64),0)</f>
        <v/>
      </c>
      <c r="BP1798">
        <f>IFERROR(INDEX(PP_Grid[#Data],$DE1798,65),0)</f>
        <v/>
      </c>
      <c r="BQ1798">
        <f>IFERROR(INDEX(PP_Grid[#Data],$DE1798,66),0)</f>
        <v/>
      </c>
      <c r="BR1798">
        <f>IFERROR(INDEX(PP_Grid[#Data],$DE1798,67),0)</f>
        <v/>
      </c>
      <c r="BS1798">
        <f>IFERROR(INDEX(PP_Grid[#Data],$DE1798,68),0)</f>
        <v/>
      </c>
      <c r="BT1798">
        <f>IFERROR(INDEX(PP_Grid[#Data],$DE1798,69),0)</f>
        <v/>
      </c>
      <c r="BU1798">
        <f>IFERROR(INDEX(PP_Grid[#Data],$DE1798,70),0)</f>
        <v/>
      </c>
      <c r="BV1798">
        <f>IFERROR(INDEX(PP_Grid[#Data],$DE1798,71),0)</f>
        <v/>
      </c>
      <c r="BW1798">
        <f>IFERROR(INDEX(PP_Grid[#Data],$DE1798,72),0)</f>
        <v/>
      </c>
      <c r="BX1798">
        <f>IFERROR(INDEX(PP_Grid[#Data],$DE1798,73),0)</f>
        <v/>
      </c>
      <c r="BY1798">
        <f>IFERROR(INDEX(PP_Grid[#Data],$DE1798,74),0)</f>
        <v/>
      </c>
      <c r="BZ1798">
        <f>IFERROR(INDEX(PP_Grid[#Data],$DE1798,75),0)</f>
        <v/>
      </c>
      <c r="CA1798">
        <f>IFERROR(INDEX(PP_Grid[#Data],$DE1798,76),0)</f>
        <v/>
      </c>
      <c r="CB1798">
        <f>IFERROR(INDEX(PP_Grid[#Data],$DE1798,77),0)</f>
        <v/>
      </c>
      <c r="CC1798">
        <f>IFERROR(INDEX(PP_Grid[#Data],$DE1798,78),0)</f>
        <v/>
      </c>
      <c r="CD1798">
        <f>IFERROR(INDEX(PP_Grid[#Data],$DE1798,79),0)</f>
        <v/>
      </c>
      <c r="CE1798">
        <f>IFERROR(INDEX(PP_Grid[#Data],$DE1798,80),0)</f>
        <v/>
      </c>
      <c r="CF1798">
        <f>IFERROR(INDEX(PP_Grid[#Data],$DE1798,81),0)</f>
        <v/>
      </c>
      <c r="CG1798">
        <f>IFERROR(INDEX(PP_Grid[#Data],$DE1798,82),0)</f>
        <v/>
      </c>
      <c r="CH1798">
        <f>IFERROR(INDEX(PP_Grid[#Data],$DE1798,83),0)</f>
        <v/>
      </c>
      <c r="CI1798">
        <f>IFERROR(INDEX(PP_Grid[#Data],$DE1798,84),0)</f>
        <v/>
      </c>
      <c r="CJ1798">
        <f>IFERROR(INDEX(PP_Grid[#Data],$DE1798,85),0)</f>
        <v/>
      </c>
      <c r="CK1798">
        <f>IFERROR(INDEX(PP_Grid[#Data],$DE1798,86),0)</f>
        <v/>
      </c>
      <c r="CL1798">
        <f>IFERROR(INDEX(PP_Grid[#Data],$DE1798,87),0)</f>
        <v/>
      </c>
      <c r="CM1798">
        <f>IFERROR(INDEX(PP_Grid[#Data],$DE1798,88),0)</f>
        <v/>
      </c>
      <c r="CN1798">
        <f>IFERROR(INDEX(PP_Grid[#Data],$DE1798,89),0)</f>
        <v/>
      </c>
      <c r="CO1798">
        <f>IFERROR(INDEX(PP_Grid[#Data],$DE1798,90),0)</f>
        <v/>
      </c>
      <c r="CP1798">
        <f>IFERROR(INDEX(PP_Grid[#Data],$DE1798,91),0)</f>
        <v/>
      </c>
      <c r="CQ1798">
        <f>IFERROR(INDEX(PP_Grid[#Data],$DE1798,92),0)</f>
        <v/>
      </c>
      <c r="CR1798">
        <f>IFERROR(INDEX(PP_Grid[#Data],$DE1798,93),0)</f>
        <v/>
      </c>
      <c r="CS1798">
        <f>IFERROR(INDEX(PP_Grid[#Data],$DE1798,94),0)</f>
        <v/>
      </c>
      <c r="CT1798">
        <f>IFERROR(INDEX(PP_Grid[#Data],$DE1798,95),0)</f>
        <v/>
      </c>
      <c r="CU1798">
        <f>IFERROR(INDEX(PP_Grid[#Data],$DE1798,96),0)</f>
        <v/>
      </c>
      <c r="CV1798">
        <f>IFERROR(INDEX(PP_Grid[#Data],$DE1798,97),0)</f>
        <v/>
      </c>
      <c r="CW1798">
        <f>IFERROR(INDEX(PP_Grid[#Data],$DE1798,98),0)</f>
        <v/>
      </c>
      <c r="CX1798">
        <f>IFERROR(INDEX(PP_Grid[#Data],$DE1798,99),0)</f>
        <v/>
      </c>
      <c r="CY1798">
        <f>IFERROR(INDEX(PP_Grid[#Data],$DE1798,100),0)</f>
        <v/>
      </c>
      <c r="CZ1798">
        <f>IFERROR(INDEX(PP_Grid[#Data],$DE1798,101),0)</f>
        <v/>
      </c>
      <c r="DA1798">
        <f>IFERROR(INDEX(PP_Grid[#Data],$DE1798,102),0)</f>
        <v/>
      </c>
      <c r="DB1798">
        <f>IFERROR(INDEX(PP_Grid[#Data],$DE1798,103),0)</f>
        <v/>
      </c>
      <c r="DC1798">
        <f>IFERROR(INDEX(PP_Grid[#Data],$DE1798,104),0)</f>
        <v/>
      </c>
      <c r="DD1798">
        <f>IFERROR(INDEX(PP_Grid[#Data],$DE1798,105),0)</f>
        <v/>
      </c>
      <c r="DE1798" s="7">
        <f>IFERROR(MATCH($B1798,PP_Grid[Intermediate],0),99999)</f>
        <v/>
      </c>
    </row>
    <row r="1799">
      <c r="B1799" t="inlineStr">
        <is>
          <t>使用量(kg)</t>
        </is>
      </c>
      <c r="C1799">
        <f>SUMIFS(M_BOM[RM_Qty_Per_Batch],M_BOM[Intermediate],$B1798,M_BOM[RM_Code],$A1771)</f>
        <v/>
      </c>
      <c r="D1799">
        <f>IFERROR(INDEX(E1799:DD1799,$F$1),"")</f>
        <v/>
      </c>
      <c r="E1799">
        <f>$C1799*E1798</f>
        <v/>
      </c>
      <c r="F1799">
        <f>$C1799*F1798</f>
        <v/>
      </c>
      <c r="G1799">
        <f>$C1799*G1798</f>
        <v/>
      </c>
      <c r="H1799">
        <f>$C1799*H1798</f>
        <v/>
      </c>
      <c r="I1799">
        <f>$C1799*I1798</f>
        <v/>
      </c>
      <c r="J1799">
        <f>$C1799*J1798</f>
        <v/>
      </c>
      <c r="K1799">
        <f>$C1799*K1798</f>
        <v/>
      </c>
      <c r="L1799">
        <f>$C1799*L1798</f>
        <v/>
      </c>
      <c r="M1799">
        <f>$C1799*M1798</f>
        <v/>
      </c>
      <c r="N1799">
        <f>$C1799*N1798</f>
        <v/>
      </c>
      <c r="O1799">
        <f>$C1799*O1798</f>
        <v/>
      </c>
      <c r="P1799">
        <f>$C1799*P1798</f>
        <v/>
      </c>
      <c r="Q1799">
        <f>$C1799*Q1798</f>
        <v/>
      </c>
      <c r="R1799">
        <f>$C1799*R1798</f>
        <v/>
      </c>
      <c r="S1799">
        <f>$C1799*S1798</f>
        <v/>
      </c>
      <c r="T1799">
        <f>$C1799*T1798</f>
        <v/>
      </c>
      <c r="U1799">
        <f>$C1799*U1798</f>
        <v/>
      </c>
      <c r="V1799">
        <f>$C1799*V1798</f>
        <v/>
      </c>
      <c r="W1799">
        <f>$C1799*W1798</f>
        <v/>
      </c>
      <c r="X1799">
        <f>$C1799*X1798</f>
        <v/>
      </c>
      <c r="Y1799">
        <f>$C1799*Y1798</f>
        <v/>
      </c>
      <c r="Z1799">
        <f>$C1799*Z1798</f>
        <v/>
      </c>
      <c r="AA1799">
        <f>$C1799*AA1798</f>
        <v/>
      </c>
      <c r="AB1799">
        <f>$C1799*AB1798</f>
        <v/>
      </c>
      <c r="AC1799">
        <f>$C1799*AC1798</f>
        <v/>
      </c>
      <c r="AD1799">
        <f>$C1799*AD1798</f>
        <v/>
      </c>
      <c r="AE1799">
        <f>$C1799*AE1798</f>
        <v/>
      </c>
      <c r="AF1799">
        <f>$C1799*AF1798</f>
        <v/>
      </c>
      <c r="AG1799">
        <f>$C1799*AG1798</f>
        <v/>
      </c>
      <c r="AH1799">
        <f>$C1799*AH1798</f>
        <v/>
      </c>
      <c r="AI1799">
        <f>$C1799*AI1798</f>
        <v/>
      </c>
      <c r="AJ1799">
        <f>$C1799*AJ1798</f>
        <v/>
      </c>
      <c r="AK1799">
        <f>$C1799*AK1798</f>
        <v/>
      </c>
      <c r="AL1799">
        <f>$C1799*AL1798</f>
        <v/>
      </c>
      <c r="AM1799">
        <f>$C1799*AM1798</f>
        <v/>
      </c>
      <c r="AN1799">
        <f>$C1799*AN1798</f>
        <v/>
      </c>
      <c r="AO1799">
        <f>$C1799*AO1798</f>
        <v/>
      </c>
      <c r="AP1799">
        <f>$C1799*AP1798</f>
        <v/>
      </c>
      <c r="AQ1799">
        <f>$C1799*AQ1798</f>
        <v/>
      </c>
      <c r="AR1799">
        <f>$C1799*AR1798</f>
        <v/>
      </c>
      <c r="AS1799">
        <f>$C1799*AS1798</f>
        <v/>
      </c>
      <c r="AT1799">
        <f>$C1799*AT1798</f>
        <v/>
      </c>
      <c r="AU1799">
        <f>$C1799*AU1798</f>
        <v/>
      </c>
      <c r="AV1799">
        <f>$C1799*AV1798</f>
        <v/>
      </c>
      <c r="AW1799">
        <f>$C1799*AW1798</f>
        <v/>
      </c>
      <c r="AX1799">
        <f>$C1799*AX1798</f>
        <v/>
      </c>
      <c r="AY1799">
        <f>$C1799*AY1798</f>
        <v/>
      </c>
      <c r="AZ1799">
        <f>$C1799*AZ1798</f>
        <v/>
      </c>
      <c r="BA1799">
        <f>$C1799*BA1798</f>
        <v/>
      </c>
      <c r="BB1799">
        <f>$C1799*BB1798</f>
        <v/>
      </c>
      <c r="BC1799">
        <f>$C1799*BC1798</f>
        <v/>
      </c>
      <c r="BD1799">
        <f>$C1799*BD1798</f>
        <v/>
      </c>
      <c r="BE1799">
        <f>$C1799*BE1798</f>
        <v/>
      </c>
      <c r="BF1799">
        <f>$C1799*BF1798</f>
        <v/>
      </c>
      <c r="BG1799">
        <f>$C1799*BG1798</f>
        <v/>
      </c>
      <c r="BH1799">
        <f>$C1799*BH1798</f>
        <v/>
      </c>
      <c r="BI1799">
        <f>$C1799*BI1798</f>
        <v/>
      </c>
      <c r="BJ1799">
        <f>$C1799*BJ1798</f>
        <v/>
      </c>
      <c r="BK1799">
        <f>$C1799*BK1798</f>
        <v/>
      </c>
      <c r="BL1799">
        <f>$C1799*BL1798</f>
        <v/>
      </c>
      <c r="BM1799">
        <f>$C1799*BM1798</f>
        <v/>
      </c>
      <c r="BN1799">
        <f>$C1799*BN1798</f>
        <v/>
      </c>
      <c r="BO1799">
        <f>$C1799*BO1798</f>
        <v/>
      </c>
      <c r="BP1799">
        <f>$C1799*BP1798</f>
        <v/>
      </c>
      <c r="BQ1799">
        <f>$C1799*BQ1798</f>
        <v/>
      </c>
      <c r="BR1799">
        <f>$C1799*BR1798</f>
        <v/>
      </c>
      <c r="BS1799">
        <f>$C1799*BS1798</f>
        <v/>
      </c>
      <c r="BT1799">
        <f>$C1799*BT1798</f>
        <v/>
      </c>
      <c r="BU1799">
        <f>$C1799*BU1798</f>
        <v/>
      </c>
      <c r="BV1799">
        <f>$C1799*BV1798</f>
        <v/>
      </c>
      <c r="BW1799">
        <f>$C1799*BW1798</f>
        <v/>
      </c>
      <c r="BX1799">
        <f>$C1799*BX1798</f>
        <v/>
      </c>
      <c r="BY1799">
        <f>$C1799*BY1798</f>
        <v/>
      </c>
      <c r="BZ1799">
        <f>$C1799*BZ1798</f>
        <v/>
      </c>
      <c r="CA1799">
        <f>$C1799*CA1798</f>
        <v/>
      </c>
      <c r="CB1799">
        <f>$C1799*CB1798</f>
        <v/>
      </c>
      <c r="CC1799">
        <f>$C1799*CC1798</f>
        <v/>
      </c>
      <c r="CD1799">
        <f>$C1799*CD1798</f>
        <v/>
      </c>
      <c r="CE1799">
        <f>$C1799*CE1798</f>
        <v/>
      </c>
      <c r="CF1799">
        <f>$C1799*CF1798</f>
        <v/>
      </c>
      <c r="CG1799">
        <f>$C1799*CG1798</f>
        <v/>
      </c>
      <c r="CH1799">
        <f>$C1799*CH1798</f>
        <v/>
      </c>
      <c r="CI1799">
        <f>$C1799*CI1798</f>
        <v/>
      </c>
      <c r="CJ1799">
        <f>$C1799*CJ1798</f>
        <v/>
      </c>
      <c r="CK1799">
        <f>$C1799*CK1798</f>
        <v/>
      </c>
      <c r="CL1799">
        <f>$C1799*CL1798</f>
        <v/>
      </c>
      <c r="CM1799">
        <f>$C1799*CM1798</f>
        <v/>
      </c>
      <c r="CN1799">
        <f>$C1799*CN1798</f>
        <v/>
      </c>
      <c r="CO1799">
        <f>$C1799*CO1798</f>
        <v/>
      </c>
      <c r="CP1799">
        <f>$C1799*CP1798</f>
        <v/>
      </c>
      <c r="CQ1799">
        <f>$C1799*CQ1798</f>
        <v/>
      </c>
      <c r="CR1799">
        <f>$C1799*CR1798</f>
        <v/>
      </c>
      <c r="CS1799">
        <f>$C1799*CS1798</f>
        <v/>
      </c>
      <c r="CT1799">
        <f>$C1799*CT1798</f>
        <v/>
      </c>
      <c r="CU1799">
        <f>$C1799*CU1798</f>
        <v/>
      </c>
      <c r="CV1799">
        <f>$C1799*CV1798</f>
        <v/>
      </c>
      <c r="CW1799">
        <f>$C1799*CW1798</f>
        <v/>
      </c>
      <c r="CX1799">
        <f>$C1799*CX1798</f>
        <v/>
      </c>
      <c r="CY1799">
        <f>$C1799*CY1798</f>
        <v/>
      </c>
      <c r="CZ1799">
        <f>$C1799*CZ1798</f>
        <v/>
      </c>
      <c r="DA1799">
        <f>$C1799*DA1798</f>
        <v/>
      </c>
      <c r="DB1799">
        <f>$C1799*DB1798</f>
        <v/>
      </c>
      <c r="DC1799">
        <f>$C1799*DC1798</f>
        <v/>
      </c>
      <c r="DD1799">
        <f>$C1799*DD1798</f>
        <v/>
      </c>
    </row>
    <row r="1800">
      <c r="B1800" t="inlineStr">
        <is>
          <t>TSP-966</t>
        </is>
      </c>
      <c r="C1800" t="inlineStr">
        <is>
          <t>No. of batches</t>
        </is>
      </c>
      <c r="D1800">
        <f>IFERROR(INDEX(E1800:DD1800,$F$1),"")</f>
        <v/>
      </c>
      <c r="E1800">
        <f>IFERROR(INDEX(PP_Grid[#Data],$DE1800,2),0)</f>
        <v/>
      </c>
      <c r="F1800">
        <f>IFERROR(INDEX(PP_Grid[#Data],$DE1800,3),0)</f>
        <v/>
      </c>
      <c r="G1800">
        <f>IFERROR(INDEX(PP_Grid[#Data],$DE1800,4),0)</f>
        <v/>
      </c>
      <c r="H1800">
        <f>IFERROR(INDEX(PP_Grid[#Data],$DE1800,5),0)</f>
        <v/>
      </c>
      <c r="I1800">
        <f>IFERROR(INDEX(PP_Grid[#Data],$DE1800,6),0)</f>
        <v/>
      </c>
      <c r="J1800">
        <f>IFERROR(INDEX(PP_Grid[#Data],$DE1800,7),0)</f>
        <v/>
      </c>
      <c r="K1800">
        <f>IFERROR(INDEX(PP_Grid[#Data],$DE1800,8),0)</f>
        <v/>
      </c>
      <c r="L1800">
        <f>IFERROR(INDEX(PP_Grid[#Data],$DE1800,9),0)</f>
        <v/>
      </c>
      <c r="M1800">
        <f>IFERROR(INDEX(PP_Grid[#Data],$DE1800,10),0)</f>
        <v/>
      </c>
      <c r="N1800">
        <f>IFERROR(INDEX(PP_Grid[#Data],$DE1800,11),0)</f>
        <v/>
      </c>
      <c r="O1800">
        <f>IFERROR(INDEX(PP_Grid[#Data],$DE1800,12),0)</f>
        <v/>
      </c>
      <c r="P1800">
        <f>IFERROR(INDEX(PP_Grid[#Data],$DE1800,13),0)</f>
        <v/>
      </c>
      <c r="Q1800">
        <f>IFERROR(INDEX(PP_Grid[#Data],$DE1800,14),0)</f>
        <v/>
      </c>
      <c r="R1800">
        <f>IFERROR(INDEX(PP_Grid[#Data],$DE1800,15),0)</f>
        <v/>
      </c>
      <c r="S1800">
        <f>IFERROR(INDEX(PP_Grid[#Data],$DE1800,16),0)</f>
        <v/>
      </c>
      <c r="T1800">
        <f>IFERROR(INDEX(PP_Grid[#Data],$DE1800,17),0)</f>
        <v/>
      </c>
      <c r="U1800">
        <f>IFERROR(INDEX(PP_Grid[#Data],$DE1800,18),0)</f>
        <v/>
      </c>
      <c r="V1800">
        <f>IFERROR(INDEX(PP_Grid[#Data],$DE1800,19),0)</f>
        <v/>
      </c>
      <c r="W1800">
        <f>IFERROR(INDEX(PP_Grid[#Data],$DE1800,20),0)</f>
        <v/>
      </c>
      <c r="X1800">
        <f>IFERROR(INDEX(PP_Grid[#Data],$DE1800,21),0)</f>
        <v/>
      </c>
      <c r="Y1800">
        <f>IFERROR(INDEX(PP_Grid[#Data],$DE1800,22),0)</f>
        <v/>
      </c>
      <c r="Z1800">
        <f>IFERROR(INDEX(PP_Grid[#Data],$DE1800,23),0)</f>
        <v/>
      </c>
      <c r="AA1800">
        <f>IFERROR(INDEX(PP_Grid[#Data],$DE1800,24),0)</f>
        <v/>
      </c>
      <c r="AB1800">
        <f>IFERROR(INDEX(PP_Grid[#Data],$DE1800,25),0)</f>
        <v/>
      </c>
      <c r="AC1800">
        <f>IFERROR(INDEX(PP_Grid[#Data],$DE1800,26),0)</f>
        <v/>
      </c>
      <c r="AD1800">
        <f>IFERROR(INDEX(PP_Grid[#Data],$DE1800,27),0)</f>
        <v/>
      </c>
      <c r="AE1800">
        <f>IFERROR(INDEX(PP_Grid[#Data],$DE1800,28),0)</f>
        <v/>
      </c>
      <c r="AF1800">
        <f>IFERROR(INDEX(PP_Grid[#Data],$DE1800,29),0)</f>
        <v/>
      </c>
      <c r="AG1800">
        <f>IFERROR(INDEX(PP_Grid[#Data],$DE1800,30),0)</f>
        <v/>
      </c>
      <c r="AH1800">
        <f>IFERROR(INDEX(PP_Grid[#Data],$DE1800,31),0)</f>
        <v/>
      </c>
      <c r="AI1800">
        <f>IFERROR(INDEX(PP_Grid[#Data],$DE1800,32),0)</f>
        <v/>
      </c>
      <c r="AJ1800">
        <f>IFERROR(INDEX(PP_Grid[#Data],$DE1800,33),0)</f>
        <v/>
      </c>
      <c r="AK1800">
        <f>IFERROR(INDEX(PP_Grid[#Data],$DE1800,34),0)</f>
        <v/>
      </c>
      <c r="AL1800">
        <f>IFERROR(INDEX(PP_Grid[#Data],$DE1800,35),0)</f>
        <v/>
      </c>
      <c r="AM1800">
        <f>IFERROR(INDEX(PP_Grid[#Data],$DE1800,36),0)</f>
        <v/>
      </c>
      <c r="AN1800">
        <f>IFERROR(INDEX(PP_Grid[#Data],$DE1800,37),0)</f>
        <v/>
      </c>
      <c r="AO1800">
        <f>IFERROR(INDEX(PP_Grid[#Data],$DE1800,38),0)</f>
        <v/>
      </c>
      <c r="AP1800">
        <f>IFERROR(INDEX(PP_Grid[#Data],$DE1800,39),0)</f>
        <v/>
      </c>
      <c r="AQ1800">
        <f>IFERROR(INDEX(PP_Grid[#Data],$DE1800,40),0)</f>
        <v/>
      </c>
      <c r="AR1800">
        <f>IFERROR(INDEX(PP_Grid[#Data],$DE1800,41),0)</f>
        <v/>
      </c>
      <c r="AS1800">
        <f>IFERROR(INDEX(PP_Grid[#Data],$DE1800,42),0)</f>
        <v/>
      </c>
      <c r="AT1800">
        <f>IFERROR(INDEX(PP_Grid[#Data],$DE1800,43),0)</f>
        <v/>
      </c>
      <c r="AU1800">
        <f>IFERROR(INDEX(PP_Grid[#Data],$DE1800,44),0)</f>
        <v/>
      </c>
      <c r="AV1800">
        <f>IFERROR(INDEX(PP_Grid[#Data],$DE1800,45),0)</f>
        <v/>
      </c>
      <c r="AW1800">
        <f>IFERROR(INDEX(PP_Grid[#Data],$DE1800,46),0)</f>
        <v/>
      </c>
      <c r="AX1800">
        <f>IFERROR(INDEX(PP_Grid[#Data],$DE1800,47),0)</f>
        <v/>
      </c>
      <c r="AY1800">
        <f>IFERROR(INDEX(PP_Grid[#Data],$DE1800,48),0)</f>
        <v/>
      </c>
      <c r="AZ1800">
        <f>IFERROR(INDEX(PP_Grid[#Data],$DE1800,49),0)</f>
        <v/>
      </c>
      <c r="BA1800">
        <f>IFERROR(INDEX(PP_Grid[#Data],$DE1800,50),0)</f>
        <v/>
      </c>
      <c r="BB1800">
        <f>IFERROR(INDEX(PP_Grid[#Data],$DE1800,51),0)</f>
        <v/>
      </c>
      <c r="BC1800">
        <f>IFERROR(INDEX(PP_Grid[#Data],$DE1800,52),0)</f>
        <v/>
      </c>
      <c r="BD1800">
        <f>IFERROR(INDEX(PP_Grid[#Data],$DE1800,53),0)</f>
        <v/>
      </c>
      <c r="BE1800">
        <f>IFERROR(INDEX(PP_Grid[#Data],$DE1800,54),0)</f>
        <v/>
      </c>
      <c r="BF1800">
        <f>IFERROR(INDEX(PP_Grid[#Data],$DE1800,55),0)</f>
        <v/>
      </c>
      <c r="BG1800">
        <f>IFERROR(INDEX(PP_Grid[#Data],$DE1800,56),0)</f>
        <v/>
      </c>
      <c r="BH1800">
        <f>IFERROR(INDEX(PP_Grid[#Data],$DE1800,57),0)</f>
        <v/>
      </c>
      <c r="BI1800">
        <f>IFERROR(INDEX(PP_Grid[#Data],$DE1800,58),0)</f>
        <v/>
      </c>
      <c r="BJ1800">
        <f>IFERROR(INDEX(PP_Grid[#Data],$DE1800,59),0)</f>
        <v/>
      </c>
      <c r="BK1800">
        <f>IFERROR(INDEX(PP_Grid[#Data],$DE1800,60),0)</f>
        <v/>
      </c>
      <c r="BL1800">
        <f>IFERROR(INDEX(PP_Grid[#Data],$DE1800,61),0)</f>
        <v/>
      </c>
      <c r="BM1800">
        <f>IFERROR(INDEX(PP_Grid[#Data],$DE1800,62),0)</f>
        <v/>
      </c>
      <c r="BN1800">
        <f>IFERROR(INDEX(PP_Grid[#Data],$DE1800,63),0)</f>
        <v/>
      </c>
      <c r="BO1800">
        <f>IFERROR(INDEX(PP_Grid[#Data],$DE1800,64),0)</f>
        <v/>
      </c>
      <c r="BP1800">
        <f>IFERROR(INDEX(PP_Grid[#Data],$DE1800,65),0)</f>
        <v/>
      </c>
      <c r="BQ1800">
        <f>IFERROR(INDEX(PP_Grid[#Data],$DE1800,66),0)</f>
        <v/>
      </c>
      <c r="BR1800">
        <f>IFERROR(INDEX(PP_Grid[#Data],$DE1800,67),0)</f>
        <v/>
      </c>
      <c r="BS1800">
        <f>IFERROR(INDEX(PP_Grid[#Data],$DE1800,68),0)</f>
        <v/>
      </c>
      <c r="BT1800">
        <f>IFERROR(INDEX(PP_Grid[#Data],$DE1800,69),0)</f>
        <v/>
      </c>
      <c r="BU1800">
        <f>IFERROR(INDEX(PP_Grid[#Data],$DE1800,70),0)</f>
        <v/>
      </c>
      <c r="BV1800">
        <f>IFERROR(INDEX(PP_Grid[#Data],$DE1800,71),0)</f>
        <v/>
      </c>
      <c r="BW1800">
        <f>IFERROR(INDEX(PP_Grid[#Data],$DE1800,72),0)</f>
        <v/>
      </c>
      <c r="BX1800">
        <f>IFERROR(INDEX(PP_Grid[#Data],$DE1800,73),0)</f>
        <v/>
      </c>
      <c r="BY1800">
        <f>IFERROR(INDEX(PP_Grid[#Data],$DE1800,74),0)</f>
        <v/>
      </c>
      <c r="BZ1800">
        <f>IFERROR(INDEX(PP_Grid[#Data],$DE1800,75),0)</f>
        <v/>
      </c>
      <c r="CA1800">
        <f>IFERROR(INDEX(PP_Grid[#Data],$DE1800,76),0)</f>
        <v/>
      </c>
      <c r="CB1800">
        <f>IFERROR(INDEX(PP_Grid[#Data],$DE1800,77),0)</f>
        <v/>
      </c>
      <c r="CC1800">
        <f>IFERROR(INDEX(PP_Grid[#Data],$DE1800,78),0)</f>
        <v/>
      </c>
      <c r="CD1800">
        <f>IFERROR(INDEX(PP_Grid[#Data],$DE1800,79),0)</f>
        <v/>
      </c>
      <c r="CE1800">
        <f>IFERROR(INDEX(PP_Grid[#Data],$DE1800,80),0)</f>
        <v/>
      </c>
      <c r="CF1800">
        <f>IFERROR(INDEX(PP_Grid[#Data],$DE1800,81),0)</f>
        <v/>
      </c>
      <c r="CG1800">
        <f>IFERROR(INDEX(PP_Grid[#Data],$DE1800,82),0)</f>
        <v/>
      </c>
      <c r="CH1800">
        <f>IFERROR(INDEX(PP_Grid[#Data],$DE1800,83),0)</f>
        <v/>
      </c>
      <c r="CI1800">
        <f>IFERROR(INDEX(PP_Grid[#Data],$DE1800,84),0)</f>
        <v/>
      </c>
      <c r="CJ1800">
        <f>IFERROR(INDEX(PP_Grid[#Data],$DE1800,85),0)</f>
        <v/>
      </c>
      <c r="CK1800">
        <f>IFERROR(INDEX(PP_Grid[#Data],$DE1800,86),0)</f>
        <v/>
      </c>
      <c r="CL1800">
        <f>IFERROR(INDEX(PP_Grid[#Data],$DE1800,87),0)</f>
        <v/>
      </c>
      <c r="CM1800">
        <f>IFERROR(INDEX(PP_Grid[#Data],$DE1800,88),0)</f>
        <v/>
      </c>
      <c r="CN1800">
        <f>IFERROR(INDEX(PP_Grid[#Data],$DE1800,89),0)</f>
        <v/>
      </c>
      <c r="CO1800">
        <f>IFERROR(INDEX(PP_Grid[#Data],$DE1800,90),0)</f>
        <v/>
      </c>
      <c r="CP1800">
        <f>IFERROR(INDEX(PP_Grid[#Data],$DE1800,91),0)</f>
        <v/>
      </c>
      <c r="CQ1800">
        <f>IFERROR(INDEX(PP_Grid[#Data],$DE1800,92),0)</f>
        <v/>
      </c>
      <c r="CR1800">
        <f>IFERROR(INDEX(PP_Grid[#Data],$DE1800,93),0)</f>
        <v/>
      </c>
      <c r="CS1800">
        <f>IFERROR(INDEX(PP_Grid[#Data],$DE1800,94),0)</f>
        <v/>
      </c>
      <c r="CT1800">
        <f>IFERROR(INDEX(PP_Grid[#Data],$DE1800,95),0)</f>
        <v/>
      </c>
      <c r="CU1800">
        <f>IFERROR(INDEX(PP_Grid[#Data],$DE1800,96),0)</f>
        <v/>
      </c>
      <c r="CV1800">
        <f>IFERROR(INDEX(PP_Grid[#Data],$DE1800,97),0)</f>
        <v/>
      </c>
      <c r="CW1800">
        <f>IFERROR(INDEX(PP_Grid[#Data],$DE1800,98),0)</f>
        <v/>
      </c>
      <c r="CX1800">
        <f>IFERROR(INDEX(PP_Grid[#Data],$DE1800,99),0)</f>
        <v/>
      </c>
      <c r="CY1800">
        <f>IFERROR(INDEX(PP_Grid[#Data],$DE1800,100),0)</f>
        <v/>
      </c>
      <c r="CZ1800">
        <f>IFERROR(INDEX(PP_Grid[#Data],$DE1800,101),0)</f>
        <v/>
      </c>
      <c r="DA1800">
        <f>IFERROR(INDEX(PP_Grid[#Data],$DE1800,102),0)</f>
        <v/>
      </c>
      <c r="DB1800">
        <f>IFERROR(INDEX(PP_Grid[#Data],$DE1800,103),0)</f>
        <v/>
      </c>
      <c r="DC1800">
        <f>IFERROR(INDEX(PP_Grid[#Data],$DE1800,104),0)</f>
        <v/>
      </c>
      <c r="DD1800">
        <f>IFERROR(INDEX(PP_Grid[#Data],$DE1800,105),0)</f>
        <v/>
      </c>
      <c r="DE1800" s="7">
        <f>IFERROR(MATCH($B1800,PP_Grid[Intermediate],0),99999)</f>
        <v/>
      </c>
    </row>
    <row r="1801">
      <c r="B1801" t="inlineStr">
        <is>
          <t>使用量(kg)</t>
        </is>
      </c>
      <c r="C1801">
        <f>SUMIFS(M_BOM[RM_Qty_Per_Batch],M_BOM[Intermediate],$B1800,M_BOM[RM_Code],$A1771)</f>
        <v/>
      </c>
      <c r="D1801">
        <f>IFERROR(INDEX(E1801:DD1801,$F$1),"")</f>
        <v/>
      </c>
      <c r="E1801">
        <f>$C1801*E1800</f>
        <v/>
      </c>
      <c r="F1801">
        <f>$C1801*F1800</f>
        <v/>
      </c>
      <c r="G1801">
        <f>$C1801*G1800</f>
        <v/>
      </c>
      <c r="H1801">
        <f>$C1801*H1800</f>
        <v/>
      </c>
      <c r="I1801">
        <f>$C1801*I1800</f>
        <v/>
      </c>
      <c r="J1801">
        <f>$C1801*J1800</f>
        <v/>
      </c>
      <c r="K1801">
        <f>$C1801*K1800</f>
        <v/>
      </c>
      <c r="L1801">
        <f>$C1801*L1800</f>
        <v/>
      </c>
      <c r="M1801">
        <f>$C1801*M1800</f>
        <v/>
      </c>
      <c r="N1801">
        <f>$C1801*N1800</f>
        <v/>
      </c>
      <c r="O1801">
        <f>$C1801*O1800</f>
        <v/>
      </c>
      <c r="P1801">
        <f>$C1801*P1800</f>
        <v/>
      </c>
      <c r="Q1801">
        <f>$C1801*Q1800</f>
        <v/>
      </c>
      <c r="R1801">
        <f>$C1801*R1800</f>
        <v/>
      </c>
      <c r="S1801">
        <f>$C1801*S1800</f>
        <v/>
      </c>
      <c r="T1801">
        <f>$C1801*T1800</f>
        <v/>
      </c>
      <c r="U1801">
        <f>$C1801*U1800</f>
        <v/>
      </c>
      <c r="V1801">
        <f>$C1801*V1800</f>
        <v/>
      </c>
      <c r="W1801">
        <f>$C1801*W1800</f>
        <v/>
      </c>
      <c r="X1801">
        <f>$C1801*X1800</f>
        <v/>
      </c>
      <c r="Y1801">
        <f>$C1801*Y1800</f>
        <v/>
      </c>
      <c r="Z1801">
        <f>$C1801*Z1800</f>
        <v/>
      </c>
      <c r="AA1801">
        <f>$C1801*AA1800</f>
        <v/>
      </c>
      <c r="AB1801">
        <f>$C1801*AB1800</f>
        <v/>
      </c>
      <c r="AC1801">
        <f>$C1801*AC1800</f>
        <v/>
      </c>
      <c r="AD1801">
        <f>$C1801*AD1800</f>
        <v/>
      </c>
      <c r="AE1801">
        <f>$C1801*AE1800</f>
        <v/>
      </c>
      <c r="AF1801">
        <f>$C1801*AF1800</f>
        <v/>
      </c>
      <c r="AG1801">
        <f>$C1801*AG1800</f>
        <v/>
      </c>
      <c r="AH1801">
        <f>$C1801*AH1800</f>
        <v/>
      </c>
      <c r="AI1801">
        <f>$C1801*AI1800</f>
        <v/>
      </c>
      <c r="AJ1801">
        <f>$C1801*AJ1800</f>
        <v/>
      </c>
      <c r="AK1801">
        <f>$C1801*AK1800</f>
        <v/>
      </c>
      <c r="AL1801">
        <f>$C1801*AL1800</f>
        <v/>
      </c>
      <c r="AM1801">
        <f>$C1801*AM1800</f>
        <v/>
      </c>
      <c r="AN1801">
        <f>$C1801*AN1800</f>
        <v/>
      </c>
      <c r="AO1801">
        <f>$C1801*AO1800</f>
        <v/>
      </c>
      <c r="AP1801">
        <f>$C1801*AP1800</f>
        <v/>
      </c>
      <c r="AQ1801">
        <f>$C1801*AQ1800</f>
        <v/>
      </c>
      <c r="AR1801">
        <f>$C1801*AR1800</f>
        <v/>
      </c>
      <c r="AS1801">
        <f>$C1801*AS1800</f>
        <v/>
      </c>
      <c r="AT1801">
        <f>$C1801*AT1800</f>
        <v/>
      </c>
      <c r="AU1801">
        <f>$C1801*AU1800</f>
        <v/>
      </c>
      <c r="AV1801">
        <f>$C1801*AV1800</f>
        <v/>
      </c>
      <c r="AW1801">
        <f>$C1801*AW1800</f>
        <v/>
      </c>
      <c r="AX1801">
        <f>$C1801*AX1800</f>
        <v/>
      </c>
      <c r="AY1801">
        <f>$C1801*AY1800</f>
        <v/>
      </c>
      <c r="AZ1801">
        <f>$C1801*AZ1800</f>
        <v/>
      </c>
      <c r="BA1801">
        <f>$C1801*BA1800</f>
        <v/>
      </c>
      <c r="BB1801">
        <f>$C1801*BB1800</f>
        <v/>
      </c>
      <c r="BC1801">
        <f>$C1801*BC1800</f>
        <v/>
      </c>
      <c r="BD1801">
        <f>$C1801*BD1800</f>
        <v/>
      </c>
      <c r="BE1801">
        <f>$C1801*BE1800</f>
        <v/>
      </c>
      <c r="BF1801">
        <f>$C1801*BF1800</f>
        <v/>
      </c>
      <c r="BG1801">
        <f>$C1801*BG1800</f>
        <v/>
      </c>
      <c r="BH1801">
        <f>$C1801*BH1800</f>
        <v/>
      </c>
      <c r="BI1801">
        <f>$C1801*BI1800</f>
        <v/>
      </c>
      <c r="BJ1801">
        <f>$C1801*BJ1800</f>
        <v/>
      </c>
      <c r="BK1801">
        <f>$C1801*BK1800</f>
        <v/>
      </c>
      <c r="BL1801">
        <f>$C1801*BL1800</f>
        <v/>
      </c>
      <c r="BM1801">
        <f>$C1801*BM1800</f>
        <v/>
      </c>
      <c r="BN1801">
        <f>$C1801*BN1800</f>
        <v/>
      </c>
      <c r="BO1801">
        <f>$C1801*BO1800</f>
        <v/>
      </c>
      <c r="BP1801">
        <f>$C1801*BP1800</f>
        <v/>
      </c>
      <c r="BQ1801">
        <f>$C1801*BQ1800</f>
        <v/>
      </c>
      <c r="BR1801">
        <f>$C1801*BR1800</f>
        <v/>
      </c>
      <c r="BS1801">
        <f>$C1801*BS1800</f>
        <v/>
      </c>
      <c r="BT1801">
        <f>$C1801*BT1800</f>
        <v/>
      </c>
      <c r="BU1801">
        <f>$C1801*BU1800</f>
        <v/>
      </c>
      <c r="BV1801">
        <f>$C1801*BV1800</f>
        <v/>
      </c>
      <c r="BW1801">
        <f>$C1801*BW1800</f>
        <v/>
      </c>
      <c r="BX1801">
        <f>$C1801*BX1800</f>
        <v/>
      </c>
      <c r="BY1801">
        <f>$C1801*BY1800</f>
        <v/>
      </c>
      <c r="BZ1801">
        <f>$C1801*BZ1800</f>
        <v/>
      </c>
      <c r="CA1801">
        <f>$C1801*CA1800</f>
        <v/>
      </c>
      <c r="CB1801">
        <f>$C1801*CB1800</f>
        <v/>
      </c>
      <c r="CC1801">
        <f>$C1801*CC1800</f>
        <v/>
      </c>
      <c r="CD1801">
        <f>$C1801*CD1800</f>
        <v/>
      </c>
      <c r="CE1801">
        <f>$C1801*CE1800</f>
        <v/>
      </c>
      <c r="CF1801">
        <f>$C1801*CF1800</f>
        <v/>
      </c>
      <c r="CG1801">
        <f>$C1801*CG1800</f>
        <v/>
      </c>
      <c r="CH1801">
        <f>$C1801*CH1800</f>
        <v/>
      </c>
      <c r="CI1801">
        <f>$C1801*CI1800</f>
        <v/>
      </c>
      <c r="CJ1801">
        <f>$C1801*CJ1800</f>
        <v/>
      </c>
      <c r="CK1801">
        <f>$C1801*CK1800</f>
        <v/>
      </c>
      <c r="CL1801">
        <f>$C1801*CL1800</f>
        <v/>
      </c>
      <c r="CM1801">
        <f>$C1801*CM1800</f>
        <v/>
      </c>
      <c r="CN1801">
        <f>$C1801*CN1800</f>
        <v/>
      </c>
      <c r="CO1801">
        <f>$C1801*CO1800</f>
        <v/>
      </c>
      <c r="CP1801">
        <f>$C1801*CP1800</f>
        <v/>
      </c>
      <c r="CQ1801">
        <f>$C1801*CQ1800</f>
        <v/>
      </c>
      <c r="CR1801">
        <f>$C1801*CR1800</f>
        <v/>
      </c>
      <c r="CS1801">
        <f>$C1801*CS1800</f>
        <v/>
      </c>
      <c r="CT1801">
        <f>$C1801*CT1800</f>
        <v/>
      </c>
      <c r="CU1801">
        <f>$C1801*CU1800</f>
        <v/>
      </c>
      <c r="CV1801">
        <f>$C1801*CV1800</f>
        <v/>
      </c>
      <c r="CW1801">
        <f>$C1801*CW1800</f>
        <v/>
      </c>
      <c r="CX1801">
        <f>$C1801*CX1800</f>
        <v/>
      </c>
      <c r="CY1801">
        <f>$C1801*CY1800</f>
        <v/>
      </c>
      <c r="CZ1801">
        <f>$C1801*CZ1800</f>
        <v/>
      </c>
      <c r="DA1801">
        <f>$C1801*DA1800</f>
        <v/>
      </c>
      <c r="DB1801">
        <f>$C1801*DB1800</f>
        <v/>
      </c>
      <c r="DC1801">
        <f>$C1801*DC1800</f>
        <v/>
      </c>
      <c r="DD1801">
        <f>$C1801*DD1800</f>
        <v/>
      </c>
    </row>
    <row r="1802">
      <c r="B1802" t="inlineStr">
        <is>
          <t>TSZ-616</t>
        </is>
      </c>
      <c r="C1802" t="inlineStr">
        <is>
          <t>No. of batches</t>
        </is>
      </c>
      <c r="D1802">
        <f>IFERROR(INDEX(E1802:DD1802,$F$1),"")</f>
        <v/>
      </c>
      <c r="E1802">
        <f>IFERROR(INDEX(PP_Grid[#Data],$DE1802,2),0)</f>
        <v/>
      </c>
      <c r="F1802">
        <f>IFERROR(INDEX(PP_Grid[#Data],$DE1802,3),0)</f>
        <v/>
      </c>
      <c r="G1802">
        <f>IFERROR(INDEX(PP_Grid[#Data],$DE1802,4),0)</f>
        <v/>
      </c>
      <c r="H1802">
        <f>IFERROR(INDEX(PP_Grid[#Data],$DE1802,5),0)</f>
        <v/>
      </c>
      <c r="I1802">
        <f>IFERROR(INDEX(PP_Grid[#Data],$DE1802,6),0)</f>
        <v/>
      </c>
      <c r="J1802">
        <f>IFERROR(INDEX(PP_Grid[#Data],$DE1802,7),0)</f>
        <v/>
      </c>
      <c r="K1802">
        <f>IFERROR(INDEX(PP_Grid[#Data],$DE1802,8),0)</f>
        <v/>
      </c>
      <c r="L1802">
        <f>IFERROR(INDEX(PP_Grid[#Data],$DE1802,9),0)</f>
        <v/>
      </c>
      <c r="M1802">
        <f>IFERROR(INDEX(PP_Grid[#Data],$DE1802,10),0)</f>
        <v/>
      </c>
      <c r="N1802">
        <f>IFERROR(INDEX(PP_Grid[#Data],$DE1802,11),0)</f>
        <v/>
      </c>
      <c r="O1802">
        <f>IFERROR(INDEX(PP_Grid[#Data],$DE1802,12),0)</f>
        <v/>
      </c>
      <c r="P1802">
        <f>IFERROR(INDEX(PP_Grid[#Data],$DE1802,13),0)</f>
        <v/>
      </c>
      <c r="Q1802">
        <f>IFERROR(INDEX(PP_Grid[#Data],$DE1802,14),0)</f>
        <v/>
      </c>
      <c r="R1802">
        <f>IFERROR(INDEX(PP_Grid[#Data],$DE1802,15),0)</f>
        <v/>
      </c>
      <c r="S1802">
        <f>IFERROR(INDEX(PP_Grid[#Data],$DE1802,16),0)</f>
        <v/>
      </c>
      <c r="T1802">
        <f>IFERROR(INDEX(PP_Grid[#Data],$DE1802,17),0)</f>
        <v/>
      </c>
      <c r="U1802">
        <f>IFERROR(INDEX(PP_Grid[#Data],$DE1802,18),0)</f>
        <v/>
      </c>
      <c r="V1802">
        <f>IFERROR(INDEX(PP_Grid[#Data],$DE1802,19),0)</f>
        <v/>
      </c>
      <c r="W1802">
        <f>IFERROR(INDEX(PP_Grid[#Data],$DE1802,20),0)</f>
        <v/>
      </c>
      <c r="X1802">
        <f>IFERROR(INDEX(PP_Grid[#Data],$DE1802,21),0)</f>
        <v/>
      </c>
      <c r="Y1802">
        <f>IFERROR(INDEX(PP_Grid[#Data],$DE1802,22),0)</f>
        <v/>
      </c>
      <c r="Z1802">
        <f>IFERROR(INDEX(PP_Grid[#Data],$DE1802,23),0)</f>
        <v/>
      </c>
      <c r="AA1802">
        <f>IFERROR(INDEX(PP_Grid[#Data],$DE1802,24),0)</f>
        <v/>
      </c>
      <c r="AB1802">
        <f>IFERROR(INDEX(PP_Grid[#Data],$DE1802,25),0)</f>
        <v/>
      </c>
      <c r="AC1802">
        <f>IFERROR(INDEX(PP_Grid[#Data],$DE1802,26),0)</f>
        <v/>
      </c>
      <c r="AD1802">
        <f>IFERROR(INDEX(PP_Grid[#Data],$DE1802,27),0)</f>
        <v/>
      </c>
      <c r="AE1802">
        <f>IFERROR(INDEX(PP_Grid[#Data],$DE1802,28),0)</f>
        <v/>
      </c>
      <c r="AF1802">
        <f>IFERROR(INDEX(PP_Grid[#Data],$DE1802,29),0)</f>
        <v/>
      </c>
      <c r="AG1802">
        <f>IFERROR(INDEX(PP_Grid[#Data],$DE1802,30),0)</f>
        <v/>
      </c>
      <c r="AH1802">
        <f>IFERROR(INDEX(PP_Grid[#Data],$DE1802,31),0)</f>
        <v/>
      </c>
      <c r="AI1802">
        <f>IFERROR(INDEX(PP_Grid[#Data],$DE1802,32),0)</f>
        <v/>
      </c>
      <c r="AJ1802">
        <f>IFERROR(INDEX(PP_Grid[#Data],$DE1802,33),0)</f>
        <v/>
      </c>
      <c r="AK1802">
        <f>IFERROR(INDEX(PP_Grid[#Data],$DE1802,34),0)</f>
        <v/>
      </c>
      <c r="AL1802">
        <f>IFERROR(INDEX(PP_Grid[#Data],$DE1802,35),0)</f>
        <v/>
      </c>
      <c r="AM1802">
        <f>IFERROR(INDEX(PP_Grid[#Data],$DE1802,36),0)</f>
        <v/>
      </c>
      <c r="AN1802">
        <f>IFERROR(INDEX(PP_Grid[#Data],$DE1802,37),0)</f>
        <v/>
      </c>
      <c r="AO1802">
        <f>IFERROR(INDEX(PP_Grid[#Data],$DE1802,38),0)</f>
        <v/>
      </c>
      <c r="AP1802">
        <f>IFERROR(INDEX(PP_Grid[#Data],$DE1802,39),0)</f>
        <v/>
      </c>
      <c r="AQ1802">
        <f>IFERROR(INDEX(PP_Grid[#Data],$DE1802,40),0)</f>
        <v/>
      </c>
      <c r="AR1802">
        <f>IFERROR(INDEX(PP_Grid[#Data],$DE1802,41),0)</f>
        <v/>
      </c>
      <c r="AS1802">
        <f>IFERROR(INDEX(PP_Grid[#Data],$DE1802,42),0)</f>
        <v/>
      </c>
      <c r="AT1802">
        <f>IFERROR(INDEX(PP_Grid[#Data],$DE1802,43),0)</f>
        <v/>
      </c>
      <c r="AU1802">
        <f>IFERROR(INDEX(PP_Grid[#Data],$DE1802,44),0)</f>
        <v/>
      </c>
      <c r="AV1802">
        <f>IFERROR(INDEX(PP_Grid[#Data],$DE1802,45),0)</f>
        <v/>
      </c>
      <c r="AW1802">
        <f>IFERROR(INDEX(PP_Grid[#Data],$DE1802,46),0)</f>
        <v/>
      </c>
      <c r="AX1802">
        <f>IFERROR(INDEX(PP_Grid[#Data],$DE1802,47),0)</f>
        <v/>
      </c>
      <c r="AY1802">
        <f>IFERROR(INDEX(PP_Grid[#Data],$DE1802,48),0)</f>
        <v/>
      </c>
      <c r="AZ1802">
        <f>IFERROR(INDEX(PP_Grid[#Data],$DE1802,49),0)</f>
        <v/>
      </c>
      <c r="BA1802">
        <f>IFERROR(INDEX(PP_Grid[#Data],$DE1802,50),0)</f>
        <v/>
      </c>
      <c r="BB1802">
        <f>IFERROR(INDEX(PP_Grid[#Data],$DE1802,51),0)</f>
        <v/>
      </c>
      <c r="BC1802">
        <f>IFERROR(INDEX(PP_Grid[#Data],$DE1802,52),0)</f>
        <v/>
      </c>
      <c r="BD1802">
        <f>IFERROR(INDEX(PP_Grid[#Data],$DE1802,53),0)</f>
        <v/>
      </c>
      <c r="BE1802">
        <f>IFERROR(INDEX(PP_Grid[#Data],$DE1802,54),0)</f>
        <v/>
      </c>
      <c r="BF1802">
        <f>IFERROR(INDEX(PP_Grid[#Data],$DE1802,55),0)</f>
        <v/>
      </c>
      <c r="BG1802">
        <f>IFERROR(INDEX(PP_Grid[#Data],$DE1802,56),0)</f>
        <v/>
      </c>
      <c r="BH1802">
        <f>IFERROR(INDEX(PP_Grid[#Data],$DE1802,57),0)</f>
        <v/>
      </c>
      <c r="BI1802">
        <f>IFERROR(INDEX(PP_Grid[#Data],$DE1802,58),0)</f>
        <v/>
      </c>
      <c r="BJ1802">
        <f>IFERROR(INDEX(PP_Grid[#Data],$DE1802,59),0)</f>
        <v/>
      </c>
      <c r="BK1802">
        <f>IFERROR(INDEX(PP_Grid[#Data],$DE1802,60),0)</f>
        <v/>
      </c>
      <c r="BL1802">
        <f>IFERROR(INDEX(PP_Grid[#Data],$DE1802,61),0)</f>
        <v/>
      </c>
      <c r="BM1802">
        <f>IFERROR(INDEX(PP_Grid[#Data],$DE1802,62),0)</f>
        <v/>
      </c>
      <c r="BN1802">
        <f>IFERROR(INDEX(PP_Grid[#Data],$DE1802,63),0)</f>
        <v/>
      </c>
      <c r="BO1802">
        <f>IFERROR(INDEX(PP_Grid[#Data],$DE1802,64),0)</f>
        <v/>
      </c>
      <c r="BP1802">
        <f>IFERROR(INDEX(PP_Grid[#Data],$DE1802,65),0)</f>
        <v/>
      </c>
      <c r="BQ1802">
        <f>IFERROR(INDEX(PP_Grid[#Data],$DE1802,66),0)</f>
        <v/>
      </c>
      <c r="BR1802">
        <f>IFERROR(INDEX(PP_Grid[#Data],$DE1802,67),0)</f>
        <v/>
      </c>
      <c r="BS1802">
        <f>IFERROR(INDEX(PP_Grid[#Data],$DE1802,68),0)</f>
        <v/>
      </c>
      <c r="BT1802">
        <f>IFERROR(INDEX(PP_Grid[#Data],$DE1802,69),0)</f>
        <v/>
      </c>
      <c r="BU1802">
        <f>IFERROR(INDEX(PP_Grid[#Data],$DE1802,70),0)</f>
        <v/>
      </c>
      <c r="BV1802">
        <f>IFERROR(INDEX(PP_Grid[#Data],$DE1802,71),0)</f>
        <v/>
      </c>
      <c r="BW1802">
        <f>IFERROR(INDEX(PP_Grid[#Data],$DE1802,72),0)</f>
        <v/>
      </c>
      <c r="BX1802">
        <f>IFERROR(INDEX(PP_Grid[#Data],$DE1802,73),0)</f>
        <v/>
      </c>
      <c r="BY1802">
        <f>IFERROR(INDEX(PP_Grid[#Data],$DE1802,74),0)</f>
        <v/>
      </c>
      <c r="BZ1802">
        <f>IFERROR(INDEX(PP_Grid[#Data],$DE1802,75),0)</f>
        <v/>
      </c>
      <c r="CA1802">
        <f>IFERROR(INDEX(PP_Grid[#Data],$DE1802,76),0)</f>
        <v/>
      </c>
      <c r="CB1802">
        <f>IFERROR(INDEX(PP_Grid[#Data],$DE1802,77),0)</f>
        <v/>
      </c>
      <c r="CC1802">
        <f>IFERROR(INDEX(PP_Grid[#Data],$DE1802,78),0)</f>
        <v/>
      </c>
      <c r="CD1802">
        <f>IFERROR(INDEX(PP_Grid[#Data],$DE1802,79),0)</f>
        <v/>
      </c>
      <c r="CE1802">
        <f>IFERROR(INDEX(PP_Grid[#Data],$DE1802,80),0)</f>
        <v/>
      </c>
      <c r="CF1802">
        <f>IFERROR(INDEX(PP_Grid[#Data],$DE1802,81),0)</f>
        <v/>
      </c>
      <c r="CG1802">
        <f>IFERROR(INDEX(PP_Grid[#Data],$DE1802,82),0)</f>
        <v/>
      </c>
      <c r="CH1802">
        <f>IFERROR(INDEX(PP_Grid[#Data],$DE1802,83),0)</f>
        <v/>
      </c>
      <c r="CI1802">
        <f>IFERROR(INDEX(PP_Grid[#Data],$DE1802,84),0)</f>
        <v/>
      </c>
      <c r="CJ1802">
        <f>IFERROR(INDEX(PP_Grid[#Data],$DE1802,85),0)</f>
        <v/>
      </c>
      <c r="CK1802">
        <f>IFERROR(INDEX(PP_Grid[#Data],$DE1802,86),0)</f>
        <v/>
      </c>
      <c r="CL1802">
        <f>IFERROR(INDEX(PP_Grid[#Data],$DE1802,87),0)</f>
        <v/>
      </c>
      <c r="CM1802">
        <f>IFERROR(INDEX(PP_Grid[#Data],$DE1802,88),0)</f>
        <v/>
      </c>
      <c r="CN1802">
        <f>IFERROR(INDEX(PP_Grid[#Data],$DE1802,89),0)</f>
        <v/>
      </c>
      <c r="CO1802">
        <f>IFERROR(INDEX(PP_Grid[#Data],$DE1802,90),0)</f>
        <v/>
      </c>
      <c r="CP1802">
        <f>IFERROR(INDEX(PP_Grid[#Data],$DE1802,91),0)</f>
        <v/>
      </c>
      <c r="CQ1802">
        <f>IFERROR(INDEX(PP_Grid[#Data],$DE1802,92),0)</f>
        <v/>
      </c>
      <c r="CR1802">
        <f>IFERROR(INDEX(PP_Grid[#Data],$DE1802,93),0)</f>
        <v/>
      </c>
      <c r="CS1802">
        <f>IFERROR(INDEX(PP_Grid[#Data],$DE1802,94),0)</f>
        <v/>
      </c>
      <c r="CT1802">
        <f>IFERROR(INDEX(PP_Grid[#Data],$DE1802,95),0)</f>
        <v/>
      </c>
      <c r="CU1802">
        <f>IFERROR(INDEX(PP_Grid[#Data],$DE1802,96),0)</f>
        <v/>
      </c>
      <c r="CV1802">
        <f>IFERROR(INDEX(PP_Grid[#Data],$DE1802,97),0)</f>
        <v/>
      </c>
      <c r="CW1802">
        <f>IFERROR(INDEX(PP_Grid[#Data],$DE1802,98),0)</f>
        <v/>
      </c>
      <c r="CX1802">
        <f>IFERROR(INDEX(PP_Grid[#Data],$DE1802,99),0)</f>
        <v/>
      </c>
      <c r="CY1802">
        <f>IFERROR(INDEX(PP_Grid[#Data],$DE1802,100),0)</f>
        <v/>
      </c>
      <c r="CZ1802">
        <f>IFERROR(INDEX(PP_Grid[#Data],$DE1802,101),0)</f>
        <v/>
      </c>
      <c r="DA1802">
        <f>IFERROR(INDEX(PP_Grid[#Data],$DE1802,102),0)</f>
        <v/>
      </c>
      <c r="DB1802">
        <f>IFERROR(INDEX(PP_Grid[#Data],$DE1802,103),0)</f>
        <v/>
      </c>
      <c r="DC1802">
        <f>IFERROR(INDEX(PP_Grid[#Data],$DE1802,104),0)</f>
        <v/>
      </c>
      <c r="DD1802">
        <f>IFERROR(INDEX(PP_Grid[#Data],$DE1802,105),0)</f>
        <v/>
      </c>
      <c r="DE1802" s="7">
        <f>IFERROR(MATCH($B1802,PP_Grid[Intermediate],0),99999)</f>
        <v/>
      </c>
    </row>
    <row r="1803">
      <c r="B1803" t="inlineStr">
        <is>
          <t>使用量(kg)</t>
        </is>
      </c>
      <c r="C1803">
        <f>SUMIFS(M_BOM[RM_Qty_Per_Batch],M_BOM[Intermediate],$B1802,M_BOM[RM_Code],$A1771)</f>
        <v/>
      </c>
      <c r="D1803">
        <f>IFERROR(INDEX(E1803:DD1803,$F$1),"")</f>
        <v/>
      </c>
      <c r="E1803">
        <f>$C1803*E1802</f>
        <v/>
      </c>
      <c r="F1803">
        <f>$C1803*F1802</f>
        <v/>
      </c>
      <c r="G1803">
        <f>$C1803*G1802</f>
        <v/>
      </c>
      <c r="H1803">
        <f>$C1803*H1802</f>
        <v/>
      </c>
      <c r="I1803">
        <f>$C1803*I1802</f>
        <v/>
      </c>
      <c r="J1803">
        <f>$C1803*J1802</f>
        <v/>
      </c>
      <c r="K1803">
        <f>$C1803*K1802</f>
        <v/>
      </c>
      <c r="L1803">
        <f>$C1803*L1802</f>
        <v/>
      </c>
      <c r="M1803">
        <f>$C1803*M1802</f>
        <v/>
      </c>
      <c r="N1803">
        <f>$C1803*N1802</f>
        <v/>
      </c>
      <c r="O1803">
        <f>$C1803*O1802</f>
        <v/>
      </c>
      <c r="P1803">
        <f>$C1803*P1802</f>
        <v/>
      </c>
      <c r="Q1803">
        <f>$C1803*Q1802</f>
        <v/>
      </c>
      <c r="R1803">
        <f>$C1803*R1802</f>
        <v/>
      </c>
      <c r="S1803">
        <f>$C1803*S1802</f>
        <v/>
      </c>
      <c r="T1803">
        <f>$C1803*T1802</f>
        <v/>
      </c>
      <c r="U1803">
        <f>$C1803*U1802</f>
        <v/>
      </c>
      <c r="V1803">
        <f>$C1803*V1802</f>
        <v/>
      </c>
      <c r="W1803">
        <f>$C1803*W1802</f>
        <v/>
      </c>
      <c r="X1803">
        <f>$C1803*X1802</f>
        <v/>
      </c>
      <c r="Y1803">
        <f>$C1803*Y1802</f>
        <v/>
      </c>
      <c r="Z1803">
        <f>$C1803*Z1802</f>
        <v/>
      </c>
      <c r="AA1803">
        <f>$C1803*AA1802</f>
        <v/>
      </c>
      <c r="AB1803">
        <f>$C1803*AB1802</f>
        <v/>
      </c>
      <c r="AC1803">
        <f>$C1803*AC1802</f>
        <v/>
      </c>
      <c r="AD1803">
        <f>$C1803*AD1802</f>
        <v/>
      </c>
      <c r="AE1803">
        <f>$C1803*AE1802</f>
        <v/>
      </c>
      <c r="AF1803">
        <f>$C1803*AF1802</f>
        <v/>
      </c>
      <c r="AG1803">
        <f>$C1803*AG1802</f>
        <v/>
      </c>
      <c r="AH1803">
        <f>$C1803*AH1802</f>
        <v/>
      </c>
      <c r="AI1803">
        <f>$C1803*AI1802</f>
        <v/>
      </c>
      <c r="AJ1803">
        <f>$C1803*AJ1802</f>
        <v/>
      </c>
      <c r="AK1803">
        <f>$C1803*AK1802</f>
        <v/>
      </c>
      <c r="AL1803">
        <f>$C1803*AL1802</f>
        <v/>
      </c>
      <c r="AM1803">
        <f>$C1803*AM1802</f>
        <v/>
      </c>
      <c r="AN1803">
        <f>$C1803*AN1802</f>
        <v/>
      </c>
      <c r="AO1803">
        <f>$C1803*AO1802</f>
        <v/>
      </c>
      <c r="AP1803">
        <f>$C1803*AP1802</f>
        <v/>
      </c>
      <c r="AQ1803">
        <f>$C1803*AQ1802</f>
        <v/>
      </c>
      <c r="AR1803">
        <f>$C1803*AR1802</f>
        <v/>
      </c>
      <c r="AS1803">
        <f>$C1803*AS1802</f>
        <v/>
      </c>
      <c r="AT1803">
        <f>$C1803*AT1802</f>
        <v/>
      </c>
      <c r="AU1803">
        <f>$C1803*AU1802</f>
        <v/>
      </c>
      <c r="AV1803">
        <f>$C1803*AV1802</f>
        <v/>
      </c>
      <c r="AW1803">
        <f>$C1803*AW1802</f>
        <v/>
      </c>
      <c r="AX1803">
        <f>$C1803*AX1802</f>
        <v/>
      </c>
      <c r="AY1803">
        <f>$C1803*AY1802</f>
        <v/>
      </c>
      <c r="AZ1803">
        <f>$C1803*AZ1802</f>
        <v/>
      </c>
      <c r="BA1803">
        <f>$C1803*BA1802</f>
        <v/>
      </c>
      <c r="BB1803">
        <f>$C1803*BB1802</f>
        <v/>
      </c>
      <c r="BC1803">
        <f>$C1803*BC1802</f>
        <v/>
      </c>
      <c r="BD1803">
        <f>$C1803*BD1802</f>
        <v/>
      </c>
      <c r="BE1803">
        <f>$C1803*BE1802</f>
        <v/>
      </c>
      <c r="BF1803">
        <f>$C1803*BF1802</f>
        <v/>
      </c>
      <c r="BG1803">
        <f>$C1803*BG1802</f>
        <v/>
      </c>
      <c r="BH1803">
        <f>$C1803*BH1802</f>
        <v/>
      </c>
      <c r="BI1803">
        <f>$C1803*BI1802</f>
        <v/>
      </c>
      <c r="BJ1803">
        <f>$C1803*BJ1802</f>
        <v/>
      </c>
      <c r="BK1803">
        <f>$C1803*BK1802</f>
        <v/>
      </c>
      <c r="BL1803">
        <f>$C1803*BL1802</f>
        <v/>
      </c>
      <c r="BM1803">
        <f>$C1803*BM1802</f>
        <v/>
      </c>
      <c r="BN1803">
        <f>$C1803*BN1802</f>
        <v/>
      </c>
      <c r="BO1803">
        <f>$C1803*BO1802</f>
        <v/>
      </c>
      <c r="BP1803">
        <f>$C1803*BP1802</f>
        <v/>
      </c>
      <c r="BQ1803">
        <f>$C1803*BQ1802</f>
        <v/>
      </c>
      <c r="BR1803">
        <f>$C1803*BR1802</f>
        <v/>
      </c>
      <c r="BS1803">
        <f>$C1803*BS1802</f>
        <v/>
      </c>
      <c r="BT1803">
        <f>$C1803*BT1802</f>
        <v/>
      </c>
      <c r="BU1803">
        <f>$C1803*BU1802</f>
        <v/>
      </c>
      <c r="BV1803">
        <f>$C1803*BV1802</f>
        <v/>
      </c>
      <c r="BW1803">
        <f>$C1803*BW1802</f>
        <v/>
      </c>
      <c r="BX1803">
        <f>$C1803*BX1802</f>
        <v/>
      </c>
      <c r="BY1803">
        <f>$C1803*BY1802</f>
        <v/>
      </c>
      <c r="BZ1803">
        <f>$C1803*BZ1802</f>
        <v/>
      </c>
      <c r="CA1803">
        <f>$C1803*CA1802</f>
        <v/>
      </c>
      <c r="CB1803">
        <f>$C1803*CB1802</f>
        <v/>
      </c>
      <c r="CC1803">
        <f>$C1803*CC1802</f>
        <v/>
      </c>
      <c r="CD1803">
        <f>$C1803*CD1802</f>
        <v/>
      </c>
      <c r="CE1803">
        <f>$C1803*CE1802</f>
        <v/>
      </c>
      <c r="CF1803">
        <f>$C1803*CF1802</f>
        <v/>
      </c>
      <c r="CG1803">
        <f>$C1803*CG1802</f>
        <v/>
      </c>
      <c r="CH1803">
        <f>$C1803*CH1802</f>
        <v/>
      </c>
      <c r="CI1803">
        <f>$C1803*CI1802</f>
        <v/>
      </c>
      <c r="CJ1803">
        <f>$C1803*CJ1802</f>
        <v/>
      </c>
      <c r="CK1803">
        <f>$C1803*CK1802</f>
        <v/>
      </c>
      <c r="CL1803">
        <f>$C1803*CL1802</f>
        <v/>
      </c>
      <c r="CM1803">
        <f>$C1803*CM1802</f>
        <v/>
      </c>
      <c r="CN1803">
        <f>$C1803*CN1802</f>
        <v/>
      </c>
      <c r="CO1803">
        <f>$C1803*CO1802</f>
        <v/>
      </c>
      <c r="CP1803">
        <f>$C1803*CP1802</f>
        <v/>
      </c>
      <c r="CQ1803">
        <f>$C1803*CQ1802</f>
        <v/>
      </c>
      <c r="CR1803">
        <f>$C1803*CR1802</f>
        <v/>
      </c>
      <c r="CS1803">
        <f>$C1803*CS1802</f>
        <v/>
      </c>
      <c r="CT1803">
        <f>$C1803*CT1802</f>
        <v/>
      </c>
      <c r="CU1803">
        <f>$C1803*CU1802</f>
        <v/>
      </c>
      <c r="CV1803">
        <f>$C1803*CV1802</f>
        <v/>
      </c>
      <c r="CW1803">
        <f>$C1803*CW1802</f>
        <v/>
      </c>
      <c r="CX1803">
        <f>$C1803*CX1802</f>
        <v/>
      </c>
      <c r="CY1803">
        <f>$C1803*CY1802</f>
        <v/>
      </c>
      <c r="CZ1803">
        <f>$C1803*CZ1802</f>
        <v/>
      </c>
      <c r="DA1803">
        <f>$C1803*DA1802</f>
        <v/>
      </c>
      <c r="DB1803">
        <f>$C1803*DB1802</f>
        <v/>
      </c>
      <c r="DC1803">
        <f>$C1803*DC1802</f>
        <v/>
      </c>
      <c r="DD1803">
        <f>$C1803*DD1802</f>
        <v/>
      </c>
    </row>
    <row r="1804">
      <c r="B1804" t="inlineStr">
        <is>
          <t>TVS-267</t>
        </is>
      </c>
      <c r="C1804" t="inlineStr">
        <is>
          <t>No. of batches</t>
        </is>
      </c>
      <c r="D1804">
        <f>IFERROR(INDEX(E1804:DD1804,$F$1),"")</f>
        <v/>
      </c>
      <c r="E1804">
        <f>IFERROR(INDEX(PP_Grid[#Data],$DE1804,2),0)</f>
        <v/>
      </c>
      <c r="F1804">
        <f>IFERROR(INDEX(PP_Grid[#Data],$DE1804,3),0)</f>
        <v/>
      </c>
      <c r="G1804">
        <f>IFERROR(INDEX(PP_Grid[#Data],$DE1804,4),0)</f>
        <v/>
      </c>
      <c r="H1804">
        <f>IFERROR(INDEX(PP_Grid[#Data],$DE1804,5),0)</f>
        <v/>
      </c>
      <c r="I1804">
        <f>IFERROR(INDEX(PP_Grid[#Data],$DE1804,6),0)</f>
        <v/>
      </c>
      <c r="J1804">
        <f>IFERROR(INDEX(PP_Grid[#Data],$DE1804,7),0)</f>
        <v/>
      </c>
      <c r="K1804">
        <f>IFERROR(INDEX(PP_Grid[#Data],$DE1804,8),0)</f>
        <v/>
      </c>
      <c r="L1804">
        <f>IFERROR(INDEX(PP_Grid[#Data],$DE1804,9),0)</f>
        <v/>
      </c>
      <c r="M1804">
        <f>IFERROR(INDEX(PP_Grid[#Data],$DE1804,10),0)</f>
        <v/>
      </c>
      <c r="N1804">
        <f>IFERROR(INDEX(PP_Grid[#Data],$DE1804,11),0)</f>
        <v/>
      </c>
      <c r="O1804">
        <f>IFERROR(INDEX(PP_Grid[#Data],$DE1804,12),0)</f>
        <v/>
      </c>
      <c r="P1804">
        <f>IFERROR(INDEX(PP_Grid[#Data],$DE1804,13),0)</f>
        <v/>
      </c>
      <c r="Q1804">
        <f>IFERROR(INDEX(PP_Grid[#Data],$DE1804,14),0)</f>
        <v/>
      </c>
      <c r="R1804">
        <f>IFERROR(INDEX(PP_Grid[#Data],$DE1804,15),0)</f>
        <v/>
      </c>
      <c r="S1804">
        <f>IFERROR(INDEX(PP_Grid[#Data],$DE1804,16),0)</f>
        <v/>
      </c>
      <c r="T1804">
        <f>IFERROR(INDEX(PP_Grid[#Data],$DE1804,17),0)</f>
        <v/>
      </c>
      <c r="U1804">
        <f>IFERROR(INDEX(PP_Grid[#Data],$DE1804,18),0)</f>
        <v/>
      </c>
      <c r="V1804">
        <f>IFERROR(INDEX(PP_Grid[#Data],$DE1804,19),0)</f>
        <v/>
      </c>
      <c r="W1804">
        <f>IFERROR(INDEX(PP_Grid[#Data],$DE1804,20),0)</f>
        <v/>
      </c>
      <c r="X1804">
        <f>IFERROR(INDEX(PP_Grid[#Data],$DE1804,21),0)</f>
        <v/>
      </c>
      <c r="Y1804">
        <f>IFERROR(INDEX(PP_Grid[#Data],$DE1804,22),0)</f>
        <v/>
      </c>
      <c r="Z1804">
        <f>IFERROR(INDEX(PP_Grid[#Data],$DE1804,23),0)</f>
        <v/>
      </c>
      <c r="AA1804">
        <f>IFERROR(INDEX(PP_Grid[#Data],$DE1804,24),0)</f>
        <v/>
      </c>
      <c r="AB1804">
        <f>IFERROR(INDEX(PP_Grid[#Data],$DE1804,25),0)</f>
        <v/>
      </c>
      <c r="AC1804">
        <f>IFERROR(INDEX(PP_Grid[#Data],$DE1804,26),0)</f>
        <v/>
      </c>
      <c r="AD1804">
        <f>IFERROR(INDEX(PP_Grid[#Data],$DE1804,27),0)</f>
        <v/>
      </c>
      <c r="AE1804">
        <f>IFERROR(INDEX(PP_Grid[#Data],$DE1804,28),0)</f>
        <v/>
      </c>
      <c r="AF1804">
        <f>IFERROR(INDEX(PP_Grid[#Data],$DE1804,29),0)</f>
        <v/>
      </c>
      <c r="AG1804">
        <f>IFERROR(INDEX(PP_Grid[#Data],$DE1804,30),0)</f>
        <v/>
      </c>
      <c r="AH1804">
        <f>IFERROR(INDEX(PP_Grid[#Data],$DE1804,31),0)</f>
        <v/>
      </c>
      <c r="AI1804">
        <f>IFERROR(INDEX(PP_Grid[#Data],$DE1804,32),0)</f>
        <v/>
      </c>
      <c r="AJ1804">
        <f>IFERROR(INDEX(PP_Grid[#Data],$DE1804,33),0)</f>
        <v/>
      </c>
      <c r="AK1804">
        <f>IFERROR(INDEX(PP_Grid[#Data],$DE1804,34),0)</f>
        <v/>
      </c>
      <c r="AL1804">
        <f>IFERROR(INDEX(PP_Grid[#Data],$DE1804,35),0)</f>
        <v/>
      </c>
      <c r="AM1804">
        <f>IFERROR(INDEX(PP_Grid[#Data],$DE1804,36),0)</f>
        <v/>
      </c>
      <c r="AN1804">
        <f>IFERROR(INDEX(PP_Grid[#Data],$DE1804,37),0)</f>
        <v/>
      </c>
      <c r="AO1804">
        <f>IFERROR(INDEX(PP_Grid[#Data],$DE1804,38),0)</f>
        <v/>
      </c>
      <c r="AP1804">
        <f>IFERROR(INDEX(PP_Grid[#Data],$DE1804,39),0)</f>
        <v/>
      </c>
      <c r="AQ1804">
        <f>IFERROR(INDEX(PP_Grid[#Data],$DE1804,40),0)</f>
        <v/>
      </c>
      <c r="AR1804">
        <f>IFERROR(INDEX(PP_Grid[#Data],$DE1804,41),0)</f>
        <v/>
      </c>
      <c r="AS1804">
        <f>IFERROR(INDEX(PP_Grid[#Data],$DE1804,42),0)</f>
        <v/>
      </c>
      <c r="AT1804">
        <f>IFERROR(INDEX(PP_Grid[#Data],$DE1804,43),0)</f>
        <v/>
      </c>
      <c r="AU1804">
        <f>IFERROR(INDEX(PP_Grid[#Data],$DE1804,44),0)</f>
        <v/>
      </c>
      <c r="AV1804">
        <f>IFERROR(INDEX(PP_Grid[#Data],$DE1804,45),0)</f>
        <v/>
      </c>
      <c r="AW1804">
        <f>IFERROR(INDEX(PP_Grid[#Data],$DE1804,46),0)</f>
        <v/>
      </c>
      <c r="AX1804">
        <f>IFERROR(INDEX(PP_Grid[#Data],$DE1804,47),0)</f>
        <v/>
      </c>
      <c r="AY1804">
        <f>IFERROR(INDEX(PP_Grid[#Data],$DE1804,48),0)</f>
        <v/>
      </c>
      <c r="AZ1804">
        <f>IFERROR(INDEX(PP_Grid[#Data],$DE1804,49),0)</f>
        <v/>
      </c>
      <c r="BA1804">
        <f>IFERROR(INDEX(PP_Grid[#Data],$DE1804,50),0)</f>
        <v/>
      </c>
      <c r="BB1804">
        <f>IFERROR(INDEX(PP_Grid[#Data],$DE1804,51),0)</f>
        <v/>
      </c>
      <c r="BC1804">
        <f>IFERROR(INDEX(PP_Grid[#Data],$DE1804,52),0)</f>
        <v/>
      </c>
      <c r="BD1804">
        <f>IFERROR(INDEX(PP_Grid[#Data],$DE1804,53),0)</f>
        <v/>
      </c>
      <c r="BE1804">
        <f>IFERROR(INDEX(PP_Grid[#Data],$DE1804,54),0)</f>
        <v/>
      </c>
      <c r="BF1804">
        <f>IFERROR(INDEX(PP_Grid[#Data],$DE1804,55),0)</f>
        <v/>
      </c>
      <c r="BG1804">
        <f>IFERROR(INDEX(PP_Grid[#Data],$DE1804,56),0)</f>
        <v/>
      </c>
      <c r="BH1804">
        <f>IFERROR(INDEX(PP_Grid[#Data],$DE1804,57),0)</f>
        <v/>
      </c>
      <c r="BI1804">
        <f>IFERROR(INDEX(PP_Grid[#Data],$DE1804,58),0)</f>
        <v/>
      </c>
      <c r="BJ1804">
        <f>IFERROR(INDEX(PP_Grid[#Data],$DE1804,59),0)</f>
        <v/>
      </c>
      <c r="BK1804">
        <f>IFERROR(INDEX(PP_Grid[#Data],$DE1804,60),0)</f>
        <v/>
      </c>
      <c r="BL1804">
        <f>IFERROR(INDEX(PP_Grid[#Data],$DE1804,61),0)</f>
        <v/>
      </c>
      <c r="BM1804">
        <f>IFERROR(INDEX(PP_Grid[#Data],$DE1804,62),0)</f>
        <v/>
      </c>
      <c r="BN1804">
        <f>IFERROR(INDEX(PP_Grid[#Data],$DE1804,63),0)</f>
        <v/>
      </c>
      <c r="BO1804">
        <f>IFERROR(INDEX(PP_Grid[#Data],$DE1804,64),0)</f>
        <v/>
      </c>
      <c r="BP1804">
        <f>IFERROR(INDEX(PP_Grid[#Data],$DE1804,65),0)</f>
        <v/>
      </c>
      <c r="BQ1804">
        <f>IFERROR(INDEX(PP_Grid[#Data],$DE1804,66),0)</f>
        <v/>
      </c>
      <c r="BR1804">
        <f>IFERROR(INDEX(PP_Grid[#Data],$DE1804,67),0)</f>
        <v/>
      </c>
      <c r="BS1804">
        <f>IFERROR(INDEX(PP_Grid[#Data],$DE1804,68),0)</f>
        <v/>
      </c>
      <c r="BT1804">
        <f>IFERROR(INDEX(PP_Grid[#Data],$DE1804,69),0)</f>
        <v/>
      </c>
      <c r="BU1804">
        <f>IFERROR(INDEX(PP_Grid[#Data],$DE1804,70),0)</f>
        <v/>
      </c>
      <c r="BV1804">
        <f>IFERROR(INDEX(PP_Grid[#Data],$DE1804,71),0)</f>
        <v/>
      </c>
      <c r="BW1804">
        <f>IFERROR(INDEX(PP_Grid[#Data],$DE1804,72),0)</f>
        <v/>
      </c>
      <c r="BX1804">
        <f>IFERROR(INDEX(PP_Grid[#Data],$DE1804,73),0)</f>
        <v/>
      </c>
      <c r="BY1804">
        <f>IFERROR(INDEX(PP_Grid[#Data],$DE1804,74),0)</f>
        <v/>
      </c>
      <c r="BZ1804">
        <f>IFERROR(INDEX(PP_Grid[#Data],$DE1804,75),0)</f>
        <v/>
      </c>
      <c r="CA1804">
        <f>IFERROR(INDEX(PP_Grid[#Data],$DE1804,76),0)</f>
        <v/>
      </c>
      <c r="CB1804">
        <f>IFERROR(INDEX(PP_Grid[#Data],$DE1804,77),0)</f>
        <v/>
      </c>
      <c r="CC1804">
        <f>IFERROR(INDEX(PP_Grid[#Data],$DE1804,78),0)</f>
        <v/>
      </c>
      <c r="CD1804">
        <f>IFERROR(INDEX(PP_Grid[#Data],$DE1804,79),0)</f>
        <v/>
      </c>
      <c r="CE1804">
        <f>IFERROR(INDEX(PP_Grid[#Data],$DE1804,80),0)</f>
        <v/>
      </c>
      <c r="CF1804">
        <f>IFERROR(INDEX(PP_Grid[#Data],$DE1804,81),0)</f>
        <v/>
      </c>
      <c r="CG1804">
        <f>IFERROR(INDEX(PP_Grid[#Data],$DE1804,82),0)</f>
        <v/>
      </c>
      <c r="CH1804">
        <f>IFERROR(INDEX(PP_Grid[#Data],$DE1804,83),0)</f>
        <v/>
      </c>
      <c r="CI1804">
        <f>IFERROR(INDEX(PP_Grid[#Data],$DE1804,84),0)</f>
        <v/>
      </c>
      <c r="CJ1804">
        <f>IFERROR(INDEX(PP_Grid[#Data],$DE1804,85),0)</f>
        <v/>
      </c>
      <c r="CK1804">
        <f>IFERROR(INDEX(PP_Grid[#Data],$DE1804,86),0)</f>
        <v/>
      </c>
      <c r="CL1804">
        <f>IFERROR(INDEX(PP_Grid[#Data],$DE1804,87),0)</f>
        <v/>
      </c>
      <c r="CM1804">
        <f>IFERROR(INDEX(PP_Grid[#Data],$DE1804,88),0)</f>
        <v/>
      </c>
      <c r="CN1804">
        <f>IFERROR(INDEX(PP_Grid[#Data],$DE1804,89),0)</f>
        <v/>
      </c>
      <c r="CO1804">
        <f>IFERROR(INDEX(PP_Grid[#Data],$DE1804,90),0)</f>
        <v/>
      </c>
      <c r="CP1804">
        <f>IFERROR(INDEX(PP_Grid[#Data],$DE1804,91),0)</f>
        <v/>
      </c>
      <c r="CQ1804">
        <f>IFERROR(INDEX(PP_Grid[#Data],$DE1804,92),0)</f>
        <v/>
      </c>
      <c r="CR1804">
        <f>IFERROR(INDEX(PP_Grid[#Data],$DE1804,93),0)</f>
        <v/>
      </c>
      <c r="CS1804">
        <f>IFERROR(INDEX(PP_Grid[#Data],$DE1804,94),0)</f>
        <v/>
      </c>
      <c r="CT1804">
        <f>IFERROR(INDEX(PP_Grid[#Data],$DE1804,95),0)</f>
        <v/>
      </c>
      <c r="CU1804">
        <f>IFERROR(INDEX(PP_Grid[#Data],$DE1804,96),0)</f>
        <v/>
      </c>
      <c r="CV1804">
        <f>IFERROR(INDEX(PP_Grid[#Data],$DE1804,97),0)</f>
        <v/>
      </c>
      <c r="CW1804">
        <f>IFERROR(INDEX(PP_Grid[#Data],$DE1804,98),0)</f>
        <v/>
      </c>
      <c r="CX1804">
        <f>IFERROR(INDEX(PP_Grid[#Data],$DE1804,99),0)</f>
        <v/>
      </c>
      <c r="CY1804">
        <f>IFERROR(INDEX(PP_Grid[#Data],$DE1804,100),0)</f>
        <v/>
      </c>
      <c r="CZ1804">
        <f>IFERROR(INDEX(PP_Grid[#Data],$DE1804,101),0)</f>
        <v/>
      </c>
      <c r="DA1804">
        <f>IFERROR(INDEX(PP_Grid[#Data],$DE1804,102),0)</f>
        <v/>
      </c>
      <c r="DB1804">
        <f>IFERROR(INDEX(PP_Grid[#Data],$DE1804,103),0)</f>
        <v/>
      </c>
      <c r="DC1804">
        <f>IFERROR(INDEX(PP_Grid[#Data],$DE1804,104),0)</f>
        <v/>
      </c>
      <c r="DD1804">
        <f>IFERROR(INDEX(PP_Grid[#Data],$DE1804,105),0)</f>
        <v/>
      </c>
      <c r="DE1804" s="7">
        <f>IFERROR(MATCH($B1804,PP_Grid[Intermediate],0),99999)</f>
        <v/>
      </c>
    </row>
    <row r="1805">
      <c r="B1805" t="inlineStr">
        <is>
          <t>使用量(kg)</t>
        </is>
      </c>
      <c r="C1805">
        <f>SUMIFS(M_BOM[RM_Qty_Per_Batch],M_BOM[Intermediate],$B1804,M_BOM[RM_Code],$A1771)</f>
        <v/>
      </c>
      <c r="D1805">
        <f>IFERROR(INDEX(E1805:DD1805,$F$1),"")</f>
        <v/>
      </c>
      <c r="E1805">
        <f>$C1805*E1804</f>
        <v/>
      </c>
      <c r="F1805">
        <f>$C1805*F1804</f>
        <v/>
      </c>
      <c r="G1805">
        <f>$C1805*G1804</f>
        <v/>
      </c>
      <c r="H1805">
        <f>$C1805*H1804</f>
        <v/>
      </c>
      <c r="I1805">
        <f>$C1805*I1804</f>
        <v/>
      </c>
      <c r="J1805">
        <f>$C1805*J1804</f>
        <v/>
      </c>
      <c r="K1805">
        <f>$C1805*K1804</f>
        <v/>
      </c>
      <c r="L1805">
        <f>$C1805*L1804</f>
        <v/>
      </c>
      <c r="M1805">
        <f>$C1805*M1804</f>
        <v/>
      </c>
      <c r="N1805">
        <f>$C1805*N1804</f>
        <v/>
      </c>
      <c r="O1805">
        <f>$C1805*O1804</f>
        <v/>
      </c>
      <c r="P1805">
        <f>$C1805*P1804</f>
        <v/>
      </c>
      <c r="Q1805">
        <f>$C1805*Q1804</f>
        <v/>
      </c>
      <c r="R1805">
        <f>$C1805*R1804</f>
        <v/>
      </c>
      <c r="S1805">
        <f>$C1805*S1804</f>
        <v/>
      </c>
      <c r="T1805">
        <f>$C1805*T1804</f>
        <v/>
      </c>
      <c r="U1805">
        <f>$C1805*U1804</f>
        <v/>
      </c>
      <c r="V1805">
        <f>$C1805*V1804</f>
        <v/>
      </c>
      <c r="W1805">
        <f>$C1805*W1804</f>
        <v/>
      </c>
      <c r="X1805">
        <f>$C1805*X1804</f>
        <v/>
      </c>
      <c r="Y1805">
        <f>$C1805*Y1804</f>
        <v/>
      </c>
      <c r="Z1805">
        <f>$C1805*Z1804</f>
        <v/>
      </c>
      <c r="AA1805">
        <f>$C1805*AA1804</f>
        <v/>
      </c>
      <c r="AB1805">
        <f>$C1805*AB1804</f>
        <v/>
      </c>
      <c r="AC1805">
        <f>$C1805*AC1804</f>
        <v/>
      </c>
      <c r="AD1805">
        <f>$C1805*AD1804</f>
        <v/>
      </c>
      <c r="AE1805">
        <f>$C1805*AE1804</f>
        <v/>
      </c>
      <c r="AF1805">
        <f>$C1805*AF1804</f>
        <v/>
      </c>
      <c r="AG1805">
        <f>$C1805*AG1804</f>
        <v/>
      </c>
      <c r="AH1805">
        <f>$C1805*AH1804</f>
        <v/>
      </c>
      <c r="AI1805">
        <f>$C1805*AI1804</f>
        <v/>
      </c>
      <c r="AJ1805">
        <f>$C1805*AJ1804</f>
        <v/>
      </c>
      <c r="AK1805">
        <f>$C1805*AK1804</f>
        <v/>
      </c>
      <c r="AL1805">
        <f>$C1805*AL1804</f>
        <v/>
      </c>
      <c r="AM1805">
        <f>$C1805*AM1804</f>
        <v/>
      </c>
      <c r="AN1805">
        <f>$C1805*AN1804</f>
        <v/>
      </c>
      <c r="AO1805">
        <f>$C1805*AO1804</f>
        <v/>
      </c>
      <c r="AP1805">
        <f>$C1805*AP1804</f>
        <v/>
      </c>
      <c r="AQ1805">
        <f>$C1805*AQ1804</f>
        <v/>
      </c>
      <c r="AR1805">
        <f>$C1805*AR1804</f>
        <v/>
      </c>
      <c r="AS1805">
        <f>$C1805*AS1804</f>
        <v/>
      </c>
      <c r="AT1805">
        <f>$C1805*AT1804</f>
        <v/>
      </c>
      <c r="AU1805">
        <f>$C1805*AU1804</f>
        <v/>
      </c>
      <c r="AV1805">
        <f>$C1805*AV1804</f>
        <v/>
      </c>
      <c r="AW1805">
        <f>$C1805*AW1804</f>
        <v/>
      </c>
      <c r="AX1805">
        <f>$C1805*AX1804</f>
        <v/>
      </c>
      <c r="AY1805">
        <f>$C1805*AY1804</f>
        <v/>
      </c>
      <c r="AZ1805">
        <f>$C1805*AZ1804</f>
        <v/>
      </c>
      <c r="BA1805">
        <f>$C1805*BA1804</f>
        <v/>
      </c>
      <c r="BB1805">
        <f>$C1805*BB1804</f>
        <v/>
      </c>
      <c r="BC1805">
        <f>$C1805*BC1804</f>
        <v/>
      </c>
      <c r="BD1805">
        <f>$C1805*BD1804</f>
        <v/>
      </c>
      <c r="BE1805">
        <f>$C1805*BE1804</f>
        <v/>
      </c>
      <c r="BF1805">
        <f>$C1805*BF1804</f>
        <v/>
      </c>
      <c r="BG1805">
        <f>$C1805*BG1804</f>
        <v/>
      </c>
      <c r="BH1805">
        <f>$C1805*BH1804</f>
        <v/>
      </c>
      <c r="BI1805">
        <f>$C1805*BI1804</f>
        <v/>
      </c>
      <c r="BJ1805">
        <f>$C1805*BJ1804</f>
        <v/>
      </c>
      <c r="BK1805">
        <f>$C1805*BK1804</f>
        <v/>
      </c>
      <c r="BL1805">
        <f>$C1805*BL1804</f>
        <v/>
      </c>
      <c r="BM1805">
        <f>$C1805*BM1804</f>
        <v/>
      </c>
      <c r="BN1805">
        <f>$C1805*BN1804</f>
        <v/>
      </c>
      <c r="BO1805">
        <f>$C1805*BO1804</f>
        <v/>
      </c>
      <c r="BP1805">
        <f>$C1805*BP1804</f>
        <v/>
      </c>
      <c r="BQ1805">
        <f>$C1805*BQ1804</f>
        <v/>
      </c>
      <c r="BR1805">
        <f>$C1805*BR1804</f>
        <v/>
      </c>
      <c r="BS1805">
        <f>$C1805*BS1804</f>
        <v/>
      </c>
      <c r="BT1805">
        <f>$C1805*BT1804</f>
        <v/>
      </c>
      <c r="BU1805">
        <f>$C1805*BU1804</f>
        <v/>
      </c>
      <c r="BV1805">
        <f>$C1805*BV1804</f>
        <v/>
      </c>
      <c r="BW1805">
        <f>$C1805*BW1804</f>
        <v/>
      </c>
      <c r="BX1805">
        <f>$C1805*BX1804</f>
        <v/>
      </c>
      <c r="BY1805">
        <f>$C1805*BY1804</f>
        <v/>
      </c>
      <c r="BZ1805">
        <f>$C1805*BZ1804</f>
        <v/>
      </c>
      <c r="CA1805">
        <f>$C1805*CA1804</f>
        <v/>
      </c>
      <c r="CB1805">
        <f>$C1805*CB1804</f>
        <v/>
      </c>
      <c r="CC1805">
        <f>$C1805*CC1804</f>
        <v/>
      </c>
      <c r="CD1805">
        <f>$C1805*CD1804</f>
        <v/>
      </c>
      <c r="CE1805">
        <f>$C1805*CE1804</f>
        <v/>
      </c>
      <c r="CF1805">
        <f>$C1805*CF1804</f>
        <v/>
      </c>
      <c r="CG1805">
        <f>$C1805*CG1804</f>
        <v/>
      </c>
      <c r="CH1805">
        <f>$C1805*CH1804</f>
        <v/>
      </c>
      <c r="CI1805">
        <f>$C1805*CI1804</f>
        <v/>
      </c>
      <c r="CJ1805">
        <f>$C1805*CJ1804</f>
        <v/>
      </c>
      <c r="CK1805">
        <f>$C1805*CK1804</f>
        <v/>
      </c>
      <c r="CL1805">
        <f>$C1805*CL1804</f>
        <v/>
      </c>
      <c r="CM1805">
        <f>$C1805*CM1804</f>
        <v/>
      </c>
      <c r="CN1805">
        <f>$C1805*CN1804</f>
        <v/>
      </c>
      <c r="CO1805">
        <f>$C1805*CO1804</f>
        <v/>
      </c>
      <c r="CP1805">
        <f>$C1805*CP1804</f>
        <v/>
      </c>
      <c r="CQ1805">
        <f>$C1805*CQ1804</f>
        <v/>
      </c>
      <c r="CR1805">
        <f>$C1805*CR1804</f>
        <v/>
      </c>
      <c r="CS1805">
        <f>$C1805*CS1804</f>
        <v/>
      </c>
      <c r="CT1805">
        <f>$C1805*CT1804</f>
        <v/>
      </c>
      <c r="CU1805">
        <f>$C1805*CU1804</f>
        <v/>
      </c>
      <c r="CV1805">
        <f>$C1805*CV1804</f>
        <v/>
      </c>
      <c r="CW1805">
        <f>$C1805*CW1804</f>
        <v/>
      </c>
      <c r="CX1805">
        <f>$C1805*CX1804</f>
        <v/>
      </c>
      <c r="CY1805">
        <f>$C1805*CY1804</f>
        <v/>
      </c>
      <c r="CZ1805">
        <f>$C1805*CZ1804</f>
        <v/>
      </c>
      <c r="DA1805">
        <f>$C1805*DA1804</f>
        <v/>
      </c>
      <c r="DB1805">
        <f>$C1805*DB1804</f>
        <v/>
      </c>
      <c r="DC1805">
        <f>$C1805*DC1804</f>
        <v/>
      </c>
      <c r="DD1805">
        <f>$C1805*DD1804</f>
        <v/>
      </c>
    </row>
    <row r="1806">
      <c r="B1806" t="inlineStr">
        <is>
          <t>TVS-833</t>
        </is>
      </c>
      <c r="C1806" t="inlineStr">
        <is>
          <t>No. of batches</t>
        </is>
      </c>
      <c r="D1806">
        <f>IFERROR(INDEX(E1806:DD1806,$F$1),"")</f>
        <v/>
      </c>
      <c r="E1806">
        <f>IFERROR(INDEX(PP_Grid[#Data],$DE1806,2),0)</f>
        <v/>
      </c>
      <c r="F1806">
        <f>IFERROR(INDEX(PP_Grid[#Data],$DE1806,3),0)</f>
        <v/>
      </c>
      <c r="G1806">
        <f>IFERROR(INDEX(PP_Grid[#Data],$DE1806,4),0)</f>
        <v/>
      </c>
      <c r="H1806">
        <f>IFERROR(INDEX(PP_Grid[#Data],$DE1806,5),0)</f>
        <v/>
      </c>
      <c r="I1806">
        <f>IFERROR(INDEX(PP_Grid[#Data],$DE1806,6),0)</f>
        <v/>
      </c>
      <c r="J1806">
        <f>IFERROR(INDEX(PP_Grid[#Data],$DE1806,7),0)</f>
        <v/>
      </c>
      <c r="K1806">
        <f>IFERROR(INDEX(PP_Grid[#Data],$DE1806,8),0)</f>
        <v/>
      </c>
      <c r="L1806">
        <f>IFERROR(INDEX(PP_Grid[#Data],$DE1806,9),0)</f>
        <v/>
      </c>
      <c r="M1806">
        <f>IFERROR(INDEX(PP_Grid[#Data],$DE1806,10),0)</f>
        <v/>
      </c>
      <c r="N1806">
        <f>IFERROR(INDEX(PP_Grid[#Data],$DE1806,11),0)</f>
        <v/>
      </c>
      <c r="O1806">
        <f>IFERROR(INDEX(PP_Grid[#Data],$DE1806,12),0)</f>
        <v/>
      </c>
      <c r="P1806">
        <f>IFERROR(INDEX(PP_Grid[#Data],$DE1806,13),0)</f>
        <v/>
      </c>
      <c r="Q1806">
        <f>IFERROR(INDEX(PP_Grid[#Data],$DE1806,14),0)</f>
        <v/>
      </c>
      <c r="R1806">
        <f>IFERROR(INDEX(PP_Grid[#Data],$DE1806,15),0)</f>
        <v/>
      </c>
      <c r="S1806">
        <f>IFERROR(INDEX(PP_Grid[#Data],$DE1806,16),0)</f>
        <v/>
      </c>
      <c r="T1806">
        <f>IFERROR(INDEX(PP_Grid[#Data],$DE1806,17),0)</f>
        <v/>
      </c>
      <c r="U1806">
        <f>IFERROR(INDEX(PP_Grid[#Data],$DE1806,18),0)</f>
        <v/>
      </c>
      <c r="V1806">
        <f>IFERROR(INDEX(PP_Grid[#Data],$DE1806,19),0)</f>
        <v/>
      </c>
      <c r="W1806">
        <f>IFERROR(INDEX(PP_Grid[#Data],$DE1806,20),0)</f>
        <v/>
      </c>
      <c r="X1806">
        <f>IFERROR(INDEX(PP_Grid[#Data],$DE1806,21),0)</f>
        <v/>
      </c>
      <c r="Y1806">
        <f>IFERROR(INDEX(PP_Grid[#Data],$DE1806,22),0)</f>
        <v/>
      </c>
      <c r="Z1806">
        <f>IFERROR(INDEX(PP_Grid[#Data],$DE1806,23),0)</f>
        <v/>
      </c>
      <c r="AA1806">
        <f>IFERROR(INDEX(PP_Grid[#Data],$DE1806,24),0)</f>
        <v/>
      </c>
      <c r="AB1806">
        <f>IFERROR(INDEX(PP_Grid[#Data],$DE1806,25),0)</f>
        <v/>
      </c>
      <c r="AC1806">
        <f>IFERROR(INDEX(PP_Grid[#Data],$DE1806,26),0)</f>
        <v/>
      </c>
      <c r="AD1806">
        <f>IFERROR(INDEX(PP_Grid[#Data],$DE1806,27),0)</f>
        <v/>
      </c>
      <c r="AE1806">
        <f>IFERROR(INDEX(PP_Grid[#Data],$DE1806,28),0)</f>
        <v/>
      </c>
      <c r="AF1806">
        <f>IFERROR(INDEX(PP_Grid[#Data],$DE1806,29),0)</f>
        <v/>
      </c>
      <c r="AG1806">
        <f>IFERROR(INDEX(PP_Grid[#Data],$DE1806,30),0)</f>
        <v/>
      </c>
      <c r="AH1806">
        <f>IFERROR(INDEX(PP_Grid[#Data],$DE1806,31),0)</f>
        <v/>
      </c>
      <c r="AI1806">
        <f>IFERROR(INDEX(PP_Grid[#Data],$DE1806,32),0)</f>
        <v/>
      </c>
      <c r="AJ1806">
        <f>IFERROR(INDEX(PP_Grid[#Data],$DE1806,33),0)</f>
        <v/>
      </c>
      <c r="AK1806">
        <f>IFERROR(INDEX(PP_Grid[#Data],$DE1806,34),0)</f>
        <v/>
      </c>
      <c r="AL1806">
        <f>IFERROR(INDEX(PP_Grid[#Data],$DE1806,35),0)</f>
        <v/>
      </c>
      <c r="AM1806">
        <f>IFERROR(INDEX(PP_Grid[#Data],$DE1806,36),0)</f>
        <v/>
      </c>
      <c r="AN1806">
        <f>IFERROR(INDEX(PP_Grid[#Data],$DE1806,37),0)</f>
        <v/>
      </c>
      <c r="AO1806">
        <f>IFERROR(INDEX(PP_Grid[#Data],$DE1806,38),0)</f>
        <v/>
      </c>
      <c r="AP1806">
        <f>IFERROR(INDEX(PP_Grid[#Data],$DE1806,39),0)</f>
        <v/>
      </c>
      <c r="AQ1806">
        <f>IFERROR(INDEX(PP_Grid[#Data],$DE1806,40),0)</f>
        <v/>
      </c>
      <c r="AR1806">
        <f>IFERROR(INDEX(PP_Grid[#Data],$DE1806,41),0)</f>
        <v/>
      </c>
      <c r="AS1806">
        <f>IFERROR(INDEX(PP_Grid[#Data],$DE1806,42),0)</f>
        <v/>
      </c>
      <c r="AT1806">
        <f>IFERROR(INDEX(PP_Grid[#Data],$DE1806,43),0)</f>
        <v/>
      </c>
      <c r="AU1806">
        <f>IFERROR(INDEX(PP_Grid[#Data],$DE1806,44),0)</f>
        <v/>
      </c>
      <c r="AV1806">
        <f>IFERROR(INDEX(PP_Grid[#Data],$DE1806,45),0)</f>
        <v/>
      </c>
      <c r="AW1806">
        <f>IFERROR(INDEX(PP_Grid[#Data],$DE1806,46),0)</f>
        <v/>
      </c>
      <c r="AX1806">
        <f>IFERROR(INDEX(PP_Grid[#Data],$DE1806,47),0)</f>
        <v/>
      </c>
      <c r="AY1806">
        <f>IFERROR(INDEX(PP_Grid[#Data],$DE1806,48),0)</f>
        <v/>
      </c>
      <c r="AZ1806">
        <f>IFERROR(INDEX(PP_Grid[#Data],$DE1806,49),0)</f>
        <v/>
      </c>
      <c r="BA1806">
        <f>IFERROR(INDEX(PP_Grid[#Data],$DE1806,50),0)</f>
        <v/>
      </c>
      <c r="BB1806">
        <f>IFERROR(INDEX(PP_Grid[#Data],$DE1806,51),0)</f>
        <v/>
      </c>
      <c r="BC1806">
        <f>IFERROR(INDEX(PP_Grid[#Data],$DE1806,52),0)</f>
        <v/>
      </c>
      <c r="BD1806">
        <f>IFERROR(INDEX(PP_Grid[#Data],$DE1806,53),0)</f>
        <v/>
      </c>
      <c r="BE1806">
        <f>IFERROR(INDEX(PP_Grid[#Data],$DE1806,54),0)</f>
        <v/>
      </c>
      <c r="BF1806">
        <f>IFERROR(INDEX(PP_Grid[#Data],$DE1806,55),0)</f>
        <v/>
      </c>
      <c r="BG1806">
        <f>IFERROR(INDEX(PP_Grid[#Data],$DE1806,56),0)</f>
        <v/>
      </c>
      <c r="BH1806">
        <f>IFERROR(INDEX(PP_Grid[#Data],$DE1806,57),0)</f>
        <v/>
      </c>
      <c r="BI1806">
        <f>IFERROR(INDEX(PP_Grid[#Data],$DE1806,58),0)</f>
        <v/>
      </c>
      <c r="BJ1806">
        <f>IFERROR(INDEX(PP_Grid[#Data],$DE1806,59),0)</f>
        <v/>
      </c>
      <c r="BK1806">
        <f>IFERROR(INDEX(PP_Grid[#Data],$DE1806,60),0)</f>
        <v/>
      </c>
      <c r="BL1806">
        <f>IFERROR(INDEX(PP_Grid[#Data],$DE1806,61),0)</f>
        <v/>
      </c>
      <c r="BM1806">
        <f>IFERROR(INDEX(PP_Grid[#Data],$DE1806,62),0)</f>
        <v/>
      </c>
      <c r="BN1806">
        <f>IFERROR(INDEX(PP_Grid[#Data],$DE1806,63),0)</f>
        <v/>
      </c>
      <c r="BO1806">
        <f>IFERROR(INDEX(PP_Grid[#Data],$DE1806,64),0)</f>
        <v/>
      </c>
      <c r="BP1806">
        <f>IFERROR(INDEX(PP_Grid[#Data],$DE1806,65),0)</f>
        <v/>
      </c>
      <c r="BQ1806">
        <f>IFERROR(INDEX(PP_Grid[#Data],$DE1806,66),0)</f>
        <v/>
      </c>
      <c r="BR1806">
        <f>IFERROR(INDEX(PP_Grid[#Data],$DE1806,67),0)</f>
        <v/>
      </c>
      <c r="BS1806">
        <f>IFERROR(INDEX(PP_Grid[#Data],$DE1806,68),0)</f>
        <v/>
      </c>
      <c r="BT1806">
        <f>IFERROR(INDEX(PP_Grid[#Data],$DE1806,69),0)</f>
        <v/>
      </c>
      <c r="BU1806">
        <f>IFERROR(INDEX(PP_Grid[#Data],$DE1806,70),0)</f>
        <v/>
      </c>
      <c r="BV1806">
        <f>IFERROR(INDEX(PP_Grid[#Data],$DE1806,71),0)</f>
        <v/>
      </c>
      <c r="BW1806">
        <f>IFERROR(INDEX(PP_Grid[#Data],$DE1806,72),0)</f>
        <v/>
      </c>
      <c r="BX1806">
        <f>IFERROR(INDEX(PP_Grid[#Data],$DE1806,73),0)</f>
        <v/>
      </c>
      <c r="BY1806">
        <f>IFERROR(INDEX(PP_Grid[#Data],$DE1806,74),0)</f>
        <v/>
      </c>
      <c r="BZ1806">
        <f>IFERROR(INDEX(PP_Grid[#Data],$DE1806,75),0)</f>
        <v/>
      </c>
      <c r="CA1806">
        <f>IFERROR(INDEX(PP_Grid[#Data],$DE1806,76),0)</f>
        <v/>
      </c>
      <c r="CB1806">
        <f>IFERROR(INDEX(PP_Grid[#Data],$DE1806,77),0)</f>
        <v/>
      </c>
      <c r="CC1806">
        <f>IFERROR(INDEX(PP_Grid[#Data],$DE1806,78),0)</f>
        <v/>
      </c>
      <c r="CD1806">
        <f>IFERROR(INDEX(PP_Grid[#Data],$DE1806,79),0)</f>
        <v/>
      </c>
      <c r="CE1806">
        <f>IFERROR(INDEX(PP_Grid[#Data],$DE1806,80),0)</f>
        <v/>
      </c>
      <c r="CF1806">
        <f>IFERROR(INDEX(PP_Grid[#Data],$DE1806,81),0)</f>
        <v/>
      </c>
      <c r="CG1806">
        <f>IFERROR(INDEX(PP_Grid[#Data],$DE1806,82),0)</f>
        <v/>
      </c>
      <c r="CH1806">
        <f>IFERROR(INDEX(PP_Grid[#Data],$DE1806,83),0)</f>
        <v/>
      </c>
      <c r="CI1806">
        <f>IFERROR(INDEX(PP_Grid[#Data],$DE1806,84),0)</f>
        <v/>
      </c>
      <c r="CJ1806">
        <f>IFERROR(INDEX(PP_Grid[#Data],$DE1806,85),0)</f>
        <v/>
      </c>
      <c r="CK1806">
        <f>IFERROR(INDEX(PP_Grid[#Data],$DE1806,86),0)</f>
        <v/>
      </c>
      <c r="CL1806">
        <f>IFERROR(INDEX(PP_Grid[#Data],$DE1806,87),0)</f>
        <v/>
      </c>
      <c r="CM1806">
        <f>IFERROR(INDEX(PP_Grid[#Data],$DE1806,88),0)</f>
        <v/>
      </c>
      <c r="CN1806">
        <f>IFERROR(INDEX(PP_Grid[#Data],$DE1806,89),0)</f>
        <v/>
      </c>
      <c r="CO1806">
        <f>IFERROR(INDEX(PP_Grid[#Data],$DE1806,90),0)</f>
        <v/>
      </c>
      <c r="CP1806">
        <f>IFERROR(INDEX(PP_Grid[#Data],$DE1806,91),0)</f>
        <v/>
      </c>
      <c r="CQ1806">
        <f>IFERROR(INDEX(PP_Grid[#Data],$DE1806,92),0)</f>
        <v/>
      </c>
      <c r="CR1806">
        <f>IFERROR(INDEX(PP_Grid[#Data],$DE1806,93),0)</f>
        <v/>
      </c>
      <c r="CS1806">
        <f>IFERROR(INDEX(PP_Grid[#Data],$DE1806,94),0)</f>
        <v/>
      </c>
      <c r="CT1806">
        <f>IFERROR(INDEX(PP_Grid[#Data],$DE1806,95),0)</f>
        <v/>
      </c>
      <c r="CU1806">
        <f>IFERROR(INDEX(PP_Grid[#Data],$DE1806,96),0)</f>
        <v/>
      </c>
      <c r="CV1806">
        <f>IFERROR(INDEX(PP_Grid[#Data],$DE1806,97),0)</f>
        <v/>
      </c>
      <c r="CW1806">
        <f>IFERROR(INDEX(PP_Grid[#Data],$DE1806,98),0)</f>
        <v/>
      </c>
      <c r="CX1806">
        <f>IFERROR(INDEX(PP_Grid[#Data],$DE1806,99),0)</f>
        <v/>
      </c>
      <c r="CY1806">
        <f>IFERROR(INDEX(PP_Grid[#Data],$DE1806,100),0)</f>
        <v/>
      </c>
      <c r="CZ1806">
        <f>IFERROR(INDEX(PP_Grid[#Data],$DE1806,101),0)</f>
        <v/>
      </c>
      <c r="DA1806">
        <f>IFERROR(INDEX(PP_Grid[#Data],$DE1806,102),0)</f>
        <v/>
      </c>
      <c r="DB1806">
        <f>IFERROR(INDEX(PP_Grid[#Data],$DE1806,103),0)</f>
        <v/>
      </c>
      <c r="DC1806">
        <f>IFERROR(INDEX(PP_Grid[#Data],$DE1806,104),0)</f>
        <v/>
      </c>
      <c r="DD1806">
        <f>IFERROR(INDEX(PP_Grid[#Data],$DE1806,105),0)</f>
        <v/>
      </c>
      <c r="DE1806" s="7">
        <f>IFERROR(MATCH($B1806,PP_Grid[Intermediate],0),99999)</f>
        <v/>
      </c>
    </row>
    <row r="1807">
      <c r="B1807" t="inlineStr">
        <is>
          <t>使用量(kg)</t>
        </is>
      </c>
      <c r="C1807">
        <f>SUMIFS(M_BOM[RM_Qty_Per_Batch],M_BOM[Intermediate],$B1806,M_BOM[RM_Code],$A1771)</f>
        <v/>
      </c>
      <c r="D1807">
        <f>IFERROR(INDEX(E1807:DD1807,$F$1),"")</f>
        <v/>
      </c>
      <c r="E1807">
        <f>$C1807*E1806</f>
        <v/>
      </c>
      <c r="F1807">
        <f>$C1807*F1806</f>
        <v/>
      </c>
      <c r="G1807">
        <f>$C1807*G1806</f>
        <v/>
      </c>
      <c r="H1807">
        <f>$C1807*H1806</f>
        <v/>
      </c>
      <c r="I1807">
        <f>$C1807*I1806</f>
        <v/>
      </c>
      <c r="J1807">
        <f>$C1807*J1806</f>
        <v/>
      </c>
      <c r="K1807">
        <f>$C1807*K1806</f>
        <v/>
      </c>
      <c r="L1807">
        <f>$C1807*L1806</f>
        <v/>
      </c>
      <c r="M1807">
        <f>$C1807*M1806</f>
        <v/>
      </c>
      <c r="N1807">
        <f>$C1807*N1806</f>
        <v/>
      </c>
      <c r="O1807">
        <f>$C1807*O1806</f>
        <v/>
      </c>
      <c r="P1807">
        <f>$C1807*P1806</f>
        <v/>
      </c>
      <c r="Q1807">
        <f>$C1807*Q1806</f>
        <v/>
      </c>
      <c r="R1807">
        <f>$C1807*R1806</f>
        <v/>
      </c>
      <c r="S1807">
        <f>$C1807*S1806</f>
        <v/>
      </c>
      <c r="T1807">
        <f>$C1807*T1806</f>
        <v/>
      </c>
      <c r="U1807">
        <f>$C1807*U1806</f>
        <v/>
      </c>
      <c r="V1807">
        <f>$C1807*V1806</f>
        <v/>
      </c>
      <c r="W1807">
        <f>$C1807*W1806</f>
        <v/>
      </c>
      <c r="X1807">
        <f>$C1807*X1806</f>
        <v/>
      </c>
      <c r="Y1807">
        <f>$C1807*Y1806</f>
        <v/>
      </c>
      <c r="Z1807">
        <f>$C1807*Z1806</f>
        <v/>
      </c>
      <c r="AA1807">
        <f>$C1807*AA1806</f>
        <v/>
      </c>
      <c r="AB1807">
        <f>$C1807*AB1806</f>
        <v/>
      </c>
      <c r="AC1807">
        <f>$C1807*AC1806</f>
        <v/>
      </c>
      <c r="AD1807">
        <f>$C1807*AD1806</f>
        <v/>
      </c>
      <c r="AE1807">
        <f>$C1807*AE1806</f>
        <v/>
      </c>
      <c r="AF1807">
        <f>$C1807*AF1806</f>
        <v/>
      </c>
      <c r="AG1807">
        <f>$C1807*AG1806</f>
        <v/>
      </c>
      <c r="AH1807">
        <f>$C1807*AH1806</f>
        <v/>
      </c>
      <c r="AI1807">
        <f>$C1807*AI1806</f>
        <v/>
      </c>
      <c r="AJ1807">
        <f>$C1807*AJ1806</f>
        <v/>
      </c>
      <c r="AK1807">
        <f>$C1807*AK1806</f>
        <v/>
      </c>
      <c r="AL1807">
        <f>$C1807*AL1806</f>
        <v/>
      </c>
      <c r="AM1807">
        <f>$C1807*AM1806</f>
        <v/>
      </c>
      <c r="AN1807">
        <f>$C1807*AN1806</f>
        <v/>
      </c>
      <c r="AO1807">
        <f>$C1807*AO1806</f>
        <v/>
      </c>
      <c r="AP1807">
        <f>$C1807*AP1806</f>
        <v/>
      </c>
      <c r="AQ1807">
        <f>$C1807*AQ1806</f>
        <v/>
      </c>
      <c r="AR1807">
        <f>$C1807*AR1806</f>
        <v/>
      </c>
      <c r="AS1807">
        <f>$C1807*AS1806</f>
        <v/>
      </c>
      <c r="AT1807">
        <f>$C1807*AT1806</f>
        <v/>
      </c>
      <c r="AU1807">
        <f>$C1807*AU1806</f>
        <v/>
      </c>
      <c r="AV1807">
        <f>$C1807*AV1806</f>
        <v/>
      </c>
      <c r="AW1807">
        <f>$C1807*AW1806</f>
        <v/>
      </c>
      <c r="AX1807">
        <f>$C1807*AX1806</f>
        <v/>
      </c>
      <c r="AY1807">
        <f>$C1807*AY1806</f>
        <v/>
      </c>
      <c r="AZ1807">
        <f>$C1807*AZ1806</f>
        <v/>
      </c>
      <c r="BA1807">
        <f>$C1807*BA1806</f>
        <v/>
      </c>
      <c r="BB1807">
        <f>$C1807*BB1806</f>
        <v/>
      </c>
      <c r="BC1807">
        <f>$C1807*BC1806</f>
        <v/>
      </c>
      <c r="BD1807">
        <f>$C1807*BD1806</f>
        <v/>
      </c>
      <c r="BE1807">
        <f>$C1807*BE1806</f>
        <v/>
      </c>
      <c r="BF1807">
        <f>$C1807*BF1806</f>
        <v/>
      </c>
      <c r="BG1807">
        <f>$C1807*BG1806</f>
        <v/>
      </c>
      <c r="BH1807">
        <f>$C1807*BH1806</f>
        <v/>
      </c>
      <c r="BI1807">
        <f>$C1807*BI1806</f>
        <v/>
      </c>
      <c r="BJ1807">
        <f>$C1807*BJ1806</f>
        <v/>
      </c>
      <c r="BK1807">
        <f>$C1807*BK1806</f>
        <v/>
      </c>
      <c r="BL1807">
        <f>$C1807*BL1806</f>
        <v/>
      </c>
      <c r="BM1807">
        <f>$C1807*BM1806</f>
        <v/>
      </c>
      <c r="BN1807">
        <f>$C1807*BN1806</f>
        <v/>
      </c>
      <c r="BO1807">
        <f>$C1807*BO1806</f>
        <v/>
      </c>
      <c r="BP1807">
        <f>$C1807*BP1806</f>
        <v/>
      </c>
      <c r="BQ1807">
        <f>$C1807*BQ1806</f>
        <v/>
      </c>
      <c r="BR1807">
        <f>$C1807*BR1806</f>
        <v/>
      </c>
      <c r="BS1807">
        <f>$C1807*BS1806</f>
        <v/>
      </c>
      <c r="BT1807">
        <f>$C1807*BT1806</f>
        <v/>
      </c>
      <c r="BU1807">
        <f>$C1807*BU1806</f>
        <v/>
      </c>
      <c r="BV1807">
        <f>$C1807*BV1806</f>
        <v/>
      </c>
      <c r="BW1807">
        <f>$C1807*BW1806</f>
        <v/>
      </c>
      <c r="BX1807">
        <f>$C1807*BX1806</f>
        <v/>
      </c>
      <c r="BY1807">
        <f>$C1807*BY1806</f>
        <v/>
      </c>
      <c r="BZ1807">
        <f>$C1807*BZ1806</f>
        <v/>
      </c>
      <c r="CA1807">
        <f>$C1807*CA1806</f>
        <v/>
      </c>
      <c r="CB1807">
        <f>$C1807*CB1806</f>
        <v/>
      </c>
      <c r="CC1807">
        <f>$C1807*CC1806</f>
        <v/>
      </c>
      <c r="CD1807">
        <f>$C1807*CD1806</f>
        <v/>
      </c>
      <c r="CE1807">
        <f>$C1807*CE1806</f>
        <v/>
      </c>
      <c r="CF1807">
        <f>$C1807*CF1806</f>
        <v/>
      </c>
      <c r="CG1807">
        <f>$C1807*CG1806</f>
        <v/>
      </c>
      <c r="CH1807">
        <f>$C1807*CH1806</f>
        <v/>
      </c>
      <c r="CI1807">
        <f>$C1807*CI1806</f>
        <v/>
      </c>
      <c r="CJ1807">
        <f>$C1807*CJ1806</f>
        <v/>
      </c>
      <c r="CK1807">
        <f>$C1807*CK1806</f>
        <v/>
      </c>
      <c r="CL1807">
        <f>$C1807*CL1806</f>
        <v/>
      </c>
      <c r="CM1807">
        <f>$C1807*CM1806</f>
        <v/>
      </c>
      <c r="CN1807">
        <f>$C1807*CN1806</f>
        <v/>
      </c>
      <c r="CO1807">
        <f>$C1807*CO1806</f>
        <v/>
      </c>
      <c r="CP1807">
        <f>$C1807*CP1806</f>
        <v/>
      </c>
      <c r="CQ1807">
        <f>$C1807*CQ1806</f>
        <v/>
      </c>
      <c r="CR1807">
        <f>$C1807*CR1806</f>
        <v/>
      </c>
      <c r="CS1807">
        <f>$C1807*CS1806</f>
        <v/>
      </c>
      <c r="CT1807">
        <f>$C1807*CT1806</f>
        <v/>
      </c>
      <c r="CU1807">
        <f>$C1807*CU1806</f>
        <v/>
      </c>
      <c r="CV1807">
        <f>$C1807*CV1806</f>
        <v/>
      </c>
      <c r="CW1807">
        <f>$C1807*CW1806</f>
        <v/>
      </c>
      <c r="CX1807">
        <f>$C1807*CX1806</f>
        <v/>
      </c>
      <c r="CY1807">
        <f>$C1807*CY1806</f>
        <v/>
      </c>
      <c r="CZ1807">
        <f>$C1807*CZ1806</f>
        <v/>
      </c>
      <c r="DA1807">
        <f>$C1807*DA1806</f>
        <v/>
      </c>
      <c r="DB1807">
        <f>$C1807*DB1806</f>
        <v/>
      </c>
      <c r="DC1807">
        <f>$C1807*DC1806</f>
        <v/>
      </c>
      <c r="DD1807">
        <f>$C1807*DD1806</f>
        <v/>
      </c>
    </row>
    <row r="1808">
      <c r="B1808" s="4" t="inlineStr">
        <is>
          <t>合計使用量(kg)/週</t>
        </is>
      </c>
      <c r="D1808" s="23">
        <f>IFERROR(INDEX(E1808:DD1808,$F$1),"")</f>
        <v/>
      </c>
      <c r="E1808">
        <f>'Grid_Requirement'!B19</f>
        <v/>
      </c>
      <c r="F1808">
        <f>'Grid_Requirement'!C19</f>
        <v/>
      </c>
      <c r="G1808">
        <f>'Grid_Requirement'!D19</f>
        <v/>
      </c>
      <c r="H1808">
        <f>'Grid_Requirement'!E19</f>
        <v/>
      </c>
      <c r="I1808">
        <f>'Grid_Requirement'!F19</f>
        <v/>
      </c>
      <c r="J1808">
        <f>'Grid_Requirement'!G19</f>
        <v/>
      </c>
      <c r="K1808">
        <f>'Grid_Requirement'!H19</f>
        <v/>
      </c>
      <c r="L1808">
        <f>'Grid_Requirement'!I19</f>
        <v/>
      </c>
      <c r="M1808">
        <f>'Grid_Requirement'!J19</f>
        <v/>
      </c>
      <c r="N1808">
        <f>'Grid_Requirement'!K19</f>
        <v/>
      </c>
      <c r="O1808">
        <f>'Grid_Requirement'!L19</f>
        <v/>
      </c>
      <c r="P1808">
        <f>'Grid_Requirement'!M19</f>
        <v/>
      </c>
      <c r="Q1808">
        <f>'Grid_Requirement'!N19</f>
        <v/>
      </c>
      <c r="R1808">
        <f>'Grid_Requirement'!O19</f>
        <v/>
      </c>
      <c r="S1808">
        <f>'Grid_Requirement'!P19</f>
        <v/>
      </c>
      <c r="T1808">
        <f>'Grid_Requirement'!Q19</f>
        <v/>
      </c>
      <c r="U1808">
        <f>'Grid_Requirement'!R19</f>
        <v/>
      </c>
      <c r="V1808">
        <f>'Grid_Requirement'!S19</f>
        <v/>
      </c>
      <c r="W1808">
        <f>'Grid_Requirement'!T19</f>
        <v/>
      </c>
      <c r="X1808">
        <f>'Grid_Requirement'!U19</f>
        <v/>
      </c>
      <c r="Y1808">
        <f>'Grid_Requirement'!V19</f>
        <v/>
      </c>
      <c r="Z1808">
        <f>'Grid_Requirement'!W19</f>
        <v/>
      </c>
      <c r="AA1808">
        <f>'Grid_Requirement'!X19</f>
        <v/>
      </c>
      <c r="AB1808">
        <f>'Grid_Requirement'!Y19</f>
        <v/>
      </c>
      <c r="AC1808">
        <f>'Grid_Requirement'!Z19</f>
        <v/>
      </c>
      <c r="AD1808">
        <f>'Grid_Requirement'!AA19</f>
        <v/>
      </c>
      <c r="AE1808">
        <f>'Grid_Requirement'!AB19</f>
        <v/>
      </c>
      <c r="AF1808">
        <f>'Grid_Requirement'!AC19</f>
        <v/>
      </c>
      <c r="AG1808">
        <f>'Grid_Requirement'!AD19</f>
        <v/>
      </c>
      <c r="AH1808">
        <f>'Grid_Requirement'!AE19</f>
        <v/>
      </c>
      <c r="AI1808">
        <f>'Grid_Requirement'!AF19</f>
        <v/>
      </c>
      <c r="AJ1808">
        <f>'Grid_Requirement'!AG19</f>
        <v/>
      </c>
      <c r="AK1808">
        <f>'Grid_Requirement'!AH19</f>
        <v/>
      </c>
      <c r="AL1808">
        <f>'Grid_Requirement'!AI19</f>
        <v/>
      </c>
      <c r="AM1808">
        <f>'Grid_Requirement'!AJ19</f>
        <v/>
      </c>
      <c r="AN1808">
        <f>'Grid_Requirement'!AK19</f>
        <v/>
      </c>
      <c r="AO1808">
        <f>'Grid_Requirement'!AL19</f>
        <v/>
      </c>
      <c r="AP1808">
        <f>'Grid_Requirement'!AM19</f>
        <v/>
      </c>
      <c r="AQ1808">
        <f>'Grid_Requirement'!AN19</f>
        <v/>
      </c>
      <c r="AR1808">
        <f>'Grid_Requirement'!AO19</f>
        <v/>
      </c>
      <c r="AS1808">
        <f>'Grid_Requirement'!AP19</f>
        <v/>
      </c>
      <c r="AT1808">
        <f>'Grid_Requirement'!AQ19</f>
        <v/>
      </c>
      <c r="AU1808">
        <f>'Grid_Requirement'!AR19</f>
        <v/>
      </c>
      <c r="AV1808">
        <f>'Grid_Requirement'!AS19</f>
        <v/>
      </c>
      <c r="AW1808">
        <f>'Grid_Requirement'!AT19</f>
        <v/>
      </c>
      <c r="AX1808">
        <f>'Grid_Requirement'!AU19</f>
        <v/>
      </c>
      <c r="AY1808">
        <f>'Grid_Requirement'!AV19</f>
        <v/>
      </c>
      <c r="AZ1808">
        <f>'Grid_Requirement'!AW19</f>
        <v/>
      </c>
      <c r="BA1808">
        <f>'Grid_Requirement'!AX19</f>
        <v/>
      </c>
      <c r="BB1808">
        <f>'Grid_Requirement'!AY19</f>
        <v/>
      </c>
      <c r="BC1808">
        <f>'Grid_Requirement'!AZ19</f>
        <v/>
      </c>
      <c r="BD1808">
        <f>'Grid_Requirement'!BA19</f>
        <v/>
      </c>
      <c r="BE1808">
        <f>'Grid_Requirement'!BB19</f>
        <v/>
      </c>
      <c r="BF1808">
        <f>'Grid_Requirement'!BC19</f>
        <v/>
      </c>
      <c r="BG1808">
        <f>'Grid_Requirement'!BD19</f>
        <v/>
      </c>
      <c r="BH1808">
        <f>'Grid_Requirement'!BE19</f>
        <v/>
      </c>
      <c r="BI1808">
        <f>'Grid_Requirement'!BF19</f>
        <v/>
      </c>
      <c r="BJ1808">
        <f>'Grid_Requirement'!BG19</f>
        <v/>
      </c>
      <c r="BK1808">
        <f>'Grid_Requirement'!BH19</f>
        <v/>
      </c>
      <c r="BL1808">
        <f>'Grid_Requirement'!BI19</f>
        <v/>
      </c>
      <c r="BM1808">
        <f>'Grid_Requirement'!BJ19</f>
        <v/>
      </c>
      <c r="BN1808">
        <f>'Grid_Requirement'!BK19</f>
        <v/>
      </c>
      <c r="BO1808">
        <f>'Grid_Requirement'!BL19</f>
        <v/>
      </c>
      <c r="BP1808">
        <f>'Grid_Requirement'!BM19</f>
        <v/>
      </c>
      <c r="BQ1808">
        <f>'Grid_Requirement'!BN19</f>
        <v/>
      </c>
      <c r="BR1808">
        <f>'Grid_Requirement'!BO19</f>
        <v/>
      </c>
      <c r="BS1808">
        <f>'Grid_Requirement'!BP19</f>
        <v/>
      </c>
      <c r="BT1808">
        <f>'Grid_Requirement'!BQ19</f>
        <v/>
      </c>
      <c r="BU1808">
        <f>'Grid_Requirement'!BR19</f>
        <v/>
      </c>
      <c r="BV1808">
        <f>'Grid_Requirement'!BS19</f>
        <v/>
      </c>
      <c r="BW1808">
        <f>'Grid_Requirement'!BT19</f>
        <v/>
      </c>
      <c r="BX1808">
        <f>'Grid_Requirement'!BU19</f>
        <v/>
      </c>
      <c r="BY1808">
        <f>'Grid_Requirement'!BV19</f>
        <v/>
      </c>
      <c r="BZ1808">
        <f>'Grid_Requirement'!BW19</f>
        <v/>
      </c>
      <c r="CA1808">
        <f>'Grid_Requirement'!BX19</f>
        <v/>
      </c>
      <c r="CB1808">
        <f>'Grid_Requirement'!BY19</f>
        <v/>
      </c>
      <c r="CC1808">
        <f>'Grid_Requirement'!BZ19</f>
        <v/>
      </c>
      <c r="CD1808">
        <f>'Grid_Requirement'!CA19</f>
        <v/>
      </c>
      <c r="CE1808">
        <f>'Grid_Requirement'!CB19</f>
        <v/>
      </c>
      <c r="CF1808">
        <f>'Grid_Requirement'!CC19</f>
        <v/>
      </c>
      <c r="CG1808">
        <f>'Grid_Requirement'!CD19</f>
        <v/>
      </c>
      <c r="CH1808">
        <f>'Grid_Requirement'!CE19</f>
        <v/>
      </c>
      <c r="CI1808">
        <f>'Grid_Requirement'!CF19</f>
        <v/>
      </c>
      <c r="CJ1808">
        <f>'Grid_Requirement'!CG19</f>
        <v/>
      </c>
      <c r="CK1808">
        <f>'Grid_Requirement'!CH19</f>
        <v/>
      </c>
      <c r="CL1808">
        <f>'Grid_Requirement'!CI19</f>
        <v/>
      </c>
      <c r="CM1808">
        <f>'Grid_Requirement'!CJ19</f>
        <v/>
      </c>
      <c r="CN1808">
        <f>'Grid_Requirement'!CK19</f>
        <v/>
      </c>
      <c r="CO1808">
        <f>'Grid_Requirement'!CL19</f>
        <v/>
      </c>
      <c r="CP1808">
        <f>'Grid_Requirement'!CM19</f>
        <v/>
      </c>
      <c r="CQ1808">
        <f>'Grid_Requirement'!CN19</f>
        <v/>
      </c>
      <c r="CR1808">
        <f>'Grid_Requirement'!CO19</f>
        <v/>
      </c>
      <c r="CS1808">
        <f>'Grid_Requirement'!CP19</f>
        <v/>
      </c>
      <c r="CT1808">
        <f>'Grid_Requirement'!CQ19</f>
        <v/>
      </c>
      <c r="CU1808">
        <f>'Grid_Requirement'!CR19</f>
        <v/>
      </c>
      <c r="CV1808">
        <f>'Grid_Requirement'!CS19</f>
        <v/>
      </c>
      <c r="CW1808">
        <f>'Grid_Requirement'!CT19</f>
        <v/>
      </c>
      <c r="CX1808">
        <f>'Grid_Requirement'!CU19</f>
        <v/>
      </c>
      <c r="CY1808">
        <f>'Grid_Requirement'!CV19</f>
        <v/>
      </c>
      <c r="CZ1808">
        <f>'Grid_Requirement'!CW19</f>
        <v/>
      </c>
      <c r="DA1808">
        <f>'Grid_Requirement'!CX19</f>
        <v/>
      </c>
      <c r="DB1808">
        <f>'Grid_Requirement'!CY19</f>
        <v/>
      </c>
      <c r="DC1808">
        <f>'Grid_Requirement'!CZ19</f>
        <v/>
      </c>
      <c r="DD1808">
        <f>'Grid_Requirement'!DA19</f>
        <v/>
      </c>
    </row>
    <row r="1809">
      <c r="B1809" t="inlineStr">
        <is>
          <t>TTAF在庫(実績,kg)</t>
        </is>
      </c>
      <c r="D1809">
        <f>IFERROR(INDEX(E1809:DD1809,$F$1),"")</f>
        <v/>
      </c>
      <c r="E1809">
        <f>IFERROR(SUMIFS(T_TTAFStock[TTAF_Qty],T_TTAFStock[RM_Code],$A1771,T_TTAFStock[WeekIndex],1),"")</f>
        <v/>
      </c>
      <c r="F1809">
        <f>IFERROR(SUMIFS(T_TTAFStock[TTAF_Qty],T_TTAFStock[RM_Code],$A1771,T_TTAFStock[WeekIndex],2),"")</f>
        <v/>
      </c>
      <c r="G1809">
        <f>IFERROR(SUMIFS(T_TTAFStock[TTAF_Qty],T_TTAFStock[RM_Code],$A1771,T_TTAFStock[WeekIndex],3),"")</f>
        <v/>
      </c>
      <c r="H1809">
        <f>IFERROR(SUMIFS(T_TTAFStock[TTAF_Qty],T_TTAFStock[RM_Code],$A1771,T_TTAFStock[WeekIndex],4),"")</f>
        <v/>
      </c>
      <c r="I1809">
        <f>IFERROR(SUMIFS(T_TTAFStock[TTAF_Qty],T_TTAFStock[RM_Code],$A1771,T_TTAFStock[WeekIndex],5),"")</f>
        <v/>
      </c>
      <c r="J1809">
        <f>IFERROR(SUMIFS(T_TTAFStock[TTAF_Qty],T_TTAFStock[RM_Code],$A1771,T_TTAFStock[WeekIndex],6),"")</f>
        <v/>
      </c>
      <c r="K1809">
        <f>IFERROR(SUMIFS(T_TTAFStock[TTAF_Qty],T_TTAFStock[RM_Code],$A1771,T_TTAFStock[WeekIndex],7),"")</f>
        <v/>
      </c>
      <c r="L1809">
        <f>IFERROR(SUMIFS(T_TTAFStock[TTAF_Qty],T_TTAFStock[RM_Code],$A1771,T_TTAFStock[WeekIndex],8),"")</f>
        <v/>
      </c>
      <c r="M1809">
        <f>IFERROR(SUMIFS(T_TTAFStock[TTAF_Qty],T_TTAFStock[RM_Code],$A1771,T_TTAFStock[WeekIndex],9),"")</f>
        <v/>
      </c>
      <c r="N1809">
        <f>IFERROR(SUMIFS(T_TTAFStock[TTAF_Qty],T_TTAFStock[RM_Code],$A1771,T_TTAFStock[WeekIndex],10),"")</f>
        <v/>
      </c>
      <c r="O1809">
        <f>IFERROR(SUMIFS(T_TTAFStock[TTAF_Qty],T_TTAFStock[RM_Code],$A1771,T_TTAFStock[WeekIndex],11),"")</f>
        <v/>
      </c>
      <c r="P1809">
        <f>IFERROR(SUMIFS(T_TTAFStock[TTAF_Qty],T_TTAFStock[RM_Code],$A1771,T_TTAFStock[WeekIndex],12),"")</f>
        <v/>
      </c>
      <c r="Q1809">
        <f>IFERROR(SUMIFS(T_TTAFStock[TTAF_Qty],T_TTAFStock[RM_Code],$A1771,T_TTAFStock[WeekIndex],13),"")</f>
        <v/>
      </c>
      <c r="R1809">
        <f>IFERROR(SUMIFS(T_TTAFStock[TTAF_Qty],T_TTAFStock[RM_Code],$A1771,T_TTAFStock[WeekIndex],14),"")</f>
        <v/>
      </c>
      <c r="S1809">
        <f>IFERROR(SUMIFS(T_TTAFStock[TTAF_Qty],T_TTAFStock[RM_Code],$A1771,T_TTAFStock[WeekIndex],15),"")</f>
        <v/>
      </c>
      <c r="T1809">
        <f>IFERROR(SUMIFS(T_TTAFStock[TTAF_Qty],T_TTAFStock[RM_Code],$A1771,T_TTAFStock[WeekIndex],16),"")</f>
        <v/>
      </c>
      <c r="U1809">
        <f>IFERROR(SUMIFS(T_TTAFStock[TTAF_Qty],T_TTAFStock[RM_Code],$A1771,T_TTAFStock[WeekIndex],17),"")</f>
        <v/>
      </c>
      <c r="V1809">
        <f>IFERROR(SUMIFS(T_TTAFStock[TTAF_Qty],T_TTAFStock[RM_Code],$A1771,T_TTAFStock[WeekIndex],18),"")</f>
        <v/>
      </c>
      <c r="W1809">
        <f>IFERROR(SUMIFS(T_TTAFStock[TTAF_Qty],T_TTAFStock[RM_Code],$A1771,T_TTAFStock[WeekIndex],19),"")</f>
        <v/>
      </c>
      <c r="X1809">
        <f>IFERROR(SUMIFS(T_TTAFStock[TTAF_Qty],T_TTAFStock[RM_Code],$A1771,T_TTAFStock[WeekIndex],20),"")</f>
        <v/>
      </c>
      <c r="Y1809">
        <f>IFERROR(SUMIFS(T_TTAFStock[TTAF_Qty],T_TTAFStock[RM_Code],$A1771,T_TTAFStock[WeekIndex],21),"")</f>
        <v/>
      </c>
      <c r="Z1809">
        <f>IFERROR(SUMIFS(T_TTAFStock[TTAF_Qty],T_TTAFStock[RM_Code],$A1771,T_TTAFStock[WeekIndex],22),"")</f>
        <v/>
      </c>
      <c r="AA1809">
        <f>IFERROR(SUMIFS(T_TTAFStock[TTAF_Qty],T_TTAFStock[RM_Code],$A1771,T_TTAFStock[WeekIndex],23),"")</f>
        <v/>
      </c>
      <c r="AB1809">
        <f>IFERROR(SUMIFS(T_TTAFStock[TTAF_Qty],T_TTAFStock[RM_Code],$A1771,T_TTAFStock[WeekIndex],24),"")</f>
        <v/>
      </c>
      <c r="AC1809">
        <f>IFERROR(SUMIFS(T_TTAFStock[TTAF_Qty],T_TTAFStock[RM_Code],$A1771,T_TTAFStock[WeekIndex],25),"")</f>
        <v/>
      </c>
      <c r="AD1809">
        <f>IFERROR(SUMIFS(T_TTAFStock[TTAF_Qty],T_TTAFStock[RM_Code],$A1771,T_TTAFStock[WeekIndex],26),"")</f>
        <v/>
      </c>
      <c r="AE1809">
        <f>IFERROR(SUMIFS(T_TTAFStock[TTAF_Qty],T_TTAFStock[RM_Code],$A1771,T_TTAFStock[WeekIndex],27),"")</f>
        <v/>
      </c>
      <c r="AF1809">
        <f>IFERROR(SUMIFS(T_TTAFStock[TTAF_Qty],T_TTAFStock[RM_Code],$A1771,T_TTAFStock[WeekIndex],28),"")</f>
        <v/>
      </c>
      <c r="AG1809">
        <f>IFERROR(SUMIFS(T_TTAFStock[TTAF_Qty],T_TTAFStock[RM_Code],$A1771,T_TTAFStock[WeekIndex],29),"")</f>
        <v/>
      </c>
      <c r="AH1809">
        <f>IFERROR(SUMIFS(T_TTAFStock[TTAF_Qty],T_TTAFStock[RM_Code],$A1771,T_TTAFStock[WeekIndex],30),"")</f>
        <v/>
      </c>
      <c r="AI1809">
        <f>IFERROR(SUMIFS(T_TTAFStock[TTAF_Qty],T_TTAFStock[RM_Code],$A1771,T_TTAFStock[WeekIndex],31),"")</f>
        <v/>
      </c>
      <c r="AJ1809">
        <f>IFERROR(SUMIFS(T_TTAFStock[TTAF_Qty],T_TTAFStock[RM_Code],$A1771,T_TTAFStock[WeekIndex],32),"")</f>
        <v/>
      </c>
      <c r="AK1809">
        <f>IFERROR(SUMIFS(T_TTAFStock[TTAF_Qty],T_TTAFStock[RM_Code],$A1771,T_TTAFStock[WeekIndex],33),"")</f>
        <v/>
      </c>
      <c r="AL1809">
        <f>IFERROR(SUMIFS(T_TTAFStock[TTAF_Qty],T_TTAFStock[RM_Code],$A1771,T_TTAFStock[WeekIndex],34),"")</f>
        <v/>
      </c>
      <c r="AM1809">
        <f>IFERROR(SUMIFS(T_TTAFStock[TTAF_Qty],T_TTAFStock[RM_Code],$A1771,T_TTAFStock[WeekIndex],35),"")</f>
        <v/>
      </c>
      <c r="AN1809">
        <f>IFERROR(SUMIFS(T_TTAFStock[TTAF_Qty],T_TTAFStock[RM_Code],$A1771,T_TTAFStock[WeekIndex],36),"")</f>
        <v/>
      </c>
      <c r="AO1809">
        <f>IFERROR(SUMIFS(T_TTAFStock[TTAF_Qty],T_TTAFStock[RM_Code],$A1771,T_TTAFStock[WeekIndex],37),"")</f>
        <v/>
      </c>
      <c r="AP1809">
        <f>IFERROR(SUMIFS(T_TTAFStock[TTAF_Qty],T_TTAFStock[RM_Code],$A1771,T_TTAFStock[WeekIndex],38),"")</f>
        <v/>
      </c>
      <c r="AQ1809">
        <f>IFERROR(SUMIFS(T_TTAFStock[TTAF_Qty],T_TTAFStock[RM_Code],$A1771,T_TTAFStock[WeekIndex],39),"")</f>
        <v/>
      </c>
      <c r="AR1809">
        <f>IFERROR(SUMIFS(T_TTAFStock[TTAF_Qty],T_TTAFStock[RM_Code],$A1771,T_TTAFStock[WeekIndex],40),"")</f>
        <v/>
      </c>
      <c r="AS1809">
        <f>IFERROR(SUMIFS(T_TTAFStock[TTAF_Qty],T_TTAFStock[RM_Code],$A1771,T_TTAFStock[WeekIndex],41),"")</f>
        <v/>
      </c>
      <c r="AT1809">
        <f>IFERROR(SUMIFS(T_TTAFStock[TTAF_Qty],T_TTAFStock[RM_Code],$A1771,T_TTAFStock[WeekIndex],42),"")</f>
        <v/>
      </c>
      <c r="AU1809">
        <f>IFERROR(SUMIFS(T_TTAFStock[TTAF_Qty],T_TTAFStock[RM_Code],$A1771,T_TTAFStock[WeekIndex],43),"")</f>
        <v/>
      </c>
      <c r="AV1809">
        <f>IFERROR(SUMIFS(T_TTAFStock[TTAF_Qty],T_TTAFStock[RM_Code],$A1771,T_TTAFStock[WeekIndex],44),"")</f>
        <v/>
      </c>
      <c r="AW1809">
        <f>IFERROR(SUMIFS(T_TTAFStock[TTAF_Qty],T_TTAFStock[RM_Code],$A1771,T_TTAFStock[WeekIndex],45),"")</f>
        <v/>
      </c>
      <c r="AX1809">
        <f>IFERROR(SUMIFS(T_TTAFStock[TTAF_Qty],T_TTAFStock[RM_Code],$A1771,T_TTAFStock[WeekIndex],46),"")</f>
        <v/>
      </c>
      <c r="AY1809">
        <f>IFERROR(SUMIFS(T_TTAFStock[TTAF_Qty],T_TTAFStock[RM_Code],$A1771,T_TTAFStock[WeekIndex],47),"")</f>
        <v/>
      </c>
      <c r="AZ1809">
        <f>IFERROR(SUMIFS(T_TTAFStock[TTAF_Qty],T_TTAFStock[RM_Code],$A1771,T_TTAFStock[WeekIndex],48),"")</f>
        <v/>
      </c>
      <c r="BA1809">
        <f>IFERROR(SUMIFS(T_TTAFStock[TTAF_Qty],T_TTAFStock[RM_Code],$A1771,T_TTAFStock[WeekIndex],49),"")</f>
        <v/>
      </c>
      <c r="BB1809">
        <f>IFERROR(SUMIFS(T_TTAFStock[TTAF_Qty],T_TTAFStock[RM_Code],$A1771,T_TTAFStock[WeekIndex],50),"")</f>
        <v/>
      </c>
      <c r="BC1809">
        <f>IFERROR(SUMIFS(T_TTAFStock[TTAF_Qty],T_TTAFStock[RM_Code],$A1771,T_TTAFStock[WeekIndex],51),"")</f>
        <v/>
      </c>
      <c r="BD1809">
        <f>IFERROR(SUMIFS(T_TTAFStock[TTAF_Qty],T_TTAFStock[RM_Code],$A1771,T_TTAFStock[WeekIndex],52),"")</f>
        <v/>
      </c>
      <c r="BE1809">
        <f>IFERROR(SUMIFS(T_TTAFStock[TTAF_Qty],T_TTAFStock[RM_Code],$A1771,T_TTAFStock[WeekIndex],53),"")</f>
        <v/>
      </c>
      <c r="BF1809">
        <f>IFERROR(SUMIFS(T_TTAFStock[TTAF_Qty],T_TTAFStock[RM_Code],$A1771,T_TTAFStock[WeekIndex],54),"")</f>
        <v/>
      </c>
      <c r="BG1809">
        <f>IFERROR(SUMIFS(T_TTAFStock[TTAF_Qty],T_TTAFStock[RM_Code],$A1771,T_TTAFStock[WeekIndex],55),"")</f>
        <v/>
      </c>
      <c r="BH1809">
        <f>IFERROR(SUMIFS(T_TTAFStock[TTAF_Qty],T_TTAFStock[RM_Code],$A1771,T_TTAFStock[WeekIndex],56),"")</f>
        <v/>
      </c>
      <c r="BI1809">
        <f>IFERROR(SUMIFS(T_TTAFStock[TTAF_Qty],T_TTAFStock[RM_Code],$A1771,T_TTAFStock[WeekIndex],57),"")</f>
        <v/>
      </c>
      <c r="BJ1809">
        <f>IFERROR(SUMIFS(T_TTAFStock[TTAF_Qty],T_TTAFStock[RM_Code],$A1771,T_TTAFStock[WeekIndex],58),"")</f>
        <v/>
      </c>
      <c r="BK1809">
        <f>IFERROR(SUMIFS(T_TTAFStock[TTAF_Qty],T_TTAFStock[RM_Code],$A1771,T_TTAFStock[WeekIndex],59),"")</f>
        <v/>
      </c>
      <c r="BL1809">
        <f>IFERROR(SUMIFS(T_TTAFStock[TTAF_Qty],T_TTAFStock[RM_Code],$A1771,T_TTAFStock[WeekIndex],60),"")</f>
        <v/>
      </c>
      <c r="BM1809">
        <f>IFERROR(SUMIFS(T_TTAFStock[TTAF_Qty],T_TTAFStock[RM_Code],$A1771,T_TTAFStock[WeekIndex],61),"")</f>
        <v/>
      </c>
      <c r="BN1809">
        <f>IFERROR(SUMIFS(T_TTAFStock[TTAF_Qty],T_TTAFStock[RM_Code],$A1771,T_TTAFStock[WeekIndex],62),"")</f>
        <v/>
      </c>
      <c r="BO1809">
        <f>IFERROR(SUMIFS(T_TTAFStock[TTAF_Qty],T_TTAFStock[RM_Code],$A1771,T_TTAFStock[WeekIndex],63),"")</f>
        <v/>
      </c>
      <c r="BP1809">
        <f>IFERROR(SUMIFS(T_TTAFStock[TTAF_Qty],T_TTAFStock[RM_Code],$A1771,T_TTAFStock[WeekIndex],64),"")</f>
        <v/>
      </c>
      <c r="BQ1809">
        <f>IFERROR(SUMIFS(T_TTAFStock[TTAF_Qty],T_TTAFStock[RM_Code],$A1771,T_TTAFStock[WeekIndex],65),"")</f>
        <v/>
      </c>
      <c r="BR1809">
        <f>IFERROR(SUMIFS(T_TTAFStock[TTAF_Qty],T_TTAFStock[RM_Code],$A1771,T_TTAFStock[WeekIndex],66),"")</f>
        <v/>
      </c>
      <c r="BS1809">
        <f>IFERROR(SUMIFS(T_TTAFStock[TTAF_Qty],T_TTAFStock[RM_Code],$A1771,T_TTAFStock[WeekIndex],67),"")</f>
        <v/>
      </c>
      <c r="BT1809">
        <f>IFERROR(SUMIFS(T_TTAFStock[TTAF_Qty],T_TTAFStock[RM_Code],$A1771,T_TTAFStock[WeekIndex],68),"")</f>
        <v/>
      </c>
      <c r="BU1809">
        <f>IFERROR(SUMIFS(T_TTAFStock[TTAF_Qty],T_TTAFStock[RM_Code],$A1771,T_TTAFStock[WeekIndex],69),"")</f>
        <v/>
      </c>
      <c r="BV1809">
        <f>IFERROR(SUMIFS(T_TTAFStock[TTAF_Qty],T_TTAFStock[RM_Code],$A1771,T_TTAFStock[WeekIndex],70),"")</f>
        <v/>
      </c>
      <c r="BW1809">
        <f>IFERROR(SUMIFS(T_TTAFStock[TTAF_Qty],T_TTAFStock[RM_Code],$A1771,T_TTAFStock[WeekIndex],71),"")</f>
        <v/>
      </c>
      <c r="BX1809">
        <f>IFERROR(SUMIFS(T_TTAFStock[TTAF_Qty],T_TTAFStock[RM_Code],$A1771,T_TTAFStock[WeekIndex],72),"")</f>
        <v/>
      </c>
      <c r="BY1809">
        <f>IFERROR(SUMIFS(T_TTAFStock[TTAF_Qty],T_TTAFStock[RM_Code],$A1771,T_TTAFStock[WeekIndex],73),"")</f>
        <v/>
      </c>
      <c r="BZ1809">
        <f>IFERROR(SUMIFS(T_TTAFStock[TTAF_Qty],T_TTAFStock[RM_Code],$A1771,T_TTAFStock[WeekIndex],74),"")</f>
        <v/>
      </c>
      <c r="CA1809">
        <f>IFERROR(SUMIFS(T_TTAFStock[TTAF_Qty],T_TTAFStock[RM_Code],$A1771,T_TTAFStock[WeekIndex],75),"")</f>
        <v/>
      </c>
      <c r="CB1809">
        <f>IFERROR(SUMIFS(T_TTAFStock[TTAF_Qty],T_TTAFStock[RM_Code],$A1771,T_TTAFStock[WeekIndex],76),"")</f>
        <v/>
      </c>
      <c r="CC1809">
        <f>IFERROR(SUMIFS(T_TTAFStock[TTAF_Qty],T_TTAFStock[RM_Code],$A1771,T_TTAFStock[WeekIndex],77),"")</f>
        <v/>
      </c>
      <c r="CD1809">
        <f>IFERROR(SUMIFS(T_TTAFStock[TTAF_Qty],T_TTAFStock[RM_Code],$A1771,T_TTAFStock[WeekIndex],78),"")</f>
        <v/>
      </c>
      <c r="CE1809">
        <f>IFERROR(SUMIFS(T_TTAFStock[TTAF_Qty],T_TTAFStock[RM_Code],$A1771,T_TTAFStock[WeekIndex],79),"")</f>
        <v/>
      </c>
      <c r="CF1809">
        <f>IFERROR(SUMIFS(T_TTAFStock[TTAF_Qty],T_TTAFStock[RM_Code],$A1771,T_TTAFStock[WeekIndex],80),"")</f>
        <v/>
      </c>
      <c r="CG1809">
        <f>IFERROR(SUMIFS(T_TTAFStock[TTAF_Qty],T_TTAFStock[RM_Code],$A1771,T_TTAFStock[WeekIndex],81),"")</f>
        <v/>
      </c>
      <c r="CH1809">
        <f>IFERROR(SUMIFS(T_TTAFStock[TTAF_Qty],T_TTAFStock[RM_Code],$A1771,T_TTAFStock[WeekIndex],82),"")</f>
        <v/>
      </c>
      <c r="CI1809">
        <f>IFERROR(SUMIFS(T_TTAFStock[TTAF_Qty],T_TTAFStock[RM_Code],$A1771,T_TTAFStock[WeekIndex],83),"")</f>
        <v/>
      </c>
      <c r="CJ1809">
        <f>IFERROR(SUMIFS(T_TTAFStock[TTAF_Qty],T_TTAFStock[RM_Code],$A1771,T_TTAFStock[WeekIndex],84),"")</f>
        <v/>
      </c>
      <c r="CK1809">
        <f>IFERROR(SUMIFS(T_TTAFStock[TTAF_Qty],T_TTAFStock[RM_Code],$A1771,T_TTAFStock[WeekIndex],85),"")</f>
        <v/>
      </c>
      <c r="CL1809">
        <f>IFERROR(SUMIFS(T_TTAFStock[TTAF_Qty],T_TTAFStock[RM_Code],$A1771,T_TTAFStock[WeekIndex],86),"")</f>
        <v/>
      </c>
      <c r="CM1809">
        <f>IFERROR(SUMIFS(T_TTAFStock[TTAF_Qty],T_TTAFStock[RM_Code],$A1771,T_TTAFStock[WeekIndex],87),"")</f>
        <v/>
      </c>
      <c r="CN1809">
        <f>IFERROR(SUMIFS(T_TTAFStock[TTAF_Qty],T_TTAFStock[RM_Code],$A1771,T_TTAFStock[WeekIndex],88),"")</f>
        <v/>
      </c>
      <c r="CO1809">
        <f>IFERROR(SUMIFS(T_TTAFStock[TTAF_Qty],T_TTAFStock[RM_Code],$A1771,T_TTAFStock[WeekIndex],89),"")</f>
        <v/>
      </c>
      <c r="CP1809">
        <f>IFERROR(SUMIFS(T_TTAFStock[TTAF_Qty],T_TTAFStock[RM_Code],$A1771,T_TTAFStock[WeekIndex],90),"")</f>
        <v/>
      </c>
      <c r="CQ1809">
        <f>IFERROR(SUMIFS(T_TTAFStock[TTAF_Qty],T_TTAFStock[RM_Code],$A1771,T_TTAFStock[WeekIndex],91),"")</f>
        <v/>
      </c>
      <c r="CR1809">
        <f>IFERROR(SUMIFS(T_TTAFStock[TTAF_Qty],T_TTAFStock[RM_Code],$A1771,T_TTAFStock[WeekIndex],92),"")</f>
        <v/>
      </c>
      <c r="CS1809">
        <f>IFERROR(SUMIFS(T_TTAFStock[TTAF_Qty],T_TTAFStock[RM_Code],$A1771,T_TTAFStock[WeekIndex],93),"")</f>
        <v/>
      </c>
      <c r="CT1809">
        <f>IFERROR(SUMIFS(T_TTAFStock[TTAF_Qty],T_TTAFStock[RM_Code],$A1771,T_TTAFStock[WeekIndex],94),"")</f>
        <v/>
      </c>
      <c r="CU1809">
        <f>IFERROR(SUMIFS(T_TTAFStock[TTAF_Qty],T_TTAFStock[RM_Code],$A1771,T_TTAFStock[WeekIndex],95),"")</f>
        <v/>
      </c>
      <c r="CV1809">
        <f>IFERROR(SUMIFS(T_TTAFStock[TTAF_Qty],T_TTAFStock[RM_Code],$A1771,T_TTAFStock[WeekIndex],96),"")</f>
        <v/>
      </c>
      <c r="CW1809">
        <f>IFERROR(SUMIFS(T_TTAFStock[TTAF_Qty],T_TTAFStock[RM_Code],$A1771,T_TTAFStock[WeekIndex],97),"")</f>
        <v/>
      </c>
      <c r="CX1809">
        <f>IFERROR(SUMIFS(T_TTAFStock[TTAF_Qty],T_TTAFStock[RM_Code],$A1771,T_TTAFStock[WeekIndex],98),"")</f>
        <v/>
      </c>
      <c r="CY1809">
        <f>IFERROR(SUMIFS(T_TTAFStock[TTAF_Qty],T_TTAFStock[RM_Code],$A1771,T_TTAFStock[WeekIndex],99),"")</f>
        <v/>
      </c>
      <c r="CZ1809">
        <f>IFERROR(SUMIFS(T_TTAFStock[TTAF_Qty],T_TTAFStock[RM_Code],$A1771,T_TTAFStock[WeekIndex],100),"")</f>
        <v/>
      </c>
      <c r="DA1809">
        <f>IFERROR(SUMIFS(T_TTAFStock[TTAF_Qty],T_TTAFStock[RM_Code],$A1771,T_TTAFStock[WeekIndex],101),"")</f>
        <v/>
      </c>
      <c r="DB1809">
        <f>IFERROR(SUMIFS(T_TTAFStock[TTAF_Qty],T_TTAFStock[RM_Code],$A1771,T_TTAFStock[WeekIndex],102),"")</f>
        <v/>
      </c>
      <c r="DC1809">
        <f>IFERROR(SUMIFS(T_TTAFStock[TTAF_Qty],T_TTAFStock[RM_Code],$A1771,T_TTAFStock[WeekIndex],103),"")</f>
        <v/>
      </c>
      <c r="DD1809">
        <f>IFERROR(SUMIFS(T_TTAFStock[TTAF_Qty],T_TTAFStock[RM_Code],$A1771,T_TTAFStock[WeekIndex],104),"")</f>
        <v/>
      </c>
    </row>
    <row r="1810">
      <c r="B1810" t="inlineStr">
        <is>
          <t>自社在庫(実績,kg)</t>
        </is>
      </c>
      <c r="D1810">
        <f>IFERROR(INDEX(E1810:DD1810,$F$1),"")</f>
        <v/>
      </c>
      <c r="E1810">
        <f>IFERROR(SUMIFS(T_SelfStock[Self_Qty],T_SelfStock[RM_Code],$A1771,T_SelfStock[WeekIndex],1),"")</f>
        <v/>
      </c>
      <c r="F1810">
        <f>IFERROR(SUMIFS(T_SelfStock[Self_Qty],T_SelfStock[RM_Code],$A1771,T_SelfStock[WeekIndex],2),"")</f>
        <v/>
      </c>
      <c r="G1810">
        <f>IFERROR(SUMIFS(T_SelfStock[Self_Qty],T_SelfStock[RM_Code],$A1771,T_SelfStock[WeekIndex],3),"")</f>
        <v/>
      </c>
      <c r="H1810">
        <f>IFERROR(SUMIFS(T_SelfStock[Self_Qty],T_SelfStock[RM_Code],$A1771,T_SelfStock[WeekIndex],4),"")</f>
        <v/>
      </c>
      <c r="I1810">
        <f>IFERROR(SUMIFS(T_SelfStock[Self_Qty],T_SelfStock[RM_Code],$A1771,T_SelfStock[WeekIndex],5),"")</f>
        <v/>
      </c>
      <c r="J1810">
        <f>IFERROR(SUMIFS(T_SelfStock[Self_Qty],T_SelfStock[RM_Code],$A1771,T_SelfStock[WeekIndex],6),"")</f>
        <v/>
      </c>
      <c r="K1810">
        <f>IFERROR(SUMIFS(T_SelfStock[Self_Qty],T_SelfStock[RM_Code],$A1771,T_SelfStock[WeekIndex],7),"")</f>
        <v/>
      </c>
      <c r="L1810">
        <f>IFERROR(SUMIFS(T_SelfStock[Self_Qty],T_SelfStock[RM_Code],$A1771,T_SelfStock[WeekIndex],8),"")</f>
        <v/>
      </c>
      <c r="M1810">
        <f>IFERROR(SUMIFS(T_SelfStock[Self_Qty],T_SelfStock[RM_Code],$A1771,T_SelfStock[WeekIndex],9),"")</f>
        <v/>
      </c>
      <c r="N1810">
        <f>IFERROR(SUMIFS(T_SelfStock[Self_Qty],T_SelfStock[RM_Code],$A1771,T_SelfStock[WeekIndex],10),"")</f>
        <v/>
      </c>
      <c r="O1810">
        <f>IFERROR(SUMIFS(T_SelfStock[Self_Qty],T_SelfStock[RM_Code],$A1771,T_SelfStock[WeekIndex],11),"")</f>
        <v/>
      </c>
      <c r="P1810">
        <f>IFERROR(SUMIFS(T_SelfStock[Self_Qty],T_SelfStock[RM_Code],$A1771,T_SelfStock[WeekIndex],12),"")</f>
        <v/>
      </c>
      <c r="Q1810">
        <f>IFERROR(SUMIFS(T_SelfStock[Self_Qty],T_SelfStock[RM_Code],$A1771,T_SelfStock[WeekIndex],13),"")</f>
        <v/>
      </c>
      <c r="R1810">
        <f>IFERROR(SUMIFS(T_SelfStock[Self_Qty],T_SelfStock[RM_Code],$A1771,T_SelfStock[WeekIndex],14),"")</f>
        <v/>
      </c>
      <c r="S1810">
        <f>IFERROR(SUMIFS(T_SelfStock[Self_Qty],T_SelfStock[RM_Code],$A1771,T_SelfStock[WeekIndex],15),"")</f>
        <v/>
      </c>
      <c r="T1810">
        <f>IFERROR(SUMIFS(T_SelfStock[Self_Qty],T_SelfStock[RM_Code],$A1771,T_SelfStock[WeekIndex],16),"")</f>
        <v/>
      </c>
      <c r="U1810">
        <f>IFERROR(SUMIFS(T_SelfStock[Self_Qty],T_SelfStock[RM_Code],$A1771,T_SelfStock[WeekIndex],17),"")</f>
        <v/>
      </c>
      <c r="V1810">
        <f>IFERROR(SUMIFS(T_SelfStock[Self_Qty],T_SelfStock[RM_Code],$A1771,T_SelfStock[WeekIndex],18),"")</f>
        <v/>
      </c>
      <c r="W1810">
        <f>IFERROR(SUMIFS(T_SelfStock[Self_Qty],T_SelfStock[RM_Code],$A1771,T_SelfStock[WeekIndex],19),"")</f>
        <v/>
      </c>
      <c r="X1810">
        <f>IFERROR(SUMIFS(T_SelfStock[Self_Qty],T_SelfStock[RM_Code],$A1771,T_SelfStock[WeekIndex],20),"")</f>
        <v/>
      </c>
      <c r="Y1810">
        <f>IFERROR(SUMIFS(T_SelfStock[Self_Qty],T_SelfStock[RM_Code],$A1771,T_SelfStock[WeekIndex],21),"")</f>
        <v/>
      </c>
      <c r="Z1810">
        <f>IFERROR(SUMIFS(T_SelfStock[Self_Qty],T_SelfStock[RM_Code],$A1771,T_SelfStock[WeekIndex],22),"")</f>
        <v/>
      </c>
      <c r="AA1810">
        <f>IFERROR(SUMIFS(T_SelfStock[Self_Qty],T_SelfStock[RM_Code],$A1771,T_SelfStock[WeekIndex],23),"")</f>
        <v/>
      </c>
      <c r="AB1810">
        <f>IFERROR(SUMIFS(T_SelfStock[Self_Qty],T_SelfStock[RM_Code],$A1771,T_SelfStock[WeekIndex],24),"")</f>
        <v/>
      </c>
      <c r="AC1810">
        <f>IFERROR(SUMIFS(T_SelfStock[Self_Qty],T_SelfStock[RM_Code],$A1771,T_SelfStock[WeekIndex],25),"")</f>
        <v/>
      </c>
      <c r="AD1810">
        <f>IFERROR(SUMIFS(T_SelfStock[Self_Qty],T_SelfStock[RM_Code],$A1771,T_SelfStock[WeekIndex],26),"")</f>
        <v/>
      </c>
      <c r="AE1810">
        <f>IFERROR(SUMIFS(T_SelfStock[Self_Qty],T_SelfStock[RM_Code],$A1771,T_SelfStock[WeekIndex],27),"")</f>
        <v/>
      </c>
      <c r="AF1810">
        <f>IFERROR(SUMIFS(T_SelfStock[Self_Qty],T_SelfStock[RM_Code],$A1771,T_SelfStock[WeekIndex],28),"")</f>
        <v/>
      </c>
      <c r="AG1810">
        <f>IFERROR(SUMIFS(T_SelfStock[Self_Qty],T_SelfStock[RM_Code],$A1771,T_SelfStock[WeekIndex],29),"")</f>
        <v/>
      </c>
      <c r="AH1810">
        <f>IFERROR(SUMIFS(T_SelfStock[Self_Qty],T_SelfStock[RM_Code],$A1771,T_SelfStock[WeekIndex],30),"")</f>
        <v/>
      </c>
      <c r="AI1810">
        <f>IFERROR(SUMIFS(T_SelfStock[Self_Qty],T_SelfStock[RM_Code],$A1771,T_SelfStock[WeekIndex],31),"")</f>
        <v/>
      </c>
      <c r="AJ1810">
        <f>IFERROR(SUMIFS(T_SelfStock[Self_Qty],T_SelfStock[RM_Code],$A1771,T_SelfStock[WeekIndex],32),"")</f>
        <v/>
      </c>
      <c r="AK1810">
        <f>IFERROR(SUMIFS(T_SelfStock[Self_Qty],T_SelfStock[RM_Code],$A1771,T_SelfStock[WeekIndex],33),"")</f>
        <v/>
      </c>
      <c r="AL1810">
        <f>IFERROR(SUMIFS(T_SelfStock[Self_Qty],T_SelfStock[RM_Code],$A1771,T_SelfStock[WeekIndex],34),"")</f>
        <v/>
      </c>
      <c r="AM1810">
        <f>IFERROR(SUMIFS(T_SelfStock[Self_Qty],T_SelfStock[RM_Code],$A1771,T_SelfStock[WeekIndex],35),"")</f>
        <v/>
      </c>
      <c r="AN1810">
        <f>IFERROR(SUMIFS(T_SelfStock[Self_Qty],T_SelfStock[RM_Code],$A1771,T_SelfStock[WeekIndex],36),"")</f>
        <v/>
      </c>
      <c r="AO1810">
        <f>IFERROR(SUMIFS(T_SelfStock[Self_Qty],T_SelfStock[RM_Code],$A1771,T_SelfStock[WeekIndex],37),"")</f>
        <v/>
      </c>
      <c r="AP1810">
        <f>IFERROR(SUMIFS(T_SelfStock[Self_Qty],T_SelfStock[RM_Code],$A1771,T_SelfStock[WeekIndex],38),"")</f>
        <v/>
      </c>
      <c r="AQ1810">
        <f>IFERROR(SUMIFS(T_SelfStock[Self_Qty],T_SelfStock[RM_Code],$A1771,T_SelfStock[WeekIndex],39),"")</f>
        <v/>
      </c>
      <c r="AR1810">
        <f>IFERROR(SUMIFS(T_SelfStock[Self_Qty],T_SelfStock[RM_Code],$A1771,T_SelfStock[WeekIndex],40),"")</f>
        <v/>
      </c>
      <c r="AS1810">
        <f>IFERROR(SUMIFS(T_SelfStock[Self_Qty],T_SelfStock[RM_Code],$A1771,T_SelfStock[WeekIndex],41),"")</f>
        <v/>
      </c>
      <c r="AT1810">
        <f>IFERROR(SUMIFS(T_SelfStock[Self_Qty],T_SelfStock[RM_Code],$A1771,T_SelfStock[WeekIndex],42),"")</f>
        <v/>
      </c>
      <c r="AU1810">
        <f>IFERROR(SUMIFS(T_SelfStock[Self_Qty],T_SelfStock[RM_Code],$A1771,T_SelfStock[WeekIndex],43),"")</f>
        <v/>
      </c>
      <c r="AV1810">
        <f>IFERROR(SUMIFS(T_SelfStock[Self_Qty],T_SelfStock[RM_Code],$A1771,T_SelfStock[WeekIndex],44),"")</f>
        <v/>
      </c>
      <c r="AW1810">
        <f>IFERROR(SUMIFS(T_SelfStock[Self_Qty],T_SelfStock[RM_Code],$A1771,T_SelfStock[WeekIndex],45),"")</f>
        <v/>
      </c>
      <c r="AX1810">
        <f>IFERROR(SUMIFS(T_SelfStock[Self_Qty],T_SelfStock[RM_Code],$A1771,T_SelfStock[WeekIndex],46),"")</f>
        <v/>
      </c>
      <c r="AY1810">
        <f>IFERROR(SUMIFS(T_SelfStock[Self_Qty],T_SelfStock[RM_Code],$A1771,T_SelfStock[WeekIndex],47),"")</f>
        <v/>
      </c>
      <c r="AZ1810">
        <f>IFERROR(SUMIFS(T_SelfStock[Self_Qty],T_SelfStock[RM_Code],$A1771,T_SelfStock[WeekIndex],48),"")</f>
        <v/>
      </c>
      <c r="BA1810">
        <f>IFERROR(SUMIFS(T_SelfStock[Self_Qty],T_SelfStock[RM_Code],$A1771,T_SelfStock[WeekIndex],49),"")</f>
        <v/>
      </c>
      <c r="BB1810">
        <f>IFERROR(SUMIFS(T_SelfStock[Self_Qty],T_SelfStock[RM_Code],$A1771,T_SelfStock[WeekIndex],50),"")</f>
        <v/>
      </c>
      <c r="BC1810">
        <f>IFERROR(SUMIFS(T_SelfStock[Self_Qty],T_SelfStock[RM_Code],$A1771,T_SelfStock[WeekIndex],51),"")</f>
        <v/>
      </c>
      <c r="BD1810">
        <f>IFERROR(SUMIFS(T_SelfStock[Self_Qty],T_SelfStock[RM_Code],$A1771,T_SelfStock[WeekIndex],52),"")</f>
        <v/>
      </c>
      <c r="BE1810">
        <f>IFERROR(SUMIFS(T_SelfStock[Self_Qty],T_SelfStock[RM_Code],$A1771,T_SelfStock[WeekIndex],53),"")</f>
        <v/>
      </c>
      <c r="BF1810">
        <f>IFERROR(SUMIFS(T_SelfStock[Self_Qty],T_SelfStock[RM_Code],$A1771,T_SelfStock[WeekIndex],54),"")</f>
        <v/>
      </c>
      <c r="BG1810">
        <f>IFERROR(SUMIFS(T_SelfStock[Self_Qty],T_SelfStock[RM_Code],$A1771,T_SelfStock[WeekIndex],55),"")</f>
        <v/>
      </c>
      <c r="BH1810">
        <f>IFERROR(SUMIFS(T_SelfStock[Self_Qty],T_SelfStock[RM_Code],$A1771,T_SelfStock[WeekIndex],56),"")</f>
        <v/>
      </c>
      <c r="BI1810">
        <f>IFERROR(SUMIFS(T_SelfStock[Self_Qty],T_SelfStock[RM_Code],$A1771,T_SelfStock[WeekIndex],57),"")</f>
        <v/>
      </c>
      <c r="BJ1810">
        <f>IFERROR(SUMIFS(T_SelfStock[Self_Qty],T_SelfStock[RM_Code],$A1771,T_SelfStock[WeekIndex],58),"")</f>
        <v/>
      </c>
      <c r="BK1810">
        <f>IFERROR(SUMIFS(T_SelfStock[Self_Qty],T_SelfStock[RM_Code],$A1771,T_SelfStock[WeekIndex],59),"")</f>
        <v/>
      </c>
      <c r="BL1810">
        <f>IFERROR(SUMIFS(T_SelfStock[Self_Qty],T_SelfStock[RM_Code],$A1771,T_SelfStock[WeekIndex],60),"")</f>
        <v/>
      </c>
      <c r="BM1810">
        <f>IFERROR(SUMIFS(T_SelfStock[Self_Qty],T_SelfStock[RM_Code],$A1771,T_SelfStock[WeekIndex],61),"")</f>
        <v/>
      </c>
      <c r="BN1810">
        <f>IFERROR(SUMIFS(T_SelfStock[Self_Qty],T_SelfStock[RM_Code],$A1771,T_SelfStock[WeekIndex],62),"")</f>
        <v/>
      </c>
      <c r="BO1810">
        <f>IFERROR(SUMIFS(T_SelfStock[Self_Qty],T_SelfStock[RM_Code],$A1771,T_SelfStock[WeekIndex],63),"")</f>
        <v/>
      </c>
      <c r="BP1810">
        <f>IFERROR(SUMIFS(T_SelfStock[Self_Qty],T_SelfStock[RM_Code],$A1771,T_SelfStock[WeekIndex],64),"")</f>
        <v/>
      </c>
      <c r="BQ1810">
        <f>IFERROR(SUMIFS(T_SelfStock[Self_Qty],T_SelfStock[RM_Code],$A1771,T_SelfStock[WeekIndex],65),"")</f>
        <v/>
      </c>
      <c r="BR1810">
        <f>IFERROR(SUMIFS(T_SelfStock[Self_Qty],T_SelfStock[RM_Code],$A1771,T_SelfStock[WeekIndex],66),"")</f>
        <v/>
      </c>
      <c r="BS1810">
        <f>IFERROR(SUMIFS(T_SelfStock[Self_Qty],T_SelfStock[RM_Code],$A1771,T_SelfStock[WeekIndex],67),"")</f>
        <v/>
      </c>
      <c r="BT1810">
        <f>IFERROR(SUMIFS(T_SelfStock[Self_Qty],T_SelfStock[RM_Code],$A1771,T_SelfStock[WeekIndex],68),"")</f>
        <v/>
      </c>
      <c r="BU1810">
        <f>IFERROR(SUMIFS(T_SelfStock[Self_Qty],T_SelfStock[RM_Code],$A1771,T_SelfStock[WeekIndex],69),"")</f>
        <v/>
      </c>
      <c r="BV1810">
        <f>IFERROR(SUMIFS(T_SelfStock[Self_Qty],T_SelfStock[RM_Code],$A1771,T_SelfStock[WeekIndex],70),"")</f>
        <v/>
      </c>
      <c r="BW1810">
        <f>IFERROR(SUMIFS(T_SelfStock[Self_Qty],T_SelfStock[RM_Code],$A1771,T_SelfStock[WeekIndex],71),"")</f>
        <v/>
      </c>
      <c r="BX1810">
        <f>IFERROR(SUMIFS(T_SelfStock[Self_Qty],T_SelfStock[RM_Code],$A1771,T_SelfStock[WeekIndex],72),"")</f>
        <v/>
      </c>
      <c r="BY1810">
        <f>IFERROR(SUMIFS(T_SelfStock[Self_Qty],T_SelfStock[RM_Code],$A1771,T_SelfStock[WeekIndex],73),"")</f>
        <v/>
      </c>
      <c r="BZ1810">
        <f>IFERROR(SUMIFS(T_SelfStock[Self_Qty],T_SelfStock[RM_Code],$A1771,T_SelfStock[WeekIndex],74),"")</f>
        <v/>
      </c>
      <c r="CA1810">
        <f>IFERROR(SUMIFS(T_SelfStock[Self_Qty],T_SelfStock[RM_Code],$A1771,T_SelfStock[WeekIndex],75),"")</f>
        <v/>
      </c>
      <c r="CB1810">
        <f>IFERROR(SUMIFS(T_SelfStock[Self_Qty],T_SelfStock[RM_Code],$A1771,T_SelfStock[WeekIndex],76),"")</f>
        <v/>
      </c>
      <c r="CC1810">
        <f>IFERROR(SUMIFS(T_SelfStock[Self_Qty],T_SelfStock[RM_Code],$A1771,T_SelfStock[WeekIndex],77),"")</f>
        <v/>
      </c>
      <c r="CD1810">
        <f>IFERROR(SUMIFS(T_SelfStock[Self_Qty],T_SelfStock[RM_Code],$A1771,T_SelfStock[WeekIndex],78),"")</f>
        <v/>
      </c>
      <c r="CE1810">
        <f>IFERROR(SUMIFS(T_SelfStock[Self_Qty],T_SelfStock[RM_Code],$A1771,T_SelfStock[WeekIndex],79),"")</f>
        <v/>
      </c>
      <c r="CF1810">
        <f>IFERROR(SUMIFS(T_SelfStock[Self_Qty],T_SelfStock[RM_Code],$A1771,T_SelfStock[WeekIndex],80),"")</f>
        <v/>
      </c>
      <c r="CG1810">
        <f>IFERROR(SUMIFS(T_SelfStock[Self_Qty],T_SelfStock[RM_Code],$A1771,T_SelfStock[WeekIndex],81),"")</f>
        <v/>
      </c>
      <c r="CH1810">
        <f>IFERROR(SUMIFS(T_SelfStock[Self_Qty],T_SelfStock[RM_Code],$A1771,T_SelfStock[WeekIndex],82),"")</f>
        <v/>
      </c>
      <c r="CI1810">
        <f>IFERROR(SUMIFS(T_SelfStock[Self_Qty],T_SelfStock[RM_Code],$A1771,T_SelfStock[WeekIndex],83),"")</f>
        <v/>
      </c>
      <c r="CJ1810">
        <f>IFERROR(SUMIFS(T_SelfStock[Self_Qty],T_SelfStock[RM_Code],$A1771,T_SelfStock[WeekIndex],84),"")</f>
        <v/>
      </c>
      <c r="CK1810">
        <f>IFERROR(SUMIFS(T_SelfStock[Self_Qty],T_SelfStock[RM_Code],$A1771,T_SelfStock[WeekIndex],85),"")</f>
        <v/>
      </c>
      <c r="CL1810">
        <f>IFERROR(SUMIFS(T_SelfStock[Self_Qty],T_SelfStock[RM_Code],$A1771,T_SelfStock[WeekIndex],86),"")</f>
        <v/>
      </c>
      <c r="CM1810">
        <f>IFERROR(SUMIFS(T_SelfStock[Self_Qty],T_SelfStock[RM_Code],$A1771,T_SelfStock[WeekIndex],87),"")</f>
        <v/>
      </c>
      <c r="CN1810">
        <f>IFERROR(SUMIFS(T_SelfStock[Self_Qty],T_SelfStock[RM_Code],$A1771,T_SelfStock[WeekIndex],88),"")</f>
        <v/>
      </c>
      <c r="CO1810">
        <f>IFERROR(SUMIFS(T_SelfStock[Self_Qty],T_SelfStock[RM_Code],$A1771,T_SelfStock[WeekIndex],89),"")</f>
        <v/>
      </c>
      <c r="CP1810">
        <f>IFERROR(SUMIFS(T_SelfStock[Self_Qty],T_SelfStock[RM_Code],$A1771,T_SelfStock[WeekIndex],90),"")</f>
        <v/>
      </c>
      <c r="CQ1810">
        <f>IFERROR(SUMIFS(T_SelfStock[Self_Qty],T_SelfStock[RM_Code],$A1771,T_SelfStock[WeekIndex],91),"")</f>
        <v/>
      </c>
      <c r="CR1810">
        <f>IFERROR(SUMIFS(T_SelfStock[Self_Qty],T_SelfStock[RM_Code],$A1771,T_SelfStock[WeekIndex],92),"")</f>
        <v/>
      </c>
      <c r="CS1810">
        <f>IFERROR(SUMIFS(T_SelfStock[Self_Qty],T_SelfStock[RM_Code],$A1771,T_SelfStock[WeekIndex],93),"")</f>
        <v/>
      </c>
      <c r="CT1810">
        <f>IFERROR(SUMIFS(T_SelfStock[Self_Qty],T_SelfStock[RM_Code],$A1771,T_SelfStock[WeekIndex],94),"")</f>
        <v/>
      </c>
      <c r="CU1810">
        <f>IFERROR(SUMIFS(T_SelfStock[Self_Qty],T_SelfStock[RM_Code],$A1771,T_SelfStock[WeekIndex],95),"")</f>
        <v/>
      </c>
      <c r="CV1810">
        <f>IFERROR(SUMIFS(T_SelfStock[Self_Qty],T_SelfStock[RM_Code],$A1771,T_SelfStock[WeekIndex],96),"")</f>
        <v/>
      </c>
      <c r="CW1810">
        <f>IFERROR(SUMIFS(T_SelfStock[Self_Qty],T_SelfStock[RM_Code],$A1771,T_SelfStock[WeekIndex],97),"")</f>
        <v/>
      </c>
      <c r="CX1810">
        <f>IFERROR(SUMIFS(T_SelfStock[Self_Qty],T_SelfStock[RM_Code],$A1771,T_SelfStock[WeekIndex],98),"")</f>
        <v/>
      </c>
      <c r="CY1810">
        <f>IFERROR(SUMIFS(T_SelfStock[Self_Qty],T_SelfStock[RM_Code],$A1771,T_SelfStock[WeekIndex],99),"")</f>
        <v/>
      </c>
      <c r="CZ1810">
        <f>IFERROR(SUMIFS(T_SelfStock[Self_Qty],T_SelfStock[RM_Code],$A1771,T_SelfStock[WeekIndex],100),"")</f>
        <v/>
      </c>
      <c r="DA1810">
        <f>IFERROR(SUMIFS(T_SelfStock[Self_Qty],T_SelfStock[RM_Code],$A1771,T_SelfStock[WeekIndex],101),"")</f>
        <v/>
      </c>
      <c r="DB1810">
        <f>IFERROR(SUMIFS(T_SelfStock[Self_Qty],T_SelfStock[RM_Code],$A1771,T_SelfStock[WeekIndex],102),"")</f>
        <v/>
      </c>
      <c r="DC1810">
        <f>IFERROR(SUMIFS(T_SelfStock[Self_Qty],T_SelfStock[RM_Code],$A1771,T_SelfStock[WeekIndex],103),"")</f>
        <v/>
      </c>
      <c r="DD1810">
        <f>IFERROR(SUMIFS(T_SelfStock[Self_Qty],T_SelfStock[RM_Code],$A1771,T_SelfStock[WeekIndex],104),"")</f>
        <v/>
      </c>
    </row>
    <row r="1811">
      <c r="B1811" s="4" t="inlineStr">
        <is>
          <t>合計在庫(週末時点,kg)</t>
        </is>
      </c>
      <c r="D1811" s="24">
        <f>IFERROR(INDEX(E1811:DD1811,$F$1),"")</f>
        <v/>
      </c>
      <c r="E1811">
        <f>'Grid_Stock'!B19</f>
        <v/>
      </c>
      <c r="F1811">
        <f>'Grid_Stock'!C19</f>
        <v/>
      </c>
      <c r="G1811">
        <f>'Grid_Stock'!D19</f>
        <v/>
      </c>
      <c r="H1811">
        <f>'Grid_Stock'!E19</f>
        <v/>
      </c>
      <c r="I1811">
        <f>'Grid_Stock'!F19</f>
        <v/>
      </c>
      <c r="J1811">
        <f>'Grid_Stock'!G19</f>
        <v/>
      </c>
      <c r="K1811">
        <f>'Grid_Stock'!H19</f>
        <v/>
      </c>
      <c r="L1811">
        <f>'Grid_Stock'!I19</f>
        <v/>
      </c>
      <c r="M1811">
        <f>'Grid_Stock'!J19</f>
        <v/>
      </c>
      <c r="N1811">
        <f>'Grid_Stock'!K19</f>
        <v/>
      </c>
      <c r="O1811">
        <f>'Grid_Stock'!L19</f>
        <v/>
      </c>
      <c r="P1811">
        <f>'Grid_Stock'!M19</f>
        <v/>
      </c>
      <c r="Q1811">
        <f>'Grid_Stock'!N19</f>
        <v/>
      </c>
      <c r="R1811">
        <f>'Grid_Stock'!O19</f>
        <v/>
      </c>
      <c r="S1811">
        <f>'Grid_Stock'!P19</f>
        <v/>
      </c>
      <c r="T1811">
        <f>'Grid_Stock'!Q19</f>
        <v/>
      </c>
      <c r="U1811">
        <f>'Grid_Stock'!R19</f>
        <v/>
      </c>
      <c r="V1811">
        <f>'Grid_Stock'!S19</f>
        <v/>
      </c>
      <c r="W1811">
        <f>'Grid_Stock'!T19</f>
        <v/>
      </c>
      <c r="X1811">
        <f>'Grid_Stock'!U19</f>
        <v/>
      </c>
      <c r="Y1811">
        <f>'Grid_Stock'!V19</f>
        <v/>
      </c>
      <c r="Z1811">
        <f>'Grid_Stock'!W19</f>
        <v/>
      </c>
      <c r="AA1811">
        <f>'Grid_Stock'!X19</f>
        <v/>
      </c>
      <c r="AB1811">
        <f>'Grid_Stock'!Y19</f>
        <v/>
      </c>
      <c r="AC1811">
        <f>'Grid_Stock'!Z19</f>
        <v/>
      </c>
      <c r="AD1811">
        <f>'Grid_Stock'!AA19</f>
        <v/>
      </c>
      <c r="AE1811">
        <f>'Grid_Stock'!AB19</f>
        <v/>
      </c>
      <c r="AF1811">
        <f>'Grid_Stock'!AC19</f>
        <v/>
      </c>
      <c r="AG1811">
        <f>'Grid_Stock'!AD19</f>
        <v/>
      </c>
      <c r="AH1811">
        <f>'Grid_Stock'!AE19</f>
        <v/>
      </c>
      <c r="AI1811">
        <f>'Grid_Stock'!AF19</f>
        <v/>
      </c>
      <c r="AJ1811">
        <f>'Grid_Stock'!AG19</f>
        <v/>
      </c>
      <c r="AK1811">
        <f>'Grid_Stock'!AH19</f>
        <v/>
      </c>
      <c r="AL1811">
        <f>'Grid_Stock'!AI19</f>
        <v/>
      </c>
      <c r="AM1811">
        <f>'Grid_Stock'!AJ19</f>
        <v/>
      </c>
      <c r="AN1811">
        <f>'Grid_Stock'!AK19</f>
        <v/>
      </c>
      <c r="AO1811">
        <f>'Grid_Stock'!AL19</f>
        <v/>
      </c>
      <c r="AP1811">
        <f>'Grid_Stock'!AM19</f>
        <v/>
      </c>
      <c r="AQ1811">
        <f>'Grid_Stock'!AN19</f>
        <v/>
      </c>
      <c r="AR1811">
        <f>'Grid_Stock'!AO19</f>
        <v/>
      </c>
      <c r="AS1811">
        <f>'Grid_Stock'!AP19</f>
        <v/>
      </c>
      <c r="AT1811">
        <f>'Grid_Stock'!AQ19</f>
        <v/>
      </c>
      <c r="AU1811">
        <f>'Grid_Stock'!AR19</f>
        <v/>
      </c>
      <c r="AV1811">
        <f>'Grid_Stock'!AS19</f>
        <v/>
      </c>
      <c r="AW1811">
        <f>'Grid_Stock'!AT19</f>
        <v/>
      </c>
      <c r="AX1811">
        <f>'Grid_Stock'!AU19</f>
        <v/>
      </c>
      <c r="AY1811">
        <f>'Grid_Stock'!AV19</f>
        <v/>
      </c>
      <c r="AZ1811">
        <f>'Grid_Stock'!AW19</f>
        <v/>
      </c>
      <c r="BA1811">
        <f>'Grid_Stock'!AX19</f>
        <v/>
      </c>
      <c r="BB1811">
        <f>'Grid_Stock'!AY19</f>
        <v/>
      </c>
      <c r="BC1811">
        <f>'Grid_Stock'!AZ19</f>
        <v/>
      </c>
      <c r="BD1811">
        <f>'Grid_Stock'!BA19</f>
        <v/>
      </c>
      <c r="BE1811">
        <f>'Grid_Stock'!BB19</f>
        <v/>
      </c>
      <c r="BF1811">
        <f>'Grid_Stock'!BC19</f>
        <v/>
      </c>
      <c r="BG1811">
        <f>'Grid_Stock'!BD19</f>
        <v/>
      </c>
      <c r="BH1811">
        <f>'Grid_Stock'!BE19</f>
        <v/>
      </c>
      <c r="BI1811">
        <f>'Grid_Stock'!BF19</f>
        <v/>
      </c>
      <c r="BJ1811">
        <f>'Grid_Stock'!BG19</f>
        <v/>
      </c>
      <c r="BK1811">
        <f>'Grid_Stock'!BH19</f>
        <v/>
      </c>
      <c r="BL1811">
        <f>'Grid_Stock'!BI19</f>
        <v/>
      </c>
      <c r="BM1811">
        <f>'Grid_Stock'!BJ19</f>
        <v/>
      </c>
      <c r="BN1811">
        <f>'Grid_Stock'!BK19</f>
        <v/>
      </c>
      <c r="BO1811">
        <f>'Grid_Stock'!BL19</f>
        <v/>
      </c>
      <c r="BP1811">
        <f>'Grid_Stock'!BM19</f>
        <v/>
      </c>
      <c r="BQ1811">
        <f>'Grid_Stock'!BN19</f>
        <v/>
      </c>
      <c r="BR1811">
        <f>'Grid_Stock'!BO19</f>
        <v/>
      </c>
      <c r="BS1811">
        <f>'Grid_Stock'!BP19</f>
        <v/>
      </c>
      <c r="BT1811">
        <f>'Grid_Stock'!BQ19</f>
        <v/>
      </c>
      <c r="BU1811">
        <f>'Grid_Stock'!BR19</f>
        <v/>
      </c>
      <c r="BV1811">
        <f>'Grid_Stock'!BS19</f>
        <v/>
      </c>
      <c r="BW1811">
        <f>'Grid_Stock'!BT19</f>
        <v/>
      </c>
      <c r="BX1811">
        <f>'Grid_Stock'!BU19</f>
        <v/>
      </c>
      <c r="BY1811">
        <f>'Grid_Stock'!BV19</f>
        <v/>
      </c>
      <c r="BZ1811">
        <f>'Grid_Stock'!BW19</f>
        <v/>
      </c>
      <c r="CA1811">
        <f>'Grid_Stock'!BX19</f>
        <v/>
      </c>
      <c r="CB1811">
        <f>'Grid_Stock'!BY19</f>
        <v/>
      </c>
      <c r="CC1811">
        <f>'Grid_Stock'!BZ19</f>
        <v/>
      </c>
      <c r="CD1811">
        <f>'Grid_Stock'!CA19</f>
        <v/>
      </c>
      <c r="CE1811">
        <f>'Grid_Stock'!CB19</f>
        <v/>
      </c>
      <c r="CF1811">
        <f>'Grid_Stock'!CC19</f>
        <v/>
      </c>
      <c r="CG1811">
        <f>'Grid_Stock'!CD19</f>
        <v/>
      </c>
      <c r="CH1811">
        <f>'Grid_Stock'!CE19</f>
        <v/>
      </c>
      <c r="CI1811">
        <f>'Grid_Stock'!CF19</f>
        <v/>
      </c>
      <c r="CJ1811">
        <f>'Grid_Stock'!CG19</f>
        <v/>
      </c>
      <c r="CK1811">
        <f>'Grid_Stock'!CH19</f>
        <v/>
      </c>
      <c r="CL1811">
        <f>'Grid_Stock'!CI19</f>
        <v/>
      </c>
      <c r="CM1811">
        <f>'Grid_Stock'!CJ19</f>
        <v/>
      </c>
      <c r="CN1811">
        <f>'Grid_Stock'!CK19</f>
        <v/>
      </c>
      <c r="CO1811">
        <f>'Grid_Stock'!CL19</f>
        <v/>
      </c>
      <c r="CP1811">
        <f>'Grid_Stock'!CM19</f>
        <v/>
      </c>
      <c r="CQ1811">
        <f>'Grid_Stock'!CN19</f>
        <v/>
      </c>
      <c r="CR1811">
        <f>'Grid_Stock'!CO19</f>
        <v/>
      </c>
      <c r="CS1811">
        <f>'Grid_Stock'!CP19</f>
        <v/>
      </c>
      <c r="CT1811">
        <f>'Grid_Stock'!CQ19</f>
        <v/>
      </c>
      <c r="CU1811">
        <f>'Grid_Stock'!CR19</f>
        <v/>
      </c>
      <c r="CV1811">
        <f>'Grid_Stock'!CS19</f>
        <v/>
      </c>
      <c r="CW1811">
        <f>'Grid_Stock'!CT19</f>
        <v/>
      </c>
      <c r="CX1811">
        <f>'Grid_Stock'!CU19</f>
        <v/>
      </c>
      <c r="CY1811">
        <f>'Grid_Stock'!CV19</f>
        <v/>
      </c>
      <c r="CZ1811">
        <f>'Grid_Stock'!CW19</f>
        <v/>
      </c>
      <c r="DA1811">
        <f>'Grid_Stock'!CX19</f>
        <v/>
      </c>
      <c r="DB1811">
        <f>'Grid_Stock'!CY19</f>
        <v/>
      </c>
      <c r="DC1811">
        <f>'Grid_Stock'!CZ19</f>
        <v/>
      </c>
      <c r="DD1811">
        <f>'Grid_Stock'!DA19</f>
        <v/>
      </c>
    </row>
    <row r="1812">
      <c r="B1812" s="25" t="inlineStr">
        <is>
          <t>（発注の目安はDashboardの基準在庫[下限/上限]と色分けを参照）</t>
        </is>
      </c>
    </row>
    <row r="1814">
      <c r="A1814" s="21" t="inlineStr">
        <is>
          <t>CHEM-1840</t>
        </is>
      </c>
      <c r="B1814" s="21" t="inlineStr">
        <is>
          <t>KAOCERA2020</t>
        </is>
      </c>
      <c r="C1814" s="22" t="n"/>
      <c r="D1814" s="21" t="n"/>
      <c r="E1814" s="21" t="n"/>
      <c r="F1814" s="21" t="n"/>
      <c r="G1814" s="21" t="n"/>
      <c r="H1814" s="21" t="n"/>
      <c r="I1814" s="21" t="n"/>
      <c r="J1814" s="21" t="n"/>
      <c r="K1814" s="21" t="n"/>
      <c r="L1814" s="21" t="n"/>
      <c r="M1814" s="21" t="n"/>
      <c r="N1814" s="21" t="n"/>
      <c r="O1814" s="21" t="n"/>
      <c r="P1814" s="21" t="n"/>
      <c r="Q1814" s="21" t="n"/>
      <c r="R1814" s="21" t="n"/>
      <c r="S1814" s="21" t="n"/>
      <c r="T1814" s="21" t="n"/>
      <c r="U1814" s="21" t="n"/>
      <c r="V1814" s="21" t="n"/>
      <c r="W1814" s="21" t="n"/>
      <c r="X1814" s="21" t="n"/>
      <c r="Y1814" s="21" t="n"/>
      <c r="Z1814" s="21" t="n"/>
      <c r="AA1814" s="21" t="n"/>
      <c r="AB1814" s="21" t="n"/>
      <c r="AC1814" s="21" t="n"/>
      <c r="AD1814" s="21" t="n"/>
      <c r="AE1814" s="21" t="n"/>
      <c r="AF1814" s="21" t="n"/>
      <c r="AG1814" s="21" t="n"/>
      <c r="AH1814" s="21" t="n"/>
      <c r="AI1814" s="21" t="n"/>
      <c r="AJ1814" s="21" t="n"/>
      <c r="AK1814" s="21" t="n"/>
      <c r="AL1814" s="21" t="n"/>
      <c r="AM1814" s="21" t="n"/>
      <c r="AN1814" s="21" t="n"/>
      <c r="AO1814" s="21" t="n"/>
      <c r="AP1814" s="21" t="n"/>
      <c r="AQ1814" s="21" t="n"/>
      <c r="AR1814" s="21" t="n"/>
      <c r="AS1814" s="21" t="n"/>
      <c r="AT1814" s="21" t="n"/>
      <c r="AU1814" s="21" t="n"/>
      <c r="AV1814" s="21" t="n"/>
      <c r="AW1814" s="21" t="n"/>
      <c r="AX1814" s="21" t="n"/>
      <c r="AY1814" s="21" t="n"/>
      <c r="AZ1814" s="21" t="n"/>
      <c r="BA1814" s="21" t="n"/>
      <c r="BB1814" s="21" t="n"/>
      <c r="BC1814" s="21" t="n"/>
      <c r="BD1814" s="21" t="n"/>
      <c r="BE1814" s="21" t="n"/>
      <c r="BF1814" s="21" t="n"/>
      <c r="BG1814" s="21" t="n"/>
      <c r="BH1814" s="21" t="n"/>
      <c r="BI1814" s="21" t="n"/>
      <c r="BJ1814" s="21" t="n"/>
      <c r="BK1814" s="21" t="n"/>
      <c r="BL1814" s="21" t="n"/>
      <c r="BM1814" s="21" t="n"/>
      <c r="BN1814" s="21" t="n"/>
      <c r="BO1814" s="21" t="n"/>
      <c r="BP1814" s="21" t="n"/>
      <c r="BQ1814" s="21" t="n"/>
      <c r="BR1814" s="21" t="n"/>
      <c r="BS1814" s="21" t="n"/>
      <c r="BT1814" s="21" t="n"/>
      <c r="BU1814" s="21" t="n"/>
      <c r="BV1814" s="21" t="n"/>
      <c r="BW1814" s="21" t="n"/>
      <c r="BX1814" s="21" t="n"/>
      <c r="BY1814" s="21" t="n"/>
      <c r="BZ1814" s="21" t="n"/>
      <c r="CA1814" s="21" t="n"/>
      <c r="CB1814" s="21" t="n"/>
      <c r="CC1814" s="21" t="n"/>
      <c r="CD1814" s="21" t="n"/>
      <c r="CE1814" s="21" t="n"/>
      <c r="CF1814" s="21" t="n"/>
      <c r="CG1814" s="21" t="n"/>
      <c r="CH1814" s="21" t="n"/>
      <c r="CI1814" s="21" t="n"/>
      <c r="CJ1814" s="21" t="n"/>
      <c r="CK1814" s="21" t="n"/>
      <c r="CL1814" s="21" t="n"/>
      <c r="CM1814" s="21" t="n"/>
      <c r="CN1814" s="21" t="n"/>
      <c r="CO1814" s="21" t="n"/>
      <c r="CP1814" s="21" t="n"/>
      <c r="CQ1814" s="21" t="n"/>
      <c r="CR1814" s="21" t="n"/>
      <c r="CS1814" s="21" t="n"/>
      <c r="CT1814" s="21" t="n"/>
      <c r="CU1814" s="21" t="n"/>
      <c r="CV1814" s="21" t="n"/>
      <c r="CW1814" s="21" t="n"/>
      <c r="CX1814" s="21" t="n"/>
      <c r="CY1814" s="21" t="n"/>
      <c r="CZ1814" s="21" t="n"/>
      <c r="DA1814" s="21" t="n"/>
      <c r="DB1814" s="21" t="n"/>
      <c r="DC1814" s="21" t="n"/>
      <c r="DD1814" s="21" t="n"/>
    </row>
    <row r="1815">
      <c r="B1815" t="inlineStr">
        <is>
          <t>TSP-1558</t>
        </is>
      </c>
      <c r="C1815" t="inlineStr">
        <is>
          <t>No. of batches</t>
        </is>
      </c>
      <c r="D1815">
        <f>IFERROR(INDEX(E1815:DD1815,$F$1),"")</f>
        <v/>
      </c>
      <c r="E1815">
        <f>IFERROR(INDEX(PP_Grid[#Data],$DE1815,2),0)</f>
        <v/>
      </c>
      <c r="F1815">
        <f>IFERROR(INDEX(PP_Grid[#Data],$DE1815,3),0)</f>
        <v/>
      </c>
      <c r="G1815">
        <f>IFERROR(INDEX(PP_Grid[#Data],$DE1815,4),0)</f>
        <v/>
      </c>
      <c r="H1815">
        <f>IFERROR(INDEX(PP_Grid[#Data],$DE1815,5),0)</f>
        <v/>
      </c>
      <c r="I1815">
        <f>IFERROR(INDEX(PP_Grid[#Data],$DE1815,6),0)</f>
        <v/>
      </c>
      <c r="J1815">
        <f>IFERROR(INDEX(PP_Grid[#Data],$DE1815,7),0)</f>
        <v/>
      </c>
      <c r="K1815">
        <f>IFERROR(INDEX(PP_Grid[#Data],$DE1815,8),0)</f>
        <v/>
      </c>
      <c r="L1815">
        <f>IFERROR(INDEX(PP_Grid[#Data],$DE1815,9),0)</f>
        <v/>
      </c>
      <c r="M1815">
        <f>IFERROR(INDEX(PP_Grid[#Data],$DE1815,10),0)</f>
        <v/>
      </c>
      <c r="N1815">
        <f>IFERROR(INDEX(PP_Grid[#Data],$DE1815,11),0)</f>
        <v/>
      </c>
      <c r="O1815">
        <f>IFERROR(INDEX(PP_Grid[#Data],$DE1815,12),0)</f>
        <v/>
      </c>
      <c r="P1815">
        <f>IFERROR(INDEX(PP_Grid[#Data],$DE1815,13),0)</f>
        <v/>
      </c>
      <c r="Q1815">
        <f>IFERROR(INDEX(PP_Grid[#Data],$DE1815,14),0)</f>
        <v/>
      </c>
      <c r="R1815">
        <f>IFERROR(INDEX(PP_Grid[#Data],$DE1815,15),0)</f>
        <v/>
      </c>
      <c r="S1815">
        <f>IFERROR(INDEX(PP_Grid[#Data],$DE1815,16),0)</f>
        <v/>
      </c>
      <c r="T1815">
        <f>IFERROR(INDEX(PP_Grid[#Data],$DE1815,17),0)</f>
        <v/>
      </c>
      <c r="U1815">
        <f>IFERROR(INDEX(PP_Grid[#Data],$DE1815,18),0)</f>
        <v/>
      </c>
      <c r="V1815">
        <f>IFERROR(INDEX(PP_Grid[#Data],$DE1815,19),0)</f>
        <v/>
      </c>
      <c r="W1815">
        <f>IFERROR(INDEX(PP_Grid[#Data],$DE1815,20),0)</f>
        <v/>
      </c>
      <c r="X1815">
        <f>IFERROR(INDEX(PP_Grid[#Data],$DE1815,21),0)</f>
        <v/>
      </c>
      <c r="Y1815">
        <f>IFERROR(INDEX(PP_Grid[#Data],$DE1815,22),0)</f>
        <v/>
      </c>
      <c r="Z1815">
        <f>IFERROR(INDEX(PP_Grid[#Data],$DE1815,23),0)</f>
        <v/>
      </c>
      <c r="AA1815">
        <f>IFERROR(INDEX(PP_Grid[#Data],$DE1815,24),0)</f>
        <v/>
      </c>
      <c r="AB1815">
        <f>IFERROR(INDEX(PP_Grid[#Data],$DE1815,25),0)</f>
        <v/>
      </c>
      <c r="AC1815">
        <f>IFERROR(INDEX(PP_Grid[#Data],$DE1815,26),0)</f>
        <v/>
      </c>
      <c r="AD1815">
        <f>IFERROR(INDEX(PP_Grid[#Data],$DE1815,27),0)</f>
        <v/>
      </c>
      <c r="AE1815">
        <f>IFERROR(INDEX(PP_Grid[#Data],$DE1815,28),0)</f>
        <v/>
      </c>
      <c r="AF1815">
        <f>IFERROR(INDEX(PP_Grid[#Data],$DE1815,29),0)</f>
        <v/>
      </c>
      <c r="AG1815">
        <f>IFERROR(INDEX(PP_Grid[#Data],$DE1815,30),0)</f>
        <v/>
      </c>
      <c r="AH1815">
        <f>IFERROR(INDEX(PP_Grid[#Data],$DE1815,31),0)</f>
        <v/>
      </c>
      <c r="AI1815">
        <f>IFERROR(INDEX(PP_Grid[#Data],$DE1815,32),0)</f>
        <v/>
      </c>
      <c r="AJ1815">
        <f>IFERROR(INDEX(PP_Grid[#Data],$DE1815,33),0)</f>
        <v/>
      </c>
      <c r="AK1815">
        <f>IFERROR(INDEX(PP_Grid[#Data],$DE1815,34),0)</f>
        <v/>
      </c>
      <c r="AL1815">
        <f>IFERROR(INDEX(PP_Grid[#Data],$DE1815,35),0)</f>
        <v/>
      </c>
      <c r="AM1815">
        <f>IFERROR(INDEX(PP_Grid[#Data],$DE1815,36),0)</f>
        <v/>
      </c>
      <c r="AN1815">
        <f>IFERROR(INDEX(PP_Grid[#Data],$DE1815,37),0)</f>
        <v/>
      </c>
      <c r="AO1815">
        <f>IFERROR(INDEX(PP_Grid[#Data],$DE1815,38),0)</f>
        <v/>
      </c>
      <c r="AP1815">
        <f>IFERROR(INDEX(PP_Grid[#Data],$DE1815,39),0)</f>
        <v/>
      </c>
      <c r="AQ1815">
        <f>IFERROR(INDEX(PP_Grid[#Data],$DE1815,40),0)</f>
        <v/>
      </c>
      <c r="AR1815">
        <f>IFERROR(INDEX(PP_Grid[#Data],$DE1815,41),0)</f>
        <v/>
      </c>
      <c r="AS1815">
        <f>IFERROR(INDEX(PP_Grid[#Data],$DE1815,42),0)</f>
        <v/>
      </c>
      <c r="AT1815">
        <f>IFERROR(INDEX(PP_Grid[#Data],$DE1815,43),0)</f>
        <v/>
      </c>
      <c r="AU1815">
        <f>IFERROR(INDEX(PP_Grid[#Data],$DE1815,44),0)</f>
        <v/>
      </c>
      <c r="AV1815">
        <f>IFERROR(INDEX(PP_Grid[#Data],$DE1815,45),0)</f>
        <v/>
      </c>
      <c r="AW1815">
        <f>IFERROR(INDEX(PP_Grid[#Data],$DE1815,46),0)</f>
        <v/>
      </c>
      <c r="AX1815">
        <f>IFERROR(INDEX(PP_Grid[#Data],$DE1815,47),0)</f>
        <v/>
      </c>
      <c r="AY1815">
        <f>IFERROR(INDEX(PP_Grid[#Data],$DE1815,48),0)</f>
        <v/>
      </c>
      <c r="AZ1815">
        <f>IFERROR(INDEX(PP_Grid[#Data],$DE1815,49),0)</f>
        <v/>
      </c>
      <c r="BA1815">
        <f>IFERROR(INDEX(PP_Grid[#Data],$DE1815,50),0)</f>
        <v/>
      </c>
      <c r="BB1815">
        <f>IFERROR(INDEX(PP_Grid[#Data],$DE1815,51),0)</f>
        <v/>
      </c>
      <c r="BC1815">
        <f>IFERROR(INDEX(PP_Grid[#Data],$DE1815,52),0)</f>
        <v/>
      </c>
      <c r="BD1815">
        <f>IFERROR(INDEX(PP_Grid[#Data],$DE1815,53),0)</f>
        <v/>
      </c>
      <c r="BE1815">
        <f>IFERROR(INDEX(PP_Grid[#Data],$DE1815,54),0)</f>
        <v/>
      </c>
      <c r="BF1815">
        <f>IFERROR(INDEX(PP_Grid[#Data],$DE1815,55),0)</f>
        <v/>
      </c>
      <c r="BG1815">
        <f>IFERROR(INDEX(PP_Grid[#Data],$DE1815,56),0)</f>
        <v/>
      </c>
      <c r="BH1815">
        <f>IFERROR(INDEX(PP_Grid[#Data],$DE1815,57),0)</f>
        <v/>
      </c>
      <c r="BI1815">
        <f>IFERROR(INDEX(PP_Grid[#Data],$DE1815,58),0)</f>
        <v/>
      </c>
      <c r="BJ1815">
        <f>IFERROR(INDEX(PP_Grid[#Data],$DE1815,59),0)</f>
        <v/>
      </c>
      <c r="BK1815">
        <f>IFERROR(INDEX(PP_Grid[#Data],$DE1815,60),0)</f>
        <v/>
      </c>
      <c r="BL1815">
        <f>IFERROR(INDEX(PP_Grid[#Data],$DE1815,61),0)</f>
        <v/>
      </c>
      <c r="BM1815">
        <f>IFERROR(INDEX(PP_Grid[#Data],$DE1815,62),0)</f>
        <v/>
      </c>
      <c r="BN1815">
        <f>IFERROR(INDEX(PP_Grid[#Data],$DE1815,63),0)</f>
        <v/>
      </c>
      <c r="BO1815">
        <f>IFERROR(INDEX(PP_Grid[#Data],$DE1815,64),0)</f>
        <v/>
      </c>
      <c r="BP1815">
        <f>IFERROR(INDEX(PP_Grid[#Data],$DE1815,65),0)</f>
        <v/>
      </c>
      <c r="BQ1815">
        <f>IFERROR(INDEX(PP_Grid[#Data],$DE1815,66),0)</f>
        <v/>
      </c>
      <c r="BR1815">
        <f>IFERROR(INDEX(PP_Grid[#Data],$DE1815,67),0)</f>
        <v/>
      </c>
      <c r="BS1815">
        <f>IFERROR(INDEX(PP_Grid[#Data],$DE1815,68),0)</f>
        <v/>
      </c>
      <c r="BT1815">
        <f>IFERROR(INDEX(PP_Grid[#Data],$DE1815,69),0)</f>
        <v/>
      </c>
      <c r="BU1815">
        <f>IFERROR(INDEX(PP_Grid[#Data],$DE1815,70),0)</f>
        <v/>
      </c>
      <c r="BV1815">
        <f>IFERROR(INDEX(PP_Grid[#Data],$DE1815,71),0)</f>
        <v/>
      </c>
      <c r="BW1815">
        <f>IFERROR(INDEX(PP_Grid[#Data],$DE1815,72),0)</f>
        <v/>
      </c>
      <c r="BX1815">
        <f>IFERROR(INDEX(PP_Grid[#Data],$DE1815,73),0)</f>
        <v/>
      </c>
      <c r="BY1815">
        <f>IFERROR(INDEX(PP_Grid[#Data],$DE1815,74),0)</f>
        <v/>
      </c>
      <c r="BZ1815">
        <f>IFERROR(INDEX(PP_Grid[#Data],$DE1815,75),0)</f>
        <v/>
      </c>
      <c r="CA1815">
        <f>IFERROR(INDEX(PP_Grid[#Data],$DE1815,76),0)</f>
        <v/>
      </c>
      <c r="CB1815">
        <f>IFERROR(INDEX(PP_Grid[#Data],$DE1815,77),0)</f>
        <v/>
      </c>
      <c r="CC1815">
        <f>IFERROR(INDEX(PP_Grid[#Data],$DE1815,78),0)</f>
        <v/>
      </c>
      <c r="CD1815">
        <f>IFERROR(INDEX(PP_Grid[#Data],$DE1815,79),0)</f>
        <v/>
      </c>
      <c r="CE1815">
        <f>IFERROR(INDEX(PP_Grid[#Data],$DE1815,80),0)</f>
        <v/>
      </c>
      <c r="CF1815">
        <f>IFERROR(INDEX(PP_Grid[#Data],$DE1815,81),0)</f>
        <v/>
      </c>
      <c r="CG1815">
        <f>IFERROR(INDEX(PP_Grid[#Data],$DE1815,82),0)</f>
        <v/>
      </c>
      <c r="CH1815">
        <f>IFERROR(INDEX(PP_Grid[#Data],$DE1815,83),0)</f>
        <v/>
      </c>
      <c r="CI1815">
        <f>IFERROR(INDEX(PP_Grid[#Data],$DE1815,84),0)</f>
        <v/>
      </c>
      <c r="CJ1815">
        <f>IFERROR(INDEX(PP_Grid[#Data],$DE1815,85),0)</f>
        <v/>
      </c>
      <c r="CK1815">
        <f>IFERROR(INDEX(PP_Grid[#Data],$DE1815,86),0)</f>
        <v/>
      </c>
      <c r="CL1815">
        <f>IFERROR(INDEX(PP_Grid[#Data],$DE1815,87),0)</f>
        <v/>
      </c>
      <c r="CM1815">
        <f>IFERROR(INDEX(PP_Grid[#Data],$DE1815,88),0)</f>
        <v/>
      </c>
      <c r="CN1815">
        <f>IFERROR(INDEX(PP_Grid[#Data],$DE1815,89),0)</f>
        <v/>
      </c>
      <c r="CO1815">
        <f>IFERROR(INDEX(PP_Grid[#Data],$DE1815,90),0)</f>
        <v/>
      </c>
      <c r="CP1815">
        <f>IFERROR(INDEX(PP_Grid[#Data],$DE1815,91),0)</f>
        <v/>
      </c>
      <c r="CQ1815">
        <f>IFERROR(INDEX(PP_Grid[#Data],$DE1815,92),0)</f>
        <v/>
      </c>
      <c r="CR1815">
        <f>IFERROR(INDEX(PP_Grid[#Data],$DE1815,93),0)</f>
        <v/>
      </c>
      <c r="CS1815">
        <f>IFERROR(INDEX(PP_Grid[#Data],$DE1815,94),0)</f>
        <v/>
      </c>
      <c r="CT1815">
        <f>IFERROR(INDEX(PP_Grid[#Data],$DE1815,95),0)</f>
        <v/>
      </c>
      <c r="CU1815">
        <f>IFERROR(INDEX(PP_Grid[#Data],$DE1815,96),0)</f>
        <v/>
      </c>
      <c r="CV1815">
        <f>IFERROR(INDEX(PP_Grid[#Data],$DE1815,97),0)</f>
        <v/>
      </c>
      <c r="CW1815">
        <f>IFERROR(INDEX(PP_Grid[#Data],$DE1815,98),0)</f>
        <v/>
      </c>
      <c r="CX1815">
        <f>IFERROR(INDEX(PP_Grid[#Data],$DE1815,99),0)</f>
        <v/>
      </c>
      <c r="CY1815">
        <f>IFERROR(INDEX(PP_Grid[#Data],$DE1815,100),0)</f>
        <v/>
      </c>
      <c r="CZ1815">
        <f>IFERROR(INDEX(PP_Grid[#Data],$DE1815,101),0)</f>
        <v/>
      </c>
      <c r="DA1815">
        <f>IFERROR(INDEX(PP_Grid[#Data],$DE1815,102),0)</f>
        <v/>
      </c>
      <c r="DB1815">
        <f>IFERROR(INDEX(PP_Grid[#Data],$DE1815,103),0)</f>
        <v/>
      </c>
      <c r="DC1815">
        <f>IFERROR(INDEX(PP_Grid[#Data],$DE1815,104),0)</f>
        <v/>
      </c>
      <c r="DD1815">
        <f>IFERROR(INDEX(PP_Grid[#Data],$DE1815,105),0)</f>
        <v/>
      </c>
      <c r="DE1815" s="7">
        <f>IFERROR(MATCH($B1815,PP_Grid[Intermediate],0),99999)</f>
        <v/>
      </c>
    </row>
    <row r="1816">
      <c r="B1816" t="inlineStr">
        <is>
          <t>使用量(kg)</t>
        </is>
      </c>
      <c r="C1816">
        <f>SUMIFS(M_BOM[RM_Qty_Per_Batch],M_BOM[Intermediate],$B1815,M_BOM[RM_Code],$A1814)</f>
        <v/>
      </c>
      <c r="D1816">
        <f>IFERROR(INDEX(E1816:DD1816,$F$1),"")</f>
        <v/>
      </c>
      <c r="E1816">
        <f>$C1816*E1815</f>
        <v/>
      </c>
      <c r="F1816">
        <f>$C1816*F1815</f>
        <v/>
      </c>
      <c r="G1816">
        <f>$C1816*G1815</f>
        <v/>
      </c>
      <c r="H1816">
        <f>$C1816*H1815</f>
        <v/>
      </c>
      <c r="I1816">
        <f>$C1816*I1815</f>
        <v/>
      </c>
      <c r="J1816">
        <f>$C1816*J1815</f>
        <v/>
      </c>
      <c r="K1816">
        <f>$C1816*K1815</f>
        <v/>
      </c>
      <c r="L1816">
        <f>$C1816*L1815</f>
        <v/>
      </c>
      <c r="M1816">
        <f>$C1816*M1815</f>
        <v/>
      </c>
      <c r="N1816">
        <f>$C1816*N1815</f>
        <v/>
      </c>
      <c r="O1816">
        <f>$C1816*O1815</f>
        <v/>
      </c>
      <c r="P1816">
        <f>$C1816*P1815</f>
        <v/>
      </c>
      <c r="Q1816">
        <f>$C1816*Q1815</f>
        <v/>
      </c>
      <c r="R1816">
        <f>$C1816*R1815</f>
        <v/>
      </c>
      <c r="S1816">
        <f>$C1816*S1815</f>
        <v/>
      </c>
      <c r="T1816">
        <f>$C1816*T1815</f>
        <v/>
      </c>
      <c r="U1816">
        <f>$C1816*U1815</f>
        <v/>
      </c>
      <c r="V1816">
        <f>$C1816*V1815</f>
        <v/>
      </c>
      <c r="W1816">
        <f>$C1816*W1815</f>
        <v/>
      </c>
      <c r="X1816">
        <f>$C1816*X1815</f>
        <v/>
      </c>
      <c r="Y1816">
        <f>$C1816*Y1815</f>
        <v/>
      </c>
      <c r="Z1816">
        <f>$C1816*Z1815</f>
        <v/>
      </c>
      <c r="AA1816">
        <f>$C1816*AA1815</f>
        <v/>
      </c>
      <c r="AB1816">
        <f>$C1816*AB1815</f>
        <v/>
      </c>
      <c r="AC1816">
        <f>$C1816*AC1815</f>
        <v/>
      </c>
      <c r="AD1816">
        <f>$C1816*AD1815</f>
        <v/>
      </c>
      <c r="AE1816">
        <f>$C1816*AE1815</f>
        <v/>
      </c>
      <c r="AF1816">
        <f>$C1816*AF1815</f>
        <v/>
      </c>
      <c r="AG1816">
        <f>$C1816*AG1815</f>
        <v/>
      </c>
      <c r="AH1816">
        <f>$C1816*AH1815</f>
        <v/>
      </c>
      <c r="AI1816">
        <f>$C1816*AI1815</f>
        <v/>
      </c>
      <c r="AJ1816">
        <f>$C1816*AJ1815</f>
        <v/>
      </c>
      <c r="AK1816">
        <f>$C1816*AK1815</f>
        <v/>
      </c>
      <c r="AL1816">
        <f>$C1816*AL1815</f>
        <v/>
      </c>
      <c r="AM1816">
        <f>$C1816*AM1815</f>
        <v/>
      </c>
      <c r="AN1816">
        <f>$C1816*AN1815</f>
        <v/>
      </c>
      <c r="AO1816">
        <f>$C1816*AO1815</f>
        <v/>
      </c>
      <c r="AP1816">
        <f>$C1816*AP1815</f>
        <v/>
      </c>
      <c r="AQ1816">
        <f>$C1816*AQ1815</f>
        <v/>
      </c>
      <c r="AR1816">
        <f>$C1816*AR1815</f>
        <v/>
      </c>
      <c r="AS1816">
        <f>$C1816*AS1815</f>
        <v/>
      </c>
      <c r="AT1816">
        <f>$C1816*AT1815</f>
        <v/>
      </c>
      <c r="AU1816">
        <f>$C1816*AU1815</f>
        <v/>
      </c>
      <c r="AV1816">
        <f>$C1816*AV1815</f>
        <v/>
      </c>
      <c r="AW1816">
        <f>$C1816*AW1815</f>
        <v/>
      </c>
      <c r="AX1816">
        <f>$C1816*AX1815</f>
        <v/>
      </c>
      <c r="AY1816">
        <f>$C1816*AY1815</f>
        <v/>
      </c>
      <c r="AZ1816">
        <f>$C1816*AZ1815</f>
        <v/>
      </c>
      <c r="BA1816">
        <f>$C1816*BA1815</f>
        <v/>
      </c>
      <c r="BB1816">
        <f>$C1816*BB1815</f>
        <v/>
      </c>
      <c r="BC1816">
        <f>$C1816*BC1815</f>
        <v/>
      </c>
      <c r="BD1816">
        <f>$C1816*BD1815</f>
        <v/>
      </c>
      <c r="BE1816">
        <f>$C1816*BE1815</f>
        <v/>
      </c>
      <c r="BF1816">
        <f>$C1816*BF1815</f>
        <v/>
      </c>
      <c r="BG1816">
        <f>$C1816*BG1815</f>
        <v/>
      </c>
      <c r="BH1816">
        <f>$C1816*BH1815</f>
        <v/>
      </c>
      <c r="BI1816">
        <f>$C1816*BI1815</f>
        <v/>
      </c>
      <c r="BJ1816">
        <f>$C1816*BJ1815</f>
        <v/>
      </c>
      <c r="BK1816">
        <f>$C1816*BK1815</f>
        <v/>
      </c>
      <c r="BL1816">
        <f>$C1816*BL1815</f>
        <v/>
      </c>
      <c r="BM1816">
        <f>$C1816*BM1815</f>
        <v/>
      </c>
      <c r="BN1816">
        <f>$C1816*BN1815</f>
        <v/>
      </c>
      <c r="BO1816">
        <f>$C1816*BO1815</f>
        <v/>
      </c>
      <c r="BP1816">
        <f>$C1816*BP1815</f>
        <v/>
      </c>
      <c r="BQ1816">
        <f>$C1816*BQ1815</f>
        <v/>
      </c>
      <c r="BR1816">
        <f>$C1816*BR1815</f>
        <v/>
      </c>
      <c r="BS1816">
        <f>$C1816*BS1815</f>
        <v/>
      </c>
      <c r="BT1816">
        <f>$C1816*BT1815</f>
        <v/>
      </c>
      <c r="BU1816">
        <f>$C1816*BU1815</f>
        <v/>
      </c>
      <c r="BV1816">
        <f>$C1816*BV1815</f>
        <v/>
      </c>
      <c r="BW1816">
        <f>$C1816*BW1815</f>
        <v/>
      </c>
      <c r="BX1816">
        <f>$C1816*BX1815</f>
        <v/>
      </c>
      <c r="BY1816">
        <f>$C1816*BY1815</f>
        <v/>
      </c>
      <c r="BZ1816">
        <f>$C1816*BZ1815</f>
        <v/>
      </c>
      <c r="CA1816">
        <f>$C1816*CA1815</f>
        <v/>
      </c>
      <c r="CB1816">
        <f>$C1816*CB1815</f>
        <v/>
      </c>
      <c r="CC1816">
        <f>$C1816*CC1815</f>
        <v/>
      </c>
      <c r="CD1816">
        <f>$C1816*CD1815</f>
        <v/>
      </c>
      <c r="CE1816">
        <f>$C1816*CE1815</f>
        <v/>
      </c>
      <c r="CF1816">
        <f>$C1816*CF1815</f>
        <v/>
      </c>
      <c r="CG1816">
        <f>$C1816*CG1815</f>
        <v/>
      </c>
      <c r="CH1816">
        <f>$C1816*CH1815</f>
        <v/>
      </c>
      <c r="CI1816">
        <f>$C1816*CI1815</f>
        <v/>
      </c>
      <c r="CJ1816">
        <f>$C1816*CJ1815</f>
        <v/>
      </c>
      <c r="CK1816">
        <f>$C1816*CK1815</f>
        <v/>
      </c>
      <c r="CL1816">
        <f>$C1816*CL1815</f>
        <v/>
      </c>
      <c r="CM1816">
        <f>$C1816*CM1815</f>
        <v/>
      </c>
      <c r="CN1816">
        <f>$C1816*CN1815</f>
        <v/>
      </c>
      <c r="CO1816">
        <f>$C1816*CO1815</f>
        <v/>
      </c>
      <c r="CP1816">
        <f>$C1816*CP1815</f>
        <v/>
      </c>
      <c r="CQ1816">
        <f>$C1816*CQ1815</f>
        <v/>
      </c>
      <c r="CR1816">
        <f>$C1816*CR1815</f>
        <v/>
      </c>
      <c r="CS1816">
        <f>$C1816*CS1815</f>
        <v/>
      </c>
      <c r="CT1816">
        <f>$C1816*CT1815</f>
        <v/>
      </c>
      <c r="CU1816">
        <f>$C1816*CU1815</f>
        <v/>
      </c>
      <c r="CV1816">
        <f>$C1816*CV1815</f>
        <v/>
      </c>
      <c r="CW1816">
        <f>$C1816*CW1815</f>
        <v/>
      </c>
      <c r="CX1816">
        <f>$C1816*CX1815</f>
        <v/>
      </c>
      <c r="CY1816">
        <f>$C1816*CY1815</f>
        <v/>
      </c>
      <c r="CZ1816">
        <f>$C1816*CZ1815</f>
        <v/>
      </c>
      <c r="DA1816">
        <f>$C1816*DA1815</f>
        <v/>
      </c>
      <c r="DB1816">
        <f>$C1816*DB1815</f>
        <v/>
      </c>
      <c r="DC1816">
        <f>$C1816*DC1815</f>
        <v/>
      </c>
      <c r="DD1816">
        <f>$C1816*DD1815</f>
        <v/>
      </c>
    </row>
    <row r="1817">
      <c r="B1817" t="inlineStr">
        <is>
          <t>TSP-1559</t>
        </is>
      </c>
      <c r="C1817" t="inlineStr">
        <is>
          <t>No. of batches</t>
        </is>
      </c>
      <c r="D1817">
        <f>IFERROR(INDEX(E1817:DD1817,$F$1),"")</f>
        <v/>
      </c>
      <c r="E1817">
        <f>IFERROR(INDEX(PP_Grid[#Data],$DE1817,2),0)</f>
        <v/>
      </c>
      <c r="F1817">
        <f>IFERROR(INDEX(PP_Grid[#Data],$DE1817,3),0)</f>
        <v/>
      </c>
      <c r="G1817">
        <f>IFERROR(INDEX(PP_Grid[#Data],$DE1817,4),0)</f>
        <v/>
      </c>
      <c r="H1817">
        <f>IFERROR(INDEX(PP_Grid[#Data],$DE1817,5),0)</f>
        <v/>
      </c>
      <c r="I1817">
        <f>IFERROR(INDEX(PP_Grid[#Data],$DE1817,6),0)</f>
        <v/>
      </c>
      <c r="J1817">
        <f>IFERROR(INDEX(PP_Grid[#Data],$DE1817,7),0)</f>
        <v/>
      </c>
      <c r="K1817">
        <f>IFERROR(INDEX(PP_Grid[#Data],$DE1817,8),0)</f>
        <v/>
      </c>
      <c r="L1817">
        <f>IFERROR(INDEX(PP_Grid[#Data],$DE1817,9),0)</f>
        <v/>
      </c>
      <c r="M1817">
        <f>IFERROR(INDEX(PP_Grid[#Data],$DE1817,10),0)</f>
        <v/>
      </c>
      <c r="N1817">
        <f>IFERROR(INDEX(PP_Grid[#Data],$DE1817,11),0)</f>
        <v/>
      </c>
      <c r="O1817">
        <f>IFERROR(INDEX(PP_Grid[#Data],$DE1817,12),0)</f>
        <v/>
      </c>
      <c r="P1817">
        <f>IFERROR(INDEX(PP_Grid[#Data],$DE1817,13),0)</f>
        <v/>
      </c>
      <c r="Q1817">
        <f>IFERROR(INDEX(PP_Grid[#Data],$DE1817,14),0)</f>
        <v/>
      </c>
      <c r="R1817">
        <f>IFERROR(INDEX(PP_Grid[#Data],$DE1817,15),0)</f>
        <v/>
      </c>
      <c r="S1817">
        <f>IFERROR(INDEX(PP_Grid[#Data],$DE1817,16),0)</f>
        <v/>
      </c>
      <c r="T1817">
        <f>IFERROR(INDEX(PP_Grid[#Data],$DE1817,17),0)</f>
        <v/>
      </c>
      <c r="U1817">
        <f>IFERROR(INDEX(PP_Grid[#Data],$DE1817,18),0)</f>
        <v/>
      </c>
      <c r="V1817">
        <f>IFERROR(INDEX(PP_Grid[#Data],$DE1817,19),0)</f>
        <v/>
      </c>
      <c r="W1817">
        <f>IFERROR(INDEX(PP_Grid[#Data],$DE1817,20),0)</f>
        <v/>
      </c>
      <c r="X1817">
        <f>IFERROR(INDEX(PP_Grid[#Data],$DE1817,21),0)</f>
        <v/>
      </c>
      <c r="Y1817">
        <f>IFERROR(INDEX(PP_Grid[#Data],$DE1817,22),0)</f>
        <v/>
      </c>
      <c r="Z1817">
        <f>IFERROR(INDEX(PP_Grid[#Data],$DE1817,23),0)</f>
        <v/>
      </c>
      <c r="AA1817">
        <f>IFERROR(INDEX(PP_Grid[#Data],$DE1817,24),0)</f>
        <v/>
      </c>
      <c r="AB1817">
        <f>IFERROR(INDEX(PP_Grid[#Data],$DE1817,25),0)</f>
        <v/>
      </c>
      <c r="AC1817">
        <f>IFERROR(INDEX(PP_Grid[#Data],$DE1817,26),0)</f>
        <v/>
      </c>
      <c r="AD1817">
        <f>IFERROR(INDEX(PP_Grid[#Data],$DE1817,27),0)</f>
        <v/>
      </c>
      <c r="AE1817">
        <f>IFERROR(INDEX(PP_Grid[#Data],$DE1817,28),0)</f>
        <v/>
      </c>
      <c r="AF1817">
        <f>IFERROR(INDEX(PP_Grid[#Data],$DE1817,29),0)</f>
        <v/>
      </c>
      <c r="AG1817">
        <f>IFERROR(INDEX(PP_Grid[#Data],$DE1817,30),0)</f>
        <v/>
      </c>
      <c r="AH1817">
        <f>IFERROR(INDEX(PP_Grid[#Data],$DE1817,31),0)</f>
        <v/>
      </c>
      <c r="AI1817">
        <f>IFERROR(INDEX(PP_Grid[#Data],$DE1817,32),0)</f>
        <v/>
      </c>
      <c r="AJ1817">
        <f>IFERROR(INDEX(PP_Grid[#Data],$DE1817,33),0)</f>
        <v/>
      </c>
      <c r="AK1817">
        <f>IFERROR(INDEX(PP_Grid[#Data],$DE1817,34),0)</f>
        <v/>
      </c>
      <c r="AL1817">
        <f>IFERROR(INDEX(PP_Grid[#Data],$DE1817,35),0)</f>
        <v/>
      </c>
      <c r="AM1817">
        <f>IFERROR(INDEX(PP_Grid[#Data],$DE1817,36),0)</f>
        <v/>
      </c>
      <c r="AN1817">
        <f>IFERROR(INDEX(PP_Grid[#Data],$DE1817,37),0)</f>
        <v/>
      </c>
      <c r="AO1817">
        <f>IFERROR(INDEX(PP_Grid[#Data],$DE1817,38),0)</f>
        <v/>
      </c>
      <c r="AP1817">
        <f>IFERROR(INDEX(PP_Grid[#Data],$DE1817,39),0)</f>
        <v/>
      </c>
      <c r="AQ1817">
        <f>IFERROR(INDEX(PP_Grid[#Data],$DE1817,40),0)</f>
        <v/>
      </c>
      <c r="AR1817">
        <f>IFERROR(INDEX(PP_Grid[#Data],$DE1817,41),0)</f>
        <v/>
      </c>
      <c r="AS1817">
        <f>IFERROR(INDEX(PP_Grid[#Data],$DE1817,42),0)</f>
        <v/>
      </c>
      <c r="AT1817">
        <f>IFERROR(INDEX(PP_Grid[#Data],$DE1817,43),0)</f>
        <v/>
      </c>
      <c r="AU1817">
        <f>IFERROR(INDEX(PP_Grid[#Data],$DE1817,44),0)</f>
        <v/>
      </c>
      <c r="AV1817">
        <f>IFERROR(INDEX(PP_Grid[#Data],$DE1817,45),0)</f>
        <v/>
      </c>
      <c r="AW1817">
        <f>IFERROR(INDEX(PP_Grid[#Data],$DE1817,46),0)</f>
        <v/>
      </c>
      <c r="AX1817">
        <f>IFERROR(INDEX(PP_Grid[#Data],$DE1817,47),0)</f>
        <v/>
      </c>
      <c r="AY1817">
        <f>IFERROR(INDEX(PP_Grid[#Data],$DE1817,48),0)</f>
        <v/>
      </c>
      <c r="AZ1817">
        <f>IFERROR(INDEX(PP_Grid[#Data],$DE1817,49),0)</f>
        <v/>
      </c>
      <c r="BA1817">
        <f>IFERROR(INDEX(PP_Grid[#Data],$DE1817,50),0)</f>
        <v/>
      </c>
      <c r="BB1817">
        <f>IFERROR(INDEX(PP_Grid[#Data],$DE1817,51),0)</f>
        <v/>
      </c>
      <c r="BC1817">
        <f>IFERROR(INDEX(PP_Grid[#Data],$DE1817,52),0)</f>
        <v/>
      </c>
      <c r="BD1817">
        <f>IFERROR(INDEX(PP_Grid[#Data],$DE1817,53),0)</f>
        <v/>
      </c>
      <c r="BE1817">
        <f>IFERROR(INDEX(PP_Grid[#Data],$DE1817,54),0)</f>
        <v/>
      </c>
      <c r="BF1817">
        <f>IFERROR(INDEX(PP_Grid[#Data],$DE1817,55),0)</f>
        <v/>
      </c>
      <c r="BG1817">
        <f>IFERROR(INDEX(PP_Grid[#Data],$DE1817,56),0)</f>
        <v/>
      </c>
      <c r="BH1817">
        <f>IFERROR(INDEX(PP_Grid[#Data],$DE1817,57),0)</f>
        <v/>
      </c>
      <c r="BI1817">
        <f>IFERROR(INDEX(PP_Grid[#Data],$DE1817,58),0)</f>
        <v/>
      </c>
      <c r="BJ1817">
        <f>IFERROR(INDEX(PP_Grid[#Data],$DE1817,59),0)</f>
        <v/>
      </c>
      <c r="BK1817">
        <f>IFERROR(INDEX(PP_Grid[#Data],$DE1817,60),0)</f>
        <v/>
      </c>
      <c r="BL1817">
        <f>IFERROR(INDEX(PP_Grid[#Data],$DE1817,61),0)</f>
        <v/>
      </c>
      <c r="BM1817">
        <f>IFERROR(INDEX(PP_Grid[#Data],$DE1817,62),0)</f>
        <v/>
      </c>
      <c r="BN1817">
        <f>IFERROR(INDEX(PP_Grid[#Data],$DE1817,63),0)</f>
        <v/>
      </c>
      <c r="BO1817">
        <f>IFERROR(INDEX(PP_Grid[#Data],$DE1817,64),0)</f>
        <v/>
      </c>
      <c r="BP1817">
        <f>IFERROR(INDEX(PP_Grid[#Data],$DE1817,65),0)</f>
        <v/>
      </c>
      <c r="BQ1817">
        <f>IFERROR(INDEX(PP_Grid[#Data],$DE1817,66),0)</f>
        <v/>
      </c>
      <c r="BR1817">
        <f>IFERROR(INDEX(PP_Grid[#Data],$DE1817,67),0)</f>
        <v/>
      </c>
      <c r="BS1817">
        <f>IFERROR(INDEX(PP_Grid[#Data],$DE1817,68),0)</f>
        <v/>
      </c>
      <c r="BT1817">
        <f>IFERROR(INDEX(PP_Grid[#Data],$DE1817,69),0)</f>
        <v/>
      </c>
      <c r="BU1817">
        <f>IFERROR(INDEX(PP_Grid[#Data],$DE1817,70),0)</f>
        <v/>
      </c>
      <c r="BV1817">
        <f>IFERROR(INDEX(PP_Grid[#Data],$DE1817,71),0)</f>
        <v/>
      </c>
      <c r="BW1817">
        <f>IFERROR(INDEX(PP_Grid[#Data],$DE1817,72),0)</f>
        <v/>
      </c>
      <c r="BX1817">
        <f>IFERROR(INDEX(PP_Grid[#Data],$DE1817,73),0)</f>
        <v/>
      </c>
      <c r="BY1817">
        <f>IFERROR(INDEX(PP_Grid[#Data],$DE1817,74),0)</f>
        <v/>
      </c>
      <c r="BZ1817">
        <f>IFERROR(INDEX(PP_Grid[#Data],$DE1817,75),0)</f>
        <v/>
      </c>
      <c r="CA1817">
        <f>IFERROR(INDEX(PP_Grid[#Data],$DE1817,76),0)</f>
        <v/>
      </c>
      <c r="CB1817">
        <f>IFERROR(INDEX(PP_Grid[#Data],$DE1817,77),0)</f>
        <v/>
      </c>
      <c r="CC1817">
        <f>IFERROR(INDEX(PP_Grid[#Data],$DE1817,78),0)</f>
        <v/>
      </c>
      <c r="CD1817">
        <f>IFERROR(INDEX(PP_Grid[#Data],$DE1817,79),0)</f>
        <v/>
      </c>
      <c r="CE1817">
        <f>IFERROR(INDEX(PP_Grid[#Data],$DE1817,80),0)</f>
        <v/>
      </c>
      <c r="CF1817">
        <f>IFERROR(INDEX(PP_Grid[#Data],$DE1817,81),0)</f>
        <v/>
      </c>
      <c r="CG1817">
        <f>IFERROR(INDEX(PP_Grid[#Data],$DE1817,82),0)</f>
        <v/>
      </c>
      <c r="CH1817">
        <f>IFERROR(INDEX(PP_Grid[#Data],$DE1817,83),0)</f>
        <v/>
      </c>
      <c r="CI1817">
        <f>IFERROR(INDEX(PP_Grid[#Data],$DE1817,84),0)</f>
        <v/>
      </c>
      <c r="CJ1817">
        <f>IFERROR(INDEX(PP_Grid[#Data],$DE1817,85),0)</f>
        <v/>
      </c>
      <c r="CK1817">
        <f>IFERROR(INDEX(PP_Grid[#Data],$DE1817,86),0)</f>
        <v/>
      </c>
      <c r="CL1817">
        <f>IFERROR(INDEX(PP_Grid[#Data],$DE1817,87),0)</f>
        <v/>
      </c>
      <c r="CM1817">
        <f>IFERROR(INDEX(PP_Grid[#Data],$DE1817,88),0)</f>
        <v/>
      </c>
      <c r="CN1817">
        <f>IFERROR(INDEX(PP_Grid[#Data],$DE1817,89),0)</f>
        <v/>
      </c>
      <c r="CO1817">
        <f>IFERROR(INDEX(PP_Grid[#Data],$DE1817,90),0)</f>
        <v/>
      </c>
      <c r="CP1817">
        <f>IFERROR(INDEX(PP_Grid[#Data],$DE1817,91),0)</f>
        <v/>
      </c>
      <c r="CQ1817">
        <f>IFERROR(INDEX(PP_Grid[#Data],$DE1817,92),0)</f>
        <v/>
      </c>
      <c r="CR1817">
        <f>IFERROR(INDEX(PP_Grid[#Data],$DE1817,93),0)</f>
        <v/>
      </c>
      <c r="CS1817">
        <f>IFERROR(INDEX(PP_Grid[#Data],$DE1817,94),0)</f>
        <v/>
      </c>
      <c r="CT1817">
        <f>IFERROR(INDEX(PP_Grid[#Data],$DE1817,95),0)</f>
        <v/>
      </c>
      <c r="CU1817">
        <f>IFERROR(INDEX(PP_Grid[#Data],$DE1817,96),0)</f>
        <v/>
      </c>
      <c r="CV1817">
        <f>IFERROR(INDEX(PP_Grid[#Data],$DE1817,97),0)</f>
        <v/>
      </c>
      <c r="CW1817">
        <f>IFERROR(INDEX(PP_Grid[#Data],$DE1817,98),0)</f>
        <v/>
      </c>
      <c r="CX1817">
        <f>IFERROR(INDEX(PP_Grid[#Data],$DE1817,99),0)</f>
        <v/>
      </c>
      <c r="CY1817">
        <f>IFERROR(INDEX(PP_Grid[#Data],$DE1817,100),0)</f>
        <v/>
      </c>
      <c r="CZ1817">
        <f>IFERROR(INDEX(PP_Grid[#Data],$DE1817,101),0)</f>
        <v/>
      </c>
      <c r="DA1817">
        <f>IFERROR(INDEX(PP_Grid[#Data],$DE1817,102),0)</f>
        <v/>
      </c>
      <c r="DB1817">
        <f>IFERROR(INDEX(PP_Grid[#Data],$DE1817,103),0)</f>
        <v/>
      </c>
      <c r="DC1817">
        <f>IFERROR(INDEX(PP_Grid[#Data],$DE1817,104),0)</f>
        <v/>
      </c>
      <c r="DD1817">
        <f>IFERROR(INDEX(PP_Grid[#Data],$DE1817,105),0)</f>
        <v/>
      </c>
      <c r="DE1817" s="7">
        <f>IFERROR(MATCH($B1817,PP_Grid[Intermediate],0),99999)</f>
        <v/>
      </c>
    </row>
    <row r="1818">
      <c r="B1818" t="inlineStr">
        <is>
          <t>使用量(kg)</t>
        </is>
      </c>
      <c r="C1818">
        <f>SUMIFS(M_BOM[RM_Qty_Per_Batch],M_BOM[Intermediate],$B1817,M_BOM[RM_Code],$A1814)</f>
        <v/>
      </c>
      <c r="D1818">
        <f>IFERROR(INDEX(E1818:DD1818,$F$1),"")</f>
        <v/>
      </c>
      <c r="E1818">
        <f>$C1818*E1817</f>
        <v/>
      </c>
      <c r="F1818">
        <f>$C1818*F1817</f>
        <v/>
      </c>
      <c r="G1818">
        <f>$C1818*G1817</f>
        <v/>
      </c>
      <c r="H1818">
        <f>$C1818*H1817</f>
        <v/>
      </c>
      <c r="I1818">
        <f>$C1818*I1817</f>
        <v/>
      </c>
      <c r="J1818">
        <f>$C1818*J1817</f>
        <v/>
      </c>
      <c r="K1818">
        <f>$C1818*K1817</f>
        <v/>
      </c>
      <c r="L1818">
        <f>$C1818*L1817</f>
        <v/>
      </c>
      <c r="M1818">
        <f>$C1818*M1817</f>
        <v/>
      </c>
      <c r="N1818">
        <f>$C1818*N1817</f>
        <v/>
      </c>
      <c r="O1818">
        <f>$C1818*O1817</f>
        <v/>
      </c>
      <c r="P1818">
        <f>$C1818*P1817</f>
        <v/>
      </c>
      <c r="Q1818">
        <f>$C1818*Q1817</f>
        <v/>
      </c>
      <c r="R1818">
        <f>$C1818*R1817</f>
        <v/>
      </c>
      <c r="S1818">
        <f>$C1818*S1817</f>
        <v/>
      </c>
      <c r="T1818">
        <f>$C1818*T1817</f>
        <v/>
      </c>
      <c r="U1818">
        <f>$C1818*U1817</f>
        <v/>
      </c>
      <c r="V1818">
        <f>$C1818*V1817</f>
        <v/>
      </c>
      <c r="W1818">
        <f>$C1818*W1817</f>
        <v/>
      </c>
      <c r="X1818">
        <f>$C1818*X1817</f>
        <v/>
      </c>
      <c r="Y1818">
        <f>$C1818*Y1817</f>
        <v/>
      </c>
      <c r="Z1818">
        <f>$C1818*Z1817</f>
        <v/>
      </c>
      <c r="AA1818">
        <f>$C1818*AA1817</f>
        <v/>
      </c>
      <c r="AB1818">
        <f>$C1818*AB1817</f>
        <v/>
      </c>
      <c r="AC1818">
        <f>$C1818*AC1817</f>
        <v/>
      </c>
      <c r="AD1818">
        <f>$C1818*AD1817</f>
        <v/>
      </c>
      <c r="AE1818">
        <f>$C1818*AE1817</f>
        <v/>
      </c>
      <c r="AF1818">
        <f>$C1818*AF1817</f>
        <v/>
      </c>
      <c r="AG1818">
        <f>$C1818*AG1817</f>
        <v/>
      </c>
      <c r="AH1818">
        <f>$C1818*AH1817</f>
        <v/>
      </c>
      <c r="AI1818">
        <f>$C1818*AI1817</f>
        <v/>
      </c>
      <c r="AJ1818">
        <f>$C1818*AJ1817</f>
        <v/>
      </c>
      <c r="AK1818">
        <f>$C1818*AK1817</f>
        <v/>
      </c>
      <c r="AL1818">
        <f>$C1818*AL1817</f>
        <v/>
      </c>
      <c r="AM1818">
        <f>$C1818*AM1817</f>
        <v/>
      </c>
      <c r="AN1818">
        <f>$C1818*AN1817</f>
        <v/>
      </c>
      <c r="AO1818">
        <f>$C1818*AO1817</f>
        <v/>
      </c>
      <c r="AP1818">
        <f>$C1818*AP1817</f>
        <v/>
      </c>
      <c r="AQ1818">
        <f>$C1818*AQ1817</f>
        <v/>
      </c>
      <c r="AR1818">
        <f>$C1818*AR1817</f>
        <v/>
      </c>
      <c r="AS1818">
        <f>$C1818*AS1817</f>
        <v/>
      </c>
      <c r="AT1818">
        <f>$C1818*AT1817</f>
        <v/>
      </c>
      <c r="AU1818">
        <f>$C1818*AU1817</f>
        <v/>
      </c>
      <c r="AV1818">
        <f>$C1818*AV1817</f>
        <v/>
      </c>
      <c r="AW1818">
        <f>$C1818*AW1817</f>
        <v/>
      </c>
      <c r="AX1818">
        <f>$C1818*AX1817</f>
        <v/>
      </c>
      <c r="AY1818">
        <f>$C1818*AY1817</f>
        <v/>
      </c>
      <c r="AZ1818">
        <f>$C1818*AZ1817</f>
        <v/>
      </c>
      <c r="BA1818">
        <f>$C1818*BA1817</f>
        <v/>
      </c>
      <c r="BB1818">
        <f>$C1818*BB1817</f>
        <v/>
      </c>
      <c r="BC1818">
        <f>$C1818*BC1817</f>
        <v/>
      </c>
      <c r="BD1818">
        <f>$C1818*BD1817</f>
        <v/>
      </c>
      <c r="BE1818">
        <f>$C1818*BE1817</f>
        <v/>
      </c>
      <c r="BF1818">
        <f>$C1818*BF1817</f>
        <v/>
      </c>
      <c r="BG1818">
        <f>$C1818*BG1817</f>
        <v/>
      </c>
      <c r="BH1818">
        <f>$C1818*BH1817</f>
        <v/>
      </c>
      <c r="BI1818">
        <f>$C1818*BI1817</f>
        <v/>
      </c>
      <c r="BJ1818">
        <f>$C1818*BJ1817</f>
        <v/>
      </c>
      <c r="BK1818">
        <f>$C1818*BK1817</f>
        <v/>
      </c>
      <c r="BL1818">
        <f>$C1818*BL1817</f>
        <v/>
      </c>
      <c r="BM1818">
        <f>$C1818*BM1817</f>
        <v/>
      </c>
      <c r="BN1818">
        <f>$C1818*BN1817</f>
        <v/>
      </c>
      <c r="BO1818">
        <f>$C1818*BO1817</f>
        <v/>
      </c>
      <c r="BP1818">
        <f>$C1818*BP1817</f>
        <v/>
      </c>
      <c r="BQ1818">
        <f>$C1818*BQ1817</f>
        <v/>
      </c>
      <c r="BR1818">
        <f>$C1818*BR1817</f>
        <v/>
      </c>
      <c r="BS1818">
        <f>$C1818*BS1817</f>
        <v/>
      </c>
      <c r="BT1818">
        <f>$C1818*BT1817</f>
        <v/>
      </c>
      <c r="BU1818">
        <f>$C1818*BU1817</f>
        <v/>
      </c>
      <c r="BV1818">
        <f>$C1818*BV1817</f>
        <v/>
      </c>
      <c r="BW1818">
        <f>$C1818*BW1817</f>
        <v/>
      </c>
      <c r="BX1818">
        <f>$C1818*BX1817</f>
        <v/>
      </c>
      <c r="BY1818">
        <f>$C1818*BY1817</f>
        <v/>
      </c>
      <c r="BZ1818">
        <f>$C1818*BZ1817</f>
        <v/>
      </c>
      <c r="CA1818">
        <f>$C1818*CA1817</f>
        <v/>
      </c>
      <c r="CB1818">
        <f>$C1818*CB1817</f>
        <v/>
      </c>
      <c r="CC1818">
        <f>$C1818*CC1817</f>
        <v/>
      </c>
      <c r="CD1818">
        <f>$C1818*CD1817</f>
        <v/>
      </c>
      <c r="CE1818">
        <f>$C1818*CE1817</f>
        <v/>
      </c>
      <c r="CF1818">
        <f>$C1818*CF1817</f>
        <v/>
      </c>
      <c r="CG1818">
        <f>$C1818*CG1817</f>
        <v/>
      </c>
      <c r="CH1818">
        <f>$C1818*CH1817</f>
        <v/>
      </c>
      <c r="CI1818">
        <f>$C1818*CI1817</f>
        <v/>
      </c>
      <c r="CJ1818">
        <f>$C1818*CJ1817</f>
        <v/>
      </c>
      <c r="CK1818">
        <f>$C1818*CK1817</f>
        <v/>
      </c>
      <c r="CL1818">
        <f>$C1818*CL1817</f>
        <v/>
      </c>
      <c r="CM1818">
        <f>$C1818*CM1817</f>
        <v/>
      </c>
      <c r="CN1818">
        <f>$C1818*CN1817</f>
        <v/>
      </c>
      <c r="CO1818">
        <f>$C1818*CO1817</f>
        <v/>
      </c>
      <c r="CP1818">
        <f>$C1818*CP1817</f>
        <v/>
      </c>
      <c r="CQ1818">
        <f>$C1818*CQ1817</f>
        <v/>
      </c>
      <c r="CR1818">
        <f>$C1818*CR1817</f>
        <v/>
      </c>
      <c r="CS1818">
        <f>$C1818*CS1817</f>
        <v/>
      </c>
      <c r="CT1818">
        <f>$C1818*CT1817</f>
        <v/>
      </c>
      <c r="CU1818">
        <f>$C1818*CU1817</f>
        <v/>
      </c>
      <c r="CV1818">
        <f>$C1818*CV1817</f>
        <v/>
      </c>
      <c r="CW1818">
        <f>$C1818*CW1817</f>
        <v/>
      </c>
      <c r="CX1818">
        <f>$C1818*CX1817</f>
        <v/>
      </c>
      <c r="CY1818">
        <f>$C1818*CY1817</f>
        <v/>
      </c>
      <c r="CZ1818">
        <f>$C1818*CZ1817</f>
        <v/>
      </c>
      <c r="DA1818">
        <f>$C1818*DA1817</f>
        <v/>
      </c>
      <c r="DB1818">
        <f>$C1818*DB1817</f>
        <v/>
      </c>
      <c r="DC1818">
        <f>$C1818*DC1817</f>
        <v/>
      </c>
      <c r="DD1818">
        <f>$C1818*DD1817</f>
        <v/>
      </c>
    </row>
    <row r="1819">
      <c r="B1819" s="4" t="inlineStr">
        <is>
          <t>合計使用量(kg)/週</t>
        </is>
      </c>
      <c r="D1819" s="23">
        <f>IFERROR(INDEX(E1819:DD1819,$F$1),"")</f>
        <v/>
      </c>
      <c r="E1819">
        <f>'Grid_Requirement'!B39</f>
        <v/>
      </c>
      <c r="F1819">
        <f>'Grid_Requirement'!C39</f>
        <v/>
      </c>
      <c r="G1819">
        <f>'Grid_Requirement'!D39</f>
        <v/>
      </c>
      <c r="H1819">
        <f>'Grid_Requirement'!E39</f>
        <v/>
      </c>
      <c r="I1819">
        <f>'Grid_Requirement'!F39</f>
        <v/>
      </c>
      <c r="J1819">
        <f>'Grid_Requirement'!G39</f>
        <v/>
      </c>
      <c r="K1819">
        <f>'Grid_Requirement'!H39</f>
        <v/>
      </c>
      <c r="L1819">
        <f>'Grid_Requirement'!I39</f>
        <v/>
      </c>
      <c r="M1819">
        <f>'Grid_Requirement'!J39</f>
        <v/>
      </c>
      <c r="N1819">
        <f>'Grid_Requirement'!K39</f>
        <v/>
      </c>
      <c r="O1819">
        <f>'Grid_Requirement'!L39</f>
        <v/>
      </c>
      <c r="P1819">
        <f>'Grid_Requirement'!M39</f>
        <v/>
      </c>
      <c r="Q1819">
        <f>'Grid_Requirement'!N39</f>
        <v/>
      </c>
      <c r="R1819">
        <f>'Grid_Requirement'!O39</f>
        <v/>
      </c>
      <c r="S1819">
        <f>'Grid_Requirement'!P39</f>
        <v/>
      </c>
      <c r="T1819">
        <f>'Grid_Requirement'!Q39</f>
        <v/>
      </c>
      <c r="U1819">
        <f>'Grid_Requirement'!R39</f>
        <v/>
      </c>
      <c r="V1819">
        <f>'Grid_Requirement'!S39</f>
        <v/>
      </c>
      <c r="W1819">
        <f>'Grid_Requirement'!T39</f>
        <v/>
      </c>
      <c r="X1819">
        <f>'Grid_Requirement'!U39</f>
        <v/>
      </c>
      <c r="Y1819">
        <f>'Grid_Requirement'!V39</f>
        <v/>
      </c>
      <c r="Z1819">
        <f>'Grid_Requirement'!W39</f>
        <v/>
      </c>
      <c r="AA1819">
        <f>'Grid_Requirement'!X39</f>
        <v/>
      </c>
      <c r="AB1819">
        <f>'Grid_Requirement'!Y39</f>
        <v/>
      </c>
      <c r="AC1819">
        <f>'Grid_Requirement'!Z39</f>
        <v/>
      </c>
      <c r="AD1819">
        <f>'Grid_Requirement'!AA39</f>
        <v/>
      </c>
      <c r="AE1819">
        <f>'Grid_Requirement'!AB39</f>
        <v/>
      </c>
      <c r="AF1819">
        <f>'Grid_Requirement'!AC39</f>
        <v/>
      </c>
      <c r="AG1819">
        <f>'Grid_Requirement'!AD39</f>
        <v/>
      </c>
      <c r="AH1819">
        <f>'Grid_Requirement'!AE39</f>
        <v/>
      </c>
      <c r="AI1819">
        <f>'Grid_Requirement'!AF39</f>
        <v/>
      </c>
      <c r="AJ1819">
        <f>'Grid_Requirement'!AG39</f>
        <v/>
      </c>
      <c r="AK1819">
        <f>'Grid_Requirement'!AH39</f>
        <v/>
      </c>
      <c r="AL1819">
        <f>'Grid_Requirement'!AI39</f>
        <v/>
      </c>
      <c r="AM1819">
        <f>'Grid_Requirement'!AJ39</f>
        <v/>
      </c>
      <c r="AN1819">
        <f>'Grid_Requirement'!AK39</f>
        <v/>
      </c>
      <c r="AO1819">
        <f>'Grid_Requirement'!AL39</f>
        <v/>
      </c>
      <c r="AP1819">
        <f>'Grid_Requirement'!AM39</f>
        <v/>
      </c>
      <c r="AQ1819">
        <f>'Grid_Requirement'!AN39</f>
        <v/>
      </c>
      <c r="AR1819">
        <f>'Grid_Requirement'!AO39</f>
        <v/>
      </c>
      <c r="AS1819">
        <f>'Grid_Requirement'!AP39</f>
        <v/>
      </c>
      <c r="AT1819">
        <f>'Grid_Requirement'!AQ39</f>
        <v/>
      </c>
      <c r="AU1819">
        <f>'Grid_Requirement'!AR39</f>
        <v/>
      </c>
      <c r="AV1819">
        <f>'Grid_Requirement'!AS39</f>
        <v/>
      </c>
      <c r="AW1819">
        <f>'Grid_Requirement'!AT39</f>
        <v/>
      </c>
      <c r="AX1819">
        <f>'Grid_Requirement'!AU39</f>
        <v/>
      </c>
      <c r="AY1819">
        <f>'Grid_Requirement'!AV39</f>
        <v/>
      </c>
      <c r="AZ1819">
        <f>'Grid_Requirement'!AW39</f>
        <v/>
      </c>
      <c r="BA1819">
        <f>'Grid_Requirement'!AX39</f>
        <v/>
      </c>
      <c r="BB1819">
        <f>'Grid_Requirement'!AY39</f>
        <v/>
      </c>
      <c r="BC1819">
        <f>'Grid_Requirement'!AZ39</f>
        <v/>
      </c>
      <c r="BD1819">
        <f>'Grid_Requirement'!BA39</f>
        <v/>
      </c>
      <c r="BE1819">
        <f>'Grid_Requirement'!BB39</f>
        <v/>
      </c>
      <c r="BF1819">
        <f>'Grid_Requirement'!BC39</f>
        <v/>
      </c>
      <c r="BG1819">
        <f>'Grid_Requirement'!BD39</f>
        <v/>
      </c>
      <c r="BH1819">
        <f>'Grid_Requirement'!BE39</f>
        <v/>
      </c>
      <c r="BI1819">
        <f>'Grid_Requirement'!BF39</f>
        <v/>
      </c>
      <c r="BJ1819">
        <f>'Grid_Requirement'!BG39</f>
        <v/>
      </c>
      <c r="BK1819">
        <f>'Grid_Requirement'!BH39</f>
        <v/>
      </c>
      <c r="BL1819">
        <f>'Grid_Requirement'!BI39</f>
        <v/>
      </c>
      <c r="BM1819">
        <f>'Grid_Requirement'!BJ39</f>
        <v/>
      </c>
      <c r="BN1819">
        <f>'Grid_Requirement'!BK39</f>
        <v/>
      </c>
      <c r="BO1819">
        <f>'Grid_Requirement'!BL39</f>
        <v/>
      </c>
      <c r="BP1819">
        <f>'Grid_Requirement'!BM39</f>
        <v/>
      </c>
      <c r="BQ1819">
        <f>'Grid_Requirement'!BN39</f>
        <v/>
      </c>
      <c r="BR1819">
        <f>'Grid_Requirement'!BO39</f>
        <v/>
      </c>
      <c r="BS1819">
        <f>'Grid_Requirement'!BP39</f>
        <v/>
      </c>
      <c r="BT1819">
        <f>'Grid_Requirement'!BQ39</f>
        <v/>
      </c>
      <c r="BU1819">
        <f>'Grid_Requirement'!BR39</f>
        <v/>
      </c>
      <c r="BV1819">
        <f>'Grid_Requirement'!BS39</f>
        <v/>
      </c>
      <c r="BW1819">
        <f>'Grid_Requirement'!BT39</f>
        <v/>
      </c>
      <c r="BX1819">
        <f>'Grid_Requirement'!BU39</f>
        <v/>
      </c>
      <c r="BY1819">
        <f>'Grid_Requirement'!BV39</f>
        <v/>
      </c>
      <c r="BZ1819">
        <f>'Grid_Requirement'!BW39</f>
        <v/>
      </c>
      <c r="CA1819">
        <f>'Grid_Requirement'!BX39</f>
        <v/>
      </c>
      <c r="CB1819">
        <f>'Grid_Requirement'!BY39</f>
        <v/>
      </c>
      <c r="CC1819">
        <f>'Grid_Requirement'!BZ39</f>
        <v/>
      </c>
      <c r="CD1819">
        <f>'Grid_Requirement'!CA39</f>
        <v/>
      </c>
      <c r="CE1819">
        <f>'Grid_Requirement'!CB39</f>
        <v/>
      </c>
      <c r="CF1819">
        <f>'Grid_Requirement'!CC39</f>
        <v/>
      </c>
      <c r="CG1819">
        <f>'Grid_Requirement'!CD39</f>
        <v/>
      </c>
      <c r="CH1819">
        <f>'Grid_Requirement'!CE39</f>
        <v/>
      </c>
      <c r="CI1819">
        <f>'Grid_Requirement'!CF39</f>
        <v/>
      </c>
      <c r="CJ1819">
        <f>'Grid_Requirement'!CG39</f>
        <v/>
      </c>
      <c r="CK1819">
        <f>'Grid_Requirement'!CH39</f>
        <v/>
      </c>
      <c r="CL1819">
        <f>'Grid_Requirement'!CI39</f>
        <v/>
      </c>
      <c r="CM1819">
        <f>'Grid_Requirement'!CJ39</f>
        <v/>
      </c>
      <c r="CN1819">
        <f>'Grid_Requirement'!CK39</f>
        <v/>
      </c>
      <c r="CO1819">
        <f>'Grid_Requirement'!CL39</f>
        <v/>
      </c>
      <c r="CP1819">
        <f>'Grid_Requirement'!CM39</f>
        <v/>
      </c>
      <c r="CQ1819">
        <f>'Grid_Requirement'!CN39</f>
        <v/>
      </c>
      <c r="CR1819">
        <f>'Grid_Requirement'!CO39</f>
        <v/>
      </c>
      <c r="CS1819">
        <f>'Grid_Requirement'!CP39</f>
        <v/>
      </c>
      <c r="CT1819">
        <f>'Grid_Requirement'!CQ39</f>
        <v/>
      </c>
      <c r="CU1819">
        <f>'Grid_Requirement'!CR39</f>
        <v/>
      </c>
      <c r="CV1819">
        <f>'Grid_Requirement'!CS39</f>
        <v/>
      </c>
      <c r="CW1819">
        <f>'Grid_Requirement'!CT39</f>
        <v/>
      </c>
      <c r="CX1819">
        <f>'Grid_Requirement'!CU39</f>
        <v/>
      </c>
      <c r="CY1819">
        <f>'Grid_Requirement'!CV39</f>
        <v/>
      </c>
      <c r="CZ1819">
        <f>'Grid_Requirement'!CW39</f>
        <v/>
      </c>
      <c r="DA1819">
        <f>'Grid_Requirement'!CX39</f>
        <v/>
      </c>
      <c r="DB1819">
        <f>'Grid_Requirement'!CY39</f>
        <v/>
      </c>
      <c r="DC1819">
        <f>'Grid_Requirement'!CZ39</f>
        <v/>
      </c>
      <c r="DD1819">
        <f>'Grid_Requirement'!DA39</f>
        <v/>
      </c>
    </row>
    <row r="1820">
      <c r="B1820" t="inlineStr">
        <is>
          <t>TTAF在庫(実績,kg)</t>
        </is>
      </c>
      <c r="D1820">
        <f>IFERROR(INDEX(E1820:DD1820,$F$1),"")</f>
        <v/>
      </c>
      <c r="E1820">
        <f>IFERROR(SUMIFS(T_TTAFStock[TTAF_Qty],T_TTAFStock[RM_Code],$A1814,T_TTAFStock[WeekIndex],1),"")</f>
        <v/>
      </c>
      <c r="F1820">
        <f>IFERROR(SUMIFS(T_TTAFStock[TTAF_Qty],T_TTAFStock[RM_Code],$A1814,T_TTAFStock[WeekIndex],2),"")</f>
        <v/>
      </c>
      <c r="G1820">
        <f>IFERROR(SUMIFS(T_TTAFStock[TTAF_Qty],T_TTAFStock[RM_Code],$A1814,T_TTAFStock[WeekIndex],3),"")</f>
        <v/>
      </c>
      <c r="H1820">
        <f>IFERROR(SUMIFS(T_TTAFStock[TTAF_Qty],T_TTAFStock[RM_Code],$A1814,T_TTAFStock[WeekIndex],4),"")</f>
        <v/>
      </c>
      <c r="I1820">
        <f>IFERROR(SUMIFS(T_TTAFStock[TTAF_Qty],T_TTAFStock[RM_Code],$A1814,T_TTAFStock[WeekIndex],5),"")</f>
        <v/>
      </c>
      <c r="J1820">
        <f>IFERROR(SUMIFS(T_TTAFStock[TTAF_Qty],T_TTAFStock[RM_Code],$A1814,T_TTAFStock[WeekIndex],6),"")</f>
        <v/>
      </c>
      <c r="K1820">
        <f>IFERROR(SUMIFS(T_TTAFStock[TTAF_Qty],T_TTAFStock[RM_Code],$A1814,T_TTAFStock[WeekIndex],7),"")</f>
        <v/>
      </c>
      <c r="L1820">
        <f>IFERROR(SUMIFS(T_TTAFStock[TTAF_Qty],T_TTAFStock[RM_Code],$A1814,T_TTAFStock[WeekIndex],8),"")</f>
        <v/>
      </c>
      <c r="M1820">
        <f>IFERROR(SUMIFS(T_TTAFStock[TTAF_Qty],T_TTAFStock[RM_Code],$A1814,T_TTAFStock[WeekIndex],9),"")</f>
        <v/>
      </c>
      <c r="N1820">
        <f>IFERROR(SUMIFS(T_TTAFStock[TTAF_Qty],T_TTAFStock[RM_Code],$A1814,T_TTAFStock[WeekIndex],10),"")</f>
        <v/>
      </c>
      <c r="O1820">
        <f>IFERROR(SUMIFS(T_TTAFStock[TTAF_Qty],T_TTAFStock[RM_Code],$A1814,T_TTAFStock[WeekIndex],11),"")</f>
        <v/>
      </c>
      <c r="P1820">
        <f>IFERROR(SUMIFS(T_TTAFStock[TTAF_Qty],T_TTAFStock[RM_Code],$A1814,T_TTAFStock[WeekIndex],12),"")</f>
        <v/>
      </c>
      <c r="Q1820">
        <f>IFERROR(SUMIFS(T_TTAFStock[TTAF_Qty],T_TTAFStock[RM_Code],$A1814,T_TTAFStock[WeekIndex],13),"")</f>
        <v/>
      </c>
      <c r="R1820">
        <f>IFERROR(SUMIFS(T_TTAFStock[TTAF_Qty],T_TTAFStock[RM_Code],$A1814,T_TTAFStock[WeekIndex],14),"")</f>
        <v/>
      </c>
      <c r="S1820">
        <f>IFERROR(SUMIFS(T_TTAFStock[TTAF_Qty],T_TTAFStock[RM_Code],$A1814,T_TTAFStock[WeekIndex],15),"")</f>
        <v/>
      </c>
      <c r="T1820">
        <f>IFERROR(SUMIFS(T_TTAFStock[TTAF_Qty],T_TTAFStock[RM_Code],$A1814,T_TTAFStock[WeekIndex],16),"")</f>
        <v/>
      </c>
      <c r="U1820">
        <f>IFERROR(SUMIFS(T_TTAFStock[TTAF_Qty],T_TTAFStock[RM_Code],$A1814,T_TTAFStock[WeekIndex],17),"")</f>
        <v/>
      </c>
      <c r="V1820">
        <f>IFERROR(SUMIFS(T_TTAFStock[TTAF_Qty],T_TTAFStock[RM_Code],$A1814,T_TTAFStock[WeekIndex],18),"")</f>
        <v/>
      </c>
      <c r="W1820">
        <f>IFERROR(SUMIFS(T_TTAFStock[TTAF_Qty],T_TTAFStock[RM_Code],$A1814,T_TTAFStock[WeekIndex],19),"")</f>
        <v/>
      </c>
      <c r="X1820">
        <f>IFERROR(SUMIFS(T_TTAFStock[TTAF_Qty],T_TTAFStock[RM_Code],$A1814,T_TTAFStock[WeekIndex],20),"")</f>
        <v/>
      </c>
      <c r="Y1820">
        <f>IFERROR(SUMIFS(T_TTAFStock[TTAF_Qty],T_TTAFStock[RM_Code],$A1814,T_TTAFStock[WeekIndex],21),"")</f>
        <v/>
      </c>
      <c r="Z1820">
        <f>IFERROR(SUMIFS(T_TTAFStock[TTAF_Qty],T_TTAFStock[RM_Code],$A1814,T_TTAFStock[WeekIndex],22),"")</f>
        <v/>
      </c>
      <c r="AA1820">
        <f>IFERROR(SUMIFS(T_TTAFStock[TTAF_Qty],T_TTAFStock[RM_Code],$A1814,T_TTAFStock[WeekIndex],23),"")</f>
        <v/>
      </c>
      <c r="AB1820">
        <f>IFERROR(SUMIFS(T_TTAFStock[TTAF_Qty],T_TTAFStock[RM_Code],$A1814,T_TTAFStock[WeekIndex],24),"")</f>
        <v/>
      </c>
      <c r="AC1820">
        <f>IFERROR(SUMIFS(T_TTAFStock[TTAF_Qty],T_TTAFStock[RM_Code],$A1814,T_TTAFStock[WeekIndex],25),"")</f>
        <v/>
      </c>
      <c r="AD1820">
        <f>IFERROR(SUMIFS(T_TTAFStock[TTAF_Qty],T_TTAFStock[RM_Code],$A1814,T_TTAFStock[WeekIndex],26),"")</f>
        <v/>
      </c>
      <c r="AE1820">
        <f>IFERROR(SUMIFS(T_TTAFStock[TTAF_Qty],T_TTAFStock[RM_Code],$A1814,T_TTAFStock[WeekIndex],27),"")</f>
        <v/>
      </c>
      <c r="AF1820">
        <f>IFERROR(SUMIFS(T_TTAFStock[TTAF_Qty],T_TTAFStock[RM_Code],$A1814,T_TTAFStock[WeekIndex],28),"")</f>
        <v/>
      </c>
      <c r="AG1820">
        <f>IFERROR(SUMIFS(T_TTAFStock[TTAF_Qty],T_TTAFStock[RM_Code],$A1814,T_TTAFStock[WeekIndex],29),"")</f>
        <v/>
      </c>
      <c r="AH1820">
        <f>IFERROR(SUMIFS(T_TTAFStock[TTAF_Qty],T_TTAFStock[RM_Code],$A1814,T_TTAFStock[WeekIndex],30),"")</f>
        <v/>
      </c>
      <c r="AI1820">
        <f>IFERROR(SUMIFS(T_TTAFStock[TTAF_Qty],T_TTAFStock[RM_Code],$A1814,T_TTAFStock[WeekIndex],31),"")</f>
        <v/>
      </c>
      <c r="AJ1820">
        <f>IFERROR(SUMIFS(T_TTAFStock[TTAF_Qty],T_TTAFStock[RM_Code],$A1814,T_TTAFStock[WeekIndex],32),"")</f>
        <v/>
      </c>
      <c r="AK1820">
        <f>IFERROR(SUMIFS(T_TTAFStock[TTAF_Qty],T_TTAFStock[RM_Code],$A1814,T_TTAFStock[WeekIndex],33),"")</f>
        <v/>
      </c>
      <c r="AL1820">
        <f>IFERROR(SUMIFS(T_TTAFStock[TTAF_Qty],T_TTAFStock[RM_Code],$A1814,T_TTAFStock[WeekIndex],34),"")</f>
        <v/>
      </c>
      <c r="AM1820">
        <f>IFERROR(SUMIFS(T_TTAFStock[TTAF_Qty],T_TTAFStock[RM_Code],$A1814,T_TTAFStock[WeekIndex],35),"")</f>
        <v/>
      </c>
      <c r="AN1820">
        <f>IFERROR(SUMIFS(T_TTAFStock[TTAF_Qty],T_TTAFStock[RM_Code],$A1814,T_TTAFStock[WeekIndex],36),"")</f>
        <v/>
      </c>
      <c r="AO1820">
        <f>IFERROR(SUMIFS(T_TTAFStock[TTAF_Qty],T_TTAFStock[RM_Code],$A1814,T_TTAFStock[WeekIndex],37),"")</f>
        <v/>
      </c>
      <c r="AP1820">
        <f>IFERROR(SUMIFS(T_TTAFStock[TTAF_Qty],T_TTAFStock[RM_Code],$A1814,T_TTAFStock[WeekIndex],38),"")</f>
        <v/>
      </c>
      <c r="AQ1820">
        <f>IFERROR(SUMIFS(T_TTAFStock[TTAF_Qty],T_TTAFStock[RM_Code],$A1814,T_TTAFStock[WeekIndex],39),"")</f>
        <v/>
      </c>
      <c r="AR1820">
        <f>IFERROR(SUMIFS(T_TTAFStock[TTAF_Qty],T_TTAFStock[RM_Code],$A1814,T_TTAFStock[WeekIndex],40),"")</f>
        <v/>
      </c>
      <c r="AS1820">
        <f>IFERROR(SUMIFS(T_TTAFStock[TTAF_Qty],T_TTAFStock[RM_Code],$A1814,T_TTAFStock[WeekIndex],41),"")</f>
        <v/>
      </c>
      <c r="AT1820">
        <f>IFERROR(SUMIFS(T_TTAFStock[TTAF_Qty],T_TTAFStock[RM_Code],$A1814,T_TTAFStock[WeekIndex],42),"")</f>
        <v/>
      </c>
      <c r="AU1820">
        <f>IFERROR(SUMIFS(T_TTAFStock[TTAF_Qty],T_TTAFStock[RM_Code],$A1814,T_TTAFStock[WeekIndex],43),"")</f>
        <v/>
      </c>
      <c r="AV1820">
        <f>IFERROR(SUMIFS(T_TTAFStock[TTAF_Qty],T_TTAFStock[RM_Code],$A1814,T_TTAFStock[WeekIndex],44),"")</f>
        <v/>
      </c>
      <c r="AW1820">
        <f>IFERROR(SUMIFS(T_TTAFStock[TTAF_Qty],T_TTAFStock[RM_Code],$A1814,T_TTAFStock[WeekIndex],45),"")</f>
        <v/>
      </c>
      <c r="AX1820">
        <f>IFERROR(SUMIFS(T_TTAFStock[TTAF_Qty],T_TTAFStock[RM_Code],$A1814,T_TTAFStock[WeekIndex],46),"")</f>
        <v/>
      </c>
      <c r="AY1820">
        <f>IFERROR(SUMIFS(T_TTAFStock[TTAF_Qty],T_TTAFStock[RM_Code],$A1814,T_TTAFStock[WeekIndex],47),"")</f>
        <v/>
      </c>
      <c r="AZ1820">
        <f>IFERROR(SUMIFS(T_TTAFStock[TTAF_Qty],T_TTAFStock[RM_Code],$A1814,T_TTAFStock[WeekIndex],48),"")</f>
        <v/>
      </c>
      <c r="BA1820">
        <f>IFERROR(SUMIFS(T_TTAFStock[TTAF_Qty],T_TTAFStock[RM_Code],$A1814,T_TTAFStock[WeekIndex],49),"")</f>
        <v/>
      </c>
      <c r="BB1820">
        <f>IFERROR(SUMIFS(T_TTAFStock[TTAF_Qty],T_TTAFStock[RM_Code],$A1814,T_TTAFStock[WeekIndex],50),"")</f>
        <v/>
      </c>
      <c r="BC1820">
        <f>IFERROR(SUMIFS(T_TTAFStock[TTAF_Qty],T_TTAFStock[RM_Code],$A1814,T_TTAFStock[WeekIndex],51),"")</f>
        <v/>
      </c>
      <c r="BD1820">
        <f>IFERROR(SUMIFS(T_TTAFStock[TTAF_Qty],T_TTAFStock[RM_Code],$A1814,T_TTAFStock[WeekIndex],52),"")</f>
        <v/>
      </c>
      <c r="BE1820">
        <f>IFERROR(SUMIFS(T_TTAFStock[TTAF_Qty],T_TTAFStock[RM_Code],$A1814,T_TTAFStock[WeekIndex],53),"")</f>
        <v/>
      </c>
      <c r="BF1820">
        <f>IFERROR(SUMIFS(T_TTAFStock[TTAF_Qty],T_TTAFStock[RM_Code],$A1814,T_TTAFStock[WeekIndex],54),"")</f>
        <v/>
      </c>
      <c r="BG1820">
        <f>IFERROR(SUMIFS(T_TTAFStock[TTAF_Qty],T_TTAFStock[RM_Code],$A1814,T_TTAFStock[WeekIndex],55),"")</f>
        <v/>
      </c>
      <c r="BH1820">
        <f>IFERROR(SUMIFS(T_TTAFStock[TTAF_Qty],T_TTAFStock[RM_Code],$A1814,T_TTAFStock[WeekIndex],56),"")</f>
        <v/>
      </c>
      <c r="BI1820">
        <f>IFERROR(SUMIFS(T_TTAFStock[TTAF_Qty],T_TTAFStock[RM_Code],$A1814,T_TTAFStock[WeekIndex],57),"")</f>
        <v/>
      </c>
      <c r="BJ1820">
        <f>IFERROR(SUMIFS(T_TTAFStock[TTAF_Qty],T_TTAFStock[RM_Code],$A1814,T_TTAFStock[WeekIndex],58),"")</f>
        <v/>
      </c>
      <c r="BK1820">
        <f>IFERROR(SUMIFS(T_TTAFStock[TTAF_Qty],T_TTAFStock[RM_Code],$A1814,T_TTAFStock[WeekIndex],59),"")</f>
        <v/>
      </c>
      <c r="BL1820">
        <f>IFERROR(SUMIFS(T_TTAFStock[TTAF_Qty],T_TTAFStock[RM_Code],$A1814,T_TTAFStock[WeekIndex],60),"")</f>
        <v/>
      </c>
      <c r="BM1820">
        <f>IFERROR(SUMIFS(T_TTAFStock[TTAF_Qty],T_TTAFStock[RM_Code],$A1814,T_TTAFStock[WeekIndex],61),"")</f>
        <v/>
      </c>
      <c r="BN1820">
        <f>IFERROR(SUMIFS(T_TTAFStock[TTAF_Qty],T_TTAFStock[RM_Code],$A1814,T_TTAFStock[WeekIndex],62),"")</f>
        <v/>
      </c>
      <c r="BO1820">
        <f>IFERROR(SUMIFS(T_TTAFStock[TTAF_Qty],T_TTAFStock[RM_Code],$A1814,T_TTAFStock[WeekIndex],63),"")</f>
        <v/>
      </c>
      <c r="BP1820">
        <f>IFERROR(SUMIFS(T_TTAFStock[TTAF_Qty],T_TTAFStock[RM_Code],$A1814,T_TTAFStock[WeekIndex],64),"")</f>
        <v/>
      </c>
      <c r="BQ1820">
        <f>IFERROR(SUMIFS(T_TTAFStock[TTAF_Qty],T_TTAFStock[RM_Code],$A1814,T_TTAFStock[WeekIndex],65),"")</f>
        <v/>
      </c>
      <c r="BR1820">
        <f>IFERROR(SUMIFS(T_TTAFStock[TTAF_Qty],T_TTAFStock[RM_Code],$A1814,T_TTAFStock[WeekIndex],66),"")</f>
        <v/>
      </c>
      <c r="BS1820">
        <f>IFERROR(SUMIFS(T_TTAFStock[TTAF_Qty],T_TTAFStock[RM_Code],$A1814,T_TTAFStock[WeekIndex],67),"")</f>
        <v/>
      </c>
      <c r="BT1820">
        <f>IFERROR(SUMIFS(T_TTAFStock[TTAF_Qty],T_TTAFStock[RM_Code],$A1814,T_TTAFStock[WeekIndex],68),"")</f>
        <v/>
      </c>
      <c r="BU1820">
        <f>IFERROR(SUMIFS(T_TTAFStock[TTAF_Qty],T_TTAFStock[RM_Code],$A1814,T_TTAFStock[WeekIndex],69),"")</f>
        <v/>
      </c>
      <c r="BV1820">
        <f>IFERROR(SUMIFS(T_TTAFStock[TTAF_Qty],T_TTAFStock[RM_Code],$A1814,T_TTAFStock[WeekIndex],70),"")</f>
        <v/>
      </c>
      <c r="BW1820">
        <f>IFERROR(SUMIFS(T_TTAFStock[TTAF_Qty],T_TTAFStock[RM_Code],$A1814,T_TTAFStock[WeekIndex],71),"")</f>
        <v/>
      </c>
      <c r="BX1820">
        <f>IFERROR(SUMIFS(T_TTAFStock[TTAF_Qty],T_TTAFStock[RM_Code],$A1814,T_TTAFStock[WeekIndex],72),"")</f>
        <v/>
      </c>
      <c r="BY1820">
        <f>IFERROR(SUMIFS(T_TTAFStock[TTAF_Qty],T_TTAFStock[RM_Code],$A1814,T_TTAFStock[WeekIndex],73),"")</f>
        <v/>
      </c>
      <c r="BZ1820">
        <f>IFERROR(SUMIFS(T_TTAFStock[TTAF_Qty],T_TTAFStock[RM_Code],$A1814,T_TTAFStock[WeekIndex],74),"")</f>
        <v/>
      </c>
      <c r="CA1820">
        <f>IFERROR(SUMIFS(T_TTAFStock[TTAF_Qty],T_TTAFStock[RM_Code],$A1814,T_TTAFStock[WeekIndex],75),"")</f>
        <v/>
      </c>
      <c r="CB1820">
        <f>IFERROR(SUMIFS(T_TTAFStock[TTAF_Qty],T_TTAFStock[RM_Code],$A1814,T_TTAFStock[WeekIndex],76),"")</f>
        <v/>
      </c>
      <c r="CC1820">
        <f>IFERROR(SUMIFS(T_TTAFStock[TTAF_Qty],T_TTAFStock[RM_Code],$A1814,T_TTAFStock[WeekIndex],77),"")</f>
        <v/>
      </c>
      <c r="CD1820">
        <f>IFERROR(SUMIFS(T_TTAFStock[TTAF_Qty],T_TTAFStock[RM_Code],$A1814,T_TTAFStock[WeekIndex],78),"")</f>
        <v/>
      </c>
      <c r="CE1820">
        <f>IFERROR(SUMIFS(T_TTAFStock[TTAF_Qty],T_TTAFStock[RM_Code],$A1814,T_TTAFStock[WeekIndex],79),"")</f>
        <v/>
      </c>
      <c r="CF1820">
        <f>IFERROR(SUMIFS(T_TTAFStock[TTAF_Qty],T_TTAFStock[RM_Code],$A1814,T_TTAFStock[WeekIndex],80),"")</f>
        <v/>
      </c>
      <c r="CG1820">
        <f>IFERROR(SUMIFS(T_TTAFStock[TTAF_Qty],T_TTAFStock[RM_Code],$A1814,T_TTAFStock[WeekIndex],81),"")</f>
        <v/>
      </c>
      <c r="CH1820">
        <f>IFERROR(SUMIFS(T_TTAFStock[TTAF_Qty],T_TTAFStock[RM_Code],$A1814,T_TTAFStock[WeekIndex],82),"")</f>
        <v/>
      </c>
      <c r="CI1820">
        <f>IFERROR(SUMIFS(T_TTAFStock[TTAF_Qty],T_TTAFStock[RM_Code],$A1814,T_TTAFStock[WeekIndex],83),"")</f>
        <v/>
      </c>
      <c r="CJ1820">
        <f>IFERROR(SUMIFS(T_TTAFStock[TTAF_Qty],T_TTAFStock[RM_Code],$A1814,T_TTAFStock[WeekIndex],84),"")</f>
        <v/>
      </c>
      <c r="CK1820">
        <f>IFERROR(SUMIFS(T_TTAFStock[TTAF_Qty],T_TTAFStock[RM_Code],$A1814,T_TTAFStock[WeekIndex],85),"")</f>
        <v/>
      </c>
      <c r="CL1820">
        <f>IFERROR(SUMIFS(T_TTAFStock[TTAF_Qty],T_TTAFStock[RM_Code],$A1814,T_TTAFStock[WeekIndex],86),"")</f>
        <v/>
      </c>
      <c r="CM1820">
        <f>IFERROR(SUMIFS(T_TTAFStock[TTAF_Qty],T_TTAFStock[RM_Code],$A1814,T_TTAFStock[WeekIndex],87),"")</f>
        <v/>
      </c>
      <c r="CN1820">
        <f>IFERROR(SUMIFS(T_TTAFStock[TTAF_Qty],T_TTAFStock[RM_Code],$A1814,T_TTAFStock[WeekIndex],88),"")</f>
        <v/>
      </c>
      <c r="CO1820">
        <f>IFERROR(SUMIFS(T_TTAFStock[TTAF_Qty],T_TTAFStock[RM_Code],$A1814,T_TTAFStock[WeekIndex],89),"")</f>
        <v/>
      </c>
      <c r="CP1820">
        <f>IFERROR(SUMIFS(T_TTAFStock[TTAF_Qty],T_TTAFStock[RM_Code],$A1814,T_TTAFStock[WeekIndex],90),"")</f>
        <v/>
      </c>
      <c r="CQ1820">
        <f>IFERROR(SUMIFS(T_TTAFStock[TTAF_Qty],T_TTAFStock[RM_Code],$A1814,T_TTAFStock[WeekIndex],91),"")</f>
        <v/>
      </c>
      <c r="CR1820">
        <f>IFERROR(SUMIFS(T_TTAFStock[TTAF_Qty],T_TTAFStock[RM_Code],$A1814,T_TTAFStock[WeekIndex],92),"")</f>
        <v/>
      </c>
      <c r="CS1820">
        <f>IFERROR(SUMIFS(T_TTAFStock[TTAF_Qty],T_TTAFStock[RM_Code],$A1814,T_TTAFStock[WeekIndex],93),"")</f>
        <v/>
      </c>
      <c r="CT1820">
        <f>IFERROR(SUMIFS(T_TTAFStock[TTAF_Qty],T_TTAFStock[RM_Code],$A1814,T_TTAFStock[WeekIndex],94),"")</f>
        <v/>
      </c>
      <c r="CU1820">
        <f>IFERROR(SUMIFS(T_TTAFStock[TTAF_Qty],T_TTAFStock[RM_Code],$A1814,T_TTAFStock[WeekIndex],95),"")</f>
        <v/>
      </c>
      <c r="CV1820">
        <f>IFERROR(SUMIFS(T_TTAFStock[TTAF_Qty],T_TTAFStock[RM_Code],$A1814,T_TTAFStock[WeekIndex],96),"")</f>
        <v/>
      </c>
      <c r="CW1820">
        <f>IFERROR(SUMIFS(T_TTAFStock[TTAF_Qty],T_TTAFStock[RM_Code],$A1814,T_TTAFStock[WeekIndex],97),"")</f>
        <v/>
      </c>
      <c r="CX1820">
        <f>IFERROR(SUMIFS(T_TTAFStock[TTAF_Qty],T_TTAFStock[RM_Code],$A1814,T_TTAFStock[WeekIndex],98),"")</f>
        <v/>
      </c>
      <c r="CY1820">
        <f>IFERROR(SUMIFS(T_TTAFStock[TTAF_Qty],T_TTAFStock[RM_Code],$A1814,T_TTAFStock[WeekIndex],99),"")</f>
        <v/>
      </c>
      <c r="CZ1820">
        <f>IFERROR(SUMIFS(T_TTAFStock[TTAF_Qty],T_TTAFStock[RM_Code],$A1814,T_TTAFStock[WeekIndex],100),"")</f>
        <v/>
      </c>
      <c r="DA1820">
        <f>IFERROR(SUMIFS(T_TTAFStock[TTAF_Qty],T_TTAFStock[RM_Code],$A1814,T_TTAFStock[WeekIndex],101),"")</f>
        <v/>
      </c>
      <c r="DB1820">
        <f>IFERROR(SUMIFS(T_TTAFStock[TTAF_Qty],T_TTAFStock[RM_Code],$A1814,T_TTAFStock[WeekIndex],102),"")</f>
        <v/>
      </c>
      <c r="DC1820">
        <f>IFERROR(SUMIFS(T_TTAFStock[TTAF_Qty],T_TTAFStock[RM_Code],$A1814,T_TTAFStock[WeekIndex],103),"")</f>
        <v/>
      </c>
      <c r="DD1820">
        <f>IFERROR(SUMIFS(T_TTAFStock[TTAF_Qty],T_TTAFStock[RM_Code],$A1814,T_TTAFStock[WeekIndex],104),"")</f>
        <v/>
      </c>
    </row>
    <row r="1821">
      <c r="B1821" t="inlineStr">
        <is>
          <t>自社在庫(実績,kg)</t>
        </is>
      </c>
      <c r="D1821">
        <f>IFERROR(INDEX(E1821:DD1821,$F$1),"")</f>
        <v/>
      </c>
      <c r="E1821">
        <f>IFERROR(SUMIFS(T_SelfStock[Self_Qty],T_SelfStock[RM_Code],$A1814,T_SelfStock[WeekIndex],1),"")</f>
        <v/>
      </c>
      <c r="F1821">
        <f>IFERROR(SUMIFS(T_SelfStock[Self_Qty],T_SelfStock[RM_Code],$A1814,T_SelfStock[WeekIndex],2),"")</f>
        <v/>
      </c>
      <c r="G1821">
        <f>IFERROR(SUMIFS(T_SelfStock[Self_Qty],T_SelfStock[RM_Code],$A1814,T_SelfStock[WeekIndex],3),"")</f>
        <v/>
      </c>
      <c r="H1821">
        <f>IFERROR(SUMIFS(T_SelfStock[Self_Qty],T_SelfStock[RM_Code],$A1814,T_SelfStock[WeekIndex],4),"")</f>
        <v/>
      </c>
      <c r="I1821">
        <f>IFERROR(SUMIFS(T_SelfStock[Self_Qty],T_SelfStock[RM_Code],$A1814,T_SelfStock[WeekIndex],5),"")</f>
        <v/>
      </c>
      <c r="J1821">
        <f>IFERROR(SUMIFS(T_SelfStock[Self_Qty],T_SelfStock[RM_Code],$A1814,T_SelfStock[WeekIndex],6),"")</f>
        <v/>
      </c>
      <c r="K1821">
        <f>IFERROR(SUMIFS(T_SelfStock[Self_Qty],T_SelfStock[RM_Code],$A1814,T_SelfStock[WeekIndex],7),"")</f>
        <v/>
      </c>
      <c r="L1821">
        <f>IFERROR(SUMIFS(T_SelfStock[Self_Qty],T_SelfStock[RM_Code],$A1814,T_SelfStock[WeekIndex],8),"")</f>
        <v/>
      </c>
      <c r="M1821">
        <f>IFERROR(SUMIFS(T_SelfStock[Self_Qty],T_SelfStock[RM_Code],$A1814,T_SelfStock[WeekIndex],9),"")</f>
        <v/>
      </c>
      <c r="N1821">
        <f>IFERROR(SUMIFS(T_SelfStock[Self_Qty],T_SelfStock[RM_Code],$A1814,T_SelfStock[WeekIndex],10),"")</f>
        <v/>
      </c>
      <c r="O1821">
        <f>IFERROR(SUMIFS(T_SelfStock[Self_Qty],T_SelfStock[RM_Code],$A1814,T_SelfStock[WeekIndex],11),"")</f>
        <v/>
      </c>
      <c r="P1821">
        <f>IFERROR(SUMIFS(T_SelfStock[Self_Qty],T_SelfStock[RM_Code],$A1814,T_SelfStock[WeekIndex],12),"")</f>
        <v/>
      </c>
      <c r="Q1821">
        <f>IFERROR(SUMIFS(T_SelfStock[Self_Qty],T_SelfStock[RM_Code],$A1814,T_SelfStock[WeekIndex],13),"")</f>
        <v/>
      </c>
      <c r="R1821">
        <f>IFERROR(SUMIFS(T_SelfStock[Self_Qty],T_SelfStock[RM_Code],$A1814,T_SelfStock[WeekIndex],14),"")</f>
        <v/>
      </c>
      <c r="S1821">
        <f>IFERROR(SUMIFS(T_SelfStock[Self_Qty],T_SelfStock[RM_Code],$A1814,T_SelfStock[WeekIndex],15),"")</f>
        <v/>
      </c>
      <c r="T1821">
        <f>IFERROR(SUMIFS(T_SelfStock[Self_Qty],T_SelfStock[RM_Code],$A1814,T_SelfStock[WeekIndex],16),"")</f>
        <v/>
      </c>
      <c r="U1821">
        <f>IFERROR(SUMIFS(T_SelfStock[Self_Qty],T_SelfStock[RM_Code],$A1814,T_SelfStock[WeekIndex],17),"")</f>
        <v/>
      </c>
      <c r="V1821">
        <f>IFERROR(SUMIFS(T_SelfStock[Self_Qty],T_SelfStock[RM_Code],$A1814,T_SelfStock[WeekIndex],18),"")</f>
        <v/>
      </c>
      <c r="W1821">
        <f>IFERROR(SUMIFS(T_SelfStock[Self_Qty],T_SelfStock[RM_Code],$A1814,T_SelfStock[WeekIndex],19),"")</f>
        <v/>
      </c>
      <c r="X1821">
        <f>IFERROR(SUMIFS(T_SelfStock[Self_Qty],T_SelfStock[RM_Code],$A1814,T_SelfStock[WeekIndex],20),"")</f>
        <v/>
      </c>
      <c r="Y1821">
        <f>IFERROR(SUMIFS(T_SelfStock[Self_Qty],T_SelfStock[RM_Code],$A1814,T_SelfStock[WeekIndex],21),"")</f>
        <v/>
      </c>
      <c r="Z1821">
        <f>IFERROR(SUMIFS(T_SelfStock[Self_Qty],T_SelfStock[RM_Code],$A1814,T_SelfStock[WeekIndex],22),"")</f>
        <v/>
      </c>
      <c r="AA1821">
        <f>IFERROR(SUMIFS(T_SelfStock[Self_Qty],T_SelfStock[RM_Code],$A1814,T_SelfStock[WeekIndex],23),"")</f>
        <v/>
      </c>
      <c r="AB1821">
        <f>IFERROR(SUMIFS(T_SelfStock[Self_Qty],T_SelfStock[RM_Code],$A1814,T_SelfStock[WeekIndex],24),"")</f>
        <v/>
      </c>
      <c r="AC1821">
        <f>IFERROR(SUMIFS(T_SelfStock[Self_Qty],T_SelfStock[RM_Code],$A1814,T_SelfStock[WeekIndex],25),"")</f>
        <v/>
      </c>
      <c r="AD1821">
        <f>IFERROR(SUMIFS(T_SelfStock[Self_Qty],T_SelfStock[RM_Code],$A1814,T_SelfStock[WeekIndex],26),"")</f>
        <v/>
      </c>
      <c r="AE1821">
        <f>IFERROR(SUMIFS(T_SelfStock[Self_Qty],T_SelfStock[RM_Code],$A1814,T_SelfStock[WeekIndex],27),"")</f>
        <v/>
      </c>
      <c r="AF1821">
        <f>IFERROR(SUMIFS(T_SelfStock[Self_Qty],T_SelfStock[RM_Code],$A1814,T_SelfStock[WeekIndex],28),"")</f>
        <v/>
      </c>
      <c r="AG1821">
        <f>IFERROR(SUMIFS(T_SelfStock[Self_Qty],T_SelfStock[RM_Code],$A1814,T_SelfStock[WeekIndex],29),"")</f>
        <v/>
      </c>
      <c r="AH1821">
        <f>IFERROR(SUMIFS(T_SelfStock[Self_Qty],T_SelfStock[RM_Code],$A1814,T_SelfStock[WeekIndex],30),"")</f>
        <v/>
      </c>
      <c r="AI1821">
        <f>IFERROR(SUMIFS(T_SelfStock[Self_Qty],T_SelfStock[RM_Code],$A1814,T_SelfStock[WeekIndex],31),"")</f>
        <v/>
      </c>
      <c r="AJ1821">
        <f>IFERROR(SUMIFS(T_SelfStock[Self_Qty],T_SelfStock[RM_Code],$A1814,T_SelfStock[WeekIndex],32),"")</f>
        <v/>
      </c>
      <c r="AK1821">
        <f>IFERROR(SUMIFS(T_SelfStock[Self_Qty],T_SelfStock[RM_Code],$A1814,T_SelfStock[WeekIndex],33),"")</f>
        <v/>
      </c>
      <c r="AL1821">
        <f>IFERROR(SUMIFS(T_SelfStock[Self_Qty],T_SelfStock[RM_Code],$A1814,T_SelfStock[WeekIndex],34),"")</f>
        <v/>
      </c>
      <c r="AM1821">
        <f>IFERROR(SUMIFS(T_SelfStock[Self_Qty],T_SelfStock[RM_Code],$A1814,T_SelfStock[WeekIndex],35),"")</f>
        <v/>
      </c>
      <c r="AN1821">
        <f>IFERROR(SUMIFS(T_SelfStock[Self_Qty],T_SelfStock[RM_Code],$A1814,T_SelfStock[WeekIndex],36),"")</f>
        <v/>
      </c>
      <c r="AO1821">
        <f>IFERROR(SUMIFS(T_SelfStock[Self_Qty],T_SelfStock[RM_Code],$A1814,T_SelfStock[WeekIndex],37),"")</f>
        <v/>
      </c>
      <c r="AP1821">
        <f>IFERROR(SUMIFS(T_SelfStock[Self_Qty],T_SelfStock[RM_Code],$A1814,T_SelfStock[WeekIndex],38),"")</f>
        <v/>
      </c>
      <c r="AQ1821">
        <f>IFERROR(SUMIFS(T_SelfStock[Self_Qty],T_SelfStock[RM_Code],$A1814,T_SelfStock[WeekIndex],39),"")</f>
        <v/>
      </c>
      <c r="AR1821">
        <f>IFERROR(SUMIFS(T_SelfStock[Self_Qty],T_SelfStock[RM_Code],$A1814,T_SelfStock[WeekIndex],40),"")</f>
        <v/>
      </c>
      <c r="AS1821">
        <f>IFERROR(SUMIFS(T_SelfStock[Self_Qty],T_SelfStock[RM_Code],$A1814,T_SelfStock[WeekIndex],41),"")</f>
        <v/>
      </c>
      <c r="AT1821">
        <f>IFERROR(SUMIFS(T_SelfStock[Self_Qty],T_SelfStock[RM_Code],$A1814,T_SelfStock[WeekIndex],42),"")</f>
        <v/>
      </c>
      <c r="AU1821">
        <f>IFERROR(SUMIFS(T_SelfStock[Self_Qty],T_SelfStock[RM_Code],$A1814,T_SelfStock[WeekIndex],43),"")</f>
        <v/>
      </c>
      <c r="AV1821">
        <f>IFERROR(SUMIFS(T_SelfStock[Self_Qty],T_SelfStock[RM_Code],$A1814,T_SelfStock[WeekIndex],44),"")</f>
        <v/>
      </c>
      <c r="AW1821">
        <f>IFERROR(SUMIFS(T_SelfStock[Self_Qty],T_SelfStock[RM_Code],$A1814,T_SelfStock[WeekIndex],45),"")</f>
        <v/>
      </c>
      <c r="AX1821">
        <f>IFERROR(SUMIFS(T_SelfStock[Self_Qty],T_SelfStock[RM_Code],$A1814,T_SelfStock[WeekIndex],46),"")</f>
        <v/>
      </c>
      <c r="AY1821">
        <f>IFERROR(SUMIFS(T_SelfStock[Self_Qty],T_SelfStock[RM_Code],$A1814,T_SelfStock[WeekIndex],47),"")</f>
        <v/>
      </c>
      <c r="AZ1821">
        <f>IFERROR(SUMIFS(T_SelfStock[Self_Qty],T_SelfStock[RM_Code],$A1814,T_SelfStock[WeekIndex],48),"")</f>
        <v/>
      </c>
      <c r="BA1821">
        <f>IFERROR(SUMIFS(T_SelfStock[Self_Qty],T_SelfStock[RM_Code],$A1814,T_SelfStock[WeekIndex],49),"")</f>
        <v/>
      </c>
      <c r="BB1821">
        <f>IFERROR(SUMIFS(T_SelfStock[Self_Qty],T_SelfStock[RM_Code],$A1814,T_SelfStock[WeekIndex],50),"")</f>
        <v/>
      </c>
      <c r="BC1821">
        <f>IFERROR(SUMIFS(T_SelfStock[Self_Qty],T_SelfStock[RM_Code],$A1814,T_SelfStock[WeekIndex],51),"")</f>
        <v/>
      </c>
      <c r="BD1821">
        <f>IFERROR(SUMIFS(T_SelfStock[Self_Qty],T_SelfStock[RM_Code],$A1814,T_SelfStock[WeekIndex],52),"")</f>
        <v/>
      </c>
      <c r="BE1821">
        <f>IFERROR(SUMIFS(T_SelfStock[Self_Qty],T_SelfStock[RM_Code],$A1814,T_SelfStock[WeekIndex],53),"")</f>
        <v/>
      </c>
      <c r="BF1821">
        <f>IFERROR(SUMIFS(T_SelfStock[Self_Qty],T_SelfStock[RM_Code],$A1814,T_SelfStock[WeekIndex],54),"")</f>
        <v/>
      </c>
      <c r="BG1821">
        <f>IFERROR(SUMIFS(T_SelfStock[Self_Qty],T_SelfStock[RM_Code],$A1814,T_SelfStock[WeekIndex],55),"")</f>
        <v/>
      </c>
      <c r="BH1821">
        <f>IFERROR(SUMIFS(T_SelfStock[Self_Qty],T_SelfStock[RM_Code],$A1814,T_SelfStock[WeekIndex],56),"")</f>
        <v/>
      </c>
      <c r="BI1821">
        <f>IFERROR(SUMIFS(T_SelfStock[Self_Qty],T_SelfStock[RM_Code],$A1814,T_SelfStock[WeekIndex],57),"")</f>
        <v/>
      </c>
      <c r="BJ1821">
        <f>IFERROR(SUMIFS(T_SelfStock[Self_Qty],T_SelfStock[RM_Code],$A1814,T_SelfStock[WeekIndex],58),"")</f>
        <v/>
      </c>
      <c r="BK1821">
        <f>IFERROR(SUMIFS(T_SelfStock[Self_Qty],T_SelfStock[RM_Code],$A1814,T_SelfStock[WeekIndex],59),"")</f>
        <v/>
      </c>
      <c r="BL1821">
        <f>IFERROR(SUMIFS(T_SelfStock[Self_Qty],T_SelfStock[RM_Code],$A1814,T_SelfStock[WeekIndex],60),"")</f>
        <v/>
      </c>
      <c r="BM1821">
        <f>IFERROR(SUMIFS(T_SelfStock[Self_Qty],T_SelfStock[RM_Code],$A1814,T_SelfStock[WeekIndex],61),"")</f>
        <v/>
      </c>
      <c r="BN1821">
        <f>IFERROR(SUMIFS(T_SelfStock[Self_Qty],T_SelfStock[RM_Code],$A1814,T_SelfStock[WeekIndex],62),"")</f>
        <v/>
      </c>
      <c r="BO1821">
        <f>IFERROR(SUMIFS(T_SelfStock[Self_Qty],T_SelfStock[RM_Code],$A1814,T_SelfStock[WeekIndex],63),"")</f>
        <v/>
      </c>
      <c r="BP1821">
        <f>IFERROR(SUMIFS(T_SelfStock[Self_Qty],T_SelfStock[RM_Code],$A1814,T_SelfStock[WeekIndex],64),"")</f>
        <v/>
      </c>
      <c r="BQ1821">
        <f>IFERROR(SUMIFS(T_SelfStock[Self_Qty],T_SelfStock[RM_Code],$A1814,T_SelfStock[WeekIndex],65),"")</f>
        <v/>
      </c>
      <c r="BR1821">
        <f>IFERROR(SUMIFS(T_SelfStock[Self_Qty],T_SelfStock[RM_Code],$A1814,T_SelfStock[WeekIndex],66),"")</f>
        <v/>
      </c>
      <c r="BS1821">
        <f>IFERROR(SUMIFS(T_SelfStock[Self_Qty],T_SelfStock[RM_Code],$A1814,T_SelfStock[WeekIndex],67),"")</f>
        <v/>
      </c>
      <c r="BT1821">
        <f>IFERROR(SUMIFS(T_SelfStock[Self_Qty],T_SelfStock[RM_Code],$A1814,T_SelfStock[WeekIndex],68),"")</f>
        <v/>
      </c>
      <c r="BU1821">
        <f>IFERROR(SUMIFS(T_SelfStock[Self_Qty],T_SelfStock[RM_Code],$A1814,T_SelfStock[WeekIndex],69),"")</f>
        <v/>
      </c>
      <c r="BV1821">
        <f>IFERROR(SUMIFS(T_SelfStock[Self_Qty],T_SelfStock[RM_Code],$A1814,T_SelfStock[WeekIndex],70),"")</f>
        <v/>
      </c>
      <c r="BW1821">
        <f>IFERROR(SUMIFS(T_SelfStock[Self_Qty],T_SelfStock[RM_Code],$A1814,T_SelfStock[WeekIndex],71),"")</f>
        <v/>
      </c>
      <c r="BX1821">
        <f>IFERROR(SUMIFS(T_SelfStock[Self_Qty],T_SelfStock[RM_Code],$A1814,T_SelfStock[WeekIndex],72),"")</f>
        <v/>
      </c>
      <c r="BY1821">
        <f>IFERROR(SUMIFS(T_SelfStock[Self_Qty],T_SelfStock[RM_Code],$A1814,T_SelfStock[WeekIndex],73),"")</f>
        <v/>
      </c>
      <c r="BZ1821">
        <f>IFERROR(SUMIFS(T_SelfStock[Self_Qty],T_SelfStock[RM_Code],$A1814,T_SelfStock[WeekIndex],74),"")</f>
        <v/>
      </c>
      <c r="CA1821">
        <f>IFERROR(SUMIFS(T_SelfStock[Self_Qty],T_SelfStock[RM_Code],$A1814,T_SelfStock[WeekIndex],75),"")</f>
        <v/>
      </c>
      <c r="CB1821">
        <f>IFERROR(SUMIFS(T_SelfStock[Self_Qty],T_SelfStock[RM_Code],$A1814,T_SelfStock[WeekIndex],76),"")</f>
        <v/>
      </c>
      <c r="CC1821">
        <f>IFERROR(SUMIFS(T_SelfStock[Self_Qty],T_SelfStock[RM_Code],$A1814,T_SelfStock[WeekIndex],77),"")</f>
        <v/>
      </c>
      <c r="CD1821">
        <f>IFERROR(SUMIFS(T_SelfStock[Self_Qty],T_SelfStock[RM_Code],$A1814,T_SelfStock[WeekIndex],78),"")</f>
        <v/>
      </c>
      <c r="CE1821">
        <f>IFERROR(SUMIFS(T_SelfStock[Self_Qty],T_SelfStock[RM_Code],$A1814,T_SelfStock[WeekIndex],79),"")</f>
        <v/>
      </c>
      <c r="CF1821">
        <f>IFERROR(SUMIFS(T_SelfStock[Self_Qty],T_SelfStock[RM_Code],$A1814,T_SelfStock[WeekIndex],80),"")</f>
        <v/>
      </c>
      <c r="CG1821">
        <f>IFERROR(SUMIFS(T_SelfStock[Self_Qty],T_SelfStock[RM_Code],$A1814,T_SelfStock[WeekIndex],81),"")</f>
        <v/>
      </c>
      <c r="CH1821">
        <f>IFERROR(SUMIFS(T_SelfStock[Self_Qty],T_SelfStock[RM_Code],$A1814,T_SelfStock[WeekIndex],82),"")</f>
        <v/>
      </c>
      <c r="CI1821">
        <f>IFERROR(SUMIFS(T_SelfStock[Self_Qty],T_SelfStock[RM_Code],$A1814,T_SelfStock[WeekIndex],83),"")</f>
        <v/>
      </c>
      <c r="CJ1821">
        <f>IFERROR(SUMIFS(T_SelfStock[Self_Qty],T_SelfStock[RM_Code],$A1814,T_SelfStock[WeekIndex],84),"")</f>
        <v/>
      </c>
      <c r="CK1821">
        <f>IFERROR(SUMIFS(T_SelfStock[Self_Qty],T_SelfStock[RM_Code],$A1814,T_SelfStock[WeekIndex],85),"")</f>
        <v/>
      </c>
      <c r="CL1821">
        <f>IFERROR(SUMIFS(T_SelfStock[Self_Qty],T_SelfStock[RM_Code],$A1814,T_SelfStock[WeekIndex],86),"")</f>
        <v/>
      </c>
      <c r="CM1821">
        <f>IFERROR(SUMIFS(T_SelfStock[Self_Qty],T_SelfStock[RM_Code],$A1814,T_SelfStock[WeekIndex],87),"")</f>
        <v/>
      </c>
      <c r="CN1821">
        <f>IFERROR(SUMIFS(T_SelfStock[Self_Qty],T_SelfStock[RM_Code],$A1814,T_SelfStock[WeekIndex],88),"")</f>
        <v/>
      </c>
      <c r="CO1821">
        <f>IFERROR(SUMIFS(T_SelfStock[Self_Qty],T_SelfStock[RM_Code],$A1814,T_SelfStock[WeekIndex],89),"")</f>
        <v/>
      </c>
      <c r="CP1821">
        <f>IFERROR(SUMIFS(T_SelfStock[Self_Qty],T_SelfStock[RM_Code],$A1814,T_SelfStock[WeekIndex],90),"")</f>
        <v/>
      </c>
      <c r="CQ1821">
        <f>IFERROR(SUMIFS(T_SelfStock[Self_Qty],T_SelfStock[RM_Code],$A1814,T_SelfStock[WeekIndex],91),"")</f>
        <v/>
      </c>
      <c r="CR1821">
        <f>IFERROR(SUMIFS(T_SelfStock[Self_Qty],T_SelfStock[RM_Code],$A1814,T_SelfStock[WeekIndex],92),"")</f>
        <v/>
      </c>
      <c r="CS1821">
        <f>IFERROR(SUMIFS(T_SelfStock[Self_Qty],T_SelfStock[RM_Code],$A1814,T_SelfStock[WeekIndex],93),"")</f>
        <v/>
      </c>
      <c r="CT1821">
        <f>IFERROR(SUMIFS(T_SelfStock[Self_Qty],T_SelfStock[RM_Code],$A1814,T_SelfStock[WeekIndex],94),"")</f>
        <v/>
      </c>
      <c r="CU1821">
        <f>IFERROR(SUMIFS(T_SelfStock[Self_Qty],T_SelfStock[RM_Code],$A1814,T_SelfStock[WeekIndex],95),"")</f>
        <v/>
      </c>
      <c r="CV1821">
        <f>IFERROR(SUMIFS(T_SelfStock[Self_Qty],T_SelfStock[RM_Code],$A1814,T_SelfStock[WeekIndex],96),"")</f>
        <v/>
      </c>
      <c r="CW1821">
        <f>IFERROR(SUMIFS(T_SelfStock[Self_Qty],T_SelfStock[RM_Code],$A1814,T_SelfStock[WeekIndex],97),"")</f>
        <v/>
      </c>
      <c r="CX1821">
        <f>IFERROR(SUMIFS(T_SelfStock[Self_Qty],T_SelfStock[RM_Code],$A1814,T_SelfStock[WeekIndex],98),"")</f>
        <v/>
      </c>
      <c r="CY1821">
        <f>IFERROR(SUMIFS(T_SelfStock[Self_Qty],T_SelfStock[RM_Code],$A1814,T_SelfStock[WeekIndex],99),"")</f>
        <v/>
      </c>
      <c r="CZ1821">
        <f>IFERROR(SUMIFS(T_SelfStock[Self_Qty],T_SelfStock[RM_Code],$A1814,T_SelfStock[WeekIndex],100),"")</f>
        <v/>
      </c>
      <c r="DA1821">
        <f>IFERROR(SUMIFS(T_SelfStock[Self_Qty],T_SelfStock[RM_Code],$A1814,T_SelfStock[WeekIndex],101),"")</f>
        <v/>
      </c>
      <c r="DB1821">
        <f>IFERROR(SUMIFS(T_SelfStock[Self_Qty],T_SelfStock[RM_Code],$A1814,T_SelfStock[WeekIndex],102),"")</f>
        <v/>
      </c>
      <c r="DC1821">
        <f>IFERROR(SUMIFS(T_SelfStock[Self_Qty],T_SelfStock[RM_Code],$A1814,T_SelfStock[WeekIndex],103),"")</f>
        <v/>
      </c>
      <c r="DD1821">
        <f>IFERROR(SUMIFS(T_SelfStock[Self_Qty],T_SelfStock[RM_Code],$A1814,T_SelfStock[WeekIndex],104),"")</f>
        <v/>
      </c>
    </row>
    <row r="1822">
      <c r="B1822" s="4" t="inlineStr">
        <is>
          <t>合計在庫(週末時点,kg)</t>
        </is>
      </c>
      <c r="D1822" s="24">
        <f>IFERROR(INDEX(E1822:DD1822,$F$1),"")</f>
        <v/>
      </c>
      <c r="E1822">
        <f>'Grid_Stock'!B39</f>
        <v/>
      </c>
      <c r="F1822">
        <f>'Grid_Stock'!C39</f>
        <v/>
      </c>
      <c r="G1822">
        <f>'Grid_Stock'!D39</f>
        <v/>
      </c>
      <c r="H1822">
        <f>'Grid_Stock'!E39</f>
        <v/>
      </c>
      <c r="I1822">
        <f>'Grid_Stock'!F39</f>
        <v/>
      </c>
      <c r="J1822">
        <f>'Grid_Stock'!G39</f>
        <v/>
      </c>
      <c r="K1822">
        <f>'Grid_Stock'!H39</f>
        <v/>
      </c>
      <c r="L1822">
        <f>'Grid_Stock'!I39</f>
        <v/>
      </c>
      <c r="M1822">
        <f>'Grid_Stock'!J39</f>
        <v/>
      </c>
      <c r="N1822">
        <f>'Grid_Stock'!K39</f>
        <v/>
      </c>
      <c r="O1822">
        <f>'Grid_Stock'!L39</f>
        <v/>
      </c>
      <c r="P1822">
        <f>'Grid_Stock'!M39</f>
        <v/>
      </c>
      <c r="Q1822">
        <f>'Grid_Stock'!N39</f>
        <v/>
      </c>
      <c r="R1822">
        <f>'Grid_Stock'!O39</f>
        <v/>
      </c>
      <c r="S1822">
        <f>'Grid_Stock'!P39</f>
        <v/>
      </c>
      <c r="T1822">
        <f>'Grid_Stock'!Q39</f>
        <v/>
      </c>
      <c r="U1822">
        <f>'Grid_Stock'!R39</f>
        <v/>
      </c>
      <c r="V1822">
        <f>'Grid_Stock'!S39</f>
        <v/>
      </c>
      <c r="W1822">
        <f>'Grid_Stock'!T39</f>
        <v/>
      </c>
      <c r="X1822">
        <f>'Grid_Stock'!U39</f>
        <v/>
      </c>
      <c r="Y1822">
        <f>'Grid_Stock'!V39</f>
        <v/>
      </c>
      <c r="Z1822">
        <f>'Grid_Stock'!W39</f>
        <v/>
      </c>
      <c r="AA1822">
        <f>'Grid_Stock'!X39</f>
        <v/>
      </c>
      <c r="AB1822">
        <f>'Grid_Stock'!Y39</f>
        <v/>
      </c>
      <c r="AC1822">
        <f>'Grid_Stock'!Z39</f>
        <v/>
      </c>
      <c r="AD1822">
        <f>'Grid_Stock'!AA39</f>
        <v/>
      </c>
      <c r="AE1822">
        <f>'Grid_Stock'!AB39</f>
        <v/>
      </c>
      <c r="AF1822">
        <f>'Grid_Stock'!AC39</f>
        <v/>
      </c>
      <c r="AG1822">
        <f>'Grid_Stock'!AD39</f>
        <v/>
      </c>
      <c r="AH1822">
        <f>'Grid_Stock'!AE39</f>
        <v/>
      </c>
      <c r="AI1822">
        <f>'Grid_Stock'!AF39</f>
        <v/>
      </c>
      <c r="AJ1822">
        <f>'Grid_Stock'!AG39</f>
        <v/>
      </c>
      <c r="AK1822">
        <f>'Grid_Stock'!AH39</f>
        <v/>
      </c>
      <c r="AL1822">
        <f>'Grid_Stock'!AI39</f>
        <v/>
      </c>
      <c r="AM1822">
        <f>'Grid_Stock'!AJ39</f>
        <v/>
      </c>
      <c r="AN1822">
        <f>'Grid_Stock'!AK39</f>
        <v/>
      </c>
      <c r="AO1822">
        <f>'Grid_Stock'!AL39</f>
        <v/>
      </c>
      <c r="AP1822">
        <f>'Grid_Stock'!AM39</f>
        <v/>
      </c>
      <c r="AQ1822">
        <f>'Grid_Stock'!AN39</f>
        <v/>
      </c>
      <c r="AR1822">
        <f>'Grid_Stock'!AO39</f>
        <v/>
      </c>
      <c r="AS1822">
        <f>'Grid_Stock'!AP39</f>
        <v/>
      </c>
      <c r="AT1822">
        <f>'Grid_Stock'!AQ39</f>
        <v/>
      </c>
      <c r="AU1822">
        <f>'Grid_Stock'!AR39</f>
        <v/>
      </c>
      <c r="AV1822">
        <f>'Grid_Stock'!AS39</f>
        <v/>
      </c>
      <c r="AW1822">
        <f>'Grid_Stock'!AT39</f>
        <v/>
      </c>
      <c r="AX1822">
        <f>'Grid_Stock'!AU39</f>
        <v/>
      </c>
      <c r="AY1822">
        <f>'Grid_Stock'!AV39</f>
        <v/>
      </c>
      <c r="AZ1822">
        <f>'Grid_Stock'!AW39</f>
        <v/>
      </c>
      <c r="BA1822">
        <f>'Grid_Stock'!AX39</f>
        <v/>
      </c>
      <c r="BB1822">
        <f>'Grid_Stock'!AY39</f>
        <v/>
      </c>
      <c r="BC1822">
        <f>'Grid_Stock'!AZ39</f>
        <v/>
      </c>
      <c r="BD1822">
        <f>'Grid_Stock'!BA39</f>
        <v/>
      </c>
      <c r="BE1822">
        <f>'Grid_Stock'!BB39</f>
        <v/>
      </c>
      <c r="BF1822">
        <f>'Grid_Stock'!BC39</f>
        <v/>
      </c>
      <c r="BG1822">
        <f>'Grid_Stock'!BD39</f>
        <v/>
      </c>
      <c r="BH1822">
        <f>'Grid_Stock'!BE39</f>
        <v/>
      </c>
      <c r="BI1822">
        <f>'Grid_Stock'!BF39</f>
        <v/>
      </c>
      <c r="BJ1822">
        <f>'Grid_Stock'!BG39</f>
        <v/>
      </c>
      <c r="BK1822">
        <f>'Grid_Stock'!BH39</f>
        <v/>
      </c>
      <c r="BL1822">
        <f>'Grid_Stock'!BI39</f>
        <v/>
      </c>
      <c r="BM1822">
        <f>'Grid_Stock'!BJ39</f>
        <v/>
      </c>
      <c r="BN1822">
        <f>'Grid_Stock'!BK39</f>
        <v/>
      </c>
      <c r="BO1822">
        <f>'Grid_Stock'!BL39</f>
        <v/>
      </c>
      <c r="BP1822">
        <f>'Grid_Stock'!BM39</f>
        <v/>
      </c>
      <c r="BQ1822">
        <f>'Grid_Stock'!BN39</f>
        <v/>
      </c>
      <c r="BR1822">
        <f>'Grid_Stock'!BO39</f>
        <v/>
      </c>
      <c r="BS1822">
        <f>'Grid_Stock'!BP39</f>
        <v/>
      </c>
      <c r="BT1822">
        <f>'Grid_Stock'!BQ39</f>
        <v/>
      </c>
      <c r="BU1822">
        <f>'Grid_Stock'!BR39</f>
        <v/>
      </c>
      <c r="BV1822">
        <f>'Grid_Stock'!BS39</f>
        <v/>
      </c>
      <c r="BW1822">
        <f>'Grid_Stock'!BT39</f>
        <v/>
      </c>
      <c r="BX1822">
        <f>'Grid_Stock'!BU39</f>
        <v/>
      </c>
      <c r="BY1822">
        <f>'Grid_Stock'!BV39</f>
        <v/>
      </c>
      <c r="BZ1822">
        <f>'Grid_Stock'!BW39</f>
        <v/>
      </c>
      <c r="CA1822">
        <f>'Grid_Stock'!BX39</f>
        <v/>
      </c>
      <c r="CB1822">
        <f>'Grid_Stock'!BY39</f>
        <v/>
      </c>
      <c r="CC1822">
        <f>'Grid_Stock'!BZ39</f>
        <v/>
      </c>
      <c r="CD1822">
        <f>'Grid_Stock'!CA39</f>
        <v/>
      </c>
      <c r="CE1822">
        <f>'Grid_Stock'!CB39</f>
        <v/>
      </c>
      <c r="CF1822">
        <f>'Grid_Stock'!CC39</f>
        <v/>
      </c>
      <c r="CG1822">
        <f>'Grid_Stock'!CD39</f>
        <v/>
      </c>
      <c r="CH1822">
        <f>'Grid_Stock'!CE39</f>
        <v/>
      </c>
      <c r="CI1822">
        <f>'Grid_Stock'!CF39</f>
        <v/>
      </c>
      <c r="CJ1822">
        <f>'Grid_Stock'!CG39</f>
        <v/>
      </c>
      <c r="CK1822">
        <f>'Grid_Stock'!CH39</f>
        <v/>
      </c>
      <c r="CL1822">
        <f>'Grid_Stock'!CI39</f>
        <v/>
      </c>
      <c r="CM1822">
        <f>'Grid_Stock'!CJ39</f>
        <v/>
      </c>
      <c r="CN1822">
        <f>'Grid_Stock'!CK39</f>
        <v/>
      </c>
      <c r="CO1822">
        <f>'Grid_Stock'!CL39</f>
        <v/>
      </c>
      <c r="CP1822">
        <f>'Grid_Stock'!CM39</f>
        <v/>
      </c>
      <c r="CQ1822">
        <f>'Grid_Stock'!CN39</f>
        <v/>
      </c>
      <c r="CR1822">
        <f>'Grid_Stock'!CO39</f>
        <v/>
      </c>
      <c r="CS1822">
        <f>'Grid_Stock'!CP39</f>
        <v/>
      </c>
      <c r="CT1822">
        <f>'Grid_Stock'!CQ39</f>
        <v/>
      </c>
      <c r="CU1822">
        <f>'Grid_Stock'!CR39</f>
        <v/>
      </c>
      <c r="CV1822">
        <f>'Grid_Stock'!CS39</f>
        <v/>
      </c>
      <c r="CW1822">
        <f>'Grid_Stock'!CT39</f>
        <v/>
      </c>
      <c r="CX1822">
        <f>'Grid_Stock'!CU39</f>
        <v/>
      </c>
      <c r="CY1822">
        <f>'Grid_Stock'!CV39</f>
        <v/>
      </c>
      <c r="CZ1822">
        <f>'Grid_Stock'!CW39</f>
        <v/>
      </c>
      <c r="DA1822">
        <f>'Grid_Stock'!CX39</f>
        <v/>
      </c>
      <c r="DB1822">
        <f>'Grid_Stock'!CY39</f>
        <v/>
      </c>
      <c r="DC1822">
        <f>'Grid_Stock'!CZ39</f>
        <v/>
      </c>
      <c r="DD1822">
        <f>'Grid_Stock'!DA39</f>
        <v/>
      </c>
    </row>
    <row r="1823">
      <c r="B1823" s="25" t="inlineStr">
        <is>
          <t>（発注の目安はDashboardの基準在庫[下限/上限]と色分けを参照）</t>
        </is>
      </c>
    </row>
    <row r="1825">
      <c r="A1825" s="21" t="inlineStr">
        <is>
          <t>CHEM-1850</t>
        </is>
      </c>
      <c r="B1825" s="21" t="inlineStr">
        <is>
          <t>TPP-1469</t>
        </is>
      </c>
      <c r="C1825" s="22" t="n"/>
      <c r="D1825" s="21" t="n"/>
      <c r="E1825" s="21" t="n"/>
      <c r="F1825" s="21" t="n"/>
      <c r="G1825" s="21" t="n"/>
      <c r="H1825" s="21" t="n"/>
      <c r="I1825" s="21" t="n"/>
      <c r="J1825" s="21" t="n"/>
      <c r="K1825" s="21" t="n"/>
      <c r="L1825" s="21" t="n"/>
      <c r="M1825" s="21" t="n"/>
      <c r="N1825" s="21" t="n"/>
      <c r="O1825" s="21" t="n"/>
      <c r="P1825" s="21" t="n"/>
      <c r="Q1825" s="21" t="n"/>
      <c r="R1825" s="21" t="n"/>
      <c r="S1825" s="21" t="n"/>
      <c r="T1825" s="21" t="n"/>
      <c r="U1825" s="21" t="n"/>
      <c r="V1825" s="21" t="n"/>
      <c r="W1825" s="21" t="n"/>
      <c r="X1825" s="21" t="n"/>
      <c r="Y1825" s="21" t="n"/>
      <c r="Z1825" s="21" t="n"/>
      <c r="AA1825" s="21" t="n"/>
      <c r="AB1825" s="21" t="n"/>
      <c r="AC1825" s="21" t="n"/>
      <c r="AD1825" s="21" t="n"/>
      <c r="AE1825" s="21" t="n"/>
      <c r="AF1825" s="21" t="n"/>
      <c r="AG1825" s="21" t="n"/>
      <c r="AH1825" s="21" t="n"/>
      <c r="AI1825" s="21" t="n"/>
      <c r="AJ1825" s="21" t="n"/>
      <c r="AK1825" s="21" t="n"/>
      <c r="AL1825" s="21" t="n"/>
      <c r="AM1825" s="21" t="n"/>
      <c r="AN1825" s="21" t="n"/>
      <c r="AO1825" s="21" t="n"/>
      <c r="AP1825" s="21" t="n"/>
      <c r="AQ1825" s="21" t="n"/>
      <c r="AR1825" s="21" t="n"/>
      <c r="AS1825" s="21" t="n"/>
      <c r="AT1825" s="21" t="n"/>
      <c r="AU1825" s="21" t="n"/>
      <c r="AV1825" s="21" t="n"/>
      <c r="AW1825" s="21" t="n"/>
      <c r="AX1825" s="21" t="n"/>
      <c r="AY1825" s="21" t="n"/>
      <c r="AZ1825" s="21" t="n"/>
      <c r="BA1825" s="21" t="n"/>
      <c r="BB1825" s="21" t="n"/>
      <c r="BC1825" s="21" t="n"/>
      <c r="BD1825" s="21" t="n"/>
      <c r="BE1825" s="21" t="n"/>
      <c r="BF1825" s="21" t="n"/>
      <c r="BG1825" s="21" t="n"/>
      <c r="BH1825" s="21" t="n"/>
      <c r="BI1825" s="21" t="n"/>
      <c r="BJ1825" s="21" t="n"/>
      <c r="BK1825" s="21" t="n"/>
      <c r="BL1825" s="21" t="n"/>
      <c r="BM1825" s="21" t="n"/>
      <c r="BN1825" s="21" t="n"/>
      <c r="BO1825" s="21" t="n"/>
      <c r="BP1825" s="21" t="n"/>
      <c r="BQ1825" s="21" t="n"/>
      <c r="BR1825" s="21" t="n"/>
      <c r="BS1825" s="21" t="n"/>
      <c r="BT1825" s="21" t="n"/>
      <c r="BU1825" s="21" t="n"/>
      <c r="BV1825" s="21" t="n"/>
      <c r="BW1825" s="21" t="n"/>
      <c r="BX1825" s="21" t="n"/>
      <c r="BY1825" s="21" t="n"/>
      <c r="BZ1825" s="21" t="n"/>
      <c r="CA1825" s="21" t="n"/>
      <c r="CB1825" s="21" t="n"/>
      <c r="CC1825" s="21" t="n"/>
      <c r="CD1825" s="21" t="n"/>
      <c r="CE1825" s="21" t="n"/>
      <c r="CF1825" s="21" t="n"/>
      <c r="CG1825" s="21" t="n"/>
      <c r="CH1825" s="21" t="n"/>
      <c r="CI1825" s="21" t="n"/>
      <c r="CJ1825" s="21" t="n"/>
      <c r="CK1825" s="21" t="n"/>
      <c r="CL1825" s="21" t="n"/>
      <c r="CM1825" s="21" t="n"/>
      <c r="CN1825" s="21" t="n"/>
      <c r="CO1825" s="21" t="n"/>
      <c r="CP1825" s="21" t="n"/>
      <c r="CQ1825" s="21" t="n"/>
      <c r="CR1825" s="21" t="n"/>
      <c r="CS1825" s="21" t="n"/>
      <c r="CT1825" s="21" t="n"/>
      <c r="CU1825" s="21" t="n"/>
      <c r="CV1825" s="21" t="n"/>
      <c r="CW1825" s="21" t="n"/>
      <c r="CX1825" s="21" t="n"/>
      <c r="CY1825" s="21" t="n"/>
      <c r="CZ1825" s="21" t="n"/>
      <c r="DA1825" s="21" t="n"/>
      <c r="DB1825" s="21" t="n"/>
      <c r="DC1825" s="21" t="n"/>
      <c r="DD1825" s="21" t="n"/>
    </row>
    <row r="1826">
      <c r="B1826" t="inlineStr">
        <is>
          <t>TSP-1558</t>
        </is>
      </c>
      <c r="C1826" t="inlineStr">
        <is>
          <t>No. of batches</t>
        </is>
      </c>
      <c r="D1826">
        <f>IFERROR(INDEX(E1826:DD1826,$F$1),"")</f>
        <v/>
      </c>
      <c r="E1826">
        <f>IFERROR(INDEX(PP_Grid[#Data],$DE1826,2),0)</f>
        <v/>
      </c>
      <c r="F1826">
        <f>IFERROR(INDEX(PP_Grid[#Data],$DE1826,3),0)</f>
        <v/>
      </c>
      <c r="G1826">
        <f>IFERROR(INDEX(PP_Grid[#Data],$DE1826,4),0)</f>
        <v/>
      </c>
      <c r="H1826">
        <f>IFERROR(INDEX(PP_Grid[#Data],$DE1826,5),0)</f>
        <v/>
      </c>
      <c r="I1826">
        <f>IFERROR(INDEX(PP_Grid[#Data],$DE1826,6),0)</f>
        <v/>
      </c>
      <c r="J1826">
        <f>IFERROR(INDEX(PP_Grid[#Data],$DE1826,7),0)</f>
        <v/>
      </c>
      <c r="K1826">
        <f>IFERROR(INDEX(PP_Grid[#Data],$DE1826,8),0)</f>
        <v/>
      </c>
      <c r="L1826">
        <f>IFERROR(INDEX(PP_Grid[#Data],$DE1826,9),0)</f>
        <v/>
      </c>
      <c r="M1826">
        <f>IFERROR(INDEX(PP_Grid[#Data],$DE1826,10),0)</f>
        <v/>
      </c>
      <c r="N1826">
        <f>IFERROR(INDEX(PP_Grid[#Data],$DE1826,11),0)</f>
        <v/>
      </c>
      <c r="O1826">
        <f>IFERROR(INDEX(PP_Grid[#Data],$DE1826,12),0)</f>
        <v/>
      </c>
      <c r="P1826">
        <f>IFERROR(INDEX(PP_Grid[#Data],$DE1826,13),0)</f>
        <v/>
      </c>
      <c r="Q1826">
        <f>IFERROR(INDEX(PP_Grid[#Data],$DE1826,14),0)</f>
        <v/>
      </c>
      <c r="R1826">
        <f>IFERROR(INDEX(PP_Grid[#Data],$DE1826,15),0)</f>
        <v/>
      </c>
      <c r="S1826">
        <f>IFERROR(INDEX(PP_Grid[#Data],$DE1826,16),0)</f>
        <v/>
      </c>
      <c r="T1826">
        <f>IFERROR(INDEX(PP_Grid[#Data],$DE1826,17),0)</f>
        <v/>
      </c>
      <c r="U1826">
        <f>IFERROR(INDEX(PP_Grid[#Data],$DE1826,18),0)</f>
        <v/>
      </c>
      <c r="V1826">
        <f>IFERROR(INDEX(PP_Grid[#Data],$DE1826,19),0)</f>
        <v/>
      </c>
      <c r="W1826">
        <f>IFERROR(INDEX(PP_Grid[#Data],$DE1826,20),0)</f>
        <v/>
      </c>
      <c r="X1826">
        <f>IFERROR(INDEX(PP_Grid[#Data],$DE1826,21),0)</f>
        <v/>
      </c>
      <c r="Y1826">
        <f>IFERROR(INDEX(PP_Grid[#Data],$DE1826,22),0)</f>
        <v/>
      </c>
      <c r="Z1826">
        <f>IFERROR(INDEX(PP_Grid[#Data],$DE1826,23),0)</f>
        <v/>
      </c>
      <c r="AA1826">
        <f>IFERROR(INDEX(PP_Grid[#Data],$DE1826,24),0)</f>
        <v/>
      </c>
      <c r="AB1826">
        <f>IFERROR(INDEX(PP_Grid[#Data],$DE1826,25),0)</f>
        <v/>
      </c>
      <c r="AC1826">
        <f>IFERROR(INDEX(PP_Grid[#Data],$DE1826,26),0)</f>
        <v/>
      </c>
      <c r="AD1826">
        <f>IFERROR(INDEX(PP_Grid[#Data],$DE1826,27),0)</f>
        <v/>
      </c>
      <c r="AE1826">
        <f>IFERROR(INDEX(PP_Grid[#Data],$DE1826,28),0)</f>
        <v/>
      </c>
      <c r="AF1826">
        <f>IFERROR(INDEX(PP_Grid[#Data],$DE1826,29),0)</f>
        <v/>
      </c>
      <c r="AG1826">
        <f>IFERROR(INDEX(PP_Grid[#Data],$DE1826,30),0)</f>
        <v/>
      </c>
      <c r="AH1826">
        <f>IFERROR(INDEX(PP_Grid[#Data],$DE1826,31),0)</f>
        <v/>
      </c>
      <c r="AI1826">
        <f>IFERROR(INDEX(PP_Grid[#Data],$DE1826,32),0)</f>
        <v/>
      </c>
      <c r="AJ1826">
        <f>IFERROR(INDEX(PP_Grid[#Data],$DE1826,33),0)</f>
        <v/>
      </c>
      <c r="AK1826">
        <f>IFERROR(INDEX(PP_Grid[#Data],$DE1826,34),0)</f>
        <v/>
      </c>
      <c r="AL1826">
        <f>IFERROR(INDEX(PP_Grid[#Data],$DE1826,35),0)</f>
        <v/>
      </c>
      <c r="AM1826">
        <f>IFERROR(INDEX(PP_Grid[#Data],$DE1826,36),0)</f>
        <v/>
      </c>
      <c r="AN1826">
        <f>IFERROR(INDEX(PP_Grid[#Data],$DE1826,37),0)</f>
        <v/>
      </c>
      <c r="AO1826">
        <f>IFERROR(INDEX(PP_Grid[#Data],$DE1826,38),0)</f>
        <v/>
      </c>
      <c r="AP1826">
        <f>IFERROR(INDEX(PP_Grid[#Data],$DE1826,39),0)</f>
        <v/>
      </c>
      <c r="AQ1826">
        <f>IFERROR(INDEX(PP_Grid[#Data],$DE1826,40),0)</f>
        <v/>
      </c>
      <c r="AR1826">
        <f>IFERROR(INDEX(PP_Grid[#Data],$DE1826,41),0)</f>
        <v/>
      </c>
      <c r="AS1826">
        <f>IFERROR(INDEX(PP_Grid[#Data],$DE1826,42),0)</f>
        <v/>
      </c>
      <c r="AT1826">
        <f>IFERROR(INDEX(PP_Grid[#Data],$DE1826,43),0)</f>
        <v/>
      </c>
      <c r="AU1826">
        <f>IFERROR(INDEX(PP_Grid[#Data],$DE1826,44),0)</f>
        <v/>
      </c>
      <c r="AV1826">
        <f>IFERROR(INDEX(PP_Grid[#Data],$DE1826,45),0)</f>
        <v/>
      </c>
      <c r="AW1826">
        <f>IFERROR(INDEX(PP_Grid[#Data],$DE1826,46),0)</f>
        <v/>
      </c>
      <c r="AX1826">
        <f>IFERROR(INDEX(PP_Grid[#Data],$DE1826,47),0)</f>
        <v/>
      </c>
      <c r="AY1826">
        <f>IFERROR(INDEX(PP_Grid[#Data],$DE1826,48),0)</f>
        <v/>
      </c>
      <c r="AZ1826">
        <f>IFERROR(INDEX(PP_Grid[#Data],$DE1826,49),0)</f>
        <v/>
      </c>
      <c r="BA1826">
        <f>IFERROR(INDEX(PP_Grid[#Data],$DE1826,50),0)</f>
        <v/>
      </c>
      <c r="BB1826">
        <f>IFERROR(INDEX(PP_Grid[#Data],$DE1826,51),0)</f>
        <v/>
      </c>
      <c r="BC1826">
        <f>IFERROR(INDEX(PP_Grid[#Data],$DE1826,52),0)</f>
        <v/>
      </c>
      <c r="BD1826">
        <f>IFERROR(INDEX(PP_Grid[#Data],$DE1826,53),0)</f>
        <v/>
      </c>
      <c r="BE1826">
        <f>IFERROR(INDEX(PP_Grid[#Data],$DE1826,54),0)</f>
        <v/>
      </c>
      <c r="BF1826">
        <f>IFERROR(INDEX(PP_Grid[#Data],$DE1826,55),0)</f>
        <v/>
      </c>
      <c r="BG1826">
        <f>IFERROR(INDEX(PP_Grid[#Data],$DE1826,56),0)</f>
        <v/>
      </c>
      <c r="BH1826">
        <f>IFERROR(INDEX(PP_Grid[#Data],$DE1826,57),0)</f>
        <v/>
      </c>
      <c r="BI1826">
        <f>IFERROR(INDEX(PP_Grid[#Data],$DE1826,58),0)</f>
        <v/>
      </c>
      <c r="BJ1826">
        <f>IFERROR(INDEX(PP_Grid[#Data],$DE1826,59),0)</f>
        <v/>
      </c>
      <c r="BK1826">
        <f>IFERROR(INDEX(PP_Grid[#Data],$DE1826,60),0)</f>
        <v/>
      </c>
      <c r="BL1826">
        <f>IFERROR(INDEX(PP_Grid[#Data],$DE1826,61),0)</f>
        <v/>
      </c>
      <c r="BM1826">
        <f>IFERROR(INDEX(PP_Grid[#Data],$DE1826,62),0)</f>
        <v/>
      </c>
      <c r="BN1826">
        <f>IFERROR(INDEX(PP_Grid[#Data],$DE1826,63),0)</f>
        <v/>
      </c>
      <c r="BO1826">
        <f>IFERROR(INDEX(PP_Grid[#Data],$DE1826,64),0)</f>
        <v/>
      </c>
      <c r="BP1826">
        <f>IFERROR(INDEX(PP_Grid[#Data],$DE1826,65),0)</f>
        <v/>
      </c>
      <c r="BQ1826">
        <f>IFERROR(INDEX(PP_Grid[#Data],$DE1826,66),0)</f>
        <v/>
      </c>
      <c r="BR1826">
        <f>IFERROR(INDEX(PP_Grid[#Data],$DE1826,67),0)</f>
        <v/>
      </c>
      <c r="BS1826">
        <f>IFERROR(INDEX(PP_Grid[#Data],$DE1826,68),0)</f>
        <v/>
      </c>
      <c r="BT1826">
        <f>IFERROR(INDEX(PP_Grid[#Data],$DE1826,69),0)</f>
        <v/>
      </c>
      <c r="BU1826">
        <f>IFERROR(INDEX(PP_Grid[#Data],$DE1826,70),0)</f>
        <v/>
      </c>
      <c r="BV1826">
        <f>IFERROR(INDEX(PP_Grid[#Data],$DE1826,71),0)</f>
        <v/>
      </c>
      <c r="BW1826">
        <f>IFERROR(INDEX(PP_Grid[#Data],$DE1826,72),0)</f>
        <v/>
      </c>
      <c r="BX1826">
        <f>IFERROR(INDEX(PP_Grid[#Data],$DE1826,73),0)</f>
        <v/>
      </c>
      <c r="BY1826">
        <f>IFERROR(INDEX(PP_Grid[#Data],$DE1826,74),0)</f>
        <v/>
      </c>
      <c r="BZ1826">
        <f>IFERROR(INDEX(PP_Grid[#Data],$DE1826,75),0)</f>
        <v/>
      </c>
      <c r="CA1826">
        <f>IFERROR(INDEX(PP_Grid[#Data],$DE1826,76),0)</f>
        <v/>
      </c>
      <c r="CB1826">
        <f>IFERROR(INDEX(PP_Grid[#Data],$DE1826,77),0)</f>
        <v/>
      </c>
      <c r="CC1826">
        <f>IFERROR(INDEX(PP_Grid[#Data],$DE1826,78),0)</f>
        <v/>
      </c>
      <c r="CD1826">
        <f>IFERROR(INDEX(PP_Grid[#Data],$DE1826,79),0)</f>
        <v/>
      </c>
      <c r="CE1826">
        <f>IFERROR(INDEX(PP_Grid[#Data],$DE1826,80),0)</f>
        <v/>
      </c>
      <c r="CF1826">
        <f>IFERROR(INDEX(PP_Grid[#Data],$DE1826,81),0)</f>
        <v/>
      </c>
      <c r="CG1826">
        <f>IFERROR(INDEX(PP_Grid[#Data],$DE1826,82),0)</f>
        <v/>
      </c>
      <c r="CH1826">
        <f>IFERROR(INDEX(PP_Grid[#Data],$DE1826,83),0)</f>
        <v/>
      </c>
      <c r="CI1826">
        <f>IFERROR(INDEX(PP_Grid[#Data],$DE1826,84),0)</f>
        <v/>
      </c>
      <c r="CJ1826">
        <f>IFERROR(INDEX(PP_Grid[#Data],$DE1826,85),0)</f>
        <v/>
      </c>
      <c r="CK1826">
        <f>IFERROR(INDEX(PP_Grid[#Data],$DE1826,86),0)</f>
        <v/>
      </c>
      <c r="CL1826">
        <f>IFERROR(INDEX(PP_Grid[#Data],$DE1826,87),0)</f>
        <v/>
      </c>
      <c r="CM1826">
        <f>IFERROR(INDEX(PP_Grid[#Data],$DE1826,88),0)</f>
        <v/>
      </c>
      <c r="CN1826">
        <f>IFERROR(INDEX(PP_Grid[#Data],$DE1826,89),0)</f>
        <v/>
      </c>
      <c r="CO1826">
        <f>IFERROR(INDEX(PP_Grid[#Data],$DE1826,90),0)</f>
        <v/>
      </c>
      <c r="CP1826">
        <f>IFERROR(INDEX(PP_Grid[#Data],$DE1826,91),0)</f>
        <v/>
      </c>
      <c r="CQ1826">
        <f>IFERROR(INDEX(PP_Grid[#Data],$DE1826,92),0)</f>
        <v/>
      </c>
      <c r="CR1826">
        <f>IFERROR(INDEX(PP_Grid[#Data],$DE1826,93),0)</f>
        <v/>
      </c>
      <c r="CS1826">
        <f>IFERROR(INDEX(PP_Grid[#Data],$DE1826,94),0)</f>
        <v/>
      </c>
      <c r="CT1826">
        <f>IFERROR(INDEX(PP_Grid[#Data],$DE1826,95),0)</f>
        <v/>
      </c>
      <c r="CU1826">
        <f>IFERROR(INDEX(PP_Grid[#Data],$DE1826,96),0)</f>
        <v/>
      </c>
      <c r="CV1826">
        <f>IFERROR(INDEX(PP_Grid[#Data],$DE1826,97),0)</f>
        <v/>
      </c>
      <c r="CW1826">
        <f>IFERROR(INDEX(PP_Grid[#Data],$DE1826,98),0)</f>
        <v/>
      </c>
      <c r="CX1826">
        <f>IFERROR(INDEX(PP_Grid[#Data],$DE1826,99),0)</f>
        <v/>
      </c>
      <c r="CY1826">
        <f>IFERROR(INDEX(PP_Grid[#Data],$DE1826,100),0)</f>
        <v/>
      </c>
      <c r="CZ1826">
        <f>IFERROR(INDEX(PP_Grid[#Data],$DE1826,101),0)</f>
        <v/>
      </c>
      <c r="DA1826">
        <f>IFERROR(INDEX(PP_Grid[#Data],$DE1826,102),0)</f>
        <v/>
      </c>
      <c r="DB1826">
        <f>IFERROR(INDEX(PP_Grid[#Data],$DE1826,103),0)</f>
        <v/>
      </c>
      <c r="DC1826">
        <f>IFERROR(INDEX(PP_Grid[#Data],$DE1826,104),0)</f>
        <v/>
      </c>
      <c r="DD1826">
        <f>IFERROR(INDEX(PP_Grid[#Data],$DE1826,105),0)</f>
        <v/>
      </c>
      <c r="DE1826" s="7">
        <f>IFERROR(MATCH($B1826,PP_Grid[Intermediate],0),99999)</f>
        <v/>
      </c>
    </row>
    <row r="1827">
      <c r="B1827" t="inlineStr">
        <is>
          <t>使用量(kg)</t>
        </is>
      </c>
      <c r="C1827">
        <f>SUMIFS(M_BOM[RM_Qty_Per_Batch],M_BOM[Intermediate],$B1826,M_BOM[RM_Code],$A1825)</f>
        <v/>
      </c>
      <c r="D1827">
        <f>IFERROR(INDEX(E1827:DD1827,$F$1),"")</f>
        <v/>
      </c>
      <c r="E1827">
        <f>$C1827*E1826</f>
        <v/>
      </c>
      <c r="F1827">
        <f>$C1827*F1826</f>
        <v/>
      </c>
      <c r="G1827">
        <f>$C1827*G1826</f>
        <v/>
      </c>
      <c r="H1827">
        <f>$C1827*H1826</f>
        <v/>
      </c>
      <c r="I1827">
        <f>$C1827*I1826</f>
        <v/>
      </c>
      <c r="J1827">
        <f>$C1827*J1826</f>
        <v/>
      </c>
      <c r="K1827">
        <f>$C1827*K1826</f>
        <v/>
      </c>
      <c r="L1827">
        <f>$C1827*L1826</f>
        <v/>
      </c>
      <c r="M1827">
        <f>$C1827*M1826</f>
        <v/>
      </c>
      <c r="N1827">
        <f>$C1827*N1826</f>
        <v/>
      </c>
      <c r="O1827">
        <f>$C1827*O1826</f>
        <v/>
      </c>
      <c r="P1827">
        <f>$C1827*P1826</f>
        <v/>
      </c>
      <c r="Q1827">
        <f>$C1827*Q1826</f>
        <v/>
      </c>
      <c r="R1827">
        <f>$C1827*R1826</f>
        <v/>
      </c>
      <c r="S1827">
        <f>$C1827*S1826</f>
        <v/>
      </c>
      <c r="T1827">
        <f>$C1827*T1826</f>
        <v/>
      </c>
      <c r="U1827">
        <f>$C1827*U1826</f>
        <v/>
      </c>
      <c r="V1827">
        <f>$C1827*V1826</f>
        <v/>
      </c>
      <c r="W1827">
        <f>$C1827*W1826</f>
        <v/>
      </c>
      <c r="X1827">
        <f>$C1827*X1826</f>
        <v/>
      </c>
      <c r="Y1827">
        <f>$C1827*Y1826</f>
        <v/>
      </c>
      <c r="Z1827">
        <f>$C1827*Z1826</f>
        <v/>
      </c>
      <c r="AA1827">
        <f>$C1827*AA1826</f>
        <v/>
      </c>
      <c r="AB1827">
        <f>$C1827*AB1826</f>
        <v/>
      </c>
      <c r="AC1827">
        <f>$C1827*AC1826</f>
        <v/>
      </c>
      <c r="AD1827">
        <f>$C1827*AD1826</f>
        <v/>
      </c>
      <c r="AE1827">
        <f>$C1827*AE1826</f>
        <v/>
      </c>
      <c r="AF1827">
        <f>$C1827*AF1826</f>
        <v/>
      </c>
      <c r="AG1827">
        <f>$C1827*AG1826</f>
        <v/>
      </c>
      <c r="AH1827">
        <f>$C1827*AH1826</f>
        <v/>
      </c>
      <c r="AI1827">
        <f>$C1827*AI1826</f>
        <v/>
      </c>
      <c r="AJ1827">
        <f>$C1827*AJ1826</f>
        <v/>
      </c>
      <c r="AK1827">
        <f>$C1827*AK1826</f>
        <v/>
      </c>
      <c r="AL1827">
        <f>$C1827*AL1826</f>
        <v/>
      </c>
      <c r="AM1827">
        <f>$C1827*AM1826</f>
        <v/>
      </c>
      <c r="AN1827">
        <f>$C1827*AN1826</f>
        <v/>
      </c>
      <c r="AO1827">
        <f>$C1827*AO1826</f>
        <v/>
      </c>
      <c r="AP1827">
        <f>$C1827*AP1826</f>
        <v/>
      </c>
      <c r="AQ1827">
        <f>$C1827*AQ1826</f>
        <v/>
      </c>
      <c r="AR1827">
        <f>$C1827*AR1826</f>
        <v/>
      </c>
      <c r="AS1827">
        <f>$C1827*AS1826</f>
        <v/>
      </c>
      <c r="AT1827">
        <f>$C1827*AT1826</f>
        <v/>
      </c>
      <c r="AU1827">
        <f>$C1827*AU1826</f>
        <v/>
      </c>
      <c r="AV1827">
        <f>$C1827*AV1826</f>
        <v/>
      </c>
      <c r="AW1827">
        <f>$C1827*AW1826</f>
        <v/>
      </c>
      <c r="AX1827">
        <f>$C1827*AX1826</f>
        <v/>
      </c>
      <c r="AY1827">
        <f>$C1827*AY1826</f>
        <v/>
      </c>
      <c r="AZ1827">
        <f>$C1827*AZ1826</f>
        <v/>
      </c>
      <c r="BA1827">
        <f>$C1827*BA1826</f>
        <v/>
      </c>
      <c r="BB1827">
        <f>$C1827*BB1826</f>
        <v/>
      </c>
      <c r="BC1827">
        <f>$C1827*BC1826</f>
        <v/>
      </c>
      <c r="BD1827">
        <f>$C1827*BD1826</f>
        <v/>
      </c>
      <c r="BE1827">
        <f>$C1827*BE1826</f>
        <v/>
      </c>
      <c r="BF1827">
        <f>$C1827*BF1826</f>
        <v/>
      </c>
      <c r="BG1827">
        <f>$C1827*BG1826</f>
        <v/>
      </c>
      <c r="BH1827">
        <f>$C1827*BH1826</f>
        <v/>
      </c>
      <c r="BI1827">
        <f>$C1827*BI1826</f>
        <v/>
      </c>
      <c r="BJ1827">
        <f>$C1827*BJ1826</f>
        <v/>
      </c>
      <c r="BK1827">
        <f>$C1827*BK1826</f>
        <v/>
      </c>
      <c r="BL1827">
        <f>$C1827*BL1826</f>
        <v/>
      </c>
      <c r="BM1827">
        <f>$C1827*BM1826</f>
        <v/>
      </c>
      <c r="BN1827">
        <f>$C1827*BN1826</f>
        <v/>
      </c>
      <c r="BO1827">
        <f>$C1827*BO1826</f>
        <v/>
      </c>
      <c r="BP1827">
        <f>$C1827*BP1826</f>
        <v/>
      </c>
      <c r="BQ1827">
        <f>$C1827*BQ1826</f>
        <v/>
      </c>
      <c r="BR1827">
        <f>$C1827*BR1826</f>
        <v/>
      </c>
      <c r="BS1827">
        <f>$C1827*BS1826</f>
        <v/>
      </c>
      <c r="BT1827">
        <f>$C1827*BT1826</f>
        <v/>
      </c>
      <c r="BU1827">
        <f>$C1827*BU1826</f>
        <v/>
      </c>
      <c r="BV1827">
        <f>$C1827*BV1826</f>
        <v/>
      </c>
      <c r="BW1827">
        <f>$C1827*BW1826</f>
        <v/>
      </c>
      <c r="BX1827">
        <f>$C1827*BX1826</f>
        <v/>
      </c>
      <c r="BY1827">
        <f>$C1827*BY1826</f>
        <v/>
      </c>
      <c r="BZ1827">
        <f>$C1827*BZ1826</f>
        <v/>
      </c>
      <c r="CA1827">
        <f>$C1827*CA1826</f>
        <v/>
      </c>
      <c r="CB1827">
        <f>$C1827*CB1826</f>
        <v/>
      </c>
      <c r="CC1827">
        <f>$C1827*CC1826</f>
        <v/>
      </c>
      <c r="CD1827">
        <f>$C1827*CD1826</f>
        <v/>
      </c>
      <c r="CE1827">
        <f>$C1827*CE1826</f>
        <v/>
      </c>
      <c r="CF1827">
        <f>$C1827*CF1826</f>
        <v/>
      </c>
      <c r="CG1827">
        <f>$C1827*CG1826</f>
        <v/>
      </c>
      <c r="CH1827">
        <f>$C1827*CH1826</f>
        <v/>
      </c>
      <c r="CI1827">
        <f>$C1827*CI1826</f>
        <v/>
      </c>
      <c r="CJ1827">
        <f>$C1827*CJ1826</f>
        <v/>
      </c>
      <c r="CK1827">
        <f>$C1827*CK1826</f>
        <v/>
      </c>
      <c r="CL1827">
        <f>$C1827*CL1826</f>
        <v/>
      </c>
      <c r="CM1827">
        <f>$C1827*CM1826</f>
        <v/>
      </c>
      <c r="CN1827">
        <f>$C1827*CN1826</f>
        <v/>
      </c>
      <c r="CO1827">
        <f>$C1827*CO1826</f>
        <v/>
      </c>
      <c r="CP1827">
        <f>$C1827*CP1826</f>
        <v/>
      </c>
      <c r="CQ1827">
        <f>$C1827*CQ1826</f>
        <v/>
      </c>
      <c r="CR1827">
        <f>$C1827*CR1826</f>
        <v/>
      </c>
      <c r="CS1827">
        <f>$C1827*CS1826</f>
        <v/>
      </c>
      <c r="CT1827">
        <f>$C1827*CT1826</f>
        <v/>
      </c>
      <c r="CU1827">
        <f>$C1827*CU1826</f>
        <v/>
      </c>
      <c r="CV1827">
        <f>$C1827*CV1826</f>
        <v/>
      </c>
      <c r="CW1827">
        <f>$C1827*CW1826</f>
        <v/>
      </c>
      <c r="CX1827">
        <f>$C1827*CX1826</f>
        <v/>
      </c>
      <c r="CY1827">
        <f>$C1827*CY1826</f>
        <v/>
      </c>
      <c r="CZ1827">
        <f>$C1827*CZ1826</f>
        <v/>
      </c>
      <c r="DA1827">
        <f>$C1827*DA1826</f>
        <v/>
      </c>
      <c r="DB1827">
        <f>$C1827*DB1826</f>
        <v/>
      </c>
      <c r="DC1827">
        <f>$C1827*DC1826</f>
        <v/>
      </c>
      <c r="DD1827">
        <f>$C1827*DD1826</f>
        <v/>
      </c>
    </row>
    <row r="1828">
      <c r="B1828" t="inlineStr">
        <is>
          <t>TSP-360</t>
        </is>
      </c>
      <c r="C1828" t="inlineStr">
        <is>
          <t>No. of batches</t>
        </is>
      </c>
      <c r="D1828">
        <f>IFERROR(INDEX(E1828:DD1828,$F$1),"")</f>
        <v/>
      </c>
      <c r="E1828">
        <f>IFERROR(INDEX(PP_Grid[#Data],$DE1828,2),0)</f>
        <v/>
      </c>
      <c r="F1828">
        <f>IFERROR(INDEX(PP_Grid[#Data],$DE1828,3),0)</f>
        <v/>
      </c>
      <c r="G1828">
        <f>IFERROR(INDEX(PP_Grid[#Data],$DE1828,4),0)</f>
        <v/>
      </c>
      <c r="H1828">
        <f>IFERROR(INDEX(PP_Grid[#Data],$DE1828,5),0)</f>
        <v/>
      </c>
      <c r="I1828">
        <f>IFERROR(INDEX(PP_Grid[#Data],$DE1828,6),0)</f>
        <v/>
      </c>
      <c r="J1828">
        <f>IFERROR(INDEX(PP_Grid[#Data],$DE1828,7),0)</f>
        <v/>
      </c>
      <c r="K1828">
        <f>IFERROR(INDEX(PP_Grid[#Data],$DE1828,8),0)</f>
        <v/>
      </c>
      <c r="L1828">
        <f>IFERROR(INDEX(PP_Grid[#Data],$DE1828,9),0)</f>
        <v/>
      </c>
      <c r="M1828">
        <f>IFERROR(INDEX(PP_Grid[#Data],$DE1828,10),0)</f>
        <v/>
      </c>
      <c r="N1828">
        <f>IFERROR(INDEX(PP_Grid[#Data],$DE1828,11),0)</f>
        <v/>
      </c>
      <c r="O1828">
        <f>IFERROR(INDEX(PP_Grid[#Data],$DE1828,12),0)</f>
        <v/>
      </c>
      <c r="P1828">
        <f>IFERROR(INDEX(PP_Grid[#Data],$DE1828,13),0)</f>
        <v/>
      </c>
      <c r="Q1828">
        <f>IFERROR(INDEX(PP_Grid[#Data],$DE1828,14),0)</f>
        <v/>
      </c>
      <c r="R1828">
        <f>IFERROR(INDEX(PP_Grid[#Data],$DE1828,15),0)</f>
        <v/>
      </c>
      <c r="S1828">
        <f>IFERROR(INDEX(PP_Grid[#Data],$DE1828,16),0)</f>
        <v/>
      </c>
      <c r="T1828">
        <f>IFERROR(INDEX(PP_Grid[#Data],$DE1828,17),0)</f>
        <v/>
      </c>
      <c r="U1828">
        <f>IFERROR(INDEX(PP_Grid[#Data],$DE1828,18),0)</f>
        <v/>
      </c>
      <c r="V1828">
        <f>IFERROR(INDEX(PP_Grid[#Data],$DE1828,19),0)</f>
        <v/>
      </c>
      <c r="W1828">
        <f>IFERROR(INDEX(PP_Grid[#Data],$DE1828,20),0)</f>
        <v/>
      </c>
      <c r="X1828">
        <f>IFERROR(INDEX(PP_Grid[#Data],$DE1828,21),0)</f>
        <v/>
      </c>
      <c r="Y1828">
        <f>IFERROR(INDEX(PP_Grid[#Data],$DE1828,22),0)</f>
        <v/>
      </c>
      <c r="Z1828">
        <f>IFERROR(INDEX(PP_Grid[#Data],$DE1828,23),0)</f>
        <v/>
      </c>
      <c r="AA1828">
        <f>IFERROR(INDEX(PP_Grid[#Data],$DE1828,24),0)</f>
        <v/>
      </c>
      <c r="AB1828">
        <f>IFERROR(INDEX(PP_Grid[#Data],$DE1828,25),0)</f>
        <v/>
      </c>
      <c r="AC1828">
        <f>IFERROR(INDEX(PP_Grid[#Data],$DE1828,26),0)</f>
        <v/>
      </c>
      <c r="AD1828">
        <f>IFERROR(INDEX(PP_Grid[#Data],$DE1828,27),0)</f>
        <v/>
      </c>
      <c r="AE1828">
        <f>IFERROR(INDEX(PP_Grid[#Data],$DE1828,28),0)</f>
        <v/>
      </c>
      <c r="AF1828">
        <f>IFERROR(INDEX(PP_Grid[#Data],$DE1828,29),0)</f>
        <v/>
      </c>
      <c r="AG1828">
        <f>IFERROR(INDEX(PP_Grid[#Data],$DE1828,30),0)</f>
        <v/>
      </c>
      <c r="AH1828">
        <f>IFERROR(INDEX(PP_Grid[#Data],$DE1828,31),0)</f>
        <v/>
      </c>
      <c r="AI1828">
        <f>IFERROR(INDEX(PP_Grid[#Data],$DE1828,32),0)</f>
        <v/>
      </c>
      <c r="AJ1828">
        <f>IFERROR(INDEX(PP_Grid[#Data],$DE1828,33),0)</f>
        <v/>
      </c>
      <c r="AK1828">
        <f>IFERROR(INDEX(PP_Grid[#Data],$DE1828,34),0)</f>
        <v/>
      </c>
      <c r="AL1828">
        <f>IFERROR(INDEX(PP_Grid[#Data],$DE1828,35),0)</f>
        <v/>
      </c>
      <c r="AM1828">
        <f>IFERROR(INDEX(PP_Grid[#Data],$DE1828,36),0)</f>
        <v/>
      </c>
      <c r="AN1828">
        <f>IFERROR(INDEX(PP_Grid[#Data],$DE1828,37),0)</f>
        <v/>
      </c>
      <c r="AO1828">
        <f>IFERROR(INDEX(PP_Grid[#Data],$DE1828,38),0)</f>
        <v/>
      </c>
      <c r="AP1828">
        <f>IFERROR(INDEX(PP_Grid[#Data],$DE1828,39),0)</f>
        <v/>
      </c>
      <c r="AQ1828">
        <f>IFERROR(INDEX(PP_Grid[#Data],$DE1828,40),0)</f>
        <v/>
      </c>
      <c r="AR1828">
        <f>IFERROR(INDEX(PP_Grid[#Data],$DE1828,41),0)</f>
        <v/>
      </c>
      <c r="AS1828">
        <f>IFERROR(INDEX(PP_Grid[#Data],$DE1828,42),0)</f>
        <v/>
      </c>
      <c r="AT1828">
        <f>IFERROR(INDEX(PP_Grid[#Data],$DE1828,43),0)</f>
        <v/>
      </c>
      <c r="AU1828">
        <f>IFERROR(INDEX(PP_Grid[#Data],$DE1828,44),0)</f>
        <v/>
      </c>
      <c r="AV1828">
        <f>IFERROR(INDEX(PP_Grid[#Data],$DE1828,45),0)</f>
        <v/>
      </c>
      <c r="AW1828">
        <f>IFERROR(INDEX(PP_Grid[#Data],$DE1828,46),0)</f>
        <v/>
      </c>
      <c r="AX1828">
        <f>IFERROR(INDEX(PP_Grid[#Data],$DE1828,47),0)</f>
        <v/>
      </c>
      <c r="AY1828">
        <f>IFERROR(INDEX(PP_Grid[#Data],$DE1828,48),0)</f>
        <v/>
      </c>
      <c r="AZ1828">
        <f>IFERROR(INDEX(PP_Grid[#Data],$DE1828,49),0)</f>
        <v/>
      </c>
      <c r="BA1828">
        <f>IFERROR(INDEX(PP_Grid[#Data],$DE1828,50),0)</f>
        <v/>
      </c>
      <c r="BB1828">
        <f>IFERROR(INDEX(PP_Grid[#Data],$DE1828,51),0)</f>
        <v/>
      </c>
      <c r="BC1828">
        <f>IFERROR(INDEX(PP_Grid[#Data],$DE1828,52),0)</f>
        <v/>
      </c>
      <c r="BD1828">
        <f>IFERROR(INDEX(PP_Grid[#Data],$DE1828,53),0)</f>
        <v/>
      </c>
      <c r="BE1828">
        <f>IFERROR(INDEX(PP_Grid[#Data],$DE1828,54),0)</f>
        <v/>
      </c>
      <c r="BF1828">
        <f>IFERROR(INDEX(PP_Grid[#Data],$DE1828,55),0)</f>
        <v/>
      </c>
      <c r="BG1828">
        <f>IFERROR(INDEX(PP_Grid[#Data],$DE1828,56),0)</f>
        <v/>
      </c>
      <c r="BH1828">
        <f>IFERROR(INDEX(PP_Grid[#Data],$DE1828,57),0)</f>
        <v/>
      </c>
      <c r="BI1828">
        <f>IFERROR(INDEX(PP_Grid[#Data],$DE1828,58),0)</f>
        <v/>
      </c>
      <c r="BJ1828">
        <f>IFERROR(INDEX(PP_Grid[#Data],$DE1828,59),0)</f>
        <v/>
      </c>
      <c r="BK1828">
        <f>IFERROR(INDEX(PP_Grid[#Data],$DE1828,60),0)</f>
        <v/>
      </c>
      <c r="BL1828">
        <f>IFERROR(INDEX(PP_Grid[#Data],$DE1828,61),0)</f>
        <v/>
      </c>
      <c r="BM1828">
        <f>IFERROR(INDEX(PP_Grid[#Data],$DE1828,62),0)</f>
        <v/>
      </c>
      <c r="BN1828">
        <f>IFERROR(INDEX(PP_Grid[#Data],$DE1828,63),0)</f>
        <v/>
      </c>
      <c r="BO1828">
        <f>IFERROR(INDEX(PP_Grid[#Data],$DE1828,64),0)</f>
        <v/>
      </c>
      <c r="BP1828">
        <f>IFERROR(INDEX(PP_Grid[#Data],$DE1828,65),0)</f>
        <v/>
      </c>
      <c r="BQ1828">
        <f>IFERROR(INDEX(PP_Grid[#Data],$DE1828,66),0)</f>
        <v/>
      </c>
      <c r="BR1828">
        <f>IFERROR(INDEX(PP_Grid[#Data],$DE1828,67),0)</f>
        <v/>
      </c>
      <c r="BS1828">
        <f>IFERROR(INDEX(PP_Grid[#Data],$DE1828,68),0)</f>
        <v/>
      </c>
      <c r="BT1828">
        <f>IFERROR(INDEX(PP_Grid[#Data],$DE1828,69),0)</f>
        <v/>
      </c>
      <c r="BU1828">
        <f>IFERROR(INDEX(PP_Grid[#Data],$DE1828,70),0)</f>
        <v/>
      </c>
      <c r="BV1828">
        <f>IFERROR(INDEX(PP_Grid[#Data],$DE1828,71),0)</f>
        <v/>
      </c>
      <c r="BW1828">
        <f>IFERROR(INDEX(PP_Grid[#Data],$DE1828,72),0)</f>
        <v/>
      </c>
      <c r="BX1828">
        <f>IFERROR(INDEX(PP_Grid[#Data],$DE1828,73),0)</f>
        <v/>
      </c>
      <c r="BY1828">
        <f>IFERROR(INDEX(PP_Grid[#Data],$DE1828,74),0)</f>
        <v/>
      </c>
      <c r="BZ1828">
        <f>IFERROR(INDEX(PP_Grid[#Data],$DE1828,75),0)</f>
        <v/>
      </c>
      <c r="CA1828">
        <f>IFERROR(INDEX(PP_Grid[#Data],$DE1828,76),0)</f>
        <v/>
      </c>
      <c r="CB1828">
        <f>IFERROR(INDEX(PP_Grid[#Data],$DE1828,77),0)</f>
        <v/>
      </c>
      <c r="CC1828">
        <f>IFERROR(INDEX(PP_Grid[#Data],$DE1828,78),0)</f>
        <v/>
      </c>
      <c r="CD1828">
        <f>IFERROR(INDEX(PP_Grid[#Data],$DE1828,79),0)</f>
        <v/>
      </c>
      <c r="CE1828">
        <f>IFERROR(INDEX(PP_Grid[#Data],$DE1828,80),0)</f>
        <v/>
      </c>
      <c r="CF1828">
        <f>IFERROR(INDEX(PP_Grid[#Data],$DE1828,81),0)</f>
        <v/>
      </c>
      <c r="CG1828">
        <f>IFERROR(INDEX(PP_Grid[#Data],$DE1828,82),0)</f>
        <v/>
      </c>
      <c r="CH1828">
        <f>IFERROR(INDEX(PP_Grid[#Data],$DE1828,83),0)</f>
        <v/>
      </c>
      <c r="CI1828">
        <f>IFERROR(INDEX(PP_Grid[#Data],$DE1828,84),0)</f>
        <v/>
      </c>
      <c r="CJ1828">
        <f>IFERROR(INDEX(PP_Grid[#Data],$DE1828,85),0)</f>
        <v/>
      </c>
      <c r="CK1828">
        <f>IFERROR(INDEX(PP_Grid[#Data],$DE1828,86),0)</f>
        <v/>
      </c>
      <c r="CL1828">
        <f>IFERROR(INDEX(PP_Grid[#Data],$DE1828,87),0)</f>
        <v/>
      </c>
      <c r="CM1828">
        <f>IFERROR(INDEX(PP_Grid[#Data],$DE1828,88),0)</f>
        <v/>
      </c>
      <c r="CN1828">
        <f>IFERROR(INDEX(PP_Grid[#Data],$DE1828,89),0)</f>
        <v/>
      </c>
      <c r="CO1828">
        <f>IFERROR(INDEX(PP_Grid[#Data],$DE1828,90),0)</f>
        <v/>
      </c>
      <c r="CP1828">
        <f>IFERROR(INDEX(PP_Grid[#Data],$DE1828,91),0)</f>
        <v/>
      </c>
      <c r="CQ1828">
        <f>IFERROR(INDEX(PP_Grid[#Data],$DE1828,92),0)</f>
        <v/>
      </c>
      <c r="CR1828">
        <f>IFERROR(INDEX(PP_Grid[#Data],$DE1828,93),0)</f>
        <v/>
      </c>
      <c r="CS1828">
        <f>IFERROR(INDEX(PP_Grid[#Data],$DE1828,94),0)</f>
        <v/>
      </c>
      <c r="CT1828">
        <f>IFERROR(INDEX(PP_Grid[#Data],$DE1828,95),0)</f>
        <v/>
      </c>
      <c r="CU1828">
        <f>IFERROR(INDEX(PP_Grid[#Data],$DE1828,96),0)</f>
        <v/>
      </c>
      <c r="CV1828">
        <f>IFERROR(INDEX(PP_Grid[#Data],$DE1828,97),0)</f>
        <v/>
      </c>
      <c r="CW1828">
        <f>IFERROR(INDEX(PP_Grid[#Data],$DE1828,98),0)</f>
        <v/>
      </c>
      <c r="CX1828">
        <f>IFERROR(INDEX(PP_Grid[#Data],$DE1828,99),0)</f>
        <v/>
      </c>
      <c r="CY1828">
        <f>IFERROR(INDEX(PP_Grid[#Data],$DE1828,100),0)</f>
        <v/>
      </c>
      <c r="CZ1828">
        <f>IFERROR(INDEX(PP_Grid[#Data],$DE1828,101),0)</f>
        <v/>
      </c>
      <c r="DA1828">
        <f>IFERROR(INDEX(PP_Grid[#Data],$DE1828,102),0)</f>
        <v/>
      </c>
      <c r="DB1828">
        <f>IFERROR(INDEX(PP_Grid[#Data],$DE1828,103),0)</f>
        <v/>
      </c>
      <c r="DC1828">
        <f>IFERROR(INDEX(PP_Grid[#Data],$DE1828,104),0)</f>
        <v/>
      </c>
      <c r="DD1828">
        <f>IFERROR(INDEX(PP_Grid[#Data],$DE1828,105),0)</f>
        <v/>
      </c>
      <c r="DE1828" s="7">
        <f>IFERROR(MATCH($B1828,PP_Grid[Intermediate],0),99999)</f>
        <v/>
      </c>
    </row>
    <row r="1829">
      <c r="B1829" t="inlineStr">
        <is>
          <t>使用量(kg)</t>
        </is>
      </c>
      <c r="C1829">
        <f>SUMIFS(M_BOM[RM_Qty_Per_Batch],M_BOM[Intermediate],$B1828,M_BOM[RM_Code],$A1825)</f>
        <v/>
      </c>
      <c r="D1829">
        <f>IFERROR(INDEX(E1829:DD1829,$F$1),"")</f>
        <v/>
      </c>
      <c r="E1829">
        <f>$C1829*E1828</f>
        <v/>
      </c>
      <c r="F1829">
        <f>$C1829*F1828</f>
        <v/>
      </c>
      <c r="G1829">
        <f>$C1829*G1828</f>
        <v/>
      </c>
      <c r="H1829">
        <f>$C1829*H1828</f>
        <v/>
      </c>
      <c r="I1829">
        <f>$C1829*I1828</f>
        <v/>
      </c>
      <c r="J1829">
        <f>$C1829*J1828</f>
        <v/>
      </c>
      <c r="K1829">
        <f>$C1829*K1828</f>
        <v/>
      </c>
      <c r="L1829">
        <f>$C1829*L1828</f>
        <v/>
      </c>
      <c r="M1829">
        <f>$C1829*M1828</f>
        <v/>
      </c>
      <c r="N1829">
        <f>$C1829*N1828</f>
        <v/>
      </c>
      <c r="O1829">
        <f>$C1829*O1828</f>
        <v/>
      </c>
      <c r="P1829">
        <f>$C1829*P1828</f>
        <v/>
      </c>
      <c r="Q1829">
        <f>$C1829*Q1828</f>
        <v/>
      </c>
      <c r="R1829">
        <f>$C1829*R1828</f>
        <v/>
      </c>
      <c r="S1829">
        <f>$C1829*S1828</f>
        <v/>
      </c>
      <c r="T1829">
        <f>$C1829*T1828</f>
        <v/>
      </c>
      <c r="U1829">
        <f>$C1829*U1828</f>
        <v/>
      </c>
      <c r="V1829">
        <f>$C1829*V1828</f>
        <v/>
      </c>
      <c r="W1829">
        <f>$C1829*W1828</f>
        <v/>
      </c>
      <c r="X1829">
        <f>$C1829*X1828</f>
        <v/>
      </c>
      <c r="Y1829">
        <f>$C1829*Y1828</f>
        <v/>
      </c>
      <c r="Z1829">
        <f>$C1829*Z1828</f>
        <v/>
      </c>
      <c r="AA1829">
        <f>$C1829*AA1828</f>
        <v/>
      </c>
      <c r="AB1829">
        <f>$C1829*AB1828</f>
        <v/>
      </c>
      <c r="AC1829">
        <f>$C1829*AC1828</f>
        <v/>
      </c>
      <c r="AD1829">
        <f>$C1829*AD1828</f>
        <v/>
      </c>
      <c r="AE1829">
        <f>$C1829*AE1828</f>
        <v/>
      </c>
      <c r="AF1829">
        <f>$C1829*AF1828</f>
        <v/>
      </c>
      <c r="AG1829">
        <f>$C1829*AG1828</f>
        <v/>
      </c>
      <c r="AH1829">
        <f>$C1829*AH1828</f>
        <v/>
      </c>
      <c r="AI1829">
        <f>$C1829*AI1828</f>
        <v/>
      </c>
      <c r="AJ1829">
        <f>$C1829*AJ1828</f>
        <v/>
      </c>
      <c r="AK1829">
        <f>$C1829*AK1828</f>
        <v/>
      </c>
      <c r="AL1829">
        <f>$C1829*AL1828</f>
        <v/>
      </c>
      <c r="AM1829">
        <f>$C1829*AM1828</f>
        <v/>
      </c>
      <c r="AN1829">
        <f>$C1829*AN1828</f>
        <v/>
      </c>
      <c r="AO1829">
        <f>$C1829*AO1828</f>
        <v/>
      </c>
      <c r="AP1829">
        <f>$C1829*AP1828</f>
        <v/>
      </c>
      <c r="AQ1829">
        <f>$C1829*AQ1828</f>
        <v/>
      </c>
      <c r="AR1829">
        <f>$C1829*AR1828</f>
        <v/>
      </c>
      <c r="AS1829">
        <f>$C1829*AS1828</f>
        <v/>
      </c>
      <c r="AT1829">
        <f>$C1829*AT1828</f>
        <v/>
      </c>
      <c r="AU1829">
        <f>$C1829*AU1828</f>
        <v/>
      </c>
      <c r="AV1829">
        <f>$C1829*AV1828</f>
        <v/>
      </c>
      <c r="AW1829">
        <f>$C1829*AW1828</f>
        <v/>
      </c>
      <c r="AX1829">
        <f>$C1829*AX1828</f>
        <v/>
      </c>
      <c r="AY1829">
        <f>$C1829*AY1828</f>
        <v/>
      </c>
      <c r="AZ1829">
        <f>$C1829*AZ1828</f>
        <v/>
      </c>
      <c r="BA1829">
        <f>$C1829*BA1828</f>
        <v/>
      </c>
      <c r="BB1829">
        <f>$C1829*BB1828</f>
        <v/>
      </c>
      <c r="BC1829">
        <f>$C1829*BC1828</f>
        <v/>
      </c>
      <c r="BD1829">
        <f>$C1829*BD1828</f>
        <v/>
      </c>
      <c r="BE1829">
        <f>$C1829*BE1828</f>
        <v/>
      </c>
      <c r="BF1829">
        <f>$C1829*BF1828</f>
        <v/>
      </c>
      <c r="BG1829">
        <f>$C1829*BG1828</f>
        <v/>
      </c>
      <c r="BH1829">
        <f>$C1829*BH1828</f>
        <v/>
      </c>
      <c r="BI1829">
        <f>$C1829*BI1828</f>
        <v/>
      </c>
      <c r="BJ1829">
        <f>$C1829*BJ1828</f>
        <v/>
      </c>
      <c r="BK1829">
        <f>$C1829*BK1828</f>
        <v/>
      </c>
      <c r="BL1829">
        <f>$C1829*BL1828</f>
        <v/>
      </c>
      <c r="BM1829">
        <f>$C1829*BM1828</f>
        <v/>
      </c>
      <c r="BN1829">
        <f>$C1829*BN1828</f>
        <v/>
      </c>
      <c r="BO1829">
        <f>$C1829*BO1828</f>
        <v/>
      </c>
      <c r="BP1829">
        <f>$C1829*BP1828</f>
        <v/>
      </c>
      <c r="BQ1829">
        <f>$C1829*BQ1828</f>
        <v/>
      </c>
      <c r="BR1829">
        <f>$C1829*BR1828</f>
        <v/>
      </c>
      <c r="BS1829">
        <f>$C1829*BS1828</f>
        <v/>
      </c>
      <c r="BT1829">
        <f>$C1829*BT1828</f>
        <v/>
      </c>
      <c r="BU1829">
        <f>$C1829*BU1828</f>
        <v/>
      </c>
      <c r="BV1829">
        <f>$C1829*BV1828</f>
        <v/>
      </c>
      <c r="BW1829">
        <f>$C1829*BW1828</f>
        <v/>
      </c>
      <c r="BX1829">
        <f>$C1829*BX1828</f>
        <v/>
      </c>
      <c r="BY1829">
        <f>$C1829*BY1828</f>
        <v/>
      </c>
      <c r="BZ1829">
        <f>$C1829*BZ1828</f>
        <v/>
      </c>
      <c r="CA1829">
        <f>$C1829*CA1828</f>
        <v/>
      </c>
      <c r="CB1829">
        <f>$C1829*CB1828</f>
        <v/>
      </c>
      <c r="CC1829">
        <f>$C1829*CC1828</f>
        <v/>
      </c>
      <c r="CD1829">
        <f>$C1829*CD1828</f>
        <v/>
      </c>
      <c r="CE1829">
        <f>$C1829*CE1828</f>
        <v/>
      </c>
      <c r="CF1829">
        <f>$C1829*CF1828</f>
        <v/>
      </c>
      <c r="CG1829">
        <f>$C1829*CG1828</f>
        <v/>
      </c>
      <c r="CH1829">
        <f>$C1829*CH1828</f>
        <v/>
      </c>
      <c r="CI1829">
        <f>$C1829*CI1828</f>
        <v/>
      </c>
      <c r="CJ1829">
        <f>$C1829*CJ1828</f>
        <v/>
      </c>
      <c r="CK1829">
        <f>$C1829*CK1828</f>
        <v/>
      </c>
      <c r="CL1829">
        <f>$C1829*CL1828</f>
        <v/>
      </c>
      <c r="CM1829">
        <f>$C1829*CM1828</f>
        <v/>
      </c>
      <c r="CN1829">
        <f>$C1829*CN1828</f>
        <v/>
      </c>
      <c r="CO1829">
        <f>$C1829*CO1828</f>
        <v/>
      </c>
      <c r="CP1829">
        <f>$C1829*CP1828</f>
        <v/>
      </c>
      <c r="CQ1829">
        <f>$C1829*CQ1828</f>
        <v/>
      </c>
      <c r="CR1829">
        <f>$C1829*CR1828</f>
        <v/>
      </c>
      <c r="CS1829">
        <f>$C1829*CS1828</f>
        <v/>
      </c>
      <c r="CT1829">
        <f>$C1829*CT1828</f>
        <v/>
      </c>
      <c r="CU1829">
        <f>$C1829*CU1828</f>
        <v/>
      </c>
      <c r="CV1829">
        <f>$C1829*CV1828</f>
        <v/>
      </c>
      <c r="CW1829">
        <f>$C1829*CW1828</f>
        <v/>
      </c>
      <c r="CX1829">
        <f>$C1829*CX1828</f>
        <v/>
      </c>
      <c r="CY1829">
        <f>$C1829*CY1828</f>
        <v/>
      </c>
      <c r="CZ1829">
        <f>$C1829*CZ1828</f>
        <v/>
      </c>
      <c r="DA1829">
        <f>$C1829*DA1828</f>
        <v/>
      </c>
      <c r="DB1829">
        <f>$C1829*DB1828</f>
        <v/>
      </c>
      <c r="DC1829">
        <f>$C1829*DC1828</f>
        <v/>
      </c>
      <c r="DD1829">
        <f>$C1829*DD1828</f>
        <v/>
      </c>
    </row>
    <row r="1830">
      <c r="B1830" t="inlineStr">
        <is>
          <t>TSP-367</t>
        </is>
      </c>
      <c r="C1830" t="inlineStr">
        <is>
          <t>No. of batches</t>
        </is>
      </c>
      <c r="D1830">
        <f>IFERROR(INDEX(E1830:DD1830,$F$1),"")</f>
        <v/>
      </c>
      <c r="E1830">
        <f>IFERROR(INDEX(PP_Grid[#Data],$DE1830,2),0)</f>
        <v/>
      </c>
      <c r="F1830">
        <f>IFERROR(INDEX(PP_Grid[#Data],$DE1830,3),0)</f>
        <v/>
      </c>
      <c r="G1830">
        <f>IFERROR(INDEX(PP_Grid[#Data],$DE1830,4),0)</f>
        <v/>
      </c>
      <c r="H1830">
        <f>IFERROR(INDEX(PP_Grid[#Data],$DE1830,5),0)</f>
        <v/>
      </c>
      <c r="I1830">
        <f>IFERROR(INDEX(PP_Grid[#Data],$DE1830,6),0)</f>
        <v/>
      </c>
      <c r="J1830">
        <f>IFERROR(INDEX(PP_Grid[#Data],$DE1830,7),0)</f>
        <v/>
      </c>
      <c r="K1830">
        <f>IFERROR(INDEX(PP_Grid[#Data],$DE1830,8),0)</f>
        <v/>
      </c>
      <c r="L1830">
        <f>IFERROR(INDEX(PP_Grid[#Data],$DE1830,9),0)</f>
        <v/>
      </c>
      <c r="M1830">
        <f>IFERROR(INDEX(PP_Grid[#Data],$DE1830,10),0)</f>
        <v/>
      </c>
      <c r="N1830">
        <f>IFERROR(INDEX(PP_Grid[#Data],$DE1830,11),0)</f>
        <v/>
      </c>
      <c r="O1830">
        <f>IFERROR(INDEX(PP_Grid[#Data],$DE1830,12),0)</f>
        <v/>
      </c>
      <c r="P1830">
        <f>IFERROR(INDEX(PP_Grid[#Data],$DE1830,13),0)</f>
        <v/>
      </c>
      <c r="Q1830">
        <f>IFERROR(INDEX(PP_Grid[#Data],$DE1830,14),0)</f>
        <v/>
      </c>
      <c r="R1830">
        <f>IFERROR(INDEX(PP_Grid[#Data],$DE1830,15),0)</f>
        <v/>
      </c>
      <c r="S1830">
        <f>IFERROR(INDEX(PP_Grid[#Data],$DE1830,16),0)</f>
        <v/>
      </c>
      <c r="T1830">
        <f>IFERROR(INDEX(PP_Grid[#Data],$DE1830,17),0)</f>
        <v/>
      </c>
      <c r="U1830">
        <f>IFERROR(INDEX(PP_Grid[#Data],$DE1830,18),0)</f>
        <v/>
      </c>
      <c r="V1830">
        <f>IFERROR(INDEX(PP_Grid[#Data],$DE1830,19),0)</f>
        <v/>
      </c>
      <c r="W1830">
        <f>IFERROR(INDEX(PP_Grid[#Data],$DE1830,20),0)</f>
        <v/>
      </c>
      <c r="X1830">
        <f>IFERROR(INDEX(PP_Grid[#Data],$DE1830,21),0)</f>
        <v/>
      </c>
      <c r="Y1830">
        <f>IFERROR(INDEX(PP_Grid[#Data],$DE1830,22),0)</f>
        <v/>
      </c>
      <c r="Z1830">
        <f>IFERROR(INDEX(PP_Grid[#Data],$DE1830,23),0)</f>
        <v/>
      </c>
      <c r="AA1830">
        <f>IFERROR(INDEX(PP_Grid[#Data],$DE1830,24),0)</f>
        <v/>
      </c>
      <c r="AB1830">
        <f>IFERROR(INDEX(PP_Grid[#Data],$DE1830,25),0)</f>
        <v/>
      </c>
      <c r="AC1830">
        <f>IFERROR(INDEX(PP_Grid[#Data],$DE1830,26),0)</f>
        <v/>
      </c>
      <c r="AD1830">
        <f>IFERROR(INDEX(PP_Grid[#Data],$DE1830,27),0)</f>
        <v/>
      </c>
      <c r="AE1830">
        <f>IFERROR(INDEX(PP_Grid[#Data],$DE1830,28),0)</f>
        <v/>
      </c>
      <c r="AF1830">
        <f>IFERROR(INDEX(PP_Grid[#Data],$DE1830,29),0)</f>
        <v/>
      </c>
      <c r="AG1830">
        <f>IFERROR(INDEX(PP_Grid[#Data],$DE1830,30),0)</f>
        <v/>
      </c>
      <c r="AH1830">
        <f>IFERROR(INDEX(PP_Grid[#Data],$DE1830,31),0)</f>
        <v/>
      </c>
      <c r="AI1830">
        <f>IFERROR(INDEX(PP_Grid[#Data],$DE1830,32),0)</f>
        <v/>
      </c>
      <c r="AJ1830">
        <f>IFERROR(INDEX(PP_Grid[#Data],$DE1830,33),0)</f>
        <v/>
      </c>
      <c r="AK1830">
        <f>IFERROR(INDEX(PP_Grid[#Data],$DE1830,34),0)</f>
        <v/>
      </c>
      <c r="AL1830">
        <f>IFERROR(INDEX(PP_Grid[#Data],$DE1830,35),0)</f>
        <v/>
      </c>
      <c r="AM1830">
        <f>IFERROR(INDEX(PP_Grid[#Data],$DE1830,36),0)</f>
        <v/>
      </c>
      <c r="AN1830">
        <f>IFERROR(INDEX(PP_Grid[#Data],$DE1830,37),0)</f>
        <v/>
      </c>
      <c r="AO1830">
        <f>IFERROR(INDEX(PP_Grid[#Data],$DE1830,38),0)</f>
        <v/>
      </c>
      <c r="AP1830">
        <f>IFERROR(INDEX(PP_Grid[#Data],$DE1830,39),0)</f>
        <v/>
      </c>
      <c r="AQ1830">
        <f>IFERROR(INDEX(PP_Grid[#Data],$DE1830,40),0)</f>
        <v/>
      </c>
      <c r="AR1830">
        <f>IFERROR(INDEX(PP_Grid[#Data],$DE1830,41),0)</f>
        <v/>
      </c>
      <c r="AS1830">
        <f>IFERROR(INDEX(PP_Grid[#Data],$DE1830,42),0)</f>
        <v/>
      </c>
      <c r="AT1830">
        <f>IFERROR(INDEX(PP_Grid[#Data],$DE1830,43),0)</f>
        <v/>
      </c>
      <c r="AU1830">
        <f>IFERROR(INDEX(PP_Grid[#Data],$DE1830,44),0)</f>
        <v/>
      </c>
      <c r="AV1830">
        <f>IFERROR(INDEX(PP_Grid[#Data],$DE1830,45),0)</f>
        <v/>
      </c>
      <c r="AW1830">
        <f>IFERROR(INDEX(PP_Grid[#Data],$DE1830,46),0)</f>
        <v/>
      </c>
      <c r="AX1830">
        <f>IFERROR(INDEX(PP_Grid[#Data],$DE1830,47),0)</f>
        <v/>
      </c>
      <c r="AY1830">
        <f>IFERROR(INDEX(PP_Grid[#Data],$DE1830,48),0)</f>
        <v/>
      </c>
      <c r="AZ1830">
        <f>IFERROR(INDEX(PP_Grid[#Data],$DE1830,49),0)</f>
        <v/>
      </c>
      <c r="BA1830">
        <f>IFERROR(INDEX(PP_Grid[#Data],$DE1830,50),0)</f>
        <v/>
      </c>
      <c r="BB1830">
        <f>IFERROR(INDEX(PP_Grid[#Data],$DE1830,51),0)</f>
        <v/>
      </c>
      <c r="BC1830">
        <f>IFERROR(INDEX(PP_Grid[#Data],$DE1830,52),0)</f>
        <v/>
      </c>
      <c r="BD1830">
        <f>IFERROR(INDEX(PP_Grid[#Data],$DE1830,53),0)</f>
        <v/>
      </c>
      <c r="BE1830">
        <f>IFERROR(INDEX(PP_Grid[#Data],$DE1830,54),0)</f>
        <v/>
      </c>
      <c r="BF1830">
        <f>IFERROR(INDEX(PP_Grid[#Data],$DE1830,55),0)</f>
        <v/>
      </c>
      <c r="BG1830">
        <f>IFERROR(INDEX(PP_Grid[#Data],$DE1830,56),0)</f>
        <v/>
      </c>
      <c r="BH1830">
        <f>IFERROR(INDEX(PP_Grid[#Data],$DE1830,57),0)</f>
        <v/>
      </c>
      <c r="BI1830">
        <f>IFERROR(INDEX(PP_Grid[#Data],$DE1830,58),0)</f>
        <v/>
      </c>
      <c r="BJ1830">
        <f>IFERROR(INDEX(PP_Grid[#Data],$DE1830,59),0)</f>
        <v/>
      </c>
      <c r="BK1830">
        <f>IFERROR(INDEX(PP_Grid[#Data],$DE1830,60),0)</f>
        <v/>
      </c>
      <c r="BL1830">
        <f>IFERROR(INDEX(PP_Grid[#Data],$DE1830,61),0)</f>
        <v/>
      </c>
      <c r="BM1830">
        <f>IFERROR(INDEX(PP_Grid[#Data],$DE1830,62),0)</f>
        <v/>
      </c>
      <c r="BN1830">
        <f>IFERROR(INDEX(PP_Grid[#Data],$DE1830,63),0)</f>
        <v/>
      </c>
      <c r="BO1830">
        <f>IFERROR(INDEX(PP_Grid[#Data],$DE1830,64),0)</f>
        <v/>
      </c>
      <c r="BP1830">
        <f>IFERROR(INDEX(PP_Grid[#Data],$DE1830,65),0)</f>
        <v/>
      </c>
      <c r="BQ1830">
        <f>IFERROR(INDEX(PP_Grid[#Data],$DE1830,66),0)</f>
        <v/>
      </c>
      <c r="BR1830">
        <f>IFERROR(INDEX(PP_Grid[#Data],$DE1830,67),0)</f>
        <v/>
      </c>
      <c r="BS1830">
        <f>IFERROR(INDEX(PP_Grid[#Data],$DE1830,68),0)</f>
        <v/>
      </c>
      <c r="BT1830">
        <f>IFERROR(INDEX(PP_Grid[#Data],$DE1830,69),0)</f>
        <v/>
      </c>
      <c r="BU1830">
        <f>IFERROR(INDEX(PP_Grid[#Data],$DE1830,70),0)</f>
        <v/>
      </c>
      <c r="BV1830">
        <f>IFERROR(INDEX(PP_Grid[#Data],$DE1830,71),0)</f>
        <v/>
      </c>
      <c r="BW1830">
        <f>IFERROR(INDEX(PP_Grid[#Data],$DE1830,72),0)</f>
        <v/>
      </c>
      <c r="BX1830">
        <f>IFERROR(INDEX(PP_Grid[#Data],$DE1830,73),0)</f>
        <v/>
      </c>
      <c r="BY1830">
        <f>IFERROR(INDEX(PP_Grid[#Data],$DE1830,74),0)</f>
        <v/>
      </c>
      <c r="BZ1830">
        <f>IFERROR(INDEX(PP_Grid[#Data],$DE1830,75),0)</f>
        <v/>
      </c>
      <c r="CA1830">
        <f>IFERROR(INDEX(PP_Grid[#Data],$DE1830,76),0)</f>
        <v/>
      </c>
      <c r="CB1830">
        <f>IFERROR(INDEX(PP_Grid[#Data],$DE1830,77),0)</f>
        <v/>
      </c>
      <c r="CC1830">
        <f>IFERROR(INDEX(PP_Grid[#Data],$DE1830,78),0)</f>
        <v/>
      </c>
      <c r="CD1830">
        <f>IFERROR(INDEX(PP_Grid[#Data],$DE1830,79),0)</f>
        <v/>
      </c>
      <c r="CE1830">
        <f>IFERROR(INDEX(PP_Grid[#Data],$DE1830,80),0)</f>
        <v/>
      </c>
      <c r="CF1830">
        <f>IFERROR(INDEX(PP_Grid[#Data],$DE1830,81),0)</f>
        <v/>
      </c>
      <c r="CG1830">
        <f>IFERROR(INDEX(PP_Grid[#Data],$DE1830,82),0)</f>
        <v/>
      </c>
      <c r="CH1830">
        <f>IFERROR(INDEX(PP_Grid[#Data],$DE1830,83),0)</f>
        <v/>
      </c>
      <c r="CI1830">
        <f>IFERROR(INDEX(PP_Grid[#Data],$DE1830,84),0)</f>
        <v/>
      </c>
      <c r="CJ1830">
        <f>IFERROR(INDEX(PP_Grid[#Data],$DE1830,85),0)</f>
        <v/>
      </c>
      <c r="CK1830">
        <f>IFERROR(INDEX(PP_Grid[#Data],$DE1830,86),0)</f>
        <v/>
      </c>
      <c r="CL1830">
        <f>IFERROR(INDEX(PP_Grid[#Data],$DE1830,87),0)</f>
        <v/>
      </c>
      <c r="CM1830">
        <f>IFERROR(INDEX(PP_Grid[#Data],$DE1830,88),0)</f>
        <v/>
      </c>
      <c r="CN1830">
        <f>IFERROR(INDEX(PP_Grid[#Data],$DE1830,89),0)</f>
        <v/>
      </c>
      <c r="CO1830">
        <f>IFERROR(INDEX(PP_Grid[#Data],$DE1830,90),0)</f>
        <v/>
      </c>
      <c r="CP1830">
        <f>IFERROR(INDEX(PP_Grid[#Data],$DE1830,91),0)</f>
        <v/>
      </c>
      <c r="CQ1830">
        <f>IFERROR(INDEX(PP_Grid[#Data],$DE1830,92),0)</f>
        <v/>
      </c>
      <c r="CR1830">
        <f>IFERROR(INDEX(PP_Grid[#Data],$DE1830,93),0)</f>
        <v/>
      </c>
      <c r="CS1830">
        <f>IFERROR(INDEX(PP_Grid[#Data],$DE1830,94),0)</f>
        <v/>
      </c>
      <c r="CT1830">
        <f>IFERROR(INDEX(PP_Grid[#Data],$DE1830,95),0)</f>
        <v/>
      </c>
      <c r="CU1830">
        <f>IFERROR(INDEX(PP_Grid[#Data],$DE1830,96),0)</f>
        <v/>
      </c>
      <c r="CV1830">
        <f>IFERROR(INDEX(PP_Grid[#Data],$DE1830,97),0)</f>
        <v/>
      </c>
      <c r="CW1830">
        <f>IFERROR(INDEX(PP_Grid[#Data],$DE1830,98),0)</f>
        <v/>
      </c>
      <c r="CX1830">
        <f>IFERROR(INDEX(PP_Grid[#Data],$DE1830,99),0)</f>
        <v/>
      </c>
      <c r="CY1830">
        <f>IFERROR(INDEX(PP_Grid[#Data],$DE1830,100),0)</f>
        <v/>
      </c>
      <c r="CZ1830">
        <f>IFERROR(INDEX(PP_Grid[#Data],$DE1830,101),0)</f>
        <v/>
      </c>
      <c r="DA1830">
        <f>IFERROR(INDEX(PP_Grid[#Data],$DE1830,102),0)</f>
        <v/>
      </c>
      <c r="DB1830">
        <f>IFERROR(INDEX(PP_Grid[#Data],$DE1830,103),0)</f>
        <v/>
      </c>
      <c r="DC1830">
        <f>IFERROR(INDEX(PP_Grid[#Data],$DE1830,104),0)</f>
        <v/>
      </c>
      <c r="DD1830">
        <f>IFERROR(INDEX(PP_Grid[#Data],$DE1830,105),0)</f>
        <v/>
      </c>
      <c r="DE1830" s="7">
        <f>IFERROR(MATCH($B1830,PP_Grid[Intermediate],0),99999)</f>
        <v/>
      </c>
    </row>
    <row r="1831">
      <c r="B1831" t="inlineStr">
        <is>
          <t>使用量(kg)</t>
        </is>
      </c>
      <c r="C1831">
        <f>SUMIFS(M_BOM[RM_Qty_Per_Batch],M_BOM[Intermediate],$B1830,M_BOM[RM_Code],$A1825)</f>
        <v/>
      </c>
      <c r="D1831">
        <f>IFERROR(INDEX(E1831:DD1831,$F$1),"")</f>
        <v/>
      </c>
      <c r="E1831">
        <f>$C1831*E1830</f>
        <v/>
      </c>
      <c r="F1831">
        <f>$C1831*F1830</f>
        <v/>
      </c>
      <c r="G1831">
        <f>$C1831*G1830</f>
        <v/>
      </c>
      <c r="H1831">
        <f>$C1831*H1830</f>
        <v/>
      </c>
      <c r="I1831">
        <f>$C1831*I1830</f>
        <v/>
      </c>
      <c r="J1831">
        <f>$C1831*J1830</f>
        <v/>
      </c>
      <c r="K1831">
        <f>$C1831*K1830</f>
        <v/>
      </c>
      <c r="L1831">
        <f>$C1831*L1830</f>
        <v/>
      </c>
      <c r="M1831">
        <f>$C1831*M1830</f>
        <v/>
      </c>
      <c r="N1831">
        <f>$C1831*N1830</f>
        <v/>
      </c>
      <c r="O1831">
        <f>$C1831*O1830</f>
        <v/>
      </c>
      <c r="P1831">
        <f>$C1831*P1830</f>
        <v/>
      </c>
      <c r="Q1831">
        <f>$C1831*Q1830</f>
        <v/>
      </c>
      <c r="R1831">
        <f>$C1831*R1830</f>
        <v/>
      </c>
      <c r="S1831">
        <f>$C1831*S1830</f>
        <v/>
      </c>
      <c r="T1831">
        <f>$C1831*T1830</f>
        <v/>
      </c>
      <c r="U1831">
        <f>$C1831*U1830</f>
        <v/>
      </c>
      <c r="V1831">
        <f>$C1831*V1830</f>
        <v/>
      </c>
      <c r="W1831">
        <f>$C1831*W1830</f>
        <v/>
      </c>
      <c r="X1831">
        <f>$C1831*X1830</f>
        <v/>
      </c>
      <c r="Y1831">
        <f>$C1831*Y1830</f>
        <v/>
      </c>
      <c r="Z1831">
        <f>$C1831*Z1830</f>
        <v/>
      </c>
      <c r="AA1831">
        <f>$C1831*AA1830</f>
        <v/>
      </c>
      <c r="AB1831">
        <f>$C1831*AB1830</f>
        <v/>
      </c>
      <c r="AC1831">
        <f>$C1831*AC1830</f>
        <v/>
      </c>
      <c r="AD1831">
        <f>$C1831*AD1830</f>
        <v/>
      </c>
      <c r="AE1831">
        <f>$C1831*AE1830</f>
        <v/>
      </c>
      <c r="AF1831">
        <f>$C1831*AF1830</f>
        <v/>
      </c>
      <c r="AG1831">
        <f>$C1831*AG1830</f>
        <v/>
      </c>
      <c r="AH1831">
        <f>$C1831*AH1830</f>
        <v/>
      </c>
      <c r="AI1831">
        <f>$C1831*AI1830</f>
        <v/>
      </c>
      <c r="AJ1831">
        <f>$C1831*AJ1830</f>
        <v/>
      </c>
      <c r="AK1831">
        <f>$C1831*AK1830</f>
        <v/>
      </c>
      <c r="AL1831">
        <f>$C1831*AL1830</f>
        <v/>
      </c>
      <c r="AM1831">
        <f>$C1831*AM1830</f>
        <v/>
      </c>
      <c r="AN1831">
        <f>$C1831*AN1830</f>
        <v/>
      </c>
      <c r="AO1831">
        <f>$C1831*AO1830</f>
        <v/>
      </c>
      <c r="AP1831">
        <f>$C1831*AP1830</f>
        <v/>
      </c>
      <c r="AQ1831">
        <f>$C1831*AQ1830</f>
        <v/>
      </c>
      <c r="AR1831">
        <f>$C1831*AR1830</f>
        <v/>
      </c>
      <c r="AS1831">
        <f>$C1831*AS1830</f>
        <v/>
      </c>
      <c r="AT1831">
        <f>$C1831*AT1830</f>
        <v/>
      </c>
      <c r="AU1831">
        <f>$C1831*AU1830</f>
        <v/>
      </c>
      <c r="AV1831">
        <f>$C1831*AV1830</f>
        <v/>
      </c>
      <c r="AW1831">
        <f>$C1831*AW1830</f>
        <v/>
      </c>
      <c r="AX1831">
        <f>$C1831*AX1830</f>
        <v/>
      </c>
      <c r="AY1831">
        <f>$C1831*AY1830</f>
        <v/>
      </c>
      <c r="AZ1831">
        <f>$C1831*AZ1830</f>
        <v/>
      </c>
      <c r="BA1831">
        <f>$C1831*BA1830</f>
        <v/>
      </c>
      <c r="BB1831">
        <f>$C1831*BB1830</f>
        <v/>
      </c>
      <c r="BC1831">
        <f>$C1831*BC1830</f>
        <v/>
      </c>
      <c r="BD1831">
        <f>$C1831*BD1830</f>
        <v/>
      </c>
      <c r="BE1831">
        <f>$C1831*BE1830</f>
        <v/>
      </c>
      <c r="BF1831">
        <f>$C1831*BF1830</f>
        <v/>
      </c>
      <c r="BG1831">
        <f>$C1831*BG1830</f>
        <v/>
      </c>
      <c r="BH1831">
        <f>$C1831*BH1830</f>
        <v/>
      </c>
      <c r="BI1831">
        <f>$C1831*BI1830</f>
        <v/>
      </c>
      <c r="BJ1831">
        <f>$C1831*BJ1830</f>
        <v/>
      </c>
      <c r="BK1831">
        <f>$C1831*BK1830</f>
        <v/>
      </c>
      <c r="BL1831">
        <f>$C1831*BL1830</f>
        <v/>
      </c>
      <c r="BM1831">
        <f>$C1831*BM1830</f>
        <v/>
      </c>
      <c r="BN1831">
        <f>$C1831*BN1830</f>
        <v/>
      </c>
      <c r="BO1831">
        <f>$C1831*BO1830</f>
        <v/>
      </c>
      <c r="BP1831">
        <f>$C1831*BP1830</f>
        <v/>
      </c>
      <c r="BQ1831">
        <f>$C1831*BQ1830</f>
        <v/>
      </c>
      <c r="BR1831">
        <f>$C1831*BR1830</f>
        <v/>
      </c>
      <c r="BS1831">
        <f>$C1831*BS1830</f>
        <v/>
      </c>
      <c r="BT1831">
        <f>$C1831*BT1830</f>
        <v/>
      </c>
      <c r="BU1831">
        <f>$C1831*BU1830</f>
        <v/>
      </c>
      <c r="BV1831">
        <f>$C1831*BV1830</f>
        <v/>
      </c>
      <c r="BW1831">
        <f>$C1831*BW1830</f>
        <v/>
      </c>
      <c r="BX1831">
        <f>$C1831*BX1830</f>
        <v/>
      </c>
      <c r="BY1831">
        <f>$C1831*BY1830</f>
        <v/>
      </c>
      <c r="BZ1831">
        <f>$C1831*BZ1830</f>
        <v/>
      </c>
      <c r="CA1831">
        <f>$C1831*CA1830</f>
        <v/>
      </c>
      <c r="CB1831">
        <f>$C1831*CB1830</f>
        <v/>
      </c>
      <c r="CC1831">
        <f>$C1831*CC1830</f>
        <v/>
      </c>
      <c r="CD1831">
        <f>$C1831*CD1830</f>
        <v/>
      </c>
      <c r="CE1831">
        <f>$C1831*CE1830</f>
        <v/>
      </c>
      <c r="CF1831">
        <f>$C1831*CF1830</f>
        <v/>
      </c>
      <c r="CG1831">
        <f>$C1831*CG1830</f>
        <v/>
      </c>
      <c r="CH1831">
        <f>$C1831*CH1830</f>
        <v/>
      </c>
      <c r="CI1831">
        <f>$C1831*CI1830</f>
        <v/>
      </c>
      <c r="CJ1831">
        <f>$C1831*CJ1830</f>
        <v/>
      </c>
      <c r="CK1831">
        <f>$C1831*CK1830</f>
        <v/>
      </c>
      <c r="CL1831">
        <f>$C1831*CL1830</f>
        <v/>
      </c>
      <c r="CM1831">
        <f>$C1831*CM1830</f>
        <v/>
      </c>
      <c r="CN1831">
        <f>$C1831*CN1830</f>
        <v/>
      </c>
      <c r="CO1831">
        <f>$C1831*CO1830</f>
        <v/>
      </c>
      <c r="CP1831">
        <f>$C1831*CP1830</f>
        <v/>
      </c>
      <c r="CQ1831">
        <f>$C1831*CQ1830</f>
        <v/>
      </c>
      <c r="CR1831">
        <f>$C1831*CR1830</f>
        <v/>
      </c>
      <c r="CS1831">
        <f>$C1831*CS1830</f>
        <v/>
      </c>
      <c r="CT1831">
        <f>$C1831*CT1830</f>
        <v/>
      </c>
      <c r="CU1831">
        <f>$C1831*CU1830</f>
        <v/>
      </c>
      <c r="CV1831">
        <f>$C1831*CV1830</f>
        <v/>
      </c>
      <c r="CW1831">
        <f>$C1831*CW1830</f>
        <v/>
      </c>
      <c r="CX1831">
        <f>$C1831*CX1830</f>
        <v/>
      </c>
      <c r="CY1831">
        <f>$C1831*CY1830</f>
        <v/>
      </c>
      <c r="CZ1831">
        <f>$C1831*CZ1830</f>
        <v/>
      </c>
      <c r="DA1831">
        <f>$C1831*DA1830</f>
        <v/>
      </c>
      <c r="DB1831">
        <f>$C1831*DB1830</f>
        <v/>
      </c>
      <c r="DC1831">
        <f>$C1831*DC1830</f>
        <v/>
      </c>
      <c r="DD1831">
        <f>$C1831*DD1830</f>
        <v/>
      </c>
    </row>
    <row r="1832">
      <c r="B1832" t="inlineStr">
        <is>
          <t>TSP-544</t>
        </is>
      </c>
      <c r="C1832" t="inlineStr">
        <is>
          <t>No. of batches</t>
        </is>
      </c>
      <c r="D1832">
        <f>IFERROR(INDEX(E1832:DD1832,$F$1),"")</f>
        <v/>
      </c>
      <c r="E1832">
        <f>IFERROR(INDEX(PP_Grid[#Data],$DE1832,2),0)</f>
        <v/>
      </c>
      <c r="F1832">
        <f>IFERROR(INDEX(PP_Grid[#Data],$DE1832,3),0)</f>
        <v/>
      </c>
      <c r="G1832">
        <f>IFERROR(INDEX(PP_Grid[#Data],$DE1832,4),0)</f>
        <v/>
      </c>
      <c r="H1832">
        <f>IFERROR(INDEX(PP_Grid[#Data],$DE1832,5),0)</f>
        <v/>
      </c>
      <c r="I1832">
        <f>IFERROR(INDEX(PP_Grid[#Data],$DE1832,6),0)</f>
        <v/>
      </c>
      <c r="J1832">
        <f>IFERROR(INDEX(PP_Grid[#Data],$DE1832,7),0)</f>
        <v/>
      </c>
      <c r="K1832">
        <f>IFERROR(INDEX(PP_Grid[#Data],$DE1832,8),0)</f>
        <v/>
      </c>
      <c r="L1832">
        <f>IFERROR(INDEX(PP_Grid[#Data],$DE1832,9),0)</f>
        <v/>
      </c>
      <c r="M1832">
        <f>IFERROR(INDEX(PP_Grid[#Data],$DE1832,10),0)</f>
        <v/>
      </c>
      <c r="N1832">
        <f>IFERROR(INDEX(PP_Grid[#Data],$DE1832,11),0)</f>
        <v/>
      </c>
      <c r="O1832">
        <f>IFERROR(INDEX(PP_Grid[#Data],$DE1832,12),0)</f>
        <v/>
      </c>
      <c r="P1832">
        <f>IFERROR(INDEX(PP_Grid[#Data],$DE1832,13),0)</f>
        <v/>
      </c>
      <c r="Q1832">
        <f>IFERROR(INDEX(PP_Grid[#Data],$DE1832,14),0)</f>
        <v/>
      </c>
      <c r="R1832">
        <f>IFERROR(INDEX(PP_Grid[#Data],$DE1832,15),0)</f>
        <v/>
      </c>
      <c r="S1832">
        <f>IFERROR(INDEX(PP_Grid[#Data],$DE1832,16),0)</f>
        <v/>
      </c>
      <c r="T1832">
        <f>IFERROR(INDEX(PP_Grid[#Data],$DE1832,17),0)</f>
        <v/>
      </c>
      <c r="U1832">
        <f>IFERROR(INDEX(PP_Grid[#Data],$DE1832,18),0)</f>
        <v/>
      </c>
      <c r="V1832">
        <f>IFERROR(INDEX(PP_Grid[#Data],$DE1832,19),0)</f>
        <v/>
      </c>
      <c r="W1832">
        <f>IFERROR(INDEX(PP_Grid[#Data],$DE1832,20),0)</f>
        <v/>
      </c>
      <c r="X1832">
        <f>IFERROR(INDEX(PP_Grid[#Data],$DE1832,21),0)</f>
        <v/>
      </c>
      <c r="Y1832">
        <f>IFERROR(INDEX(PP_Grid[#Data],$DE1832,22),0)</f>
        <v/>
      </c>
      <c r="Z1832">
        <f>IFERROR(INDEX(PP_Grid[#Data],$DE1832,23),0)</f>
        <v/>
      </c>
      <c r="AA1832">
        <f>IFERROR(INDEX(PP_Grid[#Data],$DE1832,24),0)</f>
        <v/>
      </c>
      <c r="AB1832">
        <f>IFERROR(INDEX(PP_Grid[#Data],$DE1832,25),0)</f>
        <v/>
      </c>
      <c r="AC1832">
        <f>IFERROR(INDEX(PP_Grid[#Data],$DE1832,26),0)</f>
        <v/>
      </c>
      <c r="AD1832">
        <f>IFERROR(INDEX(PP_Grid[#Data],$DE1832,27),0)</f>
        <v/>
      </c>
      <c r="AE1832">
        <f>IFERROR(INDEX(PP_Grid[#Data],$DE1832,28),0)</f>
        <v/>
      </c>
      <c r="AF1832">
        <f>IFERROR(INDEX(PP_Grid[#Data],$DE1832,29),0)</f>
        <v/>
      </c>
      <c r="AG1832">
        <f>IFERROR(INDEX(PP_Grid[#Data],$DE1832,30),0)</f>
        <v/>
      </c>
      <c r="AH1832">
        <f>IFERROR(INDEX(PP_Grid[#Data],$DE1832,31),0)</f>
        <v/>
      </c>
      <c r="AI1832">
        <f>IFERROR(INDEX(PP_Grid[#Data],$DE1832,32),0)</f>
        <v/>
      </c>
      <c r="AJ1832">
        <f>IFERROR(INDEX(PP_Grid[#Data],$DE1832,33),0)</f>
        <v/>
      </c>
      <c r="AK1832">
        <f>IFERROR(INDEX(PP_Grid[#Data],$DE1832,34),0)</f>
        <v/>
      </c>
      <c r="AL1832">
        <f>IFERROR(INDEX(PP_Grid[#Data],$DE1832,35),0)</f>
        <v/>
      </c>
      <c r="AM1832">
        <f>IFERROR(INDEX(PP_Grid[#Data],$DE1832,36),0)</f>
        <v/>
      </c>
      <c r="AN1832">
        <f>IFERROR(INDEX(PP_Grid[#Data],$DE1832,37),0)</f>
        <v/>
      </c>
      <c r="AO1832">
        <f>IFERROR(INDEX(PP_Grid[#Data],$DE1832,38),0)</f>
        <v/>
      </c>
      <c r="AP1832">
        <f>IFERROR(INDEX(PP_Grid[#Data],$DE1832,39),0)</f>
        <v/>
      </c>
      <c r="AQ1832">
        <f>IFERROR(INDEX(PP_Grid[#Data],$DE1832,40),0)</f>
        <v/>
      </c>
      <c r="AR1832">
        <f>IFERROR(INDEX(PP_Grid[#Data],$DE1832,41),0)</f>
        <v/>
      </c>
      <c r="AS1832">
        <f>IFERROR(INDEX(PP_Grid[#Data],$DE1832,42),0)</f>
        <v/>
      </c>
      <c r="AT1832">
        <f>IFERROR(INDEX(PP_Grid[#Data],$DE1832,43),0)</f>
        <v/>
      </c>
      <c r="AU1832">
        <f>IFERROR(INDEX(PP_Grid[#Data],$DE1832,44),0)</f>
        <v/>
      </c>
      <c r="AV1832">
        <f>IFERROR(INDEX(PP_Grid[#Data],$DE1832,45),0)</f>
        <v/>
      </c>
      <c r="AW1832">
        <f>IFERROR(INDEX(PP_Grid[#Data],$DE1832,46),0)</f>
        <v/>
      </c>
      <c r="AX1832">
        <f>IFERROR(INDEX(PP_Grid[#Data],$DE1832,47),0)</f>
        <v/>
      </c>
      <c r="AY1832">
        <f>IFERROR(INDEX(PP_Grid[#Data],$DE1832,48),0)</f>
        <v/>
      </c>
      <c r="AZ1832">
        <f>IFERROR(INDEX(PP_Grid[#Data],$DE1832,49),0)</f>
        <v/>
      </c>
      <c r="BA1832">
        <f>IFERROR(INDEX(PP_Grid[#Data],$DE1832,50),0)</f>
        <v/>
      </c>
      <c r="BB1832">
        <f>IFERROR(INDEX(PP_Grid[#Data],$DE1832,51),0)</f>
        <v/>
      </c>
      <c r="BC1832">
        <f>IFERROR(INDEX(PP_Grid[#Data],$DE1832,52),0)</f>
        <v/>
      </c>
      <c r="BD1832">
        <f>IFERROR(INDEX(PP_Grid[#Data],$DE1832,53),0)</f>
        <v/>
      </c>
      <c r="BE1832">
        <f>IFERROR(INDEX(PP_Grid[#Data],$DE1832,54),0)</f>
        <v/>
      </c>
      <c r="BF1832">
        <f>IFERROR(INDEX(PP_Grid[#Data],$DE1832,55),0)</f>
        <v/>
      </c>
      <c r="BG1832">
        <f>IFERROR(INDEX(PP_Grid[#Data],$DE1832,56),0)</f>
        <v/>
      </c>
      <c r="BH1832">
        <f>IFERROR(INDEX(PP_Grid[#Data],$DE1832,57),0)</f>
        <v/>
      </c>
      <c r="BI1832">
        <f>IFERROR(INDEX(PP_Grid[#Data],$DE1832,58),0)</f>
        <v/>
      </c>
      <c r="BJ1832">
        <f>IFERROR(INDEX(PP_Grid[#Data],$DE1832,59),0)</f>
        <v/>
      </c>
      <c r="BK1832">
        <f>IFERROR(INDEX(PP_Grid[#Data],$DE1832,60),0)</f>
        <v/>
      </c>
      <c r="BL1832">
        <f>IFERROR(INDEX(PP_Grid[#Data],$DE1832,61),0)</f>
        <v/>
      </c>
      <c r="BM1832">
        <f>IFERROR(INDEX(PP_Grid[#Data],$DE1832,62),0)</f>
        <v/>
      </c>
      <c r="BN1832">
        <f>IFERROR(INDEX(PP_Grid[#Data],$DE1832,63),0)</f>
        <v/>
      </c>
      <c r="BO1832">
        <f>IFERROR(INDEX(PP_Grid[#Data],$DE1832,64),0)</f>
        <v/>
      </c>
      <c r="BP1832">
        <f>IFERROR(INDEX(PP_Grid[#Data],$DE1832,65),0)</f>
        <v/>
      </c>
      <c r="BQ1832">
        <f>IFERROR(INDEX(PP_Grid[#Data],$DE1832,66),0)</f>
        <v/>
      </c>
      <c r="BR1832">
        <f>IFERROR(INDEX(PP_Grid[#Data],$DE1832,67),0)</f>
        <v/>
      </c>
      <c r="BS1832">
        <f>IFERROR(INDEX(PP_Grid[#Data],$DE1832,68),0)</f>
        <v/>
      </c>
      <c r="BT1832">
        <f>IFERROR(INDEX(PP_Grid[#Data],$DE1832,69),0)</f>
        <v/>
      </c>
      <c r="BU1832">
        <f>IFERROR(INDEX(PP_Grid[#Data],$DE1832,70),0)</f>
        <v/>
      </c>
      <c r="BV1832">
        <f>IFERROR(INDEX(PP_Grid[#Data],$DE1832,71),0)</f>
        <v/>
      </c>
      <c r="BW1832">
        <f>IFERROR(INDEX(PP_Grid[#Data],$DE1832,72),0)</f>
        <v/>
      </c>
      <c r="BX1832">
        <f>IFERROR(INDEX(PP_Grid[#Data],$DE1832,73),0)</f>
        <v/>
      </c>
      <c r="BY1832">
        <f>IFERROR(INDEX(PP_Grid[#Data],$DE1832,74),0)</f>
        <v/>
      </c>
      <c r="BZ1832">
        <f>IFERROR(INDEX(PP_Grid[#Data],$DE1832,75),0)</f>
        <v/>
      </c>
      <c r="CA1832">
        <f>IFERROR(INDEX(PP_Grid[#Data],$DE1832,76),0)</f>
        <v/>
      </c>
      <c r="CB1832">
        <f>IFERROR(INDEX(PP_Grid[#Data],$DE1832,77),0)</f>
        <v/>
      </c>
      <c r="CC1832">
        <f>IFERROR(INDEX(PP_Grid[#Data],$DE1832,78),0)</f>
        <v/>
      </c>
      <c r="CD1832">
        <f>IFERROR(INDEX(PP_Grid[#Data],$DE1832,79),0)</f>
        <v/>
      </c>
      <c r="CE1832">
        <f>IFERROR(INDEX(PP_Grid[#Data],$DE1832,80),0)</f>
        <v/>
      </c>
      <c r="CF1832">
        <f>IFERROR(INDEX(PP_Grid[#Data],$DE1832,81),0)</f>
        <v/>
      </c>
      <c r="CG1832">
        <f>IFERROR(INDEX(PP_Grid[#Data],$DE1832,82),0)</f>
        <v/>
      </c>
      <c r="CH1832">
        <f>IFERROR(INDEX(PP_Grid[#Data],$DE1832,83),0)</f>
        <v/>
      </c>
      <c r="CI1832">
        <f>IFERROR(INDEX(PP_Grid[#Data],$DE1832,84),0)</f>
        <v/>
      </c>
      <c r="CJ1832">
        <f>IFERROR(INDEX(PP_Grid[#Data],$DE1832,85),0)</f>
        <v/>
      </c>
      <c r="CK1832">
        <f>IFERROR(INDEX(PP_Grid[#Data],$DE1832,86),0)</f>
        <v/>
      </c>
      <c r="CL1832">
        <f>IFERROR(INDEX(PP_Grid[#Data],$DE1832,87),0)</f>
        <v/>
      </c>
      <c r="CM1832">
        <f>IFERROR(INDEX(PP_Grid[#Data],$DE1832,88),0)</f>
        <v/>
      </c>
      <c r="CN1832">
        <f>IFERROR(INDEX(PP_Grid[#Data],$DE1832,89),0)</f>
        <v/>
      </c>
      <c r="CO1832">
        <f>IFERROR(INDEX(PP_Grid[#Data],$DE1832,90),0)</f>
        <v/>
      </c>
      <c r="CP1832">
        <f>IFERROR(INDEX(PP_Grid[#Data],$DE1832,91),0)</f>
        <v/>
      </c>
      <c r="CQ1832">
        <f>IFERROR(INDEX(PP_Grid[#Data],$DE1832,92),0)</f>
        <v/>
      </c>
      <c r="CR1832">
        <f>IFERROR(INDEX(PP_Grid[#Data],$DE1832,93),0)</f>
        <v/>
      </c>
      <c r="CS1832">
        <f>IFERROR(INDEX(PP_Grid[#Data],$DE1832,94),0)</f>
        <v/>
      </c>
      <c r="CT1832">
        <f>IFERROR(INDEX(PP_Grid[#Data],$DE1832,95),0)</f>
        <v/>
      </c>
      <c r="CU1832">
        <f>IFERROR(INDEX(PP_Grid[#Data],$DE1832,96),0)</f>
        <v/>
      </c>
      <c r="CV1832">
        <f>IFERROR(INDEX(PP_Grid[#Data],$DE1832,97),0)</f>
        <v/>
      </c>
      <c r="CW1832">
        <f>IFERROR(INDEX(PP_Grid[#Data],$DE1832,98),0)</f>
        <v/>
      </c>
      <c r="CX1832">
        <f>IFERROR(INDEX(PP_Grid[#Data],$DE1832,99),0)</f>
        <v/>
      </c>
      <c r="CY1832">
        <f>IFERROR(INDEX(PP_Grid[#Data],$DE1832,100),0)</f>
        <v/>
      </c>
      <c r="CZ1832">
        <f>IFERROR(INDEX(PP_Grid[#Data],$DE1832,101),0)</f>
        <v/>
      </c>
      <c r="DA1832">
        <f>IFERROR(INDEX(PP_Grid[#Data],$DE1832,102),0)</f>
        <v/>
      </c>
      <c r="DB1832">
        <f>IFERROR(INDEX(PP_Grid[#Data],$DE1832,103),0)</f>
        <v/>
      </c>
      <c r="DC1832">
        <f>IFERROR(INDEX(PP_Grid[#Data],$DE1832,104),0)</f>
        <v/>
      </c>
      <c r="DD1832">
        <f>IFERROR(INDEX(PP_Grid[#Data],$DE1832,105),0)</f>
        <v/>
      </c>
      <c r="DE1832" s="7">
        <f>IFERROR(MATCH($B1832,PP_Grid[Intermediate],0),99999)</f>
        <v/>
      </c>
    </row>
    <row r="1833">
      <c r="B1833" t="inlineStr">
        <is>
          <t>使用量(kg)</t>
        </is>
      </c>
      <c r="C1833">
        <f>SUMIFS(M_BOM[RM_Qty_Per_Batch],M_BOM[Intermediate],$B1832,M_BOM[RM_Code],$A1825)</f>
        <v/>
      </c>
      <c r="D1833">
        <f>IFERROR(INDEX(E1833:DD1833,$F$1),"")</f>
        <v/>
      </c>
      <c r="E1833">
        <f>$C1833*E1832</f>
        <v/>
      </c>
      <c r="F1833">
        <f>$C1833*F1832</f>
        <v/>
      </c>
      <c r="G1833">
        <f>$C1833*G1832</f>
        <v/>
      </c>
      <c r="H1833">
        <f>$C1833*H1832</f>
        <v/>
      </c>
      <c r="I1833">
        <f>$C1833*I1832</f>
        <v/>
      </c>
      <c r="J1833">
        <f>$C1833*J1832</f>
        <v/>
      </c>
      <c r="K1833">
        <f>$C1833*K1832</f>
        <v/>
      </c>
      <c r="L1833">
        <f>$C1833*L1832</f>
        <v/>
      </c>
      <c r="M1833">
        <f>$C1833*M1832</f>
        <v/>
      </c>
      <c r="N1833">
        <f>$C1833*N1832</f>
        <v/>
      </c>
      <c r="O1833">
        <f>$C1833*O1832</f>
        <v/>
      </c>
      <c r="P1833">
        <f>$C1833*P1832</f>
        <v/>
      </c>
      <c r="Q1833">
        <f>$C1833*Q1832</f>
        <v/>
      </c>
      <c r="R1833">
        <f>$C1833*R1832</f>
        <v/>
      </c>
      <c r="S1833">
        <f>$C1833*S1832</f>
        <v/>
      </c>
      <c r="T1833">
        <f>$C1833*T1832</f>
        <v/>
      </c>
      <c r="U1833">
        <f>$C1833*U1832</f>
        <v/>
      </c>
      <c r="V1833">
        <f>$C1833*V1832</f>
        <v/>
      </c>
      <c r="W1833">
        <f>$C1833*W1832</f>
        <v/>
      </c>
      <c r="X1833">
        <f>$C1833*X1832</f>
        <v/>
      </c>
      <c r="Y1833">
        <f>$C1833*Y1832</f>
        <v/>
      </c>
      <c r="Z1833">
        <f>$C1833*Z1832</f>
        <v/>
      </c>
      <c r="AA1833">
        <f>$C1833*AA1832</f>
        <v/>
      </c>
      <c r="AB1833">
        <f>$C1833*AB1832</f>
        <v/>
      </c>
      <c r="AC1833">
        <f>$C1833*AC1832</f>
        <v/>
      </c>
      <c r="AD1833">
        <f>$C1833*AD1832</f>
        <v/>
      </c>
      <c r="AE1833">
        <f>$C1833*AE1832</f>
        <v/>
      </c>
      <c r="AF1833">
        <f>$C1833*AF1832</f>
        <v/>
      </c>
      <c r="AG1833">
        <f>$C1833*AG1832</f>
        <v/>
      </c>
      <c r="AH1833">
        <f>$C1833*AH1832</f>
        <v/>
      </c>
      <c r="AI1833">
        <f>$C1833*AI1832</f>
        <v/>
      </c>
      <c r="AJ1833">
        <f>$C1833*AJ1832</f>
        <v/>
      </c>
      <c r="AK1833">
        <f>$C1833*AK1832</f>
        <v/>
      </c>
      <c r="AL1833">
        <f>$C1833*AL1832</f>
        <v/>
      </c>
      <c r="AM1833">
        <f>$C1833*AM1832</f>
        <v/>
      </c>
      <c r="AN1833">
        <f>$C1833*AN1832</f>
        <v/>
      </c>
      <c r="AO1833">
        <f>$C1833*AO1832</f>
        <v/>
      </c>
      <c r="AP1833">
        <f>$C1833*AP1832</f>
        <v/>
      </c>
      <c r="AQ1833">
        <f>$C1833*AQ1832</f>
        <v/>
      </c>
      <c r="AR1833">
        <f>$C1833*AR1832</f>
        <v/>
      </c>
      <c r="AS1833">
        <f>$C1833*AS1832</f>
        <v/>
      </c>
      <c r="AT1833">
        <f>$C1833*AT1832</f>
        <v/>
      </c>
      <c r="AU1833">
        <f>$C1833*AU1832</f>
        <v/>
      </c>
      <c r="AV1833">
        <f>$C1833*AV1832</f>
        <v/>
      </c>
      <c r="AW1833">
        <f>$C1833*AW1832</f>
        <v/>
      </c>
      <c r="AX1833">
        <f>$C1833*AX1832</f>
        <v/>
      </c>
      <c r="AY1833">
        <f>$C1833*AY1832</f>
        <v/>
      </c>
      <c r="AZ1833">
        <f>$C1833*AZ1832</f>
        <v/>
      </c>
      <c r="BA1833">
        <f>$C1833*BA1832</f>
        <v/>
      </c>
      <c r="BB1833">
        <f>$C1833*BB1832</f>
        <v/>
      </c>
      <c r="BC1833">
        <f>$C1833*BC1832</f>
        <v/>
      </c>
      <c r="BD1833">
        <f>$C1833*BD1832</f>
        <v/>
      </c>
      <c r="BE1833">
        <f>$C1833*BE1832</f>
        <v/>
      </c>
      <c r="BF1833">
        <f>$C1833*BF1832</f>
        <v/>
      </c>
      <c r="BG1833">
        <f>$C1833*BG1832</f>
        <v/>
      </c>
      <c r="BH1833">
        <f>$C1833*BH1832</f>
        <v/>
      </c>
      <c r="BI1833">
        <f>$C1833*BI1832</f>
        <v/>
      </c>
      <c r="BJ1833">
        <f>$C1833*BJ1832</f>
        <v/>
      </c>
      <c r="BK1833">
        <f>$C1833*BK1832</f>
        <v/>
      </c>
      <c r="BL1833">
        <f>$C1833*BL1832</f>
        <v/>
      </c>
      <c r="BM1833">
        <f>$C1833*BM1832</f>
        <v/>
      </c>
      <c r="BN1833">
        <f>$C1833*BN1832</f>
        <v/>
      </c>
      <c r="BO1833">
        <f>$C1833*BO1832</f>
        <v/>
      </c>
      <c r="BP1833">
        <f>$C1833*BP1832</f>
        <v/>
      </c>
      <c r="BQ1833">
        <f>$C1833*BQ1832</f>
        <v/>
      </c>
      <c r="BR1833">
        <f>$C1833*BR1832</f>
        <v/>
      </c>
      <c r="BS1833">
        <f>$C1833*BS1832</f>
        <v/>
      </c>
      <c r="BT1833">
        <f>$C1833*BT1832</f>
        <v/>
      </c>
      <c r="BU1833">
        <f>$C1833*BU1832</f>
        <v/>
      </c>
      <c r="BV1833">
        <f>$C1833*BV1832</f>
        <v/>
      </c>
      <c r="BW1833">
        <f>$C1833*BW1832</f>
        <v/>
      </c>
      <c r="BX1833">
        <f>$C1833*BX1832</f>
        <v/>
      </c>
      <c r="BY1833">
        <f>$C1833*BY1832</f>
        <v/>
      </c>
      <c r="BZ1833">
        <f>$C1833*BZ1832</f>
        <v/>
      </c>
      <c r="CA1833">
        <f>$C1833*CA1832</f>
        <v/>
      </c>
      <c r="CB1833">
        <f>$C1833*CB1832</f>
        <v/>
      </c>
      <c r="CC1833">
        <f>$C1833*CC1832</f>
        <v/>
      </c>
      <c r="CD1833">
        <f>$C1833*CD1832</f>
        <v/>
      </c>
      <c r="CE1833">
        <f>$C1833*CE1832</f>
        <v/>
      </c>
      <c r="CF1833">
        <f>$C1833*CF1832</f>
        <v/>
      </c>
      <c r="CG1833">
        <f>$C1833*CG1832</f>
        <v/>
      </c>
      <c r="CH1833">
        <f>$C1833*CH1832</f>
        <v/>
      </c>
      <c r="CI1833">
        <f>$C1833*CI1832</f>
        <v/>
      </c>
      <c r="CJ1833">
        <f>$C1833*CJ1832</f>
        <v/>
      </c>
      <c r="CK1833">
        <f>$C1833*CK1832</f>
        <v/>
      </c>
      <c r="CL1833">
        <f>$C1833*CL1832</f>
        <v/>
      </c>
      <c r="CM1833">
        <f>$C1833*CM1832</f>
        <v/>
      </c>
      <c r="CN1833">
        <f>$C1833*CN1832</f>
        <v/>
      </c>
      <c r="CO1833">
        <f>$C1833*CO1832</f>
        <v/>
      </c>
      <c r="CP1833">
        <f>$C1833*CP1832</f>
        <v/>
      </c>
      <c r="CQ1833">
        <f>$C1833*CQ1832</f>
        <v/>
      </c>
      <c r="CR1833">
        <f>$C1833*CR1832</f>
        <v/>
      </c>
      <c r="CS1833">
        <f>$C1833*CS1832</f>
        <v/>
      </c>
      <c r="CT1833">
        <f>$C1833*CT1832</f>
        <v/>
      </c>
      <c r="CU1833">
        <f>$C1833*CU1832</f>
        <v/>
      </c>
      <c r="CV1833">
        <f>$C1833*CV1832</f>
        <v/>
      </c>
      <c r="CW1833">
        <f>$C1833*CW1832</f>
        <v/>
      </c>
      <c r="CX1833">
        <f>$C1833*CX1832</f>
        <v/>
      </c>
      <c r="CY1833">
        <f>$C1833*CY1832</f>
        <v/>
      </c>
      <c r="CZ1833">
        <f>$C1833*CZ1832</f>
        <v/>
      </c>
      <c r="DA1833">
        <f>$C1833*DA1832</f>
        <v/>
      </c>
      <c r="DB1833">
        <f>$C1833*DB1832</f>
        <v/>
      </c>
      <c r="DC1833">
        <f>$C1833*DC1832</f>
        <v/>
      </c>
      <c r="DD1833">
        <f>$C1833*DD1832</f>
        <v/>
      </c>
    </row>
    <row r="1834">
      <c r="B1834" t="inlineStr">
        <is>
          <t>TSP-710</t>
        </is>
      </c>
      <c r="C1834" t="inlineStr">
        <is>
          <t>No. of batches</t>
        </is>
      </c>
      <c r="D1834">
        <f>IFERROR(INDEX(E1834:DD1834,$F$1),"")</f>
        <v/>
      </c>
      <c r="E1834">
        <f>IFERROR(INDEX(PP_Grid[#Data],$DE1834,2),0)</f>
        <v/>
      </c>
      <c r="F1834">
        <f>IFERROR(INDEX(PP_Grid[#Data],$DE1834,3),0)</f>
        <v/>
      </c>
      <c r="G1834">
        <f>IFERROR(INDEX(PP_Grid[#Data],$DE1834,4),0)</f>
        <v/>
      </c>
      <c r="H1834">
        <f>IFERROR(INDEX(PP_Grid[#Data],$DE1834,5),0)</f>
        <v/>
      </c>
      <c r="I1834">
        <f>IFERROR(INDEX(PP_Grid[#Data],$DE1834,6),0)</f>
        <v/>
      </c>
      <c r="J1834">
        <f>IFERROR(INDEX(PP_Grid[#Data],$DE1834,7),0)</f>
        <v/>
      </c>
      <c r="K1834">
        <f>IFERROR(INDEX(PP_Grid[#Data],$DE1834,8),0)</f>
        <v/>
      </c>
      <c r="L1834">
        <f>IFERROR(INDEX(PP_Grid[#Data],$DE1834,9),0)</f>
        <v/>
      </c>
      <c r="M1834">
        <f>IFERROR(INDEX(PP_Grid[#Data],$DE1834,10),0)</f>
        <v/>
      </c>
      <c r="N1834">
        <f>IFERROR(INDEX(PP_Grid[#Data],$DE1834,11),0)</f>
        <v/>
      </c>
      <c r="O1834">
        <f>IFERROR(INDEX(PP_Grid[#Data],$DE1834,12),0)</f>
        <v/>
      </c>
      <c r="P1834">
        <f>IFERROR(INDEX(PP_Grid[#Data],$DE1834,13),0)</f>
        <v/>
      </c>
      <c r="Q1834">
        <f>IFERROR(INDEX(PP_Grid[#Data],$DE1834,14),0)</f>
        <v/>
      </c>
      <c r="R1834">
        <f>IFERROR(INDEX(PP_Grid[#Data],$DE1834,15),0)</f>
        <v/>
      </c>
      <c r="S1834">
        <f>IFERROR(INDEX(PP_Grid[#Data],$DE1834,16),0)</f>
        <v/>
      </c>
      <c r="T1834">
        <f>IFERROR(INDEX(PP_Grid[#Data],$DE1834,17),0)</f>
        <v/>
      </c>
      <c r="U1834">
        <f>IFERROR(INDEX(PP_Grid[#Data],$DE1834,18),0)</f>
        <v/>
      </c>
      <c r="V1834">
        <f>IFERROR(INDEX(PP_Grid[#Data],$DE1834,19),0)</f>
        <v/>
      </c>
      <c r="W1834">
        <f>IFERROR(INDEX(PP_Grid[#Data],$DE1834,20),0)</f>
        <v/>
      </c>
      <c r="X1834">
        <f>IFERROR(INDEX(PP_Grid[#Data],$DE1834,21),0)</f>
        <v/>
      </c>
      <c r="Y1834">
        <f>IFERROR(INDEX(PP_Grid[#Data],$DE1834,22),0)</f>
        <v/>
      </c>
      <c r="Z1834">
        <f>IFERROR(INDEX(PP_Grid[#Data],$DE1834,23),0)</f>
        <v/>
      </c>
      <c r="AA1834">
        <f>IFERROR(INDEX(PP_Grid[#Data],$DE1834,24),0)</f>
        <v/>
      </c>
      <c r="AB1834">
        <f>IFERROR(INDEX(PP_Grid[#Data],$DE1834,25),0)</f>
        <v/>
      </c>
      <c r="AC1834">
        <f>IFERROR(INDEX(PP_Grid[#Data],$DE1834,26),0)</f>
        <v/>
      </c>
      <c r="AD1834">
        <f>IFERROR(INDEX(PP_Grid[#Data],$DE1834,27),0)</f>
        <v/>
      </c>
      <c r="AE1834">
        <f>IFERROR(INDEX(PP_Grid[#Data],$DE1834,28),0)</f>
        <v/>
      </c>
      <c r="AF1834">
        <f>IFERROR(INDEX(PP_Grid[#Data],$DE1834,29),0)</f>
        <v/>
      </c>
      <c r="AG1834">
        <f>IFERROR(INDEX(PP_Grid[#Data],$DE1834,30),0)</f>
        <v/>
      </c>
      <c r="AH1834">
        <f>IFERROR(INDEX(PP_Grid[#Data],$DE1834,31),0)</f>
        <v/>
      </c>
      <c r="AI1834">
        <f>IFERROR(INDEX(PP_Grid[#Data],$DE1834,32),0)</f>
        <v/>
      </c>
      <c r="AJ1834">
        <f>IFERROR(INDEX(PP_Grid[#Data],$DE1834,33),0)</f>
        <v/>
      </c>
      <c r="AK1834">
        <f>IFERROR(INDEX(PP_Grid[#Data],$DE1834,34),0)</f>
        <v/>
      </c>
      <c r="AL1834">
        <f>IFERROR(INDEX(PP_Grid[#Data],$DE1834,35),0)</f>
        <v/>
      </c>
      <c r="AM1834">
        <f>IFERROR(INDEX(PP_Grid[#Data],$DE1834,36),0)</f>
        <v/>
      </c>
      <c r="AN1834">
        <f>IFERROR(INDEX(PP_Grid[#Data],$DE1834,37),0)</f>
        <v/>
      </c>
      <c r="AO1834">
        <f>IFERROR(INDEX(PP_Grid[#Data],$DE1834,38),0)</f>
        <v/>
      </c>
      <c r="AP1834">
        <f>IFERROR(INDEX(PP_Grid[#Data],$DE1834,39),0)</f>
        <v/>
      </c>
      <c r="AQ1834">
        <f>IFERROR(INDEX(PP_Grid[#Data],$DE1834,40),0)</f>
        <v/>
      </c>
      <c r="AR1834">
        <f>IFERROR(INDEX(PP_Grid[#Data],$DE1834,41),0)</f>
        <v/>
      </c>
      <c r="AS1834">
        <f>IFERROR(INDEX(PP_Grid[#Data],$DE1834,42),0)</f>
        <v/>
      </c>
      <c r="AT1834">
        <f>IFERROR(INDEX(PP_Grid[#Data],$DE1834,43),0)</f>
        <v/>
      </c>
      <c r="AU1834">
        <f>IFERROR(INDEX(PP_Grid[#Data],$DE1834,44),0)</f>
        <v/>
      </c>
      <c r="AV1834">
        <f>IFERROR(INDEX(PP_Grid[#Data],$DE1834,45),0)</f>
        <v/>
      </c>
      <c r="AW1834">
        <f>IFERROR(INDEX(PP_Grid[#Data],$DE1834,46),0)</f>
        <v/>
      </c>
      <c r="AX1834">
        <f>IFERROR(INDEX(PP_Grid[#Data],$DE1834,47),0)</f>
        <v/>
      </c>
      <c r="AY1834">
        <f>IFERROR(INDEX(PP_Grid[#Data],$DE1834,48),0)</f>
        <v/>
      </c>
      <c r="AZ1834">
        <f>IFERROR(INDEX(PP_Grid[#Data],$DE1834,49),0)</f>
        <v/>
      </c>
      <c r="BA1834">
        <f>IFERROR(INDEX(PP_Grid[#Data],$DE1834,50),0)</f>
        <v/>
      </c>
      <c r="BB1834">
        <f>IFERROR(INDEX(PP_Grid[#Data],$DE1834,51),0)</f>
        <v/>
      </c>
      <c r="BC1834">
        <f>IFERROR(INDEX(PP_Grid[#Data],$DE1834,52),0)</f>
        <v/>
      </c>
      <c r="BD1834">
        <f>IFERROR(INDEX(PP_Grid[#Data],$DE1834,53),0)</f>
        <v/>
      </c>
      <c r="BE1834">
        <f>IFERROR(INDEX(PP_Grid[#Data],$DE1834,54),0)</f>
        <v/>
      </c>
      <c r="BF1834">
        <f>IFERROR(INDEX(PP_Grid[#Data],$DE1834,55),0)</f>
        <v/>
      </c>
      <c r="BG1834">
        <f>IFERROR(INDEX(PP_Grid[#Data],$DE1834,56),0)</f>
        <v/>
      </c>
      <c r="BH1834">
        <f>IFERROR(INDEX(PP_Grid[#Data],$DE1834,57),0)</f>
        <v/>
      </c>
      <c r="BI1834">
        <f>IFERROR(INDEX(PP_Grid[#Data],$DE1834,58),0)</f>
        <v/>
      </c>
      <c r="BJ1834">
        <f>IFERROR(INDEX(PP_Grid[#Data],$DE1834,59),0)</f>
        <v/>
      </c>
      <c r="BK1834">
        <f>IFERROR(INDEX(PP_Grid[#Data],$DE1834,60),0)</f>
        <v/>
      </c>
      <c r="BL1834">
        <f>IFERROR(INDEX(PP_Grid[#Data],$DE1834,61),0)</f>
        <v/>
      </c>
      <c r="BM1834">
        <f>IFERROR(INDEX(PP_Grid[#Data],$DE1834,62),0)</f>
        <v/>
      </c>
      <c r="BN1834">
        <f>IFERROR(INDEX(PP_Grid[#Data],$DE1834,63),0)</f>
        <v/>
      </c>
      <c r="BO1834">
        <f>IFERROR(INDEX(PP_Grid[#Data],$DE1834,64),0)</f>
        <v/>
      </c>
      <c r="BP1834">
        <f>IFERROR(INDEX(PP_Grid[#Data],$DE1834,65),0)</f>
        <v/>
      </c>
      <c r="BQ1834">
        <f>IFERROR(INDEX(PP_Grid[#Data],$DE1834,66),0)</f>
        <v/>
      </c>
      <c r="BR1834">
        <f>IFERROR(INDEX(PP_Grid[#Data],$DE1834,67),0)</f>
        <v/>
      </c>
      <c r="BS1834">
        <f>IFERROR(INDEX(PP_Grid[#Data],$DE1834,68),0)</f>
        <v/>
      </c>
      <c r="BT1834">
        <f>IFERROR(INDEX(PP_Grid[#Data],$DE1834,69),0)</f>
        <v/>
      </c>
      <c r="BU1834">
        <f>IFERROR(INDEX(PP_Grid[#Data],$DE1834,70),0)</f>
        <v/>
      </c>
      <c r="BV1834">
        <f>IFERROR(INDEX(PP_Grid[#Data],$DE1834,71),0)</f>
        <v/>
      </c>
      <c r="BW1834">
        <f>IFERROR(INDEX(PP_Grid[#Data],$DE1834,72),0)</f>
        <v/>
      </c>
      <c r="BX1834">
        <f>IFERROR(INDEX(PP_Grid[#Data],$DE1834,73),0)</f>
        <v/>
      </c>
      <c r="BY1834">
        <f>IFERROR(INDEX(PP_Grid[#Data],$DE1834,74),0)</f>
        <v/>
      </c>
      <c r="BZ1834">
        <f>IFERROR(INDEX(PP_Grid[#Data],$DE1834,75),0)</f>
        <v/>
      </c>
      <c r="CA1834">
        <f>IFERROR(INDEX(PP_Grid[#Data],$DE1834,76),0)</f>
        <v/>
      </c>
      <c r="CB1834">
        <f>IFERROR(INDEX(PP_Grid[#Data],$DE1834,77),0)</f>
        <v/>
      </c>
      <c r="CC1834">
        <f>IFERROR(INDEX(PP_Grid[#Data],$DE1834,78),0)</f>
        <v/>
      </c>
      <c r="CD1834">
        <f>IFERROR(INDEX(PP_Grid[#Data],$DE1834,79),0)</f>
        <v/>
      </c>
      <c r="CE1834">
        <f>IFERROR(INDEX(PP_Grid[#Data],$DE1834,80),0)</f>
        <v/>
      </c>
      <c r="CF1834">
        <f>IFERROR(INDEX(PP_Grid[#Data],$DE1834,81),0)</f>
        <v/>
      </c>
      <c r="CG1834">
        <f>IFERROR(INDEX(PP_Grid[#Data],$DE1834,82),0)</f>
        <v/>
      </c>
      <c r="CH1834">
        <f>IFERROR(INDEX(PP_Grid[#Data],$DE1834,83),0)</f>
        <v/>
      </c>
      <c r="CI1834">
        <f>IFERROR(INDEX(PP_Grid[#Data],$DE1834,84),0)</f>
        <v/>
      </c>
      <c r="CJ1834">
        <f>IFERROR(INDEX(PP_Grid[#Data],$DE1834,85),0)</f>
        <v/>
      </c>
      <c r="CK1834">
        <f>IFERROR(INDEX(PP_Grid[#Data],$DE1834,86),0)</f>
        <v/>
      </c>
      <c r="CL1834">
        <f>IFERROR(INDEX(PP_Grid[#Data],$DE1834,87),0)</f>
        <v/>
      </c>
      <c r="CM1834">
        <f>IFERROR(INDEX(PP_Grid[#Data],$DE1834,88),0)</f>
        <v/>
      </c>
      <c r="CN1834">
        <f>IFERROR(INDEX(PP_Grid[#Data],$DE1834,89),0)</f>
        <v/>
      </c>
      <c r="CO1834">
        <f>IFERROR(INDEX(PP_Grid[#Data],$DE1834,90),0)</f>
        <v/>
      </c>
      <c r="CP1834">
        <f>IFERROR(INDEX(PP_Grid[#Data],$DE1834,91),0)</f>
        <v/>
      </c>
      <c r="CQ1834">
        <f>IFERROR(INDEX(PP_Grid[#Data],$DE1834,92),0)</f>
        <v/>
      </c>
      <c r="CR1834">
        <f>IFERROR(INDEX(PP_Grid[#Data],$DE1834,93),0)</f>
        <v/>
      </c>
      <c r="CS1834">
        <f>IFERROR(INDEX(PP_Grid[#Data],$DE1834,94),0)</f>
        <v/>
      </c>
      <c r="CT1834">
        <f>IFERROR(INDEX(PP_Grid[#Data],$DE1834,95),0)</f>
        <v/>
      </c>
      <c r="CU1834">
        <f>IFERROR(INDEX(PP_Grid[#Data],$DE1834,96),0)</f>
        <v/>
      </c>
      <c r="CV1834">
        <f>IFERROR(INDEX(PP_Grid[#Data],$DE1834,97),0)</f>
        <v/>
      </c>
      <c r="CW1834">
        <f>IFERROR(INDEX(PP_Grid[#Data],$DE1834,98),0)</f>
        <v/>
      </c>
      <c r="CX1834">
        <f>IFERROR(INDEX(PP_Grid[#Data],$DE1834,99),0)</f>
        <v/>
      </c>
      <c r="CY1834">
        <f>IFERROR(INDEX(PP_Grid[#Data],$DE1834,100),0)</f>
        <v/>
      </c>
      <c r="CZ1834">
        <f>IFERROR(INDEX(PP_Grid[#Data],$DE1834,101),0)</f>
        <v/>
      </c>
      <c r="DA1834">
        <f>IFERROR(INDEX(PP_Grid[#Data],$DE1834,102),0)</f>
        <v/>
      </c>
      <c r="DB1834">
        <f>IFERROR(INDEX(PP_Grid[#Data],$DE1834,103),0)</f>
        <v/>
      </c>
      <c r="DC1834">
        <f>IFERROR(INDEX(PP_Grid[#Data],$DE1834,104),0)</f>
        <v/>
      </c>
      <c r="DD1834">
        <f>IFERROR(INDEX(PP_Grid[#Data],$DE1834,105),0)</f>
        <v/>
      </c>
      <c r="DE1834" s="7">
        <f>IFERROR(MATCH($B1834,PP_Grid[Intermediate],0),99999)</f>
        <v/>
      </c>
    </row>
    <row r="1835">
      <c r="B1835" t="inlineStr">
        <is>
          <t>使用量(kg)</t>
        </is>
      </c>
      <c r="C1835">
        <f>SUMIFS(M_BOM[RM_Qty_Per_Batch],M_BOM[Intermediate],$B1834,M_BOM[RM_Code],$A1825)</f>
        <v/>
      </c>
      <c r="D1835">
        <f>IFERROR(INDEX(E1835:DD1835,$F$1),"")</f>
        <v/>
      </c>
      <c r="E1835">
        <f>$C1835*E1834</f>
        <v/>
      </c>
      <c r="F1835">
        <f>$C1835*F1834</f>
        <v/>
      </c>
      <c r="G1835">
        <f>$C1835*G1834</f>
        <v/>
      </c>
      <c r="H1835">
        <f>$C1835*H1834</f>
        <v/>
      </c>
      <c r="I1835">
        <f>$C1835*I1834</f>
        <v/>
      </c>
      <c r="J1835">
        <f>$C1835*J1834</f>
        <v/>
      </c>
      <c r="K1835">
        <f>$C1835*K1834</f>
        <v/>
      </c>
      <c r="L1835">
        <f>$C1835*L1834</f>
        <v/>
      </c>
      <c r="M1835">
        <f>$C1835*M1834</f>
        <v/>
      </c>
      <c r="N1835">
        <f>$C1835*N1834</f>
        <v/>
      </c>
      <c r="O1835">
        <f>$C1835*O1834</f>
        <v/>
      </c>
      <c r="P1835">
        <f>$C1835*P1834</f>
        <v/>
      </c>
      <c r="Q1835">
        <f>$C1835*Q1834</f>
        <v/>
      </c>
      <c r="R1835">
        <f>$C1835*R1834</f>
        <v/>
      </c>
      <c r="S1835">
        <f>$C1835*S1834</f>
        <v/>
      </c>
      <c r="T1835">
        <f>$C1835*T1834</f>
        <v/>
      </c>
      <c r="U1835">
        <f>$C1835*U1834</f>
        <v/>
      </c>
      <c r="V1835">
        <f>$C1835*V1834</f>
        <v/>
      </c>
      <c r="W1835">
        <f>$C1835*W1834</f>
        <v/>
      </c>
      <c r="X1835">
        <f>$C1835*X1834</f>
        <v/>
      </c>
      <c r="Y1835">
        <f>$C1835*Y1834</f>
        <v/>
      </c>
      <c r="Z1835">
        <f>$C1835*Z1834</f>
        <v/>
      </c>
      <c r="AA1835">
        <f>$C1835*AA1834</f>
        <v/>
      </c>
      <c r="AB1835">
        <f>$C1835*AB1834</f>
        <v/>
      </c>
      <c r="AC1835">
        <f>$C1835*AC1834</f>
        <v/>
      </c>
      <c r="AD1835">
        <f>$C1835*AD1834</f>
        <v/>
      </c>
      <c r="AE1835">
        <f>$C1835*AE1834</f>
        <v/>
      </c>
      <c r="AF1835">
        <f>$C1835*AF1834</f>
        <v/>
      </c>
      <c r="AG1835">
        <f>$C1835*AG1834</f>
        <v/>
      </c>
      <c r="AH1835">
        <f>$C1835*AH1834</f>
        <v/>
      </c>
      <c r="AI1835">
        <f>$C1835*AI1834</f>
        <v/>
      </c>
      <c r="AJ1835">
        <f>$C1835*AJ1834</f>
        <v/>
      </c>
      <c r="AK1835">
        <f>$C1835*AK1834</f>
        <v/>
      </c>
      <c r="AL1835">
        <f>$C1835*AL1834</f>
        <v/>
      </c>
      <c r="AM1835">
        <f>$C1835*AM1834</f>
        <v/>
      </c>
      <c r="AN1835">
        <f>$C1835*AN1834</f>
        <v/>
      </c>
      <c r="AO1835">
        <f>$C1835*AO1834</f>
        <v/>
      </c>
      <c r="AP1835">
        <f>$C1835*AP1834</f>
        <v/>
      </c>
      <c r="AQ1835">
        <f>$C1835*AQ1834</f>
        <v/>
      </c>
      <c r="AR1835">
        <f>$C1835*AR1834</f>
        <v/>
      </c>
      <c r="AS1835">
        <f>$C1835*AS1834</f>
        <v/>
      </c>
      <c r="AT1835">
        <f>$C1835*AT1834</f>
        <v/>
      </c>
      <c r="AU1835">
        <f>$C1835*AU1834</f>
        <v/>
      </c>
      <c r="AV1835">
        <f>$C1835*AV1834</f>
        <v/>
      </c>
      <c r="AW1835">
        <f>$C1835*AW1834</f>
        <v/>
      </c>
      <c r="AX1835">
        <f>$C1835*AX1834</f>
        <v/>
      </c>
      <c r="AY1835">
        <f>$C1835*AY1834</f>
        <v/>
      </c>
      <c r="AZ1835">
        <f>$C1835*AZ1834</f>
        <v/>
      </c>
      <c r="BA1835">
        <f>$C1835*BA1834</f>
        <v/>
      </c>
      <c r="BB1835">
        <f>$C1835*BB1834</f>
        <v/>
      </c>
      <c r="BC1835">
        <f>$C1835*BC1834</f>
        <v/>
      </c>
      <c r="BD1835">
        <f>$C1835*BD1834</f>
        <v/>
      </c>
      <c r="BE1835">
        <f>$C1835*BE1834</f>
        <v/>
      </c>
      <c r="BF1835">
        <f>$C1835*BF1834</f>
        <v/>
      </c>
      <c r="BG1835">
        <f>$C1835*BG1834</f>
        <v/>
      </c>
      <c r="BH1835">
        <f>$C1835*BH1834</f>
        <v/>
      </c>
      <c r="BI1835">
        <f>$C1835*BI1834</f>
        <v/>
      </c>
      <c r="BJ1835">
        <f>$C1835*BJ1834</f>
        <v/>
      </c>
      <c r="BK1835">
        <f>$C1835*BK1834</f>
        <v/>
      </c>
      <c r="BL1835">
        <f>$C1835*BL1834</f>
        <v/>
      </c>
      <c r="BM1835">
        <f>$C1835*BM1834</f>
        <v/>
      </c>
      <c r="BN1835">
        <f>$C1835*BN1834</f>
        <v/>
      </c>
      <c r="BO1835">
        <f>$C1835*BO1834</f>
        <v/>
      </c>
      <c r="BP1835">
        <f>$C1835*BP1834</f>
        <v/>
      </c>
      <c r="BQ1835">
        <f>$C1835*BQ1834</f>
        <v/>
      </c>
      <c r="BR1835">
        <f>$C1835*BR1834</f>
        <v/>
      </c>
      <c r="BS1835">
        <f>$C1835*BS1834</f>
        <v/>
      </c>
      <c r="BT1835">
        <f>$C1835*BT1834</f>
        <v/>
      </c>
      <c r="BU1835">
        <f>$C1835*BU1834</f>
        <v/>
      </c>
      <c r="BV1835">
        <f>$C1835*BV1834</f>
        <v/>
      </c>
      <c r="BW1835">
        <f>$C1835*BW1834</f>
        <v/>
      </c>
      <c r="BX1835">
        <f>$C1835*BX1834</f>
        <v/>
      </c>
      <c r="BY1835">
        <f>$C1835*BY1834</f>
        <v/>
      </c>
      <c r="BZ1835">
        <f>$C1835*BZ1834</f>
        <v/>
      </c>
      <c r="CA1835">
        <f>$C1835*CA1834</f>
        <v/>
      </c>
      <c r="CB1835">
        <f>$C1835*CB1834</f>
        <v/>
      </c>
      <c r="CC1835">
        <f>$C1835*CC1834</f>
        <v/>
      </c>
      <c r="CD1835">
        <f>$C1835*CD1834</f>
        <v/>
      </c>
      <c r="CE1835">
        <f>$C1835*CE1834</f>
        <v/>
      </c>
      <c r="CF1835">
        <f>$C1835*CF1834</f>
        <v/>
      </c>
      <c r="CG1835">
        <f>$C1835*CG1834</f>
        <v/>
      </c>
      <c r="CH1835">
        <f>$C1835*CH1834</f>
        <v/>
      </c>
      <c r="CI1835">
        <f>$C1835*CI1834</f>
        <v/>
      </c>
      <c r="CJ1835">
        <f>$C1835*CJ1834</f>
        <v/>
      </c>
      <c r="CK1835">
        <f>$C1835*CK1834</f>
        <v/>
      </c>
      <c r="CL1835">
        <f>$C1835*CL1834</f>
        <v/>
      </c>
      <c r="CM1835">
        <f>$C1835*CM1834</f>
        <v/>
      </c>
      <c r="CN1835">
        <f>$C1835*CN1834</f>
        <v/>
      </c>
      <c r="CO1835">
        <f>$C1835*CO1834</f>
        <v/>
      </c>
      <c r="CP1835">
        <f>$C1835*CP1834</f>
        <v/>
      </c>
      <c r="CQ1835">
        <f>$C1835*CQ1834</f>
        <v/>
      </c>
      <c r="CR1835">
        <f>$C1835*CR1834</f>
        <v/>
      </c>
      <c r="CS1835">
        <f>$C1835*CS1834</f>
        <v/>
      </c>
      <c r="CT1835">
        <f>$C1835*CT1834</f>
        <v/>
      </c>
      <c r="CU1835">
        <f>$C1835*CU1834</f>
        <v/>
      </c>
      <c r="CV1835">
        <f>$C1835*CV1834</f>
        <v/>
      </c>
      <c r="CW1835">
        <f>$C1835*CW1834</f>
        <v/>
      </c>
      <c r="CX1835">
        <f>$C1835*CX1834</f>
        <v/>
      </c>
      <c r="CY1835">
        <f>$C1835*CY1834</f>
        <v/>
      </c>
      <c r="CZ1835">
        <f>$C1835*CZ1834</f>
        <v/>
      </c>
      <c r="DA1835">
        <f>$C1835*DA1834</f>
        <v/>
      </c>
      <c r="DB1835">
        <f>$C1835*DB1834</f>
        <v/>
      </c>
      <c r="DC1835">
        <f>$C1835*DC1834</f>
        <v/>
      </c>
      <c r="DD1835">
        <f>$C1835*DD1834</f>
        <v/>
      </c>
    </row>
    <row r="1836">
      <c r="B1836" s="4" t="inlineStr">
        <is>
          <t>合計使用量(kg)/週</t>
        </is>
      </c>
      <c r="D1836" s="23">
        <f>IFERROR(INDEX(E1836:DD1836,$F$1),"")</f>
        <v/>
      </c>
      <c r="E1836">
        <f>'Grid_Requirement'!B58</f>
        <v/>
      </c>
      <c r="F1836">
        <f>'Grid_Requirement'!C58</f>
        <v/>
      </c>
      <c r="G1836">
        <f>'Grid_Requirement'!D58</f>
        <v/>
      </c>
      <c r="H1836">
        <f>'Grid_Requirement'!E58</f>
        <v/>
      </c>
      <c r="I1836">
        <f>'Grid_Requirement'!F58</f>
        <v/>
      </c>
      <c r="J1836">
        <f>'Grid_Requirement'!G58</f>
        <v/>
      </c>
      <c r="K1836">
        <f>'Grid_Requirement'!H58</f>
        <v/>
      </c>
      <c r="L1836">
        <f>'Grid_Requirement'!I58</f>
        <v/>
      </c>
      <c r="M1836">
        <f>'Grid_Requirement'!J58</f>
        <v/>
      </c>
      <c r="N1836">
        <f>'Grid_Requirement'!K58</f>
        <v/>
      </c>
      <c r="O1836">
        <f>'Grid_Requirement'!L58</f>
        <v/>
      </c>
      <c r="P1836">
        <f>'Grid_Requirement'!M58</f>
        <v/>
      </c>
      <c r="Q1836">
        <f>'Grid_Requirement'!N58</f>
        <v/>
      </c>
      <c r="R1836">
        <f>'Grid_Requirement'!O58</f>
        <v/>
      </c>
      <c r="S1836">
        <f>'Grid_Requirement'!P58</f>
        <v/>
      </c>
      <c r="T1836">
        <f>'Grid_Requirement'!Q58</f>
        <v/>
      </c>
      <c r="U1836">
        <f>'Grid_Requirement'!R58</f>
        <v/>
      </c>
      <c r="V1836">
        <f>'Grid_Requirement'!S58</f>
        <v/>
      </c>
      <c r="W1836">
        <f>'Grid_Requirement'!T58</f>
        <v/>
      </c>
      <c r="X1836">
        <f>'Grid_Requirement'!U58</f>
        <v/>
      </c>
      <c r="Y1836">
        <f>'Grid_Requirement'!V58</f>
        <v/>
      </c>
      <c r="Z1836">
        <f>'Grid_Requirement'!W58</f>
        <v/>
      </c>
      <c r="AA1836">
        <f>'Grid_Requirement'!X58</f>
        <v/>
      </c>
      <c r="AB1836">
        <f>'Grid_Requirement'!Y58</f>
        <v/>
      </c>
      <c r="AC1836">
        <f>'Grid_Requirement'!Z58</f>
        <v/>
      </c>
      <c r="AD1836">
        <f>'Grid_Requirement'!AA58</f>
        <v/>
      </c>
      <c r="AE1836">
        <f>'Grid_Requirement'!AB58</f>
        <v/>
      </c>
      <c r="AF1836">
        <f>'Grid_Requirement'!AC58</f>
        <v/>
      </c>
      <c r="AG1836">
        <f>'Grid_Requirement'!AD58</f>
        <v/>
      </c>
      <c r="AH1836">
        <f>'Grid_Requirement'!AE58</f>
        <v/>
      </c>
      <c r="AI1836">
        <f>'Grid_Requirement'!AF58</f>
        <v/>
      </c>
      <c r="AJ1836">
        <f>'Grid_Requirement'!AG58</f>
        <v/>
      </c>
      <c r="AK1836">
        <f>'Grid_Requirement'!AH58</f>
        <v/>
      </c>
      <c r="AL1836">
        <f>'Grid_Requirement'!AI58</f>
        <v/>
      </c>
      <c r="AM1836">
        <f>'Grid_Requirement'!AJ58</f>
        <v/>
      </c>
      <c r="AN1836">
        <f>'Grid_Requirement'!AK58</f>
        <v/>
      </c>
      <c r="AO1836">
        <f>'Grid_Requirement'!AL58</f>
        <v/>
      </c>
      <c r="AP1836">
        <f>'Grid_Requirement'!AM58</f>
        <v/>
      </c>
      <c r="AQ1836">
        <f>'Grid_Requirement'!AN58</f>
        <v/>
      </c>
      <c r="AR1836">
        <f>'Grid_Requirement'!AO58</f>
        <v/>
      </c>
      <c r="AS1836">
        <f>'Grid_Requirement'!AP58</f>
        <v/>
      </c>
      <c r="AT1836">
        <f>'Grid_Requirement'!AQ58</f>
        <v/>
      </c>
      <c r="AU1836">
        <f>'Grid_Requirement'!AR58</f>
        <v/>
      </c>
      <c r="AV1836">
        <f>'Grid_Requirement'!AS58</f>
        <v/>
      </c>
      <c r="AW1836">
        <f>'Grid_Requirement'!AT58</f>
        <v/>
      </c>
      <c r="AX1836">
        <f>'Grid_Requirement'!AU58</f>
        <v/>
      </c>
      <c r="AY1836">
        <f>'Grid_Requirement'!AV58</f>
        <v/>
      </c>
      <c r="AZ1836">
        <f>'Grid_Requirement'!AW58</f>
        <v/>
      </c>
      <c r="BA1836">
        <f>'Grid_Requirement'!AX58</f>
        <v/>
      </c>
      <c r="BB1836">
        <f>'Grid_Requirement'!AY58</f>
        <v/>
      </c>
      <c r="BC1836">
        <f>'Grid_Requirement'!AZ58</f>
        <v/>
      </c>
      <c r="BD1836">
        <f>'Grid_Requirement'!BA58</f>
        <v/>
      </c>
      <c r="BE1836">
        <f>'Grid_Requirement'!BB58</f>
        <v/>
      </c>
      <c r="BF1836">
        <f>'Grid_Requirement'!BC58</f>
        <v/>
      </c>
      <c r="BG1836">
        <f>'Grid_Requirement'!BD58</f>
        <v/>
      </c>
      <c r="BH1836">
        <f>'Grid_Requirement'!BE58</f>
        <v/>
      </c>
      <c r="BI1836">
        <f>'Grid_Requirement'!BF58</f>
        <v/>
      </c>
      <c r="BJ1836">
        <f>'Grid_Requirement'!BG58</f>
        <v/>
      </c>
      <c r="BK1836">
        <f>'Grid_Requirement'!BH58</f>
        <v/>
      </c>
      <c r="BL1836">
        <f>'Grid_Requirement'!BI58</f>
        <v/>
      </c>
      <c r="BM1836">
        <f>'Grid_Requirement'!BJ58</f>
        <v/>
      </c>
      <c r="BN1836">
        <f>'Grid_Requirement'!BK58</f>
        <v/>
      </c>
      <c r="BO1836">
        <f>'Grid_Requirement'!BL58</f>
        <v/>
      </c>
      <c r="BP1836">
        <f>'Grid_Requirement'!BM58</f>
        <v/>
      </c>
      <c r="BQ1836">
        <f>'Grid_Requirement'!BN58</f>
        <v/>
      </c>
      <c r="BR1836">
        <f>'Grid_Requirement'!BO58</f>
        <v/>
      </c>
      <c r="BS1836">
        <f>'Grid_Requirement'!BP58</f>
        <v/>
      </c>
      <c r="BT1836">
        <f>'Grid_Requirement'!BQ58</f>
        <v/>
      </c>
      <c r="BU1836">
        <f>'Grid_Requirement'!BR58</f>
        <v/>
      </c>
      <c r="BV1836">
        <f>'Grid_Requirement'!BS58</f>
        <v/>
      </c>
      <c r="BW1836">
        <f>'Grid_Requirement'!BT58</f>
        <v/>
      </c>
      <c r="BX1836">
        <f>'Grid_Requirement'!BU58</f>
        <v/>
      </c>
      <c r="BY1836">
        <f>'Grid_Requirement'!BV58</f>
        <v/>
      </c>
      <c r="BZ1836">
        <f>'Grid_Requirement'!BW58</f>
        <v/>
      </c>
      <c r="CA1836">
        <f>'Grid_Requirement'!BX58</f>
        <v/>
      </c>
      <c r="CB1836">
        <f>'Grid_Requirement'!BY58</f>
        <v/>
      </c>
      <c r="CC1836">
        <f>'Grid_Requirement'!BZ58</f>
        <v/>
      </c>
      <c r="CD1836">
        <f>'Grid_Requirement'!CA58</f>
        <v/>
      </c>
      <c r="CE1836">
        <f>'Grid_Requirement'!CB58</f>
        <v/>
      </c>
      <c r="CF1836">
        <f>'Grid_Requirement'!CC58</f>
        <v/>
      </c>
      <c r="CG1836">
        <f>'Grid_Requirement'!CD58</f>
        <v/>
      </c>
      <c r="CH1836">
        <f>'Grid_Requirement'!CE58</f>
        <v/>
      </c>
      <c r="CI1836">
        <f>'Grid_Requirement'!CF58</f>
        <v/>
      </c>
      <c r="CJ1836">
        <f>'Grid_Requirement'!CG58</f>
        <v/>
      </c>
      <c r="CK1836">
        <f>'Grid_Requirement'!CH58</f>
        <v/>
      </c>
      <c r="CL1836">
        <f>'Grid_Requirement'!CI58</f>
        <v/>
      </c>
      <c r="CM1836">
        <f>'Grid_Requirement'!CJ58</f>
        <v/>
      </c>
      <c r="CN1836">
        <f>'Grid_Requirement'!CK58</f>
        <v/>
      </c>
      <c r="CO1836">
        <f>'Grid_Requirement'!CL58</f>
        <v/>
      </c>
      <c r="CP1836">
        <f>'Grid_Requirement'!CM58</f>
        <v/>
      </c>
      <c r="CQ1836">
        <f>'Grid_Requirement'!CN58</f>
        <v/>
      </c>
      <c r="CR1836">
        <f>'Grid_Requirement'!CO58</f>
        <v/>
      </c>
      <c r="CS1836">
        <f>'Grid_Requirement'!CP58</f>
        <v/>
      </c>
      <c r="CT1836">
        <f>'Grid_Requirement'!CQ58</f>
        <v/>
      </c>
      <c r="CU1836">
        <f>'Grid_Requirement'!CR58</f>
        <v/>
      </c>
      <c r="CV1836">
        <f>'Grid_Requirement'!CS58</f>
        <v/>
      </c>
      <c r="CW1836">
        <f>'Grid_Requirement'!CT58</f>
        <v/>
      </c>
      <c r="CX1836">
        <f>'Grid_Requirement'!CU58</f>
        <v/>
      </c>
      <c r="CY1836">
        <f>'Grid_Requirement'!CV58</f>
        <v/>
      </c>
      <c r="CZ1836">
        <f>'Grid_Requirement'!CW58</f>
        <v/>
      </c>
      <c r="DA1836">
        <f>'Grid_Requirement'!CX58</f>
        <v/>
      </c>
      <c r="DB1836">
        <f>'Grid_Requirement'!CY58</f>
        <v/>
      </c>
      <c r="DC1836">
        <f>'Grid_Requirement'!CZ58</f>
        <v/>
      </c>
      <c r="DD1836">
        <f>'Grid_Requirement'!DA58</f>
        <v/>
      </c>
    </row>
    <row r="1837">
      <c r="B1837" t="inlineStr">
        <is>
          <t>TTAF在庫(実績,kg)</t>
        </is>
      </c>
      <c r="D1837">
        <f>IFERROR(INDEX(E1837:DD1837,$F$1),"")</f>
        <v/>
      </c>
      <c r="E1837">
        <f>IFERROR(SUMIFS(T_TTAFStock[TTAF_Qty],T_TTAFStock[RM_Code],$A1825,T_TTAFStock[WeekIndex],1),"")</f>
        <v/>
      </c>
      <c r="F1837">
        <f>IFERROR(SUMIFS(T_TTAFStock[TTAF_Qty],T_TTAFStock[RM_Code],$A1825,T_TTAFStock[WeekIndex],2),"")</f>
        <v/>
      </c>
      <c r="G1837">
        <f>IFERROR(SUMIFS(T_TTAFStock[TTAF_Qty],T_TTAFStock[RM_Code],$A1825,T_TTAFStock[WeekIndex],3),"")</f>
        <v/>
      </c>
      <c r="H1837">
        <f>IFERROR(SUMIFS(T_TTAFStock[TTAF_Qty],T_TTAFStock[RM_Code],$A1825,T_TTAFStock[WeekIndex],4),"")</f>
        <v/>
      </c>
      <c r="I1837">
        <f>IFERROR(SUMIFS(T_TTAFStock[TTAF_Qty],T_TTAFStock[RM_Code],$A1825,T_TTAFStock[WeekIndex],5),"")</f>
        <v/>
      </c>
      <c r="J1837">
        <f>IFERROR(SUMIFS(T_TTAFStock[TTAF_Qty],T_TTAFStock[RM_Code],$A1825,T_TTAFStock[WeekIndex],6),"")</f>
        <v/>
      </c>
      <c r="K1837">
        <f>IFERROR(SUMIFS(T_TTAFStock[TTAF_Qty],T_TTAFStock[RM_Code],$A1825,T_TTAFStock[WeekIndex],7),"")</f>
        <v/>
      </c>
      <c r="L1837">
        <f>IFERROR(SUMIFS(T_TTAFStock[TTAF_Qty],T_TTAFStock[RM_Code],$A1825,T_TTAFStock[WeekIndex],8),"")</f>
        <v/>
      </c>
      <c r="M1837">
        <f>IFERROR(SUMIFS(T_TTAFStock[TTAF_Qty],T_TTAFStock[RM_Code],$A1825,T_TTAFStock[WeekIndex],9),"")</f>
        <v/>
      </c>
      <c r="N1837">
        <f>IFERROR(SUMIFS(T_TTAFStock[TTAF_Qty],T_TTAFStock[RM_Code],$A1825,T_TTAFStock[WeekIndex],10),"")</f>
        <v/>
      </c>
      <c r="O1837">
        <f>IFERROR(SUMIFS(T_TTAFStock[TTAF_Qty],T_TTAFStock[RM_Code],$A1825,T_TTAFStock[WeekIndex],11),"")</f>
        <v/>
      </c>
      <c r="P1837">
        <f>IFERROR(SUMIFS(T_TTAFStock[TTAF_Qty],T_TTAFStock[RM_Code],$A1825,T_TTAFStock[WeekIndex],12),"")</f>
        <v/>
      </c>
      <c r="Q1837">
        <f>IFERROR(SUMIFS(T_TTAFStock[TTAF_Qty],T_TTAFStock[RM_Code],$A1825,T_TTAFStock[WeekIndex],13),"")</f>
        <v/>
      </c>
      <c r="R1837">
        <f>IFERROR(SUMIFS(T_TTAFStock[TTAF_Qty],T_TTAFStock[RM_Code],$A1825,T_TTAFStock[WeekIndex],14),"")</f>
        <v/>
      </c>
      <c r="S1837">
        <f>IFERROR(SUMIFS(T_TTAFStock[TTAF_Qty],T_TTAFStock[RM_Code],$A1825,T_TTAFStock[WeekIndex],15),"")</f>
        <v/>
      </c>
      <c r="T1837">
        <f>IFERROR(SUMIFS(T_TTAFStock[TTAF_Qty],T_TTAFStock[RM_Code],$A1825,T_TTAFStock[WeekIndex],16),"")</f>
        <v/>
      </c>
      <c r="U1837">
        <f>IFERROR(SUMIFS(T_TTAFStock[TTAF_Qty],T_TTAFStock[RM_Code],$A1825,T_TTAFStock[WeekIndex],17),"")</f>
        <v/>
      </c>
      <c r="V1837">
        <f>IFERROR(SUMIFS(T_TTAFStock[TTAF_Qty],T_TTAFStock[RM_Code],$A1825,T_TTAFStock[WeekIndex],18),"")</f>
        <v/>
      </c>
      <c r="W1837">
        <f>IFERROR(SUMIFS(T_TTAFStock[TTAF_Qty],T_TTAFStock[RM_Code],$A1825,T_TTAFStock[WeekIndex],19),"")</f>
        <v/>
      </c>
      <c r="X1837">
        <f>IFERROR(SUMIFS(T_TTAFStock[TTAF_Qty],T_TTAFStock[RM_Code],$A1825,T_TTAFStock[WeekIndex],20),"")</f>
        <v/>
      </c>
      <c r="Y1837">
        <f>IFERROR(SUMIFS(T_TTAFStock[TTAF_Qty],T_TTAFStock[RM_Code],$A1825,T_TTAFStock[WeekIndex],21),"")</f>
        <v/>
      </c>
      <c r="Z1837">
        <f>IFERROR(SUMIFS(T_TTAFStock[TTAF_Qty],T_TTAFStock[RM_Code],$A1825,T_TTAFStock[WeekIndex],22),"")</f>
        <v/>
      </c>
      <c r="AA1837">
        <f>IFERROR(SUMIFS(T_TTAFStock[TTAF_Qty],T_TTAFStock[RM_Code],$A1825,T_TTAFStock[WeekIndex],23),"")</f>
        <v/>
      </c>
      <c r="AB1837">
        <f>IFERROR(SUMIFS(T_TTAFStock[TTAF_Qty],T_TTAFStock[RM_Code],$A1825,T_TTAFStock[WeekIndex],24),"")</f>
        <v/>
      </c>
      <c r="AC1837">
        <f>IFERROR(SUMIFS(T_TTAFStock[TTAF_Qty],T_TTAFStock[RM_Code],$A1825,T_TTAFStock[WeekIndex],25),"")</f>
        <v/>
      </c>
      <c r="AD1837">
        <f>IFERROR(SUMIFS(T_TTAFStock[TTAF_Qty],T_TTAFStock[RM_Code],$A1825,T_TTAFStock[WeekIndex],26),"")</f>
        <v/>
      </c>
      <c r="AE1837">
        <f>IFERROR(SUMIFS(T_TTAFStock[TTAF_Qty],T_TTAFStock[RM_Code],$A1825,T_TTAFStock[WeekIndex],27),"")</f>
        <v/>
      </c>
      <c r="AF1837">
        <f>IFERROR(SUMIFS(T_TTAFStock[TTAF_Qty],T_TTAFStock[RM_Code],$A1825,T_TTAFStock[WeekIndex],28),"")</f>
        <v/>
      </c>
      <c r="AG1837">
        <f>IFERROR(SUMIFS(T_TTAFStock[TTAF_Qty],T_TTAFStock[RM_Code],$A1825,T_TTAFStock[WeekIndex],29),"")</f>
        <v/>
      </c>
      <c r="AH1837">
        <f>IFERROR(SUMIFS(T_TTAFStock[TTAF_Qty],T_TTAFStock[RM_Code],$A1825,T_TTAFStock[WeekIndex],30),"")</f>
        <v/>
      </c>
      <c r="AI1837">
        <f>IFERROR(SUMIFS(T_TTAFStock[TTAF_Qty],T_TTAFStock[RM_Code],$A1825,T_TTAFStock[WeekIndex],31),"")</f>
        <v/>
      </c>
      <c r="AJ1837">
        <f>IFERROR(SUMIFS(T_TTAFStock[TTAF_Qty],T_TTAFStock[RM_Code],$A1825,T_TTAFStock[WeekIndex],32),"")</f>
        <v/>
      </c>
      <c r="AK1837">
        <f>IFERROR(SUMIFS(T_TTAFStock[TTAF_Qty],T_TTAFStock[RM_Code],$A1825,T_TTAFStock[WeekIndex],33),"")</f>
        <v/>
      </c>
      <c r="AL1837">
        <f>IFERROR(SUMIFS(T_TTAFStock[TTAF_Qty],T_TTAFStock[RM_Code],$A1825,T_TTAFStock[WeekIndex],34),"")</f>
        <v/>
      </c>
      <c r="AM1837">
        <f>IFERROR(SUMIFS(T_TTAFStock[TTAF_Qty],T_TTAFStock[RM_Code],$A1825,T_TTAFStock[WeekIndex],35),"")</f>
        <v/>
      </c>
      <c r="AN1837">
        <f>IFERROR(SUMIFS(T_TTAFStock[TTAF_Qty],T_TTAFStock[RM_Code],$A1825,T_TTAFStock[WeekIndex],36),"")</f>
        <v/>
      </c>
      <c r="AO1837">
        <f>IFERROR(SUMIFS(T_TTAFStock[TTAF_Qty],T_TTAFStock[RM_Code],$A1825,T_TTAFStock[WeekIndex],37),"")</f>
        <v/>
      </c>
      <c r="AP1837">
        <f>IFERROR(SUMIFS(T_TTAFStock[TTAF_Qty],T_TTAFStock[RM_Code],$A1825,T_TTAFStock[WeekIndex],38),"")</f>
        <v/>
      </c>
      <c r="AQ1837">
        <f>IFERROR(SUMIFS(T_TTAFStock[TTAF_Qty],T_TTAFStock[RM_Code],$A1825,T_TTAFStock[WeekIndex],39),"")</f>
        <v/>
      </c>
      <c r="AR1837">
        <f>IFERROR(SUMIFS(T_TTAFStock[TTAF_Qty],T_TTAFStock[RM_Code],$A1825,T_TTAFStock[WeekIndex],40),"")</f>
        <v/>
      </c>
      <c r="AS1837">
        <f>IFERROR(SUMIFS(T_TTAFStock[TTAF_Qty],T_TTAFStock[RM_Code],$A1825,T_TTAFStock[WeekIndex],41),"")</f>
        <v/>
      </c>
      <c r="AT1837">
        <f>IFERROR(SUMIFS(T_TTAFStock[TTAF_Qty],T_TTAFStock[RM_Code],$A1825,T_TTAFStock[WeekIndex],42),"")</f>
        <v/>
      </c>
      <c r="AU1837">
        <f>IFERROR(SUMIFS(T_TTAFStock[TTAF_Qty],T_TTAFStock[RM_Code],$A1825,T_TTAFStock[WeekIndex],43),"")</f>
        <v/>
      </c>
      <c r="AV1837">
        <f>IFERROR(SUMIFS(T_TTAFStock[TTAF_Qty],T_TTAFStock[RM_Code],$A1825,T_TTAFStock[WeekIndex],44),"")</f>
        <v/>
      </c>
      <c r="AW1837">
        <f>IFERROR(SUMIFS(T_TTAFStock[TTAF_Qty],T_TTAFStock[RM_Code],$A1825,T_TTAFStock[WeekIndex],45),"")</f>
        <v/>
      </c>
      <c r="AX1837">
        <f>IFERROR(SUMIFS(T_TTAFStock[TTAF_Qty],T_TTAFStock[RM_Code],$A1825,T_TTAFStock[WeekIndex],46),"")</f>
        <v/>
      </c>
      <c r="AY1837">
        <f>IFERROR(SUMIFS(T_TTAFStock[TTAF_Qty],T_TTAFStock[RM_Code],$A1825,T_TTAFStock[WeekIndex],47),"")</f>
        <v/>
      </c>
      <c r="AZ1837">
        <f>IFERROR(SUMIFS(T_TTAFStock[TTAF_Qty],T_TTAFStock[RM_Code],$A1825,T_TTAFStock[WeekIndex],48),"")</f>
        <v/>
      </c>
      <c r="BA1837">
        <f>IFERROR(SUMIFS(T_TTAFStock[TTAF_Qty],T_TTAFStock[RM_Code],$A1825,T_TTAFStock[WeekIndex],49),"")</f>
        <v/>
      </c>
      <c r="BB1837">
        <f>IFERROR(SUMIFS(T_TTAFStock[TTAF_Qty],T_TTAFStock[RM_Code],$A1825,T_TTAFStock[WeekIndex],50),"")</f>
        <v/>
      </c>
      <c r="BC1837">
        <f>IFERROR(SUMIFS(T_TTAFStock[TTAF_Qty],T_TTAFStock[RM_Code],$A1825,T_TTAFStock[WeekIndex],51),"")</f>
        <v/>
      </c>
      <c r="BD1837">
        <f>IFERROR(SUMIFS(T_TTAFStock[TTAF_Qty],T_TTAFStock[RM_Code],$A1825,T_TTAFStock[WeekIndex],52),"")</f>
        <v/>
      </c>
      <c r="BE1837">
        <f>IFERROR(SUMIFS(T_TTAFStock[TTAF_Qty],T_TTAFStock[RM_Code],$A1825,T_TTAFStock[WeekIndex],53),"")</f>
        <v/>
      </c>
      <c r="BF1837">
        <f>IFERROR(SUMIFS(T_TTAFStock[TTAF_Qty],T_TTAFStock[RM_Code],$A1825,T_TTAFStock[WeekIndex],54),"")</f>
        <v/>
      </c>
      <c r="BG1837">
        <f>IFERROR(SUMIFS(T_TTAFStock[TTAF_Qty],T_TTAFStock[RM_Code],$A1825,T_TTAFStock[WeekIndex],55),"")</f>
        <v/>
      </c>
      <c r="BH1837">
        <f>IFERROR(SUMIFS(T_TTAFStock[TTAF_Qty],T_TTAFStock[RM_Code],$A1825,T_TTAFStock[WeekIndex],56),"")</f>
        <v/>
      </c>
      <c r="BI1837">
        <f>IFERROR(SUMIFS(T_TTAFStock[TTAF_Qty],T_TTAFStock[RM_Code],$A1825,T_TTAFStock[WeekIndex],57),"")</f>
        <v/>
      </c>
      <c r="BJ1837">
        <f>IFERROR(SUMIFS(T_TTAFStock[TTAF_Qty],T_TTAFStock[RM_Code],$A1825,T_TTAFStock[WeekIndex],58),"")</f>
        <v/>
      </c>
      <c r="BK1837">
        <f>IFERROR(SUMIFS(T_TTAFStock[TTAF_Qty],T_TTAFStock[RM_Code],$A1825,T_TTAFStock[WeekIndex],59),"")</f>
        <v/>
      </c>
      <c r="BL1837">
        <f>IFERROR(SUMIFS(T_TTAFStock[TTAF_Qty],T_TTAFStock[RM_Code],$A1825,T_TTAFStock[WeekIndex],60),"")</f>
        <v/>
      </c>
      <c r="BM1837">
        <f>IFERROR(SUMIFS(T_TTAFStock[TTAF_Qty],T_TTAFStock[RM_Code],$A1825,T_TTAFStock[WeekIndex],61),"")</f>
        <v/>
      </c>
      <c r="BN1837">
        <f>IFERROR(SUMIFS(T_TTAFStock[TTAF_Qty],T_TTAFStock[RM_Code],$A1825,T_TTAFStock[WeekIndex],62),"")</f>
        <v/>
      </c>
      <c r="BO1837">
        <f>IFERROR(SUMIFS(T_TTAFStock[TTAF_Qty],T_TTAFStock[RM_Code],$A1825,T_TTAFStock[WeekIndex],63),"")</f>
        <v/>
      </c>
      <c r="BP1837">
        <f>IFERROR(SUMIFS(T_TTAFStock[TTAF_Qty],T_TTAFStock[RM_Code],$A1825,T_TTAFStock[WeekIndex],64),"")</f>
        <v/>
      </c>
      <c r="BQ1837">
        <f>IFERROR(SUMIFS(T_TTAFStock[TTAF_Qty],T_TTAFStock[RM_Code],$A1825,T_TTAFStock[WeekIndex],65),"")</f>
        <v/>
      </c>
      <c r="BR1837">
        <f>IFERROR(SUMIFS(T_TTAFStock[TTAF_Qty],T_TTAFStock[RM_Code],$A1825,T_TTAFStock[WeekIndex],66),"")</f>
        <v/>
      </c>
      <c r="BS1837">
        <f>IFERROR(SUMIFS(T_TTAFStock[TTAF_Qty],T_TTAFStock[RM_Code],$A1825,T_TTAFStock[WeekIndex],67),"")</f>
        <v/>
      </c>
      <c r="BT1837">
        <f>IFERROR(SUMIFS(T_TTAFStock[TTAF_Qty],T_TTAFStock[RM_Code],$A1825,T_TTAFStock[WeekIndex],68),"")</f>
        <v/>
      </c>
      <c r="BU1837">
        <f>IFERROR(SUMIFS(T_TTAFStock[TTAF_Qty],T_TTAFStock[RM_Code],$A1825,T_TTAFStock[WeekIndex],69),"")</f>
        <v/>
      </c>
      <c r="BV1837">
        <f>IFERROR(SUMIFS(T_TTAFStock[TTAF_Qty],T_TTAFStock[RM_Code],$A1825,T_TTAFStock[WeekIndex],70),"")</f>
        <v/>
      </c>
      <c r="BW1837">
        <f>IFERROR(SUMIFS(T_TTAFStock[TTAF_Qty],T_TTAFStock[RM_Code],$A1825,T_TTAFStock[WeekIndex],71),"")</f>
        <v/>
      </c>
      <c r="BX1837">
        <f>IFERROR(SUMIFS(T_TTAFStock[TTAF_Qty],T_TTAFStock[RM_Code],$A1825,T_TTAFStock[WeekIndex],72),"")</f>
        <v/>
      </c>
      <c r="BY1837">
        <f>IFERROR(SUMIFS(T_TTAFStock[TTAF_Qty],T_TTAFStock[RM_Code],$A1825,T_TTAFStock[WeekIndex],73),"")</f>
        <v/>
      </c>
      <c r="BZ1837">
        <f>IFERROR(SUMIFS(T_TTAFStock[TTAF_Qty],T_TTAFStock[RM_Code],$A1825,T_TTAFStock[WeekIndex],74),"")</f>
        <v/>
      </c>
      <c r="CA1837">
        <f>IFERROR(SUMIFS(T_TTAFStock[TTAF_Qty],T_TTAFStock[RM_Code],$A1825,T_TTAFStock[WeekIndex],75),"")</f>
        <v/>
      </c>
      <c r="CB1837">
        <f>IFERROR(SUMIFS(T_TTAFStock[TTAF_Qty],T_TTAFStock[RM_Code],$A1825,T_TTAFStock[WeekIndex],76),"")</f>
        <v/>
      </c>
      <c r="CC1837">
        <f>IFERROR(SUMIFS(T_TTAFStock[TTAF_Qty],T_TTAFStock[RM_Code],$A1825,T_TTAFStock[WeekIndex],77),"")</f>
        <v/>
      </c>
      <c r="CD1837">
        <f>IFERROR(SUMIFS(T_TTAFStock[TTAF_Qty],T_TTAFStock[RM_Code],$A1825,T_TTAFStock[WeekIndex],78),"")</f>
        <v/>
      </c>
      <c r="CE1837">
        <f>IFERROR(SUMIFS(T_TTAFStock[TTAF_Qty],T_TTAFStock[RM_Code],$A1825,T_TTAFStock[WeekIndex],79),"")</f>
        <v/>
      </c>
      <c r="CF1837">
        <f>IFERROR(SUMIFS(T_TTAFStock[TTAF_Qty],T_TTAFStock[RM_Code],$A1825,T_TTAFStock[WeekIndex],80),"")</f>
        <v/>
      </c>
      <c r="CG1837">
        <f>IFERROR(SUMIFS(T_TTAFStock[TTAF_Qty],T_TTAFStock[RM_Code],$A1825,T_TTAFStock[WeekIndex],81),"")</f>
        <v/>
      </c>
      <c r="CH1837">
        <f>IFERROR(SUMIFS(T_TTAFStock[TTAF_Qty],T_TTAFStock[RM_Code],$A1825,T_TTAFStock[WeekIndex],82),"")</f>
        <v/>
      </c>
      <c r="CI1837">
        <f>IFERROR(SUMIFS(T_TTAFStock[TTAF_Qty],T_TTAFStock[RM_Code],$A1825,T_TTAFStock[WeekIndex],83),"")</f>
        <v/>
      </c>
      <c r="CJ1837">
        <f>IFERROR(SUMIFS(T_TTAFStock[TTAF_Qty],T_TTAFStock[RM_Code],$A1825,T_TTAFStock[WeekIndex],84),"")</f>
        <v/>
      </c>
      <c r="CK1837">
        <f>IFERROR(SUMIFS(T_TTAFStock[TTAF_Qty],T_TTAFStock[RM_Code],$A1825,T_TTAFStock[WeekIndex],85),"")</f>
        <v/>
      </c>
      <c r="CL1837">
        <f>IFERROR(SUMIFS(T_TTAFStock[TTAF_Qty],T_TTAFStock[RM_Code],$A1825,T_TTAFStock[WeekIndex],86),"")</f>
        <v/>
      </c>
      <c r="CM1837">
        <f>IFERROR(SUMIFS(T_TTAFStock[TTAF_Qty],T_TTAFStock[RM_Code],$A1825,T_TTAFStock[WeekIndex],87),"")</f>
        <v/>
      </c>
      <c r="CN1837">
        <f>IFERROR(SUMIFS(T_TTAFStock[TTAF_Qty],T_TTAFStock[RM_Code],$A1825,T_TTAFStock[WeekIndex],88),"")</f>
        <v/>
      </c>
      <c r="CO1837">
        <f>IFERROR(SUMIFS(T_TTAFStock[TTAF_Qty],T_TTAFStock[RM_Code],$A1825,T_TTAFStock[WeekIndex],89),"")</f>
        <v/>
      </c>
      <c r="CP1837">
        <f>IFERROR(SUMIFS(T_TTAFStock[TTAF_Qty],T_TTAFStock[RM_Code],$A1825,T_TTAFStock[WeekIndex],90),"")</f>
        <v/>
      </c>
      <c r="CQ1837">
        <f>IFERROR(SUMIFS(T_TTAFStock[TTAF_Qty],T_TTAFStock[RM_Code],$A1825,T_TTAFStock[WeekIndex],91),"")</f>
        <v/>
      </c>
      <c r="CR1837">
        <f>IFERROR(SUMIFS(T_TTAFStock[TTAF_Qty],T_TTAFStock[RM_Code],$A1825,T_TTAFStock[WeekIndex],92),"")</f>
        <v/>
      </c>
      <c r="CS1837">
        <f>IFERROR(SUMIFS(T_TTAFStock[TTAF_Qty],T_TTAFStock[RM_Code],$A1825,T_TTAFStock[WeekIndex],93),"")</f>
        <v/>
      </c>
      <c r="CT1837">
        <f>IFERROR(SUMIFS(T_TTAFStock[TTAF_Qty],T_TTAFStock[RM_Code],$A1825,T_TTAFStock[WeekIndex],94),"")</f>
        <v/>
      </c>
      <c r="CU1837">
        <f>IFERROR(SUMIFS(T_TTAFStock[TTAF_Qty],T_TTAFStock[RM_Code],$A1825,T_TTAFStock[WeekIndex],95),"")</f>
        <v/>
      </c>
      <c r="CV1837">
        <f>IFERROR(SUMIFS(T_TTAFStock[TTAF_Qty],T_TTAFStock[RM_Code],$A1825,T_TTAFStock[WeekIndex],96),"")</f>
        <v/>
      </c>
      <c r="CW1837">
        <f>IFERROR(SUMIFS(T_TTAFStock[TTAF_Qty],T_TTAFStock[RM_Code],$A1825,T_TTAFStock[WeekIndex],97),"")</f>
        <v/>
      </c>
      <c r="CX1837">
        <f>IFERROR(SUMIFS(T_TTAFStock[TTAF_Qty],T_TTAFStock[RM_Code],$A1825,T_TTAFStock[WeekIndex],98),"")</f>
        <v/>
      </c>
      <c r="CY1837">
        <f>IFERROR(SUMIFS(T_TTAFStock[TTAF_Qty],T_TTAFStock[RM_Code],$A1825,T_TTAFStock[WeekIndex],99),"")</f>
        <v/>
      </c>
      <c r="CZ1837">
        <f>IFERROR(SUMIFS(T_TTAFStock[TTAF_Qty],T_TTAFStock[RM_Code],$A1825,T_TTAFStock[WeekIndex],100),"")</f>
        <v/>
      </c>
      <c r="DA1837">
        <f>IFERROR(SUMIFS(T_TTAFStock[TTAF_Qty],T_TTAFStock[RM_Code],$A1825,T_TTAFStock[WeekIndex],101),"")</f>
        <v/>
      </c>
      <c r="DB1837">
        <f>IFERROR(SUMIFS(T_TTAFStock[TTAF_Qty],T_TTAFStock[RM_Code],$A1825,T_TTAFStock[WeekIndex],102),"")</f>
        <v/>
      </c>
      <c r="DC1837">
        <f>IFERROR(SUMIFS(T_TTAFStock[TTAF_Qty],T_TTAFStock[RM_Code],$A1825,T_TTAFStock[WeekIndex],103),"")</f>
        <v/>
      </c>
      <c r="DD1837">
        <f>IFERROR(SUMIFS(T_TTAFStock[TTAF_Qty],T_TTAFStock[RM_Code],$A1825,T_TTAFStock[WeekIndex],104),"")</f>
        <v/>
      </c>
    </row>
    <row r="1838">
      <c r="B1838" t="inlineStr">
        <is>
          <t>自社在庫(実績,kg)</t>
        </is>
      </c>
      <c r="D1838">
        <f>IFERROR(INDEX(E1838:DD1838,$F$1),"")</f>
        <v/>
      </c>
      <c r="E1838">
        <f>IFERROR(SUMIFS(T_SelfStock[Self_Qty],T_SelfStock[RM_Code],$A1825,T_SelfStock[WeekIndex],1),"")</f>
        <v/>
      </c>
      <c r="F1838">
        <f>IFERROR(SUMIFS(T_SelfStock[Self_Qty],T_SelfStock[RM_Code],$A1825,T_SelfStock[WeekIndex],2),"")</f>
        <v/>
      </c>
      <c r="G1838">
        <f>IFERROR(SUMIFS(T_SelfStock[Self_Qty],T_SelfStock[RM_Code],$A1825,T_SelfStock[WeekIndex],3),"")</f>
        <v/>
      </c>
      <c r="H1838">
        <f>IFERROR(SUMIFS(T_SelfStock[Self_Qty],T_SelfStock[RM_Code],$A1825,T_SelfStock[WeekIndex],4),"")</f>
        <v/>
      </c>
      <c r="I1838">
        <f>IFERROR(SUMIFS(T_SelfStock[Self_Qty],T_SelfStock[RM_Code],$A1825,T_SelfStock[WeekIndex],5),"")</f>
        <v/>
      </c>
      <c r="J1838">
        <f>IFERROR(SUMIFS(T_SelfStock[Self_Qty],T_SelfStock[RM_Code],$A1825,T_SelfStock[WeekIndex],6),"")</f>
        <v/>
      </c>
      <c r="K1838">
        <f>IFERROR(SUMIFS(T_SelfStock[Self_Qty],T_SelfStock[RM_Code],$A1825,T_SelfStock[WeekIndex],7),"")</f>
        <v/>
      </c>
      <c r="L1838">
        <f>IFERROR(SUMIFS(T_SelfStock[Self_Qty],T_SelfStock[RM_Code],$A1825,T_SelfStock[WeekIndex],8),"")</f>
        <v/>
      </c>
      <c r="M1838">
        <f>IFERROR(SUMIFS(T_SelfStock[Self_Qty],T_SelfStock[RM_Code],$A1825,T_SelfStock[WeekIndex],9),"")</f>
        <v/>
      </c>
      <c r="N1838">
        <f>IFERROR(SUMIFS(T_SelfStock[Self_Qty],T_SelfStock[RM_Code],$A1825,T_SelfStock[WeekIndex],10),"")</f>
        <v/>
      </c>
      <c r="O1838">
        <f>IFERROR(SUMIFS(T_SelfStock[Self_Qty],T_SelfStock[RM_Code],$A1825,T_SelfStock[WeekIndex],11),"")</f>
        <v/>
      </c>
      <c r="P1838">
        <f>IFERROR(SUMIFS(T_SelfStock[Self_Qty],T_SelfStock[RM_Code],$A1825,T_SelfStock[WeekIndex],12),"")</f>
        <v/>
      </c>
      <c r="Q1838">
        <f>IFERROR(SUMIFS(T_SelfStock[Self_Qty],T_SelfStock[RM_Code],$A1825,T_SelfStock[WeekIndex],13),"")</f>
        <v/>
      </c>
      <c r="R1838">
        <f>IFERROR(SUMIFS(T_SelfStock[Self_Qty],T_SelfStock[RM_Code],$A1825,T_SelfStock[WeekIndex],14),"")</f>
        <v/>
      </c>
      <c r="S1838">
        <f>IFERROR(SUMIFS(T_SelfStock[Self_Qty],T_SelfStock[RM_Code],$A1825,T_SelfStock[WeekIndex],15),"")</f>
        <v/>
      </c>
      <c r="T1838">
        <f>IFERROR(SUMIFS(T_SelfStock[Self_Qty],T_SelfStock[RM_Code],$A1825,T_SelfStock[WeekIndex],16),"")</f>
        <v/>
      </c>
      <c r="U1838">
        <f>IFERROR(SUMIFS(T_SelfStock[Self_Qty],T_SelfStock[RM_Code],$A1825,T_SelfStock[WeekIndex],17),"")</f>
        <v/>
      </c>
      <c r="V1838">
        <f>IFERROR(SUMIFS(T_SelfStock[Self_Qty],T_SelfStock[RM_Code],$A1825,T_SelfStock[WeekIndex],18),"")</f>
        <v/>
      </c>
      <c r="W1838">
        <f>IFERROR(SUMIFS(T_SelfStock[Self_Qty],T_SelfStock[RM_Code],$A1825,T_SelfStock[WeekIndex],19),"")</f>
        <v/>
      </c>
      <c r="X1838">
        <f>IFERROR(SUMIFS(T_SelfStock[Self_Qty],T_SelfStock[RM_Code],$A1825,T_SelfStock[WeekIndex],20),"")</f>
        <v/>
      </c>
      <c r="Y1838">
        <f>IFERROR(SUMIFS(T_SelfStock[Self_Qty],T_SelfStock[RM_Code],$A1825,T_SelfStock[WeekIndex],21),"")</f>
        <v/>
      </c>
      <c r="Z1838">
        <f>IFERROR(SUMIFS(T_SelfStock[Self_Qty],T_SelfStock[RM_Code],$A1825,T_SelfStock[WeekIndex],22),"")</f>
        <v/>
      </c>
      <c r="AA1838">
        <f>IFERROR(SUMIFS(T_SelfStock[Self_Qty],T_SelfStock[RM_Code],$A1825,T_SelfStock[WeekIndex],23),"")</f>
        <v/>
      </c>
      <c r="AB1838">
        <f>IFERROR(SUMIFS(T_SelfStock[Self_Qty],T_SelfStock[RM_Code],$A1825,T_SelfStock[WeekIndex],24),"")</f>
        <v/>
      </c>
      <c r="AC1838">
        <f>IFERROR(SUMIFS(T_SelfStock[Self_Qty],T_SelfStock[RM_Code],$A1825,T_SelfStock[WeekIndex],25),"")</f>
        <v/>
      </c>
      <c r="AD1838">
        <f>IFERROR(SUMIFS(T_SelfStock[Self_Qty],T_SelfStock[RM_Code],$A1825,T_SelfStock[WeekIndex],26),"")</f>
        <v/>
      </c>
      <c r="AE1838">
        <f>IFERROR(SUMIFS(T_SelfStock[Self_Qty],T_SelfStock[RM_Code],$A1825,T_SelfStock[WeekIndex],27),"")</f>
        <v/>
      </c>
      <c r="AF1838">
        <f>IFERROR(SUMIFS(T_SelfStock[Self_Qty],T_SelfStock[RM_Code],$A1825,T_SelfStock[WeekIndex],28),"")</f>
        <v/>
      </c>
      <c r="AG1838">
        <f>IFERROR(SUMIFS(T_SelfStock[Self_Qty],T_SelfStock[RM_Code],$A1825,T_SelfStock[WeekIndex],29),"")</f>
        <v/>
      </c>
      <c r="AH1838">
        <f>IFERROR(SUMIFS(T_SelfStock[Self_Qty],T_SelfStock[RM_Code],$A1825,T_SelfStock[WeekIndex],30),"")</f>
        <v/>
      </c>
      <c r="AI1838">
        <f>IFERROR(SUMIFS(T_SelfStock[Self_Qty],T_SelfStock[RM_Code],$A1825,T_SelfStock[WeekIndex],31),"")</f>
        <v/>
      </c>
      <c r="AJ1838">
        <f>IFERROR(SUMIFS(T_SelfStock[Self_Qty],T_SelfStock[RM_Code],$A1825,T_SelfStock[WeekIndex],32),"")</f>
        <v/>
      </c>
      <c r="AK1838">
        <f>IFERROR(SUMIFS(T_SelfStock[Self_Qty],T_SelfStock[RM_Code],$A1825,T_SelfStock[WeekIndex],33),"")</f>
        <v/>
      </c>
      <c r="AL1838">
        <f>IFERROR(SUMIFS(T_SelfStock[Self_Qty],T_SelfStock[RM_Code],$A1825,T_SelfStock[WeekIndex],34),"")</f>
        <v/>
      </c>
      <c r="AM1838">
        <f>IFERROR(SUMIFS(T_SelfStock[Self_Qty],T_SelfStock[RM_Code],$A1825,T_SelfStock[WeekIndex],35),"")</f>
        <v/>
      </c>
      <c r="AN1838">
        <f>IFERROR(SUMIFS(T_SelfStock[Self_Qty],T_SelfStock[RM_Code],$A1825,T_SelfStock[WeekIndex],36),"")</f>
        <v/>
      </c>
      <c r="AO1838">
        <f>IFERROR(SUMIFS(T_SelfStock[Self_Qty],T_SelfStock[RM_Code],$A1825,T_SelfStock[WeekIndex],37),"")</f>
        <v/>
      </c>
      <c r="AP1838">
        <f>IFERROR(SUMIFS(T_SelfStock[Self_Qty],T_SelfStock[RM_Code],$A1825,T_SelfStock[WeekIndex],38),"")</f>
        <v/>
      </c>
      <c r="AQ1838">
        <f>IFERROR(SUMIFS(T_SelfStock[Self_Qty],T_SelfStock[RM_Code],$A1825,T_SelfStock[WeekIndex],39),"")</f>
        <v/>
      </c>
      <c r="AR1838">
        <f>IFERROR(SUMIFS(T_SelfStock[Self_Qty],T_SelfStock[RM_Code],$A1825,T_SelfStock[WeekIndex],40),"")</f>
        <v/>
      </c>
      <c r="AS1838">
        <f>IFERROR(SUMIFS(T_SelfStock[Self_Qty],T_SelfStock[RM_Code],$A1825,T_SelfStock[WeekIndex],41),"")</f>
        <v/>
      </c>
      <c r="AT1838">
        <f>IFERROR(SUMIFS(T_SelfStock[Self_Qty],T_SelfStock[RM_Code],$A1825,T_SelfStock[WeekIndex],42),"")</f>
        <v/>
      </c>
      <c r="AU1838">
        <f>IFERROR(SUMIFS(T_SelfStock[Self_Qty],T_SelfStock[RM_Code],$A1825,T_SelfStock[WeekIndex],43),"")</f>
        <v/>
      </c>
      <c r="AV1838">
        <f>IFERROR(SUMIFS(T_SelfStock[Self_Qty],T_SelfStock[RM_Code],$A1825,T_SelfStock[WeekIndex],44),"")</f>
        <v/>
      </c>
      <c r="AW1838">
        <f>IFERROR(SUMIFS(T_SelfStock[Self_Qty],T_SelfStock[RM_Code],$A1825,T_SelfStock[WeekIndex],45),"")</f>
        <v/>
      </c>
      <c r="AX1838">
        <f>IFERROR(SUMIFS(T_SelfStock[Self_Qty],T_SelfStock[RM_Code],$A1825,T_SelfStock[WeekIndex],46),"")</f>
        <v/>
      </c>
      <c r="AY1838">
        <f>IFERROR(SUMIFS(T_SelfStock[Self_Qty],T_SelfStock[RM_Code],$A1825,T_SelfStock[WeekIndex],47),"")</f>
        <v/>
      </c>
      <c r="AZ1838">
        <f>IFERROR(SUMIFS(T_SelfStock[Self_Qty],T_SelfStock[RM_Code],$A1825,T_SelfStock[WeekIndex],48),"")</f>
        <v/>
      </c>
      <c r="BA1838">
        <f>IFERROR(SUMIFS(T_SelfStock[Self_Qty],T_SelfStock[RM_Code],$A1825,T_SelfStock[WeekIndex],49),"")</f>
        <v/>
      </c>
      <c r="BB1838">
        <f>IFERROR(SUMIFS(T_SelfStock[Self_Qty],T_SelfStock[RM_Code],$A1825,T_SelfStock[WeekIndex],50),"")</f>
        <v/>
      </c>
      <c r="BC1838">
        <f>IFERROR(SUMIFS(T_SelfStock[Self_Qty],T_SelfStock[RM_Code],$A1825,T_SelfStock[WeekIndex],51),"")</f>
        <v/>
      </c>
      <c r="BD1838">
        <f>IFERROR(SUMIFS(T_SelfStock[Self_Qty],T_SelfStock[RM_Code],$A1825,T_SelfStock[WeekIndex],52),"")</f>
        <v/>
      </c>
      <c r="BE1838">
        <f>IFERROR(SUMIFS(T_SelfStock[Self_Qty],T_SelfStock[RM_Code],$A1825,T_SelfStock[WeekIndex],53),"")</f>
        <v/>
      </c>
      <c r="BF1838">
        <f>IFERROR(SUMIFS(T_SelfStock[Self_Qty],T_SelfStock[RM_Code],$A1825,T_SelfStock[WeekIndex],54),"")</f>
        <v/>
      </c>
      <c r="BG1838">
        <f>IFERROR(SUMIFS(T_SelfStock[Self_Qty],T_SelfStock[RM_Code],$A1825,T_SelfStock[WeekIndex],55),"")</f>
        <v/>
      </c>
      <c r="BH1838">
        <f>IFERROR(SUMIFS(T_SelfStock[Self_Qty],T_SelfStock[RM_Code],$A1825,T_SelfStock[WeekIndex],56),"")</f>
        <v/>
      </c>
      <c r="BI1838">
        <f>IFERROR(SUMIFS(T_SelfStock[Self_Qty],T_SelfStock[RM_Code],$A1825,T_SelfStock[WeekIndex],57),"")</f>
        <v/>
      </c>
      <c r="BJ1838">
        <f>IFERROR(SUMIFS(T_SelfStock[Self_Qty],T_SelfStock[RM_Code],$A1825,T_SelfStock[WeekIndex],58),"")</f>
        <v/>
      </c>
      <c r="BK1838">
        <f>IFERROR(SUMIFS(T_SelfStock[Self_Qty],T_SelfStock[RM_Code],$A1825,T_SelfStock[WeekIndex],59),"")</f>
        <v/>
      </c>
      <c r="BL1838">
        <f>IFERROR(SUMIFS(T_SelfStock[Self_Qty],T_SelfStock[RM_Code],$A1825,T_SelfStock[WeekIndex],60),"")</f>
        <v/>
      </c>
      <c r="BM1838">
        <f>IFERROR(SUMIFS(T_SelfStock[Self_Qty],T_SelfStock[RM_Code],$A1825,T_SelfStock[WeekIndex],61),"")</f>
        <v/>
      </c>
      <c r="BN1838">
        <f>IFERROR(SUMIFS(T_SelfStock[Self_Qty],T_SelfStock[RM_Code],$A1825,T_SelfStock[WeekIndex],62),"")</f>
        <v/>
      </c>
      <c r="BO1838">
        <f>IFERROR(SUMIFS(T_SelfStock[Self_Qty],T_SelfStock[RM_Code],$A1825,T_SelfStock[WeekIndex],63),"")</f>
        <v/>
      </c>
      <c r="BP1838">
        <f>IFERROR(SUMIFS(T_SelfStock[Self_Qty],T_SelfStock[RM_Code],$A1825,T_SelfStock[WeekIndex],64),"")</f>
        <v/>
      </c>
      <c r="BQ1838">
        <f>IFERROR(SUMIFS(T_SelfStock[Self_Qty],T_SelfStock[RM_Code],$A1825,T_SelfStock[WeekIndex],65),"")</f>
        <v/>
      </c>
      <c r="BR1838">
        <f>IFERROR(SUMIFS(T_SelfStock[Self_Qty],T_SelfStock[RM_Code],$A1825,T_SelfStock[WeekIndex],66),"")</f>
        <v/>
      </c>
      <c r="BS1838">
        <f>IFERROR(SUMIFS(T_SelfStock[Self_Qty],T_SelfStock[RM_Code],$A1825,T_SelfStock[WeekIndex],67),"")</f>
        <v/>
      </c>
      <c r="BT1838">
        <f>IFERROR(SUMIFS(T_SelfStock[Self_Qty],T_SelfStock[RM_Code],$A1825,T_SelfStock[WeekIndex],68),"")</f>
        <v/>
      </c>
      <c r="BU1838">
        <f>IFERROR(SUMIFS(T_SelfStock[Self_Qty],T_SelfStock[RM_Code],$A1825,T_SelfStock[WeekIndex],69),"")</f>
        <v/>
      </c>
      <c r="BV1838">
        <f>IFERROR(SUMIFS(T_SelfStock[Self_Qty],T_SelfStock[RM_Code],$A1825,T_SelfStock[WeekIndex],70),"")</f>
        <v/>
      </c>
      <c r="BW1838">
        <f>IFERROR(SUMIFS(T_SelfStock[Self_Qty],T_SelfStock[RM_Code],$A1825,T_SelfStock[WeekIndex],71),"")</f>
        <v/>
      </c>
      <c r="BX1838">
        <f>IFERROR(SUMIFS(T_SelfStock[Self_Qty],T_SelfStock[RM_Code],$A1825,T_SelfStock[WeekIndex],72),"")</f>
        <v/>
      </c>
      <c r="BY1838">
        <f>IFERROR(SUMIFS(T_SelfStock[Self_Qty],T_SelfStock[RM_Code],$A1825,T_SelfStock[WeekIndex],73),"")</f>
        <v/>
      </c>
      <c r="BZ1838">
        <f>IFERROR(SUMIFS(T_SelfStock[Self_Qty],T_SelfStock[RM_Code],$A1825,T_SelfStock[WeekIndex],74),"")</f>
        <v/>
      </c>
      <c r="CA1838">
        <f>IFERROR(SUMIFS(T_SelfStock[Self_Qty],T_SelfStock[RM_Code],$A1825,T_SelfStock[WeekIndex],75),"")</f>
        <v/>
      </c>
      <c r="CB1838">
        <f>IFERROR(SUMIFS(T_SelfStock[Self_Qty],T_SelfStock[RM_Code],$A1825,T_SelfStock[WeekIndex],76),"")</f>
        <v/>
      </c>
      <c r="CC1838">
        <f>IFERROR(SUMIFS(T_SelfStock[Self_Qty],T_SelfStock[RM_Code],$A1825,T_SelfStock[WeekIndex],77),"")</f>
        <v/>
      </c>
      <c r="CD1838">
        <f>IFERROR(SUMIFS(T_SelfStock[Self_Qty],T_SelfStock[RM_Code],$A1825,T_SelfStock[WeekIndex],78),"")</f>
        <v/>
      </c>
      <c r="CE1838">
        <f>IFERROR(SUMIFS(T_SelfStock[Self_Qty],T_SelfStock[RM_Code],$A1825,T_SelfStock[WeekIndex],79),"")</f>
        <v/>
      </c>
      <c r="CF1838">
        <f>IFERROR(SUMIFS(T_SelfStock[Self_Qty],T_SelfStock[RM_Code],$A1825,T_SelfStock[WeekIndex],80),"")</f>
        <v/>
      </c>
      <c r="CG1838">
        <f>IFERROR(SUMIFS(T_SelfStock[Self_Qty],T_SelfStock[RM_Code],$A1825,T_SelfStock[WeekIndex],81),"")</f>
        <v/>
      </c>
      <c r="CH1838">
        <f>IFERROR(SUMIFS(T_SelfStock[Self_Qty],T_SelfStock[RM_Code],$A1825,T_SelfStock[WeekIndex],82),"")</f>
        <v/>
      </c>
      <c r="CI1838">
        <f>IFERROR(SUMIFS(T_SelfStock[Self_Qty],T_SelfStock[RM_Code],$A1825,T_SelfStock[WeekIndex],83),"")</f>
        <v/>
      </c>
      <c r="CJ1838">
        <f>IFERROR(SUMIFS(T_SelfStock[Self_Qty],T_SelfStock[RM_Code],$A1825,T_SelfStock[WeekIndex],84),"")</f>
        <v/>
      </c>
      <c r="CK1838">
        <f>IFERROR(SUMIFS(T_SelfStock[Self_Qty],T_SelfStock[RM_Code],$A1825,T_SelfStock[WeekIndex],85),"")</f>
        <v/>
      </c>
      <c r="CL1838">
        <f>IFERROR(SUMIFS(T_SelfStock[Self_Qty],T_SelfStock[RM_Code],$A1825,T_SelfStock[WeekIndex],86),"")</f>
        <v/>
      </c>
      <c r="CM1838">
        <f>IFERROR(SUMIFS(T_SelfStock[Self_Qty],T_SelfStock[RM_Code],$A1825,T_SelfStock[WeekIndex],87),"")</f>
        <v/>
      </c>
      <c r="CN1838">
        <f>IFERROR(SUMIFS(T_SelfStock[Self_Qty],T_SelfStock[RM_Code],$A1825,T_SelfStock[WeekIndex],88),"")</f>
        <v/>
      </c>
      <c r="CO1838">
        <f>IFERROR(SUMIFS(T_SelfStock[Self_Qty],T_SelfStock[RM_Code],$A1825,T_SelfStock[WeekIndex],89),"")</f>
        <v/>
      </c>
      <c r="CP1838">
        <f>IFERROR(SUMIFS(T_SelfStock[Self_Qty],T_SelfStock[RM_Code],$A1825,T_SelfStock[WeekIndex],90),"")</f>
        <v/>
      </c>
      <c r="CQ1838">
        <f>IFERROR(SUMIFS(T_SelfStock[Self_Qty],T_SelfStock[RM_Code],$A1825,T_SelfStock[WeekIndex],91),"")</f>
        <v/>
      </c>
      <c r="CR1838">
        <f>IFERROR(SUMIFS(T_SelfStock[Self_Qty],T_SelfStock[RM_Code],$A1825,T_SelfStock[WeekIndex],92),"")</f>
        <v/>
      </c>
      <c r="CS1838">
        <f>IFERROR(SUMIFS(T_SelfStock[Self_Qty],T_SelfStock[RM_Code],$A1825,T_SelfStock[WeekIndex],93),"")</f>
        <v/>
      </c>
      <c r="CT1838">
        <f>IFERROR(SUMIFS(T_SelfStock[Self_Qty],T_SelfStock[RM_Code],$A1825,T_SelfStock[WeekIndex],94),"")</f>
        <v/>
      </c>
      <c r="CU1838">
        <f>IFERROR(SUMIFS(T_SelfStock[Self_Qty],T_SelfStock[RM_Code],$A1825,T_SelfStock[WeekIndex],95),"")</f>
        <v/>
      </c>
      <c r="CV1838">
        <f>IFERROR(SUMIFS(T_SelfStock[Self_Qty],T_SelfStock[RM_Code],$A1825,T_SelfStock[WeekIndex],96),"")</f>
        <v/>
      </c>
      <c r="CW1838">
        <f>IFERROR(SUMIFS(T_SelfStock[Self_Qty],T_SelfStock[RM_Code],$A1825,T_SelfStock[WeekIndex],97),"")</f>
        <v/>
      </c>
      <c r="CX1838">
        <f>IFERROR(SUMIFS(T_SelfStock[Self_Qty],T_SelfStock[RM_Code],$A1825,T_SelfStock[WeekIndex],98),"")</f>
        <v/>
      </c>
      <c r="CY1838">
        <f>IFERROR(SUMIFS(T_SelfStock[Self_Qty],T_SelfStock[RM_Code],$A1825,T_SelfStock[WeekIndex],99),"")</f>
        <v/>
      </c>
      <c r="CZ1838">
        <f>IFERROR(SUMIFS(T_SelfStock[Self_Qty],T_SelfStock[RM_Code],$A1825,T_SelfStock[WeekIndex],100),"")</f>
        <v/>
      </c>
      <c r="DA1838">
        <f>IFERROR(SUMIFS(T_SelfStock[Self_Qty],T_SelfStock[RM_Code],$A1825,T_SelfStock[WeekIndex],101),"")</f>
        <v/>
      </c>
      <c r="DB1838">
        <f>IFERROR(SUMIFS(T_SelfStock[Self_Qty],T_SelfStock[RM_Code],$A1825,T_SelfStock[WeekIndex],102),"")</f>
        <v/>
      </c>
      <c r="DC1838">
        <f>IFERROR(SUMIFS(T_SelfStock[Self_Qty],T_SelfStock[RM_Code],$A1825,T_SelfStock[WeekIndex],103),"")</f>
        <v/>
      </c>
      <c r="DD1838">
        <f>IFERROR(SUMIFS(T_SelfStock[Self_Qty],T_SelfStock[RM_Code],$A1825,T_SelfStock[WeekIndex],104),"")</f>
        <v/>
      </c>
    </row>
    <row r="1839">
      <c r="B1839" s="4" t="inlineStr">
        <is>
          <t>合計在庫(週末時点,kg)</t>
        </is>
      </c>
      <c r="D1839" s="24">
        <f>IFERROR(INDEX(E1839:DD1839,$F$1),"")</f>
        <v/>
      </c>
      <c r="E1839">
        <f>'Grid_Stock'!B58</f>
        <v/>
      </c>
      <c r="F1839">
        <f>'Grid_Stock'!C58</f>
        <v/>
      </c>
      <c r="G1839">
        <f>'Grid_Stock'!D58</f>
        <v/>
      </c>
      <c r="H1839">
        <f>'Grid_Stock'!E58</f>
        <v/>
      </c>
      <c r="I1839">
        <f>'Grid_Stock'!F58</f>
        <v/>
      </c>
      <c r="J1839">
        <f>'Grid_Stock'!G58</f>
        <v/>
      </c>
      <c r="K1839">
        <f>'Grid_Stock'!H58</f>
        <v/>
      </c>
      <c r="L1839">
        <f>'Grid_Stock'!I58</f>
        <v/>
      </c>
      <c r="M1839">
        <f>'Grid_Stock'!J58</f>
        <v/>
      </c>
      <c r="N1839">
        <f>'Grid_Stock'!K58</f>
        <v/>
      </c>
      <c r="O1839">
        <f>'Grid_Stock'!L58</f>
        <v/>
      </c>
      <c r="P1839">
        <f>'Grid_Stock'!M58</f>
        <v/>
      </c>
      <c r="Q1839">
        <f>'Grid_Stock'!N58</f>
        <v/>
      </c>
      <c r="R1839">
        <f>'Grid_Stock'!O58</f>
        <v/>
      </c>
      <c r="S1839">
        <f>'Grid_Stock'!P58</f>
        <v/>
      </c>
      <c r="T1839">
        <f>'Grid_Stock'!Q58</f>
        <v/>
      </c>
      <c r="U1839">
        <f>'Grid_Stock'!R58</f>
        <v/>
      </c>
      <c r="V1839">
        <f>'Grid_Stock'!S58</f>
        <v/>
      </c>
      <c r="W1839">
        <f>'Grid_Stock'!T58</f>
        <v/>
      </c>
      <c r="X1839">
        <f>'Grid_Stock'!U58</f>
        <v/>
      </c>
      <c r="Y1839">
        <f>'Grid_Stock'!V58</f>
        <v/>
      </c>
      <c r="Z1839">
        <f>'Grid_Stock'!W58</f>
        <v/>
      </c>
      <c r="AA1839">
        <f>'Grid_Stock'!X58</f>
        <v/>
      </c>
      <c r="AB1839">
        <f>'Grid_Stock'!Y58</f>
        <v/>
      </c>
      <c r="AC1839">
        <f>'Grid_Stock'!Z58</f>
        <v/>
      </c>
      <c r="AD1839">
        <f>'Grid_Stock'!AA58</f>
        <v/>
      </c>
      <c r="AE1839">
        <f>'Grid_Stock'!AB58</f>
        <v/>
      </c>
      <c r="AF1839">
        <f>'Grid_Stock'!AC58</f>
        <v/>
      </c>
      <c r="AG1839">
        <f>'Grid_Stock'!AD58</f>
        <v/>
      </c>
      <c r="AH1839">
        <f>'Grid_Stock'!AE58</f>
        <v/>
      </c>
      <c r="AI1839">
        <f>'Grid_Stock'!AF58</f>
        <v/>
      </c>
      <c r="AJ1839">
        <f>'Grid_Stock'!AG58</f>
        <v/>
      </c>
      <c r="AK1839">
        <f>'Grid_Stock'!AH58</f>
        <v/>
      </c>
      <c r="AL1839">
        <f>'Grid_Stock'!AI58</f>
        <v/>
      </c>
      <c r="AM1839">
        <f>'Grid_Stock'!AJ58</f>
        <v/>
      </c>
      <c r="AN1839">
        <f>'Grid_Stock'!AK58</f>
        <v/>
      </c>
      <c r="AO1839">
        <f>'Grid_Stock'!AL58</f>
        <v/>
      </c>
      <c r="AP1839">
        <f>'Grid_Stock'!AM58</f>
        <v/>
      </c>
      <c r="AQ1839">
        <f>'Grid_Stock'!AN58</f>
        <v/>
      </c>
      <c r="AR1839">
        <f>'Grid_Stock'!AO58</f>
        <v/>
      </c>
      <c r="AS1839">
        <f>'Grid_Stock'!AP58</f>
        <v/>
      </c>
      <c r="AT1839">
        <f>'Grid_Stock'!AQ58</f>
        <v/>
      </c>
      <c r="AU1839">
        <f>'Grid_Stock'!AR58</f>
        <v/>
      </c>
      <c r="AV1839">
        <f>'Grid_Stock'!AS58</f>
        <v/>
      </c>
      <c r="AW1839">
        <f>'Grid_Stock'!AT58</f>
        <v/>
      </c>
      <c r="AX1839">
        <f>'Grid_Stock'!AU58</f>
        <v/>
      </c>
      <c r="AY1839">
        <f>'Grid_Stock'!AV58</f>
        <v/>
      </c>
      <c r="AZ1839">
        <f>'Grid_Stock'!AW58</f>
        <v/>
      </c>
      <c r="BA1839">
        <f>'Grid_Stock'!AX58</f>
        <v/>
      </c>
      <c r="BB1839">
        <f>'Grid_Stock'!AY58</f>
        <v/>
      </c>
      <c r="BC1839">
        <f>'Grid_Stock'!AZ58</f>
        <v/>
      </c>
      <c r="BD1839">
        <f>'Grid_Stock'!BA58</f>
        <v/>
      </c>
      <c r="BE1839">
        <f>'Grid_Stock'!BB58</f>
        <v/>
      </c>
      <c r="BF1839">
        <f>'Grid_Stock'!BC58</f>
        <v/>
      </c>
      <c r="BG1839">
        <f>'Grid_Stock'!BD58</f>
        <v/>
      </c>
      <c r="BH1839">
        <f>'Grid_Stock'!BE58</f>
        <v/>
      </c>
      <c r="BI1839">
        <f>'Grid_Stock'!BF58</f>
        <v/>
      </c>
      <c r="BJ1839">
        <f>'Grid_Stock'!BG58</f>
        <v/>
      </c>
      <c r="BK1839">
        <f>'Grid_Stock'!BH58</f>
        <v/>
      </c>
      <c r="BL1839">
        <f>'Grid_Stock'!BI58</f>
        <v/>
      </c>
      <c r="BM1839">
        <f>'Grid_Stock'!BJ58</f>
        <v/>
      </c>
      <c r="BN1839">
        <f>'Grid_Stock'!BK58</f>
        <v/>
      </c>
      <c r="BO1839">
        <f>'Grid_Stock'!BL58</f>
        <v/>
      </c>
      <c r="BP1839">
        <f>'Grid_Stock'!BM58</f>
        <v/>
      </c>
      <c r="BQ1839">
        <f>'Grid_Stock'!BN58</f>
        <v/>
      </c>
      <c r="BR1839">
        <f>'Grid_Stock'!BO58</f>
        <v/>
      </c>
      <c r="BS1839">
        <f>'Grid_Stock'!BP58</f>
        <v/>
      </c>
      <c r="BT1839">
        <f>'Grid_Stock'!BQ58</f>
        <v/>
      </c>
      <c r="BU1839">
        <f>'Grid_Stock'!BR58</f>
        <v/>
      </c>
      <c r="BV1839">
        <f>'Grid_Stock'!BS58</f>
        <v/>
      </c>
      <c r="BW1839">
        <f>'Grid_Stock'!BT58</f>
        <v/>
      </c>
      <c r="BX1839">
        <f>'Grid_Stock'!BU58</f>
        <v/>
      </c>
      <c r="BY1839">
        <f>'Grid_Stock'!BV58</f>
        <v/>
      </c>
      <c r="BZ1839">
        <f>'Grid_Stock'!BW58</f>
        <v/>
      </c>
      <c r="CA1839">
        <f>'Grid_Stock'!BX58</f>
        <v/>
      </c>
      <c r="CB1839">
        <f>'Grid_Stock'!BY58</f>
        <v/>
      </c>
      <c r="CC1839">
        <f>'Grid_Stock'!BZ58</f>
        <v/>
      </c>
      <c r="CD1839">
        <f>'Grid_Stock'!CA58</f>
        <v/>
      </c>
      <c r="CE1839">
        <f>'Grid_Stock'!CB58</f>
        <v/>
      </c>
      <c r="CF1839">
        <f>'Grid_Stock'!CC58</f>
        <v/>
      </c>
      <c r="CG1839">
        <f>'Grid_Stock'!CD58</f>
        <v/>
      </c>
      <c r="CH1839">
        <f>'Grid_Stock'!CE58</f>
        <v/>
      </c>
      <c r="CI1839">
        <f>'Grid_Stock'!CF58</f>
        <v/>
      </c>
      <c r="CJ1839">
        <f>'Grid_Stock'!CG58</f>
        <v/>
      </c>
      <c r="CK1839">
        <f>'Grid_Stock'!CH58</f>
        <v/>
      </c>
      <c r="CL1839">
        <f>'Grid_Stock'!CI58</f>
        <v/>
      </c>
      <c r="CM1839">
        <f>'Grid_Stock'!CJ58</f>
        <v/>
      </c>
      <c r="CN1839">
        <f>'Grid_Stock'!CK58</f>
        <v/>
      </c>
      <c r="CO1839">
        <f>'Grid_Stock'!CL58</f>
        <v/>
      </c>
      <c r="CP1839">
        <f>'Grid_Stock'!CM58</f>
        <v/>
      </c>
      <c r="CQ1839">
        <f>'Grid_Stock'!CN58</f>
        <v/>
      </c>
      <c r="CR1839">
        <f>'Grid_Stock'!CO58</f>
        <v/>
      </c>
      <c r="CS1839">
        <f>'Grid_Stock'!CP58</f>
        <v/>
      </c>
      <c r="CT1839">
        <f>'Grid_Stock'!CQ58</f>
        <v/>
      </c>
      <c r="CU1839">
        <f>'Grid_Stock'!CR58</f>
        <v/>
      </c>
      <c r="CV1839">
        <f>'Grid_Stock'!CS58</f>
        <v/>
      </c>
      <c r="CW1839">
        <f>'Grid_Stock'!CT58</f>
        <v/>
      </c>
      <c r="CX1839">
        <f>'Grid_Stock'!CU58</f>
        <v/>
      </c>
      <c r="CY1839">
        <f>'Grid_Stock'!CV58</f>
        <v/>
      </c>
      <c r="CZ1839">
        <f>'Grid_Stock'!CW58</f>
        <v/>
      </c>
      <c r="DA1839">
        <f>'Grid_Stock'!CX58</f>
        <v/>
      </c>
      <c r="DB1839">
        <f>'Grid_Stock'!CY58</f>
        <v/>
      </c>
      <c r="DC1839">
        <f>'Grid_Stock'!CZ58</f>
        <v/>
      </c>
      <c r="DD1839">
        <f>'Grid_Stock'!DA58</f>
        <v/>
      </c>
    </row>
    <row r="1840">
      <c r="B1840" s="25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10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6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7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8" t="inlineStr">
        <is>
          <t>Part Name</t>
        </is>
      </c>
      <c r="C14" s="28" t="inlineStr">
        <is>
          <t>TTAF Code</t>
        </is>
      </c>
      <c r="D14" s="28" t="inlineStr">
        <is>
          <t>CSA Code</t>
        </is>
      </c>
      <c r="E14" s="28" t="inlineStr">
        <is>
          <t>UOM</t>
        </is>
      </c>
      <c r="F14" s="28" t="inlineStr">
        <is>
          <t>SafetyStock</t>
        </is>
      </c>
      <c r="G14" s="28" t="inlineStr">
        <is>
          <t>CurrentStock</t>
        </is>
      </c>
      <c r="H14" s="28">
        <f>INDEX(Cal_Weeks[Label],$P$7+0)</f>
        <v/>
      </c>
      <c r="I14" s="28">
        <f>INDEX(Cal_Weeks[Label],$P$7+1)</f>
        <v/>
      </c>
      <c r="J14" s="28">
        <f>INDEX(Cal_Weeks[Label],$P$7+2)</f>
        <v/>
      </c>
      <c r="K14" s="28">
        <f>INDEX(Cal_Weeks[Label],$P$7+3)</f>
        <v/>
      </c>
      <c r="L14" s="28">
        <f>INDEX(Cal_Weeks[Label],$P$7+4)</f>
        <v/>
      </c>
      <c r="M14" s="28">
        <f>INDEX(Cal_Weeks[Label],$P$7+5)</f>
        <v/>
      </c>
      <c r="N14" s="28">
        <f>INDEX(Cal_Weeks[Label],$P$7+6)</f>
        <v/>
      </c>
      <c r="O14" s="28">
        <f>INDEX(Cal_Weeks[Label],$P$7+7)</f>
        <v/>
      </c>
      <c r="P14" s="28">
        <f>INDEX(Cal_Weeks[Label],$P$7+8)</f>
        <v/>
      </c>
      <c r="Q14" s="28">
        <f>INDEX(Cal_Weeks[Label],$P$7+9)</f>
        <v/>
      </c>
      <c r="R14" s="28">
        <f>INDEX(Cal_Weeks[Label],$P$7+10)</f>
        <v/>
      </c>
      <c r="S14" s="28">
        <f>INDEX(Cal_Weeks[Label],$P$7+11)</f>
        <v/>
      </c>
      <c r="T14" s="28">
        <f>INDEX(Cal_Weeks[Label],$P$7+12)</f>
        <v/>
      </c>
      <c r="U14" s="28" t="inlineStr">
        <is>
          <t>Total</t>
        </is>
      </c>
    </row>
    <row r="15">
      <c r="B15" s="15">
        <f>IFERROR(INDEX(M_RawMaterials[Description],MATCH("CHEM-1250",M_RawMaterials[RM_Code],0)),"")</f>
        <v/>
      </c>
      <c r="C15" s="15" t="inlineStr">
        <is>
          <t>71288614901</t>
        </is>
      </c>
      <c r="D15" s="15" t="inlineStr">
        <is>
          <t>CHEM-1250</t>
        </is>
      </c>
      <c r="E15" s="15" t="inlineStr">
        <is>
          <t>kg</t>
        </is>
      </c>
      <c r="F15" s="15">
        <f>IFERROR(INDEX(M_RawMaterials[基準在庫下限_要入力],MATCH("CHEM-1250",M_RawMaterials[RM_Code],0)),0)</f>
        <v/>
      </c>
      <c r="G15" s="15">
        <f>INDEX(Grid_Stock[#Data],1,$P$7)</f>
        <v/>
      </c>
      <c r="H15" s="15">
        <f>MAX(0,$F15-INDEX(Grid_Stock[#Data],1,$P$7+0))</f>
        <v/>
      </c>
      <c r="I15" s="15">
        <f>MAX(0,$F15-INDEX(Grid_Stock[#Data],1,$P$7+1))</f>
        <v/>
      </c>
      <c r="J15" s="15">
        <f>MAX(0,$F15-INDEX(Grid_Stock[#Data],1,$P$7+2))</f>
        <v/>
      </c>
      <c r="K15" s="15">
        <f>MAX(0,$F15-INDEX(Grid_Stock[#Data],1,$P$7+3))</f>
        <v/>
      </c>
      <c r="L15" s="15">
        <f>MAX(0,$F15-INDEX(Grid_Stock[#Data],1,$P$7+4))</f>
        <v/>
      </c>
      <c r="M15" s="15">
        <f>MAX(0,$F15-INDEX(Grid_Stock[#Data],1,$P$7+5))</f>
        <v/>
      </c>
      <c r="N15" s="15">
        <f>MAX(0,$F15-INDEX(Grid_Stock[#Data],1,$P$7+6))</f>
        <v/>
      </c>
      <c r="O15" s="15">
        <f>MAX(0,$F15-INDEX(Grid_Stock[#Data],1,$P$7+7))</f>
        <v/>
      </c>
      <c r="P15" s="15">
        <f>MAX(0,$F15-INDEX(Grid_Stock[#Data],1,$P$7+8))</f>
        <v/>
      </c>
      <c r="Q15" s="15">
        <f>MAX(0,$F15-INDEX(Grid_Stock[#Data],1,$P$7+9))</f>
        <v/>
      </c>
      <c r="R15" s="15">
        <f>MAX(0,$F15-INDEX(Grid_Stock[#Data],1,$P$7+10))</f>
        <v/>
      </c>
      <c r="S15" s="15">
        <f>MAX(0,$F15-INDEX(Grid_Stock[#Data],1,$P$7+11))</f>
        <v/>
      </c>
      <c r="T15" s="15">
        <f>MAX(0,$F15-INDEX(Grid_Stock[#Data],1,$P$7+12))</f>
        <v/>
      </c>
      <c r="U15" s="15">
        <f>SUM(H15:T15)</f>
        <v/>
      </c>
    </row>
    <row r="16">
      <c r="B16" s="17">
        <f>IFERROR(INDEX(M_RawMaterials[Description],MATCH("CHEM-1670",M_RawMaterials[RM_Code],0)),"")</f>
        <v/>
      </c>
      <c r="C16" s="17" t="inlineStr">
        <is>
          <t>712886265</t>
        </is>
      </c>
      <c r="D16" s="17" t="inlineStr">
        <is>
          <t>CHEM-1670</t>
        </is>
      </c>
      <c r="E16" s="17" t="inlineStr">
        <is>
          <t>kg</t>
        </is>
      </c>
      <c r="F16" s="17">
        <f>IFERROR(INDEX(M_RawMaterials[基準在庫下限_要入力],MATCH("CHEM-1670",M_RawMaterials[RM_Code],0)),0)</f>
        <v/>
      </c>
      <c r="G16" s="17">
        <f>INDEX(Grid_Stock[#Data],2,$P$7)</f>
        <v/>
      </c>
      <c r="H16" s="17">
        <f>MAX(0,$F16-INDEX(Grid_Stock[#Data],2,$P$7+0))</f>
        <v/>
      </c>
      <c r="I16" s="17">
        <f>MAX(0,$F16-INDEX(Grid_Stock[#Data],2,$P$7+1))</f>
        <v/>
      </c>
      <c r="J16" s="17">
        <f>MAX(0,$F16-INDEX(Grid_Stock[#Data],2,$P$7+2))</f>
        <v/>
      </c>
      <c r="K16" s="17">
        <f>MAX(0,$F16-INDEX(Grid_Stock[#Data],2,$P$7+3))</f>
        <v/>
      </c>
      <c r="L16" s="17">
        <f>MAX(0,$F16-INDEX(Grid_Stock[#Data],2,$P$7+4))</f>
        <v/>
      </c>
      <c r="M16" s="17">
        <f>MAX(0,$F16-INDEX(Grid_Stock[#Data],2,$P$7+5))</f>
        <v/>
      </c>
      <c r="N16" s="17">
        <f>MAX(0,$F16-INDEX(Grid_Stock[#Data],2,$P$7+6))</f>
        <v/>
      </c>
      <c r="O16" s="17">
        <f>MAX(0,$F16-INDEX(Grid_Stock[#Data],2,$P$7+7))</f>
        <v/>
      </c>
      <c r="P16" s="17">
        <f>MAX(0,$F16-INDEX(Grid_Stock[#Data],2,$P$7+8))</f>
        <v/>
      </c>
      <c r="Q16" s="17">
        <f>MAX(0,$F16-INDEX(Grid_Stock[#Data],2,$P$7+9))</f>
        <v/>
      </c>
      <c r="R16" s="17">
        <f>MAX(0,$F16-INDEX(Grid_Stock[#Data],2,$P$7+10))</f>
        <v/>
      </c>
      <c r="S16" s="17">
        <f>MAX(0,$F16-INDEX(Grid_Stock[#Data],2,$P$7+11))</f>
        <v/>
      </c>
      <c r="T16" s="17">
        <f>MAX(0,$F16-INDEX(Grid_Stock[#Data],2,$P$7+12))</f>
        <v/>
      </c>
      <c r="U16" s="17">
        <f>SUM(H16:T16)</f>
        <v/>
      </c>
    </row>
    <row r="17">
      <c r="B17" s="15">
        <f>IFERROR(INDEX(M_RawMaterials[Description],MATCH("CHEM-1700",M_RawMaterials[RM_Code],0)),"")</f>
        <v/>
      </c>
      <c r="C17" s="15" t="inlineStr">
        <is>
          <t>712886270</t>
        </is>
      </c>
      <c r="D17" s="15" t="inlineStr">
        <is>
          <t>CHEM-1700</t>
        </is>
      </c>
      <c r="E17" s="15" t="inlineStr">
        <is>
          <t>kg</t>
        </is>
      </c>
      <c r="F17" s="15">
        <f>IFERROR(INDEX(M_RawMaterials[基準在庫下限_要入力],MATCH("CHEM-1700",M_RawMaterials[RM_Code],0)),0)</f>
        <v/>
      </c>
      <c r="G17" s="15">
        <f>INDEX(Grid_Stock[#Data],3,$P$7)</f>
        <v/>
      </c>
      <c r="H17" s="15">
        <f>MAX(0,$F17-INDEX(Grid_Stock[#Data],3,$P$7+0))</f>
        <v/>
      </c>
      <c r="I17" s="15">
        <f>MAX(0,$F17-INDEX(Grid_Stock[#Data],3,$P$7+1))</f>
        <v/>
      </c>
      <c r="J17" s="15">
        <f>MAX(0,$F17-INDEX(Grid_Stock[#Data],3,$P$7+2))</f>
        <v/>
      </c>
      <c r="K17" s="15">
        <f>MAX(0,$F17-INDEX(Grid_Stock[#Data],3,$P$7+3))</f>
        <v/>
      </c>
      <c r="L17" s="15">
        <f>MAX(0,$F17-INDEX(Grid_Stock[#Data],3,$P$7+4))</f>
        <v/>
      </c>
      <c r="M17" s="15">
        <f>MAX(0,$F17-INDEX(Grid_Stock[#Data],3,$P$7+5))</f>
        <v/>
      </c>
      <c r="N17" s="15">
        <f>MAX(0,$F17-INDEX(Grid_Stock[#Data],3,$P$7+6))</f>
        <v/>
      </c>
      <c r="O17" s="15">
        <f>MAX(0,$F17-INDEX(Grid_Stock[#Data],3,$P$7+7))</f>
        <v/>
      </c>
      <c r="P17" s="15">
        <f>MAX(0,$F17-INDEX(Grid_Stock[#Data],3,$P$7+8))</f>
        <v/>
      </c>
      <c r="Q17" s="15">
        <f>MAX(0,$F17-INDEX(Grid_Stock[#Data],3,$P$7+9))</f>
        <v/>
      </c>
      <c r="R17" s="15">
        <f>MAX(0,$F17-INDEX(Grid_Stock[#Data],3,$P$7+10))</f>
        <v/>
      </c>
      <c r="S17" s="15">
        <f>MAX(0,$F17-INDEX(Grid_Stock[#Data],3,$P$7+11))</f>
        <v/>
      </c>
      <c r="T17" s="15">
        <f>MAX(0,$F17-INDEX(Grid_Stock[#Data],3,$P$7+12))</f>
        <v/>
      </c>
      <c r="U17" s="15">
        <f>SUM(H17:T17)</f>
        <v/>
      </c>
    </row>
    <row r="18">
      <c r="B18" s="17">
        <f>IFERROR(INDEX(M_RawMaterials[Description],MATCH("CHEM-1420",M_RawMaterials[RM_Code],0)),"")</f>
        <v/>
      </c>
      <c r="C18" s="17" t="inlineStr">
        <is>
          <t>71288629601</t>
        </is>
      </c>
      <c r="D18" s="17" t="inlineStr">
        <is>
          <t>CHEM-1420</t>
        </is>
      </c>
      <c r="E18" s="17" t="inlineStr">
        <is>
          <t>kg</t>
        </is>
      </c>
      <c r="F18" s="17">
        <f>IFERROR(INDEX(M_RawMaterials[基準在庫下限_要入力],MATCH("CHEM-1420",M_RawMaterials[RM_Code],0)),0)</f>
        <v/>
      </c>
      <c r="G18" s="17">
        <f>INDEX(Grid_Stock[#Data],4,$P$7)</f>
        <v/>
      </c>
      <c r="H18" s="17">
        <f>MAX(0,$F18-INDEX(Grid_Stock[#Data],4,$P$7+0))</f>
        <v/>
      </c>
      <c r="I18" s="17">
        <f>MAX(0,$F18-INDEX(Grid_Stock[#Data],4,$P$7+1))</f>
        <v/>
      </c>
      <c r="J18" s="17">
        <f>MAX(0,$F18-INDEX(Grid_Stock[#Data],4,$P$7+2))</f>
        <v/>
      </c>
      <c r="K18" s="17">
        <f>MAX(0,$F18-INDEX(Grid_Stock[#Data],4,$P$7+3))</f>
        <v/>
      </c>
      <c r="L18" s="17">
        <f>MAX(0,$F18-INDEX(Grid_Stock[#Data],4,$P$7+4))</f>
        <v/>
      </c>
      <c r="M18" s="17">
        <f>MAX(0,$F18-INDEX(Grid_Stock[#Data],4,$P$7+5))</f>
        <v/>
      </c>
      <c r="N18" s="17">
        <f>MAX(0,$F18-INDEX(Grid_Stock[#Data],4,$P$7+6))</f>
        <v/>
      </c>
      <c r="O18" s="17">
        <f>MAX(0,$F18-INDEX(Grid_Stock[#Data],4,$P$7+7))</f>
        <v/>
      </c>
      <c r="P18" s="17">
        <f>MAX(0,$F18-INDEX(Grid_Stock[#Data],4,$P$7+8))</f>
        <v/>
      </c>
      <c r="Q18" s="17">
        <f>MAX(0,$F18-INDEX(Grid_Stock[#Data],4,$P$7+9))</f>
        <v/>
      </c>
      <c r="R18" s="17">
        <f>MAX(0,$F18-INDEX(Grid_Stock[#Data],4,$P$7+10))</f>
        <v/>
      </c>
      <c r="S18" s="17">
        <f>MAX(0,$F18-INDEX(Grid_Stock[#Data],4,$P$7+11))</f>
        <v/>
      </c>
      <c r="T18" s="17">
        <f>MAX(0,$F18-INDEX(Grid_Stock[#Data],4,$P$7+12))</f>
        <v/>
      </c>
      <c r="U18" s="17">
        <f>SUM(H18:T18)</f>
        <v/>
      </c>
    </row>
    <row r="19">
      <c r="B19" s="15">
        <f>IFERROR(INDEX(M_RawMaterials[Description],MATCH("CHEM-1530",M_RawMaterials[RM_Code],0)),"")</f>
        <v/>
      </c>
      <c r="C19" s="15" t="inlineStr">
        <is>
          <t>71388003501</t>
        </is>
      </c>
      <c r="D19" s="15" t="inlineStr">
        <is>
          <t>CHEM-1530</t>
        </is>
      </c>
      <c r="E19" s="15" t="inlineStr">
        <is>
          <t>kg</t>
        </is>
      </c>
      <c r="F19" s="15">
        <f>IFERROR(INDEX(M_RawMaterials[基準在庫下限_要入力],MATCH("CHEM-1530",M_RawMaterials[RM_Code],0)),0)</f>
        <v/>
      </c>
      <c r="G19" s="15">
        <f>INDEX(Grid_Stock[#Data],5,$P$7)</f>
        <v/>
      </c>
      <c r="H19" s="15">
        <f>MAX(0,$F19-INDEX(Grid_Stock[#Data],5,$P$7+0))</f>
        <v/>
      </c>
      <c r="I19" s="15">
        <f>MAX(0,$F19-INDEX(Grid_Stock[#Data],5,$P$7+1))</f>
        <v/>
      </c>
      <c r="J19" s="15">
        <f>MAX(0,$F19-INDEX(Grid_Stock[#Data],5,$P$7+2))</f>
        <v/>
      </c>
      <c r="K19" s="15">
        <f>MAX(0,$F19-INDEX(Grid_Stock[#Data],5,$P$7+3))</f>
        <v/>
      </c>
      <c r="L19" s="15">
        <f>MAX(0,$F19-INDEX(Grid_Stock[#Data],5,$P$7+4))</f>
        <v/>
      </c>
      <c r="M19" s="15">
        <f>MAX(0,$F19-INDEX(Grid_Stock[#Data],5,$P$7+5))</f>
        <v/>
      </c>
      <c r="N19" s="15">
        <f>MAX(0,$F19-INDEX(Grid_Stock[#Data],5,$P$7+6))</f>
        <v/>
      </c>
      <c r="O19" s="15">
        <f>MAX(0,$F19-INDEX(Grid_Stock[#Data],5,$P$7+7))</f>
        <v/>
      </c>
      <c r="P19" s="15">
        <f>MAX(0,$F19-INDEX(Grid_Stock[#Data],5,$P$7+8))</f>
        <v/>
      </c>
      <c r="Q19" s="15">
        <f>MAX(0,$F19-INDEX(Grid_Stock[#Data],5,$P$7+9))</f>
        <v/>
      </c>
      <c r="R19" s="15">
        <f>MAX(0,$F19-INDEX(Grid_Stock[#Data],5,$P$7+10))</f>
        <v/>
      </c>
      <c r="S19" s="15">
        <f>MAX(0,$F19-INDEX(Grid_Stock[#Data],5,$P$7+11))</f>
        <v/>
      </c>
      <c r="T19" s="15">
        <f>MAX(0,$F19-INDEX(Grid_Stock[#Data],5,$P$7+12))</f>
        <v/>
      </c>
      <c r="U19" s="15">
        <f>SUM(H19:T19)</f>
        <v/>
      </c>
    </row>
    <row r="20">
      <c r="B20" s="17">
        <f>IFERROR(INDEX(M_RawMaterials[Description],MATCH("CHEM-1540",M_RawMaterials[RM_Code],0)),"")</f>
        <v/>
      </c>
      <c r="C20" s="17" t="inlineStr">
        <is>
          <t>71388005801</t>
        </is>
      </c>
      <c r="D20" s="17" t="inlineStr">
        <is>
          <t>CHEM-1540</t>
        </is>
      </c>
      <c r="E20" s="17" t="inlineStr">
        <is>
          <t>kg</t>
        </is>
      </c>
      <c r="F20" s="17">
        <f>IFERROR(INDEX(M_RawMaterials[基準在庫下限_要入力],MATCH("CHEM-1540",M_RawMaterials[RM_Code],0)),0)</f>
        <v/>
      </c>
      <c r="G20" s="17">
        <f>INDEX(Grid_Stock[#Data],6,$P$7)</f>
        <v/>
      </c>
      <c r="H20" s="17">
        <f>MAX(0,$F20-INDEX(Grid_Stock[#Data],6,$P$7+0))</f>
        <v/>
      </c>
      <c r="I20" s="17">
        <f>MAX(0,$F20-INDEX(Grid_Stock[#Data],6,$P$7+1))</f>
        <v/>
      </c>
      <c r="J20" s="17">
        <f>MAX(0,$F20-INDEX(Grid_Stock[#Data],6,$P$7+2))</f>
        <v/>
      </c>
      <c r="K20" s="17">
        <f>MAX(0,$F20-INDEX(Grid_Stock[#Data],6,$P$7+3))</f>
        <v/>
      </c>
      <c r="L20" s="17">
        <f>MAX(0,$F20-INDEX(Grid_Stock[#Data],6,$P$7+4))</f>
        <v/>
      </c>
      <c r="M20" s="17">
        <f>MAX(0,$F20-INDEX(Grid_Stock[#Data],6,$P$7+5))</f>
        <v/>
      </c>
      <c r="N20" s="17">
        <f>MAX(0,$F20-INDEX(Grid_Stock[#Data],6,$P$7+6))</f>
        <v/>
      </c>
      <c r="O20" s="17">
        <f>MAX(0,$F20-INDEX(Grid_Stock[#Data],6,$P$7+7))</f>
        <v/>
      </c>
      <c r="P20" s="17">
        <f>MAX(0,$F20-INDEX(Grid_Stock[#Data],6,$P$7+8))</f>
        <v/>
      </c>
      <c r="Q20" s="17">
        <f>MAX(0,$F20-INDEX(Grid_Stock[#Data],6,$P$7+9))</f>
        <v/>
      </c>
      <c r="R20" s="17">
        <f>MAX(0,$F20-INDEX(Grid_Stock[#Data],6,$P$7+10))</f>
        <v/>
      </c>
      <c r="S20" s="17">
        <f>MAX(0,$F20-INDEX(Grid_Stock[#Data],6,$P$7+11))</f>
        <v/>
      </c>
      <c r="T20" s="17">
        <f>MAX(0,$F20-INDEX(Grid_Stock[#Data],6,$P$7+12))</f>
        <v/>
      </c>
      <c r="U20" s="17">
        <f>SUM(H20:T20)</f>
        <v/>
      </c>
    </row>
    <row r="21">
      <c r="B21" s="15">
        <f>IFERROR(INDEX(M_RawMaterials[Description],MATCH("CHEM-1690",M_RawMaterials[RM_Code],0)),"")</f>
        <v/>
      </c>
      <c r="C21" s="15" t="inlineStr">
        <is>
          <t>734831040</t>
        </is>
      </c>
      <c r="D21" s="15" t="inlineStr">
        <is>
          <t>CHEM-1690</t>
        </is>
      </c>
      <c r="E21" s="15" t="inlineStr">
        <is>
          <t>kg</t>
        </is>
      </c>
      <c r="F21" s="15">
        <f>IFERROR(INDEX(M_RawMaterials[基準在庫下限_要入力],MATCH("CHEM-1690",M_RawMaterials[RM_Code],0)),0)</f>
        <v/>
      </c>
      <c r="G21" s="15">
        <f>INDEX(Grid_Stock[#Data],7,$P$7)</f>
        <v/>
      </c>
      <c r="H21" s="15">
        <f>MAX(0,$F21-INDEX(Grid_Stock[#Data],7,$P$7+0))</f>
        <v/>
      </c>
      <c r="I21" s="15">
        <f>MAX(0,$F21-INDEX(Grid_Stock[#Data],7,$P$7+1))</f>
        <v/>
      </c>
      <c r="J21" s="15">
        <f>MAX(0,$F21-INDEX(Grid_Stock[#Data],7,$P$7+2))</f>
        <v/>
      </c>
      <c r="K21" s="15">
        <f>MAX(0,$F21-INDEX(Grid_Stock[#Data],7,$P$7+3))</f>
        <v/>
      </c>
      <c r="L21" s="15">
        <f>MAX(0,$F21-INDEX(Grid_Stock[#Data],7,$P$7+4))</f>
        <v/>
      </c>
      <c r="M21" s="15">
        <f>MAX(0,$F21-INDEX(Grid_Stock[#Data],7,$P$7+5))</f>
        <v/>
      </c>
      <c r="N21" s="15">
        <f>MAX(0,$F21-INDEX(Grid_Stock[#Data],7,$P$7+6))</f>
        <v/>
      </c>
      <c r="O21" s="15">
        <f>MAX(0,$F21-INDEX(Grid_Stock[#Data],7,$P$7+7))</f>
        <v/>
      </c>
      <c r="P21" s="15">
        <f>MAX(0,$F21-INDEX(Grid_Stock[#Data],7,$P$7+8))</f>
        <v/>
      </c>
      <c r="Q21" s="15">
        <f>MAX(0,$F21-INDEX(Grid_Stock[#Data],7,$P$7+9))</f>
        <v/>
      </c>
      <c r="R21" s="15">
        <f>MAX(0,$F21-INDEX(Grid_Stock[#Data],7,$P$7+10))</f>
        <v/>
      </c>
      <c r="S21" s="15">
        <f>MAX(0,$F21-INDEX(Grid_Stock[#Data],7,$P$7+11))</f>
        <v/>
      </c>
      <c r="T21" s="15">
        <f>MAX(0,$F21-INDEX(Grid_Stock[#Data],7,$P$7+12))</f>
        <v/>
      </c>
      <c r="U21" s="15">
        <f>SUM(H21:T21)</f>
        <v/>
      </c>
    </row>
    <row r="22">
      <c r="B22" s="17">
        <f>IFERROR(INDEX(M_RawMaterials[Description],MATCH("CHEM-1720",M_RawMaterials[RM_Code],0)),"")</f>
        <v/>
      </c>
      <c r="C22" s="17" t="inlineStr">
        <is>
          <t>734831050</t>
        </is>
      </c>
      <c r="D22" s="17" t="inlineStr">
        <is>
          <t>CHEM-1720</t>
        </is>
      </c>
      <c r="E22" s="17" t="inlineStr">
        <is>
          <t>kg</t>
        </is>
      </c>
      <c r="F22" s="17">
        <f>IFERROR(INDEX(M_RawMaterials[基準在庫下限_要入力],MATCH("CHEM-1720",M_RawMaterials[RM_Code],0)),0)</f>
        <v/>
      </c>
      <c r="G22" s="17">
        <f>INDEX(Grid_Stock[#Data],8,$P$7)</f>
        <v/>
      </c>
      <c r="H22" s="17">
        <f>MAX(0,$F22-INDEX(Grid_Stock[#Data],8,$P$7+0))</f>
        <v/>
      </c>
      <c r="I22" s="17">
        <f>MAX(0,$F22-INDEX(Grid_Stock[#Data],8,$P$7+1))</f>
        <v/>
      </c>
      <c r="J22" s="17">
        <f>MAX(0,$F22-INDEX(Grid_Stock[#Data],8,$P$7+2))</f>
        <v/>
      </c>
      <c r="K22" s="17">
        <f>MAX(0,$F22-INDEX(Grid_Stock[#Data],8,$P$7+3))</f>
        <v/>
      </c>
      <c r="L22" s="17">
        <f>MAX(0,$F22-INDEX(Grid_Stock[#Data],8,$P$7+4))</f>
        <v/>
      </c>
      <c r="M22" s="17">
        <f>MAX(0,$F22-INDEX(Grid_Stock[#Data],8,$P$7+5))</f>
        <v/>
      </c>
      <c r="N22" s="17">
        <f>MAX(0,$F22-INDEX(Grid_Stock[#Data],8,$P$7+6))</f>
        <v/>
      </c>
      <c r="O22" s="17">
        <f>MAX(0,$F22-INDEX(Grid_Stock[#Data],8,$P$7+7))</f>
        <v/>
      </c>
      <c r="P22" s="17">
        <f>MAX(0,$F22-INDEX(Grid_Stock[#Data],8,$P$7+8))</f>
        <v/>
      </c>
      <c r="Q22" s="17">
        <f>MAX(0,$F22-INDEX(Grid_Stock[#Data],8,$P$7+9))</f>
        <v/>
      </c>
      <c r="R22" s="17">
        <f>MAX(0,$F22-INDEX(Grid_Stock[#Data],8,$P$7+10))</f>
        <v/>
      </c>
      <c r="S22" s="17">
        <f>MAX(0,$F22-INDEX(Grid_Stock[#Data],8,$P$7+11))</f>
        <v/>
      </c>
      <c r="T22" s="17">
        <f>MAX(0,$F22-INDEX(Grid_Stock[#Data],8,$P$7+12))</f>
        <v/>
      </c>
      <c r="U22" s="17">
        <f>SUM(H22:T22)</f>
        <v/>
      </c>
    </row>
    <row r="23">
      <c r="B23" s="15">
        <f>IFERROR(INDEX(M_RawMaterials[Description],MATCH("CHEM-1440",M_RawMaterials[RM_Code],0)),"")</f>
        <v/>
      </c>
      <c r="C23" s="15" t="inlineStr">
        <is>
          <t>83988005701</t>
        </is>
      </c>
      <c r="D23" s="15" t="inlineStr">
        <is>
          <t>CHEM-1440</t>
        </is>
      </c>
      <c r="E23" s="15" t="inlineStr">
        <is>
          <t>kg</t>
        </is>
      </c>
      <c r="F23" s="15">
        <f>IFERROR(INDEX(M_RawMaterials[基準在庫下限_要入力],MATCH("CHEM-1440",M_RawMaterials[RM_Code],0)),0)</f>
        <v/>
      </c>
      <c r="G23" s="15">
        <f>INDEX(Grid_Stock[#Data],9,$P$7)</f>
        <v/>
      </c>
      <c r="H23" s="15">
        <f>MAX(0,$F23-INDEX(Grid_Stock[#Data],9,$P$7+0))</f>
        <v/>
      </c>
      <c r="I23" s="15">
        <f>MAX(0,$F23-INDEX(Grid_Stock[#Data],9,$P$7+1))</f>
        <v/>
      </c>
      <c r="J23" s="15">
        <f>MAX(0,$F23-INDEX(Grid_Stock[#Data],9,$P$7+2))</f>
        <v/>
      </c>
      <c r="K23" s="15">
        <f>MAX(0,$F23-INDEX(Grid_Stock[#Data],9,$P$7+3))</f>
        <v/>
      </c>
      <c r="L23" s="15">
        <f>MAX(0,$F23-INDEX(Grid_Stock[#Data],9,$P$7+4))</f>
        <v/>
      </c>
      <c r="M23" s="15">
        <f>MAX(0,$F23-INDEX(Grid_Stock[#Data],9,$P$7+5))</f>
        <v/>
      </c>
      <c r="N23" s="15">
        <f>MAX(0,$F23-INDEX(Grid_Stock[#Data],9,$P$7+6))</f>
        <v/>
      </c>
      <c r="O23" s="15">
        <f>MAX(0,$F23-INDEX(Grid_Stock[#Data],9,$P$7+7))</f>
        <v/>
      </c>
      <c r="P23" s="15">
        <f>MAX(0,$F23-INDEX(Grid_Stock[#Data],9,$P$7+8))</f>
        <v/>
      </c>
      <c r="Q23" s="15">
        <f>MAX(0,$F23-INDEX(Grid_Stock[#Data],9,$P$7+9))</f>
        <v/>
      </c>
      <c r="R23" s="15">
        <f>MAX(0,$F23-INDEX(Grid_Stock[#Data],9,$P$7+10))</f>
        <v/>
      </c>
      <c r="S23" s="15">
        <f>MAX(0,$F23-INDEX(Grid_Stock[#Data],9,$P$7+11))</f>
        <v/>
      </c>
      <c r="T23" s="15">
        <f>MAX(0,$F23-INDEX(Grid_Stock[#Data],9,$P$7+12))</f>
        <v/>
      </c>
      <c r="U23" s="15">
        <f>SUM(H23:T23)</f>
        <v/>
      </c>
    </row>
    <row r="24">
      <c r="B24" s="17">
        <f>IFERROR(INDEX(M_RawMaterials[Description],MATCH("PET FILM(900*1000)",M_RawMaterials[RM_Code],0)),"")</f>
        <v/>
      </c>
      <c r="C24" s="17" t="inlineStr">
        <is>
          <t>839884031</t>
        </is>
      </c>
      <c r="D24" s="17" t="inlineStr">
        <is>
          <t>PET FILM(900*1000)</t>
        </is>
      </c>
      <c r="E24" s="17" t="inlineStr">
        <is>
          <t>kg</t>
        </is>
      </c>
      <c r="F24" s="17">
        <f>IFERROR(INDEX(M_RawMaterials[基準在庫下限_要入力],MATCH("PET FILM(900*1000)",M_RawMaterials[RM_Code],0)),0)</f>
        <v/>
      </c>
      <c r="G24" s="17">
        <f>INDEX(Grid_Stock[#Data],10,$P$7)</f>
        <v/>
      </c>
      <c r="H24" s="17">
        <f>MAX(0,$F24-INDEX(Grid_Stock[#Data],10,$P$7+0))</f>
        <v/>
      </c>
      <c r="I24" s="17">
        <f>MAX(0,$F24-INDEX(Grid_Stock[#Data],10,$P$7+1))</f>
        <v/>
      </c>
      <c r="J24" s="17">
        <f>MAX(0,$F24-INDEX(Grid_Stock[#Data],10,$P$7+2))</f>
        <v/>
      </c>
      <c r="K24" s="17">
        <f>MAX(0,$F24-INDEX(Grid_Stock[#Data],10,$P$7+3))</f>
        <v/>
      </c>
      <c r="L24" s="17">
        <f>MAX(0,$F24-INDEX(Grid_Stock[#Data],10,$P$7+4))</f>
        <v/>
      </c>
      <c r="M24" s="17">
        <f>MAX(0,$F24-INDEX(Grid_Stock[#Data],10,$P$7+5))</f>
        <v/>
      </c>
      <c r="N24" s="17">
        <f>MAX(0,$F24-INDEX(Grid_Stock[#Data],10,$P$7+6))</f>
        <v/>
      </c>
      <c r="O24" s="17">
        <f>MAX(0,$F24-INDEX(Grid_Stock[#Data],10,$P$7+7))</f>
        <v/>
      </c>
      <c r="P24" s="17">
        <f>MAX(0,$F24-INDEX(Grid_Stock[#Data],10,$P$7+8))</f>
        <v/>
      </c>
      <c r="Q24" s="17">
        <f>MAX(0,$F24-INDEX(Grid_Stock[#Data],10,$P$7+9))</f>
        <v/>
      </c>
      <c r="R24" s="17">
        <f>MAX(0,$F24-INDEX(Grid_Stock[#Data],10,$P$7+10))</f>
        <v/>
      </c>
      <c r="S24" s="17">
        <f>MAX(0,$F24-INDEX(Grid_Stock[#Data],10,$P$7+11))</f>
        <v/>
      </c>
      <c r="T24" s="17">
        <f>MAX(0,$F24-INDEX(Grid_Stock[#Data],10,$P$7+12))</f>
        <v/>
      </c>
      <c r="U24" s="17">
        <f>SUM(H24:T24)</f>
        <v/>
      </c>
    </row>
    <row r="25">
      <c r="B25" s="15">
        <f>IFERROR(INDEX(M_RawMaterials[Description],MATCH("4HL",M_RawMaterials[RM_Code],0)),"")</f>
        <v/>
      </c>
      <c r="C25" s="15" t="inlineStr">
        <is>
          <t>N60H27R08-JP</t>
        </is>
      </c>
      <c r="D25" s="15" t="inlineStr">
        <is>
          <t>4HL</t>
        </is>
      </c>
      <c r="E25" s="15" t="inlineStr">
        <is>
          <t>kg</t>
        </is>
      </c>
      <c r="F25" s="15">
        <f>IFERROR(INDEX(M_RawMaterials[基準在庫下限_要入力],MATCH("4HL",M_RawMaterials[RM_Code],0)),0)</f>
        <v/>
      </c>
      <c r="G25" s="15">
        <f>INDEX(Grid_Stock[#Data],11,$P$7)</f>
        <v/>
      </c>
      <c r="H25" s="15">
        <f>MAX(0,$F25-INDEX(Grid_Stock[#Data],11,$P$7+0))</f>
        <v/>
      </c>
      <c r="I25" s="15">
        <f>MAX(0,$F25-INDEX(Grid_Stock[#Data],11,$P$7+1))</f>
        <v/>
      </c>
      <c r="J25" s="15">
        <f>MAX(0,$F25-INDEX(Grid_Stock[#Data],11,$P$7+2))</f>
        <v/>
      </c>
      <c r="K25" s="15">
        <f>MAX(0,$F25-INDEX(Grid_Stock[#Data],11,$P$7+3))</f>
        <v/>
      </c>
      <c r="L25" s="15">
        <f>MAX(0,$F25-INDEX(Grid_Stock[#Data],11,$P$7+4))</f>
        <v/>
      </c>
      <c r="M25" s="15">
        <f>MAX(0,$F25-INDEX(Grid_Stock[#Data],11,$P$7+5))</f>
        <v/>
      </c>
      <c r="N25" s="15">
        <f>MAX(0,$F25-INDEX(Grid_Stock[#Data],11,$P$7+6))</f>
        <v/>
      </c>
      <c r="O25" s="15">
        <f>MAX(0,$F25-INDEX(Grid_Stock[#Data],11,$P$7+7))</f>
        <v/>
      </c>
      <c r="P25" s="15">
        <f>MAX(0,$F25-INDEX(Grid_Stock[#Data],11,$P$7+8))</f>
        <v/>
      </c>
      <c r="Q25" s="15">
        <f>MAX(0,$F25-INDEX(Grid_Stock[#Data],11,$P$7+9))</f>
        <v/>
      </c>
      <c r="R25" s="15">
        <f>MAX(0,$F25-INDEX(Grid_Stock[#Data],11,$P$7+10))</f>
        <v/>
      </c>
      <c r="S25" s="15">
        <f>MAX(0,$F25-INDEX(Grid_Stock[#Data],11,$P$7+11))</f>
        <v/>
      </c>
      <c r="T25" s="15">
        <f>MAX(0,$F25-INDEX(Grid_Stock[#Data],11,$P$7+12))</f>
        <v/>
      </c>
      <c r="U25" s="15">
        <f>SUM(H25:T25)</f>
        <v/>
      </c>
    </row>
    <row r="26">
      <c r="B26" s="17">
        <f>IFERROR(INDEX(M_RawMaterials[Description],MATCH("1EK",M_RawMaterials[RM_Code],0)),"")</f>
        <v/>
      </c>
      <c r="C26" s="17" t="inlineStr">
        <is>
          <t>N60H29R08-JP</t>
        </is>
      </c>
      <c r="D26" s="17" t="inlineStr">
        <is>
          <t>1EK</t>
        </is>
      </c>
      <c r="E26" s="17" t="inlineStr">
        <is>
          <t>kg</t>
        </is>
      </c>
      <c r="F26" s="17">
        <f>IFERROR(INDEX(M_RawMaterials[基準在庫下限_要入力],MATCH("1EK",M_RawMaterials[RM_Code],0)),0)</f>
        <v/>
      </c>
      <c r="G26" s="17">
        <f>INDEX(Grid_Stock[#Data],12,$P$7)</f>
        <v/>
      </c>
      <c r="H26" s="17">
        <f>MAX(0,$F26-INDEX(Grid_Stock[#Data],12,$P$7+0))</f>
        <v/>
      </c>
      <c r="I26" s="17">
        <f>MAX(0,$F26-INDEX(Grid_Stock[#Data],12,$P$7+1))</f>
        <v/>
      </c>
      <c r="J26" s="17">
        <f>MAX(0,$F26-INDEX(Grid_Stock[#Data],12,$P$7+2))</f>
        <v/>
      </c>
      <c r="K26" s="17">
        <f>MAX(0,$F26-INDEX(Grid_Stock[#Data],12,$P$7+3))</f>
        <v/>
      </c>
      <c r="L26" s="17">
        <f>MAX(0,$F26-INDEX(Grid_Stock[#Data],12,$P$7+4))</f>
        <v/>
      </c>
      <c r="M26" s="17">
        <f>MAX(0,$F26-INDEX(Grid_Stock[#Data],12,$P$7+5))</f>
        <v/>
      </c>
      <c r="N26" s="17">
        <f>MAX(0,$F26-INDEX(Grid_Stock[#Data],12,$P$7+6))</f>
        <v/>
      </c>
      <c r="O26" s="17">
        <f>MAX(0,$F26-INDEX(Grid_Stock[#Data],12,$P$7+7))</f>
        <v/>
      </c>
      <c r="P26" s="17">
        <f>MAX(0,$F26-INDEX(Grid_Stock[#Data],12,$P$7+8))</f>
        <v/>
      </c>
      <c r="Q26" s="17">
        <f>MAX(0,$F26-INDEX(Grid_Stock[#Data],12,$P$7+9))</f>
        <v/>
      </c>
      <c r="R26" s="17">
        <f>MAX(0,$F26-INDEX(Grid_Stock[#Data],12,$P$7+10))</f>
        <v/>
      </c>
      <c r="S26" s="17">
        <f>MAX(0,$F26-INDEX(Grid_Stock[#Data],12,$P$7+11))</f>
        <v/>
      </c>
      <c r="T26" s="17">
        <f>MAX(0,$F26-INDEX(Grid_Stock[#Data],12,$P$7+12))</f>
        <v/>
      </c>
      <c r="U26" s="17">
        <f>SUM(H26:T26)</f>
        <v/>
      </c>
    </row>
    <row r="27">
      <c r="B27" s="15">
        <f>IFERROR(INDEX(M_RawMaterials[Description],MATCH("7CL",M_RawMaterials[RM_Code],0)),"")</f>
        <v/>
      </c>
      <c r="C27" s="15" t="inlineStr">
        <is>
          <t>N75H28R08-JP</t>
        </is>
      </c>
      <c r="D27" s="15" t="inlineStr">
        <is>
          <t>7CL</t>
        </is>
      </c>
      <c r="E27" s="15" t="inlineStr">
        <is>
          <t>kg</t>
        </is>
      </c>
      <c r="F27" s="15">
        <f>IFERROR(INDEX(M_RawMaterials[基準在庫下限_要入力],MATCH("7CL",M_RawMaterials[RM_Code],0)),0)</f>
        <v/>
      </c>
      <c r="G27" s="15">
        <f>INDEX(Grid_Stock[#Data],13,$P$7)</f>
        <v/>
      </c>
      <c r="H27" s="15">
        <f>MAX(0,$F27-INDEX(Grid_Stock[#Data],13,$P$7+0))</f>
        <v/>
      </c>
      <c r="I27" s="15">
        <f>MAX(0,$F27-INDEX(Grid_Stock[#Data],13,$P$7+1))</f>
        <v/>
      </c>
      <c r="J27" s="15">
        <f>MAX(0,$F27-INDEX(Grid_Stock[#Data],13,$P$7+2))</f>
        <v/>
      </c>
      <c r="K27" s="15">
        <f>MAX(0,$F27-INDEX(Grid_Stock[#Data],13,$P$7+3))</f>
        <v/>
      </c>
      <c r="L27" s="15">
        <f>MAX(0,$F27-INDEX(Grid_Stock[#Data],13,$P$7+4))</f>
        <v/>
      </c>
      <c r="M27" s="15">
        <f>MAX(0,$F27-INDEX(Grid_Stock[#Data],13,$P$7+5))</f>
        <v/>
      </c>
      <c r="N27" s="15">
        <f>MAX(0,$F27-INDEX(Grid_Stock[#Data],13,$P$7+6))</f>
        <v/>
      </c>
      <c r="O27" s="15">
        <f>MAX(0,$F27-INDEX(Grid_Stock[#Data],13,$P$7+7))</f>
        <v/>
      </c>
      <c r="P27" s="15">
        <f>MAX(0,$F27-INDEX(Grid_Stock[#Data],13,$P$7+8))</f>
        <v/>
      </c>
      <c r="Q27" s="15">
        <f>MAX(0,$F27-INDEX(Grid_Stock[#Data],13,$P$7+9))</f>
        <v/>
      </c>
      <c r="R27" s="15">
        <f>MAX(0,$F27-INDEX(Grid_Stock[#Data],13,$P$7+10))</f>
        <v/>
      </c>
      <c r="S27" s="15">
        <f>MAX(0,$F27-INDEX(Grid_Stock[#Data],13,$P$7+11))</f>
        <v/>
      </c>
      <c r="T27" s="15">
        <f>MAX(0,$F27-INDEX(Grid_Stock[#Data],13,$P$7+12))</f>
        <v/>
      </c>
      <c r="U27" s="15">
        <f>SUM(H27:T27)</f>
        <v/>
      </c>
    </row>
    <row r="28">
      <c r="B28" s="17">
        <f>IFERROR(INDEX(M_RawMaterials[Description],MATCH("F2290",M_RawMaterials[RM_Code],0)),"")</f>
        <v/>
      </c>
      <c r="C28" s="17" t="inlineStr">
        <is>
          <t>18465-F3010Z</t>
        </is>
      </c>
      <c r="D28" s="17" t="inlineStr">
        <is>
          <t>F2290</t>
        </is>
      </c>
      <c r="E28" s="17" t="inlineStr">
        <is>
          <t>kg</t>
        </is>
      </c>
      <c r="F28" s="17">
        <f>IFERROR(INDEX(M_RawMaterials[基準在庫下限_要入力],MATCH("F2290",M_RawMaterials[RM_Code],0)),0)</f>
        <v/>
      </c>
      <c r="G28" s="17">
        <f>INDEX(Grid_Stock[#Data],16,$P$7)</f>
        <v/>
      </c>
      <c r="H28" s="17">
        <f>MAX(0,$F28-INDEX(Grid_Stock[#Data],16,$P$7+0))</f>
        <v/>
      </c>
      <c r="I28" s="17">
        <f>MAX(0,$F28-INDEX(Grid_Stock[#Data],16,$P$7+1))</f>
        <v/>
      </c>
      <c r="J28" s="17">
        <f>MAX(0,$F28-INDEX(Grid_Stock[#Data],16,$P$7+2))</f>
        <v/>
      </c>
      <c r="K28" s="17">
        <f>MAX(0,$F28-INDEX(Grid_Stock[#Data],16,$P$7+3))</f>
        <v/>
      </c>
      <c r="L28" s="17">
        <f>MAX(0,$F28-INDEX(Grid_Stock[#Data],16,$P$7+4))</f>
        <v/>
      </c>
      <c r="M28" s="17">
        <f>MAX(0,$F28-INDEX(Grid_Stock[#Data],16,$P$7+5))</f>
        <v/>
      </c>
      <c r="N28" s="17">
        <f>MAX(0,$F28-INDEX(Grid_Stock[#Data],16,$P$7+6))</f>
        <v/>
      </c>
      <c r="O28" s="17">
        <f>MAX(0,$F28-INDEX(Grid_Stock[#Data],16,$P$7+7))</f>
        <v/>
      </c>
      <c r="P28" s="17">
        <f>MAX(0,$F28-INDEX(Grid_Stock[#Data],16,$P$7+8))</f>
        <v/>
      </c>
      <c r="Q28" s="17">
        <f>MAX(0,$F28-INDEX(Grid_Stock[#Data],16,$P$7+9))</f>
        <v/>
      </c>
      <c r="R28" s="17">
        <f>MAX(0,$F28-INDEX(Grid_Stock[#Data],16,$P$7+10))</f>
        <v/>
      </c>
      <c r="S28" s="17">
        <f>MAX(0,$F28-INDEX(Grid_Stock[#Data],16,$P$7+11))</f>
        <v/>
      </c>
      <c r="T28" s="17">
        <f>MAX(0,$F28-INDEX(Grid_Stock[#Data],16,$P$7+12))</f>
        <v/>
      </c>
      <c r="U28" s="17">
        <f>SUM(H28:T28)</f>
        <v/>
      </c>
    </row>
    <row r="29">
      <c r="B29" s="15">
        <f>IFERROR(INDEX(M_RawMaterials[Description],MATCH("CHEM-1400",M_RawMaterials[RM_Code],0)),"")</f>
        <v/>
      </c>
      <c r="C29" s="15" t="inlineStr">
        <is>
          <t>71288617001</t>
        </is>
      </c>
      <c r="D29" s="15" t="inlineStr">
        <is>
          <t>CHEM-1400</t>
        </is>
      </c>
      <c r="E29" s="15" t="inlineStr">
        <is>
          <t>kg</t>
        </is>
      </c>
      <c r="F29" s="15">
        <f>IFERROR(INDEX(M_RawMaterials[基準在庫下限_要入力],MATCH("CHEM-1400",M_RawMaterials[RM_Code],0)),0)</f>
        <v/>
      </c>
      <c r="G29" s="15">
        <f>INDEX(Grid_Stock[#Data],17,$P$7)</f>
        <v/>
      </c>
      <c r="H29" s="15">
        <f>MAX(0,$F29-INDEX(Grid_Stock[#Data],17,$P$7+0))</f>
        <v/>
      </c>
      <c r="I29" s="15">
        <f>MAX(0,$F29-INDEX(Grid_Stock[#Data],17,$P$7+1))</f>
        <v/>
      </c>
      <c r="J29" s="15">
        <f>MAX(0,$F29-INDEX(Grid_Stock[#Data],17,$P$7+2))</f>
        <v/>
      </c>
      <c r="K29" s="15">
        <f>MAX(0,$F29-INDEX(Grid_Stock[#Data],17,$P$7+3))</f>
        <v/>
      </c>
      <c r="L29" s="15">
        <f>MAX(0,$F29-INDEX(Grid_Stock[#Data],17,$P$7+4))</f>
        <v/>
      </c>
      <c r="M29" s="15">
        <f>MAX(0,$F29-INDEX(Grid_Stock[#Data],17,$P$7+5))</f>
        <v/>
      </c>
      <c r="N29" s="15">
        <f>MAX(0,$F29-INDEX(Grid_Stock[#Data],17,$P$7+6))</f>
        <v/>
      </c>
      <c r="O29" s="15">
        <f>MAX(0,$F29-INDEX(Grid_Stock[#Data],17,$P$7+7))</f>
        <v/>
      </c>
      <c r="P29" s="15">
        <f>MAX(0,$F29-INDEX(Grid_Stock[#Data],17,$P$7+8))</f>
        <v/>
      </c>
      <c r="Q29" s="15">
        <f>MAX(0,$F29-INDEX(Grid_Stock[#Data],17,$P$7+9))</f>
        <v/>
      </c>
      <c r="R29" s="15">
        <f>MAX(0,$F29-INDEX(Grid_Stock[#Data],17,$P$7+10))</f>
        <v/>
      </c>
      <c r="S29" s="15">
        <f>MAX(0,$F29-INDEX(Grid_Stock[#Data],17,$P$7+11))</f>
        <v/>
      </c>
      <c r="T29" s="15">
        <f>MAX(0,$F29-INDEX(Grid_Stock[#Data],17,$P$7+12))</f>
        <v/>
      </c>
      <c r="U29" s="15">
        <f>SUM(H29:T29)</f>
        <v/>
      </c>
    </row>
    <row r="30">
      <c r="B30" s="17">
        <f>IFERROR(INDEX(M_RawMaterials[Description],MATCH("CHEM-1570",M_RawMaterials[RM_Code],0)),"")</f>
        <v/>
      </c>
      <c r="C30" s="17" t="inlineStr">
        <is>
          <t>71288624802</t>
        </is>
      </c>
      <c r="D30" s="17" t="inlineStr">
        <is>
          <t>CHEM-1570</t>
        </is>
      </c>
      <c r="E30" s="17" t="inlineStr">
        <is>
          <t>kg</t>
        </is>
      </c>
      <c r="F30" s="17">
        <f>IFERROR(INDEX(M_RawMaterials[基準在庫下限_要入力],MATCH("CHEM-1570",M_RawMaterials[RM_Code],0)),0)</f>
        <v/>
      </c>
      <c r="G30" s="17">
        <f>INDEX(Grid_Stock[#Data],18,$P$7)</f>
        <v/>
      </c>
      <c r="H30" s="17">
        <f>MAX(0,$F30-INDEX(Grid_Stock[#Data],18,$P$7+0))</f>
        <v/>
      </c>
      <c r="I30" s="17">
        <f>MAX(0,$F30-INDEX(Grid_Stock[#Data],18,$P$7+1))</f>
        <v/>
      </c>
      <c r="J30" s="17">
        <f>MAX(0,$F30-INDEX(Grid_Stock[#Data],18,$P$7+2))</f>
        <v/>
      </c>
      <c r="K30" s="17">
        <f>MAX(0,$F30-INDEX(Grid_Stock[#Data],18,$P$7+3))</f>
        <v/>
      </c>
      <c r="L30" s="17">
        <f>MAX(0,$F30-INDEX(Grid_Stock[#Data],18,$P$7+4))</f>
        <v/>
      </c>
      <c r="M30" s="17">
        <f>MAX(0,$F30-INDEX(Grid_Stock[#Data],18,$P$7+5))</f>
        <v/>
      </c>
      <c r="N30" s="17">
        <f>MAX(0,$F30-INDEX(Grid_Stock[#Data],18,$P$7+6))</f>
        <v/>
      </c>
      <c r="O30" s="17">
        <f>MAX(0,$F30-INDEX(Grid_Stock[#Data],18,$P$7+7))</f>
        <v/>
      </c>
      <c r="P30" s="17">
        <f>MAX(0,$F30-INDEX(Grid_Stock[#Data],18,$P$7+8))</f>
        <v/>
      </c>
      <c r="Q30" s="17">
        <f>MAX(0,$F30-INDEX(Grid_Stock[#Data],18,$P$7+9))</f>
        <v/>
      </c>
      <c r="R30" s="17">
        <f>MAX(0,$F30-INDEX(Grid_Stock[#Data],18,$P$7+10))</f>
        <v/>
      </c>
      <c r="S30" s="17">
        <f>MAX(0,$F30-INDEX(Grid_Stock[#Data],18,$P$7+11))</f>
        <v/>
      </c>
      <c r="T30" s="17">
        <f>MAX(0,$F30-INDEX(Grid_Stock[#Data],18,$P$7+12))</f>
        <v/>
      </c>
      <c r="U30" s="17">
        <f>SUM(H30:T30)</f>
        <v/>
      </c>
    </row>
    <row r="31">
      <c r="B31" s="15">
        <f>IFERROR(INDEX(M_RawMaterials[Description],MATCH("CHEM-1650",M_RawMaterials[RM_Code],0)),"")</f>
        <v/>
      </c>
      <c r="C31" s="15" t="inlineStr">
        <is>
          <t>712886256</t>
        </is>
      </c>
      <c r="D31" s="15" t="inlineStr">
        <is>
          <t>CHEM-1650</t>
        </is>
      </c>
      <c r="E31" s="15" t="inlineStr">
        <is>
          <t>kg</t>
        </is>
      </c>
      <c r="F31" s="15">
        <f>IFERROR(INDEX(M_RawMaterials[基準在庫下限_要入力],MATCH("CHEM-1650",M_RawMaterials[RM_Code],0)),0)</f>
        <v/>
      </c>
      <c r="G31" s="15">
        <f>INDEX(Grid_Stock[#Data],19,$P$7)</f>
        <v/>
      </c>
      <c r="H31" s="15">
        <f>MAX(0,$F31-INDEX(Grid_Stock[#Data],19,$P$7+0))</f>
        <v/>
      </c>
      <c r="I31" s="15">
        <f>MAX(0,$F31-INDEX(Grid_Stock[#Data],19,$P$7+1))</f>
        <v/>
      </c>
      <c r="J31" s="15">
        <f>MAX(0,$F31-INDEX(Grid_Stock[#Data],19,$P$7+2))</f>
        <v/>
      </c>
      <c r="K31" s="15">
        <f>MAX(0,$F31-INDEX(Grid_Stock[#Data],19,$P$7+3))</f>
        <v/>
      </c>
      <c r="L31" s="15">
        <f>MAX(0,$F31-INDEX(Grid_Stock[#Data],19,$P$7+4))</f>
        <v/>
      </c>
      <c r="M31" s="15">
        <f>MAX(0,$F31-INDEX(Grid_Stock[#Data],19,$P$7+5))</f>
        <v/>
      </c>
      <c r="N31" s="15">
        <f>MAX(0,$F31-INDEX(Grid_Stock[#Data],19,$P$7+6))</f>
        <v/>
      </c>
      <c r="O31" s="15">
        <f>MAX(0,$F31-INDEX(Grid_Stock[#Data],19,$P$7+7))</f>
        <v/>
      </c>
      <c r="P31" s="15">
        <f>MAX(0,$F31-INDEX(Grid_Stock[#Data],19,$P$7+8))</f>
        <v/>
      </c>
      <c r="Q31" s="15">
        <f>MAX(0,$F31-INDEX(Grid_Stock[#Data],19,$P$7+9))</f>
        <v/>
      </c>
      <c r="R31" s="15">
        <f>MAX(0,$F31-INDEX(Grid_Stock[#Data],19,$P$7+10))</f>
        <v/>
      </c>
      <c r="S31" s="15">
        <f>MAX(0,$F31-INDEX(Grid_Stock[#Data],19,$P$7+11))</f>
        <v/>
      </c>
      <c r="T31" s="15">
        <f>MAX(0,$F31-INDEX(Grid_Stock[#Data],19,$P$7+12))</f>
        <v/>
      </c>
      <c r="U31" s="15">
        <f>SUM(H31:T31)</f>
        <v/>
      </c>
    </row>
    <row r="32">
      <c r="B32" s="17">
        <f>IFERROR(INDEX(M_RawMaterials[Description],MATCH("CHEM-1600",M_RawMaterials[RM_Code],0)),"")</f>
        <v/>
      </c>
      <c r="C32" s="17" t="inlineStr">
        <is>
          <t>71388005101</t>
        </is>
      </c>
      <c r="D32" s="17" t="inlineStr">
        <is>
          <t>CHEM-1600</t>
        </is>
      </c>
      <c r="E32" s="17" t="inlineStr">
        <is>
          <t>kg</t>
        </is>
      </c>
      <c r="F32" s="17">
        <f>IFERROR(INDEX(M_RawMaterials[基準在庫下限_要入力],MATCH("CHEM-1600",M_RawMaterials[RM_Code],0)),0)</f>
        <v/>
      </c>
      <c r="G32" s="17">
        <f>INDEX(Grid_Stock[#Data],21,$P$7)</f>
        <v/>
      </c>
      <c r="H32" s="17">
        <f>MAX(0,$F32-INDEX(Grid_Stock[#Data],21,$P$7+0))</f>
        <v/>
      </c>
      <c r="I32" s="17">
        <f>MAX(0,$F32-INDEX(Grid_Stock[#Data],21,$P$7+1))</f>
        <v/>
      </c>
      <c r="J32" s="17">
        <f>MAX(0,$F32-INDEX(Grid_Stock[#Data],21,$P$7+2))</f>
        <v/>
      </c>
      <c r="K32" s="17">
        <f>MAX(0,$F32-INDEX(Grid_Stock[#Data],21,$P$7+3))</f>
        <v/>
      </c>
      <c r="L32" s="17">
        <f>MAX(0,$F32-INDEX(Grid_Stock[#Data],21,$P$7+4))</f>
        <v/>
      </c>
      <c r="M32" s="17">
        <f>MAX(0,$F32-INDEX(Grid_Stock[#Data],21,$P$7+5))</f>
        <v/>
      </c>
      <c r="N32" s="17">
        <f>MAX(0,$F32-INDEX(Grid_Stock[#Data],21,$P$7+6))</f>
        <v/>
      </c>
      <c r="O32" s="17">
        <f>MAX(0,$F32-INDEX(Grid_Stock[#Data],21,$P$7+7))</f>
        <v/>
      </c>
      <c r="P32" s="17">
        <f>MAX(0,$F32-INDEX(Grid_Stock[#Data],21,$P$7+8))</f>
        <v/>
      </c>
      <c r="Q32" s="17">
        <f>MAX(0,$F32-INDEX(Grid_Stock[#Data],21,$P$7+9))</f>
        <v/>
      </c>
      <c r="R32" s="17">
        <f>MAX(0,$F32-INDEX(Grid_Stock[#Data],21,$P$7+10))</f>
        <v/>
      </c>
      <c r="S32" s="17">
        <f>MAX(0,$F32-INDEX(Grid_Stock[#Data],21,$P$7+11))</f>
        <v/>
      </c>
      <c r="T32" s="17">
        <f>MAX(0,$F32-INDEX(Grid_Stock[#Data],21,$P$7+12))</f>
        <v/>
      </c>
      <c r="U32" s="17">
        <f>SUM(H32:T32)</f>
        <v/>
      </c>
    </row>
    <row r="33">
      <c r="B33" s="15">
        <f>IFERROR(INDEX(M_RawMaterials[Description],MATCH("CHEM-1240",M_RawMaterials[RM_Code],0)),"")</f>
        <v/>
      </c>
      <c r="C33" s="15" t="inlineStr">
        <is>
          <t>83988008101</t>
        </is>
      </c>
      <c r="D33" s="15" t="inlineStr">
        <is>
          <t>CHEM-1240</t>
        </is>
      </c>
      <c r="E33" s="15" t="inlineStr">
        <is>
          <t>kg</t>
        </is>
      </c>
      <c r="F33" s="15">
        <f>IFERROR(INDEX(M_RawMaterials[基準在庫下限_要入力],MATCH("CHEM-1240",M_RawMaterials[RM_Code],0)),0)</f>
        <v/>
      </c>
      <c r="G33" s="15">
        <f>INDEX(Grid_Stock[#Data],23,$P$7)</f>
        <v/>
      </c>
      <c r="H33" s="15">
        <f>MAX(0,$F33-INDEX(Grid_Stock[#Data],23,$P$7+0))</f>
        <v/>
      </c>
      <c r="I33" s="15">
        <f>MAX(0,$F33-INDEX(Grid_Stock[#Data],23,$P$7+1))</f>
        <v/>
      </c>
      <c r="J33" s="15">
        <f>MAX(0,$F33-INDEX(Grid_Stock[#Data],23,$P$7+2))</f>
        <v/>
      </c>
      <c r="K33" s="15">
        <f>MAX(0,$F33-INDEX(Grid_Stock[#Data],23,$P$7+3))</f>
        <v/>
      </c>
      <c r="L33" s="15">
        <f>MAX(0,$F33-INDEX(Grid_Stock[#Data],23,$P$7+4))</f>
        <v/>
      </c>
      <c r="M33" s="15">
        <f>MAX(0,$F33-INDEX(Grid_Stock[#Data],23,$P$7+5))</f>
        <v/>
      </c>
      <c r="N33" s="15">
        <f>MAX(0,$F33-INDEX(Grid_Stock[#Data],23,$P$7+6))</f>
        <v/>
      </c>
      <c r="O33" s="15">
        <f>MAX(0,$F33-INDEX(Grid_Stock[#Data],23,$P$7+7))</f>
        <v/>
      </c>
      <c r="P33" s="15">
        <f>MAX(0,$F33-INDEX(Grid_Stock[#Data],23,$P$7+8))</f>
        <v/>
      </c>
      <c r="Q33" s="15">
        <f>MAX(0,$F33-INDEX(Grid_Stock[#Data],23,$P$7+9))</f>
        <v/>
      </c>
      <c r="R33" s="15">
        <f>MAX(0,$F33-INDEX(Grid_Stock[#Data],23,$P$7+10))</f>
        <v/>
      </c>
      <c r="S33" s="15">
        <f>MAX(0,$F33-INDEX(Grid_Stock[#Data],23,$P$7+11))</f>
        <v/>
      </c>
      <c r="T33" s="15">
        <f>MAX(0,$F33-INDEX(Grid_Stock[#Data],23,$P$7+12))</f>
        <v/>
      </c>
      <c r="U33" s="15">
        <f>SUM(H33:T33)</f>
        <v/>
      </c>
    </row>
    <row r="34">
      <c r="B34" s="17">
        <f>IFERROR(INDEX(M_RawMaterials[Description],MATCH("CHEM-1760",M_RawMaterials[RM_Code],0)),"")</f>
        <v/>
      </c>
      <c r="C34" s="17" t="inlineStr">
        <is>
          <t>713880079</t>
        </is>
      </c>
      <c r="D34" s="17" t="inlineStr">
        <is>
          <t>CHEM-1760</t>
        </is>
      </c>
      <c r="E34" s="17" t="inlineStr">
        <is>
          <t>kg</t>
        </is>
      </c>
      <c r="F34" s="17">
        <f>IFERROR(INDEX(M_RawMaterials[基準在庫下限_要入力],MATCH("CHEM-1760",M_RawMaterials[RM_Code],0)),0)</f>
        <v/>
      </c>
      <c r="G34" s="17">
        <f>INDEX(Grid_Stock[#Data],25,$P$7)</f>
        <v/>
      </c>
      <c r="H34" s="17">
        <f>MAX(0,$F34-INDEX(Grid_Stock[#Data],25,$P$7+0))</f>
        <v/>
      </c>
      <c r="I34" s="17">
        <f>MAX(0,$F34-INDEX(Grid_Stock[#Data],25,$P$7+1))</f>
        <v/>
      </c>
      <c r="J34" s="17">
        <f>MAX(0,$F34-INDEX(Grid_Stock[#Data],25,$P$7+2))</f>
        <v/>
      </c>
      <c r="K34" s="17">
        <f>MAX(0,$F34-INDEX(Grid_Stock[#Data],25,$P$7+3))</f>
        <v/>
      </c>
      <c r="L34" s="17">
        <f>MAX(0,$F34-INDEX(Grid_Stock[#Data],25,$P$7+4))</f>
        <v/>
      </c>
      <c r="M34" s="17">
        <f>MAX(0,$F34-INDEX(Grid_Stock[#Data],25,$P$7+5))</f>
        <v/>
      </c>
      <c r="N34" s="17">
        <f>MAX(0,$F34-INDEX(Grid_Stock[#Data],25,$P$7+6))</f>
        <v/>
      </c>
      <c r="O34" s="17">
        <f>MAX(0,$F34-INDEX(Grid_Stock[#Data],25,$P$7+7))</f>
        <v/>
      </c>
      <c r="P34" s="17">
        <f>MAX(0,$F34-INDEX(Grid_Stock[#Data],25,$P$7+8))</f>
        <v/>
      </c>
      <c r="Q34" s="17">
        <f>MAX(0,$F34-INDEX(Grid_Stock[#Data],25,$P$7+9))</f>
        <v/>
      </c>
      <c r="R34" s="17">
        <f>MAX(0,$F34-INDEX(Grid_Stock[#Data],25,$P$7+10))</f>
        <v/>
      </c>
      <c r="S34" s="17">
        <f>MAX(0,$F34-INDEX(Grid_Stock[#Data],25,$P$7+11))</f>
        <v/>
      </c>
      <c r="T34" s="17">
        <f>MAX(0,$F34-INDEX(Grid_Stock[#Data],25,$P$7+12))</f>
        <v/>
      </c>
      <c r="U34" s="17">
        <f>SUM(H34:T34)</f>
        <v/>
      </c>
    </row>
    <row r="35">
      <c r="B35" s="15">
        <f>IFERROR(INDEX(M_RawMaterials[Description],MATCH("Original Towel",M_RawMaterials[RM_Code],0)),"")</f>
        <v/>
      </c>
      <c r="C35" s="15" t="inlineStr">
        <is>
          <t>859882220</t>
        </is>
      </c>
      <c r="D35" s="15" t="inlineStr">
        <is>
          <t>Original Towel</t>
        </is>
      </c>
      <c r="E35" s="15" t="inlineStr">
        <is>
          <t>kg</t>
        </is>
      </c>
      <c r="F35" s="15">
        <f>IFERROR(INDEX(M_RawMaterials[基準在庫下限_要入力],MATCH("Original Towel",M_RawMaterials[RM_Code],0)),0)</f>
        <v/>
      </c>
      <c r="G35" s="15">
        <f>INDEX(Grid_Stock[#Data],26,$P$7)</f>
        <v/>
      </c>
      <c r="H35" s="15">
        <f>MAX(0,$F35-INDEX(Grid_Stock[#Data],26,$P$7+0))</f>
        <v/>
      </c>
      <c r="I35" s="15">
        <f>MAX(0,$F35-INDEX(Grid_Stock[#Data],26,$P$7+1))</f>
        <v/>
      </c>
      <c r="J35" s="15">
        <f>MAX(0,$F35-INDEX(Grid_Stock[#Data],26,$P$7+2))</f>
        <v/>
      </c>
      <c r="K35" s="15">
        <f>MAX(0,$F35-INDEX(Grid_Stock[#Data],26,$P$7+3))</f>
        <v/>
      </c>
      <c r="L35" s="15">
        <f>MAX(0,$F35-INDEX(Grid_Stock[#Data],26,$P$7+4))</f>
        <v/>
      </c>
      <c r="M35" s="15">
        <f>MAX(0,$F35-INDEX(Grid_Stock[#Data],26,$P$7+5))</f>
        <v/>
      </c>
      <c r="N35" s="15">
        <f>MAX(0,$F35-INDEX(Grid_Stock[#Data],26,$P$7+6))</f>
        <v/>
      </c>
      <c r="O35" s="15">
        <f>MAX(0,$F35-INDEX(Grid_Stock[#Data],26,$P$7+7))</f>
        <v/>
      </c>
      <c r="P35" s="15">
        <f>MAX(0,$F35-INDEX(Grid_Stock[#Data],26,$P$7+8))</f>
        <v/>
      </c>
      <c r="Q35" s="15">
        <f>MAX(0,$F35-INDEX(Grid_Stock[#Data],26,$P$7+9))</f>
        <v/>
      </c>
      <c r="R35" s="15">
        <f>MAX(0,$F35-INDEX(Grid_Stock[#Data],26,$P$7+10))</f>
        <v/>
      </c>
      <c r="S35" s="15">
        <f>MAX(0,$F35-INDEX(Grid_Stock[#Data],26,$P$7+11))</f>
        <v/>
      </c>
      <c r="T35" s="15">
        <f>MAX(0,$F35-INDEX(Grid_Stock[#Data],26,$P$7+12))</f>
        <v/>
      </c>
      <c r="U35" s="15">
        <f>SUM(H35:T35)</f>
        <v/>
      </c>
    </row>
    <row r="36">
      <c r="B36" s="17">
        <f>IFERROR(INDEX(M_RawMaterials[Description],MATCH("0LJ",M_RawMaterials[RM_Code],0)),"")</f>
        <v/>
      </c>
      <c r="C36" s="17" t="inlineStr">
        <is>
          <t>N60H39R08-JP</t>
        </is>
      </c>
      <c r="D36" s="17" t="inlineStr">
        <is>
          <t>0LJ</t>
        </is>
      </c>
      <c r="E36" s="17" t="inlineStr">
        <is>
          <t>kg</t>
        </is>
      </c>
      <c r="F36" s="17">
        <f>IFERROR(INDEX(M_RawMaterials[基準在庫下限_要入力],MATCH("0LJ",M_RawMaterials[RM_Code],0)),0)</f>
        <v/>
      </c>
      <c r="G36" s="17">
        <f>INDEX(Grid_Stock[#Data],27,$P$7)</f>
        <v/>
      </c>
      <c r="H36" s="17">
        <f>MAX(0,$F36-INDEX(Grid_Stock[#Data],27,$P$7+0))</f>
        <v/>
      </c>
      <c r="I36" s="17">
        <f>MAX(0,$F36-INDEX(Grid_Stock[#Data],27,$P$7+1))</f>
        <v/>
      </c>
      <c r="J36" s="17">
        <f>MAX(0,$F36-INDEX(Grid_Stock[#Data],27,$P$7+2))</f>
        <v/>
      </c>
      <c r="K36" s="17">
        <f>MAX(0,$F36-INDEX(Grid_Stock[#Data],27,$P$7+3))</f>
        <v/>
      </c>
      <c r="L36" s="17">
        <f>MAX(0,$F36-INDEX(Grid_Stock[#Data],27,$P$7+4))</f>
        <v/>
      </c>
      <c r="M36" s="17">
        <f>MAX(0,$F36-INDEX(Grid_Stock[#Data],27,$P$7+5))</f>
        <v/>
      </c>
      <c r="N36" s="17">
        <f>MAX(0,$F36-INDEX(Grid_Stock[#Data],27,$P$7+6))</f>
        <v/>
      </c>
      <c r="O36" s="17">
        <f>MAX(0,$F36-INDEX(Grid_Stock[#Data],27,$P$7+7))</f>
        <v/>
      </c>
      <c r="P36" s="17">
        <f>MAX(0,$F36-INDEX(Grid_Stock[#Data],27,$P$7+8))</f>
        <v/>
      </c>
      <c r="Q36" s="17">
        <f>MAX(0,$F36-INDEX(Grid_Stock[#Data],27,$P$7+9))</f>
        <v/>
      </c>
      <c r="R36" s="17">
        <f>MAX(0,$F36-INDEX(Grid_Stock[#Data],27,$P$7+10))</f>
        <v/>
      </c>
      <c r="S36" s="17">
        <f>MAX(0,$F36-INDEX(Grid_Stock[#Data],27,$P$7+11))</f>
        <v/>
      </c>
      <c r="T36" s="17">
        <f>MAX(0,$F36-INDEX(Grid_Stock[#Data],27,$P$7+12))</f>
        <v/>
      </c>
      <c r="U36" s="17">
        <f>SUM(H36:T36)</f>
        <v/>
      </c>
    </row>
    <row r="37">
      <c r="B37" s="15">
        <f>IFERROR(INDEX(M_RawMaterials[Description],MATCH("PP FILM",M_RawMaterials[RM_Code],0)),"")</f>
        <v/>
      </c>
      <c r="C37" s="15" t="inlineStr">
        <is>
          <t>83988405701</t>
        </is>
      </c>
      <c r="D37" s="15" t="inlineStr">
        <is>
          <t>PP FILM</t>
        </is>
      </c>
      <c r="E37" s="15" t="inlineStr">
        <is>
          <t>kg</t>
        </is>
      </c>
      <c r="F37" s="15">
        <f>IFERROR(INDEX(M_RawMaterials[基準在庫下限_要入力],MATCH("PP FILM",M_RawMaterials[RM_Code],0)),0)</f>
        <v/>
      </c>
      <c r="G37" s="15">
        <f>INDEX(Grid_Stock[#Data],28,$P$7)</f>
        <v/>
      </c>
      <c r="H37" s="15">
        <f>MAX(0,$F37-INDEX(Grid_Stock[#Data],28,$P$7+0))</f>
        <v/>
      </c>
      <c r="I37" s="15">
        <f>MAX(0,$F37-INDEX(Grid_Stock[#Data],28,$P$7+1))</f>
        <v/>
      </c>
      <c r="J37" s="15">
        <f>MAX(0,$F37-INDEX(Grid_Stock[#Data],28,$P$7+2))</f>
        <v/>
      </c>
      <c r="K37" s="15">
        <f>MAX(0,$F37-INDEX(Grid_Stock[#Data],28,$P$7+3))</f>
        <v/>
      </c>
      <c r="L37" s="15">
        <f>MAX(0,$F37-INDEX(Grid_Stock[#Data],28,$P$7+4))</f>
        <v/>
      </c>
      <c r="M37" s="15">
        <f>MAX(0,$F37-INDEX(Grid_Stock[#Data],28,$P$7+5))</f>
        <v/>
      </c>
      <c r="N37" s="15">
        <f>MAX(0,$F37-INDEX(Grid_Stock[#Data],28,$P$7+6))</f>
        <v/>
      </c>
      <c r="O37" s="15">
        <f>MAX(0,$F37-INDEX(Grid_Stock[#Data],28,$P$7+7))</f>
        <v/>
      </c>
      <c r="P37" s="15">
        <f>MAX(0,$F37-INDEX(Grid_Stock[#Data],28,$P$7+8))</f>
        <v/>
      </c>
      <c r="Q37" s="15">
        <f>MAX(0,$F37-INDEX(Grid_Stock[#Data],28,$P$7+9))</f>
        <v/>
      </c>
      <c r="R37" s="15">
        <f>MAX(0,$F37-INDEX(Grid_Stock[#Data],28,$P$7+10))</f>
        <v/>
      </c>
      <c r="S37" s="15">
        <f>MAX(0,$F37-INDEX(Grid_Stock[#Data],28,$P$7+11))</f>
        <v/>
      </c>
      <c r="T37" s="15">
        <f>MAX(0,$F37-INDEX(Grid_Stock[#Data],28,$P$7+12))</f>
        <v/>
      </c>
      <c r="U37" s="15">
        <f>SUM(H37:T37)</f>
        <v/>
      </c>
    </row>
    <row r="38">
      <c r="B38" s="17">
        <f>IFERROR(INDEX(M_RawMaterials[Description],MATCH("CHEM-1200",M_RawMaterials[RM_Code],0)),"")</f>
        <v/>
      </c>
      <c r="C38" s="17" t="inlineStr">
        <is>
          <t>839880012</t>
        </is>
      </c>
      <c r="D38" s="17" t="inlineStr">
        <is>
          <t>CHEM-1200</t>
        </is>
      </c>
      <c r="E38" s="17" t="inlineStr">
        <is>
          <t>kg</t>
        </is>
      </c>
      <c r="F38" s="17">
        <f>IFERROR(INDEX(M_RawMaterials[基準在庫下限_要入力],MATCH("CHEM-1200",M_RawMaterials[RM_Code],0)),0)</f>
        <v/>
      </c>
      <c r="G38" s="17">
        <f>INDEX(Grid_Stock[#Data],29,$P$7)</f>
        <v/>
      </c>
      <c r="H38" s="17">
        <f>MAX(0,$F38-INDEX(Grid_Stock[#Data],29,$P$7+0))</f>
        <v/>
      </c>
      <c r="I38" s="17">
        <f>MAX(0,$F38-INDEX(Grid_Stock[#Data],29,$P$7+1))</f>
        <v/>
      </c>
      <c r="J38" s="17">
        <f>MAX(0,$F38-INDEX(Grid_Stock[#Data],29,$P$7+2))</f>
        <v/>
      </c>
      <c r="K38" s="17">
        <f>MAX(0,$F38-INDEX(Grid_Stock[#Data],29,$P$7+3))</f>
        <v/>
      </c>
      <c r="L38" s="17">
        <f>MAX(0,$F38-INDEX(Grid_Stock[#Data],29,$P$7+4))</f>
        <v/>
      </c>
      <c r="M38" s="17">
        <f>MAX(0,$F38-INDEX(Grid_Stock[#Data],29,$P$7+5))</f>
        <v/>
      </c>
      <c r="N38" s="17">
        <f>MAX(0,$F38-INDEX(Grid_Stock[#Data],29,$P$7+6))</f>
        <v/>
      </c>
      <c r="O38" s="17">
        <f>MAX(0,$F38-INDEX(Grid_Stock[#Data],29,$P$7+7))</f>
        <v/>
      </c>
      <c r="P38" s="17">
        <f>MAX(0,$F38-INDEX(Grid_Stock[#Data],29,$P$7+8))</f>
        <v/>
      </c>
      <c r="Q38" s="17">
        <f>MAX(0,$F38-INDEX(Grid_Stock[#Data],29,$P$7+9))</f>
        <v/>
      </c>
      <c r="R38" s="17">
        <f>MAX(0,$F38-INDEX(Grid_Stock[#Data],29,$P$7+10))</f>
        <v/>
      </c>
      <c r="S38" s="17">
        <f>MAX(0,$F38-INDEX(Grid_Stock[#Data],29,$P$7+11))</f>
        <v/>
      </c>
      <c r="T38" s="17">
        <f>MAX(0,$F38-INDEX(Grid_Stock[#Data],29,$P$7+12))</f>
        <v/>
      </c>
      <c r="U38" s="17">
        <f>SUM(H38:T38)</f>
        <v/>
      </c>
    </row>
    <row r="39">
      <c r="B39" s="15">
        <f>IFERROR(INDEX(M_RawMaterials[Description],MATCH("ABN",M_RawMaterials[RM_Code],0)),"")</f>
        <v/>
      </c>
      <c r="C39" s="15" t="inlineStr">
        <is>
          <t>18465F3050Z</t>
        </is>
      </c>
      <c r="D39" s="15" t="inlineStr">
        <is>
          <t>ABN</t>
        </is>
      </c>
      <c r="E39" s="15" t="inlineStr">
        <is>
          <t>kg</t>
        </is>
      </c>
      <c r="F39" s="15">
        <f>IFERROR(INDEX(M_RawMaterials[基準在庫下限_要入力],MATCH("ABN",M_RawMaterials[RM_Code],0)),0)</f>
        <v/>
      </c>
      <c r="G39" s="15">
        <f>INDEX(Grid_Stock[#Data],30,$P$7)</f>
        <v/>
      </c>
      <c r="H39" s="15">
        <f>MAX(0,$F39-INDEX(Grid_Stock[#Data],30,$P$7+0))</f>
        <v/>
      </c>
      <c r="I39" s="15">
        <f>MAX(0,$F39-INDEX(Grid_Stock[#Data],30,$P$7+1))</f>
        <v/>
      </c>
      <c r="J39" s="15">
        <f>MAX(0,$F39-INDEX(Grid_Stock[#Data],30,$P$7+2))</f>
        <v/>
      </c>
      <c r="K39" s="15">
        <f>MAX(0,$F39-INDEX(Grid_Stock[#Data],30,$P$7+3))</f>
        <v/>
      </c>
      <c r="L39" s="15">
        <f>MAX(0,$F39-INDEX(Grid_Stock[#Data],30,$P$7+4))</f>
        <v/>
      </c>
      <c r="M39" s="15">
        <f>MAX(0,$F39-INDEX(Grid_Stock[#Data],30,$P$7+5))</f>
        <v/>
      </c>
      <c r="N39" s="15">
        <f>MAX(0,$F39-INDEX(Grid_Stock[#Data],30,$P$7+6))</f>
        <v/>
      </c>
      <c r="O39" s="15">
        <f>MAX(0,$F39-INDEX(Grid_Stock[#Data],30,$P$7+7))</f>
        <v/>
      </c>
      <c r="P39" s="15">
        <f>MAX(0,$F39-INDEX(Grid_Stock[#Data],30,$P$7+8))</f>
        <v/>
      </c>
      <c r="Q39" s="15">
        <f>MAX(0,$F39-INDEX(Grid_Stock[#Data],30,$P$7+9))</f>
        <v/>
      </c>
      <c r="R39" s="15">
        <f>MAX(0,$F39-INDEX(Grid_Stock[#Data],30,$P$7+10))</f>
        <v/>
      </c>
      <c r="S39" s="15">
        <f>MAX(0,$F39-INDEX(Grid_Stock[#Data],30,$P$7+11))</f>
        <v/>
      </c>
      <c r="T39" s="15">
        <f>MAX(0,$F39-INDEX(Grid_Stock[#Data],30,$P$7+12))</f>
        <v/>
      </c>
      <c r="U39" s="15">
        <f>SUM(H39:T39)</f>
        <v/>
      </c>
    </row>
    <row r="40">
      <c r="B40" s="17">
        <f>IFERROR(INDEX(M_RawMaterials[Description],MATCH("YAN",M_RawMaterials[RM_Code],0)),"")</f>
        <v/>
      </c>
      <c r="C40" s="17" t="inlineStr">
        <is>
          <t>18465F2100Z</t>
        </is>
      </c>
      <c r="D40" s="17" t="inlineStr">
        <is>
          <t>YAN</t>
        </is>
      </c>
      <c r="E40" s="17" t="inlineStr">
        <is>
          <t>kg</t>
        </is>
      </c>
      <c r="F40" s="17">
        <f>IFERROR(INDEX(M_RawMaterials[基準在庫下限_要入力],MATCH("YAN",M_RawMaterials[RM_Code],0)),0)</f>
        <v/>
      </c>
      <c r="G40" s="17">
        <f>INDEX(Grid_Stock[#Data],31,$P$7)</f>
        <v/>
      </c>
      <c r="H40" s="17">
        <f>MAX(0,$F40-INDEX(Grid_Stock[#Data],31,$P$7+0))</f>
        <v/>
      </c>
      <c r="I40" s="17">
        <f>MAX(0,$F40-INDEX(Grid_Stock[#Data],31,$P$7+1))</f>
        <v/>
      </c>
      <c r="J40" s="17">
        <f>MAX(0,$F40-INDEX(Grid_Stock[#Data],31,$P$7+2))</f>
        <v/>
      </c>
      <c r="K40" s="17">
        <f>MAX(0,$F40-INDEX(Grid_Stock[#Data],31,$P$7+3))</f>
        <v/>
      </c>
      <c r="L40" s="17">
        <f>MAX(0,$F40-INDEX(Grid_Stock[#Data],31,$P$7+4))</f>
        <v/>
      </c>
      <c r="M40" s="17">
        <f>MAX(0,$F40-INDEX(Grid_Stock[#Data],31,$P$7+5))</f>
        <v/>
      </c>
      <c r="N40" s="17">
        <f>MAX(0,$F40-INDEX(Grid_Stock[#Data],31,$P$7+6))</f>
        <v/>
      </c>
      <c r="O40" s="17">
        <f>MAX(0,$F40-INDEX(Grid_Stock[#Data],31,$P$7+7))</f>
        <v/>
      </c>
      <c r="P40" s="17">
        <f>MAX(0,$F40-INDEX(Grid_Stock[#Data],31,$P$7+8))</f>
        <v/>
      </c>
      <c r="Q40" s="17">
        <f>MAX(0,$F40-INDEX(Grid_Stock[#Data],31,$P$7+9))</f>
        <v/>
      </c>
      <c r="R40" s="17">
        <f>MAX(0,$F40-INDEX(Grid_Stock[#Data],31,$P$7+10))</f>
        <v/>
      </c>
      <c r="S40" s="17">
        <f>MAX(0,$F40-INDEX(Grid_Stock[#Data],31,$P$7+11))</f>
        <v/>
      </c>
      <c r="T40" s="17">
        <f>MAX(0,$F40-INDEX(Grid_Stock[#Data],31,$P$7+12))</f>
        <v/>
      </c>
      <c r="U40" s="17">
        <f>SUM(H40:T40)</f>
        <v/>
      </c>
    </row>
    <row r="41">
      <c r="B41" s="15">
        <f>IFERROR(INDEX(M_RawMaterials[Description],MATCH("KEJ",M_RawMaterials[RM_Code],0)),"")</f>
        <v/>
      </c>
      <c r="C41" s="15" t="inlineStr">
        <is>
          <t>N90S27R08</t>
        </is>
      </c>
      <c r="D41" s="15" t="inlineStr">
        <is>
          <t>KEJ</t>
        </is>
      </c>
      <c r="E41" s="15" t="inlineStr">
        <is>
          <t>kg</t>
        </is>
      </c>
      <c r="F41" s="15">
        <f>IFERROR(INDEX(M_RawMaterials[基準在庫下限_要入力],MATCH("KEJ",M_RawMaterials[RM_Code],0)),0)</f>
        <v/>
      </c>
      <c r="G41" s="15">
        <f>INDEX(Grid_Stock[#Data],32,$P$7)</f>
        <v/>
      </c>
      <c r="H41" s="15">
        <f>MAX(0,$F41-INDEX(Grid_Stock[#Data],32,$P$7+0))</f>
        <v/>
      </c>
      <c r="I41" s="15">
        <f>MAX(0,$F41-INDEX(Grid_Stock[#Data],32,$P$7+1))</f>
        <v/>
      </c>
      <c r="J41" s="15">
        <f>MAX(0,$F41-INDEX(Grid_Stock[#Data],32,$P$7+2))</f>
        <v/>
      </c>
      <c r="K41" s="15">
        <f>MAX(0,$F41-INDEX(Grid_Stock[#Data],32,$P$7+3))</f>
        <v/>
      </c>
      <c r="L41" s="15">
        <f>MAX(0,$F41-INDEX(Grid_Stock[#Data],32,$P$7+4))</f>
        <v/>
      </c>
      <c r="M41" s="15">
        <f>MAX(0,$F41-INDEX(Grid_Stock[#Data],32,$P$7+5))</f>
        <v/>
      </c>
      <c r="N41" s="15">
        <f>MAX(0,$F41-INDEX(Grid_Stock[#Data],32,$P$7+6))</f>
        <v/>
      </c>
      <c r="O41" s="15">
        <f>MAX(0,$F41-INDEX(Grid_Stock[#Data],32,$P$7+7))</f>
        <v/>
      </c>
      <c r="P41" s="15">
        <f>MAX(0,$F41-INDEX(Grid_Stock[#Data],32,$P$7+8))</f>
        <v/>
      </c>
      <c r="Q41" s="15">
        <f>MAX(0,$F41-INDEX(Grid_Stock[#Data],32,$P$7+9))</f>
        <v/>
      </c>
      <c r="R41" s="15">
        <f>MAX(0,$F41-INDEX(Grid_Stock[#Data],32,$P$7+10))</f>
        <v/>
      </c>
      <c r="S41" s="15">
        <f>MAX(0,$F41-INDEX(Grid_Stock[#Data],32,$P$7+11))</f>
        <v/>
      </c>
      <c r="T41" s="15">
        <f>MAX(0,$F41-INDEX(Grid_Stock[#Data],32,$P$7+12))</f>
        <v/>
      </c>
      <c r="U41" s="15">
        <f>SUM(H41:T41)</f>
        <v/>
      </c>
    </row>
    <row r="42">
      <c r="B42" s="17">
        <f>IFERROR(INDEX(M_RawMaterials[Description],MATCH("JEJ",M_RawMaterials[RM_Code],0)),"")</f>
        <v/>
      </c>
      <c r="C42" s="17" t="inlineStr">
        <is>
          <t>N90S29R08</t>
        </is>
      </c>
      <c r="D42" s="17" t="inlineStr">
        <is>
          <t>JEJ</t>
        </is>
      </c>
      <c r="E42" s="17" t="inlineStr">
        <is>
          <t>kg</t>
        </is>
      </c>
      <c r="F42" s="17">
        <f>IFERROR(INDEX(M_RawMaterials[基準在庫下限_要入力],MATCH("JEJ",M_RawMaterials[RM_Code],0)),0)</f>
        <v/>
      </c>
      <c r="G42" s="17">
        <f>INDEX(Grid_Stock[#Data],33,$P$7)</f>
        <v/>
      </c>
      <c r="H42" s="17">
        <f>MAX(0,$F42-INDEX(Grid_Stock[#Data],33,$P$7+0))</f>
        <v/>
      </c>
      <c r="I42" s="17">
        <f>MAX(0,$F42-INDEX(Grid_Stock[#Data],33,$P$7+1))</f>
        <v/>
      </c>
      <c r="J42" s="17">
        <f>MAX(0,$F42-INDEX(Grid_Stock[#Data],33,$P$7+2))</f>
        <v/>
      </c>
      <c r="K42" s="17">
        <f>MAX(0,$F42-INDEX(Grid_Stock[#Data],33,$P$7+3))</f>
        <v/>
      </c>
      <c r="L42" s="17">
        <f>MAX(0,$F42-INDEX(Grid_Stock[#Data],33,$P$7+4))</f>
        <v/>
      </c>
      <c r="M42" s="17">
        <f>MAX(0,$F42-INDEX(Grid_Stock[#Data],33,$P$7+5))</f>
        <v/>
      </c>
      <c r="N42" s="17">
        <f>MAX(0,$F42-INDEX(Grid_Stock[#Data],33,$P$7+6))</f>
        <v/>
      </c>
      <c r="O42" s="17">
        <f>MAX(0,$F42-INDEX(Grid_Stock[#Data],33,$P$7+7))</f>
        <v/>
      </c>
      <c r="P42" s="17">
        <f>MAX(0,$F42-INDEX(Grid_Stock[#Data],33,$P$7+8))</f>
        <v/>
      </c>
      <c r="Q42" s="17">
        <f>MAX(0,$F42-INDEX(Grid_Stock[#Data],33,$P$7+9))</f>
        <v/>
      </c>
      <c r="R42" s="17">
        <f>MAX(0,$F42-INDEX(Grid_Stock[#Data],33,$P$7+10))</f>
        <v/>
      </c>
      <c r="S42" s="17">
        <f>MAX(0,$F42-INDEX(Grid_Stock[#Data],33,$P$7+11))</f>
        <v/>
      </c>
      <c r="T42" s="17">
        <f>MAX(0,$F42-INDEX(Grid_Stock[#Data],33,$P$7+12))</f>
        <v/>
      </c>
      <c r="U42" s="17">
        <f>SUM(H42:T42)</f>
        <v/>
      </c>
    </row>
    <row r="43">
      <c r="B43" s="15">
        <f>IFERROR(INDEX(M_RawMaterials[Description],MATCH("CHEM-1830",M_RawMaterials[RM_Code],0)),"")</f>
        <v/>
      </c>
      <c r="C43" s="15" t="inlineStr">
        <is>
          <t>713880083</t>
        </is>
      </c>
      <c r="D43" s="15" t="inlineStr">
        <is>
          <t>CHEM-1830</t>
        </is>
      </c>
      <c r="E43" s="15" t="inlineStr">
        <is>
          <t>kg</t>
        </is>
      </c>
      <c r="F43" s="15">
        <f>IFERROR(INDEX(M_RawMaterials[基準在庫下限_要入力],MATCH("CHEM-1830",M_RawMaterials[RM_Code],0)),0)</f>
        <v/>
      </c>
      <c r="G43" s="15">
        <f>INDEX(Grid_Stock[#Data],34,$P$7)</f>
        <v/>
      </c>
      <c r="H43" s="15">
        <f>MAX(0,$F43-INDEX(Grid_Stock[#Data],34,$P$7+0))</f>
        <v/>
      </c>
      <c r="I43" s="15">
        <f>MAX(0,$F43-INDEX(Grid_Stock[#Data],34,$P$7+1))</f>
        <v/>
      </c>
      <c r="J43" s="15">
        <f>MAX(0,$F43-INDEX(Grid_Stock[#Data],34,$P$7+2))</f>
        <v/>
      </c>
      <c r="K43" s="15">
        <f>MAX(0,$F43-INDEX(Grid_Stock[#Data],34,$P$7+3))</f>
        <v/>
      </c>
      <c r="L43" s="15">
        <f>MAX(0,$F43-INDEX(Grid_Stock[#Data],34,$P$7+4))</f>
        <v/>
      </c>
      <c r="M43" s="15">
        <f>MAX(0,$F43-INDEX(Grid_Stock[#Data],34,$P$7+5))</f>
        <v/>
      </c>
      <c r="N43" s="15">
        <f>MAX(0,$F43-INDEX(Grid_Stock[#Data],34,$P$7+6))</f>
        <v/>
      </c>
      <c r="O43" s="15">
        <f>MAX(0,$F43-INDEX(Grid_Stock[#Data],34,$P$7+7))</f>
        <v/>
      </c>
      <c r="P43" s="15">
        <f>MAX(0,$F43-INDEX(Grid_Stock[#Data],34,$P$7+8))</f>
        <v/>
      </c>
      <c r="Q43" s="15">
        <f>MAX(0,$F43-INDEX(Grid_Stock[#Data],34,$P$7+9))</f>
        <v/>
      </c>
      <c r="R43" s="15">
        <f>MAX(0,$F43-INDEX(Grid_Stock[#Data],34,$P$7+10))</f>
        <v/>
      </c>
      <c r="S43" s="15">
        <f>MAX(0,$F43-INDEX(Grid_Stock[#Data],34,$P$7+11))</f>
        <v/>
      </c>
      <c r="T43" s="15">
        <f>MAX(0,$F43-INDEX(Grid_Stock[#Data],34,$P$7+12))</f>
        <v/>
      </c>
      <c r="U43" s="15">
        <f>SUM(H43:T43)</f>
        <v/>
      </c>
    </row>
    <row r="44">
      <c r="B44" s="17">
        <f>IFERROR(INDEX(M_RawMaterials[Description],MATCH("CHEM-1100",M_RawMaterials[RM_Code],0)),"")</f>
        <v/>
      </c>
      <c r="C44" s="17" t="inlineStr">
        <is>
          <t>839880191</t>
        </is>
      </c>
      <c r="D44" s="17" t="inlineStr">
        <is>
          <t>CHEM-1100</t>
        </is>
      </c>
      <c r="E44" s="17" t="inlineStr">
        <is>
          <t>kg</t>
        </is>
      </c>
      <c r="F44" s="17">
        <f>IFERROR(INDEX(M_RawMaterials[基準在庫下限_要入力],MATCH("CHEM-1100",M_RawMaterials[RM_Code],0)),0)</f>
        <v/>
      </c>
      <c r="G44" s="17">
        <f>INDEX(Grid_Stock[#Data],35,$P$7)</f>
        <v/>
      </c>
      <c r="H44" s="17">
        <f>MAX(0,$F44-INDEX(Grid_Stock[#Data],35,$P$7+0))</f>
        <v/>
      </c>
      <c r="I44" s="17">
        <f>MAX(0,$F44-INDEX(Grid_Stock[#Data],35,$P$7+1))</f>
        <v/>
      </c>
      <c r="J44" s="17">
        <f>MAX(0,$F44-INDEX(Grid_Stock[#Data],35,$P$7+2))</f>
        <v/>
      </c>
      <c r="K44" s="17">
        <f>MAX(0,$F44-INDEX(Grid_Stock[#Data],35,$P$7+3))</f>
        <v/>
      </c>
      <c r="L44" s="17">
        <f>MAX(0,$F44-INDEX(Grid_Stock[#Data],35,$P$7+4))</f>
        <v/>
      </c>
      <c r="M44" s="17">
        <f>MAX(0,$F44-INDEX(Grid_Stock[#Data],35,$P$7+5))</f>
        <v/>
      </c>
      <c r="N44" s="17">
        <f>MAX(0,$F44-INDEX(Grid_Stock[#Data],35,$P$7+6))</f>
        <v/>
      </c>
      <c r="O44" s="17">
        <f>MAX(0,$F44-INDEX(Grid_Stock[#Data],35,$P$7+7))</f>
        <v/>
      </c>
      <c r="P44" s="17">
        <f>MAX(0,$F44-INDEX(Grid_Stock[#Data],35,$P$7+8))</f>
        <v/>
      </c>
      <c r="Q44" s="17">
        <f>MAX(0,$F44-INDEX(Grid_Stock[#Data],35,$P$7+9))</f>
        <v/>
      </c>
      <c r="R44" s="17">
        <f>MAX(0,$F44-INDEX(Grid_Stock[#Data],35,$P$7+10))</f>
        <v/>
      </c>
      <c r="S44" s="17">
        <f>MAX(0,$F44-INDEX(Grid_Stock[#Data],35,$P$7+11))</f>
        <v/>
      </c>
      <c r="T44" s="17">
        <f>MAX(0,$F44-INDEX(Grid_Stock[#Data],35,$P$7+12))</f>
        <v/>
      </c>
      <c r="U44" s="17">
        <f>SUM(H44:T44)</f>
        <v/>
      </c>
    </row>
    <row r="45">
      <c r="B45" s="15">
        <f>IFERROR(INDEX(M_RawMaterials[Description],MATCH("CHEM-1680",M_RawMaterials[RM_Code],0)),"")</f>
        <v/>
      </c>
      <c r="C45" s="15" t="inlineStr">
        <is>
          <t>713880069</t>
        </is>
      </c>
      <c r="D45" s="15" t="inlineStr">
        <is>
          <t>CHEM-1680</t>
        </is>
      </c>
      <c r="E45" s="15" t="inlineStr">
        <is>
          <t>kg</t>
        </is>
      </c>
      <c r="F45" s="15">
        <f>IFERROR(INDEX(M_RawMaterials[基準在庫下限_要入力],MATCH("CHEM-1680",M_RawMaterials[RM_Code],0)),0)</f>
        <v/>
      </c>
      <c r="G45" s="15">
        <f>INDEX(Grid_Stock[#Data],36,$P$7)</f>
        <v/>
      </c>
      <c r="H45" s="15">
        <f>MAX(0,$F45-INDEX(Grid_Stock[#Data],36,$P$7+0))</f>
        <v/>
      </c>
      <c r="I45" s="15">
        <f>MAX(0,$F45-INDEX(Grid_Stock[#Data],36,$P$7+1))</f>
        <v/>
      </c>
      <c r="J45" s="15">
        <f>MAX(0,$F45-INDEX(Grid_Stock[#Data],36,$P$7+2))</f>
        <v/>
      </c>
      <c r="K45" s="15">
        <f>MAX(0,$F45-INDEX(Grid_Stock[#Data],36,$P$7+3))</f>
        <v/>
      </c>
      <c r="L45" s="15">
        <f>MAX(0,$F45-INDEX(Grid_Stock[#Data],36,$P$7+4))</f>
        <v/>
      </c>
      <c r="M45" s="15">
        <f>MAX(0,$F45-INDEX(Grid_Stock[#Data],36,$P$7+5))</f>
        <v/>
      </c>
      <c r="N45" s="15">
        <f>MAX(0,$F45-INDEX(Grid_Stock[#Data],36,$P$7+6))</f>
        <v/>
      </c>
      <c r="O45" s="15">
        <f>MAX(0,$F45-INDEX(Grid_Stock[#Data],36,$P$7+7))</f>
        <v/>
      </c>
      <c r="P45" s="15">
        <f>MAX(0,$F45-INDEX(Grid_Stock[#Data],36,$P$7+8))</f>
        <v/>
      </c>
      <c r="Q45" s="15">
        <f>MAX(0,$F45-INDEX(Grid_Stock[#Data],36,$P$7+9))</f>
        <v/>
      </c>
      <c r="R45" s="15">
        <f>MAX(0,$F45-INDEX(Grid_Stock[#Data],36,$P$7+10))</f>
        <v/>
      </c>
      <c r="S45" s="15">
        <f>MAX(0,$F45-INDEX(Grid_Stock[#Data],36,$P$7+11))</f>
        <v/>
      </c>
      <c r="T45" s="15">
        <f>MAX(0,$F45-INDEX(Grid_Stock[#Data],36,$P$7+12))</f>
        <v/>
      </c>
      <c r="U45" s="15">
        <f>SUM(H45:T45)</f>
        <v/>
      </c>
    </row>
    <row r="46">
      <c r="B46" s="17">
        <f>IFERROR(INDEX(M_RawMaterials[Description],MATCH("CHEM-1820",M_RawMaterials[RM_Code],0)),"")</f>
        <v/>
      </c>
      <c r="C46" s="17" t="inlineStr">
        <is>
          <t>713880091</t>
        </is>
      </c>
      <c r="D46" s="17" t="inlineStr">
        <is>
          <t>CHEM-1820</t>
        </is>
      </c>
      <c r="E46" s="17" t="inlineStr">
        <is>
          <t>kg</t>
        </is>
      </c>
      <c r="F46" s="17">
        <f>IFERROR(INDEX(M_RawMaterials[基準在庫下限_要入力],MATCH("CHEM-1820",M_RawMaterials[RM_Code],0)),0)</f>
        <v/>
      </c>
      <c r="G46" s="17">
        <f>INDEX(Grid_Stock[#Data],37,$P$7)</f>
        <v/>
      </c>
      <c r="H46" s="17">
        <f>MAX(0,$F46-INDEX(Grid_Stock[#Data],37,$P$7+0))</f>
        <v/>
      </c>
      <c r="I46" s="17">
        <f>MAX(0,$F46-INDEX(Grid_Stock[#Data],37,$P$7+1))</f>
        <v/>
      </c>
      <c r="J46" s="17">
        <f>MAX(0,$F46-INDEX(Grid_Stock[#Data],37,$P$7+2))</f>
        <v/>
      </c>
      <c r="K46" s="17">
        <f>MAX(0,$F46-INDEX(Grid_Stock[#Data],37,$P$7+3))</f>
        <v/>
      </c>
      <c r="L46" s="17">
        <f>MAX(0,$F46-INDEX(Grid_Stock[#Data],37,$P$7+4))</f>
        <v/>
      </c>
      <c r="M46" s="17">
        <f>MAX(0,$F46-INDEX(Grid_Stock[#Data],37,$P$7+5))</f>
        <v/>
      </c>
      <c r="N46" s="17">
        <f>MAX(0,$F46-INDEX(Grid_Stock[#Data],37,$P$7+6))</f>
        <v/>
      </c>
      <c r="O46" s="17">
        <f>MAX(0,$F46-INDEX(Grid_Stock[#Data],37,$P$7+7))</f>
        <v/>
      </c>
      <c r="P46" s="17">
        <f>MAX(0,$F46-INDEX(Grid_Stock[#Data],37,$P$7+8))</f>
        <v/>
      </c>
      <c r="Q46" s="17">
        <f>MAX(0,$F46-INDEX(Grid_Stock[#Data],37,$P$7+9))</f>
        <v/>
      </c>
      <c r="R46" s="17">
        <f>MAX(0,$F46-INDEX(Grid_Stock[#Data],37,$P$7+10))</f>
        <v/>
      </c>
      <c r="S46" s="17">
        <f>MAX(0,$F46-INDEX(Grid_Stock[#Data],37,$P$7+11))</f>
        <v/>
      </c>
      <c r="T46" s="17">
        <f>MAX(0,$F46-INDEX(Grid_Stock[#Data],37,$P$7+12))</f>
        <v/>
      </c>
      <c r="U46" s="17">
        <f>SUM(H46:T46)</f>
        <v/>
      </c>
    </row>
    <row r="47">
      <c r="B47" s="15">
        <f>IFERROR(INDEX(M_RawMaterials[Description],MATCH("CHEM-1840",M_RawMaterials[RM_Code],0)),"")</f>
        <v/>
      </c>
      <c r="C47" s="15" t="inlineStr">
        <is>
          <t>712886281</t>
        </is>
      </c>
      <c r="D47" s="15" t="inlineStr">
        <is>
          <t>CHEM-1840</t>
        </is>
      </c>
      <c r="E47" s="15" t="inlineStr">
        <is>
          <t>kg</t>
        </is>
      </c>
      <c r="F47" s="15">
        <f>IFERROR(INDEX(M_RawMaterials[基準在庫下限_要入力],MATCH("CHEM-1840",M_RawMaterials[RM_Code],0)),0)</f>
        <v/>
      </c>
      <c r="G47" s="15">
        <f>INDEX(Grid_Stock[#Data],38,$P$7)</f>
        <v/>
      </c>
      <c r="H47" s="15">
        <f>MAX(0,$F47-INDEX(Grid_Stock[#Data],38,$P$7+0))</f>
        <v/>
      </c>
      <c r="I47" s="15">
        <f>MAX(0,$F47-INDEX(Grid_Stock[#Data],38,$P$7+1))</f>
        <v/>
      </c>
      <c r="J47" s="15">
        <f>MAX(0,$F47-INDEX(Grid_Stock[#Data],38,$P$7+2))</f>
        <v/>
      </c>
      <c r="K47" s="15">
        <f>MAX(0,$F47-INDEX(Grid_Stock[#Data],38,$P$7+3))</f>
        <v/>
      </c>
      <c r="L47" s="15">
        <f>MAX(0,$F47-INDEX(Grid_Stock[#Data],38,$P$7+4))</f>
        <v/>
      </c>
      <c r="M47" s="15">
        <f>MAX(0,$F47-INDEX(Grid_Stock[#Data],38,$P$7+5))</f>
        <v/>
      </c>
      <c r="N47" s="15">
        <f>MAX(0,$F47-INDEX(Grid_Stock[#Data],38,$P$7+6))</f>
        <v/>
      </c>
      <c r="O47" s="15">
        <f>MAX(0,$F47-INDEX(Grid_Stock[#Data],38,$P$7+7))</f>
        <v/>
      </c>
      <c r="P47" s="15">
        <f>MAX(0,$F47-INDEX(Grid_Stock[#Data],38,$P$7+8))</f>
        <v/>
      </c>
      <c r="Q47" s="15">
        <f>MAX(0,$F47-INDEX(Grid_Stock[#Data],38,$P$7+9))</f>
        <v/>
      </c>
      <c r="R47" s="15">
        <f>MAX(0,$F47-INDEX(Grid_Stock[#Data],38,$P$7+10))</f>
        <v/>
      </c>
      <c r="S47" s="15">
        <f>MAX(0,$F47-INDEX(Grid_Stock[#Data],38,$P$7+11))</f>
        <v/>
      </c>
      <c r="T47" s="15">
        <f>MAX(0,$F47-INDEX(Grid_Stock[#Data],38,$P$7+12))</f>
        <v/>
      </c>
      <c r="U47" s="15">
        <f>SUM(H47:T47)</f>
        <v/>
      </c>
    </row>
    <row r="48">
      <c r="B48" s="17">
        <f>IFERROR(INDEX(M_RawMaterials[Description],MATCH("TPP-1469",M_RawMaterials[RM_Code],0)),"")</f>
        <v/>
      </c>
      <c r="C48" s="17" t="inlineStr">
        <is>
          <t>734832058</t>
        </is>
      </c>
      <c r="D48" s="17" t="inlineStr">
        <is>
          <t>TPP-1469</t>
        </is>
      </c>
      <c r="E48" s="17" t="inlineStr">
        <is>
          <t>kg</t>
        </is>
      </c>
      <c r="F48" s="17">
        <f>IFERROR(INDEX(M_RawMaterials[基準在庫下限_要入力],MATCH("TPP-1469",M_RawMaterials[RM_Code],0)),0)</f>
        <v/>
      </c>
      <c r="G48" s="17">
        <f>INDEX(Grid_Stock[#Data],39,$P$7)</f>
        <v/>
      </c>
      <c r="H48" s="17">
        <f>MAX(0,$F48-INDEX(Grid_Stock[#Data],39,$P$7+0))</f>
        <v/>
      </c>
      <c r="I48" s="17">
        <f>MAX(0,$F48-INDEX(Grid_Stock[#Data],39,$P$7+1))</f>
        <v/>
      </c>
      <c r="J48" s="17">
        <f>MAX(0,$F48-INDEX(Grid_Stock[#Data],39,$P$7+2))</f>
        <v/>
      </c>
      <c r="K48" s="17">
        <f>MAX(0,$F48-INDEX(Grid_Stock[#Data],39,$P$7+3))</f>
        <v/>
      </c>
      <c r="L48" s="17">
        <f>MAX(0,$F48-INDEX(Grid_Stock[#Data],39,$P$7+4))</f>
        <v/>
      </c>
      <c r="M48" s="17">
        <f>MAX(0,$F48-INDEX(Grid_Stock[#Data],39,$P$7+5))</f>
        <v/>
      </c>
      <c r="N48" s="17">
        <f>MAX(0,$F48-INDEX(Grid_Stock[#Data],39,$P$7+6))</f>
        <v/>
      </c>
      <c r="O48" s="17">
        <f>MAX(0,$F48-INDEX(Grid_Stock[#Data],39,$P$7+7))</f>
        <v/>
      </c>
      <c r="P48" s="17">
        <f>MAX(0,$F48-INDEX(Grid_Stock[#Data],39,$P$7+8))</f>
        <v/>
      </c>
      <c r="Q48" s="17">
        <f>MAX(0,$F48-INDEX(Grid_Stock[#Data],39,$P$7+9))</f>
        <v/>
      </c>
      <c r="R48" s="17">
        <f>MAX(0,$F48-INDEX(Grid_Stock[#Data],39,$P$7+10))</f>
        <v/>
      </c>
      <c r="S48" s="17">
        <f>MAX(0,$F48-INDEX(Grid_Stock[#Data],39,$P$7+11))</f>
        <v/>
      </c>
      <c r="T48" s="17">
        <f>MAX(0,$F48-INDEX(Grid_Stock[#Data],39,$P$7+12))</f>
        <v/>
      </c>
      <c r="U48" s="17">
        <f>SUM(H48:T48)</f>
        <v/>
      </c>
    </row>
    <row r="49">
      <c r="B49" s="15">
        <f>IFERROR(INDEX(M_RawMaterials[Description],MATCH("CHEM-1730",M_RawMaterials[RM_Code],0)),"")</f>
        <v/>
      </c>
      <c r="C49" s="15" t="inlineStr">
        <is>
          <t>71388007701</t>
        </is>
      </c>
      <c r="D49" s="15" t="inlineStr">
        <is>
          <t>CHEM-1730</t>
        </is>
      </c>
      <c r="E49" s="15" t="inlineStr">
        <is>
          <t>kg</t>
        </is>
      </c>
      <c r="F49" s="15">
        <f>IFERROR(INDEX(M_RawMaterials[基準在庫下限_要入力],MATCH("CHEM-1730",M_RawMaterials[RM_Code],0)),0)</f>
        <v/>
      </c>
      <c r="G49" s="15">
        <f>INDEX(Grid_Stock[#Data],41,$P$7)</f>
        <v/>
      </c>
      <c r="H49" s="15">
        <f>MAX(0,$F49-INDEX(Grid_Stock[#Data],41,$P$7+0))</f>
        <v/>
      </c>
      <c r="I49" s="15">
        <f>MAX(0,$F49-INDEX(Grid_Stock[#Data],41,$P$7+1))</f>
        <v/>
      </c>
      <c r="J49" s="15">
        <f>MAX(0,$F49-INDEX(Grid_Stock[#Data],41,$P$7+2))</f>
        <v/>
      </c>
      <c r="K49" s="15">
        <f>MAX(0,$F49-INDEX(Grid_Stock[#Data],41,$P$7+3))</f>
        <v/>
      </c>
      <c r="L49" s="15">
        <f>MAX(0,$F49-INDEX(Grid_Stock[#Data],41,$P$7+4))</f>
        <v/>
      </c>
      <c r="M49" s="15">
        <f>MAX(0,$F49-INDEX(Grid_Stock[#Data],41,$P$7+5))</f>
        <v/>
      </c>
      <c r="N49" s="15">
        <f>MAX(0,$F49-INDEX(Grid_Stock[#Data],41,$P$7+6))</f>
        <v/>
      </c>
      <c r="O49" s="15">
        <f>MAX(0,$F49-INDEX(Grid_Stock[#Data],41,$P$7+7))</f>
        <v/>
      </c>
      <c r="P49" s="15">
        <f>MAX(0,$F49-INDEX(Grid_Stock[#Data],41,$P$7+8))</f>
        <v/>
      </c>
      <c r="Q49" s="15">
        <f>MAX(0,$F49-INDEX(Grid_Stock[#Data],41,$P$7+9))</f>
        <v/>
      </c>
      <c r="R49" s="15">
        <f>MAX(0,$F49-INDEX(Grid_Stock[#Data],41,$P$7+10))</f>
        <v/>
      </c>
      <c r="S49" s="15">
        <f>MAX(0,$F49-INDEX(Grid_Stock[#Data],41,$P$7+11))</f>
        <v/>
      </c>
      <c r="T49" s="15">
        <f>MAX(0,$F49-INDEX(Grid_Stock[#Data],41,$P$7+12))</f>
        <v/>
      </c>
      <c r="U49" s="15">
        <f>SUM(H49:T49)</f>
        <v/>
      </c>
    </row>
    <row r="50">
      <c r="B50" s="17">
        <f>IFERROR(INDEX(M_RawMaterials[Description],MATCH("CHEM-1110",M_RawMaterials[RM_Code],0)),"")</f>
        <v/>
      </c>
      <c r="C50" s="17" t="inlineStr">
        <is>
          <t>Alumina Powder</t>
        </is>
      </c>
      <c r="D50" s="17" t="inlineStr">
        <is>
          <t>CHEM-1110</t>
        </is>
      </c>
      <c r="E50" s="17" t="inlineStr">
        <is>
          <t>kg</t>
        </is>
      </c>
      <c r="F50" s="17">
        <f>IFERROR(INDEX(M_RawMaterials[基準在庫下限_要入力],MATCH("CHEM-1110",M_RawMaterials[RM_Code],0)),0)</f>
        <v/>
      </c>
      <c r="G50" s="17">
        <f>INDEX(Grid_Stock[#Data],42,$P$7)</f>
        <v/>
      </c>
      <c r="H50" s="17">
        <f>MAX(0,$F50-INDEX(Grid_Stock[#Data],42,$P$7+0))</f>
        <v/>
      </c>
      <c r="I50" s="17">
        <f>MAX(0,$F50-INDEX(Grid_Stock[#Data],42,$P$7+1))</f>
        <v/>
      </c>
      <c r="J50" s="17">
        <f>MAX(0,$F50-INDEX(Grid_Stock[#Data],42,$P$7+2))</f>
        <v/>
      </c>
      <c r="K50" s="17">
        <f>MAX(0,$F50-INDEX(Grid_Stock[#Data],42,$P$7+3))</f>
        <v/>
      </c>
      <c r="L50" s="17">
        <f>MAX(0,$F50-INDEX(Grid_Stock[#Data],42,$P$7+4))</f>
        <v/>
      </c>
      <c r="M50" s="17">
        <f>MAX(0,$F50-INDEX(Grid_Stock[#Data],42,$P$7+5))</f>
        <v/>
      </c>
      <c r="N50" s="17">
        <f>MAX(0,$F50-INDEX(Grid_Stock[#Data],42,$P$7+6))</f>
        <v/>
      </c>
      <c r="O50" s="17">
        <f>MAX(0,$F50-INDEX(Grid_Stock[#Data],42,$P$7+7))</f>
        <v/>
      </c>
      <c r="P50" s="17">
        <f>MAX(0,$F50-INDEX(Grid_Stock[#Data],42,$P$7+8))</f>
        <v/>
      </c>
      <c r="Q50" s="17">
        <f>MAX(0,$F50-INDEX(Grid_Stock[#Data],42,$P$7+9))</f>
        <v/>
      </c>
      <c r="R50" s="17">
        <f>MAX(0,$F50-INDEX(Grid_Stock[#Data],42,$P$7+10))</f>
        <v/>
      </c>
      <c r="S50" s="17">
        <f>MAX(0,$F50-INDEX(Grid_Stock[#Data],42,$P$7+11))</f>
        <v/>
      </c>
      <c r="T50" s="17">
        <f>MAX(0,$F50-INDEX(Grid_Stock[#Data],42,$P$7+12))</f>
        <v/>
      </c>
      <c r="U50" s="17">
        <f>SUM(H50:T50)</f>
        <v/>
      </c>
    </row>
    <row r="51">
      <c r="B51" s="15">
        <f>IFERROR(INDEX(M_RawMaterials[Description],MATCH("CHEM-1120",M_RawMaterials[RM_Code],0)),"")</f>
        <v/>
      </c>
      <c r="C51" s="15" t="inlineStr">
        <is>
          <t>712886120</t>
        </is>
      </c>
      <c r="D51" s="15" t="inlineStr">
        <is>
          <t>CHEM-1120</t>
        </is>
      </c>
      <c r="E51" s="15" t="inlineStr">
        <is>
          <t>kg</t>
        </is>
      </c>
      <c r="F51" s="15">
        <f>IFERROR(INDEX(M_RawMaterials[基準在庫下限_要入力],MATCH("CHEM-1120",M_RawMaterials[RM_Code],0)),0)</f>
        <v/>
      </c>
      <c r="G51" s="15">
        <f>INDEX(Grid_Stock[#Data],43,$P$7)</f>
        <v/>
      </c>
      <c r="H51" s="15">
        <f>MAX(0,$F51-INDEX(Grid_Stock[#Data],43,$P$7+0))</f>
        <v/>
      </c>
      <c r="I51" s="15">
        <f>MAX(0,$F51-INDEX(Grid_Stock[#Data],43,$P$7+1))</f>
        <v/>
      </c>
      <c r="J51" s="15">
        <f>MAX(0,$F51-INDEX(Grid_Stock[#Data],43,$P$7+2))</f>
        <v/>
      </c>
      <c r="K51" s="15">
        <f>MAX(0,$F51-INDEX(Grid_Stock[#Data],43,$P$7+3))</f>
        <v/>
      </c>
      <c r="L51" s="15">
        <f>MAX(0,$F51-INDEX(Grid_Stock[#Data],43,$P$7+4))</f>
        <v/>
      </c>
      <c r="M51" s="15">
        <f>MAX(0,$F51-INDEX(Grid_Stock[#Data],43,$P$7+5))</f>
        <v/>
      </c>
      <c r="N51" s="15">
        <f>MAX(0,$F51-INDEX(Grid_Stock[#Data],43,$P$7+6))</f>
        <v/>
      </c>
      <c r="O51" s="15">
        <f>MAX(0,$F51-INDEX(Grid_Stock[#Data],43,$P$7+7))</f>
        <v/>
      </c>
      <c r="P51" s="15">
        <f>MAX(0,$F51-INDEX(Grid_Stock[#Data],43,$P$7+8))</f>
        <v/>
      </c>
      <c r="Q51" s="15">
        <f>MAX(0,$F51-INDEX(Grid_Stock[#Data],43,$P$7+9))</f>
        <v/>
      </c>
      <c r="R51" s="15">
        <f>MAX(0,$F51-INDEX(Grid_Stock[#Data],43,$P$7+10))</f>
        <v/>
      </c>
      <c r="S51" s="15">
        <f>MAX(0,$F51-INDEX(Grid_Stock[#Data],43,$P$7+11))</f>
        <v/>
      </c>
      <c r="T51" s="15">
        <f>MAX(0,$F51-INDEX(Grid_Stock[#Data],43,$P$7+12))</f>
        <v/>
      </c>
      <c r="U51" s="15">
        <f>SUM(H51:T51)</f>
        <v/>
      </c>
    </row>
    <row r="52">
      <c r="B52" s="17">
        <f>IFERROR(INDEX(M_RawMaterials[Description],MATCH("CHEM-1010",M_RawMaterials[RM_Code],0)),"")</f>
        <v/>
      </c>
      <c r="C52" s="17" t="inlineStr">
        <is>
          <t>Sodium Carbonate</t>
        </is>
      </c>
      <c r="D52" s="17" t="inlineStr">
        <is>
          <t>CHEM-1010</t>
        </is>
      </c>
      <c r="E52" s="17" t="inlineStr">
        <is>
          <t>kg</t>
        </is>
      </c>
      <c r="F52" s="17">
        <f>IFERROR(INDEX(M_RawMaterials[基準在庫下限_要入力],MATCH("CHEM-1010",M_RawMaterials[RM_Code],0)),0)</f>
        <v/>
      </c>
      <c r="G52" s="17">
        <f>INDEX(Grid_Stock[#Data],44,$P$7)</f>
        <v/>
      </c>
      <c r="H52" s="17">
        <f>MAX(0,$F52-INDEX(Grid_Stock[#Data],44,$P$7+0))</f>
        <v/>
      </c>
      <c r="I52" s="17">
        <f>MAX(0,$F52-INDEX(Grid_Stock[#Data],44,$P$7+1))</f>
        <v/>
      </c>
      <c r="J52" s="17">
        <f>MAX(0,$F52-INDEX(Grid_Stock[#Data],44,$P$7+2))</f>
        <v/>
      </c>
      <c r="K52" s="17">
        <f>MAX(0,$F52-INDEX(Grid_Stock[#Data],44,$P$7+3))</f>
        <v/>
      </c>
      <c r="L52" s="17">
        <f>MAX(0,$F52-INDEX(Grid_Stock[#Data],44,$P$7+4))</f>
        <v/>
      </c>
      <c r="M52" s="17">
        <f>MAX(0,$F52-INDEX(Grid_Stock[#Data],44,$P$7+5))</f>
        <v/>
      </c>
      <c r="N52" s="17">
        <f>MAX(0,$F52-INDEX(Grid_Stock[#Data],44,$P$7+6))</f>
        <v/>
      </c>
      <c r="O52" s="17">
        <f>MAX(0,$F52-INDEX(Grid_Stock[#Data],44,$P$7+7))</f>
        <v/>
      </c>
      <c r="P52" s="17">
        <f>MAX(0,$F52-INDEX(Grid_Stock[#Data],44,$P$7+8))</f>
        <v/>
      </c>
      <c r="Q52" s="17">
        <f>MAX(0,$F52-INDEX(Grid_Stock[#Data],44,$P$7+9))</f>
        <v/>
      </c>
      <c r="R52" s="17">
        <f>MAX(0,$F52-INDEX(Grid_Stock[#Data],44,$P$7+10))</f>
        <v/>
      </c>
      <c r="S52" s="17">
        <f>MAX(0,$F52-INDEX(Grid_Stock[#Data],44,$P$7+11))</f>
        <v/>
      </c>
      <c r="T52" s="17">
        <f>MAX(0,$F52-INDEX(Grid_Stock[#Data],44,$P$7+12))</f>
        <v/>
      </c>
      <c r="U52" s="17">
        <f>SUM(H52:T52)</f>
        <v/>
      </c>
    </row>
    <row r="53">
      <c r="B53" s="15">
        <f>IFERROR(INDEX(M_RawMaterials[Description],MATCH("CHEM-1410",M_RawMaterials[RM_Code],0)),"")</f>
        <v/>
      </c>
      <c r="C53" s="15" t="inlineStr">
        <is>
          <t>71288623301</t>
        </is>
      </c>
      <c r="D53" s="15" t="inlineStr">
        <is>
          <t>CHEM-1410</t>
        </is>
      </c>
      <c r="E53" s="15" t="inlineStr">
        <is>
          <t>kg</t>
        </is>
      </c>
      <c r="F53" s="15">
        <f>IFERROR(INDEX(M_RawMaterials[基準在庫下限_要入力],MATCH("CHEM-1410",M_RawMaterials[RM_Code],0)),0)</f>
        <v/>
      </c>
      <c r="G53" s="15">
        <f>INDEX(Grid_Stock[#Data],45,$P$7)</f>
        <v/>
      </c>
      <c r="H53" s="15">
        <f>MAX(0,$F53-INDEX(Grid_Stock[#Data],45,$P$7+0))</f>
        <v/>
      </c>
      <c r="I53" s="15">
        <f>MAX(0,$F53-INDEX(Grid_Stock[#Data],45,$P$7+1))</f>
        <v/>
      </c>
      <c r="J53" s="15">
        <f>MAX(0,$F53-INDEX(Grid_Stock[#Data],45,$P$7+2))</f>
        <v/>
      </c>
      <c r="K53" s="15">
        <f>MAX(0,$F53-INDEX(Grid_Stock[#Data],45,$P$7+3))</f>
        <v/>
      </c>
      <c r="L53" s="15">
        <f>MAX(0,$F53-INDEX(Grid_Stock[#Data],45,$P$7+4))</f>
        <v/>
      </c>
      <c r="M53" s="15">
        <f>MAX(0,$F53-INDEX(Grid_Stock[#Data],45,$P$7+5))</f>
        <v/>
      </c>
      <c r="N53" s="15">
        <f>MAX(0,$F53-INDEX(Grid_Stock[#Data],45,$P$7+6))</f>
        <v/>
      </c>
      <c r="O53" s="15">
        <f>MAX(0,$F53-INDEX(Grid_Stock[#Data],45,$P$7+7))</f>
        <v/>
      </c>
      <c r="P53" s="15">
        <f>MAX(0,$F53-INDEX(Grid_Stock[#Data],45,$P$7+8))</f>
        <v/>
      </c>
      <c r="Q53" s="15">
        <f>MAX(0,$F53-INDEX(Grid_Stock[#Data],45,$P$7+9))</f>
        <v/>
      </c>
      <c r="R53" s="15">
        <f>MAX(0,$F53-INDEX(Grid_Stock[#Data],45,$P$7+10))</f>
        <v/>
      </c>
      <c r="S53" s="15">
        <f>MAX(0,$F53-INDEX(Grid_Stock[#Data],45,$P$7+11))</f>
        <v/>
      </c>
      <c r="T53" s="15">
        <f>MAX(0,$F53-INDEX(Grid_Stock[#Data],45,$P$7+12))</f>
        <v/>
      </c>
      <c r="U53" s="15">
        <f>SUM(H53:T53)</f>
        <v/>
      </c>
    </row>
    <row r="54">
      <c r="B54" s="17">
        <f>IFERROR(INDEX(M_RawMaterials[Description],MATCH("CHEM-1430",M_RawMaterials[RM_Code],0)),"")</f>
        <v/>
      </c>
      <c r="C54" s="17" t="inlineStr">
        <is>
          <t>71388004301</t>
        </is>
      </c>
      <c r="D54" s="17" t="inlineStr">
        <is>
          <t>CHEM-1430</t>
        </is>
      </c>
      <c r="E54" s="17" t="inlineStr">
        <is>
          <t>kg</t>
        </is>
      </c>
      <c r="F54" s="17">
        <f>IFERROR(INDEX(M_RawMaterials[基準在庫下限_要入力],MATCH("CHEM-1430",M_RawMaterials[RM_Code],0)),0)</f>
        <v/>
      </c>
      <c r="G54" s="17">
        <f>INDEX(Grid_Stock[#Data],46,$P$7)</f>
        <v/>
      </c>
      <c r="H54" s="17">
        <f>MAX(0,$F54-INDEX(Grid_Stock[#Data],46,$P$7+0))</f>
        <v/>
      </c>
      <c r="I54" s="17">
        <f>MAX(0,$F54-INDEX(Grid_Stock[#Data],46,$P$7+1))</f>
        <v/>
      </c>
      <c r="J54" s="17">
        <f>MAX(0,$F54-INDEX(Grid_Stock[#Data],46,$P$7+2))</f>
        <v/>
      </c>
      <c r="K54" s="17">
        <f>MAX(0,$F54-INDEX(Grid_Stock[#Data],46,$P$7+3))</f>
        <v/>
      </c>
      <c r="L54" s="17">
        <f>MAX(0,$F54-INDEX(Grid_Stock[#Data],46,$P$7+4))</f>
        <v/>
      </c>
      <c r="M54" s="17">
        <f>MAX(0,$F54-INDEX(Grid_Stock[#Data],46,$P$7+5))</f>
        <v/>
      </c>
      <c r="N54" s="17">
        <f>MAX(0,$F54-INDEX(Grid_Stock[#Data],46,$P$7+6))</f>
        <v/>
      </c>
      <c r="O54" s="17">
        <f>MAX(0,$F54-INDEX(Grid_Stock[#Data],46,$P$7+7))</f>
        <v/>
      </c>
      <c r="P54" s="17">
        <f>MAX(0,$F54-INDEX(Grid_Stock[#Data],46,$P$7+8))</f>
        <v/>
      </c>
      <c r="Q54" s="17">
        <f>MAX(0,$F54-INDEX(Grid_Stock[#Data],46,$P$7+9))</f>
        <v/>
      </c>
      <c r="R54" s="17">
        <f>MAX(0,$F54-INDEX(Grid_Stock[#Data],46,$P$7+10))</f>
        <v/>
      </c>
      <c r="S54" s="17">
        <f>MAX(0,$F54-INDEX(Grid_Stock[#Data],46,$P$7+11))</f>
        <v/>
      </c>
      <c r="T54" s="17">
        <f>MAX(0,$F54-INDEX(Grid_Stock[#Data],46,$P$7+12))</f>
        <v/>
      </c>
      <c r="U54" s="17">
        <f>SUM(H54:T54)</f>
        <v/>
      </c>
    </row>
    <row r="55">
      <c r="B55" s="15">
        <f>IFERROR(INDEX(M_RawMaterials[Description],MATCH("CHEM-1450",M_RawMaterials[RM_Code],0)),"")</f>
        <v/>
      </c>
      <c r="C55" s="15" t="inlineStr">
        <is>
          <t>Noptechs</t>
        </is>
      </c>
      <c r="D55" s="15" t="inlineStr">
        <is>
          <t>CHEM-1450</t>
        </is>
      </c>
      <c r="E55" s="15" t="inlineStr">
        <is>
          <t>kg</t>
        </is>
      </c>
      <c r="F55" s="15">
        <f>IFERROR(INDEX(M_RawMaterials[基準在庫下限_要入力],MATCH("CHEM-1450",M_RawMaterials[RM_Code],0)),0)</f>
        <v/>
      </c>
      <c r="G55" s="15">
        <f>INDEX(Grid_Stock[#Data],47,$P$7)</f>
        <v/>
      </c>
      <c r="H55" s="15">
        <f>MAX(0,$F55-INDEX(Grid_Stock[#Data],47,$P$7+0))</f>
        <v/>
      </c>
      <c r="I55" s="15">
        <f>MAX(0,$F55-INDEX(Grid_Stock[#Data],47,$P$7+1))</f>
        <v/>
      </c>
      <c r="J55" s="15">
        <f>MAX(0,$F55-INDEX(Grid_Stock[#Data],47,$P$7+2))</f>
        <v/>
      </c>
      <c r="K55" s="15">
        <f>MAX(0,$F55-INDEX(Grid_Stock[#Data],47,$P$7+3))</f>
        <v/>
      </c>
      <c r="L55" s="15">
        <f>MAX(0,$F55-INDEX(Grid_Stock[#Data],47,$P$7+4))</f>
        <v/>
      </c>
      <c r="M55" s="15">
        <f>MAX(0,$F55-INDEX(Grid_Stock[#Data],47,$P$7+5))</f>
        <v/>
      </c>
      <c r="N55" s="15">
        <f>MAX(0,$F55-INDEX(Grid_Stock[#Data],47,$P$7+6))</f>
        <v/>
      </c>
      <c r="O55" s="15">
        <f>MAX(0,$F55-INDEX(Grid_Stock[#Data],47,$P$7+7))</f>
        <v/>
      </c>
      <c r="P55" s="15">
        <f>MAX(0,$F55-INDEX(Grid_Stock[#Data],47,$P$7+8))</f>
        <v/>
      </c>
      <c r="Q55" s="15">
        <f>MAX(0,$F55-INDEX(Grid_Stock[#Data],47,$P$7+9))</f>
        <v/>
      </c>
      <c r="R55" s="15">
        <f>MAX(0,$F55-INDEX(Grid_Stock[#Data],47,$P$7+10))</f>
        <v/>
      </c>
      <c r="S55" s="15">
        <f>MAX(0,$F55-INDEX(Grid_Stock[#Data],47,$P$7+11))</f>
        <v/>
      </c>
      <c r="T55" s="15">
        <f>MAX(0,$F55-INDEX(Grid_Stock[#Data],47,$P$7+12))</f>
        <v/>
      </c>
      <c r="U55" s="15">
        <f>SUM(H55:T55)</f>
        <v/>
      </c>
    </row>
    <row r="56">
      <c r="B56" s="17">
        <f>IFERROR(INDEX(M_RawMaterials[Description],MATCH("CHEM-1470",M_RawMaterials[RM_Code],0)),"")</f>
        <v/>
      </c>
      <c r="C56" s="17" t="inlineStr">
        <is>
          <t>SCFA100</t>
        </is>
      </c>
      <c r="D56" s="17" t="inlineStr">
        <is>
          <t>CHEM-1470</t>
        </is>
      </c>
      <c r="E56" s="17" t="inlineStr">
        <is>
          <t>kg</t>
        </is>
      </c>
      <c r="F56" s="17">
        <f>IFERROR(INDEX(M_RawMaterials[基準在庫下限_要入力],MATCH("CHEM-1470",M_RawMaterials[RM_Code],0)),0)</f>
        <v/>
      </c>
      <c r="G56" s="17">
        <f>INDEX(Grid_Stock[#Data],48,$P$7)</f>
        <v/>
      </c>
      <c r="H56" s="17">
        <f>MAX(0,$F56-INDEX(Grid_Stock[#Data],48,$P$7+0))</f>
        <v/>
      </c>
      <c r="I56" s="17">
        <f>MAX(0,$F56-INDEX(Grid_Stock[#Data],48,$P$7+1))</f>
        <v/>
      </c>
      <c r="J56" s="17">
        <f>MAX(0,$F56-INDEX(Grid_Stock[#Data],48,$P$7+2))</f>
        <v/>
      </c>
      <c r="K56" s="17">
        <f>MAX(0,$F56-INDEX(Grid_Stock[#Data],48,$P$7+3))</f>
        <v/>
      </c>
      <c r="L56" s="17">
        <f>MAX(0,$F56-INDEX(Grid_Stock[#Data],48,$P$7+4))</f>
        <v/>
      </c>
      <c r="M56" s="17">
        <f>MAX(0,$F56-INDEX(Grid_Stock[#Data],48,$P$7+5))</f>
        <v/>
      </c>
      <c r="N56" s="17">
        <f>MAX(0,$F56-INDEX(Grid_Stock[#Data],48,$P$7+6))</f>
        <v/>
      </c>
      <c r="O56" s="17">
        <f>MAX(0,$F56-INDEX(Grid_Stock[#Data],48,$P$7+7))</f>
        <v/>
      </c>
      <c r="P56" s="17">
        <f>MAX(0,$F56-INDEX(Grid_Stock[#Data],48,$P$7+8))</f>
        <v/>
      </c>
      <c r="Q56" s="17">
        <f>MAX(0,$F56-INDEX(Grid_Stock[#Data],48,$P$7+9))</f>
        <v/>
      </c>
      <c r="R56" s="17">
        <f>MAX(0,$F56-INDEX(Grid_Stock[#Data],48,$P$7+10))</f>
        <v/>
      </c>
      <c r="S56" s="17">
        <f>MAX(0,$F56-INDEX(Grid_Stock[#Data],48,$P$7+11))</f>
        <v/>
      </c>
      <c r="T56" s="17">
        <f>MAX(0,$F56-INDEX(Grid_Stock[#Data],48,$P$7+12))</f>
        <v/>
      </c>
      <c r="U56" s="17">
        <f>SUM(H56:T56)</f>
        <v/>
      </c>
    </row>
    <row r="57">
      <c r="B57" s="15">
        <f>IFERROR(INDEX(M_RawMaterials[Description],MATCH("CHEM-1480",M_RawMaterials[RM_Code],0)),"")</f>
        <v/>
      </c>
      <c r="C57" s="15" t="inlineStr">
        <is>
          <t>NAT30</t>
        </is>
      </c>
      <c r="D57" s="15" t="inlineStr">
        <is>
          <t>CHEM-1480</t>
        </is>
      </c>
      <c r="E57" s="15" t="inlineStr">
        <is>
          <t>kg</t>
        </is>
      </c>
      <c r="F57" s="15">
        <f>IFERROR(INDEX(M_RawMaterials[基準在庫下限_要入力],MATCH("CHEM-1480",M_RawMaterials[RM_Code],0)),0)</f>
        <v/>
      </c>
      <c r="G57" s="15">
        <f>INDEX(Grid_Stock[#Data],49,$P$7)</f>
        <v/>
      </c>
      <c r="H57" s="15">
        <f>MAX(0,$F57-INDEX(Grid_Stock[#Data],49,$P$7+0))</f>
        <v/>
      </c>
      <c r="I57" s="15">
        <f>MAX(0,$F57-INDEX(Grid_Stock[#Data],49,$P$7+1))</f>
        <v/>
      </c>
      <c r="J57" s="15">
        <f>MAX(0,$F57-INDEX(Grid_Stock[#Data],49,$P$7+2))</f>
        <v/>
      </c>
      <c r="K57" s="15">
        <f>MAX(0,$F57-INDEX(Grid_Stock[#Data],49,$P$7+3))</f>
        <v/>
      </c>
      <c r="L57" s="15">
        <f>MAX(0,$F57-INDEX(Grid_Stock[#Data],49,$P$7+4))</f>
        <v/>
      </c>
      <c r="M57" s="15">
        <f>MAX(0,$F57-INDEX(Grid_Stock[#Data],49,$P$7+5))</f>
        <v/>
      </c>
      <c r="N57" s="15">
        <f>MAX(0,$F57-INDEX(Grid_Stock[#Data],49,$P$7+6))</f>
        <v/>
      </c>
      <c r="O57" s="15">
        <f>MAX(0,$F57-INDEX(Grid_Stock[#Data],49,$P$7+7))</f>
        <v/>
      </c>
      <c r="P57" s="15">
        <f>MAX(0,$F57-INDEX(Grid_Stock[#Data],49,$P$7+8))</f>
        <v/>
      </c>
      <c r="Q57" s="15">
        <f>MAX(0,$F57-INDEX(Grid_Stock[#Data],49,$P$7+9))</f>
        <v/>
      </c>
      <c r="R57" s="15">
        <f>MAX(0,$F57-INDEX(Grid_Stock[#Data],49,$P$7+10))</f>
        <v/>
      </c>
      <c r="S57" s="15">
        <f>MAX(0,$F57-INDEX(Grid_Stock[#Data],49,$P$7+11))</f>
        <v/>
      </c>
      <c r="T57" s="15">
        <f>MAX(0,$F57-INDEX(Grid_Stock[#Data],49,$P$7+12))</f>
        <v/>
      </c>
      <c r="U57" s="15">
        <f>SUM(H57:T57)</f>
        <v/>
      </c>
    </row>
    <row r="58">
      <c r="B58" s="17">
        <f>IFERROR(INDEX(M_RawMaterials[Description],MATCH("CHEM-1560",M_RawMaterials[RM_Code],0)),"")</f>
        <v/>
      </c>
      <c r="C58" s="17" t="inlineStr">
        <is>
          <t>734831030</t>
        </is>
      </c>
      <c r="D58" s="17" t="inlineStr">
        <is>
          <t>CHEM-1560</t>
        </is>
      </c>
      <c r="E58" s="17" t="inlineStr">
        <is>
          <t>kg</t>
        </is>
      </c>
      <c r="F58" s="17">
        <f>IFERROR(INDEX(M_RawMaterials[基準在庫下限_要入力],MATCH("CHEM-1560",M_RawMaterials[RM_Code],0)),0)</f>
        <v/>
      </c>
      <c r="G58" s="17">
        <f>INDEX(Grid_Stock[#Data],50,$P$7)</f>
        <v/>
      </c>
      <c r="H58" s="17">
        <f>MAX(0,$F58-INDEX(Grid_Stock[#Data],50,$P$7+0))</f>
        <v/>
      </c>
      <c r="I58" s="17">
        <f>MAX(0,$F58-INDEX(Grid_Stock[#Data],50,$P$7+1))</f>
        <v/>
      </c>
      <c r="J58" s="17">
        <f>MAX(0,$F58-INDEX(Grid_Stock[#Data],50,$P$7+2))</f>
        <v/>
      </c>
      <c r="K58" s="17">
        <f>MAX(0,$F58-INDEX(Grid_Stock[#Data],50,$P$7+3))</f>
        <v/>
      </c>
      <c r="L58" s="17">
        <f>MAX(0,$F58-INDEX(Grid_Stock[#Data],50,$P$7+4))</f>
        <v/>
      </c>
      <c r="M58" s="17">
        <f>MAX(0,$F58-INDEX(Grid_Stock[#Data],50,$P$7+5))</f>
        <v/>
      </c>
      <c r="N58" s="17">
        <f>MAX(0,$F58-INDEX(Grid_Stock[#Data],50,$P$7+6))</f>
        <v/>
      </c>
      <c r="O58" s="17">
        <f>MAX(0,$F58-INDEX(Grid_Stock[#Data],50,$P$7+7))</f>
        <v/>
      </c>
      <c r="P58" s="17">
        <f>MAX(0,$F58-INDEX(Grid_Stock[#Data],50,$P$7+8))</f>
        <v/>
      </c>
      <c r="Q58" s="17">
        <f>MAX(0,$F58-INDEX(Grid_Stock[#Data],50,$P$7+9))</f>
        <v/>
      </c>
      <c r="R58" s="17">
        <f>MAX(0,$F58-INDEX(Grid_Stock[#Data],50,$P$7+10))</f>
        <v/>
      </c>
      <c r="S58" s="17">
        <f>MAX(0,$F58-INDEX(Grid_Stock[#Data],50,$P$7+11))</f>
        <v/>
      </c>
      <c r="T58" s="17">
        <f>MAX(0,$F58-INDEX(Grid_Stock[#Data],50,$P$7+12))</f>
        <v/>
      </c>
      <c r="U58" s="17">
        <f>SUM(H58:T58)</f>
        <v/>
      </c>
    </row>
    <row r="59">
      <c r="B59" s="15">
        <f>IFERROR(INDEX(M_RawMaterials[Description],MATCH("CHEM-1520",M_RawMaterials[RM_Code],0)),"")</f>
        <v/>
      </c>
      <c r="C59" s="15" t="inlineStr">
        <is>
          <t>71388005301</t>
        </is>
      </c>
      <c r="D59" s="15" t="inlineStr">
        <is>
          <t>CHEM-1520</t>
        </is>
      </c>
      <c r="E59" s="15" t="inlineStr">
        <is>
          <t>kg</t>
        </is>
      </c>
      <c r="F59" s="15">
        <f>IFERROR(INDEX(M_RawMaterials[基準在庫下限_要入力],MATCH("CHEM-1520",M_RawMaterials[RM_Code],0)),0)</f>
        <v/>
      </c>
      <c r="G59" s="15">
        <f>INDEX(Grid_Stock[#Data],51,$P$7)</f>
        <v/>
      </c>
      <c r="H59" s="15">
        <f>MAX(0,$F59-INDEX(Grid_Stock[#Data],51,$P$7+0))</f>
        <v/>
      </c>
      <c r="I59" s="15">
        <f>MAX(0,$F59-INDEX(Grid_Stock[#Data],51,$P$7+1))</f>
        <v/>
      </c>
      <c r="J59" s="15">
        <f>MAX(0,$F59-INDEX(Grid_Stock[#Data],51,$P$7+2))</f>
        <v/>
      </c>
      <c r="K59" s="15">
        <f>MAX(0,$F59-INDEX(Grid_Stock[#Data],51,$P$7+3))</f>
        <v/>
      </c>
      <c r="L59" s="15">
        <f>MAX(0,$F59-INDEX(Grid_Stock[#Data],51,$P$7+4))</f>
        <v/>
      </c>
      <c r="M59" s="15">
        <f>MAX(0,$F59-INDEX(Grid_Stock[#Data],51,$P$7+5))</f>
        <v/>
      </c>
      <c r="N59" s="15">
        <f>MAX(0,$F59-INDEX(Grid_Stock[#Data],51,$P$7+6))</f>
        <v/>
      </c>
      <c r="O59" s="15">
        <f>MAX(0,$F59-INDEX(Grid_Stock[#Data],51,$P$7+7))</f>
        <v/>
      </c>
      <c r="P59" s="15">
        <f>MAX(0,$F59-INDEX(Grid_Stock[#Data],51,$P$7+8))</f>
        <v/>
      </c>
      <c r="Q59" s="15">
        <f>MAX(0,$F59-INDEX(Grid_Stock[#Data],51,$P$7+9))</f>
        <v/>
      </c>
      <c r="R59" s="15">
        <f>MAX(0,$F59-INDEX(Grid_Stock[#Data],51,$P$7+10))</f>
        <v/>
      </c>
      <c r="S59" s="15">
        <f>MAX(0,$F59-INDEX(Grid_Stock[#Data],51,$P$7+11))</f>
        <v/>
      </c>
      <c r="T59" s="15">
        <f>MAX(0,$F59-INDEX(Grid_Stock[#Data],51,$P$7+12))</f>
        <v/>
      </c>
      <c r="U59" s="15">
        <f>SUM(H59:T59)</f>
        <v/>
      </c>
    </row>
    <row r="60">
      <c r="B60" s="17">
        <f>IFERROR(INDEX(M_RawMaterials[Description],MATCH("CHEM-1580",M_RawMaterials[RM_Code],0)),"")</f>
        <v/>
      </c>
      <c r="C60" s="17" t="inlineStr">
        <is>
          <t>71288614301</t>
        </is>
      </c>
      <c r="D60" s="17" t="inlineStr">
        <is>
          <t>CHEM-1580</t>
        </is>
      </c>
      <c r="E60" s="17" t="inlineStr">
        <is>
          <t>kg</t>
        </is>
      </c>
      <c r="F60" s="17">
        <f>IFERROR(INDEX(M_RawMaterials[基準在庫下限_要入力],MATCH("CHEM-1580",M_RawMaterials[RM_Code],0)),0)</f>
        <v/>
      </c>
      <c r="G60" s="17">
        <f>INDEX(Grid_Stock[#Data],52,$P$7)</f>
        <v/>
      </c>
      <c r="H60" s="17">
        <f>MAX(0,$F60-INDEX(Grid_Stock[#Data],52,$P$7+0))</f>
        <v/>
      </c>
      <c r="I60" s="17">
        <f>MAX(0,$F60-INDEX(Grid_Stock[#Data],52,$P$7+1))</f>
        <v/>
      </c>
      <c r="J60" s="17">
        <f>MAX(0,$F60-INDEX(Grid_Stock[#Data],52,$P$7+2))</f>
        <v/>
      </c>
      <c r="K60" s="17">
        <f>MAX(0,$F60-INDEX(Grid_Stock[#Data],52,$P$7+3))</f>
        <v/>
      </c>
      <c r="L60" s="17">
        <f>MAX(0,$F60-INDEX(Grid_Stock[#Data],52,$P$7+4))</f>
        <v/>
      </c>
      <c r="M60" s="17">
        <f>MAX(0,$F60-INDEX(Grid_Stock[#Data],52,$P$7+5))</f>
        <v/>
      </c>
      <c r="N60" s="17">
        <f>MAX(0,$F60-INDEX(Grid_Stock[#Data],52,$P$7+6))</f>
        <v/>
      </c>
      <c r="O60" s="17">
        <f>MAX(0,$F60-INDEX(Grid_Stock[#Data],52,$P$7+7))</f>
        <v/>
      </c>
      <c r="P60" s="17">
        <f>MAX(0,$F60-INDEX(Grid_Stock[#Data],52,$P$7+8))</f>
        <v/>
      </c>
      <c r="Q60" s="17">
        <f>MAX(0,$F60-INDEX(Grid_Stock[#Data],52,$P$7+9))</f>
        <v/>
      </c>
      <c r="R60" s="17">
        <f>MAX(0,$F60-INDEX(Grid_Stock[#Data],52,$P$7+10))</f>
        <v/>
      </c>
      <c r="S60" s="17">
        <f>MAX(0,$F60-INDEX(Grid_Stock[#Data],52,$P$7+11))</f>
        <v/>
      </c>
      <c r="T60" s="17">
        <f>MAX(0,$F60-INDEX(Grid_Stock[#Data],52,$P$7+12))</f>
        <v/>
      </c>
      <c r="U60" s="17">
        <f>SUM(H60:T60)</f>
        <v/>
      </c>
    </row>
    <row r="61">
      <c r="B61" s="15">
        <f>IFERROR(INDEX(M_RawMaterials[Description],MATCH("CHEM-1550",M_RawMaterials[RM_Code],0)),"")</f>
        <v/>
      </c>
      <c r="C61" s="15" t="inlineStr">
        <is>
          <t>71288624901</t>
        </is>
      </c>
      <c r="D61" s="15" t="inlineStr">
        <is>
          <t>CHEM-1550</t>
        </is>
      </c>
      <c r="E61" s="15" t="inlineStr">
        <is>
          <t>kg</t>
        </is>
      </c>
      <c r="F61" s="15">
        <f>IFERROR(INDEX(M_RawMaterials[基準在庫下限_要入力],MATCH("CHEM-1550",M_RawMaterials[RM_Code],0)),0)</f>
        <v/>
      </c>
      <c r="G61" s="15">
        <f>INDEX(Grid_Stock[#Data],53,$P$7)</f>
        <v/>
      </c>
      <c r="H61" s="15">
        <f>MAX(0,$F61-INDEX(Grid_Stock[#Data],53,$P$7+0))</f>
        <v/>
      </c>
      <c r="I61" s="15">
        <f>MAX(0,$F61-INDEX(Grid_Stock[#Data],53,$P$7+1))</f>
        <v/>
      </c>
      <c r="J61" s="15">
        <f>MAX(0,$F61-INDEX(Grid_Stock[#Data],53,$P$7+2))</f>
        <v/>
      </c>
      <c r="K61" s="15">
        <f>MAX(0,$F61-INDEX(Grid_Stock[#Data],53,$P$7+3))</f>
        <v/>
      </c>
      <c r="L61" s="15">
        <f>MAX(0,$F61-INDEX(Grid_Stock[#Data],53,$P$7+4))</f>
        <v/>
      </c>
      <c r="M61" s="15">
        <f>MAX(0,$F61-INDEX(Grid_Stock[#Data],53,$P$7+5))</f>
        <v/>
      </c>
      <c r="N61" s="15">
        <f>MAX(0,$F61-INDEX(Grid_Stock[#Data],53,$P$7+6))</f>
        <v/>
      </c>
      <c r="O61" s="15">
        <f>MAX(0,$F61-INDEX(Grid_Stock[#Data],53,$P$7+7))</f>
        <v/>
      </c>
      <c r="P61" s="15">
        <f>MAX(0,$F61-INDEX(Grid_Stock[#Data],53,$P$7+8))</f>
        <v/>
      </c>
      <c r="Q61" s="15">
        <f>MAX(0,$F61-INDEX(Grid_Stock[#Data],53,$P$7+9))</f>
        <v/>
      </c>
      <c r="R61" s="15">
        <f>MAX(0,$F61-INDEX(Grid_Stock[#Data],53,$P$7+10))</f>
        <v/>
      </c>
      <c r="S61" s="15">
        <f>MAX(0,$F61-INDEX(Grid_Stock[#Data],53,$P$7+11))</f>
        <v/>
      </c>
      <c r="T61" s="15">
        <f>MAX(0,$F61-INDEX(Grid_Stock[#Data],53,$P$7+12))</f>
        <v/>
      </c>
      <c r="U61" s="15">
        <f>SUM(H61:T61)</f>
        <v/>
      </c>
    </row>
    <row r="62">
      <c r="B62" s="17">
        <f>IFERROR(INDEX(M_RawMaterials[Description],MATCH("CHEM-1510",M_RawMaterials[RM_Code],0)),"")</f>
        <v/>
      </c>
      <c r="C62" s="17" t="inlineStr">
        <is>
          <t>71288625001</t>
        </is>
      </c>
      <c r="D62" s="17" t="inlineStr">
        <is>
          <t>CHEM-1510</t>
        </is>
      </c>
      <c r="E62" s="17" t="inlineStr">
        <is>
          <t>kg</t>
        </is>
      </c>
      <c r="F62" s="17">
        <f>IFERROR(INDEX(M_RawMaterials[基準在庫下限_要入力],MATCH("CHEM-1510",M_RawMaterials[RM_Code],0)),0)</f>
        <v/>
      </c>
      <c r="G62" s="17">
        <f>INDEX(Grid_Stock[#Data],54,$P$7)</f>
        <v/>
      </c>
      <c r="H62" s="17">
        <f>MAX(0,$F62-INDEX(Grid_Stock[#Data],54,$P$7+0))</f>
        <v/>
      </c>
      <c r="I62" s="17">
        <f>MAX(0,$F62-INDEX(Grid_Stock[#Data],54,$P$7+1))</f>
        <v/>
      </c>
      <c r="J62" s="17">
        <f>MAX(0,$F62-INDEX(Grid_Stock[#Data],54,$P$7+2))</f>
        <v/>
      </c>
      <c r="K62" s="17">
        <f>MAX(0,$F62-INDEX(Grid_Stock[#Data],54,$P$7+3))</f>
        <v/>
      </c>
      <c r="L62" s="17">
        <f>MAX(0,$F62-INDEX(Grid_Stock[#Data],54,$P$7+4))</f>
        <v/>
      </c>
      <c r="M62" s="17">
        <f>MAX(0,$F62-INDEX(Grid_Stock[#Data],54,$P$7+5))</f>
        <v/>
      </c>
      <c r="N62" s="17">
        <f>MAX(0,$F62-INDEX(Grid_Stock[#Data],54,$P$7+6))</f>
        <v/>
      </c>
      <c r="O62" s="17">
        <f>MAX(0,$F62-INDEX(Grid_Stock[#Data],54,$P$7+7))</f>
        <v/>
      </c>
      <c r="P62" s="17">
        <f>MAX(0,$F62-INDEX(Grid_Stock[#Data],54,$P$7+8))</f>
        <v/>
      </c>
      <c r="Q62" s="17">
        <f>MAX(0,$F62-INDEX(Grid_Stock[#Data],54,$P$7+9))</f>
        <v/>
      </c>
      <c r="R62" s="17">
        <f>MAX(0,$F62-INDEX(Grid_Stock[#Data],54,$P$7+10))</f>
        <v/>
      </c>
      <c r="S62" s="17">
        <f>MAX(0,$F62-INDEX(Grid_Stock[#Data],54,$P$7+11))</f>
        <v/>
      </c>
      <c r="T62" s="17">
        <f>MAX(0,$F62-INDEX(Grid_Stock[#Data],54,$P$7+12))</f>
        <v/>
      </c>
      <c r="U62" s="17">
        <f>SUM(H62:T62)</f>
        <v/>
      </c>
    </row>
    <row r="63">
      <c r="B63" s="15">
        <f>IFERROR(INDEX(M_RawMaterials[Description],MATCH("CHEM-1080",M_RawMaterials[RM_Code],0)),"")</f>
        <v/>
      </c>
      <c r="C63" s="15" t="inlineStr">
        <is>
          <t>839880043</t>
        </is>
      </c>
      <c r="D63" s="15" t="inlineStr">
        <is>
          <t>CHEM-1080</t>
        </is>
      </c>
      <c r="E63" s="15" t="inlineStr">
        <is>
          <t>kg</t>
        </is>
      </c>
      <c r="F63" s="15">
        <f>IFERROR(INDEX(M_RawMaterials[基準在庫下限_要入力],MATCH("CHEM-1080",M_RawMaterials[RM_Code],0)),0)</f>
        <v/>
      </c>
      <c r="G63" s="15">
        <f>INDEX(Grid_Stock[#Data],55,$P$7)</f>
        <v/>
      </c>
      <c r="H63" s="15">
        <f>MAX(0,$F63-INDEX(Grid_Stock[#Data],55,$P$7+0))</f>
        <v/>
      </c>
      <c r="I63" s="15">
        <f>MAX(0,$F63-INDEX(Grid_Stock[#Data],55,$P$7+1))</f>
        <v/>
      </c>
      <c r="J63" s="15">
        <f>MAX(0,$F63-INDEX(Grid_Stock[#Data],55,$P$7+2))</f>
        <v/>
      </c>
      <c r="K63" s="15">
        <f>MAX(0,$F63-INDEX(Grid_Stock[#Data],55,$P$7+3))</f>
        <v/>
      </c>
      <c r="L63" s="15">
        <f>MAX(0,$F63-INDEX(Grid_Stock[#Data],55,$P$7+4))</f>
        <v/>
      </c>
      <c r="M63" s="15">
        <f>MAX(0,$F63-INDEX(Grid_Stock[#Data],55,$P$7+5))</f>
        <v/>
      </c>
      <c r="N63" s="15">
        <f>MAX(0,$F63-INDEX(Grid_Stock[#Data],55,$P$7+6))</f>
        <v/>
      </c>
      <c r="O63" s="15">
        <f>MAX(0,$F63-INDEX(Grid_Stock[#Data],55,$P$7+7))</f>
        <v/>
      </c>
      <c r="P63" s="15">
        <f>MAX(0,$F63-INDEX(Grid_Stock[#Data],55,$P$7+8))</f>
        <v/>
      </c>
      <c r="Q63" s="15">
        <f>MAX(0,$F63-INDEX(Grid_Stock[#Data],55,$P$7+9))</f>
        <v/>
      </c>
      <c r="R63" s="15">
        <f>MAX(0,$F63-INDEX(Grid_Stock[#Data],55,$P$7+10))</f>
        <v/>
      </c>
      <c r="S63" s="15">
        <f>MAX(0,$F63-INDEX(Grid_Stock[#Data],55,$P$7+11))</f>
        <v/>
      </c>
      <c r="T63" s="15">
        <f>MAX(0,$F63-INDEX(Grid_Stock[#Data],55,$P$7+12))</f>
        <v/>
      </c>
      <c r="U63" s="15">
        <f>SUM(H63:T63)</f>
        <v/>
      </c>
    </row>
    <row r="64">
      <c r="B64" s="17">
        <f>IFERROR(INDEX(M_RawMaterials[Description],MATCH("CHEM-1770",M_RawMaterials[RM_Code],0)),"")</f>
        <v/>
      </c>
      <c r="C64" s="17" t="inlineStr">
        <is>
          <t>New</t>
        </is>
      </c>
      <c r="D64" s="17" t="inlineStr">
        <is>
          <t>CHEM-1770</t>
        </is>
      </c>
      <c r="E64" s="17" t="inlineStr">
        <is>
          <t>kg</t>
        </is>
      </c>
      <c r="F64" s="17">
        <f>IFERROR(INDEX(M_RawMaterials[基準在庫下限_要入力],MATCH("CHEM-1770",M_RawMaterials[RM_Code],0)),0)</f>
        <v/>
      </c>
      <c r="G64" s="17">
        <f>INDEX(Grid_Stock[#Data],56,$P$7)</f>
        <v/>
      </c>
      <c r="H64" s="17">
        <f>MAX(0,$F64-INDEX(Grid_Stock[#Data],56,$P$7+0))</f>
        <v/>
      </c>
      <c r="I64" s="17">
        <f>MAX(0,$F64-INDEX(Grid_Stock[#Data],56,$P$7+1))</f>
        <v/>
      </c>
      <c r="J64" s="17">
        <f>MAX(0,$F64-INDEX(Grid_Stock[#Data],56,$P$7+2))</f>
        <v/>
      </c>
      <c r="K64" s="17">
        <f>MAX(0,$F64-INDEX(Grid_Stock[#Data],56,$P$7+3))</f>
        <v/>
      </c>
      <c r="L64" s="17">
        <f>MAX(0,$F64-INDEX(Grid_Stock[#Data],56,$P$7+4))</f>
        <v/>
      </c>
      <c r="M64" s="17">
        <f>MAX(0,$F64-INDEX(Grid_Stock[#Data],56,$P$7+5))</f>
        <v/>
      </c>
      <c r="N64" s="17">
        <f>MAX(0,$F64-INDEX(Grid_Stock[#Data],56,$P$7+6))</f>
        <v/>
      </c>
      <c r="O64" s="17">
        <f>MAX(0,$F64-INDEX(Grid_Stock[#Data],56,$P$7+7))</f>
        <v/>
      </c>
      <c r="P64" s="17">
        <f>MAX(0,$F64-INDEX(Grid_Stock[#Data],56,$P$7+8))</f>
        <v/>
      </c>
      <c r="Q64" s="17">
        <f>MAX(0,$F64-INDEX(Grid_Stock[#Data],56,$P$7+9))</f>
        <v/>
      </c>
      <c r="R64" s="17">
        <f>MAX(0,$F64-INDEX(Grid_Stock[#Data],56,$P$7+10))</f>
        <v/>
      </c>
      <c r="S64" s="17">
        <f>MAX(0,$F64-INDEX(Grid_Stock[#Data],56,$P$7+11))</f>
        <v/>
      </c>
      <c r="T64" s="17">
        <f>MAX(0,$F64-INDEX(Grid_Stock[#Data],56,$P$7+12))</f>
        <v/>
      </c>
      <c r="U64" s="17">
        <f>SUM(H64:T64)</f>
        <v/>
      </c>
    </row>
    <row r="65">
      <c r="B65" s="15">
        <f>IFERROR(INDEX(M_RawMaterials[Description],MATCH("CHEM-1850",M_RawMaterials[RM_Code],0)),"")</f>
        <v/>
      </c>
      <c r="C65" s="15" t="inlineStr">
        <is>
          <t>kg</t>
        </is>
      </c>
      <c r="D65" s="15" t="inlineStr">
        <is>
          <t>CHEM-1850</t>
        </is>
      </c>
      <c r="E65" s="15" t="inlineStr">
        <is>
          <t>kg</t>
        </is>
      </c>
      <c r="F65" s="15">
        <f>IFERROR(INDEX(M_RawMaterials[基準在庫下限_要入力],MATCH("CHEM-1850",M_RawMaterials[RM_Code],0)),0)</f>
        <v/>
      </c>
      <c r="G65" s="15">
        <f>INDEX(Grid_Stock[#Data],57,$P$7)</f>
        <v/>
      </c>
      <c r="H65" s="15">
        <f>MAX(0,$F65-INDEX(Grid_Stock[#Data],57,$P$7+0))</f>
        <v/>
      </c>
      <c r="I65" s="15">
        <f>MAX(0,$F65-INDEX(Grid_Stock[#Data],57,$P$7+1))</f>
        <v/>
      </c>
      <c r="J65" s="15">
        <f>MAX(0,$F65-INDEX(Grid_Stock[#Data],57,$P$7+2))</f>
        <v/>
      </c>
      <c r="K65" s="15">
        <f>MAX(0,$F65-INDEX(Grid_Stock[#Data],57,$P$7+3))</f>
        <v/>
      </c>
      <c r="L65" s="15">
        <f>MAX(0,$F65-INDEX(Grid_Stock[#Data],57,$P$7+4))</f>
        <v/>
      </c>
      <c r="M65" s="15">
        <f>MAX(0,$F65-INDEX(Grid_Stock[#Data],57,$P$7+5))</f>
        <v/>
      </c>
      <c r="N65" s="15">
        <f>MAX(0,$F65-INDEX(Grid_Stock[#Data],57,$P$7+6))</f>
        <v/>
      </c>
      <c r="O65" s="15">
        <f>MAX(0,$F65-INDEX(Grid_Stock[#Data],57,$P$7+7))</f>
        <v/>
      </c>
      <c r="P65" s="15">
        <f>MAX(0,$F65-INDEX(Grid_Stock[#Data],57,$P$7+8))</f>
        <v/>
      </c>
      <c r="Q65" s="15">
        <f>MAX(0,$F65-INDEX(Grid_Stock[#Data],57,$P$7+9))</f>
        <v/>
      </c>
      <c r="R65" s="15">
        <f>MAX(0,$F65-INDEX(Grid_Stock[#Data],57,$P$7+10))</f>
        <v/>
      </c>
      <c r="S65" s="15">
        <f>MAX(0,$F65-INDEX(Grid_Stock[#Data],57,$P$7+11))</f>
        <v/>
      </c>
      <c r="T65" s="15">
        <f>MAX(0,$F65-INDEX(Grid_Stock[#Data],57,$P$7+12))</f>
        <v/>
      </c>
      <c r="U65" s="15">
        <f>SUM(H65:T65)</f>
        <v/>
      </c>
    </row>
    <row r="66">
      <c r="B66" s="17">
        <f>IFERROR(INDEX(M_RawMaterials[Description],MATCH("CHEM-1780",M_RawMaterials[RM_Code],0)),"")</f>
        <v/>
      </c>
      <c r="C66" s="17" t="inlineStr">
        <is>
          <t>New</t>
        </is>
      </c>
      <c r="D66" s="17" t="inlineStr">
        <is>
          <t>CHEM-1780</t>
        </is>
      </c>
      <c r="E66" s="17" t="inlineStr">
        <is>
          <t>kg</t>
        </is>
      </c>
      <c r="F66" s="17">
        <f>IFERROR(INDEX(M_RawMaterials[基準在庫下限_要入力],MATCH("CHEM-1780",M_RawMaterials[RM_Code],0)),0)</f>
        <v/>
      </c>
      <c r="G66" s="17">
        <f>INDEX(Grid_Stock[#Data],58,$P$7)</f>
        <v/>
      </c>
      <c r="H66" s="17">
        <f>MAX(0,$F66-INDEX(Grid_Stock[#Data],58,$P$7+0))</f>
        <v/>
      </c>
      <c r="I66" s="17">
        <f>MAX(0,$F66-INDEX(Grid_Stock[#Data],58,$P$7+1))</f>
        <v/>
      </c>
      <c r="J66" s="17">
        <f>MAX(0,$F66-INDEX(Grid_Stock[#Data],58,$P$7+2))</f>
        <v/>
      </c>
      <c r="K66" s="17">
        <f>MAX(0,$F66-INDEX(Grid_Stock[#Data],58,$P$7+3))</f>
        <v/>
      </c>
      <c r="L66" s="17">
        <f>MAX(0,$F66-INDEX(Grid_Stock[#Data],58,$P$7+4))</f>
        <v/>
      </c>
      <c r="M66" s="17">
        <f>MAX(0,$F66-INDEX(Grid_Stock[#Data],58,$P$7+5))</f>
        <v/>
      </c>
      <c r="N66" s="17">
        <f>MAX(0,$F66-INDEX(Grid_Stock[#Data],58,$P$7+6))</f>
        <v/>
      </c>
      <c r="O66" s="17">
        <f>MAX(0,$F66-INDEX(Grid_Stock[#Data],58,$P$7+7))</f>
        <v/>
      </c>
      <c r="P66" s="17">
        <f>MAX(0,$F66-INDEX(Grid_Stock[#Data],58,$P$7+8))</f>
        <v/>
      </c>
      <c r="Q66" s="17">
        <f>MAX(0,$F66-INDEX(Grid_Stock[#Data],58,$P$7+9))</f>
        <v/>
      </c>
      <c r="R66" s="17">
        <f>MAX(0,$F66-INDEX(Grid_Stock[#Data],58,$P$7+10))</f>
        <v/>
      </c>
      <c r="S66" s="17">
        <f>MAX(0,$F66-INDEX(Grid_Stock[#Data],58,$P$7+11))</f>
        <v/>
      </c>
      <c r="T66" s="17">
        <f>MAX(0,$F66-INDEX(Grid_Stock[#Data],58,$P$7+12))</f>
        <v/>
      </c>
      <c r="U66" s="17">
        <f>SUM(H66:T66)</f>
        <v/>
      </c>
    </row>
    <row r="67">
      <c r="B67" s="15">
        <f>IFERROR(INDEX(M_RawMaterials[Description],MATCH("CHEM-1020",M_RawMaterials[RM_Code],0)),"")</f>
        <v/>
      </c>
      <c r="C67" s="15" t="inlineStr"/>
      <c r="D67" s="15" t="inlineStr">
        <is>
          <t>CHEM-1020</t>
        </is>
      </c>
      <c r="E67" s="15" t="inlineStr">
        <is>
          <t>kg</t>
        </is>
      </c>
      <c r="F67" s="15">
        <f>IFERROR(INDEX(M_RawMaterials[基準在庫下限_要入力],MATCH("CHEM-1020",M_RawMaterials[RM_Code],0)),0)</f>
        <v/>
      </c>
      <c r="G67" s="15">
        <f>INDEX(Grid_Stock[#Data],59,$P$7)</f>
        <v/>
      </c>
      <c r="H67" s="15">
        <f>MAX(0,$F67-INDEX(Grid_Stock[#Data],59,$P$7+0))</f>
        <v/>
      </c>
      <c r="I67" s="15">
        <f>MAX(0,$F67-INDEX(Grid_Stock[#Data],59,$P$7+1))</f>
        <v/>
      </c>
      <c r="J67" s="15">
        <f>MAX(0,$F67-INDEX(Grid_Stock[#Data],59,$P$7+2))</f>
        <v/>
      </c>
      <c r="K67" s="15">
        <f>MAX(0,$F67-INDEX(Grid_Stock[#Data],59,$P$7+3))</f>
        <v/>
      </c>
      <c r="L67" s="15">
        <f>MAX(0,$F67-INDEX(Grid_Stock[#Data],59,$P$7+4))</f>
        <v/>
      </c>
      <c r="M67" s="15">
        <f>MAX(0,$F67-INDEX(Grid_Stock[#Data],59,$P$7+5))</f>
        <v/>
      </c>
      <c r="N67" s="15">
        <f>MAX(0,$F67-INDEX(Grid_Stock[#Data],59,$P$7+6))</f>
        <v/>
      </c>
      <c r="O67" s="15">
        <f>MAX(0,$F67-INDEX(Grid_Stock[#Data],59,$P$7+7))</f>
        <v/>
      </c>
      <c r="P67" s="15">
        <f>MAX(0,$F67-INDEX(Grid_Stock[#Data],59,$P$7+8))</f>
        <v/>
      </c>
      <c r="Q67" s="15">
        <f>MAX(0,$F67-INDEX(Grid_Stock[#Data],59,$P$7+9))</f>
        <v/>
      </c>
      <c r="R67" s="15">
        <f>MAX(0,$F67-INDEX(Grid_Stock[#Data],59,$P$7+10))</f>
        <v/>
      </c>
      <c r="S67" s="15">
        <f>MAX(0,$F67-INDEX(Grid_Stock[#Data],59,$P$7+11))</f>
        <v/>
      </c>
      <c r="T67" s="15">
        <f>MAX(0,$F67-INDEX(Grid_Stock[#Data],59,$P$7+12))</f>
        <v/>
      </c>
      <c r="U67" s="15">
        <f>SUM(H67:T67)</f>
        <v/>
      </c>
    </row>
    <row r="68">
      <c r="B68" s="17">
        <f>IFERROR(INDEX(M_RawMaterials[Description],MATCH("CSA Code",M_RawMaterials[RM_Code],0)),"")</f>
        <v/>
      </c>
      <c r="C68" s="17" t="inlineStr"/>
      <c r="D68" s="17" t="inlineStr">
        <is>
          <t>CSA Code</t>
        </is>
      </c>
      <c r="E68" s="17" t="inlineStr">
        <is>
          <t>kg</t>
        </is>
      </c>
      <c r="F68" s="17">
        <f>IFERROR(INDEX(M_RawMaterials[基準在庫下限_要入力],MATCH("CSA Code",M_RawMaterials[RM_Code],0)),0)</f>
        <v/>
      </c>
      <c r="G68" s="17">
        <f>INDEX(Grid_Stock[#Data],60,$P$7)</f>
        <v/>
      </c>
      <c r="H68" s="17">
        <f>MAX(0,$F68-INDEX(Grid_Stock[#Data],60,$P$7+0))</f>
        <v/>
      </c>
      <c r="I68" s="17">
        <f>MAX(0,$F68-INDEX(Grid_Stock[#Data],60,$P$7+1))</f>
        <v/>
      </c>
      <c r="J68" s="17">
        <f>MAX(0,$F68-INDEX(Grid_Stock[#Data],60,$P$7+2))</f>
        <v/>
      </c>
      <c r="K68" s="17">
        <f>MAX(0,$F68-INDEX(Grid_Stock[#Data],60,$P$7+3))</f>
        <v/>
      </c>
      <c r="L68" s="17">
        <f>MAX(0,$F68-INDEX(Grid_Stock[#Data],60,$P$7+4))</f>
        <v/>
      </c>
      <c r="M68" s="17">
        <f>MAX(0,$F68-INDEX(Grid_Stock[#Data],60,$P$7+5))</f>
        <v/>
      </c>
      <c r="N68" s="17">
        <f>MAX(0,$F68-INDEX(Grid_Stock[#Data],60,$P$7+6))</f>
        <v/>
      </c>
      <c r="O68" s="17">
        <f>MAX(0,$F68-INDEX(Grid_Stock[#Data],60,$P$7+7))</f>
        <v/>
      </c>
      <c r="P68" s="17">
        <f>MAX(0,$F68-INDEX(Grid_Stock[#Data],60,$P$7+8))</f>
        <v/>
      </c>
      <c r="Q68" s="17">
        <f>MAX(0,$F68-INDEX(Grid_Stock[#Data],60,$P$7+9))</f>
        <v/>
      </c>
      <c r="R68" s="17">
        <f>MAX(0,$F68-INDEX(Grid_Stock[#Data],60,$P$7+10))</f>
        <v/>
      </c>
      <c r="S68" s="17">
        <f>MAX(0,$F68-INDEX(Grid_Stock[#Data],60,$P$7+11))</f>
        <v/>
      </c>
      <c r="T68" s="17">
        <f>MAX(0,$F68-INDEX(Grid_Stock[#Data],60,$P$7+12))</f>
        <v/>
      </c>
      <c r="U68" s="17">
        <f>SUM(H68:T68)</f>
        <v/>
      </c>
    </row>
    <row r="69">
      <c r="B69" s="15">
        <f>IFERROR(INDEX(M_RawMaterials[Description],MATCH("1JN",M_RawMaterials[RM_Code],0)),"")</f>
        <v/>
      </c>
      <c r="C69" s="15" t="inlineStr"/>
      <c r="D69" s="15" t="inlineStr">
        <is>
          <t>1JN</t>
        </is>
      </c>
      <c r="E69" s="15" t="inlineStr">
        <is>
          <t>kg</t>
        </is>
      </c>
      <c r="F69" s="15">
        <f>IFERROR(INDEX(M_RawMaterials[基準在庫下限_要入力],MATCH("1JN",M_RawMaterials[RM_Code],0)),0)</f>
        <v/>
      </c>
      <c r="G69" s="15">
        <f>INDEX(Grid_Stock[#Data],64,$P$7)</f>
        <v/>
      </c>
      <c r="H69" s="15">
        <f>MAX(0,$F69-INDEX(Grid_Stock[#Data],64,$P$7+0))</f>
        <v/>
      </c>
      <c r="I69" s="15">
        <f>MAX(0,$F69-INDEX(Grid_Stock[#Data],64,$P$7+1))</f>
        <v/>
      </c>
      <c r="J69" s="15">
        <f>MAX(0,$F69-INDEX(Grid_Stock[#Data],64,$P$7+2))</f>
        <v/>
      </c>
      <c r="K69" s="15">
        <f>MAX(0,$F69-INDEX(Grid_Stock[#Data],64,$P$7+3))</f>
        <v/>
      </c>
      <c r="L69" s="15">
        <f>MAX(0,$F69-INDEX(Grid_Stock[#Data],64,$P$7+4))</f>
        <v/>
      </c>
      <c r="M69" s="15">
        <f>MAX(0,$F69-INDEX(Grid_Stock[#Data],64,$P$7+5))</f>
        <v/>
      </c>
      <c r="N69" s="15">
        <f>MAX(0,$F69-INDEX(Grid_Stock[#Data],64,$P$7+6))</f>
        <v/>
      </c>
      <c r="O69" s="15">
        <f>MAX(0,$F69-INDEX(Grid_Stock[#Data],64,$P$7+7))</f>
        <v/>
      </c>
      <c r="P69" s="15">
        <f>MAX(0,$F69-INDEX(Grid_Stock[#Data],64,$P$7+8))</f>
        <v/>
      </c>
      <c r="Q69" s="15">
        <f>MAX(0,$F69-INDEX(Grid_Stock[#Data],64,$P$7+9))</f>
        <v/>
      </c>
      <c r="R69" s="15">
        <f>MAX(0,$F69-INDEX(Grid_Stock[#Data],64,$P$7+10))</f>
        <v/>
      </c>
      <c r="S69" s="15">
        <f>MAX(0,$F69-INDEX(Grid_Stock[#Data],64,$P$7+11))</f>
        <v/>
      </c>
      <c r="T69" s="15">
        <f>MAX(0,$F69-INDEX(Grid_Stock[#Data],64,$P$7+12))</f>
        <v/>
      </c>
      <c r="U69" s="15">
        <f>SUM(H69:T69)</f>
        <v/>
      </c>
    </row>
    <row r="70">
      <c r="B70" s="17">
        <f>IFERROR(INDEX(M_RawMaterials[Description],MATCH("V03",M_RawMaterials[RM_Code],0)),"")</f>
        <v/>
      </c>
      <c r="C70" s="17" t="inlineStr"/>
      <c r="D70" s="17" t="inlineStr">
        <is>
          <t>V03</t>
        </is>
      </c>
      <c r="E70" s="17" t="inlineStr">
        <is>
          <t>kg</t>
        </is>
      </c>
      <c r="F70" s="17">
        <f>IFERROR(INDEX(M_RawMaterials[基準在庫下限_要入力],MATCH("V03",M_RawMaterials[RM_Code],0)),0)</f>
        <v/>
      </c>
      <c r="G70" s="17">
        <f>INDEX(Grid_Stock[#Data],65,$P$7)</f>
        <v/>
      </c>
      <c r="H70" s="17">
        <f>MAX(0,$F70-INDEX(Grid_Stock[#Data],65,$P$7+0))</f>
        <v/>
      </c>
      <c r="I70" s="17">
        <f>MAX(0,$F70-INDEX(Grid_Stock[#Data],65,$P$7+1))</f>
        <v/>
      </c>
      <c r="J70" s="17">
        <f>MAX(0,$F70-INDEX(Grid_Stock[#Data],65,$P$7+2))</f>
        <v/>
      </c>
      <c r="K70" s="17">
        <f>MAX(0,$F70-INDEX(Grid_Stock[#Data],65,$P$7+3))</f>
        <v/>
      </c>
      <c r="L70" s="17">
        <f>MAX(0,$F70-INDEX(Grid_Stock[#Data],65,$P$7+4))</f>
        <v/>
      </c>
      <c r="M70" s="17">
        <f>MAX(0,$F70-INDEX(Grid_Stock[#Data],65,$P$7+5))</f>
        <v/>
      </c>
      <c r="N70" s="17">
        <f>MAX(0,$F70-INDEX(Grid_Stock[#Data],65,$P$7+6))</f>
        <v/>
      </c>
      <c r="O70" s="17">
        <f>MAX(0,$F70-INDEX(Grid_Stock[#Data],65,$P$7+7))</f>
        <v/>
      </c>
      <c r="P70" s="17">
        <f>MAX(0,$F70-INDEX(Grid_Stock[#Data],65,$P$7+8))</f>
        <v/>
      </c>
      <c r="Q70" s="17">
        <f>MAX(0,$F70-INDEX(Grid_Stock[#Data],65,$P$7+9))</f>
        <v/>
      </c>
      <c r="R70" s="17">
        <f>MAX(0,$F70-INDEX(Grid_Stock[#Data],65,$P$7+10))</f>
        <v/>
      </c>
      <c r="S70" s="17">
        <f>MAX(0,$F70-INDEX(Grid_Stock[#Data],65,$P$7+11))</f>
        <v/>
      </c>
      <c r="T70" s="17">
        <f>MAX(0,$F70-INDEX(Grid_Stock[#Data],65,$P$7+12))</f>
        <v/>
      </c>
      <c r="U70" s="17">
        <f>SUM(H70:T70)</f>
        <v/>
      </c>
    </row>
    <row r="71">
      <c r="B71" s="15">
        <f>IFERROR(INDEX(M_RawMaterials[Description],MATCH("V19",M_RawMaterials[RM_Code],0)),"")</f>
        <v/>
      </c>
      <c r="C71" s="15" t="inlineStr"/>
      <c r="D71" s="15" t="inlineStr">
        <is>
          <t>V19</t>
        </is>
      </c>
      <c r="E71" s="15" t="inlineStr">
        <is>
          <t>kg</t>
        </is>
      </c>
      <c r="F71" s="15">
        <f>IFERROR(INDEX(M_RawMaterials[基準在庫下限_要入力],MATCH("V19",M_RawMaterials[RM_Code],0)),0)</f>
        <v/>
      </c>
      <c r="G71" s="15">
        <f>INDEX(Grid_Stock[#Data],66,$P$7)</f>
        <v/>
      </c>
      <c r="H71" s="15">
        <f>MAX(0,$F71-INDEX(Grid_Stock[#Data],66,$P$7+0))</f>
        <v/>
      </c>
      <c r="I71" s="15">
        <f>MAX(0,$F71-INDEX(Grid_Stock[#Data],66,$P$7+1))</f>
        <v/>
      </c>
      <c r="J71" s="15">
        <f>MAX(0,$F71-INDEX(Grid_Stock[#Data],66,$P$7+2))</f>
        <v/>
      </c>
      <c r="K71" s="15">
        <f>MAX(0,$F71-INDEX(Grid_Stock[#Data],66,$P$7+3))</f>
        <v/>
      </c>
      <c r="L71" s="15">
        <f>MAX(0,$F71-INDEX(Grid_Stock[#Data],66,$P$7+4))</f>
        <v/>
      </c>
      <c r="M71" s="15">
        <f>MAX(0,$F71-INDEX(Grid_Stock[#Data],66,$P$7+5))</f>
        <v/>
      </c>
      <c r="N71" s="15">
        <f>MAX(0,$F71-INDEX(Grid_Stock[#Data],66,$P$7+6))</f>
        <v/>
      </c>
      <c r="O71" s="15">
        <f>MAX(0,$F71-INDEX(Grid_Stock[#Data],66,$P$7+7))</f>
        <v/>
      </c>
      <c r="P71" s="15">
        <f>MAX(0,$F71-INDEX(Grid_Stock[#Data],66,$P$7+8))</f>
        <v/>
      </c>
      <c r="Q71" s="15">
        <f>MAX(0,$F71-INDEX(Grid_Stock[#Data],66,$P$7+9))</f>
        <v/>
      </c>
      <c r="R71" s="15">
        <f>MAX(0,$F71-INDEX(Grid_Stock[#Data],66,$P$7+10))</f>
        <v/>
      </c>
      <c r="S71" s="15">
        <f>MAX(0,$F71-INDEX(Grid_Stock[#Data],66,$P$7+11))</f>
        <v/>
      </c>
      <c r="T71" s="15">
        <f>MAX(0,$F71-INDEX(Grid_Stock[#Data],66,$P$7+12))</f>
        <v/>
      </c>
      <c r="U71" s="15">
        <f>SUM(H71:T71)</f>
        <v/>
      </c>
    </row>
    <row r="72">
      <c r="B72" s="17">
        <f>IFERROR(INDEX(M_RawMaterials[Description],MATCH("CHEM-1740",M_RawMaterials[RM_Code],0)),"")</f>
        <v/>
      </c>
      <c r="C72" s="17" t="inlineStr"/>
      <c r="D72" s="17" t="inlineStr">
        <is>
          <t>CHEM-1740</t>
        </is>
      </c>
      <c r="E72" s="17" t="inlineStr">
        <is>
          <t>kg</t>
        </is>
      </c>
      <c r="F72" s="17">
        <f>IFERROR(INDEX(M_RawMaterials[基準在庫下限_要入力],MATCH("CHEM-1740",M_RawMaterials[RM_Code],0)),0)</f>
        <v/>
      </c>
      <c r="G72" s="17">
        <f>INDEX(Grid_Stock[#Data],68,$P$7)</f>
        <v/>
      </c>
      <c r="H72" s="17">
        <f>MAX(0,$F72-INDEX(Grid_Stock[#Data],68,$P$7+0))</f>
        <v/>
      </c>
      <c r="I72" s="17">
        <f>MAX(0,$F72-INDEX(Grid_Stock[#Data],68,$P$7+1))</f>
        <v/>
      </c>
      <c r="J72" s="17">
        <f>MAX(0,$F72-INDEX(Grid_Stock[#Data],68,$P$7+2))</f>
        <v/>
      </c>
      <c r="K72" s="17">
        <f>MAX(0,$F72-INDEX(Grid_Stock[#Data],68,$P$7+3))</f>
        <v/>
      </c>
      <c r="L72" s="17">
        <f>MAX(0,$F72-INDEX(Grid_Stock[#Data],68,$P$7+4))</f>
        <v/>
      </c>
      <c r="M72" s="17">
        <f>MAX(0,$F72-INDEX(Grid_Stock[#Data],68,$P$7+5))</f>
        <v/>
      </c>
      <c r="N72" s="17">
        <f>MAX(0,$F72-INDEX(Grid_Stock[#Data],68,$P$7+6))</f>
        <v/>
      </c>
      <c r="O72" s="17">
        <f>MAX(0,$F72-INDEX(Grid_Stock[#Data],68,$P$7+7))</f>
        <v/>
      </c>
      <c r="P72" s="17">
        <f>MAX(0,$F72-INDEX(Grid_Stock[#Data],68,$P$7+8))</f>
        <v/>
      </c>
      <c r="Q72" s="17">
        <f>MAX(0,$F72-INDEX(Grid_Stock[#Data],68,$P$7+9))</f>
        <v/>
      </c>
      <c r="R72" s="17">
        <f>MAX(0,$F72-INDEX(Grid_Stock[#Data],68,$P$7+10))</f>
        <v/>
      </c>
      <c r="S72" s="17">
        <f>MAX(0,$F72-INDEX(Grid_Stock[#Data],68,$P$7+11))</f>
        <v/>
      </c>
      <c r="T72" s="17">
        <f>MAX(0,$F72-INDEX(Grid_Stock[#Data],68,$P$7+12))</f>
        <v/>
      </c>
      <c r="U72" s="17">
        <f>SUM(H72:T72)</f>
        <v/>
      </c>
    </row>
    <row r="73">
      <c r="B73" s="15">
        <f>IFERROR(INDEX(M_RawMaterials[Description],MATCH("CHEM-1750",M_RawMaterials[RM_Code],0)),"")</f>
        <v/>
      </c>
      <c r="C73" s="15" t="inlineStr"/>
      <c r="D73" s="15" t="inlineStr">
        <is>
          <t>CHEM-1750</t>
        </is>
      </c>
      <c r="E73" s="15" t="inlineStr">
        <is>
          <t>kg</t>
        </is>
      </c>
      <c r="F73" s="15">
        <f>IFERROR(INDEX(M_RawMaterials[基準在庫下限_要入力],MATCH("CHEM-1750",M_RawMaterials[RM_Code],0)),0)</f>
        <v/>
      </c>
      <c r="G73" s="15">
        <f>INDEX(Grid_Stock[#Data],69,$P$7)</f>
        <v/>
      </c>
      <c r="H73" s="15">
        <f>MAX(0,$F73-INDEX(Grid_Stock[#Data],69,$P$7+0))</f>
        <v/>
      </c>
      <c r="I73" s="15">
        <f>MAX(0,$F73-INDEX(Grid_Stock[#Data],69,$P$7+1))</f>
        <v/>
      </c>
      <c r="J73" s="15">
        <f>MAX(0,$F73-INDEX(Grid_Stock[#Data],69,$P$7+2))</f>
        <v/>
      </c>
      <c r="K73" s="15">
        <f>MAX(0,$F73-INDEX(Grid_Stock[#Data],69,$P$7+3))</f>
        <v/>
      </c>
      <c r="L73" s="15">
        <f>MAX(0,$F73-INDEX(Grid_Stock[#Data],69,$P$7+4))</f>
        <v/>
      </c>
      <c r="M73" s="15">
        <f>MAX(0,$F73-INDEX(Grid_Stock[#Data],69,$P$7+5))</f>
        <v/>
      </c>
      <c r="N73" s="15">
        <f>MAX(0,$F73-INDEX(Grid_Stock[#Data],69,$P$7+6))</f>
        <v/>
      </c>
      <c r="O73" s="15">
        <f>MAX(0,$F73-INDEX(Grid_Stock[#Data],69,$P$7+7))</f>
        <v/>
      </c>
      <c r="P73" s="15">
        <f>MAX(0,$F73-INDEX(Grid_Stock[#Data],69,$P$7+8))</f>
        <v/>
      </c>
      <c r="Q73" s="15">
        <f>MAX(0,$F73-INDEX(Grid_Stock[#Data],69,$P$7+9))</f>
        <v/>
      </c>
      <c r="R73" s="15">
        <f>MAX(0,$F73-INDEX(Grid_Stock[#Data],69,$P$7+10))</f>
        <v/>
      </c>
      <c r="S73" s="15">
        <f>MAX(0,$F73-INDEX(Grid_Stock[#Data],69,$P$7+11))</f>
        <v/>
      </c>
      <c r="T73" s="15">
        <f>MAX(0,$F73-INDEX(Grid_Stock[#Data],69,$P$7+12))</f>
        <v/>
      </c>
      <c r="U73" s="15">
        <f>SUM(H73:T73)</f>
        <v/>
      </c>
    </row>
    <row r="74">
      <c r="B74" s="17">
        <f>IFERROR(INDEX(M_RawMaterials[Description],MATCH("848530",M_RawMaterials[RM_Code],0)),"")</f>
        <v/>
      </c>
      <c r="C74" s="17" t="inlineStr"/>
      <c r="D74" s="17" t="inlineStr">
        <is>
          <t>848530</t>
        </is>
      </c>
      <c r="E74" s="17" t="inlineStr">
        <is>
          <t>kg</t>
        </is>
      </c>
      <c r="F74" s="17">
        <f>IFERROR(INDEX(M_RawMaterials[基準在庫下限_要入力],MATCH("848530",M_RawMaterials[RM_Code],0)),0)</f>
        <v/>
      </c>
      <c r="G74" s="17">
        <f>INDEX(Grid_Stock[#Data],70,$P$7)</f>
        <v/>
      </c>
      <c r="H74" s="17">
        <f>MAX(0,$F74-INDEX(Grid_Stock[#Data],70,$P$7+0))</f>
        <v/>
      </c>
      <c r="I74" s="17">
        <f>MAX(0,$F74-INDEX(Grid_Stock[#Data],70,$P$7+1))</f>
        <v/>
      </c>
      <c r="J74" s="17">
        <f>MAX(0,$F74-INDEX(Grid_Stock[#Data],70,$P$7+2))</f>
        <v/>
      </c>
      <c r="K74" s="17">
        <f>MAX(0,$F74-INDEX(Grid_Stock[#Data],70,$P$7+3))</f>
        <v/>
      </c>
      <c r="L74" s="17">
        <f>MAX(0,$F74-INDEX(Grid_Stock[#Data],70,$P$7+4))</f>
        <v/>
      </c>
      <c r="M74" s="17">
        <f>MAX(0,$F74-INDEX(Grid_Stock[#Data],70,$P$7+5))</f>
        <v/>
      </c>
      <c r="N74" s="17">
        <f>MAX(0,$F74-INDEX(Grid_Stock[#Data],70,$P$7+6))</f>
        <v/>
      </c>
      <c r="O74" s="17">
        <f>MAX(0,$F74-INDEX(Grid_Stock[#Data],70,$P$7+7))</f>
        <v/>
      </c>
      <c r="P74" s="17">
        <f>MAX(0,$F74-INDEX(Grid_Stock[#Data],70,$P$7+8))</f>
        <v/>
      </c>
      <c r="Q74" s="17">
        <f>MAX(0,$F74-INDEX(Grid_Stock[#Data],70,$P$7+9))</f>
        <v/>
      </c>
      <c r="R74" s="17">
        <f>MAX(0,$F74-INDEX(Grid_Stock[#Data],70,$P$7+10))</f>
        <v/>
      </c>
      <c r="S74" s="17">
        <f>MAX(0,$F74-INDEX(Grid_Stock[#Data],70,$P$7+11))</f>
        <v/>
      </c>
      <c r="T74" s="17">
        <f>MAX(0,$F74-INDEX(Grid_Stock[#Data],70,$P$7+12))</f>
        <v/>
      </c>
      <c r="U74" s="17">
        <f>SUM(H74:T74)</f>
        <v/>
      </c>
    </row>
    <row r="75">
      <c r="B75" s="15">
        <f>IFERROR(INDEX(M_RawMaterials[Description],MATCH("848531",M_RawMaterials[RM_Code],0)),"")</f>
        <v/>
      </c>
      <c r="C75" s="15" t="inlineStr"/>
      <c r="D75" s="15" t="inlineStr">
        <is>
          <t>848531</t>
        </is>
      </c>
      <c r="E75" s="15" t="inlineStr">
        <is>
          <t>kg</t>
        </is>
      </c>
      <c r="F75" s="15">
        <f>IFERROR(INDEX(M_RawMaterials[基準在庫下限_要入力],MATCH("848531",M_RawMaterials[RM_Code],0)),0)</f>
        <v/>
      </c>
      <c r="G75" s="15">
        <f>INDEX(Grid_Stock[#Data],71,$P$7)</f>
        <v/>
      </c>
      <c r="H75" s="15">
        <f>MAX(0,$F75-INDEX(Grid_Stock[#Data],71,$P$7+0))</f>
        <v/>
      </c>
      <c r="I75" s="15">
        <f>MAX(0,$F75-INDEX(Grid_Stock[#Data],71,$P$7+1))</f>
        <v/>
      </c>
      <c r="J75" s="15">
        <f>MAX(0,$F75-INDEX(Grid_Stock[#Data],71,$P$7+2))</f>
        <v/>
      </c>
      <c r="K75" s="15">
        <f>MAX(0,$F75-INDEX(Grid_Stock[#Data],71,$P$7+3))</f>
        <v/>
      </c>
      <c r="L75" s="15">
        <f>MAX(0,$F75-INDEX(Grid_Stock[#Data],71,$P$7+4))</f>
        <v/>
      </c>
      <c r="M75" s="15">
        <f>MAX(0,$F75-INDEX(Grid_Stock[#Data],71,$P$7+5))</f>
        <v/>
      </c>
      <c r="N75" s="15">
        <f>MAX(0,$F75-INDEX(Grid_Stock[#Data],71,$P$7+6))</f>
        <v/>
      </c>
      <c r="O75" s="15">
        <f>MAX(0,$F75-INDEX(Grid_Stock[#Data],71,$P$7+7))</f>
        <v/>
      </c>
      <c r="P75" s="15">
        <f>MAX(0,$F75-INDEX(Grid_Stock[#Data],71,$P$7+8))</f>
        <v/>
      </c>
      <c r="Q75" s="15">
        <f>MAX(0,$F75-INDEX(Grid_Stock[#Data],71,$P$7+9))</f>
        <v/>
      </c>
      <c r="R75" s="15">
        <f>MAX(0,$F75-INDEX(Grid_Stock[#Data],71,$P$7+10))</f>
        <v/>
      </c>
      <c r="S75" s="15">
        <f>MAX(0,$F75-INDEX(Grid_Stock[#Data],71,$P$7+11))</f>
        <v/>
      </c>
      <c r="T75" s="15">
        <f>MAX(0,$F75-INDEX(Grid_Stock[#Data],71,$P$7+12))</f>
        <v/>
      </c>
      <c r="U75" s="15">
        <f>SUM(H75:T75)</f>
        <v/>
      </c>
    </row>
    <row r="76">
      <c r="B76" s="17">
        <f>IFERROR(INDEX(M_RawMaterials[Description],MATCH("846227",M_RawMaterials[RM_Code],0)),"")</f>
        <v/>
      </c>
      <c r="C76" s="17" t="inlineStr"/>
      <c r="D76" s="17" t="inlineStr">
        <is>
          <t>846227</t>
        </is>
      </c>
      <c r="E76" s="17" t="inlineStr">
        <is>
          <t>kg</t>
        </is>
      </c>
      <c r="F76" s="17">
        <f>IFERROR(INDEX(M_RawMaterials[基準在庫下限_要入力],MATCH("846227",M_RawMaterials[RM_Code],0)),0)</f>
        <v/>
      </c>
      <c r="G76" s="17">
        <f>INDEX(Grid_Stock[#Data],72,$P$7)</f>
        <v/>
      </c>
      <c r="H76" s="17">
        <f>MAX(0,$F76-INDEX(Grid_Stock[#Data],72,$P$7+0))</f>
        <v/>
      </c>
      <c r="I76" s="17">
        <f>MAX(0,$F76-INDEX(Grid_Stock[#Data],72,$P$7+1))</f>
        <v/>
      </c>
      <c r="J76" s="17">
        <f>MAX(0,$F76-INDEX(Grid_Stock[#Data],72,$P$7+2))</f>
        <v/>
      </c>
      <c r="K76" s="17">
        <f>MAX(0,$F76-INDEX(Grid_Stock[#Data],72,$P$7+3))</f>
        <v/>
      </c>
      <c r="L76" s="17">
        <f>MAX(0,$F76-INDEX(Grid_Stock[#Data],72,$P$7+4))</f>
        <v/>
      </c>
      <c r="M76" s="17">
        <f>MAX(0,$F76-INDEX(Grid_Stock[#Data],72,$P$7+5))</f>
        <v/>
      </c>
      <c r="N76" s="17">
        <f>MAX(0,$F76-INDEX(Grid_Stock[#Data],72,$P$7+6))</f>
        <v/>
      </c>
      <c r="O76" s="17">
        <f>MAX(0,$F76-INDEX(Grid_Stock[#Data],72,$P$7+7))</f>
        <v/>
      </c>
      <c r="P76" s="17">
        <f>MAX(0,$F76-INDEX(Grid_Stock[#Data],72,$P$7+8))</f>
        <v/>
      </c>
      <c r="Q76" s="17">
        <f>MAX(0,$F76-INDEX(Grid_Stock[#Data],72,$P$7+9))</f>
        <v/>
      </c>
      <c r="R76" s="17">
        <f>MAX(0,$F76-INDEX(Grid_Stock[#Data],72,$P$7+10))</f>
        <v/>
      </c>
      <c r="S76" s="17">
        <f>MAX(0,$F76-INDEX(Grid_Stock[#Data],72,$P$7+11))</f>
        <v/>
      </c>
      <c r="T76" s="17">
        <f>MAX(0,$F76-INDEX(Grid_Stock[#Data],72,$P$7+12))</f>
        <v/>
      </c>
      <c r="U76" s="17">
        <f>SUM(H76:T76)</f>
        <v/>
      </c>
    </row>
    <row r="77">
      <c r="B77" s="15">
        <f>IFERROR(INDEX(M_RawMaterials[Description],MATCH("OLJ",M_RawMaterials[RM_Code],0)),"")</f>
        <v/>
      </c>
      <c r="C77" s="15" t="inlineStr"/>
      <c r="D77" s="15" t="inlineStr">
        <is>
          <t>OLJ</t>
        </is>
      </c>
      <c r="E77" s="15" t="inlineStr">
        <is>
          <t>kg</t>
        </is>
      </c>
      <c r="F77" s="15">
        <f>IFERROR(INDEX(M_RawMaterials[基準在庫下限_要入力],MATCH("OLJ",M_RawMaterials[RM_Code],0)),0)</f>
        <v/>
      </c>
      <c r="G77" s="15">
        <f>INDEX(Grid_Stock[#Data],73,$P$7)</f>
        <v/>
      </c>
      <c r="H77" s="15">
        <f>MAX(0,$F77-INDEX(Grid_Stock[#Data],73,$P$7+0))</f>
        <v/>
      </c>
      <c r="I77" s="15">
        <f>MAX(0,$F77-INDEX(Grid_Stock[#Data],73,$P$7+1))</f>
        <v/>
      </c>
      <c r="J77" s="15">
        <f>MAX(0,$F77-INDEX(Grid_Stock[#Data],73,$P$7+2))</f>
        <v/>
      </c>
      <c r="K77" s="15">
        <f>MAX(0,$F77-INDEX(Grid_Stock[#Data],73,$P$7+3))</f>
        <v/>
      </c>
      <c r="L77" s="15">
        <f>MAX(0,$F77-INDEX(Grid_Stock[#Data],73,$P$7+4))</f>
        <v/>
      </c>
      <c r="M77" s="15">
        <f>MAX(0,$F77-INDEX(Grid_Stock[#Data],73,$P$7+5))</f>
        <v/>
      </c>
      <c r="N77" s="15">
        <f>MAX(0,$F77-INDEX(Grid_Stock[#Data],73,$P$7+6))</f>
        <v/>
      </c>
      <c r="O77" s="15">
        <f>MAX(0,$F77-INDEX(Grid_Stock[#Data],73,$P$7+7))</f>
        <v/>
      </c>
      <c r="P77" s="15">
        <f>MAX(0,$F77-INDEX(Grid_Stock[#Data],73,$P$7+8))</f>
        <v/>
      </c>
      <c r="Q77" s="15">
        <f>MAX(0,$F77-INDEX(Grid_Stock[#Data],73,$P$7+9))</f>
        <v/>
      </c>
      <c r="R77" s="15">
        <f>MAX(0,$F77-INDEX(Grid_Stock[#Data],73,$P$7+10))</f>
        <v/>
      </c>
      <c r="S77" s="15">
        <f>MAX(0,$F77-INDEX(Grid_Stock[#Data],73,$P$7+11))</f>
        <v/>
      </c>
      <c r="T77" s="15">
        <f>MAX(0,$F77-INDEX(Grid_Stock[#Data],73,$P$7+12))</f>
        <v/>
      </c>
      <c r="U77" s="15">
        <f>SUM(H77:T77)</f>
        <v/>
      </c>
    </row>
    <row r="78">
      <c r="B78" s="17">
        <f>IFERROR(INDEX(M_RawMaterials[Description],MATCH("CHEM-1500",M_RawMaterials[RM_Code],0)),"")</f>
        <v/>
      </c>
      <c r="C78" s="17" t="inlineStr"/>
      <c r="D78" s="17" t="inlineStr">
        <is>
          <t>CHEM-1500</t>
        </is>
      </c>
      <c r="E78" s="17" t="inlineStr">
        <is>
          <t>kg</t>
        </is>
      </c>
      <c r="F78" s="17">
        <f>IFERROR(INDEX(M_RawMaterials[基準在庫下限_要入力],MATCH("CHEM-1500",M_RawMaterials[RM_Code],0)),0)</f>
        <v/>
      </c>
      <c r="G78" s="17">
        <f>INDEX(Grid_Stock[#Data],74,$P$7)</f>
        <v/>
      </c>
      <c r="H78" s="17">
        <f>MAX(0,$F78-INDEX(Grid_Stock[#Data],74,$P$7+0))</f>
        <v/>
      </c>
      <c r="I78" s="17">
        <f>MAX(0,$F78-INDEX(Grid_Stock[#Data],74,$P$7+1))</f>
        <v/>
      </c>
      <c r="J78" s="17">
        <f>MAX(0,$F78-INDEX(Grid_Stock[#Data],74,$P$7+2))</f>
        <v/>
      </c>
      <c r="K78" s="17">
        <f>MAX(0,$F78-INDEX(Grid_Stock[#Data],74,$P$7+3))</f>
        <v/>
      </c>
      <c r="L78" s="17">
        <f>MAX(0,$F78-INDEX(Grid_Stock[#Data],74,$P$7+4))</f>
        <v/>
      </c>
      <c r="M78" s="17">
        <f>MAX(0,$F78-INDEX(Grid_Stock[#Data],74,$P$7+5))</f>
        <v/>
      </c>
      <c r="N78" s="17">
        <f>MAX(0,$F78-INDEX(Grid_Stock[#Data],74,$P$7+6))</f>
        <v/>
      </c>
      <c r="O78" s="17">
        <f>MAX(0,$F78-INDEX(Grid_Stock[#Data],74,$P$7+7))</f>
        <v/>
      </c>
      <c r="P78" s="17">
        <f>MAX(0,$F78-INDEX(Grid_Stock[#Data],74,$P$7+8))</f>
        <v/>
      </c>
      <c r="Q78" s="17">
        <f>MAX(0,$F78-INDEX(Grid_Stock[#Data],74,$P$7+9))</f>
        <v/>
      </c>
      <c r="R78" s="17">
        <f>MAX(0,$F78-INDEX(Grid_Stock[#Data],74,$P$7+10))</f>
        <v/>
      </c>
      <c r="S78" s="17">
        <f>MAX(0,$F78-INDEX(Grid_Stock[#Data],74,$P$7+11))</f>
        <v/>
      </c>
      <c r="T78" s="17">
        <f>MAX(0,$F78-INDEX(Grid_Stock[#Data],74,$P$7+12))</f>
        <v/>
      </c>
      <c r="U78" s="17">
        <f>SUM(H78:T78)</f>
        <v/>
      </c>
    </row>
    <row r="79">
      <c r="B79" s="15">
        <f>IFERROR(INDEX(M_RawMaterials[Description],MATCH("CHEM-1810",M_RawMaterials[RM_Code],0)),"")</f>
        <v/>
      </c>
      <c r="C79" s="15" t="inlineStr"/>
      <c r="D79" s="15" t="inlineStr">
        <is>
          <t>CHEM-1810</t>
        </is>
      </c>
      <c r="E79" s="15" t="inlineStr">
        <is>
          <t>kg</t>
        </is>
      </c>
      <c r="F79" s="15">
        <f>IFERROR(INDEX(M_RawMaterials[基準在庫下限_要入力],MATCH("CHEM-1810",M_RawMaterials[RM_Code],0)),0)</f>
        <v/>
      </c>
      <c r="G79" s="15">
        <f>INDEX(Grid_Stock[#Data],75,$P$7)</f>
        <v/>
      </c>
      <c r="H79" s="15">
        <f>MAX(0,$F79-INDEX(Grid_Stock[#Data],75,$P$7+0))</f>
        <v/>
      </c>
      <c r="I79" s="15">
        <f>MAX(0,$F79-INDEX(Grid_Stock[#Data],75,$P$7+1))</f>
        <v/>
      </c>
      <c r="J79" s="15">
        <f>MAX(0,$F79-INDEX(Grid_Stock[#Data],75,$P$7+2))</f>
        <v/>
      </c>
      <c r="K79" s="15">
        <f>MAX(0,$F79-INDEX(Grid_Stock[#Data],75,$P$7+3))</f>
        <v/>
      </c>
      <c r="L79" s="15">
        <f>MAX(0,$F79-INDEX(Grid_Stock[#Data],75,$P$7+4))</f>
        <v/>
      </c>
      <c r="M79" s="15">
        <f>MAX(0,$F79-INDEX(Grid_Stock[#Data],75,$P$7+5))</f>
        <v/>
      </c>
      <c r="N79" s="15">
        <f>MAX(0,$F79-INDEX(Grid_Stock[#Data],75,$P$7+6))</f>
        <v/>
      </c>
      <c r="O79" s="15">
        <f>MAX(0,$F79-INDEX(Grid_Stock[#Data],75,$P$7+7))</f>
        <v/>
      </c>
      <c r="P79" s="15">
        <f>MAX(0,$F79-INDEX(Grid_Stock[#Data],75,$P$7+8))</f>
        <v/>
      </c>
      <c r="Q79" s="15">
        <f>MAX(0,$F79-INDEX(Grid_Stock[#Data],75,$P$7+9))</f>
        <v/>
      </c>
      <c r="R79" s="15">
        <f>MAX(0,$F79-INDEX(Grid_Stock[#Data],75,$P$7+10))</f>
        <v/>
      </c>
      <c r="S79" s="15">
        <f>MAX(0,$F79-INDEX(Grid_Stock[#Data],75,$P$7+11))</f>
        <v/>
      </c>
      <c r="T79" s="15">
        <f>MAX(0,$F79-INDEX(Grid_Stock[#Data],75,$P$7+12))</f>
        <v/>
      </c>
      <c r="U79" s="15">
        <f>SUM(H79:T79)</f>
        <v/>
      </c>
    </row>
    <row r="80">
      <c r="B80" s="17">
        <f>IFERROR(INDEX(M_RawMaterials[Description],MATCH("Chem-1220",M_RawMaterials[RM_Code],0)),"")</f>
        <v/>
      </c>
      <c r="C80" s="17" t="inlineStr"/>
      <c r="D80" s="17" t="inlineStr">
        <is>
          <t>Chem-1220</t>
        </is>
      </c>
      <c r="E80" s="17" t="inlineStr">
        <is>
          <t>kg</t>
        </is>
      </c>
      <c r="F80" s="17">
        <f>IFERROR(INDEX(M_RawMaterials[基準在庫下限_要入力],MATCH("Chem-1220",M_RawMaterials[RM_Code],0)),0)</f>
        <v/>
      </c>
      <c r="G80" s="17">
        <f>INDEX(Grid_Stock[#Data],76,$P$7)</f>
        <v/>
      </c>
      <c r="H80" s="17">
        <f>MAX(0,$F80-INDEX(Grid_Stock[#Data],76,$P$7+0))</f>
        <v/>
      </c>
      <c r="I80" s="17">
        <f>MAX(0,$F80-INDEX(Grid_Stock[#Data],76,$P$7+1))</f>
        <v/>
      </c>
      <c r="J80" s="17">
        <f>MAX(0,$F80-INDEX(Grid_Stock[#Data],76,$P$7+2))</f>
        <v/>
      </c>
      <c r="K80" s="17">
        <f>MAX(0,$F80-INDEX(Grid_Stock[#Data],76,$P$7+3))</f>
        <v/>
      </c>
      <c r="L80" s="17">
        <f>MAX(0,$F80-INDEX(Grid_Stock[#Data],76,$P$7+4))</f>
        <v/>
      </c>
      <c r="M80" s="17">
        <f>MAX(0,$F80-INDEX(Grid_Stock[#Data],76,$P$7+5))</f>
        <v/>
      </c>
      <c r="N80" s="17">
        <f>MAX(0,$F80-INDEX(Grid_Stock[#Data],76,$P$7+6))</f>
        <v/>
      </c>
      <c r="O80" s="17">
        <f>MAX(0,$F80-INDEX(Grid_Stock[#Data],76,$P$7+7))</f>
        <v/>
      </c>
      <c r="P80" s="17">
        <f>MAX(0,$F80-INDEX(Grid_Stock[#Data],76,$P$7+8))</f>
        <v/>
      </c>
      <c r="Q80" s="17">
        <f>MAX(0,$F80-INDEX(Grid_Stock[#Data],76,$P$7+9))</f>
        <v/>
      </c>
      <c r="R80" s="17">
        <f>MAX(0,$F80-INDEX(Grid_Stock[#Data],76,$P$7+10))</f>
        <v/>
      </c>
      <c r="S80" s="17">
        <f>MAX(0,$F80-INDEX(Grid_Stock[#Data],76,$P$7+11))</f>
        <v/>
      </c>
      <c r="T80" s="17">
        <f>MAX(0,$F80-INDEX(Grid_Stock[#Data],76,$P$7+12))</f>
        <v/>
      </c>
      <c r="U80" s="17">
        <f>SUM(H80:T80)</f>
        <v/>
      </c>
    </row>
    <row r="81">
      <c r="B81" s="15">
        <f>IFERROR(INDEX(M_RawMaterials[Description],MATCH("Chem-1610",M_RawMaterials[RM_Code],0)),"")</f>
        <v/>
      </c>
      <c r="C81" s="15" t="inlineStr"/>
      <c r="D81" s="15" t="inlineStr">
        <is>
          <t>Chem-1610</t>
        </is>
      </c>
      <c r="E81" s="15" t="inlineStr">
        <is>
          <t>kg</t>
        </is>
      </c>
      <c r="F81" s="15">
        <f>IFERROR(INDEX(M_RawMaterials[基準在庫下限_要入力],MATCH("Chem-1610",M_RawMaterials[RM_Code],0)),0)</f>
        <v/>
      </c>
      <c r="G81" s="15">
        <f>INDEX(Grid_Stock[#Data],77,$P$7)</f>
        <v/>
      </c>
      <c r="H81" s="15">
        <f>MAX(0,$F81-INDEX(Grid_Stock[#Data],77,$P$7+0))</f>
        <v/>
      </c>
      <c r="I81" s="15">
        <f>MAX(0,$F81-INDEX(Grid_Stock[#Data],77,$P$7+1))</f>
        <v/>
      </c>
      <c r="J81" s="15">
        <f>MAX(0,$F81-INDEX(Grid_Stock[#Data],77,$P$7+2))</f>
        <v/>
      </c>
      <c r="K81" s="15">
        <f>MAX(0,$F81-INDEX(Grid_Stock[#Data],77,$P$7+3))</f>
        <v/>
      </c>
      <c r="L81" s="15">
        <f>MAX(0,$F81-INDEX(Grid_Stock[#Data],77,$P$7+4))</f>
        <v/>
      </c>
      <c r="M81" s="15">
        <f>MAX(0,$F81-INDEX(Grid_Stock[#Data],77,$P$7+5))</f>
        <v/>
      </c>
      <c r="N81" s="15">
        <f>MAX(0,$F81-INDEX(Grid_Stock[#Data],77,$P$7+6))</f>
        <v/>
      </c>
      <c r="O81" s="15">
        <f>MAX(0,$F81-INDEX(Grid_Stock[#Data],77,$P$7+7))</f>
        <v/>
      </c>
      <c r="P81" s="15">
        <f>MAX(0,$F81-INDEX(Grid_Stock[#Data],77,$P$7+8))</f>
        <v/>
      </c>
      <c r="Q81" s="15">
        <f>MAX(0,$F81-INDEX(Grid_Stock[#Data],77,$P$7+9))</f>
        <v/>
      </c>
      <c r="R81" s="15">
        <f>MAX(0,$F81-INDEX(Grid_Stock[#Data],77,$P$7+10))</f>
        <v/>
      </c>
      <c r="S81" s="15">
        <f>MAX(0,$F81-INDEX(Grid_Stock[#Data],77,$P$7+11))</f>
        <v/>
      </c>
      <c r="T81" s="15">
        <f>MAX(0,$F81-INDEX(Grid_Stock[#Data],77,$P$7+12))</f>
        <v/>
      </c>
      <c r="U81" s="15">
        <f>SUM(H81:T81)</f>
        <v/>
      </c>
    </row>
    <row r="82">
      <c r="B82" s="17">
        <f>IFERROR(INDEX(M_RawMaterials[Description],MATCH("Chem-1490",M_RawMaterials[RM_Code],0)),"")</f>
        <v/>
      </c>
      <c r="C82" s="17" t="inlineStr"/>
      <c r="D82" s="17" t="inlineStr">
        <is>
          <t>Chem-1490</t>
        </is>
      </c>
      <c r="E82" s="17" t="inlineStr">
        <is>
          <t>kg</t>
        </is>
      </c>
      <c r="F82" s="17">
        <f>IFERROR(INDEX(M_RawMaterials[基準在庫下限_要入力],MATCH("Chem-1490",M_RawMaterials[RM_Code],0)),0)</f>
        <v/>
      </c>
      <c r="G82" s="17">
        <f>INDEX(Grid_Stock[#Data],78,$P$7)</f>
        <v/>
      </c>
      <c r="H82" s="17">
        <f>MAX(0,$F82-INDEX(Grid_Stock[#Data],78,$P$7+0))</f>
        <v/>
      </c>
      <c r="I82" s="17">
        <f>MAX(0,$F82-INDEX(Grid_Stock[#Data],78,$P$7+1))</f>
        <v/>
      </c>
      <c r="J82" s="17">
        <f>MAX(0,$F82-INDEX(Grid_Stock[#Data],78,$P$7+2))</f>
        <v/>
      </c>
      <c r="K82" s="17">
        <f>MAX(0,$F82-INDEX(Grid_Stock[#Data],78,$P$7+3))</f>
        <v/>
      </c>
      <c r="L82" s="17">
        <f>MAX(0,$F82-INDEX(Grid_Stock[#Data],78,$P$7+4))</f>
        <v/>
      </c>
      <c r="M82" s="17">
        <f>MAX(0,$F82-INDEX(Grid_Stock[#Data],78,$P$7+5))</f>
        <v/>
      </c>
      <c r="N82" s="17">
        <f>MAX(0,$F82-INDEX(Grid_Stock[#Data],78,$P$7+6))</f>
        <v/>
      </c>
      <c r="O82" s="17">
        <f>MAX(0,$F82-INDEX(Grid_Stock[#Data],78,$P$7+7))</f>
        <v/>
      </c>
      <c r="P82" s="17">
        <f>MAX(0,$F82-INDEX(Grid_Stock[#Data],78,$P$7+8))</f>
        <v/>
      </c>
      <c r="Q82" s="17">
        <f>MAX(0,$F82-INDEX(Grid_Stock[#Data],78,$P$7+9))</f>
        <v/>
      </c>
      <c r="R82" s="17">
        <f>MAX(0,$F82-INDEX(Grid_Stock[#Data],78,$P$7+10))</f>
        <v/>
      </c>
      <c r="S82" s="17">
        <f>MAX(0,$F82-INDEX(Grid_Stock[#Data],78,$P$7+11))</f>
        <v/>
      </c>
      <c r="T82" s="17">
        <f>MAX(0,$F82-INDEX(Grid_Stock[#Data],78,$P$7+12))</f>
        <v/>
      </c>
      <c r="U82" s="17">
        <f>SUM(H82:T82)</f>
        <v/>
      </c>
    </row>
    <row r="83">
      <c r="B83" s="15">
        <f>IFERROR(INDEX(M_RawMaterials[Description],MATCH("Chem-1790",M_RawMaterials[RM_Code],0)),"")</f>
        <v/>
      </c>
      <c r="C83" s="15" t="inlineStr"/>
      <c r="D83" s="15" t="inlineStr">
        <is>
          <t>Chem-1790</t>
        </is>
      </c>
      <c r="E83" s="15" t="inlineStr">
        <is>
          <t>kg</t>
        </is>
      </c>
      <c r="F83" s="15">
        <f>IFERROR(INDEX(M_RawMaterials[基準在庫下限_要入力],MATCH("Chem-1790",M_RawMaterials[RM_Code],0)),0)</f>
        <v/>
      </c>
      <c r="G83" s="15">
        <f>INDEX(Grid_Stock[#Data],79,$P$7)</f>
        <v/>
      </c>
      <c r="H83" s="15">
        <f>MAX(0,$F83-INDEX(Grid_Stock[#Data],79,$P$7+0))</f>
        <v/>
      </c>
      <c r="I83" s="15">
        <f>MAX(0,$F83-INDEX(Grid_Stock[#Data],79,$P$7+1))</f>
        <v/>
      </c>
      <c r="J83" s="15">
        <f>MAX(0,$F83-INDEX(Grid_Stock[#Data],79,$P$7+2))</f>
        <v/>
      </c>
      <c r="K83" s="15">
        <f>MAX(0,$F83-INDEX(Grid_Stock[#Data],79,$P$7+3))</f>
        <v/>
      </c>
      <c r="L83" s="15">
        <f>MAX(0,$F83-INDEX(Grid_Stock[#Data],79,$P$7+4))</f>
        <v/>
      </c>
      <c r="M83" s="15">
        <f>MAX(0,$F83-INDEX(Grid_Stock[#Data],79,$P$7+5))</f>
        <v/>
      </c>
      <c r="N83" s="15">
        <f>MAX(0,$F83-INDEX(Grid_Stock[#Data],79,$P$7+6))</f>
        <v/>
      </c>
      <c r="O83" s="15">
        <f>MAX(0,$F83-INDEX(Grid_Stock[#Data],79,$P$7+7))</f>
        <v/>
      </c>
      <c r="P83" s="15">
        <f>MAX(0,$F83-INDEX(Grid_Stock[#Data],79,$P$7+8))</f>
        <v/>
      </c>
      <c r="Q83" s="15">
        <f>MAX(0,$F83-INDEX(Grid_Stock[#Data],79,$P$7+9))</f>
        <v/>
      </c>
      <c r="R83" s="15">
        <f>MAX(0,$F83-INDEX(Grid_Stock[#Data],79,$P$7+10))</f>
        <v/>
      </c>
      <c r="S83" s="15">
        <f>MAX(0,$F83-INDEX(Grid_Stock[#Data],79,$P$7+11))</f>
        <v/>
      </c>
      <c r="T83" s="15">
        <f>MAX(0,$F83-INDEX(Grid_Stock[#Data],79,$P$7+12))</f>
        <v/>
      </c>
      <c r="U83" s="15">
        <f>SUM(H83:T83)</f>
        <v/>
      </c>
    </row>
    <row r="84">
      <c r="B84" s="17">
        <f>IFERROR(INDEX(M_RawMaterials[Description],MATCH("Chem-1800",M_RawMaterials[RM_Code],0)),"")</f>
        <v/>
      </c>
      <c r="C84" s="17" t="inlineStr"/>
      <c r="D84" s="17" t="inlineStr">
        <is>
          <t>Chem-1800</t>
        </is>
      </c>
      <c r="E84" s="17" t="inlineStr">
        <is>
          <t>kg</t>
        </is>
      </c>
      <c r="F84" s="17">
        <f>IFERROR(INDEX(M_RawMaterials[基準在庫下限_要入力],MATCH("Chem-1800",M_RawMaterials[RM_Code],0)),0)</f>
        <v/>
      </c>
      <c r="G84" s="17">
        <f>INDEX(Grid_Stock[#Data],80,$P$7)</f>
        <v/>
      </c>
      <c r="H84" s="17">
        <f>MAX(0,$F84-INDEX(Grid_Stock[#Data],80,$P$7+0))</f>
        <v/>
      </c>
      <c r="I84" s="17">
        <f>MAX(0,$F84-INDEX(Grid_Stock[#Data],80,$P$7+1))</f>
        <v/>
      </c>
      <c r="J84" s="17">
        <f>MAX(0,$F84-INDEX(Grid_Stock[#Data],80,$P$7+2))</f>
        <v/>
      </c>
      <c r="K84" s="17">
        <f>MAX(0,$F84-INDEX(Grid_Stock[#Data],80,$P$7+3))</f>
        <v/>
      </c>
      <c r="L84" s="17">
        <f>MAX(0,$F84-INDEX(Grid_Stock[#Data],80,$P$7+4))</f>
        <v/>
      </c>
      <c r="M84" s="17">
        <f>MAX(0,$F84-INDEX(Grid_Stock[#Data],80,$P$7+5))</f>
        <v/>
      </c>
      <c r="N84" s="17">
        <f>MAX(0,$F84-INDEX(Grid_Stock[#Data],80,$P$7+6))</f>
        <v/>
      </c>
      <c r="O84" s="17">
        <f>MAX(0,$F84-INDEX(Grid_Stock[#Data],80,$P$7+7))</f>
        <v/>
      </c>
      <c r="P84" s="17">
        <f>MAX(0,$F84-INDEX(Grid_Stock[#Data],80,$P$7+8))</f>
        <v/>
      </c>
      <c r="Q84" s="17">
        <f>MAX(0,$F84-INDEX(Grid_Stock[#Data],80,$P$7+9))</f>
        <v/>
      </c>
      <c r="R84" s="17">
        <f>MAX(0,$F84-INDEX(Grid_Stock[#Data],80,$P$7+10))</f>
        <v/>
      </c>
      <c r="S84" s="17">
        <f>MAX(0,$F84-INDEX(Grid_Stock[#Data],80,$P$7+11))</f>
        <v/>
      </c>
      <c r="T84" s="17">
        <f>MAX(0,$F84-INDEX(Grid_Stock[#Data],80,$P$7+12))</f>
        <v/>
      </c>
      <c r="U84" s="17">
        <f>SUM(H84:T84)</f>
        <v/>
      </c>
    </row>
    <row r="85">
      <c r="B85" s="15">
        <f>IFERROR(INDEX(M_RawMaterials[Description],MATCH("A043",M_RawMaterials[RM_Code],0)),"")</f>
        <v/>
      </c>
      <c r="C85" s="15" t="inlineStr"/>
      <c r="D85" s="15" t="inlineStr">
        <is>
          <t>A043</t>
        </is>
      </c>
      <c r="E85" s="15" t="inlineStr">
        <is>
          <t>kg</t>
        </is>
      </c>
      <c r="F85" s="15">
        <f>IFERROR(INDEX(M_RawMaterials[基準在庫下限_要入力],MATCH("A043",M_RawMaterials[RM_Code],0)),0)</f>
        <v/>
      </c>
      <c r="G85" s="15">
        <f>INDEX(Grid_Stock[#Data],81,$P$7)</f>
        <v/>
      </c>
      <c r="H85" s="15">
        <f>MAX(0,$F85-INDEX(Grid_Stock[#Data],81,$P$7+0))</f>
        <v/>
      </c>
      <c r="I85" s="15">
        <f>MAX(0,$F85-INDEX(Grid_Stock[#Data],81,$P$7+1))</f>
        <v/>
      </c>
      <c r="J85" s="15">
        <f>MAX(0,$F85-INDEX(Grid_Stock[#Data],81,$P$7+2))</f>
        <v/>
      </c>
      <c r="K85" s="15">
        <f>MAX(0,$F85-INDEX(Grid_Stock[#Data],81,$P$7+3))</f>
        <v/>
      </c>
      <c r="L85" s="15">
        <f>MAX(0,$F85-INDEX(Grid_Stock[#Data],81,$P$7+4))</f>
        <v/>
      </c>
      <c r="M85" s="15">
        <f>MAX(0,$F85-INDEX(Grid_Stock[#Data],81,$P$7+5))</f>
        <v/>
      </c>
      <c r="N85" s="15">
        <f>MAX(0,$F85-INDEX(Grid_Stock[#Data],81,$P$7+6))</f>
        <v/>
      </c>
      <c r="O85" s="15">
        <f>MAX(0,$F85-INDEX(Grid_Stock[#Data],81,$P$7+7))</f>
        <v/>
      </c>
      <c r="P85" s="15">
        <f>MAX(0,$F85-INDEX(Grid_Stock[#Data],81,$P$7+8))</f>
        <v/>
      </c>
      <c r="Q85" s="15">
        <f>MAX(0,$F85-INDEX(Grid_Stock[#Data],81,$P$7+9))</f>
        <v/>
      </c>
      <c r="R85" s="15">
        <f>MAX(0,$F85-INDEX(Grid_Stock[#Data],81,$P$7+10))</f>
        <v/>
      </c>
      <c r="S85" s="15">
        <f>MAX(0,$F85-INDEX(Grid_Stock[#Data],81,$P$7+11))</f>
        <v/>
      </c>
      <c r="T85" s="15">
        <f>MAX(0,$F85-INDEX(Grid_Stock[#Data],81,$P$7+12))</f>
        <v/>
      </c>
      <c r="U85" s="15">
        <f>SUM(H85:T85)</f>
        <v/>
      </c>
    </row>
    <row r="86">
      <c r="B86" s="17">
        <f>IFERROR(INDEX(M_RawMaterials[Description],MATCH("CHEM-1220",M_RawMaterials[RM_Code],0)),"")</f>
        <v/>
      </c>
      <c r="C86" s="17" t="inlineStr"/>
      <c r="D86" s="17" t="inlineStr">
        <is>
          <t>CHEM-1220</t>
        </is>
      </c>
      <c r="E86" s="17" t="inlineStr">
        <is>
          <t>kg</t>
        </is>
      </c>
      <c r="F86" s="17">
        <f>IFERROR(INDEX(M_RawMaterials[基準在庫下限_要入力],MATCH("CHEM-1220",M_RawMaterials[RM_Code],0)),0)</f>
        <v/>
      </c>
      <c r="G86" s="17">
        <f>INDEX(Grid_Stock[#Data],82,$P$7)</f>
        <v/>
      </c>
      <c r="H86" s="17">
        <f>MAX(0,$F86-INDEX(Grid_Stock[#Data],82,$P$7+0))</f>
        <v/>
      </c>
      <c r="I86" s="17">
        <f>MAX(0,$F86-INDEX(Grid_Stock[#Data],82,$P$7+1))</f>
        <v/>
      </c>
      <c r="J86" s="17">
        <f>MAX(0,$F86-INDEX(Grid_Stock[#Data],82,$P$7+2))</f>
        <v/>
      </c>
      <c r="K86" s="17">
        <f>MAX(0,$F86-INDEX(Grid_Stock[#Data],82,$P$7+3))</f>
        <v/>
      </c>
      <c r="L86" s="17">
        <f>MAX(0,$F86-INDEX(Grid_Stock[#Data],82,$P$7+4))</f>
        <v/>
      </c>
      <c r="M86" s="17">
        <f>MAX(0,$F86-INDEX(Grid_Stock[#Data],82,$P$7+5))</f>
        <v/>
      </c>
      <c r="N86" s="17">
        <f>MAX(0,$F86-INDEX(Grid_Stock[#Data],82,$P$7+6))</f>
        <v/>
      </c>
      <c r="O86" s="17">
        <f>MAX(0,$F86-INDEX(Grid_Stock[#Data],82,$P$7+7))</f>
        <v/>
      </c>
      <c r="P86" s="17">
        <f>MAX(0,$F86-INDEX(Grid_Stock[#Data],82,$P$7+8))</f>
        <v/>
      </c>
      <c r="Q86" s="17">
        <f>MAX(0,$F86-INDEX(Grid_Stock[#Data],82,$P$7+9))</f>
        <v/>
      </c>
      <c r="R86" s="17">
        <f>MAX(0,$F86-INDEX(Grid_Stock[#Data],82,$P$7+10))</f>
        <v/>
      </c>
      <c r="S86" s="17">
        <f>MAX(0,$F86-INDEX(Grid_Stock[#Data],82,$P$7+11))</f>
        <v/>
      </c>
      <c r="T86" s="17">
        <f>MAX(0,$F86-INDEX(Grid_Stock[#Data],82,$P$7+12))</f>
        <v/>
      </c>
      <c r="U86" s="17">
        <f>SUM(H86:T86)</f>
        <v/>
      </c>
    </row>
    <row r="87">
      <c r="B87" s="15">
        <f>IFERROR(INDEX(M_RawMaterials[Description],MATCH("CHEM-1260",M_RawMaterials[RM_Code],0)),"")</f>
        <v/>
      </c>
      <c r="C87" s="15" t="inlineStr"/>
      <c r="D87" s="15" t="inlineStr">
        <is>
          <t>CHEM-1260</t>
        </is>
      </c>
      <c r="E87" s="15" t="inlineStr">
        <is>
          <t>kg</t>
        </is>
      </c>
      <c r="F87" s="15">
        <f>IFERROR(INDEX(M_RawMaterials[基準在庫下限_要入力],MATCH("CHEM-1260",M_RawMaterials[RM_Code],0)),0)</f>
        <v/>
      </c>
      <c r="G87" s="15">
        <f>INDEX(Grid_Stock[#Data],83,$P$7)</f>
        <v/>
      </c>
      <c r="H87" s="15">
        <f>MAX(0,$F87-INDEX(Grid_Stock[#Data],83,$P$7+0))</f>
        <v/>
      </c>
      <c r="I87" s="15">
        <f>MAX(0,$F87-INDEX(Grid_Stock[#Data],83,$P$7+1))</f>
        <v/>
      </c>
      <c r="J87" s="15">
        <f>MAX(0,$F87-INDEX(Grid_Stock[#Data],83,$P$7+2))</f>
        <v/>
      </c>
      <c r="K87" s="15">
        <f>MAX(0,$F87-INDEX(Grid_Stock[#Data],83,$P$7+3))</f>
        <v/>
      </c>
      <c r="L87" s="15">
        <f>MAX(0,$F87-INDEX(Grid_Stock[#Data],83,$P$7+4))</f>
        <v/>
      </c>
      <c r="M87" s="15">
        <f>MAX(0,$F87-INDEX(Grid_Stock[#Data],83,$P$7+5))</f>
        <v/>
      </c>
      <c r="N87" s="15">
        <f>MAX(0,$F87-INDEX(Grid_Stock[#Data],83,$P$7+6))</f>
        <v/>
      </c>
      <c r="O87" s="15">
        <f>MAX(0,$F87-INDEX(Grid_Stock[#Data],83,$P$7+7))</f>
        <v/>
      </c>
      <c r="P87" s="15">
        <f>MAX(0,$F87-INDEX(Grid_Stock[#Data],83,$P$7+8))</f>
        <v/>
      </c>
      <c r="Q87" s="15">
        <f>MAX(0,$F87-INDEX(Grid_Stock[#Data],83,$P$7+9))</f>
        <v/>
      </c>
      <c r="R87" s="15">
        <f>MAX(0,$F87-INDEX(Grid_Stock[#Data],83,$P$7+10))</f>
        <v/>
      </c>
      <c r="S87" s="15">
        <f>MAX(0,$F87-INDEX(Grid_Stock[#Data],83,$P$7+11))</f>
        <v/>
      </c>
      <c r="T87" s="15">
        <f>MAX(0,$F87-INDEX(Grid_Stock[#Data],83,$P$7+12))</f>
        <v/>
      </c>
      <c r="U87" s="15">
        <f>SUM(H87:T87)</f>
        <v/>
      </c>
    </row>
    <row r="88">
      <c r="B88" s="17">
        <f>IFERROR(INDEX(M_RawMaterials[Description],MATCH("CHEM-1790",M_RawMaterials[RM_Code],0)),"")</f>
        <v/>
      </c>
      <c r="C88" s="17" t="inlineStr"/>
      <c r="D88" s="17" t="inlineStr">
        <is>
          <t>CHEM-1790</t>
        </is>
      </c>
      <c r="E88" s="17" t="inlineStr">
        <is>
          <t>kg</t>
        </is>
      </c>
      <c r="F88" s="17">
        <f>IFERROR(INDEX(M_RawMaterials[基準在庫下限_要入力],MATCH("CHEM-1790",M_RawMaterials[RM_Code],0)),0)</f>
        <v/>
      </c>
      <c r="G88" s="17">
        <f>INDEX(Grid_Stock[#Data],84,$P$7)</f>
        <v/>
      </c>
      <c r="H88" s="17">
        <f>MAX(0,$F88-INDEX(Grid_Stock[#Data],84,$P$7+0))</f>
        <v/>
      </c>
      <c r="I88" s="17">
        <f>MAX(0,$F88-INDEX(Grid_Stock[#Data],84,$P$7+1))</f>
        <v/>
      </c>
      <c r="J88" s="17">
        <f>MAX(0,$F88-INDEX(Grid_Stock[#Data],84,$P$7+2))</f>
        <v/>
      </c>
      <c r="K88" s="17">
        <f>MAX(0,$F88-INDEX(Grid_Stock[#Data],84,$P$7+3))</f>
        <v/>
      </c>
      <c r="L88" s="17">
        <f>MAX(0,$F88-INDEX(Grid_Stock[#Data],84,$P$7+4))</f>
        <v/>
      </c>
      <c r="M88" s="17">
        <f>MAX(0,$F88-INDEX(Grid_Stock[#Data],84,$P$7+5))</f>
        <v/>
      </c>
      <c r="N88" s="17">
        <f>MAX(0,$F88-INDEX(Grid_Stock[#Data],84,$P$7+6))</f>
        <v/>
      </c>
      <c r="O88" s="17">
        <f>MAX(0,$F88-INDEX(Grid_Stock[#Data],84,$P$7+7))</f>
        <v/>
      </c>
      <c r="P88" s="17">
        <f>MAX(0,$F88-INDEX(Grid_Stock[#Data],84,$P$7+8))</f>
        <v/>
      </c>
      <c r="Q88" s="17">
        <f>MAX(0,$F88-INDEX(Grid_Stock[#Data],84,$P$7+9))</f>
        <v/>
      </c>
      <c r="R88" s="17">
        <f>MAX(0,$F88-INDEX(Grid_Stock[#Data],84,$P$7+10))</f>
        <v/>
      </c>
      <c r="S88" s="17">
        <f>MAX(0,$F88-INDEX(Grid_Stock[#Data],84,$P$7+11))</f>
        <v/>
      </c>
      <c r="T88" s="17">
        <f>MAX(0,$F88-INDEX(Grid_Stock[#Data],84,$P$7+12))</f>
        <v/>
      </c>
      <c r="U88" s="17">
        <f>SUM(H88:T88)</f>
        <v/>
      </c>
    </row>
    <row r="89">
      <c r="B89" s="15">
        <f>IFERROR(INDEX(M_RawMaterials[Description],MATCH("TSZ-616",M_RawMaterials[RM_Code],0)),"")</f>
        <v/>
      </c>
      <c r="C89" s="15" t="inlineStr"/>
      <c r="D89" s="15" t="inlineStr">
        <is>
          <t>TSZ-616</t>
        </is>
      </c>
      <c r="E89" s="15" t="inlineStr">
        <is>
          <t>kg</t>
        </is>
      </c>
      <c r="F89" s="15">
        <f>IFERROR(INDEX(M_RawMaterials[基準在庫下限_要入力],MATCH("TSZ-616",M_RawMaterials[RM_Code],0)),0)</f>
        <v/>
      </c>
      <c r="G89" s="15">
        <f>INDEX(Grid_Stock[#Data],85,$P$7)</f>
        <v/>
      </c>
      <c r="H89" s="15">
        <f>MAX(0,$F89-INDEX(Grid_Stock[#Data],85,$P$7+0))</f>
        <v/>
      </c>
      <c r="I89" s="15">
        <f>MAX(0,$F89-INDEX(Grid_Stock[#Data],85,$P$7+1))</f>
        <v/>
      </c>
      <c r="J89" s="15">
        <f>MAX(0,$F89-INDEX(Grid_Stock[#Data],85,$P$7+2))</f>
        <v/>
      </c>
      <c r="K89" s="15">
        <f>MAX(0,$F89-INDEX(Grid_Stock[#Data],85,$P$7+3))</f>
        <v/>
      </c>
      <c r="L89" s="15">
        <f>MAX(0,$F89-INDEX(Grid_Stock[#Data],85,$P$7+4))</f>
        <v/>
      </c>
      <c r="M89" s="15">
        <f>MAX(0,$F89-INDEX(Grid_Stock[#Data],85,$P$7+5))</f>
        <v/>
      </c>
      <c r="N89" s="15">
        <f>MAX(0,$F89-INDEX(Grid_Stock[#Data],85,$P$7+6))</f>
        <v/>
      </c>
      <c r="O89" s="15">
        <f>MAX(0,$F89-INDEX(Grid_Stock[#Data],85,$P$7+7))</f>
        <v/>
      </c>
      <c r="P89" s="15">
        <f>MAX(0,$F89-INDEX(Grid_Stock[#Data],85,$P$7+8))</f>
        <v/>
      </c>
      <c r="Q89" s="15">
        <f>MAX(0,$F89-INDEX(Grid_Stock[#Data],85,$P$7+9))</f>
        <v/>
      </c>
      <c r="R89" s="15">
        <f>MAX(0,$F89-INDEX(Grid_Stock[#Data],85,$P$7+10))</f>
        <v/>
      </c>
      <c r="S89" s="15">
        <f>MAX(0,$F89-INDEX(Grid_Stock[#Data],85,$P$7+11))</f>
        <v/>
      </c>
      <c r="T89" s="15">
        <f>MAX(0,$F89-INDEX(Grid_Stock[#Data],85,$P$7+12))</f>
        <v/>
      </c>
      <c r="U89" s="15">
        <f>SUM(H89:T89)</f>
        <v/>
      </c>
    </row>
    <row r="90">
      <c r="B90" s="17">
        <f>IFERROR(INDEX(M_RawMaterials[Description],MATCH("CHEM-1180",M_RawMaterials[RM_Code],0)),"")</f>
        <v/>
      </c>
      <c r="C90" s="17" t="inlineStr"/>
      <c r="D90" s="17" t="inlineStr">
        <is>
          <t>CHEM-1180</t>
        </is>
      </c>
      <c r="E90" s="17" t="inlineStr">
        <is>
          <t>kg</t>
        </is>
      </c>
      <c r="F90" s="17">
        <f>IFERROR(INDEX(M_RawMaterials[基準在庫下限_要入力],MATCH("CHEM-1180",M_RawMaterials[RM_Code],0)),0)</f>
        <v/>
      </c>
      <c r="G90" s="17">
        <f>INDEX(Grid_Stock[#Data],86,$P$7)</f>
        <v/>
      </c>
      <c r="H90" s="17">
        <f>MAX(0,$F90-INDEX(Grid_Stock[#Data],86,$P$7+0))</f>
        <v/>
      </c>
      <c r="I90" s="17">
        <f>MAX(0,$F90-INDEX(Grid_Stock[#Data],86,$P$7+1))</f>
        <v/>
      </c>
      <c r="J90" s="17">
        <f>MAX(0,$F90-INDEX(Grid_Stock[#Data],86,$P$7+2))</f>
        <v/>
      </c>
      <c r="K90" s="17">
        <f>MAX(0,$F90-INDEX(Grid_Stock[#Data],86,$P$7+3))</f>
        <v/>
      </c>
      <c r="L90" s="17">
        <f>MAX(0,$F90-INDEX(Grid_Stock[#Data],86,$P$7+4))</f>
        <v/>
      </c>
      <c r="M90" s="17">
        <f>MAX(0,$F90-INDEX(Grid_Stock[#Data],86,$P$7+5))</f>
        <v/>
      </c>
      <c r="N90" s="17">
        <f>MAX(0,$F90-INDEX(Grid_Stock[#Data],86,$P$7+6))</f>
        <v/>
      </c>
      <c r="O90" s="17">
        <f>MAX(0,$F90-INDEX(Grid_Stock[#Data],86,$P$7+7))</f>
        <v/>
      </c>
      <c r="P90" s="17">
        <f>MAX(0,$F90-INDEX(Grid_Stock[#Data],86,$P$7+8))</f>
        <v/>
      </c>
      <c r="Q90" s="17">
        <f>MAX(0,$F90-INDEX(Grid_Stock[#Data],86,$P$7+9))</f>
        <v/>
      </c>
      <c r="R90" s="17">
        <f>MAX(0,$F90-INDEX(Grid_Stock[#Data],86,$P$7+10))</f>
        <v/>
      </c>
      <c r="S90" s="17">
        <f>MAX(0,$F90-INDEX(Grid_Stock[#Data],86,$P$7+11))</f>
        <v/>
      </c>
      <c r="T90" s="17">
        <f>MAX(0,$F90-INDEX(Grid_Stock[#Data],86,$P$7+12))</f>
        <v/>
      </c>
      <c r="U90" s="17">
        <f>SUM(H90:T90)</f>
        <v/>
      </c>
    </row>
    <row r="91">
      <c r="B91" s="15">
        <f>IFERROR(INDEX(M_RawMaterials[Description],MATCH("TSZ-938",M_RawMaterials[RM_Code],0)),"")</f>
        <v/>
      </c>
      <c r="C91" s="15" t="inlineStr"/>
      <c r="D91" s="15" t="inlineStr">
        <is>
          <t>TSZ-938</t>
        </is>
      </c>
      <c r="E91" s="15" t="inlineStr">
        <is>
          <t>kg</t>
        </is>
      </c>
      <c r="F91" s="15">
        <f>IFERROR(INDEX(M_RawMaterials[基準在庫下限_要入力],MATCH("TSZ-938",M_RawMaterials[RM_Code],0)),0)</f>
        <v/>
      </c>
      <c r="G91" s="15">
        <f>INDEX(Grid_Stock[#Data],87,$P$7)</f>
        <v/>
      </c>
      <c r="H91" s="15">
        <f>MAX(0,$F91-INDEX(Grid_Stock[#Data],87,$P$7+0))</f>
        <v/>
      </c>
      <c r="I91" s="15">
        <f>MAX(0,$F91-INDEX(Grid_Stock[#Data],87,$P$7+1))</f>
        <v/>
      </c>
      <c r="J91" s="15">
        <f>MAX(0,$F91-INDEX(Grid_Stock[#Data],87,$P$7+2))</f>
        <v/>
      </c>
      <c r="K91" s="15">
        <f>MAX(0,$F91-INDEX(Grid_Stock[#Data],87,$P$7+3))</f>
        <v/>
      </c>
      <c r="L91" s="15">
        <f>MAX(0,$F91-INDEX(Grid_Stock[#Data],87,$P$7+4))</f>
        <v/>
      </c>
      <c r="M91" s="15">
        <f>MAX(0,$F91-INDEX(Grid_Stock[#Data],87,$P$7+5))</f>
        <v/>
      </c>
      <c r="N91" s="15">
        <f>MAX(0,$F91-INDEX(Grid_Stock[#Data],87,$P$7+6))</f>
        <v/>
      </c>
      <c r="O91" s="15">
        <f>MAX(0,$F91-INDEX(Grid_Stock[#Data],87,$P$7+7))</f>
        <v/>
      </c>
      <c r="P91" s="15">
        <f>MAX(0,$F91-INDEX(Grid_Stock[#Data],87,$P$7+8))</f>
        <v/>
      </c>
      <c r="Q91" s="15">
        <f>MAX(0,$F91-INDEX(Grid_Stock[#Data],87,$P$7+9))</f>
        <v/>
      </c>
      <c r="R91" s="15">
        <f>MAX(0,$F91-INDEX(Grid_Stock[#Data],87,$P$7+10))</f>
        <v/>
      </c>
      <c r="S91" s="15">
        <f>MAX(0,$F91-INDEX(Grid_Stock[#Data],87,$P$7+11))</f>
        <v/>
      </c>
      <c r="T91" s="15">
        <f>MAX(0,$F91-INDEX(Grid_Stock[#Data],87,$P$7+12))</f>
        <v/>
      </c>
      <c r="U91" s="15">
        <f>SUM(H91:T91)</f>
        <v/>
      </c>
    </row>
    <row r="92">
      <c r="B92" s="17">
        <f>IFERROR(INDEX(M_RawMaterials[Description],MATCH("CHEM-1460",M_RawMaterials[RM_Code],0)),"")</f>
        <v/>
      </c>
      <c r="C92" s="17" t="inlineStr"/>
      <c r="D92" s="17" t="inlineStr">
        <is>
          <t>CHEM-1460</t>
        </is>
      </c>
      <c r="E92" s="17" t="inlineStr">
        <is>
          <t>kg</t>
        </is>
      </c>
      <c r="F92" s="17">
        <f>IFERROR(INDEX(M_RawMaterials[基準在庫下限_要入力],MATCH("CHEM-1460",M_RawMaterials[RM_Code],0)),0)</f>
        <v/>
      </c>
      <c r="G92" s="17">
        <f>INDEX(Grid_Stock[#Data],88,$P$7)</f>
        <v/>
      </c>
      <c r="H92" s="17">
        <f>MAX(0,$F92-INDEX(Grid_Stock[#Data],88,$P$7+0))</f>
        <v/>
      </c>
      <c r="I92" s="17">
        <f>MAX(0,$F92-INDEX(Grid_Stock[#Data],88,$P$7+1))</f>
        <v/>
      </c>
      <c r="J92" s="17">
        <f>MAX(0,$F92-INDEX(Grid_Stock[#Data],88,$P$7+2))</f>
        <v/>
      </c>
      <c r="K92" s="17">
        <f>MAX(0,$F92-INDEX(Grid_Stock[#Data],88,$P$7+3))</f>
        <v/>
      </c>
      <c r="L92" s="17">
        <f>MAX(0,$F92-INDEX(Grid_Stock[#Data],88,$P$7+4))</f>
        <v/>
      </c>
      <c r="M92" s="17">
        <f>MAX(0,$F92-INDEX(Grid_Stock[#Data],88,$P$7+5))</f>
        <v/>
      </c>
      <c r="N92" s="17">
        <f>MAX(0,$F92-INDEX(Grid_Stock[#Data],88,$P$7+6))</f>
        <v/>
      </c>
      <c r="O92" s="17">
        <f>MAX(0,$F92-INDEX(Grid_Stock[#Data],88,$P$7+7))</f>
        <v/>
      </c>
      <c r="P92" s="17">
        <f>MAX(0,$F92-INDEX(Grid_Stock[#Data],88,$P$7+8))</f>
        <v/>
      </c>
      <c r="Q92" s="17">
        <f>MAX(0,$F92-INDEX(Grid_Stock[#Data],88,$P$7+9))</f>
        <v/>
      </c>
      <c r="R92" s="17">
        <f>MAX(0,$F92-INDEX(Grid_Stock[#Data],88,$P$7+10))</f>
        <v/>
      </c>
      <c r="S92" s="17">
        <f>MAX(0,$F92-INDEX(Grid_Stock[#Data],88,$P$7+11))</f>
        <v/>
      </c>
      <c r="T92" s="17">
        <f>MAX(0,$F92-INDEX(Grid_Stock[#Data],88,$P$7+12))</f>
        <v/>
      </c>
      <c r="U92" s="17">
        <f>SUM(H92:T92)</f>
        <v/>
      </c>
    </row>
    <row r="93">
      <c r="B93" s="15">
        <f>IFERROR(INDEX(M_RawMaterials[Description],MATCH("CHEM-1490",M_RawMaterials[RM_Code],0)),"")</f>
        <v/>
      </c>
      <c r="C93" s="15" t="inlineStr"/>
      <c r="D93" s="15" t="inlineStr">
        <is>
          <t>CHEM-1490</t>
        </is>
      </c>
      <c r="E93" s="15" t="inlineStr">
        <is>
          <t>kg</t>
        </is>
      </c>
      <c r="F93" s="15">
        <f>IFERROR(INDEX(M_RawMaterials[基準在庫下限_要入力],MATCH("CHEM-1490",M_RawMaterials[RM_Code],0)),0)</f>
        <v/>
      </c>
      <c r="G93" s="15">
        <f>INDEX(Grid_Stock[#Data],89,$P$7)</f>
        <v/>
      </c>
      <c r="H93" s="15">
        <f>MAX(0,$F93-INDEX(Grid_Stock[#Data],89,$P$7+0))</f>
        <v/>
      </c>
      <c r="I93" s="15">
        <f>MAX(0,$F93-INDEX(Grid_Stock[#Data],89,$P$7+1))</f>
        <v/>
      </c>
      <c r="J93" s="15">
        <f>MAX(0,$F93-INDEX(Grid_Stock[#Data],89,$P$7+2))</f>
        <v/>
      </c>
      <c r="K93" s="15">
        <f>MAX(0,$F93-INDEX(Grid_Stock[#Data],89,$P$7+3))</f>
        <v/>
      </c>
      <c r="L93" s="15">
        <f>MAX(0,$F93-INDEX(Grid_Stock[#Data],89,$P$7+4))</f>
        <v/>
      </c>
      <c r="M93" s="15">
        <f>MAX(0,$F93-INDEX(Grid_Stock[#Data],89,$P$7+5))</f>
        <v/>
      </c>
      <c r="N93" s="15">
        <f>MAX(0,$F93-INDEX(Grid_Stock[#Data],89,$P$7+6))</f>
        <v/>
      </c>
      <c r="O93" s="15">
        <f>MAX(0,$F93-INDEX(Grid_Stock[#Data],89,$P$7+7))</f>
        <v/>
      </c>
      <c r="P93" s="15">
        <f>MAX(0,$F93-INDEX(Grid_Stock[#Data],89,$P$7+8))</f>
        <v/>
      </c>
      <c r="Q93" s="15">
        <f>MAX(0,$F93-INDEX(Grid_Stock[#Data],89,$P$7+9))</f>
        <v/>
      </c>
      <c r="R93" s="15">
        <f>MAX(0,$F93-INDEX(Grid_Stock[#Data],89,$P$7+10))</f>
        <v/>
      </c>
      <c r="S93" s="15">
        <f>MAX(0,$F93-INDEX(Grid_Stock[#Data],89,$P$7+11))</f>
        <v/>
      </c>
      <c r="T93" s="15">
        <f>MAX(0,$F93-INDEX(Grid_Stock[#Data],89,$P$7+12))</f>
        <v/>
      </c>
      <c r="U93" s="15">
        <f>SUM(H93:T93)</f>
        <v/>
      </c>
    </row>
    <row r="94">
      <c r="B94" s="17">
        <f>IFERROR(INDEX(M_RawMaterials[Description],MATCH("CHEM-1610",M_RawMaterials[RM_Code],0)),"")</f>
        <v/>
      </c>
      <c r="C94" s="17" t="inlineStr"/>
      <c r="D94" s="17" t="inlineStr">
        <is>
          <t>CHEM-1610</t>
        </is>
      </c>
      <c r="E94" s="17" t="inlineStr">
        <is>
          <t>kg</t>
        </is>
      </c>
      <c r="F94" s="17">
        <f>IFERROR(INDEX(M_RawMaterials[基準在庫下限_要入力],MATCH("CHEM-1610",M_RawMaterials[RM_Code],0)),0)</f>
        <v/>
      </c>
      <c r="G94" s="17">
        <f>INDEX(Grid_Stock[#Data],90,$P$7)</f>
        <v/>
      </c>
      <c r="H94" s="17">
        <f>MAX(0,$F94-INDEX(Grid_Stock[#Data],90,$P$7+0))</f>
        <v/>
      </c>
      <c r="I94" s="17">
        <f>MAX(0,$F94-INDEX(Grid_Stock[#Data],90,$P$7+1))</f>
        <v/>
      </c>
      <c r="J94" s="17">
        <f>MAX(0,$F94-INDEX(Grid_Stock[#Data],90,$P$7+2))</f>
        <v/>
      </c>
      <c r="K94" s="17">
        <f>MAX(0,$F94-INDEX(Grid_Stock[#Data],90,$P$7+3))</f>
        <v/>
      </c>
      <c r="L94" s="17">
        <f>MAX(0,$F94-INDEX(Grid_Stock[#Data],90,$P$7+4))</f>
        <v/>
      </c>
      <c r="M94" s="17">
        <f>MAX(0,$F94-INDEX(Grid_Stock[#Data],90,$P$7+5))</f>
        <v/>
      </c>
      <c r="N94" s="17">
        <f>MAX(0,$F94-INDEX(Grid_Stock[#Data],90,$P$7+6))</f>
        <v/>
      </c>
      <c r="O94" s="17">
        <f>MAX(0,$F94-INDEX(Grid_Stock[#Data],90,$P$7+7))</f>
        <v/>
      </c>
      <c r="P94" s="17">
        <f>MAX(0,$F94-INDEX(Grid_Stock[#Data],90,$P$7+8))</f>
        <v/>
      </c>
      <c r="Q94" s="17">
        <f>MAX(0,$F94-INDEX(Grid_Stock[#Data],90,$P$7+9))</f>
        <v/>
      </c>
      <c r="R94" s="17">
        <f>MAX(0,$F94-INDEX(Grid_Stock[#Data],90,$P$7+10))</f>
        <v/>
      </c>
      <c r="S94" s="17">
        <f>MAX(0,$F94-INDEX(Grid_Stock[#Data],90,$P$7+11))</f>
        <v/>
      </c>
      <c r="T94" s="17">
        <f>MAX(0,$F94-INDEX(Grid_Stock[#Data],90,$P$7+12))</f>
        <v/>
      </c>
      <c r="U94" s="17">
        <f>SUM(H94:T94)</f>
        <v/>
      </c>
    </row>
    <row r="95">
      <c r="B95" s="15">
        <f>IFERROR(INDEX(M_RawMaterials[Description],MATCH("CHEM-1640",M_RawMaterials[RM_Code],0)),"")</f>
        <v/>
      </c>
      <c r="C95" s="15" t="inlineStr"/>
      <c r="D95" s="15" t="inlineStr">
        <is>
          <t>CHEM-1640</t>
        </is>
      </c>
      <c r="E95" s="15" t="inlineStr">
        <is>
          <t>kg</t>
        </is>
      </c>
      <c r="F95" s="15">
        <f>IFERROR(INDEX(M_RawMaterials[基準在庫下限_要入力],MATCH("CHEM-1640",M_RawMaterials[RM_Code],0)),0)</f>
        <v/>
      </c>
      <c r="G95" s="15">
        <f>INDEX(Grid_Stock[#Data],91,$P$7)</f>
        <v/>
      </c>
      <c r="H95" s="15">
        <f>MAX(0,$F95-INDEX(Grid_Stock[#Data],91,$P$7+0))</f>
        <v/>
      </c>
      <c r="I95" s="15">
        <f>MAX(0,$F95-INDEX(Grid_Stock[#Data],91,$P$7+1))</f>
        <v/>
      </c>
      <c r="J95" s="15">
        <f>MAX(0,$F95-INDEX(Grid_Stock[#Data],91,$P$7+2))</f>
        <v/>
      </c>
      <c r="K95" s="15">
        <f>MAX(0,$F95-INDEX(Grid_Stock[#Data],91,$P$7+3))</f>
        <v/>
      </c>
      <c r="L95" s="15">
        <f>MAX(0,$F95-INDEX(Grid_Stock[#Data],91,$P$7+4))</f>
        <v/>
      </c>
      <c r="M95" s="15">
        <f>MAX(0,$F95-INDEX(Grid_Stock[#Data],91,$P$7+5))</f>
        <v/>
      </c>
      <c r="N95" s="15">
        <f>MAX(0,$F95-INDEX(Grid_Stock[#Data],91,$P$7+6))</f>
        <v/>
      </c>
      <c r="O95" s="15">
        <f>MAX(0,$F95-INDEX(Grid_Stock[#Data],91,$P$7+7))</f>
        <v/>
      </c>
      <c r="P95" s="15">
        <f>MAX(0,$F95-INDEX(Grid_Stock[#Data],91,$P$7+8))</f>
        <v/>
      </c>
      <c r="Q95" s="15">
        <f>MAX(0,$F95-INDEX(Grid_Stock[#Data],91,$P$7+9))</f>
        <v/>
      </c>
      <c r="R95" s="15">
        <f>MAX(0,$F95-INDEX(Grid_Stock[#Data],91,$P$7+10))</f>
        <v/>
      </c>
      <c r="S95" s="15">
        <f>MAX(0,$F95-INDEX(Grid_Stock[#Data],91,$P$7+11))</f>
        <v/>
      </c>
      <c r="T95" s="15">
        <f>MAX(0,$F95-INDEX(Grid_Stock[#Data],91,$P$7+12))</f>
        <v/>
      </c>
      <c r="U95" s="15">
        <f>SUM(H95:T95)</f>
        <v/>
      </c>
    </row>
    <row r="96">
      <c r="B96" s="17">
        <f>IFERROR(INDEX(M_RawMaterials[Description],MATCH("CHEM-1030",M_RawMaterials[RM_Code],0)),"")</f>
        <v/>
      </c>
      <c r="C96" s="17" t="inlineStr"/>
      <c r="D96" s="17" t="inlineStr">
        <is>
          <t>CHEM-1030</t>
        </is>
      </c>
      <c r="E96" s="17" t="inlineStr">
        <is>
          <t>kg</t>
        </is>
      </c>
      <c r="F96" s="17">
        <f>IFERROR(INDEX(M_RawMaterials[基準在庫下限_要入力],MATCH("CHEM-1030",M_RawMaterials[RM_Code],0)),0)</f>
        <v/>
      </c>
      <c r="G96" s="17">
        <f>INDEX(Grid_Stock[#Data],92,$P$7)</f>
        <v/>
      </c>
      <c r="H96" s="17">
        <f>MAX(0,$F96-INDEX(Grid_Stock[#Data],92,$P$7+0))</f>
        <v/>
      </c>
      <c r="I96" s="17">
        <f>MAX(0,$F96-INDEX(Grid_Stock[#Data],92,$P$7+1))</f>
        <v/>
      </c>
      <c r="J96" s="17">
        <f>MAX(0,$F96-INDEX(Grid_Stock[#Data],92,$P$7+2))</f>
        <v/>
      </c>
      <c r="K96" s="17">
        <f>MAX(0,$F96-INDEX(Grid_Stock[#Data],92,$P$7+3))</f>
        <v/>
      </c>
      <c r="L96" s="17">
        <f>MAX(0,$F96-INDEX(Grid_Stock[#Data],92,$P$7+4))</f>
        <v/>
      </c>
      <c r="M96" s="17">
        <f>MAX(0,$F96-INDEX(Grid_Stock[#Data],92,$P$7+5))</f>
        <v/>
      </c>
      <c r="N96" s="17">
        <f>MAX(0,$F96-INDEX(Grid_Stock[#Data],92,$P$7+6))</f>
        <v/>
      </c>
      <c r="O96" s="17">
        <f>MAX(0,$F96-INDEX(Grid_Stock[#Data],92,$P$7+7))</f>
        <v/>
      </c>
      <c r="P96" s="17">
        <f>MAX(0,$F96-INDEX(Grid_Stock[#Data],92,$P$7+8))</f>
        <v/>
      </c>
      <c r="Q96" s="17">
        <f>MAX(0,$F96-INDEX(Grid_Stock[#Data],92,$P$7+9))</f>
        <v/>
      </c>
      <c r="R96" s="17">
        <f>MAX(0,$F96-INDEX(Grid_Stock[#Data],92,$P$7+10))</f>
        <v/>
      </c>
      <c r="S96" s="17">
        <f>MAX(0,$F96-INDEX(Grid_Stock[#Data],92,$P$7+11))</f>
        <v/>
      </c>
      <c r="T96" s="17">
        <f>MAX(0,$F96-INDEX(Grid_Stock[#Data],92,$P$7+12))</f>
        <v/>
      </c>
      <c r="U96" s="17">
        <f>SUM(H96:T96)</f>
        <v/>
      </c>
    </row>
    <row r="97">
      <c r="B97" s="15">
        <f>IFERROR(INDEX(M_RawMaterials[Description],MATCH("CHEM-1800",M_RawMaterials[RM_Code],0)),"")</f>
        <v/>
      </c>
      <c r="C97" s="15" t="inlineStr"/>
      <c r="D97" s="15" t="inlineStr">
        <is>
          <t>CHEM-1800</t>
        </is>
      </c>
      <c r="E97" s="15" t="inlineStr">
        <is>
          <t>kg</t>
        </is>
      </c>
      <c r="F97" s="15">
        <f>IFERROR(INDEX(M_RawMaterials[基準在庫下限_要入力],MATCH("CHEM-1800",M_RawMaterials[RM_Code],0)),0)</f>
        <v/>
      </c>
      <c r="G97" s="15">
        <f>INDEX(Grid_Stock[#Data],93,$P$7)</f>
        <v/>
      </c>
      <c r="H97" s="15">
        <f>MAX(0,$F97-INDEX(Grid_Stock[#Data],93,$P$7+0))</f>
        <v/>
      </c>
      <c r="I97" s="15">
        <f>MAX(0,$F97-INDEX(Grid_Stock[#Data],93,$P$7+1))</f>
        <v/>
      </c>
      <c r="J97" s="15">
        <f>MAX(0,$F97-INDEX(Grid_Stock[#Data],93,$P$7+2))</f>
        <v/>
      </c>
      <c r="K97" s="15">
        <f>MAX(0,$F97-INDEX(Grid_Stock[#Data],93,$P$7+3))</f>
        <v/>
      </c>
      <c r="L97" s="15">
        <f>MAX(0,$F97-INDEX(Grid_Stock[#Data],93,$P$7+4))</f>
        <v/>
      </c>
      <c r="M97" s="15">
        <f>MAX(0,$F97-INDEX(Grid_Stock[#Data],93,$P$7+5))</f>
        <v/>
      </c>
      <c r="N97" s="15">
        <f>MAX(0,$F97-INDEX(Grid_Stock[#Data],93,$P$7+6))</f>
        <v/>
      </c>
      <c r="O97" s="15">
        <f>MAX(0,$F97-INDEX(Grid_Stock[#Data],93,$P$7+7))</f>
        <v/>
      </c>
      <c r="P97" s="15">
        <f>MAX(0,$F97-INDEX(Grid_Stock[#Data],93,$P$7+8))</f>
        <v/>
      </c>
      <c r="Q97" s="15">
        <f>MAX(0,$F97-INDEX(Grid_Stock[#Data],93,$P$7+9))</f>
        <v/>
      </c>
      <c r="R97" s="15">
        <f>MAX(0,$F97-INDEX(Grid_Stock[#Data],93,$P$7+10))</f>
        <v/>
      </c>
      <c r="S97" s="15">
        <f>MAX(0,$F97-INDEX(Grid_Stock[#Data],93,$P$7+11))</f>
        <v/>
      </c>
      <c r="T97" s="15">
        <f>MAX(0,$F97-INDEX(Grid_Stock[#Data],93,$P$7+12))</f>
        <v/>
      </c>
      <c r="U97" s="15">
        <f>SUM(H97:T97)</f>
        <v/>
      </c>
    </row>
    <row r="98">
      <c r="B98" s="17">
        <f>IFERROR(INDEX(M_RawMaterials[Description],MATCH("CHEM-1710",M_RawMaterials[RM_Code],0)),"")</f>
        <v/>
      </c>
      <c r="C98" s="17" t="inlineStr"/>
      <c r="D98" s="17" t="inlineStr">
        <is>
          <t>CHEM-1710</t>
        </is>
      </c>
      <c r="E98" s="17" t="inlineStr">
        <is>
          <t>kg</t>
        </is>
      </c>
      <c r="F98" s="17">
        <f>IFERROR(INDEX(M_RawMaterials[基準在庫下限_要入力],MATCH("CHEM-1710",M_RawMaterials[RM_Code],0)),0)</f>
        <v/>
      </c>
      <c r="G98" s="17">
        <f>INDEX(Grid_Stock[#Data],94,$P$7)</f>
        <v/>
      </c>
      <c r="H98" s="17">
        <f>MAX(0,$F98-INDEX(Grid_Stock[#Data],94,$P$7+0))</f>
        <v/>
      </c>
      <c r="I98" s="17">
        <f>MAX(0,$F98-INDEX(Grid_Stock[#Data],94,$P$7+1))</f>
        <v/>
      </c>
      <c r="J98" s="17">
        <f>MAX(0,$F98-INDEX(Grid_Stock[#Data],94,$P$7+2))</f>
        <v/>
      </c>
      <c r="K98" s="17">
        <f>MAX(0,$F98-INDEX(Grid_Stock[#Data],94,$P$7+3))</f>
        <v/>
      </c>
      <c r="L98" s="17">
        <f>MAX(0,$F98-INDEX(Grid_Stock[#Data],94,$P$7+4))</f>
        <v/>
      </c>
      <c r="M98" s="17">
        <f>MAX(0,$F98-INDEX(Grid_Stock[#Data],94,$P$7+5))</f>
        <v/>
      </c>
      <c r="N98" s="17">
        <f>MAX(0,$F98-INDEX(Grid_Stock[#Data],94,$P$7+6))</f>
        <v/>
      </c>
      <c r="O98" s="17">
        <f>MAX(0,$F98-INDEX(Grid_Stock[#Data],94,$P$7+7))</f>
        <v/>
      </c>
      <c r="P98" s="17">
        <f>MAX(0,$F98-INDEX(Grid_Stock[#Data],94,$P$7+8))</f>
        <v/>
      </c>
      <c r="Q98" s="17">
        <f>MAX(0,$F98-INDEX(Grid_Stock[#Data],94,$P$7+9))</f>
        <v/>
      </c>
      <c r="R98" s="17">
        <f>MAX(0,$F98-INDEX(Grid_Stock[#Data],94,$P$7+10))</f>
        <v/>
      </c>
      <c r="S98" s="17">
        <f>MAX(0,$F98-INDEX(Grid_Stock[#Data],94,$P$7+11))</f>
        <v/>
      </c>
      <c r="T98" s="17">
        <f>MAX(0,$F98-INDEX(Grid_Stock[#Data],94,$P$7+12))</f>
        <v/>
      </c>
      <c r="U98" s="17">
        <f>SUM(H98:T98)</f>
        <v/>
      </c>
    </row>
    <row r="99">
      <c r="B99" s="15">
        <f>IFERROR(INDEX(M_RawMaterials[Description],MATCH("CHEM-1170",M_RawMaterials[RM_Code],0)),"")</f>
        <v/>
      </c>
      <c r="C99" s="15" t="inlineStr"/>
      <c r="D99" s="15" t="inlineStr">
        <is>
          <t>CHEM-1170</t>
        </is>
      </c>
      <c r="E99" s="15" t="inlineStr">
        <is>
          <t>kg</t>
        </is>
      </c>
      <c r="F99" s="15">
        <f>IFERROR(INDEX(M_RawMaterials[基準在庫下限_要入力],MATCH("CHEM-1170",M_RawMaterials[RM_Code],0)),0)</f>
        <v/>
      </c>
      <c r="G99" s="15">
        <f>INDEX(Grid_Stock[#Data],95,$P$7)</f>
        <v/>
      </c>
      <c r="H99" s="15">
        <f>MAX(0,$F99-INDEX(Grid_Stock[#Data],95,$P$7+0))</f>
        <v/>
      </c>
      <c r="I99" s="15">
        <f>MAX(0,$F99-INDEX(Grid_Stock[#Data],95,$P$7+1))</f>
        <v/>
      </c>
      <c r="J99" s="15">
        <f>MAX(0,$F99-INDEX(Grid_Stock[#Data],95,$P$7+2))</f>
        <v/>
      </c>
      <c r="K99" s="15">
        <f>MAX(0,$F99-INDEX(Grid_Stock[#Data],95,$P$7+3))</f>
        <v/>
      </c>
      <c r="L99" s="15">
        <f>MAX(0,$F99-INDEX(Grid_Stock[#Data],95,$P$7+4))</f>
        <v/>
      </c>
      <c r="M99" s="15">
        <f>MAX(0,$F99-INDEX(Grid_Stock[#Data],95,$P$7+5))</f>
        <v/>
      </c>
      <c r="N99" s="15">
        <f>MAX(0,$F99-INDEX(Grid_Stock[#Data],95,$P$7+6))</f>
        <v/>
      </c>
      <c r="O99" s="15">
        <f>MAX(0,$F99-INDEX(Grid_Stock[#Data],95,$P$7+7))</f>
        <v/>
      </c>
      <c r="P99" s="15">
        <f>MAX(0,$F99-INDEX(Grid_Stock[#Data],95,$P$7+8))</f>
        <v/>
      </c>
      <c r="Q99" s="15">
        <f>MAX(0,$F99-INDEX(Grid_Stock[#Data],95,$P$7+9))</f>
        <v/>
      </c>
      <c r="R99" s="15">
        <f>MAX(0,$F99-INDEX(Grid_Stock[#Data],95,$P$7+10))</f>
        <v/>
      </c>
      <c r="S99" s="15">
        <f>MAX(0,$F99-INDEX(Grid_Stock[#Data],95,$P$7+11))</f>
        <v/>
      </c>
      <c r="T99" s="15">
        <f>MAX(0,$F99-INDEX(Grid_Stock[#Data],95,$P$7+12))</f>
        <v/>
      </c>
      <c r="U99" s="15">
        <f>SUM(H99:T99)</f>
        <v/>
      </c>
    </row>
    <row r="100">
      <c r="B100" s="17">
        <f>IFERROR(INDEX(M_RawMaterials[Description],MATCH("CHEM-1620",M_RawMaterials[RM_Code],0)),"")</f>
        <v/>
      </c>
      <c r="C100" s="17" t="inlineStr"/>
      <c r="D100" s="17" t="inlineStr">
        <is>
          <t>CHEM-1620</t>
        </is>
      </c>
      <c r="E100" s="17" t="inlineStr">
        <is>
          <t>kg</t>
        </is>
      </c>
      <c r="F100" s="17">
        <f>IFERROR(INDEX(M_RawMaterials[基準在庫下限_要入力],MATCH("CHEM-1620",M_RawMaterials[RM_Code],0)),0)</f>
        <v/>
      </c>
      <c r="G100" s="17">
        <f>INDEX(Grid_Stock[#Data],96,$P$7)</f>
        <v/>
      </c>
      <c r="H100" s="17">
        <f>MAX(0,$F100-INDEX(Grid_Stock[#Data],96,$P$7+0))</f>
        <v/>
      </c>
      <c r="I100" s="17">
        <f>MAX(0,$F100-INDEX(Grid_Stock[#Data],96,$P$7+1))</f>
        <v/>
      </c>
      <c r="J100" s="17">
        <f>MAX(0,$F100-INDEX(Grid_Stock[#Data],96,$P$7+2))</f>
        <v/>
      </c>
      <c r="K100" s="17">
        <f>MAX(0,$F100-INDEX(Grid_Stock[#Data],96,$P$7+3))</f>
        <v/>
      </c>
      <c r="L100" s="17">
        <f>MAX(0,$F100-INDEX(Grid_Stock[#Data],96,$P$7+4))</f>
        <v/>
      </c>
      <c r="M100" s="17">
        <f>MAX(0,$F100-INDEX(Grid_Stock[#Data],96,$P$7+5))</f>
        <v/>
      </c>
      <c r="N100" s="17">
        <f>MAX(0,$F100-INDEX(Grid_Stock[#Data],96,$P$7+6))</f>
        <v/>
      </c>
      <c r="O100" s="17">
        <f>MAX(0,$F100-INDEX(Grid_Stock[#Data],96,$P$7+7))</f>
        <v/>
      </c>
      <c r="P100" s="17">
        <f>MAX(0,$F100-INDEX(Grid_Stock[#Data],96,$P$7+8))</f>
        <v/>
      </c>
      <c r="Q100" s="17">
        <f>MAX(0,$F100-INDEX(Grid_Stock[#Data],96,$P$7+9))</f>
        <v/>
      </c>
      <c r="R100" s="17">
        <f>MAX(0,$F100-INDEX(Grid_Stock[#Data],96,$P$7+10))</f>
        <v/>
      </c>
      <c r="S100" s="17">
        <f>MAX(0,$F100-INDEX(Grid_Stock[#Data],96,$P$7+11))</f>
        <v/>
      </c>
      <c r="T100" s="17">
        <f>MAX(0,$F100-INDEX(Grid_Stock[#Data],96,$P$7+12))</f>
        <v/>
      </c>
      <c r="U100" s="17">
        <f>SUM(H100:T100)</f>
        <v/>
      </c>
    </row>
    <row r="101">
      <c r="B101" s="15">
        <f>IFERROR(INDEX(M_RawMaterials[Description],MATCH("CHEM-1050",M_RawMaterials[RM_Code],0)),"")</f>
        <v/>
      </c>
      <c r="C101" s="15" t="inlineStr"/>
      <c r="D101" s="15" t="inlineStr">
        <is>
          <t>CHEM-1050</t>
        </is>
      </c>
      <c r="E101" s="15" t="inlineStr">
        <is>
          <t>kg</t>
        </is>
      </c>
      <c r="F101" s="15">
        <f>IFERROR(INDEX(M_RawMaterials[基準在庫下限_要入力],MATCH("CHEM-1050",M_RawMaterials[RM_Code],0)),0)</f>
        <v/>
      </c>
      <c r="G101" s="15">
        <f>INDEX(Grid_Stock[#Data],97,$P$7)</f>
        <v/>
      </c>
      <c r="H101" s="15">
        <f>MAX(0,$F101-INDEX(Grid_Stock[#Data],97,$P$7+0))</f>
        <v/>
      </c>
      <c r="I101" s="15">
        <f>MAX(0,$F101-INDEX(Grid_Stock[#Data],97,$P$7+1))</f>
        <v/>
      </c>
      <c r="J101" s="15">
        <f>MAX(0,$F101-INDEX(Grid_Stock[#Data],97,$P$7+2))</f>
        <v/>
      </c>
      <c r="K101" s="15">
        <f>MAX(0,$F101-INDEX(Grid_Stock[#Data],97,$P$7+3))</f>
        <v/>
      </c>
      <c r="L101" s="15">
        <f>MAX(0,$F101-INDEX(Grid_Stock[#Data],97,$P$7+4))</f>
        <v/>
      </c>
      <c r="M101" s="15">
        <f>MAX(0,$F101-INDEX(Grid_Stock[#Data],97,$P$7+5))</f>
        <v/>
      </c>
      <c r="N101" s="15">
        <f>MAX(0,$F101-INDEX(Grid_Stock[#Data],97,$P$7+6))</f>
        <v/>
      </c>
      <c r="O101" s="15">
        <f>MAX(0,$F101-INDEX(Grid_Stock[#Data],97,$P$7+7))</f>
        <v/>
      </c>
      <c r="P101" s="15">
        <f>MAX(0,$F101-INDEX(Grid_Stock[#Data],97,$P$7+8))</f>
        <v/>
      </c>
      <c r="Q101" s="15">
        <f>MAX(0,$F101-INDEX(Grid_Stock[#Data],97,$P$7+9))</f>
        <v/>
      </c>
      <c r="R101" s="15">
        <f>MAX(0,$F101-INDEX(Grid_Stock[#Data],97,$P$7+10))</f>
        <v/>
      </c>
      <c r="S101" s="15">
        <f>MAX(0,$F101-INDEX(Grid_Stock[#Data],97,$P$7+11))</f>
        <v/>
      </c>
      <c r="T101" s="15">
        <f>MAX(0,$F101-INDEX(Grid_Stock[#Data],97,$P$7+12))</f>
        <v/>
      </c>
      <c r="U101" s="15">
        <f>SUM(H101:T101)</f>
        <v/>
      </c>
    </row>
    <row r="102">
      <c r="B102" s="17">
        <f>IFERROR(INDEX(M_RawMaterials[Description],MATCH("CHEM-1190",M_RawMaterials[RM_Code],0)),"")</f>
        <v/>
      </c>
      <c r="C102" s="17" t="inlineStr"/>
      <c r="D102" s="17" t="inlineStr">
        <is>
          <t>CHEM-1190</t>
        </is>
      </c>
      <c r="E102" s="17" t="inlineStr">
        <is>
          <t>kg</t>
        </is>
      </c>
      <c r="F102" s="17">
        <f>IFERROR(INDEX(M_RawMaterials[基準在庫下限_要入力],MATCH("CHEM-1190",M_RawMaterials[RM_Code],0)),0)</f>
        <v/>
      </c>
      <c r="G102" s="17">
        <f>INDEX(Grid_Stock[#Data],98,$P$7)</f>
        <v/>
      </c>
      <c r="H102" s="17">
        <f>MAX(0,$F102-INDEX(Grid_Stock[#Data],98,$P$7+0))</f>
        <v/>
      </c>
      <c r="I102" s="17">
        <f>MAX(0,$F102-INDEX(Grid_Stock[#Data],98,$P$7+1))</f>
        <v/>
      </c>
      <c r="J102" s="17">
        <f>MAX(0,$F102-INDEX(Grid_Stock[#Data],98,$P$7+2))</f>
        <v/>
      </c>
      <c r="K102" s="17">
        <f>MAX(0,$F102-INDEX(Grid_Stock[#Data],98,$P$7+3))</f>
        <v/>
      </c>
      <c r="L102" s="17">
        <f>MAX(0,$F102-INDEX(Grid_Stock[#Data],98,$P$7+4))</f>
        <v/>
      </c>
      <c r="M102" s="17">
        <f>MAX(0,$F102-INDEX(Grid_Stock[#Data],98,$P$7+5))</f>
        <v/>
      </c>
      <c r="N102" s="17">
        <f>MAX(0,$F102-INDEX(Grid_Stock[#Data],98,$P$7+6))</f>
        <v/>
      </c>
      <c r="O102" s="17">
        <f>MAX(0,$F102-INDEX(Grid_Stock[#Data],98,$P$7+7))</f>
        <v/>
      </c>
      <c r="P102" s="17">
        <f>MAX(0,$F102-INDEX(Grid_Stock[#Data],98,$P$7+8))</f>
        <v/>
      </c>
      <c r="Q102" s="17">
        <f>MAX(0,$F102-INDEX(Grid_Stock[#Data],98,$P$7+9))</f>
        <v/>
      </c>
      <c r="R102" s="17">
        <f>MAX(0,$F102-INDEX(Grid_Stock[#Data],98,$P$7+10))</f>
        <v/>
      </c>
      <c r="S102" s="17">
        <f>MAX(0,$F102-INDEX(Grid_Stock[#Data],98,$P$7+11))</f>
        <v/>
      </c>
      <c r="T102" s="17">
        <f>MAX(0,$F102-INDEX(Grid_Stock[#Data],98,$P$7+12))</f>
        <v/>
      </c>
      <c r="U102" s="17">
        <f>SUM(H102:T102)</f>
        <v/>
      </c>
    </row>
    <row r="103">
      <c r="B103" s="15">
        <f>IFERROR(INDEX(M_RawMaterials[Description],MATCH("CHEM-1630",M_RawMaterials[RM_Code],0)),"")</f>
        <v/>
      </c>
      <c r="C103" s="15" t="inlineStr"/>
      <c r="D103" s="15" t="inlineStr">
        <is>
          <t>CHEM-1630</t>
        </is>
      </c>
      <c r="E103" s="15" t="inlineStr">
        <is>
          <t>kg</t>
        </is>
      </c>
      <c r="F103" s="15">
        <f>IFERROR(INDEX(M_RawMaterials[基準在庫下限_要入力],MATCH("CHEM-1630",M_RawMaterials[RM_Code],0)),0)</f>
        <v/>
      </c>
      <c r="G103" s="15">
        <f>INDEX(Grid_Stock[#Data],99,$P$7)</f>
        <v/>
      </c>
      <c r="H103" s="15">
        <f>MAX(0,$F103-INDEX(Grid_Stock[#Data],99,$P$7+0))</f>
        <v/>
      </c>
      <c r="I103" s="15">
        <f>MAX(0,$F103-INDEX(Grid_Stock[#Data],99,$P$7+1))</f>
        <v/>
      </c>
      <c r="J103" s="15">
        <f>MAX(0,$F103-INDEX(Grid_Stock[#Data],99,$P$7+2))</f>
        <v/>
      </c>
      <c r="K103" s="15">
        <f>MAX(0,$F103-INDEX(Grid_Stock[#Data],99,$P$7+3))</f>
        <v/>
      </c>
      <c r="L103" s="15">
        <f>MAX(0,$F103-INDEX(Grid_Stock[#Data],99,$P$7+4))</f>
        <v/>
      </c>
      <c r="M103" s="15">
        <f>MAX(0,$F103-INDEX(Grid_Stock[#Data],99,$P$7+5))</f>
        <v/>
      </c>
      <c r="N103" s="15">
        <f>MAX(0,$F103-INDEX(Grid_Stock[#Data],99,$P$7+6))</f>
        <v/>
      </c>
      <c r="O103" s="15">
        <f>MAX(0,$F103-INDEX(Grid_Stock[#Data],99,$P$7+7))</f>
        <v/>
      </c>
      <c r="P103" s="15">
        <f>MAX(0,$F103-INDEX(Grid_Stock[#Data],99,$P$7+8))</f>
        <v/>
      </c>
      <c r="Q103" s="15">
        <f>MAX(0,$F103-INDEX(Grid_Stock[#Data],99,$P$7+9))</f>
        <v/>
      </c>
      <c r="R103" s="15">
        <f>MAX(0,$F103-INDEX(Grid_Stock[#Data],99,$P$7+10))</f>
        <v/>
      </c>
      <c r="S103" s="15">
        <f>MAX(0,$F103-INDEX(Grid_Stock[#Data],99,$P$7+11))</f>
        <v/>
      </c>
      <c r="T103" s="15">
        <f>MAX(0,$F103-INDEX(Grid_Stock[#Data],99,$P$7+12))</f>
        <v/>
      </c>
      <c r="U103" s="15">
        <f>SUM(H103:T103)</f>
        <v/>
      </c>
    </row>
    <row r="104">
      <c r="B104" s="17">
        <f>IFERROR(INDEX(M_RawMaterials[Description],MATCH("CHEM-1090",M_RawMaterials[RM_Code],0)),"")</f>
        <v/>
      </c>
      <c r="C104" s="17" t="inlineStr"/>
      <c r="D104" s="17" t="inlineStr">
        <is>
          <t>CHEM-1090</t>
        </is>
      </c>
      <c r="E104" s="17" t="inlineStr">
        <is>
          <t>kg</t>
        </is>
      </c>
      <c r="F104" s="17">
        <f>IFERROR(INDEX(M_RawMaterials[基準在庫下限_要入力],MATCH("CHEM-1090",M_RawMaterials[RM_Code],0)),0)</f>
        <v/>
      </c>
      <c r="G104" s="17">
        <f>INDEX(Grid_Stock[#Data],100,$P$7)</f>
        <v/>
      </c>
      <c r="H104" s="17">
        <f>MAX(0,$F104-INDEX(Grid_Stock[#Data],100,$P$7+0))</f>
        <v/>
      </c>
      <c r="I104" s="17">
        <f>MAX(0,$F104-INDEX(Grid_Stock[#Data],100,$P$7+1))</f>
        <v/>
      </c>
      <c r="J104" s="17">
        <f>MAX(0,$F104-INDEX(Grid_Stock[#Data],100,$P$7+2))</f>
        <v/>
      </c>
      <c r="K104" s="17">
        <f>MAX(0,$F104-INDEX(Grid_Stock[#Data],100,$P$7+3))</f>
        <v/>
      </c>
      <c r="L104" s="17">
        <f>MAX(0,$F104-INDEX(Grid_Stock[#Data],100,$P$7+4))</f>
        <v/>
      </c>
      <c r="M104" s="17">
        <f>MAX(0,$F104-INDEX(Grid_Stock[#Data],100,$P$7+5))</f>
        <v/>
      </c>
      <c r="N104" s="17">
        <f>MAX(0,$F104-INDEX(Grid_Stock[#Data],100,$P$7+6))</f>
        <v/>
      </c>
      <c r="O104" s="17">
        <f>MAX(0,$F104-INDEX(Grid_Stock[#Data],100,$P$7+7))</f>
        <v/>
      </c>
      <c r="P104" s="17">
        <f>MAX(0,$F104-INDEX(Grid_Stock[#Data],100,$P$7+8))</f>
        <v/>
      </c>
      <c r="Q104" s="17">
        <f>MAX(0,$F104-INDEX(Grid_Stock[#Data],100,$P$7+9))</f>
        <v/>
      </c>
      <c r="R104" s="17">
        <f>MAX(0,$F104-INDEX(Grid_Stock[#Data],100,$P$7+10))</f>
        <v/>
      </c>
      <c r="S104" s="17">
        <f>MAX(0,$F104-INDEX(Grid_Stock[#Data],100,$P$7+11))</f>
        <v/>
      </c>
      <c r="T104" s="17">
        <f>MAX(0,$F104-INDEX(Grid_Stock[#Data],100,$P$7+12))</f>
        <v/>
      </c>
      <c r="U104" s="17">
        <f>SUM(H104:T104)</f>
        <v/>
      </c>
    </row>
    <row r="105">
      <c r="B105" s="15">
        <f>IFERROR(INDEX(M_RawMaterials[Description],MATCH("CHEM-1310",M_RawMaterials[RM_Code],0)),"")</f>
        <v/>
      </c>
      <c r="C105" s="15" t="inlineStr"/>
      <c r="D105" s="15" t="inlineStr">
        <is>
          <t>CHEM-1310</t>
        </is>
      </c>
      <c r="E105" s="15" t="inlineStr">
        <is>
          <t>kg</t>
        </is>
      </c>
      <c r="F105" s="15">
        <f>IFERROR(INDEX(M_RawMaterials[基準在庫下限_要入力],MATCH("CHEM-1310",M_RawMaterials[RM_Code],0)),0)</f>
        <v/>
      </c>
      <c r="G105" s="15">
        <f>INDEX(Grid_Stock[#Data],101,$P$7)</f>
        <v/>
      </c>
      <c r="H105" s="15">
        <f>MAX(0,$F105-INDEX(Grid_Stock[#Data],101,$P$7+0))</f>
        <v/>
      </c>
      <c r="I105" s="15">
        <f>MAX(0,$F105-INDEX(Grid_Stock[#Data],101,$P$7+1))</f>
        <v/>
      </c>
      <c r="J105" s="15">
        <f>MAX(0,$F105-INDEX(Grid_Stock[#Data],101,$P$7+2))</f>
        <v/>
      </c>
      <c r="K105" s="15">
        <f>MAX(0,$F105-INDEX(Grid_Stock[#Data],101,$P$7+3))</f>
        <v/>
      </c>
      <c r="L105" s="15">
        <f>MAX(0,$F105-INDEX(Grid_Stock[#Data],101,$P$7+4))</f>
        <v/>
      </c>
      <c r="M105" s="15">
        <f>MAX(0,$F105-INDEX(Grid_Stock[#Data],101,$P$7+5))</f>
        <v/>
      </c>
      <c r="N105" s="15">
        <f>MAX(0,$F105-INDEX(Grid_Stock[#Data],101,$P$7+6))</f>
        <v/>
      </c>
      <c r="O105" s="15">
        <f>MAX(0,$F105-INDEX(Grid_Stock[#Data],101,$P$7+7))</f>
        <v/>
      </c>
      <c r="P105" s="15">
        <f>MAX(0,$F105-INDEX(Grid_Stock[#Data],101,$P$7+8))</f>
        <v/>
      </c>
      <c r="Q105" s="15">
        <f>MAX(0,$F105-INDEX(Grid_Stock[#Data],101,$P$7+9))</f>
        <v/>
      </c>
      <c r="R105" s="15">
        <f>MAX(0,$F105-INDEX(Grid_Stock[#Data],101,$P$7+10))</f>
        <v/>
      </c>
      <c r="S105" s="15">
        <f>MAX(0,$F105-INDEX(Grid_Stock[#Data],101,$P$7+11))</f>
        <v/>
      </c>
      <c r="T105" s="15">
        <f>MAX(0,$F105-INDEX(Grid_Stock[#Data],101,$P$7+12))</f>
        <v/>
      </c>
      <c r="U105" s="15">
        <f>SUM(H105:T105)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6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7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8" t="inlineStr">
        <is>
          <t>Part Name</t>
        </is>
      </c>
      <c r="C14" s="28" t="inlineStr">
        <is>
          <t>TTAF Code</t>
        </is>
      </c>
      <c r="D14" s="28" t="inlineStr">
        <is>
          <t>CSA Code</t>
        </is>
      </c>
      <c r="E14" s="28" t="inlineStr">
        <is>
          <t>UOM</t>
        </is>
      </c>
      <c r="F14" s="28" t="inlineStr">
        <is>
          <t>SafetyStock</t>
        </is>
      </c>
      <c r="G14" s="28" t="inlineStr">
        <is>
          <t>CurrentStock</t>
        </is>
      </c>
      <c r="H14" s="28">
        <f>INDEX(Cal_Weeks[Label],$P$7+0)</f>
        <v/>
      </c>
      <c r="I14" s="28">
        <f>INDEX(Cal_Weeks[Label],$P$7+1)</f>
        <v/>
      </c>
      <c r="J14" s="28">
        <f>INDEX(Cal_Weeks[Label],$P$7+2)</f>
        <v/>
      </c>
      <c r="K14" s="28">
        <f>INDEX(Cal_Weeks[Label],$P$7+3)</f>
        <v/>
      </c>
      <c r="L14" s="28">
        <f>INDEX(Cal_Weeks[Label],$P$7+4)</f>
        <v/>
      </c>
      <c r="M14" s="28">
        <f>INDEX(Cal_Weeks[Label],$P$7+5)</f>
        <v/>
      </c>
      <c r="N14" s="28">
        <f>INDEX(Cal_Weeks[Label],$P$7+6)</f>
        <v/>
      </c>
      <c r="O14" s="28">
        <f>INDEX(Cal_Weeks[Label],$P$7+7)</f>
        <v/>
      </c>
      <c r="P14" s="28">
        <f>INDEX(Cal_Weeks[Label],$P$7+8)</f>
        <v/>
      </c>
      <c r="Q14" s="28">
        <f>INDEX(Cal_Weeks[Label],$P$7+9)</f>
        <v/>
      </c>
      <c r="R14" s="28">
        <f>INDEX(Cal_Weeks[Label],$P$7+10)</f>
        <v/>
      </c>
      <c r="S14" s="28">
        <f>INDEX(Cal_Weeks[Label],$P$7+11)</f>
        <v/>
      </c>
      <c r="T14" s="28">
        <f>INDEX(Cal_Weeks[Label],$P$7+12)</f>
        <v/>
      </c>
      <c r="U14" s="28" t="inlineStr">
        <is>
          <t>Total</t>
        </is>
      </c>
    </row>
    <row r="15">
      <c r="B15" s="15">
        <f>IFERROR(INDEX(M_RawMaterials[Description],MATCH("CHEM-1660",M_RawMaterials[RM_Code],0)),"")</f>
        <v/>
      </c>
      <c r="C15" s="15" t="inlineStr">
        <is>
          <t>71288627101</t>
        </is>
      </c>
      <c r="D15" s="15" t="inlineStr">
        <is>
          <t>CHEM-1660</t>
        </is>
      </c>
      <c r="E15" s="15" t="inlineStr">
        <is>
          <t>kg</t>
        </is>
      </c>
      <c r="F15" s="15">
        <f>IFERROR(INDEX(M_RawMaterials[基準在庫下限_要入力],MATCH("CHEM-1660",M_RawMaterials[RM_Code],0)),0)</f>
        <v/>
      </c>
      <c r="G15" s="15">
        <f>INDEX(Grid_Stock[#Data],20,$P$7)</f>
        <v/>
      </c>
      <c r="H15" s="15">
        <f>MAX(0,$F15-INDEX(Grid_Stock[#Data],20,$P$7+0))</f>
        <v/>
      </c>
      <c r="I15" s="15">
        <f>MAX(0,$F15-INDEX(Grid_Stock[#Data],20,$P$7+1))</f>
        <v/>
      </c>
      <c r="J15" s="15">
        <f>MAX(0,$F15-INDEX(Grid_Stock[#Data],20,$P$7+2))</f>
        <v/>
      </c>
      <c r="K15" s="15">
        <f>MAX(0,$F15-INDEX(Grid_Stock[#Data],20,$P$7+3))</f>
        <v/>
      </c>
      <c r="L15" s="15">
        <f>MAX(0,$F15-INDEX(Grid_Stock[#Data],20,$P$7+4))</f>
        <v/>
      </c>
      <c r="M15" s="15">
        <f>MAX(0,$F15-INDEX(Grid_Stock[#Data],20,$P$7+5))</f>
        <v/>
      </c>
      <c r="N15" s="15">
        <f>MAX(0,$F15-INDEX(Grid_Stock[#Data],20,$P$7+6))</f>
        <v/>
      </c>
      <c r="O15" s="15">
        <f>MAX(0,$F15-INDEX(Grid_Stock[#Data],20,$P$7+7))</f>
        <v/>
      </c>
      <c r="P15" s="15">
        <f>MAX(0,$F15-INDEX(Grid_Stock[#Data],20,$P$7+8))</f>
        <v/>
      </c>
      <c r="Q15" s="15">
        <f>MAX(0,$F15-INDEX(Grid_Stock[#Data],20,$P$7+9))</f>
        <v/>
      </c>
      <c r="R15" s="15">
        <f>MAX(0,$F15-INDEX(Grid_Stock[#Data],20,$P$7+10))</f>
        <v/>
      </c>
      <c r="S15" s="15">
        <f>MAX(0,$F15-INDEX(Grid_Stock[#Data],20,$P$7+11))</f>
        <v/>
      </c>
      <c r="T15" s="15">
        <f>MAX(0,$F15-INDEX(Grid_Stock[#Data],20,$P$7+12))</f>
        <v/>
      </c>
      <c r="U15" s="15">
        <f>SUM(H15:T15)</f>
        <v/>
      </c>
    </row>
    <row r="16">
      <c r="B16" s="17">
        <f>IFERROR(INDEX(M_RawMaterials[Description],MATCH("CHEM-1280",M_RawMaterials[RM_Code],0)),"")</f>
        <v/>
      </c>
      <c r="C16" s="17" t="inlineStr">
        <is>
          <t>83988002202</t>
        </is>
      </c>
      <c r="D16" s="17" t="inlineStr">
        <is>
          <t>CHEM-1280</t>
        </is>
      </c>
      <c r="E16" s="17" t="inlineStr">
        <is>
          <t>kg</t>
        </is>
      </c>
      <c r="F16" s="17">
        <f>IFERROR(INDEX(M_RawMaterials[基準在庫下限_要入力],MATCH("CHEM-1280",M_RawMaterials[RM_Code],0)),0)</f>
        <v/>
      </c>
      <c r="G16" s="17">
        <f>INDEX(Grid_Stock[#Data],22,$P$7)</f>
        <v/>
      </c>
      <c r="H16" s="17">
        <f>MAX(0,$F16-INDEX(Grid_Stock[#Data],22,$P$7+0))</f>
        <v/>
      </c>
      <c r="I16" s="17">
        <f>MAX(0,$F16-INDEX(Grid_Stock[#Data],22,$P$7+1))</f>
        <v/>
      </c>
      <c r="J16" s="17">
        <f>MAX(0,$F16-INDEX(Grid_Stock[#Data],22,$P$7+2))</f>
        <v/>
      </c>
      <c r="K16" s="17">
        <f>MAX(0,$F16-INDEX(Grid_Stock[#Data],22,$P$7+3))</f>
        <v/>
      </c>
      <c r="L16" s="17">
        <f>MAX(0,$F16-INDEX(Grid_Stock[#Data],22,$P$7+4))</f>
        <v/>
      </c>
      <c r="M16" s="17">
        <f>MAX(0,$F16-INDEX(Grid_Stock[#Data],22,$P$7+5))</f>
        <v/>
      </c>
      <c r="N16" s="17">
        <f>MAX(0,$F16-INDEX(Grid_Stock[#Data],22,$P$7+6))</f>
        <v/>
      </c>
      <c r="O16" s="17">
        <f>MAX(0,$F16-INDEX(Grid_Stock[#Data],22,$P$7+7))</f>
        <v/>
      </c>
      <c r="P16" s="17">
        <f>MAX(0,$F16-INDEX(Grid_Stock[#Data],22,$P$7+8))</f>
        <v/>
      </c>
      <c r="Q16" s="17">
        <f>MAX(0,$F16-INDEX(Grid_Stock[#Data],22,$P$7+9))</f>
        <v/>
      </c>
      <c r="R16" s="17">
        <f>MAX(0,$F16-INDEX(Grid_Stock[#Data],22,$P$7+10))</f>
        <v/>
      </c>
      <c r="S16" s="17">
        <f>MAX(0,$F16-INDEX(Grid_Stock[#Data],22,$P$7+11))</f>
        <v/>
      </c>
      <c r="T16" s="17">
        <f>MAX(0,$F16-INDEX(Grid_Stock[#Data],22,$P$7+12))</f>
        <v/>
      </c>
      <c r="U16" s="17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6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7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8" t="inlineStr">
        <is>
          <t>Part Name</t>
        </is>
      </c>
      <c r="C14" s="28" t="inlineStr">
        <is>
          <t>TTAF Code</t>
        </is>
      </c>
      <c r="D14" s="28" t="inlineStr">
        <is>
          <t>CSA Code</t>
        </is>
      </c>
      <c r="E14" s="28" t="inlineStr">
        <is>
          <t>UOM</t>
        </is>
      </c>
      <c r="F14" s="28" t="inlineStr">
        <is>
          <t>SafetyStock</t>
        </is>
      </c>
      <c r="G14" s="28" t="inlineStr">
        <is>
          <t>CurrentStock</t>
        </is>
      </c>
      <c r="H14" s="28">
        <f>INDEX(Cal_Weeks[Label],$P$7+0)</f>
        <v/>
      </c>
      <c r="I14" s="28">
        <f>INDEX(Cal_Weeks[Label],$P$7+1)</f>
        <v/>
      </c>
      <c r="J14" s="28">
        <f>INDEX(Cal_Weeks[Label],$P$7+2)</f>
        <v/>
      </c>
      <c r="K14" s="28">
        <f>INDEX(Cal_Weeks[Label],$P$7+3)</f>
        <v/>
      </c>
      <c r="L14" s="28">
        <f>INDEX(Cal_Weeks[Label],$P$7+4)</f>
        <v/>
      </c>
      <c r="M14" s="28">
        <f>INDEX(Cal_Weeks[Label],$P$7+5)</f>
        <v/>
      </c>
      <c r="N14" s="28">
        <f>INDEX(Cal_Weeks[Label],$P$7+6)</f>
        <v/>
      </c>
      <c r="O14" s="28">
        <f>INDEX(Cal_Weeks[Label],$P$7+7)</f>
        <v/>
      </c>
      <c r="P14" s="28">
        <f>INDEX(Cal_Weeks[Label],$P$7+8)</f>
        <v/>
      </c>
      <c r="Q14" s="28">
        <f>INDEX(Cal_Weeks[Label],$P$7+9)</f>
        <v/>
      </c>
      <c r="R14" s="28">
        <f>INDEX(Cal_Weeks[Label],$P$7+10)</f>
        <v/>
      </c>
      <c r="S14" s="28">
        <f>INDEX(Cal_Weeks[Label],$P$7+11)</f>
        <v/>
      </c>
      <c r="T14" s="28">
        <f>INDEX(Cal_Weeks[Label],$P$7+12)</f>
        <v/>
      </c>
      <c r="U14" s="28" t="inlineStr">
        <is>
          <t>Total</t>
        </is>
      </c>
    </row>
    <row r="15">
      <c r="B15" s="15">
        <f>IFERROR(INDEX(M_RawMaterials[Description],MATCH("9RN",M_RawMaterials[RM_Code],0)),"")</f>
        <v/>
      </c>
      <c r="C15" s="15" t="inlineStr">
        <is>
          <t>1846515030 ( 4FK13117080Z)</t>
        </is>
      </c>
      <c r="D15" s="15" t="inlineStr">
        <is>
          <t>9RN</t>
        </is>
      </c>
      <c r="E15" s="15" t="inlineStr">
        <is>
          <t>kg</t>
        </is>
      </c>
      <c r="F15" s="15">
        <f>IFERROR(INDEX(M_RawMaterials[基準在庫下限_要入力],MATCH("9RN",M_RawMaterials[RM_Code],0)),0)</f>
        <v/>
      </c>
      <c r="G15" s="15">
        <f>INDEX(Grid_Stock[#Data],14,$P$7)</f>
        <v/>
      </c>
      <c r="H15" s="15">
        <f>MAX(0,$F15-INDEX(Grid_Stock[#Data],14,$P$7+0))</f>
        <v/>
      </c>
      <c r="I15" s="15">
        <f>MAX(0,$F15-INDEX(Grid_Stock[#Data],14,$P$7+1))</f>
        <v/>
      </c>
      <c r="J15" s="15">
        <f>MAX(0,$F15-INDEX(Grid_Stock[#Data],14,$P$7+2))</f>
        <v/>
      </c>
      <c r="K15" s="15">
        <f>MAX(0,$F15-INDEX(Grid_Stock[#Data],14,$P$7+3))</f>
        <v/>
      </c>
      <c r="L15" s="15">
        <f>MAX(0,$F15-INDEX(Grid_Stock[#Data],14,$P$7+4))</f>
        <v/>
      </c>
      <c r="M15" s="15">
        <f>MAX(0,$F15-INDEX(Grid_Stock[#Data],14,$P$7+5))</f>
        <v/>
      </c>
      <c r="N15" s="15">
        <f>MAX(0,$F15-INDEX(Grid_Stock[#Data],14,$P$7+6))</f>
        <v/>
      </c>
      <c r="O15" s="15">
        <f>MAX(0,$F15-INDEX(Grid_Stock[#Data],14,$P$7+7))</f>
        <v/>
      </c>
      <c r="P15" s="15">
        <f>MAX(0,$F15-INDEX(Grid_Stock[#Data],14,$P$7+8))</f>
        <v/>
      </c>
      <c r="Q15" s="15">
        <f>MAX(0,$F15-INDEX(Grid_Stock[#Data],14,$P$7+9))</f>
        <v/>
      </c>
      <c r="R15" s="15">
        <f>MAX(0,$F15-INDEX(Grid_Stock[#Data],14,$P$7+10))</f>
        <v/>
      </c>
      <c r="S15" s="15">
        <f>MAX(0,$F15-INDEX(Grid_Stock[#Data],14,$P$7+11))</f>
        <v/>
      </c>
      <c r="T15" s="15">
        <f>MAX(0,$F15-INDEX(Grid_Stock[#Data],14,$P$7+12))</f>
        <v/>
      </c>
      <c r="U15" s="15">
        <f>SUM(H15:T15)</f>
        <v/>
      </c>
    </row>
    <row r="16">
      <c r="B16" s="17">
        <f>IFERROR(INDEX(M_RawMaterials[Description],MATCH("7EP",M_RawMaterials[RM_Code],0)),"")</f>
        <v/>
      </c>
      <c r="C16" s="17" t="inlineStr">
        <is>
          <t>1846540040 ( 4FK13093100Z)</t>
        </is>
      </c>
      <c r="D16" s="17" t="inlineStr">
        <is>
          <t>7EP</t>
        </is>
      </c>
      <c r="E16" s="17" t="inlineStr">
        <is>
          <t>kg</t>
        </is>
      </c>
      <c r="F16" s="17">
        <f>IFERROR(INDEX(M_RawMaterials[基準在庫下限_要入力],MATCH("7EP",M_RawMaterials[RM_Code],0)),0)</f>
        <v/>
      </c>
      <c r="G16" s="17">
        <f>INDEX(Grid_Stock[#Data],15,$P$7)</f>
        <v/>
      </c>
      <c r="H16" s="17">
        <f>MAX(0,$F16-INDEX(Grid_Stock[#Data],15,$P$7+0))</f>
        <v/>
      </c>
      <c r="I16" s="17">
        <f>MAX(0,$F16-INDEX(Grid_Stock[#Data],15,$P$7+1))</f>
        <v/>
      </c>
      <c r="J16" s="17">
        <f>MAX(0,$F16-INDEX(Grid_Stock[#Data],15,$P$7+2))</f>
        <v/>
      </c>
      <c r="K16" s="17">
        <f>MAX(0,$F16-INDEX(Grid_Stock[#Data],15,$P$7+3))</f>
        <v/>
      </c>
      <c r="L16" s="17">
        <f>MAX(0,$F16-INDEX(Grid_Stock[#Data],15,$P$7+4))</f>
        <v/>
      </c>
      <c r="M16" s="17">
        <f>MAX(0,$F16-INDEX(Grid_Stock[#Data],15,$P$7+5))</f>
        <v/>
      </c>
      <c r="N16" s="17">
        <f>MAX(0,$F16-INDEX(Grid_Stock[#Data],15,$P$7+6))</f>
        <v/>
      </c>
      <c r="O16" s="17">
        <f>MAX(0,$F16-INDEX(Grid_Stock[#Data],15,$P$7+7))</f>
        <v/>
      </c>
      <c r="P16" s="17">
        <f>MAX(0,$F16-INDEX(Grid_Stock[#Data],15,$P$7+8))</f>
        <v/>
      </c>
      <c r="Q16" s="17">
        <f>MAX(0,$F16-INDEX(Grid_Stock[#Data],15,$P$7+9))</f>
        <v/>
      </c>
      <c r="R16" s="17">
        <f>MAX(0,$F16-INDEX(Grid_Stock[#Data],15,$P$7+10))</f>
        <v/>
      </c>
      <c r="S16" s="17">
        <f>MAX(0,$F16-INDEX(Grid_Stock[#Data],15,$P$7+11))</f>
        <v/>
      </c>
      <c r="T16" s="17">
        <f>MAX(0,$F16-INDEX(Grid_Stock[#Data],15,$P$7+12))</f>
        <v/>
      </c>
      <c r="U16" s="17">
        <f>SUM(H16:T16)</f>
        <v/>
      </c>
    </row>
    <row r="17">
      <c r="B17" s="15">
        <f>IFERROR(INDEX(M_RawMaterials[Description],MATCH("0JN",M_RawMaterials[RM_Code],0)),"")</f>
        <v/>
      </c>
      <c r="C17" s="15" t="inlineStr">
        <is>
          <t>KFD13117100</t>
        </is>
      </c>
      <c r="D17" s="15" t="inlineStr">
        <is>
          <t>0JN</t>
        </is>
      </c>
      <c r="E17" s="15" t="inlineStr">
        <is>
          <t>kg</t>
        </is>
      </c>
      <c r="F17" s="15">
        <f>IFERROR(INDEX(M_RawMaterials[基準在庫下限_要入力],MATCH("0JN",M_RawMaterials[RM_Code],0)),0)</f>
        <v/>
      </c>
      <c r="G17" s="15">
        <f>INDEX(Grid_Stock[#Data],24,$P$7)</f>
        <v/>
      </c>
      <c r="H17" s="15">
        <f>MAX(0,$F17-INDEX(Grid_Stock[#Data],24,$P$7+0))</f>
        <v/>
      </c>
      <c r="I17" s="15">
        <f>MAX(0,$F17-INDEX(Grid_Stock[#Data],24,$P$7+1))</f>
        <v/>
      </c>
      <c r="J17" s="15">
        <f>MAX(0,$F17-INDEX(Grid_Stock[#Data],24,$P$7+2))</f>
        <v/>
      </c>
      <c r="K17" s="15">
        <f>MAX(0,$F17-INDEX(Grid_Stock[#Data],24,$P$7+3))</f>
        <v/>
      </c>
      <c r="L17" s="15">
        <f>MAX(0,$F17-INDEX(Grid_Stock[#Data],24,$P$7+4))</f>
        <v/>
      </c>
      <c r="M17" s="15">
        <f>MAX(0,$F17-INDEX(Grid_Stock[#Data],24,$P$7+5))</f>
        <v/>
      </c>
      <c r="N17" s="15">
        <f>MAX(0,$F17-INDEX(Grid_Stock[#Data],24,$P$7+6))</f>
        <v/>
      </c>
      <c r="O17" s="15">
        <f>MAX(0,$F17-INDEX(Grid_Stock[#Data],24,$P$7+7))</f>
        <v/>
      </c>
      <c r="P17" s="15">
        <f>MAX(0,$F17-INDEX(Grid_Stock[#Data],24,$P$7+8))</f>
        <v/>
      </c>
      <c r="Q17" s="15">
        <f>MAX(0,$F17-INDEX(Grid_Stock[#Data],24,$P$7+9))</f>
        <v/>
      </c>
      <c r="R17" s="15">
        <f>MAX(0,$F17-INDEX(Grid_Stock[#Data],24,$P$7+10))</f>
        <v/>
      </c>
      <c r="S17" s="15">
        <f>MAX(0,$F17-INDEX(Grid_Stock[#Data],24,$P$7+11))</f>
        <v/>
      </c>
      <c r="T17" s="15">
        <f>MAX(0,$F17-INDEX(Grid_Stock[#Data],24,$P$7+12))</f>
        <v/>
      </c>
      <c r="U17" s="15">
        <f>SUM(H17:T17)</f>
        <v/>
      </c>
    </row>
    <row r="18">
      <c r="B18" s="17">
        <f>IFERROR(INDEX(M_RawMaterials[Description],MATCH("TDJ",M_RawMaterials[RM_Code],0)),"")</f>
        <v/>
      </c>
      <c r="C18" s="17" t="inlineStr">
        <is>
          <t>1846537010</t>
        </is>
      </c>
      <c r="D18" s="17" t="inlineStr">
        <is>
          <t>TDJ</t>
        </is>
      </c>
      <c r="E18" s="17" t="inlineStr">
        <is>
          <t>kg</t>
        </is>
      </c>
      <c r="F18" s="17">
        <f>IFERROR(INDEX(M_RawMaterials[基準在庫下限_要入力],MATCH("TDJ",M_RawMaterials[RM_Code],0)),0)</f>
        <v/>
      </c>
      <c r="G18" s="17">
        <f>INDEX(Grid_Stock[#Data],40,$P$7)</f>
        <v/>
      </c>
      <c r="H18" s="17">
        <f>MAX(0,$F18-INDEX(Grid_Stock[#Data],40,$P$7+0))</f>
        <v/>
      </c>
      <c r="I18" s="17">
        <f>MAX(0,$F18-INDEX(Grid_Stock[#Data],40,$P$7+1))</f>
        <v/>
      </c>
      <c r="J18" s="17">
        <f>MAX(0,$F18-INDEX(Grid_Stock[#Data],40,$P$7+2))</f>
        <v/>
      </c>
      <c r="K18" s="17">
        <f>MAX(0,$F18-INDEX(Grid_Stock[#Data],40,$P$7+3))</f>
        <v/>
      </c>
      <c r="L18" s="17">
        <f>MAX(0,$F18-INDEX(Grid_Stock[#Data],40,$P$7+4))</f>
        <v/>
      </c>
      <c r="M18" s="17">
        <f>MAX(0,$F18-INDEX(Grid_Stock[#Data],40,$P$7+5))</f>
        <v/>
      </c>
      <c r="N18" s="17">
        <f>MAX(0,$F18-INDEX(Grid_Stock[#Data],40,$P$7+6))</f>
        <v/>
      </c>
      <c r="O18" s="17">
        <f>MAX(0,$F18-INDEX(Grid_Stock[#Data],40,$P$7+7))</f>
        <v/>
      </c>
      <c r="P18" s="17">
        <f>MAX(0,$F18-INDEX(Grid_Stock[#Data],40,$P$7+8))</f>
        <v/>
      </c>
      <c r="Q18" s="17">
        <f>MAX(0,$F18-INDEX(Grid_Stock[#Data],40,$P$7+9))</f>
        <v/>
      </c>
      <c r="R18" s="17">
        <f>MAX(0,$F18-INDEX(Grid_Stock[#Data],40,$P$7+10))</f>
        <v/>
      </c>
      <c r="S18" s="17">
        <f>MAX(0,$F18-INDEX(Grid_Stock[#Data],40,$P$7+11))</f>
        <v/>
      </c>
      <c r="T18" s="17">
        <f>MAX(0,$F18-INDEX(Grid_Stock[#Data],40,$P$7+12))</f>
        <v/>
      </c>
      <c r="U18" s="17">
        <f>SUM(H18:T18)</f>
        <v/>
      </c>
    </row>
    <row r="19">
      <c r="B19" s="15">
        <f>IFERROR(INDEX(M_RawMaterials[Description],MATCH("Ester Film",M_RawMaterials[RM_Code],0)),"")</f>
        <v/>
      </c>
      <c r="C19" s="15" t="inlineStr"/>
      <c r="D19" s="15" t="inlineStr">
        <is>
          <t>Ester Film</t>
        </is>
      </c>
      <c r="E19" s="15" t="inlineStr">
        <is>
          <t>kg</t>
        </is>
      </c>
      <c r="F19" s="15">
        <f>IFERROR(INDEX(M_RawMaterials[基準在庫下限_要入力],MATCH("Ester Film",M_RawMaterials[RM_Code],0)),0)</f>
        <v/>
      </c>
      <c r="G19" s="15">
        <f>INDEX(Grid_Stock[#Data],61,$P$7)</f>
        <v/>
      </c>
      <c r="H19" s="15">
        <f>MAX(0,$F19-INDEX(Grid_Stock[#Data],61,$P$7+0))</f>
        <v/>
      </c>
      <c r="I19" s="15">
        <f>MAX(0,$F19-INDEX(Grid_Stock[#Data],61,$P$7+1))</f>
        <v/>
      </c>
      <c r="J19" s="15">
        <f>MAX(0,$F19-INDEX(Grid_Stock[#Data],61,$P$7+2))</f>
        <v/>
      </c>
      <c r="K19" s="15">
        <f>MAX(0,$F19-INDEX(Grid_Stock[#Data],61,$P$7+3))</f>
        <v/>
      </c>
      <c r="L19" s="15">
        <f>MAX(0,$F19-INDEX(Grid_Stock[#Data],61,$P$7+4))</f>
        <v/>
      </c>
      <c r="M19" s="15">
        <f>MAX(0,$F19-INDEX(Grid_Stock[#Data],61,$P$7+5))</f>
        <v/>
      </c>
      <c r="N19" s="15">
        <f>MAX(0,$F19-INDEX(Grid_Stock[#Data],61,$P$7+6))</f>
        <v/>
      </c>
      <c r="O19" s="15">
        <f>MAX(0,$F19-INDEX(Grid_Stock[#Data],61,$P$7+7))</f>
        <v/>
      </c>
      <c r="P19" s="15">
        <f>MAX(0,$F19-INDEX(Grid_Stock[#Data],61,$P$7+8))</f>
        <v/>
      </c>
      <c r="Q19" s="15">
        <f>MAX(0,$F19-INDEX(Grid_Stock[#Data],61,$P$7+9))</f>
        <v/>
      </c>
      <c r="R19" s="15">
        <f>MAX(0,$F19-INDEX(Grid_Stock[#Data],61,$P$7+10))</f>
        <v/>
      </c>
      <c r="S19" s="15">
        <f>MAX(0,$F19-INDEX(Grid_Stock[#Data],61,$P$7+11))</f>
        <v/>
      </c>
      <c r="T19" s="15">
        <f>MAX(0,$F19-INDEX(Grid_Stock[#Data],61,$P$7+12))</f>
        <v/>
      </c>
      <c r="U19" s="15">
        <f>SUM(H19:T19)</f>
        <v/>
      </c>
    </row>
    <row r="20">
      <c r="B20" s="17">
        <f>IFERROR(INDEX(M_RawMaterials[Description],MATCH("PP Film",M_RawMaterials[RM_Code],0)),"")</f>
        <v/>
      </c>
      <c r="C20" s="17" t="inlineStr"/>
      <c r="D20" s="17" t="inlineStr">
        <is>
          <t>PP Film</t>
        </is>
      </c>
      <c r="E20" s="17" t="inlineStr">
        <is>
          <t>kg</t>
        </is>
      </c>
      <c r="F20" s="17">
        <f>IFERROR(INDEX(M_RawMaterials[基準在庫下限_要入力],MATCH("PP Film",M_RawMaterials[RM_Code],0)),0)</f>
        <v/>
      </c>
      <c r="G20" s="17">
        <f>INDEX(Grid_Stock[#Data],62,$P$7)</f>
        <v/>
      </c>
      <c r="H20" s="17">
        <f>MAX(0,$F20-INDEX(Grid_Stock[#Data],62,$P$7+0))</f>
        <v/>
      </c>
      <c r="I20" s="17">
        <f>MAX(0,$F20-INDEX(Grid_Stock[#Data],62,$P$7+1))</f>
        <v/>
      </c>
      <c r="J20" s="17">
        <f>MAX(0,$F20-INDEX(Grid_Stock[#Data],62,$P$7+2))</f>
        <v/>
      </c>
      <c r="K20" s="17">
        <f>MAX(0,$F20-INDEX(Grid_Stock[#Data],62,$P$7+3))</f>
        <v/>
      </c>
      <c r="L20" s="17">
        <f>MAX(0,$F20-INDEX(Grid_Stock[#Data],62,$P$7+4))</f>
        <v/>
      </c>
      <c r="M20" s="17">
        <f>MAX(0,$F20-INDEX(Grid_Stock[#Data],62,$P$7+5))</f>
        <v/>
      </c>
      <c r="N20" s="17">
        <f>MAX(0,$F20-INDEX(Grid_Stock[#Data],62,$P$7+6))</f>
        <v/>
      </c>
      <c r="O20" s="17">
        <f>MAX(0,$F20-INDEX(Grid_Stock[#Data],62,$P$7+7))</f>
        <v/>
      </c>
      <c r="P20" s="17">
        <f>MAX(0,$F20-INDEX(Grid_Stock[#Data],62,$P$7+8))</f>
        <v/>
      </c>
      <c r="Q20" s="17">
        <f>MAX(0,$F20-INDEX(Grid_Stock[#Data],62,$P$7+9))</f>
        <v/>
      </c>
      <c r="R20" s="17">
        <f>MAX(0,$F20-INDEX(Grid_Stock[#Data],62,$P$7+10))</f>
        <v/>
      </c>
      <c r="S20" s="17">
        <f>MAX(0,$F20-INDEX(Grid_Stock[#Data],62,$P$7+11))</f>
        <v/>
      </c>
      <c r="T20" s="17">
        <f>MAX(0,$F20-INDEX(Grid_Stock[#Data],62,$P$7+12))</f>
        <v/>
      </c>
      <c r="U20" s="17">
        <f>SUM(H20:T20)</f>
        <v/>
      </c>
    </row>
    <row r="21">
      <c r="B21" s="15">
        <f>IFERROR(INDEX(M_RawMaterials[Description],MATCH("5SN",M_RawMaterials[RM_Code],0)),"")</f>
        <v/>
      </c>
      <c r="C21" s="15" t="inlineStr"/>
      <c r="D21" s="15" t="inlineStr">
        <is>
          <t>5SN</t>
        </is>
      </c>
      <c r="E21" s="15" t="inlineStr">
        <is>
          <t>kg</t>
        </is>
      </c>
      <c r="F21" s="15">
        <f>IFERROR(INDEX(M_RawMaterials[基準在庫下限_要入力],MATCH("5SN",M_RawMaterials[RM_Code],0)),0)</f>
        <v/>
      </c>
      <c r="G21" s="15">
        <f>INDEX(Grid_Stock[#Data],63,$P$7)</f>
        <v/>
      </c>
      <c r="H21" s="15">
        <f>MAX(0,$F21-INDEX(Grid_Stock[#Data],63,$P$7+0))</f>
        <v/>
      </c>
      <c r="I21" s="15">
        <f>MAX(0,$F21-INDEX(Grid_Stock[#Data],63,$P$7+1))</f>
        <v/>
      </c>
      <c r="J21" s="15">
        <f>MAX(0,$F21-INDEX(Grid_Stock[#Data],63,$P$7+2))</f>
        <v/>
      </c>
      <c r="K21" s="15">
        <f>MAX(0,$F21-INDEX(Grid_Stock[#Data],63,$P$7+3))</f>
        <v/>
      </c>
      <c r="L21" s="15">
        <f>MAX(0,$F21-INDEX(Grid_Stock[#Data],63,$P$7+4))</f>
        <v/>
      </c>
      <c r="M21" s="15">
        <f>MAX(0,$F21-INDEX(Grid_Stock[#Data],63,$P$7+5))</f>
        <v/>
      </c>
      <c r="N21" s="15">
        <f>MAX(0,$F21-INDEX(Grid_Stock[#Data],63,$P$7+6))</f>
        <v/>
      </c>
      <c r="O21" s="15">
        <f>MAX(0,$F21-INDEX(Grid_Stock[#Data],63,$P$7+7))</f>
        <v/>
      </c>
      <c r="P21" s="15">
        <f>MAX(0,$F21-INDEX(Grid_Stock[#Data],63,$P$7+8))</f>
        <v/>
      </c>
      <c r="Q21" s="15">
        <f>MAX(0,$F21-INDEX(Grid_Stock[#Data],63,$P$7+9))</f>
        <v/>
      </c>
      <c r="R21" s="15">
        <f>MAX(0,$F21-INDEX(Grid_Stock[#Data],63,$P$7+10))</f>
        <v/>
      </c>
      <c r="S21" s="15">
        <f>MAX(0,$F21-INDEX(Grid_Stock[#Data],63,$P$7+11))</f>
        <v/>
      </c>
      <c r="T21" s="15">
        <f>MAX(0,$F21-INDEX(Grid_Stock[#Data],63,$P$7+12))</f>
        <v/>
      </c>
      <c r="U21" s="15">
        <f>SUM(H21:T21)</f>
        <v/>
      </c>
    </row>
    <row r="22">
      <c r="B22" s="17">
        <f>IFERROR(INDEX(M_RawMaterials[Description],MATCH("3TP",M_RawMaterials[RM_Code],0)),"")</f>
        <v/>
      </c>
      <c r="C22" s="17" t="inlineStr"/>
      <c r="D22" s="17" t="inlineStr">
        <is>
          <t>3TP</t>
        </is>
      </c>
      <c r="E22" s="17" t="inlineStr">
        <is>
          <t>kg</t>
        </is>
      </c>
      <c r="F22" s="17">
        <f>IFERROR(INDEX(M_RawMaterials[基準在庫下限_要入力],MATCH("3TP",M_RawMaterials[RM_Code],0)),0)</f>
        <v/>
      </c>
      <c r="G22" s="17">
        <f>INDEX(Grid_Stock[#Data],67,$P$7)</f>
        <v/>
      </c>
      <c r="H22" s="17">
        <f>MAX(0,$F22-INDEX(Grid_Stock[#Data],67,$P$7+0))</f>
        <v/>
      </c>
      <c r="I22" s="17">
        <f>MAX(0,$F22-INDEX(Grid_Stock[#Data],67,$P$7+1))</f>
        <v/>
      </c>
      <c r="J22" s="17">
        <f>MAX(0,$F22-INDEX(Grid_Stock[#Data],67,$P$7+2))</f>
        <v/>
      </c>
      <c r="K22" s="17">
        <f>MAX(0,$F22-INDEX(Grid_Stock[#Data],67,$P$7+3))</f>
        <v/>
      </c>
      <c r="L22" s="17">
        <f>MAX(0,$F22-INDEX(Grid_Stock[#Data],67,$P$7+4))</f>
        <v/>
      </c>
      <c r="M22" s="17">
        <f>MAX(0,$F22-INDEX(Grid_Stock[#Data],67,$P$7+5))</f>
        <v/>
      </c>
      <c r="N22" s="17">
        <f>MAX(0,$F22-INDEX(Grid_Stock[#Data],67,$P$7+6))</f>
        <v/>
      </c>
      <c r="O22" s="17">
        <f>MAX(0,$F22-INDEX(Grid_Stock[#Data],67,$P$7+7))</f>
        <v/>
      </c>
      <c r="P22" s="17">
        <f>MAX(0,$F22-INDEX(Grid_Stock[#Data],67,$P$7+8))</f>
        <v/>
      </c>
      <c r="Q22" s="17">
        <f>MAX(0,$F22-INDEX(Grid_Stock[#Data],67,$P$7+9))</f>
        <v/>
      </c>
      <c r="R22" s="17">
        <f>MAX(0,$F22-INDEX(Grid_Stock[#Data],67,$P$7+10))</f>
        <v/>
      </c>
      <c r="S22" s="17">
        <f>MAX(0,$F22-INDEX(Grid_Stock[#Data],67,$P$7+11))</f>
        <v/>
      </c>
      <c r="T22" s="17">
        <f>MAX(0,$F22-INDEX(Grid_Stock[#Data],67,$P$7+12))</f>
        <v/>
      </c>
      <c r="U22" s="17">
        <f>SUM(H22:T22)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9" t="inlineStr">
        <is>
          <t>RM_Code</t>
        </is>
      </c>
      <c r="B1" s="29" t="inlineStr">
        <is>
          <t>PO_No</t>
        </is>
      </c>
      <c r="C1" s="29" t="inlineStr">
        <is>
          <t>Order_Date_発注日</t>
        </is>
      </c>
      <c r="D1" s="29" t="inlineStr">
        <is>
          <t>Confirmed_Qty</t>
        </is>
      </c>
      <c r="E1" s="29" t="inlineStr">
        <is>
          <t>Latest_ETA</t>
        </is>
      </c>
      <c r="F1" s="29" t="inlineStr">
        <is>
          <t>Received_Date</t>
        </is>
      </c>
      <c r="G1" s="29" t="inlineStr">
        <is>
          <t>Status</t>
        </is>
      </c>
      <c r="H1" s="29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30" t="n"/>
      <c r="D2" t="n">
        <v>9120</v>
      </c>
      <c r="E2" s="26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</row>
    <row r="3">
      <c r="A3" t="inlineStr">
        <is>
          <t>0JN</t>
        </is>
      </c>
      <c r="B3" t="inlineStr">
        <is>
          <t>PO066017</t>
        </is>
      </c>
      <c r="C3" s="30" t="n"/>
      <c r="D3" t="n">
        <v>10913</v>
      </c>
      <c r="E3" s="26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</row>
    <row r="4">
      <c r="A4" t="inlineStr">
        <is>
          <t>4HL</t>
        </is>
      </c>
      <c r="B4" t="inlineStr">
        <is>
          <t>PO066191</t>
        </is>
      </c>
      <c r="C4" s="30" t="n"/>
      <c r="D4" t="n">
        <v>960</v>
      </c>
      <c r="E4" s="26" t="n">
        <v>46007</v>
      </c>
      <c r="F4" s="26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</row>
    <row r="5">
      <c r="A5" t="inlineStr">
        <is>
          <t>4HL</t>
        </is>
      </c>
      <c r="B5" t="inlineStr">
        <is>
          <t>PO066191</t>
        </is>
      </c>
      <c r="C5" s="30" t="n"/>
      <c r="D5" t="n">
        <v>9600</v>
      </c>
      <c r="E5" s="26" t="n">
        <v>46008</v>
      </c>
      <c r="F5" s="26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</row>
    <row r="6">
      <c r="A6" t="inlineStr">
        <is>
          <t>4HL</t>
        </is>
      </c>
      <c r="B6" t="inlineStr">
        <is>
          <t>PO066191</t>
        </is>
      </c>
      <c r="C6" s="30" t="n"/>
      <c r="D6" t="n">
        <v>9600</v>
      </c>
      <c r="E6" s="26" t="n">
        <v>46007</v>
      </c>
      <c r="F6" s="26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</row>
    <row r="7">
      <c r="A7" t="inlineStr">
        <is>
          <t>4HL</t>
        </is>
      </c>
      <c r="B7" t="inlineStr">
        <is>
          <t>PO066191</t>
        </is>
      </c>
      <c r="C7" s="30" t="n"/>
      <c r="D7" t="n">
        <v>9120</v>
      </c>
      <c r="E7" s="26" t="n">
        <v>46012</v>
      </c>
      <c r="F7" s="26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</row>
    <row r="8">
      <c r="A8" t="inlineStr">
        <is>
          <t>1EK</t>
        </is>
      </c>
      <c r="B8" t="inlineStr">
        <is>
          <t>PO066191</t>
        </is>
      </c>
      <c r="C8" s="30" t="n"/>
      <c r="D8" t="n">
        <v>8160</v>
      </c>
      <c r="E8" s="26" t="n">
        <v>46007</v>
      </c>
      <c r="F8" s="26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</row>
    <row r="9">
      <c r="A9" t="inlineStr">
        <is>
          <t>CHEM-1250</t>
        </is>
      </c>
      <c r="B9" t="inlineStr">
        <is>
          <t>PO066524</t>
        </is>
      </c>
      <c r="C9" s="30" t="n"/>
      <c r="D9" t="n">
        <v>75</v>
      </c>
      <c r="E9" s="26" t="n">
        <v>46006</v>
      </c>
      <c r="F9" s="26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</row>
    <row r="10">
      <c r="A10" t="inlineStr">
        <is>
          <t>CHEM-1400</t>
        </is>
      </c>
      <c r="B10" t="inlineStr">
        <is>
          <t>PO066524</t>
        </is>
      </c>
      <c r="C10" s="30" t="n"/>
      <c r="D10" t="n">
        <v>400</v>
      </c>
      <c r="E10" s="26" t="n">
        <v>46006</v>
      </c>
      <c r="F10" s="26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</row>
    <row r="11">
      <c r="A11" t="inlineStr">
        <is>
          <t>CHEM-1570</t>
        </is>
      </c>
      <c r="B11" t="inlineStr">
        <is>
          <t>PO066524</t>
        </is>
      </c>
      <c r="C11" s="30" t="n"/>
      <c r="D11" t="n">
        <v>18</v>
      </c>
      <c r="E11" s="26" t="n">
        <v>46006</v>
      </c>
      <c r="F11" s="26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</row>
    <row r="12">
      <c r="A12" t="inlineStr">
        <is>
          <t>CHEM-1670</t>
        </is>
      </c>
      <c r="B12" t="inlineStr">
        <is>
          <t>PO066524</t>
        </is>
      </c>
      <c r="C12" s="30" t="n"/>
      <c r="D12" t="n">
        <v>360</v>
      </c>
      <c r="E12" s="26" t="n">
        <v>46006</v>
      </c>
      <c r="F12" s="26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</row>
    <row r="13">
      <c r="A13" t="inlineStr">
        <is>
          <t>CHEM-1700</t>
        </is>
      </c>
      <c r="B13" t="inlineStr">
        <is>
          <t>PO066524</t>
        </is>
      </c>
      <c r="C13" s="30" t="n"/>
      <c r="D13" t="n">
        <v>60</v>
      </c>
      <c r="E13" s="26" t="n">
        <v>46006</v>
      </c>
      <c r="F13" s="26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</row>
    <row r="14">
      <c r="A14" t="inlineStr">
        <is>
          <t>CHEM-1660</t>
        </is>
      </c>
      <c r="B14" t="inlineStr">
        <is>
          <t>PO066513</t>
        </is>
      </c>
      <c r="C14" s="30" t="n"/>
      <c r="D14" t="n">
        <v>135</v>
      </c>
      <c r="E14" s="26" t="n">
        <v>46006</v>
      </c>
      <c r="F14" s="26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</row>
    <row r="15">
      <c r="A15" t="inlineStr">
        <is>
          <t>CHEM-1420</t>
        </is>
      </c>
      <c r="B15" t="inlineStr">
        <is>
          <t>PO066524</t>
        </is>
      </c>
      <c r="C15" s="30" t="n"/>
      <c r="D15" t="n">
        <v>240</v>
      </c>
      <c r="E15" s="26" t="n">
        <v>46006</v>
      </c>
      <c r="F15" s="26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</row>
    <row r="16">
      <c r="A16" t="inlineStr">
        <is>
          <t>CHEM-1530</t>
        </is>
      </c>
      <c r="B16" t="inlineStr">
        <is>
          <t>PO066524</t>
        </is>
      </c>
      <c r="C16" s="30" t="n"/>
      <c r="D16" t="n">
        <v>2100</v>
      </c>
      <c r="E16" s="26" t="n">
        <v>46006</v>
      </c>
      <c r="F16" s="26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</row>
    <row r="17">
      <c r="A17" t="inlineStr">
        <is>
          <t>CHEM-1600</t>
        </is>
      </c>
      <c r="B17" t="inlineStr">
        <is>
          <t>PO066524</t>
        </is>
      </c>
      <c r="C17" s="30" t="n"/>
      <c r="D17" t="n">
        <v>425</v>
      </c>
      <c r="E17" s="26" t="n">
        <v>46006</v>
      </c>
      <c r="F17" s="26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</row>
    <row r="18">
      <c r="A18" t="inlineStr">
        <is>
          <t>CHEM-1540</t>
        </is>
      </c>
      <c r="B18" t="inlineStr">
        <is>
          <t>PO066524</t>
        </is>
      </c>
      <c r="C18" s="30" t="n"/>
      <c r="D18" t="n">
        <v>2500</v>
      </c>
      <c r="E18" s="26" t="n">
        <v>46006</v>
      </c>
      <c r="F18" s="26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</row>
    <row r="19">
      <c r="A19" t="inlineStr">
        <is>
          <t>CHEM-1720</t>
        </is>
      </c>
      <c r="B19" t="inlineStr">
        <is>
          <t>PO066524</t>
        </is>
      </c>
      <c r="C19" s="30" t="n"/>
      <c r="D19" t="n">
        <v>1200</v>
      </c>
      <c r="E19" s="26" t="n">
        <v>46006</v>
      </c>
      <c r="F19" s="26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</row>
    <row r="20">
      <c r="A20" t="inlineStr">
        <is>
          <t>CHEM-1280</t>
        </is>
      </c>
      <c r="B20" t="inlineStr">
        <is>
          <t>PO066513</t>
        </is>
      </c>
      <c r="C20" s="30" t="n"/>
      <c r="D20" t="n">
        <v>1000</v>
      </c>
      <c r="E20" s="26" t="n">
        <v>46006</v>
      </c>
      <c r="F20" s="26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</row>
    <row r="21">
      <c r="A21" t="inlineStr">
        <is>
          <t>CHEM-1440</t>
        </is>
      </c>
      <c r="B21" t="inlineStr">
        <is>
          <t>PO066524</t>
        </is>
      </c>
      <c r="C21" s="30" t="n"/>
      <c r="D21" t="n">
        <v>150</v>
      </c>
      <c r="E21" s="26" t="n">
        <v>46006</v>
      </c>
      <c r="F21" s="26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</row>
    <row r="22">
      <c r="A22" t="inlineStr">
        <is>
          <t>CHEM-1240</t>
        </is>
      </c>
      <c r="B22" t="inlineStr">
        <is>
          <t>PO066524</t>
        </is>
      </c>
      <c r="C22" s="30" t="n"/>
      <c r="D22" t="n">
        <v>440</v>
      </c>
      <c r="E22" s="26" t="n">
        <v>46006</v>
      </c>
      <c r="F22" s="26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</row>
    <row r="23">
      <c r="A23" t="inlineStr">
        <is>
          <t>4HL</t>
        </is>
      </c>
      <c r="B23" t="inlineStr">
        <is>
          <t>PO066428</t>
        </is>
      </c>
      <c r="C23" s="30" t="n"/>
      <c r="D23" t="n">
        <v>2400</v>
      </c>
      <c r="E23" s="26" t="n">
        <v>46035</v>
      </c>
      <c r="F23" s="26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</row>
    <row r="24">
      <c r="A24" t="inlineStr">
        <is>
          <t>4HL</t>
        </is>
      </c>
      <c r="B24" t="inlineStr">
        <is>
          <t>PO066428</t>
        </is>
      </c>
      <c r="C24" s="30" t="n"/>
      <c r="D24" t="n">
        <v>9120</v>
      </c>
      <c r="E24" s="26" t="n">
        <v>46019</v>
      </c>
      <c r="F24" s="26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</row>
    <row r="25">
      <c r="A25" t="inlineStr">
        <is>
          <t>4HL</t>
        </is>
      </c>
      <c r="B25" t="inlineStr">
        <is>
          <t>PO066428</t>
        </is>
      </c>
      <c r="C25" s="30" t="n"/>
      <c r="D25" t="n">
        <v>9600</v>
      </c>
      <c r="E25" s="26" t="n">
        <v>46035</v>
      </c>
      <c r="F25" s="26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</row>
    <row r="26">
      <c r="A26" t="inlineStr">
        <is>
          <t>4HL</t>
        </is>
      </c>
      <c r="B26" t="inlineStr">
        <is>
          <t>PO066428</t>
        </is>
      </c>
      <c r="C26" s="30" t="n"/>
      <c r="D26" t="n">
        <v>9600</v>
      </c>
      <c r="E26" s="26" t="n">
        <v>46042</v>
      </c>
      <c r="F26" s="26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</row>
    <row r="27">
      <c r="A27" t="inlineStr">
        <is>
          <t>4HL</t>
        </is>
      </c>
      <c r="B27" t="inlineStr">
        <is>
          <t>PO066428</t>
        </is>
      </c>
      <c r="C27" s="30" t="n"/>
      <c r="D27" t="n">
        <v>9600</v>
      </c>
      <c r="E27" s="26" t="n">
        <v>46029</v>
      </c>
      <c r="F27" s="26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</row>
    <row r="28">
      <c r="A28" t="inlineStr">
        <is>
          <t>1EK</t>
        </is>
      </c>
      <c r="B28" t="inlineStr">
        <is>
          <t>PO066428</t>
        </is>
      </c>
      <c r="C28" s="30" t="n"/>
      <c r="D28" t="n">
        <v>3840</v>
      </c>
      <c r="E28" s="26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</row>
    <row r="29">
      <c r="A29" t="inlineStr">
        <is>
          <t>1EK</t>
        </is>
      </c>
      <c r="B29" t="inlineStr">
        <is>
          <t>PO066428</t>
        </is>
      </c>
      <c r="C29" s="30" t="n"/>
      <c r="D29" t="n">
        <v>5760</v>
      </c>
      <c r="E29" s="26" t="n">
        <v>46035</v>
      </c>
      <c r="F29" s="26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</row>
    <row r="30">
      <c r="A30" t="inlineStr">
        <is>
          <t>1EK</t>
        </is>
      </c>
      <c r="B30" t="inlineStr">
        <is>
          <t>PO066428</t>
        </is>
      </c>
      <c r="C30" s="30" t="n"/>
      <c r="D30" t="n">
        <v>9600</v>
      </c>
      <c r="E30" s="26" t="n">
        <v>46021</v>
      </c>
      <c r="F30" s="26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</row>
    <row r="31">
      <c r="A31" t="inlineStr">
        <is>
          <t>1EK</t>
        </is>
      </c>
      <c r="B31" t="inlineStr">
        <is>
          <t>PO066428</t>
        </is>
      </c>
      <c r="C31" s="30" t="n"/>
      <c r="D31" t="n">
        <v>9600</v>
      </c>
      <c r="E31" s="26" t="n">
        <v>46029</v>
      </c>
      <c r="F31" s="26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</row>
    <row r="32">
      <c r="A32" t="inlineStr">
        <is>
          <t>1EK</t>
        </is>
      </c>
      <c r="B32" t="inlineStr">
        <is>
          <t>PO066428</t>
        </is>
      </c>
      <c r="C32" s="30" t="n"/>
      <c r="D32" t="n">
        <v>4800</v>
      </c>
      <c r="E32" s="26" t="n">
        <v>46050</v>
      </c>
      <c r="F32" s="26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</row>
    <row r="33">
      <c r="A33" t="inlineStr">
        <is>
          <t>7CL</t>
        </is>
      </c>
      <c r="B33" t="inlineStr">
        <is>
          <t>PO066428</t>
        </is>
      </c>
      <c r="C33" s="30" t="n"/>
      <c r="D33" t="n">
        <v>8100</v>
      </c>
      <c r="E33" s="26" t="n">
        <v>46035</v>
      </c>
      <c r="F33" s="26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</row>
    <row r="34">
      <c r="A34" t="inlineStr">
        <is>
          <t>9RN</t>
        </is>
      </c>
      <c r="B34" t="inlineStr">
        <is>
          <t>PO066528</t>
        </is>
      </c>
      <c r="C34" s="30" t="n"/>
      <c r="D34" t="n">
        <v>21274</v>
      </c>
      <c r="E34" s="26" t="n">
        <v>46018</v>
      </c>
      <c r="F34" s="26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</row>
    <row r="35">
      <c r="A35" t="inlineStr">
        <is>
          <t>9RN</t>
        </is>
      </c>
      <c r="B35" t="inlineStr">
        <is>
          <t>PO066528</t>
        </is>
      </c>
      <c r="C35" s="30" t="n"/>
      <c r="D35" t="n">
        <v>9702</v>
      </c>
      <c r="E35" s="26" t="n">
        <v>46018</v>
      </c>
      <c r="F35" s="26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</row>
    <row r="36">
      <c r="A36" t="inlineStr">
        <is>
          <t>0JN</t>
        </is>
      </c>
      <c r="B36" t="inlineStr">
        <is>
          <t>PO066525</t>
        </is>
      </c>
      <c r="C36" s="30" t="n"/>
      <c r="D36" t="n">
        <v>18609</v>
      </c>
      <c r="E36" s="26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</row>
    <row r="37">
      <c r="A37" t="inlineStr">
        <is>
          <t>CHEM-1250</t>
        </is>
      </c>
      <c r="B37" t="inlineStr">
        <is>
          <t>PO066734</t>
        </is>
      </c>
      <c r="C37" s="30" t="n"/>
      <c r="D37" t="n">
        <v>100</v>
      </c>
      <c r="E37" s="26" t="n">
        <v>46027</v>
      </c>
      <c r="F37" s="26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</row>
    <row r="38">
      <c r="A38" t="inlineStr">
        <is>
          <t>CHEM-1200</t>
        </is>
      </c>
      <c r="B38" t="inlineStr">
        <is>
          <t>PO066734</t>
        </is>
      </c>
      <c r="C38" s="30" t="n"/>
      <c r="D38" t="n">
        <v>25</v>
      </c>
      <c r="E38" s="26" t="n">
        <v>46027</v>
      </c>
      <c r="F38" s="26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</row>
    <row r="39">
      <c r="A39" t="inlineStr">
        <is>
          <t>CHEM-1570</t>
        </is>
      </c>
      <c r="B39" t="inlineStr">
        <is>
          <t>PO066734</t>
        </is>
      </c>
      <c r="C39" s="30" t="n"/>
      <c r="D39" t="n">
        <v>36</v>
      </c>
      <c r="E39" s="26" t="n">
        <v>46027</v>
      </c>
      <c r="F39" s="26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</row>
    <row r="40">
      <c r="A40" t="inlineStr">
        <is>
          <t>CHEM-1670</t>
        </is>
      </c>
      <c r="B40" t="inlineStr">
        <is>
          <t>PO066734</t>
        </is>
      </c>
      <c r="C40" s="30" t="n"/>
      <c r="D40" t="n">
        <v>180</v>
      </c>
      <c r="E40" s="26" t="n">
        <v>46027</v>
      </c>
      <c r="F40" s="26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</row>
    <row r="41">
      <c r="A41" t="inlineStr">
        <is>
          <t>CHEM-1700</t>
        </is>
      </c>
      <c r="B41" t="inlineStr">
        <is>
          <t>PO066734</t>
        </is>
      </c>
      <c r="C41" s="30" t="n"/>
      <c r="D41" t="n">
        <v>90</v>
      </c>
      <c r="E41" s="26" t="n">
        <v>46027</v>
      </c>
      <c r="F41" s="26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</row>
    <row r="42">
      <c r="A42" t="inlineStr">
        <is>
          <t>CHEM-1660</t>
        </is>
      </c>
      <c r="B42" t="inlineStr"/>
      <c r="C42" s="30" t="n"/>
      <c r="D42" t="n">
        <v>60</v>
      </c>
      <c r="E42" s="26" t="n">
        <v>46027</v>
      </c>
      <c r="F42" s="26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</row>
    <row r="43">
      <c r="A43" t="inlineStr">
        <is>
          <t>CHEM-1420</t>
        </is>
      </c>
      <c r="B43" t="inlineStr">
        <is>
          <t>PO066734</t>
        </is>
      </c>
      <c r="C43" s="30" t="n"/>
      <c r="D43" t="n">
        <v>240</v>
      </c>
      <c r="E43" s="26" t="n">
        <v>46027</v>
      </c>
      <c r="F43" s="26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</row>
    <row r="44">
      <c r="A44" t="inlineStr">
        <is>
          <t>CHEM-1530</t>
        </is>
      </c>
      <c r="B44" t="inlineStr">
        <is>
          <t>PO066734</t>
        </is>
      </c>
      <c r="C44" s="30" t="n"/>
      <c r="D44" t="n">
        <v>1400</v>
      </c>
      <c r="E44" s="26" t="n">
        <v>46027</v>
      </c>
      <c r="F44" s="26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</row>
    <row r="45">
      <c r="A45" t="inlineStr">
        <is>
          <t>CHEM-1600</t>
        </is>
      </c>
      <c r="B45" t="inlineStr">
        <is>
          <t>PO066734</t>
        </is>
      </c>
      <c r="C45" s="30" t="n"/>
      <c r="D45" t="n">
        <v>250</v>
      </c>
      <c r="E45" s="26" t="n">
        <v>46027</v>
      </c>
      <c r="F45" s="26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</row>
    <row r="46">
      <c r="A46" t="inlineStr">
        <is>
          <t>CHEM-1540</t>
        </is>
      </c>
      <c r="B46" t="inlineStr">
        <is>
          <t>PO066734</t>
        </is>
      </c>
      <c r="C46" s="30" t="n"/>
      <c r="D46" t="n">
        <v>5000</v>
      </c>
      <c r="E46" s="26" t="n">
        <v>46027</v>
      </c>
      <c r="F46" s="26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</row>
    <row r="47">
      <c r="A47" t="inlineStr">
        <is>
          <t>CHEM-1720</t>
        </is>
      </c>
      <c r="B47" t="inlineStr">
        <is>
          <t>PO066734</t>
        </is>
      </c>
      <c r="C47" s="30" t="n"/>
      <c r="D47" t="n">
        <v>1920</v>
      </c>
      <c r="E47" s="26" t="n">
        <v>46027</v>
      </c>
      <c r="F47" s="26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</row>
    <row r="48">
      <c r="A48" t="inlineStr">
        <is>
          <t>CHEM-1280</t>
        </is>
      </c>
      <c r="B48" t="inlineStr"/>
      <c r="C48" s="30" t="n"/>
      <c r="D48" t="n">
        <v>1000</v>
      </c>
      <c r="E48" s="26" t="n">
        <v>46027</v>
      </c>
      <c r="F48" s="26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</row>
    <row r="49">
      <c r="A49" t="inlineStr">
        <is>
          <t>CHEM-1440</t>
        </is>
      </c>
      <c r="B49" t="inlineStr">
        <is>
          <t>PO066734</t>
        </is>
      </c>
      <c r="C49" s="30" t="n"/>
      <c r="D49" t="n">
        <v>200</v>
      </c>
      <c r="E49" s="26" t="n">
        <v>46027</v>
      </c>
      <c r="F49" s="26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</row>
    <row r="50">
      <c r="A50" t="inlineStr">
        <is>
          <t>CHEM-1240</t>
        </is>
      </c>
      <c r="B50" t="inlineStr">
        <is>
          <t>PO066734</t>
        </is>
      </c>
      <c r="C50" s="30" t="n"/>
      <c r="D50" t="n">
        <v>660</v>
      </c>
      <c r="E50" s="26" t="n">
        <v>46027</v>
      </c>
      <c r="F50" s="26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</row>
    <row r="51">
      <c r="A51" t="inlineStr">
        <is>
          <t>CHEM-1830</t>
        </is>
      </c>
      <c r="B51" t="inlineStr">
        <is>
          <t>PO066761</t>
        </is>
      </c>
      <c r="C51" s="30" t="n"/>
      <c r="D51" t="n">
        <v>150</v>
      </c>
      <c r="E51" s="26" t="n">
        <v>46027</v>
      </c>
      <c r="F51" s="26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</row>
    <row r="52">
      <c r="A52" t="inlineStr">
        <is>
          <t>CHEM-1100</t>
        </is>
      </c>
      <c r="B52" t="inlineStr"/>
      <c r="C52" s="30" t="n"/>
      <c r="D52" t="n">
        <v>300</v>
      </c>
      <c r="E52" s="26" t="n">
        <v>46027</v>
      </c>
      <c r="F52" s="26" t="n">
        <v>46037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</row>
    <row r="53">
      <c r="A53" t="inlineStr">
        <is>
          <t>4HL</t>
        </is>
      </c>
      <c r="B53" t="inlineStr"/>
      <c r="C53" s="30" t="n"/>
      <c r="D53" t="n">
        <v>9600</v>
      </c>
      <c r="E53" s="26" t="n">
        <v>46048</v>
      </c>
      <c r="F53" s="26" t="n">
        <v>46051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</row>
    <row r="54">
      <c r="A54" t="inlineStr">
        <is>
          <t>4HL</t>
        </is>
      </c>
      <c r="B54" t="inlineStr"/>
      <c r="C54" s="30" t="n"/>
      <c r="D54" t="n">
        <v>17280</v>
      </c>
      <c r="E54" s="26" t="n">
        <v>46069</v>
      </c>
      <c r="F54" s="26" t="n">
        <v>46070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</row>
    <row r="55">
      <c r="A55" t="inlineStr">
        <is>
          <t>4HL</t>
        </is>
      </c>
      <c r="B55" t="inlineStr"/>
      <c r="C55" s="30" t="n"/>
      <c r="D55" t="n">
        <v>9600</v>
      </c>
      <c r="E55" s="26" t="n">
        <v>46056</v>
      </c>
      <c r="F55" s="26" t="n">
        <v>46062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</row>
    <row r="56">
      <c r="A56" t="inlineStr">
        <is>
          <t>4HL</t>
        </is>
      </c>
      <c r="B56" t="inlineStr"/>
      <c r="C56" s="30" t="n"/>
      <c r="D56" t="n">
        <v>1920</v>
      </c>
      <c r="E56" s="26" t="n">
        <v>46069</v>
      </c>
      <c r="F56" s="26" t="n">
        <v>46069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</row>
    <row r="57">
      <c r="A57" t="inlineStr">
        <is>
          <t>4HL</t>
        </is>
      </c>
      <c r="B57" t="inlineStr"/>
      <c r="C57" s="30" t="n"/>
      <c r="D57" t="n">
        <v>5280</v>
      </c>
      <c r="E57" s="26" t="n">
        <v>46087</v>
      </c>
      <c r="F57" s="26" t="n">
        <v>46092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</row>
    <row r="58">
      <c r="A58" t="inlineStr">
        <is>
          <t>4HL</t>
        </is>
      </c>
      <c r="B58" t="inlineStr"/>
      <c r="C58" s="30" t="n"/>
      <c r="D58" t="n">
        <v>365</v>
      </c>
      <c r="E58" s="26" t="n">
        <v>46069</v>
      </c>
      <c r="F58" s="26" t="n">
        <v>46070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</row>
    <row r="59">
      <c r="A59" t="inlineStr">
        <is>
          <t>1EK</t>
        </is>
      </c>
      <c r="B59" t="inlineStr"/>
      <c r="C59" s="30" t="n"/>
      <c r="D59" t="n">
        <v>7200</v>
      </c>
      <c r="E59" s="26" t="n">
        <v>46069</v>
      </c>
      <c r="F59" s="26" t="n">
        <v>46069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</row>
    <row r="60">
      <c r="A60" t="inlineStr">
        <is>
          <t>1EK</t>
        </is>
      </c>
      <c r="B60" t="inlineStr"/>
      <c r="C60" s="30" t="n"/>
      <c r="D60" t="n">
        <v>6720</v>
      </c>
      <c r="E60" s="26" t="n">
        <v>46087</v>
      </c>
      <c r="F60" s="26" t="n">
        <v>46092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</row>
    <row r="61">
      <c r="A61" t="inlineStr">
        <is>
          <t>1EK</t>
        </is>
      </c>
      <c r="B61" t="inlineStr"/>
      <c r="C61" s="30" t="n"/>
      <c r="D61" t="n">
        <v>160</v>
      </c>
      <c r="E61" s="26" t="n">
        <v>46069</v>
      </c>
      <c r="F61" s="26" t="n">
        <v>46069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</row>
    <row r="62">
      <c r="A62" t="inlineStr">
        <is>
          <t>1EK</t>
        </is>
      </c>
      <c r="B62" t="inlineStr"/>
      <c r="C62" s="30" t="n"/>
      <c r="D62" t="n">
        <v>474</v>
      </c>
      <c r="E62" s="26" t="n">
        <v>46087</v>
      </c>
      <c r="F62" s="26" t="n">
        <v>46092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</row>
    <row r="63">
      <c r="A63" t="inlineStr">
        <is>
          <t>7CL</t>
        </is>
      </c>
      <c r="B63" t="inlineStr"/>
      <c r="C63" s="30" t="n"/>
      <c r="D63" t="n">
        <v>1620</v>
      </c>
      <c r="E63" s="26" t="n">
        <v>46069</v>
      </c>
      <c r="F63" s="26" t="n">
        <v>46070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</row>
    <row r="64">
      <c r="A64" t="inlineStr">
        <is>
          <t>9RN</t>
        </is>
      </c>
      <c r="B64" t="inlineStr">
        <is>
          <t>PO066735</t>
        </is>
      </c>
      <c r="C64" s="30" t="n"/>
      <c r="D64" t="n">
        <v>19206</v>
      </c>
      <c r="E64" s="26" t="n">
        <v>46033</v>
      </c>
      <c r="F64" s="26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</row>
    <row r="65">
      <c r="A65" t="inlineStr">
        <is>
          <t>9RN</t>
        </is>
      </c>
      <c r="B65" t="inlineStr">
        <is>
          <t>PO066735</t>
        </is>
      </c>
      <c r="C65" s="30" t="n"/>
      <c r="D65" t="n">
        <v>15642</v>
      </c>
      <c r="E65" s="26" t="n">
        <v>46033</v>
      </c>
      <c r="F65" s="26" t="n">
        <v>46041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</row>
    <row r="66">
      <c r="A66" t="inlineStr">
        <is>
          <t>F2290</t>
        </is>
      </c>
      <c r="B66" t="inlineStr">
        <is>
          <t>PO066735</t>
        </is>
      </c>
      <c r="C66" s="30" t="n"/>
      <c r="D66" t="n">
        <v>1980</v>
      </c>
      <c r="E66" s="26" t="n">
        <v>46033</v>
      </c>
      <c r="F66" s="26" t="n">
        <v>46041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</row>
    <row r="67">
      <c r="A67" t="inlineStr">
        <is>
          <t>0JN</t>
        </is>
      </c>
      <c r="B67" t="inlineStr">
        <is>
          <t>PO066755</t>
        </is>
      </c>
      <c r="C67" s="30" t="n"/>
      <c r="D67" t="n">
        <v>1584</v>
      </c>
      <c r="E67" s="26" t="n">
        <v>46047</v>
      </c>
      <c r="F67" s="26" t="n">
        <v>46049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</row>
    <row r="68">
      <c r="A68" t="inlineStr">
        <is>
          <t>0JN</t>
        </is>
      </c>
      <c r="B68" t="inlineStr">
        <is>
          <t>PO066755</t>
        </is>
      </c>
      <c r="C68" s="30" t="n"/>
      <c r="D68" t="n">
        <v>18530</v>
      </c>
      <c r="E68" s="26" t="n">
        <v>46076</v>
      </c>
      <c r="F68" s="26" t="n">
        <v>46079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</row>
    <row r="69">
      <c r="A69" t="inlineStr">
        <is>
          <t>CHEM-1240</t>
        </is>
      </c>
      <c r="B69" t="inlineStr">
        <is>
          <t>PO066939</t>
        </is>
      </c>
      <c r="C69" s="30" t="n"/>
      <c r="D69" t="n">
        <v>880</v>
      </c>
      <c r="E69" s="26" t="n">
        <v>46068</v>
      </c>
      <c r="F69" s="26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</row>
    <row r="70">
      <c r="A70" t="inlineStr">
        <is>
          <t>CHEM-1250</t>
        </is>
      </c>
      <c r="B70" t="inlineStr">
        <is>
          <t>PO066939</t>
        </is>
      </c>
      <c r="C70" s="30" t="n"/>
      <c r="D70" t="n">
        <v>50</v>
      </c>
      <c r="E70" s="26" t="n">
        <v>46068</v>
      </c>
      <c r="F70" s="26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</row>
    <row r="71">
      <c r="A71" t="inlineStr">
        <is>
          <t>CHEM-1400</t>
        </is>
      </c>
      <c r="B71" t="inlineStr">
        <is>
          <t>PO066939</t>
        </is>
      </c>
      <c r="C71" s="30" t="n"/>
      <c r="D71" t="n">
        <v>250</v>
      </c>
      <c r="E71" s="26" t="n">
        <v>46068</v>
      </c>
      <c r="F71" s="26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</row>
    <row r="72">
      <c r="A72" t="inlineStr">
        <is>
          <t>CHEM-1420</t>
        </is>
      </c>
      <c r="B72" t="inlineStr">
        <is>
          <t>PO066939</t>
        </is>
      </c>
      <c r="C72" s="30" t="n"/>
      <c r="D72" t="n">
        <v>240</v>
      </c>
      <c r="E72" s="26" t="n">
        <v>46068</v>
      </c>
      <c r="F72" s="26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</row>
    <row r="73">
      <c r="A73" t="inlineStr">
        <is>
          <t>CHEM-1440</t>
        </is>
      </c>
      <c r="B73" t="inlineStr">
        <is>
          <t>PO066939</t>
        </is>
      </c>
      <c r="C73" s="30" t="n"/>
      <c r="D73" t="n">
        <v>200</v>
      </c>
      <c r="E73" s="26" t="n">
        <v>46068</v>
      </c>
      <c r="F73" s="26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</row>
    <row r="74">
      <c r="A74" t="inlineStr">
        <is>
          <t>CHEM-1540</t>
        </is>
      </c>
      <c r="B74" t="inlineStr">
        <is>
          <t>PO066939</t>
        </is>
      </c>
      <c r="C74" s="30" t="n"/>
      <c r="D74" t="n">
        <v>2500</v>
      </c>
      <c r="E74" s="26" t="n">
        <v>46068</v>
      </c>
      <c r="F74" s="26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</row>
    <row r="75">
      <c r="A75" t="inlineStr">
        <is>
          <t>CHEM-1530</t>
        </is>
      </c>
      <c r="B75" t="inlineStr">
        <is>
          <t>PO066939</t>
        </is>
      </c>
      <c r="C75" s="30" t="n"/>
      <c r="D75" t="n">
        <v>2100</v>
      </c>
      <c r="E75" s="26" t="n">
        <v>46068</v>
      </c>
      <c r="F75" s="26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</row>
    <row r="76">
      <c r="A76" t="inlineStr">
        <is>
          <t>CHEM-1600</t>
        </is>
      </c>
      <c r="B76" t="inlineStr">
        <is>
          <t>PO066939</t>
        </is>
      </c>
      <c r="C76" s="30" t="n"/>
      <c r="D76" t="n">
        <v>300</v>
      </c>
      <c r="E76" s="26" t="n">
        <v>46068</v>
      </c>
      <c r="F76" s="26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</row>
    <row r="77">
      <c r="A77" t="inlineStr">
        <is>
          <t>CHEM-1570</t>
        </is>
      </c>
      <c r="B77" t="inlineStr">
        <is>
          <t>PO066939</t>
        </is>
      </c>
      <c r="C77" s="30" t="n"/>
      <c r="D77" t="n">
        <v>36</v>
      </c>
      <c r="E77" s="26" t="n">
        <v>46068</v>
      </c>
      <c r="F77" s="26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</row>
    <row r="78">
      <c r="A78" t="inlineStr">
        <is>
          <t>CHEM-1670</t>
        </is>
      </c>
      <c r="B78" t="inlineStr">
        <is>
          <t>PO066939</t>
        </is>
      </c>
      <c r="C78" s="30" t="n"/>
      <c r="D78" t="n">
        <v>180</v>
      </c>
      <c r="E78" s="26" t="n">
        <v>46068</v>
      </c>
      <c r="F78" s="26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</row>
    <row r="79">
      <c r="A79" t="inlineStr">
        <is>
          <t>CHEM-1690</t>
        </is>
      </c>
      <c r="B79" t="inlineStr">
        <is>
          <t>PO066939</t>
        </is>
      </c>
      <c r="C79" s="30" t="n"/>
      <c r="D79" t="n">
        <v>135</v>
      </c>
      <c r="E79" s="26" t="n">
        <v>46068</v>
      </c>
      <c r="F79" s="26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</row>
    <row r="80">
      <c r="A80" t="inlineStr">
        <is>
          <t>CHEM-1700</t>
        </is>
      </c>
      <c r="B80" t="inlineStr">
        <is>
          <t>PO066939</t>
        </is>
      </c>
      <c r="C80" s="30" t="n"/>
      <c r="D80" t="n">
        <v>60</v>
      </c>
      <c r="E80" s="26" t="n">
        <v>46068</v>
      </c>
      <c r="F80" s="26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</row>
    <row r="81">
      <c r="A81" t="inlineStr">
        <is>
          <t>CHEM-1720</t>
        </is>
      </c>
      <c r="B81" t="inlineStr">
        <is>
          <t>PO066939</t>
        </is>
      </c>
      <c r="C81" s="30" t="n"/>
      <c r="D81" t="n">
        <v>2040</v>
      </c>
      <c r="E81" s="26" t="n">
        <v>46068</v>
      </c>
      <c r="F81" s="26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</row>
    <row r="82">
      <c r="A82" t="inlineStr">
        <is>
          <t>CHEM-1760</t>
        </is>
      </c>
      <c r="B82" t="inlineStr">
        <is>
          <t>PO066939</t>
        </is>
      </c>
      <c r="C82" s="30" t="n"/>
      <c r="D82" t="n">
        <v>17</v>
      </c>
      <c r="E82" s="26" t="n">
        <v>46068</v>
      </c>
      <c r="F82" s="26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</row>
    <row r="83">
      <c r="A83" t="inlineStr">
        <is>
          <t>CHEM-1200</t>
        </is>
      </c>
      <c r="B83" t="inlineStr">
        <is>
          <t>PO066939</t>
        </is>
      </c>
      <c r="C83" s="30" t="n"/>
      <c r="D83" t="n">
        <v>25</v>
      </c>
      <c r="E83" s="26" t="n">
        <v>46068</v>
      </c>
      <c r="F83" s="26" t="n">
        <v>46072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</row>
    <row r="84">
      <c r="A84" t="inlineStr">
        <is>
          <t>CHEM-1680</t>
        </is>
      </c>
      <c r="B84" t="inlineStr">
        <is>
          <t>PO066939</t>
        </is>
      </c>
      <c r="C84" s="30" t="n"/>
      <c r="D84" t="n">
        <v>200</v>
      </c>
      <c r="E84" s="26" t="n">
        <v>46068</v>
      </c>
      <c r="F84" s="26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</row>
    <row r="85">
      <c r="A85" t="inlineStr">
        <is>
          <t>CHEM-1660</t>
        </is>
      </c>
      <c r="B85" t="inlineStr">
        <is>
          <t>PO066949</t>
        </is>
      </c>
      <c r="C85" s="30" t="n"/>
      <c r="D85" t="n">
        <v>60</v>
      </c>
      <c r="E85" s="26" t="n">
        <v>46056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</row>
    <row r="86">
      <c r="A86" t="inlineStr">
        <is>
          <t>CHEM-1830</t>
        </is>
      </c>
      <c r="B86" t="inlineStr"/>
      <c r="C86" s="30" t="n"/>
      <c r="D86" t="n">
        <v>75</v>
      </c>
      <c r="E86" s="26" t="n">
        <v>46068</v>
      </c>
      <c r="F86" s="26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</row>
    <row r="87">
      <c r="A87" t="inlineStr">
        <is>
          <t>CHEM-1820</t>
        </is>
      </c>
      <c r="B87" t="inlineStr"/>
      <c r="C87" s="30" t="n"/>
      <c r="D87" t="n">
        <v>500</v>
      </c>
      <c r="E87" s="26" t="n">
        <v>46068</v>
      </c>
      <c r="F87" s="26" t="n">
        <v>46072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</row>
    <row r="88">
      <c r="A88" t="inlineStr">
        <is>
          <t>CHEM-1840</t>
        </is>
      </c>
      <c r="B88" t="inlineStr"/>
      <c r="C88" s="30" t="n"/>
      <c r="D88" t="n">
        <v>18</v>
      </c>
      <c r="E88" s="26" t="n">
        <v>46068</v>
      </c>
      <c r="F88" s="26" t="n">
        <v>46072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</row>
    <row r="89">
      <c r="A89" t="inlineStr">
        <is>
          <t>TPP-1469</t>
        </is>
      </c>
      <c r="B89" t="inlineStr"/>
      <c r="C89" s="30" t="n"/>
      <c r="D89" t="n">
        <v>18.64</v>
      </c>
      <c r="E89" s="26" t="n">
        <v>46068</v>
      </c>
      <c r="F89" s="26" t="n">
        <v>46072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</row>
    <row r="90">
      <c r="A90" t="inlineStr">
        <is>
          <t>4HL</t>
        </is>
      </c>
      <c r="B90" t="inlineStr"/>
      <c r="C90" s="30" t="n"/>
      <c r="D90" t="n">
        <v>9120</v>
      </c>
      <c r="E90" s="26" t="n">
        <v>46075</v>
      </c>
      <c r="F90" s="26" t="n">
        <v>46079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</row>
    <row r="91">
      <c r="A91" t="inlineStr">
        <is>
          <t>4HL</t>
        </is>
      </c>
      <c r="B91" t="inlineStr"/>
      <c r="C91" s="30" t="n"/>
      <c r="D91" t="n">
        <v>14400</v>
      </c>
      <c r="E91" s="26" t="n">
        <v>46097</v>
      </c>
      <c r="F91" s="26" t="n">
        <v>46102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</row>
    <row r="92">
      <c r="A92" t="inlineStr">
        <is>
          <t>4HL</t>
        </is>
      </c>
      <c r="B92" t="inlineStr"/>
      <c r="C92" s="30" t="n"/>
      <c r="D92" t="n">
        <v>14400</v>
      </c>
      <c r="E92" s="26" t="n">
        <v>46082</v>
      </c>
      <c r="F92" s="26" t="n">
        <v>46090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</row>
    <row r="93">
      <c r="A93" t="inlineStr">
        <is>
          <t>4HL</t>
        </is>
      </c>
      <c r="B93" t="inlineStr"/>
      <c r="C93" s="30" t="n"/>
      <c r="D93" t="n">
        <v>20640</v>
      </c>
      <c r="E93" s="26" t="n">
        <v>46092</v>
      </c>
      <c r="F93" s="26" t="n">
        <v>46098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</row>
    <row r="94">
      <c r="A94" t="inlineStr">
        <is>
          <t>4HL</t>
        </is>
      </c>
      <c r="B94" t="inlineStr"/>
      <c r="C94" s="30" t="n"/>
      <c r="D94" t="n">
        <v>16320</v>
      </c>
      <c r="E94" s="26" t="n">
        <v>46103</v>
      </c>
      <c r="F94" s="26" t="n">
        <v>46108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</row>
    <row r="95">
      <c r="A95" t="inlineStr">
        <is>
          <t>4HL</t>
        </is>
      </c>
      <c r="B95" t="inlineStr"/>
      <c r="C95" s="30" t="n"/>
      <c r="D95" t="n">
        <v>960</v>
      </c>
      <c r="E95" s="26" t="n">
        <v>46104</v>
      </c>
      <c r="F95" s="26" t="n">
        <v>46112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</row>
    <row r="96">
      <c r="A96" t="inlineStr">
        <is>
          <t>4HL</t>
        </is>
      </c>
      <c r="B96" t="inlineStr"/>
      <c r="C96" s="30" t="n"/>
      <c r="D96" t="n">
        <v>432</v>
      </c>
      <c r="E96" s="26" t="n">
        <v>46075</v>
      </c>
      <c r="F96" s="26" t="n">
        <v>46079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</row>
    <row r="97">
      <c r="A97" t="inlineStr">
        <is>
          <t>1EK</t>
        </is>
      </c>
      <c r="B97" t="inlineStr"/>
      <c r="C97" s="30" t="n"/>
      <c r="D97" t="n">
        <v>14400</v>
      </c>
      <c r="E97" s="26" t="n">
        <v>46075</v>
      </c>
      <c r="F97" s="26" t="n">
        <v>46079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</row>
    <row r="98">
      <c r="A98" t="inlineStr">
        <is>
          <t>1EK</t>
        </is>
      </c>
      <c r="B98" t="inlineStr"/>
      <c r="C98" s="30" t="n"/>
      <c r="D98" t="n">
        <v>14400</v>
      </c>
      <c r="E98" s="26" t="n">
        <v>46082</v>
      </c>
      <c r="F98" s="26" t="n">
        <v>46090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</row>
    <row r="99">
      <c r="A99" t="inlineStr">
        <is>
          <t>1EK</t>
        </is>
      </c>
      <c r="B99" t="inlineStr"/>
      <c r="C99" s="30" t="n"/>
      <c r="D99" t="n">
        <v>9120</v>
      </c>
      <c r="E99" s="26" t="n">
        <v>46092</v>
      </c>
      <c r="F99" s="26" t="n">
        <v>46098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</row>
    <row r="100">
      <c r="A100" t="inlineStr">
        <is>
          <t>TDJ</t>
        </is>
      </c>
      <c r="B100" t="inlineStr">
        <is>
          <t>PO066946</t>
        </is>
      </c>
      <c r="C100" s="30" t="n"/>
      <c r="D100" t="n">
        <v>784</v>
      </c>
      <c r="E100" s="26" t="n">
        <v>46112</v>
      </c>
      <c r="F100" s="26" t="n">
        <v>46114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</row>
    <row r="101">
      <c r="A101" t="inlineStr">
        <is>
          <t>9RN</t>
        </is>
      </c>
      <c r="B101" t="inlineStr">
        <is>
          <t>PO066934</t>
        </is>
      </c>
      <c r="C101" s="30" t="n"/>
      <c r="D101" t="n">
        <v>21780</v>
      </c>
      <c r="E101" s="26" t="n">
        <v>46068</v>
      </c>
      <c r="F101" s="26" t="n">
        <v>46072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</row>
    <row r="102">
      <c r="A102" t="inlineStr">
        <is>
          <t>0JN</t>
        </is>
      </c>
      <c r="B102" t="inlineStr">
        <is>
          <t>PO066940</t>
        </is>
      </c>
      <c r="C102" s="30" t="n"/>
      <c r="D102" t="n">
        <v>8243</v>
      </c>
      <c r="E102" s="26" t="n">
        <v>46095</v>
      </c>
      <c r="F102" s="26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</row>
    <row r="103">
      <c r="A103" t="inlineStr">
        <is>
          <t>CHEM-1240</t>
        </is>
      </c>
      <c r="B103" t="inlineStr">
        <is>
          <t>PO067067</t>
        </is>
      </c>
      <c r="C103" s="30" t="n"/>
      <c r="D103" t="n">
        <v>440</v>
      </c>
      <c r="E103" s="26" t="n">
        <v>46092</v>
      </c>
      <c r="F103" s="26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</row>
    <row r="104">
      <c r="A104" t="inlineStr">
        <is>
          <t>CHEM-1250</t>
        </is>
      </c>
      <c r="B104" t="inlineStr">
        <is>
          <t>PO067067</t>
        </is>
      </c>
      <c r="C104" s="30" t="n"/>
      <c r="D104" t="n">
        <v>100</v>
      </c>
      <c r="E104" s="26" t="n">
        <v>46092</v>
      </c>
      <c r="F104" s="26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</row>
    <row r="105">
      <c r="A105" t="inlineStr">
        <is>
          <t>CHEM-1400</t>
        </is>
      </c>
      <c r="B105" t="inlineStr">
        <is>
          <t>PO067067</t>
        </is>
      </c>
      <c r="C105" s="30" t="n"/>
      <c r="D105" t="n">
        <v>100</v>
      </c>
      <c r="E105" s="26" t="n">
        <v>46092</v>
      </c>
      <c r="F105" s="26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</row>
    <row r="106">
      <c r="A106" t="inlineStr">
        <is>
          <t>CHEM-1420</t>
        </is>
      </c>
      <c r="B106" t="inlineStr">
        <is>
          <t>PO067067</t>
        </is>
      </c>
      <c r="C106" s="30" t="n"/>
      <c r="D106" t="n">
        <v>160</v>
      </c>
      <c r="E106" s="26" t="n">
        <v>46092</v>
      </c>
      <c r="F106" s="26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</row>
    <row r="107">
      <c r="A107" t="inlineStr">
        <is>
          <t>CHEM-1440</t>
        </is>
      </c>
      <c r="B107" t="inlineStr">
        <is>
          <t>PO067067</t>
        </is>
      </c>
      <c r="C107" s="30" t="n"/>
      <c r="D107" t="n">
        <v>200</v>
      </c>
      <c r="E107" s="26" t="n">
        <v>46092</v>
      </c>
      <c r="F107" s="26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</row>
    <row r="108">
      <c r="A108" t="inlineStr">
        <is>
          <t>CHEM-1540</t>
        </is>
      </c>
      <c r="B108" t="inlineStr">
        <is>
          <t>PO067067</t>
        </is>
      </c>
      <c r="C108" s="30" t="n"/>
      <c r="D108" t="n">
        <v>3000</v>
      </c>
      <c r="E108" s="26" t="n">
        <v>46092</v>
      </c>
      <c r="F108" s="26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</row>
    <row r="109">
      <c r="A109" t="inlineStr">
        <is>
          <t>CHEM-1530</t>
        </is>
      </c>
      <c r="B109" t="inlineStr">
        <is>
          <t>PO067067</t>
        </is>
      </c>
      <c r="C109" s="30" t="n"/>
      <c r="D109" t="n">
        <v>2100</v>
      </c>
      <c r="E109" s="26" t="n">
        <v>46092</v>
      </c>
      <c r="F109" s="26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</row>
    <row r="110">
      <c r="A110" t="inlineStr">
        <is>
          <t>CHEM-1600</t>
        </is>
      </c>
      <c r="B110" t="inlineStr">
        <is>
          <t>PO067067</t>
        </is>
      </c>
      <c r="C110" s="30" t="n"/>
      <c r="D110" t="n">
        <v>100</v>
      </c>
      <c r="E110" s="26" t="n">
        <v>46092</v>
      </c>
      <c r="F110" s="26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</row>
    <row r="111">
      <c r="A111" t="inlineStr">
        <is>
          <t>CHEM-1570</t>
        </is>
      </c>
      <c r="B111" t="inlineStr">
        <is>
          <t>PO067067</t>
        </is>
      </c>
      <c r="C111" s="30" t="n"/>
      <c r="D111" t="n">
        <v>36</v>
      </c>
      <c r="E111" s="26" t="n">
        <v>46092</v>
      </c>
      <c r="F111" s="26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</row>
    <row r="112">
      <c r="A112" t="inlineStr">
        <is>
          <t>CHEM-1670</t>
        </is>
      </c>
      <c r="B112" t="inlineStr">
        <is>
          <t>PO067067</t>
        </is>
      </c>
      <c r="C112" s="30" t="n"/>
      <c r="D112" t="n">
        <v>180</v>
      </c>
      <c r="E112" s="26" t="n">
        <v>46092</v>
      </c>
      <c r="F112" s="26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</row>
    <row r="113">
      <c r="A113" t="inlineStr">
        <is>
          <t>CHEM-1700</t>
        </is>
      </c>
      <c r="B113" t="inlineStr">
        <is>
          <t>PO067067</t>
        </is>
      </c>
      <c r="C113" s="30" t="n"/>
      <c r="D113" t="n">
        <v>60</v>
      </c>
      <c r="E113" s="26" t="n">
        <v>46092</v>
      </c>
      <c r="F113" s="26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</row>
    <row r="114">
      <c r="A114" t="inlineStr">
        <is>
          <t>CHEM-1720</t>
        </is>
      </c>
      <c r="B114" t="inlineStr">
        <is>
          <t>PO067067</t>
        </is>
      </c>
      <c r="C114" s="30" t="n"/>
      <c r="D114" t="n">
        <v>720</v>
      </c>
      <c r="E114" s="26" t="n">
        <v>46092</v>
      </c>
      <c r="F114" s="26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</row>
    <row r="115">
      <c r="A115" t="inlineStr">
        <is>
          <t>PP FILM</t>
        </is>
      </c>
      <c r="B115" t="inlineStr">
        <is>
          <t>PO067067</t>
        </is>
      </c>
      <c r="C115" s="30" t="n"/>
      <c r="D115" t="n">
        <v>3000</v>
      </c>
      <c r="E115" s="26" t="n">
        <v>46092</v>
      </c>
      <c r="F115" s="26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</row>
    <row r="116">
      <c r="A116" t="inlineStr">
        <is>
          <t>CHEM-1650</t>
        </is>
      </c>
      <c r="B116" t="inlineStr">
        <is>
          <t>PO067067</t>
        </is>
      </c>
      <c r="C116" s="30" t="n"/>
      <c r="D116" t="n">
        <v>25</v>
      </c>
      <c r="E116" s="26" t="n">
        <v>46092</v>
      </c>
      <c r="F116" s="26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</row>
    <row r="117">
      <c r="A117" t="inlineStr">
        <is>
          <t>Original Towel</t>
        </is>
      </c>
      <c r="B117" t="inlineStr">
        <is>
          <t>PO067067</t>
        </is>
      </c>
      <c r="C117" s="30" t="n"/>
      <c r="D117" t="n">
        <v>10000</v>
      </c>
      <c r="E117" s="26" t="n">
        <v>46092</v>
      </c>
      <c r="F117" s="26" t="n">
        <v>46099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</row>
    <row r="118">
      <c r="A118" t="inlineStr">
        <is>
          <t>TPP-1469</t>
        </is>
      </c>
      <c r="B118" t="inlineStr"/>
      <c r="C118" s="30" t="n"/>
      <c r="D118" t="n">
        <v>18.7</v>
      </c>
      <c r="E118" s="26" t="n">
        <v>46092</v>
      </c>
      <c r="F118" s="26" t="n">
        <v>46099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</row>
    <row r="119">
      <c r="A119" t="inlineStr">
        <is>
          <t>CHEM-1660</t>
        </is>
      </c>
      <c r="B119" t="inlineStr">
        <is>
          <t>PO067070</t>
        </is>
      </c>
      <c r="C119" s="30" t="n"/>
      <c r="D119" t="n">
        <v>180</v>
      </c>
      <c r="E119" s="26" t="n">
        <v>46092</v>
      </c>
      <c r="F119" s="26" t="n">
        <v>46099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</row>
    <row r="120">
      <c r="A120" t="inlineStr">
        <is>
          <t>CHEM-1280</t>
        </is>
      </c>
      <c r="B120" t="inlineStr">
        <is>
          <t>PO067070</t>
        </is>
      </c>
      <c r="C120" s="30" t="n"/>
      <c r="D120" t="n">
        <v>1000</v>
      </c>
      <c r="E120" s="26" t="n">
        <v>46092</v>
      </c>
      <c r="F120" s="26" t="n">
        <v>46099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</row>
    <row r="121">
      <c r="A121" t="inlineStr">
        <is>
          <t>4HL</t>
        </is>
      </c>
      <c r="B121" t="inlineStr"/>
      <c r="C121" s="30" t="n"/>
      <c r="D121" t="n">
        <v>960</v>
      </c>
      <c r="E121" s="26" t="n">
        <v>46112</v>
      </c>
      <c r="F121" s="26" t="n">
        <v>46119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</row>
    <row r="122">
      <c r="A122" t="inlineStr">
        <is>
          <t>4HL</t>
        </is>
      </c>
      <c r="B122" t="inlineStr"/>
      <c r="C122" s="30" t="n"/>
      <c r="D122" t="n">
        <v>9600</v>
      </c>
      <c r="E122" s="26" t="n">
        <v>46120</v>
      </c>
      <c r="F122" s="26" t="n">
        <v>46128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</row>
    <row r="123">
      <c r="A123" t="inlineStr">
        <is>
          <t>4HL</t>
        </is>
      </c>
      <c r="B123" t="inlineStr"/>
      <c r="C123" s="30" t="n"/>
      <c r="D123" t="n">
        <v>4800</v>
      </c>
      <c r="E123" s="26" t="n">
        <v>46112</v>
      </c>
      <c r="F123" s="26" t="n">
        <v>46125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</row>
    <row r="124">
      <c r="A124" t="inlineStr">
        <is>
          <t>4HL</t>
        </is>
      </c>
      <c r="B124" t="inlineStr"/>
      <c r="C124" s="30" t="n"/>
      <c r="D124" t="n">
        <v>480</v>
      </c>
      <c r="E124" s="26" t="n">
        <v>46112</v>
      </c>
      <c r="F124" s="26" t="n">
        <v>46114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</row>
    <row r="125">
      <c r="A125" t="inlineStr">
        <is>
          <t>4HL</t>
        </is>
      </c>
      <c r="B125" t="inlineStr"/>
      <c r="C125" s="30" t="n"/>
      <c r="D125" t="n">
        <v>5760</v>
      </c>
      <c r="E125" s="26" t="n">
        <v>46125</v>
      </c>
      <c r="F125" s="26" t="n">
        <v>46132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</row>
    <row r="126">
      <c r="A126" t="inlineStr">
        <is>
          <t>4HL</t>
        </is>
      </c>
      <c r="B126" t="inlineStr"/>
      <c r="C126" s="30" t="n"/>
      <c r="D126" t="n">
        <v>156</v>
      </c>
      <c r="E126" s="26" t="n">
        <v>46112</v>
      </c>
      <c r="F126" s="26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</row>
    <row r="127">
      <c r="A127" t="inlineStr">
        <is>
          <t>4HL</t>
        </is>
      </c>
      <c r="B127" t="inlineStr"/>
      <c r="C127" s="30" t="n"/>
      <c r="D127" t="n">
        <v>144</v>
      </c>
      <c r="E127" s="26" t="n">
        <v>46112</v>
      </c>
      <c r="F127" s="26" t="n">
        <v>46126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</row>
    <row r="128">
      <c r="A128" t="inlineStr">
        <is>
          <t>1EK</t>
        </is>
      </c>
      <c r="B128" t="inlineStr"/>
      <c r="C128" s="30" t="n"/>
      <c r="D128" t="n">
        <v>4800</v>
      </c>
      <c r="E128" s="26" t="n">
        <v>46098</v>
      </c>
      <c r="F128" s="26" t="n">
        <v>46105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</row>
    <row r="129">
      <c r="A129" t="inlineStr">
        <is>
          <t>1EK</t>
        </is>
      </c>
      <c r="B129" t="inlineStr"/>
      <c r="C129" s="30" t="n"/>
      <c r="D129" t="n">
        <v>10080</v>
      </c>
      <c r="E129" s="26" t="n">
        <v>46112</v>
      </c>
      <c r="F129" s="26" t="n">
        <v>46115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</row>
    <row r="130">
      <c r="A130" t="inlineStr">
        <is>
          <t>1EK</t>
        </is>
      </c>
      <c r="B130" t="inlineStr"/>
      <c r="C130" s="30" t="n"/>
      <c r="D130" t="n">
        <v>1920</v>
      </c>
      <c r="E130" s="26" t="n">
        <v>46112</v>
      </c>
      <c r="F130" s="26" t="n">
        <v>46114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</row>
    <row r="131">
      <c r="A131" t="inlineStr">
        <is>
          <t>TDJ</t>
        </is>
      </c>
      <c r="B131" t="inlineStr">
        <is>
          <t>PO067121</t>
        </is>
      </c>
      <c r="C131" s="30" t="n"/>
      <c r="D131" t="n">
        <v>784</v>
      </c>
      <c r="E131" s="26" t="n">
        <v>46136</v>
      </c>
      <c r="F131" s="26" t="n">
        <v>46147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</row>
    <row r="132">
      <c r="A132" t="inlineStr">
        <is>
          <t>TDJ</t>
        </is>
      </c>
      <c r="B132" t="inlineStr">
        <is>
          <t>PO067121</t>
        </is>
      </c>
      <c r="C132" s="30" t="n"/>
      <c r="D132" t="n">
        <v>205</v>
      </c>
      <c r="E132" s="26" t="n">
        <v>46136</v>
      </c>
      <c r="F132" s="26" t="n">
        <v>46147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</row>
    <row r="133">
      <c r="A133" t="inlineStr">
        <is>
          <t>9RN</t>
        </is>
      </c>
      <c r="B133" t="inlineStr">
        <is>
          <t>PO067086</t>
        </is>
      </c>
      <c r="C133" s="30" t="n"/>
      <c r="D133" t="n">
        <v>22792</v>
      </c>
      <c r="E133" s="26" t="n">
        <v>46112</v>
      </c>
      <c r="F133" s="26" t="n">
        <v>46125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</row>
    <row r="134">
      <c r="A134" t="inlineStr">
        <is>
          <t>9RN</t>
        </is>
      </c>
      <c r="B134" t="inlineStr">
        <is>
          <t>PO067086</t>
        </is>
      </c>
      <c r="C134" s="30" t="n"/>
      <c r="D134" t="n">
        <v>4796</v>
      </c>
      <c r="E134" s="26" t="n">
        <v>46112</v>
      </c>
      <c r="F134" s="26" t="n">
        <v>46125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</row>
    <row r="135">
      <c r="A135" t="inlineStr">
        <is>
          <t>0JN</t>
        </is>
      </c>
      <c r="B135" t="inlineStr">
        <is>
          <t>PO067071</t>
        </is>
      </c>
      <c r="C135" s="30" t="n"/>
      <c r="D135" t="n">
        <v>18835</v>
      </c>
      <c r="E135" s="26" t="n">
        <v>46103</v>
      </c>
      <c r="F135" s="26" t="n">
        <v>46112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</row>
    <row r="136">
      <c r="A136" t="inlineStr">
        <is>
          <t>0JN</t>
        </is>
      </c>
      <c r="B136" t="inlineStr">
        <is>
          <t>PO067071</t>
        </is>
      </c>
      <c r="C136" s="30" t="n"/>
      <c r="D136" t="n">
        <v>9289</v>
      </c>
      <c r="E136" s="26" t="n">
        <v>46116</v>
      </c>
      <c r="F136" s="26" t="n">
        <v>46120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</row>
    <row r="137">
      <c r="A137" t="inlineStr">
        <is>
          <t>0JN</t>
        </is>
      </c>
      <c r="B137" t="inlineStr">
        <is>
          <t>PO067071</t>
        </is>
      </c>
      <c r="C137" s="30" t="n"/>
      <c r="D137" t="n">
        <v>11522</v>
      </c>
      <c r="E137" s="26" t="n">
        <v>46138</v>
      </c>
      <c r="F137" s="26" t="n">
        <v>46147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</row>
    <row r="138">
      <c r="A138" t="inlineStr">
        <is>
          <t>CHEM-1250</t>
        </is>
      </c>
      <c r="B138" t="inlineStr">
        <is>
          <t>PO067281</t>
        </is>
      </c>
      <c r="C138" s="30" t="n"/>
      <c r="D138" t="n">
        <v>150</v>
      </c>
      <c r="E138" s="26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</row>
    <row r="139">
      <c r="A139" t="inlineStr">
        <is>
          <t>CHEM-1400</t>
        </is>
      </c>
      <c r="B139" t="inlineStr">
        <is>
          <t>PO067281</t>
        </is>
      </c>
      <c r="C139" s="30" t="n"/>
      <c r="D139" t="n">
        <v>300</v>
      </c>
      <c r="E139" s="26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</row>
    <row r="140">
      <c r="A140" t="inlineStr">
        <is>
          <t>CHEM-1420</t>
        </is>
      </c>
      <c r="B140" t="inlineStr">
        <is>
          <t>PO067281</t>
        </is>
      </c>
      <c r="C140" s="30" t="n"/>
      <c r="D140" t="n">
        <v>240</v>
      </c>
      <c r="E140" s="26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</row>
    <row r="141">
      <c r="A141" t="inlineStr">
        <is>
          <t>CHEM-1440</t>
        </is>
      </c>
      <c r="B141" t="inlineStr">
        <is>
          <t>PO067281</t>
        </is>
      </c>
      <c r="C141" s="30" t="n"/>
      <c r="D141" t="n">
        <v>200</v>
      </c>
      <c r="E141" s="26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</row>
    <row r="142">
      <c r="A142" t="inlineStr">
        <is>
          <t>CHEM-1540</t>
        </is>
      </c>
      <c r="B142" t="inlineStr">
        <is>
          <t>PO067281</t>
        </is>
      </c>
      <c r="C142" s="30" t="n"/>
      <c r="D142" t="n">
        <v>2000</v>
      </c>
      <c r="E142" s="26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</row>
    <row r="143">
      <c r="A143" t="inlineStr">
        <is>
          <t>CHEM-1530</t>
        </is>
      </c>
      <c r="B143" t="inlineStr">
        <is>
          <t>PO067281</t>
        </is>
      </c>
      <c r="C143" s="30" t="n"/>
      <c r="D143" t="n">
        <v>2800</v>
      </c>
      <c r="E143" s="26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</row>
    <row r="144">
      <c r="A144" t="inlineStr">
        <is>
          <t>CHEM-1600</t>
        </is>
      </c>
      <c r="B144" t="inlineStr">
        <is>
          <t>PO067281</t>
        </is>
      </c>
      <c r="C144" s="30" t="n"/>
      <c r="D144" t="n">
        <v>250</v>
      </c>
      <c r="E144" s="26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</row>
    <row r="145">
      <c r="A145" t="inlineStr">
        <is>
          <t>CHEM-1570</t>
        </is>
      </c>
      <c r="B145" t="inlineStr">
        <is>
          <t>PO067281</t>
        </is>
      </c>
      <c r="C145" s="30" t="n"/>
      <c r="D145" t="n">
        <v>36</v>
      </c>
      <c r="E145" s="26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</row>
    <row r="146">
      <c r="A146" t="inlineStr">
        <is>
          <t>CHEM-1670</t>
        </is>
      </c>
      <c r="B146" t="inlineStr">
        <is>
          <t>PO067281</t>
        </is>
      </c>
      <c r="C146" s="30" t="n"/>
      <c r="D146" t="n">
        <v>180</v>
      </c>
      <c r="E146" s="26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</row>
    <row r="147">
      <c r="A147" t="inlineStr">
        <is>
          <t>CHEM-1690</t>
        </is>
      </c>
      <c r="B147" t="inlineStr">
        <is>
          <t>PO067281</t>
        </is>
      </c>
      <c r="C147" s="30" t="n"/>
      <c r="D147" t="n">
        <v>135</v>
      </c>
      <c r="E147" s="26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</row>
    <row r="148">
      <c r="A148" t="inlineStr">
        <is>
          <t>CHEM-1700</t>
        </is>
      </c>
      <c r="B148" t="inlineStr">
        <is>
          <t>PO067281</t>
        </is>
      </c>
      <c r="C148" s="30" t="n"/>
      <c r="D148" t="n">
        <v>60</v>
      </c>
      <c r="E148" s="26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</row>
    <row r="149">
      <c r="A149" t="inlineStr">
        <is>
          <t>CHEM-1720</t>
        </is>
      </c>
      <c r="B149" t="inlineStr">
        <is>
          <t>PO067281</t>
        </is>
      </c>
      <c r="C149" s="30" t="n"/>
      <c r="D149" t="n">
        <v>720</v>
      </c>
      <c r="E149" s="26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</row>
    <row r="150">
      <c r="A150" t="inlineStr">
        <is>
          <t>CHEM-1760</t>
        </is>
      </c>
      <c r="B150" t="inlineStr">
        <is>
          <t>PO067281</t>
        </is>
      </c>
      <c r="C150" s="30" t="n"/>
      <c r="D150" t="n">
        <v>17</v>
      </c>
      <c r="E150" s="26" t="n">
        <v>46117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</row>
    <row r="151">
      <c r="A151" t="inlineStr">
        <is>
          <t>CHEM-1200</t>
        </is>
      </c>
      <c r="B151" t="inlineStr">
        <is>
          <t>PO067281</t>
        </is>
      </c>
      <c r="C151" s="30" t="n"/>
      <c r="D151" t="n">
        <v>25</v>
      </c>
      <c r="E151" s="26" t="n">
        <v>46117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</row>
    <row r="152">
      <c r="A152" t="inlineStr">
        <is>
          <t>CHEM-1680</t>
        </is>
      </c>
      <c r="B152" t="inlineStr">
        <is>
          <t>PO067281</t>
        </is>
      </c>
      <c r="C152" s="30" t="n"/>
      <c r="D152" t="n">
        <v>200</v>
      </c>
      <c r="E152" s="26" t="n">
        <v>46117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</row>
    <row r="153">
      <c r="A153" t="inlineStr">
        <is>
          <t>CHEM-1660</t>
        </is>
      </c>
      <c r="B153" t="inlineStr">
        <is>
          <t>PO067274</t>
        </is>
      </c>
      <c r="C153" s="30" t="n"/>
      <c r="D153" t="n">
        <v>180</v>
      </c>
      <c r="E153" s="26" t="n">
        <v>46117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</row>
    <row r="154">
      <c r="A154" t="inlineStr">
        <is>
          <t>4HL</t>
        </is>
      </c>
      <c r="B154" t="inlineStr"/>
      <c r="C154" s="30" t="n"/>
      <c r="D154" t="n">
        <v>19200</v>
      </c>
      <c r="E154" s="26" t="n">
        <v>46131</v>
      </c>
      <c r="F154" s="26" t="n">
        <v>46135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</row>
    <row r="155">
      <c r="A155" t="inlineStr">
        <is>
          <t>4HL</t>
        </is>
      </c>
      <c r="B155" t="inlineStr"/>
      <c r="C155" s="30" t="n"/>
      <c r="D155" t="n">
        <v>19200</v>
      </c>
      <c r="E155" s="26" t="n">
        <v>46136</v>
      </c>
      <c r="F155" s="26" t="n">
        <v>46136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</row>
    <row r="156">
      <c r="A156" t="inlineStr">
        <is>
          <t>4HL</t>
        </is>
      </c>
      <c r="B156" t="inlineStr"/>
      <c r="C156" s="30" t="n"/>
      <c r="D156" t="n">
        <v>15840</v>
      </c>
      <c r="E156" s="26" t="n">
        <v>46155</v>
      </c>
      <c r="F156" s="26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</row>
    <row r="157">
      <c r="A157" t="inlineStr">
        <is>
          <t>4HL</t>
        </is>
      </c>
      <c r="B157" t="inlineStr"/>
      <c r="C157" s="30" t="n"/>
      <c r="D157" t="n">
        <v>5760</v>
      </c>
      <c r="E157" s="26" t="n">
        <v>46159</v>
      </c>
      <c r="F157" s="26" t="n">
        <v>46167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</row>
    <row r="158">
      <c r="A158" t="inlineStr">
        <is>
          <t>4HL</t>
        </is>
      </c>
      <c r="B158" t="inlineStr"/>
      <c r="C158" s="30" t="n"/>
      <c r="D158" t="n">
        <v>246</v>
      </c>
      <c r="E158" s="26" t="n">
        <v>46155</v>
      </c>
      <c r="F158" s="26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</row>
    <row r="159">
      <c r="A159" t="inlineStr">
        <is>
          <t>1EK</t>
        </is>
      </c>
      <c r="B159" t="inlineStr"/>
      <c r="C159" s="30" t="n"/>
      <c r="D159" t="n">
        <v>8640</v>
      </c>
      <c r="E159" s="26" t="n">
        <v>46146</v>
      </c>
      <c r="F159" s="26" t="n">
        <v>46150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</row>
    <row r="160">
      <c r="A160" t="inlineStr">
        <is>
          <t>1EK</t>
        </is>
      </c>
      <c r="B160" t="inlineStr"/>
      <c r="C160" s="30" t="n"/>
      <c r="D160" t="n">
        <v>9120</v>
      </c>
      <c r="E160" s="26" t="n">
        <v>46155</v>
      </c>
      <c r="F160" s="26" t="n">
        <v>46161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</row>
    <row r="161">
      <c r="A161" t="inlineStr">
        <is>
          <t>1EK</t>
        </is>
      </c>
      <c r="B161" t="inlineStr"/>
      <c r="C161" s="30" t="n"/>
      <c r="D161" t="n">
        <v>9600</v>
      </c>
      <c r="E161" s="26" t="n">
        <v>46151</v>
      </c>
      <c r="F161" s="26" t="n">
        <v>46161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</row>
    <row r="162">
      <c r="A162" t="inlineStr">
        <is>
          <t>1EK</t>
        </is>
      </c>
      <c r="B162" t="inlineStr"/>
      <c r="C162" s="30" t="n"/>
      <c r="D162" t="n">
        <v>2880</v>
      </c>
      <c r="E162" s="26" t="n">
        <v>46155</v>
      </c>
      <c r="F162" s="26" t="n">
        <v>46161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</row>
    <row r="163">
      <c r="A163" t="inlineStr">
        <is>
          <t>1EK</t>
        </is>
      </c>
      <c r="B163" t="inlineStr"/>
      <c r="C163" s="30" t="n"/>
      <c r="D163" t="n">
        <v>392</v>
      </c>
      <c r="E163" s="26" t="n">
        <v>46155</v>
      </c>
      <c r="F163" s="26" t="n">
        <v>46161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</row>
    <row r="164">
      <c r="A164" t="inlineStr">
        <is>
          <t>1EK</t>
        </is>
      </c>
      <c r="B164" t="inlineStr"/>
      <c r="C164" s="30" t="n"/>
      <c r="D164" t="n">
        <v>745</v>
      </c>
      <c r="E164" s="26" t="n">
        <v>46146</v>
      </c>
      <c r="F164" s="26" t="n">
        <v>46153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</row>
    <row r="165">
      <c r="A165" t="inlineStr">
        <is>
          <t>9RN</t>
        </is>
      </c>
      <c r="B165" t="inlineStr">
        <is>
          <t>PO067280</t>
        </is>
      </c>
      <c r="C165" s="30" t="n"/>
      <c r="D165" t="n">
        <v>22869</v>
      </c>
      <c r="E165" s="26" t="n">
        <v>46131</v>
      </c>
      <c r="F165" s="26" t="n">
        <v>46136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</row>
    <row r="166">
      <c r="A166" t="inlineStr">
        <is>
          <t>9RN</t>
        </is>
      </c>
      <c r="B166" t="inlineStr">
        <is>
          <t>PO067280</t>
        </is>
      </c>
      <c r="C166" s="30" t="n"/>
      <c r="D166" t="n">
        <v>18216</v>
      </c>
      <c r="E166" s="26" t="n">
        <v>46131</v>
      </c>
      <c r="F166" s="26" t="n">
        <v>46136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</row>
    <row r="167">
      <c r="A167" t="inlineStr">
        <is>
          <t>9RN</t>
        </is>
      </c>
      <c r="B167" t="inlineStr">
        <is>
          <t>PO067280</t>
        </is>
      </c>
      <c r="C167" s="30" t="n"/>
      <c r="D167" t="n">
        <v>19140</v>
      </c>
      <c r="E167" s="26" t="n">
        <v>46164</v>
      </c>
      <c r="F167" s="26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</row>
    <row r="168">
      <c r="A168" t="inlineStr">
        <is>
          <t>9RN</t>
        </is>
      </c>
      <c r="B168" t="inlineStr">
        <is>
          <t>PO067280</t>
        </is>
      </c>
      <c r="C168" s="30" t="n"/>
      <c r="D168" t="n">
        <v>14795</v>
      </c>
      <c r="E168" s="26" t="n">
        <v>46164</v>
      </c>
      <c r="F168" s="26" t="n">
        <v>46169</v>
      </c>
      <c r="G168" t="inlineStr">
        <is>
          <t>TTAF Stock</t>
        </is>
      </c>
      <c r="H168">
        <f>IFERROR(MAX(1,MIN(104,INT((IF(F168="",E168,F168)-(DATE(Cal_Weeks!$B$1,1,1)-WEEKDAY(DATE(Cal_Weeks!$B$1,1,1),3)))/7)+1)),"")</f>
        <v/>
      </c>
    </row>
    <row r="169">
      <c r="A169" t="inlineStr">
        <is>
          <t>0JN</t>
        </is>
      </c>
      <c r="B169" t="inlineStr">
        <is>
          <t>PO067278</t>
        </is>
      </c>
      <c r="C169" s="30" t="n"/>
      <c r="D169" t="n">
        <v>7117</v>
      </c>
      <c r="E169" s="26" t="n">
        <v>46138</v>
      </c>
      <c r="F169" s="26" t="n">
        <v>46147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</row>
    <row r="170">
      <c r="A170" t="inlineStr">
        <is>
          <t>0JN</t>
        </is>
      </c>
      <c r="B170" t="inlineStr">
        <is>
          <t>PO067278</t>
        </is>
      </c>
      <c r="C170" s="30" t="n"/>
      <c r="D170" t="n">
        <v>12672</v>
      </c>
      <c r="E170" s="26" t="n">
        <v>46138</v>
      </c>
      <c r="F170" s="26" t="n">
        <v>46147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</row>
    <row r="171">
      <c r="A171" t="inlineStr">
        <is>
          <t>0JN</t>
        </is>
      </c>
      <c r="B171" t="inlineStr">
        <is>
          <t>PO067278</t>
        </is>
      </c>
      <c r="C171" s="30" t="n"/>
      <c r="D171" t="n">
        <v>18825</v>
      </c>
      <c r="E171" s="26" t="n">
        <v>46165</v>
      </c>
      <c r="F171" s="26" t="n">
        <v>46170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</row>
    <row r="172">
      <c r="A172" t="inlineStr">
        <is>
          <t>0JN</t>
        </is>
      </c>
      <c r="B172" t="inlineStr">
        <is>
          <t>PO067278</t>
        </is>
      </c>
      <c r="C172" s="30" t="n"/>
      <c r="D172" t="n">
        <v>1188</v>
      </c>
      <c r="E172" s="26" t="n">
        <v>46172</v>
      </c>
      <c r="G172" t="inlineStr">
        <is>
          <t>In-transit</t>
        </is>
      </c>
      <c r="H172">
        <f>IFERROR(MAX(1,MIN(104,INT((IF(F172="",E172,F172)-(DATE(Cal_Weeks!$B$1,1,1)-WEEKDAY(DATE(Cal_Weeks!$B$1,1,1),3)))/7)+1)),"")</f>
        <v/>
      </c>
    </row>
    <row r="173">
      <c r="A173" t="inlineStr">
        <is>
          <t>CHEM-1240</t>
        </is>
      </c>
      <c r="B173" t="inlineStr">
        <is>
          <t>PO067529</t>
        </is>
      </c>
      <c r="C173" s="30" t="n"/>
      <c r="D173" t="n">
        <v>660</v>
      </c>
      <c r="E173" s="26" t="n">
        <v>46156</v>
      </c>
      <c r="F173" s="26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</row>
    <row r="174">
      <c r="A174" t="inlineStr">
        <is>
          <t>CHEM-1250</t>
        </is>
      </c>
      <c r="B174" t="inlineStr">
        <is>
          <t>PO067529</t>
        </is>
      </c>
      <c r="C174" s="30" t="n"/>
      <c r="D174" t="n">
        <v>150</v>
      </c>
      <c r="E174" s="26" t="n">
        <v>46156</v>
      </c>
      <c r="F174" s="26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</row>
    <row r="175">
      <c r="A175" t="inlineStr">
        <is>
          <t>CHEM-1400</t>
        </is>
      </c>
      <c r="B175" t="inlineStr">
        <is>
          <t>PO067529</t>
        </is>
      </c>
      <c r="C175" s="30" t="n"/>
      <c r="D175" t="n">
        <v>350</v>
      </c>
      <c r="E175" s="26" t="n">
        <v>46156</v>
      </c>
      <c r="F175" s="26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</row>
    <row r="176">
      <c r="A176" t="inlineStr">
        <is>
          <t>CHEM-1420</t>
        </is>
      </c>
      <c r="B176" t="inlineStr">
        <is>
          <t>PO067529</t>
        </is>
      </c>
      <c r="C176" s="30" t="n"/>
      <c r="D176" t="n">
        <v>320</v>
      </c>
      <c r="E176" s="26" t="n">
        <v>46156</v>
      </c>
      <c r="F176" s="26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</row>
    <row r="177">
      <c r="A177" t="inlineStr">
        <is>
          <t>CHEM-1440</t>
        </is>
      </c>
      <c r="B177" t="inlineStr">
        <is>
          <t>PO067529</t>
        </is>
      </c>
      <c r="C177" s="30" t="n"/>
      <c r="D177" t="n">
        <v>200</v>
      </c>
      <c r="E177" s="26" t="n">
        <v>46156</v>
      </c>
      <c r="F177" s="26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</row>
    <row r="178">
      <c r="A178" t="inlineStr">
        <is>
          <t>CHEM-1540</t>
        </is>
      </c>
      <c r="B178" t="inlineStr">
        <is>
          <t>PO067529</t>
        </is>
      </c>
      <c r="C178" s="30" t="n"/>
      <c r="D178" t="n">
        <v>2500</v>
      </c>
      <c r="E178" s="26" t="n">
        <v>46156</v>
      </c>
      <c r="F178" s="26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</row>
    <row r="179">
      <c r="A179" t="inlineStr">
        <is>
          <t>CHEM-1530</t>
        </is>
      </c>
      <c r="B179" t="inlineStr">
        <is>
          <t>PO067529</t>
        </is>
      </c>
      <c r="C179" s="30" t="n"/>
      <c r="D179" t="n">
        <v>3500</v>
      </c>
      <c r="E179" s="26" t="n">
        <v>46156</v>
      </c>
      <c r="F179" s="26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</row>
    <row r="180">
      <c r="A180" t="inlineStr">
        <is>
          <t>CHEM-1600</t>
        </is>
      </c>
      <c r="B180" t="inlineStr">
        <is>
          <t>PO067529</t>
        </is>
      </c>
      <c r="C180" s="30" t="n"/>
      <c r="D180" t="n">
        <v>350</v>
      </c>
      <c r="E180" s="26" t="n">
        <v>46156</v>
      </c>
      <c r="F180" s="26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</row>
    <row r="181">
      <c r="A181" t="inlineStr">
        <is>
          <t>CHEM-1570</t>
        </is>
      </c>
      <c r="B181" t="inlineStr">
        <is>
          <t>PO067529</t>
        </is>
      </c>
      <c r="C181" s="30" t="n"/>
      <c r="D181" t="n">
        <v>36</v>
      </c>
      <c r="E181" s="26" t="n">
        <v>46156</v>
      </c>
      <c r="F181" s="26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</row>
    <row r="182">
      <c r="A182" t="inlineStr">
        <is>
          <t>CHEM-1670</t>
        </is>
      </c>
      <c r="B182" t="inlineStr">
        <is>
          <t>PO067529</t>
        </is>
      </c>
      <c r="C182" s="30" t="n"/>
      <c r="D182" t="n">
        <v>180</v>
      </c>
      <c r="E182" s="26" t="n">
        <v>46156</v>
      </c>
      <c r="F182" s="26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</row>
    <row r="183">
      <c r="A183" t="inlineStr">
        <is>
          <t>CHEM-1690</t>
        </is>
      </c>
      <c r="B183" t="inlineStr">
        <is>
          <t>PO067529</t>
        </is>
      </c>
      <c r="C183" s="30" t="n"/>
      <c r="D183" t="n">
        <v>135</v>
      </c>
      <c r="E183" s="26" t="n">
        <v>46156</v>
      </c>
      <c r="F183" s="26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</row>
    <row r="184">
      <c r="A184" t="inlineStr">
        <is>
          <t>CHEM-1700</t>
        </is>
      </c>
      <c r="B184" t="inlineStr">
        <is>
          <t>PO067529</t>
        </is>
      </c>
      <c r="C184" s="30" t="n"/>
      <c r="D184" t="n">
        <v>60</v>
      </c>
      <c r="E184" s="26" t="n">
        <v>46156</v>
      </c>
      <c r="F184" s="26" t="n">
        <v>46164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</row>
    <row r="185">
      <c r="A185" t="inlineStr">
        <is>
          <t>CHEM-1720</t>
        </is>
      </c>
      <c r="B185" t="inlineStr">
        <is>
          <t>PO067529</t>
        </is>
      </c>
      <c r="C185" s="30" t="n"/>
      <c r="D185" t="n">
        <v>1080</v>
      </c>
      <c r="E185" s="26" t="n">
        <v>46156</v>
      </c>
      <c r="F185" s="26" t="n">
        <v>46164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</row>
    <row r="186">
      <c r="A186" t="inlineStr">
        <is>
          <t>CHEM-1680</t>
        </is>
      </c>
      <c r="B186" t="inlineStr">
        <is>
          <t>PO067529</t>
        </is>
      </c>
      <c r="C186" s="30" t="n"/>
      <c r="D186" t="n">
        <v>200</v>
      </c>
      <c r="E186" s="26" t="n">
        <v>46156</v>
      </c>
      <c r="F186" s="26" t="n">
        <v>46164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</row>
    <row r="187">
      <c r="A187" t="inlineStr">
        <is>
          <t>CHEM-1730</t>
        </is>
      </c>
      <c r="B187" t="inlineStr">
        <is>
          <t>PO067529</t>
        </is>
      </c>
      <c r="C187" s="30" t="n"/>
      <c r="D187" t="n">
        <v>200</v>
      </c>
      <c r="E187" s="26" t="n">
        <v>46156</v>
      </c>
      <c r="F187" s="26" t="n">
        <v>46164</v>
      </c>
      <c r="G187" t="inlineStr">
        <is>
          <t>TTAF Stock</t>
        </is>
      </c>
      <c r="H187">
        <f>IFERROR(MAX(1,MIN(104,INT((IF(F187="",E187,F187)-(DATE(Cal_Weeks!$B$1,1,1)-WEEKDAY(DATE(Cal_Weeks!$B$1,1,1),3)))/7)+1)),"")</f>
        <v/>
      </c>
    </row>
    <row r="188">
      <c r="A188" t="inlineStr">
        <is>
          <t>CHEM-1660</t>
        </is>
      </c>
      <c r="B188" t="inlineStr">
        <is>
          <t>PO067514</t>
        </is>
      </c>
      <c r="C188" s="30" t="n"/>
      <c r="D188" t="n">
        <v>120</v>
      </c>
      <c r="E188" s="26" t="n">
        <v>46155</v>
      </c>
      <c r="F188" s="26" t="n">
        <v>46163</v>
      </c>
      <c r="G188" t="inlineStr">
        <is>
          <t>TTAF Stock</t>
        </is>
      </c>
      <c r="H188">
        <f>IFERROR(MAX(1,MIN(104,INT((IF(F188="",E188,F188)-(DATE(Cal_Weeks!$B$1,1,1)-WEEKDAY(DATE(Cal_Weeks!$B$1,1,1),3)))/7)+1)),"")</f>
        <v/>
      </c>
    </row>
    <row r="189">
      <c r="A189" t="inlineStr">
        <is>
          <t>CHEM-1280</t>
        </is>
      </c>
      <c r="B189" t="inlineStr">
        <is>
          <t>PO067514</t>
        </is>
      </c>
      <c r="C189" s="30" t="n"/>
      <c r="D189" t="n">
        <v>1000</v>
      </c>
      <c r="E189" s="26" t="n">
        <v>46155</v>
      </c>
      <c r="F189" s="26" t="n">
        <v>46163</v>
      </c>
      <c r="G189" t="inlineStr">
        <is>
          <t>TTAF Stock</t>
        </is>
      </c>
      <c r="H189">
        <f>IFERROR(MAX(1,MIN(104,INT((IF(F189="",E189,F189)-(DATE(Cal_Weeks!$B$1,1,1)-WEEKDAY(DATE(Cal_Weeks!$B$1,1,1),3)))/7)+1)),"")</f>
        <v/>
      </c>
    </row>
    <row r="190">
      <c r="A190" t="inlineStr">
        <is>
          <t>4HL</t>
        </is>
      </c>
      <c r="B190" t="inlineStr"/>
      <c r="C190" s="30" t="n"/>
      <c r="D190" t="n">
        <v>6720</v>
      </c>
      <c r="E190" s="26" t="n">
        <v>46164</v>
      </c>
      <c r="F190" s="26" t="n">
        <v>46169</v>
      </c>
      <c r="G190" t="inlineStr">
        <is>
          <t>TTAF Stock</t>
        </is>
      </c>
      <c r="H190">
        <f>IFERROR(MAX(1,MIN(104,INT((IF(F190="",E190,F190)-(DATE(Cal_Weeks!$B$1,1,1)-WEEKDAY(DATE(Cal_Weeks!$B$1,1,1),3)))/7)+1)),"")</f>
        <v/>
      </c>
    </row>
    <row r="191">
      <c r="A191" t="inlineStr">
        <is>
          <t>4HL</t>
        </is>
      </c>
      <c r="B191" t="inlineStr"/>
      <c r="C191" s="30" t="n"/>
      <c r="D191" t="n">
        <v>14400</v>
      </c>
      <c r="E191" s="26" t="n">
        <v>46170</v>
      </c>
      <c r="G191" t="inlineStr">
        <is>
          <t>In-transit</t>
        </is>
      </c>
      <c r="H191">
        <f>IFERROR(MAX(1,MIN(104,INT((IF(F191="",E191,F191)-(DATE(Cal_Weeks!$B$1,1,1)-WEEKDAY(DATE(Cal_Weeks!$B$1,1,1),3)))/7)+1)),"")</f>
        <v/>
      </c>
    </row>
    <row r="192">
      <c r="A192" t="inlineStr">
        <is>
          <t>4HL</t>
        </is>
      </c>
      <c r="B192" t="inlineStr"/>
      <c r="C192" s="30" t="n"/>
      <c r="D192" t="n">
        <v>9600</v>
      </c>
      <c r="E192" s="26" t="n">
        <v>46175</v>
      </c>
      <c r="G192" t="inlineStr">
        <is>
          <t>In-transit</t>
        </is>
      </c>
      <c r="H192">
        <f>IFERROR(MAX(1,MIN(104,INT((IF(F192="",E192,F192)-(DATE(Cal_Weeks!$B$1,1,1)-WEEKDAY(DATE(Cal_Weeks!$B$1,1,1),3)))/7)+1)),"")</f>
        <v/>
      </c>
    </row>
    <row r="193">
      <c r="A193" t="inlineStr">
        <is>
          <t>4HL</t>
        </is>
      </c>
      <c r="B193" t="inlineStr"/>
      <c r="C193" s="30" t="n"/>
      <c r="D193" t="n">
        <v>13440</v>
      </c>
      <c r="E193" s="26" t="n">
        <v>46181</v>
      </c>
      <c r="G193" t="inlineStr">
        <is>
          <t>In-transit</t>
        </is>
      </c>
      <c r="H193">
        <f>IFERROR(MAX(1,MIN(104,INT((IF(F193="",E193,F193)-(DATE(Cal_Weeks!$B$1,1,1)-WEEKDAY(DATE(Cal_Weeks!$B$1,1,1),3)))/7)+1)),"")</f>
        <v/>
      </c>
    </row>
    <row r="194">
      <c r="A194" t="inlineStr">
        <is>
          <t>4HL</t>
        </is>
      </c>
      <c r="B194" t="inlineStr"/>
      <c r="C194" s="30" t="n"/>
      <c r="D194" t="n">
        <v>11040</v>
      </c>
      <c r="E194" s="26" t="n">
        <v>46181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</row>
    <row r="195">
      <c r="A195" t="inlineStr">
        <is>
          <t>4HL</t>
        </is>
      </c>
      <c r="B195" t="inlineStr"/>
      <c r="C195" s="30" t="n"/>
      <c r="D195" t="n">
        <v>346</v>
      </c>
      <c r="E195" s="26" t="n">
        <v>46164</v>
      </c>
      <c r="F195" s="26" t="n">
        <v>46169</v>
      </c>
      <c r="G195" t="inlineStr">
        <is>
          <t>TTAF Stock</t>
        </is>
      </c>
      <c r="H195">
        <f>IFERROR(MAX(1,MIN(104,INT((IF(F195="",E195,F195)-(DATE(Cal_Weeks!$B$1,1,1)-WEEKDAY(DATE(Cal_Weeks!$B$1,1,1),3)))/7)+1)),"")</f>
        <v/>
      </c>
    </row>
    <row r="196">
      <c r="A196" t="inlineStr">
        <is>
          <t>1EK</t>
        </is>
      </c>
      <c r="B196" t="inlineStr"/>
      <c r="C196" s="30" t="n"/>
      <c r="D196" t="n">
        <v>4800</v>
      </c>
      <c r="E196" s="26" t="n">
        <v>46164</v>
      </c>
      <c r="F196" s="26" t="n">
        <v>46169</v>
      </c>
      <c r="G196" t="inlineStr">
        <is>
          <t>TTAF Stock</t>
        </is>
      </c>
      <c r="H196">
        <f>IFERROR(MAX(1,MIN(104,INT((IF(F196="",E196,F196)-(DATE(Cal_Weeks!$B$1,1,1)-WEEKDAY(DATE(Cal_Weeks!$B$1,1,1),3)))/7)+1)),"")</f>
        <v/>
      </c>
    </row>
    <row r="197">
      <c r="A197" t="inlineStr">
        <is>
          <t>1EK</t>
        </is>
      </c>
      <c r="B197" t="inlineStr"/>
      <c r="C197" s="30" t="n"/>
      <c r="D197" t="n">
        <v>434</v>
      </c>
      <c r="E197" s="26" t="n">
        <v>46164</v>
      </c>
      <c r="F197" s="26" t="n">
        <v>46169</v>
      </c>
      <c r="G197" t="inlineStr">
        <is>
          <t>TTAF Stock</t>
        </is>
      </c>
      <c r="H197">
        <f>IFERROR(MAX(1,MIN(104,INT((IF(F197="",E197,F197)-(DATE(Cal_Weeks!$B$1,1,1)-WEEKDAY(DATE(Cal_Weeks!$B$1,1,1),3)))/7)+1)),"")</f>
        <v/>
      </c>
    </row>
    <row r="198">
      <c r="A198" t="inlineStr">
        <is>
          <t>9RN</t>
        </is>
      </c>
      <c r="B198" t="inlineStr">
        <is>
          <t>PO067508</t>
        </is>
      </c>
      <c r="C198" s="30" t="n"/>
      <c r="D198" t="n">
        <v>15554</v>
      </c>
      <c r="E198" s="26" t="n">
        <v>46175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</row>
    <row r="199">
      <c r="A199" t="inlineStr">
        <is>
          <t>9RN</t>
        </is>
      </c>
      <c r="B199" t="inlineStr">
        <is>
          <t>PO067508</t>
        </is>
      </c>
      <c r="C199" s="30" t="n"/>
      <c r="D199" t="n">
        <v>20746</v>
      </c>
      <c r="E199" s="26" t="n">
        <v>46188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</row>
    <row r="200">
      <c r="A200" t="inlineStr">
        <is>
          <t>0JN</t>
        </is>
      </c>
      <c r="B200" t="inlineStr">
        <is>
          <t>PO067515</t>
        </is>
      </c>
      <c r="C200" s="30" t="n"/>
      <c r="D200" t="n">
        <v>7919</v>
      </c>
      <c r="E200" s="26" t="n">
        <v>46172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</row>
    <row r="201">
      <c r="A201" t="inlineStr">
        <is>
          <t>CHEM-1240</t>
        </is>
      </c>
      <c r="B201" t="inlineStr">
        <is>
          <t>PO068015</t>
        </is>
      </c>
      <c r="C201" s="30" t="n"/>
      <c r="D201" t="n">
        <v>660</v>
      </c>
      <c r="E201" s="26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</row>
    <row r="202">
      <c r="A202" t="inlineStr">
        <is>
          <t>CHEM-1250</t>
        </is>
      </c>
      <c r="B202" t="inlineStr">
        <is>
          <t>PO068015</t>
        </is>
      </c>
      <c r="C202" s="30" t="n"/>
      <c r="D202" t="n">
        <v>50</v>
      </c>
      <c r="E202" s="26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</row>
    <row r="203">
      <c r="A203" t="inlineStr">
        <is>
          <t>CHEM-1400</t>
        </is>
      </c>
      <c r="B203" t="inlineStr">
        <is>
          <t>PO068015</t>
        </is>
      </c>
      <c r="C203" s="30" t="n"/>
      <c r="D203" t="n">
        <v>200</v>
      </c>
      <c r="E203" s="26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</row>
    <row r="204">
      <c r="A204" t="inlineStr">
        <is>
          <t>CHEM-1420</t>
        </is>
      </c>
      <c r="B204" t="inlineStr">
        <is>
          <t>PO068015</t>
        </is>
      </c>
      <c r="C204" s="30" t="n"/>
      <c r="D204" t="n">
        <v>240</v>
      </c>
      <c r="E204" s="26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</row>
    <row r="205">
      <c r="A205" t="inlineStr">
        <is>
          <t>CHEM-1540</t>
        </is>
      </c>
      <c r="B205" t="inlineStr">
        <is>
          <t>PO068015</t>
        </is>
      </c>
      <c r="C205" s="30" t="n"/>
      <c r="D205" t="n">
        <v>4500</v>
      </c>
      <c r="E205" s="26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</row>
    <row r="206">
      <c r="A206" t="inlineStr">
        <is>
          <t>CHEM-1530</t>
        </is>
      </c>
      <c r="B206" t="inlineStr">
        <is>
          <t>PO068015</t>
        </is>
      </c>
      <c r="C206" s="30" t="n"/>
      <c r="D206" t="n">
        <v>2100</v>
      </c>
      <c r="E206" s="26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</row>
    <row r="207">
      <c r="A207" t="inlineStr">
        <is>
          <t>CHEM-1570</t>
        </is>
      </c>
      <c r="B207" t="inlineStr">
        <is>
          <t>PO068015</t>
        </is>
      </c>
      <c r="C207" s="30" t="n"/>
      <c r="D207" t="n">
        <v>18</v>
      </c>
      <c r="E207" s="26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</row>
    <row r="208">
      <c r="A208" t="inlineStr">
        <is>
          <t>CHEM-1670</t>
        </is>
      </c>
      <c r="B208" t="inlineStr">
        <is>
          <t>PO068015</t>
        </is>
      </c>
      <c r="C208" s="30" t="n"/>
      <c r="D208" t="n">
        <v>360</v>
      </c>
      <c r="E208" s="26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</row>
    <row r="209">
      <c r="A209" t="inlineStr">
        <is>
          <t>CHEM-1690</t>
        </is>
      </c>
      <c r="B209" t="inlineStr">
        <is>
          <t>PO068015</t>
        </is>
      </c>
      <c r="C209" s="30" t="n"/>
      <c r="D209" t="n">
        <v>135</v>
      </c>
      <c r="E209" s="26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</row>
    <row r="210">
      <c r="A210" t="inlineStr">
        <is>
          <t>CHEM-1700</t>
        </is>
      </c>
      <c r="B210" t="inlineStr">
        <is>
          <t>PO068015</t>
        </is>
      </c>
      <c r="C210" s="30" t="n"/>
      <c r="D210" t="n">
        <v>60</v>
      </c>
      <c r="E210" s="26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</row>
    <row r="211">
      <c r="A211" t="inlineStr">
        <is>
          <t>CHEM-1720</t>
        </is>
      </c>
      <c r="B211" t="inlineStr">
        <is>
          <t>PO068015</t>
        </is>
      </c>
      <c r="C211" s="30" t="n"/>
      <c r="D211" t="n">
        <v>1320</v>
      </c>
      <c r="E211" s="26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</row>
    <row r="212">
      <c r="A212" t="inlineStr">
        <is>
          <t>CHEM-1760</t>
        </is>
      </c>
      <c r="B212" t="inlineStr">
        <is>
          <t>PO068015</t>
        </is>
      </c>
      <c r="C212" s="30" t="n"/>
      <c r="D212" t="n">
        <v>17</v>
      </c>
      <c r="E212" s="26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</row>
    <row r="213">
      <c r="A213" t="inlineStr">
        <is>
          <t>CHEM-1200</t>
        </is>
      </c>
      <c r="B213" t="inlineStr">
        <is>
          <t>PO068015</t>
        </is>
      </c>
      <c r="C213" s="30" t="n"/>
      <c r="D213" t="n">
        <v>25</v>
      </c>
      <c r="E213" s="26" t="n">
        <v>46181</v>
      </c>
      <c r="G213" t="inlineStr">
        <is>
          <t>In-transit</t>
        </is>
      </c>
      <c r="H213">
        <f>IFERROR(MAX(1,MIN(104,INT((IF(F213="",E213,F213)-(DATE(Cal_Weeks!$B$1,1,1)-WEEKDAY(DATE(Cal_Weeks!$B$1,1,1),3)))/7)+1)),"")</f>
        <v/>
      </c>
    </row>
    <row r="214">
      <c r="A214" t="inlineStr">
        <is>
          <t>CHEM-1840</t>
        </is>
      </c>
      <c r="B214" t="inlineStr">
        <is>
          <t>PO068015</t>
        </is>
      </c>
      <c r="C214" s="30" t="n"/>
      <c r="D214" t="n">
        <v>18</v>
      </c>
      <c r="E214" s="26" t="n">
        <v>46181</v>
      </c>
      <c r="G214" t="inlineStr">
        <is>
          <t>In-transit</t>
        </is>
      </c>
      <c r="H214">
        <f>IFERROR(MAX(1,MIN(104,INT((IF(F214="",E214,F214)-(DATE(Cal_Weeks!$B$1,1,1)-WEEKDAY(DATE(Cal_Weeks!$B$1,1,1),3)))/7)+1)),"")</f>
        <v/>
      </c>
    </row>
    <row r="215">
      <c r="A215" t="inlineStr">
        <is>
          <t>TPP-1469</t>
        </is>
      </c>
      <c r="B215" t="inlineStr"/>
      <c r="C215" s="30" t="n"/>
      <c r="D215" t="n">
        <v>74.56</v>
      </c>
      <c r="E215" s="26" t="n">
        <v>46181</v>
      </c>
      <c r="G215" t="inlineStr">
        <is>
          <t>In-transit</t>
        </is>
      </c>
      <c r="H215">
        <f>IFERROR(MAX(1,MIN(104,INT((IF(F215="",E215,F215)-(DATE(Cal_Weeks!$B$1,1,1)-WEEKDAY(DATE(Cal_Weeks!$B$1,1,1),3)))/7)+1)),"")</f>
        <v/>
      </c>
    </row>
    <row r="216">
      <c r="A216" t="inlineStr">
        <is>
          <t>CHEM-1660</t>
        </is>
      </c>
      <c r="B216" t="inlineStr">
        <is>
          <t>PO067957</t>
        </is>
      </c>
      <c r="C216" s="30" t="n"/>
      <c r="D216" t="n">
        <v>180</v>
      </c>
      <c r="E216" s="26" t="n">
        <v>46181</v>
      </c>
      <c r="G216" t="inlineStr">
        <is>
          <t>In-transit</t>
        </is>
      </c>
      <c r="H216">
        <f>IFERROR(MAX(1,MIN(104,INT((IF(F216="",E216,F216)-(DATE(Cal_Weeks!$B$1,1,1)-WEEKDAY(DATE(Cal_Weeks!$B$1,1,1),3)))/7)+1)),"")</f>
        <v/>
      </c>
    </row>
    <row r="217">
      <c r="A217" t="inlineStr">
        <is>
          <t>CHEM-1280</t>
        </is>
      </c>
      <c r="B217" t="inlineStr">
        <is>
          <t>PO067957</t>
        </is>
      </c>
      <c r="C217" s="30" t="n"/>
      <c r="D217" t="n">
        <v>1000</v>
      </c>
      <c r="E217" s="26" t="n">
        <v>46181</v>
      </c>
      <c r="G217" t="inlineStr">
        <is>
          <t>In-transit</t>
        </is>
      </c>
      <c r="H217">
        <f>IFERROR(MAX(1,MIN(104,INT((IF(F217="",E217,F217)-(DATE(Cal_Weeks!$B$1,1,1)-WEEKDAY(DATE(Cal_Weeks!$B$1,1,1),3)))/7)+1)),"")</f>
        <v/>
      </c>
    </row>
    <row r="218">
      <c r="A218" t="inlineStr">
        <is>
          <t>4HL</t>
        </is>
      </c>
      <c r="B218" t="inlineStr"/>
      <c r="C218" s="30" t="n"/>
      <c r="D218" t="n">
        <v>12000</v>
      </c>
      <c r="E218" s="26" t="n">
        <v>46213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</row>
    <row r="219">
      <c r="A219" t="inlineStr">
        <is>
          <t>4HL</t>
        </is>
      </c>
      <c r="B219" t="inlineStr"/>
      <c r="C219" s="30" t="n"/>
      <c r="D219" t="n">
        <v>6240</v>
      </c>
      <c r="E219" s="26" t="n">
        <v>46215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</row>
    <row r="220">
      <c r="A220" t="inlineStr">
        <is>
          <t>4HL</t>
        </is>
      </c>
      <c r="B220" t="inlineStr"/>
      <c r="C220" s="30" t="n"/>
      <c r="D220" t="n">
        <v>6240</v>
      </c>
      <c r="E220" s="26" t="n">
        <v>46220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</row>
    <row r="221">
      <c r="A221" t="inlineStr">
        <is>
          <t>4HL</t>
        </is>
      </c>
      <c r="B221" t="inlineStr"/>
      <c r="C221" s="30" t="n"/>
      <c r="D221" t="n">
        <v>5972</v>
      </c>
      <c r="E221" s="26" t="n">
        <v>46222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</row>
    <row r="222">
      <c r="A222" t="inlineStr">
        <is>
          <t>4HL</t>
        </is>
      </c>
      <c r="B222" t="inlineStr"/>
      <c r="C222" s="30" t="n"/>
      <c r="D222" t="n">
        <v>5760</v>
      </c>
      <c r="E222" s="26" t="n">
        <v>46227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</row>
    <row r="223">
      <c r="A223" t="inlineStr">
        <is>
          <t>4HL</t>
        </is>
      </c>
      <c r="B223" t="inlineStr"/>
      <c r="C223" s="30" t="n"/>
      <c r="D223" t="n">
        <v>6240</v>
      </c>
      <c r="E223" s="26" t="n">
        <v>46229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</row>
    <row r="224">
      <c r="A224" t="inlineStr">
        <is>
          <t>4HL</t>
        </is>
      </c>
      <c r="B224" t="inlineStr"/>
      <c r="C224" s="30" t="n"/>
      <c r="D224" t="n">
        <v>5902</v>
      </c>
      <c r="E224" s="26" t="n">
        <v>46234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</row>
    <row r="225">
      <c r="A225" t="inlineStr">
        <is>
          <t>4HL</t>
        </is>
      </c>
      <c r="B225" t="inlineStr"/>
      <c r="C225" s="30" t="n"/>
      <c r="D225" t="n">
        <v>6240</v>
      </c>
      <c r="E225" s="26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</row>
    <row r="226">
      <c r="A226" t="inlineStr">
        <is>
          <t>4HL</t>
        </is>
      </c>
      <c r="B226" t="inlineStr"/>
      <c r="C226" s="30" t="n"/>
      <c r="D226" t="n">
        <v>5760</v>
      </c>
      <c r="E226" s="26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</row>
    <row r="227">
      <c r="A227" t="inlineStr">
        <is>
          <t>TDJ</t>
        </is>
      </c>
      <c r="B227" t="inlineStr"/>
      <c r="C227" s="30" t="n"/>
      <c r="D227" t="n">
        <v>392</v>
      </c>
      <c r="E227" s="26" t="n">
        <v>46222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</row>
    <row r="228">
      <c r="A228" t="inlineStr">
        <is>
          <t>TDJ</t>
        </is>
      </c>
      <c r="B228" t="inlineStr"/>
      <c r="C228" s="30" t="n"/>
      <c r="D228" t="n">
        <v>200</v>
      </c>
      <c r="E228" s="26" t="n">
        <v>46227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</row>
    <row r="229">
      <c r="A229" t="inlineStr">
        <is>
          <t>TDJ</t>
        </is>
      </c>
      <c r="B229" t="inlineStr"/>
      <c r="C229" s="30" t="n"/>
      <c r="D229" t="n">
        <v>392</v>
      </c>
      <c r="E229" s="26" t="n">
        <v>46229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</row>
    <row r="230">
      <c r="A230" t="inlineStr">
        <is>
          <t>TDJ</t>
        </is>
      </c>
      <c r="B230" t="inlineStr"/>
      <c r="C230" s="30" t="n"/>
      <c r="D230" t="n">
        <v>392</v>
      </c>
      <c r="E230" s="26" t="n">
        <v>46236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</row>
    <row r="231">
      <c r="A231" t="inlineStr">
        <is>
          <t>TDJ</t>
        </is>
      </c>
      <c r="B231" t="inlineStr"/>
      <c r="C231" s="30" t="n"/>
      <c r="D231" t="n">
        <v>392</v>
      </c>
      <c r="E231" s="26" t="n">
        <v>46241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</row>
    <row r="232">
      <c r="A232" t="inlineStr">
        <is>
          <t>0JN</t>
        </is>
      </c>
      <c r="B232" t="inlineStr">
        <is>
          <t>PO067815</t>
        </is>
      </c>
      <c r="C232" s="30" t="n"/>
      <c r="D232" t="n">
        <v>12672</v>
      </c>
      <c r="E232" s="26" t="n">
        <v>46203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</row>
    <row r="233">
      <c r="A233" t="inlineStr">
        <is>
          <t>CHEM-1240</t>
        </is>
      </c>
      <c r="B233" t="inlineStr">
        <is>
          <t>PO067960</t>
        </is>
      </c>
      <c r="C233" s="30" t="n"/>
      <c r="D233" t="n">
        <v>440</v>
      </c>
      <c r="E233" s="26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</row>
    <row r="234">
      <c r="A234" t="inlineStr">
        <is>
          <t>CHEM-1250</t>
        </is>
      </c>
      <c r="B234" t="inlineStr">
        <is>
          <t>PO067960</t>
        </is>
      </c>
      <c r="C234" s="30" t="n"/>
      <c r="D234" t="n">
        <v>125</v>
      </c>
      <c r="E234" s="26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</row>
    <row r="235">
      <c r="A235" t="inlineStr">
        <is>
          <t>CHEM-1400</t>
        </is>
      </c>
      <c r="B235" t="inlineStr">
        <is>
          <t>PO067960</t>
        </is>
      </c>
      <c r="C235" s="30" t="n"/>
      <c r="D235" t="n">
        <v>250</v>
      </c>
      <c r="E235" s="26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</row>
    <row r="236">
      <c r="A236" t="inlineStr">
        <is>
          <t>CHEM-1420</t>
        </is>
      </c>
      <c r="B236" t="inlineStr">
        <is>
          <t>PO067960</t>
        </is>
      </c>
      <c r="C236" s="30" t="n"/>
      <c r="D236" t="n">
        <v>240</v>
      </c>
      <c r="E236" s="26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</row>
    <row r="237">
      <c r="A237" t="inlineStr">
        <is>
          <t>CHEM-1440</t>
        </is>
      </c>
      <c r="B237" t="inlineStr">
        <is>
          <t>PO067960</t>
        </is>
      </c>
      <c r="C237" s="30" t="n"/>
      <c r="D237" t="n">
        <v>200</v>
      </c>
      <c r="E237" s="26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</row>
    <row r="238">
      <c r="A238" t="inlineStr">
        <is>
          <t>CHEM-1540</t>
        </is>
      </c>
      <c r="B238" t="inlineStr">
        <is>
          <t>PO067960</t>
        </is>
      </c>
      <c r="C238" s="30" t="n"/>
      <c r="D238" t="n">
        <v>2000</v>
      </c>
      <c r="E238" s="26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</row>
    <row r="239">
      <c r="A239" t="inlineStr">
        <is>
          <t>CHEM-1530</t>
        </is>
      </c>
      <c r="B239" t="inlineStr">
        <is>
          <t>PO067960</t>
        </is>
      </c>
      <c r="C239" s="30" t="n"/>
      <c r="D239" t="n">
        <v>2100</v>
      </c>
      <c r="E239" s="26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</row>
    <row r="240">
      <c r="A240" t="inlineStr">
        <is>
          <t>CHEM-1600</t>
        </is>
      </c>
      <c r="B240" t="inlineStr">
        <is>
          <t>PO067960</t>
        </is>
      </c>
      <c r="C240" s="30" t="n"/>
      <c r="D240" t="n">
        <v>300</v>
      </c>
      <c r="E240" s="26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</row>
    <row r="241">
      <c r="A241" t="inlineStr">
        <is>
          <t>CHEM-1570</t>
        </is>
      </c>
      <c r="B241" t="inlineStr">
        <is>
          <t>PO067960</t>
        </is>
      </c>
      <c r="C241" s="30" t="n"/>
      <c r="D241" t="n">
        <v>54</v>
      </c>
      <c r="E241" s="26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</row>
    <row r="242">
      <c r="A242" t="inlineStr">
        <is>
          <t>CHEM-1670</t>
        </is>
      </c>
      <c r="B242" t="inlineStr">
        <is>
          <t>PO067960</t>
        </is>
      </c>
      <c r="C242" s="30" t="n"/>
      <c r="D242" t="n">
        <v>180</v>
      </c>
      <c r="E242" s="26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</row>
    <row r="243">
      <c r="A243" t="inlineStr">
        <is>
          <t>CHEM-1700</t>
        </is>
      </c>
      <c r="B243" t="inlineStr">
        <is>
          <t>PO067960</t>
        </is>
      </c>
      <c r="C243" s="30" t="n"/>
      <c r="D243" t="n">
        <v>90</v>
      </c>
      <c r="E243" s="26" t="n">
        <v>46206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</row>
    <row r="244">
      <c r="A244" t="inlineStr">
        <is>
          <t>CHEM-1720</t>
        </is>
      </c>
      <c r="B244" t="inlineStr">
        <is>
          <t>PO067960</t>
        </is>
      </c>
      <c r="C244" s="30" t="n"/>
      <c r="D244" t="n">
        <v>960</v>
      </c>
      <c r="E244" s="26" t="n">
        <v>46206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</row>
    <row r="245">
      <c r="A245" t="inlineStr">
        <is>
          <t>CHEM-1200</t>
        </is>
      </c>
      <c r="B245" t="inlineStr">
        <is>
          <t>PO067960</t>
        </is>
      </c>
      <c r="C245" s="30" t="n"/>
      <c r="D245" t="n">
        <v>25</v>
      </c>
      <c r="E245" s="26" t="n">
        <v>46206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</row>
    <row r="246">
      <c r="A246" t="inlineStr">
        <is>
          <t>CHEM-1680</t>
        </is>
      </c>
      <c r="B246" t="inlineStr">
        <is>
          <t>PO067960</t>
        </is>
      </c>
      <c r="C246" s="30" t="n"/>
      <c r="D246" t="n">
        <v>100</v>
      </c>
      <c r="E246" s="26" t="n">
        <v>46206</v>
      </c>
      <c r="G246" t="inlineStr">
        <is>
          <t>Unconfirmed</t>
        </is>
      </c>
      <c r="H246">
        <f>IFERROR(MAX(1,MIN(104,INT((IF(F246="",E246,F246)-(DATE(Cal_Weeks!$B$1,1,1)-WEEKDAY(DATE(Cal_Weeks!$B$1,1,1),3)))/7)+1)),"")</f>
        <v/>
      </c>
    </row>
    <row r="247">
      <c r="A247" t="inlineStr">
        <is>
          <t>CHEM-1840</t>
        </is>
      </c>
      <c r="B247" t="inlineStr">
        <is>
          <t>PO067960</t>
        </is>
      </c>
      <c r="C247" s="30" t="n"/>
      <c r="D247" t="n">
        <v>18</v>
      </c>
      <c r="E247" s="26" t="n">
        <v>46206</v>
      </c>
      <c r="G247" t="inlineStr">
        <is>
          <t>Unconfirmed</t>
        </is>
      </c>
      <c r="H247">
        <f>IFERROR(MAX(1,MIN(104,INT((IF(F247="",E247,F247)-(DATE(Cal_Weeks!$B$1,1,1)-WEEKDAY(DATE(Cal_Weeks!$B$1,1,1),3)))/7)+1)),"")</f>
        <v/>
      </c>
    </row>
    <row r="248">
      <c r="A248" t="inlineStr">
        <is>
          <t>TPP-1469</t>
        </is>
      </c>
      <c r="B248" t="inlineStr"/>
      <c r="C248" s="30" t="n"/>
      <c r="D248" t="n">
        <v>37.28</v>
      </c>
      <c r="E248" s="26" t="n">
        <v>46206</v>
      </c>
      <c r="G248" t="inlineStr">
        <is>
          <t>Unconfirmed</t>
        </is>
      </c>
      <c r="H248">
        <f>IFERROR(MAX(1,MIN(104,INT((IF(F248="",E248,F248)-(DATE(Cal_Weeks!$B$1,1,1)-WEEKDAY(DATE(Cal_Weeks!$B$1,1,1),3)))/7)+1)),"")</f>
        <v/>
      </c>
    </row>
    <row r="249">
      <c r="A249" t="inlineStr">
        <is>
          <t>CHEM-1660</t>
        </is>
      </c>
      <c r="B249" t="inlineStr">
        <is>
          <t>PO067957</t>
        </is>
      </c>
      <c r="C249" s="30" t="n"/>
      <c r="D249" t="n">
        <v>150</v>
      </c>
      <c r="E249" s="26" t="n">
        <v>46205</v>
      </c>
      <c r="G249" t="inlineStr">
        <is>
          <t>Unconfirmed</t>
        </is>
      </c>
      <c r="H249">
        <f>IFERROR(MAX(1,MIN(104,INT((IF(F249="",E249,F249)-(DATE(Cal_Weeks!$B$1,1,1)-WEEKDAY(DATE(Cal_Weeks!$B$1,1,1),3)))/7)+1)),"")</f>
        <v/>
      </c>
    </row>
    <row r="250">
      <c r="A250" t="inlineStr">
        <is>
          <t>CHEM-1280</t>
        </is>
      </c>
      <c r="B250" t="inlineStr">
        <is>
          <t>PO067957</t>
        </is>
      </c>
      <c r="C250" s="30" t="n"/>
      <c r="D250" t="n">
        <v>1500</v>
      </c>
      <c r="E250" s="26" t="n">
        <v>46205</v>
      </c>
      <c r="G250" t="inlineStr">
        <is>
          <t>Unconfirmed</t>
        </is>
      </c>
      <c r="H250">
        <f>IFERROR(MAX(1,MIN(104,INT((IF(F250="",E250,F250)-(DATE(Cal_Weeks!$B$1,1,1)-WEEKDAY(DATE(Cal_Weeks!$B$1,1,1),3)))/7)+1)),"")</f>
        <v/>
      </c>
    </row>
    <row r="251">
      <c r="A251" t="inlineStr">
        <is>
          <t>0JN</t>
        </is>
      </c>
      <c r="B251" t="inlineStr">
        <is>
          <t>PO067959</t>
        </is>
      </c>
      <c r="C251" s="30" t="n"/>
      <c r="D251" t="n">
        <v>18612</v>
      </c>
      <c r="E251" s="26" t="n">
        <v>46234</v>
      </c>
      <c r="G251" t="inlineStr">
        <is>
          <t>Unconfirmed</t>
        </is>
      </c>
      <c r="H251">
        <f>IFERROR(MAX(1,MIN(104,INT((IF(F251="",E251,F251)-(DATE(Cal_Weeks!$B$1,1,1)-WEEKDAY(DATE(Cal_Weeks!$B$1,1,1),3)))/7)+1)),"")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9" t="inlineStr">
        <is>
          <t>RM_Code</t>
        </is>
      </c>
      <c r="B1" s="29" t="inlineStr">
        <is>
          <t>Opening_Qty_要入力</t>
        </is>
      </c>
      <c r="C1" s="29" t="inlineStr">
        <is>
          <t>AsOf</t>
        </is>
      </c>
    </row>
    <row r="2">
      <c r="A2" t="inlineStr">
        <is>
          <t>CHEM-1250</t>
        </is>
      </c>
      <c r="B2" s="30" t="n">
        <v>0</v>
      </c>
      <c r="C2" s="31" t="n">
        <v>46020</v>
      </c>
    </row>
    <row r="3">
      <c r="A3" t="inlineStr">
        <is>
          <t>CHEM-1670</t>
        </is>
      </c>
      <c r="B3" s="30" t="n">
        <v>0</v>
      </c>
      <c r="C3" s="31" t="n">
        <v>46020</v>
      </c>
    </row>
    <row r="4">
      <c r="A4" t="inlineStr">
        <is>
          <t>CHEM-1700</t>
        </is>
      </c>
      <c r="B4" s="30" t="n">
        <v>0</v>
      </c>
      <c r="C4" s="31" t="n">
        <v>46020</v>
      </c>
    </row>
    <row r="5">
      <c r="A5" t="inlineStr">
        <is>
          <t>CHEM-1420</t>
        </is>
      </c>
      <c r="B5" s="30" t="n">
        <v>0</v>
      </c>
      <c r="C5" s="31" t="n">
        <v>46020</v>
      </c>
    </row>
    <row r="6">
      <c r="A6" t="inlineStr">
        <is>
          <t>CHEM-1530</t>
        </is>
      </c>
      <c r="B6" s="30" t="n">
        <v>0</v>
      </c>
      <c r="C6" s="31" t="n">
        <v>46020</v>
      </c>
    </row>
    <row r="7">
      <c r="A7" t="inlineStr">
        <is>
          <t>CHEM-1540</t>
        </is>
      </c>
      <c r="B7" s="30" t="n">
        <v>0</v>
      </c>
      <c r="C7" s="31" t="n">
        <v>46020</v>
      </c>
    </row>
    <row r="8">
      <c r="A8" t="inlineStr">
        <is>
          <t>CHEM-1690</t>
        </is>
      </c>
      <c r="B8" s="30" t="n">
        <v>0</v>
      </c>
      <c r="C8" s="31" t="n">
        <v>46020</v>
      </c>
    </row>
    <row r="9">
      <c r="A9" t="inlineStr">
        <is>
          <t>CHEM-1720</t>
        </is>
      </c>
      <c r="B9" s="30" t="n">
        <v>0</v>
      </c>
      <c r="C9" s="31" t="n">
        <v>46020</v>
      </c>
    </row>
    <row r="10">
      <c r="A10" t="inlineStr">
        <is>
          <t>CHEM-1440</t>
        </is>
      </c>
      <c r="B10" s="30" t="n">
        <v>0</v>
      </c>
      <c r="C10" s="31" t="n">
        <v>46020</v>
      </c>
    </row>
    <row r="11">
      <c r="A11" t="inlineStr">
        <is>
          <t>PET FILM(900*1000)</t>
        </is>
      </c>
      <c r="B11" s="30" t="n">
        <v>0</v>
      </c>
      <c r="C11" s="31" t="n">
        <v>46020</v>
      </c>
    </row>
    <row r="12">
      <c r="A12" t="inlineStr">
        <is>
          <t>4HL</t>
        </is>
      </c>
      <c r="B12" s="30" t="n">
        <v>0</v>
      </c>
      <c r="C12" s="31" t="n">
        <v>46020</v>
      </c>
    </row>
    <row r="13">
      <c r="A13" t="inlineStr">
        <is>
          <t>1EK</t>
        </is>
      </c>
      <c r="B13" s="30" t="n">
        <v>0</v>
      </c>
      <c r="C13" s="31" t="n">
        <v>46020</v>
      </c>
    </row>
    <row r="14">
      <c r="A14" t="inlineStr">
        <is>
          <t>7CL</t>
        </is>
      </c>
      <c r="B14" s="30" t="n">
        <v>0</v>
      </c>
      <c r="C14" s="31" t="n">
        <v>46020</v>
      </c>
    </row>
    <row r="15">
      <c r="A15" t="inlineStr">
        <is>
          <t>9RN</t>
        </is>
      </c>
      <c r="B15" s="30" t="n">
        <v>0</v>
      </c>
      <c r="C15" s="31" t="n">
        <v>46020</v>
      </c>
    </row>
    <row r="16">
      <c r="A16" t="inlineStr">
        <is>
          <t>7EP</t>
        </is>
      </c>
      <c r="B16" s="30" t="n">
        <v>0</v>
      </c>
      <c r="C16" s="31" t="n">
        <v>46020</v>
      </c>
    </row>
    <row r="17">
      <c r="A17" t="inlineStr">
        <is>
          <t>F2290</t>
        </is>
      </c>
      <c r="B17" s="30" t="n">
        <v>0</v>
      </c>
      <c r="C17" s="31" t="n">
        <v>46020</v>
      </c>
    </row>
    <row r="18">
      <c r="A18" t="inlineStr">
        <is>
          <t>CHEM-1400</t>
        </is>
      </c>
      <c r="B18" s="30" t="n">
        <v>0</v>
      </c>
      <c r="C18" s="31" t="n">
        <v>46020</v>
      </c>
    </row>
    <row r="19">
      <c r="A19" t="inlineStr">
        <is>
          <t>CHEM-1570</t>
        </is>
      </c>
      <c r="B19" s="30" t="n">
        <v>0</v>
      </c>
      <c r="C19" s="31" t="n">
        <v>46020</v>
      </c>
    </row>
    <row r="20">
      <c r="A20" t="inlineStr">
        <is>
          <t>CHEM-1650</t>
        </is>
      </c>
      <c r="B20" s="30" t="n">
        <v>0</v>
      </c>
      <c r="C20" s="31" t="n">
        <v>46020</v>
      </c>
    </row>
    <row r="21">
      <c r="A21" t="inlineStr">
        <is>
          <t>CHEM-1660</t>
        </is>
      </c>
      <c r="B21" s="30" t="n">
        <v>0</v>
      </c>
      <c r="C21" s="31" t="n">
        <v>46020</v>
      </c>
    </row>
    <row r="22">
      <c r="A22" t="inlineStr">
        <is>
          <t>CHEM-1600</t>
        </is>
      </c>
      <c r="B22" s="30" t="n">
        <v>0</v>
      </c>
      <c r="C22" s="31" t="n">
        <v>46020</v>
      </c>
    </row>
    <row r="23">
      <c r="A23" t="inlineStr">
        <is>
          <t>CHEM-1280</t>
        </is>
      </c>
      <c r="B23" s="30" t="n">
        <v>0</v>
      </c>
      <c r="C23" s="31" t="n">
        <v>46020</v>
      </c>
    </row>
    <row r="24">
      <c r="A24" t="inlineStr">
        <is>
          <t>CHEM-1240</t>
        </is>
      </c>
      <c r="B24" s="30" t="n">
        <v>0</v>
      </c>
      <c r="C24" s="31" t="n">
        <v>46020</v>
      </c>
    </row>
    <row r="25">
      <c r="A25" t="inlineStr">
        <is>
          <t>0JN</t>
        </is>
      </c>
      <c r="B25" s="30" t="n">
        <v>0</v>
      </c>
      <c r="C25" s="31" t="n">
        <v>46020</v>
      </c>
    </row>
    <row r="26">
      <c r="A26" t="inlineStr">
        <is>
          <t>CHEM-1760</t>
        </is>
      </c>
      <c r="B26" s="30" t="n">
        <v>0</v>
      </c>
      <c r="C26" s="31" t="n">
        <v>46020</v>
      </c>
    </row>
    <row r="27">
      <c r="A27" t="inlineStr">
        <is>
          <t>Original Towel</t>
        </is>
      </c>
      <c r="B27" s="30" t="n">
        <v>0</v>
      </c>
      <c r="C27" s="31" t="n">
        <v>46020</v>
      </c>
    </row>
    <row r="28">
      <c r="A28" t="inlineStr">
        <is>
          <t>0LJ</t>
        </is>
      </c>
      <c r="B28" s="30" t="n">
        <v>0</v>
      </c>
      <c r="C28" s="31" t="n">
        <v>46020</v>
      </c>
    </row>
    <row r="29">
      <c r="A29" t="inlineStr">
        <is>
          <t>PP FILM</t>
        </is>
      </c>
      <c r="B29" s="30" t="n">
        <v>0</v>
      </c>
      <c r="C29" s="31" t="n">
        <v>46020</v>
      </c>
    </row>
    <row r="30">
      <c r="A30" t="inlineStr">
        <is>
          <t>CHEM-1200</t>
        </is>
      </c>
      <c r="B30" s="30" t="n">
        <v>0</v>
      </c>
      <c r="C30" s="31" t="n">
        <v>46020</v>
      </c>
    </row>
    <row r="31">
      <c r="A31" t="inlineStr">
        <is>
          <t>ABN</t>
        </is>
      </c>
      <c r="B31" s="30" t="n">
        <v>0</v>
      </c>
      <c r="C31" s="31" t="n">
        <v>46020</v>
      </c>
    </row>
    <row r="32">
      <c r="A32" t="inlineStr">
        <is>
          <t>YAN</t>
        </is>
      </c>
      <c r="B32" s="30" t="n">
        <v>0</v>
      </c>
      <c r="C32" s="31" t="n">
        <v>46020</v>
      </c>
    </row>
    <row r="33">
      <c r="A33" t="inlineStr">
        <is>
          <t>KEJ</t>
        </is>
      </c>
      <c r="B33" s="30" t="n">
        <v>0</v>
      </c>
      <c r="C33" s="31" t="n">
        <v>46020</v>
      </c>
    </row>
    <row r="34">
      <c r="A34" t="inlineStr">
        <is>
          <t>JEJ</t>
        </is>
      </c>
      <c r="B34" s="30" t="n">
        <v>0</v>
      </c>
      <c r="C34" s="31" t="n">
        <v>46020</v>
      </c>
    </row>
    <row r="35">
      <c r="A35" t="inlineStr">
        <is>
          <t>CHEM-1830</t>
        </is>
      </c>
      <c r="B35" s="30" t="n">
        <v>0</v>
      </c>
      <c r="C35" s="31" t="n">
        <v>46020</v>
      </c>
    </row>
    <row r="36">
      <c r="A36" t="inlineStr">
        <is>
          <t>CHEM-1100</t>
        </is>
      </c>
      <c r="B36" s="30" t="n">
        <v>0</v>
      </c>
      <c r="C36" s="31" t="n">
        <v>46020</v>
      </c>
    </row>
    <row r="37">
      <c r="A37" t="inlineStr">
        <is>
          <t>CHEM-1680</t>
        </is>
      </c>
      <c r="B37" s="30" t="n">
        <v>0</v>
      </c>
      <c r="C37" s="31" t="n">
        <v>46020</v>
      </c>
    </row>
    <row r="38">
      <c r="A38" t="inlineStr">
        <is>
          <t>CHEM-1820</t>
        </is>
      </c>
      <c r="B38" s="30" t="n">
        <v>0</v>
      </c>
      <c r="C38" s="31" t="n">
        <v>46020</v>
      </c>
    </row>
    <row r="39">
      <c r="A39" t="inlineStr">
        <is>
          <t>CHEM-1840</t>
        </is>
      </c>
      <c r="B39" s="30" t="n">
        <v>0</v>
      </c>
      <c r="C39" s="31" t="n">
        <v>46020</v>
      </c>
    </row>
    <row r="40">
      <c r="A40" t="inlineStr">
        <is>
          <t>TPP-1469</t>
        </is>
      </c>
      <c r="B40" s="30" t="n">
        <v>0</v>
      </c>
      <c r="C40" s="31" t="n">
        <v>46020</v>
      </c>
    </row>
    <row r="41">
      <c r="A41" t="inlineStr">
        <is>
          <t>TDJ</t>
        </is>
      </c>
      <c r="B41" s="30" t="n">
        <v>0</v>
      </c>
      <c r="C41" s="31" t="n">
        <v>46020</v>
      </c>
    </row>
    <row r="42">
      <c r="A42" t="inlineStr">
        <is>
          <t>CHEM-1730</t>
        </is>
      </c>
      <c r="B42" s="30" t="n">
        <v>0</v>
      </c>
      <c r="C42" s="31" t="n">
        <v>46020</v>
      </c>
    </row>
    <row r="43">
      <c r="A43" t="inlineStr">
        <is>
          <t>CHEM-1110</t>
        </is>
      </c>
      <c r="B43" s="30" t="n">
        <v>0</v>
      </c>
      <c r="C43" s="31" t="n">
        <v>46020</v>
      </c>
    </row>
    <row r="44">
      <c r="A44" t="inlineStr">
        <is>
          <t>CHEM-1120</t>
        </is>
      </c>
      <c r="B44" s="30" t="n">
        <v>0</v>
      </c>
      <c r="C44" s="31" t="n">
        <v>46020</v>
      </c>
    </row>
    <row r="45">
      <c r="A45" t="inlineStr">
        <is>
          <t>CHEM-1010</t>
        </is>
      </c>
      <c r="B45" s="30" t="n">
        <v>0</v>
      </c>
      <c r="C45" s="31" t="n">
        <v>46020</v>
      </c>
    </row>
    <row r="46">
      <c r="A46" t="inlineStr">
        <is>
          <t>CHEM-1410</t>
        </is>
      </c>
      <c r="B46" s="30" t="n">
        <v>0</v>
      </c>
      <c r="C46" s="31" t="n">
        <v>46020</v>
      </c>
    </row>
    <row r="47">
      <c r="A47" t="inlineStr">
        <is>
          <t>CHEM-1430</t>
        </is>
      </c>
      <c r="B47" s="30" t="n">
        <v>0</v>
      </c>
      <c r="C47" s="31" t="n">
        <v>46020</v>
      </c>
    </row>
    <row r="48">
      <c r="A48" t="inlineStr">
        <is>
          <t>CHEM-1450</t>
        </is>
      </c>
      <c r="B48" s="30" t="n">
        <v>0</v>
      </c>
      <c r="C48" s="31" t="n">
        <v>46020</v>
      </c>
    </row>
    <row r="49">
      <c r="A49" t="inlineStr">
        <is>
          <t>CHEM-1470</t>
        </is>
      </c>
      <c r="B49" s="30" t="n">
        <v>0</v>
      </c>
      <c r="C49" s="31" t="n">
        <v>46020</v>
      </c>
    </row>
    <row r="50">
      <c r="A50" t="inlineStr">
        <is>
          <t>CHEM-1480</t>
        </is>
      </c>
      <c r="B50" s="30" t="n">
        <v>0</v>
      </c>
      <c r="C50" s="31" t="n">
        <v>46020</v>
      </c>
    </row>
    <row r="51">
      <c r="A51" t="inlineStr">
        <is>
          <t>CHEM-1560</t>
        </is>
      </c>
      <c r="B51" s="30" t="n">
        <v>0</v>
      </c>
      <c r="C51" s="31" t="n">
        <v>46020</v>
      </c>
    </row>
    <row r="52">
      <c r="A52" t="inlineStr">
        <is>
          <t>CHEM-1520</t>
        </is>
      </c>
      <c r="B52" s="30" t="n">
        <v>0</v>
      </c>
      <c r="C52" s="31" t="n">
        <v>46020</v>
      </c>
    </row>
    <row r="53">
      <c r="A53" t="inlineStr">
        <is>
          <t>CHEM-1580</t>
        </is>
      </c>
      <c r="B53" s="30" t="n">
        <v>0</v>
      </c>
      <c r="C53" s="31" t="n">
        <v>46020</v>
      </c>
    </row>
    <row r="54">
      <c r="A54" t="inlineStr">
        <is>
          <t>CHEM-1550</t>
        </is>
      </c>
      <c r="B54" s="30" t="n">
        <v>0</v>
      </c>
      <c r="C54" s="31" t="n">
        <v>46020</v>
      </c>
    </row>
    <row r="55">
      <c r="A55" t="inlineStr">
        <is>
          <t>CHEM-1510</t>
        </is>
      </c>
      <c r="B55" s="30" t="n">
        <v>0</v>
      </c>
      <c r="C55" s="31" t="n">
        <v>46020</v>
      </c>
    </row>
    <row r="56">
      <c r="A56" t="inlineStr">
        <is>
          <t>CHEM-1080</t>
        </is>
      </c>
      <c r="B56" s="30" t="n">
        <v>0</v>
      </c>
      <c r="C56" s="31" t="n">
        <v>46020</v>
      </c>
    </row>
    <row r="57">
      <c r="A57" t="inlineStr">
        <is>
          <t>CHEM-1770</t>
        </is>
      </c>
      <c r="B57" s="30" t="n">
        <v>0</v>
      </c>
      <c r="C57" s="31" t="n">
        <v>46020</v>
      </c>
    </row>
    <row r="58">
      <c r="A58" t="inlineStr">
        <is>
          <t>CHEM-1850</t>
        </is>
      </c>
      <c r="B58" s="30" t="n">
        <v>0</v>
      </c>
      <c r="C58" s="31" t="n">
        <v>46020</v>
      </c>
    </row>
    <row r="59">
      <c r="A59" t="inlineStr">
        <is>
          <t>CHEM-1780</t>
        </is>
      </c>
      <c r="B59" s="30" t="n">
        <v>0</v>
      </c>
      <c r="C59" s="31" t="n">
        <v>46020</v>
      </c>
    </row>
    <row r="60">
      <c r="A60" t="inlineStr">
        <is>
          <t>CHEM-1020</t>
        </is>
      </c>
      <c r="B60" s="30" t="n">
        <v>0</v>
      </c>
      <c r="C60" s="31" t="n">
        <v>46020</v>
      </c>
    </row>
    <row r="61">
      <c r="A61" t="inlineStr">
        <is>
          <t>CSA Code</t>
        </is>
      </c>
      <c r="B61" s="30" t="n">
        <v>0</v>
      </c>
      <c r="C61" s="31" t="n">
        <v>46020</v>
      </c>
    </row>
    <row r="62">
      <c r="A62" t="inlineStr">
        <is>
          <t>Ester Film</t>
        </is>
      </c>
      <c r="B62" s="30" t="n">
        <v>0</v>
      </c>
      <c r="C62" s="31" t="n">
        <v>46020</v>
      </c>
    </row>
    <row r="63">
      <c r="A63" t="inlineStr">
        <is>
          <t>PP Film</t>
        </is>
      </c>
      <c r="B63" s="30" t="n">
        <v>0</v>
      </c>
      <c r="C63" s="31" t="n">
        <v>46020</v>
      </c>
    </row>
    <row r="64">
      <c r="A64" t="inlineStr">
        <is>
          <t>5SN</t>
        </is>
      </c>
      <c r="B64" s="30" t="n">
        <v>0</v>
      </c>
      <c r="C64" s="31" t="n">
        <v>46020</v>
      </c>
    </row>
    <row r="65">
      <c r="A65" t="inlineStr">
        <is>
          <t>1JN</t>
        </is>
      </c>
      <c r="B65" s="30" t="n">
        <v>0</v>
      </c>
      <c r="C65" s="31" t="n">
        <v>46020</v>
      </c>
    </row>
    <row r="66">
      <c r="A66" t="inlineStr">
        <is>
          <t>V03</t>
        </is>
      </c>
      <c r="B66" s="30" t="n">
        <v>0</v>
      </c>
      <c r="C66" s="31" t="n">
        <v>46020</v>
      </c>
    </row>
    <row r="67">
      <c r="A67" t="inlineStr">
        <is>
          <t>V19</t>
        </is>
      </c>
      <c r="B67" s="30" t="n">
        <v>0</v>
      </c>
      <c r="C67" s="31" t="n">
        <v>46020</v>
      </c>
    </row>
    <row r="68">
      <c r="A68" t="inlineStr">
        <is>
          <t>3TP</t>
        </is>
      </c>
      <c r="B68" s="30" t="n">
        <v>0</v>
      </c>
      <c r="C68" s="31" t="n">
        <v>46020</v>
      </c>
    </row>
    <row r="69">
      <c r="A69" t="inlineStr">
        <is>
          <t>CHEM-1740</t>
        </is>
      </c>
      <c r="B69" s="30" t="n">
        <v>0</v>
      </c>
      <c r="C69" s="31" t="n">
        <v>46020</v>
      </c>
    </row>
    <row r="70">
      <c r="A70" t="inlineStr">
        <is>
          <t>CHEM-1750</t>
        </is>
      </c>
      <c r="B70" s="30" t="n">
        <v>0</v>
      </c>
      <c r="C70" s="31" t="n">
        <v>46020</v>
      </c>
    </row>
    <row r="71">
      <c r="A71" t="inlineStr">
        <is>
          <t>848530</t>
        </is>
      </c>
      <c r="B71" s="30" t="n">
        <v>0</v>
      </c>
      <c r="C71" s="31" t="n">
        <v>46020</v>
      </c>
    </row>
    <row r="72">
      <c r="A72" t="inlineStr">
        <is>
          <t>848531</t>
        </is>
      </c>
      <c r="B72" s="30" t="n">
        <v>0</v>
      </c>
      <c r="C72" s="31" t="n">
        <v>46020</v>
      </c>
    </row>
    <row r="73">
      <c r="A73" t="inlineStr">
        <is>
          <t>846227</t>
        </is>
      </c>
      <c r="B73" s="30" t="n">
        <v>0</v>
      </c>
      <c r="C73" s="31" t="n">
        <v>46020</v>
      </c>
    </row>
    <row r="74">
      <c r="A74" t="inlineStr">
        <is>
          <t>OLJ</t>
        </is>
      </c>
      <c r="B74" s="30" t="n">
        <v>0</v>
      </c>
      <c r="C74" s="31" t="n">
        <v>46020</v>
      </c>
    </row>
    <row r="75">
      <c r="A75" t="inlineStr">
        <is>
          <t>CHEM-1500</t>
        </is>
      </c>
      <c r="B75" s="30" t="n">
        <v>0</v>
      </c>
      <c r="C75" s="31" t="n">
        <v>46020</v>
      </c>
    </row>
    <row r="76">
      <c r="A76" t="inlineStr">
        <is>
          <t>CHEM-1810</t>
        </is>
      </c>
      <c r="B76" s="30" t="n">
        <v>0</v>
      </c>
      <c r="C76" s="31" t="n">
        <v>46020</v>
      </c>
    </row>
    <row r="77">
      <c r="A77" t="inlineStr">
        <is>
          <t>Chem-1220</t>
        </is>
      </c>
      <c r="B77" s="30" t="n">
        <v>0</v>
      </c>
      <c r="C77" s="31" t="n">
        <v>46020</v>
      </c>
    </row>
    <row r="78">
      <c r="A78" t="inlineStr">
        <is>
          <t>Chem-1610</t>
        </is>
      </c>
      <c r="B78" s="30" t="n">
        <v>0</v>
      </c>
      <c r="C78" s="31" t="n">
        <v>46020</v>
      </c>
    </row>
    <row r="79">
      <c r="A79" t="inlineStr">
        <is>
          <t>Chem-1490</t>
        </is>
      </c>
      <c r="B79" s="30" t="n">
        <v>0</v>
      </c>
      <c r="C79" s="31" t="n">
        <v>46020</v>
      </c>
    </row>
    <row r="80">
      <c r="A80" t="inlineStr">
        <is>
          <t>Chem-1790</t>
        </is>
      </c>
      <c r="B80" s="30" t="n">
        <v>0</v>
      </c>
      <c r="C80" s="31" t="n">
        <v>46020</v>
      </c>
    </row>
    <row r="81">
      <c r="A81" t="inlineStr">
        <is>
          <t>Chem-1800</t>
        </is>
      </c>
      <c r="B81" s="30" t="n">
        <v>0</v>
      </c>
      <c r="C81" s="31" t="n">
        <v>46020</v>
      </c>
    </row>
    <row r="82">
      <c r="A82" t="inlineStr">
        <is>
          <t>A043</t>
        </is>
      </c>
      <c r="B82" s="30" t="n">
        <v>0</v>
      </c>
      <c r="C82" s="31" t="n">
        <v>46020</v>
      </c>
    </row>
    <row r="83">
      <c r="A83" t="inlineStr">
        <is>
          <t>CHEM-1220</t>
        </is>
      </c>
      <c r="B83" s="30" t="n">
        <v>0</v>
      </c>
      <c r="C83" s="31" t="n">
        <v>46020</v>
      </c>
    </row>
    <row r="84">
      <c r="A84" t="inlineStr">
        <is>
          <t>CHEM-1260</t>
        </is>
      </c>
      <c r="B84" s="30" t="n">
        <v>0</v>
      </c>
      <c r="C84" s="31" t="n">
        <v>46020</v>
      </c>
    </row>
    <row r="85">
      <c r="A85" t="inlineStr">
        <is>
          <t>CHEM-1790</t>
        </is>
      </c>
      <c r="B85" s="30" t="n">
        <v>0</v>
      </c>
      <c r="C85" s="31" t="n">
        <v>46020</v>
      </c>
    </row>
    <row r="86">
      <c r="A86" t="inlineStr">
        <is>
          <t>TSZ-616</t>
        </is>
      </c>
      <c r="B86" s="30" t="n">
        <v>0</v>
      </c>
      <c r="C86" s="31" t="n">
        <v>46020</v>
      </c>
    </row>
    <row r="87">
      <c r="A87" t="inlineStr">
        <is>
          <t>CHEM-1180</t>
        </is>
      </c>
      <c r="B87" s="30" t="n">
        <v>0</v>
      </c>
      <c r="C87" s="31" t="n">
        <v>46020</v>
      </c>
    </row>
    <row r="88">
      <c r="A88" t="inlineStr">
        <is>
          <t>TSZ-938</t>
        </is>
      </c>
      <c r="B88" s="30" t="n">
        <v>0</v>
      </c>
      <c r="C88" s="31" t="n">
        <v>46020</v>
      </c>
    </row>
    <row r="89">
      <c r="A89" t="inlineStr">
        <is>
          <t>CHEM-1460</t>
        </is>
      </c>
      <c r="B89" s="30" t="n">
        <v>0</v>
      </c>
      <c r="C89" s="31" t="n">
        <v>46020</v>
      </c>
    </row>
    <row r="90">
      <c r="A90" t="inlineStr">
        <is>
          <t>CHEM-1490</t>
        </is>
      </c>
      <c r="B90" s="30" t="n">
        <v>0</v>
      </c>
      <c r="C90" s="31" t="n">
        <v>46020</v>
      </c>
    </row>
    <row r="91">
      <c r="A91" t="inlineStr">
        <is>
          <t>CHEM-1610</t>
        </is>
      </c>
      <c r="B91" s="30" t="n">
        <v>0</v>
      </c>
      <c r="C91" s="31" t="n">
        <v>46020</v>
      </c>
    </row>
    <row r="92">
      <c r="A92" t="inlineStr">
        <is>
          <t>CHEM-1640</t>
        </is>
      </c>
      <c r="B92" s="30" t="n">
        <v>0</v>
      </c>
      <c r="C92" s="31" t="n">
        <v>46020</v>
      </c>
    </row>
    <row r="93">
      <c r="A93" t="inlineStr">
        <is>
          <t>CHEM-1030</t>
        </is>
      </c>
      <c r="B93" s="30" t="n">
        <v>0</v>
      </c>
      <c r="C93" s="31" t="n">
        <v>46020</v>
      </c>
    </row>
    <row r="94">
      <c r="A94" t="inlineStr">
        <is>
          <t>CHEM-1800</t>
        </is>
      </c>
      <c r="B94" s="30" t="n">
        <v>0</v>
      </c>
      <c r="C94" s="31" t="n">
        <v>46020</v>
      </c>
    </row>
    <row r="95">
      <c r="A95" t="inlineStr">
        <is>
          <t>CHEM-1710</t>
        </is>
      </c>
      <c r="B95" s="30" t="n">
        <v>0</v>
      </c>
      <c r="C95" s="31" t="n">
        <v>46020</v>
      </c>
    </row>
    <row r="96">
      <c r="A96" t="inlineStr">
        <is>
          <t>CHEM-1170</t>
        </is>
      </c>
      <c r="B96" s="30" t="n">
        <v>0</v>
      </c>
      <c r="C96" s="31" t="n">
        <v>46020</v>
      </c>
    </row>
    <row r="97">
      <c r="A97" t="inlineStr">
        <is>
          <t>CHEM-1620</t>
        </is>
      </c>
      <c r="B97" s="30" t="n">
        <v>0</v>
      </c>
      <c r="C97" s="31" t="n">
        <v>46020</v>
      </c>
    </row>
    <row r="98">
      <c r="A98" t="inlineStr">
        <is>
          <t>CHEM-1050</t>
        </is>
      </c>
      <c r="B98" s="30" t="n">
        <v>0</v>
      </c>
      <c r="C98" s="31" t="n">
        <v>46020</v>
      </c>
    </row>
    <row r="99">
      <c r="A99" t="inlineStr">
        <is>
          <t>CHEM-1190</t>
        </is>
      </c>
      <c r="B99" s="30" t="n">
        <v>0</v>
      </c>
      <c r="C99" s="31" t="n">
        <v>46020</v>
      </c>
    </row>
    <row r="100">
      <c r="A100" t="inlineStr">
        <is>
          <t>CHEM-1630</t>
        </is>
      </c>
      <c r="B100" s="30" t="n">
        <v>0</v>
      </c>
      <c r="C100" s="31" t="n">
        <v>46020</v>
      </c>
    </row>
    <row r="101">
      <c r="A101" t="inlineStr">
        <is>
          <t>CHEM-1090</t>
        </is>
      </c>
      <c r="B101" s="30" t="n">
        <v>0</v>
      </c>
      <c r="C101" s="31" t="n">
        <v>46020</v>
      </c>
    </row>
    <row r="102">
      <c r="A102" t="inlineStr">
        <is>
          <t>CHEM-1310</t>
        </is>
      </c>
      <c r="B102" s="30" t="n">
        <v>0</v>
      </c>
      <c r="C102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9" t="inlineStr">
        <is>
          <t>RM_Code</t>
        </is>
      </c>
      <c r="B1" s="29" t="inlineStr">
        <is>
          <t>Date_棚卸実施日</t>
        </is>
      </c>
      <c r="C1" s="29" t="inlineStr">
        <is>
          <t>WeekIndex</t>
        </is>
      </c>
      <c r="D1" s="29" t="inlineStr">
        <is>
          <t>CountedQty</t>
        </is>
      </c>
      <c r="E1" s="29" t="inlineStr">
        <is>
          <t>Notes</t>
        </is>
      </c>
    </row>
    <row r="2">
      <c r="A2" t="inlineStr">
        <is>
          <t>(例) CHEM-1010</t>
        </is>
      </c>
      <c r="B2" s="26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9" t="inlineStr">
        <is>
          <t>RM_Code</t>
        </is>
      </c>
      <c r="B1" s="29" t="inlineStr">
        <is>
          <t>Date</t>
        </is>
      </c>
      <c r="C1" s="29" t="inlineStr">
        <is>
          <t>WeekIndex</t>
        </is>
      </c>
      <c r="D1" s="29" t="inlineStr">
        <is>
          <t>Self_Qty</t>
        </is>
      </c>
    </row>
    <row r="2">
      <c r="A2" t="inlineStr">
        <is>
          <t>CHEM-1010</t>
        </is>
      </c>
      <c r="B2" s="26" t="n">
        <v>46168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  <row r="3">
      <c r="A3" t="inlineStr">
        <is>
          <t>CHEM-1010</t>
        </is>
      </c>
      <c r="B3" s="26" t="n">
        <v>46174</v>
      </c>
      <c r="C3">
        <f>IFERROR(IF(AND((INT(($B3-(DATE(Cal_Weeks!$B$1,1,1)-WEEKDAY(DATE(Cal_Weeks!$B$1,1,1),3)))/7)+1)&gt;=1,(INT(($B3-(DATE(Cal_Weeks!$B$1,1,1)-WEEKDAY(DATE(Cal_Weeks!$B$1,1,1),3)))/7)+1)&lt;=104),(INT(($B3-(DATE(Cal_Weeks!$B$1,1,1)-WEEKDAY(DATE(Cal_Weeks!$B$1,1,1),3)))/7)+1),""),"")</f>
        <v/>
      </c>
      <c r="D3" t="n">
        <v>0</v>
      </c>
    </row>
    <row r="4">
      <c r="A4" t="inlineStr">
        <is>
          <t>CHEM-1020</t>
        </is>
      </c>
      <c r="B4" s="26" t="n">
        <v>46168</v>
      </c>
      <c r="C4">
        <f>IFERROR(IF(AND((INT(($B4-(DATE(Cal_Weeks!$B$1,1,1)-WEEKDAY(DATE(Cal_Weeks!$B$1,1,1),3)))/7)+1)&gt;=1,(INT(($B4-(DATE(Cal_Weeks!$B$1,1,1)-WEEKDAY(DATE(Cal_Weeks!$B$1,1,1),3)))/7)+1)&lt;=104),(INT(($B4-(DATE(Cal_Weeks!$B$1,1,1)-WEEKDAY(DATE(Cal_Weeks!$B$1,1,1),3)))/7)+1),""),"")</f>
        <v/>
      </c>
      <c r="D4" t="n">
        <v>0</v>
      </c>
    </row>
    <row r="5">
      <c r="A5" t="inlineStr">
        <is>
          <t>CHEM-1020</t>
        </is>
      </c>
      <c r="B5" s="26" t="n">
        <v>46174</v>
      </c>
      <c r="C5">
        <f>IFERROR(IF(AND((INT(($B5-(DATE(Cal_Weeks!$B$1,1,1)-WEEKDAY(DATE(Cal_Weeks!$B$1,1,1),3)))/7)+1)&gt;=1,(INT(($B5-(DATE(Cal_Weeks!$B$1,1,1)-WEEKDAY(DATE(Cal_Weeks!$B$1,1,1),3)))/7)+1)&lt;=104),(INT(($B5-(DATE(Cal_Weeks!$B$1,1,1)-WEEKDAY(DATE(Cal_Weeks!$B$1,1,1),3)))/7)+1),""),"")</f>
        <v/>
      </c>
      <c r="D5" t="n">
        <v>0</v>
      </c>
    </row>
    <row r="6">
      <c r="A6" t="inlineStr">
        <is>
          <t>CHEM-1030</t>
        </is>
      </c>
      <c r="B6" s="26" t="n">
        <v>46168</v>
      </c>
      <c r="C6">
        <f>IFERROR(IF(AND((INT(($B6-(DATE(Cal_Weeks!$B$1,1,1)-WEEKDAY(DATE(Cal_Weeks!$B$1,1,1),3)))/7)+1)&gt;=1,(INT(($B6-(DATE(Cal_Weeks!$B$1,1,1)-WEEKDAY(DATE(Cal_Weeks!$B$1,1,1),3)))/7)+1)&lt;=104),(INT(($B6-(DATE(Cal_Weeks!$B$1,1,1)-WEEKDAY(DATE(Cal_Weeks!$B$1,1,1),3)))/7)+1),""),"")</f>
        <v/>
      </c>
      <c r="D6" t="n">
        <v>168</v>
      </c>
    </row>
    <row r="7">
      <c r="A7" t="inlineStr">
        <is>
          <t>CHEM-1030</t>
        </is>
      </c>
      <c r="B7" s="26" t="n">
        <v>46174</v>
      </c>
      <c r="C7">
        <f>IFERROR(IF(AND((INT(($B7-(DATE(Cal_Weeks!$B$1,1,1)-WEEKDAY(DATE(Cal_Weeks!$B$1,1,1),3)))/7)+1)&gt;=1,(INT(($B7-(DATE(Cal_Weeks!$B$1,1,1)-WEEKDAY(DATE(Cal_Weeks!$B$1,1,1),3)))/7)+1)&lt;=104),(INT(($B7-(DATE(Cal_Weeks!$B$1,1,1)-WEEKDAY(DATE(Cal_Weeks!$B$1,1,1),3)))/7)+1),""),"")</f>
        <v/>
      </c>
      <c r="D7" t="n">
        <v>168</v>
      </c>
    </row>
    <row r="8">
      <c r="A8" t="inlineStr">
        <is>
          <t>CHEM-1040</t>
        </is>
      </c>
      <c r="B8" s="26" t="n">
        <v>46168</v>
      </c>
      <c r="C8">
        <f>IFERROR(IF(AND((INT(($B8-(DATE(Cal_Weeks!$B$1,1,1)-WEEKDAY(DATE(Cal_Weeks!$B$1,1,1),3)))/7)+1)&gt;=1,(INT(($B8-(DATE(Cal_Weeks!$B$1,1,1)-WEEKDAY(DATE(Cal_Weeks!$B$1,1,1),3)))/7)+1)&lt;=104),(INT(($B8-(DATE(Cal_Weeks!$B$1,1,1)-WEEKDAY(DATE(Cal_Weeks!$B$1,1,1),3)))/7)+1),""),"")</f>
        <v/>
      </c>
      <c r="D8" t="n">
        <v>160</v>
      </c>
    </row>
    <row r="9">
      <c r="A9" t="inlineStr">
        <is>
          <t>CHEM-1040</t>
        </is>
      </c>
      <c r="B9" s="26" t="n">
        <v>46174</v>
      </c>
      <c r="C9">
        <f>IFERROR(IF(AND((INT(($B9-(DATE(Cal_Weeks!$B$1,1,1)-WEEKDAY(DATE(Cal_Weeks!$B$1,1,1),3)))/7)+1)&gt;=1,(INT(($B9-(DATE(Cal_Weeks!$B$1,1,1)-WEEKDAY(DATE(Cal_Weeks!$B$1,1,1),3)))/7)+1)&lt;=104),(INT(($B9-(DATE(Cal_Weeks!$B$1,1,1)-WEEKDAY(DATE(Cal_Weeks!$B$1,1,1),3)))/7)+1),""),"")</f>
        <v/>
      </c>
      <c r="D9" t="n">
        <v>160</v>
      </c>
    </row>
    <row r="10">
      <c r="A10" t="inlineStr">
        <is>
          <t>CHEM-1050</t>
        </is>
      </c>
      <c r="B10" s="26" t="n">
        <v>46168</v>
      </c>
      <c r="C10">
        <f>IFERROR(IF(AND((INT(($B10-(DATE(Cal_Weeks!$B$1,1,1)-WEEKDAY(DATE(Cal_Weeks!$B$1,1,1),3)))/7)+1)&gt;=1,(INT(($B10-(DATE(Cal_Weeks!$B$1,1,1)-WEEKDAY(DATE(Cal_Weeks!$B$1,1,1),3)))/7)+1)&lt;=104),(INT(($B10-(DATE(Cal_Weeks!$B$1,1,1)-WEEKDAY(DATE(Cal_Weeks!$B$1,1,1),3)))/7)+1),""),"")</f>
        <v/>
      </c>
      <c r="D10" t="n">
        <v>306</v>
      </c>
    </row>
    <row r="11">
      <c r="A11" t="inlineStr">
        <is>
          <t>CHEM-1050</t>
        </is>
      </c>
      <c r="B11" s="26" t="n">
        <v>46174</v>
      </c>
      <c r="C11">
        <f>IFERROR(IF(AND((INT(($B11-(DATE(Cal_Weeks!$B$1,1,1)-WEEKDAY(DATE(Cal_Weeks!$B$1,1,1),3)))/7)+1)&gt;=1,(INT(($B11-(DATE(Cal_Weeks!$B$1,1,1)-WEEKDAY(DATE(Cal_Weeks!$B$1,1,1),3)))/7)+1)&lt;=104),(INT(($B11-(DATE(Cal_Weeks!$B$1,1,1)-WEEKDAY(DATE(Cal_Weeks!$B$1,1,1),3)))/7)+1),""),"")</f>
        <v/>
      </c>
      <c r="D11" t="n">
        <v>272</v>
      </c>
    </row>
    <row r="12">
      <c r="A12" t="inlineStr">
        <is>
          <t>CHEM-1080</t>
        </is>
      </c>
      <c r="B12" s="26" t="n">
        <v>46168</v>
      </c>
      <c r="C12">
        <f>IFERROR(IF(AND((INT(($B12-(DATE(Cal_Weeks!$B$1,1,1)-WEEKDAY(DATE(Cal_Weeks!$B$1,1,1),3)))/7)+1)&gt;=1,(INT(($B12-(DATE(Cal_Weeks!$B$1,1,1)-WEEKDAY(DATE(Cal_Weeks!$B$1,1,1),3)))/7)+1)&lt;=104),(INT(($B12-(DATE(Cal_Weeks!$B$1,1,1)-WEEKDAY(DATE(Cal_Weeks!$B$1,1,1),3)))/7)+1),""),"")</f>
        <v/>
      </c>
      <c r="D12" t="n">
        <v>0</v>
      </c>
    </row>
    <row r="13">
      <c r="A13" t="inlineStr">
        <is>
          <t>CHEM-1080</t>
        </is>
      </c>
      <c r="B13" s="26" t="n">
        <v>46174</v>
      </c>
      <c r="C13">
        <f>IFERROR(IF(AND((INT(($B13-(DATE(Cal_Weeks!$B$1,1,1)-WEEKDAY(DATE(Cal_Weeks!$B$1,1,1),3)))/7)+1)&gt;=1,(INT(($B13-(DATE(Cal_Weeks!$B$1,1,1)-WEEKDAY(DATE(Cal_Weeks!$B$1,1,1),3)))/7)+1)&lt;=104),(INT(($B13-(DATE(Cal_Weeks!$B$1,1,1)-WEEKDAY(DATE(Cal_Weeks!$B$1,1,1),3)))/7)+1),""),"")</f>
        <v/>
      </c>
      <c r="D13" t="n">
        <v>0</v>
      </c>
    </row>
    <row r="14">
      <c r="A14" t="inlineStr">
        <is>
          <t>CHEM-1100</t>
        </is>
      </c>
      <c r="B14" s="26" t="n">
        <v>46168</v>
      </c>
      <c r="C14">
        <f>IFERROR(IF(AND((INT(($B14-(DATE(Cal_Weeks!$B$1,1,1)-WEEKDAY(DATE(Cal_Weeks!$B$1,1,1),3)))/7)+1)&gt;=1,(INT(($B14-(DATE(Cal_Weeks!$B$1,1,1)-WEEKDAY(DATE(Cal_Weeks!$B$1,1,1),3)))/7)+1)&lt;=104),(INT(($B14-(DATE(Cal_Weeks!$B$1,1,1)-WEEKDAY(DATE(Cal_Weeks!$B$1,1,1),3)))/7)+1),""),"")</f>
        <v/>
      </c>
      <c r="D14" t="n">
        <v>365</v>
      </c>
    </row>
    <row r="15">
      <c r="A15" t="inlineStr">
        <is>
          <t>CHEM-1100</t>
        </is>
      </c>
      <c r="B15" s="26" t="n">
        <v>46174</v>
      </c>
      <c r="C15">
        <f>IFERROR(IF(AND((INT(($B15-(DATE(Cal_Weeks!$B$1,1,1)-WEEKDAY(DATE(Cal_Weeks!$B$1,1,1),3)))/7)+1)&gt;=1,(INT(($B15-(DATE(Cal_Weeks!$B$1,1,1)-WEEKDAY(DATE(Cal_Weeks!$B$1,1,1),3)))/7)+1)&lt;=104),(INT(($B15-(DATE(Cal_Weeks!$B$1,1,1)-WEEKDAY(DATE(Cal_Weeks!$B$1,1,1),3)))/7)+1),""),"")</f>
        <v/>
      </c>
      <c r="D15" t="n">
        <v>365</v>
      </c>
    </row>
    <row r="16">
      <c r="A16" t="inlineStr">
        <is>
          <t>CHEM-1110</t>
        </is>
      </c>
      <c r="B16" s="26" t="n">
        <v>46168</v>
      </c>
      <c r="C16">
        <f>IFERROR(IF(AND((INT(($B16-(DATE(Cal_Weeks!$B$1,1,1)-WEEKDAY(DATE(Cal_Weeks!$B$1,1,1),3)))/7)+1)&gt;=1,(INT(($B16-(DATE(Cal_Weeks!$B$1,1,1)-WEEKDAY(DATE(Cal_Weeks!$B$1,1,1),3)))/7)+1)&lt;=104),(INT(($B16-(DATE(Cal_Weeks!$B$1,1,1)-WEEKDAY(DATE(Cal_Weeks!$B$1,1,1),3)))/7)+1),""),"")</f>
        <v/>
      </c>
      <c r="D16" t="n">
        <v>250</v>
      </c>
    </row>
    <row r="17">
      <c r="A17" t="inlineStr">
        <is>
          <t>CHEM-1110</t>
        </is>
      </c>
      <c r="B17" s="26" t="n">
        <v>46174</v>
      </c>
      <c r="C17">
        <f>IFERROR(IF(AND((INT(($B17-(DATE(Cal_Weeks!$B$1,1,1)-WEEKDAY(DATE(Cal_Weeks!$B$1,1,1),3)))/7)+1)&gt;=1,(INT(($B17-(DATE(Cal_Weeks!$B$1,1,1)-WEEKDAY(DATE(Cal_Weeks!$B$1,1,1),3)))/7)+1)&lt;=104),(INT(($B17-(DATE(Cal_Weeks!$B$1,1,1)-WEEKDAY(DATE(Cal_Weeks!$B$1,1,1),3)))/7)+1),""),"")</f>
        <v/>
      </c>
      <c r="D17" t="n">
        <v>250</v>
      </c>
    </row>
    <row r="18">
      <c r="A18" t="inlineStr">
        <is>
          <t>CHEM-1120</t>
        </is>
      </c>
      <c r="B18" s="26" t="n">
        <v>46168</v>
      </c>
      <c r="C18">
        <f>IFERROR(IF(AND((INT(($B18-(DATE(Cal_Weeks!$B$1,1,1)-WEEKDAY(DATE(Cal_Weeks!$B$1,1,1),3)))/7)+1)&gt;=1,(INT(($B18-(DATE(Cal_Weeks!$B$1,1,1)-WEEKDAY(DATE(Cal_Weeks!$B$1,1,1),3)))/7)+1)&lt;=104),(INT(($B18-(DATE(Cal_Weeks!$B$1,1,1)-WEEKDAY(DATE(Cal_Weeks!$B$1,1,1),3)))/7)+1),""),"")</f>
        <v/>
      </c>
      <c r="D18" t="n">
        <v>5</v>
      </c>
    </row>
    <row r="19">
      <c r="A19" t="inlineStr">
        <is>
          <t>CHEM-1120</t>
        </is>
      </c>
      <c r="B19" s="26" t="n">
        <v>46174</v>
      </c>
      <c r="C19">
        <f>IFERROR(IF(AND((INT(($B19-(DATE(Cal_Weeks!$B$1,1,1)-WEEKDAY(DATE(Cal_Weeks!$B$1,1,1),3)))/7)+1)&gt;=1,(INT(($B19-(DATE(Cal_Weeks!$B$1,1,1)-WEEKDAY(DATE(Cal_Weeks!$B$1,1,1),3)))/7)+1)&lt;=104),(INT(($B19-(DATE(Cal_Weeks!$B$1,1,1)-WEEKDAY(DATE(Cal_Weeks!$B$1,1,1),3)))/7)+1),""),"")</f>
        <v/>
      </c>
      <c r="D19" t="n">
        <v>5</v>
      </c>
    </row>
    <row r="20">
      <c r="A20" t="inlineStr">
        <is>
          <t>CHEM-1190</t>
        </is>
      </c>
      <c r="B20" s="26" t="n">
        <v>46168</v>
      </c>
      <c r="C20">
        <f>IFERROR(IF(AND((INT(($B20-(DATE(Cal_Weeks!$B$1,1,1)-WEEKDAY(DATE(Cal_Weeks!$B$1,1,1),3)))/7)+1)&gt;=1,(INT(($B20-(DATE(Cal_Weeks!$B$1,1,1)-WEEKDAY(DATE(Cal_Weeks!$B$1,1,1),3)))/7)+1)&lt;=104),(INT(($B20-(DATE(Cal_Weeks!$B$1,1,1)-WEEKDAY(DATE(Cal_Weeks!$B$1,1,1),3)))/7)+1),""),"")</f>
        <v/>
      </c>
      <c r="D20" t="n">
        <v>12.5</v>
      </c>
    </row>
    <row r="21">
      <c r="A21" t="inlineStr">
        <is>
          <t>CHEM-1190</t>
        </is>
      </c>
      <c r="B21" s="26" t="n">
        <v>46174</v>
      </c>
      <c r="C21">
        <f>IFERROR(IF(AND((INT(($B21-(DATE(Cal_Weeks!$B$1,1,1)-WEEKDAY(DATE(Cal_Weeks!$B$1,1,1),3)))/7)+1)&gt;=1,(INT(($B21-(DATE(Cal_Weeks!$B$1,1,1)-WEEKDAY(DATE(Cal_Weeks!$B$1,1,1),3)))/7)+1)&lt;=104),(INT(($B21-(DATE(Cal_Weeks!$B$1,1,1)-WEEKDAY(DATE(Cal_Weeks!$B$1,1,1),3)))/7)+1),""),"")</f>
        <v/>
      </c>
      <c r="D21" t="n">
        <v>10</v>
      </c>
    </row>
    <row r="22">
      <c r="A22" t="inlineStr">
        <is>
          <t>CHEM-1200</t>
        </is>
      </c>
      <c r="B22" s="26" t="n">
        <v>46168</v>
      </c>
      <c r="C22">
        <f>IFERROR(IF(AND((INT(($B22-(DATE(Cal_Weeks!$B$1,1,1)-WEEKDAY(DATE(Cal_Weeks!$B$1,1,1),3)))/7)+1)&gt;=1,(INT(($B22-(DATE(Cal_Weeks!$B$1,1,1)-WEEKDAY(DATE(Cal_Weeks!$B$1,1,1),3)))/7)+1)&lt;=104),(INT(($B22-(DATE(Cal_Weeks!$B$1,1,1)-WEEKDAY(DATE(Cal_Weeks!$B$1,1,1),3)))/7)+1),""),"")</f>
        <v/>
      </c>
      <c r="D22" t="n">
        <v>5528</v>
      </c>
    </row>
    <row r="23">
      <c r="A23" t="inlineStr">
        <is>
          <t>CHEM-1200</t>
        </is>
      </c>
      <c r="B23" s="26" t="n">
        <v>46174</v>
      </c>
      <c r="C23">
        <f>IFERROR(IF(AND((INT(($B23-(DATE(Cal_Weeks!$B$1,1,1)-WEEKDAY(DATE(Cal_Weeks!$B$1,1,1),3)))/7)+1)&gt;=1,(INT(($B23-(DATE(Cal_Weeks!$B$1,1,1)-WEEKDAY(DATE(Cal_Weeks!$B$1,1,1),3)))/7)+1)&lt;=104),(INT(($B23-(DATE(Cal_Weeks!$B$1,1,1)-WEEKDAY(DATE(Cal_Weeks!$B$1,1,1),3)))/7)+1),""),"")</f>
        <v/>
      </c>
      <c r="D23" t="n">
        <v>50000</v>
      </c>
    </row>
    <row r="24">
      <c r="A24" t="inlineStr">
        <is>
          <t>CHEM-1220</t>
        </is>
      </c>
      <c r="B24" s="26" t="n">
        <v>46168</v>
      </c>
      <c r="C24">
        <f>IFERROR(IF(AND((INT(($B24-(DATE(Cal_Weeks!$B$1,1,1)-WEEKDAY(DATE(Cal_Weeks!$B$1,1,1),3)))/7)+1)&gt;=1,(INT(($B24-(DATE(Cal_Weeks!$B$1,1,1)-WEEKDAY(DATE(Cal_Weeks!$B$1,1,1),3)))/7)+1)&lt;=104),(INT(($B24-(DATE(Cal_Weeks!$B$1,1,1)-WEEKDAY(DATE(Cal_Weeks!$B$1,1,1),3)))/7)+1),""),"")</f>
        <v/>
      </c>
      <c r="D24" t="n">
        <v>465</v>
      </c>
    </row>
    <row r="25">
      <c r="A25" t="inlineStr">
        <is>
          <t>CHEM-1220</t>
        </is>
      </c>
      <c r="B25" s="26" t="n">
        <v>46174</v>
      </c>
      <c r="C25">
        <f>IFERROR(IF(AND((INT(($B25-(DATE(Cal_Weeks!$B$1,1,1)-WEEKDAY(DATE(Cal_Weeks!$B$1,1,1),3)))/7)+1)&gt;=1,(INT(($B25-(DATE(Cal_Weeks!$B$1,1,1)-WEEKDAY(DATE(Cal_Weeks!$B$1,1,1),3)))/7)+1)&lt;=104),(INT(($B25-(DATE(Cal_Weeks!$B$1,1,1)-WEEKDAY(DATE(Cal_Weeks!$B$1,1,1),3)))/7)+1),""),"")</f>
        <v/>
      </c>
      <c r="D25" t="n">
        <v>465</v>
      </c>
    </row>
    <row r="26">
      <c r="A26" t="inlineStr">
        <is>
          <t>CHEM-1240</t>
        </is>
      </c>
      <c r="B26" s="26" t="n">
        <v>46168</v>
      </c>
      <c r="C26">
        <f>IFERROR(IF(AND((INT(($B26-(DATE(Cal_Weeks!$B$1,1,1)-WEEKDAY(DATE(Cal_Weeks!$B$1,1,1),3)))/7)+1)&gt;=1,(INT(($B26-(DATE(Cal_Weeks!$B$1,1,1)-WEEKDAY(DATE(Cal_Weeks!$B$1,1,1),3)))/7)+1)&lt;=104),(INT(($B26-(DATE(Cal_Weeks!$B$1,1,1)-WEEKDAY(DATE(Cal_Weeks!$B$1,1,1),3)))/7)+1),""),"")</f>
        <v/>
      </c>
      <c r="D26" t="n">
        <v>440</v>
      </c>
    </row>
    <row r="27">
      <c r="A27" t="inlineStr">
        <is>
          <t>CHEM-1240</t>
        </is>
      </c>
      <c r="B27" s="26" t="n">
        <v>46174</v>
      </c>
      <c r="C27">
        <f>IFERROR(IF(AND((INT(($B27-(DATE(Cal_Weeks!$B$1,1,1)-WEEKDAY(DATE(Cal_Weeks!$B$1,1,1),3)))/7)+1)&gt;=1,(INT(($B27-(DATE(Cal_Weeks!$B$1,1,1)-WEEKDAY(DATE(Cal_Weeks!$B$1,1,1),3)))/7)+1)&lt;=104),(INT(($B27-(DATE(Cal_Weeks!$B$1,1,1)-WEEKDAY(DATE(Cal_Weeks!$B$1,1,1),3)))/7)+1),""),"")</f>
        <v/>
      </c>
      <c r="D27" t="n">
        <v>620</v>
      </c>
    </row>
    <row r="28">
      <c r="A28" t="inlineStr">
        <is>
          <t>CHEM-1250</t>
        </is>
      </c>
      <c r="B28" s="26" t="n">
        <v>46168</v>
      </c>
      <c r="C28">
        <f>IFERROR(IF(AND((INT(($B28-(DATE(Cal_Weeks!$B$1,1,1)-WEEKDAY(DATE(Cal_Weeks!$B$1,1,1),3)))/7)+1)&gt;=1,(INT(($B28-(DATE(Cal_Weeks!$B$1,1,1)-WEEKDAY(DATE(Cal_Weeks!$B$1,1,1),3)))/7)+1)&lt;=104),(INT(($B28-(DATE(Cal_Weeks!$B$1,1,1)-WEEKDAY(DATE(Cal_Weeks!$B$1,1,1),3)))/7)+1),""),"")</f>
        <v/>
      </c>
      <c r="D28" t="n">
        <v>275</v>
      </c>
    </row>
    <row r="29">
      <c r="A29" t="inlineStr">
        <is>
          <t>CHEM-1250</t>
        </is>
      </c>
      <c r="B29" s="26" t="n">
        <v>46174</v>
      </c>
      <c r="C29">
        <f>IFERROR(IF(AND((INT(($B29-(DATE(Cal_Weeks!$B$1,1,1)-WEEKDAY(DATE(Cal_Weeks!$B$1,1,1),3)))/7)+1)&gt;=1,(INT(($B29-(DATE(Cal_Weeks!$B$1,1,1)-WEEKDAY(DATE(Cal_Weeks!$B$1,1,1),3)))/7)+1)&lt;=104),(INT(($B29-(DATE(Cal_Weeks!$B$1,1,1)-WEEKDAY(DATE(Cal_Weeks!$B$1,1,1),3)))/7)+1),""),"")</f>
        <v/>
      </c>
      <c r="D29" t="n">
        <v>250</v>
      </c>
    </row>
    <row r="30">
      <c r="A30" t="inlineStr">
        <is>
          <t>CHEM-1260</t>
        </is>
      </c>
      <c r="B30" s="26" t="n">
        <v>46168</v>
      </c>
      <c r="C30">
        <f>IFERROR(IF(AND((INT(($B30-(DATE(Cal_Weeks!$B$1,1,1)-WEEKDAY(DATE(Cal_Weeks!$B$1,1,1),3)))/7)+1)&gt;=1,(INT(($B30-(DATE(Cal_Weeks!$B$1,1,1)-WEEKDAY(DATE(Cal_Weeks!$B$1,1,1),3)))/7)+1)&lt;=104),(INT(($B30-(DATE(Cal_Weeks!$B$1,1,1)-WEEKDAY(DATE(Cal_Weeks!$B$1,1,1),3)))/7)+1),""),"")</f>
        <v/>
      </c>
      <c r="D30" t="n">
        <v>360</v>
      </c>
    </row>
    <row r="31">
      <c r="A31" t="inlineStr">
        <is>
          <t>CHEM-1260</t>
        </is>
      </c>
      <c r="B31" s="26" t="n">
        <v>46174</v>
      </c>
      <c r="C31">
        <f>IFERROR(IF(AND((INT(($B31-(DATE(Cal_Weeks!$B$1,1,1)-WEEKDAY(DATE(Cal_Weeks!$B$1,1,1),3)))/7)+1)&gt;=1,(INT(($B31-(DATE(Cal_Weeks!$B$1,1,1)-WEEKDAY(DATE(Cal_Weeks!$B$1,1,1),3)))/7)+1)&lt;=104),(INT(($B31-(DATE(Cal_Weeks!$B$1,1,1)-WEEKDAY(DATE(Cal_Weeks!$B$1,1,1),3)))/7)+1),""),"")</f>
        <v/>
      </c>
      <c r="D31" t="n">
        <v>280</v>
      </c>
    </row>
    <row r="32">
      <c r="A32" t="inlineStr">
        <is>
          <t>CHEM-1280</t>
        </is>
      </c>
      <c r="B32" s="26" t="n">
        <v>46168</v>
      </c>
      <c r="C32">
        <f>IFERROR(IF(AND((INT(($B32-(DATE(Cal_Weeks!$B$1,1,1)-WEEKDAY(DATE(Cal_Weeks!$B$1,1,1),3)))/7)+1)&gt;=1,(INT(($B32-(DATE(Cal_Weeks!$B$1,1,1)-WEEKDAY(DATE(Cal_Weeks!$B$1,1,1),3)))/7)+1)&lt;=104),(INT(($B32-(DATE(Cal_Weeks!$B$1,1,1)-WEEKDAY(DATE(Cal_Weeks!$B$1,1,1),3)))/7)+1),""),"")</f>
        <v/>
      </c>
      <c r="D32" t="n">
        <v>1000</v>
      </c>
    </row>
    <row r="33">
      <c r="A33" t="inlineStr">
        <is>
          <t>CHEM-1280</t>
        </is>
      </c>
      <c r="B33" s="26" t="n">
        <v>46174</v>
      </c>
      <c r="C33">
        <f>IFERROR(IF(AND((INT(($B33-(DATE(Cal_Weeks!$B$1,1,1)-WEEKDAY(DATE(Cal_Weeks!$B$1,1,1),3)))/7)+1)&gt;=1,(INT(($B33-(DATE(Cal_Weeks!$B$1,1,1)-WEEKDAY(DATE(Cal_Weeks!$B$1,1,1),3)))/7)+1)&lt;=104),(INT(($B33-(DATE(Cal_Weeks!$B$1,1,1)-WEEKDAY(DATE(Cal_Weeks!$B$1,1,1),3)))/7)+1),""),"")</f>
        <v/>
      </c>
      <c r="D33" t="n">
        <v>756</v>
      </c>
    </row>
    <row r="34">
      <c r="A34" t="inlineStr">
        <is>
          <t>CHEM-1310</t>
        </is>
      </c>
      <c r="B34" s="26" t="n">
        <v>46168</v>
      </c>
      <c r="C34">
        <f>IFERROR(IF(AND((INT(($B34-(DATE(Cal_Weeks!$B$1,1,1)-WEEKDAY(DATE(Cal_Weeks!$B$1,1,1),3)))/7)+1)&gt;=1,(INT(($B34-(DATE(Cal_Weeks!$B$1,1,1)-WEEKDAY(DATE(Cal_Weeks!$B$1,1,1),3)))/7)+1)&lt;=104),(INT(($B34-(DATE(Cal_Weeks!$B$1,1,1)-WEEKDAY(DATE(Cal_Weeks!$B$1,1,1),3)))/7)+1),""),"")</f>
        <v/>
      </c>
      <c r="D34" t="n">
        <v>0</v>
      </c>
    </row>
    <row r="35">
      <c r="A35" t="inlineStr">
        <is>
          <t>CHEM-1310</t>
        </is>
      </c>
      <c r="B35" s="26" t="n">
        <v>46174</v>
      </c>
      <c r="C35">
        <f>IFERROR(IF(AND((INT(($B35-(DATE(Cal_Weeks!$B$1,1,1)-WEEKDAY(DATE(Cal_Weeks!$B$1,1,1),3)))/7)+1)&gt;=1,(INT(($B35-(DATE(Cal_Weeks!$B$1,1,1)-WEEKDAY(DATE(Cal_Weeks!$B$1,1,1),3)))/7)+1)&lt;=104),(INT(($B35-(DATE(Cal_Weeks!$B$1,1,1)-WEEKDAY(DATE(Cal_Weeks!$B$1,1,1),3)))/7)+1),""),"")</f>
        <v/>
      </c>
      <c r="D35" t="n">
        <v>0</v>
      </c>
    </row>
    <row r="36">
      <c r="A36" t="inlineStr">
        <is>
          <t>CHEM-1400</t>
        </is>
      </c>
      <c r="B36" s="26" t="n">
        <v>46168</v>
      </c>
      <c r="C36">
        <f>IFERROR(IF(AND((INT(($B36-(DATE(Cal_Weeks!$B$1,1,1)-WEEKDAY(DATE(Cal_Weeks!$B$1,1,1),3)))/7)+1)&gt;=1,(INT(($B36-(DATE(Cal_Weeks!$B$1,1,1)-WEEKDAY(DATE(Cal_Weeks!$B$1,1,1),3)))/7)+1)&lt;=104),(INT(($B36-(DATE(Cal_Weeks!$B$1,1,1)-WEEKDAY(DATE(Cal_Weeks!$B$1,1,1),3)))/7)+1),""),"")</f>
        <v/>
      </c>
      <c r="D36" t="n">
        <v>300</v>
      </c>
    </row>
    <row r="37">
      <c r="A37" t="inlineStr">
        <is>
          <t>CHEM-1400</t>
        </is>
      </c>
      <c r="B37" s="26" t="n">
        <v>46174</v>
      </c>
      <c r="C37">
        <f>IFERROR(IF(AND((INT(($B37-(DATE(Cal_Weeks!$B$1,1,1)-WEEKDAY(DATE(Cal_Weeks!$B$1,1,1),3)))/7)+1)&gt;=1,(INT(($B37-(DATE(Cal_Weeks!$B$1,1,1)-WEEKDAY(DATE(Cal_Weeks!$B$1,1,1),3)))/7)+1)&lt;=104),(INT(($B37-(DATE(Cal_Weeks!$B$1,1,1)-WEEKDAY(DATE(Cal_Weeks!$B$1,1,1),3)))/7)+1),""),"")</f>
        <v/>
      </c>
      <c r="D37" t="n">
        <v>300</v>
      </c>
    </row>
    <row r="38">
      <c r="A38" t="inlineStr">
        <is>
          <t>CHEM-1410</t>
        </is>
      </c>
      <c r="B38" s="26" t="n">
        <v>46168</v>
      </c>
      <c r="C38">
        <f>IFERROR(IF(AND((INT(($B38-(DATE(Cal_Weeks!$B$1,1,1)-WEEKDAY(DATE(Cal_Weeks!$B$1,1,1),3)))/7)+1)&gt;=1,(INT(($B38-(DATE(Cal_Weeks!$B$1,1,1)-WEEKDAY(DATE(Cal_Weeks!$B$1,1,1),3)))/7)+1)&lt;=104),(INT(($B38-(DATE(Cal_Weeks!$B$1,1,1)-WEEKDAY(DATE(Cal_Weeks!$B$1,1,1),3)))/7)+1),""),"")</f>
        <v/>
      </c>
      <c r="D38" t="n">
        <v>650</v>
      </c>
    </row>
    <row r="39">
      <c r="A39" t="inlineStr">
        <is>
          <t>CHEM-1410</t>
        </is>
      </c>
      <c r="B39" s="26" t="n">
        <v>46174</v>
      </c>
      <c r="C39">
        <f>IFERROR(IF(AND((INT(($B39-(DATE(Cal_Weeks!$B$1,1,1)-WEEKDAY(DATE(Cal_Weeks!$B$1,1,1),3)))/7)+1)&gt;=1,(INT(($B39-(DATE(Cal_Weeks!$B$1,1,1)-WEEKDAY(DATE(Cal_Weeks!$B$1,1,1),3)))/7)+1)&lt;=104),(INT(($B39-(DATE(Cal_Weeks!$B$1,1,1)-WEEKDAY(DATE(Cal_Weeks!$B$1,1,1),3)))/7)+1),""),"")</f>
        <v/>
      </c>
      <c r="D39" t="n">
        <v>650</v>
      </c>
    </row>
    <row r="40">
      <c r="A40" t="inlineStr">
        <is>
          <t>CHEM-1420</t>
        </is>
      </c>
      <c r="B40" s="26" t="n">
        <v>46168</v>
      </c>
      <c r="C40">
        <f>IFERROR(IF(AND((INT(($B40-(DATE(Cal_Weeks!$B$1,1,1)-WEEKDAY(DATE(Cal_Weeks!$B$1,1,1),3)))/7)+1)&gt;=1,(INT(($B40-(DATE(Cal_Weeks!$B$1,1,1)-WEEKDAY(DATE(Cal_Weeks!$B$1,1,1),3)))/7)+1)&lt;=104),(INT(($B40-(DATE(Cal_Weeks!$B$1,1,1)-WEEKDAY(DATE(Cal_Weeks!$B$1,1,1),3)))/7)+1),""),"")</f>
        <v/>
      </c>
      <c r="D40" t="n">
        <v>435</v>
      </c>
    </row>
    <row r="41">
      <c r="A41" t="inlineStr">
        <is>
          <t>CHEM-1420</t>
        </is>
      </c>
      <c r="B41" s="26" t="n">
        <v>46174</v>
      </c>
      <c r="C41">
        <f>IFERROR(IF(AND((INT(($B41-(DATE(Cal_Weeks!$B$1,1,1)-WEEKDAY(DATE(Cal_Weeks!$B$1,1,1),3)))/7)+1)&gt;=1,(INT(($B41-(DATE(Cal_Weeks!$B$1,1,1)-WEEKDAY(DATE(Cal_Weeks!$B$1,1,1),3)))/7)+1)&lt;=104),(INT(($B41-(DATE(Cal_Weeks!$B$1,1,1)-WEEKDAY(DATE(Cal_Weeks!$B$1,1,1),3)))/7)+1),""),"")</f>
        <v/>
      </c>
      <c r="D41" t="n">
        <v>380</v>
      </c>
    </row>
    <row r="42">
      <c r="A42" t="inlineStr">
        <is>
          <t>CHEM-1430</t>
        </is>
      </c>
      <c r="B42" s="26" t="n">
        <v>46168</v>
      </c>
      <c r="C42">
        <f>IFERROR(IF(AND((INT(($B42-(DATE(Cal_Weeks!$B$1,1,1)-WEEKDAY(DATE(Cal_Weeks!$B$1,1,1),3)))/7)+1)&gt;=1,(INT(($B42-(DATE(Cal_Weeks!$B$1,1,1)-WEEKDAY(DATE(Cal_Weeks!$B$1,1,1),3)))/7)+1)&lt;=104),(INT(($B42-(DATE(Cal_Weeks!$B$1,1,1)-WEEKDAY(DATE(Cal_Weeks!$B$1,1,1),3)))/7)+1),""),"")</f>
        <v/>
      </c>
      <c r="D42" t="n">
        <v>15</v>
      </c>
    </row>
    <row r="43">
      <c r="A43" t="inlineStr">
        <is>
          <t>CHEM-1430</t>
        </is>
      </c>
      <c r="B43" s="26" t="n">
        <v>46174</v>
      </c>
      <c r="C43">
        <f>IFERROR(IF(AND((INT(($B43-(DATE(Cal_Weeks!$B$1,1,1)-WEEKDAY(DATE(Cal_Weeks!$B$1,1,1),3)))/7)+1)&gt;=1,(INT(($B43-(DATE(Cal_Weeks!$B$1,1,1)-WEEKDAY(DATE(Cal_Weeks!$B$1,1,1),3)))/7)+1)&lt;=104),(INT(($B43-(DATE(Cal_Weeks!$B$1,1,1)-WEEKDAY(DATE(Cal_Weeks!$B$1,1,1),3)))/7)+1),""),"")</f>
        <v/>
      </c>
      <c r="D43" t="n">
        <v>15</v>
      </c>
    </row>
    <row r="44">
      <c r="A44" t="inlineStr">
        <is>
          <t>CHEM-1440</t>
        </is>
      </c>
      <c r="B44" s="26" t="n">
        <v>46168</v>
      </c>
      <c r="C44">
        <f>IFERROR(IF(AND((INT(($B44-(DATE(Cal_Weeks!$B$1,1,1)-WEEKDAY(DATE(Cal_Weeks!$B$1,1,1),3)))/7)+1)&gt;=1,(INT(($B44-(DATE(Cal_Weeks!$B$1,1,1)-WEEKDAY(DATE(Cal_Weeks!$B$1,1,1),3)))/7)+1)&lt;=104),(INT(($B44-(DATE(Cal_Weeks!$B$1,1,1)-WEEKDAY(DATE(Cal_Weeks!$B$1,1,1),3)))/7)+1),""),"")</f>
        <v/>
      </c>
      <c r="D44" t="n">
        <v>350</v>
      </c>
    </row>
    <row r="45">
      <c r="A45" t="inlineStr">
        <is>
          <t>CHEM-1440</t>
        </is>
      </c>
      <c r="B45" s="26" t="n">
        <v>46174</v>
      </c>
      <c r="C45">
        <f>IFERROR(IF(AND((INT(($B45-(DATE(Cal_Weeks!$B$1,1,1)-WEEKDAY(DATE(Cal_Weeks!$B$1,1,1),3)))/7)+1)&gt;=1,(INT(($B45-(DATE(Cal_Weeks!$B$1,1,1)-WEEKDAY(DATE(Cal_Weeks!$B$1,1,1),3)))/7)+1)&lt;=104),(INT(($B45-(DATE(Cal_Weeks!$B$1,1,1)-WEEKDAY(DATE(Cal_Weeks!$B$1,1,1),3)))/7)+1),""),"")</f>
        <v/>
      </c>
      <c r="D45" t="n">
        <v>323</v>
      </c>
    </row>
    <row r="46">
      <c r="A46" t="inlineStr">
        <is>
          <t>CHEM-1450</t>
        </is>
      </c>
      <c r="B46" s="26" t="n">
        <v>46168</v>
      </c>
      <c r="C46">
        <f>IFERROR(IF(AND((INT(($B46-(DATE(Cal_Weeks!$B$1,1,1)-WEEKDAY(DATE(Cal_Weeks!$B$1,1,1),3)))/7)+1)&gt;=1,(INT(($B46-(DATE(Cal_Weeks!$B$1,1,1)-WEEKDAY(DATE(Cal_Weeks!$B$1,1,1),3)))/7)+1)&lt;=104),(INT(($B46-(DATE(Cal_Weeks!$B$1,1,1)-WEEKDAY(DATE(Cal_Weeks!$B$1,1,1),3)))/7)+1),""),"")</f>
        <v/>
      </c>
      <c r="D46" t="n">
        <v>0</v>
      </c>
    </row>
    <row r="47">
      <c r="A47" t="inlineStr">
        <is>
          <t>CHEM-1450</t>
        </is>
      </c>
      <c r="B47" s="26" t="n">
        <v>46174</v>
      </c>
      <c r="C47">
        <f>IFERROR(IF(AND((INT(($B47-(DATE(Cal_Weeks!$B$1,1,1)-WEEKDAY(DATE(Cal_Weeks!$B$1,1,1),3)))/7)+1)&gt;=1,(INT(($B47-(DATE(Cal_Weeks!$B$1,1,1)-WEEKDAY(DATE(Cal_Weeks!$B$1,1,1),3)))/7)+1)&lt;=104),(INT(($B47-(DATE(Cal_Weeks!$B$1,1,1)-WEEKDAY(DATE(Cal_Weeks!$B$1,1,1),3)))/7)+1),""),"")</f>
        <v/>
      </c>
      <c r="D47" t="n">
        <v>0</v>
      </c>
    </row>
    <row r="48">
      <c r="A48" t="inlineStr">
        <is>
          <t>CHEM-1460</t>
        </is>
      </c>
      <c r="B48" s="26" t="n">
        <v>46168</v>
      </c>
      <c r="C48">
        <f>IFERROR(IF(AND((INT(($B48-(DATE(Cal_Weeks!$B$1,1,1)-WEEKDAY(DATE(Cal_Weeks!$B$1,1,1),3)))/7)+1)&gt;=1,(INT(($B48-(DATE(Cal_Weeks!$B$1,1,1)-WEEKDAY(DATE(Cal_Weeks!$B$1,1,1),3)))/7)+1)&lt;=104),(INT(($B48-(DATE(Cal_Weeks!$B$1,1,1)-WEEKDAY(DATE(Cal_Weeks!$B$1,1,1),3)))/7)+1),""),"")</f>
        <v/>
      </c>
      <c r="D48" t="n">
        <v>0</v>
      </c>
    </row>
    <row r="49">
      <c r="A49" t="inlineStr">
        <is>
          <t>CHEM-1460</t>
        </is>
      </c>
      <c r="B49" s="26" t="n">
        <v>46174</v>
      </c>
      <c r="C49">
        <f>IFERROR(IF(AND((INT(($B49-(DATE(Cal_Weeks!$B$1,1,1)-WEEKDAY(DATE(Cal_Weeks!$B$1,1,1),3)))/7)+1)&gt;=1,(INT(($B49-(DATE(Cal_Weeks!$B$1,1,1)-WEEKDAY(DATE(Cal_Weeks!$B$1,1,1),3)))/7)+1)&lt;=104),(INT(($B49-(DATE(Cal_Weeks!$B$1,1,1)-WEEKDAY(DATE(Cal_Weeks!$B$1,1,1),3)))/7)+1),""),"")</f>
        <v/>
      </c>
      <c r="D49" t="n">
        <v>0</v>
      </c>
    </row>
    <row r="50">
      <c r="A50" t="inlineStr">
        <is>
          <t>CHEM-1470</t>
        </is>
      </c>
      <c r="B50" s="26" t="n">
        <v>46168</v>
      </c>
      <c r="C50">
        <f>IFERROR(IF(AND((INT(($B50-(DATE(Cal_Weeks!$B$1,1,1)-WEEKDAY(DATE(Cal_Weeks!$B$1,1,1),3)))/7)+1)&gt;=1,(INT(($B50-(DATE(Cal_Weeks!$B$1,1,1)-WEEKDAY(DATE(Cal_Weeks!$B$1,1,1),3)))/7)+1)&lt;=104),(INT(($B50-(DATE(Cal_Weeks!$B$1,1,1)-WEEKDAY(DATE(Cal_Weeks!$B$1,1,1),3)))/7)+1),""),"")</f>
        <v/>
      </c>
      <c r="D50" t="n">
        <v>0</v>
      </c>
    </row>
    <row r="51">
      <c r="A51" t="inlineStr">
        <is>
          <t>CHEM-1470</t>
        </is>
      </c>
      <c r="B51" s="26" t="n">
        <v>46174</v>
      </c>
      <c r="C51">
        <f>IFERROR(IF(AND((INT(($B51-(DATE(Cal_Weeks!$B$1,1,1)-WEEKDAY(DATE(Cal_Weeks!$B$1,1,1),3)))/7)+1)&gt;=1,(INT(($B51-(DATE(Cal_Weeks!$B$1,1,1)-WEEKDAY(DATE(Cal_Weeks!$B$1,1,1),3)))/7)+1)&lt;=104),(INT(($B51-(DATE(Cal_Weeks!$B$1,1,1)-WEEKDAY(DATE(Cal_Weeks!$B$1,1,1),3)))/7)+1),""),"")</f>
        <v/>
      </c>
      <c r="D51" t="n">
        <v>0</v>
      </c>
    </row>
    <row r="52">
      <c r="A52" t="inlineStr">
        <is>
          <t>CHEM-1480</t>
        </is>
      </c>
      <c r="B52" s="26" t="n">
        <v>46168</v>
      </c>
      <c r="C52">
        <f>IFERROR(IF(AND((INT(($B52-(DATE(Cal_Weeks!$B$1,1,1)-WEEKDAY(DATE(Cal_Weeks!$B$1,1,1),3)))/7)+1)&gt;=1,(INT(($B52-(DATE(Cal_Weeks!$B$1,1,1)-WEEKDAY(DATE(Cal_Weeks!$B$1,1,1),3)))/7)+1)&lt;=104),(INT(($B52-(DATE(Cal_Weeks!$B$1,1,1)-WEEKDAY(DATE(Cal_Weeks!$B$1,1,1),3)))/7)+1),""),"")</f>
        <v/>
      </c>
      <c r="D52" t="n">
        <v>0</v>
      </c>
    </row>
    <row r="53">
      <c r="A53" t="inlineStr">
        <is>
          <t>CHEM-1480</t>
        </is>
      </c>
      <c r="B53" s="26" t="n">
        <v>46174</v>
      </c>
      <c r="C53">
        <f>IFERROR(IF(AND((INT(($B53-(DATE(Cal_Weeks!$B$1,1,1)-WEEKDAY(DATE(Cal_Weeks!$B$1,1,1),3)))/7)+1)&gt;=1,(INT(($B53-(DATE(Cal_Weeks!$B$1,1,1)-WEEKDAY(DATE(Cal_Weeks!$B$1,1,1),3)))/7)+1)&lt;=104),(INT(($B53-(DATE(Cal_Weeks!$B$1,1,1)-WEEKDAY(DATE(Cal_Weeks!$B$1,1,1),3)))/7)+1),""),"")</f>
        <v/>
      </c>
      <c r="D53" t="n">
        <v>0</v>
      </c>
    </row>
    <row r="54">
      <c r="A54" t="inlineStr">
        <is>
          <t>CHEM-1490</t>
        </is>
      </c>
      <c r="B54" s="26" t="n">
        <v>46168</v>
      </c>
      <c r="C54">
        <f>IFERROR(IF(AND((INT(($B54-(DATE(Cal_Weeks!$B$1,1,1)-WEEKDAY(DATE(Cal_Weeks!$B$1,1,1),3)))/7)+1)&gt;=1,(INT(($B54-(DATE(Cal_Weeks!$B$1,1,1)-WEEKDAY(DATE(Cal_Weeks!$B$1,1,1),3)))/7)+1)&lt;=104),(INT(($B54-(DATE(Cal_Weeks!$B$1,1,1)-WEEKDAY(DATE(Cal_Weeks!$B$1,1,1),3)))/7)+1),""),"")</f>
        <v/>
      </c>
      <c r="D54" t="n">
        <v>750</v>
      </c>
    </row>
    <row r="55">
      <c r="A55" t="inlineStr">
        <is>
          <t>CHEM-1490</t>
        </is>
      </c>
      <c r="B55" s="26" t="n">
        <v>46174</v>
      </c>
      <c r="C55">
        <f>IFERROR(IF(AND((INT(($B55-(DATE(Cal_Weeks!$B$1,1,1)-WEEKDAY(DATE(Cal_Weeks!$B$1,1,1),3)))/7)+1)&gt;=1,(INT(($B55-(DATE(Cal_Weeks!$B$1,1,1)-WEEKDAY(DATE(Cal_Weeks!$B$1,1,1),3)))/7)+1)&lt;=104),(INT(($B55-(DATE(Cal_Weeks!$B$1,1,1)-WEEKDAY(DATE(Cal_Weeks!$B$1,1,1),3)))/7)+1),""),"")</f>
        <v/>
      </c>
      <c r="D55" t="n">
        <v>650</v>
      </c>
    </row>
    <row r="56">
      <c r="A56" t="inlineStr">
        <is>
          <t>CHEM-1500</t>
        </is>
      </c>
      <c r="B56" s="26" t="n">
        <v>46168</v>
      </c>
      <c r="C56">
        <f>IFERROR(IF(AND((INT(($B56-(DATE(Cal_Weeks!$B$1,1,1)-WEEKDAY(DATE(Cal_Weeks!$B$1,1,1),3)))/7)+1)&gt;=1,(INT(($B56-(DATE(Cal_Weeks!$B$1,1,1)-WEEKDAY(DATE(Cal_Weeks!$B$1,1,1),3)))/7)+1)&lt;=104),(INT(($B56-(DATE(Cal_Weeks!$B$1,1,1)-WEEKDAY(DATE(Cal_Weeks!$B$1,1,1),3)))/7)+1),""),"")</f>
        <v/>
      </c>
      <c r="D56" t="n">
        <v>17.679</v>
      </c>
    </row>
    <row r="57">
      <c r="A57" t="inlineStr">
        <is>
          <t>CHEM-1500</t>
        </is>
      </c>
      <c r="B57" s="26" t="n">
        <v>46174</v>
      </c>
      <c r="C57">
        <f>IFERROR(IF(AND((INT(($B57-(DATE(Cal_Weeks!$B$1,1,1)-WEEKDAY(DATE(Cal_Weeks!$B$1,1,1),3)))/7)+1)&gt;=1,(INT(($B57-(DATE(Cal_Weeks!$B$1,1,1)-WEEKDAY(DATE(Cal_Weeks!$B$1,1,1),3)))/7)+1)&lt;=104),(INT(($B57-(DATE(Cal_Weeks!$B$1,1,1)-WEEKDAY(DATE(Cal_Weeks!$B$1,1,1),3)))/7)+1),""),"")</f>
        <v/>
      </c>
      <c r="D57" t="n">
        <v>17.679</v>
      </c>
    </row>
    <row r="58">
      <c r="A58" t="inlineStr">
        <is>
          <t>CHEM-1510</t>
        </is>
      </c>
      <c r="B58" s="26" t="n">
        <v>46168</v>
      </c>
      <c r="C58">
        <f>IFERROR(IF(AND((INT(($B58-(DATE(Cal_Weeks!$B$1,1,1)-WEEKDAY(DATE(Cal_Weeks!$B$1,1,1),3)))/7)+1)&gt;=1,(INT(($B58-(DATE(Cal_Weeks!$B$1,1,1)-WEEKDAY(DATE(Cal_Weeks!$B$1,1,1),3)))/7)+1)&lt;=104),(INT(($B58-(DATE(Cal_Weeks!$B$1,1,1)-WEEKDAY(DATE(Cal_Weeks!$B$1,1,1),3)))/7)+1),""),"")</f>
        <v/>
      </c>
      <c r="D58" t="n">
        <v>94</v>
      </c>
    </row>
    <row r="59">
      <c r="A59" t="inlineStr">
        <is>
          <t>CHEM-1510</t>
        </is>
      </c>
      <c r="B59" s="26" t="n">
        <v>46174</v>
      </c>
      <c r="C59">
        <f>IFERROR(IF(AND((INT(($B59-(DATE(Cal_Weeks!$B$1,1,1)-WEEKDAY(DATE(Cal_Weeks!$B$1,1,1),3)))/7)+1)&gt;=1,(INT(($B59-(DATE(Cal_Weeks!$B$1,1,1)-WEEKDAY(DATE(Cal_Weeks!$B$1,1,1),3)))/7)+1)&lt;=104),(INT(($B59-(DATE(Cal_Weeks!$B$1,1,1)-WEEKDAY(DATE(Cal_Weeks!$B$1,1,1),3)))/7)+1),""),"")</f>
        <v/>
      </c>
      <c r="D59" t="n">
        <v>88</v>
      </c>
    </row>
    <row r="60">
      <c r="A60" t="inlineStr">
        <is>
          <t>CHEM-1520</t>
        </is>
      </c>
      <c r="B60" s="26" t="n">
        <v>46168</v>
      </c>
      <c r="C60">
        <f>IFERROR(IF(AND((INT(($B60-(DATE(Cal_Weeks!$B$1,1,1)-WEEKDAY(DATE(Cal_Weeks!$B$1,1,1),3)))/7)+1)&gt;=1,(INT(($B60-(DATE(Cal_Weeks!$B$1,1,1)-WEEKDAY(DATE(Cal_Weeks!$B$1,1,1),3)))/7)+1)&lt;=104),(INT(($B60-(DATE(Cal_Weeks!$B$1,1,1)-WEEKDAY(DATE(Cal_Weeks!$B$1,1,1),3)))/7)+1),""),"")</f>
        <v/>
      </c>
      <c r="D60" t="n">
        <v>2200</v>
      </c>
    </row>
    <row r="61">
      <c r="A61" t="inlineStr">
        <is>
          <t>CHEM-1520</t>
        </is>
      </c>
      <c r="B61" s="26" t="n">
        <v>46174</v>
      </c>
      <c r="C61">
        <f>IFERROR(IF(AND((INT(($B61-(DATE(Cal_Weeks!$B$1,1,1)-WEEKDAY(DATE(Cal_Weeks!$B$1,1,1),3)))/7)+1)&gt;=1,(INT(($B61-(DATE(Cal_Weeks!$B$1,1,1)-WEEKDAY(DATE(Cal_Weeks!$B$1,1,1),3)))/7)+1)&lt;=104),(INT(($B61-(DATE(Cal_Weeks!$B$1,1,1)-WEEKDAY(DATE(Cal_Weeks!$B$1,1,1),3)))/7)+1),""),"")</f>
        <v/>
      </c>
      <c r="D61" t="n">
        <v>1550</v>
      </c>
    </row>
    <row r="62">
      <c r="A62" t="inlineStr">
        <is>
          <t>CHEM-1530</t>
        </is>
      </c>
      <c r="B62" s="26" t="n">
        <v>46168</v>
      </c>
      <c r="C62">
        <f>IFERROR(IF(AND((INT(($B62-(DATE(Cal_Weeks!$B$1,1,1)-WEEKDAY(DATE(Cal_Weeks!$B$1,1,1),3)))/7)+1)&gt;=1,(INT(($B62-(DATE(Cal_Weeks!$B$1,1,1)-WEEKDAY(DATE(Cal_Weeks!$B$1,1,1),3)))/7)+1)&lt;=104),(INT(($B62-(DATE(Cal_Weeks!$B$1,1,1)-WEEKDAY(DATE(Cal_Weeks!$B$1,1,1),3)))/7)+1),""),"")</f>
        <v/>
      </c>
      <c r="D62" t="n">
        <v>2600</v>
      </c>
    </row>
    <row r="63">
      <c r="A63" t="inlineStr">
        <is>
          <t>CHEM-1530</t>
        </is>
      </c>
      <c r="B63" s="26" t="n">
        <v>46174</v>
      </c>
      <c r="C63">
        <f>IFERROR(IF(AND((INT(($B63-(DATE(Cal_Weeks!$B$1,1,1)-WEEKDAY(DATE(Cal_Weeks!$B$1,1,1),3)))/7)+1)&gt;=1,(INT(($B63-(DATE(Cal_Weeks!$B$1,1,1)-WEEKDAY(DATE(Cal_Weeks!$B$1,1,1),3)))/7)+1)&lt;=104),(INT(($B63-(DATE(Cal_Weeks!$B$1,1,1)-WEEKDAY(DATE(Cal_Weeks!$B$1,1,1),3)))/7)+1),""),"")</f>
        <v/>
      </c>
      <c r="D63" t="n">
        <v>3000</v>
      </c>
    </row>
    <row r="64">
      <c r="A64" t="inlineStr">
        <is>
          <t>CHEM-1540</t>
        </is>
      </c>
      <c r="B64" s="26" t="n">
        <v>46168</v>
      </c>
      <c r="C64">
        <f>IFERROR(IF(AND((INT(($B64-(DATE(Cal_Weeks!$B$1,1,1)-WEEKDAY(DATE(Cal_Weeks!$B$1,1,1),3)))/7)+1)&gt;=1,(INT(($B64-(DATE(Cal_Weeks!$B$1,1,1)-WEEKDAY(DATE(Cal_Weeks!$B$1,1,1),3)))/7)+1)&lt;=104),(INT(($B64-(DATE(Cal_Weeks!$B$1,1,1)-WEEKDAY(DATE(Cal_Weeks!$B$1,1,1),3)))/7)+1),""),"")</f>
        <v/>
      </c>
      <c r="D64" t="n">
        <v>2300</v>
      </c>
    </row>
    <row r="65">
      <c r="A65" t="inlineStr">
        <is>
          <t>CHEM-1540</t>
        </is>
      </c>
      <c r="B65" s="26" t="n">
        <v>46174</v>
      </c>
      <c r="C65">
        <f>IFERROR(IF(AND((INT(($B65-(DATE(Cal_Weeks!$B$1,1,1)-WEEKDAY(DATE(Cal_Weeks!$B$1,1,1),3)))/7)+1)&gt;=1,(INT(($B65-(DATE(Cal_Weeks!$B$1,1,1)-WEEKDAY(DATE(Cal_Weeks!$B$1,1,1),3)))/7)+1)&lt;=104),(INT(($B65-(DATE(Cal_Weeks!$B$1,1,1)-WEEKDAY(DATE(Cal_Weeks!$B$1,1,1),3)))/7)+1),""),"")</f>
        <v/>
      </c>
      <c r="D65" t="n">
        <v>2800</v>
      </c>
    </row>
    <row r="66">
      <c r="A66" t="inlineStr">
        <is>
          <t>CHEM-1550</t>
        </is>
      </c>
      <c r="B66" s="26" t="n">
        <v>46168</v>
      </c>
      <c r="C66">
        <f>IFERROR(IF(AND((INT(($B66-(DATE(Cal_Weeks!$B$1,1,1)-WEEKDAY(DATE(Cal_Weeks!$B$1,1,1),3)))/7)+1)&gt;=1,(INT(($B66-(DATE(Cal_Weeks!$B$1,1,1)-WEEKDAY(DATE(Cal_Weeks!$B$1,1,1),3)))/7)+1)&lt;=104),(INT(($B66-(DATE(Cal_Weeks!$B$1,1,1)-WEEKDAY(DATE(Cal_Weeks!$B$1,1,1),3)))/7)+1),""),"")</f>
        <v/>
      </c>
      <c r="D66" t="n">
        <v>0</v>
      </c>
    </row>
    <row r="67">
      <c r="A67" t="inlineStr">
        <is>
          <t>CHEM-1550</t>
        </is>
      </c>
      <c r="B67" s="26" t="n">
        <v>46174</v>
      </c>
      <c r="C67">
        <f>IFERROR(IF(AND((INT(($B67-(DATE(Cal_Weeks!$B$1,1,1)-WEEKDAY(DATE(Cal_Weeks!$B$1,1,1),3)))/7)+1)&gt;=1,(INT(($B67-(DATE(Cal_Weeks!$B$1,1,1)-WEEKDAY(DATE(Cal_Weeks!$B$1,1,1),3)))/7)+1)&lt;=104),(INT(($B67-(DATE(Cal_Weeks!$B$1,1,1)-WEEKDAY(DATE(Cal_Weeks!$B$1,1,1),3)))/7)+1),""),"")</f>
        <v/>
      </c>
      <c r="D67" t="n">
        <v>0</v>
      </c>
    </row>
    <row r="68">
      <c r="A68" t="inlineStr">
        <is>
          <t>CHEM-1560</t>
        </is>
      </c>
      <c r="B68" s="26" t="n">
        <v>46168</v>
      </c>
      <c r="C68">
        <f>IFERROR(IF(AND((INT(($B68-(DATE(Cal_Weeks!$B$1,1,1)-WEEKDAY(DATE(Cal_Weeks!$B$1,1,1),3)))/7)+1)&gt;=1,(INT(($B68-(DATE(Cal_Weeks!$B$1,1,1)-WEEKDAY(DATE(Cal_Weeks!$B$1,1,1),3)))/7)+1)&lt;=104),(INT(($B68-(DATE(Cal_Weeks!$B$1,1,1)-WEEKDAY(DATE(Cal_Weeks!$B$1,1,1),3)))/7)+1),""),"")</f>
        <v/>
      </c>
      <c r="D68" t="n">
        <v>7</v>
      </c>
    </row>
    <row r="69">
      <c r="A69" t="inlineStr">
        <is>
          <t>CHEM-1560</t>
        </is>
      </c>
      <c r="B69" s="26" t="n">
        <v>46174</v>
      </c>
      <c r="C69">
        <f>IFERROR(IF(AND((INT(($B69-(DATE(Cal_Weeks!$B$1,1,1)-WEEKDAY(DATE(Cal_Weeks!$B$1,1,1),3)))/7)+1)&gt;=1,(INT(($B69-(DATE(Cal_Weeks!$B$1,1,1)-WEEKDAY(DATE(Cal_Weeks!$B$1,1,1),3)))/7)+1)&lt;=104),(INT(($B69-(DATE(Cal_Weeks!$B$1,1,1)-WEEKDAY(DATE(Cal_Weeks!$B$1,1,1),3)))/7)+1),""),"")</f>
        <v/>
      </c>
      <c r="D69" t="n">
        <v>7</v>
      </c>
    </row>
    <row r="70">
      <c r="A70" t="inlineStr">
        <is>
          <t>CHEM-1570</t>
        </is>
      </c>
      <c r="B70" s="26" t="n">
        <v>46168</v>
      </c>
      <c r="C70">
        <f>IFERROR(IF(AND((INT(($B70-(DATE(Cal_Weeks!$B$1,1,1)-WEEKDAY(DATE(Cal_Weeks!$B$1,1,1),3)))/7)+1)&gt;=1,(INT(($B70-(DATE(Cal_Weeks!$B$1,1,1)-WEEKDAY(DATE(Cal_Weeks!$B$1,1,1),3)))/7)+1)&lt;=104),(INT(($B70-(DATE(Cal_Weeks!$B$1,1,1)-WEEKDAY(DATE(Cal_Weeks!$B$1,1,1),3)))/7)+1),""),"")</f>
        <v/>
      </c>
      <c r="D70" t="n">
        <v>72</v>
      </c>
    </row>
    <row r="71">
      <c r="A71" t="inlineStr">
        <is>
          <t>CHEM-1570</t>
        </is>
      </c>
      <c r="B71" s="26" t="n">
        <v>46174</v>
      </c>
      <c r="C71">
        <f>IFERROR(IF(AND((INT(($B71-(DATE(Cal_Weeks!$B$1,1,1)-WEEKDAY(DATE(Cal_Weeks!$B$1,1,1),3)))/7)+1)&gt;=1,(INT(($B71-(DATE(Cal_Weeks!$B$1,1,1)-WEEKDAY(DATE(Cal_Weeks!$B$1,1,1),3)))/7)+1)&lt;=104),(INT(($B71-(DATE(Cal_Weeks!$B$1,1,1)-WEEKDAY(DATE(Cal_Weeks!$B$1,1,1),3)))/7)+1),""),"")</f>
        <v/>
      </c>
      <c r="D71" t="n">
        <v>86</v>
      </c>
    </row>
    <row r="72">
      <c r="A72" t="inlineStr">
        <is>
          <t>CHEM-1580</t>
        </is>
      </c>
      <c r="B72" s="26" t="n">
        <v>46168</v>
      </c>
      <c r="C72">
        <f>IFERROR(IF(AND((INT(($B72-(DATE(Cal_Weeks!$B$1,1,1)-WEEKDAY(DATE(Cal_Weeks!$B$1,1,1),3)))/7)+1)&gt;=1,(INT(($B72-(DATE(Cal_Weeks!$B$1,1,1)-WEEKDAY(DATE(Cal_Weeks!$B$1,1,1),3)))/7)+1)&lt;=104),(INT(($B72-(DATE(Cal_Weeks!$B$1,1,1)-WEEKDAY(DATE(Cal_Weeks!$B$1,1,1),3)))/7)+1),""),"")</f>
        <v/>
      </c>
      <c r="D72" t="n">
        <v>240</v>
      </c>
    </row>
    <row r="73">
      <c r="A73" t="inlineStr">
        <is>
          <t>CHEM-1580</t>
        </is>
      </c>
      <c r="B73" s="26" t="n">
        <v>46174</v>
      </c>
      <c r="C73">
        <f>IFERROR(IF(AND((INT(($B73-(DATE(Cal_Weeks!$B$1,1,1)-WEEKDAY(DATE(Cal_Weeks!$B$1,1,1),3)))/7)+1)&gt;=1,(INT(($B73-(DATE(Cal_Weeks!$B$1,1,1)-WEEKDAY(DATE(Cal_Weeks!$B$1,1,1),3)))/7)+1)&lt;=104),(INT(($B73-(DATE(Cal_Weeks!$B$1,1,1)-WEEKDAY(DATE(Cal_Weeks!$B$1,1,1),3)))/7)+1),""),"")</f>
        <v/>
      </c>
      <c r="D73" t="n">
        <v>240</v>
      </c>
    </row>
    <row r="74">
      <c r="A74" t="inlineStr">
        <is>
          <t>CHEM-1600</t>
        </is>
      </c>
      <c r="B74" s="26" t="n">
        <v>46168</v>
      </c>
      <c r="C74">
        <f>IFERROR(IF(AND((INT(($B74-(DATE(Cal_Weeks!$B$1,1,1)-WEEKDAY(DATE(Cal_Weeks!$B$1,1,1),3)))/7)+1)&gt;=1,(INT(($B74-(DATE(Cal_Weeks!$B$1,1,1)-WEEKDAY(DATE(Cal_Weeks!$B$1,1,1),3)))/7)+1)&lt;=104),(INT(($B74-(DATE(Cal_Weeks!$B$1,1,1)-WEEKDAY(DATE(Cal_Weeks!$B$1,1,1),3)))/7)+1),""),"")</f>
        <v/>
      </c>
      <c r="D74" t="n">
        <v>150</v>
      </c>
    </row>
    <row r="75">
      <c r="A75" t="inlineStr">
        <is>
          <t>CHEM-1600</t>
        </is>
      </c>
      <c r="B75" s="26" t="n">
        <v>46174</v>
      </c>
      <c r="C75">
        <f>IFERROR(IF(AND((INT(($B75-(DATE(Cal_Weeks!$B$1,1,1)-WEEKDAY(DATE(Cal_Weeks!$B$1,1,1),3)))/7)+1)&gt;=1,(INT(($B75-(DATE(Cal_Weeks!$B$1,1,1)-WEEKDAY(DATE(Cal_Weeks!$B$1,1,1),3)))/7)+1)&lt;=104),(INT(($B75-(DATE(Cal_Weeks!$B$1,1,1)-WEEKDAY(DATE(Cal_Weeks!$B$1,1,1),3)))/7)+1),""),"")</f>
        <v/>
      </c>
      <c r="D75" t="n">
        <v>450</v>
      </c>
    </row>
    <row r="76">
      <c r="A76" t="inlineStr">
        <is>
          <t>CHEM-1610</t>
        </is>
      </c>
      <c r="B76" s="26" t="n">
        <v>46168</v>
      </c>
      <c r="C76">
        <f>IFERROR(IF(AND((INT(($B76-(DATE(Cal_Weeks!$B$1,1,1)-WEEKDAY(DATE(Cal_Weeks!$B$1,1,1),3)))/7)+1)&gt;=1,(INT(($B76-(DATE(Cal_Weeks!$B$1,1,1)-WEEKDAY(DATE(Cal_Weeks!$B$1,1,1),3)))/7)+1)&lt;=104),(INT(($B76-(DATE(Cal_Weeks!$B$1,1,1)-WEEKDAY(DATE(Cal_Weeks!$B$1,1,1),3)))/7)+1),""),"")</f>
        <v/>
      </c>
      <c r="D76" t="n">
        <v>850</v>
      </c>
    </row>
    <row r="77">
      <c r="A77" t="inlineStr">
        <is>
          <t>CHEM-1610</t>
        </is>
      </c>
      <c r="B77" s="26" t="n">
        <v>46174</v>
      </c>
      <c r="C77">
        <f>IFERROR(IF(AND((INT(($B77-(DATE(Cal_Weeks!$B$1,1,1)-WEEKDAY(DATE(Cal_Weeks!$B$1,1,1),3)))/7)+1)&gt;=1,(INT(($B77-(DATE(Cal_Weeks!$B$1,1,1)-WEEKDAY(DATE(Cal_Weeks!$B$1,1,1),3)))/7)+1)&lt;=104),(INT(($B77-(DATE(Cal_Weeks!$B$1,1,1)-WEEKDAY(DATE(Cal_Weeks!$B$1,1,1),3)))/7)+1),""),"")</f>
        <v/>
      </c>
      <c r="D77" t="n">
        <v>850</v>
      </c>
    </row>
    <row r="78">
      <c r="A78" t="inlineStr">
        <is>
          <t>CHEM-1620</t>
        </is>
      </c>
      <c r="B78" s="26" t="n">
        <v>46168</v>
      </c>
      <c r="C78">
        <f>IFERROR(IF(AND((INT(($B78-(DATE(Cal_Weeks!$B$1,1,1)-WEEKDAY(DATE(Cal_Weeks!$B$1,1,1),3)))/7)+1)&gt;=1,(INT(($B78-(DATE(Cal_Weeks!$B$1,1,1)-WEEKDAY(DATE(Cal_Weeks!$B$1,1,1),3)))/7)+1)&lt;=104),(INT(($B78-(DATE(Cal_Weeks!$B$1,1,1)-WEEKDAY(DATE(Cal_Weeks!$B$1,1,1),3)))/7)+1),""),"")</f>
        <v/>
      </c>
      <c r="D78" t="n">
        <v>65</v>
      </c>
    </row>
    <row r="79">
      <c r="A79" t="inlineStr">
        <is>
          <t>CHEM-1620</t>
        </is>
      </c>
      <c r="B79" s="26" t="n">
        <v>46174</v>
      </c>
      <c r="C79">
        <f>IFERROR(IF(AND((INT(($B79-(DATE(Cal_Weeks!$B$1,1,1)-WEEKDAY(DATE(Cal_Weeks!$B$1,1,1),3)))/7)+1)&gt;=1,(INT(($B79-(DATE(Cal_Weeks!$B$1,1,1)-WEEKDAY(DATE(Cal_Weeks!$B$1,1,1),3)))/7)+1)&lt;=104),(INT(($B79-(DATE(Cal_Weeks!$B$1,1,1)-WEEKDAY(DATE(Cal_Weeks!$B$1,1,1),3)))/7)+1),""),"")</f>
        <v/>
      </c>
      <c r="D79" t="n">
        <v>60</v>
      </c>
    </row>
    <row r="80">
      <c r="A80" t="inlineStr">
        <is>
          <t>CHEM-1650</t>
        </is>
      </c>
      <c r="B80" s="26" t="n">
        <v>46168</v>
      </c>
      <c r="C80">
        <f>IFERROR(IF(AND((INT(($B80-(DATE(Cal_Weeks!$B$1,1,1)-WEEKDAY(DATE(Cal_Weeks!$B$1,1,1),3)))/7)+1)&gt;=1,(INT(($B80-(DATE(Cal_Weeks!$B$1,1,1)-WEEKDAY(DATE(Cal_Weeks!$B$1,1,1),3)))/7)+1)&lt;=104),(INT(($B80-(DATE(Cal_Weeks!$B$1,1,1)-WEEKDAY(DATE(Cal_Weeks!$B$1,1,1),3)))/7)+1),""),"")</f>
        <v/>
      </c>
      <c r="D80" t="n">
        <v>16.43</v>
      </c>
    </row>
    <row r="81">
      <c r="A81" t="inlineStr">
        <is>
          <t>CHEM-1650</t>
        </is>
      </c>
      <c r="B81" s="26" t="n">
        <v>46174</v>
      </c>
      <c r="C81">
        <f>IFERROR(IF(AND((INT(($B81-(DATE(Cal_Weeks!$B$1,1,1)-WEEKDAY(DATE(Cal_Weeks!$B$1,1,1),3)))/7)+1)&gt;=1,(INT(($B81-(DATE(Cal_Weeks!$B$1,1,1)-WEEKDAY(DATE(Cal_Weeks!$B$1,1,1),3)))/7)+1)&lt;=104),(INT(($B81-(DATE(Cal_Weeks!$B$1,1,1)-WEEKDAY(DATE(Cal_Weeks!$B$1,1,1),3)))/7)+1),""),"")</f>
        <v/>
      </c>
      <c r="D81" t="n">
        <v>16.43</v>
      </c>
    </row>
    <row r="82">
      <c r="A82" t="inlineStr">
        <is>
          <t>CHEM-1660</t>
        </is>
      </c>
      <c r="B82" s="26" t="n">
        <v>46168</v>
      </c>
      <c r="C82">
        <f>IFERROR(IF(AND((INT(($B82-(DATE(Cal_Weeks!$B$1,1,1)-WEEKDAY(DATE(Cal_Weeks!$B$1,1,1),3)))/7)+1)&gt;=1,(INT(($B82-(DATE(Cal_Weeks!$B$1,1,1)-WEEKDAY(DATE(Cal_Weeks!$B$1,1,1),3)))/7)+1)&lt;=104),(INT(($B82-(DATE(Cal_Weeks!$B$1,1,1)-WEEKDAY(DATE(Cal_Weeks!$B$1,1,1),3)))/7)+1),""),"")</f>
        <v/>
      </c>
      <c r="D82" t="n">
        <v>258</v>
      </c>
    </row>
    <row r="83">
      <c r="A83" t="inlineStr">
        <is>
          <t>CHEM-1660</t>
        </is>
      </c>
      <c r="B83" s="26" t="n">
        <v>46174</v>
      </c>
      <c r="C83">
        <f>IFERROR(IF(AND((INT(($B83-(DATE(Cal_Weeks!$B$1,1,1)-WEEKDAY(DATE(Cal_Weeks!$B$1,1,1),3)))/7)+1)&gt;=1,(INT(($B83-(DATE(Cal_Weeks!$B$1,1,1)-WEEKDAY(DATE(Cal_Weeks!$B$1,1,1),3)))/7)+1)&lt;=104),(INT(($B83-(DATE(Cal_Weeks!$B$1,1,1)-WEEKDAY(DATE(Cal_Weeks!$B$1,1,1),3)))/7)+1),""),"")</f>
        <v/>
      </c>
      <c r="D83" t="n">
        <v>265</v>
      </c>
    </row>
    <row r="84">
      <c r="A84" t="inlineStr">
        <is>
          <t>CHEM-1670</t>
        </is>
      </c>
      <c r="B84" s="26" t="n">
        <v>46168</v>
      </c>
      <c r="C84">
        <f>IFERROR(IF(AND((INT(($B84-(DATE(Cal_Weeks!$B$1,1,1)-WEEKDAY(DATE(Cal_Weeks!$B$1,1,1),3)))/7)+1)&gt;=1,(INT(($B84-(DATE(Cal_Weeks!$B$1,1,1)-WEEKDAY(DATE(Cal_Weeks!$B$1,1,1),3)))/7)+1)&lt;=104),(INT(($B84-(DATE(Cal_Weeks!$B$1,1,1)-WEEKDAY(DATE(Cal_Weeks!$B$1,1,1),3)))/7)+1),""),"")</f>
        <v/>
      </c>
      <c r="D84" t="n">
        <v>200</v>
      </c>
    </row>
    <row r="85">
      <c r="A85" t="inlineStr">
        <is>
          <t>CHEM-1670</t>
        </is>
      </c>
      <c r="B85" s="26" t="n">
        <v>46174</v>
      </c>
      <c r="C85">
        <f>IFERROR(IF(AND((INT(($B85-(DATE(Cal_Weeks!$B$1,1,1)-WEEKDAY(DATE(Cal_Weeks!$B$1,1,1),3)))/7)+1)&gt;=1,(INT(($B85-(DATE(Cal_Weeks!$B$1,1,1)-WEEKDAY(DATE(Cal_Weeks!$B$1,1,1),3)))/7)+1)&lt;=104),(INT(($B85-(DATE(Cal_Weeks!$B$1,1,1)-WEEKDAY(DATE(Cal_Weeks!$B$1,1,1),3)))/7)+1),""),"")</f>
        <v/>
      </c>
      <c r="D85" t="n">
        <v>340</v>
      </c>
    </row>
    <row r="86">
      <c r="A86" t="inlineStr">
        <is>
          <t>CHEM-1680</t>
        </is>
      </c>
      <c r="B86" s="26" t="n">
        <v>46168</v>
      </c>
      <c r="C86">
        <f>IFERROR(IF(AND((INT(($B86-(DATE(Cal_Weeks!$B$1,1,1)-WEEKDAY(DATE(Cal_Weeks!$B$1,1,1),3)))/7)+1)&gt;=1,(INT(($B86-(DATE(Cal_Weeks!$B$1,1,1)-WEEKDAY(DATE(Cal_Weeks!$B$1,1,1),3)))/7)+1)&lt;=104),(INT(($B86-(DATE(Cal_Weeks!$B$1,1,1)-WEEKDAY(DATE(Cal_Weeks!$B$1,1,1),3)))/7)+1),""),"")</f>
        <v/>
      </c>
      <c r="D86" t="n">
        <v>420</v>
      </c>
    </row>
    <row r="87">
      <c r="A87" t="inlineStr">
        <is>
          <t>CHEM-1680</t>
        </is>
      </c>
      <c r="B87" s="26" t="n">
        <v>46174</v>
      </c>
      <c r="C87">
        <f>IFERROR(IF(AND((INT(($B87-(DATE(Cal_Weeks!$B$1,1,1)-WEEKDAY(DATE(Cal_Weeks!$B$1,1,1),3)))/7)+1)&gt;=1,(INT(($B87-(DATE(Cal_Weeks!$B$1,1,1)-WEEKDAY(DATE(Cal_Weeks!$B$1,1,1),3)))/7)+1)&lt;=104),(INT(($B87-(DATE(Cal_Weeks!$B$1,1,1)-WEEKDAY(DATE(Cal_Weeks!$B$1,1,1),3)))/7)+1),""),"")</f>
        <v/>
      </c>
      <c r="D87" t="n">
        <v>250</v>
      </c>
    </row>
    <row r="88">
      <c r="A88" t="inlineStr">
        <is>
          <t>CHEM-1690</t>
        </is>
      </c>
      <c r="B88" s="26" t="n">
        <v>46168</v>
      </c>
      <c r="C88">
        <f>IFERROR(IF(AND((INT(($B88-(DATE(Cal_Weeks!$B$1,1,1)-WEEKDAY(DATE(Cal_Weeks!$B$1,1,1),3)))/7)+1)&gt;=1,(INT(($B88-(DATE(Cal_Weeks!$B$1,1,1)-WEEKDAY(DATE(Cal_Weeks!$B$1,1,1),3)))/7)+1)&lt;=104),(INT(($B88-(DATE(Cal_Weeks!$B$1,1,1)-WEEKDAY(DATE(Cal_Weeks!$B$1,1,1),3)))/7)+1),""),"")</f>
        <v/>
      </c>
      <c r="D88" t="n">
        <v>240</v>
      </c>
    </row>
    <row r="89">
      <c r="A89" t="inlineStr">
        <is>
          <t>CHEM-1690</t>
        </is>
      </c>
      <c r="B89" s="26" t="n">
        <v>46174</v>
      </c>
      <c r="C89">
        <f>IFERROR(IF(AND((INT(($B89-(DATE(Cal_Weeks!$B$1,1,1)-WEEKDAY(DATE(Cal_Weeks!$B$1,1,1),3)))/7)+1)&gt;=1,(INT(($B89-(DATE(Cal_Weeks!$B$1,1,1)-WEEKDAY(DATE(Cal_Weeks!$B$1,1,1),3)))/7)+1)&lt;=104),(INT(($B89-(DATE(Cal_Weeks!$B$1,1,1)-WEEKDAY(DATE(Cal_Weeks!$B$1,1,1),3)))/7)+1),""),"")</f>
        <v/>
      </c>
      <c r="D89" t="n">
        <v>140</v>
      </c>
    </row>
    <row r="90">
      <c r="A90" t="inlineStr">
        <is>
          <t>CHEM-1700</t>
        </is>
      </c>
      <c r="B90" s="26" t="n">
        <v>46168</v>
      </c>
      <c r="C90">
        <f>IFERROR(IF(AND((INT(($B90-(DATE(Cal_Weeks!$B$1,1,1)-WEEKDAY(DATE(Cal_Weeks!$B$1,1,1),3)))/7)+1)&gt;=1,(INT(($B90-(DATE(Cal_Weeks!$B$1,1,1)-WEEKDAY(DATE(Cal_Weeks!$B$1,1,1),3)))/7)+1)&lt;=104),(INT(($B90-(DATE(Cal_Weeks!$B$1,1,1)-WEEKDAY(DATE(Cal_Weeks!$B$1,1,1),3)))/7)+1),""),"")</f>
        <v/>
      </c>
      <c r="D90" t="n">
        <v>83</v>
      </c>
    </row>
    <row r="91">
      <c r="A91" t="inlineStr">
        <is>
          <t>CHEM-1700</t>
        </is>
      </c>
      <c r="B91" s="26" t="n">
        <v>46174</v>
      </c>
      <c r="C91">
        <f>IFERROR(IF(AND((INT(($B91-(DATE(Cal_Weeks!$B$1,1,1)-WEEKDAY(DATE(Cal_Weeks!$B$1,1,1),3)))/7)+1)&gt;=1,(INT(($B91-(DATE(Cal_Weeks!$B$1,1,1)-WEEKDAY(DATE(Cal_Weeks!$B$1,1,1),3)))/7)+1)&lt;=104),(INT(($B91-(DATE(Cal_Weeks!$B$1,1,1)-WEEKDAY(DATE(Cal_Weeks!$B$1,1,1),3)))/7)+1),""),"")</f>
        <v/>
      </c>
      <c r="D91" t="n">
        <v>58</v>
      </c>
    </row>
    <row r="92">
      <c r="A92" t="inlineStr">
        <is>
          <t>CHEM-1710</t>
        </is>
      </c>
      <c r="B92" s="26" t="n">
        <v>46168</v>
      </c>
      <c r="C92">
        <f>IFERROR(IF(AND((INT(($B92-(DATE(Cal_Weeks!$B$1,1,1)-WEEKDAY(DATE(Cal_Weeks!$B$1,1,1),3)))/7)+1)&gt;=1,(INT(($B92-(DATE(Cal_Weeks!$B$1,1,1)-WEEKDAY(DATE(Cal_Weeks!$B$1,1,1),3)))/7)+1)&lt;=104),(INT(($B92-(DATE(Cal_Weeks!$B$1,1,1)-WEEKDAY(DATE(Cal_Weeks!$B$1,1,1),3)))/7)+1),""),"")</f>
        <v/>
      </c>
      <c r="D92" t="n">
        <v>0</v>
      </c>
    </row>
    <row r="93">
      <c r="A93" t="inlineStr">
        <is>
          <t>CHEM-1710</t>
        </is>
      </c>
      <c r="B93" s="26" t="n">
        <v>46174</v>
      </c>
      <c r="C93">
        <f>IFERROR(IF(AND((INT(($B93-(DATE(Cal_Weeks!$B$1,1,1)-WEEKDAY(DATE(Cal_Weeks!$B$1,1,1),3)))/7)+1)&gt;=1,(INT(($B93-(DATE(Cal_Weeks!$B$1,1,1)-WEEKDAY(DATE(Cal_Weeks!$B$1,1,1),3)))/7)+1)&lt;=104),(INT(($B93-(DATE(Cal_Weeks!$B$1,1,1)-WEEKDAY(DATE(Cal_Weeks!$B$1,1,1),3)))/7)+1),""),"")</f>
        <v/>
      </c>
      <c r="D93" t="n">
        <v>0</v>
      </c>
    </row>
    <row r="94">
      <c r="A94" t="inlineStr">
        <is>
          <t>CHEM-1720</t>
        </is>
      </c>
      <c r="B94" s="26" t="n">
        <v>46168</v>
      </c>
      <c r="C94">
        <f>IFERROR(IF(AND((INT(($B94-(DATE(Cal_Weeks!$B$1,1,1)-WEEKDAY(DATE(Cal_Weeks!$B$1,1,1),3)))/7)+1)&gt;=1,(INT(($B94-(DATE(Cal_Weeks!$B$1,1,1)-WEEKDAY(DATE(Cal_Weeks!$B$1,1,1),3)))/7)+1)&lt;=104),(INT(($B94-(DATE(Cal_Weeks!$B$1,1,1)-WEEKDAY(DATE(Cal_Weeks!$B$1,1,1),3)))/7)+1),""),"")</f>
        <v/>
      </c>
      <c r="D94" t="n">
        <v>840</v>
      </c>
    </row>
    <row r="95">
      <c r="A95" t="inlineStr">
        <is>
          <t>CHEM-1720</t>
        </is>
      </c>
      <c r="B95" s="26" t="n">
        <v>46174</v>
      </c>
      <c r="C95">
        <f>IFERROR(IF(AND((INT(($B95-(DATE(Cal_Weeks!$B$1,1,1)-WEEKDAY(DATE(Cal_Weeks!$B$1,1,1),3)))/7)+1)&gt;=1,(INT(($B95-(DATE(Cal_Weeks!$B$1,1,1)-WEEKDAY(DATE(Cal_Weeks!$B$1,1,1),3)))/7)+1)&lt;=104),(INT(($B95-(DATE(Cal_Weeks!$B$1,1,1)-WEEKDAY(DATE(Cal_Weeks!$B$1,1,1),3)))/7)+1),""),"")</f>
        <v/>
      </c>
      <c r="D95" t="n">
        <v>960</v>
      </c>
    </row>
    <row r="96">
      <c r="A96" t="inlineStr">
        <is>
          <t>CHEM-1730</t>
        </is>
      </c>
      <c r="B96" s="26" t="n">
        <v>46168</v>
      </c>
      <c r="C96">
        <f>IFERROR(IF(AND((INT(($B96-(DATE(Cal_Weeks!$B$1,1,1)-WEEKDAY(DATE(Cal_Weeks!$B$1,1,1),3)))/7)+1)&gt;=1,(INT(($B96-(DATE(Cal_Weeks!$B$1,1,1)-WEEKDAY(DATE(Cal_Weeks!$B$1,1,1),3)))/7)+1)&lt;=104),(INT(($B96-(DATE(Cal_Weeks!$B$1,1,1)-WEEKDAY(DATE(Cal_Weeks!$B$1,1,1),3)))/7)+1),""),"")</f>
        <v/>
      </c>
      <c r="D96" t="n">
        <v>350</v>
      </c>
    </row>
    <row r="97">
      <c r="A97" t="inlineStr">
        <is>
          <t>CHEM-1730</t>
        </is>
      </c>
      <c r="B97" s="26" t="n">
        <v>46174</v>
      </c>
      <c r="C97">
        <f>IFERROR(IF(AND((INT(($B97-(DATE(Cal_Weeks!$B$1,1,1)-WEEKDAY(DATE(Cal_Weeks!$B$1,1,1),3)))/7)+1)&gt;=1,(INT(($B97-(DATE(Cal_Weeks!$B$1,1,1)-WEEKDAY(DATE(Cal_Weeks!$B$1,1,1),3)))/7)+1)&lt;=104),(INT(($B97-(DATE(Cal_Weeks!$B$1,1,1)-WEEKDAY(DATE(Cal_Weeks!$B$1,1,1),3)))/7)+1),""),"")</f>
        <v/>
      </c>
      <c r="D97" t="n">
        <v>350</v>
      </c>
    </row>
    <row r="98">
      <c r="A98" t="inlineStr">
        <is>
          <t>CHEM-1740</t>
        </is>
      </c>
      <c r="B98" s="26" t="n">
        <v>46168</v>
      </c>
      <c r="C98">
        <f>IFERROR(IF(AND((INT(($B98-(DATE(Cal_Weeks!$B$1,1,1)-WEEKDAY(DATE(Cal_Weeks!$B$1,1,1),3)))/7)+1)&gt;=1,(INT(($B98-(DATE(Cal_Weeks!$B$1,1,1)-WEEKDAY(DATE(Cal_Weeks!$B$1,1,1),3)))/7)+1)&lt;=104),(INT(($B98-(DATE(Cal_Weeks!$B$1,1,1)-WEEKDAY(DATE(Cal_Weeks!$B$1,1,1),3)))/7)+1),""),"")</f>
        <v/>
      </c>
      <c r="D98" t="n">
        <v>1000</v>
      </c>
    </row>
    <row r="99">
      <c r="A99" t="inlineStr">
        <is>
          <t>CHEM-1740</t>
        </is>
      </c>
      <c r="B99" s="26" t="n">
        <v>46174</v>
      </c>
      <c r="C99">
        <f>IFERROR(IF(AND((INT(($B99-(DATE(Cal_Weeks!$B$1,1,1)-WEEKDAY(DATE(Cal_Weeks!$B$1,1,1),3)))/7)+1)&gt;=1,(INT(($B99-(DATE(Cal_Weeks!$B$1,1,1)-WEEKDAY(DATE(Cal_Weeks!$B$1,1,1),3)))/7)+1)&lt;=104),(INT(($B99-(DATE(Cal_Weeks!$B$1,1,1)-WEEKDAY(DATE(Cal_Weeks!$B$1,1,1),3)))/7)+1),""),"")</f>
        <v/>
      </c>
      <c r="D99" t="n">
        <v>1000</v>
      </c>
    </row>
    <row r="100">
      <c r="A100" t="inlineStr">
        <is>
          <t>CHEM-1750</t>
        </is>
      </c>
      <c r="B100" s="26" t="n">
        <v>46168</v>
      </c>
      <c r="C100">
        <f>IFERROR(IF(AND((INT(($B100-(DATE(Cal_Weeks!$B$1,1,1)-WEEKDAY(DATE(Cal_Weeks!$B$1,1,1),3)))/7)+1)&gt;=1,(INT(($B100-(DATE(Cal_Weeks!$B$1,1,1)-WEEKDAY(DATE(Cal_Weeks!$B$1,1,1),3)))/7)+1)&lt;=104),(INT(($B100-(DATE(Cal_Weeks!$B$1,1,1)-WEEKDAY(DATE(Cal_Weeks!$B$1,1,1),3)))/7)+1),""),"")</f>
        <v/>
      </c>
      <c r="D100" t="n">
        <v>1510</v>
      </c>
    </row>
    <row r="101">
      <c r="A101" t="inlineStr">
        <is>
          <t>CHEM-1750</t>
        </is>
      </c>
      <c r="B101" s="26" t="n">
        <v>46174</v>
      </c>
      <c r="C101">
        <f>IFERROR(IF(AND((INT(($B101-(DATE(Cal_Weeks!$B$1,1,1)-WEEKDAY(DATE(Cal_Weeks!$B$1,1,1),3)))/7)+1)&gt;=1,(INT(($B101-(DATE(Cal_Weeks!$B$1,1,1)-WEEKDAY(DATE(Cal_Weeks!$B$1,1,1),3)))/7)+1)&lt;=104),(INT(($B101-(DATE(Cal_Weeks!$B$1,1,1)-WEEKDAY(DATE(Cal_Weeks!$B$1,1,1),3)))/7)+1),""),"")</f>
        <v/>
      </c>
      <c r="D101" t="n">
        <v>1500</v>
      </c>
    </row>
    <row r="102">
      <c r="A102" t="inlineStr">
        <is>
          <t>CHEM-1760</t>
        </is>
      </c>
      <c r="B102" s="26" t="n">
        <v>46168</v>
      </c>
      <c r="C102">
        <f>IFERROR(IF(AND((INT(($B102-(DATE(Cal_Weeks!$B$1,1,1)-WEEKDAY(DATE(Cal_Weeks!$B$1,1,1),3)))/7)+1)&gt;=1,(INT(($B102-(DATE(Cal_Weeks!$B$1,1,1)-WEEKDAY(DATE(Cal_Weeks!$B$1,1,1),3)))/7)+1)&lt;=104),(INT(($B102-(DATE(Cal_Weeks!$B$1,1,1)-WEEKDAY(DATE(Cal_Weeks!$B$1,1,1),3)))/7)+1),""),"")</f>
        <v/>
      </c>
      <c r="D102" t="n">
        <v>19.98</v>
      </c>
    </row>
    <row r="103">
      <c r="A103" t="inlineStr">
        <is>
          <t>CHEM-1760</t>
        </is>
      </c>
      <c r="B103" s="26" t="n">
        <v>46174</v>
      </c>
      <c r="C103">
        <f>IFERROR(IF(AND((INT(($B103-(DATE(Cal_Weeks!$B$1,1,1)-WEEKDAY(DATE(Cal_Weeks!$B$1,1,1),3)))/7)+1)&gt;=1,(INT(($B103-(DATE(Cal_Weeks!$B$1,1,1)-WEEKDAY(DATE(Cal_Weeks!$B$1,1,1),3)))/7)+1)&lt;=104),(INT(($B103-(DATE(Cal_Weeks!$B$1,1,1)-WEEKDAY(DATE(Cal_Weeks!$B$1,1,1),3)))/7)+1),""),"")</f>
        <v/>
      </c>
      <c r="D103" t="n">
        <v>17.93</v>
      </c>
    </row>
    <row r="104">
      <c r="A104" t="inlineStr">
        <is>
          <t>CHEM-1770</t>
        </is>
      </c>
      <c r="B104" s="26" t="n">
        <v>46168</v>
      </c>
      <c r="C104">
        <f>IFERROR(IF(AND((INT(($B104-(DATE(Cal_Weeks!$B$1,1,1)-WEEKDAY(DATE(Cal_Weeks!$B$1,1,1),3)))/7)+1)&gt;=1,(INT(($B104-(DATE(Cal_Weeks!$B$1,1,1)-WEEKDAY(DATE(Cal_Weeks!$B$1,1,1),3)))/7)+1)&lt;=104),(INT(($B104-(DATE(Cal_Weeks!$B$1,1,1)-WEEKDAY(DATE(Cal_Weeks!$B$1,1,1),3)))/7)+1),""),"")</f>
        <v/>
      </c>
      <c r="D104" t="n">
        <v>15</v>
      </c>
    </row>
    <row r="105">
      <c r="A105" t="inlineStr">
        <is>
          <t>CHEM-1770</t>
        </is>
      </c>
      <c r="B105" s="26" t="n">
        <v>46174</v>
      </c>
      <c r="C105">
        <f>IFERROR(IF(AND((INT(($B105-(DATE(Cal_Weeks!$B$1,1,1)-WEEKDAY(DATE(Cal_Weeks!$B$1,1,1),3)))/7)+1)&gt;=1,(INT(($B105-(DATE(Cal_Weeks!$B$1,1,1)-WEEKDAY(DATE(Cal_Weeks!$B$1,1,1),3)))/7)+1)&lt;=104),(INT(($B105-(DATE(Cal_Weeks!$B$1,1,1)-WEEKDAY(DATE(Cal_Weeks!$B$1,1,1),3)))/7)+1),""),"")</f>
        <v/>
      </c>
      <c r="D105" t="n">
        <v>15</v>
      </c>
    </row>
    <row r="106">
      <c r="A106" t="inlineStr">
        <is>
          <t>CHEM-1780</t>
        </is>
      </c>
      <c r="B106" s="26" t="n">
        <v>46168</v>
      </c>
      <c r="C106">
        <f>IFERROR(IF(AND((INT(($B106-(DATE(Cal_Weeks!$B$1,1,1)-WEEKDAY(DATE(Cal_Weeks!$B$1,1,1),3)))/7)+1)&gt;=1,(INT(($B106-(DATE(Cal_Weeks!$B$1,1,1)-WEEKDAY(DATE(Cal_Weeks!$B$1,1,1),3)))/7)+1)&lt;=104),(INT(($B106-(DATE(Cal_Weeks!$B$1,1,1)-WEEKDAY(DATE(Cal_Weeks!$B$1,1,1),3)))/7)+1),""),"")</f>
        <v/>
      </c>
      <c r="D106" t="n">
        <v>4</v>
      </c>
    </row>
    <row r="107">
      <c r="A107" t="inlineStr">
        <is>
          <t>CHEM-1780</t>
        </is>
      </c>
      <c r="B107" s="26" t="n">
        <v>46174</v>
      </c>
      <c r="C107">
        <f>IFERROR(IF(AND((INT(($B107-(DATE(Cal_Weeks!$B$1,1,1)-WEEKDAY(DATE(Cal_Weeks!$B$1,1,1),3)))/7)+1)&gt;=1,(INT(($B107-(DATE(Cal_Weeks!$B$1,1,1)-WEEKDAY(DATE(Cal_Weeks!$B$1,1,1),3)))/7)+1)&lt;=104),(INT(($B107-(DATE(Cal_Weeks!$B$1,1,1)-WEEKDAY(DATE(Cal_Weeks!$B$1,1,1),3)))/7)+1),""),"")</f>
        <v/>
      </c>
      <c r="D107" t="n">
        <v>4</v>
      </c>
    </row>
    <row r="108">
      <c r="A108" t="inlineStr">
        <is>
          <t>CHEM-1790</t>
        </is>
      </c>
      <c r="B108" s="26" t="n">
        <v>46168</v>
      </c>
      <c r="C108">
        <f>IFERROR(IF(AND((INT(($B108-(DATE(Cal_Weeks!$B$1,1,1)-WEEKDAY(DATE(Cal_Weeks!$B$1,1,1),3)))/7)+1)&gt;=1,(INT(($B108-(DATE(Cal_Weeks!$B$1,1,1)-WEEKDAY(DATE(Cal_Weeks!$B$1,1,1),3)))/7)+1)&lt;=104),(INT(($B108-(DATE(Cal_Weeks!$B$1,1,1)-WEEKDAY(DATE(Cal_Weeks!$B$1,1,1),3)))/7)+1),""),"")</f>
        <v/>
      </c>
      <c r="D108" t="n">
        <v>1950</v>
      </c>
    </row>
    <row r="109">
      <c r="A109" t="inlineStr">
        <is>
          <t>CHEM-1790</t>
        </is>
      </c>
      <c r="B109" s="26" t="n">
        <v>46174</v>
      </c>
      <c r="C109">
        <f>IFERROR(IF(AND((INT(($B109-(DATE(Cal_Weeks!$B$1,1,1)-WEEKDAY(DATE(Cal_Weeks!$B$1,1,1),3)))/7)+1)&gt;=1,(INT(($B109-(DATE(Cal_Weeks!$B$1,1,1)-WEEKDAY(DATE(Cal_Weeks!$B$1,1,1),3)))/7)+1)&lt;=104),(INT(($B109-(DATE(Cal_Weeks!$B$1,1,1)-WEEKDAY(DATE(Cal_Weeks!$B$1,1,1),3)))/7)+1),""),"")</f>
        <v/>
      </c>
      <c r="D109" t="n">
        <v>1750</v>
      </c>
    </row>
    <row r="110">
      <c r="A110" t="inlineStr">
        <is>
          <t>CHEM-1800</t>
        </is>
      </c>
      <c r="B110" s="26" t="n">
        <v>46168</v>
      </c>
      <c r="C110">
        <f>IFERROR(IF(AND((INT(($B110-(DATE(Cal_Weeks!$B$1,1,1)-WEEKDAY(DATE(Cal_Weeks!$B$1,1,1),3)))/7)+1)&gt;=1,(INT(($B110-(DATE(Cal_Weeks!$B$1,1,1)-WEEKDAY(DATE(Cal_Weeks!$B$1,1,1),3)))/7)+1)&lt;=104),(INT(($B110-(DATE(Cal_Weeks!$B$1,1,1)-WEEKDAY(DATE(Cal_Weeks!$B$1,1,1),3)))/7)+1),""),"")</f>
        <v/>
      </c>
      <c r="D110" t="n">
        <v>3900</v>
      </c>
    </row>
    <row r="111">
      <c r="A111" t="inlineStr">
        <is>
          <t>CHEM-1800</t>
        </is>
      </c>
      <c r="B111" s="26" t="n">
        <v>46174</v>
      </c>
      <c r="C111">
        <f>IFERROR(IF(AND((INT(($B111-(DATE(Cal_Weeks!$B$1,1,1)-WEEKDAY(DATE(Cal_Weeks!$B$1,1,1),3)))/7)+1)&gt;=1,(INT(($B111-(DATE(Cal_Weeks!$B$1,1,1)-WEEKDAY(DATE(Cal_Weeks!$B$1,1,1),3)))/7)+1)&lt;=104),(INT(($B111-(DATE(Cal_Weeks!$B$1,1,1)-WEEKDAY(DATE(Cal_Weeks!$B$1,1,1),3)))/7)+1),""),"")</f>
        <v/>
      </c>
      <c r="D111" t="n">
        <v>3850</v>
      </c>
    </row>
    <row r="112">
      <c r="A112" t="inlineStr">
        <is>
          <t>CHEM-1810</t>
        </is>
      </c>
      <c r="B112" s="26" t="n">
        <v>46168</v>
      </c>
      <c r="C112">
        <f>IFERROR(IF(AND((INT(($B112-(DATE(Cal_Weeks!$B$1,1,1)-WEEKDAY(DATE(Cal_Weeks!$B$1,1,1),3)))/7)+1)&gt;=1,(INT(($B112-(DATE(Cal_Weeks!$B$1,1,1)-WEEKDAY(DATE(Cal_Weeks!$B$1,1,1),3)))/7)+1)&lt;=104),(INT(($B112-(DATE(Cal_Weeks!$B$1,1,1)-WEEKDAY(DATE(Cal_Weeks!$B$1,1,1),3)))/7)+1),""),"")</f>
        <v/>
      </c>
      <c r="D112" t="n">
        <v>182.28</v>
      </c>
    </row>
    <row r="113">
      <c r="A113" t="inlineStr">
        <is>
          <t>CHEM-1810</t>
        </is>
      </c>
      <c r="B113" s="26" t="n">
        <v>46174</v>
      </c>
      <c r="C113">
        <f>IFERROR(IF(AND((INT(($B113-(DATE(Cal_Weeks!$B$1,1,1)-WEEKDAY(DATE(Cal_Weeks!$B$1,1,1),3)))/7)+1)&gt;=1,(INT(($B113-(DATE(Cal_Weeks!$B$1,1,1)-WEEKDAY(DATE(Cal_Weeks!$B$1,1,1),3)))/7)+1)&lt;=104),(INT(($B113-(DATE(Cal_Weeks!$B$1,1,1)-WEEKDAY(DATE(Cal_Weeks!$B$1,1,1),3)))/7)+1),""),"")</f>
        <v/>
      </c>
      <c r="D113" t="n">
        <v>292.37</v>
      </c>
    </row>
    <row r="114">
      <c r="A114" t="inlineStr">
        <is>
          <t>CHEM-1820</t>
        </is>
      </c>
      <c r="B114" s="26" t="n">
        <v>46168</v>
      </c>
      <c r="C114">
        <f>IFERROR(IF(AND((INT(($B114-(DATE(Cal_Weeks!$B$1,1,1)-WEEKDAY(DATE(Cal_Weeks!$B$1,1,1),3)))/7)+1)&gt;=1,(INT(($B114-(DATE(Cal_Weeks!$B$1,1,1)-WEEKDAY(DATE(Cal_Weeks!$B$1,1,1),3)))/7)+1)&lt;=104),(INT(($B114-(DATE(Cal_Weeks!$B$1,1,1)-WEEKDAY(DATE(Cal_Weeks!$B$1,1,1),3)))/7)+1),""),"")</f>
        <v/>
      </c>
      <c r="D114" t="n">
        <v>300</v>
      </c>
    </row>
    <row r="115">
      <c r="A115" t="inlineStr">
        <is>
          <t>CHEM-1820</t>
        </is>
      </c>
      <c r="B115" s="26" t="n">
        <v>46174</v>
      </c>
      <c r="C115">
        <f>IFERROR(IF(AND((INT(($B115-(DATE(Cal_Weeks!$B$1,1,1)-WEEKDAY(DATE(Cal_Weeks!$B$1,1,1),3)))/7)+1)&gt;=1,(INT(($B115-(DATE(Cal_Weeks!$B$1,1,1)-WEEKDAY(DATE(Cal_Weeks!$B$1,1,1),3)))/7)+1)&lt;=104),(INT(($B115-(DATE(Cal_Weeks!$B$1,1,1)-WEEKDAY(DATE(Cal_Weeks!$B$1,1,1),3)))/7)+1),""),"")</f>
        <v/>
      </c>
      <c r="D115" t="n">
        <v>300</v>
      </c>
    </row>
    <row r="116">
      <c r="A116" t="inlineStr">
        <is>
          <t>CHEM-1830</t>
        </is>
      </c>
      <c r="B116" s="26" t="n">
        <v>46168</v>
      </c>
      <c r="C116">
        <f>IFERROR(IF(AND((INT(($B116-(DATE(Cal_Weeks!$B$1,1,1)-WEEKDAY(DATE(Cal_Weeks!$B$1,1,1),3)))/7)+1)&gt;=1,(INT(($B116-(DATE(Cal_Weeks!$B$1,1,1)-WEEKDAY(DATE(Cal_Weeks!$B$1,1,1),3)))/7)+1)&lt;=104),(INT(($B116-(DATE(Cal_Weeks!$B$1,1,1)-WEEKDAY(DATE(Cal_Weeks!$B$1,1,1),3)))/7)+1),""),"")</f>
        <v/>
      </c>
      <c r="D116" t="n">
        <v>35</v>
      </c>
    </row>
    <row r="117">
      <c r="A117" t="inlineStr">
        <is>
          <t>CHEM-1830</t>
        </is>
      </c>
      <c r="B117" s="26" t="n">
        <v>46174</v>
      </c>
      <c r="C117">
        <f>IFERROR(IF(AND((INT(($B117-(DATE(Cal_Weeks!$B$1,1,1)-WEEKDAY(DATE(Cal_Weeks!$B$1,1,1),3)))/7)+1)&gt;=1,(INT(($B117-(DATE(Cal_Weeks!$B$1,1,1)-WEEKDAY(DATE(Cal_Weeks!$B$1,1,1),3)))/7)+1)&lt;=104),(INT(($B117-(DATE(Cal_Weeks!$B$1,1,1)-WEEKDAY(DATE(Cal_Weeks!$B$1,1,1),3)))/7)+1),""),"")</f>
        <v/>
      </c>
      <c r="D117" t="n">
        <v>35</v>
      </c>
    </row>
    <row r="118">
      <c r="A118" t="inlineStr">
        <is>
          <t>CHEM-1840</t>
        </is>
      </c>
      <c r="B118" s="26" t="n">
        <v>46168</v>
      </c>
      <c r="C118">
        <f>IFERROR(IF(AND((INT(($B118-(DATE(Cal_Weeks!$B$1,1,1)-WEEKDAY(DATE(Cal_Weeks!$B$1,1,1),3)))/7)+1)&gt;=1,(INT(($B118-(DATE(Cal_Weeks!$B$1,1,1)-WEEKDAY(DATE(Cal_Weeks!$B$1,1,1),3)))/7)+1)&lt;=104),(INT(($B118-(DATE(Cal_Weeks!$B$1,1,1)-WEEKDAY(DATE(Cal_Weeks!$B$1,1,1),3)))/7)+1),""),"")</f>
        <v/>
      </c>
      <c r="D118" t="n">
        <v>30</v>
      </c>
    </row>
    <row r="119">
      <c r="A119" t="inlineStr">
        <is>
          <t>CHEM-1840</t>
        </is>
      </c>
      <c r="B119" s="26" t="n">
        <v>46174</v>
      </c>
      <c r="C119">
        <f>IFERROR(IF(AND((INT(($B119-(DATE(Cal_Weeks!$B$1,1,1)-WEEKDAY(DATE(Cal_Weeks!$B$1,1,1),3)))/7)+1)&gt;=1,(INT(($B119-(DATE(Cal_Weeks!$B$1,1,1)-WEEKDAY(DATE(Cal_Weeks!$B$1,1,1),3)))/7)+1)&lt;=104),(INT(($B119-(DATE(Cal_Weeks!$B$1,1,1)-WEEKDAY(DATE(Cal_Weeks!$B$1,1,1),3)))/7)+1),""),"")</f>
        <v/>
      </c>
      <c r="D119" t="n">
        <v>30</v>
      </c>
    </row>
    <row r="120">
      <c r="A120" t="inlineStr">
        <is>
          <t>CHEM-1850</t>
        </is>
      </c>
      <c r="B120" s="26" t="n">
        <v>46168</v>
      </c>
      <c r="C120">
        <f>IFERROR(IF(AND((INT(($B120-(DATE(Cal_Weeks!$B$1,1,1)-WEEKDAY(DATE(Cal_Weeks!$B$1,1,1),3)))/7)+1)&gt;=1,(INT(($B120-(DATE(Cal_Weeks!$B$1,1,1)-WEEKDAY(DATE(Cal_Weeks!$B$1,1,1),3)))/7)+1)&lt;=104),(INT(($B120-(DATE(Cal_Weeks!$B$1,1,1)-WEEKDAY(DATE(Cal_Weeks!$B$1,1,1),3)))/7)+1),""),"")</f>
        <v/>
      </c>
      <c r="D120" t="n">
        <v>0</v>
      </c>
    </row>
    <row r="121">
      <c r="A121" t="inlineStr">
        <is>
          <t>CHEM-1850</t>
        </is>
      </c>
      <c r="B121" s="26" t="n">
        <v>46174</v>
      </c>
      <c r="C121">
        <f>IFERROR(IF(AND((INT(($B121-(DATE(Cal_Weeks!$B$1,1,1)-WEEKDAY(DATE(Cal_Weeks!$B$1,1,1),3)))/7)+1)&gt;=1,(INT(($B121-(DATE(Cal_Weeks!$B$1,1,1)-WEEKDAY(DATE(Cal_Weeks!$B$1,1,1),3)))/7)+1)&lt;=104),(INT(($B121-(DATE(Cal_Weeks!$B$1,1,1)-WEEKDAY(DATE(Cal_Weeks!$B$1,1,1),3)))/7)+1),""),"")</f>
        <v/>
      </c>
      <c r="D121" t="n">
        <v>0</v>
      </c>
    </row>
    <row r="122">
      <c r="A122" t="inlineStr">
        <is>
          <t>CHEM-1870</t>
        </is>
      </c>
      <c r="B122" s="26" t="n">
        <v>46168</v>
      </c>
      <c r="C122">
        <f>IFERROR(IF(AND((INT(($B122-(DATE(Cal_Weeks!$B$1,1,1)-WEEKDAY(DATE(Cal_Weeks!$B$1,1,1),3)))/7)+1)&gt;=1,(INT(($B122-(DATE(Cal_Weeks!$B$1,1,1)-WEEKDAY(DATE(Cal_Weeks!$B$1,1,1),3)))/7)+1)&lt;=104),(INT(($B122-(DATE(Cal_Weeks!$B$1,1,1)-WEEKDAY(DATE(Cal_Weeks!$B$1,1,1),3)))/7)+1),""),"")</f>
        <v/>
      </c>
      <c r="D122" t="n">
        <v>150</v>
      </c>
    </row>
    <row r="123">
      <c r="A123" t="inlineStr">
        <is>
          <t>CHEM-1870</t>
        </is>
      </c>
      <c r="B123" s="26" t="n">
        <v>46174</v>
      </c>
      <c r="C123">
        <f>IFERROR(IF(AND((INT(($B123-(DATE(Cal_Weeks!$B$1,1,1)-WEEKDAY(DATE(Cal_Weeks!$B$1,1,1),3)))/7)+1)&gt;=1,(INT(($B123-(DATE(Cal_Weeks!$B$1,1,1)-WEEKDAY(DATE(Cal_Weeks!$B$1,1,1),3)))/7)+1)&lt;=104),(INT(($B123-(DATE(Cal_Weeks!$B$1,1,1)-WEEKDAY(DATE(Cal_Weeks!$B$1,1,1),3)))/7)+1),""),"")</f>
        <v/>
      </c>
      <c r="D123" t="n">
        <v>150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9" t="inlineStr">
        <is>
          <t>RM_Code</t>
        </is>
      </c>
      <c r="B1" s="29" t="inlineStr">
        <is>
          <t>Date</t>
        </is>
      </c>
      <c r="C1" s="29" t="inlineStr">
        <is>
          <t>WeekIndex</t>
        </is>
      </c>
      <c r="D1" s="29" t="inlineStr">
        <is>
          <t>TTAF_Qty</t>
        </is>
      </c>
    </row>
    <row r="2">
      <c r="A2" t="inlineStr">
        <is>
          <t>CHEM-1010</t>
        </is>
      </c>
      <c r="B2" s="26" t="n">
        <v>46171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  <row r="3">
      <c r="A3" t="inlineStr">
        <is>
          <t>CHEM-1020</t>
        </is>
      </c>
      <c r="B3" s="26" t="n">
        <v>46171</v>
      </c>
      <c r="C3">
        <f>IFERROR(IF(AND((INT(($B3-(DATE(Cal_Weeks!$B$1,1,1)-WEEKDAY(DATE(Cal_Weeks!$B$1,1,1),3)))/7)+1)&gt;=1,(INT(($B3-(DATE(Cal_Weeks!$B$1,1,1)-WEEKDAY(DATE(Cal_Weeks!$B$1,1,1),3)))/7)+1)&lt;=104),(INT(($B3-(DATE(Cal_Weeks!$B$1,1,1)-WEEKDAY(DATE(Cal_Weeks!$B$1,1,1),3)))/7)+1),""),"")</f>
        <v/>
      </c>
      <c r="D3" t="n">
        <v>0</v>
      </c>
    </row>
    <row r="4">
      <c r="A4" t="inlineStr">
        <is>
          <t>CHEM-1080</t>
        </is>
      </c>
      <c r="B4" s="26" t="n">
        <v>46171</v>
      </c>
      <c r="C4">
        <f>IFERROR(IF(AND((INT(($B4-(DATE(Cal_Weeks!$B$1,1,1)-WEEKDAY(DATE(Cal_Weeks!$B$1,1,1),3)))/7)+1)&gt;=1,(INT(($B4-(DATE(Cal_Weeks!$B$1,1,1)-WEEKDAY(DATE(Cal_Weeks!$B$1,1,1),3)))/7)+1)&lt;=104),(INT(($B4-(DATE(Cal_Weeks!$B$1,1,1)-WEEKDAY(DATE(Cal_Weeks!$B$1,1,1),3)))/7)+1),""),"")</f>
        <v/>
      </c>
      <c r="D4" t="n">
        <v>0</v>
      </c>
    </row>
    <row r="5">
      <c r="A5" t="inlineStr">
        <is>
          <t>CHEM-1100</t>
        </is>
      </c>
      <c r="B5" s="26" t="n">
        <v>46171</v>
      </c>
      <c r="C5">
        <f>IFERROR(IF(AND((INT(($B5-(DATE(Cal_Weeks!$B$1,1,1)-WEEKDAY(DATE(Cal_Weeks!$B$1,1,1),3)))/7)+1)&gt;=1,(INT(($B5-(DATE(Cal_Weeks!$B$1,1,1)-WEEKDAY(DATE(Cal_Weeks!$B$1,1,1),3)))/7)+1)&lt;=104),(INT(($B5-(DATE(Cal_Weeks!$B$1,1,1)-WEEKDAY(DATE(Cal_Weeks!$B$1,1,1),3)))/7)+1),""),"")</f>
        <v/>
      </c>
      <c r="D5" t="n">
        <v>0</v>
      </c>
    </row>
    <row r="6">
      <c r="A6" t="inlineStr">
        <is>
          <t>CHEM-1110</t>
        </is>
      </c>
      <c r="B6" s="26" t="n">
        <v>46171</v>
      </c>
      <c r="C6">
        <f>IFERROR(IF(AND((INT(($B6-(DATE(Cal_Weeks!$B$1,1,1)-WEEKDAY(DATE(Cal_Weeks!$B$1,1,1),3)))/7)+1)&gt;=1,(INT(($B6-(DATE(Cal_Weeks!$B$1,1,1)-WEEKDAY(DATE(Cal_Weeks!$B$1,1,1),3)))/7)+1)&lt;=104),(INT(($B6-(DATE(Cal_Weeks!$B$1,1,1)-WEEKDAY(DATE(Cal_Weeks!$B$1,1,1),3)))/7)+1),""),"")</f>
        <v/>
      </c>
      <c r="D6" t="n">
        <v>0</v>
      </c>
    </row>
    <row r="7">
      <c r="A7" t="inlineStr">
        <is>
          <t>CHEM-1120</t>
        </is>
      </c>
      <c r="B7" s="26" t="n">
        <v>46171</v>
      </c>
      <c r="C7">
        <f>IFERROR(IF(AND((INT(($B7-(DATE(Cal_Weeks!$B$1,1,1)-WEEKDAY(DATE(Cal_Weeks!$B$1,1,1),3)))/7)+1)&gt;=1,(INT(($B7-(DATE(Cal_Weeks!$B$1,1,1)-WEEKDAY(DATE(Cal_Weeks!$B$1,1,1),3)))/7)+1)&lt;=104),(INT(($B7-(DATE(Cal_Weeks!$B$1,1,1)-WEEKDAY(DATE(Cal_Weeks!$B$1,1,1),3)))/7)+1),""),"")</f>
        <v/>
      </c>
      <c r="D7" t="n">
        <v>0</v>
      </c>
    </row>
    <row r="8">
      <c r="A8" t="inlineStr">
        <is>
          <t>CHEM-1130</t>
        </is>
      </c>
      <c r="B8" s="26" t="n">
        <v>46171</v>
      </c>
      <c r="C8">
        <f>IFERROR(IF(AND((INT(($B8-(DATE(Cal_Weeks!$B$1,1,1)-WEEKDAY(DATE(Cal_Weeks!$B$1,1,1),3)))/7)+1)&gt;=1,(INT(($B8-(DATE(Cal_Weeks!$B$1,1,1)-WEEKDAY(DATE(Cal_Weeks!$B$1,1,1),3)))/7)+1)&lt;=104),(INT(($B8-(DATE(Cal_Weeks!$B$1,1,1)-WEEKDAY(DATE(Cal_Weeks!$B$1,1,1),3)))/7)+1),""),"")</f>
        <v/>
      </c>
      <c r="D8" t="n">
        <v>0</v>
      </c>
    </row>
    <row r="9">
      <c r="A9" t="inlineStr">
        <is>
          <t>CHEM-1200</t>
        </is>
      </c>
      <c r="B9" s="26" t="n">
        <v>46171</v>
      </c>
      <c r="C9">
        <f>IFERROR(IF(AND((INT(($B9-(DATE(Cal_Weeks!$B$1,1,1)-WEEKDAY(DATE(Cal_Weeks!$B$1,1,1),3)))/7)+1)&gt;=1,(INT(($B9-(DATE(Cal_Weeks!$B$1,1,1)-WEEKDAY(DATE(Cal_Weeks!$B$1,1,1),3)))/7)+1)&lt;=104),(INT(($B9-(DATE(Cal_Weeks!$B$1,1,1)-WEEKDAY(DATE(Cal_Weeks!$B$1,1,1),3)))/7)+1),""),"")</f>
        <v/>
      </c>
      <c r="D9" t="n">
        <v>25</v>
      </c>
    </row>
    <row r="10">
      <c r="A10" t="inlineStr">
        <is>
          <t>CHEM-1240</t>
        </is>
      </c>
      <c r="B10" s="26" t="n">
        <v>46171</v>
      </c>
      <c r="C10">
        <f>IFERROR(IF(AND((INT(($B10-(DATE(Cal_Weeks!$B$1,1,1)-WEEKDAY(DATE(Cal_Weeks!$B$1,1,1),3)))/7)+1)&gt;=1,(INT(($B10-(DATE(Cal_Weeks!$B$1,1,1)-WEEKDAY(DATE(Cal_Weeks!$B$1,1,1),3)))/7)+1)&lt;=104),(INT(($B10-(DATE(Cal_Weeks!$B$1,1,1)-WEEKDAY(DATE(Cal_Weeks!$B$1,1,1),3)))/7)+1),""),"")</f>
        <v/>
      </c>
      <c r="D10" t="n">
        <v>880</v>
      </c>
    </row>
    <row r="11">
      <c r="A11" t="inlineStr">
        <is>
          <t>CHEM-1250</t>
        </is>
      </c>
      <c r="B11" s="26" t="n">
        <v>46171</v>
      </c>
      <c r="C11">
        <f>IFERROR(IF(AND((INT(($B11-(DATE(Cal_Weeks!$B$1,1,1)-WEEKDAY(DATE(Cal_Weeks!$B$1,1,1),3)))/7)+1)&gt;=1,(INT(($B11-(DATE(Cal_Weeks!$B$1,1,1)-WEEKDAY(DATE(Cal_Weeks!$B$1,1,1),3)))/7)+1)&lt;=104),(INT(($B11-(DATE(Cal_Weeks!$B$1,1,1)-WEEKDAY(DATE(Cal_Weeks!$B$1,1,1),3)))/7)+1),""),"")</f>
        <v/>
      </c>
      <c r="D11" t="n">
        <v>0</v>
      </c>
    </row>
    <row r="12">
      <c r="A12" t="inlineStr">
        <is>
          <t>CHEM-1280</t>
        </is>
      </c>
      <c r="B12" s="26" t="n">
        <v>46171</v>
      </c>
      <c r="C12">
        <f>IFERROR(IF(AND((INT(($B12-(DATE(Cal_Weeks!$B$1,1,1)-WEEKDAY(DATE(Cal_Weeks!$B$1,1,1),3)))/7)+1)&gt;=1,(INT(($B12-(DATE(Cal_Weeks!$B$1,1,1)-WEEKDAY(DATE(Cal_Weeks!$B$1,1,1),3)))/7)+1)&lt;=104),(INT(($B12-(DATE(Cal_Weeks!$B$1,1,1)-WEEKDAY(DATE(Cal_Weeks!$B$1,1,1),3)))/7)+1),""),"")</f>
        <v/>
      </c>
      <c r="D12" t="n">
        <v>0</v>
      </c>
    </row>
    <row r="13">
      <c r="A13" t="inlineStr">
        <is>
          <t>CHEM-1400</t>
        </is>
      </c>
      <c r="B13" s="26" t="n">
        <v>46171</v>
      </c>
      <c r="C13">
        <f>IFERROR(IF(AND((INT(($B13-(DATE(Cal_Weeks!$B$1,1,1)-WEEKDAY(DATE(Cal_Weeks!$B$1,1,1),3)))/7)+1)&gt;=1,(INT(($B13-(DATE(Cal_Weeks!$B$1,1,1)-WEEKDAY(DATE(Cal_Weeks!$B$1,1,1),3)))/7)+1)&lt;=104),(INT(($B13-(DATE(Cal_Weeks!$B$1,1,1)-WEEKDAY(DATE(Cal_Weeks!$B$1,1,1),3)))/7)+1),""),"")</f>
        <v/>
      </c>
      <c r="D13" t="n">
        <v>0</v>
      </c>
    </row>
    <row r="14">
      <c r="A14" t="inlineStr">
        <is>
          <t>CHEM-1410</t>
        </is>
      </c>
      <c r="B14" s="26" t="n">
        <v>46171</v>
      </c>
      <c r="C14">
        <f>IFERROR(IF(AND((INT(($B14-(DATE(Cal_Weeks!$B$1,1,1)-WEEKDAY(DATE(Cal_Weeks!$B$1,1,1),3)))/7)+1)&gt;=1,(INT(($B14-(DATE(Cal_Weeks!$B$1,1,1)-WEEKDAY(DATE(Cal_Weeks!$B$1,1,1),3)))/7)+1)&lt;=104),(INT(($B14-(DATE(Cal_Weeks!$B$1,1,1)-WEEKDAY(DATE(Cal_Weeks!$B$1,1,1),3)))/7)+1),""),"")</f>
        <v/>
      </c>
      <c r="D14" t="n">
        <v>0</v>
      </c>
    </row>
    <row r="15">
      <c r="A15" t="inlineStr">
        <is>
          <t>CHEM-1420</t>
        </is>
      </c>
      <c r="B15" s="26" t="n">
        <v>46171</v>
      </c>
      <c r="C15">
        <f>IFERROR(IF(AND((INT(($B15-(DATE(Cal_Weeks!$B$1,1,1)-WEEKDAY(DATE(Cal_Weeks!$B$1,1,1),3)))/7)+1)&gt;=1,(INT(($B15-(DATE(Cal_Weeks!$B$1,1,1)-WEEKDAY(DATE(Cal_Weeks!$B$1,1,1),3)))/7)+1)&lt;=104),(INT(($B15-(DATE(Cal_Weeks!$B$1,1,1)-WEEKDAY(DATE(Cal_Weeks!$B$1,1,1),3)))/7)+1),""),"")</f>
        <v/>
      </c>
      <c r="D15" t="n">
        <v>160</v>
      </c>
    </row>
    <row r="16">
      <c r="A16" t="inlineStr">
        <is>
          <t>CHEM-1430</t>
        </is>
      </c>
      <c r="B16" s="26" t="n">
        <v>46171</v>
      </c>
      <c r="C16">
        <f>IFERROR(IF(AND((INT(($B16-(DATE(Cal_Weeks!$B$1,1,1)-WEEKDAY(DATE(Cal_Weeks!$B$1,1,1),3)))/7)+1)&gt;=1,(INT(($B16-(DATE(Cal_Weeks!$B$1,1,1)-WEEKDAY(DATE(Cal_Weeks!$B$1,1,1),3)))/7)+1)&lt;=104),(INT(($B16-(DATE(Cal_Weeks!$B$1,1,1)-WEEKDAY(DATE(Cal_Weeks!$B$1,1,1),3)))/7)+1),""),"")</f>
        <v/>
      </c>
      <c r="D16" t="n">
        <v>0</v>
      </c>
    </row>
    <row r="17">
      <c r="A17" t="inlineStr">
        <is>
          <t>CHEM-1440</t>
        </is>
      </c>
      <c r="B17" s="26" t="n">
        <v>46171</v>
      </c>
      <c r="C17">
        <f>IFERROR(IF(AND((INT(($B17-(DATE(Cal_Weeks!$B$1,1,1)-WEEKDAY(DATE(Cal_Weeks!$B$1,1,1),3)))/7)+1)&gt;=1,(INT(($B17-(DATE(Cal_Weeks!$B$1,1,1)-WEEKDAY(DATE(Cal_Weeks!$B$1,1,1),3)))/7)+1)&lt;=104),(INT(($B17-(DATE(Cal_Weeks!$B$1,1,1)-WEEKDAY(DATE(Cal_Weeks!$B$1,1,1),3)))/7)+1),""),"")</f>
        <v/>
      </c>
      <c r="D17" t="n">
        <v>200</v>
      </c>
    </row>
    <row r="18">
      <c r="A18" t="inlineStr">
        <is>
          <t>CHEM-1450</t>
        </is>
      </c>
      <c r="B18" s="26" t="n">
        <v>46171</v>
      </c>
      <c r="C18">
        <f>IFERROR(IF(AND((INT(($B18-(DATE(Cal_Weeks!$B$1,1,1)-WEEKDAY(DATE(Cal_Weeks!$B$1,1,1),3)))/7)+1)&gt;=1,(INT(($B18-(DATE(Cal_Weeks!$B$1,1,1)-WEEKDAY(DATE(Cal_Weeks!$B$1,1,1),3)))/7)+1)&lt;=104),(INT(($B18-(DATE(Cal_Weeks!$B$1,1,1)-WEEKDAY(DATE(Cal_Weeks!$B$1,1,1),3)))/7)+1),""),"")</f>
        <v/>
      </c>
      <c r="D18" t="n">
        <v>0</v>
      </c>
    </row>
    <row r="19">
      <c r="A19" t="inlineStr">
        <is>
          <t>CHEM-1470</t>
        </is>
      </c>
      <c r="B19" s="26" t="n">
        <v>46171</v>
      </c>
      <c r="C19">
        <f>IFERROR(IF(AND((INT(($B19-(DATE(Cal_Weeks!$B$1,1,1)-WEEKDAY(DATE(Cal_Weeks!$B$1,1,1),3)))/7)+1)&gt;=1,(INT(($B19-(DATE(Cal_Weeks!$B$1,1,1)-WEEKDAY(DATE(Cal_Weeks!$B$1,1,1),3)))/7)+1)&lt;=104),(INT(($B19-(DATE(Cal_Weeks!$B$1,1,1)-WEEKDAY(DATE(Cal_Weeks!$B$1,1,1),3)))/7)+1),""),"")</f>
        <v/>
      </c>
      <c r="D19" t="n">
        <v>0</v>
      </c>
    </row>
    <row r="20">
      <c r="A20" t="inlineStr">
        <is>
          <t>CHEM-1480</t>
        </is>
      </c>
      <c r="B20" s="26" t="n">
        <v>46171</v>
      </c>
      <c r="C20">
        <f>IFERROR(IF(AND((INT(($B20-(DATE(Cal_Weeks!$B$1,1,1)-WEEKDAY(DATE(Cal_Weeks!$B$1,1,1),3)))/7)+1)&gt;=1,(INT(($B20-(DATE(Cal_Weeks!$B$1,1,1)-WEEKDAY(DATE(Cal_Weeks!$B$1,1,1),3)))/7)+1)&lt;=104),(INT(($B20-(DATE(Cal_Weeks!$B$1,1,1)-WEEKDAY(DATE(Cal_Weeks!$B$1,1,1),3)))/7)+1),""),"")</f>
        <v/>
      </c>
      <c r="D20" t="n">
        <v>0</v>
      </c>
    </row>
    <row r="21">
      <c r="A21" t="inlineStr">
        <is>
          <t>CHEM-1500</t>
        </is>
      </c>
      <c r="B21" s="26" t="n">
        <v>46171</v>
      </c>
      <c r="C21">
        <f>IFERROR(IF(AND((INT(($B21-(DATE(Cal_Weeks!$B$1,1,1)-WEEKDAY(DATE(Cal_Weeks!$B$1,1,1),3)))/7)+1)&gt;=1,(INT(($B21-(DATE(Cal_Weeks!$B$1,1,1)-WEEKDAY(DATE(Cal_Weeks!$B$1,1,1),3)))/7)+1)&lt;=104),(INT(($B21-(DATE(Cal_Weeks!$B$1,1,1)-WEEKDAY(DATE(Cal_Weeks!$B$1,1,1),3)))/7)+1),""),"")</f>
        <v/>
      </c>
      <c r="D21" t="n">
        <v>0</v>
      </c>
    </row>
    <row r="22">
      <c r="A22" t="inlineStr">
        <is>
          <t>CHEM-1510</t>
        </is>
      </c>
      <c r="B22" s="26" t="n">
        <v>46171</v>
      </c>
      <c r="C22">
        <f>IFERROR(IF(AND((INT(($B22-(DATE(Cal_Weeks!$B$1,1,1)-WEEKDAY(DATE(Cal_Weeks!$B$1,1,1),3)))/7)+1)&gt;=1,(INT(($B22-(DATE(Cal_Weeks!$B$1,1,1)-WEEKDAY(DATE(Cal_Weeks!$B$1,1,1),3)))/7)+1)&lt;=104),(INT(($B22-(DATE(Cal_Weeks!$B$1,1,1)-WEEKDAY(DATE(Cal_Weeks!$B$1,1,1),3)))/7)+1),""),"")</f>
        <v/>
      </c>
      <c r="D22" t="n">
        <v>190</v>
      </c>
    </row>
    <row r="23">
      <c r="A23" t="inlineStr">
        <is>
          <t>CHEM-1520</t>
        </is>
      </c>
      <c r="B23" s="26" t="n">
        <v>46171</v>
      </c>
      <c r="C23">
        <f>IFERROR(IF(AND((INT(($B23-(DATE(Cal_Weeks!$B$1,1,1)-WEEKDAY(DATE(Cal_Weeks!$B$1,1,1),3)))/7)+1)&gt;=1,(INT(($B23-(DATE(Cal_Weeks!$B$1,1,1)-WEEKDAY(DATE(Cal_Weeks!$B$1,1,1),3)))/7)+1)&lt;=104),(INT(($B23-(DATE(Cal_Weeks!$B$1,1,1)-WEEKDAY(DATE(Cal_Weeks!$B$1,1,1),3)))/7)+1),""),"")</f>
        <v/>
      </c>
      <c r="D23" t="n">
        <v>0</v>
      </c>
    </row>
    <row r="24">
      <c r="A24" t="inlineStr">
        <is>
          <t>CHEM-1530</t>
        </is>
      </c>
      <c r="B24" s="26" t="n">
        <v>46171</v>
      </c>
      <c r="C24">
        <f>IFERROR(IF(AND((INT(($B24-(DATE(Cal_Weeks!$B$1,1,1)-WEEKDAY(DATE(Cal_Weeks!$B$1,1,1),3)))/7)+1)&gt;=1,(INT(($B24-(DATE(Cal_Weeks!$B$1,1,1)-WEEKDAY(DATE(Cal_Weeks!$B$1,1,1),3)))/7)+1)&lt;=104),(INT(($B24-(DATE(Cal_Weeks!$B$1,1,1)-WEEKDAY(DATE(Cal_Weeks!$B$1,1,1),3)))/7)+1),""),"")</f>
        <v/>
      </c>
      <c r="D24" t="n">
        <v>2100</v>
      </c>
    </row>
    <row r="25">
      <c r="A25" t="inlineStr">
        <is>
          <t>CHEM-1540</t>
        </is>
      </c>
      <c r="B25" s="26" t="n">
        <v>46171</v>
      </c>
      <c r="C25">
        <f>IFERROR(IF(AND((INT(($B25-(DATE(Cal_Weeks!$B$1,1,1)-WEEKDAY(DATE(Cal_Weeks!$B$1,1,1),3)))/7)+1)&gt;=1,(INT(($B25-(DATE(Cal_Weeks!$B$1,1,1)-WEEKDAY(DATE(Cal_Weeks!$B$1,1,1),3)))/7)+1)&lt;=104),(INT(($B25-(DATE(Cal_Weeks!$B$1,1,1)-WEEKDAY(DATE(Cal_Weeks!$B$1,1,1),3)))/7)+1),""),"")</f>
        <v/>
      </c>
      <c r="D25" t="n">
        <v>3000</v>
      </c>
    </row>
    <row r="26">
      <c r="A26" t="inlineStr">
        <is>
          <t>CHEM-1550</t>
        </is>
      </c>
      <c r="B26" s="26" t="n">
        <v>46171</v>
      </c>
      <c r="C26">
        <f>IFERROR(IF(AND((INT(($B26-(DATE(Cal_Weeks!$B$1,1,1)-WEEKDAY(DATE(Cal_Weeks!$B$1,1,1),3)))/7)+1)&gt;=1,(INT(($B26-(DATE(Cal_Weeks!$B$1,1,1)-WEEKDAY(DATE(Cal_Weeks!$B$1,1,1),3)))/7)+1)&lt;=104),(INT(($B26-(DATE(Cal_Weeks!$B$1,1,1)-WEEKDAY(DATE(Cal_Weeks!$B$1,1,1),3)))/7)+1),""),"")</f>
        <v/>
      </c>
      <c r="D26" t="n">
        <v>0</v>
      </c>
    </row>
    <row r="27">
      <c r="A27" t="inlineStr">
        <is>
          <t>CHEM-1560</t>
        </is>
      </c>
      <c r="B27" s="26" t="n">
        <v>46171</v>
      </c>
      <c r="C27">
        <f>IFERROR(IF(AND((INT(($B27-(DATE(Cal_Weeks!$B$1,1,1)-WEEKDAY(DATE(Cal_Weeks!$B$1,1,1),3)))/7)+1)&gt;=1,(INT(($B27-(DATE(Cal_Weeks!$B$1,1,1)-WEEKDAY(DATE(Cal_Weeks!$B$1,1,1),3)))/7)+1)&lt;=104),(INT(($B27-(DATE(Cal_Weeks!$B$1,1,1)-WEEKDAY(DATE(Cal_Weeks!$B$1,1,1),3)))/7)+1),""),"")</f>
        <v/>
      </c>
      <c r="D27" t="n">
        <v>0</v>
      </c>
    </row>
    <row r="28">
      <c r="A28" t="inlineStr">
        <is>
          <t>CHEM-1570</t>
        </is>
      </c>
      <c r="B28" s="26" t="n">
        <v>46171</v>
      </c>
      <c r="C28">
        <f>IFERROR(IF(AND((INT(($B28-(DATE(Cal_Weeks!$B$1,1,1)-WEEKDAY(DATE(Cal_Weeks!$B$1,1,1),3)))/7)+1)&gt;=1,(INT(($B28-(DATE(Cal_Weeks!$B$1,1,1)-WEEKDAY(DATE(Cal_Weeks!$B$1,1,1),3)))/7)+1)&lt;=104),(INT(($B28-(DATE(Cal_Weeks!$B$1,1,1)-WEEKDAY(DATE(Cal_Weeks!$B$1,1,1),3)))/7)+1),""),"")</f>
        <v/>
      </c>
      <c r="D28" t="n">
        <v>36</v>
      </c>
    </row>
    <row r="29">
      <c r="A29" t="inlineStr">
        <is>
          <t>CHEM-1580</t>
        </is>
      </c>
      <c r="B29" s="26" t="n">
        <v>46171</v>
      </c>
      <c r="C29">
        <f>IFERROR(IF(AND((INT(($B29-(DATE(Cal_Weeks!$B$1,1,1)-WEEKDAY(DATE(Cal_Weeks!$B$1,1,1),3)))/7)+1)&gt;=1,(INT(($B29-(DATE(Cal_Weeks!$B$1,1,1)-WEEKDAY(DATE(Cal_Weeks!$B$1,1,1),3)))/7)+1)&lt;=104),(INT(($B29-(DATE(Cal_Weeks!$B$1,1,1)-WEEKDAY(DATE(Cal_Weeks!$B$1,1,1),3)))/7)+1),""),"")</f>
        <v/>
      </c>
      <c r="D29" t="n">
        <v>0</v>
      </c>
    </row>
    <row r="30">
      <c r="A30" t="inlineStr">
        <is>
          <t>CHEM-1600</t>
        </is>
      </c>
      <c r="B30" s="26" t="n">
        <v>46171</v>
      </c>
      <c r="C30">
        <f>IFERROR(IF(AND((INT(($B30-(DATE(Cal_Weeks!$B$1,1,1)-WEEKDAY(DATE(Cal_Weeks!$B$1,1,1),3)))/7)+1)&gt;=1,(INT(($B30-(DATE(Cal_Weeks!$B$1,1,1)-WEEKDAY(DATE(Cal_Weeks!$B$1,1,1),3)))/7)+1)&lt;=104),(INT(($B30-(DATE(Cal_Weeks!$B$1,1,1)-WEEKDAY(DATE(Cal_Weeks!$B$1,1,1),3)))/7)+1),""),"")</f>
        <v/>
      </c>
      <c r="D30" t="n">
        <v>100</v>
      </c>
    </row>
    <row r="31">
      <c r="A31" t="inlineStr">
        <is>
          <t>CHEM-1650</t>
        </is>
      </c>
      <c r="B31" s="26" t="n">
        <v>46171</v>
      </c>
      <c r="C31">
        <f>IFERROR(IF(AND((INT(($B31-(DATE(Cal_Weeks!$B$1,1,1)-WEEKDAY(DATE(Cal_Weeks!$B$1,1,1),3)))/7)+1)&gt;=1,(INT(($B31-(DATE(Cal_Weeks!$B$1,1,1)-WEEKDAY(DATE(Cal_Weeks!$B$1,1,1),3)))/7)+1)&lt;=104),(INT(($B31-(DATE(Cal_Weeks!$B$1,1,1)-WEEKDAY(DATE(Cal_Weeks!$B$1,1,1),3)))/7)+1),""),"")</f>
        <v/>
      </c>
      <c r="D31" t="n">
        <v>25</v>
      </c>
    </row>
    <row r="32">
      <c r="A32" t="inlineStr">
        <is>
          <t>CHEM-1660</t>
        </is>
      </c>
      <c r="B32" s="26" t="n">
        <v>46171</v>
      </c>
      <c r="C32">
        <f>IFERROR(IF(AND((INT(($B32-(DATE(Cal_Weeks!$B$1,1,1)-WEEKDAY(DATE(Cal_Weeks!$B$1,1,1),3)))/7)+1)&gt;=1,(INT(($B32-(DATE(Cal_Weeks!$B$1,1,1)-WEEKDAY(DATE(Cal_Weeks!$B$1,1,1),3)))/7)+1)&lt;=104),(INT(($B32-(DATE(Cal_Weeks!$B$1,1,1)-WEEKDAY(DATE(Cal_Weeks!$B$1,1,1),3)))/7)+1),""),"")</f>
        <v/>
      </c>
      <c r="D32" t="n">
        <v>270</v>
      </c>
    </row>
    <row r="33">
      <c r="A33" t="inlineStr">
        <is>
          <t>CHEM-1670</t>
        </is>
      </c>
      <c r="B33" s="26" t="n">
        <v>46171</v>
      </c>
      <c r="C33">
        <f>IFERROR(IF(AND((INT(($B33-(DATE(Cal_Weeks!$B$1,1,1)-WEEKDAY(DATE(Cal_Weeks!$B$1,1,1),3)))/7)+1)&gt;=1,(INT(($B33-(DATE(Cal_Weeks!$B$1,1,1)-WEEKDAY(DATE(Cal_Weeks!$B$1,1,1),3)))/7)+1)&lt;=104),(INT(($B33-(DATE(Cal_Weeks!$B$1,1,1)-WEEKDAY(DATE(Cal_Weeks!$B$1,1,1),3)))/7)+1),""),"")</f>
        <v/>
      </c>
      <c r="D33" t="n">
        <v>0</v>
      </c>
    </row>
    <row r="34">
      <c r="A34" t="inlineStr">
        <is>
          <t>CHEM-1680</t>
        </is>
      </c>
      <c r="B34" s="26" t="n">
        <v>46171</v>
      </c>
      <c r="C34">
        <f>IFERROR(IF(AND((INT(($B34-(DATE(Cal_Weeks!$B$1,1,1)-WEEKDAY(DATE(Cal_Weeks!$B$1,1,1),3)))/7)+1)&gt;=1,(INT(($B34-(DATE(Cal_Weeks!$B$1,1,1)-WEEKDAY(DATE(Cal_Weeks!$B$1,1,1),3)))/7)+1)&lt;=104),(INT(($B34-(DATE(Cal_Weeks!$B$1,1,1)-WEEKDAY(DATE(Cal_Weeks!$B$1,1,1),3)))/7)+1),""),"")</f>
        <v/>
      </c>
      <c r="D34" t="n">
        <v>0</v>
      </c>
    </row>
    <row r="35">
      <c r="A35" t="inlineStr">
        <is>
          <t>CHEM-1690</t>
        </is>
      </c>
      <c r="B35" s="26" t="n">
        <v>46171</v>
      </c>
      <c r="C35">
        <f>IFERROR(IF(AND((INT(($B35-(DATE(Cal_Weeks!$B$1,1,1)-WEEKDAY(DATE(Cal_Weeks!$B$1,1,1),3)))/7)+1)&gt;=1,(INT(($B35-(DATE(Cal_Weeks!$B$1,1,1)-WEEKDAY(DATE(Cal_Weeks!$B$1,1,1),3)))/7)+1)&lt;=104),(INT(($B35-(DATE(Cal_Weeks!$B$1,1,1)-WEEKDAY(DATE(Cal_Weeks!$B$1,1,1),3)))/7)+1),""),"")</f>
        <v/>
      </c>
      <c r="D35" t="n">
        <v>0</v>
      </c>
    </row>
    <row r="36">
      <c r="A36" t="inlineStr">
        <is>
          <t>CHEM-1700</t>
        </is>
      </c>
      <c r="B36" s="26" t="n">
        <v>46171</v>
      </c>
      <c r="C36">
        <f>IFERROR(IF(AND((INT(($B36-(DATE(Cal_Weeks!$B$1,1,1)-WEEKDAY(DATE(Cal_Weeks!$B$1,1,1),3)))/7)+1)&gt;=1,(INT(($B36-(DATE(Cal_Weeks!$B$1,1,1)-WEEKDAY(DATE(Cal_Weeks!$B$1,1,1),3)))/7)+1)&lt;=104),(INT(($B36-(DATE(Cal_Weeks!$B$1,1,1)-WEEKDAY(DATE(Cal_Weeks!$B$1,1,1),3)))/7)+1),""),"")</f>
        <v/>
      </c>
      <c r="D36" t="n">
        <v>60</v>
      </c>
    </row>
    <row r="37">
      <c r="A37" t="inlineStr">
        <is>
          <t>CHEM-1720</t>
        </is>
      </c>
      <c r="B37" s="26" t="n">
        <v>46171</v>
      </c>
      <c r="C37">
        <f>IFERROR(IF(AND((INT(($B37-(DATE(Cal_Weeks!$B$1,1,1)-WEEKDAY(DATE(Cal_Weeks!$B$1,1,1),3)))/7)+1)&gt;=1,(INT(($B37-(DATE(Cal_Weeks!$B$1,1,1)-WEEKDAY(DATE(Cal_Weeks!$B$1,1,1),3)))/7)+1)&lt;=104),(INT(($B37-(DATE(Cal_Weeks!$B$1,1,1)-WEEKDAY(DATE(Cal_Weeks!$B$1,1,1),3)))/7)+1),""),"")</f>
        <v/>
      </c>
      <c r="D37" t="n">
        <v>1440</v>
      </c>
    </row>
    <row r="38">
      <c r="A38" t="inlineStr">
        <is>
          <t>CHEM-1730</t>
        </is>
      </c>
      <c r="B38" s="26" t="n">
        <v>46171</v>
      </c>
      <c r="C38">
        <f>IFERROR(IF(AND((INT(($B38-(DATE(Cal_Weeks!$B$1,1,1)-WEEKDAY(DATE(Cal_Weeks!$B$1,1,1),3)))/7)+1)&gt;=1,(INT(($B38-(DATE(Cal_Weeks!$B$1,1,1)-WEEKDAY(DATE(Cal_Weeks!$B$1,1,1),3)))/7)+1)&lt;=104),(INT(($B38-(DATE(Cal_Weeks!$B$1,1,1)-WEEKDAY(DATE(Cal_Weeks!$B$1,1,1),3)))/7)+1),""),"")</f>
        <v/>
      </c>
      <c r="D38" t="n">
        <v>100</v>
      </c>
    </row>
    <row r="39">
      <c r="A39" t="inlineStr">
        <is>
          <t>CHEM-1740</t>
        </is>
      </c>
      <c r="B39" s="26" t="n">
        <v>46171</v>
      </c>
      <c r="C39">
        <f>IFERROR(IF(AND((INT(($B39-(DATE(Cal_Weeks!$B$1,1,1)-WEEKDAY(DATE(Cal_Weeks!$B$1,1,1),3)))/7)+1)&gt;=1,(INT(($B39-(DATE(Cal_Weeks!$B$1,1,1)-WEEKDAY(DATE(Cal_Weeks!$B$1,1,1),3)))/7)+1)&lt;=104),(INT(($B39-(DATE(Cal_Weeks!$B$1,1,1)-WEEKDAY(DATE(Cal_Weeks!$B$1,1,1),3)))/7)+1),""),"")</f>
        <v/>
      </c>
      <c r="D39" t="n">
        <v>0</v>
      </c>
    </row>
    <row r="40">
      <c r="A40" t="inlineStr">
        <is>
          <t>CHEM-1750</t>
        </is>
      </c>
      <c r="B40" s="26" t="n">
        <v>46171</v>
      </c>
      <c r="C40">
        <f>IFERROR(IF(AND((INT(($B40-(DATE(Cal_Weeks!$B$1,1,1)-WEEKDAY(DATE(Cal_Weeks!$B$1,1,1),3)))/7)+1)&gt;=1,(INT(($B40-(DATE(Cal_Weeks!$B$1,1,1)-WEEKDAY(DATE(Cal_Weeks!$B$1,1,1),3)))/7)+1)&lt;=104),(INT(($B40-(DATE(Cal_Weeks!$B$1,1,1)-WEEKDAY(DATE(Cal_Weeks!$B$1,1,1),3)))/7)+1),""),"")</f>
        <v/>
      </c>
      <c r="D40" t="n">
        <v>0</v>
      </c>
    </row>
    <row r="41">
      <c r="A41" t="inlineStr">
        <is>
          <t>CHEM-1760</t>
        </is>
      </c>
      <c r="B41" s="26" t="n">
        <v>46171</v>
      </c>
      <c r="C41">
        <f>IFERROR(IF(AND((INT(($B41-(DATE(Cal_Weeks!$B$1,1,1)-WEEKDAY(DATE(Cal_Weeks!$B$1,1,1),3)))/7)+1)&gt;=1,(INT(($B41-(DATE(Cal_Weeks!$B$1,1,1)-WEEKDAY(DATE(Cal_Weeks!$B$1,1,1),3)))/7)+1)&lt;=104),(INT(($B41-(DATE(Cal_Weeks!$B$1,1,1)-WEEKDAY(DATE(Cal_Weeks!$B$1,1,1),3)))/7)+1),""),"")</f>
        <v/>
      </c>
      <c r="D41" t="n">
        <v>17</v>
      </c>
    </row>
    <row r="42">
      <c r="A42" t="inlineStr">
        <is>
          <t>CHEM-1780</t>
        </is>
      </c>
      <c r="B42" s="26" t="n">
        <v>46171</v>
      </c>
      <c r="C42">
        <f>IFERROR(IF(AND((INT(($B42-(DATE(Cal_Weeks!$B$1,1,1)-WEEKDAY(DATE(Cal_Weeks!$B$1,1,1),3)))/7)+1)&gt;=1,(INT(($B42-(DATE(Cal_Weeks!$B$1,1,1)-WEEKDAY(DATE(Cal_Weeks!$B$1,1,1),3)))/7)+1)&lt;=104),(INT(($B42-(DATE(Cal_Weeks!$B$1,1,1)-WEEKDAY(DATE(Cal_Weeks!$B$1,1,1),3)))/7)+1),""),"")</f>
        <v/>
      </c>
      <c r="D42" t="n">
        <v>20</v>
      </c>
    </row>
    <row r="43">
      <c r="A43" t="inlineStr">
        <is>
          <t>CHEM-1810</t>
        </is>
      </c>
      <c r="B43" s="26" t="n">
        <v>46171</v>
      </c>
      <c r="C43">
        <f>IFERROR(IF(AND((INT(($B43-(DATE(Cal_Weeks!$B$1,1,1)-WEEKDAY(DATE(Cal_Weeks!$B$1,1,1),3)))/7)+1)&gt;=1,(INT(($B43-(DATE(Cal_Weeks!$B$1,1,1)-WEEKDAY(DATE(Cal_Weeks!$B$1,1,1),3)))/7)+1)&lt;=104),(INT(($B43-(DATE(Cal_Weeks!$B$1,1,1)-WEEKDAY(DATE(Cal_Weeks!$B$1,1,1),3)))/7)+1),""),"")</f>
        <v/>
      </c>
      <c r="D43" t="n">
        <v>636.5999999999999</v>
      </c>
    </row>
    <row r="44">
      <c r="A44" t="inlineStr">
        <is>
          <t>CHEM-1820</t>
        </is>
      </c>
      <c r="B44" s="26" t="n">
        <v>46171</v>
      </c>
      <c r="C44">
        <f>IFERROR(IF(AND((INT(($B44-(DATE(Cal_Weeks!$B$1,1,1)-WEEKDAY(DATE(Cal_Weeks!$B$1,1,1),3)))/7)+1)&gt;=1,(INT(($B44-(DATE(Cal_Weeks!$B$1,1,1)-WEEKDAY(DATE(Cal_Weeks!$B$1,1,1),3)))/7)+1)&lt;=104),(INT(($B44-(DATE(Cal_Weeks!$B$1,1,1)-WEEKDAY(DATE(Cal_Weeks!$B$1,1,1),3)))/7)+1),""),"")</f>
        <v/>
      </c>
      <c r="D44" t="n">
        <v>500</v>
      </c>
    </row>
    <row r="45">
      <c r="A45" t="inlineStr">
        <is>
          <t>CHEM-1830</t>
        </is>
      </c>
      <c r="B45" s="26" t="n">
        <v>46171</v>
      </c>
      <c r="C45">
        <f>IFERROR(IF(AND((INT(($B45-(DATE(Cal_Weeks!$B$1,1,1)-WEEKDAY(DATE(Cal_Weeks!$B$1,1,1),3)))/7)+1)&gt;=1,(INT(($B45-(DATE(Cal_Weeks!$B$1,1,1)-WEEKDAY(DATE(Cal_Weeks!$B$1,1,1),3)))/7)+1)&lt;=104),(INT(($B45-(DATE(Cal_Weeks!$B$1,1,1)-WEEKDAY(DATE(Cal_Weeks!$B$1,1,1),3)))/7)+1),""),"")</f>
        <v/>
      </c>
      <c r="D45" t="n">
        <v>225</v>
      </c>
    </row>
    <row r="46">
      <c r="A46" t="inlineStr">
        <is>
          <t>CHEM-1840</t>
        </is>
      </c>
      <c r="B46" s="26" t="n">
        <v>46171</v>
      </c>
      <c r="C46">
        <f>IFERROR(IF(AND((INT(($B46-(DATE(Cal_Weeks!$B$1,1,1)-WEEKDAY(DATE(Cal_Weeks!$B$1,1,1),3)))/7)+1)&gt;=1,(INT(($B46-(DATE(Cal_Weeks!$B$1,1,1)-WEEKDAY(DATE(Cal_Weeks!$B$1,1,1),3)))/7)+1)&lt;=104),(INT(($B46-(DATE(Cal_Weeks!$B$1,1,1)-WEEKDAY(DATE(Cal_Weeks!$B$1,1,1),3)))/7)+1),""),"")</f>
        <v/>
      </c>
      <c r="D46" t="n">
        <v>18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</cols>
  <sheetData>
    <row r="1">
      <c r="A1" s="29" t="inlineStr">
        <is>
          <t>RM_Code</t>
        </is>
      </c>
      <c r="B1" s="29" t="inlineStr">
        <is>
          <t>Description</t>
        </is>
      </c>
      <c r="C1" s="29" t="inlineStr">
        <is>
          <t>Supplier</t>
        </is>
      </c>
      <c r="D1" s="29" t="inlineStr">
        <is>
          <t>Category</t>
        </is>
      </c>
      <c r="E1" s="29" t="inlineStr">
        <is>
          <t>UOM</t>
        </is>
      </c>
      <c r="F1" s="29" t="inlineStr">
        <is>
          <t>基準在庫下限_要入力</t>
        </is>
      </c>
      <c r="G1" s="29" t="inlineStr">
        <is>
          <t>基準在庫上限_要入力</t>
        </is>
      </c>
      <c r="H1" s="29" t="inlineStr">
        <is>
          <t>LeadTime_Weeks_要入力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Japan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Japan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Japan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Japan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Japan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Japan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Japan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Japan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Japan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</row>
    <row r="11">
      <c r="A11" t="inlineStr">
        <is>
          <t>PET FILM(900*1000)</t>
        </is>
      </c>
      <c r="B11" t="inlineStr">
        <is>
          <t>PET FILM(900*1000)</t>
        </is>
      </c>
      <c r="C11" t="inlineStr">
        <is>
          <t>Japan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</row>
    <row r="12">
      <c r="A12" t="inlineStr">
        <is>
          <t>4HL</t>
        </is>
      </c>
      <c r="B12" t="inlineStr">
        <is>
          <t>(7R-08) TP166-103-084</t>
        </is>
      </c>
      <c r="C12" t="inlineStr">
        <is>
          <t>New Japan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</row>
    <row r="13">
      <c r="A13" t="inlineStr">
        <is>
          <t>1EK</t>
        </is>
      </c>
      <c r="B13" t="inlineStr">
        <is>
          <t>(9R-08) TP166-103-105*T1</t>
        </is>
      </c>
      <c r="C13" t="inlineStr">
        <is>
          <t>New Japan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</row>
    <row r="14">
      <c r="A14" t="inlineStr">
        <is>
          <t>7CL</t>
        </is>
      </c>
      <c r="B14" t="inlineStr">
        <is>
          <t>(8R-08) TP167-103- 096*T4</t>
        </is>
      </c>
      <c r="C14" t="inlineStr">
        <is>
          <t>New Japan</t>
        </is>
      </c>
      <c r="D14" t="inlineStr">
        <is>
          <t>Chemical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</row>
    <row r="15">
      <c r="A15" t="inlineStr">
        <is>
          <t>9RN</t>
        </is>
      </c>
      <c r="B15" t="inlineStr">
        <is>
          <t>N30S89R11WF7  4FK13117080</t>
        </is>
      </c>
      <c r="C15" t="inlineStr">
        <is>
          <t>China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</row>
    <row r="16">
      <c r="A16" t="inlineStr">
        <is>
          <t>7EP</t>
        </is>
      </c>
      <c r="B16" t="inlineStr">
        <is>
          <t>N30S7R07WF7 4FK13093100</t>
        </is>
      </c>
      <c r="C16" t="inlineStr">
        <is>
          <t>China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</row>
    <row r="17">
      <c r="A17" t="inlineStr">
        <is>
          <t>F2290</t>
        </is>
      </c>
      <c r="B17" t="inlineStr">
        <is>
          <t>N30S/8-11R-11-WF7</t>
        </is>
      </c>
      <c r="C17" t="inlineStr">
        <is>
          <t>China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</row>
    <row r="18">
      <c r="A18" t="inlineStr">
        <is>
          <t>CHEM-1400</t>
        </is>
      </c>
      <c r="B18" t="inlineStr">
        <is>
          <t>DISPAL 23N4-80</t>
        </is>
      </c>
      <c r="C18" t="inlineStr">
        <is>
          <t>Japan</t>
        </is>
      </c>
      <c r="D18" t="inlineStr">
        <is>
          <t>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</row>
    <row r="19">
      <c r="A19" t="inlineStr">
        <is>
          <t>CHEM-1570</t>
        </is>
      </c>
      <c r="B19" t="inlineStr">
        <is>
          <t>NOPAGOAL A</t>
        </is>
      </c>
      <c r="C19" t="inlineStr">
        <is>
          <t>Japan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</row>
    <row r="20">
      <c r="A20" t="inlineStr">
        <is>
          <t>CHEM-1650</t>
        </is>
      </c>
      <c r="B20" t="inlineStr">
        <is>
          <t>DUASYN ACID BLUE AE-SF 30 LIQUID-SN</t>
        </is>
      </c>
      <c r="C20" t="inlineStr">
        <is>
          <t>Japan</t>
        </is>
      </c>
      <c r="D20" t="inlineStr">
        <is>
          <t>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</row>
    <row r="21">
      <c r="A21" t="inlineStr">
        <is>
          <t>CHEM-1660</t>
        </is>
      </c>
      <c r="B21" t="inlineStr">
        <is>
          <t>GW-3394</t>
        </is>
      </c>
      <c r="C21" t="inlineStr">
        <is>
          <t>Japan</t>
        </is>
      </c>
      <c r="D21" t="inlineStr">
        <is>
          <t>Hazardous 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</row>
    <row r="22">
      <c r="A22" t="inlineStr">
        <is>
          <t>CHEM-1600</t>
        </is>
      </c>
      <c r="B22" t="inlineStr">
        <is>
          <t>BF-1P</t>
        </is>
      </c>
      <c r="C22" t="inlineStr">
        <is>
          <t>Japan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</row>
    <row r="23">
      <c r="A23" t="inlineStr">
        <is>
          <t>CHEM-1280</t>
        </is>
      </c>
      <c r="B23" t="inlineStr">
        <is>
          <t>DODECYL TRIMETHYL AMMONIUM CHLORIDE</t>
        </is>
      </c>
      <c r="C23" t="inlineStr">
        <is>
          <t>Japan</t>
        </is>
      </c>
      <c r="D23" t="inlineStr">
        <is>
          <t>Hazardous 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</row>
    <row r="24">
      <c r="A24" t="inlineStr">
        <is>
          <t>CHEM-1240</t>
        </is>
      </c>
      <c r="B24" t="inlineStr">
        <is>
          <t>Alumina SOL(AS200)</t>
        </is>
      </c>
      <c r="C24" t="inlineStr">
        <is>
          <t>Japan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</row>
    <row r="25">
      <c r="A25" t="inlineStr">
        <is>
          <t>0JN</t>
        </is>
      </c>
      <c r="B25" t="inlineStr">
        <is>
          <t>N30S/10 : 11R-11 (F2090) Poland</t>
        </is>
      </c>
      <c r="C25" t="inlineStr">
        <is>
          <t>Poland</t>
        </is>
      </c>
      <c r="D25" t="inlineStr">
        <is>
          <t>Substrate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</row>
    <row r="26">
      <c r="A26" t="inlineStr">
        <is>
          <t>CHEM-1760</t>
        </is>
      </c>
      <c r="B26" t="inlineStr">
        <is>
          <t>Pigment(TC RED FD(A))</t>
        </is>
      </c>
      <c r="C26" t="inlineStr">
        <is>
          <t>Japan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</row>
    <row r="27">
      <c r="A27" t="inlineStr">
        <is>
          <t>Original Towel</t>
        </is>
      </c>
      <c r="B27" t="inlineStr">
        <is>
          <t>Towel Paper</t>
        </is>
      </c>
      <c r="C27" t="inlineStr">
        <is>
          <t>Japan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</row>
    <row r="28">
      <c r="A28" t="inlineStr">
        <is>
          <t>0LJ</t>
        </is>
      </c>
      <c r="B28" t="inlineStr">
        <is>
          <t xml:space="preserve">9R-08) N126-103-105 </t>
        </is>
      </c>
      <c r="C28" t="inlineStr">
        <is>
          <t>Japan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</row>
    <row r="29">
      <c r="A29" t="inlineStr">
        <is>
          <t>PP FILM</t>
        </is>
      </c>
      <c r="B29" t="inlineStr">
        <is>
          <t>PP FILM</t>
        </is>
      </c>
      <c r="C29" t="inlineStr">
        <is>
          <t>Japan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</row>
    <row r="30">
      <c r="A30" t="inlineStr">
        <is>
          <t>CHEM-1200</t>
        </is>
      </c>
      <c r="B30" t="inlineStr">
        <is>
          <t>Oxalic Acid</t>
        </is>
      </c>
      <c r="C30" t="inlineStr">
        <is>
          <t>Japan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</row>
    <row r="31">
      <c r="A31" t="inlineStr">
        <is>
          <t>ABN</t>
        </is>
      </c>
      <c r="B31" t="inlineStr">
        <is>
          <t>N20S/9-11R-11-WF10</t>
        </is>
      </c>
      <c r="C31" t="inlineStr">
        <is>
          <t>China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</row>
    <row r="32">
      <c r="A32" t="inlineStr">
        <is>
          <t>YAN</t>
        </is>
      </c>
      <c r="B32" t="inlineStr">
        <is>
          <t>N20S/9-13R-11-WF10</t>
        </is>
      </c>
      <c r="C32" t="inlineStr">
        <is>
          <t>China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</row>
    <row r="33">
      <c r="A33" t="inlineStr">
        <is>
          <t>KEJ</t>
        </is>
      </c>
      <c r="B33" t="inlineStr">
        <is>
          <t>TP119-103-084</t>
        </is>
      </c>
      <c r="C33" t="inlineStr">
        <is>
          <t>Belgium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</row>
    <row r="34">
      <c r="A34" t="inlineStr">
        <is>
          <t>JEJ</t>
        </is>
      </c>
      <c r="B34" t="inlineStr">
        <is>
          <t>TP119-103-105*T7</t>
        </is>
      </c>
      <c r="C34" t="inlineStr">
        <is>
          <t>Belgium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</row>
    <row r="35">
      <c r="A35" t="inlineStr">
        <is>
          <t>CHEM-1830</t>
        </is>
      </c>
      <c r="B35" t="inlineStr">
        <is>
          <t>RCT-43</t>
        </is>
      </c>
      <c r="C35" t="inlineStr">
        <is>
          <t>Japan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</row>
    <row r="36">
      <c r="A36" t="inlineStr">
        <is>
          <t>CHEM-1100</t>
        </is>
      </c>
      <c r="B36" t="inlineStr">
        <is>
          <t>SODIUM HYDROXIDE</t>
        </is>
      </c>
      <c r="C36" t="inlineStr">
        <is>
          <t>Japan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</row>
    <row r="37">
      <c r="A37" t="inlineStr">
        <is>
          <t>CHEM-1680</t>
        </is>
      </c>
      <c r="B37" t="inlineStr">
        <is>
          <t>NAT38</t>
        </is>
      </c>
      <c r="C37" t="inlineStr">
        <is>
          <t>Japan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</row>
    <row r="38">
      <c r="A38" t="inlineStr">
        <is>
          <t>CHEM-1820</t>
        </is>
      </c>
      <c r="B38" t="inlineStr">
        <is>
          <t>JCK-472</t>
        </is>
      </c>
      <c r="C38" t="inlineStr">
        <is>
          <t>Japan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</row>
    <row r="39">
      <c r="A39" t="inlineStr">
        <is>
          <t>CHEM-1840</t>
        </is>
      </c>
      <c r="B39" t="inlineStr">
        <is>
          <t>KAOCERA2020</t>
        </is>
      </c>
      <c r="C39" t="inlineStr">
        <is>
          <t>Japan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</row>
    <row r="40">
      <c r="A40" t="inlineStr">
        <is>
          <t>TPP-1469</t>
        </is>
      </c>
      <c r="B40" t="inlineStr">
        <is>
          <t>TPP-1469</t>
        </is>
      </c>
      <c r="C40" t="inlineStr">
        <is>
          <t>Japan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</row>
    <row r="41">
      <c r="A41" t="inlineStr">
        <is>
          <t>TDJ</t>
        </is>
      </c>
      <c r="B41" t="inlineStr">
        <is>
          <t>(11R-08) TP156- 103-130*TG</t>
        </is>
      </c>
      <c r="C41" t="inlineStr">
        <is>
          <t>New Japan</t>
        </is>
      </c>
      <c r="D41" t="inlineStr">
        <is>
          <t>Substrate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</row>
    <row r="42">
      <c r="A42" t="inlineStr">
        <is>
          <t>CHEM-1730</t>
        </is>
      </c>
      <c r="B42" t="inlineStr">
        <is>
          <t>NAT-41</t>
        </is>
      </c>
      <c r="C42" t="inlineStr">
        <is>
          <t>Japan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</row>
    <row r="43">
      <c r="A43" t="inlineStr">
        <is>
          <t>CHEM-1110</t>
        </is>
      </c>
      <c r="B43" t="inlineStr">
        <is>
          <t>Alumina Powder Mi-386</t>
        </is>
      </c>
      <c r="C43" t="inlineStr"/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</row>
    <row r="44">
      <c r="A44" t="inlineStr">
        <is>
          <t>CHEM-1120</t>
        </is>
      </c>
      <c r="B44" t="inlineStr">
        <is>
          <t>Catapal D</t>
        </is>
      </c>
      <c r="C44" t="inlineStr"/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</row>
    <row r="45">
      <c r="A45" t="inlineStr">
        <is>
          <t>CHEM-1010</t>
        </is>
      </c>
      <c r="B45" t="inlineStr">
        <is>
          <t>Sodium Carbonate Anhydrous</t>
        </is>
      </c>
      <c r="C45" t="inlineStr"/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</row>
    <row r="46">
      <c r="A46" t="inlineStr">
        <is>
          <t>CHEM-1410</t>
        </is>
      </c>
      <c r="B46" t="inlineStr">
        <is>
          <t>SCFa100L4</t>
        </is>
      </c>
      <c r="C46" t="inlineStr"/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</row>
    <row r="47">
      <c r="A47" t="inlineStr">
        <is>
          <t>CHEM-1430</t>
        </is>
      </c>
      <c r="B47" t="inlineStr">
        <is>
          <t>RCT22</t>
        </is>
      </c>
      <c r="C47" t="inlineStr"/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</row>
    <row r="48">
      <c r="A48" t="inlineStr">
        <is>
          <t>CHEM-1450</t>
        </is>
      </c>
      <c r="B48" t="inlineStr">
        <is>
          <t>Noptechs</t>
        </is>
      </c>
      <c r="C48" t="inlineStr"/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</row>
    <row r="49">
      <c r="A49" t="inlineStr">
        <is>
          <t>CHEM-1470</t>
        </is>
      </c>
      <c r="B49" t="inlineStr">
        <is>
          <t>SCFa-100</t>
        </is>
      </c>
      <c r="C49" t="inlineStr"/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</row>
    <row r="50">
      <c r="A50" t="inlineStr">
        <is>
          <t>CHEM-1480</t>
        </is>
      </c>
      <c r="B50" t="inlineStr">
        <is>
          <t>NAT-30</t>
        </is>
      </c>
      <c r="C50" t="inlineStr"/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</row>
    <row r="51">
      <c r="A51" t="inlineStr">
        <is>
          <t>CHEM-1560</t>
        </is>
      </c>
      <c r="B51" t="inlineStr">
        <is>
          <t>TPZ-511</t>
        </is>
      </c>
      <c r="C51" t="inlineStr"/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</row>
    <row r="52">
      <c r="A52" t="inlineStr">
        <is>
          <t>CHEM-1520</t>
        </is>
      </c>
      <c r="B52" t="inlineStr">
        <is>
          <t>Puralox TH100-100L1</t>
        </is>
      </c>
      <c r="C52" t="inlineStr"/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</row>
    <row r="53">
      <c r="A53" t="inlineStr">
        <is>
          <t>CHEM-1580</t>
        </is>
      </c>
      <c r="B53" t="inlineStr">
        <is>
          <t>Barium Acetate</t>
        </is>
      </c>
      <c r="C53" t="inlineStr"/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</row>
    <row r="54">
      <c r="A54" t="inlineStr">
        <is>
          <t>CHEM-1550</t>
        </is>
      </c>
      <c r="B54" t="inlineStr">
        <is>
          <t>Chupol CC-6</t>
        </is>
      </c>
      <c r="C54" t="inlineStr"/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</row>
    <row r="55">
      <c r="A55" t="inlineStr">
        <is>
          <t>CHEM-1510</t>
        </is>
      </c>
      <c r="B55" t="inlineStr">
        <is>
          <t>BA-070</t>
        </is>
      </c>
      <c r="C55" t="inlineStr"/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</row>
    <row r="56">
      <c r="A56" t="inlineStr">
        <is>
          <t>CHEM-1080</t>
        </is>
      </c>
      <c r="B56" t="inlineStr">
        <is>
          <t>Hydrazine Hydrate</t>
        </is>
      </c>
      <c r="C56" t="inlineStr"/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</row>
    <row r="57">
      <c r="A57" t="inlineStr">
        <is>
          <t>CHEM-1770</t>
        </is>
      </c>
      <c r="B57" t="inlineStr">
        <is>
          <t>RCT-39</t>
        </is>
      </c>
      <c r="C57" t="inlineStr"/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</row>
    <row r="58">
      <c r="A58" t="inlineStr">
        <is>
          <t>CHEM-1850</t>
        </is>
      </c>
      <c r="B58" t="inlineStr">
        <is>
          <t>TPP-1469</t>
        </is>
      </c>
      <c r="C58" t="inlineStr"/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</row>
    <row r="59">
      <c r="A59" t="inlineStr">
        <is>
          <t>CHEM-1780</t>
        </is>
      </c>
      <c r="B59" t="inlineStr">
        <is>
          <t>Diamonium Citrate</t>
        </is>
      </c>
      <c r="C59" t="inlineStr"/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</row>
    <row r="60">
      <c r="A60" t="inlineStr">
        <is>
          <t>CHEM-1020</t>
        </is>
      </c>
      <c r="B60" t="inlineStr">
        <is>
          <t>Sodium Nitrite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</row>
    <row r="61">
      <c r="A61" t="inlineStr">
        <is>
          <t>CSA Code</t>
        </is>
      </c>
      <c r="B61" t="inlineStr">
        <is>
          <t>PART NAME</t>
        </is>
      </c>
      <c r="C61" t="inlineStr">
        <is>
          <t>Supplier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</row>
    <row r="62">
      <c r="A62" t="inlineStr">
        <is>
          <t>Ester Film</t>
        </is>
      </c>
      <c r="B62" t="inlineStr">
        <is>
          <t>Ester Film</t>
        </is>
      </c>
      <c r="C62" t="inlineStr">
        <is>
          <t>TTAF</t>
        </is>
      </c>
      <c r="D62" t="inlineStr">
        <is>
          <t>Substrate</t>
        </is>
      </c>
      <c r="E62" t="inlineStr">
        <is>
          <t>kg</t>
        </is>
      </c>
      <c r="F62" t="n">
        <v>0</v>
      </c>
      <c r="G62" t="n">
        <v>0</v>
      </c>
      <c r="H62" t="n">
        <v>4</v>
      </c>
    </row>
    <row r="63">
      <c r="A63" t="inlineStr">
        <is>
          <t>PP Film</t>
        </is>
      </c>
      <c r="B63" t="inlineStr">
        <is>
          <t>PP Film</t>
        </is>
      </c>
      <c r="C63" t="inlineStr">
        <is>
          <t>TTAF</t>
        </is>
      </c>
      <c r="D63" t="inlineStr">
        <is>
          <t>Substrate</t>
        </is>
      </c>
      <c r="E63" t="inlineStr">
        <is>
          <t>kg</t>
        </is>
      </c>
      <c r="F63" t="n">
        <v>0</v>
      </c>
      <c r="G63" t="n">
        <v>0</v>
      </c>
      <c r="H63" t="n">
        <v>4</v>
      </c>
    </row>
    <row r="64">
      <c r="A64" t="inlineStr">
        <is>
          <t>5SN</t>
        </is>
      </c>
      <c r="B64" t="inlineStr">
        <is>
          <t>5SN</t>
        </is>
      </c>
      <c r="C64" t="inlineStr">
        <is>
          <t>TTAF</t>
        </is>
      </c>
      <c r="D64" t="inlineStr">
        <is>
          <t>Substrate</t>
        </is>
      </c>
      <c r="E64" t="inlineStr">
        <is>
          <t>kg</t>
        </is>
      </c>
      <c r="F64" t="n">
        <v>0</v>
      </c>
      <c r="G64" t="n">
        <v>0</v>
      </c>
      <c r="H64" t="n">
        <v>4</v>
      </c>
    </row>
    <row r="65">
      <c r="A65" t="inlineStr">
        <is>
          <t>1JN</t>
        </is>
      </c>
      <c r="B65" t="inlineStr">
        <is>
          <t>1JN</t>
        </is>
      </c>
      <c r="C65" t="inlineStr">
        <is>
          <t>TTAF</t>
        </is>
      </c>
      <c r="D65" t="inlineStr">
        <is>
          <t>Chemical</t>
        </is>
      </c>
      <c r="E65" t="inlineStr">
        <is>
          <t>kg</t>
        </is>
      </c>
      <c r="F65" t="n">
        <v>0</v>
      </c>
      <c r="G65" t="n">
        <v>0</v>
      </c>
      <c r="H65" t="n">
        <v>4</v>
      </c>
    </row>
    <row r="66">
      <c r="A66" t="inlineStr">
        <is>
          <t>V03</t>
        </is>
      </c>
      <c r="B66" t="inlineStr">
        <is>
          <t>V03</t>
        </is>
      </c>
      <c r="C66" t="inlineStr">
        <is>
          <t>TTAF</t>
        </is>
      </c>
      <c r="D66" t="inlineStr">
        <is>
          <t>Chemical</t>
        </is>
      </c>
      <c r="E66" t="inlineStr">
        <is>
          <t>kg</t>
        </is>
      </c>
      <c r="F66" t="n">
        <v>0</v>
      </c>
      <c r="G66" t="n">
        <v>0</v>
      </c>
      <c r="H66" t="n">
        <v>4</v>
      </c>
    </row>
    <row r="67">
      <c r="A67" t="inlineStr">
        <is>
          <t>V19</t>
        </is>
      </c>
      <c r="B67" t="inlineStr">
        <is>
          <t>V19</t>
        </is>
      </c>
      <c r="C67" t="inlineStr">
        <is>
          <t>TTAF</t>
        </is>
      </c>
      <c r="D67" t="inlineStr">
        <is>
          <t>Chemical</t>
        </is>
      </c>
      <c r="E67" t="inlineStr">
        <is>
          <t>kg</t>
        </is>
      </c>
      <c r="F67" t="n">
        <v>0</v>
      </c>
      <c r="G67" t="n">
        <v>0</v>
      </c>
      <c r="H67" t="n">
        <v>4</v>
      </c>
    </row>
    <row r="68">
      <c r="A68" t="inlineStr">
        <is>
          <t>3TP</t>
        </is>
      </c>
      <c r="B68" t="inlineStr">
        <is>
          <t>3TP</t>
        </is>
      </c>
      <c r="C68" t="inlineStr">
        <is>
          <t>TTAF</t>
        </is>
      </c>
      <c r="D68" t="inlineStr">
        <is>
          <t>Substrate</t>
        </is>
      </c>
      <c r="E68" t="inlineStr">
        <is>
          <t>kg</t>
        </is>
      </c>
      <c r="F68" t="n">
        <v>0</v>
      </c>
      <c r="G68" t="n">
        <v>0</v>
      </c>
      <c r="H68" t="n">
        <v>4</v>
      </c>
    </row>
    <row r="69">
      <c r="A69" t="inlineStr">
        <is>
          <t>CHEM-1740</t>
        </is>
      </c>
      <c r="B69" t="inlineStr">
        <is>
          <t>Alumax GX-L1</t>
        </is>
      </c>
      <c r="C69" t="inlineStr">
        <is>
          <t>PIDC</t>
        </is>
      </c>
      <c r="D69" t="inlineStr">
        <is>
          <t>Chemical</t>
        </is>
      </c>
      <c r="E69" t="inlineStr">
        <is>
          <t>kg</t>
        </is>
      </c>
      <c r="F69" t="n">
        <v>0</v>
      </c>
      <c r="G69" t="n">
        <v>0</v>
      </c>
      <c r="H69" t="n">
        <v>4</v>
      </c>
    </row>
    <row r="70">
      <c r="A70" t="inlineStr">
        <is>
          <t>CHEM-1750</t>
        </is>
      </c>
      <c r="B70" t="inlineStr">
        <is>
          <t>Alumax WDB-5</t>
        </is>
      </c>
      <c r="C70" t="inlineStr">
        <is>
          <t>PIDC</t>
        </is>
      </c>
      <c r="D70" t="inlineStr">
        <is>
          <t>Chemical</t>
        </is>
      </c>
      <c r="E70" t="inlineStr">
        <is>
          <t>kg</t>
        </is>
      </c>
      <c r="F70" t="n">
        <v>0</v>
      </c>
      <c r="G70" t="n">
        <v>0</v>
      </c>
      <c r="H70" t="n">
        <v>4</v>
      </c>
    </row>
    <row r="71">
      <c r="A71" t="inlineStr">
        <is>
          <t>848530</t>
        </is>
      </c>
      <c r="B71" t="inlineStr">
        <is>
          <t>848530</t>
        </is>
      </c>
      <c r="C71" t="inlineStr">
        <is>
          <t>Corning</t>
        </is>
      </c>
      <c r="D71" t="inlineStr">
        <is>
          <t>Chemical</t>
        </is>
      </c>
      <c r="E71" t="inlineStr">
        <is>
          <t>kg</t>
        </is>
      </c>
      <c r="F71" t="n">
        <v>0</v>
      </c>
      <c r="G71" t="n">
        <v>0</v>
      </c>
      <c r="H71" t="n">
        <v>4</v>
      </c>
    </row>
    <row r="72">
      <c r="A72" t="inlineStr">
        <is>
          <t>848531</t>
        </is>
      </c>
      <c r="B72" t="inlineStr">
        <is>
          <t>848531</t>
        </is>
      </c>
      <c r="C72" t="inlineStr">
        <is>
          <t>Corning</t>
        </is>
      </c>
      <c r="D72" t="inlineStr">
        <is>
          <t>Chemical</t>
        </is>
      </c>
      <c r="E72" t="inlineStr">
        <is>
          <t>kg</t>
        </is>
      </c>
      <c r="F72" t="n">
        <v>0</v>
      </c>
      <c r="G72" t="n">
        <v>0</v>
      </c>
      <c r="H72" t="n">
        <v>4</v>
      </c>
    </row>
    <row r="73">
      <c r="A73" t="inlineStr">
        <is>
          <t>846227</t>
        </is>
      </c>
      <c r="B73" t="inlineStr">
        <is>
          <t>846227</t>
        </is>
      </c>
      <c r="C73" t="inlineStr">
        <is>
          <t>Corning</t>
        </is>
      </c>
      <c r="D73" t="inlineStr">
        <is>
          <t>Chemical</t>
        </is>
      </c>
      <c r="E73" t="inlineStr">
        <is>
          <t>kg</t>
        </is>
      </c>
      <c r="F73" t="n">
        <v>0</v>
      </c>
      <c r="G73" t="n">
        <v>0</v>
      </c>
      <c r="H73" t="n">
        <v>4</v>
      </c>
    </row>
    <row r="74">
      <c r="A74" t="inlineStr">
        <is>
          <t>OLJ</t>
        </is>
      </c>
      <c r="B74" t="inlineStr">
        <is>
          <t>OLJ</t>
        </is>
      </c>
      <c r="C74" t="inlineStr">
        <is>
          <t>NGK Japan</t>
        </is>
      </c>
      <c r="D74" t="inlineStr">
        <is>
          <t>Chemical</t>
        </is>
      </c>
      <c r="E74" t="inlineStr">
        <is>
          <t>kg</t>
        </is>
      </c>
      <c r="F74" t="n">
        <v>0</v>
      </c>
      <c r="G74" t="n">
        <v>0</v>
      </c>
      <c r="H74" t="n">
        <v>4</v>
      </c>
    </row>
    <row r="75">
      <c r="A75" t="inlineStr">
        <is>
          <t>CHEM-1500</t>
        </is>
      </c>
      <c r="B75" t="inlineStr">
        <is>
          <t>TMAH</t>
        </is>
      </c>
      <c r="C75" t="inlineStr">
        <is>
          <t>SACHEM</t>
        </is>
      </c>
      <c r="D75" t="inlineStr">
        <is>
          <t>Chemical</t>
        </is>
      </c>
      <c r="E75" t="inlineStr">
        <is>
          <t>kg</t>
        </is>
      </c>
      <c r="F75" t="n">
        <v>0</v>
      </c>
      <c r="G75" t="n">
        <v>0</v>
      </c>
      <c r="H75" t="n">
        <v>4</v>
      </c>
    </row>
    <row r="76">
      <c r="A76" t="inlineStr">
        <is>
          <t>CHEM-1810</t>
        </is>
      </c>
      <c r="B76" t="inlineStr">
        <is>
          <t>TEAH</t>
        </is>
      </c>
      <c r="C76" t="inlineStr">
        <is>
          <t>SACHEM</t>
        </is>
      </c>
      <c r="D76" t="inlineStr">
        <is>
          <t>Chemical</t>
        </is>
      </c>
      <c r="E76" t="inlineStr">
        <is>
          <t>kg</t>
        </is>
      </c>
      <c r="F76" t="n">
        <v>0</v>
      </c>
      <c r="G76" t="n">
        <v>0</v>
      </c>
      <c r="H76" t="n">
        <v>4</v>
      </c>
    </row>
    <row r="77">
      <c r="A77" t="inlineStr">
        <is>
          <t>Chem-1220</t>
        </is>
      </c>
      <c r="B77" t="inlineStr">
        <is>
          <t>Actalys Lisa</t>
        </is>
      </c>
      <c r="C77" t="inlineStr">
        <is>
          <t>Rhodia / Solvay</t>
        </is>
      </c>
      <c r="D77" t="inlineStr">
        <is>
          <t>Chemical</t>
        </is>
      </c>
      <c r="E77" t="inlineStr">
        <is>
          <t>kg</t>
        </is>
      </c>
      <c r="F77" t="n">
        <v>0</v>
      </c>
      <c r="G77" t="n">
        <v>0</v>
      </c>
      <c r="H77" t="n">
        <v>4</v>
      </c>
    </row>
    <row r="78">
      <c r="A78" t="inlineStr">
        <is>
          <t>Chem-1610</t>
        </is>
      </c>
      <c r="B78" t="inlineStr">
        <is>
          <t>Optalys 138</t>
        </is>
      </c>
      <c r="C78" t="inlineStr">
        <is>
          <t>Rhodia / Solvay</t>
        </is>
      </c>
      <c r="D78" t="inlineStr">
        <is>
          <t>Chemical</t>
        </is>
      </c>
      <c r="E78" t="inlineStr">
        <is>
          <t>kg</t>
        </is>
      </c>
      <c r="F78" t="n">
        <v>0</v>
      </c>
      <c r="G78" t="n">
        <v>0</v>
      </c>
      <c r="H78" t="n">
        <v>4</v>
      </c>
    </row>
    <row r="79">
      <c r="A79" t="inlineStr">
        <is>
          <t>Chem-1490</t>
        </is>
      </c>
      <c r="B79" t="inlineStr">
        <is>
          <t>Optalys 227</t>
        </is>
      </c>
      <c r="C79" t="inlineStr">
        <is>
          <t>Rhodia / Solvay</t>
        </is>
      </c>
      <c r="D79" t="inlineStr">
        <is>
          <t>Chemical</t>
        </is>
      </c>
      <c r="E79" t="inlineStr">
        <is>
          <t>kg</t>
        </is>
      </c>
      <c r="F79" t="n">
        <v>0</v>
      </c>
      <c r="G79" t="n">
        <v>0</v>
      </c>
      <c r="H79" t="n">
        <v>4</v>
      </c>
    </row>
    <row r="80">
      <c r="A80" t="inlineStr">
        <is>
          <t>Chem-1790</t>
        </is>
      </c>
      <c r="B80" t="inlineStr">
        <is>
          <t>Optalys 466</t>
        </is>
      </c>
      <c r="C80" t="inlineStr">
        <is>
          <t>Rhodia / Solvay</t>
        </is>
      </c>
      <c r="D80" t="inlineStr">
        <is>
          <t>Chemical</t>
        </is>
      </c>
      <c r="E80" t="inlineStr">
        <is>
          <t>kg</t>
        </is>
      </c>
      <c r="F80" t="n">
        <v>0</v>
      </c>
      <c r="G80" t="n">
        <v>0</v>
      </c>
      <c r="H80" t="n">
        <v>4</v>
      </c>
    </row>
    <row r="81">
      <c r="A81" t="inlineStr">
        <is>
          <t>Chem-1800</t>
        </is>
      </c>
      <c r="B81" t="inlineStr">
        <is>
          <t>Stabylis 392</t>
        </is>
      </c>
      <c r="C81" t="inlineStr">
        <is>
          <t>Rhodia / Solvay</t>
        </is>
      </c>
      <c r="D81" t="inlineStr">
        <is>
          <t>Chemical</t>
        </is>
      </c>
      <c r="E81" t="inlineStr">
        <is>
          <t>kg</t>
        </is>
      </c>
      <c r="F81" t="n">
        <v>0</v>
      </c>
      <c r="G81" t="n">
        <v>0</v>
      </c>
      <c r="H81" t="n">
        <v>4</v>
      </c>
    </row>
    <row r="82">
      <c r="A82" t="inlineStr">
        <is>
          <t>A043</t>
        </is>
      </c>
      <c r="B82" t="inlineStr">
        <is>
          <t>TDJ</t>
        </is>
      </c>
      <c r="C82" t="inlineStr">
        <is>
          <t>TTAF</t>
        </is>
      </c>
      <c r="D82" t="inlineStr">
        <is>
          <t>Chemical</t>
        </is>
      </c>
      <c r="E82" t="inlineStr">
        <is>
          <t>kg</t>
        </is>
      </c>
      <c r="F82" t="n">
        <v>0</v>
      </c>
      <c r="G82" t="n">
        <v>0</v>
      </c>
      <c r="H82" t="n">
        <v>4</v>
      </c>
    </row>
    <row r="83">
      <c r="A83" t="inlineStr">
        <is>
          <t>CHEM-1220</t>
        </is>
      </c>
      <c r="B83" t="inlineStr">
        <is>
          <t>Actalys Lisa</t>
        </is>
      </c>
      <c r="C83" t="inlineStr"/>
      <c r="D83" t="inlineStr">
        <is>
          <t>Chemical</t>
        </is>
      </c>
      <c r="E83" t="inlineStr">
        <is>
          <t>kg</t>
        </is>
      </c>
      <c r="F83" t="n">
        <v>0</v>
      </c>
      <c r="G83" t="n">
        <v>0</v>
      </c>
      <c r="H83" t="n">
        <v>4</v>
      </c>
    </row>
    <row r="84">
      <c r="A84" t="inlineStr">
        <is>
          <t>CHEM-1260</t>
        </is>
      </c>
      <c r="B84" t="inlineStr">
        <is>
          <t>Acetic Acid 90% (25L)</t>
        </is>
      </c>
      <c r="C84" t="inlineStr"/>
      <c r="D84" t="inlineStr">
        <is>
          <t>Chemical</t>
        </is>
      </c>
      <c r="E84" t="inlineStr">
        <is>
          <t>kg</t>
        </is>
      </c>
      <c r="F84" t="n">
        <v>0</v>
      </c>
      <c r="G84" t="n">
        <v>0</v>
      </c>
      <c r="H84" t="n">
        <v>4</v>
      </c>
    </row>
    <row r="85">
      <c r="A85" t="inlineStr">
        <is>
          <t>CHEM-1790</t>
        </is>
      </c>
      <c r="B85" t="inlineStr">
        <is>
          <t>Optalys 466</t>
        </is>
      </c>
      <c r="C85" t="inlineStr"/>
      <c r="D85" t="inlineStr">
        <is>
          <t>Chemical</t>
        </is>
      </c>
      <c r="E85" t="inlineStr">
        <is>
          <t>kg</t>
        </is>
      </c>
      <c r="F85" t="n">
        <v>0</v>
      </c>
      <c r="G85" t="n">
        <v>0</v>
      </c>
      <c r="H85" t="n">
        <v>4</v>
      </c>
    </row>
    <row r="86">
      <c r="A86" t="inlineStr">
        <is>
          <t>TSZ-616</t>
        </is>
      </c>
      <c r="B86" t="inlineStr">
        <is>
          <t>TSZ-616 Slurry - NO PGM</t>
        </is>
      </c>
      <c r="C86" t="inlineStr"/>
      <c r="D86" t="inlineStr">
        <is>
          <t>Chemical</t>
        </is>
      </c>
      <c r="E86" t="inlineStr">
        <is>
          <t>kg</t>
        </is>
      </c>
      <c r="F86" t="n">
        <v>0</v>
      </c>
      <c r="G86" t="n">
        <v>0</v>
      </c>
      <c r="H86" t="n">
        <v>4</v>
      </c>
    </row>
    <row r="87">
      <c r="A87" t="inlineStr">
        <is>
          <t>CHEM-1180</t>
        </is>
      </c>
      <c r="B87" t="inlineStr">
        <is>
          <t>Palladium DiNitrate (PDN) - TSAM</t>
        </is>
      </c>
      <c r="C87" t="inlineStr"/>
      <c r="D87" t="inlineStr">
        <is>
          <t>Chemical</t>
        </is>
      </c>
      <c r="E87" t="inlineStr">
        <is>
          <t>kg</t>
        </is>
      </c>
      <c r="F87" t="n">
        <v>0</v>
      </c>
      <c r="G87" t="n">
        <v>0</v>
      </c>
      <c r="H87" t="n">
        <v>4</v>
      </c>
    </row>
    <row r="88">
      <c r="A88" t="inlineStr">
        <is>
          <t>TSZ-938</t>
        </is>
      </c>
      <c r="B88" t="inlineStr">
        <is>
          <t>TSZ-938 Slurry - NO PGM</t>
        </is>
      </c>
      <c r="C88" t="inlineStr"/>
      <c r="D88" t="inlineStr">
        <is>
          <t>Chemical</t>
        </is>
      </c>
      <c r="E88" t="inlineStr">
        <is>
          <t>kg</t>
        </is>
      </c>
      <c r="F88" t="n">
        <v>0</v>
      </c>
      <c r="G88" t="n">
        <v>0</v>
      </c>
      <c r="H88" t="n">
        <v>4</v>
      </c>
    </row>
    <row r="89">
      <c r="A89" t="inlineStr">
        <is>
          <t>CHEM-1460</t>
        </is>
      </c>
      <c r="B89" t="inlineStr">
        <is>
          <t>Optalys 114</t>
        </is>
      </c>
      <c r="C89" t="inlineStr"/>
      <c r="D89" t="inlineStr">
        <is>
          <t>Chemical</t>
        </is>
      </c>
      <c r="E89" t="inlineStr">
        <is>
          <t>kg</t>
        </is>
      </c>
      <c r="F89" t="n">
        <v>0</v>
      </c>
      <c r="G89" t="n">
        <v>0</v>
      </c>
      <c r="H89" t="n">
        <v>4</v>
      </c>
    </row>
    <row r="90">
      <c r="A90" t="inlineStr">
        <is>
          <t>CHEM-1490</t>
        </is>
      </c>
      <c r="B90" t="inlineStr">
        <is>
          <t>Optalys 227</t>
        </is>
      </c>
      <c r="C90" t="inlineStr"/>
      <c r="D90" t="inlineStr">
        <is>
          <t>Chemical</t>
        </is>
      </c>
      <c r="E90" t="inlineStr">
        <is>
          <t>kg</t>
        </is>
      </c>
      <c r="F90" t="n">
        <v>0</v>
      </c>
      <c r="G90" t="n">
        <v>0</v>
      </c>
      <c r="H90" t="n">
        <v>4</v>
      </c>
    </row>
    <row r="91">
      <c r="A91" t="inlineStr">
        <is>
          <t>CHEM-1610</t>
        </is>
      </c>
      <c r="B91" t="inlineStr">
        <is>
          <t>Optalys 138</t>
        </is>
      </c>
      <c r="C91" t="inlineStr"/>
      <c r="D91" t="inlineStr">
        <is>
          <t>Chemical</t>
        </is>
      </c>
      <c r="E91" t="inlineStr">
        <is>
          <t>kg</t>
        </is>
      </c>
      <c r="F91" t="n">
        <v>0</v>
      </c>
      <c r="G91" t="n">
        <v>0</v>
      </c>
      <c r="H91" t="n">
        <v>4</v>
      </c>
    </row>
    <row r="92">
      <c r="A92" t="inlineStr">
        <is>
          <t>CHEM-1640</t>
        </is>
      </c>
      <c r="B92" t="inlineStr">
        <is>
          <t>Palladium DiNitrate (PDN) - VW</t>
        </is>
      </c>
      <c r="C92" t="inlineStr"/>
      <c r="D92" t="inlineStr">
        <is>
          <t>Chemical</t>
        </is>
      </c>
      <c r="E92" t="inlineStr">
        <is>
          <t>kg</t>
        </is>
      </c>
      <c r="F92" t="n">
        <v>0</v>
      </c>
      <c r="G92" t="n">
        <v>0</v>
      </c>
      <c r="H92" t="n">
        <v>4</v>
      </c>
    </row>
    <row r="93">
      <c r="A93" t="inlineStr">
        <is>
          <t>CHEM-1030</t>
        </is>
      </c>
      <c r="B93" t="inlineStr">
        <is>
          <t>Ammonium Hydroxide (25L)</t>
        </is>
      </c>
      <c r="C93" t="inlineStr"/>
      <c r="D93" t="inlineStr">
        <is>
          <t>Chemical</t>
        </is>
      </c>
      <c r="E93" t="inlineStr">
        <is>
          <t>kg</t>
        </is>
      </c>
      <c r="F93" t="n">
        <v>0</v>
      </c>
      <c r="G93" t="n">
        <v>0</v>
      </c>
      <c r="H93" t="n">
        <v>4</v>
      </c>
    </row>
    <row r="94">
      <c r="A94" t="inlineStr">
        <is>
          <t>CHEM-1800</t>
        </is>
      </c>
      <c r="B94" t="inlineStr">
        <is>
          <t>Stabilys 392</t>
        </is>
      </c>
      <c r="C94" t="inlineStr"/>
      <c r="D94" t="inlineStr">
        <is>
          <t>Chemical</t>
        </is>
      </c>
      <c r="E94" t="inlineStr">
        <is>
          <t>kg</t>
        </is>
      </c>
      <c r="F94" t="n">
        <v>0</v>
      </c>
      <c r="G94" t="n">
        <v>0</v>
      </c>
      <c r="H94" t="n">
        <v>4</v>
      </c>
    </row>
    <row r="95">
      <c r="A95" t="inlineStr">
        <is>
          <t>CHEM-1710</t>
        </is>
      </c>
      <c r="B95" t="inlineStr">
        <is>
          <t>Stabilys 308</t>
        </is>
      </c>
      <c r="C95" t="inlineStr"/>
      <c r="D95" t="inlineStr">
        <is>
          <t>Chemical</t>
        </is>
      </c>
      <c r="E95" t="inlineStr">
        <is>
          <t>kg</t>
        </is>
      </c>
      <c r="F95" t="n">
        <v>0</v>
      </c>
      <c r="G95" t="n">
        <v>0</v>
      </c>
      <c r="H95" t="n">
        <v>4</v>
      </c>
    </row>
    <row r="96">
      <c r="A96" t="inlineStr">
        <is>
          <t>CHEM-1170</t>
        </is>
      </c>
      <c r="B96" t="inlineStr">
        <is>
          <t>Rhodium Trichloride (RTC) - TSAM</t>
        </is>
      </c>
      <c r="C96" t="inlineStr"/>
      <c r="D96" t="inlineStr">
        <is>
          <t>Chemical</t>
        </is>
      </c>
      <c r="E96" t="inlineStr">
        <is>
          <t>kg</t>
        </is>
      </c>
      <c r="F96" t="n">
        <v>0</v>
      </c>
      <c r="G96" t="n">
        <v>0</v>
      </c>
      <c r="H96" t="n">
        <v>4</v>
      </c>
    </row>
    <row r="97">
      <c r="A97" t="inlineStr">
        <is>
          <t>CHEM-1620</t>
        </is>
      </c>
      <c r="B97" t="inlineStr">
        <is>
          <t>Ammonium Hydroxide (2.5L)</t>
        </is>
      </c>
      <c r="C97" t="inlineStr"/>
      <c r="D97" t="inlineStr">
        <is>
          <t>Chemical</t>
        </is>
      </c>
      <c r="E97" t="inlineStr">
        <is>
          <t>kg</t>
        </is>
      </c>
      <c r="F97" t="n">
        <v>0</v>
      </c>
      <c r="G97" t="n">
        <v>0</v>
      </c>
      <c r="H97" t="n">
        <v>4</v>
      </c>
    </row>
    <row r="98">
      <c r="A98" t="inlineStr">
        <is>
          <t>CHEM-1050</t>
        </is>
      </c>
      <c r="B98" t="inlineStr">
        <is>
          <t>Nitric Acid</t>
        </is>
      </c>
      <c r="C98" t="inlineStr"/>
      <c r="D98" t="inlineStr">
        <is>
          <t>Chemical</t>
        </is>
      </c>
      <c r="E98" t="inlineStr">
        <is>
          <t>kg</t>
        </is>
      </c>
      <c r="F98" t="n">
        <v>0</v>
      </c>
      <c r="G98" t="n">
        <v>0</v>
      </c>
      <c r="H98" t="n">
        <v>4</v>
      </c>
    </row>
    <row r="99">
      <c r="A99" t="inlineStr">
        <is>
          <t>CHEM-1190</t>
        </is>
      </c>
      <c r="B99" t="inlineStr">
        <is>
          <t>Hydrochloric Acid</t>
        </is>
      </c>
      <c r="C99" t="inlineStr"/>
      <c r="D99" t="inlineStr">
        <is>
          <t>Chemical</t>
        </is>
      </c>
      <c r="E99" t="inlineStr">
        <is>
          <t>kg</t>
        </is>
      </c>
      <c r="F99" t="n">
        <v>0</v>
      </c>
      <c r="G99" t="n">
        <v>0</v>
      </c>
      <c r="H99" t="n">
        <v>4</v>
      </c>
    </row>
    <row r="100">
      <c r="A100" t="inlineStr">
        <is>
          <t>CHEM-1630</t>
        </is>
      </c>
      <c r="B100" t="inlineStr">
        <is>
          <t>Rhodium Trichloride (RTC) - VW</t>
        </is>
      </c>
      <c r="C100" t="inlineStr"/>
      <c r="D100" t="inlineStr">
        <is>
          <t>Chemical</t>
        </is>
      </c>
      <c r="E100" t="inlineStr">
        <is>
          <t>kg</t>
        </is>
      </c>
      <c r="F100" t="n">
        <v>0</v>
      </c>
      <c r="G100" t="n">
        <v>0</v>
      </c>
      <c r="H100" t="n">
        <v>4</v>
      </c>
    </row>
    <row r="101">
      <c r="A101" t="inlineStr">
        <is>
          <t>CHEM-1090</t>
        </is>
      </c>
      <c r="B101" t="inlineStr">
        <is>
          <t>Chloro Platinic Acid (CPA) - TSAM</t>
        </is>
      </c>
      <c r="C101" t="inlineStr"/>
      <c r="D101" t="inlineStr">
        <is>
          <t>Chemical</t>
        </is>
      </c>
      <c r="E101" t="inlineStr">
        <is>
          <t>kg</t>
        </is>
      </c>
      <c r="F101" t="n">
        <v>0</v>
      </c>
      <c r="G101" t="n">
        <v>0</v>
      </c>
      <c r="H101" t="n">
        <v>4</v>
      </c>
    </row>
    <row r="102">
      <c r="A102" t="inlineStr">
        <is>
          <t>CHEM-1310</t>
        </is>
      </c>
      <c r="B102" t="inlineStr">
        <is>
          <t>Monoethanol Amine</t>
        </is>
      </c>
      <c r="C102" t="inlineStr"/>
      <c r="D102" t="inlineStr">
        <is>
          <t>Chemical</t>
        </is>
      </c>
      <c r="E102" t="inlineStr">
        <is>
          <t>kg</t>
        </is>
      </c>
      <c r="F102" t="n">
        <v>0</v>
      </c>
      <c r="G102" t="n">
        <v>0</v>
      </c>
      <c r="H102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9" t="inlineStr">
        <is>
          <t>Intermediate</t>
        </is>
      </c>
      <c r="B1" s="29" t="inlineStr">
        <is>
          <t>RM_Code</t>
        </is>
      </c>
      <c r="C1" s="29" t="inlineStr">
        <is>
          <t>RM_Qty_Per_Batch</t>
        </is>
      </c>
      <c r="D1" s="29" t="inlineStr">
        <is>
          <t>PPGridRow</t>
        </is>
      </c>
    </row>
    <row r="2">
      <c r="A2" t="inlineStr">
        <is>
          <t>TSP-049</t>
        </is>
      </c>
      <c r="B2" t="inlineStr">
        <is>
          <t>CHEM-1220</t>
        </is>
      </c>
      <c r="C2" t="n">
        <v>109.72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CHEM-1410</t>
        </is>
      </c>
      <c r="C3" t="n">
        <v>36.061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CHEM-1250</t>
        </is>
      </c>
      <c r="C4" t="n">
        <v>4.5569</v>
      </c>
      <c r="D4">
        <f>IFERROR(MATCH($A4,PP_Grid[Intermediate],0),99999)</f>
        <v/>
      </c>
    </row>
    <row r="5">
      <c r="A5" t="inlineStr">
        <is>
          <t>TSP-049</t>
        </is>
      </c>
      <c r="B5" t="inlineStr">
        <is>
          <t>CHEM-1120</t>
        </is>
      </c>
      <c r="C5" t="n">
        <v>6.181</v>
      </c>
      <c r="D5">
        <f>IFERROR(MATCH($A5,PP_Grid[Intermediate],0),99999)</f>
        <v/>
      </c>
    </row>
    <row r="6">
      <c r="A6" t="inlineStr">
        <is>
          <t>TSP-049</t>
        </is>
      </c>
      <c r="B6" t="inlineStr">
        <is>
          <t>CHEM-1260</t>
        </is>
      </c>
      <c r="C6" t="n">
        <v>1.438</v>
      </c>
      <c r="D6">
        <f>IFERROR(MATCH($A6,PP_Grid[Intermediate],0),99999)</f>
        <v/>
      </c>
    </row>
    <row r="7">
      <c r="A7" t="inlineStr">
        <is>
          <t>TSP-049</t>
        </is>
      </c>
      <c r="B7" t="inlineStr">
        <is>
          <t>CHEM-1420</t>
        </is>
      </c>
      <c r="C7" t="n">
        <v>0.307375</v>
      </c>
      <c r="D7">
        <f>IFERROR(MATCH($A7,PP_Grid[Intermediate],0),99999)</f>
        <v/>
      </c>
    </row>
    <row r="8">
      <c r="A8" t="inlineStr">
        <is>
          <t>TSP-049</t>
        </is>
      </c>
      <c r="B8" t="inlineStr">
        <is>
          <t>CHEM-1440</t>
        </is>
      </c>
      <c r="C8" t="n">
        <v>0.484115</v>
      </c>
      <c r="D8">
        <f>IFERROR(MATCH($A8,PP_Grid[Intermediate],0),99999)</f>
        <v/>
      </c>
    </row>
    <row r="9">
      <c r="A9" t="inlineStr">
        <is>
          <t>TSP-050</t>
        </is>
      </c>
      <c r="B9" t="inlineStr">
        <is>
          <t>CHEM-1410</t>
        </is>
      </c>
      <c r="C9" t="n">
        <v>28.157</v>
      </c>
      <c r="D9">
        <f>IFERROR(MATCH($A9,PP_Grid[Intermediate],0),99999)</f>
        <v/>
      </c>
    </row>
    <row r="10">
      <c r="A10" t="inlineStr">
        <is>
          <t>TSP-050</t>
        </is>
      </c>
      <c r="B10" t="inlineStr">
        <is>
          <t>CHEM-1400</t>
        </is>
      </c>
      <c r="C10" t="n">
        <v>7.39</v>
      </c>
      <c r="D10">
        <f>IFERROR(MATCH($A10,PP_Grid[Intermediate],0),99999)</f>
        <v/>
      </c>
    </row>
    <row r="11">
      <c r="A11" t="inlineStr">
        <is>
          <t>TSP-050</t>
        </is>
      </c>
      <c r="B11" t="inlineStr">
        <is>
          <t>CHEM-1430</t>
        </is>
      </c>
      <c r="C11" t="n">
        <v>68.2582</v>
      </c>
      <c r="D11">
        <f>IFERROR(MATCH($A11,PP_Grid[Intermediate],0),99999)</f>
        <v/>
      </c>
    </row>
    <row r="12">
      <c r="A12" t="inlineStr">
        <is>
          <t>TSP-050</t>
        </is>
      </c>
      <c r="B12" t="inlineStr">
        <is>
          <t>CHEM-1420</t>
        </is>
      </c>
      <c r="C12" t="n">
        <v>2.240105</v>
      </c>
      <c r="D12">
        <f>IFERROR(MATCH($A12,PP_Grid[Intermediate],0),99999)</f>
        <v/>
      </c>
    </row>
    <row r="13">
      <c r="A13" t="inlineStr">
        <is>
          <t>TSP-067</t>
        </is>
      </c>
      <c r="B13" t="inlineStr">
        <is>
          <t>CHEM-1220</t>
        </is>
      </c>
      <c r="C13" t="n">
        <v>30.54</v>
      </c>
      <c r="D13">
        <f>IFERROR(MATCH($A13,PP_Grid[Intermediate],0),99999)</f>
        <v/>
      </c>
    </row>
    <row r="14">
      <c r="A14" t="inlineStr">
        <is>
          <t>TSP-067</t>
        </is>
      </c>
      <c r="B14" t="inlineStr">
        <is>
          <t>CHEM-1410</t>
        </is>
      </c>
      <c r="C14" t="n">
        <v>63.76</v>
      </c>
      <c r="D14">
        <f>IFERROR(MATCH($A14,PP_Grid[Intermediate],0),99999)</f>
        <v/>
      </c>
    </row>
    <row r="15">
      <c r="A15" t="inlineStr">
        <is>
          <t>TSP-067</t>
        </is>
      </c>
      <c r="B15" t="inlineStr">
        <is>
          <t>CHEM-1250</t>
        </is>
      </c>
      <c r="C15" t="n">
        <v>10.211</v>
      </c>
      <c r="D15">
        <f>IFERROR(MATCH($A15,PP_Grid[Intermediate],0),99999)</f>
        <v/>
      </c>
    </row>
    <row r="16">
      <c r="A16" t="inlineStr">
        <is>
          <t>TSP-067</t>
        </is>
      </c>
      <c r="B16" t="inlineStr">
        <is>
          <t>CHEM-1120</t>
        </is>
      </c>
      <c r="C16" t="n">
        <v>4.17</v>
      </c>
      <c r="D16">
        <f>IFERROR(MATCH($A16,PP_Grid[Intermediate],0),99999)</f>
        <v/>
      </c>
    </row>
    <row r="17">
      <c r="A17" t="inlineStr">
        <is>
          <t>TSP-067</t>
        </is>
      </c>
      <c r="B17" t="inlineStr">
        <is>
          <t>CHEM-1260</t>
        </is>
      </c>
      <c r="C17" t="n">
        <v>3.02</v>
      </c>
      <c r="D17">
        <f>IFERROR(MATCH($A17,PP_Grid[Intermediate],0),99999)</f>
        <v/>
      </c>
    </row>
    <row r="18">
      <c r="A18" t="inlineStr">
        <is>
          <t>TSP-067</t>
        </is>
      </c>
      <c r="B18" t="inlineStr">
        <is>
          <t>CHEM-1420</t>
        </is>
      </c>
      <c r="C18" t="n">
        <v>0.5</v>
      </c>
      <c r="D18">
        <f>IFERROR(MATCH($A18,PP_Grid[Intermediate],0),99999)</f>
        <v/>
      </c>
    </row>
    <row r="19">
      <c r="A19" t="inlineStr">
        <is>
          <t>TSP-067</t>
        </is>
      </c>
      <c r="B19" t="inlineStr">
        <is>
          <t>CHEM-1440</t>
        </is>
      </c>
      <c r="C19" t="n">
        <v>0.5</v>
      </c>
      <c r="D19">
        <f>IFERROR(MATCH($A19,PP_Grid[Intermediate],0),99999)</f>
        <v/>
      </c>
    </row>
    <row r="20">
      <c r="A20" t="inlineStr">
        <is>
          <t>TSP-069</t>
        </is>
      </c>
      <c r="B20" t="inlineStr">
        <is>
          <t>CHEM-1220</t>
        </is>
      </c>
      <c r="C20" t="n">
        <v>31.78</v>
      </c>
      <c r="D20">
        <f>IFERROR(MATCH($A20,PP_Grid[Intermediate],0),99999)</f>
        <v/>
      </c>
    </row>
    <row r="21">
      <c r="A21" t="inlineStr">
        <is>
          <t>TSP-069</t>
        </is>
      </c>
      <c r="B21" t="inlineStr">
        <is>
          <t>CHEM-1410</t>
        </is>
      </c>
      <c r="C21" t="n">
        <v>59.54</v>
      </c>
      <c r="D21">
        <f>IFERROR(MATCH($A21,PP_Grid[Intermediate],0),99999)</f>
        <v/>
      </c>
    </row>
    <row r="22">
      <c r="A22" t="inlineStr">
        <is>
          <t>TSP-069</t>
        </is>
      </c>
      <c r="B22" t="inlineStr">
        <is>
          <t>CHEM-1250</t>
        </is>
      </c>
      <c r="C22" t="n">
        <v>10.5628</v>
      </c>
      <c r="D22">
        <f>IFERROR(MATCH($A22,PP_Grid[Intermediate],0),99999)</f>
        <v/>
      </c>
    </row>
    <row r="23">
      <c r="A23" t="inlineStr">
        <is>
          <t>TSP-069</t>
        </is>
      </c>
      <c r="B23" t="inlineStr">
        <is>
          <t>CHEM-1120</t>
        </is>
      </c>
      <c r="C23" t="n">
        <v>4.2976</v>
      </c>
      <c r="D23">
        <f>IFERROR(MATCH($A23,PP_Grid[Intermediate],0),99999)</f>
        <v/>
      </c>
    </row>
    <row r="24">
      <c r="A24" t="inlineStr">
        <is>
          <t>TSP-069</t>
        </is>
      </c>
      <c r="B24" t="inlineStr">
        <is>
          <t>CHEM-1260</t>
        </is>
      </c>
      <c r="C24" t="n">
        <v>3.7497</v>
      </c>
      <c r="D24">
        <f>IFERROR(MATCH($A24,PP_Grid[Intermediate],0),99999)</f>
        <v/>
      </c>
    </row>
    <row r="25">
      <c r="A25" t="inlineStr">
        <is>
          <t>TSP-069</t>
        </is>
      </c>
      <c r="B25" t="inlineStr">
        <is>
          <t>CHEM-1440</t>
        </is>
      </c>
      <c r="C25" t="n">
        <v>0.31561515</v>
      </c>
      <c r="D25">
        <f>IFERROR(MATCH($A25,PP_Grid[Intermediate],0),99999)</f>
        <v/>
      </c>
    </row>
    <row r="26">
      <c r="A26" t="inlineStr">
        <is>
          <t>TSP-069</t>
        </is>
      </c>
      <c r="B26" t="inlineStr">
        <is>
          <t>CHEM-1420</t>
        </is>
      </c>
      <c r="C26" t="n">
        <v>0.52602525</v>
      </c>
      <c r="D26">
        <f>IFERROR(MATCH($A26,PP_Grid[Intermediate],0),99999)</f>
        <v/>
      </c>
    </row>
    <row r="27">
      <c r="A27" t="inlineStr">
        <is>
          <t>TSP-070</t>
        </is>
      </c>
      <c r="B27" t="inlineStr">
        <is>
          <t>CHEM-1410</t>
        </is>
      </c>
      <c r="C27" t="n">
        <v>64.058895343</v>
      </c>
      <c r="D27">
        <f>IFERROR(MATCH($A27,PP_Grid[Intermediate],0),99999)</f>
        <v/>
      </c>
    </row>
    <row r="28">
      <c r="A28" t="inlineStr">
        <is>
          <t>TSP-077</t>
        </is>
      </c>
      <c r="B28" t="inlineStr">
        <is>
          <t>CHEM-1220</t>
        </is>
      </c>
      <c r="C28" t="n">
        <v>33.99</v>
      </c>
      <c r="D28">
        <f>IFERROR(MATCH($A28,PP_Grid[Intermediate],0),99999)</f>
        <v/>
      </c>
    </row>
    <row r="29">
      <c r="A29" t="inlineStr">
        <is>
          <t>TSP-077</t>
        </is>
      </c>
      <c r="B29" t="inlineStr">
        <is>
          <t>CHEM-1410</t>
        </is>
      </c>
      <c r="C29" t="n">
        <v>64.12</v>
      </c>
      <c r="D29">
        <f>IFERROR(MATCH($A29,PP_Grid[Intermediate],0),99999)</f>
        <v/>
      </c>
    </row>
    <row r="30">
      <c r="A30" t="inlineStr">
        <is>
          <t>TSP-077</t>
        </is>
      </c>
      <c r="B30" t="inlineStr">
        <is>
          <t>CHEM-1250</t>
        </is>
      </c>
      <c r="C30" t="n">
        <v>11.363</v>
      </c>
      <c r="D30">
        <f>IFERROR(MATCH($A30,PP_Grid[Intermediate],0),99999)</f>
        <v/>
      </c>
    </row>
    <row r="31">
      <c r="A31" t="inlineStr">
        <is>
          <t>TSP-077</t>
        </is>
      </c>
      <c r="B31" t="inlineStr">
        <is>
          <t>CHEM-1120</t>
        </is>
      </c>
      <c r="C31" t="n">
        <v>4.636</v>
      </c>
      <c r="D31">
        <f>IFERROR(MATCH($A31,PP_Grid[Intermediate],0),99999)</f>
        <v/>
      </c>
    </row>
    <row r="32">
      <c r="A32" t="inlineStr">
        <is>
          <t>TSP-077</t>
        </is>
      </c>
      <c r="B32" t="inlineStr">
        <is>
          <t>CHEM-1260</t>
        </is>
      </c>
      <c r="C32" t="n">
        <v>4.48</v>
      </c>
      <c r="D32">
        <f>IFERROR(MATCH($A32,PP_Grid[Intermediate],0),99999)</f>
        <v/>
      </c>
    </row>
    <row r="33">
      <c r="A33" t="inlineStr">
        <is>
          <t>TSP-077</t>
        </is>
      </c>
      <c r="B33" t="inlineStr">
        <is>
          <t>CHEM-1420</t>
        </is>
      </c>
      <c r="C33" t="n">
        <v>0.619961155</v>
      </c>
      <c r="D33">
        <f>IFERROR(MATCH($A33,PP_Grid[Intermediate],0),99999)</f>
        <v/>
      </c>
    </row>
    <row r="34">
      <c r="A34" t="inlineStr">
        <is>
          <t>TSP-077</t>
        </is>
      </c>
      <c r="B34" t="inlineStr">
        <is>
          <t>CHEM-1440</t>
        </is>
      </c>
      <c r="C34" t="n">
        <v>0.4508808400000001</v>
      </c>
      <c r="D34">
        <f>IFERROR(MATCH($A34,PP_Grid[Intermediate],0),99999)</f>
        <v/>
      </c>
    </row>
    <row r="35">
      <c r="A35" t="inlineStr">
        <is>
          <t>TSP-078</t>
        </is>
      </c>
      <c r="B35" t="inlineStr">
        <is>
          <t>CHEM-1410</t>
        </is>
      </c>
      <c r="C35" t="n">
        <v>41.81</v>
      </c>
      <c r="D35">
        <f>IFERROR(MATCH($A35,PP_Grid[Intermediate],0),99999)</f>
        <v/>
      </c>
    </row>
    <row r="36">
      <c r="A36" t="inlineStr">
        <is>
          <t>TSP-078</t>
        </is>
      </c>
      <c r="B36" t="inlineStr">
        <is>
          <t>CHEM-1400</t>
        </is>
      </c>
      <c r="C36" t="n">
        <v>10.91</v>
      </c>
      <c r="D36">
        <f>IFERROR(MATCH($A36,PP_Grid[Intermediate],0),99999)</f>
        <v/>
      </c>
    </row>
    <row r="37">
      <c r="A37" t="inlineStr">
        <is>
          <t>TSP-078</t>
        </is>
      </c>
      <c r="B37" t="inlineStr">
        <is>
          <t>CHEM-1430</t>
        </is>
      </c>
      <c r="C37" t="n">
        <v>16.91</v>
      </c>
      <c r="D37">
        <f>IFERROR(MATCH($A37,PP_Grid[Intermediate],0),99999)</f>
        <v/>
      </c>
    </row>
    <row r="38">
      <c r="A38" t="inlineStr">
        <is>
          <t>TSP-078</t>
        </is>
      </c>
      <c r="B38" t="inlineStr">
        <is>
          <t>CHEM-1420</t>
        </is>
      </c>
      <c r="C38" t="n">
        <v>3.00645</v>
      </c>
      <c r="D38">
        <f>IFERROR(MATCH($A38,PP_Grid[Intermediate],0),99999)</f>
        <v/>
      </c>
    </row>
    <row r="39">
      <c r="A39" t="inlineStr">
        <is>
          <t>TSP-080</t>
        </is>
      </c>
      <c r="B39" t="inlineStr">
        <is>
          <t>CHEM-1430</t>
        </is>
      </c>
      <c r="C39" t="n">
        <v>20.18</v>
      </c>
      <c r="D39">
        <f>IFERROR(MATCH($A39,PP_Grid[Intermediate],0),99999)</f>
        <v/>
      </c>
    </row>
    <row r="40">
      <c r="A40" t="inlineStr">
        <is>
          <t>TSP-080</t>
        </is>
      </c>
      <c r="B40" t="inlineStr">
        <is>
          <t>CHEM-1420</t>
        </is>
      </c>
      <c r="C40" t="n">
        <v>3.766116928</v>
      </c>
      <c r="D40">
        <f>IFERROR(MATCH($A40,PP_Grid[Intermediate],0),99999)</f>
        <v/>
      </c>
    </row>
    <row r="41">
      <c r="A41" t="inlineStr">
        <is>
          <t>TSP-088</t>
        </is>
      </c>
      <c r="B41" t="inlineStr">
        <is>
          <t>CHEM-1410</t>
        </is>
      </c>
      <c r="C41" t="n">
        <v>24.4890405424</v>
      </c>
      <c r="D41">
        <f>IFERROR(MATCH($A41,PP_Grid[Intermediate],0),99999)</f>
        <v/>
      </c>
    </row>
    <row r="42">
      <c r="A42" t="inlineStr">
        <is>
          <t>TSP-088</t>
        </is>
      </c>
      <c r="B42" t="inlineStr">
        <is>
          <t>CHEM-1430</t>
        </is>
      </c>
      <c r="C42" t="n">
        <v>9.43</v>
      </c>
      <c r="D42">
        <f>IFERROR(MATCH($A42,PP_Grid[Intermediate],0),99999)</f>
        <v/>
      </c>
    </row>
    <row r="43">
      <c r="A43" t="inlineStr">
        <is>
          <t>TSP-089</t>
        </is>
      </c>
      <c r="B43" t="inlineStr">
        <is>
          <t>CHEM-1410</t>
        </is>
      </c>
      <c r="C43" t="n">
        <v>23.5488</v>
      </c>
      <c r="D43">
        <f>IFERROR(MATCH($A43,PP_Grid[Intermediate],0),99999)</f>
        <v/>
      </c>
    </row>
    <row r="44">
      <c r="A44" t="inlineStr">
        <is>
          <t>TSP-089</t>
        </is>
      </c>
      <c r="B44" t="inlineStr">
        <is>
          <t>CHEM-1430</t>
        </is>
      </c>
      <c r="C44" t="n">
        <v>9.890000000000001</v>
      </c>
      <c r="D44">
        <f>IFERROR(MATCH($A44,PP_Grid[Intermediate],0),99999)</f>
        <v/>
      </c>
    </row>
    <row r="45">
      <c r="A45" t="inlineStr">
        <is>
          <t>TSP-089</t>
        </is>
      </c>
      <c r="B45" t="inlineStr">
        <is>
          <t>CHEM-1420</t>
        </is>
      </c>
      <c r="C45" t="n">
        <v>1.7541125616</v>
      </c>
      <c r="D45">
        <f>IFERROR(MATCH($A45,PP_Grid[Intermediate],0),99999)</f>
        <v/>
      </c>
    </row>
    <row r="46">
      <c r="A46" t="inlineStr">
        <is>
          <t>TSP-104</t>
        </is>
      </c>
      <c r="B46" t="inlineStr">
        <is>
          <t>CHEM-1250</t>
        </is>
      </c>
      <c r="C46" t="n">
        <v>9.9001</v>
      </c>
      <c r="D46">
        <f>IFERROR(MATCH($A46,PP_Grid[Intermediate],0),99999)</f>
        <v/>
      </c>
    </row>
    <row r="47">
      <c r="A47" t="inlineStr">
        <is>
          <t>TSP-104</t>
        </is>
      </c>
      <c r="B47" t="inlineStr">
        <is>
          <t>CHEM-1120</t>
        </is>
      </c>
      <c r="C47" t="n">
        <v>3.3566</v>
      </c>
      <c r="D47">
        <f>IFERROR(MATCH($A47,PP_Grid[Intermediate],0),99999)</f>
        <v/>
      </c>
    </row>
    <row r="48">
      <c r="A48" t="inlineStr">
        <is>
          <t>TSP-104</t>
        </is>
      </c>
      <c r="B48" t="inlineStr">
        <is>
          <t>CHEM-1260</t>
        </is>
      </c>
      <c r="C48" t="n">
        <v>2.05</v>
      </c>
      <c r="D48">
        <f>IFERROR(MATCH($A48,PP_Grid[Intermediate],0),99999)</f>
        <v/>
      </c>
    </row>
    <row r="49">
      <c r="A49" t="inlineStr">
        <is>
          <t>TSP-104</t>
        </is>
      </c>
      <c r="B49" t="inlineStr">
        <is>
          <t>CHEM-1420</t>
        </is>
      </c>
      <c r="C49" t="n">
        <v>0.307</v>
      </c>
      <c r="D49">
        <f>IFERROR(MATCH($A49,PP_Grid[Intermediate],0),99999)</f>
        <v/>
      </c>
    </row>
    <row r="50">
      <c r="A50" t="inlineStr">
        <is>
          <t>TSP-104</t>
        </is>
      </c>
      <c r="B50" t="inlineStr">
        <is>
          <t>CHEM-1440</t>
        </is>
      </c>
      <c r="C50" t="n">
        <v>0.982</v>
      </c>
      <c r="D50">
        <f>IFERROR(MATCH($A50,PP_Grid[Intermediate],0),99999)</f>
        <v/>
      </c>
    </row>
    <row r="51">
      <c r="A51" t="inlineStr">
        <is>
          <t>TSP-105</t>
        </is>
      </c>
      <c r="B51" t="inlineStr">
        <is>
          <t>CHEM-1410</t>
        </is>
      </c>
      <c r="C51" t="n">
        <v>23.57</v>
      </c>
      <c r="D51">
        <f>IFERROR(MATCH($A51,PP_Grid[Intermediate],0),99999)</f>
        <v/>
      </c>
    </row>
    <row r="52">
      <c r="A52" t="inlineStr">
        <is>
          <t>TSP-105</t>
        </is>
      </c>
      <c r="B52" t="inlineStr">
        <is>
          <t>CHEM-1400</t>
        </is>
      </c>
      <c r="C52" t="n">
        <v>3.43</v>
      </c>
      <c r="D52">
        <f>IFERROR(MATCH($A52,PP_Grid[Intermediate],0),99999)</f>
        <v/>
      </c>
    </row>
    <row r="53">
      <c r="A53" t="inlineStr">
        <is>
          <t>TSP-105</t>
        </is>
      </c>
      <c r="B53" t="inlineStr">
        <is>
          <t>CHEM-1430</t>
        </is>
      </c>
      <c r="C53" t="n">
        <v>70.41</v>
      </c>
      <c r="D53">
        <f>IFERROR(MATCH($A53,PP_Grid[Intermediate],0),99999)</f>
        <v/>
      </c>
    </row>
    <row r="54">
      <c r="A54" t="inlineStr">
        <is>
          <t>TSP-105</t>
        </is>
      </c>
      <c r="B54" t="inlineStr">
        <is>
          <t>CHEM-1420</t>
        </is>
      </c>
      <c r="C54" t="n">
        <v>1.60032</v>
      </c>
      <c r="D54">
        <f>IFERROR(MATCH($A54,PP_Grid[Intermediate],0),99999)</f>
        <v/>
      </c>
    </row>
    <row r="55">
      <c r="A55" t="inlineStr">
        <is>
          <t>TSP-199</t>
        </is>
      </c>
      <c r="B55" t="inlineStr">
        <is>
          <t>CHEM-1400</t>
        </is>
      </c>
      <c r="C55" t="n">
        <v>3.4253</v>
      </c>
      <c r="D55">
        <f>IFERROR(MATCH($A55,PP_Grid[Intermediate],0),99999)</f>
        <v/>
      </c>
    </row>
    <row r="56">
      <c r="A56" t="inlineStr">
        <is>
          <t>TSP-199</t>
        </is>
      </c>
      <c r="B56" t="inlineStr">
        <is>
          <t>CHEM-1250</t>
        </is>
      </c>
      <c r="C56" t="n">
        <v>5.3219</v>
      </c>
      <c r="D56">
        <f>IFERROR(MATCH($A56,PP_Grid[Intermediate],0),99999)</f>
        <v/>
      </c>
    </row>
    <row r="57">
      <c r="A57" t="inlineStr">
        <is>
          <t>TSP-199</t>
        </is>
      </c>
      <c r="B57" t="inlineStr">
        <is>
          <t>CHEM-1260</t>
        </is>
      </c>
      <c r="C57" t="n">
        <v>0.6297</v>
      </c>
      <c r="D57">
        <f>IFERROR(MATCH($A57,PP_Grid[Intermediate],0),99999)</f>
        <v/>
      </c>
    </row>
    <row r="58">
      <c r="A58" t="inlineStr">
        <is>
          <t>TSP-199</t>
        </is>
      </c>
      <c r="B58" t="inlineStr">
        <is>
          <t>CHEM-1420</t>
        </is>
      </c>
      <c r="C58" t="n">
        <v>0.784</v>
      </c>
      <c r="D58">
        <f>IFERROR(MATCH($A58,PP_Grid[Intermediate],0),99999)</f>
        <v/>
      </c>
    </row>
    <row r="59">
      <c r="A59" t="inlineStr">
        <is>
          <t>TSP-199</t>
        </is>
      </c>
      <c r="B59" t="inlineStr">
        <is>
          <t>CHEM-1440</t>
        </is>
      </c>
      <c r="C59" t="n">
        <v>1.254</v>
      </c>
      <c r="D59">
        <f>IFERROR(MATCH($A59,PP_Grid[Intermediate],0),99999)</f>
        <v/>
      </c>
    </row>
    <row r="60">
      <c r="A60" t="inlineStr">
        <is>
          <t>TSP-205</t>
        </is>
      </c>
      <c r="B60" t="inlineStr">
        <is>
          <t>CHEM-1400</t>
        </is>
      </c>
      <c r="C60" t="n">
        <v>5.08</v>
      </c>
      <c r="D60">
        <f>IFERROR(MATCH($A60,PP_Grid[Intermediate],0),99999)</f>
        <v/>
      </c>
    </row>
    <row r="61">
      <c r="A61" t="inlineStr">
        <is>
          <t>TSP-205</t>
        </is>
      </c>
      <c r="B61" t="inlineStr">
        <is>
          <t>CHEM-1250</t>
        </is>
      </c>
      <c r="C61" t="n">
        <v>7.8373</v>
      </c>
      <c r="D61">
        <f>IFERROR(MATCH($A61,PP_Grid[Intermediate],0),99999)</f>
        <v/>
      </c>
    </row>
    <row r="62">
      <c r="A62" t="inlineStr">
        <is>
          <t>TSP-205</t>
        </is>
      </c>
      <c r="B62" t="inlineStr">
        <is>
          <t>CHEM-1260</t>
        </is>
      </c>
      <c r="C62" t="n">
        <v>0.5023</v>
      </c>
      <c r="D62">
        <f>IFERROR(MATCH($A62,PP_Grid[Intermediate],0),99999)</f>
        <v/>
      </c>
    </row>
    <row r="63">
      <c r="A63" t="inlineStr">
        <is>
          <t>TSP-205</t>
        </is>
      </c>
      <c r="B63" t="inlineStr">
        <is>
          <t>CHEM-1420</t>
        </is>
      </c>
      <c r="C63" t="n">
        <v>0.463</v>
      </c>
      <c r="D63">
        <f>IFERROR(MATCH($A63,PP_Grid[Intermediate],0),99999)</f>
        <v/>
      </c>
    </row>
    <row r="64">
      <c r="A64" t="inlineStr">
        <is>
          <t>TSP-205</t>
        </is>
      </c>
      <c r="B64" t="inlineStr">
        <is>
          <t>CHEM-1440</t>
        </is>
      </c>
      <c r="C64" t="n">
        <v>0.3319681185</v>
      </c>
      <c r="D64">
        <f>IFERROR(MATCH($A64,PP_Grid[Intermediate],0),99999)</f>
        <v/>
      </c>
    </row>
    <row r="65">
      <c r="A65" t="inlineStr">
        <is>
          <t>TSP-206</t>
        </is>
      </c>
      <c r="B65" t="inlineStr">
        <is>
          <t>CHEM-1410</t>
        </is>
      </c>
      <c r="C65" t="n">
        <v>28.86</v>
      </c>
      <c r="D65">
        <f>IFERROR(MATCH($A65,PP_Grid[Intermediate],0),99999)</f>
        <v/>
      </c>
    </row>
    <row r="66">
      <c r="A66" t="inlineStr">
        <is>
          <t>TSP-206</t>
        </is>
      </c>
      <c r="B66" t="inlineStr">
        <is>
          <t>CHEM-1400</t>
        </is>
      </c>
      <c r="C66" t="n">
        <v>4.3015</v>
      </c>
      <c r="D66">
        <f>IFERROR(MATCH($A66,PP_Grid[Intermediate],0),99999)</f>
        <v/>
      </c>
    </row>
    <row r="67">
      <c r="A67" t="inlineStr">
        <is>
          <t>TSP-206</t>
        </is>
      </c>
      <c r="B67" t="inlineStr">
        <is>
          <t>CHEM-1480</t>
        </is>
      </c>
      <c r="C67" t="n">
        <v>47.5991</v>
      </c>
      <c r="D67">
        <f>IFERROR(MATCH($A67,PP_Grid[Intermediate],0),99999)</f>
        <v/>
      </c>
    </row>
    <row r="68">
      <c r="A68" t="inlineStr">
        <is>
          <t>TSP-206</t>
        </is>
      </c>
      <c r="B68" t="inlineStr">
        <is>
          <t>CHEM-1420</t>
        </is>
      </c>
      <c r="C68" t="n">
        <v>0.6176911500000001</v>
      </c>
      <c r="D68">
        <f>IFERROR(MATCH($A68,PP_Grid[Intermediate],0),99999)</f>
        <v/>
      </c>
    </row>
    <row r="69">
      <c r="A69" t="inlineStr">
        <is>
          <t>TSP-206</t>
        </is>
      </c>
      <c r="B69" t="inlineStr">
        <is>
          <t>CHEM-1440</t>
        </is>
      </c>
      <c r="C69" t="n">
        <v>1.56559455</v>
      </c>
      <c r="D69">
        <f>IFERROR(MATCH($A69,PP_Grid[Intermediate],0),99999)</f>
        <v/>
      </c>
    </row>
    <row r="70">
      <c r="A70" t="inlineStr">
        <is>
          <t>TSP-218</t>
        </is>
      </c>
      <c r="B70" t="inlineStr">
        <is>
          <t>CHEM-1520</t>
        </is>
      </c>
      <c r="C70" t="n">
        <v>22.52543558147613</v>
      </c>
      <c r="D70">
        <f>IFERROR(MATCH($A70,PP_Grid[Intermediate],0),99999)</f>
        <v/>
      </c>
    </row>
    <row r="71">
      <c r="A71" t="inlineStr">
        <is>
          <t>TSP-218</t>
        </is>
      </c>
      <c r="B71" t="inlineStr">
        <is>
          <t>CHEM-1400</t>
        </is>
      </c>
      <c r="C71" t="n">
        <v>1.180807044165801</v>
      </c>
      <c r="D71">
        <f>IFERROR(MATCH($A71,PP_Grid[Intermediate],0),99999)</f>
        <v/>
      </c>
    </row>
    <row r="72">
      <c r="A72" t="inlineStr">
        <is>
          <t>TSP-218</t>
        </is>
      </c>
      <c r="B72" t="inlineStr">
        <is>
          <t>CHEM-1260</t>
        </is>
      </c>
      <c r="C72" t="n">
        <v>1.077</v>
      </c>
      <c r="D72">
        <f>IFERROR(MATCH($A72,PP_Grid[Intermediate],0),99999)</f>
        <v/>
      </c>
    </row>
    <row r="73">
      <c r="A73" t="inlineStr">
        <is>
          <t>TSP-218</t>
        </is>
      </c>
      <c r="B73" t="inlineStr">
        <is>
          <t>CHEM-1670</t>
        </is>
      </c>
      <c r="C73" t="n">
        <v>5.563962792109256</v>
      </c>
      <c r="D73">
        <f>IFERROR(MATCH($A73,PP_Grid[Intermediate],0),99999)</f>
        <v/>
      </c>
    </row>
    <row r="74">
      <c r="A74" t="inlineStr">
        <is>
          <t>TSP-218</t>
        </is>
      </c>
      <c r="B74" t="inlineStr">
        <is>
          <t>CHEM-1420</t>
        </is>
      </c>
      <c r="C74" t="n">
        <v>0.947</v>
      </c>
      <c r="D74">
        <f>IFERROR(MATCH($A74,PP_Grid[Intermediate],0),99999)</f>
        <v/>
      </c>
    </row>
    <row r="75">
      <c r="A75" t="inlineStr">
        <is>
          <t>TSP-218</t>
        </is>
      </c>
      <c r="B75" t="inlineStr">
        <is>
          <t>CHEM-1450</t>
        </is>
      </c>
      <c r="C75" t="n">
        <v>0.274</v>
      </c>
      <c r="D75">
        <f>IFERROR(MATCH($A75,PP_Grid[Intermediate],0),99999)</f>
        <v/>
      </c>
    </row>
    <row r="76">
      <c r="A76" t="inlineStr">
        <is>
          <t>TSP-219</t>
        </is>
      </c>
      <c r="B76" t="inlineStr">
        <is>
          <t>CHEM-1410</t>
        </is>
      </c>
      <c r="C76" t="n">
        <v>34.96</v>
      </c>
      <c r="D76">
        <f>IFERROR(MATCH($A76,PP_Grid[Intermediate],0),99999)</f>
        <v/>
      </c>
    </row>
    <row r="77">
      <c r="A77" t="inlineStr">
        <is>
          <t>TSP-219</t>
        </is>
      </c>
      <c r="B77" t="inlineStr">
        <is>
          <t>CHEM-1400</t>
        </is>
      </c>
      <c r="C77" t="n">
        <v>3.544016061523803</v>
      </c>
      <c r="D77">
        <f>IFERROR(MATCH($A77,PP_Grid[Intermediate],0),99999)</f>
        <v/>
      </c>
    </row>
    <row r="78">
      <c r="A78" t="inlineStr">
        <is>
          <t>TSP-219</t>
        </is>
      </c>
      <c r="B78" t="inlineStr">
        <is>
          <t>CHEM-1610</t>
        </is>
      </c>
      <c r="C78" t="n">
        <v>94.63179496109029</v>
      </c>
      <c r="D78">
        <f>IFERROR(MATCH($A78,PP_Grid[Intermediate],0),99999)</f>
        <v/>
      </c>
    </row>
    <row r="79">
      <c r="A79" t="inlineStr">
        <is>
          <t>TSP-219</t>
        </is>
      </c>
      <c r="B79" t="inlineStr">
        <is>
          <t>CHEM-1600</t>
        </is>
      </c>
      <c r="C79" t="n">
        <v>17.53855461895246</v>
      </c>
      <c r="D79">
        <f>IFERROR(MATCH($A79,PP_Grid[Intermediate],0),99999)</f>
        <v/>
      </c>
    </row>
    <row r="80">
      <c r="A80" t="inlineStr">
        <is>
          <t>TSP-219</t>
        </is>
      </c>
      <c r="B80" t="inlineStr">
        <is>
          <t>CHEM-1510</t>
        </is>
      </c>
      <c r="C80" t="n">
        <v>7.476122094803825</v>
      </c>
      <c r="D80">
        <f>IFERROR(MATCH($A80,PP_Grid[Intermediate],0),99999)</f>
        <v/>
      </c>
    </row>
    <row r="81">
      <c r="A81" t="inlineStr">
        <is>
          <t>TSP-219</t>
        </is>
      </c>
      <c r="B81" t="inlineStr">
        <is>
          <t>0JN</t>
        </is>
      </c>
      <c r="C81" t="n">
        <v>17.09315586581044</v>
      </c>
      <c r="D81">
        <f>IFERROR(MATCH($A81,PP_Grid[Intermediate],0),99999)</f>
        <v/>
      </c>
    </row>
    <row r="82">
      <c r="A82" t="inlineStr">
        <is>
          <t>TSP-219</t>
        </is>
      </c>
      <c r="B82" t="inlineStr">
        <is>
          <t>CHEM-1420</t>
        </is>
      </c>
      <c r="C82" t="n">
        <v>0.522304420321911</v>
      </c>
      <c r="D82">
        <f>IFERROR(MATCH($A82,PP_Grid[Intermediate],0),99999)</f>
        <v/>
      </c>
    </row>
    <row r="83">
      <c r="A83" t="inlineStr">
        <is>
          <t>TSP-219</t>
        </is>
      </c>
      <c r="B83" t="inlineStr">
        <is>
          <t>CHEM-1660</t>
        </is>
      </c>
      <c r="C83" t="n">
        <v>1.536189471535033</v>
      </c>
      <c r="D83">
        <f>IFERROR(MATCH($A83,PP_Grid[Intermediate],0),99999)</f>
        <v/>
      </c>
    </row>
    <row r="84">
      <c r="A84" t="inlineStr">
        <is>
          <t>TSP-224</t>
        </is>
      </c>
      <c r="B84" t="inlineStr">
        <is>
          <t>CHEM-1470</t>
        </is>
      </c>
      <c r="C84" t="n">
        <v>27.44</v>
      </c>
      <c r="D84">
        <f>IFERROR(MATCH($A84,PP_Grid[Intermediate],0),99999)</f>
        <v/>
      </c>
    </row>
    <row r="85">
      <c r="A85" t="inlineStr">
        <is>
          <t>TSP-224</t>
        </is>
      </c>
      <c r="B85" t="inlineStr">
        <is>
          <t>CHEM-1460</t>
        </is>
      </c>
      <c r="C85" t="n">
        <v>75.45999999999999</v>
      </c>
      <c r="D85">
        <f>IFERROR(MATCH($A85,PP_Grid[Intermediate],0),99999)</f>
        <v/>
      </c>
    </row>
    <row r="86">
      <c r="A86" t="inlineStr">
        <is>
          <t>TSP-224</t>
        </is>
      </c>
      <c r="B86" t="inlineStr">
        <is>
          <t>CHEM-1260</t>
        </is>
      </c>
      <c r="C86" t="n">
        <v>1.11</v>
      </c>
      <c r="D86">
        <f>IFERROR(MATCH($A86,PP_Grid[Intermediate],0),99999)</f>
        <v/>
      </c>
    </row>
    <row r="87">
      <c r="A87" t="inlineStr">
        <is>
          <t>TSP-224</t>
        </is>
      </c>
      <c r="B87" t="inlineStr">
        <is>
          <t>CHEM-1240</t>
        </is>
      </c>
      <c r="C87" t="n">
        <v>57.38</v>
      </c>
      <c r="D87">
        <f>IFERROR(MATCH($A87,PP_Grid[Intermediate],0),99999)</f>
        <v/>
      </c>
    </row>
    <row r="88">
      <c r="A88" t="inlineStr">
        <is>
          <t>TSP-224</t>
        </is>
      </c>
      <c r="B88" t="inlineStr">
        <is>
          <t>CHEM-1420</t>
        </is>
      </c>
      <c r="C88" t="n">
        <v>0.97</v>
      </c>
      <c r="D88">
        <f>IFERROR(MATCH($A88,PP_Grid[Intermediate],0),99999)</f>
        <v/>
      </c>
    </row>
    <row r="89">
      <c r="A89" t="inlineStr">
        <is>
          <t>TSP-224</t>
        </is>
      </c>
      <c r="B89" t="inlineStr">
        <is>
          <t>CHEM-1440</t>
        </is>
      </c>
      <c r="C89" t="n">
        <v>0.86</v>
      </c>
      <c r="D89">
        <f>IFERROR(MATCH($A89,PP_Grid[Intermediate],0),99999)</f>
        <v/>
      </c>
    </row>
    <row r="90">
      <c r="A90" t="inlineStr">
        <is>
          <t>TSP-225</t>
        </is>
      </c>
      <c r="B90" t="inlineStr">
        <is>
          <t>CHEM-1400</t>
        </is>
      </c>
      <c r="C90" t="n">
        <v>5.53</v>
      </c>
      <c r="D90">
        <f>IFERROR(MATCH($A90,PP_Grid[Intermediate],0),99999)</f>
        <v/>
      </c>
    </row>
    <row r="91">
      <c r="A91" t="inlineStr">
        <is>
          <t>TSP-225</t>
        </is>
      </c>
      <c r="B91" t="inlineStr">
        <is>
          <t>CHEM-1470</t>
        </is>
      </c>
      <c r="C91" t="n">
        <v>66.09</v>
      </c>
      <c r="D91">
        <f>IFERROR(MATCH($A91,PP_Grid[Intermediate],0),99999)</f>
        <v/>
      </c>
    </row>
    <row r="92">
      <c r="A92" t="inlineStr">
        <is>
          <t>TSP-225</t>
        </is>
      </c>
      <c r="B92" t="inlineStr">
        <is>
          <t>CHEM-1430</t>
        </is>
      </c>
      <c r="C92" t="n">
        <v>14.18</v>
      </c>
      <c r="D92">
        <f>IFERROR(MATCH($A92,PP_Grid[Intermediate],0),99999)</f>
        <v/>
      </c>
    </row>
    <row r="93">
      <c r="A93" t="inlineStr">
        <is>
          <t>TSP-225</t>
        </is>
      </c>
      <c r="B93" t="inlineStr">
        <is>
          <t>CHEM-1420</t>
        </is>
      </c>
      <c r="C93" t="n">
        <v>2.53</v>
      </c>
      <c r="D93">
        <f>IFERROR(MATCH($A93,PP_Grid[Intermediate],0),99999)</f>
        <v/>
      </c>
    </row>
    <row r="94">
      <c r="A94" t="inlineStr">
        <is>
          <t>TSP-225</t>
        </is>
      </c>
      <c r="B94" t="inlineStr">
        <is>
          <t>CHEM-1450</t>
        </is>
      </c>
      <c r="C94" t="n">
        <v>0.78</v>
      </c>
      <c r="D94">
        <f>IFERROR(MATCH($A94,PP_Grid[Intermediate],0),99999)</f>
        <v/>
      </c>
    </row>
    <row r="95">
      <c r="A95" t="inlineStr">
        <is>
          <t>TSP-360</t>
        </is>
      </c>
      <c r="B95" t="inlineStr">
        <is>
          <t>CHEM-1410</t>
        </is>
      </c>
      <c r="C95" t="n">
        <v>7.567</v>
      </c>
      <c r="D95">
        <f>IFERROR(MATCH($A95,PP_Grid[Intermediate],0),99999)</f>
        <v/>
      </c>
    </row>
    <row r="96">
      <c r="A96" t="inlineStr">
        <is>
          <t>TSP-360</t>
        </is>
      </c>
      <c r="B96" t="inlineStr">
        <is>
          <t>CHEM-1400</t>
        </is>
      </c>
      <c r="C96" t="n">
        <v>2.975</v>
      </c>
      <c r="D96">
        <f>IFERROR(MATCH($A96,PP_Grid[Intermediate],0),99999)</f>
        <v/>
      </c>
    </row>
    <row r="97">
      <c r="A97" t="inlineStr">
        <is>
          <t>TSP-360</t>
        </is>
      </c>
      <c r="B97" t="inlineStr">
        <is>
          <t>CHEM-1560</t>
        </is>
      </c>
      <c r="C97" t="n">
        <v>3.768</v>
      </c>
      <c r="D97">
        <f>IFERROR(MATCH($A97,PP_Grid[Intermediate],0),99999)</f>
        <v/>
      </c>
    </row>
    <row r="98">
      <c r="A98" t="inlineStr">
        <is>
          <t>TSP-360</t>
        </is>
      </c>
      <c r="B98" t="inlineStr">
        <is>
          <t>CHEM-1260</t>
        </is>
      </c>
      <c r="C98" t="n">
        <v>1.356</v>
      </c>
      <c r="D98">
        <f>IFERROR(MATCH($A98,PP_Grid[Intermediate],0),99999)</f>
        <v/>
      </c>
    </row>
    <row r="99">
      <c r="A99" t="inlineStr">
        <is>
          <t>TSP-360</t>
        </is>
      </c>
      <c r="B99" t="inlineStr">
        <is>
          <t>CHEM-1510</t>
        </is>
      </c>
      <c r="C99" t="n">
        <v>9.044</v>
      </c>
      <c r="D99">
        <f>IFERROR(MATCH($A99,PP_Grid[Intermediate],0),99999)</f>
        <v/>
      </c>
    </row>
    <row r="100">
      <c r="A100" t="inlineStr">
        <is>
          <t>TSP-360</t>
        </is>
      </c>
      <c r="B100" t="inlineStr">
        <is>
          <t>CHEM-1420</t>
        </is>
      </c>
      <c r="C100" t="n">
        <v>0.278</v>
      </c>
      <c r="D100">
        <f>IFERROR(MATCH($A100,PP_Grid[Intermediate],0),99999)</f>
        <v/>
      </c>
    </row>
    <row r="101">
      <c r="A101" t="inlineStr">
        <is>
          <t>TSP-360</t>
        </is>
      </c>
      <c r="B101" t="inlineStr">
        <is>
          <t>CHEM-1580</t>
        </is>
      </c>
      <c r="C101" t="n">
        <v>16.71</v>
      </c>
      <c r="D101">
        <f>IFERROR(MATCH($A101,PP_Grid[Intermediate],0),99999)</f>
        <v/>
      </c>
    </row>
    <row r="102">
      <c r="A102" t="inlineStr">
        <is>
          <t>TSP-367</t>
        </is>
      </c>
      <c r="B102" t="inlineStr">
        <is>
          <t>CHEM-1400</t>
        </is>
      </c>
      <c r="C102" t="n">
        <v>3.62</v>
      </c>
      <c r="D102">
        <f>IFERROR(MATCH($A102,PP_Grid[Intermediate],0),99999)</f>
        <v/>
      </c>
    </row>
    <row r="103">
      <c r="A103" t="inlineStr">
        <is>
          <t>TSP-367</t>
        </is>
      </c>
      <c r="B103" t="inlineStr">
        <is>
          <t>CHEM-1260</t>
        </is>
      </c>
      <c r="C103" t="n">
        <v>1.101</v>
      </c>
      <c r="D103">
        <f>IFERROR(MATCH($A103,PP_Grid[Intermediate],0),99999)</f>
        <v/>
      </c>
    </row>
    <row r="104">
      <c r="A104" t="inlineStr">
        <is>
          <t>TSP-367</t>
        </is>
      </c>
      <c r="B104" t="inlineStr">
        <is>
          <t>CHEM-1510</t>
        </is>
      </c>
      <c r="C104" t="n">
        <v>4.866</v>
      </c>
      <c r="D104">
        <f>IFERROR(MATCH($A104,PP_Grid[Intermediate],0),99999)</f>
        <v/>
      </c>
    </row>
    <row r="105">
      <c r="A105" t="inlineStr">
        <is>
          <t>TSP-367</t>
        </is>
      </c>
      <c r="B105" t="inlineStr">
        <is>
          <t>CHEM-1420</t>
        </is>
      </c>
      <c r="C105" t="n">
        <v>1.17</v>
      </c>
      <c r="D105">
        <f>IFERROR(MATCH($A105,PP_Grid[Intermediate],0),99999)</f>
        <v/>
      </c>
    </row>
    <row r="106">
      <c r="A106" t="inlineStr">
        <is>
          <t>TSP-367</t>
        </is>
      </c>
      <c r="B106" t="inlineStr">
        <is>
          <t>CHEM-1440</t>
        </is>
      </c>
      <c r="C106" t="n">
        <v>1.009987983</v>
      </c>
      <c r="D106">
        <f>IFERROR(MATCH($A106,PP_Grid[Intermediate],0),99999)</f>
        <v/>
      </c>
    </row>
    <row r="107">
      <c r="A107" t="inlineStr">
        <is>
          <t>TSP-367</t>
        </is>
      </c>
      <c r="B107" t="inlineStr">
        <is>
          <t>CHEM-1580</t>
        </is>
      </c>
      <c r="C107" t="n">
        <v>24.55</v>
      </c>
      <c r="D107">
        <f>IFERROR(MATCH($A107,PP_Grid[Intermediate],0),99999)</f>
        <v/>
      </c>
    </row>
    <row r="108">
      <c r="A108" t="inlineStr">
        <is>
          <t>TSP-369</t>
        </is>
      </c>
      <c r="B108" t="inlineStr">
        <is>
          <t>CHEM-1520</t>
        </is>
      </c>
      <c r="C108" t="n">
        <v>24.71</v>
      </c>
      <c r="D108">
        <f>IFERROR(MATCH($A108,PP_Grid[Intermediate],0),99999)</f>
        <v/>
      </c>
    </row>
    <row r="109">
      <c r="A109" t="inlineStr">
        <is>
          <t>TSP-369</t>
        </is>
      </c>
      <c r="B109" t="inlineStr">
        <is>
          <t>CHEM-1400</t>
        </is>
      </c>
      <c r="C109" t="n">
        <v>3.889</v>
      </c>
      <c r="D109">
        <f>IFERROR(MATCH($A109,PP_Grid[Intermediate],0),99999)</f>
        <v/>
      </c>
    </row>
    <row r="110">
      <c r="A110" t="inlineStr">
        <is>
          <t>TSP-369</t>
        </is>
      </c>
      <c r="B110" t="inlineStr">
        <is>
          <t>CHEM-1260</t>
        </is>
      </c>
      <c r="C110" t="n">
        <v>0.916</v>
      </c>
      <c r="D110">
        <f>IFERROR(MATCH($A110,PP_Grid[Intermediate],0),99999)</f>
        <v/>
      </c>
    </row>
    <row r="111">
      <c r="A111" t="inlineStr">
        <is>
          <t>TSP-369</t>
        </is>
      </c>
      <c r="B111" t="inlineStr">
        <is>
          <t>CHEM-1420</t>
        </is>
      </c>
      <c r="C111" t="n">
        <v>1.286</v>
      </c>
      <c r="D111">
        <f>IFERROR(MATCH($A111,PP_Grid[Intermediate],0),99999)</f>
        <v/>
      </c>
    </row>
    <row r="112">
      <c r="A112" t="inlineStr">
        <is>
          <t>TSP-369</t>
        </is>
      </c>
      <c r="B112" t="inlineStr">
        <is>
          <t>CHEM-1440</t>
        </is>
      </c>
      <c r="C112" t="n">
        <v>1.744</v>
      </c>
      <c r="D112">
        <f>IFERROR(MATCH($A112,PP_Grid[Intermediate],0),99999)</f>
        <v/>
      </c>
    </row>
    <row r="113">
      <c r="A113" t="inlineStr">
        <is>
          <t>TSP-390</t>
        </is>
      </c>
      <c r="B113" t="inlineStr">
        <is>
          <t>CHEM-1490</t>
        </is>
      </c>
      <c r="C113" t="n">
        <v>47.004</v>
      </c>
      <c r="D113">
        <f>IFERROR(MATCH($A113,PP_Grid[Intermediate],0),99999)</f>
        <v/>
      </c>
    </row>
    <row r="114">
      <c r="A114" t="inlineStr">
        <is>
          <t>TSP-390</t>
        </is>
      </c>
      <c r="B114" t="inlineStr">
        <is>
          <t>CHEM-1250</t>
        </is>
      </c>
      <c r="C114" t="n">
        <v>14.029</v>
      </c>
      <c r="D114">
        <f>IFERROR(MATCH($A114,PP_Grid[Intermediate],0),99999)</f>
        <v/>
      </c>
    </row>
    <row r="115">
      <c r="A115" t="inlineStr">
        <is>
          <t>TSP-390</t>
        </is>
      </c>
      <c r="B115" t="inlineStr">
        <is>
          <t>CHEM-1260</t>
        </is>
      </c>
      <c r="C115" t="n">
        <v>0.922</v>
      </c>
      <c r="D115">
        <f>IFERROR(MATCH($A115,PP_Grid[Intermediate],0),99999)</f>
        <v/>
      </c>
    </row>
    <row r="116">
      <c r="A116" t="inlineStr">
        <is>
          <t>TSP-390</t>
        </is>
      </c>
      <c r="B116" t="inlineStr">
        <is>
          <t>CHEM-1240</t>
        </is>
      </c>
      <c r="C116" t="n">
        <v>17.907</v>
      </c>
      <c r="D116">
        <f>IFERROR(MATCH($A116,PP_Grid[Intermediate],0),99999)</f>
        <v/>
      </c>
    </row>
    <row r="117">
      <c r="A117" t="inlineStr">
        <is>
          <t>TSP-390</t>
        </is>
      </c>
      <c r="B117" t="inlineStr">
        <is>
          <t>CHEM-1420</t>
        </is>
      </c>
      <c r="C117" t="n">
        <v>0.903</v>
      </c>
      <c r="D117">
        <f>IFERROR(MATCH($A117,PP_Grid[Intermediate],0),99999)</f>
        <v/>
      </c>
    </row>
    <row r="118">
      <c r="A118" t="inlineStr">
        <is>
          <t>TSP-390</t>
        </is>
      </c>
      <c r="B118" t="inlineStr">
        <is>
          <t>CHEM-1440</t>
        </is>
      </c>
      <c r="C118" t="n">
        <v>0.852</v>
      </c>
      <c r="D118">
        <f>IFERROR(MATCH($A118,PP_Grid[Intermediate],0),99999)</f>
        <v/>
      </c>
    </row>
    <row r="119">
      <c r="A119" t="inlineStr">
        <is>
          <t>TSP-399</t>
        </is>
      </c>
      <c r="B119" t="inlineStr">
        <is>
          <t>CHEM-1490</t>
        </is>
      </c>
      <c r="C119" t="n">
        <v>47.077</v>
      </c>
      <c r="D119">
        <f>IFERROR(MATCH($A119,PP_Grid[Intermediate],0),99999)</f>
        <v/>
      </c>
    </row>
    <row r="120">
      <c r="A120" t="inlineStr">
        <is>
          <t>TSP-399</t>
        </is>
      </c>
      <c r="B120" t="inlineStr">
        <is>
          <t>CHEM-1250</t>
        </is>
      </c>
      <c r="C120" t="n">
        <v>14.051</v>
      </c>
      <c r="D120">
        <f>IFERROR(MATCH($A120,PP_Grid[Intermediate],0),99999)</f>
        <v/>
      </c>
    </row>
    <row r="121">
      <c r="A121" t="inlineStr">
        <is>
          <t>TSP-399</t>
        </is>
      </c>
      <c r="B121" t="inlineStr">
        <is>
          <t>CHEM-1260</t>
        </is>
      </c>
      <c r="C121" t="n">
        <v>0.923</v>
      </c>
      <c r="D121">
        <f>IFERROR(MATCH($A121,PP_Grid[Intermediate],0),99999)</f>
        <v/>
      </c>
    </row>
    <row r="122">
      <c r="A122" t="inlineStr">
        <is>
          <t>TSP-399</t>
        </is>
      </c>
      <c r="B122" t="inlineStr">
        <is>
          <t>CHEM-1240</t>
        </is>
      </c>
      <c r="C122" t="n">
        <v>17.935</v>
      </c>
      <c r="D122">
        <f>IFERROR(MATCH($A122,PP_Grid[Intermediate],0),99999)</f>
        <v/>
      </c>
    </row>
    <row r="123">
      <c r="A123" t="inlineStr">
        <is>
          <t>TSP-399</t>
        </is>
      </c>
      <c r="B123" t="inlineStr">
        <is>
          <t>CHEM-1420</t>
        </is>
      </c>
      <c r="C123" t="n">
        <v>0.895</v>
      </c>
      <c r="D123">
        <f>IFERROR(MATCH($A123,PP_Grid[Intermediate],0),99999)</f>
        <v/>
      </c>
    </row>
    <row r="124">
      <c r="A124" t="inlineStr">
        <is>
          <t>TSP-399</t>
        </is>
      </c>
      <c r="B124" t="inlineStr">
        <is>
          <t>CHEM-1440</t>
        </is>
      </c>
      <c r="C124" t="n">
        <v>0.858</v>
      </c>
      <c r="D124">
        <f>IFERROR(MATCH($A124,PP_Grid[Intermediate],0),99999)</f>
        <v/>
      </c>
    </row>
    <row r="125">
      <c r="A125" t="inlineStr">
        <is>
          <t>TSP-402</t>
        </is>
      </c>
      <c r="B125" t="inlineStr">
        <is>
          <t>CHEM-1520</t>
        </is>
      </c>
      <c r="C125" t="n">
        <v>38.5623</v>
      </c>
      <c r="D125">
        <f>IFERROR(MATCH($A125,PP_Grid[Intermediate],0),99999)</f>
        <v/>
      </c>
    </row>
    <row r="126">
      <c r="A126" t="inlineStr">
        <is>
          <t>TSP-402</t>
        </is>
      </c>
      <c r="B126" t="inlineStr">
        <is>
          <t>CHEM-1530</t>
        </is>
      </c>
      <c r="C126" t="n">
        <v>39.032</v>
      </c>
      <c r="D126">
        <f>IFERROR(MATCH($A126,PP_Grid[Intermediate],0),99999)</f>
        <v/>
      </c>
    </row>
    <row r="127">
      <c r="A127" t="inlineStr">
        <is>
          <t>TSP-402</t>
        </is>
      </c>
      <c r="B127" t="inlineStr">
        <is>
          <t>CHEM-1400</t>
        </is>
      </c>
      <c r="C127" t="n">
        <v>6.745</v>
      </c>
      <c r="D127">
        <f>IFERROR(MATCH($A127,PP_Grid[Intermediate],0),99999)</f>
        <v/>
      </c>
    </row>
    <row r="128">
      <c r="A128" t="inlineStr">
        <is>
          <t>TSP-402</t>
        </is>
      </c>
      <c r="B128" t="inlineStr">
        <is>
          <t>CHEM-1260</t>
        </is>
      </c>
      <c r="C128" t="n">
        <v>0.769</v>
      </c>
      <c r="D128">
        <f>IFERROR(MATCH($A128,PP_Grid[Intermediate],0),99999)</f>
        <v/>
      </c>
    </row>
    <row r="129">
      <c r="A129" t="inlineStr">
        <is>
          <t>TSP-402</t>
        </is>
      </c>
      <c r="B129" t="inlineStr">
        <is>
          <t>CHEM-1420</t>
        </is>
      </c>
      <c r="C129" t="n">
        <v>1.114</v>
      </c>
      <c r="D129">
        <f>IFERROR(MATCH($A129,PP_Grid[Intermediate],0),99999)</f>
        <v/>
      </c>
    </row>
    <row r="130">
      <c r="A130" t="inlineStr">
        <is>
          <t>TSP-402</t>
        </is>
      </c>
      <c r="B130" t="inlineStr">
        <is>
          <t>CHEM-1650</t>
        </is>
      </c>
      <c r="C130" t="n">
        <v>0.033</v>
      </c>
      <c r="D130">
        <f>IFERROR(MATCH($A130,PP_Grid[Intermediate],0),99999)</f>
        <v/>
      </c>
    </row>
    <row r="131">
      <c r="A131" t="inlineStr">
        <is>
          <t>TSP-402</t>
        </is>
      </c>
      <c r="B131" t="inlineStr">
        <is>
          <t>CHEM-1550</t>
        </is>
      </c>
      <c r="C131" t="n">
        <v>6.346</v>
      </c>
      <c r="D131">
        <f>IFERROR(MATCH($A131,PP_Grid[Intermediate],0),99999)</f>
        <v/>
      </c>
    </row>
    <row r="132">
      <c r="A132" t="inlineStr">
        <is>
          <t>TSP-403</t>
        </is>
      </c>
      <c r="B132" t="inlineStr">
        <is>
          <t>CHEM-1520</t>
        </is>
      </c>
      <c r="C132" t="n">
        <v>38.6013</v>
      </c>
      <c r="D132">
        <f>IFERROR(MATCH($A132,PP_Grid[Intermediate],0),99999)</f>
        <v/>
      </c>
    </row>
    <row r="133">
      <c r="A133" t="inlineStr">
        <is>
          <t>TSP-403</t>
        </is>
      </c>
      <c r="B133" t="inlineStr">
        <is>
          <t>CHEM-1530</t>
        </is>
      </c>
      <c r="C133" t="n">
        <v>39.513</v>
      </c>
      <c r="D133">
        <f>IFERROR(MATCH($A133,PP_Grid[Intermediate],0),99999)</f>
        <v/>
      </c>
    </row>
    <row r="134">
      <c r="A134" t="inlineStr">
        <is>
          <t>TSP-403</t>
        </is>
      </c>
      <c r="B134" t="inlineStr">
        <is>
          <t>CHEM-1400</t>
        </is>
      </c>
      <c r="C134" t="n">
        <v>6.752</v>
      </c>
      <c r="D134">
        <f>IFERROR(MATCH($A134,PP_Grid[Intermediate],0),99999)</f>
        <v/>
      </c>
    </row>
    <row r="135">
      <c r="A135" t="inlineStr">
        <is>
          <t>TSP-403</t>
        </is>
      </c>
      <c r="B135" t="inlineStr">
        <is>
          <t>CHEM-1260</t>
        </is>
      </c>
      <c r="C135" t="n">
        <v>0.9360000000000001</v>
      </c>
      <c r="D135">
        <f>IFERROR(MATCH($A135,PP_Grid[Intermediate],0),99999)</f>
        <v/>
      </c>
    </row>
    <row r="136">
      <c r="A136" t="inlineStr">
        <is>
          <t>TSP-403</t>
        </is>
      </c>
      <c r="B136" t="inlineStr">
        <is>
          <t>CHEM-1420</t>
        </is>
      </c>
      <c r="C136" t="n">
        <v>1.114</v>
      </c>
      <c r="D136">
        <f>IFERROR(MATCH($A136,PP_Grid[Intermediate],0),99999)</f>
        <v/>
      </c>
    </row>
    <row r="137">
      <c r="A137" t="inlineStr">
        <is>
          <t>TSP-403</t>
        </is>
      </c>
      <c r="B137" t="inlineStr">
        <is>
          <t>CHEM-1650</t>
        </is>
      </c>
      <c r="C137" t="n">
        <v>0.033</v>
      </c>
      <c r="D137">
        <f>IFERROR(MATCH($A137,PP_Grid[Intermediate],0),99999)</f>
        <v/>
      </c>
    </row>
    <row r="138">
      <c r="A138" t="inlineStr">
        <is>
          <t>TSP-403</t>
        </is>
      </c>
      <c r="B138" t="inlineStr">
        <is>
          <t>CHEM-1550</t>
        </is>
      </c>
      <c r="C138" t="n">
        <v>6.344</v>
      </c>
      <c r="D138">
        <f>IFERROR(MATCH($A138,PP_Grid[Intermediate],0),99999)</f>
        <v/>
      </c>
    </row>
    <row r="139">
      <c r="A139" t="inlineStr">
        <is>
          <t>TSP-404</t>
        </is>
      </c>
      <c r="B139" t="inlineStr">
        <is>
          <t>CHEM-1520</t>
        </is>
      </c>
      <c r="C139" t="n">
        <v>35.83</v>
      </c>
      <c r="D139">
        <f>IFERROR(MATCH($A139,PP_Grid[Intermediate],0),99999)</f>
        <v/>
      </c>
    </row>
    <row r="140">
      <c r="A140" t="inlineStr">
        <is>
          <t>TSP-404</t>
        </is>
      </c>
      <c r="B140" t="inlineStr">
        <is>
          <t>CHEM-1530</t>
        </is>
      </c>
      <c r="C140" t="n">
        <v>36.27</v>
      </c>
      <c r="D140">
        <f>IFERROR(MATCH($A140,PP_Grid[Intermediate],0),99999)</f>
        <v/>
      </c>
    </row>
    <row r="141">
      <c r="A141" t="inlineStr">
        <is>
          <t>TSP-404</t>
        </is>
      </c>
      <c r="B141" t="inlineStr">
        <is>
          <t>CHEM-1400</t>
        </is>
      </c>
      <c r="C141" t="n">
        <v>6.268</v>
      </c>
      <c r="D141">
        <f>IFERROR(MATCH($A141,PP_Grid[Intermediate],0),99999)</f>
        <v/>
      </c>
    </row>
    <row r="142">
      <c r="A142" t="inlineStr">
        <is>
          <t>TSP-404</t>
        </is>
      </c>
      <c r="B142" t="inlineStr">
        <is>
          <t>CHEM-1260</t>
        </is>
      </c>
      <c r="C142" t="n">
        <v>1.072</v>
      </c>
      <c r="D142">
        <f>IFERROR(MATCH($A142,PP_Grid[Intermediate],0),99999)</f>
        <v/>
      </c>
    </row>
    <row r="143">
      <c r="A143" t="inlineStr">
        <is>
          <t>TSP-404</t>
        </is>
      </c>
      <c r="B143" t="inlineStr">
        <is>
          <t>CHEM-1420</t>
        </is>
      </c>
      <c r="C143" t="n">
        <v>1.033</v>
      </c>
      <c r="D143">
        <f>IFERROR(MATCH($A143,PP_Grid[Intermediate],0),99999)</f>
        <v/>
      </c>
    </row>
    <row r="144">
      <c r="A144" t="inlineStr">
        <is>
          <t>TSP-404</t>
        </is>
      </c>
      <c r="B144" t="inlineStr">
        <is>
          <t>CHEM-1650</t>
        </is>
      </c>
      <c r="C144" t="n">
        <v>0.031</v>
      </c>
      <c r="D144">
        <f>IFERROR(MATCH($A144,PP_Grid[Intermediate],0),99999)</f>
        <v/>
      </c>
    </row>
    <row r="145">
      <c r="A145" t="inlineStr">
        <is>
          <t>TSP-404</t>
        </is>
      </c>
      <c r="B145" t="inlineStr">
        <is>
          <t>CHEM-1550</t>
        </is>
      </c>
      <c r="C145" t="n">
        <v>4.284</v>
      </c>
      <c r="D145">
        <f>IFERROR(MATCH($A145,PP_Grid[Intermediate],0),99999)</f>
        <v/>
      </c>
    </row>
    <row r="146">
      <c r="A146" t="inlineStr">
        <is>
          <t>TSP-405</t>
        </is>
      </c>
      <c r="B146" t="inlineStr">
        <is>
          <t>CHEM-1520</t>
        </is>
      </c>
      <c r="C146" t="n">
        <v>35.8636</v>
      </c>
      <c r="D146">
        <f>IFERROR(MATCH($A146,PP_Grid[Intermediate],0),99999)</f>
        <v/>
      </c>
    </row>
    <row r="147">
      <c r="A147" t="inlineStr">
        <is>
          <t>TSP-405</t>
        </is>
      </c>
      <c r="B147" t="inlineStr">
        <is>
          <t>CHEM-1530</t>
        </is>
      </c>
      <c r="C147" t="n">
        <v>36.301</v>
      </c>
      <c r="D147">
        <f>IFERROR(MATCH($A147,PP_Grid[Intermediate],0),99999)</f>
        <v/>
      </c>
    </row>
    <row r="148">
      <c r="A148" t="inlineStr">
        <is>
          <t>TSP-405</t>
        </is>
      </c>
      <c r="B148" t="inlineStr">
        <is>
          <t>CHEM-1400</t>
        </is>
      </c>
      <c r="C148" t="n">
        <v>6.273</v>
      </c>
      <c r="D148">
        <f>IFERROR(MATCH($A148,PP_Grid[Intermediate],0),99999)</f>
        <v/>
      </c>
    </row>
    <row r="149">
      <c r="A149" t="inlineStr">
        <is>
          <t>TSP-405</t>
        </is>
      </c>
      <c r="B149" t="inlineStr">
        <is>
          <t>CHEM-1260</t>
        </is>
      </c>
      <c r="C149" t="n">
        <v>1.192</v>
      </c>
      <c r="D149">
        <f>IFERROR(MATCH($A149,PP_Grid[Intermediate],0),99999)</f>
        <v/>
      </c>
    </row>
    <row r="150">
      <c r="A150" t="inlineStr">
        <is>
          <t>TSP-405</t>
        </is>
      </c>
      <c r="B150" t="inlineStr">
        <is>
          <t>CHEM-1420</t>
        </is>
      </c>
      <c r="C150" t="n">
        <v>1.033</v>
      </c>
      <c r="D150">
        <f>IFERROR(MATCH($A150,PP_Grid[Intermediate],0),99999)</f>
        <v/>
      </c>
    </row>
    <row r="151">
      <c r="A151" t="inlineStr">
        <is>
          <t>TSP-405</t>
        </is>
      </c>
      <c r="B151" t="inlineStr">
        <is>
          <t>CHEM-1650</t>
        </is>
      </c>
      <c r="C151" t="n">
        <v>0.031</v>
      </c>
      <c r="D151">
        <f>IFERROR(MATCH($A151,PP_Grid[Intermediate],0),99999)</f>
        <v/>
      </c>
    </row>
    <row r="152">
      <c r="A152" t="inlineStr">
        <is>
          <t>TSP-405</t>
        </is>
      </c>
      <c r="B152" t="inlineStr">
        <is>
          <t>CHEM-1550</t>
        </is>
      </c>
      <c r="C152" t="n">
        <v>4.284</v>
      </c>
      <c r="D152">
        <f>IFERROR(MATCH($A152,PP_Grid[Intermediate],0),99999)</f>
        <v/>
      </c>
    </row>
    <row r="153">
      <c r="A153" t="inlineStr">
        <is>
          <t>TSP-544</t>
        </is>
      </c>
      <c r="B153" t="inlineStr">
        <is>
          <t>CHEM-1410</t>
        </is>
      </c>
      <c r="C153" t="n">
        <v>9.914999999999999</v>
      </c>
      <c r="D153">
        <f>IFERROR(MATCH($A153,PP_Grid[Intermediate],0),99999)</f>
        <v/>
      </c>
    </row>
    <row r="154">
      <c r="A154" t="inlineStr">
        <is>
          <t>TSP-544</t>
        </is>
      </c>
      <c r="B154" t="inlineStr">
        <is>
          <t>CHEM-1400</t>
        </is>
      </c>
      <c r="C154" t="n">
        <v>1.299</v>
      </c>
      <c r="D154">
        <f>IFERROR(MATCH($A154,PP_Grid[Intermediate],0),99999)</f>
        <v/>
      </c>
    </row>
    <row r="155">
      <c r="A155" t="inlineStr">
        <is>
          <t>TSP-544</t>
        </is>
      </c>
      <c r="B155" t="inlineStr">
        <is>
          <t>CHEM-1560</t>
        </is>
      </c>
      <c r="C155" t="n">
        <v>4.938</v>
      </c>
      <c r="D155">
        <f>IFERROR(MATCH($A155,PP_Grid[Intermediate],0),99999)</f>
        <v/>
      </c>
    </row>
    <row r="156">
      <c r="A156" t="inlineStr">
        <is>
          <t>TSP-544</t>
        </is>
      </c>
      <c r="B156" t="inlineStr">
        <is>
          <t>CHEM-1260</t>
        </is>
      </c>
      <c r="C156" t="n">
        <v>1.481</v>
      </c>
      <c r="D156">
        <f>IFERROR(MATCH($A156,PP_Grid[Intermediate],0),99999)</f>
        <v/>
      </c>
    </row>
    <row r="157">
      <c r="A157" t="inlineStr">
        <is>
          <t>TSP-544</t>
        </is>
      </c>
      <c r="B157" t="inlineStr">
        <is>
          <t>CHEM-1510</t>
        </is>
      </c>
      <c r="C157" t="n">
        <v>9.875819999999999</v>
      </c>
      <c r="D157">
        <f>IFERROR(MATCH($A157,PP_Grid[Intermediate],0),99999)</f>
        <v/>
      </c>
    </row>
    <row r="158">
      <c r="A158" t="inlineStr">
        <is>
          <t>TSP-544</t>
        </is>
      </c>
      <c r="B158" t="inlineStr">
        <is>
          <t>CHEM-1420</t>
        </is>
      </c>
      <c r="C158" t="n">
        <v>0.267</v>
      </c>
      <c r="D158">
        <f>IFERROR(MATCH($A158,PP_Grid[Intermediate],0),99999)</f>
        <v/>
      </c>
    </row>
    <row r="159">
      <c r="A159" t="inlineStr">
        <is>
          <t>TSP-544</t>
        </is>
      </c>
      <c r="B159" t="inlineStr">
        <is>
          <t>CHEM-1440</t>
        </is>
      </c>
      <c r="C159" t="n">
        <v>0.731</v>
      </c>
      <c r="D159">
        <f>IFERROR(MATCH($A159,PP_Grid[Intermediate],0),99999)</f>
        <v/>
      </c>
    </row>
    <row r="160">
      <c r="A160" t="inlineStr">
        <is>
          <t>TSP-544</t>
        </is>
      </c>
      <c r="B160" t="inlineStr">
        <is>
          <t>CHEM-1580</t>
        </is>
      </c>
      <c r="C160" t="n">
        <v>13.227</v>
      </c>
      <c r="D160">
        <f>IFERROR(MATCH($A160,PP_Grid[Intermediate],0),99999)</f>
        <v/>
      </c>
    </row>
    <row r="161">
      <c r="A161" t="inlineStr">
        <is>
          <t>TSP-558</t>
        </is>
      </c>
      <c r="B161" t="inlineStr">
        <is>
          <t>CHEM-1520</t>
        </is>
      </c>
      <c r="C161" t="n">
        <v>22.525</v>
      </c>
      <c r="D161">
        <f>IFERROR(MATCH($A161,PP_Grid[Intermediate],0),99999)</f>
        <v/>
      </c>
    </row>
    <row r="162">
      <c r="A162" t="inlineStr">
        <is>
          <t>TSP-558</t>
        </is>
      </c>
      <c r="B162" t="inlineStr">
        <is>
          <t>CHEM-1400</t>
        </is>
      </c>
      <c r="C162" t="n">
        <v>1.181</v>
      </c>
      <c r="D162">
        <f>IFERROR(MATCH($A162,PP_Grid[Intermediate],0),99999)</f>
        <v/>
      </c>
    </row>
    <row r="163">
      <c r="A163" t="inlineStr">
        <is>
          <t>TSP-558</t>
        </is>
      </c>
      <c r="B163" t="inlineStr">
        <is>
          <t>CHEM-1260</t>
        </is>
      </c>
      <c r="C163" t="n">
        <v>1.0769</v>
      </c>
      <c r="D163">
        <f>IFERROR(MATCH($A163,PP_Grid[Intermediate],0),99999)</f>
        <v/>
      </c>
    </row>
    <row r="164">
      <c r="A164" t="inlineStr">
        <is>
          <t>TSP-558</t>
        </is>
      </c>
      <c r="B164" t="inlineStr">
        <is>
          <t>CHEM-1670</t>
        </is>
      </c>
      <c r="C164" t="n">
        <v>5.564</v>
      </c>
      <c r="D164">
        <f>IFERROR(MATCH($A164,PP_Grid[Intermediate],0),99999)</f>
        <v/>
      </c>
    </row>
    <row r="165">
      <c r="A165" t="inlineStr">
        <is>
          <t>TSP-558</t>
        </is>
      </c>
      <c r="B165" t="inlineStr">
        <is>
          <t>CHEM-1420</t>
        </is>
      </c>
      <c r="C165" t="n">
        <v>0.947</v>
      </c>
      <c r="D165">
        <f>IFERROR(MATCH($A165,PP_Grid[Intermediate],0),99999)</f>
        <v/>
      </c>
    </row>
    <row r="166">
      <c r="A166" t="inlineStr">
        <is>
          <t>TSP-558</t>
        </is>
      </c>
      <c r="B166" t="inlineStr">
        <is>
          <t>CHEM-1450</t>
        </is>
      </c>
      <c r="C166" t="n">
        <v>0.274</v>
      </c>
      <c r="D166">
        <f>IFERROR(MATCH($A166,PP_Grid[Intermediate],0),99999)</f>
        <v/>
      </c>
    </row>
    <row r="167">
      <c r="A167" t="inlineStr">
        <is>
          <t>TSP-618</t>
        </is>
      </c>
      <c r="B167" t="inlineStr">
        <is>
          <t>CHEM-1410</t>
        </is>
      </c>
      <c r="C167" t="n">
        <v>9.331</v>
      </c>
      <c r="D167">
        <f>IFERROR(MATCH($A167,PP_Grid[Intermediate],0),99999)</f>
        <v/>
      </c>
    </row>
    <row r="168">
      <c r="A168" t="inlineStr">
        <is>
          <t>TSP-618</t>
        </is>
      </c>
      <c r="B168" t="inlineStr">
        <is>
          <t>CHEM-1520</t>
        </is>
      </c>
      <c r="C168" t="n">
        <v>27.964</v>
      </c>
      <c r="D168">
        <f>IFERROR(MATCH($A168,PP_Grid[Intermediate],0),99999)</f>
        <v/>
      </c>
    </row>
    <row r="169">
      <c r="A169" t="inlineStr">
        <is>
          <t>TSP-618</t>
        </is>
      </c>
      <c r="B169" t="inlineStr">
        <is>
          <t>CHEM-1400</t>
        </is>
      </c>
      <c r="C169" t="n">
        <v>1.22</v>
      </c>
      <c r="D169">
        <f>IFERROR(MATCH($A169,PP_Grid[Intermediate],0),99999)</f>
        <v/>
      </c>
    </row>
    <row r="170">
      <c r="A170" t="inlineStr">
        <is>
          <t>TSP-618</t>
        </is>
      </c>
      <c r="B170" t="inlineStr">
        <is>
          <t>CHEM-1690</t>
        </is>
      </c>
      <c r="C170" t="n">
        <v>9.300000000000001</v>
      </c>
      <c r="D170">
        <f>IFERROR(MATCH($A170,PP_Grid[Intermediate],0),99999)</f>
        <v/>
      </c>
    </row>
    <row r="171">
      <c r="A171" t="inlineStr">
        <is>
          <t>TSP-618</t>
        </is>
      </c>
      <c r="B171" t="inlineStr">
        <is>
          <t>CHEM-1260</t>
        </is>
      </c>
      <c r="C171" t="n">
        <v>0.9293</v>
      </c>
      <c r="D171">
        <f>IFERROR(MATCH($A171,PP_Grid[Intermediate],0),99999)</f>
        <v/>
      </c>
    </row>
    <row r="172">
      <c r="A172" t="inlineStr">
        <is>
          <t>TSP-618</t>
        </is>
      </c>
      <c r="B172" t="inlineStr">
        <is>
          <t>TSZ-616</t>
        </is>
      </c>
      <c r="C172" t="n">
        <v>23.23</v>
      </c>
      <c r="D172">
        <f>IFERROR(MATCH($A172,PP_Grid[Intermediate],0),99999)</f>
        <v/>
      </c>
    </row>
    <row r="173">
      <c r="A173" t="inlineStr">
        <is>
          <t>TSP-618</t>
        </is>
      </c>
      <c r="B173" t="inlineStr">
        <is>
          <t>CHEM-1420</t>
        </is>
      </c>
      <c r="C173" t="n">
        <v>0.378</v>
      </c>
      <c r="D173">
        <f>IFERROR(MATCH($A173,PP_Grid[Intermediate],0),99999)</f>
        <v/>
      </c>
    </row>
    <row r="174">
      <c r="A174" t="inlineStr">
        <is>
          <t>TSP-618</t>
        </is>
      </c>
      <c r="B174" t="inlineStr">
        <is>
          <t>CHEM-1440</t>
        </is>
      </c>
      <c r="C174" t="n">
        <v>1.303</v>
      </c>
      <c r="D174">
        <f>IFERROR(MATCH($A174,PP_Grid[Intermediate],0),99999)</f>
        <v/>
      </c>
    </row>
    <row r="175">
      <c r="A175" t="inlineStr">
        <is>
          <t>TSP-620</t>
        </is>
      </c>
      <c r="B175" t="inlineStr">
        <is>
          <t>CHEM-1520</t>
        </is>
      </c>
      <c r="C175" t="n">
        <v>14.145</v>
      </c>
      <c r="D175">
        <f>IFERROR(MATCH($A175,PP_Grid[Intermediate],0),99999)</f>
        <v/>
      </c>
    </row>
    <row r="176">
      <c r="A176" t="inlineStr">
        <is>
          <t>TSP-620</t>
        </is>
      </c>
      <c r="B176" t="inlineStr">
        <is>
          <t>CHEM-1540</t>
        </is>
      </c>
      <c r="C176" t="n">
        <v>37.1545</v>
      </c>
      <c r="D176">
        <f>IFERROR(MATCH($A176,PP_Grid[Intermediate],0),99999)</f>
        <v/>
      </c>
    </row>
    <row r="177">
      <c r="A177" t="inlineStr">
        <is>
          <t>TSP-620</t>
        </is>
      </c>
      <c r="B177" t="inlineStr">
        <is>
          <t>CHEM-1400</t>
        </is>
      </c>
      <c r="C177" t="n">
        <v>1.06</v>
      </c>
      <c r="D177">
        <f>IFERROR(MATCH($A177,PP_Grid[Intermediate],0),99999)</f>
        <v/>
      </c>
    </row>
    <row r="178">
      <c r="A178" t="inlineStr">
        <is>
          <t>TSP-620</t>
        </is>
      </c>
      <c r="B178" t="inlineStr">
        <is>
          <t>CHEM-1260</t>
        </is>
      </c>
      <c r="C178" t="n">
        <v>0.705</v>
      </c>
      <c r="D178">
        <f>IFERROR(MATCH($A178,PP_Grid[Intermediate],0),99999)</f>
        <v/>
      </c>
    </row>
    <row r="179">
      <c r="A179" t="inlineStr">
        <is>
          <t>TSP-620</t>
        </is>
      </c>
      <c r="B179" t="inlineStr">
        <is>
          <t>CHEM-1420</t>
        </is>
      </c>
      <c r="C179" t="n">
        <v>0.759</v>
      </c>
      <c r="D179">
        <f>IFERROR(MATCH($A179,PP_Grid[Intermediate],0),99999)</f>
        <v/>
      </c>
    </row>
    <row r="180">
      <c r="A180" t="inlineStr">
        <is>
          <t>TSP-620</t>
        </is>
      </c>
      <c r="B180" t="inlineStr">
        <is>
          <t>CHEM-1440</t>
        </is>
      </c>
      <c r="C180" t="n">
        <v>0.534</v>
      </c>
      <c r="D180">
        <f>IFERROR(MATCH($A180,PP_Grid[Intermediate],0),99999)</f>
        <v/>
      </c>
    </row>
    <row r="181">
      <c r="A181" t="inlineStr">
        <is>
          <t>TSP-620</t>
        </is>
      </c>
      <c r="B181" t="inlineStr">
        <is>
          <t>CHEM-1650</t>
        </is>
      </c>
      <c r="C181" t="n">
        <v>0.055</v>
      </c>
      <c r="D181">
        <f>IFERROR(MATCH($A181,PP_Grid[Intermediate],0),99999)</f>
        <v/>
      </c>
    </row>
    <row r="182">
      <c r="A182" t="inlineStr">
        <is>
          <t>TSP-620</t>
        </is>
      </c>
      <c r="B182" t="inlineStr">
        <is>
          <t>CHEM-1010</t>
        </is>
      </c>
      <c r="C182" t="n">
        <v>0.856</v>
      </c>
      <c r="D182">
        <f>IFERROR(MATCH($A182,PP_Grid[Intermediate],0),99999)</f>
        <v/>
      </c>
    </row>
    <row r="183">
      <c r="A183" t="inlineStr">
        <is>
          <t>TSP-620</t>
        </is>
      </c>
      <c r="B183" t="inlineStr">
        <is>
          <t>CHEM-1080</t>
        </is>
      </c>
      <c r="C183" t="n">
        <v>0.856</v>
      </c>
      <c r="D183">
        <f>IFERROR(MATCH($A183,PP_Grid[Intermediate],0),99999)</f>
        <v/>
      </c>
    </row>
    <row r="184">
      <c r="A184" t="inlineStr">
        <is>
          <t>TSP-620</t>
        </is>
      </c>
      <c r="B184" t="inlineStr">
        <is>
          <t>CHEM-1700</t>
        </is>
      </c>
      <c r="C184" t="n">
        <v>0.856</v>
      </c>
      <c r="D184">
        <f>IFERROR(MATCH($A184,PP_Grid[Intermediate],0),99999)</f>
        <v/>
      </c>
    </row>
    <row r="185">
      <c r="A185" t="inlineStr">
        <is>
          <t>TSP-623</t>
        </is>
      </c>
      <c r="B185" t="inlineStr">
        <is>
          <t>CHEM-1520</t>
        </is>
      </c>
      <c r="C185" t="n">
        <v>14.161</v>
      </c>
      <c r="D185">
        <f>IFERROR(MATCH($A185,PP_Grid[Intermediate],0),99999)</f>
        <v/>
      </c>
    </row>
    <row r="186">
      <c r="A186" t="inlineStr">
        <is>
          <t>TSP-623</t>
        </is>
      </c>
      <c r="B186" t="inlineStr">
        <is>
          <t>CHEM-1540</t>
        </is>
      </c>
      <c r="C186" t="n">
        <v>36.855469056</v>
      </c>
      <c r="D186">
        <f>IFERROR(MATCH($A186,PP_Grid[Intermediate],0),99999)</f>
        <v/>
      </c>
    </row>
    <row r="187">
      <c r="A187" t="inlineStr">
        <is>
          <t>TSP-623</t>
        </is>
      </c>
      <c r="B187" t="inlineStr">
        <is>
          <t>CHEM-1400</t>
        </is>
      </c>
      <c r="C187" t="n">
        <v>1.062</v>
      </c>
      <c r="D187">
        <f>IFERROR(MATCH($A187,PP_Grid[Intermediate],0),99999)</f>
        <v/>
      </c>
    </row>
    <row r="188">
      <c r="A188" t="inlineStr">
        <is>
          <t>TSP-623</t>
        </is>
      </c>
      <c r="B188" t="inlineStr">
        <is>
          <t>CHEM-1260</t>
        </is>
      </c>
      <c r="C188" t="n">
        <v>0.706</v>
      </c>
      <c r="D188">
        <f>IFERROR(MATCH($A188,PP_Grid[Intermediate],0),99999)</f>
        <v/>
      </c>
    </row>
    <row r="189">
      <c r="A189" t="inlineStr">
        <is>
          <t>TSP-623</t>
        </is>
      </c>
      <c r="B189" t="inlineStr">
        <is>
          <t>CHEM-1420</t>
        </is>
      </c>
      <c r="C189" t="n">
        <v>0.759</v>
      </c>
      <c r="D189">
        <f>IFERROR(MATCH($A189,PP_Grid[Intermediate],0),99999)</f>
        <v/>
      </c>
    </row>
    <row r="190">
      <c r="A190" t="inlineStr">
        <is>
          <t>TSP-623</t>
        </is>
      </c>
      <c r="B190" t="inlineStr">
        <is>
          <t>CHEM-1440</t>
        </is>
      </c>
      <c r="C190" t="n">
        <v>0.534</v>
      </c>
      <c r="D190">
        <f>IFERROR(MATCH($A190,PP_Grid[Intermediate],0),99999)</f>
        <v/>
      </c>
    </row>
    <row r="191">
      <c r="A191" t="inlineStr">
        <is>
          <t>TSP-623</t>
        </is>
      </c>
      <c r="B191" t="inlineStr">
        <is>
          <t>CHEM-1650</t>
        </is>
      </c>
      <c r="C191" t="n">
        <v>0.055</v>
      </c>
      <c r="D191">
        <f>IFERROR(MATCH($A191,PP_Grid[Intermediate],0),99999)</f>
        <v/>
      </c>
    </row>
    <row r="192">
      <c r="A192" t="inlineStr">
        <is>
          <t>TSP-623</t>
        </is>
      </c>
      <c r="B192" t="inlineStr">
        <is>
          <t>CHEM-1010</t>
        </is>
      </c>
      <c r="C192" t="n">
        <v>0.857</v>
      </c>
      <c r="D192">
        <f>IFERROR(MATCH($A192,PP_Grid[Intermediate],0),99999)</f>
        <v/>
      </c>
    </row>
    <row r="193">
      <c r="A193" t="inlineStr">
        <is>
          <t>TSP-623</t>
        </is>
      </c>
      <c r="B193" t="inlineStr">
        <is>
          <t>CHEM-1080</t>
        </is>
      </c>
      <c r="C193" t="n">
        <v>0.857</v>
      </c>
      <c r="D193">
        <f>IFERROR(MATCH($A193,PP_Grid[Intermediate],0),99999)</f>
        <v/>
      </c>
    </row>
    <row r="194">
      <c r="A194" t="inlineStr">
        <is>
          <t>TSP-623</t>
        </is>
      </c>
      <c r="B194" t="inlineStr">
        <is>
          <t>CHEM-1700</t>
        </is>
      </c>
      <c r="C194" t="n">
        <v>0.857</v>
      </c>
      <c r="D194">
        <f>IFERROR(MATCH($A194,PP_Grid[Intermediate],0),99999)</f>
        <v/>
      </c>
    </row>
    <row r="195">
      <c r="A195" t="inlineStr">
        <is>
          <t>TSP-655</t>
        </is>
      </c>
      <c r="B195" t="inlineStr">
        <is>
          <t>CHEM-1530</t>
        </is>
      </c>
      <c r="C195" t="n">
        <v>55.046</v>
      </c>
      <c r="D195">
        <f>IFERROR(MATCH($A195,PP_Grid[Intermediate],0),99999)</f>
        <v/>
      </c>
    </row>
    <row r="196">
      <c r="A196" t="inlineStr">
        <is>
          <t>TSP-655</t>
        </is>
      </c>
      <c r="B196" t="inlineStr">
        <is>
          <t>CHEM-1400</t>
        </is>
      </c>
      <c r="C196" t="n">
        <v>3.136</v>
      </c>
      <c r="D196">
        <f>IFERROR(MATCH($A196,PP_Grid[Intermediate],0),99999)</f>
        <v/>
      </c>
    </row>
    <row r="197">
      <c r="A197" t="inlineStr">
        <is>
          <t>TSP-655</t>
        </is>
      </c>
      <c r="B197" t="inlineStr">
        <is>
          <t>CHEM-1260</t>
        </is>
      </c>
      <c r="C197" t="n">
        <v>1.43</v>
      </c>
      <c r="D197">
        <f>IFERROR(MATCH($A197,PP_Grid[Intermediate],0),99999)</f>
        <v/>
      </c>
    </row>
    <row r="198">
      <c r="A198" t="inlineStr">
        <is>
          <t>TSP-655</t>
        </is>
      </c>
      <c r="B198" t="inlineStr">
        <is>
          <t>CHEM-1420</t>
        </is>
      </c>
      <c r="C198" t="n">
        <v>0.894</v>
      </c>
      <c r="D198">
        <f>IFERROR(MATCH($A198,PP_Grid[Intermediate],0),99999)</f>
        <v/>
      </c>
    </row>
    <row r="199">
      <c r="A199" t="inlineStr">
        <is>
          <t>TSP-655</t>
        </is>
      </c>
      <c r="B199" t="inlineStr">
        <is>
          <t>CHEM-1650</t>
        </is>
      </c>
      <c r="C199" t="n">
        <v>0.031</v>
      </c>
      <c r="D199">
        <f>IFERROR(MATCH($A199,PP_Grid[Intermediate],0),99999)</f>
        <v/>
      </c>
    </row>
    <row r="200">
      <c r="A200" t="inlineStr">
        <is>
          <t>TSP-655</t>
        </is>
      </c>
      <c r="B200" t="inlineStr">
        <is>
          <t>CHEM-1660</t>
        </is>
      </c>
      <c r="C200" t="n">
        <v>7.746</v>
      </c>
      <c r="D200">
        <f>IFERROR(MATCH($A200,PP_Grid[Intermediate],0),99999)</f>
        <v/>
      </c>
    </row>
    <row r="201">
      <c r="A201" t="inlineStr">
        <is>
          <t>TSP-656</t>
        </is>
      </c>
      <c r="B201" t="inlineStr">
        <is>
          <t>CHEM-1400</t>
        </is>
      </c>
      <c r="C201" t="n">
        <v>2.813</v>
      </c>
      <c r="D201">
        <f>IFERROR(MATCH($A201,PP_Grid[Intermediate],0),99999)</f>
        <v/>
      </c>
    </row>
    <row r="202">
      <c r="A202" t="inlineStr">
        <is>
          <t>TSP-656</t>
        </is>
      </c>
      <c r="B202" t="inlineStr">
        <is>
          <t>CHEM-1250</t>
        </is>
      </c>
      <c r="C202" t="n">
        <v>5.783</v>
      </c>
      <c r="D202">
        <f>IFERROR(MATCH($A202,PP_Grid[Intermediate],0),99999)</f>
        <v/>
      </c>
    </row>
    <row r="203">
      <c r="A203" t="inlineStr">
        <is>
          <t>TSP-656</t>
        </is>
      </c>
      <c r="B203" t="inlineStr">
        <is>
          <t>CHEM-1260</t>
        </is>
      </c>
      <c r="C203" t="n">
        <v>1.14</v>
      </c>
      <c r="D203">
        <f>IFERROR(MATCH($A203,PP_Grid[Intermediate],0),99999)</f>
        <v/>
      </c>
    </row>
    <row r="204">
      <c r="A204" t="inlineStr">
        <is>
          <t>TSP-656</t>
        </is>
      </c>
      <c r="B204" t="inlineStr">
        <is>
          <t>CHEM-1420</t>
        </is>
      </c>
      <c r="C204" t="n">
        <v>0.991</v>
      </c>
      <c r="D204">
        <f>IFERROR(MATCH($A204,PP_Grid[Intermediate],0),99999)</f>
        <v/>
      </c>
    </row>
    <row r="205">
      <c r="A205" t="inlineStr">
        <is>
          <t>TSP-656</t>
        </is>
      </c>
      <c r="B205" t="inlineStr">
        <is>
          <t>CHEM-1660</t>
        </is>
      </c>
      <c r="C205" t="n">
        <v>6.557</v>
      </c>
      <c r="D205">
        <f>IFERROR(MATCH($A205,PP_Grid[Intermediate],0),99999)</f>
        <v/>
      </c>
    </row>
    <row r="206">
      <c r="A206" t="inlineStr">
        <is>
          <t>TSP-668</t>
        </is>
      </c>
      <c r="B206" t="inlineStr">
        <is>
          <t>CHEM-1490</t>
        </is>
      </c>
      <c r="C206" t="n">
        <v>64.626</v>
      </c>
      <c r="D206">
        <f>IFERROR(MATCH($A206,PP_Grid[Intermediate],0),99999)</f>
        <v/>
      </c>
    </row>
    <row r="207">
      <c r="A207" t="inlineStr">
        <is>
          <t>TSP-668</t>
        </is>
      </c>
      <c r="B207" t="inlineStr">
        <is>
          <t>CHEM-1250</t>
        </is>
      </c>
      <c r="C207" t="n">
        <v>19.289</v>
      </c>
      <c r="D207">
        <f>IFERROR(MATCH($A207,PP_Grid[Intermediate],0),99999)</f>
        <v/>
      </c>
    </row>
    <row r="208">
      <c r="A208" t="inlineStr">
        <is>
          <t>TSP-668</t>
        </is>
      </c>
      <c r="B208" t="inlineStr">
        <is>
          <t>CHEM-1260</t>
        </is>
      </c>
      <c r="C208" t="n">
        <v>1.242</v>
      </c>
      <c r="D208">
        <f>IFERROR(MATCH($A208,PP_Grid[Intermediate],0),99999)</f>
        <v/>
      </c>
    </row>
    <row r="209">
      <c r="A209" t="inlineStr">
        <is>
          <t>TSP-668</t>
        </is>
      </c>
      <c r="B209" t="inlineStr">
        <is>
          <t>CHEM-1240</t>
        </is>
      </c>
      <c r="C209" t="n">
        <v>24.62</v>
      </c>
      <c r="D209">
        <f>IFERROR(MATCH($A209,PP_Grid[Intermediate],0),99999)</f>
        <v/>
      </c>
    </row>
    <row r="210">
      <c r="A210" t="inlineStr">
        <is>
          <t>TSP-668</t>
        </is>
      </c>
      <c r="B210" t="inlineStr">
        <is>
          <t>CHEM-1420</t>
        </is>
      </c>
      <c r="C210" t="n">
        <v>1.115</v>
      </c>
      <c r="D210">
        <f>IFERROR(MATCH($A210,PP_Grid[Intermediate],0),99999)</f>
        <v/>
      </c>
    </row>
    <row r="211">
      <c r="A211" t="inlineStr">
        <is>
          <t>TSP-668</t>
        </is>
      </c>
      <c r="B211" t="inlineStr">
        <is>
          <t>CHEM-1440</t>
        </is>
      </c>
      <c r="C211" t="n">
        <v>1.901</v>
      </c>
      <c r="D211">
        <f>IFERROR(MATCH($A211,PP_Grid[Intermediate],0),99999)</f>
        <v/>
      </c>
    </row>
    <row r="212">
      <c r="A212" t="inlineStr">
        <is>
          <t>TSP-669</t>
        </is>
      </c>
      <c r="B212" t="inlineStr">
        <is>
          <t>CHEM-1490</t>
        </is>
      </c>
      <c r="C212" t="n">
        <v>60.03</v>
      </c>
      <c r="D212">
        <f>IFERROR(MATCH($A212,PP_Grid[Intermediate],0),99999)</f>
        <v/>
      </c>
    </row>
    <row r="213">
      <c r="A213" t="inlineStr">
        <is>
          <t>TSP-669</t>
        </is>
      </c>
      <c r="B213" t="inlineStr">
        <is>
          <t>CHEM-1250</t>
        </is>
      </c>
      <c r="C213" t="n">
        <v>17.92</v>
      </c>
      <c r="D213">
        <f>IFERROR(MATCH($A213,PP_Grid[Intermediate],0),99999)</f>
        <v/>
      </c>
    </row>
    <row r="214">
      <c r="A214" t="inlineStr">
        <is>
          <t>TSP-669</t>
        </is>
      </c>
      <c r="B214" t="inlineStr">
        <is>
          <t>CHEM-1260</t>
        </is>
      </c>
      <c r="C214" t="n">
        <v>1.15</v>
      </c>
      <c r="D214">
        <f>IFERROR(MATCH($A214,PP_Grid[Intermediate],0),99999)</f>
        <v/>
      </c>
    </row>
    <row r="215">
      <c r="A215" t="inlineStr">
        <is>
          <t>TSP-669</t>
        </is>
      </c>
      <c r="B215" t="inlineStr">
        <is>
          <t>CHEM-1240</t>
        </is>
      </c>
      <c r="C215" t="n">
        <v>22.87</v>
      </c>
      <c r="D215">
        <f>IFERROR(MATCH($A215,PP_Grid[Intermediate],0),99999)</f>
        <v/>
      </c>
    </row>
    <row r="216">
      <c r="A216" t="inlineStr">
        <is>
          <t>TSP-669</t>
        </is>
      </c>
      <c r="B216" t="inlineStr">
        <is>
          <t>CHEM-1420</t>
        </is>
      </c>
      <c r="C216" t="n">
        <v>1.154303001</v>
      </c>
      <c r="D216">
        <f>IFERROR(MATCH($A216,PP_Grid[Intermediate],0),99999)</f>
        <v/>
      </c>
    </row>
    <row r="217">
      <c r="A217" t="inlineStr">
        <is>
          <t>TSP-669</t>
        </is>
      </c>
      <c r="B217" t="inlineStr">
        <is>
          <t>CHEM-1440</t>
        </is>
      </c>
      <c r="C217" t="n">
        <v>1.412729046</v>
      </c>
      <c r="D217">
        <f>IFERROR(MATCH($A217,PP_Grid[Intermediate],0),99999)</f>
        <v/>
      </c>
    </row>
    <row r="218">
      <c r="A218" t="inlineStr">
        <is>
          <t>TSP-670</t>
        </is>
      </c>
      <c r="B218" t="inlineStr">
        <is>
          <t>CHEM-1490</t>
        </is>
      </c>
      <c r="C218" t="n">
        <v>61.303</v>
      </c>
      <c r="D218">
        <f>IFERROR(MATCH($A218,PP_Grid[Intermediate],0),99999)</f>
        <v/>
      </c>
    </row>
    <row r="219">
      <c r="A219" t="inlineStr">
        <is>
          <t>TSP-670</t>
        </is>
      </c>
      <c r="B219" t="inlineStr">
        <is>
          <t>CHEM-1250</t>
        </is>
      </c>
      <c r="C219" t="n">
        <v>18.297</v>
      </c>
      <c r="D219">
        <f>IFERROR(MATCH($A219,PP_Grid[Intermediate],0),99999)</f>
        <v/>
      </c>
    </row>
    <row r="220">
      <c r="A220" t="inlineStr">
        <is>
          <t>TSP-670</t>
        </is>
      </c>
      <c r="B220" t="inlineStr">
        <is>
          <t>CHEM-1260</t>
        </is>
      </c>
      <c r="C220" t="n">
        <v>1.166</v>
      </c>
      <c r="D220">
        <f>IFERROR(MATCH($A220,PP_Grid[Intermediate],0),99999)</f>
        <v/>
      </c>
    </row>
    <row r="221">
      <c r="A221" t="inlineStr">
        <is>
          <t>TSP-670</t>
        </is>
      </c>
      <c r="B221" t="inlineStr">
        <is>
          <t>CHEM-1240</t>
        </is>
      </c>
      <c r="C221" t="n">
        <v>23.354</v>
      </c>
      <c r="D221">
        <f>IFERROR(MATCH($A221,PP_Grid[Intermediate],0),99999)</f>
        <v/>
      </c>
    </row>
    <row r="222">
      <c r="A222" t="inlineStr">
        <is>
          <t>TSP-670</t>
        </is>
      </c>
      <c r="B222" t="inlineStr">
        <is>
          <t>CHEM-1420</t>
        </is>
      </c>
      <c r="C222" t="n">
        <v>1.286</v>
      </c>
      <c r="D222">
        <f>IFERROR(MATCH($A222,PP_Grid[Intermediate],0),99999)</f>
        <v/>
      </c>
    </row>
    <row r="223">
      <c r="A223" t="inlineStr">
        <is>
          <t>TSP-670</t>
        </is>
      </c>
      <c r="B223" t="inlineStr">
        <is>
          <t>CHEM-1440</t>
        </is>
      </c>
      <c r="C223" t="n">
        <v>1.407</v>
      </c>
      <c r="D223">
        <f>IFERROR(MATCH($A223,PP_Grid[Intermediate],0),99999)</f>
        <v/>
      </c>
    </row>
    <row r="224">
      <c r="A224" t="inlineStr">
        <is>
          <t>TSP-699</t>
        </is>
      </c>
      <c r="B224" t="inlineStr">
        <is>
          <t>CHEM-1490</t>
        </is>
      </c>
      <c r="C224" t="n">
        <v>60.033</v>
      </c>
      <c r="D224">
        <f>IFERROR(MATCH($A224,PP_Grid[Intermediate],0),99999)</f>
        <v/>
      </c>
    </row>
    <row r="225">
      <c r="A225" t="inlineStr">
        <is>
          <t>TSP-699</t>
        </is>
      </c>
      <c r="B225" t="inlineStr">
        <is>
          <t>CHEM-1250</t>
        </is>
      </c>
      <c r="C225" t="n">
        <v>17.918</v>
      </c>
      <c r="D225">
        <f>IFERROR(MATCH($A225,PP_Grid[Intermediate],0),99999)</f>
        <v/>
      </c>
    </row>
    <row r="226">
      <c r="A226" t="inlineStr">
        <is>
          <t>TSP-699</t>
        </is>
      </c>
      <c r="B226" t="inlineStr">
        <is>
          <t>CHEM-1260</t>
        </is>
      </c>
      <c r="C226" t="n">
        <v>1.154</v>
      </c>
      <c r="D226">
        <f>IFERROR(MATCH($A226,PP_Grid[Intermediate],0),99999)</f>
        <v/>
      </c>
    </row>
    <row r="227">
      <c r="A227" t="inlineStr">
        <is>
          <t>TSP-699</t>
        </is>
      </c>
      <c r="B227" t="inlineStr">
        <is>
          <t>CHEM-1240</t>
        </is>
      </c>
      <c r="C227" t="n">
        <v>22.871</v>
      </c>
      <c r="D227">
        <f>IFERROR(MATCH($A227,PP_Grid[Intermediate],0),99999)</f>
        <v/>
      </c>
    </row>
    <row r="228">
      <c r="A228" t="inlineStr">
        <is>
          <t>TSP-699</t>
        </is>
      </c>
      <c r="B228" t="inlineStr">
        <is>
          <t>CHEM-1420</t>
        </is>
      </c>
      <c r="C228" t="n">
        <v>1.154</v>
      </c>
      <c r="D228">
        <f>IFERROR(MATCH($A228,PP_Grid[Intermediate],0),99999)</f>
        <v/>
      </c>
    </row>
    <row r="229">
      <c r="A229" t="inlineStr">
        <is>
          <t>TSP-699</t>
        </is>
      </c>
      <c r="B229" t="inlineStr">
        <is>
          <t>CHEM-1440</t>
        </is>
      </c>
      <c r="C229" t="n">
        <v>1.413</v>
      </c>
      <c r="D229">
        <f>IFERROR(MATCH($A229,PP_Grid[Intermediate],0),99999)</f>
        <v/>
      </c>
    </row>
    <row r="230">
      <c r="A230" t="inlineStr">
        <is>
          <t>TSP-710</t>
        </is>
      </c>
      <c r="B230" t="inlineStr">
        <is>
          <t>CHEM-1410</t>
        </is>
      </c>
      <c r="C230" t="n">
        <v>9.065</v>
      </c>
      <c r="D230">
        <f>IFERROR(MATCH($A230,PP_Grid[Intermediate],0),99999)</f>
        <v/>
      </c>
    </row>
    <row r="231">
      <c r="A231" t="inlineStr">
        <is>
          <t>TSP-710</t>
        </is>
      </c>
      <c r="B231" t="inlineStr">
        <is>
          <t>CHEM-1400</t>
        </is>
      </c>
      <c r="C231" t="n">
        <v>3.564</v>
      </c>
      <c r="D231">
        <f>IFERROR(MATCH($A231,PP_Grid[Intermediate],0),99999)</f>
        <v/>
      </c>
    </row>
    <row r="232">
      <c r="A232" t="inlineStr">
        <is>
          <t>TSP-710</t>
        </is>
      </c>
      <c r="B232" t="inlineStr">
        <is>
          <t>CHEM-1560</t>
        </is>
      </c>
      <c r="C232" t="n">
        <v>4.514</v>
      </c>
      <c r="D232">
        <f>IFERROR(MATCH($A232,PP_Grid[Intermediate],0),99999)</f>
        <v/>
      </c>
    </row>
    <row r="233">
      <c r="A233" t="inlineStr">
        <is>
          <t>TSP-710</t>
        </is>
      </c>
      <c r="B233" t="inlineStr">
        <is>
          <t>CHEM-1260</t>
        </is>
      </c>
      <c r="C233" t="n">
        <v>1.625</v>
      </c>
      <c r="D233">
        <f>IFERROR(MATCH($A233,PP_Grid[Intermediate],0),99999)</f>
        <v/>
      </c>
    </row>
    <row r="234">
      <c r="A234" t="inlineStr">
        <is>
          <t>TSP-710</t>
        </is>
      </c>
      <c r="B234" t="inlineStr">
        <is>
          <t>CHEM-1510</t>
        </is>
      </c>
      <c r="C234" t="n">
        <v>4.334</v>
      </c>
      <c r="D234">
        <f>IFERROR(MATCH($A234,PP_Grid[Intermediate],0),99999)</f>
        <v/>
      </c>
    </row>
    <row r="235">
      <c r="A235" t="inlineStr">
        <is>
          <t>TSP-710</t>
        </is>
      </c>
      <c r="B235" t="inlineStr">
        <is>
          <t>CHEM-1420</t>
        </is>
      </c>
      <c r="C235" t="n">
        <v>0.502</v>
      </c>
      <c r="D235">
        <f>IFERROR(MATCH($A235,PP_Grid[Intermediate],0),99999)</f>
        <v/>
      </c>
    </row>
    <row r="236">
      <c r="A236" t="inlineStr">
        <is>
          <t>TSP-710</t>
        </is>
      </c>
      <c r="B236" t="inlineStr">
        <is>
          <t>CHEM-1440</t>
        </is>
      </c>
      <c r="C236" t="n">
        <v>0.359</v>
      </c>
      <c r="D236">
        <f>IFERROR(MATCH($A236,PP_Grid[Intermediate],0),99999)</f>
        <v/>
      </c>
    </row>
    <row r="237">
      <c r="A237" t="inlineStr">
        <is>
          <t>TSP-710</t>
        </is>
      </c>
      <c r="B237" t="inlineStr">
        <is>
          <t>CHEM-1580</t>
        </is>
      </c>
      <c r="C237" t="n">
        <v>20.155</v>
      </c>
      <c r="D237">
        <f>IFERROR(MATCH($A237,PP_Grid[Intermediate],0),99999)</f>
        <v/>
      </c>
    </row>
    <row r="238">
      <c r="A238" t="inlineStr">
        <is>
          <t>TSP-828</t>
        </is>
      </c>
      <c r="B238" t="inlineStr">
        <is>
          <t>CHEM-1410</t>
        </is>
      </c>
      <c r="C238" t="n">
        <v>5.903</v>
      </c>
      <c r="D238">
        <f>IFERROR(MATCH($A238,PP_Grid[Intermediate],0),99999)</f>
        <v/>
      </c>
    </row>
    <row r="239">
      <c r="A239" t="inlineStr">
        <is>
          <t>TSP-828</t>
        </is>
      </c>
      <c r="B239" t="inlineStr">
        <is>
          <t>CHEM-1490</t>
        </is>
      </c>
      <c r="C239" t="n">
        <v>48.436</v>
      </c>
      <c r="D239">
        <f>IFERROR(MATCH($A239,PP_Grid[Intermediate],0),99999)</f>
        <v/>
      </c>
    </row>
    <row r="240">
      <c r="A240" t="inlineStr">
        <is>
          <t>TSP-828</t>
        </is>
      </c>
      <c r="B240" t="inlineStr">
        <is>
          <t>CHEM-1400</t>
        </is>
      </c>
      <c r="C240" t="n">
        <v>3.103</v>
      </c>
      <c r="D240">
        <f>IFERROR(MATCH($A240,PP_Grid[Intermediate],0),99999)</f>
        <v/>
      </c>
    </row>
    <row r="241">
      <c r="A241" t="inlineStr">
        <is>
          <t>TSP-828</t>
        </is>
      </c>
      <c r="B241" t="inlineStr">
        <is>
          <t>CHEM-1600</t>
        </is>
      </c>
      <c r="C241" t="n">
        <v>3.607</v>
      </c>
      <c r="D241">
        <f>IFERROR(MATCH($A241,PP_Grid[Intermediate],0),99999)</f>
        <v/>
      </c>
    </row>
    <row r="242">
      <c r="A242" t="inlineStr">
        <is>
          <t>TSP-828</t>
        </is>
      </c>
      <c r="B242" t="inlineStr">
        <is>
          <t>CHEM-1260</t>
        </is>
      </c>
      <c r="C242" t="n">
        <v>1.297</v>
      </c>
      <c r="D242">
        <f>IFERROR(MATCH($A242,PP_Grid[Intermediate],0),99999)</f>
        <v/>
      </c>
    </row>
    <row r="243">
      <c r="A243" t="inlineStr">
        <is>
          <t>TSP-828</t>
        </is>
      </c>
      <c r="B243" t="inlineStr">
        <is>
          <t>CHEM-1420</t>
        </is>
      </c>
      <c r="C243" t="n">
        <v>0.837</v>
      </c>
      <c r="D243">
        <f>IFERROR(MATCH($A243,PP_Grid[Intermediate],0),99999)</f>
        <v/>
      </c>
    </row>
    <row r="244">
      <c r="A244" t="inlineStr">
        <is>
          <t>TSP-828</t>
        </is>
      </c>
      <c r="B244" t="inlineStr">
        <is>
          <t>CHEM-1440</t>
        </is>
      </c>
      <c r="C244" t="n">
        <v>0.707</v>
      </c>
      <c r="D244">
        <f>IFERROR(MATCH($A244,PP_Grid[Intermediate],0),99999)</f>
        <v/>
      </c>
    </row>
    <row r="245">
      <c r="A245" t="inlineStr">
        <is>
          <t>TSP-903</t>
        </is>
      </c>
      <c r="B245" t="inlineStr">
        <is>
          <t>CHEM-1520</t>
        </is>
      </c>
      <c r="C245" t="n">
        <v>21.81</v>
      </c>
      <c r="D245">
        <f>IFERROR(MATCH($A245,PP_Grid[Intermediate],0),99999)</f>
        <v/>
      </c>
    </row>
    <row r="246">
      <c r="A246" t="inlineStr">
        <is>
          <t>TSP-903</t>
        </is>
      </c>
      <c r="B246" t="inlineStr">
        <is>
          <t>CHEM-1530</t>
        </is>
      </c>
      <c r="C246" t="n">
        <v>13.09</v>
      </c>
      <c r="D246">
        <f>IFERROR(MATCH($A246,PP_Grid[Intermediate],0),99999)</f>
        <v/>
      </c>
    </row>
    <row r="247">
      <c r="A247" t="inlineStr">
        <is>
          <t>TSP-903</t>
        </is>
      </c>
      <c r="B247" t="inlineStr">
        <is>
          <t>CHEM-1400</t>
        </is>
      </c>
      <c r="C247" t="n">
        <v>3.444</v>
      </c>
      <c r="D247">
        <f>IFERROR(MATCH($A247,PP_Grid[Intermediate],0),99999)</f>
        <v/>
      </c>
    </row>
    <row r="248">
      <c r="A248" t="inlineStr">
        <is>
          <t>TSP-903</t>
        </is>
      </c>
      <c r="B248" t="inlineStr">
        <is>
          <t>CHEM-1690</t>
        </is>
      </c>
      <c r="C248" t="n">
        <v>8.734</v>
      </c>
      <c r="D248">
        <f>IFERROR(MATCH($A248,PP_Grid[Intermediate],0),99999)</f>
        <v/>
      </c>
    </row>
    <row r="249">
      <c r="A249" t="inlineStr">
        <is>
          <t>TSP-903</t>
        </is>
      </c>
      <c r="B249" t="inlineStr">
        <is>
          <t>CHEM-1670</t>
        </is>
      </c>
      <c r="C249" t="n">
        <v>3.002</v>
      </c>
      <c r="D249">
        <f>IFERROR(MATCH($A249,PP_Grid[Intermediate],0),99999)</f>
        <v/>
      </c>
    </row>
    <row r="250">
      <c r="A250" t="inlineStr">
        <is>
          <t>TSP-903</t>
        </is>
      </c>
      <c r="B250" t="inlineStr">
        <is>
          <t>CHEM-1420</t>
        </is>
      </c>
      <c r="C250" t="n">
        <v>0.179</v>
      </c>
      <c r="D250">
        <f>IFERROR(MATCH($A250,PP_Grid[Intermediate],0),99999)</f>
        <v/>
      </c>
    </row>
    <row r="251">
      <c r="A251" t="inlineStr">
        <is>
          <t>TSP-903</t>
        </is>
      </c>
      <c r="B251" t="inlineStr">
        <is>
          <t>CHEM-1440</t>
        </is>
      </c>
      <c r="C251" t="n">
        <v>0.524</v>
      </c>
      <c r="D251">
        <f>IFERROR(MATCH($A251,PP_Grid[Intermediate],0),99999)</f>
        <v/>
      </c>
    </row>
    <row r="252">
      <c r="A252" t="inlineStr">
        <is>
          <t>TSP-903</t>
        </is>
      </c>
      <c r="B252" t="inlineStr">
        <is>
          <t>CHEM-1650</t>
        </is>
      </c>
      <c r="C252" t="n">
        <v>0.036</v>
      </c>
      <c r="D252">
        <f>IFERROR(MATCH($A252,PP_Grid[Intermediate],0),99999)</f>
        <v/>
      </c>
    </row>
    <row r="253">
      <c r="A253" t="inlineStr">
        <is>
          <t>TSP-903</t>
        </is>
      </c>
      <c r="B253" t="inlineStr">
        <is>
          <t>CHEM-1780</t>
        </is>
      </c>
      <c r="C253" t="n">
        <v>0.051</v>
      </c>
      <c r="D253">
        <f>IFERROR(MATCH($A253,PP_Grid[Intermediate],0),99999)</f>
        <v/>
      </c>
    </row>
    <row r="254">
      <c r="A254" t="inlineStr">
        <is>
          <t>TSP-924</t>
        </is>
      </c>
      <c r="B254" t="inlineStr">
        <is>
          <t>CHEM-1410</t>
        </is>
      </c>
      <c r="C254" t="n">
        <v>38.664</v>
      </c>
      <c r="D254">
        <f>IFERROR(MATCH($A254,PP_Grid[Intermediate],0),99999)</f>
        <v/>
      </c>
    </row>
    <row r="255">
      <c r="A255" t="inlineStr">
        <is>
          <t>TSP-924</t>
        </is>
      </c>
      <c r="B255" t="inlineStr">
        <is>
          <t>CHEM-1750</t>
        </is>
      </c>
      <c r="C255" t="n">
        <v>8.032999999999999</v>
      </c>
      <c r="D255">
        <f>IFERROR(MATCH($A255,PP_Grid[Intermediate],0),99999)</f>
        <v/>
      </c>
    </row>
    <row r="256">
      <c r="A256" t="inlineStr">
        <is>
          <t>TSP-924</t>
        </is>
      </c>
      <c r="B256" t="inlineStr">
        <is>
          <t>CHEM-1260</t>
        </is>
      </c>
      <c r="C256" t="n">
        <v>4.953</v>
      </c>
      <c r="D256">
        <f>IFERROR(MATCH($A256,PP_Grid[Intermediate],0),99999)</f>
        <v/>
      </c>
    </row>
    <row r="257">
      <c r="A257" t="inlineStr">
        <is>
          <t>TSP-924</t>
        </is>
      </c>
      <c r="B257" t="inlineStr">
        <is>
          <t>TSZ-616</t>
        </is>
      </c>
      <c r="C257" t="n">
        <v>73.622</v>
      </c>
      <c r="D257">
        <f>IFERROR(MATCH($A257,PP_Grid[Intermediate],0),99999)</f>
        <v/>
      </c>
    </row>
    <row r="258">
      <c r="A258" t="inlineStr">
        <is>
          <t>TSP-924</t>
        </is>
      </c>
      <c r="B258" t="inlineStr">
        <is>
          <t>CHEM-1420</t>
        </is>
      </c>
      <c r="C258" t="n">
        <v>0.86</v>
      </c>
      <c r="D258">
        <f>IFERROR(MATCH($A258,PP_Grid[Intermediate],0),99999)</f>
        <v/>
      </c>
    </row>
    <row r="259">
      <c r="A259" t="inlineStr">
        <is>
          <t>TSP-924</t>
        </is>
      </c>
      <c r="B259" t="inlineStr">
        <is>
          <t>CHEM-1440</t>
        </is>
      </c>
      <c r="C259" t="n">
        <v>1.812</v>
      </c>
      <c r="D259">
        <f>IFERROR(MATCH($A259,PP_Grid[Intermediate],0),99999)</f>
        <v/>
      </c>
    </row>
    <row r="260">
      <c r="A260" t="inlineStr">
        <is>
          <t>TSP-925</t>
        </is>
      </c>
      <c r="B260" t="inlineStr">
        <is>
          <t>CHEM-1410</t>
        </is>
      </c>
      <c r="C260" t="n">
        <v>38.826</v>
      </c>
      <c r="D260">
        <f>IFERROR(MATCH($A260,PP_Grid[Intermediate],0),99999)</f>
        <v/>
      </c>
    </row>
    <row r="261">
      <c r="A261" t="inlineStr">
        <is>
          <t>TSP-925</t>
        </is>
      </c>
      <c r="B261" t="inlineStr">
        <is>
          <t>CHEM-1750</t>
        </is>
      </c>
      <c r="C261" t="n">
        <v>8.050000000000001</v>
      </c>
      <c r="D261">
        <f>IFERROR(MATCH($A261,PP_Grid[Intermediate],0),99999)</f>
        <v/>
      </c>
    </row>
    <row r="262">
      <c r="A262" t="inlineStr">
        <is>
          <t>TSP-925</t>
        </is>
      </c>
      <c r="B262" t="inlineStr">
        <is>
          <t>CHEM-1260</t>
        </is>
      </c>
      <c r="C262" t="n">
        <v>5.019</v>
      </c>
      <c r="D262">
        <f>IFERROR(MATCH($A262,PP_Grid[Intermediate],0),99999)</f>
        <v/>
      </c>
    </row>
    <row r="263">
      <c r="A263" t="inlineStr">
        <is>
          <t>TSP-925</t>
        </is>
      </c>
      <c r="B263" t="inlineStr">
        <is>
          <t>TSZ-616</t>
        </is>
      </c>
      <c r="C263" t="n">
        <v>74.152</v>
      </c>
      <c r="D263">
        <f>IFERROR(MATCH($A263,PP_Grid[Intermediate],0),99999)</f>
        <v/>
      </c>
    </row>
    <row r="264">
      <c r="A264" t="inlineStr">
        <is>
          <t>TSP-925</t>
        </is>
      </c>
      <c r="B264" t="inlineStr">
        <is>
          <t>CHEM-1420</t>
        </is>
      </c>
      <c r="C264" t="n">
        <v>0.867</v>
      </c>
      <c r="D264">
        <f>IFERROR(MATCH($A264,PP_Grid[Intermediate],0),99999)</f>
        <v/>
      </c>
    </row>
    <row r="265">
      <c r="A265" t="inlineStr">
        <is>
          <t>TSP-925</t>
        </is>
      </c>
      <c r="B265" t="inlineStr">
        <is>
          <t>CHEM-1440</t>
        </is>
      </c>
      <c r="C265" t="n">
        <v>1.825</v>
      </c>
      <c r="D265">
        <f>IFERROR(MATCH($A265,PP_Grid[Intermediate],0),99999)</f>
        <v/>
      </c>
    </row>
    <row r="266">
      <c r="A266" t="inlineStr">
        <is>
          <t>TSP-927</t>
        </is>
      </c>
      <c r="B266" t="inlineStr">
        <is>
          <t>CHEM-1540</t>
        </is>
      </c>
      <c r="C266" t="n">
        <v>63.66</v>
      </c>
      <c r="D266">
        <f>IFERROR(MATCH($A266,PP_Grid[Intermediate],0),99999)</f>
        <v/>
      </c>
    </row>
    <row r="267">
      <c r="A267" t="inlineStr">
        <is>
          <t>TSP-927</t>
        </is>
      </c>
      <c r="B267" t="inlineStr">
        <is>
          <t>CHEM-1740</t>
        </is>
      </c>
      <c r="C267" t="n">
        <v>29.71</v>
      </c>
      <c r="D267">
        <f>IFERROR(MATCH($A267,PP_Grid[Intermediate],0),99999)</f>
        <v/>
      </c>
    </row>
    <row r="268">
      <c r="A268" t="inlineStr">
        <is>
          <t>TSP-927</t>
        </is>
      </c>
      <c r="B268" t="inlineStr">
        <is>
          <t>CHEM-1750</t>
        </is>
      </c>
      <c r="C268" t="n">
        <v>2.32</v>
      </c>
      <c r="D268">
        <f>IFERROR(MATCH($A268,PP_Grid[Intermediate],0),99999)</f>
        <v/>
      </c>
    </row>
    <row r="269">
      <c r="A269" t="inlineStr">
        <is>
          <t>TSP-927</t>
        </is>
      </c>
      <c r="B269" t="inlineStr">
        <is>
          <t>CHEM-1720</t>
        </is>
      </c>
      <c r="C269" t="n">
        <v>6.79</v>
      </c>
      <c r="D269">
        <f>IFERROR(MATCH($A269,PP_Grid[Intermediate],0),99999)</f>
        <v/>
      </c>
    </row>
    <row r="270">
      <c r="A270" t="inlineStr">
        <is>
          <t>TSP-927</t>
        </is>
      </c>
      <c r="B270" t="inlineStr">
        <is>
          <t>CHEM-1420</t>
        </is>
      </c>
      <c r="C270" t="n">
        <v>0.382528</v>
      </c>
      <c r="D270">
        <f>IFERROR(MATCH($A270,PP_Grid[Intermediate],0),99999)</f>
        <v/>
      </c>
    </row>
    <row r="271">
      <c r="A271" t="inlineStr">
        <is>
          <t>TSP-927</t>
        </is>
      </c>
      <c r="B271" t="inlineStr">
        <is>
          <t>CHEM-1440</t>
        </is>
      </c>
      <c r="C271" t="n">
        <v>1.4434048232</v>
      </c>
      <c r="D271">
        <f>IFERROR(MATCH($A271,PP_Grid[Intermediate],0),99999)</f>
        <v/>
      </c>
    </row>
    <row r="272">
      <c r="A272" t="inlineStr">
        <is>
          <t>TSP-928</t>
        </is>
      </c>
      <c r="B272" t="inlineStr">
        <is>
          <t>CHEM-1540</t>
        </is>
      </c>
      <c r="C272" t="n">
        <v>64.483</v>
      </c>
      <c r="D272">
        <f>IFERROR(MATCH($A272,PP_Grid[Intermediate],0),99999)</f>
        <v/>
      </c>
    </row>
    <row r="273">
      <c r="A273" t="inlineStr">
        <is>
          <t>TSP-928</t>
        </is>
      </c>
      <c r="B273" t="inlineStr">
        <is>
          <t>CHEM-1740</t>
        </is>
      </c>
      <c r="C273" t="n">
        <v>29.939</v>
      </c>
      <c r="D273">
        <f>IFERROR(MATCH($A273,PP_Grid[Intermediate],0),99999)</f>
        <v/>
      </c>
    </row>
    <row r="274">
      <c r="A274" t="inlineStr">
        <is>
          <t>TSP-928</t>
        </is>
      </c>
      <c r="B274" t="inlineStr">
        <is>
          <t>CHEM-1750</t>
        </is>
      </c>
      <c r="C274" t="n">
        <v>2.38</v>
      </c>
      <c r="D274">
        <f>IFERROR(MATCH($A274,PP_Grid[Intermediate],0),99999)</f>
        <v/>
      </c>
    </row>
    <row r="275">
      <c r="A275" t="inlineStr">
        <is>
          <t>TSP-928</t>
        </is>
      </c>
      <c r="B275" t="inlineStr">
        <is>
          <t>CHEM-1720</t>
        </is>
      </c>
      <c r="C275" t="n">
        <v>6.719</v>
      </c>
      <c r="D275">
        <f>IFERROR(MATCH($A275,PP_Grid[Intermediate],0),99999)</f>
        <v/>
      </c>
    </row>
    <row r="276">
      <c r="A276" t="inlineStr">
        <is>
          <t>TSP-928</t>
        </is>
      </c>
      <c r="B276" t="inlineStr">
        <is>
          <t>CHEM-1260</t>
        </is>
      </c>
      <c r="C276" t="n">
        <v>5.202</v>
      </c>
      <c r="D276">
        <f>IFERROR(MATCH($A276,PP_Grid[Intermediate],0),99999)</f>
        <v/>
      </c>
    </row>
    <row r="277">
      <c r="A277" t="inlineStr">
        <is>
          <t>TSP-928</t>
        </is>
      </c>
      <c r="B277" t="inlineStr">
        <is>
          <t>CHEM-1420</t>
        </is>
      </c>
      <c r="C277" t="n">
        <v>0.377</v>
      </c>
      <c r="D277">
        <f>IFERROR(MATCH($A277,PP_Grid[Intermediate],0),99999)</f>
        <v/>
      </c>
    </row>
    <row r="278">
      <c r="A278" t="inlineStr">
        <is>
          <t>TSP-928</t>
        </is>
      </c>
      <c r="B278" t="inlineStr">
        <is>
          <t>CHEM-1440</t>
        </is>
      </c>
      <c r="C278" t="n">
        <v>1.258</v>
      </c>
      <c r="D278">
        <f>IFERROR(MATCH($A278,PP_Grid[Intermediate],0),99999)</f>
        <v/>
      </c>
    </row>
    <row r="279">
      <c r="A279" t="inlineStr">
        <is>
          <t>TSP-929</t>
        </is>
      </c>
      <c r="B279" t="inlineStr">
        <is>
          <t>CHEM-1540</t>
        </is>
      </c>
      <c r="C279" t="n">
        <v>64.509</v>
      </c>
      <c r="D279">
        <f>IFERROR(MATCH($A279,PP_Grid[Intermediate],0),99999)</f>
        <v/>
      </c>
    </row>
    <row r="280">
      <c r="A280" t="inlineStr">
        <is>
          <t>TSP-929</t>
        </is>
      </c>
      <c r="B280" t="inlineStr">
        <is>
          <t>CHEM-1740</t>
        </is>
      </c>
      <c r="C280" t="n">
        <v>29.951</v>
      </c>
      <c r="D280">
        <f>IFERROR(MATCH($A280,PP_Grid[Intermediate],0),99999)</f>
        <v/>
      </c>
    </row>
    <row r="281">
      <c r="A281" t="inlineStr">
        <is>
          <t>TSP-929</t>
        </is>
      </c>
      <c r="B281" t="inlineStr">
        <is>
          <t>CHEM-1750</t>
        </is>
      </c>
      <c r="C281" t="n">
        <v>2.381</v>
      </c>
      <c r="D281">
        <f>IFERROR(MATCH($A281,PP_Grid[Intermediate],0),99999)</f>
        <v/>
      </c>
    </row>
    <row r="282">
      <c r="A282" t="inlineStr">
        <is>
          <t>TSP-929</t>
        </is>
      </c>
      <c r="B282" t="inlineStr">
        <is>
          <t>CHEM-1720</t>
        </is>
      </c>
      <c r="C282" t="n">
        <v>6.722</v>
      </c>
      <c r="D282">
        <f>IFERROR(MATCH($A282,PP_Grid[Intermediate],0),99999)</f>
        <v/>
      </c>
    </row>
    <row r="283">
      <c r="A283" t="inlineStr">
        <is>
          <t>TSP-929</t>
        </is>
      </c>
      <c r="B283" t="inlineStr">
        <is>
          <t>CHEM-1260</t>
        </is>
      </c>
      <c r="C283" t="n">
        <v>5.204</v>
      </c>
      <c r="D283">
        <f>IFERROR(MATCH($A283,PP_Grid[Intermediate],0),99999)</f>
        <v/>
      </c>
    </row>
    <row r="284">
      <c r="A284" t="inlineStr">
        <is>
          <t>TSP-929</t>
        </is>
      </c>
      <c r="B284" t="inlineStr">
        <is>
          <t>CHEM-1420</t>
        </is>
      </c>
      <c r="C284" t="n">
        <v>0.377</v>
      </c>
      <c r="D284">
        <f>IFERROR(MATCH($A284,PP_Grid[Intermediate],0),99999)</f>
        <v/>
      </c>
    </row>
    <row r="285">
      <c r="A285" t="inlineStr">
        <is>
          <t>TSP-929</t>
        </is>
      </c>
      <c r="B285" t="inlineStr">
        <is>
          <t>CHEM-1440</t>
        </is>
      </c>
      <c r="C285" t="n">
        <v>1.259</v>
      </c>
      <c r="D285">
        <f>IFERROR(MATCH($A285,PP_Grid[Intermediate],0),99999)</f>
        <v/>
      </c>
    </row>
    <row r="286">
      <c r="A286" t="inlineStr">
        <is>
          <t>TSP-930</t>
        </is>
      </c>
      <c r="B286" t="inlineStr">
        <is>
          <t>CHEM-1540</t>
        </is>
      </c>
      <c r="C286" t="n">
        <v>65.589</v>
      </c>
      <c r="D286">
        <f>IFERROR(MATCH($A286,PP_Grid[Intermediate],0),99999)</f>
        <v/>
      </c>
    </row>
    <row r="287">
      <c r="A287" t="inlineStr">
        <is>
          <t>TSP-930</t>
        </is>
      </c>
      <c r="B287" t="inlineStr">
        <is>
          <t>CHEM-1740</t>
        </is>
      </c>
      <c r="C287" t="n">
        <v>30.67</v>
      </c>
      <c r="D287">
        <f>IFERROR(MATCH($A287,PP_Grid[Intermediate],0),99999)</f>
        <v/>
      </c>
    </row>
    <row r="288">
      <c r="A288" t="inlineStr">
        <is>
          <t>TSP-930</t>
        </is>
      </c>
      <c r="B288" t="inlineStr">
        <is>
          <t>CHEM-1750</t>
        </is>
      </c>
      <c r="C288" t="n">
        <v>2.438</v>
      </c>
      <c r="D288">
        <f>IFERROR(MATCH($A288,PP_Grid[Intermediate],0),99999)</f>
        <v/>
      </c>
    </row>
    <row r="289">
      <c r="A289" t="inlineStr">
        <is>
          <t>TSP-930</t>
        </is>
      </c>
      <c r="B289" t="inlineStr">
        <is>
          <t>CHEM-1720</t>
        </is>
      </c>
      <c r="C289" t="n">
        <v>6.884</v>
      </c>
      <c r="D289">
        <f>IFERROR(MATCH($A289,PP_Grid[Intermediate],0),99999)</f>
        <v/>
      </c>
    </row>
    <row r="290">
      <c r="A290" t="inlineStr">
        <is>
          <t>TSP-930</t>
        </is>
      </c>
      <c r="B290" t="inlineStr">
        <is>
          <t>CHEM-1260</t>
        </is>
      </c>
      <c r="C290" t="n">
        <v>5.329</v>
      </c>
      <c r="D290">
        <f>IFERROR(MATCH($A290,PP_Grid[Intermediate],0),99999)</f>
        <v/>
      </c>
    </row>
    <row r="291">
      <c r="A291" t="inlineStr">
        <is>
          <t>TSP-930</t>
        </is>
      </c>
      <c r="B291" t="inlineStr">
        <is>
          <t>CHEM-1420</t>
        </is>
      </c>
      <c r="C291" t="n">
        <v>0.386</v>
      </c>
      <c r="D291">
        <f>IFERROR(MATCH($A291,PP_Grid[Intermediate],0),99999)</f>
        <v/>
      </c>
    </row>
    <row r="292">
      <c r="A292" t="inlineStr">
        <is>
          <t>TSP-930</t>
        </is>
      </c>
      <c r="B292" t="inlineStr">
        <is>
          <t>CHEM-1440</t>
        </is>
      </c>
      <c r="C292" t="n">
        <v>1.461</v>
      </c>
      <c r="D292">
        <f>IFERROR(MATCH($A292,PP_Grid[Intermediate],0),99999)</f>
        <v/>
      </c>
    </row>
    <row r="293">
      <c r="A293" t="inlineStr">
        <is>
          <t>TSP-934</t>
        </is>
      </c>
      <c r="B293" t="inlineStr">
        <is>
          <t>CHEM-1540</t>
        </is>
      </c>
      <c r="C293" t="n">
        <v>39.967</v>
      </c>
      <c r="D293">
        <f>IFERROR(MATCH($A293,PP_Grid[Intermediate],0),99999)</f>
        <v/>
      </c>
    </row>
    <row r="294">
      <c r="A294" t="inlineStr">
        <is>
          <t>TSP-934</t>
        </is>
      </c>
      <c r="B294" t="inlineStr">
        <is>
          <t>CHEM-1750</t>
        </is>
      </c>
      <c r="C294" t="n">
        <v>1.333</v>
      </c>
      <c r="D294">
        <f>IFERROR(MATCH($A294,PP_Grid[Intermediate],0),99999)</f>
        <v/>
      </c>
    </row>
    <row r="295">
      <c r="A295" t="inlineStr">
        <is>
          <t>TSP-934</t>
        </is>
      </c>
      <c r="B295" t="inlineStr">
        <is>
          <t>CHEM-1720</t>
        </is>
      </c>
      <c r="C295" t="n">
        <v>6.273</v>
      </c>
      <c r="D295">
        <f>IFERROR(MATCH($A295,PP_Grid[Intermediate],0),99999)</f>
        <v/>
      </c>
    </row>
    <row r="296">
      <c r="A296" t="inlineStr">
        <is>
          <t>TSP-934</t>
        </is>
      </c>
      <c r="B296" t="inlineStr">
        <is>
          <t>CHEM-1260</t>
        </is>
      </c>
      <c r="C296" t="n">
        <v>1.566</v>
      </c>
      <c r="D296">
        <f>IFERROR(MATCH($A296,PP_Grid[Intermediate],0),99999)</f>
        <v/>
      </c>
    </row>
    <row r="297">
      <c r="A297" t="inlineStr">
        <is>
          <t>TSP-934</t>
        </is>
      </c>
      <c r="B297" t="inlineStr">
        <is>
          <t>TSZ-938</t>
        </is>
      </c>
      <c r="C297" t="n">
        <v>66.28400000000001</v>
      </c>
      <c r="D297">
        <f>IFERROR(MATCH($A297,PP_Grid[Intermediate],0),99999)</f>
        <v/>
      </c>
    </row>
    <row r="298">
      <c r="A298" t="inlineStr">
        <is>
          <t>TSP-934</t>
        </is>
      </c>
      <c r="B298" t="inlineStr">
        <is>
          <t>CHEM-1420</t>
        </is>
      </c>
      <c r="C298" t="n">
        <v>0.806</v>
      </c>
      <c r="D298">
        <f>IFERROR(MATCH($A298,PP_Grid[Intermediate],0),99999)</f>
        <v/>
      </c>
    </row>
    <row r="299">
      <c r="A299" t="inlineStr">
        <is>
          <t>TSP-934</t>
        </is>
      </c>
      <c r="B299" t="inlineStr">
        <is>
          <t>CHEM-1440</t>
        </is>
      </c>
      <c r="C299" t="n">
        <v>1.621</v>
      </c>
      <c r="D299">
        <f>IFERROR(MATCH($A299,PP_Grid[Intermediate],0),99999)</f>
        <v/>
      </c>
    </row>
    <row r="300">
      <c r="A300" t="inlineStr">
        <is>
          <t>TSP-934</t>
        </is>
      </c>
      <c r="B300" t="inlineStr">
        <is>
          <t>CHEM-1650</t>
        </is>
      </c>
      <c r="C300" t="n">
        <v>0.32</v>
      </c>
      <c r="D300">
        <f>IFERROR(MATCH($A300,PP_Grid[Intermediate],0),99999)</f>
        <v/>
      </c>
    </row>
    <row r="301">
      <c r="A301" t="inlineStr">
        <is>
          <t>TSP-934</t>
        </is>
      </c>
      <c r="B301" t="inlineStr">
        <is>
          <t>CHEM-1010</t>
        </is>
      </c>
      <c r="C301" t="n">
        <v>1.728</v>
      </c>
      <c r="D301">
        <f>IFERROR(MATCH($A301,PP_Grid[Intermediate],0),99999)</f>
        <v/>
      </c>
    </row>
    <row r="302">
      <c r="A302" t="inlineStr">
        <is>
          <t>TSP-934</t>
        </is>
      </c>
      <c r="B302" t="inlineStr">
        <is>
          <t>CHEM-1080</t>
        </is>
      </c>
      <c r="C302" t="n">
        <v>1.728</v>
      </c>
      <c r="D302">
        <f>IFERROR(MATCH($A302,PP_Grid[Intermediate],0),99999)</f>
        <v/>
      </c>
    </row>
    <row r="303">
      <c r="A303" t="inlineStr">
        <is>
          <t>TSP-934</t>
        </is>
      </c>
      <c r="B303" t="inlineStr">
        <is>
          <t>CHEM-1700</t>
        </is>
      </c>
      <c r="C303" t="n">
        <v>1.728</v>
      </c>
      <c r="D303">
        <f>IFERROR(MATCH($A303,PP_Grid[Intermediate],0),99999)</f>
        <v/>
      </c>
    </row>
    <row r="304">
      <c r="A304" t="inlineStr">
        <is>
          <t>TSP-935</t>
        </is>
      </c>
      <c r="B304" t="inlineStr">
        <is>
          <t>CHEM-1540</t>
        </is>
      </c>
      <c r="C304" t="n">
        <v>41.637</v>
      </c>
      <c r="D304">
        <f>IFERROR(MATCH($A304,PP_Grid[Intermediate],0),99999)</f>
        <v/>
      </c>
    </row>
    <row r="305">
      <c r="A305" t="inlineStr">
        <is>
          <t>TSP-935</t>
        </is>
      </c>
      <c r="B305" t="inlineStr">
        <is>
          <t>CHEM-1750</t>
        </is>
      </c>
      <c r="C305" t="n">
        <v>1.383</v>
      </c>
      <c r="D305">
        <f>IFERROR(MATCH($A305,PP_Grid[Intermediate],0),99999)</f>
        <v/>
      </c>
    </row>
    <row r="306">
      <c r="A306" t="inlineStr">
        <is>
          <t>TSP-935</t>
        </is>
      </c>
      <c r="B306" t="inlineStr">
        <is>
          <t>CHEM-1720</t>
        </is>
      </c>
      <c r="C306" t="n">
        <v>6.508</v>
      </c>
      <c r="D306">
        <f>IFERROR(MATCH($A306,PP_Grid[Intermediate],0),99999)</f>
        <v/>
      </c>
    </row>
    <row r="307">
      <c r="A307" t="inlineStr">
        <is>
          <t>TSP-935</t>
        </is>
      </c>
      <c r="B307" t="inlineStr">
        <is>
          <t>CHEM-1260</t>
        </is>
      </c>
      <c r="C307" t="n">
        <v>1.625</v>
      </c>
      <c r="D307">
        <f>IFERROR(MATCH($A307,PP_Grid[Intermediate],0),99999)</f>
        <v/>
      </c>
    </row>
    <row r="308">
      <c r="A308" t="inlineStr">
        <is>
          <t>TSP-935</t>
        </is>
      </c>
      <c r="B308" t="inlineStr">
        <is>
          <t>TSZ-938</t>
        </is>
      </c>
      <c r="C308" t="n">
        <v>68.77200000000001</v>
      </c>
      <c r="D308">
        <f>IFERROR(MATCH($A308,PP_Grid[Intermediate],0),99999)</f>
        <v/>
      </c>
    </row>
    <row r="309">
      <c r="A309" t="inlineStr">
        <is>
          <t>TSP-935</t>
        </is>
      </c>
      <c r="B309" t="inlineStr">
        <is>
          <t>CHEM-1420</t>
        </is>
      </c>
      <c r="C309" t="n">
        <v>0.837</v>
      </c>
      <c r="D309">
        <f>IFERROR(MATCH($A309,PP_Grid[Intermediate],0),99999)</f>
        <v/>
      </c>
    </row>
    <row r="310">
      <c r="A310" t="inlineStr">
        <is>
          <t>TSP-935</t>
        </is>
      </c>
      <c r="B310" t="inlineStr">
        <is>
          <t>CHEM-1440</t>
        </is>
      </c>
      <c r="C310" t="n">
        <v>1.682</v>
      </c>
      <c r="D310">
        <f>IFERROR(MATCH($A310,PP_Grid[Intermediate],0),99999)</f>
        <v/>
      </c>
    </row>
    <row r="311">
      <c r="A311" t="inlineStr">
        <is>
          <t>TSP-935</t>
        </is>
      </c>
      <c r="B311" t="inlineStr">
        <is>
          <t>CHEM-1650</t>
        </is>
      </c>
      <c r="C311" t="n">
        <v>0.033</v>
      </c>
      <c r="D311">
        <f>IFERROR(MATCH($A311,PP_Grid[Intermediate],0),99999)</f>
        <v/>
      </c>
    </row>
    <row r="312">
      <c r="A312" t="inlineStr">
        <is>
          <t>TSP-935</t>
        </is>
      </c>
      <c r="B312" t="inlineStr">
        <is>
          <t>CHEM-1010</t>
        </is>
      </c>
      <c r="C312" t="n">
        <v>1.788</v>
      </c>
      <c r="D312">
        <f>IFERROR(MATCH($A312,PP_Grid[Intermediate],0),99999)</f>
        <v/>
      </c>
    </row>
    <row r="313">
      <c r="A313" t="inlineStr">
        <is>
          <t>TSP-935</t>
        </is>
      </c>
      <c r="B313" t="inlineStr">
        <is>
          <t>CHEM-1080</t>
        </is>
      </c>
      <c r="C313" t="n">
        <v>1.788</v>
      </c>
      <c r="D313">
        <f>IFERROR(MATCH($A313,PP_Grid[Intermediate],0),99999)</f>
        <v/>
      </c>
    </row>
    <row r="314">
      <c r="A314" t="inlineStr">
        <is>
          <t>TSP-935</t>
        </is>
      </c>
      <c r="B314" t="inlineStr">
        <is>
          <t>CHEM-1700</t>
        </is>
      </c>
      <c r="C314" t="n">
        <v>1.788</v>
      </c>
      <c r="D314">
        <f>IFERROR(MATCH($A314,PP_Grid[Intermediate],0),99999)</f>
        <v/>
      </c>
    </row>
    <row r="315">
      <c r="A315" t="inlineStr">
        <is>
          <t>TSP-936</t>
        </is>
      </c>
      <c r="B315" t="inlineStr">
        <is>
          <t>CHEM-1540</t>
        </is>
      </c>
      <c r="C315" t="n">
        <v>41.439</v>
      </c>
      <c r="D315">
        <f>IFERROR(MATCH($A315,PP_Grid[Intermediate],0),99999)</f>
        <v/>
      </c>
    </row>
    <row r="316">
      <c r="A316" t="inlineStr">
        <is>
          <t>TSP-936</t>
        </is>
      </c>
      <c r="B316" t="inlineStr">
        <is>
          <t>CHEM-1750</t>
        </is>
      </c>
      <c r="C316" t="n">
        <v>1.386</v>
      </c>
      <c r="D316">
        <f>IFERROR(MATCH($A316,PP_Grid[Intermediate],0),99999)</f>
        <v/>
      </c>
    </row>
    <row r="317">
      <c r="A317" t="inlineStr">
        <is>
          <t>TSP-936</t>
        </is>
      </c>
      <c r="B317" t="inlineStr">
        <is>
          <t>CHEM-1720</t>
        </is>
      </c>
      <c r="C317" t="n">
        <v>6.524</v>
      </c>
      <c r="D317">
        <f>IFERROR(MATCH($A317,PP_Grid[Intermediate],0),99999)</f>
        <v/>
      </c>
    </row>
    <row r="318">
      <c r="A318" t="inlineStr">
        <is>
          <t>TSP-936</t>
        </is>
      </c>
      <c r="B318" t="inlineStr">
        <is>
          <t>CHEM-1260</t>
        </is>
      </c>
      <c r="C318" t="n">
        <v>1.629</v>
      </c>
      <c r="D318">
        <f>IFERROR(MATCH($A318,PP_Grid[Intermediate],0),99999)</f>
        <v/>
      </c>
    </row>
    <row r="319">
      <c r="A319" t="inlineStr">
        <is>
          <t>TSP-936</t>
        </is>
      </c>
      <c r="B319" t="inlineStr">
        <is>
          <t>TSZ-938</t>
        </is>
      </c>
      <c r="C319" t="n">
        <v>68.935</v>
      </c>
      <c r="D319">
        <f>IFERROR(MATCH($A319,PP_Grid[Intermediate],0),99999)</f>
        <v/>
      </c>
    </row>
    <row r="320">
      <c r="A320" t="inlineStr">
        <is>
          <t>TSP-936</t>
        </is>
      </c>
      <c r="B320" t="inlineStr">
        <is>
          <t>CHEM-1420</t>
        </is>
      </c>
      <c r="C320" t="n">
        <v>1.01</v>
      </c>
      <c r="D320">
        <f>IFERROR(MATCH($A320,PP_Grid[Intermediate],0),99999)</f>
        <v/>
      </c>
    </row>
    <row r="321">
      <c r="A321" t="inlineStr">
        <is>
          <t>TSP-936</t>
        </is>
      </c>
      <c r="B321" t="inlineStr">
        <is>
          <t>CHEM-1440</t>
        </is>
      </c>
      <c r="C321" t="n">
        <v>1.686</v>
      </c>
      <c r="D321">
        <f>IFERROR(MATCH($A321,PP_Grid[Intermediate],0),99999)</f>
        <v/>
      </c>
    </row>
    <row r="322">
      <c r="A322" t="inlineStr">
        <is>
          <t>TSP-936</t>
        </is>
      </c>
      <c r="B322" t="inlineStr">
        <is>
          <t>CHEM-1650</t>
        </is>
      </c>
      <c r="C322" t="n">
        <v>0.033</v>
      </c>
      <c r="D322">
        <f>IFERROR(MATCH($A322,PP_Grid[Intermediate],0),99999)</f>
        <v/>
      </c>
    </row>
    <row r="323">
      <c r="A323" t="inlineStr">
        <is>
          <t>TSP-936</t>
        </is>
      </c>
      <c r="B323" t="inlineStr">
        <is>
          <t>CHEM-1010</t>
        </is>
      </c>
      <c r="C323" t="n">
        <v>1.792</v>
      </c>
      <c r="D323">
        <f>IFERROR(MATCH($A323,PP_Grid[Intermediate],0),99999)</f>
        <v/>
      </c>
    </row>
    <row r="324">
      <c r="A324" t="inlineStr">
        <is>
          <t>TSP-936</t>
        </is>
      </c>
      <c r="B324" t="inlineStr">
        <is>
          <t>CHEM-1080</t>
        </is>
      </c>
      <c r="C324" t="n">
        <v>1.792</v>
      </c>
      <c r="D324">
        <f>IFERROR(MATCH($A324,PP_Grid[Intermediate],0),99999)</f>
        <v/>
      </c>
    </row>
    <row r="325">
      <c r="A325" t="inlineStr">
        <is>
          <t>TSP-936</t>
        </is>
      </c>
      <c r="B325" t="inlineStr">
        <is>
          <t>CHEM-1700</t>
        </is>
      </c>
      <c r="C325" t="n">
        <v>1.792</v>
      </c>
      <c r="D325">
        <f>IFERROR(MATCH($A325,PP_Grid[Intermediate],0),99999)</f>
        <v/>
      </c>
    </row>
    <row r="326">
      <c r="A326" t="inlineStr">
        <is>
          <t>TSP-937</t>
        </is>
      </c>
      <c r="B326" t="inlineStr">
        <is>
          <t>CHEM-1540</t>
        </is>
      </c>
      <c r="C326" t="n">
        <v>40.638</v>
      </c>
      <c r="D326">
        <f>IFERROR(MATCH($A326,PP_Grid[Intermediate],0),99999)</f>
        <v/>
      </c>
    </row>
    <row r="327">
      <c r="A327" t="inlineStr">
        <is>
          <t>TSP-937</t>
        </is>
      </c>
      <c r="B327" t="inlineStr">
        <is>
          <t>CHEM-1750</t>
        </is>
      </c>
      <c r="C327" t="n">
        <v>1.359</v>
      </c>
      <c r="D327">
        <f>IFERROR(MATCH($A327,PP_Grid[Intermediate],0),99999)</f>
        <v/>
      </c>
    </row>
    <row r="328">
      <c r="A328" t="inlineStr">
        <is>
          <t>TSP-937</t>
        </is>
      </c>
      <c r="B328" t="inlineStr">
        <is>
          <t>CHEM-1720</t>
        </is>
      </c>
      <c r="C328" t="n">
        <v>6.398</v>
      </c>
      <c r="D328">
        <f>IFERROR(MATCH($A328,PP_Grid[Intermediate],0),99999)</f>
        <v/>
      </c>
    </row>
    <row r="329">
      <c r="A329" t="inlineStr">
        <is>
          <t>TSP-937</t>
        </is>
      </c>
      <c r="B329" t="inlineStr">
        <is>
          <t>CHEM-1260</t>
        </is>
      </c>
      <c r="C329" t="n">
        <v>1.597</v>
      </c>
      <c r="D329">
        <f>IFERROR(MATCH($A329,PP_Grid[Intermediate],0),99999)</f>
        <v/>
      </c>
    </row>
    <row r="330">
      <c r="A330" t="inlineStr">
        <is>
          <t>TSP-937</t>
        </is>
      </c>
      <c r="B330" t="inlineStr">
        <is>
          <t>TSZ-938</t>
        </is>
      </c>
      <c r="C330" t="n">
        <v>67.60299999999999</v>
      </c>
      <c r="D330">
        <f>IFERROR(MATCH($A330,PP_Grid[Intermediate],0),99999)</f>
        <v/>
      </c>
    </row>
    <row r="331">
      <c r="A331" t="inlineStr">
        <is>
          <t>TSP-937</t>
        </is>
      </c>
      <c r="B331" t="inlineStr">
        <is>
          <t>CHEM-1420</t>
        </is>
      </c>
      <c r="C331" t="n">
        <v>0.99</v>
      </c>
      <c r="D331">
        <f>IFERROR(MATCH($A331,PP_Grid[Intermediate],0),99999)</f>
        <v/>
      </c>
    </row>
    <row r="332">
      <c r="A332" t="inlineStr">
        <is>
          <t>TSP-937</t>
        </is>
      </c>
      <c r="B332" t="inlineStr">
        <is>
          <t>CHEM-1440</t>
        </is>
      </c>
      <c r="C332" t="n">
        <v>1.653</v>
      </c>
      <c r="D332">
        <f>IFERROR(MATCH($A332,PP_Grid[Intermediate],0),99999)</f>
        <v/>
      </c>
    </row>
    <row r="333">
      <c r="A333" t="inlineStr">
        <is>
          <t>TSP-937</t>
        </is>
      </c>
      <c r="B333" t="inlineStr">
        <is>
          <t>CHEM-1650</t>
        </is>
      </c>
      <c r="C333" t="n">
        <v>0.032</v>
      </c>
      <c r="D333">
        <f>IFERROR(MATCH($A333,PP_Grid[Intermediate],0),99999)</f>
        <v/>
      </c>
    </row>
    <row r="334">
      <c r="A334" t="inlineStr">
        <is>
          <t>TSP-937</t>
        </is>
      </c>
      <c r="B334" t="inlineStr">
        <is>
          <t>CHEM-1010</t>
        </is>
      </c>
      <c r="C334" t="n">
        <v>1.756</v>
      </c>
      <c r="D334">
        <f>IFERROR(MATCH($A334,PP_Grid[Intermediate],0),99999)</f>
        <v/>
      </c>
    </row>
    <row r="335">
      <c r="A335" t="inlineStr">
        <is>
          <t>TSP-937</t>
        </is>
      </c>
      <c r="B335" t="inlineStr">
        <is>
          <t>CHEM-1080</t>
        </is>
      </c>
      <c r="C335" t="n">
        <v>1.756</v>
      </c>
      <c r="D335">
        <f>IFERROR(MATCH($A335,PP_Grid[Intermediate],0),99999)</f>
        <v/>
      </c>
    </row>
    <row r="336">
      <c r="A336" t="inlineStr">
        <is>
          <t>TSP-937</t>
        </is>
      </c>
      <c r="B336" t="inlineStr">
        <is>
          <t>CHEM-1700</t>
        </is>
      </c>
      <c r="C336" t="n">
        <v>1.756</v>
      </c>
      <c r="D336">
        <f>IFERROR(MATCH($A336,PP_Grid[Intermediate],0),99999)</f>
        <v/>
      </c>
    </row>
    <row r="337">
      <c r="A337" t="inlineStr">
        <is>
          <t>TSP-959</t>
        </is>
      </c>
      <c r="B337" t="inlineStr">
        <is>
          <t>CHEM-1530</t>
        </is>
      </c>
      <c r="C337" t="n">
        <v>57.3098</v>
      </c>
      <c r="D337">
        <f>IFERROR(MATCH($A337,PP_Grid[Intermediate],0),99999)</f>
        <v/>
      </c>
    </row>
    <row r="338">
      <c r="A338" t="inlineStr">
        <is>
          <t>TSP-959</t>
        </is>
      </c>
      <c r="B338" t="inlineStr">
        <is>
          <t>CHEM-1400</t>
        </is>
      </c>
      <c r="C338" t="n">
        <v>3.161</v>
      </c>
      <c r="D338">
        <f>IFERROR(MATCH($A338,PP_Grid[Intermediate],0),99999)</f>
        <v/>
      </c>
    </row>
    <row r="339">
      <c r="A339" t="inlineStr">
        <is>
          <t>TSP-959</t>
        </is>
      </c>
      <c r="B339" t="inlineStr">
        <is>
          <t>CHEM-1260</t>
        </is>
      </c>
      <c r="C339" t="n">
        <v>1.441</v>
      </c>
      <c r="D339">
        <f>IFERROR(MATCH($A339,PP_Grid[Intermediate],0),99999)</f>
        <v/>
      </c>
    </row>
    <row r="340">
      <c r="A340" t="inlineStr">
        <is>
          <t>TSP-959</t>
        </is>
      </c>
      <c r="B340" t="inlineStr">
        <is>
          <t>CHEM-1420</t>
        </is>
      </c>
      <c r="C340" t="n">
        <v>0.465</v>
      </c>
      <c r="D340">
        <f>IFERROR(MATCH($A340,PP_Grid[Intermediate],0),99999)</f>
        <v/>
      </c>
    </row>
    <row r="341">
      <c r="A341" t="inlineStr">
        <is>
          <t>TSP-959</t>
        </is>
      </c>
      <c r="B341" t="inlineStr">
        <is>
          <t>CHEM-1650</t>
        </is>
      </c>
      <c r="C341" t="n">
        <v>0.032</v>
      </c>
      <c r="D341">
        <f>IFERROR(MATCH($A341,PP_Grid[Intermediate],0),99999)</f>
        <v/>
      </c>
    </row>
    <row r="342">
      <c r="A342" t="inlineStr">
        <is>
          <t>TSP-966</t>
        </is>
      </c>
      <c r="B342" t="inlineStr">
        <is>
          <t>CHEM-1400</t>
        </is>
      </c>
      <c r="C342" t="n">
        <v>1.838</v>
      </c>
      <c r="D342">
        <f>IFERROR(MATCH($A342,PP_Grid[Intermediate],0),99999)</f>
        <v/>
      </c>
    </row>
    <row r="343">
      <c r="A343" t="inlineStr">
        <is>
          <t>TSP-966</t>
        </is>
      </c>
      <c r="B343" t="inlineStr">
        <is>
          <t>CHEM-1250</t>
        </is>
      </c>
      <c r="C343" t="n">
        <v>3.542</v>
      </c>
      <c r="D343">
        <f>IFERROR(MATCH($A343,PP_Grid[Intermediate],0),99999)</f>
        <v/>
      </c>
    </row>
    <row r="344">
      <c r="A344" t="inlineStr">
        <is>
          <t>TSP-966</t>
        </is>
      </c>
      <c r="B344" t="inlineStr">
        <is>
          <t>CHEM-1690</t>
        </is>
      </c>
      <c r="C344" t="n">
        <v>4.89</v>
      </c>
      <c r="D344">
        <f>IFERROR(MATCH($A344,PP_Grid[Intermediate],0),99999)</f>
        <v/>
      </c>
    </row>
    <row r="345">
      <c r="A345" t="inlineStr">
        <is>
          <t>TSP-966</t>
        </is>
      </c>
      <c r="B345" t="inlineStr">
        <is>
          <t>CHEM-1260</t>
        </is>
      </c>
      <c r="C345" t="n">
        <v>0.8100000000000001</v>
      </c>
      <c r="D345">
        <f>IFERROR(MATCH($A345,PP_Grid[Intermediate],0),99999)</f>
        <v/>
      </c>
    </row>
    <row r="346">
      <c r="A346" t="inlineStr">
        <is>
          <t>TSP-966</t>
        </is>
      </c>
      <c r="B346" t="inlineStr">
        <is>
          <t>CHEM-1420</t>
        </is>
      </c>
      <c r="C346" t="n">
        <v>0.546</v>
      </c>
      <c r="D346">
        <f>IFERROR(MATCH($A346,PP_Grid[Intermediate],0),99999)</f>
        <v/>
      </c>
    </row>
    <row r="347">
      <c r="A347" t="inlineStr">
        <is>
          <t>TSZ-616</t>
        </is>
      </c>
      <c r="B347" t="inlineStr">
        <is>
          <t>CHEM-1600</t>
        </is>
      </c>
      <c r="C347" t="n">
        <v>40.8163</v>
      </c>
      <c r="D347">
        <f>IFERROR(MATCH($A347,PP_Grid[Intermediate],0),99999)</f>
        <v/>
      </c>
    </row>
    <row r="348">
      <c r="A348" t="inlineStr">
        <is>
          <t>TSZ-616</t>
        </is>
      </c>
      <c r="B348" t="inlineStr">
        <is>
          <t>CHEM-1510</t>
        </is>
      </c>
      <c r="C348" t="n">
        <v>1.2</v>
      </c>
      <c r="D348">
        <f>IFERROR(MATCH($A348,PP_Grid[Intermediate],0),99999)</f>
        <v/>
      </c>
    </row>
    <row r="349">
      <c r="A349" t="inlineStr">
        <is>
          <t>TSZ-938</t>
        </is>
      </c>
      <c r="B349" t="inlineStr">
        <is>
          <t>CHEM-1260</t>
        </is>
      </c>
      <c r="C349" t="n">
        <v>5.023</v>
      </c>
      <c r="D349">
        <f>IFERROR(MATCH($A349,PP_Grid[Intermediate],0),99999)</f>
        <v/>
      </c>
    </row>
    <row r="350">
      <c r="A350" t="inlineStr">
        <is>
          <t>TVS-833</t>
        </is>
      </c>
      <c r="B350" t="inlineStr">
        <is>
          <t>0JN</t>
        </is>
      </c>
      <c r="C350" t="n">
        <v>1.0253</v>
      </c>
      <c r="D350">
        <f>IFERROR(MATCH($A350,PP_Grid[Intermediate],0),99999)</f>
        <v/>
      </c>
    </row>
    <row r="351">
      <c r="A351" t="inlineStr">
        <is>
          <t>TVS-833</t>
        </is>
      </c>
      <c r="B351" t="inlineStr">
        <is>
          <t>CHEM-1420</t>
        </is>
      </c>
      <c r="C351" t="n">
        <v>2.74785</v>
      </c>
      <c r="D351">
        <f>IFERROR(MATCH($A351,PP_Grid[Intermediate],0),99999)</f>
        <v/>
      </c>
    </row>
    <row r="352">
      <c r="A352" t="inlineStr">
        <is>
          <t>TVS-833</t>
        </is>
      </c>
      <c r="B352" t="inlineStr">
        <is>
          <t>CHEM-1760</t>
        </is>
      </c>
      <c r="C352" t="n">
        <v>0.17607</v>
      </c>
      <c r="D352">
        <f>IFERROR(MATCH($A352,PP_Grid[Intermediate],0),99999)</f>
        <v/>
      </c>
    </row>
    <row r="353">
      <c r="A353" t="inlineStr">
        <is>
          <t>TSP-1388</t>
        </is>
      </c>
      <c r="B353" t="inlineStr">
        <is>
          <t>CHEM-1410</t>
        </is>
      </c>
      <c r="C353" t="n">
        <v>24.288</v>
      </c>
      <c r="D353">
        <f>IFERROR(MATCH($A353,PP_Grid[Intermediate],0),99999)</f>
        <v/>
      </c>
    </row>
    <row r="354">
      <c r="A354" t="inlineStr">
        <is>
          <t>TSP-1388</t>
        </is>
      </c>
      <c r="B354" t="inlineStr">
        <is>
          <t>CHEM-1750</t>
        </is>
      </c>
      <c r="C354" t="n">
        <v>6.883</v>
      </c>
      <c r="D354">
        <f>IFERROR(MATCH($A354,PP_Grid[Intermediate],0),99999)</f>
        <v/>
      </c>
    </row>
    <row r="355">
      <c r="A355" t="inlineStr">
        <is>
          <t>TSP-1388</t>
        </is>
      </c>
      <c r="B355" t="inlineStr">
        <is>
          <t>CHEM-1260</t>
        </is>
      </c>
      <c r="C355" t="n">
        <v>0.232</v>
      </c>
      <c r="D355">
        <f>IFERROR(MATCH($A355,PP_Grid[Intermediate],0),99999)</f>
        <v/>
      </c>
    </row>
    <row r="356">
      <c r="A356" t="inlineStr">
        <is>
          <t>TSP-1388</t>
        </is>
      </c>
      <c r="B356" t="inlineStr">
        <is>
          <t>TSZ-616</t>
        </is>
      </c>
      <c r="C356" t="n">
        <v>63.088</v>
      </c>
      <c r="D356">
        <f>IFERROR(MATCH($A356,PP_Grid[Intermediate],0),99999)</f>
        <v/>
      </c>
    </row>
    <row r="357">
      <c r="A357" t="inlineStr">
        <is>
          <t>TSP-1388</t>
        </is>
      </c>
      <c r="B357" t="inlineStr">
        <is>
          <t>CHEM-1420</t>
        </is>
      </c>
      <c r="C357" t="n">
        <v>0.349</v>
      </c>
      <c r="D357">
        <f>IFERROR(MATCH($A357,PP_Grid[Intermediate],0),99999)</f>
        <v/>
      </c>
    </row>
    <row r="358">
      <c r="A358" t="inlineStr">
        <is>
          <t>TSP-1388</t>
        </is>
      </c>
      <c r="B358" t="inlineStr">
        <is>
          <t>CHEM-1440</t>
        </is>
      </c>
      <c r="C358" t="n">
        <v>0.805</v>
      </c>
      <c r="D358">
        <f>IFERROR(MATCH($A358,PP_Grid[Intermediate],0),99999)</f>
        <v/>
      </c>
    </row>
    <row r="359">
      <c r="A359" t="inlineStr">
        <is>
          <t>TSP-1388</t>
        </is>
      </c>
      <c r="B359" t="inlineStr">
        <is>
          <t>CHEM-1650</t>
        </is>
      </c>
      <c r="C359" t="n">
        <v>0.1</v>
      </c>
      <c r="D359">
        <f>IFERROR(MATCH($A359,PP_Grid[Intermediate],0),99999)</f>
        <v/>
      </c>
    </row>
    <row r="360">
      <c r="A360" t="inlineStr">
        <is>
          <t>TSP-1388</t>
        </is>
      </c>
      <c r="B360" t="inlineStr">
        <is>
          <t>CHEM-1700</t>
        </is>
      </c>
      <c r="C360" t="n">
        <v>1.732</v>
      </c>
      <c r="D360">
        <f>IFERROR(MATCH($A360,PP_Grid[Intermediate],0),99999)</f>
        <v/>
      </c>
    </row>
    <row r="361">
      <c r="A361" t="inlineStr">
        <is>
          <t>TSP-1388</t>
        </is>
      </c>
      <c r="B361" t="inlineStr">
        <is>
          <t>CHEM-1790</t>
        </is>
      </c>
      <c r="C361" t="n">
        <v>73.61799999999999</v>
      </c>
      <c r="D361">
        <f>IFERROR(MATCH($A361,PP_Grid[Intermediate],0),99999)</f>
        <v/>
      </c>
    </row>
    <row r="362">
      <c r="A362" t="inlineStr">
        <is>
          <t>TSP-1444</t>
        </is>
      </c>
      <c r="B362" t="inlineStr">
        <is>
          <t>CHEM-1520</t>
        </is>
      </c>
      <c r="C362" t="n">
        <v>30.512</v>
      </c>
      <c r="D362">
        <f>IFERROR(MATCH($A362,PP_Grid[Intermediate],0),99999)</f>
        <v/>
      </c>
    </row>
    <row r="363">
      <c r="A363" t="inlineStr">
        <is>
          <t>TSP-1444</t>
        </is>
      </c>
      <c r="B363" t="inlineStr">
        <is>
          <t>CHEM-1540</t>
        </is>
      </c>
      <c r="C363" t="n">
        <v>51.818</v>
      </c>
      <c r="D363">
        <f>IFERROR(MATCH($A363,PP_Grid[Intermediate],0),99999)</f>
        <v/>
      </c>
    </row>
    <row r="364">
      <c r="A364" t="inlineStr">
        <is>
          <t>TSP-1444</t>
        </is>
      </c>
      <c r="B364" t="inlineStr">
        <is>
          <t>CHEM-1750</t>
        </is>
      </c>
      <c r="C364" t="n">
        <v>2.508</v>
      </c>
      <c r="D364">
        <f>IFERROR(MATCH($A364,PP_Grid[Intermediate],0),99999)</f>
        <v/>
      </c>
    </row>
    <row r="365">
      <c r="A365" t="inlineStr">
        <is>
          <t>TSP-1444</t>
        </is>
      </c>
      <c r="B365" t="inlineStr">
        <is>
          <t>CHEM-1720</t>
        </is>
      </c>
      <c r="C365" t="n">
        <v>19.828</v>
      </c>
      <c r="D365">
        <f>IFERROR(MATCH($A365,PP_Grid[Intermediate],0),99999)</f>
        <v/>
      </c>
    </row>
    <row r="366">
      <c r="A366" t="inlineStr">
        <is>
          <t>TSP-1444</t>
        </is>
      </c>
      <c r="B366" t="inlineStr">
        <is>
          <t>CHEM-1260</t>
        </is>
      </c>
      <c r="C366" t="n">
        <v>3.891</v>
      </c>
      <c r="D366">
        <f>IFERROR(MATCH($A366,PP_Grid[Intermediate],0),99999)</f>
        <v/>
      </c>
    </row>
    <row r="367">
      <c r="A367" t="inlineStr">
        <is>
          <t>TSP-1444</t>
        </is>
      </c>
      <c r="B367" t="inlineStr">
        <is>
          <t>CHEM-1670</t>
        </is>
      </c>
      <c r="C367" t="n">
        <v>5.164</v>
      </c>
      <c r="D367">
        <f>IFERROR(MATCH($A367,PP_Grid[Intermediate],0),99999)</f>
        <v/>
      </c>
    </row>
    <row r="368">
      <c r="A368" t="inlineStr">
        <is>
          <t>TSP-1444</t>
        </is>
      </c>
      <c r="B368" t="inlineStr">
        <is>
          <t>CHEM-1420</t>
        </is>
      </c>
      <c r="C368" t="n">
        <v>0.389</v>
      </c>
      <c r="D368">
        <f>IFERROR(MATCH($A368,PP_Grid[Intermediate],0),99999)</f>
        <v/>
      </c>
    </row>
    <row r="369">
      <c r="A369" t="inlineStr">
        <is>
          <t>TSP-1444</t>
        </is>
      </c>
      <c r="B369" t="inlineStr">
        <is>
          <t>CHEM-1440</t>
        </is>
      </c>
      <c r="C369" t="n">
        <v>2.065</v>
      </c>
      <c r="D369">
        <f>IFERROR(MATCH($A369,PP_Grid[Intermediate],0),99999)</f>
        <v/>
      </c>
    </row>
    <row r="370">
      <c r="A370" t="inlineStr">
        <is>
          <t>TSP-1448</t>
        </is>
      </c>
      <c r="B370" t="inlineStr">
        <is>
          <t>CHEM-1540</t>
        </is>
      </c>
      <c r="C370" t="n">
        <v>14.5392</v>
      </c>
      <c r="D370">
        <f>IFERROR(MATCH($A370,PP_Grid[Intermediate],0),99999)</f>
        <v/>
      </c>
    </row>
    <row r="371">
      <c r="A371" t="inlineStr">
        <is>
          <t>TSP-1448</t>
        </is>
      </c>
      <c r="B371" t="inlineStr">
        <is>
          <t>CHEM-1720</t>
        </is>
      </c>
      <c r="C371" t="n">
        <v>8.583</v>
      </c>
      <c r="D371">
        <f>IFERROR(MATCH($A371,PP_Grid[Intermediate],0),99999)</f>
        <v/>
      </c>
    </row>
    <row r="372">
      <c r="A372" t="inlineStr">
        <is>
          <t>TSP-1448</t>
        </is>
      </c>
      <c r="B372" t="inlineStr">
        <is>
          <t>CHEM-1260</t>
        </is>
      </c>
      <c r="C372" t="n">
        <v>1.429</v>
      </c>
      <c r="D372">
        <f>IFERROR(MATCH($A372,PP_Grid[Intermediate],0),99999)</f>
        <v/>
      </c>
    </row>
    <row r="373">
      <c r="A373" t="inlineStr">
        <is>
          <t>TSP-1448</t>
        </is>
      </c>
      <c r="B373" t="inlineStr">
        <is>
          <t>CHEM-1240</t>
        </is>
      </c>
      <c r="C373" t="n">
        <v>18.682</v>
      </c>
      <c r="D373">
        <f>IFERROR(MATCH($A373,PP_Grid[Intermediate],0),99999)</f>
        <v/>
      </c>
    </row>
    <row r="374">
      <c r="A374" t="inlineStr">
        <is>
          <t>TSP-1448</t>
        </is>
      </c>
      <c r="B374" t="inlineStr">
        <is>
          <t>TSZ-938</t>
        </is>
      </c>
      <c r="C374" t="n">
        <v>73.292</v>
      </c>
      <c r="D374">
        <f>IFERROR(MATCH($A374,PP_Grid[Intermediate],0),99999)</f>
        <v/>
      </c>
    </row>
    <row r="375">
      <c r="A375" t="inlineStr">
        <is>
          <t>TSP-1448</t>
        </is>
      </c>
      <c r="B375" t="inlineStr">
        <is>
          <t>CHEM-1420</t>
        </is>
      </c>
      <c r="C375" t="n">
        <v>1.134</v>
      </c>
      <c r="D375">
        <f>IFERROR(MATCH($A375,PP_Grid[Intermediate],0),99999)</f>
        <v/>
      </c>
    </row>
    <row r="376">
      <c r="A376" t="inlineStr">
        <is>
          <t>TSP-1448</t>
        </is>
      </c>
      <c r="B376" t="inlineStr">
        <is>
          <t>CHEM-1440</t>
        </is>
      </c>
      <c r="C376" t="n">
        <v>1.638</v>
      </c>
      <c r="D376">
        <f>IFERROR(MATCH($A376,PP_Grid[Intermediate],0),99999)</f>
        <v/>
      </c>
    </row>
    <row r="377">
      <c r="A377" t="inlineStr">
        <is>
          <t>TSP-1448</t>
        </is>
      </c>
      <c r="B377" t="inlineStr">
        <is>
          <t>CHEM-1650</t>
        </is>
      </c>
      <c r="C377" t="n">
        <v>0.05</v>
      </c>
      <c r="D377">
        <f>IFERROR(MATCH($A377,PP_Grid[Intermediate],0),99999)</f>
        <v/>
      </c>
    </row>
    <row r="378">
      <c r="A378" t="inlineStr">
        <is>
          <t>TSP-1448</t>
        </is>
      </c>
      <c r="B378" t="inlineStr">
        <is>
          <t>CHEM-1700</t>
        </is>
      </c>
      <c r="C378" t="n">
        <v>1.26</v>
      </c>
      <c r="D378">
        <f>IFERROR(MATCH($A378,PP_Grid[Intermediate],0),99999)</f>
        <v/>
      </c>
    </row>
    <row r="379">
      <c r="A379" t="inlineStr">
        <is>
          <t>TSP-1445</t>
        </is>
      </c>
      <c r="B379" t="inlineStr">
        <is>
          <t>CHEM-1520</t>
        </is>
      </c>
      <c r="C379" t="n">
        <v>31.594</v>
      </c>
      <c r="D379">
        <f>IFERROR(MATCH($A379,PP_Grid[Intermediate],0),99999)</f>
        <v/>
      </c>
    </row>
    <row r="380">
      <c r="A380" t="inlineStr">
        <is>
          <t>TSP-1445</t>
        </is>
      </c>
      <c r="B380" t="inlineStr">
        <is>
          <t>CHEM-1540</t>
        </is>
      </c>
      <c r="C380" t="n">
        <v>53.656</v>
      </c>
      <c r="D380">
        <f>IFERROR(MATCH($A380,PP_Grid[Intermediate],0),99999)</f>
        <v/>
      </c>
    </row>
    <row r="381">
      <c r="A381" t="inlineStr">
        <is>
          <t>TSP-1445</t>
        </is>
      </c>
      <c r="B381" t="inlineStr">
        <is>
          <t>CHEM-1750</t>
        </is>
      </c>
      <c r="C381" t="n">
        <v>2.597</v>
      </c>
      <c r="D381">
        <f>IFERROR(MATCH($A381,PP_Grid[Intermediate],0),99999)</f>
        <v/>
      </c>
    </row>
    <row r="382">
      <c r="A382" t="inlineStr">
        <is>
          <t>TSP-1445</t>
        </is>
      </c>
      <c r="B382" t="inlineStr">
        <is>
          <t>CHEM-1720</t>
        </is>
      </c>
      <c r="C382" t="n">
        <v>20.532</v>
      </c>
      <c r="D382">
        <f>IFERROR(MATCH($A382,PP_Grid[Intermediate],0),99999)</f>
        <v/>
      </c>
    </row>
    <row r="383">
      <c r="A383" t="inlineStr">
        <is>
          <t>TSP-1445</t>
        </is>
      </c>
      <c r="B383" t="inlineStr">
        <is>
          <t>CHEM-1260</t>
        </is>
      </c>
      <c r="C383" t="n">
        <v>4.029</v>
      </c>
      <c r="D383">
        <f>IFERROR(MATCH($A383,PP_Grid[Intermediate],0),99999)</f>
        <v/>
      </c>
    </row>
    <row r="384">
      <c r="A384" t="inlineStr">
        <is>
          <t>TSP-1445</t>
        </is>
      </c>
      <c r="B384" t="inlineStr">
        <is>
          <t>CHEM-1670</t>
        </is>
      </c>
      <c r="C384" t="n">
        <v>5.347</v>
      </c>
      <c r="D384">
        <f>IFERROR(MATCH($A384,PP_Grid[Intermediate],0),99999)</f>
        <v/>
      </c>
    </row>
    <row r="385">
      <c r="A385" t="inlineStr">
        <is>
          <t>TSP-1445</t>
        </is>
      </c>
      <c r="B385" t="inlineStr">
        <is>
          <t>CHEM-1420</t>
        </is>
      </c>
      <c r="C385" t="n">
        <v>0.336</v>
      </c>
      <c r="D385">
        <f>IFERROR(MATCH($A385,PP_Grid[Intermediate],0),99999)</f>
        <v/>
      </c>
    </row>
    <row r="386">
      <c r="A386" t="inlineStr">
        <is>
          <t>TSP-1445</t>
        </is>
      </c>
      <c r="B386" t="inlineStr">
        <is>
          <t>CHEM-1440</t>
        </is>
      </c>
      <c r="C386" t="n">
        <v>2.139</v>
      </c>
      <c r="D386">
        <f>IFERROR(MATCH($A386,PP_Grid[Intermediate],0),99999)</f>
        <v/>
      </c>
    </row>
    <row r="387">
      <c r="A387" t="inlineStr">
        <is>
          <t>TSP-1446</t>
        </is>
      </c>
      <c r="B387" t="inlineStr">
        <is>
          <t>CHEM-1520</t>
        </is>
      </c>
      <c r="C387" t="n">
        <v>35.63</v>
      </c>
      <c r="D387">
        <f>IFERROR(MATCH($A387,PP_Grid[Intermediate],0),99999)</f>
        <v/>
      </c>
    </row>
    <row r="388">
      <c r="A388" t="inlineStr">
        <is>
          <t>TSP-1446</t>
        </is>
      </c>
      <c r="B388" t="inlineStr">
        <is>
          <t>CHEM-1540</t>
        </is>
      </c>
      <c r="C388" t="n">
        <v>60.509</v>
      </c>
      <c r="D388">
        <f>IFERROR(MATCH($A388,PP_Grid[Intermediate],0),99999)</f>
        <v/>
      </c>
    </row>
    <row r="389">
      <c r="A389" t="inlineStr">
        <is>
          <t>TSP-1446</t>
        </is>
      </c>
      <c r="B389" t="inlineStr">
        <is>
          <t>CHEM-1750</t>
        </is>
      </c>
      <c r="C389" t="n">
        <v>2.929</v>
      </c>
      <c r="D389">
        <f>IFERROR(MATCH($A389,PP_Grid[Intermediate],0),99999)</f>
        <v/>
      </c>
    </row>
    <row r="390">
      <c r="A390" t="inlineStr">
        <is>
          <t>TSP-1446</t>
        </is>
      </c>
      <c r="B390" t="inlineStr">
        <is>
          <t>CHEM-1720</t>
        </is>
      </c>
      <c r="C390" t="n">
        <v>23.154</v>
      </c>
      <c r="D390">
        <f>IFERROR(MATCH($A390,PP_Grid[Intermediate],0),99999)</f>
        <v/>
      </c>
    </row>
    <row r="391">
      <c r="A391" t="inlineStr">
        <is>
          <t>TSP-1446</t>
        </is>
      </c>
      <c r="B391" t="inlineStr">
        <is>
          <t>CHEM-1260</t>
        </is>
      </c>
      <c r="C391" t="n">
        <v>4.543</v>
      </c>
      <c r="D391">
        <f>IFERROR(MATCH($A391,PP_Grid[Intermediate],0),99999)</f>
        <v/>
      </c>
    </row>
    <row r="392">
      <c r="A392" t="inlineStr">
        <is>
          <t>TSP-1446</t>
        </is>
      </c>
      <c r="B392" t="inlineStr">
        <is>
          <t>CHEM-1670</t>
        </is>
      </c>
      <c r="C392" t="n">
        <v>6.03</v>
      </c>
      <c r="D392">
        <f>IFERROR(MATCH($A392,PP_Grid[Intermediate],0),99999)</f>
        <v/>
      </c>
    </row>
    <row r="393">
      <c r="A393" t="inlineStr">
        <is>
          <t>TSP-1446</t>
        </is>
      </c>
      <c r="B393" t="inlineStr">
        <is>
          <t>CHEM-1420</t>
        </is>
      </c>
      <c r="C393" t="n">
        <v>0.38</v>
      </c>
      <c r="D393">
        <f>IFERROR(MATCH($A393,PP_Grid[Intermediate],0),99999)</f>
        <v/>
      </c>
    </row>
    <row r="394">
      <c r="A394" t="inlineStr">
        <is>
          <t>TSP-1446</t>
        </is>
      </c>
      <c r="B394" t="inlineStr">
        <is>
          <t>CHEM-1440</t>
        </is>
      </c>
      <c r="C394" t="n">
        <v>2.412</v>
      </c>
      <c r="D394">
        <f>IFERROR(MATCH($A394,PP_Grid[Intermediate],0),99999)</f>
        <v/>
      </c>
    </row>
    <row r="395">
      <c r="A395" t="inlineStr">
        <is>
          <t>TSP-1449</t>
        </is>
      </c>
      <c r="B395" t="inlineStr">
        <is>
          <t>CHEM-1410</t>
        </is>
      </c>
      <c r="C395" t="n">
        <v>53.927</v>
      </c>
      <c r="D395">
        <f>IFERROR(MATCH($A395,PP_Grid[Intermediate],0),99999)</f>
        <v/>
      </c>
    </row>
    <row r="396">
      <c r="A396" t="inlineStr">
        <is>
          <t>TSP-1449</t>
        </is>
      </c>
      <c r="B396" t="inlineStr">
        <is>
          <t>CHEM-1400</t>
        </is>
      </c>
      <c r="C396" t="n">
        <v>6.596</v>
      </c>
      <c r="D396">
        <f>IFERROR(MATCH($A396,PP_Grid[Intermediate],0),99999)</f>
        <v/>
      </c>
    </row>
    <row r="397">
      <c r="A397" t="inlineStr">
        <is>
          <t>TSP-1449</t>
        </is>
      </c>
      <c r="B397" t="inlineStr">
        <is>
          <t>CHEM-1610</t>
        </is>
      </c>
      <c r="C397" t="n">
        <v>55.1448</v>
      </c>
      <c r="D397">
        <f>IFERROR(MATCH($A397,PP_Grid[Intermediate],0),99999)</f>
        <v/>
      </c>
    </row>
    <row r="398">
      <c r="A398" t="inlineStr">
        <is>
          <t>TSP-1449</t>
        </is>
      </c>
      <c r="B398" t="inlineStr">
        <is>
          <t>CHEM-1600</t>
        </is>
      </c>
      <c r="C398" t="n">
        <v>18.25</v>
      </c>
      <c r="D398">
        <f>IFERROR(MATCH($A398,PP_Grid[Intermediate],0),99999)</f>
        <v/>
      </c>
    </row>
    <row r="399">
      <c r="A399" t="inlineStr">
        <is>
          <t>TSP-1449</t>
        </is>
      </c>
      <c r="B399" t="inlineStr">
        <is>
          <t>CHEM-1260</t>
        </is>
      </c>
      <c r="C399" t="n">
        <v>1.79</v>
      </c>
      <c r="D399">
        <f>IFERROR(MATCH($A399,PP_Grid[Intermediate],0),99999)</f>
        <v/>
      </c>
    </row>
    <row r="400">
      <c r="A400" t="inlineStr">
        <is>
          <t>TSP-1449</t>
        </is>
      </c>
      <c r="B400" t="inlineStr">
        <is>
          <t>0JN</t>
        </is>
      </c>
      <c r="C400" t="n">
        <v>1.053</v>
      </c>
      <c r="D400">
        <f>IFERROR(MATCH($A400,PP_Grid[Intermediate],0),99999)</f>
        <v/>
      </c>
    </row>
    <row r="401">
      <c r="A401" t="inlineStr">
        <is>
          <t>TSP-1449</t>
        </is>
      </c>
      <c r="B401" t="inlineStr">
        <is>
          <t>CHEM-1420</t>
        </is>
      </c>
      <c r="C401" t="n">
        <v>1.045</v>
      </c>
      <c r="D401">
        <f>IFERROR(MATCH($A401,PP_Grid[Intermediate],0),99999)</f>
        <v/>
      </c>
    </row>
    <row r="402">
      <c r="A402" t="inlineStr">
        <is>
          <t>TSP-1449</t>
        </is>
      </c>
      <c r="B402" t="inlineStr">
        <is>
          <t>CHEM-1440</t>
        </is>
      </c>
      <c r="C402" t="n">
        <v>0.653</v>
      </c>
      <c r="D402">
        <f>IFERROR(MATCH($A402,PP_Grid[Intermediate],0),99999)</f>
        <v/>
      </c>
    </row>
    <row r="403">
      <c r="A403" t="inlineStr">
        <is>
          <t>VSP-567</t>
        </is>
      </c>
      <c r="B403" t="inlineStr">
        <is>
          <t>CHEM-1410</t>
        </is>
      </c>
      <c r="C403" t="n">
        <v>54.5315</v>
      </c>
      <c r="D403">
        <f>IFERROR(MATCH($A403,PP_Grid[Intermediate],0),99999)</f>
        <v/>
      </c>
    </row>
    <row r="404">
      <c r="A404" t="inlineStr">
        <is>
          <t>VSP-567</t>
        </is>
      </c>
      <c r="B404" t="inlineStr">
        <is>
          <t>CHEM-1530</t>
        </is>
      </c>
      <c r="C404" t="n">
        <v>55.14</v>
      </c>
      <c r="D404">
        <f>IFERROR(MATCH($A404,PP_Grid[Intermediate],0),99999)</f>
        <v/>
      </c>
    </row>
    <row r="405">
      <c r="A405" t="inlineStr">
        <is>
          <t>VSP-567</t>
        </is>
      </c>
      <c r="B405" t="inlineStr">
        <is>
          <t>CHEM-1400</t>
        </is>
      </c>
      <c r="C405" t="n">
        <v>4.574</v>
      </c>
      <c r="D405">
        <f>IFERROR(MATCH($A405,PP_Grid[Intermediate],0),99999)</f>
        <v/>
      </c>
    </row>
    <row r="406">
      <c r="A406" t="inlineStr">
        <is>
          <t>VSP-567</t>
        </is>
      </c>
      <c r="B406" t="inlineStr">
        <is>
          <t>CHEM-1600</t>
        </is>
      </c>
      <c r="C406" t="n">
        <v>11.076</v>
      </c>
      <c r="D406">
        <f>IFERROR(MATCH($A406,PP_Grid[Intermediate],0),99999)</f>
        <v/>
      </c>
    </row>
    <row r="407">
      <c r="A407" t="inlineStr">
        <is>
          <t>VSP-567</t>
        </is>
      </c>
      <c r="B407" t="inlineStr">
        <is>
          <t>CHEM-1260</t>
        </is>
      </c>
      <c r="C407" t="n">
        <v>2.173</v>
      </c>
      <c r="D407">
        <f>IFERROR(MATCH($A407,PP_Grid[Intermediate],0),99999)</f>
        <v/>
      </c>
    </row>
    <row r="408">
      <c r="A408" t="inlineStr">
        <is>
          <t>VSP-567</t>
        </is>
      </c>
      <c r="B408" t="inlineStr">
        <is>
          <t>CHEM-1420</t>
        </is>
      </c>
      <c r="C408" t="n">
        <v>1.6</v>
      </c>
      <c r="D408">
        <f>IFERROR(MATCH($A408,PP_Grid[Intermediate],0),99999)</f>
        <v/>
      </c>
    </row>
    <row r="409">
      <c r="A409" t="inlineStr">
        <is>
          <t>VSP-567</t>
        </is>
      </c>
      <c r="B409" t="inlineStr">
        <is>
          <t>CHEM-1440</t>
        </is>
      </c>
      <c r="C409" t="n">
        <v>0.554</v>
      </c>
      <c r="D409">
        <f>IFERROR(MATCH($A409,PP_Grid[Intermediate],0),99999)</f>
        <v/>
      </c>
    </row>
    <row r="410">
      <c r="A410" t="inlineStr">
        <is>
          <t>VSP-567</t>
        </is>
      </c>
      <c r="B410" t="inlineStr">
        <is>
          <t>CHEM-1650</t>
        </is>
      </c>
      <c r="C410" t="n">
        <v>0.049</v>
      </c>
      <c r="D410">
        <f>IFERROR(MATCH($A410,PP_Grid[Intermediate],0),99999)</f>
        <v/>
      </c>
    </row>
    <row r="411">
      <c r="A411" t="inlineStr">
        <is>
          <t>VSP-600</t>
        </is>
      </c>
      <c r="B411" t="inlineStr">
        <is>
          <t>CHEM-1410</t>
        </is>
      </c>
      <c r="C411" t="n">
        <v>32.991</v>
      </c>
      <c r="D411">
        <f>IFERROR(MATCH($A411,PP_Grid[Intermediate],0),99999)</f>
        <v/>
      </c>
    </row>
    <row r="412">
      <c r="A412" t="inlineStr">
        <is>
          <t>VSP-600</t>
        </is>
      </c>
      <c r="B412" t="inlineStr">
        <is>
          <t>CHEM-1400</t>
        </is>
      </c>
      <c r="C412" t="n">
        <v>6.053</v>
      </c>
      <c r="D412">
        <f>IFERROR(MATCH($A412,PP_Grid[Intermediate],0),99999)</f>
        <v/>
      </c>
    </row>
    <row r="413">
      <c r="A413" t="inlineStr">
        <is>
          <t>VSP-600</t>
        </is>
      </c>
      <c r="B413" t="inlineStr">
        <is>
          <t>CHEM-1610</t>
        </is>
      </c>
      <c r="C413" t="n">
        <v>59.0375</v>
      </c>
      <c r="D413">
        <f>IFERROR(MATCH($A413,PP_Grid[Intermediate],0),99999)</f>
        <v/>
      </c>
    </row>
    <row r="414">
      <c r="A414" t="inlineStr">
        <is>
          <t>VSP-600</t>
        </is>
      </c>
      <c r="B414" t="inlineStr">
        <is>
          <t>CHEM-1600</t>
        </is>
      </c>
      <c r="C414" t="n">
        <v>16.747</v>
      </c>
      <c r="D414">
        <f>IFERROR(MATCH($A414,PP_Grid[Intermediate],0),99999)</f>
        <v/>
      </c>
    </row>
    <row r="415">
      <c r="A415" t="inlineStr">
        <is>
          <t>VSP-600</t>
        </is>
      </c>
      <c r="B415" t="inlineStr">
        <is>
          <t>CHEM-1260</t>
        </is>
      </c>
      <c r="C415" t="n">
        <v>1.15</v>
      </c>
      <c r="D415">
        <f>IFERROR(MATCH($A415,PP_Grid[Intermediate],0),99999)</f>
        <v/>
      </c>
    </row>
    <row r="416">
      <c r="A416" t="inlineStr">
        <is>
          <t>VSP-600</t>
        </is>
      </c>
      <c r="B416" t="inlineStr">
        <is>
          <t>0JN</t>
        </is>
      </c>
      <c r="C416" t="n">
        <v>2.902</v>
      </c>
      <c r="D416">
        <f>IFERROR(MATCH($A416,PP_Grid[Intermediate],0),99999)</f>
        <v/>
      </c>
    </row>
    <row r="417">
      <c r="A417" t="inlineStr">
        <is>
          <t>VSP-600</t>
        </is>
      </c>
      <c r="B417" t="inlineStr">
        <is>
          <t>CHEM-1420</t>
        </is>
      </c>
      <c r="C417" t="n">
        <v>0.728</v>
      </c>
      <c r="D417">
        <f>IFERROR(MATCH($A417,PP_Grid[Intermediate],0),99999)</f>
        <v/>
      </c>
    </row>
    <row r="418">
      <c r="A418" t="inlineStr">
        <is>
          <t>VSP-600</t>
        </is>
      </c>
      <c r="B418" t="inlineStr">
        <is>
          <t>CHEM-1440</t>
        </is>
      </c>
      <c r="C418" t="n">
        <v>0.504</v>
      </c>
      <c r="D418">
        <f>IFERROR(MATCH($A418,PP_Grid[Intermediate],0),99999)</f>
        <v/>
      </c>
    </row>
    <row r="419">
      <c r="A419" t="inlineStr">
        <is>
          <t>VSP-601</t>
        </is>
      </c>
      <c r="B419" t="inlineStr">
        <is>
          <t>CHEM-1410</t>
        </is>
      </c>
      <c r="C419" t="n">
        <v>65.9123</v>
      </c>
      <c r="D419">
        <f>IFERROR(MATCH($A419,PP_Grid[Intermediate],0),99999)</f>
        <v/>
      </c>
    </row>
    <row r="420">
      <c r="A420" t="inlineStr">
        <is>
          <t>VSP-601</t>
        </is>
      </c>
      <c r="B420" t="inlineStr">
        <is>
          <t>CHEM-1400</t>
        </is>
      </c>
      <c r="C420" t="n">
        <v>6.047</v>
      </c>
      <c r="D420">
        <f>IFERROR(MATCH($A420,PP_Grid[Intermediate],0),99999)</f>
        <v/>
      </c>
    </row>
    <row r="421">
      <c r="A421" t="inlineStr">
        <is>
          <t>VSP-601</t>
        </is>
      </c>
      <c r="B421" t="inlineStr">
        <is>
          <t>CHEM-1610</t>
        </is>
      </c>
      <c r="C421" t="n">
        <v>16.85</v>
      </c>
      <c r="D421">
        <f>IFERROR(MATCH($A421,PP_Grid[Intermediate],0),99999)</f>
        <v/>
      </c>
    </row>
    <row r="422">
      <c r="A422" t="inlineStr">
        <is>
          <t>VSP-601</t>
        </is>
      </c>
      <c r="B422" t="inlineStr">
        <is>
          <t>CHEM-1600</t>
        </is>
      </c>
      <c r="C422" t="n">
        <v>16.73</v>
      </c>
      <c r="D422">
        <f>IFERROR(MATCH($A422,PP_Grid[Intermediate],0),99999)</f>
        <v/>
      </c>
    </row>
    <row r="423">
      <c r="A423" t="inlineStr">
        <is>
          <t>VSP-601</t>
        </is>
      </c>
      <c r="B423" t="inlineStr">
        <is>
          <t>CHEM-1260</t>
        </is>
      </c>
      <c r="C423" t="n">
        <v>2.134</v>
      </c>
      <c r="D423">
        <f>IFERROR(MATCH($A423,PP_Grid[Intermediate],0),99999)</f>
        <v/>
      </c>
    </row>
    <row r="424">
      <c r="A424" t="inlineStr">
        <is>
          <t>VSP-601</t>
        </is>
      </c>
      <c r="B424" t="inlineStr">
        <is>
          <t>0JN</t>
        </is>
      </c>
      <c r="C424" t="n">
        <v>8.698</v>
      </c>
      <c r="D424">
        <f>IFERROR(MATCH($A424,PP_Grid[Intermediate],0),99999)</f>
        <v/>
      </c>
    </row>
    <row r="425">
      <c r="A425" t="inlineStr">
        <is>
          <t>VSP-601</t>
        </is>
      </c>
      <c r="B425" t="inlineStr">
        <is>
          <t>CHEM-1420</t>
        </is>
      </c>
      <c r="C425" t="n">
        <v>0.629</v>
      </c>
      <c r="D425">
        <f>IFERROR(MATCH($A425,PP_Grid[Intermediate],0),99999)</f>
        <v/>
      </c>
    </row>
    <row r="426">
      <c r="A426" t="inlineStr">
        <is>
          <t>VSP-602</t>
        </is>
      </c>
      <c r="B426" t="inlineStr">
        <is>
          <t>CHEM-1410</t>
        </is>
      </c>
      <c r="C426" t="n">
        <v>6.183</v>
      </c>
      <c r="D426">
        <f>IFERROR(MATCH($A426,PP_Grid[Intermediate],0),99999)</f>
        <v/>
      </c>
    </row>
    <row r="427">
      <c r="A427" t="inlineStr">
        <is>
          <t>VSP-602</t>
        </is>
      </c>
      <c r="B427" t="inlineStr">
        <is>
          <t>CHEM-1520</t>
        </is>
      </c>
      <c r="C427" t="n">
        <v>43.765</v>
      </c>
      <c r="D427">
        <f>IFERROR(MATCH($A427,PP_Grid[Intermediate],0),99999)</f>
        <v/>
      </c>
    </row>
    <row r="428">
      <c r="A428" t="inlineStr">
        <is>
          <t>VSP-602</t>
        </is>
      </c>
      <c r="B428" t="inlineStr">
        <is>
          <t>CHEM-1530</t>
        </is>
      </c>
      <c r="C428" t="n">
        <v>50.015</v>
      </c>
      <c r="D428">
        <f>IFERROR(MATCH($A428,PP_Grid[Intermediate],0),99999)</f>
        <v/>
      </c>
    </row>
    <row r="429">
      <c r="A429" t="inlineStr">
        <is>
          <t>VSP-602</t>
        </is>
      </c>
      <c r="B429" t="inlineStr">
        <is>
          <t>CHEM-1400</t>
        </is>
      </c>
      <c r="C429" t="n">
        <v>9.074999999999999</v>
      </c>
      <c r="D429">
        <f>IFERROR(MATCH($A429,PP_Grid[Intermediate],0),99999)</f>
        <v/>
      </c>
    </row>
    <row r="430">
      <c r="A430" t="inlineStr">
        <is>
          <t>VSP-602</t>
        </is>
      </c>
      <c r="B430" t="inlineStr">
        <is>
          <t>CHEM-1260</t>
        </is>
      </c>
      <c r="C430" t="n">
        <v>1.232</v>
      </c>
      <c r="D430">
        <f>IFERROR(MATCH($A430,PP_Grid[Intermediate],0),99999)</f>
        <v/>
      </c>
    </row>
    <row r="431">
      <c r="A431" t="inlineStr">
        <is>
          <t>VSP-602</t>
        </is>
      </c>
      <c r="B431" t="inlineStr">
        <is>
          <t>CHEM-1420</t>
        </is>
      </c>
      <c r="C431" t="n">
        <v>1.69</v>
      </c>
      <c r="D431">
        <f>IFERROR(MATCH($A431,PP_Grid[Intermediate],0),99999)</f>
        <v/>
      </c>
    </row>
    <row r="432">
      <c r="A432" t="inlineStr">
        <is>
          <t>VSP-602</t>
        </is>
      </c>
      <c r="B432" t="inlineStr">
        <is>
          <t>CHEM-1440</t>
        </is>
      </c>
      <c r="C432" t="n">
        <v>1.267</v>
      </c>
      <c r="D432">
        <f>IFERROR(MATCH($A432,PP_Grid[Intermediate],0),99999)</f>
        <v/>
      </c>
    </row>
    <row r="433">
      <c r="A433" t="inlineStr">
        <is>
          <t>VSP-602</t>
        </is>
      </c>
      <c r="B433" t="inlineStr">
        <is>
          <t>CHEM-1650</t>
        </is>
      </c>
      <c r="C433" t="n">
        <v>0.042</v>
      </c>
      <c r="D433">
        <f>IFERROR(MATCH($A433,PP_Grid[Intermediate],0),99999)</f>
        <v/>
      </c>
    </row>
    <row r="434">
      <c r="A434" t="inlineStr">
        <is>
          <t>VSP-603</t>
        </is>
      </c>
      <c r="B434" t="inlineStr">
        <is>
          <t>CHEM-1410</t>
        </is>
      </c>
      <c r="C434" t="n">
        <v>22.589</v>
      </c>
      <c r="D434">
        <f>IFERROR(MATCH($A434,PP_Grid[Intermediate],0),99999)</f>
        <v/>
      </c>
    </row>
    <row r="435">
      <c r="A435" t="inlineStr">
        <is>
          <t>VSP-603</t>
        </is>
      </c>
      <c r="B435" t="inlineStr">
        <is>
          <t>CHEM-1400</t>
        </is>
      </c>
      <c r="C435" t="n">
        <v>5.5259</v>
      </c>
      <c r="D435">
        <f>IFERROR(MATCH($A435,PP_Grid[Intermediate],0),99999)</f>
        <v/>
      </c>
    </row>
    <row r="436">
      <c r="A436" t="inlineStr">
        <is>
          <t>VSP-603</t>
        </is>
      </c>
      <c r="B436" t="inlineStr">
        <is>
          <t>CHEM-1610</t>
        </is>
      </c>
      <c r="C436" t="n">
        <v>53.8976</v>
      </c>
      <c r="D436">
        <f>IFERROR(MATCH($A436,PP_Grid[Intermediate],0),99999)</f>
        <v/>
      </c>
    </row>
    <row r="437">
      <c r="A437" t="inlineStr">
        <is>
          <t>VSP-603</t>
        </is>
      </c>
      <c r="B437" t="inlineStr">
        <is>
          <t>CHEM-1600</t>
        </is>
      </c>
      <c r="C437" t="n">
        <v>11.4671</v>
      </c>
      <c r="D437">
        <f>IFERROR(MATCH($A437,PP_Grid[Intermediate],0),99999)</f>
        <v/>
      </c>
    </row>
    <row r="438">
      <c r="A438" t="inlineStr">
        <is>
          <t>VSP-603</t>
        </is>
      </c>
      <c r="B438" t="inlineStr">
        <is>
          <t>CHEM-1260</t>
        </is>
      </c>
      <c r="C438" t="n">
        <v>0.9</v>
      </c>
      <c r="D438">
        <f>IFERROR(MATCH($A438,PP_Grid[Intermediate],0),99999)</f>
        <v/>
      </c>
    </row>
    <row r="439">
      <c r="A439" t="inlineStr">
        <is>
          <t>VSP-603</t>
        </is>
      </c>
      <c r="B439" t="inlineStr">
        <is>
          <t>0JN</t>
        </is>
      </c>
      <c r="C439" t="n">
        <v>2.6495</v>
      </c>
      <c r="D439">
        <f>IFERROR(MATCH($A439,PP_Grid[Intermediate],0),99999)</f>
        <v/>
      </c>
    </row>
    <row r="440">
      <c r="A440" t="inlineStr">
        <is>
          <t>VSP-603</t>
        </is>
      </c>
      <c r="B440" t="inlineStr">
        <is>
          <t>CHEM-1420</t>
        </is>
      </c>
      <c r="C440" t="n">
        <v>0.592</v>
      </c>
      <c r="D440">
        <f>IFERROR(MATCH($A440,PP_Grid[Intermediate],0),99999)</f>
        <v/>
      </c>
    </row>
    <row r="441">
      <c r="A441" t="inlineStr">
        <is>
          <t>VSP-603</t>
        </is>
      </c>
      <c r="B441" t="inlineStr">
        <is>
          <t>CHEM-1440</t>
        </is>
      </c>
      <c r="C441" t="n">
        <v>0.546</v>
      </c>
      <c r="D441">
        <f>IFERROR(MATCH($A441,PP_Grid[Intermediate],0),99999)</f>
        <v/>
      </c>
    </row>
    <row r="442">
      <c r="A442" t="inlineStr">
        <is>
          <t>VSP-604</t>
        </is>
      </c>
      <c r="B442" t="inlineStr">
        <is>
          <t>CHEM-1410</t>
        </is>
      </c>
      <c r="C442" t="n">
        <v>44.851</v>
      </c>
      <c r="D442">
        <f>IFERROR(MATCH($A442,PP_Grid[Intermediate],0),99999)</f>
        <v/>
      </c>
    </row>
    <row r="443">
      <c r="A443" t="inlineStr">
        <is>
          <t>VSP-604</t>
        </is>
      </c>
      <c r="B443" t="inlineStr">
        <is>
          <t>CHEM-1400</t>
        </is>
      </c>
      <c r="C443" t="n">
        <v>4.389</v>
      </c>
      <c r="D443">
        <f>IFERROR(MATCH($A443,PP_Grid[Intermediate],0),99999)</f>
        <v/>
      </c>
    </row>
    <row r="444">
      <c r="A444" t="inlineStr">
        <is>
          <t>VSP-604</t>
        </is>
      </c>
      <c r="B444" t="inlineStr">
        <is>
          <t>CHEM-1610</t>
        </is>
      </c>
      <c r="C444" t="n">
        <v>11.466</v>
      </c>
      <c r="D444">
        <f>IFERROR(MATCH($A444,PP_Grid[Intermediate],0),99999)</f>
        <v/>
      </c>
    </row>
    <row r="445">
      <c r="A445" t="inlineStr">
        <is>
          <t>VSP-604</t>
        </is>
      </c>
      <c r="B445" t="inlineStr">
        <is>
          <t>CHEM-1600</t>
        </is>
      </c>
      <c r="C445" t="n">
        <v>11.384</v>
      </c>
      <c r="D445">
        <f>IFERROR(MATCH($A445,PP_Grid[Intermediate],0),99999)</f>
        <v/>
      </c>
    </row>
    <row r="446">
      <c r="A446" t="inlineStr">
        <is>
          <t>VSP-604</t>
        </is>
      </c>
      <c r="B446" t="inlineStr">
        <is>
          <t>CHEM-1260</t>
        </is>
      </c>
      <c r="C446" t="n">
        <v>0.357</v>
      </c>
      <c r="D446">
        <f>IFERROR(MATCH($A446,PP_Grid[Intermediate],0),99999)</f>
        <v/>
      </c>
    </row>
    <row r="447">
      <c r="A447" t="inlineStr">
        <is>
          <t>VSP-604</t>
        </is>
      </c>
      <c r="B447" t="inlineStr">
        <is>
          <t>0JN</t>
        </is>
      </c>
      <c r="C447" t="n">
        <v>1.65731</v>
      </c>
      <c r="D447">
        <f>IFERROR(MATCH($A447,PP_Grid[Intermediate],0),99999)</f>
        <v/>
      </c>
    </row>
    <row r="448">
      <c r="A448" t="inlineStr">
        <is>
          <t>VSP-604</t>
        </is>
      </c>
      <c r="B448" t="inlineStr">
        <is>
          <t>CHEM-1420</t>
        </is>
      </c>
      <c r="C448" t="n">
        <v>1.005</v>
      </c>
      <c r="D448">
        <f>IFERROR(MATCH($A448,PP_Grid[Intermediate],0),99999)</f>
        <v/>
      </c>
    </row>
    <row r="449">
      <c r="A449" t="inlineStr">
        <is>
          <t>VSP-605</t>
        </is>
      </c>
      <c r="B449" t="inlineStr">
        <is>
          <t>CHEM-1410</t>
        </is>
      </c>
      <c r="C449" t="n">
        <v>50.5726</v>
      </c>
      <c r="D449">
        <f>IFERROR(MATCH($A449,PP_Grid[Intermediate],0),99999)</f>
        <v/>
      </c>
    </row>
    <row r="450">
      <c r="A450" t="inlineStr">
        <is>
          <t>VSP-605</t>
        </is>
      </c>
      <c r="B450" t="inlineStr">
        <is>
          <t>CHEM-1530</t>
        </is>
      </c>
      <c r="C450" t="n">
        <v>51.715</v>
      </c>
      <c r="D450">
        <f>IFERROR(MATCH($A450,PP_Grid[Intermediate],0),99999)</f>
        <v/>
      </c>
    </row>
    <row r="451">
      <c r="A451" t="inlineStr">
        <is>
          <t>VSP-605</t>
        </is>
      </c>
      <c r="B451" t="inlineStr">
        <is>
          <t>CHEM-1400</t>
        </is>
      </c>
      <c r="C451" t="n">
        <v>9.897</v>
      </c>
      <c r="D451">
        <f>IFERROR(MATCH($A451,PP_Grid[Intermediate],0),99999)</f>
        <v/>
      </c>
    </row>
    <row r="452">
      <c r="A452" t="inlineStr">
        <is>
          <t>VSP-605</t>
        </is>
      </c>
      <c r="B452" t="inlineStr">
        <is>
          <t>CHEM-1260</t>
        </is>
      </c>
      <c r="C452" t="n">
        <v>1.091</v>
      </c>
      <c r="D452">
        <f>IFERROR(MATCH($A452,PP_Grid[Intermediate],0),99999)</f>
        <v/>
      </c>
    </row>
    <row r="453">
      <c r="A453" t="inlineStr">
        <is>
          <t>VSP-605</t>
        </is>
      </c>
      <c r="B453" t="inlineStr">
        <is>
          <t>CHEM-1420</t>
        </is>
      </c>
      <c r="C453" t="n">
        <v>2.604</v>
      </c>
      <c r="D453">
        <f>IFERROR(MATCH($A453,PP_Grid[Intermediate],0),99999)</f>
        <v/>
      </c>
    </row>
    <row r="454">
      <c r="A454" t="inlineStr">
        <is>
          <t>VSP-605</t>
        </is>
      </c>
      <c r="B454" t="inlineStr">
        <is>
          <t>CHEM-1440</t>
        </is>
      </c>
      <c r="C454" t="n">
        <v>1.41</v>
      </c>
      <c r="D454">
        <f>IFERROR(MATCH($A454,PP_Grid[Intermediate],0),99999)</f>
        <v/>
      </c>
    </row>
    <row r="455">
      <c r="A455" t="inlineStr">
        <is>
          <t>VSP-605</t>
        </is>
      </c>
      <c r="B455" t="inlineStr">
        <is>
          <t>CHEM-1650</t>
        </is>
      </c>
      <c r="C455" t="n">
        <v>0.042</v>
      </c>
      <c r="D455">
        <f>IFERROR(MATCH($A455,PP_Grid[Intermediate],0),99999)</f>
        <v/>
      </c>
    </row>
    <row r="456">
      <c r="A456" t="inlineStr">
        <is>
          <t>VSP-606</t>
        </is>
      </c>
      <c r="B456" t="inlineStr">
        <is>
          <t>CHEM-1410</t>
        </is>
      </c>
      <c r="C456" t="n">
        <v>65.203</v>
      </c>
      <c r="D456">
        <f>IFERROR(MATCH($A456,PP_Grid[Intermediate],0),99999)</f>
        <v/>
      </c>
    </row>
    <row r="457">
      <c r="A457" t="inlineStr">
        <is>
          <t>VSP-606</t>
        </is>
      </c>
      <c r="B457" t="inlineStr">
        <is>
          <t>CHEM-1400</t>
        </is>
      </c>
      <c r="C457" t="n">
        <v>7.973</v>
      </c>
      <c r="D457">
        <f>IFERROR(MATCH($A457,PP_Grid[Intermediate],0),99999)</f>
        <v/>
      </c>
    </row>
    <row r="458">
      <c r="A458" t="inlineStr">
        <is>
          <t>VSP-606</t>
        </is>
      </c>
      <c r="B458" t="inlineStr">
        <is>
          <t>CHEM-1610</t>
        </is>
      </c>
      <c r="C458" t="n">
        <v>66.6756</v>
      </c>
      <c r="D458">
        <f>IFERROR(MATCH($A458,PP_Grid[Intermediate],0),99999)</f>
        <v/>
      </c>
    </row>
    <row r="459">
      <c r="A459" t="inlineStr">
        <is>
          <t>VSP-606</t>
        </is>
      </c>
      <c r="B459" t="inlineStr">
        <is>
          <t>CHEM-1600</t>
        </is>
      </c>
      <c r="C459" t="n">
        <v>22.023</v>
      </c>
      <c r="D459">
        <f>IFERROR(MATCH($A459,PP_Grid[Intermediate],0),99999)</f>
        <v/>
      </c>
    </row>
    <row r="460">
      <c r="A460" t="inlineStr">
        <is>
          <t>VSP-606</t>
        </is>
      </c>
      <c r="B460" t="inlineStr">
        <is>
          <t>CHEM-1260</t>
        </is>
      </c>
      <c r="C460" t="n">
        <v>1.534</v>
      </c>
      <c r="D460">
        <f>IFERROR(MATCH($A460,PP_Grid[Intermediate],0),99999)</f>
        <v/>
      </c>
    </row>
    <row r="461">
      <c r="A461" t="inlineStr">
        <is>
          <t>VSP-606</t>
        </is>
      </c>
      <c r="B461" t="inlineStr">
        <is>
          <t>0JN</t>
        </is>
      </c>
      <c r="C461" t="n">
        <v>1.77</v>
      </c>
      <c r="D461">
        <f>IFERROR(MATCH($A461,PP_Grid[Intermediate],0),99999)</f>
        <v/>
      </c>
    </row>
    <row r="462">
      <c r="A462" t="inlineStr">
        <is>
          <t>VSP-606</t>
        </is>
      </c>
      <c r="B462" t="inlineStr">
        <is>
          <t>CHEM-1420</t>
        </is>
      </c>
      <c r="C462" t="n">
        <v>0.711</v>
      </c>
      <c r="D462">
        <f>IFERROR(MATCH($A462,PP_Grid[Intermediate],0),99999)</f>
        <v/>
      </c>
    </row>
    <row r="463">
      <c r="A463" t="inlineStr">
        <is>
          <t>VSP-606</t>
        </is>
      </c>
      <c r="B463" t="inlineStr">
        <is>
          <t>CHEM-1440</t>
        </is>
      </c>
      <c r="C463" t="n">
        <v>0.868</v>
      </c>
      <c r="D463">
        <f>IFERROR(MATCH($A463,PP_Grid[Intermediate],0),99999)</f>
        <v/>
      </c>
    </row>
    <row r="464">
      <c r="A464" t="inlineStr">
        <is>
          <t>VSP-607</t>
        </is>
      </c>
      <c r="B464" t="inlineStr">
        <is>
          <t>CHEM-1410</t>
        </is>
      </c>
      <c r="C464" t="n">
        <v>62.9163</v>
      </c>
      <c r="D464">
        <f>IFERROR(MATCH($A464,PP_Grid[Intermediate],0),99999)</f>
        <v/>
      </c>
    </row>
    <row r="465">
      <c r="A465" t="inlineStr">
        <is>
          <t>VSP-607</t>
        </is>
      </c>
      <c r="B465" t="inlineStr">
        <is>
          <t>CHEM-1530</t>
        </is>
      </c>
      <c r="C465" t="n">
        <v>63.619</v>
      </c>
      <c r="D465">
        <f>IFERROR(MATCH($A465,PP_Grid[Intermediate],0),99999)</f>
        <v/>
      </c>
    </row>
    <row r="466">
      <c r="A466" t="inlineStr">
        <is>
          <t>VSP-607</t>
        </is>
      </c>
      <c r="B466" t="inlineStr">
        <is>
          <t>CHEM-1400</t>
        </is>
      </c>
      <c r="C466" t="n">
        <v>5.27</v>
      </c>
      <c r="D466">
        <f>IFERROR(MATCH($A466,PP_Grid[Intermediate],0),99999)</f>
        <v/>
      </c>
    </row>
    <row r="467">
      <c r="A467" t="inlineStr">
        <is>
          <t>VSP-607</t>
        </is>
      </c>
      <c r="B467" t="inlineStr">
        <is>
          <t>CHEM-1600</t>
        </is>
      </c>
      <c r="C467" t="n">
        <v>12.806</v>
      </c>
      <c r="D467">
        <f>IFERROR(MATCH($A467,PP_Grid[Intermediate],0),99999)</f>
        <v/>
      </c>
    </row>
    <row r="468">
      <c r="A468" t="inlineStr">
        <is>
          <t>VSP-607</t>
        </is>
      </c>
      <c r="B468" t="inlineStr">
        <is>
          <t>CHEM-1260</t>
        </is>
      </c>
      <c r="C468" t="n">
        <v>1.921</v>
      </c>
      <c r="D468">
        <f>IFERROR(MATCH($A468,PP_Grid[Intermediate],0),99999)</f>
        <v/>
      </c>
    </row>
    <row r="469">
      <c r="A469" t="inlineStr">
        <is>
          <t>VSP-607</t>
        </is>
      </c>
      <c r="B469" t="inlineStr">
        <is>
          <t>0JN</t>
        </is>
      </c>
      <c r="C469" t="n">
        <v>15.26</v>
      </c>
      <c r="D469">
        <f>IFERROR(MATCH($A469,PP_Grid[Intermediate],0),99999)</f>
        <v/>
      </c>
    </row>
    <row r="470">
      <c r="A470" t="inlineStr">
        <is>
          <t>VSP-607</t>
        </is>
      </c>
      <c r="B470" t="inlineStr">
        <is>
          <t>CHEM-1420</t>
        </is>
      </c>
      <c r="C470" t="n">
        <v>2.131</v>
      </c>
      <c r="D470">
        <f>IFERROR(MATCH($A470,PP_Grid[Intermediate],0),99999)</f>
        <v/>
      </c>
    </row>
    <row r="471">
      <c r="A471" t="inlineStr">
        <is>
          <t>VSP-607</t>
        </is>
      </c>
      <c r="B471" t="inlineStr">
        <is>
          <t>CHEM-1440</t>
        </is>
      </c>
      <c r="C471" t="n">
        <v>0.569</v>
      </c>
      <c r="D471">
        <f>IFERROR(MATCH($A471,PP_Grid[Intermediate],0),99999)</f>
        <v/>
      </c>
    </row>
    <row r="472">
      <c r="A472" t="inlineStr">
        <is>
          <t>VSP-607</t>
        </is>
      </c>
      <c r="B472" t="inlineStr">
        <is>
          <t>CHEM-1650</t>
        </is>
      </c>
      <c r="C472" t="n">
        <v>0.056</v>
      </c>
      <c r="D472">
        <f>IFERROR(MATCH($A472,PP_Grid[Intermediate],0),99999)</f>
        <v/>
      </c>
    </row>
    <row r="473">
      <c r="A473" t="inlineStr">
        <is>
          <t>VSP-738</t>
        </is>
      </c>
      <c r="B473" t="inlineStr">
        <is>
          <t>CHEM-1410</t>
        </is>
      </c>
      <c r="C473" t="n">
        <v>24.69</v>
      </c>
      <c r="D473">
        <f>IFERROR(MATCH($A473,PP_Grid[Intermediate],0),99999)</f>
        <v/>
      </c>
    </row>
    <row r="474">
      <c r="A474" t="inlineStr">
        <is>
          <t>VSP-738</t>
        </is>
      </c>
      <c r="B474" t="inlineStr">
        <is>
          <t>CHEM-1400</t>
        </is>
      </c>
      <c r="C474" t="n">
        <v>4.548</v>
      </c>
      <c r="D474">
        <f>IFERROR(MATCH($A474,PP_Grid[Intermediate],0),99999)</f>
        <v/>
      </c>
    </row>
    <row r="475">
      <c r="A475" t="inlineStr">
        <is>
          <t>VSP-738</t>
        </is>
      </c>
      <c r="B475" t="inlineStr">
        <is>
          <t>CHEM-1610</t>
        </is>
      </c>
      <c r="C475" t="n">
        <v>44.3599</v>
      </c>
      <c r="D475">
        <f>IFERROR(MATCH($A475,PP_Grid[Intermediate],0),99999)</f>
        <v/>
      </c>
    </row>
    <row r="476">
      <c r="A476" t="inlineStr">
        <is>
          <t>VSP-738</t>
        </is>
      </c>
      <c r="B476" t="inlineStr">
        <is>
          <t>CHEM-1600</t>
        </is>
      </c>
      <c r="C476" t="n">
        <v>12.584</v>
      </c>
      <c r="D476">
        <f>IFERROR(MATCH($A476,PP_Grid[Intermediate],0),99999)</f>
        <v/>
      </c>
    </row>
    <row r="477">
      <c r="A477" t="inlineStr">
        <is>
          <t>VSP-738</t>
        </is>
      </c>
      <c r="B477" t="inlineStr">
        <is>
          <t>CHEM-1260</t>
        </is>
      </c>
      <c r="C477" t="n">
        <v>0.926</v>
      </c>
      <c r="D477">
        <f>IFERROR(MATCH($A477,PP_Grid[Intermediate],0),99999)</f>
        <v/>
      </c>
    </row>
    <row r="478">
      <c r="A478" t="inlineStr">
        <is>
          <t>VSP-738</t>
        </is>
      </c>
      <c r="B478" t="inlineStr">
        <is>
          <t>0JN</t>
        </is>
      </c>
      <c r="C478" t="n">
        <v>0.8993</v>
      </c>
      <c r="D478">
        <f>IFERROR(MATCH($A478,PP_Grid[Intermediate],0),99999)</f>
        <v/>
      </c>
    </row>
    <row r="479">
      <c r="A479" t="inlineStr">
        <is>
          <t>VSP-738</t>
        </is>
      </c>
      <c r="B479" t="inlineStr">
        <is>
          <t>CHEM-1420</t>
        </is>
      </c>
      <c r="C479" t="n">
        <v>0.338</v>
      </c>
      <c r="D479">
        <f>IFERROR(MATCH($A479,PP_Grid[Intermediate],0),99999)</f>
        <v/>
      </c>
    </row>
    <row r="480">
      <c r="A480" t="inlineStr">
        <is>
          <t>VSP-738</t>
        </is>
      </c>
      <c r="B480" t="inlineStr">
        <is>
          <t>CHEM-1650</t>
        </is>
      </c>
      <c r="C480" t="n">
        <v>0.034</v>
      </c>
      <c r="D480">
        <f>IFERROR(MATCH($A480,PP_Grid[Intermediate],0),99999)</f>
        <v/>
      </c>
    </row>
    <row r="481">
      <c r="A481" t="inlineStr">
        <is>
          <t>VSP-739</t>
        </is>
      </c>
      <c r="B481" t="inlineStr">
        <is>
          <t>CHEM-1410</t>
        </is>
      </c>
      <c r="C481" t="n">
        <v>49.4387</v>
      </c>
      <c r="D481">
        <f>IFERROR(MATCH($A481,PP_Grid[Intermediate],0),99999)</f>
        <v/>
      </c>
    </row>
    <row r="482">
      <c r="A482" t="inlineStr">
        <is>
          <t>VSP-739</t>
        </is>
      </c>
      <c r="B482" t="inlineStr">
        <is>
          <t>CHEM-1400</t>
        </is>
      </c>
      <c r="C482" t="n">
        <v>4.535</v>
      </c>
      <c r="D482">
        <f>IFERROR(MATCH($A482,PP_Grid[Intermediate],0),99999)</f>
        <v/>
      </c>
    </row>
    <row r="483">
      <c r="A483" t="inlineStr">
        <is>
          <t>VSP-739</t>
        </is>
      </c>
      <c r="B483" t="inlineStr">
        <is>
          <t>CHEM-1610</t>
        </is>
      </c>
      <c r="C483" t="n">
        <v>12.639</v>
      </c>
      <c r="D483">
        <f>IFERROR(MATCH($A483,PP_Grid[Intermediate],0),99999)</f>
        <v/>
      </c>
    </row>
    <row r="484">
      <c r="A484" t="inlineStr">
        <is>
          <t>VSP-739</t>
        </is>
      </c>
      <c r="B484" t="inlineStr">
        <is>
          <t>CHEM-1600</t>
        </is>
      </c>
      <c r="C484" t="n">
        <v>12.549</v>
      </c>
      <c r="D484">
        <f>IFERROR(MATCH($A484,PP_Grid[Intermediate],0),99999)</f>
        <v/>
      </c>
    </row>
    <row r="485">
      <c r="A485" t="inlineStr">
        <is>
          <t>VSP-739</t>
        </is>
      </c>
      <c r="B485" t="inlineStr">
        <is>
          <t>CHEM-1260</t>
        </is>
      </c>
      <c r="C485" t="n">
        <v>0.862</v>
      </c>
      <c r="D485">
        <f>IFERROR(MATCH($A485,PP_Grid[Intermediate],0),99999)</f>
        <v/>
      </c>
    </row>
    <row r="486">
      <c r="A486" t="inlineStr">
        <is>
          <t>VSP-739</t>
        </is>
      </c>
      <c r="B486" t="inlineStr">
        <is>
          <t>CHEM-1510</t>
        </is>
      </c>
      <c r="C486" t="n">
        <v>4.001</v>
      </c>
      <c r="D486">
        <f>IFERROR(MATCH($A486,PP_Grid[Intermediate],0),99999)</f>
        <v/>
      </c>
    </row>
    <row r="487">
      <c r="A487" t="inlineStr">
        <is>
          <t>VSP-739</t>
        </is>
      </c>
      <c r="B487" t="inlineStr">
        <is>
          <t>0JN</t>
        </is>
      </c>
      <c r="C487" t="n">
        <v>2.6904</v>
      </c>
      <c r="D487">
        <f>IFERROR(MATCH($A487,PP_Grid[Intermediate],0),99999)</f>
        <v/>
      </c>
    </row>
    <row r="488">
      <c r="A488" t="inlineStr">
        <is>
          <t>VSP-739</t>
        </is>
      </c>
      <c r="B488" t="inlineStr">
        <is>
          <t>CHEM-1420</t>
        </is>
      </c>
      <c r="C488" t="n">
        <v>0.339</v>
      </c>
      <c r="D488">
        <f>IFERROR(MATCH($A488,PP_Grid[Intermediate],0),99999)</f>
        <v/>
      </c>
    </row>
    <row r="489">
      <c r="A489" t="inlineStr">
        <is>
          <t>VSP-739</t>
        </is>
      </c>
      <c r="B489" t="inlineStr">
        <is>
          <t>CHEM-1440</t>
        </is>
      </c>
      <c r="C489" t="n">
        <v>0.16</v>
      </c>
      <c r="D489">
        <f>IFERROR(MATCH($A489,PP_Grid[Intermediate],0),99999)</f>
        <v/>
      </c>
    </row>
    <row r="490">
      <c r="A490" t="inlineStr">
        <is>
          <t>VSP-740</t>
        </is>
      </c>
      <c r="B490" t="inlineStr">
        <is>
          <t>CHEM-1410</t>
        </is>
      </c>
      <c r="C490" t="n">
        <v>3.675</v>
      </c>
      <c r="D490">
        <f>IFERROR(MATCH($A490,PP_Grid[Intermediate],0),99999)</f>
        <v/>
      </c>
    </row>
    <row r="491">
      <c r="A491" t="inlineStr">
        <is>
          <t>VSP-740</t>
        </is>
      </c>
      <c r="B491" t="inlineStr">
        <is>
          <t>CHEM-1520</t>
        </is>
      </c>
      <c r="C491" t="n">
        <v>25.702</v>
      </c>
      <c r="D491">
        <f>IFERROR(MATCH($A491,PP_Grid[Intermediate],0),99999)</f>
        <v/>
      </c>
    </row>
    <row r="492">
      <c r="A492" t="inlineStr">
        <is>
          <t>VSP-740</t>
        </is>
      </c>
      <c r="B492" t="inlineStr">
        <is>
          <t>CHEM-1530</t>
        </is>
      </c>
      <c r="C492" t="n">
        <v>29.732</v>
      </c>
      <c r="D492">
        <f>IFERROR(MATCH($A492,PP_Grid[Intermediate],0),99999)</f>
        <v/>
      </c>
    </row>
    <row r="493">
      <c r="A493" t="inlineStr">
        <is>
          <t>VSP-740</t>
        </is>
      </c>
      <c r="B493" t="inlineStr">
        <is>
          <t>CHEM-1400</t>
        </is>
      </c>
      <c r="C493" t="n">
        <v>5.395</v>
      </c>
      <c r="D493">
        <f>IFERROR(MATCH($A493,PP_Grid[Intermediate],0),99999)</f>
        <v/>
      </c>
    </row>
    <row r="494">
      <c r="A494" t="inlineStr">
        <is>
          <t>VSP-740</t>
        </is>
      </c>
      <c r="B494" t="inlineStr">
        <is>
          <t>CHEM-1260</t>
        </is>
      </c>
      <c r="C494" t="n">
        <v>0.417</v>
      </c>
      <c r="D494">
        <f>IFERROR(MATCH($A494,PP_Grid[Intermediate],0),99999)</f>
        <v/>
      </c>
    </row>
    <row r="495">
      <c r="A495" t="inlineStr">
        <is>
          <t>VSP-740</t>
        </is>
      </c>
      <c r="B495" t="inlineStr">
        <is>
          <t>CHEM-1420</t>
        </is>
      </c>
      <c r="C495" t="n">
        <v>0.879</v>
      </c>
      <c r="D495">
        <f>IFERROR(MATCH($A495,PP_Grid[Intermediate],0),99999)</f>
        <v/>
      </c>
    </row>
    <row r="496">
      <c r="A496" t="inlineStr">
        <is>
          <t>VSP-740</t>
        </is>
      </c>
      <c r="B496" t="inlineStr">
        <is>
          <t>CHEM-1440</t>
        </is>
      </c>
      <c r="C496" t="n">
        <v>0.754</v>
      </c>
      <c r="D496">
        <f>IFERROR(MATCH($A496,PP_Grid[Intermediate],0),99999)</f>
        <v/>
      </c>
    </row>
    <row r="497">
      <c r="A497" t="inlineStr">
        <is>
          <t>VSP-740</t>
        </is>
      </c>
      <c r="B497" t="inlineStr">
        <is>
          <t>CHEM-1650</t>
        </is>
      </c>
      <c r="C497" t="n">
        <v>0.025</v>
      </c>
      <c r="D497">
        <f>IFERROR(MATCH($A497,PP_Grid[Intermediate],0),99999)</f>
        <v/>
      </c>
    </row>
    <row r="498">
      <c r="A498" t="inlineStr">
        <is>
          <t>VSP-746</t>
        </is>
      </c>
      <c r="B498" t="inlineStr">
        <is>
          <t>CHEM-1410</t>
        </is>
      </c>
      <c r="C498" t="n">
        <v>34.6732</v>
      </c>
      <c r="D498">
        <f>IFERROR(MATCH($A498,PP_Grid[Intermediate],0),99999)</f>
        <v/>
      </c>
    </row>
    <row r="499">
      <c r="A499" t="inlineStr">
        <is>
          <t>VSP-746</t>
        </is>
      </c>
      <c r="B499" t="inlineStr">
        <is>
          <t>CHEM-1530</t>
        </is>
      </c>
      <c r="C499" t="n">
        <v>0.701</v>
      </c>
      <c r="D499">
        <f>IFERROR(MATCH($A499,PP_Grid[Intermediate],0),99999)</f>
        <v/>
      </c>
    </row>
    <row r="500">
      <c r="A500" t="inlineStr">
        <is>
          <t>VSP-746</t>
        </is>
      </c>
      <c r="B500" t="inlineStr">
        <is>
          <t>CHEM-1400</t>
        </is>
      </c>
      <c r="C500" t="n">
        <v>3.678</v>
      </c>
      <c r="D500">
        <f>IFERROR(MATCH($A500,PP_Grid[Intermediate],0),99999)</f>
        <v/>
      </c>
    </row>
    <row r="501">
      <c r="A501" t="inlineStr">
        <is>
          <t>VSP-746</t>
        </is>
      </c>
      <c r="B501" t="inlineStr">
        <is>
          <t>CHEM-1260</t>
        </is>
      </c>
      <c r="C501" t="n">
        <v>1.48</v>
      </c>
      <c r="D501">
        <f>IFERROR(MATCH($A501,PP_Grid[Intermediate],0),99999)</f>
        <v/>
      </c>
    </row>
    <row r="502">
      <c r="A502" t="inlineStr">
        <is>
          <t>VSP-746</t>
        </is>
      </c>
      <c r="B502" t="inlineStr">
        <is>
          <t>CHEM-1420</t>
        </is>
      </c>
      <c r="C502" t="n">
        <v>0.904</v>
      </c>
      <c r="D502">
        <f>IFERROR(MATCH($A502,PP_Grid[Intermediate],0),99999)</f>
        <v/>
      </c>
    </row>
    <row r="503">
      <c r="A503" t="inlineStr">
        <is>
          <t>VSP-746</t>
        </is>
      </c>
      <c r="B503" t="inlineStr">
        <is>
          <t>CHEM-1440</t>
        </is>
      </c>
      <c r="C503" t="n">
        <v>0.526</v>
      </c>
      <c r="D503">
        <f>IFERROR(MATCH($A503,PP_Grid[Intermediate],0),99999)</f>
        <v/>
      </c>
    </row>
    <row r="504">
      <c r="A504" t="inlineStr">
        <is>
          <t>VSP-746</t>
        </is>
      </c>
      <c r="B504" t="inlineStr">
        <is>
          <t>CHEM-1650</t>
        </is>
      </c>
      <c r="C504" t="n">
        <v>0.042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CHEM-1410</t>
        </is>
      </c>
      <c r="C505" t="n">
        <v>44.459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CHEM-1400</t>
        </is>
      </c>
      <c r="C506" t="n">
        <v>3.625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CHEM-1610</t>
        </is>
      </c>
      <c r="C507" t="n">
        <v>66.5076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CHEM-1600</t>
        </is>
      </c>
      <c r="C508" t="n">
        <v>20.069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CHEM-1510</t>
        </is>
      </c>
      <c r="C509" t="n">
        <v>6.79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0JN</t>
        </is>
      </c>
      <c r="C510" t="n">
        <v>3.4746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CHEM-1420</t>
        </is>
      </c>
      <c r="C511" t="n">
        <v>0.541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CHEM-1660</t>
        </is>
      </c>
      <c r="C512" t="n">
        <v>1.378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CHEM-1410</t>
        </is>
      </c>
      <c r="C513" t="n">
        <v>55.053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CHEM-1530</t>
        </is>
      </c>
      <c r="C514" t="n">
        <v>55.6681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CHEM-1400</t>
        </is>
      </c>
      <c r="C515" t="n">
        <v>5.05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CHEM-1260</t>
        </is>
      </c>
      <c r="C516" t="n">
        <v>2.742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CHEM-1420</t>
        </is>
      </c>
      <c r="C517" t="n">
        <v>1.707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CHEM-1440</t>
        </is>
      </c>
      <c r="C518" t="n">
        <v>1.028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0.041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1.094</v>
      </c>
      <c r="D520">
        <f>IFERROR(MATCH($A520,PP_Grid[Intermediate],0),99999)</f>
        <v/>
      </c>
    </row>
    <row r="521">
      <c r="A521" t="inlineStr">
        <is>
          <t>VSP-869</t>
        </is>
      </c>
      <c r="B521" t="inlineStr">
        <is>
          <t>CHEM-1410</t>
        </is>
      </c>
      <c r="C521" t="n">
        <v>94.6318</v>
      </c>
      <c r="D521">
        <f>IFERROR(MATCH($A521,PP_Grid[Intermediate],0),99999)</f>
        <v/>
      </c>
    </row>
    <row r="522">
      <c r="A522" t="inlineStr">
        <is>
          <t>VSP-869</t>
        </is>
      </c>
      <c r="B522" t="inlineStr">
        <is>
          <t>CHEM-1400</t>
        </is>
      </c>
      <c r="C522" t="n">
        <v>3.544</v>
      </c>
      <c r="D522">
        <f>IFERROR(MATCH($A522,PP_Grid[Intermediate],0),99999)</f>
        <v/>
      </c>
    </row>
    <row r="523">
      <c r="A523" t="inlineStr">
        <is>
          <t>VSP-869</t>
        </is>
      </c>
      <c r="B523" t="inlineStr">
        <is>
          <t>CHEM-1610</t>
        </is>
      </c>
      <c r="C523" t="n">
        <v>94.6318</v>
      </c>
      <c r="D523">
        <f>IFERROR(MATCH($A523,PP_Grid[Intermediate],0),99999)</f>
        <v/>
      </c>
    </row>
    <row r="524">
      <c r="A524" t="inlineStr">
        <is>
          <t>VSP-869</t>
        </is>
      </c>
      <c r="B524" t="inlineStr">
        <is>
          <t>CHEM-1600</t>
        </is>
      </c>
      <c r="C524" t="n">
        <v>17.539</v>
      </c>
      <c r="D524">
        <f>IFERROR(MATCH($A524,PP_Grid[Intermediate],0),99999)</f>
        <v/>
      </c>
    </row>
    <row r="525">
      <c r="A525" t="inlineStr">
        <is>
          <t>VSP-869</t>
        </is>
      </c>
      <c r="B525" t="inlineStr">
        <is>
          <t>CHEM-1510</t>
        </is>
      </c>
      <c r="C525" t="n">
        <v>7.476</v>
      </c>
      <c r="D525">
        <f>IFERROR(MATCH($A525,PP_Grid[Intermediate],0),99999)</f>
        <v/>
      </c>
    </row>
    <row r="526">
      <c r="A526" t="inlineStr">
        <is>
          <t>VSP-869</t>
        </is>
      </c>
      <c r="B526" t="inlineStr">
        <is>
          <t>0JN</t>
        </is>
      </c>
      <c r="C526" t="n">
        <v>3.58958</v>
      </c>
      <c r="D526">
        <f>IFERROR(MATCH($A526,PP_Grid[Intermediate],0),99999)</f>
        <v/>
      </c>
    </row>
    <row r="527">
      <c r="A527" t="inlineStr">
        <is>
          <t>VSP-869</t>
        </is>
      </c>
      <c r="B527" t="inlineStr">
        <is>
          <t>CHEM-1420</t>
        </is>
      </c>
      <c r="C527" t="n">
        <v>0.533</v>
      </c>
      <c r="D527">
        <f>IFERROR(MATCH($A527,PP_Grid[Intermediate],0),99999)</f>
        <v/>
      </c>
    </row>
    <row r="528">
      <c r="A528" t="inlineStr">
        <is>
          <t>VSP-869</t>
        </is>
      </c>
      <c r="B528" t="inlineStr">
        <is>
          <t>CHEM-1660</t>
        </is>
      </c>
      <c r="C528" t="n">
        <v>1.536</v>
      </c>
      <c r="D528">
        <f>IFERROR(MATCH($A528,PP_Grid[Intermediate],0),99999)</f>
        <v/>
      </c>
    </row>
    <row r="529">
      <c r="A529" t="inlineStr">
        <is>
          <t>VSP-870</t>
        </is>
      </c>
      <c r="B529" t="inlineStr">
        <is>
          <t>CHEM-1410</t>
        </is>
      </c>
      <c r="C529" t="n">
        <v>69.492</v>
      </c>
      <c r="D529">
        <f>IFERROR(MATCH($A529,PP_Grid[Intermediate],0),99999)</f>
        <v/>
      </c>
    </row>
    <row r="530">
      <c r="A530" t="inlineStr">
        <is>
          <t>VSP-870</t>
        </is>
      </c>
      <c r="B530" t="inlineStr">
        <is>
          <t>CHEM-1530</t>
        </is>
      </c>
      <c r="C530" t="n">
        <v>70.2684</v>
      </c>
      <c r="D530">
        <f>IFERROR(MATCH($A530,PP_Grid[Intermediate],0),99999)</f>
        <v/>
      </c>
    </row>
    <row r="531">
      <c r="A531" t="inlineStr">
        <is>
          <t>VSP-870</t>
        </is>
      </c>
      <c r="B531" t="inlineStr">
        <is>
          <t>CHEM-1400</t>
        </is>
      </c>
      <c r="C531" t="n">
        <v>6.384</v>
      </c>
      <c r="D531">
        <f>IFERROR(MATCH($A531,PP_Grid[Intermediate],0),99999)</f>
        <v/>
      </c>
    </row>
    <row r="532">
      <c r="A532" t="inlineStr">
        <is>
          <t>VSP-870</t>
        </is>
      </c>
      <c r="B532" t="inlineStr">
        <is>
          <t>CHEM-1260</t>
        </is>
      </c>
      <c r="C532" t="n">
        <v>2.239</v>
      </c>
      <c r="D532">
        <f>IFERROR(MATCH($A532,PP_Grid[Intermediate],0),99999)</f>
        <v/>
      </c>
    </row>
    <row r="533">
      <c r="A533" t="inlineStr">
        <is>
          <t>VSP-870</t>
        </is>
      </c>
      <c r="B533" t="inlineStr">
        <is>
          <t>CHEM-1420</t>
        </is>
      </c>
      <c r="C533" t="n">
        <v>1.359</v>
      </c>
      <c r="D533">
        <f>IFERROR(MATCH($A533,PP_Grid[Intermediate],0),99999)</f>
        <v/>
      </c>
    </row>
    <row r="534">
      <c r="A534" t="inlineStr">
        <is>
          <t>VSP-870</t>
        </is>
      </c>
      <c r="B534" t="inlineStr">
        <is>
          <t>CHEM-1440</t>
        </is>
      </c>
      <c r="C534" t="n">
        <v>1.239</v>
      </c>
      <c r="D534">
        <f>IFERROR(MATCH($A534,PP_Grid[Intermediate],0),99999)</f>
        <v/>
      </c>
    </row>
    <row r="535">
      <c r="A535" t="inlineStr">
        <is>
          <t>VSP-870</t>
        </is>
      </c>
      <c r="B535" t="inlineStr">
        <is>
          <t>CHEM-1650</t>
        </is>
      </c>
      <c r="C535" t="n">
        <v>0.045</v>
      </c>
      <c r="D535">
        <f>IFERROR(MATCH($A535,PP_Grid[Intermediate],0),99999)</f>
        <v/>
      </c>
    </row>
    <row r="536">
      <c r="A536" t="inlineStr">
        <is>
          <t>VSP-870</t>
        </is>
      </c>
      <c r="B536" t="inlineStr">
        <is>
          <t>CHEM-1660</t>
        </is>
      </c>
      <c r="C536" t="n">
        <v>1.433</v>
      </c>
      <c r="D536">
        <f>IFERROR(MATCH($A536,PP_Grid[Intermediate],0),99999)</f>
        <v/>
      </c>
    </row>
    <row r="537">
      <c r="A537" t="inlineStr">
        <is>
          <t>VSP-910</t>
        </is>
      </c>
      <c r="B537" t="inlineStr">
        <is>
          <t>CHEM-1410</t>
        </is>
      </c>
      <c r="C537" t="n">
        <v>44.163</v>
      </c>
      <c r="D537">
        <f>IFERROR(MATCH($A537,PP_Grid[Intermediate],0),99999)</f>
        <v/>
      </c>
    </row>
    <row r="538">
      <c r="A538" t="inlineStr">
        <is>
          <t>VSP-910</t>
        </is>
      </c>
      <c r="B538" t="inlineStr">
        <is>
          <t>CHEM-1530</t>
        </is>
      </c>
      <c r="C538" t="n">
        <v>44.609</v>
      </c>
      <c r="D538">
        <f>IFERROR(MATCH($A538,PP_Grid[Intermediate],0),99999)</f>
        <v/>
      </c>
    </row>
    <row r="539">
      <c r="A539" t="inlineStr">
        <is>
          <t>VSP-910</t>
        </is>
      </c>
      <c r="B539" t="inlineStr">
        <is>
          <t>CHEM-1400</t>
        </is>
      </c>
      <c r="C539" t="n">
        <v>4.051</v>
      </c>
      <c r="D539">
        <f>IFERROR(MATCH($A539,PP_Grid[Intermediate],0),99999)</f>
        <v/>
      </c>
    </row>
    <row r="540">
      <c r="A540" t="inlineStr">
        <is>
          <t>VSP-910</t>
        </is>
      </c>
      <c r="B540" t="inlineStr">
        <is>
          <t>CHEM-1260</t>
        </is>
      </c>
      <c r="C540" t="n">
        <v>1.54</v>
      </c>
      <c r="D540">
        <f>IFERROR(MATCH($A540,PP_Grid[Intermediate],0),99999)</f>
        <v/>
      </c>
    </row>
    <row r="541">
      <c r="A541" t="inlineStr">
        <is>
          <t>VSP-910</t>
        </is>
      </c>
      <c r="B541" t="inlineStr">
        <is>
          <t>CHEM-1420</t>
        </is>
      </c>
      <c r="C541" t="n">
        <v>1.43</v>
      </c>
      <c r="D541">
        <f>IFERROR(MATCH($A541,PP_Grid[Intermediate],0),99999)</f>
        <v/>
      </c>
    </row>
    <row r="542">
      <c r="A542" t="inlineStr">
        <is>
          <t>VSP-910</t>
        </is>
      </c>
      <c r="B542" t="inlineStr">
        <is>
          <t>CHEM-1440</t>
        </is>
      </c>
      <c r="C542" t="n">
        <v>1.012</v>
      </c>
      <c r="D542">
        <f>IFERROR(MATCH($A542,PP_Grid[Intermediate],0),99999)</f>
        <v/>
      </c>
    </row>
    <row r="543">
      <c r="A543" t="inlineStr">
        <is>
          <t>VSP-910</t>
        </is>
      </c>
      <c r="B543" t="inlineStr">
        <is>
          <t>CHEM-1660</t>
        </is>
      </c>
      <c r="C543" t="n">
        <v>0.913</v>
      </c>
      <c r="D543">
        <f>IFERROR(MATCH($A543,PP_Grid[Intermediate],0),99999)</f>
        <v/>
      </c>
    </row>
    <row r="544">
      <c r="A544" t="inlineStr">
        <is>
          <t>VSP-989</t>
        </is>
      </c>
      <c r="B544" t="inlineStr">
        <is>
          <t>CHEM-1410</t>
        </is>
      </c>
      <c r="C544" t="n">
        <v>39.966</v>
      </c>
      <c r="D544">
        <f>IFERROR(MATCH($A544,PP_Grid[Intermediate],0),99999)</f>
        <v/>
      </c>
    </row>
    <row r="545">
      <c r="A545" t="inlineStr">
        <is>
          <t>VSP-989</t>
        </is>
      </c>
      <c r="B545" t="inlineStr">
        <is>
          <t>CHEM-1400</t>
        </is>
      </c>
      <c r="C545" t="n">
        <v>2.198</v>
      </c>
      <c r="D545">
        <f>IFERROR(MATCH($A545,PP_Grid[Intermediate],0),99999)</f>
        <v/>
      </c>
    </row>
    <row r="546">
      <c r="A546" t="inlineStr">
        <is>
          <t>VSP-989</t>
        </is>
      </c>
      <c r="B546" t="inlineStr">
        <is>
          <t>CHEM-1610</t>
        </is>
      </c>
      <c r="C546" t="n">
        <v>43.1806</v>
      </c>
      <c r="D546">
        <f>IFERROR(MATCH($A546,PP_Grid[Intermediate],0),99999)</f>
        <v/>
      </c>
    </row>
    <row r="547">
      <c r="A547" t="inlineStr">
        <is>
          <t>VSP-989</t>
        </is>
      </c>
      <c r="B547" t="inlineStr">
        <is>
          <t>CHEM-1600</t>
        </is>
      </c>
      <c r="C547" t="n">
        <v>7.704</v>
      </c>
      <c r="D547">
        <f>IFERROR(MATCH($A547,PP_Grid[Intermediate],0),99999)</f>
        <v/>
      </c>
    </row>
    <row r="548">
      <c r="A548" t="inlineStr">
        <is>
          <t>VSP-989</t>
        </is>
      </c>
      <c r="B548" t="inlineStr">
        <is>
          <t>CHEM-1510</t>
        </is>
      </c>
      <c r="C548" t="n">
        <v>5.21</v>
      </c>
      <c r="D548">
        <f>IFERROR(MATCH($A548,PP_Grid[Intermediate],0),99999)</f>
        <v/>
      </c>
    </row>
    <row r="549">
      <c r="A549" t="inlineStr">
        <is>
          <t>VSP-989</t>
        </is>
      </c>
      <c r="B549" t="inlineStr">
        <is>
          <t>0JN</t>
        </is>
      </c>
      <c r="C549" t="n">
        <v>15.799</v>
      </c>
      <c r="D549">
        <f>IFERROR(MATCH($A549,PP_Grid[Intermediate],0),99999)</f>
        <v/>
      </c>
    </row>
    <row r="550">
      <c r="A550" t="inlineStr">
        <is>
          <t>VSP-989</t>
        </is>
      </c>
      <c r="B550" t="inlineStr">
        <is>
          <t>CHEM-1420</t>
        </is>
      </c>
      <c r="C550" t="n">
        <v>0.612</v>
      </c>
      <c r="D550">
        <f>IFERROR(MATCH($A550,PP_Grid[Intermediate],0),99999)</f>
        <v/>
      </c>
    </row>
    <row r="551">
      <c r="A551" t="inlineStr">
        <is>
          <t>VSP-989</t>
        </is>
      </c>
      <c r="B551" t="inlineStr">
        <is>
          <t>CHEM-1440</t>
        </is>
      </c>
      <c r="C551" t="n">
        <v>0.0907100544</v>
      </c>
      <c r="D551">
        <f>IFERROR(MATCH($A551,PP_Grid[Intermediate],0),99999)</f>
        <v/>
      </c>
    </row>
    <row r="552">
      <c r="A552" t="inlineStr">
        <is>
          <t>VSP-989</t>
        </is>
      </c>
      <c r="B552" t="inlineStr">
        <is>
          <t>CHEM-1660</t>
        </is>
      </c>
      <c r="C552" t="n">
        <v>0.907</v>
      </c>
      <c r="D552">
        <f>IFERROR(MATCH($A552,PP_Grid[Intermediate],0),99999)</f>
        <v/>
      </c>
    </row>
    <row r="553">
      <c r="A553" t="inlineStr">
        <is>
          <t>VSP-990</t>
        </is>
      </c>
      <c r="B553" t="inlineStr">
        <is>
          <t>CHEM-1410</t>
        </is>
      </c>
      <c r="C553" t="n">
        <v>38.98</v>
      </c>
      <c r="D553">
        <f>IFERROR(MATCH($A553,PP_Grid[Intermediate],0),99999)</f>
        <v/>
      </c>
    </row>
    <row r="554">
      <c r="A554" t="inlineStr">
        <is>
          <t>VSP-990</t>
        </is>
      </c>
      <c r="B554" t="inlineStr">
        <is>
          <t>CHEM-1530</t>
        </is>
      </c>
      <c r="C554" t="n">
        <v>39.4155</v>
      </c>
      <c r="D554">
        <f>IFERROR(MATCH($A554,PP_Grid[Intermediate],0),99999)</f>
        <v/>
      </c>
    </row>
    <row r="555">
      <c r="A555" t="inlineStr">
        <is>
          <t>VSP-990</t>
        </is>
      </c>
      <c r="B555" t="inlineStr">
        <is>
          <t>CHEM-1400</t>
        </is>
      </c>
      <c r="C555" t="n">
        <v>3.577</v>
      </c>
      <c r="D555">
        <f>IFERROR(MATCH($A555,PP_Grid[Intermediate],0),99999)</f>
        <v/>
      </c>
    </row>
    <row r="556">
      <c r="A556" t="inlineStr">
        <is>
          <t>VSP-990</t>
        </is>
      </c>
      <c r="B556" t="inlineStr">
        <is>
          <t>CHEM-1260</t>
        </is>
      </c>
      <c r="C556" t="n">
        <v>1.019</v>
      </c>
      <c r="D556">
        <f>IFERROR(MATCH($A556,PP_Grid[Intermediate],0),99999)</f>
        <v/>
      </c>
    </row>
    <row r="557">
      <c r="A557" t="inlineStr">
        <is>
          <t>VSP-990</t>
        </is>
      </c>
      <c r="B557" t="inlineStr">
        <is>
          <t>CHEM-1420</t>
        </is>
      </c>
      <c r="C557" t="n">
        <v>0.85</v>
      </c>
      <c r="D557">
        <f>IFERROR(MATCH($A557,PP_Grid[Intermediate],0),99999)</f>
        <v/>
      </c>
    </row>
    <row r="558">
      <c r="A558" t="inlineStr">
        <is>
          <t>VSP-990</t>
        </is>
      </c>
      <c r="B558" t="inlineStr">
        <is>
          <t>CHEM-1440</t>
        </is>
      </c>
      <c r="C558" t="n">
        <v>0.484</v>
      </c>
      <c r="D558">
        <f>IFERROR(MATCH($A558,PP_Grid[Intermediate],0),99999)</f>
        <v/>
      </c>
    </row>
    <row r="559">
      <c r="A559" t="inlineStr">
        <is>
          <t>VSP-990</t>
        </is>
      </c>
      <c r="B559" t="inlineStr">
        <is>
          <t>CHEM-1650</t>
        </is>
      </c>
      <c r="C559" t="n">
        <v>0.048</v>
      </c>
      <c r="D559">
        <f>IFERROR(MATCH($A559,PP_Grid[Intermediate],0),99999)</f>
        <v/>
      </c>
    </row>
    <row r="560">
      <c r="A560" t="inlineStr">
        <is>
          <t>VSP-990</t>
        </is>
      </c>
      <c r="B560" t="inlineStr">
        <is>
          <t>CHEM-1660</t>
        </is>
      </c>
      <c r="C560" t="n">
        <v>0.8070000000000001</v>
      </c>
      <c r="D560">
        <f>IFERROR(MATCH($A560,PP_Grid[Intermediate],0),99999)</f>
        <v/>
      </c>
    </row>
    <row r="561">
      <c r="A561" t="inlineStr">
        <is>
          <t>VSP-999</t>
        </is>
      </c>
      <c r="B561" t="inlineStr">
        <is>
          <t>CHEM-1410</t>
        </is>
      </c>
      <c r="C561" t="n">
        <v>63.37</v>
      </c>
      <c r="D561">
        <f>IFERROR(MATCH($A561,PP_Grid[Intermediate],0),99999)</f>
        <v/>
      </c>
    </row>
    <row r="562">
      <c r="A562" t="inlineStr">
        <is>
          <t>VSP-1000</t>
        </is>
      </c>
      <c r="B562" t="inlineStr">
        <is>
          <t>CHEM-1410</t>
        </is>
      </c>
      <c r="C562" t="n">
        <v>53.92</v>
      </c>
      <c r="D562">
        <f>IFERROR(MATCH($A562,PP_Grid[Intermediate],0),99999)</f>
        <v/>
      </c>
    </row>
    <row r="563">
      <c r="A563" t="inlineStr">
        <is>
          <t>20p</t>
        </is>
      </c>
      <c r="B563" t="inlineStr">
        <is>
          <t>CHEM-1010</t>
        </is>
      </c>
      <c r="C563" t="n">
        <v>4.6</v>
      </c>
      <c r="D563">
        <f>IFERROR(MATCH($A563,PP_Grid[Intermediate],0),99999)</f>
        <v/>
      </c>
    </row>
    <row r="564">
      <c r="A564" t="inlineStr">
        <is>
          <t>20p</t>
        </is>
      </c>
      <c r="B564" t="inlineStr">
        <is>
          <t>CHEM-1080</t>
        </is>
      </c>
      <c r="C564" t="n">
        <v>4.2</v>
      </c>
      <c r="D564">
        <f>IFERROR(MATCH($A564,PP_Grid[Intermediate],0),99999)</f>
        <v/>
      </c>
    </row>
    <row r="565">
      <c r="A565" t="inlineStr">
        <is>
          <t>VSZ-745</t>
        </is>
      </c>
      <c r="B565" t="inlineStr">
        <is>
          <t>CHEM-1410</t>
        </is>
      </c>
      <c r="C565" t="n">
        <v>63.511</v>
      </c>
      <c r="D565">
        <f>IFERROR(MATCH($A565,PP_Grid[Intermediate],0),99999)</f>
        <v/>
      </c>
    </row>
    <row r="566">
      <c r="A566" t="inlineStr">
        <is>
          <t>VSZ-745</t>
        </is>
      </c>
      <c r="B566" t="inlineStr">
        <is>
          <t>CHEM-1530</t>
        </is>
      </c>
      <c r="C566" t="n">
        <v>29.44</v>
      </c>
      <c r="D566">
        <f>IFERROR(MATCH($A566,PP_Grid[Intermediate],0),99999)</f>
        <v/>
      </c>
    </row>
    <row r="567">
      <c r="A567" t="inlineStr">
        <is>
          <t>VSZ-745</t>
        </is>
      </c>
      <c r="B567" t="inlineStr">
        <is>
          <t>CHEM-1400</t>
        </is>
      </c>
      <c r="C567" t="n">
        <v>7.171</v>
      </c>
      <c r="D567">
        <f>IFERROR(MATCH($A567,PP_Grid[Intermediate],0),99999)</f>
        <v/>
      </c>
    </row>
    <row r="568">
      <c r="A568" t="inlineStr">
        <is>
          <t>VSZ-745</t>
        </is>
      </c>
      <c r="B568" t="inlineStr">
        <is>
          <t>CHEM-1600</t>
        </is>
      </c>
      <c r="C568" t="n">
        <v>14.88</v>
      </c>
      <c r="D568">
        <f>IFERROR(MATCH($A568,PP_Grid[Intermediate],0),99999)</f>
        <v/>
      </c>
    </row>
    <row r="569">
      <c r="A569" t="inlineStr">
        <is>
          <t>VSZ-745</t>
        </is>
      </c>
      <c r="B569" t="inlineStr">
        <is>
          <t>CHEM-1260</t>
        </is>
      </c>
      <c r="C569" t="n">
        <v>2.92</v>
      </c>
      <c r="D569">
        <f>IFERROR(MATCH($A569,PP_Grid[Intermediate],0),99999)</f>
        <v/>
      </c>
    </row>
    <row r="570">
      <c r="A570" t="inlineStr">
        <is>
          <t>VSZ-745</t>
        </is>
      </c>
      <c r="B570" t="inlineStr">
        <is>
          <t>CHEM-1420</t>
        </is>
      </c>
      <c r="C570" t="n">
        <v>0.954</v>
      </c>
      <c r="D570">
        <f>IFERROR(MATCH($A570,PP_Grid[Intermediate],0),99999)</f>
        <v/>
      </c>
    </row>
    <row r="571">
      <c r="A571" t="inlineStr">
        <is>
          <t>VSZ-745</t>
        </is>
      </c>
      <c r="B571" t="inlineStr">
        <is>
          <t>CHEM-1440</t>
        </is>
      </c>
      <c r="C571" t="n">
        <v>0.389</v>
      </c>
      <c r="D571">
        <f>IFERROR(MATCH($A571,PP_Grid[Intermediate],0),99999)</f>
        <v/>
      </c>
    </row>
    <row r="572">
      <c r="A572" t="inlineStr">
        <is>
          <t>VSZ-745</t>
        </is>
      </c>
      <c r="B572" t="inlineStr">
        <is>
          <t>CHEM-1650</t>
        </is>
      </c>
      <c r="C572" t="n">
        <v>0.045</v>
      </c>
      <c r="D572">
        <f>IFERROR(MATCH($A572,PP_Grid[Intermediate],0),99999)</f>
        <v/>
      </c>
    </row>
    <row r="573">
      <c r="A573" t="inlineStr">
        <is>
          <t>TVS-267</t>
        </is>
      </c>
      <c r="B573" t="inlineStr">
        <is>
          <t>CHEM-1420</t>
        </is>
      </c>
      <c r="C573" t="n">
        <v>2.74402</v>
      </c>
      <c r="D573">
        <f>IFERROR(MATCH($A573,PP_Grid[Intermediate],0),99999)</f>
        <v/>
      </c>
    </row>
    <row r="574">
      <c r="A574" t="inlineStr">
        <is>
          <t>TVS-267</t>
        </is>
      </c>
      <c r="B574" t="inlineStr">
        <is>
          <t>CHEM-1760</t>
        </is>
      </c>
      <c r="C574" t="n">
        <v>0.18894</v>
      </c>
      <c r="D574">
        <f>IFERROR(MATCH($A574,PP_Grid[Intermediate],0),99999)</f>
        <v/>
      </c>
    </row>
    <row r="575">
      <c r="A575" t="inlineStr">
        <is>
          <t>TVS-500</t>
        </is>
      </c>
      <c r="B575" t="inlineStr">
        <is>
          <t>CHEM-1420</t>
        </is>
      </c>
      <c r="C575" t="n">
        <v>2.54073</v>
      </c>
      <c r="D575">
        <f>IFERROR(MATCH($A575,PP_Grid[Intermediate],0),99999)</f>
        <v/>
      </c>
    </row>
    <row r="576">
      <c r="A576" t="inlineStr">
        <is>
          <t>TVS-500</t>
        </is>
      </c>
      <c r="B576" t="inlineStr">
        <is>
          <t>CHEM-1760</t>
        </is>
      </c>
      <c r="C576" t="n">
        <v>0.164</v>
      </c>
      <c r="D576">
        <f>IFERROR(MATCH($A576,PP_Grid[Intermediate],0),99999)</f>
        <v/>
      </c>
    </row>
    <row r="577">
      <c r="A577" t="inlineStr">
        <is>
          <t>TPP-190</t>
        </is>
      </c>
      <c r="B577" t="inlineStr">
        <is>
          <t>CHEM-1460</t>
        </is>
      </c>
      <c r="C577" t="n">
        <v>54.09</v>
      </c>
      <c r="D577">
        <f>IFERROR(MATCH($A577,PP_Grid[Intermediate],0),99999)</f>
        <v/>
      </c>
    </row>
    <row r="578">
      <c r="A578" t="inlineStr">
        <is>
          <t>TPP-190</t>
        </is>
      </c>
      <c r="B578" t="inlineStr">
        <is>
          <t>CHEM-1410</t>
        </is>
      </c>
      <c r="C578" t="n">
        <v>18.51</v>
      </c>
      <c r="D578">
        <f>IFERROR(MATCH($A578,PP_Grid[Intermediate],0),99999)</f>
        <v/>
      </c>
    </row>
    <row r="579">
      <c r="A579" t="inlineStr">
        <is>
          <t>TPP-190</t>
        </is>
      </c>
      <c r="B579" t="inlineStr">
        <is>
          <t>0JN</t>
        </is>
      </c>
      <c r="C579" t="n">
        <v>3.397</v>
      </c>
      <c r="D579">
        <f>IFERROR(MATCH($A579,PP_Grid[Intermediate],0),99999)</f>
        <v/>
      </c>
    </row>
    <row r="580">
      <c r="A580" t="inlineStr">
        <is>
          <t>TPP-204</t>
        </is>
      </c>
      <c r="B580" t="inlineStr">
        <is>
          <t>CHEM-1220</t>
        </is>
      </c>
      <c r="C580" t="n">
        <v>13.66</v>
      </c>
      <c r="D580">
        <f>IFERROR(MATCH($A580,PP_Grid[Intermediate],0),99999)</f>
        <v/>
      </c>
    </row>
    <row r="581">
      <c r="A581" t="inlineStr">
        <is>
          <t>TPP-204</t>
        </is>
      </c>
      <c r="B581" t="inlineStr">
        <is>
          <t>CHEM-1410</t>
        </is>
      </c>
      <c r="C581" t="n">
        <v>29.84</v>
      </c>
      <c r="D581">
        <f>IFERROR(MATCH($A581,PP_Grid[Intermediate],0),99999)</f>
        <v/>
      </c>
    </row>
    <row r="582">
      <c r="A582" t="inlineStr">
        <is>
          <t>TPP-204</t>
        </is>
      </c>
      <c r="B582" t="inlineStr">
        <is>
          <t>0JN</t>
        </is>
      </c>
      <c r="C582" t="n">
        <v>3.68</v>
      </c>
      <c r="D582">
        <f>IFERROR(MATCH($A582,PP_Grid[Intermediate],0),99999)</f>
        <v/>
      </c>
    </row>
    <row r="583">
      <c r="A583" t="inlineStr">
        <is>
          <t>TPP-350</t>
        </is>
      </c>
      <c r="B583" t="inlineStr">
        <is>
          <t>CHEM-1490</t>
        </is>
      </c>
      <c r="C583" t="n">
        <v>53.921</v>
      </c>
      <c r="D583">
        <f>IFERROR(MATCH($A583,PP_Grid[Intermediate],0),99999)</f>
        <v/>
      </c>
    </row>
    <row r="584">
      <c r="A584" t="inlineStr">
        <is>
          <t>TPP-350</t>
        </is>
      </c>
      <c r="B584" t="inlineStr">
        <is>
          <t>CHEM-1520</t>
        </is>
      </c>
      <c r="C584" t="n">
        <v>49.52</v>
      </c>
      <c r="D584">
        <f>IFERROR(MATCH($A584,PP_Grid[Intermediate],0),99999)</f>
        <v/>
      </c>
    </row>
    <row r="585">
      <c r="A585" t="inlineStr">
        <is>
          <t>TPP-350</t>
        </is>
      </c>
      <c r="B585" t="inlineStr">
        <is>
          <t>0JN</t>
        </is>
      </c>
      <c r="C585" t="n">
        <v>4.31</v>
      </c>
      <c r="D585">
        <f>IFERROR(MATCH($A585,PP_Grid[Intermediate],0),99999)</f>
        <v/>
      </c>
    </row>
    <row r="586">
      <c r="A586" t="inlineStr">
        <is>
          <t>TPP-356</t>
        </is>
      </c>
      <c r="B586" t="inlineStr">
        <is>
          <t>CHEM-1220</t>
        </is>
      </c>
      <c r="C586" t="n">
        <v>46.4</v>
      </c>
      <c r="D586">
        <f>IFERROR(MATCH($A586,PP_Grid[Intermediate],0),99999)</f>
        <v/>
      </c>
    </row>
    <row r="587">
      <c r="A587" t="inlineStr">
        <is>
          <t>TPP-356</t>
        </is>
      </c>
      <c r="B587" t="inlineStr">
        <is>
          <t>CHEM-1410</t>
        </is>
      </c>
      <c r="C587" t="n">
        <v>41.34</v>
      </c>
      <c r="D587">
        <f>IFERROR(MATCH($A587,PP_Grid[Intermediate],0),99999)</f>
        <v/>
      </c>
    </row>
    <row r="588">
      <c r="A588" t="inlineStr">
        <is>
          <t>TPP-356</t>
        </is>
      </c>
      <c r="B588" t="inlineStr">
        <is>
          <t>0JN</t>
        </is>
      </c>
      <c r="C588" t="n">
        <v>11.11</v>
      </c>
      <c r="D588">
        <f>IFERROR(MATCH($A588,PP_Grid[Intermediate],0),99999)</f>
        <v/>
      </c>
    </row>
    <row r="589">
      <c r="A589" t="inlineStr">
        <is>
          <t>TPP-358</t>
        </is>
      </c>
      <c r="B589" t="inlineStr">
        <is>
          <t>CHEM-1540</t>
        </is>
      </c>
      <c r="C589" t="n">
        <v>65.95</v>
      </c>
      <c r="D589">
        <f>IFERROR(MATCH($A589,PP_Grid[Intermediate],0),99999)</f>
        <v/>
      </c>
    </row>
    <row r="590">
      <c r="A590" t="inlineStr">
        <is>
          <t>TPP-378</t>
        </is>
      </c>
      <c r="B590" t="inlineStr">
        <is>
          <t>CHEM-1520</t>
        </is>
      </c>
      <c r="C590" t="n">
        <v>28.93</v>
      </c>
      <c r="D590">
        <f>IFERROR(MATCH($A590,PP_Grid[Intermediate],0),99999)</f>
        <v/>
      </c>
    </row>
    <row r="591">
      <c r="A591" t="inlineStr">
        <is>
          <t>TPP-701</t>
        </is>
      </c>
      <c r="B591" t="inlineStr">
        <is>
          <t>CHEM-1410</t>
        </is>
      </c>
      <c r="C591" t="n">
        <v>36.16</v>
      </c>
      <c r="D591">
        <f>IFERROR(MATCH($A591,PP_Grid[Intermediate],0),99999)</f>
        <v/>
      </c>
    </row>
    <row r="592">
      <c r="A592" t="inlineStr">
        <is>
          <t>TPP-700</t>
        </is>
      </c>
      <c r="B592" t="inlineStr">
        <is>
          <t>CHEM-1410</t>
        </is>
      </c>
      <c r="C592" t="n">
        <v>35.42</v>
      </c>
      <c r="D592">
        <f>IFERROR(MATCH($A592,PP_Grid[Intermediate],0),99999)</f>
        <v/>
      </c>
    </row>
    <row r="593">
      <c r="A593" t="inlineStr">
        <is>
          <t>TPP-704</t>
        </is>
      </c>
      <c r="B593" t="inlineStr">
        <is>
          <t>CHEM-1410</t>
        </is>
      </c>
      <c r="C593" t="n">
        <v>58.78</v>
      </c>
      <c r="D593">
        <f>IFERROR(MATCH($A593,PP_Grid[Intermediate],0),99999)</f>
        <v/>
      </c>
    </row>
    <row r="594">
      <c r="A594" t="inlineStr">
        <is>
          <t>TPP-704</t>
        </is>
      </c>
      <c r="B594" t="inlineStr">
        <is>
          <t>CHEM-1490</t>
        </is>
      </c>
      <c r="C594" t="n">
        <v>64.45999999999999</v>
      </c>
      <c r="D594">
        <f>IFERROR(MATCH($A594,PP_Grid[Intermediate],0),99999)</f>
        <v/>
      </c>
    </row>
    <row r="595">
      <c r="A595" t="inlineStr">
        <is>
          <t>TPP-704</t>
        </is>
      </c>
      <c r="B595" t="inlineStr">
        <is>
          <t>0JN</t>
        </is>
      </c>
      <c r="C595" t="n">
        <v>5.706</v>
      </c>
      <c r="D595">
        <f>IFERROR(MATCH($A595,PP_Grid[Intermediate],0),99999)</f>
        <v/>
      </c>
    </row>
    <row r="596">
      <c r="A596" t="inlineStr">
        <is>
          <t>TPP-699</t>
        </is>
      </c>
      <c r="B596" t="inlineStr">
        <is>
          <t>CHEM-1410</t>
        </is>
      </c>
      <c r="C596" t="n">
        <v>38.13</v>
      </c>
      <c r="D596">
        <f>IFERROR(MATCH($A596,PP_Grid[Intermediate],0),99999)</f>
        <v/>
      </c>
    </row>
    <row r="597">
      <c r="A597" t="inlineStr">
        <is>
          <t>TPP-649</t>
        </is>
      </c>
      <c r="B597" t="inlineStr">
        <is>
          <t>CHEM-1410</t>
        </is>
      </c>
      <c r="C597" t="n">
        <v>20.91</v>
      </c>
      <c r="D597">
        <f>IFERROR(MATCH($A597,PP_Grid[Intermediate],0),99999)</f>
        <v/>
      </c>
    </row>
    <row r="598">
      <c r="A598" t="inlineStr">
        <is>
          <t>TPP-650</t>
        </is>
      </c>
      <c r="B598" t="inlineStr">
        <is>
          <t>CHEM-1410</t>
        </is>
      </c>
      <c r="C598" t="n">
        <v>20.69</v>
      </c>
      <c r="D598">
        <f>IFERROR(MATCH($A598,PP_Grid[Intermediate],0),99999)</f>
        <v/>
      </c>
    </row>
    <row r="599">
      <c r="A599" t="inlineStr">
        <is>
          <t>TPP-650</t>
        </is>
      </c>
      <c r="B599" t="inlineStr">
        <is>
          <t>CHEM-1530</t>
        </is>
      </c>
      <c r="C599" t="n">
        <v>36.07</v>
      </c>
      <c r="D599">
        <f>IFERROR(MATCH($A599,PP_Grid[Intermediate],0),99999)</f>
        <v/>
      </c>
    </row>
    <row r="600">
      <c r="A600" t="inlineStr">
        <is>
          <t>TPP-650</t>
        </is>
      </c>
      <c r="B600" t="inlineStr">
        <is>
          <t>0JN</t>
        </is>
      </c>
      <c r="C600" t="n">
        <v>8.832000000000001</v>
      </c>
      <c r="D600">
        <f>IFERROR(MATCH($A600,PP_Grid[Intermediate],0),99999)</f>
        <v/>
      </c>
    </row>
    <row r="601">
      <c r="A601" t="inlineStr">
        <is>
          <t>TPP-527</t>
        </is>
      </c>
      <c r="B601" t="inlineStr">
        <is>
          <t>CHEM-1490</t>
        </is>
      </c>
      <c r="C601" t="n">
        <v>50.32</v>
      </c>
      <c r="D601">
        <f>IFERROR(MATCH($A601,PP_Grid[Intermediate],0),99999)</f>
        <v/>
      </c>
    </row>
    <row r="602">
      <c r="A602" t="inlineStr">
        <is>
          <t>TPP-527</t>
        </is>
      </c>
      <c r="B602" t="inlineStr">
        <is>
          <t>CHEM-1520</t>
        </is>
      </c>
      <c r="C602" t="n">
        <v>32.21</v>
      </c>
      <c r="D602">
        <f>IFERROR(MATCH($A602,PP_Grid[Intermediate],0),99999)</f>
        <v/>
      </c>
    </row>
    <row r="603">
      <c r="A603" t="inlineStr">
        <is>
          <t>TPP-527</t>
        </is>
      </c>
      <c r="B603" t="inlineStr">
        <is>
          <t>0JN</t>
        </is>
      </c>
      <c r="C603" t="n">
        <v>2.184</v>
      </c>
      <c r="D603">
        <f>IFERROR(MATCH($A603,PP_Grid[Intermediate],0),99999)</f>
        <v/>
      </c>
    </row>
    <row r="604">
      <c r="A604" t="inlineStr">
        <is>
          <t>TPP-533(98%)</t>
        </is>
      </c>
      <c r="B604" t="inlineStr">
        <is>
          <t>CHEM-1540</t>
        </is>
      </c>
      <c r="C604" t="n">
        <v>58.87</v>
      </c>
      <c r="D604">
        <f>IFERROR(MATCH($A604,PP_Grid[Intermediate],0),99999)</f>
        <v/>
      </c>
    </row>
    <row r="605">
      <c r="A605" t="inlineStr">
        <is>
          <t>TPP-537</t>
        </is>
      </c>
      <c r="B605" t="inlineStr">
        <is>
          <t>CHEM-1490</t>
        </is>
      </c>
      <c r="C605" t="n">
        <v>36.2</v>
      </c>
      <c r="D605">
        <f>IFERROR(MATCH($A605,PP_Grid[Intermediate],0),99999)</f>
        <v/>
      </c>
    </row>
    <row r="606">
      <c r="A606" t="inlineStr">
        <is>
          <t>TPP-537</t>
        </is>
      </c>
      <c r="B606" t="inlineStr">
        <is>
          <t>0JN</t>
        </is>
      </c>
      <c r="C606" t="n">
        <v>0.5659999999999999</v>
      </c>
      <c r="D606">
        <f>IFERROR(MATCH($A606,PP_Grid[Intermediate],0),99999)</f>
        <v/>
      </c>
    </row>
    <row r="607">
      <c r="A607" t="inlineStr">
        <is>
          <t>TPP-609</t>
        </is>
      </c>
      <c r="B607" t="inlineStr">
        <is>
          <t>CHEM-1710</t>
        </is>
      </c>
      <c r="C607" t="n">
        <v>42.46</v>
      </c>
      <c r="D607">
        <f>IFERROR(MATCH($A607,PP_Grid[Intermediate],0),99999)</f>
        <v/>
      </c>
    </row>
    <row r="608">
      <c r="A608" t="inlineStr">
        <is>
          <t>TPP-609</t>
        </is>
      </c>
      <c r="B608" t="inlineStr">
        <is>
          <t>0JN</t>
        </is>
      </c>
      <c r="C608" t="n">
        <v>3.101</v>
      </c>
      <c r="D608">
        <f>IFERROR(MATCH($A608,PP_Grid[Intermediate],0),99999)</f>
        <v/>
      </c>
    </row>
    <row r="609">
      <c r="A609" t="inlineStr">
        <is>
          <t>TPP-611</t>
        </is>
      </c>
      <c r="B609" t="inlineStr">
        <is>
          <t>CHEM-1680</t>
        </is>
      </c>
      <c r="C609" t="n">
        <v>18.05</v>
      </c>
      <c r="D609">
        <f>IFERROR(MATCH($A609,PP_Grid[Intermediate],0),99999)</f>
        <v/>
      </c>
    </row>
    <row r="610">
      <c r="A610" t="inlineStr">
        <is>
          <t>TPP-613</t>
        </is>
      </c>
      <c r="B610" t="inlineStr">
        <is>
          <t>CHEM-1680</t>
        </is>
      </c>
      <c r="C610" t="n">
        <v>18.07</v>
      </c>
      <c r="D610">
        <f>IFERROR(MATCH($A610,PP_Grid[Intermediate],0),99999)</f>
        <v/>
      </c>
    </row>
    <row r="611">
      <c r="A611" t="inlineStr">
        <is>
          <t>TPP-915</t>
        </is>
      </c>
      <c r="B611" t="inlineStr">
        <is>
          <t>CHEM-1680</t>
        </is>
      </c>
      <c r="C611" t="n">
        <v>25.61</v>
      </c>
      <c r="D611">
        <f>IFERROR(MATCH($A611,PP_Grid[Intermediate],0),99999)</f>
        <v/>
      </c>
    </row>
    <row r="612">
      <c r="A612" t="inlineStr">
        <is>
          <t>TPP-920</t>
        </is>
      </c>
      <c r="B612" t="inlineStr">
        <is>
          <t>CHEM-1680</t>
        </is>
      </c>
      <c r="C612" t="n">
        <v>18.2</v>
      </c>
      <c r="D612">
        <f>IFERROR(MATCH($A612,PP_Grid[Intermediate],0),99999)</f>
        <v/>
      </c>
    </row>
    <row r="613">
      <c r="A613" t="inlineStr">
        <is>
          <t>TPP-911</t>
        </is>
      </c>
      <c r="B613" t="inlineStr">
        <is>
          <t>CHEM-1730</t>
        </is>
      </c>
      <c r="C613" t="n">
        <v>52.04</v>
      </c>
      <c r="D613">
        <f>IFERROR(MATCH($A613,PP_Grid[Intermediate],0),99999)</f>
        <v/>
      </c>
    </row>
    <row r="614">
      <c r="A614" t="inlineStr">
        <is>
          <t>TPP-911</t>
        </is>
      </c>
      <c r="B614" t="inlineStr">
        <is>
          <t>0JN</t>
        </is>
      </c>
      <c r="C614" t="n">
        <v>5.967</v>
      </c>
      <c r="D614">
        <f>IFERROR(MATCH($A614,PP_Grid[Intermediate],0),99999)</f>
        <v/>
      </c>
    </row>
    <row r="615">
      <c r="A615" t="inlineStr">
        <is>
          <t>TPP-533(A)</t>
        </is>
      </c>
      <c r="B615" t="inlineStr">
        <is>
          <t>CHEM-1540</t>
        </is>
      </c>
      <c r="C615" t="n">
        <v>18.64</v>
      </c>
      <c r="D615">
        <f>IFERROR(MATCH($A615,PP_Grid[Intermediate],0),99999)</f>
        <v/>
      </c>
    </row>
    <row r="616">
      <c r="A616" t="inlineStr">
        <is>
          <t>TPP-968</t>
        </is>
      </c>
      <c r="B616" t="inlineStr">
        <is>
          <t>CHEM-1520</t>
        </is>
      </c>
      <c r="C616" t="n">
        <v>22.27</v>
      </c>
      <c r="D616">
        <f>IFERROR(MATCH($A616,PP_Grid[Intermediate],0),99999)</f>
        <v/>
      </c>
    </row>
    <row r="617">
      <c r="A617" t="inlineStr">
        <is>
          <t>TPP-970</t>
        </is>
      </c>
      <c r="B617" t="inlineStr">
        <is>
          <t>CHEM-1490</t>
        </is>
      </c>
      <c r="C617" t="n">
        <v>24.44</v>
      </c>
      <c r="D617">
        <f>IFERROR(MATCH($A617,PP_Grid[Intermediate],0),99999)</f>
        <v/>
      </c>
    </row>
    <row r="618">
      <c r="A618" t="inlineStr">
        <is>
          <t>TPP-970</t>
        </is>
      </c>
      <c r="B618" t="inlineStr">
        <is>
          <t>CHEM-1520</t>
        </is>
      </c>
      <c r="C618" t="n">
        <v>13.63</v>
      </c>
      <c r="D618">
        <f>IFERROR(MATCH($A618,PP_Grid[Intermediate],0),99999)</f>
        <v/>
      </c>
    </row>
    <row r="619">
      <c r="A619" t="inlineStr">
        <is>
          <t>TPP-970</t>
        </is>
      </c>
      <c r="B619" t="inlineStr">
        <is>
          <t>0JN</t>
        </is>
      </c>
      <c r="C619" t="n">
        <v>6.331</v>
      </c>
      <c r="D619">
        <f>IFERROR(MATCH($A619,PP_Grid[Intermediate],0),99999)</f>
        <v/>
      </c>
    </row>
    <row r="620">
      <c r="A620" t="inlineStr">
        <is>
          <t>TPP-1367</t>
        </is>
      </c>
      <c r="B620" t="inlineStr">
        <is>
          <t>CHEM-1800</t>
        </is>
      </c>
      <c r="C620" t="n">
        <v>26.95</v>
      </c>
      <c r="D620">
        <f>IFERROR(MATCH($A620,PP_Grid[Intermediate],0),99999)</f>
        <v/>
      </c>
    </row>
    <row r="621">
      <c r="A621" t="inlineStr">
        <is>
          <t>TPP-1378</t>
        </is>
      </c>
      <c r="B621" t="inlineStr">
        <is>
          <t>CHEM-1800</t>
        </is>
      </c>
      <c r="C621" t="n">
        <v>21.935</v>
      </c>
      <c r="D621">
        <f>IFERROR(MATCH($A621,PP_Grid[Intermediate],0),99999)</f>
        <v/>
      </c>
    </row>
    <row r="622">
      <c r="A622" t="inlineStr">
        <is>
          <t>TPP-1369</t>
        </is>
      </c>
      <c r="B622" t="inlineStr">
        <is>
          <t>CHEM-1800</t>
        </is>
      </c>
      <c r="C622" t="n">
        <v>31.07</v>
      </c>
      <c r="D622">
        <f>IFERROR(MATCH($A622,PP_Grid[Intermediate],0),99999)</f>
        <v/>
      </c>
    </row>
    <row r="623">
      <c r="A623" t="inlineStr">
        <is>
          <t>TPP-1379</t>
        </is>
      </c>
      <c r="B623" t="inlineStr">
        <is>
          <t>CHEM-1800</t>
        </is>
      </c>
      <c r="C623" t="n">
        <v>20.31</v>
      </c>
      <c r="D623">
        <f>IFERROR(MATCH($A623,PP_Grid[Intermediate],0),99999)</f>
        <v/>
      </c>
    </row>
    <row r="624">
      <c r="A624" t="inlineStr">
        <is>
          <t>TPP-1368</t>
        </is>
      </c>
      <c r="B624" t="inlineStr">
        <is>
          <t>CHEM-1800</t>
        </is>
      </c>
      <c r="C624" t="n">
        <v>30.03</v>
      </c>
      <c r="D624">
        <f>IFERROR(MATCH($A624,PP_Grid[Intermediate],0),99999)</f>
        <v/>
      </c>
    </row>
    <row r="625">
      <c r="A625" t="inlineStr">
        <is>
          <t>TPP-914</t>
        </is>
      </c>
      <c r="B625" t="inlineStr">
        <is>
          <t>CHEM-1680</t>
        </is>
      </c>
      <c r="C625" t="n">
        <v>25.96</v>
      </c>
      <c r="D625">
        <f>IFERROR(MATCH($A625,PP_Grid[Intermediate],0),99999)</f>
        <v/>
      </c>
    </row>
    <row r="626">
      <c r="A626" t="inlineStr">
        <is>
          <t>TPP-919</t>
        </is>
      </c>
      <c r="B626" t="inlineStr">
        <is>
          <t>CHEM-1680</t>
        </is>
      </c>
      <c r="C626" t="n">
        <v>17.58</v>
      </c>
      <c r="D626">
        <f>IFERROR(MATCH($A626,PP_Grid[Intermediate],0),99999)</f>
        <v/>
      </c>
    </row>
    <row r="627">
      <c r="A627" t="inlineStr">
        <is>
          <t>TPP-635</t>
        </is>
      </c>
      <c r="B627" t="inlineStr">
        <is>
          <t>CHEM-1770</t>
        </is>
      </c>
      <c r="C627" t="n">
        <v>44.09</v>
      </c>
      <c r="D627">
        <f>IFERROR(MATCH($A627,PP_Grid[Intermediate],0),99999)</f>
        <v/>
      </c>
    </row>
    <row r="628">
      <c r="A628" t="inlineStr">
        <is>
          <t>TPP-825</t>
        </is>
      </c>
      <c r="B628" t="inlineStr">
        <is>
          <t>CHEM-1410</t>
        </is>
      </c>
      <c r="C628" t="n">
        <v>29.62</v>
      </c>
      <c r="D628">
        <f>IFERROR(MATCH($A628,PP_Grid[Intermediate],0),99999)</f>
        <v/>
      </c>
    </row>
    <row r="629">
      <c r="A629" t="inlineStr">
        <is>
          <t>TPP-912</t>
        </is>
      </c>
      <c r="B629" t="inlineStr">
        <is>
          <t>CHEM-1730</t>
        </is>
      </c>
      <c r="C629" t="n">
        <v>52.25</v>
      </c>
      <c r="D629">
        <f>IFERROR(MATCH($A629,PP_Grid[Intermediate],0),99999)</f>
        <v/>
      </c>
    </row>
    <row r="630">
      <c r="A630" t="inlineStr">
        <is>
          <t>TPP-912</t>
        </is>
      </c>
      <c r="B630" t="inlineStr">
        <is>
          <t>0JN</t>
        </is>
      </c>
      <c r="C630" t="n">
        <v>1.631</v>
      </c>
      <c r="D630">
        <f>IFERROR(MATCH($A630,PP_Grid[Intermediate],0),99999)</f>
        <v/>
      </c>
    </row>
    <row r="631">
      <c r="A631" t="inlineStr">
        <is>
          <t>TPP-916</t>
        </is>
      </c>
      <c r="B631" t="inlineStr">
        <is>
          <t>CHEM-1680</t>
        </is>
      </c>
      <c r="C631" t="n">
        <v>25.62</v>
      </c>
      <c r="D631">
        <f>IFERROR(MATCH($A631,PP_Grid[Intermediate],0),99999)</f>
        <v/>
      </c>
    </row>
    <row r="632">
      <c r="A632" t="inlineStr">
        <is>
          <t>TPP-917</t>
        </is>
      </c>
      <c r="B632" t="inlineStr">
        <is>
          <t>CHEM-1680</t>
        </is>
      </c>
      <c r="C632" t="n">
        <v>26.29</v>
      </c>
      <c r="D632">
        <f>IFERROR(MATCH($A632,PP_Grid[Intermediate],0),99999)</f>
        <v/>
      </c>
    </row>
    <row r="633">
      <c r="A633" t="inlineStr">
        <is>
          <t>TPP-922</t>
        </is>
      </c>
      <c r="B633" t="inlineStr">
        <is>
          <t>CHEM-1680</t>
        </is>
      </c>
      <c r="C633" t="n">
        <v>18.25</v>
      </c>
      <c r="D633">
        <f>IFERROR(MATCH($A633,PP_Grid[Intermediate],0),99999)</f>
        <v/>
      </c>
    </row>
    <row r="634">
      <c r="A634" t="inlineStr">
        <is>
          <t>TPP-923</t>
        </is>
      </c>
      <c r="B634" t="inlineStr">
        <is>
          <t>CHEM-1680</t>
        </is>
      </c>
      <c r="C634" t="n">
        <v>17.93</v>
      </c>
      <c r="D634">
        <f>IFERROR(MATCH($A634,PP_Grid[Intermediate],0),99999)</f>
        <v/>
      </c>
    </row>
    <row r="635">
      <c r="A635" t="inlineStr">
        <is>
          <t>No of times used</t>
        </is>
      </c>
      <c r="B635" t="inlineStr">
        <is>
          <t>CHEM-1220</t>
        </is>
      </c>
      <c r="C635" t="n">
        <v>3</v>
      </c>
      <c r="D635">
        <f>IFERROR(MATCH($A635,PP_Grid[Intermediate],0),99999)</f>
        <v/>
      </c>
    </row>
    <row r="636">
      <c r="A636" t="inlineStr">
        <is>
          <t>No of times used</t>
        </is>
      </c>
      <c r="B636" t="inlineStr">
        <is>
          <t>CHEM-1460</t>
        </is>
      </c>
      <c r="C636" t="n">
        <v>1</v>
      </c>
      <c r="D636">
        <f>IFERROR(MATCH($A636,PP_Grid[Intermediate],0),99999)</f>
        <v/>
      </c>
    </row>
    <row r="637">
      <c r="A637" t="inlineStr">
        <is>
          <t>No of times used</t>
        </is>
      </c>
      <c r="B637" t="inlineStr">
        <is>
          <t>CHEM-1410</t>
        </is>
      </c>
      <c r="C637" t="n">
        <v>10</v>
      </c>
      <c r="D637">
        <f>IFERROR(MATCH($A637,PP_Grid[Intermediate],0),99999)</f>
        <v/>
      </c>
    </row>
    <row r="638">
      <c r="A638" t="inlineStr">
        <is>
          <t>No of times used</t>
        </is>
      </c>
      <c r="B638" t="inlineStr">
        <is>
          <t>CHEM-1490</t>
        </is>
      </c>
      <c r="C638" t="n">
        <v>5</v>
      </c>
      <c r="D638">
        <f>IFERROR(MATCH($A638,PP_Grid[Intermediate],0),99999)</f>
        <v/>
      </c>
    </row>
    <row r="639">
      <c r="A639" t="inlineStr">
        <is>
          <t>No of times used</t>
        </is>
      </c>
      <c r="B639" t="inlineStr">
        <is>
          <t>CHEM-1520</t>
        </is>
      </c>
      <c r="C639" t="n">
        <v>5</v>
      </c>
      <c r="D639">
        <f>IFERROR(MATCH($A639,PP_Grid[Intermediate],0),99999)</f>
        <v/>
      </c>
    </row>
    <row r="640">
      <c r="A640" t="inlineStr">
        <is>
          <t>No of times used</t>
        </is>
      </c>
      <c r="B640" t="inlineStr">
        <is>
          <t>CHEM-1540</t>
        </is>
      </c>
      <c r="C640" t="n">
        <v>3</v>
      </c>
      <c r="D640">
        <f>IFERROR(MATCH($A640,PP_Grid[Intermediate],0),99999)</f>
        <v/>
      </c>
    </row>
    <row r="641">
      <c r="A641" t="inlineStr">
        <is>
          <t>No of times used</t>
        </is>
      </c>
      <c r="B641" t="inlineStr">
        <is>
          <t>CHEM-1530</t>
        </is>
      </c>
      <c r="C641" t="n">
        <v>1</v>
      </c>
      <c r="D641">
        <f>IFERROR(MATCH($A641,PP_Grid[Intermediate],0),99999)</f>
        <v/>
      </c>
    </row>
    <row r="642">
      <c r="A642" t="inlineStr">
        <is>
          <t>No of times used</t>
        </is>
      </c>
      <c r="B642" t="inlineStr">
        <is>
          <t>CHEM-1710</t>
        </is>
      </c>
      <c r="C642" t="n">
        <v>1</v>
      </c>
      <c r="D642">
        <f>IFERROR(MATCH($A642,PP_Grid[Intermediate],0),99999)</f>
        <v/>
      </c>
    </row>
    <row r="643">
      <c r="A643" t="inlineStr">
        <is>
          <t>No of times used</t>
        </is>
      </c>
      <c r="B643" t="inlineStr">
        <is>
          <t>CHEM-1110</t>
        </is>
      </c>
      <c r="C643" t="n">
        <v>1</v>
      </c>
      <c r="D643">
        <f>IFERROR(MATCH($A643,PP_Grid[Intermediate],0),99999)</f>
        <v/>
      </c>
    </row>
    <row r="644">
      <c r="A644" t="inlineStr">
        <is>
          <t>No of times used</t>
        </is>
      </c>
      <c r="B644" t="inlineStr">
        <is>
          <t>CHEM-1770</t>
        </is>
      </c>
      <c r="C644" t="n">
        <v>1</v>
      </c>
      <c r="D644">
        <f>IFERROR(MATCH($A644,PP_Grid[Intermediate],0),99999)</f>
        <v/>
      </c>
    </row>
    <row r="645">
      <c r="A645" t="inlineStr">
        <is>
          <t>No of times used</t>
        </is>
      </c>
      <c r="B645" t="inlineStr">
        <is>
          <t>CHEM-1730</t>
        </is>
      </c>
      <c r="C645" t="n">
        <v>2</v>
      </c>
      <c r="D645">
        <f>IFERROR(MATCH($A645,PP_Grid[Intermediate],0),99999)</f>
        <v/>
      </c>
    </row>
    <row r="646">
      <c r="A646" t="inlineStr">
        <is>
          <t>No of times used</t>
        </is>
      </c>
      <c r="B646" t="inlineStr">
        <is>
          <t>CHEM-1680</t>
        </is>
      </c>
      <c r="C646" t="n">
        <v>10</v>
      </c>
      <c r="D646">
        <f>IFERROR(MATCH($A646,PP_Grid[Intermediate],0),99999)</f>
        <v/>
      </c>
    </row>
    <row r="647">
      <c r="A647" t="inlineStr">
        <is>
          <t>No of times used</t>
        </is>
      </c>
      <c r="B647" t="inlineStr">
        <is>
          <t>0JN</t>
        </is>
      </c>
      <c r="C647" t="n">
        <v>13</v>
      </c>
      <c r="D647">
        <f>IFERROR(MATCH($A647,PP_Grid[Intermediate],0),99999)</f>
        <v/>
      </c>
    </row>
    <row r="648">
      <c r="A648" t="inlineStr">
        <is>
          <t>0Q110</t>
        </is>
      </c>
      <c r="B648" t="inlineStr">
        <is>
          <t>5SN</t>
        </is>
      </c>
      <c r="C648" t="n">
        <v>1</v>
      </c>
      <c r="D648">
        <f>IFERROR(MATCH($A648,PP_Grid[Intermediate],0),99999)</f>
        <v/>
      </c>
    </row>
    <row r="649">
      <c r="A649" t="inlineStr">
        <is>
          <t>0Q120</t>
        </is>
      </c>
      <c r="B649" t="inlineStr">
        <is>
          <t>7EP</t>
        </is>
      </c>
      <c r="C649" t="n">
        <v>1</v>
      </c>
      <c r="D649">
        <f>IFERROR(MATCH($A649,PP_Grid[Intermediate],0),99999)</f>
        <v/>
      </c>
    </row>
    <row r="650">
      <c r="A650" t="inlineStr">
        <is>
          <t>0TA30</t>
        </is>
      </c>
      <c r="B650" t="inlineStr">
        <is>
          <t>TDJ</t>
        </is>
      </c>
      <c r="C650" t="n">
        <v>1</v>
      </c>
      <c r="D650">
        <f>IFERROR(MATCH($A650,PP_Grid[Intermediate],0),99999)</f>
        <v/>
      </c>
    </row>
    <row r="651">
      <c r="A651" t="inlineStr">
        <is>
          <t>20p</t>
        </is>
      </c>
      <c r="B651" t="inlineStr">
        <is>
          <t>CHEM-1020</t>
        </is>
      </c>
      <c r="C651" t="n">
        <v>25</v>
      </c>
      <c r="D651">
        <f>IFERROR(MATCH($A651,PP_Grid[Intermediate],0),99999)</f>
        <v/>
      </c>
    </row>
    <row r="652">
      <c r="A652" t="inlineStr">
        <is>
          <t>Ester Film</t>
        </is>
      </c>
      <c r="B652" t="inlineStr">
        <is>
          <t>Ester Film</t>
        </is>
      </c>
      <c r="C652" t="n">
        <v>35</v>
      </c>
      <c r="D652">
        <f>IFERROR(MATCH($A652,PP_Grid[Intermediate],0),99999)</f>
        <v/>
      </c>
    </row>
    <row r="653">
      <c r="A653" t="inlineStr">
        <is>
          <t>F2090</t>
        </is>
      </c>
      <c r="B653" t="inlineStr">
        <is>
          <t>0JN</t>
        </is>
      </c>
      <c r="C653" t="n">
        <v>1</v>
      </c>
      <c r="D653">
        <f>IFERROR(MATCH($A653,PP_Grid[Intermediate],0),99999)</f>
        <v/>
      </c>
    </row>
    <row r="654">
      <c r="A654" t="inlineStr">
        <is>
          <t>F2290</t>
        </is>
      </c>
      <c r="B654" t="inlineStr">
        <is>
          <t>3TP</t>
        </is>
      </c>
      <c r="C654" t="n">
        <v>1</v>
      </c>
      <c r="D654">
        <f>IFERROR(MATCH($A654,PP_Grid[Intermediate],0),99999)</f>
        <v/>
      </c>
    </row>
    <row r="655">
      <c r="A655" t="inlineStr">
        <is>
          <t>K0050</t>
        </is>
      </c>
      <c r="B655" t="inlineStr">
        <is>
          <t>9RN</t>
        </is>
      </c>
      <c r="C655" t="n">
        <v>1</v>
      </c>
      <c r="D655">
        <f>IFERROR(MATCH($A655,PP_Grid[Intermediate],0),99999)</f>
        <v/>
      </c>
    </row>
    <row r="656">
      <c r="A656" t="inlineStr">
        <is>
          <t>PP Film</t>
        </is>
      </c>
      <c r="B656" t="inlineStr">
        <is>
          <t>PP Film</t>
        </is>
      </c>
      <c r="C656" t="n">
        <v>4</v>
      </c>
      <c r="D656">
        <f>IFERROR(MATCH($A656,PP_Grid[Intermediate],0),99999)</f>
        <v/>
      </c>
    </row>
    <row r="657">
      <c r="A657" t="inlineStr">
        <is>
          <t>TPP-103</t>
        </is>
      </c>
      <c r="B657" t="inlineStr">
        <is>
          <t>CHEM-1110</t>
        </is>
      </c>
      <c r="C657" t="n">
        <v>23.75</v>
      </c>
      <c r="D657">
        <f>IFERROR(MATCH($A657,PP_Grid[Intermediate],0),99999)</f>
        <v/>
      </c>
    </row>
    <row r="658">
      <c r="A658" t="inlineStr">
        <is>
          <t>TPP-1459</t>
        </is>
      </c>
      <c r="B658" t="inlineStr">
        <is>
          <t>CHEM-1820</t>
        </is>
      </c>
      <c r="C658" t="n">
        <v>32.63</v>
      </c>
      <c r="D658">
        <f>IFERROR(MATCH($A658,PP_Grid[Intermediate],0),99999)</f>
        <v/>
      </c>
    </row>
    <row r="659">
      <c r="A659" t="inlineStr">
        <is>
          <t>TPP-1466</t>
        </is>
      </c>
      <c r="B659" t="inlineStr">
        <is>
          <t>CHEM-1820</t>
        </is>
      </c>
      <c r="C659" t="n">
        <v>32.63</v>
      </c>
      <c r="D659">
        <f>IFERROR(MATCH($A659,PP_Grid[Intermediate],0),99999)</f>
        <v/>
      </c>
    </row>
    <row r="660">
      <c r="A660" t="inlineStr">
        <is>
          <t>TPP-2245</t>
        </is>
      </c>
      <c r="B660" t="inlineStr">
        <is>
          <t>CHEM-1830</t>
        </is>
      </c>
      <c r="C660" t="n">
        <v>0</v>
      </c>
      <c r="D660">
        <f>IFERROR(MATCH($A660,PP_Grid[Intermediate],0),99999)</f>
        <v/>
      </c>
    </row>
    <row r="661">
      <c r="A661" t="inlineStr">
        <is>
          <t>TSP-1388</t>
        </is>
      </c>
      <c r="B661" t="inlineStr">
        <is>
          <t>CHEM-1510</t>
        </is>
      </c>
      <c r="C661" t="n">
        <v>1.873</v>
      </c>
      <c r="D661">
        <f>IFERROR(MATCH($A661,PP_Grid[Intermediate],0),99999)</f>
        <v/>
      </c>
    </row>
    <row r="662">
      <c r="A662" t="inlineStr">
        <is>
          <t>TSP-1388</t>
        </is>
      </c>
      <c r="B662" t="inlineStr">
        <is>
          <t>CHEM-1570</t>
        </is>
      </c>
      <c r="C662" t="n">
        <v>0.231</v>
      </c>
      <c r="D662">
        <f>IFERROR(MATCH($A662,PP_Grid[Intermediate],0),99999)</f>
        <v/>
      </c>
    </row>
    <row r="663">
      <c r="A663" t="inlineStr">
        <is>
          <t>TSP-1388</t>
        </is>
      </c>
      <c r="B663" t="inlineStr">
        <is>
          <t>CHEM-1600</t>
        </is>
      </c>
      <c r="C663" t="n">
        <v>13</v>
      </c>
      <c r="D663">
        <f>IFERROR(MATCH($A663,PP_Grid[Intermediate],0),99999)</f>
        <v/>
      </c>
    </row>
    <row r="664">
      <c r="A664" t="inlineStr">
        <is>
          <t>TSP-1444</t>
        </is>
      </c>
      <c r="B664" t="inlineStr">
        <is>
          <t>CHEM-1570</t>
        </is>
      </c>
      <c r="C664" t="n">
        <v>0.259</v>
      </c>
      <c r="D664">
        <f>IFERROR(MATCH($A664,PP_Grid[Intermediate],0),99999)</f>
        <v/>
      </c>
    </row>
    <row r="665">
      <c r="A665" t="inlineStr">
        <is>
          <t>TSP-1445</t>
        </is>
      </c>
      <c r="B665" t="inlineStr">
        <is>
          <t>CHEM-1570</t>
        </is>
      </c>
      <c r="C665" t="n">
        <v>0.268</v>
      </c>
      <c r="D665">
        <f>IFERROR(MATCH($A665,PP_Grid[Intermediate],0),99999)</f>
        <v/>
      </c>
    </row>
    <row r="666">
      <c r="A666" t="inlineStr">
        <is>
          <t>TSP-1446</t>
        </is>
      </c>
      <c r="B666" t="inlineStr">
        <is>
          <t>CHEM-1570</t>
        </is>
      </c>
      <c r="C666" t="n">
        <v>0.302</v>
      </c>
      <c r="D666">
        <f>IFERROR(MATCH($A666,PP_Grid[Intermediate],0),99999)</f>
        <v/>
      </c>
    </row>
    <row r="667">
      <c r="A667" t="inlineStr">
        <is>
          <t>TSP-1448</t>
        </is>
      </c>
      <c r="B667" t="inlineStr">
        <is>
          <t>CHEM-1570</t>
        </is>
      </c>
      <c r="C667" t="n">
        <v>0.062</v>
      </c>
      <c r="D667">
        <f>IFERROR(MATCH($A667,PP_Grid[Intermediate],0),99999)</f>
        <v/>
      </c>
    </row>
    <row r="668">
      <c r="A668" t="inlineStr">
        <is>
          <t>TSP-1449</t>
        </is>
      </c>
      <c r="B668" t="inlineStr">
        <is>
          <t>CHEM-1240</t>
        </is>
      </c>
      <c r="C668" t="n">
        <v>20</v>
      </c>
      <c r="D668">
        <f>IFERROR(MATCH($A668,PP_Grid[Intermediate],0),99999)</f>
        <v/>
      </c>
    </row>
    <row r="669">
      <c r="A669" t="inlineStr">
        <is>
          <t>TSP-1449</t>
        </is>
      </c>
      <c r="B669" t="inlineStr">
        <is>
          <t>CHEM-1540</t>
        </is>
      </c>
      <c r="C669" t="n">
        <v>15</v>
      </c>
      <c r="D669">
        <f>IFERROR(MATCH($A669,PP_Grid[Intermediate],0),99999)</f>
        <v/>
      </c>
    </row>
    <row r="670">
      <c r="A670" t="inlineStr">
        <is>
          <t>TSP-1449</t>
        </is>
      </c>
      <c r="B670" t="inlineStr">
        <is>
          <t>CHEM-1570</t>
        </is>
      </c>
      <c r="C670" t="n">
        <v>0.12</v>
      </c>
      <c r="D670">
        <f>IFERROR(MATCH($A670,PP_Grid[Intermediate],0),99999)</f>
        <v/>
      </c>
    </row>
    <row r="671">
      <c r="A671" t="inlineStr">
        <is>
          <t>TSP-1449</t>
        </is>
      </c>
      <c r="B671" t="inlineStr">
        <is>
          <t>CHEM-1700</t>
        </is>
      </c>
      <c r="C671" t="n">
        <v>1.5</v>
      </c>
      <c r="D671">
        <f>IFERROR(MATCH($A671,PP_Grid[Intermediate],0),99999)</f>
        <v/>
      </c>
    </row>
    <row r="672">
      <c r="A672" t="inlineStr">
        <is>
          <t>TSP-1449</t>
        </is>
      </c>
      <c r="B672" t="inlineStr">
        <is>
          <t>CHEM-1720</t>
        </is>
      </c>
      <c r="C672" t="n">
        <v>10</v>
      </c>
      <c r="D672">
        <f>IFERROR(MATCH($A672,PP_Grid[Intermediate],0),99999)</f>
        <v/>
      </c>
    </row>
    <row r="673">
      <c r="A673" t="inlineStr">
        <is>
          <t>TSP-1499</t>
        </is>
      </c>
      <c r="B673" t="inlineStr">
        <is>
          <t>CHEM-1400</t>
        </is>
      </c>
      <c r="C673" t="n">
        <v>0.7</v>
      </c>
      <c r="D673">
        <f>IFERROR(MATCH($A673,PP_Grid[Intermediate],0),99999)</f>
        <v/>
      </c>
    </row>
    <row r="674">
      <c r="A674" t="inlineStr">
        <is>
          <t>TSP-1499</t>
        </is>
      </c>
      <c r="B674" t="inlineStr">
        <is>
          <t>CHEM-1420</t>
        </is>
      </c>
      <c r="C674" t="n">
        <v>0.2</v>
      </c>
      <c r="D674">
        <f>IFERROR(MATCH($A674,PP_Grid[Intermediate],0),99999)</f>
        <v/>
      </c>
    </row>
    <row r="675">
      <c r="A675" t="inlineStr">
        <is>
          <t>TSP-1499</t>
        </is>
      </c>
      <c r="B675" t="inlineStr">
        <is>
          <t>CHEM-1530</t>
        </is>
      </c>
      <c r="C675" t="n">
        <v>19.03</v>
      </c>
      <c r="D675">
        <f>IFERROR(MATCH($A675,PP_Grid[Intermediate],0),99999)</f>
        <v/>
      </c>
    </row>
    <row r="676">
      <c r="A676" t="inlineStr">
        <is>
          <t>TSP-1499</t>
        </is>
      </c>
      <c r="B676" t="inlineStr">
        <is>
          <t>CHEM-1570</t>
        </is>
      </c>
      <c r="C676" t="n">
        <v>0.08</v>
      </c>
      <c r="D676">
        <f>IFERROR(MATCH($A676,PP_Grid[Intermediate],0),99999)</f>
        <v/>
      </c>
    </row>
    <row r="677">
      <c r="A677" t="inlineStr">
        <is>
          <t>TSP-1499</t>
        </is>
      </c>
      <c r="B677" t="inlineStr">
        <is>
          <t>CHEM-1670</t>
        </is>
      </c>
      <c r="C677" t="n">
        <v>0.8</v>
      </c>
      <c r="D677">
        <f>IFERROR(MATCH($A677,PP_Grid[Intermediate],0),99999)</f>
        <v/>
      </c>
    </row>
    <row r="678">
      <c r="A678" t="inlineStr">
        <is>
          <t>TSP-1499</t>
        </is>
      </c>
      <c r="B678" t="inlineStr">
        <is>
          <t>CHEM-1700</t>
        </is>
      </c>
      <c r="C678" t="n">
        <v>0.79</v>
      </c>
      <c r="D678">
        <f>IFERROR(MATCH($A678,PP_Grid[Intermediate],0),99999)</f>
        <v/>
      </c>
    </row>
    <row r="679">
      <c r="A679" t="inlineStr">
        <is>
          <t>TSP-1499</t>
        </is>
      </c>
      <c r="B679" t="inlineStr">
        <is>
          <t>CHEM-1720</t>
        </is>
      </c>
      <c r="C679" t="n">
        <v>4.83</v>
      </c>
      <c r="D679">
        <f>IFERROR(MATCH($A679,PP_Grid[Intermediate],0),99999)</f>
        <v/>
      </c>
    </row>
    <row r="680">
      <c r="A680" t="inlineStr">
        <is>
          <t>TSP-1499</t>
        </is>
      </c>
      <c r="B680" t="inlineStr">
        <is>
          <t>CHEM-1780</t>
        </is>
      </c>
      <c r="C680" t="n">
        <v>0.2</v>
      </c>
      <c r="D680">
        <f>IFERROR(MATCH($A680,PP_Grid[Intermediate],0),99999)</f>
        <v/>
      </c>
    </row>
    <row r="681">
      <c r="A681" t="inlineStr">
        <is>
          <t>TSP-1558</t>
        </is>
      </c>
      <c r="B681" t="inlineStr">
        <is>
          <t>CHEM-1240</t>
        </is>
      </c>
      <c r="C681" t="n">
        <v>11.18</v>
      </c>
      <c r="D681">
        <f>IFERROR(MATCH($A681,PP_Grid[Intermediate],0),99999)</f>
        <v/>
      </c>
    </row>
    <row r="682">
      <c r="A682" t="inlineStr">
        <is>
          <t>TSP-1558</t>
        </is>
      </c>
      <c r="B682" t="inlineStr">
        <is>
          <t>CHEM-1420</t>
        </is>
      </c>
      <c r="C682" t="n">
        <v>0.31</v>
      </c>
      <c r="D682">
        <f>IFERROR(MATCH($A682,PP_Grid[Intermediate],0),99999)</f>
        <v/>
      </c>
    </row>
    <row r="683">
      <c r="A683" t="inlineStr">
        <is>
          <t>TSP-1558</t>
        </is>
      </c>
      <c r="B683" t="inlineStr">
        <is>
          <t>CHEM-1440</t>
        </is>
      </c>
      <c r="C683" t="n">
        <v>0.5</v>
      </c>
      <c r="D683">
        <f>IFERROR(MATCH($A683,PP_Grid[Intermediate],0),99999)</f>
        <v/>
      </c>
    </row>
    <row r="684">
      <c r="A684" t="inlineStr">
        <is>
          <t>TSP-1558</t>
        </is>
      </c>
      <c r="B684" t="inlineStr">
        <is>
          <t>CHEM-1570</t>
        </is>
      </c>
      <c r="C684" t="n">
        <v>0.17</v>
      </c>
      <c r="D684">
        <f>IFERROR(MATCH($A684,PP_Grid[Intermediate],0),99999)</f>
        <v/>
      </c>
    </row>
    <row r="685">
      <c r="A685" t="inlineStr">
        <is>
          <t>TSP-1558</t>
        </is>
      </c>
      <c r="B685" t="inlineStr">
        <is>
          <t>CHEM-1830</t>
        </is>
      </c>
      <c r="C685" t="n">
        <v>13.47</v>
      </c>
      <c r="D685">
        <f>IFERROR(MATCH($A685,PP_Grid[Intermediate],0),99999)</f>
        <v/>
      </c>
    </row>
    <row r="686">
      <c r="A686" t="inlineStr">
        <is>
          <t>TSP-1558</t>
        </is>
      </c>
      <c r="B686" t="inlineStr">
        <is>
          <t>CHEM-1840</t>
        </is>
      </c>
      <c r="C686" t="n">
        <v>1.99</v>
      </c>
      <c r="D686">
        <f>IFERROR(MATCH($A686,PP_Grid[Intermediate],0),99999)</f>
        <v/>
      </c>
    </row>
    <row r="687">
      <c r="A687" t="inlineStr">
        <is>
          <t>TSP-1558</t>
        </is>
      </c>
      <c r="B687" t="inlineStr">
        <is>
          <t>CHEM-1850</t>
        </is>
      </c>
      <c r="C687" t="n">
        <v>18.65</v>
      </c>
      <c r="D687">
        <f>IFERROR(MATCH($A687,PP_Grid[Intermediate],0),99999)</f>
        <v/>
      </c>
    </row>
    <row r="688">
      <c r="A688" t="inlineStr">
        <is>
          <t>TSP-1559</t>
        </is>
      </c>
      <c r="B688" t="inlineStr">
        <is>
          <t>CHEM-1830</t>
        </is>
      </c>
      <c r="C688" t="n">
        <v>0</v>
      </c>
      <c r="D688">
        <f>IFERROR(MATCH($A688,PP_Grid[Intermediate],0),99999)</f>
        <v/>
      </c>
    </row>
    <row r="689">
      <c r="A689" t="inlineStr">
        <is>
          <t>TSP-1559</t>
        </is>
      </c>
      <c r="B689" t="inlineStr">
        <is>
          <t>CHEM-1840</t>
        </is>
      </c>
      <c r="C689" t="n">
        <v>1.99</v>
      </c>
      <c r="D689">
        <f>IFERROR(MATCH($A689,PP_Grid[Intermediate],0),99999)</f>
        <v/>
      </c>
    </row>
    <row r="690">
      <c r="A690" t="inlineStr">
        <is>
          <t>TSP-2157</t>
        </is>
      </c>
      <c r="B690" t="inlineStr">
        <is>
          <t>CHEM-1830</t>
        </is>
      </c>
      <c r="C690" t="n">
        <v>0</v>
      </c>
      <c r="D690">
        <f>IFERROR(MATCH($A690,PP_Grid[Intermediate],0),99999)</f>
        <v/>
      </c>
    </row>
    <row r="691">
      <c r="A691" t="inlineStr">
        <is>
          <t>TSP-2168</t>
        </is>
      </c>
      <c r="B691" t="inlineStr">
        <is>
          <t>CHEM-1830</t>
        </is>
      </c>
      <c r="C691" t="n">
        <v>0</v>
      </c>
      <c r="D691">
        <f>IFERROR(MATCH($A691,PP_Grid[Intermediate],0),99999)</f>
        <v/>
      </c>
    </row>
    <row r="692">
      <c r="A692" t="inlineStr">
        <is>
          <t>TSP-219</t>
        </is>
      </c>
      <c r="B692" t="inlineStr">
        <is>
          <t>CHEM-1820</t>
        </is>
      </c>
      <c r="C692" t="n">
        <v>0</v>
      </c>
      <c r="D692">
        <f>IFERROR(MATCH($A692,PP_Grid[Intermediate],0),99999)</f>
        <v/>
      </c>
    </row>
    <row r="693">
      <c r="A693" t="inlineStr">
        <is>
          <t>TSP-360</t>
        </is>
      </c>
      <c r="B693" t="inlineStr">
        <is>
          <t>CHEM-1850</t>
        </is>
      </c>
      <c r="C693" t="n">
        <v>16.71</v>
      </c>
      <c r="D693">
        <f>IFERROR(MATCH($A693,PP_Grid[Intermediate],0),99999)</f>
        <v/>
      </c>
    </row>
    <row r="694">
      <c r="A694" t="inlineStr">
        <is>
          <t>TSP-367</t>
        </is>
      </c>
      <c r="B694" t="inlineStr">
        <is>
          <t>CHEM-1850</t>
        </is>
      </c>
      <c r="C694" t="n">
        <v>24.55</v>
      </c>
      <c r="D694">
        <f>IFERROR(MATCH($A694,PP_Grid[Intermediate],0),99999)</f>
        <v/>
      </c>
    </row>
    <row r="695">
      <c r="A695" t="inlineStr">
        <is>
          <t>TSP-544</t>
        </is>
      </c>
      <c r="B695" t="inlineStr">
        <is>
          <t>CHEM-1850</t>
        </is>
      </c>
      <c r="C695" t="n">
        <v>13.227</v>
      </c>
      <c r="D695">
        <f>IFERROR(MATCH($A695,PP_Grid[Intermediate],0),99999)</f>
        <v/>
      </c>
    </row>
    <row r="696">
      <c r="A696" t="inlineStr">
        <is>
          <t>TSP-655</t>
        </is>
      </c>
      <c r="B696" t="inlineStr">
        <is>
          <t>CHEM-1570</t>
        </is>
      </c>
      <c r="C696" t="n">
        <v>0.928</v>
      </c>
      <c r="D696">
        <f>IFERROR(MATCH($A696,PP_Grid[Intermediate],0),99999)</f>
        <v/>
      </c>
    </row>
    <row r="697">
      <c r="A697" t="inlineStr">
        <is>
          <t>TSP-656</t>
        </is>
      </c>
      <c r="B697" t="inlineStr">
        <is>
          <t>CHEM-1570</t>
        </is>
      </c>
      <c r="C697" t="n">
        <v>0.462</v>
      </c>
      <c r="D697">
        <f>IFERROR(MATCH($A697,PP_Grid[Intermediate],0),99999)</f>
        <v/>
      </c>
    </row>
    <row r="698">
      <c r="A698" t="inlineStr">
        <is>
          <t>TSP-710</t>
        </is>
      </c>
      <c r="B698" t="inlineStr">
        <is>
          <t>CHEM-1850</t>
        </is>
      </c>
      <c r="C698" t="n">
        <v>20.155</v>
      </c>
      <c r="D698">
        <f>IFERROR(MATCH($A698,PP_Grid[Intermediate],0),99999)</f>
        <v/>
      </c>
    </row>
    <row r="699">
      <c r="A699" t="inlineStr">
        <is>
          <t>TSP-903</t>
        </is>
      </c>
      <c r="B699" t="inlineStr">
        <is>
          <t>CHEM-1570</t>
        </is>
      </c>
      <c r="C699" t="n">
        <v>0.018</v>
      </c>
      <c r="D699">
        <f>IFERROR(MATCH($A699,PP_Grid[Intermediate],0),99999)</f>
        <v/>
      </c>
    </row>
    <row r="700">
      <c r="A700" t="inlineStr">
        <is>
          <t>TSP-924</t>
        </is>
      </c>
      <c r="B700" t="inlineStr">
        <is>
          <t>CHEM-1510</t>
        </is>
      </c>
      <c r="C700" t="n">
        <v>0.44</v>
      </c>
      <c r="D700">
        <f>IFERROR(MATCH($A700,PP_Grid[Intermediate],0),99999)</f>
        <v/>
      </c>
    </row>
    <row r="701">
      <c r="A701" t="inlineStr">
        <is>
          <t>TSP-924</t>
        </is>
      </c>
      <c r="B701" t="inlineStr">
        <is>
          <t>CHEM-1600</t>
        </is>
      </c>
      <c r="C701" t="n">
        <v>15.094</v>
      </c>
      <c r="D701">
        <f>IFERROR(MATCH($A701,PP_Grid[Intermediate],0),99999)</f>
        <v/>
      </c>
    </row>
    <row r="702">
      <c r="A702" t="inlineStr">
        <is>
          <t>TSP-925</t>
        </is>
      </c>
      <c r="B702" t="inlineStr">
        <is>
          <t>CHEM-1510</t>
        </is>
      </c>
      <c r="C702" t="n">
        <v>0.44</v>
      </c>
      <c r="D702">
        <f>IFERROR(MATCH($A702,PP_Grid[Intermediate],0),99999)</f>
        <v/>
      </c>
    </row>
    <row r="703">
      <c r="A703" t="inlineStr">
        <is>
          <t>TSP-925</t>
        </is>
      </c>
      <c r="B703" t="inlineStr">
        <is>
          <t>CHEM-1600</t>
        </is>
      </c>
      <c r="C703" t="n">
        <v>15.121</v>
      </c>
      <c r="D703">
        <f>IFERROR(MATCH($A703,PP_Grid[Intermediate],0),99999)</f>
        <v/>
      </c>
    </row>
    <row r="704">
      <c r="A704" t="inlineStr">
        <is>
          <t>TSP-935</t>
        </is>
      </c>
      <c r="B704" t="inlineStr">
        <is>
          <t>CHEM-1570</t>
        </is>
      </c>
      <c r="C704" t="n">
        <v>0.081</v>
      </c>
      <c r="D704">
        <f>IFERROR(MATCH($A704,PP_Grid[Intermediate],0),99999)</f>
        <v/>
      </c>
    </row>
    <row r="705">
      <c r="A705" t="inlineStr">
        <is>
          <t>TSP-937</t>
        </is>
      </c>
      <c r="B705" t="inlineStr">
        <is>
          <t>CHEM-1570</t>
        </is>
      </c>
      <c r="C705" t="n">
        <v>0.079</v>
      </c>
      <c r="D705">
        <f>IFERROR(MATCH($A705,PP_Grid[Intermediate],0),99999)</f>
        <v/>
      </c>
    </row>
    <row r="706">
      <c r="A706" t="inlineStr">
        <is>
          <t>TSP-959</t>
        </is>
      </c>
      <c r="B706" t="inlineStr">
        <is>
          <t>CHEM-1570</t>
        </is>
      </c>
      <c r="C706" t="n">
        <v>0.07099999999999999</v>
      </c>
      <c r="D706">
        <f>IFERROR(MATCH($A706,PP_Grid[Intermediate],0),99999)</f>
        <v/>
      </c>
    </row>
    <row r="707">
      <c r="A707" t="inlineStr">
        <is>
          <t>TSP-966</t>
        </is>
      </c>
      <c r="B707" t="inlineStr">
        <is>
          <t>CHEM-1570</t>
        </is>
      </c>
      <c r="C707" t="n">
        <v>0.0377</v>
      </c>
      <c r="D707">
        <f>IFERROR(MATCH($A707,PP_Grid[Intermediate],0),99999)</f>
        <v/>
      </c>
    </row>
    <row r="708">
      <c r="A708" t="inlineStr">
        <is>
          <t>TSP-WACZ</t>
        </is>
      </c>
      <c r="B708" t="inlineStr">
        <is>
          <t>CHEM-1110</t>
        </is>
      </c>
      <c r="C708" t="n">
        <v>0</v>
      </c>
      <c r="D708">
        <f>IFERROR(MATCH($A708,PP_Grid[Intermediate],0),99999)</f>
        <v/>
      </c>
    </row>
    <row r="709">
      <c r="A709" t="inlineStr">
        <is>
          <t>TSZ-616</t>
        </is>
      </c>
      <c r="B709" t="inlineStr">
        <is>
          <t>CHEM-1570</t>
        </is>
      </c>
      <c r="C709" t="n">
        <v>0.04</v>
      </c>
      <c r="D709">
        <f>IFERROR(MATCH($A709,PP_Grid[Intermediate],0),99999)</f>
        <v/>
      </c>
    </row>
    <row r="710">
      <c r="A710" t="inlineStr">
        <is>
          <t>TVS-267</t>
        </is>
      </c>
      <c r="B710" t="inlineStr">
        <is>
          <t>CHEM-1570</t>
        </is>
      </c>
      <c r="C710" t="n">
        <v>0.09032</v>
      </c>
      <c r="D710">
        <f>IFERROR(MATCH($A710,PP_Grid[Intermediate],0),99999)</f>
        <v/>
      </c>
    </row>
    <row r="711">
      <c r="A711" t="inlineStr">
        <is>
          <t>TVS-833</t>
        </is>
      </c>
      <c r="B711" t="inlineStr">
        <is>
          <t>CHEM-1570</t>
        </is>
      </c>
      <c r="C711" t="n">
        <v>0.17607</v>
      </c>
      <c r="D711">
        <f>IFERROR(MATCH($A711,PP_Grid[Intermediate],0),99999)</f>
        <v/>
      </c>
    </row>
    <row r="712">
      <c r="A712" t="inlineStr">
        <is>
          <t>VSP-600</t>
        </is>
      </c>
      <c r="B712" t="inlineStr">
        <is>
          <t>CHEM-1650</t>
        </is>
      </c>
      <c r="C712" t="n">
        <v>0.044845592</v>
      </c>
      <c r="D712">
        <f>IFERROR(MATCH($A712,PP_Grid[Intermediate],0),99999)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9" t="inlineStr">
        <is>
          <t>Intermediate</t>
        </is>
      </c>
      <c r="B1" s="29" t="inlineStr">
        <is>
          <t>2026-W01</t>
        </is>
      </c>
      <c r="C1" s="29" t="inlineStr">
        <is>
          <t>2026-W02</t>
        </is>
      </c>
      <c r="D1" s="29" t="inlineStr">
        <is>
          <t>2026-W03</t>
        </is>
      </c>
      <c r="E1" s="29" t="inlineStr">
        <is>
          <t>2026-W04</t>
        </is>
      </c>
      <c r="F1" s="29" t="inlineStr">
        <is>
          <t>2026-W05</t>
        </is>
      </c>
      <c r="G1" s="29" t="inlineStr">
        <is>
          <t>2026-W06</t>
        </is>
      </c>
      <c r="H1" s="29" t="inlineStr">
        <is>
          <t>2026-W07</t>
        </is>
      </c>
      <c r="I1" s="29" t="inlineStr">
        <is>
          <t>2026-W08</t>
        </is>
      </c>
      <c r="J1" s="29" t="inlineStr">
        <is>
          <t>2026-W09</t>
        </is>
      </c>
      <c r="K1" s="29" t="inlineStr">
        <is>
          <t>2026-W10</t>
        </is>
      </c>
      <c r="L1" s="29" t="inlineStr">
        <is>
          <t>2026-W11</t>
        </is>
      </c>
      <c r="M1" s="29" t="inlineStr">
        <is>
          <t>2026-W12</t>
        </is>
      </c>
      <c r="N1" s="29" t="inlineStr">
        <is>
          <t>2026-W13</t>
        </is>
      </c>
      <c r="O1" s="29" t="inlineStr">
        <is>
          <t>2026-W14</t>
        </is>
      </c>
      <c r="P1" s="29" t="inlineStr">
        <is>
          <t>2026-W15</t>
        </is>
      </c>
      <c r="Q1" s="29" t="inlineStr">
        <is>
          <t>2026-W16</t>
        </is>
      </c>
      <c r="R1" s="29" t="inlineStr">
        <is>
          <t>2026-W17</t>
        </is>
      </c>
      <c r="S1" s="29" t="inlineStr">
        <is>
          <t>2026-W18</t>
        </is>
      </c>
      <c r="T1" s="29" t="inlineStr">
        <is>
          <t>2026-W19</t>
        </is>
      </c>
      <c r="U1" s="29" t="inlineStr">
        <is>
          <t>2026-W20</t>
        </is>
      </c>
      <c r="V1" s="29" t="inlineStr">
        <is>
          <t>2026-W21</t>
        </is>
      </c>
      <c r="W1" s="29" t="inlineStr">
        <is>
          <t>2026-W22</t>
        </is>
      </c>
      <c r="X1" s="29" t="inlineStr">
        <is>
          <t>2026-W23</t>
        </is>
      </c>
      <c r="Y1" s="29" t="inlineStr">
        <is>
          <t>2026-W24</t>
        </is>
      </c>
      <c r="Z1" s="29" t="inlineStr">
        <is>
          <t>2026-W25</t>
        </is>
      </c>
      <c r="AA1" s="29" t="inlineStr">
        <is>
          <t>2026-W26</t>
        </is>
      </c>
      <c r="AB1" s="29" t="inlineStr">
        <is>
          <t>2026-W27</t>
        </is>
      </c>
      <c r="AC1" s="29" t="inlineStr">
        <is>
          <t>2026-W28</t>
        </is>
      </c>
      <c r="AD1" s="29" t="inlineStr">
        <is>
          <t>2026-W29</t>
        </is>
      </c>
      <c r="AE1" s="29" t="inlineStr">
        <is>
          <t>2026-W30</t>
        </is>
      </c>
      <c r="AF1" s="29" t="inlineStr">
        <is>
          <t>2026-W31</t>
        </is>
      </c>
      <c r="AG1" s="29" t="inlineStr">
        <is>
          <t>2026-W32</t>
        </is>
      </c>
      <c r="AH1" s="29" t="inlineStr">
        <is>
          <t>2026-W33</t>
        </is>
      </c>
      <c r="AI1" s="29" t="inlineStr">
        <is>
          <t>2026-W34</t>
        </is>
      </c>
      <c r="AJ1" s="29" t="inlineStr">
        <is>
          <t>2026-W35</t>
        </is>
      </c>
      <c r="AK1" s="29" t="inlineStr">
        <is>
          <t>2026-W36</t>
        </is>
      </c>
      <c r="AL1" s="29" t="inlineStr">
        <is>
          <t>2026-W37</t>
        </is>
      </c>
      <c r="AM1" s="29" t="inlineStr">
        <is>
          <t>2026-W38</t>
        </is>
      </c>
      <c r="AN1" s="29" t="inlineStr">
        <is>
          <t>2026-W39</t>
        </is>
      </c>
      <c r="AO1" s="29" t="inlineStr">
        <is>
          <t>2026-W40</t>
        </is>
      </c>
      <c r="AP1" s="29" t="inlineStr">
        <is>
          <t>2026-W41</t>
        </is>
      </c>
      <c r="AQ1" s="29" t="inlineStr">
        <is>
          <t>2026-W42</t>
        </is>
      </c>
      <c r="AR1" s="29" t="inlineStr">
        <is>
          <t>2026-W43</t>
        </is>
      </c>
      <c r="AS1" s="29" t="inlineStr">
        <is>
          <t>2026-W44</t>
        </is>
      </c>
      <c r="AT1" s="29" t="inlineStr">
        <is>
          <t>2026-W45</t>
        </is>
      </c>
      <c r="AU1" s="29" t="inlineStr">
        <is>
          <t>2026-W46</t>
        </is>
      </c>
      <c r="AV1" s="29" t="inlineStr">
        <is>
          <t>2026-W47</t>
        </is>
      </c>
      <c r="AW1" s="29" t="inlineStr">
        <is>
          <t>2026-W48</t>
        </is>
      </c>
      <c r="AX1" s="29" t="inlineStr">
        <is>
          <t>2026-W49</t>
        </is>
      </c>
      <c r="AY1" s="29" t="inlineStr">
        <is>
          <t>2026-W50</t>
        </is>
      </c>
      <c r="AZ1" s="29" t="inlineStr">
        <is>
          <t>2026-W51</t>
        </is>
      </c>
      <c r="BA1" s="29" t="inlineStr">
        <is>
          <t>2026-W52</t>
        </is>
      </c>
      <c r="BB1" s="29" t="inlineStr">
        <is>
          <t>2027-W01</t>
        </is>
      </c>
      <c r="BC1" s="29" t="inlineStr">
        <is>
          <t>2027-W02</t>
        </is>
      </c>
      <c r="BD1" s="29" t="inlineStr">
        <is>
          <t>2027-W03</t>
        </is>
      </c>
      <c r="BE1" s="29" t="inlineStr">
        <is>
          <t>2027-W04</t>
        </is>
      </c>
      <c r="BF1" s="29" t="inlineStr">
        <is>
          <t>2027-W05</t>
        </is>
      </c>
      <c r="BG1" s="29" t="inlineStr">
        <is>
          <t>2027-W06</t>
        </is>
      </c>
      <c r="BH1" s="29" t="inlineStr">
        <is>
          <t>2027-W07</t>
        </is>
      </c>
      <c r="BI1" s="29" t="inlineStr">
        <is>
          <t>2027-W08</t>
        </is>
      </c>
      <c r="BJ1" s="29" t="inlineStr">
        <is>
          <t>2027-W09</t>
        </is>
      </c>
      <c r="BK1" s="29" t="inlineStr">
        <is>
          <t>2027-W10</t>
        </is>
      </c>
      <c r="BL1" s="29" t="inlineStr">
        <is>
          <t>2027-W11</t>
        </is>
      </c>
      <c r="BM1" s="29" t="inlineStr">
        <is>
          <t>2027-W12</t>
        </is>
      </c>
      <c r="BN1" s="29" t="inlineStr">
        <is>
          <t>2027-W13</t>
        </is>
      </c>
      <c r="BO1" s="29" t="inlineStr">
        <is>
          <t>2027-W14</t>
        </is>
      </c>
      <c r="BP1" s="29" t="inlineStr">
        <is>
          <t>2027-W15</t>
        </is>
      </c>
      <c r="BQ1" s="29" t="inlineStr">
        <is>
          <t>2027-W16</t>
        </is>
      </c>
      <c r="BR1" s="29" t="inlineStr">
        <is>
          <t>2027-W17</t>
        </is>
      </c>
      <c r="BS1" s="29" t="inlineStr">
        <is>
          <t>2027-W18</t>
        </is>
      </c>
      <c r="BT1" s="29" t="inlineStr">
        <is>
          <t>2027-W19</t>
        </is>
      </c>
      <c r="BU1" s="29" t="inlineStr">
        <is>
          <t>2027-W20</t>
        </is>
      </c>
      <c r="BV1" s="29" t="inlineStr">
        <is>
          <t>2027-W21</t>
        </is>
      </c>
      <c r="BW1" s="29" t="inlineStr">
        <is>
          <t>2027-W22</t>
        </is>
      </c>
      <c r="BX1" s="29" t="inlineStr">
        <is>
          <t>2027-W23</t>
        </is>
      </c>
      <c r="BY1" s="29" t="inlineStr">
        <is>
          <t>2027-W24</t>
        </is>
      </c>
      <c r="BZ1" s="29" t="inlineStr">
        <is>
          <t>2027-W25</t>
        </is>
      </c>
      <c r="CA1" s="29" t="inlineStr">
        <is>
          <t>2027-W26</t>
        </is>
      </c>
      <c r="CB1" s="29" t="inlineStr">
        <is>
          <t>2027-W27</t>
        </is>
      </c>
      <c r="CC1" s="29" t="inlineStr">
        <is>
          <t>2027-W28</t>
        </is>
      </c>
      <c r="CD1" s="29" t="inlineStr">
        <is>
          <t>2027-W29</t>
        </is>
      </c>
      <c r="CE1" s="29" t="inlineStr">
        <is>
          <t>2027-W30</t>
        </is>
      </c>
      <c r="CF1" s="29" t="inlineStr">
        <is>
          <t>2027-W31</t>
        </is>
      </c>
      <c r="CG1" s="29" t="inlineStr">
        <is>
          <t>2027-W32</t>
        </is>
      </c>
      <c r="CH1" s="29" t="inlineStr">
        <is>
          <t>2027-W33</t>
        </is>
      </c>
      <c r="CI1" s="29" t="inlineStr">
        <is>
          <t>2027-W34</t>
        </is>
      </c>
      <c r="CJ1" s="29" t="inlineStr">
        <is>
          <t>2027-W35</t>
        </is>
      </c>
      <c r="CK1" s="29" t="inlineStr">
        <is>
          <t>2027-W36</t>
        </is>
      </c>
      <c r="CL1" s="29" t="inlineStr">
        <is>
          <t>2027-W37</t>
        </is>
      </c>
      <c r="CM1" s="29" t="inlineStr">
        <is>
          <t>2027-W38</t>
        </is>
      </c>
      <c r="CN1" s="29" t="inlineStr">
        <is>
          <t>2027-W39</t>
        </is>
      </c>
      <c r="CO1" s="29" t="inlineStr">
        <is>
          <t>2027-W40</t>
        </is>
      </c>
      <c r="CP1" s="29" t="inlineStr">
        <is>
          <t>2027-W41</t>
        </is>
      </c>
      <c r="CQ1" s="29" t="inlineStr">
        <is>
          <t>2027-W42</t>
        </is>
      </c>
      <c r="CR1" s="29" t="inlineStr">
        <is>
          <t>2027-W43</t>
        </is>
      </c>
      <c r="CS1" s="29" t="inlineStr">
        <is>
          <t>2027-W44</t>
        </is>
      </c>
      <c r="CT1" s="29" t="inlineStr">
        <is>
          <t>2027-W45</t>
        </is>
      </c>
      <c r="CU1" s="29" t="inlineStr">
        <is>
          <t>2027-W46</t>
        </is>
      </c>
      <c r="CV1" s="29" t="inlineStr">
        <is>
          <t>2027-W47</t>
        </is>
      </c>
      <c r="CW1" s="29" t="inlineStr">
        <is>
          <t>2027-W48</t>
        </is>
      </c>
      <c r="CX1" s="29" t="inlineStr">
        <is>
          <t>2027-W49</t>
        </is>
      </c>
      <c r="CY1" s="29" t="inlineStr">
        <is>
          <t>2027-W50</t>
        </is>
      </c>
      <c r="CZ1" s="29" t="inlineStr">
        <is>
          <t>2027-W51</t>
        </is>
      </c>
      <c r="DA1" s="29" t="inlineStr">
        <is>
          <t>2027-W52</t>
        </is>
      </c>
    </row>
    <row r="2">
      <c r="A2" t="inlineStr">
        <is>
          <t>TSP-049</t>
        </is>
      </c>
      <c r="B2" s="30" t="n">
        <v>0</v>
      </c>
      <c r="C2" s="30" t="n">
        <v>0</v>
      </c>
      <c r="D2" s="30" t="n">
        <v>0</v>
      </c>
      <c r="E2" s="30" t="n">
        <v>0</v>
      </c>
      <c r="F2" s="30" t="n">
        <v>0</v>
      </c>
      <c r="G2" s="30" t="n">
        <v>0</v>
      </c>
      <c r="H2" s="30" t="n">
        <v>0</v>
      </c>
      <c r="I2" s="30" t="n">
        <v>0</v>
      </c>
      <c r="J2" s="30" t="n">
        <v>0</v>
      </c>
      <c r="K2" s="30" t="n">
        <v>0</v>
      </c>
      <c r="L2" s="30" t="n">
        <v>0</v>
      </c>
      <c r="M2" s="30" t="n">
        <v>0</v>
      </c>
      <c r="N2" s="30" t="n">
        <v>0</v>
      </c>
      <c r="O2" s="30" t="n">
        <v>0</v>
      </c>
      <c r="P2" s="30" t="n">
        <v>0</v>
      </c>
      <c r="Q2" s="30" t="n">
        <v>0</v>
      </c>
      <c r="R2" s="30" t="n">
        <v>0</v>
      </c>
      <c r="S2" s="30" t="n">
        <v>0</v>
      </c>
      <c r="T2" s="30" t="n">
        <v>0</v>
      </c>
      <c r="U2" s="30" t="n">
        <v>0</v>
      </c>
      <c r="V2" s="30" t="n">
        <v>0</v>
      </c>
      <c r="W2" s="30" t="n">
        <v>0</v>
      </c>
      <c r="X2" s="30" t="n">
        <v>0</v>
      </c>
      <c r="Y2" s="30" t="n">
        <v>0</v>
      </c>
      <c r="Z2" s="30" t="n">
        <v>0</v>
      </c>
      <c r="AA2" s="30" t="n">
        <v>0</v>
      </c>
      <c r="AB2" s="30" t="n">
        <v>0</v>
      </c>
      <c r="AC2" s="30" t="n">
        <v>0</v>
      </c>
      <c r="AD2" s="30" t="n">
        <v>0</v>
      </c>
      <c r="AE2" s="30" t="n">
        <v>0</v>
      </c>
      <c r="AF2" s="30" t="n">
        <v>0</v>
      </c>
      <c r="AG2" s="30" t="n">
        <v>0</v>
      </c>
      <c r="AH2" s="30" t="n">
        <v>0</v>
      </c>
      <c r="AI2" s="30" t="n">
        <v>0</v>
      </c>
      <c r="AJ2" s="30" t="n">
        <v>0</v>
      </c>
      <c r="AK2" s="30" t="n">
        <v>0</v>
      </c>
      <c r="AL2" s="30" t="n">
        <v>0</v>
      </c>
      <c r="AM2" s="30" t="n">
        <v>0</v>
      </c>
      <c r="AN2" s="30" t="n">
        <v>0</v>
      </c>
      <c r="AO2" s="30" t="n">
        <v>0</v>
      </c>
      <c r="AP2" s="30" t="n">
        <v>0</v>
      </c>
      <c r="AQ2" s="30" t="n">
        <v>0</v>
      </c>
      <c r="AR2" s="30" t="n">
        <v>0</v>
      </c>
      <c r="AS2" s="30" t="n">
        <v>0</v>
      </c>
      <c r="AT2" s="30" t="n">
        <v>0</v>
      </c>
      <c r="AU2" s="30" t="n">
        <v>0</v>
      </c>
      <c r="AV2" s="30" t="n">
        <v>0</v>
      </c>
      <c r="AW2" s="30" t="n">
        <v>0</v>
      </c>
      <c r="AX2" s="30" t="n">
        <v>0</v>
      </c>
      <c r="AY2" s="30" t="n">
        <v>0</v>
      </c>
      <c r="AZ2" s="30" t="n">
        <v>0</v>
      </c>
      <c r="BA2" s="30" t="n">
        <v>0</v>
      </c>
      <c r="BB2" s="30" t="n">
        <v>0</v>
      </c>
      <c r="BC2" s="30" t="n">
        <v>0</v>
      </c>
      <c r="BD2" s="30" t="n">
        <v>0</v>
      </c>
      <c r="BE2" s="30" t="n">
        <v>0</v>
      </c>
      <c r="BF2" s="30" t="n">
        <v>0</v>
      </c>
      <c r="BG2" s="30" t="n">
        <v>0</v>
      </c>
      <c r="BH2" s="30" t="n">
        <v>0</v>
      </c>
      <c r="BI2" s="30" t="n">
        <v>0</v>
      </c>
      <c r="BJ2" s="30" t="n">
        <v>0</v>
      </c>
      <c r="BK2" s="30" t="n">
        <v>0</v>
      </c>
      <c r="BL2" s="30" t="n">
        <v>0</v>
      </c>
      <c r="BM2" s="30" t="n">
        <v>0</v>
      </c>
      <c r="BN2" s="30" t="n">
        <v>0</v>
      </c>
      <c r="BO2" s="30" t="n">
        <v>0</v>
      </c>
      <c r="BP2" s="30" t="n">
        <v>0</v>
      </c>
      <c r="BQ2" s="30" t="n">
        <v>0</v>
      </c>
      <c r="BR2" s="30" t="n">
        <v>0</v>
      </c>
      <c r="BS2" s="30" t="n">
        <v>0</v>
      </c>
      <c r="BT2" s="30" t="n">
        <v>0</v>
      </c>
      <c r="BU2" s="30" t="n">
        <v>0</v>
      </c>
      <c r="BV2" s="30" t="n">
        <v>0</v>
      </c>
      <c r="BW2" s="30" t="n">
        <v>0</v>
      </c>
      <c r="BX2" s="30" t="n">
        <v>0</v>
      </c>
      <c r="BY2" s="30" t="n">
        <v>0</v>
      </c>
      <c r="BZ2" s="30" t="n">
        <v>0</v>
      </c>
      <c r="CA2" s="30" t="n">
        <v>0</v>
      </c>
      <c r="CB2" s="30" t="n">
        <v>0</v>
      </c>
      <c r="CC2" s="30" t="n">
        <v>0</v>
      </c>
      <c r="CD2" s="30" t="n">
        <v>0</v>
      </c>
      <c r="CE2" s="30" t="n">
        <v>0</v>
      </c>
      <c r="CF2" s="30" t="n">
        <v>0</v>
      </c>
      <c r="CG2" s="30" t="n">
        <v>0</v>
      </c>
      <c r="CH2" s="30" t="n">
        <v>0</v>
      </c>
      <c r="CI2" s="30" t="n">
        <v>0</v>
      </c>
      <c r="CJ2" s="30" t="n">
        <v>0</v>
      </c>
      <c r="CK2" s="30" t="n">
        <v>0</v>
      </c>
      <c r="CL2" s="30" t="n">
        <v>0</v>
      </c>
      <c r="CM2" s="30" t="n">
        <v>0</v>
      </c>
      <c r="CN2" s="30" t="n">
        <v>0</v>
      </c>
      <c r="CO2" s="30" t="n">
        <v>0</v>
      </c>
      <c r="CP2" s="30" t="n">
        <v>0</v>
      </c>
      <c r="CQ2" s="30" t="n">
        <v>0</v>
      </c>
      <c r="CR2" s="30" t="n">
        <v>0</v>
      </c>
      <c r="CS2" s="30" t="n">
        <v>0</v>
      </c>
      <c r="CT2" s="30" t="n">
        <v>0</v>
      </c>
      <c r="CU2" s="30" t="n">
        <v>0</v>
      </c>
      <c r="CV2" s="30" t="n">
        <v>0</v>
      </c>
      <c r="CW2" s="30" t="n">
        <v>0</v>
      </c>
      <c r="CX2" s="30" t="n">
        <v>0</v>
      </c>
      <c r="CY2" s="30" t="n">
        <v>0</v>
      </c>
      <c r="CZ2" s="30" t="n">
        <v>0</v>
      </c>
      <c r="DA2" s="30" t="n">
        <v>0</v>
      </c>
    </row>
    <row r="3">
      <c r="A3" t="inlineStr">
        <is>
          <t>TSP-050</t>
        </is>
      </c>
      <c r="B3" s="30" t="n">
        <v>0</v>
      </c>
      <c r="C3" s="30" t="n">
        <v>0</v>
      </c>
      <c r="D3" s="30" t="n">
        <v>0</v>
      </c>
      <c r="E3" s="30" t="n">
        <v>0</v>
      </c>
      <c r="F3" s="30" t="n">
        <v>0</v>
      </c>
      <c r="G3" s="30" t="n">
        <v>0</v>
      </c>
      <c r="H3" s="30" t="n">
        <v>0</v>
      </c>
      <c r="I3" s="30" t="n">
        <v>0</v>
      </c>
      <c r="J3" s="30" t="n">
        <v>0</v>
      </c>
      <c r="K3" s="30" t="n">
        <v>0</v>
      </c>
      <c r="L3" s="30" t="n">
        <v>0</v>
      </c>
      <c r="M3" s="30" t="n">
        <v>0</v>
      </c>
      <c r="N3" s="30" t="n">
        <v>0</v>
      </c>
      <c r="O3" s="30" t="n">
        <v>0</v>
      </c>
      <c r="P3" s="30" t="n">
        <v>0</v>
      </c>
      <c r="Q3" s="30" t="n">
        <v>0</v>
      </c>
      <c r="R3" s="30" t="n">
        <v>0</v>
      </c>
      <c r="S3" s="30" t="n">
        <v>0</v>
      </c>
      <c r="T3" s="30" t="n">
        <v>0</v>
      </c>
      <c r="U3" s="30" t="n">
        <v>0</v>
      </c>
      <c r="V3" s="30" t="n">
        <v>0</v>
      </c>
      <c r="W3" s="30" t="n">
        <v>0</v>
      </c>
      <c r="X3" s="30" t="n">
        <v>0</v>
      </c>
      <c r="Y3" s="30" t="n">
        <v>0</v>
      </c>
      <c r="Z3" s="30" t="n">
        <v>0</v>
      </c>
      <c r="AA3" s="30" t="n">
        <v>0</v>
      </c>
      <c r="AB3" s="30" t="n">
        <v>0</v>
      </c>
      <c r="AC3" s="30" t="n">
        <v>0</v>
      </c>
      <c r="AD3" s="30" t="n">
        <v>0</v>
      </c>
      <c r="AE3" s="30" t="n">
        <v>0</v>
      </c>
      <c r="AF3" s="30" t="n">
        <v>0</v>
      </c>
      <c r="AG3" s="30" t="n">
        <v>0</v>
      </c>
      <c r="AH3" s="30" t="n">
        <v>0</v>
      </c>
      <c r="AI3" s="30" t="n">
        <v>0</v>
      </c>
      <c r="AJ3" s="30" t="n">
        <v>0</v>
      </c>
      <c r="AK3" s="30" t="n">
        <v>0</v>
      </c>
      <c r="AL3" s="30" t="n">
        <v>0</v>
      </c>
      <c r="AM3" s="30" t="n">
        <v>0</v>
      </c>
      <c r="AN3" s="30" t="n">
        <v>0</v>
      </c>
      <c r="AO3" s="30" t="n">
        <v>0</v>
      </c>
      <c r="AP3" s="30" t="n">
        <v>0</v>
      </c>
      <c r="AQ3" s="30" t="n">
        <v>0</v>
      </c>
      <c r="AR3" s="30" t="n">
        <v>0</v>
      </c>
      <c r="AS3" s="30" t="n">
        <v>0</v>
      </c>
      <c r="AT3" s="30" t="n">
        <v>0</v>
      </c>
      <c r="AU3" s="30" t="n">
        <v>0</v>
      </c>
      <c r="AV3" s="30" t="n">
        <v>0</v>
      </c>
      <c r="AW3" s="30" t="n">
        <v>0</v>
      </c>
      <c r="AX3" s="30" t="n">
        <v>0</v>
      </c>
      <c r="AY3" s="30" t="n">
        <v>0</v>
      </c>
      <c r="AZ3" s="30" t="n">
        <v>0</v>
      </c>
      <c r="BA3" s="30" t="n">
        <v>0</v>
      </c>
      <c r="BB3" s="30" t="n">
        <v>0</v>
      </c>
      <c r="BC3" s="30" t="n">
        <v>0</v>
      </c>
      <c r="BD3" s="30" t="n">
        <v>0</v>
      </c>
      <c r="BE3" s="30" t="n">
        <v>0</v>
      </c>
      <c r="BF3" s="30" t="n">
        <v>0</v>
      </c>
      <c r="BG3" s="30" t="n">
        <v>0</v>
      </c>
      <c r="BH3" s="30" t="n">
        <v>0</v>
      </c>
      <c r="BI3" s="30" t="n">
        <v>0</v>
      </c>
      <c r="BJ3" s="30" t="n">
        <v>0</v>
      </c>
      <c r="BK3" s="30" t="n">
        <v>0</v>
      </c>
      <c r="BL3" s="30" t="n">
        <v>0</v>
      </c>
      <c r="BM3" s="30" t="n">
        <v>0</v>
      </c>
      <c r="BN3" s="30" t="n">
        <v>0</v>
      </c>
      <c r="BO3" s="30" t="n">
        <v>0</v>
      </c>
      <c r="BP3" s="30" t="n">
        <v>0</v>
      </c>
      <c r="BQ3" s="30" t="n">
        <v>0</v>
      </c>
      <c r="BR3" s="30" t="n">
        <v>0</v>
      </c>
      <c r="BS3" s="30" t="n">
        <v>0</v>
      </c>
      <c r="BT3" s="30" t="n">
        <v>0</v>
      </c>
      <c r="BU3" s="30" t="n">
        <v>0</v>
      </c>
      <c r="BV3" s="30" t="n">
        <v>0</v>
      </c>
      <c r="BW3" s="30" t="n">
        <v>0</v>
      </c>
      <c r="BX3" s="30" t="n">
        <v>0</v>
      </c>
      <c r="BY3" s="30" t="n">
        <v>0</v>
      </c>
      <c r="BZ3" s="30" t="n">
        <v>0</v>
      </c>
      <c r="CA3" s="30" t="n">
        <v>0</v>
      </c>
      <c r="CB3" s="30" t="n">
        <v>0</v>
      </c>
      <c r="CC3" s="30" t="n">
        <v>0</v>
      </c>
      <c r="CD3" s="30" t="n">
        <v>0</v>
      </c>
      <c r="CE3" s="30" t="n">
        <v>0</v>
      </c>
      <c r="CF3" s="30" t="n">
        <v>0</v>
      </c>
      <c r="CG3" s="30" t="n">
        <v>0</v>
      </c>
      <c r="CH3" s="30" t="n">
        <v>0</v>
      </c>
      <c r="CI3" s="30" t="n">
        <v>0</v>
      </c>
      <c r="CJ3" s="30" t="n">
        <v>0</v>
      </c>
      <c r="CK3" s="30" t="n">
        <v>0</v>
      </c>
      <c r="CL3" s="30" t="n">
        <v>0</v>
      </c>
      <c r="CM3" s="30" t="n">
        <v>0</v>
      </c>
      <c r="CN3" s="30" t="n">
        <v>0</v>
      </c>
      <c r="CO3" s="30" t="n">
        <v>0</v>
      </c>
      <c r="CP3" s="30" t="n">
        <v>0</v>
      </c>
      <c r="CQ3" s="30" t="n">
        <v>0</v>
      </c>
      <c r="CR3" s="30" t="n">
        <v>0</v>
      </c>
      <c r="CS3" s="30" t="n">
        <v>0</v>
      </c>
      <c r="CT3" s="30" t="n">
        <v>0</v>
      </c>
      <c r="CU3" s="30" t="n">
        <v>0</v>
      </c>
      <c r="CV3" s="30" t="n">
        <v>0</v>
      </c>
      <c r="CW3" s="30" t="n">
        <v>0</v>
      </c>
      <c r="CX3" s="30" t="n">
        <v>0</v>
      </c>
      <c r="CY3" s="30" t="n">
        <v>0</v>
      </c>
      <c r="CZ3" s="30" t="n">
        <v>0</v>
      </c>
      <c r="DA3" s="30" t="n">
        <v>0</v>
      </c>
    </row>
    <row r="4">
      <c r="A4" t="inlineStr">
        <is>
          <t>TSP-067</t>
        </is>
      </c>
      <c r="B4" s="30" t="n">
        <v>0</v>
      </c>
      <c r="C4" s="30" t="n">
        <v>0</v>
      </c>
      <c r="D4" s="30" t="n">
        <v>0</v>
      </c>
      <c r="E4" s="30" t="n">
        <v>0</v>
      </c>
      <c r="F4" s="30" t="n">
        <v>0</v>
      </c>
      <c r="G4" s="30" t="n">
        <v>0</v>
      </c>
      <c r="H4" s="30" t="n">
        <v>0</v>
      </c>
      <c r="I4" s="30" t="n">
        <v>0</v>
      </c>
      <c r="J4" s="30" t="n">
        <v>0</v>
      </c>
      <c r="K4" s="30" t="n">
        <v>0</v>
      </c>
      <c r="L4" s="30" t="n">
        <v>0</v>
      </c>
      <c r="M4" s="30" t="n">
        <v>0</v>
      </c>
      <c r="N4" s="30" t="n">
        <v>0</v>
      </c>
      <c r="O4" s="30" t="n">
        <v>0</v>
      </c>
      <c r="P4" s="30" t="n">
        <v>0</v>
      </c>
      <c r="Q4" s="30" t="n">
        <v>0</v>
      </c>
      <c r="R4" s="30" t="n">
        <v>0</v>
      </c>
      <c r="S4" s="30" t="n">
        <v>0</v>
      </c>
      <c r="T4" s="30" t="n">
        <v>0</v>
      </c>
      <c r="U4" s="30" t="n">
        <v>0</v>
      </c>
      <c r="V4" s="30" t="n">
        <v>0</v>
      </c>
      <c r="W4" s="30" t="n">
        <v>0</v>
      </c>
      <c r="X4" s="30" t="n">
        <v>0</v>
      </c>
      <c r="Y4" s="30" t="n">
        <v>0</v>
      </c>
      <c r="Z4" s="30" t="n">
        <v>0</v>
      </c>
      <c r="AA4" s="30" t="n">
        <v>0</v>
      </c>
      <c r="AB4" s="30" t="n">
        <v>0</v>
      </c>
      <c r="AC4" s="30" t="n">
        <v>0</v>
      </c>
      <c r="AD4" s="30" t="n">
        <v>0</v>
      </c>
      <c r="AE4" s="30" t="n">
        <v>0</v>
      </c>
      <c r="AF4" s="30" t="n">
        <v>0</v>
      </c>
      <c r="AG4" s="30" t="n">
        <v>0</v>
      </c>
      <c r="AH4" s="30" t="n">
        <v>0</v>
      </c>
      <c r="AI4" s="30" t="n">
        <v>0</v>
      </c>
      <c r="AJ4" s="30" t="n">
        <v>0</v>
      </c>
      <c r="AK4" s="30" t="n">
        <v>0</v>
      </c>
      <c r="AL4" s="30" t="n">
        <v>0</v>
      </c>
      <c r="AM4" s="30" t="n">
        <v>0</v>
      </c>
      <c r="AN4" s="30" t="n">
        <v>0</v>
      </c>
      <c r="AO4" s="30" t="n">
        <v>0</v>
      </c>
      <c r="AP4" s="30" t="n">
        <v>0</v>
      </c>
      <c r="AQ4" s="30" t="n">
        <v>0</v>
      </c>
      <c r="AR4" s="30" t="n">
        <v>0</v>
      </c>
      <c r="AS4" s="30" t="n">
        <v>0</v>
      </c>
      <c r="AT4" s="30" t="n">
        <v>0</v>
      </c>
      <c r="AU4" s="30" t="n">
        <v>0</v>
      </c>
      <c r="AV4" s="30" t="n">
        <v>0</v>
      </c>
      <c r="AW4" s="30" t="n">
        <v>0</v>
      </c>
      <c r="AX4" s="30" t="n">
        <v>0</v>
      </c>
      <c r="AY4" s="30" t="n">
        <v>0</v>
      </c>
      <c r="AZ4" s="30" t="n">
        <v>0</v>
      </c>
      <c r="BA4" s="30" t="n">
        <v>0</v>
      </c>
      <c r="BB4" s="30" t="n">
        <v>0</v>
      </c>
      <c r="BC4" s="30" t="n">
        <v>0</v>
      </c>
      <c r="BD4" s="30" t="n">
        <v>0</v>
      </c>
      <c r="BE4" s="30" t="n">
        <v>0</v>
      </c>
      <c r="BF4" s="30" t="n">
        <v>0</v>
      </c>
      <c r="BG4" s="30" t="n">
        <v>0</v>
      </c>
      <c r="BH4" s="30" t="n">
        <v>0</v>
      </c>
      <c r="BI4" s="30" t="n">
        <v>0</v>
      </c>
      <c r="BJ4" s="30" t="n">
        <v>0</v>
      </c>
      <c r="BK4" s="30" t="n">
        <v>0</v>
      </c>
      <c r="BL4" s="30" t="n">
        <v>0</v>
      </c>
      <c r="BM4" s="30" t="n">
        <v>0</v>
      </c>
      <c r="BN4" s="30" t="n">
        <v>0</v>
      </c>
      <c r="BO4" s="30" t="n">
        <v>0</v>
      </c>
      <c r="BP4" s="30" t="n">
        <v>0</v>
      </c>
      <c r="BQ4" s="30" t="n">
        <v>0</v>
      </c>
      <c r="BR4" s="30" t="n">
        <v>0</v>
      </c>
      <c r="BS4" s="30" t="n">
        <v>0</v>
      </c>
      <c r="BT4" s="30" t="n">
        <v>0</v>
      </c>
      <c r="BU4" s="30" t="n">
        <v>0</v>
      </c>
      <c r="BV4" s="30" t="n">
        <v>0</v>
      </c>
      <c r="BW4" s="30" t="n">
        <v>0</v>
      </c>
      <c r="BX4" s="30" t="n">
        <v>0</v>
      </c>
      <c r="BY4" s="30" t="n">
        <v>0</v>
      </c>
      <c r="BZ4" s="30" t="n">
        <v>0</v>
      </c>
      <c r="CA4" s="30" t="n">
        <v>0</v>
      </c>
      <c r="CB4" s="30" t="n">
        <v>0</v>
      </c>
      <c r="CC4" s="30" t="n">
        <v>0</v>
      </c>
      <c r="CD4" s="30" t="n">
        <v>0</v>
      </c>
      <c r="CE4" s="30" t="n">
        <v>0</v>
      </c>
      <c r="CF4" s="30" t="n">
        <v>0</v>
      </c>
      <c r="CG4" s="30" t="n">
        <v>0</v>
      </c>
      <c r="CH4" s="30" t="n">
        <v>0</v>
      </c>
      <c r="CI4" s="30" t="n">
        <v>0</v>
      </c>
      <c r="CJ4" s="30" t="n">
        <v>0</v>
      </c>
      <c r="CK4" s="30" t="n">
        <v>0</v>
      </c>
      <c r="CL4" s="30" t="n">
        <v>0</v>
      </c>
      <c r="CM4" s="30" t="n">
        <v>0</v>
      </c>
      <c r="CN4" s="30" t="n">
        <v>0</v>
      </c>
      <c r="CO4" s="30" t="n">
        <v>0</v>
      </c>
      <c r="CP4" s="30" t="n">
        <v>0</v>
      </c>
      <c r="CQ4" s="30" t="n">
        <v>0</v>
      </c>
      <c r="CR4" s="30" t="n">
        <v>0</v>
      </c>
      <c r="CS4" s="30" t="n">
        <v>0</v>
      </c>
      <c r="CT4" s="30" t="n">
        <v>0</v>
      </c>
      <c r="CU4" s="30" t="n">
        <v>0</v>
      </c>
      <c r="CV4" s="30" t="n">
        <v>0</v>
      </c>
      <c r="CW4" s="30" t="n">
        <v>0</v>
      </c>
      <c r="CX4" s="30" t="n">
        <v>0</v>
      </c>
      <c r="CY4" s="30" t="n">
        <v>0</v>
      </c>
      <c r="CZ4" s="30" t="n">
        <v>0</v>
      </c>
      <c r="DA4" s="30" t="n">
        <v>0</v>
      </c>
    </row>
    <row r="5">
      <c r="A5" t="inlineStr">
        <is>
          <t>TSP-069</t>
        </is>
      </c>
      <c r="B5" s="30" t="n">
        <v>0</v>
      </c>
      <c r="C5" s="30" t="n">
        <v>0</v>
      </c>
      <c r="D5" s="30" t="n">
        <v>0</v>
      </c>
      <c r="E5" s="30" t="n">
        <v>0</v>
      </c>
      <c r="F5" s="30" t="n">
        <v>0</v>
      </c>
      <c r="G5" s="30" t="n">
        <v>0</v>
      </c>
      <c r="H5" s="30" t="n">
        <v>0</v>
      </c>
      <c r="I5" s="30" t="n">
        <v>0</v>
      </c>
      <c r="J5" s="30" t="n">
        <v>0</v>
      </c>
      <c r="K5" s="30" t="n">
        <v>0</v>
      </c>
      <c r="L5" s="30" t="n">
        <v>0</v>
      </c>
      <c r="M5" s="30" t="n">
        <v>0</v>
      </c>
      <c r="N5" s="30" t="n">
        <v>0</v>
      </c>
      <c r="O5" s="30" t="n">
        <v>0</v>
      </c>
      <c r="P5" s="30" t="n">
        <v>0</v>
      </c>
      <c r="Q5" s="30" t="n">
        <v>0</v>
      </c>
      <c r="R5" s="30" t="n">
        <v>0</v>
      </c>
      <c r="S5" s="30" t="n">
        <v>0</v>
      </c>
      <c r="T5" s="30" t="n">
        <v>0</v>
      </c>
      <c r="U5" s="30" t="n">
        <v>0</v>
      </c>
      <c r="V5" s="30" t="n">
        <v>0</v>
      </c>
      <c r="W5" s="30" t="n">
        <v>0</v>
      </c>
      <c r="X5" s="30" t="n">
        <v>0</v>
      </c>
      <c r="Y5" s="30" t="n">
        <v>0</v>
      </c>
      <c r="Z5" s="30" t="n">
        <v>0</v>
      </c>
      <c r="AA5" s="30" t="n">
        <v>0</v>
      </c>
      <c r="AB5" s="30" t="n">
        <v>0</v>
      </c>
      <c r="AC5" s="30" t="n">
        <v>0</v>
      </c>
      <c r="AD5" s="30" t="n">
        <v>0</v>
      </c>
      <c r="AE5" s="30" t="n">
        <v>0</v>
      </c>
      <c r="AF5" s="30" t="n">
        <v>0</v>
      </c>
      <c r="AG5" s="30" t="n">
        <v>0</v>
      </c>
      <c r="AH5" s="30" t="n">
        <v>0</v>
      </c>
      <c r="AI5" s="30" t="n">
        <v>0</v>
      </c>
      <c r="AJ5" s="30" t="n">
        <v>0</v>
      </c>
      <c r="AK5" s="30" t="n">
        <v>0</v>
      </c>
      <c r="AL5" s="30" t="n">
        <v>0</v>
      </c>
      <c r="AM5" s="30" t="n">
        <v>0</v>
      </c>
      <c r="AN5" s="30" t="n">
        <v>0</v>
      </c>
      <c r="AO5" s="30" t="n">
        <v>0</v>
      </c>
      <c r="AP5" s="30" t="n">
        <v>0</v>
      </c>
      <c r="AQ5" s="30" t="n">
        <v>0</v>
      </c>
      <c r="AR5" s="30" t="n">
        <v>0</v>
      </c>
      <c r="AS5" s="30" t="n">
        <v>0</v>
      </c>
      <c r="AT5" s="30" t="n">
        <v>0</v>
      </c>
      <c r="AU5" s="30" t="n">
        <v>0</v>
      </c>
      <c r="AV5" s="30" t="n">
        <v>0</v>
      </c>
      <c r="AW5" s="30" t="n">
        <v>0</v>
      </c>
      <c r="AX5" s="30" t="n">
        <v>0</v>
      </c>
      <c r="AY5" s="30" t="n">
        <v>0</v>
      </c>
      <c r="AZ5" s="30" t="n">
        <v>0</v>
      </c>
      <c r="BA5" s="30" t="n">
        <v>0</v>
      </c>
      <c r="BB5" s="30" t="n">
        <v>0</v>
      </c>
      <c r="BC5" s="30" t="n">
        <v>0</v>
      </c>
      <c r="BD5" s="30" t="n">
        <v>0</v>
      </c>
      <c r="BE5" s="30" t="n">
        <v>0</v>
      </c>
      <c r="BF5" s="30" t="n">
        <v>0</v>
      </c>
      <c r="BG5" s="30" t="n">
        <v>0</v>
      </c>
      <c r="BH5" s="30" t="n">
        <v>0</v>
      </c>
      <c r="BI5" s="30" t="n">
        <v>0</v>
      </c>
      <c r="BJ5" s="30" t="n">
        <v>0</v>
      </c>
      <c r="BK5" s="30" t="n">
        <v>0</v>
      </c>
      <c r="BL5" s="30" t="n">
        <v>0</v>
      </c>
      <c r="BM5" s="30" t="n">
        <v>0</v>
      </c>
      <c r="BN5" s="30" t="n">
        <v>0</v>
      </c>
      <c r="BO5" s="30" t="n">
        <v>0</v>
      </c>
      <c r="BP5" s="30" t="n">
        <v>0</v>
      </c>
      <c r="BQ5" s="30" t="n">
        <v>0</v>
      </c>
      <c r="BR5" s="30" t="n">
        <v>0</v>
      </c>
      <c r="BS5" s="30" t="n">
        <v>0</v>
      </c>
      <c r="BT5" s="30" t="n">
        <v>0</v>
      </c>
      <c r="BU5" s="30" t="n">
        <v>0</v>
      </c>
      <c r="BV5" s="30" t="n">
        <v>0</v>
      </c>
      <c r="BW5" s="30" t="n">
        <v>0</v>
      </c>
      <c r="BX5" s="30" t="n">
        <v>0</v>
      </c>
      <c r="BY5" s="30" t="n">
        <v>0</v>
      </c>
      <c r="BZ5" s="30" t="n">
        <v>0</v>
      </c>
      <c r="CA5" s="30" t="n">
        <v>0</v>
      </c>
      <c r="CB5" s="30" t="n">
        <v>0</v>
      </c>
      <c r="CC5" s="30" t="n">
        <v>0</v>
      </c>
      <c r="CD5" s="30" t="n">
        <v>0</v>
      </c>
      <c r="CE5" s="30" t="n">
        <v>0</v>
      </c>
      <c r="CF5" s="30" t="n">
        <v>0</v>
      </c>
      <c r="CG5" s="30" t="n">
        <v>0</v>
      </c>
      <c r="CH5" s="30" t="n">
        <v>0</v>
      </c>
      <c r="CI5" s="30" t="n">
        <v>0</v>
      </c>
      <c r="CJ5" s="30" t="n">
        <v>0</v>
      </c>
      <c r="CK5" s="30" t="n">
        <v>0</v>
      </c>
      <c r="CL5" s="30" t="n">
        <v>0</v>
      </c>
      <c r="CM5" s="30" t="n">
        <v>0</v>
      </c>
      <c r="CN5" s="30" t="n">
        <v>0</v>
      </c>
      <c r="CO5" s="30" t="n">
        <v>0</v>
      </c>
      <c r="CP5" s="30" t="n">
        <v>0</v>
      </c>
      <c r="CQ5" s="30" t="n">
        <v>0</v>
      </c>
      <c r="CR5" s="30" t="n">
        <v>0</v>
      </c>
      <c r="CS5" s="30" t="n">
        <v>0</v>
      </c>
      <c r="CT5" s="30" t="n">
        <v>0</v>
      </c>
      <c r="CU5" s="30" t="n">
        <v>0</v>
      </c>
      <c r="CV5" s="30" t="n">
        <v>0</v>
      </c>
      <c r="CW5" s="30" t="n">
        <v>0</v>
      </c>
      <c r="CX5" s="30" t="n">
        <v>0</v>
      </c>
      <c r="CY5" s="30" t="n">
        <v>0</v>
      </c>
      <c r="CZ5" s="30" t="n">
        <v>0</v>
      </c>
      <c r="DA5" s="30" t="n">
        <v>0</v>
      </c>
    </row>
    <row r="6">
      <c r="A6" t="inlineStr">
        <is>
          <t>TSP-078</t>
        </is>
      </c>
      <c r="B6" s="30" t="n">
        <v>0</v>
      </c>
      <c r="C6" s="30" t="n">
        <v>0</v>
      </c>
      <c r="D6" s="30" t="n">
        <v>0</v>
      </c>
      <c r="E6" s="30" t="n">
        <v>0</v>
      </c>
      <c r="F6" s="30" t="n">
        <v>0</v>
      </c>
      <c r="G6" s="30" t="n">
        <v>0</v>
      </c>
      <c r="H6" s="30" t="n">
        <v>0</v>
      </c>
      <c r="I6" s="30" t="n">
        <v>0</v>
      </c>
      <c r="J6" s="30" t="n">
        <v>0</v>
      </c>
      <c r="K6" s="30" t="n">
        <v>0</v>
      </c>
      <c r="L6" s="30" t="n">
        <v>0</v>
      </c>
      <c r="M6" s="30" t="n">
        <v>0</v>
      </c>
      <c r="N6" s="30" t="n">
        <v>0</v>
      </c>
      <c r="O6" s="30" t="n">
        <v>0</v>
      </c>
      <c r="P6" s="30" t="n">
        <v>0</v>
      </c>
      <c r="Q6" s="30" t="n">
        <v>0</v>
      </c>
      <c r="R6" s="30" t="n">
        <v>0</v>
      </c>
      <c r="S6" s="30" t="n">
        <v>0</v>
      </c>
      <c r="T6" s="30" t="n">
        <v>0</v>
      </c>
      <c r="U6" s="30" t="n">
        <v>0</v>
      </c>
      <c r="V6" s="30" t="n">
        <v>0</v>
      </c>
      <c r="W6" s="30" t="n">
        <v>0</v>
      </c>
      <c r="X6" s="30" t="n">
        <v>0</v>
      </c>
      <c r="Y6" s="30" t="n">
        <v>0</v>
      </c>
      <c r="Z6" s="30" t="n">
        <v>0</v>
      </c>
      <c r="AA6" s="30" t="n">
        <v>0</v>
      </c>
      <c r="AB6" s="30" t="n">
        <v>0</v>
      </c>
      <c r="AC6" s="30" t="n">
        <v>0</v>
      </c>
      <c r="AD6" s="30" t="n">
        <v>0</v>
      </c>
      <c r="AE6" s="30" t="n">
        <v>0</v>
      </c>
      <c r="AF6" s="30" t="n">
        <v>0</v>
      </c>
      <c r="AG6" s="30" t="n">
        <v>0</v>
      </c>
      <c r="AH6" s="30" t="n">
        <v>0</v>
      </c>
      <c r="AI6" s="30" t="n">
        <v>0</v>
      </c>
      <c r="AJ6" s="30" t="n">
        <v>0</v>
      </c>
      <c r="AK6" s="30" t="n">
        <v>0</v>
      </c>
      <c r="AL6" s="30" t="n">
        <v>0</v>
      </c>
      <c r="AM6" s="30" t="n">
        <v>0</v>
      </c>
      <c r="AN6" s="30" t="n">
        <v>0</v>
      </c>
      <c r="AO6" s="30" t="n">
        <v>0</v>
      </c>
      <c r="AP6" s="30" t="n">
        <v>0</v>
      </c>
      <c r="AQ6" s="30" t="n">
        <v>0</v>
      </c>
      <c r="AR6" s="30" t="n">
        <v>0</v>
      </c>
      <c r="AS6" s="30" t="n">
        <v>0</v>
      </c>
      <c r="AT6" s="30" t="n">
        <v>0</v>
      </c>
      <c r="AU6" s="30" t="n">
        <v>0</v>
      </c>
      <c r="AV6" s="30" t="n">
        <v>0</v>
      </c>
      <c r="AW6" s="30" t="n">
        <v>0</v>
      </c>
      <c r="AX6" s="30" t="n">
        <v>0</v>
      </c>
      <c r="AY6" s="30" t="n">
        <v>0</v>
      </c>
      <c r="AZ6" s="30" t="n">
        <v>0</v>
      </c>
      <c r="BA6" s="30" t="n">
        <v>0</v>
      </c>
      <c r="BB6" s="30" t="n">
        <v>0</v>
      </c>
      <c r="BC6" s="30" t="n">
        <v>0</v>
      </c>
      <c r="BD6" s="30" t="n">
        <v>0</v>
      </c>
      <c r="BE6" s="30" t="n">
        <v>0</v>
      </c>
      <c r="BF6" s="30" t="n">
        <v>0</v>
      </c>
      <c r="BG6" s="30" t="n">
        <v>0</v>
      </c>
      <c r="BH6" s="30" t="n">
        <v>0</v>
      </c>
      <c r="BI6" s="30" t="n">
        <v>0</v>
      </c>
      <c r="BJ6" s="30" t="n">
        <v>0</v>
      </c>
      <c r="BK6" s="30" t="n">
        <v>0</v>
      </c>
      <c r="BL6" s="30" t="n">
        <v>0</v>
      </c>
      <c r="BM6" s="30" t="n">
        <v>0</v>
      </c>
      <c r="BN6" s="30" t="n">
        <v>0</v>
      </c>
      <c r="BO6" s="30" t="n">
        <v>0</v>
      </c>
      <c r="BP6" s="30" t="n">
        <v>0</v>
      </c>
      <c r="BQ6" s="30" t="n">
        <v>0</v>
      </c>
      <c r="BR6" s="30" t="n">
        <v>0</v>
      </c>
      <c r="BS6" s="30" t="n">
        <v>0</v>
      </c>
      <c r="BT6" s="30" t="n">
        <v>0</v>
      </c>
      <c r="BU6" s="30" t="n">
        <v>0</v>
      </c>
      <c r="BV6" s="30" t="n">
        <v>0</v>
      </c>
      <c r="BW6" s="30" t="n">
        <v>0</v>
      </c>
      <c r="BX6" s="30" t="n">
        <v>0</v>
      </c>
      <c r="BY6" s="30" t="n">
        <v>0</v>
      </c>
      <c r="BZ6" s="30" t="n">
        <v>0</v>
      </c>
      <c r="CA6" s="30" t="n">
        <v>0</v>
      </c>
      <c r="CB6" s="30" t="n">
        <v>0</v>
      </c>
      <c r="CC6" s="30" t="n">
        <v>0</v>
      </c>
      <c r="CD6" s="30" t="n">
        <v>0</v>
      </c>
      <c r="CE6" s="30" t="n">
        <v>0</v>
      </c>
      <c r="CF6" s="30" t="n">
        <v>0</v>
      </c>
      <c r="CG6" s="30" t="n">
        <v>0</v>
      </c>
      <c r="CH6" s="30" t="n">
        <v>0</v>
      </c>
      <c r="CI6" s="30" t="n">
        <v>0</v>
      </c>
      <c r="CJ6" s="30" t="n">
        <v>0</v>
      </c>
      <c r="CK6" s="30" t="n">
        <v>0</v>
      </c>
      <c r="CL6" s="30" t="n">
        <v>0</v>
      </c>
      <c r="CM6" s="30" t="n">
        <v>0</v>
      </c>
      <c r="CN6" s="30" t="n">
        <v>0</v>
      </c>
      <c r="CO6" s="30" t="n">
        <v>0</v>
      </c>
      <c r="CP6" s="30" t="n">
        <v>0</v>
      </c>
      <c r="CQ6" s="30" t="n">
        <v>0</v>
      </c>
      <c r="CR6" s="30" t="n">
        <v>0</v>
      </c>
      <c r="CS6" s="30" t="n">
        <v>0</v>
      </c>
      <c r="CT6" s="30" t="n">
        <v>0</v>
      </c>
      <c r="CU6" s="30" t="n">
        <v>0</v>
      </c>
      <c r="CV6" s="30" t="n">
        <v>0</v>
      </c>
      <c r="CW6" s="30" t="n">
        <v>0</v>
      </c>
      <c r="CX6" s="30" t="n">
        <v>0</v>
      </c>
      <c r="CY6" s="30" t="n">
        <v>0</v>
      </c>
      <c r="CZ6" s="30" t="n">
        <v>0</v>
      </c>
      <c r="DA6" s="30" t="n">
        <v>0</v>
      </c>
    </row>
    <row r="7">
      <c r="A7" t="inlineStr">
        <is>
          <t>TSP-080</t>
        </is>
      </c>
      <c r="B7" s="30" t="n">
        <v>0</v>
      </c>
      <c r="C7" s="30" t="n">
        <v>0</v>
      </c>
      <c r="D7" s="30" t="n">
        <v>0</v>
      </c>
      <c r="E7" s="30" t="n">
        <v>0</v>
      </c>
      <c r="F7" s="30" t="n">
        <v>0</v>
      </c>
      <c r="G7" s="30" t="n">
        <v>0</v>
      </c>
      <c r="H7" s="30" t="n">
        <v>0</v>
      </c>
      <c r="I7" s="30" t="n">
        <v>0</v>
      </c>
      <c r="J7" s="30" t="n">
        <v>0</v>
      </c>
      <c r="K7" s="30" t="n">
        <v>0</v>
      </c>
      <c r="L7" s="30" t="n">
        <v>0</v>
      </c>
      <c r="M7" s="30" t="n">
        <v>0</v>
      </c>
      <c r="N7" s="30" t="n">
        <v>0</v>
      </c>
      <c r="O7" s="30" t="n">
        <v>0</v>
      </c>
      <c r="P7" s="30" t="n">
        <v>0</v>
      </c>
      <c r="Q7" s="30" t="n">
        <v>0</v>
      </c>
      <c r="R7" s="30" t="n">
        <v>0</v>
      </c>
      <c r="S7" s="30" t="n">
        <v>0</v>
      </c>
      <c r="T7" s="30" t="n">
        <v>0</v>
      </c>
      <c r="U7" s="30" t="n">
        <v>0</v>
      </c>
      <c r="V7" s="30" t="n">
        <v>0</v>
      </c>
      <c r="W7" s="30" t="n">
        <v>0</v>
      </c>
      <c r="X7" s="30" t="n">
        <v>0</v>
      </c>
      <c r="Y7" s="30" t="n">
        <v>0</v>
      </c>
      <c r="Z7" s="30" t="n">
        <v>0</v>
      </c>
      <c r="AA7" s="30" t="n">
        <v>0</v>
      </c>
      <c r="AB7" s="30" t="n">
        <v>0</v>
      </c>
      <c r="AC7" s="30" t="n">
        <v>0</v>
      </c>
      <c r="AD7" s="30" t="n">
        <v>0</v>
      </c>
      <c r="AE7" s="30" t="n">
        <v>0</v>
      </c>
      <c r="AF7" s="30" t="n">
        <v>0</v>
      </c>
      <c r="AG7" s="30" t="n">
        <v>0</v>
      </c>
      <c r="AH7" s="30" t="n">
        <v>0</v>
      </c>
      <c r="AI7" s="30" t="n">
        <v>0</v>
      </c>
      <c r="AJ7" s="30" t="n">
        <v>0</v>
      </c>
      <c r="AK7" s="30" t="n">
        <v>0</v>
      </c>
      <c r="AL7" s="30" t="n">
        <v>0</v>
      </c>
      <c r="AM7" s="30" t="n">
        <v>0</v>
      </c>
      <c r="AN7" s="30" t="n">
        <v>0</v>
      </c>
      <c r="AO7" s="30" t="n">
        <v>0</v>
      </c>
      <c r="AP7" s="30" t="n">
        <v>0</v>
      </c>
      <c r="AQ7" s="30" t="n">
        <v>0</v>
      </c>
      <c r="AR7" s="30" t="n">
        <v>0</v>
      </c>
      <c r="AS7" s="30" t="n">
        <v>0</v>
      </c>
      <c r="AT7" s="30" t="n">
        <v>0</v>
      </c>
      <c r="AU7" s="30" t="n">
        <v>0</v>
      </c>
      <c r="AV7" s="30" t="n">
        <v>0</v>
      </c>
      <c r="AW7" s="30" t="n">
        <v>0</v>
      </c>
      <c r="AX7" s="30" t="n">
        <v>0</v>
      </c>
      <c r="AY7" s="30" t="n">
        <v>0</v>
      </c>
      <c r="AZ7" s="30" t="n">
        <v>0</v>
      </c>
      <c r="BA7" s="30" t="n">
        <v>0</v>
      </c>
      <c r="BB7" s="30" t="n">
        <v>0</v>
      </c>
      <c r="BC7" s="30" t="n">
        <v>0</v>
      </c>
      <c r="BD7" s="30" t="n">
        <v>0</v>
      </c>
      <c r="BE7" s="30" t="n">
        <v>0</v>
      </c>
      <c r="BF7" s="30" t="n">
        <v>0</v>
      </c>
      <c r="BG7" s="30" t="n">
        <v>0</v>
      </c>
      <c r="BH7" s="30" t="n">
        <v>0</v>
      </c>
      <c r="BI7" s="30" t="n">
        <v>0</v>
      </c>
      <c r="BJ7" s="30" t="n">
        <v>0</v>
      </c>
      <c r="BK7" s="30" t="n">
        <v>0</v>
      </c>
      <c r="BL7" s="30" t="n">
        <v>0</v>
      </c>
      <c r="BM7" s="30" t="n">
        <v>0</v>
      </c>
      <c r="BN7" s="30" t="n">
        <v>0</v>
      </c>
      <c r="BO7" s="30" t="n">
        <v>0</v>
      </c>
      <c r="BP7" s="30" t="n">
        <v>0</v>
      </c>
      <c r="BQ7" s="30" t="n">
        <v>0</v>
      </c>
      <c r="BR7" s="30" t="n">
        <v>0</v>
      </c>
      <c r="BS7" s="30" t="n">
        <v>0</v>
      </c>
      <c r="BT7" s="30" t="n">
        <v>0</v>
      </c>
      <c r="BU7" s="30" t="n">
        <v>0</v>
      </c>
      <c r="BV7" s="30" t="n">
        <v>0</v>
      </c>
      <c r="BW7" s="30" t="n">
        <v>0</v>
      </c>
      <c r="BX7" s="30" t="n">
        <v>0</v>
      </c>
      <c r="BY7" s="30" t="n">
        <v>0</v>
      </c>
      <c r="BZ7" s="30" t="n">
        <v>0</v>
      </c>
      <c r="CA7" s="30" t="n">
        <v>0</v>
      </c>
      <c r="CB7" s="30" t="n">
        <v>0</v>
      </c>
      <c r="CC7" s="30" t="n">
        <v>0</v>
      </c>
      <c r="CD7" s="30" t="n">
        <v>0</v>
      </c>
      <c r="CE7" s="30" t="n">
        <v>0</v>
      </c>
      <c r="CF7" s="30" t="n">
        <v>0</v>
      </c>
      <c r="CG7" s="30" t="n">
        <v>0</v>
      </c>
      <c r="CH7" s="30" t="n">
        <v>0</v>
      </c>
      <c r="CI7" s="30" t="n">
        <v>0</v>
      </c>
      <c r="CJ7" s="30" t="n">
        <v>0</v>
      </c>
      <c r="CK7" s="30" t="n">
        <v>0</v>
      </c>
      <c r="CL7" s="30" t="n">
        <v>0</v>
      </c>
      <c r="CM7" s="30" t="n">
        <v>0</v>
      </c>
      <c r="CN7" s="30" t="n">
        <v>0</v>
      </c>
      <c r="CO7" s="30" t="n">
        <v>0</v>
      </c>
      <c r="CP7" s="30" t="n">
        <v>0</v>
      </c>
      <c r="CQ7" s="30" t="n">
        <v>0</v>
      </c>
      <c r="CR7" s="30" t="n">
        <v>0</v>
      </c>
      <c r="CS7" s="30" t="n">
        <v>0</v>
      </c>
      <c r="CT7" s="30" t="n">
        <v>0</v>
      </c>
      <c r="CU7" s="30" t="n">
        <v>0</v>
      </c>
      <c r="CV7" s="30" t="n">
        <v>0</v>
      </c>
      <c r="CW7" s="30" t="n">
        <v>0</v>
      </c>
      <c r="CX7" s="30" t="n">
        <v>0</v>
      </c>
      <c r="CY7" s="30" t="n">
        <v>0</v>
      </c>
      <c r="CZ7" s="30" t="n">
        <v>0</v>
      </c>
      <c r="DA7" s="30" t="n">
        <v>0</v>
      </c>
    </row>
    <row r="8">
      <c r="A8" t="inlineStr">
        <is>
          <t>TSP-104</t>
        </is>
      </c>
      <c r="B8" s="30" t="n">
        <v>0</v>
      </c>
      <c r="C8" s="30" t="n">
        <v>0</v>
      </c>
      <c r="D8" s="30" t="n">
        <v>0</v>
      </c>
      <c r="E8" s="30" t="n">
        <v>0</v>
      </c>
      <c r="F8" s="30" t="n">
        <v>0</v>
      </c>
      <c r="G8" s="30" t="n">
        <v>0</v>
      </c>
      <c r="H8" s="30" t="n">
        <v>0</v>
      </c>
      <c r="I8" s="30" t="n">
        <v>0</v>
      </c>
      <c r="J8" s="30" t="n">
        <v>0</v>
      </c>
      <c r="K8" s="30" t="n">
        <v>0</v>
      </c>
      <c r="L8" s="30" t="n">
        <v>0</v>
      </c>
      <c r="M8" s="30" t="n">
        <v>0</v>
      </c>
      <c r="N8" s="30" t="n">
        <v>0</v>
      </c>
      <c r="O8" s="30" t="n">
        <v>0</v>
      </c>
      <c r="P8" s="30" t="n">
        <v>0</v>
      </c>
      <c r="Q8" s="30" t="n">
        <v>0</v>
      </c>
      <c r="R8" s="30" t="n">
        <v>0</v>
      </c>
      <c r="S8" s="30" t="n">
        <v>0</v>
      </c>
      <c r="T8" s="30" t="n">
        <v>0</v>
      </c>
      <c r="U8" s="30" t="n">
        <v>0</v>
      </c>
      <c r="V8" s="30" t="n">
        <v>0</v>
      </c>
      <c r="W8" s="30" t="n">
        <v>0</v>
      </c>
      <c r="X8" s="30" t="n">
        <v>0</v>
      </c>
      <c r="Y8" s="30" t="n">
        <v>0</v>
      </c>
      <c r="Z8" s="30" t="n">
        <v>0</v>
      </c>
      <c r="AA8" s="30" t="n">
        <v>0</v>
      </c>
      <c r="AB8" s="30" t="n">
        <v>0</v>
      </c>
      <c r="AC8" s="30" t="n">
        <v>0</v>
      </c>
      <c r="AD8" s="30" t="n">
        <v>0</v>
      </c>
      <c r="AE8" s="30" t="n">
        <v>0</v>
      </c>
      <c r="AF8" s="30" t="n">
        <v>0</v>
      </c>
      <c r="AG8" s="30" t="n">
        <v>0</v>
      </c>
      <c r="AH8" s="30" t="n">
        <v>0</v>
      </c>
      <c r="AI8" s="30" t="n">
        <v>0</v>
      </c>
      <c r="AJ8" s="30" t="n">
        <v>0</v>
      </c>
      <c r="AK8" s="30" t="n">
        <v>0</v>
      </c>
      <c r="AL8" s="30" t="n">
        <v>0</v>
      </c>
      <c r="AM8" s="30" t="n">
        <v>0</v>
      </c>
      <c r="AN8" s="30" t="n">
        <v>0</v>
      </c>
      <c r="AO8" s="30" t="n">
        <v>0</v>
      </c>
      <c r="AP8" s="30" t="n">
        <v>0</v>
      </c>
      <c r="AQ8" s="30" t="n">
        <v>0</v>
      </c>
      <c r="AR8" s="30" t="n">
        <v>0</v>
      </c>
      <c r="AS8" s="30" t="n">
        <v>0</v>
      </c>
      <c r="AT8" s="30" t="n">
        <v>0</v>
      </c>
      <c r="AU8" s="30" t="n">
        <v>0</v>
      </c>
      <c r="AV8" s="30" t="n">
        <v>0</v>
      </c>
      <c r="AW8" s="30" t="n">
        <v>0</v>
      </c>
      <c r="AX8" s="30" t="n">
        <v>0</v>
      </c>
      <c r="AY8" s="30" t="n">
        <v>0</v>
      </c>
      <c r="AZ8" s="30" t="n">
        <v>0</v>
      </c>
      <c r="BA8" s="30" t="n">
        <v>0</v>
      </c>
      <c r="BB8" s="30" t="n">
        <v>0</v>
      </c>
      <c r="BC8" s="30" t="n">
        <v>0</v>
      </c>
      <c r="BD8" s="30" t="n">
        <v>0</v>
      </c>
      <c r="BE8" s="30" t="n">
        <v>0</v>
      </c>
      <c r="BF8" s="30" t="n">
        <v>0</v>
      </c>
      <c r="BG8" s="30" t="n">
        <v>0</v>
      </c>
      <c r="BH8" s="30" t="n">
        <v>0</v>
      </c>
      <c r="BI8" s="30" t="n">
        <v>0</v>
      </c>
      <c r="BJ8" s="30" t="n">
        <v>0</v>
      </c>
      <c r="BK8" s="30" t="n">
        <v>0</v>
      </c>
      <c r="BL8" s="30" t="n">
        <v>0</v>
      </c>
      <c r="BM8" s="30" t="n">
        <v>0</v>
      </c>
      <c r="BN8" s="30" t="n">
        <v>0</v>
      </c>
      <c r="BO8" s="30" t="n">
        <v>0</v>
      </c>
      <c r="BP8" s="30" t="n">
        <v>0</v>
      </c>
      <c r="BQ8" s="30" t="n">
        <v>0</v>
      </c>
      <c r="BR8" s="30" t="n">
        <v>0</v>
      </c>
      <c r="BS8" s="30" t="n">
        <v>0</v>
      </c>
      <c r="BT8" s="30" t="n">
        <v>0</v>
      </c>
      <c r="BU8" s="30" t="n">
        <v>0</v>
      </c>
      <c r="BV8" s="30" t="n">
        <v>0</v>
      </c>
      <c r="BW8" s="30" t="n">
        <v>0</v>
      </c>
      <c r="BX8" s="30" t="n">
        <v>0</v>
      </c>
      <c r="BY8" s="30" t="n">
        <v>0</v>
      </c>
      <c r="BZ8" s="30" t="n">
        <v>0</v>
      </c>
      <c r="CA8" s="30" t="n">
        <v>0</v>
      </c>
      <c r="CB8" s="30" t="n">
        <v>0</v>
      </c>
      <c r="CC8" s="30" t="n">
        <v>0</v>
      </c>
      <c r="CD8" s="30" t="n">
        <v>0</v>
      </c>
      <c r="CE8" s="30" t="n">
        <v>0</v>
      </c>
      <c r="CF8" s="30" t="n">
        <v>0</v>
      </c>
      <c r="CG8" s="30" t="n">
        <v>0</v>
      </c>
      <c r="CH8" s="30" t="n">
        <v>0</v>
      </c>
      <c r="CI8" s="30" t="n">
        <v>0</v>
      </c>
      <c r="CJ8" s="30" t="n">
        <v>0</v>
      </c>
      <c r="CK8" s="30" t="n">
        <v>0</v>
      </c>
      <c r="CL8" s="30" t="n">
        <v>0</v>
      </c>
      <c r="CM8" s="30" t="n">
        <v>0</v>
      </c>
      <c r="CN8" s="30" t="n">
        <v>0</v>
      </c>
      <c r="CO8" s="30" t="n">
        <v>0</v>
      </c>
      <c r="CP8" s="30" t="n">
        <v>0</v>
      </c>
      <c r="CQ8" s="30" t="n">
        <v>0</v>
      </c>
      <c r="CR8" s="30" t="n">
        <v>0</v>
      </c>
      <c r="CS8" s="30" t="n">
        <v>0</v>
      </c>
      <c r="CT8" s="30" t="n">
        <v>0</v>
      </c>
      <c r="CU8" s="30" t="n">
        <v>0</v>
      </c>
      <c r="CV8" s="30" t="n">
        <v>0</v>
      </c>
      <c r="CW8" s="30" t="n">
        <v>0</v>
      </c>
      <c r="CX8" s="30" t="n">
        <v>0</v>
      </c>
      <c r="CY8" s="30" t="n">
        <v>0</v>
      </c>
      <c r="CZ8" s="30" t="n">
        <v>0</v>
      </c>
      <c r="DA8" s="30" t="n">
        <v>0</v>
      </c>
    </row>
    <row r="9">
      <c r="A9" t="inlineStr">
        <is>
          <t>TSP-105</t>
        </is>
      </c>
      <c r="B9" s="30" t="n">
        <v>0</v>
      </c>
      <c r="C9" s="30" t="n">
        <v>0</v>
      </c>
      <c r="D9" s="30" t="n">
        <v>0</v>
      </c>
      <c r="E9" s="30" t="n">
        <v>0</v>
      </c>
      <c r="F9" s="30" t="n">
        <v>0</v>
      </c>
      <c r="G9" s="30" t="n">
        <v>0</v>
      </c>
      <c r="H9" s="30" t="n">
        <v>0</v>
      </c>
      <c r="I9" s="30" t="n">
        <v>0</v>
      </c>
      <c r="J9" s="30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30" t="n">
        <v>0</v>
      </c>
      <c r="P9" s="30" t="n">
        <v>0</v>
      </c>
      <c r="Q9" s="30" t="n">
        <v>0</v>
      </c>
      <c r="R9" s="30" t="n">
        <v>0</v>
      </c>
      <c r="S9" s="30" t="n">
        <v>0</v>
      </c>
      <c r="T9" s="30" t="n">
        <v>0</v>
      </c>
      <c r="U9" s="30" t="n">
        <v>0</v>
      </c>
      <c r="V9" s="30" t="n">
        <v>0</v>
      </c>
      <c r="W9" s="30" t="n">
        <v>0</v>
      </c>
      <c r="X9" s="30" t="n">
        <v>0</v>
      </c>
      <c r="Y9" s="30" t="n">
        <v>0</v>
      </c>
      <c r="Z9" s="30" t="n">
        <v>0</v>
      </c>
      <c r="AA9" s="30" t="n">
        <v>0</v>
      </c>
      <c r="AB9" s="30" t="n">
        <v>0</v>
      </c>
      <c r="AC9" s="30" t="n">
        <v>0</v>
      </c>
      <c r="AD9" s="30" t="n">
        <v>0</v>
      </c>
      <c r="AE9" s="30" t="n">
        <v>0</v>
      </c>
      <c r="AF9" s="30" t="n">
        <v>0</v>
      </c>
      <c r="AG9" s="30" t="n">
        <v>0</v>
      </c>
      <c r="AH9" s="30" t="n">
        <v>0</v>
      </c>
      <c r="AI9" s="30" t="n">
        <v>0</v>
      </c>
      <c r="AJ9" s="30" t="n">
        <v>0</v>
      </c>
      <c r="AK9" s="30" t="n">
        <v>0</v>
      </c>
      <c r="AL9" s="30" t="n">
        <v>0</v>
      </c>
      <c r="AM9" s="30" t="n">
        <v>0</v>
      </c>
      <c r="AN9" s="30" t="n">
        <v>0</v>
      </c>
      <c r="AO9" s="30" t="n">
        <v>0</v>
      </c>
      <c r="AP9" s="30" t="n">
        <v>0</v>
      </c>
      <c r="AQ9" s="30" t="n">
        <v>0</v>
      </c>
      <c r="AR9" s="30" t="n">
        <v>0</v>
      </c>
      <c r="AS9" s="30" t="n">
        <v>0</v>
      </c>
      <c r="AT9" s="30" t="n">
        <v>0</v>
      </c>
      <c r="AU9" s="30" t="n">
        <v>0</v>
      </c>
      <c r="AV9" s="30" t="n">
        <v>0</v>
      </c>
      <c r="AW9" s="30" t="n">
        <v>0</v>
      </c>
      <c r="AX9" s="30" t="n">
        <v>0</v>
      </c>
      <c r="AY9" s="30" t="n">
        <v>0</v>
      </c>
      <c r="AZ9" s="30" t="n">
        <v>0</v>
      </c>
      <c r="BA9" s="30" t="n">
        <v>0</v>
      </c>
      <c r="BB9" s="30" t="n">
        <v>0</v>
      </c>
      <c r="BC9" s="30" t="n">
        <v>0</v>
      </c>
      <c r="BD9" s="30" t="n">
        <v>0</v>
      </c>
      <c r="BE9" s="30" t="n">
        <v>0</v>
      </c>
      <c r="BF9" s="30" t="n">
        <v>0</v>
      </c>
      <c r="BG9" s="30" t="n">
        <v>0</v>
      </c>
      <c r="BH9" s="30" t="n">
        <v>0</v>
      </c>
      <c r="BI9" s="30" t="n">
        <v>0</v>
      </c>
      <c r="BJ9" s="30" t="n">
        <v>0</v>
      </c>
      <c r="BK9" s="30" t="n">
        <v>0</v>
      </c>
      <c r="BL9" s="30" t="n">
        <v>0</v>
      </c>
      <c r="BM9" s="30" t="n">
        <v>0</v>
      </c>
      <c r="BN9" s="30" t="n">
        <v>0</v>
      </c>
      <c r="BO9" s="30" t="n">
        <v>0</v>
      </c>
      <c r="BP9" s="30" t="n">
        <v>0</v>
      </c>
      <c r="BQ9" s="30" t="n">
        <v>0</v>
      </c>
      <c r="BR9" s="30" t="n">
        <v>0</v>
      </c>
      <c r="BS9" s="30" t="n">
        <v>0</v>
      </c>
      <c r="BT9" s="30" t="n">
        <v>0</v>
      </c>
      <c r="BU9" s="30" t="n">
        <v>0</v>
      </c>
      <c r="BV9" s="30" t="n">
        <v>0</v>
      </c>
      <c r="BW9" s="30" t="n">
        <v>0</v>
      </c>
      <c r="BX9" s="30" t="n">
        <v>0</v>
      </c>
      <c r="BY9" s="30" t="n">
        <v>0</v>
      </c>
      <c r="BZ9" s="30" t="n">
        <v>0</v>
      </c>
      <c r="CA9" s="30" t="n">
        <v>0</v>
      </c>
      <c r="CB9" s="30" t="n">
        <v>0</v>
      </c>
      <c r="CC9" s="30" t="n">
        <v>0</v>
      </c>
      <c r="CD9" s="30" t="n">
        <v>0</v>
      </c>
      <c r="CE9" s="30" t="n">
        <v>0</v>
      </c>
      <c r="CF9" s="30" t="n">
        <v>0</v>
      </c>
      <c r="CG9" s="30" t="n">
        <v>0</v>
      </c>
      <c r="CH9" s="30" t="n">
        <v>0</v>
      </c>
      <c r="CI9" s="30" t="n">
        <v>0</v>
      </c>
      <c r="CJ9" s="30" t="n">
        <v>0</v>
      </c>
      <c r="CK9" s="30" t="n">
        <v>0</v>
      </c>
      <c r="CL9" s="30" t="n">
        <v>0</v>
      </c>
      <c r="CM9" s="30" t="n">
        <v>0</v>
      </c>
      <c r="CN9" s="30" t="n">
        <v>0</v>
      </c>
      <c r="CO9" s="30" t="n">
        <v>0</v>
      </c>
      <c r="CP9" s="30" t="n">
        <v>0</v>
      </c>
      <c r="CQ9" s="30" t="n">
        <v>0</v>
      </c>
      <c r="CR9" s="30" t="n">
        <v>0</v>
      </c>
      <c r="CS9" s="30" t="n">
        <v>0</v>
      </c>
      <c r="CT9" s="30" t="n">
        <v>0</v>
      </c>
      <c r="CU9" s="30" t="n">
        <v>0</v>
      </c>
      <c r="CV9" s="30" t="n">
        <v>0</v>
      </c>
      <c r="CW9" s="30" t="n">
        <v>0</v>
      </c>
      <c r="CX9" s="30" t="n">
        <v>0</v>
      </c>
      <c r="CY9" s="30" t="n">
        <v>0</v>
      </c>
      <c r="CZ9" s="30" t="n">
        <v>0</v>
      </c>
      <c r="DA9" s="30" t="n">
        <v>0</v>
      </c>
    </row>
    <row r="10">
      <c r="A10" t="inlineStr">
        <is>
          <t>TSP-1388</t>
        </is>
      </c>
      <c r="B10" s="30" t="n">
        <v>0</v>
      </c>
      <c r="C10" s="30" t="n">
        <v>0</v>
      </c>
      <c r="D10" s="30" t="n">
        <v>0</v>
      </c>
      <c r="E10" s="30" t="n">
        <v>0</v>
      </c>
      <c r="F10" s="30" t="n">
        <v>0</v>
      </c>
      <c r="G10" s="30" t="n">
        <v>0</v>
      </c>
      <c r="H10" s="30" t="n">
        <v>0</v>
      </c>
      <c r="I10" s="30" t="n">
        <v>0</v>
      </c>
      <c r="J10" s="30" t="n">
        <v>0</v>
      </c>
      <c r="K10" s="30" t="n">
        <v>0</v>
      </c>
      <c r="L10" s="30" t="n">
        <v>0</v>
      </c>
      <c r="M10" s="30" t="n">
        <v>0</v>
      </c>
      <c r="N10" s="30" t="n">
        <v>0</v>
      </c>
      <c r="O10" s="30" t="n">
        <v>0</v>
      </c>
      <c r="P10" s="30" t="n">
        <v>0</v>
      </c>
      <c r="Q10" s="30" t="n">
        <v>0</v>
      </c>
      <c r="R10" s="30" t="n">
        <v>0</v>
      </c>
      <c r="S10" s="30" t="n">
        <v>0</v>
      </c>
      <c r="T10" s="30" t="n">
        <v>0</v>
      </c>
      <c r="U10" s="30" t="n">
        <v>0</v>
      </c>
      <c r="V10" s="30" t="n">
        <v>0</v>
      </c>
      <c r="W10" s="30" t="n">
        <v>0</v>
      </c>
      <c r="X10" s="30" t="n">
        <v>4.84752501513953</v>
      </c>
      <c r="Y10" s="30" t="n">
        <v>1.189476793284051</v>
      </c>
      <c r="Z10" s="30" t="n">
        <v>0</v>
      </c>
      <c r="AA10" s="30" t="n">
        <v>2.423762507569765</v>
      </c>
      <c r="AB10" s="30" t="n">
        <v>3.232471942097165</v>
      </c>
      <c r="AC10" s="30" t="n">
        <v>0</v>
      </c>
      <c r="AD10" s="30" t="n">
        <v>1.189476793284051</v>
      </c>
      <c r="AE10" s="30" t="n">
        <v>3.277280863098829</v>
      </c>
      <c r="AF10" s="30" t="n">
        <v>2.468571428571428</v>
      </c>
      <c r="AG10" s="30" t="n">
        <v>2.423762507569765</v>
      </c>
      <c r="AH10" s="30" t="n">
        <v>3.658048221855479</v>
      </c>
      <c r="AI10" s="30" t="n">
        <v>4.466757656382879</v>
      </c>
      <c r="AJ10" s="30" t="n">
        <v>2.468571428571428</v>
      </c>
      <c r="AK10" s="30" t="n">
        <v>2.468571428571428</v>
      </c>
      <c r="AL10" s="30" t="n">
        <v>2.423762507569765</v>
      </c>
      <c r="AM10" s="30" t="n">
        <v>2.468571428571428</v>
      </c>
      <c r="AN10" s="30" t="n">
        <v>3.232471942097165</v>
      </c>
      <c r="AO10" s="30" t="n">
        <v>1.234285714285714</v>
      </c>
      <c r="AP10" s="30" t="n">
        <v>3.658048221855479</v>
      </c>
      <c r="AQ10" s="30" t="n">
        <v>3.658048221855479</v>
      </c>
      <c r="AR10" s="30" t="n">
        <v>3.232471942097165</v>
      </c>
      <c r="AS10" s="30" t="n">
        <v>4.84752501513953</v>
      </c>
      <c r="AT10" s="30" t="n">
        <v>4.466757656382879</v>
      </c>
      <c r="AU10" s="30" t="n">
        <v>4.892333936141194</v>
      </c>
      <c r="AV10" s="30" t="n">
        <v>5.701043370668594</v>
      </c>
      <c r="AW10" s="30" t="n">
        <v>4.466757656382879</v>
      </c>
      <c r="AX10" s="30" t="n">
        <v>3.658048221855479</v>
      </c>
      <c r="AY10" s="30" t="n">
        <v>4.466757656382879</v>
      </c>
      <c r="AZ10" s="30" t="n">
        <v>1.234285714285714</v>
      </c>
      <c r="BA10" s="30" t="n">
        <v>0</v>
      </c>
      <c r="BB10" s="30" t="n">
        <v>0</v>
      </c>
      <c r="BC10" s="30" t="n">
        <v>1.234285714285714</v>
      </c>
      <c r="BD10" s="30" t="n">
        <v>2.468571428571428</v>
      </c>
      <c r="BE10" s="30" t="n">
        <v>3.658048221855479</v>
      </c>
      <c r="BF10" s="30" t="n">
        <v>4.466757656382879</v>
      </c>
      <c r="BG10" s="30" t="n">
        <v>2.423762507569765</v>
      </c>
      <c r="BH10" s="30" t="n">
        <v>3.658048221855479</v>
      </c>
      <c r="BI10" s="30" t="n">
        <v>2.423762507569765</v>
      </c>
      <c r="BJ10" s="30" t="n">
        <v>2.042995148813114</v>
      </c>
      <c r="BK10" s="30" t="n">
        <v>2.423762507569765</v>
      </c>
      <c r="BL10" s="30" t="n">
        <v>2.468571428571428</v>
      </c>
      <c r="BM10" s="30" t="n">
        <v>1.234285714285714</v>
      </c>
      <c r="BN10" s="30" t="n">
        <v>1.234285714285714</v>
      </c>
      <c r="BO10" s="30" t="n">
        <v>2.431624960405448</v>
      </c>
      <c r="BP10" s="30" t="n">
        <v>0</v>
      </c>
      <c r="BQ10" s="30" t="n">
        <v>1.234285714285714</v>
      </c>
      <c r="BR10" s="30" t="n">
        <v>1.234285714285714</v>
      </c>
      <c r="BS10" s="30" t="n">
        <v>1.234285714285714</v>
      </c>
      <c r="BT10" s="30" t="n">
        <v>0</v>
      </c>
      <c r="BU10" s="30" t="n">
        <v>1.234285714285714</v>
      </c>
      <c r="BV10" s="30" t="n">
        <v>0.9257142857142857</v>
      </c>
      <c r="BW10" s="30" t="n">
        <v>0</v>
      </c>
      <c r="BX10" s="30" t="n">
        <v>0</v>
      </c>
      <c r="BY10" s="30" t="n">
        <v>0</v>
      </c>
      <c r="BZ10" s="30" t="n">
        <v>0</v>
      </c>
      <c r="CA10" s="30" t="n">
        <v>0</v>
      </c>
      <c r="CB10" s="30" t="n">
        <v>0</v>
      </c>
      <c r="CC10" s="30" t="n">
        <v>0</v>
      </c>
      <c r="CD10" s="30" t="n">
        <v>0</v>
      </c>
      <c r="CE10" s="30" t="n">
        <v>0</v>
      </c>
      <c r="CF10" s="30" t="n">
        <v>0</v>
      </c>
      <c r="CG10" s="30" t="n">
        <v>0</v>
      </c>
      <c r="CH10" s="30" t="n">
        <v>0</v>
      </c>
      <c r="CI10" s="30" t="n">
        <v>0</v>
      </c>
      <c r="CJ10" s="30" t="n">
        <v>0</v>
      </c>
      <c r="CK10" s="30" t="n">
        <v>0</v>
      </c>
      <c r="CL10" s="30" t="n">
        <v>0</v>
      </c>
      <c r="CM10" s="30" t="n">
        <v>0</v>
      </c>
      <c r="CN10" s="30" t="n">
        <v>0</v>
      </c>
      <c r="CO10" s="30" t="n">
        <v>0</v>
      </c>
      <c r="CP10" s="30" t="n">
        <v>0</v>
      </c>
      <c r="CQ10" s="30" t="n">
        <v>0</v>
      </c>
      <c r="CR10" s="30" t="n">
        <v>0</v>
      </c>
      <c r="CS10" s="30" t="n">
        <v>0</v>
      </c>
      <c r="CT10" s="30" t="n">
        <v>0</v>
      </c>
      <c r="CU10" s="30" t="n">
        <v>0</v>
      </c>
      <c r="CV10" s="30" t="n">
        <v>0</v>
      </c>
      <c r="CW10" s="30" t="n">
        <v>0</v>
      </c>
      <c r="CX10" s="30" t="n">
        <v>0</v>
      </c>
      <c r="CY10" s="30" t="n">
        <v>0</v>
      </c>
      <c r="CZ10" s="30" t="n">
        <v>0</v>
      </c>
      <c r="DA10" s="30" t="n">
        <v>0</v>
      </c>
    </row>
    <row r="11">
      <c r="A11" t="inlineStr">
        <is>
          <t>TSP-1444</t>
        </is>
      </c>
      <c r="B11" s="30" t="n">
        <v>0</v>
      </c>
      <c r="C11" s="30" t="n">
        <v>0</v>
      </c>
      <c r="D11" s="30" t="n">
        <v>0</v>
      </c>
      <c r="E11" s="30" t="n">
        <v>0</v>
      </c>
      <c r="F11" s="30" t="n">
        <v>0</v>
      </c>
      <c r="G11" s="30" t="n">
        <v>0</v>
      </c>
      <c r="H11" s="30" t="n">
        <v>0</v>
      </c>
      <c r="I11" s="30" t="n">
        <v>0</v>
      </c>
      <c r="J11" s="30" t="n">
        <v>0</v>
      </c>
      <c r="K11" s="30" t="n">
        <v>0</v>
      </c>
      <c r="L11" s="30" t="n">
        <v>0</v>
      </c>
      <c r="M11" s="30" t="n">
        <v>0</v>
      </c>
      <c r="N11" s="30" t="n">
        <v>0</v>
      </c>
      <c r="O11" s="30" t="n">
        <v>0</v>
      </c>
      <c r="P11" s="30" t="n">
        <v>0</v>
      </c>
      <c r="Q11" s="30" t="n">
        <v>0</v>
      </c>
      <c r="R11" s="30" t="n">
        <v>0</v>
      </c>
      <c r="S11" s="30" t="n">
        <v>0</v>
      </c>
      <c r="T11" s="30" t="n">
        <v>0</v>
      </c>
      <c r="U11" s="30" t="n">
        <v>0</v>
      </c>
      <c r="V11" s="30" t="n">
        <v>0</v>
      </c>
      <c r="W11" s="30" t="n">
        <v>0</v>
      </c>
      <c r="X11" s="30" t="n">
        <v>7.458075052893359</v>
      </c>
      <c r="Y11" s="30" t="n">
        <v>0</v>
      </c>
      <c r="Z11" s="30" t="n">
        <v>0</v>
      </c>
      <c r="AA11" s="30" t="n">
        <v>3.72903752644668</v>
      </c>
      <c r="AB11" s="30" t="n">
        <v>6.098185949208053</v>
      </c>
      <c r="AC11" s="30" t="n">
        <v>0</v>
      </c>
      <c r="AD11" s="30" t="n">
        <v>0</v>
      </c>
      <c r="AE11" s="30" t="n">
        <v>9.827223475654733</v>
      </c>
      <c r="AF11" s="30" t="n">
        <v>7.458075052893359</v>
      </c>
      <c r="AG11" s="30" t="n">
        <v>3.72903752644668</v>
      </c>
      <c r="AH11" s="30" t="n">
        <v>7.458075052893359</v>
      </c>
      <c r="AI11" s="30" t="n">
        <v>9.827223475654733</v>
      </c>
      <c r="AJ11" s="30" t="n">
        <v>7.458075052893359</v>
      </c>
      <c r="AK11" s="30" t="n">
        <v>7.458075052893359</v>
      </c>
      <c r="AL11" s="30" t="n">
        <v>3.72903752644668</v>
      </c>
      <c r="AM11" s="30" t="n">
        <v>7.458075052893359</v>
      </c>
      <c r="AN11" s="30" t="n">
        <v>6.098185949208053</v>
      </c>
      <c r="AO11" s="30" t="n">
        <v>3.72903752644668</v>
      </c>
      <c r="AP11" s="30" t="n">
        <v>7.458075052893359</v>
      </c>
      <c r="AQ11" s="30" t="n">
        <v>7.458075052893359</v>
      </c>
      <c r="AR11" s="30" t="n">
        <v>6.098185949208053</v>
      </c>
      <c r="AS11" s="30" t="n">
        <v>7.458075052893359</v>
      </c>
      <c r="AT11" s="30" t="n">
        <v>9.827223475654733</v>
      </c>
      <c r="AU11" s="30" t="n">
        <v>11.18711257934004</v>
      </c>
      <c r="AV11" s="30" t="n">
        <v>13.55626100210141</v>
      </c>
      <c r="AW11" s="30" t="n">
        <v>9.827223475654733</v>
      </c>
      <c r="AX11" s="30" t="n">
        <v>7.458075052893359</v>
      </c>
      <c r="AY11" s="30" t="n">
        <v>9.827223475654733</v>
      </c>
      <c r="AZ11" s="30" t="n">
        <v>3.72903752644668</v>
      </c>
      <c r="BA11" s="30" t="n">
        <v>0</v>
      </c>
      <c r="BB11" s="30" t="n">
        <v>0</v>
      </c>
      <c r="BC11" s="30" t="n">
        <v>3.72903752644668</v>
      </c>
      <c r="BD11" s="30" t="n">
        <v>7.458075052893359</v>
      </c>
      <c r="BE11" s="30" t="n">
        <v>7.458075052893359</v>
      </c>
      <c r="BF11" s="30" t="n">
        <v>9.827223475654733</v>
      </c>
      <c r="BG11" s="30" t="n">
        <v>3.72903752644668</v>
      </c>
      <c r="BH11" s="30" t="n">
        <v>7.458075052893359</v>
      </c>
      <c r="BI11" s="30" t="n">
        <v>3.72903752644668</v>
      </c>
      <c r="BJ11" s="30" t="n">
        <v>6.098185949208053</v>
      </c>
      <c r="BK11" s="30" t="n">
        <v>3.72903752644668</v>
      </c>
      <c r="BL11" s="30" t="n">
        <v>7.458075052893359</v>
      </c>
      <c r="BM11" s="30" t="n">
        <v>3.72903752644668</v>
      </c>
      <c r="BN11" s="30" t="n">
        <v>3.72903752644668</v>
      </c>
      <c r="BO11" s="30" t="n">
        <v>4.913611737827367</v>
      </c>
      <c r="BP11" s="30" t="n">
        <v>0</v>
      </c>
      <c r="BQ11" s="30" t="n">
        <v>3.72903752644668</v>
      </c>
      <c r="BR11" s="30" t="n">
        <v>3.72903752644668</v>
      </c>
      <c r="BS11" s="30" t="n">
        <v>3.72903752644668</v>
      </c>
      <c r="BT11" s="30" t="n">
        <v>0</v>
      </c>
      <c r="BU11" s="30" t="n">
        <v>3.72903752644668</v>
      </c>
      <c r="BV11" s="30" t="n">
        <v>2.79677814483501</v>
      </c>
      <c r="BW11" s="30" t="n">
        <v>0</v>
      </c>
      <c r="BX11" s="30" t="n">
        <v>0</v>
      </c>
      <c r="BY11" s="30" t="n">
        <v>0</v>
      </c>
      <c r="BZ11" s="30" t="n">
        <v>0</v>
      </c>
      <c r="CA11" s="30" t="n">
        <v>0</v>
      </c>
      <c r="CB11" s="30" t="n">
        <v>0</v>
      </c>
      <c r="CC11" s="30" t="n">
        <v>0</v>
      </c>
      <c r="CD11" s="30" t="n">
        <v>0</v>
      </c>
      <c r="CE11" s="30" t="n">
        <v>0</v>
      </c>
      <c r="CF11" s="30" t="n">
        <v>0</v>
      </c>
      <c r="CG11" s="30" t="n">
        <v>0</v>
      </c>
      <c r="CH11" s="30" t="n">
        <v>0</v>
      </c>
      <c r="CI11" s="30" t="n">
        <v>0</v>
      </c>
      <c r="CJ11" s="30" t="n">
        <v>0</v>
      </c>
      <c r="CK11" s="30" t="n">
        <v>0</v>
      </c>
      <c r="CL11" s="30" t="n">
        <v>0</v>
      </c>
      <c r="CM11" s="30" t="n">
        <v>0</v>
      </c>
      <c r="CN11" s="30" t="n">
        <v>0</v>
      </c>
      <c r="CO11" s="30" t="n">
        <v>0</v>
      </c>
      <c r="CP11" s="30" t="n">
        <v>0</v>
      </c>
      <c r="CQ11" s="30" t="n">
        <v>0</v>
      </c>
      <c r="CR11" s="30" t="n">
        <v>0</v>
      </c>
      <c r="CS11" s="30" t="n">
        <v>0</v>
      </c>
      <c r="CT11" s="30" t="n">
        <v>0</v>
      </c>
      <c r="CU11" s="30" t="n">
        <v>0</v>
      </c>
      <c r="CV11" s="30" t="n">
        <v>0</v>
      </c>
      <c r="CW11" s="30" t="n">
        <v>0</v>
      </c>
      <c r="CX11" s="30" t="n">
        <v>0</v>
      </c>
      <c r="CY11" s="30" t="n">
        <v>0</v>
      </c>
      <c r="CZ11" s="30" t="n">
        <v>0</v>
      </c>
      <c r="DA11" s="30" t="n">
        <v>0</v>
      </c>
    </row>
    <row r="12">
      <c r="A12" t="inlineStr">
        <is>
          <t>TSP-1445</t>
        </is>
      </c>
      <c r="B12" s="30" t="n">
        <v>0</v>
      </c>
      <c r="C12" s="30" t="n">
        <v>0</v>
      </c>
      <c r="D12" s="30" t="n">
        <v>0</v>
      </c>
      <c r="E12" s="30" t="n">
        <v>0</v>
      </c>
      <c r="F12" s="30" t="n">
        <v>0</v>
      </c>
      <c r="G12" s="30" t="n">
        <v>0</v>
      </c>
      <c r="H12" s="30" t="n">
        <v>0</v>
      </c>
      <c r="I12" s="30" t="n">
        <v>0</v>
      </c>
      <c r="J12" s="30" t="n">
        <v>0</v>
      </c>
      <c r="K12" s="30" t="n">
        <v>0</v>
      </c>
      <c r="L12" s="30" t="n">
        <v>0</v>
      </c>
      <c r="M12" s="30" t="n">
        <v>0</v>
      </c>
      <c r="N12" s="30" t="n">
        <v>0</v>
      </c>
      <c r="O12" s="30" t="n">
        <v>0</v>
      </c>
      <c r="P12" s="30" t="n">
        <v>0</v>
      </c>
      <c r="Q12" s="30" t="n">
        <v>0</v>
      </c>
      <c r="R12" s="30" t="n">
        <v>0</v>
      </c>
      <c r="S12" s="30" t="n">
        <v>0</v>
      </c>
      <c r="T12" s="30" t="n">
        <v>0</v>
      </c>
      <c r="U12" s="30" t="n">
        <v>0</v>
      </c>
      <c r="V12" s="30" t="n">
        <v>0</v>
      </c>
      <c r="W12" s="30" t="n">
        <v>0</v>
      </c>
      <c r="X12" s="30" t="n">
        <v>6.689372517092537</v>
      </c>
      <c r="Y12" s="30" t="n">
        <v>3.344686258546269</v>
      </c>
      <c r="Z12" s="30" t="n">
        <v>0</v>
      </c>
      <c r="AA12" s="30" t="n">
        <v>3.344686258546269</v>
      </c>
      <c r="AB12" s="30" t="n">
        <v>3.344686258546269</v>
      </c>
      <c r="AC12" s="30" t="n">
        <v>0</v>
      </c>
      <c r="AD12" s="30" t="n">
        <v>3.344686258546269</v>
      </c>
      <c r="AE12" s="30" t="n">
        <v>0</v>
      </c>
      <c r="AF12" s="30" t="n">
        <v>1.114895419515423</v>
      </c>
      <c r="AG12" s="30" t="n">
        <v>3.344686258546269</v>
      </c>
      <c r="AH12" s="30" t="n">
        <v>3.344686258546269</v>
      </c>
      <c r="AI12" s="30" t="n">
        <v>3.344686258546269</v>
      </c>
      <c r="AJ12" s="30" t="n">
        <v>0</v>
      </c>
      <c r="AK12" s="30" t="n">
        <v>0</v>
      </c>
      <c r="AL12" s="30" t="n">
        <v>3.344686258546269</v>
      </c>
      <c r="AM12" s="30" t="n">
        <v>0</v>
      </c>
      <c r="AN12" s="30" t="n">
        <v>3.344686258546269</v>
      </c>
      <c r="AO12" s="30" t="n">
        <v>0</v>
      </c>
      <c r="AP12" s="30" t="n">
        <v>3.344686258546269</v>
      </c>
      <c r="AQ12" s="30" t="n">
        <v>3.344686258546269</v>
      </c>
      <c r="AR12" s="30" t="n">
        <v>3.344686258546269</v>
      </c>
      <c r="AS12" s="30" t="n">
        <v>7.80426793660796</v>
      </c>
      <c r="AT12" s="30" t="n">
        <v>3.344686258546269</v>
      </c>
      <c r="AU12" s="30" t="n">
        <v>3.344686258546269</v>
      </c>
      <c r="AV12" s="30" t="n">
        <v>3.344686258546269</v>
      </c>
      <c r="AW12" s="30" t="n">
        <v>3.344686258546269</v>
      </c>
      <c r="AX12" s="30" t="n">
        <v>3.344686258546269</v>
      </c>
      <c r="AY12" s="30" t="n">
        <v>3.344686258546269</v>
      </c>
      <c r="AZ12" s="30" t="n">
        <v>0</v>
      </c>
      <c r="BA12" s="30" t="n">
        <v>0</v>
      </c>
      <c r="BB12" s="30" t="n">
        <v>0</v>
      </c>
      <c r="BC12" s="30" t="n">
        <v>0</v>
      </c>
      <c r="BD12" s="30" t="n">
        <v>0</v>
      </c>
      <c r="BE12" s="30" t="n">
        <v>3.344686258546269</v>
      </c>
      <c r="BF12" s="30" t="n">
        <v>4.459581678061691</v>
      </c>
      <c r="BG12" s="30" t="n">
        <v>3.344686258546269</v>
      </c>
      <c r="BH12" s="30" t="n">
        <v>3.344686258546269</v>
      </c>
      <c r="BI12" s="30" t="n">
        <v>3.344686258546269</v>
      </c>
      <c r="BJ12" s="30" t="n">
        <v>0</v>
      </c>
      <c r="BK12" s="30" t="n">
        <v>3.344686258546269</v>
      </c>
      <c r="BL12" s="30" t="n">
        <v>1.114895419515423</v>
      </c>
      <c r="BM12" s="30" t="n">
        <v>0</v>
      </c>
      <c r="BN12" s="30" t="n">
        <v>0</v>
      </c>
      <c r="BO12" s="30" t="n">
        <v>2.229790839030846</v>
      </c>
      <c r="BP12" s="30" t="n">
        <v>1.114895419515423</v>
      </c>
      <c r="BQ12" s="30" t="n">
        <v>0</v>
      </c>
      <c r="BR12" s="30" t="n">
        <v>0</v>
      </c>
      <c r="BS12" s="30" t="n">
        <v>1.114895419515423</v>
      </c>
      <c r="BT12" s="30" t="n">
        <v>0</v>
      </c>
      <c r="BU12" s="30" t="n">
        <v>0</v>
      </c>
      <c r="BV12" s="30" t="n">
        <v>0</v>
      </c>
      <c r="BW12" s="30" t="n">
        <v>1.114895419515423</v>
      </c>
      <c r="BX12" s="30" t="n">
        <v>0</v>
      </c>
      <c r="BY12" s="30" t="n">
        <v>0</v>
      </c>
      <c r="BZ12" s="30" t="n">
        <v>0</v>
      </c>
      <c r="CA12" s="30" t="n">
        <v>0</v>
      </c>
      <c r="CB12" s="30" t="n">
        <v>0</v>
      </c>
      <c r="CC12" s="30" t="n">
        <v>0</v>
      </c>
      <c r="CD12" s="30" t="n">
        <v>0</v>
      </c>
      <c r="CE12" s="30" t="n">
        <v>0</v>
      </c>
      <c r="CF12" s="30" t="n">
        <v>0</v>
      </c>
      <c r="CG12" s="30" t="n">
        <v>0</v>
      </c>
      <c r="CH12" s="30" t="n">
        <v>0</v>
      </c>
      <c r="CI12" s="30" t="n">
        <v>0</v>
      </c>
      <c r="CJ12" s="30" t="n">
        <v>0</v>
      </c>
      <c r="CK12" s="30" t="n">
        <v>0</v>
      </c>
      <c r="CL12" s="30" t="n">
        <v>0</v>
      </c>
      <c r="CM12" s="30" t="n">
        <v>0</v>
      </c>
      <c r="CN12" s="30" t="n">
        <v>0</v>
      </c>
      <c r="CO12" s="30" t="n">
        <v>0</v>
      </c>
      <c r="CP12" s="30" t="n">
        <v>0</v>
      </c>
      <c r="CQ12" s="30" t="n">
        <v>0</v>
      </c>
      <c r="CR12" s="30" t="n">
        <v>0</v>
      </c>
      <c r="CS12" s="30" t="n">
        <v>0</v>
      </c>
      <c r="CT12" s="30" t="n">
        <v>0</v>
      </c>
      <c r="CU12" s="30" t="n">
        <v>0</v>
      </c>
      <c r="CV12" s="30" t="n">
        <v>0</v>
      </c>
      <c r="CW12" s="30" t="n">
        <v>0</v>
      </c>
      <c r="CX12" s="30" t="n">
        <v>0</v>
      </c>
      <c r="CY12" s="30" t="n">
        <v>0</v>
      </c>
      <c r="CZ12" s="30" t="n">
        <v>0</v>
      </c>
      <c r="DA12" s="30" t="n">
        <v>0</v>
      </c>
    </row>
    <row r="13">
      <c r="A13" t="inlineStr">
        <is>
          <t>TSP-1446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</v>
      </c>
      <c r="G13" s="30" t="n">
        <v>0</v>
      </c>
      <c r="H13" s="30" t="n">
        <v>0</v>
      </c>
      <c r="I13" s="30" t="n">
        <v>0</v>
      </c>
      <c r="J13" s="30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30" t="n">
        <v>0</v>
      </c>
      <c r="P13" s="30" t="n">
        <v>0</v>
      </c>
      <c r="Q13" s="30" t="n">
        <v>0</v>
      </c>
      <c r="R13" s="30" t="n">
        <v>0</v>
      </c>
      <c r="S13" s="30" t="n">
        <v>0</v>
      </c>
      <c r="T13" s="30" t="n">
        <v>0</v>
      </c>
      <c r="U13" s="30" t="n">
        <v>0</v>
      </c>
      <c r="V13" s="30" t="n">
        <v>0</v>
      </c>
      <c r="W13" s="30" t="n">
        <v>0</v>
      </c>
      <c r="X13" s="30" t="n">
        <v>0</v>
      </c>
      <c r="Y13" s="30" t="n">
        <v>0</v>
      </c>
      <c r="Z13" s="30" t="n">
        <v>0</v>
      </c>
      <c r="AA13" s="30" t="n">
        <v>0</v>
      </c>
      <c r="AB13" s="30" t="n">
        <v>0</v>
      </c>
      <c r="AC13" s="30" t="n">
        <v>0</v>
      </c>
      <c r="AD13" s="30" t="n">
        <v>0</v>
      </c>
      <c r="AE13" s="30" t="n">
        <v>0</v>
      </c>
      <c r="AF13" s="30" t="n">
        <v>0</v>
      </c>
      <c r="AG13" s="30" t="n">
        <v>0</v>
      </c>
      <c r="AH13" s="30" t="n">
        <v>0</v>
      </c>
      <c r="AI13" s="30" t="n">
        <v>0</v>
      </c>
      <c r="AJ13" s="30" t="n">
        <v>0</v>
      </c>
      <c r="AK13" s="30" t="n">
        <v>0</v>
      </c>
      <c r="AL13" s="30" t="n">
        <v>0</v>
      </c>
      <c r="AM13" s="30" t="n">
        <v>0</v>
      </c>
      <c r="AN13" s="30" t="n">
        <v>0</v>
      </c>
      <c r="AO13" s="30" t="n">
        <v>0</v>
      </c>
      <c r="AP13" s="30" t="n">
        <v>0</v>
      </c>
      <c r="AQ13" s="30" t="n">
        <v>0</v>
      </c>
      <c r="AR13" s="30" t="n">
        <v>0</v>
      </c>
      <c r="AS13" s="30" t="n">
        <v>0</v>
      </c>
      <c r="AT13" s="30" t="n">
        <v>0</v>
      </c>
      <c r="AU13" s="30" t="n">
        <v>0</v>
      </c>
      <c r="AV13" s="30" t="n">
        <v>0</v>
      </c>
      <c r="AW13" s="30" t="n">
        <v>0</v>
      </c>
      <c r="AX13" s="30" t="n">
        <v>0</v>
      </c>
      <c r="AY13" s="30" t="n">
        <v>0</v>
      </c>
      <c r="AZ13" s="30" t="n">
        <v>0</v>
      </c>
      <c r="BA13" s="30" t="n">
        <v>0</v>
      </c>
      <c r="BB13" s="30" t="n">
        <v>0</v>
      </c>
      <c r="BC13" s="30" t="n">
        <v>0</v>
      </c>
      <c r="BD13" s="30" t="n">
        <v>0</v>
      </c>
      <c r="BE13" s="30" t="n">
        <v>0</v>
      </c>
      <c r="BF13" s="30" t="n">
        <v>0</v>
      </c>
      <c r="BG13" s="30" t="n">
        <v>0</v>
      </c>
      <c r="BH13" s="30" t="n">
        <v>0</v>
      </c>
      <c r="BI13" s="30" t="n">
        <v>0</v>
      </c>
      <c r="BJ13" s="30" t="n">
        <v>0</v>
      </c>
      <c r="BK13" s="30" t="n">
        <v>0</v>
      </c>
      <c r="BL13" s="30" t="n">
        <v>0</v>
      </c>
      <c r="BM13" s="30" t="n">
        <v>0</v>
      </c>
      <c r="BN13" s="30" t="n">
        <v>0</v>
      </c>
      <c r="BO13" s="30" t="n">
        <v>0</v>
      </c>
      <c r="BP13" s="30" t="n">
        <v>0</v>
      </c>
      <c r="BQ13" s="30" t="n">
        <v>0</v>
      </c>
      <c r="BR13" s="30" t="n">
        <v>0</v>
      </c>
      <c r="BS13" s="30" t="n">
        <v>0</v>
      </c>
      <c r="BT13" s="30" t="n">
        <v>0</v>
      </c>
      <c r="BU13" s="30" t="n">
        <v>0</v>
      </c>
      <c r="BV13" s="30" t="n">
        <v>0</v>
      </c>
      <c r="BW13" s="30" t="n">
        <v>0</v>
      </c>
      <c r="BX13" s="30" t="n">
        <v>0</v>
      </c>
      <c r="BY13" s="30" t="n">
        <v>0</v>
      </c>
      <c r="BZ13" s="30" t="n">
        <v>0</v>
      </c>
      <c r="CA13" s="30" t="n">
        <v>0</v>
      </c>
      <c r="CB13" s="30" t="n">
        <v>0</v>
      </c>
      <c r="CC13" s="30" t="n">
        <v>0</v>
      </c>
      <c r="CD13" s="30" t="n">
        <v>0</v>
      </c>
      <c r="CE13" s="30" t="n">
        <v>0</v>
      </c>
      <c r="CF13" s="30" t="n">
        <v>0</v>
      </c>
      <c r="CG13" s="30" t="n">
        <v>0</v>
      </c>
      <c r="CH13" s="30" t="n">
        <v>0</v>
      </c>
      <c r="CI13" s="30" t="n">
        <v>0</v>
      </c>
      <c r="CJ13" s="30" t="n">
        <v>0</v>
      </c>
      <c r="CK13" s="30" t="n">
        <v>0</v>
      </c>
      <c r="CL13" s="30" t="n">
        <v>0</v>
      </c>
      <c r="CM13" s="30" t="n">
        <v>0</v>
      </c>
      <c r="CN13" s="30" t="n">
        <v>0</v>
      </c>
      <c r="CO13" s="30" t="n">
        <v>0</v>
      </c>
      <c r="CP13" s="30" t="n">
        <v>0</v>
      </c>
      <c r="CQ13" s="30" t="n">
        <v>0</v>
      </c>
      <c r="CR13" s="30" t="n">
        <v>0</v>
      </c>
      <c r="CS13" s="30" t="n">
        <v>0</v>
      </c>
      <c r="CT13" s="30" t="n">
        <v>0</v>
      </c>
      <c r="CU13" s="30" t="n">
        <v>0</v>
      </c>
      <c r="CV13" s="30" t="n">
        <v>0</v>
      </c>
      <c r="CW13" s="30" t="n">
        <v>0</v>
      </c>
      <c r="CX13" s="30" t="n">
        <v>0</v>
      </c>
      <c r="CY13" s="30" t="n">
        <v>0</v>
      </c>
      <c r="CZ13" s="30" t="n">
        <v>0</v>
      </c>
      <c r="DA13" s="30" t="n">
        <v>0</v>
      </c>
    </row>
    <row r="14">
      <c r="A14" t="inlineStr">
        <is>
          <t>TSP-1448</t>
        </is>
      </c>
      <c r="B14" s="30" t="n">
        <v>0</v>
      </c>
      <c r="C14" s="30" t="n">
        <v>0</v>
      </c>
      <c r="D14" s="30" t="n">
        <v>0</v>
      </c>
      <c r="E14" s="30" t="n">
        <v>0</v>
      </c>
      <c r="F14" s="30" t="n">
        <v>0</v>
      </c>
      <c r="G14" s="30" t="n">
        <v>0</v>
      </c>
      <c r="H14" s="30" t="n">
        <v>0</v>
      </c>
      <c r="I14" s="30" t="n">
        <v>0</v>
      </c>
      <c r="J14" s="30" t="n">
        <v>0</v>
      </c>
      <c r="K14" s="30" t="n">
        <v>0</v>
      </c>
      <c r="L14" s="30" t="n">
        <v>0</v>
      </c>
      <c r="M14" s="30" t="n">
        <v>0</v>
      </c>
      <c r="N14" s="30" t="n">
        <v>0</v>
      </c>
      <c r="O14" s="30" t="n">
        <v>0</v>
      </c>
      <c r="P14" s="30" t="n">
        <v>0</v>
      </c>
      <c r="Q14" s="30" t="n">
        <v>0</v>
      </c>
      <c r="R14" s="30" t="n">
        <v>0</v>
      </c>
      <c r="S14" s="30" t="n">
        <v>0</v>
      </c>
      <c r="T14" s="30" t="n">
        <v>0</v>
      </c>
      <c r="U14" s="30" t="n">
        <v>0</v>
      </c>
      <c r="V14" s="30" t="n">
        <v>0</v>
      </c>
      <c r="W14" s="30" t="n">
        <v>0</v>
      </c>
      <c r="X14" s="30" t="n">
        <v>4.629994301523985</v>
      </c>
      <c r="Y14" s="30" t="n">
        <v>0</v>
      </c>
      <c r="Z14" s="30" t="n">
        <v>0</v>
      </c>
      <c r="AA14" s="30" t="n">
        <v>2.314997150761993</v>
      </c>
      <c r="AB14" s="30" t="n">
        <v>3.81902062939158</v>
      </c>
      <c r="AC14" s="30" t="n">
        <v>0</v>
      </c>
      <c r="AD14" s="30" t="n">
        <v>0</v>
      </c>
      <c r="AE14" s="30" t="n">
        <v>6.134017780153573</v>
      </c>
      <c r="AF14" s="30" t="n">
        <v>4.629994301523985</v>
      </c>
      <c r="AG14" s="30" t="n">
        <v>2.314997150761993</v>
      </c>
      <c r="AH14" s="30" t="n">
        <v>4.629994301523985</v>
      </c>
      <c r="AI14" s="30" t="n">
        <v>6.134017780153573</v>
      </c>
      <c r="AJ14" s="30" t="n">
        <v>4.629994301523985</v>
      </c>
      <c r="AK14" s="30" t="n">
        <v>4.629994301523985</v>
      </c>
      <c r="AL14" s="30" t="n">
        <v>2.314997150761993</v>
      </c>
      <c r="AM14" s="30" t="n">
        <v>4.629994301523985</v>
      </c>
      <c r="AN14" s="30" t="n">
        <v>3.81902062939158</v>
      </c>
      <c r="AO14" s="30" t="n">
        <v>2.314997150761993</v>
      </c>
      <c r="AP14" s="30" t="n">
        <v>4.629994301523985</v>
      </c>
      <c r="AQ14" s="30" t="n">
        <v>4.629994301523985</v>
      </c>
      <c r="AR14" s="30" t="n">
        <v>3.81902062939158</v>
      </c>
      <c r="AS14" s="30" t="n">
        <v>4.629994301523985</v>
      </c>
      <c r="AT14" s="30" t="n">
        <v>6.134017780153573</v>
      </c>
      <c r="AU14" s="30" t="n">
        <v>6.944991452285977</v>
      </c>
      <c r="AV14" s="30" t="n">
        <v>8.449014930915565</v>
      </c>
      <c r="AW14" s="30" t="n">
        <v>6.134017780153573</v>
      </c>
      <c r="AX14" s="30" t="n">
        <v>4.629994301523985</v>
      </c>
      <c r="AY14" s="30" t="n">
        <v>6.134017780153573</v>
      </c>
      <c r="AZ14" s="30" t="n">
        <v>2.314997150761993</v>
      </c>
      <c r="BA14" s="30" t="n">
        <v>0</v>
      </c>
      <c r="BB14" s="30" t="n">
        <v>0</v>
      </c>
      <c r="BC14" s="30" t="n">
        <v>2.314997150761993</v>
      </c>
      <c r="BD14" s="30" t="n">
        <v>4.629994301523985</v>
      </c>
      <c r="BE14" s="30" t="n">
        <v>4.629994301523985</v>
      </c>
      <c r="BF14" s="30" t="n">
        <v>6.134017780153573</v>
      </c>
      <c r="BG14" s="30" t="n">
        <v>2.314997150761993</v>
      </c>
      <c r="BH14" s="30" t="n">
        <v>4.629994301523985</v>
      </c>
      <c r="BI14" s="30" t="n">
        <v>2.314997150761993</v>
      </c>
      <c r="BJ14" s="30" t="n">
        <v>3.81902062939158</v>
      </c>
      <c r="BK14" s="30" t="n">
        <v>2.314997150761993</v>
      </c>
      <c r="BL14" s="30" t="n">
        <v>4.629994301523985</v>
      </c>
      <c r="BM14" s="30" t="n">
        <v>2.314997150761993</v>
      </c>
      <c r="BN14" s="30" t="n">
        <v>2.314997150761993</v>
      </c>
      <c r="BO14" s="30" t="n">
        <v>3.067008890076786</v>
      </c>
      <c r="BP14" s="30" t="n">
        <v>0</v>
      </c>
      <c r="BQ14" s="30" t="n">
        <v>2.314997150761993</v>
      </c>
      <c r="BR14" s="30" t="n">
        <v>2.314997150761993</v>
      </c>
      <c r="BS14" s="30" t="n">
        <v>2.314997150761993</v>
      </c>
      <c r="BT14" s="30" t="n">
        <v>0</v>
      </c>
      <c r="BU14" s="30" t="n">
        <v>2.314997150761993</v>
      </c>
      <c r="BV14" s="30" t="n">
        <v>1.736247863071494</v>
      </c>
      <c r="BW14" s="30" t="n">
        <v>0</v>
      </c>
      <c r="BX14" s="30" t="n">
        <v>0</v>
      </c>
      <c r="BY14" s="30" t="n">
        <v>0</v>
      </c>
      <c r="BZ14" s="30" t="n">
        <v>0</v>
      </c>
      <c r="CA14" s="30" t="n">
        <v>0</v>
      </c>
      <c r="CB14" s="30" t="n">
        <v>0</v>
      </c>
      <c r="CC14" s="30" t="n">
        <v>0</v>
      </c>
      <c r="CD14" s="30" t="n">
        <v>0</v>
      </c>
      <c r="CE14" s="30" t="n">
        <v>0</v>
      </c>
      <c r="CF14" s="30" t="n">
        <v>0</v>
      </c>
      <c r="CG14" s="30" t="n">
        <v>0</v>
      </c>
      <c r="CH14" s="30" t="n">
        <v>0</v>
      </c>
      <c r="CI14" s="30" t="n">
        <v>0</v>
      </c>
      <c r="CJ14" s="30" t="n">
        <v>0</v>
      </c>
      <c r="CK14" s="30" t="n">
        <v>0</v>
      </c>
      <c r="CL14" s="30" t="n">
        <v>0</v>
      </c>
      <c r="CM14" s="30" t="n">
        <v>0</v>
      </c>
      <c r="CN14" s="30" t="n">
        <v>0</v>
      </c>
      <c r="CO14" s="30" t="n">
        <v>0</v>
      </c>
      <c r="CP14" s="30" t="n">
        <v>0</v>
      </c>
      <c r="CQ14" s="30" t="n">
        <v>0</v>
      </c>
      <c r="CR14" s="30" t="n">
        <v>0</v>
      </c>
      <c r="CS14" s="30" t="n">
        <v>0</v>
      </c>
      <c r="CT14" s="30" t="n">
        <v>0</v>
      </c>
      <c r="CU14" s="30" t="n">
        <v>0</v>
      </c>
      <c r="CV14" s="30" t="n">
        <v>0</v>
      </c>
      <c r="CW14" s="30" t="n">
        <v>0</v>
      </c>
      <c r="CX14" s="30" t="n">
        <v>0</v>
      </c>
      <c r="CY14" s="30" t="n">
        <v>0</v>
      </c>
      <c r="CZ14" s="30" t="n">
        <v>0</v>
      </c>
      <c r="DA14" s="30" t="n">
        <v>0</v>
      </c>
    </row>
    <row r="15">
      <c r="A15" t="inlineStr">
        <is>
          <t>TSP-1449</t>
        </is>
      </c>
      <c r="B15" s="30" t="n">
        <v>0</v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0</v>
      </c>
      <c r="O15" s="30" t="n">
        <v>0</v>
      </c>
      <c r="P15" s="30" t="n">
        <v>0</v>
      </c>
      <c r="Q15" s="30" t="n">
        <v>0</v>
      </c>
      <c r="R15" s="30" t="n">
        <v>0</v>
      </c>
      <c r="S15" s="30" t="n">
        <v>0</v>
      </c>
      <c r="T15" s="30" t="n">
        <v>0</v>
      </c>
      <c r="U15" s="30" t="n">
        <v>0</v>
      </c>
      <c r="V15" s="30" t="n">
        <v>0</v>
      </c>
      <c r="W15" s="30" t="n">
        <v>0</v>
      </c>
      <c r="X15" s="30" t="n">
        <v>4.281174270692706</v>
      </c>
      <c r="Y15" s="30" t="n">
        <v>2.140587135346353</v>
      </c>
      <c r="Z15" s="30" t="n">
        <v>0</v>
      </c>
      <c r="AA15" s="30" t="n">
        <v>2.140587135346353</v>
      </c>
      <c r="AB15" s="30" t="n">
        <v>2.140587135346353</v>
      </c>
      <c r="AC15" s="30" t="n">
        <v>0</v>
      </c>
      <c r="AD15" s="30" t="n">
        <v>2.140587135346353</v>
      </c>
      <c r="AE15" s="30" t="n">
        <v>0</v>
      </c>
      <c r="AF15" s="30" t="n">
        <v>0.7135290451154509</v>
      </c>
      <c r="AG15" s="30" t="n">
        <v>2.140587135346353</v>
      </c>
      <c r="AH15" s="30" t="n">
        <v>2.140587135346353</v>
      </c>
      <c r="AI15" s="30" t="n">
        <v>2.140587135346353</v>
      </c>
      <c r="AJ15" s="30" t="n">
        <v>0</v>
      </c>
      <c r="AK15" s="30" t="n">
        <v>0</v>
      </c>
      <c r="AL15" s="30" t="n">
        <v>2.140587135346353</v>
      </c>
      <c r="AM15" s="30" t="n">
        <v>0</v>
      </c>
      <c r="AN15" s="30" t="n">
        <v>2.140587135346353</v>
      </c>
      <c r="AO15" s="30" t="n">
        <v>0</v>
      </c>
      <c r="AP15" s="30" t="n">
        <v>2.140587135346353</v>
      </c>
      <c r="AQ15" s="30" t="n">
        <v>2.140587135346353</v>
      </c>
      <c r="AR15" s="30" t="n">
        <v>2.140587135346353</v>
      </c>
      <c r="AS15" s="30" t="n">
        <v>4.994703315808157</v>
      </c>
      <c r="AT15" s="30" t="n">
        <v>2.140587135346353</v>
      </c>
      <c r="AU15" s="30" t="n">
        <v>2.140587135346353</v>
      </c>
      <c r="AV15" s="30" t="n">
        <v>2.140587135346353</v>
      </c>
      <c r="AW15" s="30" t="n">
        <v>2.140587135346353</v>
      </c>
      <c r="AX15" s="30" t="n">
        <v>2.140587135346353</v>
      </c>
      <c r="AY15" s="30" t="n">
        <v>2.140587135346353</v>
      </c>
      <c r="AZ15" s="30" t="n">
        <v>0</v>
      </c>
      <c r="BA15" s="30" t="n">
        <v>0</v>
      </c>
      <c r="BB15" s="30" t="n">
        <v>0</v>
      </c>
      <c r="BC15" s="30" t="n">
        <v>0</v>
      </c>
      <c r="BD15" s="30" t="n">
        <v>0</v>
      </c>
      <c r="BE15" s="30" t="n">
        <v>2.140587135346353</v>
      </c>
      <c r="BF15" s="30" t="n">
        <v>2.854116180461804</v>
      </c>
      <c r="BG15" s="30" t="n">
        <v>2.140587135346353</v>
      </c>
      <c r="BH15" s="30" t="n">
        <v>2.140587135346353</v>
      </c>
      <c r="BI15" s="30" t="n">
        <v>2.140587135346353</v>
      </c>
      <c r="BJ15" s="30" t="n">
        <v>0</v>
      </c>
      <c r="BK15" s="30" t="n">
        <v>2.140587135346353</v>
      </c>
      <c r="BL15" s="30" t="n">
        <v>0.7135290451154509</v>
      </c>
      <c r="BM15" s="30" t="n">
        <v>0</v>
      </c>
      <c r="BN15" s="30" t="n">
        <v>0</v>
      </c>
      <c r="BO15" s="30" t="n">
        <v>1.427058090230902</v>
      </c>
      <c r="BP15" s="30" t="n">
        <v>0.7135290451154509</v>
      </c>
      <c r="BQ15" s="30" t="n">
        <v>0</v>
      </c>
      <c r="BR15" s="30" t="n">
        <v>0</v>
      </c>
      <c r="BS15" s="30" t="n">
        <v>0.7135290451154509</v>
      </c>
      <c r="BT15" s="30" t="n">
        <v>0</v>
      </c>
      <c r="BU15" s="30" t="n">
        <v>0</v>
      </c>
      <c r="BV15" s="30" t="n">
        <v>0</v>
      </c>
      <c r="BW15" s="30" t="n">
        <v>0.7135290451154509</v>
      </c>
      <c r="BX15" s="30" t="n">
        <v>0</v>
      </c>
      <c r="BY15" s="30" t="n">
        <v>0</v>
      </c>
      <c r="BZ15" s="30" t="n">
        <v>0</v>
      </c>
      <c r="CA15" s="30" t="n">
        <v>0</v>
      </c>
      <c r="CB15" s="30" t="n">
        <v>0</v>
      </c>
      <c r="CC15" s="30" t="n">
        <v>0</v>
      </c>
      <c r="CD15" s="30" t="n">
        <v>0</v>
      </c>
      <c r="CE15" s="30" t="n">
        <v>0</v>
      </c>
      <c r="CF15" s="30" t="n">
        <v>0</v>
      </c>
      <c r="CG15" s="30" t="n">
        <v>0</v>
      </c>
      <c r="CH15" s="30" t="n">
        <v>0</v>
      </c>
      <c r="CI15" s="30" t="n">
        <v>0</v>
      </c>
      <c r="CJ15" s="30" t="n">
        <v>0</v>
      </c>
      <c r="CK15" s="30" t="n">
        <v>0</v>
      </c>
      <c r="CL15" s="30" t="n">
        <v>0</v>
      </c>
      <c r="CM15" s="30" t="n">
        <v>0</v>
      </c>
      <c r="CN15" s="30" t="n">
        <v>0</v>
      </c>
      <c r="CO15" s="30" t="n">
        <v>0</v>
      </c>
      <c r="CP15" s="30" t="n">
        <v>0</v>
      </c>
      <c r="CQ15" s="30" t="n">
        <v>0</v>
      </c>
      <c r="CR15" s="30" t="n">
        <v>0</v>
      </c>
      <c r="CS15" s="30" t="n">
        <v>0</v>
      </c>
      <c r="CT15" s="30" t="n">
        <v>0</v>
      </c>
      <c r="CU15" s="30" t="n">
        <v>0</v>
      </c>
      <c r="CV15" s="30" t="n">
        <v>0</v>
      </c>
      <c r="CW15" s="30" t="n">
        <v>0</v>
      </c>
      <c r="CX15" s="30" t="n">
        <v>0</v>
      </c>
      <c r="CY15" s="30" t="n">
        <v>0</v>
      </c>
      <c r="CZ15" s="30" t="n">
        <v>0</v>
      </c>
      <c r="DA15" s="30" t="n">
        <v>0</v>
      </c>
    </row>
    <row r="16">
      <c r="A16" t="inlineStr">
        <is>
          <t>TSP-199</t>
        </is>
      </c>
      <c r="B16" s="30" t="n">
        <v>0</v>
      </c>
      <c r="C16" s="30" t="n">
        <v>0</v>
      </c>
      <c r="D16" s="30" t="n">
        <v>0</v>
      </c>
      <c r="E16" s="30" t="n">
        <v>0</v>
      </c>
      <c r="F16" s="30" t="n">
        <v>0</v>
      </c>
      <c r="G16" s="30" t="n">
        <v>0</v>
      </c>
      <c r="H16" s="30" t="n">
        <v>0</v>
      </c>
      <c r="I16" s="30" t="n">
        <v>0</v>
      </c>
      <c r="J16" s="30" t="n">
        <v>0</v>
      </c>
      <c r="K16" s="30" t="n">
        <v>0</v>
      </c>
      <c r="L16" s="30" t="n">
        <v>0</v>
      </c>
      <c r="M16" s="30" t="n">
        <v>0</v>
      </c>
      <c r="N16" s="30" t="n">
        <v>0</v>
      </c>
      <c r="O16" s="30" t="n">
        <v>0</v>
      </c>
      <c r="P16" s="30" t="n">
        <v>0</v>
      </c>
      <c r="Q16" s="30" t="n">
        <v>0</v>
      </c>
      <c r="R16" s="30" t="n">
        <v>0</v>
      </c>
      <c r="S16" s="30" t="n">
        <v>0</v>
      </c>
      <c r="T16" s="30" t="n">
        <v>0</v>
      </c>
      <c r="U16" s="30" t="n">
        <v>0</v>
      </c>
      <c r="V16" s="30" t="n">
        <v>0</v>
      </c>
      <c r="W16" s="30" t="n">
        <v>0</v>
      </c>
      <c r="X16" s="30" t="n">
        <v>0</v>
      </c>
      <c r="Y16" s="30" t="n">
        <v>0</v>
      </c>
      <c r="Z16" s="30" t="n">
        <v>0</v>
      </c>
      <c r="AA16" s="30" t="n">
        <v>0</v>
      </c>
      <c r="AB16" s="30" t="n">
        <v>0</v>
      </c>
      <c r="AC16" s="30" t="n">
        <v>0</v>
      </c>
      <c r="AD16" s="30" t="n">
        <v>0</v>
      </c>
      <c r="AE16" s="30" t="n">
        <v>0</v>
      </c>
      <c r="AF16" s="30" t="n">
        <v>0</v>
      </c>
      <c r="AG16" s="30" t="n">
        <v>0</v>
      </c>
      <c r="AH16" s="30" t="n">
        <v>0</v>
      </c>
      <c r="AI16" s="30" t="n">
        <v>0</v>
      </c>
      <c r="AJ16" s="30" t="n">
        <v>0</v>
      </c>
      <c r="AK16" s="30" t="n">
        <v>0</v>
      </c>
      <c r="AL16" s="30" t="n">
        <v>0</v>
      </c>
      <c r="AM16" s="30" t="n">
        <v>0</v>
      </c>
      <c r="AN16" s="30" t="n">
        <v>0</v>
      </c>
      <c r="AO16" s="30" t="n">
        <v>0</v>
      </c>
      <c r="AP16" s="30" t="n">
        <v>0</v>
      </c>
      <c r="AQ16" s="30" t="n">
        <v>0</v>
      </c>
      <c r="AR16" s="30" t="n">
        <v>0</v>
      </c>
      <c r="AS16" s="30" t="n">
        <v>0</v>
      </c>
      <c r="AT16" s="30" t="n">
        <v>0</v>
      </c>
      <c r="AU16" s="30" t="n">
        <v>0</v>
      </c>
      <c r="AV16" s="30" t="n">
        <v>0</v>
      </c>
      <c r="AW16" s="30" t="n">
        <v>0</v>
      </c>
      <c r="AX16" s="30" t="n">
        <v>0</v>
      </c>
      <c r="AY16" s="30" t="n">
        <v>0</v>
      </c>
      <c r="AZ16" s="30" t="n">
        <v>0</v>
      </c>
      <c r="BA16" s="30" t="n">
        <v>0</v>
      </c>
      <c r="BB16" s="30" t="n">
        <v>0</v>
      </c>
      <c r="BC16" s="30" t="n">
        <v>0</v>
      </c>
      <c r="BD16" s="30" t="n">
        <v>0</v>
      </c>
      <c r="BE16" s="30" t="n">
        <v>0</v>
      </c>
      <c r="BF16" s="30" t="n">
        <v>0</v>
      </c>
      <c r="BG16" s="30" t="n">
        <v>0</v>
      </c>
      <c r="BH16" s="30" t="n">
        <v>0</v>
      </c>
      <c r="BI16" s="30" t="n">
        <v>0</v>
      </c>
      <c r="BJ16" s="30" t="n">
        <v>0</v>
      </c>
      <c r="BK16" s="30" t="n">
        <v>0</v>
      </c>
      <c r="BL16" s="30" t="n">
        <v>0</v>
      </c>
      <c r="BM16" s="30" t="n">
        <v>0</v>
      </c>
      <c r="BN16" s="30" t="n">
        <v>0</v>
      </c>
      <c r="BO16" s="30" t="n">
        <v>0</v>
      </c>
      <c r="BP16" s="30" t="n">
        <v>0</v>
      </c>
      <c r="BQ16" s="30" t="n">
        <v>0</v>
      </c>
      <c r="BR16" s="30" t="n">
        <v>0</v>
      </c>
      <c r="BS16" s="30" t="n">
        <v>0</v>
      </c>
      <c r="BT16" s="30" t="n">
        <v>0</v>
      </c>
      <c r="BU16" s="30" t="n">
        <v>0</v>
      </c>
      <c r="BV16" s="30" t="n">
        <v>0</v>
      </c>
      <c r="BW16" s="30" t="n">
        <v>0</v>
      </c>
      <c r="BX16" s="30" t="n">
        <v>0</v>
      </c>
      <c r="BY16" s="30" t="n">
        <v>0</v>
      </c>
      <c r="BZ16" s="30" t="n">
        <v>0</v>
      </c>
      <c r="CA16" s="30" t="n">
        <v>0</v>
      </c>
      <c r="CB16" s="30" t="n">
        <v>0</v>
      </c>
      <c r="CC16" s="30" t="n">
        <v>0</v>
      </c>
      <c r="CD16" s="30" t="n">
        <v>0</v>
      </c>
      <c r="CE16" s="30" t="n">
        <v>0</v>
      </c>
      <c r="CF16" s="30" t="n">
        <v>0</v>
      </c>
      <c r="CG16" s="30" t="n">
        <v>0</v>
      </c>
      <c r="CH16" s="30" t="n">
        <v>0</v>
      </c>
      <c r="CI16" s="30" t="n">
        <v>0</v>
      </c>
      <c r="CJ16" s="30" t="n">
        <v>0</v>
      </c>
      <c r="CK16" s="30" t="n">
        <v>0</v>
      </c>
      <c r="CL16" s="30" t="n">
        <v>0</v>
      </c>
      <c r="CM16" s="30" t="n">
        <v>0</v>
      </c>
      <c r="CN16" s="30" t="n">
        <v>0</v>
      </c>
      <c r="CO16" s="30" t="n">
        <v>0</v>
      </c>
      <c r="CP16" s="30" t="n">
        <v>0</v>
      </c>
      <c r="CQ16" s="30" t="n">
        <v>0</v>
      </c>
      <c r="CR16" s="30" t="n">
        <v>0</v>
      </c>
      <c r="CS16" s="30" t="n">
        <v>0</v>
      </c>
      <c r="CT16" s="30" t="n">
        <v>0</v>
      </c>
      <c r="CU16" s="30" t="n">
        <v>0</v>
      </c>
      <c r="CV16" s="30" t="n">
        <v>0</v>
      </c>
      <c r="CW16" s="30" t="n">
        <v>0</v>
      </c>
      <c r="CX16" s="30" t="n">
        <v>0</v>
      </c>
      <c r="CY16" s="30" t="n">
        <v>0</v>
      </c>
      <c r="CZ16" s="30" t="n">
        <v>0</v>
      </c>
      <c r="DA16" s="30" t="n">
        <v>0</v>
      </c>
    </row>
    <row r="17">
      <c r="A17" t="inlineStr">
        <is>
          <t>TSP-205</t>
        </is>
      </c>
      <c r="B17" s="30" t="n">
        <v>0</v>
      </c>
      <c r="C17" s="30" t="n">
        <v>0</v>
      </c>
      <c r="D17" s="30" t="n">
        <v>0</v>
      </c>
      <c r="E17" s="30" t="n">
        <v>0</v>
      </c>
      <c r="F17" s="30" t="n">
        <v>0</v>
      </c>
      <c r="G17" s="30" t="n">
        <v>0</v>
      </c>
      <c r="H17" s="30" t="n">
        <v>0</v>
      </c>
      <c r="I17" s="30" t="n">
        <v>0</v>
      </c>
      <c r="J17" s="30" t="n">
        <v>0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0</v>
      </c>
      <c r="P17" s="30" t="n">
        <v>0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 t="n">
        <v>0</v>
      </c>
      <c r="X17" s="30" t="n">
        <v>0</v>
      </c>
      <c r="Y17" s="30" t="n">
        <v>0</v>
      </c>
      <c r="Z17" s="30" t="n">
        <v>0</v>
      </c>
      <c r="AA17" s="30" t="n">
        <v>0</v>
      </c>
      <c r="AB17" s="30" t="n">
        <v>0</v>
      </c>
      <c r="AC17" s="30" t="n">
        <v>0</v>
      </c>
      <c r="AD17" s="30" t="n">
        <v>0</v>
      </c>
      <c r="AE17" s="30" t="n">
        <v>0</v>
      </c>
      <c r="AF17" s="30" t="n">
        <v>0</v>
      </c>
      <c r="AG17" s="30" t="n">
        <v>0</v>
      </c>
      <c r="AH17" s="30" t="n">
        <v>0</v>
      </c>
      <c r="AI17" s="30" t="n">
        <v>0</v>
      </c>
      <c r="AJ17" s="30" t="n">
        <v>0</v>
      </c>
      <c r="AK17" s="30" t="n">
        <v>0</v>
      </c>
      <c r="AL17" s="30" t="n">
        <v>0</v>
      </c>
      <c r="AM17" s="30" t="n">
        <v>0</v>
      </c>
      <c r="AN17" s="30" t="n">
        <v>0</v>
      </c>
      <c r="AO17" s="30" t="n">
        <v>0</v>
      </c>
      <c r="AP17" s="30" t="n">
        <v>0</v>
      </c>
      <c r="AQ17" s="30" t="n">
        <v>0</v>
      </c>
      <c r="AR17" s="30" t="n">
        <v>0</v>
      </c>
      <c r="AS17" s="30" t="n">
        <v>0</v>
      </c>
      <c r="AT17" s="30" t="n">
        <v>0</v>
      </c>
      <c r="AU17" s="30" t="n">
        <v>0</v>
      </c>
      <c r="AV17" s="30" t="n">
        <v>0</v>
      </c>
      <c r="AW17" s="30" t="n">
        <v>0</v>
      </c>
      <c r="AX17" s="30" t="n">
        <v>0</v>
      </c>
      <c r="AY17" s="30" t="n">
        <v>0</v>
      </c>
      <c r="AZ17" s="30" t="n">
        <v>0</v>
      </c>
      <c r="BA17" s="30" t="n">
        <v>0</v>
      </c>
      <c r="BB17" s="30" t="n">
        <v>0</v>
      </c>
      <c r="BC17" s="30" t="n">
        <v>0</v>
      </c>
      <c r="BD17" s="30" t="n">
        <v>0</v>
      </c>
      <c r="BE17" s="30" t="n">
        <v>0</v>
      </c>
      <c r="BF17" s="30" t="n">
        <v>0</v>
      </c>
      <c r="BG17" s="30" t="n">
        <v>0</v>
      </c>
      <c r="BH17" s="30" t="n">
        <v>0</v>
      </c>
      <c r="BI17" s="30" t="n">
        <v>0</v>
      </c>
      <c r="BJ17" s="30" t="n">
        <v>0</v>
      </c>
      <c r="BK17" s="30" t="n">
        <v>0</v>
      </c>
      <c r="BL17" s="30" t="n">
        <v>0</v>
      </c>
      <c r="BM17" s="30" t="n">
        <v>0</v>
      </c>
      <c r="BN17" s="30" t="n">
        <v>0</v>
      </c>
      <c r="BO17" s="30" t="n">
        <v>0</v>
      </c>
      <c r="BP17" s="30" t="n">
        <v>0</v>
      </c>
      <c r="BQ17" s="30" t="n">
        <v>0</v>
      </c>
      <c r="BR17" s="30" t="n">
        <v>0</v>
      </c>
      <c r="BS17" s="30" t="n">
        <v>0</v>
      </c>
      <c r="BT17" s="30" t="n">
        <v>0</v>
      </c>
      <c r="BU17" s="30" t="n">
        <v>0</v>
      </c>
      <c r="BV17" s="30" t="n">
        <v>0</v>
      </c>
      <c r="BW17" s="30" t="n">
        <v>0</v>
      </c>
      <c r="BX17" s="30" t="n">
        <v>0</v>
      </c>
      <c r="BY17" s="30" t="n">
        <v>0</v>
      </c>
      <c r="BZ17" s="30" t="n">
        <v>0</v>
      </c>
      <c r="CA17" s="30" t="n">
        <v>0</v>
      </c>
      <c r="CB17" s="30" t="n">
        <v>0</v>
      </c>
      <c r="CC17" s="30" t="n">
        <v>0</v>
      </c>
      <c r="CD17" s="30" t="n">
        <v>0</v>
      </c>
      <c r="CE17" s="30" t="n">
        <v>0</v>
      </c>
      <c r="CF17" s="30" t="n">
        <v>0</v>
      </c>
      <c r="CG17" s="30" t="n">
        <v>0</v>
      </c>
      <c r="CH17" s="30" t="n">
        <v>0</v>
      </c>
      <c r="CI17" s="30" t="n">
        <v>0</v>
      </c>
      <c r="CJ17" s="30" t="n">
        <v>0</v>
      </c>
      <c r="CK17" s="30" t="n">
        <v>0</v>
      </c>
      <c r="CL17" s="30" t="n">
        <v>0</v>
      </c>
      <c r="CM17" s="30" t="n">
        <v>0</v>
      </c>
      <c r="CN17" s="30" t="n">
        <v>0</v>
      </c>
      <c r="CO17" s="30" t="n">
        <v>0</v>
      </c>
      <c r="CP17" s="30" t="n">
        <v>0</v>
      </c>
      <c r="CQ17" s="30" t="n">
        <v>0</v>
      </c>
      <c r="CR17" s="30" t="n">
        <v>0</v>
      </c>
      <c r="CS17" s="30" t="n">
        <v>0</v>
      </c>
      <c r="CT17" s="30" t="n">
        <v>0</v>
      </c>
      <c r="CU17" s="30" t="n">
        <v>0</v>
      </c>
      <c r="CV17" s="30" t="n">
        <v>0</v>
      </c>
      <c r="CW17" s="30" t="n">
        <v>0</v>
      </c>
      <c r="CX17" s="30" t="n">
        <v>0</v>
      </c>
      <c r="CY17" s="30" t="n">
        <v>0</v>
      </c>
      <c r="CZ17" s="30" t="n">
        <v>0</v>
      </c>
      <c r="DA17" s="30" t="n">
        <v>0</v>
      </c>
    </row>
    <row r="18">
      <c r="A18" t="inlineStr">
        <is>
          <t>TSP-206</t>
        </is>
      </c>
      <c r="B18" s="30" t="n">
        <v>0</v>
      </c>
      <c r="C18" s="30" t="n">
        <v>0</v>
      </c>
      <c r="D18" s="30" t="n">
        <v>0</v>
      </c>
      <c r="E18" s="30" t="n">
        <v>0</v>
      </c>
      <c r="F18" s="30" t="n">
        <v>0</v>
      </c>
      <c r="G18" s="30" t="n">
        <v>0</v>
      </c>
      <c r="H18" s="30" t="n">
        <v>0</v>
      </c>
      <c r="I18" s="30" t="n">
        <v>0</v>
      </c>
      <c r="J18" s="30" t="n">
        <v>0</v>
      </c>
      <c r="K18" s="30" t="n">
        <v>0</v>
      </c>
      <c r="L18" s="30" t="n">
        <v>0</v>
      </c>
      <c r="M18" s="30" t="n">
        <v>0</v>
      </c>
      <c r="N18" s="30" t="n">
        <v>0</v>
      </c>
      <c r="O18" s="30" t="n">
        <v>0</v>
      </c>
      <c r="P18" s="30" t="n">
        <v>0</v>
      </c>
      <c r="Q18" s="30" t="n">
        <v>0</v>
      </c>
      <c r="R18" s="30" t="n">
        <v>0</v>
      </c>
      <c r="S18" s="30" t="n">
        <v>0</v>
      </c>
      <c r="T18" s="30" t="n">
        <v>0</v>
      </c>
      <c r="U18" s="30" t="n">
        <v>0</v>
      </c>
      <c r="V18" s="30" t="n">
        <v>0</v>
      </c>
      <c r="W18" s="30" t="n">
        <v>0</v>
      </c>
      <c r="X18" s="30" t="n">
        <v>0</v>
      </c>
      <c r="Y18" s="30" t="n">
        <v>0</v>
      </c>
      <c r="Z18" s="30" t="n">
        <v>0</v>
      </c>
      <c r="AA18" s="30" t="n">
        <v>0</v>
      </c>
      <c r="AB18" s="30" t="n">
        <v>0</v>
      </c>
      <c r="AC18" s="30" t="n">
        <v>0</v>
      </c>
      <c r="AD18" s="30" t="n">
        <v>0</v>
      </c>
      <c r="AE18" s="30" t="n">
        <v>0</v>
      </c>
      <c r="AF18" s="30" t="n">
        <v>0</v>
      </c>
      <c r="AG18" s="30" t="n">
        <v>0</v>
      </c>
      <c r="AH18" s="30" t="n">
        <v>0</v>
      </c>
      <c r="AI18" s="30" t="n">
        <v>0</v>
      </c>
      <c r="AJ18" s="30" t="n">
        <v>0</v>
      </c>
      <c r="AK18" s="30" t="n">
        <v>0</v>
      </c>
      <c r="AL18" s="30" t="n">
        <v>0</v>
      </c>
      <c r="AM18" s="30" t="n">
        <v>0</v>
      </c>
      <c r="AN18" s="30" t="n">
        <v>0</v>
      </c>
      <c r="AO18" s="30" t="n">
        <v>0</v>
      </c>
      <c r="AP18" s="30" t="n">
        <v>0</v>
      </c>
      <c r="AQ18" s="30" t="n">
        <v>0</v>
      </c>
      <c r="AR18" s="30" t="n">
        <v>0</v>
      </c>
      <c r="AS18" s="30" t="n">
        <v>0</v>
      </c>
      <c r="AT18" s="30" t="n">
        <v>0</v>
      </c>
      <c r="AU18" s="30" t="n">
        <v>0</v>
      </c>
      <c r="AV18" s="30" t="n">
        <v>0</v>
      </c>
      <c r="AW18" s="30" t="n">
        <v>0</v>
      </c>
      <c r="AX18" s="30" t="n">
        <v>0</v>
      </c>
      <c r="AY18" s="30" t="n">
        <v>0</v>
      </c>
      <c r="AZ18" s="30" t="n">
        <v>0</v>
      </c>
      <c r="BA18" s="30" t="n">
        <v>0</v>
      </c>
      <c r="BB18" s="30" t="n">
        <v>0</v>
      </c>
      <c r="BC18" s="30" t="n">
        <v>0</v>
      </c>
      <c r="BD18" s="30" t="n">
        <v>0</v>
      </c>
      <c r="BE18" s="30" t="n">
        <v>0</v>
      </c>
      <c r="BF18" s="30" t="n">
        <v>0</v>
      </c>
      <c r="BG18" s="30" t="n">
        <v>0</v>
      </c>
      <c r="BH18" s="30" t="n">
        <v>0</v>
      </c>
      <c r="BI18" s="30" t="n">
        <v>0</v>
      </c>
      <c r="BJ18" s="30" t="n">
        <v>0</v>
      </c>
      <c r="BK18" s="30" t="n">
        <v>0</v>
      </c>
      <c r="BL18" s="30" t="n">
        <v>0</v>
      </c>
      <c r="BM18" s="30" t="n">
        <v>0</v>
      </c>
      <c r="BN18" s="30" t="n">
        <v>0</v>
      </c>
      <c r="BO18" s="30" t="n">
        <v>0</v>
      </c>
      <c r="BP18" s="30" t="n">
        <v>0</v>
      </c>
      <c r="BQ18" s="30" t="n">
        <v>0</v>
      </c>
      <c r="BR18" s="30" t="n">
        <v>0</v>
      </c>
      <c r="BS18" s="30" t="n">
        <v>0</v>
      </c>
      <c r="BT18" s="30" t="n">
        <v>0</v>
      </c>
      <c r="BU18" s="30" t="n">
        <v>0</v>
      </c>
      <c r="BV18" s="30" t="n">
        <v>0</v>
      </c>
      <c r="BW18" s="30" t="n">
        <v>0</v>
      </c>
      <c r="BX18" s="30" t="n">
        <v>0</v>
      </c>
      <c r="BY18" s="30" t="n">
        <v>0</v>
      </c>
      <c r="BZ18" s="30" t="n">
        <v>0</v>
      </c>
      <c r="CA18" s="30" t="n">
        <v>0</v>
      </c>
      <c r="CB18" s="30" t="n">
        <v>0</v>
      </c>
      <c r="CC18" s="30" t="n">
        <v>0</v>
      </c>
      <c r="CD18" s="30" t="n">
        <v>0</v>
      </c>
      <c r="CE18" s="30" t="n">
        <v>0</v>
      </c>
      <c r="CF18" s="30" t="n">
        <v>0</v>
      </c>
      <c r="CG18" s="30" t="n">
        <v>0</v>
      </c>
      <c r="CH18" s="30" t="n">
        <v>0</v>
      </c>
      <c r="CI18" s="30" t="n">
        <v>0</v>
      </c>
      <c r="CJ18" s="30" t="n">
        <v>0</v>
      </c>
      <c r="CK18" s="30" t="n">
        <v>0</v>
      </c>
      <c r="CL18" s="30" t="n">
        <v>0</v>
      </c>
      <c r="CM18" s="30" t="n">
        <v>0</v>
      </c>
      <c r="CN18" s="30" t="n">
        <v>0</v>
      </c>
      <c r="CO18" s="30" t="n">
        <v>0</v>
      </c>
      <c r="CP18" s="30" t="n">
        <v>0</v>
      </c>
      <c r="CQ18" s="30" t="n">
        <v>0</v>
      </c>
      <c r="CR18" s="30" t="n">
        <v>0</v>
      </c>
      <c r="CS18" s="30" t="n">
        <v>0</v>
      </c>
      <c r="CT18" s="30" t="n">
        <v>0</v>
      </c>
      <c r="CU18" s="30" t="n">
        <v>0</v>
      </c>
      <c r="CV18" s="30" t="n">
        <v>0</v>
      </c>
      <c r="CW18" s="30" t="n">
        <v>0</v>
      </c>
      <c r="CX18" s="30" t="n">
        <v>0</v>
      </c>
      <c r="CY18" s="30" t="n">
        <v>0</v>
      </c>
      <c r="CZ18" s="30" t="n">
        <v>0</v>
      </c>
      <c r="DA18" s="30" t="n">
        <v>0</v>
      </c>
    </row>
    <row r="19">
      <c r="A19" t="inlineStr">
        <is>
          <t>TSP-224</t>
        </is>
      </c>
      <c r="B19" s="30" t="n">
        <v>0</v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0</v>
      </c>
      <c r="I19" s="30" t="n">
        <v>0</v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0</v>
      </c>
      <c r="S19" s="30" t="n">
        <v>0</v>
      </c>
      <c r="T19" s="30" t="n">
        <v>0</v>
      </c>
      <c r="U19" s="30" t="n">
        <v>0</v>
      </c>
      <c r="V19" s="30" t="n">
        <v>0</v>
      </c>
      <c r="W19" s="30" t="n">
        <v>0</v>
      </c>
      <c r="X19" s="30" t="n">
        <v>0</v>
      </c>
      <c r="Y19" s="30" t="n">
        <v>0</v>
      </c>
      <c r="Z19" s="30" t="n">
        <v>0</v>
      </c>
      <c r="AA19" s="30" t="n">
        <v>0</v>
      </c>
      <c r="AB19" s="30" t="n">
        <v>0</v>
      </c>
      <c r="AC19" s="30" t="n">
        <v>0</v>
      </c>
      <c r="AD19" s="30" t="n">
        <v>0</v>
      </c>
      <c r="AE19" s="30" t="n">
        <v>0</v>
      </c>
      <c r="AF19" s="30" t="n">
        <v>0</v>
      </c>
      <c r="AG19" s="30" t="n">
        <v>0</v>
      </c>
      <c r="AH19" s="30" t="n">
        <v>0</v>
      </c>
      <c r="AI19" s="30" t="n">
        <v>0</v>
      </c>
      <c r="AJ19" s="30" t="n">
        <v>0</v>
      </c>
      <c r="AK19" s="30" t="n">
        <v>0</v>
      </c>
      <c r="AL19" s="30" t="n">
        <v>0</v>
      </c>
      <c r="AM19" s="30" t="n">
        <v>0</v>
      </c>
      <c r="AN19" s="30" t="n">
        <v>0</v>
      </c>
      <c r="AO19" s="30" t="n">
        <v>0</v>
      </c>
      <c r="AP19" s="30" t="n">
        <v>0</v>
      </c>
      <c r="AQ19" s="30" t="n">
        <v>0</v>
      </c>
      <c r="AR19" s="30" t="n">
        <v>0</v>
      </c>
      <c r="AS19" s="30" t="n">
        <v>0</v>
      </c>
      <c r="AT19" s="30" t="n">
        <v>0</v>
      </c>
      <c r="AU19" s="30" t="n">
        <v>0</v>
      </c>
      <c r="AV19" s="30" t="n">
        <v>0</v>
      </c>
      <c r="AW19" s="30" t="n">
        <v>0</v>
      </c>
      <c r="AX19" s="30" t="n">
        <v>0</v>
      </c>
      <c r="AY19" s="30" t="n">
        <v>0</v>
      </c>
      <c r="AZ19" s="30" t="n">
        <v>0</v>
      </c>
      <c r="BA19" s="30" t="n">
        <v>0</v>
      </c>
      <c r="BB19" s="30" t="n">
        <v>0</v>
      </c>
      <c r="BC19" s="30" t="n">
        <v>0</v>
      </c>
      <c r="BD19" s="30" t="n">
        <v>0</v>
      </c>
      <c r="BE19" s="30" t="n">
        <v>0</v>
      </c>
      <c r="BF19" s="30" t="n">
        <v>0</v>
      </c>
      <c r="BG19" s="30" t="n">
        <v>0</v>
      </c>
      <c r="BH19" s="30" t="n">
        <v>0</v>
      </c>
      <c r="BI19" s="30" t="n">
        <v>0</v>
      </c>
      <c r="BJ19" s="30" t="n">
        <v>0</v>
      </c>
      <c r="BK19" s="30" t="n">
        <v>0</v>
      </c>
      <c r="BL19" s="30" t="n">
        <v>0</v>
      </c>
      <c r="BM19" s="30" t="n">
        <v>0</v>
      </c>
      <c r="BN19" s="30" t="n">
        <v>0</v>
      </c>
      <c r="BO19" s="30" t="n">
        <v>0</v>
      </c>
      <c r="BP19" s="30" t="n">
        <v>0</v>
      </c>
      <c r="BQ19" s="30" t="n">
        <v>0</v>
      </c>
      <c r="BR19" s="30" t="n">
        <v>0</v>
      </c>
      <c r="BS19" s="30" t="n">
        <v>0</v>
      </c>
      <c r="BT19" s="30" t="n">
        <v>0</v>
      </c>
      <c r="BU19" s="30" t="n">
        <v>0</v>
      </c>
      <c r="BV19" s="30" t="n">
        <v>0</v>
      </c>
      <c r="BW19" s="30" t="n">
        <v>0</v>
      </c>
      <c r="BX19" s="30" t="n">
        <v>0</v>
      </c>
      <c r="BY19" s="30" t="n">
        <v>0</v>
      </c>
      <c r="BZ19" s="30" t="n">
        <v>0</v>
      </c>
      <c r="CA19" s="30" t="n">
        <v>0</v>
      </c>
      <c r="CB19" s="30" t="n">
        <v>0</v>
      </c>
      <c r="CC19" s="30" t="n">
        <v>0</v>
      </c>
      <c r="CD19" s="30" t="n">
        <v>0</v>
      </c>
      <c r="CE19" s="30" t="n">
        <v>0</v>
      </c>
      <c r="CF19" s="30" t="n">
        <v>0</v>
      </c>
      <c r="CG19" s="30" t="n">
        <v>0</v>
      </c>
      <c r="CH19" s="30" t="n">
        <v>0</v>
      </c>
      <c r="CI19" s="30" t="n">
        <v>0</v>
      </c>
      <c r="CJ19" s="30" t="n">
        <v>0</v>
      </c>
      <c r="CK19" s="30" t="n">
        <v>0</v>
      </c>
      <c r="CL19" s="30" t="n">
        <v>0</v>
      </c>
      <c r="CM19" s="30" t="n">
        <v>0</v>
      </c>
      <c r="CN19" s="30" t="n">
        <v>0</v>
      </c>
      <c r="CO19" s="30" t="n">
        <v>0</v>
      </c>
      <c r="CP19" s="30" t="n">
        <v>0</v>
      </c>
      <c r="CQ19" s="30" t="n">
        <v>0</v>
      </c>
      <c r="CR19" s="30" t="n">
        <v>0</v>
      </c>
      <c r="CS19" s="30" t="n">
        <v>0</v>
      </c>
      <c r="CT19" s="30" t="n">
        <v>0</v>
      </c>
      <c r="CU19" s="30" t="n">
        <v>0</v>
      </c>
      <c r="CV19" s="30" t="n">
        <v>0</v>
      </c>
      <c r="CW19" s="30" t="n">
        <v>0</v>
      </c>
      <c r="CX19" s="30" t="n">
        <v>0</v>
      </c>
      <c r="CY19" s="30" t="n">
        <v>0</v>
      </c>
      <c r="CZ19" s="30" t="n">
        <v>0</v>
      </c>
      <c r="DA19" s="30" t="n">
        <v>0</v>
      </c>
    </row>
    <row r="20">
      <c r="A20" t="inlineStr">
        <is>
          <t>TSP-225</t>
        </is>
      </c>
      <c r="B20" s="30" t="n">
        <v>0</v>
      </c>
      <c r="C20" s="30" t="n">
        <v>0</v>
      </c>
      <c r="D20" s="30" t="n">
        <v>0</v>
      </c>
      <c r="E20" s="30" t="n">
        <v>0</v>
      </c>
      <c r="F20" s="30" t="n">
        <v>0</v>
      </c>
      <c r="G20" s="30" t="n">
        <v>0</v>
      </c>
      <c r="H20" s="30" t="n">
        <v>0</v>
      </c>
      <c r="I20" s="30" t="n">
        <v>0</v>
      </c>
      <c r="J20" s="30" t="n">
        <v>0</v>
      </c>
      <c r="K20" s="30" t="n">
        <v>0</v>
      </c>
      <c r="L20" s="30" t="n">
        <v>0</v>
      </c>
      <c r="M20" s="30" t="n">
        <v>0</v>
      </c>
      <c r="N20" s="30" t="n">
        <v>0</v>
      </c>
      <c r="O20" s="30" t="n">
        <v>0</v>
      </c>
      <c r="P20" s="30" t="n">
        <v>0</v>
      </c>
      <c r="Q20" s="30" t="n">
        <v>0</v>
      </c>
      <c r="R20" s="30" t="n">
        <v>0</v>
      </c>
      <c r="S20" s="30" t="n">
        <v>0</v>
      </c>
      <c r="T20" s="30" t="n">
        <v>0</v>
      </c>
      <c r="U20" s="30" t="n">
        <v>0</v>
      </c>
      <c r="V20" s="30" t="n">
        <v>0</v>
      </c>
      <c r="W20" s="30" t="n">
        <v>0</v>
      </c>
      <c r="X20" s="30" t="n">
        <v>0</v>
      </c>
      <c r="Y20" s="30" t="n">
        <v>0</v>
      </c>
      <c r="Z20" s="30" t="n">
        <v>0</v>
      </c>
      <c r="AA20" s="30" t="n">
        <v>0</v>
      </c>
      <c r="AB20" s="30" t="n">
        <v>0</v>
      </c>
      <c r="AC20" s="30" t="n">
        <v>0</v>
      </c>
      <c r="AD20" s="30" t="n">
        <v>0</v>
      </c>
      <c r="AE20" s="30" t="n">
        <v>0</v>
      </c>
      <c r="AF20" s="30" t="n">
        <v>0</v>
      </c>
      <c r="AG20" s="30" t="n">
        <v>0</v>
      </c>
      <c r="AH20" s="30" t="n">
        <v>0</v>
      </c>
      <c r="AI20" s="30" t="n">
        <v>0</v>
      </c>
      <c r="AJ20" s="30" t="n">
        <v>0</v>
      </c>
      <c r="AK20" s="30" t="n">
        <v>0</v>
      </c>
      <c r="AL20" s="30" t="n">
        <v>0</v>
      </c>
      <c r="AM20" s="30" t="n">
        <v>0</v>
      </c>
      <c r="AN20" s="30" t="n">
        <v>0</v>
      </c>
      <c r="AO20" s="30" t="n">
        <v>0</v>
      </c>
      <c r="AP20" s="30" t="n">
        <v>0</v>
      </c>
      <c r="AQ20" s="30" t="n">
        <v>0</v>
      </c>
      <c r="AR20" s="30" t="n">
        <v>0</v>
      </c>
      <c r="AS20" s="30" t="n">
        <v>0</v>
      </c>
      <c r="AT20" s="30" t="n">
        <v>0</v>
      </c>
      <c r="AU20" s="30" t="n">
        <v>0</v>
      </c>
      <c r="AV20" s="30" t="n">
        <v>0</v>
      </c>
      <c r="AW20" s="30" t="n">
        <v>0</v>
      </c>
      <c r="AX20" s="30" t="n">
        <v>0</v>
      </c>
      <c r="AY20" s="30" t="n">
        <v>0</v>
      </c>
      <c r="AZ20" s="30" t="n">
        <v>0</v>
      </c>
      <c r="BA20" s="30" t="n">
        <v>0</v>
      </c>
      <c r="BB20" s="30" t="n">
        <v>0</v>
      </c>
      <c r="BC20" s="30" t="n">
        <v>0</v>
      </c>
      <c r="BD20" s="30" t="n">
        <v>0</v>
      </c>
      <c r="BE20" s="30" t="n">
        <v>0</v>
      </c>
      <c r="BF20" s="30" t="n">
        <v>0</v>
      </c>
      <c r="BG20" s="30" t="n">
        <v>0</v>
      </c>
      <c r="BH20" s="30" t="n">
        <v>0</v>
      </c>
      <c r="BI20" s="30" t="n">
        <v>0</v>
      </c>
      <c r="BJ20" s="30" t="n">
        <v>0</v>
      </c>
      <c r="BK20" s="30" t="n">
        <v>0</v>
      </c>
      <c r="BL20" s="30" t="n">
        <v>0</v>
      </c>
      <c r="BM20" s="30" t="n">
        <v>0</v>
      </c>
      <c r="BN20" s="30" t="n">
        <v>0</v>
      </c>
      <c r="BO20" s="30" t="n">
        <v>0</v>
      </c>
      <c r="BP20" s="30" t="n">
        <v>0</v>
      </c>
      <c r="BQ20" s="30" t="n">
        <v>0</v>
      </c>
      <c r="BR20" s="30" t="n">
        <v>0</v>
      </c>
      <c r="BS20" s="30" t="n">
        <v>0</v>
      </c>
      <c r="BT20" s="30" t="n">
        <v>0</v>
      </c>
      <c r="BU20" s="30" t="n">
        <v>0</v>
      </c>
      <c r="BV20" s="30" t="n">
        <v>0</v>
      </c>
      <c r="BW20" s="30" t="n">
        <v>0</v>
      </c>
      <c r="BX20" s="30" t="n">
        <v>0</v>
      </c>
      <c r="BY20" s="30" t="n">
        <v>0</v>
      </c>
      <c r="BZ20" s="30" t="n">
        <v>0</v>
      </c>
      <c r="CA20" s="30" t="n">
        <v>0</v>
      </c>
      <c r="CB20" s="30" t="n">
        <v>0</v>
      </c>
      <c r="CC20" s="30" t="n">
        <v>0</v>
      </c>
      <c r="CD20" s="30" t="n">
        <v>0</v>
      </c>
      <c r="CE20" s="30" t="n">
        <v>0</v>
      </c>
      <c r="CF20" s="30" t="n">
        <v>0</v>
      </c>
      <c r="CG20" s="30" t="n">
        <v>0</v>
      </c>
      <c r="CH20" s="30" t="n">
        <v>0</v>
      </c>
      <c r="CI20" s="30" t="n">
        <v>0</v>
      </c>
      <c r="CJ20" s="30" t="n">
        <v>0</v>
      </c>
      <c r="CK20" s="30" t="n">
        <v>0</v>
      </c>
      <c r="CL20" s="30" t="n">
        <v>0</v>
      </c>
      <c r="CM20" s="30" t="n">
        <v>0</v>
      </c>
      <c r="CN20" s="30" t="n">
        <v>0</v>
      </c>
      <c r="CO20" s="30" t="n">
        <v>0</v>
      </c>
      <c r="CP20" s="30" t="n">
        <v>0</v>
      </c>
      <c r="CQ20" s="30" t="n">
        <v>0</v>
      </c>
      <c r="CR20" s="30" t="n">
        <v>0</v>
      </c>
      <c r="CS20" s="30" t="n">
        <v>0</v>
      </c>
      <c r="CT20" s="30" t="n">
        <v>0</v>
      </c>
      <c r="CU20" s="30" t="n">
        <v>0</v>
      </c>
      <c r="CV20" s="30" t="n">
        <v>0</v>
      </c>
      <c r="CW20" s="30" t="n">
        <v>0</v>
      </c>
      <c r="CX20" s="30" t="n">
        <v>0</v>
      </c>
      <c r="CY20" s="30" t="n">
        <v>0</v>
      </c>
      <c r="CZ20" s="30" t="n">
        <v>0</v>
      </c>
      <c r="DA20" s="30" t="n">
        <v>0</v>
      </c>
    </row>
    <row r="21">
      <c r="A21" t="inlineStr">
        <is>
          <t>TSP-360</t>
        </is>
      </c>
      <c r="B21" s="30" t="n">
        <v>0</v>
      </c>
      <c r="C21" s="30" t="n">
        <v>0</v>
      </c>
      <c r="D21" s="30" t="n">
        <v>0</v>
      </c>
      <c r="E21" s="30" t="n">
        <v>0</v>
      </c>
      <c r="F21" s="30" t="n">
        <v>0</v>
      </c>
      <c r="G21" s="30" t="n">
        <v>0</v>
      </c>
      <c r="H21" s="30" t="n">
        <v>0</v>
      </c>
      <c r="I21" s="30" t="n">
        <v>0</v>
      </c>
      <c r="J21" s="30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 t="n">
        <v>0</v>
      </c>
      <c r="X21" s="30" t="n">
        <v>0</v>
      </c>
      <c r="Y21" s="30" t="n">
        <v>0</v>
      </c>
      <c r="Z21" s="30" t="n">
        <v>0</v>
      </c>
      <c r="AA21" s="30" t="n">
        <v>0</v>
      </c>
      <c r="AB21" s="30" t="n">
        <v>0</v>
      </c>
      <c r="AC21" s="30" t="n">
        <v>0</v>
      </c>
      <c r="AD21" s="30" t="n">
        <v>0</v>
      </c>
      <c r="AE21" s="30" t="n">
        <v>0</v>
      </c>
      <c r="AF21" s="30" t="n">
        <v>0</v>
      </c>
      <c r="AG21" s="30" t="n">
        <v>0</v>
      </c>
      <c r="AH21" s="30" t="n">
        <v>0</v>
      </c>
      <c r="AI21" s="30" t="n">
        <v>0</v>
      </c>
      <c r="AJ21" s="30" t="n">
        <v>0</v>
      </c>
      <c r="AK21" s="30" t="n">
        <v>0</v>
      </c>
      <c r="AL21" s="30" t="n">
        <v>0</v>
      </c>
      <c r="AM21" s="30" t="n">
        <v>0</v>
      </c>
      <c r="AN21" s="30" t="n">
        <v>0</v>
      </c>
      <c r="AO21" s="30" t="n">
        <v>0</v>
      </c>
      <c r="AP21" s="30" t="n">
        <v>0</v>
      </c>
      <c r="AQ21" s="30" t="n">
        <v>0</v>
      </c>
      <c r="AR21" s="30" t="n">
        <v>0</v>
      </c>
      <c r="AS21" s="30" t="n">
        <v>0</v>
      </c>
      <c r="AT21" s="30" t="n">
        <v>0</v>
      </c>
      <c r="AU21" s="30" t="n">
        <v>0</v>
      </c>
      <c r="AV21" s="30" t="n">
        <v>0</v>
      </c>
      <c r="AW21" s="30" t="n">
        <v>0</v>
      </c>
      <c r="AX21" s="30" t="n">
        <v>0</v>
      </c>
      <c r="AY21" s="30" t="n">
        <v>0</v>
      </c>
      <c r="AZ21" s="30" t="n">
        <v>0</v>
      </c>
      <c r="BA21" s="30" t="n">
        <v>0</v>
      </c>
      <c r="BB21" s="30" t="n">
        <v>0</v>
      </c>
      <c r="BC21" s="30" t="n">
        <v>0</v>
      </c>
      <c r="BD21" s="30" t="n">
        <v>0</v>
      </c>
      <c r="BE21" s="30" t="n">
        <v>0</v>
      </c>
      <c r="BF21" s="30" t="n">
        <v>0</v>
      </c>
      <c r="BG21" s="30" t="n">
        <v>0</v>
      </c>
      <c r="BH21" s="30" t="n">
        <v>0</v>
      </c>
      <c r="BI21" s="30" t="n">
        <v>0</v>
      </c>
      <c r="BJ21" s="30" t="n">
        <v>0</v>
      </c>
      <c r="BK21" s="30" t="n">
        <v>0</v>
      </c>
      <c r="BL21" s="30" t="n">
        <v>0</v>
      </c>
      <c r="BM21" s="30" t="n">
        <v>0</v>
      </c>
      <c r="BN21" s="30" t="n">
        <v>0</v>
      </c>
      <c r="BO21" s="30" t="n">
        <v>0</v>
      </c>
      <c r="BP21" s="30" t="n">
        <v>0</v>
      </c>
      <c r="BQ21" s="30" t="n">
        <v>0</v>
      </c>
      <c r="BR21" s="30" t="n">
        <v>0</v>
      </c>
      <c r="BS21" s="30" t="n">
        <v>0</v>
      </c>
      <c r="BT21" s="30" t="n">
        <v>0</v>
      </c>
      <c r="BU21" s="30" t="n">
        <v>0</v>
      </c>
      <c r="BV21" s="30" t="n">
        <v>0</v>
      </c>
      <c r="BW21" s="30" t="n">
        <v>0</v>
      </c>
      <c r="BX21" s="30" t="n">
        <v>0</v>
      </c>
      <c r="BY21" s="30" t="n">
        <v>0</v>
      </c>
      <c r="BZ21" s="30" t="n">
        <v>0</v>
      </c>
      <c r="CA21" s="30" t="n">
        <v>0</v>
      </c>
      <c r="CB21" s="30" t="n">
        <v>0</v>
      </c>
      <c r="CC21" s="30" t="n">
        <v>0</v>
      </c>
      <c r="CD21" s="30" t="n">
        <v>0</v>
      </c>
      <c r="CE21" s="30" t="n">
        <v>0</v>
      </c>
      <c r="CF21" s="30" t="n">
        <v>0</v>
      </c>
      <c r="CG21" s="30" t="n">
        <v>0</v>
      </c>
      <c r="CH21" s="30" t="n">
        <v>0</v>
      </c>
      <c r="CI21" s="30" t="n">
        <v>0</v>
      </c>
      <c r="CJ21" s="30" t="n">
        <v>0</v>
      </c>
      <c r="CK21" s="30" t="n">
        <v>0</v>
      </c>
      <c r="CL21" s="30" t="n">
        <v>0</v>
      </c>
      <c r="CM21" s="30" t="n">
        <v>0</v>
      </c>
      <c r="CN21" s="30" t="n">
        <v>0</v>
      </c>
      <c r="CO21" s="30" t="n">
        <v>0</v>
      </c>
      <c r="CP21" s="30" t="n">
        <v>0</v>
      </c>
      <c r="CQ21" s="30" t="n">
        <v>0</v>
      </c>
      <c r="CR21" s="30" t="n">
        <v>0</v>
      </c>
      <c r="CS21" s="30" t="n">
        <v>0</v>
      </c>
      <c r="CT21" s="30" t="n">
        <v>0</v>
      </c>
      <c r="CU21" s="30" t="n">
        <v>0</v>
      </c>
      <c r="CV21" s="30" t="n">
        <v>0</v>
      </c>
      <c r="CW21" s="30" t="n">
        <v>0</v>
      </c>
      <c r="CX21" s="30" t="n">
        <v>0</v>
      </c>
      <c r="CY21" s="30" t="n">
        <v>0</v>
      </c>
      <c r="CZ21" s="30" t="n">
        <v>0</v>
      </c>
      <c r="DA21" s="30" t="n">
        <v>0</v>
      </c>
    </row>
    <row r="22">
      <c r="A22" t="inlineStr">
        <is>
          <t>TSP-367</t>
        </is>
      </c>
      <c r="B22" s="30" t="n">
        <v>0</v>
      </c>
      <c r="C22" s="30" t="n">
        <v>0</v>
      </c>
      <c r="D22" s="30" t="n">
        <v>0</v>
      </c>
      <c r="E22" s="30" t="n">
        <v>0</v>
      </c>
      <c r="F22" s="30" t="n">
        <v>0</v>
      </c>
      <c r="G22" s="30" t="n">
        <v>0</v>
      </c>
      <c r="H22" s="30" t="n">
        <v>0</v>
      </c>
      <c r="I22" s="30" t="n">
        <v>0</v>
      </c>
      <c r="J22" s="30" t="n">
        <v>0</v>
      </c>
      <c r="K22" s="30" t="n">
        <v>0</v>
      </c>
      <c r="L22" s="30" t="n">
        <v>0</v>
      </c>
      <c r="M22" s="30" t="n">
        <v>0</v>
      </c>
      <c r="N22" s="30" t="n">
        <v>0</v>
      </c>
      <c r="O22" s="30" t="n">
        <v>0</v>
      </c>
      <c r="P22" s="30" t="n">
        <v>0</v>
      </c>
      <c r="Q22" s="30" t="n">
        <v>0</v>
      </c>
      <c r="R22" s="30" t="n">
        <v>0</v>
      </c>
      <c r="S22" s="30" t="n">
        <v>0</v>
      </c>
      <c r="T22" s="30" t="n">
        <v>0</v>
      </c>
      <c r="U22" s="30" t="n">
        <v>0</v>
      </c>
      <c r="V22" s="30" t="n">
        <v>0</v>
      </c>
      <c r="W22" s="30" t="n">
        <v>0</v>
      </c>
      <c r="X22" s="30" t="n">
        <v>0</v>
      </c>
      <c r="Y22" s="30" t="n">
        <v>0</v>
      </c>
      <c r="Z22" s="30" t="n">
        <v>0</v>
      </c>
      <c r="AA22" s="30" t="n">
        <v>0</v>
      </c>
      <c r="AB22" s="30" t="n">
        <v>0</v>
      </c>
      <c r="AC22" s="30" t="n">
        <v>0</v>
      </c>
      <c r="AD22" s="30" t="n">
        <v>0</v>
      </c>
      <c r="AE22" s="30" t="n">
        <v>0</v>
      </c>
      <c r="AF22" s="30" t="n">
        <v>0</v>
      </c>
      <c r="AG22" s="30" t="n">
        <v>0</v>
      </c>
      <c r="AH22" s="30" t="n">
        <v>0</v>
      </c>
      <c r="AI22" s="30" t="n">
        <v>0</v>
      </c>
      <c r="AJ22" s="30" t="n">
        <v>0</v>
      </c>
      <c r="AK22" s="30" t="n">
        <v>0</v>
      </c>
      <c r="AL22" s="30" t="n">
        <v>0</v>
      </c>
      <c r="AM22" s="30" t="n">
        <v>0</v>
      </c>
      <c r="AN22" s="30" t="n">
        <v>0</v>
      </c>
      <c r="AO22" s="30" t="n">
        <v>0</v>
      </c>
      <c r="AP22" s="30" t="n">
        <v>0</v>
      </c>
      <c r="AQ22" s="30" t="n">
        <v>0</v>
      </c>
      <c r="AR22" s="30" t="n">
        <v>0</v>
      </c>
      <c r="AS22" s="30" t="n">
        <v>0</v>
      </c>
      <c r="AT22" s="30" t="n">
        <v>0</v>
      </c>
      <c r="AU22" s="30" t="n">
        <v>0</v>
      </c>
      <c r="AV22" s="30" t="n">
        <v>0</v>
      </c>
      <c r="AW22" s="30" t="n">
        <v>0</v>
      </c>
      <c r="AX22" s="30" t="n">
        <v>0</v>
      </c>
      <c r="AY22" s="30" t="n">
        <v>0</v>
      </c>
      <c r="AZ22" s="30" t="n">
        <v>0</v>
      </c>
      <c r="BA22" s="30" t="n">
        <v>0</v>
      </c>
      <c r="BB22" s="30" t="n">
        <v>0</v>
      </c>
      <c r="BC22" s="30" t="n">
        <v>0</v>
      </c>
      <c r="BD22" s="30" t="n">
        <v>0</v>
      </c>
      <c r="BE22" s="30" t="n">
        <v>0</v>
      </c>
      <c r="BF22" s="30" t="n">
        <v>0</v>
      </c>
      <c r="BG22" s="30" t="n">
        <v>0</v>
      </c>
      <c r="BH22" s="30" t="n">
        <v>0</v>
      </c>
      <c r="BI22" s="30" t="n">
        <v>0</v>
      </c>
      <c r="BJ22" s="30" t="n">
        <v>0</v>
      </c>
      <c r="BK22" s="30" t="n">
        <v>0</v>
      </c>
      <c r="BL22" s="30" t="n">
        <v>0</v>
      </c>
      <c r="BM22" s="30" t="n">
        <v>0</v>
      </c>
      <c r="BN22" s="30" t="n">
        <v>0</v>
      </c>
      <c r="BO22" s="30" t="n">
        <v>0</v>
      </c>
      <c r="BP22" s="30" t="n">
        <v>0</v>
      </c>
      <c r="BQ22" s="30" t="n">
        <v>0</v>
      </c>
      <c r="BR22" s="30" t="n">
        <v>0</v>
      </c>
      <c r="BS22" s="30" t="n">
        <v>0</v>
      </c>
      <c r="BT22" s="30" t="n">
        <v>0</v>
      </c>
      <c r="BU22" s="30" t="n">
        <v>0</v>
      </c>
      <c r="BV22" s="30" t="n">
        <v>0</v>
      </c>
      <c r="BW22" s="30" t="n">
        <v>0</v>
      </c>
      <c r="BX22" s="30" t="n">
        <v>0</v>
      </c>
      <c r="BY22" s="30" t="n">
        <v>0</v>
      </c>
      <c r="BZ22" s="30" t="n">
        <v>0</v>
      </c>
      <c r="CA22" s="30" t="n">
        <v>0</v>
      </c>
      <c r="CB22" s="30" t="n">
        <v>0</v>
      </c>
      <c r="CC22" s="30" t="n">
        <v>0</v>
      </c>
      <c r="CD22" s="30" t="n">
        <v>0</v>
      </c>
      <c r="CE22" s="30" t="n">
        <v>0</v>
      </c>
      <c r="CF22" s="30" t="n">
        <v>0</v>
      </c>
      <c r="CG22" s="30" t="n">
        <v>0</v>
      </c>
      <c r="CH22" s="30" t="n">
        <v>0</v>
      </c>
      <c r="CI22" s="30" t="n">
        <v>0</v>
      </c>
      <c r="CJ22" s="30" t="n">
        <v>0</v>
      </c>
      <c r="CK22" s="30" t="n">
        <v>0</v>
      </c>
      <c r="CL22" s="30" t="n">
        <v>0</v>
      </c>
      <c r="CM22" s="30" t="n">
        <v>0</v>
      </c>
      <c r="CN22" s="30" t="n">
        <v>0</v>
      </c>
      <c r="CO22" s="30" t="n">
        <v>0</v>
      </c>
      <c r="CP22" s="30" t="n">
        <v>0</v>
      </c>
      <c r="CQ22" s="30" t="n">
        <v>0</v>
      </c>
      <c r="CR22" s="30" t="n">
        <v>0</v>
      </c>
      <c r="CS22" s="30" t="n">
        <v>0</v>
      </c>
      <c r="CT22" s="30" t="n">
        <v>0</v>
      </c>
      <c r="CU22" s="30" t="n">
        <v>0</v>
      </c>
      <c r="CV22" s="30" t="n">
        <v>0</v>
      </c>
      <c r="CW22" s="30" t="n">
        <v>0</v>
      </c>
      <c r="CX22" s="30" t="n">
        <v>0</v>
      </c>
      <c r="CY22" s="30" t="n">
        <v>0</v>
      </c>
      <c r="CZ22" s="30" t="n">
        <v>0</v>
      </c>
      <c r="DA22" s="30" t="n">
        <v>0</v>
      </c>
    </row>
    <row r="23">
      <c r="A23" t="inlineStr">
        <is>
          <t>TSP-369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 t="n">
        <v>0</v>
      </c>
      <c r="AD23" s="30" t="n">
        <v>0</v>
      </c>
      <c r="AE23" s="30" t="n">
        <v>0</v>
      </c>
      <c r="AF23" s="30" t="n">
        <v>0</v>
      </c>
      <c r="AG23" s="30" t="n">
        <v>0</v>
      </c>
      <c r="AH23" s="30" t="n">
        <v>0</v>
      </c>
      <c r="AI23" s="30" t="n">
        <v>0</v>
      </c>
      <c r="AJ23" s="30" t="n">
        <v>0</v>
      </c>
      <c r="AK23" s="30" t="n">
        <v>0</v>
      </c>
      <c r="AL23" s="30" t="n">
        <v>0</v>
      </c>
      <c r="AM23" s="30" t="n">
        <v>0</v>
      </c>
      <c r="AN23" s="30" t="n">
        <v>0</v>
      </c>
      <c r="AO23" s="30" t="n">
        <v>0</v>
      </c>
      <c r="AP23" s="30" t="n">
        <v>0</v>
      </c>
      <c r="AQ23" s="30" t="n">
        <v>0</v>
      </c>
      <c r="AR23" s="30" t="n">
        <v>0</v>
      </c>
      <c r="AS23" s="30" t="n">
        <v>0</v>
      </c>
      <c r="AT23" s="30" t="n">
        <v>0</v>
      </c>
      <c r="AU23" s="30" t="n">
        <v>0</v>
      </c>
      <c r="AV23" s="30" t="n">
        <v>0</v>
      </c>
      <c r="AW23" s="30" t="n">
        <v>0</v>
      </c>
      <c r="AX23" s="30" t="n">
        <v>0</v>
      </c>
      <c r="AY23" s="30" t="n">
        <v>0</v>
      </c>
      <c r="AZ23" s="30" t="n">
        <v>0</v>
      </c>
      <c r="BA23" s="30" t="n">
        <v>0</v>
      </c>
      <c r="BB23" s="30" t="n">
        <v>0</v>
      </c>
      <c r="BC23" s="30" t="n">
        <v>0</v>
      </c>
      <c r="BD23" s="30" t="n">
        <v>0</v>
      </c>
      <c r="BE23" s="30" t="n">
        <v>0</v>
      </c>
      <c r="BF23" s="30" t="n">
        <v>0</v>
      </c>
      <c r="BG23" s="30" t="n">
        <v>0</v>
      </c>
      <c r="BH23" s="30" t="n">
        <v>0</v>
      </c>
      <c r="BI23" s="30" t="n">
        <v>0</v>
      </c>
      <c r="BJ23" s="30" t="n">
        <v>0</v>
      </c>
      <c r="BK23" s="30" t="n">
        <v>0</v>
      </c>
      <c r="BL23" s="30" t="n">
        <v>0</v>
      </c>
      <c r="BM23" s="30" t="n">
        <v>0</v>
      </c>
      <c r="BN23" s="30" t="n">
        <v>0</v>
      </c>
      <c r="BO23" s="30" t="n">
        <v>0</v>
      </c>
      <c r="BP23" s="30" t="n">
        <v>0</v>
      </c>
      <c r="BQ23" s="30" t="n">
        <v>0</v>
      </c>
      <c r="BR23" s="30" t="n">
        <v>0</v>
      </c>
      <c r="BS23" s="30" t="n">
        <v>0</v>
      </c>
      <c r="BT23" s="30" t="n">
        <v>0</v>
      </c>
      <c r="BU23" s="30" t="n">
        <v>0</v>
      </c>
      <c r="BV23" s="30" t="n">
        <v>0</v>
      </c>
      <c r="BW23" s="30" t="n">
        <v>0</v>
      </c>
      <c r="BX23" s="30" t="n">
        <v>0</v>
      </c>
      <c r="BY23" s="30" t="n">
        <v>0</v>
      </c>
      <c r="BZ23" s="30" t="n">
        <v>0</v>
      </c>
      <c r="CA23" s="30" t="n">
        <v>0</v>
      </c>
      <c r="CB23" s="30" t="n">
        <v>0</v>
      </c>
      <c r="CC23" s="30" t="n">
        <v>0</v>
      </c>
      <c r="CD23" s="30" t="n">
        <v>0</v>
      </c>
      <c r="CE23" s="30" t="n">
        <v>0</v>
      </c>
      <c r="CF23" s="30" t="n">
        <v>0</v>
      </c>
      <c r="CG23" s="30" t="n">
        <v>0</v>
      </c>
      <c r="CH23" s="30" t="n">
        <v>0</v>
      </c>
      <c r="CI23" s="30" t="n">
        <v>0</v>
      </c>
      <c r="CJ23" s="30" t="n">
        <v>0</v>
      </c>
      <c r="CK23" s="30" t="n">
        <v>0</v>
      </c>
      <c r="CL23" s="30" t="n">
        <v>0</v>
      </c>
      <c r="CM23" s="30" t="n">
        <v>0</v>
      </c>
      <c r="CN23" s="30" t="n">
        <v>0</v>
      </c>
      <c r="CO23" s="30" t="n">
        <v>0</v>
      </c>
      <c r="CP23" s="30" t="n">
        <v>0</v>
      </c>
      <c r="CQ23" s="30" t="n">
        <v>0</v>
      </c>
      <c r="CR23" s="30" t="n">
        <v>0</v>
      </c>
      <c r="CS23" s="30" t="n">
        <v>0</v>
      </c>
      <c r="CT23" s="30" t="n">
        <v>0</v>
      </c>
      <c r="CU23" s="30" t="n">
        <v>0</v>
      </c>
      <c r="CV23" s="30" t="n">
        <v>0</v>
      </c>
      <c r="CW23" s="30" t="n">
        <v>0</v>
      </c>
      <c r="CX23" s="30" t="n">
        <v>0</v>
      </c>
      <c r="CY23" s="30" t="n">
        <v>0</v>
      </c>
      <c r="CZ23" s="30" t="n">
        <v>0</v>
      </c>
      <c r="DA23" s="30" t="n">
        <v>0</v>
      </c>
    </row>
    <row r="24">
      <c r="A24" t="inlineStr">
        <is>
          <t>TSP-402</t>
        </is>
      </c>
      <c r="B24" s="30" t="n">
        <v>0</v>
      </c>
      <c r="C24" s="30" t="n">
        <v>0</v>
      </c>
      <c r="D24" s="30" t="n">
        <v>0</v>
      </c>
      <c r="E24" s="30" t="n">
        <v>0</v>
      </c>
      <c r="F24" s="30" t="n">
        <v>0</v>
      </c>
      <c r="G24" s="30" t="n">
        <v>0</v>
      </c>
      <c r="H24" s="30" t="n">
        <v>0</v>
      </c>
      <c r="I24" s="30" t="n">
        <v>0</v>
      </c>
      <c r="J24" s="30" t="n">
        <v>0</v>
      </c>
      <c r="K24" s="30" t="n">
        <v>0</v>
      </c>
      <c r="L24" s="30" t="n">
        <v>0</v>
      </c>
      <c r="M24" s="30" t="n">
        <v>0</v>
      </c>
      <c r="N24" s="30" t="n">
        <v>0</v>
      </c>
      <c r="O24" s="30" t="n">
        <v>0</v>
      </c>
      <c r="P24" s="30" t="n">
        <v>0</v>
      </c>
      <c r="Q24" s="30" t="n">
        <v>0</v>
      </c>
      <c r="R24" s="30" t="n">
        <v>0</v>
      </c>
      <c r="S24" s="30" t="n">
        <v>0</v>
      </c>
      <c r="T24" s="30" t="n">
        <v>0</v>
      </c>
      <c r="U24" s="30" t="n">
        <v>0</v>
      </c>
      <c r="V24" s="30" t="n">
        <v>0</v>
      </c>
      <c r="W24" s="30" t="n">
        <v>0</v>
      </c>
      <c r="X24" s="30" t="n">
        <v>0</v>
      </c>
      <c r="Y24" s="30" t="n">
        <v>0</v>
      </c>
      <c r="Z24" s="30" t="n">
        <v>0</v>
      </c>
      <c r="AA24" s="30" t="n">
        <v>0</v>
      </c>
      <c r="AB24" s="30" t="n">
        <v>0</v>
      </c>
      <c r="AC24" s="30" t="n">
        <v>0</v>
      </c>
      <c r="AD24" s="30" t="n">
        <v>0</v>
      </c>
      <c r="AE24" s="30" t="n">
        <v>0</v>
      </c>
      <c r="AF24" s="30" t="n">
        <v>0</v>
      </c>
      <c r="AG24" s="30" t="n">
        <v>0</v>
      </c>
      <c r="AH24" s="30" t="n">
        <v>0</v>
      </c>
      <c r="AI24" s="30" t="n">
        <v>0</v>
      </c>
      <c r="AJ24" s="30" t="n">
        <v>0</v>
      </c>
      <c r="AK24" s="30" t="n">
        <v>0</v>
      </c>
      <c r="AL24" s="30" t="n">
        <v>0</v>
      </c>
      <c r="AM24" s="30" t="n">
        <v>0</v>
      </c>
      <c r="AN24" s="30" t="n">
        <v>0</v>
      </c>
      <c r="AO24" s="30" t="n">
        <v>0</v>
      </c>
      <c r="AP24" s="30" t="n">
        <v>0</v>
      </c>
      <c r="AQ24" s="30" t="n">
        <v>0</v>
      </c>
      <c r="AR24" s="30" t="n">
        <v>0</v>
      </c>
      <c r="AS24" s="30" t="n">
        <v>0</v>
      </c>
      <c r="AT24" s="30" t="n">
        <v>0</v>
      </c>
      <c r="AU24" s="30" t="n">
        <v>0</v>
      </c>
      <c r="AV24" s="30" t="n">
        <v>0</v>
      </c>
      <c r="AW24" s="30" t="n">
        <v>0</v>
      </c>
      <c r="AX24" s="30" t="n">
        <v>0</v>
      </c>
      <c r="AY24" s="30" t="n">
        <v>0</v>
      </c>
      <c r="AZ24" s="30" t="n">
        <v>0</v>
      </c>
      <c r="BA24" s="30" t="n">
        <v>0</v>
      </c>
      <c r="BB24" s="30" t="n">
        <v>0</v>
      </c>
      <c r="BC24" s="30" t="n">
        <v>0</v>
      </c>
      <c r="BD24" s="30" t="n">
        <v>0</v>
      </c>
      <c r="BE24" s="30" t="n">
        <v>0</v>
      </c>
      <c r="BF24" s="30" t="n">
        <v>0</v>
      </c>
      <c r="BG24" s="30" t="n">
        <v>0</v>
      </c>
      <c r="BH24" s="30" t="n">
        <v>0</v>
      </c>
      <c r="BI24" s="30" t="n">
        <v>0</v>
      </c>
      <c r="BJ24" s="30" t="n">
        <v>0</v>
      </c>
      <c r="BK24" s="30" t="n">
        <v>0</v>
      </c>
      <c r="BL24" s="30" t="n">
        <v>0</v>
      </c>
      <c r="BM24" s="30" t="n">
        <v>0</v>
      </c>
      <c r="BN24" s="30" t="n">
        <v>0</v>
      </c>
      <c r="BO24" s="30" t="n">
        <v>0</v>
      </c>
      <c r="BP24" s="30" t="n">
        <v>0</v>
      </c>
      <c r="BQ24" s="30" t="n">
        <v>0</v>
      </c>
      <c r="BR24" s="30" t="n">
        <v>0</v>
      </c>
      <c r="BS24" s="30" t="n">
        <v>0</v>
      </c>
      <c r="BT24" s="30" t="n">
        <v>0</v>
      </c>
      <c r="BU24" s="30" t="n">
        <v>0</v>
      </c>
      <c r="BV24" s="30" t="n">
        <v>0</v>
      </c>
      <c r="BW24" s="30" t="n">
        <v>0</v>
      </c>
      <c r="BX24" s="30" t="n">
        <v>0</v>
      </c>
      <c r="BY24" s="30" t="n">
        <v>0</v>
      </c>
      <c r="BZ24" s="30" t="n">
        <v>0</v>
      </c>
      <c r="CA24" s="30" t="n">
        <v>0</v>
      </c>
      <c r="CB24" s="30" t="n">
        <v>0</v>
      </c>
      <c r="CC24" s="30" t="n">
        <v>0</v>
      </c>
      <c r="CD24" s="30" t="n">
        <v>0</v>
      </c>
      <c r="CE24" s="30" t="n">
        <v>0</v>
      </c>
      <c r="CF24" s="30" t="n">
        <v>0</v>
      </c>
      <c r="CG24" s="30" t="n">
        <v>0</v>
      </c>
      <c r="CH24" s="30" t="n">
        <v>0</v>
      </c>
      <c r="CI24" s="30" t="n">
        <v>0</v>
      </c>
      <c r="CJ24" s="30" t="n">
        <v>0</v>
      </c>
      <c r="CK24" s="30" t="n">
        <v>0</v>
      </c>
      <c r="CL24" s="30" t="n">
        <v>0</v>
      </c>
      <c r="CM24" s="30" t="n">
        <v>0</v>
      </c>
      <c r="CN24" s="30" t="n">
        <v>0</v>
      </c>
      <c r="CO24" s="30" t="n">
        <v>0</v>
      </c>
      <c r="CP24" s="30" t="n">
        <v>0</v>
      </c>
      <c r="CQ24" s="30" t="n">
        <v>0</v>
      </c>
      <c r="CR24" s="30" t="n">
        <v>0</v>
      </c>
      <c r="CS24" s="30" t="n">
        <v>0</v>
      </c>
      <c r="CT24" s="30" t="n">
        <v>0</v>
      </c>
      <c r="CU24" s="30" t="n">
        <v>0</v>
      </c>
      <c r="CV24" s="30" t="n">
        <v>0</v>
      </c>
      <c r="CW24" s="30" t="n">
        <v>0</v>
      </c>
      <c r="CX24" s="30" t="n">
        <v>0</v>
      </c>
      <c r="CY24" s="30" t="n">
        <v>0</v>
      </c>
      <c r="CZ24" s="30" t="n">
        <v>0</v>
      </c>
      <c r="DA24" s="30" t="n">
        <v>0</v>
      </c>
    </row>
    <row r="25">
      <c r="A25" t="inlineStr">
        <is>
          <t>TSP-403</t>
        </is>
      </c>
      <c r="B25" s="30" t="n">
        <v>0</v>
      </c>
      <c r="C25" s="30" t="n">
        <v>0</v>
      </c>
      <c r="D25" s="30" t="n">
        <v>0</v>
      </c>
      <c r="E25" s="30" t="n">
        <v>0</v>
      </c>
      <c r="F25" s="30" t="n">
        <v>0</v>
      </c>
      <c r="G25" s="30" t="n">
        <v>0</v>
      </c>
      <c r="H25" s="30" t="n">
        <v>0</v>
      </c>
      <c r="I25" s="30" t="n">
        <v>0</v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0</v>
      </c>
      <c r="O25" s="30" t="n">
        <v>0</v>
      </c>
      <c r="P25" s="30" t="n">
        <v>0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30" t="n">
        <v>0</v>
      </c>
      <c r="W25" s="30" t="n">
        <v>0</v>
      </c>
      <c r="X25" s="30" t="n">
        <v>0</v>
      </c>
      <c r="Y25" s="30" t="n">
        <v>0</v>
      </c>
      <c r="Z25" s="30" t="n">
        <v>0</v>
      </c>
      <c r="AA25" s="30" t="n">
        <v>0</v>
      </c>
      <c r="AB25" s="30" t="n">
        <v>0</v>
      </c>
      <c r="AC25" s="30" t="n">
        <v>0</v>
      </c>
      <c r="AD25" s="30" t="n">
        <v>0</v>
      </c>
      <c r="AE25" s="30" t="n">
        <v>0</v>
      </c>
      <c r="AF25" s="30" t="n">
        <v>0</v>
      </c>
      <c r="AG25" s="30" t="n">
        <v>0</v>
      </c>
      <c r="AH25" s="30" t="n">
        <v>0</v>
      </c>
      <c r="AI25" s="30" t="n">
        <v>0</v>
      </c>
      <c r="AJ25" s="30" t="n">
        <v>0</v>
      </c>
      <c r="AK25" s="30" t="n">
        <v>0</v>
      </c>
      <c r="AL25" s="30" t="n">
        <v>0</v>
      </c>
      <c r="AM25" s="30" t="n">
        <v>0</v>
      </c>
      <c r="AN25" s="30" t="n">
        <v>0</v>
      </c>
      <c r="AO25" s="30" t="n">
        <v>0</v>
      </c>
      <c r="AP25" s="30" t="n">
        <v>0</v>
      </c>
      <c r="AQ25" s="30" t="n">
        <v>0</v>
      </c>
      <c r="AR25" s="30" t="n">
        <v>0</v>
      </c>
      <c r="AS25" s="30" t="n">
        <v>0</v>
      </c>
      <c r="AT25" s="30" t="n">
        <v>0</v>
      </c>
      <c r="AU25" s="30" t="n">
        <v>0</v>
      </c>
      <c r="AV25" s="30" t="n">
        <v>0</v>
      </c>
      <c r="AW25" s="30" t="n">
        <v>0</v>
      </c>
      <c r="AX25" s="30" t="n">
        <v>0</v>
      </c>
      <c r="AY25" s="30" t="n">
        <v>0</v>
      </c>
      <c r="AZ25" s="30" t="n">
        <v>0</v>
      </c>
      <c r="BA25" s="30" t="n">
        <v>0</v>
      </c>
      <c r="BB25" s="30" t="n">
        <v>0</v>
      </c>
      <c r="BC25" s="30" t="n">
        <v>0</v>
      </c>
      <c r="BD25" s="30" t="n">
        <v>0</v>
      </c>
      <c r="BE25" s="30" t="n">
        <v>0</v>
      </c>
      <c r="BF25" s="30" t="n">
        <v>0</v>
      </c>
      <c r="BG25" s="30" t="n">
        <v>0</v>
      </c>
      <c r="BH25" s="30" t="n">
        <v>0</v>
      </c>
      <c r="BI25" s="30" t="n">
        <v>0</v>
      </c>
      <c r="BJ25" s="30" t="n">
        <v>0</v>
      </c>
      <c r="BK25" s="30" t="n">
        <v>0</v>
      </c>
      <c r="BL25" s="30" t="n">
        <v>0</v>
      </c>
      <c r="BM25" s="30" t="n">
        <v>0</v>
      </c>
      <c r="BN25" s="30" t="n">
        <v>0</v>
      </c>
      <c r="BO25" s="30" t="n">
        <v>0</v>
      </c>
      <c r="BP25" s="30" t="n">
        <v>0</v>
      </c>
      <c r="BQ25" s="30" t="n">
        <v>0</v>
      </c>
      <c r="BR25" s="30" t="n">
        <v>0</v>
      </c>
      <c r="BS25" s="30" t="n">
        <v>0</v>
      </c>
      <c r="BT25" s="30" t="n">
        <v>0</v>
      </c>
      <c r="BU25" s="30" t="n">
        <v>0</v>
      </c>
      <c r="BV25" s="30" t="n">
        <v>0</v>
      </c>
      <c r="BW25" s="30" t="n">
        <v>0</v>
      </c>
      <c r="BX25" s="30" t="n">
        <v>0</v>
      </c>
      <c r="BY25" s="30" t="n">
        <v>0</v>
      </c>
      <c r="BZ25" s="30" t="n">
        <v>0</v>
      </c>
      <c r="CA25" s="30" t="n">
        <v>0</v>
      </c>
      <c r="CB25" s="30" t="n">
        <v>0</v>
      </c>
      <c r="CC25" s="30" t="n">
        <v>0</v>
      </c>
      <c r="CD25" s="30" t="n">
        <v>0</v>
      </c>
      <c r="CE25" s="30" t="n">
        <v>0</v>
      </c>
      <c r="CF25" s="30" t="n">
        <v>0</v>
      </c>
      <c r="CG25" s="30" t="n">
        <v>0</v>
      </c>
      <c r="CH25" s="30" t="n">
        <v>0</v>
      </c>
      <c r="CI25" s="30" t="n">
        <v>0</v>
      </c>
      <c r="CJ25" s="30" t="n">
        <v>0</v>
      </c>
      <c r="CK25" s="30" t="n">
        <v>0</v>
      </c>
      <c r="CL25" s="30" t="n">
        <v>0</v>
      </c>
      <c r="CM25" s="30" t="n">
        <v>0</v>
      </c>
      <c r="CN25" s="30" t="n">
        <v>0</v>
      </c>
      <c r="CO25" s="30" t="n">
        <v>0</v>
      </c>
      <c r="CP25" s="30" t="n">
        <v>0</v>
      </c>
      <c r="CQ25" s="30" t="n">
        <v>0</v>
      </c>
      <c r="CR25" s="30" t="n">
        <v>0</v>
      </c>
      <c r="CS25" s="30" t="n">
        <v>0</v>
      </c>
      <c r="CT25" s="30" t="n">
        <v>0</v>
      </c>
      <c r="CU25" s="30" t="n">
        <v>0</v>
      </c>
      <c r="CV25" s="30" t="n">
        <v>0</v>
      </c>
      <c r="CW25" s="30" t="n">
        <v>0</v>
      </c>
      <c r="CX25" s="30" t="n">
        <v>0</v>
      </c>
      <c r="CY25" s="30" t="n">
        <v>0</v>
      </c>
      <c r="CZ25" s="30" t="n">
        <v>0</v>
      </c>
      <c r="DA25" s="30" t="n">
        <v>0</v>
      </c>
    </row>
    <row r="26">
      <c r="A26" t="inlineStr">
        <is>
          <t>TSP-404</t>
        </is>
      </c>
      <c r="B26" s="30" t="n">
        <v>0</v>
      </c>
      <c r="C26" s="30" t="n">
        <v>0</v>
      </c>
      <c r="D26" s="30" t="n">
        <v>0</v>
      </c>
      <c r="E26" s="30" t="n">
        <v>0</v>
      </c>
      <c r="F26" s="30" t="n">
        <v>0</v>
      </c>
      <c r="G26" s="30" t="n">
        <v>0</v>
      </c>
      <c r="H26" s="30" t="n">
        <v>0</v>
      </c>
      <c r="I26" s="30" t="n">
        <v>0</v>
      </c>
      <c r="J26" s="30" t="n">
        <v>0</v>
      </c>
      <c r="K26" s="30" t="n">
        <v>0</v>
      </c>
      <c r="L26" s="30" t="n">
        <v>0</v>
      </c>
      <c r="M26" s="30" t="n">
        <v>0</v>
      </c>
      <c r="N26" s="30" t="n">
        <v>0</v>
      </c>
      <c r="O26" s="30" t="n">
        <v>0</v>
      </c>
      <c r="P26" s="30" t="n">
        <v>0</v>
      </c>
      <c r="Q26" s="30" t="n">
        <v>0</v>
      </c>
      <c r="R26" s="30" t="n">
        <v>0</v>
      </c>
      <c r="S26" s="30" t="n">
        <v>0</v>
      </c>
      <c r="T26" s="30" t="n">
        <v>0</v>
      </c>
      <c r="U26" s="30" t="n">
        <v>0</v>
      </c>
      <c r="V26" s="30" t="n">
        <v>0</v>
      </c>
      <c r="W26" s="30" t="n">
        <v>0</v>
      </c>
      <c r="X26" s="30" t="n">
        <v>0</v>
      </c>
      <c r="Y26" s="30" t="n">
        <v>0</v>
      </c>
      <c r="Z26" s="30" t="n">
        <v>0</v>
      </c>
      <c r="AA26" s="30" t="n">
        <v>0</v>
      </c>
      <c r="AB26" s="30" t="n">
        <v>0</v>
      </c>
      <c r="AC26" s="30" t="n">
        <v>0</v>
      </c>
      <c r="AD26" s="30" t="n">
        <v>0</v>
      </c>
      <c r="AE26" s="30" t="n">
        <v>0</v>
      </c>
      <c r="AF26" s="30" t="n">
        <v>0</v>
      </c>
      <c r="AG26" s="30" t="n">
        <v>0</v>
      </c>
      <c r="AH26" s="30" t="n">
        <v>0</v>
      </c>
      <c r="AI26" s="30" t="n">
        <v>0</v>
      </c>
      <c r="AJ26" s="30" t="n">
        <v>0</v>
      </c>
      <c r="AK26" s="30" t="n">
        <v>0</v>
      </c>
      <c r="AL26" s="30" t="n">
        <v>0</v>
      </c>
      <c r="AM26" s="30" t="n">
        <v>0</v>
      </c>
      <c r="AN26" s="30" t="n">
        <v>0</v>
      </c>
      <c r="AO26" s="30" t="n">
        <v>0</v>
      </c>
      <c r="AP26" s="30" t="n">
        <v>0</v>
      </c>
      <c r="AQ26" s="30" t="n">
        <v>0</v>
      </c>
      <c r="AR26" s="30" t="n">
        <v>0</v>
      </c>
      <c r="AS26" s="30" t="n">
        <v>0</v>
      </c>
      <c r="AT26" s="30" t="n">
        <v>0</v>
      </c>
      <c r="AU26" s="30" t="n">
        <v>0</v>
      </c>
      <c r="AV26" s="30" t="n">
        <v>0</v>
      </c>
      <c r="AW26" s="30" t="n">
        <v>0</v>
      </c>
      <c r="AX26" s="30" t="n">
        <v>0</v>
      </c>
      <c r="AY26" s="30" t="n">
        <v>0</v>
      </c>
      <c r="AZ26" s="30" t="n">
        <v>0</v>
      </c>
      <c r="BA26" s="30" t="n">
        <v>0</v>
      </c>
      <c r="BB26" s="30" t="n">
        <v>0</v>
      </c>
      <c r="BC26" s="30" t="n">
        <v>0</v>
      </c>
      <c r="BD26" s="30" t="n">
        <v>0</v>
      </c>
      <c r="BE26" s="30" t="n">
        <v>0</v>
      </c>
      <c r="BF26" s="30" t="n">
        <v>0</v>
      </c>
      <c r="BG26" s="30" t="n">
        <v>0</v>
      </c>
      <c r="BH26" s="30" t="n">
        <v>0</v>
      </c>
      <c r="BI26" s="30" t="n">
        <v>0</v>
      </c>
      <c r="BJ26" s="30" t="n">
        <v>0</v>
      </c>
      <c r="BK26" s="30" t="n">
        <v>0</v>
      </c>
      <c r="BL26" s="30" t="n">
        <v>0</v>
      </c>
      <c r="BM26" s="30" t="n">
        <v>0</v>
      </c>
      <c r="BN26" s="30" t="n">
        <v>0</v>
      </c>
      <c r="BO26" s="30" t="n">
        <v>0</v>
      </c>
      <c r="BP26" s="30" t="n">
        <v>0</v>
      </c>
      <c r="BQ26" s="30" t="n">
        <v>0</v>
      </c>
      <c r="BR26" s="30" t="n">
        <v>0</v>
      </c>
      <c r="BS26" s="30" t="n">
        <v>0</v>
      </c>
      <c r="BT26" s="30" t="n">
        <v>0</v>
      </c>
      <c r="BU26" s="30" t="n">
        <v>0</v>
      </c>
      <c r="BV26" s="30" t="n">
        <v>0</v>
      </c>
      <c r="BW26" s="30" t="n">
        <v>0</v>
      </c>
      <c r="BX26" s="30" t="n">
        <v>0</v>
      </c>
      <c r="BY26" s="30" t="n">
        <v>0</v>
      </c>
      <c r="BZ26" s="30" t="n">
        <v>0</v>
      </c>
      <c r="CA26" s="30" t="n">
        <v>0</v>
      </c>
      <c r="CB26" s="30" t="n">
        <v>0</v>
      </c>
      <c r="CC26" s="30" t="n">
        <v>0</v>
      </c>
      <c r="CD26" s="30" t="n">
        <v>0</v>
      </c>
      <c r="CE26" s="30" t="n">
        <v>0</v>
      </c>
      <c r="CF26" s="30" t="n">
        <v>0</v>
      </c>
      <c r="CG26" s="30" t="n">
        <v>0</v>
      </c>
      <c r="CH26" s="30" t="n">
        <v>0</v>
      </c>
      <c r="CI26" s="30" t="n">
        <v>0</v>
      </c>
      <c r="CJ26" s="30" t="n">
        <v>0</v>
      </c>
      <c r="CK26" s="30" t="n">
        <v>0</v>
      </c>
      <c r="CL26" s="30" t="n">
        <v>0</v>
      </c>
      <c r="CM26" s="30" t="n">
        <v>0</v>
      </c>
      <c r="CN26" s="30" t="n">
        <v>0</v>
      </c>
      <c r="CO26" s="30" t="n">
        <v>0</v>
      </c>
      <c r="CP26" s="30" t="n">
        <v>0</v>
      </c>
      <c r="CQ26" s="30" t="n">
        <v>0</v>
      </c>
      <c r="CR26" s="30" t="n">
        <v>0</v>
      </c>
      <c r="CS26" s="30" t="n">
        <v>0</v>
      </c>
      <c r="CT26" s="30" t="n">
        <v>0</v>
      </c>
      <c r="CU26" s="30" t="n">
        <v>0</v>
      </c>
      <c r="CV26" s="30" t="n">
        <v>0</v>
      </c>
      <c r="CW26" s="30" t="n">
        <v>0</v>
      </c>
      <c r="CX26" s="30" t="n">
        <v>0</v>
      </c>
      <c r="CY26" s="30" t="n">
        <v>0</v>
      </c>
      <c r="CZ26" s="30" t="n">
        <v>0</v>
      </c>
      <c r="DA26" s="30" t="n">
        <v>0</v>
      </c>
    </row>
    <row r="27">
      <c r="A27" t="inlineStr">
        <is>
          <t>TSP-405</t>
        </is>
      </c>
      <c r="B27" s="30" t="n">
        <v>0</v>
      </c>
      <c r="C27" s="30" t="n">
        <v>0</v>
      </c>
      <c r="D27" s="30" t="n">
        <v>0</v>
      </c>
      <c r="E27" s="30" t="n">
        <v>0</v>
      </c>
      <c r="F27" s="30" t="n">
        <v>0</v>
      </c>
      <c r="G27" s="30" t="n">
        <v>0</v>
      </c>
      <c r="H27" s="30" t="n">
        <v>0</v>
      </c>
      <c r="I27" s="30" t="n">
        <v>0</v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0</v>
      </c>
      <c r="Q27" s="30" t="n">
        <v>0</v>
      </c>
      <c r="R27" s="30" t="n">
        <v>0</v>
      </c>
      <c r="S27" s="30" t="n">
        <v>0</v>
      </c>
      <c r="T27" s="30" t="n">
        <v>0</v>
      </c>
      <c r="U27" s="30" t="n">
        <v>0</v>
      </c>
      <c r="V27" s="30" t="n">
        <v>0</v>
      </c>
      <c r="W27" s="30" t="n">
        <v>0</v>
      </c>
      <c r="X27" s="30" t="n">
        <v>0</v>
      </c>
      <c r="Y27" s="30" t="n">
        <v>0</v>
      </c>
      <c r="Z27" s="30" t="n">
        <v>0</v>
      </c>
      <c r="AA27" s="30" t="n">
        <v>0</v>
      </c>
      <c r="AB27" s="30" t="n">
        <v>0</v>
      </c>
      <c r="AC27" s="30" t="n">
        <v>0</v>
      </c>
      <c r="AD27" s="30" t="n">
        <v>0</v>
      </c>
      <c r="AE27" s="30" t="n">
        <v>0</v>
      </c>
      <c r="AF27" s="30" t="n">
        <v>0</v>
      </c>
      <c r="AG27" s="30" t="n">
        <v>0</v>
      </c>
      <c r="AH27" s="30" t="n">
        <v>0</v>
      </c>
      <c r="AI27" s="30" t="n">
        <v>0</v>
      </c>
      <c r="AJ27" s="30" t="n">
        <v>0</v>
      </c>
      <c r="AK27" s="30" t="n">
        <v>0</v>
      </c>
      <c r="AL27" s="30" t="n">
        <v>0</v>
      </c>
      <c r="AM27" s="30" t="n">
        <v>0</v>
      </c>
      <c r="AN27" s="30" t="n">
        <v>0</v>
      </c>
      <c r="AO27" s="30" t="n">
        <v>0</v>
      </c>
      <c r="AP27" s="30" t="n">
        <v>0</v>
      </c>
      <c r="AQ27" s="30" t="n">
        <v>0</v>
      </c>
      <c r="AR27" s="30" t="n">
        <v>0</v>
      </c>
      <c r="AS27" s="30" t="n">
        <v>0</v>
      </c>
      <c r="AT27" s="30" t="n">
        <v>0</v>
      </c>
      <c r="AU27" s="30" t="n">
        <v>0</v>
      </c>
      <c r="AV27" s="30" t="n">
        <v>0</v>
      </c>
      <c r="AW27" s="30" t="n">
        <v>0</v>
      </c>
      <c r="AX27" s="30" t="n">
        <v>0</v>
      </c>
      <c r="AY27" s="30" t="n">
        <v>0</v>
      </c>
      <c r="AZ27" s="30" t="n">
        <v>0</v>
      </c>
      <c r="BA27" s="30" t="n">
        <v>0</v>
      </c>
      <c r="BB27" s="30" t="n">
        <v>0</v>
      </c>
      <c r="BC27" s="30" t="n">
        <v>0</v>
      </c>
      <c r="BD27" s="30" t="n">
        <v>0</v>
      </c>
      <c r="BE27" s="30" t="n">
        <v>0</v>
      </c>
      <c r="BF27" s="30" t="n">
        <v>0</v>
      </c>
      <c r="BG27" s="30" t="n">
        <v>0</v>
      </c>
      <c r="BH27" s="30" t="n">
        <v>0</v>
      </c>
      <c r="BI27" s="30" t="n">
        <v>0</v>
      </c>
      <c r="BJ27" s="30" t="n">
        <v>0</v>
      </c>
      <c r="BK27" s="30" t="n">
        <v>0</v>
      </c>
      <c r="BL27" s="30" t="n">
        <v>0</v>
      </c>
      <c r="BM27" s="30" t="n">
        <v>0</v>
      </c>
      <c r="BN27" s="30" t="n">
        <v>0</v>
      </c>
      <c r="BO27" s="30" t="n">
        <v>0</v>
      </c>
      <c r="BP27" s="30" t="n">
        <v>0</v>
      </c>
      <c r="BQ27" s="30" t="n">
        <v>0</v>
      </c>
      <c r="BR27" s="30" t="n">
        <v>0</v>
      </c>
      <c r="BS27" s="30" t="n">
        <v>0</v>
      </c>
      <c r="BT27" s="30" t="n">
        <v>0</v>
      </c>
      <c r="BU27" s="30" t="n">
        <v>0</v>
      </c>
      <c r="BV27" s="30" t="n">
        <v>0</v>
      </c>
      <c r="BW27" s="30" t="n">
        <v>0</v>
      </c>
      <c r="BX27" s="30" t="n">
        <v>0</v>
      </c>
      <c r="BY27" s="30" t="n">
        <v>0</v>
      </c>
      <c r="BZ27" s="30" t="n">
        <v>0</v>
      </c>
      <c r="CA27" s="30" t="n">
        <v>0</v>
      </c>
      <c r="CB27" s="30" t="n">
        <v>0</v>
      </c>
      <c r="CC27" s="30" t="n">
        <v>0</v>
      </c>
      <c r="CD27" s="30" t="n">
        <v>0</v>
      </c>
      <c r="CE27" s="30" t="n">
        <v>0</v>
      </c>
      <c r="CF27" s="30" t="n">
        <v>0</v>
      </c>
      <c r="CG27" s="30" t="n">
        <v>0</v>
      </c>
      <c r="CH27" s="30" t="n">
        <v>0</v>
      </c>
      <c r="CI27" s="30" t="n">
        <v>0</v>
      </c>
      <c r="CJ27" s="30" t="n">
        <v>0</v>
      </c>
      <c r="CK27" s="30" t="n">
        <v>0</v>
      </c>
      <c r="CL27" s="30" t="n">
        <v>0</v>
      </c>
      <c r="CM27" s="30" t="n">
        <v>0</v>
      </c>
      <c r="CN27" s="30" t="n">
        <v>0</v>
      </c>
      <c r="CO27" s="30" t="n">
        <v>0</v>
      </c>
      <c r="CP27" s="30" t="n">
        <v>0</v>
      </c>
      <c r="CQ27" s="30" t="n">
        <v>0</v>
      </c>
      <c r="CR27" s="30" t="n">
        <v>0</v>
      </c>
      <c r="CS27" s="30" t="n">
        <v>0</v>
      </c>
      <c r="CT27" s="30" t="n">
        <v>0</v>
      </c>
      <c r="CU27" s="30" t="n">
        <v>0</v>
      </c>
      <c r="CV27" s="30" t="n">
        <v>0</v>
      </c>
      <c r="CW27" s="30" t="n">
        <v>0</v>
      </c>
      <c r="CX27" s="30" t="n">
        <v>0</v>
      </c>
      <c r="CY27" s="30" t="n">
        <v>0</v>
      </c>
      <c r="CZ27" s="30" t="n">
        <v>0</v>
      </c>
      <c r="DA27" s="30" t="n">
        <v>0</v>
      </c>
    </row>
    <row r="28">
      <c r="A28" t="inlineStr">
        <is>
          <t>TSP-544</t>
        </is>
      </c>
      <c r="B28" s="30" t="n">
        <v>0</v>
      </c>
      <c r="C28" s="30" t="n">
        <v>0</v>
      </c>
      <c r="D28" s="30" t="n">
        <v>0</v>
      </c>
      <c r="E28" s="30" t="n">
        <v>0</v>
      </c>
      <c r="F28" s="30" t="n">
        <v>0</v>
      </c>
      <c r="G28" s="30" t="n">
        <v>0</v>
      </c>
      <c r="H28" s="30" t="n">
        <v>0</v>
      </c>
      <c r="I28" s="30" t="n">
        <v>0</v>
      </c>
      <c r="J28" s="30" t="n">
        <v>0</v>
      </c>
      <c r="K28" s="30" t="n">
        <v>0</v>
      </c>
      <c r="L28" s="30" t="n">
        <v>0</v>
      </c>
      <c r="M28" s="30" t="n">
        <v>0</v>
      </c>
      <c r="N28" s="30" t="n">
        <v>0</v>
      </c>
      <c r="O28" s="30" t="n">
        <v>0</v>
      </c>
      <c r="P28" s="30" t="n">
        <v>0</v>
      </c>
      <c r="Q28" s="30" t="n">
        <v>0</v>
      </c>
      <c r="R28" s="30" t="n">
        <v>0</v>
      </c>
      <c r="S28" s="30" t="n">
        <v>0</v>
      </c>
      <c r="T28" s="30" t="n">
        <v>0</v>
      </c>
      <c r="U28" s="30" t="n">
        <v>0</v>
      </c>
      <c r="V28" s="30" t="n">
        <v>0</v>
      </c>
      <c r="W28" s="30" t="n">
        <v>0</v>
      </c>
      <c r="X28" s="30" t="n">
        <v>0</v>
      </c>
      <c r="Y28" s="30" t="n">
        <v>0</v>
      </c>
      <c r="Z28" s="30" t="n">
        <v>0</v>
      </c>
      <c r="AA28" s="30" t="n">
        <v>0</v>
      </c>
      <c r="AB28" s="30" t="n">
        <v>0</v>
      </c>
      <c r="AC28" s="30" t="n">
        <v>0</v>
      </c>
      <c r="AD28" s="30" t="n">
        <v>0</v>
      </c>
      <c r="AE28" s="30" t="n">
        <v>0</v>
      </c>
      <c r="AF28" s="30" t="n">
        <v>0</v>
      </c>
      <c r="AG28" s="30" t="n">
        <v>0</v>
      </c>
      <c r="AH28" s="30" t="n">
        <v>0</v>
      </c>
      <c r="AI28" s="30" t="n">
        <v>0</v>
      </c>
      <c r="AJ28" s="30" t="n">
        <v>0</v>
      </c>
      <c r="AK28" s="30" t="n">
        <v>0</v>
      </c>
      <c r="AL28" s="30" t="n">
        <v>0</v>
      </c>
      <c r="AM28" s="30" t="n">
        <v>0</v>
      </c>
      <c r="AN28" s="30" t="n">
        <v>0</v>
      </c>
      <c r="AO28" s="30" t="n">
        <v>0</v>
      </c>
      <c r="AP28" s="30" t="n">
        <v>0</v>
      </c>
      <c r="AQ28" s="30" t="n">
        <v>0</v>
      </c>
      <c r="AR28" s="30" t="n">
        <v>0</v>
      </c>
      <c r="AS28" s="30" t="n">
        <v>0</v>
      </c>
      <c r="AT28" s="30" t="n">
        <v>0</v>
      </c>
      <c r="AU28" s="30" t="n">
        <v>0</v>
      </c>
      <c r="AV28" s="30" t="n">
        <v>0</v>
      </c>
      <c r="AW28" s="30" t="n">
        <v>0</v>
      </c>
      <c r="AX28" s="30" t="n">
        <v>0</v>
      </c>
      <c r="AY28" s="30" t="n">
        <v>0</v>
      </c>
      <c r="AZ28" s="30" t="n">
        <v>0</v>
      </c>
      <c r="BA28" s="30" t="n">
        <v>0</v>
      </c>
      <c r="BB28" s="30" t="n">
        <v>0</v>
      </c>
      <c r="BC28" s="30" t="n">
        <v>0</v>
      </c>
      <c r="BD28" s="30" t="n">
        <v>0</v>
      </c>
      <c r="BE28" s="30" t="n">
        <v>0</v>
      </c>
      <c r="BF28" s="30" t="n">
        <v>0</v>
      </c>
      <c r="BG28" s="30" t="n">
        <v>0</v>
      </c>
      <c r="BH28" s="30" t="n">
        <v>0</v>
      </c>
      <c r="BI28" s="30" t="n">
        <v>0</v>
      </c>
      <c r="BJ28" s="30" t="n">
        <v>0</v>
      </c>
      <c r="BK28" s="30" t="n">
        <v>0</v>
      </c>
      <c r="BL28" s="30" t="n">
        <v>0</v>
      </c>
      <c r="BM28" s="30" t="n">
        <v>0</v>
      </c>
      <c r="BN28" s="30" t="n">
        <v>0</v>
      </c>
      <c r="BO28" s="30" t="n">
        <v>0</v>
      </c>
      <c r="BP28" s="30" t="n">
        <v>0</v>
      </c>
      <c r="BQ28" s="30" t="n">
        <v>0</v>
      </c>
      <c r="BR28" s="30" t="n">
        <v>0</v>
      </c>
      <c r="BS28" s="30" t="n">
        <v>0</v>
      </c>
      <c r="BT28" s="30" t="n">
        <v>0</v>
      </c>
      <c r="BU28" s="30" t="n">
        <v>0</v>
      </c>
      <c r="BV28" s="30" t="n">
        <v>0</v>
      </c>
      <c r="BW28" s="30" t="n">
        <v>0</v>
      </c>
      <c r="BX28" s="30" t="n">
        <v>0</v>
      </c>
      <c r="BY28" s="30" t="n">
        <v>0</v>
      </c>
      <c r="BZ28" s="30" t="n">
        <v>0</v>
      </c>
      <c r="CA28" s="30" t="n">
        <v>0</v>
      </c>
      <c r="CB28" s="30" t="n">
        <v>0</v>
      </c>
      <c r="CC28" s="30" t="n">
        <v>0</v>
      </c>
      <c r="CD28" s="30" t="n">
        <v>0</v>
      </c>
      <c r="CE28" s="30" t="n">
        <v>0</v>
      </c>
      <c r="CF28" s="30" t="n">
        <v>0</v>
      </c>
      <c r="CG28" s="30" t="n">
        <v>0</v>
      </c>
      <c r="CH28" s="30" t="n">
        <v>0</v>
      </c>
      <c r="CI28" s="30" t="n">
        <v>0</v>
      </c>
      <c r="CJ28" s="30" t="n">
        <v>0</v>
      </c>
      <c r="CK28" s="30" t="n">
        <v>0</v>
      </c>
      <c r="CL28" s="30" t="n">
        <v>0</v>
      </c>
      <c r="CM28" s="30" t="n">
        <v>0</v>
      </c>
      <c r="CN28" s="30" t="n">
        <v>0</v>
      </c>
      <c r="CO28" s="30" t="n">
        <v>0</v>
      </c>
      <c r="CP28" s="30" t="n">
        <v>0</v>
      </c>
      <c r="CQ28" s="30" t="n">
        <v>0</v>
      </c>
      <c r="CR28" s="30" t="n">
        <v>0</v>
      </c>
      <c r="CS28" s="30" t="n">
        <v>0</v>
      </c>
      <c r="CT28" s="30" t="n">
        <v>0</v>
      </c>
      <c r="CU28" s="30" t="n">
        <v>0</v>
      </c>
      <c r="CV28" s="30" t="n">
        <v>0</v>
      </c>
      <c r="CW28" s="30" t="n">
        <v>0</v>
      </c>
      <c r="CX28" s="30" t="n">
        <v>0</v>
      </c>
      <c r="CY28" s="30" t="n">
        <v>0</v>
      </c>
      <c r="CZ28" s="30" t="n">
        <v>0</v>
      </c>
      <c r="DA28" s="30" t="n">
        <v>0</v>
      </c>
    </row>
    <row r="29">
      <c r="A29" t="inlineStr">
        <is>
          <t>TSP-558</t>
        </is>
      </c>
      <c r="B29" s="30" t="n">
        <v>0</v>
      </c>
      <c r="C29" s="30" t="n">
        <v>0</v>
      </c>
      <c r="D29" s="30" t="n">
        <v>0</v>
      </c>
      <c r="E29" s="30" t="n">
        <v>0</v>
      </c>
      <c r="F29" s="30" t="n">
        <v>0</v>
      </c>
      <c r="G29" s="30" t="n">
        <v>0</v>
      </c>
      <c r="H29" s="30" t="n">
        <v>0</v>
      </c>
      <c r="I29" s="30" t="n">
        <v>0</v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 t="n">
        <v>0</v>
      </c>
      <c r="X29" s="30" t="n">
        <v>0</v>
      </c>
      <c r="Y29" s="30" t="n">
        <v>0</v>
      </c>
      <c r="Z29" s="30" t="n">
        <v>0</v>
      </c>
      <c r="AA29" s="30" t="n">
        <v>0</v>
      </c>
      <c r="AB29" s="30" t="n">
        <v>0</v>
      </c>
      <c r="AC29" s="30" t="n">
        <v>0</v>
      </c>
      <c r="AD29" s="30" t="n">
        <v>0</v>
      </c>
      <c r="AE29" s="30" t="n">
        <v>0</v>
      </c>
      <c r="AF29" s="30" t="n">
        <v>0</v>
      </c>
      <c r="AG29" s="30" t="n">
        <v>0</v>
      </c>
      <c r="AH29" s="30" t="n">
        <v>0</v>
      </c>
      <c r="AI29" s="30" t="n">
        <v>0</v>
      </c>
      <c r="AJ29" s="30" t="n">
        <v>0</v>
      </c>
      <c r="AK29" s="30" t="n">
        <v>0</v>
      </c>
      <c r="AL29" s="30" t="n">
        <v>0</v>
      </c>
      <c r="AM29" s="30" t="n">
        <v>0</v>
      </c>
      <c r="AN29" s="30" t="n">
        <v>0</v>
      </c>
      <c r="AO29" s="30" t="n">
        <v>0</v>
      </c>
      <c r="AP29" s="30" t="n">
        <v>0</v>
      </c>
      <c r="AQ29" s="30" t="n">
        <v>0</v>
      </c>
      <c r="AR29" s="30" t="n">
        <v>0</v>
      </c>
      <c r="AS29" s="30" t="n">
        <v>0</v>
      </c>
      <c r="AT29" s="30" t="n">
        <v>0</v>
      </c>
      <c r="AU29" s="30" t="n">
        <v>0</v>
      </c>
      <c r="AV29" s="30" t="n">
        <v>0</v>
      </c>
      <c r="AW29" s="30" t="n">
        <v>0</v>
      </c>
      <c r="AX29" s="30" t="n">
        <v>0</v>
      </c>
      <c r="AY29" s="30" t="n">
        <v>0</v>
      </c>
      <c r="AZ29" s="30" t="n">
        <v>0</v>
      </c>
      <c r="BA29" s="30" t="n">
        <v>0</v>
      </c>
      <c r="BB29" s="30" t="n">
        <v>0</v>
      </c>
      <c r="BC29" s="30" t="n">
        <v>0</v>
      </c>
      <c r="BD29" s="30" t="n">
        <v>0</v>
      </c>
      <c r="BE29" s="30" t="n">
        <v>0</v>
      </c>
      <c r="BF29" s="30" t="n">
        <v>0</v>
      </c>
      <c r="BG29" s="30" t="n">
        <v>0</v>
      </c>
      <c r="BH29" s="30" t="n">
        <v>0</v>
      </c>
      <c r="BI29" s="30" t="n">
        <v>0</v>
      </c>
      <c r="BJ29" s="30" t="n">
        <v>0</v>
      </c>
      <c r="BK29" s="30" t="n">
        <v>0</v>
      </c>
      <c r="BL29" s="30" t="n">
        <v>0</v>
      </c>
      <c r="BM29" s="30" t="n">
        <v>0</v>
      </c>
      <c r="BN29" s="30" t="n">
        <v>0</v>
      </c>
      <c r="BO29" s="30" t="n">
        <v>0</v>
      </c>
      <c r="BP29" s="30" t="n">
        <v>0</v>
      </c>
      <c r="BQ29" s="30" t="n">
        <v>0</v>
      </c>
      <c r="BR29" s="30" t="n">
        <v>0</v>
      </c>
      <c r="BS29" s="30" t="n">
        <v>0</v>
      </c>
      <c r="BT29" s="30" t="n">
        <v>0</v>
      </c>
      <c r="BU29" s="30" t="n">
        <v>0</v>
      </c>
      <c r="BV29" s="30" t="n">
        <v>0</v>
      </c>
      <c r="BW29" s="30" t="n">
        <v>0</v>
      </c>
      <c r="BX29" s="30" t="n">
        <v>0</v>
      </c>
      <c r="BY29" s="30" t="n">
        <v>0</v>
      </c>
      <c r="BZ29" s="30" t="n">
        <v>0</v>
      </c>
      <c r="CA29" s="30" t="n">
        <v>0</v>
      </c>
      <c r="CB29" s="30" t="n">
        <v>0</v>
      </c>
      <c r="CC29" s="30" t="n">
        <v>0</v>
      </c>
      <c r="CD29" s="30" t="n">
        <v>0</v>
      </c>
      <c r="CE29" s="30" t="n">
        <v>0</v>
      </c>
      <c r="CF29" s="30" t="n">
        <v>0</v>
      </c>
      <c r="CG29" s="30" t="n">
        <v>0</v>
      </c>
      <c r="CH29" s="30" t="n">
        <v>0</v>
      </c>
      <c r="CI29" s="30" t="n">
        <v>0</v>
      </c>
      <c r="CJ29" s="30" t="n">
        <v>0</v>
      </c>
      <c r="CK29" s="30" t="n">
        <v>0</v>
      </c>
      <c r="CL29" s="30" t="n">
        <v>0</v>
      </c>
      <c r="CM29" s="30" t="n">
        <v>0</v>
      </c>
      <c r="CN29" s="30" t="n">
        <v>0</v>
      </c>
      <c r="CO29" s="30" t="n">
        <v>0</v>
      </c>
      <c r="CP29" s="30" t="n">
        <v>0</v>
      </c>
      <c r="CQ29" s="30" t="n">
        <v>0</v>
      </c>
      <c r="CR29" s="30" t="n">
        <v>0</v>
      </c>
      <c r="CS29" s="30" t="n">
        <v>0</v>
      </c>
      <c r="CT29" s="30" t="n">
        <v>0</v>
      </c>
      <c r="CU29" s="30" t="n">
        <v>0</v>
      </c>
      <c r="CV29" s="30" t="n">
        <v>0</v>
      </c>
      <c r="CW29" s="30" t="n">
        <v>0</v>
      </c>
      <c r="CX29" s="30" t="n">
        <v>0</v>
      </c>
      <c r="CY29" s="30" t="n">
        <v>0</v>
      </c>
      <c r="CZ29" s="30" t="n">
        <v>0</v>
      </c>
      <c r="DA29" s="30" t="n">
        <v>0</v>
      </c>
    </row>
    <row r="30">
      <c r="A30" t="inlineStr">
        <is>
          <t>TSP-618</t>
        </is>
      </c>
      <c r="B30" s="30" t="n">
        <v>0</v>
      </c>
      <c r="C30" s="30" t="n">
        <v>0</v>
      </c>
      <c r="D30" s="30" t="n">
        <v>0</v>
      </c>
      <c r="E30" s="30" t="n">
        <v>0</v>
      </c>
      <c r="F30" s="30" t="n">
        <v>0</v>
      </c>
      <c r="G30" s="30" t="n">
        <v>0</v>
      </c>
      <c r="H30" s="30" t="n">
        <v>0</v>
      </c>
      <c r="I30" s="30" t="n">
        <v>0</v>
      </c>
      <c r="J30" s="30" t="n">
        <v>0</v>
      </c>
      <c r="K30" s="30" t="n">
        <v>0</v>
      </c>
      <c r="L30" s="30" t="n">
        <v>0</v>
      </c>
      <c r="M30" s="30" t="n">
        <v>0</v>
      </c>
      <c r="N30" s="30" t="n">
        <v>0</v>
      </c>
      <c r="O30" s="30" t="n">
        <v>0</v>
      </c>
      <c r="P30" s="30" t="n">
        <v>0</v>
      </c>
      <c r="Q30" s="30" t="n">
        <v>0</v>
      </c>
      <c r="R30" s="30" t="n">
        <v>0</v>
      </c>
      <c r="S30" s="30" t="n">
        <v>0</v>
      </c>
      <c r="T30" s="30" t="n">
        <v>0</v>
      </c>
      <c r="U30" s="30" t="n">
        <v>0</v>
      </c>
      <c r="V30" s="30" t="n">
        <v>0</v>
      </c>
      <c r="W30" s="30" t="n">
        <v>0</v>
      </c>
      <c r="X30" s="30" t="n">
        <v>0</v>
      </c>
      <c r="Y30" s="30" t="n">
        <v>0</v>
      </c>
      <c r="Z30" s="30" t="n">
        <v>0</v>
      </c>
      <c r="AA30" s="30" t="n">
        <v>0</v>
      </c>
      <c r="AB30" s="30" t="n">
        <v>0</v>
      </c>
      <c r="AC30" s="30" t="n">
        <v>0</v>
      </c>
      <c r="AD30" s="30" t="n">
        <v>0</v>
      </c>
      <c r="AE30" s="30" t="n">
        <v>0</v>
      </c>
      <c r="AF30" s="30" t="n">
        <v>0</v>
      </c>
      <c r="AG30" s="30" t="n">
        <v>0</v>
      </c>
      <c r="AH30" s="30" t="n">
        <v>0</v>
      </c>
      <c r="AI30" s="30" t="n">
        <v>0</v>
      </c>
      <c r="AJ30" s="30" t="n">
        <v>0</v>
      </c>
      <c r="AK30" s="30" t="n">
        <v>0</v>
      </c>
      <c r="AL30" s="30" t="n">
        <v>0</v>
      </c>
      <c r="AM30" s="30" t="n">
        <v>0</v>
      </c>
      <c r="AN30" s="30" t="n">
        <v>0</v>
      </c>
      <c r="AO30" s="30" t="n">
        <v>0</v>
      </c>
      <c r="AP30" s="30" t="n">
        <v>0</v>
      </c>
      <c r="AQ30" s="30" t="n">
        <v>0</v>
      </c>
      <c r="AR30" s="30" t="n">
        <v>0</v>
      </c>
      <c r="AS30" s="30" t="n">
        <v>0</v>
      </c>
      <c r="AT30" s="30" t="n">
        <v>0</v>
      </c>
      <c r="AU30" s="30" t="n">
        <v>0</v>
      </c>
      <c r="AV30" s="30" t="n">
        <v>0</v>
      </c>
      <c r="AW30" s="30" t="n">
        <v>0</v>
      </c>
      <c r="AX30" s="30" t="n">
        <v>0</v>
      </c>
      <c r="AY30" s="30" t="n">
        <v>0</v>
      </c>
      <c r="AZ30" s="30" t="n">
        <v>0</v>
      </c>
      <c r="BA30" s="30" t="n">
        <v>0</v>
      </c>
      <c r="BB30" s="30" t="n">
        <v>0</v>
      </c>
      <c r="BC30" s="30" t="n">
        <v>0</v>
      </c>
      <c r="BD30" s="30" t="n">
        <v>0</v>
      </c>
      <c r="BE30" s="30" t="n">
        <v>0</v>
      </c>
      <c r="BF30" s="30" t="n">
        <v>0</v>
      </c>
      <c r="BG30" s="30" t="n">
        <v>0</v>
      </c>
      <c r="BH30" s="30" t="n">
        <v>0</v>
      </c>
      <c r="BI30" s="30" t="n">
        <v>0</v>
      </c>
      <c r="BJ30" s="30" t="n">
        <v>0</v>
      </c>
      <c r="BK30" s="30" t="n">
        <v>0</v>
      </c>
      <c r="BL30" s="30" t="n">
        <v>0</v>
      </c>
      <c r="BM30" s="30" t="n">
        <v>0</v>
      </c>
      <c r="BN30" s="30" t="n">
        <v>0</v>
      </c>
      <c r="BO30" s="30" t="n">
        <v>0</v>
      </c>
      <c r="BP30" s="30" t="n">
        <v>0</v>
      </c>
      <c r="BQ30" s="30" t="n">
        <v>0</v>
      </c>
      <c r="BR30" s="30" t="n">
        <v>0</v>
      </c>
      <c r="BS30" s="30" t="n">
        <v>0</v>
      </c>
      <c r="BT30" s="30" t="n">
        <v>0</v>
      </c>
      <c r="BU30" s="30" t="n">
        <v>0</v>
      </c>
      <c r="BV30" s="30" t="n">
        <v>0</v>
      </c>
      <c r="BW30" s="30" t="n">
        <v>0</v>
      </c>
      <c r="BX30" s="30" t="n">
        <v>0</v>
      </c>
      <c r="BY30" s="30" t="n">
        <v>0</v>
      </c>
      <c r="BZ30" s="30" t="n">
        <v>0</v>
      </c>
      <c r="CA30" s="30" t="n">
        <v>0</v>
      </c>
      <c r="CB30" s="30" t="n">
        <v>0</v>
      </c>
      <c r="CC30" s="30" t="n">
        <v>0</v>
      </c>
      <c r="CD30" s="30" t="n">
        <v>0</v>
      </c>
      <c r="CE30" s="30" t="n">
        <v>0</v>
      </c>
      <c r="CF30" s="30" t="n">
        <v>0</v>
      </c>
      <c r="CG30" s="30" t="n">
        <v>0</v>
      </c>
      <c r="CH30" s="30" t="n">
        <v>0</v>
      </c>
      <c r="CI30" s="30" t="n">
        <v>0</v>
      </c>
      <c r="CJ30" s="30" t="n">
        <v>0</v>
      </c>
      <c r="CK30" s="30" t="n">
        <v>0</v>
      </c>
      <c r="CL30" s="30" t="n">
        <v>0</v>
      </c>
      <c r="CM30" s="30" t="n">
        <v>0</v>
      </c>
      <c r="CN30" s="30" t="n">
        <v>0</v>
      </c>
      <c r="CO30" s="30" t="n">
        <v>0</v>
      </c>
      <c r="CP30" s="30" t="n">
        <v>0</v>
      </c>
      <c r="CQ30" s="30" t="n">
        <v>0</v>
      </c>
      <c r="CR30" s="30" t="n">
        <v>0</v>
      </c>
      <c r="CS30" s="30" t="n">
        <v>0</v>
      </c>
      <c r="CT30" s="30" t="n">
        <v>0</v>
      </c>
      <c r="CU30" s="30" t="n">
        <v>0</v>
      </c>
      <c r="CV30" s="30" t="n">
        <v>0</v>
      </c>
      <c r="CW30" s="30" t="n">
        <v>0</v>
      </c>
      <c r="CX30" s="30" t="n">
        <v>0</v>
      </c>
      <c r="CY30" s="30" t="n">
        <v>0</v>
      </c>
      <c r="CZ30" s="30" t="n">
        <v>0</v>
      </c>
      <c r="DA30" s="30" t="n">
        <v>0</v>
      </c>
    </row>
    <row r="31">
      <c r="A31" t="inlineStr">
        <is>
          <t>TSP-620</t>
        </is>
      </c>
      <c r="B31" s="30" t="n">
        <v>0</v>
      </c>
      <c r="C31" s="30" t="n">
        <v>0</v>
      </c>
      <c r="D31" s="30" t="n">
        <v>0</v>
      </c>
      <c r="E31" s="30" t="n">
        <v>0</v>
      </c>
      <c r="F31" s="30" t="n">
        <v>0</v>
      </c>
      <c r="G31" s="30" t="n">
        <v>0</v>
      </c>
      <c r="H31" s="30" t="n">
        <v>0</v>
      </c>
      <c r="I31" s="30" t="n">
        <v>0</v>
      </c>
      <c r="J31" s="30" t="n">
        <v>0</v>
      </c>
      <c r="K31" s="30" t="n">
        <v>0</v>
      </c>
      <c r="L31" s="30" t="n">
        <v>0</v>
      </c>
      <c r="M31" s="30" t="n">
        <v>0</v>
      </c>
      <c r="N31" s="30" t="n">
        <v>0</v>
      </c>
      <c r="O31" s="30" t="n">
        <v>0</v>
      </c>
      <c r="P31" s="30" t="n">
        <v>0</v>
      </c>
      <c r="Q31" s="30" t="n">
        <v>0</v>
      </c>
      <c r="R31" s="30" t="n">
        <v>0</v>
      </c>
      <c r="S31" s="30" t="n">
        <v>0</v>
      </c>
      <c r="T31" s="30" t="n">
        <v>0</v>
      </c>
      <c r="U31" s="30" t="n">
        <v>0</v>
      </c>
      <c r="V31" s="30" t="n">
        <v>0</v>
      </c>
      <c r="W31" s="30" t="n">
        <v>0</v>
      </c>
      <c r="X31" s="30" t="n">
        <v>0</v>
      </c>
      <c r="Y31" s="30" t="n">
        <v>0</v>
      </c>
      <c r="Z31" s="30" t="n">
        <v>0</v>
      </c>
      <c r="AA31" s="30" t="n">
        <v>0</v>
      </c>
      <c r="AB31" s="30" t="n">
        <v>0</v>
      </c>
      <c r="AC31" s="30" t="n">
        <v>0</v>
      </c>
      <c r="AD31" s="30" t="n">
        <v>0</v>
      </c>
      <c r="AE31" s="30" t="n">
        <v>0</v>
      </c>
      <c r="AF31" s="30" t="n">
        <v>0</v>
      </c>
      <c r="AG31" s="30" t="n">
        <v>0</v>
      </c>
      <c r="AH31" s="30" t="n">
        <v>0</v>
      </c>
      <c r="AI31" s="30" t="n">
        <v>0</v>
      </c>
      <c r="AJ31" s="30" t="n">
        <v>0</v>
      </c>
      <c r="AK31" s="30" t="n">
        <v>0</v>
      </c>
      <c r="AL31" s="30" t="n">
        <v>0</v>
      </c>
      <c r="AM31" s="30" t="n">
        <v>0</v>
      </c>
      <c r="AN31" s="30" t="n">
        <v>0</v>
      </c>
      <c r="AO31" s="30" t="n">
        <v>0</v>
      </c>
      <c r="AP31" s="30" t="n">
        <v>0</v>
      </c>
      <c r="AQ31" s="30" t="n">
        <v>0</v>
      </c>
      <c r="AR31" s="30" t="n">
        <v>0</v>
      </c>
      <c r="AS31" s="30" t="n">
        <v>0</v>
      </c>
      <c r="AT31" s="30" t="n">
        <v>0</v>
      </c>
      <c r="AU31" s="30" t="n">
        <v>0</v>
      </c>
      <c r="AV31" s="30" t="n">
        <v>0</v>
      </c>
      <c r="AW31" s="30" t="n">
        <v>0</v>
      </c>
      <c r="AX31" s="30" t="n">
        <v>0</v>
      </c>
      <c r="AY31" s="30" t="n">
        <v>0</v>
      </c>
      <c r="AZ31" s="30" t="n">
        <v>0</v>
      </c>
      <c r="BA31" s="30" t="n">
        <v>0</v>
      </c>
      <c r="BB31" s="30" t="n">
        <v>0</v>
      </c>
      <c r="BC31" s="30" t="n">
        <v>0</v>
      </c>
      <c r="BD31" s="30" t="n">
        <v>0</v>
      </c>
      <c r="BE31" s="30" t="n">
        <v>0</v>
      </c>
      <c r="BF31" s="30" t="n">
        <v>0</v>
      </c>
      <c r="BG31" s="30" t="n">
        <v>0</v>
      </c>
      <c r="BH31" s="30" t="n">
        <v>0</v>
      </c>
      <c r="BI31" s="30" t="n">
        <v>0</v>
      </c>
      <c r="BJ31" s="30" t="n">
        <v>0</v>
      </c>
      <c r="BK31" s="30" t="n">
        <v>0</v>
      </c>
      <c r="BL31" s="30" t="n">
        <v>0</v>
      </c>
      <c r="BM31" s="30" t="n">
        <v>0</v>
      </c>
      <c r="BN31" s="30" t="n">
        <v>0</v>
      </c>
      <c r="BO31" s="30" t="n">
        <v>0</v>
      </c>
      <c r="BP31" s="30" t="n">
        <v>0</v>
      </c>
      <c r="BQ31" s="30" t="n">
        <v>0</v>
      </c>
      <c r="BR31" s="30" t="n">
        <v>0</v>
      </c>
      <c r="BS31" s="30" t="n">
        <v>0</v>
      </c>
      <c r="BT31" s="30" t="n">
        <v>0</v>
      </c>
      <c r="BU31" s="30" t="n">
        <v>0</v>
      </c>
      <c r="BV31" s="30" t="n">
        <v>0</v>
      </c>
      <c r="BW31" s="30" t="n">
        <v>0</v>
      </c>
      <c r="BX31" s="30" t="n">
        <v>0</v>
      </c>
      <c r="BY31" s="30" t="n">
        <v>0</v>
      </c>
      <c r="BZ31" s="30" t="n">
        <v>0</v>
      </c>
      <c r="CA31" s="30" t="n">
        <v>0</v>
      </c>
      <c r="CB31" s="30" t="n">
        <v>0</v>
      </c>
      <c r="CC31" s="30" t="n">
        <v>0</v>
      </c>
      <c r="CD31" s="30" t="n">
        <v>0</v>
      </c>
      <c r="CE31" s="30" t="n">
        <v>0</v>
      </c>
      <c r="CF31" s="30" t="n">
        <v>0</v>
      </c>
      <c r="CG31" s="30" t="n">
        <v>0</v>
      </c>
      <c r="CH31" s="30" t="n">
        <v>0</v>
      </c>
      <c r="CI31" s="30" t="n">
        <v>0</v>
      </c>
      <c r="CJ31" s="30" t="n">
        <v>0</v>
      </c>
      <c r="CK31" s="30" t="n">
        <v>0</v>
      </c>
      <c r="CL31" s="30" t="n">
        <v>0</v>
      </c>
      <c r="CM31" s="30" t="n">
        <v>0</v>
      </c>
      <c r="CN31" s="30" t="n">
        <v>0</v>
      </c>
      <c r="CO31" s="30" t="n">
        <v>0</v>
      </c>
      <c r="CP31" s="30" t="n">
        <v>0</v>
      </c>
      <c r="CQ31" s="30" t="n">
        <v>0</v>
      </c>
      <c r="CR31" s="30" t="n">
        <v>0</v>
      </c>
      <c r="CS31" s="30" t="n">
        <v>0</v>
      </c>
      <c r="CT31" s="30" t="n">
        <v>0</v>
      </c>
      <c r="CU31" s="30" t="n">
        <v>0</v>
      </c>
      <c r="CV31" s="30" t="n">
        <v>0</v>
      </c>
      <c r="CW31" s="30" t="n">
        <v>0</v>
      </c>
      <c r="CX31" s="30" t="n">
        <v>0</v>
      </c>
      <c r="CY31" s="30" t="n">
        <v>0</v>
      </c>
      <c r="CZ31" s="30" t="n">
        <v>0</v>
      </c>
      <c r="DA31" s="30" t="n">
        <v>0</v>
      </c>
    </row>
    <row r="32">
      <c r="A32" t="inlineStr">
        <is>
          <t>TSP-623</t>
        </is>
      </c>
      <c r="B32" s="30" t="n">
        <v>0</v>
      </c>
      <c r="C32" s="30" t="n">
        <v>0</v>
      </c>
      <c r="D32" s="30" t="n">
        <v>0</v>
      </c>
      <c r="E32" s="30" t="n">
        <v>0</v>
      </c>
      <c r="F32" s="30" t="n">
        <v>0</v>
      </c>
      <c r="G32" s="30" t="n">
        <v>0</v>
      </c>
      <c r="H32" s="30" t="n">
        <v>0</v>
      </c>
      <c r="I32" s="30" t="n">
        <v>0</v>
      </c>
      <c r="J32" s="30" t="n">
        <v>0</v>
      </c>
      <c r="K32" s="30" t="n">
        <v>0</v>
      </c>
      <c r="L32" s="30" t="n">
        <v>0</v>
      </c>
      <c r="M32" s="30" t="n">
        <v>0</v>
      </c>
      <c r="N32" s="30" t="n">
        <v>0</v>
      </c>
      <c r="O32" s="30" t="n">
        <v>0</v>
      </c>
      <c r="P32" s="30" t="n">
        <v>0</v>
      </c>
      <c r="Q32" s="30" t="n">
        <v>0</v>
      </c>
      <c r="R32" s="30" t="n">
        <v>0</v>
      </c>
      <c r="S32" s="30" t="n">
        <v>0</v>
      </c>
      <c r="T32" s="30" t="n">
        <v>0</v>
      </c>
      <c r="U32" s="30" t="n">
        <v>0</v>
      </c>
      <c r="V32" s="30" t="n">
        <v>0</v>
      </c>
      <c r="W32" s="30" t="n">
        <v>0</v>
      </c>
      <c r="X32" s="30" t="n">
        <v>0</v>
      </c>
      <c r="Y32" s="30" t="n">
        <v>0</v>
      </c>
      <c r="Z32" s="30" t="n">
        <v>0</v>
      </c>
      <c r="AA32" s="30" t="n">
        <v>0</v>
      </c>
      <c r="AB32" s="30" t="n">
        <v>0</v>
      </c>
      <c r="AC32" s="30" t="n">
        <v>0</v>
      </c>
      <c r="AD32" s="30" t="n">
        <v>0</v>
      </c>
      <c r="AE32" s="30" t="n">
        <v>0</v>
      </c>
      <c r="AF32" s="30" t="n">
        <v>0</v>
      </c>
      <c r="AG32" s="30" t="n">
        <v>0</v>
      </c>
      <c r="AH32" s="30" t="n">
        <v>0</v>
      </c>
      <c r="AI32" s="30" t="n">
        <v>0</v>
      </c>
      <c r="AJ32" s="30" t="n">
        <v>0</v>
      </c>
      <c r="AK32" s="30" t="n">
        <v>0</v>
      </c>
      <c r="AL32" s="30" t="n">
        <v>0</v>
      </c>
      <c r="AM32" s="30" t="n">
        <v>0</v>
      </c>
      <c r="AN32" s="30" t="n">
        <v>0</v>
      </c>
      <c r="AO32" s="30" t="n">
        <v>0</v>
      </c>
      <c r="AP32" s="30" t="n">
        <v>0</v>
      </c>
      <c r="AQ32" s="30" t="n">
        <v>0</v>
      </c>
      <c r="AR32" s="30" t="n">
        <v>0</v>
      </c>
      <c r="AS32" s="30" t="n">
        <v>0</v>
      </c>
      <c r="AT32" s="30" t="n">
        <v>0</v>
      </c>
      <c r="AU32" s="30" t="n">
        <v>0</v>
      </c>
      <c r="AV32" s="30" t="n">
        <v>0</v>
      </c>
      <c r="AW32" s="30" t="n">
        <v>0</v>
      </c>
      <c r="AX32" s="30" t="n">
        <v>0</v>
      </c>
      <c r="AY32" s="30" t="n">
        <v>0</v>
      </c>
      <c r="AZ32" s="30" t="n">
        <v>0</v>
      </c>
      <c r="BA32" s="30" t="n">
        <v>0</v>
      </c>
      <c r="BB32" s="30" t="n">
        <v>0</v>
      </c>
      <c r="BC32" s="30" t="n">
        <v>0</v>
      </c>
      <c r="BD32" s="30" t="n">
        <v>0</v>
      </c>
      <c r="BE32" s="30" t="n">
        <v>0</v>
      </c>
      <c r="BF32" s="30" t="n">
        <v>0</v>
      </c>
      <c r="BG32" s="30" t="n">
        <v>0</v>
      </c>
      <c r="BH32" s="30" t="n">
        <v>0</v>
      </c>
      <c r="BI32" s="30" t="n">
        <v>0</v>
      </c>
      <c r="BJ32" s="30" t="n">
        <v>0</v>
      </c>
      <c r="BK32" s="30" t="n">
        <v>0</v>
      </c>
      <c r="BL32" s="30" t="n">
        <v>0</v>
      </c>
      <c r="BM32" s="30" t="n">
        <v>0</v>
      </c>
      <c r="BN32" s="30" t="n">
        <v>0</v>
      </c>
      <c r="BO32" s="30" t="n">
        <v>0</v>
      </c>
      <c r="BP32" s="30" t="n">
        <v>0</v>
      </c>
      <c r="BQ32" s="30" t="n">
        <v>0</v>
      </c>
      <c r="BR32" s="30" t="n">
        <v>0</v>
      </c>
      <c r="BS32" s="30" t="n">
        <v>0</v>
      </c>
      <c r="BT32" s="30" t="n">
        <v>0</v>
      </c>
      <c r="BU32" s="30" t="n">
        <v>0</v>
      </c>
      <c r="BV32" s="30" t="n">
        <v>0</v>
      </c>
      <c r="BW32" s="30" t="n">
        <v>0</v>
      </c>
      <c r="BX32" s="30" t="n">
        <v>0</v>
      </c>
      <c r="BY32" s="30" t="n">
        <v>0</v>
      </c>
      <c r="BZ32" s="30" t="n">
        <v>0</v>
      </c>
      <c r="CA32" s="30" t="n">
        <v>0</v>
      </c>
      <c r="CB32" s="30" t="n">
        <v>0</v>
      </c>
      <c r="CC32" s="30" t="n">
        <v>0</v>
      </c>
      <c r="CD32" s="30" t="n">
        <v>0</v>
      </c>
      <c r="CE32" s="30" t="n">
        <v>0</v>
      </c>
      <c r="CF32" s="30" t="n">
        <v>0</v>
      </c>
      <c r="CG32" s="30" t="n">
        <v>0</v>
      </c>
      <c r="CH32" s="30" t="n">
        <v>0</v>
      </c>
      <c r="CI32" s="30" t="n">
        <v>0</v>
      </c>
      <c r="CJ32" s="30" t="n">
        <v>0</v>
      </c>
      <c r="CK32" s="30" t="n">
        <v>0</v>
      </c>
      <c r="CL32" s="30" t="n">
        <v>0</v>
      </c>
      <c r="CM32" s="30" t="n">
        <v>0</v>
      </c>
      <c r="CN32" s="30" t="n">
        <v>0</v>
      </c>
      <c r="CO32" s="30" t="n">
        <v>0</v>
      </c>
      <c r="CP32" s="30" t="n">
        <v>0</v>
      </c>
      <c r="CQ32" s="30" t="n">
        <v>0</v>
      </c>
      <c r="CR32" s="30" t="n">
        <v>0</v>
      </c>
      <c r="CS32" s="30" t="n">
        <v>0</v>
      </c>
      <c r="CT32" s="30" t="n">
        <v>0</v>
      </c>
      <c r="CU32" s="30" t="n">
        <v>0</v>
      </c>
      <c r="CV32" s="30" t="n">
        <v>0</v>
      </c>
      <c r="CW32" s="30" t="n">
        <v>0</v>
      </c>
      <c r="CX32" s="30" t="n">
        <v>0</v>
      </c>
      <c r="CY32" s="30" t="n">
        <v>0</v>
      </c>
      <c r="CZ32" s="30" t="n">
        <v>0</v>
      </c>
      <c r="DA32" s="30" t="n">
        <v>0</v>
      </c>
    </row>
    <row r="33">
      <c r="A33" t="inlineStr">
        <is>
          <t>TSP-655</t>
        </is>
      </c>
      <c r="B33" s="30" t="n">
        <v>0</v>
      </c>
      <c r="C33" s="30" t="n">
        <v>0</v>
      </c>
      <c r="D33" s="30" t="n">
        <v>0</v>
      </c>
      <c r="E33" s="30" t="n">
        <v>0</v>
      </c>
      <c r="F33" s="30" t="n">
        <v>0</v>
      </c>
      <c r="G33" s="30" t="n">
        <v>0</v>
      </c>
      <c r="H33" s="30" t="n">
        <v>0</v>
      </c>
      <c r="I33" s="30" t="n">
        <v>0</v>
      </c>
      <c r="J33" s="30" t="n">
        <v>0</v>
      </c>
      <c r="K33" s="30" t="n">
        <v>0</v>
      </c>
      <c r="L33" s="30" t="n">
        <v>0</v>
      </c>
      <c r="M33" s="30" t="n">
        <v>0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0</v>
      </c>
      <c r="V33" s="30" t="n">
        <v>0</v>
      </c>
      <c r="W33" s="30" t="n">
        <v>0</v>
      </c>
      <c r="X33" s="30" t="n">
        <v>0</v>
      </c>
      <c r="Y33" s="30" t="n">
        <v>10.0125317527519</v>
      </c>
      <c r="Z33" s="30" t="n">
        <v>0</v>
      </c>
      <c r="AA33" s="30" t="n">
        <v>5.006265876375952</v>
      </c>
      <c r="AB33" s="30" t="n">
        <v>3.754699407281964</v>
      </c>
      <c r="AC33" s="30" t="n">
        <v>5.006265876375952</v>
      </c>
      <c r="AD33" s="30" t="n">
        <v>3.754699407281964</v>
      </c>
      <c r="AE33" s="30" t="n">
        <v>5.006265876375952</v>
      </c>
      <c r="AF33" s="30" t="n">
        <v>3.754699407281964</v>
      </c>
      <c r="AG33" s="30" t="n">
        <v>3.754699407281964</v>
      </c>
      <c r="AH33" s="30" t="n">
        <v>0</v>
      </c>
      <c r="AI33" s="30" t="n">
        <v>3.754699407281964</v>
      </c>
      <c r="AJ33" s="30" t="n">
        <v>0</v>
      </c>
      <c r="AK33" s="30" t="n">
        <v>5.006265876375952</v>
      </c>
      <c r="AL33" s="30" t="n">
        <v>0</v>
      </c>
      <c r="AM33" s="30" t="n">
        <v>5.006265876375952</v>
      </c>
      <c r="AN33" s="30" t="n">
        <v>0</v>
      </c>
      <c r="AO33" s="30" t="n">
        <v>0</v>
      </c>
      <c r="AP33" s="30" t="n">
        <v>5.006265876375952</v>
      </c>
      <c r="AQ33" s="30" t="n">
        <v>0</v>
      </c>
      <c r="AR33" s="30" t="n">
        <v>5.006265876375952</v>
      </c>
      <c r="AS33" s="30" t="n">
        <v>0</v>
      </c>
      <c r="AT33" s="30" t="n">
        <v>5.006265876375952</v>
      </c>
      <c r="AU33" s="30" t="n">
        <v>5.006265876375952</v>
      </c>
      <c r="AV33" s="30" t="n">
        <v>5.006265876375952</v>
      </c>
      <c r="AW33" s="30" t="n">
        <v>5.006265876375952</v>
      </c>
      <c r="AX33" s="30" t="n">
        <v>5.006265876375952</v>
      </c>
      <c r="AY33" s="30" t="n">
        <v>0</v>
      </c>
      <c r="AZ33" s="30" t="n">
        <v>0</v>
      </c>
      <c r="BA33" s="30" t="n">
        <v>0</v>
      </c>
      <c r="BB33" s="30" t="n">
        <v>0</v>
      </c>
      <c r="BC33" s="30" t="n">
        <v>0</v>
      </c>
      <c r="BD33" s="30" t="n">
        <v>5.006265876375952</v>
      </c>
      <c r="BE33" s="30" t="n">
        <v>0</v>
      </c>
      <c r="BF33" s="30" t="n">
        <v>5.006265876375952</v>
      </c>
      <c r="BG33" s="30" t="n">
        <v>0</v>
      </c>
      <c r="BH33" s="30" t="n">
        <v>5.006265876375952</v>
      </c>
      <c r="BI33" s="30" t="n">
        <v>0</v>
      </c>
      <c r="BJ33" s="30" t="n">
        <v>0</v>
      </c>
      <c r="BK33" s="30" t="n">
        <v>5.006265876375952</v>
      </c>
      <c r="BL33" s="30" t="n">
        <v>0</v>
      </c>
      <c r="BM33" s="30" t="n">
        <v>0</v>
      </c>
      <c r="BN33" s="30" t="n">
        <v>2.503132938187976</v>
      </c>
      <c r="BO33" s="30" t="n">
        <v>0</v>
      </c>
      <c r="BP33" s="30" t="n">
        <v>0</v>
      </c>
      <c r="BQ33" s="30" t="n">
        <v>1.251566469093988</v>
      </c>
      <c r="BR33" s="30" t="n">
        <v>0</v>
      </c>
      <c r="BS33" s="30" t="n">
        <v>0</v>
      </c>
      <c r="BT33" s="30" t="n">
        <v>0</v>
      </c>
      <c r="BU33" s="30" t="n">
        <v>0</v>
      </c>
      <c r="BV33" s="30" t="n">
        <v>0</v>
      </c>
      <c r="BW33" s="30" t="n">
        <v>0</v>
      </c>
      <c r="BX33" s="30" t="n">
        <v>0</v>
      </c>
      <c r="BY33" s="30" t="n">
        <v>0</v>
      </c>
      <c r="BZ33" s="30" t="n">
        <v>0</v>
      </c>
      <c r="CA33" s="30" t="n">
        <v>0</v>
      </c>
      <c r="CB33" s="30" t="n">
        <v>0</v>
      </c>
      <c r="CC33" s="30" t="n">
        <v>0</v>
      </c>
      <c r="CD33" s="30" t="n">
        <v>0</v>
      </c>
      <c r="CE33" s="30" t="n">
        <v>0</v>
      </c>
      <c r="CF33" s="30" t="n">
        <v>0</v>
      </c>
      <c r="CG33" s="30" t="n">
        <v>0</v>
      </c>
      <c r="CH33" s="30" t="n">
        <v>0</v>
      </c>
      <c r="CI33" s="30" t="n">
        <v>0</v>
      </c>
      <c r="CJ33" s="30" t="n">
        <v>0</v>
      </c>
      <c r="CK33" s="30" t="n">
        <v>0</v>
      </c>
      <c r="CL33" s="30" t="n">
        <v>0</v>
      </c>
      <c r="CM33" s="30" t="n">
        <v>0</v>
      </c>
      <c r="CN33" s="30" t="n">
        <v>0</v>
      </c>
      <c r="CO33" s="30" t="n">
        <v>0</v>
      </c>
      <c r="CP33" s="30" t="n">
        <v>0</v>
      </c>
      <c r="CQ33" s="30" t="n">
        <v>0</v>
      </c>
      <c r="CR33" s="30" t="n">
        <v>0</v>
      </c>
      <c r="CS33" s="30" t="n">
        <v>0</v>
      </c>
      <c r="CT33" s="30" t="n">
        <v>0</v>
      </c>
      <c r="CU33" s="30" t="n">
        <v>0</v>
      </c>
      <c r="CV33" s="30" t="n">
        <v>0</v>
      </c>
      <c r="CW33" s="30" t="n">
        <v>0</v>
      </c>
      <c r="CX33" s="30" t="n">
        <v>0</v>
      </c>
      <c r="CY33" s="30" t="n">
        <v>0</v>
      </c>
      <c r="CZ33" s="30" t="n">
        <v>0</v>
      </c>
      <c r="DA33" s="30" t="n">
        <v>0</v>
      </c>
    </row>
    <row r="34">
      <c r="A34" t="inlineStr">
        <is>
          <t>TSP-656</t>
        </is>
      </c>
      <c r="B34" s="30" t="n">
        <v>0</v>
      </c>
      <c r="C34" s="30" t="n">
        <v>0</v>
      </c>
      <c r="D34" s="30" t="n">
        <v>0</v>
      </c>
      <c r="E34" s="30" t="n">
        <v>0</v>
      </c>
      <c r="F34" s="30" t="n">
        <v>0</v>
      </c>
      <c r="G34" s="30" t="n">
        <v>0</v>
      </c>
      <c r="H34" s="30" t="n">
        <v>0</v>
      </c>
      <c r="I34" s="30" t="n">
        <v>0</v>
      </c>
      <c r="J34" s="30" t="n">
        <v>0</v>
      </c>
      <c r="K34" s="30" t="n">
        <v>0</v>
      </c>
      <c r="L34" s="30" t="n">
        <v>0</v>
      </c>
      <c r="M34" s="30" t="n">
        <v>0</v>
      </c>
      <c r="N34" s="30" t="n">
        <v>0</v>
      </c>
      <c r="O34" s="30" t="n">
        <v>0</v>
      </c>
      <c r="P34" s="30" t="n">
        <v>0</v>
      </c>
      <c r="Q34" s="30" t="n">
        <v>0</v>
      </c>
      <c r="R34" s="30" t="n">
        <v>0</v>
      </c>
      <c r="S34" s="30" t="n">
        <v>0</v>
      </c>
      <c r="T34" s="30" t="n">
        <v>0</v>
      </c>
      <c r="U34" s="30" t="n">
        <v>0</v>
      </c>
      <c r="V34" s="30" t="n">
        <v>0</v>
      </c>
      <c r="W34" s="30" t="n">
        <v>0</v>
      </c>
      <c r="X34" s="30" t="n">
        <v>0</v>
      </c>
      <c r="Y34" s="30" t="n">
        <v>5.38754903782059</v>
      </c>
      <c r="Z34" s="30" t="n">
        <v>0</v>
      </c>
      <c r="AA34" s="30" t="n">
        <v>2.693774518910295</v>
      </c>
      <c r="AB34" s="30" t="n">
        <v>2.020330889182722</v>
      </c>
      <c r="AC34" s="30" t="n">
        <v>2.693774518910295</v>
      </c>
      <c r="AD34" s="30" t="n">
        <v>2.020330889182722</v>
      </c>
      <c r="AE34" s="30" t="n">
        <v>2.693774518910295</v>
      </c>
      <c r="AF34" s="30" t="n">
        <v>2.020330889182722</v>
      </c>
      <c r="AG34" s="30" t="n">
        <v>2.020330889182722</v>
      </c>
      <c r="AH34" s="30" t="n">
        <v>0</v>
      </c>
      <c r="AI34" s="30" t="n">
        <v>2.020330889182722</v>
      </c>
      <c r="AJ34" s="30" t="n">
        <v>0</v>
      </c>
      <c r="AK34" s="30" t="n">
        <v>2.693774518910295</v>
      </c>
      <c r="AL34" s="30" t="n">
        <v>0</v>
      </c>
      <c r="AM34" s="30" t="n">
        <v>2.693774518910295</v>
      </c>
      <c r="AN34" s="30" t="n">
        <v>0</v>
      </c>
      <c r="AO34" s="30" t="n">
        <v>0</v>
      </c>
      <c r="AP34" s="30" t="n">
        <v>2.693774518910295</v>
      </c>
      <c r="AQ34" s="30" t="n">
        <v>0</v>
      </c>
      <c r="AR34" s="30" t="n">
        <v>2.693774518910295</v>
      </c>
      <c r="AS34" s="30" t="n">
        <v>0</v>
      </c>
      <c r="AT34" s="30" t="n">
        <v>2.693774518910295</v>
      </c>
      <c r="AU34" s="30" t="n">
        <v>2.693774518910295</v>
      </c>
      <c r="AV34" s="30" t="n">
        <v>2.693774518910295</v>
      </c>
      <c r="AW34" s="30" t="n">
        <v>2.693774518910295</v>
      </c>
      <c r="AX34" s="30" t="n">
        <v>2.693774518910295</v>
      </c>
      <c r="AY34" s="30" t="n">
        <v>0</v>
      </c>
      <c r="AZ34" s="30" t="n">
        <v>0</v>
      </c>
      <c r="BA34" s="30" t="n">
        <v>0</v>
      </c>
      <c r="BB34" s="30" t="n">
        <v>0</v>
      </c>
      <c r="BC34" s="30" t="n">
        <v>0</v>
      </c>
      <c r="BD34" s="30" t="n">
        <v>2.693774518910295</v>
      </c>
      <c r="BE34" s="30" t="n">
        <v>0</v>
      </c>
      <c r="BF34" s="30" t="n">
        <v>2.693774518910295</v>
      </c>
      <c r="BG34" s="30" t="n">
        <v>0</v>
      </c>
      <c r="BH34" s="30" t="n">
        <v>2.693774518910295</v>
      </c>
      <c r="BI34" s="30" t="n">
        <v>0</v>
      </c>
      <c r="BJ34" s="30" t="n">
        <v>0</v>
      </c>
      <c r="BK34" s="30" t="n">
        <v>2.693774518910295</v>
      </c>
      <c r="BL34" s="30" t="n">
        <v>0</v>
      </c>
      <c r="BM34" s="30" t="n">
        <v>0</v>
      </c>
      <c r="BN34" s="30" t="n">
        <v>1.346887259455148</v>
      </c>
      <c r="BO34" s="30" t="n">
        <v>0</v>
      </c>
      <c r="BP34" s="30" t="n">
        <v>0</v>
      </c>
      <c r="BQ34" s="30" t="n">
        <v>0.6734436297275738</v>
      </c>
      <c r="BR34" s="30" t="n">
        <v>0</v>
      </c>
      <c r="BS34" s="30" t="n">
        <v>0</v>
      </c>
      <c r="BT34" s="30" t="n">
        <v>0</v>
      </c>
      <c r="BU34" s="30" t="n">
        <v>0</v>
      </c>
      <c r="BV34" s="30" t="n">
        <v>0</v>
      </c>
      <c r="BW34" s="30" t="n">
        <v>0</v>
      </c>
      <c r="BX34" s="30" t="n">
        <v>0</v>
      </c>
      <c r="BY34" s="30" t="n">
        <v>0</v>
      </c>
      <c r="BZ34" s="30" t="n">
        <v>0</v>
      </c>
      <c r="CA34" s="30" t="n">
        <v>0</v>
      </c>
      <c r="CB34" s="30" t="n">
        <v>0</v>
      </c>
      <c r="CC34" s="30" t="n">
        <v>0</v>
      </c>
      <c r="CD34" s="30" t="n">
        <v>0</v>
      </c>
      <c r="CE34" s="30" t="n">
        <v>0</v>
      </c>
      <c r="CF34" s="30" t="n">
        <v>0</v>
      </c>
      <c r="CG34" s="30" t="n">
        <v>0</v>
      </c>
      <c r="CH34" s="30" t="n">
        <v>0</v>
      </c>
      <c r="CI34" s="30" t="n">
        <v>0</v>
      </c>
      <c r="CJ34" s="30" t="n">
        <v>0</v>
      </c>
      <c r="CK34" s="30" t="n">
        <v>0</v>
      </c>
      <c r="CL34" s="30" t="n">
        <v>0</v>
      </c>
      <c r="CM34" s="30" t="n">
        <v>0</v>
      </c>
      <c r="CN34" s="30" t="n">
        <v>0</v>
      </c>
      <c r="CO34" s="30" t="n">
        <v>0</v>
      </c>
      <c r="CP34" s="30" t="n">
        <v>0</v>
      </c>
      <c r="CQ34" s="30" t="n">
        <v>0</v>
      </c>
      <c r="CR34" s="30" t="n">
        <v>0</v>
      </c>
      <c r="CS34" s="30" t="n">
        <v>0</v>
      </c>
      <c r="CT34" s="30" t="n">
        <v>0</v>
      </c>
      <c r="CU34" s="30" t="n">
        <v>0</v>
      </c>
      <c r="CV34" s="30" t="n">
        <v>0</v>
      </c>
      <c r="CW34" s="30" t="n">
        <v>0</v>
      </c>
      <c r="CX34" s="30" t="n">
        <v>0</v>
      </c>
      <c r="CY34" s="30" t="n">
        <v>0</v>
      </c>
      <c r="CZ34" s="30" t="n">
        <v>0</v>
      </c>
      <c r="DA34" s="30" t="n">
        <v>0</v>
      </c>
    </row>
    <row r="35">
      <c r="A35" t="inlineStr">
        <is>
          <t>TSP-668</t>
        </is>
      </c>
      <c r="B35" s="30" t="n">
        <v>0</v>
      </c>
      <c r="C35" s="30" t="n">
        <v>0</v>
      </c>
      <c r="D35" s="30" t="n">
        <v>0</v>
      </c>
      <c r="E35" s="30" t="n">
        <v>0</v>
      </c>
      <c r="F35" s="30" t="n">
        <v>0</v>
      </c>
      <c r="G35" s="30" t="n">
        <v>0</v>
      </c>
      <c r="H35" s="30" t="n">
        <v>0</v>
      </c>
      <c r="I35" s="30" t="n">
        <v>0</v>
      </c>
      <c r="J35" s="30" t="n">
        <v>0</v>
      </c>
      <c r="K35" s="30" t="n">
        <v>0</v>
      </c>
      <c r="L35" s="30" t="n">
        <v>0</v>
      </c>
      <c r="M35" s="30" t="n">
        <v>0</v>
      </c>
      <c r="N35" s="30" t="n">
        <v>0</v>
      </c>
      <c r="O35" s="30" t="n">
        <v>0</v>
      </c>
      <c r="P35" s="30" t="n">
        <v>0</v>
      </c>
      <c r="Q35" s="30" t="n">
        <v>0</v>
      </c>
      <c r="R35" s="30" t="n">
        <v>0</v>
      </c>
      <c r="S35" s="30" t="n">
        <v>0</v>
      </c>
      <c r="T35" s="30" t="n">
        <v>0</v>
      </c>
      <c r="U35" s="30" t="n">
        <v>0</v>
      </c>
      <c r="V35" s="30" t="n">
        <v>0</v>
      </c>
      <c r="W35" s="30" t="n">
        <v>0</v>
      </c>
      <c r="X35" s="30" t="n">
        <v>0</v>
      </c>
      <c r="Y35" s="30" t="n">
        <v>0</v>
      </c>
      <c r="Z35" s="30" t="n">
        <v>0</v>
      </c>
      <c r="AA35" s="30" t="n">
        <v>0</v>
      </c>
      <c r="AB35" s="30" t="n">
        <v>0</v>
      </c>
      <c r="AC35" s="30" t="n">
        <v>0</v>
      </c>
      <c r="AD35" s="30" t="n">
        <v>0</v>
      </c>
      <c r="AE35" s="30" t="n">
        <v>0</v>
      </c>
      <c r="AF35" s="30" t="n">
        <v>0</v>
      </c>
      <c r="AG35" s="30" t="n">
        <v>0</v>
      </c>
      <c r="AH35" s="30" t="n">
        <v>0</v>
      </c>
      <c r="AI35" s="30" t="n">
        <v>0</v>
      </c>
      <c r="AJ35" s="30" t="n">
        <v>0</v>
      </c>
      <c r="AK35" s="30" t="n">
        <v>0</v>
      </c>
      <c r="AL35" s="30" t="n">
        <v>0</v>
      </c>
      <c r="AM35" s="30" t="n">
        <v>0</v>
      </c>
      <c r="AN35" s="30" t="n">
        <v>0</v>
      </c>
      <c r="AO35" s="30" t="n">
        <v>0</v>
      </c>
      <c r="AP35" s="30" t="n">
        <v>0</v>
      </c>
      <c r="AQ35" s="30" t="n">
        <v>0</v>
      </c>
      <c r="AR35" s="30" t="n">
        <v>0</v>
      </c>
      <c r="AS35" s="30" t="n">
        <v>0</v>
      </c>
      <c r="AT35" s="30" t="n">
        <v>0</v>
      </c>
      <c r="AU35" s="30" t="n">
        <v>0</v>
      </c>
      <c r="AV35" s="30" t="n">
        <v>0</v>
      </c>
      <c r="AW35" s="30" t="n">
        <v>0</v>
      </c>
      <c r="AX35" s="30" t="n">
        <v>0</v>
      </c>
      <c r="AY35" s="30" t="n">
        <v>0</v>
      </c>
      <c r="AZ35" s="30" t="n">
        <v>0</v>
      </c>
      <c r="BA35" s="30" t="n">
        <v>0</v>
      </c>
      <c r="BB35" s="30" t="n">
        <v>0</v>
      </c>
      <c r="BC35" s="30" t="n">
        <v>0</v>
      </c>
      <c r="BD35" s="30" t="n">
        <v>0</v>
      </c>
      <c r="BE35" s="30" t="n">
        <v>0</v>
      </c>
      <c r="BF35" s="30" t="n">
        <v>0</v>
      </c>
      <c r="BG35" s="30" t="n">
        <v>0</v>
      </c>
      <c r="BH35" s="30" t="n">
        <v>0</v>
      </c>
      <c r="BI35" s="30" t="n">
        <v>0</v>
      </c>
      <c r="BJ35" s="30" t="n">
        <v>0</v>
      </c>
      <c r="BK35" s="30" t="n">
        <v>0</v>
      </c>
      <c r="BL35" s="30" t="n">
        <v>0</v>
      </c>
      <c r="BM35" s="30" t="n">
        <v>0</v>
      </c>
      <c r="BN35" s="30" t="n">
        <v>0</v>
      </c>
      <c r="BO35" s="30" t="n">
        <v>0</v>
      </c>
      <c r="BP35" s="30" t="n">
        <v>0</v>
      </c>
      <c r="BQ35" s="30" t="n">
        <v>0</v>
      </c>
      <c r="BR35" s="30" t="n">
        <v>0</v>
      </c>
      <c r="BS35" s="30" t="n">
        <v>0</v>
      </c>
      <c r="BT35" s="30" t="n">
        <v>0</v>
      </c>
      <c r="BU35" s="30" t="n">
        <v>0</v>
      </c>
      <c r="BV35" s="30" t="n">
        <v>0</v>
      </c>
      <c r="BW35" s="30" t="n">
        <v>0</v>
      </c>
      <c r="BX35" s="30" t="n">
        <v>0</v>
      </c>
      <c r="BY35" s="30" t="n">
        <v>0</v>
      </c>
      <c r="BZ35" s="30" t="n">
        <v>0</v>
      </c>
      <c r="CA35" s="30" t="n">
        <v>0</v>
      </c>
      <c r="CB35" s="30" t="n">
        <v>0</v>
      </c>
      <c r="CC35" s="30" t="n">
        <v>0</v>
      </c>
      <c r="CD35" s="30" t="n">
        <v>0</v>
      </c>
      <c r="CE35" s="30" t="n">
        <v>0</v>
      </c>
      <c r="CF35" s="30" t="n">
        <v>0</v>
      </c>
      <c r="CG35" s="30" t="n">
        <v>0</v>
      </c>
      <c r="CH35" s="30" t="n">
        <v>0</v>
      </c>
      <c r="CI35" s="30" t="n">
        <v>0</v>
      </c>
      <c r="CJ35" s="30" t="n">
        <v>0</v>
      </c>
      <c r="CK35" s="30" t="n">
        <v>0</v>
      </c>
      <c r="CL35" s="30" t="n">
        <v>0</v>
      </c>
      <c r="CM35" s="30" t="n">
        <v>0</v>
      </c>
      <c r="CN35" s="30" t="n">
        <v>0</v>
      </c>
      <c r="CO35" s="30" t="n">
        <v>0</v>
      </c>
      <c r="CP35" s="30" t="n">
        <v>0</v>
      </c>
      <c r="CQ35" s="30" t="n">
        <v>0</v>
      </c>
      <c r="CR35" s="30" t="n">
        <v>0</v>
      </c>
      <c r="CS35" s="30" t="n">
        <v>0</v>
      </c>
      <c r="CT35" s="30" t="n">
        <v>0</v>
      </c>
      <c r="CU35" s="30" t="n">
        <v>0</v>
      </c>
      <c r="CV35" s="30" t="n">
        <v>0</v>
      </c>
      <c r="CW35" s="30" t="n">
        <v>0</v>
      </c>
      <c r="CX35" s="30" t="n">
        <v>0</v>
      </c>
      <c r="CY35" s="30" t="n">
        <v>0</v>
      </c>
      <c r="CZ35" s="30" t="n">
        <v>0</v>
      </c>
      <c r="DA35" s="30" t="n">
        <v>0</v>
      </c>
    </row>
    <row r="36">
      <c r="A36" t="inlineStr">
        <is>
          <t>TSP-669</t>
        </is>
      </c>
      <c r="B36" s="30" t="n">
        <v>0</v>
      </c>
      <c r="C36" s="30" t="n">
        <v>0</v>
      </c>
      <c r="D36" s="30" t="n">
        <v>0</v>
      </c>
      <c r="E36" s="30" t="n">
        <v>0</v>
      </c>
      <c r="F36" s="30" t="n">
        <v>0</v>
      </c>
      <c r="G36" s="30" t="n">
        <v>0</v>
      </c>
      <c r="H36" s="30" t="n">
        <v>0</v>
      </c>
      <c r="I36" s="30" t="n">
        <v>0</v>
      </c>
      <c r="J36" s="30" t="n">
        <v>0</v>
      </c>
      <c r="K36" s="30" t="n">
        <v>0</v>
      </c>
      <c r="L36" s="30" t="n">
        <v>0</v>
      </c>
      <c r="M36" s="30" t="n">
        <v>0</v>
      </c>
      <c r="N36" s="30" t="n">
        <v>0</v>
      </c>
      <c r="O36" s="30" t="n">
        <v>0</v>
      </c>
      <c r="P36" s="30" t="n">
        <v>0</v>
      </c>
      <c r="Q36" s="30" t="n">
        <v>0</v>
      </c>
      <c r="R36" s="30" t="n">
        <v>0</v>
      </c>
      <c r="S36" s="30" t="n">
        <v>0</v>
      </c>
      <c r="T36" s="30" t="n">
        <v>0</v>
      </c>
      <c r="U36" s="30" t="n">
        <v>0</v>
      </c>
      <c r="V36" s="30" t="n">
        <v>0</v>
      </c>
      <c r="W36" s="30" t="n">
        <v>0</v>
      </c>
      <c r="X36" s="30" t="n">
        <v>0</v>
      </c>
      <c r="Y36" s="30" t="n">
        <v>0</v>
      </c>
      <c r="Z36" s="30" t="n">
        <v>0</v>
      </c>
      <c r="AA36" s="30" t="n">
        <v>0</v>
      </c>
      <c r="AB36" s="30" t="n">
        <v>0</v>
      </c>
      <c r="AC36" s="30" t="n">
        <v>0</v>
      </c>
      <c r="AD36" s="30" t="n">
        <v>0</v>
      </c>
      <c r="AE36" s="30" t="n">
        <v>0</v>
      </c>
      <c r="AF36" s="30" t="n">
        <v>0</v>
      </c>
      <c r="AG36" s="30" t="n">
        <v>0</v>
      </c>
      <c r="AH36" s="30" t="n">
        <v>0</v>
      </c>
      <c r="AI36" s="30" t="n">
        <v>0</v>
      </c>
      <c r="AJ36" s="30" t="n">
        <v>0</v>
      </c>
      <c r="AK36" s="30" t="n">
        <v>0</v>
      </c>
      <c r="AL36" s="30" t="n">
        <v>0</v>
      </c>
      <c r="AM36" s="30" t="n">
        <v>0</v>
      </c>
      <c r="AN36" s="30" t="n">
        <v>0</v>
      </c>
      <c r="AO36" s="30" t="n">
        <v>0</v>
      </c>
      <c r="AP36" s="30" t="n">
        <v>0</v>
      </c>
      <c r="AQ36" s="30" t="n">
        <v>0</v>
      </c>
      <c r="AR36" s="30" t="n">
        <v>0</v>
      </c>
      <c r="AS36" s="30" t="n">
        <v>0</v>
      </c>
      <c r="AT36" s="30" t="n">
        <v>0</v>
      </c>
      <c r="AU36" s="30" t="n">
        <v>0</v>
      </c>
      <c r="AV36" s="30" t="n">
        <v>0</v>
      </c>
      <c r="AW36" s="30" t="n">
        <v>0</v>
      </c>
      <c r="AX36" s="30" t="n">
        <v>0</v>
      </c>
      <c r="AY36" s="30" t="n">
        <v>0</v>
      </c>
      <c r="AZ36" s="30" t="n">
        <v>0</v>
      </c>
      <c r="BA36" s="30" t="n">
        <v>0</v>
      </c>
      <c r="BB36" s="30" t="n">
        <v>0</v>
      </c>
      <c r="BC36" s="30" t="n">
        <v>0</v>
      </c>
      <c r="BD36" s="30" t="n">
        <v>0</v>
      </c>
      <c r="BE36" s="30" t="n">
        <v>0</v>
      </c>
      <c r="BF36" s="30" t="n">
        <v>0</v>
      </c>
      <c r="BG36" s="30" t="n">
        <v>0</v>
      </c>
      <c r="BH36" s="30" t="n">
        <v>0</v>
      </c>
      <c r="BI36" s="30" t="n">
        <v>0</v>
      </c>
      <c r="BJ36" s="30" t="n">
        <v>0</v>
      </c>
      <c r="BK36" s="30" t="n">
        <v>0</v>
      </c>
      <c r="BL36" s="30" t="n">
        <v>0</v>
      </c>
      <c r="BM36" s="30" t="n">
        <v>0</v>
      </c>
      <c r="BN36" s="30" t="n">
        <v>0</v>
      </c>
      <c r="BO36" s="30" t="n">
        <v>0</v>
      </c>
      <c r="BP36" s="30" t="n">
        <v>0</v>
      </c>
      <c r="BQ36" s="30" t="n">
        <v>0</v>
      </c>
      <c r="BR36" s="30" t="n">
        <v>0</v>
      </c>
      <c r="BS36" s="30" t="n">
        <v>0</v>
      </c>
      <c r="BT36" s="30" t="n">
        <v>0</v>
      </c>
      <c r="BU36" s="30" t="n">
        <v>0</v>
      </c>
      <c r="BV36" s="30" t="n">
        <v>0</v>
      </c>
      <c r="BW36" s="30" t="n">
        <v>0</v>
      </c>
      <c r="BX36" s="30" t="n">
        <v>0</v>
      </c>
      <c r="BY36" s="30" t="n">
        <v>0</v>
      </c>
      <c r="BZ36" s="30" t="n">
        <v>0</v>
      </c>
      <c r="CA36" s="30" t="n">
        <v>0</v>
      </c>
      <c r="CB36" s="30" t="n">
        <v>0</v>
      </c>
      <c r="CC36" s="30" t="n">
        <v>0</v>
      </c>
      <c r="CD36" s="30" t="n">
        <v>0</v>
      </c>
      <c r="CE36" s="30" t="n">
        <v>0</v>
      </c>
      <c r="CF36" s="30" t="n">
        <v>0</v>
      </c>
      <c r="CG36" s="30" t="n">
        <v>0</v>
      </c>
      <c r="CH36" s="30" t="n">
        <v>0</v>
      </c>
      <c r="CI36" s="30" t="n">
        <v>0</v>
      </c>
      <c r="CJ36" s="30" t="n">
        <v>0</v>
      </c>
      <c r="CK36" s="30" t="n">
        <v>0</v>
      </c>
      <c r="CL36" s="30" t="n">
        <v>0</v>
      </c>
      <c r="CM36" s="30" t="n">
        <v>0</v>
      </c>
      <c r="CN36" s="30" t="n">
        <v>0</v>
      </c>
      <c r="CO36" s="30" t="n">
        <v>0</v>
      </c>
      <c r="CP36" s="30" t="n">
        <v>0</v>
      </c>
      <c r="CQ36" s="30" t="n">
        <v>0</v>
      </c>
      <c r="CR36" s="30" t="n">
        <v>0</v>
      </c>
      <c r="CS36" s="30" t="n">
        <v>0</v>
      </c>
      <c r="CT36" s="30" t="n">
        <v>0</v>
      </c>
      <c r="CU36" s="30" t="n">
        <v>0</v>
      </c>
      <c r="CV36" s="30" t="n">
        <v>0</v>
      </c>
      <c r="CW36" s="30" t="n">
        <v>0</v>
      </c>
      <c r="CX36" s="30" t="n">
        <v>0</v>
      </c>
      <c r="CY36" s="30" t="n">
        <v>0</v>
      </c>
      <c r="CZ36" s="30" t="n">
        <v>0</v>
      </c>
      <c r="DA36" s="30" t="n">
        <v>0</v>
      </c>
    </row>
    <row r="37">
      <c r="A37" t="inlineStr">
        <is>
          <t>TSP-670</t>
        </is>
      </c>
      <c r="B37" s="30" t="n">
        <v>0</v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</v>
      </c>
      <c r="H37" s="30" t="n">
        <v>0</v>
      </c>
      <c r="I37" s="30" t="n">
        <v>0</v>
      </c>
      <c r="J37" s="30" t="n">
        <v>0</v>
      </c>
      <c r="K37" s="30" t="n">
        <v>0</v>
      </c>
      <c r="L37" s="30" t="n">
        <v>0</v>
      </c>
      <c r="M37" s="30" t="n">
        <v>0</v>
      </c>
      <c r="N37" s="30" t="n">
        <v>0</v>
      </c>
      <c r="O37" s="30" t="n">
        <v>0</v>
      </c>
      <c r="P37" s="30" t="n">
        <v>0</v>
      </c>
      <c r="Q37" s="30" t="n">
        <v>0</v>
      </c>
      <c r="R37" s="30" t="n">
        <v>0</v>
      </c>
      <c r="S37" s="30" t="n">
        <v>0</v>
      </c>
      <c r="T37" s="30" t="n">
        <v>0</v>
      </c>
      <c r="U37" s="30" t="n">
        <v>0</v>
      </c>
      <c r="V37" s="30" t="n">
        <v>0</v>
      </c>
      <c r="W37" s="30" t="n">
        <v>0</v>
      </c>
      <c r="X37" s="30" t="n">
        <v>0</v>
      </c>
      <c r="Y37" s="30" t="n">
        <v>0</v>
      </c>
      <c r="Z37" s="30" t="n">
        <v>0</v>
      </c>
      <c r="AA37" s="30" t="n">
        <v>0</v>
      </c>
      <c r="AB37" s="30" t="n">
        <v>0</v>
      </c>
      <c r="AC37" s="30" t="n">
        <v>0</v>
      </c>
      <c r="AD37" s="30" t="n">
        <v>0</v>
      </c>
      <c r="AE37" s="30" t="n">
        <v>0</v>
      </c>
      <c r="AF37" s="30" t="n">
        <v>0</v>
      </c>
      <c r="AG37" s="30" t="n">
        <v>0</v>
      </c>
      <c r="AH37" s="30" t="n">
        <v>0</v>
      </c>
      <c r="AI37" s="30" t="n">
        <v>0</v>
      </c>
      <c r="AJ37" s="30" t="n">
        <v>0</v>
      </c>
      <c r="AK37" s="30" t="n">
        <v>0</v>
      </c>
      <c r="AL37" s="30" t="n">
        <v>0</v>
      </c>
      <c r="AM37" s="30" t="n">
        <v>0</v>
      </c>
      <c r="AN37" s="30" t="n">
        <v>0</v>
      </c>
      <c r="AO37" s="30" t="n">
        <v>0</v>
      </c>
      <c r="AP37" s="30" t="n">
        <v>0</v>
      </c>
      <c r="AQ37" s="30" t="n">
        <v>0</v>
      </c>
      <c r="AR37" s="30" t="n">
        <v>0</v>
      </c>
      <c r="AS37" s="30" t="n">
        <v>0</v>
      </c>
      <c r="AT37" s="30" t="n">
        <v>0</v>
      </c>
      <c r="AU37" s="30" t="n">
        <v>0</v>
      </c>
      <c r="AV37" s="30" t="n">
        <v>0</v>
      </c>
      <c r="AW37" s="30" t="n">
        <v>0</v>
      </c>
      <c r="AX37" s="30" t="n">
        <v>0</v>
      </c>
      <c r="AY37" s="30" t="n">
        <v>0</v>
      </c>
      <c r="AZ37" s="30" t="n">
        <v>0</v>
      </c>
      <c r="BA37" s="30" t="n">
        <v>0</v>
      </c>
      <c r="BB37" s="30" t="n">
        <v>0</v>
      </c>
      <c r="BC37" s="30" t="n">
        <v>0</v>
      </c>
      <c r="BD37" s="30" t="n">
        <v>0</v>
      </c>
      <c r="BE37" s="30" t="n">
        <v>0</v>
      </c>
      <c r="BF37" s="30" t="n">
        <v>0</v>
      </c>
      <c r="BG37" s="30" t="n">
        <v>0</v>
      </c>
      <c r="BH37" s="30" t="n">
        <v>0</v>
      </c>
      <c r="BI37" s="30" t="n">
        <v>0</v>
      </c>
      <c r="BJ37" s="30" t="n">
        <v>0</v>
      </c>
      <c r="BK37" s="30" t="n">
        <v>0</v>
      </c>
      <c r="BL37" s="30" t="n">
        <v>0</v>
      </c>
      <c r="BM37" s="30" t="n">
        <v>0</v>
      </c>
      <c r="BN37" s="30" t="n">
        <v>0</v>
      </c>
      <c r="BO37" s="30" t="n">
        <v>0</v>
      </c>
      <c r="BP37" s="30" t="n">
        <v>0</v>
      </c>
      <c r="BQ37" s="30" t="n">
        <v>0</v>
      </c>
      <c r="BR37" s="30" t="n">
        <v>0</v>
      </c>
      <c r="BS37" s="30" t="n">
        <v>0</v>
      </c>
      <c r="BT37" s="30" t="n">
        <v>0</v>
      </c>
      <c r="BU37" s="30" t="n">
        <v>0</v>
      </c>
      <c r="BV37" s="30" t="n">
        <v>0</v>
      </c>
      <c r="BW37" s="30" t="n">
        <v>0</v>
      </c>
      <c r="BX37" s="30" t="n">
        <v>0</v>
      </c>
      <c r="BY37" s="30" t="n">
        <v>0</v>
      </c>
      <c r="BZ37" s="30" t="n">
        <v>0</v>
      </c>
      <c r="CA37" s="30" t="n">
        <v>0</v>
      </c>
      <c r="CB37" s="30" t="n">
        <v>0</v>
      </c>
      <c r="CC37" s="30" t="n">
        <v>0</v>
      </c>
      <c r="CD37" s="30" t="n">
        <v>0</v>
      </c>
      <c r="CE37" s="30" t="n">
        <v>0</v>
      </c>
      <c r="CF37" s="30" t="n">
        <v>0</v>
      </c>
      <c r="CG37" s="30" t="n">
        <v>0</v>
      </c>
      <c r="CH37" s="30" t="n">
        <v>0</v>
      </c>
      <c r="CI37" s="30" t="n">
        <v>0</v>
      </c>
      <c r="CJ37" s="30" t="n">
        <v>0</v>
      </c>
      <c r="CK37" s="30" t="n">
        <v>0</v>
      </c>
      <c r="CL37" s="30" t="n">
        <v>0</v>
      </c>
      <c r="CM37" s="30" t="n">
        <v>0</v>
      </c>
      <c r="CN37" s="30" t="n">
        <v>0</v>
      </c>
      <c r="CO37" s="30" t="n">
        <v>0</v>
      </c>
      <c r="CP37" s="30" t="n">
        <v>0</v>
      </c>
      <c r="CQ37" s="30" t="n">
        <v>0</v>
      </c>
      <c r="CR37" s="30" t="n">
        <v>0</v>
      </c>
      <c r="CS37" s="30" t="n">
        <v>0</v>
      </c>
      <c r="CT37" s="30" t="n">
        <v>0</v>
      </c>
      <c r="CU37" s="30" t="n">
        <v>0</v>
      </c>
      <c r="CV37" s="30" t="n">
        <v>0</v>
      </c>
      <c r="CW37" s="30" t="n">
        <v>0</v>
      </c>
      <c r="CX37" s="30" t="n">
        <v>0</v>
      </c>
      <c r="CY37" s="30" t="n">
        <v>0</v>
      </c>
      <c r="CZ37" s="30" t="n">
        <v>0</v>
      </c>
      <c r="DA37" s="30" t="n">
        <v>0</v>
      </c>
    </row>
    <row r="38">
      <c r="A38" t="inlineStr">
        <is>
          <t>TSP-710</t>
        </is>
      </c>
      <c r="B38" s="30" t="n">
        <v>0</v>
      </c>
      <c r="C38" s="30" t="n">
        <v>0</v>
      </c>
      <c r="D38" s="30" t="n">
        <v>0</v>
      </c>
      <c r="E38" s="30" t="n">
        <v>0</v>
      </c>
      <c r="F38" s="30" t="n">
        <v>0</v>
      </c>
      <c r="G38" s="30" t="n">
        <v>0</v>
      </c>
      <c r="H38" s="30" t="n">
        <v>0</v>
      </c>
      <c r="I38" s="30" t="n">
        <v>0</v>
      </c>
      <c r="J38" s="30" t="n">
        <v>0</v>
      </c>
      <c r="K38" s="30" t="n">
        <v>0</v>
      </c>
      <c r="L38" s="30" t="n">
        <v>0</v>
      </c>
      <c r="M38" s="30" t="n">
        <v>0</v>
      </c>
      <c r="N38" s="30" t="n">
        <v>0</v>
      </c>
      <c r="O38" s="30" t="n">
        <v>0</v>
      </c>
      <c r="P38" s="30" t="n">
        <v>0</v>
      </c>
      <c r="Q38" s="30" t="n">
        <v>0</v>
      </c>
      <c r="R38" s="30" t="n">
        <v>0</v>
      </c>
      <c r="S38" s="30" t="n">
        <v>0</v>
      </c>
      <c r="T38" s="30" t="n">
        <v>0</v>
      </c>
      <c r="U38" s="30" t="n">
        <v>0</v>
      </c>
      <c r="V38" s="30" t="n">
        <v>0</v>
      </c>
      <c r="W38" s="30" t="n">
        <v>0</v>
      </c>
      <c r="X38" s="30" t="n">
        <v>0</v>
      </c>
      <c r="Y38" s="30" t="n">
        <v>0</v>
      </c>
      <c r="Z38" s="30" t="n">
        <v>0</v>
      </c>
      <c r="AA38" s="30" t="n">
        <v>0</v>
      </c>
      <c r="AB38" s="30" t="n">
        <v>0</v>
      </c>
      <c r="AC38" s="30" t="n">
        <v>0</v>
      </c>
      <c r="AD38" s="30" t="n">
        <v>0</v>
      </c>
      <c r="AE38" s="30" t="n">
        <v>0</v>
      </c>
      <c r="AF38" s="30" t="n">
        <v>0</v>
      </c>
      <c r="AG38" s="30" t="n">
        <v>0</v>
      </c>
      <c r="AH38" s="30" t="n">
        <v>0</v>
      </c>
      <c r="AI38" s="30" t="n">
        <v>0</v>
      </c>
      <c r="AJ38" s="30" t="n">
        <v>0</v>
      </c>
      <c r="AK38" s="30" t="n">
        <v>0</v>
      </c>
      <c r="AL38" s="30" t="n">
        <v>0</v>
      </c>
      <c r="AM38" s="30" t="n">
        <v>0</v>
      </c>
      <c r="AN38" s="30" t="n">
        <v>0</v>
      </c>
      <c r="AO38" s="30" t="n">
        <v>0</v>
      </c>
      <c r="AP38" s="30" t="n">
        <v>0</v>
      </c>
      <c r="AQ38" s="30" t="n">
        <v>0</v>
      </c>
      <c r="AR38" s="30" t="n">
        <v>0</v>
      </c>
      <c r="AS38" s="30" t="n">
        <v>0</v>
      </c>
      <c r="AT38" s="30" t="n">
        <v>0</v>
      </c>
      <c r="AU38" s="30" t="n">
        <v>0</v>
      </c>
      <c r="AV38" s="30" t="n">
        <v>0</v>
      </c>
      <c r="AW38" s="30" t="n">
        <v>0</v>
      </c>
      <c r="AX38" s="30" t="n">
        <v>0</v>
      </c>
      <c r="AY38" s="30" t="n">
        <v>0</v>
      </c>
      <c r="AZ38" s="30" t="n">
        <v>0</v>
      </c>
      <c r="BA38" s="30" t="n">
        <v>0</v>
      </c>
      <c r="BB38" s="30" t="n">
        <v>0</v>
      </c>
      <c r="BC38" s="30" t="n">
        <v>0</v>
      </c>
      <c r="BD38" s="30" t="n">
        <v>0</v>
      </c>
      <c r="BE38" s="30" t="n">
        <v>0</v>
      </c>
      <c r="BF38" s="30" t="n">
        <v>0</v>
      </c>
      <c r="BG38" s="30" t="n">
        <v>0</v>
      </c>
      <c r="BH38" s="30" t="n">
        <v>0</v>
      </c>
      <c r="BI38" s="30" t="n">
        <v>0</v>
      </c>
      <c r="BJ38" s="30" t="n">
        <v>0</v>
      </c>
      <c r="BK38" s="30" t="n">
        <v>0</v>
      </c>
      <c r="BL38" s="30" t="n">
        <v>0</v>
      </c>
      <c r="BM38" s="30" t="n">
        <v>0</v>
      </c>
      <c r="BN38" s="30" t="n">
        <v>0</v>
      </c>
      <c r="BO38" s="30" t="n">
        <v>0</v>
      </c>
      <c r="BP38" s="30" t="n">
        <v>0</v>
      </c>
      <c r="BQ38" s="30" t="n">
        <v>0</v>
      </c>
      <c r="BR38" s="30" t="n">
        <v>0</v>
      </c>
      <c r="BS38" s="30" t="n">
        <v>0</v>
      </c>
      <c r="BT38" s="30" t="n">
        <v>0</v>
      </c>
      <c r="BU38" s="30" t="n">
        <v>0</v>
      </c>
      <c r="BV38" s="30" t="n">
        <v>0</v>
      </c>
      <c r="BW38" s="30" t="n">
        <v>0</v>
      </c>
      <c r="BX38" s="30" t="n">
        <v>0</v>
      </c>
      <c r="BY38" s="30" t="n">
        <v>0</v>
      </c>
      <c r="BZ38" s="30" t="n">
        <v>0</v>
      </c>
      <c r="CA38" s="30" t="n">
        <v>0</v>
      </c>
      <c r="CB38" s="30" t="n">
        <v>0</v>
      </c>
      <c r="CC38" s="30" t="n">
        <v>0</v>
      </c>
      <c r="CD38" s="30" t="n">
        <v>0</v>
      </c>
      <c r="CE38" s="30" t="n">
        <v>0</v>
      </c>
      <c r="CF38" s="30" t="n">
        <v>0</v>
      </c>
      <c r="CG38" s="30" t="n">
        <v>0</v>
      </c>
      <c r="CH38" s="30" t="n">
        <v>0</v>
      </c>
      <c r="CI38" s="30" t="n">
        <v>0</v>
      </c>
      <c r="CJ38" s="30" t="n">
        <v>0</v>
      </c>
      <c r="CK38" s="30" t="n">
        <v>0</v>
      </c>
      <c r="CL38" s="30" t="n">
        <v>0</v>
      </c>
      <c r="CM38" s="30" t="n">
        <v>0</v>
      </c>
      <c r="CN38" s="30" t="n">
        <v>0</v>
      </c>
      <c r="CO38" s="30" t="n">
        <v>0</v>
      </c>
      <c r="CP38" s="30" t="n">
        <v>0</v>
      </c>
      <c r="CQ38" s="30" t="n">
        <v>0</v>
      </c>
      <c r="CR38" s="30" t="n">
        <v>0</v>
      </c>
      <c r="CS38" s="30" t="n">
        <v>0</v>
      </c>
      <c r="CT38" s="30" t="n">
        <v>0</v>
      </c>
      <c r="CU38" s="30" t="n">
        <v>0</v>
      </c>
      <c r="CV38" s="30" t="n">
        <v>0</v>
      </c>
      <c r="CW38" s="30" t="n">
        <v>0</v>
      </c>
      <c r="CX38" s="30" t="n">
        <v>0</v>
      </c>
      <c r="CY38" s="30" t="n">
        <v>0</v>
      </c>
      <c r="CZ38" s="30" t="n">
        <v>0</v>
      </c>
      <c r="DA38" s="30" t="n">
        <v>0</v>
      </c>
    </row>
    <row r="39">
      <c r="A39" t="inlineStr">
        <is>
          <t>TSP-828</t>
        </is>
      </c>
      <c r="B39" s="30" t="n">
        <v>0</v>
      </c>
      <c r="C39" s="30" t="n">
        <v>0</v>
      </c>
      <c r="D39" s="30" t="n">
        <v>0</v>
      </c>
      <c r="E39" s="30" t="n">
        <v>0</v>
      </c>
      <c r="F39" s="30" t="n">
        <v>0</v>
      </c>
      <c r="G39" s="30" t="n">
        <v>0</v>
      </c>
      <c r="H39" s="30" t="n">
        <v>0</v>
      </c>
      <c r="I39" s="30" t="n">
        <v>0</v>
      </c>
      <c r="J39" s="30" t="n">
        <v>0</v>
      </c>
      <c r="K39" s="30" t="n">
        <v>0</v>
      </c>
      <c r="L39" s="30" t="n">
        <v>0</v>
      </c>
      <c r="M39" s="30" t="n">
        <v>0</v>
      </c>
      <c r="N39" s="30" t="n">
        <v>0</v>
      </c>
      <c r="O39" s="30" t="n">
        <v>0</v>
      </c>
      <c r="P39" s="30" t="n">
        <v>0</v>
      </c>
      <c r="Q39" s="30" t="n">
        <v>0</v>
      </c>
      <c r="R39" s="30" t="n">
        <v>0</v>
      </c>
      <c r="S39" s="30" t="n">
        <v>0</v>
      </c>
      <c r="T39" s="30" t="n">
        <v>0</v>
      </c>
      <c r="U39" s="30" t="n">
        <v>0</v>
      </c>
      <c r="V39" s="30" t="n">
        <v>0</v>
      </c>
      <c r="W39" s="30" t="n">
        <v>0</v>
      </c>
      <c r="X39" s="30" t="n">
        <v>0</v>
      </c>
      <c r="Y39" s="30" t="n">
        <v>0</v>
      </c>
      <c r="Z39" s="30" t="n">
        <v>0</v>
      </c>
      <c r="AA39" s="30" t="n">
        <v>0</v>
      </c>
      <c r="AB39" s="30" t="n">
        <v>0</v>
      </c>
      <c r="AC39" s="30" t="n">
        <v>0</v>
      </c>
      <c r="AD39" s="30" t="n">
        <v>0</v>
      </c>
      <c r="AE39" s="30" t="n">
        <v>0</v>
      </c>
      <c r="AF39" s="30" t="n">
        <v>0</v>
      </c>
      <c r="AG39" s="30" t="n">
        <v>0</v>
      </c>
      <c r="AH39" s="30" t="n">
        <v>0</v>
      </c>
      <c r="AI39" s="30" t="n">
        <v>0</v>
      </c>
      <c r="AJ39" s="30" t="n">
        <v>0</v>
      </c>
      <c r="AK39" s="30" t="n">
        <v>0</v>
      </c>
      <c r="AL39" s="30" t="n">
        <v>0</v>
      </c>
      <c r="AM39" s="30" t="n">
        <v>0</v>
      </c>
      <c r="AN39" s="30" t="n">
        <v>0</v>
      </c>
      <c r="AO39" s="30" t="n">
        <v>0</v>
      </c>
      <c r="AP39" s="30" t="n">
        <v>0</v>
      </c>
      <c r="AQ39" s="30" t="n">
        <v>0</v>
      </c>
      <c r="AR39" s="30" t="n">
        <v>0</v>
      </c>
      <c r="AS39" s="30" t="n">
        <v>0</v>
      </c>
      <c r="AT39" s="30" t="n">
        <v>0</v>
      </c>
      <c r="AU39" s="30" t="n">
        <v>0</v>
      </c>
      <c r="AV39" s="30" t="n">
        <v>0</v>
      </c>
      <c r="AW39" s="30" t="n">
        <v>0</v>
      </c>
      <c r="AX39" s="30" t="n">
        <v>0</v>
      </c>
      <c r="AY39" s="30" t="n">
        <v>0</v>
      </c>
      <c r="AZ39" s="30" t="n">
        <v>0</v>
      </c>
      <c r="BA39" s="30" t="n">
        <v>0</v>
      </c>
      <c r="BB39" s="30" t="n">
        <v>0</v>
      </c>
      <c r="BC39" s="30" t="n">
        <v>0</v>
      </c>
      <c r="BD39" s="30" t="n">
        <v>0</v>
      </c>
      <c r="BE39" s="30" t="n">
        <v>0</v>
      </c>
      <c r="BF39" s="30" t="n">
        <v>0</v>
      </c>
      <c r="BG39" s="30" t="n">
        <v>0</v>
      </c>
      <c r="BH39" s="30" t="n">
        <v>0</v>
      </c>
      <c r="BI39" s="30" t="n">
        <v>0</v>
      </c>
      <c r="BJ39" s="30" t="n">
        <v>0</v>
      </c>
      <c r="BK39" s="30" t="n">
        <v>0</v>
      </c>
      <c r="BL39" s="30" t="n">
        <v>0</v>
      </c>
      <c r="BM39" s="30" t="n">
        <v>0</v>
      </c>
      <c r="BN39" s="30" t="n">
        <v>0</v>
      </c>
      <c r="BO39" s="30" t="n">
        <v>0</v>
      </c>
      <c r="BP39" s="30" t="n">
        <v>0</v>
      </c>
      <c r="BQ39" s="30" t="n">
        <v>0</v>
      </c>
      <c r="BR39" s="30" t="n">
        <v>0</v>
      </c>
      <c r="BS39" s="30" t="n">
        <v>0</v>
      </c>
      <c r="BT39" s="30" t="n">
        <v>0</v>
      </c>
      <c r="BU39" s="30" t="n">
        <v>0</v>
      </c>
      <c r="BV39" s="30" t="n">
        <v>0</v>
      </c>
      <c r="BW39" s="30" t="n">
        <v>0</v>
      </c>
      <c r="BX39" s="30" t="n">
        <v>0</v>
      </c>
      <c r="BY39" s="30" t="n">
        <v>0</v>
      </c>
      <c r="BZ39" s="30" t="n">
        <v>0</v>
      </c>
      <c r="CA39" s="30" t="n">
        <v>0</v>
      </c>
      <c r="CB39" s="30" t="n">
        <v>0</v>
      </c>
      <c r="CC39" s="30" t="n">
        <v>0</v>
      </c>
      <c r="CD39" s="30" t="n">
        <v>0</v>
      </c>
      <c r="CE39" s="30" t="n">
        <v>0</v>
      </c>
      <c r="CF39" s="30" t="n">
        <v>0</v>
      </c>
      <c r="CG39" s="30" t="n">
        <v>0</v>
      </c>
      <c r="CH39" s="30" t="n">
        <v>0</v>
      </c>
      <c r="CI39" s="30" t="n">
        <v>0</v>
      </c>
      <c r="CJ39" s="30" t="n">
        <v>0</v>
      </c>
      <c r="CK39" s="30" t="n">
        <v>0</v>
      </c>
      <c r="CL39" s="30" t="n">
        <v>0</v>
      </c>
      <c r="CM39" s="30" t="n">
        <v>0</v>
      </c>
      <c r="CN39" s="30" t="n">
        <v>0</v>
      </c>
      <c r="CO39" s="30" t="n">
        <v>0</v>
      </c>
      <c r="CP39" s="30" t="n">
        <v>0</v>
      </c>
      <c r="CQ39" s="30" t="n">
        <v>0</v>
      </c>
      <c r="CR39" s="30" t="n">
        <v>0</v>
      </c>
      <c r="CS39" s="30" t="n">
        <v>0</v>
      </c>
      <c r="CT39" s="30" t="n">
        <v>0</v>
      </c>
      <c r="CU39" s="30" t="n">
        <v>0</v>
      </c>
      <c r="CV39" s="30" t="n">
        <v>0</v>
      </c>
      <c r="CW39" s="30" t="n">
        <v>0</v>
      </c>
      <c r="CX39" s="30" t="n">
        <v>0</v>
      </c>
      <c r="CY39" s="30" t="n">
        <v>0</v>
      </c>
      <c r="CZ39" s="30" t="n">
        <v>0</v>
      </c>
      <c r="DA39" s="30" t="n">
        <v>0</v>
      </c>
    </row>
    <row r="40">
      <c r="A40" t="inlineStr">
        <is>
          <t>TSP-903</t>
        </is>
      </c>
      <c r="B40" s="30" t="n">
        <v>0</v>
      </c>
      <c r="C40" s="30" t="n">
        <v>0</v>
      </c>
      <c r="D40" s="30" t="n">
        <v>0</v>
      </c>
      <c r="E40" s="30" t="n">
        <v>0</v>
      </c>
      <c r="F40" s="30" t="n">
        <v>0</v>
      </c>
      <c r="G40" s="30" t="n">
        <v>0</v>
      </c>
      <c r="H40" s="30" t="n">
        <v>0</v>
      </c>
      <c r="I40" s="30" t="n">
        <v>0</v>
      </c>
      <c r="J40" s="30" t="n">
        <v>0</v>
      </c>
      <c r="K40" s="30" t="n">
        <v>0</v>
      </c>
      <c r="L40" s="30" t="n">
        <v>0</v>
      </c>
      <c r="M40" s="30" t="n">
        <v>0</v>
      </c>
      <c r="N40" s="30" t="n">
        <v>0</v>
      </c>
      <c r="O40" s="30" t="n">
        <v>0</v>
      </c>
      <c r="P40" s="30" t="n">
        <v>0</v>
      </c>
      <c r="Q40" s="30" t="n">
        <v>0</v>
      </c>
      <c r="R40" s="30" t="n">
        <v>0</v>
      </c>
      <c r="S40" s="30" t="n">
        <v>0</v>
      </c>
      <c r="T40" s="30" t="n">
        <v>0</v>
      </c>
      <c r="U40" s="30" t="n">
        <v>0</v>
      </c>
      <c r="V40" s="30" t="n">
        <v>0</v>
      </c>
      <c r="W40" s="30" t="n">
        <v>0</v>
      </c>
      <c r="X40" s="30" t="n">
        <v>0</v>
      </c>
      <c r="Y40" s="30" t="n">
        <v>0</v>
      </c>
      <c r="Z40" s="30" t="n">
        <v>0</v>
      </c>
      <c r="AA40" s="30" t="n">
        <v>0</v>
      </c>
      <c r="AB40" s="30" t="n">
        <v>0</v>
      </c>
      <c r="AC40" s="30" t="n">
        <v>0</v>
      </c>
      <c r="AD40" s="30" t="n">
        <v>0</v>
      </c>
      <c r="AE40" s="30" t="n">
        <v>0</v>
      </c>
      <c r="AF40" s="30" t="n">
        <v>0</v>
      </c>
      <c r="AG40" s="30" t="n">
        <v>0</v>
      </c>
      <c r="AH40" s="30" t="n">
        <v>0</v>
      </c>
      <c r="AI40" s="30" t="n">
        <v>0</v>
      </c>
      <c r="AJ40" s="30" t="n">
        <v>0</v>
      </c>
      <c r="AK40" s="30" t="n">
        <v>0</v>
      </c>
      <c r="AL40" s="30" t="n">
        <v>0</v>
      </c>
      <c r="AM40" s="30" t="n">
        <v>0</v>
      </c>
      <c r="AN40" s="30" t="n">
        <v>0</v>
      </c>
      <c r="AO40" s="30" t="n">
        <v>0</v>
      </c>
      <c r="AP40" s="30" t="n">
        <v>0</v>
      </c>
      <c r="AQ40" s="30" t="n">
        <v>0</v>
      </c>
      <c r="AR40" s="30" t="n">
        <v>0</v>
      </c>
      <c r="AS40" s="30" t="n">
        <v>0</v>
      </c>
      <c r="AT40" s="30" t="n">
        <v>0</v>
      </c>
      <c r="AU40" s="30" t="n">
        <v>0</v>
      </c>
      <c r="AV40" s="30" t="n">
        <v>0</v>
      </c>
      <c r="AW40" s="30" t="n">
        <v>0</v>
      </c>
      <c r="AX40" s="30" t="n">
        <v>0</v>
      </c>
      <c r="AY40" s="30" t="n">
        <v>0</v>
      </c>
      <c r="AZ40" s="30" t="n">
        <v>0</v>
      </c>
      <c r="BA40" s="30" t="n">
        <v>0</v>
      </c>
      <c r="BB40" s="30" t="n">
        <v>0</v>
      </c>
      <c r="BC40" s="30" t="n">
        <v>0</v>
      </c>
      <c r="BD40" s="30" t="n">
        <v>0</v>
      </c>
      <c r="BE40" s="30" t="n">
        <v>0</v>
      </c>
      <c r="BF40" s="30" t="n">
        <v>0</v>
      </c>
      <c r="BG40" s="30" t="n">
        <v>0</v>
      </c>
      <c r="BH40" s="30" t="n">
        <v>0</v>
      </c>
      <c r="BI40" s="30" t="n">
        <v>0</v>
      </c>
      <c r="BJ40" s="30" t="n">
        <v>0</v>
      </c>
      <c r="BK40" s="30" t="n">
        <v>0</v>
      </c>
      <c r="BL40" s="30" t="n">
        <v>0</v>
      </c>
      <c r="BM40" s="30" t="n">
        <v>0</v>
      </c>
      <c r="BN40" s="30" t="n">
        <v>0</v>
      </c>
      <c r="BO40" s="30" t="n">
        <v>0</v>
      </c>
      <c r="BP40" s="30" t="n">
        <v>0</v>
      </c>
      <c r="BQ40" s="30" t="n">
        <v>0</v>
      </c>
      <c r="BR40" s="30" t="n">
        <v>0</v>
      </c>
      <c r="BS40" s="30" t="n">
        <v>0</v>
      </c>
      <c r="BT40" s="30" t="n">
        <v>0</v>
      </c>
      <c r="BU40" s="30" t="n">
        <v>0</v>
      </c>
      <c r="BV40" s="30" t="n">
        <v>0</v>
      </c>
      <c r="BW40" s="30" t="n">
        <v>0</v>
      </c>
      <c r="BX40" s="30" t="n">
        <v>0</v>
      </c>
      <c r="BY40" s="30" t="n">
        <v>0</v>
      </c>
      <c r="BZ40" s="30" t="n">
        <v>0</v>
      </c>
      <c r="CA40" s="30" t="n">
        <v>0</v>
      </c>
      <c r="CB40" s="30" t="n">
        <v>0</v>
      </c>
      <c r="CC40" s="30" t="n">
        <v>0</v>
      </c>
      <c r="CD40" s="30" t="n">
        <v>0</v>
      </c>
      <c r="CE40" s="30" t="n">
        <v>0</v>
      </c>
      <c r="CF40" s="30" t="n">
        <v>0</v>
      </c>
      <c r="CG40" s="30" t="n">
        <v>0</v>
      </c>
      <c r="CH40" s="30" t="n">
        <v>0</v>
      </c>
      <c r="CI40" s="30" t="n">
        <v>0</v>
      </c>
      <c r="CJ40" s="30" t="n">
        <v>0</v>
      </c>
      <c r="CK40" s="30" t="n">
        <v>0</v>
      </c>
      <c r="CL40" s="30" t="n">
        <v>0</v>
      </c>
      <c r="CM40" s="30" t="n">
        <v>0</v>
      </c>
      <c r="CN40" s="30" t="n">
        <v>0</v>
      </c>
      <c r="CO40" s="30" t="n">
        <v>0</v>
      </c>
      <c r="CP40" s="30" t="n">
        <v>0</v>
      </c>
      <c r="CQ40" s="30" t="n">
        <v>0</v>
      </c>
      <c r="CR40" s="30" t="n">
        <v>0</v>
      </c>
      <c r="CS40" s="30" t="n">
        <v>0</v>
      </c>
      <c r="CT40" s="30" t="n">
        <v>0</v>
      </c>
      <c r="CU40" s="30" t="n">
        <v>0</v>
      </c>
      <c r="CV40" s="30" t="n">
        <v>0</v>
      </c>
      <c r="CW40" s="30" t="n">
        <v>0</v>
      </c>
      <c r="CX40" s="30" t="n">
        <v>0</v>
      </c>
      <c r="CY40" s="30" t="n">
        <v>0</v>
      </c>
      <c r="CZ40" s="30" t="n">
        <v>0</v>
      </c>
      <c r="DA40" s="30" t="n">
        <v>0</v>
      </c>
    </row>
    <row r="41">
      <c r="A41" t="inlineStr">
        <is>
          <t>TSP-924</t>
        </is>
      </c>
      <c r="B41" s="30" t="n">
        <v>0</v>
      </c>
      <c r="C41" s="30" t="n">
        <v>0</v>
      </c>
      <c r="D41" s="30" t="n">
        <v>0</v>
      </c>
      <c r="E41" s="30" t="n">
        <v>0</v>
      </c>
      <c r="F41" s="30" t="n">
        <v>0</v>
      </c>
      <c r="G41" s="30" t="n">
        <v>0</v>
      </c>
      <c r="H41" s="30" t="n">
        <v>0</v>
      </c>
      <c r="I41" s="30" t="n">
        <v>0</v>
      </c>
      <c r="J41" s="30" t="n">
        <v>0</v>
      </c>
      <c r="K41" s="30" t="n">
        <v>0</v>
      </c>
      <c r="L41" s="30" t="n">
        <v>0</v>
      </c>
      <c r="M41" s="30" t="n">
        <v>0</v>
      </c>
      <c r="N41" s="30" t="n">
        <v>0</v>
      </c>
      <c r="O41" s="30" t="n">
        <v>0</v>
      </c>
      <c r="P41" s="30" t="n">
        <v>0</v>
      </c>
      <c r="Q41" s="30" t="n">
        <v>0</v>
      </c>
      <c r="R41" s="30" t="n">
        <v>0</v>
      </c>
      <c r="S41" s="30" t="n">
        <v>0</v>
      </c>
      <c r="T41" s="30" t="n">
        <v>0</v>
      </c>
      <c r="U41" s="30" t="n">
        <v>0</v>
      </c>
      <c r="V41" s="30" t="n">
        <v>0</v>
      </c>
      <c r="W41" s="30" t="n">
        <v>0</v>
      </c>
      <c r="X41" s="30" t="n">
        <v>0</v>
      </c>
      <c r="Y41" s="30" t="n">
        <v>0</v>
      </c>
      <c r="Z41" s="30" t="n">
        <v>0</v>
      </c>
      <c r="AA41" s="30" t="n">
        <v>0</v>
      </c>
      <c r="AB41" s="30" t="n">
        <v>0</v>
      </c>
      <c r="AC41" s="30" t="n">
        <v>0</v>
      </c>
      <c r="AD41" s="30" t="n">
        <v>0</v>
      </c>
      <c r="AE41" s="30" t="n">
        <v>0</v>
      </c>
      <c r="AF41" s="30" t="n">
        <v>0.5132905723431526</v>
      </c>
      <c r="AG41" s="30" t="n">
        <v>0</v>
      </c>
      <c r="AH41" s="30" t="n">
        <v>0</v>
      </c>
      <c r="AI41" s="30" t="n">
        <v>0</v>
      </c>
      <c r="AJ41" s="30" t="n">
        <v>0</v>
      </c>
      <c r="AK41" s="30" t="n">
        <v>0.5132905723431526</v>
      </c>
      <c r="AL41" s="30" t="n">
        <v>0</v>
      </c>
      <c r="AM41" s="30" t="n">
        <v>0</v>
      </c>
      <c r="AN41" s="30" t="n">
        <v>0</v>
      </c>
      <c r="AO41" s="30" t="n">
        <v>0</v>
      </c>
      <c r="AP41" s="30" t="n">
        <v>0.5132905723431526</v>
      </c>
      <c r="AQ41" s="30" t="n">
        <v>0</v>
      </c>
      <c r="AR41" s="30" t="n">
        <v>0</v>
      </c>
      <c r="AS41" s="30" t="n">
        <v>0</v>
      </c>
      <c r="AT41" s="30" t="n">
        <v>0.5132905723431526</v>
      </c>
      <c r="AU41" s="30" t="n">
        <v>0</v>
      </c>
      <c r="AV41" s="30" t="n">
        <v>0</v>
      </c>
      <c r="AW41" s="30" t="n">
        <v>0</v>
      </c>
      <c r="AX41" s="30" t="n">
        <v>0.410632457874522</v>
      </c>
      <c r="AY41" s="30" t="n">
        <v>0</v>
      </c>
      <c r="AZ41" s="30" t="n">
        <v>0</v>
      </c>
      <c r="BA41" s="30" t="n">
        <v>0</v>
      </c>
      <c r="BB41" s="30" t="n">
        <v>0</v>
      </c>
      <c r="BC41" s="30" t="n">
        <v>0</v>
      </c>
      <c r="BD41" s="30" t="n">
        <v>0</v>
      </c>
      <c r="BE41" s="30" t="n">
        <v>0</v>
      </c>
      <c r="BF41" s="30" t="n">
        <v>0</v>
      </c>
      <c r="BG41" s="30" t="n">
        <v>0</v>
      </c>
      <c r="BH41" s="30" t="n">
        <v>0</v>
      </c>
      <c r="BI41" s="30" t="n">
        <v>0</v>
      </c>
      <c r="BJ41" s="30" t="n">
        <v>0</v>
      </c>
      <c r="BK41" s="30" t="n">
        <v>0</v>
      </c>
      <c r="BL41" s="30" t="n">
        <v>0</v>
      </c>
      <c r="BM41" s="30" t="n">
        <v>0</v>
      </c>
      <c r="BN41" s="30" t="n">
        <v>0</v>
      </c>
      <c r="BO41" s="30" t="n">
        <v>0</v>
      </c>
      <c r="BP41" s="30" t="n">
        <v>0</v>
      </c>
      <c r="BQ41" s="30" t="n">
        <v>0</v>
      </c>
      <c r="BR41" s="30" t="n">
        <v>0</v>
      </c>
      <c r="BS41" s="30" t="n">
        <v>0</v>
      </c>
      <c r="BT41" s="30" t="n">
        <v>0</v>
      </c>
      <c r="BU41" s="30" t="n">
        <v>0</v>
      </c>
      <c r="BV41" s="30" t="n">
        <v>0</v>
      </c>
      <c r="BW41" s="30" t="n">
        <v>0</v>
      </c>
      <c r="BX41" s="30" t="n">
        <v>0</v>
      </c>
      <c r="BY41" s="30" t="n">
        <v>0</v>
      </c>
      <c r="BZ41" s="30" t="n">
        <v>0</v>
      </c>
      <c r="CA41" s="30" t="n">
        <v>0</v>
      </c>
      <c r="CB41" s="30" t="n">
        <v>0</v>
      </c>
      <c r="CC41" s="30" t="n">
        <v>0</v>
      </c>
      <c r="CD41" s="30" t="n">
        <v>0</v>
      </c>
      <c r="CE41" s="30" t="n">
        <v>0</v>
      </c>
      <c r="CF41" s="30" t="n">
        <v>0</v>
      </c>
      <c r="CG41" s="30" t="n">
        <v>0</v>
      </c>
      <c r="CH41" s="30" t="n">
        <v>0</v>
      </c>
      <c r="CI41" s="30" t="n">
        <v>0</v>
      </c>
      <c r="CJ41" s="30" t="n">
        <v>0</v>
      </c>
      <c r="CK41" s="30" t="n">
        <v>0</v>
      </c>
      <c r="CL41" s="30" t="n">
        <v>0</v>
      </c>
      <c r="CM41" s="30" t="n">
        <v>0</v>
      </c>
      <c r="CN41" s="30" t="n">
        <v>0</v>
      </c>
      <c r="CO41" s="30" t="n">
        <v>0</v>
      </c>
      <c r="CP41" s="30" t="n">
        <v>0</v>
      </c>
      <c r="CQ41" s="30" t="n">
        <v>0</v>
      </c>
      <c r="CR41" s="30" t="n">
        <v>0</v>
      </c>
      <c r="CS41" s="30" t="n">
        <v>0</v>
      </c>
      <c r="CT41" s="30" t="n">
        <v>0</v>
      </c>
      <c r="CU41" s="30" t="n">
        <v>0</v>
      </c>
      <c r="CV41" s="30" t="n">
        <v>0</v>
      </c>
      <c r="CW41" s="30" t="n">
        <v>0</v>
      </c>
      <c r="CX41" s="30" t="n">
        <v>0</v>
      </c>
      <c r="CY41" s="30" t="n">
        <v>0</v>
      </c>
      <c r="CZ41" s="30" t="n">
        <v>0</v>
      </c>
      <c r="DA41" s="30" t="n">
        <v>0</v>
      </c>
    </row>
    <row r="42">
      <c r="A42" t="inlineStr">
        <is>
          <t>TSP-925</t>
        </is>
      </c>
      <c r="B42" s="30" t="n">
        <v>0</v>
      </c>
      <c r="C42" s="30" t="n">
        <v>0</v>
      </c>
      <c r="D42" s="30" t="n">
        <v>0</v>
      </c>
      <c r="E42" s="30" t="n">
        <v>0</v>
      </c>
      <c r="F42" s="30" t="n">
        <v>0</v>
      </c>
      <c r="G42" s="30" t="n">
        <v>0</v>
      </c>
      <c r="H42" s="30" t="n">
        <v>0</v>
      </c>
      <c r="I42" s="30" t="n">
        <v>0</v>
      </c>
      <c r="J42" s="30" t="n">
        <v>0</v>
      </c>
      <c r="K42" s="30" t="n">
        <v>0</v>
      </c>
      <c r="L42" s="30" t="n">
        <v>0</v>
      </c>
      <c r="M42" s="30" t="n">
        <v>0</v>
      </c>
      <c r="N42" s="30" t="n">
        <v>0</v>
      </c>
      <c r="O42" s="30" t="n">
        <v>0</v>
      </c>
      <c r="P42" s="30" t="n">
        <v>0</v>
      </c>
      <c r="Q42" s="30" t="n">
        <v>0</v>
      </c>
      <c r="R42" s="30" t="n">
        <v>0</v>
      </c>
      <c r="S42" s="30" t="n">
        <v>0</v>
      </c>
      <c r="T42" s="30" t="n">
        <v>0</v>
      </c>
      <c r="U42" s="30" t="n">
        <v>0</v>
      </c>
      <c r="V42" s="30" t="n">
        <v>0</v>
      </c>
      <c r="W42" s="30" t="n">
        <v>0</v>
      </c>
      <c r="X42" s="30" t="n">
        <v>0.3892207792207791</v>
      </c>
      <c r="Y42" s="30" t="n">
        <v>0</v>
      </c>
      <c r="Z42" s="30" t="n">
        <v>0</v>
      </c>
      <c r="AA42" s="30" t="n">
        <v>0</v>
      </c>
      <c r="AB42" s="30" t="n">
        <v>0</v>
      </c>
      <c r="AC42" s="30" t="n">
        <v>0</v>
      </c>
      <c r="AD42" s="30" t="n">
        <v>0.3892207792207791</v>
      </c>
      <c r="AE42" s="30" t="n">
        <v>0</v>
      </c>
      <c r="AF42" s="30" t="n">
        <v>0</v>
      </c>
      <c r="AG42" s="30" t="n">
        <v>0.3892207792207791</v>
      </c>
      <c r="AH42" s="30" t="n">
        <v>0</v>
      </c>
      <c r="AI42" s="30" t="n">
        <v>0</v>
      </c>
      <c r="AJ42" s="30" t="n">
        <v>0.3892207792207791</v>
      </c>
      <c r="AK42" s="30" t="n">
        <v>0</v>
      </c>
      <c r="AL42" s="30" t="n">
        <v>0</v>
      </c>
      <c r="AM42" s="30" t="n">
        <v>0</v>
      </c>
      <c r="AN42" s="30" t="n">
        <v>0</v>
      </c>
      <c r="AO42" s="30" t="n">
        <v>0.3892207792207791</v>
      </c>
      <c r="AP42" s="30" t="n">
        <v>0</v>
      </c>
      <c r="AQ42" s="30" t="n">
        <v>0</v>
      </c>
      <c r="AR42" s="30" t="n">
        <v>0</v>
      </c>
      <c r="AS42" s="30" t="n">
        <v>0.3892207792207791</v>
      </c>
      <c r="AT42" s="30" t="n">
        <v>0</v>
      </c>
      <c r="AU42" s="30" t="n">
        <v>0</v>
      </c>
      <c r="AV42" s="30" t="n">
        <v>0</v>
      </c>
      <c r="AW42" s="30" t="n">
        <v>0</v>
      </c>
      <c r="AX42" s="30" t="n">
        <v>0</v>
      </c>
      <c r="AY42" s="30" t="n">
        <v>0</v>
      </c>
      <c r="AZ42" s="30" t="n">
        <v>0</v>
      </c>
      <c r="BA42" s="30" t="n">
        <v>0</v>
      </c>
      <c r="BB42" s="30" t="n">
        <v>0</v>
      </c>
      <c r="BC42" s="30" t="n">
        <v>0</v>
      </c>
      <c r="BD42" s="30" t="n">
        <v>0</v>
      </c>
      <c r="BE42" s="30" t="n">
        <v>0</v>
      </c>
      <c r="BF42" s="30" t="n">
        <v>0</v>
      </c>
      <c r="BG42" s="30" t="n">
        <v>0</v>
      </c>
      <c r="BH42" s="30" t="n">
        <v>0</v>
      </c>
      <c r="BI42" s="30" t="n">
        <v>0</v>
      </c>
      <c r="BJ42" s="30" t="n">
        <v>0</v>
      </c>
      <c r="BK42" s="30" t="n">
        <v>0</v>
      </c>
      <c r="BL42" s="30" t="n">
        <v>0</v>
      </c>
      <c r="BM42" s="30" t="n">
        <v>0</v>
      </c>
      <c r="BN42" s="30" t="n">
        <v>0</v>
      </c>
      <c r="BO42" s="30" t="n">
        <v>0</v>
      </c>
      <c r="BP42" s="30" t="n">
        <v>0</v>
      </c>
      <c r="BQ42" s="30" t="n">
        <v>0</v>
      </c>
      <c r="BR42" s="30" t="n">
        <v>0</v>
      </c>
      <c r="BS42" s="30" t="n">
        <v>0</v>
      </c>
      <c r="BT42" s="30" t="n">
        <v>0</v>
      </c>
      <c r="BU42" s="30" t="n">
        <v>0</v>
      </c>
      <c r="BV42" s="30" t="n">
        <v>0</v>
      </c>
      <c r="BW42" s="30" t="n">
        <v>0</v>
      </c>
      <c r="BX42" s="30" t="n">
        <v>0</v>
      </c>
      <c r="BY42" s="30" t="n">
        <v>0</v>
      </c>
      <c r="BZ42" s="30" t="n">
        <v>0</v>
      </c>
      <c r="CA42" s="30" t="n">
        <v>0</v>
      </c>
      <c r="CB42" s="30" t="n">
        <v>0</v>
      </c>
      <c r="CC42" s="30" t="n">
        <v>0</v>
      </c>
      <c r="CD42" s="30" t="n">
        <v>0</v>
      </c>
      <c r="CE42" s="30" t="n">
        <v>0</v>
      </c>
      <c r="CF42" s="30" t="n">
        <v>0</v>
      </c>
      <c r="CG42" s="30" t="n">
        <v>0</v>
      </c>
      <c r="CH42" s="30" t="n">
        <v>0</v>
      </c>
      <c r="CI42" s="30" t="n">
        <v>0</v>
      </c>
      <c r="CJ42" s="30" t="n">
        <v>0</v>
      </c>
      <c r="CK42" s="30" t="n">
        <v>0</v>
      </c>
      <c r="CL42" s="30" t="n">
        <v>0</v>
      </c>
      <c r="CM42" s="30" t="n">
        <v>0</v>
      </c>
      <c r="CN42" s="30" t="n">
        <v>0</v>
      </c>
      <c r="CO42" s="30" t="n">
        <v>0</v>
      </c>
      <c r="CP42" s="30" t="n">
        <v>0</v>
      </c>
      <c r="CQ42" s="30" t="n">
        <v>0</v>
      </c>
      <c r="CR42" s="30" t="n">
        <v>0</v>
      </c>
      <c r="CS42" s="30" t="n">
        <v>0</v>
      </c>
      <c r="CT42" s="30" t="n">
        <v>0</v>
      </c>
      <c r="CU42" s="30" t="n">
        <v>0</v>
      </c>
      <c r="CV42" s="30" t="n">
        <v>0</v>
      </c>
      <c r="CW42" s="30" t="n">
        <v>0</v>
      </c>
      <c r="CX42" s="30" t="n">
        <v>0</v>
      </c>
      <c r="CY42" s="30" t="n">
        <v>0</v>
      </c>
      <c r="CZ42" s="30" t="n">
        <v>0</v>
      </c>
      <c r="DA42" s="30" t="n">
        <v>0</v>
      </c>
    </row>
    <row r="43">
      <c r="A43" t="inlineStr">
        <is>
          <t>TSP-927</t>
        </is>
      </c>
      <c r="B43" s="30" t="n">
        <v>0</v>
      </c>
      <c r="C43" s="30" t="n">
        <v>0</v>
      </c>
      <c r="D43" s="30" t="n">
        <v>0</v>
      </c>
      <c r="E43" s="30" t="n">
        <v>0</v>
      </c>
      <c r="F43" s="30" t="n">
        <v>0</v>
      </c>
      <c r="G43" s="30" t="n">
        <v>0</v>
      </c>
      <c r="H43" s="30" t="n">
        <v>0</v>
      </c>
      <c r="I43" s="30" t="n">
        <v>0</v>
      </c>
      <c r="J43" s="30" t="n">
        <v>0</v>
      </c>
      <c r="K43" s="30" t="n">
        <v>0</v>
      </c>
      <c r="L43" s="30" t="n">
        <v>0</v>
      </c>
      <c r="M43" s="30" t="n">
        <v>0</v>
      </c>
      <c r="N43" s="30" t="n">
        <v>0</v>
      </c>
      <c r="O43" s="30" t="n">
        <v>0</v>
      </c>
      <c r="P43" s="30" t="n">
        <v>0</v>
      </c>
      <c r="Q43" s="30" t="n">
        <v>0</v>
      </c>
      <c r="R43" s="30" t="n">
        <v>0</v>
      </c>
      <c r="S43" s="30" t="n">
        <v>0</v>
      </c>
      <c r="T43" s="30" t="n">
        <v>0</v>
      </c>
      <c r="U43" s="30" t="n">
        <v>0</v>
      </c>
      <c r="V43" s="30" t="n">
        <v>0</v>
      </c>
      <c r="W43" s="30" t="n">
        <v>0</v>
      </c>
      <c r="X43" s="30" t="n">
        <v>0</v>
      </c>
      <c r="Y43" s="30" t="n">
        <v>0</v>
      </c>
      <c r="Z43" s="30" t="n">
        <v>0</v>
      </c>
      <c r="AA43" s="30" t="n">
        <v>0</v>
      </c>
      <c r="AB43" s="30" t="n">
        <v>0</v>
      </c>
      <c r="AC43" s="30" t="n">
        <v>0</v>
      </c>
      <c r="AD43" s="30" t="n">
        <v>0</v>
      </c>
      <c r="AE43" s="30" t="n">
        <v>0</v>
      </c>
      <c r="AF43" s="30" t="n">
        <v>0</v>
      </c>
      <c r="AG43" s="30" t="n">
        <v>0</v>
      </c>
      <c r="AH43" s="30" t="n">
        <v>0</v>
      </c>
      <c r="AI43" s="30" t="n">
        <v>0</v>
      </c>
      <c r="AJ43" s="30" t="n">
        <v>0</v>
      </c>
      <c r="AK43" s="30" t="n">
        <v>0</v>
      </c>
      <c r="AL43" s="30" t="n">
        <v>0</v>
      </c>
      <c r="AM43" s="30" t="n">
        <v>0</v>
      </c>
      <c r="AN43" s="30" t="n">
        <v>0</v>
      </c>
      <c r="AO43" s="30" t="n">
        <v>0</v>
      </c>
      <c r="AP43" s="30" t="n">
        <v>0</v>
      </c>
      <c r="AQ43" s="30" t="n">
        <v>0</v>
      </c>
      <c r="AR43" s="30" t="n">
        <v>0</v>
      </c>
      <c r="AS43" s="30" t="n">
        <v>0</v>
      </c>
      <c r="AT43" s="30" t="n">
        <v>0</v>
      </c>
      <c r="AU43" s="30" t="n">
        <v>0</v>
      </c>
      <c r="AV43" s="30" t="n">
        <v>0</v>
      </c>
      <c r="AW43" s="30" t="n">
        <v>0</v>
      </c>
      <c r="AX43" s="30" t="n">
        <v>0</v>
      </c>
      <c r="AY43" s="30" t="n">
        <v>0</v>
      </c>
      <c r="AZ43" s="30" t="n">
        <v>0</v>
      </c>
      <c r="BA43" s="30" t="n">
        <v>0</v>
      </c>
      <c r="BB43" s="30" t="n">
        <v>0</v>
      </c>
      <c r="BC43" s="30" t="n">
        <v>0</v>
      </c>
      <c r="BD43" s="30" t="n">
        <v>0</v>
      </c>
      <c r="BE43" s="30" t="n">
        <v>0</v>
      </c>
      <c r="BF43" s="30" t="n">
        <v>0</v>
      </c>
      <c r="BG43" s="30" t="n">
        <v>0</v>
      </c>
      <c r="BH43" s="30" t="n">
        <v>0</v>
      </c>
      <c r="BI43" s="30" t="n">
        <v>0</v>
      </c>
      <c r="BJ43" s="30" t="n">
        <v>0</v>
      </c>
      <c r="BK43" s="30" t="n">
        <v>0</v>
      </c>
      <c r="BL43" s="30" t="n">
        <v>0</v>
      </c>
      <c r="BM43" s="30" t="n">
        <v>0</v>
      </c>
      <c r="BN43" s="30" t="n">
        <v>0</v>
      </c>
      <c r="BO43" s="30" t="n">
        <v>0</v>
      </c>
      <c r="BP43" s="30" t="n">
        <v>0</v>
      </c>
      <c r="BQ43" s="30" t="n">
        <v>0</v>
      </c>
      <c r="BR43" s="30" t="n">
        <v>0</v>
      </c>
      <c r="BS43" s="30" t="n">
        <v>0</v>
      </c>
      <c r="BT43" s="30" t="n">
        <v>0</v>
      </c>
      <c r="BU43" s="30" t="n">
        <v>0</v>
      </c>
      <c r="BV43" s="30" t="n">
        <v>0</v>
      </c>
      <c r="BW43" s="30" t="n">
        <v>0</v>
      </c>
      <c r="BX43" s="30" t="n">
        <v>0</v>
      </c>
      <c r="BY43" s="30" t="n">
        <v>0</v>
      </c>
      <c r="BZ43" s="30" t="n">
        <v>0</v>
      </c>
      <c r="CA43" s="30" t="n">
        <v>0</v>
      </c>
      <c r="CB43" s="30" t="n">
        <v>0</v>
      </c>
      <c r="CC43" s="30" t="n">
        <v>0</v>
      </c>
      <c r="CD43" s="30" t="n">
        <v>0</v>
      </c>
      <c r="CE43" s="30" t="n">
        <v>0</v>
      </c>
      <c r="CF43" s="30" t="n">
        <v>0</v>
      </c>
      <c r="CG43" s="30" t="n">
        <v>0</v>
      </c>
      <c r="CH43" s="30" t="n">
        <v>0</v>
      </c>
      <c r="CI43" s="30" t="n">
        <v>0</v>
      </c>
      <c r="CJ43" s="30" t="n">
        <v>0</v>
      </c>
      <c r="CK43" s="30" t="n">
        <v>0</v>
      </c>
      <c r="CL43" s="30" t="n">
        <v>0</v>
      </c>
      <c r="CM43" s="30" t="n">
        <v>0</v>
      </c>
      <c r="CN43" s="30" t="n">
        <v>0</v>
      </c>
      <c r="CO43" s="30" t="n">
        <v>0</v>
      </c>
      <c r="CP43" s="30" t="n">
        <v>0</v>
      </c>
      <c r="CQ43" s="30" t="n">
        <v>0</v>
      </c>
      <c r="CR43" s="30" t="n">
        <v>0</v>
      </c>
      <c r="CS43" s="30" t="n">
        <v>0</v>
      </c>
      <c r="CT43" s="30" t="n">
        <v>0</v>
      </c>
      <c r="CU43" s="30" t="n">
        <v>0</v>
      </c>
      <c r="CV43" s="30" t="n">
        <v>0</v>
      </c>
      <c r="CW43" s="30" t="n">
        <v>0</v>
      </c>
      <c r="CX43" s="30" t="n">
        <v>0</v>
      </c>
      <c r="CY43" s="30" t="n">
        <v>0</v>
      </c>
      <c r="CZ43" s="30" t="n">
        <v>0</v>
      </c>
      <c r="DA43" s="30" t="n">
        <v>0</v>
      </c>
    </row>
    <row r="44">
      <c r="A44" t="inlineStr">
        <is>
          <t>TSP-928</t>
        </is>
      </c>
      <c r="B44" s="30" t="n">
        <v>0</v>
      </c>
      <c r="C44" s="30" t="n">
        <v>0</v>
      </c>
      <c r="D44" s="30" t="n">
        <v>0</v>
      </c>
      <c r="E44" s="30" t="n">
        <v>0</v>
      </c>
      <c r="F44" s="30" t="n">
        <v>0</v>
      </c>
      <c r="G44" s="30" t="n">
        <v>0</v>
      </c>
      <c r="H44" s="30" t="n">
        <v>0</v>
      </c>
      <c r="I44" s="30" t="n">
        <v>0</v>
      </c>
      <c r="J44" s="30" t="n">
        <v>0</v>
      </c>
      <c r="K44" s="30" t="n">
        <v>0</v>
      </c>
      <c r="L44" s="30" t="n">
        <v>0</v>
      </c>
      <c r="M44" s="30" t="n">
        <v>0</v>
      </c>
      <c r="N44" s="30" t="n">
        <v>0</v>
      </c>
      <c r="O44" s="30" t="n">
        <v>0</v>
      </c>
      <c r="P44" s="30" t="n">
        <v>0</v>
      </c>
      <c r="Q44" s="30" t="n">
        <v>0</v>
      </c>
      <c r="R44" s="30" t="n">
        <v>0</v>
      </c>
      <c r="S44" s="30" t="n">
        <v>0</v>
      </c>
      <c r="T44" s="30" t="n">
        <v>0</v>
      </c>
      <c r="U44" s="30" t="n">
        <v>0</v>
      </c>
      <c r="V44" s="30" t="n">
        <v>0</v>
      </c>
      <c r="W44" s="30" t="n">
        <v>0</v>
      </c>
      <c r="X44" s="30" t="n">
        <v>0</v>
      </c>
      <c r="Y44" s="30" t="n">
        <v>0</v>
      </c>
      <c r="Z44" s="30" t="n">
        <v>0</v>
      </c>
      <c r="AA44" s="30" t="n">
        <v>0</v>
      </c>
      <c r="AB44" s="30" t="n">
        <v>0</v>
      </c>
      <c r="AC44" s="30" t="n">
        <v>0</v>
      </c>
      <c r="AD44" s="30" t="n">
        <v>0</v>
      </c>
      <c r="AE44" s="30" t="n">
        <v>0</v>
      </c>
      <c r="AF44" s="30" t="n">
        <v>1.595842200578393</v>
      </c>
      <c r="AG44" s="30" t="n">
        <v>0</v>
      </c>
      <c r="AH44" s="30" t="n">
        <v>0</v>
      </c>
      <c r="AI44" s="30" t="n">
        <v>0</v>
      </c>
      <c r="AJ44" s="30" t="n">
        <v>0</v>
      </c>
      <c r="AK44" s="30" t="n">
        <v>1.595842200578393</v>
      </c>
      <c r="AL44" s="30" t="n">
        <v>0</v>
      </c>
      <c r="AM44" s="30" t="n">
        <v>0</v>
      </c>
      <c r="AN44" s="30" t="n">
        <v>0</v>
      </c>
      <c r="AO44" s="30" t="n">
        <v>0</v>
      </c>
      <c r="AP44" s="30" t="n">
        <v>1.595842200578393</v>
      </c>
      <c r="AQ44" s="30" t="n">
        <v>0</v>
      </c>
      <c r="AR44" s="30" t="n">
        <v>0</v>
      </c>
      <c r="AS44" s="30" t="n">
        <v>0</v>
      </c>
      <c r="AT44" s="30" t="n">
        <v>1.595842200578393</v>
      </c>
      <c r="AU44" s="30" t="n">
        <v>0</v>
      </c>
      <c r="AV44" s="30" t="n">
        <v>0</v>
      </c>
      <c r="AW44" s="30" t="n">
        <v>0</v>
      </c>
      <c r="AX44" s="30" t="n">
        <v>1.276673760462714</v>
      </c>
      <c r="AY44" s="30" t="n">
        <v>0</v>
      </c>
      <c r="AZ44" s="30" t="n">
        <v>0</v>
      </c>
      <c r="BA44" s="30" t="n">
        <v>0</v>
      </c>
      <c r="BB44" s="30" t="n">
        <v>0</v>
      </c>
      <c r="BC44" s="30" t="n">
        <v>0</v>
      </c>
      <c r="BD44" s="30" t="n">
        <v>0</v>
      </c>
      <c r="BE44" s="30" t="n">
        <v>0</v>
      </c>
      <c r="BF44" s="30" t="n">
        <v>0</v>
      </c>
      <c r="BG44" s="30" t="n">
        <v>0</v>
      </c>
      <c r="BH44" s="30" t="n">
        <v>0</v>
      </c>
      <c r="BI44" s="30" t="n">
        <v>0</v>
      </c>
      <c r="BJ44" s="30" t="n">
        <v>0</v>
      </c>
      <c r="BK44" s="30" t="n">
        <v>0</v>
      </c>
      <c r="BL44" s="30" t="n">
        <v>0</v>
      </c>
      <c r="BM44" s="30" t="n">
        <v>0</v>
      </c>
      <c r="BN44" s="30" t="n">
        <v>0</v>
      </c>
      <c r="BO44" s="30" t="n">
        <v>0</v>
      </c>
      <c r="BP44" s="30" t="n">
        <v>0</v>
      </c>
      <c r="BQ44" s="30" t="n">
        <v>0</v>
      </c>
      <c r="BR44" s="30" t="n">
        <v>0</v>
      </c>
      <c r="BS44" s="30" t="n">
        <v>0</v>
      </c>
      <c r="BT44" s="30" t="n">
        <v>0</v>
      </c>
      <c r="BU44" s="30" t="n">
        <v>0</v>
      </c>
      <c r="BV44" s="30" t="n">
        <v>0</v>
      </c>
      <c r="BW44" s="30" t="n">
        <v>0</v>
      </c>
      <c r="BX44" s="30" t="n">
        <v>0</v>
      </c>
      <c r="BY44" s="30" t="n">
        <v>0</v>
      </c>
      <c r="BZ44" s="30" t="n">
        <v>0</v>
      </c>
      <c r="CA44" s="30" t="n">
        <v>0</v>
      </c>
      <c r="CB44" s="30" t="n">
        <v>0</v>
      </c>
      <c r="CC44" s="30" t="n">
        <v>0</v>
      </c>
      <c r="CD44" s="30" t="n">
        <v>0</v>
      </c>
      <c r="CE44" s="30" t="n">
        <v>0</v>
      </c>
      <c r="CF44" s="30" t="n">
        <v>0</v>
      </c>
      <c r="CG44" s="30" t="n">
        <v>0</v>
      </c>
      <c r="CH44" s="30" t="n">
        <v>0</v>
      </c>
      <c r="CI44" s="30" t="n">
        <v>0</v>
      </c>
      <c r="CJ44" s="30" t="n">
        <v>0</v>
      </c>
      <c r="CK44" s="30" t="n">
        <v>0</v>
      </c>
      <c r="CL44" s="30" t="n">
        <v>0</v>
      </c>
      <c r="CM44" s="30" t="n">
        <v>0</v>
      </c>
      <c r="CN44" s="30" t="n">
        <v>0</v>
      </c>
      <c r="CO44" s="30" t="n">
        <v>0</v>
      </c>
      <c r="CP44" s="30" t="n">
        <v>0</v>
      </c>
      <c r="CQ44" s="30" t="n">
        <v>0</v>
      </c>
      <c r="CR44" s="30" t="n">
        <v>0</v>
      </c>
      <c r="CS44" s="30" t="n">
        <v>0</v>
      </c>
      <c r="CT44" s="30" t="n">
        <v>0</v>
      </c>
      <c r="CU44" s="30" t="n">
        <v>0</v>
      </c>
      <c r="CV44" s="30" t="n">
        <v>0</v>
      </c>
      <c r="CW44" s="30" t="n">
        <v>0</v>
      </c>
      <c r="CX44" s="30" t="n">
        <v>0</v>
      </c>
      <c r="CY44" s="30" t="n">
        <v>0</v>
      </c>
      <c r="CZ44" s="30" t="n">
        <v>0</v>
      </c>
      <c r="DA44" s="30" t="n">
        <v>0</v>
      </c>
    </row>
    <row r="45">
      <c r="A45" t="inlineStr">
        <is>
          <t>TSP-929</t>
        </is>
      </c>
      <c r="B45" s="30" t="n">
        <v>0</v>
      </c>
      <c r="C45" s="30" t="n">
        <v>0</v>
      </c>
      <c r="D45" s="30" t="n">
        <v>0</v>
      </c>
      <c r="E45" s="30" t="n">
        <v>0</v>
      </c>
      <c r="F45" s="30" t="n">
        <v>0</v>
      </c>
      <c r="G45" s="30" t="n">
        <v>0</v>
      </c>
      <c r="H45" s="30" t="n">
        <v>0</v>
      </c>
      <c r="I45" s="30" t="n">
        <v>0</v>
      </c>
      <c r="J45" s="30" t="n">
        <v>0</v>
      </c>
      <c r="K45" s="30" t="n">
        <v>0</v>
      </c>
      <c r="L45" s="30" t="n">
        <v>0</v>
      </c>
      <c r="M45" s="30" t="n">
        <v>0</v>
      </c>
      <c r="N45" s="30" t="n">
        <v>0</v>
      </c>
      <c r="O45" s="30" t="n">
        <v>0</v>
      </c>
      <c r="P45" s="30" t="n">
        <v>0</v>
      </c>
      <c r="Q45" s="30" t="n">
        <v>0</v>
      </c>
      <c r="R45" s="30" t="n">
        <v>0</v>
      </c>
      <c r="S45" s="30" t="n">
        <v>0</v>
      </c>
      <c r="T45" s="30" t="n">
        <v>0</v>
      </c>
      <c r="U45" s="30" t="n">
        <v>0</v>
      </c>
      <c r="V45" s="30" t="n">
        <v>0</v>
      </c>
      <c r="W45" s="30" t="n">
        <v>0</v>
      </c>
      <c r="X45" s="30" t="n">
        <v>0</v>
      </c>
      <c r="Y45" s="30" t="n">
        <v>0</v>
      </c>
      <c r="Z45" s="30" t="n">
        <v>0</v>
      </c>
      <c r="AA45" s="30" t="n">
        <v>0</v>
      </c>
      <c r="AB45" s="30" t="n">
        <v>0</v>
      </c>
      <c r="AC45" s="30" t="n">
        <v>0</v>
      </c>
      <c r="AD45" s="30" t="n">
        <v>0</v>
      </c>
      <c r="AE45" s="30" t="n">
        <v>0</v>
      </c>
      <c r="AF45" s="30" t="n">
        <v>0</v>
      </c>
      <c r="AG45" s="30" t="n">
        <v>0</v>
      </c>
      <c r="AH45" s="30" t="n">
        <v>0</v>
      </c>
      <c r="AI45" s="30" t="n">
        <v>0</v>
      </c>
      <c r="AJ45" s="30" t="n">
        <v>0</v>
      </c>
      <c r="AK45" s="30" t="n">
        <v>0</v>
      </c>
      <c r="AL45" s="30" t="n">
        <v>0</v>
      </c>
      <c r="AM45" s="30" t="n">
        <v>0</v>
      </c>
      <c r="AN45" s="30" t="n">
        <v>0</v>
      </c>
      <c r="AO45" s="30" t="n">
        <v>0</v>
      </c>
      <c r="AP45" s="30" t="n">
        <v>0</v>
      </c>
      <c r="AQ45" s="30" t="n">
        <v>0</v>
      </c>
      <c r="AR45" s="30" t="n">
        <v>0</v>
      </c>
      <c r="AS45" s="30" t="n">
        <v>0</v>
      </c>
      <c r="AT45" s="30" t="n">
        <v>0</v>
      </c>
      <c r="AU45" s="30" t="n">
        <v>0</v>
      </c>
      <c r="AV45" s="30" t="n">
        <v>0</v>
      </c>
      <c r="AW45" s="30" t="n">
        <v>0</v>
      </c>
      <c r="AX45" s="30" t="n">
        <v>0</v>
      </c>
      <c r="AY45" s="30" t="n">
        <v>0</v>
      </c>
      <c r="AZ45" s="30" t="n">
        <v>0</v>
      </c>
      <c r="BA45" s="30" t="n">
        <v>0</v>
      </c>
      <c r="BB45" s="30" t="n">
        <v>0</v>
      </c>
      <c r="BC45" s="30" t="n">
        <v>0</v>
      </c>
      <c r="BD45" s="30" t="n">
        <v>0</v>
      </c>
      <c r="BE45" s="30" t="n">
        <v>0</v>
      </c>
      <c r="BF45" s="30" t="n">
        <v>0</v>
      </c>
      <c r="BG45" s="30" t="n">
        <v>0</v>
      </c>
      <c r="BH45" s="30" t="n">
        <v>0</v>
      </c>
      <c r="BI45" s="30" t="n">
        <v>0</v>
      </c>
      <c r="BJ45" s="30" t="n">
        <v>0</v>
      </c>
      <c r="BK45" s="30" t="n">
        <v>0</v>
      </c>
      <c r="BL45" s="30" t="n">
        <v>0</v>
      </c>
      <c r="BM45" s="30" t="n">
        <v>0</v>
      </c>
      <c r="BN45" s="30" t="n">
        <v>0</v>
      </c>
      <c r="BO45" s="30" t="n">
        <v>0</v>
      </c>
      <c r="BP45" s="30" t="n">
        <v>0</v>
      </c>
      <c r="BQ45" s="30" t="n">
        <v>0</v>
      </c>
      <c r="BR45" s="30" t="n">
        <v>0</v>
      </c>
      <c r="BS45" s="30" t="n">
        <v>0</v>
      </c>
      <c r="BT45" s="30" t="n">
        <v>0</v>
      </c>
      <c r="BU45" s="30" t="n">
        <v>0</v>
      </c>
      <c r="BV45" s="30" t="n">
        <v>0</v>
      </c>
      <c r="BW45" s="30" t="n">
        <v>0</v>
      </c>
      <c r="BX45" s="30" t="n">
        <v>0</v>
      </c>
      <c r="BY45" s="30" t="n">
        <v>0</v>
      </c>
      <c r="BZ45" s="30" t="n">
        <v>0</v>
      </c>
      <c r="CA45" s="30" t="n">
        <v>0</v>
      </c>
      <c r="CB45" s="30" t="n">
        <v>0</v>
      </c>
      <c r="CC45" s="30" t="n">
        <v>0</v>
      </c>
      <c r="CD45" s="30" t="n">
        <v>0</v>
      </c>
      <c r="CE45" s="30" t="n">
        <v>0</v>
      </c>
      <c r="CF45" s="30" t="n">
        <v>0</v>
      </c>
      <c r="CG45" s="30" t="n">
        <v>0</v>
      </c>
      <c r="CH45" s="30" t="n">
        <v>0</v>
      </c>
      <c r="CI45" s="30" t="n">
        <v>0</v>
      </c>
      <c r="CJ45" s="30" t="n">
        <v>0</v>
      </c>
      <c r="CK45" s="30" t="n">
        <v>0</v>
      </c>
      <c r="CL45" s="30" t="n">
        <v>0</v>
      </c>
      <c r="CM45" s="30" t="n">
        <v>0</v>
      </c>
      <c r="CN45" s="30" t="n">
        <v>0</v>
      </c>
      <c r="CO45" s="30" t="n">
        <v>0</v>
      </c>
      <c r="CP45" s="30" t="n">
        <v>0</v>
      </c>
      <c r="CQ45" s="30" t="n">
        <v>0</v>
      </c>
      <c r="CR45" s="30" t="n">
        <v>0</v>
      </c>
      <c r="CS45" s="30" t="n">
        <v>0</v>
      </c>
      <c r="CT45" s="30" t="n">
        <v>0</v>
      </c>
      <c r="CU45" s="30" t="n">
        <v>0</v>
      </c>
      <c r="CV45" s="30" t="n">
        <v>0</v>
      </c>
      <c r="CW45" s="30" t="n">
        <v>0</v>
      </c>
      <c r="CX45" s="30" t="n">
        <v>0</v>
      </c>
      <c r="CY45" s="30" t="n">
        <v>0</v>
      </c>
      <c r="CZ45" s="30" t="n">
        <v>0</v>
      </c>
      <c r="DA45" s="30" t="n">
        <v>0</v>
      </c>
    </row>
    <row r="46">
      <c r="A46" t="inlineStr">
        <is>
          <t>TSP-930</t>
        </is>
      </c>
      <c r="B46" s="30" t="n">
        <v>0</v>
      </c>
      <c r="C46" s="30" t="n">
        <v>0</v>
      </c>
      <c r="D46" s="30" t="n">
        <v>0</v>
      </c>
      <c r="E46" s="30" t="n">
        <v>0</v>
      </c>
      <c r="F46" s="30" t="n">
        <v>0</v>
      </c>
      <c r="G46" s="30" t="n">
        <v>0</v>
      </c>
      <c r="H46" s="30" t="n">
        <v>0</v>
      </c>
      <c r="I46" s="30" t="n">
        <v>0</v>
      </c>
      <c r="J46" s="30" t="n">
        <v>0</v>
      </c>
      <c r="K46" s="30" t="n">
        <v>0</v>
      </c>
      <c r="L46" s="30" t="n">
        <v>0</v>
      </c>
      <c r="M46" s="30" t="n"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30" t="n">
        <v>0</v>
      </c>
      <c r="S46" s="30" t="n">
        <v>0</v>
      </c>
      <c r="T46" s="30" t="n">
        <v>0</v>
      </c>
      <c r="U46" s="30" t="n">
        <v>0</v>
      </c>
      <c r="V46" s="30" t="n">
        <v>0</v>
      </c>
      <c r="W46" s="30" t="n">
        <v>0</v>
      </c>
      <c r="X46" s="30" t="n">
        <v>1.20003066745039</v>
      </c>
      <c r="Y46" s="30" t="n">
        <v>0</v>
      </c>
      <c r="Z46" s="30" t="n">
        <v>0</v>
      </c>
      <c r="AA46" s="30" t="n">
        <v>0</v>
      </c>
      <c r="AB46" s="30" t="n">
        <v>0</v>
      </c>
      <c r="AC46" s="30" t="n">
        <v>0</v>
      </c>
      <c r="AD46" s="30" t="n">
        <v>1.20003066745039</v>
      </c>
      <c r="AE46" s="30" t="n">
        <v>0</v>
      </c>
      <c r="AF46" s="30" t="n">
        <v>0</v>
      </c>
      <c r="AG46" s="30" t="n">
        <v>1.20003066745039</v>
      </c>
      <c r="AH46" s="30" t="n">
        <v>0</v>
      </c>
      <c r="AI46" s="30" t="n">
        <v>0</v>
      </c>
      <c r="AJ46" s="30" t="n">
        <v>1.20003066745039</v>
      </c>
      <c r="AK46" s="30" t="n">
        <v>0</v>
      </c>
      <c r="AL46" s="30" t="n">
        <v>0</v>
      </c>
      <c r="AM46" s="30" t="n">
        <v>0</v>
      </c>
      <c r="AN46" s="30" t="n">
        <v>0</v>
      </c>
      <c r="AO46" s="30" t="n">
        <v>1.20003066745039</v>
      </c>
      <c r="AP46" s="30" t="n">
        <v>0</v>
      </c>
      <c r="AQ46" s="30" t="n">
        <v>0</v>
      </c>
      <c r="AR46" s="30" t="n">
        <v>0</v>
      </c>
      <c r="AS46" s="30" t="n">
        <v>1.20003066745039</v>
      </c>
      <c r="AT46" s="30" t="n">
        <v>0</v>
      </c>
      <c r="AU46" s="30" t="n">
        <v>0</v>
      </c>
      <c r="AV46" s="30" t="n">
        <v>0</v>
      </c>
      <c r="AW46" s="30" t="n">
        <v>0</v>
      </c>
      <c r="AX46" s="30" t="n">
        <v>0</v>
      </c>
      <c r="AY46" s="30" t="n">
        <v>0</v>
      </c>
      <c r="AZ46" s="30" t="n">
        <v>0</v>
      </c>
      <c r="BA46" s="30" t="n">
        <v>0</v>
      </c>
      <c r="BB46" s="30" t="n">
        <v>0</v>
      </c>
      <c r="BC46" s="30" t="n">
        <v>0</v>
      </c>
      <c r="BD46" s="30" t="n">
        <v>0</v>
      </c>
      <c r="BE46" s="30" t="n">
        <v>0</v>
      </c>
      <c r="BF46" s="30" t="n">
        <v>0</v>
      </c>
      <c r="BG46" s="30" t="n">
        <v>0</v>
      </c>
      <c r="BH46" s="30" t="n">
        <v>0</v>
      </c>
      <c r="BI46" s="30" t="n">
        <v>0</v>
      </c>
      <c r="BJ46" s="30" t="n">
        <v>0</v>
      </c>
      <c r="BK46" s="30" t="n">
        <v>0</v>
      </c>
      <c r="BL46" s="30" t="n">
        <v>0</v>
      </c>
      <c r="BM46" s="30" t="n">
        <v>0</v>
      </c>
      <c r="BN46" s="30" t="n">
        <v>0</v>
      </c>
      <c r="BO46" s="30" t="n">
        <v>0</v>
      </c>
      <c r="BP46" s="30" t="n">
        <v>0</v>
      </c>
      <c r="BQ46" s="30" t="n">
        <v>0</v>
      </c>
      <c r="BR46" s="30" t="n">
        <v>0</v>
      </c>
      <c r="BS46" s="30" t="n">
        <v>0</v>
      </c>
      <c r="BT46" s="30" t="n">
        <v>0</v>
      </c>
      <c r="BU46" s="30" t="n">
        <v>0</v>
      </c>
      <c r="BV46" s="30" t="n">
        <v>0</v>
      </c>
      <c r="BW46" s="30" t="n">
        <v>0</v>
      </c>
      <c r="BX46" s="30" t="n">
        <v>0</v>
      </c>
      <c r="BY46" s="30" t="n">
        <v>0</v>
      </c>
      <c r="BZ46" s="30" t="n">
        <v>0</v>
      </c>
      <c r="CA46" s="30" t="n">
        <v>0</v>
      </c>
      <c r="CB46" s="30" t="n">
        <v>0</v>
      </c>
      <c r="CC46" s="30" t="n">
        <v>0</v>
      </c>
      <c r="CD46" s="30" t="n">
        <v>0</v>
      </c>
      <c r="CE46" s="30" t="n">
        <v>0</v>
      </c>
      <c r="CF46" s="30" t="n">
        <v>0</v>
      </c>
      <c r="CG46" s="30" t="n">
        <v>0</v>
      </c>
      <c r="CH46" s="30" t="n">
        <v>0</v>
      </c>
      <c r="CI46" s="30" t="n">
        <v>0</v>
      </c>
      <c r="CJ46" s="30" t="n">
        <v>0</v>
      </c>
      <c r="CK46" s="30" t="n">
        <v>0</v>
      </c>
      <c r="CL46" s="30" t="n">
        <v>0</v>
      </c>
      <c r="CM46" s="30" t="n">
        <v>0</v>
      </c>
      <c r="CN46" s="30" t="n">
        <v>0</v>
      </c>
      <c r="CO46" s="30" t="n">
        <v>0</v>
      </c>
      <c r="CP46" s="30" t="n">
        <v>0</v>
      </c>
      <c r="CQ46" s="30" t="n">
        <v>0</v>
      </c>
      <c r="CR46" s="30" t="n">
        <v>0</v>
      </c>
      <c r="CS46" s="30" t="n">
        <v>0</v>
      </c>
      <c r="CT46" s="30" t="n">
        <v>0</v>
      </c>
      <c r="CU46" s="30" t="n">
        <v>0</v>
      </c>
      <c r="CV46" s="30" t="n">
        <v>0</v>
      </c>
      <c r="CW46" s="30" t="n">
        <v>0</v>
      </c>
      <c r="CX46" s="30" t="n">
        <v>0</v>
      </c>
      <c r="CY46" s="30" t="n">
        <v>0</v>
      </c>
      <c r="CZ46" s="30" t="n">
        <v>0</v>
      </c>
      <c r="DA46" s="30" t="n">
        <v>0</v>
      </c>
    </row>
    <row r="47">
      <c r="A47" t="inlineStr">
        <is>
          <t>TSP-934</t>
        </is>
      </c>
      <c r="B47" s="30" t="n">
        <v>0</v>
      </c>
      <c r="C47" s="30" t="n">
        <v>0</v>
      </c>
      <c r="D47" s="30" t="n">
        <v>0</v>
      </c>
      <c r="E47" s="30" t="n">
        <v>0</v>
      </c>
      <c r="F47" s="30" t="n">
        <v>0</v>
      </c>
      <c r="G47" s="30" t="n">
        <v>0</v>
      </c>
      <c r="H47" s="30" t="n">
        <v>0</v>
      </c>
      <c r="I47" s="30" t="n">
        <v>0</v>
      </c>
      <c r="J47" s="30" t="n">
        <v>0</v>
      </c>
      <c r="K47" s="30" t="n">
        <v>0</v>
      </c>
      <c r="L47" s="30" t="n">
        <v>0</v>
      </c>
      <c r="M47" s="30" t="n">
        <v>0</v>
      </c>
      <c r="N47" s="30" t="n">
        <v>0</v>
      </c>
      <c r="O47" s="30" t="n">
        <v>0</v>
      </c>
      <c r="P47" s="30" t="n">
        <v>0</v>
      </c>
      <c r="Q47" s="30" t="n">
        <v>0</v>
      </c>
      <c r="R47" s="30" t="n">
        <v>0</v>
      </c>
      <c r="S47" s="30" t="n">
        <v>0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Y47" s="30" t="n">
        <v>0</v>
      </c>
      <c r="Z47" s="30" t="n">
        <v>0</v>
      </c>
      <c r="AA47" s="30" t="n">
        <v>0</v>
      </c>
      <c r="AB47" s="30" t="n">
        <v>0</v>
      </c>
      <c r="AC47" s="30" t="n">
        <v>0</v>
      </c>
      <c r="AD47" s="30" t="n">
        <v>0</v>
      </c>
      <c r="AE47" s="30" t="n">
        <v>0</v>
      </c>
      <c r="AF47" s="30" t="n">
        <v>0</v>
      </c>
      <c r="AG47" s="30" t="n">
        <v>0</v>
      </c>
      <c r="AH47" s="30" t="n">
        <v>0</v>
      </c>
      <c r="AI47" s="30" t="n">
        <v>0</v>
      </c>
      <c r="AJ47" s="30" t="n">
        <v>0</v>
      </c>
      <c r="AK47" s="30" t="n">
        <v>0</v>
      </c>
      <c r="AL47" s="30" t="n">
        <v>0</v>
      </c>
      <c r="AM47" s="30" t="n">
        <v>0</v>
      </c>
      <c r="AN47" s="30" t="n">
        <v>0</v>
      </c>
      <c r="AO47" s="30" t="n">
        <v>0</v>
      </c>
      <c r="AP47" s="30" t="n">
        <v>0</v>
      </c>
      <c r="AQ47" s="30" t="n">
        <v>0</v>
      </c>
      <c r="AR47" s="30" t="n">
        <v>0</v>
      </c>
      <c r="AS47" s="30" t="n">
        <v>0</v>
      </c>
      <c r="AT47" s="30" t="n">
        <v>0</v>
      </c>
      <c r="AU47" s="30" t="n">
        <v>0</v>
      </c>
      <c r="AV47" s="30" t="n">
        <v>0</v>
      </c>
      <c r="AW47" s="30" t="n">
        <v>0</v>
      </c>
      <c r="AX47" s="30" t="n">
        <v>0</v>
      </c>
      <c r="AY47" s="30" t="n">
        <v>0</v>
      </c>
      <c r="AZ47" s="30" t="n">
        <v>0</v>
      </c>
      <c r="BA47" s="30" t="n">
        <v>0</v>
      </c>
      <c r="BB47" s="30" t="n">
        <v>0</v>
      </c>
      <c r="BC47" s="30" t="n">
        <v>0</v>
      </c>
      <c r="BD47" s="30" t="n">
        <v>0</v>
      </c>
      <c r="BE47" s="30" t="n">
        <v>0</v>
      </c>
      <c r="BF47" s="30" t="n">
        <v>0</v>
      </c>
      <c r="BG47" s="30" t="n">
        <v>0</v>
      </c>
      <c r="BH47" s="30" t="n">
        <v>0</v>
      </c>
      <c r="BI47" s="30" t="n">
        <v>0</v>
      </c>
      <c r="BJ47" s="30" t="n">
        <v>0</v>
      </c>
      <c r="BK47" s="30" t="n">
        <v>0</v>
      </c>
      <c r="BL47" s="30" t="n">
        <v>0</v>
      </c>
      <c r="BM47" s="30" t="n">
        <v>0</v>
      </c>
      <c r="BN47" s="30" t="n">
        <v>0</v>
      </c>
      <c r="BO47" s="30" t="n">
        <v>0</v>
      </c>
      <c r="BP47" s="30" t="n">
        <v>0</v>
      </c>
      <c r="BQ47" s="30" t="n">
        <v>0</v>
      </c>
      <c r="BR47" s="30" t="n">
        <v>0</v>
      </c>
      <c r="BS47" s="30" t="n">
        <v>0</v>
      </c>
      <c r="BT47" s="30" t="n">
        <v>0</v>
      </c>
      <c r="BU47" s="30" t="n">
        <v>0</v>
      </c>
      <c r="BV47" s="30" t="n">
        <v>0</v>
      </c>
      <c r="BW47" s="30" t="n">
        <v>0</v>
      </c>
      <c r="BX47" s="30" t="n">
        <v>0</v>
      </c>
      <c r="BY47" s="30" t="n">
        <v>0</v>
      </c>
      <c r="BZ47" s="30" t="n">
        <v>0</v>
      </c>
      <c r="CA47" s="30" t="n">
        <v>0</v>
      </c>
      <c r="CB47" s="30" t="n">
        <v>0</v>
      </c>
      <c r="CC47" s="30" t="n">
        <v>0</v>
      </c>
      <c r="CD47" s="30" t="n">
        <v>0</v>
      </c>
      <c r="CE47" s="30" t="n">
        <v>0</v>
      </c>
      <c r="CF47" s="30" t="n">
        <v>0</v>
      </c>
      <c r="CG47" s="30" t="n">
        <v>0</v>
      </c>
      <c r="CH47" s="30" t="n">
        <v>0</v>
      </c>
      <c r="CI47" s="30" t="n">
        <v>0</v>
      </c>
      <c r="CJ47" s="30" t="n">
        <v>0</v>
      </c>
      <c r="CK47" s="30" t="n">
        <v>0</v>
      </c>
      <c r="CL47" s="30" t="n">
        <v>0</v>
      </c>
      <c r="CM47" s="30" t="n">
        <v>0</v>
      </c>
      <c r="CN47" s="30" t="n">
        <v>0</v>
      </c>
      <c r="CO47" s="30" t="n">
        <v>0</v>
      </c>
      <c r="CP47" s="30" t="n">
        <v>0</v>
      </c>
      <c r="CQ47" s="30" t="n">
        <v>0</v>
      </c>
      <c r="CR47" s="30" t="n">
        <v>0</v>
      </c>
      <c r="CS47" s="30" t="n">
        <v>0</v>
      </c>
      <c r="CT47" s="30" t="n">
        <v>0</v>
      </c>
      <c r="CU47" s="30" t="n">
        <v>0</v>
      </c>
      <c r="CV47" s="30" t="n">
        <v>0</v>
      </c>
      <c r="CW47" s="30" t="n">
        <v>0</v>
      </c>
      <c r="CX47" s="30" t="n">
        <v>0</v>
      </c>
      <c r="CY47" s="30" t="n">
        <v>0</v>
      </c>
      <c r="CZ47" s="30" t="n">
        <v>0</v>
      </c>
      <c r="DA47" s="30" t="n">
        <v>0</v>
      </c>
    </row>
    <row r="48">
      <c r="A48" t="inlineStr">
        <is>
          <t>TSP-935</t>
        </is>
      </c>
      <c r="B48" s="30" t="n">
        <v>0</v>
      </c>
      <c r="C48" s="30" t="n">
        <v>0</v>
      </c>
      <c r="D48" s="30" t="n">
        <v>0</v>
      </c>
      <c r="E48" s="30" t="n">
        <v>0</v>
      </c>
      <c r="F48" s="30" t="n">
        <v>0</v>
      </c>
      <c r="G48" s="30" t="n">
        <v>0</v>
      </c>
      <c r="H48" s="30" t="n">
        <v>0</v>
      </c>
      <c r="I48" s="30" t="n">
        <v>0</v>
      </c>
      <c r="J48" s="30" t="n">
        <v>0</v>
      </c>
      <c r="K48" s="30" t="n">
        <v>0</v>
      </c>
      <c r="L48" s="30" t="n">
        <v>0</v>
      </c>
      <c r="M48" s="30" t="n">
        <v>0</v>
      </c>
      <c r="N48" s="30" t="n">
        <v>0</v>
      </c>
      <c r="O48" s="30" t="n">
        <v>0</v>
      </c>
      <c r="P48" s="30" t="n">
        <v>0</v>
      </c>
      <c r="Q48" s="30" t="n">
        <v>0</v>
      </c>
      <c r="R48" s="30" t="n">
        <v>0</v>
      </c>
      <c r="S48" s="30" t="n">
        <v>0</v>
      </c>
      <c r="T48" s="30" t="n">
        <v>0</v>
      </c>
      <c r="U48" s="30" t="n">
        <v>0</v>
      </c>
      <c r="V48" s="30" t="n">
        <v>0</v>
      </c>
      <c r="W48" s="30" t="n">
        <v>0</v>
      </c>
      <c r="X48" s="30" t="n">
        <v>0</v>
      </c>
      <c r="Y48" s="30" t="n">
        <v>0</v>
      </c>
      <c r="Z48" s="30" t="n">
        <v>0</v>
      </c>
      <c r="AA48" s="30" t="n">
        <v>0</v>
      </c>
      <c r="AB48" s="30" t="n">
        <v>0</v>
      </c>
      <c r="AC48" s="30" t="n">
        <v>0</v>
      </c>
      <c r="AD48" s="30" t="n">
        <v>0</v>
      </c>
      <c r="AE48" s="30" t="n">
        <v>0</v>
      </c>
      <c r="AF48" s="30" t="n">
        <v>1.647732293074346</v>
      </c>
      <c r="AG48" s="30" t="n">
        <v>0</v>
      </c>
      <c r="AH48" s="30" t="n">
        <v>0</v>
      </c>
      <c r="AI48" s="30" t="n">
        <v>0</v>
      </c>
      <c r="AJ48" s="30" t="n">
        <v>0</v>
      </c>
      <c r="AK48" s="30" t="n">
        <v>1.647732293074346</v>
      </c>
      <c r="AL48" s="30" t="n">
        <v>0</v>
      </c>
      <c r="AM48" s="30" t="n">
        <v>0</v>
      </c>
      <c r="AN48" s="30" t="n">
        <v>0</v>
      </c>
      <c r="AO48" s="30" t="n">
        <v>0</v>
      </c>
      <c r="AP48" s="30" t="n">
        <v>1.647732293074346</v>
      </c>
      <c r="AQ48" s="30" t="n">
        <v>0</v>
      </c>
      <c r="AR48" s="30" t="n">
        <v>0</v>
      </c>
      <c r="AS48" s="30" t="n">
        <v>0</v>
      </c>
      <c r="AT48" s="30" t="n">
        <v>1.647732293074346</v>
      </c>
      <c r="AU48" s="30" t="n">
        <v>0</v>
      </c>
      <c r="AV48" s="30" t="n">
        <v>0</v>
      </c>
      <c r="AW48" s="30" t="n">
        <v>0</v>
      </c>
      <c r="AX48" s="30" t="n">
        <v>1.318185834459477</v>
      </c>
      <c r="AY48" s="30" t="n">
        <v>0</v>
      </c>
      <c r="AZ48" s="30" t="n">
        <v>0</v>
      </c>
      <c r="BA48" s="30" t="n">
        <v>0</v>
      </c>
      <c r="BB48" s="30" t="n">
        <v>0</v>
      </c>
      <c r="BC48" s="30" t="n">
        <v>0</v>
      </c>
      <c r="BD48" s="30" t="n">
        <v>0</v>
      </c>
      <c r="BE48" s="30" t="n">
        <v>0</v>
      </c>
      <c r="BF48" s="30" t="n">
        <v>0</v>
      </c>
      <c r="BG48" s="30" t="n">
        <v>0</v>
      </c>
      <c r="BH48" s="30" t="n">
        <v>0</v>
      </c>
      <c r="BI48" s="30" t="n">
        <v>0</v>
      </c>
      <c r="BJ48" s="30" t="n">
        <v>0</v>
      </c>
      <c r="BK48" s="30" t="n">
        <v>0</v>
      </c>
      <c r="BL48" s="30" t="n">
        <v>0</v>
      </c>
      <c r="BM48" s="30" t="n">
        <v>0</v>
      </c>
      <c r="BN48" s="30" t="n">
        <v>0</v>
      </c>
      <c r="BO48" s="30" t="n">
        <v>0</v>
      </c>
      <c r="BP48" s="30" t="n">
        <v>0</v>
      </c>
      <c r="BQ48" s="30" t="n">
        <v>0</v>
      </c>
      <c r="BR48" s="30" t="n">
        <v>0</v>
      </c>
      <c r="BS48" s="30" t="n">
        <v>0</v>
      </c>
      <c r="BT48" s="30" t="n">
        <v>0</v>
      </c>
      <c r="BU48" s="30" t="n">
        <v>0</v>
      </c>
      <c r="BV48" s="30" t="n">
        <v>0</v>
      </c>
      <c r="BW48" s="30" t="n">
        <v>0</v>
      </c>
      <c r="BX48" s="30" t="n">
        <v>0</v>
      </c>
      <c r="BY48" s="30" t="n">
        <v>0</v>
      </c>
      <c r="BZ48" s="30" t="n">
        <v>0</v>
      </c>
      <c r="CA48" s="30" t="n">
        <v>0</v>
      </c>
      <c r="CB48" s="30" t="n">
        <v>0</v>
      </c>
      <c r="CC48" s="30" t="n">
        <v>0</v>
      </c>
      <c r="CD48" s="30" t="n">
        <v>0</v>
      </c>
      <c r="CE48" s="30" t="n">
        <v>0</v>
      </c>
      <c r="CF48" s="30" t="n">
        <v>0</v>
      </c>
      <c r="CG48" s="30" t="n">
        <v>0</v>
      </c>
      <c r="CH48" s="30" t="n">
        <v>0</v>
      </c>
      <c r="CI48" s="30" t="n">
        <v>0</v>
      </c>
      <c r="CJ48" s="30" t="n">
        <v>0</v>
      </c>
      <c r="CK48" s="30" t="n">
        <v>0</v>
      </c>
      <c r="CL48" s="30" t="n">
        <v>0</v>
      </c>
      <c r="CM48" s="30" t="n">
        <v>0</v>
      </c>
      <c r="CN48" s="30" t="n">
        <v>0</v>
      </c>
      <c r="CO48" s="30" t="n">
        <v>0</v>
      </c>
      <c r="CP48" s="30" t="n">
        <v>0</v>
      </c>
      <c r="CQ48" s="30" t="n">
        <v>0</v>
      </c>
      <c r="CR48" s="30" t="n">
        <v>0</v>
      </c>
      <c r="CS48" s="30" t="n">
        <v>0</v>
      </c>
      <c r="CT48" s="30" t="n">
        <v>0</v>
      </c>
      <c r="CU48" s="30" t="n">
        <v>0</v>
      </c>
      <c r="CV48" s="30" t="n">
        <v>0</v>
      </c>
      <c r="CW48" s="30" t="n">
        <v>0</v>
      </c>
      <c r="CX48" s="30" t="n">
        <v>0</v>
      </c>
      <c r="CY48" s="30" t="n">
        <v>0</v>
      </c>
      <c r="CZ48" s="30" t="n">
        <v>0</v>
      </c>
      <c r="DA48" s="30" t="n">
        <v>0</v>
      </c>
    </row>
    <row r="49">
      <c r="A49" t="inlineStr">
        <is>
          <t>TSP-936</t>
        </is>
      </c>
      <c r="B49" s="30" t="n">
        <v>0</v>
      </c>
      <c r="C49" s="30" t="n">
        <v>0</v>
      </c>
      <c r="D49" s="30" t="n">
        <v>0</v>
      </c>
      <c r="E49" s="30" t="n">
        <v>0</v>
      </c>
      <c r="F49" s="30" t="n">
        <v>0</v>
      </c>
      <c r="G49" s="30" t="n">
        <v>0</v>
      </c>
      <c r="H49" s="30" t="n">
        <v>0</v>
      </c>
      <c r="I49" s="30" t="n">
        <v>0</v>
      </c>
      <c r="J49" s="30" t="n">
        <v>0</v>
      </c>
      <c r="K49" s="30" t="n">
        <v>0</v>
      </c>
      <c r="L49" s="30" t="n">
        <v>0</v>
      </c>
      <c r="M49" s="30" t="n">
        <v>0</v>
      </c>
      <c r="N49" s="30" t="n">
        <v>0</v>
      </c>
      <c r="O49" s="30" t="n">
        <v>0</v>
      </c>
      <c r="P49" s="30" t="n">
        <v>0</v>
      </c>
      <c r="Q49" s="30" t="n">
        <v>0</v>
      </c>
      <c r="R49" s="30" t="n">
        <v>0</v>
      </c>
      <c r="S49" s="30" t="n">
        <v>0</v>
      </c>
      <c r="T49" s="30" t="n">
        <v>0</v>
      </c>
      <c r="U49" s="30" t="n">
        <v>0</v>
      </c>
      <c r="V49" s="30" t="n">
        <v>0</v>
      </c>
      <c r="W49" s="30" t="n">
        <v>0</v>
      </c>
      <c r="X49" s="30" t="n">
        <v>0</v>
      </c>
      <c r="Y49" s="30" t="n">
        <v>0</v>
      </c>
      <c r="Z49" s="30" t="n">
        <v>0</v>
      </c>
      <c r="AA49" s="30" t="n">
        <v>0</v>
      </c>
      <c r="AB49" s="30" t="n">
        <v>0</v>
      </c>
      <c r="AC49" s="30" t="n">
        <v>0</v>
      </c>
      <c r="AD49" s="30" t="n">
        <v>0</v>
      </c>
      <c r="AE49" s="30" t="n">
        <v>0</v>
      </c>
      <c r="AF49" s="30" t="n">
        <v>0</v>
      </c>
      <c r="AG49" s="30" t="n">
        <v>0</v>
      </c>
      <c r="AH49" s="30" t="n">
        <v>0</v>
      </c>
      <c r="AI49" s="30" t="n">
        <v>0</v>
      </c>
      <c r="AJ49" s="30" t="n">
        <v>0</v>
      </c>
      <c r="AK49" s="30" t="n">
        <v>0</v>
      </c>
      <c r="AL49" s="30" t="n">
        <v>0</v>
      </c>
      <c r="AM49" s="30" t="n">
        <v>0</v>
      </c>
      <c r="AN49" s="30" t="n">
        <v>0</v>
      </c>
      <c r="AO49" s="30" t="n">
        <v>0</v>
      </c>
      <c r="AP49" s="30" t="n">
        <v>0</v>
      </c>
      <c r="AQ49" s="30" t="n">
        <v>0</v>
      </c>
      <c r="AR49" s="30" t="n">
        <v>0</v>
      </c>
      <c r="AS49" s="30" t="n">
        <v>0</v>
      </c>
      <c r="AT49" s="30" t="n">
        <v>0</v>
      </c>
      <c r="AU49" s="30" t="n">
        <v>0</v>
      </c>
      <c r="AV49" s="30" t="n">
        <v>0</v>
      </c>
      <c r="AW49" s="30" t="n">
        <v>0</v>
      </c>
      <c r="AX49" s="30" t="n">
        <v>0</v>
      </c>
      <c r="AY49" s="30" t="n">
        <v>0</v>
      </c>
      <c r="AZ49" s="30" t="n">
        <v>0</v>
      </c>
      <c r="BA49" s="30" t="n">
        <v>0</v>
      </c>
      <c r="BB49" s="30" t="n">
        <v>0</v>
      </c>
      <c r="BC49" s="30" t="n">
        <v>0</v>
      </c>
      <c r="BD49" s="30" t="n">
        <v>0</v>
      </c>
      <c r="BE49" s="30" t="n">
        <v>0</v>
      </c>
      <c r="BF49" s="30" t="n">
        <v>0</v>
      </c>
      <c r="BG49" s="30" t="n">
        <v>0</v>
      </c>
      <c r="BH49" s="30" t="n">
        <v>0</v>
      </c>
      <c r="BI49" s="30" t="n">
        <v>0</v>
      </c>
      <c r="BJ49" s="30" t="n">
        <v>0</v>
      </c>
      <c r="BK49" s="30" t="n">
        <v>0</v>
      </c>
      <c r="BL49" s="30" t="n">
        <v>0</v>
      </c>
      <c r="BM49" s="30" t="n">
        <v>0</v>
      </c>
      <c r="BN49" s="30" t="n">
        <v>0</v>
      </c>
      <c r="BO49" s="30" t="n">
        <v>0</v>
      </c>
      <c r="BP49" s="30" t="n">
        <v>0</v>
      </c>
      <c r="BQ49" s="30" t="n">
        <v>0</v>
      </c>
      <c r="BR49" s="30" t="n">
        <v>0</v>
      </c>
      <c r="BS49" s="30" t="n">
        <v>0</v>
      </c>
      <c r="BT49" s="30" t="n">
        <v>0</v>
      </c>
      <c r="BU49" s="30" t="n">
        <v>0</v>
      </c>
      <c r="BV49" s="30" t="n">
        <v>0</v>
      </c>
      <c r="BW49" s="30" t="n">
        <v>0</v>
      </c>
      <c r="BX49" s="30" t="n">
        <v>0</v>
      </c>
      <c r="BY49" s="30" t="n">
        <v>0</v>
      </c>
      <c r="BZ49" s="30" t="n">
        <v>0</v>
      </c>
      <c r="CA49" s="30" t="n">
        <v>0</v>
      </c>
      <c r="CB49" s="30" t="n">
        <v>0</v>
      </c>
      <c r="CC49" s="30" t="n">
        <v>0</v>
      </c>
      <c r="CD49" s="30" t="n">
        <v>0</v>
      </c>
      <c r="CE49" s="30" t="n">
        <v>0</v>
      </c>
      <c r="CF49" s="30" t="n">
        <v>0</v>
      </c>
      <c r="CG49" s="30" t="n">
        <v>0</v>
      </c>
      <c r="CH49" s="30" t="n">
        <v>0</v>
      </c>
      <c r="CI49" s="30" t="n">
        <v>0</v>
      </c>
      <c r="CJ49" s="30" t="n">
        <v>0</v>
      </c>
      <c r="CK49" s="30" t="n">
        <v>0</v>
      </c>
      <c r="CL49" s="30" t="n">
        <v>0</v>
      </c>
      <c r="CM49" s="30" t="n">
        <v>0</v>
      </c>
      <c r="CN49" s="30" t="n">
        <v>0</v>
      </c>
      <c r="CO49" s="30" t="n">
        <v>0</v>
      </c>
      <c r="CP49" s="30" t="n">
        <v>0</v>
      </c>
      <c r="CQ49" s="30" t="n">
        <v>0</v>
      </c>
      <c r="CR49" s="30" t="n">
        <v>0</v>
      </c>
      <c r="CS49" s="30" t="n">
        <v>0</v>
      </c>
      <c r="CT49" s="30" t="n">
        <v>0</v>
      </c>
      <c r="CU49" s="30" t="n">
        <v>0</v>
      </c>
      <c r="CV49" s="30" t="n">
        <v>0</v>
      </c>
      <c r="CW49" s="30" t="n">
        <v>0</v>
      </c>
      <c r="CX49" s="30" t="n">
        <v>0</v>
      </c>
      <c r="CY49" s="30" t="n">
        <v>0</v>
      </c>
      <c r="CZ49" s="30" t="n">
        <v>0</v>
      </c>
      <c r="DA49" s="30" t="n">
        <v>0</v>
      </c>
    </row>
    <row r="50">
      <c r="A50" t="inlineStr">
        <is>
          <t>TSP-937</t>
        </is>
      </c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v>0</v>
      </c>
      <c r="H50" s="30" t="n">
        <v>0</v>
      </c>
      <c r="I50" s="30" t="n">
        <v>0</v>
      </c>
      <c r="J50" s="30" t="n">
        <v>0</v>
      </c>
      <c r="K50" s="30" t="n">
        <v>0</v>
      </c>
      <c r="L50" s="30" t="n">
        <v>0</v>
      </c>
      <c r="M50" s="30" t="n">
        <v>0</v>
      </c>
      <c r="N50" s="30" t="n">
        <v>0</v>
      </c>
      <c r="O50" s="30" t="n">
        <v>0</v>
      </c>
      <c r="P50" s="30" t="n">
        <v>0</v>
      </c>
      <c r="Q50" s="30" t="n">
        <v>0</v>
      </c>
      <c r="R50" s="30" t="n">
        <v>0</v>
      </c>
      <c r="S50" s="30" t="n">
        <v>0</v>
      </c>
      <c r="T50" s="30" t="n">
        <v>0</v>
      </c>
      <c r="U50" s="30" t="n">
        <v>0</v>
      </c>
      <c r="V50" s="30" t="n">
        <v>0</v>
      </c>
      <c r="W50" s="30" t="n">
        <v>0</v>
      </c>
      <c r="X50" s="30" t="n">
        <v>1.239039250313827</v>
      </c>
      <c r="Y50" s="30" t="n">
        <v>0</v>
      </c>
      <c r="Z50" s="30" t="n">
        <v>0</v>
      </c>
      <c r="AA50" s="30" t="n">
        <v>0</v>
      </c>
      <c r="AB50" s="30" t="n">
        <v>0</v>
      </c>
      <c r="AC50" s="30" t="n">
        <v>0</v>
      </c>
      <c r="AD50" s="30" t="n">
        <v>1.239039250313827</v>
      </c>
      <c r="AE50" s="30" t="n">
        <v>0</v>
      </c>
      <c r="AF50" s="30" t="n">
        <v>0</v>
      </c>
      <c r="AG50" s="30" t="n">
        <v>1.239039250313827</v>
      </c>
      <c r="AH50" s="30" t="n">
        <v>0</v>
      </c>
      <c r="AI50" s="30" t="n">
        <v>0</v>
      </c>
      <c r="AJ50" s="30" t="n">
        <v>1.239039250313827</v>
      </c>
      <c r="AK50" s="30" t="n">
        <v>0</v>
      </c>
      <c r="AL50" s="30" t="n">
        <v>0</v>
      </c>
      <c r="AM50" s="30" t="n">
        <v>0</v>
      </c>
      <c r="AN50" s="30" t="n">
        <v>0</v>
      </c>
      <c r="AO50" s="30" t="n">
        <v>1.239039250313827</v>
      </c>
      <c r="AP50" s="30" t="n">
        <v>0</v>
      </c>
      <c r="AQ50" s="30" t="n">
        <v>0</v>
      </c>
      <c r="AR50" s="30" t="n">
        <v>0</v>
      </c>
      <c r="AS50" s="30" t="n">
        <v>1.239039250313827</v>
      </c>
      <c r="AT50" s="30" t="n">
        <v>0</v>
      </c>
      <c r="AU50" s="30" t="n">
        <v>0</v>
      </c>
      <c r="AV50" s="30" t="n">
        <v>0</v>
      </c>
      <c r="AW50" s="30" t="n">
        <v>0</v>
      </c>
      <c r="AX50" s="30" t="n">
        <v>0</v>
      </c>
      <c r="AY50" s="30" t="n">
        <v>0</v>
      </c>
      <c r="AZ50" s="30" t="n">
        <v>0</v>
      </c>
      <c r="BA50" s="30" t="n">
        <v>0</v>
      </c>
      <c r="BB50" s="30" t="n">
        <v>0</v>
      </c>
      <c r="BC50" s="30" t="n">
        <v>0</v>
      </c>
      <c r="BD50" s="30" t="n">
        <v>0</v>
      </c>
      <c r="BE50" s="30" t="n">
        <v>0</v>
      </c>
      <c r="BF50" s="30" t="n">
        <v>0</v>
      </c>
      <c r="BG50" s="30" t="n">
        <v>0</v>
      </c>
      <c r="BH50" s="30" t="n">
        <v>0</v>
      </c>
      <c r="BI50" s="30" t="n">
        <v>0</v>
      </c>
      <c r="BJ50" s="30" t="n">
        <v>0</v>
      </c>
      <c r="BK50" s="30" t="n">
        <v>0</v>
      </c>
      <c r="BL50" s="30" t="n">
        <v>0</v>
      </c>
      <c r="BM50" s="30" t="n">
        <v>0</v>
      </c>
      <c r="BN50" s="30" t="n">
        <v>0</v>
      </c>
      <c r="BO50" s="30" t="n">
        <v>0</v>
      </c>
      <c r="BP50" s="30" t="n">
        <v>0</v>
      </c>
      <c r="BQ50" s="30" t="n">
        <v>0</v>
      </c>
      <c r="BR50" s="30" t="n">
        <v>0</v>
      </c>
      <c r="BS50" s="30" t="n">
        <v>0</v>
      </c>
      <c r="BT50" s="30" t="n">
        <v>0</v>
      </c>
      <c r="BU50" s="30" t="n">
        <v>0</v>
      </c>
      <c r="BV50" s="30" t="n">
        <v>0</v>
      </c>
      <c r="BW50" s="30" t="n">
        <v>0</v>
      </c>
      <c r="BX50" s="30" t="n">
        <v>0</v>
      </c>
      <c r="BY50" s="30" t="n">
        <v>0</v>
      </c>
      <c r="BZ50" s="30" t="n">
        <v>0</v>
      </c>
      <c r="CA50" s="30" t="n">
        <v>0</v>
      </c>
      <c r="CB50" s="30" t="n">
        <v>0</v>
      </c>
      <c r="CC50" s="30" t="n">
        <v>0</v>
      </c>
      <c r="CD50" s="30" t="n">
        <v>0</v>
      </c>
      <c r="CE50" s="30" t="n">
        <v>0</v>
      </c>
      <c r="CF50" s="30" t="n">
        <v>0</v>
      </c>
      <c r="CG50" s="30" t="n">
        <v>0</v>
      </c>
      <c r="CH50" s="30" t="n">
        <v>0</v>
      </c>
      <c r="CI50" s="30" t="n">
        <v>0</v>
      </c>
      <c r="CJ50" s="30" t="n">
        <v>0</v>
      </c>
      <c r="CK50" s="30" t="n">
        <v>0</v>
      </c>
      <c r="CL50" s="30" t="n">
        <v>0</v>
      </c>
      <c r="CM50" s="30" t="n">
        <v>0</v>
      </c>
      <c r="CN50" s="30" t="n">
        <v>0</v>
      </c>
      <c r="CO50" s="30" t="n">
        <v>0</v>
      </c>
      <c r="CP50" s="30" t="n">
        <v>0</v>
      </c>
      <c r="CQ50" s="30" t="n">
        <v>0</v>
      </c>
      <c r="CR50" s="30" t="n">
        <v>0</v>
      </c>
      <c r="CS50" s="30" t="n">
        <v>0</v>
      </c>
      <c r="CT50" s="30" t="n">
        <v>0</v>
      </c>
      <c r="CU50" s="30" t="n">
        <v>0</v>
      </c>
      <c r="CV50" s="30" t="n">
        <v>0</v>
      </c>
      <c r="CW50" s="30" t="n">
        <v>0</v>
      </c>
      <c r="CX50" s="30" t="n">
        <v>0</v>
      </c>
      <c r="CY50" s="30" t="n">
        <v>0</v>
      </c>
      <c r="CZ50" s="30" t="n">
        <v>0</v>
      </c>
      <c r="DA50" s="30" t="n">
        <v>0</v>
      </c>
    </row>
    <row r="51">
      <c r="A51" t="inlineStr">
        <is>
          <t>TSP-959</t>
        </is>
      </c>
      <c r="B51" s="30" t="n">
        <v>0</v>
      </c>
      <c r="C51" s="30" t="n">
        <v>0</v>
      </c>
      <c r="D51" s="30" t="n">
        <v>0</v>
      </c>
      <c r="E51" s="30" t="n">
        <v>0</v>
      </c>
      <c r="F51" s="30" t="n">
        <v>0</v>
      </c>
      <c r="G51" s="30" t="n">
        <v>0</v>
      </c>
      <c r="H51" s="30" t="n">
        <v>0</v>
      </c>
      <c r="I51" s="30" t="n">
        <v>0</v>
      </c>
      <c r="J51" s="30" t="n">
        <v>0</v>
      </c>
      <c r="K51" s="30" t="n">
        <v>0</v>
      </c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v>0</v>
      </c>
      <c r="R51" s="30" t="n">
        <v>0</v>
      </c>
      <c r="S51" s="30" t="n">
        <v>0</v>
      </c>
      <c r="T51" s="30" t="n">
        <v>0</v>
      </c>
      <c r="U51" s="30" t="n">
        <v>0</v>
      </c>
      <c r="V51" s="30" t="n">
        <v>0</v>
      </c>
      <c r="W51" s="30" t="n">
        <v>0</v>
      </c>
      <c r="X51" s="30" t="n">
        <v>4.682540897586271</v>
      </c>
      <c r="Y51" s="30" t="n">
        <v>4.682540897586271</v>
      </c>
      <c r="Z51" s="30" t="n">
        <v>0</v>
      </c>
      <c r="AA51" s="30" t="n">
        <v>5.619049077103525</v>
      </c>
      <c r="AB51" s="30" t="n">
        <v>3.746032718069016</v>
      </c>
      <c r="AC51" s="30" t="n">
        <v>4.682540897586271</v>
      </c>
      <c r="AD51" s="30" t="n">
        <v>4.682540897586271</v>
      </c>
      <c r="AE51" s="30" t="n">
        <v>2.341270448793135</v>
      </c>
      <c r="AF51" s="30" t="n">
        <v>2.341270448793135</v>
      </c>
      <c r="AG51" s="30" t="n">
        <v>4.682540897586271</v>
      </c>
      <c r="AH51" s="30" t="n">
        <v>4.682540897586271</v>
      </c>
      <c r="AI51" s="30" t="n">
        <v>4.682540897586271</v>
      </c>
      <c r="AJ51" s="30" t="n">
        <v>4.682540897586271</v>
      </c>
      <c r="AK51" s="30" t="n">
        <v>4.682540897586271</v>
      </c>
      <c r="AL51" s="30" t="n">
        <v>4.682540897586271</v>
      </c>
      <c r="AM51" s="30" t="n">
        <v>4.682540897586271</v>
      </c>
      <c r="AN51" s="30" t="n">
        <v>2.341270448793135</v>
      </c>
      <c r="AO51" s="30" t="n">
        <v>2.341270448793135</v>
      </c>
      <c r="AP51" s="30" t="n">
        <v>4.682540897586271</v>
      </c>
      <c r="AQ51" s="30" t="n">
        <v>4.682540897586271</v>
      </c>
      <c r="AR51" s="30" t="n">
        <v>4.682540897586271</v>
      </c>
      <c r="AS51" s="30" t="n">
        <v>4.682540897586271</v>
      </c>
      <c r="AT51" s="30" t="n">
        <v>7.023811346379405</v>
      </c>
      <c r="AU51" s="30" t="n">
        <v>7.023811346379405</v>
      </c>
      <c r="AV51" s="30" t="n">
        <v>7.023811346379405</v>
      </c>
      <c r="AW51" s="30" t="n">
        <v>7.023811346379405</v>
      </c>
      <c r="AX51" s="30" t="n">
        <v>4.682540897586271</v>
      </c>
      <c r="AY51" s="30" t="n">
        <v>4.682540897586271</v>
      </c>
      <c r="AZ51" s="30" t="n">
        <v>2.341270448793135</v>
      </c>
      <c r="BA51" s="30" t="n">
        <v>0</v>
      </c>
      <c r="BB51" s="30" t="n">
        <v>0</v>
      </c>
      <c r="BC51" s="30" t="n">
        <v>4.682540897586271</v>
      </c>
      <c r="BD51" s="30" t="n">
        <v>4.682540897586271</v>
      </c>
      <c r="BE51" s="30" t="n">
        <v>4.682540897586271</v>
      </c>
      <c r="BF51" s="30" t="n">
        <v>4.682540897586271</v>
      </c>
      <c r="BG51" s="30" t="n">
        <v>4.682540897586271</v>
      </c>
      <c r="BH51" s="30" t="n">
        <v>4.682540897586271</v>
      </c>
      <c r="BI51" s="30" t="n">
        <v>4.682540897586271</v>
      </c>
      <c r="BJ51" s="30" t="n">
        <v>4.682540897586271</v>
      </c>
      <c r="BK51" s="30" t="n">
        <v>4.682540897586271</v>
      </c>
      <c r="BL51" s="30" t="n">
        <v>0</v>
      </c>
      <c r="BM51" s="30" t="n">
        <v>4.682540897586271</v>
      </c>
      <c r="BN51" s="30" t="n">
        <v>0</v>
      </c>
      <c r="BO51" s="30" t="n">
        <v>2.341270448793135</v>
      </c>
      <c r="BP51" s="30" t="n">
        <v>2.341270448793135</v>
      </c>
      <c r="BQ51" s="30" t="n">
        <v>2.341270448793135</v>
      </c>
      <c r="BR51" s="30" t="n">
        <v>2.341270448793135</v>
      </c>
      <c r="BS51" s="30" t="n">
        <v>0</v>
      </c>
      <c r="BT51" s="30" t="n">
        <v>2.341270448793135</v>
      </c>
      <c r="BU51" s="30" t="n">
        <v>2.341270448793135</v>
      </c>
      <c r="BV51" s="30" t="n">
        <v>2.341270448793135</v>
      </c>
      <c r="BW51" s="30" t="n">
        <v>2.341270448793135</v>
      </c>
      <c r="BX51" s="30" t="n">
        <v>0</v>
      </c>
      <c r="BY51" s="30" t="n">
        <v>0</v>
      </c>
      <c r="BZ51" s="30" t="n">
        <v>0</v>
      </c>
      <c r="CA51" s="30" t="n">
        <v>0</v>
      </c>
      <c r="CB51" s="30" t="n">
        <v>0</v>
      </c>
      <c r="CC51" s="30" t="n">
        <v>0</v>
      </c>
      <c r="CD51" s="30" t="n">
        <v>0</v>
      </c>
      <c r="CE51" s="30" t="n">
        <v>0</v>
      </c>
      <c r="CF51" s="30" t="n">
        <v>0</v>
      </c>
      <c r="CG51" s="30" t="n">
        <v>0</v>
      </c>
      <c r="CH51" s="30" t="n">
        <v>0</v>
      </c>
      <c r="CI51" s="30" t="n">
        <v>0</v>
      </c>
      <c r="CJ51" s="30" t="n">
        <v>0</v>
      </c>
      <c r="CK51" s="30" t="n">
        <v>0</v>
      </c>
      <c r="CL51" s="30" t="n">
        <v>0</v>
      </c>
      <c r="CM51" s="30" t="n">
        <v>0</v>
      </c>
      <c r="CN51" s="30" t="n">
        <v>0</v>
      </c>
      <c r="CO51" s="30" t="n">
        <v>0</v>
      </c>
      <c r="CP51" s="30" t="n">
        <v>0</v>
      </c>
      <c r="CQ51" s="30" t="n">
        <v>0</v>
      </c>
      <c r="CR51" s="30" t="n">
        <v>0</v>
      </c>
      <c r="CS51" s="30" t="n">
        <v>0</v>
      </c>
      <c r="CT51" s="30" t="n">
        <v>0</v>
      </c>
      <c r="CU51" s="30" t="n">
        <v>0</v>
      </c>
      <c r="CV51" s="30" t="n">
        <v>0</v>
      </c>
      <c r="CW51" s="30" t="n">
        <v>0</v>
      </c>
      <c r="CX51" s="30" t="n">
        <v>0</v>
      </c>
      <c r="CY51" s="30" t="n">
        <v>0</v>
      </c>
      <c r="CZ51" s="30" t="n">
        <v>0</v>
      </c>
      <c r="DA51" s="30" t="n">
        <v>0</v>
      </c>
    </row>
    <row r="52">
      <c r="A52" t="inlineStr">
        <is>
          <t>TSP-966</t>
        </is>
      </c>
      <c r="B52" s="30" t="n">
        <v>0</v>
      </c>
      <c r="C52" s="30" t="n">
        <v>0</v>
      </c>
      <c r="D52" s="30" t="n">
        <v>0</v>
      </c>
      <c r="E52" s="30" t="n">
        <v>0</v>
      </c>
      <c r="F52" s="30" t="n">
        <v>0</v>
      </c>
      <c r="G52" s="30" t="n">
        <v>0</v>
      </c>
      <c r="H52" s="30" t="n">
        <v>0</v>
      </c>
      <c r="I52" s="30" t="n">
        <v>0</v>
      </c>
      <c r="J52" s="30" t="n">
        <v>0</v>
      </c>
      <c r="K52" s="30" t="n">
        <v>0</v>
      </c>
      <c r="L52" s="30" t="n">
        <v>0</v>
      </c>
      <c r="M52" s="30" t="n">
        <v>0</v>
      </c>
      <c r="N52" s="30" t="n">
        <v>0</v>
      </c>
      <c r="O52" s="30" t="n">
        <v>0</v>
      </c>
      <c r="P52" s="30" t="n">
        <v>0</v>
      </c>
      <c r="Q52" s="30" t="n">
        <v>0</v>
      </c>
      <c r="R52" s="30" t="n">
        <v>0</v>
      </c>
      <c r="S52" s="30" t="n">
        <v>0</v>
      </c>
      <c r="T52" s="30" t="n">
        <v>0</v>
      </c>
      <c r="U52" s="30" t="n">
        <v>0</v>
      </c>
      <c r="V52" s="30" t="n">
        <v>0</v>
      </c>
      <c r="W52" s="30" t="n">
        <v>0</v>
      </c>
      <c r="X52" s="30" t="n">
        <v>3.986454051712438</v>
      </c>
      <c r="Y52" s="30" t="n">
        <v>3.986454051712438</v>
      </c>
      <c r="Z52" s="30" t="n">
        <v>0</v>
      </c>
      <c r="AA52" s="30" t="n">
        <v>4.783744862054926</v>
      </c>
      <c r="AB52" s="30" t="n">
        <v>3.18916324136995</v>
      </c>
      <c r="AC52" s="30" t="n">
        <v>3.986454051712438</v>
      </c>
      <c r="AD52" s="30" t="n">
        <v>3.986454051712438</v>
      </c>
      <c r="AE52" s="30" t="n">
        <v>1.993227025856219</v>
      </c>
      <c r="AF52" s="30" t="n">
        <v>1.993227025856219</v>
      </c>
      <c r="AG52" s="30" t="n">
        <v>3.986454051712438</v>
      </c>
      <c r="AH52" s="30" t="n">
        <v>3.986454051712438</v>
      </c>
      <c r="AI52" s="30" t="n">
        <v>3.986454051712438</v>
      </c>
      <c r="AJ52" s="30" t="n">
        <v>3.986454051712438</v>
      </c>
      <c r="AK52" s="30" t="n">
        <v>3.986454051712438</v>
      </c>
      <c r="AL52" s="30" t="n">
        <v>3.986454051712438</v>
      </c>
      <c r="AM52" s="30" t="n">
        <v>3.986454051712438</v>
      </c>
      <c r="AN52" s="30" t="n">
        <v>1.993227025856219</v>
      </c>
      <c r="AO52" s="30" t="n">
        <v>1.993227025856219</v>
      </c>
      <c r="AP52" s="30" t="n">
        <v>3.986454051712438</v>
      </c>
      <c r="AQ52" s="30" t="n">
        <v>3.986454051712438</v>
      </c>
      <c r="AR52" s="30" t="n">
        <v>3.986454051712438</v>
      </c>
      <c r="AS52" s="30" t="n">
        <v>3.986454051712438</v>
      </c>
      <c r="AT52" s="30" t="n">
        <v>5.979681077568658</v>
      </c>
      <c r="AU52" s="30" t="n">
        <v>5.979681077568658</v>
      </c>
      <c r="AV52" s="30" t="n">
        <v>5.979681077568658</v>
      </c>
      <c r="AW52" s="30" t="n">
        <v>5.979681077568658</v>
      </c>
      <c r="AX52" s="30" t="n">
        <v>3.986454051712438</v>
      </c>
      <c r="AY52" s="30" t="n">
        <v>3.986454051712438</v>
      </c>
      <c r="AZ52" s="30" t="n">
        <v>1.993227025856219</v>
      </c>
      <c r="BA52" s="30" t="n">
        <v>0</v>
      </c>
      <c r="BB52" s="30" t="n">
        <v>0</v>
      </c>
      <c r="BC52" s="30" t="n">
        <v>3.986454051712438</v>
      </c>
      <c r="BD52" s="30" t="n">
        <v>3.986454051712438</v>
      </c>
      <c r="BE52" s="30" t="n">
        <v>3.986454051712438</v>
      </c>
      <c r="BF52" s="30" t="n">
        <v>3.986454051712438</v>
      </c>
      <c r="BG52" s="30" t="n">
        <v>3.986454051712438</v>
      </c>
      <c r="BH52" s="30" t="n">
        <v>3.986454051712438</v>
      </c>
      <c r="BI52" s="30" t="n">
        <v>3.986454051712438</v>
      </c>
      <c r="BJ52" s="30" t="n">
        <v>3.986454051712438</v>
      </c>
      <c r="BK52" s="30" t="n">
        <v>3.986454051712438</v>
      </c>
      <c r="BL52" s="30" t="n">
        <v>0</v>
      </c>
      <c r="BM52" s="30" t="n">
        <v>3.986454051712438</v>
      </c>
      <c r="BN52" s="30" t="n">
        <v>0</v>
      </c>
      <c r="BO52" s="30" t="n">
        <v>1.993227025856219</v>
      </c>
      <c r="BP52" s="30" t="n">
        <v>1.993227025856219</v>
      </c>
      <c r="BQ52" s="30" t="n">
        <v>1.993227025856219</v>
      </c>
      <c r="BR52" s="30" t="n">
        <v>1.993227025856219</v>
      </c>
      <c r="BS52" s="30" t="n">
        <v>0</v>
      </c>
      <c r="BT52" s="30" t="n">
        <v>1.993227025856219</v>
      </c>
      <c r="BU52" s="30" t="n">
        <v>1.993227025856219</v>
      </c>
      <c r="BV52" s="30" t="n">
        <v>1.993227025856219</v>
      </c>
      <c r="BW52" s="30" t="n">
        <v>1.993227025856219</v>
      </c>
      <c r="BX52" s="30" t="n">
        <v>0</v>
      </c>
      <c r="BY52" s="30" t="n">
        <v>0</v>
      </c>
      <c r="BZ52" s="30" t="n">
        <v>0</v>
      </c>
      <c r="CA52" s="30" t="n">
        <v>0</v>
      </c>
      <c r="CB52" s="30" t="n">
        <v>0</v>
      </c>
      <c r="CC52" s="30" t="n">
        <v>0</v>
      </c>
      <c r="CD52" s="30" t="n">
        <v>0</v>
      </c>
      <c r="CE52" s="30" t="n">
        <v>0</v>
      </c>
      <c r="CF52" s="30" t="n">
        <v>0</v>
      </c>
      <c r="CG52" s="30" t="n">
        <v>0</v>
      </c>
      <c r="CH52" s="30" t="n">
        <v>0</v>
      </c>
      <c r="CI52" s="30" t="n">
        <v>0</v>
      </c>
      <c r="CJ52" s="30" t="n">
        <v>0</v>
      </c>
      <c r="CK52" s="30" t="n">
        <v>0</v>
      </c>
      <c r="CL52" s="30" t="n">
        <v>0</v>
      </c>
      <c r="CM52" s="30" t="n">
        <v>0</v>
      </c>
      <c r="CN52" s="30" t="n">
        <v>0</v>
      </c>
      <c r="CO52" s="30" t="n">
        <v>0</v>
      </c>
      <c r="CP52" s="30" t="n">
        <v>0</v>
      </c>
      <c r="CQ52" s="30" t="n">
        <v>0</v>
      </c>
      <c r="CR52" s="30" t="n">
        <v>0</v>
      </c>
      <c r="CS52" s="30" t="n">
        <v>0</v>
      </c>
      <c r="CT52" s="30" t="n">
        <v>0</v>
      </c>
      <c r="CU52" s="30" t="n">
        <v>0</v>
      </c>
      <c r="CV52" s="30" t="n">
        <v>0</v>
      </c>
      <c r="CW52" s="30" t="n">
        <v>0</v>
      </c>
      <c r="CX52" s="30" t="n">
        <v>0</v>
      </c>
      <c r="CY52" s="30" t="n">
        <v>0</v>
      </c>
      <c r="CZ52" s="30" t="n">
        <v>0</v>
      </c>
      <c r="DA52" s="30" t="n">
        <v>0</v>
      </c>
    </row>
    <row r="53">
      <c r="A53" t="inlineStr">
        <is>
          <t>TSZ-616</t>
        </is>
      </c>
      <c r="B53" s="30" t="n">
        <v>0</v>
      </c>
      <c r="C53" s="30" t="n">
        <v>0</v>
      </c>
      <c r="D53" s="30" t="n">
        <v>0</v>
      </c>
      <c r="E53" s="30" t="n">
        <v>0</v>
      </c>
      <c r="F53" s="30" t="n">
        <v>0</v>
      </c>
      <c r="G53" s="30" t="n">
        <v>0</v>
      </c>
      <c r="H53" s="30" t="n">
        <v>0</v>
      </c>
      <c r="I53" s="30" t="n">
        <v>0</v>
      </c>
      <c r="J53" s="30" t="n">
        <v>0</v>
      </c>
      <c r="K53" s="30" t="n">
        <v>0</v>
      </c>
      <c r="L53" s="30" t="n">
        <v>0</v>
      </c>
      <c r="M53" s="30" t="n">
        <v>0</v>
      </c>
      <c r="N53" s="30" t="n">
        <v>0</v>
      </c>
      <c r="O53" s="30" t="n">
        <v>0</v>
      </c>
      <c r="P53" s="30" t="n">
        <v>0</v>
      </c>
      <c r="Q53" s="30" t="n">
        <v>0</v>
      </c>
      <c r="R53" s="30" t="n">
        <v>0</v>
      </c>
      <c r="S53" s="30" t="n">
        <v>0</v>
      </c>
      <c r="T53" s="30" t="n">
        <v>0</v>
      </c>
      <c r="U53" s="30" t="n">
        <v>0</v>
      </c>
      <c r="V53" s="30" t="n">
        <v>0</v>
      </c>
      <c r="W53" s="30" t="n">
        <v>0</v>
      </c>
      <c r="X53" s="30" t="n">
        <v>0</v>
      </c>
      <c r="Y53" s="30" t="n">
        <v>0</v>
      </c>
      <c r="Z53" s="30" t="n">
        <v>0</v>
      </c>
      <c r="AA53" s="30" t="n">
        <v>0</v>
      </c>
      <c r="AB53" s="30" t="n">
        <v>0</v>
      </c>
      <c r="AC53" s="30" t="n">
        <v>0</v>
      </c>
      <c r="AD53" s="30" t="n">
        <v>0</v>
      </c>
      <c r="AE53" s="30" t="n">
        <v>0</v>
      </c>
      <c r="AF53" s="30" t="n">
        <v>0</v>
      </c>
      <c r="AG53" s="30" t="n">
        <v>0</v>
      </c>
      <c r="AH53" s="30" t="n">
        <v>0</v>
      </c>
      <c r="AI53" s="30" t="n">
        <v>0</v>
      </c>
      <c r="AJ53" s="30" t="n">
        <v>0</v>
      </c>
      <c r="AK53" s="30" t="n">
        <v>0</v>
      </c>
      <c r="AL53" s="30" t="n">
        <v>0</v>
      </c>
      <c r="AM53" s="30" t="n">
        <v>0</v>
      </c>
      <c r="AN53" s="30" t="n">
        <v>0</v>
      </c>
      <c r="AO53" s="30" t="n">
        <v>0</v>
      </c>
      <c r="AP53" s="30" t="n">
        <v>0</v>
      </c>
      <c r="AQ53" s="30" t="n">
        <v>0</v>
      </c>
      <c r="AR53" s="30" t="n">
        <v>0</v>
      </c>
      <c r="AS53" s="30" t="n">
        <v>0</v>
      </c>
      <c r="AT53" s="30" t="n">
        <v>0</v>
      </c>
      <c r="AU53" s="30" t="n">
        <v>0</v>
      </c>
      <c r="AV53" s="30" t="n">
        <v>0</v>
      </c>
      <c r="AW53" s="30" t="n">
        <v>0</v>
      </c>
      <c r="AX53" s="30" t="n">
        <v>0</v>
      </c>
      <c r="AY53" s="30" t="n">
        <v>0</v>
      </c>
      <c r="AZ53" s="30" t="n">
        <v>0</v>
      </c>
      <c r="BA53" s="30" t="n">
        <v>0</v>
      </c>
      <c r="BB53" s="30" t="n">
        <v>0</v>
      </c>
      <c r="BC53" s="30" t="n">
        <v>0</v>
      </c>
      <c r="BD53" s="30" t="n">
        <v>0</v>
      </c>
      <c r="BE53" s="30" t="n">
        <v>0</v>
      </c>
      <c r="BF53" s="30" t="n">
        <v>0</v>
      </c>
      <c r="BG53" s="30" t="n">
        <v>0</v>
      </c>
      <c r="BH53" s="30" t="n">
        <v>0</v>
      </c>
      <c r="BI53" s="30" t="n">
        <v>0</v>
      </c>
      <c r="BJ53" s="30" t="n">
        <v>0</v>
      </c>
      <c r="BK53" s="30" t="n">
        <v>0</v>
      </c>
      <c r="BL53" s="30" t="n">
        <v>0</v>
      </c>
      <c r="BM53" s="30" t="n">
        <v>0</v>
      </c>
      <c r="BN53" s="30" t="n">
        <v>0</v>
      </c>
      <c r="BO53" s="30" t="n">
        <v>0</v>
      </c>
      <c r="BP53" s="30" t="n">
        <v>0</v>
      </c>
      <c r="BQ53" s="30" t="n">
        <v>0</v>
      </c>
      <c r="BR53" s="30" t="n">
        <v>0</v>
      </c>
      <c r="BS53" s="30" t="n">
        <v>0</v>
      </c>
      <c r="BT53" s="30" t="n">
        <v>0</v>
      </c>
      <c r="BU53" s="30" t="n">
        <v>0</v>
      </c>
      <c r="BV53" s="30" t="n">
        <v>0</v>
      </c>
      <c r="BW53" s="30" t="n">
        <v>0</v>
      </c>
      <c r="BX53" s="30" t="n">
        <v>0</v>
      </c>
      <c r="BY53" s="30" t="n">
        <v>0</v>
      </c>
      <c r="BZ53" s="30" t="n">
        <v>0</v>
      </c>
      <c r="CA53" s="30" t="n">
        <v>0</v>
      </c>
      <c r="CB53" s="30" t="n">
        <v>0</v>
      </c>
      <c r="CC53" s="30" t="n">
        <v>0</v>
      </c>
      <c r="CD53" s="30" t="n">
        <v>0</v>
      </c>
      <c r="CE53" s="30" t="n">
        <v>0</v>
      </c>
      <c r="CF53" s="30" t="n">
        <v>0</v>
      </c>
      <c r="CG53" s="30" t="n">
        <v>0</v>
      </c>
      <c r="CH53" s="30" t="n">
        <v>0</v>
      </c>
      <c r="CI53" s="30" t="n">
        <v>0</v>
      </c>
      <c r="CJ53" s="30" t="n">
        <v>0</v>
      </c>
      <c r="CK53" s="30" t="n">
        <v>0</v>
      </c>
      <c r="CL53" s="30" t="n">
        <v>0</v>
      </c>
      <c r="CM53" s="30" t="n">
        <v>0</v>
      </c>
      <c r="CN53" s="30" t="n">
        <v>0</v>
      </c>
      <c r="CO53" s="30" t="n">
        <v>0</v>
      </c>
      <c r="CP53" s="30" t="n">
        <v>0</v>
      </c>
      <c r="CQ53" s="30" t="n">
        <v>0</v>
      </c>
      <c r="CR53" s="30" t="n">
        <v>0</v>
      </c>
      <c r="CS53" s="30" t="n">
        <v>0</v>
      </c>
      <c r="CT53" s="30" t="n">
        <v>0</v>
      </c>
      <c r="CU53" s="30" t="n">
        <v>0</v>
      </c>
      <c r="CV53" s="30" t="n">
        <v>0</v>
      </c>
      <c r="CW53" s="30" t="n">
        <v>0</v>
      </c>
      <c r="CX53" s="30" t="n">
        <v>0</v>
      </c>
      <c r="CY53" s="30" t="n">
        <v>0</v>
      </c>
      <c r="CZ53" s="30" t="n">
        <v>0</v>
      </c>
      <c r="DA53" s="30" t="n">
        <v>0</v>
      </c>
    </row>
    <row r="54">
      <c r="A54" t="inlineStr">
        <is>
          <t>TSZ-938</t>
        </is>
      </c>
      <c r="B54" s="30" t="n">
        <v>0</v>
      </c>
      <c r="C54" s="30" t="n">
        <v>0</v>
      </c>
      <c r="D54" s="30" t="n">
        <v>0</v>
      </c>
      <c r="E54" s="30" t="n">
        <v>0</v>
      </c>
      <c r="F54" s="30" t="n">
        <v>0</v>
      </c>
      <c r="G54" s="30" t="n">
        <v>0</v>
      </c>
      <c r="H54" s="30" t="n">
        <v>0</v>
      </c>
      <c r="I54" s="30" t="n">
        <v>0</v>
      </c>
      <c r="J54" s="30" t="n">
        <v>0</v>
      </c>
      <c r="K54" s="30" t="n">
        <v>0</v>
      </c>
      <c r="L54" s="30" t="n">
        <v>0</v>
      </c>
      <c r="M54" s="30" t="n">
        <v>0</v>
      </c>
      <c r="N54" s="30" t="n">
        <v>0</v>
      </c>
      <c r="O54" s="30" t="n">
        <v>0</v>
      </c>
      <c r="P54" s="30" t="n">
        <v>0</v>
      </c>
      <c r="Q54" s="30" t="n">
        <v>0</v>
      </c>
      <c r="R54" s="30" t="n">
        <v>0</v>
      </c>
      <c r="S54" s="30" t="n">
        <v>0</v>
      </c>
      <c r="T54" s="30" t="n">
        <v>0</v>
      </c>
      <c r="U54" s="30" t="n">
        <v>0</v>
      </c>
      <c r="V54" s="30" t="n">
        <v>0</v>
      </c>
      <c r="W54" s="30" t="n">
        <v>0</v>
      </c>
      <c r="X54" s="30" t="n">
        <v>0</v>
      </c>
      <c r="Y54" s="30" t="n">
        <v>0</v>
      </c>
      <c r="Z54" s="30" t="n">
        <v>0</v>
      </c>
      <c r="AA54" s="30" t="n">
        <v>0</v>
      </c>
      <c r="AB54" s="30" t="n">
        <v>0</v>
      </c>
      <c r="AC54" s="30" t="n">
        <v>0</v>
      </c>
      <c r="AD54" s="30" t="n">
        <v>0</v>
      </c>
      <c r="AE54" s="30" t="n">
        <v>0</v>
      </c>
      <c r="AF54" s="30" t="n">
        <v>0</v>
      </c>
      <c r="AG54" s="30" t="n">
        <v>0</v>
      </c>
      <c r="AH54" s="30" t="n">
        <v>0</v>
      </c>
      <c r="AI54" s="30" t="n">
        <v>0</v>
      </c>
      <c r="AJ54" s="30" t="n">
        <v>0</v>
      </c>
      <c r="AK54" s="30" t="n">
        <v>0</v>
      </c>
      <c r="AL54" s="30" t="n">
        <v>0</v>
      </c>
      <c r="AM54" s="30" t="n">
        <v>0</v>
      </c>
      <c r="AN54" s="30" t="n">
        <v>0</v>
      </c>
      <c r="AO54" s="30" t="n">
        <v>0</v>
      </c>
      <c r="AP54" s="30" t="n">
        <v>0</v>
      </c>
      <c r="AQ54" s="30" t="n">
        <v>0</v>
      </c>
      <c r="AR54" s="30" t="n">
        <v>0</v>
      </c>
      <c r="AS54" s="30" t="n">
        <v>0</v>
      </c>
      <c r="AT54" s="30" t="n">
        <v>0</v>
      </c>
      <c r="AU54" s="30" t="n">
        <v>0</v>
      </c>
      <c r="AV54" s="30" t="n">
        <v>0</v>
      </c>
      <c r="AW54" s="30" t="n">
        <v>0</v>
      </c>
      <c r="AX54" s="30" t="n">
        <v>0</v>
      </c>
      <c r="AY54" s="30" t="n">
        <v>0</v>
      </c>
      <c r="AZ54" s="30" t="n">
        <v>0</v>
      </c>
      <c r="BA54" s="30" t="n">
        <v>0</v>
      </c>
      <c r="BB54" s="30" t="n">
        <v>0</v>
      </c>
      <c r="BC54" s="30" t="n">
        <v>0</v>
      </c>
      <c r="BD54" s="30" t="n">
        <v>0</v>
      </c>
      <c r="BE54" s="30" t="n">
        <v>0</v>
      </c>
      <c r="BF54" s="30" t="n">
        <v>0</v>
      </c>
      <c r="BG54" s="30" t="n">
        <v>0</v>
      </c>
      <c r="BH54" s="30" t="n">
        <v>0</v>
      </c>
      <c r="BI54" s="30" t="n">
        <v>0</v>
      </c>
      <c r="BJ54" s="30" t="n">
        <v>0</v>
      </c>
      <c r="BK54" s="30" t="n">
        <v>0</v>
      </c>
      <c r="BL54" s="30" t="n">
        <v>0</v>
      </c>
      <c r="BM54" s="30" t="n">
        <v>0</v>
      </c>
      <c r="BN54" s="30" t="n">
        <v>0</v>
      </c>
      <c r="BO54" s="30" t="n">
        <v>0</v>
      </c>
      <c r="BP54" s="30" t="n">
        <v>0</v>
      </c>
      <c r="BQ54" s="30" t="n">
        <v>0</v>
      </c>
      <c r="BR54" s="30" t="n">
        <v>0</v>
      </c>
      <c r="BS54" s="30" t="n">
        <v>0</v>
      </c>
      <c r="BT54" s="30" t="n">
        <v>0</v>
      </c>
      <c r="BU54" s="30" t="n">
        <v>0</v>
      </c>
      <c r="BV54" s="30" t="n">
        <v>0</v>
      </c>
      <c r="BW54" s="30" t="n">
        <v>0</v>
      </c>
      <c r="BX54" s="30" t="n">
        <v>0</v>
      </c>
      <c r="BY54" s="30" t="n">
        <v>0</v>
      </c>
      <c r="BZ54" s="30" t="n">
        <v>0</v>
      </c>
      <c r="CA54" s="30" t="n">
        <v>0</v>
      </c>
      <c r="CB54" s="30" t="n">
        <v>0</v>
      </c>
      <c r="CC54" s="30" t="n">
        <v>0</v>
      </c>
      <c r="CD54" s="30" t="n">
        <v>0</v>
      </c>
      <c r="CE54" s="30" t="n">
        <v>0</v>
      </c>
      <c r="CF54" s="30" t="n">
        <v>0</v>
      </c>
      <c r="CG54" s="30" t="n">
        <v>0</v>
      </c>
      <c r="CH54" s="30" t="n">
        <v>0</v>
      </c>
      <c r="CI54" s="30" t="n">
        <v>0</v>
      </c>
      <c r="CJ54" s="30" t="n">
        <v>0</v>
      </c>
      <c r="CK54" s="30" t="n">
        <v>0</v>
      </c>
      <c r="CL54" s="30" t="n">
        <v>0</v>
      </c>
      <c r="CM54" s="30" t="n">
        <v>0</v>
      </c>
      <c r="CN54" s="30" t="n">
        <v>0</v>
      </c>
      <c r="CO54" s="30" t="n">
        <v>0</v>
      </c>
      <c r="CP54" s="30" t="n">
        <v>0</v>
      </c>
      <c r="CQ54" s="30" t="n">
        <v>0</v>
      </c>
      <c r="CR54" s="30" t="n">
        <v>0</v>
      </c>
      <c r="CS54" s="30" t="n">
        <v>0</v>
      </c>
      <c r="CT54" s="30" t="n">
        <v>0</v>
      </c>
      <c r="CU54" s="30" t="n">
        <v>0</v>
      </c>
      <c r="CV54" s="30" t="n">
        <v>0</v>
      </c>
      <c r="CW54" s="30" t="n">
        <v>0</v>
      </c>
      <c r="CX54" s="30" t="n">
        <v>0</v>
      </c>
      <c r="CY54" s="30" t="n">
        <v>0</v>
      </c>
      <c r="CZ54" s="30" t="n">
        <v>0</v>
      </c>
      <c r="DA54" s="30" t="n">
        <v>0</v>
      </c>
    </row>
    <row r="55">
      <c r="A55" t="inlineStr">
        <is>
          <t>TVS-267</t>
        </is>
      </c>
      <c r="B55" s="30" t="n">
        <v>0</v>
      </c>
      <c r="C55" s="30" t="n">
        <v>0</v>
      </c>
      <c r="D55" s="30" t="n">
        <v>0</v>
      </c>
      <c r="E55" s="30" t="n">
        <v>0</v>
      </c>
      <c r="F55" s="30" t="n">
        <v>0</v>
      </c>
      <c r="G55" s="30" t="n">
        <v>0</v>
      </c>
      <c r="H55" s="30" t="n">
        <v>0</v>
      </c>
      <c r="I55" s="30" t="n">
        <v>0</v>
      </c>
      <c r="J55" s="30" t="n">
        <v>0</v>
      </c>
      <c r="K55" s="30" t="n">
        <v>0</v>
      </c>
      <c r="L55" s="30" t="n">
        <v>0</v>
      </c>
      <c r="M55" s="30" t="n">
        <v>0</v>
      </c>
      <c r="N55" s="30" t="n">
        <v>0</v>
      </c>
      <c r="O55" s="30" t="n">
        <v>0</v>
      </c>
      <c r="P55" s="30" t="n">
        <v>0</v>
      </c>
      <c r="Q55" s="30" t="n">
        <v>0</v>
      </c>
      <c r="R55" s="30" t="n">
        <v>0</v>
      </c>
      <c r="S55" s="30" t="n">
        <v>0</v>
      </c>
      <c r="T55" s="30" t="n">
        <v>0</v>
      </c>
      <c r="U55" s="30" t="n">
        <v>0</v>
      </c>
      <c r="V55" s="30" t="n">
        <v>0</v>
      </c>
      <c r="W55" s="30" t="n">
        <v>0</v>
      </c>
      <c r="X55" s="30" t="n">
        <v>1.039041627515491</v>
      </c>
      <c r="Y55" s="30" t="n">
        <v>0</v>
      </c>
      <c r="Z55" s="30" t="n">
        <v>0</v>
      </c>
      <c r="AA55" s="30" t="n">
        <v>0</v>
      </c>
      <c r="AB55" s="30" t="n">
        <v>0</v>
      </c>
      <c r="AC55" s="30" t="n">
        <v>0</v>
      </c>
      <c r="AD55" s="30" t="n">
        <v>1.039041627515491</v>
      </c>
      <c r="AE55" s="30" t="n">
        <v>0</v>
      </c>
      <c r="AF55" s="30" t="n">
        <v>0</v>
      </c>
      <c r="AG55" s="30" t="n">
        <v>1.039041627515491</v>
      </c>
      <c r="AH55" s="30" t="n">
        <v>0</v>
      </c>
      <c r="AI55" s="30" t="n">
        <v>0</v>
      </c>
      <c r="AJ55" s="30" t="n">
        <v>1.039041627515491</v>
      </c>
      <c r="AK55" s="30" t="n">
        <v>0</v>
      </c>
      <c r="AL55" s="30" t="n">
        <v>0</v>
      </c>
      <c r="AM55" s="30" t="n">
        <v>0</v>
      </c>
      <c r="AN55" s="30" t="n">
        <v>0</v>
      </c>
      <c r="AO55" s="30" t="n">
        <v>1.039041627515491</v>
      </c>
      <c r="AP55" s="30" t="n">
        <v>0</v>
      </c>
      <c r="AQ55" s="30" t="n">
        <v>0</v>
      </c>
      <c r="AR55" s="30" t="n">
        <v>0</v>
      </c>
      <c r="AS55" s="30" t="n">
        <v>1.039041627515491</v>
      </c>
      <c r="AT55" s="30" t="n">
        <v>0</v>
      </c>
      <c r="AU55" s="30" t="n">
        <v>0</v>
      </c>
      <c r="AV55" s="30" t="n">
        <v>0</v>
      </c>
      <c r="AW55" s="30" t="n">
        <v>0</v>
      </c>
      <c r="AX55" s="30" t="n">
        <v>0</v>
      </c>
      <c r="AY55" s="30" t="n">
        <v>0</v>
      </c>
      <c r="AZ55" s="30" t="n">
        <v>0</v>
      </c>
      <c r="BA55" s="30" t="n">
        <v>0</v>
      </c>
      <c r="BB55" s="30" t="n">
        <v>0</v>
      </c>
      <c r="BC55" s="30" t="n">
        <v>0</v>
      </c>
      <c r="BD55" s="30" t="n">
        <v>0</v>
      </c>
      <c r="BE55" s="30" t="n">
        <v>0</v>
      </c>
      <c r="BF55" s="30" t="n">
        <v>0</v>
      </c>
      <c r="BG55" s="30" t="n">
        <v>0</v>
      </c>
      <c r="BH55" s="30" t="n">
        <v>0</v>
      </c>
      <c r="BI55" s="30" t="n">
        <v>0</v>
      </c>
      <c r="BJ55" s="30" t="n">
        <v>0</v>
      </c>
      <c r="BK55" s="30" t="n">
        <v>0</v>
      </c>
      <c r="BL55" s="30" t="n">
        <v>0</v>
      </c>
      <c r="BM55" s="30" t="n">
        <v>0</v>
      </c>
      <c r="BN55" s="30" t="n">
        <v>0</v>
      </c>
      <c r="BO55" s="30" t="n">
        <v>0</v>
      </c>
      <c r="BP55" s="30" t="n">
        <v>0</v>
      </c>
      <c r="BQ55" s="30" t="n">
        <v>0</v>
      </c>
      <c r="BR55" s="30" t="n">
        <v>0</v>
      </c>
      <c r="BS55" s="30" t="n">
        <v>0</v>
      </c>
      <c r="BT55" s="30" t="n">
        <v>0</v>
      </c>
      <c r="BU55" s="30" t="n">
        <v>0</v>
      </c>
      <c r="BV55" s="30" t="n">
        <v>0</v>
      </c>
      <c r="BW55" s="30" t="n">
        <v>0</v>
      </c>
      <c r="BX55" s="30" t="n">
        <v>0</v>
      </c>
      <c r="BY55" s="30" t="n">
        <v>0</v>
      </c>
      <c r="BZ55" s="30" t="n">
        <v>0</v>
      </c>
      <c r="CA55" s="30" t="n">
        <v>0</v>
      </c>
      <c r="CB55" s="30" t="n">
        <v>0</v>
      </c>
      <c r="CC55" s="30" t="n">
        <v>0</v>
      </c>
      <c r="CD55" s="30" t="n">
        <v>0</v>
      </c>
      <c r="CE55" s="30" t="n">
        <v>0</v>
      </c>
      <c r="CF55" s="30" t="n">
        <v>0</v>
      </c>
      <c r="CG55" s="30" t="n">
        <v>0</v>
      </c>
      <c r="CH55" s="30" t="n">
        <v>0</v>
      </c>
      <c r="CI55" s="30" t="n">
        <v>0</v>
      </c>
      <c r="CJ55" s="30" t="n">
        <v>0</v>
      </c>
      <c r="CK55" s="30" t="n">
        <v>0</v>
      </c>
      <c r="CL55" s="30" t="n">
        <v>0</v>
      </c>
      <c r="CM55" s="30" t="n">
        <v>0</v>
      </c>
      <c r="CN55" s="30" t="n">
        <v>0</v>
      </c>
      <c r="CO55" s="30" t="n">
        <v>0</v>
      </c>
      <c r="CP55" s="30" t="n">
        <v>0</v>
      </c>
      <c r="CQ55" s="30" t="n">
        <v>0</v>
      </c>
      <c r="CR55" s="30" t="n">
        <v>0</v>
      </c>
      <c r="CS55" s="30" t="n">
        <v>0</v>
      </c>
      <c r="CT55" s="30" t="n">
        <v>0</v>
      </c>
      <c r="CU55" s="30" t="n">
        <v>0</v>
      </c>
      <c r="CV55" s="30" t="n">
        <v>0</v>
      </c>
      <c r="CW55" s="30" t="n">
        <v>0</v>
      </c>
      <c r="CX55" s="30" t="n">
        <v>0</v>
      </c>
      <c r="CY55" s="30" t="n">
        <v>0</v>
      </c>
      <c r="CZ55" s="30" t="n">
        <v>0</v>
      </c>
      <c r="DA55" s="30" t="n">
        <v>0</v>
      </c>
    </row>
    <row r="56">
      <c r="A56" t="inlineStr">
        <is>
          <t>TVS-500</t>
        </is>
      </c>
      <c r="B56" s="30" t="n">
        <v>0</v>
      </c>
      <c r="C56" s="30" t="n">
        <v>0</v>
      </c>
      <c r="D56" s="30" t="n">
        <v>0</v>
      </c>
      <c r="E56" s="30" t="n">
        <v>0</v>
      </c>
      <c r="F56" s="30" t="n">
        <v>0</v>
      </c>
      <c r="G56" s="30" t="n">
        <v>0</v>
      </c>
      <c r="H56" s="30" t="n">
        <v>0</v>
      </c>
      <c r="I56" s="30" t="n">
        <v>0</v>
      </c>
      <c r="J56" s="30" t="n">
        <v>0</v>
      </c>
      <c r="K56" s="30" t="n">
        <v>0</v>
      </c>
      <c r="L56" s="30" t="n">
        <v>0</v>
      </c>
      <c r="M56" s="30" t="n">
        <v>0</v>
      </c>
      <c r="N56" s="30" t="n">
        <v>0</v>
      </c>
      <c r="O56" s="30" t="n">
        <v>0</v>
      </c>
      <c r="P56" s="30" t="n">
        <v>0</v>
      </c>
      <c r="Q56" s="30" t="n">
        <v>0</v>
      </c>
      <c r="R56" s="30" t="n">
        <v>0</v>
      </c>
      <c r="S56" s="30" t="n">
        <v>0</v>
      </c>
      <c r="T56" s="30" t="n">
        <v>0</v>
      </c>
      <c r="U56" s="30" t="n">
        <v>0</v>
      </c>
      <c r="V56" s="30" t="n">
        <v>0</v>
      </c>
      <c r="W56" s="30" t="n">
        <v>0</v>
      </c>
      <c r="X56" s="30" t="n">
        <v>0</v>
      </c>
      <c r="Y56" s="30" t="n">
        <v>0</v>
      </c>
      <c r="Z56" s="30" t="n">
        <v>0</v>
      </c>
      <c r="AA56" s="30" t="n">
        <v>0</v>
      </c>
      <c r="AB56" s="30" t="n">
        <v>0</v>
      </c>
      <c r="AC56" s="30" t="n">
        <v>0</v>
      </c>
      <c r="AD56" s="30" t="n">
        <v>0</v>
      </c>
      <c r="AE56" s="30" t="n">
        <v>0</v>
      </c>
      <c r="AF56" s="30" t="n">
        <v>0</v>
      </c>
      <c r="AG56" s="30" t="n">
        <v>0</v>
      </c>
      <c r="AH56" s="30" t="n">
        <v>0</v>
      </c>
      <c r="AI56" s="30" t="n">
        <v>0</v>
      </c>
      <c r="AJ56" s="30" t="n">
        <v>0</v>
      </c>
      <c r="AK56" s="30" t="n">
        <v>0</v>
      </c>
      <c r="AL56" s="30" t="n">
        <v>0</v>
      </c>
      <c r="AM56" s="30" t="n">
        <v>0</v>
      </c>
      <c r="AN56" s="30" t="n">
        <v>0</v>
      </c>
      <c r="AO56" s="30" t="n">
        <v>0</v>
      </c>
      <c r="AP56" s="30" t="n">
        <v>0</v>
      </c>
      <c r="AQ56" s="30" t="n">
        <v>0</v>
      </c>
      <c r="AR56" s="30" t="n">
        <v>0</v>
      </c>
      <c r="AS56" s="30" t="n">
        <v>0</v>
      </c>
      <c r="AT56" s="30" t="n">
        <v>0</v>
      </c>
      <c r="AU56" s="30" t="n">
        <v>0</v>
      </c>
      <c r="AV56" s="30" t="n">
        <v>0</v>
      </c>
      <c r="AW56" s="30" t="n">
        <v>0</v>
      </c>
      <c r="AX56" s="30" t="n">
        <v>0</v>
      </c>
      <c r="AY56" s="30" t="n">
        <v>0</v>
      </c>
      <c r="AZ56" s="30" t="n">
        <v>0</v>
      </c>
      <c r="BA56" s="30" t="n">
        <v>0</v>
      </c>
      <c r="BB56" s="30" t="n">
        <v>0</v>
      </c>
      <c r="BC56" s="30" t="n">
        <v>0</v>
      </c>
      <c r="BD56" s="30" t="n">
        <v>0</v>
      </c>
      <c r="BE56" s="30" t="n">
        <v>0</v>
      </c>
      <c r="BF56" s="30" t="n">
        <v>0</v>
      </c>
      <c r="BG56" s="30" t="n">
        <v>0</v>
      </c>
      <c r="BH56" s="30" t="n">
        <v>0</v>
      </c>
      <c r="BI56" s="30" t="n">
        <v>0</v>
      </c>
      <c r="BJ56" s="30" t="n">
        <v>0</v>
      </c>
      <c r="BK56" s="30" t="n">
        <v>0</v>
      </c>
      <c r="BL56" s="30" t="n">
        <v>0</v>
      </c>
      <c r="BM56" s="30" t="n">
        <v>0</v>
      </c>
      <c r="BN56" s="30" t="n">
        <v>0</v>
      </c>
      <c r="BO56" s="30" t="n">
        <v>0</v>
      </c>
      <c r="BP56" s="30" t="n">
        <v>0</v>
      </c>
      <c r="BQ56" s="30" t="n">
        <v>0</v>
      </c>
      <c r="BR56" s="30" t="n">
        <v>0</v>
      </c>
      <c r="BS56" s="30" t="n">
        <v>0</v>
      </c>
      <c r="BT56" s="30" t="n">
        <v>0</v>
      </c>
      <c r="BU56" s="30" t="n">
        <v>0</v>
      </c>
      <c r="BV56" s="30" t="n">
        <v>0</v>
      </c>
      <c r="BW56" s="30" t="n">
        <v>0</v>
      </c>
      <c r="BX56" s="30" t="n">
        <v>0</v>
      </c>
      <c r="BY56" s="30" t="n">
        <v>0</v>
      </c>
      <c r="BZ56" s="30" t="n">
        <v>0</v>
      </c>
      <c r="CA56" s="30" t="n">
        <v>0</v>
      </c>
      <c r="CB56" s="30" t="n">
        <v>0</v>
      </c>
      <c r="CC56" s="30" t="n">
        <v>0</v>
      </c>
      <c r="CD56" s="30" t="n">
        <v>0</v>
      </c>
      <c r="CE56" s="30" t="n">
        <v>0</v>
      </c>
      <c r="CF56" s="30" t="n">
        <v>0</v>
      </c>
      <c r="CG56" s="30" t="n">
        <v>0</v>
      </c>
      <c r="CH56" s="30" t="n">
        <v>0</v>
      </c>
      <c r="CI56" s="30" t="n">
        <v>0</v>
      </c>
      <c r="CJ56" s="30" t="n">
        <v>0</v>
      </c>
      <c r="CK56" s="30" t="n">
        <v>0</v>
      </c>
      <c r="CL56" s="30" t="n">
        <v>0</v>
      </c>
      <c r="CM56" s="30" t="n">
        <v>0</v>
      </c>
      <c r="CN56" s="30" t="n">
        <v>0</v>
      </c>
      <c r="CO56" s="30" t="n">
        <v>0</v>
      </c>
      <c r="CP56" s="30" t="n">
        <v>0</v>
      </c>
      <c r="CQ56" s="30" t="n">
        <v>0</v>
      </c>
      <c r="CR56" s="30" t="n">
        <v>0</v>
      </c>
      <c r="CS56" s="30" t="n">
        <v>0</v>
      </c>
      <c r="CT56" s="30" t="n">
        <v>0</v>
      </c>
      <c r="CU56" s="30" t="n">
        <v>0</v>
      </c>
      <c r="CV56" s="30" t="n">
        <v>0</v>
      </c>
      <c r="CW56" s="30" t="n">
        <v>0</v>
      </c>
      <c r="CX56" s="30" t="n">
        <v>0</v>
      </c>
      <c r="CY56" s="30" t="n">
        <v>0</v>
      </c>
      <c r="CZ56" s="30" t="n">
        <v>0</v>
      </c>
      <c r="DA56" s="30" t="n">
        <v>0</v>
      </c>
    </row>
    <row r="57">
      <c r="A57" t="inlineStr">
        <is>
          <t>TVS-664</t>
        </is>
      </c>
      <c r="B57" s="30" t="n">
        <v>0</v>
      </c>
      <c r="C57" s="30" t="n">
        <v>0</v>
      </c>
      <c r="D57" s="30" t="n">
        <v>0</v>
      </c>
      <c r="E57" s="30" t="n">
        <v>0</v>
      </c>
      <c r="F57" s="30" t="n">
        <v>0</v>
      </c>
      <c r="G57" s="30" t="n">
        <v>0</v>
      </c>
      <c r="H57" s="30" t="n">
        <v>0</v>
      </c>
      <c r="I57" s="30" t="n">
        <v>0</v>
      </c>
      <c r="J57" s="30" t="n">
        <v>0</v>
      </c>
      <c r="K57" s="30" t="n">
        <v>0</v>
      </c>
      <c r="L57" s="30" t="n">
        <v>0</v>
      </c>
      <c r="M57" s="30" t="n">
        <v>0</v>
      </c>
      <c r="N57" s="30" t="n">
        <v>0</v>
      </c>
      <c r="O57" s="30" t="n">
        <v>0</v>
      </c>
      <c r="P57" s="30" t="n">
        <v>0</v>
      </c>
      <c r="Q57" s="30" t="n">
        <v>0</v>
      </c>
      <c r="R57" s="30" t="n">
        <v>0</v>
      </c>
      <c r="S57" s="30" t="n">
        <v>0</v>
      </c>
      <c r="T57" s="30" t="n">
        <v>0</v>
      </c>
      <c r="U57" s="30" t="n">
        <v>0</v>
      </c>
      <c r="V57" s="30" t="n">
        <v>0</v>
      </c>
      <c r="W57" s="30" t="n">
        <v>0</v>
      </c>
      <c r="X57" s="30" t="n">
        <v>0</v>
      </c>
      <c r="Y57" s="30" t="n">
        <v>0</v>
      </c>
      <c r="Z57" s="30" t="n">
        <v>0</v>
      </c>
      <c r="AA57" s="30" t="n">
        <v>0</v>
      </c>
      <c r="AB57" s="30" t="n">
        <v>0</v>
      </c>
      <c r="AC57" s="30" t="n">
        <v>0</v>
      </c>
      <c r="AD57" s="30" t="n">
        <v>0</v>
      </c>
      <c r="AE57" s="30" t="n">
        <v>0</v>
      </c>
      <c r="AF57" s="30" t="n">
        <v>0</v>
      </c>
      <c r="AG57" s="30" t="n">
        <v>0</v>
      </c>
      <c r="AH57" s="30" t="n">
        <v>0</v>
      </c>
      <c r="AI57" s="30" t="n">
        <v>0</v>
      </c>
      <c r="AJ57" s="30" t="n">
        <v>0</v>
      </c>
      <c r="AK57" s="30" t="n">
        <v>0</v>
      </c>
      <c r="AL57" s="30" t="n">
        <v>0</v>
      </c>
      <c r="AM57" s="30" t="n">
        <v>0</v>
      </c>
      <c r="AN57" s="30" t="n">
        <v>0</v>
      </c>
      <c r="AO57" s="30" t="n">
        <v>0</v>
      </c>
      <c r="AP57" s="30" t="n">
        <v>0</v>
      </c>
      <c r="AQ57" s="30" t="n">
        <v>0</v>
      </c>
      <c r="AR57" s="30" t="n">
        <v>0</v>
      </c>
      <c r="AS57" s="30" t="n">
        <v>0</v>
      </c>
      <c r="AT57" s="30" t="n">
        <v>0</v>
      </c>
      <c r="AU57" s="30" t="n">
        <v>0</v>
      </c>
      <c r="AV57" s="30" t="n">
        <v>0</v>
      </c>
      <c r="AW57" s="30" t="n">
        <v>0</v>
      </c>
      <c r="AX57" s="30" t="n">
        <v>0</v>
      </c>
      <c r="AY57" s="30" t="n">
        <v>0</v>
      </c>
      <c r="AZ57" s="30" t="n">
        <v>0</v>
      </c>
      <c r="BA57" s="30" t="n">
        <v>0</v>
      </c>
      <c r="BB57" s="30" t="n">
        <v>0</v>
      </c>
      <c r="BC57" s="30" t="n">
        <v>0</v>
      </c>
      <c r="BD57" s="30" t="n">
        <v>0</v>
      </c>
      <c r="BE57" s="30" t="n">
        <v>0</v>
      </c>
      <c r="BF57" s="30" t="n">
        <v>0</v>
      </c>
      <c r="BG57" s="30" t="n">
        <v>0</v>
      </c>
      <c r="BH57" s="30" t="n">
        <v>0</v>
      </c>
      <c r="BI57" s="30" t="n">
        <v>0</v>
      </c>
      <c r="BJ57" s="30" t="n">
        <v>0</v>
      </c>
      <c r="BK57" s="30" t="n">
        <v>0</v>
      </c>
      <c r="BL57" s="30" t="n">
        <v>0</v>
      </c>
      <c r="BM57" s="30" t="n">
        <v>0</v>
      </c>
      <c r="BN57" s="30" t="n">
        <v>0</v>
      </c>
      <c r="BO57" s="30" t="n">
        <v>0</v>
      </c>
      <c r="BP57" s="30" t="n">
        <v>0</v>
      </c>
      <c r="BQ57" s="30" t="n">
        <v>0</v>
      </c>
      <c r="BR57" s="30" t="n">
        <v>0</v>
      </c>
      <c r="BS57" s="30" t="n">
        <v>0</v>
      </c>
      <c r="BT57" s="30" t="n">
        <v>0</v>
      </c>
      <c r="BU57" s="30" t="n">
        <v>0</v>
      </c>
      <c r="BV57" s="30" t="n">
        <v>0</v>
      </c>
      <c r="BW57" s="30" t="n">
        <v>0</v>
      </c>
      <c r="BX57" s="30" t="n">
        <v>0</v>
      </c>
      <c r="BY57" s="30" t="n">
        <v>0</v>
      </c>
      <c r="BZ57" s="30" t="n">
        <v>0</v>
      </c>
      <c r="CA57" s="30" t="n">
        <v>0</v>
      </c>
      <c r="CB57" s="30" t="n">
        <v>0</v>
      </c>
      <c r="CC57" s="30" t="n">
        <v>0</v>
      </c>
      <c r="CD57" s="30" t="n">
        <v>0</v>
      </c>
      <c r="CE57" s="30" t="n">
        <v>0</v>
      </c>
      <c r="CF57" s="30" t="n">
        <v>0</v>
      </c>
      <c r="CG57" s="30" t="n">
        <v>0</v>
      </c>
      <c r="CH57" s="30" t="n">
        <v>0</v>
      </c>
      <c r="CI57" s="30" t="n">
        <v>0</v>
      </c>
      <c r="CJ57" s="30" t="n">
        <v>0</v>
      </c>
      <c r="CK57" s="30" t="n">
        <v>0</v>
      </c>
      <c r="CL57" s="30" t="n">
        <v>0</v>
      </c>
      <c r="CM57" s="30" t="n">
        <v>0</v>
      </c>
      <c r="CN57" s="30" t="n">
        <v>0</v>
      </c>
      <c r="CO57" s="30" t="n">
        <v>0</v>
      </c>
      <c r="CP57" s="30" t="n">
        <v>0</v>
      </c>
      <c r="CQ57" s="30" t="n">
        <v>0</v>
      </c>
      <c r="CR57" s="30" t="n">
        <v>0</v>
      </c>
      <c r="CS57" s="30" t="n">
        <v>0</v>
      </c>
      <c r="CT57" s="30" t="n">
        <v>0</v>
      </c>
      <c r="CU57" s="30" t="n">
        <v>0</v>
      </c>
      <c r="CV57" s="30" t="n">
        <v>0</v>
      </c>
      <c r="CW57" s="30" t="n">
        <v>0</v>
      </c>
      <c r="CX57" s="30" t="n">
        <v>0</v>
      </c>
      <c r="CY57" s="30" t="n">
        <v>0</v>
      </c>
      <c r="CZ57" s="30" t="n">
        <v>0</v>
      </c>
      <c r="DA57" s="30" t="n">
        <v>0</v>
      </c>
    </row>
    <row r="58">
      <c r="A58" t="inlineStr">
        <is>
          <t>TVS-833</t>
        </is>
      </c>
      <c r="B58" s="30" t="n">
        <v>0</v>
      </c>
      <c r="C58" s="30" t="n">
        <v>0</v>
      </c>
      <c r="D58" s="30" t="n">
        <v>0</v>
      </c>
      <c r="E58" s="30" t="n">
        <v>0</v>
      </c>
      <c r="F58" s="30" t="n">
        <v>0</v>
      </c>
      <c r="G58" s="30" t="n">
        <v>0</v>
      </c>
      <c r="H58" s="30" t="n">
        <v>0</v>
      </c>
      <c r="I58" s="30" t="n">
        <v>0</v>
      </c>
      <c r="J58" s="30" t="n">
        <v>0</v>
      </c>
      <c r="K58" s="30" t="n">
        <v>0</v>
      </c>
      <c r="L58" s="30" t="n">
        <v>0</v>
      </c>
      <c r="M58" s="30" t="n">
        <v>0</v>
      </c>
      <c r="N58" s="30" t="n">
        <v>0</v>
      </c>
      <c r="O58" s="30" t="n">
        <v>0</v>
      </c>
      <c r="P58" s="30" t="n">
        <v>0</v>
      </c>
      <c r="Q58" s="30" t="n">
        <v>0</v>
      </c>
      <c r="R58" s="30" t="n">
        <v>0</v>
      </c>
      <c r="S58" s="30" t="n">
        <v>0</v>
      </c>
      <c r="T58" s="30" t="n">
        <v>0</v>
      </c>
      <c r="U58" s="30" t="n">
        <v>0</v>
      </c>
      <c r="V58" s="30" t="n">
        <v>0</v>
      </c>
      <c r="W58" s="30" t="n">
        <v>0</v>
      </c>
      <c r="X58" s="30" t="n">
        <v>13.66098314386007</v>
      </c>
      <c r="Y58" s="30" t="n">
        <v>2.818518711832559</v>
      </c>
      <c r="Z58" s="30" t="n">
        <v>0</v>
      </c>
      <c r="AA58" s="30" t="n">
        <v>6.830491571930034</v>
      </c>
      <c r="AB58" s="30" t="n">
        <v>8.769229800140572</v>
      </c>
      <c r="AC58" s="30" t="n">
        <v>0</v>
      </c>
      <c r="AD58" s="30" t="n">
        <v>2.818518711832559</v>
      </c>
      <c r="AE58" s="30" t="n">
        <v>9.962683948405489</v>
      </c>
      <c r="AF58" s="30" t="n">
        <v>9.024958164669282</v>
      </c>
      <c r="AG58" s="30" t="n">
        <v>6.830491571930034</v>
      </c>
      <c r="AH58" s="30" t="n">
        <v>10.84246443202751</v>
      </c>
      <c r="AI58" s="30" t="n">
        <v>12.78120266023805</v>
      </c>
      <c r="AJ58" s="30" t="n">
        <v>8.02394572019495</v>
      </c>
      <c r="AK58" s="30" t="n">
        <v>9.024958164669282</v>
      </c>
      <c r="AL58" s="30" t="n">
        <v>6.830491571930034</v>
      </c>
      <c r="AM58" s="30" t="n">
        <v>8.02394572019495</v>
      </c>
      <c r="AN58" s="30" t="n">
        <v>8.769229800140572</v>
      </c>
      <c r="AO58" s="30" t="n">
        <v>4.011972860097475</v>
      </c>
      <c r="AP58" s="30" t="n">
        <v>11.84347687650184</v>
      </c>
      <c r="AQ58" s="30" t="n">
        <v>10.84246443202751</v>
      </c>
      <c r="AR58" s="30" t="n">
        <v>8.769229800140572</v>
      </c>
      <c r="AS58" s="30" t="n">
        <v>13.66098314386007</v>
      </c>
      <c r="AT58" s="30" t="n">
        <v>13.78221510471238</v>
      </c>
      <c r="AU58" s="30" t="n">
        <v>14.85443729212498</v>
      </c>
      <c r="AV58" s="30" t="n">
        <v>16.79317552033552</v>
      </c>
      <c r="AW58" s="30" t="n">
        <v>12.78120266023805</v>
      </c>
      <c r="AX58" s="30" t="n">
        <v>11.64327438760697</v>
      </c>
      <c r="AY58" s="30" t="n">
        <v>12.78120266023805</v>
      </c>
      <c r="AZ58" s="30" t="n">
        <v>4.011972860097475</v>
      </c>
      <c r="BA58" s="30" t="n">
        <v>0</v>
      </c>
      <c r="BB58" s="30" t="n">
        <v>0</v>
      </c>
      <c r="BC58" s="30" t="n">
        <v>4.011972860097475</v>
      </c>
      <c r="BD58" s="30" t="n">
        <v>8.02394572019495</v>
      </c>
      <c r="BE58" s="30" t="n">
        <v>10.84246443202751</v>
      </c>
      <c r="BF58" s="30" t="n">
        <v>12.78120266023805</v>
      </c>
      <c r="BG58" s="30" t="n">
        <v>6.830491571930034</v>
      </c>
      <c r="BH58" s="30" t="n">
        <v>10.84246443202751</v>
      </c>
      <c r="BI58" s="30" t="n">
        <v>6.830491571930034</v>
      </c>
      <c r="BJ58" s="30" t="n">
        <v>5.950711088308013</v>
      </c>
      <c r="BK58" s="30" t="n">
        <v>6.830491571930034</v>
      </c>
      <c r="BL58" s="30" t="n">
        <v>8.02394572019495</v>
      </c>
      <c r="BM58" s="30" t="n">
        <v>4.011972860097475</v>
      </c>
      <c r="BN58" s="30" t="n">
        <v>4.011972860097475</v>
      </c>
      <c r="BO58" s="30" t="n">
        <v>6.860354448757784</v>
      </c>
      <c r="BP58" s="30" t="n">
        <v>0</v>
      </c>
      <c r="BQ58" s="30" t="n">
        <v>4.011972860097475</v>
      </c>
      <c r="BR58" s="30" t="n">
        <v>4.011972860097475</v>
      </c>
      <c r="BS58" s="30" t="n">
        <v>4.011972860097475</v>
      </c>
      <c r="BT58" s="30" t="n">
        <v>0</v>
      </c>
      <c r="BU58" s="30" t="n">
        <v>4.011972860097475</v>
      </c>
      <c r="BV58" s="30" t="n">
        <v>3.008979645073107</v>
      </c>
      <c r="BW58" s="30" t="n">
        <v>0</v>
      </c>
      <c r="BX58" s="30" t="n">
        <v>0</v>
      </c>
      <c r="BY58" s="30" t="n">
        <v>0</v>
      </c>
      <c r="BZ58" s="30" t="n">
        <v>0</v>
      </c>
      <c r="CA58" s="30" t="n">
        <v>0</v>
      </c>
      <c r="CB58" s="30" t="n">
        <v>0</v>
      </c>
      <c r="CC58" s="30" t="n">
        <v>0</v>
      </c>
      <c r="CD58" s="30" t="n">
        <v>0</v>
      </c>
      <c r="CE58" s="30" t="n">
        <v>0</v>
      </c>
      <c r="CF58" s="30" t="n">
        <v>0</v>
      </c>
      <c r="CG58" s="30" t="n">
        <v>0</v>
      </c>
      <c r="CH58" s="30" t="n">
        <v>0</v>
      </c>
      <c r="CI58" s="30" t="n">
        <v>0</v>
      </c>
      <c r="CJ58" s="30" t="n">
        <v>0</v>
      </c>
      <c r="CK58" s="30" t="n">
        <v>0</v>
      </c>
      <c r="CL58" s="30" t="n">
        <v>0</v>
      </c>
      <c r="CM58" s="30" t="n">
        <v>0</v>
      </c>
      <c r="CN58" s="30" t="n">
        <v>0</v>
      </c>
      <c r="CO58" s="30" t="n">
        <v>0</v>
      </c>
      <c r="CP58" s="30" t="n">
        <v>0</v>
      </c>
      <c r="CQ58" s="30" t="n">
        <v>0</v>
      </c>
      <c r="CR58" s="30" t="n">
        <v>0</v>
      </c>
      <c r="CS58" s="30" t="n">
        <v>0</v>
      </c>
      <c r="CT58" s="30" t="n">
        <v>0</v>
      </c>
      <c r="CU58" s="30" t="n">
        <v>0</v>
      </c>
      <c r="CV58" s="30" t="n">
        <v>0</v>
      </c>
      <c r="CW58" s="30" t="n">
        <v>0</v>
      </c>
      <c r="CX58" s="30" t="n">
        <v>0</v>
      </c>
      <c r="CY58" s="30" t="n">
        <v>0</v>
      </c>
      <c r="CZ58" s="30" t="n">
        <v>0</v>
      </c>
      <c r="DA58" s="30" t="n">
        <v>0</v>
      </c>
    </row>
    <row r="59">
      <c r="A59" t="inlineStr">
        <is>
          <t>VSP-600</t>
        </is>
      </c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v>0</v>
      </c>
      <c r="H59" s="30" t="n">
        <v>0</v>
      </c>
      <c r="I59" s="30" t="n">
        <v>0</v>
      </c>
      <c r="J59" s="30" t="n">
        <v>0</v>
      </c>
      <c r="K59" s="30" t="n">
        <v>0</v>
      </c>
      <c r="L59" s="30" t="n">
        <v>0</v>
      </c>
      <c r="M59" s="30" t="n">
        <v>0</v>
      </c>
      <c r="N59" s="30" t="n">
        <v>0</v>
      </c>
      <c r="O59" s="30" t="n">
        <v>0</v>
      </c>
      <c r="P59" s="30" t="n">
        <v>0</v>
      </c>
      <c r="Q59" s="30" t="n">
        <v>0</v>
      </c>
      <c r="R59" s="30" t="n">
        <v>0</v>
      </c>
      <c r="S59" s="30" t="n">
        <v>0</v>
      </c>
      <c r="T59" s="30" t="n">
        <v>0</v>
      </c>
      <c r="U59" s="30" t="n">
        <v>0</v>
      </c>
      <c r="V59" s="30" t="n">
        <v>0</v>
      </c>
      <c r="W59" s="30" t="n">
        <v>0</v>
      </c>
      <c r="X59" s="30" t="n">
        <v>0</v>
      </c>
      <c r="Y59" s="30" t="n">
        <v>3.840891207323119</v>
      </c>
      <c r="Z59" s="30" t="n">
        <v>0</v>
      </c>
      <c r="AA59" s="30" t="n">
        <v>0</v>
      </c>
      <c r="AB59" s="30" t="n">
        <v>0</v>
      </c>
      <c r="AC59" s="30" t="n">
        <v>3.840891207323119</v>
      </c>
      <c r="AD59" s="30" t="n">
        <v>0</v>
      </c>
      <c r="AE59" s="30" t="n">
        <v>0</v>
      </c>
      <c r="AF59" s="30" t="n">
        <v>0</v>
      </c>
      <c r="AG59" s="30" t="n">
        <v>0</v>
      </c>
      <c r="AH59" s="30" t="n">
        <v>3.840891207323119</v>
      </c>
      <c r="AI59" s="30" t="n">
        <v>0</v>
      </c>
      <c r="AJ59" s="30" t="n">
        <v>0</v>
      </c>
      <c r="AK59" s="30" t="n">
        <v>3.840891207323119</v>
      </c>
      <c r="AL59" s="30" t="n">
        <v>0</v>
      </c>
      <c r="AM59" s="30" t="n">
        <v>0</v>
      </c>
      <c r="AN59" s="30" t="n">
        <v>0</v>
      </c>
      <c r="AO59" s="30" t="n">
        <v>0</v>
      </c>
      <c r="AP59" s="30" t="n">
        <v>0</v>
      </c>
      <c r="AQ59" s="30" t="n">
        <v>0</v>
      </c>
      <c r="AR59" s="30" t="n">
        <v>3.840891207323119</v>
      </c>
      <c r="AS59" s="30" t="n">
        <v>0</v>
      </c>
      <c r="AT59" s="30" t="n">
        <v>0</v>
      </c>
      <c r="AU59" s="30" t="n">
        <v>0</v>
      </c>
      <c r="AV59" s="30" t="n">
        <v>0</v>
      </c>
      <c r="AW59" s="30" t="n">
        <v>0</v>
      </c>
      <c r="AX59" s="30" t="n">
        <v>3.840891207323119</v>
      </c>
      <c r="AY59" s="30" t="n">
        <v>0</v>
      </c>
      <c r="AZ59" s="30" t="n">
        <v>0</v>
      </c>
      <c r="BA59" s="30" t="n">
        <v>0</v>
      </c>
      <c r="BB59" s="30" t="n">
        <v>0</v>
      </c>
      <c r="BC59" s="30" t="n">
        <v>0</v>
      </c>
      <c r="BD59" s="30" t="n">
        <v>0</v>
      </c>
      <c r="BE59" s="30" t="n">
        <v>3.840891207323119</v>
      </c>
      <c r="BF59" s="30" t="n">
        <v>0</v>
      </c>
      <c r="BG59" s="30" t="n">
        <v>0</v>
      </c>
      <c r="BH59" s="30" t="n">
        <v>0</v>
      </c>
      <c r="BI59" s="30" t="n">
        <v>3.840891207323119</v>
      </c>
      <c r="BJ59" s="30" t="n">
        <v>0</v>
      </c>
      <c r="BK59" s="30" t="n">
        <v>0</v>
      </c>
      <c r="BL59" s="30" t="n">
        <v>0</v>
      </c>
      <c r="BM59" s="30" t="n">
        <v>0</v>
      </c>
      <c r="BN59" s="30" t="n">
        <v>0</v>
      </c>
      <c r="BO59" s="30" t="n">
        <v>0</v>
      </c>
      <c r="BP59" s="30" t="n">
        <v>0</v>
      </c>
      <c r="BQ59" s="30" t="n">
        <v>0</v>
      </c>
      <c r="BR59" s="30" t="n">
        <v>0</v>
      </c>
      <c r="BS59" s="30" t="n">
        <v>0</v>
      </c>
      <c r="BT59" s="30" t="n">
        <v>0</v>
      </c>
      <c r="BU59" s="30" t="n">
        <v>0</v>
      </c>
      <c r="BV59" s="30" t="n">
        <v>0</v>
      </c>
      <c r="BW59" s="30" t="n">
        <v>0</v>
      </c>
      <c r="BX59" s="30" t="n">
        <v>0</v>
      </c>
      <c r="BY59" s="30" t="n">
        <v>0</v>
      </c>
      <c r="BZ59" s="30" t="n">
        <v>0</v>
      </c>
      <c r="CA59" s="30" t="n">
        <v>0</v>
      </c>
      <c r="CB59" s="30" t="n">
        <v>0</v>
      </c>
      <c r="CC59" s="30" t="n">
        <v>0</v>
      </c>
      <c r="CD59" s="30" t="n">
        <v>0</v>
      </c>
      <c r="CE59" s="30" t="n">
        <v>0</v>
      </c>
      <c r="CF59" s="30" t="n">
        <v>0</v>
      </c>
      <c r="CG59" s="30" t="n">
        <v>0</v>
      </c>
      <c r="CH59" s="30" t="n">
        <v>0</v>
      </c>
      <c r="CI59" s="30" t="n">
        <v>0</v>
      </c>
      <c r="CJ59" s="30" t="n">
        <v>0</v>
      </c>
      <c r="CK59" s="30" t="n">
        <v>0</v>
      </c>
      <c r="CL59" s="30" t="n">
        <v>0</v>
      </c>
      <c r="CM59" s="30" t="n">
        <v>0</v>
      </c>
      <c r="CN59" s="30" t="n">
        <v>0</v>
      </c>
      <c r="CO59" s="30" t="n">
        <v>0</v>
      </c>
      <c r="CP59" s="30" t="n">
        <v>0</v>
      </c>
      <c r="CQ59" s="30" t="n">
        <v>0</v>
      </c>
      <c r="CR59" s="30" t="n">
        <v>0</v>
      </c>
      <c r="CS59" s="30" t="n">
        <v>0</v>
      </c>
      <c r="CT59" s="30" t="n">
        <v>0</v>
      </c>
      <c r="CU59" s="30" t="n">
        <v>0</v>
      </c>
      <c r="CV59" s="30" t="n">
        <v>0</v>
      </c>
      <c r="CW59" s="30" t="n">
        <v>0</v>
      </c>
      <c r="CX59" s="30" t="n">
        <v>0</v>
      </c>
      <c r="CY59" s="30" t="n">
        <v>0</v>
      </c>
      <c r="CZ59" s="30" t="n">
        <v>0</v>
      </c>
      <c r="DA59" s="30" t="n">
        <v>0</v>
      </c>
    </row>
    <row r="60">
      <c r="A60" t="inlineStr">
        <is>
          <t>VSP-601</t>
        </is>
      </c>
      <c r="B60" s="30" t="n">
        <v>0</v>
      </c>
      <c r="C60" s="30" t="n">
        <v>0</v>
      </c>
      <c r="D60" s="30" t="n">
        <v>0</v>
      </c>
      <c r="E60" s="30" t="n">
        <v>0</v>
      </c>
      <c r="F60" s="30" t="n">
        <v>0</v>
      </c>
      <c r="G60" s="30" t="n">
        <v>0</v>
      </c>
      <c r="H60" s="30" t="n">
        <v>0</v>
      </c>
      <c r="I60" s="30" t="n">
        <v>0</v>
      </c>
      <c r="J60" s="30" t="n">
        <v>0</v>
      </c>
      <c r="K60" s="30" t="n">
        <v>0</v>
      </c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v>0</v>
      </c>
      <c r="R60" s="30" t="n">
        <v>0</v>
      </c>
      <c r="S60" s="30" t="n">
        <v>0</v>
      </c>
      <c r="T60" s="30" t="n">
        <v>0</v>
      </c>
      <c r="U60" s="30" t="n">
        <v>0</v>
      </c>
      <c r="V60" s="30" t="n">
        <v>0</v>
      </c>
      <c r="W60" s="30" t="n">
        <v>0</v>
      </c>
      <c r="X60" s="30" t="n">
        <v>0</v>
      </c>
      <c r="Y60" s="30" t="n">
        <v>3.844512359077455</v>
      </c>
      <c r="Z60" s="30" t="n">
        <v>0</v>
      </c>
      <c r="AA60" s="30" t="n">
        <v>0</v>
      </c>
      <c r="AB60" s="30" t="n">
        <v>0</v>
      </c>
      <c r="AC60" s="30" t="n">
        <v>3.844512359077455</v>
      </c>
      <c r="AD60" s="30" t="n">
        <v>0</v>
      </c>
      <c r="AE60" s="30" t="n">
        <v>0</v>
      </c>
      <c r="AF60" s="30" t="n">
        <v>0</v>
      </c>
      <c r="AG60" s="30" t="n">
        <v>0</v>
      </c>
      <c r="AH60" s="30" t="n">
        <v>3.844512359077455</v>
      </c>
      <c r="AI60" s="30" t="n">
        <v>0</v>
      </c>
      <c r="AJ60" s="30" t="n">
        <v>0</v>
      </c>
      <c r="AK60" s="30" t="n">
        <v>3.844512359077455</v>
      </c>
      <c r="AL60" s="30" t="n">
        <v>0</v>
      </c>
      <c r="AM60" s="30" t="n">
        <v>0</v>
      </c>
      <c r="AN60" s="30" t="n">
        <v>0</v>
      </c>
      <c r="AO60" s="30" t="n">
        <v>0</v>
      </c>
      <c r="AP60" s="30" t="n">
        <v>0</v>
      </c>
      <c r="AQ60" s="30" t="n">
        <v>0</v>
      </c>
      <c r="AR60" s="30" t="n">
        <v>3.844512359077455</v>
      </c>
      <c r="AS60" s="30" t="n">
        <v>0</v>
      </c>
      <c r="AT60" s="30" t="n">
        <v>0</v>
      </c>
      <c r="AU60" s="30" t="n">
        <v>0</v>
      </c>
      <c r="AV60" s="30" t="n">
        <v>0</v>
      </c>
      <c r="AW60" s="30" t="n">
        <v>0</v>
      </c>
      <c r="AX60" s="30" t="n">
        <v>3.844512359077455</v>
      </c>
      <c r="AY60" s="30" t="n">
        <v>0</v>
      </c>
      <c r="AZ60" s="30" t="n">
        <v>0</v>
      </c>
      <c r="BA60" s="30" t="n">
        <v>0</v>
      </c>
      <c r="BB60" s="30" t="n">
        <v>0</v>
      </c>
      <c r="BC60" s="30" t="n">
        <v>0</v>
      </c>
      <c r="BD60" s="30" t="n">
        <v>0</v>
      </c>
      <c r="BE60" s="30" t="n">
        <v>3.844512359077455</v>
      </c>
      <c r="BF60" s="30" t="n">
        <v>0</v>
      </c>
      <c r="BG60" s="30" t="n">
        <v>0</v>
      </c>
      <c r="BH60" s="30" t="n">
        <v>0</v>
      </c>
      <c r="BI60" s="30" t="n">
        <v>3.844512359077455</v>
      </c>
      <c r="BJ60" s="30" t="n">
        <v>0</v>
      </c>
      <c r="BK60" s="30" t="n">
        <v>0</v>
      </c>
      <c r="BL60" s="30" t="n">
        <v>0</v>
      </c>
      <c r="BM60" s="30" t="n">
        <v>0</v>
      </c>
      <c r="BN60" s="30" t="n">
        <v>0</v>
      </c>
      <c r="BO60" s="30" t="n">
        <v>0</v>
      </c>
      <c r="BP60" s="30" t="n">
        <v>0</v>
      </c>
      <c r="BQ60" s="30" t="n">
        <v>0</v>
      </c>
      <c r="BR60" s="30" t="n">
        <v>0</v>
      </c>
      <c r="BS60" s="30" t="n">
        <v>0</v>
      </c>
      <c r="BT60" s="30" t="n">
        <v>0</v>
      </c>
      <c r="BU60" s="30" t="n">
        <v>0</v>
      </c>
      <c r="BV60" s="30" t="n">
        <v>0</v>
      </c>
      <c r="BW60" s="30" t="n">
        <v>0</v>
      </c>
      <c r="BX60" s="30" t="n">
        <v>0</v>
      </c>
      <c r="BY60" s="30" t="n">
        <v>0</v>
      </c>
      <c r="BZ60" s="30" t="n">
        <v>0</v>
      </c>
      <c r="CA60" s="30" t="n">
        <v>0</v>
      </c>
      <c r="CB60" s="30" t="n">
        <v>0</v>
      </c>
      <c r="CC60" s="30" t="n">
        <v>0</v>
      </c>
      <c r="CD60" s="30" t="n">
        <v>0</v>
      </c>
      <c r="CE60" s="30" t="n">
        <v>0</v>
      </c>
      <c r="CF60" s="30" t="n">
        <v>0</v>
      </c>
      <c r="CG60" s="30" t="n">
        <v>0</v>
      </c>
      <c r="CH60" s="30" t="n">
        <v>0</v>
      </c>
      <c r="CI60" s="30" t="n">
        <v>0</v>
      </c>
      <c r="CJ60" s="30" t="n">
        <v>0</v>
      </c>
      <c r="CK60" s="30" t="n">
        <v>0</v>
      </c>
      <c r="CL60" s="30" t="n">
        <v>0</v>
      </c>
      <c r="CM60" s="30" t="n">
        <v>0</v>
      </c>
      <c r="CN60" s="30" t="n">
        <v>0</v>
      </c>
      <c r="CO60" s="30" t="n">
        <v>0</v>
      </c>
      <c r="CP60" s="30" t="n">
        <v>0</v>
      </c>
      <c r="CQ60" s="30" t="n">
        <v>0</v>
      </c>
      <c r="CR60" s="30" t="n">
        <v>0</v>
      </c>
      <c r="CS60" s="30" t="n">
        <v>0</v>
      </c>
      <c r="CT60" s="30" t="n">
        <v>0</v>
      </c>
      <c r="CU60" s="30" t="n">
        <v>0</v>
      </c>
      <c r="CV60" s="30" t="n">
        <v>0</v>
      </c>
      <c r="CW60" s="30" t="n">
        <v>0</v>
      </c>
      <c r="CX60" s="30" t="n">
        <v>0</v>
      </c>
      <c r="CY60" s="30" t="n">
        <v>0</v>
      </c>
      <c r="CZ60" s="30" t="n">
        <v>0</v>
      </c>
      <c r="DA60" s="30" t="n">
        <v>0</v>
      </c>
    </row>
    <row r="61">
      <c r="A61" t="inlineStr">
        <is>
          <t>VSP-602</t>
        </is>
      </c>
      <c r="B61" s="30" t="n">
        <v>0</v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3.845278475612647</v>
      </c>
      <c r="Z61" s="30" t="n">
        <v>0</v>
      </c>
      <c r="AA61" s="30" t="n">
        <v>0</v>
      </c>
      <c r="AB61" s="30" t="n">
        <v>0</v>
      </c>
      <c r="AC61" s="30" t="n">
        <v>3.845278475612647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3.845278475612647</v>
      </c>
      <c r="AI61" s="30" t="n">
        <v>0</v>
      </c>
      <c r="AJ61" s="30" t="n">
        <v>0</v>
      </c>
      <c r="AK61" s="30" t="n">
        <v>3.845278475612647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3.845278475612647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3.845278475612647</v>
      </c>
      <c r="AY61" s="30" t="n">
        <v>0</v>
      </c>
      <c r="AZ61" s="30" t="n">
        <v>0</v>
      </c>
      <c r="BA61" s="30" t="n">
        <v>0</v>
      </c>
      <c r="BB61" s="30" t="n">
        <v>0</v>
      </c>
      <c r="BC61" s="30" t="n">
        <v>0</v>
      </c>
      <c r="BD61" s="30" t="n">
        <v>0</v>
      </c>
      <c r="BE61" s="30" t="n">
        <v>3.845278475612647</v>
      </c>
      <c r="BF61" s="30" t="n">
        <v>0</v>
      </c>
      <c r="BG61" s="30" t="n">
        <v>0</v>
      </c>
      <c r="BH61" s="30" t="n">
        <v>0</v>
      </c>
      <c r="BI61" s="30" t="n">
        <v>3.845278475612647</v>
      </c>
      <c r="BJ61" s="30" t="n">
        <v>0</v>
      </c>
      <c r="BK61" s="30" t="n">
        <v>0</v>
      </c>
      <c r="BL61" s="30" t="n">
        <v>0</v>
      </c>
      <c r="BM61" s="30" t="n">
        <v>0</v>
      </c>
      <c r="BN61" s="30" t="n">
        <v>0</v>
      </c>
      <c r="BO61" s="30" t="n">
        <v>0</v>
      </c>
      <c r="BP61" s="30" t="n">
        <v>0</v>
      </c>
      <c r="BQ61" s="30" t="n">
        <v>0</v>
      </c>
      <c r="BR61" s="30" t="n">
        <v>0</v>
      </c>
      <c r="BS61" s="30" t="n">
        <v>0</v>
      </c>
      <c r="BT61" s="30" t="n">
        <v>0</v>
      </c>
      <c r="BU61" s="30" t="n">
        <v>0</v>
      </c>
      <c r="BV61" s="30" t="n">
        <v>0</v>
      </c>
      <c r="BW61" s="30" t="n">
        <v>0</v>
      </c>
      <c r="BX61" s="30" t="n">
        <v>0</v>
      </c>
      <c r="BY61" s="30" t="n">
        <v>0</v>
      </c>
      <c r="BZ61" s="30" t="n">
        <v>0</v>
      </c>
      <c r="CA61" s="30" t="n">
        <v>0</v>
      </c>
      <c r="CB61" s="30" t="n">
        <v>0</v>
      </c>
      <c r="CC61" s="30" t="n">
        <v>0</v>
      </c>
      <c r="CD61" s="30" t="n">
        <v>0</v>
      </c>
      <c r="CE61" s="30" t="n">
        <v>0</v>
      </c>
      <c r="CF61" s="30" t="n">
        <v>0</v>
      </c>
      <c r="CG61" s="30" t="n">
        <v>0</v>
      </c>
      <c r="CH61" s="30" t="n">
        <v>0</v>
      </c>
      <c r="CI61" s="30" t="n">
        <v>0</v>
      </c>
      <c r="CJ61" s="30" t="n">
        <v>0</v>
      </c>
      <c r="CK61" s="30" t="n">
        <v>0</v>
      </c>
      <c r="CL61" s="30" t="n">
        <v>0</v>
      </c>
      <c r="CM61" s="30" t="n">
        <v>0</v>
      </c>
      <c r="CN61" s="30" t="n">
        <v>0</v>
      </c>
      <c r="CO61" s="30" t="n">
        <v>0</v>
      </c>
      <c r="CP61" s="30" t="n">
        <v>0</v>
      </c>
      <c r="CQ61" s="30" t="n">
        <v>0</v>
      </c>
      <c r="CR61" s="30" t="n">
        <v>0</v>
      </c>
      <c r="CS61" s="30" t="n">
        <v>0</v>
      </c>
      <c r="CT61" s="30" t="n">
        <v>0</v>
      </c>
      <c r="CU61" s="30" t="n">
        <v>0</v>
      </c>
      <c r="CV61" s="30" t="n">
        <v>0</v>
      </c>
      <c r="CW61" s="30" t="n">
        <v>0</v>
      </c>
      <c r="CX61" s="30" t="n">
        <v>0</v>
      </c>
      <c r="CY61" s="30" t="n">
        <v>0</v>
      </c>
      <c r="CZ61" s="30" t="n">
        <v>0</v>
      </c>
      <c r="DA61" s="30" t="n">
        <v>0</v>
      </c>
    </row>
    <row r="62">
      <c r="A62" t="inlineStr">
        <is>
          <t>VSP-820</t>
        </is>
      </c>
      <c r="B62" s="30" t="n">
        <v>0</v>
      </c>
      <c r="C62" s="30" t="n">
        <v>0</v>
      </c>
      <c r="D62" s="30" t="n">
        <v>0</v>
      </c>
      <c r="E62" s="30" t="n">
        <v>0</v>
      </c>
      <c r="F62" s="30" t="n">
        <v>0</v>
      </c>
      <c r="G62" s="30" t="n">
        <v>0</v>
      </c>
      <c r="H62" s="30" t="n">
        <v>0</v>
      </c>
      <c r="I62" s="30" t="n">
        <v>0</v>
      </c>
      <c r="J62" s="30" t="n">
        <v>0</v>
      </c>
      <c r="K62" s="30" t="n">
        <v>0</v>
      </c>
      <c r="L62" s="30" t="n">
        <v>0</v>
      </c>
      <c r="M62" s="30" t="n">
        <v>0</v>
      </c>
      <c r="N62" s="30" t="n">
        <v>0</v>
      </c>
      <c r="O62" s="30" t="n">
        <v>0</v>
      </c>
      <c r="P62" s="30" t="n">
        <v>0</v>
      </c>
      <c r="Q62" s="30" t="n">
        <v>0</v>
      </c>
      <c r="R62" s="30" t="n">
        <v>0</v>
      </c>
      <c r="S62" s="30" t="n">
        <v>0</v>
      </c>
      <c r="T62" s="30" t="n">
        <v>0</v>
      </c>
      <c r="U62" s="30" t="n">
        <v>0</v>
      </c>
      <c r="V62" s="30" t="n">
        <v>0</v>
      </c>
      <c r="W62" s="30" t="n">
        <v>0</v>
      </c>
      <c r="X62" s="30" t="n">
        <v>0</v>
      </c>
      <c r="Y62" s="30" t="n">
        <v>0</v>
      </c>
      <c r="Z62" s="30" t="n">
        <v>0</v>
      </c>
      <c r="AA62" s="30" t="n">
        <v>0</v>
      </c>
      <c r="AB62" s="30" t="n">
        <v>0</v>
      </c>
      <c r="AC62" s="30" t="n">
        <v>0</v>
      </c>
      <c r="AD62" s="30" t="n">
        <v>0</v>
      </c>
      <c r="AE62" s="30" t="n">
        <v>0</v>
      </c>
      <c r="AF62" s="30" t="n">
        <v>0</v>
      </c>
      <c r="AG62" s="30" t="n">
        <v>0</v>
      </c>
      <c r="AH62" s="30" t="n">
        <v>0</v>
      </c>
      <c r="AI62" s="30" t="n">
        <v>0</v>
      </c>
      <c r="AJ62" s="30" t="n">
        <v>0</v>
      </c>
      <c r="AK62" s="30" t="n">
        <v>0</v>
      </c>
      <c r="AL62" s="30" t="n">
        <v>0</v>
      </c>
      <c r="AM62" s="30" t="n">
        <v>0</v>
      </c>
      <c r="AN62" s="30" t="n">
        <v>0</v>
      </c>
      <c r="AO62" s="30" t="n">
        <v>0</v>
      </c>
      <c r="AP62" s="30" t="n">
        <v>0</v>
      </c>
      <c r="AQ62" s="30" t="n">
        <v>0</v>
      </c>
      <c r="AR62" s="30" t="n">
        <v>0</v>
      </c>
      <c r="AS62" s="30" t="n">
        <v>0</v>
      </c>
      <c r="AT62" s="30" t="n">
        <v>0</v>
      </c>
      <c r="AU62" s="30" t="n">
        <v>0</v>
      </c>
      <c r="AV62" s="30" t="n">
        <v>0</v>
      </c>
      <c r="AW62" s="30" t="n">
        <v>0</v>
      </c>
      <c r="AX62" s="30" t="n">
        <v>0</v>
      </c>
      <c r="AY62" s="30" t="n">
        <v>0</v>
      </c>
      <c r="AZ62" s="30" t="n">
        <v>0</v>
      </c>
      <c r="BA62" s="30" t="n">
        <v>0</v>
      </c>
      <c r="BB62" s="30" t="n">
        <v>0</v>
      </c>
      <c r="BC62" s="30" t="n">
        <v>0</v>
      </c>
      <c r="BD62" s="30" t="n">
        <v>0</v>
      </c>
      <c r="BE62" s="30" t="n">
        <v>0</v>
      </c>
      <c r="BF62" s="30" t="n">
        <v>0</v>
      </c>
      <c r="BG62" s="30" t="n">
        <v>0</v>
      </c>
      <c r="BH62" s="30" t="n">
        <v>0</v>
      </c>
      <c r="BI62" s="30" t="n">
        <v>0</v>
      </c>
      <c r="BJ62" s="30" t="n">
        <v>0</v>
      </c>
      <c r="BK62" s="30" t="n">
        <v>0</v>
      </c>
      <c r="BL62" s="30" t="n">
        <v>0</v>
      </c>
      <c r="BM62" s="30" t="n">
        <v>0</v>
      </c>
      <c r="BN62" s="30" t="n">
        <v>0</v>
      </c>
      <c r="BO62" s="30" t="n">
        <v>0</v>
      </c>
      <c r="BP62" s="30" t="n">
        <v>0</v>
      </c>
      <c r="BQ62" s="30" t="n">
        <v>0</v>
      </c>
      <c r="BR62" s="30" t="n">
        <v>0</v>
      </c>
      <c r="BS62" s="30" t="n">
        <v>0</v>
      </c>
      <c r="BT62" s="30" t="n">
        <v>0</v>
      </c>
      <c r="BU62" s="30" t="n">
        <v>0</v>
      </c>
      <c r="BV62" s="30" t="n">
        <v>0</v>
      </c>
      <c r="BW62" s="30" t="n">
        <v>0</v>
      </c>
      <c r="BX62" s="30" t="n">
        <v>0</v>
      </c>
      <c r="BY62" s="30" t="n">
        <v>0</v>
      </c>
      <c r="BZ62" s="30" t="n">
        <v>0</v>
      </c>
      <c r="CA62" s="30" t="n">
        <v>0</v>
      </c>
      <c r="CB62" s="30" t="n">
        <v>0</v>
      </c>
      <c r="CC62" s="30" t="n">
        <v>0</v>
      </c>
      <c r="CD62" s="30" t="n">
        <v>0</v>
      </c>
      <c r="CE62" s="30" t="n">
        <v>0</v>
      </c>
      <c r="CF62" s="30" t="n">
        <v>0</v>
      </c>
      <c r="CG62" s="30" t="n">
        <v>0</v>
      </c>
      <c r="CH62" s="30" t="n">
        <v>0</v>
      </c>
      <c r="CI62" s="30" t="n">
        <v>0</v>
      </c>
      <c r="CJ62" s="30" t="n">
        <v>0</v>
      </c>
      <c r="CK62" s="30" t="n">
        <v>0</v>
      </c>
      <c r="CL62" s="30" t="n">
        <v>0</v>
      </c>
      <c r="CM62" s="30" t="n">
        <v>0</v>
      </c>
      <c r="CN62" s="30" t="n">
        <v>0</v>
      </c>
      <c r="CO62" s="30" t="n">
        <v>0</v>
      </c>
      <c r="CP62" s="30" t="n">
        <v>0</v>
      </c>
      <c r="CQ62" s="30" t="n">
        <v>0</v>
      </c>
      <c r="CR62" s="30" t="n">
        <v>0</v>
      </c>
      <c r="CS62" s="30" t="n">
        <v>0</v>
      </c>
      <c r="CT62" s="30" t="n">
        <v>0</v>
      </c>
      <c r="CU62" s="30" t="n">
        <v>0</v>
      </c>
      <c r="CV62" s="30" t="n">
        <v>0</v>
      </c>
      <c r="CW62" s="30" t="n">
        <v>0</v>
      </c>
      <c r="CX62" s="30" t="n">
        <v>0</v>
      </c>
      <c r="CY62" s="30" t="n">
        <v>0</v>
      </c>
      <c r="CZ62" s="30" t="n">
        <v>0</v>
      </c>
      <c r="DA62" s="30" t="n">
        <v>0</v>
      </c>
    </row>
    <row r="63">
      <c r="A63" t="inlineStr">
        <is>
          <t>VSP-822</t>
        </is>
      </c>
      <c r="B63" s="30" t="n">
        <v>0</v>
      </c>
      <c r="C63" s="30" t="n">
        <v>0</v>
      </c>
      <c r="D63" s="30" t="n">
        <v>0</v>
      </c>
      <c r="E63" s="30" t="n">
        <v>0</v>
      </c>
      <c r="F63" s="30" t="n">
        <v>0</v>
      </c>
      <c r="G63" s="30" t="n">
        <v>0</v>
      </c>
      <c r="H63" s="30" t="n">
        <v>0</v>
      </c>
      <c r="I63" s="30" t="n">
        <v>0</v>
      </c>
      <c r="J63" s="30" t="n">
        <v>0</v>
      </c>
      <c r="K63" s="30" t="n">
        <v>0</v>
      </c>
      <c r="L63" s="30" t="n">
        <v>0</v>
      </c>
      <c r="M63" s="30" t="n">
        <v>0</v>
      </c>
      <c r="N63" s="30" t="n">
        <v>0</v>
      </c>
      <c r="O63" s="30" t="n">
        <v>0</v>
      </c>
      <c r="P63" s="30" t="n">
        <v>0</v>
      </c>
      <c r="Q63" s="30" t="n">
        <v>0</v>
      </c>
      <c r="R63" s="30" t="n">
        <v>0</v>
      </c>
      <c r="S63" s="30" t="n">
        <v>0</v>
      </c>
      <c r="T63" s="30" t="n">
        <v>0</v>
      </c>
      <c r="U63" s="30" t="n">
        <v>0</v>
      </c>
      <c r="V63" s="30" t="n">
        <v>0</v>
      </c>
      <c r="W63" s="30" t="n">
        <v>0</v>
      </c>
      <c r="X63" s="30" t="n">
        <v>0</v>
      </c>
      <c r="Y63" s="30" t="n">
        <v>0</v>
      </c>
      <c r="Z63" s="30" t="n">
        <v>0</v>
      </c>
      <c r="AA63" s="30" t="n">
        <v>0</v>
      </c>
      <c r="AB63" s="30" t="n">
        <v>0</v>
      </c>
      <c r="AC63" s="30" t="n">
        <v>0</v>
      </c>
      <c r="AD63" s="30" t="n">
        <v>0</v>
      </c>
      <c r="AE63" s="30" t="n">
        <v>0</v>
      </c>
      <c r="AF63" s="30" t="n">
        <v>0</v>
      </c>
      <c r="AG63" s="30" t="n">
        <v>0</v>
      </c>
      <c r="AH63" s="30" t="n">
        <v>0</v>
      </c>
      <c r="AI63" s="30" t="n">
        <v>0</v>
      </c>
      <c r="AJ63" s="30" t="n">
        <v>0</v>
      </c>
      <c r="AK63" s="30" t="n">
        <v>0</v>
      </c>
      <c r="AL63" s="30" t="n">
        <v>0</v>
      </c>
      <c r="AM63" s="30" t="n">
        <v>0</v>
      </c>
      <c r="AN63" s="30" t="n">
        <v>0</v>
      </c>
      <c r="AO63" s="30" t="n">
        <v>0</v>
      </c>
      <c r="AP63" s="30" t="n">
        <v>0</v>
      </c>
      <c r="AQ63" s="30" t="n">
        <v>0</v>
      </c>
      <c r="AR63" s="30" t="n">
        <v>0</v>
      </c>
      <c r="AS63" s="30" t="n">
        <v>0</v>
      </c>
      <c r="AT63" s="30" t="n">
        <v>0</v>
      </c>
      <c r="AU63" s="30" t="n">
        <v>0</v>
      </c>
      <c r="AV63" s="30" t="n">
        <v>0</v>
      </c>
      <c r="AW63" s="30" t="n">
        <v>0</v>
      </c>
      <c r="AX63" s="30" t="n">
        <v>0</v>
      </c>
      <c r="AY63" s="30" t="n">
        <v>0</v>
      </c>
      <c r="AZ63" s="30" t="n">
        <v>0</v>
      </c>
      <c r="BA63" s="30" t="n">
        <v>0</v>
      </c>
      <c r="BB63" s="30" t="n">
        <v>0</v>
      </c>
      <c r="BC63" s="30" t="n">
        <v>0</v>
      </c>
      <c r="BD63" s="30" t="n">
        <v>0</v>
      </c>
      <c r="BE63" s="30" t="n">
        <v>0</v>
      </c>
      <c r="BF63" s="30" t="n">
        <v>0</v>
      </c>
      <c r="BG63" s="30" t="n">
        <v>0</v>
      </c>
      <c r="BH63" s="30" t="n">
        <v>0</v>
      </c>
      <c r="BI63" s="30" t="n">
        <v>0</v>
      </c>
      <c r="BJ63" s="30" t="n">
        <v>0</v>
      </c>
      <c r="BK63" s="30" t="n">
        <v>0</v>
      </c>
      <c r="BL63" s="30" t="n">
        <v>0</v>
      </c>
      <c r="BM63" s="30" t="n">
        <v>0</v>
      </c>
      <c r="BN63" s="30" t="n">
        <v>0</v>
      </c>
      <c r="BO63" s="30" t="n">
        <v>0</v>
      </c>
      <c r="BP63" s="30" t="n">
        <v>0</v>
      </c>
      <c r="BQ63" s="30" t="n">
        <v>0</v>
      </c>
      <c r="BR63" s="30" t="n">
        <v>0</v>
      </c>
      <c r="BS63" s="30" t="n">
        <v>0</v>
      </c>
      <c r="BT63" s="30" t="n">
        <v>0</v>
      </c>
      <c r="BU63" s="30" t="n">
        <v>0</v>
      </c>
      <c r="BV63" s="30" t="n">
        <v>0</v>
      </c>
      <c r="BW63" s="30" t="n">
        <v>0</v>
      </c>
      <c r="BX63" s="30" t="n">
        <v>0</v>
      </c>
      <c r="BY63" s="30" t="n">
        <v>0</v>
      </c>
      <c r="BZ63" s="30" t="n">
        <v>0</v>
      </c>
      <c r="CA63" s="30" t="n">
        <v>0</v>
      </c>
      <c r="CB63" s="30" t="n">
        <v>0</v>
      </c>
      <c r="CC63" s="30" t="n">
        <v>0</v>
      </c>
      <c r="CD63" s="30" t="n">
        <v>0</v>
      </c>
      <c r="CE63" s="30" t="n">
        <v>0</v>
      </c>
      <c r="CF63" s="30" t="n">
        <v>0</v>
      </c>
      <c r="CG63" s="30" t="n">
        <v>0</v>
      </c>
      <c r="CH63" s="30" t="n">
        <v>0</v>
      </c>
      <c r="CI63" s="30" t="n">
        <v>0</v>
      </c>
      <c r="CJ63" s="30" t="n">
        <v>0</v>
      </c>
      <c r="CK63" s="30" t="n">
        <v>0</v>
      </c>
      <c r="CL63" s="30" t="n">
        <v>0</v>
      </c>
      <c r="CM63" s="30" t="n">
        <v>0</v>
      </c>
      <c r="CN63" s="30" t="n">
        <v>0</v>
      </c>
      <c r="CO63" s="30" t="n">
        <v>0</v>
      </c>
      <c r="CP63" s="30" t="n">
        <v>0</v>
      </c>
      <c r="CQ63" s="30" t="n">
        <v>0</v>
      </c>
      <c r="CR63" s="30" t="n">
        <v>0</v>
      </c>
      <c r="CS63" s="30" t="n">
        <v>0</v>
      </c>
      <c r="CT63" s="30" t="n">
        <v>0</v>
      </c>
      <c r="CU63" s="30" t="n">
        <v>0</v>
      </c>
      <c r="CV63" s="30" t="n">
        <v>0</v>
      </c>
      <c r="CW63" s="30" t="n">
        <v>0</v>
      </c>
      <c r="CX63" s="30" t="n">
        <v>0</v>
      </c>
      <c r="CY63" s="30" t="n">
        <v>0</v>
      </c>
      <c r="CZ63" s="30" t="n">
        <v>0</v>
      </c>
      <c r="DA63" s="30" t="n">
        <v>0</v>
      </c>
    </row>
    <row r="64">
      <c r="A64" t="inlineStr">
        <is>
          <t>VSP-910</t>
        </is>
      </c>
      <c r="B64" s="30" t="n">
        <v>0</v>
      </c>
      <c r="C64" s="30" t="n">
        <v>0</v>
      </c>
      <c r="D64" s="30" t="n">
        <v>0</v>
      </c>
      <c r="E64" s="30" t="n">
        <v>0</v>
      </c>
      <c r="F64" s="30" t="n">
        <v>0</v>
      </c>
      <c r="G64" s="30" t="n">
        <v>0</v>
      </c>
      <c r="H64" s="30" t="n">
        <v>0</v>
      </c>
      <c r="I64" s="30" t="n">
        <v>0</v>
      </c>
      <c r="J64" s="30" t="n">
        <v>0</v>
      </c>
      <c r="K64" s="30" t="n">
        <v>0</v>
      </c>
      <c r="L64" s="30" t="n">
        <v>0</v>
      </c>
      <c r="M64" s="30" t="n">
        <v>0</v>
      </c>
      <c r="N64" s="30" t="n">
        <v>0</v>
      </c>
      <c r="O64" s="30" t="n">
        <v>0</v>
      </c>
      <c r="P64" s="30" t="n">
        <v>0</v>
      </c>
      <c r="Q64" s="30" t="n">
        <v>0</v>
      </c>
      <c r="R64" s="30" t="n">
        <v>0</v>
      </c>
      <c r="S64" s="30" t="n">
        <v>0</v>
      </c>
      <c r="T64" s="30" t="n">
        <v>0</v>
      </c>
      <c r="U64" s="30" t="n">
        <v>0</v>
      </c>
      <c r="V64" s="30" t="n">
        <v>0</v>
      </c>
      <c r="W64" s="30" t="n">
        <v>0</v>
      </c>
      <c r="X64" s="30" t="n">
        <v>0</v>
      </c>
      <c r="Y64" s="30" t="n">
        <v>0</v>
      </c>
      <c r="Z64" s="30" t="n">
        <v>0</v>
      </c>
      <c r="AA64" s="30" t="n">
        <v>0</v>
      </c>
      <c r="AB64" s="30" t="n">
        <v>0</v>
      </c>
      <c r="AC64" s="30" t="n">
        <v>0</v>
      </c>
      <c r="AD64" s="30" t="n">
        <v>0</v>
      </c>
      <c r="AE64" s="30" t="n">
        <v>0</v>
      </c>
      <c r="AF64" s="30" t="n">
        <v>0</v>
      </c>
      <c r="AG64" s="30" t="n">
        <v>0</v>
      </c>
      <c r="AH64" s="30" t="n">
        <v>0</v>
      </c>
      <c r="AI64" s="30" t="n">
        <v>0</v>
      </c>
      <c r="AJ64" s="30" t="n">
        <v>0</v>
      </c>
      <c r="AK64" s="30" t="n">
        <v>0</v>
      </c>
      <c r="AL64" s="30" t="n">
        <v>0</v>
      </c>
      <c r="AM64" s="30" t="n">
        <v>0</v>
      </c>
      <c r="AN64" s="30" t="n">
        <v>0</v>
      </c>
      <c r="AO64" s="30" t="n">
        <v>0</v>
      </c>
      <c r="AP64" s="30" t="n">
        <v>0</v>
      </c>
      <c r="AQ64" s="30" t="n">
        <v>0</v>
      </c>
      <c r="AR64" s="30" t="n">
        <v>0</v>
      </c>
      <c r="AS64" s="30" t="n">
        <v>0</v>
      </c>
      <c r="AT64" s="30" t="n">
        <v>0</v>
      </c>
      <c r="AU64" s="30" t="n">
        <v>0</v>
      </c>
      <c r="AV64" s="30" t="n">
        <v>0</v>
      </c>
      <c r="AW64" s="30" t="n">
        <v>0</v>
      </c>
      <c r="AX64" s="30" t="n">
        <v>0</v>
      </c>
      <c r="AY64" s="30" t="n">
        <v>0</v>
      </c>
      <c r="AZ64" s="30" t="n">
        <v>0</v>
      </c>
      <c r="BA64" s="30" t="n">
        <v>0</v>
      </c>
      <c r="BB64" s="30" t="n">
        <v>0</v>
      </c>
      <c r="BC64" s="30" t="n">
        <v>0</v>
      </c>
      <c r="BD64" s="30" t="n">
        <v>0</v>
      </c>
      <c r="BE64" s="30" t="n">
        <v>0</v>
      </c>
      <c r="BF64" s="30" t="n">
        <v>0</v>
      </c>
      <c r="BG64" s="30" t="n">
        <v>0</v>
      </c>
      <c r="BH64" s="30" t="n">
        <v>0</v>
      </c>
      <c r="BI64" s="30" t="n">
        <v>0</v>
      </c>
      <c r="BJ64" s="30" t="n">
        <v>0</v>
      </c>
      <c r="BK64" s="30" t="n">
        <v>0</v>
      </c>
      <c r="BL64" s="30" t="n">
        <v>0</v>
      </c>
      <c r="BM64" s="30" t="n">
        <v>0</v>
      </c>
      <c r="BN64" s="30" t="n">
        <v>0</v>
      </c>
      <c r="BO64" s="30" t="n">
        <v>0</v>
      </c>
      <c r="BP64" s="30" t="n">
        <v>0</v>
      </c>
      <c r="BQ64" s="30" t="n">
        <v>0</v>
      </c>
      <c r="BR64" s="30" t="n">
        <v>0</v>
      </c>
      <c r="BS64" s="30" t="n">
        <v>0</v>
      </c>
      <c r="BT64" s="30" t="n">
        <v>0</v>
      </c>
      <c r="BU64" s="30" t="n">
        <v>0</v>
      </c>
      <c r="BV64" s="30" t="n">
        <v>0</v>
      </c>
      <c r="BW64" s="30" t="n">
        <v>0</v>
      </c>
      <c r="BX64" s="30" t="n">
        <v>0</v>
      </c>
      <c r="BY64" s="30" t="n">
        <v>0</v>
      </c>
      <c r="BZ64" s="30" t="n">
        <v>0</v>
      </c>
      <c r="CA64" s="30" t="n">
        <v>0</v>
      </c>
      <c r="CB64" s="30" t="n">
        <v>0</v>
      </c>
      <c r="CC64" s="30" t="n">
        <v>0</v>
      </c>
      <c r="CD64" s="30" t="n">
        <v>0</v>
      </c>
      <c r="CE64" s="30" t="n">
        <v>0</v>
      </c>
      <c r="CF64" s="30" t="n">
        <v>0</v>
      </c>
      <c r="CG64" s="30" t="n">
        <v>0</v>
      </c>
      <c r="CH64" s="30" t="n">
        <v>0</v>
      </c>
      <c r="CI64" s="30" t="n">
        <v>0</v>
      </c>
      <c r="CJ64" s="30" t="n">
        <v>0</v>
      </c>
      <c r="CK64" s="30" t="n">
        <v>0</v>
      </c>
      <c r="CL64" s="30" t="n">
        <v>0</v>
      </c>
      <c r="CM64" s="30" t="n">
        <v>0</v>
      </c>
      <c r="CN64" s="30" t="n">
        <v>0</v>
      </c>
      <c r="CO64" s="30" t="n">
        <v>0</v>
      </c>
      <c r="CP64" s="30" t="n">
        <v>0</v>
      </c>
      <c r="CQ64" s="30" t="n">
        <v>0</v>
      </c>
      <c r="CR64" s="30" t="n">
        <v>0</v>
      </c>
      <c r="CS64" s="30" t="n">
        <v>0</v>
      </c>
      <c r="CT64" s="30" t="n">
        <v>0</v>
      </c>
      <c r="CU64" s="30" t="n">
        <v>0</v>
      </c>
      <c r="CV64" s="30" t="n">
        <v>0</v>
      </c>
      <c r="CW64" s="30" t="n">
        <v>0</v>
      </c>
      <c r="CX64" s="30" t="n">
        <v>0</v>
      </c>
      <c r="CY64" s="30" t="n">
        <v>0</v>
      </c>
      <c r="CZ64" s="30" t="n">
        <v>0</v>
      </c>
      <c r="DA64" s="30" t="n">
        <v>0</v>
      </c>
    </row>
    <row r="65">
      <c r="A65" t="inlineStr">
        <is>
          <t>VSP-989</t>
        </is>
      </c>
      <c r="B65" s="30" t="n">
        <v>0</v>
      </c>
      <c r="C65" s="30" t="n">
        <v>0</v>
      </c>
      <c r="D65" s="30" t="n">
        <v>0</v>
      </c>
      <c r="E65" s="30" t="n">
        <v>0</v>
      </c>
      <c r="F65" s="30" t="n">
        <v>0</v>
      </c>
      <c r="G65" s="30" t="n">
        <v>0</v>
      </c>
      <c r="H65" s="30" t="n">
        <v>0</v>
      </c>
      <c r="I65" s="30" t="n">
        <v>0</v>
      </c>
      <c r="J65" s="30" t="n">
        <v>0</v>
      </c>
      <c r="K65" s="30" t="n">
        <v>0</v>
      </c>
      <c r="L65" s="30" t="n">
        <v>0</v>
      </c>
      <c r="M65" s="30" t="n">
        <v>0</v>
      </c>
      <c r="N65" s="30" t="n">
        <v>0</v>
      </c>
      <c r="O65" s="30" t="n">
        <v>0</v>
      </c>
      <c r="P65" s="30" t="n">
        <v>0</v>
      </c>
      <c r="Q65" s="30" t="n">
        <v>0</v>
      </c>
      <c r="R65" s="30" t="n">
        <v>0</v>
      </c>
      <c r="S65" s="30" t="n">
        <v>0</v>
      </c>
      <c r="T65" s="30" t="n">
        <v>0</v>
      </c>
      <c r="U65" s="30" t="n">
        <v>0</v>
      </c>
      <c r="V65" s="30" t="n">
        <v>0</v>
      </c>
      <c r="W65" s="30" t="n">
        <v>0</v>
      </c>
      <c r="X65" s="30" t="n">
        <v>0</v>
      </c>
      <c r="Y65" s="30" t="n">
        <v>0</v>
      </c>
      <c r="Z65" s="30" t="n">
        <v>0</v>
      </c>
      <c r="AA65" s="30" t="n">
        <v>0</v>
      </c>
      <c r="AB65" s="30" t="n">
        <v>0</v>
      </c>
      <c r="AC65" s="30" t="n">
        <v>0</v>
      </c>
      <c r="AD65" s="30" t="n">
        <v>0</v>
      </c>
      <c r="AE65" s="30" t="n">
        <v>0</v>
      </c>
      <c r="AF65" s="30" t="n">
        <v>0</v>
      </c>
      <c r="AG65" s="30" t="n">
        <v>0</v>
      </c>
      <c r="AH65" s="30" t="n">
        <v>0</v>
      </c>
      <c r="AI65" s="30" t="n">
        <v>0</v>
      </c>
      <c r="AJ65" s="30" t="n">
        <v>0</v>
      </c>
      <c r="AK65" s="30" t="n">
        <v>0</v>
      </c>
      <c r="AL65" s="30" t="n">
        <v>0</v>
      </c>
      <c r="AM65" s="30" t="n">
        <v>0</v>
      </c>
      <c r="AN65" s="30" t="n">
        <v>0</v>
      </c>
      <c r="AO65" s="30" t="n">
        <v>0</v>
      </c>
      <c r="AP65" s="30" t="n">
        <v>0</v>
      </c>
      <c r="AQ65" s="30" t="n">
        <v>0</v>
      </c>
      <c r="AR65" s="30" t="n">
        <v>0</v>
      </c>
      <c r="AS65" s="30" t="n">
        <v>0</v>
      </c>
      <c r="AT65" s="30" t="n">
        <v>0</v>
      </c>
      <c r="AU65" s="30" t="n">
        <v>0</v>
      </c>
      <c r="AV65" s="30" t="n">
        <v>0</v>
      </c>
      <c r="AW65" s="30" t="n">
        <v>0</v>
      </c>
      <c r="AX65" s="30" t="n">
        <v>0</v>
      </c>
      <c r="AY65" s="30" t="n">
        <v>0</v>
      </c>
      <c r="AZ65" s="30" t="n">
        <v>0</v>
      </c>
      <c r="BA65" s="30" t="n">
        <v>0</v>
      </c>
      <c r="BB65" s="30" t="n">
        <v>0</v>
      </c>
      <c r="BC65" s="30" t="n">
        <v>0</v>
      </c>
      <c r="BD65" s="30" t="n">
        <v>0</v>
      </c>
      <c r="BE65" s="30" t="n">
        <v>0</v>
      </c>
      <c r="BF65" s="30" t="n">
        <v>0</v>
      </c>
      <c r="BG65" s="30" t="n">
        <v>0</v>
      </c>
      <c r="BH65" s="30" t="n">
        <v>0</v>
      </c>
      <c r="BI65" s="30" t="n">
        <v>0</v>
      </c>
      <c r="BJ65" s="30" t="n">
        <v>0</v>
      </c>
      <c r="BK65" s="30" t="n">
        <v>0</v>
      </c>
      <c r="BL65" s="30" t="n">
        <v>0</v>
      </c>
      <c r="BM65" s="30" t="n">
        <v>0</v>
      </c>
      <c r="BN65" s="30" t="n">
        <v>0</v>
      </c>
      <c r="BO65" s="30" t="n">
        <v>0</v>
      </c>
      <c r="BP65" s="30" t="n">
        <v>0</v>
      </c>
      <c r="BQ65" s="30" t="n">
        <v>0</v>
      </c>
      <c r="BR65" s="30" t="n">
        <v>0</v>
      </c>
      <c r="BS65" s="30" t="n">
        <v>0</v>
      </c>
      <c r="BT65" s="30" t="n">
        <v>0</v>
      </c>
      <c r="BU65" s="30" t="n">
        <v>0</v>
      </c>
      <c r="BV65" s="30" t="n">
        <v>0</v>
      </c>
      <c r="BW65" s="30" t="n">
        <v>0</v>
      </c>
      <c r="BX65" s="30" t="n">
        <v>0</v>
      </c>
      <c r="BY65" s="30" t="n">
        <v>0</v>
      </c>
      <c r="BZ65" s="30" t="n">
        <v>0</v>
      </c>
      <c r="CA65" s="30" t="n">
        <v>0</v>
      </c>
      <c r="CB65" s="30" t="n">
        <v>0</v>
      </c>
      <c r="CC65" s="30" t="n">
        <v>0</v>
      </c>
      <c r="CD65" s="30" t="n">
        <v>0</v>
      </c>
      <c r="CE65" s="30" t="n">
        <v>0</v>
      </c>
      <c r="CF65" s="30" t="n">
        <v>0</v>
      </c>
      <c r="CG65" s="30" t="n">
        <v>0</v>
      </c>
      <c r="CH65" s="30" t="n">
        <v>0</v>
      </c>
      <c r="CI65" s="30" t="n">
        <v>0</v>
      </c>
      <c r="CJ65" s="30" t="n">
        <v>0</v>
      </c>
      <c r="CK65" s="30" t="n">
        <v>0</v>
      </c>
      <c r="CL65" s="30" t="n">
        <v>0</v>
      </c>
      <c r="CM65" s="30" t="n">
        <v>0</v>
      </c>
      <c r="CN65" s="30" t="n">
        <v>0</v>
      </c>
      <c r="CO65" s="30" t="n">
        <v>0</v>
      </c>
      <c r="CP65" s="30" t="n">
        <v>0</v>
      </c>
      <c r="CQ65" s="30" t="n">
        <v>0</v>
      </c>
      <c r="CR65" s="30" t="n">
        <v>0</v>
      </c>
      <c r="CS65" s="30" t="n">
        <v>0</v>
      </c>
      <c r="CT65" s="30" t="n">
        <v>0</v>
      </c>
      <c r="CU65" s="30" t="n">
        <v>0</v>
      </c>
      <c r="CV65" s="30" t="n">
        <v>0</v>
      </c>
      <c r="CW65" s="30" t="n">
        <v>0</v>
      </c>
      <c r="CX65" s="30" t="n">
        <v>0</v>
      </c>
      <c r="CY65" s="30" t="n">
        <v>0</v>
      </c>
      <c r="CZ65" s="30" t="n">
        <v>0</v>
      </c>
      <c r="DA65" s="30" t="n">
        <v>0</v>
      </c>
    </row>
    <row r="66">
      <c r="A66" t="inlineStr">
        <is>
          <t>VSP-990</t>
        </is>
      </c>
      <c r="B66" s="30" t="n">
        <v>0</v>
      </c>
      <c r="C66" s="30" t="n">
        <v>0</v>
      </c>
      <c r="D66" s="30" t="n">
        <v>0</v>
      </c>
      <c r="E66" s="30" t="n">
        <v>0</v>
      </c>
      <c r="F66" s="30" t="n">
        <v>0</v>
      </c>
      <c r="G66" s="30" t="n">
        <v>0</v>
      </c>
      <c r="H66" s="30" t="n">
        <v>0</v>
      </c>
      <c r="I66" s="30" t="n">
        <v>0</v>
      </c>
      <c r="J66" s="30" t="n">
        <v>0</v>
      </c>
      <c r="K66" s="30" t="n">
        <v>0</v>
      </c>
      <c r="L66" s="30" t="n">
        <v>0</v>
      </c>
      <c r="M66" s="30" t="n">
        <v>0</v>
      </c>
      <c r="N66" s="30" t="n">
        <v>0</v>
      </c>
      <c r="O66" s="30" t="n">
        <v>0</v>
      </c>
      <c r="P66" s="30" t="n">
        <v>0</v>
      </c>
      <c r="Q66" s="30" t="n">
        <v>0</v>
      </c>
      <c r="R66" s="30" t="n">
        <v>0</v>
      </c>
      <c r="S66" s="30" t="n">
        <v>0</v>
      </c>
      <c r="T66" s="30" t="n">
        <v>0</v>
      </c>
      <c r="U66" s="30" t="n">
        <v>0</v>
      </c>
      <c r="V66" s="30" t="n">
        <v>0</v>
      </c>
      <c r="W66" s="30" t="n">
        <v>0</v>
      </c>
      <c r="X66" s="30" t="n">
        <v>0</v>
      </c>
      <c r="Y66" s="30" t="n">
        <v>0</v>
      </c>
      <c r="Z66" s="30" t="n">
        <v>0</v>
      </c>
      <c r="AA66" s="30" t="n">
        <v>0</v>
      </c>
      <c r="AB66" s="30" t="n">
        <v>0</v>
      </c>
      <c r="AC66" s="30" t="n">
        <v>0</v>
      </c>
      <c r="AD66" s="30" t="n">
        <v>0</v>
      </c>
      <c r="AE66" s="30" t="n">
        <v>0</v>
      </c>
      <c r="AF66" s="30" t="n">
        <v>0</v>
      </c>
      <c r="AG66" s="30" t="n">
        <v>0</v>
      </c>
      <c r="AH66" s="30" t="n">
        <v>0</v>
      </c>
      <c r="AI66" s="30" t="n">
        <v>0</v>
      </c>
      <c r="AJ66" s="30" t="n">
        <v>0</v>
      </c>
      <c r="AK66" s="30" t="n">
        <v>0</v>
      </c>
      <c r="AL66" s="30" t="n">
        <v>0</v>
      </c>
      <c r="AM66" s="30" t="n">
        <v>0</v>
      </c>
      <c r="AN66" s="30" t="n">
        <v>0</v>
      </c>
      <c r="AO66" s="30" t="n">
        <v>0</v>
      </c>
      <c r="AP66" s="30" t="n">
        <v>0</v>
      </c>
      <c r="AQ66" s="30" t="n">
        <v>0</v>
      </c>
      <c r="AR66" s="30" t="n">
        <v>0</v>
      </c>
      <c r="AS66" s="30" t="n">
        <v>0</v>
      </c>
      <c r="AT66" s="30" t="n">
        <v>0</v>
      </c>
      <c r="AU66" s="30" t="n">
        <v>0</v>
      </c>
      <c r="AV66" s="30" t="n">
        <v>0</v>
      </c>
      <c r="AW66" s="30" t="n">
        <v>0</v>
      </c>
      <c r="AX66" s="30" t="n">
        <v>0</v>
      </c>
      <c r="AY66" s="30" t="n">
        <v>0</v>
      </c>
      <c r="AZ66" s="30" t="n">
        <v>0</v>
      </c>
      <c r="BA66" s="30" t="n">
        <v>0</v>
      </c>
      <c r="BB66" s="30" t="n">
        <v>0</v>
      </c>
      <c r="BC66" s="30" t="n">
        <v>0</v>
      </c>
      <c r="BD66" s="30" t="n">
        <v>0</v>
      </c>
      <c r="BE66" s="30" t="n">
        <v>0</v>
      </c>
      <c r="BF66" s="30" t="n">
        <v>0</v>
      </c>
      <c r="BG66" s="30" t="n">
        <v>0</v>
      </c>
      <c r="BH66" s="30" t="n">
        <v>0</v>
      </c>
      <c r="BI66" s="30" t="n">
        <v>0</v>
      </c>
      <c r="BJ66" s="30" t="n">
        <v>0</v>
      </c>
      <c r="BK66" s="30" t="n">
        <v>0</v>
      </c>
      <c r="BL66" s="30" t="n">
        <v>0</v>
      </c>
      <c r="BM66" s="30" t="n">
        <v>0</v>
      </c>
      <c r="BN66" s="30" t="n">
        <v>0</v>
      </c>
      <c r="BO66" s="30" t="n">
        <v>0</v>
      </c>
      <c r="BP66" s="30" t="n">
        <v>0</v>
      </c>
      <c r="BQ66" s="30" t="n">
        <v>0</v>
      </c>
      <c r="BR66" s="30" t="n">
        <v>0</v>
      </c>
      <c r="BS66" s="30" t="n">
        <v>0</v>
      </c>
      <c r="BT66" s="30" t="n">
        <v>0</v>
      </c>
      <c r="BU66" s="30" t="n">
        <v>0</v>
      </c>
      <c r="BV66" s="30" t="n">
        <v>0</v>
      </c>
      <c r="BW66" s="30" t="n">
        <v>0</v>
      </c>
      <c r="BX66" s="30" t="n">
        <v>0</v>
      </c>
      <c r="BY66" s="30" t="n">
        <v>0</v>
      </c>
      <c r="BZ66" s="30" t="n">
        <v>0</v>
      </c>
      <c r="CA66" s="30" t="n">
        <v>0</v>
      </c>
      <c r="CB66" s="30" t="n">
        <v>0</v>
      </c>
      <c r="CC66" s="30" t="n">
        <v>0</v>
      </c>
      <c r="CD66" s="30" t="n">
        <v>0</v>
      </c>
      <c r="CE66" s="30" t="n">
        <v>0</v>
      </c>
      <c r="CF66" s="30" t="n">
        <v>0</v>
      </c>
      <c r="CG66" s="30" t="n">
        <v>0</v>
      </c>
      <c r="CH66" s="30" t="n">
        <v>0</v>
      </c>
      <c r="CI66" s="30" t="n">
        <v>0</v>
      </c>
      <c r="CJ66" s="30" t="n">
        <v>0</v>
      </c>
      <c r="CK66" s="30" t="n">
        <v>0</v>
      </c>
      <c r="CL66" s="30" t="n">
        <v>0</v>
      </c>
      <c r="CM66" s="30" t="n">
        <v>0</v>
      </c>
      <c r="CN66" s="30" t="n">
        <v>0</v>
      </c>
      <c r="CO66" s="30" t="n">
        <v>0</v>
      </c>
      <c r="CP66" s="30" t="n">
        <v>0</v>
      </c>
      <c r="CQ66" s="30" t="n">
        <v>0</v>
      </c>
      <c r="CR66" s="30" t="n">
        <v>0</v>
      </c>
      <c r="CS66" s="30" t="n">
        <v>0</v>
      </c>
      <c r="CT66" s="30" t="n">
        <v>0</v>
      </c>
      <c r="CU66" s="30" t="n">
        <v>0</v>
      </c>
      <c r="CV66" s="30" t="n">
        <v>0</v>
      </c>
      <c r="CW66" s="30" t="n">
        <v>0</v>
      </c>
      <c r="CX66" s="30" t="n">
        <v>0</v>
      </c>
      <c r="CY66" s="30" t="n">
        <v>0</v>
      </c>
      <c r="CZ66" s="30" t="n">
        <v>0</v>
      </c>
      <c r="DA66" s="30" t="n">
        <v>0</v>
      </c>
    </row>
    <row r="67">
      <c r="A67" t="inlineStr">
        <is>
          <t>TPP-103</t>
        </is>
      </c>
      <c r="B67" s="30" t="n">
        <v>0</v>
      </c>
      <c r="C67" s="30" t="n">
        <v>0</v>
      </c>
      <c r="D67" s="30" t="n">
        <v>0</v>
      </c>
      <c r="E67" s="30" t="n">
        <v>0</v>
      </c>
      <c r="F67" s="30" t="n">
        <v>0</v>
      </c>
      <c r="G67" s="30" t="n">
        <v>0</v>
      </c>
      <c r="H67" s="30" t="n">
        <v>0</v>
      </c>
      <c r="I67" s="30" t="n">
        <v>0</v>
      </c>
      <c r="J67" s="30" t="n">
        <v>0</v>
      </c>
      <c r="K67" s="30" t="n">
        <v>0</v>
      </c>
      <c r="L67" s="30" t="n">
        <v>0</v>
      </c>
      <c r="M67" s="30" t="n">
        <v>0</v>
      </c>
      <c r="N67" s="30" t="n">
        <v>0</v>
      </c>
      <c r="O67" s="30" t="n">
        <v>0</v>
      </c>
      <c r="P67" s="30" t="n">
        <v>0</v>
      </c>
      <c r="Q67" s="30" t="n">
        <v>0</v>
      </c>
      <c r="R67" s="30" t="n">
        <v>0</v>
      </c>
      <c r="S67" s="30" t="n">
        <v>0</v>
      </c>
      <c r="T67" s="30" t="n">
        <v>0</v>
      </c>
      <c r="U67" s="30" t="n">
        <v>0</v>
      </c>
      <c r="V67" s="30" t="n">
        <v>0</v>
      </c>
      <c r="W67" s="30" t="n">
        <v>0</v>
      </c>
      <c r="X67" s="30" t="n">
        <v>0</v>
      </c>
      <c r="Y67" s="30" t="n">
        <v>0</v>
      </c>
      <c r="Z67" s="30" t="n">
        <v>0</v>
      </c>
      <c r="AA67" s="30" t="n">
        <v>0</v>
      </c>
      <c r="AB67" s="30" t="n">
        <v>0</v>
      </c>
      <c r="AC67" s="30" t="n">
        <v>0</v>
      </c>
      <c r="AD67" s="30" t="n">
        <v>0</v>
      </c>
      <c r="AE67" s="30" t="n">
        <v>0</v>
      </c>
      <c r="AF67" s="30" t="n">
        <v>0</v>
      </c>
      <c r="AG67" s="30" t="n">
        <v>0</v>
      </c>
      <c r="AH67" s="30" t="n">
        <v>0</v>
      </c>
      <c r="AI67" s="30" t="n">
        <v>0</v>
      </c>
      <c r="AJ67" s="30" t="n">
        <v>0</v>
      </c>
      <c r="AK67" s="30" t="n">
        <v>0</v>
      </c>
      <c r="AL67" s="30" t="n">
        <v>0</v>
      </c>
      <c r="AM67" s="30" t="n">
        <v>0</v>
      </c>
      <c r="AN67" s="30" t="n">
        <v>0</v>
      </c>
      <c r="AO67" s="30" t="n">
        <v>0</v>
      </c>
      <c r="AP67" s="30" t="n">
        <v>0</v>
      </c>
      <c r="AQ67" s="30" t="n">
        <v>0</v>
      </c>
      <c r="AR67" s="30" t="n">
        <v>0</v>
      </c>
      <c r="AS67" s="30" t="n">
        <v>0</v>
      </c>
      <c r="AT67" s="30" t="n">
        <v>0</v>
      </c>
      <c r="AU67" s="30" t="n">
        <v>0</v>
      </c>
      <c r="AV67" s="30" t="n">
        <v>0</v>
      </c>
      <c r="AW67" s="30" t="n">
        <v>0</v>
      </c>
      <c r="AX67" s="30" t="n">
        <v>0</v>
      </c>
      <c r="AY67" s="30" t="n">
        <v>0</v>
      </c>
      <c r="AZ67" s="30" t="n">
        <v>0</v>
      </c>
      <c r="BA67" s="30" t="n">
        <v>0</v>
      </c>
      <c r="BB67" s="30" t="n">
        <v>0</v>
      </c>
      <c r="BC67" s="30" t="n">
        <v>0</v>
      </c>
      <c r="BD67" s="30" t="n">
        <v>0</v>
      </c>
      <c r="BE67" s="30" t="n">
        <v>0</v>
      </c>
      <c r="BF67" s="30" t="n">
        <v>0</v>
      </c>
      <c r="BG67" s="30" t="n">
        <v>0</v>
      </c>
      <c r="BH67" s="30" t="n">
        <v>0</v>
      </c>
      <c r="BI67" s="30" t="n">
        <v>0</v>
      </c>
      <c r="BJ67" s="30" t="n">
        <v>0</v>
      </c>
      <c r="BK67" s="30" t="n">
        <v>0</v>
      </c>
      <c r="BL67" s="30" t="n">
        <v>0</v>
      </c>
      <c r="BM67" s="30" t="n">
        <v>0</v>
      </c>
      <c r="BN67" s="30" t="n">
        <v>0</v>
      </c>
      <c r="BO67" s="30" t="n">
        <v>0</v>
      </c>
      <c r="BP67" s="30" t="n">
        <v>0</v>
      </c>
      <c r="BQ67" s="30" t="n">
        <v>0</v>
      </c>
      <c r="BR67" s="30" t="n">
        <v>0</v>
      </c>
      <c r="BS67" s="30" t="n">
        <v>0</v>
      </c>
      <c r="BT67" s="30" t="n">
        <v>0</v>
      </c>
      <c r="BU67" s="30" t="n">
        <v>0</v>
      </c>
      <c r="BV67" s="30" t="n">
        <v>0</v>
      </c>
      <c r="BW67" s="30" t="n">
        <v>0</v>
      </c>
      <c r="BX67" s="30" t="n">
        <v>0</v>
      </c>
      <c r="BY67" s="30" t="n">
        <v>0</v>
      </c>
      <c r="BZ67" s="30" t="n">
        <v>0</v>
      </c>
      <c r="CA67" s="30" t="n">
        <v>0</v>
      </c>
      <c r="CB67" s="30" t="n">
        <v>0</v>
      </c>
      <c r="CC67" s="30" t="n">
        <v>0</v>
      </c>
      <c r="CD67" s="30" t="n">
        <v>0</v>
      </c>
      <c r="CE67" s="30" t="n">
        <v>0</v>
      </c>
      <c r="CF67" s="30" t="n">
        <v>0</v>
      </c>
      <c r="CG67" s="30" t="n">
        <v>0</v>
      </c>
      <c r="CH67" s="30" t="n">
        <v>0</v>
      </c>
      <c r="CI67" s="30" t="n">
        <v>0</v>
      </c>
      <c r="CJ67" s="30" t="n">
        <v>0</v>
      </c>
      <c r="CK67" s="30" t="n">
        <v>0</v>
      </c>
      <c r="CL67" s="30" t="n">
        <v>0</v>
      </c>
      <c r="CM67" s="30" t="n">
        <v>0</v>
      </c>
      <c r="CN67" s="30" t="n">
        <v>0</v>
      </c>
      <c r="CO67" s="30" t="n">
        <v>0</v>
      </c>
      <c r="CP67" s="30" t="n">
        <v>0</v>
      </c>
      <c r="CQ67" s="30" t="n">
        <v>0</v>
      </c>
      <c r="CR67" s="30" t="n">
        <v>0</v>
      </c>
      <c r="CS67" s="30" t="n">
        <v>0</v>
      </c>
      <c r="CT67" s="30" t="n">
        <v>0</v>
      </c>
      <c r="CU67" s="30" t="n">
        <v>0</v>
      </c>
      <c r="CV67" s="30" t="n">
        <v>0</v>
      </c>
      <c r="CW67" s="30" t="n">
        <v>0</v>
      </c>
      <c r="CX67" s="30" t="n">
        <v>0</v>
      </c>
      <c r="CY67" s="30" t="n">
        <v>0</v>
      </c>
      <c r="CZ67" s="30" t="n">
        <v>0</v>
      </c>
      <c r="DA67" s="30" t="n">
        <v>0</v>
      </c>
    </row>
    <row r="68">
      <c r="A68" t="inlineStr">
        <is>
          <t>TPP-1367</t>
        </is>
      </c>
      <c r="B68" s="30" t="n">
        <v>0</v>
      </c>
      <c r="C68" s="30" t="n">
        <v>0</v>
      </c>
      <c r="D68" s="30" t="n">
        <v>0</v>
      </c>
      <c r="E68" s="30" t="n">
        <v>0</v>
      </c>
      <c r="F68" s="30" t="n">
        <v>0</v>
      </c>
      <c r="G68" s="30" t="n">
        <v>0</v>
      </c>
      <c r="H68" s="30" t="n">
        <v>0</v>
      </c>
      <c r="I68" s="30" t="n">
        <v>0</v>
      </c>
      <c r="J68" s="30" t="n">
        <v>0</v>
      </c>
      <c r="K68" s="30" t="n">
        <v>0</v>
      </c>
      <c r="L68" s="30" t="n">
        <v>0</v>
      </c>
      <c r="M68" s="30" t="n">
        <v>0</v>
      </c>
      <c r="N68" s="30" t="n">
        <v>0</v>
      </c>
      <c r="O68" s="30" t="n">
        <v>0</v>
      </c>
      <c r="P68" s="30" t="n">
        <v>0</v>
      </c>
      <c r="Q68" s="30" t="n">
        <v>0</v>
      </c>
      <c r="R68" s="30" t="n">
        <v>0</v>
      </c>
      <c r="S68" s="30" t="n">
        <v>0</v>
      </c>
      <c r="T68" s="30" t="n">
        <v>0</v>
      </c>
      <c r="U68" s="30" t="n">
        <v>0</v>
      </c>
      <c r="V68" s="30" t="n">
        <v>0</v>
      </c>
      <c r="W68" s="30" t="n">
        <v>0</v>
      </c>
      <c r="X68" s="30" t="n">
        <v>0</v>
      </c>
      <c r="Y68" s="30" t="n">
        <v>0</v>
      </c>
      <c r="Z68" s="30" t="n">
        <v>0</v>
      </c>
      <c r="AA68" s="30" t="n">
        <v>0</v>
      </c>
      <c r="AB68" s="30" t="n">
        <v>0</v>
      </c>
      <c r="AC68" s="30" t="n">
        <v>0</v>
      </c>
      <c r="AD68" s="30" t="n">
        <v>0</v>
      </c>
      <c r="AE68" s="30" t="n">
        <v>0</v>
      </c>
      <c r="AF68" s="30" t="n">
        <v>0</v>
      </c>
      <c r="AG68" s="30" t="n">
        <v>0</v>
      </c>
      <c r="AH68" s="30" t="n">
        <v>0</v>
      </c>
      <c r="AI68" s="30" t="n">
        <v>0</v>
      </c>
      <c r="AJ68" s="30" t="n">
        <v>0</v>
      </c>
      <c r="AK68" s="30" t="n">
        <v>0</v>
      </c>
      <c r="AL68" s="30" t="n">
        <v>0</v>
      </c>
      <c r="AM68" s="30" t="n">
        <v>0</v>
      </c>
      <c r="AN68" s="30" t="n">
        <v>0</v>
      </c>
      <c r="AO68" s="30" t="n">
        <v>0</v>
      </c>
      <c r="AP68" s="30" t="n">
        <v>0</v>
      </c>
      <c r="AQ68" s="30" t="n">
        <v>0</v>
      </c>
      <c r="AR68" s="30" t="n">
        <v>0</v>
      </c>
      <c r="AS68" s="30" t="n">
        <v>0</v>
      </c>
      <c r="AT68" s="30" t="n">
        <v>0</v>
      </c>
      <c r="AU68" s="30" t="n">
        <v>0</v>
      </c>
      <c r="AV68" s="30" t="n">
        <v>0</v>
      </c>
      <c r="AW68" s="30" t="n">
        <v>0</v>
      </c>
      <c r="AX68" s="30" t="n">
        <v>0</v>
      </c>
      <c r="AY68" s="30" t="n">
        <v>0</v>
      </c>
      <c r="AZ68" s="30" t="n">
        <v>0</v>
      </c>
      <c r="BA68" s="30" t="n">
        <v>0</v>
      </c>
      <c r="BB68" s="30" t="n">
        <v>0</v>
      </c>
      <c r="BC68" s="30" t="n">
        <v>0</v>
      </c>
      <c r="BD68" s="30" t="n">
        <v>0</v>
      </c>
      <c r="BE68" s="30" t="n">
        <v>0</v>
      </c>
      <c r="BF68" s="30" t="n">
        <v>0</v>
      </c>
      <c r="BG68" s="30" t="n">
        <v>0</v>
      </c>
      <c r="BH68" s="30" t="n">
        <v>0</v>
      </c>
      <c r="BI68" s="30" t="n">
        <v>0</v>
      </c>
      <c r="BJ68" s="30" t="n">
        <v>0</v>
      </c>
      <c r="BK68" s="30" t="n">
        <v>0</v>
      </c>
      <c r="BL68" s="30" t="n">
        <v>0</v>
      </c>
      <c r="BM68" s="30" t="n">
        <v>0</v>
      </c>
      <c r="BN68" s="30" t="n">
        <v>0</v>
      </c>
      <c r="BO68" s="30" t="n">
        <v>0</v>
      </c>
      <c r="BP68" s="30" t="n">
        <v>0</v>
      </c>
      <c r="BQ68" s="30" t="n">
        <v>0</v>
      </c>
      <c r="BR68" s="30" t="n">
        <v>0</v>
      </c>
      <c r="BS68" s="30" t="n">
        <v>0</v>
      </c>
      <c r="BT68" s="30" t="n">
        <v>0</v>
      </c>
      <c r="BU68" s="30" t="n">
        <v>0</v>
      </c>
      <c r="BV68" s="30" t="n">
        <v>0</v>
      </c>
      <c r="BW68" s="30" t="n">
        <v>0</v>
      </c>
      <c r="BX68" s="30" t="n">
        <v>0</v>
      </c>
      <c r="BY68" s="30" t="n">
        <v>0</v>
      </c>
      <c r="BZ68" s="30" t="n">
        <v>0</v>
      </c>
      <c r="CA68" s="30" t="n">
        <v>0</v>
      </c>
      <c r="CB68" s="30" t="n">
        <v>0</v>
      </c>
      <c r="CC68" s="30" t="n">
        <v>0</v>
      </c>
      <c r="CD68" s="30" t="n">
        <v>0</v>
      </c>
      <c r="CE68" s="30" t="n">
        <v>0</v>
      </c>
      <c r="CF68" s="30" t="n">
        <v>0</v>
      </c>
      <c r="CG68" s="30" t="n">
        <v>0</v>
      </c>
      <c r="CH68" s="30" t="n">
        <v>0</v>
      </c>
      <c r="CI68" s="30" t="n">
        <v>0</v>
      </c>
      <c r="CJ68" s="30" t="n">
        <v>0</v>
      </c>
      <c r="CK68" s="30" t="n">
        <v>0</v>
      </c>
      <c r="CL68" s="30" t="n">
        <v>0</v>
      </c>
      <c r="CM68" s="30" t="n">
        <v>0</v>
      </c>
      <c r="CN68" s="30" t="n">
        <v>0</v>
      </c>
      <c r="CO68" s="30" t="n">
        <v>0</v>
      </c>
      <c r="CP68" s="30" t="n">
        <v>0</v>
      </c>
      <c r="CQ68" s="30" t="n">
        <v>0</v>
      </c>
      <c r="CR68" s="30" t="n">
        <v>0</v>
      </c>
      <c r="CS68" s="30" t="n">
        <v>0</v>
      </c>
      <c r="CT68" s="30" t="n">
        <v>0</v>
      </c>
      <c r="CU68" s="30" t="n">
        <v>0</v>
      </c>
      <c r="CV68" s="30" t="n">
        <v>0</v>
      </c>
      <c r="CW68" s="30" t="n">
        <v>0</v>
      </c>
      <c r="CX68" s="30" t="n">
        <v>0</v>
      </c>
      <c r="CY68" s="30" t="n">
        <v>0</v>
      </c>
      <c r="CZ68" s="30" t="n">
        <v>0</v>
      </c>
      <c r="DA68" s="30" t="n">
        <v>0</v>
      </c>
    </row>
    <row r="69">
      <c r="A69" t="inlineStr">
        <is>
          <t>TPP-1368</t>
        </is>
      </c>
      <c r="B69" s="30" t="n">
        <v>0</v>
      </c>
      <c r="C69" s="30" t="n">
        <v>0</v>
      </c>
      <c r="D69" s="30" t="n">
        <v>0</v>
      </c>
      <c r="E69" s="30" t="n">
        <v>0</v>
      </c>
      <c r="F69" s="30" t="n">
        <v>0</v>
      </c>
      <c r="G69" s="30" t="n">
        <v>0</v>
      </c>
      <c r="H69" s="30" t="n">
        <v>0</v>
      </c>
      <c r="I69" s="30" t="n">
        <v>0</v>
      </c>
      <c r="J69" s="30" t="n">
        <v>0</v>
      </c>
      <c r="K69" s="30" t="n">
        <v>0</v>
      </c>
      <c r="L69" s="30" t="n">
        <v>0</v>
      </c>
      <c r="M69" s="30" t="n">
        <v>0</v>
      </c>
      <c r="N69" s="30" t="n">
        <v>0</v>
      </c>
      <c r="O69" s="30" t="n">
        <v>0</v>
      </c>
      <c r="P69" s="30" t="n">
        <v>0</v>
      </c>
      <c r="Q69" s="30" t="n">
        <v>0</v>
      </c>
      <c r="R69" s="30" t="n">
        <v>0</v>
      </c>
      <c r="S69" s="30" t="n">
        <v>0</v>
      </c>
      <c r="T69" s="30" t="n">
        <v>0</v>
      </c>
      <c r="U69" s="30" t="n">
        <v>0</v>
      </c>
      <c r="V69" s="30" t="n">
        <v>0</v>
      </c>
      <c r="W69" s="30" t="n">
        <v>0</v>
      </c>
      <c r="X69" s="30" t="n">
        <v>0</v>
      </c>
      <c r="Y69" s="30" t="n">
        <v>0</v>
      </c>
      <c r="Z69" s="30" t="n">
        <v>0</v>
      </c>
      <c r="AA69" s="30" t="n">
        <v>0</v>
      </c>
      <c r="AB69" s="30" t="n">
        <v>0</v>
      </c>
      <c r="AC69" s="30" t="n">
        <v>0</v>
      </c>
      <c r="AD69" s="30" t="n">
        <v>0</v>
      </c>
      <c r="AE69" s="30" t="n">
        <v>0</v>
      </c>
      <c r="AF69" s="30" t="n">
        <v>0</v>
      </c>
      <c r="AG69" s="30" t="n">
        <v>0</v>
      </c>
      <c r="AH69" s="30" t="n">
        <v>0</v>
      </c>
      <c r="AI69" s="30" t="n">
        <v>0</v>
      </c>
      <c r="AJ69" s="30" t="n">
        <v>0</v>
      </c>
      <c r="AK69" s="30" t="n">
        <v>0</v>
      </c>
      <c r="AL69" s="30" t="n">
        <v>0</v>
      </c>
      <c r="AM69" s="30" t="n">
        <v>0</v>
      </c>
      <c r="AN69" s="30" t="n">
        <v>0</v>
      </c>
      <c r="AO69" s="30" t="n">
        <v>0</v>
      </c>
      <c r="AP69" s="30" t="n">
        <v>0</v>
      </c>
      <c r="AQ69" s="30" t="n">
        <v>0</v>
      </c>
      <c r="AR69" s="30" t="n">
        <v>0</v>
      </c>
      <c r="AS69" s="30" t="n">
        <v>0</v>
      </c>
      <c r="AT69" s="30" t="n">
        <v>0</v>
      </c>
      <c r="AU69" s="30" t="n">
        <v>0</v>
      </c>
      <c r="AV69" s="30" t="n">
        <v>0</v>
      </c>
      <c r="AW69" s="30" t="n">
        <v>0</v>
      </c>
      <c r="AX69" s="30" t="n">
        <v>0</v>
      </c>
      <c r="AY69" s="30" t="n">
        <v>0</v>
      </c>
      <c r="AZ69" s="30" t="n">
        <v>0</v>
      </c>
      <c r="BA69" s="30" t="n">
        <v>0</v>
      </c>
      <c r="BB69" s="30" t="n">
        <v>0</v>
      </c>
      <c r="BC69" s="30" t="n">
        <v>0</v>
      </c>
      <c r="BD69" s="30" t="n">
        <v>0</v>
      </c>
      <c r="BE69" s="30" t="n">
        <v>0</v>
      </c>
      <c r="BF69" s="30" t="n">
        <v>0</v>
      </c>
      <c r="BG69" s="30" t="n">
        <v>0</v>
      </c>
      <c r="BH69" s="30" t="n">
        <v>0</v>
      </c>
      <c r="BI69" s="30" t="n">
        <v>0</v>
      </c>
      <c r="BJ69" s="30" t="n">
        <v>0</v>
      </c>
      <c r="BK69" s="30" t="n">
        <v>0</v>
      </c>
      <c r="BL69" s="30" t="n">
        <v>0</v>
      </c>
      <c r="BM69" s="30" t="n">
        <v>0</v>
      </c>
      <c r="BN69" s="30" t="n">
        <v>0</v>
      </c>
      <c r="BO69" s="30" t="n">
        <v>0</v>
      </c>
      <c r="BP69" s="30" t="n">
        <v>0</v>
      </c>
      <c r="BQ69" s="30" t="n">
        <v>0</v>
      </c>
      <c r="BR69" s="30" t="n">
        <v>0</v>
      </c>
      <c r="BS69" s="30" t="n">
        <v>0</v>
      </c>
      <c r="BT69" s="30" t="n">
        <v>0</v>
      </c>
      <c r="BU69" s="30" t="n">
        <v>0</v>
      </c>
      <c r="BV69" s="30" t="n">
        <v>0</v>
      </c>
      <c r="BW69" s="30" t="n">
        <v>0</v>
      </c>
      <c r="BX69" s="30" t="n">
        <v>0</v>
      </c>
      <c r="BY69" s="30" t="n">
        <v>0</v>
      </c>
      <c r="BZ69" s="30" t="n">
        <v>0</v>
      </c>
      <c r="CA69" s="30" t="n">
        <v>0</v>
      </c>
      <c r="CB69" s="30" t="n">
        <v>0</v>
      </c>
      <c r="CC69" s="30" t="n">
        <v>0</v>
      </c>
      <c r="CD69" s="30" t="n">
        <v>0</v>
      </c>
      <c r="CE69" s="30" t="n">
        <v>0</v>
      </c>
      <c r="CF69" s="30" t="n">
        <v>0</v>
      </c>
      <c r="CG69" s="30" t="n">
        <v>0</v>
      </c>
      <c r="CH69" s="30" t="n">
        <v>0</v>
      </c>
      <c r="CI69" s="30" t="n">
        <v>0</v>
      </c>
      <c r="CJ69" s="30" t="n">
        <v>0</v>
      </c>
      <c r="CK69" s="30" t="n">
        <v>0</v>
      </c>
      <c r="CL69" s="30" t="n">
        <v>0</v>
      </c>
      <c r="CM69" s="30" t="n">
        <v>0</v>
      </c>
      <c r="CN69" s="30" t="n">
        <v>0</v>
      </c>
      <c r="CO69" s="30" t="n">
        <v>0</v>
      </c>
      <c r="CP69" s="30" t="n">
        <v>0</v>
      </c>
      <c r="CQ69" s="30" t="n">
        <v>0</v>
      </c>
      <c r="CR69" s="30" t="n">
        <v>0</v>
      </c>
      <c r="CS69" s="30" t="n">
        <v>0</v>
      </c>
      <c r="CT69" s="30" t="n">
        <v>0</v>
      </c>
      <c r="CU69" s="30" t="n">
        <v>0</v>
      </c>
      <c r="CV69" s="30" t="n">
        <v>0</v>
      </c>
      <c r="CW69" s="30" t="n">
        <v>0</v>
      </c>
      <c r="CX69" s="30" t="n">
        <v>0</v>
      </c>
      <c r="CY69" s="30" t="n">
        <v>0</v>
      </c>
      <c r="CZ69" s="30" t="n">
        <v>0</v>
      </c>
      <c r="DA69" s="30" t="n">
        <v>0</v>
      </c>
    </row>
    <row r="70">
      <c r="A70" t="inlineStr">
        <is>
          <t>TPP-1369</t>
        </is>
      </c>
      <c r="B70" s="30" t="n">
        <v>0</v>
      </c>
      <c r="C70" s="30" t="n">
        <v>0</v>
      </c>
      <c r="D70" s="30" t="n">
        <v>0</v>
      </c>
      <c r="E70" s="30" t="n">
        <v>0</v>
      </c>
      <c r="F70" s="30" t="n">
        <v>0</v>
      </c>
      <c r="G70" s="30" t="n">
        <v>0</v>
      </c>
      <c r="H70" s="30" t="n">
        <v>0</v>
      </c>
      <c r="I70" s="30" t="n">
        <v>0</v>
      </c>
      <c r="J70" s="30" t="n">
        <v>0</v>
      </c>
      <c r="K70" s="30" t="n">
        <v>0</v>
      </c>
      <c r="L70" s="30" t="n">
        <v>0</v>
      </c>
      <c r="M70" s="30" t="n">
        <v>0</v>
      </c>
      <c r="N70" s="30" t="n">
        <v>0</v>
      </c>
      <c r="O70" s="30" t="n">
        <v>0</v>
      </c>
      <c r="P70" s="30" t="n">
        <v>0</v>
      </c>
      <c r="Q70" s="30" t="n">
        <v>0</v>
      </c>
      <c r="R70" s="30" t="n">
        <v>0</v>
      </c>
      <c r="S70" s="30" t="n">
        <v>0</v>
      </c>
      <c r="T70" s="30" t="n">
        <v>0</v>
      </c>
      <c r="U70" s="30" t="n">
        <v>0</v>
      </c>
      <c r="V70" s="30" t="n">
        <v>0</v>
      </c>
      <c r="W70" s="30" t="n">
        <v>0</v>
      </c>
      <c r="X70" s="30" t="n">
        <v>0</v>
      </c>
      <c r="Y70" s="30" t="n">
        <v>0</v>
      </c>
      <c r="Z70" s="30" t="n">
        <v>0</v>
      </c>
      <c r="AA70" s="30" t="n">
        <v>0</v>
      </c>
      <c r="AB70" s="30" t="n">
        <v>0</v>
      </c>
      <c r="AC70" s="30" t="n">
        <v>0</v>
      </c>
      <c r="AD70" s="30" t="n">
        <v>0</v>
      </c>
      <c r="AE70" s="30" t="n">
        <v>0</v>
      </c>
      <c r="AF70" s="30" t="n">
        <v>0</v>
      </c>
      <c r="AG70" s="30" t="n">
        <v>0</v>
      </c>
      <c r="AH70" s="30" t="n">
        <v>0</v>
      </c>
      <c r="AI70" s="30" t="n">
        <v>0</v>
      </c>
      <c r="AJ70" s="30" t="n">
        <v>0</v>
      </c>
      <c r="AK70" s="30" t="n">
        <v>0</v>
      </c>
      <c r="AL70" s="30" t="n">
        <v>0</v>
      </c>
      <c r="AM70" s="30" t="n">
        <v>0</v>
      </c>
      <c r="AN70" s="30" t="n">
        <v>0</v>
      </c>
      <c r="AO70" s="30" t="n">
        <v>0</v>
      </c>
      <c r="AP70" s="30" t="n">
        <v>0</v>
      </c>
      <c r="AQ70" s="30" t="n">
        <v>0</v>
      </c>
      <c r="AR70" s="30" t="n">
        <v>0</v>
      </c>
      <c r="AS70" s="30" t="n">
        <v>0</v>
      </c>
      <c r="AT70" s="30" t="n">
        <v>0</v>
      </c>
      <c r="AU70" s="30" t="n">
        <v>0</v>
      </c>
      <c r="AV70" s="30" t="n">
        <v>0</v>
      </c>
      <c r="AW70" s="30" t="n">
        <v>0</v>
      </c>
      <c r="AX70" s="30" t="n">
        <v>0</v>
      </c>
      <c r="AY70" s="30" t="n">
        <v>0</v>
      </c>
      <c r="AZ70" s="30" t="n">
        <v>0</v>
      </c>
      <c r="BA70" s="30" t="n">
        <v>0</v>
      </c>
      <c r="BB70" s="30" t="n">
        <v>0</v>
      </c>
      <c r="BC70" s="30" t="n">
        <v>0</v>
      </c>
      <c r="BD70" s="30" t="n">
        <v>0</v>
      </c>
      <c r="BE70" s="30" t="n">
        <v>0</v>
      </c>
      <c r="BF70" s="30" t="n">
        <v>0</v>
      </c>
      <c r="BG70" s="30" t="n">
        <v>0</v>
      </c>
      <c r="BH70" s="30" t="n">
        <v>0</v>
      </c>
      <c r="BI70" s="30" t="n">
        <v>0</v>
      </c>
      <c r="BJ70" s="30" t="n">
        <v>0</v>
      </c>
      <c r="BK70" s="30" t="n">
        <v>0</v>
      </c>
      <c r="BL70" s="30" t="n">
        <v>0</v>
      </c>
      <c r="BM70" s="30" t="n">
        <v>0</v>
      </c>
      <c r="BN70" s="30" t="n">
        <v>0</v>
      </c>
      <c r="BO70" s="30" t="n">
        <v>0</v>
      </c>
      <c r="BP70" s="30" t="n">
        <v>0</v>
      </c>
      <c r="BQ70" s="30" t="n">
        <v>0</v>
      </c>
      <c r="BR70" s="30" t="n">
        <v>0</v>
      </c>
      <c r="BS70" s="30" t="n">
        <v>0</v>
      </c>
      <c r="BT70" s="30" t="n">
        <v>0</v>
      </c>
      <c r="BU70" s="30" t="n">
        <v>0</v>
      </c>
      <c r="BV70" s="30" t="n">
        <v>0</v>
      </c>
      <c r="BW70" s="30" t="n">
        <v>0</v>
      </c>
      <c r="BX70" s="30" t="n">
        <v>0</v>
      </c>
      <c r="BY70" s="30" t="n">
        <v>0</v>
      </c>
      <c r="BZ70" s="30" t="n">
        <v>0</v>
      </c>
      <c r="CA70" s="30" t="n">
        <v>0</v>
      </c>
      <c r="CB70" s="30" t="n">
        <v>0</v>
      </c>
      <c r="CC70" s="30" t="n">
        <v>0</v>
      </c>
      <c r="CD70" s="30" t="n">
        <v>0</v>
      </c>
      <c r="CE70" s="30" t="n">
        <v>0</v>
      </c>
      <c r="CF70" s="30" t="n">
        <v>0</v>
      </c>
      <c r="CG70" s="30" t="n">
        <v>0</v>
      </c>
      <c r="CH70" s="30" t="n">
        <v>0</v>
      </c>
      <c r="CI70" s="30" t="n">
        <v>0</v>
      </c>
      <c r="CJ70" s="30" t="n">
        <v>0</v>
      </c>
      <c r="CK70" s="30" t="n">
        <v>0</v>
      </c>
      <c r="CL70" s="30" t="n">
        <v>0</v>
      </c>
      <c r="CM70" s="30" t="n">
        <v>0</v>
      </c>
      <c r="CN70" s="30" t="n">
        <v>0</v>
      </c>
      <c r="CO70" s="30" t="n">
        <v>0</v>
      </c>
      <c r="CP70" s="30" t="n">
        <v>0</v>
      </c>
      <c r="CQ70" s="30" t="n">
        <v>0</v>
      </c>
      <c r="CR70" s="30" t="n">
        <v>0</v>
      </c>
      <c r="CS70" s="30" t="n">
        <v>0</v>
      </c>
      <c r="CT70" s="30" t="n">
        <v>0</v>
      </c>
      <c r="CU70" s="30" t="n">
        <v>0</v>
      </c>
      <c r="CV70" s="30" t="n">
        <v>0</v>
      </c>
      <c r="CW70" s="30" t="n">
        <v>0</v>
      </c>
      <c r="CX70" s="30" t="n">
        <v>0</v>
      </c>
      <c r="CY70" s="30" t="n">
        <v>0</v>
      </c>
      <c r="CZ70" s="30" t="n">
        <v>0</v>
      </c>
      <c r="DA70" s="30" t="n">
        <v>0</v>
      </c>
    </row>
    <row r="71">
      <c r="A71" t="inlineStr">
        <is>
          <t>TPP-1378</t>
        </is>
      </c>
      <c r="B71" s="30" t="n">
        <v>0</v>
      </c>
      <c r="C71" s="30" t="n">
        <v>0</v>
      </c>
      <c r="D71" s="30" t="n">
        <v>0</v>
      </c>
      <c r="E71" s="30" t="n">
        <v>0</v>
      </c>
      <c r="F71" s="30" t="n">
        <v>0</v>
      </c>
      <c r="G71" s="30" t="n">
        <v>0</v>
      </c>
      <c r="H71" s="30" t="n">
        <v>0</v>
      </c>
      <c r="I71" s="30" t="n">
        <v>0</v>
      </c>
      <c r="J71" s="30" t="n">
        <v>0</v>
      </c>
      <c r="K71" s="30" t="n">
        <v>0</v>
      </c>
      <c r="L71" s="30" t="n">
        <v>0</v>
      </c>
      <c r="M71" s="30" t="n">
        <v>0</v>
      </c>
      <c r="N71" s="30" t="n">
        <v>0</v>
      </c>
      <c r="O71" s="30" t="n">
        <v>0</v>
      </c>
      <c r="P71" s="30" t="n">
        <v>0</v>
      </c>
      <c r="Q71" s="30" t="n">
        <v>0</v>
      </c>
      <c r="R71" s="30" t="n">
        <v>0</v>
      </c>
      <c r="S71" s="30" t="n">
        <v>0</v>
      </c>
      <c r="T71" s="30" t="n">
        <v>0</v>
      </c>
      <c r="U71" s="30" t="n">
        <v>0</v>
      </c>
      <c r="V71" s="30" t="n">
        <v>0</v>
      </c>
      <c r="W71" s="30" t="n">
        <v>0</v>
      </c>
      <c r="X71" s="30" t="n">
        <v>0</v>
      </c>
      <c r="Y71" s="30" t="n">
        <v>0</v>
      </c>
      <c r="Z71" s="30" t="n">
        <v>0</v>
      </c>
      <c r="AA71" s="30" t="n">
        <v>0</v>
      </c>
      <c r="AB71" s="30" t="n">
        <v>0</v>
      </c>
      <c r="AC71" s="30" t="n">
        <v>0</v>
      </c>
      <c r="AD71" s="30" t="n">
        <v>0</v>
      </c>
      <c r="AE71" s="30" t="n">
        <v>0</v>
      </c>
      <c r="AF71" s="30" t="n">
        <v>0</v>
      </c>
      <c r="AG71" s="30" t="n">
        <v>0</v>
      </c>
      <c r="AH71" s="30" t="n">
        <v>0</v>
      </c>
      <c r="AI71" s="30" t="n">
        <v>0</v>
      </c>
      <c r="AJ71" s="30" t="n">
        <v>0</v>
      </c>
      <c r="AK71" s="30" t="n">
        <v>0</v>
      </c>
      <c r="AL71" s="30" t="n">
        <v>0</v>
      </c>
      <c r="AM71" s="30" t="n">
        <v>0</v>
      </c>
      <c r="AN71" s="30" t="n">
        <v>0</v>
      </c>
      <c r="AO71" s="30" t="n">
        <v>0</v>
      </c>
      <c r="AP71" s="30" t="n">
        <v>0</v>
      </c>
      <c r="AQ71" s="30" t="n">
        <v>0</v>
      </c>
      <c r="AR71" s="30" t="n">
        <v>0</v>
      </c>
      <c r="AS71" s="30" t="n">
        <v>0</v>
      </c>
      <c r="AT71" s="30" t="n">
        <v>0</v>
      </c>
      <c r="AU71" s="30" t="n">
        <v>0</v>
      </c>
      <c r="AV71" s="30" t="n">
        <v>0</v>
      </c>
      <c r="AW71" s="30" t="n">
        <v>0</v>
      </c>
      <c r="AX71" s="30" t="n">
        <v>0</v>
      </c>
      <c r="AY71" s="30" t="n">
        <v>0</v>
      </c>
      <c r="AZ71" s="30" t="n">
        <v>0</v>
      </c>
      <c r="BA71" s="30" t="n">
        <v>0</v>
      </c>
      <c r="BB71" s="30" t="n">
        <v>0</v>
      </c>
      <c r="BC71" s="30" t="n">
        <v>0</v>
      </c>
      <c r="BD71" s="30" t="n">
        <v>0</v>
      </c>
      <c r="BE71" s="30" t="n">
        <v>0</v>
      </c>
      <c r="BF71" s="30" t="n">
        <v>0</v>
      </c>
      <c r="BG71" s="30" t="n">
        <v>0</v>
      </c>
      <c r="BH71" s="30" t="n">
        <v>0</v>
      </c>
      <c r="BI71" s="30" t="n">
        <v>0</v>
      </c>
      <c r="BJ71" s="30" t="n">
        <v>0</v>
      </c>
      <c r="BK71" s="30" t="n">
        <v>0</v>
      </c>
      <c r="BL71" s="30" t="n">
        <v>0</v>
      </c>
      <c r="BM71" s="30" t="n">
        <v>0</v>
      </c>
      <c r="BN71" s="30" t="n">
        <v>0</v>
      </c>
      <c r="BO71" s="30" t="n">
        <v>0</v>
      </c>
      <c r="BP71" s="30" t="n">
        <v>0</v>
      </c>
      <c r="BQ71" s="30" t="n">
        <v>0</v>
      </c>
      <c r="BR71" s="30" t="n">
        <v>0</v>
      </c>
      <c r="BS71" s="30" t="n">
        <v>0</v>
      </c>
      <c r="BT71" s="30" t="n">
        <v>0</v>
      </c>
      <c r="BU71" s="30" t="n">
        <v>0</v>
      </c>
      <c r="BV71" s="30" t="n">
        <v>0</v>
      </c>
      <c r="BW71" s="30" t="n">
        <v>0</v>
      </c>
      <c r="BX71" s="30" t="n">
        <v>0</v>
      </c>
      <c r="BY71" s="30" t="n">
        <v>0</v>
      </c>
      <c r="BZ71" s="30" t="n">
        <v>0</v>
      </c>
      <c r="CA71" s="30" t="n">
        <v>0</v>
      </c>
      <c r="CB71" s="30" t="n">
        <v>0</v>
      </c>
      <c r="CC71" s="30" t="n">
        <v>0</v>
      </c>
      <c r="CD71" s="30" t="n">
        <v>0</v>
      </c>
      <c r="CE71" s="30" t="n">
        <v>0</v>
      </c>
      <c r="CF71" s="30" t="n">
        <v>0</v>
      </c>
      <c r="CG71" s="30" t="n">
        <v>0</v>
      </c>
      <c r="CH71" s="30" t="n">
        <v>0</v>
      </c>
      <c r="CI71" s="30" t="n">
        <v>0</v>
      </c>
      <c r="CJ71" s="30" t="n">
        <v>0</v>
      </c>
      <c r="CK71" s="30" t="n">
        <v>0</v>
      </c>
      <c r="CL71" s="30" t="n">
        <v>0</v>
      </c>
      <c r="CM71" s="30" t="n">
        <v>0</v>
      </c>
      <c r="CN71" s="30" t="n">
        <v>0</v>
      </c>
      <c r="CO71" s="30" t="n">
        <v>0</v>
      </c>
      <c r="CP71" s="30" t="n">
        <v>0</v>
      </c>
      <c r="CQ71" s="30" t="n">
        <v>0</v>
      </c>
      <c r="CR71" s="30" t="n">
        <v>0</v>
      </c>
      <c r="CS71" s="30" t="n">
        <v>0</v>
      </c>
      <c r="CT71" s="30" t="n">
        <v>0</v>
      </c>
      <c r="CU71" s="30" t="n">
        <v>0</v>
      </c>
      <c r="CV71" s="30" t="n">
        <v>0</v>
      </c>
      <c r="CW71" s="30" t="n">
        <v>0</v>
      </c>
      <c r="CX71" s="30" t="n">
        <v>0</v>
      </c>
      <c r="CY71" s="30" t="n">
        <v>0</v>
      </c>
      <c r="CZ71" s="30" t="n">
        <v>0</v>
      </c>
      <c r="DA71" s="30" t="n">
        <v>0</v>
      </c>
    </row>
    <row r="72">
      <c r="A72" t="inlineStr">
        <is>
          <t>TPP-1379</t>
        </is>
      </c>
      <c r="B72" s="30" t="n">
        <v>0</v>
      </c>
      <c r="C72" s="30" t="n">
        <v>0</v>
      </c>
      <c r="D72" s="30" t="n">
        <v>0</v>
      </c>
      <c r="E72" s="30" t="n">
        <v>0</v>
      </c>
      <c r="F72" s="30" t="n">
        <v>0</v>
      </c>
      <c r="G72" s="30" t="n">
        <v>0</v>
      </c>
      <c r="H72" s="30" t="n">
        <v>0</v>
      </c>
      <c r="I72" s="30" t="n">
        <v>0</v>
      </c>
      <c r="J72" s="30" t="n">
        <v>0</v>
      </c>
      <c r="K72" s="30" t="n">
        <v>0</v>
      </c>
      <c r="L72" s="30" t="n">
        <v>0</v>
      </c>
      <c r="M72" s="30" t="n">
        <v>0</v>
      </c>
      <c r="N72" s="30" t="n">
        <v>0</v>
      </c>
      <c r="O72" s="30" t="n">
        <v>0</v>
      </c>
      <c r="P72" s="30" t="n">
        <v>0</v>
      </c>
      <c r="Q72" s="30" t="n">
        <v>0</v>
      </c>
      <c r="R72" s="30" t="n">
        <v>0</v>
      </c>
      <c r="S72" s="30" t="n">
        <v>0</v>
      </c>
      <c r="T72" s="30" t="n">
        <v>0</v>
      </c>
      <c r="U72" s="30" t="n">
        <v>0</v>
      </c>
      <c r="V72" s="30" t="n">
        <v>0</v>
      </c>
      <c r="W72" s="30" t="n">
        <v>0</v>
      </c>
      <c r="X72" s="30" t="n">
        <v>0</v>
      </c>
      <c r="Y72" s="30" t="n">
        <v>0</v>
      </c>
      <c r="Z72" s="30" t="n">
        <v>0</v>
      </c>
      <c r="AA72" s="30" t="n">
        <v>0</v>
      </c>
      <c r="AB72" s="30" t="n">
        <v>0</v>
      </c>
      <c r="AC72" s="30" t="n">
        <v>0</v>
      </c>
      <c r="AD72" s="30" t="n">
        <v>0</v>
      </c>
      <c r="AE72" s="30" t="n">
        <v>0</v>
      </c>
      <c r="AF72" s="30" t="n">
        <v>0</v>
      </c>
      <c r="AG72" s="30" t="n">
        <v>0</v>
      </c>
      <c r="AH72" s="30" t="n">
        <v>0</v>
      </c>
      <c r="AI72" s="30" t="n">
        <v>0</v>
      </c>
      <c r="AJ72" s="30" t="n">
        <v>0</v>
      </c>
      <c r="AK72" s="30" t="n">
        <v>0</v>
      </c>
      <c r="AL72" s="30" t="n">
        <v>0</v>
      </c>
      <c r="AM72" s="30" t="n">
        <v>0</v>
      </c>
      <c r="AN72" s="30" t="n">
        <v>0</v>
      </c>
      <c r="AO72" s="30" t="n">
        <v>0</v>
      </c>
      <c r="AP72" s="30" t="n">
        <v>0</v>
      </c>
      <c r="AQ72" s="30" t="n">
        <v>0</v>
      </c>
      <c r="AR72" s="30" t="n">
        <v>0</v>
      </c>
      <c r="AS72" s="30" t="n">
        <v>0</v>
      </c>
      <c r="AT72" s="30" t="n">
        <v>0</v>
      </c>
      <c r="AU72" s="30" t="n">
        <v>0</v>
      </c>
      <c r="AV72" s="30" t="n">
        <v>0</v>
      </c>
      <c r="AW72" s="30" t="n">
        <v>0</v>
      </c>
      <c r="AX72" s="30" t="n">
        <v>0</v>
      </c>
      <c r="AY72" s="30" t="n">
        <v>0</v>
      </c>
      <c r="AZ72" s="30" t="n">
        <v>0</v>
      </c>
      <c r="BA72" s="30" t="n">
        <v>0</v>
      </c>
      <c r="BB72" s="30" t="n">
        <v>0</v>
      </c>
      <c r="BC72" s="30" t="n">
        <v>0</v>
      </c>
      <c r="BD72" s="30" t="n">
        <v>0</v>
      </c>
      <c r="BE72" s="30" t="n">
        <v>0</v>
      </c>
      <c r="BF72" s="30" t="n">
        <v>0</v>
      </c>
      <c r="BG72" s="30" t="n">
        <v>0</v>
      </c>
      <c r="BH72" s="30" t="n">
        <v>0</v>
      </c>
      <c r="BI72" s="30" t="n">
        <v>0</v>
      </c>
      <c r="BJ72" s="30" t="n">
        <v>0</v>
      </c>
      <c r="BK72" s="30" t="n">
        <v>0</v>
      </c>
      <c r="BL72" s="30" t="n">
        <v>0</v>
      </c>
      <c r="BM72" s="30" t="n">
        <v>0</v>
      </c>
      <c r="BN72" s="30" t="n">
        <v>0</v>
      </c>
      <c r="BO72" s="30" t="n">
        <v>0</v>
      </c>
      <c r="BP72" s="30" t="n">
        <v>0</v>
      </c>
      <c r="BQ72" s="30" t="n">
        <v>0</v>
      </c>
      <c r="BR72" s="30" t="n">
        <v>0</v>
      </c>
      <c r="BS72" s="30" t="n">
        <v>0</v>
      </c>
      <c r="BT72" s="30" t="n">
        <v>0</v>
      </c>
      <c r="BU72" s="30" t="n">
        <v>0</v>
      </c>
      <c r="BV72" s="30" t="n">
        <v>0</v>
      </c>
      <c r="BW72" s="30" t="n">
        <v>0</v>
      </c>
      <c r="BX72" s="30" t="n">
        <v>0</v>
      </c>
      <c r="BY72" s="30" t="n">
        <v>0</v>
      </c>
      <c r="BZ72" s="30" t="n">
        <v>0</v>
      </c>
      <c r="CA72" s="30" t="n">
        <v>0</v>
      </c>
      <c r="CB72" s="30" t="n">
        <v>0</v>
      </c>
      <c r="CC72" s="30" t="n">
        <v>0</v>
      </c>
      <c r="CD72" s="30" t="n">
        <v>0</v>
      </c>
      <c r="CE72" s="30" t="n">
        <v>0</v>
      </c>
      <c r="CF72" s="30" t="n">
        <v>0</v>
      </c>
      <c r="CG72" s="30" t="n">
        <v>0</v>
      </c>
      <c r="CH72" s="30" t="n">
        <v>0</v>
      </c>
      <c r="CI72" s="30" t="n">
        <v>0</v>
      </c>
      <c r="CJ72" s="30" t="n">
        <v>0</v>
      </c>
      <c r="CK72" s="30" t="n">
        <v>0</v>
      </c>
      <c r="CL72" s="30" t="n">
        <v>0</v>
      </c>
      <c r="CM72" s="30" t="n">
        <v>0</v>
      </c>
      <c r="CN72" s="30" t="n">
        <v>0</v>
      </c>
      <c r="CO72" s="30" t="n">
        <v>0</v>
      </c>
      <c r="CP72" s="30" t="n">
        <v>0</v>
      </c>
      <c r="CQ72" s="30" t="n">
        <v>0</v>
      </c>
      <c r="CR72" s="30" t="n">
        <v>0</v>
      </c>
      <c r="CS72" s="30" t="n">
        <v>0</v>
      </c>
      <c r="CT72" s="30" t="n">
        <v>0</v>
      </c>
      <c r="CU72" s="30" t="n">
        <v>0</v>
      </c>
      <c r="CV72" s="30" t="n">
        <v>0</v>
      </c>
      <c r="CW72" s="30" t="n">
        <v>0</v>
      </c>
      <c r="CX72" s="30" t="n">
        <v>0</v>
      </c>
      <c r="CY72" s="30" t="n">
        <v>0</v>
      </c>
      <c r="CZ72" s="30" t="n">
        <v>0</v>
      </c>
      <c r="DA72" s="30" t="n">
        <v>0</v>
      </c>
    </row>
    <row r="73">
      <c r="A73" t="inlineStr">
        <is>
          <t>TPP-190</t>
        </is>
      </c>
      <c r="B73" s="30" t="n">
        <v>0</v>
      </c>
      <c r="C73" s="30" t="n">
        <v>0</v>
      </c>
      <c r="D73" s="30" t="n">
        <v>0</v>
      </c>
      <c r="E73" s="30" t="n">
        <v>0</v>
      </c>
      <c r="F73" s="30" t="n">
        <v>0</v>
      </c>
      <c r="G73" s="30" t="n">
        <v>0</v>
      </c>
      <c r="H73" s="30" t="n">
        <v>0</v>
      </c>
      <c r="I73" s="30" t="n">
        <v>0</v>
      </c>
      <c r="J73" s="30" t="n">
        <v>0</v>
      </c>
      <c r="K73" s="30" t="n">
        <v>0</v>
      </c>
      <c r="L73" s="30" t="n">
        <v>0</v>
      </c>
      <c r="M73" s="30" t="n">
        <v>0</v>
      </c>
      <c r="N73" s="30" t="n">
        <v>0</v>
      </c>
      <c r="O73" s="30" t="n">
        <v>0</v>
      </c>
      <c r="P73" s="30" t="n">
        <v>0</v>
      </c>
      <c r="Q73" s="30" t="n">
        <v>0</v>
      </c>
      <c r="R73" s="30" t="n">
        <v>0</v>
      </c>
      <c r="S73" s="30" t="n">
        <v>0</v>
      </c>
      <c r="T73" s="30" t="n">
        <v>0</v>
      </c>
      <c r="U73" s="30" t="n">
        <v>0</v>
      </c>
      <c r="V73" s="30" t="n">
        <v>0</v>
      </c>
      <c r="W73" s="30" t="n">
        <v>0</v>
      </c>
      <c r="X73" s="30" t="n">
        <v>0</v>
      </c>
      <c r="Y73" s="30" t="n">
        <v>0</v>
      </c>
      <c r="Z73" s="30" t="n">
        <v>0</v>
      </c>
      <c r="AA73" s="30" t="n">
        <v>0</v>
      </c>
      <c r="AB73" s="30" t="n">
        <v>0</v>
      </c>
      <c r="AC73" s="30" t="n">
        <v>0</v>
      </c>
      <c r="AD73" s="30" t="n">
        <v>0</v>
      </c>
      <c r="AE73" s="30" t="n">
        <v>0</v>
      </c>
      <c r="AF73" s="30" t="n">
        <v>0</v>
      </c>
      <c r="AG73" s="30" t="n">
        <v>0</v>
      </c>
      <c r="AH73" s="30" t="n">
        <v>0</v>
      </c>
      <c r="AI73" s="30" t="n">
        <v>0</v>
      </c>
      <c r="AJ73" s="30" t="n">
        <v>0</v>
      </c>
      <c r="AK73" s="30" t="n">
        <v>0</v>
      </c>
      <c r="AL73" s="30" t="n">
        <v>0</v>
      </c>
      <c r="AM73" s="30" t="n">
        <v>0</v>
      </c>
      <c r="AN73" s="30" t="n">
        <v>0</v>
      </c>
      <c r="AO73" s="30" t="n">
        <v>0</v>
      </c>
      <c r="AP73" s="30" t="n">
        <v>0</v>
      </c>
      <c r="AQ73" s="30" t="n">
        <v>0</v>
      </c>
      <c r="AR73" s="30" t="n">
        <v>0</v>
      </c>
      <c r="AS73" s="30" t="n">
        <v>0</v>
      </c>
      <c r="AT73" s="30" t="n">
        <v>0</v>
      </c>
      <c r="AU73" s="30" t="n">
        <v>0</v>
      </c>
      <c r="AV73" s="30" t="n">
        <v>0</v>
      </c>
      <c r="AW73" s="30" t="n">
        <v>0</v>
      </c>
      <c r="AX73" s="30" t="n">
        <v>0</v>
      </c>
      <c r="AY73" s="30" t="n">
        <v>0</v>
      </c>
      <c r="AZ73" s="30" t="n">
        <v>0</v>
      </c>
      <c r="BA73" s="30" t="n">
        <v>0</v>
      </c>
      <c r="BB73" s="30" t="n">
        <v>0</v>
      </c>
      <c r="BC73" s="30" t="n">
        <v>0</v>
      </c>
      <c r="BD73" s="30" t="n">
        <v>0</v>
      </c>
      <c r="BE73" s="30" t="n">
        <v>0</v>
      </c>
      <c r="BF73" s="30" t="n">
        <v>0</v>
      </c>
      <c r="BG73" s="30" t="n">
        <v>0</v>
      </c>
      <c r="BH73" s="30" t="n">
        <v>0</v>
      </c>
      <c r="BI73" s="30" t="n">
        <v>0</v>
      </c>
      <c r="BJ73" s="30" t="n">
        <v>0</v>
      </c>
      <c r="BK73" s="30" t="n">
        <v>0</v>
      </c>
      <c r="BL73" s="30" t="n">
        <v>0</v>
      </c>
      <c r="BM73" s="30" t="n">
        <v>0</v>
      </c>
      <c r="BN73" s="30" t="n">
        <v>0</v>
      </c>
      <c r="BO73" s="30" t="n">
        <v>0</v>
      </c>
      <c r="BP73" s="30" t="n">
        <v>0</v>
      </c>
      <c r="BQ73" s="30" t="n">
        <v>0</v>
      </c>
      <c r="BR73" s="30" t="n">
        <v>0</v>
      </c>
      <c r="BS73" s="30" t="n">
        <v>0</v>
      </c>
      <c r="BT73" s="30" t="n">
        <v>0</v>
      </c>
      <c r="BU73" s="30" t="n">
        <v>0</v>
      </c>
      <c r="BV73" s="30" t="n">
        <v>0</v>
      </c>
      <c r="BW73" s="30" t="n">
        <v>0</v>
      </c>
      <c r="BX73" s="30" t="n">
        <v>0</v>
      </c>
      <c r="BY73" s="30" t="n">
        <v>0</v>
      </c>
      <c r="BZ73" s="30" t="n">
        <v>0</v>
      </c>
      <c r="CA73" s="30" t="n">
        <v>0</v>
      </c>
      <c r="CB73" s="30" t="n">
        <v>0</v>
      </c>
      <c r="CC73" s="30" t="n">
        <v>0</v>
      </c>
      <c r="CD73" s="30" t="n">
        <v>0</v>
      </c>
      <c r="CE73" s="30" t="n">
        <v>0</v>
      </c>
      <c r="CF73" s="30" t="n">
        <v>0</v>
      </c>
      <c r="CG73" s="30" t="n">
        <v>0</v>
      </c>
      <c r="CH73" s="30" t="n">
        <v>0</v>
      </c>
      <c r="CI73" s="30" t="n">
        <v>0</v>
      </c>
      <c r="CJ73" s="30" t="n">
        <v>0</v>
      </c>
      <c r="CK73" s="30" t="n">
        <v>0</v>
      </c>
      <c r="CL73" s="30" t="n">
        <v>0</v>
      </c>
      <c r="CM73" s="30" t="n">
        <v>0</v>
      </c>
      <c r="CN73" s="30" t="n">
        <v>0</v>
      </c>
      <c r="CO73" s="30" t="n">
        <v>0</v>
      </c>
      <c r="CP73" s="30" t="n">
        <v>0</v>
      </c>
      <c r="CQ73" s="30" t="n">
        <v>0</v>
      </c>
      <c r="CR73" s="30" t="n">
        <v>0</v>
      </c>
      <c r="CS73" s="30" t="n">
        <v>0</v>
      </c>
      <c r="CT73" s="30" t="n">
        <v>0</v>
      </c>
      <c r="CU73" s="30" t="n">
        <v>0</v>
      </c>
      <c r="CV73" s="30" t="n">
        <v>0</v>
      </c>
      <c r="CW73" s="30" t="n">
        <v>0</v>
      </c>
      <c r="CX73" s="30" t="n">
        <v>0</v>
      </c>
      <c r="CY73" s="30" t="n">
        <v>0</v>
      </c>
      <c r="CZ73" s="30" t="n">
        <v>0</v>
      </c>
      <c r="DA73" s="30" t="n">
        <v>0</v>
      </c>
    </row>
    <row r="74">
      <c r="A74" t="inlineStr">
        <is>
          <t>TPP-204</t>
        </is>
      </c>
      <c r="B74" s="30" t="n">
        <v>0</v>
      </c>
      <c r="C74" s="30" t="n">
        <v>0</v>
      </c>
      <c r="D74" s="30" t="n">
        <v>0</v>
      </c>
      <c r="E74" s="30" t="n">
        <v>0</v>
      </c>
      <c r="F74" s="30" t="n">
        <v>0</v>
      </c>
      <c r="G74" s="30" t="n">
        <v>0</v>
      </c>
      <c r="H74" s="30" t="n">
        <v>0</v>
      </c>
      <c r="I74" s="30" t="n">
        <v>0</v>
      </c>
      <c r="J74" s="30" t="n">
        <v>0</v>
      </c>
      <c r="K74" s="30" t="n">
        <v>0</v>
      </c>
      <c r="L74" s="30" t="n">
        <v>0</v>
      </c>
      <c r="M74" s="30" t="n">
        <v>0</v>
      </c>
      <c r="N74" s="30" t="n">
        <v>0</v>
      </c>
      <c r="O74" s="30" t="n">
        <v>0</v>
      </c>
      <c r="P74" s="30" t="n">
        <v>0</v>
      </c>
      <c r="Q74" s="30" t="n">
        <v>0</v>
      </c>
      <c r="R74" s="30" t="n">
        <v>0</v>
      </c>
      <c r="S74" s="30" t="n">
        <v>0</v>
      </c>
      <c r="T74" s="30" t="n">
        <v>0</v>
      </c>
      <c r="U74" s="30" t="n">
        <v>0</v>
      </c>
      <c r="V74" s="30" t="n">
        <v>0</v>
      </c>
      <c r="W74" s="30" t="n">
        <v>0</v>
      </c>
      <c r="X74" s="30" t="n">
        <v>0</v>
      </c>
      <c r="Y74" s="30" t="n">
        <v>0</v>
      </c>
      <c r="Z74" s="30" t="n">
        <v>0</v>
      </c>
      <c r="AA74" s="30" t="n">
        <v>0</v>
      </c>
      <c r="AB74" s="30" t="n">
        <v>0</v>
      </c>
      <c r="AC74" s="30" t="n">
        <v>0</v>
      </c>
      <c r="AD74" s="30" t="n">
        <v>0</v>
      </c>
      <c r="AE74" s="30" t="n">
        <v>0</v>
      </c>
      <c r="AF74" s="30" t="n">
        <v>0</v>
      </c>
      <c r="AG74" s="30" t="n">
        <v>0</v>
      </c>
      <c r="AH74" s="30" t="n">
        <v>0</v>
      </c>
      <c r="AI74" s="30" t="n">
        <v>0</v>
      </c>
      <c r="AJ74" s="30" t="n">
        <v>0</v>
      </c>
      <c r="AK74" s="30" t="n">
        <v>0</v>
      </c>
      <c r="AL74" s="30" t="n">
        <v>0</v>
      </c>
      <c r="AM74" s="30" t="n">
        <v>0</v>
      </c>
      <c r="AN74" s="30" t="n">
        <v>0</v>
      </c>
      <c r="AO74" s="30" t="n">
        <v>0</v>
      </c>
      <c r="AP74" s="30" t="n">
        <v>0</v>
      </c>
      <c r="AQ74" s="30" t="n">
        <v>0</v>
      </c>
      <c r="AR74" s="30" t="n">
        <v>0</v>
      </c>
      <c r="AS74" s="30" t="n">
        <v>0</v>
      </c>
      <c r="AT74" s="30" t="n">
        <v>0</v>
      </c>
      <c r="AU74" s="30" t="n">
        <v>0</v>
      </c>
      <c r="AV74" s="30" t="n">
        <v>0</v>
      </c>
      <c r="AW74" s="30" t="n">
        <v>0</v>
      </c>
      <c r="AX74" s="30" t="n">
        <v>0</v>
      </c>
      <c r="AY74" s="30" t="n">
        <v>0</v>
      </c>
      <c r="AZ74" s="30" t="n">
        <v>0</v>
      </c>
      <c r="BA74" s="30" t="n">
        <v>0</v>
      </c>
      <c r="BB74" s="30" t="n">
        <v>0</v>
      </c>
      <c r="BC74" s="30" t="n">
        <v>0</v>
      </c>
      <c r="BD74" s="30" t="n">
        <v>0</v>
      </c>
      <c r="BE74" s="30" t="n">
        <v>0</v>
      </c>
      <c r="BF74" s="30" t="n">
        <v>0</v>
      </c>
      <c r="BG74" s="30" t="n">
        <v>0</v>
      </c>
      <c r="BH74" s="30" t="n">
        <v>0</v>
      </c>
      <c r="BI74" s="30" t="n">
        <v>0</v>
      </c>
      <c r="BJ74" s="30" t="n">
        <v>0</v>
      </c>
      <c r="BK74" s="30" t="n">
        <v>0</v>
      </c>
      <c r="BL74" s="30" t="n">
        <v>0</v>
      </c>
      <c r="BM74" s="30" t="n">
        <v>0</v>
      </c>
      <c r="BN74" s="30" t="n">
        <v>0</v>
      </c>
      <c r="BO74" s="30" t="n">
        <v>0</v>
      </c>
      <c r="BP74" s="30" t="n">
        <v>0</v>
      </c>
      <c r="BQ74" s="30" t="n">
        <v>0</v>
      </c>
      <c r="BR74" s="30" t="n">
        <v>0</v>
      </c>
      <c r="BS74" s="30" t="n">
        <v>0</v>
      </c>
      <c r="BT74" s="30" t="n">
        <v>0</v>
      </c>
      <c r="BU74" s="30" t="n">
        <v>0</v>
      </c>
      <c r="BV74" s="30" t="n">
        <v>0</v>
      </c>
      <c r="BW74" s="30" t="n">
        <v>0</v>
      </c>
      <c r="BX74" s="30" t="n">
        <v>0</v>
      </c>
      <c r="BY74" s="30" t="n">
        <v>0</v>
      </c>
      <c r="BZ74" s="30" t="n">
        <v>0</v>
      </c>
      <c r="CA74" s="30" t="n">
        <v>0</v>
      </c>
      <c r="CB74" s="30" t="n">
        <v>0</v>
      </c>
      <c r="CC74" s="30" t="n">
        <v>0</v>
      </c>
      <c r="CD74" s="30" t="n">
        <v>0</v>
      </c>
      <c r="CE74" s="30" t="n">
        <v>0</v>
      </c>
      <c r="CF74" s="30" t="n">
        <v>0</v>
      </c>
      <c r="CG74" s="30" t="n">
        <v>0</v>
      </c>
      <c r="CH74" s="30" t="n">
        <v>0</v>
      </c>
      <c r="CI74" s="30" t="n">
        <v>0</v>
      </c>
      <c r="CJ74" s="30" t="n">
        <v>0</v>
      </c>
      <c r="CK74" s="30" t="n">
        <v>0</v>
      </c>
      <c r="CL74" s="30" t="n">
        <v>0</v>
      </c>
      <c r="CM74" s="30" t="n">
        <v>0</v>
      </c>
      <c r="CN74" s="30" t="n">
        <v>0</v>
      </c>
      <c r="CO74" s="30" t="n">
        <v>0</v>
      </c>
      <c r="CP74" s="30" t="n">
        <v>0</v>
      </c>
      <c r="CQ74" s="30" t="n">
        <v>0</v>
      </c>
      <c r="CR74" s="30" t="n">
        <v>0</v>
      </c>
      <c r="CS74" s="30" t="n">
        <v>0</v>
      </c>
      <c r="CT74" s="30" t="n">
        <v>0</v>
      </c>
      <c r="CU74" s="30" t="n">
        <v>0</v>
      </c>
      <c r="CV74" s="30" t="n">
        <v>0</v>
      </c>
      <c r="CW74" s="30" t="n">
        <v>0</v>
      </c>
      <c r="CX74" s="30" t="n">
        <v>0</v>
      </c>
      <c r="CY74" s="30" t="n">
        <v>0</v>
      </c>
      <c r="CZ74" s="30" t="n">
        <v>0</v>
      </c>
      <c r="DA74" s="30" t="n">
        <v>0</v>
      </c>
    </row>
    <row r="75">
      <c r="A75" t="inlineStr">
        <is>
          <t>TPP-350</t>
        </is>
      </c>
      <c r="B75" s="30" t="n">
        <v>0</v>
      </c>
      <c r="C75" s="30" t="n">
        <v>0</v>
      </c>
      <c r="D75" s="30" t="n">
        <v>0</v>
      </c>
      <c r="E75" s="30" t="n">
        <v>0</v>
      </c>
      <c r="F75" s="30" t="n">
        <v>0</v>
      </c>
      <c r="G75" s="30" t="n">
        <v>0</v>
      </c>
      <c r="H75" s="30" t="n">
        <v>0</v>
      </c>
      <c r="I75" s="30" t="n">
        <v>0</v>
      </c>
      <c r="J75" s="30" t="n">
        <v>0</v>
      </c>
      <c r="K75" s="30" t="n">
        <v>0</v>
      </c>
      <c r="L75" s="30" t="n">
        <v>0</v>
      </c>
      <c r="M75" s="30" t="n">
        <v>0</v>
      </c>
      <c r="N75" s="30" t="n">
        <v>0</v>
      </c>
      <c r="O75" s="30" t="n">
        <v>0</v>
      </c>
      <c r="P75" s="30" t="n">
        <v>0</v>
      </c>
      <c r="Q75" s="30" t="n">
        <v>0</v>
      </c>
      <c r="R75" s="30" t="n">
        <v>0</v>
      </c>
      <c r="S75" s="30" t="n">
        <v>0</v>
      </c>
      <c r="T75" s="30" t="n">
        <v>0</v>
      </c>
      <c r="U75" s="30" t="n">
        <v>0</v>
      </c>
      <c r="V75" s="30" t="n">
        <v>0</v>
      </c>
      <c r="W75" s="30" t="n">
        <v>0</v>
      </c>
      <c r="X75" s="30" t="n">
        <v>0</v>
      </c>
      <c r="Y75" s="30" t="n">
        <v>0</v>
      </c>
      <c r="Z75" s="30" t="n">
        <v>0</v>
      </c>
      <c r="AA75" s="30" t="n">
        <v>0</v>
      </c>
      <c r="AB75" s="30" t="n">
        <v>0</v>
      </c>
      <c r="AC75" s="30" t="n">
        <v>0</v>
      </c>
      <c r="AD75" s="30" t="n">
        <v>0</v>
      </c>
      <c r="AE75" s="30" t="n">
        <v>0</v>
      </c>
      <c r="AF75" s="30" t="n">
        <v>0</v>
      </c>
      <c r="AG75" s="30" t="n">
        <v>0</v>
      </c>
      <c r="AH75" s="30" t="n">
        <v>0</v>
      </c>
      <c r="AI75" s="30" t="n">
        <v>0</v>
      </c>
      <c r="AJ75" s="30" t="n">
        <v>0</v>
      </c>
      <c r="AK75" s="30" t="n">
        <v>0</v>
      </c>
      <c r="AL75" s="30" t="n">
        <v>0</v>
      </c>
      <c r="AM75" s="30" t="n">
        <v>0</v>
      </c>
      <c r="AN75" s="30" t="n">
        <v>0</v>
      </c>
      <c r="AO75" s="30" t="n">
        <v>0</v>
      </c>
      <c r="AP75" s="30" t="n">
        <v>0</v>
      </c>
      <c r="AQ75" s="30" t="n">
        <v>0</v>
      </c>
      <c r="AR75" s="30" t="n">
        <v>0</v>
      </c>
      <c r="AS75" s="30" t="n">
        <v>0</v>
      </c>
      <c r="AT75" s="30" t="n">
        <v>0</v>
      </c>
      <c r="AU75" s="30" t="n">
        <v>0</v>
      </c>
      <c r="AV75" s="30" t="n">
        <v>0</v>
      </c>
      <c r="AW75" s="30" t="n">
        <v>0</v>
      </c>
      <c r="AX75" s="30" t="n">
        <v>0</v>
      </c>
      <c r="AY75" s="30" t="n">
        <v>0</v>
      </c>
      <c r="AZ75" s="30" t="n">
        <v>0</v>
      </c>
      <c r="BA75" s="30" t="n">
        <v>0</v>
      </c>
      <c r="BB75" s="30" t="n">
        <v>0</v>
      </c>
      <c r="BC75" s="30" t="n">
        <v>0</v>
      </c>
      <c r="BD75" s="30" t="n">
        <v>0</v>
      </c>
      <c r="BE75" s="30" t="n">
        <v>0</v>
      </c>
      <c r="BF75" s="30" t="n">
        <v>0</v>
      </c>
      <c r="BG75" s="30" t="n">
        <v>0</v>
      </c>
      <c r="BH75" s="30" t="n">
        <v>0</v>
      </c>
      <c r="BI75" s="30" t="n">
        <v>0</v>
      </c>
      <c r="BJ75" s="30" t="n">
        <v>0</v>
      </c>
      <c r="BK75" s="30" t="n">
        <v>0</v>
      </c>
      <c r="BL75" s="30" t="n">
        <v>0</v>
      </c>
      <c r="BM75" s="30" t="n">
        <v>0</v>
      </c>
      <c r="BN75" s="30" t="n">
        <v>0</v>
      </c>
      <c r="BO75" s="30" t="n">
        <v>0</v>
      </c>
      <c r="BP75" s="30" t="n">
        <v>0</v>
      </c>
      <c r="BQ75" s="30" t="n">
        <v>0</v>
      </c>
      <c r="BR75" s="30" t="n">
        <v>0</v>
      </c>
      <c r="BS75" s="30" t="n">
        <v>0</v>
      </c>
      <c r="BT75" s="30" t="n">
        <v>0</v>
      </c>
      <c r="BU75" s="30" t="n">
        <v>0</v>
      </c>
      <c r="BV75" s="30" t="n">
        <v>0</v>
      </c>
      <c r="BW75" s="30" t="n">
        <v>0</v>
      </c>
      <c r="BX75" s="30" t="n">
        <v>0</v>
      </c>
      <c r="BY75" s="30" t="n">
        <v>0</v>
      </c>
      <c r="BZ75" s="30" t="n">
        <v>0</v>
      </c>
      <c r="CA75" s="30" t="n">
        <v>0</v>
      </c>
      <c r="CB75" s="30" t="n">
        <v>0</v>
      </c>
      <c r="CC75" s="30" t="n">
        <v>0</v>
      </c>
      <c r="CD75" s="30" t="n">
        <v>0</v>
      </c>
      <c r="CE75" s="30" t="n">
        <v>0</v>
      </c>
      <c r="CF75" s="30" t="n">
        <v>0</v>
      </c>
      <c r="CG75" s="30" t="n">
        <v>0</v>
      </c>
      <c r="CH75" s="30" t="n">
        <v>0</v>
      </c>
      <c r="CI75" s="30" t="n">
        <v>0</v>
      </c>
      <c r="CJ75" s="30" t="n">
        <v>0</v>
      </c>
      <c r="CK75" s="30" t="n">
        <v>0</v>
      </c>
      <c r="CL75" s="30" t="n">
        <v>0</v>
      </c>
      <c r="CM75" s="30" t="n">
        <v>0</v>
      </c>
      <c r="CN75" s="30" t="n">
        <v>0</v>
      </c>
      <c r="CO75" s="30" t="n">
        <v>0</v>
      </c>
      <c r="CP75" s="30" t="n">
        <v>0</v>
      </c>
      <c r="CQ75" s="30" t="n">
        <v>0</v>
      </c>
      <c r="CR75" s="30" t="n">
        <v>0</v>
      </c>
      <c r="CS75" s="30" t="n">
        <v>0</v>
      </c>
      <c r="CT75" s="30" t="n">
        <v>0</v>
      </c>
      <c r="CU75" s="30" t="n">
        <v>0</v>
      </c>
      <c r="CV75" s="30" t="n">
        <v>0</v>
      </c>
      <c r="CW75" s="30" t="n">
        <v>0</v>
      </c>
      <c r="CX75" s="30" t="n">
        <v>0</v>
      </c>
      <c r="CY75" s="30" t="n">
        <v>0</v>
      </c>
      <c r="CZ75" s="30" t="n">
        <v>0</v>
      </c>
      <c r="DA75" s="30" t="n">
        <v>0</v>
      </c>
    </row>
    <row r="76">
      <c r="A76" t="inlineStr">
        <is>
          <t>TPP-356</t>
        </is>
      </c>
      <c r="B76" s="30" t="n">
        <v>0</v>
      </c>
      <c r="C76" s="30" t="n">
        <v>0</v>
      </c>
      <c r="D76" s="30" t="n">
        <v>0</v>
      </c>
      <c r="E76" s="30" t="n">
        <v>0</v>
      </c>
      <c r="F76" s="30" t="n">
        <v>0</v>
      </c>
      <c r="G76" s="30" t="n">
        <v>0</v>
      </c>
      <c r="H76" s="30" t="n">
        <v>0</v>
      </c>
      <c r="I76" s="30" t="n">
        <v>0</v>
      </c>
      <c r="J76" s="30" t="n">
        <v>0</v>
      </c>
      <c r="K76" s="30" t="n">
        <v>0</v>
      </c>
      <c r="L76" s="30" t="n">
        <v>0</v>
      </c>
      <c r="M76" s="30" t="n">
        <v>0</v>
      </c>
      <c r="N76" s="30" t="n">
        <v>0</v>
      </c>
      <c r="O76" s="30" t="n">
        <v>0</v>
      </c>
      <c r="P76" s="30" t="n">
        <v>0</v>
      </c>
      <c r="Q76" s="30" t="n">
        <v>0</v>
      </c>
      <c r="R76" s="30" t="n">
        <v>0</v>
      </c>
      <c r="S76" s="30" t="n">
        <v>0</v>
      </c>
      <c r="T76" s="30" t="n">
        <v>0</v>
      </c>
      <c r="U76" s="30" t="n">
        <v>0</v>
      </c>
      <c r="V76" s="30" t="n">
        <v>0</v>
      </c>
      <c r="W76" s="30" t="n">
        <v>0</v>
      </c>
      <c r="X76" s="30" t="n">
        <v>0</v>
      </c>
      <c r="Y76" s="30" t="n">
        <v>0</v>
      </c>
      <c r="Z76" s="30" t="n">
        <v>0</v>
      </c>
      <c r="AA76" s="30" t="n">
        <v>0</v>
      </c>
      <c r="AB76" s="30" t="n">
        <v>0</v>
      </c>
      <c r="AC76" s="30" t="n">
        <v>0</v>
      </c>
      <c r="AD76" s="30" t="n">
        <v>0</v>
      </c>
      <c r="AE76" s="30" t="n">
        <v>0</v>
      </c>
      <c r="AF76" s="30" t="n">
        <v>0</v>
      </c>
      <c r="AG76" s="30" t="n">
        <v>0</v>
      </c>
      <c r="AH76" s="30" t="n">
        <v>0</v>
      </c>
      <c r="AI76" s="30" t="n">
        <v>0</v>
      </c>
      <c r="AJ76" s="30" t="n">
        <v>0</v>
      </c>
      <c r="AK76" s="30" t="n">
        <v>0</v>
      </c>
      <c r="AL76" s="30" t="n">
        <v>0</v>
      </c>
      <c r="AM76" s="30" t="n">
        <v>0</v>
      </c>
      <c r="AN76" s="30" t="n">
        <v>0</v>
      </c>
      <c r="AO76" s="30" t="n">
        <v>0</v>
      </c>
      <c r="AP76" s="30" t="n">
        <v>0</v>
      </c>
      <c r="AQ76" s="30" t="n">
        <v>0</v>
      </c>
      <c r="AR76" s="30" t="n">
        <v>0</v>
      </c>
      <c r="AS76" s="30" t="n">
        <v>0</v>
      </c>
      <c r="AT76" s="30" t="n">
        <v>0</v>
      </c>
      <c r="AU76" s="30" t="n">
        <v>0</v>
      </c>
      <c r="AV76" s="30" t="n">
        <v>0</v>
      </c>
      <c r="AW76" s="30" t="n">
        <v>0</v>
      </c>
      <c r="AX76" s="30" t="n">
        <v>0</v>
      </c>
      <c r="AY76" s="30" t="n">
        <v>0</v>
      </c>
      <c r="AZ76" s="30" t="n">
        <v>0</v>
      </c>
      <c r="BA76" s="30" t="n">
        <v>0</v>
      </c>
      <c r="BB76" s="30" t="n">
        <v>0</v>
      </c>
      <c r="BC76" s="30" t="n">
        <v>0</v>
      </c>
      <c r="BD76" s="30" t="n">
        <v>0</v>
      </c>
      <c r="BE76" s="30" t="n">
        <v>0</v>
      </c>
      <c r="BF76" s="30" t="n">
        <v>0</v>
      </c>
      <c r="BG76" s="30" t="n">
        <v>0</v>
      </c>
      <c r="BH76" s="30" t="n">
        <v>0</v>
      </c>
      <c r="BI76" s="30" t="n">
        <v>0</v>
      </c>
      <c r="BJ76" s="30" t="n">
        <v>0</v>
      </c>
      <c r="BK76" s="30" t="n">
        <v>0</v>
      </c>
      <c r="BL76" s="30" t="n">
        <v>0</v>
      </c>
      <c r="BM76" s="30" t="n">
        <v>0</v>
      </c>
      <c r="BN76" s="30" t="n">
        <v>0</v>
      </c>
      <c r="BO76" s="30" t="n">
        <v>0</v>
      </c>
      <c r="BP76" s="30" t="n">
        <v>0</v>
      </c>
      <c r="BQ76" s="30" t="n">
        <v>0</v>
      </c>
      <c r="BR76" s="30" t="n">
        <v>0</v>
      </c>
      <c r="BS76" s="30" t="n">
        <v>0</v>
      </c>
      <c r="BT76" s="30" t="n">
        <v>0</v>
      </c>
      <c r="BU76" s="30" t="n">
        <v>0</v>
      </c>
      <c r="BV76" s="30" t="n">
        <v>0</v>
      </c>
      <c r="BW76" s="30" t="n">
        <v>0</v>
      </c>
      <c r="BX76" s="30" t="n">
        <v>0</v>
      </c>
      <c r="BY76" s="30" t="n">
        <v>0</v>
      </c>
      <c r="BZ76" s="30" t="n">
        <v>0</v>
      </c>
      <c r="CA76" s="30" t="n">
        <v>0</v>
      </c>
      <c r="CB76" s="30" t="n">
        <v>0</v>
      </c>
      <c r="CC76" s="30" t="n">
        <v>0</v>
      </c>
      <c r="CD76" s="30" t="n">
        <v>0</v>
      </c>
      <c r="CE76" s="30" t="n">
        <v>0</v>
      </c>
      <c r="CF76" s="30" t="n">
        <v>0</v>
      </c>
      <c r="CG76" s="30" t="n">
        <v>0</v>
      </c>
      <c r="CH76" s="30" t="n">
        <v>0</v>
      </c>
      <c r="CI76" s="30" t="n">
        <v>0</v>
      </c>
      <c r="CJ76" s="30" t="n">
        <v>0</v>
      </c>
      <c r="CK76" s="30" t="n">
        <v>0</v>
      </c>
      <c r="CL76" s="30" t="n">
        <v>0</v>
      </c>
      <c r="CM76" s="30" t="n">
        <v>0</v>
      </c>
      <c r="CN76" s="30" t="n">
        <v>0</v>
      </c>
      <c r="CO76" s="30" t="n">
        <v>0</v>
      </c>
      <c r="CP76" s="30" t="n">
        <v>0</v>
      </c>
      <c r="CQ76" s="30" t="n">
        <v>0</v>
      </c>
      <c r="CR76" s="30" t="n">
        <v>0</v>
      </c>
      <c r="CS76" s="30" t="n">
        <v>0</v>
      </c>
      <c r="CT76" s="30" t="n">
        <v>0</v>
      </c>
      <c r="CU76" s="30" t="n">
        <v>0</v>
      </c>
      <c r="CV76" s="30" t="n">
        <v>0</v>
      </c>
      <c r="CW76" s="30" t="n">
        <v>0</v>
      </c>
      <c r="CX76" s="30" t="n">
        <v>0</v>
      </c>
      <c r="CY76" s="30" t="n">
        <v>0</v>
      </c>
      <c r="CZ76" s="30" t="n">
        <v>0</v>
      </c>
      <c r="DA76" s="30" t="n">
        <v>0</v>
      </c>
    </row>
    <row r="77">
      <c r="A77" t="inlineStr">
        <is>
          <t>TPP-358</t>
        </is>
      </c>
      <c r="B77" s="30" t="n">
        <v>0</v>
      </c>
      <c r="C77" s="30" t="n">
        <v>0</v>
      </c>
      <c r="D77" s="30" t="n">
        <v>0</v>
      </c>
      <c r="E77" s="30" t="n">
        <v>0</v>
      </c>
      <c r="F77" s="30" t="n">
        <v>0</v>
      </c>
      <c r="G77" s="30" t="n">
        <v>0</v>
      </c>
      <c r="H77" s="30" t="n">
        <v>0</v>
      </c>
      <c r="I77" s="30" t="n">
        <v>0</v>
      </c>
      <c r="J77" s="30" t="n">
        <v>0</v>
      </c>
      <c r="K77" s="30" t="n">
        <v>0</v>
      </c>
      <c r="L77" s="30" t="n">
        <v>0</v>
      </c>
      <c r="M77" s="30" t="n">
        <v>0</v>
      </c>
      <c r="N77" s="30" t="n">
        <v>0</v>
      </c>
      <c r="O77" s="30" t="n">
        <v>0</v>
      </c>
      <c r="P77" s="30" t="n">
        <v>0</v>
      </c>
      <c r="Q77" s="30" t="n">
        <v>0</v>
      </c>
      <c r="R77" s="30" t="n">
        <v>0</v>
      </c>
      <c r="S77" s="30" t="n">
        <v>0</v>
      </c>
      <c r="T77" s="30" t="n">
        <v>0</v>
      </c>
      <c r="U77" s="30" t="n">
        <v>0</v>
      </c>
      <c r="V77" s="30" t="n">
        <v>0</v>
      </c>
      <c r="W77" s="30" t="n">
        <v>0</v>
      </c>
      <c r="X77" s="30" t="n">
        <v>0</v>
      </c>
      <c r="Y77" s="30" t="n">
        <v>0</v>
      </c>
      <c r="Z77" s="30" t="n">
        <v>0</v>
      </c>
      <c r="AA77" s="30" t="n">
        <v>0</v>
      </c>
      <c r="AB77" s="30" t="n">
        <v>0</v>
      </c>
      <c r="AC77" s="30" t="n">
        <v>0</v>
      </c>
      <c r="AD77" s="30" t="n">
        <v>0</v>
      </c>
      <c r="AE77" s="30" t="n">
        <v>0</v>
      </c>
      <c r="AF77" s="30" t="n">
        <v>0</v>
      </c>
      <c r="AG77" s="30" t="n">
        <v>0</v>
      </c>
      <c r="AH77" s="30" t="n">
        <v>0</v>
      </c>
      <c r="AI77" s="30" t="n">
        <v>0</v>
      </c>
      <c r="AJ77" s="30" t="n">
        <v>0</v>
      </c>
      <c r="AK77" s="30" t="n">
        <v>0</v>
      </c>
      <c r="AL77" s="30" t="n">
        <v>0</v>
      </c>
      <c r="AM77" s="30" t="n">
        <v>0</v>
      </c>
      <c r="AN77" s="30" t="n">
        <v>0</v>
      </c>
      <c r="AO77" s="30" t="n">
        <v>0</v>
      </c>
      <c r="AP77" s="30" t="n">
        <v>0</v>
      </c>
      <c r="AQ77" s="30" t="n">
        <v>0</v>
      </c>
      <c r="AR77" s="30" t="n">
        <v>0</v>
      </c>
      <c r="AS77" s="30" t="n">
        <v>0</v>
      </c>
      <c r="AT77" s="30" t="n">
        <v>0</v>
      </c>
      <c r="AU77" s="30" t="n">
        <v>0</v>
      </c>
      <c r="AV77" s="30" t="n">
        <v>0</v>
      </c>
      <c r="AW77" s="30" t="n">
        <v>0</v>
      </c>
      <c r="AX77" s="30" t="n">
        <v>0</v>
      </c>
      <c r="AY77" s="30" t="n">
        <v>0</v>
      </c>
      <c r="AZ77" s="30" t="n">
        <v>0</v>
      </c>
      <c r="BA77" s="30" t="n">
        <v>0</v>
      </c>
      <c r="BB77" s="30" t="n">
        <v>0</v>
      </c>
      <c r="BC77" s="30" t="n">
        <v>0</v>
      </c>
      <c r="BD77" s="30" t="n">
        <v>0</v>
      </c>
      <c r="BE77" s="30" t="n">
        <v>0</v>
      </c>
      <c r="BF77" s="30" t="n">
        <v>0</v>
      </c>
      <c r="BG77" s="30" t="n">
        <v>0</v>
      </c>
      <c r="BH77" s="30" t="n">
        <v>0</v>
      </c>
      <c r="BI77" s="30" t="n">
        <v>0</v>
      </c>
      <c r="BJ77" s="30" t="n">
        <v>0</v>
      </c>
      <c r="BK77" s="30" t="n">
        <v>0</v>
      </c>
      <c r="BL77" s="30" t="n">
        <v>0</v>
      </c>
      <c r="BM77" s="30" t="n">
        <v>0</v>
      </c>
      <c r="BN77" s="30" t="n">
        <v>0</v>
      </c>
      <c r="BO77" s="30" t="n">
        <v>0</v>
      </c>
      <c r="BP77" s="30" t="n">
        <v>0</v>
      </c>
      <c r="BQ77" s="30" t="n">
        <v>0</v>
      </c>
      <c r="BR77" s="30" t="n">
        <v>0</v>
      </c>
      <c r="BS77" s="30" t="n">
        <v>0</v>
      </c>
      <c r="BT77" s="30" t="n">
        <v>0</v>
      </c>
      <c r="BU77" s="30" t="n">
        <v>0</v>
      </c>
      <c r="BV77" s="30" t="n">
        <v>0</v>
      </c>
      <c r="BW77" s="30" t="n">
        <v>0</v>
      </c>
      <c r="BX77" s="30" t="n">
        <v>0</v>
      </c>
      <c r="BY77" s="30" t="n">
        <v>0</v>
      </c>
      <c r="BZ77" s="30" t="n">
        <v>0</v>
      </c>
      <c r="CA77" s="30" t="n">
        <v>0</v>
      </c>
      <c r="CB77" s="30" t="n">
        <v>0</v>
      </c>
      <c r="CC77" s="30" t="n">
        <v>0</v>
      </c>
      <c r="CD77" s="30" t="n">
        <v>0</v>
      </c>
      <c r="CE77" s="30" t="n">
        <v>0</v>
      </c>
      <c r="CF77" s="30" t="n">
        <v>0</v>
      </c>
      <c r="CG77" s="30" t="n">
        <v>0</v>
      </c>
      <c r="CH77" s="30" t="n">
        <v>0</v>
      </c>
      <c r="CI77" s="30" t="n">
        <v>0</v>
      </c>
      <c r="CJ77" s="30" t="n">
        <v>0</v>
      </c>
      <c r="CK77" s="30" t="n">
        <v>0</v>
      </c>
      <c r="CL77" s="30" t="n">
        <v>0</v>
      </c>
      <c r="CM77" s="30" t="n">
        <v>0</v>
      </c>
      <c r="CN77" s="30" t="n">
        <v>0</v>
      </c>
      <c r="CO77" s="30" t="n">
        <v>0</v>
      </c>
      <c r="CP77" s="30" t="n">
        <v>0</v>
      </c>
      <c r="CQ77" s="30" t="n">
        <v>0</v>
      </c>
      <c r="CR77" s="30" t="n">
        <v>0</v>
      </c>
      <c r="CS77" s="30" t="n">
        <v>0</v>
      </c>
      <c r="CT77" s="30" t="n">
        <v>0</v>
      </c>
      <c r="CU77" s="30" t="n">
        <v>0</v>
      </c>
      <c r="CV77" s="30" t="n">
        <v>0</v>
      </c>
      <c r="CW77" s="30" t="n">
        <v>0</v>
      </c>
      <c r="CX77" s="30" t="n">
        <v>0</v>
      </c>
      <c r="CY77" s="30" t="n">
        <v>0</v>
      </c>
      <c r="CZ77" s="30" t="n">
        <v>0</v>
      </c>
      <c r="DA77" s="30" t="n">
        <v>0</v>
      </c>
    </row>
    <row r="78">
      <c r="A78" t="inlineStr">
        <is>
          <t>TPP-527</t>
        </is>
      </c>
      <c r="B78" s="30" t="n">
        <v>0</v>
      </c>
      <c r="C78" s="30" t="n">
        <v>0</v>
      </c>
      <c r="D78" s="30" t="n">
        <v>0</v>
      </c>
      <c r="E78" s="30" t="n">
        <v>0</v>
      </c>
      <c r="F78" s="30" t="n">
        <v>0</v>
      </c>
      <c r="G78" s="30" t="n">
        <v>0</v>
      </c>
      <c r="H78" s="30" t="n">
        <v>0</v>
      </c>
      <c r="I78" s="30" t="n">
        <v>0</v>
      </c>
      <c r="J78" s="30" t="n">
        <v>0</v>
      </c>
      <c r="K78" s="30" t="n">
        <v>0</v>
      </c>
      <c r="L78" s="30" t="n">
        <v>0</v>
      </c>
      <c r="M78" s="30" t="n">
        <v>0</v>
      </c>
      <c r="N78" s="30" t="n">
        <v>0</v>
      </c>
      <c r="O78" s="30" t="n">
        <v>0</v>
      </c>
      <c r="P78" s="30" t="n">
        <v>0</v>
      </c>
      <c r="Q78" s="30" t="n">
        <v>0</v>
      </c>
      <c r="R78" s="30" t="n">
        <v>0</v>
      </c>
      <c r="S78" s="30" t="n">
        <v>0</v>
      </c>
      <c r="T78" s="30" t="n">
        <v>0</v>
      </c>
      <c r="U78" s="30" t="n">
        <v>0</v>
      </c>
      <c r="V78" s="30" t="n">
        <v>0</v>
      </c>
      <c r="W78" s="30" t="n">
        <v>0</v>
      </c>
      <c r="X78" s="30" t="n">
        <v>0</v>
      </c>
      <c r="Y78" s="30" t="n">
        <v>0</v>
      </c>
      <c r="Z78" s="30" t="n">
        <v>0</v>
      </c>
      <c r="AA78" s="30" t="n">
        <v>0</v>
      </c>
      <c r="AB78" s="30" t="n">
        <v>0</v>
      </c>
      <c r="AC78" s="30" t="n">
        <v>0</v>
      </c>
      <c r="AD78" s="30" t="n">
        <v>0</v>
      </c>
      <c r="AE78" s="30" t="n">
        <v>0</v>
      </c>
      <c r="AF78" s="30" t="n">
        <v>0</v>
      </c>
      <c r="AG78" s="30" t="n">
        <v>0</v>
      </c>
      <c r="AH78" s="30" t="n">
        <v>0</v>
      </c>
      <c r="AI78" s="30" t="n">
        <v>0</v>
      </c>
      <c r="AJ78" s="30" t="n">
        <v>0</v>
      </c>
      <c r="AK78" s="30" t="n">
        <v>0</v>
      </c>
      <c r="AL78" s="30" t="n">
        <v>0</v>
      </c>
      <c r="AM78" s="30" t="n">
        <v>0</v>
      </c>
      <c r="AN78" s="30" t="n">
        <v>0</v>
      </c>
      <c r="AO78" s="30" t="n">
        <v>0</v>
      </c>
      <c r="AP78" s="30" t="n">
        <v>0</v>
      </c>
      <c r="AQ78" s="30" t="n">
        <v>0</v>
      </c>
      <c r="AR78" s="30" t="n">
        <v>0</v>
      </c>
      <c r="AS78" s="30" t="n">
        <v>0</v>
      </c>
      <c r="AT78" s="30" t="n">
        <v>0</v>
      </c>
      <c r="AU78" s="30" t="n">
        <v>0</v>
      </c>
      <c r="AV78" s="30" t="n">
        <v>0</v>
      </c>
      <c r="AW78" s="30" t="n">
        <v>0</v>
      </c>
      <c r="AX78" s="30" t="n">
        <v>0</v>
      </c>
      <c r="AY78" s="30" t="n">
        <v>0</v>
      </c>
      <c r="AZ78" s="30" t="n">
        <v>0</v>
      </c>
      <c r="BA78" s="30" t="n">
        <v>0</v>
      </c>
      <c r="BB78" s="30" t="n">
        <v>0</v>
      </c>
      <c r="BC78" s="30" t="n">
        <v>0</v>
      </c>
      <c r="BD78" s="30" t="n">
        <v>0</v>
      </c>
      <c r="BE78" s="30" t="n">
        <v>0</v>
      </c>
      <c r="BF78" s="30" t="n">
        <v>0</v>
      </c>
      <c r="BG78" s="30" t="n">
        <v>0</v>
      </c>
      <c r="BH78" s="30" t="n">
        <v>0</v>
      </c>
      <c r="BI78" s="30" t="n">
        <v>0</v>
      </c>
      <c r="BJ78" s="30" t="n">
        <v>0</v>
      </c>
      <c r="BK78" s="30" t="n">
        <v>0</v>
      </c>
      <c r="BL78" s="30" t="n">
        <v>0</v>
      </c>
      <c r="BM78" s="30" t="n">
        <v>0</v>
      </c>
      <c r="BN78" s="30" t="n">
        <v>0</v>
      </c>
      <c r="BO78" s="30" t="n">
        <v>0</v>
      </c>
      <c r="BP78" s="30" t="n">
        <v>0</v>
      </c>
      <c r="BQ78" s="30" t="n">
        <v>0</v>
      </c>
      <c r="BR78" s="30" t="n">
        <v>0</v>
      </c>
      <c r="BS78" s="30" t="n">
        <v>0</v>
      </c>
      <c r="BT78" s="30" t="n">
        <v>0</v>
      </c>
      <c r="BU78" s="30" t="n">
        <v>0</v>
      </c>
      <c r="BV78" s="30" t="n">
        <v>0</v>
      </c>
      <c r="BW78" s="30" t="n">
        <v>0</v>
      </c>
      <c r="BX78" s="30" t="n">
        <v>0</v>
      </c>
      <c r="BY78" s="30" t="n">
        <v>0</v>
      </c>
      <c r="BZ78" s="30" t="n">
        <v>0</v>
      </c>
      <c r="CA78" s="30" t="n">
        <v>0</v>
      </c>
      <c r="CB78" s="30" t="n">
        <v>0</v>
      </c>
      <c r="CC78" s="30" t="n">
        <v>0</v>
      </c>
      <c r="CD78" s="30" t="n">
        <v>0</v>
      </c>
      <c r="CE78" s="30" t="n">
        <v>0</v>
      </c>
      <c r="CF78" s="30" t="n">
        <v>0</v>
      </c>
      <c r="CG78" s="30" t="n">
        <v>0</v>
      </c>
      <c r="CH78" s="30" t="n">
        <v>0</v>
      </c>
      <c r="CI78" s="30" t="n">
        <v>0</v>
      </c>
      <c r="CJ78" s="30" t="n">
        <v>0</v>
      </c>
      <c r="CK78" s="30" t="n">
        <v>0</v>
      </c>
      <c r="CL78" s="30" t="n">
        <v>0</v>
      </c>
      <c r="CM78" s="30" t="n">
        <v>0</v>
      </c>
      <c r="CN78" s="30" t="n">
        <v>0</v>
      </c>
      <c r="CO78" s="30" t="n">
        <v>0</v>
      </c>
      <c r="CP78" s="30" t="n">
        <v>0</v>
      </c>
      <c r="CQ78" s="30" t="n">
        <v>0</v>
      </c>
      <c r="CR78" s="30" t="n">
        <v>0</v>
      </c>
      <c r="CS78" s="30" t="n">
        <v>0</v>
      </c>
      <c r="CT78" s="30" t="n">
        <v>0</v>
      </c>
      <c r="CU78" s="30" t="n">
        <v>0</v>
      </c>
      <c r="CV78" s="30" t="n">
        <v>0</v>
      </c>
      <c r="CW78" s="30" t="n">
        <v>0</v>
      </c>
      <c r="CX78" s="30" t="n">
        <v>0</v>
      </c>
      <c r="CY78" s="30" t="n">
        <v>0</v>
      </c>
      <c r="CZ78" s="30" t="n">
        <v>0</v>
      </c>
      <c r="DA78" s="30" t="n">
        <v>0</v>
      </c>
    </row>
    <row r="79">
      <c r="A79" t="inlineStr">
        <is>
          <t>TPP-533</t>
        </is>
      </c>
      <c r="B79" s="30" t="n">
        <v>0</v>
      </c>
      <c r="C79" s="30" t="n">
        <v>0</v>
      </c>
      <c r="D79" s="30" t="n">
        <v>0</v>
      </c>
      <c r="E79" s="30" t="n">
        <v>0</v>
      </c>
      <c r="F79" s="30" t="n">
        <v>0</v>
      </c>
      <c r="G79" s="30" t="n">
        <v>0</v>
      </c>
      <c r="H79" s="30" t="n">
        <v>0</v>
      </c>
      <c r="I79" s="30" t="n">
        <v>0</v>
      </c>
      <c r="J79" s="30" t="n">
        <v>0</v>
      </c>
      <c r="K79" s="30" t="n">
        <v>0</v>
      </c>
      <c r="L79" s="30" t="n">
        <v>0</v>
      </c>
      <c r="M79" s="30" t="n">
        <v>0</v>
      </c>
      <c r="N79" s="30" t="n">
        <v>0</v>
      </c>
      <c r="O79" s="30" t="n">
        <v>0</v>
      </c>
      <c r="P79" s="30" t="n">
        <v>0</v>
      </c>
      <c r="Q79" s="30" t="n">
        <v>0</v>
      </c>
      <c r="R79" s="30" t="n">
        <v>0</v>
      </c>
      <c r="S79" s="30" t="n">
        <v>0</v>
      </c>
      <c r="T79" s="30" t="n">
        <v>0</v>
      </c>
      <c r="U79" s="30" t="n">
        <v>0</v>
      </c>
      <c r="V79" s="30" t="n">
        <v>0</v>
      </c>
      <c r="W79" s="30" t="n">
        <v>0</v>
      </c>
      <c r="X79" s="30" t="n">
        <v>0</v>
      </c>
      <c r="Y79" s="30" t="n">
        <v>0</v>
      </c>
      <c r="Z79" s="30" t="n">
        <v>0</v>
      </c>
      <c r="AA79" s="30" t="n">
        <v>0</v>
      </c>
      <c r="AB79" s="30" t="n">
        <v>0</v>
      </c>
      <c r="AC79" s="30" t="n">
        <v>0</v>
      </c>
      <c r="AD79" s="30" t="n">
        <v>0</v>
      </c>
      <c r="AE79" s="30" t="n">
        <v>0</v>
      </c>
      <c r="AF79" s="30" t="n">
        <v>0</v>
      </c>
      <c r="AG79" s="30" t="n">
        <v>0</v>
      </c>
      <c r="AH79" s="30" t="n">
        <v>0</v>
      </c>
      <c r="AI79" s="30" t="n">
        <v>0</v>
      </c>
      <c r="AJ79" s="30" t="n">
        <v>0</v>
      </c>
      <c r="AK79" s="30" t="n">
        <v>0</v>
      </c>
      <c r="AL79" s="30" t="n">
        <v>0</v>
      </c>
      <c r="AM79" s="30" t="n">
        <v>0</v>
      </c>
      <c r="AN79" s="30" t="n">
        <v>0</v>
      </c>
      <c r="AO79" s="30" t="n">
        <v>0</v>
      </c>
      <c r="AP79" s="30" t="n">
        <v>0</v>
      </c>
      <c r="AQ79" s="30" t="n">
        <v>0</v>
      </c>
      <c r="AR79" s="30" t="n">
        <v>0</v>
      </c>
      <c r="AS79" s="30" t="n">
        <v>0</v>
      </c>
      <c r="AT79" s="30" t="n">
        <v>0</v>
      </c>
      <c r="AU79" s="30" t="n">
        <v>0</v>
      </c>
      <c r="AV79" s="30" t="n">
        <v>0</v>
      </c>
      <c r="AW79" s="30" t="n">
        <v>0</v>
      </c>
      <c r="AX79" s="30" t="n">
        <v>0</v>
      </c>
      <c r="AY79" s="30" t="n">
        <v>0</v>
      </c>
      <c r="AZ79" s="30" t="n">
        <v>0</v>
      </c>
      <c r="BA79" s="30" t="n">
        <v>0</v>
      </c>
      <c r="BB79" s="30" t="n">
        <v>0</v>
      </c>
      <c r="BC79" s="30" t="n">
        <v>0</v>
      </c>
      <c r="BD79" s="30" t="n">
        <v>0</v>
      </c>
      <c r="BE79" s="30" t="n">
        <v>0</v>
      </c>
      <c r="BF79" s="30" t="n">
        <v>0</v>
      </c>
      <c r="BG79" s="30" t="n">
        <v>0</v>
      </c>
      <c r="BH79" s="30" t="n">
        <v>0</v>
      </c>
      <c r="BI79" s="30" t="n">
        <v>0</v>
      </c>
      <c r="BJ79" s="30" t="n">
        <v>0</v>
      </c>
      <c r="BK79" s="30" t="n">
        <v>0</v>
      </c>
      <c r="BL79" s="30" t="n">
        <v>0</v>
      </c>
      <c r="BM79" s="30" t="n">
        <v>0</v>
      </c>
      <c r="BN79" s="30" t="n">
        <v>0</v>
      </c>
      <c r="BO79" s="30" t="n">
        <v>0</v>
      </c>
      <c r="BP79" s="30" t="n">
        <v>0</v>
      </c>
      <c r="BQ79" s="30" t="n">
        <v>0</v>
      </c>
      <c r="BR79" s="30" t="n">
        <v>0</v>
      </c>
      <c r="BS79" s="30" t="n">
        <v>0</v>
      </c>
      <c r="BT79" s="30" t="n">
        <v>0</v>
      </c>
      <c r="BU79" s="30" t="n">
        <v>0</v>
      </c>
      <c r="BV79" s="30" t="n">
        <v>0</v>
      </c>
      <c r="BW79" s="30" t="n">
        <v>0</v>
      </c>
      <c r="BX79" s="30" t="n">
        <v>0</v>
      </c>
      <c r="BY79" s="30" t="n">
        <v>0</v>
      </c>
      <c r="BZ79" s="30" t="n">
        <v>0</v>
      </c>
      <c r="CA79" s="30" t="n">
        <v>0</v>
      </c>
      <c r="CB79" s="30" t="n">
        <v>0</v>
      </c>
      <c r="CC79" s="30" t="n">
        <v>0</v>
      </c>
      <c r="CD79" s="30" t="n">
        <v>0</v>
      </c>
      <c r="CE79" s="30" t="n">
        <v>0</v>
      </c>
      <c r="CF79" s="30" t="n">
        <v>0</v>
      </c>
      <c r="CG79" s="30" t="n">
        <v>0</v>
      </c>
      <c r="CH79" s="30" t="n">
        <v>0</v>
      </c>
      <c r="CI79" s="30" t="n">
        <v>0</v>
      </c>
      <c r="CJ79" s="30" t="n">
        <v>0</v>
      </c>
      <c r="CK79" s="30" t="n">
        <v>0</v>
      </c>
      <c r="CL79" s="30" t="n">
        <v>0</v>
      </c>
      <c r="CM79" s="30" t="n">
        <v>0</v>
      </c>
      <c r="CN79" s="30" t="n">
        <v>0</v>
      </c>
      <c r="CO79" s="30" t="n">
        <v>0</v>
      </c>
      <c r="CP79" s="30" t="n">
        <v>0</v>
      </c>
      <c r="CQ79" s="30" t="n">
        <v>0</v>
      </c>
      <c r="CR79" s="30" t="n">
        <v>0</v>
      </c>
      <c r="CS79" s="30" t="n">
        <v>0</v>
      </c>
      <c r="CT79" s="30" t="n">
        <v>0</v>
      </c>
      <c r="CU79" s="30" t="n">
        <v>0</v>
      </c>
      <c r="CV79" s="30" t="n">
        <v>0</v>
      </c>
      <c r="CW79" s="30" t="n">
        <v>0</v>
      </c>
      <c r="CX79" s="30" t="n">
        <v>0</v>
      </c>
      <c r="CY79" s="30" t="n">
        <v>0</v>
      </c>
      <c r="CZ79" s="30" t="n">
        <v>0</v>
      </c>
      <c r="DA79" s="30" t="n">
        <v>0</v>
      </c>
    </row>
    <row r="80">
      <c r="A80" t="inlineStr">
        <is>
          <t>TPP-537</t>
        </is>
      </c>
      <c r="B80" s="30" t="n">
        <v>0</v>
      </c>
      <c r="C80" s="30" t="n">
        <v>0</v>
      </c>
      <c r="D80" s="30" t="n">
        <v>0</v>
      </c>
      <c r="E80" s="30" t="n">
        <v>0</v>
      </c>
      <c r="F80" s="30" t="n">
        <v>0</v>
      </c>
      <c r="G80" s="30" t="n">
        <v>0</v>
      </c>
      <c r="H80" s="30" t="n">
        <v>0</v>
      </c>
      <c r="I80" s="30" t="n">
        <v>0</v>
      </c>
      <c r="J80" s="30" t="n">
        <v>0</v>
      </c>
      <c r="K80" s="30" t="n">
        <v>0</v>
      </c>
      <c r="L80" s="30" t="n">
        <v>0</v>
      </c>
      <c r="M80" s="30" t="n">
        <v>0</v>
      </c>
      <c r="N80" s="30" t="n">
        <v>0</v>
      </c>
      <c r="O80" s="30" t="n">
        <v>0</v>
      </c>
      <c r="P80" s="30" t="n">
        <v>0</v>
      </c>
      <c r="Q80" s="30" t="n">
        <v>0</v>
      </c>
      <c r="R80" s="30" t="n">
        <v>0</v>
      </c>
      <c r="S80" s="30" t="n">
        <v>0</v>
      </c>
      <c r="T80" s="30" t="n">
        <v>0</v>
      </c>
      <c r="U80" s="30" t="n">
        <v>0</v>
      </c>
      <c r="V80" s="30" t="n">
        <v>0</v>
      </c>
      <c r="W80" s="30" t="n">
        <v>0</v>
      </c>
      <c r="X80" s="30" t="n">
        <v>0</v>
      </c>
      <c r="Y80" s="30" t="n">
        <v>0</v>
      </c>
      <c r="Z80" s="30" t="n">
        <v>0</v>
      </c>
      <c r="AA80" s="30" t="n">
        <v>0</v>
      </c>
      <c r="AB80" s="30" t="n">
        <v>0</v>
      </c>
      <c r="AC80" s="30" t="n">
        <v>0</v>
      </c>
      <c r="AD80" s="30" t="n">
        <v>0</v>
      </c>
      <c r="AE80" s="30" t="n">
        <v>0</v>
      </c>
      <c r="AF80" s="30" t="n">
        <v>0</v>
      </c>
      <c r="AG80" s="30" t="n">
        <v>0</v>
      </c>
      <c r="AH80" s="30" t="n">
        <v>0</v>
      </c>
      <c r="AI80" s="30" t="n">
        <v>0</v>
      </c>
      <c r="AJ80" s="30" t="n">
        <v>0</v>
      </c>
      <c r="AK80" s="30" t="n">
        <v>0</v>
      </c>
      <c r="AL80" s="30" t="n">
        <v>0</v>
      </c>
      <c r="AM80" s="30" t="n">
        <v>0</v>
      </c>
      <c r="AN80" s="30" t="n">
        <v>0</v>
      </c>
      <c r="AO80" s="30" t="n">
        <v>0</v>
      </c>
      <c r="AP80" s="30" t="n">
        <v>0</v>
      </c>
      <c r="AQ80" s="30" t="n">
        <v>0</v>
      </c>
      <c r="AR80" s="30" t="n">
        <v>0</v>
      </c>
      <c r="AS80" s="30" t="n">
        <v>0</v>
      </c>
      <c r="AT80" s="30" t="n">
        <v>0</v>
      </c>
      <c r="AU80" s="30" t="n">
        <v>0</v>
      </c>
      <c r="AV80" s="30" t="n">
        <v>0</v>
      </c>
      <c r="AW80" s="30" t="n">
        <v>0</v>
      </c>
      <c r="AX80" s="30" t="n">
        <v>0</v>
      </c>
      <c r="AY80" s="30" t="n">
        <v>0</v>
      </c>
      <c r="AZ80" s="30" t="n">
        <v>0</v>
      </c>
      <c r="BA80" s="30" t="n">
        <v>0</v>
      </c>
      <c r="BB80" s="30" t="n">
        <v>0</v>
      </c>
      <c r="BC80" s="30" t="n">
        <v>0</v>
      </c>
      <c r="BD80" s="30" t="n">
        <v>0</v>
      </c>
      <c r="BE80" s="30" t="n">
        <v>0</v>
      </c>
      <c r="BF80" s="30" t="n">
        <v>0</v>
      </c>
      <c r="BG80" s="30" t="n">
        <v>0</v>
      </c>
      <c r="BH80" s="30" t="n">
        <v>0</v>
      </c>
      <c r="BI80" s="30" t="n">
        <v>0</v>
      </c>
      <c r="BJ80" s="30" t="n">
        <v>0</v>
      </c>
      <c r="BK80" s="30" t="n">
        <v>0</v>
      </c>
      <c r="BL80" s="30" t="n">
        <v>0</v>
      </c>
      <c r="BM80" s="30" t="n">
        <v>0</v>
      </c>
      <c r="BN80" s="30" t="n">
        <v>0</v>
      </c>
      <c r="BO80" s="30" t="n">
        <v>0</v>
      </c>
      <c r="BP80" s="30" t="n">
        <v>0</v>
      </c>
      <c r="BQ80" s="30" t="n">
        <v>0</v>
      </c>
      <c r="BR80" s="30" t="n">
        <v>0</v>
      </c>
      <c r="BS80" s="30" t="n">
        <v>0</v>
      </c>
      <c r="BT80" s="30" t="n">
        <v>0</v>
      </c>
      <c r="BU80" s="30" t="n">
        <v>0</v>
      </c>
      <c r="BV80" s="30" t="n">
        <v>0</v>
      </c>
      <c r="BW80" s="30" t="n">
        <v>0</v>
      </c>
      <c r="BX80" s="30" t="n">
        <v>0</v>
      </c>
      <c r="BY80" s="30" t="n">
        <v>0</v>
      </c>
      <c r="BZ80" s="30" t="n">
        <v>0</v>
      </c>
      <c r="CA80" s="30" t="n">
        <v>0</v>
      </c>
      <c r="CB80" s="30" t="n">
        <v>0</v>
      </c>
      <c r="CC80" s="30" t="n">
        <v>0</v>
      </c>
      <c r="CD80" s="30" t="n">
        <v>0</v>
      </c>
      <c r="CE80" s="30" t="n">
        <v>0</v>
      </c>
      <c r="CF80" s="30" t="n">
        <v>0</v>
      </c>
      <c r="CG80" s="30" t="n">
        <v>0</v>
      </c>
      <c r="CH80" s="30" t="n">
        <v>0</v>
      </c>
      <c r="CI80" s="30" t="n">
        <v>0</v>
      </c>
      <c r="CJ80" s="30" t="n">
        <v>0</v>
      </c>
      <c r="CK80" s="30" t="n">
        <v>0</v>
      </c>
      <c r="CL80" s="30" t="n">
        <v>0</v>
      </c>
      <c r="CM80" s="30" t="n">
        <v>0</v>
      </c>
      <c r="CN80" s="30" t="n">
        <v>0</v>
      </c>
      <c r="CO80" s="30" t="n">
        <v>0</v>
      </c>
      <c r="CP80" s="30" t="n">
        <v>0</v>
      </c>
      <c r="CQ80" s="30" t="n">
        <v>0</v>
      </c>
      <c r="CR80" s="30" t="n">
        <v>0</v>
      </c>
      <c r="CS80" s="30" t="n">
        <v>0</v>
      </c>
      <c r="CT80" s="30" t="n">
        <v>0</v>
      </c>
      <c r="CU80" s="30" t="n">
        <v>0</v>
      </c>
      <c r="CV80" s="30" t="n">
        <v>0</v>
      </c>
      <c r="CW80" s="30" t="n">
        <v>0</v>
      </c>
      <c r="CX80" s="30" t="n">
        <v>0</v>
      </c>
      <c r="CY80" s="30" t="n">
        <v>0</v>
      </c>
      <c r="CZ80" s="30" t="n">
        <v>0</v>
      </c>
      <c r="DA80" s="30" t="n">
        <v>0</v>
      </c>
    </row>
    <row r="81">
      <c r="A81" t="inlineStr">
        <is>
          <t>TPP-609</t>
        </is>
      </c>
      <c r="B81" s="30" t="n">
        <v>0</v>
      </c>
      <c r="C81" s="30" t="n">
        <v>0</v>
      </c>
      <c r="D81" s="30" t="n">
        <v>0</v>
      </c>
      <c r="E81" s="30" t="n">
        <v>0</v>
      </c>
      <c r="F81" s="30" t="n">
        <v>0</v>
      </c>
      <c r="G81" s="30" t="n">
        <v>0</v>
      </c>
      <c r="H81" s="30" t="n">
        <v>0</v>
      </c>
      <c r="I81" s="30" t="n">
        <v>0</v>
      </c>
      <c r="J81" s="30" t="n">
        <v>0</v>
      </c>
      <c r="K81" s="30" t="n">
        <v>0</v>
      </c>
      <c r="L81" s="30" t="n">
        <v>0</v>
      </c>
      <c r="M81" s="30" t="n">
        <v>0</v>
      </c>
      <c r="N81" s="30" t="n">
        <v>0</v>
      </c>
      <c r="O81" s="30" t="n">
        <v>0</v>
      </c>
      <c r="P81" s="30" t="n">
        <v>0</v>
      </c>
      <c r="Q81" s="30" t="n">
        <v>0</v>
      </c>
      <c r="R81" s="30" t="n">
        <v>0</v>
      </c>
      <c r="S81" s="30" t="n">
        <v>0</v>
      </c>
      <c r="T81" s="30" t="n">
        <v>0</v>
      </c>
      <c r="U81" s="30" t="n">
        <v>0</v>
      </c>
      <c r="V81" s="30" t="n">
        <v>0</v>
      </c>
      <c r="W81" s="30" t="n">
        <v>0</v>
      </c>
      <c r="X81" s="30" t="n">
        <v>0</v>
      </c>
      <c r="Y81" s="30" t="n">
        <v>0</v>
      </c>
      <c r="Z81" s="30" t="n">
        <v>0</v>
      </c>
      <c r="AA81" s="30" t="n">
        <v>0</v>
      </c>
      <c r="AB81" s="30" t="n">
        <v>0</v>
      </c>
      <c r="AC81" s="30" t="n">
        <v>0</v>
      </c>
      <c r="AD81" s="30" t="n">
        <v>0</v>
      </c>
      <c r="AE81" s="30" t="n">
        <v>0</v>
      </c>
      <c r="AF81" s="30" t="n">
        <v>0</v>
      </c>
      <c r="AG81" s="30" t="n">
        <v>0</v>
      </c>
      <c r="AH81" s="30" t="n">
        <v>0</v>
      </c>
      <c r="AI81" s="30" t="n">
        <v>0</v>
      </c>
      <c r="AJ81" s="30" t="n">
        <v>0</v>
      </c>
      <c r="AK81" s="30" t="n">
        <v>0</v>
      </c>
      <c r="AL81" s="30" t="n">
        <v>0</v>
      </c>
      <c r="AM81" s="30" t="n">
        <v>0</v>
      </c>
      <c r="AN81" s="30" t="n">
        <v>0</v>
      </c>
      <c r="AO81" s="30" t="n">
        <v>0</v>
      </c>
      <c r="AP81" s="30" t="n">
        <v>0</v>
      </c>
      <c r="AQ81" s="30" t="n">
        <v>0</v>
      </c>
      <c r="AR81" s="30" t="n">
        <v>0</v>
      </c>
      <c r="AS81" s="30" t="n">
        <v>0</v>
      </c>
      <c r="AT81" s="30" t="n">
        <v>0</v>
      </c>
      <c r="AU81" s="30" t="n">
        <v>0</v>
      </c>
      <c r="AV81" s="30" t="n">
        <v>0</v>
      </c>
      <c r="AW81" s="30" t="n">
        <v>0</v>
      </c>
      <c r="AX81" s="30" t="n">
        <v>0</v>
      </c>
      <c r="AY81" s="30" t="n">
        <v>0</v>
      </c>
      <c r="AZ81" s="30" t="n">
        <v>0</v>
      </c>
      <c r="BA81" s="30" t="n">
        <v>0</v>
      </c>
      <c r="BB81" s="30" t="n">
        <v>0</v>
      </c>
      <c r="BC81" s="30" t="n">
        <v>0</v>
      </c>
      <c r="BD81" s="30" t="n">
        <v>0</v>
      </c>
      <c r="BE81" s="30" t="n">
        <v>0</v>
      </c>
      <c r="BF81" s="30" t="n">
        <v>0</v>
      </c>
      <c r="BG81" s="30" t="n">
        <v>0</v>
      </c>
      <c r="BH81" s="30" t="n">
        <v>0</v>
      </c>
      <c r="BI81" s="30" t="n">
        <v>0</v>
      </c>
      <c r="BJ81" s="30" t="n">
        <v>0</v>
      </c>
      <c r="BK81" s="30" t="n">
        <v>0</v>
      </c>
      <c r="BL81" s="30" t="n">
        <v>0</v>
      </c>
      <c r="BM81" s="30" t="n">
        <v>0</v>
      </c>
      <c r="BN81" s="30" t="n">
        <v>0</v>
      </c>
      <c r="BO81" s="30" t="n">
        <v>0</v>
      </c>
      <c r="BP81" s="30" t="n">
        <v>0</v>
      </c>
      <c r="BQ81" s="30" t="n">
        <v>0</v>
      </c>
      <c r="BR81" s="30" t="n">
        <v>0</v>
      </c>
      <c r="BS81" s="30" t="n">
        <v>0</v>
      </c>
      <c r="BT81" s="30" t="n">
        <v>0</v>
      </c>
      <c r="BU81" s="30" t="n">
        <v>0</v>
      </c>
      <c r="BV81" s="30" t="n">
        <v>0</v>
      </c>
      <c r="BW81" s="30" t="n">
        <v>0</v>
      </c>
      <c r="BX81" s="30" t="n">
        <v>0</v>
      </c>
      <c r="BY81" s="30" t="n">
        <v>0</v>
      </c>
      <c r="BZ81" s="30" t="n">
        <v>0</v>
      </c>
      <c r="CA81" s="30" t="n">
        <v>0</v>
      </c>
      <c r="CB81" s="30" t="n">
        <v>0</v>
      </c>
      <c r="CC81" s="30" t="n">
        <v>0</v>
      </c>
      <c r="CD81" s="30" t="n">
        <v>0</v>
      </c>
      <c r="CE81" s="30" t="n">
        <v>0</v>
      </c>
      <c r="CF81" s="30" t="n">
        <v>0</v>
      </c>
      <c r="CG81" s="30" t="n">
        <v>0</v>
      </c>
      <c r="CH81" s="30" t="n">
        <v>0</v>
      </c>
      <c r="CI81" s="30" t="n">
        <v>0</v>
      </c>
      <c r="CJ81" s="30" t="n">
        <v>0</v>
      </c>
      <c r="CK81" s="30" t="n">
        <v>0</v>
      </c>
      <c r="CL81" s="30" t="n">
        <v>0</v>
      </c>
      <c r="CM81" s="30" t="n">
        <v>0</v>
      </c>
      <c r="CN81" s="30" t="n">
        <v>0</v>
      </c>
      <c r="CO81" s="30" t="n">
        <v>0</v>
      </c>
      <c r="CP81" s="30" t="n">
        <v>0</v>
      </c>
      <c r="CQ81" s="30" t="n">
        <v>0</v>
      </c>
      <c r="CR81" s="30" t="n">
        <v>0</v>
      </c>
      <c r="CS81" s="30" t="n">
        <v>0</v>
      </c>
      <c r="CT81" s="30" t="n">
        <v>0</v>
      </c>
      <c r="CU81" s="30" t="n">
        <v>0</v>
      </c>
      <c r="CV81" s="30" t="n">
        <v>0</v>
      </c>
      <c r="CW81" s="30" t="n">
        <v>0</v>
      </c>
      <c r="CX81" s="30" t="n">
        <v>0</v>
      </c>
      <c r="CY81" s="30" t="n">
        <v>0</v>
      </c>
      <c r="CZ81" s="30" t="n">
        <v>0</v>
      </c>
      <c r="DA81" s="30" t="n">
        <v>0</v>
      </c>
    </row>
    <row r="82">
      <c r="A82" t="inlineStr">
        <is>
          <t>TPP-611</t>
        </is>
      </c>
      <c r="B82" s="30" t="n">
        <v>0</v>
      </c>
      <c r="C82" s="30" t="n">
        <v>0</v>
      </c>
      <c r="D82" s="30" t="n">
        <v>0</v>
      </c>
      <c r="E82" s="30" t="n">
        <v>0</v>
      </c>
      <c r="F82" s="30" t="n">
        <v>0</v>
      </c>
      <c r="G82" s="30" t="n">
        <v>0</v>
      </c>
      <c r="H82" s="30" t="n">
        <v>0</v>
      </c>
      <c r="I82" s="30" t="n">
        <v>0</v>
      </c>
      <c r="J82" s="30" t="n">
        <v>0</v>
      </c>
      <c r="K82" s="30" t="n">
        <v>0</v>
      </c>
      <c r="L82" s="30" t="n">
        <v>0</v>
      </c>
      <c r="M82" s="30" t="n">
        <v>0</v>
      </c>
      <c r="N82" s="30" t="n">
        <v>0</v>
      </c>
      <c r="O82" s="30" t="n">
        <v>0</v>
      </c>
      <c r="P82" s="30" t="n">
        <v>0</v>
      </c>
      <c r="Q82" s="30" t="n">
        <v>0</v>
      </c>
      <c r="R82" s="30" t="n">
        <v>0</v>
      </c>
      <c r="S82" s="30" t="n">
        <v>0</v>
      </c>
      <c r="T82" s="30" t="n">
        <v>0</v>
      </c>
      <c r="U82" s="30" t="n">
        <v>0</v>
      </c>
      <c r="V82" s="30" t="n">
        <v>0</v>
      </c>
      <c r="W82" s="30" t="n">
        <v>0</v>
      </c>
      <c r="X82" s="30" t="n">
        <v>0</v>
      </c>
      <c r="Y82" s="30" t="n">
        <v>0</v>
      </c>
      <c r="Z82" s="30" t="n">
        <v>0</v>
      </c>
      <c r="AA82" s="30" t="n">
        <v>0</v>
      </c>
      <c r="AB82" s="30" t="n">
        <v>0</v>
      </c>
      <c r="AC82" s="30" t="n">
        <v>0</v>
      </c>
      <c r="AD82" s="30" t="n">
        <v>0</v>
      </c>
      <c r="AE82" s="30" t="n">
        <v>0</v>
      </c>
      <c r="AF82" s="30" t="n">
        <v>0</v>
      </c>
      <c r="AG82" s="30" t="n">
        <v>0</v>
      </c>
      <c r="AH82" s="30" t="n">
        <v>0</v>
      </c>
      <c r="AI82" s="30" t="n">
        <v>0</v>
      </c>
      <c r="AJ82" s="30" t="n">
        <v>0</v>
      </c>
      <c r="AK82" s="30" t="n">
        <v>0</v>
      </c>
      <c r="AL82" s="30" t="n">
        <v>0</v>
      </c>
      <c r="AM82" s="30" t="n">
        <v>0</v>
      </c>
      <c r="AN82" s="30" t="n">
        <v>0</v>
      </c>
      <c r="AO82" s="30" t="n">
        <v>0</v>
      </c>
      <c r="AP82" s="30" t="n">
        <v>0</v>
      </c>
      <c r="AQ82" s="30" t="n">
        <v>0</v>
      </c>
      <c r="AR82" s="30" t="n">
        <v>0</v>
      </c>
      <c r="AS82" s="30" t="n">
        <v>0</v>
      </c>
      <c r="AT82" s="30" t="n">
        <v>0</v>
      </c>
      <c r="AU82" s="30" t="n">
        <v>0</v>
      </c>
      <c r="AV82" s="30" t="n">
        <v>0</v>
      </c>
      <c r="AW82" s="30" t="n">
        <v>0</v>
      </c>
      <c r="AX82" s="30" t="n">
        <v>0</v>
      </c>
      <c r="AY82" s="30" t="n">
        <v>0</v>
      </c>
      <c r="AZ82" s="30" t="n">
        <v>0</v>
      </c>
      <c r="BA82" s="30" t="n">
        <v>0</v>
      </c>
      <c r="BB82" s="30" t="n">
        <v>0</v>
      </c>
      <c r="BC82" s="30" t="n">
        <v>0</v>
      </c>
      <c r="BD82" s="30" t="n">
        <v>0</v>
      </c>
      <c r="BE82" s="30" t="n">
        <v>0</v>
      </c>
      <c r="BF82" s="30" t="n">
        <v>0</v>
      </c>
      <c r="BG82" s="30" t="n">
        <v>0</v>
      </c>
      <c r="BH82" s="30" t="n">
        <v>0</v>
      </c>
      <c r="BI82" s="30" t="n">
        <v>0</v>
      </c>
      <c r="BJ82" s="30" t="n">
        <v>0</v>
      </c>
      <c r="BK82" s="30" t="n">
        <v>0</v>
      </c>
      <c r="BL82" s="30" t="n">
        <v>0</v>
      </c>
      <c r="BM82" s="30" t="n">
        <v>0</v>
      </c>
      <c r="BN82" s="30" t="n">
        <v>0</v>
      </c>
      <c r="BO82" s="30" t="n">
        <v>0</v>
      </c>
      <c r="BP82" s="30" t="n">
        <v>0</v>
      </c>
      <c r="BQ82" s="30" t="n">
        <v>0</v>
      </c>
      <c r="BR82" s="30" t="n">
        <v>0</v>
      </c>
      <c r="BS82" s="30" t="n">
        <v>0</v>
      </c>
      <c r="BT82" s="30" t="n">
        <v>0</v>
      </c>
      <c r="BU82" s="30" t="n">
        <v>0</v>
      </c>
      <c r="BV82" s="30" t="n">
        <v>0</v>
      </c>
      <c r="BW82" s="30" t="n">
        <v>0</v>
      </c>
      <c r="BX82" s="30" t="n">
        <v>0</v>
      </c>
      <c r="BY82" s="30" t="n">
        <v>0</v>
      </c>
      <c r="BZ82" s="30" t="n">
        <v>0</v>
      </c>
      <c r="CA82" s="30" t="n">
        <v>0</v>
      </c>
      <c r="CB82" s="30" t="n">
        <v>0</v>
      </c>
      <c r="CC82" s="30" t="n">
        <v>0</v>
      </c>
      <c r="CD82" s="30" t="n">
        <v>0</v>
      </c>
      <c r="CE82" s="30" t="n">
        <v>0</v>
      </c>
      <c r="CF82" s="30" t="n">
        <v>0</v>
      </c>
      <c r="CG82" s="30" t="n">
        <v>0</v>
      </c>
      <c r="CH82" s="30" t="n">
        <v>0</v>
      </c>
      <c r="CI82" s="30" t="n">
        <v>0</v>
      </c>
      <c r="CJ82" s="30" t="n">
        <v>0</v>
      </c>
      <c r="CK82" s="30" t="n">
        <v>0</v>
      </c>
      <c r="CL82" s="30" t="n">
        <v>0</v>
      </c>
      <c r="CM82" s="30" t="n">
        <v>0</v>
      </c>
      <c r="CN82" s="30" t="n">
        <v>0</v>
      </c>
      <c r="CO82" s="30" t="n">
        <v>0</v>
      </c>
      <c r="CP82" s="30" t="n">
        <v>0</v>
      </c>
      <c r="CQ82" s="30" t="n">
        <v>0</v>
      </c>
      <c r="CR82" s="30" t="n">
        <v>0</v>
      </c>
      <c r="CS82" s="30" t="n">
        <v>0</v>
      </c>
      <c r="CT82" s="30" t="n">
        <v>0</v>
      </c>
      <c r="CU82" s="30" t="n">
        <v>0</v>
      </c>
      <c r="CV82" s="30" t="n">
        <v>0</v>
      </c>
      <c r="CW82" s="30" t="n">
        <v>0</v>
      </c>
      <c r="CX82" s="30" t="n">
        <v>0</v>
      </c>
      <c r="CY82" s="30" t="n">
        <v>0</v>
      </c>
      <c r="CZ82" s="30" t="n">
        <v>0</v>
      </c>
      <c r="DA82" s="30" t="n">
        <v>0</v>
      </c>
    </row>
    <row r="83">
      <c r="A83" t="inlineStr">
        <is>
          <t>TPP-613</t>
        </is>
      </c>
      <c r="B83" s="30" t="n">
        <v>0</v>
      </c>
      <c r="C83" s="30" t="n">
        <v>0</v>
      </c>
      <c r="D83" s="30" t="n">
        <v>0</v>
      </c>
      <c r="E83" s="30" t="n">
        <v>0</v>
      </c>
      <c r="F83" s="30" t="n">
        <v>0</v>
      </c>
      <c r="G83" s="30" t="n">
        <v>0</v>
      </c>
      <c r="H83" s="30" t="n">
        <v>0</v>
      </c>
      <c r="I83" s="30" t="n">
        <v>0</v>
      </c>
      <c r="J83" s="30" t="n">
        <v>0</v>
      </c>
      <c r="K83" s="30" t="n">
        <v>0</v>
      </c>
      <c r="L83" s="30" t="n">
        <v>0</v>
      </c>
      <c r="M83" s="30" t="n">
        <v>0</v>
      </c>
      <c r="N83" s="30" t="n">
        <v>0</v>
      </c>
      <c r="O83" s="30" t="n">
        <v>0</v>
      </c>
      <c r="P83" s="30" t="n">
        <v>0</v>
      </c>
      <c r="Q83" s="30" t="n">
        <v>0</v>
      </c>
      <c r="R83" s="30" t="n">
        <v>0</v>
      </c>
      <c r="S83" s="30" t="n">
        <v>0</v>
      </c>
      <c r="T83" s="30" t="n">
        <v>0</v>
      </c>
      <c r="U83" s="30" t="n">
        <v>0</v>
      </c>
      <c r="V83" s="30" t="n">
        <v>0</v>
      </c>
      <c r="W83" s="30" t="n">
        <v>0</v>
      </c>
      <c r="X83" s="30" t="n">
        <v>0</v>
      </c>
      <c r="Y83" s="30" t="n">
        <v>0</v>
      </c>
      <c r="Z83" s="30" t="n">
        <v>0</v>
      </c>
      <c r="AA83" s="30" t="n">
        <v>0</v>
      </c>
      <c r="AB83" s="30" t="n">
        <v>0</v>
      </c>
      <c r="AC83" s="30" t="n">
        <v>0</v>
      </c>
      <c r="AD83" s="30" t="n">
        <v>0</v>
      </c>
      <c r="AE83" s="30" t="n">
        <v>0</v>
      </c>
      <c r="AF83" s="30" t="n">
        <v>0</v>
      </c>
      <c r="AG83" s="30" t="n">
        <v>0</v>
      </c>
      <c r="AH83" s="30" t="n">
        <v>0</v>
      </c>
      <c r="AI83" s="30" t="n">
        <v>0</v>
      </c>
      <c r="AJ83" s="30" t="n">
        <v>0</v>
      </c>
      <c r="AK83" s="30" t="n">
        <v>0</v>
      </c>
      <c r="AL83" s="30" t="n">
        <v>0</v>
      </c>
      <c r="AM83" s="30" t="n">
        <v>0</v>
      </c>
      <c r="AN83" s="30" t="n">
        <v>0</v>
      </c>
      <c r="AO83" s="30" t="n">
        <v>0</v>
      </c>
      <c r="AP83" s="30" t="n">
        <v>0</v>
      </c>
      <c r="AQ83" s="30" t="n">
        <v>0</v>
      </c>
      <c r="AR83" s="30" t="n">
        <v>0</v>
      </c>
      <c r="AS83" s="30" t="n">
        <v>0</v>
      </c>
      <c r="AT83" s="30" t="n">
        <v>0</v>
      </c>
      <c r="AU83" s="30" t="n">
        <v>0</v>
      </c>
      <c r="AV83" s="30" t="n">
        <v>0</v>
      </c>
      <c r="AW83" s="30" t="n">
        <v>0</v>
      </c>
      <c r="AX83" s="30" t="n">
        <v>0</v>
      </c>
      <c r="AY83" s="30" t="n">
        <v>0</v>
      </c>
      <c r="AZ83" s="30" t="n">
        <v>0</v>
      </c>
      <c r="BA83" s="30" t="n">
        <v>0</v>
      </c>
      <c r="BB83" s="30" t="n">
        <v>0</v>
      </c>
      <c r="BC83" s="30" t="n">
        <v>0</v>
      </c>
      <c r="BD83" s="30" t="n">
        <v>0</v>
      </c>
      <c r="BE83" s="30" t="n">
        <v>0</v>
      </c>
      <c r="BF83" s="30" t="n">
        <v>0</v>
      </c>
      <c r="BG83" s="30" t="n">
        <v>0</v>
      </c>
      <c r="BH83" s="30" t="n">
        <v>0</v>
      </c>
      <c r="BI83" s="30" t="n">
        <v>0</v>
      </c>
      <c r="BJ83" s="30" t="n">
        <v>0</v>
      </c>
      <c r="BK83" s="30" t="n">
        <v>0</v>
      </c>
      <c r="BL83" s="30" t="n">
        <v>0</v>
      </c>
      <c r="BM83" s="30" t="n">
        <v>0</v>
      </c>
      <c r="BN83" s="30" t="n">
        <v>0</v>
      </c>
      <c r="BO83" s="30" t="n">
        <v>0</v>
      </c>
      <c r="BP83" s="30" t="n">
        <v>0</v>
      </c>
      <c r="BQ83" s="30" t="n">
        <v>0</v>
      </c>
      <c r="BR83" s="30" t="n">
        <v>0</v>
      </c>
      <c r="BS83" s="30" t="n">
        <v>0</v>
      </c>
      <c r="BT83" s="30" t="n">
        <v>0</v>
      </c>
      <c r="BU83" s="30" t="n">
        <v>0</v>
      </c>
      <c r="BV83" s="30" t="n">
        <v>0</v>
      </c>
      <c r="BW83" s="30" t="n">
        <v>0</v>
      </c>
      <c r="BX83" s="30" t="n">
        <v>0</v>
      </c>
      <c r="BY83" s="30" t="n">
        <v>0</v>
      </c>
      <c r="BZ83" s="30" t="n">
        <v>0</v>
      </c>
      <c r="CA83" s="30" t="n">
        <v>0</v>
      </c>
      <c r="CB83" s="30" t="n">
        <v>0</v>
      </c>
      <c r="CC83" s="30" t="n">
        <v>0</v>
      </c>
      <c r="CD83" s="30" t="n">
        <v>0</v>
      </c>
      <c r="CE83" s="30" t="n">
        <v>0</v>
      </c>
      <c r="CF83" s="30" t="n">
        <v>0</v>
      </c>
      <c r="CG83" s="30" t="n">
        <v>0</v>
      </c>
      <c r="CH83" s="30" t="n">
        <v>0</v>
      </c>
      <c r="CI83" s="30" t="n">
        <v>0</v>
      </c>
      <c r="CJ83" s="30" t="n">
        <v>0</v>
      </c>
      <c r="CK83" s="30" t="n">
        <v>0</v>
      </c>
      <c r="CL83" s="30" t="n">
        <v>0</v>
      </c>
      <c r="CM83" s="30" t="n">
        <v>0</v>
      </c>
      <c r="CN83" s="30" t="n">
        <v>0</v>
      </c>
      <c r="CO83" s="30" t="n">
        <v>0</v>
      </c>
      <c r="CP83" s="30" t="n">
        <v>0</v>
      </c>
      <c r="CQ83" s="30" t="n">
        <v>0</v>
      </c>
      <c r="CR83" s="30" t="n">
        <v>0</v>
      </c>
      <c r="CS83" s="30" t="n">
        <v>0</v>
      </c>
      <c r="CT83" s="30" t="n">
        <v>0</v>
      </c>
      <c r="CU83" s="30" t="n">
        <v>0</v>
      </c>
      <c r="CV83" s="30" t="n">
        <v>0</v>
      </c>
      <c r="CW83" s="30" t="n">
        <v>0</v>
      </c>
      <c r="CX83" s="30" t="n">
        <v>0</v>
      </c>
      <c r="CY83" s="30" t="n">
        <v>0</v>
      </c>
      <c r="CZ83" s="30" t="n">
        <v>0</v>
      </c>
      <c r="DA83" s="30" t="n">
        <v>0</v>
      </c>
    </row>
    <row r="84">
      <c r="A84" t="inlineStr">
        <is>
          <t>TPP-635</t>
        </is>
      </c>
      <c r="B84" s="30" t="n">
        <v>0</v>
      </c>
      <c r="C84" s="30" t="n">
        <v>0</v>
      </c>
      <c r="D84" s="30" t="n">
        <v>0</v>
      </c>
      <c r="E84" s="30" t="n">
        <v>0</v>
      </c>
      <c r="F84" s="30" t="n">
        <v>0</v>
      </c>
      <c r="G84" s="30" t="n">
        <v>0</v>
      </c>
      <c r="H84" s="30" t="n">
        <v>0</v>
      </c>
      <c r="I84" s="30" t="n">
        <v>0</v>
      </c>
      <c r="J84" s="30" t="n">
        <v>0</v>
      </c>
      <c r="K84" s="30" t="n">
        <v>0</v>
      </c>
      <c r="L84" s="30" t="n">
        <v>0</v>
      </c>
      <c r="M84" s="30" t="n">
        <v>0</v>
      </c>
      <c r="N84" s="30" t="n">
        <v>0</v>
      </c>
      <c r="O84" s="30" t="n">
        <v>0</v>
      </c>
      <c r="P84" s="30" t="n">
        <v>0</v>
      </c>
      <c r="Q84" s="30" t="n">
        <v>0</v>
      </c>
      <c r="R84" s="30" t="n">
        <v>0</v>
      </c>
      <c r="S84" s="30" t="n">
        <v>0</v>
      </c>
      <c r="T84" s="30" t="n">
        <v>0</v>
      </c>
      <c r="U84" s="30" t="n">
        <v>0</v>
      </c>
      <c r="V84" s="30" t="n">
        <v>0</v>
      </c>
      <c r="W84" s="30" t="n">
        <v>0</v>
      </c>
      <c r="X84" s="30" t="n">
        <v>0</v>
      </c>
      <c r="Y84" s="30" t="n">
        <v>0</v>
      </c>
      <c r="Z84" s="30" t="n">
        <v>0</v>
      </c>
      <c r="AA84" s="30" t="n">
        <v>0</v>
      </c>
      <c r="AB84" s="30" t="n">
        <v>0</v>
      </c>
      <c r="AC84" s="30" t="n">
        <v>0</v>
      </c>
      <c r="AD84" s="30" t="n">
        <v>0</v>
      </c>
      <c r="AE84" s="30" t="n">
        <v>0</v>
      </c>
      <c r="AF84" s="30" t="n">
        <v>0</v>
      </c>
      <c r="AG84" s="30" t="n">
        <v>0</v>
      </c>
      <c r="AH84" s="30" t="n">
        <v>0</v>
      </c>
      <c r="AI84" s="30" t="n">
        <v>0</v>
      </c>
      <c r="AJ84" s="30" t="n">
        <v>0</v>
      </c>
      <c r="AK84" s="30" t="n">
        <v>0</v>
      </c>
      <c r="AL84" s="30" t="n">
        <v>0</v>
      </c>
      <c r="AM84" s="30" t="n">
        <v>0</v>
      </c>
      <c r="AN84" s="30" t="n">
        <v>0</v>
      </c>
      <c r="AO84" s="30" t="n">
        <v>0</v>
      </c>
      <c r="AP84" s="30" t="n">
        <v>0</v>
      </c>
      <c r="AQ84" s="30" t="n">
        <v>0</v>
      </c>
      <c r="AR84" s="30" t="n">
        <v>0</v>
      </c>
      <c r="AS84" s="30" t="n">
        <v>0</v>
      </c>
      <c r="AT84" s="30" t="n">
        <v>0</v>
      </c>
      <c r="AU84" s="30" t="n">
        <v>0</v>
      </c>
      <c r="AV84" s="30" t="n">
        <v>0</v>
      </c>
      <c r="AW84" s="30" t="n">
        <v>0</v>
      </c>
      <c r="AX84" s="30" t="n">
        <v>0</v>
      </c>
      <c r="AY84" s="30" t="n">
        <v>0</v>
      </c>
      <c r="AZ84" s="30" t="n">
        <v>0</v>
      </c>
      <c r="BA84" s="30" t="n">
        <v>0</v>
      </c>
      <c r="BB84" s="30" t="n">
        <v>0</v>
      </c>
      <c r="BC84" s="30" t="n">
        <v>0</v>
      </c>
      <c r="BD84" s="30" t="n">
        <v>0</v>
      </c>
      <c r="BE84" s="30" t="n">
        <v>0</v>
      </c>
      <c r="BF84" s="30" t="n">
        <v>0</v>
      </c>
      <c r="BG84" s="30" t="n">
        <v>0</v>
      </c>
      <c r="BH84" s="30" t="n">
        <v>0</v>
      </c>
      <c r="BI84" s="30" t="n">
        <v>0</v>
      </c>
      <c r="BJ84" s="30" t="n">
        <v>0</v>
      </c>
      <c r="BK84" s="30" t="n">
        <v>0</v>
      </c>
      <c r="BL84" s="30" t="n">
        <v>0</v>
      </c>
      <c r="BM84" s="30" t="n">
        <v>0</v>
      </c>
      <c r="BN84" s="30" t="n">
        <v>0</v>
      </c>
      <c r="BO84" s="30" t="n">
        <v>0</v>
      </c>
      <c r="BP84" s="30" t="n">
        <v>0</v>
      </c>
      <c r="BQ84" s="30" t="n">
        <v>0</v>
      </c>
      <c r="BR84" s="30" t="n">
        <v>0</v>
      </c>
      <c r="BS84" s="30" t="n">
        <v>0</v>
      </c>
      <c r="BT84" s="30" t="n">
        <v>0</v>
      </c>
      <c r="BU84" s="30" t="n">
        <v>0</v>
      </c>
      <c r="BV84" s="30" t="n">
        <v>0</v>
      </c>
      <c r="BW84" s="30" t="n">
        <v>0</v>
      </c>
      <c r="BX84" s="30" t="n">
        <v>0</v>
      </c>
      <c r="BY84" s="30" t="n">
        <v>0</v>
      </c>
      <c r="BZ84" s="30" t="n">
        <v>0</v>
      </c>
      <c r="CA84" s="30" t="n">
        <v>0</v>
      </c>
      <c r="CB84" s="30" t="n">
        <v>0</v>
      </c>
      <c r="CC84" s="30" t="n">
        <v>0</v>
      </c>
      <c r="CD84" s="30" t="n">
        <v>0</v>
      </c>
      <c r="CE84" s="30" t="n">
        <v>0</v>
      </c>
      <c r="CF84" s="30" t="n">
        <v>0</v>
      </c>
      <c r="CG84" s="30" t="n">
        <v>0</v>
      </c>
      <c r="CH84" s="30" t="n">
        <v>0</v>
      </c>
      <c r="CI84" s="30" t="n">
        <v>0</v>
      </c>
      <c r="CJ84" s="30" t="n">
        <v>0</v>
      </c>
      <c r="CK84" s="30" t="n">
        <v>0</v>
      </c>
      <c r="CL84" s="30" t="n">
        <v>0</v>
      </c>
      <c r="CM84" s="30" t="n">
        <v>0</v>
      </c>
      <c r="CN84" s="30" t="n">
        <v>0</v>
      </c>
      <c r="CO84" s="30" t="n">
        <v>0</v>
      </c>
      <c r="CP84" s="30" t="n">
        <v>0</v>
      </c>
      <c r="CQ84" s="30" t="n">
        <v>0</v>
      </c>
      <c r="CR84" s="30" t="n">
        <v>0</v>
      </c>
      <c r="CS84" s="30" t="n">
        <v>0</v>
      </c>
      <c r="CT84" s="30" t="n">
        <v>0</v>
      </c>
      <c r="CU84" s="30" t="n">
        <v>0</v>
      </c>
      <c r="CV84" s="30" t="n">
        <v>0</v>
      </c>
      <c r="CW84" s="30" t="n">
        <v>0</v>
      </c>
      <c r="CX84" s="30" t="n">
        <v>0</v>
      </c>
      <c r="CY84" s="30" t="n">
        <v>0</v>
      </c>
      <c r="CZ84" s="30" t="n">
        <v>0</v>
      </c>
      <c r="DA84" s="30" t="n">
        <v>0</v>
      </c>
    </row>
    <row r="85">
      <c r="A85" t="inlineStr">
        <is>
          <t>TPP-649</t>
        </is>
      </c>
      <c r="B85" s="30" t="n">
        <v>0</v>
      </c>
      <c r="C85" s="30" t="n">
        <v>0</v>
      </c>
      <c r="D85" s="30" t="n">
        <v>0</v>
      </c>
      <c r="E85" s="30" t="n">
        <v>0</v>
      </c>
      <c r="F85" s="30" t="n">
        <v>0</v>
      </c>
      <c r="G85" s="30" t="n">
        <v>0</v>
      </c>
      <c r="H85" s="30" t="n">
        <v>0</v>
      </c>
      <c r="I85" s="30" t="n">
        <v>0</v>
      </c>
      <c r="J85" s="30" t="n">
        <v>0</v>
      </c>
      <c r="K85" s="30" t="n">
        <v>0</v>
      </c>
      <c r="L85" s="30" t="n">
        <v>0</v>
      </c>
      <c r="M85" s="30" t="n">
        <v>0</v>
      </c>
      <c r="N85" s="30" t="n">
        <v>0</v>
      </c>
      <c r="O85" s="30" t="n">
        <v>0</v>
      </c>
      <c r="P85" s="30" t="n">
        <v>0</v>
      </c>
      <c r="Q85" s="30" t="n">
        <v>0</v>
      </c>
      <c r="R85" s="30" t="n">
        <v>0</v>
      </c>
      <c r="S85" s="30" t="n">
        <v>0</v>
      </c>
      <c r="T85" s="30" t="n">
        <v>0</v>
      </c>
      <c r="U85" s="30" t="n">
        <v>0</v>
      </c>
      <c r="V85" s="30" t="n">
        <v>0</v>
      </c>
      <c r="W85" s="30" t="n">
        <v>0</v>
      </c>
      <c r="X85" s="30" t="n">
        <v>0</v>
      </c>
      <c r="Y85" s="30" t="n">
        <v>0</v>
      </c>
      <c r="Z85" s="30" t="n">
        <v>0</v>
      </c>
      <c r="AA85" s="30" t="n">
        <v>0</v>
      </c>
      <c r="AB85" s="30" t="n">
        <v>0</v>
      </c>
      <c r="AC85" s="30" t="n">
        <v>0</v>
      </c>
      <c r="AD85" s="30" t="n">
        <v>0</v>
      </c>
      <c r="AE85" s="30" t="n">
        <v>0</v>
      </c>
      <c r="AF85" s="30" t="n">
        <v>0</v>
      </c>
      <c r="AG85" s="30" t="n">
        <v>0</v>
      </c>
      <c r="AH85" s="30" t="n">
        <v>0</v>
      </c>
      <c r="AI85" s="30" t="n">
        <v>0</v>
      </c>
      <c r="AJ85" s="30" t="n">
        <v>0</v>
      </c>
      <c r="AK85" s="30" t="n">
        <v>0</v>
      </c>
      <c r="AL85" s="30" t="n">
        <v>0</v>
      </c>
      <c r="AM85" s="30" t="n">
        <v>0</v>
      </c>
      <c r="AN85" s="30" t="n">
        <v>0</v>
      </c>
      <c r="AO85" s="30" t="n">
        <v>0</v>
      </c>
      <c r="AP85" s="30" t="n">
        <v>0</v>
      </c>
      <c r="AQ85" s="30" t="n">
        <v>0</v>
      </c>
      <c r="AR85" s="30" t="n">
        <v>0</v>
      </c>
      <c r="AS85" s="30" t="n">
        <v>0</v>
      </c>
      <c r="AT85" s="30" t="n">
        <v>0</v>
      </c>
      <c r="AU85" s="30" t="n">
        <v>0</v>
      </c>
      <c r="AV85" s="30" t="n">
        <v>0</v>
      </c>
      <c r="AW85" s="30" t="n">
        <v>0</v>
      </c>
      <c r="AX85" s="30" t="n">
        <v>0</v>
      </c>
      <c r="AY85" s="30" t="n">
        <v>0</v>
      </c>
      <c r="AZ85" s="30" t="n">
        <v>0</v>
      </c>
      <c r="BA85" s="30" t="n">
        <v>0</v>
      </c>
      <c r="BB85" s="30" t="n">
        <v>0</v>
      </c>
      <c r="BC85" s="30" t="n">
        <v>0</v>
      </c>
      <c r="BD85" s="30" t="n">
        <v>0</v>
      </c>
      <c r="BE85" s="30" t="n">
        <v>0</v>
      </c>
      <c r="BF85" s="30" t="n">
        <v>0</v>
      </c>
      <c r="BG85" s="30" t="n">
        <v>0</v>
      </c>
      <c r="BH85" s="30" t="n">
        <v>0</v>
      </c>
      <c r="BI85" s="30" t="n">
        <v>0</v>
      </c>
      <c r="BJ85" s="30" t="n">
        <v>0</v>
      </c>
      <c r="BK85" s="30" t="n">
        <v>0</v>
      </c>
      <c r="BL85" s="30" t="n">
        <v>0</v>
      </c>
      <c r="BM85" s="30" t="n">
        <v>0</v>
      </c>
      <c r="BN85" s="30" t="n">
        <v>0</v>
      </c>
      <c r="BO85" s="30" t="n">
        <v>0</v>
      </c>
      <c r="BP85" s="30" t="n">
        <v>0</v>
      </c>
      <c r="BQ85" s="30" t="n">
        <v>0</v>
      </c>
      <c r="BR85" s="30" t="n">
        <v>0</v>
      </c>
      <c r="BS85" s="30" t="n">
        <v>0</v>
      </c>
      <c r="BT85" s="30" t="n">
        <v>0</v>
      </c>
      <c r="BU85" s="30" t="n">
        <v>0</v>
      </c>
      <c r="BV85" s="30" t="n">
        <v>0</v>
      </c>
      <c r="BW85" s="30" t="n">
        <v>0</v>
      </c>
      <c r="BX85" s="30" t="n">
        <v>0</v>
      </c>
      <c r="BY85" s="30" t="n">
        <v>0</v>
      </c>
      <c r="BZ85" s="30" t="n">
        <v>0</v>
      </c>
      <c r="CA85" s="30" t="n">
        <v>0</v>
      </c>
      <c r="CB85" s="30" t="n">
        <v>0</v>
      </c>
      <c r="CC85" s="30" t="n">
        <v>0</v>
      </c>
      <c r="CD85" s="30" t="n">
        <v>0</v>
      </c>
      <c r="CE85" s="30" t="n">
        <v>0</v>
      </c>
      <c r="CF85" s="30" t="n">
        <v>0</v>
      </c>
      <c r="CG85" s="30" t="n">
        <v>0</v>
      </c>
      <c r="CH85" s="30" t="n">
        <v>0</v>
      </c>
      <c r="CI85" s="30" t="n">
        <v>0</v>
      </c>
      <c r="CJ85" s="30" t="n">
        <v>0</v>
      </c>
      <c r="CK85" s="30" t="n">
        <v>0</v>
      </c>
      <c r="CL85" s="30" t="n">
        <v>0</v>
      </c>
      <c r="CM85" s="30" t="n">
        <v>0</v>
      </c>
      <c r="CN85" s="30" t="n">
        <v>0</v>
      </c>
      <c r="CO85" s="30" t="n">
        <v>0</v>
      </c>
      <c r="CP85" s="30" t="n">
        <v>0</v>
      </c>
      <c r="CQ85" s="30" t="n">
        <v>0</v>
      </c>
      <c r="CR85" s="30" t="n">
        <v>0</v>
      </c>
      <c r="CS85" s="30" t="n">
        <v>0</v>
      </c>
      <c r="CT85" s="30" t="n">
        <v>0</v>
      </c>
      <c r="CU85" s="30" t="n">
        <v>0</v>
      </c>
      <c r="CV85" s="30" t="n">
        <v>0</v>
      </c>
      <c r="CW85" s="30" t="n">
        <v>0</v>
      </c>
      <c r="CX85" s="30" t="n">
        <v>0</v>
      </c>
      <c r="CY85" s="30" t="n">
        <v>0</v>
      </c>
      <c r="CZ85" s="30" t="n">
        <v>0</v>
      </c>
      <c r="DA85" s="30" t="n">
        <v>0</v>
      </c>
    </row>
    <row r="86">
      <c r="A86" t="inlineStr">
        <is>
          <t>TPP-650</t>
        </is>
      </c>
      <c r="B86" s="30" t="n">
        <v>0</v>
      </c>
      <c r="C86" s="30" t="n">
        <v>0</v>
      </c>
      <c r="D86" s="30" t="n">
        <v>0</v>
      </c>
      <c r="E86" s="30" t="n">
        <v>0</v>
      </c>
      <c r="F86" s="30" t="n">
        <v>0</v>
      </c>
      <c r="G86" s="30" t="n">
        <v>0</v>
      </c>
      <c r="H86" s="30" t="n">
        <v>0</v>
      </c>
      <c r="I86" s="30" t="n">
        <v>0</v>
      </c>
      <c r="J86" s="30" t="n">
        <v>0</v>
      </c>
      <c r="K86" s="30" t="n">
        <v>0</v>
      </c>
      <c r="L86" s="30" t="n">
        <v>0</v>
      </c>
      <c r="M86" s="30" t="n">
        <v>0</v>
      </c>
      <c r="N86" s="30" t="n">
        <v>0</v>
      </c>
      <c r="O86" s="30" t="n">
        <v>0</v>
      </c>
      <c r="P86" s="30" t="n">
        <v>0</v>
      </c>
      <c r="Q86" s="30" t="n">
        <v>0</v>
      </c>
      <c r="R86" s="30" t="n">
        <v>0</v>
      </c>
      <c r="S86" s="30" t="n">
        <v>0</v>
      </c>
      <c r="T86" s="30" t="n">
        <v>0</v>
      </c>
      <c r="U86" s="30" t="n">
        <v>0</v>
      </c>
      <c r="V86" s="30" t="n">
        <v>0</v>
      </c>
      <c r="W86" s="30" t="n">
        <v>0</v>
      </c>
      <c r="X86" s="30" t="n">
        <v>0</v>
      </c>
      <c r="Y86" s="30" t="n">
        <v>2</v>
      </c>
      <c r="Z86" s="30" t="n">
        <v>0</v>
      </c>
      <c r="AA86" s="30" t="n">
        <v>4</v>
      </c>
      <c r="AB86" s="30" t="n">
        <v>4</v>
      </c>
      <c r="AC86" s="30" t="n">
        <v>4</v>
      </c>
      <c r="AD86" s="30" t="n">
        <v>2</v>
      </c>
      <c r="AE86" s="30" t="n">
        <v>4</v>
      </c>
      <c r="AF86" s="30" t="n">
        <v>0</v>
      </c>
      <c r="AG86" s="30" t="n">
        <v>4</v>
      </c>
      <c r="AH86" s="30" t="n">
        <v>0</v>
      </c>
      <c r="AI86" s="30" t="n">
        <v>0</v>
      </c>
      <c r="AJ86" s="30" t="n">
        <v>4</v>
      </c>
      <c r="AK86" s="30" t="n">
        <v>2</v>
      </c>
      <c r="AL86" s="30" t="n">
        <v>2</v>
      </c>
      <c r="AM86" s="30" t="n">
        <v>2</v>
      </c>
      <c r="AN86" s="30" t="n">
        <v>0</v>
      </c>
      <c r="AO86" s="30" t="n">
        <v>0</v>
      </c>
      <c r="AP86" s="30" t="n">
        <v>0</v>
      </c>
      <c r="AQ86" s="30" t="n">
        <v>2</v>
      </c>
      <c r="AR86" s="30" t="n">
        <v>4</v>
      </c>
      <c r="AS86" s="30" t="n">
        <v>2</v>
      </c>
      <c r="AT86" s="30" t="n">
        <v>2</v>
      </c>
      <c r="AU86" s="30" t="n">
        <v>2</v>
      </c>
      <c r="AV86" s="30" t="n">
        <v>2</v>
      </c>
      <c r="AW86" s="30" t="n">
        <v>4</v>
      </c>
      <c r="AX86" s="30" t="n">
        <v>0</v>
      </c>
      <c r="AY86" s="30" t="n">
        <v>0</v>
      </c>
      <c r="AZ86" s="30" t="n">
        <v>0</v>
      </c>
      <c r="BA86" s="30" t="n">
        <v>0</v>
      </c>
      <c r="BB86" s="30" t="n">
        <v>0</v>
      </c>
      <c r="BC86" s="30" t="n">
        <v>4</v>
      </c>
      <c r="BD86" s="30" t="n">
        <v>2</v>
      </c>
      <c r="BE86" s="30" t="n">
        <v>0</v>
      </c>
      <c r="BF86" s="30" t="n">
        <v>4</v>
      </c>
      <c r="BG86" s="30" t="n">
        <v>0</v>
      </c>
      <c r="BH86" s="30" t="n">
        <v>0</v>
      </c>
      <c r="BI86" s="30" t="n">
        <v>2</v>
      </c>
      <c r="BJ86" s="30" t="n">
        <v>0</v>
      </c>
      <c r="BK86" s="30" t="n">
        <v>0</v>
      </c>
      <c r="BL86" s="30" t="n">
        <v>2</v>
      </c>
      <c r="BM86" s="30" t="n">
        <v>0</v>
      </c>
      <c r="BN86" s="30" t="n">
        <v>0</v>
      </c>
      <c r="BO86" s="30" t="n">
        <v>0</v>
      </c>
      <c r="BP86" s="30" t="n">
        <v>0</v>
      </c>
      <c r="BQ86" s="30" t="n">
        <v>0</v>
      </c>
      <c r="BR86" s="30" t="n">
        <v>0</v>
      </c>
      <c r="BS86" s="30" t="n">
        <v>0</v>
      </c>
      <c r="BT86" s="30" t="n">
        <v>0</v>
      </c>
      <c r="BU86" s="30" t="n">
        <v>0</v>
      </c>
      <c r="BV86" s="30" t="n">
        <v>0</v>
      </c>
      <c r="BW86" s="30" t="n">
        <v>0</v>
      </c>
      <c r="BX86" s="30" t="n">
        <v>0</v>
      </c>
      <c r="BY86" s="30" t="n">
        <v>0</v>
      </c>
      <c r="BZ86" s="30" t="n">
        <v>0</v>
      </c>
      <c r="CA86" s="30" t="n">
        <v>0</v>
      </c>
      <c r="CB86" s="30" t="n">
        <v>0</v>
      </c>
      <c r="CC86" s="30" t="n">
        <v>0</v>
      </c>
      <c r="CD86" s="30" t="n">
        <v>0</v>
      </c>
      <c r="CE86" s="30" t="n">
        <v>0</v>
      </c>
      <c r="CF86" s="30" t="n">
        <v>0</v>
      </c>
      <c r="CG86" s="30" t="n">
        <v>0</v>
      </c>
      <c r="CH86" s="30" t="n">
        <v>0</v>
      </c>
      <c r="CI86" s="30" t="n">
        <v>0</v>
      </c>
      <c r="CJ86" s="30" t="n">
        <v>0</v>
      </c>
      <c r="CK86" s="30" t="n">
        <v>0</v>
      </c>
      <c r="CL86" s="30" t="n">
        <v>0</v>
      </c>
      <c r="CM86" s="30" t="n">
        <v>0</v>
      </c>
      <c r="CN86" s="30" t="n">
        <v>0</v>
      </c>
      <c r="CO86" s="30" t="n">
        <v>0</v>
      </c>
      <c r="CP86" s="30" t="n">
        <v>0</v>
      </c>
      <c r="CQ86" s="30" t="n">
        <v>0</v>
      </c>
      <c r="CR86" s="30" t="n">
        <v>0</v>
      </c>
      <c r="CS86" s="30" t="n">
        <v>0</v>
      </c>
      <c r="CT86" s="30" t="n">
        <v>0</v>
      </c>
      <c r="CU86" s="30" t="n">
        <v>0</v>
      </c>
      <c r="CV86" s="30" t="n">
        <v>0</v>
      </c>
      <c r="CW86" s="30" t="n">
        <v>0</v>
      </c>
      <c r="CX86" s="30" t="n">
        <v>0</v>
      </c>
      <c r="CY86" s="30" t="n">
        <v>0</v>
      </c>
      <c r="CZ86" s="30" t="n">
        <v>0</v>
      </c>
      <c r="DA86" s="30" t="n">
        <v>0</v>
      </c>
    </row>
    <row r="87">
      <c r="A87" t="inlineStr">
        <is>
          <t>TPP-699</t>
        </is>
      </c>
      <c r="B87" s="30" t="n">
        <v>0</v>
      </c>
      <c r="C87" s="30" t="n">
        <v>0</v>
      </c>
      <c r="D87" s="30" t="n">
        <v>0</v>
      </c>
      <c r="E87" s="30" t="n">
        <v>0</v>
      </c>
      <c r="F87" s="30" t="n">
        <v>0</v>
      </c>
      <c r="G87" s="30" t="n">
        <v>0</v>
      </c>
      <c r="H87" s="30" t="n">
        <v>0</v>
      </c>
      <c r="I87" s="30" t="n">
        <v>0</v>
      </c>
      <c r="J87" s="30" t="n">
        <v>0</v>
      </c>
      <c r="K87" s="30" t="n">
        <v>0</v>
      </c>
      <c r="L87" s="30" t="n">
        <v>0</v>
      </c>
      <c r="M87" s="30" t="n">
        <v>0</v>
      </c>
      <c r="N87" s="30" t="n">
        <v>0</v>
      </c>
      <c r="O87" s="30" t="n">
        <v>0</v>
      </c>
      <c r="P87" s="30" t="n">
        <v>0</v>
      </c>
      <c r="Q87" s="30" t="n">
        <v>0</v>
      </c>
      <c r="R87" s="30" t="n">
        <v>0</v>
      </c>
      <c r="S87" s="30" t="n">
        <v>0</v>
      </c>
      <c r="T87" s="30" t="n">
        <v>0</v>
      </c>
      <c r="U87" s="30" t="n">
        <v>0</v>
      </c>
      <c r="V87" s="30" t="n">
        <v>0</v>
      </c>
      <c r="W87" s="30" t="n">
        <v>0</v>
      </c>
      <c r="X87" s="30" t="n">
        <v>0</v>
      </c>
      <c r="Y87" s="30" t="n">
        <v>0</v>
      </c>
      <c r="Z87" s="30" t="n">
        <v>0</v>
      </c>
      <c r="AA87" s="30" t="n">
        <v>0</v>
      </c>
      <c r="AB87" s="30" t="n">
        <v>0</v>
      </c>
      <c r="AC87" s="30" t="n">
        <v>0</v>
      </c>
      <c r="AD87" s="30" t="n">
        <v>0</v>
      </c>
      <c r="AE87" s="30" t="n">
        <v>0</v>
      </c>
      <c r="AF87" s="30" t="n">
        <v>0</v>
      </c>
      <c r="AG87" s="30" t="n">
        <v>0</v>
      </c>
      <c r="AH87" s="30" t="n">
        <v>0</v>
      </c>
      <c r="AI87" s="30" t="n">
        <v>0</v>
      </c>
      <c r="AJ87" s="30" t="n">
        <v>0</v>
      </c>
      <c r="AK87" s="30" t="n">
        <v>0</v>
      </c>
      <c r="AL87" s="30" t="n">
        <v>0</v>
      </c>
      <c r="AM87" s="30" t="n">
        <v>0</v>
      </c>
      <c r="AN87" s="30" t="n">
        <v>0</v>
      </c>
      <c r="AO87" s="30" t="n">
        <v>0</v>
      </c>
      <c r="AP87" s="30" t="n">
        <v>0</v>
      </c>
      <c r="AQ87" s="30" t="n">
        <v>0</v>
      </c>
      <c r="AR87" s="30" t="n">
        <v>0</v>
      </c>
      <c r="AS87" s="30" t="n">
        <v>0</v>
      </c>
      <c r="AT87" s="30" t="n">
        <v>0</v>
      </c>
      <c r="AU87" s="30" t="n">
        <v>0</v>
      </c>
      <c r="AV87" s="30" t="n">
        <v>0</v>
      </c>
      <c r="AW87" s="30" t="n">
        <v>0</v>
      </c>
      <c r="AX87" s="30" t="n">
        <v>0</v>
      </c>
      <c r="AY87" s="30" t="n">
        <v>0</v>
      </c>
      <c r="AZ87" s="30" t="n">
        <v>0</v>
      </c>
      <c r="BA87" s="30" t="n">
        <v>0</v>
      </c>
      <c r="BB87" s="30" t="n">
        <v>0</v>
      </c>
      <c r="BC87" s="30" t="n">
        <v>0</v>
      </c>
      <c r="BD87" s="30" t="n">
        <v>0</v>
      </c>
      <c r="BE87" s="30" t="n">
        <v>0</v>
      </c>
      <c r="BF87" s="30" t="n">
        <v>0</v>
      </c>
      <c r="BG87" s="30" t="n">
        <v>0</v>
      </c>
      <c r="BH87" s="30" t="n">
        <v>0</v>
      </c>
      <c r="BI87" s="30" t="n">
        <v>0</v>
      </c>
      <c r="BJ87" s="30" t="n">
        <v>0</v>
      </c>
      <c r="BK87" s="30" t="n">
        <v>0</v>
      </c>
      <c r="BL87" s="30" t="n">
        <v>0</v>
      </c>
      <c r="BM87" s="30" t="n">
        <v>0</v>
      </c>
      <c r="BN87" s="30" t="n">
        <v>0</v>
      </c>
      <c r="BO87" s="30" t="n">
        <v>0</v>
      </c>
      <c r="BP87" s="30" t="n">
        <v>0</v>
      </c>
      <c r="BQ87" s="30" t="n">
        <v>0</v>
      </c>
      <c r="BR87" s="30" t="n">
        <v>0</v>
      </c>
      <c r="BS87" s="30" t="n">
        <v>0</v>
      </c>
      <c r="BT87" s="30" t="n">
        <v>0</v>
      </c>
      <c r="BU87" s="30" t="n">
        <v>0</v>
      </c>
      <c r="BV87" s="30" t="n">
        <v>0</v>
      </c>
      <c r="BW87" s="30" t="n">
        <v>0</v>
      </c>
      <c r="BX87" s="30" t="n">
        <v>0</v>
      </c>
      <c r="BY87" s="30" t="n">
        <v>0</v>
      </c>
      <c r="BZ87" s="30" t="n">
        <v>0</v>
      </c>
      <c r="CA87" s="30" t="n">
        <v>0</v>
      </c>
      <c r="CB87" s="30" t="n">
        <v>0</v>
      </c>
      <c r="CC87" s="30" t="n">
        <v>0</v>
      </c>
      <c r="CD87" s="30" t="n">
        <v>0</v>
      </c>
      <c r="CE87" s="30" t="n">
        <v>0</v>
      </c>
      <c r="CF87" s="30" t="n">
        <v>0</v>
      </c>
      <c r="CG87" s="30" t="n">
        <v>0</v>
      </c>
      <c r="CH87" s="30" t="n">
        <v>0</v>
      </c>
      <c r="CI87" s="30" t="n">
        <v>0</v>
      </c>
      <c r="CJ87" s="30" t="n">
        <v>0</v>
      </c>
      <c r="CK87" s="30" t="n">
        <v>0</v>
      </c>
      <c r="CL87" s="30" t="n">
        <v>0</v>
      </c>
      <c r="CM87" s="30" t="n">
        <v>0</v>
      </c>
      <c r="CN87" s="30" t="n">
        <v>0</v>
      </c>
      <c r="CO87" s="30" t="n">
        <v>0</v>
      </c>
      <c r="CP87" s="30" t="n">
        <v>0</v>
      </c>
      <c r="CQ87" s="30" t="n">
        <v>0</v>
      </c>
      <c r="CR87" s="30" t="n">
        <v>0</v>
      </c>
      <c r="CS87" s="30" t="n">
        <v>0</v>
      </c>
      <c r="CT87" s="30" t="n">
        <v>0</v>
      </c>
      <c r="CU87" s="30" t="n">
        <v>0</v>
      </c>
      <c r="CV87" s="30" t="n">
        <v>0</v>
      </c>
      <c r="CW87" s="30" t="n">
        <v>0</v>
      </c>
      <c r="CX87" s="30" t="n">
        <v>0</v>
      </c>
      <c r="CY87" s="30" t="n">
        <v>0</v>
      </c>
      <c r="CZ87" s="30" t="n">
        <v>0</v>
      </c>
      <c r="DA87" s="30" t="n">
        <v>0</v>
      </c>
    </row>
    <row r="88">
      <c r="A88" t="inlineStr">
        <is>
          <t>TPP-700</t>
        </is>
      </c>
      <c r="B88" s="30" t="n">
        <v>0</v>
      </c>
      <c r="C88" s="30" t="n">
        <v>0</v>
      </c>
      <c r="D88" s="30" t="n">
        <v>0</v>
      </c>
      <c r="E88" s="30" t="n">
        <v>0</v>
      </c>
      <c r="F88" s="30" t="n">
        <v>0</v>
      </c>
      <c r="G88" s="30" t="n">
        <v>0</v>
      </c>
      <c r="H88" s="30" t="n">
        <v>0</v>
      </c>
      <c r="I88" s="30" t="n">
        <v>0</v>
      </c>
      <c r="J88" s="30" t="n">
        <v>0</v>
      </c>
      <c r="K88" s="30" t="n">
        <v>0</v>
      </c>
      <c r="L88" s="30" t="n">
        <v>0</v>
      </c>
      <c r="M88" s="30" t="n">
        <v>0</v>
      </c>
      <c r="N88" s="30" t="n">
        <v>0</v>
      </c>
      <c r="O88" s="30" t="n">
        <v>0</v>
      </c>
      <c r="P88" s="30" t="n">
        <v>0</v>
      </c>
      <c r="Q88" s="30" t="n">
        <v>0</v>
      </c>
      <c r="R88" s="30" t="n">
        <v>0</v>
      </c>
      <c r="S88" s="30" t="n">
        <v>0</v>
      </c>
      <c r="T88" s="30" t="n">
        <v>0</v>
      </c>
      <c r="U88" s="30" t="n">
        <v>0</v>
      </c>
      <c r="V88" s="30" t="n">
        <v>0</v>
      </c>
      <c r="W88" s="30" t="n">
        <v>0</v>
      </c>
      <c r="X88" s="30" t="n">
        <v>0</v>
      </c>
      <c r="Y88" s="30" t="n">
        <v>0</v>
      </c>
      <c r="Z88" s="30" t="n">
        <v>0</v>
      </c>
      <c r="AA88" s="30" t="n">
        <v>0</v>
      </c>
      <c r="AB88" s="30" t="n">
        <v>0</v>
      </c>
      <c r="AC88" s="30" t="n">
        <v>0</v>
      </c>
      <c r="AD88" s="30" t="n">
        <v>0</v>
      </c>
      <c r="AE88" s="30" t="n">
        <v>0</v>
      </c>
      <c r="AF88" s="30" t="n">
        <v>0</v>
      </c>
      <c r="AG88" s="30" t="n">
        <v>0</v>
      </c>
      <c r="AH88" s="30" t="n">
        <v>0</v>
      </c>
      <c r="AI88" s="30" t="n">
        <v>0</v>
      </c>
      <c r="AJ88" s="30" t="n">
        <v>0</v>
      </c>
      <c r="AK88" s="30" t="n">
        <v>0</v>
      </c>
      <c r="AL88" s="30" t="n">
        <v>0</v>
      </c>
      <c r="AM88" s="30" t="n">
        <v>0</v>
      </c>
      <c r="AN88" s="30" t="n">
        <v>0</v>
      </c>
      <c r="AO88" s="30" t="n">
        <v>0</v>
      </c>
      <c r="AP88" s="30" t="n">
        <v>0</v>
      </c>
      <c r="AQ88" s="30" t="n">
        <v>0</v>
      </c>
      <c r="AR88" s="30" t="n">
        <v>0</v>
      </c>
      <c r="AS88" s="30" t="n">
        <v>0</v>
      </c>
      <c r="AT88" s="30" t="n">
        <v>0</v>
      </c>
      <c r="AU88" s="30" t="n">
        <v>0</v>
      </c>
      <c r="AV88" s="30" t="n">
        <v>0</v>
      </c>
      <c r="AW88" s="30" t="n">
        <v>0</v>
      </c>
      <c r="AX88" s="30" t="n">
        <v>0</v>
      </c>
      <c r="AY88" s="30" t="n">
        <v>0</v>
      </c>
      <c r="AZ88" s="30" t="n">
        <v>0</v>
      </c>
      <c r="BA88" s="30" t="n">
        <v>0</v>
      </c>
      <c r="BB88" s="30" t="n">
        <v>0</v>
      </c>
      <c r="BC88" s="30" t="n">
        <v>0</v>
      </c>
      <c r="BD88" s="30" t="n">
        <v>0</v>
      </c>
      <c r="BE88" s="30" t="n">
        <v>0</v>
      </c>
      <c r="BF88" s="30" t="n">
        <v>0</v>
      </c>
      <c r="BG88" s="30" t="n">
        <v>0</v>
      </c>
      <c r="BH88" s="30" t="n">
        <v>0</v>
      </c>
      <c r="BI88" s="30" t="n">
        <v>0</v>
      </c>
      <c r="BJ88" s="30" t="n">
        <v>0</v>
      </c>
      <c r="BK88" s="30" t="n">
        <v>0</v>
      </c>
      <c r="BL88" s="30" t="n">
        <v>0</v>
      </c>
      <c r="BM88" s="30" t="n">
        <v>0</v>
      </c>
      <c r="BN88" s="30" t="n">
        <v>0</v>
      </c>
      <c r="BO88" s="30" t="n">
        <v>0</v>
      </c>
      <c r="BP88" s="30" t="n">
        <v>0</v>
      </c>
      <c r="BQ88" s="30" t="n">
        <v>0</v>
      </c>
      <c r="BR88" s="30" t="n">
        <v>0</v>
      </c>
      <c r="BS88" s="30" t="n">
        <v>0</v>
      </c>
      <c r="BT88" s="30" t="n">
        <v>0</v>
      </c>
      <c r="BU88" s="30" t="n">
        <v>0</v>
      </c>
      <c r="BV88" s="30" t="n">
        <v>0</v>
      </c>
      <c r="BW88" s="30" t="n">
        <v>0</v>
      </c>
      <c r="BX88" s="30" t="n">
        <v>0</v>
      </c>
      <c r="BY88" s="30" t="n">
        <v>0</v>
      </c>
      <c r="BZ88" s="30" t="n">
        <v>0</v>
      </c>
      <c r="CA88" s="30" t="n">
        <v>0</v>
      </c>
      <c r="CB88" s="30" t="n">
        <v>0</v>
      </c>
      <c r="CC88" s="30" t="n">
        <v>0</v>
      </c>
      <c r="CD88" s="30" t="n">
        <v>0</v>
      </c>
      <c r="CE88" s="30" t="n">
        <v>0</v>
      </c>
      <c r="CF88" s="30" t="n">
        <v>0</v>
      </c>
      <c r="CG88" s="30" t="n">
        <v>0</v>
      </c>
      <c r="CH88" s="30" t="n">
        <v>0</v>
      </c>
      <c r="CI88" s="30" t="n">
        <v>0</v>
      </c>
      <c r="CJ88" s="30" t="n">
        <v>0</v>
      </c>
      <c r="CK88" s="30" t="n">
        <v>0</v>
      </c>
      <c r="CL88" s="30" t="n">
        <v>0</v>
      </c>
      <c r="CM88" s="30" t="n">
        <v>0</v>
      </c>
      <c r="CN88" s="30" t="n">
        <v>0</v>
      </c>
      <c r="CO88" s="30" t="n">
        <v>0</v>
      </c>
      <c r="CP88" s="30" t="n">
        <v>0</v>
      </c>
      <c r="CQ88" s="30" t="n">
        <v>0</v>
      </c>
      <c r="CR88" s="30" t="n">
        <v>0</v>
      </c>
      <c r="CS88" s="30" t="n">
        <v>0</v>
      </c>
      <c r="CT88" s="30" t="n">
        <v>0</v>
      </c>
      <c r="CU88" s="30" t="n">
        <v>0</v>
      </c>
      <c r="CV88" s="30" t="n">
        <v>0</v>
      </c>
      <c r="CW88" s="30" t="n">
        <v>0</v>
      </c>
      <c r="CX88" s="30" t="n">
        <v>0</v>
      </c>
      <c r="CY88" s="30" t="n">
        <v>0</v>
      </c>
      <c r="CZ88" s="30" t="n">
        <v>0</v>
      </c>
      <c r="DA88" s="30" t="n">
        <v>0</v>
      </c>
    </row>
    <row r="89">
      <c r="A89" t="inlineStr">
        <is>
          <t>TPP-701</t>
        </is>
      </c>
      <c r="B89" s="30" t="n">
        <v>0</v>
      </c>
      <c r="C89" s="30" t="n">
        <v>0</v>
      </c>
      <c r="D89" s="30" t="n">
        <v>0</v>
      </c>
      <c r="E89" s="30" t="n">
        <v>0</v>
      </c>
      <c r="F89" s="30" t="n">
        <v>0</v>
      </c>
      <c r="G89" s="30" t="n">
        <v>0</v>
      </c>
      <c r="H89" s="30" t="n">
        <v>0</v>
      </c>
      <c r="I89" s="30" t="n">
        <v>0</v>
      </c>
      <c r="J89" s="30" t="n">
        <v>0</v>
      </c>
      <c r="K89" s="30" t="n">
        <v>0</v>
      </c>
      <c r="L89" s="30" t="n">
        <v>0</v>
      </c>
      <c r="M89" s="30" t="n">
        <v>0</v>
      </c>
      <c r="N89" s="30" t="n">
        <v>0</v>
      </c>
      <c r="O89" s="30" t="n">
        <v>0</v>
      </c>
      <c r="P89" s="30" t="n">
        <v>0</v>
      </c>
      <c r="Q89" s="30" t="n">
        <v>0</v>
      </c>
      <c r="R89" s="30" t="n">
        <v>0</v>
      </c>
      <c r="S89" s="30" t="n">
        <v>0</v>
      </c>
      <c r="T89" s="30" t="n">
        <v>0</v>
      </c>
      <c r="U89" s="30" t="n">
        <v>0</v>
      </c>
      <c r="V89" s="30" t="n">
        <v>0</v>
      </c>
      <c r="W89" s="30" t="n">
        <v>0</v>
      </c>
      <c r="X89" s="30" t="n">
        <v>0</v>
      </c>
      <c r="Y89" s="30" t="n">
        <v>0</v>
      </c>
      <c r="Z89" s="30" t="n">
        <v>0</v>
      </c>
      <c r="AA89" s="30" t="n">
        <v>0</v>
      </c>
      <c r="AB89" s="30" t="n">
        <v>0</v>
      </c>
      <c r="AC89" s="30" t="n">
        <v>0</v>
      </c>
      <c r="AD89" s="30" t="n">
        <v>0</v>
      </c>
      <c r="AE89" s="30" t="n">
        <v>0</v>
      </c>
      <c r="AF89" s="30" t="n">
        <v>0</v>
      </c>
      <c r="AG89" s="30" t="n">
        <v>0</v>
      </c>
      <c r="AH89" s="30" t="n">
        <v>0</v>
      </c>
      <c r="AI89" s="30" t="n">
        <v>0</v>
      </c>
      <c r="AJ89" s="30" t="n">
        <v>0</v>
      </c>
      <c r="AK89" s="30" t="n">
        <v>0</v>
      </c>
      <c r="AL89" s="30" t="n">
        <v>0</v>
      </c>
      <c r="AM89" s="30" t="n">
        <v>0</v>
      </c>
      <c r="AN89" s="30" t="n">
        <v>0</v>
      </c>
      <c r="AO89" s="30" t="n">
        <v>0</v>
      </c>
      <c r="AP89" s="30" t="n">
        <v>0</v>
      </c>
      <c r="AQ89" s="30" t="n">
        <v>0</v>
      </c>
      <c r="AR89" s="30" t="n">
        <v>0</v>
      </c>
      <c r="AS89" s="30" t="n">
        <v>0</v>
      </c>
      <c r="AT89" s="30" t="n">
        <v>0</v>
      </c>
      <c r="AU89" s="30" t="n">
        <v>0</v>
      </c>
      <c r="AV89" s="30" t="n">
        <v>0</v>
      </c>
      <c r="AW89" s="30" t="n">
        <v>0</v>
      </c>
      <c r="AX89" s="30" t="n">
        <v>0</v>
      </c>
      <c r="AY89" s="30" t="n">
        <v>0</v>
      </c>
      <c r="AZ89" s="30" t="n">
        <v>0</v>
      </c>
      <c r="BA89" s="30" t="n">
        <v>0</v>
      </c>
      <c r="BB89" s="30" t="n">
        <v>0</v>
      </c>
      <c r="BC89" s="30" t="n">
        <v>0</v>
      </c>
      <c r="BD89" s="30" t="n">
        <v>0</v>
      </c>
      <c r="BE89" s="30" t="n">
        <v>0</v>
      </c>
      <c r="BF89" s="30" t="n">
        <v>0</v>
      </c>
      <c r="BG89" s="30" t="n">
        <v>0</v>
      </c>
      <c r="BH89" s="30" t="n">
        <v>0</v>
      </c>
      <c r="BI89" s="30" t="n">
        <v>0</v>
      </c>
      <c r="BJ89" s="30" t="n">
        <v>0</v>
      </c>
      <c r="BK89" s="30" t="n">
        <v>0</v>
      </c>
      <c r="BL89" s="30" t="n">
        <v>0</v>
      </c>
      <c r="BM89" s="30" t="n">
        <v>0</v>
      </c>
      <c r="BN89" s="30" t="n">
        <v>0</v>
      </c>
      <c r="BO89" s="30" t="n">
        <v>0</v>
      </c>
      <c r="BP89" s="30" t="n">
        <v>0</v>
      </c>
      <c r="BQ89" s="30" t="n">
        <v>0</v>
      </c>
      <c r="BR89" s="30" t="n">
        <v>0</v>
      </c>
      <c r="BS89" s="30" t="n">
        <v>0</v>
      </c>
      <c r="BT89" s="30" t="n">
        <v>0</v>
      </c>
      <c r="BU89" s="30" t="n">
        <v>0</v>
      </c>
      <c r="BV89" s="30" t="n">
        <v>0</v>
      </c>
      <c r="BW89" s="30" t="n">
        <v>0</v>
      </c>
      <c r="BX89" s="30" t="n">
        <v>0</v>
      </c>
      <c r="BY89" s="30" t="n">
        <v>0</v>
      </c>
      <c r="BZ89" s="30" t="n">
        <v>0</v>
      </c>
      <c r="CA89" s="30" t="n">
        <v>0</v>
      </c>
      <c r="CB89" s="30" t="n">
        <v>0</v>
      </c>
      <c r="CC89" s="30" t="n">
        <v>0</v>
      </c>
      <c r="CD89" s="30" t="n">
        <v>0</v>
      </c>
      <c r="CE89" s="30" t="n">
        <v>0</v>
      </c>
      <c r="CF89" s="30" t="n">
        <v>0</v>
      </c>
      <c r="CG89" s="30" t="n">
        <v>0</v>
      </c>
      <c r="CH89" s="30" t="n">
        <v>0</v>
      </c>
      <c r="CI89" s="30" t="n">
        <v>0</v>
      </c>
      <c r="CJ89" s="30" t="n">
        <v>0</v>
      </c>
      <c r="CK89" s="30" t="n">
        <v>0</v>
      </c>
      <c r="CL89" s="30" t="n">
        <v>0</v>
      </c>
      <c r="CM89" s="30" t="n">
        <v>0</v>
      </c>
      <c r="CN89" s="30" t="n">
        <v>0</v>
      </c>
      <c r="CO89" s="30" t="n">
        <v>0</v>
      </c>
      <c r="CP89" s="30" t="n">
        <v>0</v>
      </c>
      <c r="CQ89" s="30" t="n">
        <v>0</v>
      </c>
      <c r="CR89" s="30" t="n">
        <v>0</v>
      </c>
      <c r="CS89" s="30" t="n">
        <v>0</v>
      </c>
      <c r="CT89" s="30" t="n">
        <v>0</v>
      </c>
      <c r="CU89" s="30" t="n">
        <v>0</v>
      </c>
      <c r="CV89" s="30" t="n">
        <v>0</v>
      </c>
      <c r="CW89" s="30" t="n">
        <v>0</v>
      </c>
      <c r="CX89" s="30" t="n">
        <v>0</v>
      </c>
      <c r="CY89" s="30" t="n">
        <v>0</v>
      </c>
      <c r="CZ89" s="30" t="n">
        <v>0</v>
      </c>
      <c r="DA89" s="30" t="n">
        <v>0</v>
      </c>
    </row>
    <row r="90">
      <c r="A90" t="inlineStr">
        <is>
          <t>TPP-704</t>
        </is>
      </c>
      <c r="B90" s="30" t="n">
        <v>0</v>
      </c>
      <c r="C90" s="30" t="n">
        <v>0</v>
      </c>
      <c r="D90" s="30" t="n">
        <v>0</v>
      </c>
      <c r="E90" s="30" t="n">
        <v>0</v>
      </c>
      <c r="F90" s="30" t="n">
        <v>0</v>
      </c>
      <c r="G90" s="30" t="n">
        <v>0</v>
      </c>
      <c r="H90" s="30" t="n">
        <v>0</v>
      </c>
      <c r="I90" s="30" t="n">
        <v>0</v>
      </c>
      <c r="J90" s="30" t="n">
        <v>0</v>
      </c>
      <c r="K90" s="30" t="n">
        <v>0</v>
      </c>
      <c r="L90" s="30" t="n">
        <v>0</v>
      </c>
      <c r="M90" s="30" t="n">
        <v>0</v>
      </c>
      <c r="N90" s="30" t="n">
        <v>0</v>
      </c>
      <c r="O90" s="30" t="n">
        <v>0</v>
      </c>
      <c r="P90" s="30" t="n">
        <v>0</v>
      </c>
      <c r="Q90" s="30" t="n">
        <v>0</v>
      </c>
      <c r="R90" s="30" t="n">
        <v>0</v>
      </c>
      <c r="S90" s="30" t="n">
        <v>0</v>
      </c>
      <c r="T90" s="30" t="n">
        <v>0</v>
      </c>
      <c r="U90" s="30" t="n">
        <v>0</v>
      </c>
      <c r="V90" s="30" t="n">
        <v>0</v>
      </c>
      <c r="W90" s="30" t="n">
        <v>0</v>
      </c>
      <c r="X90" s="30" t="n">
        <v>0</v>
      </c>
      <c r="Y90" s="30" t="n">
        <v>0</v>
      </c>
      <c r="Z90" s="30" t="n">
        <v>0</v>
      </c>
      <c r="AA90" s="30" t="n">
        <v>0</v>
      </c>
      <c r="AB90" s="30" t="n">
        <v>0</v>
      </c>
      <c r="AC90" s="30" t="n">
        <v>0</v>
      </c>
      <c r="AD90" s="30" t="n">
        <v>0</v>
      </c>
      <c r="AE90" s="30" t="n">
        <v>0</v>
      </c>
      <c r="AF90" s="30" t="n">
        <v>0</v>
      </c>
      <c r="AG90" s="30" t="n">
        <v>0</v>
      </c>
      <c r="AH90" s="30" t="n">
        <v>0</v>
      </c>
      <c r="AI90" s="30" t="n">
        <v>0</v>
      </c>
      <c r="AJ90" s="30" t="n">
        <v>0</v>
      </c>
      <c r="AK90" s="30" t="n">
        <v>0</v>
      </c>
      <c r="AL90" s="30" t="n">
        <v>0</v>
      </c>
      <c r="AM90" s="30" t="n">
        <v>0</v>
      </c>
      <c r="AN90" s="30" t="n">
        <v>0</v>
      </c>
      <c r="AO90" s="30" t="n">
        <v>0</v>
      </c>
      <c r="AP90" s="30" t="n">
        <v>0</v>
      </c>
      <c r="AQ90" s="30" t="n">
        <v>0</v>
      </c>
      <c r="AR90" s="30" t="n">
        <v>0</v>
      </c>
      <c r="AS90" s="30" t="n">
        <v>0</v>
      </c>
      <c r="AT90" s="30" t="n">
        <v>0</v>
      </c>
      <c r="AU90" s="30" t="n">
        <v>0</v>
      </c>
      <c r="AV90" s="30" t="n">
        <v>0</v>
      </c>
      <c r="AW90" s="30" t="n">
        <v>0</v>
      </c>
      <c r="AX90" s="30" t="n">
        <v>0</v>
      </c>
      <c r="AY90" s="30" t="n">
        <v>0</v>
      </c>
      <c r="AZ90" s="30" t="n">
        <v>0</v>
      </c>
      <c r="BA90" s="30" t="n">
        <v>0</v>
      </c>
      <c r="BB90" s="30" t="n">
        <v>0</v>
      </c>
      <c r="BC90" s="30" t="n">
        <v>0</v>
      </c>
      <c r="BD90" s="30" t="n">
        <v>0</v>
      </c>
      <c r="BE90" s="30" t="n">
        <v>0</v>
      </c>
      <c r="BF90" s="30" t="n">
        <v>0</v>
      </c>
      <c r="BG90" s="30" t="n">
        <v>0</v>
      </c>
      <c r="BH90" s="30" t="n">
        <v>0</v>
      </c>
      <c r="BI90" s="30" t="n">
        <v>0</v>
      </c>
      <c r="BJ90" s="30" t="n">
        <v>0</v>
      </c>
      <c r="BK90" s="30" t="n">
        <v>0</v>
      </c>
      <c r="BL90" s="30" t="n">
        <v>0</v>
      </c>
      <c r="BM90" s="30" t="n">
        <v>0</v>
      </c>
      <c r="BN90" s="30" t="n">
        <v>0</v>
      </c>
      <c r="BO90" s="30" t="n">
        <v>0</v>
      </c>
      <c r="BP90" s="30" t="n">
        <v>0</v>
      </c>
      <c r="BQ90" s="30" t="n">
        <v>0</v>
      </c>
      <c r="BR90" s="30" t="n">
        <v>0</v>
      </c>
      <c r="BS90" s="30" t="n">
        <v>0</v>
      </c>
      <c r="BT90" s="30" t="n">
        <v>0</v>
      </c>
      <c r="BU90" s="30" t="n">
        <v>0</v>
      </c>
      <c r="BV90" s="30" t="n">
        <v>0</v>
      </c>
      <c r="BW90" s="30" t="n">
        <v>0</v>
      </c>
      <c r="BX90" s="30" t="n">
        <v>0</v>
      </c>
      <c r="BY90" s="30" t="n">
        <v>0</v>
      </c>
      <c r="BZ90" s="30" t="n">
        <v>0</v>
      </c>
      <c r="CA90" s="30" t="n">
        <v>0</v>
      </c>
      <c r="CB90" s="30" t="n">
        <v>0</v>
      </c>
      <c r="CC90" s="30" t="n">
        <v>0</v>
      </c>
      <c r="CD90" s="30" t="n">
        <v>0</v>
      </c>
      <c r="CE90" s="30" t="n">
        <v>0</v>
      </c>
      <c r="CF90" s="30" t="n">
        <v>0</v>
      </c>
      <c r="CG90" s="30" t="n">
        <v>0</v>
      </c>
      <c r="CH90" s="30" t="n">
        <v>0</v>
      </c>
      <c r="CI90" s="30" t="n">
        <v>0</v>
      </c>
      <c r="CJ90" s="30" t="n">
        <v>0</v>
      </c>
      <c r="CK90" s="30" t="n">
        <v>0</v>
      </c>
      <c r="CL90" s="30" t="n">
        <v>0</v>
      </c>
      <c r="CM90" s="30" t="n">
        <v>0</v>
      </c>
      <c r="CN90" s="30" t="n">
        <v>0</v>
      </c>
      <c r="CO90" s="30" t="n">
        <v>0</v>
      </c>
      <c r="CP90" s="30" t="n">
        <v>0</v>
      </c>
      <c r="CQ90" s="30" t="n">
        <v>0</v>
      </c>
      <c r="CR90" s="30" t="n">
        <v>0</v>
      </c>
      <c r="CS90" s="30" t="n">
        <v>0</v>
      </c>
      <c r="CT90" s="30" t="n">
        <v>0</v>
      </c>
      <c r="CU90" s="30" t="n">
        <v>0</v>
      </c>
      <c r="CV90" s="30" t="n">
        <v>0</v>
      </c>
      <c r="CW90" s="30" t="n">
        <v>0</v>
      </c>
      <c r="CX90" s="30" t="n">
        <v>0</v>
      </c>
      <c r="CY90" s="30" t="n">
        <v>0</v>
      </c>
      <c r="CZ90" s="30" t="n">
        <v>0</v>
      </c>
      <c r="DA90" s="30" t="n">
        <v>0</v>
      </c>
    </row>
    <row r="91">
      <c r="A91" t="inlineStr">
        <is>
          <t>TPP-825</t>
        </is>
      </c>
      <c r="B91" s="30" t="n">
        <v>0</v>
      </c>
      <c r="C91" s="30" t="n">
        <v>0</v>
      </c>
      <c r="D91" s="30" t="n">
        <v>0</v>
      </c>
      <c r="E91" s="30" t="n">
        <v>0</v>
      </c>
      <c r="F91" s="30" t="n">
        <v>0</v>
      </c>
      <c r="G91" s="30" t="n">
        <v>0</v>
      </c>
      <c r="H91" s="30" t="n">
        <v>0</v>
      </c>
      <c r="I91" s="30" t="n">
        <v>0</v>
      </c>
      <c r="J91" s="30" t="n">
        <v>0</v>
      </c>
      <c r="K91" s="30" t="n">
        <v>0</v>
      </c>
      <c r="L91" s="30" t="n">
        <v>0</v>
      </c>
      <c r="M91" s="30" t="n">
        <v>0</v>
      </c>
      <c r="N91" s="30" t="n">
        <v>0</v>
      </c>
      <c r="O91" s="30" t="n">
        <v>0</v>
      </c>
      <c r="P91" s="30" t="n">
        <v>0</v>
      </c>
      <c r="Q91" s="30" t="n">
        <v>0</v>
      </c>
      <c r="R91" s="30" t="n">
        <v>0</v>
      </c>
      <c r="S91" s="30" t="n">
        <v>0</v>
      </c>
      <c r="T91" s="30" t="n">
        <v>0</v>
      </c>
      <c r="U91" s="30" t="n">
        <v>0</v>
      </c>
      <c r="V91" s="30" t="n">
        <v>0</v>
      </c>
      <c r="W91" s="30" t="n">
        <v>0</v>
      </c>
      <c r="X91" s="30" t="n">
        <v>0</v>
      </c>
      <c r="Y91" s="30" t="n">
        <v>0</v>
      </c>
      <c r="Z91" s="30" t="n">
        <v>0</v>
      </c>
      <c r="AA91" s="30" t="n">
        <v>0</v>
      </c>
      <c r="AB91" s="30" t="n">
        <v>0</v>
      </c>
      <c r="AC91" s="30" t="n">
        <v>0</v>
      </c>
      <c r="AD91" s="30" t="n">
        <v>0</v>
      </c>
      <c r="AE91" s="30" t="n">
        <v>0</v>
      </c>
      <c r="AF91" s="30" t="n">
        <v>0</v>
      </c>
      <c r="AG91" s="30" t="n">
        <v>0</v>
      </c>
      <c r="AH91" s="30" t="n">
        <v>0</v>
      </c>
      <c r="AI91" s="30" t="n">
        <v>0</v>
      </c>
      <c r="AJ91" s="30" t="n">
        <v>0</v>
      </c>
      <c r="AK91" s="30" t="n">
        <v>0</v>
      </c>
      <c r="AL91" s="30" t="n">
        <v>0</v>
      </c>
      <c r="AM91" s="30" t="n">
        <v>0</v>
      </c>
      <c r="AN91" s="30" t="n">
        <v>0</v>
      </c>
      <c r="AO91" s="30" t="n">
        <v>0</v>
      </c>
      <c r="AP91" s="30" t="n">
        <v>0</v>
      </c>
      <c r="AQ91" s="30" t="n">
        <v>0</v>
      </c>
      <c r="AR91" s="30" t="n">
        <v>0</v>
      </c>
      <c r="AS91" s="30" t="n">
        <v>0</v>
      </c>
      <c r="AT91" s="30" t="n">
        <v>0</v>
      </c>
      <c r="AU91" s="30" t="n">
        <v>0</v>
      </c>
      <c r="AV91" s="30" t="n">
        <v>0</v>
      </c>
      <c r="AW91" s="30" t="n">
        <v>0</v>
      </c>
      <c r="AX91" s="30" t="n">
        <v>0</v>
      </c>
      <c r="AY91" s="30" t="n">
        <v>0</v>
      </c>
      <c r="AZ91" s="30" t="n">
        <v>0</v>
      </c>
      <c r="BA91" s="30" t="n">
        <v>0</v>
      </c>
      <c r="BB91" s="30" t="n">
        <v>0</v>
      </c>
      <c r="BC91" s="30" t="n">
        <v>0</v>
      </c>
      <c r="BD91" s="30" t="n">
        <v>0</v>
      </c>
      <c r="BE91" s="30" t="n">
        <v>0</v>
      </c>
      <c r="BF91" s="30" t="n">
        <v>0</v>
      </c>
      <c r="BG91" s="30" t="n">
        <v>0</v>
      </c>
      <c r="BH91" s="30" t="n">
        <v>0</v>
      </c>
      <c r="BI91" s="30" t="n">
        <v>0</v>
      </c>
      <c r="BJ91" s="30" t="n">
        <v>0</v>
      </c>
      <c r="BK91" s="30" t="n">
        <v>0</v>
      </c>
      <c r="BL91" s="30" t="n">
        <v>0</v>
      </c>
      <c r="BM91" s="30" t="n">
        <v>0</v>
      </c>
      <c r="BN91" s="30" t="n">
        <v>0</v>
      </c>
      <c r="BO91" s="30" t="n">
        <v>0</v>
      </c>
      <c r="BP91" s="30" t="n">
        <v>0</v>
      </c>
      <c r="BQ91" s="30" t="n">
        <v>0</v>
      </c>
      <c r="BR91" s="30" t="n">
        <v>0</v>
      </c>
      <c r="BS91" s="30" t="n">
        <v>0</v>
      </c>
      <c r="BT91" s="30" t="n">
        <v>0</v>
      </c>
      <c r="BU91" s="30" t="n">
        <v>0</v>
      </c>
      <c r="BV91" s="30" t="n">
        <v>0</v>
      </c>
      <c r="BW91" s="30" t="n">
        <v>0</v>
      </c>
      <c r="BX91" s="30" t="n">
        <v>0</v>
      </c>
      <c r="BY91" s="30" t="n">
        <v>0</v>
      </c>
      <c r="BZ91" s="30" t="n">
        <v>0</v>
      </c>
      <c r="CA91" s="30" t="n">
        <v>0</v>
      </c>
      <c r="CB91" s="30" t="n">
        <v>0</v>
      </c>
      <c r="CC91" s="30" t="n">
        <v>0</v>
      </c>
      <c r="CD91" s="30" t="n">
        <v>0</v>
      </c>
      <c r="CE91" s="30" t="n">
        <v>0</v>
      </c>
      <c r="CF91" s="30" t="n">
        <v>0</v>
      </c>
      <c r="CG91" s="30" t="n">
        <v>0</v>
      </c>
      <c r="CH91" s="30" t="n">
        <v>0</v>
      </c>
      <c r="CI91" s="30" t="n">
        <v>0</v>
      </c>
      <c r="CJ91" s="30" t="n">
        <v>0</v>
      </c>
      <c r="CK91" s="30" t="n">
        <v>0</v>
      </c>
      <c r="CL91" s="30" t="n">
        <v>0</v>
      </c>
      <c r="CM91" s="30" t="n">
        <v>0</v>
      </c>
      <c r="CN91" s="30" t="n">
        <v>0</v>
      </c>
      <c r="CO91" s="30" t="n">
        <v>0</v>
      </c>
      <c r="CP91" s="30" t="n">
        <v>0</v>
      </c>
      <c r="CQ91" s="30" t="n">
        <v>0</v>
      </c>
      <c r="CR91" s="30" t="n">
        <v>0</v>
      </c>
      <c r="CS91" s="30" t="n">
        <v>0</v>
      </c>
      <c r="CT91" s="30" t="n">
        <v>0</v>
      </c>
      <c r="CU91" s="30" t="n">
        <v>0</v>
      </c>
      <c r="CV91" s="30" t="n">
        <v>0</v>
      </c>
      <c r="CW91" s="30" t="n">
        <v>0</v>
      </c>
      <c r="CX91" s="30" t="n">
        <v>0</v>
      </c>
      <c r="CY91" s="30" t="n">
        <v>0</v>
      </c>
      <c r="CZ91" s="30" t="n">
        <v>0</v>
      </c>
      <c r="DA91" s="30" t="n">
        <v>0</v>
      </c>
    </row>
    <row r="92">
      <c r="A92" t="inlineStr">
        <is>
          <t>TPP-911</t>
        </is>
      </c>
      <c r="B92" s="30" t="n">
        <v>0</v>
      </c>
      <c r="C92" s="30" t="n">
        <v>0</v>
      </c>
      <c r="D92" s="30" t="n">
        <v>0</v>
      </c>
      <c r="E92" s="30" t="n">
        <v>0</v>
      </c>
      <c r="F92" s="30" t="n">
        <v>0</v>
      </c>
      <c r="G92" s="30" t="n">
        <v>0</v>
      </c>
      <c r="H92" s="30" t="n">
        <v>0</v>
      </c>
      <c r="I92" s="30" t="n">
        <v>0</v>
      </c>
      <c r="J92" s="30" t="n">
        <v>0</v>
      </c>
      <c r="K92" s="30" t="n">
        <v>0</v>
      </c>
      <c r="L92" s="30" t="n">
        <v>0</v>
      </c>
      <c r="M92" s="30" t="n">
        <v>0</v>
      </c>
      <c r="N92" s="30" t="n">
        <v>0</v>
      </c>
      <c r="O92" s="30" t="n">
        <v>0</v>
      </c>
      <c r="P92" s="30" t="n">
        <v>0</v>
      </c>
      <c r="Q92" s="30" t="n">
        <v>0</v>
      </c>
      <c r="R92" s="30" t="n">
        <v>0</v>
      </c>
      <c r="S92" s="30" t="n">
        <v>0</v>
      </c>
      <c r="T92" s="30" t="n">
        <v>0</v>
      </c>
      <c r="U92" s="30" t="n">
        <v>0</v>
      </c>
      <c r="V92" s="30" t="n">
        <v>0</v>
      </c>
      <c r="W92" s="30" t="n">
        <v>0</v>
      </c>
      <c r="X92" s="30" t="n">
        <v>0</v>
      </c>
      <c r="Y92" s="30" t="n">
        <v>0</v>
      </c>
      <c r="Z92" s="30" t="n">
        <v>0</v>
      </c>
      <c r="AA92" s="30" t="n">
        <v>0</v>
      </c>
      <c r="AB92" s="30" t="n">
        <v>0</v>
      </c>
      <c r="AC92" s="30" t="n">
        <v>0</v>
      </c>
      <c r="AD92" s="30" t="n">
        <v>0</v>
      </c>
      <c r="AE92" s="30" t="n">
        <v>0</v>
      </c>
      <c r="AF92" s="30" t="n">
        <v>0</v>
      </c>
      <c r="AG92" s="30" t="n">
        <v>0</v>
      </c>
      <c r="AH92" s="30" t="n">
        <v>0</v>
      </c>
      <c r="AI92" s="30" t="n">
        <v>0</v>
      </c>
      <c r="AJ92" s="30" t="n">
        <v>0</v>
      </c>
      <c r="AK92" s="30" t="n">
        <v>0</v>
      </c>
      <c r="AL92" s="30" t="n">
        <v>0</v>
      </c>
      <c r="AM92" s="30" t="n">
        <v>0</v>
      </c>
      <c r="AN92" s="30" t="n">
        <v>3</v>
      </c>
      <c r="AO92" s="30" t="n">
        <v>0</v>
      </c>
      <c r="AP92" s="30" t="n">
        <v>0</v>
      </c>
      <c r="AQ92" s="30" t="n">
        <v>0</v>
      </c>
      <c r="AR92" s="30" t="n">
        <v>0</v>
      </c>
      <c r="AS92" s="30" t="n">
        <v>0</v>
      </c>
      <c r="AT92" s="30" t="n">
        <v>0</v>
      </c>
      <c r="AU92" s="30" t="n">
        <v>0</v>
      </c>
      <c r="AV92" s="30" t="n">
        <v>0</v>
      </c>
      <c r="AW92" s="30" t="n">
        <v>0</v>
      </c>
      <c r="AX92" s="30" t="n">
        <v>0</v>
      </c>
      <c r="AY92" s="30" t="n">
        <v>0</v>
      </c>
      <c r="AZ92" s="30" t="n">
        <v>0</v>
      </c>
      <c r="BA92" s="30" t="n">
        <v>0</v>
      </c>
      <c r="BB92" s="30" t="n">
        <v>0</v>
      </c>
      <c r="BC92" s="30" t="n">
        <v>0</v>
      </c>
      <c r="BD92" s="30" t="n">
        <v>0</v>
      </c>
      <c r="BE92" s="30" t="n">
        <v>0</v>
      </c>
      <c r="BF92" s="30" t="n">
        <v>0</v>
      </c>
      <c r="BG92" s="30" t="n">
        <v>0</v>
      </c>
      <c r="BH92" s="30" t="n">
        <v>0</v>
      </c>
      <c r="BI92" s="30" t="n">
        <v>0</v>
      </c>
      <c r="BJ92" s="30" t="n">
        <v>0</v>
      </c>
      <c r="BK92" s="30" t="n">
        <v>0</v>
      </c>
      <c r="BL92" s="30" t="n">
        <v>0</v>
      </c>
      <c r="BM92" s="30" t="n">
        <v>0</v>
      </c>
      <c r="BN92" s="30" t="n">
        <v>0</v>
      </c>
      <c r="BO92" s="30" t="n">
        <v>0</v>
      </c>
      <c r="BP92" s="30" t="n">
        <v>0</v>
      </c>
      <c r="BQ92" s="30" t="n">
        <v>0</v>
      </c>
      <c r="BR92" s="30" t="n">
        <v>0</v>
      </c>
      <c r="BS92" s="30" t="n">
        <v>0</v>
      </c>
      <c r="BT92" s="30" t="n">
        <v>0</v>
      </c>
      <c r="BU92" s="30" t="n">
        <v>0</v>
      </c>
      <c r="BV92" s="30" t="n">
        <v>0</v>
      </c>
      <c r="BW92" s="30" t="n">
        <v>0</v>
      </c>
      <c r="BX92" s="30" t="n">
        <v>0</v>
      </c>
      <c r="BY92" s="30" t="n">
        <v>0</v>
      </c>
      <c r="BZ92" s="30" t="n">
        <v>0</v>
      </c>
      <c r="CA92" s="30" t="n">
        <v>0</v>
      </c>
      <c r="CB92" s="30" t="n">
        <v>0</v>
      </c>
      <c r="CC92" s="30" t="n">
        <v>0</v>
      </c>
      <c r="CD92" s="30" t="n">
        <v>0</v>
      </c>
      <c r="CE92" s="30" t="n">
        <v>0</v>
      </c>
      <c r="CF92" s="30" t="n">
        <v>0</v>
      </c>
      <c r="CG92" s="30" t="n">
        <v>0</v>
      </c>
      <c r="CH92" s="30" t="n">
        <v>0</v>
      </c>
      <c r="CI92" s="30" t="n">
        <v>0</v>
      </c>
      <c r="CJ92" s="30" t="n">
        <v>0</v>
      </c>
      <c r="CK92" s="30" t="n">
        <v>0</v>
      </c>
      <c r="CL92" s="30" t="n">
        <v>0</v>
      </c>
      <c r="CM92" s="30" t="n">
        <v>0</v>
      </c>
      <c r="CN92" s="30" t="n">
        <v>0</v>
      </c>
      <c r="CO92" s="30" t="n">
        <v>0</v>
      </c>
      <c r="CP92" s="30" t="n">
        <v>0</v>
      </c>
      <c r="CQ92" s="30" t="n">
        <v>0</v>
      </c>
      <c r="CR92" s="30" t="n">
        <v>0</v>
      </c>
      <c r="CS92" s="30" t="n">
        <v>0</v>
      </c>
      <c r="CT92" s="30" t="n">
        <v>0</v>
      </c>
      <c r="CU92" s="30" t="n">
        <v>0</v>
      </c>
      <c r="CV92" s="30" t="n">
        <v>0</v>
      </c>
      <c r="CW92" s="30" t="n">
        <v>0</v>
      </c>
      <c r="CX92" s="30" t="n">
        <v>0</v>
      </c>
      <c r="CY92" s="30" t="n">
        <v>0</v>
      </c>
      <c r="CZ92" s="30" t="n">
        <v>0</v>
      </c>
      <c r="DA92" s="30" t="n">
        <v>0</v>
      </c>
    </row>
    <row r="93">
      <c r="A93" t="inlineStr">
        <is>
          <t>TPP-912</t>
        </is>
      </c>
      <c r="B93" s="30" t="n">
        <v>0</v>
      </c>
      <c r="C93" s="30" t="n">
        <v>0</v>
      </c>
      <c r="D93" s="30" t="n">
        <v>0</v>
      </c>
      <c r="E93" s="30" t="n">
        <v>0</v>
      </c>
      <c r="F93" s="30" t="n">
        <v>0</v>
      </c>
      <c r="G93" s="30" t="n">
        <v>0</v>
      </c>
      <c r="H93" s="30" t="n">
        <v>0</v>
      </c>
      <c r="I93" s="30" t="n">
        <v>0</v>
      </c>
      <c r="J93" s="30" t="n">
        <v>0</v>
      </c>
      <c r="K93" s="30" t="n">
        <v>0</v>
      </c>
      <c r="L93" s="30" t="n">
        <v>0</v>
      </c>
      <c r="M93" s="30" t="n">
        <v>0</v>
      </c>
      <c r="N93" s="30" t="n">
        <v>0</v>
      </c>
      <c r="O93" s="30" t="n">
        <v>0</v>
      </c>
      <c r="P93" s="30" t="n">
        <v>0</v>
      </c>
      <c r="Q93" s="30" t="n">
        <v>0</v>
      </c>
      <c r="R93" s="30" t="n">
        <v>0</v>
      </c>
      <c r="S93" s="30" t="n">
        <v>0</v>
      </c>
      <c r="T93" s="30" t="n">
        <v>0</v>
      </c>
      <c r="U93" s="30" t="n">
        <v>0</v>
      </c>
      <c r="V93" s="30" t="n">
        <v>0</v>
      </c>
      <c r="W93" s="30" t="n">
        <v>0</v>
      </c>
      <c r="X93" s="30" t="n">
        <v>0</v>
      </c>
      <c r="Y93" s="30" t="n">
        <v>0</v>
      </c>
      <c r="Z93" s="30" t="n">
        <v>0</v>
      </c>
      <c r="AA93" s="30" t="n">
        <v>0</v>
      </c>
      <c r="AB93" s="30" t="n">
        <v>0</v>
      </c>
      <c r="AC93" s="30" t="n">
        <v>2</v>
      </c>
      <c r="AD93" s="30" t="n">
        <v>0</v>
      </c>
      <c r="AE93" s="30" t="n">
        <v>0</v>
      </c>
      <c r="AF93" s="30" t="n">
        <v>0</v>
      </c>
      <c r="AG93" s="30" t="n">
        <v>0</v>
      </c>
      <c r="AH93" s="30" t="n">
        <v>0</v>
      </c>
      <c r="AI93" s="30" t="n">
        <v>2</v>
      </c>
      <c r="AJ93" s="30" t="n">
        <v>0</v>
      </c>
      <c r="AK93" s="30" t="n">
        <v>0</v>
      </c>
      <c r="AL93" s="30" t="n">
        <v>0</v>
      </c>
      <c r="AM93" s="30" t="n">
        <v>0</v>
      </c>
      <c r="AN93" s="30" t="n">
        <v>0</v>
      </c>
      <c r="AO93" s="30" t="n">
        <v>0</v>
      </c>
      <c r="AP93" s="30" t="n">
        <v>0</v>
      </c>
      <c r="AQ93" s="30" t="n">
        <v>0</v>
      </c>
      <c r="AR93" s="30" t="n">
        <v>0</v>
      </c>
      <c r="AS93" s="30" t="n">
        <v>0</v>
      </c>
      <c r="AT93" s="30" t="n">
        <v>0</v>
      </c>
      <c r="AU93" s="30" t="n">
        <v>0</v>
      </c>
      <c r="AV93" s="30" t="n">
        <v>0</v>
      </c>
      <c r="AW93" s="30" t="n">
        <v>0</v>
      </c>
      <c r="AX93" s="30" t="n">
        <v>0</v>
      </c>
      <c r="AY93" s="30" t="n">
        <v>0</v>
      </c>
      <c r="AZ93" s="30" t="n">
        <v>0</v>
      </c>
      <c r="BA93" s="30" t="n">
        <v>0</v>
      </c>
      <c r="BB93" s="30" t="n">
        <v>0</v>
      </c>
      <c r="BC93" s="30" t="n">
        <v>0</v>
      </c>
      <c r="BD93" s="30" t="n">
        <v>0</v>
      </c>
      <c r="BE93" s="30" t="n">
        <v>0</v>
      </c>
      <c r="BF93" s="30" t="n">
        <v>0</v>
      </c>
      <c r="BG93" s="30" t="n">
        <v>0</v>
      </c>
      <c r="BH93" s="30" t="n">
        <v>0</v>
      </c>
      <c r="BI93" s="30" t="n">
        <v>0</v>
      </c>
      <c r="BJ93" s="30" t="n">
        <v>0</v>
      </c>
      <c r="BK93" s="30" t="n">
        <v>0</v>
      </c>
      <c r="BL93" s="30" t="n">
        <v>0</v>
      </c>
      <c r="BM93" s="30" t="n">
        <v>0</v>
      </c>
      <c r="BN93" s="30" t="n">
        <v>0</v>
      </c>
      <c r="BO93" s="30" t="n">
        <v>0</v>
      </c>
      <c r="BP93" s="30" t="n">
        <v>0</v>
      </c>
      <c r="BQ93" s="30" t="n">
        <v>0</v>
      </c>
      <c r="BR93" s="30" t="n">
        <v>0</v>
      </c>
      <c r="BS93" s="30" t="n">
        <v>0</v>
      </c>
      <c r="BT93" s="30" t="n">
        <v>0</v>
      </c>
      <c r="BU93" s="30" t="n">
        <v>0</v>
      </c>
      <c r="BV93" s="30" t="n">
        <v>0</v>
      </c>
      <c r="BW93" s="30" t="n">
        <v>0</v>
      </c>
      <c r="BX93" s="30" t="n">
        <v>0</v>
      </c>
      <c r="BY93" s="30" t="n">
        <v>0</v>
      </c>
      <c r="BZ93" s="30" t="n">
        <v>0</v>
      </c>
      <c r="CA93" s="30" t="n">
        <v>0</v>
      </c>
      <c r="CB93" s="30" t="n">
        <v>0</v>
      </c>
      <c r="CC93" s="30" t="n">
        <v>0</v>
      </c>
      <c r="CD93" s="30" t="n">
        <v>0</v>
      </c>
      <c r="CE93" s="30" t="n">
        <v>0</v>
      </c>
      <c r="CF93" s="30" t="n">
        <v>0</v>
      </c>
      <c r="CG93" s="30" t="n">
        <v>0</v>
      </c>
      <c r="CH93" s="30" t="n">
        <v>0</v>
      </c>
      <c r="CI93" s="30" t="n">
        <v>0</v>
      </c>
      <c r="CJ93" s="30" t="n">
        <v>0</v>
      </c>
      <c r="CK93" s="30" t="n">
        <v>0</v>
      </c>
      <c r="CL93" s="30" t="n">
        <v>0</v>
      </c>
      <c r="CM93" s="30" t="n">
        <v>0</v>
      </c>
      <c r="CN93" s="30" t="n">
        <v>0</v>
      </c>
      <c r="CO93" s="30" t="n">
        <v>0</v>
      </c>
      <c r="CP93" s="30" t="n">
        <v>0</v>
      </c>
      <c r="CQ93" s="30" t="n">
        <v>0</v>
      </c>
      <c r="CR93" s="30" t="n">
        <v>0</v>
      </c>
      <c r="CS93" s="30" t="n">
        <v>0</v>
      </c>
      <c r="CT93" s="30" t="n">
        <v>0</v>
      </c>
      <c r="CU93" s="30" t="n">
        <v>0</v>
      </c>
      <c r="CV93" s="30" t="n">
        <v>0</v>
      </c>
      <c r="CW93" s="30" t="n">
        <v>0</v>
      </c>
      <c r="CX93" s="30" t="n">
        <v>0</v>
      </c>
      <c r="CY93" s="30" t="n">
        <v>0</v>
      </c>
      <c r="CZ93" s="30" t="n">
        <v>0</v>
      </c>
      <c r="DA93" s="30" t="n">
        <v>0</v>
      </c>
    </row>
    <row r="94">
      <c r="A94" t="inlineStr">
        <is>
          <t>TPP-914</t>
        </is>
      </c>
      <c r="B94" s="30" t="n">
        <v>0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</v>
      </c>
      <c r="J94" s="30" t="n">
        <v>0</v>
      </c>
      <c r="K94" s="30" t="n">
        <v>0</v>
      </c>
      <c r="L94" s="30" t="n">
        <v>0</v>
      </c>
      <c r="M94" s="30" t="n">
        <v>0</v>
      </c>
      <c r="N94" s="30" t="n">
        <v>0</v>
      </c>
      <c r="O94" s="30" t="n">
        <v>0</v>
      </c>
      <c r="P94" s="30" t="n">
        <v>0</v>
      </c>
      <c r="Q94" s="30" t="n">
        <v>0</v>
      </c>
      <c r="R94" s="30" t="n">
        <v>0</v>
      </c>
      <c r="S94" s="30" t="n">
        <v>0</v>
      </c>
      <c r="T94" s="30" t="n">
        <v>0</v>
      </c>
      <c r="U94" s="30" t="n">
        <v>0</v>
      </c>
      <c r="V94" s="30" t="n">
        <v>0</v>
      </c>
      <c r="W94" s="30" t="n">
        <v>0</v>
      </c>
      <c r="X94" s="30" t="n">
        <v>0</v>
      </c>
      <c r="Y94" s="30" t="n">
        <v>0</v>
      </c>
      <c r="Z94" s="30" t="n">
        <v>0</v>
      </c>
      <c r="AA94" s="30" t="n">
        <v>0</v>
      </c>
      <c r="AB94" s="30" t="n">
        <v>0</v>
      </c>
      <c r="AC94" s="30" t="n">
        <v>0</v>
      </c>
      <c r="AD94" s="30" t="n">
        <v>0</v>
      </c>
      <c r="AE94" s="30" t="n">
        <v>0</v>
      </c>
      <c r="AF94" s="30" t="n">
        <v>0</v>
      </c>
      <c r="AG94" s="30" t="n">
        <v>0</v>
      </c>
      <c r="AH94" s="30" t="n">
        <v>0</v>
      </c>
      <c r="AI94" s="30" t="n">
        <v>0</v>
      </c>
      <c r="AJ94" s="30" t="n">
        <v>0</v>
      </c>
      <c r="AK94" s="30" t="n">
        <v>0</v>
      </c>
      <c r="AL94" s="30" t="n">
        <v>0</v>
      </c>
      <c r="AM94" s="30" t="n">
        <v>0</v>
      </c>
      <c r="AN94" s="30" t="n">
        <v>0</v>
      </c>
      <c r="AO94" s="30" t="n">
        <v>0</v>
      </c>
      <c r="AP94" s="30" t="n">
        <v>0</v>
      </c>
      <c r="AQ94" s="30" t="n">
        <v>0</v>
      </c>
      <c r="AR94" s="30" t="n">
        <v>0</v>
      </c>
      <c r="AS94" s="30" t="n">
        <v>0</v>
      </c>
      <c r="AT94" s="30" t="n">
        <v>0</v>
      </c>
      <c r="AU94" s="30" t="n">
        <v>0</v>
      </c>
      <c r="AV94" s="30" t="n">
        <v>0</v>
      </c>
      <c r="AW94" s="30" t="n">
        <v>0</v>
      </c>
      <c r="AX94" s="30" t="n">
        <v>0</v>
      </c>
      <c r="AY94" s="30" t="n">
        <v>0</v>
      </c>
      <c r="AZ94" s="30" t="n">
        <v>0</v>
      </c>
      <c r="BA94" s="30" t="n">
        <v>0</v>
      </c>
      <c r="BB94" s="30" t="n">
        <v>0</v>
      </c>
      <c r="BC94" s="30" t="n">
        <v>0</v>
      </c>
      <c r="BD94" s="30" t="n">
        <v>0</v>
      </c>
      <c r="BE94" s="30" t="n">
        <v>0</v>
      </c>
      <c r="BF94" s="30" t="n">
        <v>0</v>
      </c>
      <c r="BG94" s="30" t="n">
        <v>0</v>
      </c>
      <c r="BH94" s="30" t="n">
        <v>0</v>
      </c>
      <c r="BI94" s="30" t="n">
        <v>0</v>
      </c>
      <c r="BJ94" s="30" t="n">
        <v>0</v>
      </c>
      <c r="BK94" s="30" t="n">
        <v>0</v>
      </c>
      <c r="BL94" s="30" t="n">
        <v>0</v>
      </c>
      <c r="BM94" s="30" t="n">
        <v>0</v>
      </c>
      <c r="BN94" s="30" t="n">
        <v>0</v>
      </c>
      <c r="BO94" s="30" t="n">
        <v>0</v>
      </c>
      <c r="BP94" s="30" t="n">
        <v>0</v>
      </c>
      <c r="BQ94" s="30" t="n">
        <v>0</v>
      </c>
      <c r="BR94" s="30" t="n">
        <v>0</v>
      </c>
      <c r="BS94" s="30" t="n">
        <v>0</v>
      </c>
      <c r="BT94" s="30" t="n">
        <v>0</v>
      </c>
      <c r="BU94" s="30" t="n">
        <v>0</v>
      </c>
      <c r="BV94" s="30" t="n">
        <v>0</v>
      </c>
      <c r="BW94" s="30" t="n">
        <v>0</v>
      </c>
      <c r="BX94" s="30" t="n">
        <v>0</v>
      </c>
      <c r="BY94" s="30" t="n">
        <v>0</v>
      </c>
      <c r="BZ94" s="30" t="n">
        <v>0</v>
      </c>
      <c r="CA94" s="30" t="n">
        <v>0</v>
      </c>
      <c r="CB94" s="30" t="n">
        <v>0</v>
      </c>
      <c r="CC94" s="30" t="n">
        <v>0</v>
      </c>
      <c r="CD94" s="30" t="n">
        <v>0</v>
      </c>
      <c r="CE94" s="30" t="n">
        <v>0</v>
      </c>
      <c r="CF94" s="30" t="n">
        <v>0</v>
      </c>
      <c r="CG94" s="30" t="n">
        <v>0</v>
      </c>
      <c r="CH94" s="30" t="n">
        <v>0</v>
      </c>
      <c r="CI94" s="30" t="n">
        <v>0</v>
      </c>
      <c r="CJ94" s="30" t="n">
        <v>0</v>
      </c>
      <c r="CK94" s="30" t="n">
        <v>0</v>
      </c>
      <c r="CL94" s="30" t="n">
        <v>0</v>
      </c>
      <c r="CM94" s="30" t="n">
        <v>0</v>
      </c>
      <c r="CN94" s="30" t="n">
        <v>0</v>
      </c>
      <c r="CO94" s="30" t="n">
        <v>0</v>
      </c>
      <c r="CP94" s="30" t="n">
        <v>0</v>
      </c>
      <c r="CQ94" s="30" t="n">
        <v>0</v>
      </c>
      <c r="CR94" s="30" t="n">
        <v>0</v>
      </c>
      <c r="CS94" s="30" t="n">
        <v>0</v>
      </c>
      <c r="CT94" s="30" t="n">
        <v>0</v>
      </c>
      <c r="CU94" s="30" t="n">
        <v>0</v>
      </c>
      <c r="CV94" s="30" t="n">
        <v>0</v>
      </c>
      <c r="CW94" s="30" t="n">
        <v>0</v>
      </c>
      <c r="CX94" s="30" t="n">
        <v>0</v>
      </c>
      <c r="CY94" s="30" t="n">
        <v>0</v>
      </c>
      <c r="CZ94" s="30" t="n">
        <v>0</v>
      </c>
      <c r="DA94" s="30" t="n">
        <v>0</v>
      </c>
    </row>
    <row r="95">
      <c r="A95" t="inlineStr">
        <is>
          <t>TPP-915</t>
        </is>
      </c>
      <c r="B95" s="30" t="n">
        <v>0</v>
      </c>
      <c r="C95" s="30" t="n">
        <v>0</v>
      </c>
      <c r="D95" s="30" t="n">
        <v>0</v>
      </c>
      <c r="E95" s="30" t="n">
        <v>0</v>
      </c>
      <c r="F95" s="30" t="n">
        <v>0</v>
      </c>
      <c r="G95" s="30" t="n">
        <v>0</v>
      </c>
      <c r="H95" s="30" t="n">
        <v>0</v>
      </c>
      <c r="I95" s="30" t="n">
        <v>0</v>
      </c>
      <c r="J95" s="30" t="n">
        <v>0</v>
      </c>
      <c r="K95" s="30" t="n">
        <v>0</v>
      </c>
      <c r="L95" s="30" t="n">
        <v>0</v>
      </c>
      <c r="M95" s="30" t="n">
        <v>0</v>
      </c>
      <c r="N95" s="30" t="n">
        <v>0</v>
      </c>
      <c r="O95" s="30" t="n">
        <v>0</v>
      </c>
      <c r="P95" s="30" t="n">
        <v>0</v>
      </c>
      <c r="Q95" s="30" t="n">
        <v>0</v>
      </c>
      <c r="R95" s="30" t="n">
        <v>0</v>
      </c>
      <c r="S95" s="30" t="n">
        <v>0</v>
      </c>
      <c r="T95" s="30" t="n">
        <v>0</v>
      </c>
      <c r="U95" s="30" t="n">
        <v>0</v>
      </c>
      <c r="V95" s="30" t="n">
        <v>0</v>
      </c>
      <c r="W95" s="30" t="n">
        <v>0</v>
      </c>
      <c r="X95" s="30" t="n">
        <v>0</v>
      </c>
      <c r="Y95" s="30" t="n">
        <v>0</v>
      </c>
      <c r="Z95" s="30" t="n">
        <v>0</v>
      </c>
      <c r="AA95" s="30" t="n">
        <v>0</v>
      </c>
      <c r="AB95" s="30" t="n">
        <v>0</v>
      </c>
      <c r="AC95" s="30" t="n">
        <v>0</v>
      </c>
      <c r="AD95" s="30" t="n">
        <v>0</v>
      </c>
      <c r="AE95" s="30" t="n">
        <v>0</v>
      </c>
      <c r="AF95" s="30" t="n">
        <v>0</v>
      </c>
      <c r="AG95" s="30" t="n">
        <v>2</v>
      </c>
      <c r="AH95" s="30" t="n">
        <v>0</v>
      </c>
      <c r="AI95" s="30" t="n">
        <v>0</v>
      </c>
      <c r="AJ95" s="30" t="n">
        <v>0</v>
      </c>
      <c r="AK95" s="30" t="n">
        <v>0</v>
      </c>
      <c r="AL95" s="30" t="n">
        <v>0</v>
      </c>
      <c r="AM95" s="30" t="n">
        <v>2</v>
      </c>
      <c r="AN95" s="30" t="n">
        <v>0</v>
      </c>
      <c r="AO95" s="30" t="n">
        <v>0</v>
      </c>
      <c r="AP95" s="30" t="n">
        <v>0</v>
      </c>
      <c r="AQ95" s="30" t="n">
        <v>0</v>
      </c>
      <c r="AR95" s="30" t="n">
        <v>3</v>
      </c>
      <c r="AS95" s="30" t="n">
        <v>0</v>
      </c>
      <c r="AT95" s="30" t="n">
        <v>0</v>
      </c>
      <c r="AU95" s="30" t="n">
        <v>0</v>
      </c>
      <c r="AV95" s="30" t="n">
        <v>0</v>
      </c>
      <c r="AW95" s="30" t="n">
        <v>0</v>
      </c>
      <c r="AX95" s="30" t="n">
        <v>0</v>
      </c>
      <c r="AY95" s="30" t="n">
        <v>0</v>
      </c>
      <c r="AZ95" s="30" t="n">
        <v>0</v>
      </c>
      <c r="BA95" s="30" t="n">
        <v>0</v>
      </c>
      <c r="BB95" s="30" t="n">
        <v>0</v>
      </c>
      <c r="BC95" s="30" t="n">
        <v>0</v>
      </c>
      <c r="BD95" s="30" t="n">
        <v>0</v>
      </c>
      <c r="BE95" s="30" t="n">
        <v>0</v>
      </c>
      <c r="BF95" s="30" t="n">
        <v>0</v>
      </c>
      <c r="BG95" s="30" t="n">
        <v>0</v>
      </c>
      <c r="BH95" s="30" t="n">
        <v>0</v>
      </c>
      <c r="BI95" s="30" t="n">
        <v>0</v>
      </c>
      <c r="BJ95" s="30" t="n">
        <v>0</v>
      </c>
      <c r="BK95" s="30" t="n">
        <v>0</v>
      </c>
      <c r="BL95" s="30" t="n">
        <v>0</v>
      </c>
      <c r="BM95" s="30" t="n">
        <v>0</v>
      </c>
      <c r="BN95" s="30" t="n">
        <v>0</v>
      </c>
      <c r="BO95" s="30" t="n">
        <v>0</v>
      </c>
      <c r="BP95" s="30" t="n">
        <v>0</v>
      </c>
      <c r="BQ95" s="30" t="n">
        <v>0</v>
      </c>
      <c r="BR95" s="30" t="n">
        <v>0</v>
      </c>
      <c r="BS95" s="30" t="n">
        <v>0</v>
      </c>
      <c r="BT95" s="30" t="n">
        <v>0</v>
      </c>
      <c r="BU95" s="30" t="n">
        <v>0</v>
      </c>
      <c r="BV95" s="30" t="n">
        <v>0</v>
      </c>
      <c r="BW95" s="30" t="n">
        <v>0</v>
      </c>
      <c r="BX95" s="30" t="n">
        <v>0</v>
      </c>
      <c r="BY95" s="30" t="n">
        <v>0</v>
      </c>
      <c r="BZ95" s="30" t="n">
        <v>0</v>
      </c>
      <c r="CA95" s="30" t="n">
        <v>0</v>
      </c>
      <c r="CB95" s="30" t="n">
        <v>0</v>
      </c>
      <c r="CC95" s="30" t="n">
        <v>0</v>
      </c>
      <c r="CD95" s="30" t="n">
        <v>0</v>
      </c>
      <c r="CE95" s="30" t="n">
        <v>0</v>
      </c>
      <c r="CF95" s="30" t="n">
        <v>0</v>
      </c>
      <c r="CG95" s="30" t="n">
        <v>0</v>
      </c>
      <c r="CH95" s="30" t="n">
        <v>0</v>
      </c>
      <c r="CI95" s="30" t="n">
        <v>0</v>
      </c>
      <c r="CJ95" s="30" t="n">
        <v>0</v>
      </c>
      <c r="CK95" s="30" t="n">
        <v>0</v>
      </c>
      <c r="CL95" s="30" t="n">
        <v>0</v>
      </c>
      <c r="CM95" s="30" t="n">
        <v>0</v>
      </c>
      <c r="CN95" s="30" t="n">
        <v>0</v>
      </c>
      <c r="CO95" s="30" t="n">
        <v>0</v>
      </c>
      <c r="CP95" s="30" t="n">
        <v>0</v>
      </c>
      <c r="CQ95" s="30" t="n">
        <v>0</v>
      </c>
      <c r="CR95" s="30" t="n">
        <v>0</v>
      </c>
      <c r="CS95" s="30" t="n">
        <v>0</v>
      </c>
      <c r="CT95" s="30" t="n">
        <v>0</v>
      </c>
      <c r="CU95" s="30" t="n">
        <v>0</v>
      </c>
      <c r="CV95" s="30" t="n">
        <v>0</v>
      </c>
      <c r="CW95" s="30" t="n">
        <v>0</v>
      </c>
      <c r="CX95" s="30" t="n">
        <v>0</v>
      </c>
      <c r="CY95" s="30" t="n">
        <v>0</v>
      </c>
      <c r="CZ95" s="30" t="n">
        <v>0</v>
      </c>
      <c r="DA95" s="30" t="n">
        <v>0</v>
      </c>
    </row>
    <row r="96">
      <c r="A96" t="inlineStr">
        <is>
          <t>TPP-916</t>
        </is>
      </c>
      <c r="B96" s="30" t="n">
        <v>0</v>
      </c>
      <c r="C96" s="30" t="n">
        <v>0</v>
      </c>
      <c r="D96" s="30" t="n">
        <v>0</v>
      </c>
      <c r="E96" s="30" t="n">
        <v>0</v>
      </c>
      <c r="F96" s="30" t="n">
        <v>0</v>
      </c>
      <c r="G96" s="30" t="n">
        <v>0</v>
      </c>
      <c r="H96" s="30" t="n">
        <v>0</v>
      </c>
      <c r="I96" s="30" t="n">
        <v>0</v>
      </c>
      <c r="J96" s="30" t="n">
        <v>0</v>
      </c>
      <c r="K96" s="30" t="n">
        <v>0</v>
      </c>
      <c r="L96" s="30" t="n">
        <v>0</v>
      </c>
      <c r="M96" s="30" t="n">
        <v>0</v>
      </c>
      <c r="N96" s="30" t="n">
        <v>0</v>
      </c>
      <c r="O96" s="30" t="n">
        <v>0</v>
      </c>
      <c r="P96" s="30" t="n">
        <v>0</v>
      </c>
      <c r="Q96" s="30" t="n">
        <v>0</v>
      </c>
      <c r="R96" s="30" t="n">
        <v>0</v>
      </c>
      <c r="S96" s="30" t="n">
        <v>0</v>
      </c>
      <c r="T96" s="30" t="n">
        <v>0</v>
      </c>
      <c r="U96" s="30" t="n">
        <v>0</v>
      </c>
      <c r="V96" s="30" t="n">
        <v>0</v>
      </c>
      <c r="W96" s="30" t="n">
        <v>0</v>
      </c>
      <c r="X96" s="30" t="n">
        <v>0</v>
      </c>
      <c r="Y96" s="30" t="n">
        <v>0</v>
      </c>
      <c r="Z96" s="30" t="n">
        <v>0</v>
      </c>
      <c r="AA96" s="30" t="n">
        <v>0</v>
      </c>
      <c r="AB96" s="30" t="n">
        <v>0</v>
      </c>
      <c r="AC96" s="30" t="n">
        <v>0</v>
      </c>
      <c r="AD96" s="30" t="n">
        <v>0</v>
      </c>
      <c r="AE96" s="30" t="n">
        <v>0</v>
      </c>
      <c r="AF96" s="30" t="n">
        <v>0</v>
      </c>
      <c r="AG96" s="30" t="n">
        <v>0</v>
      </c>
      <c r="AH96" s="30" t="n">
        <v>0</v>
      </c>
      <c r="AI96" s="30" t="n">
        <v>0</v>
      </c>
      <c r="AJ96" s="30" t="n">
        <v>0</v>
      </c>
      <c r="AK96" s="30" t="n">
        <v>0</v>
      </c>
      <c r="AL96" s="30" t="n">
        <v>0</v>
      </c>
      <c r="AM96" s="30" t="n">
        <v>0</v>
      </c>
      <c r="AN96" s="30" t="n">
        <v>0</v>
      </c>
      <c r="AO96" s="30" t="n">
        <v>0</v>
      </c>
      <c r="AP96" s="30" t="n">
        <v>0</v>
      </c>
      <c r="AQ96" s="30" t="n">
        <v>0</v>
      </c>
      <c r="AR96" s="30" t="n">
        <v>0</v>
      </c>
      <c r="AS96" s="30" t="n">
        <v>0</v>
      </c>
      <c r="AT96" s="30" t="n">
        <v>0</v>
      </c>
      <c r="AU96" s="30" t="n">
        <v>0</v>
      </c>
      <c r="AV96" s="30" t="n">
        <v>0</v>
      </c>
      <c r="AW96" s="30" t="n">
        <v>0</v>
      </c>
      <c r="AX96" s="30" t="n">
        <v>0</v>
      </c>
      <c r="AY96" s="30" t="n">
        <v>0</v>
      </c>
      <c r="AZ96" s="30" t="n">
        <v>0</v>
      </c>
      <c r="BA96" s="30" t="n">
        <v>0</v>
      </c>
      <c r="BB96" s="30" t="n">
        <v>0</v>
      </c>
      <c r="BC96" s="30" t="n">
        <v>0</v>
      </c>
      <c r="BD96" s="30" t="n">
        <v>0</v>
      </c>
      <c r="BE96" s="30" t="n">
        <v>0</v>
      </c>
      <c r="BF96" s="30" t="n">
        <v>0</v>
      </c>
      <c r="BG96" s="30" t="n">
        <v>0</v>
      </c>
      <c r="BH96" s="30" t="n">
        <v>0</v>
      </c>
      <c r="BI96" s="30" t="n">
        <v>0</v>
      </c>
      <c r="BJ96" s="30" t="n">
        <v>0</v>
      </c>
      <c r="BK96" s="30" t="n">
        <v>0</v>
      </c>
      <c r="BL96" s="30" t="n">
        <v>0</v>
      </c>
      <c r="BM96" s="30" t="n">
        <v>0</v>
      </c>
      <c r="BN96" s="30" t="n">
        <v>0</v>
      </c>
      <c r="BO96" s="30" t="n">
        <v>0</v>
      </c>
      <c r="BP96" s="30" t="n">
        <v>0</v>
      </c>
      <c r="BQ96" s="30" t="n">
        <v>0</v>
      </c>
      <c r="BR96" s="30" t="n">
        <v>0</v>
      </c>
      <c r="BS96" s="30" t="n">
        <v>0</v>
      </c>
      <c r="BT96" s="30" t="n">
        <v>0</v>
      </c>
      <c r="BU96" s="30" t="n">
        <v>0</v>
      </c>
      <c r="BV96" s="30" t="n">
        <v>0</v>
      </c>
      <c r="BW96" s="30" t="n">
        <v>0</v>
      </c>
      <c r="BX96" s="30" t="n">
        <v>0</v>
      </c>
      <c r="BY96" s="30" t="n">
        <v>0</v>
      </c>
      <c r="BZ96" s="30" t="n">
        <v>0</v>
      </c>
      <c r="CA96" s="30" t="n">
        <v>0</v>
      </c>
      <c r="CB96" s="30" t="n">
        <v>0</v>
      </c>
      <c r="CC96" s="30" t="n">
        <v>0</v>
      </c>
      <c r="CD96" s="30" t="n">
        <v>0</v>
      </c>
      <c r="CE96" s="30" t="n">
        <v>0</v>
      </c>
      <c r="CF96" s="30" t="n">
        <v>0</v>
      </c>
      <c r="CG96" s="30" t="n">
        <v>0</v>
      </c>
      <c r="CH96" s="30" t="n">
        <v>0</v>
      </c>
      <c r="CI96" s="30" t="n">
        <v>0</v>
      </c>
      <c r="CJ96" s="30" t="n">
        <v>0</v>
      </c>
      <c r="CK96" s="30" t="n">
        <v>0</v>
      </c>
      <c r="CL96" s="30" t="n">
        <v>0</v>
      </c>
      <c r="CM96" s="30" t="n">
        <v>0</v>
      </c>
      <c r="CN96" s="30" t="n">
        <v>0</v>
      </c>
      <c r="CO96" s="30" t="n">
        <v>0</v>
      </c>
      <c r="CP96" s="30" t="n">
        <v>0</v>
      </c>
      <c r="CQ96" s="30" t="n">
        <v>0</v>
      </c>
      <c r="CR96" s="30" t="n">
        <v>0</v>
      </c>
      <c r="CS96" s="30" t="n">
        <v>0</v>
      </c>
      <c r="CT96" s="30" t="n">
        <v>0</v>
      </c>
      <c r="CU96" s="30" t="n">
        <v>0</v>
      </c>
      <c r="CV96" s="30" t="n">
        <v>0</v>
      </c>
      <c r="CW96" s="30" t="n">
        <v>0</v>
      </c>
      <c r="CX96" s="30" t="n">
        <v>0</v>
      </c>
      <c r="CY96" s="30" t="n">
        <v>0</v>
      </c>
      <c r="CZ96" s="30" t="n">
        <v>0</v>
      </c>
      <c r="DA96" s="30" t="n">
        <v>0</v>
      </c>
    </row>
    <row r="97">
      <c r="A97" t="inlineStr">
        <is>
          <t>TPP-917</t>
        </is>
      </c>
      <c r="B97" s="30" t="n">
        <v>0</v>
      </c>
      <c r="C97" s="30" t="n">
        <v>0</v>
      </c>
      <c r="D97" s="30" t="n">
        <v>0</v>
      </c>
      <c r="E97" s="30" t="n">
        <v>0</v>
      </c>
      <c r="F97" s="30" t="n">
        <v>0</v>
      </c>
      <c r="G97" s="30" t="n">
        <v>0</v>
      </c>
      <c r="H97" s="30" t="n">
        <v>0</v>
      </c>
      <c r="I97" s="30" t="n">
        <v>0</v>
      </c>
      <c r="J97" s="30" t="n">
        <v>0</v>
      </c>
      <c r="K97" s="30" t="n">
        <v>0</v>
      </c>
      <c r="L97" s="30" t="n">
        <v>0</v>
      </c>
      <c r="M97" s="30" t="n">
        <v>0</v>
      </c>
      <c r="N97" s="30" t="n">
        <v>0</v>
      </c>
      <c r="O97" s="30" t="n">
        <v>0</v>
      </c>
      <c r="P97" s="30" t="n">
        <v>0</v>
      </c>
      <c r="Q97" s="30" t="n">
        <v>0</v>
      </c>
      <c r="R97" s="30" t="n">
        <v>0</v>
      </c>
      <c r="S97" s="30" t="n">
        <v>0</v>
      </c>
      <c r="T97" s="30" t="n">
        <v>0</v>
      </c>
      <c r="U97" s="30" t="n">
        <v>0</v>
      </c>
      <c r="V97" s="30" t="n">
        <v>0</v>
      </c>
      <c r="W97" s="30" t="n">
        <v>0</v>
      </c>
      <c r="X97" s="30" t="n">
        <v>0</v>
      </c>
      <c r="Y97" s="30" t="n">
        <v>0</v>
      </c>
      <c r="Z97" s="30" t="n">
        <v>0</v>
      </c>
      <c r="AA97" s="30" t="n">
        <v>0</v>
      </c>
      <c r="AB97" s="30" t="n">
        <v>0</v>
      </c>
      <c r="AC97" s="30" t="n">
        <v>0</v>
      </c>
      <c r="AD97" s="30" t="n">
        <v>0</v>
      </c>
      <c r="AE97" s="30" t="n">
        <v>4</v>
      </c>
      <c r="AF97" s="30" t="n">
        <v>0</v>
      </c>
      <c r="AG97" s="30" t="n">
        <v>0</v>
      </c>
      <c r="AH97" s="30" t="n">
        <v>0</v>
      </c>
      <c r="AI97" s="30" t="n">
        <v>0</v>
      </c>
      <c r="AJ97" s="30" t="n">
        <v>0</v>
      </c>
      <c r="AK97" s="30" t="n">
        <v>0</v>
      </c>
      <c r="AL97" s="30" t="n">
        <v>0</v>
      </c>
      <c r="AM97" s="30" t="n">
        <v>0</v>
      </c>
      <c r="AN97" s="30" t="n">
        <v>3</v>
      </c>
      <c r="AO97" s="30" t="n">
        <v>0</v>
      </c>
      <c r="AP97" s="30" t="n">
        <v>0</v>
      </c>
      <c r="AQ97" s="30" t="n">
        <v>0</v>
      </c>
      <c r="AR97" s="30" t="n">
        <v>0</v>
      </c>
      <c r="AS97" s="30" t="n">
        <v>0</v>
      </c>
      <c r="AT97" s="30" t="n">
        <v>0</v>
      </c>
      <c r="AU97" s="30" t="n">
        <v>0</v>
      </c>
      <c r="AV97" s="30" t="n">
        <v>0</v>
      </c>
      <c r="AW97" s="30" t="n">
        <v>0</v>
      </c>
      <c r="AX97" s="30" t="n">
        <v>0</v>
      </c>
      <c r="AY97" s="30" t="n">
        <v>0</v>
      </c>
      <c r="AZ97" s="30" t="n">
        <v>0</v>
      </c>
      <c r="BA97" s="30" t="n">
        <v>0</v>
      </c>
      <c r="BB97" s="30" t="n">
        <v>0</v>
      </c>
      <c r="BC97" s="30" t="n">
        <v>0</v>
      </c>
      <c r="BD97" s="30" t="n">
        <v>0</v>
      </c>
      <c r="BE97" s="30" t="n">
        <v>0</v>
      </c>
      <c r="BF97" s="30" t="n">
        <v>0</v>
      </c>
      <c r="BG97" s="30" t="n">
        <v>0</v>
      </c>
      <c r="BH97" s="30" t="n">
        <v>0</v>
      </c>
      <c r="BI97" s="30" t="n">
        <v>0</v>
      </c>
      <c r="BJ97" s="30" t="n">
        <v>0</v>
      </c>
      <c r="BK97" s="30" t="n">
        <v>0</v>
      </c>
      <c r="BL97" s="30" t="n">
        <v>0</v>
      </c>
      <c r="BM97" s="30" t="n">
        <v>0</v>
      </c>
      <c r="BN97" s="30" t="n">
        <v>0</v>
      </c>
      <c r="BO97" s="30" t="n">
        <v>0</v>
      </c>
      <c r="BP97" s="30" t="n">
        <v>0</v>
      </c>
      <c r="BQ97" s="30" t="n">
        <v>0</v>
      </c>
      <c r="BR97" s="30" t="n">
        <v>0</v>
      </c>
      <c r="BS97" s="30" t="n">
        <v>0</v>
      </c>
      <c r="BT97" s="30" t="n">
        <v>0</v>
      </c>
      <c r="BU97" s="30" t="n">
        <v>0</v>
      </c>
      <c r="BV97" s="30" t="n">
        <v>0</v>
      </c>
      <c r="BW97" s="30" t="n">
        <v>0</v>
      </c>
      <c r="BX97" s="30" t="n">
        <v>0</v>
      </c>
      <c r="BY97" s="30" t="n">
        <v>0</v>
      </c>
      <c r="BZ97" s="30" t="n">
        <v>0</v>
      </c>
      <c r="CA97" s="30" t="n">
        <v>0</v>
      </c>
      <c r="CB97" s="30" t="n">
        <v>0</v>
      </c>
      <c r="CC97" s="30" t="n">
        <v>0</v>
      </c>
      <c r="CD97" s="30" t="n">
        <v>0</v>
      </c>
      <c r="CE97" s="30" t="n">
        <v>0</v>
      </c>
      <c r="CF97" s="30" t="n">
        <v>0</v>
      </c>
      <c r="CG97" s="30" t="n">
        <v>0</v>
      </c>
      <c r="CH97" s="30" t="n">
        <v>0</v>
      </c>
      <c r="CI97" s="30" t="n">
        <v>0</v>
      </c>
      <c r="CJ97" s="30" t="n">
        <v>0</v>
      </c>
      <c r="CK97" s="30" t="n">
        <v>0</v>
      </c>
      <c r="CL97" s="30" t="n">
        <v>0</v>
      </c>
      <c r="CM97" s="30" t="n">
        <v>0</v>
      </c>
      <c r="CN97" s="30" t="n">
        <v>0</v>
      </c>
      <c r="CO97" s="30" t="n">
        <v>0</v>
      </c>
      <c r="CP97" s="30" t="n">
        <v>0</v>
      </c>
      <c r="CQ97" s="30" t="n">
        <v>0</v>
      </c>
      <c r="CR97" s="30" t="n">
        <v>0</v>
      </c>
      <c r="CS97" s="30" t="n">
        <v>0</v>
      </c>
      <c r="CT97" s="30" t="n">
        <v>0</v>
      </c>
      <c r="CU97" s="30" t="n">
        <v>0</v>
      </c>
      <c r="CV97" s="30" t="n">
        <v>0</v>
      </c>
      <c r="CW97" s="30" t="n">
        <v>0</v>
      </c>
      <c r="CX97" s="30" t="n">
        <v>0</v>
      </c>
      <c r="CY97" s="30" t="n">
        <v>0</v>
      </c>
      <c r="CZ97" s="30" t="n">
        <v>0</v>
      </c>
      <c r="DA97" s="30" t="n">
        <v>0</v>
      </c>
    </row>
    <row r="98">
      <c r="A98" t="inlineStr">
        <is>
          <t>TPP-919</t>
        </is>
      </c>
      <c r="B98" s="30" t="n">
        <v>0</v>
      </c>
      <c r="C98" s="30" t="n">
        <v>0</v>
      </c>
      <c r="D98" s="30" t="n">
        <v>0</v>
      </c>
      <c r="E98" s="30" t="n">
        <v>0</v>
      </c>
      <c r="F98" s="30" t="n">
        <v>0</v>
      </c>
      <c r="G98" s="30" t="n">
        <v>0</v>
      </c>
      <c r="H98" s="30" t="n">
        <v>0</v>
      </c>
      <c r="I98" s="30" t="n">
        <v>0</v>
      </c>
      <c r="J98" s="30" t="n">
        <v>0</v>
      </c>
      <c r="K98" s="30" t="n">
        <v>0</v>
      </c>
      <c r="L98" s="30" t="n">
        <v>0</v>
      </c>
      <c r="M98" s="30" t="n">
        <v>0</v>
      </c>
      <c r="N98" s="30" t="n">
        <v>0</v>
      </c>
      <c r="O98" s="30" t="n">
        <v>0</v>
      </c>
      <c r="P98" s="30" t="n">
        <v>0</v>
      </c>
      <c r="Q98" s="30" t="n">
        <v>0</v>
      </c>
      <c r="R98" s="30" t="n">
        <v>0</v>
      </c>
      <c r="S98" s="30" t="n">
        <v>0</v>
      </c>
      <c r="T98" s="30" t="n">
        <v>0</v>
      </c>
      <c r="U98" s="30" t="n">
        <v>0</v>
      </c>
      <c r="V98" s="30" t="n">
        <v>0</v>
      </c>
      <c r="W98" s="30" t="n">
        <v>0</v>
      </c>
      <c r="X98" s="30" t="n">
        <v>0</v>
      </c>
      <c r="Y98" s="30" t="n">
        <v>0</v>
      </c>
      <c r="Z98" s="30" t="n">
        <v>0</v>
      </c>
      <c r="AA98" s="30" t="n">
        <v>0</v>
      </c>
      <c r="AB98" s="30" t="n">
        <v>0</v>
      </c>
      <c r="AC98" s="30" t="n">
        <v>0</v>
      </c>
      <c r="AD98" s="30" t="n">
        <v>0</v>
      </c>
      <c r="AE98" s="30" t="n">
        <v>0</v>
      </c>
      <c r="AF98" s="30" t="n">
        <v>0</v>
      </c>
      <c r="AG98" s="30" t="n">
        <v>0</v>
      </c>
      <c r="AH98" s="30" t="n">
        <v>0</v>
      </c>
      <c r="AI98" s="30" t="n">
        <v>0</v>
      </c>
      <c r="AJ98" s="30" t="n">
        <v>0</v>
      </c>
      <c r="AK98" s="30" t="n">
        <v>0</v>
      </c>
      <c r="AL98" s="30" t="n">
        <v>0</v>
      </c>
      <c r="AM98" s="30" t="n">
        <v>0</v>
      </c>
      <c r="AN98" s="30" t="n">
        <v>0</v>
      </c>
      <c r="AO98" s="30" t="n">
        <v>0</v>
      </c>
      <c r="AP98" s="30" t="n">
        <v>0</v>
      </c>
      <c r="AQ98" s="30" t="n">
        <v>0</v>
      </c>
      <c r="AR98" s="30" t="n">
        <v>0</v>
      </c>
      <c r="AS98" s="30" t="n">
        <v>0</v>
      </c>
      <c r="AT98" s="30" t="n">
        <v>0</v>
      </c>
      <c r="AU98" s="30" t="n">
        <v>0</v>
      </c>
      <c r="AV98" s="30" t="n">
        <v>0</v>
      </c>
      <c r="AW98" s="30" t="n">
        <v>0</v>
      </c>
      <c r="AX98" s="30" t="n">
        <v>0</v>
      </c>
      <c r="AY98" s="30" t="n">
        <v>0</v>
      </c>
      <c r="AZ98" s="30" t="n">
        <v>0</v>
      </c>
      <c r="BA98" s="30" t="n">
        <v>0</v>
      </c>
      <c r="BB98" s="30" t="n">
        <v>0</v>
      </c>
      <c r="BC98" s="30" t="n">
        <v>0</v>
      </c>
      <c r="BD98" s="30" t="n">
        <v>0</v>
      </c>
      <c r="BE98" s="30" t="n">
        <v>0</v>
      </c>
      <c r="BF98" s="30" t="n">
        <v>0</v>
      </c>
      <c r="BG98" s="30" t="n">
        <v>0</v>
      </c>
      <c r="BH98" s="30" t="n">
        <v>0</v>
      </c>
      <c r="BI98" s="30" t="n">
        <v>0</v>
      </c>
      <c r="BJ98" s="30" t="n">
        <v>0</v>
      </c>
      <c r="BK98" s="30" t="n">
        <v>0</v>
      </c>
      <c r="BL98" s="30" t="n">
        <v>0</v>
      </c>
      <c r="BM98" s="30" t="n">
        <v>0</v>
      </c>
      <c r="BN98" s="30" t="n">
        <v>0</v>
      </c>
      <c r="BO98" s="30" t="n">
        <v>0</v>
      </c>
      <c r="BP98" s="30" t="n">
        <v>0</v>
      </c>
      <c r="BQ98" s="30" t="n">
        <v>0</v>
      </c>
      <c r="BR98" s="30" t="n">
        <v>0</v>
      </c>
      <c r="BS98" s="30" t="n">
        <v>0</v>
      </c>
      <c r="BT98" s="30" t="n">
        <v>0</v>
      </c>
      <c r="BU98" s="30" t="n">
        <v>0</v>
      </c>
      <c r="BV98" s="30" t="n">
        <v>0</v>
      </c>
      <c r="BW98" s="30" t="n">
        <v>0</v>
      </c>
      <c r="BX98" s="30" t="n">
        <v>0</v>
      </c>
      <c r="BY98" s="30" t="n">
        <v>0</v>
      </c>
      <c r="BZ98" s="30" t="n">
        <v>0</v>
      </c>
      <c r="CA98" s="30" t="n">
        <v>0</v>
      </c>
      <c r="CB98" s="30" t="n">
        <v>0</v>
      </c>
      <c r="CC98" s="30" t="n">
        <v>0</v>
      </c>
      <c r="CD98" s="30" t="n">
        <v>0</v>
      </c>
      <c r="CE98" s="30" t="n">
        <v>0</v>
      </c>
      <c r="CF98" s="30" t="n">
        <v>0</v>
      </c>
      <c r="CG98" s="30" t="n">
        <v>0</v>
      </c>
      <c r="CH98" s="30" t="n">
        <v>0</v>
      </c>
      <c r="CI98" s="30" t="n">
        <v>0</v>
      </c>
      <c r="CJ98" s="30" t="n">
        <v>0</v>
      </c>
      <c r="CK98" s="30" t="n">
        <v>0</v>
      </c>
      <c r="CL98" s="30" t="n">
        <v>0</v>
      </c>
      <c r="CM98" s="30" t="n">
        <v>0</v>
      </c>
      <c r="CN98" s="30" t="n">
        <v>0</v>
      </c>
      <c r="CO98" s="30" t="n">
        <v>0</v>
      </c>
      <c r="CP98" s="30" t="n">
        <v>0</v>
      </c>
      <c r="CQ98" s="30" t="n">
        <v>0</v>
      </c>
      <c r="CR98" s="30" t="n">
        <v>0</v>
      </c>
      <c r="CS98" s="30" t="n">
        <v>0</v>
      </c>
      <c r="CT98" s="30" t="n">
        <v>0</v>
      </c>
      <c r="CU98" s="30" t="n">
        <v>0</v>
      </c>
      <c r="CV98" s="30" t="n">
        <v>0</v>
      </c>
      <c r="CW98" s="30" t="n">
        <v>0</v>
      </c>
      <c r="CX98" s="30" t="n">
        <v>0</v>
      </c>
      <c r="CY98" s="30" t="n">
        <v>0</v>
      </c>
      <c r="CZ98" s="30" t="n">
        <v>0</v>
      </c>
      <c r="DA98" s="30" t="n">
        <v>0</v>
      </c>
    </row>
    <row r="99">
      <c r="A99" t="inlineStr">
        <is>
          <t>TPP-920</t>
        </is>
      </c>
      <c r="B99" s="30" t="n">
        <v>0</v>
      </c>
      <c r="C99" s="30" t="n">
        <v>0</v>
      </c>
      <c r="D99" s="30" t="n">
        <v>0</v>
      </c>
      <c r="E99" s="30" t="n">
        <v>0</v>
      </c>
      <c r="F99" s="30" t="n">
        <v>0</v>
      </c>
      <c r="G99" s="30" t="n">
        <v>0</v>
      </c>
      <c r="H99" s="30" t="n">
        <v>0</v>
      </c>
      <c r="I99" s="30" t="n">
        <v>0</v>
      </c>
      <c r="J99" s="30" t="n">
        <v>0</v>
      </c>
      <c r="K99" s="30" t="n">
        <v>0</v>
      </c>
      <c r="L99" s="30" t="n">
        <v>0</v>
      </c>
      <c r="M99" s="30" t="n">
        <v>0</v>
      </c>
      <c r="N99" s="30" t="n">
        <v>0</v>
      </c>
      <c r="O99" s="30" t="n">
        <v>0</v>
      </c>
      <c r="P99" s="30" t="n">
        <v>0</v>
      </c>
      <c r="Q99" s="30" t="n">
        <v>0</v>
      </c>
      <c r="R99" s="30" t="n">
        <v>0</v>
      </c>
      <c r="S99" s="30" t="n">
        <v>0</v>
      </c>
      <c r="T99" s="30" t="n">
        <v>0</v>
      </c>
      <c r="U99" s="30" t="n">
        <v>0</v>
      </c>
      <c r="V99" s="30" t="n">
        <v>0</v>
      </c>
      <c r="W99" s="30" t="n">
        <v>0</v>
      </c>
      <c r="X99" s="30" t="n">
        <v>0</v>
      </c>
      <c r="Y99" s="30" t="n">
        <v>0</v>
      </c>
      <c r="Z99" s="30" t="n">
        <v>0</v>
      </c>
      <c r="AA99" s="30" t="n">
        <v>0</v>
      </c>
      <c r="AB99" s="30" t="n">
        <v>0</v>
      </c>
      <c r="AC99" s="30" t="n">
        <v>0</v>
      </c>
      <c r="AD99" s="30" t="n">
        <v>0</v>
      </c>
      <c r="AE99" s="30" t="n">
        <v>0</v>
      </c>
      <c r="AF99" s="30" t="n">
        <v>0</v>
      </c>
      <c r="AG99" s="30" t="n">
        <v>0</v>
      </c>
      <c r="AH99" s="30" t="n">
        <v>0</v>
      </c>
      <c r="AI99" s="30" t="n">
        <v>3</v>
      </c>
      <c r="AJ99" s="30" t="n">
        <v>0</v>
      </c>
      <c r="AK99" s="30" t="n">
        <v>0</v>
      </c>
      <c r="AL99" s="30" t="n">
        <v>0</v>
      </c>
      <c r="AM99" s="30" t="n">
        <v>0</v>
      </c>
      <c r="AN99" s="30" t="n">
        <v>0</v>
      </c>
      <c r="AO99" s="30" t="n">
        <v>2</v>
      </c>
      <c r="AP99" s="30" t="n">
        <v>0</v>
      </c>
      <c r="AQ99" s="30" t="n">
        <v>0</v>
      </c>
      <c r="AR99" s="30" t="n">
        <v>0</v>
      </c>
      <c r="AS99" s="30" t="n">
        <v>2</v>
      </c>
      <c r="AT99" s="30" t="n">
        <v>0</v>
      </c>
      <c r="AU99" s="30" t="n">
        <v>0</v>
      </c>
      <c r="AV99" s="30" t="n">
        <v>0</v>
      </c>
      <c r="AW99" s="30" t="n">
        <v>0</v>
      </c>
      <c r="AX99" s="30" t="n">
        <v>0</v>
      </c>
      <c r="AY99" s="30" t="n">
        <v>0</v>
      </c>
      <c r="AZ99" s="30" t="n">
        <v>0</v>
      </c>
      <c r="BA99" s="30" t="n">
        <v>0</v>
      </c>
      <c r="BB99" s="30" t="n">
        <v>0</v>
      </c>
      <c r="BC99" s="30" t="n">
        <v>0</v>
      </c>
      <c r="BD99" s="30" t="n">
        <v>0</v>
      </c>
      <c r="BE99" s="30" t="n">
        <v>0</v>
      </c>
      <c r="BF99" s="30" t="n">
        <v>0</v>
      </c>
      <c r="BG99" s="30" t="n">
        <v>0</v>
      </c>
      <c r="BH99" s="30" t="n">
        <v>0</v>
      </c>
      <c r="BI99" s="30" t="n">
        <v>0</v>
      </c>
      <c r="BJ99" s="30" t="n">
        <v>0</v>
      </c>
      <c r="BK99" s="30" t="n">
        <v>0</v>
      </c>
      <c r="BL99" s="30" t="n">
        <v>0</v>
      </c>
      <c r="BM99" s="30" t="n">
        <v>0</v>
      </c>
      <c r="BN99" s="30" t="n">
        <v>0</v>
      </c>
      <c r="BO99" s="30" t="n">
        <v>0</v>
      </c>
      <c r="BP99" s="30" t="n">
        <v>0</v>
      </c>
      <c r="BQ99" s="30" t="n">
        <v>0</v>
      </c>
      <c r="BR99" s="30" t="n">
        <v>0</v>
      </c>
      <c r="BS99" s="30" t="n">
        <v>0</v>
      </c>
      <c r="BT99" s="30" t="n">
        <v>0</v>
      </c>
      <c r="BU99" s="30" t="n">
        <v>0</v>
      </c>
      <c r="BV99" s="30" t="n">
        <v>0</v>
      </c>
      <c r="BW99" s="30" t="n">
        <v>0</v>
      </c>
      <c r="BX99" s="30" t="n">
        <v>0</v>
      </c>
      <c r="BY99" s="30" t="n">
        <v>0</v>
      </c>
      <c r="BZ99" s="30" t="n">
        <v>0</v>
      </c>
      <c r="CA99" s="30" t="n">
        <v>0</v>
      </c>
      <c r="CB99" s="30" t="n">
        <v>0</v>
      </c>
      <c r="CC99" s="30" t="n">
        <v>0</v>
      </c>
      <c r="CD99" s="30" t="n">
        <v>0</v>
      </c>
      <c r="CE99" s="30" t="n">
        <v>0</v>
      </c>
      <c r="CF99" s="30" t="n">
        <v>0</v>
      </c>
      <c r="CG99" s="30" t="n">
        <v>0</v>
      </c>
      <c r="CH99" s="30" t="n">
        <v>0</v>
      </c>
      <c r="CI99" s="30" t="n">
        <v>0</v>
      </c>
      <c r="CJ99" s="30" t="n">
        <v>0</v>
      </c>
      <c r="CK99" s="30" t="n">
        <v>0</v>
      </c>
      <c r="CL99" s="30" t="n">
        <v>0</v>
      </c>
      <c r="CM99" s="30" t="n">
        <v>0</v>
      </c>
      <c r="CN99" s="30" t="n">
        <v>0</v>
      </c>
      <c r="CO99" s="30" t="n">
        <v>0</v>
      </c>
      <c r="CP99" s="30" t="n">
        <v>0</v>
      </c>
      <c r="CQ99" s="30" t="n">
        <v>0</v>
      </c>
      <c r="CR99" s="30" t="n">
        <v>0</v>
      </c>
      <c r="CS99" s="30" t="n">
        <v>0</v>
      </c>
      <c r="CT99" s="30" t="n">
        <v>0</v>
      </c>
      <c r="CU99" s="30" t="n">
        <v>0</v>
      </c>
      <c r="CV99" s="30" t="n">
        <v>0</v>
      </c>
      <c r="CW99" s="30" t="n">
        <v>0</v>
      </c>
      <c r="CX99" s="30" t="n">
        <v>0</v>
      </c>
      <c r="CY99" s="30" t="n">
        <v>0</v>
      </c>
      <c r="CZ99" s="30" t="n">
        <v>0</v>
      </c>
      <c r="DA99" s="30" t="n">
        <v>0</v>
      </c>
    </row>
    <row r="100">
      <c r="A100" t="inlineStr">
        <is>
          <t>TPP-922</t>
        </is>
      </c>
      <c r="B100" s="30" t="n">
        <v>0</v>
      </c>
      <c r="C100" s="30" t="n">
        <v>0</v>
      </c>
      <c r="D100" s="30" t="n">
        <v>0</v>
      </c>
      <c r="E100" s="30" t="n">
        <v>0</v>
      </c>
      <c r="F100" s="30" t="n">
        <v>0</v>
      </c>
      <c r="G100" s="30" t="n">
        <v>0</v>
      </c>
      <c r="H100" s="30" t="n">
        <v>0</v>
      </c>
      <c r="I100" s="30" t="n">
        <v>0</v>
      </c>
      <c r="J100" s="30" t="n">
        <v>0</v>
      </c>
      <c r="K100" s="30" t="n">
        <v>0</v>
      </c>
      <c r="L100" s="30" t="n">
        <v>0</v>
      </c>
      <c r="M100" s="30" t="n">
        <v>0</v>
      </c>
      <c r="N100" s="30" t="n">
        <v>0</v>
      </c>
      <c r="O100" s="30" t="n">
        <v>0</v>
      </c>
      <c r="P100" s="30" t="n">
        <v>0</v>
      </c>
      <c r="Q100" s="30" t="n">
        <v>0</v>
      </c>
      <c r="R100" s="30" t="n">
        <v>0</v>
      </c>
      <c r="S100" s="30" t="n">
        <v>0</v>
      </c>
      <c r="T100" s="30" t="n">
        <v>0</v>
      </c>
      <c r="U100" s="30" t="n">
        <v>0</v>
      </c>
      <c r="V100" s="30" t="n">
        <v>0</v>
      </c>
      <c r="W100" s="30" t="n">
        <v>0</v>
      </c>
      <c r="X100" s="30" t="n">
        <v>0</v>
      </c>
      <c r="Y100" s="30" t="n">
        <v>0</v>
      </c>
      <c r="Z100" s="30" t="n">
        <v>0</v>
      </c>
      <c r="AA100" s="30" t="n">
        <v>0</v>
      </c>
      <c r="AB100" s="30" t="n">
        <v>0</v>
      </c>
      <c r="AC100" s="30" t="n">
        <v>0</v>
      </c>
      <c r="AD100" s="30" t="n">
        <v>0</v>
      </c>
      <c r="AE100" s="30" t="n">
        <v>0</v>
      </c>
      <c r="AF100" s="30" t="n">
        <v>0</v>
      </c>
      <c r="AG100" s="30" t="n">
        <v>0</v>
      </c>
      <c r="AH100" s="30" t="n">
        <v>0</v>
      </c>
      <c r="AI100" s="30" t="n">
        <v>0</v>
      </c>
      <c r="AJ100" s="30" t="n">
        <v>0</v>
      </c>
      <c r="AK100" s="30" t="n">
        <v>0</v>
      </c>
      <c r="AL100" s="30" t="n">
        <v>0</v>
      </c>
      <c r="AM100" s="30" t="n">
        <v>0</v>
      </c>
      <c r="AN100" s="30" t="n">
        <v>0</v>
      </c>
      <c r="AO100" s="30" t="n">
        <v>0</v>
      </c>
      <c r="AP100" s="30" t="n">
        <v>0</v>
      </c>
      <c r="AQ100" s="30" t="n">
        <v>0</v>
      </c>
      <c r="AR100" s="30" t="n">
        <v>0</v>
      </c>
      <c r="AS100" s="30" t="n">
        <v>0</v>
      </c>
      <c r="AT100" s="30" t="n">
        <v>0</v>
      </c>
      <c r="AU100" s="30" t="n">
        <v>0</v>
      </c>
      <c r="AV100" s="30" t="n">
        <v>0</v>
      </c>
      <c r="AW100" s="30" t="n">
        <v>0</v>
      </c>
      <c r="AX100" s="30" t="n">
        <v>0</v>
      </c>
      <c r="AY100" s="30" t="n">
        <v>0</v>
      </c>
      <c r="AZ100" s="30" t="n">
        <v>0</v>
      </c>
      <c r="BA100" s="30" t="n">
        <v>0</v>
      </c>
      <c r="BB100" s="30" t="n">
        <v>0</v>
      </c>
      <c r="BC100" s="30" t="n">
        <v>0</v>
      </c>
      <c r="BD100" s="30" t="n">
        <v>0</v>
      </c>
      <c r="BE100" s="30" t="n">
        <v>0</v>
      </c>
      <c r="BF100" s="30" t="n">
        <v>0</v>
      </c>
      <c r="BG100" s="30" t="n">
        <v>0</v>
      </c>
      <c r="BH100" s="30" t="n">
        <v>0</v>
      </c>
      <c r="BI100" s="30" t="n">
        <v>0</v>
      </c>
      <c r="BJ100" s="30" t="n">
        <v>0</v>
      </c>
      <c r="BK100" s="30" t="n">
        <v>0</v>
      </c>
      <c r="BL100" s="30" t="n">
        <v>0</v>
      </c>
      <c r="BM100" s="30" t="n">
        <v>0</v>
      </c>
      <c r="BN100" s="30" t="n">
        <v>0</v>
      </c>
      <c r="BO100" s="30" t="n">
        <v>0</v>
      </c>
      <c r="BP100" s="30" t="n">
        <v>0</v>
      </c>
      <c r="BQ100" s="30" t="n">
        <v>0</v>
      </c>
      <c r="BR100" s="30" t="n">
        <v>0</v>
      </c>
      <c r="BS100" s="30" t="n">
        <v>0</v>
      </c>
      <c r="BT100" s="30" t="n">
        <v>0</v>
      </c>
      <c r="BU100" s="30" t="n">
        <v>0</v>
      </c>
      <c r="BV100" s="30" t="n">
        <v>0</v>
      </c>
      <c r="BW100" s="30" t="n">
        <v>0</v>
      </c>
      <c r="BX100" s="30" t="n">
        <v>0</v>
      </c>
      <c r="BY100" s="30" t="n">
        <v>0</v>
      </c>
      <c r="BZ100" s="30" t="n">
        <v>0</v>
      </c>
      <c r="CA100" s="30" t="n">
        <v>0</v>
      </c>
      <c r="CB100" s="30" t="n">
        <v>0</v>
      </c>
      <c r="CC100" s="30" t="n">
        <v>0</v>
      </c>
      <c r="CD100" s="30" t="n">
        <v>0</v>
      </c>
      <c r="CE100" s="30" t="n">
        <v>0</v>
      </c>
      <c r="CF100" s="30" t="n">
        <v>0</v>
      </c>
      <c r="CG100" s="30" t="n">
        <v>0</v>
      </c>
      <c r="CH100" s="30" t="n">
        <v>0</v>
      </c>
      <c r="CI100" s="30" t="n">
        <v>0</v>
      </c>
      <c r="CJ100" s="30" t="n">
        <v>0</v>
      </c>
      <c r="CK100" s="30" t="n">
        <v>0</v>
      </c>
      <c r="CL100" s="30" t="n">
        <v>0</v>
      </c>
      <c r="CM100" s="30" t="n">
        <v>0</v>
      </c>
      <c r="CN100" s="30" t="n">
        <v>0</v>
      </c>
      <c r="CO100" s="30" t="n">
        <v>0</v>
      </c>
      <c r="CP100" s="30" t="n">
        <v>0</v>
      </c>
      <c r="CQ100" s="30" t="n">
        <v>0</v>
      </c>
      <c r="CR100" s="30" t="n">
        <v>0</v>
      </c>
      <c r="CS100" s="30" t="n">
        <v>0</v>
      </c>
      <c r="CT100" s="30" t="n">
        <v>0</v>
      </c>
      <c r="CU100" s="30" t="n">
        <v>0</v>
      </c>
      <c r="CV100" s="30" t="n">
        <v>0</v>
      </c>
      <c r="CW100" s="30" t="n">
        <v>0</v>
      </c>
      <c r="CX100" s="30" t="n">
        <v>0</v>
      </c>
      <c r="CY100" s="30" t="n">
        <v>0</v>
      </c>
      <c r="CZ100" s="30" t="n">
        <v>0</v>
      </c>
      <c r="DA100" s="30" t="n">
        <v>0</v>
      </c>
    </row>
    <row r="101">
      <c r="A101" t="inlineStr">
        <is>
          <t>TPP-923</t>
        </is>
      </c>
      <c r="B101" s="30" t="n">
        <v>0</v>
      </c>
      <c r="C101" s="30" t="n">
        <v>0</v>
      </c>
      <c r="D101" s="30" t="n">
        <v>0</v>
      </c>
      <c r="E101" s="30" t="n">
        <v>0</v>
      </c>
      <c r="F101" s="30" t="n">
        <v>0</v>
      </c>
      <c r="G101" s="30" t="n">
        <v>0</v>
      </c>
      <c r="H101" s="30" t="n">
        <v>0</v>
      </c>
      <c r="I101" s="30" t="n">
        <v>0</v>
      </c>
      <c r="J101" s="30" t="n">
        <v>0</v>
      </c>
      <c r="K101" s="30" t="n">
        <v>0</v>
      </c>
      <c r="L101" s="30" t="n">
        <v>0</v>
      </c>
      <c r="M101" s="30" t="n">
        <v>0</v>
      </c>
      <c r="N101" s="30" t="n">
        <v>0</v>
      </c>
      <c r="O101" s="30" t="n">
        <v>0</v>
      </c>
      <c r="P101" s="30" t="n">
        <v>0</v>
      </c>
      <c r="Q101" s="30" t="n">
        <v>0</v>
      </c>
      <c r="R101" s="30" t="n">
        <v>0</v>
      </c>
      <c r="S101" s="30" t="n">
        <v>0</v>
      </c>
      <c r="T101" s="30" t="n">
        <v>0</v>
      </c>
      <c r="U101" s="30" t="n">
        <v>0</v>
      </c>
      <c r="V101" s="30" t="n">
        <v>0</v>
      </c>
      <c r="W101" s="30" t="n">
        <v>0</v>
      </c>
      <c r="X101" s="30" t="n">
        <v>0</v>
      </c>
      <c r="Y101" s="30" t="n">
        <v>0</v>
      </c>
      <c r="Z101" s="30" t="n">
        <v>0</v>
      </c>
      <c r="AA101" s="30" t="n">
        <v>0</v>
      </c>
      <c r="AB101" s="30" t="n">
        <v>0</v>
      </c>
      <c r="AC101" s="30" t="n">
        <v>0</v>
      </c>
      <c r="AD101" s="30" t="n">
        <v>0</v>
      </c>
      <c r="AE101" s="30" t="n">
        <v>0</v>
      </c>
      <c r="AF101" s="30" t="n">
        <v>0</v>
      </c>
      <c r="AG101" s="30" t="n">
        <v>0</v>
      </c>
      <c r="AH101" s="30" t="n">
        <v>0</v>
      </c>
      <c r="AI101" s="30" t="n">
        <v>4</v>
      </c>
      <c r="AJ101" s="30" t="n">
        <v>0</v>
      </c>
      <c r="AK101" s="30" t="n">
        <v>0</v>
      </c>
      <c r="AL101" s="30" t="n">
        <v>0</v>
      </c>
      <c r="AM101" s="30" t="n">
        <v>0</v>
      </c>
      <c r="AN101" s="30" t="n">
        <v>0</v>
      </c>
      <c r="AO101" s="30" t="n">
        <v>0</v>
      </c>
      <c r="AP101" s="30" t="n">
        <v>0</v>
      </c>
      <c r="AQ101" s="30" t="n">
        <v>0</v>
      </c>
      <c r="AR101" s="30" t="n">
        <v>2</v>
      </c>
      <c r="AS101" s="30" t="n">
        <v>0</v>
      </c>
      <c r="AT101" s="30" t="n">
        <v>0</v>
      </c>
      <c r="AU101" s="30" t="n">
        <v>0</v>
      </c>
      <c r="AV101" s="30" t="n">
        <v>0</v>
      </c>
      <c r="AW101" s="30" t="n">
        <v>0</v>
      </c>
      <c r="AX101" s="30" t="n">
        <v>0</v>
      </c>
      <c r="AY101" s="30" t="n">
        <v>0</v>
      </c>
      <c r="AZ101" s="30" t="n">
        <v>0</v>
      </c>
      <c r="BA101" s="30" t="n">
        <v>0</v>
      </c>
      <c r="BB101" s="30" t="n">
        <v>0</v>
      </c>
      <c r="BC101" s="30" t="n">
        <v>0</v>
      </c>
      <c r="BD101" s="30" t="n">
        <v>0</v>
      </c>
      <c r="BE101" s="30" t="n">
        <v>0</v>
      </c>
      <c r="BF101" s="30" t="n">
        <v>0</v>
      </c>
      <c r="BG101" s="30" t="n">
        <v>0</v>
      </c>
      <c r="BH101" s="30" t="n">
        <v>0</v>
      </c>
      <c r="BI101" s="30" t="n">
        <v>0</v>
      </c>
      <c r="BJ101" s="30" t="n">
        <v>0</v>
      </c>
      <c r="BK101" s="30" t="n">
        <v>0</v>
      </c>
      <c r="BL101" s="30" t="n">
        <v>0</v>
      </c>
      <c r="BM101" s="30" t="n">
        <v>0</v>
      </c>
      <c r="BN101" s="30" t="n">
        <v>0</v>
      </c>
      <c r="BO101" s="30" t="n">
        <v>0</v>
      </c>
      <c r="BP101" s="30" t="n">
        <v>0</v>
      </c>
      <c r="BQ101" s="30" t="n">
        <v>0</v>
      </c>
      <c r="BR101" s="30" t="n">
        <v>0</v>
      </c>
      <c r="BS101" s="30" t="n">
        <v>0</v>
      </c>
      <c r="BT101" s="30" t="n">
        <v>0</v>
      </c>
      <c r="BU101" s="30" t="n">
        <v>0</v>
      </c>
      <c r="BV101" s="30" t="n">
        <v>0</v>
      </c>
      <c r="BW101" s="30" t="n">
        <v>0</v>
      </c>
      <c r="BX101" s="30" t="n">
        <v>0</v>
      </c>
      <c r="BY101" s="30" t="n">
        <v>0</v>
      </c>
      <c r="BZ101" s="30" t="n">
        <v>0</v>
      </c>
      <c r="CA101" s="30" t="n">
        <v>0</v>
      </c>
      <c r="CB101" s="30" t="n">
        <v>0</v>
      </c>
      <c r="CC101" s="30" t="n">
        <v>0</v>
      </c>
      <c r="CD101" s="30" t="n">
        <v>0</v>
      </c>
      <c r="CE101" s="30" t="n">
        <v>0</v>
      </c>
      <c r="CF101" s="30" t="n">
        <v>0</v>
      </c>
      <c r="CG101" s="30" t="n">
        <v>0</v>
      </c>
      <c r="CH101" s="30" t="n">
        <v>0</v>
      </c>
      <c r="CI101" s="30" t="n">
        <v>0</v>
      </c>
      <c r="CJ101" s="30" t="n">
        <v>0</v>
      </c>
      <c r="CK101" s="30" t="n">
        <v>0</v>
      </c>
      <c r="CL101" s="30" t="n">
        <v>0</v>
      </c>
      <c r="CM101" s="30" t="n">
        <v>0</v>
      </c>
      <c r="CN101" s="30" t="n">
        <v>0</v>
      </c>
      <c r="CO101" s="30" t="n">
        <v>0</v>
      </c>
      <c r="CP101" s="30" t="n">
        <v>0</v>
      </c>
      <c r="CQ101" s="30" t="n">
        <v>0</v>
      </c>
      <c r="CR101" s="30" t="n">
        <v>0</v>
      </c>
      <c r="CS101" s="30" t="n">
        <v>0</v>
      </c>
      <c r="CT101" s="30" t="n">
        <v>0</v>
      </c>
      <c r="CU101" s="30" t="n">
        <v>0</v>
      </c>
      <c r="CV101" s="30" t="n">
        <v>0</v>
      </c>
      <c r="CW101" s="30" t="n">
        <v>0</v>
      </c>
      <c r="CX101" s="30" t="n">
        <v>0</v>
      </c>
      <c r="CY101" s="30" t="n">
        <v>0</v>
      </c>
      <c r="CZ101" s="30" t="n">
        <v>0</v>
      </c>
      <c r="DA101" s="30" t="n">
        <v>0</v>
      </c>
    </row>
    <row r="102">
      <c r="A102" t="inlineStr">
        <is>
          <t>TPP-968</t>
        </is>
      </c>
      <c r="B102" s="30" t="n">
        <v>0</v>
      </c>
      <c r="C102" s="30" t="n">
        <v>0</v>
      </c>
      <c r="D102" s="30" t="n">
        <v>0</v>
      </c>
      <c r="E102" s="30" t="n">
        <v>0</v>
      </c>
      <c r="F102" s="30" t="n">
        <v>0</v>
      </c>
      <c r="G102" s="30" t="n">
        <v>0</v>
      </c>
      <c r="H102" s="30" t="n">
        <v>0</v>
      </c>
      <c r="I102" s="30" t="n">
        <v>0</v>
      </c>
      <c r="J102" s="30" t="n">
        <v>0</v>
      </c>
      <c r="K102" s="30" t="n">
        <v>0</v>
      </c>
      <c r="L102" s="30" t="n">
        <v>0</v>
      </c>
      <c r="M102" s="30" t="n">
        <v>0</v>
      </c>
      <c r="N102" s="30" t="n">
        <v>0</v>
      </c>
      <c r="O102" s="30" t="n">
        <v>0</v>
      </c>
      <c r="P102" s="30" t="n">
        <v>0</v>
      </c>
      <c r="Q102" s="30" t="n">
        <v>0</v>
      </c>
      <c r="R102" s="30" t="n">
        <v>0</v>
      </c>
      <c r="S102" s="30" t="n">
        <v>0</v>
      </c>
      <c r="T102" s="30" t="n">
        <v>0</v>
      </c>
      <c r="U102" s="30" t="n">
        <v>0</v>
      </c>
      <c r="V102" s="30" t="n">
        <v>0</v>
      </c>
      <c r="W102" s="30" t="n">
        <v>0</v>
      </c>
      <c r="X102" s="30" t="n">
        <v>0</v>
      </c>
      <c r="Y102" s="30" t="n">
        <v>0</v>
      </c>
      <c r="Z102" s="30" t="n">
        <v>0</v>
      </c>
      <c r="AA102" s="30" t="n">
        <v>0</v>
      </c>
      <c r="AB102" s="30" t="n">
        <v>0</v>
      </c>
      <c r="AC102" s="30" t="n">
        <v>0</v>
      </c>
      <c r="AD102" s="30" t="n">
        <v>0</v>
      </c>
      <c r="AE102" s="30" t="n">
        <v>0</v>
      </c>
      <c r="AF102" s="30" t="n">
        <v>0</v>
      </c>
      <c r="AG102" s="30" t="n">
        <v>0</v>
      </c>
      <c r="AH102" s="30" t="n">
        <v>0</v>
      </c>
      <c r="AI102" s="30" t="n">
        <v>0</v>
      </c>
      <c r="AJ102" s="30" t="n">
        <v>0</v>
      </c>
      <c r="AK102" s="30" t="n">
        <v>0</v>
      </c>
      <c r="AL102" s="30" t="n">
        <v>0</v>
      </c>
      <c r="AM102" s="30" t="n">
        <v>0</v>
      </c>
      <c r="AN102" s="30" t="n">
        <v>0</v>
      </c>
      <c r="AO102" s="30" t="n">
        <v>0</v>
      </c>
      <c r="AP102" s="30" t="n">
        <v>0</v>
      </c>
      <c r="AQ102" s="30" t="n">
        <v>0</v>
      </c>
      <c r="AR102" s="30" t="n">
        <v>0</v>
      </c>
      <c r="AS102" s="30" t="n">
        <v>0</v>
      </c>
      <c r="AT102" s="30" t="n">
        <v>0</v>
      </c>
      <c r="AU102" s="30" t="n">
        <v>0</v>
      </c>
      <c r="AV102" s="30" t="n">
        <v>0</v>
      </c>
      <c r="AW102" s="30" t="n">
        <v>0</v>
      </c>
      <c r="AX102" s="30" t="n">
        <v>0</v>
      </c>
      <c r="AY102" s="30" t="n">
        <v>0</v>
      </c>
      <c r="AZ102" s="30" t="n">
        <v>0</v>
      </c>
      <c r="BA102" s="30" t="n">
        <v>0</v>
      </c>
      <c r="BB102" s="30" t="n">
        <v>0</v>
      </c>
      <c r="BC102" s="30" t="n">
        <v>0</v>
      </c>
      <c r="BD102" s="30" t="n">
        <v>0</v>
      </c>
      <c r="BE102" s="30" t="n">
        <v>0</v>
      </c>
      <c r="BF102" s="30" t="n">
        <v>0</v>
      </c>
      <c r="BG102" s="30" t="n">
        <v>0</v>
      </c>
      <c r="BH102" s="30" t="n">
        <v>0</v>
      </c>
      <c r="BI102" s="30" t="n">
        <v>0</v>
      </c>
      <c r="BJ102" s="30" t="n">
        <v>0</v>
      </c>
      <c r="BK102" s="30" t="n">
        <v>0</v>
      </c>
      <c r="BL102" s="30" t="n">
        <v>0</v>
      </c>
      <c r="BM102" s="30" t="n">
        <v>0</v>
      </c>
      <c r="BN102" s="30" t="n">
        <v>0</v>
      </c>
      <c r="BO102" s="30" t="n">
        <v>0</v>
      </c>
      <c r="BP102" s="30" t="n">
        <v>0</v>
      </c>
      <c r="BQ102" s="30" t="n">
        <v>0</v>
      </c>
      <c r="BR102" s="30" t="n">
        <v>0</v>
      </c>
      <c r="BS102" s="30" t="n">
        <v>0</v>
      </c>
      <c r="BT102" s="30" t="n">
        <v>0</v>
      </c>
      <c r="BU102" s="30" t="n">
        <v>0</v>
      </c>
      <c r="BV102" s="30" t="n">
        <v>0</v>
      </c>
      <c r="BW102" s="30" t="n">
        <v>0</v>
      </c>
      <c r="BX102" s="30" t="n">
        <v>0</v>
      </c>
      <c r="BY102" s="30" t="n">
        <v>0</v>
      </c>
      <c r="BZ102" s="30" t="n">
        <v>0</v>
      </c>
      <c r="CA102" s="30" t="n">
        <v>0</v>
      </c>
      <c r="CB102" s="30" t="n">
        <v>0</v>
      </c>
      <c r="CC102" s="30" t="n">
        <v>0</v>
      </c>
      <c r="CD102" s="30" t="n">
        <v>0</v>
      </c>
      <c r="CE102" s="30" t="n">
        <v>0</v>
      </c>
      <c r="CF102" s="30" t="n">
        <v>0</v>
      </c>
      <c r="CG102" s="30" t="n">
        <v>0</v>
      </c>
      <c r="CH102" s="30" t="n">
        <v>0</v>
      </c>
      <c r="CI102" s="30" t="n">
        <v>0</v>
      </c>
      <c r="CJ102" s="30" t="n">
        <v>0</v>
      </c>
      <c r="CK102" s="30" t="n">
        <v>0</v>
      </c>
      <c r="CL102" s="30" t="n">
        <v>0</v>
      </c>
      <c r="CM102" s="30" t="n">
        <v>0</v>
      </c>
      <c r="CN102" s="30" t="n">
        <v>0</v>
      </c>
      <c r="CO102" s="30" t="n">
        <v>0</v>
      </c>
      <c r="CP102" s="30" t="n">
        <v>0</v>
      </c>
      <c r="CQ102" s="30" t="n">
        <v>0</v>
      </c>
      <c r="CR102" s="30" t="n">
        <v>0</v>
      </c>
      <c r="CS102" s="30" t="n">
        <v>0</v>
      </c>
      <c r="CT102" s="30" t="n">
        <v>0</v>
      </c>
      <c r="CU102" s="30" t="n">
        <v>0</v>
      </c>
      <c r="CV102" s="30" t="n">
        <v>0</v>
      </c>
      <c r="CW102" s="30" t="n">
        <v>0</v>
      </c>
      <c r="CX102" s="30" t="n">
        <v>0</v>
      </c>
      <c r="CY102" s="30" t="n">
        <v>0</v>
      </c>
      <c r="CZ102" s="30" t="n">
        <v>0</v>
      </c>
      <c r="DA102" s="30" t="n">
        <v>0</v>
      </c>
    </row>
    <row r="103">
      <c r="A103" t="inlineStr">
        <is>
          <t>TPP-970</t>
        </is>
      </c>
      <c r="B103" s="30" t="n">
        <v>0</v>
      </c>
      <c r="C103" s="30" t="n">
        <v>0</v>
      </c>
      <c r="D103" s="30" t="n">
        <v>0</v>
      </c>
      <c r="E103" s="30" t="n">
        <v>0</v>
      </c>
      <c r="F103" s="30" t="n">
        <v>0</v>
      </c>
      <c r="G103" s="30" t="n">
        <v>0</v>
      </c>
      <c r="H103" s="30" t="n">
        <v>0</v>
      </c>
      <c r="I103" s="30" t="n">
        <v>0</v>
      </c>
      <c r="J103" s="30" t="n">
        <v>0</v>
      </c>
      <c r="K103" s="30" t="n">
        <v>0</v>
      </c>
      <c r="L103" s="30" t="n">
        <v>0</v>
      </c>
      <c r="M103" s="30" t="n">
        <v>0</v>
      </c>
      <c r="N103" s="30" t="n">
        <v>0</v>
      </c>
      <c r="O103" s="30" t="n">
        <v>0</v>
      </c>
      <c r="P103" s="30" t="n">
        <v>0</v>
      </c>
      <c r="Q103" s="30" t="n">
        <v>0</v>
      </c>
      <c r="R103" s="30" t="n">
        <v>0</v>
      </c>
      <c r="S103" s="30" t="n">
        <v>0</v>
      </c>
      <c r="T103" s="30" t="n">
        <v>0</v>
      </c>
      <c r="U103" s="30" t="n">
        <v>0</v>
      </c>
      <c r="V103" s="30" t="n">
        <v>0</v>
      </c>
      <c r="W103" s="30" t="n">
        <v>0</v>
      </c>
      <c r="X103" s="30" t="n">
        <v>0</v>
      </c>
      <c r="Y103" s="30" t="n">
        <v>0</v>
      </c>
      <c r="Z103" s="30" t="n">
        <v>0</v>
      </c>
      <c r="AA103" s="30" t="n">
        <v>0</v>
      </c>
      <c r="AB103" s="30" t="n">
        <v>0</v>
      </c>
      <c r="AC103" s="30" t="n">
        <v>0</v>
      </c>
      <c r="AD103" s="30" t="n">
        <v>0</v>
      </c>
      <c r="AE103" s="30" t="n">
        <v>0</v>
      </c>
      <c r="AF103" s="30" t="n">
        <v>0</v>
      </c>
      <c r="AG103" s="30" t="n">
        <v>0</v>
      </c>
      <c r="AH103" s="30" t="n">
        <v>0</v>
      </c>
      <c r="AI103" s="30" t="n">
        <v>0</v>
      </c>
      <c r="AJ103" s="30" t="n">
        <v>0</v>
      </c>
      <c r="AK103" s="30" t="n">
        <v>0</v>
      </c>
      <c r="AL103" s="30" t="n">
        <v>0</v>
      </c>
      <c r="AM103" s="30" t="n">
        <v>0</v>
      </c>
      <c r="AN103" s="30" t="n">
        <v>0</v>
      </c>
      <c r="AO103" s="30" t="n">
        <v>0</v>
      </c>
      <c r="AP103" s="30" t="n">
        <v>0</v>
      </c>
      <c r="AQ103" s="30" t="n">
        <v>0</v>
      </c>
      <c r="AR103" s="30" t="n">
        <v>0</v>
      </c>
      <c r="AS103" s="30" t="n">
        <v>0</v>
      </c>
      <c r="AT103" s="30" t="n">
        <v>0</v>
      </c>
      <c r="AU103" s="30" t="n">
        <v>0</v>
      </c>
      <c r="AV103" s="30" t="n">
        <v>0</v>
      </c>
      <c r="AW103" s="30" t="n">
        <v>0</v>
      </c>
      <c r="AX103" s="30" t="n">
        <v>0</v>
      </c>
      <c r="AY103" s="30" t="n">
        <v>0</v>
      </c>
      <c r="AZ103" s="30" t="n">
        <v>0</v>
      </c>
      <c r="BA103" s="30" t="n">
        <v>0</v>
      </c>
      <c r="BB103" s="30" t="n">
        <v>0</v>
      </c>
      <c r="BC103" s="30" t="n">
        <v>0</v>
      </c>
      <c r="BD103" s="30" t="n">
        <v>0</v>
      </c>
      <c r="BE103" s="30" t="n">
        <v>0</v>
      </c>
      <c r="BF103" s="30" t="n">
        <v>0</v>
      </c>
      <c r="BG103" s="30" t="n">
        <v>0</v>
      </c>
      <c r="BH103" s="30" t="n">
        <v>0</v>
      </c>
      <c r="BI103" s="30" t="n">
        <v>0</v>
      </c>
      <c r="BJ103" s="30" t="n">
        <v>0</v>
      </c>
      <c r="BK103" s="30" t="n">
        <v>0</v>
      </c>
      <c r="BL103" s="30" t="n">
        <v>0</v>
      </c>
      <c r="BM103" s="30" t="n">
        <v>0</v>
      </c>
      <c r="BN103" s="30" t="n">
        <v>0</v>
      </c>
      <c r="BO103" s="30" t="n">
        <v>0</v>
      </c>
      <c r="BP103" s="30" t="n">
        <v>0</v>
      </c>
      <c r="BQ103" s="30" t="n">
        <v>0</v>
      </c>
      <c r="BR103" s="30" t="n">
        <v>0</v>
      </c>
      <c r="BS103" s="30" t="n">
        <v>0</v>
      </c>
      <c r="BT103" s="30" t="n">
        <v>0</v>
      </c>
      <c r="BU103" s="30" t="n">
        <v>0</v>
      </c>
      <c r="BV103" s="30" t="n">
        <v>0</v>
      </c>
      <c r="BW103" s="30" t="n">
        <v>0</v>
      </c>
      <c r="BX103" s="30" t="n">
        <v>0</v>
      </c>
      <c r="BY103" s="30" t="n">
        <v>0</v>
      </c>
      <c r="BZ103" s="30" t="n">
        <v>0</v>
      </c>
      <c r="CA103" s="30" t="n">
        <v>0</v>
      </c>
      <c r="CB103" s="30" t="n">
        <v>0</v>
      </c>
      <c r="CC103" s="30" t="n">
        <v>0</v>
      </c>
      <c r="CD103" s="30" t="n">
        <v>0</v>
      </c>
      <c r="CE103" s="30" t="n">
        <v>0</v>
      </c>
      <c r="CF103" s="30" t="n">
        <v>0</v>
      </c>
      <c r="CG103" s="30" t="n">
        <v>0</v>
      </c>
      <c r="CH103" s="30" t="n">
        <v>0</v>
      </c>
      <c r="CI103" s="30" t="n">
        <v>0</v>
      </c>
      <c r="CJ103" s="30" t="n">
        <v>0</v>
      </c>
      <c r="CK103" s="30" t="n">
        <v>0</v>
      </c>
      <c r="CL103" s="30" t="n">
        <v>0</v>
      </c>
      <c r="CM103" s="30" t="n">
        <v>0</v>
      </c>
      <c r="CN103" s="30" t="n">
        <v>0</v>
      </c>
      <c r="CO103" s="30" t="n">
        <v>0</v>
      </c>
      <c r="CP103" s="30" t="n">
        <v>0</v>
      </c>
      <c r="CQ103" s="30" t="n">
        <v>0</v>
      </c>
      <c r="CR103" s="30" t="n">
        <v>0</v>
      </c>
      <c r="CS103" s="30" t="n">
        <v>0</v>
      </c>
      <c r="CT103" s="30" t="n">
        <v>0</v>
      </c>
      <c r="CU103" s="30" t="n">
        <v>0</v>
      </c>
      <c r="CV103" s="30" t="n">
        <v>0</v>
      </c>
      <c r="CW103" s="30" t="n">
        <v>0</v>
      </c>
      <c r="CX103" s="30" t="n">
        <v>0</v>
      </c>
      <c r="CY103" s="30" t="n">
        <v>0</v>
      </c>
      <c r="CZ103" s="30" t="n">
        <v>0</v>
      </c>
      <c r="DA103" s="30" t="n">
        <v>0</v>
      </c>
    </row>
    <row r="104">
      <c r="A104" t="inlineStr">
        <is>
          <t>SOL-10H</t>
        </is>
      </c>
      <c r="B104" s="30" t="n">
        <v>0</v>
      </c>
      <c r="C104" s="30" t="n">
        <v>0</v>
      </c>
      <c r="D104" s="30" t="n">
        <v>0</v>
      </c>
      <c r="E104" s="30" t="n">
        <v>0</v>
      </c>
      <c r="F104" s="30" t="n">
        <v>0</v>
      </c>
      <c r="G104" s="30" t="n">
        <v>0</v>
      </c>
      <c r="H104" s="30" t="n">
        <v>0</v>
      </c>
      <c r="I104" s="30" t="n">
        <v>0</v>
      </c>
      <c r="J104" s="30" t="n">
        <v>0</v>
      </c>
      <c r="K104" s="30" t="n">
        <v>0</v>
      </c>
      <c r="L104" s="30" t="n">
        <v>0</v>
      </c>
      <c r="M104" s="30" t="n">
        <v>0</v>
      </c>
      <c r="N104" s="30" t="n">
        <v>0</v>
      </c>
      <c r="O104" s="30" t="n">
        <v>0</v>
      </c>
      <c r="P104" s="30" t="n">
        <v>0</v>
      </c>
      <c r="Q104" s="30" t="n">
        <v>0</v>
      </c>
      <c r="R104" s="30" t="n">
        <v>0</v>
      </c>
      <c r="S104" s="30" t="n">
        <v>0</v>
      </c>
      <c r="T104" s="30" t="n">
        <v>0</v>
      </c>
      <c r="U104" s="30" t="n">
        <v>0</v>
      </c>
      <c r="V104" s="30" t="n">
        <v>0</v>
      </c>
      <c r="W104" s="30" t="n">
        <v>0</v>
      </c>
      <c r="X104" s="30" t="n">
        <v>0</v>
      </c>
      <c r="Y104" s="30" t="n">
        <v>0</v>
      </c>
      <c r="Z104" s="30" t="n">
        <v>1</v>
      </c>
      <c r="AA104" s="30" t="n">
        <v>2</v>
      </c>
      <c r="AB104" s="30" t="n">
        <v>3</v>
      </c>
      <c r="AC104" s="30" t="n">
        <v>3</v>
      </c>
      <c r="AD104" s="30" t="n">
        <v>2</v>
      </c>
      <c r="AE104" s="30" t="n">
        <v>1</v>
      </c>
      <c r="AF104" s="30" t="n">
        <v>2</v>
      </c>
      <c r="AG104" s="30" t="n">
        <v>1</v>
      </c>
      <c r="AH104" s="30" t="n">
        <v>1</v>
      </c>
      <c r="AI104" s="30" t="n">
        <v>2</v>
      </c>
      <c r="AJ104" s="30" t="n">
        <v>2</v>
      </c>
      <c r="AK104" s="30" t="n">
        <v>2</v>
      </c>
      <c r="AL104" s="30" t="n">
        <v>1</v>
      </c>
      <c r="AM104" s="30" t="n">
        <v>1</v>
      </c>
      <c r="AN104" s="30" t="n">
        <v>1</v>
      </c>
      <c r="AO104" s="30" t="n">
        <v>2</v>
      </c>
      <c r="AP104" s="30" t="n">
        <v>2</v>
      </c>
      <c r="AQ104" s="30" t="n">
        <v>1</v>
      </c>
      <c r="AR104" s="30" t="n">
        <v>2</v>
      </c>
      <c r="AS104" s="30" t="n">
        <v>2</v>
      </c>
      <c r="AT104" s="30" t="n">
        <v>3</v>
      </c>
      <c r="AU104" s="30" t="n">
        <v>2</v>
      </c>
      <c r="AV104" s="30" t="n">
        <v>2</v>
      </c>
      <c r="AW104" s="30" t="n">
        <v>1</v>
      </c>
      <c r="AX104" s="30" t="n">
        <v>1</v>
      </c>
      <c r="AY104" s="30" t="n">
        <v>0</v>
      </c>
      <c r="AZ104" s="30" t="n">
        <v>0</v>
      </c>
      <c r="BA104" s="30" t="n">
        <v>0</v>
      </c>
      <c r="BB104" s="30" t="n">
        <v>2</v>
      </c>
      <c r="BC104" s="30" t="n">
        <v>1</v>
      </c>
      <c r="BD104" s="30" t="n">
        <v>1</v>
      </c>
      <c r="BE104" s="30" t="n">
        <v>2</v>
      </c>
      <c r="BF104" s="30" t="n">
        <v>2</v>
      </c>
      <c r="BG104" s="30" t="n">
        <v>0</v>
      </c>
      <c r="BH104" s="30" t="n">
        <v>2</v>
      </c>
      <c r="BI104" s="30" t="n">
        <v>1</v>
      </c>
      <c r="BJ104" s="30" t="n">
        <v>1</v>
      </c>
      <c r="BK104" s="30" t="n">
        <v>1</v>
      </c>
      <c r="BL104" s="30" t="n">
        <v>0</v>
      </c>
      <c r="BM104" s="30" t="n">
        <v>0</v>
      </c>
      <c r="BN104" s="30" t="n">
        <v>1</v>
      </c>
      <c r="BO104" s="30" t="n">
        <v>0</v>
      </c>
      <c r="BP104" s="30" t="n">
        <v>1</v>
      </c>
      <c r="BQ104" s="30" t="n">
        <v>0</v>
      </c>
      <c r="BR104" s="30" t="n">
        <v>0</v>
      </c>
      <c r="BS104" s="30" t="n">
        <v>1</v>
      </c>
      <c r="BT104" s="30" t="n">
        <v>0</v>
      </c>
      <c r="BU104" s="30" t="n">
        <v>1</v>
      </c>
      <c r="BV104" s="30" t="n">
        <v>0</v>
      </c>
      <c r="BW104" s="30" t="n">
        <v>0</v>
      </c>
      <c r="BX104" s="30" t="n">
        <v>0</v>
      </c>
      <c r="BY104" s="30" t="n">
        <v>0</v>
      </c>
      <c r="BZ104" s="30" t="n">
        <v>0</v>
      </c>
      <c r="CA104" s="30" t="n">
        <v>0</v>
      </c>
      <c r="CB104" s="30" t="n">
        <v>0</v>
      </c>
      <c r="CC104" s="30" t="n">
        <v>0</v>
      </c>
      <c r="CD104" s="30" t="n">
        <v>0</v>
      </c>
      <c r="CE104" s="30" t="n">
        <v>0</v>
      </c>
      <c r="CF104" s="30" t="n">
        <v>0</v>
      </c>
      <c r="CG104" s="30" t="n">
        <v>0</v>
      </c>
      <c r="CH104" s="30" t="n">
        <v>0</v>
      </c>
      <c r="CI104" s="30" t="n">
        <v>0</v>
      </c>
      <c r="CJ104" s="30" t="n">
        <v>0</v>
      </c>
      <c r="CK104" s="30" t="n">
        <v>0</v>
      </c>
      <c r="CL104" s="30" t="n">
        <v>0</v>
      </c>
      <c r="CM104" s="30" t="n">
        <v>0</v>
      </c>
      <c r="CN104" s="30" t="n">
        <v>0</v>
      </c>
      <c r="CO104" s="30" t="n">
        <v>0</v>
      </c>
      <c r="CP104" s="30" t="n">
        <v>0</v>
      </c>
      <c r="CQ104" s="30" t="n">
        <v>0</v>
      </c>
      <c r="CR104" s="30" t="n">
        <v>0</v>
      </c>
      <c r="CS104" s="30" t="n">
        <v>0</v>
      </c>
      <c r="CT104" s="30" t="n">
        <v>0</v>
      </c>
      <c r="CU104" s="30" t="n">
        <v>0</v>
      </c>
      <c r="CV104" s="30" t="n">
        <v>0</v>
      </c>
      <c r="CW104" s="30" t="n">
        <v>0</v>
      </c>
      <c r="CX104" s="30" t="n">
        <v>0</v>
      </c>
      <c r="CY104" s="30" t="n">
        <v>0</v>
      </c>
      <c r="CZ104" s="30" t="n">
        <v>0</v>
      </c>
      <c r="DA104" s="30" t="n">
        <v>0</v>
      </c>
    </row>
    <row r="105">
      <c r="A105" t="inlineStr">
        <is>
          <t>SOL-10H VW</t>
        </is>
      </c>
      <c r="B105" s="30" t="n">
        <v>0</v>
      </c>
      <c r="C105" s="30" t="n">
        <v>0</v>
      </c>
      <c r="D105" s="30" t="n">
        <v>0</v>
      </c>
      <c r="E105" s="30" t="n">
        <v>0</v>
      </c>
      <c r="F105" s="30" t="n">
        <v>0</v>
      </c>
      <c r="G105" s="30" t="n">
        <v>0</v>
      </c>
      <c r="H105" s="30" t="n">
        <v>0</v>
      </c>
      <c r="I105" s="30" t="n">
        <v>0</v>
      </c>
      <c r="J105" s="30" t="n">
        <v>0</v>
      </c>
      <c r="K105" s="30" t="n">
        <v>0</v>
      </c>
      <c r="L105" s="30" t="n">
        <v>0</v>
      </c>
      <c r="M105" s="30" t="n">
        <v>0</v>
      </c>
      <c r="N105" s="30" t="n">
        <v>0</v>
      </c>
      <c r="O105" s="30" t="n">
        <v>0</v>
      </c>
      <c r="P105" s="30" t="n">
        <v>0</v>
      </c>
      <c r="Q105" s="30" t="n">
        <v>0</v>
      </c>
      <c r="R105" s="30" t="n">
        <v>0</v>
      </c>
      <c r="S105" s="30" t="n">
        <v>0</v>
      </c>
      <c r="T105" s="30" t="n">
        <v>0</v>
      </c>
      <c r="U105" s="30" t="n">
        <v>0</v>
      </c>
      <c r="V105" s="30" t="n">
        <v>0</v>
      </c>
      <c r="W105" s="30" t="n">
        <v>0</v>
      </c>
      <c r="X105" s="30" t="n">
        <v>0</v>
      </c>
      <c r="Y105" s="30" t="n">
        <v>0</v>
      </c>
      <c r="Z105" s="30" t="n">
        <v>0</v>
      </c>
      <c r="AA105" s="30" t="n">
        <v>0</v>
      </c>
      <c r="AB105" s="30" t="n">
        <v>1</v>
      </c>
      <c r="AC105" s="30" t="n">
        <v>0</v>
      </c>
      <c r="AD105" s="30" t="n">
        <v>0</v>
      </c>
      <c r="AE105" s="30" t="n">
        <v>0</v>
      </c>
      <c r="AF105" s="30" t="n">
        <v>0</v>
      </c>
      <c r="AG105" s="30" t="n">
        <v>0</v>
      </c>
      <c r="AH105" s="30" t="n">
        <v>0</v>
      </c>
      <c r="AI105" s="30" t="n">
        <v>0</v>
      </c>
      <c r="AJ105" s="30" t="n">
        <v>0</v>
      </c>
      <c r="AK105" s="30" t="n">
        <v>0</v>
      </c>
      <c r="AL105" s="30" t="n">
        <v>0</v>
      </c>
      <c r="AM105" s="30" t="n">
        <v>0</v>
      </c>
      <c r="AN105" s="30" t="n">
        <v>0</v>
      </c>
      <c r="AO105" s="30" t="n">
        <v>0</v>
      </c>
      <c r="AP105" s="30" t="n">
        <v>0</v>
      </c>
      <c r="AQ105" s="30" t="n">
        <v>0</v>
      </c>
      <c r="AR105" s="30" t="n">
        <v>0</v>
      </c>
      <c r="AS105" s="30" t="n">
        <v>0</v>
      </c>
      <c r="AT105" s="30" t="n">
        <v>0</v>
      </c>
      <c r="AU105" s="30" t="n">
        <v>0</v>
      </c>
      <c r="AV105" s="30" t="n">
        <v>0</v>
      </c>
      <c r="AW105" s="30" t="n">
        <v>1</v>
      </c>
      <c r="AX105" s="30" t="n">
        <v>0</v>
      </c>
      <c r="AY105" s="30" t="n">
        <v>0</v>
      </c>
      <c r="AZ105" s="30" t="n">
        <v>0</v>
      </c>
      <c r="BA105" s="30" t="n">
        <v>0</v>
      </c>
      <c r="BB105" s="30" t="n">
        <v>0</v>
      </c>
      <c r="BC105" s="30" t="n">
        <v>0</v>
      </c>
      <c r="BD105" s="30" t="n">
        <v>0</v>
      </c>
      <c r="BE105" s="30" t="n">
        <v>0</v>
      </c>
      <c r="BF105" s="30" t="n">
        <v>0</v>
      </c>
      <c r="BG105" s="30" t="n">
        <v>0</v>
      </c>
      <c r="BH105" s="30" t="n">
        <v>0</v>
      </c>
      <c r="BI105" s="30" t="n">
        <v>0</v>
      </c>
      <c r="BJ105" s="30" t="n">
        <v>0</v>
      </c>
      <c r="BK105" s="30" t="n">
        <v>0</v>
      </c>
      <c r="BL105" s="30" t="n">
        <v>0</v>
      </c>
      <c r="BM105" s="30" t="n">
        <v>0</v>
      </c>
      <c r="BN105" s="30" t="n">
        <v>0</v>
      </c>
      <c r="BO105" s="30" t="n">
        <v>0</v>
      </c>
      <c r="BP105" s="30" t="n">
        <v>0</v>
      </c>
      <c r="BQ105" s="30" t="n">
        <v>0</v>
      </c>
      <c r="BR105" s="30" t="n">
        <v>0</v>
      </c>
      <c r="BS105" s="30" t="n">
        <v>0</v>
      </c>
      <c r="BT105" s="30" t="n">
        <v>0</v>
      </c>
      <c r="BU105" s="30" t="n">
        <v>0</v>
      </c>
      <c r="BV105" s="30" t="n">
        <v>0</v>
      </c>
      <c r="BW105" s="30" t="n">
        <v>0</v>
      </c>
      <c r="BX105" s="30" t="n">
        <v>0</v>
      </c>
      <c r="BY105" s="30" t="n">
        <v>0</v>
      </c>
      <c r="BZ105" s="30" t="n">
        <v>0</v>
      </c>
      <c r="CA105" s="30" t="n">
        <v>0</v>
      </c>
      <c r="CB105" s="30" t="n">
        <v>0</v>
      </c>
      <c r="CC105" s="30" t="n">
        <v>0</v>
      </c>
      <c r="CD105" s="30" t="n">
        <v>0</v>
      </c>
      <c r="CE105" s="30" t="n">
        <v>0</v>
      </c>
      <c r="CF105" s="30" t="n">
        <v>0</v>
      </c>
      <c r="CG105" s="30" t="n">
        <v>0</v>
      </c>
      <c r="CH105" s="30" t="n">
        <v>0</v>
      </c>
      <c r="CI105" s="30" t="n">
        <v>0</v>
      </c>
      <c r="CJ105" s="30" t="n">
        <v>0</v>
      </c>
      <c r="CK105" s="30" t="n">
        <v>0</v>
      </c>
      <c r="CL105" s="30" t="n">
        <v>0</v>
      </c>
      <c r="CM105" s="30" t="n">
        <v>0</v>
      </c>
      <c r="CN105" s="30" t="n">
        <v>0</v>
      </c>
      <c r="CO105" s="30" t="n">
        <v>0</v>
      </c>
      <c r="CP105" s="30" t="n">
        <v>0</v>
      </c>
      <c r="CQ105" s="30" t="n">
        <v>0</v>
      </c>
      <c r="CR105" s="30" t="n">
        <v>0</v>
      </c>
      <c r="CS105" s="30" t="n">
        <v>0</v>
      </c>
      <c r="CT105" s="30" t="n">
        <v>0</v>
      </c>
      <c r="CU105" s="30" t="n">
        <v>0</v>
      </c>
      <c r="CV105" s="30" t="n">
        <v>0</v>
      </c>
      <c r="CW105" s="30" t="n">
        <v>0</v>
      </c>
      <c r="CX105" s="30" t="n">
        <v>0</v>
      </c>
      <c r="CY105" s="30" t="n">
        <v>0</v>
      </c>
      <c r="CZ105" s="30" t="n">
        <v>0</v>
      </c>
      <c r="DA105" s="30" t="n">
        <v>0</v>
      </c>
    </row>
    <row r="106">
      <c r="A106" t="inlineStr">
        <is>
          <t>SOL-20P</t>
        </is>
      </c>
      <c r="B106" s="30" t="n">
        <v>0</v>
      </c>
      <c r="C106" s="30" t="n">
        <v>0</v>
      </c>
      <c r="D106" s="30" t="n">
        <v>0</v>
      </c>
      <c r="E106" s="30" t="n">
        <v>0</v>
      </c>
      <c r="F106" s="30" t="n">
        <v>0</v>
      </c>
      <c r="G106" s="30" t="n">
        <v>0</v>
      </c>
      <c r="H106" s="30" t="n">
        <v>0</v>
      </c>
      <c r="I106" s="30" t="n">
        <v>0</v>
      </c>
      <c r="J106" s="30" t="n">
        <v>0</v>
      </c>
      <c r="K106" s="30" t="n">
        <v>0</v>
      </c>
      <c r="L106" s="30" t="n">
        <v>0</v>
      </c>
      <c r="M106" s="30" t="n">
        <v>0</v>
      </c>
      <c r="N106" s="30" t="n">
        <v>0</v>
      </c>
      <c r="O106" s="30" t="n">
        <v>0</v>
      </c>
      <c r="P106" s="30" t="n">
        <v>0</v>
      </c>
      <c r="Q106" s="30" t="n">
        <v>0</v>
      </c>
      <c r="R106" s="30" t="n">
        <v>0</v>
      </c>
      <c r="S106" s="30" t="n">
        <v>0</v>
      </c>
      <c r="T106" s="30" t="n">
        <v>0</v>
      </c>
      <c r="U106" s="30" t="n">
        <v>0</v>
      </c>
      <c r="V106" s="30" t="n">
        <v>0</v>
      </c>
      <c r="W106" s="30" t="n">
        <v>0</v>
      </c>
      <c r="X106" s="30" t="n">
        <v>0</v>
      </c>
      <c r="Y106" s="30" t="n">
        <v>0</v>
      </c>
      <c r="Z106" s="30" t="n">
        <v>0</v>
      </c>
      <c r="AA106" s="30" t="n">
        <v>0</v>
      </c>
      <c r="AB106" s="30" t="n">
        <v>0</v>
      </c>
      <c r="AC106" s="30" t="n">
        <v>0</v>
      </c>
      <c r="AD106" s="30" t="n">
        <v>0</v>
      </c>
      <c r="AE106" s="30" t="n">
        <v>0</v>
      </c>
      <c r="AF106" s="30" t="n">
        <v>0</v>
      </c>
      <c r="AG106" s="30" t="n">
        <v>0</v>
      </c>
      <c r="AH106" s="30" t="n">
        <v>0</v>
      </c>
      <c r="AI106" s="30" t="n">
        <v>0</v>
      </c>
      <c r="AJ106" s="30" t="n">
        <v>0</v>
      </c>
      <c r="AK106" s="30" t="n">
        <v>0</v>
      </c>
      <c r="AL106" s="30" t="n">
        <v>0</v>
      </c>
      <c r="AM106" s="30" t="n">
        <v>0</v>
      </c>
      <c r="AN106" s="30" t="n">
        <v>0</v>
      </c>
      <c r="AO106" s="30" t="n">
        <v>0</v>
      </c>
      <c r="AP106" s="30" t="n">
        <v>0</v>
      </c>
      <c r="AQ106" s="30" t="n">
        <v>0</v>
      </c>
      <c r="AR106" s="30" t="n">
        <v>0</v>
      </c>
      <c r="AS106" s="30" t="n">
        <v>0</v>
      </c>
      <c r="AT106" s="30" t="n">
        <v>0</v>
      </c>
      <c r="AU106" s="30" t="n">
        <v>0</v>
      </c>
      <c r="AV106" s="30" t="n">
        <v>0</v>
      </c>
      <c r="AW106" s="30" t="n">
        <v>0</v>
      </c>
      <c r="AX106" s="30" t="n">
        <v>0</v>
      </c>
      <c r="AY106" s="30" t="n">
        <v>0</v>
      </c>
      <c r="AZ106" s="30" t="n">
        <v>0</v>
      </c>
      <c r="BA106" s="30" t="n">
        <v>0</v>
      </c>
      <c r="BB106" s="30" t="n">
        <v>0</v>
      </c>
      <c r="BC106" s="30" t="n">
        <v>0</v>
      </c>
      <c r="BD106" s="30" t="n">
        <v>0</v>
      </c>
      <c r="BE106" s="30" t="n">
        <v>0</v>
      </c>
      <c r="BF106" s="30" t="n">
        <v>0</v>
      </c>
      <c r="BG106" s="30" t="n">
        <v>0</v>
      </c>
      <c r="BH106" s="30" t="n">
        <v>0</v>
      </c>
      <c r="BI106" s="30" t="n">
        <v>0</v>
      </c>
      <c r="BJ106" s="30" t="n">
        <v>0</v>
      </c>
      <c r="BK106" s="30" t="n">
        <v>0</v>
      </c>
      <c r="BL106" s="30" t="n">
        <v>0</v>
      </c>
      <c r="BM106" s="30" t="n">
        <v>0</v>
      </c>
      <c r="BN106" s="30" t="n">
        <v>0</v>
      </c>
      <c r="BO106" s="30" t="n">
        <v>0</v>
      </c>
      <c r="BP106" s="30" t="n">
        <v>0</v>
      </c>
      <c r="BQ106" s="30" t="n">
        <v>0</v>
      </c>
      <c r="BR106" s="30" t="n">
        <v>0</v>
      </c>
      <c r="BS106" s="30" t="n">
        <v>0</v>
      </c>
      <c r="BT106" s="30" t="n">
        <v>0</v>
      </c>
      <c r="BU106" s="30" t="n">
        <v>0</v>
      </c>
      <c r="BV106" s="30" t="n">
        <v>0</v>
      </c>
      <c r="BW106" s="30" t="n">
        <v>0</v>
      </c>
      <c r="BX106" s="30" t="n">
        <v>0</v>
      </c>
      <c r="BY106" s="30" t="n">
        <v>0</v>
      </c>
      <c r="BZ106" s="30" t="n">
        <v>0</v>
      </c>
      <c r="CA106" s="30" t="n">
        <v>0</v>
      </c>
      <c r="CB106" s="30" t="n">
        <v>0</v>
      </c>
      <c r="CC106" s="30" t="n">
        <v>0</v>
      </c>
      <c r="CD106" s="30" t="n">
        <v>0</v>
      </c>
      <c r="CE106" s="30" t="n">
        <v>0</v>
      </c>
      <c r="CF106" s="30" t="n">
        <v>0</v>
      </c>
      <c r="CG106" s="30" t="n">
        <v>0</v>
      </c>
      <c r="CH106" s="30" t="n">
        <v>0</v>
      </c>
      <c r="CI106" s="30" t="n">
        <v>0</v>
      </c>
      <c r="CJ106" s="30" t="n">
        <v>0</v>
      </c>
      <c r="CK106" s="30" t="n">
        <v>0</v>
      </c>
      <c r="CL106" s="30" t="n">
        <v>0</v>
      </c>
      <c r="CM106" s="30" t="n">
        <v>0</v>
      </c>
      <c r="CN106" s="30" t="n">
        <v>0</v>
      </c>
      <c r="CO106" s="30" t="n">
        <v>0</v>
      </c>
      <c r="CP106" s="30" t="n">
        <v>0</v>
      </c>
      <c r="CQ106" s="30" t="n">
        <v>0</v>
      </c>
      <c r="CR106" s="30" t="n">
        <v>0</v>
      </c>
      <c r="CS106" s="30" t="n">
        <v>0</v>
      </c>
      <c r="CT106" s="30" t="n">
        <v>0</v>
      </c>
      <c r="CU106" s="30" t="n">
        <v>0</v>
      </c>
      <c r="CV106" s="30" t="n">
        <v>0</v>
      </c>
      <c r="CW106" s="30" t="n">
        <v>0</v>
      </c>
      <c r="CX106" s="30" t="n">
        <v>0</v>
      </c>
      <c r="CY106" s="30" t="n">
        <v>0</v>
      </c>
      <c r="CZ106" s="30" t="n">
        <v>0</v>
      </c>
      <c r="DA106" s="30" t="n">
        <v>0</v>
      </c>
    </row>
    <row r="107">
      <c r="A107" t="inlineStr">
        <is>
          <t>SOL-250D</t>
        </is>
      </c>
      <c r="B107" s="30" t="n">
        <v>0</v>
      </c>
      <c r="C107" s="30" t="n">
        <v>0</v>
      </c>
      <c r="D107" s="30" t="n">
        <v>0</v>
      </c>
      <c r="E107" s="30" t="n">
        <v>0</v>
      </c>
      <c r="F107" s="30" t="n">
        <v>0</v>
      </c>
      <c r="G107" s="30" t="n">
        <v>0</v>
      </c>
      <c r="H107" s="30" t="n">
        <v>0</v>
      </c>
      <c r="I107" s="30" t="n">
        <v>0</v>
      </c>
      <c r="J107" s="30" t="n">
        <v>0</v>
      </c>
      <c r="K107" s="30" t="n">
        <v>0</v>
      </c>
      <c r="L107" s="30" t="n">
        <v>0</v>
      </c>
      <c r="M107" s="30" t="n">
        <v>0</v>
      </c>
      <c r="N107" s="30" t="n">
        <v>0</v>
      </c>
      <c r="O107" s="30" t="n">
        <v>0</v>
      </c>
      <c r="P107" s="30" t="n">
        <v>0</v>
      </c>
      <c r="Q107" s="30" t="n">
        <v>0</v>
      </c>
      <c r="R107" s="30" t="n">
        <v>0</v>
      </c>
      <c r="S107" s="30" t="n">
        <v>0</v>
      </c>
      <c r="T107" s="30" t="n">
        <v>0</v>
      </c>
      <c r="U107" s="30" t="n">
        <v>0</v>
      </c>
      <c r="V107" s="30" t="n">
        <v>0</v>
      </c>
      <c r="W107" s="30" t="n">
        <v>0</v>
      </c>
      <c r="X107" s="30" t="n">
        <v>0</v>
      </c>
      <c r="Y107" s="30" t="n">
        <v>0</v>
      </c>
      <c r="Z107" s="30" t="n">
        <v>0</v>
      </c>
      <c r="AA107" s="30" t="n">
        <v>0</v>
      </c>
      <c r="AB107" s="30" t="n">
        <v>0</v>
      </c>
      <c r="AC107" s="30" t="n">
        <v>0</v>
      </c>
      <c r="AD107" s="30" t="n">
        <v>0</v>
      </c>
      <c r="AE107" s="30" t="n">
        <v>0</v>
      </c>
      <c r="AF107" s="30" t="n">
        <v>0</v>
      </c>
      <c r="AG107" s="30" t="n">
        <v>0</v>
      </c>
      <c r="AH107" s="30" t="n">
        <v>0</v>
      </c>
      <c r="AI107" s="30" t="n">
        <v>0</v>
      </c>
      <c r="AJ107" s="30" t="n">
        <v>0</v>
      </c>
      <c r="AK107" s="30" t="n">
        <v>0</v>
      </c>
      <c r="AL107" s="30" t="n">
        <v>0</v>
      </c>
      <c r="AM107" s="30" t="n">
        <v>0</v>
      </c>
      <c r="AN107" s="30" t="n">
        <v>0</v>
      </c>
      <c r="AO107" s="30" t="n">
        <v>0</v>
      </c>
      <c r="AP107" s="30" t="n">
        <v>0</v>
      </c>
      <c r="AQ107" s="30" t="n">
        <v>0</v>
      </c>
      <c r="AR107" s="30" t="n">
        <v>0</v>
      </c>
      <c r="AS107" s="30" t="n">
        <v>0</v>
      </c>
      <c r="AT107" s="30" t="n">
        <v>0</v>
      </c>
      <c r="AU107" s="30" t="n">
        <v>0</v>
      </c>
      <c r="AV107" s="30" t="n">
        <v>0</v>
      </c>
      <c r="AW107" s="30" t="n">
        <v>0</v>
      </c>
      <c r="AX107" s="30" t="n">
        <v>0</v>
      </c>
      <c r="AY107" s="30" t="n">
        <v>0</v>
      </c>
      <c r="AZ107" s="30" t="n">
        <v>0</v>
      </c>
      <c r="BA107" s="30" t="n">
        <v>0</v>
      </c>
      <c r="BB107" s="30" t="n">
        <v>0</v>
      </c>
      <c r="BC107" s="30" t="n">
        <v>0</v>
      </c>
      <c r="BD107" s="30" t="n">
        <v>0</v>
      </c>
      <c r="BE107" s="30" t="n">
        <v>0</v>
      </c>
      <c r="BF107" s="30" t="n">
        <v>0</v>
      </c>
      <c r="BG107" s="30" t="n">
        <v>0</v>
      </c>
      <c r="BH107" s="30" t="n">
        <v>0</v>
      </c>
      <c r="BI107" s="30" t="n">
        <v>0</v>
      </c>
      <c r="BJ107" s="30" t="n">
        <v>0</v>
      </c>
      <c r="BK107" s="30" t="n">
        <v>0</v>
      </c>
      <c r="BL107" s="30" t="n">
        <v>0</v>
      </c>
      <c r="BM107" s="30" t="n">
        <v>0</v>
      </c>
      <c r="BN107" s="30" t="n">
        <v>0</v>
      </c>
      <c r="BO107" s="30" t="n">
        <v>0</v>
      </c>
      <c r="BP107" s="30" t="n">
        <v>0</v>
      </c>
      <c r="BQ107" s="30" t="n">
        <v>0</v>
      </c>
      <c r="BR107" s="30" t="n">
        <v>0</v>
      </c>
      <c r="BS107" s="30" t="n">
        <v>0</v>
      </c>
      <c r="BT107" s="30" t="n">
        <v>0</v>
      </c>
      <c r="BU107" s="30" t="n">
        <v>0</v>
      </c>
      <c r="BV107" s="30" t="n">
        <v>0</v>
      </c>
      <c r="BW107" s="30" t="n">
        <v>0</v>
      </c>
      <c r="BX107" s="30" t="n">
        <v>0</v>
      </c>
      <c r="BY107" s="30" t="n">
        <v>0</v>
      </c>
      <c r="BZ107" s="30" t="n">
        <v>0</v>
      </c>
      <c r="CA107" s="30" t="n">
        <v>0</v>
      </c>
      <c r="CB107" s="30" t="n">
        <v>0</v>
      </c>
      <c r="CC107" s="30" t="n">
        <v>0</v>
      </c>
      <c r="CD107" s="30" t="n">
        <v>0</v>
      </c>
      <c r="CE107" s="30" t="n">
        <v>0</v>
      </c>
      <c r="CF107" s="30" t="n">
        <v>0</v>
      </c>
      <c r="CG107" s="30" t="n">
        <v>0</v>
      </c>
      <c r="CH107" s="30" t="n">
        <v>0</v>
      </c>
      <c r="CI107" s="30" t="n">
        <v>0</v>
      </c>
      <c r="CJ107" s="30" t="n">
        <v>0</v>
      </c>
      <c r="CK107" s="30" t="n">
        <v>0</v>
      </c>
      <c r="CL107" s="30" t="n">
        <v>0</v>
      </c>
      <c r="CM107" s="30" t="n">
        <v>0</v>
      </c>
      <c r="CN107" s="30" t="n">
        <v>0</v>
      </c>
      <c r="CO107" s="30" t="n">
        <v>0</v>
      </c>
      <c r="CP107" s="30" t="n">
        <v>0</v>
      </c>
      <c r="CQ107" s="30" t="n">
        <v>0</v>
      </c>
      <c r="CR107" s="30" t="n">
        <v>0</v>
      </c>
      <c r="CS107" s="30" t="n">
        <v>0</v>
      </c>
      <c r="CT107" s="30" t="n">
        <v>0</v>
      </c>
      <c r="CU107" s="30" t="n">
        <v>0</v>
      </c>
      <c r="CV107" s="30" t="n">
        <v>0</v>
      </c>
      <c r="CW107" s="30" t="n">
        <v>0</v>
      </c>
      <c r="CX107" s="30" t="n">
        <v>0</v>
      </c>
      <c r="CY107" s="30" t="n">
        <v>0</v>
      </c>
      <c r="CZ107" s="30" t="n">
        <v>0</v>
      </c>
      <c r="DA107" s="30" t="n">
        <v>0</v>
      </c>
    </row>
    <row r="108">
      <c r="A108" t="inlineStr">
        <is>
          <t>SOL-85D</t>
        </is>
      </c>
      <c r="B108" s="30" t="n">
        <v>0</v>
      </c>
      <c r="C108" s="30" t="n">
        <v>0</v>
      </c>
      <c r="D108" s="30" t="n">
        <v>0</v>
      </c>
      <c r="E108" s="30" t="n">
        <v>0</v>
      </c>
      <c r="F108" s="30" t="n">
        <v>0</v>
      </c>
      <c r="G108" s="30" t="n">
        <v>0</v>
      </c>
      <c r="H108" s="30" t="n">
        <v>0</v>
      </c>
      <c r="I108" s="30" t="n">
        <v>0</v>
      </c>
      <c r="J108" s="30" t="n">
        <v>0</v>
      </c>
      <c r="K108" s="30" t="n">
        <v>0</v>
      </c>
      <c r="L108" s="30" t="n">
        <v>0</v>
      </c>
      <c r="M108" s="30" t="n">
        <v>0</v>
      </c>
      <c r="N108" s="30" t="n">
        <v>0</v>
      </c>
      <c r="O108" s="30" t="n">
        <v>0</v>
      </c>
      <c r="P108" s="30" t="n">
        <v>0</v>
      </c>
      <c r="Q108" s="30" t="n">
        <v>0</v>
      </c>
      <c r="R108" s="30" t="n">
        <v>0</v>
      </c>
      <c r="S108" s="30" t="n">
        <v>0</v>
      </c>
      <c r="T108" s="30" t="n">
        <v>0</v>
      </c>
      <c r="U108" s="30" t="n">
        <v>0</v>
      </c>
      <c r="V108" s="30" t="n">
        <v>0</v>
      </c>
      <c r="W108" s="30" t="n">
        <v>0</v>
      </c>
      <c r="X108" s="30" t="n">
        <v>0</v>
      </c>
      <c r="Y108" s="30" t="n">
        <v>0</v>
      </c>
      <c r="Z108" s="30" t="n">
        <v>1</v>
      </c>
      <c r="AA108" s="30" t="n">
        <v>0</v>
      </c>
      <c r="AB108" s="30" t="n">
        <v>0</v>
      </c>
      <c r="AC108" s="30" t="n">
        <v>0</v>
      </c>
      <c r="AD108" s="30" t="n">
        <v>1</v>
      </c>
      <c r="AE108" s="30" t="n">
        <v>1</v>
      </c>
      <c r="AF108" s="30" t="n">
        <v>0</v>
      </c>
      <c r="AG108" s="30" t="n">
        <v>1</v>
      </c>
      <c r="AH108" s="30" t="n">
        <v>1</v>
      </c>
      <c r="AI108" s="30" t="n">
        <v>0</v>
      </c>
      <c r="AJ108" s="30" t="n">
        <v>2</v>
      </c>
      <c r="AK108" s="30" t="n">
        <v>0</v>
      </c>
      <c r="AL108" s="30" t="n">
        <v>1</v>
      </c>
      <c r="AM108" s="30" t="n">
        <v>0</v>
      </c>
      <c r="AN108" s="30" t="n">
        <v>1</v>
      </c>
      <c r="AO108" s="30" t="n">
        <v>0</v>
      </c>
      <c r="AP108" s="30" t="n">
        <v>1</v>
      </c>
      <c r="AQ108" s="30" t="n">
        <v>1</v>
      </c>
      <c r="AR108" s="30" t="n">
        <v>1</v>
      </c>
      <c r="AS108" s="30" t="n">
        <v>1</v>
      </c>
      <c r="AT108" s="30" t="n">
        <v>1</v>
      </c>
      <c r="AU108" s="30" t="n">
        <v>1</v>
      </c>
      <c r="AV108" s="30" t="n">
        <v>1</v>
      </c>
      <c r="AW108" s="30" t="n">
        <v>0</v>
      </c>
      <c r="AX108" s="30" t="n">
        <v>1</v>
      </c>
      <c r="AY108" s="30" t="n">
        <v>1</v>
      </c>
      <c r="AZ108" s="30" t="n">
        <v>0</v>
      </c>
      <c r="BA108" s="30" t="n">
        <v>0</v>
      </c>
      <c r="BB108" s="30" t="n">
        <v>0</v>
      </c>
      <c r="BC108" s="30" t="n">
        <v>0</v>
      </c>
      <c r="BD108" s="30" t="n">
        <v>1</v>
      </c>
      <c r="BE108" s="30" t="n">
        <v>1</v>
      </c>
      <c r="BF108" s="30" t="n">
        <v>0</v>
      </c>
      <c r="BG108" s="30" t="n">
        <v>1</v>
      </c>
      <c r="BH108" s="30" t="n">
        <v>1</v>
      </c>
      <c r="BI108" s="30" t="n">
        <v>0</v>
      </c>
      <c r="BJ108" s="30" t="n">
        <v>0</v>
      </c>
      <c r="BK108" s="30" t="n">
        <v>1</v>
      </c>
      <c r="BL108" s="30" t="n">
        <v>0</v>
      </c>
      <c r="BM108" s="30" t="n">
        <v>1</v>
      </c>
      <c r="BN108" s="30" t="n">
        <v>0</v>
      </c>
      <c r="BO108" s="30" t="n">
        <v>0</v>
      </c>
      <c r="BP108" s="30" t="n">
        <v>0</v>
      </c>
      <c r="BQ108" s="30" t="n">
        <v>1</v>
      </c>
      <c r="BR108" s="30" t="n">
        <v>0</v>
      </c>
      <c r="BS108" s="30" t="n">
        <v>0</v>
      </c>
      <c r="BT108" s="30" t="n">
        <v>0</v>
      </c>
      <c r="BU108" s="30" t="n">
        <v>0</v>
      </c>
      <c r="BV108" s="30" t="n">
        <v>0</v>
      </c>
      <c r="BW108" s="30" t="n">
        <v>0</v>
      </c>
      <c r="BX108" s="30" t="n">
        <v>0</v>
      </c>
      <c r="BY108" s="30" t="n">
        <v>0</v>
      </c>
      <c r="BZ108" s="30" t="n">
        <v>0</v>
      </c>
      <c r="CA108" s="30" t="n">
        <v>0</v>
      </c>
      <c r="CB108" s="30" t="n">
        <v>0</v>
      </c>
      <c r="CC108" s="30" t="n">
        <v>0</v>
      </c>
      <c r="CD108" s="30" t="n">
        <v>0</v>
      </c>
      <c r="CE108" s="30" t="n">
        <v>0</v>
      </c>
      <c r="CF108" s="30" t="n">
        <v>0</v>
      </c>
      <c r="CG108" s="30" t="n">
        <v>0</v>
      </c>
      <c r="CH108" s="30" t="n">
        <v>0</v>
      </c>
      <c r="CI108" s="30" t="n">
        <v>0</v>
      </c>
      <c r="CJ108" s="30" t="n">
        <v>0</v>
      </c>
      <c r="CK108" s="30" t="n">
        <v>0</v>
      </c>
      <c r="CL108" s="30" t="n">
        <v>0</v>
      </c>
      <c r="CM108" s="30" t="n">
        <v>0</v>
      </c>
      <c r="CN108" s="30" t="n">
        <v>0</v>
      </c>
      <c r="CO108" s="30" t="n">
        <v>0</v>
      </c>
      <c r="CP108" s="30" t="n">
        <v>0</v>
      </c>
      <c r="CQ108" s="30" t="n">
        <v>0</v>
      </c>
      <c r="CR108" s="30" t="n">
        <v>0</v>
      </c>
      <c r="CS108" s="30" t="n">
        <v>0</v>
      </c>
      <c r="CT108" s="30" t="n">
        <v>0</v>
      </c>
      <c r="CU108" s="30" t="n">
        <v>0</v>
      </c>
      <c r="CV108" s="30" t="n">
        <v>0</v>
      </c>
      <c r="CW108" s="30" t="n">
        <v>0</v>
      </c>
      <c r="CX108" s="30" t="n">
        <v>0</v>
      </c>
      <c r="CY108" s="30" t="n">
        <v>0</v>
      </c>
      <c r="CZ108" s="30" t="n">
        <v>0</v>
      </c>
      <c r="DA108" s="30" t="n">
        <v>0</v>
      </c>
    </row>
    <row r="109">
      <c r="A109" t="inlineStr">
        <is>
          <t>SOL-SCH</t>
        </is>
      </c>
      <c r="B109" s="30" t="n">
        <v>0</v>
      </c>
      <c r="C109" s="30" t="n">
        <v>0</v>
      </c>
      <c r="D109" s="30" t="n">
        <v>0</v>
      </c>
      <c r="E109" s="30" t="n">
        <v>0</v>
      </c>
      <c r="F109" s="30" t="n">
        <v>0</v>
      </c>
      <c r="G109" s="30" t="n">
        <v>0</v>
      </c>
      <c r="H109" s="30" t="n">
        <v>0</v>
      </c>
      <c r="I109" s="30" t="n">
        <v>0</v>
      </c>
      <c r="J109" s="30" t="n">
        <v>0</v>
      </c>
      <c r="K109" s="30" t="n">
        <v>0</v>
      </c>
      <c r="L109" s="30" t="n">
        <v>0</v>
      </c>
      <c r="M109" s="30" t="n">
        <v>0</v>
      </c>
      <c r="N109" s="30" t="n">
        <v>0</v>
      </c>
      <c r="O109" s="30" t="n">
        <v>0</v>
      </c>
      <c r="P109" s="30" t="n">
        <v>0</v>
      </c>
      <c r="Q109" s="30" t="n">
        <v>0</v>
      </c>
      <c r="R109" s="30" t="n">
        <v>0</v>
      </c>
      <c r="S109" s="30" t="n">
        <v>0</v>
      </c>
      <c r="T109" s="30" t="n">
        <v>0</v>
      </c>
      <c r="U109" s="30" t="n">
        <v>0</v>
      </c>
      <c r="V109" s="30" t="n">
        <v>0</v>
      </c>
      <c r="W109" s="30" t="n">
        <v>0</v>
      </c>
      <c r="X109" s="30" t="n">
        <v>0</v>
      </c>
      <c r="Y109" s="30" t="n">
        <v>0</v>
      </c>
      <c r="Z109" s="30" t="n">
        <v>0</v>
      </c>
      <c r="AA109" s="30" t="n">
        <v>0</v>
      </c>
      <c r="AB109" s="30" t="n">
        <v>0</v>
      </c>
      <c r="AC109" s="30" t="n">
        <v>0</v>
      </c>
      <c r="AD109" s="30" t="n">
        <v>0</v>
      </c>
      <c r="AE109" s="30" t="n">
        <v>0</v>
      </c>
      <c r="AF109" s="30" t="n">
        <v>0</v>
      </c>
      <c r="AG109" s="30" t="n">
        <v>0</v>
      </c>
      <c r="AH109" s="30" t="n">
        <v>0</v>
      </c>
      <c r="AI109" s="30" t="n">
        <v>0</v>
      </c>
      <c r="AJ109" s="30" t="n">
        <v>0</v>
      </c>
      <c r="AK109" s="30" t="n">
        <v>0</v>
      </c>
      <c r="AL109" s="30" t="n">
        <v>0</v>
      </c>
      <c r="AM109" s="30" t="n">
        <v>0</v>
      </c>
      <c r="AN109" s="30" t="n">
        <v>0</v>
      </c>
      <c r="AO109" s="30" t="n">
        <v>0</v>
      </c>
      <c r="AP109" s="30" t="n">
        <v>0</v>
      </c>
      <c r="AQ109" s="30" t="n">
        <v>0</v>
      </c>
      <c r="AR109" s="30" t="n">
        <v>0</v>
      </c>
      <c r="AS109" s="30" t="n">
        <v>0</v>
      </c>
      <c r="AT109" s="30" t="n">
        <v>0</v>
      </c>
      <c r="AU109" s="30" t="n">
        <v>0</v>
      </c>
      <c r="AV109" s="30" t="n">
        <v>0</v>
      </c>
      <c r="AW109" s="30" t="n">
        <v>0</v>
      </c>
      <c r="AX109" s="30" t="n">
        <v>0</v>
      </c>
      <c r="AY109" s="30" t="n">
        <v>0</v>
      </c>
      <c r="AZ109" s="30" t="n">
        <v>0</v>
      </c>
      <c r="BA109" s="30" t="n">
        <v>0</v>
      </c>
      <c r="BB109" s="30" t="n">
        <v>0</v>
      </c>
      <c r="BC109" s="30" t="n">
        <v>0</v>
      </c>
      <c r="BD109" s="30" t="n">
        <v>0</v>
      </c>
      <c r="BE109" s="30" t="n">
        <v>0</v>
      </c>
      <c r="BF109" s="30" t="n">
        <v>0</v>
      </c>
      <c r="BG109" s="30" t="n">
        <v>0</v>
      </c>
      <c r="BH109" s="30" t="n">
        <v>0</v>
      </c>
      <c r="BI109" s="30" t="n">
        <v>0</v>
      </c>
      <c r="BJ109" s="30" t="n">
        <v>0</v>
      </c>
      <c r="BK109" s="30" t="n">
        <v>0</v>
      </c>
      <c r="BL109" s="30" t="n">
        <v>0</v>
      </c>
      <c r="BM109" s="30" t="n">
        <v>0</v>
      </c>
      <c r="BN109" s="30" t="n">
        <v>0</v>
      </c>
      <c r="BO109" s="30" t="n">
        <v>0</v>
      </c>
      <c r="BP109" s="30" t="n">
        <v>0</v>
      </c>
      <c r="BQ109" s="30" t="n">
        <v>0</v>
      </c>
      <c r="BR109" s="30" t="n">
        <v>0</v>
      </c>
      <c r="BS109" s="30" t="n">
        <v>0</v>
      </c>
      <c r="BT109" s="30" t="n">
        <v>0</v>
      </c>
      <c r="BU109" s="30" t="n">
        <v>0</v>
      </c>
      <c r="BV109" s="30" t="n">
        <v>0</v>
      </c>
      <c r="BW109" s="30" t="n">
        <v>0</v>
      </c>
      <c r="BX109" s="30" t="n">
        <v>0</v>
      </c>
      <c r="BY109" s="30" t="n">
        <v>0</v>
      </c>
      <c r="BZ109" s="30" t="n">
        <v>0</v>
      </c>
      <c r="CA109" s="30" t="n">
        <v>0</v>
      </c>
      <c r="CB109" s="30" t="n">
        <v>0</v>
      </c>
      <c r="CC109" s="30" t="n">
        <v>0</v>
      </c>
      <c r="CD109" s="30" t="n">
        <v>0</v>
      </c>
      <c r="CE109" s="30" t="n">
        <v>0</v>
      </c>
      <c r="CF109" s="30" t="n">
        <v>0</v>
      </c>
      <c r="CG109" s="30" t="n">
        <v>0</v>
      </c>
      <c r="CH109" s="30" t="n">
        <v>0</v>
      </c>
      <c r="CI109" s="30" t="n">
        <v>0</v>
      </c>
      <c r="CJ109" s="30" t="n">
        <v>0</v>
      </c>
      <c r="CK109" s="30" t="n">
        <v>0</v>
      </c>
      <c r="CL109" s="30" t="n">
        <v>0</v>
      </c>
      <c r="CM109" s="30" t="n">
        <v>0</v>
      </c>
      <c r="CN109" s="30" t="n">
        <v>0</v>
      </c>
      <c r="CO109" s="30" t="n">
        <v>0</v>
      </c>
      <c r="CP109" s="30" t="n">
        <v>0</v>
      </c>
      <c r="CQ109" s="30" t="n">
        <v>0</v>
      </c>
      <c r="CR109" s="30" t="n">
        <v>0</v>
      </c>
      <c r="CS109" s="30" t="n">
        <v>0</v>
      </c>
      <c r="CT109" s="30" t="n">
        <v>0</v>
      </c>
      <c r="CU109" s="30" t="n">
        <v>0</v>
      </c>
      <c r="CV109" s="30" t="n">
        <v>0</v>
      </c>
      <c r="CW109" s="30" t="n">
        <v>0</v>
      </c>
      <c r="CX109" s="30" t="n">
        <v>0</v>
      </c>
      <c r="CY109" s="30" t="n">
        <v>0</v>
      </c>
      <c r="CZ109" s="30" t="n">
        <v>0</v>
      </c>
      <c r="DA109" s="30" t="n">
        <v>0</v>
      </c>
    </row>
    <row r="110">
      <c r="A110" t="inlineStr">
        <is>
          <t>SOL-SH</t>
        </is>
      </c>
      <c r="B110" s="30" t="n">
        <v>0</v>
      </c>
      <c r="C110" s="30" t="n">
        <v>0</v>
      </c>
      <c r="D110" s="30" t="n">
        <v>0</v>
      </c>
      <c r="E110" s="30" t="n">
        <v>0</v>
      </c>
      <c r="F110" s="30" t="n">
        <v>0</v>
      </c>
      <c r="G110" s="30" t="n">
        <v>0</v>
      </c>
      <c r="H110" s="30" t="n">
        <v>0</v>
      </c>
      <c r="I110" s="30" t="n">
        <v>0</v>
      </c>
      <c r="J110" s="30" t="n">
        <v>0</v>
      </c>
      <c r="K110" s="30" t="n">
        <v>0</v>
      </c>
      <c r="L110" s="30" t="n">
        <v>0</v>
      </c>
      <c r="M110" s="30" t="n">
        <v>0</v>
      </c>
      <c r="N110" s="30" t="n">
        <v>0</v>
      </c>
      <c r="O110" s="30" t="n">
        <v>0</v>
      </c>
      <c r="P110" s="30" t="n">
        <v>0</v>
      </c>
      <c r="Q110" s="30" t="n">
        <v>0</v>
      </c>
      <c r="R110" s="30" t="n">
        <v>0</v>
      </c>
      <c r="S110" s="30" t="n">
        <v>0</v>
      </c>
      <c r="T110" s="30" t="n">
        <v>0</v>
      </c>
      <c r="U110" s="30" t="n">
        <v>0</v>
      </c>
      <c r="V110" s="30" t="n">
        <v>0</v>
      </c>
      <c r="W110" s="30" t="n">
        <v>0</v>
      </c>
      <c r="X110" s="30" t="n">
        <v>0</v>
      </c>
      <c r="Y110" s="30" t="n">
        <v>0</v>
      </c>
      <c r="Z110" s="30" t="n">
        <v>0</v>
      </c>
      <c r="AA110" s="30" t="n">
        <v>0</v>
      </c>
      <c r="AB110" s="30" t="n">
        <v>0</v>
      </c>
      <c r="AC110" s="30" t="n">
        <v>0</v>
      </c>
      <c r="AD110" s="30" t="n">
        <v>0</v>
      </c>
      <c r="AE110" s="30" t="n">
        <v>0</v>
      </c>
      <c r="AF110" s="30" t="n">
        <v>0</v>
      </c>
      <c r="AG110" s="30" t="n">
        <v>0</v>
      </c>
      <c r="AH110" s="30" t="n">
        <v>0</v>
      </c>
      <c r="AI110" s="30" t="n">
        <v>0</v>
      </c>
      <c r="AJ110" s="30" t="n">
        <v>0</v>
      </c>
      <c r="AK110" s="30" t="n">
        <v>0</v>
      </c>
      <c r="AL110" s="30" t="n">
        <v>0</v>
      </c>
      <c r="AM110" s="30" t="n">
        <v>0</v>
      </c>
      <c r="AN110" s="30" t="n">
        <v>0</v>
      </c>
      <c r="AO110" s="30" t="n">
        <v>0</v>
      </c>
      <c r="AP110" s="30" t="n">
        <v>0</v>
      </c>
      <c r="AQ110" s="30" t="n">
        <v>0</v>
      </c>
      <c r="AR110" s="30" t="n">
        <v>0</v>
      </c>
      <c r="AS110" s="30" t="n">
        <v>0</v>
      </c>
      <c r="AT110" s="30" t="n">
        <v>0</v>
      </c>
      <c r="AU110" s="30" t="n">
        <v>0</v>
      </c>
      <c r="AV110" s="30" t="n">
        <v>0</v>
      </c>
      <c r="AW110" s="30" t="n">
        <v>0</v>
      </c>
      <c r="AX110" s="30" t="n">
        <v>0</v>
      </c>
      <c r="AY110" s="30" t="n">
        <v>0</v>
      </c>
      <c r="AZ110" s="30" t="n">
        <v>0</v>
      </c>
      <c r="BA110" s="30" t="n">
        <v>0</v>
      </c>
      <c r="BB110" s="30" t="n">
        <v>0</v>
      </c>
      <c r="BC110" s="30" t="n">
        <v>0</v>
      </c>
      <c r="BD110" s="30" t="n">
        <v>0</v>
      </c>
      <c r="BE110" s="30" t="n">
        <v>0</v>
      </c>
      <c r="BF110" s="30" t="n">
        <v>0</v>
      </c>
      <c r="BG110" s="30" t="n">
        <v>0</v>
      </c>
      <c r="BH110" s="30" t="n">
        <v>0</v>
      </c>
      <c r="BI110" s="30" t="n">
        <v>0</v>
      </c>
      <c r="BJ110" s="30" t="n">
        <v>0</v>
      </c>
      <c r="BK110" s="30" t="n">
        <v>0</v>
      </c>
      <c r="BL110" s="30" t="n">
        <v>0</v>
      </c>
      <c r="BM110" s="30" t="n">
        <v>0</v>
      </c>
      <c r="BN110" s="30" t="n">
        <v>0</v>
      </c>
      <c r="BO110" s="30" t="n">
        <v>0</v>
      </c>
      <c r="BP110" s="30" t="n">
        <v>0</v>
      </c>
      <c r="BQ110" s="30" t="n">
        <v>0</v>
      </c>
      <c r="BR110" s="30" t="n">
        <v>0</v>
      </c>
      <c r="BS110" s="30" t="n">
        <v>0</v>
      </c>
      <c r="BT110" s="30" t="n">
        <v>0</v>
      </c>
      <c r="BU110" s="30" t="n">
        <v>0</v>
      </c>
      <c r="BV110" s="30" t="n">
        <v>0</v>
      </c>
      <c r="BW110" s="30" t="n">
        <v>0</v>
      </c>
      <c r="BX110" s="30" t="n">
        <v>0</v>
      </c>
      <c r="BY110" s="30" t="n">
        <v>0</v>
      </c>
      <c r="BZ110" s="30" t="n">
        <v>0</v>
      </c>
      <c r="CA110" s="30" t="n">
        <v>0</v>
      </c>
      <c r="CB110" s="30" t="n">
        <v>0</v>
      </c>
      <c r="CC110" s="30" t="n">
        <v>0</v>
      </c>
      <c r="CD110" s="30" t="n">
        <v>0</v>
      </c>
      <c r="CE110" s="30" t="n">
        <v>0</v>
      </c>
      <c r="CF110" s="30" t="n">
        <v>0</v>
      </c>
      <c r="CG110" s="30" t="n">
        <v>0</v>
      </c>
      <c r="CH110" s="30" t="n">
        <v>0</v>
      </c>
      <c r="CI110" s="30" t="n">
        <v>0</v>
      </c>
      <c r="CJ110" s="30" t="n">
        <v>0</v>
      </c>
      <c r="CK110" s="30" t="n">
        <v>0</v>
      </c>
      <c r="CL110" s="30" t="n">
        <v>0</v>
      </c>
      <c r="CM110" s="30" t="n">
        <v>0</v>
      </c>
      <c r="CN110" s="30" t="n">
        <v>0</v>
      </c>
      <c r="CO110" s="30" t="n">
        <v>0</v>
      </c>
      <c r="CP110" s="30" t="n">
        <v>0</v>
      </c>
      <c r="CQ110" s="30" t="n">
        <v>0</v>
      </c>
      <c r="CR110" s="30" t="n">
        <v>0</v>
      </c>
      <c r="CS110" s="30" t="n">
        <v>0</v>
      </c>
      <c r="CT110" s="30" t="n">
        <v>0</v>
      </c>
      <c r="CU110" s="30" t="n">
        <v>0</v>
      </c>
      <c r="CV110" s="30" t="n">
        <v>0</v>
      </c>
      <c r="CW110" s="30" t="n">
        <v>0</v>
      </c>
      <c r="CX110" s="30" t="n">
        <v>0</v>
      </c>
      <c r="CY110" s="30" t="n">
        <v>0</v>
      </c>
      <c r="CZ110" s="30" t="n">
        <v>0</v>
      </c>
      <c r="DA110" s="30" t="n">
        <v>0</v>
      </c>
    </row>
    <row r="111">
      <c r="A111" t="inlineStr">
        <is>
          <t>20p</t>
        </is>
      </c>
      <c r="B111" s="30" t="n">
        <v>0</v>
      </c>
      <c r="C111" s="30" t="n">
        <v>0</v>
      </c>
      <c r="D111" s="30" t="n">
        <v>0</v>
      </c>
      <c r="E111" s="30" t="n">
        <v>0</v>
      </c>
      <c r="F111" s="30" t="n">
        <v>0</v>
      </c>
      <c r="G111" s="30" t="n">
        <v>0</v>
      </c>
      <c r="H111" s="30" t="n">
        <v>0</v>
      </c>
      <c r="I111" s="30" t="n">
        <v>0</v>
      </c>
      <c r="J111" s="30" t="n">
        <v>0</v>
      </c>
      <c r="K111" s="30" t="n">
        <v>0</v>
      </c>
      <c r="L111" s="30" t="n">
        <v>0</v>
      </c>
      <c r="M111" s="30" t="n">
        <v>0</v>
      </c>
      <c r="N111" s="30" t="n">
        <v>0</v>
      </c>
      <c r="O111" s="30" t="n">
        <v>0</v>
      </c>
      <c r="P111" s="30" t="n">
        <v>0</v>
      </c>
      <c r="Q111" s="30" t="n">
        <v>0</v>
      </c>
      <c r="R111" s="30" t="n">
        <v>0</v>
      </c>
      <c r="S111" s="30" t="n">
        <v>0</v>
      </c>
      <c r="T111" s="30" t="n">
        <v>0</v>
      </c>
      <c r="U111" s="30" t="n">
        <v>0</v>
      </c>
      <c r="V111" s="30" t="n">
        <v>0</v>
      </c>
      <c r="W111" s="30" t="n">
        <v>0</v>
      </c>
      <c r="X111" s="30" t="n">
        <v>0</v>
      </c>
      <c r="Y111" s="30" t="n">
        <v>0</v>
      </c>
      <c r="Z111" s="30" t="n">
        <v>0</v>
      </c>
      <c r="AA111" s="30" t="n">
        <v>0</v>
      </c>
      <c r="AB111" s="30" t="n">
        <v>0</v>
      </c>
      <c r="AC111" s="30" t="n">
        <v>0</v>
      </c>
      <c r="AD111" s="30" t="n">
        <v>0</v>
      </c>
      <c r="AE111" s="30" t="n">
        <v>0</v>
      </c>
      <c r="AF111" s="30" t="n">
        <v>0</v>
      </c>
      <c r="AG111" s="30" t="n">
        <v>0</v>
      </c>
      <c r="AH111" s="30" t="n">
        <v>0</v>
      </c>
      <c r="AI111" s="30" t="n">
        <v>0</v>
      </c>
      <c r="AJ111" s="30" t="n">
        <v>0</v>
      </c>
      <c r="AK111" s="30" t="n">
        <v>0</v>
      </c>
      <c r="AL111" s="30" t="n">
        <v>0</v>
      </c>
      <c r="AM111" s="30" t="n">
        <v>0</v>
      </c>
      <c r="AN111" s="30" t="n">
        <v>0</v>
      </c>
      <c r="AO111" s="30" t="n">
        <v>0</v>
      </c>
      <c r="AP111" s="30" t="n">
        <v>0</v>
      </c>
      <c r="AQ111" s="30" t="n">
        <v>0</v>
      </c>
      <c r="AR111" s="30" t="n">
        <v>0</v>
      </c>
      <c r="AS111" s="30" t="n">
        <v>0</v>
      </c>
      <c r="AT111" s="30" t="n">
        <v>0</v>
      </c>
      <c r="AU111" s="30" t="n">
        <v>0</v>
      </c>
      <c r="AV111" s="30" t="n">
        <v>0</v>
      </c>
      <c r="AW111" s="30" t="n">
        <v>0</v>
      </c>
      <c r="AX111" s="30" t="n">
        <v>0</v>
      </c>
      <c r="AY111" s="30" t="n">
        <v>0</v>
      </c>
      <c r="AZ111" s="30" t="n">
        <v>0</v>
      </c>
      <c r="BA111" s="30" t="n">
        <v>0</v>
      </c>
      <c r="BB111" s="30" t="n">
        <v>0</v>
      </c>
      <c r="BC111" s="30" t="n">
        <v>0</v>
      </c>
      <c r="BD111" s="30" t="n">
        <v>0</v>
      </c>
      <c r="BE111" s="30" t="n">
        <v>0</v>
      </c>
      <c r="BF111" s="30" t="n">
        <v>0</v>
      </c>
      <c r="BG111" s="30" t="n">
        <v>0</v>
      </c>
      <c r="BH111" s="30" t="n">
        <v>0</v>
      </c>
      <c r="BI111" s="30" t="n">
        <v>0</v>
      </c>
      <c r="BJ111" s="30" t="n">
        <v>0</v>
      </c>
      <c r="BK111" s="30" t="n">
        <v>0</v>
      </c>
      <c r="BL111" s="30" t="n">
        <v>0</v>
      </c>
      <c r="BM111" s="30" t="n">
        <v>0</v>
      </c>
      <c r="BN111" s="30" t="n">
        <v>0</v>
      </c>
      <c r="BO111" s="30" t="n">
        <v>0</v>
      </c>
      <c r="BP111" s="30" t="n">
        <v>0</v>
      </c>
      <c r="BQ111" s="30" t="n">
        <v>0</v>
      </c>
      <c r="BR111" s="30" t="n">
        <v>0</v>
      </c>
      <c r="BS111" s="30" t="n">
        <v>0</v>
      </c>
      <c r="BT111" s="30" t="n">
        <v>0</v>
      </c>
      <c r="BU111" s="30" t="n">
        <v>0</v>
      </c>
      <c r="BV111" s="30" t="n">
        <v>0</v>
      </c>
      <c r="BW111" s="30" t="n">
        <v>0</v>
      </c>
      <c r="BX111" s="30" t="n">
        <v>0</v>
      </c>
      <c r="BY111" s="30" t="n">
        <v>0</v>
      </c>
      <c r="BZ111" s="30" t="n">
        <v>0</v>
      </c>
      <c r="CA111" s="30" t="n">
        <v>0</v>
      </c>
      <c r="CB111" s="30" t="n">
        <v>0</v>
      </c>
      <c r="CC111" s="30" t="n">
        <v>0</v>
      </c>
      <c r="CD111" s="30" t="n">
        <v>0</v>
      </c>
      <c r="CE111" s="30" t="n">
        <v>0</v>
      </c>
      <c r="CF111" s="30" t="n">
        <v>0</v>
      </c>
      <c r="CG111" s="30" t="n">
        <v>0</v>
      </c>
      <c r="CH111" s="30" t="n">
        <v>0</v>
      </c>
      <c r="CI111" s="30" t="n">
        <v>0</v>
      </c>
      <c r="CJ111" s="30" t="n">
        <v>0</v>
      </c>
      <c r="CK111" s="30" t="n">
        <v>0</v>
      </c>
      <c r="CL111" s="30" t="n">
        <v>0</v>
      </c>
      <c r="CM111" s="30" t="n">
        <v>0</v>
      </c>
      <c r="CN111" s="30" t="n">
        <v>0</v>
      </c>
      <c r="CO111" s="30" t="n">
        <v>0</v>
      </c>
      <c r="CP111" s="30" t="n">
        <v>0</v>
      </c>
      <c r="CQ111" s="30" t="n">
        <v>0</v>
      </c>
      <c r="CR111" s="30" t="n">
        <v>0</v>
      </c>
      <c r="CS111" s="30" t="n">
        <v>0</v>
      </c>
      <c r="CT111" s="30" t="n">
        <v>0</v>
      </c>
      <c r="CU111" s="30" t="n">
        <v>0</v>
      </c>
      <c r="CV111" s="30" t="n">
        <v>0</v>
      </c>
      <c r="CW111" s="30" t="n">
        <v>0</v>
      </c>
      <c r="CX111" s="30" t="n">
        <v>0</v>
      </c>
      <c r="CY111" s="30" t="n">
        <v>0</v>
      </c>
      <c r="CZ111" s="30" t="n">
        <v>0</v>
      </c>
      <c r="DA111" s="30" t="n">
        <v>0</v>
      </c>
    </row>
    <row r="112">
      <c r="A112" t="inlineStr">
        <is>
          <t>TPP-1459</t>
        </is>
      </c>
      <c r="B112" s="30" t="n">
        <v>0</v>
      </c>
      <c r="C112" s="30" t="n">
        <v>0</v>
      </c>
      <c r="D112" s="30" t="n">
        <v>0</v>
      </c>
      <c r="E112" s="30" t="n">
        <v>0</v>
      </c>
      <c r="F112" s="30" t="n">
        <v>0</v>
      </c>
      <c r="G112" s="30" t="n">
        <v>0</v>
      </c>
      <c r="H112" s="30" t="n">
        <v>0</v>
      </c>
      <c r="I112" s="30" t="n">
        <v>0</v>
      </c>
      <c r="J112" s="30" t="n">
        <v>0</v>
      </c>
      <c r="K112" s="30" t="n">
        <v>0</v>
      </c>
      <c r="L112" s="30" t="n">
        <v>0</v>
      </c>
      <c r="M112" s="30" t="n">
        <v>0</v>
      </c>
      <c r="N112" s="30" t="n">
        <v>0</v>
      </c>
      <c r="O112" s="30" t="n">
        <v>0</v>
      </c>
      <c r="P112" s="30" t="n">
        <v>0</v>
      </c>
      <c r="Q112" s="30" t="n">
        <v>0</v>
      </c>
      <c r="R112" s="30" t="n">
        <v>0</v>
      </c>
      <c r="S112" s="30" t="n">
        <v>0</v>
      </c>
      <c r="T112" s="30" t="n">
        <v>0</v>
      </c>
      <c r="U112" s="30" t="n">
        <v>0</v>
      </c>
      <c r="V112" s="30" t="n">
        <v>0</v>
      </c>
      <c r="W112" s="30" t="n">
        <v>0</v>
      </c>
      <c r="X112" s="30" t="n">
        <v>0</v>
      </c>
      <c r="Y112" s="30" t="n">
        <v>3</v>
      </c>
      <c r="Z112" s="30" t="n">
        <v>0</v>
      </c>
      <c r="AA112" s="30" t="n">
        <v>2</v>
      </c>
      <c r="AB112" s="30" t="n">
        <v>0</v>
      </c>
      <c r="AC112" s="30" t="n">
        <v>0</v>
      </c>
      <c r="AD112" s="30" t="n">
        <v>0</v>
      </c>
      <c r="AE112" s="30" t="n">
        <v>0</v>
      </c>
      <c r="AF112" s="30" t="n">
        <v>4</v>
      </c>
      <c r="AG112" s="30" t="n">
        <v>0</v>
      </c>
      <c r="AH112" s="30" t="n">
        <v>0</v>
      </c>
      <c r="AI112" s="30" t="n">
        <v>0</v>
      </c>
      <c r="AJ112" s="30" t="n">
        <v>2</v>
      </c>
      <c r="AK112" s="30" t="n">
        <v>0</v>
      </c>
      <c r="AL112" s="30" t="n">
        <v>2</v>
      </c>
      <c r="AM112" s="30" t="n">
        <v>0</v>
      </c>
      <c r="AN112" s="30" t="n">
        <v>0</v>
      </c>
      <c r="AO112" s="30" t="n">
        <v>1</v>
      </c>
      <c r="AP112" s="30" t="n">
        <v>0</v>
      </c>
      <c r="AQ112" s="30" t="n">
        <v>0</v>
      </c>
      <c r="AR112" s="30" t="n">
        <v>2</v>
      </c>
      <c r="AS112" s="30" t="n">
        <v>1</v>
      </c>
      <c r="AT112" s="30" t="n">
        <v>0</v>
      </c>
      <c r="AU112" s="30" t="n">
        <v>0</v>
      </c>
      <c r="AV112" s="30" t="n">
        <v>4</v>
      </c>
      <c r="AW112" s="30" t="n">
        <v>0</v>
      </c>
      <c r="AX112" s="30" t="n">
        <v>0</v>
      </c>
      <c r="AY112" s="30" t="n">
        <v>0</v>
      </c>
      <c r="AZ112" s="30" t="n">
        <v>0</v>
      </c>
      <c r="BA112" s="30" t="n">
        <v>0</v>
      </c>
      <c r="BB112" s="30" t="n">
        <v>0</v>
      </c>
      <c r="BC112" s="30" t="n">
        <v>0</v>
      </c>
      <c r="BD112" s="30" t="n">
        <v>0</v>
      </c>
      <c r="BE112" s="30" t="n">
        <v>2</v>
      </c>
      <c r="BF112" s="30" t="n">
        <v>0</v>
      </c>
      <c r="BG112" s="30" t="n">
        <v>0</v>
      </c>
      <c r="BH112" s="30" t="n">
        <v>0</v>
      </c>
      <c r="BI112" s="30" t="n">
        <v>4</v>
      </c>
      <c r="BJ112" s="30" t="n">
        <v>0</v>
      </c>
      <c r="BK112" s="30" t="n">
        <v>0</v>
      </c>
      <c r="BL112" s="30" t="n">
        <v>0</v>
      </c>
      <c r="BM112" s="30" t="n">
        <v>2</v>
      </c>
      <c r="BN112" s="30" t="n">
        <v>0</v>
      </c>
      <c r="BO112" s="30" t="n">
        <v>0</v>
      </c>
      <c r="BP112" s="30" t="n">
        <v>2</v>
      </c>
      <c r="BQ112" s="30" t="n">
        <v>4</v>
      </c>
      <c r="BR112" s="30" t="n">
        <v>4</v>
      </c>
      <c r="BS112" s="30" t="n">
        <v>0</v>
      </c>
      <c r="BT112" s="30" t="n">
        <v>2</v>
      </c>
      <c r="BU112" s="30" t="n">
        <v>4</v>
      </c>
      <c r="BV112" s="30" t="n">
        <v>0</v>
      </c>
      <c r="BW112" s="30" t="n">
        <v>0</v>
      </c>
      <c r="BX112" s="30" t="n">
        <v>0</v>
      </c>
      <c r="BY112" s="30" t="n">
        <v>0</v>
      </c>
      <c r="BZ112" s="30" t="n">
        <v>0</v>
      </c>
      <c r="CA112" s="30" t="n">
        <v>0</v>
      </c>
      <c r="CB112" s="30" t="n">
        <v>0</v>
      </c>
      <c r="CC112" s="30" t="n">
        <v>0</v>
      </c>
      <c r="CD112" s="30" t="n">
        <v>0</v>
      </c>
      <c r="CE112" s="30" t="n">
        <v>0</v>
      </c>
      <c r="CF112" s="30" t="n">
        <v>0</v>
      </c>
      <c r="CG112" s="30" t="n">
        <v>0</v>
      </c>
      <c r="CH112" s="30" t="n">
        <v>0</v>
      </c>
      <c r="CI112" s="30" t="n">
        <v>0</v>
      </c>
      <c r="CJ112" s="30" t="n">
        <v>0</v>
      </c>
      <c r="CK112" s="30" t="n">
        <v>0</v>
      </c>
      <c r="CL112" s="30" t="n">
        <v>0</v>
      </c>
      <c r="CM112" s="30" t="n">
        <v>0</v>
      </c>
      <c r="CN112" s="30" t="n">
        <v>0</v>
      </c>
      <c r="CO112" s="30" t="n">
        <v>0</v>
      </c>
      <c r="CP112" s="30" t="n">
        <v>0</v>
      </c>
      <c r="CQ112" s="30" t="n">
        <v>0</v>
      </c>
      <c r="CR112" s="30" t="n">
        <v>0</v>
      </c>
      <c r="CS112" s="30" t="n">
        <v>0</v>
      </c>
      <c r="CT112" s="30" t="n">
        <v>0</v>
      </c>
      <c r="CU112" s="30" t="n">
        <v>0</v>
      </c>
      <c r="CV112" s="30" t="n">
        <v>0</v>
      </c>
      <c r="CW112" s="30" t="n">
        <v>0</v>
      </c>
      <c r="CX112" s="30" t="n">
        <v>0</v>
      </c>
      <c r="CY112" s="30" t="n">
        <v>0</v>
      </c>
      <c r="CZ112" s="30" t="n">
        <v>0</v>
      </c>
      <c r="DA112" s="30" t="n">
        <v>0</v>
      </c>
    </row>
    <row r="113">
      <c r="A113" t="inlineStr">
        <is>
          <t>TPP-1466</t>
        </is>
      </c>
      <c r="B113" s="30" t="n">
        <v>0</v>
      </c>
      <c r="C113" s="30" t="n">
        <v>0</v>
      </c>
      <c r="D113" s="30" t="n">
        <v>0</v>
      </c>
      <c r="E113" s="30" t="n">
        <v>0</v>
      </c>
      <c r="F113" s="30" t="n">
        <v>0</v>
      </c>
      <c r="G113" s="30" t="n">
        <v>0</v>
      </c>
      <c r="H113" s="30" t="n">
        <v>0</v>
      </c>
      <c r="I113" s="30" t="n">
        <v>0</v>
      </c>
      <c r="J113" s="30" t="n">
        <v>0</v>
      </c>
      <c r="K113" s="30" t="n">
        <v>0</v>
      </c>
      <c r="L113" s="30" t="n">
        <v>0</v>
      </c>
      <c r="M113" s="30" t="n">
        <v>0</v>
      </c>
      <c r="N113" s="30" t="n">
        <v>0</v>
      </c>
      <c r="O113" s="30" t="n">
        <v>0</v>
      </c>
      <c r="P113" s="30" t="n">
        <v>0</v>
      </c>
      <c r="Q113" s="30" t="n">
        <v>0</v>
      </c>
      <c r="R113" s="30" t="n">
        <v>0</v>
      </c>
      <c r="S113" s="30" t="n">
        <v>0</v>
      </c>
      <c r="T113" s="30" t="n">
        <v>0</v>
      </c>
      <c r="U113" s="30" t="n">
        <v>0</v>
      </c>
      <c r="V113" s="30" t="n">
        <v>0</v>
      </c>
      <c r="W113" s="30" t="n">
        <v>0</v>
      </c>
      <c r="X113" s="30" t="n">
        <v>0</v>
      </c>
      <c r="Y113" s="30" t="n">
        <v>0</v>
      </c>
      <c r="Z113" s="30" t="n">
        <v>0</v>
      </c>
      <c r="AA113" s="30" t="n">
        <v>0</v>
      </c>
      <c r="AB113" s="30" t="n">
        <v>0</v>
      </c>
      <c r="AC113" s="30" t="n">
        <v>0</v>
      </c>
      <c r="AD113" s="30" t="n">
        <v>0</v>
      </c>
      <c r="AE113" s="30" t="n">
        <v>0</v>
      </c>
      <c r="AF113" s="30" t="n">
        <v>0</v>
      </c>
      <c r="AG113" s="30" t="n">
        <v>0</v>
      </c>
      <c r="AH113" s="30" t="n">
        <v>0</v>
      </c>
      <c r="AI113" s="30" t="n">
        <v>0</v>
      </c>
      <c r="AJ113" s="30" t="n">
        <v>0</v>
      </c>
      <c r="AK113" s="30" t="n">
        <v>0</v>
      </c>
      <c r="AL113" s="30" t="n">
        <v>0</v>
      </c>
      <c r="AM113" s="30" t="n">
        <v>0</v>
      </c>
      <c r="AN113" s="30" t="n">
        <v>0</v>
      </c>
      <c r="AO113" s="30" t="n">
        <v>0</v>
      </c>
      <c r="AP113" s="30" t="n">
        <v>0</v>
      </c>
      <c r="AQ113" s="30" t="n">
        <v>0</v>
      </c>
      <c r="AR113" s="30" t="n">
        <v>0</v>
      </c>
      <c r="AS113" s="30" t="n">
        <v>0</v>
      </c>
      <c r="AT113" s="30" t="n">
        <v>0</v>
      </c>
      <c r="AU113" s="30" t="n">
        <v>0</v>
      </c>
      <c r="AV113" s="30" t="n">
        <v>0</v>
      </c>
      <c r="AW113" s="30" t="n">
        <v>0</v>
      </c>
      <c r="AX113" s="30" t="n">
        <v>0</v>
      </c>
      <c r="AY113" s="30" t="n">
        <v>0</v>
      </c>
      <c r="AZ113" s="30" t="n">
        <v>0</v>
      </c>
      <c r="BA113" s="30" t="n">
        <v>0</v>
      </c>
      <c r="BB113" s="30" t="n">
        <v>0</v>
      </c>
      <c r="BC113" s="30" t="n">
        <v>0</v>
      </c>
      <c r="BD113" s="30" t="n">
        <v>0</v>
      </c>
      <c r="BE113" s="30" t="n">
        <v>0</v>
      </c>
      <c r="BF113" s="30" t="n">
        <v>0</v>
      </c>
      <c r="BG113" s="30" t="n">
        <v>0</v>
      </c>
      <c r="BH113" s="30" t="n">
        <v>0</v>
      </c>
      <c r="BI113" s="30" t="n">
        <v>0</v>
      </c>
      <c r="BJ113" s="30" t="n">
        <v>0</v>
      </c>
      <c r="BK113" s="30" t="n">
        <v>0</v>
      </c>
      <c r="BL113" s="30" t="n">
        <v>0</v>
      </c>
      <c r="BM113" s="30" t="n">
        <v>0</v>
      </c>
      <c r="BN113" s="30" t="n">
        <v>0</v>
      </c>
      <c r="BO113" s="30" t="n">
        <v>0</v>
      </c>
      <c r="BP113" s="30" t="n">
        <v>0</v>
      </c>
      <c r="BQ113" s="30" t="n">
        <v>0</v>
      </c>
      <c r="BR113" s="30" t="n">
        <v>0</v>
      </c>
      <c r="BS113" s="30" t="n">
        <v>0</v>
      </c>
      <c r="BT113" s="30" t="n">
        <v>0</v>
      </c>
      <c r="BU113" s="30" t="n">
        <v>0</v>
      </c>
      <c r="BV113" s="30" t="n">
        <v>0</v>
      </c>
      <c r="BW113" s="30" t="n">
        <v>0</v>
      </c>
      <c r="BX113" s="30" t="n">
        <v>0</v>
      </c>
      <c r="BY113" s="30" t="n">
        <v>0</v>
      </c>
      <c r="BZ113" s="30" t="n">
        <v>0</v>
      </c>
      <c r="CA113" s="30" t="n">
        <v>0</v>
      </c>
      <c r="CB113" s="30" t="n">
        <v>0</v>
      </c>
      <c r="CC113" s="30" t="n">
        <v>0</v>
      </c>
      <c r="CD113" s="30" t="n">
        <v>0</v>
      </c>
      <c r="CE113" s="30" t="n">
        <v>0</v>
      </c>
      <c r="CF113" s="30" t="n">
        <v>0</v>
      </c>
      <c r="CG113" s="30" t="n">
        <v>0</v>
      </c>
      <c r="CH113" s="30" t="n">
        <v>0</v>
      </c>
      <c r="CI113" s="30" t="n">
        <v>0</v>
      </c>
      <c r="CJ113" s="30" t="n">
        <v>0</v>
      </c>
      <c r="CK113" s="30" t="n">
        <v>0</v>
      </c>
      <c r="CL113" s="30" t="n">
        <v>0</v>
      </c>
      <c r="CM113" s="30" t="n">
        <v>0</v>
      </c>
      <c r="CN113" s="30" t="n">
        <v>0</v>
      </c>
      <c r="CO113" s="30" t="n">
        <v>0</v>
      </c>
      <c r="CP113" s="30" t="n">
        <v>0</v>
      </c>
      <c r="CQ113" s="30" t="n">
        <v>0</v>
      </c>
      <c r="CR113" s="30" t="n">
        <v>0</v>
      </c>
      <c r="CS113" s="30" t="n">
        <v>0</v>
      </c>
      <c r="CT113" s="30" t="n">
        <v>0</v>
      </c>
      <c r="CU113" s="30" t="n">
        <v>0</v>
      </c>
      <c r="CV113" s="30" t="n">
        <v>0</v>
      </c>
      <c r="CW113" s="30" t="n">
        <v>0</v>
      </c>
      <c r="CX113" s="30" t="n">
        <v>0</v>
      </c>
      <c r="CY113" s="30" t="n">
        <v>0</v>
      </c>
      <c r="CZ113" s="30" t="n">
        <v>0</v>
      </c>
      <c r="DA113" s="30" t="n">
        <v>0</v>
      </c>
    </row>
    <row r="114">
      <c r="A114" t="inlineStr">
        <is>
          <t>TPP-2245</t>
        </is>
      </c>
      <c r="B114" s="30" t="n">
        <v>0</v>
      </c>
      <c r="C114" s="30" t="n">
        <v>0</v>
      </c>
      <c r="D114" s="30" t="n">
        <v>0</v>
      </c>
      <c r="E114" s="30" t="n">
        <v>0</v>
      </c>
      <c r="F114" s="30" t="n">
        <v>0</v>
      </c>
      <c r="G114" s="30" t="n">
        <v>0</v>
      </c>
      <c r="H114" s="30" t="n">
        <v>0</v>
      </c>
      <c r="I114" s="30" t="n">
        <v>0</v>
      </c>
      <c r="J114" s="30" t="n">
        <v>0</v>
      </c>
      <c r="K114" s="30" t="n">
        <v>0</v>
      </c>
      <c r="L114" s="30" t="n">
        <v>0</v>
      </c>
      <c r="M114" s="30" t="n">
        <v>0</v>
      </c>
      <c r="N114" s="30" t="n">
        <v>0</v>
      </c>
      <c r="O114" s="30" t="n">
        <v>0</v>
      </c>
      <c r="P114" s="30" t="n">
        <v>0</v>
      </c>
      <c r="Q114" s="30" t="n">
        <v>0</v>
      </c>
      <c r="R114" s="30" t="n">
        <v>0</v>
      </c>
      <c r="S114" s="30" t="n">
        <v>0</v>
      </c>
      <c r="T114" s="30" t="n">
        <v>0</v>
      </c>
      <c r="U114" s="30" t="n">
        <v>0</v>
      </c>
      <c r="V114" s="30" t="n">
        <v>0</v>
      </c>
      <c r="W114" s="30" t="n">
        <v>0</v>
      </c>
      <c r="X114" s="30" t="n">
        <v>0</v>
      </c>
      <c r="Y114" s="30" t="n">
        <v>0</v>
      </c>
      <c r="Z114" s="30" t="n">
        <v>0</v>
      </c>
      <c r="AA114" s="30" t="n">
        <v>0</v>
      </c>
      <c r="AB114" s="30" t="n">
        <v>0</v>
      </c>
      <c r="AC114" s="30" t="n">
        <v>0</v>
      </c>
      <c r="AD114" s="30" t="n">
        <v>0</v>
      </c>
      <c r="AE114" s="30" t="n">
        <v>0</v>
      </c>
      <c r="AF114" s="30" t="n">
        <v>0</v>
      </c>
      <c r="AG114" s="30" t="n">
        <v>0</v>
      </c>
      <c r="AH114" s="30" t="n">
        <v>0</v>
      </c>
      <c r="AI114" s="30" t="n">
        <v>0</v>
      </c>
      <c r="AJ114" s="30" t="n">
        <v>0</v>
      </c>
      <c r="AK114" s="30" t="n">
        <v>0</v>
      </c>
      <c r="AL114" s="30" t="n">
        <v>0</v>
      </c>
      <c r="AM114" s="30" t="n">
        <v>0</v>
      </c>
      <c r="AN114" s="30" t="n">
        <v>0</v>
      </c>
      <c r="AO114" s="30" t="n">
        <v>0</v>
      </c>
      <c r="AP114" s="30" t="n">
        <v>0</v>
      </c>
      <c r="AQ114" s="30" t="n">
        <v>0</v>
      </c>
      <c r="AR114" s="30" t="n">
        <v>0</v>
      </c>
      <c r="AS114" s="30" t="n">
        <v>0</v>
      </c>
      <c r="AT114" s="30" t="n">
        <v>0</v>
      </c>
      <c r="AU114" s="30" t="n">
        <v>0</v>
      </c>
      <c r="AV114" s="30" t="n">
        <v>0</v>
      </c>
      <c r="AW114" s="30" t="n">
        <v>0</v>
      </c>
      <c r="AX114" s="30" t="n">
        <v>0</v>
      </c>
      <c r="AY114" s="30" t="n">
        <v>0</v>
      </c>
      <c r="AZ114" s="30" t="n">
        <v>0</v>
      </c>
      <c r="BA114" s="30" t="n">
        <v>0</v>
      </c>
      <c r="BB114" s="30" t="n">
        <v>0</v>
      </c>
      <c r="BC114" s="30" t="n">
        <v>0</v>
      </c>
      <c r="BD114" s="30" t="n">
        <v>0</v>
      </c>
      <c r="BE114" s="30" t="n">
        <v>0</v>
      </c>
      <c r="BF114" s="30" t="n">
        <v>0</v>
      </c>
      <c r="BG114" s="30" t="n">
        <v>0</v>
      </c>
      <c r="BH114" s="30" t="n">
        <v>0</v>
      </c>
      <c r="BI114" s="30" t="n">
        <v>0</v>
      </c>
      <c r="BJ114" s="30" t="n">
        <v>0</v>
      </c>
      <c r="BK114" s="30" t="n">
        <v>0</v>
      </c>
      <c r="BL114" s="30" t="n">
        <v>0</v>
      </c>
      <c r="BM114" s="30" t="n">
        <v>0</v>
      </c>
      <c r="BN114" s="30" t="n">
        <v>0</v>
      </c>
      <c r="BO114" s="30" t="n">
        <v>0</v>
      </c>
      <c r="BP114" s="30" t="n">
        <v>0</v>
      </c>
      <c r="BQ114" s="30" t="n">
        <v>0</v>
      </c>
      <c r="BR114" s="30" t="n">
        <v>0</v>
      </c>
      <c r="BS114" s="30" t="n">
        <v>0</v>
      </c>
      <c r="BT114" s="30" t="n">
        <v>0</v>
      </c>
      <c r="BU114" s="30" t="n">
        <v>0</v>
      </c>
      <c r="BV114" s="30" t="n">
        <v>0</v>
      </c>
      <c r="BW114" s="30" t="n">
        <v>0</v>
      </c>
      <c r="BX114" s="30" t="n">
        <v>0</v>
      </c>
      <c r="BY114" s="30" t="n">
        <v>0</v>
      </c>
      <c r="BZ114" s="30" t="n">
        <v>0</v>
      </c>
      <c r="CA114" s="30" t="n">
        <v>0</v>
      </c>
      <c r="CB114" s="30" t="n">
        <v>0</v>
      </c>
      <c r="CC114" s="30" t="n">
        <v>0</v>
      </c>
      <c r="CD114" s="30" t="n">
        <v>0</v>
      </c>
      <c r="CE114" s="30" t="n">
        <v>0</v>
      </c>
      <c r="CF114" s="30" t="n">
        <v>0</v>
      </c>
      <c r="CG114" s="30" t="n">
        <v>0</v>
      </c>
      <c r="CH114" s="30" t="n">
        <v>0</v>
      </c>
      <c r="CI114" s="30" t="n">
        <v>0</v>
      </c>
      <c r="CJ114" s="30" t="n">
        <v>0</v>
      </c>
      <c r="CK114" s="30" t="n">
        <v>0</v>
      </c>
      <c r="CL114" s="30" t="n">
        <v>0</v>
      </c>
      <c r="CM114" s="30" t="n">
        <v>0</v>
      </c>
      <c r="CN114" s="30" t="n">
        <v>0</v>
      </c>
      <c r="CO114" s="30" t="n">
        <v>0</v>
      </c>
      <c r="CP114" s="30" t="n">
        <v>0</v>
      </c>
      <c r="CQ114" s="30" t="n">
        <v>0</v>
      </c>
      <c r="CR114" s="30" t="n">
        <v>0</v>
      </c>
      <c r="CS114" s="30" t="n">
        <v>0</v>
      </c>
      <c r="CT114" s="30" t="n">
        <v>0</v>
      </c>
      <c r="CU114" s="30" t="n">
        <v>0</v>
      </c>
      <c r="CV114" s="30" t="n">
        <v>0</v>
      </c>
      <c r="CW114" s="30" t="n">
        <v>0</v>
      </c>
      <c r="CX114" s="30" t="n">
        <v>0</v>
      </c>
      <c r="CY114" s="30" t="n">
        <v>0</v>
      </c>
      <c r="CZ114" s="30" t="n">
        <v>0</v>
      </c>
      <c r="DA114" s="30" t="n">
        <v>0</v>
      </c>
    </row>
    <row r="115">
      <c r="A115" t="inlineStr">
        <is>
          <t>TPP-378</t>
        </is>
      </c>
      <c r="B115" s="30" t="n">
        <v>0</v>
      </c>
      <c r="C115" s="30" t="n">
        <v>0</v>
      </c>
      <c r="D115" s="30" t="n">
        <v>0</v>
      </c>
      <c r="E115" s="30" t="n">
        <v>0</v>
      </c>
      <c r="F115" s="30" t="n">
        <v>0</v>
      </c>
      <c r="G115" s="30" t="n">
        <v>0</v>
      </c>
      <c r="H115" s="30" t="n">
        <v>0</v>
      </c>
      <c r="I115" s="30" t="n">
        <v>0</v>
      </c>
      <c r="J115" s="30" t="n">
        <v>0</v>
      </c>
      <c r="K115" s="30" t="n">
        <v>0</v>
      </c>
      <c r="L115" s="30" t="n">
        <v>0</v>
      </c>
      <c r="M115" s="30" t="n">
        <v>0</v>
      </c>
      <c r="N115" s="30" t="n">
        <v>0</v>
      </c>
      <c r="O115" s="30" t="n">
        <v>0</v>
      </c>
      <c r="P115" s="30" t="n">
        <v>0</v>
      </c>
      <c r="Q115" s="30" t="n">
        <v>0</v>
      </c>
      <c r="R115" s="30" t="n">
        <v>0</v>
      </c>
      <c r="S115" s="30" t="n">
        <v>0</v>
      </c>
      <c r="T115" s="30" t="n">
        <v>0</v>
      </c>
      <c r="U115" s="30" t="n">
        <v>0</v>
      </c>
      <c r="V115" s="30" t="n">
        <v>0</v>
      </c>
      <c r="W115" s="30" t="n">
        <v>0</v>
      </c>
      <c r="X115" s="30" t="n">
        <v>0</v>
      </c>
      <c r="Y115" s="30" t="n">
        <v>0</v>
      </c>
      <c r="Z115" s="30" t="n">
        <v>0</v>
      </c>
      <c r="AA115" s="30" t="n">
        <v>0</v>
      </c>
      <c r="AB115" s="30" t="n">
        <v>0</v>
      </c>
      <c r="AC115" s="30" t="n">
        <v>0</v>
      </c>
      <c r="AD115" s="30" t="n">
        <v>0</v>
      </c>
      <c r="AE115" s="30" t="n">
        <v>0</v>
      </c>
      <c r="AF115" s="30" t="n">
        <v>0</v>
      </c>
      <c r="AG115" s="30" t="n">
        <v>0</v>
      </c>
      <c r="AH115" s="30" t="n">
        <v>0</v>
      </c>
      <c r="AI115" s="30" t="n">
        <v>0</v>
      </c>
      <c r="AJ115" s="30" t="n">
        <v>0</v>
      </c>
      <c r="AK115" s="30" t="n">
        <v>0</v>
      </c>
      <c r="AL115" s="30" t="n">
        <v>0</v>
      </c>
      <c r="AM115" s="30" t="n">
        <v>0</v>
      </c>
      <c r="AN115" s="30" t="n">
        <v>0</v>
      </c>
      <c r="AO115" s="30" t="n">
        <v>0</v>
      </c>
      <c r="AP115" s="30" t="n">
        <v>0</v>
      </c>
      <c r="AQ115" s="30" t="n">
        <v>0</v>
      </c>
      <c r="AR115" s="30" t="n">
        <v>0</v>
      </c>
      <c r="AS115" s="30" t="n">
        <v>0</v>
      </c>
      <c r="AT115" s="30" t="n">
        <v>0</v>
      </c>
      <c r="AU115" s="30" t="n">
        <v>0</v>
      </c>
      <c r="AV115" s="30" t="n">
        <v>0</v>
      </c>
      <c r="AW115" s="30" t="n">
        <v>0</v>
      </c>
      <c r="AX115" s="30" t="n">
        <v>0</v>
      </c>
      <c r="AY115" s="30" t="n">
        <v>0</v>
      </c>
      <c r="AZ115" s="30" t="n">
        <v>0</v>
      </c>
      <c r="BA115" s="30" t="n">
        <v>0</v>
      </c>
      <c r="BB115" s="30" t="n">
        <v>0</v>
      </c>
      <c r="BC115" s="30" t="n">
        <v>0</v>
      </c>
      <c r="BD115" s="30" t="n">
        <v>0</v>
      </c>
      <c r="BE115" s="30" t="n">
        <v>0</v>
      </c>
      <c r="BF115" s="30" t="n">
        <v>0</v>
      </c>
      <c r="BG115" s="30" t="n">
        <v>0</v>
      </c>
      <c r="BH115" s="30" t="n">
        <v>0</v>
      </c>
      <c r="BI115" s="30" t="n">
        <v>0</v>
      </c>
      <c r="BJ115" s="30" t="n">
        <v>0</v>
      </c>
      <c r="BK115" s="30" t="n">
        <v>0</v>
      </c>
      <c r="BL115" s="30" t="n">
        <v>0</v>
      </c>
      <c r="BM115" s="30" t="n">
        <v>0</v>
      </c>
      <c r="BN115" s="30" t="n">
        <v>0</v>
      </c>
      <c r="BO115" s="30" t="n">
        <v>0</v>
      </c>
      <c r="BP115" s="30" t="n">
        <v>0</v>
      </c>
      <c r="BQ115" s="30" t="n">
        <v>0</v>
      </c>
      <c r="BR115" s="30" t="n">
        <v>0</v>
      </c>
      <c r="BS115" s="30" t="n">
        <v>0</v>
      </c>
      <c r="BT115" s="30" t="n">
        <v>0</v>
      </c>
      <c r="BU115" s="30" t="n">
        <v>0</v>
      </c>
      <c r="BV115" s="30" t="n">
        <v>0</v>
      </c>
      <c r="BW115" s="30" t="n">
        <v>0</v>
      </c>
      <c r="BX115" s="30" t="n">
        <v>0</v>
      </c>
      <c r="BY115" s="30" t="n">
        <v>0</v>
      </c>
      <c r="BZ115" s="30" t="n">
        <v>0</v>
      </c>
      <c r="CA115" s="30" t="n">
        <v>0</v>
      </c>
      <c r="CB115" s="30" t="n">
        <v>0</v>
      </c>
      <c r="CC115" s="30" t="n">
        <v>0</v>
      </c>
      <c r="CD115" s="30" t="n">
        <v>0</v>
      </c>
      <c r="CE115" s="30" t="n">
        <v>0</v>
      </c>
      <c r="CF115" s="30" t="n">
        <v>0</v>
      </c>
      <c r="CG115" s="30" t="n">
        <v>0</v>
      </c>
      <c r="CH115" s="30" t="n">
        <v>0</v>
      </c>
      <c r="CI115" s="30" t="n">
        <v>0</v>
      </c>
      <c r="CJ115" s="30" t="n">
        <v>0</v>
      </c>
      <c r="CK115" s="30" t="n">
        <v>0</v>
      </c>
      <c r="CL115" s="30" t="n">
        <v>0</v>
      </c>
      <c r="CM115" s="30" t="n">
        <v>0</v>
      </c>
      <c r="CN115" s="30" t="n">
        <v>0</v>
      </c>
      <c r="CO115" s="30" t="n">
        <v>0</v>
      </c>
      <c r="CP115" s="30" t="n">
        <v>0</v>
      </c>
      <c r="CQ115" s="30" t="n">
        <v>0</v>
      </c>
      <c r="CR115" s="30" t="n">
        <v>0</v>
      </c>
      <c r="CS115" s="30" t="n">
        <v>0</v>
      </c>
      <c r="CT115" s="30" t="n">
        <v>0</v>
      </c>
      <c r="CU115" s="30" t="n">
        <v>0</v>
      </c>
      <c r="CV115" s="30" t="n">
        <v>0</v>
      </c>
      <c r="CW115" s="30" t="n">
        <v>0</v>
      </c>
      <c r="CX115" s="30" t="n">
        <v>0</v>
      </c>
      <c r="CY115" s="30" t="n">
        <v>0</v>
      </c>
      <c r="CZ115" s="30" t="n">
        <v>0</v>
      </c>
      <c r="DA115" s="30" t="n">
        <v>0</v>
      </c>
    </row>
    <row r="116">
      <c r="A116" t="inlineStr">
        <is>
          <t>TPP-533(98%)</t>
        </is>
      </c>
      <c r="B116" s="30" t="n">
        <v>0</v>
      </c>
      <c r="C116" s="30" t="n">
        <v>0</v>
      </c>
      <c r="D116" s="30" t="n">
        <v>0</v>
      </c>
      <c r="E116" s="30" t="n">
        <v>0</v>
      </c>
      <c r="F116" s="30" t="n">
        <v>0</v>
      </c>
      <c r="G116" s="30" t="n">
        <v>0</v>
      </c>
      <c r="H116" s="30" t="n">
        <v>0</v>
      </c>
      <c r="I116" s="30" t="n">
        <v>0</v>
      </c>
      <c r="J116" s="30" t="n">
        <v>0</v>
      </c>
      <c r="K116" s="30" t="n">
        <v>0</v>
      </c>
      <c r="L116" s="30" t="n">
        <v>0</v>
      </c>
      <c r="M116" s="30" t="n">
        <v>0</v>
      </c>
      <c r="N116" s="30" t="n">
        <v>0</v>
      </c>
      <c r="O116" s="30" t="n">
        <v>0</v>
      </c>
      <c r="P116" s="30" t="n">
        <v>0</v>
      </c>
      <c r="Q116" s="30" t="n">
        <v>0</v>
      </c>
      <c r="R116" s="30" t="n">
        <v>0</v>
      </c>
      <c r="S116" s="30" t="n">
        <v>0</v>
      </c>
      <c r="T116" s="30" t="n">
        <v>0</v>
      </c>
      <c r="U116" s="30" t="n">
        <v>0</v>
      </c>
      <c r="V116" s="30" t="n">
        <v>0</v>
      </c>
      <c r="W116" s="30" t="n">
        <v>0</v>
      </c>
      <c r="X116" s="30" t="n">
        <v>0</v>
      </c>
      <c r="Y116" s="30" t="n">
        <v>0</v>
      </c>
      <c r="Z116" s="30" t="n">
        <v>0</v>
      </c>
      <c r="AA116" s="30" t="n">
        <v>0</v>
      </c>
      <c r="AB116" s="30" t="n">
        <v>0</v>
      </c>
      <c r="AC116" s="30" t="n">
        <v>0</v>
      </c>
      <c r="AD116" s="30" t="n">
        <v>0</v>
      </c>
      <c r="AE116" s="30" t="n">
        <v>0</v>
      </c>
      <c r="AF116" s="30" t="n">
        <v>0</v>
      </c>
      <c r="AG116" s="30" t="n">
        <v>0</v>
      </c>
      <c r="AH116" s="30" t="n">
        <v>0</v>
      </c>
      <c r="AI116" s="30" t="n">
        <v>0</v>
      </c>
      <c r="AJ116" s="30" t="n">
        <v>0</v>
      </c>
      <c r="AK116" s="30" t="n">
        <v>0</v>
      </c>
      <c r="AL116" s="30" t="n">
        <v>0</v>
      </c>
      <c r="AM116" s="30" t="n">
        <v>0</v>
      </c>
      <c r="AN116" s="30" t="n">
        <v>0</v>
      </c>
      <c r="AO116" s="30" t="n">
        <v>0</v>
      </c>
      <c r="AP116" s="30" t="n">
        <v>0</v>
      </c>
      <c r="AQ116" s="30" t="n">
        <v>0</v>
      </c>
      <c r="AR116" s="30" t="n">
        <v>0</v>
      </c>
      <c r="AS116" s="30" t="n">
        <v>0</v>
      </c>
      <c r="AT116" s="30" t="n">
        <v>0</v>
      </c>
      <c r="AU116" s="30" t="n">
        <v>0</v>
      </c>
      <c r="AV116" s="30" t="n">
        <v>0</v>
      </c>
      <c r="AW116" s="30" t="n">
        <v>0</v>
      </c>
      <c r="AX116" s="30" t="n">
        <v>0</v>
      </c>
      <c r="AY116" s="30" t="n">
        <v>0</v>
      </c>
      <c r="AZ116" s="30" t="n">
        <v>0</v>
      </c>
      <c r="BA116" s="30" t="n">
        <v>0</v>
      </c>
      <c r="BB116" s="30" t="n">
        <v>0</v>
      </c>
      <c r="BC116" s="30" t="n">
        <v>0</v>
      </c>
      <c r="BD116" s="30" t="n">
        <v>0</v>
      </c>
      <c r="BE116" s="30" t="n">
        <v>0</v>
      </c>
      <c r="BF116" s="30" t="n">
        <v>0</v>
      </c>
      <c r="BG116" s="30" t="n">
        <v>0</v>
      </c>
      <c r="BH116" s="30" t="n">
        <v>0</v>
      </c>
      <c r="BI116" s="30" t="n">
        <v>0</v>
      </c>
      <c r="BJ116" s="30" t="n">
        <v>0</v>
      </c>
      <c r="BK116" s="30" t="n">
        <v>0</v>
      </c>
      <c r="BL116" s="30" t="n">
        <v>0</v>
      </c>
      <c r="BM116" s="30" t="n">
        <v>0</v>
      </c>
      <c r="BN116" s="30" t="n">
        <v>0</v>
      </c>
      <c r="BO116" s="30" t="n">
        <v>0</v>
      </c>
      <c r="BP116" s="30" t="n">
        <v>0</v>
      </c>
      <c r="BQ116" s="30" t="n">
        <v>0</v>
      </c>
      <c r="BR116" s="30" t="n">
        <v>0</v>
      </c>
      <c r="BS116" s="30" t="n">
        <v>0</v>
      </c>
      <c r="BT116" s="30" t="n">
        <v>0</v>
      </c>
      <c r="BU116" s="30" t="n">
        <v>0</v>
      </c>
      <c r="BV116" s="30" t="n">
        <v>0</v>
      </c>
      <c r="BW116" s="30" t="n">
        <v>0</v>
      </c>
      <c r="BX116" s="30" t="n">
        <v>0</v>
      </c>
      <c r="BY116" s="30" t="n">
        <v>0</v>
      </c>
      <c r="BZ116" s="30" t="n">
        <v>0</v>
      </c>
      <c r="CA116" s="30" t="n">
        <v>0</v>
      </c>
      <c r="CB116" s="30" t="n">
        <v>0</v>
      </c>
      <c r="CC116" s="30" t="n">
        <v>0</v>
      </c>
      <c r="CD116" s="30" t="n">
        <v>0</v>
      </c>
      <c r="CE116" s="30" t="n">
        <v>0</v>
      </c>
      <c r="CF116" s="30" t="n">
        <v>0</v>
      </c>
      <c r="CG116" s="30" t="n">
        <v>0</v>
      </c>
      <c r="CH116" s="30" t="n">
        <v>0</v>
      </c>
      <c r="CI116" s="30" t="n">
        <v>0</v>
      </c>
      <c r="CJ116" s="30" t="n">
        <v>0</v>
      </c>
      <c r="CK116" s="30" t="n">
        <v>0</v>
      </c>
      <c r="CL116" s="30" t="n">
        <v>0</v>
      </c>
      <c r="CM116" s="30" t="n">
        <v>0</v>
      </c>
      <c r="CN116" s="30" t="n">
        <v>0</v>
      </c>
      <c r="CO116" s="30" t="n">
        <v>0</v>
      </c>
      <c r="CP116" s="30" t="n">
        <v>0</v>
      </c>
      <c r="CQ116" s="30" t="n">
        <v>0</v>
      </c>
      <c r="CR116" s="30" t="n">
        <v>0</v>
      </c>
      <c r="CS116" s="30" t="n">
        <v>0</v>
      </c>
      <c r="CT116" s="30" t="n">
        <v>0</v>
      </c>
      <c r="CU116" s="30" t="n">
        <v>0</v>
      </c>
      <c r="CV116" s="30" t="n">
        <v>0</v>
      </c>
      <c r="CW116" s="30" t="n">
        <v>0</v>
      </c>
      <c r="CX116" s="30" t="n">
        <v>0</v>
      </c>
      <c r="CY116" s="30" t="n">
        <v>0</v>
      </c>
      <c r="CZ116" s="30" t="n">
        <v>0</v>
      </c>
      <c r="DA116" s="30" t="n">
        <v>0</v>
      </c>
    </row>
    <row r="117">
      <c r="A117" t="inlineStr">
        <is>
          <t>TPP-533(A)</t>
        </is>
      </c>
      <c r="B117" s="30" t="n">
        <v>0</v>
      </c>
      <c r="C117" s="30" t="n">
        <v>0</v>
      </c>
      <c r="D117" s="30" t="n">
        <v>0</v>
      </c>
      <c r="E117" s="30" t="n">
        <v>0</v>
      </c>
      <c r="F117" s="30" t="n">
        <v>0</v>
      </c>
      <c r="G117" s="30" t="n">
        <v>0</v>
      </c>
      <c r="H117" s="30" t="n">
        <v>0</v>
      </c>
      <c r="I117" s="30" t="n">
        <v>0</v>
      </c>
      <c r="J117" s="30" t="n">
        <v>0</v>
      </c>
      <c r="K117" s="30" t="n">
        <v>0</v>
      </c>
      <c r="L117" s="30" t="n">
        <v>0</v>
      </c>
      <c r="M117" s="30" t="n">
        <v>0</v>
      </c>
      <c r="N117" s="30" t="n">
        <v>0</v>
      </c>
      <c r="O117" s="30" t="n">
        <v>0</v>
      </c>
      <c r="P117" s="30" t="n">
        <v>0</v>
      </c>
      <c r="Q117" s="30" t="n">
        <v>0</v>
      </c>
      <c r="R117" s="30" t="n">
        <v>0</v>
      </c>
      <c r="S117" s="30" t="n">
        <v>0</v>
      </c>
      <c r="T117" s="30" t="n">
        <v>0</v>
      </c>
      <c r="U117" s="30" t="n">
        <v>0</v>
      </c>
      <c r="V117" s="30" t="n">
        <v>0</v>
      </c>
      <c r="W117" s="30" t="n">
        <v>0</v>
      </c>
      <c r="X117" s="30" t="n">
        <v>0</v>
      </c>
      <c r="Y117" s="30" t="n">
        <v>0</v>
      </c>
      <c r="Z117" s="30" t="n">
        <v>0</v>
      </c>
      <c r="AA117" s="30" t="n">
        <v>0</v>
      </c>
      <c r="AB117" s="30" t="n">
        <v>0</v>
      </c>
      <c r="AC117" s="30" t="n">
        <v>0</v>
      </c>
      <c r="AD117" s="30" t="n">
        <v>0</v>
      </c>
      <c r="AE117" s="30" t="n">
        <v>0</v>
      </c>
      <c r="AF117" s="30" t="n">
        <v>0</v>
      </c>
      <c r="AG117" s="30" t="n">
        <v>0</v>
      </c>
      <c r="AH117" s="30" t="n">
        <v>0</v>
      </c>
      <c r="AI117" s="30" t="n">
        <v>0</v>
      </c>
      <c r="AJ117" s="30" t="n">
        <v>0</v>
      </c>
      <c r="AK117" s="30" t="n">
        <v>0</v>
      </c>
      <c r="AL117" s="30" t="n">
        <v>0</v>
      </c>
      <c r="AM117" s="30" t="n">
        <v>0</v>
      </c>
      <c r="AN117" s="30" t="n">
        <v>0</v>
      </c>
      <c r="AO117" s="30" t="n">
        <v>0</v>
      </c>
      <c r="AP117" s="30" t="n">
        <v>0</v>
      </c>
      <c r="AQ117" s="30" t="n">
        <v>0</v>
      </c>
      <c r="AR117" s="30" t="n">
        <v>0</v>
      </c>
      <c r="AS117" s="30" t="n">
        <v>0</v>
      </c>
      <c r="AT117" s="30" t="n">
        <v>0</v>
      </c>
      <c r="AU117" s="30" t="n">
        <v>0</v>
      </c>
      <c r="AV117" s="30" t="n">
        <v>0</v>
      </c>
      <c r="AW117" s="30" t="n">
        <v>0</v>
      </c>
      <c r="AX117" s="30" t="n">
        <v>0</v>
      </c>
      <c r="AY117" s="30" t="n">
        <v>0</v>
      </c>
      <c r="AZ117" s="30" t="n">
        <v>0</v>
      </c>
      <c r="BA117" s="30" t="n">
        <v>0</v>
      </c>
      <c r="BB117" s="30" t="n">
        <v>0</v>
      </c>
      <c r="BC117" s="30" t="n">
        <v>0</v>
      </c>
      <c r="BD117" s="30" t="n">
        <v>0</v>
      </c>
      <c r="BE117" s="30" t="n">
        <v>0</v>
      </c>
      <c r="BF117" s="30" t="n">
        <v>0</v>
      </c>
      <c r="BG117" s="30" t="n">
        <v>0</v>
      </c>
      <c r="BH117" s="30" t="n">
        <v>0</v>
      </c>
      <c r="BI117" s="30" t="n">
        <v>0</v>
      </c>
      <c r="BJ117" s="30" t="n">
        <v>0</v>
      </c>
      <c r="BK117" s="30" t="n">
        <v>0</v>
      </c>
      <c r="BL117" s="30" t="n">
        <v>0</v>
      </c>
      <c r="BM117" s="30" t="n">
        <v>0</v>
      </c>
      <c r="BN117" s="30" t="n">
        <v>0</v>
      </c>
      <c r="BO117" s="30" t="n">
        <v>0</v>
      </c>
      <c r="BP117" s="30" t="n">
        <v>0</v>
      </c>
      <c r="BQ117" s="30" t="n">
        <v>0</v>
      </c>
      <c r="BR117" s="30" t="n">
        <v>0</v>
      </c>
      <c r="BS117" s="30" t="n">
        <v>0</v>
      </c>
      <c r="BT117" s="30" t="n">
        <v>0</v>
      </c>
      <c r="BU117" s="30" t="n">
        <v>0</v>
      </c>
      <c r="BV117" s="30" t="n">
        <v>0</v>
      </c>
      <c r="BW117" s="30" t="n">
        <v>0</v>
      </c>
      <c r="BX117" s="30" t="n">
        <v>0</v>
      </c>
      <c r="BY117" s="30" t="n">
        <v>0</v>
      </c>
      <c r="BZ117" s="30" t="n">
        <v>0</v>
      </c>
      <c r="CA117" s="30" t="n">
        <v>0</v>
      </c>
      <c r="CB117" s="30" t="n">
        <v>0</v>
      </c>
      <c r="CC117" s="30" t="n">
        <v>0</v>
      </c>
      <c r="CD117" s="30" t="n">
        <v>0</v>
      </c>
      <c r="CE117" s="30" t="n">
        <v>0</v>
      </c>
      <c r="CF117" s="30" t="n">
        <v>0</v>
      </c>
      <c r="CG117" s="30" t="n">
        <v>0</v>
      </c>
      <c r="CH117" s="30" t="n">
        <v>0</v>
      </c>
      <c r="CI117" s="30" t="n">
        <v>0</v>
      </c>
      <c r="CJ117" s="30" t="n">
        <v>0</v>
      </c>
      <c r="CK117" s="30" t="n">
        <v>0</v>
      </c>
      <c r="CL117" s="30" t="n">
        <v>0</v>
      </c>
      <c r="CM117" s="30" t="n">
        <v>0</v>
      </c>
      <c r="CN117" s="30" t="n">
        <v>0</v>
      </c>
      <c r="CO117" s="30" t="n">
        <v>0</v>
      </c>
      <c r="CP117" s="30" t="n">
        <v>0</v>
      </c>
      <c r="CQ117" s="30" t="n">
        <v>0</v>
      </c>
      <c r="CR117" s="30" t="n">
        <v>0</v>
      </c>
      <c r="CS117" s="30" t="n">
        <v>0</v>
      </c>
      <c r="CT117" s="30" t="n">
        <v>0</v>
      </c>
      <c r="CU117" s="30" t="n">
        <v>0</v>
      </c>
      <c r="CV117" s="30" t="n">
        <v>0</v>
      </c>
      <c r="CW117" s="30" t="n">
        <v>0</v>
      </c>
      <c r="CX117" s="30" t="n">
        <v>0</v>
      </c>
      <c r="CY117" s="30" t="n">
        <v>0</v>
      </c>
      <c r="CZ117" s="30" t="n">
        <v>0</v>
      </c>
      <c r="DA117" s="30" t="n">
        <v>0</v>
      </c>
    </row>
    <row r="118">
      <c r="A118" t="inlineStr">
        <is>
          <t>TSP-070</t>
        </is>
      </c>
      <c r="B118" s="30" t="n">
        <v>0</v>
      </c>
      <c r="C118" s="30" t="n">
        <v>0</v>
      </c>
      <c r="D118" s="30" t="n">
        <v>0</v>
      </c>
      <c r="E118" s="30" t="n">
        <v>0</v>
      </c>
      <c r="F118" s="30" t="n">
        <v>0</v>
      </c>
      <c r="G118" s="30" t="n">
        <v>0</v>
      </c>
      <c r="H118" s="30" t="n">
        <v>0</v>
      </c>
      <c r="I118" s="30" t="n">
        <v>0</v>
      </c>
      <c r="J118" s="30" t="n">
        <v>0</v>
      </c>
      <c r="K118" s="30" t="n">
        <v>0</v>
      </c>
      <c r="L118" s="30" t="n">
        <v>0</v>
      </c>
      <c r="M118" s="30" t="n">
        <v>0</v>
      </c>
      <c r="N118" s="30" t="n">
        <v>0</v>
      </c>
      <c r="O118" s="30" t="n">
        <v>0</v>
      </c>
      <c r="P118" s="30" t="n">
        <v>0</v>
      </c>
      <c r="Q118" s="30" t="n">
        <v>0</v>
      </c>
      <c r="R118" s="30" t="n">
        <v>0</v>
      </c>
      <c r="S118" s="30" t="n">
        <v>0</v>
      </c>
      <c r="T118" s="30" t="n">
        <v>0</v>
      </c>
      <c r="U118" s="30" t="n">
        <v>0</v>
      </c>
      <c r="V118" s="30" t="n">
        <v>0</v>
      </c>
      <c r="W118" s="30" t="n">
        <v>0</v>
      </c>
      <c r="X118" s="30" t="n">
        <v>0</v>
      </c>
      <c r="Y118" s="30" t="n">
        <v>0</v>
      </c>
      <c r="Z118" s="30" t="n">
        <v>0</v>
      </c>
      <c r="AA118" s="30" t="n">
        <v>0</v>
      </c>
      <c r="AB118" s="30" t="n">
        <v>0</v>
      </c>
      <c r="AC118" s="30" t="n">
        <v>0</v>
      </c>
      <c r="AD118" s="30" t="n">
        <v>0</v>
      </c>
      <c r="AE118" s="30" t="n">
        <v>0</v>
      </c>
      <c r="AF118" s="30" t="n">
        <v>0</v>
      </c>
      <c r="AG118" s="30" t="n">
        <v>0</v>
      </c>
      <c r="AH118" s="30" t="n">
        <v>0</v>
      </c>
      <c r="AI118" s="30" t="n">
        <v>0</v>
      </c>
      <c r="AJ118" s="30" t="n">
        <v>0</v>
      </c>
      <c r="AK118" s="30" t="n">
        <v>0</v>
      </c>
      <c r="AL118" s="30" t="n">
        <v>0</v>
      </c>
      <c r="AM118" s="30" t="n">
        <v>0</v>
      </c>
      <c r="AN118" s="30" t="n">
        <v>0</v>
      </c>
      <c r="AO118" s="30" t="n">
        <v>0</v>
      </c>
      <c r="AP118" s="30" t="n">
        <v>0</v>
      </c>
      <c r="AQ118" s="30" t="n">
        <v>0</v>
      </c>
      <c r="AR118" s="30" t="n">
        <v>0</v>
      </c>
      <c r="AS118" s="30" t="n">
        <v>0</v>
      </c>
      <c r="AT118" s="30" t="n">
        <v>0</v>
      </c>
      <c r="AU118" s="30" t="n">
        <v>0</v>
      </c>
      <c r="AV118" s="30" t="n">
        <v>0</v>
      </c>
      <c r="AW118" s="30" t="n">
        <v>0</v>
      </c>
      <c r="AX118" s="30" t="n">
        <v>0</v>
      </c>
      <c r="AY118" s="30" t="n">
        <v>0</v>
      </c>
      <c r="AZ118" s="30" t="n">
        <v>0</v>
      </c>
      <c r="BA118" s="30" t="n">
        <v>0</v>
      </c>
      <c r="BB118" s="30" t="n">
        <v>0</v>
      </c>
      <c r="BC118" s="30" t="n">
        <v>0</v>
      </c>
      <c r="BD118" s="30" t="n">
        <v>0</v>
      </c>
      <c r="BE118" s="30" t="n">
        <v>0</v>
      </c>
      <c r="BF118" s="30" t="n">
        <v>0</v>
      </c>
      <c r="BG118" s="30" t="n">
        <v>0</v>
      </c>
      <c r="BH118" s="30" t="n">
        <v>0</v>
      </c>
      <c r="BI118" s="30" t="n">
        <v>0</v>
      </c>
      <c r="BJ118" s="30" t="n">
        <v>0</v>
      </c>
      <c r="BK118" s="30" t="n">
        <v>0</v>
      </c>
      <c r="BL118" s="30" t="n">
        <v>0</v>
      </c>
      <c r="BM118" s="30" t="n">
        <v>0</v>
      </c>
      <c r="BN118" s="30" t="n">
        <v>0</v>
      </c>
      <c r="BO118" s="30" t="n">
        <v>0</v>
      </c>
      <c r="BP118" s="30" t="n">
        <v>0</v>
      </c>
      <c r="BQ118" s="30" t="n">
        <v>0</v>
      </c>
      <c r="BR118" s="30" t="n">
        <v>0</v>
      </c>
      <c r="BS118" s="30" t="n">
        <v>0</v>
      </c>
      <c r="BT118" s="30" t="n">
        <v>0</v>
      </c>
      <c r="BU118" s="30" t="n">
        <v>0</v>
      </c>
      <c r="BV118" s="30" t="n">
        <v>0</v>
      </c>
      <c r="BW118" s="30" t="n">
        <v>0</v>
      </c>
      <c r="BX118" s="30" t="n">
        <v>0</v>
      </c>
      <c r="BY118" s="30" t="n">
        <v>0</v>
      </c>
      <c r="BZ118" s="30" t="n">
        <v>0</v>
      </c>
      <c r="CA118" s="30" t="n">
        <v>0</v>
      </c>
      <c r="CB118" s="30" t="n">
        <v>0</v>
      </c>
      <c r="CC118" s="30" t="n">
        <v>0</v>
      </c>
      <c r="CD118" s="30" t="n">
        <v>0</v>
      </c>
      <c r="CE118" s="30" t="n">
        <v>0</v>
      </c>
      <c r="CF118" s="30" t="n">
        <v>0</v>
      </c>
      <c r="CG118" s="30" t="n">
        <v>0</v>
      </c>
      <c r="CH118" s="30" t="n">
        <v>0</v>
      </c>
      <c r="CI118" s="30" t="n">
        <v>0</v>
      </c>
      <c r="CJ118" s="30" t="n">
        <v>0</v>
      </c>
      <c r="CK118" s="30" t="n">
        <v>0</v>
      </c>
      <c r="CL118" s="30" t="n">
        <v>0</v>
      </c>
      <c r="CM118" s="30" t="n">
        <v>0</v>
      </c>
      <c r="CN118" s="30" t="n">
        <v>0</v>
      </c>
      <c r="CO118" s="30" t="n">
        <v>0</v>
      </c>
      <c r="CP118" s="30" t="n">
        <v>0</v>
      </c>
      <c r="CQ118" s="30" t="n">
        <v>0</v>
      </c>
      <c r="CR118" s="30" t="n">
        <v>0</v>
      </c>
      <c r="CS118" s="30" t="n">
        <v>0</v>
      </c>
      <c r="CT118" s="30" t="n">
        <v>0</v>
      </c>
      <c r="CU118" s="30" t="n">
        <v>0</v>
      </c>
      <c r="CV118" s="30" t="n">
        <v>0</v>
      </c>
      <c r="CW118" s="30" t="n">
        <v>0</v>
      </c>
      <c r="CX118" s="30" t="n">
        <v>0</v>
      </c>
      <c r="CY118" s="30" t="n">
        <v>0</v>
      </c>
      <c r="CZ118" s="30" t="n">
        <v>0</v>
      </c>
      <c r="DA118" s="30" t="n">
        <v>0</v>
      </c>
    </row>
    <row r="119">
      <c r="A119" t="inlineStr">
        <is>
          <t>TSP-077</t>
        </is>
      </c>
      <c r="B119" s="30" t="n">
        <v>0</v>
      </c>
      <c r="C119" s="30" t="n">
        <v>0</v>
      </c>
      <c r="D119" s="30" t="n">
        <v>0</v>
      </c>
      <c r="E119" s="30" t="n">
        <v>0</v>
      </c>
      <c r="F119" s="30" t="n">
        <v>0</v>
      </c>
      <c r="G119" s="30" t="n">
        <v>0</v>
      </c>
      <c r="H119" s="30" t="n">
        <v>0</v>
      </c>
      <c r="I119" s="30" t="n">
        <v>0</v>
      </c>
      <c r="J119" s="30" t="n">
        <v>0</v>
      </c>
      <c r="K119" s="30" t="n">
        <v>0</v>
      </c>
      <c r="L119" s="30" t="n">
        <v>0</v>
      </c>
      <c r="M119" s="30" t="n">
        <v>0</v>
      </c>
      <c r="N119" s="30" t="n">
        <v>0</v>
      </c>
      <c r="O119" s="30" t="n">
        <v>0</v>
      </c>
      <c r="P119" s="30" t="n">
        <v>0</v>
      </c>
      <c r="Q119" s="30" t="n">
        <v>0</v>
      </c>
      <c r="R119" s="30" t="n">
        <v>0</v>
      </c>
      <c r="S119" s="30" t="n">
        <v>0</v>
      </c>
      <c r="T119" s="30" t="n">
        <v>0</v>
      </c>
      <c r="U119" s="30" t="n">
        <v>0</v>
      </c>
      <c r="V119" s="30" t="n">
        <v>0</v>
      </c>
      <c r="W119" s="30" t="n">
        <v>0</v>
      </c>
      <c r="X119" s="30" t="n">
        <v>0</v>
      </c>
      <c r="Y119" s="30" t="n">
        <v>0</v>
      </c>
      <c r="Z119" s="30" t="n">
        <v>0</v>
      </c>
      <c r="AA119" s="30" t="n">
        <v>0</v>
      </c>
      <c r="AB119" s="30" t="n">
        <v>0</v>
      </c>
      <c r="AC119" s="30" t="n">
        <v>0</v>
      </c>
      <c r="AD119" s="30" t="n">
        <v>0</v>
      </c>
      <c r="AE119" s="30" t="n">
        <v>0</v>
      </c>
      <c r="AF119" s="30" t="n">
        <v>0</v>
      </c>
      <c r="AG119" s="30" t="n">
        <v>0</v>
      </c>
      <c r="AH119" s="30" t="n">
        <v>0</v>
      </c>
      <c r="AI119" s="30" t="n">
        <v>0</v>
      </c>
      <c r="AJ119" s="30" t="n">
        <v>0</v>
      </c>
      <c r="AK119" s="30" t="n">
        <v>0</v>
      </c>
      <c r="AL119" s="30" t="n">
        <v>0</v>
      </c>
      <c r="AM119" s="30" t="n">
        <v>0</v>
      </c>
      <c r="AN119" s="30" t="n">
        <v>0</v>
      </c>
      <c r="AO119" s="30" t="n">
        <v>0</v>
      </c>
      <c r="AP119" s="30" t="n">
        <v>0</v>
      </c>
      <c r="AQ119" s="30" t="n">
        <v>0</v>
      </c>
      <c r="AR119" s="30" t="n">
        <v>0</v>
      </c>
      <c r="AS119" s="30" t="n">
        <v>0</v>
      </c>
      <c r="AT119" s="30" t="n">
        <v>0</v>
      </c>
      <c r="AU119" s="30" t="n">
        <v>0</v>
      </c>
      <c r="AV119" s="30" t="n">
        <v>0</v>
      </c>
      <c r="AW119" s="30" t="n">
        <v>0</v>
      </c>
      <c r="AX119" s="30" t="n">
        <v>0</v>
      </c>
      <c r="AY119" s="30" t="n">
        <v>0</v>
      </c>
      <c r="AZ119" s="30" t="n">
        <v>0</v>
      </c>
      <c r="BA119" s="30" t="n">
        <v>0</v>
      </c>
      <c r="BB119" s="30" t="n">
        <v>0</v>
      </c>
      <c r="BC119" s="30" t="n">
        <v>0</v>
      </c>
      <c r="BD119" s="30" t="n">
        <v>0</v>
      </c>
      <c r="BE119" s="30" t="n">
        <v>0</v>
      </c>
      <c r="BF119" s="30" t="n">
        <v>0</v>
      </c>
      <c r="BG119" s="30" t="n">
        <v>0</v>
      </c>
      <c r="BH119" s="30" t="n">
        <v>0</v>
      </c>
      <c r="BI119" s="30" t="n">
        <v>0</v>
      </c>
      <c r="BJ119" s="30" t="n">
        <v>0</v>
      </c>
      <c r="BK119" s="30" t="n">
        <v>0</v>
      </c>
      <c r="BL119" s="30" t="n">
        <v>0</v>
      </c>
      <c r="BM119" s="30" t="n">
        <v>0</v>
      </c>
      <c r="BN119" s="30" t="n">
        <v>0</v>
      </c>
      <c r="BO119" s="30" t="n">
        <v>0</v>
      </c>
      <c r="BP119" s="30" t="n">
        <v>0</v>
      </c>
      <c r="BQ119" s="30" t="n">
        <v>0</v>
      </c>
      <c r="BR119" s="30" t="n">
        <v>0</v>
      </c>
      <c r="BS119" s="30" t="n">
        <v>0</v>
      </c>
      <c r="BT119" s="30" t="n">
        <v>0</v>
      </c>
      <c r="BU119" s="30" t="n">
        <v>0</v>
      </c>
      <c r="BV119" s="30" t="n">
        <v>0</v>
      </c>
      <c r="BW119" s="30" t="n">
        <v>0</v>
      </c>
      <c r="BX119" s="30" t="n">
        <v>0</v>
      </c>
      <c r="BY119" s="30" t="n">
        <v>0</v>
      </c>
      <c r="BZ119" s="30" t="n">
        <v>0</v>
      </c>
      <c r="CA119" s="30" t="n">
        <v>0</v>
      </c>
      <c r="CB119" s="30" t="n">
        <v>0</v>
      </c>
      <c r="CC119" s="30" t="n">
        <v>0</v>
      </c>
      <c r="CD119" s="30" t="n">
        <v>0</v>
      </c>
      <c r="CE119" s="30" t="n">
        <v>0</v>
      </c>
      <c r="CF119" s="30" t="n">
        <v>0</v>
      </c>
      <c r="CG119" s="30" t="n">
        <v>0</v>
      </c>
      <c r="CH119" s="30" t="n">
        <v>0</v>
      </c>
      <c r="CI119" s="30" t="n">
        <v>0</v>
      </c>
      <c r="CJ119" s="30" t="n">
        <v>0</v>
      </c>
      <c r="CK119" s="30" t="n">
        <v>0</v>
      </c>
      <c r="CL119" s="30" t="n">
        <v>0</v>
      </c>
      <c r="CM119" s="30" t="n">
        <v>0</v>
      </c>
      <c r="CN119" s="30" t="n">
        <v>0</v>
      </c>
      <c r="CO119" s="30" t="n">
        <v>0</v>
      </c>
      <c r="CP119" s="30" t="n">
        <v>0</v>
      </c>
      <c r="CQ119" s="30" t="n">
        <v>0</v>
      </c>
      <c r="CR119" s="30" t="n">
        <v>0</v>
      </c>
      <c r="CS119" s="30" t="n">
        <v>0</v>
      </c>
      <c r="CT119" s="30" t="n">
        <v>0</v>
      </c>
      <c r="CU119" s="30" t="n">
        <v>0</v>
      </c>
      <c r="CV119" s="30" t="n">
        <v>0</v>
      </c>
      <c r="CW119" s="30" t="n">
        <v>0</v>
      </c>
      <c r="CX119" s="30" t="n">
        <v>0</v>
      </c>
      <c r="CY119" s="30" t="n">
        <v>0</v>
      </c>
      <c r="CZ119" s="30" t="n">
        <v>0</v>
      </c>
      <c r="DA119" s="30" t="n">
        <v>0</v>
      </c>
    </row>
    <row r="120">
      <c r="A120" t="inlineStr">
        <is>
          <t>TSP-088</t>
        </is>
      </c>
      <c r="B120" s="30" t="n">
        <v>0</v>
      </c>
      <c r="C120" s="30" t="n">
        <v>0</v>
      </c>
      <c r="D120" s="30" t="n">
        <v>0</v>
      </c>
      <c r="E120" s="30" t="n">
        <v>0</v>
      </c>
      <c r="F120" s="30" t="n">
        <v>0</v>
      </c>
      <c r="G120" s="30" t="n">
        <v>0</v>
      </c>
      <c r="H120" s="30" t="n">
        <v>0</v>
      </c>
      <c r="I120" s="30" t="n">
        <v>0</v>
      </c>
      <c r="J120" s="30" t="n">
        <v>0</v>
      </c>
      <c r="K120" s="30" t="n">
        <v>0</v>
      </c>
      <c r="L120" s="30" t="n">
        <v>0</v>
      </c>
      <c r="M120" s="30" t="n">
        <v>0</v>
      </c>
      <c r="N120" s="30" t="n">
        <v>0</v>
      </c>
      <c r="O120" s="30" t="n">
        <v>0</v>
      </c>
      <c r="P120" s="30" t="n">
        <v>0</v>
      </c>
      <c r="Q120" s="30" t="n">
        <v>0</v>
      </c>
      <c r="R120" s="30" t="n">
        <v>0</v>
      </c>
      <c r="S120" s="30" t="n">
        <v>0</v>
      </c>
      <c r="T120" s="30" t="n">
        <v>0</v>
      </c>
      <c r="U120" s="30" t="n">
        <v>0</v>
      </c>
      <c r="V120" s="30" t="n">
        <v>0</v>
      </c>
      <c r="W120" s="30" t="n">
        <v>0</v>
      </c>
      <c r="X120" s="30" t="n">
        <v>0</v>
      </c>
      <c r="Y120" s="30" t="n">
        <v>0</v>
      </c>
      <c r="Z120" s="30" t="n">
        <v>0</v>
      </c>
      <c r="AA120" s="30" t="n">
        <v>0</v>
      </c>
      <c r="AB120" s="30" t="n">
        <v>0</v>
      </c>
      <c r="AC120" s="30" t="n">
        <v>0</v>
      </c>
      <c r="AD120" s="30" t="n">
        <v>0</v>
      </c>
      <c r="AE120" s="30" t="n">
        <v>0</v>
      </c>
      <c r="AF120" s="30" t="n">
        <v>0</v>
      </c>
      <c r="AG120" s="30" t="n">
        <v>0</v>
      </c>
      <c r="AH120" s="30" t="n">
        <v>0</v>
      </c>
      <c r="AI120" s="30" t="n">
        <v>0</v>
      </c>
      <c r="AJ120" s="30" t="n">
        <v>0</v>
      </c>
      <c r="AK120" s="30" t="n">
        <v>0</v>
      </c>
      <c r="AL120" s="30" t="n">
        <v>0</v>
      </c>
      <c r="AM120" s="30" t="n">
        <v>0</v>
      </c>
      <c r="AN120" s="30" t="n">
        <v>0</v>
      </c>
      <c r="AO120" s="30" t="n">
        <v>0</v>
      </c>
      <c r="AP120" s="30" t="n">
        <v>0</v>
      </c>
      <c r="AQ120" s="30" t="n">
        <v>0</v>
      </c>
      <c r="AR120" s="30" t="n">
        <v>0</v>
      </c>
      <c r="AS120" s="30" t="n">
        <v>0</v>
      </c>
      <c r="AT120" s="30" t="n">
        <v>0</v>
      </c>
      <c r="AU120" s="30" t="n">
        <v>0</v>
      </c>
      <c r="AV120" s="30" t="n">
        <v>0</v>
      </c>
      <c r="AW120" s="30" t="n">
        <v>0</v>
      </c>
      <c r="AX120" s="30" t="n">
        <v>0</v>
      </c>
      <c r="AY120" s="30" t="n">
        <v>0</v>
      </c>
      <c r="AZ120" s="30" t="n">
        <v>0</v>
      </c>
      <c r="BA120" s="30" t="n">
        <v>0</v>
      </c>
      <c r="BB120" s="30" t="n">
        <v>0</v>
      </c>
      <c r="BC120" s="30" t="n">
        <v>0</v>
      </c>
      <c r="BD120" s="30" t="n">
        <v>0</v>
      </c>
      <c r="BE120" s="30" t="n">
        <v>0</v>
      </c>
      <c r="BF120" s="30" t="n">
        <v>0</v>
      </c>
      <c r="BG120" s="30" t="n">
        <v>0</v>
      </c>
      <c r="BH120" s="30" t="n">
        <v>0</v>
      </c>
      <c r="BI120" s="30" t="n">
        <v>0</v>
      </c>
      <c r="BJ120" s="30" t="n">
        <v>0</v>
      </c>
      <c r="BK120" s="30" t="n">
        <v>0</v>
      </c>
      <c r="BL120" s="30" t="n">
        <v>0</v>
      </c>
      <c r="BM120" s="30" t="n">
        <v>0</v>
      </c>
      <c r="BN120" s="30" t="n">
        <v>0</v>
      </c>
      <c r="BO120" s="30" t="n">
        <v>0</v>
      </c>
      <c r="BP120" s="30" t="n">
        <v>0</v>
      </c>
      <c r="BQ120" s="30" t="n">
        <v>0</v>
      </c>
      <c r="BR120" s="30" t="n">
        <v>0</v>
      </c>
      <c r="BS120" s="30" t="n">
        <v>0</v>
      </c>
      <c r="BT120" s="30" t="n">
        <v>0</v>
      </c>
      <c r="BU120" s="30" t="n">
        <v>0</v>
      </c>
      <c r="BV120" s="30" t="n">
        <v>0</v>
      </c>
      <c r="BW120" s="30" t="n">
        <v>0</v>
      </c>
      <c r="BX120" s="30" t="n">
        <v>0</v>
      </c>
      <c r="BY120" s="30" t="n">
        <v>0</v>
      </c>
      <c r="BZ120" s="30" t="n">
        <v>0</v>
      </c>
      <c r="CA120" s="30" t="n">
        <v>0</v>
      </c>
      <c r="CB120" s="30" t="n">
        <v>0</v>
      </c>
      <c r="CC120" s="30" t="n">
        <v>0</v>
      </c>
      <c r="CD120" s="30" t="n">
        <v>0</v>
      </c>
      <c r="CE120" s="30" t="n">
        <v>0</v>
      </c>
      <c r="CF120" s="30" t="n">
        <v>0</v>
      </c>
      <c r="CG120" s="30" t="n">
        <v>0</v>
      </c>
      <c r="CH120" s="30" t="n">
        <v>0</v>
      </c>
      <c r="CI120" s="30" t="n">
        <v>0</v>
      </c>
      <c r="CJ120" s="30" t="n">
        <v>0</v>
      </c>
      <c r="CK120" s="30" t="n">
        <v>0</v>
      </c>
      <c r="CL120" s="30" t="n">
        <v>0</v>
      </c>
      <c r="CM120" s="30" t="n">
        <v>0</v>
      </c>
      <c r="CN120" s="30" t="n">
        <v>0</v>
      </c>
      <c r="CO120" s="30" t="n">
        <v>0</v>
      </c>
      <c r="CP120" s="30" t="n">
        <v>0</v>
      </c>
      <c r="CQ120" s="30" t="n">
        <v>0</v>
      </c>
      <c r="CR120" s="30" t="n">
        <v>0</v>
      </c>
      <c r="CS120" s="30" t="n">
        <v>0</v>
      </c>
      <c r="CT120" s="30" t="n">
        <v>0</v>
      </c>
      <c r="CU120" s="30" t="n">
        <v>0</v>
      </c>
      <c r="CV120" s="30" t="n">
        <v>0</v>
      </c>
      <c r="CW120" s="30" t="n">
        <v>0</v>
      </c>
      <c r="CX120" s="30" t="n">
        <v>0</v>
      </c>
      <c r="CY120" s="30" t="n">
        <v>0</v>
      </c>
      <c r="CZ120" s="30" t="n">
        <v>0</v>
      </c>
      <c r="DA120" s="30" t="n">
        <v>0</v>
      </c>
    </row>
    <row r="121">
      <c r="A121" t="inlineStr">
        <is>
          <t>TSP-089</t>
        </is>
      </c>
      <c r="B121" s="30" t="n">
        <v>0</v>
      </c>
      <c r="C121" s="30" t="n">
        <v>0</v>
      </c>
      <c r="D121" s="30" t="n">
        <v>0</v>
      </c>
      <c r="E121" s="30" t="n">
        <v>0</v>
      </c>
      <c r="F121" s="30" t="n">
        <v>0</v>
      </c>
      <c r="G121" s="30" t="n">
        <v>0</v>
      </c>
      <c r="H121" s="30" t="n">
        <v>0</v>
      </c>
      <c r="I121" s="30" t="n">
        <v>0</v>
      </c>
      <c r="J121" s="30" t="n">
        <v>0</v>
      </c>
      <c r="K121" s="30" t="n">
        <v>0</v>
      </c>
      <c r="L121" s="30" t="n">
        <v>0</v>
      </c>
      <c r="M121" s="30" t="n">
        <v>0</v>
      </c>
      <c r="N121" s="30" t="n">
        <v>0</v>
      </c>
      <c r="O121" s="30" t="n">
        <v>0</v>
      </c>
      <c r="P121" s="30" t="n">
        <v>0</v>
      </c>
      <c r="Q121" s="30" t="n">
        <v>0</v>
      </c>
      <c r="R121" s="30" t="n">
        <v>0</v>
      </c>
      <c r="S121" s="30" t="n">
        <v>0</v>
      </c>
      <c r="T121" s="30" t="n">
        <v>0</v>
      </c>
      <c r="U121" s="30" t="n">
        <v>0</v>
      </c>
      <c r="V121" s="30" t="n">
        <v>0</v>
      </c>
      <c r="W121" s="30" t="n">
        <v>0</v>
      </c>
      <c r="X121" s="30" t="n">
        <v>0</v>
      </c>
      <c r="Y121" s="30" t="n">
        <v>0</v>
      </c>
      <c r="Z121" s="30" t="n">
        <v>0</v>
      </c>
      <c r="AA121" s="30" t="n">
        <v>0</v>
      </c>
      <c r="AB121" s="30" t="n">
        <v>0</v>
      </c>
      <c r="AC121" s="30" t="n">
        <v>0</v>
      </c>
      <c r="AD121" s="30" t="n">
        <v>0</v>
      </c>
      <c r="AE121" s="30" t="n">
        <v>0</v>
      </c>
      <c r="AF121" s="30" t="n">
        <v>0</v>
      </c>
      <c r="AG121" s="30" t="n">
        <v>0</v>
      </c>
      <c r="AH121" s="30" t="n">
        <v>0</v>
      </c>
      <c r="AI121" s="30" t="n">
        <v>0</v>
      </c>
      <c r="AJ121" s="30" t="n">
        <v>0</v>
      </c>
      <c r="AK121" s="30" t="n">
        <v>0</v>
      </c>
      <c r="AL121" s="30" t="n">
        <v>0</v>
      </c>
      <c r="AM121" s="30" t="n">
        <v>0</v>
      </c>
      <c r="AN121" s="30" t="n">
        <v>0</v>
      </c>
      <c r="AO121" s="30" t="n">
        <v>0</v>
      </c>
      <c r="AP121" s="30" t="n">
        <v>0</v>
      </c>
      <c r="AQ121" s="30" t="n">
        <v>0</v>
      </c>
      <c r="AR121" s="30" t="n">
        <v>0</v>
      </c>
      <c r="AS121" s="30" t="n">
        <v>0</v>
      </c>
      <c r="AT121" s="30" t="n">
        <v>0</v>
      </c>
      <c r="AU121" s="30" t="n">
        <v>0</v>
      </c>
      <c r="AV121" s="30" t="n">
        <v>0</v>
      </c>
      <c r="AW121" s="30" t="n">
        <v>0</v>
      </c>
      <c r="AX121" s="30" t="n">
        <v>0</v>
      </c>
      <c r="AY121" s="30" t="n">
        <v>0</v>
      </c>
      <c r="AZ121" s="30" t="n">
        <v>0</v>
      </c>
      <c r="BA121" s="30" t="n">
        <v>0</v>
      </c>
      <c r="BB121" s="30" t="n">
        <v>0</v>
      </c>
      <c r="BC121" s="30" t="n">
        <v>0</v>
      </c>
      <c r="BD121" s="30" t="n">
        <v>0</v>
      </c>
      <c r="BE121" s="30" t="n">
        <v>0</v>
      </c>
      <c r="BF121" s="30" t="n">
        <v>0</v>
      </c>
      <c r="BG121" s="30" t="n">
        <v>0</v>
      </c>
      <c r="BH121" s="30" t="n">
        <v>0</v>
      </c>
      <c r="BI121" s="30" t="n">
        <v>0</v>
      </c>
      <c r="BJ121" s="30" t="n">
        <v>0</v>
      </c>
      <c r="BK121" s="30" t="n">
        <v>0</v>
      </c>
      <c r="BL121" s="30" t="n">
        <v>0</v>
      </c>
      <c r="BM121" s="30" t="n">
        <v>0</v>
      </c>
      <c r="BN121" s="30" t="n">
        <v>0</v>
      </c>
      <c r="BO121" s="30" t="n">
        <v>0</v>
      </c>
      <c r="BP121" s="30" t="n">
        <v>0</v>
      </c>
      <c r="BQ121" s="30" t="n">
        <v>0</v>
      </c>
      <c r="BR121" s="30" t="n">
        <v>0</v>
      </c>
      <c r="BS121" s="30" t="n">
        <v>0</v>
      </c>
      <c r="BT121" s="30" t="n">
        <v>0</v>
      </c>
      <c r="BU121" s="30" t="n">
        <v>0</v>
      </c>
      <c r="BV121" s="30" t="n">
        <v>0</v>
      </c>
      <c r="BW121" s="30" t="n">
        <v>0</v>
      </c>
      <c r="BX121" s="30" t="n">
        <v>0</v>
      </c>
      <c r="BY121" s="30" t="n">
        <v>0</v>
      </c>
      <c r="BZ121" s="30" t="n">
        <v>0</v>
      </c>
      <c r="CA121" s="30" t="n">
        <v>0</v>
      </c>
      <c r="CB121" s="30" t="n">
        <v>0</v>
      </c>
      <c r="CC121" s="30" t="n">
        <v>0</v>
      </c>
      <c r="CD121" s="30" t="n">
        <v>0</v>
      </c>
      <c r="CE121" s="30" t="n">
        <v>0</v>
      </c>
      <c r="CF121" s="30" t="n">
        <v>0</v>
      </c>
      <c r="CG121" s="30" t="n">
        <v>0</v>
      </c>
      <c r="CH121" s="30" t="n">
        <v>0</v>
      </c>
      <c r="CI121" s="30" t="n">
        <v>0</v>
      </c>
      <c r="CJ121" s="30" t="n">
        <v>0</v>
      </c>
      <c r="CK121" s="30" t="n">
        <v>0</v>
      </c>
      <c r="CL121" s="30" t="n">
        <v>0</v>
      </c>
      <c r="CM121" s="30" t="n">
        <v>0</v>
      </c>
      <c r="CN121" s="30" t="n">
        <v>0</v>
      </c>
      <c r="CO121" s="30" t="n">
        <v>0</v>
      </c>
      <c r="CP121" s="30" t="n">
        <v>0</v>
      </c>
      <c r="CQ121" s="30" t="n">
        <v>0</v>
      </c>
      <c r="CR121" s="30" t="n">
        <v>0</v>
      </c>
      <c r="CS121" s="30" t="n">
        <v>0</v>
      </c>
      <c r="CT121" s="30" t="n">
        <v>0</v>
      </c>
      <c r="CU121" s="30" t="n">
        <v>0</v>
      </c>
      <c r="CV121" s="30" t="n">
        <v>0</v>
      </c>
      <c r="CW121" s="30" t="n">
        <v>0</v>
      </c>
      <c r="CX121" s="30" t="n">
        <v>0</v>
      </c>
      <c r="CY121" s="30" t="n">
        <v>0</v>
      </c>
      <c r="CZ121" s="30" t="n">
        <v>0</v>
      </c>
      <c r="DA121" s="30" t="n">
        <v>0</v>
      </c>
    </row>
    <row r="122">
      <c r="A122" t="inlineStr">
        <is>
          <t>TSP-1499</t>
        </is>
      </c>
      <c r="B122" s="30" t="n">
        <v>0</v>
      </c>
      <c r="C122" s="30" t="n">
        <v>0</v>
      </c>
      <c r="D122" s="30" t="n">
        <v>0</v>
      </c>
      <c r="E122" s="30" t="n">
        <v>0</v>
      </c>
      <c r="F122" s="30" t="n">
        <v>0</v>
      </c>
      <c r="G122" s="30" t="n">
        <v>0</v>
      </c>
      <c r="H122" s="30" t="n">
        <v>0</v>
      </c>
      <c r="I122" s="30" t="n">
        <v>0</v>
      </c>
      <c r="J122" s="30" t="n">
        <v>0</v>
      </c>
      <c r="K122" s="30" t="n">
        <v>0</v>
      </c>
      <c r="L122" s="30" t="n">
        <v>0</v>
      </c>
      <c r="M122" s="30" t="n">
        <v>0</v>
      </c>
      <c r="N122" s="30" t="n">
        <v>0</v>
      </c>
      <c r="O122" s="30" t="n">
        <v>0</v>
      </c>
      <c r="P122" s="30" t="n">
        <v>0</v>
      </c>
      <c r="Q122" s="30" t="n">
        <v>0</v>
      </c>
      <c r="R122" s="30" t="n">
        <v>0</v>
      </c>
      <c r="S122" s="30" t="n">
        <v>0</v>
      </c>
      <c r="T122" s="30" t="n">
        <v>0</v>
      </c>
      <c r="U122" s="30" t="n">
        <v>0</v>
      </c>
      <c r="V122" s="30" t="n">
        <v>0</v>
      </c>
      <c r="W122" s="30" t="n">
        <v>0</v>
      </c>
      <c r="X122" s="30" t="n">
        <v>0</v>
      </c>
      <c r="Y122" s="30" t="n">
        <v>0</v>
      </c>
      <c r="Z122" s="30" t="n">
        <v>0</v>
      </c>
      <c r="AA122" s="30" t="n">
        <v>0</v>
      </c>
      <c r="AB122" s="30" t="n">
        <v>5.999999999999999</v>
      </c>
      <c r="AC122" s="30" t="n">
        <v>0</v>
      </c>
      <c r="AD122" s="30" t="n">
        <v>0</v>
      </c>
      <c r="AE122" s="30" t="n">
        <v>0</v>
      </c>
      <c r="AF122" s="30" t="n">
        <v>0</v>
      </c>
      <c r="AG122" s="30" t="n">
        <v>3</v>
      </c>
      <c r="AH122" s="30" t="n">
        <v>0</v>
      </c>
      <c r="AI122" s="30" t="n">
        <v>0</v>
      </c>
      <c r="AJ122" s="30" t="n">
        <v>0</v>
      </c>
      <c r="AK122" s="30" t="n">
        <v>3</v>
      </c>
      <c r="AL122" s="30" t="n">
        <v>0</v>
      </c>
      <c r="AM122" s="30" t="n">
        <v>0</v>
      </c>
      <c r="AN122" s="30" t="n">
        <v>0</v>
      </c>
      <c r="AO122" s="30" t="n">
        <v>0</v>
      </c>
      <c r="AP122" s="30" t="n">
        <v>3</v>
      </c>
      <c r="AQ122" s="30" t="n">
        <v>0</v>
      </c>
      <c r="AR122" s="30" t="n">
        <v>0</v>
      </c>
      <c r="AS122" s="30" t="n">
        <v>0</v>
      </c>
      <c r="AT122" s="30" t="n">
        <v>3</v>
      </c>
      <c r="AU122" s="30" t="n">
        <v>0</v>
      </c>
      <c r="AV122" s="30" t="n">
        <v>0</v>
      </c>
      <c r="AW122" s="30" t="n">
        <v>0</v>
      </c>
      <c r="AX122" s="30" t="n">
        <v>3</v>
      </c>
      <c r="AY122" s="30" t="n">
        <v>0</v>
      </c>
      <c r="AZ122" s="30" t="n">
        <v>0</v>
      </c>
      <c r="BA122" s="30" t="n">
        <v>0</v>
      </c>
      <c r="BB122" s="30" t="n">
        <v>0</v>
      </c>
      <c r="BC122" s="30" t="n">
        <v>0</v>
      </c>
      <c r="BD122" s="30" t="n">
        <v>0</v>
      </c>
      <c r="BE122" s="30" t="n">
        <v>0</v>
      </c>
      <c r="BF122" s="30" t="n">
        <v>3</v>
      </c>
      <c r="BG122" s="30" t="n">
        <v>0</v>
      </c>
      <c r="BH122" s="30" t="n">
        <v>0</v>
      </c>
      <c r="BI122" s="30" t="n">
        <v>0</v>
      </c>
      <c r="BJ122" s="30" t="n">
        <v>3</v>
      </c>
      <c r="BK122" s="30" t="n">
        <v>0</v>
      </c>
      <c r="BL122" s="30" t="n">
        <v>0</v>
      </c>
      <c r="BM122" s="30" t="n">
        <v>0</v>
      </c>
      <c r="BN122" s="30" t="n">
        <v>3</v>
      </c>
      <c r="BO122" s="30" t="n">
        <v>0</v>
      </c>
      <c r="BP122" s="30" t="n">
        <v>0</v>
      </c>
      <c r="BQ122" s="30" t="n">
        <v>0</v>
      </c>
      <c r="BR122" s="30" t="n">
        <v>3</v>
      </c>
      <c r="BS122" s="30" t="n">
        <v>3</v>
      </c>
      <c r="BT122" s="30" t="n">
        <v>3</v>
      </c>
      <c r="BU122" s="30" t="n">
        <v>3</v>
      </c>
      <c r="BV122" s="30" t="n">
        <v>0</v>
      </c>
      <c r="BW122" s="30" t="n">
        <v>3</v>
      </c>
      <c r="BX122" s="30" t="n">
        <v>0</v>
      </c>
      <c r="BY122" s="30" t="n">
        <v>0</v>
      </c>
      <c r="BZ122" s="30" t="n">
        <v>0</v>
      </c>
      <c r="CA122" s="30" t="n">
        <v>0</v>
      </c>
      <c r="CB122" s="30" t="n">
        <v>0</v>
      </c>
      <c r="CC122" s="30" t="n">
        <v>0</v>
      </c>
      <c r="CD122" s="30" t="n">
        <v>0</v>
      </c>
      <c r="CE122" s="30" t="n">
        <v>0</v>
      </c>
      <c r="CF122" s="30" t="n">
        <v>0</v>
      </c>
      <c r="CG122" s="30" t="n">
        <v>0</v>
      </c>
      <c r="CH122" s="30" t="n">
        <v>0</v>
      </c>
      <c r="CI122" s="30" t="n">
        <v>0</v>
      </c>
      <c r="CJ122" s="30" t="n">
        <v>0</v>
      </c>
      <c r="CK122" s="30" t="n">
        <v>0</v>
      </c>
      <c r="CL122" s="30" t="n">
        <v>0</v>
      </c>
      <c r="CM122" s="30" t="n">
        <v>0</v>
      </c>
      <c r="CN122" s="30" t="n">
        <v>0</v>
      </c>
      <c r="CO122" s="30" t="n">
        <v>0</v>
      </c>
      <c r="CP122" s="30" t="n">
        <v>0</v>
      </c>
      <c r="CQ122" s="30" t="n">
        <v>0</v>
      </c>
      <c r="CR122" s="30" t="n">
        <v>0</v>
      </c>
      <c r="CS122" s="30" t="n">
        <v>0</v>
      </c>
      <c r="CT122" s="30" t="n">
        <v>0</v>
      </c>
      <c r="CU122" s="30" t="n">
        <v>0</v>
      </c>
      <c r="CV122" s="30" t="n">
        <v>0</v>
      </c>
      <c r="CW122" s="30" t="n">
        <v>0</v>
      </c>
      <c r="CX122" s="30" t="n">
        <v>0</v>
      </c>
      <c r="CY122" s="30" t="n">
        <v>0</v>
      </c>
      <c r="CZ122" s="30" t="n">
        <v>0</v>
      </c>
      <c r="DA122" s="30" t="n">
        <v>0</v>
      </c>
    </row>
    <row r="123">
      <c r="A123" t="inlineStr">
        <is>
          <t>TSP-1558</t>
        </is>
      </c>
      <c r="B123" s="30" t="n">
        <v>0</v>
      </c>
      <c r="C123" s="30" t="n">
        <v>0</v>
      </c>
      <c r="D123" s="30" t="n">
        <v>0</v>
      </c>
      <c r="E123" s="30" t="n">
        <v>0</v>
      </c>
      <c r="F123" s="30" t="n">
        <v>0</v>
      </c>
      <c r="G123" s="30" t="n">
        <v>0</v>
      </c>
      <c r="H123" s="30" t="n">
        <v>0</v>
      </c>
      <c r="I123" s="30" t="n">
        <v>0</v>
      </c>
      <c r="J123" s="30" t="n">
        <v>0</v>
      </c>
      <c r="K123" s="30" t="n">
        <v>0</v>
      </c>
      <c r="L123" s="30" t="n">
        <v>0</v>
      </c>
      <c r="M123" s="30" t="n">
        <v>0</v>
      </c>
      <c r="N123" s="30" t="n">
        <v>0</v>
      </c>
      <c r="O123" s="30" t="n">
        <v>0</v>
      </c>
      <c r="P123" s="30" t="n">
        <v>0</v>
      </c>
      <c r="Q123" s="30" t="n">
        <v>0</v>
      </c>
      <c r="R123" s="30" t="n">
        <v>0</v>
      </c>
      <c r="S123" s="30" t="n">
        <v>0</v>
      </c>
      <c r="T123" s="30" t="n">
        <v>0</v>
      </c>
      <c r="U123" s="30" t="n">
        <v>0</v>
      </c>
      <c r="V123" s="30" t="n">
        <v>0</v>
      </c>
      <c r="W123" s="30" t="n">
        <v>0</v>
      </c>
      <c r="X123" s="30" t="n">
        <v>0</v>
      </c>
      <c r="Y123" s="30" t="n">
        <v>0</v>
      </c>
      <c r="Z123" s="30" t="n">
        <v>0</v>
      </c>
      <c r="AA123" s="30" t="n">
        <v>0</v>
      </c>
      <c r="AB123" s="30" t="n">
        <v>4</v>
      </c>
      <c r="AC123" s="30" t="n">
        <v>0</v>
      </c>
      <c r="AD123" s="30" t="n">
        <v>0</v>
      </c>
      <c r="AE123" s="30" t="n">
        <v>0</v>
      </c>
      <c r="AF123" s="30" t="n">
        <v>0</v>
      </c>
      <c r="AG123" s="30" t="n">
        <v>2</v>
      </c>
      <c r="AH123" s="30" t="n">
        <v>0</v>
      </c>
      <c r="AI123" s="30" t="n">
        <v>0</v>
      </c>
      <c r="AJ123" s="30" t="n">
        <v>0</v>
      </c>
      <c r="AK123" s="30" t="n">
        <v>2</v>
      </c>
      <c r="AL123" s="30" t="n">
        <v>0</v>
      </c>
      <c r="AM123" s="30" t="n">
        <v>0</v>
      </c>
      <c r="AN123" s="30" t="n">
        <v>0</v>
      </c>
      <c r="AO123" s="30" t="n">
        <v>0</v>
      </c>
      <c r="AP123" s="30" t="n">
        <v>2</v>
      </c>
      <c r="AQ123" s="30" t="n">
        <v>0</v>
      </c>
      <c r="AR123" s="30" t="n">
        <v>0</v>
      </c>
      <c r="AS123" s="30" t="n">
        <v>0</v>
      </c>
      <c r="AT123" s="30" t="n">
        <v>2</v>
      </c>
      <c r="AU123" s="30" t="n">
        <v>0</v>
      </c>
      <c r="AV123" s="30" t="n">
        <v>0</v>
      </c>
      <c r="AW123" s="30" t="n">
        <v>0</v>
      </c>
      <c r="AX123" s="30" t="n">
        <v>2</v>
      </c>
      <c r="AY123" s="30" t="n">
        <v>0</v>
      </c>
      <c r="AZ123" s="30" t="n">
        <v>0</v>
      </c>
      <c r="BA123" s="30" t="n">
        <v>0</v>
      </c>
      <c r="BB123" s="30" t="n">
        <v>0</v>
      </c>
      <c r="BC123" s="30" t="n">
        <v>0</v>
      </c>
      <c r="BD123" s="30" t="n">
        <v>0</v>
      </c>
      <c r="BE123" s="30" t="n">
        <v>0</v>
      </c>
      <c r="BF123" s="30" t="n">
        <v>2</v>
      </c>
      <c r="BG123" s="30" t="n">
        <v>0</v>
      </c>
      <c r="BH123" s="30" t="n">
        <v>0</v>
      </c>
      <c r="BI123" s="30" t="n">
        <v>0</v>
      </c>
      <c r="BJ123" s="30" t="n">
        <v>2</v>
      </c>
      <c r="BK123" s="30" t="n">
        <v>0</v>
      </c>
      <c r="BL123" s="30" t="n">
        <v>0</v>
      </c>
      <c r="BM123" s="30" t="n">
        <v>0</v>
      </c>
      <c r="BN123" s="30" t="n">
        <v>2</v>
      </c>
      <c r="BO123" s="30" t="n">
        <v>0</v>
      </c>
      <c r="BP123" s="30" t="n">
        <v>0</v>
      </c>
      <c r="BQ123" s="30" t="n">
        <v>0</v>
      </c>
      <c r="BR123" s="30" t="n">
        <v>2</v>
      </c>
      <c r="BS123" s="30" t="n">
        <v>2</v>
      </c>
      <c r="BT123" s="30" t="n">
        <v>2</v>
      </c>
      <c r="BU123" s="30" t="n">
        <v>2</v>
      </c>
      <c r="BV123" s="30" t="n">
        <v>0</v>
      </c>
      <c r="BW123" s="30" t="n">
        <v>2</v>
      </c>
      <c r="BX123" s="30" t="n">
        <v>0</v>
      </c>
      <c r="BY123" s="30" t="n">
        <v>0</v>
      </c>
      <c r="BZ123" s="30" t="n">
        <v>0</v>
      </c>
      <c r="CA123" s="30" t="n">
        <v>0</v>
      </c>
      <c r="CB123" s="30" t="n">
        <v>0</v>
      </c>
      <c r="CC123" s="30" t="n">
        <v>0</v>
      </c>
      <c r="CD123" s="30" t="n">
        <v>0</v>
      </c>
      <c r="CE123" s="30" t="n">
        <v>0</v>
      </c>
      <c r="CF123" s="30" t="n">
        <v>0</v>
      </c>
      <c r="CG123" s="30" t="n">
        <v>0</v>
      </c>
      <c r="CH123" s="30" t="n">
        <v>0</v>
      </c>
      <c r="CI123" s="30" t="n">
        <v>0</v>
      </c>
      <c r="CJ123" s="30" t="n">
        <v>0</v>
      </c>
      <c r="CK123" s="30" t="n">
        <v>0</v>
      </c>
      <c r="CL123" s="30" t="n">
        <v>0</v>
      </c>
      <c r="CM123" s="30" t="n">
        <v>0</v>
      </c>
      <c r="CN123" s="30" t="n">
        <v>0</v>
      </c>
      <c r="CO123" s="30" t="n">
        <v>0</v>
      </c>
      <c r="CP123" s="30" t="n">
        <v>0</v>
      </c>
      <c r="CQ123" s="30" t="n">
        <v>0</v>
      </c>
      <c r="CR123" s="30" t="n">
        <v>0</v>
      </c>
      <c r="CS123" s="30" t="n">
        <v>0</v>
      </c>
      <c r="CT123" s="30" t="n">
        <v>0</v>
      </c>
      <c r="CU123" s="30" t="n">
        <v>0</v>
      </c>
      <c r="CV123" s="30" t="n">
        <v>0</v>
      </c>
      <c r="CW123" s="30" t="n">
        <v>0</v>
      </c>
      <c r="CX123" s="30" t="n">
        <v>0</v>
      </c>
      <c r="CY123" s="30" t="n">
        <v>0</v>
      </c>
      <c r="CZ123" s="30" t="n">
        <v>0</v>
      </c>
      <c r="DA123" s="30" t="n">
        <v>0</v>
      </c>
    </row>
    <row r="124">
      <c r="A124" t="inlineStr">
        <is>
          <t>TSP-1559</t>
        </is>
      </c>
      <c r="B124" s="30" t="n">
        <v>0</v>
      </c>
      <c r="C124" s="30" t="n">
        <v>0</v>
      </c>
      <c r="D124" s="30" t="n">
        <v>0</v>
      </c>
      <c r="E124" s="30" t="n">
        <v>0</v>
      </c>
      <c r="F124" s="30" t="n">
        <v>0</v>
      </c>
      <c r="G124" s="30" t="n">
        <v>0</v>
      </c>
      <c r="H124" s="30" t="n">
        <v>0</v>
      </c>
      <c r="I124" s="30" t="n">
        <v>0</v>
      </c>
      <c r="J124" s="30" t="n">
        <v>0</v>
      </c>
      <c r="K124" s="30" t="n">
        <v>0</v>
      </c>
      <c r="L124" s="30" t="n">
        <v>0</v>
      </c>
      <c r="M124" s="30" t="n">
        <v>0</v>
      </c>
      <c r="N124" s="30" t="n">
        <v>0</v>
      </c>
      <c r="O124" s="30" t="n">
        <v>0</v>
      </c>
      <c r="P124" s="30" t="n">
        <v>0</v>
      </c>
      <c r="Q124" s="30" t="n">
        <v>0</v>
      </c>
      <c r="R124" s="30" t="n">
        <v>0</v>
      </c>
      <c r="S124" s="30" t="n">
        <v>0</v>
      </c>
      <c r="T124" s="30" t="n">
        <v>0</v>
      </c>
      <c r="U124" s="30" t="n">
        <v>0</v>
      </c>
      <c r="V124" s="30" t="n">
        <v>0</v>
      </c>
      <c r="W124" s="30" t="n">
        <v>0</v>
      </c>
      <c r="X124" s="30" t="n">
        <v>0</v>
      </c>
      <c r="Y124" s="30" t="n">
        <v>0</v>
      </c>
      <c r="Z124" s="30" t="n">
        <v>0</v>
      </c>
      <c r="AA124" s="30" t="n">
        <v>0</v>
      </c>
      <c r="AB124" s="30" t="n">
        <v>0</v>
      </c>
      <c r="AC124" s="30" t="n">
        <v>0</v>
      </c>
      <c r="AD124" s="30" t="n">
        <v>0</v>
      </c>
      <c r="AE124" s="30" t="n">
        <v>0</v>
      </c>
      <c r="AF124" s="30" t="n">
        <v>0</v>
      </c>
      <c r="AG124" s="30" t="n">
        <v>0</v>
      </c>
      <c r="AH124" s="30" t="n">
        <v>0</v>
      </c>
      <c r="AI124" s="30" t="n">
        <v>0</v>
      </c>
      <c r="AJ124" s="30" t="n">
        <v>0</v>
      </c>
      <c r="AK124" s="30" t="n">
        <v>0</v>
      </c>
      <c r="AL124" s="30" t="n">
        <v>0</v>
      </c>
      <c r="AM124" s="30" t="n">
        <v>0</v>
      </c>
      <c r="AN124" s="30" t="n">
        <v>0</v>
      </c>
      <c r="AO124" s="30" t="n">
        <v>0</v>
      </c>
      <c r="AP124" s="30" t="n">
        <v>0</v>
      </c>
      <c r="AQ124" s="30" t="n">
        <v>0</v>
      </c>
      <c r="AR124" s="30" t="n">
        <v>0</v>
      </c>
      <c r="AS124" s="30" t="n">
        <v>0</v>
      </c>
      <c r="AT124" s="30" t="n">
        <v>0</v>
      </c>
      <c r="AU124" s="30" t="n">
        <v>0</v>
      </c>
      <c r="AV124" s="30" t="n">
        <v>0</v>
      </c>
      <c r="AW124" s="30" t="n">
        <v>0</v>
      </c>
      <c r="AX124" s="30" t="n">
        <v>0</v>
      </c>
      <c r="AY124" s="30" t="n">
        <v>0</v>
      </c>
      <c r="AZ124" s="30" t="n">
        <v>0</v>
      </c>
      <c r="BA124" s="30" t="n">
        <v>0</v>
      </c>
      <c r="BB124" s="30" t="n">
        <v>0</v>
      </c>
      <c r="BC124" s="30" t="n">
        <v>0</v>
      </c>
      <c r="BD124" s="30" t="n">
        <v>0</v>
      </c>
      <c r="BE124" s="30" t="n">
        <v>0</v>
      </c>
      <c r="BF124" s="30" t="n">
        <v>0</v>
      </c>
      <c r="BG124" s="30" t="n">
        <v>0</v>
      </c>
      <c r="BH124" s="30" t="n">
        <v>0</v>
      </c>
      <c r="BI124" s="30" t="n">
        <v>0</v>
      </c>
      <c r="BJ124" s="30" t="n">
        <v>0</v>
      </c>
      <c r="BK124" s="30" t="n">
        <v>0</v>
      </c>
      <c r="BL124" s="30" t="n">
        <v>0</v>
      </c>
      <c r="BM124" s="30" t="n">
        <v>0</v>
      </c>
      <c r="BN124" s="30" t="n">
        <v>0</v>
      </c>
      <c r="BO124" s="30" t="n">
        <v>0</v>
      </c>
      <c r="BP124" s="30" t="n">
        <v>0</v>
      </c>
      <c r="BQ124" s="30" t="n">
        <v>0</v>
      </c>
      <c r="BR124" s="30" t="n">
        <v>0</v>
      </c>
      <c r="BS124" s="30" t="n">
        <v>0</v>
      </c>
      <c r="BT124" s="30" t="n">
        <v>0</v>
      </c>
      <c r="BU124" s="30" t="n">
        <v>0</v>
      </c>
      <c r="BV124" s="30" t="n">
        <v>0</v>
      </c>
      <c r="BW124" s="30" t="n">
        <v>0</v>
      </c>
      <c r="BX124" s="30" t="n">
        <v>0</v>
      </c>
      <c r="BY124" s="30" t="n">
        <v>0</v>
      </c>
      <c r="BZ124" s="30" t="n">
        <v>0</v>
      </c>
      <c r="CA124" s="30" t="n">
        <v>0</v>
      </c>
      <c r="CB124" s="30" t="n">
        <v>0</v>
      </c>
      <c r="CC124" s="30" t="n">
        <v>0</v>
      </c>
      <c r="CD124" s="30" t="n">
        <v>0</v>
      </c>
      <c r="CE124" s="30" t="n">
        <v>0</v>
      </c>
      <c r="CF124" s="30" t="n">
        <v>0</v>
      </c>
      <c r="CG124" s="30" t="n">
        <v>0</v>
      </c>
      <c r="CH124" s="30" t="n">
        <v>0</v>
      </c>
      <c r="CI124" s="30" t="n">
        <v>0</v>
      </c>
      <c r="CJ124" s="30" t="n">
        <v>0</v>
      </c>
      <c r="CK124" s="30" t="n">
        <v>0</v>
      </c>
      <c r="CL124" s="30" t="n">
        <v>0</v>
      </c>
      <c r="CM124" s="30" t="n">
        <v>0</v>
      </c>
      <c r="CN124" s="30" t="n">
        <v>0</v>
      </c>
      <c r="CO124" s="30" t="n">
        <v>0</v>
      </c>
      <c r="CP124" s="30" t="n">
        <v>0</v>
      </c>
      <c r="CQ124" s="30" t="n">
        <v>0</v>
      </c>
      <c r="CR124" s="30" t="n">
        <v>0</v>
      </c>
      <c r="CS124" s="30" t="n">
        <v>0</v>
      </c>
      <c r="CT124" s="30" t="n">
        <v>0</v>
      </c>
      <c r="CU124" s="30" t="n">
        <v>0</v>
      </c>
      <c r="CV124" s="30" t="n">
        <v>0</v>
      </c>
      <c r="CW124" s="30" t="n">
        <v>0</v>
      </c>
      <c r="CX124" s="30" t="n">
        <v>0</v>
      </c>
      <c r="CY124" s="30" t="n">
        <v>0</v>
      </c>
      <c r="CZ124" s="30" t="n">
        <v>0</v>
      </c>
      <c r="DA124" s="30" t="n">
        <v>0</v>
      </c>
    </row>
    <row r="125">
      <c r="A125" t="inlineStr">
        <is>
          <t>TSP-2157</t>
        </is>
      </c>
      <c r="B125" s="30" t="n">
        <v>0</v>
      </c>
      <c r="C125" s="30" t="n">
        <v>0</v>
      </c>
      <c r="D125" s="30" t="n">
        <v>0</v>
      </c>
      <c r="E125" s="30" t="n">
        <v>0</v>
      </c>
      <c r="F125" s="30" t="n">
        <v>0</v>
      </c>
      <c r="G125" s="30" t="n">
        <v>0</v>
      </c>
      <c r="H125" s="30" t="n">
        <v>0</v>
      </c>
      <c r="I125" s="30" t="n">
        <v>0</v>
      </c>
      <c r="J125" s="30" t="n">
        <v>0</v>
      </c>
      <c r="K125" s="30" t="n">
        <v>0</v>
      </c>
      <c r="L125" s="30" t="n">
        <v>0</v>
      </c>
      <c r="M125" s="30" t="n">
        <v>0</v>
      </c>
      <c r="N125" s="30" t="n">
        <v>0</v>
      </c>
      <c r="O125" s="30" t="n">
        <v>0</v>
      </c>
      <c r="P125" s="30" t="n">
        <v>0</v>
      </c>
      <c r="Q125" s="30" t="n">
        <v>0</v>
      </c>
      <c r="R125" s="30" t="n">
        <v>0</v>
      </c>
      <c r="S125" s="30" t="n">
        <v>0</v>
      </c>
      <c r="T125" s="30" t="n">
        <v>0</v>
      </c>
      <c r="U125" s="30" t="n">
        <v>0</v>
      </c>
      <c r="V125" s="30" t="n">
        <v>0</v>
      </c>
      <c r="W125" s="30" t="n">
        <v>0</v>
      </c>
      <c r="X125" s="30" t="n">
        <v>0</v>
      </c>
      <c r="Y125" s="30" t="n">
        <v>0</v>
      </c>
      <c r="Z125" s="30" t="n">
        <v>0</v>
      </c>
      <c r="AA125" s="30" t="n">
        <v>0</v>
      </c>
      <c r="AB125" s="30" t="n">
        <v>0</v>
      </c>
      <c r="AC125" s="30" t="n">
        <v>0</v>
      </c>
      <c r="AD125" s="30" t="n">
        <v>0</v>
      </c>
      <c r="AE125" s="30" t="n">
        <v>0</v>
      </c>
      <c r="AF125" s="30" t="n">
        <v>0</v>
      </c>
      <c r="AG125" s="30" t="n">
        <v>0</v>
      </c>
      <c r="AH125" s="30" t="n">
        <v>0</v>
      </c>
      <c r="AI125" s="30" t="n">
        <v>0</v>
      </c>
      <c r="AJ125" s="30" t="n">
        <v>0</v>
      </c>
      <c r="AK125" s="30" t="n">
        <v>0</v>
      </c>
      <c r="AL125" s="30" t="n">
        <v>0</v>
      </c>
      <c r="AM125" s="30" t="n">
        <v>0</v>
      </c>
      <c r="AN125" s="30" t="n">
        <v>0</v>
      </c>
      <c r="AO125" s="30" t="n">
        <v>0</v>
      </c>
      <c r="AP125" s="30" t="n">
        <v>0</v>
      </c>
      <c r="AQ125" s="30" t="n">
        <v>0</v>
      </c>
      <c r="AR125" s="30" t="n">
        <v>0</v>
      </c>
      <c r="AS125" s="30" t="n">
        <v>0</v>
      </c>
      <c r="AT125" s="30" t="n">
        <v>0</v>
      </c>
      <c r="AU125" s="30" t="n">
        <v>0</v>
      </c>
      <c r="AV125" s="30" t="n">
        <v>0</v>
      </c>
      <c r="AW125" s="30" t="n">
        <v>0</v>
      </c>
      <c r="AX125" s="30" t="n">
        <v>0</v>
      </c>
      <c r="AY125" s="30" t="n">
        <v>0</v>
      </c>
      <c r="AZ125" s="30" t="n">
        <v>0</v>
      </c>
      <c r="BA125" s="30" t="n">
        <v>0</v>
      </c>
      <c r="BB125" s="30" t="n">
        <v>0</v>
      </c>
      <c r="BC125" s="30" t="n">
        <v>0</v>
      </c>
      <c r="BD125" s="30" t="n">
        <v>0</v>
      </c>
      <c r="BE125" s="30" t="n">
        <v>0</v>
      </c>
      <c r="BF125" s="30" t="n">
        <v>0</v>
      </c>
      <c r="BG125" s="30" t="n">
        <v>0</v>
      </c>
      <c r="BH125" s="30" t="n">
        <v>0</v>
      </c>
      <c r="BI125" s="30" t="n">
        <v>0</v>
      </c>
      <c r="BJ125" s="30" t="n">
        <v>0</v>
      </c>
      <c r="BK125" s="30" t="n">
        <v>0</v>
      </c>
      <c r="BL125" s="30" t="n">
        <v>0</v>
      </c>
      <c r="BM125" s="30" t="n">
        <v>0</v>
      </c>
      <c r="BN125" s="30" t="n">
        <v>0</v>
      </c>
      <c r="BO125" s="30" t="n">
        <v>0</v>
      </c>
      <c r="BP125" s="30" t="n">
        <v>0</v>
      </c>
      <c r="BQ125" s="30" t="n">
        <v>0</v>
      </c>
      <c r="BR125" s="30" t="n">
        <v>0</v>
      </c>
      <c r="BS125" s="30" t="n">
        <v>0</v>
      </c>
      <c r="BT125" s="30" t="n">
        <v>0</v>
      </c>
      <c r="BU125" s="30" t="n">
        <v>0</v>
      </c>
      <c r="BV125" s="30" t="n">
        <v>0</v>
      </c>
      <c r="BW125" s="30" t="n">
        <v>0</v>
      </c>
      <c r="BX125" s="30" t="n">
        <v>0</v>
      </c>
      <c r="BY125" s="30" t="n">
        <v>0</v>
      </c>
      <c r="BZ125" s="30" t="n">
        <v>0</v>
      </c>
      <c r="CA125" s="30" t="n">
        <v>0</v>
      </c>
      <c r="CB125" s="30" t="n">
        <v>0</v>
      </c>
      <c r="CC125" s="30" t="n">
        <v>0</v>
      </c>
      <c r="CD125" s="30" t="n">
        <v>0</v>
      </c>
      <c r="CE125" s="30" t="n">
        <v>0</v>
      </c>
      <c r="CF125" s="30" t="n">
        <v>0</v>
      </c>
      <c r="CG125" s="30" t="n">
        <v>0</v>
      </c>
      <c r="CH125" s="30" t="n">
        <v>0</v>
      </c>
      <c r="CI125" s="30" t="n">
        <v>0</v>
      </c>
      <c r="CJ125" s="30" t="n">
        <v>0</v>
      </c>
      <c r="CK125" s="30" t="n">
        <v>0</v>
      </c>
      <c r="CL125" s="30" t="n">
        <v>0</v>
      </c>
      <c r="CM125" s="30" t="n">
        <v>0</v>
      </c>
      <c r="CN125" s="30" t="n">
        <v>0</v>
      </c>
      <c r="CO125" s="30" t="n">
        <v>0</v>
      </c>
      <c r="CP125" s="30" t="n">
        <v>0</v>
      </c>
      <c r="CQ125" s="30" t="n">
        <v>0</v>
      </c>
      <c r="CR125" s="30" t="n">
        <v>0</v>
      </c>
      <c r="CS125" s="30" t="n">
        <v>0</v>
      </c>
      <c r="CT125" s="30" t="n">
        <v>0</v>
      </c>
      <c r="CU125" s="30" t="n">
        <v>0</v>
      </c>
      <c r="CV125" s="30" t="n">
        <v>0</v>
      </c>
      <c r="CW125" s="30" t="n">
        <v>0</v>
      </c>
      <c r="CX125" s="30" t="n">
        <v>0</v>
      </c>
      <c r="CY125" s="30" t="n">
        <v>0</v>
      </c>
      <c r="CZ125" s="30" t="n">
        <v>0</v>
      </c>
      <c r="DA125" s="30" t="n">
        <v>0</v>
      </c>
    </row>
    <row r="126">
      <c r="A126" t="inlineStr">
        <is>
          <t>TSP-2168</t>
        </is>
      </c>
      <c r="B126" s="30" t="n">
        <v>0</v>
      </c>
      <c r="C126" s="30" t="n">
        <v>0</v>
      </c>
      <c r="D126" s="30" t="n">
        <v>0</v>
      </c>
      <c r="E126" s="30" t="n">
        <v>0</v>
      </c>
      <c r="F126" s="30" t="n">
        <v>0</v>
      </c>
      <c r="G126" s="30" t="n">
        <v>0</v>
      </c>
      <c r="H126" s="30" t="n">
        <v>0</v>
      </c>
      <c r="I126" s="30" t="n">
        <v>0</v>
      </c>
      <c r="J126" s="30" t="n">
        <v>0</v>
      </c>
      <c r="K126" s="30" t="n">
        <v>0</v>
      </c>
      <c r="L126" s="30" t="n">
        <v>0</v>
      </c>
      <c r="M126" s="30" t="n">
        <v>0</v>
      </c>
      <c r="N126" s="30" t="n">
        <v>0</v>
      </c>
      <c r="O126" s="30" t="n">
        <v>0</v>
      </c>
      <c r="P126" s="30" t="n">
        <v>0</v>
      </c>
      <c r="Q126" s="30" t="n">
        <v>0</v>
      </c>
      <c r="R126" s="30" t="n">
        <v>0</v>
      </c>
      <c r="S126" s="30" t="n">
        <v>0</v>
      </c>
      <c r="T126" s="30" t="n">
        <v>0</v>
      </c>
      <c r="U126" s="30" t="n">
        <v>0</v>
      </c>
      <c r="V126" s="30" t="n">
        <v>0</v>
      </c>
      <c r="W126" s="30" t="n">
        <v>0</v>
      </c>
      <c r="X126" s="30" t="n">
        <v>0</v>
      </c>
      <c r="Y126" s="30" t="n">
        <v>0</v>
      </c>
      <c r="Z126" s="30" t="n">
        <v>0</v>
      </c>
      <c r="AA126" s="30" t="n">
        <v>0</v>
      </c>
      <c r="AB126" s="30" t="n">
        <v>0</v>
      </c>
      <c r="AC126" s="30" t="n">
        <v>0</v>
      </c>
      <c r="AD126" s="30" t="n">
        <v>0</v>
      </c>
      <c r="AE126" s="30" t="n">
        <v>0</v>
      </c>
      <c r="AF126" s="30" t="n">
        <v>0</v>
      </c>
      <c r="AG126" s="30" t="n">
        <v>0</v>
      </c>
      <c r="AH126" s="30" t="n">
        <v>0</v>
      </c>
      <c r="AI126" s="30" t="n">
        <v>0</v>
      </c>
      <c r="AJ126" s="30" t="n">
        <v>0</v>
      </c>
      <c r="AK126" s="30" t="n">
        <v>0</v>
      </c>
      <c r="AL126" s="30" t="n">
        <v>0</v>
      </c>
      <c r="AM126" s="30" t="n">
        <v>0</v>
      </c>
      <c r="AN126" s="30" t="n">
        <v>0</v>
      </c>
      <c r="AO126" s="30" t="n">
        <v>0</v>
      </c>
      <c r="AP126" s="30" t="n">
        <v>0</v>
      </c>
      <c r="AQ126" s="30" t="n">
        <v>0</v>
      </c>
      <c r="AR126" s="30" t="n">
        <v>0</v>
      </c>
      <c r="AS126" s="30" t="n">
        <v>0</v>
      </c>
      <c r="AT126" s="30" t="n">
        <v>0</v>
      </c>
      <c r="AU126" s="30" t="n">
        <v>0</v>
      </c>
      <c r="AV126" s="30" t="n">
        <v>0</v>
      </c>
      <c r="AW126" s="30" t="n">
        <v>0</v>
      </c>
      <c r="AX126" s="30" t="n">
        <v>0</v>
      </c>
      <c r="AY126" s="30" t="n">
        <v>0</v>
      </c>
      <c r="AZ126" s="30" t="n">
        <v>0</v>
      </c>
      <c r="BA126" s="30" t="n">
        <v>0</v>
      </c>
      <c r="BB126" s="30" t="n">
        <v>0</v>
      </c>
      <c r="BC126" s="30" t="n">
        <v>0</v>
      </c>
      <c r="BD126" s="30" t="n">
        <v>0</v>
      </c>
      <c r="BE126" s="30" t="n">
        <v>0</v>
      </c>
      <c r="BF126" s="30" t="n">
        <v>0</v>
      </c>
      <c r="BG126" s="30" t="n">
        <v>0</v>
      </c>
      <c r="BH126" s="30" t="n">
        <v>0</v>
      </c>
      <c r="BI126" s="30" t="n">
        <v>0</v>
      </c>
      <c r="BJ126" s="30" t="n">
        <v>0</v>
      </c>
      <c r="BK126" s="30" t="n">
        <v>0</v>
      </c>
      <c r="BL126" s="30" t="n">
        <v>0</v>
      </c>
      <c r="BM126" s="30" t="n">
        <v>0</v>
      </c>
      <c r="BN126" s="30" t="n">
        <v>0</v>
      </c>
      <c r="BO126" s="30" t="n">
        <v>0</v>
      </c>
      <c r="BP126" s="30" t="n">
        <v>0</v>
      </c>
      <c r="BQ126" s="30" t="n">
        <v>0</v>
      </c>
      <c r="BR126" s="30" t="n">
        <v>0</v>
      </c>
      <c r="BS126" s="30" t="n">
        <v>0</v>
      </c>
      <c r="BT126" s="30" t="n">
        <v>0</v>
      </c>
      <c r="BU126" s="30" t="n">
        <v>0</v>
      </c>
      <c r="BV126" s="30" t="n">
        <v>0</v>
      </c>
      <c r="BW126" s="30" t="n">
        <v>0</v>
      </c>
      <c r="BX126" s="30" t="n">
        <v>0</v>
      </c>
      <c r="BY126" s="30" t="n">
        <v>0</v>
      </c>
      <c r="BZ126" s="30" t="n">
        <v>0</v>
      </c>
      <c r="CA126" s="30" t="n">
        <v>0</v>
      </c>
      <c r="CB126" s="30" t="n">
        <v>0</v>
      </c>
      <c r="CC126" s="30" t="n">
        <v>0</v>
      </c>
      <c r="CD126" s="30" t="n">
        <v>0</v>
      </c>
      <c r="CE126" s="30" t="n">
        <v>0</v>
      </c>
      <c r="CF126" s="30" t="n">
        <v>0</v>
      </c>
      <c r="CG126" s="30" t="n">
        <v>0</v>
      </c>
      <c r="CH126" s="30" t="n">
        <v>0</v>
      </c>
      <c r="CI126" s="30" t="n">
        <v>0</v>
      </c>
      <c r="CJ126" s="30" t="n">
        <v>0</v>
      </c>
      <c r="CK126" s="30" t="n">
        <v>0</v>
      </c>
      <c r="CL126" s="30" t="n">
        <v>0</v>
      </c>
      <c r="CM126" s="30" t="n">
        <v>0</v>
      </c>
      <c r="CN126" s="30" t="n">
        <v>0</v>
      </c>
      <c r="CO126" s="30" t="n">
        <v>0</v>
      </c>
      <c r="CP126" s="30" t="n">
        <v>0</v>
      </c>
      <c r="CQ126" s="30" t="n">
        <v>0</v>
      </c>
      <c r="CR126" s="30" t="n">
        <v>0</v>
      </c>
      <c r="CS126" s="30" t="n">
        <v>0</v>
      </c>
      <c r="CT126" s="30" t="n">
        <v>0</v>
      </c>
      <c r="CU126" s="30" t="n">
        <v>0</v>
      </c>
      <c r="CV126" s="30" t="n">
        <v>0</v>
      </c>
      <c r="CW126" s="30" t="n">
        <v>0</v>
      </c>
      <c r="CX126" s="30" t="n">
        <v>0</v>
      </c>
      <c r="CY126" s="30" t="n">
        <v>0</v>
      </c>
      <c r="CZ126" s="30" t="n">
        <v>0</v>
      </c>
      <c r="DA126" s="30" t="n">
        <v>0</v>
      </c>
    </row>
    <row r="127">
      <c r="A127" t="inlineStr">
        <is>
          <t>TSP-218</t>
        </is>
      </c>
      <c r="B127" s="30" t="n">
        <v>0</v>
      </c>
      <c r="C127" s="30" t="n">
        <v>0</v>
      </c>
      <c r="D127" s="30" t="n">
        <v>0</v>
      </c>
      <c r="E127" s="30" t="n">
        <v>0</v>
      </c>
      <c r="F127" s="30" t="n">
        <v>0</v>
      </c>
      <c r="G127" s="30" t="n">
        <v>0</v>
      </c>
      <c r="H127" s="30" t="n">
        <v>0</v>
      </c>
      <c r="I127" s="30" t="n">
        <v>0</v>
      </c>
      <c r="J127" s="30" t="n">
        <v>0</v>
      </c>
      <c r="K127" s="30" t="n">
        <v>0</v>
      </c>
      <c r="L127" s="30" t="n">
        <v>0</v>
      </c>
      <c r="M127" s="30" t="n">
        <v>0</v>
      </c>
      <c r="N127" s="30" t="n">
        <v>0</v>
      </c>
      <c r="O127" s="30" t="n">
        <v>0</v>
      </c>
      <c r="P127" s="30" t="n">
        <v>0</v>
      </c>
      <c r="Q127" s="30" t="n">
        <v>0</v>
      </c>
      <c r="R127" s="30" t="n">
        <v>0</v>
      </c>
      <c r="S127" s="30" t="n">
        <v>0</v>
      </c>
      <c r="T127" s="30" t="n">
        <v>0</v>
      </c>
      <c r="U127" s="30" t="n">
        <v>0</v>
      </c>
      <c r="V127" s="30" t="n">
        <v>0</v>
      </c>
      <c r="W127" s="30" t="n">
        <v>0</v>
      </c>
      <c r="X127" s="30" t="n">
        <v>0</v>
      </c>
      <c r="Y127" s="30" t="n">
        <v>0</v>
      </c>
      <c r="Z127" s="30" t="n">
        <v>0</v>
      </c>
      <c r="AA127" s="30" t="n">
        <v>0</v>
      </c>
      <c r="AB127" s="30" t="n">
        <v>0</v>
      </c>
      <c r="AC127" s="30" t="n">
        <v>0</v>
      </c>
      <c r="AD127" s="30" t="n">
        <v>0</v>
      </c>
      <c r="AE127" s="30" t="n">
        <v>0</v>
      </c>
      <c r="AF127" s="30" t="n">
        <v>0</v>
      </c>
      <c r="AG127" s="30" t="n">
        <v>0</v>
      </c>
      <c r="AH127" s="30" t="n">
        <v>0</v>
      </c>
      <c r="AI127" s="30" t="n">
        <v>0</v>
      </c>
      <c r="AJ127" s="30" t="n">
        <v>0</v>
      </c>
      <c r="AK127" s="30" t="n">
        <v>0</v>
      </c>
      <c r="AL127" s="30" t="n">
        <v>0</v>
      </c>
      <c r="AM127" s="30" t="n">
        <v>0</v>
      </c>
      <c r="AN127" s="30" t="n">
        <v>0</v>
      </c>
      <c r="AO127" s="30" t="n">
        <v>0</v>
      </c>
      <c r="AP127" s="30" t="n">
        <v>0</v>
      </c>
      <c r="AQ127" s="30" t="n">
        <v>0</v>
      </c>
      <c r="AR127" s="30" t="n">
        <v>0</v>
      </c>
      <c r="AS127" s="30" t="n">
        <v>0</v>
      </c>
      <c r="AT127" s="30" t="n">
        <v>0</v>
      </c>
      <c r="AU127" s="30" t="n">
        <v>0</v>
      </c>
      <c r="AV127" s="30" t="n">
        <v>0</v>
      </c>
      <c r="AW127" s="30" t="n">
        <v>0</v>
      </c>
      <c r="AX127" s="30" t="n">
        <v>0</v>
      </c>
      <c r="AY127" s="30" t="n">
        <v>0</v>
      </c>
      <c r="AZ127" s="30" t="n">
        <v>0</v>
      </c>
      <c r="BA127" s="30" t="n">
        <v>0</v>
      </c>
      <c r="BB127" s="30" t="n">
        <v>0</v>
      </c>
      <c r="BC127" s="30" t="n">
        <v>0</v>
      </c>
      <c r="BD127" s="30" t="n">
        <v>0</v>
      </c>
      <c r="BE127" s="30" t="n">
        <v>0</v>
      </c>
      <c r="BF127" s="30" t="n">
        <v>0</v>
      </c>
      <c r="BG127" s="30" t="n">
        <v>0</v>
      </c>
      <c r="BH127" s="30" t="n">
        <v>0</v>
      </c>
      <c r="BI127" s="30" t="n">
        <v>0</v>
      </c>
      <c r="BJ127" s="30" t="n">
        <v>0</v>
      </c>
      <c r="BK127" s="30" t="n">
        <v>0</v>
      </c>
      <c r="BL127" s="30" t="n">
        <v>0</v>
      </c>
      <c r="BM127" s="30" t="n">
        <v>0</v>
      </c>
      <c r="BN127" s="30" t="n">
        <v>0</v>
      </c>
      <c r="BO127" s="30" t="n">
        <v>0</v>
      </c>
      <c r="BP127" s="30" t="n">
        <v>0</v>
      </c>
      <c r="BQ127" s="30" t="n">
        <v>0</v>
      </c>
      <c r="BR127" s="30" t="n">
        <v>0</v>
      </c>
      <c r="BS127" s="30" t="n">
        <v>0</v>
      </c>
      <c r="BT127" s="30" t="n">
        <v>0</v>
      </c>
      <c r="BU127" s="30" t="n">
        <v>0</v>
      </c>
      <c r="BV127" s="30" t="n">
        <v>0</v>
      </c>
      <c r="BW127" s="30" t="n">
        <v>0</v>
      </c>
      <c r="BX127" s="30" t="n">
        <v>0</v>
      </c>
      <c r="BY127" s="30" t="n">
        <v>0</v>
      </c>
      <c r="BZ127" s="30" t="n">
        <v>0</v>
      </c>
      <c r="CA127" s="30" t="n">
        <v>0</v>
      </c>
      <c r="CB127" s="30" t="n">
        <v>0</v>
      </c>
      <c r="CC127" s="30" t="n">
        <v>0</v>
      </c>
      <c r="CD127" s="30" t="n">
        <v>0</v>
      </c>
      <c r="CE127" s="30" t="n">
        <v>0</v>
      </c>
      <c r="CF127" s="30" t="n">
        <v>0</v>
      </c>
      <c r="CG127" s="30" t="n">
        <v>0</v>
      </c>
      <c r="CH127" s="30" t="n">
        <v>0</v>
      </c>
      <c r="CI127" s="30" t="n">
        <v>0</v>
      </c>
      <c r="CJ127" s="30" t="n">
        <v>0</v>
      </c>
      <c r="CK127" s="30" t="n">
        <v>0</v>
      </c>
      <c r="CL127" s="30" t="n">
        <v>0</v>
      </c>
      <c r="CM127" s="30" t="n">
        <v>0</v>
      </c>
      <c r="CN127" s="30" t="n">
        <v>0</v>
      </c>
      <c r="CO127" s="30" t="n">
        <v>0</v>
      </c>
      <c r="CP127" s="30" t="n">
        <v>0</v>
      </c>
      <c r="CQ127" s="30" t="n">
        <v>0</v>
      </c>
      <c r="CR127" s="30" t="n">
        <v>0</v>
      </c>
      <c r="CS127" s="30" t="n">
        <v>0</v>
      </c>
      <c r="CT127" s="30" t="n">
        <v>0</v>
      </c>
      <c r="CU127" s="30" t="n">
        <v>0</v>
      </c>
      <c r="CV127" s="30" t="n">
        <v>0</v>
      </c>
      <c r="CW127" s="30" t="n">
        <v>0</v>
      </c>
      <c r="CX127" s="30" t="n">
        <v>0</v>
      </c>
      <c r="CY127" s="30" t="n">
        <v>0</v>
      </c>
      <c r="CZ127" s="30" t="n">
        <v>0</v>
      </c>
      <c r="DA127" s="30" t="n">
        <v>0</v>
      </c>
    </row>
    <row r="128">
      <c r="A128" t="inlineStr">
        <is>
          <t>TSP-219</t>
        </is>
      </c>
      <c r="B128" s="30" t="n">
        <v>0</v>
      </c>
      <c r="C128" s="30" t="n">
        <v>0</v>
      </c>
      <c r="D128" s="30" t="n">
        <v>0</v>
      </c>
      <c r="E128" s="30" t="n">
        <v>0</v>
      </c>
      <c r="F128" s="30" t="n">
        <v>0</v>
      </c>
      <c r="G128" s="30" t="n">
        <v>0</v>
      </c>
      <c r="H128" s="30" t="n">
        <v>0</v>
      </c>
      <c r="I128" s="30" t="n">
        <v>0</v>
      </c>
      <c r="J128" s="30" t="n">
        <v>0</v>
      </c>
      <c r="K128" s="30" t="n">
        <v>0</v>
      </c>
      <c r="L128" s="30" t="n">
        <v>0</v>
      </c>
      <c r="M128" s="30" t="n">
        <v>0</v>
      </c>
      <c r="N128" s="30" t="n">
        <v>0</v>
      </c>
      <c r="O128" s="30" t="n">
        <v>0</v>
      </c>
      <c r="P128" s="30" t="n">
        <v>0</v>
      </c>
      <c r="Q128" s="30" t="n">
        <v>0</v>
      </c>
      <c r="R128" s="30" t="n">
        <v>0</v>
      </c>
      <c r="S128" s="30" t="n">
        <v>0</v>
      </c>
      <c r="T128" s="30" t="n">
        <v>0</v>
      </c>
      <c r="U128" s="30" t="n">
        <v>0</v>
      </c>
      <c r="V128" s="30" t="n">
        <v>0</v>
      </c>
      <c r="W128" s="30" t="n">
        <v>0</v>
      </c>
      <c r="X128" s="30" t="n">
        <v>0</v>
      </c>
      <c r="Y128" s="30" t="n">
        <v>0</v>
      </c>
      <c r="Z128" s="30" t="n">
        <v>0</v>
      </c>
      <c r="AA128" s="30" t="n">
        <v>0</v>
      </c>
      <c r="AB128" s="30" t="n">
        <v>0</v>
      </c>
      <c r="AC128" s="30" t="n">
        <v>0</v>
      </c>
      <c r="AD128" s="30" t="n">
        <v>0</v>
      </c>
      <c r="AE128" s="30" t="n">
        <v>0</v>
      </c>
      <c r="AF128" s="30" t="n">
        <v>0</v>
      </c>
      <c r="AG128" s="30" t="n">
        <v>0</v>
      </c>
      <c r="AH128" s="30" t="n">
        <v>0</v>
      </c>
      <c r="AI128" s="30" t="n">
        <v>0</v>
      </c>
      <c r="AJ128" s="30" t="n">
        <v>0</v>
      </c>
      <c r="AK128" s="30" t="n">
        <v>0</v>
      </c>
      <c r="AL128" s="30" t="n">
        <v>0</v>
      </c>
      <c r="AM128" s="30" t="n">
        <v>0</v>
      </c>
      <c r="AN128" s="30" t="n">
        <v>0</v>
      </c>
      <c r="AO128" s="30" t="n">
        <v>0</v>
      </c>
      <c r="AP128" s="30" t="n">
        <v>0</v>
      </c>
      <c r="AQ128" s="30" t="n">
        <v>0</v>
      </c>
      <c r="AR128" s="30" t="n">
        <v>0</v>
      </c>
      <c r="AS128" s="30" t="n">
        <v>0</v>
      </c>
      <c r="AT128" s="30" t="n">
        <v>0</v>
      </c>
      <c r="AU128" s="30" t="n">
        <v>0</v>
      </c>
      <c r="AV128" s="30" t="n">
        <v>0</v>
      </c>
      <c r="AW128" s="30" t="n">
        <v>0</v>
      </c>
      <c r="AX128" s="30" t="n">
        <v>0</v>
      </c>
      <c r="AY128" s="30" t="n">
        <v>0</v>
      </c>
      <c r="AZ128" s="30" t="n">
        <v>0</v>
      </c>
      <c r="BA128" s="30" t="n">
        <v>0</v>
      </c>
      <c r="BB128" s="30" t="n">
        <v>0</v>
      </c>
      <c r="BC128" s="30" t="n">
        <v>0</v>
      </c>
      <c r="BD128" s="30" t="n">
        <v>0</v>
      </c>
      <c r="BE128" s="30" t="n">
        <v>0</v>
      </c>
      <c r="BF128" s="30" t="n">
        <v>0</v>
      </c>
      <c r="BG128" s="30" t="n">
        <v>0</v>
      </c>
      <c r="BH128" s="30" t="n">
        <v>0</v>
      </c>
      <c r="BI128" s="30" t="n">
        <v>0</v>
      </c>
      <c r="BJ128" s="30" t="n">
        <v>0</v>
      </c>
      <c r="BK128" s="30" t="n">
        <v>0</v>
      </c>
      <c r="BL128" s="30" t="n">
        <v>0</v>
      </c>
      <c r="BM128" s="30" t="n">
        <v>0</v>
      </c>
      <c r="BN128" s="30" t="n">
        <v>0</v>
      </c>
      <c r="BO128" s="30" t="n">
        <v>0</v>
      </c>
      <c r="BP128" s="30" t="n">
        <v>0</v>
      </c>
      <c r="BQ128" s="30" t="n">
        <v>0</v>
      </c>
      <c r="BR128" s="30" t="n">
        <v>0</v>
      </c>
      <c r="BS128" s="30" t="n">
        <v>0</v>
      </c>
      <c r="BT128" s="30" t="n">
        <v>0</v>
      </c>
      <c r="BU128" s="30" t="n">
        <v>0</v>
      </c>
      <c r="BV128" s="30" t="n">
        <v>0</v>
      </c>
      <c r="BW128" s="30" t="n">
        <v>0</v>
      </c>
      <c r="BX128" s="30" t="n">
        <v>0</v>
      </c>
      <c r="BY128" s="30" t="n">
        <v>0</v>
      </c>
      <c r="BZ128" s="30" t="n">
        <v>0</v>
      </c>
      <c r="CA128" s="30" t="n">
        <v>0</v>
      </c>
      <c r="CB128" s="30" t="n">
        <v>0</v>
      </c>
      <c r="CC128" s="30" t="n">
        <v>0</v>
      </c>
      <c r="CD128" s="30" t="n">
        <v>0</v>
      </c>
      <c r="CE128" s="30" t="n">
        <v>0</v>
      </c>
      <c r="CF128" s="30" t="n">
        <v>0</v>
      </c>
      <c r="CG128" s="30" t="n">
        <v>0</v>
      </c>
      <c r="CH128" s="30" t="n">
        <v>0</v>
      </c>
      <c r="CI128" s="30" t="n">
        <v>0</v>
      </c>
      <c r="CJ128" s="30" t="n">
        <v>0</v>
      </c>
      <c r="CK128" s="30" t="n">
        <v>0</v>
      </c>
      <c r="CL128" s="30" t="n">
        <v>0</v>
      </c>
      <c r="CM128" s="30" t="n">
        <v>0</v>
      </c>
      <c r="CN128" s="30" t="n">
        <v>0</v>
      </c>
      <c r="CO128" s="30" t="n">
        <v>0</v>
      </c>
      <c r="CP128" s="30" t="n">
        <v>0</v>
      </c>
      <c r="CQ128" s="30" t="n">
        <v>0</v>
      </c>
      <c r="CR128" s="30" t="n">
        <v>0</v>
      </c>
      <c r="CS128" s="30" t="n">
        <v>0</v>
      </c>
      <c r="CT128" s="30" t="n">
        <v>0</v>
      </c>
      <c r="CU128" s="30" t="n">
        <v>0</v>
      </c>
      <c r="CV128" s="30" t="n">
        <v>0</v>
      </c>
      <c r="CW128" s="30" t="n">
        <v>0</v>
      </c>
      <c r="CX128" s="30" t="n">
        <v>0</v>
      </c>
      <c r="CY128" s="30" t="n">
        <v>0</v>
      </c>
      <c r="CZ128" s="30" t="n">
        <v>0</v>
      </c>
      <c r="DA128" s="30" t="n">
        <v>0</v>
      </c>
    </row>
    <row r="129">
      <c r="A129" t="inlineStr">
        <is>
          <t>TSP-390</t>
        </is>
      </c>
      <c r="B129" s="30" t="n">
        <v>0</v>
      </c>
      <c r="C129" s="30" t="n">
        <v>0</v>
      </c>
      <c r="D129" s="30" t="n">
        <v>0</v>
      </c>
      <c r="E129" s="30" t="n">
        <v>0</v>
      </c>
      <c r="F129" s="30" t="n">
        <v>0</v>
      </c>
      <c r="G129" s="30" t="n">
        <v>0</v>
      </c>
      <c r="H129" s="30" t="n">
        <v>0</v>
      </c>
      <c r="I129" s="30" t="n">
        <v>0</v>
      </c>
      <c r="J129" s="30" t="n">
        <v>0</v>
      </c>
      <c r="K129" s="30" t="n">
        <v>0</v>
      </c>
      <c r="L129" s="30" t="n">
        <v>0</v>
      </c>
      <c r="M129" s="30" t="n">
        <v>0</v>
      </c>
      <c r="N129" s="30" t="n">
        <v>0</v>
      </c>
      <c r="O129" s="30" t="n">
        <v>0</v>
      </c>
      <c r="P129" s="30" t="n">
        <v>0</v>
      </c>
      <c r="Q129" s="30" t="n">
        <v>0</v>
      </c>
      <c r="R129" s="30" t="n">
        <v>0</v>
      </c>
      <c r="S129" s="30" t="n">
        <v>0</v>
      </c>
      <c r="T129" s="30" t="n">
        <v>0</v>
      </c>
      <c r="U129" s="30" t="n">
        <v>0</v>
      </c>
      <c r="V129" s="30" t="n">
        <v>0</v>
      </c>
      <c r="W129" s="30" t="n">
        <v>0</v>
      </c>
      <c r="X129" s="30" t="n">
        <v>0</v>
      </c>
      <c r="Y129" s="30" t="n">
        <v>0</v>
      </c>
      <c r="Z129" s="30" t="n">
        <v>0</v>
      </c>
      <c r="AA129" s="30" t="n">
        <v>0</v>
      </c>
      <c r="AB129" s="30" t="n">
        <v>0</v>
      </c>
      <c r="AC129" s="30" t="n">
        <v>0</v>
      </c>
      <c r="AD129" s="30" t="n">
        <v>0</v>
      </c>
      <c r="AE129" s="30" t="n">
        <v>0</v>
      </c>
      <c r="AF129" s="30" t="n">
        <v>0</v>
      </c>
      <c r="AG129" s="30" t="n">
        <v>0</v>
      </c>
      <c r="AH129" s="30" t="n">
        <v>0</v>
      </c>
      <c r="AI129" s="30" t="n">
        <v>0</v>
      </c>
      <c r="AJ129" s="30" t="n">
        <v>0</v>
      </c>
      <c r="AK129" s="30" t="n">
        <v>0</v>
      </c>
      <c r="AL129" s="30" t="n">
        <v>0</v>
      </c>
      <c r="AM129" s="30" t="n">
        <v>0</v>
      </c>
      <c r="AN129" s="30" t="n">
        <v>0</v>
      </c>
      <c r="AO129" s="30" t="n">
        <v>0</v>
      </c>
      <c r="AP129" s="30" t="n">
        <v>0</v>
      </c>
      <c r="AQ129" s="30" t="n">
        <v>0</v>
      </c>
      <c r="AR129" s="30" t="n">
        <v>0</v>
      </c>
      <c r="AS129" s="30" t="n">
        <v>0</v>
      </c>
      <c r="AT129" s="30" t="n">
        <v>0</v>
      </c>
      <c r="AU129" s="30" t="n">
        <v>0</v>
      </c>
      <c r="AV129" s="30" t="n">
        <v>0</v>
      </c>
      <c r="AW129" s="30" t="n">
        <v>0</v>
      </c>
      <c r="AX129" s="30" t="n">
        <v>0</v>
      </c>
      <c r="AY129" s="30" t="n">
        <v>0</v>
      </c>
      <c r="AZ129" s="30" t="n">
        <v>0</v>
      </c>
      <c r="BA129" s="30" t="n">
        <v>0</v>
      </c>
      <c r="BB129" s="30" t="n">
        <v>0</v>
      </c>
      <c r="BC129" s="30" t="n">
        <v>0</v>
      </c>
      <c r="BD129" s="30" t="n">
        <v>0</v>
      </c>
      <c r="BE129" s="30" t="n">
        <v>0</v>
      </c>
      <c r="BF129" s="30" t="n">
        <v>0</v>
      </c>
      <c r="BG129" s="30" t="n">
        <v>0</v>
      </c>
      <c r="BH129" s="30" t="n">
        <v>0</v>
      </c>
      <c r="BI129" s="30" t="n">
        <v>0</v>
      </c>
      <c r="BJ129" s="30" t="n">
        <v>0</v>
      </c>
      <c r="BK129" s="30" t="n">
        <v>0</v>
      </c>
      <c r="BL129" s="30" t="n">
        <v>0</v>
      </c>
      <c r="BM129" s="30" t="n">
        <v>0</v>
      </c>
      <c r="BN129" s="30" t="n">
        <v>0</v>
      </c>
      <c r="BO129" s="30" t="n">
        <v>0</v>
      </c>
      <c r="BP129" s="30" t="n">
        <v>0</v>
      </c>
      <c r="BQ129" s="30" t="n">
        <v>0</v>
      </c>
      <c r="BR129" s="30" t="n">
        <v>0</v>
      </c>
      <c r="BS129" s="30" t="n">
        <v>0</v>
      </c>
      <c r="BT129" s="30" t="n">
        <v>0</v>
      </c>
      <c r="BU129" s="30" t="n">
        <v>0</v>
      </c>
      <c r="BV129" s="30" t="n">
        <v>0</v>
      </c>
      <c r="BW129" s="30" t="n">
        <v>0</v>
      </c>
      <c r="BX129" s="30" t="n">
        <v>0</v>
      </c>
      <c r="BY129" s="30" t="n">
        <v>0</v>
      </c>
      <c r="BZ129" s="30" t="n">
        <v>0</v>
      </c>
      <c r="CA129" s="30" t="n">
        <v>0</v>
      </c>
      <c r="CB129" s="30" t="n">
        <v>0</v>
      </c>
      <c r="CC129" s="30" t="n">
        <v>0</v>
      </c>
      <c r="CD129" s="30" t="n">
        <v>0</v>
      </c>
      <c r="CE129" s="30" t="n">
        <v>0</v>
      </c>
      <c r="CF129" s="30" t="n">
        <v>0</v>
      </c>
      <c r="CG129" s="30" t="n">
        <v>0</v>
      </c>
      <c r="CH129" s="30" t="n">
        <v>0</v>
      </c>
      <c r="CI129" s="30" t="n">
        <v>0</v>
      </c>
      <c r="CJ129" s="30" t="n">
        <v>0</v>
      </c>
      <c r="CK129" s="30" t="n">
        <v>0</v>
      </c>
      <c r="CL129" s="30" t="n">
        <v>0</v>
      </c>
      <c r="CM129" s="30" t="n">
        <v>0</v>
      </c>
      <c r="CN129" s="30" t="n">
        <v>0</v>
      </c>
      <c r="CO129" s="30" t="n">
        <v>0</v>
      </c>
      <c r="CP129" s="30" t="n">
        <v>0</v>
      </c>
      <c r="CQ129" s="30" t="n">
        <v>0</v>
      </c>
      <c r="CR129" s="30" t="n">
        <v>0</v>
      </c>
      <c r="CS129" s="30" t="n">
        <v>0</v>
      </c>
      <c r="CT129" s="30" t="n">
        <v>0</v>
      </c>
      <c r="CU129" s="30" t="n">
        <v>0</v>
      </c>
      <c r="CV129" s="30" t="n">
        <v>0</v>
      </c>
      <c r="CW129" s="30" t="n">
        <v>0</v>
      </c>
      <c r="CX129" s="30" t="n">
        <v>0</v>
      </c>
      <c r="CY129" s="30" t="n">
        <v>0</v>
      </c>
      <c r="CZ129" s="30" t="n">
        <v>0</v>
      </c>
      <c r="DA129" s="30" t="n">
        <v>0</v>
      </c>
    </row>
    <row r="130">
      <c r="A130" t="inlineStr">
        <is>
          <t>TSP-399</t>
        </is>
      </c>
      <c r="B130" s="30" t="n">
        <v>0</v>
      </c>
      <c r="C130" s="30" t="n">
        <v>0</v>
      </c>
      <c r="D130" s="30" t="n">
        <v>0</v>
      </c>
      <c r="E130" s="30" t="n">
        <v>0</v>
      </c>
      <c r="F130" s="30" t="n">
        <v>0</v>
      </c>
      <c r="G130" s="30" t="n">
        <v>0</v>
      </c>
      <c r="H130" s="30" t="n">
        <v>0</v>
      </c>
      <c r="I130" s="30" t="n">
        <v>0</v>
      </c>
      <c r="J130" s="30" t="n">
        <v>0</v>
      </c>
      <c r="K130" s="30" t="n">
        <v>0</v>
      </c>
      <c r="L130" s="30" t="n">
        <v>0</v>
      </c>
      <c r="M130" s="30" t="n">
        <v>0</v>
      </c>
      <c r="N130" s="30" t="n">
        <v>0</v>
      </c>
      <c r="O130" s="30" t="n">
        <v>0</v>
      </c>
      <c r="P130" s="30" t="n">
        <v>0</v>
      </c>
      <c r="Q130" s="30" t="n">
        <v>0</v>
      </c>
      <c r="R130" s="30" t="n">
        <v>0</v>
      </c>
      <c r="S130" s="30" t="n">
        <v>0</v>
      </c>
      <c r="T130" s="30" t="n">
        <v>0</v>
      </c>
      <c r="U130" s="30" t="n">
        <v>0</v>
      </c>
      <c r="V130" s="30" t="n">
        <v>0</v>
      </c>
      <c r="W130" s="30" t="n">
        <v>0</v>
      </c>
      <c r="X130" s="30" t="n">
        <v>0</v>
      </c>
      <c r="Y130" s="30" t="n">
        <v>0</v>
      </c>
      <c r="Z130" s="30" t="n">
        <v>0</v>
      </c>
      <c r="AA130" s="30" t="n">
        <v>0</v>
      </c>
      <c r="AB130" s="30" t="n">
        <v>0</v>
      </c>
      <c r="AC130" s="30" t="n">
        <v>0</v>
      </c>
      <c r="AD130" s="30" t="n">
        <v>0</v>
      </c>
      <c r="AE130" s="30" t="n">
        <v>0</v>
      </c>
      <c r="AF130" s="30" t="n">
        <v>0</v>
      </c>
      <c r="AG130" s="30" t="n">
        <v>0</v>
      </c>
      <c r="AH130" s="30" t="n">
        <v>0</v>
      </c>
      <c r="AI130" s="30" t="n">
        <v>0</v>
      </c>
      <c r="AJ130" s="30" t="n">
        <v>0</v>
      </c>
      <c r="AK130" s="30" t="n">
        <v>0</v>
      </c>
      <c r="AL130" s="30" t="n">
        <v>0</v>
      </c>
      <c r="AM130" s="30" t="n">
        <v>0</v>
      </c>
      <c r="AN130" s="30" t="n">
        <v>0</v>
      </c>
      <c r="AO130" s="30" t="n">
        <v>0</v>
      </c>
      <c r="AP130" s="30" t="n">
        <v>0</v>
      </c>
      <c r="AQ130" s="30" t="n">
        <v>0</v>
      </c>
      <c r="AR130" s="30" t="n">
        <v>0</v>
      </c>
      <c r="AS130" s="30" t="n">
        <v>0</v>
      </c>
      <c r="AT130" s="30" t="n">
        <v>0</v>
      </c>
      <c r="AU130" s="30" t="n">
        <v>0</v>
      </c>
      <c r="AV130" s="30" t="n">
        <v>0</v>
      </c>
      <c r="AW130" s="30" t="n">
        <v>0</v>
      </c>
      <c r="AX130" s="30" t="n">
        <v>0</v>
      </c>
      <c r="AY130" s="30" t="n">
        <v>0</v>
      </c>
      <c r="AZ130" s="30" t="n">
        <v>0</v>
      </c>
      <c r="BA130" s="30" t="n">
        <v>0</v>
      </c>
      <c r="BB130" s="30" t="n">
        <v>0</v>
      </c>
      <c r="BC130" s="30" t="n">
        <v>0</v>
      </c>
      <c r="BD130" s="30" t="n">
        <v>0</v>
      </c>
      <c r="BE130" s="30" t="n">
        <v>0</v>
      </c>
      <c r="BF130" s="30" t="n">
        <v>0</v>
      </c>
      <c r="BG130" s="30" t="n">
        <v>0</v>
      </c>
      <c r="BH130" s="30" t="n">
        <v>0</v>
      </c>
      <c r="BI130" s="30" t="n">
        <v>0</v>
      </c>
      <c r="BJ130" s="30" t="n">
        <v>0</v>
      </c>
      <c r="BK130" s="30" t="n">
        <v>0</v>
      </c>
      <c r="BL130" s="30" t="n">
        <v>0</v>
      </c>
      <c r="BM130" s="30" t="n">
        <v>0</v>
      </c>
      <c r="BN130" s="30" t="n">
        <v>0</v>
      </c>
      <c r="BO130" s="30" t="n">
        <v>0</v>
      </c>
      <c r="BP130" s="30" t="n">
        <v>0</v>
      </c>
      <c r="BQ130" s="30" t="n">
        <v>0</v>
      </c>
      <c r="BR130" s="30" t="n">
        <v>0</v>
      </c>
      <c r="BS130" s="30" t="n">
        <v>0</v>
      </c>
      <c r="BT130" s="30" t="n">
        <v>0</v>
      </c>
      <c r="BU130" s="30" t="n">
        <v>0</v>
      </c>
      <c r="BV130" s="30" t="n">
        <v>0</v>
      </c>
      <c r="BW130" s="30" t="n">
        <v>0</v>
      </c>
      <c r="BX130" s="30" t="n">
        <v>0</v>
      </c>
      <c r="BY130" s="30" t="n">
        <v>0</v>
      </c>
      <c r="BZ130" s="30" t="n">
        <v>0</v>
      </c>
      <c r="CA130" s="30" t="n">
        <v>0</v>
      </c>
      <c r="CB130" s="30" t="n">
        <v>0</v>
      </c>
      <c r="CC130" s="30" t="n">
        <v>0</v>
      </c>
      <c r="CD130" s="30" t="n">
        <v>0</v>
      </c>
      <c r="CE130" s="30" t="n">
        <v>0</v>
      </c>
      <c r="CF130" s="30" t="n">
        <v>0</v>
      </c>
      <c r="CG130" s="30" t="n">
        <v>0</v>
      </c>
      <c r="CH130" s="30" t="n">
        <v>0</v>
      </c>
      <c r="CI130" s="30" t="n">
        <v>0</v>
      </c>
      <c r="CJ130" s="30" t="n">
        <v>0</v>
      </c>
      <c r="CK130" s="30" t="n">
        <v>0</v>
      </c>
      <c r="CL130" s="30" t="n">
        <v>0</v>
      </c>
      <c r="CM130" s="30" t="n">
        <v>0</v>
      </c>
      <c r="CN130" s="30" t="n">
        <v>0</v>
      </c>
      <c r="CO130" s="30" t="n">
        <v>0</v>
      </c>
      <c r="CP130" s="30" t="n">
        <v>0</v>
      </c>
      <c r="CQ130" s="30" t="n">
        <v>0</v>
      </c>
      <c r="CR130" s="30" t="n">
        <v>0</v>
      </c>
      <c r="CS130" s="30" t="n">
        <v>0</v>
      </c>
      <c r="CT130" s="30" t="n">
        <v>0</v>
      </c>
      <c r="CU130" s="30" t="n">
        <v>0</v>
      </c>
      <c r="CV130" s="30" t="n">
        <v>0</v>
      </c>
      <c r="CW130" s="30" t="n">
        <v>0</v>
      </c>
      <c r="CX130" s="30" t="n">
        <v>0</v>
      </c>
      <c r="CY130" s="30" t="n">
        <v>0</v>
      </c>
      <c r="CZ130" s="30" t="n">
        <v>0</v>
      </c>
      <c r="DA130" s="30" t="n">
        <v>0</v>
      </c>
    </row>
    <row r="131">
      <c r="A131" t="inlineStr">
        <is>
          <t>TSP-699</t>
        </is>
      </c>
      <c r="B131" s="30" t="n">
        <v>0</v>
      </c>
      <c r="C131" s="30" t="n">
        <v>0</v>
      </c>
      <c r="D131" s="30" t="n">
        <v>0</v>
      </c>
      <c r="E131" s="30" t="n">
        <v>0</v>
      </c>
      <c r="F131" s="30" t="n">
        <v>0</v>
      </c>
      <c r="G131" s="30" t="n">
        <v>0</v>
      </c>
      <c r="H131" s="30" t="n">
        <v>0</v>
      </c>
      <c r="I131" s="30" t="n">
        <v>0</v>
      </c>
      <c r="J131" s="30" t="n">
        <v>0</v>
      </c>
      <c r="K131" s="30" t="n">
        <v>0</v>
      </c>
      <c r="L131" s="30" t="n">
        <v>0</v>
      </c>
      <c r="M131" s="30" t="n">
        <v>0</v>
      </c>
      <c r="N131" s="30" t="n">
        <v>0</v>
      </c>
      <c r="O131" s="30" t="n">
        <v>0</v>
      </c>
      <c r="P131" s="30" t="n">
        <v>0</v>
      </c>
      <c r="Q131" s="30" t="n">
        <v>0</v>
      </c>
      <c r="R131" s="30" t="n">
        <v>0</v>
      </c>
      <c r="S131" s="30" t="n">
        <v>0</v>
      </c>
      <c r="T131" s="30" t="n">
        <v>0</v>
      </c>
      <c r="U131" s="30" t="n">
        <v>0</v>
      </c>
      <c r="V131" s="30" t="n">
        <v>0</v>
      </c>
      <c r="W131" s="30" t="n">
        <v>0</v>
      </c>
      <c r="X131" s="30" t="n">
        <v>0</v>
      </c>
      <c r="Y131" s="30" t="n">
        <v>0</v>
      </c>
      <c r="Z131" s="30" t="n">
        <v>0</v>
      </c>
      <c r="AA131" s="30" t="n">
        <v>0</v>
      </c>
      <c r="AB131" s="30" t="n">
        <v>0</v>
      </c>
      <c r="AC131" s="30" t="n">
        <v>0</v>
      </c>
      <c r="AD131" s="30" t="n">
        <v>0</v>
      </c>
      <c r="AE131" s="30" t="n">
        <v>0</v>
      </c>
      <c r="AF131" s="30" t="n">
        <v>0</v>
      </c>
      <c r="AG131" s="30" t="n">
        <v>0</v>
      </c>
      <c r="AH131" s="30" t="n">
        <v>0</v>
      </c>
      <c r="AI131" s="30" t="n">
        <v>0</v>
      </c>
      <c r="AJ131" s="30" t="n">
        <v>0</v>
      </c>
      <c r="AK131" s="30" t="n">
        <v>0</v>
      </c>
      <c r="AL131" s="30" t="n">
        <v>0</v>
      </c>
      <c r="AM131" s="30" t="n">
        <v>0</v>
      </c>
      <c r="AN131" s="30" t="n">
        <v>0</v>
      </c>
      <c r="AO131" s="30" t="n">
        <v>0</v>
      </c>
      <c r="AP131" s="30" t="n">
        <v>0</v>
      </c>
      <c r="AQ131" s="30" t="n">
        <v>0</v>
      </c>
      <c r="AR131" s="30" t="n">
        <v>0</v>
      </c>
      <c r="AS131" s="30" t="n">
        <v>0</v>
      </c>
      <c r="AT131" s="30" t="n">
        <v>0</v>
      </c>
      <c r="AU131" s="30" t="n">
        <v>0</v>
      </c>
      <c r="AV131" s="30" t="n">
        <v>0</v>
      </c>
      <c r="AW131" s="30" t="n">
        <v>0</v>
      </c>
      <c r="AX131" s="30" t="n">
        <v>0</v>
      </c>
      <c r="AY131" s="30" t="n">
        <v>0</v>
      </c>
      <c r="AZ131" s="30" t="n">
        <v>0</v>
      </c>
      <c r="BA131" s="30" t="n">
        <v>0</v>
      </c>
      <c r="BB131" s="30" t="n">
        <v>0</v>
      </c>
      <c r="BC131" s="30" t="n">
        <v>0</v>
      </c>
      <c r="BD131" s="30" t="n">
        <v>0</v>
      </c>
      <c r="BE131" s="30" t="n">
        <v>0</v>
      </c>
      <c r="BF131" s="30" t="n">
        <v>0</v>
      </c>
      <c r="BG131" s="30" t="n">
        <v>0</v>
      </c>
      <c r="BH131" s="30" t="n">
        <v>0</v>
      </c>
      <c r="BI131" s="30" t="n">
        <v>0</v>
      </c>
      <c r="BJ131" s="30" t="n">
        <v>0</v>
      </c>
      <c r="BK131" s="30" t="n">
        <v>0</v>
      </c>
      <c r="BL131" s="30" t="n">
        <v>0</v>
      </c>
      <c r="BM131" s="30" t="n">
        <v>0</v>
      </c>
      <c r="BN131" s="30" t="n">
        <v>0</v>
      </c>
      <c r="BO131" s="30" t="n">
        <v>0</v>
      </c>
      <c r="BP131" s="30" t="n">
        <v>0</v>
      </c>
      <c r="BQ131" s="30" t="n">
        <v>0</v>
      </c>
      <c r="BR131" s="30" t="n">
        <v>0</v>
      </c>
      <c r="BS131" s="30" t="n">
        <v>0</v>
      </c>
      <c r="BT131" s="30" t="n">
        <v>0</v>
      </c>
      <c r="BU131" s="30" t="n">
        <v>0</v>
      </c>
      <c r="BV131" s="30" t="n">
        <v>0</v>
      </c>
      <c r="BW131" s="30" t="n">
        <v>0</v>
      </c>
      <c r="BX131" s="30" t="n">
        <v>0</v>
      </c>
      <c r="BY131" s="30" t="n">
        <v>0</v>
      </c>
      <c r="BZ131" s="30" t="n">
        <v>0</v>
      </c>
      <c r="CA131" s="30" t="n">
        <v>0</v>
      </c>
      <c r="CB131" s="30" t="n">
        <v>0</v>
      </c>
      <c r="CC131" s="30" t="n">
        <v>0</v>
      </c>
      <c r="CD131" s="30" t="n">
        <v>0</v>
      </c>
      <c r="CE131" s="30" t="n">
        <v>0</v>
      </c>
      <c r="CF131" s="30" t="n">
        <v>0</v>
      </c>
      <c r="CG131" s="30" t="n">
        <v>0</v>
      </c>
      <c r="CH131" s="30" t="n">
        <v>0</v>
      </c>
      <c r="CI131" s="30" t="n">
        <v>0</v>
      </c>
      <c r="CJ131" s="30" t="n">
        <v>0</v>
      </c>
      <c r="CK131" s="30" t="n">
        <v>0</v>
      </c>
      <c r="CL131" s="30" t="n">
        <v>0</v>
      </c>
      <c r="CM131" s="30" t="n">
        <v>0</v>
      </c>
      <c r="CN131" s="30" t="n">
        <v>0</v>
      </c>
      <c r="CO131" s="30" t="n">
        <v>0</v>
      </c>
      <c r="CP131" s="30" t="n">
        <v>0</v>
      </c>
      <c r="CQ131" s="30" t="n">
        <v>0</v>
      </c>
      <c r="CR131" s="30" t="n">
        <v>0</v>
      </c>
      <c r="CS131" s="30" t="n">
        <v>0</v>
      </c>
      <c r="CT131" s="30" t="n">
        <v>0</v>
      </c>
      <c r="CU131" s="30" t="n">
        <v>0</v>
      </c>
      <c r="CV131" s="30" t="n">
        <v>0</v>
      </c>
      <c r="CW131" s="30" t="n">
        <v>0</v>
      </c>
      <c r="CX131" s="30" t="n">
        <v>0</v>
      </c>
      <c r="CY131" s="30" t="n">
        <v>0</v>
      </c>
      <c r="CZ131" s="30" t="n">
        <v>0</v>
      </c>
      <c r="DA131" s="30" t="n">
        <v>0</v>
      </c>
    </row>
    <row r="132">
      <c r="A132" t="inlineStr">
        <is>
          <t>TSP-WACZ</t>
        </is>
      </c>
      <c r="B132" s="30" t="n">
        <v>0</v>
      </c>
      <c r="C132" s="30" t="n">
        <v>0</v>
      </c>
      <c r="D132" s="30" t="n">
        <v>0</v>
      </c>
      <c r="E132" s="30" t="n">
        <v>0</v>
      </c>
      <c r="F132" s="30" t="n">
        <v>0</v>
      </c>
      <c r="G132" s="30" t="n">
        <v>0</v>
      </c>
      <c r="H132" s="30" t="n">
        <v>0</v>
      </c>
      <c r="I132" s="30" t="n">
        <v>0</v>
      </c>
      <c r="J132" s="30" t="n">
        <v>0</v>
      </c>
      <c r="K132" s="30" t="n">
        <v>0</v>
      </c>
      <c r="L132" s="30" t="n">
        <v>0</v>
      </c>
      <c r="M132" s="30" t="n">
        <v>0</v>
      </c>
      <c r="N132" s="30" t="n">
        <v>0</v>
      </c>
      <c r="O132" s="30" t="n">
        <v>0</v>
      </c>
      <c r="P132" s="30" t="n">
        <v>0</v>
      </c>
      <c r="Q132" s="30" t="n">
        <v>0</v>
      </c>
      <c r="R132" s="30" t="n">
        <v>0</v>
      </c>
      <c r="S132" s="30" t="n">
        <v>0</v>
      </c>
      <c r="T132" s="30" t="n">
        <v>0</v>
      </c>
      <c r="U132" s="30" t="n">
        <v>0</v>
      </c>
      <c r="V132" s="30" t="n">
        <v>0</v>
      </c>
      <c r="W132" s="30" t="n">
        <v>0</v>
      </c>
      <c r="X132" s="30" t="n">
        <v>0</v>
      </c>
      <c r="Y132" s="30" t="n">
        <v>0</v>
      </c>
      <c r="Z132" s="30" t="n">
        <v>0</v>
      </c>
      <c r="AA132" s="30" t="n">
        <v>0</v>
      </c>
      <c r="AB132" s="30" t="n">
        <v>0</v>
      </c>
      <c r="AC132" s="30" t="n">
        <v>0</v>
      </c>
      <c r="AD132" s="30" t="n">
        <v>0</v>
      </c>
      <c r="AE132" s="30" t="n">
        <v>0</v>
      </c>
      <c r="AF132" s="30" t="n">
        <v>0</v>
      </c>
      <c r="AG132" s="30" t="n">
        <v>0</v>
      </c>
      <c r="AH132" s="30" t="n">
        <v>0</v>
      </c>
      <c r="AI132" s="30" t="n">
        <v>0</v>
      </c>
      <c r="AJ132" s="30" t="n">
        <v>0</v>
      </c>
      <c r="AK132" s="30" t="n">
        <v>0</v>
      </c>
      <c r="AL132" s="30" t="n">
        <v>0</v>
      </c>
      <c r="AM132" s="30" t="n">
        <v>0</v>
      </c>
      <c r="AN132" s="30" t="n">
        <v>0</v>
      </c>
      <c r="AO132" s="30" t="n">
        <v>0</v>
      </c>
      <c r="AP132" s="30" t="n">
        <v>0</v>
      </c>
      <c r="AQ132" s="30" t="n">
        <v>0</v>
      </c>
      <c r="AR132" s="30" t="n">
        <v>0</v>
      </c>
      <c r="AS132" s="30" t="n">
        <v>0</v>
      </c>
      <c r="AT132" s="30" t="n">
        <v>0</v>
      </c>
      <c r="AU132" s="30" t="n">
        <v>0</v>
      </c>
      <c r="AV132" s="30" t="n">
        <v>0</v>
      </c>
      <c r="AW132" s="30" t="n">
        <v>0</v>
      </c>
      <c r="AX132" s="30" t="n">
        <v>0</v>
      </c>
      <c r="AY132" s="30" t="n">
        <v>0</v>
      </c>
      <c r="AZ132" s="30" t="n">
        <v>0</v>
      </c>
      <c r="BA132" s="30" t="n">
        <v>0</v>
      </c>
      <c r="BB132" s="30" t="n">
        <v>0</v>
      </c>
      <c r="BC132" s="30" t="n">
        <v>0</v>
      </c>
      <c r="BD132" s="30" t="n">
        <v>0</v>
      </c>
      <c r="BE132" s="30" t="n">
        <v>0</v>
      </c>
      <c r="BF132" s="30" t="n">
        <v>0</v>
      </c>
      <c r="BG132" s="30" t="n">
        <v>0</v>
      </c>
      <c r="BH132" s="30" t="n">
        <v>0</v>
      </c>
      <c r="BI132" s="30" t="n">
        <v>0</v>
      </c>
      <c r="BJ132" s="30" t="n">
        <v>0</v>
      </c>
      <c r="BK132" s="30" t="n">
        <v>0</v>
      </c>
      <c r="BL132" s="30" t="n">
        <v>0</v>
      </c>
      <c r="BM132" s="30" t="n">
        <v>0</v>
      </c>
      <c r="BN132" s="30" t="n">
        <v>0</v>
      </c>
      <c r="BO132" s="30" t="n">
        <v>0</v>
      </c>
      <c r="BP132" s="30" t="n">
        <v>0</v>
      </c>
      <c r="BQ132" s="30" t="n">
        <v>0</v>
      </c>
      <c r="BR132" s="30" t="n">
        <v>0</v>
      </c>
      <c r="BS132" s="30" t="n">
        <v>0</v>
      </c>
      <c r="BT132" s="30" t="n">
        <v>0</v>
      </c>
      <c r="BU132" s="30" t="n">
        <v>0</v>
      </c>
      <c r="BV132" s="30" t="n">
        <v>0</v>
      </c>
      <c r="BW132" s="30" t="n">
        <v>0</v>
      </c>
      <c r="BX132" s="30" t="n">
        <v>0</v>
      </c>
      <c r="BY132" s="30" t="n">
        <v>0</v>
      </c>
      <c r="BZ132" s="30" t="n">
        <v>0</v>
      </c>
      <c r="CA132" s="30" t="n">
        <v>0</v>
      </c>
      <c r="CB132" s="30" t="n">
        <v>0</v>
      </c>
      <c r="CC132" s="30" t="n">
        <v>0</v>
      </c>
      <c r="CD132" s="30" t="n">
        <v>0</v>
      </c>
      <c r="CE132" s="30" t="n">
        <v>0</v>
      </c>
      <c r="CF132" s="30" t="n">
        <v>0</v>
      </c>
      <c r="CG132" s="30" t="n">
        <v>0</v>
      </c>
      <c r="CH132" s="30" t="n">
        <v>0</v>
      </c>
      <c r="CI132" s="30" t="n">
        <v>0</v>
      </c>
      <c r="CJ132" s="30" t="n">
        <v>0</v>
      </c>
      <c r="CK132" s="30" t="n">
        <v>0</v>
      </c>
      <c r="CL132" s="30" t="n">
        <v>0</v>
      </c>
      <c r="CM132" s="30" t="n">
        <v>0</v>
      </c>
      <c r="CN132" s="30" t="n">
        <v>0</v>
      </c>
      <c r="CO132" s="30" t="n">
        <v>0</v>
      </c>
      <c r="CP132" s="30" t="n">
        <v>0</v>
      </c>
      <c r="CQ132" s="30" t="n">
        <v>0</v>
      </c>
      <c r="CR132" s="30" t="n">
        <v>0</v>
      </c>
      <c r="CS132" s="30" t="n">
        <v>0</v>
      </c>
      <c r="CT132" s="30" t="n">
        <v>0</v>
      </c>
      <c r="CU132" s="30" t="n">
        <v>0</v>
      </c>
      <c r="CV132" s="30" t="n">
        <v>0</v>
      </c>
      <c r="CW132" s="30" t="n">
        <v>0</v>
      </c>
      <c r="CX132" s="30" t="n">
        <v>0</v>
      </c>
      <c r="CY132" s="30" t="n">
        <v>0</v>
      </c>
      <c r="CZ132" s="30" t="n">
        <v>0</v>
      </c>
      <c r="DA132" s="30" t="n">
        <v>0</v>
      </c>
    </row>
    <row r="133">
      <c r="A133" t="inlineStr">
        <is>
          <t>VSP-1000</t>
        </is>
      </c>
      <c r="B133" s="30" t="n">
        <v>0</v>
      </c>
      <c r="C133" s="30" t="n">
        <v>0</v>
      </c>
      <c r="D133" s="30" t="n">
        <v>0</v>
      </c>
      <c r="E133" s="30" t="n">
        <v>0</v>
      </c>
      <c r="F133" s="30" t="n">
        <v>0</v>
      </c>
      <c r="G133" s="30" t="n">
        <v>0</v>
      </c>
      <c r="H133" s="30" t="n">
        <v>0</v>
      </c>
      <c r="I133" s="30" t="n">
        <v>0</v>
      </c>
      <c r="J133" s="30" t="n">
        <v>0</v>
      </c>
      <c r="K133" s="30" t="n">
        <v>0</v>
      </c>
      <c r="L133" s="30" t="n">
        <v>0</v>
      </c>
      <c r="M133" s="30" t="n">
        <v>0</v>
      </c>
      <c r="N133" s="30" t="n">
        <v>0</v>
      </c>
      <c r="O133" s="30" t="n">
        <v>0</v>
      </c>
      <c r="P133" s="30" t="n">
        <v>0</v>
      </c>
      <c r="Q133" s="30" t="n">
        <v>0</v>
      </c>
      <c r="R133" s="30" t="n">
        <v>0</v>
      </c>
      <c r="S133" s="30" t="n">
        <v>0</v>
      </c>
      <c r="T133" s="30" t="n">
        <v>0</v>
      </c>
      <c r="U133" s="30" t="n">
        <v>0</v>
      </c>
      <c r="V133" s="30" t="n">
        <v>0</v>
      </c>
      <c r="W133" s="30" t="n">
        <v>0</v>
      </c>
      <c r="X133" s="30" t="n">
        <v>0</v>
      </c>
      <c r="Y133" s="30" t="n">
        <v>0</v>
      </c>
      <c r="Z133" s="30" t="n">
        <v>0</v>
      </c>
      <c r="AA133" s="30" t="n">
        <v>0</v>
      </c>
      <c r="AB133" s="30" t="n">
        <v>0</v>
      </c>
      <c r="AC133" s="30" t="n">
        <v>0</v>
      </c>
      <c r="AD133" s="30" t="n">
        <v>0</v>
      </c>
      <c r="AE133" s="30" t="n">
        <v>0</v>
      </c>
      <c r="AF133" s="30" t="n">
        <v>0</v>
      </c>
      <c r="AG133" s="30" t="n">
        <v>0</v>
      </c>
      <c r="AH133" s="30" t="n">
        <v>0</v>
      </c>
      <c r="AI133" s="30" t="n">
        <v>0</v>
      </c>
      <c r="AJ133" s="30" t="n">
        <v>0</v>
      </c>
      <c r="AK133" s="30" t="n">
        <v>0</v>
      </c>
      <c r="AL133" s="30" t="n">
        <v>0</v>
      </c>
      <c r="AM133" s="30" t="n">
        <v>0</v>
      </c>
      <c r="AN133" s="30" t="n">
        <v>0</v>
      </c>
      <c r="AO133" s="30" t="n">
        <v>0</v>
      </c>
      <c r="AP133" s="30" t="n">
        <v>0</v>
      </c>
      <c r="AQ133" s="30" t="n">
        <v>0</v>
      </c>
      <c r="AR133" s="30" t="n">
        <v>0</v>
      </c>
      <c r="AS133" s="30" t="n">
        <v>0</v>
      </c>
      <c r="AT133" s="30" t="n">
        <v>0</v>
      </c>
      <c r="AU133" s="30" t="n">
        <v>0</v>
      </c>
      <c r="AV133" s="30" t="n">
        <v>0</v>
      </c>
      <c r="AW133" s="30" t="n">
        <v>0</v>
      </c>
      <c r="AX133" s="30" t="n">
        <v>0</v>
      </c>
      <c r="AY133" s="30" t="n">
        <v>0</v>
      </c>
      <c r="AZ133" s="30" t="n">
        <v>0</v>
      </c>
      <c r="BA133" s="30" t="n">
        <v>0</v>
      </c>
      <c r="BB133" s="30" t="n">
        <v>0</v>
      </c>
      <c r="BC133" s="30" t="n">
        <v>0</v>
      </c>
      <c r="BD133" s="30" t="n">
        <v>0</v>
      </c>
      <c r="BE133" s="30" t="n">
        <v>0</v>
      </c>
      <c r="BF133" s="30" t="n">
        <v>0</v>
      </c>
      <c r="BG133" s="30" t="n">
        <v>0</v>
      </c>
      <c r="BH133" s="30" t="n">
        <v>0</v>
      </c>
      <c r="BI133" s="30" t="n">
        <v>0</v>
      </c>
      <c r="BJ133" s="30" t="n">
        <v>0</v>
      </c>
      <c r="BK133" s="30" t="n">
        <v>0</v>
      </c>
      <c r="BL133" s="30" t="n">
        <v>0</v>
      </c>
      <c r="BM133" s="30" t="n">
        <v>0</v>
      </c>
      <c r="BN133" s="30" t="n">
        <v>0</v>
      </c>
      <c r="BO133" s="30" t="n">
        <v>0</v>
      </c>
      <c r="BP133" s="30" t="n">
        <v>0</v>
      </c>
      <c r="BQ133" s="30" t="n">
        <v>0</v>
      </c>
      <c r="BR133" s="30" t="n">
        <v>0</v>
      </c>
      <c r="BS133" s="30" t="n">
        <v>0</v>
      </c>
      <c r="BT133" s="30" t="n">
        <v>0</v>
      </c>
      <c r="BU133" s="30" t="n">
        <v>0</v>
      </c>
      <c r="BV133" s="30" t="n">
        <v>0</v>
      </c>
      <c r="BW133" s="30" t="n">
        <v>0</v>
      </c>
      <c r="BX133" s="30" t="n">
        <v>0</v>
      </c>
      <c r="BY133" s="30" t="n">
        <v>0</v>
      </c>
      <c r="BZ133" s="30" t="n">
        <v>0</v>
      </c>
      <c r="CA133" s="30" t="n">
        <v>0</v>
      </c>
      <c r="CB133" s="30" t="n">
        <v>0</v>
      </c>
      <c r="CC133" s="30" t="n">
        <v>0</v>
      </c>
      <c r="CD133" s="30" t="n">
        <v>0</v>
      </c>
      <c r="CE133" s="30" t="n">
        <v>0</v>
      </c>
      <c r="CF133" s="30" t="n">
        <v>0</v>
      </c>
      <c r="CG133" s="30" t="n">
        <v>0</v>
      </c>
      <c r="CH133" s="30" t="n">
        <v>0</v>
      </c>
      <c r="CI133" s="30" t="n">
        <v>0</v>
      </c>
      <c r="CJ133" s="30" t="n">
        <v>0</v>
      </c>
      <c r="CK133" s="30" t="n">
        <v>0</v>
      </c>
      <c r="CL133" s="30" t="n">
        <v>0</v>
      </c>
      <c r="CM133" s="30" t="n">
        <v>0</v>
      </c>
      <c r="CN133" s="30" t="n">
        <v>0</v>
      </c>
      <c r="CO133" s="30" t="n">
        <v>0</v>
      </c>
      <c r="CP133" s="30" t="n">
        <v>0</v>
      </c>
      <c r="CQ133" s="30" t="n">
        <v>0</v>
      </c>
      <c r="CR133" s="30" t="n">
        <v>0</v>
      </c>
      <c r="CS133" s="30" t="n">
        <v>0</v>
      </c>
      <c r="CT133" s="30" t="n">
        <v>0</v>
      </c>
      <c r="CU133" s="30" t="n">
        <v>0</v>
      </c>
      <c r="CV133" s="30" t="n">
        <v>0</v>
      </c>
      <c r="CW133" s="30" t="n">
        <v>0</v>
      </c>
      <c r="CX133" s="30" t="n">
        <v>0</v>
      </c>
      <c r="CY133" s="30" t="n">
        <v>0</v>
      </c>
      <c r="CZ133" s="30" t="n">
        <v>0</v>
      </c>
      <c r="DA133" s="30" t="n">
        <v>0</v>
      </c>
    </row>
    <row r="134">
      <c r="A134" t="inlineStr">
        <is>
          <t>VSP-567</t>
        </is>
      </c>
      <c r="B134" s="30" t="n">
        <v>0</v>
      </c>
      <c r="C134" s="30" t="n">
        <v>0</v>
      </c>
      <c r="D134" s="30" t="n">
        <v>0</v>
      </c>
      <c r="E134" s="30" t="n">
        <v>0</v>
      </c>
      <c r="F134" s="30" t="n">
        <v>0</v>
      </c>
      <c r="G134" s="30" t="n">
        <v>0</v>
      </c>
      <c r="H134" s="30" t="n">
        <v>0</v>
      </c>
      <c r="I134" s="30" t="n">
        <v>0</v>
      </c>
      <c r="J134" s="30" t="n">
        <v>0</v>
      </c>
      <c r="K134" s="30" t="n">
        <v>0</v>
      </c>
      <c r="L134" s="30" t="n">
        <v>0</v>
      </c>
      <c r="M134" s="30" t="n">
        <v>0</v>
      </c>
      <c r="N134" s="30" t="n">
        <v>0</v>
      </c>
      <c r="O134" s="30" t="n">
        <v>0</v>
      </c>
      <c r="P134" s="30" t="n">
        <v>0</v>
      </c>
      <c r="Q134" s="30" t="n">
        <v>0</v>
      </c>
      <c r="R134" s="30" t="n">
        <v>0</v>
      </c>
      <c r="S134" s="30" t="n">
        <v>0</v>
      </c>
      <c r="T134" s="30" t="n">
        <v>0</v>
      </c>
      <c r="U134" s="30" t="n">
        <v>0</v>
      </c>
      <c r="V134" s="30" t="n">
        <v>0</v>
      </c>
      <c r="W134" s="30" t="n">
        <v>0</v>
      </c>
      <c r="X134" s="30" t="n">
        <v>0</v>
      </c>
      <c r="Y134" s="30" t="n">
        <v>0</v>
      </c>
      <c r="Z134" s="30" t="n">
        <v>0</v>
      </c>
      <c r="AA134" s="30" t="n">
        <v>0</v>
      </c>
      <c r="AB134" s="30" t="n">
        <v>0</v>
      </c>
      <c r="AC134" s="30" t="n">
        <v>0</v>
      </c>
      <c r="AD134" s="30" t="n">
        <v>0</v>
      </c>
      <c r="AE134" s="30" t="n">
        <v>0</v>
      </c>
      <c r="AF134" s="30" t="n">
        <v>0</v>
      </c>
      <c r="AG134" s="30" t="n">
        <v>0</v>
      </c>
      <c r="AH134" s="30" t="n">
        <v>0</v>
      </c>
      <c r="AI134" s="30" t="n">
        <v>0</v>
      </c>
      <c r="AJ134" s="30" t="n">
        <v>0</v>
      </c>
      <c r="AK134" s="30" t="n">
        <v>0</v>
      </c>
      <c r="AL134" s="30" t="n">
        <v>0</v>
      </c>
      <c r="AM134" s="30" t="n">
        <v>0</v>
      </c>
      <c r="AN134" s="30" t="n">
        <v>0</v>
      </c>
      <c r="AO134" s="30" t="n">
        <v>0</v>
      </c>
      <c r="AP134" s="30" t="n">
        <v>0</v>
      </c>
      <c r="AQ134" s="30" t="n">
        <v>0</v>
      </c>
      <c r="AR134" s="30" t="n">
        <v>0</v>
      </c>
      <c r="AS134" s="30" t="n">
        <v>0</v>
      </c>
      <c r="AT134" s="30" t="n">
        <v>0</v>
      </c>
      <c r="AU134" s="30" t="n">
        <v>0</v>
      </c>
      <c r="AV134" s="30" t="n">
        <v>0</v>
      </c>
      <c r="AW134" s="30" t="n">
        <v>0</v>
      </c>
      <c r="AX134" s="30" t="n">
        <v>0</v>
      </c>
      <c r="AY134" s="30" t="n">
        <v>0</v>
      </c>
      <c r="AZ134" s="30" t="n">
        <v>0</v>
      </c>
      <c r="BA134" s="30" t="n">
        <v>0</v>
      </c>
      <c r="BB134" s="30" t="n">
        <v>0</v>
      </c>
      <c r="BC134" s="30" t="n">
        <v>0</v>
      </c>
      <c r="BD134" s="30" t="n">
        <v>0</v>
      </c>
      <c r="BE134" s="30" t="n">
        <v>0</v>
      </c>
      <c r="BF134" s="30" t="n">
        <v>0</v>
      </c>
      <c r="BG134" s="30" t="n">
        <v>0</v>
      </c>
      <c r="BH134" s="30" t="n">
        <v>0</v>
      </c>
      <c r="BI134" s="30" t="n">
        <v>0</v>
      </c>
      <c r="BJ134" s="30" t="n">
        <v>0</v>
      </c>
      <c r="BK134" s="30" t="n">
        <v>0</v>
      </c>
      <c r="BL134" s="30" t="n">
        <v>0</v>
      </c>
      <c r="BM134" s="30" t="n">
        <v>0</v>
      </c>
      <c r="BN134" s="30" t="n">
        <v>0</v>
      </c>
      <c r="BO134" s="30" t="n">
        <v>0</v>
      </c>
      <c r="BP134" s="30" t="n">
        <v>0</v>
      </c>
      <c r="BQ134" s="30" t="n">
        <v>0</v>
      </c>
      <c r="BR134" s="30" t="n">
        <v>0</v>
      </c>
      <c r="BS134" s="30" t="n">
        <v>0</v>
      </c>
      <c r="BT134" s="30" t="n">
        <v>0</v>
      </c>
      <c r="BU134" s="30" t="n">
        <v>0</v>
      </c>
      <c r="BV134" s="30" t="n">
        <v>0</v>
      </c>
      <c r="BW134" s="30" t="n">
        <v>0</v>
      </c>
      <c r="BX134" s="30" t="n">
        <v>0</v>
      </c>
      <c r="BY134" s="30" t="n">
        <v>0</v>
      </c>
      <c r="BZ134" s="30" t="n">
        <v>0</v>
      </c>
      <c r="CA134" s="30" t="n">
        <v>0</v>
      </c>
      <c r="CB134" s="30" t="n">
        <v>0</v>
      </c>
      <c r="CC134" s="30" t="n">
        <v>0</v>
      </c>
      <c r="CD134" s="30" t="n">
        <v>0</v>
      </c>
      <c r="CE134" s="30" t="n">
        <v>0</v>
      </c>
      <c r="CF134" s="30" t="n">
        <v>0</v>
      </c>
      <c r="CG134" s="30" t="n">
        <v>0</v>
      </c>
      <c r="CH134" s="30" t="n">
        <v>0</v>
      </c>
      <c r="CI134" s="30" t="n">
        <v>0</v>
      </c>
      <c r="CJ134" s="30" t="n">
        <v>0</v>
      </c>
      <c r="CK134" s="30" t="n">
        <v>0</v>
      </c>
      <c r="CL134" s="30" t="n">
        <v>0</v>
      </c>
      <c r="CM134" s="30" t="n">
        <v>0</v>
      </c>
      <c r="CN134" s="30" t="n">
        <v>0</v>
      </c>
      <c r="CO134" s="30" t="n">
        <v>0</v>
      </c>
      <c r="CP134" s="30" t="n">
        <v>0</v>
      </c>
      <c r="CQ134" s="30" t="n">
        <v>0</v>
      </c>
      <c r="CR134" s="30" t="n">
        <v>0</v>
      </c>
      <c r="CS134" s="30" t="n">
        <v>0</v>
      </c>
      <c r="CT134" s="30" t="n">
        <v>0</v>
      </c>
      <c r="CU134" s="30" t="n">
        <v>0</v>
      </c>
      <c r="CV134" s="30" t="n">
        <v>0</v>
      </c>
      <c r="CW134" s="30" t="n">
        <v>0</v>
      </c>
      <c r="CX134" s="30" t="n">
        <v>0</v>
      </c>
      <c r="CY134" s="30" t="n">
        <v>0</v>
      </c>
      <c r="CZ134" s="30" t="n">
        <v>0</v>
      </c>
      <c r="DA134" s="30" t="n">
        <v>0</v>
      </c>
    </row>
    <row r="135">
      <c r="A135" t="inlineStr">
        <is>
          <t>VSP-603</t>
        </is>
      </c>
      <c r="B135" s="30" t="n">
        <v>0</v>
      </c>
      <c r="C135" s="30" t="n">
        <v>0</v>
      </c>
      <c r="D135" s="30" t="n">
        <v>0</v>
      </c>
      <c r="E135" s="30" t="n">
        <v>0</v>
      </c>
      <c r="F135" s="30" t="n">
        <v>0</v>
      </c>
      <c r="G135" s="30" t="n">
        <v>0</v>
      </c>
      <c r="H135" s="30" t="n">
        <v>0</v>
      </c>
      <c r="I135" s="30" t="n">
        <v>0</v>
      </c>
      <c r="J135" s="30" t="n">
        <v>0</v>
      </c>
      <c r="K135" s="30" t="n">
        <v>0</v>
      </c>
      <c r="L135" s="30" t="n">
        <v>0</v>
      </c>
      <c r="M135" s="30" t="n">
        <v>0</v>
      </c>
      <c r="N135" s="30" t="n">
        <v>0</v>
      </c>
      <c r="O135" s="30" t="n">
        <v>0</v>
      </c>
      <c r="P135" s="30" t="n">
        <v>0</v>
      </c>
      <c r="Q135" s="30" t="n">
        <v>0</v>
      </c>
      <c r="R135" s="30" t="n">
        <v>0</v>
      </c>
      <c r="S135" s="30" t="n">
        <v>0</v>
      </c>
      <c r="T135" s="30" t="n">
        <v>0</v>
      </c>
      <c r="U135" s="30" t="n">
        <v>0</v>
      </c>
      <c r="V135" s="30" t="n">
        <v>0</v>
      </c>
      <c r="W135" s="30" t="n">
        <v>0</v>
      </c>
      <c r="X135" s="30" t="n">
        <v>0</v>
      </c>
      <c r="Y135" s="30" t="n">
        <v>0</v>
      </c>
      <c r="Z135" s="30" t="n">
        <v>0</v>
      </c>
      <c r="AA135" s="30" t="n">
        <v>0</v>
      </c>
      <c r="AB135" s="30" t="n">
        <v>0</v>
      </c>
      <c r="AC135" s="30" t="n">
        <v>0</v>
      </c>
      <c r="AD135" s="30" t="n">
        <v>0</v>
      </c>
      <c r="AE135" s="30" t="n">
        <v>0</v>
      </c>
      <c r="AF135" s="30" t="n">
        <v>0</v>
      </c>
      <c r="AG135" s="30" t="n">
        <v>0</v>
      </c>
      <c r="AH135" s="30" t="n">
        <v>0</v>
      </c>
      <c r="AI135" s="30" t="n">
        <v>0</v>
      </c>
      <c r="AJ135" s="30" t="n">
        <v>0</v>
      </c>
      <c r="AK135" s="30" t="n">
        <v>0</v>
      </c>
      <c r="AL135" s="30" t="n">
        <v>0</v>
      </c>
      <c r="AM135" s="30" t="n">
        <v>0</v>
      </c>
      <c r="AN135" s="30" t="n">
        <v>0</v>
      </c>
      <c r="AO135" s="30" t="n">
        <v>0</v>
      </c>
      <c r="AP135" s="30" t="n">
        <v>0</v>
      </c>
      <c r="AQ135" s="30" t="n">
        <v>0</v>
      </c>
      <c r="AR135" s="30" t="n">
        <v>0</v>
      </c>
      <c r="AS135" s="30" t="n">
        <v>0</v>
      </c>
      <c r="AT135" s="30" t="n">
        <v>0</v>
      </c>
      <c r="AU135" s="30" t="n">
        <v>0</v>
      </c>
      <c r="AV135" s="30" t="n">
        <v>0</v>
      </c>
      <c r="AW135" s="30" t="n">
        <v>0</v>
      </c>
      <c r="AX135" s="30" t="n">
        <v>0</v>
      </c>
      <c r="AY135" s="30" t="n">
        <v>0</v>
      </c>
      <c r="AZ135" s="30" t="n">
        <v>0</v>
      </c>
      <c r="BA135" s="30" t="n">
        <v>0</v>
      </c>
      <c r="BB135" s="30" t="n">
        <v>0</v>
      </c>
      <c r="BC135" s="30" t="n">
        <v>0</v>
      </c>
      <c r="BD135" s="30" t="n">
        <v>0</v>
      </c>
      <c r="BE135" s="30" t="n">
        <v>0</v>
      </c>
      <c r="BF135" s="30" t="n">
        <v>0</v>
      </c>
      <c r="BG135" s="30" t="n">
        <v>0</v>
      </c>
      <c r="BH135" s="30" t="n">
        <v>0</v>
      </c>
      <c r="BI135" s="30" t="n">
        <v>0</v>
      </c>
      <c r="BJ135" s="30" t="n">
        <v>0</v>
      </c>
      <c r="BK135" s="30" t="n">
        <v>0</v>
      </c>
      <c r="BL135" s="30" t="n">
        <v>0</v>
      </c>
      <c r="BM135" s="30" t="n">
        <v>0</v>
      </c>
      <c r="BN135" s="30" t="n">
        <v>0</v>
      </c>
      <c r="BO135" s="30" t="n">
        <v>0</v>
      </c>
      <c r="BP135" s="30" t="n">
        <v>0</v>
      </c>
      <c r="BQ135" s="30" t="n">
        <v>0</v>
      </c>
      <c r="BR135" s="30" t="n">
        <v>0</v>
      </c>
      <c r="BS135" s="30" t="n">
        <v>0</v>
      </c>
      <c r="BT135" s="30" t="n">
        <v>0</v>
      </c>
      <c r="BU135" s="30" t="n">
        <v>0</v>
      </c>
      <c r="BV135" s="30" t="n">
        <v>0</v>
      </c>
      <c r="BW135" s="30" t="n">
        <v>0</v>
      </c>
      <c r="BX135" s="30" t="n">
        <v>0</v>
      </c>
      <c r="BY135" s="30" t="n">
        <v>0</v>
      </c>
      <c r="BZ135" s="30" t="n">
        <v>0</v>
      </c>
      <c r="CA135" s="30" t="n">
        <v>0</v>
      </c>
      <c r="CB135" s="30" t="n">
        <v>0</v>
      </c>
      <c r="CC135" s="30" t="n">
        <v>0</v>
      </c>
      <c r="CD135" s="30" t="n">
        <v>0</v>
      </c>
      <c r="CE135" s="30" t="n">
        <v>0</v>
      </c>
      <c r="CF135" s="30" t="n">
        <v>0</v>
      </c>
      <c r="CG135" s="30" t="n">
        <v>0</v>
      </c>
      <c r="CH135" s="30" t="n">
        <v>0</v>
      </c>
      <c r="CI135" s="30" t="n">
        <v>0</v>
      </c>
      <c r="CJ135" s="30" t="n">
        <v>0</v>
      </c>
      <c r="CK135" s="30" t="n">
        <v>0</v>
      </c>
      <c r="CL135" s="30" t="n">
        <v>0</v>
      </c>
      <c r="CM135" s="30" t="n">
        <v>0</v>
      </c>
      <c r="CN135" s="30" t="n">
        <v>0</v>
      </c>
      <c r="CO135" s="30" t="n">
        <v>0</v>
      </c>
      <c r="CP135" s="30" t="n">
        <v>0</v>
      </c>
      <c r="CQ135" s="30" t="n">
        <v>0</v>
      </c>
      <c r="CR135" s="30" t="n">
        <v>0</v>
      </c>
      <c r="CS135" s="30" t="n">
        <v>0</v>
      </c>
      <c r="CT135" s="30" t="n">
        <v>0</v>
      </c>
      <c r="CU135" s="30" t="n">
        <v>0</v>
      </c>
      <c r="CV135" s="30" t="n">
        <v>0</v>
      </c>
      <c r="CW135" s="30" t="n">
        <v>0</v>
      </c>
      <c r="CX135" s="30" t="n">
        <v>0</v>
      </c>
      <c r="CY135" s="30" t="n">
        <v>0</v>
      </c>
      <c r="CZ135" s="30" t="n">
        <v>0</v>
      </c>
      <c r="DA135" s="30" t="n">
        <v>0</v>
      </c>
    </row>
    <row r="136">
      <c r="A136" t="inlineStr">
        <is>
          <t>VSP-604</t>
        </is>
      </c>
      <c r="B136" s="30" t="n">
        <v>0</v>
      </c>
      <c r="C136" s="30" t="n">
        <v>0</v>
      </c>
      <c r="D136" s="30" t="n">
        <v>0</v>
      </c>
      <c r="E136" s="30" t="n">
        <v>0</v>
      </c>
      <c r="F136" s="30" t="n">
        <v>0</v>
      </c>
      <c r="G136" s="30" t="n">
        <v>0</v>
      </c>
      <c r="H136" s="30" t="n">
        <v>0</v>
      </c>
      <c r="I136" s="30" t="n">
        <v>0</v>
      </c>
      <c r="J136" s="30" t="n">
        <v>0</v>
      </c>
      <c r="K136" s="30" t="n">
        <v>0</v>
      </c>
      <c r="L136" s="30" t="n">
        <v>0</v>
      </c>
      <c r="M136" s="30" t="n">
        <v>0</v>
      </c>
      <c r="N136" s="30" t="n">
        <v>0</v>
      </c>
      <c r="O136" s="30" t="n">
        <v>0</v>
      </c>
      <c r="P136" s="30" t="n">
        <v>0</v>
      </c>
      <c r="Q136" s="30" t="n">
        <v>0</v>
      </c>
      <c r="R136" s="30" t="n">
        <v>0</v>
      </c>
      <c r="S136" s="30" t="n">
        <v>0</v>
      </c>
      <c r="T136" s="30" t="n">
        <v>0</v>
      </c>
      <c r="U136" s="30" t="n">
        <v>0</v>
      </c>
      <c r="V136" s="30" t="n">
        <v>0</v>
      </c>
      <c r="W136" s="30" t="n">
        <v>0</v>
      </c>
      <c r="X136" s="30" t="n">
        <v>0</v>
      </c>
      <c r="Y136" s="30" t="n">
        <v>0</v>
      </c>
      <c r="Z136" s="30" t="n">
        <v>0</v>
      </c>
      <c r="AA136" s="30" t="n">
        <v>0</v>
      </c>
      <c r="AB136" s="30" t="n">
        <v>0</v>
      </c>
      <c r="AC136" s="30" t="n">
        <v>0</v>
      </c>
      <c r="AD136" s="30" t="n">
        <v>0</v>
      </c>
      <c r="AE136" s="30" t="n">
        <v>0</v>
      </c>
      <c r="AF136" s="30" t="n">
        <v>0</v>
      </c>
      <c r="AG136" s="30" t="n">
        <v>0</v>
      </c>
      <c r="AH136" s="30" t="n">
        <v>0</v>
      </c>
      <c r="AI136" s="30" t="n">
        <v>0</v>
      </c>
      <c r="AJ136" s="30" t="n">
        <v>0</v>
      </c>
      <c r="AK136" s="30" t="n">
        <v>0</v>
      </c>
      <c r="AL136" s="30" t="n">
        <v>0</v>
      </c>
      <c r="AM136" s="30" t="n">
        <v>0</v>
      </c>
      <c r="AN136" s="30" t="n">
        <v>0</v>
      </c>
      <c r="AO136" s="30" t="n">
        <v>0</v>
      </c>
      <c r="AP136" s="30" t="n">
        <v>0</v>
      </c>
      <c r="AQ136" s="30" t="n">
        <v>0</v>
      </c>
      <c r="AR136" s="30" t="n">
        <v>0</v>
      </c>
      <c r="AS136" s="30" t="n">
        <v>0</v>
      </c>
      <c r="AT136" s="30" t="n">
        <v>0</v>
      </c>
      <c r="AU136" s="30" t="n">
        <v>0</v>
      </c>
      <c r="AV136" s="30" t="n">
        <v>0</v>
      </c>
      <c r="AW136" s="30" t="n">
        <v>0</v>
      </c>
      <c r="AX136" s="30" t="n">
        <v>0</v>
      </c>
      <c r="AY136" s="30" t="n">
        <v>0</v>
      </c>
      <c r="AZ136" s="30" t="n">
        <v>0</v>
      </c>
      <c r="BA136" s="30" t="n">
        <v>0</v>
      </c>
      <c r="BB136" s="30" t="n">
        <v>0</v>
      </c>
      <c r="BC136" s="30" t="n">
        <v>0</v>
      </c>
      <c r="BD136" s="30" t="n">
        <v>0</v>
      </c>
      <c r="BE136" s="30" t="n">
        <v>0</v>
      </c>
      <c r="BF136" s="30" t="n">
        <v>0</v>
      </c>
      <c r="BG136" s="30" t="n">
        <v>0</v>
      </c>
      <c r="BH136" s="30" t="n">
        <v>0</v>
      </c>
      <c r="BI136" s="30" t="n">
        <v>0</v>
      </c>
      <c r="BJ136" s="30" t="n">
        <v>0</v>
      </c>
      <c r="BK136" s="30" t="n">
        <v>0</v>
      </c>
      <c r="BL136" s="30" t="n">
        <v>0</v>
      </c>
      <c r="BM136" s="30" t="n">
        <v>0</v>
      </c>
      <c r="BN136" s="30" t="n">
        <v>0</v>
      </c>
      <c r="BO136" s="30" t="n">
        <v>0</v>
      </c>
      <c r="BP136" s="30" t="n">
        <v>0</v>
      </c>
      <c r="BQ136" s="30" t="n">
        <v>0</v>
      </c>
      <c r="BR136" s="30" t="n">
        <v>0</v>
      </c>
      <c r="BS136" s="30" t="n">
        <v>0</v>
      </c>
      <c r="BT136" s="30" t="n">
        <v>0</v>
      </c>
      <c r="BU136" s="30" t="n">
        <v>0</v>
      </c>
      <c r="BV136" s="30" t="n">
        <v>0</v>
      </c>
      <c r="BW136" s="30" t="n">
        <v>0</v>
      </c>
      <c r="BX136" s="30" t="n">
        <v>0</v>
      </c>
      <c r="BY136" s="30" t="n">
        <v>0</v>
      </c>
      <c r="BZ136" s="30" t="n">
        <v>0</v>
      </c>
      <c r="CA136" s="30" t="n">
        <v>0</v>
      </c>
      <c r="CB136" s="30" t="n">
        <v>0</v>
      </c>
      <c r="CC136" s="30" t="n">
        <v>0</v>
      </c>
      <c r="CD136" s="30" t="n">
        <v>0</v>
      </c>
      <c r="CE136" s="30" t="n">
        <v>0</v>
      </c>
      <c r="CF136" s="30" t="n">
        <v>0</v>
      </c>
      <c r="CG136" s="30" t="n">
        <v>0</v>
      </c>
      <c r="CH136" s="30" t="n">
        <v>0</v>
      </c>
      <c r="CI136" s="30" t="n">
        <v>0</v>
      </c>
      <c r="CJ136" s="30" t="n">
        <v>0</v>
      </c>
      <c r="CK136" s="30" t="n">
        <v>0</v>
      </c>
      <c r="CL136" s="30" t="n">
        <v>0</v>
      </c>
      <c r="CM136" s="30" t="n">
        <v>0</v>
      </c>
      <c r="CN136" s="30" t="n">
        <v>0</v>
      </c>
      <c r="CO136" s="30" t="n">
        <v>0</v>
      </c>
      <c r="CP136" s="30" t="n">
        <v>0</v>
      </c>
      <c r="CQ136" s="30" t="n">
        <v>0</v>
      </c>
      <c r="CR136" s="30" t="n">
        <v>0</v>
      </c>
      <c r="CS136" s="30" t="n">
        <v>0</v>
      </c>
      <c r="CT136" s="30" t="n">
        <v>0</v>
      </c>
      <c r="CU136" s="30" t="n">
        <v>0</v>
      </c>
      <c r="CV136" s="30" t="n">
        <v>0</v>
      </c>
      <c r="CW136" s="30" t="n">
        <v>0</v>
      </c>
      <c r="CX136" s="30" t="n">
        <v>0</v>
      </c>
      <c r="CY136" s="30" t="n">
        <v>0</v>
      </c>
      <c r="CZ136" s="30" t="n">
        <v>0</v>
      </c>
      <c r="DA136" s="30" t="n">
        <v>0</v>
      </c>
    </row>
    <row r="137">
      <c r="A137" t="inlineStr">
        <is>
          <t>VSP-605</t>
        </is>
      </c>
      <c r="B137" s="30" t="n">
        <v>0</v>
      </c>
      <c r="C137" s="30" t="n">
        <v>0</v>
      </c>
      <c r="D137" s="30" t="n">
        <v>0</v>
      </c>
      <c r="E137" s="30" t="n">
        <v>0</v>
      </c>
      <c r="F137" s="30" t="n">
        <v>0</v>
      </c>
      <c r="G137" s="30" t="n">
        <v>0</v>
      </c>
      <c r="H137" s="30" t="n">
        <v>0</v>
      </c>
      <c r="I137" s="30" t="n">
        <v>0</v>
      </c>
      <c r="J137" s="30" t="n">
        <v>0</v>
      </c>
      <c r="K137" s="30" t="n">
        <v>0</v>
      </c>
      <c r="L137" s="30" t="n">
        <v>0</v>
      </c>
      <c r="M137" s="30" t="n">
        <v>0</v>
      </c>
      <c r="N137" s="30" t="n">
        <v>0</v>
      </c>
      <c r="O137" s="30" t="n">
        <v>0</v>
      </c>
      <c r="P137" s="30" t="n">
        <v>0</v>
      </c>
      <c r="Q137" s="30" t="n">
        <v>0</v>
      </c>
      <c r="R137" s="30" t="n">
        <v>0</v>
      </c>
      <c r="S137" s="30" t="n">
        <v>0</v>
      </c>
      <c r="T137" s="30" t="n">
        <v>0</v>
      </c>
      <c r="U137" s="30" t="n">
        <v>0</v>
      </c>
      <c r="V137" s="30" t="n">
        <v>0</v>
      </c>
      <c r="W137" s="30" t="n">
        <v>0</v>
      </c>
      <c r="X137" s="30" t="n">
        <v>0</v>
      </c>
      <c r="Y137" s="30" t="n">
        <v>0</v>
      </c>
      <c r="Z137" s="30" t="n">
        <v>0</v>
      </c>
      <c r="AA137" s="30" t="n">
        <v>0</v>
      </c>
      <c r="AB137" s="30" t="n">
        <v>0</v>
      </c>
      <c r="AC137" s="30" t="n">
        <v>0</v>
      </c>
      <c r="AD137" s="30" t="n">
        <v>0</v>
      </c>
      <c r="AE137" s="30" t="n">
        <v>0</v>
      </c>
      <c r="AF137" s="30" t="n">
        <v>0</v>
      </c>
      <c r="AG137" s="30" t="n">
        <v>0</v>
      </c>
      <c r="AH137" s="30" t="n">
        <v>0</v>
      </c>
      <c r="AI137" s="30" t="n">
        <v>0</v>
      </c>
      <c r="AJ137" s="30" t="n">
        <v>0</v>
      </c>
      <c r="AK137" s="30" t="n">
        <v>0</v>
      </c>
      <c r="AL137" s="30" t="n">
        <v>0</v>
      </c>
      <c r="AM137" s="30" t="n">
        <v>0</v>
      </c>
      <c r="AN137" s="30" t="n">
        <v>0</v>
      </c>
      <c r="AO137" s="30" t="n">
        <v>0</v>
      </c>
      <c r="AP137" s="30" t="n">
        <v>0</v>
      </c>
      <c r="AQ137" s="30" t="n">
        <v>0</v>
      </c>
      <c r="AR137" s="30" t="n">
        <v>0</v>
      </c>
      <c r="AS137" s="30" t="n">
        <v>0</v>
      </c>
      <c r="AT137" s="30" t="n">
        <v>0</v>
      </c>
      <c r="AU137" s="30" t="n">
        <v>0</v>
      </c>
      <c r="AV137" s="30" t="n">
        <v>0</v>
      </c>
      <c r="AW137" s="30" t="n">
        <v>0</v>
      </c>
      <c r="AX137" s="30" t="n">
        <v>0</v>
      </c>
      <c r="AY137" s="30" t="n">
        <v>0</v>
      </c>
      <c r="AZ137" s="30" t="n">
        <v>0</v>
      </c>
      <c r="BA137" s="30" t="n">
        <v>0</v>
      </c>
      <c r="BB137" s="30" t="n">
        <v>0</v>
      </c>
      <c r="BC137" s="30" t="n">
        <v>0</v>
      </c>
      <c r="BD137" s="30" t="n">
        <v>0</v>
      </c>
      <c r="BE137" s="30" t="n">
        <v>0</v>
      </c>
      <c r="BF137" s="30" t="n">
        <v>0</v>
      </c>
      <c r="BG137" s="30" t="n">
        <v>0</v>
      </c>
      <c r="BH137" s="30" t="n">
        <v>0</v>
      </c>
      <c r="BI137" s="30" t="n">
        <v>0</v>
      </c>
      <c r="BJ137" s="30" t="n">
        <v>0</v>
      </c>
      <c r="BK137" s="30" t="n">
        <v>0</v>
      </c>
      <c r="BL137" s="30" t="n">
        <v>0</v>
      </c>
      <c r="BM137" s="30" t="n">
        <v>0</v>
      </c>
      <c r="BN137" s="30" t="n">
        <v>0</v>
      </c>
      <c r="BO137" s="30" t="n">
        <v>0</v>
      </c>
      <c r="BP137" s="30" t="n">
        <v>0</v>
      </c>
      <c r="BQ137" s="30" t="n">
        <v>0</v>
      </c>
      <c r="BR137" s="30" t="n">
        <v>0</v>
      </c>
      <c r="BS137" s="30" t="n">
        <v>0</v>
      </c>
      <c r="BT137" s="30" t="n">
        <v>0</v>
      </c>
      <c r="BU137" s="30" t="n">
        <v>0</v>
      </c>
      <c r="BV137" s="30" t="n">
        <v>0</v>
      </c>
      <c r="BW137" s="30" t="n">
        <v>0</v>
      </c>
      <c r="BX137" s="30" t="n">
        <v>0</v>
      </c>
      <c r="BY137" s="30" t="n">
        <v>0</v>
      </c>
      <c r="BZ137" s="30" t="n">
        <v>0</v>
      </c>
      <c r="CA137" s="30" t="n">
        <v>0</v>
      </c>
      <c r="CB137" s="30" t="n">
        <v>0</v>
      </c>
      <c r="CC137" s="30" t="n">
        <v>0</v>
      </c>
      <c r="CD137" s="30" t="n">
        <v>0</v>
      </c>
      <c r="CE137" s="30" t="n">
        <v>0</v>
      </c>
      <c r="CF137" s="30" t="n">
        <v>0</v>
      </c>
      <c r="CG137" s="30" t="n">
        <v>0</v>
      </c>
      <c r="CH137" s="30" t="n">
        <v>0</v>
      </c>
      <c r="CI137" s="30" t="n">
        <v>0</v>
      </c>
      <c r="CJ137" s="30" t="n">
        <v>0</v>
      </c>
      <c r="CK137" s="30" t="n">
        <v>0</v>
      </c>
      <c r="CL137" s="30" t="n">
        <v>0</v>
      </c>
      <c r="CM137" s="30" t="n">
        <v>0</v>
      </c>
      <c r="CN137" s="30" t="n">
        <v>0</v>
      </c>
      <c r="CO137" s="30" t="n">
        <v>0</v>
      </c>
      <c r="CP137" s="30" t="n">
        <v>0</v>
      </c>
      <c r="CQ137" s="30" t="n">
        <v>0</v>
      </c>
      <c r="CR137" s="30" t="n">
        <v>0</v>
      </c>
      <c r="CS137" s="30" t="n">
        <v>0</v>
      </c>
      <c r="CT137" s="30" t="n">
        <v>0</v>
      </c>
      <c r="CU137" s="30" t="n">
        <v>0</v>
      </c>
      <c r="CV137" s="30" t="n">
        <v>0</v>
      </c>
      <c r="CW137" s="30" t="n">
        <v>0</v>
      </c>
      <c r="CX137" s="30" t="n">
        <v>0</v>
      </c>
      <c r="CY137" s="30" t="n">
        <v>0</v>
      </c>
      <c r="CZ137" s="30" t="n">
        <v>0</v>
      </c>
      <c r="DA137" s="30" t="n">
        <v>0</v>
      </c>
    </row>
    <row r="138">
      <c r="A138" t="inlineStr">
        <is>
          <t>VSP-606</t>
        </is>
      </c>
      <c r="B138" s="30" t="n">
        <v>0</v>
      </c>
      <c r="C138" s="30" t="n">
        <v>0</v>
      </c>
      <c r="D138" s="30" t="n">
        <v>0</v>
      </c>
      <c r="E138" s="30" t="n">
        <v>0</v>
      </c>
      <c r="F138" s="30" t="n">
        <v>0</v>
      </c>
      <c r="G138" s="30" t="n">
        <v>0</v>
      </c>
      <c r="H138" s="30" t="n">
        <v>0</v>
      </c>
      <c r="I138" s="30" t="n">
        <v>0</v>
      </c>
      <c r="J138" s="30" t="n">
        <v>0</v>
      </c>
      <c r="K138" s="30" t="n">
        <v>0</v>
      </c>
      <c r="L138" s="30" t="n">
        <v>0</v>
      </c>
      <c r="M138" s="30" t="n">
        <v>0</v>
      </c>
      <c r="N138" s="30" t="n">
        <v>0</v>
      </c>
      <c r="O138" s="30" t="n">
        <v>0</v>
      </c>
      <c r="P138" s="30" t="n">
        <v>0</v>
      </c>
      <c r="Q138" s="30" t="n">
        <v>0</v>
      </c>
      <c r="R138" s="30" t="n">
        <v>0</v>
      </c>
      <c r="S138" s="30" t="n">
        <v>0</v>
      </c>
      <c r="T138" s="30" t="n">
        <v>0</v>
      </c>
      <c r="U138" s="30" t="n">
        <v>0</v>
      </c>
      <c r="V138" s="30" t="n">
        <v>0</v>
      </c>
      <c r="W138" s="30" t="n">
        <v>0</v>
      </c>
      <c r="X138" s="30" t="n">
        <v>0</v>
      </c>
      <c r="Y138" s="30" t="n">
        <v>0</v>
      </c>
      <c r="Z138" s="30" t="n">
        <v>0</v>
      </c>
      <c r="AA138" s="30" t="n">
        <v>0</v>
      </c>
      <c r="AB138" s="30" t="n">
        <v>0</v>
      </c>
      <c r="AC138" s="30" t="n">
        <v>0</v>
      </c>
      <c r="AD138" s="30" t="n">
        <v>0</v>
      </c>
      <c r="AE138" s="30" t="n">
        <v>0</v>
      </c>
      <c r="AF138" s="30" t="n">
        <v>0</v>
      </c>
      <c r="AG138" s="30" t="n">
        <v>0</v>
      </c>
      <c r="AH138" s="30" t="n">
        <v>0</v>
      </c>
      <c r="AI138" s="30" t="n">
        <v>0</v>
      </c>
      <c r="AJ138" s="30" t="n">
        <v>0</v>
      </c>
      <c r="AK138" s="30" t="n">
        <v>0</v>
      </c>
      <c r="AL138" s="30" t="n">
        <v>0</v>
      </c>
      <c r="AM138" s="30" t="n">
        <v>0</v>
      </c>
      <c r="AN138" s="30" t="n">
        <v>0</v>
      </c>
      <c r="AO138" s="30" t="n">
        <v>0</v>
      </c>
      <c r="AP138" s="30" t="n">
        <v>0</v>
      </c>
      <c r="AQ138" s="30" t="n">
        <v>0</v>
      </c>
      <c r="AR138" s="30" t="n">
        <v>0</v>
      </c>
      <c r="AS138" s="30" t="n">
        <v>0</v>
      </c>
      <c r="AT138" s="30" t="n">
        <v>0</v>
      </c>
      <c r="AU138" s="30" t="n">
        <v>0</v>
      </c>
      <c r="AV138" s="30" t="n">
        <v>0</v>
      </c>
      <c r="AW138" s="30" t="n">
        <v>0</v>
      </c>
      <c r="AX138" s="30" t="n">
        <v>0</v>
      </c>
      <c r="AY138" s="30" t="n">
        <v>0</v>
      </c>
      <c r="AZ138" s="30" t="n">
        <v>0</v>
      </c>
      <c r="BA138" s="30" t="n">
        <v>0</v>
      </c>
      <c r="BB138" s="30" t="n">
        <v>0</v>
      </c>
      <c r="BC138" s="30" t="n">
        <v>0</v>
      </c>
      <c r="BD138" s="30" t="n">
        <v>0</v>
      </c>
      <c r="BE138" s="30" t="n">
        <v>0</v>
      </c>
      <c r="BF138" s="30" t="n">
        <v>0</v>
      </c>
      <c r="BG138" s="30" t="n">
        <v>0</v>
      </c>
      <c r="BH138" s="30" t="n">
        <v>0</v>
      </c>
      <c r="BI138" s="30" t="n">
        <v>0</v>
      </c>
      <c r="BJ138" s="30" t="n">
        <v>0</v>
      </c>
      <c r="BK138" s="30" t="n">
        <v>0</v>
      </c>
      <c r="BL138" s="30" t="n">
        <v>0</v>
      </c>
      <c r="BM138" s="30" t="n">
        <v>0</v>
      </c>
      <c r="BN138" s="30" t="n">
        <v>0</v>
      </c>
      <c r="BO138" s="30" t="n">
        <v>0</v>
      </c>
      <c r="BP138" s="30" t="n">
        <v>0</v>
      </c>
      <c r="BQ138" s="30" t="n">
        <v>0</v>
      </c>
      <c r="BR138" s="30" t="n">
        <v>0</v>
      </c>
      <c r="BS138" s="30" t="n">
        <v>0</v>
      </c>
      <c r="BT138" s="30" t="n">
        <v>0</v>
      </c>
      <c r="BU138" s="30" t="n">
        <v>0</v>
      </c>
      <c r="BV138" s="30" t="n">
        <v>0</v>
      </c>
      <c r="BW138" s="30" t="n">
        <v>0</v>
      </c>
      <c r="BX138" s="30" t="n">
        <v>0</v>
      </c>
      <c r="BY138" s="30" t="n">
        <v>0</v>
      </c>
      <c r="BZ138" s="30" t="n">
        <v>0</v>
      </c>
      <c r="CA138" s="30" t="n">
        <v>0</v>
      </c>
      <c r="CB138" s="30" t="n">
        <v>0</v>
      </c>
      <c r="CC138" s="30" t="n">
        <v>0</v>
      </c>
      <c r="CD138" s="30" t="n">
        <v>0</v>
      </c>
      <c r="CE138" s="30" t="n">
        <v>0</v>
      </c>
      <c r="CF138" s="30" t="n">
        <v>0</v>
      </c>
      <c r="CG138" s="30" t="n">
        <v>0</v>
      </c>
      <c r="CH138" s="30" t="n">
        <v>0</v>
      </c>
      <c r="CI138" s="30" t="n">
        <v>0</v>
      </c>
      <c r="CJ138" s="30" t="n">
        <v>0</v>
      </c>
      <c r="CK138" s="30" t="n">
        <v>0</v>
      </c>
      <c r="CL138" s="30" t="n">
        <v>0</v>
      </c>
      <c r="CM138" s="30" t="n">
        <v>0</v>
      </c>
      <c r="CN138" s="30" t="n">
        <v>0</v>
      </c>
      <c r="CO138" s="30" t="n">
        <v>0</v>
      </c>
      <c r="CP138" s="30" t="n">
        <v>0</v>
      </c>
      <c r="CQ138" s="30" t="n">
        <v>0</v>
      </c>
      <c r="CR138" s="30" t="n">
        <v>0</v>
      </c>
      <c r="CS138" s="30" t="n">
        <v>0</v>
      </c>
      <c r="CT138" s="30" t="n">
        <v>0</v>
      </c>
      <c r="CU138" s="30" t="n">
        <v>0</v>
      </c>
      <c r="CV138" s="30" t="n">
        <v>0</v>
      </c>
      <c r="CW138" s="30" t="n">
        <v>0</v>
      </c>
      <c r="CX138" s="30" t="n">
        <v>0</v>
      </c>
      <c r="CY138" s="30" t="n">
        <v>0</v>
      </c>
      <c r="CZ138" s="30" t="n">
        <v>0</v>
      </c>
      <c r="DA138" s="30" t="n">
        <v>0</v>
      </c>
    </row>
    <row r="139">
      <c r="A139" t="inlineStr">
        <is>
          <t>VSP-607</t>
        </is>
      </c>
      <c r="B139" s="30" t="n">
        <v>0</v>
      </c>
      <c r="C139" s="30" t="n">
        <v>0</v>
      </c>
      <c r="D139" s="30" t="n">
        <v>0</v>
      </c>
      <c r="E139" s="30" t="n">
        <v>0</v>
      </c>
      <c r="F139" s="30" t="n">
        <v>0</v>
      </c>
      <c r="G139" s="30" t="n">
        <v>0</v>
      </c>
      <c r="H139" s="30" t="n">
        <v>0</v>
      </c>
      <c r="I139" s="30" t="n">
        <v>0</v>
      </c>
      <c r="J139" s="30" t="n">
        <v>0</v>
      </c>
      <c r="K139" s="30" t="n">
        <v>0</v>
      </c>
      <c r="L139" s="30" t="n">
        <v>0</v>
      </c>
      <c r="M139" s="30" t="n">
        <v>0</v>
      </c>
      <c r="N139" s="30" t="n">
        <v>0</v>
      </c>
      <c r="O139" s="30" t="n">
        <v>0</v>
      </c>
      <c r="P139" s="30" t="n">
        <v>0</v>
      </c>
      <c r="Q139" s="30" t="n">
        <v>0</v>
      </c>
      <c r="R139" s="30" t="n">
        <v>0</v>
      </c>
      <c r="S139" s="30" t="n">
        <v>0</v>
      </c>
      <c r="T139" s="30" t="n">
        <v>0</v>
      </c>
      <c r="U139" s="30" t="n">
        <v>0</v>
      </c>
      <c r="V139" s="30" t="n">
        <v>0</v>
      </c>
      <c r="W139" s="30" t="n">
        <v>0</v>
      </c>
      <c r="X139" s="30" t="n">
        <v>0</v>
      </c>
      <c r="Y139" s="30" t="n">
        <v>0</v>
      </c>
      <c r="Z139" s="30" t="n">
        <v>0</v>
      </c>
      <c r="AA139" s="30" t="n">
        <v>0</v>
      </c>
      <c r="AB139" s="30" t="n">
        <v>0</v>
      </c>
      <c r="AC139" s="30" t="n">
        <v>0</v>
      </c>
      <c r="AD139" s="30" t="n">
        <v>0</v>
      </c>
      <c r="AE139" s="30" t="n">
        <v>0</v>
      </c>
      <c r="AF139" s="30" t="n">
        <v>0</v>
      </c>
      <c r="AG139" s="30" t="n">
        <v>0</v>
      </c>
      <c r="AH139" s="30" t="n">
        <v>0</v>
      </c>
      <c r="AI139" s="30" t="n">
        <v>0</v>
      </c>
      <c r="AJ139" s="30" t="n">
        <v>0</v>
      </c>
      <c r="AK139" s="30" t="n">
        <v>0</v>
      </c>
      <c r="AL139" s="30" t="n">
        <v>0</v>
      </c>
      <c r="AM139" s="30" t="n">
        <v>0</v>
      </c>
      <c r="AN139" s="30" t="n">
        <v>0</v>
      </c>
      <c r="AO139" s="30" t="n">
        <v>0</v>
      </c>
      <c r="AP139" s="30" t="n">
        <v>0</v>
      </c>
      <c r="AQ139" s="30" t="n">
        <v>0</v>
      </c>
      <c r="AR139" s="30" t="n">
        <v>0</v>
      </c>
      <c r="AS139" s="30" t="n">
        <v>0</v>
      </c>
      <c r="AT139" s="30" t="n">
        <v>0</v>
      </c>
      <c r="AU139" s="30" t="n">
        <v>0</v>
      </c>
      <c r="AV139" s="30" t="n">
        <v>0</v>
      </c>
      <c r="AW139" s="30" t="n">
        <v>0</v>
      </c>
      <c r="AX139" s="30" t="n">
        <v>0</v>
      </c>
      <c r="AY139" s="30" t="n">
        <v>0</v>
      </c>
      <c r="AZ139" s="30" t="n">
        <v>0</v>
      </c>
      <c r="BA139" s="30" t="n">
        <v>0</v>
      </c>
      <c r="BB139" s="30" t="n">
        <v>0</v>
      </c>
      <c r="BC139" s="30" t="n">
        <v>0</v>
      </c>
      <c r="BD139" s="30" t="n">
        <v>0</v>
      </c>
      <c r="BE139" s="30" t="n">
        <v>0</v>
      </c>
      <c r="BF139" s="30" t="n">
        <v>0</v>
      </c>
      <c r="BG139" s="30" t="n">
        <v>0</v>
      </c>
      <c r="BH139" s="30" t="n">
        <v>0</v>
      </c>
      <c r="BI139" s="30" t="n">
        <v>0</v>
      </c>
      <c r="BJ139" s="30" t="n">
        <v>0</v>
      </c>
      <c r="BK139" s="30" t="n">
        <v>0</v>
      </c>
      <c r="BL139" s="30" t="n">
        <v>0</v>
      </c>
      <c r="BM139" s="30" t="n">
        <v>0</v>
      </c>
      <c r="BN139" s="30" t="n">
        <v>0</v>
      </c>
      <c r="BO139" s="30" t="n">
        <v>0</v>
      </c>
      <c r="BP139" s="30" t="n">
        <v>0</v>
      </c>
      <c r="BQ139" s="30" t="n">
        <v>0</v>
      </c>
      <c r="BR139" s="30" t="n">
        <v>0</v>
      </c>
      <c r="BS139" s="30" t="n">
        <v>0</v>
      </c>
      <c r="BT139" s="30" t="n">
        <v>0</v>
      </c>
      <c r="BU139" s="30" t="n">
        <v>0</v>
      </c>
      <c r="BV139" s="30" t="n">
        <v>0</v>
      </c>
      <c r="BW139" s="30" t="n">
        <v>0</v>
      </c>
      <c r="BX139" s="30" t="n">
        <v>0</v>
      </c>
      <c r="BY139" s="30" t="n">
        <v>0</v>
      </c>
      <c r="BZ139" s="30" t="n">
        <v>0</v>
      </c>
      <c r="CA139" s="30" t="n">
        <v>0</v>
      </c>
      <c r="CB139" s="30" t="n">
        <v>0</v>
      </c>
      <c r="CC139" s="30" t="n">
        <v>0</v>
      </c>
      <c r="CD139" s="30" t="n">
        <v>0</v>
      </c>
      <c r="CE139" s="30" t="n">
        <v>0</v>
      </c>
      <c r="CF139" s="30" t="n">
        <v>0</v>
      </c>
      <c r="CG139" s="30" t="n">
        <v>0</v>
      </c>
      <c r="CH139" s="30" t="n">
        <v>0</v>
      </c>
      <c r="CI139" s="30" t="n">
        <v>0</v>
      </c>
      <c r="CJ139" s="30" t="n">
        <v>0</v>
      </c>
      <c r="CK139" s="30" t="n">
        <v>0</v>
      </c>
      <c r="CL139" s="30" t="n">
        <v>0</v>
      </c>
      <c r="CM139" s="30" t="n">
        <v>0</v>
      </c>
      <c r="CN139" s="30" t="n">
        <v>0</v>
      </c>
      <c r="CO139" s="30" t="n">
        <v>0</v>
      </c>
      <c r="CP139" s="30" t="n">
        <v>0</v>
      </c>
      <c r="CQ139" s="30" t="n">
        <v>0</v>
      </c>
      <c r="CR139" s="30" t="n">
        <v>0</v>
      </c>
      <c r="CS139" s="30" t="n">
        <v>0</v>
      </c>
      <c r="CT139" s="30" t="n">
        <v>0</v>
      </c>
      <c r="CU139" s="30" t="n">
        <v>0</v>
      </c>
      <c r="CV139" s="30" t="n">
        <v>0</v>
      </c>
      <c r="CW139" s="30" t="n">
        <v>0</v>
      </c>
      <c r="CX139" s="30" t="n">
        <v>0</v>
      </c>
      <c r="CY139" s="30" t="n">
        <v>0</v>
      </c>
      <c r="CZ139" s="30" t="n">
        <v>0</v>
      </c>
      <c r="DA139" s="30" t="n">
        <v>0</v>
      </c>
    </row>
    <row r="140">
      <c r="A140" t="inlineStr">
        <is>
          <t>VSP-738</t>
        </is>
      </c>
      <c r="B140" s="30" t="n">
        <v>0</v>
      </c>
      <c r="C140" s="30" t="n">
        <v>0</v>
      </c>
      <c r="D140" s="30" t="n">
        <v>0</v>
      </c>
      <c r="E140" s="30" t="n">
        <v>0</v>
      </c>
      <c r="F140" s="30" t="n">
        <v>0</v>
      </c>
      <c r="G140" s="30" t="n">
        <v>0</v>
      </c>
      <c r="H140" s="30" t="n">
        <v>0</v>
      </c>
      <c r="I140" s="30" t="n">
        <v>0</v>
      </c>
      <c r="J140" s="30" t="n">
        <v>0</v>
      </c>
      <c r="K140" s="30" t="n">
        <v>0</v>
      </c>
      <c r="L140" s="30" t="n">
        <v>0</v>
      </c>
      <c r="M140" s="30" t="n">
        <v>0</v>
      </c>
      <c r="N140" s="30" t="n">
        <v>0</v>
      </c>
      <c r="O140" s="30" t="n">
        <v>0</v>
      </c>
      <c r="P140" s="30" t="n">
        <v>0</v>
      </c>
      <c r="Q140" s="30" t="n">
        <v>0</v>
      </c>
      <c r="R140" s="30" t="n">
        <v>0</v>
      </c>
      <c r="S140" s="30" t="n">
        <v>0</v>
      </c>
      <c r="T140" s="30" t="n">
        <v>0</v>
      </c>
      <c r="U140" s="30" t="n">
        <v>0</v>
      </c>
      <c r="V140" s="30" t="n">
        <v>0</v>
      </c>
      <c r="W140" s="30" t="n">
        <v>0</v>
      </c>
      <c r="X140" s="30" t="n">
        <v>0</v>
      </c>
      <c r="Y140" s="30" t="n">
        <v>0</v>
      </c>
      <c r="Z140" s="30" t="n">
        <v>0</v>
      </c>
      <c r="AA140" s="30" t="n">
        <v>0</v>
      </c>
      <c r="AB140" s="30" t="n">
        <v>0</v>
      </c>
      <c r="AC140" s="30" t="n">
        <v>0</v>
      </c>
      <c r="AD140" s="30" t="n">
        <v>0</v>
      </c>
      <c r="AE140" s="30" t="n">
        <v>0</v>
      </c>
      <c r="AF140" s="30" t="n">
        <v>0</v>
      </c>
      <c r="AG140" s="30" t="n">
        <v>0</v>
      </c>
      <c r="AH140" s="30" t="n">
        <v>0</v>
      </c>
      <c r="AI140" s="30" t="n">
        <v>0</v>
      </c>
      <c r="AJ140" s="30" t="n">
        <v>0</v>
      </c>
      <c r="AK140" s="30" t="n">
        <v>0</v>
      </c>
      <c r="AL140" s="30" t="n">
        <v>0</v>
      </c>
      <c r="AM140" s="30" t="n">
        <v>0</v>
      </c>
      <c r="AN140" s="30" t="n">
        <v>0</v>
      </c>
      <c r="AO140" s="30" t="n">
        <v>0</v>
      </c>
      <c r="AP140" s="30" t="n">
        <v>0</v>
      </c>
      <c r="AQ140" s="30" t="n">
        <v>0</v>
      </c>
      <c r="AR140" s="30" t="n">
        <v>0</v>
      </c>
      <c r="AS140" s="30" t="n">
        <v>0</v>
      </c>
      <c r="AT140" s="30" t="n">
        <v>0</v>
      </c>
      <c r="AU140" s="30" t="n">
        <v>0</v>
      </c>
      <c r="AV140" s="30" t="n">
        <v>0</v>
      </c>
      <c r="AW140" s="30" t="n">
        <v>0</v>
      </c>
      <c r="AX140" s="30" t="n">
        <v>0</v>
      </c>
      <c r="AY140" s="30" t="n">
        <v>0</v>
      </c>
      <c r="AZ140" s="30" t="n">
        <v>0</v>
      </c>
      <c r="BA140" s="30" t="n">
        <v>0</v>
      </c>
      <c r="BB140" s="30" t="n">
        <v>0</v>
      </c>
      <c r="BC140" s="30" t="n">
        <v>0</v>
      </c>
      <c r="BD140" s="30" t="n">
        <v>0</v>
      </c>
      <c r="BE140" s="30" t="n">
        <v>0</v>
      </c>
      <c r="BF140" s="30" t="n">
        <v>0</v>
      </c>
      <c r="BG140" s="30" t="n">
        <v>0</v>
      </c>
      <c r="BH140" s="30" t="n">
        <v>0</v>
      </c>
      <c r="BI140" s="30" t="n">
        <v>0</v>
      </c>
      <c r="BJ140" s="30" t="n">
        <v>0</v>
      </c>
      <c r="BK140" s="30" t="n">
        <v>0</v>
      </c>
      <c r="BL140" s="30" t="n">
        <v>0</v>
      </c>
      <c r="BM140" s="30" t="n">
        <v>0</v>
      </c>
      <c r="BN140" s="30" t="n">
        <v>0</v>
      </c>
      <c r="BO140" s="30" t="n">
        <v>0</v>
      </c>
      <c r="BP140" s="30" t="n">
        <v>0</v>
      </c>
      <c r="BQ140" s="30" t="n">
        <v>0</v>
      </c>
      <c r="BR140" s="30" t="n">
        <v>0</v>
      </c>
      <c r="BS140" s="30" t="n">
        <v>0</v>
      </c>
      <c r="BT140" s="30" t="n">
        <v>0</v>
      </c>
      <c r="BU140" s="30" t="n">
        <v>0</v>
      </c>
      <c r="BV140" s="30" t="n">
        <v>0</v>
      </c>
      <c r="BW140" s="30" t="n">
        <v>0</v>
      </c>
      <c r="BX140" s="30" t="n">
        <v>0</v>
      </c>
      <c r="BY140" s="30" t="n">
        <v>0</v>
      </c>
      <c r="BZ140" s="30" t="n">
        <v>0</v>
      </c>
      <c r="CA140" s="30" t="n">
        <v>0</v>
      </c>
      <c r="CB140" s="30" t="n">
        <v>0</v>
      </c>
      <c r="CC140" s="30" t="n">
        <v>0</v>
      </c>
      <c r="CD140" s="30" t="n">
        <v>0</v>
      </c>
      <c r="CE140" s="30" t="n">
        <v>0</v>
      </c>
      <c r="CF140" s="30" t="n">
        <v>0</v>
      </c>
      <c r="CG140" s="30" t="n">
        <v>0</v>
      </c>
      <c r="CH140" s="30" t="n">
        <v>0</v>
      </c>
      <c r="CI140" s="30" t="n">
        <v>0</v>
      </c>
      <c r="CJ140" s="30" t="n">
        <v>0</v>
      </c>
      <c r="CK140" s="30" t="n">
        <v>0</v>
      </c>
      <c r="CL140" s="30" t="n">
        <v>0</v>
      </c>
      <c r="CM140" s="30" t="n">
        <v>0</v>
      </c>
      <c r="CN140" s="30" t="n">
        <v>0</v>
      </c>
      <c r="CO140" s="30" t="n">
        <v>0</v>
      </c>
      <c r="CP140" s="30" t="n">
        <v>0</v>
      </c>
      <c r="CQ140" s="30" t="n">
        <v>0</v>
      </c>
      <c r="CR140" s="30" t="n">
        <v>0</v>
      </c>
      <c r="CS140" s="30" t="n">
        <v>0</v>
      </c>
      <c r="CT140" s="30" t="n">
        <v>0</v>
      </c>
      <c r="CU140" s="30" t="n">
        <v>0</v>
      </c>
      <c r="CV140" s="30" t="n">
        <v>0</v>
      </c>
      <c r="CW140" s="30" t="n">
        <v>0</v>
      </c>
      <c r="CX140" s="30" t="n">
        <v>0</v>
      </c>
      <c r="CY140" s="30" t="n">
        <v>0</v>
      </c>
      <c r="CZ140" s="30" t="n">
        <v>0</v>
      </c>
      <c r="DA140" s="30" t="n">
        <v>0</v>
      </c>
    </row>
    <row r="141">
      <c r="A141" t="inlineStr">
        <is>
          <t>VSP-739</t>
        </is>
      </c>
      <c r="B141" s="30" t="n">
        <v>0</v>
      </c>
      <c r="C141" s="30" t="n">
        <v>0</v>
      </c>
      <c r="D141" s="30" t="n">
        <v>0</v>
      </c>
      <c r="E141" s="30" t="n">
        <v>0</v>
      </c>
      <c r="F141" s="30" t="n">
        <v>0</v>
      </c>
      <c r="G141" s="30" t="n">
        <v>0</v>
      </c>
      <c r="H141" s="30" t="n">
        <v>0</v>
      </c>
      <c r="I141" s="30" t="n">
        <v>0</v>
      </c>
      <c r="J141" s="30" t="n">
        <v>0</v>
      </c>
      <c r="K141" s="30" t="n">
        <v>0</v>
      </c>
      <c r="L141" s="30" t="n">
        <v>0</v>
      </c>
      <c r="M141" s="30" t="n">
        <v>0</v>
      </c>
      <c r="N141" s="30" t="n">
        <v>0</v>
      </c>
      <c r="O141" s="30" t="n">
        <v>0</v>
      </c>
      <c r="P141" s="30" t="n">
        <v>0</v>
      </c>
      <c r="Q141" s="30" t="n">
        <v>0</v>
      </c>
      <c r="R141" s="30" t="n">
        <v>0</v>
      </c>
      <c r="S141" s="30" t="n">
        <v>0</v>
      </c>
      <c r="T141" s="30" t="n">
        <v>0</v>
      </c>
      <c r="U141" s="30" t="n">
        <v>0</v>
      </c>
      <c r="V141" s="30" t="n">
        <v>0</v>
      </c>
      <c r="W141" s="30" t="n">
        <v>0</v>
      </c>
      <c r="X141" s="30" t="n">
        <v>0</v>
      </c>
      <c r="Y141" s="30" t="n">
        <v>0</v>
      </c>
      <c r="Z141" s="30" t="n">
        <v>0</v>
      </c>
      <c r="AA141" s="30" t="n">
        <v>0</v>
      </c>
      <c r="AB141" s="30" t="n">
        <v>0</v>
      </c>
      <c r="AC141" s="30" t="n">
        <v>0</v>
      </c>
      <c r="AD141" s="30" t="n">
        <v>0</v>
      </c>
      <c r="AE141" s="30" t="n">
        <v>0</v>
      </c>
      <c r="AF141" s="30" t="n">
        <v>0</v>
      </c>
      <c r="AG141" s="30" t="n">
        <v>0</v>
      </c>
      <c r="AH141" s="30" t="n">
        <v>0</v>
      </c>
      <c r="AI141" s="30" t="n">
        <v>0</v>
      </c>
      <c r="AJ141" s="30" t="n">
        <v>0</v>
      </c>
      <c r="AK141" s="30" t="n">
        <v>0</v>
      </c>
      <c r="AL141" s="30" t="n">
        <v>0</v>
      </c>
      <c r="AM141" s="30" t="n">
        <v>0</v>
      </c>
      <c r="AN141" s="30" t="n">
        <v>0</v>
      </c>
      <c r="AO141" s="30" t="n">
        <v>0</v>
      </c>
      <c r="AP141" s="30" t="n">
        <v>0</v>
      </c>
      <c r="AQ141" s="30" t="n">
        <v>0</v>
      </c>
      <c r="AR141" s="30" t="n">
        <v>0</v>
      </c>
      <c r="AS141" s="30" t="n">
        <v>0</v>
      </c>
      <c r="AT141" s="30" t="n">
        <v>0</v>
      </c>
      <c r="AU141" s="30" t="n">
        <v>0</v>
      </c>
      <c r="AV141" s="30" t="n">
        <v>0</v>
      </c>
      <c r="AW141" s="30" t="n">
        <v>0</v>
      </c>
      <c r="AX141" s="30" t="n">
        <v>0</v>
      </c>
      <c r="AY141" s="30" t="n">
        <v>0</v>
      </c>
      <c r="AZ141" s="30" t="n">
        <v>0</v>
      </c>
      <c r="BA141" s="30" t="n">
        <v>0</v>
      </c>
      <c r="BB141" s="30" t="n">
        <v>0</v>
      </c>
      <c r="BC141" s="30" t="n">
        <v>0</v>
      </c>
      <c r="BD141" s="30" t="n">
        <v>0</v>
      </c>
      <c r="BE141" s="30" t="n">
        <v>0</v>
      </c>
      <c r="BF141" s="30" t="n">
        <v>0</v>
      </c>
      <c r="BG141" s="30" t="n">
        <v>0</v>
      </c>
      <c r="BH141" s="30" t="n">
        <v>0</v>
      </c>
      <c r="BI141" s="30" t="n">
        <v>0</v>
      </c>
      <c r="BJ141" s="30" t="n">
        <v>0</v>
      </c>
      <c r="BK141" s="30" t="n">
        <v>0</v>
      </c>
      <c r="BL141" s="30" t="n">
        <v>0</v>
      </c>
      <c r="BM141" s="30" t="n">
        <v>0</v>
      </c>
      <c r="BN141" s="30" t="n">
        <v>0</v>
      </c>
      <c r="BO141" s="30" t="n">
        <v>0</v>
      </c>
      <c r="BP141" s="30" t="n">
        <v>0</v>
      </c>
      <c r="BQ141" s="30" t="n">
        <v>0</v>
      </c>
      <c r="BR141" s="30" t="n">
        <v>0</v>
      </c>
      <c r="BS141" s="30" t="n">
        <v>0</v>
      </c>
      <c r="BT141" s="30" t="n">
        <v>0</v>
      </c>
      <c r="BU141" s="30" t="n">
        <v>0</v>
      </c>
      <c r="BV141" s="30" t="n">
        <v>0</v>
      </c>
      <c r="BW141" s="30" t="n">
        <v>0</v>
      </c>
      <c r="BX141" s="30" t="n">
        <v>0</v>
      </c>
      <c r="BY141" s="30" t="n">
        <v>0</v>
      </c>
      <c r="BZ141" s="30" t="n">
        <v>0</v>
      </c>
      <c r="CA141" s="30" t="n">
        <v>0</v>
      </c>
      <c r="CB141" s="30" t="n">
        <v>0</v>
      </c>
      <c r="CC141" s="30" t="n">
        <v>0</v>
      </c>
      <c r="CD141" s="30" t="n">
        <v>0</v>
      </c>
      <c r="CE141" s="30" t="n">
        <v>0</v>
      </c>
      <c r="CF141" s="30" t="n">
        <v>0</v>
      </c>
      <c r="CG141" s="30" t="n">
        <v>0</v>
      </c>
      <c r="CH141" s="30" t="n">
        <v>0</v>
      </c>
      <c r="CI141" s="30" t="n">
        <v>0</v>
      </c>
      <c r="CJ141" s="30" t="n">
        <v>0</v>
      </c>
      <c r="CK141" s="30" t="n">
        <v>0</v>
      </c>
      <c r="CL141" s="30" t="n">
        <v>0</v>
      </c>
      <c r="CM141" s="30" t="n">
        <v>0</v>
      </c>
      <c r="CN141" s="30" t="n">
        <v>0</v>
      </c>
      <c r="CO141" s="30" t="n">
        <v>0</v>
      </c>
      <c r="CP141" s="30" t="n">
        <v>0</v>
      </c>
      <c r="CQ141" s="30" t="n">
        <v>0</v>
      </c>
      <c r="CR141" s="30" t="n">
        <v>0</v>
      </c>
      <c r="CS141" s="30" t="n">
        <v>0</v>
      </c>
      <c r="CT141" s="30" t="n">
        <v>0</v>
      </c>
      <c r="CU141" s="30" t="n">
        <v>0</v>
      </c>
      <c r="CV141" s="30" t="n">
        <v>0</v>
      </c>
      <c r="CW141" s="30" t="n">
        <v>0</v>
      </c>
      <c r="CX141" s="30" t="n">
        <v>0</v>
      </c>
      <c r="CY141" s="30" t="n">
        <v>0</v>
      </c>
      <c r="CZ141" s="30" t="n">
        <v>0</v>
      </c>
      <c r="DA141" s="30" t="n">
        <v>0</v>
      </c>
    </row>
    <row r="142">
      <c r="A142" t="inlineStr">
        <is>
          <t>VSP-740</t>
        </is>
      </c>
      <c r="B142" s="30" t="n">
        <v>0</v>
      </c>
      <c r="C142" s="30" t="n">
        <v>0</v>
      </c>
      <c r="D142" s="30" t="n">
        <v>0</v>
      </c>
      <c r="E142" s="30" t="n">
        <v>0</v>
      </c>
      <c r="F142" s="30" t="n">
        <v>0</v>
      </c>
      <c r="G142" s="30" t="n">
        <v>0</v>
      </c>
      <c r="H142" s="30" t="n">
        <v>0</v>
      </c>
      <c r="I142" s="30" t="n">
        <v>0</v>
      </c>
      <c r="J142" s="30" t="n">
        <v>0</v>
      </c>
      <c r="K142" s="30" t="n">
        <v>0</v>
      </c>
      <c r="L142" s="30" t="n">
        <v>0</v>
      </c>
      <c r="M142" s="30" t="n">
        <v>0</v>
      </c>
      <c r="N142" s="30" t="n">
        <v>0</v>
      </c>
      <c r="O142" s="30" t="n">
        <v>0</v>
      </c>
      <c r="P142" s="30" t="n">
        <v>0</v>
      </c>
      <c r="Q142" s="30" t="n">
        <v>0</v>
      </c>
      <c r="R142" s="30" t="n">
        <v>0</v>
      </c>
      <c r="S142" s="30" t="n">
        <v>0</v>
      </c>
      <c r="T142" s="30" t="n">
        <v>0</v>
      </c>
      <c r="U142" s="30" t="n">
        <v>0</v>
      </c>
      <c r="V142" s="30" t="n">
        <v>0</v>
      </c>
      <c r="W142" s="30" t="n">
        <v>0</v>
      </c>
      <c r="X142" s="30" t="n">
        <v>0</v>
      </c>
      <c r="Y142" s="30" t="n">
        <v>0</v>
      </c>
      <c r="Z142" s="30" t="n">
        <v>0</v>
      </c>
      <c r="AA142" s="30" t="n">
        <v>0</v>
      </c>
      <c r="AB142" s="30" t="n">
        <v>0</v>
      </c>
      <c r="AC142" s="30" t="n">
        <v>0</v>
      </c>
      <c r="AD142" s="30" t="n">
        <v>0</v>
      </c>
      <c r="AE142" s="30" t="n">
        <v>0</v>
      </c>
      <c r="AF142" s="30" t="n">
        <v>0</v>
      </c>
      <c r="AG142" s="30" t="n">
        <v>0</v>
      </c>
      <c r="AH142" s="30" t="n">
        <v>0</v>
      </c>
      <c r="AI142" s="30" t="n">
        <v>0</v>
      </c>
      <c r="AJ142" s="30" t="n">
        <v>0</v>
      </c>
      <c r="AK142" s="30" t="n">
        <v>0</v>
      </c>
      <c r="AL142" s="30" t="n">
        <v>0</v>
      </c>
      <c r="AM142" s="30" t="n">
        <v>0</v>
      </c>
      <c r="AN142" s="30" t="n">
        <v>0</v>
      </c>
      <c r="AO142" s="30" t="n">
        <v>0</v>
      </c>
      <c r="AP142" s="30" t="n">
        <v>0</v>
      </c>
      <c r="AQ142" s="30" t="n">
        <v>0</v>
      </c>
      <c r="AR142" s="30" t="n">
        <v>0</v>
      </c>
      <c r="AS142" s="30" t="n">
        <v>0</v>
      </c>
      <c r="AT142" s="30" t="n">
        <v>0</v>
      </c>
      <c r="AU142" s="30" t="n">
        <v>0</v>
      </c>
      <c r="AV142" s="30" t="n">
        <v>0</v>
      </c>
      <c r="AW142" s="30" t="n">
        <v>0</v>
      </c>
      <c r="AX142" s="30" t="n">
        <v>0</v>
      </c>
      <c r="AY142" s="30" t="n">
        <v>0</v>
      </c>
      <c r="AZ142" s="30" t="n">
        <v>0</v>
      </c>
      <c r="BA142" s="30" t="n">
        <v>0</v>
      </c>
      <c r="BB142" s="30" t="n">
        <v>0</v>
      </c>
      <c r="BC142" s="30" t="n">
        <v>0</v>
      </c>
      <c r="BD142" s="30" t="n">
        <v>0</v>
      </c>
      <c r="BE142" s="30" t="n">
        <v>0</v>
      </c>
      <c r="BF142" s="30" t="n">
        <v>0</v>
      </c>
      <c r="BG142" s="30" t="n">
        <v>0</v>
      </c>
      <c r="BH142" s="30" t="n">
        <v>0</v>
      </c>
      <c r="BI142" s="30" t="n">
        <v>0</v>
      </c>
      <c r="BJ142" s="30" t="n">
        <v>0</v>
      </c>
      <c r="BK142" s="30" t="n">
        <v>0</v>
      </c>
      <c r="BL142" s="30" t="n">
        <v>0</v>
      </c>
      <c r="BM142" s="30" t="n">
        <v>0</v>
      </c>
      <c r="BN142" s="30" t="n">
        <v>0</v>
      </c>
      <c r="BO142" s="30" t="n">
        <v>0</v>
      </c>
      <c r="BP142" s="30" t="n">
        <v>0</v>
      </c>
      <c r="BQ142" s="30" t="n">
        <v>0</v>
      </c>
      <c r="BR142" s="30" t="n">
        <v>0</v>
      </c>
      <c r="BS142" s="30" t="n">
        <v>0</v>
      </c>
      <c r="BT142" s="30" t="n">
        <v>0</v>
      </c>
      <c r="BU142" s="30" t="n">
        <v>0</v>
      </c>
      <c r="BV142" s="30" t="n">
        <v>0</v>
      </c>
      <c r="BW142" s="30" t="n">
        <v>0</v>
      </c>
      <c r="BX142" s="30" t="n">
        <v>0</v>
      </c>
      <c r="BY142" s="30" t="n">
        <v>0</v>
      </c>
      <c r="BZ142" s="30" t="n">
        <v>0</v>
      </c>
      <c r="CA142" s="30" t="n">
        <v>0</v>
      </c>
      <c r="CB142" s="30" t="n">
        <v>0</v>
      </c>
      <c r="CC142" s="30" t="n">
        <v>0</v>
      </c>
      <c r="CD142" s="30" t="n">
        <v>0</v>
      </c>
      <c r="CE142" s="30" t="n">
        <v>0</v>
      </c>
      <c r="CF142" s="30" t="n">
        <v>0</v>
      </c>
      <c r="CG142" s="30" t="n">
        <v>0</v>
      </c>
      <c r="CH142" s="30" t="n">
        <v>0</v>
      </c>
      <c r="CI142" s="30" t="n">
        <v>0</v>
      </c>
      <c r="CJ142" s="30" t="n">
        <v>0</v>
      </c>
      <c r="CK142" s="30" t="n">
        <v>0</v>
      </c>
      <c r="CL142" s="30" t="n">
        <v>0</v>
      </c>
      <c r="CM142" s="30" t="n">
        <v>0</v>
      </c>
      <c r="CN142" s="30" t="n">
        <v>0</v>
      </c>
      <c r="CO142" s="30" t="n">
        <v>0</v>
      </c>
      <c r="CP142" s="30" t="n">
        <v>0</v>
      </c>
      <c r="CQ142" s="30" t="n">
        <v>0</v>
      </c>
      <c r="CR142" s="30" t="n">
        <v>0</v>
      </c>
      <c r="CS142" s="30" t="n">
        <v>0</v>
      </c>
      <c r="CT142" s="30" t="n">
        <v>0</v>
      </c>
      <c r="CU142" s="30" t="n">
        <v>0</v>
      </c>
      <c r="CV142" s="30" t="n">
        <v>0</v>
      </c>
      <c r="CW142" s="30" t="n">
        <v>0</v>
      </c>
      <c r="CX142" s="30" t="n">
        <v>0</v>
      </c>
      <c r="CY142" s="30" t="n">
        <v>0</v>
      </c>
      <c r="CZ142" s="30" t="n">
        <v>0</v>
      </c>
      <c r="DA142" s="30" t="n">
        <v>0</v>
      </c>
    </row>
    <row r="143">
      <c r="A143" t="inlineStr">
        <is>
          <t>VSP-746</t>
        </is>
      </c>
      <c r="B143" s="30" t="n">
        <v>0</v>
      </c>
      <c r="C143" s="30" t="n">
        <v>0</v>
      </c>
      <c r="D143" s="30" t="n">
        <v>0</v>
      </c>
      <c r="E143" s="30" t="n">
        <v>0</v>
      </c>
      <c r="F143" s="30" t="n">
        <v>0</v>
      </c>
      <c r="G143" s="30" t="n">
        <v>0</v>
      </c>
      <c r="H143" s="30" t="n">
        <v>0</v>
      </c>
      <c r="I143" s="30" t="n">
        <v>0</v>
      </c>
      <c r="J143" s="30" t="n">
        <v>0</v>
      </c>
      <c r="K143" s="30" t="n">
        <v>0</v>
      </c>
      <c r="L143" s="30" t="n">
        <v>0</v>
      </c>
      <c r="M143" s="30" t="n">
        <v>0</v>
      </c>
      <c r="N143" s="30" t="n">
        <v>0</v>
      </c>
      <c r="O143" s="30" t="n">
        <v>0</v>
      </c>
      <c r="P143" s="30" t="n">
        <v>0</v>
      </c>
      <c r="Q143" s="30" t="n">
        <v>0</v>
      </c>
      <c r="R143" s="30" t="n">
        <v>0</v>
      </c>
      <c r="S143" s="30" t="n">
        <v>0</v>
      </c>
      <c r="T143" s="30" t="n">
        <v>0</v>
      </c>
      <c r="U143" s="30" t="n">
        <v>0</v>
      </c>
      <c r="V143" s="30" t="n">
        <v>0</v>
      </c>
      <c r="W143" s="30" t="n">
        <v>0</v>
      </c>
      <c r="X143" s="30" t="n">
        <v>0</v>
      </c>
      <c r="Y143" s="30" t="n">
        <v>0</v>
      </c>
      <c r="Z143" s="30" t="n">
        <v>0</v>
      </c>
      <c r="AA143" s="30" t="n">
        <v>0</v>
      </c>
      <c r="AB143" s="30" t="n">
        <v>0</v>
      </c>
      <c r="AC143" s="30" t="n">
        <v>0</v>
      </c>
      <c r="AD143" s="30" t="n">
        <v>0</v>
      </c>
      <c r="AE143" s="30" t="n">
        <v>0</v>
      </c>
      <c r="AF143" s="30" t="n">
        <v>0</v>
      </c>
      <c r="AG143" s="30" t="n">
        <v>0</v>
      </c>
      <c r="AH143" s="30" t="n">
        <v>0</v>
      </c>
      <c r="AI143" s="30" t="n">
        <v>0</v>
      </c>
      <c r="AJ143" s="30" t="n">
        <v>0</v>
      </c>
      <c r="AK143" s="30" t="n">
        <v>0</v>
      </c>
      <c r="AL143" s="30" t="n">
        <v>0</v>
      </c>
      <c r="AM143" s="30" t="n">
        <v>0</v>
      </c>
      <c r="AN143" s="30" t="n">
        <v>0</v>
      </c>
      <c r="AO143" s="30" t="n">
        <v>0</v>
      </c>
      <c r="AP143" s="30" t="n">
        <v>0</v>
      </c>
      <c r="AQ143" s="30" t="n">
        <v>0</v>
      </c>
      <c r="AR143" s="30" t="n">
        <v>0</v>
      </c>
      <c r="AS143" s="30" t="n">
        <v>0</v>
      </c>
      <c r="AT143" s="30" t="n">
        <v>0</v>
      </c>
      <c r="AU143" s="30" t="n">
        <v>0</v>
      </c>
      <c r="AV143" s="30" t="n">
        <v>0</v>
      </c>
      <c r="AW143" s="30" t="n">
        <v>0</v>
      </c>
      <c r="AX143" s="30" t="n">
        <v>0</v>
      </c>
      <c r="AY143" s="30" t="n">
        <v>0</v>
      </c>
      <c r="AZ143" s="30" t="n">
        <v>0</v>
      </c>
      <c r="BA143" s="30" t="n">
        <v>0</v>
      </c>
      <c r="BB143" s="30" t="n">
        <v>0</v>
      </c>
      <c r="BC143" s="30" t="n">
        <v>0</v>
      </c>
      <c r="BD143" s="30" t="n">
        <v>0</v>
      </c>
      <c r="BE143" s="30" t="n">
        <v>0</v>
      </c>
      <c r="BF143" s="30" t="n">
        <v>0</v>
      </c>
      <c r="BG143" s="30" t="n">
        <v>0</v>
      </c>
      <c r="BH143" s="30" t="n">
        <v>0</v>
      </c>
      <c r="BI143" s="30" t="n">
        <v>0</v>
      </c>
      <c r="BJ143" s="30" t="n">
        <v>0</v>
      </c>
      <c r="BK143" s="30" t="n">
        <v>0</v>
      </c>
      <c r="BL143" s="30" t="n">
        <v>0</v>
      </c>
      <c r="BM143" s="30" t="n">
        <v>0</v>
      </c>
      <c r="BN143" s="30" t="n">
        <v>0</v>
      </c>
      <c r="BO143" s="30" t="n">
        <v>0</v>
      </c>
      <c r="BP143" s="30" t="n">
        <v>0</v>
      </c>
      <c r="BQ143" s="30" t="n">
        <v>0</v>
      </c>
      <c r="BR143" s="30" t="n">
        <v>0</v>
      </c>
      <c r="BS143" s="30" t="n">
        <v>0</v>
      </c>
      <c r="BT143" s="30" t="n">
        <v>0</v>
      </c>
      <c r="BU143" s="30" t="n">
        <v>0</v>
      </c>
      <c r="BV143" s="30" t="n">
        <v>0</v>
      </c>
      <c r="BW143" s="30" t="n">
        <v>0</v>
      </c>
      <c r="BX143" s="30" t="n">
        <v>0</v>
      </c>
      <c r="BY143" s="30" t="n">
        <v>0</v>
      </c>
      <c r="BZ143" s="30" t="n">
        <v>0</v>
      </c>
      <c r="CA143" s="30" t="n">
        <v>0</v>
      </c>
      <c r="CB143" s="30" t="n">
        <v>0</v>
      </c>
      <c r="CC143" s="30" t="n">
        <v>0</v>
      </c>
      <c r="CD143" s="30" t="n">
        <v>0</v>
      </c>
      <c r="CE143" s="30" t="n">
        <v>0</v>
      </c>
      <c r="CF143" s="30" t="n">
        <v>0</v>
      </c>
      <c r="CG143" s="30" t="n">
        <v>0</v>
      </c>
      <c r="CH143" s="30" t="n">
        <v>0</v>
      </c>
      <c r="CI143" s="30" t="n">
        <v>0</v>
      </c>
      <c r="CJ143" s="30" t="n">
        <v>0</v>
      </c>
      <c r="CK143" s="30" t="n">
        <v>0</v>
      </c>
      <c r="CL143" s="30" t="n">
        <v>0</v>
      </c>
      <c r="CM143" s="30" t="n">
        <v>0</v>
      </c>
      <c r="CN143" s="30" t="n">
        <v>0</v>
      </c>
      <c r="CO143" s="30" t="n">
        <v>0</v>
      </c>
      <c r="CP143" s="30" t="n">
        <v>0</v>
      </c>
      <c r="CQ143" s="30" t="n">
        <v>0</v>
      </c>
      <c r="CR143" s="30" t="n">
        <v>0</v>
      </c>
      <c r="CS143" s="30" t="n">
        <v>0</v>
      </c>
      <c r="CT143" s="30" t="n">
        <v>0</v>
      </c>
      <c r="CU143" s="30" t="n">
        <v>0</v>
      </c>
      <c r="CV143" s="30" t="n">
        <v>0</v>
      </c>
      <c r="CW143" s="30" t="n">
        <v>0</v>
      </c>
      <c r="CX143" s="30" t="n">
        <v>0</v>
      </c>
      <c r="CY143" s="30" t="n">
        <v>0</v>
      </c>
      <c r="CZ143" s="30" t="n">
        <v>0</v>
      </c>
      <c r="DA143" s="30" t="n">
        <v>0</v>
      </c>
    </row>
    <row r="144">
      <c r="A144" t="inlineStr">
        <is>
          <t>VSP-869</t>
        </is>
      </c>
      <c r="B144" s="30" t="n">
        <v>0</v>
      </c>
      <c r="C144" s="30" t="n">
        <v>0</v>
      </c>
      <c r="D144" s="30" t="n">
        <v>0</v>
      </c>
      <c r="E144" s="30" t="n">
        <v>0</v>
      </c>
      <c r="F144" s="30" t="n">
        <v>0</v>
      </c>
      <c r="G144" s="30" t="n">
        <v>0</v>
      </c>
      <c r="H144" s="30" t="n">
        <v>0</v>
      </c>
      <c r="I144" s="30" t="n">
        <v>0</v>
      </c>
      <c r="J144" s="30" t="n">
        <v>0</v>
      </c>
      <c r="K144" s="30" t="n">
        <v>0</v>
      </c>
      <c r="L144" s="30" t="n">
        <v>0</v>
      </c>
      <c r="M144" s="30" t="n">
        <v>0</v>
      </c>
      <c r="N144" s="30" t="n">
        <v>0</v>
      </c>
      <c r="O144" s="30" t="n">
        <v>0</v>
      </c>
      <c r="P144" s="30" t="n">
        <v>0</v>
      </c>
      <c r="Q144" s="30" t="n">
        <v>0</v>
      </c>
      <c r="R144" s="30" t="n">
        <v>0</v>
      </c>
      <c r="S144" s="30" t="n">
        <v>0</v>
      </c>
      <c r="T144" s="30" t="n">
        <v>0</v>
      </c>
      <c r="U144" s="30" t="n">
        <v>0</v>
      </c>
      <c r="V144" s="30" t="n">
        <v>0</v>
      </c>
      <c r="W144" s="30" t="n">
        <v>0</v>
      </c>
      <c r="X144" s="30" t="n">
        <v>0</v>
      </c>
      <c r="Y144" s="30" t="n">
        <v>0</v>
      </c>
      <c r="Z144" s="30" t="n">
        <v>0</v>
      </c>
      <c r="AA144" s="30" t="n">
        <v>0</v>
      </c>
      <c r="AB144" s="30" t="n">
        <v>0</v>
      </c>
      <c r="AC144" s="30" t="n">
        <v>0</v>
      </c>
      <c r="AD144" s="30" t="n">
        <v>0</v>
      </c>
      <c r="AE144" s="30" t="n">
        <v>0</v>
      </c>
      <c r="AF144" s="30" t="n">
        <v>0</v>
      </c>
      <c r="AG144" s="30" t="n">
        <v>0</v>
      </c>
      <c r="AH144" s="30" t="n">
        <v>0</v>
      </c>
      <c r="AI144" s="30" t="n">
        <v>0</v>
      </c>
      <c r="AJ144" s="30" t="n">
        <v>0</v>
      </c>
      <c r="AK144" s="30" t="n">
        <v>0</v>
      </c>
      <c r="AL144" s="30" t="n">
        <v>0</v>
      </c>
      <c r="AM144" s="30" t="n">
        <v>0</v>
      </c>
      <c r="AN144" s="30" t="n">
        <v>0</v>
      </c>
      <c r="AO144" s="30" t="n">
        <v>0</v>
      </c>
      <c r="AP144" s="30" t="n">
        <v>0</v>
      </c>
      <c r="AQ144" s="30" t="n">
        <v>0</v>
      </c>
      <c r="AR144" s="30" t="n">
        <v>0</v>
      </c>
      <c r="AS144" s="30" t="n">
        <v>0</v>
      </c>
      <c r="AT144" s="30" t="n">
        <v>0</v>
      </c>
      <c r="AU144" s="30" t="n">
        <v>0</v>
      </c>
      <c r="AV144" s="30" t="n">
        <v>0</v>
      </c>
      <c r="AW144" s="30" t="n">
        <v>0</v>
      </c>
      <c r="AX144" s="30" t="n">
        <v>0</v>
      </c>
      <c r="AY144" s="30" t="n">
        <v>0</v>
      </c>
      <c r="AZ144" s="30" t="n">
        <v>0</v>
      </c>
      <c r="BA144" s="30" t="n">
        <v>0</v>
      </c>
      <c r="BB144" s="30" t="n">
        <v>0</v>
      </c>
      <c r="BC144" s="30" t="n">
        <v>0</v>
      </c>
      <c r="BD144" s="30" t="n">
        <v>0</v>
      </c>
      <c r="BE144" s="30" t="n">
        <v>0</v>
      </c>
      <c r="BF144" s="30" t="n">
        <v>0</v>
      </c>
      <c r="BG144" s="30" t="n">
        <v>0</v>
      </c>
      <c r="BH144" s="30" t="n">
        <v>0</v>
      </c>
      <c r="BI144" s="30" t="n">
        <v>0</v>
      </c>
      <c r="BJ144" s="30" t="n">
        <v>0</v>
      </c>
      <c r="BK144" s="30" t="n">
        <v>0</v>
      </c>
      <c r="BL144" s="30" t="n">
        <v>0</v>
      </c>
      <c r="BM144" s="30" t="n">
        <v>0</v>
      </c>
      <c r="BN144" s="30" t="n">
        <v>0</v>
      </c>
      <c r="BO144" s="30" t="n">
        <v>0</v>
      </c>
      <c r="BP144" s="30" t="n">
        <v>0</v>
      </c>
      <c r="BQ144" s="30" t="n">
        <v>0</v>
      </c>
      <c r="BR144" s="30" t="n">
        <v>0</v>
      </c>
      <c r="BS144" s="30" t="n">
        <v>0</v>
      </c>
      <c r="BT144" s="30" t="n">
        <v>0</v>
      </c>
      <c r="BU144" s="30" t="n">
        <v>0</v>
      </c>
      <c r="BV144" s="30" t="n">
        <v>0</v>
      </c>
      <c r="BW144" s="30" t="n">
        <v>0</v>
      </c>
      <c r="BX144" s="30" t="n">
        <v>0</v>
      </c>
      <c r="BY144" s="30" t="n">
        <v>0</v>
      </c>
      <c r="BZ144" s="30" t="n">
        <v>0</v>
      </c>
      <c r="CA144" s="30" t="n">
        <v>0</v>
      </c>
      <c r="CB144" s="30" t="n">
        <v>0</v>
      </c>
      <c r="CC144" s="30" t="n">
        <v>0</v>
      </c>
      <c r="CD144" s="30" t="n">
        <v>0</v>
      </c>
      <c r="CE144" s="30" t="n">
        <v>0</v>
      </c>
      <c r="CF144" s="30" t="n">
        <v>0</v>
      </c>
      <c r="CG144" s="30" t="n">
        <v>0</v>
      </c>
      <c r="CH144" s="30" t="n">
        <v>0</v>
      </c>
      <c r="CI144" s="30" t="n">
        <v>0</v>
      </c>
      <c r="CJ144" s="30" t="n">
        <v>0</v>
      </c>
      <c r="CK144" s="30" t="n">
        <v>0</v>
      </c>
      <c r="CL144" s="30" t="n">
        <v>0</v>
      </c>
      <c r="CM144" s="30" t="n">
        <v>0</v>
      </c>
      <c r="CN144" s="30" t="n">
        <v>0</v>
      </c>
      <c r="CO144" s="30" t="n">
        <v>0</v>
      </c>
      <c r="CP144" s="30" t="n">
        <v>0</v>
      </c>
      <c r="CQ144" s="30" t="n">
        <v>0</v>
      </c>
      <c r="CR144" s="30" t="n">
        <v>0</v>
      </c>
      <c r="CS144" s="30" t="n">
        <v>0</v>
      </c>
      <c r="CT144" s="30" t="n">
        <v>0</v>
      </c>
      <c r="CU144" s="30" t="n">
        <v>0</v>
      </c>
      <c r="CV144" s="30" t="n">
        <v>0</v>
      </c>
      <c r="CW144" s="30" t="n">
        <v>0</v>
      </c>
      <c r="CX144" s="30" t="n">
        <v>0</v>
      </c>
      <c r="CY144" s="30" t="n">
        <v>0</v>
      </c>
      <c r="CZ144" s="30" t="n">
        <v>0</v>
      </c>
      <c r="DA144" s="30" t="n">
        <v>0</v>
      </c>
    </row>
    <row r="145">
      <c r="A145" t="inlineStr">
        <is>
          <t>VSP-870</t>
        </is>
      </c>
      <c r="B145" s="30" t="n">
        <v>0</v>
      </c>
      <c r="C145" s="30" t="n">
        <v>0</v>
      </c>
      <c r="D145" s="30" t="n">
        <v>0</v>
      </c>
      <c r="E145" s="30" t="n">
        <v>0</v>
      </c>
      <c r="F145" s="30" t="n">
        <v>0</v>
      </c>
      <c r="G145" s="30" t="n">
        <v>0</v>
      </c>
      <c r="H145" s="30" t="n">
        <v>0</v>
      </c>
      <c r="I145" s="30" t="n">
        <v>0</v>
      </c>
      <c r="J145" s="30" t="n">
        <v>0</v>
      </c>
      <c r="K145" s="30" t="n">
        <v>0</v>
      </c>
      <c r="L145" s="30" t="n">
        <v>0</v>
      </c>
      <c r="M145" s="30" t="n">
        <v>0</v>
      </c>
      <c r="N145" s="30" t="n">
        <v>0</v>
      </c>
      <c r="O145" s="30" t="n">
        <v>0</v>
      </c>
      <c r="P145" s="30" t="n">
        <v>0</v>
      </c>
      <c r="Q145" s="30" t="n">
        <v>0</v>
      </c>
      <c r="R145" s="30" t="n">
        <v>0</v>
      </c>
      <c r="S145" s="30" t="n">
        <v>0</v>
      </c>
      <c r="T145" s="30" t="n">
        <v>0</v>
      </c>
      <c r="U145" s="30" t="n">
        <v>0</v>
      </c>
      <c r="V145" s="30" t="n">
        <v>0</v>
      </c>
      <c r="W145" s="30" t="n">
        <v>0</v>
      </c>
      <c r="X145" s="30" t="n">
        <v>0</v>
      </c>
      <c r="Y145" s="30" t="n">
        <v>0</v>
      </c>
      <c r="Z145" s="30" t="n">
        <v>0</v>
      </c>
      <c r="AA145" s="30" t="n">
        <v>0</v>
      </c>
      <c r="AB145" s="30" t="n">
        <v>0</v>
      </c>
      <c r="AC145" s="30" t="n">
        <v>0</v>
      </c>
      <c r="AD145" s="30" t="n">
        <v>0</v>
      </c>
      <c r="AE145" s="30" t="n">
        <v>0</v>
      </c>
      <c r="AF145" s="30" t="n">
        <v>0</v>
      </c>
      <c r="AG145" s="30" t="n">
        <v>0</v>
      </c>
      <c r="AH145" s="30" t="n">
        <v>0</v>
      </c>
      <c r="AI145" s="30" t="n">
        <v>0</v>
      </c>
      <c r="AJ145" s="30" t="n">
        <v>0</v>
      </c>
      <c r="AK145" s="30" t="n">
        <v>0</v>
      </c>
      <c r="AL145" s="30" t="n">
        <v>0</v>
      </c>
      <c r="AM145" s="30" t="n">
        <v>0</v>
      </c>
      <c r="AN145" s="30" t="n">
        <v>0</v>
      </c>
      <c r="AO145" s="30" t="n">
        <v>0</v>
      </c>
      <c r="AP145" s="30" t="n">
        <v>0</v>
      </c>
      <c r="AQ145" s="30" t="n">
        <v>0</v>
      </c>
      <c r="AR145" s="30" t="n">
        <v>0</v>
      </c>
      <c r="AS145" s="30" t="n">
        <v>0</v>
      </c>
      <c r="AT145" s="30" t="n">
        <v>0</v>
      </c>
      <c r="AU145" s="30" t="n">
        <v>0</v>
      </c>
      <c r="AV145" s="30" t="n">
        <v>0</v>
      </c>
      <c r="AW145" s="30" t="n">
        <v>0</v>
      </c>
      <c r="AX145" s="30" t="n">
        <v>0</v>
      </c>
      <c r="AY145" s="30" t="n">
        <v>0</v>
      </c>
      <c r="AZ145" s="30" t="n">
        <v>0</v>
      </c>
      <c r="BA145" s="30" t="n">
        <v>0</v>
      </c>
      <c r="BB145" s="30" t="n">
        <v>0</v>
      </c>
      <c r="BC145" s="30" t="n">
        <v>0</v>
      </c>
      <c r="BD145" s="30" t="n">
        <v>0</v>
      </c>
      <c r="BE145" s="30" t="n">
        <v>0</v>
      </c>
      <c r="BF145" s="30" t="n">
        <v>0</v>
      </c>
      <c r="BG145" s="30" t="n">
        <v>0</v>
      </c>
      <c r="BH145" s="30" t="n">
        <v>0</v>
      </c>
      <c r="BI145" s="30" t="n">
        <v>0</v>
      </c>
      <c r="BJ145" s="30" t="n">
        <v>0</v>
      </c>
      <c r="BK145" s="30" t="n">
        <v>0</v>
      </c>
      <c r="BL145" s="30" t="n">
        <v>0</v>
      </c>
      <c r="BM145" s="30" t="n">
        <v>0</v>
      </c>
      <c r="BN145" s="30" t="n">
        <v>0</v>
      </c>
      <c r="BO145" s="30" t="n">
        <v>0</v>
      </c>
      <c r="BP145" s="30" t="n">
        <v>0</v>
      </c>
      <c r="BQ145" s="30" t="n">
        <v>0</v>
      </c>
      <c r="BR145" s="30" t="n">
        <v>0</v>
      </c>
      <c r="BS145" s="30" t="n">
        <v>0</v>
      </c>
      <c r="BT145" s="30" t="n">
        <v>0</v>
      </c>
      <c r="BU145" s="30" t="n">
        <v>0</v>
      </c>
      <c r="BV145" s="30" t="n">
        <v>0</v>
      </c>
      <c r="BW145" s="30" t="n">
        <v>0</v>
      </c>
      <c r="BX145" s="30" t="n">
        <v>0</v>
      </c>
      <c r="BY145" s="30" t="n">
        <v>0</v>
      </c>
      <c r="BZ145" s="30" t="n">
        <v>0</v>
      </c>
      <c r="CA145" s="30" t="n">
        <v>0</v>
      </c>
      <c r="CB145" s="30" t="n">
        <v>0</v>
      </c>
      <c r="CC145" s="30" t="n">
        <v>0</v>
      </c>
      <c r="CD145" s="30" t="n">
        <v>0</v>
      </c>
      <c r="CE145" s="30" t="n">
        <v>0</v>
      </c>
      <c r="CF145" s="30" t="n">
        <v>0</v>
      </c>
      <c r="CG145" s="30" t="n">
        <v>0</v>
      </c>
      <c r="CH145" s="30" t="n">
        <v>0</v>
      </c>
      <c r="CI145" s="30" t="n">
        <v>0</v>
      </c>
      <c r="CJ145" s="30" t="n">
        <v>0</v>
      </c>
      <c r="CK145" s="30" t="n">
        <v>0</v>
      </c>
      <c r="CL145" s="30" t="n">
        <v>0</v>
      </c>
      <c r="CM145" s="30" t="n">
        <v>0</v>
      </c>
      <c r="CN145" s="30" t="n">
        <v>0</v>
      </c>
      <c r="CO145" s="30" t="n">
        <v>0</v>
      </c>
      <c r="CP145" s="30" t="n">
        <v>0</v>
      </c>
      <c r="CQ145" s="30" t="n">
        <v>0</v>
      </c>
      <c r="CR145" s="30" t="n">
        <v>0</v>
      </c>
      <c r="CS145" s="30" t="n">
        <v>0</v>
      </c>
      <c r="CT145" s="30" t="n">
        <v>0</v>
      </c>
      <c r="CU145" s="30" t="n">
        <v>0</v>
      </c>
      <c r="CV145" s="30" t="n">
        <v>0</v>
      </c>
      <c r="CW145" s="30" t="n">
        <v>0</v>
      </c>
      <c r="CX145" s="30" t="n">
        <v>0</v>
      </c>
      <c r="CY145" s="30" t="n">
        <v>0</v>
      </c>
      <c r="CZ145" s="30" t="n">
        <v>0</v>
      </c>
      <c r="DA145" s="30" t="n">
        <v>0</v>
      </c>
    </row>
    <row r="146">
      <c r="A146" t="inlineStr">
        <is>
          <t>VSP-999</t>
        </is>
      </c>
      <c r="B146" s="30" t="n">
        <v>0</v>
      </c>
      <c r="C146" s="30" t="n">
        <v>0</v>
      </c>
      <c r="D146" s="30" t="n">
        <v>0</v>
      </c>
      <c r="E146" s="30" t="n">
        <v>0</v>
      </c>
      <c r="F146" s="30" t="n">
        <v>0</v>
      </c>
      <c r="G146" s="30" t="n">
        <v>0</v>
      </c>
      <c r="H146" s="30" t="n">
        <v>0</v>
      </c>
      <c r="I146" s="30" t="n">
        <v>0</v>
      </c>
      <c r="J146" s="30" t="n">
        <v>0</v>
      </c>
      <c r="K146" s="30" t="n">
        <v>0</v>
      </c>
      <c r="L146" s="30" t="n">
        <v>0</v>
      </c>
      <c r="M146" s="30" t="n">
        <v>0</v>
      </c>
      <c r="N146" s="30" t="n">
        <v>0</v>
      </c>
      <c r="O146" s="30" t="n">
        <v>0</v>
      </c>
      <c r="P146" s="30" t="n">
        <v>0</v>
      </c>
      <c r="Q146" s="30" t="n">
        <v>0</v>
      </c>
      <c r="R146" s="30" t="n">
        <v>0</v>
      </c>
      <c r="S146" s="30" t="n">
        <v>0</v>
      </c>
      <c r="T146" s="30" t="n">
        <v>0</v>
      </c>
      <c r="U146" s="30" t="n">
        <v>0</v>
      </c>
      <c r="V146" s="30" t="n">
        <v>0</v>
      </c>
      <c r="W146" s="30" t="n">
        <v>0</v>
      </c>
      <c r="X146" s="30" t="n">
        <v>0</v>
      </c>
      <c r="Y146" s="30" t="n">
        <v>0</v>
      </c>
      <c r="Z146" s="30" t="n">
        <v>0</v>
      </c>
      <c r="AA146" s="30" t="n">
        <v>0</v>
      </c>
      <c r="AB146" s="30" t="n">
        <v>0</v>
      </c>
      <c r="AC146" s="30" t="n">
        <v>0</v>
      </c>
      <c r="AD146" s="30" t="n">
        <v>0</v>
      </c>
      <c r="AE146" s="30" t="n">
        <v>0</v>
      </c>
      <c r="AF146" s="30" t="n">
        <v>0</v>
      </c>
      <c r="AG146" s="30" t="n">
        <v>0</v>
      </c>
      <c r="AH146" s="30" t="n">
        <v>0</v>
      </c>
      <c r="AI146" s="30" t="n">
        <v>0</v>
      </c>
      <c r="AJ146" s="30" t="n">
        <v>0</v>
      </c>
      <c r="AK146" s="30" t="n">
        <v>0</v>
      </c>
      <c r="AL146" s="30" t="n">
        <v>0</v>
      </c>
      <c r="AM146" s="30" t="n">
        <v>0</v>
      </c>
      <c r="AN146" s="30" t="n">
        <v>0</v>
      </c>
      <c r="AO146" s="30" t="n">
        <v>0</v>
      </c>
      <c r="AP146" s="30" t="n">
        <v>0</v>
      </c>
      <c r="AQ146" s="30" t="n">
        <v>0</v>
      </c>
      <c r="AR146" s="30" t="n">
        <v>0</v>
      </c>
      <c r="AS146" s="30" t="n">
        <v>0</v>
      </c>
      <c r="AT146" s="30" t="n">
        <v>0</v>
      </c>
      <c r="AU146" s="30" t="n">
        <v>0</v>
      </c>
      <c r="AV146" s="30" t="n">
        <v>0</v>
      </c>
      <c r="AW146" s="30" t="n">
        <v>0</v>
      </c>
      <c r="AX146" s="30" t="n">
        <v>0</v>
      </c>
      <c r="AY146" s="30" t="n">
        <v>0</v>
      </c>
      <c r="AZ146" s="30" t="n">
        <v>0</v>
      </c>
      <c r="BA146" s="30" t="n">
        <v>0</v>
      </c>
      <c r="BB146" s="30" t="n">
        <v>0</v>
      </c>
      <c r="BC146" s="30" t="n">
        <v>0</v>
      </c>
      <c r="BD146" s="30" t="n">
        <v>0</v>
      </c>
      <c r="BE146" s="30" t="n">
        <v>0</v>
      </c>
      <c r="BF146" s="30" t="n">
        <v>0</v>
      </c>
      <c r="BG146" s="30" t="n">
        <v>0</v>
      </c>
      <c r="BH146" s="30" t="n">
        <v>0</v>
      </c>
      <c r="BI146" s="30" t="n">
        <v>0</v>
      </c>
      <c r="BJ146" s="30" t="n">
        <v>0</v>
      </c>
      <c r="BK146" s="30" t="n">
        <v>0</v>
      </c>
      <c r="BL146" s="30" t="n">
        <v>0</v>
      </c>
      <c r="BM146" s="30" t="n">
        <v>0</v>
      </c>
      <c r="BN146" s="30" t="n">
        <v>0</v>
      </c>
      <c r="BO146" s="30" t="n">
        <v>0</v>
      </c>
      <c r="BP146" s="30" t="n">
        <v>0</v>
      </c>
      <c r="BQ146" s="30" t="n">
        <v>0</v>
      </c>
      <c r="BR146" s="30" t="n">
        <v>0</v>
      </c>
      <c r="BS146" s="30" t="n">
        <v>0</v>
      </c>
      <c r="BT146" s="30" t="n">
        <v>0</v>
      </c>
      <c r="BU146" s="30" t="n">
        <v>0</v>
      </c>
      <c r="BV146" s="30" t="n">
        <v>0</v>
      </c>
      <c r="BW146" s="30" t="n">
        <v>0</v>
      </c>
      <c r="BX146" s="30" t="n">
        <v>0</v>
      </c>
      <c r="BY146" s="30" t="n">
        <v>0</v>
      </c>
      <c r="BZ146" s="30" t="n">
        <v>0</v>
      </c>
      <c r="CA146" s="30" t="n">
        <v>0</v>
      </c>
      <c r="CB146" s="30" t="n">
        <v>0</v>
      </c>
      <c r="CC146" s="30" t="n">
        <v>0</v>
      </c>
      <c r="CD146" s="30" t="n">
        <v>0</v>
      </c>
      <c r="CE146" s="30" t="n">
        <v>0</v>
      </c>
      <c r="CF146" s="30" t="n">
        <v>0</v>
      </c>
      <c r="CG146" s="30" t="n">
        <v>0</v>
      </c>
      <c r="CH146" s="30" t="n">
        <v>0</v>
      </c>
      <c r="CI146" s="30" t="n">
        <v>0</v>
      </c>
      <c r="CJ146" s="30" t="n">
        <v>0</v>
      </c>
      <c r="CK146" s="30" t="n">
        <v>0</v>
      </c>
      <c r="CL146" s="30" t="n">
        <v>0</v>
      </c>
      <c r="CM146" s="30" t="n">
        <v>0</v>
      </c>
      <c r="CN146" s="30" t="n">
        <v>0</v>
      </c>
      <c r="CO146" s="30" t="n">
        <v>0</v>
      </c>
      <c r="CP146" s="30" t="n">
        <v>0</v>
      </c>
      <c r="CQ146" s="30" t="n">
        <v>0</v>
      </c>
      <c r="CR146" s="30" t="n">
        <v>0</v>
      </c>
      <c r="CS146" s="30" t="n">
        <v>0</v>
      </c>
      <c r="CT146" s="30" t="n">
        <v>0</v>
      </c>
      <c r="CU146" s="30" t="n">
        <v>0</v>
      </c>
      <c r="CV146" s="30" t="n">
        <v>0</v>
      </c>
      <c r="CW146" s="30" t="n">
        <v>0</v>
      </c>
      <c r="CX146" s="30" t="n">
        <v>0</v>
      </c>
      <c r="CY146" s="30" t="n">
        <v>0</v>
      </c>
      <c r="CZ146" s="30" t="n">
        <v>0</v>
      </c>
      <c r="DA146" s="30" t="n">
        <v>0</v>
      </c>
    </row>
    <row r="147">
      <c r="A147" t="inlineStr">
        <is>
          <t>VSZ-745</t>
        </is>
      </c>
      <c r="B147" s="30" t="n">
        <v>0</v>
      </c>
      <c r="C147" s="30" t="n">
        <v>0</v>
      </c>
      <c r="D147" s="30" t="n">
        <v>0</v>
      </c>
      <c r="E147" s="30" t="n">
        <v>0</v>
      </c>
      <c r="F147" s="30" t="n">
        <v>0</v>
      </c>
      <c r="G147" s="30" t="n">
        <v>0</v>
      </c>
      <c r="H147" s="30" t="n">
        <v>0</v>
      </c>
      <c r="I147" s="30" t="n">
        <v>0</v>
      </c>
      <c r="J147" s="30" t="n">
        <v>0</v>
      </c>
      <c r="K147" s="30" t="n">
        <v>0</v>
      </c>
      <c r="L147" s="30" t="n">
        <v>0</v>
      </c>
      <c r="M147" s="30" t="n">
        <v>0</v>
      </c>
      <c r="N147" s="30" t="n">
        <v>0</v>
      </c>
      <c r="O147" s="30" t="n">
        <v>0</v>
      </c>
      <c r="P147" s="30" t="n">
        <v>0</v>
      </c>
      <c r="Q147" s="30" t="n">
        <v>0</v>
      </c>
      <c r="R147" s="30" t="n">
        <v>0</v>
      </c>
      <c r="S147" s="30" t="n">
        <v>0</v>
      </c>
      <c r="T147" s="30" t="n">
        <v>0</v>
      </c>
      <c r="U147" s="30" t="n">
        <v>0</v>
      </c>
      <c r="V147" s="30" t="n">
        <v>0</v>
      </c>
      <c r="W147" s="30" t="n">
        <v>0</v>
      </c>
      <c r="X147" s="30" t="n">
        <v>0</v>
      </c>
      <c r="Y147" s="30" t="n">
        <v>0</v>
      </c>
      <c r="Z147" s="30" t="n">
        <v>0</v>
      </c>
      <c r="AA147" s="30" t="n">
        <v>0</v>
      </c>
      <c r="AB147" s="30" t="n">
        <v>0</v>
      </c>
      <c r="AC147" s="30" t="n">
        <v>0</v>
      </c>
      <c r="AD147" s="30" t="n">
        <v>0</v>
      </c>
      <c r="AE147" s="30" t="n">
        <v>0</v>
      </c>
      <c r="AF147" s="30" t="n">
        <v>0</v>
      </c>
      <c r="AG147" s="30" t="n">
        <v>0</v>
      </c>
      <c r="AH147" s="30" t="n">
        <v>0</v>
      </c>
      <c r="AI147" s="30" t="n">
        <v>0</v>
      </c>
      <c r="AJ147" s="30" t="n">
        <v>0</v>
      </c>
      <c r="AK147" s="30" t="n">
        <v>0</v>
      </c>
      <c r="AL147" s="30" t="n">
        <v>0</v>
      </c>
      <c r="AM147" s="30" t="n">
        <v>0</v>
      </c>
      <c r="AN147" s="30" t="n">
        <v>0</v>
      </c>
      <c r="AO147" s="30" t="n">
        <v>0</v>
      </c>
      <c r="AP147" s="30" t="n">
        <v>0</v>
      </c>
      <c r="AQ147" s="30" t="n">
        <v>0</v>
      </c>
      <c r="AR147" s="30" t="n">
        <v>0</v>
      </c>
      <c r="AS147" s="30" t="n">
        <v>0</v>
      </c>
      <c r="AT147" s="30" t="n">
        <v>0</v>
      </c>
      <c r="AU147" s="30" t="n">
        <v>0</v>
      </c>
      <c r="AV147" s="30" t="n">
        <v>0</v>
      </c>
      <c r="AW147" s="30" t="n">
        <v>0</v>
      </c>
      <c r="AX147" s="30" t="n">
        <v>0</v>
      </c>
      <c r="AY147" s="30" t="n">
        <v>0</v>
      </c>
      <c r="AZ147" s="30" t="n">
        <v>0</v>
      </c>
      <c r="BA147" s="30" t="n">
        <v>0</v>
      </c>
      <c r="BB147" s="30" t="n">
        <v>0</v>
      </c>
      <c r="BC147" s="30" t="n">
        <v>0</v>
      </c>
      <c r="BD147" s="30" t="n">
        <v>0</v>
      </c>
      <c r="BE147" s="30" t="n">
        <v>0</v>
      </c>
      <c r="BF147" s="30" t="n">
        <v>0</v>
      </c>
      <c r="BG147" s="30" t="n">
        <v>0</v>
      </c>
      <c r="BH147" s="30" t="n">
        <v>0</v>
      </c>
      <c r="BI147" s="30" t="n">
        <v>0</v>
      </c>
      <c r="BJ147" s="30" t="n">
        <v>0</v>
      </c>
      <c r="BK147" s="30" t="n">
        <v>0</v>
      </c>
      <c r="BL147" s="30" t="n">
        <v>0</v>
      </c>
      <c r="BM147" s="30" t="n">
        <v>0</v>
      </c>
      <c r="BN147" s="30" t="n">
        <v>0</v>
      </c>
      <c r="BO147" s="30" t="n">
        <v>0</v>
      </c>
      <c r="BP147" s="30" t="n">
        <v>0</v>
      </c>
      <c r="BQ147" s="30" t="n">
        <v>0</v>
      </c>
      <c r="BR147" s="30" t="n">
        <v>0</v>
      </c>
      <c r="BS147" s="30" t="n">
        <v>0</v>
      </c>
      <c r="BT147" s="30" t="n">
        <v>0</v>
      </c>
      <c r="BU147" s="30" t="n">
        <v>0</v>
      </c>
      <c r="BV147" s="30" t="n">
        <v>0</v>
      </c>
      <c r="BW147" s="30" t="n">
        <v>0</v>
      </c>
      <c r="BX147" s="30" t="n">
        <v>0</v>
      </c>
      <c r="BY147" s="30" t="n">
        <v>0</v>
      </c>
      <c r="BZ147" s="30" t="n">
        <v>0</v>
      </c>
      <c r="CA147" s="30" t="n">
        <v>0</v>
      </c>
      <c r="CB147" s="30" t="n">
        <v>0</v>
      </c>
      <c r="CC147" s="30" t="n">
        <v>0</v>
      </c>
      <c r="CD147" s="30" t="n">
        <v>0</v>
      </c>
      <c r="CE147" s="30" t="n">
        <v>0</v>
      </c>
      <c r="CF147" s="30" t="n">
        <v>0</v>
      </c>
      <c r="CG147" s="30" t="n">
        <v>0</v>
      </c>
      <c r="CH147" s="30" t="n">
        <v>0</v>
      </c>
      <c r="CI147" s="30" t="n">
        <v>0</v>
      </c>
      <c r="CJ147" s="30" t="n">
        <v>0</v>
      </c>
      <c r="CK147" s="30" t="n">
        <v>0</v>
      </c>
      <c r="CL147" s="30" t="n">
        <v>0</v>
      </c>
      <c r="CM147" s="30" t="n">
        <v>0</v>
      </c>
      <c r="CN147" s="30" t="n">
        <v>0</v>
      </c>
      <c r="CO147" s="30" t="n">
        <v>0</v>
      </c>
      <c r="CP147" s="30" t="n">
        <v>0</v>
      </c>
      <c r="CQ147" s="30" t="n">
        <v>0</v>
      </c>
      <c r="CR147" s="30" t="n">
        <v>0</v>
      </c>
      <c r="CS147" s="30" t="n">
        <v>0</v>
      </c>
      <c r="CT147" s="30" t="n">
        <v>0</v>
      </c>
      <c r="CU147" s="30" t="n">
        <v>0</v>
      </c>
      <c r="CV147" s="30" t="n">
        <v>0</v>
      </c>
      <c r="CW147" s="30" t="n">
        <v>0</v>
      </c>
      <c r="CX147" s="30" t="n">
        <v>0</v>
      </c>
      <c r="CY147" s="30" t="n">
        <v>0</v>
      </c>
      <c r="CZ147" s="30" t="n">
        <v>0</v>
      </c>
      <c r="DA147" s="30" t="n">
        <v>0</v>
      </c>
    </row>
    <row r="148">
      <c r="A148" t="inlineStr">
        <is>
          <t>0Q110</t>
        </is>
      </c>
      <c r="B148" s="30" t="n">
        <v>0</v>
      </c>
      <c r="C148" s="30" t="n">
        <v>0</v>
      </c>
      <c r="D148" s="30" t="n">
        <v>0</v>
      </c>
      <c r="E148" s="30" t="n">
        <v>0</v>
      </c>
      <c r="F148" s="30" t="n">
        <v>0</v>
      </c>
      <c r="G148" s="30" t="n">
        <v>0</v>
      </c>
      <c r="H148" s="30" t="n">
        <v>0</v>
      </c>
      <c r="I148" s="30" t="n">
        <v>0</v>
      </c>
      <c r="J148" s="30" t="n">
        <v>0</v>
      </c>
      <c r="K148" s="30" t="n">
        <v>0</v>
      </c>
      <c r="L148" s="30" t="n">
        <v>0</v>
      </c>
      <c r="M148" s="30" t="n">
        <v>0</v>
      </c>
      <c r="N148" s="30" t="n">
        <v>0</v>
      </c>
      <c r="O148" s="30" t="n">
        <v>0</v>
      </c>
      <c r="P148" s="30" t="n">
        <v>0</v>
      </c>
      <c r="Q148" s="30" t="n">
        <v>0</v>
      </c>
      <c r="R148" s="30" t="n">
        <v>0</v>
      </c>
      <c r="S148" s="30" t="n">
        <v>0</v>
      </c>
      <c r="T148" s="30" t="n">
        <v>0</v>
      </c>
      <c r="U148" s="30" t="n">
        <v>0</v>
      </c>
      <c r="V148" s="30" t="n">
        <v>0</v>
      </c>
      <c r="W148" s="30" t="n">
        <v>0</v>
      </c>
      <c r="X148" s="30" t="n">
        <v>0</v>
      </c>
      <c r="Y148" s="30" t="n">
        <v>0</v>
      </c>
      <c r="Z148" s="30" t="n">
        <v>0</v>
      </c>
      <c r="AA148" s="30" t="n">
        <v>0</v>
      </c>
      <c r="AB148" s="30" t="n">
        <v>0</v>
      </c>
      <c r="AC148" s="30" t="n">
        <v>0</v>
      </c>
      <c r="AD148" s="30" t="n">
        <v>0</v>
      </c>
      <c r="AE148" s="30" t="n">
        <v>0</v>
      </c>
      <c r="AF148" s="30" t="n">
        <v>0</v>
      </c>
      <c r="AG148" s="30" t="n">
        <v>0</v>
      </c>
      <c r="AH148" s="30" t="n">
        <v>0</v>
      </c>
      <c r="AI148" s="30" t="n">
        <v>0</v>
      </c>
      <c r="AJ148" s="30" t="n">
        <v>0</v>
      </c>
      <c r="AK148" s="30" t="n">
        <v>0</v>
      </c>
      <c r="AL148" s="30" t="n">
        <v>0</v>
      </c>
      <c r="AM148" s="30" t="n">
        <v>0</v>
      </c>
      <c r="AN148" s="30" t="n">
        <v>0</v>
      </c>
      <c r="AO148" s="30" t="n">
        <v>0</v>
      </c>
      <c r="AP148" s="30" t="n">
        <v>0</v>
      </c>
      <c r="AQ148" s="30" t="n">
        <v>0</v>
      </c>
      <c r="AR148" s="30" t="n">
        <v>0</v>
      </c>
      <c r="AS148" s="30" t="n">
        <v>0</v>
      </c>
      <c r="AT148" s="30" t="n">
        <v>0</v>
      </c>
      <c r="AU148" s="30" t="n">
        <v>0</v>
      </c>
      <c r="AV148" s="30" t="n">
        <v>0</v>
      </c>
      <c r="AW148" s="30" t="n">
        <v>0</v>
      </c>
      <c r="AX148" s="30" t="n">
        <v>0</v>
      </c>
      <c r="AY148" s="30" t="n">
        <v>0</v>
      </c>
      <c r="AZ148" s="30" t="n">
        <v>0</v>
      </c>
      <c r="BA148" s="30" t="n">
        <v>0</v>
      </c>
      <c r="BB148" s="30" t="n">
        <v>0</v>
      </c>
      <c r="BC148" s="30" t="n">
        <v>0</v>
      </c>
      <c r="BD148" s="30" t="n">
        <v>0</v>
      </c>
      <c r="BE148" s="30" t="n">
        <v>0</v>
      </c>
      <c r="BF148" s="30" t="n">
        <v>0</v>
      </c>
      <c r="BG148" s="30" t="n">
        <v>0</v>
      </c>
      <c r="BH148" s="30" t="n">
        <v>0</v>
      </c>
      <c r="BI148" s="30" t="n">
        <v>0</v>
      </c>
      <c r="BJ148" s="30" t="n">
        <v>0</v>
      </c>
      <c r="BK148" s="30" t="n">
        <v>0</v>
      </c>
      <c r="BL148" s="30" t="n">
        <v>0</v>
      </c>
      <c r="BM148" s="30" t="n">
        <v>0</v>
      </c>
      <c r="BN148" s="30" t="n">
        <v>0</v>
      </c>
      <c r="BO148" s="30" t="n">
        <v>0</v>
      </c>
      <c r="BP148" s="30" t="n">
        <v>0</v>
      </c>
      <c r="BQ148" s="30" t="n">
        <v>0</v>
      </c>
      <c r="BR148" s="30" t="n">
        <v>0</v>
      </c>
      <c r="BS148" s="30" t="n">
        <v>0</v>
      </c>
      <c r="BT148" s="30" t="n">
        <v>0</v>
      </c>
      <c r="BU148" s="30" t="n">
        <v>0</v>
      </c>
      <c r="BV148" s="30" t="n">
        <v>0</v>
      </c>
      <c r="BW148" s="30" t="n">
        <v>0</v>
      </c>
      <c r="BX148" s="30" t="n">
        <v>0</v>
      </c>
      <c r="BY148" s="30" t="n">
        <v>0</v>
      </c>
      <c r="BZ148" s="30" t="n">
        <v>0</v>
      </c>
      <c r="CA148" s="30" t="n">
        <v>0</v>
      </c>
      <c r="CB148" s="30" t="n">
        <v>0</v>
      </c>
      <c r="CC148" s="30" t="n">
        <v>0</v>
      </c>
      <c r="CD148" s="30" t="n">
        <v>0</v>
      </c>
      <c r="CE148" s="30" t="n">
        <v>0</v>
      </c>
      <c r="CF148" s="30" t="n">
        <v>0</v>
      </c>
      <c r="CG148" s="30" t="n">
        <v>0</v>
      </c>
      <c r="CH148" s="30" t="n">
        <v>0</v>
      </c>
      <c r="CI148" s="30" t="n">
        <v>0</v>
      </c>
      <c r="CJ148" s="30" t="n">
        <v>0</v>
      </c>
      <c r="CK148" s="30" t="n">
        <v>0</v>
      </c>
      <c r="CL148" s="30" t="n">
        <v>0</v>
      </c>
      <c r="CM148" s="30" t="n">
        <v>0</v>
      </c>
      <c r="CN148" s="30" t="n">
        <v>0</v>
      </c>
      <c r="CO148" s="30" t="n">
        <v>0</v>
      </c>
      <c r="CP148" s="30" t="n">
        <v>0</v>
      </c>
      <c r="CQ148" s="30" t="n">
        <v>0</v>
      </c>
      <c r="CR148" s="30" t="n">
        <v>0</v>
      </c>
      <c r="CS148" s="30" t="n">
        <v>0</v>
      </c>
      <c r="CT148" s="30" t="n">
        <v>0</v>
      </c>
      <c r="CU148" s="30" t="n">
        <v>0</v>
      </c>
      <c r="CV148" s="30" t="n">
        <v>0</v>
      </c>
      <c r="CW148" s="30" t="n">
        <v>0</v>
      </c>
      <c r="CX148" s="30" t="n">
        <v>0</v>
      </c>
      <c r="CY148" s="30" t="n">
        <v>0</v>
      </c>
      <c r="CZ148" s="30" t="n">
        <v>0</v>
      </c>
      <c r="DA148" s="30" t="n">
        <v>0</v>
      </c>
    </row>
    <row r="149">
      <c r="A149" t="inlineStr">
        <is>
          <t>0Q120</t>
        </is>
      </c>
      <c r="B149" s="30" t="n">
        <v>0</v>
      </c>
      <c r="C149" s="30" t="n">
        <v>0</v>
      </c>
      <c r="D149" s="30" t="n">
        <v>0</v>
      </c>
      <c r="E149" s="30" t="n">
        <v>0</v>
      </c>
      <c r="F149" s="30" t="n">
        <v>0</v>
      </c>
      <c r="G149" s="30" t="n">
        <v>0</v>
      </c>
      <c r="H149" s="30" t="n">
        <v>0</v>
      </c>
      <c r="I149" s="30" t="n">
        <v>0</v>
      </c>
      <c r="J149" s="30" t="n">
        <v>0</v>
      </c>
      <c r="K149" s="30" t="n">
        <v>0</v>
      </c>
      <c r="L149" s="30" t="n">
        <v>0</v>
      </c>
      <c r="M149" s="30" t="n">
        <v>0</v>
      </c>
      <c r="N149" s="30" t="n">
        <v>0</v>
      </c>
      <c r="O149" s="30" t="n">
        <v>0</v>
      </c>
      <c r="P149" s="30" t="n">
        <v>0</v>
      </c>
      <c r="Q149" s="30" t="n">
        <v>0</v>
      </c>
      <c r="R149" s="30" t="n">
        <v>0</v>
      </c>
      <c r="S149" s="30" t="n">
        <v>0</v>
      </c>
      <c r="T149" s="30" t="n">
        <v>0</v>
      </c>
      <c r="U149" s="30" t="n">
        <v>0</v>
      </c>
      <c r="V149" s="30" t="n">
        <v>0</v>
      </c>
      <c r="W149" s="30" t="n">
        <v>0</v>
      </c>
      <c r="X149" s="30" t="n">
        <v>0</v>
      </c>
      <c r="Y149" s="30" t="n">
        <v>0</v>
      </c>
      <c r="Z149" s="30" t="n">
        <v>0</v>
      </c>
      <c r="AA149" s="30" t="n">
        <v>0</v>
      </c>
      <c r="AB149" s="30" t="n">
        <v>0</v>
      </c>
      <c r="AC149" s="30" t="n">
        <v>0</v>
      </c>
      <c r="AD149" s="30" t="n">
        <v>0</v>
      </c>
      <c r="AE149" s="30" t="n">
        <v>0</v>
      </c>
      <c r="AF149" s="30" t="n">
        <v>0</v>
      </c>
      <c r="AG149" s="30" t="n">
        <v>0</v>
      </c>
      <c r="AH149" s="30" t="n">
        <v>0</v>
      </c>
      <c r="AI149" s="30" t="n">
        <v>0</v>
      </c>
      <c r="AJ149" s="30" t="n">
        <v>0</v>
      </c>
      <c r="AK149" s="30" t="n">
        <v>0</v>
      </c>
      <c r="AL149" s="30" t="n">
        <v>0</v>
      </c>
      <c r="AM149" s="30" t="n">
        <v>0</v>
      </c>
      <c r="AN149" s="30" t="n">
        <v>0</v>
      </c>
      <c r="AO149" s="30" t="n">
        <v>0</v>
      </c>
      <c r="AP149" s="30" t="n">
        <v>0</v>
      </c>
      <c r="AQ149" s="30" t="n">
        <v>0</v>
      </c>
      <c r="AR149" s="30" t="n">
        <v>0</v>
      </c>
      <c r="AS149" s="30" t="n">
        <v>0</v>
      </c>
      <c r="AT149" s="30" t="n">
        <v>0</v>
      </c>
      <c r="AU149" s="30" t="n">
        <v>0</v>
      </c>
      <c r="AV149" s="30" t="n">
        <v>0</v>
      </c>
      <c r="AW149" s="30" t="n">
        <v>0</v>
      </c>
      <c r="AX149" s="30" t="n">
        <v>0</v>
      </c>
      <c r="AY149" s="30" t="n">
        <v>0</v>
      </c>
      <c r="AZ149" s="30" t="n">
        <v>0</v>
      </c>
      <c r="BA149" s="30" t="n">
        <v>0</v>
      </c>
      <c r="BB149" s="30" t="n">
        <v>0</v>
      </c>
      <c r="BC149" s="30" t="n">
        <v>0</v>
      </c>
      <c r="BD149" s="30" t="n">
        <v>0</v>
      </c>
      <c r="BE149" s="30" t="n">
        <v>0</v>
      </c>
      <c r="BF149" s="30" t="n">
        <v>0</v>
      </c>
      <c r="BG149" s="30" t="n">
        <v>0</v>
      </c>
      <c r="BH149" s="30" t="n">
        <v>0</v>
      </c>
      <c r="BI149" s="30" t="n">
        <v>0</v>
      </c>
      <c r="BJ149" s="30" t="n">
        <v>0</v>
      </c>
      <c r="BK149" s="30" t="n">
        <v>0</v>
      </c>
      <c r="BL149" s="30" t="n">
        <v>0</v>
      </c>
      <c r="BM149" s="30" t="n">
        <v>0</v>
      </c>
      <c r="BN149" s="30" t="n">
        <v>0</v>
      </c>
      <c r="BO149" s="30" t="n">
        <v>0</v>
      </c>
      <c r="BP149" s="30" t="n">
        <v>0</v>
      </c>
      <c r="BQ149" s="30" t="n">
        <v>0</v>
      </c>
      <c r="BR149" s="30" t="n">
        <v>0</v>
      </c>
      <c r="BS149" s="30" t="n">
        <v>0</v>
      </c>
      <c r="BT149" s="30" t="n">
        <v>0</v>
      </c>
      <c r="BU149" s="30" t="n">
        <v>0</v>
      </c>
      <c r="BV149" s="30" t="n">
        <v>0</v>
      </c>
      <c r="BW149" s="30" t="n">
        <v>0</v>
      </c>
      <c r="BX149" s="30" t="n">
        <v>0</v>
      </c>
      <c r="BY149" s="30" t="n">
        <v>0</v>
      </c>
      <c r="BZ149" s="30" t="n">
        <v>0</v>
      </c>
      <c r="CA149" s="30" t="n">
        <v>0</v>
      </c>
      <c r="CB149" s="30" t="n">
        <v>0</v>
      </c>
      <c r="CC149" s="30" t="n">
        <v>0</v>
      </c>
      <c r="CD149" s="30" t="n">
        <v>0</v>
      </c>
      <c r="CE149" s="30" t="n">
        <v>0</v>
      </c>
      <c r="CF149" s="30" t="n">
        <v>0</v>
      </c>
      <c r="CG149" s="30" t="n">
        <v>0</v>
      </c>
      <c r="CH149" s="30" t="n">
        <v>0</v>
      </c>
      <c r="CI149" s="30" t="n">
        <v>0</v>
      </c>
      <c r="CJ149" s="30" t="n">
        <v>0</v>
      </c>
      <c r="CK149" s="30" t="n">
        <v>0</v>
      </c>
      <c r="CL149" s="30" t="n">
        <v>0</v>
      </c>
      <c r="CM149" s="30" t="n">
        <v>0</v>
      </c>
      <c r="CN149" s="30" t="n">
        <v>0</v>
      </c>
      <c r="CO149" s="30" t="n">
        <v>0</v>
      </c>
      <c r="CP149" s="30" t="n">
        <v>0</v>
      </c>
      <c r="CQ149" s="30" t="n">
        <v>0</v>
      </c>
      <c r="CR149" s="30" t="n">
        <v>0</v>
      </c>
      <c r="CS149" s="30" t="n">
        <v>0</v>
      </c>
      <c r="CT149" s="30" t="n">
        <v>0</v>
      </c>
      <c r="CU149" s="30" t="n">
        <v>0</v>
      </c>
      <c r="CV149" s="30" t="n">
        <v>0</v>
      </c>
      <c r="CW149" s="30" t="n">
        <v>0</v>
      </c>
      <c r="CX149" s="30" t="n">
        <v>0</v>
      </c>
      <c r="CY149" s="30" t="n">
        <v>0</v>
      </c>
      <c r="CZ149" s="30" t="n">
        <v>0</v>
      </c>
      <c r="DA149" s="30" t="n">
        <v>0</v>
      </c>
    </row>
    <row r="150">
      <c r="A150" t="inlineStr">
        <is>
          <t>0TA30</t>
        </is>
      </c>
      <c r="B150" s="30" t="n">
        <v>0</v>
      </c>
      <c r="C150" s="30" t="n">
        <v>0</v>
      </c>
      <c r="D150" s="30" t="n">
        <v>0</v>
      </c>
      <c r="E150" s="30" t="n">
        <v>0</v>
      </c>
      <c r="F150" s="30" t="n">
        <v>0</v>
      </c>
      <c r="G150" s="30" t="n">
        <v>0</v>
      </c>
      <c r="H150" s="30" t="n">
        <v>0</v>
      </c>
      <c r="I150" s="30" t="n">
        <v>0</v>
      </c>
      <c r="J150" s="30" t="n">
        <v>0</v>
      </c>
      <c r="K150" s="30" t="n">
        <v>0</v>
      </c>
      <c r="L150" s="30" t="n">
        <v>0</v>
      </c>
      <c r="M150" s="30" t="n">
        <v>0</v>
      </c>
      <c r="N150" s="30" t="n">
        <v>0</v>
      </c>
      <c r="O150" s="30" t="n">
        <v>0</v>
      </c>
      <c r="P150" s="30" t="n">
        <v>0</v>
      </c>
      <c r="Q150" s="30" t="n">
        <v>0</v>
      </c>
      <c r="R150" s="30" t="n">
        <v>0</v>
      </c>
      <c r="S150" s="30" t="n">
        <v>0</v>
      </c>
      <c r="T150" s="30" t="n">
        <v>0</v>
      </c>
      <c r="U150" s="30" t="n">
        <v>0</v>
      </c>
      <c r="V150" s="30" t="n">
        <v>0</v>
      </c>
      <c r="W150" s="30" t="n">
        <v>0</v>
      </c>
      <c r="X150" s="30" t="n">
        <v>0</v>
      </c>
      <c r="Y150" s="30" t="n">
        <v>0</v>
      </c>
      <c r="Z150" s="30" t="n">
        <v>0</v>
      </c>
      <c r="AA150" s="30" t="n">
        <v>0</v>
      </c>
      <c r="AB150" s="30" t="n">
        <v>2352</v>
      </c>
      <c r="AC150" s="30" t="n">
        <v>0</v>
      </c>
      <c r="AD150" s="30" t="n">
        <v>0</v>
      </c>
      <c r="AE150" s="30" t="n">
        <v>0</v>
      </c>
      <c r="AF150" s="30" t="n">
        <v>0</v>
      </c>
      <c r="AG150" s="30" t="n">
        <v>1176</v>
      </c>
      <c r="AH150" s="30" t="n">
        <v>0</v>
      </c>
      <c r="AI150" s="30" t="n">
        <v>0</v>
      </c>
      <c r="AJ150" s="30" t="n">
        <v>0</v>
      </c>
      <c r="AK150" s="30" t="n">
        <v>1176</v>
      </c>
      <c r="AL150" s="30" t="n">
        <v>0</v>
      </c>
      <c r="AM150" s="30" t="n">
        <v>0</v>
      </c>
      <c r="AN150" s="30" t="n">
        <v>0</v>
      </c>
      <c r="AO150" s="30" t="n">
        <v>0</v>
      </c>
      <c r="AP150" s="30" t="n">
        <v>1176</v>
      </c>
      <c r="AQ150" s="30" t="n">
        <v>0</v>
      </c>
      <c r="AR150" s="30" t="n">
        <v>0</v>
      </c>
      <c r="AS150" s="30" t="n">
        <v>0</v>
      </c>
      <c r="AT150" s="30" t="n">
        <v>1176</v>
      </c>
      <c r="AU150" s="30" t="n">
        <v>0</v>
      </c>
      <c r="AV150" s="30" t="n">
        <v>0</v>
      </c>
      <c r="AW150" s="30" t="n">
        <v>0</v>
      </c>
      <c r="AX150" s="30" t="n">
        <v>1176</v>
      </c>
      <c r="AY150" s="30" t="n">
        <v>0</v>
      </c>
      <c r="AZ150" s="30" t="n">
        <v>0</v>
      </c>
      <c r="BA150" s="30" t="n">
        <v>0</v>
      </c>
      <c r="BB150" s="30" t="n">
        <v>0</v>
      </c>
      <c r="BC150" s="30" t="n">
        <v>0</v>
      </c>
      <c r="BD150" s="30" t="n">
        <v>0</v>
      </c>
      <c r="BE150" s="30" t="n">
        <v>0</v>
      </c>
      <c r="BF150" s="30" t="n">
        <v>1176</v>
      </c>
      <c r="BG150" s="30" t="n">
        <v>0</v>
      </c>
      <c r="BH150" s="30" t="n">
        <v>0</v>
      </c>
      <c r="BI150" s="30" t="n">
        <v>0</v>
      </c>
      <c r="BJ150" s="30" t="n">
        <v>1176</v>
      </c>
      <c r="BK150" s="30" t="n">
        <v>0</v>
      </c>
      <c r="BL150" s="30" t="n">
        <v>0</v>
      </c>
      <c r="BM150" s="30" t="n">
        <v>0</v>
      </c>
      <c r="BN150" s="30" t="n">
        <v>1176</v>
      </c>
      <c r="BO150" s="30" t="n">
        <v>0</v>
      </c>
      <c r="BP150" s="30" t="n">
        <v>0</v>
      </c>
      <c r="BQ150" s="30" t="n">
        <v>0</v>
      </c>
      <c r="BR150" s="30" t="n">
        <v>1176</v>
      </c>
      <c r="BS150" s="30" t="n">
        <v>1176</v>
      </c>
      <c r="BT150" s="30" t="n">
        <v>1176</v>
      </c>
      <c r="BU150" s="30" t="n">
        <v>1176</v>
      </c>
      <c r="BV150" s="30" t="n">
        <v>0</v>
      </c>
      <c r="BW150" s="30" t="n">
        <v>1176</v>
      </c>
      <c r="BX150" s="30" t="n">
        <v>0</v>
      </c>
      <c r="BY150" s="30" t="n">
        <v>0</v>
      </c>
      <c r="BZ150" s="30" t="n">
        <v>0</v>
      </c>
      <c r="CA150" s="30" t="n">
        <v>0</v>
      </c>
      <c r="CB150" s="30" t="n">
        <v>0</v>
      </c>
      <c r="CC150" s="30" t="n">
        <v>0</v>
      </c>
      <c r="CD150" s="30" t="n">
        <v>0</v>
      </c>
      <c r="CE150" s="30" t="n">
        <v>0</v>
      </c>
      <c r="CF150" s="30" t="n">
        <v>0</v>
      </c>
      <c r="CG150" s="30" t="n">
        <v>0</v>
      </c>
      <c r="CH150" s="30" t="n">
        <v>0</v>
      </c>
      <c r="CI150" s="30" t="n">
        <v>0</v>
      </c>
      <c r="CJ150" s="30" t="n">
        <v>0</v>
      </c>
      <c r="CK150" s="30" t="n">
        <v>0</v>
      </c>
      <c r="CL150" s="30" t="n">
        <v>0</v>
      </c>
      <c r="CM150" s="30" t="n">
        <v>0</v>
      </c>
      <c r="CN150" s="30" t="n">
        <v>0</v>
      </c>
      <c r="CO150" s="30" t="n">
        <v>0</v>
      </c>
      <c r="CP150" s="30" t="n">
        <v>0</v>
      </c>
      <c r="CQ150" s="30" t="n">
        <v>0</v>
      </c>
      <c r="CR150" s="30" t="n">
        <v>0</v>
      </c>
      <c r="CS150" s="30" t="n">
        <v>0</v>
      </c>
      <c r="CT150" s="30" t="n">
        <v>0</v>
      </c>
      <c r="CU150" s="30" t="n">
        <v>0</v>
      </c>
      <c r="CV150" s="30" t="n">
        <v>0</v>
      </c>
      <c r="CW150" s="30" t="n">
        <v>0</v>
      </c>
      <c r="CX150" s="30" t="n">
        <v>0</v>
      </c>
      <c r="CY150" s="30" t="n">
        <v>0</v>
      </c>
      <c r="CZ150" s="30" t="n">
        <v>0</v>
      </c>
      <c r="DA150" s="30" t="n">
        <v>0</v>
      </c>
    </row>
    <row r="151">
      <c r="A151" t="inlineStr">
        <is>
          <t>Ester Film</t>
        </is>
      </c>
      <c r="B151" s="30" t="n">
        <v>0</v>
      </c>
      <c r="C151" s="30" t="n">
        <v>0</v>
      </c>
      <c r="D151" s="30" t="n">
        <v>0</v>
      </c>
      <c r="E151" s="30" t="n">
        <v>0</v>
      </c>
      <c r="F151" s="30" t="n">
        <v>0</v>
      </c>
      <c r="G151" s="30" t="n">
        <v>0</v>
      </c>
      <c r="H151" s="30" t="n">
        <v>0</v>
      </c>
      <c r="I151" s="30" t="n">
        <v>0</v>
      </c>
      <c r="J151" s="30" t="n">
        <v>0</v>
      </c>
      <c r="K151" s="30" t="n">
        <v>0</v>
      </c>
      <c r="L151" s="30" t="n">
        <v>0</v>
      </c>
      <c r="M151" s="30" t="n">
        <v>0</v>
      </c>
      <c r="N151" s="30" t="n">
        <v>0</v>
      </c>
      <c r="O151" s="30" t="n">
        <v>0</v>
      </c>
      <c r="P151" s="30" t="n">
        <v>0</v>
      </c>
      <c r="Q151" s="30" t="n">
        <v>0</v>
      </c>
      <c r="R151" s="30" t="n">
        <v>0</v>
      </c>
      <c r="S151" s="30" t="n">
        <v>0</v>
      </c>
      <c r="T151" s="30" t="n">
        <v>0</v>
      </c>
      <c r="U151" s="30" t="n">
        <v>0</v>
      </c>
      <c r="V151" s="30" t="n">
        <v>0</v>
      </c>
      <c r="W151" s="30" t="n">
        <v>0</v>
      </c>
      <c r="X151" s="30" t="n">
        <v>5</v>
      </c>
      <c r="Y151" s="30" t="n">
        <v>5</v>
      </c>
      <c r="Z151" s="30" t="n">
        <v>5</v>
      </c>
      <c r="AA151" s="30" t="n">
        <v>5</v>
      </c>
      <c r="AB151" s="30" t="n">
        <v>5</v>
      </c>
      <c r="AC151" s="30" t="n">
        <v>5</v>
      </c>
      <c r="AD151" s="30" t="n">
        <v>5</v>
      </c>
      <c r="AE151" s="30" t="n">
        <v>5</v>
      </c>
      <c r="AF151" s="30" t="n">
        <v>5</v>
      </c>
      <c r="AG151" s="30" t="n">
        <v>5</v>
      </c>
      <c r="AH151" s="30" t="n">
        <v>5</v>
      </c>
      <c r="AI151" s="30" t="n">
        <v>5</v>
      </c>
      <c r="AJ151" s="30" t="n">
        <v>5</v>
      </c>
      <c r="AK151" s="30" t="n">
        <v>5</v>
      </c>
      <c r="AL151" s="30" t="n">
        <v>5</v>
      </c>
      <c r="AM151" s="30" t="n">
        <v>5</v>
      </c>
      <c r="AN151" s="30" t="n">
        <v>5</v>
      </c>
      <c r="AO151" s="30" t="n">
        <v>5</v>
      </c>
      <c r="AP151" s="30" t="n">
        <v>5</v>
      </c>
      <c r="AQ151" s="30" t="n">
        <v>5</v>
      </c>
      <c r="AR151" s="30" t="n">
        <v>5</v>
      </c>
      <c r="AS151" s="30" t="n">
        <v>5</v>
      </c>
      <c r="AT151" s="30" t="n">
        <v>5</v>
      </c>
      <c r="AU151" s="30" t="n">
        <v>5</v>
      </c>
      <c r="AV151" s="30" t="n">
        <v>5</v>
      </c>
      <c r="AW151" s="30" t="n">
        <v>5</v>
      </c>
      <c r="AX151" s="30" t="n">
        <v>5</v>
      </c>
      <c r="AY151" s="30" t="n">
        <v>5</v>
      </c>
      <c r="AZ151" s="30" t="n">
        <v>5</v>
      </c>
      <c r="BA151" s="30" t="n">
        <v>5</v>
      </c>
      <c r="BB151" s="30" t="n">
        <v>5</v>
      </c>
      <c r="BC151" s="30" t="n">
        <v>5</v>
      </c>
      <c r="BD151" s="30" t="n">
        <v>5</v>
      </c>
      <c r="BE151" s="30" t="n">
        <v>5</v>
      </c>
      <c r="BF151" s="30" t="n">
        <v>5</v>
      </c>
      <c r="BG151" s="30" t="n">
        <v>5</v>
      </c>
      <c r="BH151" s="30" t="n">
        <v>5</v>
      </c>
      <c r="BI151" s="30" t="n">
        <v>5</v>
      </c>
      <c r="BJ151" s="30" t="n">
        <v>5</v>
      </c>
      <c r="BK151" s="30" t="n">
        <v>5</v>
      </c>
      <c r="BL151" s="30" t="n">
        <v>5</v>
      </c>
      <c r="BM151" s="30" t="n">
        <v>5</v>
      </c>
      <c r="BN151" s="30" t="n">
        <v>5</v>
      </c>
      <c r="BO151" s="30" t="n">
        <v>5</v>
      </c>
      <c r="BP151" s="30" t="n">
        <v>5</v>
      </c>
      <c r="BQ151" s="30" t="n">
        <v>5</v>
      </c>
      <c r="BR151" s="30" t="n">
        <v>5</v>
      </c>
      <c r="BS151" s="30" t="n">
        <v>5</v>
      </c>
      <c r="BT151" s="30" t="n">
        <v>5</v>
      </c>
      <c r="BU151" s="30" t="n">
        <v>5</v>
      </c>
      <c r="BV151" s="30" t="n">
        <v>5</v>
      </c>
      <c r="BW151" s="30" t="n">
        <v>5</v>
      </c>
      <c r="BX151" s="30" t="n">
        <v>0</v>
      </c>
      <c r="BY151" s="30" t="n">
        <v>0</v>
      </c>
      <c r="BZ151" s="30" t="n">
        <v>0</v>
      </c>
      <c r="CA151" s="30" t="n">
        <v>0</v>
      </c>
      <c r="CB151" s="30" t="n">
        <v>0</v>
      </c>
      <c r="CC151" s="30" t="n">
        <v>0</v>
      </c>
      <c r="CD151" s="30" t="n">
        <v>0</v>
      </c>
      <c r="CE151" s="30" t="n">
        <v>0</v>
      </c>
      <c r="CF151" s="30" t="n">
        <v>0</v>
      </c>
      <c r="CG151" s="30" t="n">
        <v>0</v>
      </c>
      <c r="CH151" s="30" t="n">
        <v>0</v>
      </c>
      <c r="CI151" s="30" t="n">
        <v>0</v>
      </c>
      <c r="CJ151" s="30" t="n">
        <v>0</v>
      </c>
      <c r="CK151" s="30" t="n">
        <v>0</v>
      </c>
      <c r="CL151" s="30" t="n">
        <v>0</v>
      </c>
      <c r="CM151" s="30" t="n">
        <v>0</v>
      </c>
      <c r="CN151" s="30" t="n">
        <v>0</v>
      </c>
      <c r="CO151" s="30" t="n">
        <v>0</v>
      </c>
      <c r="CP151" s="30" t="n">
        <v>0</v>
      </c>
      <c r="CQ151" s="30" t="n">
        <v>0</v>
      </c>
      <c r="CR151" s="30" t="n">
        <v>0</v>
      </c>
      <c r="CS151" s="30" t="n">
        <v>0</v>
      </c>
      <c r="CT151" s="30" t="n">
        <v>0</v>
      </c>
      <c r="CU151" s="30" t="n">
        <v>0</v>
      </c>
      <c r="CV151" s="30" t="n">
        <v>0</v>
      </c>
      <c r="CW151" s="30" t="n">
        <v>0</v>
      </c>
      <c r="CX151" s="30" t="n">
        <v>0</v>
      </c>
      <c r="CY151" s="30" t="n">
        <v>0</v>
      </c>
      <c r="CZ151" s="30" t="n">
        <v>0</v>
      </c>
      <c r="DA151" s="30" t="n">
        <v>0</v>
      </c>
    </row>
    <row r="152">
      <c r="A152" t="inlineStr">
        <is>
          <t>F2090</t>
        </is>
      </c>
      <c r="B152" s="30" t="n">
        <v>0</v>
      </c>
      <c r="C152" s="30" t="n">
        <v>0</v>
      </c>
      <c r="D152" s="30" t="n">
        <v>0</v>
      </c>
      <c r="E152" s="30" t="n">
        <v>0</v>
      </c>
      <c r="F152" s="30" t="n">
        <v>0</v>
      </c>
      <c r="G152" s="30" t="n">
        <v>0</v>
      </c>
      <c r="H152" s="30" t="n">
        <v>0</v>
      </c>
      <c r="I152" s="30" t="n">
        <v>0</v>
      </c>
      <c r="J152" s="30" t="n">
        <v>0</v>
      </c>
      <c r="K152" s="30" t="n">
        <v>0</v>
      </c>
      <c r="L152" s="30" t="n">
        <v>0</v>
      </c>
      <c r="M152" s="30" t="n">
        <v>0</v>
      </c>
      <c r="N152" s="30" t="n">
        <v>0</v>
      </c>
      <c r="O152" s="30" t="n">
        <v>0</v>
      </c>
      <c r="P152" s="30" t="n">
        <v>0</v>
      </c>
      <c r="Q152" s="30" t="n">
        <v>0</v>
      </c>
      <c r="R152" s="30" t="n">
        <v>0</v>
      </c>
      <c r="S152" s="30" t="n">
        <v>0</v>
      </c>
      <c r="T152" s="30" t="n">
        <v>0</v>
      </c>
      <c r="U152" s="30" t="n">
        <v>0</v>
      </c>
      <c r="V152" s="30" t="n">
        <v>0</v>
      </c>
      <c r="W152" s="30" t="n">
        <v>0</v>
      </c>
      <c r="X152" s="30" t="n">
        <v>0</v>
      </c>
      <c r="Y152" s="30" t="n">
        <v>15840</v>
      </c>
      <c r="Z152" s="30" t="n">
        <v>0</v>
      </c>
      <c r="AA152" s="30" t="n">
        <v>7920</v>
      </c>
      <c r="AB152" s="30" t="n">
        <v>5940</v>
      </c>
      <c r="AC152" s="30" t="n">
        <v>7920</v>
      </c>
      <c r="AD152" s="30" t="n">
        <v>5940</v>
      </c>
      <c r="AE152" s="30" t="n">
        <v>7920</v>
      </c>
      <c r="AF152" s="30" t="n">
        <v>5940</v>
      </c>
      <c r="AG152" s="30" t="n">
        <v>5940</v>
      </c>
      <c r="AH152" s="30" t="n">
        <v>0</v>
      </c>
      <c r="AI152" s="30" t="n">
        <v>5940</v>
      </c>
      <c r="AJ152" s="30" t="n">
        <v>0</v>
      </c>
      <c r="AK152" s="30" t="n">
        <v>7920</v>
      </c>
      <c r="AL152" s="30" t="n">
        <v>0</v>
      </c>
      <c r="AM152" s="30" t="n">
        <v>7920</v>
      </c>
      <c r="AN152" s="30" t="n">
        <v>0</v>
      </c>
      <c r="AO152" s="30" t="n">
        <v>0</v>
      </c>
      <c r="AP152" s="30" t="n">
        <v>7920</v>
      </c>
      <c r="AQ152" s="30" t="n">
        <v>0</v>
      </c>
      <c r="AR152" s="30" t="n">
        <v>7920</v>
      </c>
      <c r="AS152" s="30" t="n">
        <v>0</v>
      </c>
      <c r="AT152" s="30" t="n">
        <v>7920</v>
      </c>
      <c r="AU152" s="30" t="n">
        <v>7920</v>
      </c>
      <c r="AV152" s="30" t="n">
        <v>7920</v>
      </c>
      <c r="AW152" s="30" t="n">
        <v>7920</v>
      </c>
      <c r="AX152" s="30" t="n">
        <v>7920</v>
      </c>
      <c r="AY152" s="30" t="n">
        <v>0</v>
      </c>
      <c r="AZ152" s="30" t="n">
        <v>0</v>
      </c>
      <c r="BA152" s="30" t="n">
        <v>0</v>
      </c>
      <c r="BB152" s="30" t="n">
        <v>0</v>
      </c>
      <c r="BC152" s="30" t="n">
        <v>0</v>
      </c>
      <c r="BD152" s="30" t="n">
        <v>7920</v>
      </c>
      <c r="BE152" s="30" t="n">
        <v>0</v>
      </c>
      <c r="BF152" s="30" t="n">
        <v>7920</v>
      </c>
      <c r="BG152" s="30" t="n">
        <v>0</v>
      </c>
      <c r="BH152" s="30" t="n">
        <v>7920</v>
      </c>
      <c r="BI152" s="30" t="n">
        <v>0</v>
      </c>
      <c r="BJ152" s="30" t="n">
        <v>0</v>
      </c>
      <c r="BK152" s="30" t="n">
        <v>7920</v>
      </c>
      <c r="BL152" s="30" t="n">
        <v>0</v>
      </c>
      <c r="BM152" s="30" t="n">
        <v>0</v>
      </c>
      <c r="BN152" s="30" t="n">
        <v>3960</v>
      </c>
      <c r="BO152" s="30" t="n">
        <v>0</v>
      </c>
      <c r="BP152" s="30" t="n">
        <v>0</v>
      </c>
      <c r="BQ152" s="30" t="n">
        <v>1980</v>
      </c>
      <c r="BR152" s="30" t="n">
        <v>0</v>
      </c>
      <c r="BS152" s="30" t="n">
        <v>0</v>
      </c>
      <c r="BT152" s="30" t="n">
        <v>0</v>
      </c>
      <c r="BU152" s="30" t="n">
        <v>0</v>
      </c>
      <c r="BV152" s="30" t="n">
        <v>0</v>
      </c>
      <c r="BW152" s="30" t="n">
        <v>0</v>
      </c>
      <c r="BX152" s="30" t="n">
        <v>0</v>
      </c>
      <c r="BY152" s="30" t="n">
        <v>0</v>
      </c>
      <c r="BZ152" s="30" t="n">
        <v>0</v>
      </c>
      <c r="CA152" s="30" t="n">
        <v>0</v>
      </c>
      <c r="CB152" s="30" t="n">
        <v>0</v>
      </c>
      <c r="CC152" s="30" t="n">
        <v>0</v>
      </c>
      <c r="CD152" s="30" t="n">
        <v>0</v>
      </c>
      <c r="CE152" s="30" t="n">
        <v>0</v>
      </c>
      <c r="CF152" s="30" t="n">
        <v>0</v>
      </c>
      <c r="CG152" s="30" t="n">
        <v>0</v>
      </c>
      <c r="CH152" s="30" t="n">
        <v>0</v>
      </c>
      <c r="CI152" s="30" t="n">
        <v>0</v>
      </c>
      <c r="CJ152" s="30" t="n">
        <v>0</v>
      </c>
      <c r="CK152" s="30" t="n">
        <v>0</v>
      </c>
      <c r="CL152" s="30" t="n">
        <v>0</v>
      </c>
      <c r="CM152" s="30" t="n">
        <v>0</v>
      </c>
      <c r="CN152" s="30" t="n">
        <v>0</v>
      </c>
      <c r="CO152" s="30" t="n">
        <v>0</v>
      </c>
      <c r="CP152" s="30" t="n">
        <v>0</v>
      </c>
      <c r="CQ152" s="30" t="n">
        <v>0</v>
      </c>
      <c r="CR152" s="30" t="n">
        <v>0</v>
      </c>
      <c r="CS152" s="30" t="n">
        <v>0</v>
      </c>
      <c r="CT152" s="30" t="n">
        <v>0</v>
      </c>
      <c r="CU152" s="30" t="n">
        <v>0</v>
      </c>
      <c r="CV152" s="30" t="n">
        <v>0</v>
      </c>
      <c r="CW152" s="30" t="n">
        <v>0</v>
      </c>
      <c r="CX152" s="30" t="n">
        <v>0</v>
      </c>
      <c r="CY152" s="30" t="n">
        <v>0</v>
      </c>
      <c r="CZ152" s="30" t="n">
        <v>0</v>
      </c>
      <c r="DA152" s="30" t="n">
        <v>0</v>
      </c>
    </row>
    <row r="153">
      <c r="A153" t="inlineStr">
        <is>
          <t>F2290</t>
        </is>
      </c>
      <c r="B153" s="30" t="n">
        <v>0</v>
      </c>
      <c r="C153" s="30" t="n">
        <v>0</v>
      </c>
      <c r="D153" s="30" t="n">
        <v>0</v>
      </c>
      <c r="E153" s="30" t="n">
        <v>0</v>
      </c>
      <c r="F153" s="30" t="n">
        <v>0</v>
      </c>
      <c r="G153" s="30" t="n">
        <v>0</v>
      </c>
      <c r="H153" s="30" t="n">
        <v>0</v>
      </c>
      <c r="I153" s="30" t="n">
        <v>0</v>
      </c>
      <c r="J153" s="30" t="n">
        <v>0</v>
      </c>
      <c r="K153" s="30" t="n">
        <v>0</v>
      </c>
      <c r="L153" s="30" t="n">
        <v>0</v>
      </c>
      <c r="M153" s="30" t="n">
        <v>0</v>
      </c>
      <c r="N153" s="30" t="n">
        <v>0</v>
      </c>
      <c r="O153" s="30" t="n">
        <v>0</v>
      </c>
      <c r="P153" s="30" t="n">
        <v>0</v>
      </c>
      <c r="Q153" s="30" t="n">
        <v>0</v>
      </c>
      <c r="R153" s="30" t="n">
        <v>0</v>
      </c>
      <c r="S153" s="30" t="n">
        <v>0</v>
      </c>
      <c r="T153" s="30" t="n">
        <v>0</v>
      </c>
      <c r="U153" s="30" t="n">
        <v>0</v>
      </c>
      <c r="V153" s="30" t="n">
        <v>0</v>
      </c>
      <c r="W153" s="30" t="n">
        <v>0</v>
      </c>
      <c r="X153" s="30" t="n">
        <v>0</v>
      </c>
      <c r="Y153" s="30" t="n">
        <v>0</v>
      </c>
      <c r="Z153" s="30" t="n">
        <v>0</v>
      </c>
      <c r="AA153" s="30" t="n">
        <v>0</v>
      </c>
      <c r="AB153" s="30" t="n">
        <v>0</v>
      </c>
      <c r="AC153" s="30" t="n">
        <v>0</v>
      </c>
      <c r="AD153" s="30" t="n">
        <v>0</v>
      </c>
      <c r="AE153" s="30" t="n">
        <v>0</v>
      </c>
      <c r="AF153" s="30" t="n">
        <v>1920</v>
      </c>
      <c r="AG153" s="30" t="n">
        <v>0</v>
      </c>
      <c r="AH153" s="30" t="n">
        <v>0</v>
      </c>
      <c r="AI153" s="30" t="n">
        <v>0</v>
      </c>
      <c r="AJ153" s="30" t="n">
        <v>0</v>
      </c>
      <c r="AK153" s="30" t="n">
        <v>0</v>
      </c>
      <c r="AL153" s="30" t="n">
        <v>0</v>
      </c>
      <c r="AM153" s="30" t="n">
        <v>1980</v>
      </c>
      <c r="AN153" s="30" t="n">
        <v>0</v>
      </c>
      <c r="AO153" s="30" t="n">
        <v>0</v>
      </c>
      <c r="AP153" s="30" t="n">
        <v>1980</v>
      </c>
      <c r="AQ153" s="30" t="n">
        <v>0</v>
      </c>
      <c r="AR153" s="30" t="n">
        <v>0</v>
      </c>
      <c r="AS153" s="30" t="n">
        <v>3960</v>
      </c>
      <c r="AT153" s="30" t="n">
        <v>0</v>
      </c>
      <c r="AU153" s="30" t="n">
        <v>0</v>
      </c>
      <c r="AV153" s="30" t="n">
        <v>0</v>
      </c>
      <c r="AW153" s="30" t="n">
        <v>0</v>
      </c>
      <c r="AX153" s="30" t="n">
        <v>3960</v>
      </c>
      <c r="AY153" s="30" t="n">
        <v>0</v>
      </c>
      <c r="AZ153" s="30" t="n">
        <v>0</v>
      </c>
      <c r="BA153" s="30" t="n">
        <v>0</v>
      </c>
      <c r="BB153" s="30" t="n">
        <v>0</v>
      </c>
      <c r="BC153" s="30" t="n">
        <v>0</v>
      </c>
      <c r="BD153" s="30" t="n">
        <v>0</v>
      </c>
      <c r="BE153" s="30" t="n">
        <v>0</v>
      </c>
      <c r="BF153" s="30" t="n">
        <v>0</v>
      </c>
      <c r="BG153" s="30" t="n">
        <v>1980</v>
      </c>
      <c r="BH153" s="30" t="n">
        <v>0</v>
      </c>
      <c r="BI153" s="30" t="n">
        <v>0</v>
      </c>
      <c r="BJ153" s="30" t="n">
        <v>0</v>
      </c>
      <c r="BK153" s="30" t="n">
        <v>1188</v>
      </c>
      <c r="BL153" s="30" t="n">
        <v>0</v>
      </c>
      <c r="BM153" s="30" t="n">
        <v>0</v>
      </c>
      <c r="BN153" s="30" t="n">
        <v>0</v>
      </c>
      <c r="BO153" s="30" t="n">
        <v>0</v>
      </c>
      <c r="BP153" s="30" t="n">
        <v>0</v>
      </c>
      <c r="BQ153" s="30" t="n">
        <v>0</v>
      </c>
      <c r="BR153" s="30" t="n">
        <v>0</v>
      </c>
      <c r="BS153" s="30" t="n">
        <v>0</v>
      </c>
      <c r="BT153" s="30" t="n">
        <v>0</v>
      </c>
      <c r="BU153" s="30" t="n">
        <v>0</v>
      </c>
      <c r="BV153" s="30" t="n">
        <v>0</v>
      </c>
      <c r="BW153" s="30" t="n">
        <v>0</v>
      </c>
      <c r="BX153" s="30" t="n">
        <v>0</v>
      </c>
      <c r="BY153" s="30" t="n">
        <v>0</v>
      </c>
      <c r="BZ153" s="30" t="n">
        <v>0</v>
      </c>
      <c r="CA153" s="30" t="n">
        <v>0</v>
      </c>
      <c r="CB153" s="30" t="n">
        <v>0</v>
      </c>
      <c r="CC153" s="30" t="n">
        <v>0</v>
      </c>
      <c r="CD153" s="30" t="n">
        <v>0</v>
      </c>
      <c r="CE153" s="30" t="n">
        <v>0</v>
      </c>
      <c r="CF153" s="30" t="n">
        <v>0</v>
      </c>
      <c r="CG153" s="30" t="n">
        <v>0</v>
      </c>
      <c r="CH153" s="30" t="n">
        <v>0</v>
      </c>
      <c r="CI153" s="30" t="n">
        <v>0</v>
      </c>
      <c r="CJ153" s="30" t="n">
        <v>0</v>
      </c>
      <c r="CK153" s="30" t="n">
        <v>0</v>
      </c>
      <c r="CL153" s="30" t="n">
        <v>0</v>
      </c>
      <c r="CM153" s="30" t="n">
        <v>0</v>
      </c>
      <c r="CN153" s="30" t="n">
        <v>0</v>
      </c>
      <c r="CO153" s="30" t="n">
        <v>0</v>
      </c>
      <c r="CP153" s="30" t="n">
        <v>0</v>
      </c>
      <c r="CQ153" s="30" t="n">
        <v>0</v>
      </c>
      <c r="CR153" s="30" t="n">
        <v>0</v>
      </c>
      <c r="CS153" s="30" t="n">
        <v>0</v>
      </c>
      <c r="CT153" s="30" t="n">
        <v>0</v>
      </c>
      <c r="CU153" s="30" t="n">
        <v>0</v>
      </c>
      <c r="CV153" s="30" t="n">
        <v>0</v>
      </c>
      <c r="CW153" s="30" t="n">
        <v>0</v>
      </c>
      <c r="CX153" s="30" t="n">
        <v>0</v>
      </c>
      <c r="CY153" s="30" t="n">
        <v>0</v>
      </c>
      <c r="CZ153" s="30" t="n">
        <v>0</v>
      </c>
      <c r="DA153" s="30" t="n">
        <v>0</v>
      </c>
    </row>
    <row r="154">
      <c r="A154" t="inlineStr">
        <is>
          <t>K0050</t>
        </is>
      </c>
      <c r="B154" s="30" t="n">
        <v>0</v>
      </c>
      <c r="C154" s="30" t="n">
        <v>0</v>
      </c>
      <c r="D154" s="30" t="n">
        <v>0</v>
      </c>
      <c r="E154" s="30" t="n">
        <v>0</v>
      </c>
      <c r="F154" s="30" t="n">
        <v>0</v>
      </c>
      <c r="G154" s="30" t="n">
        <v>0</v>
      </c>
      <c r="H154" s="30" t="n">
        <v>0</v>
      </c>
      <c r="I154" s="30" t="n">
        <v>0</v>
      </c>
      <c r="J154" s="30" t="n">
        <v>0</v>
      </c>
      <c r="K154" s="30" t="n">
        <v>0</v>
      </c>
      <c r="L154" s="30" t="n">
        <v>0</v>
      </c>
      <c r="M154" s="30" t="n">
        <v>0</v>
      </c>
      <c r="N154" s="30" t="n">
        <v>0</v>
      </c>
      <c r="O154" s="30" t="n">
        <v>0</v>
      </c>
      <c r="P154" s="30" t="n">
        <v>0</v>
      </c>
      <c r="Q154" s="30" t="n">
        <v>0</v>
      </c>
      <c r="R154" s="30" t="n">
        <v>0</v>
      </c>
      <c r="S154" s="30" t="n">
        <v>0</v>
      </c>
      <c r="T154" s="30" t="n">
        <v>0</v>
      </c>
      <c r="U154" s="30" t="n">
        <v>0</v>
      </c>
      <c r="V154" s="30" t="n">
        <v>0</v>
      </c>
      <c r="W154" s="30" t="n">
        <v>0</v>
      </c>
      <c r="X154" s="30" t="n">
        <v>9680</v>
      </c>
      <c r="Y154" s="30" t="n">
        <v>9680</v>
      </c>
      <c r="Z154" s="30" t="n">
        <v>0</v>
      </c>
      <c r="AA154" s="30" t="n">
        <v>11616</v>
      </c>
      <c r="AB154" s="30" t="n">
        <v>7744</v>
      </c>
      <c r="AC154" s="30" t="n">
        <v>9680</v>
      </c>
      <c r="AD154" s="30" t="n">
        <v>9680</v>
      </c>
      <c r="AE154" s="30" t="n">
        <v>4840</v>
      </c>
      <c r="AF154" s="30" t="n">
        <v>4840</v>
      </c>
      <c r="AG154" s="30" t="n">
        <v>9680</v>
      </c>
      <c r="AH154" s="30" t="n">
        <v>9680</v>
      </c>
      <c r="AI154" s="30" t="n">
        <v>9680</v>
      </c>
      <c r="AJ154" s="30" t="n">
        <v>9680</v>
      </c>
      <c r="AK154" s="30" t="n">
        <v>9680</v>
      </c>
      <c r="AL154" s="30" t="n">
        <v>9680</v>
      </c>
      <c r="AM154" s="30" t="n">
        <v>9680</v>
      </c>
      <c r="AN154" s="30" t="n">
        <v>4840</v>
      </c>
      <c r="AO154" s="30" t="n">
        <v>4840</v>
      </c>
      <c r="AP154" s="30" t="n">
        <v>9680</v>
      </c>
      <c r="AQ154" s="30" t="n">
        <v>9680</v>
      </c>
      <c r="AR154" s="30" t="n">
        <v>9680</v>
      </c>
      <c r="AS154" s="30" t="n">
        <v>9680</v>
      </c>
      <c r="AT154" s="30" t="n">
        <v>14520</v>
      </c>
      <c r="AU154" s="30" t="n">
        <v>14520</v>
      </c>
      <c r="AV154" s="30" t="n">
        <v>14520</v>
      </c>
      <c r="AW154" s="30" t="n">
        <v>14520</v>
      </c>
      <c r="AX154" s="30" t="n">
        <v>9680</v>
      </c>
      <c r="AY154" s="30" t="n">
        <v>9680</v>
      </c>
      <c r="AZ154" s="30" t="n">
        <v>4840</v>
      </c>
      <c r="BA154" s="30" t="n">
        <v>0</v>
      </c>
      <c r="BB154" s="30" t="n">
        <v>0</v>
      </c>
      <c r="BC154" s="30" t="n">
        <v>9680</v>
      </c>
      <c r="BD154" s="30" t="n">
        <v>9680</v>
      </c>
      <c r="BE154" s="30" t="n">
        <v>9680</v>
      </c>
      <c r="BF154" s="30" t="n">
        <v>9680</v>
      </c>
      <c r="BG154" s="30" t="n">
        <v>9680</v>
      </c>
      <c r="BH154" s="30" t="n">
        <v>9680</v>
      </c>
      <c r="BI154" s="30" t="n">
        <v>9680</v>
      </c>
      <c r="BJ154" s="30" t="n">
        <v>9680</v>
      </c>
      <c r="BK154" s="30" t="n">
        <v>9680</v>
      </c>
      <c r="BL154" s="30" t="n">
        <v>0</v>
      </c>
      <c r="BM154" s="30" t="n">
        <v>9680</v>
      </c>
      <c r="BN154" s="30" t="n">
        <v>0</v>
      </c>
      <c r="BO154" s="30" t="n">
        <v>4840</v>
      </c>
      <c r="BP154" s="30" t="n">
        <v>4840</v>
      </c>
      <c r="BQ154" s="30" t="n">
        <v>4840</v>
      </c>
      <c r="BR154" s="30" t="n">
        <v>4840</v>
      </c>
      <c r="BS154" s="30" t="n">
        <v>0</v>
      </c>
      <c r="BT154" s="30" t="n">
        <v>4840</v>
      </c>
      <c r="BU154" s="30" t="n">
        <v>4840</v>
      </c>
      <c r="BV154" s="30" t="n">
        <v>4840</v>
      </c>
      <c r="BW154" s="30" t="n">
        <v>4840</v>
      </c>
      <c r="BX154" s="30" t="n">
        <v>0</v>
      </c>
      <c r="BY154" s="30" t="n">
        <v>0</v>
      </c>
      <c r="BZ154" s="30" t="n">
        <v>0</v>
      </c>
      <c r="CA154" s="30" t="n">
        <v>0</v>
      </c>
      <c r="CB154" s="30" t="n">
        <v>0</v>
      </c>
      <c r="CC154" s="30" t="n">
        <v>0</v>
      </c>
      <c r="CD154" s="30" t="n">
        <v>0</v>
      </c>
      <c r="CE154" s="30" t="n">
        <v>0</v>
      </c>
      <c r="CF154" s="30" t="n">
        <v>0</v>
      </c>
      <c r="CG154" s="30" t="n">
        <v>0</v>
      </c>
      <c r="CH154" s="30" t="n">
        <v>0</v>
      </c>
      <c r="CI154" s="30" t="n">
        <v>0</v>
      </c>
      <c r="CJ154" s="30" t="n">
        <v>0</v>
      </c>
      <c r="CK154" s="30" t="n">
        <v>0</v>
      </c>
      <c r="CL154" s="30" t="n">
        <v>0</v>
      </c>
      <c r="CM154" s="30" t="n">
        <v>0</v>
      </c>
      <c r="CN154" s="30" t="n">
        <v>0</v>
      </c>
      <c r="CO154" s="30" t="n">
        <v>0</v>
      </c>
      <c r="CP154" s="30" t="n">
        <v>0</v>
      </c>
      <c r="CQ154" s="30" t="n">
        <v>0</v>
      </c>
      <c r="CR154" s="30" t="n">
        <v>0</v>
      </c>
      <c r="CS154" s="30" t="n">
        <v>0</v>
      </c>
      <c r="CT154" s="30" t="n">
        <v>0</v>
      </c>
      <c r="CU154" s="30" t="n">
        <v>0</v>
      </c>
      <c r="CV154" s="30" t="n">
        <v>0</v>
      </c>
      <c r="CW154" s="30" t="n">
        <v>0</v>
      </c>
      <c r="CX154" s="30" t="n">
        <v>0</v>
      </c>
      <c r="CY154" s="30" t="n">
        <v>0</v>
      </c>
      <c r="CZ154" s="30" t="n">
        <v>0</v>
      </c>
      <c r="DA154" s="30" t="n">
        <v>0</v>
      </c>
    </row>
    <row r="155">
      <c r="A155" t="inlineStr">
        <is>
          <t>PP Film</t>
        </is>
      </c>
      <c r="B155" s="30" t="n">
        <v>0</v>
      </c>
      <c r="C155" s="30" t="n">
        <v>0</v>
      </c>
      <c r="D155" s="30" t="n">
        <v>0</v>
      </c>
      <c r="E155" s="30" t="n">
        <v>0</v>
      </c>
      <c r="F155" s="30" t="n">
        <v>0</v>
      </c>
      <c r="G155" s="30" t="n">
        <v>0</v>
      </c>
      <c r="H155" s="30" t="n">
        <v>0</v>
      </c>
      <c r="I155" s="30" t="n">
        <v>0</v>
      </c>
      <c r="J155" s="30" t="n">
        <v>0</v>
      </c>
      <c r="K155" s="30" t="n">
        <v>0</v>
      </c>
      <c r="L155" s="30" t="n">
        <v>0</v>
      </c>
      <c r="M155" s="30" t="n">
        <v>0</v>
      </c>
      <c r="N155" s="30" t="n">
        <v>0</v>
      </c>
      <c r="O155" s="30" t="n">
        <v>0</v>
      </c>
      <c r="P155" s="30" t="n">
        <v>0</v>
      </c>
      <c r="Q155" s="30" t="n">
        <v>0</v>
      </c>
      <c r="R155" s="30" t="n">
        <v>0</v>
      </c>
      <c r="S155" s="30" t="n">
        <v>0</v>
      </c>
      <c r="T155" s="30" t="n">
        <v>0</v>
      </c>
      <c r="U155" s="30" t="n">
        <v>0</v>
      </c>
      <c r="V155" s="30" t="n">
        <v>0</v>
      </c>
      <c r="W155" s="30" t="n">
        <v>0</v>
      </c>
      <c r="X155" s="30" t="n">
        <v>21</v>
      </c>
      <c r="Y155" s="30" t="n">
        <v>18</v>
      </c>
      <c r="Z155" s="30" t="n">
        <v>0</v>
      </c>
      <c r="AA155" s="30" t="n">
        <v>4</v>
      </c>
      <c r="AB155" s="30" t="n">
        <v>15</v>
      </c>
      <c r="AC155" s="30" t="n">
        <v>9</v>
      </c>
      <c r="AD155" s="30" t="n">
        <v>12</v>
      </c>
      <c r="AE155" s="30" t="n">
        <v>16</v>
      </c>
      <c r="AF155" s="30" t="n">
        <v>16</v>
      </c>
      <c r="AG155" s="30" t="n">
        <v>20</v>
      </c>
      <c r="AH155" s="30" t="n">
        <v>17</v>
      </c>
      <c r="AI155" s="30" t="n">
        <v>6</v>
      </c>
      <c r="AJ155" s="30" t="n">
        <v>12</v>
      </c>
      <c r="AK155" s="30" t="n">
        <v>7</v>
      </c>
      <c r="AL155" s="30" t="n">
        <v>13</v>
      </c>
      <c r="AM155" s="30" t="n">
        <v>19</v>
      </c>
      <c r="AN155" s="30" t="n">
        <v>16</v>
      </c>
      <c r="AO155" s="30" t="n">
        <v>16</v>
      </c>
      <c r="AP155" s="30" t="n">
        <v>18</v>
      </c>
      <c r="AQ155" s="30" t="n">
        <v>19</v>
      </c>
      <c r="AR155" s="30" t="n">
        <v>18</v>
      </c>
      <c r="AS155" s="30" t="n">
        <v>23</v>
      </c>
      <c r="AT155" s="30" t="n">
        <v>26</v>
      </c>
      <c r="AU155" s="30" t="n">
        <v>26</v>
      </c>
      <c r="AV155" s="30" t="n">
        <v>26</v>
      </c>
      <c r="AW155" s="30" t="n">
        <v>19</v>
      </c>
      <c r="AX155" s="30" t="n">
        <v>23</v>
      </c>
      <c r="AY155" s="30" t="n">
        <v>10</v>
      </c>
      <c r="AZ155" s="30" t="n">
        <v>10</v>
      </c>
      <c r="BA155" s="30" t="n">
        <v>0</v>
      </c>
      <c r="BB155" s="30" t="n">
        <v>0</v>
      </c>
      <c r="BC155" s="30" t="n">
        <v>13</v>
      </c>
      <c r="BD155" s="30" t="n">
        <v>16</v>
      </c>
      <c r="BE155" s="30" t="n">
        <v>24</v>
      </c>
      <c r="BF155" s="30" t="n">
        <v>16</v>
      </c>
      <c r="BG155" s="30" t="n">
        <v>19</v>
      </c>
      <c r="BH155" s="30" t="n">
        <v>15</v>
      </c>
      <c r="BI155" s="30" t="n">
        <v>10</v>
      </c>
      <c r="BJ155" s="30" t="n">
        <v>16</v>
      </c>
      <c r="BK155" s="30" t="n">
        <v>16</v>
      </c>
      <c r="BL155" s="30" t="n">
        <v>6</v>
      </c>
      <c r="BM155" s="30" t="n">
        <v>9</v>
      </c>
      <c r="BN155" s="30" t="n">
        <v>13</v>
      </c>
      <c r="BO155" s="30" t="n">
        <v>3</v>
      </c>
      <c r="BP155" s="30" t="n">
        <v>6</v>
      </c>
      <c r="BQ155" s="30" t="n">
        <v>9</v>
      </c>
      <c r="BR155" s="30" t="n">
        <v>11</v>
      </c>
      <c r="BS155" s="30" t="n">
        <v>0</v>
      </c>
      <c r="BT155" s="30" t="n">
        <v>5</v>
      </c>
      <c r="BU155" s="30" t="n">
        <v>0</v>
      </c>
      <c r="BV155" s="30" t="n">
        <v>0</v>
      </c>
      <c r="BW155" s="30" t="n">
        <v>0</v>
      </c>
      <c r="BX155" s="30" t="n">
        <v>0</v>
      </c>
      <c r="BY155" s="30" t="n">
        <v>0</v>
      </c>
      <c r="BZ155" s="30" t="n">
        <v>0</v>
      </c>
      <c r="CA155" s="30" t="n">
        <v>0</v>
      </c>
      <c r="CB155" s="30" t="n">
        <v>0</v>
      </c>
      <c r="CC155" s="30" t="n">
        <v>0</v>
      </c>
      <c r="CD155" s="30" t="n">
        <v>0</v>
      </c>
      <c r="CE155" s="30" t="n">
        <v>0</v>
      </c>
      <c r="CF155" s="30" t="n">
        <v>0</v>
      </c>
      <c r="CG155" s="30" t="n">
        <v>0</v>
      </c>
      <c r="CH155" s="30" t="n">
        <v>0</v>
      </c>
      <c r="CI155" s="30" t="n">
        <v>0</v>
      </c>
      <c r="CJ155" s="30" t="n">
        <v>0</v>
      </c>
      <c r="CK155" s="30" t="n">
        <v>0</v>
      </c>
      <c r="CL155" s="30" t="n">
        <v>0</v>
      </c>
      <c r="CM155" s="30" t="n">
        <v>0</v>
      </c>
      <c r="CN155" s="30" t="n">
        <v>0</v>
      </c>
      <c r="CO155" s="30" t="n">
        <v>0</v>
      </c>
      <c r="CP155" s="30" t="n">
        <v>0</v>
      </c>
      <c r="CQ155" s="30" t="n">
        <v>0</v>
      </c>
      <c r="CR155" s="30" t="n">
        <v>0</v>
      </c>
      <c r="CS155" s="30" t="n">
        <v>0</v>
      </c>
      <c r="CT155" s="30" t="n">
        <v>0</v>
      </c>
      <c r="CU155" s="30" t="n">
        <v>0</v>
      </c>
      <c r="CV155" s="30" t="n">
        <v>0</v>
      </c>
      <c r="CW155" s="30" t="n">
        <v>0</v>
      </c>
      <c r="CX155" s="30" t="n">
        <v>0</v>
      </c>
      <c r="CY155" s="30" t="n">
        <v>0</v>
      </c>
      <c r="CZ155" s="30" t="n">
        <v>0</v>
      </c>
      <c r="DA155" s="30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30" t="n">
        <v>2026</v>
      </c>
    </row>
    <row r="3">
      <c r="A3" s="29" t="inlineStr">
        <is>
          <t>WeekIndex</t>
        </is>
      </c>
      <c r="B3" s="29" t="inlineStr">
        <is>
          <t>WeekStart</t>
        </is>
      </c>
      <c r="C3" s="29" t="inlineStr">
        <is>
          <t>Year</t>
        </is>
      </c>
      <c r="D3" s="29" t="inlineStr">
        <is>
          <t>WeekOfYear</t>
        </is>
      </c>
      <c r="E3" s="29" t="inlineStr">
        <is>
          <t>Label</t>
        </is>
      </c>
      <c r="F3" s="29" t="inlineStr">
        <is>
          <t>WeekEnd</t>
        </is>
      </c>
      <c r="G3" s="29" t="inlineStr">
        <is>
          <t>MonthYearLabel</t>
        </is>
      </c>
    </row>
    <row r="4">
      <c r="A4" t="n">
        <v>1</v>
      </c>
      <c r="B4" s="26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6">
        <f>B4+6</f>
        <v/>
      </c>
      <c r="G4">
        <f>TEXT(B4,"mmm-yy")</f>
        <v/>
      </c>
    </row>
    <row r="5">
      <c r="A5" t="n">
        <v>2</v>
      </c>
      <c r="B5" s="26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6">
        <f>B5+6</f>
        <v/>
      </c>
      <c r="G5">
        <f>TEXT(B5,"mmm-yy")</f>
        <v/>
      </c>
    </row>
    <row r="6">
      <c r="A6" t="n">
        <v>3</v>
      </c>
      <c r="B6" s="26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6">
        <f>B6+6</f>
        <v/>
      </c>
      <c r="G6">
        <f>TEXT(B6,"mmm-yy")</f>
        <v/>
      </c>
    </row>
    <row r="7">
      <c r="A7" t="n">
        <v>4</v>
      </c>
      <c r="B7" s="26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6">
        <f>B7+6</f>
        <v/>
      </c>
      <c r="G7">
        <f>TEXT(B7,"mmm-yy")</f>
        <v/>
      </c>
    </row>
    <row r="8">
      <c r="A8" t="n">
        <v>5</v>
      </c>
      <c r="B8" s="26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6">
        <f>B8+6</f>
        <v/>
      </c>
      <c r="G8">
        <f>TEXT(B8,"mmm-yy")</f>
        <v/>
      </c>
    </row>
    <row r="9">
      <c r="A9" t="n">
        <v>6</v>
      </c>
      <c r="B9" s="26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6">
        <f>B9+6</f>
        <v/>
      </c>
      <c r="G9">
        <f>TEXT(B9,"mmm-yy")</f>
        <v/>
      </c>
    </row>
    <row r="10">
      <c r="A10" t="n">
        <v>7</v>
      </c>
      <c r="B10" s="26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6">
        <f>B10+6</f>
        <v/>
      </c>
      <c r="G10">
        <f>TEXT(B10,"mmm-yy")</f>
        <v/>
      </c>
    </row>
    <row r="11">
      <c r="A11" t="n">
        <v>8</v>
      </c>
      <c r="B11" s="26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6">
        <f>B11+6</f>
        <v/>
      </c>
      <c r="G11">
        <f>TEXT(B11,"mmm-yy")</f>
        <v/>
      </c>
    </row>
    <row r="12">
      <c r="A12" t="n">
        <v>9</v>
      </c>
      <c r="B12" s="26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6">
        <f>B12+6</f>
        <v/>
      </c>
      <c r="G12">
        <f>TEXT(B12,"mmm-yy")</f>
        <v/>
      </c>
    </row>
    <row r="13">
      <c r="A13" t="n">
        <v>10</v>
      </c>
      <c r="B13" s="26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6">
        <f>B13+6</f>
        <v/>
      </c>
      <c r="G13">
        <f>TEXT(B13,"mmm-yy")</f>
        <v/>
      </c>
    </row>
    <row r="14">
      <c r="A14" t="n">
        <v>11</v>
      </c>
      <c r="B14" s="26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6">
        <f>B14+6</f>
        <v/>
      </c>
      <c r="G14">
        <f>TEXT(B14,"mmm-yy")</f>
        <v/>
      </c>
    </row>
    <row r="15">
      <c r="A15" t="n">
        <v>12</v>
      </c>
      <c r="B15" s="26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6">
        <f>B15+6</f>
        <v/>
      </c>
      <c r="G15">
        <f>TEXT(B15,"mmm-yy")</f>
        <v/>
      </c>
    </row>
    <row r="16">
      <c r="A16" t="n">
        <v>13</v>
      </c>
      <c r="B16" s="26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6">
        <f>B16+6</f>
        <v/>
      </c>
      <c r="G16">
        <f>TEXT(B16,"mmm-yy")</f>
        <v/>
      </c>
    </row>
    <row r="17">
      <c r="A17" t="n">
        <v>14</v>
      </c>
      <c r="B17" s="26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6">
        <f>B17+6</f>
        <v/>
      </c>
      <c r="G17">
        <f>TEXT(B17,"mmm-yy")</f>
        <v/>
      </c>
    </row>
    <row r="18">
      <c r="A18" t="n">
        <v>15</v>
      </c>
      <c r="B18" s="26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6">
        <f>B18+6</f>
        <v/>
      </c>
      <c r="G18">
        <f>TEXT(B18,"mmm-yy")</f>
        <v/>
      </c>
    </row>
    <row r="19">
      <c r="A19" t="n">
        <v>16</v>
      </c>
      <c r="B19" s="26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6">
        <f>B19+6</f>
        <v/>
      </c>
      <c r="G19">
        <f>TEXT(B19,"mmm-yy")</f>
        <v/>
      </c>
    </row>
    <row r="20">
      <c r="A20" t="n">
        <v>17</v>
      </c>
      <c r="B20" s="26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6">
        <f>B20+6</f>
        <v/>
      </c>
      <c r="G20">
        <f>TEXT(B20,"mmm-yy")</f>
        <v/>
      </c>
    </row>
    <row r="21">
      <c r="A21" t="n">
        <v>18</v>
      </c>
      <c r="B21" s="26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6">
        <f>B21+6</f>
        <v/>
      </c>
      <c r="G21">
        <f>TEXT(B21,"mmm-yy")</f>
        <v/>
      </c>
    </row>
    <row r="22">
      <c r="A22" t="n">
        <v>19</v>
      </c>
      <c r="B22" s="26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6">
        <f>B22+6</f>
        <v/>
      </c>
      <c r="G22">
        <f>TEXT(B22,"mmm-yy")</f>
        <v/>
      </c>
    </row>
    <row r="23">
      <c r="A23" t="n">
        <v>20</v>
      </c>
      <c r="B23" s="26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6">
        <f>B23+6</f>
        <v/>
      </c>
      <c r="G23">
        <f>TEXT(B23,"mmm-yy")</f>
        <v/>
      </c>
    </row>
    <row r="24">
      <c r="A24" t="n">
        <v>21</v>
      </c>
      <c r="B24" s="26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6">
        <f>B24+6</f>
        <v/>
      </c>
      <c r="G24">
        <f>TEXT(B24,"mmm-yy")</f>
        <v/>
      </c>
    </row>
    <row r="25">
      <c r="A25" t="n">
        <v>22</v>
      </c>
      <c r="B25" s="26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6">
        <f>B25+6</f>
        <v/>
      </c>
      <c r="G25">
        <f>TEXT(B25,"mmm-yy")</f>
        <v/>
      </c>
    </row>
    <row r="26">
      <c r="A26" t="n">
        <v>23</v>
      </c>
      <c r="B26" s="26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6">
        <f>B26+6</f>
        <v/>
      </c>
      <c r="G26">
        <f>TEXT(B26,"mmm-yy")</f>
        <v/>
      </c>
    </row>
    <row r="27">
      <c r="A27" t="n">
        <v>24</v>
      </c>
      <c r="B27" s="26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6">
        <f>B27+6</f>
        <v/>
      </c>
      <c r="G27">
        <f>TEXT(B27,"mmm-yy")</f>
        <v/>
      </c>
    </row>
    <row r="28">
      <c r="A28" t="n">
        <v>25</v>
      </c>
      <c r="B28" s="26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6">
        <f>B28+6</f>
        <v/>
      </c>
      <c r="G28">
        <f>TEXT(B28,"mmm-yy")</f>
        <v/>
      </c>
    </row>
    <row r="29">
      <c r="A29" t="n">
        <v>26</v>
      </c>
      <c r="B29" s="26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6">
        <f>B29+6</f>
        <v/>
      </c>
      <c r="G29">
        <f>TEXT(B29,"mmm-yy")</f>
        <v/>
      </c>
    </row>
    <row r="30">
      <c r="A30" t="n">
        <v>27</v>
      </c>
      <c r="B30" s="26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6">
        <f>B30+6</f>
        <v/>
      </c>
      <c r="G30">
        <f>TEXT(B30,"mmm-yy")</f>
        <v/>
      </c>
    </row>
    <row r="31">
      <c r="A31" t="n">
        <v>28</v>
      </c>
      <c r="B31" s="26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6">
        <f>B31+6</f>
        <v/>
      </c>
      <c r="G31">
        <f>TEXT(B31,"mmm-yy")</f>
        <v/>
      </c>
    </row>
    <row r="32">
      <c r="A32" t="n">
        <v>29</v>
      </c>
      <c r="B32" s="26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6">
        <f>B32+6</f>
        <v/>
      </c>
      <c r="G32">
        <f>TEXT(B32,"mmm-yy")</f>
        <v/>
      </c>
    </row>
    <row r="33">
      <c r="A33" t="n">
        <v>30</v>
      </c>
      <c r="B33" s="26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6">
        <f>B33+6</f>
        <v/>
      </c>
      <c r="G33">
        <f>TEXT(B33,"mmm-yy")</f>
        <v/>
      </c>
    </row>
    <row r="34">
      <c r="A34" t="n">
        <v>31</v>
      </c>
      <c r="B34" s="26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6">
        <f>B34+6</f>
        <v/>
      </c>
      <c r="G34">
        <f>TEXT(B34,"mmm-yy")</f>
        <v/>
      </c>
    </row>
    <row r="35">
      <c r="A35" t="n">
        <v>32</v>
      </c>
      <c r="B35" s="26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6">
        <f>B35+6</f>
        <v/>
      </c>
      <c r="G35">
        <f>TEXT(B35,"mmm-yy")</f>
        <v/>
      </c>
    </row>
    <row r="36">
      <c r="A36" t="n">
        <v>33</v>
      </c>
      <c r="B36" s="26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6">
        <f>B36+6</f>
        <v/>
      </c>
      <c r="G36">
        <f>TEXT(B36,"mmm-yy")</f>
        <v/>
      </c>
    </row>
    <row r="37">
      <c r="A37" t="n">
        <v>34</v>
      </c>
      <c r="B37" s="26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6">
        <f>B37+6</f>
        <v/>
      </c>
      <c r="G37">
        <f>TEXT(B37,"mmm-yy")</f>
        <v/>
      </c>
    </row>
    <row r="38">
      <c r="A38" t="n">
        <v>35</v>
      </c>
      <c r="B38" s="26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6">
        <f>B38+6</f>
        <v/>
      </c>
      <c r="G38">
        <f>TEXT(B38,"mmm-yy")</f>
        <v/>
      </c>
    </row>
    <row r="39">
      <c r="A39" t="n">
        <v>36</v>
      </c>
      <c r="B39" s="26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6">
        <f>B39+6</f>
        <v/>
      </c>
      <c r="G39">
        <f>TEXT(B39,"mmm-yy")</f>
        <v/>
      </c>
    </row>
    <row r="40">
      <c r="A40" t="n">
        <v>37</v>
      </c>
      <c r="B40" s="26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6">
        <f>B40+6</f>
        <v/>
      </c>
      <c r="G40">
        <f>TEXT(B40,"mmm-yy")</f>
        <v/>
      </c>
    </row>
    <row r="41">
      <c r="A41" t="n">
        <v>38</v>
      </c>
      <c r="B41" s="26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6">
        <f>B41+6</f>
        <v/>
      </c>
      <c r="G41">
        <f>TEXT(B41,"mmm-yy")</f>
        <v/>
      </c>
    </row>
    <row r="42">
      <c r="A42" t="n">
        <v>39</v>
      </c>
      <c r="B42" s="26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6">
        <f>B42+6</f>
        <v/>
      </c>
      <c r="G42">
        <f>TEXT(B42,"mmm-yy")</f>
        <v/>
      </c>
    </row>
    <row r="43">
      <c r="A43" t="n">
        <v>40</v>
      </c>
      <c r="B43" s="26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6">
        <f>B43+6</f>
        <v/>
      </c>
      <c r="G43">
        <f>TEXT(B43,"mmm-yy")</f>
        <v/>
      </c>
    </row>
    <row r="44">
      <c r="A44" t="n">
        <v>41</v>
      </c>
      <c r="B44" s="26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6">
        <f>B44+6</f>
        <v/>
      </c>
      <c r="G44">
        <f>TEXT(B44,"mmm-yy")</f>
        <v/>
      </c>
    </row>
    <row r="45">
      <c r="A45" t="n">
        <v>42</v>
      </c>
      <c r="B45" s="26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6">
        <f>B45+6</f>
        <v/>
      </c>
      <c r="G45">
        <f>TEXT(B45,"mmm-yy")</f>
        <v/>
      </c>
    </row>
    <row r="46">
      <c r="A46" t="n">
        <v>43</v>
      </c>
      <c r="B46" s="26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6">
        <f>B46+6</f>
        <v/>
      </c>
      <c r="G46">
        <f>TEXT(B46,"mmm-yy")</f>
        <v/>
      </c>
    </row>
    <row r="47">
      <c r="A47" t="n">
        <v>44</v>
      </c>
      <c r="B47" s="26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6">
        <f>B47+6</f>
        <v/>
      </c>
      <c r="G47">
        <f>TEXT(B47,"mmm-yy")</f>
        <v/>
      </c>
    </row>
    <row r="48">
      <c r="A48" t="n">
        <v>45</v>
      </c>
      <c r="B48" s="26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6">
        <f>B48+6</f>
        <v/>
      </c>
      <c r="G48">
        <f>TEXT(B48,"mmm-yy")</f>
        <v/>
      </c>
    </row>
    <row r="49">
      <c r="A49" t="n">
        <v>46</v>
      </c>
      <c r="B49" s="26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6">
        <f>B49+6</f>
        <v/>
      </c>
      <c r="G49">
        <f>TEXT(B49,"mmm-yy")</f>
        <v/>
      </c>
    </row>
    <row r="50">
      <c r="A50" t="n">
        <v>47</v>
      </c>
      <c r="B50" s="26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6">
        <f>B50+6</f>
        <v/>
      </c>
      <c r="G50">
        <f>TEXT(B50,"mmm-yy")</f>
        <v/>
      </c>
    </row>
    <row r="51">
      <c r="A51" t="n">
        <v>48</v>
      </c>
      <c r="B51" s="26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6">
        <f>B51+6</f>
        <v/>
      </c>
      <c r="G51">
        <f>TEXT(B51,"mmm-yy")</f>
        <v/>
      </c>
    </row>
    <row r="52">
      <c r="A52" t="n">
        <v>49</v>
      </c>
      <c r="B52" s="26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6">
        <f>B52+6</f>
        <v/>
      </c>
      <c r="G52">
        <f>TEXT(B52,"mmm-yy")</f>
        <v/>
      </c>
    </row>
    <row r="53">
      <c r="A53" t="n">
        <v>50</v>
      </c>
      <c r="B53" s="26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6">
        <f>B53+6</f>
        <v/>
      </c>
      <c r="G53">
        <f>TEXT(B53,"mmm-yy")</f>
        <v/>
      </c>
    </row>
    <row r="54">
      <c r="A54" t="n">
        <v>51</v>
      </c>
      <c r="B54" s="26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6">
        <f>B54+6</f>
        <v/>
      </c>
      <c r="G54">
        <f>TEXT(B54,"mmm-yy")</f>
        <v/>
      </c>
    </row>
    <row r="55">
      <c r="A55" t="n">
        <v>52</v>
      </c>
      <c r="B55" s="26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6">
        <f>B55+6</f>
        <v/>
      </c>
      <c r="G55">
        <f>TEXT(B55,"mmm-yy")</f>
        <v/>
      </c>
    </row>
    <row r="56">
      <c r="A56" t="n">
        <v>53</v>
      </c>
      <c r="B56" s="26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6">
        <f>B56+6</f>
        <v/>
      </c>
      <c r="G56">
        <f>TEXT(B56,"mmm-yy")</f>
        <v/>
      </c>
    </row>
    <row r="57">
      <c r="A57" t="n">
        <v>54</v>
      </c>
      <c r="B57" s="26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6">
        <f>B57+6</f>
        <v/>
      </c>
      <c r="G57">
        <f>TEXT(B57,"mmm-yy")</f>
        <v/>
      </c>
    </row>
    <row r="58">
      <c r="A58" t="n">
        <v>55</v>
      </c>
      <c r="B58" s="26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6">
        <f>B58+6</f>
        <v/>
      </c>
      <c r="G58">
        <f>TEXT(B58,"mmm-yy")</f>
        <v/>
      </c>
    </row>
    <row r="59">
      <c r="A59" t="n">
        <v>56</v>
      </c>
      <c r="B59" s="26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6">
        <f>B59+6</f>
        <v/>
      </c>
      <c r="G59">
        <f>TEXT(B59,"mmm-yy")</f>
        <v/>
      </c>
    </row>
    <row r="60">
      <c r="A60" t="n">
        <v>57</v>
      </c>
      <c r="B60" s="26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6">
        <f>B60+6</f>
        <v/>
      </c>
      <c r="G60">
        <f>TEXT(B60,"mmm-yy")</f>
        <v/>
      </c>
    </row>
    <row r="61">
      <c r="A61" t="n">
        <v>58</v>
      </c>
      <c r="B61" s="26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6">
        <f>B61+6</f>
        <v/>
      </c>
      <c r="G61">
        <f>TEXT(B61,"mmm-yy")</f>
        <v/>
      </c>
    </row>
    <row r="62">
      <c r="A62" t="n">
        <v>59</v>
      </c>
      <c r="B62" s="26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6">
        <f>B62+6</f>
        <v/>
      </c>
      <c r="G62">
        <f>TEXT(B62,"mmm-yy")</f>
        <v/>
      </c>
    </row>
    <row r="63">
      <c r="A63" t="n">
        <v>60</v>
      </c>
      <c r="B63" s="26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6">
        <f>B63+6</f>
        <v/>
      </c>
      <c r="G63">
        <f>TEXT(B63,"mmm-yy")</f>
        <v/>
      </c>
    </row>
    <row r="64">
      <c r="A64" t="n">
        <v>61</v>
      </c>
      <c r="B64" s="26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6">
        <f>B64+6</f>
        <v/>
      </c>
      <c r="G64">
        <f>TEXT(B64,"mmm-yy")</f>
        <v/>
      </c>
    </row>
    <row r="65">
      <c r="A65" t="n">
        <v>62</v>
      </c>
      <c r="B65" s="26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6">
        <f>B65+6</f>
        <v/>
      </c>
      <c r="G65">
        <f>TEXT(B65,"mmm-yy")</f>
        <v/>
      </c>
    </row>
    <row r="66">
      <c r="A66" t="n">
        <v>63</v>
      </c>
      <c r="B66" s="26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6">
        <f>B66+6</f>
        <v/>
      </c>
      <c r="G66">
        <f>TEXT(B66,"mmm-yy")</f>
        <v/>
      </c>
    </row>
    <row r="67">
      <c r="A67" t="n">
        <v>64</v>
      </c>
      <c r="B67" s="26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6">
        <f>B67+6</f>
        <v/>
      </c>
      <c r="G67">
        <f>TEXT(B67,"mmm-yy")</f>
        <v/>
      </c>
    </row>
    <row r="68">
      <c r="A68" t="n">
        <v>65</v>
      </c>
      <c r="B68" s="26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6">
        <f>B68+6</f>
        <v/>
      </c>
      <c r="G68">
        <f>TEXT(B68,"mmm-yy")</f>
        <v/>
      </c>
    </row>
    <row r="69">
      <c r="A69" t="n">
        <v>66</v>
      </c>
      <c r="B69" s="26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6">
        <f>B69+6</f>
        <v/>
      </c>
      <c r="G69">
        <f>TEXT(B69,"mmm-yy")</f>
        <v/>
      </c>
    </row>
    <row r="70">
      <c r="A70" t="n">
        <v>67</v>
      </c>
      <c r="B70" s="26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6">
        <f>B70+6</f>
        <v/>
      </c>
      <c r="G70">
        <f>TEXT(B70,"mmm-yy")</f>
        <v/>
      </c>
    </row>
    <row r="71">
      <c r="A71" t="n">
        <v>68</v>
      </c>
      <c r="B71" s="26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6">
        <f>B71+6</f>
        <v/>
      </c>
      <c r="G71">
        <f>TEXT(B71,"mmm-yy")</f>
        <v/>
      </c>
    </row>
    <row r="72">
      <c r="A72" t="n">
        <v>69</v>
      </c>
      <c r="B72" s="26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6">
        <f>B72+6</f>
        <v/>
      </c>
      <c r="G72">
        <f>TEXT(B72,"mmm-yy")</f>
        <v/>
      </c>
    </row>
    <row r="73">
      <c r="A73" t="n">
        <v>70</v>
      </c>
      <c r="B73" s="26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6">
        <f>B73+6</f>
        <v/>
      </c>
      <c r="G73">
        <f>TEXT(B73,"mmm-yy")</f>
        <v/>
      </c>
    </row>
    <row r="74">
      <c r="A74" t="n">
        <v>71</v>
      </c>
      <c r="B74" s="26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6">
        <f>B74+6</f>
        <v/>
      </c>
      <c r="G74">
        <f>TEXT(B74,"mmm-yy")</f>
        <v/>
      </c>
    </row>
    <row r="75">
      <c r="A75" t="n">
        <v>72</v>
      </c>
      <c r="B75" s="26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6">
        <f>B75+6</f>
        <v/>
      </c>
      <c r="G75">
        <f>TEXT(B75,"mmm-yy")</f>
        <v/>
      </c>
    </row>
    <row r="76">
      <c r="A76" t="n">
        <v>73</v>
      </c>
      <c r="B76" s="26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6">
        <f>B76+6</f>
        <v/>
      </c>
      <c r="G76">
        <f>TEXT(B76,"mmm-yy")</f>
        <v/>
      </c>
    </row>
    <row r="77">
      <c r="A77" t="n">
        <v>74</v>
      </c>
      <c r="B77" s="26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6">
        <f>B77+6</f>
        <v/>
      </c>
      <c r="G77">
        <f>TEXT(B77,"mmm-yy")</f>
        <v/>
      </c>
    </row>
    <row r="78">
      <c r="A78" t="n">
        <v>75</v>
      </c>
      <c r="B78" s="26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6">
        <f>B78+6</f>
        <v/>
      </c>
      <c r="G78">
        <f>TEXT(B78,"mmm-yy")</f>
        <v/>
      </c>
    </row>
    <row r="79">
      <c r="A79" t="n">
        <v>76</v>
      </c>
      <c r="B79" s="26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6">
        <f>B79+6</f>
        <v/>
      </c>
      <c r="G79">
        <f>TEXT(B79,"mmm-yy")</f>
        <v/>
      </c>
    </row>
    <row r="80">
      <c r="A80" t="n">
        <v>77</v>
      </c>
      <c r="B80" s="26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6">
        <f>B80+6</f>
        <v/>
      </c>
      <c r="G80">
        <f>TEXT(B80,"mmm-yy")</f>
        <v/>
      </c>
    </row>
    <row r="81">
      <c r="A81" t="n">
        <v>78</v>
      </c>
      <c r="B81" s="26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6">
        <f>B81+6</f>
        <v/>
      </c>
      <c r="G81">
        <f>TEXT(B81,"mmm-yy")</f>
        <v/>
      </c>
    </row>
    <row r="82">
      <c r="A82" t="n">
        <v>79</v>
      </c>
      <c r="B82" s="26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6">
        <f>B82+6</f>
        <v/>
      </c>
      <c r="G82">
        <f>TEXT(B82,"mmm-yy")</f>
        <v/>
      </c>
    </row>
    <row r="83">
      <c r="A83" t="n">
        <v>80</v>
      </c>
      <c r="B83" s="26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6">
        <f>B83+6</f>
        <v/>
      </c>
      <c r="G83">
        <f>TEXT(B83,"mmm-yy")</f>
        <v/>
      </c>
    </row>
    <row r="84">
      <c r="A84" t="n">
        <v>81</v>
      </c>
      <c r="B84" s="26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6">
        <f>B84+6</f>
        <v/>
      </c>
      <c r="G84">
        <f>TEXT(B84,"mmm-yy")</f>
        <v/>
      </c>
    </row>
    <row r="85">
      <c r="A85" t="n">
        <v>82</v>
      </c>
      <c r="B85" s="26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6">
        <f>B85+6</f>
        <v/>
      </c>
      <c r="G85">
        <f>TEXT(B85,"mmm-yy")</f>
        <v/>
      </c>
    </row>
    <row r="86">
      <c r="A86" t="n">
        <v>83</v>
      </c>
      <c r="B86" s="26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6">
        <f>B86+6</f>
        <v/>
      </c>
      <c r="G86">
        <f>TEXT(B86,"mmm-yy")</f>
        <v/>
      </c>
    </row>
    <row r="87">
      <c r="A87" t="n">
        <v>84</v>
      </c>
      <c r="B87" s="26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6">
        <f>B87+6</f>
        <v/>
      </c>
      <c r="G87">
        <f>TEXT(B87,"mmm-yy")</f>
        <v/>
      </c>
    </row>
    <row r="88">
      <c r="A88" t="n">
        <v>85</v>
      </c>
      <c r="B88" s="26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6">
        <f>B88+6</f>
        <v/>
      </c>
      <c r="G88">
        <f>TEXT(B88,"mmm-yy")</f>
        <v/>
      </c>
    </row>
    <row r="89">
      <c r="A89" t="n">
        <v>86</v>
      </c>
      <c r="B89" s="26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6">
        <f>B89+6</f>
        <v/>
      </c>
      <c r="G89">
        <f>TEXT(B89,"mmm-yy")</f>
        <v/>
      </c>
    </row>
    <row r="90">
      <c r="A90" t="n">
        <v>87</v>
      </c>
      <c r="B90" s="26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6">
        <f>B90+6</f>
        <v/>
      </c>
      <c r="G90">
        <f>TEXT(B90,"mmm-yy")</f>
        <v/>
      </c>
    </row>
    <row r="91">
      <c r="A91" t="n">
        <v>88</v>
      </c>
      <c r="B91" s="26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6">
        <f>B91+6</f>
        <v/>
      </c>
      <c r="G91">
        <f>TEXT(B91,"mmm-yy")</f>
        <v/>
      </c>
    </row>
    <row r="92">
      <c r="A92" t="n">
        <v>89</v>
      </c>
      <c r="B92" s="26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6">
        <f>B92+6</f>
        <v/>
      </c>
      <c r="G92">
        <f>TEXT(B92,"mmm-yy")</f>
        <v/>
      </c>
    </row>
    <row r="93">
      <c r="A93" t="n">
        <v>90</v>
      </c>
      <c r="B93" s="26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6">
        <f>B93+6</f>
        <v/>
      </c>
      <c r="G93">
        <f>TEXT(B93,"mmm-yy")</f>
        <v/>
      </c>
    </row>
    <row r="94">
      <c r="A94" t="n">
        <v>91</v>
      </c>
      <c r="B94" s="26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6">
        <f>B94+6</f>
        <v/>
      </c>
      <c r="G94">
        <f>TEXT(B94,"mmm-yy")</f>
        <v/>
      </c>
    </row>
    <row r="95">
      <c r="A95" t="n">
        <v>92</v>
      </c>
      <c r="B95" s="26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6">
        <f>B95+6</f>
        <v/>
      </c>
      <c r="G95">
        <f>TEXT(B95,"mmm-yy")</f>
        <v/>
      </c>
    </row>
    <row r="96">
      <c r="A96" t="n">
        <v>93</v>
      </c>
      <c r="B96" s="26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6">
        <f>B96+6</f>
        <v/>
      </c>
      <c r="G96">
        <f>TEXT(B96,"mmm-yy")</f>
        <v/>
      </c>
    </row>
    <row r="97">
      <c r="A97" t="n">
        <v>94</v>
      </c>
      <c r="B97" s="26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6">
        <f>B97+6</f>
        <v/>
      </c>
      <c r="G97">
        <f>TEXT(B97,"mmm-yy")</f>
        <v/>
      </c>
    </row>
    <row r="98">
      <c r="A98" t="n">
        <v>95</v>
      </c>
      <c r="B98" s="26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6">
        <f>B98+6</f>
        <v/>
      </c>
      <c r="G98">
        <f>TEXT(B98,"mmm-yy")</f>
        <v/>
      </c>
    </row>
    <row r="99">
      <c r="A99" t="n">
        <v>96</v>
      </c>
      <c r="B99" s="26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6">
        <f>B99+6</f>
        <v/>
      </c>
      <c r="G99">
        <f>TEXT(B99,"mmm-yy")</f>
        <v/>
      </c>
    </row>
    <row r="100">
      <c r="A100" t="n">
        <v>97</v>
      </c>
      <c r="B100" s="26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6">
        <f>B100+6</f>
        <v/>
      </c>
      <c r="G100">
        <f>TEXT(B100,"mmm-yy")</f>
        <v/>
      </c>
    </row>
    <row r="101">
      <c r="A101" t="n">
        <v>98</v>
      </c>
      <c r="B101" s="26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6">
        <f>B101+6</f>
        <v/>
      </c>
      <c r="G101">
        <f>TEXT(B101,"mmm-yy")</f>
        <v/>
      </c>
    </row>
    <row r="102">
      <c r="A102" t="n">
        <v>99</v>
      </c>
      <c r="B102" s="26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6">
        <f>B102+6</f>
        <v/>
      </c>
      <c r="G102">
        <f>TEXT(B102,"mmm-yy")</f>
        <v/>
      </c>
    </row>
    <row r="103">
      <c r="A103" t="n">
        <v>100</v>
      </c>
      <c r="B103" s="26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6">
        <f>B103+6</f>
        <v/>
      </c>
      <c r="G103">
        <f>TEXT(B103,"mmm-yy")</f>
        <v/>
      </c>
    </row>
    <row r="104">
      <c r="A104" t="n">
        <v>101</v>
      </c>
      <c r="B104" s="26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6">
        <f>B104+6</f>
        <v/>
      </c>
      <c r="G104">
        <f>TEXT(B104,"mmm-yy")</f>
        <v/>
      </c>
    </row>
    <row r="105">
      <c r="A105" t="n">
        <v>102</v>
      </c>
      <c r="B105" s="26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6">
        <f>B105+6</f>
        <v/>
      </c>
      <c r="G105">
        <f>TEXT(B105,"mmm-yy")</f>
        <v/>
      </c>
    </row>
    <row r="106">
      <c r="A106" t="n">
        <v>103</v>
      </c>
      <c r="B106" s="26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6">
        <f>B106+6</f>
        <v/>
      </c>
      <c r="G106">
        <f>TEXT(B106,"mmm-yy")</f>
        <v/>
      </c>
    </row>
    <row r="107">
      <c r="A107" t="n">
        <v>104</v>
      </c>
      <c r="B107" s="26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6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9" t="inlineStr">
        <is>
          <t>Intermediate</t>
        </is>
      </c>
      <c r="B1" s="29" t="inlineStr">
        <is>
          <t>Type</t>
        </is>
      </c>
      <c r="C1" s="29" t="inlineStr">
        <is>
          <t>PGM</t>
        </is>
      </c>
      <c r="D1" s="29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TPP-190</t>
        </is>
      </c>
      <c r="B73" t="inlineStr">
        <is>
          <t>Powder</t>
        </is>
      </c>
      <c r="C73" t="inlineStr">
        <is>
          <t>Pd</t>
        </is>
      </c>
      <c r="D73" t="n">
        <v>72.05</v>
      </c>
    </row>
    <row r="74">
      <c r="A74" t="inlineStr">
        <is>
          <t>TPP-204</t>
        </is>
      </c>
      <c r="B74" t="inlineStr">
        <is>
          <t>Powder</t>
        </is>
      </c>
      <c r="C74" t="inlineStr">
        <is>
          <t>Pd</t>
        </is>
      </c>
      <c r="D74" t="n">
        <v>44.05</v>
      </c>
    </row>
    <row r="75">
      <c r="A75" t="inlineStr">
        <is>
          <t>TPP-350</t>
        </is>
      </c>
      <c r="B75" t="inlineStr">
        <is>
          <t>Powder</t>
        </is>
      </c>
      <c r="C75" t="inlineStr">
        <is>
          <t>Pd</t>
        </is>
      </c>
      <c r="D75" t="n">
        <v>102.71</v>
      </c>
    </row>
    <row r="76">
      <c r="A76" t="inlineStr">
        <is>
          <t>TPP-356</t>
        </is>
      </c>
      <c r="B76" t="inlineStr">
        <is>
          <t>Powder</t>
        </is>
      </c>
      <c r="C76" t="inlineStr">
        <is>
          <t>Pd</t>
        </is>
      </c>
      <c r="D76" t="n">
        <v>89.3</v>
      </c>
    </row>
    <row r="77">
      <c r="A77" t="inlineStr">
        <is>
          <t>TPP-358</t>
        </is>
      </c>
      <c r="B77" t="inlineStr">
        <is>
          <t>Powder</t>
        </is>
      </c>
      <c r="C77" t="inlineStr">
        <is>
          <t>Rh</t>
        </is>
      </c>
      <c r="D77" t="n">
        <v>64.40000000000001</v>
      </c>
    </row>
    <row r="78">
      <c r="A78" t="inlineStr">
        <is>
          <t>TPP-527</t>
        </is>
      </c>
      <c r="B78" t="inlineStr">
        <is>
          <t>Powder</t>
        </is>
      </c>
      <c r="C78" t="inlineStr">
        <is>
          <t>Pd</t>
        </is>
      </c>
      <c r="D78" t="n">
        <v>114.45</v>
      </c>
    </row>
    <row r="79">
      <c r="A79" t="inlineStr">
        <is>
          <t>TPP-533</t>
        </is>
      </c>
      <c r="B79" t="inlineStr">
        <is>
          <t>Powder</t>
        </is>
      </c>
      <c r="C79" t="inlineStr">
        <is>
          <t>Rh</t>
        </is>
      </c>
      <c r="D79" t="n">
        <v>58.6938775510204</v>
      </c>
    </row>
    <row r="80">
      <c r="A80" t="inlineStr">
        <is>
          <t>TPP-537</t>
        </is>
      </c>
      <c r="B80" t="inlineStr">
        <is>
          <t>Powder</t>
        </is>
      </c>
      <c r="C80" t="inlineStr">
        <is>
          <t>Pd</t>
        </is>
      </c>
      <c r="D80" t="n">
        <v>35.58</v>
      </c>
    </row>
    <row r="81">
      <c r="A81" t="inlineStr">
        <is>
          <t>TPP-609</t>
        </is>
      </c>
      <c r="B81" t="inlineStr">
        <is>
          <t>Powder</t>
        </is>
      </c>
      <c r="C81" t="inlineStr">
        <is>
          <t>Pd</t>
        </is>
      </c>
      <c r="D81" t="n">
        <v>42.52</v>
      </c>
    </row>
    <row r="82">
      <c r="A82" t="inlineStr">
        <is>
          <t>TPP-611</t>
        </is>
      </c>
      <c r="B82" t="inlineStr">
        <is>
          <t>Powder</t>
        </is>
      </c>
      <c r="C82" t="inlineStr">
        <is>
          <t>Rh</t>
        </is>
      </c>
      <c r="D82" t="n">
        <v>17.88</v>
      </c>
    </row>
    <row r="83">
      <c r="A83" t="inlineStr">
        <is>
          <t>TPP-613</t>
        </is>
      </c>
      <c r="B83" t="inlineStr">
        <is>
          <t>Powder</t>
        </is>
      </c>
      <c r="C83" t="inlineStr">
        <is>
          <t>Rh</t>
        </is>
      </c>
      <c r="D83" t="n">
        <v>17.82</v>
      </c>
    </row>
    <row r="84">
      <c r="A84" t="inlineStr">
        <is>
          <t>TPP-635</t>
        </is>
      </c>
      <c r="B84" t="inlineStr">
        <is>
          <t>Powder</t>
        </is>
      </c>
      <c r="C84" t="inlineStr">
        <is>
          <t>Rh</t>
        </is>
      </c>
      <c r="D84" t="n">
        <v>44.26</v>
      </c>
    </row>
    <row r="85">
      <c r="A85" t="inlineStr">
        <is>
          <t>TPP-649</t>
        </is>
      </c>
      <c r="B85" t="inlineStr">
        <is>
          <t>Powder</t>
        </is>
      </c>
      <c r="C85" t="inlineStr">
        <is>
          <t>Rh</t>
        </is>
      </c>
      <c r="D85" t="n">
        <v>32.24</v>
      </c>
    </row>
    <row r="86">
      <c r="A86" t="inlineStr">
        <is>
          <t>TPP-650</t>
        </is>
      </c>
      <c r="B86" t="inlineStr">
        <is>
          <t>Powder</t>
        </is>
      </c>
      <c r="C86" t="inlineStr">
        <is>
          <t>Pd</t>
        </is>
      </c>
      <c r="D86" t="n">
        <v>58.21</v>
      </c>
    </row>
    <row r="87">
      <c r="A87" t="inlineStr">
        <is>
          <t>TPP-699</t>
        </is>
      </c>
      <c r="B87" t="inlineStr">
        <is>
          <t>Powder</t>
        </is>
      </c>
      <c r="C87" t="inlineStr">
        <is>
          <t>Pt</t>
        </is>
      </c>
      <c r="D87" t="n">
        <v>38.85</v>
      </c>
    </row>
    <row r="88">
      <c r="A88" t="inlineStr">
        <is>
          <t>TPP-700</t>
        </is>
      </c>
      <c r="B88" t="inlineStr">
        <is>
          <t>Powder</t>
        </is>
      </c>
      <c r="C88" t="inlineStr">
        <is>
          <t>Pt</t>
        </is>
      </c>
      <c r="D88" t="n">
        <v>36.03</v>
      </c>
    </row>
    <row r="89">
      <c r="A89" t="inlineStr">
        <is>
          <t>TPP-701</t>
        </is>
      </c>
      <c r="B89" t="inlineStr">
        <is>
          <t>Powder</t>
        </is>
      </c>
      <c r="C89" t="inlineStr">
        <is>
          <t>Pt</t>
        </is>
      </c>
      <c r="D89" t="n">
        <v>36.61</v>
      </c>
    </row>
    <row r="90">
      <c r="A90" t="inlineStr">
        <is>
          <t>TPP-704</t>
        </is>
      </c>
      <c r="B90" t="inlineStr">
        <is>
          <t>Powder</t>
        </is>
      </c>
      <c r="C90" t="inlineStr">
        <is>
          <t>Pd</t>
        </is>
      </c>
      <c r="D90" t="n">
        <v>123.03</v>
      </c>
    </row>
    <row r="91">
      <c r="A91" t="inlineStr">
        <is>
          <t>TPP-825</t>
        </is>
      </c>
      <c r="B91" t="inlineStr">
        <is>
          <t>Powder</t>
        </is>
      </c>
      <c r="C91" t="inlineStr">
        <is>
          <t>Pt</t>
        </is>
      </c>
      <c r="D91" t="n">
        <v>29.82</v>
      </c>
    </row>
    <row r="92">
      <c r="A92" t="inlineStr">
        <is>
          <t>TPP-911</t>
        </is>
      </c>
      <c r="B92" t="inlineStr">
        <is>
          <t>Powder</t>
        </is>
      </c>
      <c r="C92" t="inlineStr">
        <is>
          <t>Pd</t>
        </is>
      </c>
      <c r="D92" t="n">
        <v>52.15</v>
      </c>
    </row>
    <row r="93">
      <c r="A93" t="inlineStr">
        <is>
          <t>TPP-912</t>
        </is>
      </c>
      <c r="B93" t="inlineStr">
        <is>
          <t>Powder</t>
        </is>
      </c>
      <c r="C93" t="inlineStr">
        <is>
          <t>Pd</t>
        </is>
      </c>
      <c r="D93" t="n">
        <v>51.73</v>
      </c>
    </row>
    <row r="94">
      <c r="A94" t="inlineStr">
        <is>
          <t>TPP-914</t>
        </is>
      </c>
      <c r="B94" t="inlineStr">
        <is>
          <t>Powder</t>
        </is>
      </c>
      <c r="C94" t="inlineStr">
        <is>
          <t>Rh</t>
        </is>
      </c>
      <c r="D94" t="n">
        <v>25.69</v>
      </c>
    </row>
    <row r="95">
      <c r="A95" t="inlineStr">
        <is>
          <t>TPP-915</t>
        </is>
      </c>
      <c r="B95" t="inlineStr">
        <is>
          <t>Powder</t>
        </is>
      </c>
      <c r="C95" t="inlineStr">
        <is>
          <t>Rh</t>
        </is>
      </c>
      <c r="D95" t="n">
        <v>25.35</v>
      </c>
    </row>
    <row r="96">
      <c r="A96" t="inlineStr">
        <is>
          <t>TPP-916</t>
        </is>
      </c>
      <c r="B96" t="inlineStr">
        <is>
          <t>Powder</t>
        </is>
      </c>
      <c r="C96" t="inlineStr">
        <is>
          <t>Rh</t>
        </is>
      </c>
      <c r="D96" t="n">
        <v>25.91</v>
      </c>
    </row>
    <row r="97">
      <c r="A97" t="inlineStr">
        <is>
          <t>TPP-917</t>
        </is>
      </c>
      <c r="B97" t="inlineStr">
        <is>
          <t>Powder</t>
        </is>
      </c>
      <c r="C97" t="inlineStr">
        <is>
          <t>Rh</t>
        </is>
      </c>
      <c r="D97" t="n">
        <v>25.89</v>
      </c>
    </row>
    <row r="98">
      <c r="A98" t="inlineStr">
        <is>
          <t>TPP-919</t>
        </is>
      </c>
      <c r="B98" t="inlineStr">
        <is>
          <t>Powder</t>
        </is>
      </c>
      <c r="C98" t="inlineStr">
        <is>
          <t>Rh</t>
        </is>
      </c>
      <c r="D98" t="n">
        <v>17.44</v>
      </c>
    </row>
    <row r="99">
      <c r="A99" t="inlineStr">
        <is>
          <t>TPP-920</t>
        </is>
      </c>
      <c r="B99" t="inlineStr">
        <is>
          <t>Powder</t>
        </is>
      </c>
      <c r="C99" t="inlineStr">
        <is>
          <t>Rh</t>
        </is>
      </c>
      <c r="D99" t="n">
        <v>18.05</v>
      </c>
    </row>
    <row r="100">
      <c r="A100" t="inlineStr">
        <is>
          <t>TPP-922</t>
        </is>
      </c>
      <c r="B100" t="inlineStr">
        <is>
          <t>Powder</t>
        </is>
      </c>
      <c r="C100" t="inlineStr">
        <is>
          <t>Rh</t>
        </is>
      </c>
      <c r="D100" t="n">
        <v>17.69</v>
      </c>
    </row>
    <row r="101">
      <c r="A101" t="inlineStr">
        <is>
          <t>TPP-923</t>
        </is>
      </c>
      <c r="B101" t="inlineStr">
        <is>
          <t>Powder</t>
        </is>
      </c>
      <c r="C101" t="inlineStr">
        <is>
          <t>Rh</t>
        </is>
      </c>
      <c r="D101" t="n">
        <v>17.67</v>
      </c>
    </row>
    <row r="102">
      <c r="A102" t="inlineStr">
        <is>
          <t>TPP-968</t>
        </is>
      </c>
      <c r="B102" t="inlineStr">
        <is>
          <t>Powder</t>
        </is>
      </c>
      <c r="C102" t="inlineStr">
        <is>
          <t>Rh</t>
        </is>
      </c>
      <c r="D102" t="n">
        <v>22.38</v>
      </c>
    </row>
    <row r="103">
      <c r="A103" t="inlineStr">
        <is>
          <t>TPP-970</t>
        </is>
      </c>
      <c r="B103" t="inlineStr">
        <is>
          <t>Powder</t>
        </is>
      </c>
      <c r="C103" t="inlineStr">
        <is>
          <t>Pd</t>
        </is>
      </c>
      <c r="D103" t="n">
        <v>38.27</v>
      </c>
    </row>
    <row r="104">
      <c r="A104" t="inlineStr">
        <is>
          <t>SOL-10H</t>
        </is>
      </c>
      <c r="B104" t="inlineStr">
        <is>
          <t>Solution</t>
        </is>
      </c>
      <c r="C104" t="inlineStr">
        <is>
          <t>Rh</t>
        </is>
      </c>
      <c r="D104" t="n">
        <v>250</v>
      </c>
    </row>
    <row r="105">
      <c r="A105" t="inlineStr">
        <is>
          <t>SOL-10H VW</t>
        </is>
      </c>
      <c r="B105" t="inlineStr">
        <is>
          <t>Solution</t>
        </is>
      </c>
      <c r="C105" t="inlineStr">
        <is>
          <t>Rh</t>
        </is>
      </c>
      <c r="D105" t="n">
        <v>250</v>
      </c>
    </row>
    <row r="106">
      <c r="A106" t="inlineStr">
        <is>
          <t>SOL-20P</t>
        </is>
      </c>
      <c r="B106" t="inlineStr">
        <is>
          <t>Solution</t>
        </is>
      </c>
      <c r="C106" t="inlineStr">
        <is>
          <t>Pt</t>
        </is>
      </c>
      <c r="D106" t="n">
        <v>200</v>
      </c>
    </row>
    <row r="107">
      <c r="A107" t="inlineStr">
        <is>
          <t>SOL-250D</t>
        </is>
      </c>
      <c r="B107" t="inlineStr">
        <is>
          <t>Solution</t>
        </is>
      </c>
      <c r="C107" t="inlineStr">
        <is>
          <t>Pd</t>
        </is>
      </c>
      <c r="D107" t="n">
        <v>69.2300023753583</v>
      </c>
    </row>
    <row r="108">
      <c r="A108" t="inlineStr">
        <is>
          <t>SOL-85D</t>
        </is>
      </c>
      <c r="B108" t="inlineStr">
        <is>
          <t>Solution</t>
        </is>
      </c>
      <c r="C108" t="inlineStr">
        <is>
          <t>Pd</t>
        </is>
      </c>
      <c r="D108" t="n">
        <v>115.380000184608</v>
      </c>
    </row>
    <row r="109">
      <c r="A109" t="inlineStr">
        <is>
          <t>SOL-SCH</t>
        </is>
      </c>
      <c r="B109" t="inlineStr">
        <is>
          <t>Solution</t>
        </is>
      </c>
      <c r="C109" t="inlineStr">
        <is>
          <t>Rh</t>
        </is>
      </c>
      <c r="D109" t="n">
        <v>300</v>
      </c>
    </row>
    <row r="110">
      <c r="A110" t="inlineStr">
        <is>
          <t>SOL-SH</t>
        </is>
      </c>
      <c r="B110" t="inlineStr">
        <is>
          <t>Solution</t>
        </is>
      </c>
      <c r="C110" t="inlineStr">
        <is>
          <t>Rh</t>
        </is>
      </c>
      <c r="D110" t="n">
        <v>113.2110930266873</v>
      </c>
    </row>
    <row r="111">
      <c r="A111" t="inlineStr">
        <is>
          <t>20p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TPP-1459</t>
        </is>
      </c>
      <c r="B112" t="inlineStr">
        <is>
          <t>Powder</t>
        </is>
      </c>
      <c r="C112" t="inlineStr"/>
      <c r="D112" t="n">
        <v>1</v>
      </c>
    </row>
    <row r="113">
      <c r="A113" t="inlineStr">
        <is>
          <t>TPP-1466</t>
        </is>
      </c>
      <c r="B113" t="inlineStr">
        <is>
          <t>Powder</t>
        </is>
      </c>
      <c r="C113" t="inlineStr"/>
      <c r="D113" t="n">
        <v>1</v>
      </c>
    </row>
    <row r="114">
      <c r="A114" t="inlineStr">
        <is>
          <t>TPP-2245</t>
        </is>
      </c>
      <c r="B114" t="inlineStr">
        <is>
          <t>Powder</t>
        </is>
      </c>
      <c r="C114" t="inlineStr"/>
      <c r="D114" t="n">
        <v>1</v>
      </c>
    </row>
    <row r="115">
      <c r="A115" t="inlineStr">
        <is>
          <t>TPP-378</t>
        </is>
      </c>
      <c r="B115" t="inlineStr">
        <is>
          <t>Powder</t>
        </is>
      </c>
      <c r="C115" t="inlineStr"/>
      <c r="D115" t="n">
        <v>1</v>
      </c>
    </row>
    <row r="116">
      <c r="A116" t="inlineStr">
        <is>
          <t>TPP-533(98%)</t>
        </is>
      </c>
      <c r="B116" t="inlineStr">
        <is>
          <t>Powder</t>
        </is>
      </c>
      <c r="C116" t="inlineStr"/>
      <c r="D116" t="n">
        <v>1</v>
      </c>
    </row>
    <row r="117">
      <c r="A117" t="inlineStr">
        <is>
          <t>TPP-533(A)</t>
        </is>
      </c>
      <c r="B117" t="inlineStr">
        <is>
          <t>Powder</t>
        </is>
      </c>
      <c r="C117" t="inlineStr"/>
      <c r="D117" t="n">
        <v>1</v>
      </c>
    </row>
    <row r="118">
      <c r="A118" t="inlineStr">
        <is>
          <t>TSP-070</t>
        </is>
      </c>
      <c r="B118" t="inlineStr">
        <is>
          <t>Slurry</t>
        </is>
      </c>
      <c r="C118" t="inlineStr"/>
      <c r="D118" t="n">
        <v>1</v>
      </c>
    </row>
    <row r="119">
      <c r="A119" t="inlineStr">
        <is>
          <t>TSP-077</t>
        </is>
      </c>
      <c r="B119" t="inlineStr">
        <is>
          <t>Slurry</t>
        </is>
      </c>
      <c r="C119" t="inlineStr"/>
      <c r="D119" t="n">
        <v>1</v>
      </c>
    </row>
    <row r="120">
      <c r="A120" t="inlineStr">
        <is>
          <t>TSP-088</t>
        </is>
      </c>
      <c r="B120" t="inlineStr">
        <is>
          <t>Slurry</t>
        </is>
      </c>
      <c r="C120" t="inlineStr"/>
      <c r="D120" t="n">
        <v>1</v>
      </c>
    </row>
    <row r="121">
      <c r="A121" t="inlineStr">
        <is>
          <t>TSP-089</t>
        </is>
      </c>
      <c r="B121" t="inlineStr">
        <is>
          <t>Slurry</t>
        </is>
      </c>
      <c r="C121" t="inlineStr"/>
      <c r="D121" t="n">
        <v>1</v>
      </c>
    </row>
    <row r="122">
      <c r="A122" t="inlineStr">
        <is>
          <t>TSP-1499</t>
        </is>
      </c>
      <c r="B122" t="inlineStr">
        <is>
          <t>Slurry</t>
        </is>
      </c>
      <c r="C122" t="inlineStr"/>
      <c r="D122" t="n">
        <v>1</v>
      </c>
    </row>
    <row r="123">
      <c r="A123" t="inlineStr">
        <is>
          <t>TSP-1558</t>
        </is>
      </c>
      <c r="B123" t="inlineStr">
        <is>
          <t>Slurry</t>
        </is>
      </c>
      <c r="C123" t="inlineStr"/>
      <c r="D123" t="n">
        <v>1</v>
      </c>
    </row>
    <row r="124">
      <c r="A124" t="inlineStr">
        <is>
          <t>TSP-1559</t>
        </is>
      </c>
      <c r="B124" t="inlineStr">
        <is>
          <t>Slurry</t>
        </is>
      </c>
      <c r="C124" t="inlineStr"/>
      <c r="D124" t="n">
        <v>1</v>
      </c>
    </row>
    <row r="125">
      <c r="A125" t="inlineStr">
        <is>
          <t>TSP-2157</t>
        </is>
      </c>
      <c r="B125" t="inlineStr">
        <is>
          <t>Slurry</t>
        </is>
      </c>
      <c r="C125" t="inlineStr"/>
      <c r="D125" t="n">
        <v>1</v>
      </c>
    </row>
    <row r="126">
      <c r="A126" t="inlineStr">
        <is>
          <t>TSP-2168</t>
        </is>
      </c>
      <c r="B126" t="inlineStr">
        <is>
          <t>Slurry</t>
        </is>
      </c>
      <c r="C126" t="inlineStr"/>
      <c r="D126" t="n">
        <v>1</v>
      </c>
    </row>
    <row r="127">
      <c r="A127" t="inlineStr">
        <is>
          <t>TSP-218</t>
        </is>
      </c>
      <c r="B127" t="inlineStr">
        <is>
          <t>Slurry</t>
        </is>
      </c>
      <c r="C127" t="inlineStr"/>
      <c r="D127" t="n">
        <v>1</v>
      </c>
    </row>
    <row r="128">
      <c r="A128" t="inlineStr">
        <is>
          <t>TSP-219</t>
        </is>
      </c>
      <c r="B128" t="inlineStr">
        <is>
          <t>Slurry</t>
        </is>
      </c>
      <c r="C128" t="inlineStr"/>
      <c r="D128" t="n">
        <v>1</v>
      </c>
    </row>
    <row r="129">
      <c r="A129" t="inlineStr">
        <is>
          <t>TSP-390</t>
        </is>
      </c>
      <c r="B129" t="inlineStr">
        <is>
          <t>Slurry</t>
        </is>
      </c>
      <c r="C129" t="inlineStr"/>
      <c r="D129" t="n">
        <v>1</v>
      </c>
    </row>
    <row r="130">
      <c r="A130" t="inlineStr">
        <is>
          <t>TSP-399</t>
        </is>
      </c>
      <c r="B130" t="inlineStr">
        <is>
          <t>Slurry</t>
        </is>
      </c>
      <c r="C130" t="inlineStr"/>
      <c r="D130" t="n">
        <v>1</v>
      </c>
    </row>
    <row r="131">
      <c r="A131" t="inlineStr">
        <is>
          <t>TSP-699</t>
        </is>
      </c>
      <c r="B131" t="inlineStr">
        <is>
          <t>Slurry</t>
        </is>
      </c>
      <c r="C131" t="inlineStr"/>
      <c r="D131" t="n">
        <v>1</v>
      </c>
    </row>
    <row r="132">
      <c r="A132" t="inlineStr">
        <is>
          <t>TSP-WACZ</t>
        </is>
      </c>
      <c r="B132" t="inlineStr">
        <is>
          <t>Slurry</t>
        </is>
      </c>
      <c r="C132" t="inlineStr"/>
      <c r="D132" t="n">
        <v>1</v>
      </c>
    </row>
    <row r="133">
      <c r="A133" t="inlineStr">
        <is>
          <t>VSP-1000</t>
        </is>
      </c>
      <c r="B133" t="inlineStr">
        <is>
          <t>Unknown</t>
        </is>
      </c>
      <c r="C133" t="inlineStr"/>
      <c r="D133" t="n">
        <v>1</v>
      </c>
    </row>
    <row r="134">
      <c r="A134" t="inlineStr">
        <is>
          <t>VSP-567</t>
        </is>
      </c>
      <c r="B134" t="inlineStr">
        <is>
          <t>Unknown</t>
        </is>
      </c>
      <c r="C134" t="inlineStr"/>
      <c r="D134" t="n">
        <v>1</v>
      </c>
    </row>
    <row r="135">
      <c r="A135" t="inlineStr">
        <is>
          <t>VSP-603</t>
        </is>
      </c>
      <c r="B135" t="inlineStr">
        <is>
          <t>Unknown</t>
        </is>
      </c>
      <c r="C135" t="inlineStr"/>
      <c r="D135" t="n">
        <v>1</v>
      </c>
    </row>
    <row r="136">
      <c r="A136" t="inlineStr">
        <is>
          <t>VSP-604</t>
        </is>
      </c>
      <c r="B136" t="inlineStr">
        <is>
          <t>Unknown</t>
        </is>
      </c>
      <c r="C136" t="inlineStr"/>
      <c r="D136" t="n">
        <v>1</v>
      </c>
    </row>
    <row r="137">
      <c r="A137" t="inlineStr">
        <is>
          <t>VSP-605</t>
        </is>
      </c>
      <c r="B137" t="inlineStr">
        <is>
          <t>Unknown</t>
        </is>
      </c>
      <c r="C137" t="inlineStr"/>
      <c r="D137" t="n">
        <v>1</v>
      </c>
    </row>
    <row r="138">
      <c r="A138" t="inlineStr">
        <is>
          <t>VSP-606</t>
        </is>
      </c>
      <c r="B138" t="inlineStr">
        <is>
          <t>Unknown</t>
        </is>
      </c>
      <c r="C138" t="inlineStr"/>
      <c r="D138" t="n">
        <v>1</v>
      </c>
    </row>
    <row r="139">
      <c r="A139" t="inlineStr">
        <is>
          <t>VSP-607</t>
        </is>
      </c>
      <c r="B139" t="inlineStr">
        <is>
          <t>Unknown</t>
        </is>
      </c>
      <c r="C139" t="inlineStr"/>
      <c r="D139" t="n">
        <v>1</v>
      </c>
    </row>
    <row r="140">
      <c r="A140" t="inlineStr">
        <is>
          <t>VSP-738</t>
        </is>
      </c>
      <c r="B140" t="inlineStr">
        <is>
          <t>Unknown</t>
        </is>
      </c>
      <c r="C140" t="inlineStr"/>
      <c r="D140" t="n">
        <v>1</v>
      </c>
    </row>
    <row r="141">
      <c r="A141" t="inlineStr">
        <is>
          <t>VSP-739</t>
        </is>
      </c>
      <c r="B141" t="inlineStr">
        <is>
          <t>Unknown</t>
        </is>
      </c>
      <c r="C141" t="inlineStr"/>
      <c r="D141" t="n">
        <v>1</v>
      </c>
    </row>
    <row r="142">
      <c r="A142" t="inlineStr">
        <is>
          <t>VSP-740</t>
        </is>
      </c>
      <c r="B142" t="inlineStr">
        <is>
          <t>Unknown</t>
        </is>
      </c>
      <c r="C142" t="inlineStr"/>
      <c r="D142" t="n">
        <v>1</v>
      </c>
    </row>
    <row r="143">
      <c r="A143" t="inlineStr">
        <is>
          <t>VSP-746</t>
        </is>
      </c>
      <c r="B143" t="inlineStr">
        <is>
          <t>Unknown</t>
        </is>
      </c>
      <c r="C143" t="inlineStr"/>
      <c r="D143" t="n">
        <v>1</v>
      </c>
    </row>
    <row r="144">
      <c r="A144" t="inlineStr">
        <is>
          <t>VSP-869</t>
        </is>
      </c>
      <c r="B144" t="inlineStr">
        <is>
          <t>Unknown</t>
        </is>
      </c>
      <c r="C144" t="inlineStr"/>
      <c r="D144" t="n">
        <v>1</v>
      </c>
    </row>
    <row r="145">
      <c r="A145" t="inlineStr">
        <is>
          <t>VSP-870</t>
        </is>
      </c>
      <c r="B145" t="inlineStr">
        <is>
          <t>Unknown</t>
        </is>
      </c>
      <c r="C145" t="inlineStr"/>
      <c r="D145" t="n">
        <v>1</v>
      </c>
    </row>
    <row r="146">
      <c r="A146" t="inlineStr">
        <is>
          <t>VSP-999</t>
        </is>
      </c>
      <c r="B146" t="inlineStr">
        <is>
          <t>Unknown</t>
        </is>
      </c>
      <c r="C146" t="inlineStr"/>
      <c r="D146" t="n">
        <v>1</v>
      </c>
    </row>
    <row r="147">
      <c r="A147" t="inlineStr">
        <is>
          <t>VSZ-745</t>
        </is>
      </c>
      <c r="B147" t="inlineStr">
        <is>
          <t>Unknown</t>
        </is>
      </c>
      <c r="C147" t="inlineStr"/>
      <c r="D147" t="n">
        <v>1</v>
      </c>
    </row>
    <row r="148">
      <c r="A148" t="inlineStr">
        <is>
          <t>0Q110</t>
        </is>
      </c>
      <c r="B148" t="inlineStr">
        <is>
          <t>Cat</t>
        </is>
      </c>
      <c r="C148" t="inlineStr"/>
      <c r="D148" t="n">
        <v>1</v>
      </c>
    </row>
    <row r="149">
      <c r="A149" t="inlineStr">
        <is>
          <t>0Q120</t>
        </is>
      </c>
      <c r="B149" t="inlineStr">
        <is>
          <t>Cat</t>
        </is>
      </c>
      <c r="C149" t="inlineStr"/>
      <c r="D149" t="n">
        <v>1</v>
      </c>
    </row>
    <row r="150">
      <c r="A150" t="inlineStr">
        <is>
          <t>0TA30</t>
        </is>
      </c>
      <c r="B150" t="inlineStr">
        <is>
          <t>Cat</t>
        </is>
      </c>
      <c r="C150" t="inlineStr"/>
      <c r="D150" t="n">
        <v>1</v>
      </c>
    </row>
    <row r="151">
      <c r="A151" t="inlineStr">
        <is>
          <t>Ester Film</t>
        </is>
      </c>
      <c r="B151" t="inlineStr">
        <is>
          <t>Cat</t>
        </is>
      </c>
      <c r="C151" t="inlineStr"/>
      <c r="D151" t="n">
        <v>1</v>
      </c>
    </row>
    <row r="152">
      <c r="A152" t="inlineStr">
        <is>
          <t>F2090</t>
        </is>
      </c>
      <c r="B152" t="inlineStr">
        <is>
          <t>Cat</t>
        </is>
      </c>
      <c r="C152" t="inlineStr"/>
      <c r="D152" t="n">
        <v>1</v>
      </c>
    </row>
    <row r="153">
      <c r="A153" t="inlineStr">
        <is>
          <t>F2290</t>
        </is>
      </c>
      <c r="B153" t="inlineStr">
        <is>
          <t>Cat</t>
        </is>
      </c>
      <c r="C153" t="inlineStr"/>
      <c r="D153" t="n">
        <v>1</v>
      </c>
    </row>
    <row r="154">
      <c r="A154" t="inlineStr">
        <is>
          <t>K0050</t>
        </is>
      </c>
      <c r="B154" t="inlineStr">
        <is>
          <t>Cat</t>
        </is>
      </c>
      <c r="C154" t="inlineStr"/>
      <c r="D154" t="n">
        <v>1</v>
      </c>
    </row>
    <row r="155">
      <c r="A155" t="inlineStr">
        <is>
          <t>PP Film</t>
        </is>
      </c>
      <c r="B155" t="inlineStr">
        <is>
          <t>Cat</t>
        </is>
      </c>
      <c r="C155" t="inlineStr"/>
      <c r="D15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9" t="inlineStr">
        <is>
          <t>Intermediate</t>
        </is>
      </c>
      <c r="B1" s="29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TPP-190</t>
        </is>
      </c>
      <c r="B3" t="inlineStr">
        <is>
          <t>0W780</t>
        </is>
      </c>
    </row>
    <row r="4">
      <c r="A4" t="inlineStr">
        <is>
          <t>TPP-204</t>
        </is>
      </c>
      <c r="B4" t="inlineStr">
        <is>
          <t>0W780</t>
        </is>
      </c>
    </row>
    <row r="5">
      <c r="A5" t="inlineStr">
        <is>
          <t>TPP-350</t>
        </is>
      </c>
      <c r="B5" t="inlineStr">
        <is>
          <t>0T490</t>
        </is>
      </c>
    </row>
    <row r="6">
      <c r="A6" t="inlineStr">
        <is>
          <t>TPP-350</t>
        </is>
      </c>
      <c r="B6" t="inlineStr">
        <is>
          <t>0T500</t>
        </is>
      </c>
    </row>
    <row r="7">
      <c r="A7" t="inlineStr">
        <is>
          <t>TPP-356</t>
        </is>
      </c>
      <c r="B7" t="inlineStr">
        <is>
          <t>0T420</t>
        </is>
      </c>
    </row>
    <row r="8">
      <c r="A8" t="inlineStr">
        <is>
          <t>TPP-356</t>
        </is>
      </c>
      <c r="B8" t="inlineStr">
        <is>
          <t>0T470</t>
        </is>
      </c>
    </row>
    <row r="9">
      <c r="A9" t="inlineStr">
        <is>
          <t>TPP-356</t>
        </is>
      </c>
      <c r="B9" t="inlineStr">
        <is>
          <t>0T480</t>
        </is>
      </c>
    </row>
    <row r="10">
      <c r="A10" t="inlineStr">
        <is>
          <t>TPP-356</t>
        </is>
      </c>
      <c r="B10" t="inlineStr">
        <is>
          <t>0T490</t>
        </is>
      </c>
    </row>
    <row r="11">
      <c r="A11" t="inlineStr">
        <is>
          <t>TPP-356</t>
        </is>
      </c>
      <c r="B11" t="inlineStr">
        <is>
          <t>0T500</t>
        </is>
      </c>
    </row>
    <row r="12">
      <c r="A12" t="inlineStr">
        <is>
          <t>TPP-358</t>
        </is>
      </c>
      <c r="B12" t="inlineStr">
        <is>
          <t>0T420</t>
        </is>
      </c>
    </row>
    <row r="13">
      <c r="A13" t="inlineStr">
        <is>
          <t>TPP-358</t>
        </is>
      </c>
      <c r="B13" t="inlineStr">
        <is>
          <t>0T470</t>
        </is>
      </c>
    </row>
    <row r="14">
      <c r="A14" t="inlineStr">
        <is>
          <t>TPP-358</t>
        </is>
      </c>
      <c r="B14" t="inlineStr">
        <is>
          <t>0T490</t>
        </is>
      </c>
    </row>
    <row r="15">
      <c r="A15" t="inlineStr">
        <is>
          <t>TPP-358</t>
        </is>
      </c>
      <c r="B15" t="inlineStr">
        <is>
          <t>0T500</t>
        </is>
      </c>
    </row>
    <row r="16">
      <c r="A16" t="inlineStr">
        <is>
          <t>TPP-527</t>
        </is>
      </c>
      <c r="B16" t="inlineStr">
        <is>
          <t>0T480</t>
        </is>
      </c>
    </row>
    <row r="17">
      <c r="A17" t="inlineStr">
        <is>
          <t>TPP-533</t>
        </is>
      </c>
      <c r="B17" t="inlineStr">
        <is>
          <t>0T480</t>
        </is>
      </c>
    </row>
    <row r="18">
      <c r="A18" t="inlineStr">
        <is>
          <t>TPP-537</t>
        </is>
      </c>
      <c r="B18" t="inlineStr">
        <is>
          <t>0T480</t>
        </is>
      </c>
    </row>
    <row r="19">
      <c r="A19" t="inlineStr">
        <is>
          <t>TPP-609</t>
        </is>
      </c>
      <c r="B19" t="inlineStr">
        <is>
          <t>F0220</t>
        </is>
      </c>
    </row>
    <row r="20">
      <c r="A20" t="inlineStr">
        <is>
          <t>TPP-609</t>
        </is>
      </c>
      <c r="B20" t="inlineStr">
        <is>
          <t>F2100</t>
        </is>
      </c>
    </row>
    <row r="21">
      <c r="A21" t="inlineStr">
        <is>
          <t>TPP-611</t>
        </is>
      </c>
      <c r="B21" t="inlineStr">
        <is>
          <t>F2100</t>
        </is>
      </c>
    </row>
    <row r="22">
      <c r="A22" t="inlineStr">
        <is>
          <t>TPP-613</t>
        </is>
      </c>
      <c r="B22" t="inlineStr">
        <is>
          <t>F0220</t>
        </is>
      </c>
    </row>
    <row r="23">
      <c r="A23" t="inlineStr">
        <is>
          <t>TPP-635</t>
        </is>
      </c>
      <c r="B23" t="inlineStr">
        <is>
          <t>0T730</t>
        </is>
      </c>
    </row>
    <row r="24">
      <c r="A24" t="inlineStr">
        <is>
          <t>TPP-649</t>
        </is>
      </c>
      <c r="B24" t="inlineStr">
        <is>
          <t>0Q110</t>
        </is>
      </c>
    </row>
    <row r="25">
      <c r="A25" t="inlineStr">
        <is>
          <t>TPP-649</t>
        </is>
      </c>
      <c r="B25" t="inlineStr">
        <is>
          <t>0Y460</t>
        </is>
      </c>
    </row>
    <row r="26">
      <c r="A26" t="inlineStr">
        <is>
          <t>TPP-649</t>
        </is>
      </c>
      <c r="B26" t="inlineStr">
        <is>
          <t>F2090</t>
        </is>
      </c>
    </row>
    <row r="27">
      <c r="A27" t="inlineStr">
        <is>
          <t>TPP-650</t>
        </is>
      </c>
      <c r="B27" t="inlineStr">
        <is>
          <t>0Q110</t>
        </is>
      </c>
    </row>
    <row r="28">
      <c r="A28" t="inlineStr">
        <is>
          <t>TPP-650</t>
        </is>
      </c>
      <c r="B28" t="inlineStr">
        <is>
          <t>0Y460</t>
        </is>
      </c>
    </row>
    <row r="29">
      <c r="A29" t="inlineStr">
        <is>
          <t>TPP-650</t>
        </is>
      </c>
      <c r="B29" t="inlineStr">
        <is>
          <t>F2090</t>
        </is>
      </c>
    </row>
    <row r="30">
      <c r="A30" t="inlineStr">
        <is>
          <t>TPP-699</t>
        </is>
      </c>
      <c r="B30" t="inlineStr">
        <is>
          <t>0T510</t>
        </is>
      </c>
    </row>
    <row r="31">
      <c r="A31" t="inlineStr">
        <is>
          <t>TPP-699</t>
        </is>
      </c>
      <c r="B31" t="inlineStr">
        <is>
          <t>0T520</t>
        </is>
      </c>
    </row>
    <row r="32">
      <c r="A32" t="inlineStr">
        <is>
          <t>TPP-700</t>
        </is>
      </c>
      <c r="B32" t="inlineStr">
        <is>
          <t>0T430</t>
        </is>
      </c>
    </row>
    <row r="33">
      <c r="A33" t="inlineStr">
        <is>
          <t>TPP-701</t>
        </is>
      </c>
      <c r="B33" t="inlineStr">
        <is>
          <t>0Y230</t>
        </is>
      </c>
    </row>
    <row r="34">
      <c r="A34" t="inlineStr">
        <is>
          <t>TPP-704</t>
        </is>
      </c>
      <c r="B34" t="inlineStr">
        <is>
          <t>0T420</t>
        </is>
      </c>
    </row>
    <row r="35">
      <c r="A35" t="inlineStr">
        <is>
          <t>TPP-704</t>
        </is>
      </c>
      <c r="B35" t="inlineStr">
        <is>
          <t>0T470</t>
        </is>
      </c>
    </row>
    <row r="36">
      <c r="A36" t="inlineStr">
        <is>
          <t>TPP-825</t>
        </is>
      </c>
      <c r="B36" t="inlineStr">
        <is>
          <t>0T730</t>
        </is>
      </c>
    </row>
    <row r="37">
      <c r="A37" t="inlineStr">
        <is>
          <t>TPP-911</t>
        </is>
      </c>
      <c r="B37" t="inlineStr">
        <is>
          <t>K0030</t>
        </is>
      </c>
    </row>
    <row r="38">
      <c r="A38" t="inlineStr">
        <is>
          <t>TPP-911</t>
        </is>
      </c>
      <c r="B38" t="inlineStr">
        <is>
          <t>0T690</t>
        </is>
      </c>
    </row>
    <row r="39">
      <c r="A39" t="inlineStr">
        <is>
          <t>TPP-911</t>
        </is>
      </c>
      <c r="B39" t="inlineStr">
        <is>
          <t>0T720</t>
        </is>
      </c>
    </row>
    <row r="40">
      <c r="A40" t="inlineStr">
        <is>
          <t>TPP-911</t>
        </is>
      </c>
      <c r="B40" t="inlineStr">
        <is>
          <t>0T740</t>
        </is>
      </c>
    </row>
    <row r="41">
      <c r="A41" t="inlineStr">
        <is>
          <t>TPP-911</t>
        </is>
      </c>
      <c r="B41" t="inlineStr">
        <is>
          <t>F2180</t>
        </is>
      </c>
    </row>
    <row r="42">
      <c r="A42" t="inlineStr">
        <is>
          <t>TPP-911</t>
        </is>
      </c>
      <c r="B42" t="inlineStr">
        <is>
          <t>F2210</t>
        </is>
      </c>
    </row>
    <row r="43">
      <c r="A43" t="inlineStr">
        <is>
          <t>TPP-912</t>
        </is>
      </c>
      <c r="B43" t="inlineStr">
        <is>
          <t>0T750</t>
        </is>
      </c>
    </row>
    <row r="44">
      <c r="A44" t="inlineStr">
        <is>
          <t>TPP-914</t>
        </is>
      </c>
      <c r="B44" t="inlineStr">
        <is>
          <t>F2180</t>
        </is>
      </c>
    </row>
    <row r="45">
      <c r="A45" t="inlineStr">
        <is>
          <t>TPP-914</t>
        </is>
      </c>
      <c r="B45" t="inlineStr">
        <is>
          <t>F2210</t>
        </is>
      </c>
    </row>
    <row r="46">
      <c r="A46" t="inlineStr">
        <is>
          <t>TPP-915</t>
        </is>
      </c>
      <c r="B46" t="inlineStr">
        <is>
          <t>K0030</t>
        </is>
      </c>
    </row>
    <row r="47">
      <c r="A47" t="inlineStr">
        <is>
          <t>TPP-915</t>
        </is>
      </c>
      <c r="B47" t="inlineStr">
        <is>
          <t>0T690</t>
        </is>
      </c>
    </row>
    <row r="48">
      <c r="A48" t="inlineStr">
        <is>
          <t>TPP-915</t>
        </is>
      </c>
      <c r="B48" t="inlineStr">
        <is>
          <t>0T720</t>
        </is>
      </c>
    </row>
    <row r="49">
      <c r="A49" t="inlineStr">
        <is>
          <t>TPP-916</t>
        </is>
      </c>
      <c r="B49" t="inlineStr">
        <is>
          <t>0T740</t>
        </is>
      </c>
    </row>
    <row r="50">
      <c r="A50" t="inlineStr">
        <is>
          <t>TPP-917</t>
        </is>
      </c>
      <c r="B50" t="inlineStr">
        <is>
          <t>0T750</t>
        </is>
      </c>
    </row>
    <row r="51">
      <c r="A51" t="inlineStr">
        <is>
          <t>TPP-919</t>
        </is>
      </c>
      <c r="B51" t="inlineStr">
        <is>
          <t>F2180</t>
        </is>
      </c>
    </row>
    <row r="52">
      <c r="A52" t="inlineStr">
        <is>
          <t>TPP-919</t>
        </is>
      </c>
      <c r="B52" t="inlineStr">
        <is>
          <t>F2210</t>
        </is>
      </c>
    </row>
    <row r="53">
      <c r="A53" t="inlineStr">
        <is>
          <t>TPP-920</t>
        </is>
      </c>
      <c r="B53" t="inlineStr">
        <is>
          <t>K0030</t>
        </is>
      </c>
    </row>
    <row r="54">
      <c r="A54" t="inlineStr">
        <is>
          <t>TPP-920</t>
        </is>
      </c>
      <c r="B54" t="inlineStr">
        <is>
          <t>0T690</t>
        </is>
      </c>
    </row>
    <row r="55">
      <c r="A55" t="inlineStr">
        <is>
          <t>TPP-920</t>
        </is>
      </c>
      <c r="B55" t="inlineStr">
        <is>
          <t>0T720</t>
        </is>
      </c>
    </row>
    <row r="56">
      <c r="A56" t="inlineStr">
        <is>
          <t>TPP-922</t>
        </is>
      </c>
      <c r="B56" t="inlineStr">
        <is>
          <t>0T740</t>
        </is>
      </c>
    </row>
    <row r="57">
      <c r="A57" t="inlineStr">
        <is>
          <t>TPP-923</t>
        </is>
      </c>
      <c r="B57" t="inlineStr">
        <is>
          <t>0T750</t>
        </is>
      </c>
    </row>
    <row r="58">
      <c r="A58" t="inlineStr">
        <is>
          <t>TPP-968</t>
        </is>
      </c>
      <c r="B58" t="inlineStr">
        <is>
          <t>K0050</t>
        </is>
      </c>
    </row>
    <row r="59">
      <c r="A59" t="inlineStr">
        <is>
          <t>TPP-968</t>
        </is>
      </c>
      <c r="B59" t="inlineStr">
        <is>
          <t>0Q120</t>
        </is>
      </c>
    </row>
    <row r="60">
      <c r="A60" t="inlineStr">
        <is>
          <t>TPP-970</t>
        </is>
      </c>
      <c r="B60" t="inlineStr">
        <is>
          <t>K0050</t>
        </is>
      </c>
    </row>
    <row r="61">
      <c r="A61" t="inlineStr">
        <is>
          <t>TPP-970</t>
        </is>
      </c>
      <c r="B61" t="inlineStr">
        <is>
          <t>0Q120</t>
        </is>
      </c>
    </row>
    <row r="62">
      <c r="A62" t="inlineStr">
        <is>
          <t>TPP-1367</t>
        </is>
      </c>
      <c r="B62" t="inlineStr">
        <is>
          <t>F3060</t>
        </is>
      </c>
    </row>
    <row r="63">
      <c r="A63" t="inlineStr">
        <is>
          <t>TPP-1367</t>
        </is>
      </c>
      <c r="B63" t="inlineStr">
        <is>
          <t>F2350</t>
        </is>
      </c>
    </row>
    <row r="64">
      <c r="A64" t="inlineStr">
        <is>
          <t>TPP-1378</t>
        </is>
      </c>
      <c r="B64" t="inlineStr">
        <is>
          <t>F3060</t>
        </is>
      </c>
    </row>
    <row r="65">
      <c r="A65" t="inlineStr">
        <is>
          <t>TPP-1378</t>
        </is>
      </c>
      <c r="B65" t="inlineStr">
        <is>
          <t>F2350</t>
        </is>
      </c>
    </row>
    <row r="66">
      <c r="A66" t="inlineStr">
        <is>
          <t>TPP-1378</t>
        </is>
      </c>
      <c r="B66" t="inlineStr">
        <is>
          <t>A045</t>
        </is>
      </c>
    </row>
    <row r="67">
      <c r="A67" t="inlineStr">
        <is>
          <t>TPP-1369</t>
        </is>
      </c>
      <c r="B67" t="inlineStr">
        <is>
          <t>F3060</t>
        </is>
      </c>
    </row>
    <row r="68">
      <c r="A68" t="inlineStr">
        <is>
          <t>TPP-1369</t>
        </is>
      </c>
      <c r="B68" t="inlineStr">
        <is>
          <t>OT880</t>
        </is>
      </c>
    </row>
    <row r="69">
      <c r="A69" t="inlineStr">
        <is>
          <t>TPP-1379</t>
        </is>
      </c>
      <c r="B69" t="inlineStr">
        <is>
          <t>F3060</t>
        </is>
      </c>
    </row>
    <row r="70">
      <c r="A70" t="inlineStr">
        <is>
          <t>TPP-1379</t>
        </is>
      </c>
      <c r="B70" t="inlineStr">
        <is>
          <t>OT860</t>
        </is>
      </c>
    </row>
    <row r="71">
      <c r="A71" t="inlineStr">
        <is>
          <t>TPP-1379</t>
        </is>
      </c>
      <c r="B71" t="inlineStr">
        <is>
          <t>OT870</t>
        </is>
      </c>
    </row>
    <row r="72">
      <c r="A72" t="inlineStr">
        <is>
          <t>TPP-1379</t>
        </is>
      </c>
      <c r="B72" t="inlineStr">
        <is>
          <t>OT880</t>
        </is>
      </c>
    </row>
    <row r="73">
      <c r="A73" t="inlineStr">
        <is>
          <t>TPP-1368</t>
        </is>
      </c>
      <c r="B73" t="inlineStr">
        <is>
          <t>F3060</t>
        </is>
      </c>
    </row>
    <row r="74">
      <c r="A74" t="inlineStr">
        <is>
          <t>TPP-1368</t>
        </is>
      </c>
      <c r="B74" t="inlineStr">
        <is>
          <t>OT860</t>
        </is>
      </c>
    </row>
    <row r="75">
      <c r="A75" t="inlineStr">
        <is>
          <t>TPP-1368</t>
        </is>
      </c>
      <c r="B75" t="inlineStr">
        <is>
          <t>OT870</t>
        </is>
      </c>
    </row>
    <row r="76">
      <c r="A76" t="inlineStr">
        <is>
          <t>TPP-1368</t>
        </is>
      </c>
      <c r="B76" t="inlineStr">
        <is>
          <t>A045</t>
        </is>
      </c>
    </row>
    <row r="77">
      <c r="A77" t="inlineStr">
        <is>
          <t>TSP-049</t>
        </is>
      </c>
      <c r="B77" t="inlineStr">
        <is>
          <t>0T180</t>
        </is>
      </c>
    </row>
    <row r="78">
      <c r="A78" t="inlineStr">
        <is>
          <t>TSP-049</t>
        </is>
      </c>
      <c r="B78" t="inlineStr">
        <is>
          <t>0T410</t>
        </is>
      </c>
    </row>
    <row r="79">
      <c r="A79" t="inlineStr">
        <is>
          <t>TSP-049</t>
        </is>
      </c>
      <c r="B79" t="inlineStr">
        <is>
          <t>0W750</t>
        </is>
      </c>
    </row>
    <row r="80">
      <c r="A80" t="inlineStr">
        <is>
          <t>TSP-050</t>
        </is>
      </c>
      <c r="B80" t="inlineStr">
        <is>
          <t>0T180</t>
        </is>
      </c>
    </row>
    <row r="81">
      <c r="A81" t="inlineStr">
        <is>
          <t>TSP-050</t>
        </is>
      </c>
      <c r="B81" t="inlineStr">
        <is>
          <t>0T410</t>
        </is>
      </c>
    </row>
    <row r="82">
      <c r="A82" t="inlineStr">
        <is>
          <t>TSP-050</t>
        </is>
      </c>
      <c r="B82" t="inlineStr">
        <is>
          <t>0W750</t>
        </is>
      </c>
    </row>
    <row r="83">
      <c r="A83" t="inlineStr">
        <is>
          <t>TSP-067</t>
        </is>
      </c>
      <c r="B83" t="inlineStr">
        <is>
          <t>0T160</t>
        </is>
      </c>
    </row>
    <row r="84">
      <c r="A84" t="inlineStr">
        <is>
          <t>TSP-069</t>
        </is>
      </c>
      <c r="B84" t="inlineStr">
        <is>
          <t>0W770</t>
        </is>
      </c>
    </row>
    <row r="85">
      <c r="A85" t="inlineStr">
        <is>
          <t>TSP-077</t>
        </is>
      </c>
      <c r="B85" t="inlineStr">
        <is>
          <t>0T190</t>
        </is>
      </c>
    </row>
    <row r="86">
      <c r="A86" t="inlineStr">
        <is>
          <t>TSP-078</t>
        </is>
      </c>
      <c r="B86" t="inlineStr">
        <is>
          <t>0T160</t>
        </is>
      </c>
    </row>
    <row r="87">
      <c r="A87" t="inlineStr">
        <is>
          <t>TSP-080</t>
        </is>
      </c>
      <c r="B87" t="inlineStr">
        <is>
          <t>0W770</t>
        </is>
      </c>
    </row>
    <row r="88">
      <c r="A88" t="inlineStr">
        <is>
          <t>TSP-089</t>
        </is>
      </c>
      <c r="B88" t="inlineStr">
        <is>
          <t>0T190</t>
        </is>
      </c>
    </row>
    <row r="89">
      <c r="A89" t="inlineStr">
        <is>
          <t>TSP-104</t>
        </is>
      </c>
      <c r="B89" t="inlineStr">
        <is>
          <t>0T150</t>
        </is>
      </c>
    </row>
    <row r="90">
      <c r="A90" t="inlineStr">
        <is>
          <t>TSP-105</t>
        </is>
      </c>
      <c r="B90" t="inlineStr">
        <is>
          <t>0T150</t>
        </is>
      </c>
    </row>
    <row r="91">
      <c r="A91" t="inlineStr">
        <is>
          <t>TSP-199</t>
        </is>
      </c>
      <c r="B91" t="inlineStr">
        <is>
          <t>0W780</t>
        </is>
      </c>
    </row>
    <row r="92">
      <c r="A92" t="inlineStr">
        <is>
          <t>TSP-205</t>
        </is>
      </c>
      <c r="B92" t="inlineStr">
        <is>
          <t>0W780</t>
        </is>
      </c>
    </row>
    <row r="93">
      <c r="A93" t="inlineStr">
        <is>
          <t>TSP-206</t>
        </is>
      </c>
      <c r="B93" t="inlineStr">
        <is>
          <t>0W780</t>
        </is>
      </c>
    </row>
    <row r="94">
      <c r="A94" t="inlineStr">
        <is>
          <t>TSP-224</t>
        </is>
      </c>
      <c r="B94" t="inlineStr">
        <is>
          <t>0M060</t>
        </is>
      </c>
    </row>
    <row r="95">
      <c r="A95" t="inlineStr">
        <is>
          <t>TSP-224</t>
        </is>
      </c>
      <c r="B95" t="inlineStr">
        <is>
          <t>0P340</t>
        </is>
      </c>
    </row>
    <row r="96">
      <c r="A96" t="inlineStr">
        <is>
          <t>TSP-224</t>
        </is>
      </c>
      <c r="B96" t="inlineStr">
        <is>
          <t>0V250</t>
        </is>
      </c>
    </row>
    <row r="97">
      <c r="A97" t="inlineStr">
        <is>
          <t>TSP-225</t>
        </is>
      </c>
      <c r="B97" t="inlineStr">
        <is>
          <t>0M060</t>
        </is>
      </c>
    </row>
    <row r="98">
      <c r="A98" t="inlineStr">
        <is>
          <t>TSP-225</t>
        </is>
      </c>
      <c r="B98" t="inlineStr">
        <is>
          <t>0P340</t>
        </is>
      </c>
    </row>
    <row r="99">
      <c r="A99" t="inlineStr">
        <is>
          <t>TSP-225</t>
        </is>
      </c>
      <c r="B99" t="inlineStr">
        <is>
          <t>0V250</t>
        </is>
      </c>
    </row>
    <row r="100">
      <c r="A100" t="inlineStr">
        <is>
          <t>TSP-360</t>
        </is>
      </c>
      <c r="B100" t="inlineStr">
        <is>
          <t>0T490</t>
        </is>
      </c>
    </row>
    <row r="101">
      <c r="A101" t="inlineStr">
        <is>
          <t>TSP-360</t>
        </is>
      </c>
      <c r="B101" t="inlineStr">
        <is>
          <t>0T500</t>
        </is>
      </c>
    </row>
    <row r="102">
      <c r="A102" t="inlineStr">
        <is>
          <t>TSP-367</t>
        </is>
      </c>
      <c r="B102" t="inlineStr">
        <is>
          <t>0T420</t>
        </is>
      </c>
    </row>
    <row r="103">
      <c r="A103" t="inlineStr">
        <is>
          <t>TSP-367</t>
        </is>
      </c>
      <c r="B103" t="inlineStr">
        <is>
          <t>0T470</t>
        </is>
      </c>
    </row>
    <row r="104">
      <c r="A104" t="inlineStr">
        <is>
          <t>TSP-367</t>
        </is>
      </c>
      <c r="B104" t="inlineStr">
        <is>
          <t>0T480</t>
        </is>
      </c>
    </row>
    <row r="105">
      <c r="A105" t="inlineStr">
        <is>
          <t>TSP-367</t>
        </is>
      </c>
      <c r="B105" t="inlineStr">
        <is>
          <t>0T490</t>
        </is>
      </c>
    </row>
    <row r="106">
      <c r="A106" t="inlineStr">
        <is>
          <t>TSP-367</t>
        </is>
      </c>
      <c r="B106" t="inlineStr">
        <is>
          <t>0T500</t>
        </is>
      </c>
    </row>
    <row r="107">
      <c r="A107" t="inlineStr">
        <is>
          <t>TSP-369</t>
        </is>
      </c>
      <c r="B107" t="inlineStr">
        <is>
          <t>0T420</t>
        </is>
      </c>
    </row>
    <row r="108">
      <c r="A108" t="inlineStr">
        <is>
          <t>TSP-369</t>
        </is>
      </c>
      <c r="B108" t="inlineStr">
        <is>
          <t>0T470</t>
        </is>
      </c>
    </row>
    <row r="109">
      <c r="A109" t="inlineStr">
        <is>
          <t>TSP-369</t>
        </is>
      </c>
      <c r="B109" t="inlineStr">
        <is>
          <t>0T490</t>
        </is>
      </c>
    </row>
    <row r="110">
      <c r="A110" t="inlineStr">
        <is>
          <t>TSP-369</t>
        </is>
      </c>
      <c r="B110" t="inlineStr">
        <is>
          <t>0T500</t>
        </is>
      </c>
    </row>
    <row r="111">
      <c r="A111" t="inlineStr">
        <is>
          <t>TSP-399</t>
        </is>
      </c>
      <c r="B111" t="inlineStr">
        <is>
          <t>0P390</t>
        </is>
      </c>
    </row>
    <row r="112">
      <c r="A112" t="inlineStr">
        <is>
          <t>TSP-402</t>
        </is>
      </c>
      <c r="B112" t="inlineStr">
        <is>
          <t>0T520</t>
        </is>
      </c>
    </row>
    <row r="113">
      <c r="A113" t="inlineStr">
        <is>
          <t>TSP-403</t>
        </is>
      </c>
      <c r="B113" t="inlineStr">
        <is>
          <t>0T510</t>
        </is>
      </c>
    </row>
    <row r="114">
      <c r="A114" t="inlineStr">
        <is>
          <t>TSP-404</t>
        </is>
      </c>
      <c r="B114" t="inlineStr">
        <is>
          <t>0T430</t>
        </is>
      </c>
    </row>
    <row r="115">
      <c r="A115" t="inlineStr">
        <is>
          <t>TSP-405</t>
        </is>
      </c>
      <c r="B115" t="inlineStr">
        <is>
          <t>0P390</t>
        </is>
      </c>
    </row>
    <row r="116">
      <c r="A116" t="inlineStr">
        <is>
          <t>TSP-405</t>
        </is>
      </c>
      <c r="B116" t="inlineStr">
        <is>
          <t>0Y230</t>
        </is>
      </c>
    </row>
    <row r="117">
      <c r="A117" t="inlineStr">
        <is>
          <t>TSP-544</t>
        </is>
      </c>
      <c r="B117" t="inlineStr">
        <is>
          <t>0T480</t>
        </is>
      </c>
    </row>
    <row r="118">
      <c r="A118" t="inlineStr">
        <is>
          <t>TSP-558</t>
        </is>
      </c>
      <c r="B118" t="inlineStr">
        <is>
          <t>0T480</t>
        </is>
      </c>
    </row>
    <row r="119">
      <c r="A119" t="inlineStr">
        <is>
          <t>TSP-618</t>
        </is>
      </c>
      <c r="B119" t="inlineStr">
        <is>
          <t>F0220</t>
        </is>
      </c>
    </row>
    <row r="120">
      <c r="A120" t="inlineStr">
        <is>
          <t>TSP-618</t>
        </is>
      </c>
      <c r="B120" t="inlineStr">
        <is>
          <t>F2100</t>
        </is>
      </c>
    </row>
    <row r="121">
      <c r="A121" t="inlineStr">
        <is>
          <t>TSP-620</t>
        </is>
      </c>
      <c r="B121" t="inlineStr">
        <is>
          <t>F2100</t>
        </is>
      </c>
    </row>
    <row r="122">
      <c r="A122" t="inlineStr">
        <is>
          <t>TSP-623</t>
        </is>
      </c>
      <c r="B122" t="inlineStr">
        <is>
          <t>F0220</t>
        </is>
      </c>
    </row>
    <row r="123">
      <c r="A123" t="inlineStr">
        <is>
          <t>TSP-655</t>
        </is>
      </c>
      <c r="B123" t="inlineStr">
        <is>
          <t>0Q110</t>
        </is>
      </c>
    </row>
    <row r="124">
      <c r="A124" t="inlineStr">
        <is>
          <t>TSP-655</t>
        </is>
      </c>
      <c r="B124" t="inlineStr">
        <is>
          <t>0Y460</t>
        </is>
      </c>
    </row>
    <row r="125">
      <c r="A125" t="inlineStr">
        <is>
          <t>TSP-655</t>
        </is>
      </c>
      <c r="B125" t="inlineStr">
        <is>
          <t>F2090</t>
        </is>
      </c>
    </row>
    <row r="126">
      <c r="A126" t="inlineStr">
        <is>
          <t>TSP-656</t>
        </is>
      </c>
      <c r="B126" t="inlineStr">
        <is>
          <t>0Q110</t>
        </is>
      </c>
    </row>
    <row r="127">
      <c r="A127" t="inlineStr">
        <is>
          <t>TSP-656</t>
        </is>
      </c>
      <c r="B127" t="inlineStr">
        <is>
          <t>0Y460</t>
        </is>
      </c>
    </row>
    <row r="128">
      <c r="A128" t="inlineStr">
        <is>
          <t>TSP-656</t>
        </is>
      </c>
      <c r="B128" t="inlineStr">
        <is>
          <t>F2090</t>
        </is>
      </c>
    </row>
    <row r="129">
      <c r="A129" t="inlineStr">
        <is>
          <t>TSP-665</t>
        </is>
      </c>
      <c r="B129" t="inlineStr">
        <is>
          <t>F0220</t>
        </is>
      </c>
    </row>
    <row r="130">
      <c r="A130" t="inlineStr">
        <is>
          <t>TSP-668</t>
        </is>
      </c>
      <c r="B130" t="inlineStr">
        <is>
          <t>0T510</t>
        </is>
      </c>
    </row>
    <row r="131">
      <c r="A131" t="inlineStr">
        <is>
          <t>TSP-668</t>
        </is>
      </c>
      <c r="B131" t="inlineStr">
        <is>
          <t>0T520</t>
        </is>
      </c>
    </row>
    <row r="132">
      <c r="A132" t="inlineStr">
        <is>
          <t>TSP-669</t>
        </is>
      </c>
      <c r="B132" t="inlineStr">
        <is>
          <t>0T430</t>
        </is>
      </c>
    </row>
    <row r="133">
      <c r="A133" t="inlineStr">
        <is>
          <t>TSP-670</t>
        </is>
      </c>
      <c r="B133" t="inlineStr">
        <is>
          <t>0Y230</t>
        </is>
      </c>
    </row>
    <row r="134">
      <c r="A134" t="inlineStr">
        <is>
          <t>TSP-710</t>
        </is>
      </c>
      <c r="B134" t="inlineStr">
        <is>
          <t>0T420</t>
        </is>
      </c>
    </row>
    <row r="135">
      <c r="A135" t="inlineStr">
        <is>
          <t>TSP-710</t>
        </is>
      </c>
      <c r="B135" t="inlineStr">
        <is>
          <t>0T470</t>
        </is>
      </c>
    </row>
    <row r="136">
      <c r="A136" t="inlineStr">
        <is>
          <t>TSP-828</t>
        </is>
      </c>
      <c r="B136" t="inlineStr">
        <is>
          <t>0T730</t>
        </is>
      </c>
    </row>
    <row r="137">
      <c r="A137" t="inlineStr">
        <is>
          <t>TSP-903</t>
        </is>
      </c>
      <c r="B137" t="inlineStr">
        <is>
          <t>0T730</t>
        </is>
      </c>
    </row>
    <row r="138">
      <c r="A138" t="inlineStr">
        <is>
          <t>TSP-924</t>
        </is>
      </c>
      <c r="B138" t="inlineStr">
        <is>
          <t>0T720</t>
        </is>
      </c>
    </row>
    <row r="139">
      <c r="A139" t="inlineStr">
        <is>
          <t>TSP-924</t>
        </is>
      </c>
      <c r="B139" t="inlineStr">
        <is>
          <t>0T740</t>
        </is>
      </c>
    </row>
    <row r="140">
      <c r="A140" t="inlineStr">
        <is>
          <t>TSP-924</t>
        </is>
      </c>
      <c r="B140" t="inlineStr">
        <is>
          <t>F2180</t>
        </is>
      </c>
    </row>
    <row r="141">
      <c r="A141" t="inlineStr">
        <is>
          <t>TSP-924</t>
        </is>
      </c>
      <c r="B141" t="inlineStr">
        <is>
          <t>F2210</t>
        </is>
      </c>
    </row>
    <row r="142">
      <c r="A142" t="inlineStr">
        <is>
          <t>TSP-924</t>
        </is>
      </c>
      <c r="B142" t="inlineStr">
        <is>
          <t>K0030</t>
        </is>
      </c>
    </row>
    <row r="143">
      <c r="A143" t="inlineStr">
        <is>
          <t>TSP-925</t>
        </is>
      </c>
      <c r="B143" t="inlineStr">
        <is>
          <t>0T750</t>
        </is>
      </c>
    </row>
    <row r="144">
      <c r="A144" t="inlineStr">
        <is>
          <t>TSP-927</t>
        </is>
      </c>
      <c r="B144" t="inlineStr">
        <is>
          <t>F2180</t>
        </is>
      </c>
    </row>
    <row r="145">
      <c r="A145" t="inlineStr">
        <is>
          <t>TSP-927</t>
        </is>
      </c>
      <c r="B145" t="inlineStr">
        <is>
          <t>F2210</t>
        </is>
      </c>
    </row>
    <row r="146">
      <c r="A146" t="inlineStr">
        <is>
          <t>TSP-928</t>
        </is>
      </c>
      <c r="B146" t="inlineStr">
        <is>
          <t>K0030</t>
        </is>
      </c>
    </row>
    <row r="147">
      <c r="A147" t="inlineStr">
        <is>
          <t>TSP-928</t>
        </is>
      </c>
      <c r="B147" t="inlineStr">
        <is>
          <t>0T720</t>
        </is>
      </c>
    </row>
    <row r="148">
      <c r="A148" t="inlineStr">
        <is>
          <t>TSP-928</t>
        </is>
      </c>
      <c r="B148" t="inlineStr">
        <is>
          <t>OT690</t>
        </is>
      </c>
    </row>
    <row r="149">
      <c r="A149" t="inlineStr">
        <is>
          <t>TSP-929</t>
        </is>
      </c>
      <c r="B149" t="inlineStr">
        <is>
          <t>0T740</t>
        </is>
      </c>
    </row>
    <row r="150">
      <c r="A150" t="inlineStr">
        <is>
          <t>TSP-930</t>
        </is>
      </c>
      <c r="B150" t="inlineStr">
        <is>
          <t>0T750</t>
        </is>
      </c>
    </row>
    <row r="151">
      <c r="A151" t="inlineStr">
        <is>
          <t>TSP-934</t>
        </is>
      </c>
      <c r="B151" t="inlineStr">
        <is>
          <t>F2180</t>
        </is>
      </c>
    </row>
    <row r="152">
      <c r="A152" t="inlineStr">
        <is>
          <t>TSP-934</t>
        </is>
      </c>
      <c r="B152" t="inlineStr">
        <is>
          <t>F2210</t>
        </is>
      </c>
    </row>
    <row r="153">
      <c r="A153" t="inlineStr">
        <is>
          <t>TSP-934</t>
        </is>
      </c>
      <c r="B153" t="inlineStr">
        <is>
          <t>OT690</t>
        </is>
      </c>
    </row>
    <row r="154">
      <c r="A154" t="inlineStr">
        <is>
          <t>TSP-935</t>
        </is>
      </c>
      <c r="B154" t="inlineStr">
        <is>
          <t>0T720</t>
        </is>
      </c>
    </row>
    <row r="155">
      <c r="A155" t="inlineStr">
        <is>
          <t>TSP-935</t>
        </is>
      </c>
      <c r="B155" t="inlineStr">
        <is>
          <t>K0030</t>
        </is>
      </c>
    </row>
    <row r="156">
      <c r="A156" t="inlineStr">
        <is>
          <t>TSP-936</t>
        </is>
      </c>
      <c r="B156" t="inlineStr">
        <is>
          <t>0T740</t>
        </is>
      </c>
    </row>
    <row r="157">
      <c r="A157" t="inlineStr">
        <is>
          <t>TSP-937</t>
        </is>
      </c>
      <c r="B157" t="inlineStr">
        <is>
          <t>0T750</t>
        </is>
      </c>
    </row>
    <row r="158">
      <c r="A158" t="inlineStr">
        <is>
          <t>TSP-959</t>
        </is>
      </c>
      <c r="B158" t="inlineStr">
        <is>
          <t>0Q120</t>
        </is>
      </c>
    </row>
    <row r="159">
      <c r="A159" t="inlineStr">
        <is>
          <t>TSP-959</t>
        </is>
      </c>
      <c r="B159" t="inlineStr">
        <is>
          <t>K0050</t>
        </is>
      </c>
    </row>
    <row r="160">
      <c r="A160" t="inlineStr">
        <is>
          <t>TSP-966</t>
        </is>
      </c>
      <c r="B160" t="inlineStr">
        <is>
          <t>0Q120</t>
        </is>
      </c>
    </row>
    <row r="161">
      <c r="A161" t="inlineStr">
        <is>
          <t>TSP-966</t>
        </is>
      </c>
      <c r="B161" t="inlineStr">
        <is>
          <t>K0050</t>
        </is>
      </c>
    </row>
    <row r="162">
      <c r="A162" t="inlineStr">
        <is>
          <t>TSP-1388</t>
        </is>
      </c>
      <c r="B162" t="inlineStr">
        <is>
          <t>0T860</t>
        </is>
      </c>
    </row>
    <row r="163">
      <c r="A163" t="inlineStr">
        <is>
          <t>TSP-1388</t>
        </is>
      </c>
      <c r="B163" t="inlineStr">
        <is>
          <t>F2350</t>
        </is>
      </c>
    </row>
    <row r="164">
      <c r="A164" t="inlineStr">
        <is>
          <t>TSP-1388</t>
        </is>
      </c>
      <c r="B164" t="inlineStr">
        <is>
          <t>F3060</t>
        </is>
      </c>
    </row>
    <row r="165">
      <c r="A165" t="inlineStr">
        <is>
          <t>TSP-1444</t>
        </is>
      </c>
      <c r="B165" t="inlineStr">
        <is>
          <t>F2350</t>
        </is>
      </c>
    </row>
    <row r="166">
      <c r="A166" t="inlineStr">
        <is>
          <t>TSP-1444</t>
        </is>
      </c>
      <c r="B166" t="inlineStr">
        <is>
          <t>F3060</t>
        </is>
      </c>
    </row>
    <row r="167">
      <c r="A167" t="inlineStr">
        <is>
          <t>TSP-1448</t>
        </is>
      </c>
      <c r="B167" t="inlineStr">
        <is>
          <t>F2350</t>
        </is>
      </c>
    </row>
    <row r="168">
      <c r="A168" t="inlineStr">
        <is>
          <t>TSP-1448</t>
        </is>
      </c>
      <c r="B168" t="inlineStr">
        <is>
          <t>F3060</t>
        </is>
      </c>
    </row>
    <row r="169">
      <c r="A169" t="inlineStr">
        <is>
          <t>TSP-1445</t>
        </is>
      </c>
      <c r="B169" t="inlineStr">
        <is>
          <t>0T860</t>
        </is>
      </c>
    </row>
    <row r="170">
      <c r="A170" t="inlineStr">
        <is>
          <t>TSP-1446</t>
        </is>
      </c>
      <c r="B170" t="inlineStr">
        <is>
          <t>0T880</t>
        </is>
      </c>
    </row>
    <row r="171">
      <c r="A171" t="inlineStr">
        <is>
          <t>TSP-1449</t>
        </is>
      </c>
      <c r="B171" t="inlineStr">
        <is>
          <t>0T880</t>
        </is>
      </c>
    </row>
    <row r="172">
      <c r="A172" t="inlineStr">
        <is>
          <t>TSP-1449</t>
        </is>
      </c>
      <c r="B172" t="inlineStr">
        <is>
          <t>0T860</t>
        </is>
      </c>
    </row>
    <row r="173">
      <c r="A173" t="inlineStr">
        <is>
          <t>TVS-267</t>
        </is>
      </c>
      <c r="B173" t="inlineStr">
        <is>
          <t>0T750</t>
        </is>
      </c>
    </row>
    <row r="174">
      <c r="A174" t="inlineStr">
        <is>
          <t>TVS-500</t>
        </is>
      </c>
      <c r="B174" t="inlineStr">
        <is>
          <t>0T740</t>
        </is>
      </c>
    </row>
    <row r="175">
      <c r="A175" t="inlineStr">
        <is>
          <t>TVS-664</t>
        </is>
      </c>
      <c r="B175" t="inlineStr">
        <is>
          <t>F2180</t>
        </is>
      </c>
    </row>
    <row r="176">
      <c r="A176" t="inlineStr">
        <is>
          <t>TVS-664</t>
        </is>
      </c>
      <c r="B176" t="inlineStr">
        <is>
          <t>F2210</t>
        </is>
      </c>
    </row>
    <row r="177">
      <c r="A177" t="inlineStr">
        <is>
          <t>TVS-664</t>
        </is>
      </c>
      <c r="B177" t="inlineStr">
        <is>
          <t>K0030</t>
        </is>
      </c>
    </row>
    <row r="178">
      <c r="A178" t="inlineStr">
        <is>
          <t>TVS-833</t>
        </is>
      </c>
      <c r="B178" t="inlineStr">
        <is>
          <t>0T720</t>
        </is>
      </c>
    </row>
    <row r="179">
      <c r="A179" t="inlineStr">
        <is>
          <t>VSP-566</t>
        </is>
      </c>
      <c r="B179" t="inlineStr">
        <is>
          <t>V03</t>
        </is>
      </c>
    </row>
    <row r="180">
      <c r="A180" t="inlineStr">
        <is>
          <t>VSP-567</t>
        </is>
      </c>
      <c r="B180" t="inlineStr">
        <is>
          <t>V03</t>
        </is>
      </c>
    </row>
    <row r="181">
      <c r="A181" t="inlineStr">
        <is>
          <t>VSP-600</t>
        </is>
      </c>
      <c r="B181" t="inlineStr">
        <is>
          <t>V02</t>
        </is>
      </c>
    </row>
    <row r="182">
      <c r="A182" t="inlineStr">
        <is>
          <t>VSP-601</t>
        </is>
      </c>
      <c r="B182" t="inlineStr">
        <is>
          <t>V02</t>
        </is>
      </c>
    </row>
    <row r="183">
      <c r="A183" t="inlineStr">
        <is>
          <t>VSP-602</t>
        </is>
      </c>
      <c r="B183" t="inlineStr">
        <is>
          <t>V02</t>
        </is>
      </c>
    </row>
    <row r="184">
      <c r="A184" t="inlineStr">
        <is>
          <t>VSP-603</t>
        </is>
      </c>
      <c r="B184" t="inlineStr">
        <is>
          <t>V04</t>
        </is>
      </c>
    </row>
    <row r="185">
      <c r="A185" t="inlineStr">
        <is>
          <t>VSP-604</t>
        </is>
      </c>
      <c r="B185" t="inlineStr">
        <is>
          <t>V04</t>
        </is>
      </c>
    </row>
    <row r="186">
      <c r="A186" t="inlineStr">
        <is>
          <t>VSP-605</t>
        </is>
      </c>
      <c r="B186" t="inlineStr">
        <is>
          <t>V04</t>
        </is>
      </c>
    </row>
    <row r="187">
      <c r="A187" t="inlineStr">
        <is>
          <t>VSP-606</t>
        </is>
      </c>
      <c r="B187" t="inlineStr">
        <is>
          <t>V05</t>
        </is>
      </c>
    </row>
    <row r="188">
      <c r="A188" t="inlineStr">
        <is>
          <t>VSP-607</t>
        </is>
      </c>
      <c r="B188" t="inlineStr">
        <is>
          <t>V05</t>
        </is>
      </c>
    </row>
    <row r="189">
      <c r="A189" t="inlineStr">
        <is>
          <t>VSP-738</t>
        </is>
      </c>
      <c r="B189" t="inlineStr">
        <is>
          <t>V11</t>
        </is>
      </c>
    </row>
    <row r="190">
      <c r="A190" t="inlineStr">
        <is>
          <t>VSP-739</t>
        </is>
      </c>
      <c r="B190" t="inlineStr">
        <is>
          <t>V11</t>
        </is>
      </c>
    </row>
    <row r="191">
      <c r="A191" t="inlineStr">
        <is>
          <t>VSP-740</t>
        </is>
      </c>
      <c r="B191" t="inlineStr">
        <is>
          <t>V11</t>
        </is>
      </c>
    </row>
    <row r="192">
      <c r="A192" t="inlineStr">
        <is>
          <t>VSP-746</t>
        </is>
      </c>
      <c r="B192" t="inlineStr">
        <is>
          <t>V07</t>
        </is>
      </c>
    </row>
    <row r="193">
      <c r="A193" t="inlineStr">
        <is>
          <t>VSP-820</t>
        </is>
      </c>
      <c r="B193" t="inlineStr">
        <is>
          <t>V14</t>
        </is>
      </c>
    </row>
    <row r="194">
      <c r="A194" t="inlineStr">
        <is>
          <t>VSP-820</t>
        </is>
      </c>
      <c r="B194" t="inlineStr">
        <is>
          <t>V17</t>
        </is>
      </c>
    </row>
    <row r="195">
      <c r="A195" t="inlineStr">
        <is>
          <t>VSP-822</t>
        </is>
      </c>
      <c r="B195" t="inlineStr">
        <is>
          <t>V14</t>
        </is>
      </c>
    </row>
    <row r="196">
      <c r="A196" t="inlineStr">
        <is>
          <t>VSP-869</t>
        </is>
      </c>
      <c r="B196" t="inlineStr">
        <is>
          <t>V13</t>
        </is>
      </c>
    </row>
    <row r="197">
      <c r="A197" t="inlineStr">
        <is>
          <t>VSP-870</t>
        </is>
      </c>
      <c r="B197" t="inlineStr">
        <is>
          <t>V13</t>
        </is>
      </c>
    </row>
    <row r="198">
      <c r="A198" t="inlineStr">
        <is>
          <t>VSP-910</t>
        </is>
      </c>
      <c r="B198" t="inlineStr">
        <is>
          <t>V17</t>
        </is>
      </c>
    </row>
    <row r="199">
      <c r="A199" t="inlineStr">
        <is>
          <t>VSP-989</t>
        </is>
      </c>
      <c r="B199" t="inlineStr">
        <is>
          <t>V18</t>
        </is>
      </c>
    </row>
    <row r="200">
      <c r="A200" t="inlineStr">
        <is>
          <t>VSP-990</t>
        </is>
      </c>
      <c r="B200" t="inlineStr">
        <is>
          <t>V18</t>
        </is>
      </c>
    </row>
    <row r="201">
      <c r="A201" t="inlineStr">
        <is>
          <t>VSZ-745</t>
        </is>
      </c>
      <c r="B201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9" t="inlineStr">
        <is>
          <t>RM_Code</t>
        </is>
      </c>
      <c r="B1" s="29" t="inlineStr">
        <is>
          <t>2026-W01</t>
        </is>
      </c>
      <c r="C1" s="29" t="inlineStr">
        <is>
          <t>2026-W02</t>
        </is>
      </c>
      <c r="D1" s="29" t="inlineStr">
        <is>
          <t>2026-W03</t>
        </is>
      </c>
      <c r="E1" s="29" t="inlineStr">
        <is>
          <t>2026-W04</t>
        </is>
      </c>
      <c r="F1" s="29" t="inlineStr">
        <is>
          <t>2026-W05</t>
        </is>
      </c>
      <c r="G1" s="29" t="inlineStr">
        <is>
          <t>2026-W06</t>
        </is>
      </c>
      <c r="H1" s="29" t="inlineStr">
        <is>
          <t>2026-W07</t>
        </is>
      </c>
      <c r="I1" s="29" t="inlineStr">
        <is>
          <t>2026-W08</t>
        </is>
      </c>
      <c r="J1" s="29" t="inlineStr">
        <is>
          <t>2026-W09</t>
        </is>
      </c>
      <c r="K1" s="29" t="inlineStr">
        <is>
          <t>2026-W10</t>
        </is>
      </c>
      <c r="L1" s="29" t="inlineStr">
        <is>
          <t>2026-W11</t>
        </is>
      </c>
      <c r="M1" s="29" t="inlineStr">
        <is>
          <t>2026-W12</t>
        </is>
      </c>
      <c r="N1" s="29" t="inlineStr">
        <is>
          <t>2026-W13</t>
        </is>
      </c>
      <c r="O1" s="29" t="inlineStr">
        <is>
          <t>2026-W14</t>
        </is>
      </c>
      <c r="P1" s="29" t="inlineStr">
        <is>
          <t>2026-W15</t>
        </is>
      </c>
      <c r="Q1" s="29" t="inlineStr">
        <is>
          <t>2026-W16</t>
        </is>
      </c>
      <c r="R1" s="29" t="inlineStr">
        <is>
          <t>2026-W17</t>
        </is>
      </c>
      <c r="S1" s="29" t="inlineStr">
        <is>
          <t>2026-W18</t>
        </is>
      </c>
      <c r="T1" s="29" t="inlineStr">
        <is>
          <t>2026-W19</t>
        </is>
      </c>
      <c r="U1" s="29" t="inlineStr">
        <is>
          <t>2026-W20</t>
        </is>
      </c>
      <c r="V1" s="29" t="inlineStr">
        <is>
          <t>2026-W21</t>
        </is>
      </c>
      <c r="W1" s="29" t="inlineStr">
        <is>
          <t>2026-W22</t>
        </is>
      </c>
      <c r="X1" s="29" t="inlineStr">
        <is>
          <t>2026-W23</t>
        </is>
      </c>
      <c r="Y1" s="29" t="inlineStr">
        <is>
          <t>2026-W24</t>
        </is>
      </c>
      <c r="Z1" s="29" t="inlineStr">
        <is>
          <t>2026-W25</t>
        </is>
      </c>
      <c r="AA1" s="29" t="inlineStr">
        <is>
          <t>2026-W26</t>
        </is>
      </c>
      <c r="AB1" s="29" t="inlineStr">
        <is>
          <t>2026-W27</t>
        </is>
      </c>
      <c r="AC1" s="29" t="inlineStr">
        <is>
          <t>2026-W28</t>
        </is>
      </c>
      <c r="AD1" s="29" t="inlineStr">
        <is>
          <t>2026-W29</t>
        </is>
      </c>
      <c r="AE1" s="29" t="inlineStr">
        <is>
          <t>2026-W30</t>
        </is>
      </c>
      <c r="AF1" s="29" t="inlineStr">
        <is>
          <t>2026-W31</t>
        </is>
      </c>
      <c r="AG1" s="29" t="inlineStr">
        <is>
          <t>2026-W32</t>
        </is>
      </c>
      <c r="AH1" s="29" t="inlineStr">
        <is>
          <t>2026-W33</t>
        </is>
      </c>
      <c r="AI1" s="29" t="inlineStr">
        <is>
          <t>2026-W34</t>
        </is>
      </c>
      <c r="AJ1" s="29" t="inlineStr">
        <is>
          <t>2026-W35</t>
        </is>
      </c>
      <c r="AK1" s="29" t="inlineStr">
        <is>
          <t>2026-W36</t>
        </is>
      </c>
      <c r="AL1" s="29" t="inlineStr">
        <is>
          <t>2026-W37</t>
        </is>
      </c>
      <c r="AM1" s="29" t="inlineStr">
        <is>
          <t>2026-W38</t>
        </is>
      </c>
      <c r="AN1" s="29" t="inlineStr">
        <is>
          <t>2026-W39</t>
        </is>
      </c>
      <c r="AO1" s="29" t="inlineStr">
        <is>
          <t>2026-W40</t>
        </is>
      </c>
      <c r="AP1" s="29" t="inlineStr">
        <is>
          <t>2026-W41</t>
        </is>
      </c>
      <c r="AQ1" s="29" t="inlineStr">
        <is>
          <t>2026-W42</t>
        </is>
      </c>
      <c r="AR1" s="29" t="inlineStr">
        <is>
          <t>2026-W43</t>
        </is>
      </c>
      <c r="AS1" s="29" t="inlineStr">
        <is>
          <t>2026-W44</t>
        </is>
      </c>
      <c r="AT1" s="29" t="inlineStr">
        <is>
          <t>2026-W45</t>
        </is>
      </c>
      <c r="AU1" s="29" t="inlineStr">
        <is>
          <t>2026-W46</t>
        </is>
      </c>
      <c r="AV1" s="29" t="inlineStr">
        <is>
          <t>2026-W47</t>
        </is>
      </c>
      <c r="AW1" s="29" t="inlineStr">
        <is>
          <t>2026-W48</t>
        </is>
      </c>
      <c r="AX1" s="29" t="inlineStr">
        <is>
          <t>2026-W49</t>
        </is>
      </c>
      <c r="AY1" s="29" t="inlineStr">
        <is>
          <t>2026-W50</t>
        </is>
      </c>
      <c r="AZ1" s="29" t="inlineStr">
        <is>
          <t>2026-W51</t>
        </is>
      </c>
      <c r="BA1" s="29" t="inlineStr">
        <is>
          <t>2026-W52</t>
        </is>
      </c>
      <c r="BB1" s="29" t="inlineStr">
        <is>
          <t>2027-W01</t>
        </is>
      </c>
      <c r="BC1" s="29" t="inlineStr">
        <is>
          <t>2027-W02</t>
        </is>
      </c>
      <c r="BD1" s="29" t="inlineStr">
        <is>
          <t>2027-W03</t>
        </is>
      </c>
      <c r="BE1" s="29" t="inlineStr">
        <is>
          <t>2027-W04</t>
        </is>
      </c>
      <c r="BF1" s="29" t="inlineStr">
        <is>
          <t>2027-W05</t>
        </is>
      </c>
      <c r="BG1" s="29" t="inlineStr">
        <is>
          <t>2027-W06</t>
        </is>
      </c>
      <c r="BH1" s="29" t="inlineStr">
        <is>
          <t>2027-W07</t>
        </is>
      </c>
      <c r="BI1" s="29" t="inlineStr">
        <is>
          <t>2027-W08</t>
        </is>
      </c>
      <c r="BJ1" s="29" t="inlineStr">
        <is>
          <t>2027-W09</t>
        </is>
      </c>
      <c r="BK1" s="29" t="inlineStr">
        <is>
          <t>2027-W10</t>
        </is>
      </c>
      <c r="BL1" s="29" t="inlineStr">
        <is>
          <t>2027-W11</t>
        </is>
      </c>
      <c r="BM1" s="29" t="inlineStr">
        <is>
          <t>2027-W12</t>
        </is>
      </c>
      <c r="BN1" s="29" t="inlineStr">
        <is>
          <t>2027-W13</t>
        </is>
      </c>
      <c r="BO1" s="29" t="inlineStr">
        <is>
          <t>2027-W14</t>
        </is>
      </c>
      <c r="BP1" s="29" t="inlineStr">
        <is>
          <t>2027-W15</t>
        </is>
      </c>
      <c r="BQ1" s="29" t="inlineStr">
        <is>
          <t>2027-W16</t>
        </is>
      </c>
      <c r="BR1" s="29" t="inlineStr">
        <is>
          <t>2027-W17</t>
        </is>
      </c>
      <c r="BS1" s="29" t="inlineStr">
        <is>
          <t>2027-W18</t>
        </is>
      </c>
      <c r="BT1" s="29" t="inlineStr">
        <is>
          <t>2027-W19</t>
        </is>
      </c>
      <c r="BU1" s="29" t="inlineStr">
        <is>
          <t>2027-W20</t>
        </is>
      </c>
      <c r="BV1" s="29" t="inlineStr">
        <is>
          <t>2027-W21</t>
        </is>
      </c>
      <c r="BW1" s="29" t="inlineStr">
        <is>
          <t>2027-W22</t>
        </is>
      </c>
      <c r="BX1" s="29" t="inlineStr">
        <is>
          <t>2027-W23</t>
        </is>
      </c>
      <c r="BY1" s="29" t="inlineStr">
        <is>
          <t>2027-W24</t>
        </is>
      </c>
      <c r="BZ1" s="29" t="inlineStr">
        <is>
          <t>2027-W25</t>
        </is>
      </c>
      <c r="CA1" s="29" t="inlineStr">
        <is>
          <t>2027-W26</t>
        </is>
      </c>
      <c r="CB1" s="29" t="inlineStr">
        <is>
          <t>2027-W27</t>
        </is>
      </c>
      <c r="CC1" s="29" t="inlineStr">
        <is>
          <t>2027-W28</t>
        </is>
      </c>
      <c r="CD1" s="29" t="inlineStr">
        <is>
          <t>2027-W29</t>
        </is>
      </c>
      <c r="CE1" s="29" t="inlineStr">
        <is>
          <t>2027-W30</t>
        </is>
      </c>
      <c r="CF1" s="29" t="inlineStr">
        <is>
          <t>2027-W31</t>
        </is>
      </c>
      <c r="CG1" s="29" t="inlineStr">
        <is>
          <t>2027-W32</t>
        </is>
      </c>
      <c r="CH1" s="29" t="inlineStr">
        <is>
          <t>2027-W33</t>
        </is>
      </c>
      <c r="CI1" s="29" t="inlineStr">
        <is>
          <t>2027-W34</t>
        </is>
      </c>
      <c r="CJ1" s="29" t="inlineStr">
        <is>
          <t>2027-W35</t>
        </is>
      </c>
      <c r="CK1" s="29" t="inlineStr">
        <is>
          <t>2027-W36</t>
        </is>
      </c>
      <c r="CL1" s="29" t="inlineStr">
        <is>
          <t>2027-W37</t>
        </is>
      </c>
      <c r="CM1" s="29" t="inlineStr">
        <is>
          <t>2027-W38</t>
        </is>
      </c>
      <c r="CN1" s="29" t="inlineStr">
        <is>
          <t>2027-W39</t>
        </is>
      </c>
      <c r="CO1" s="29" t="inlineStr">
        <is>
          <t>2027-W40</t>
        </is>
      </c>
      <c r="CP1" s="29" t="inlineStr">
        <is>
          <t>2027-W41</t>
        </is>
      </c>
      <c r="CQ1" s="29" t="inlineStr">
        <is>
          <t>2027-W42</t>
        </is>
      </c>
      <c r="CR1" s="29" t="inlineStr">
        <is>
          <t>2027-W43</t>
        </is>
      </c>
      <c r="CS1" s="29" t="inlineStr">
        <is>
          <t>2027-W44</t>
        </is>
      </c>
      <c r="CT1" s="29" t="inlineStr">
        <is>
          <t>2027-W45</t>
        </is>
      </c>
      <c r="CU1" s="29" t="inlineStr">
        <is>
          <t>2027-W46</t>
        </is>
      </c>
      <c r="CV1" s="29" t="inlineStr">
        <is>
          <t>2027-W47</t>
        </is>
      </c>
      <c r="CW1" s="29" t="inlineStr">
        <is>
          <t>2027-W48</t>
        </is>
      </c>
      <c r="CX1" s="29" t="inlineStr">
        <is>
          <t>2027-W49</t>
        </is>
      </c>
      <c r="CY1" s="29" t="inlineStr">
        <is>
          <t>2027-W50</t>
        </is>
      </c>
      <c r="CZ1" s="29" t="inlineStr">
        <is>
          <t>2027-W51</t>
        </is>
      </c>
      <c r="DA1" s="29" t="inlineStr">
        <is>
          <t>2027-W52</t>
        </is>
      </c>
    </row>
    <row r="2">
      <c r="A2" t="inlineStr">
        <is>
          <t>CHEM-1250</t>
        </is>
      </c>
      <c r="B2">
        <f>SUMPRODUCT((M_BOM[RM_Code]=$A2)*M_BOM[RM_Qty_Per_Batch]*IFERROR(INDEX(PP_Grid[#Data],M_BOM[PPGridRow],2),0))</f>
        <v/>
      </c>
      <c r="C2">
        <f>SUMPRODUCT((M_BOM[RM_Code]=$A2)*M_BOM[RM_Qty_Per_Batch]*IFERROR(INDEX(PP_Grid[#Data],M_BOM[PPGridRow],3),0))</f>
        <v/>
      </c>
      <c r="D2">
        <f>SUMPRODUCT((M_BOM[RM_Code]=$A2)*M_BOM[RM_Qty_Per_Batch]*IFERROR(INDEX(PP_Grid[#Data],M_BOM[PPGridRow],4),0))</f>
        <v/>
      </c>
      <c r="E2">
        <f>SUMPRODUCT((M_BOM[RM_Code]=$A2)*M_BOM[RM_Qty_Per_Batch]*IFERROR(INDEX(PP_Grid[#Data],M_BOM[PPGridRow],5),0))</f>
        <v/>
      </c>
      <c r="F2">
        <f>SUMPRODUCT((M_BOM[RM_Code]=$A2)*M_BOM[RM_Qty_Per_Batch]*IFERROR(INDEX(PP_Grid[#Data],M_BOM[PPGridRow],6),0))</f>
        <v/>
      </c>
      <c r="G2">
        <f>SUMPRODUCT((M_BOM[RM_Code]=$A2)*M_BOM[RM_Qty_Per_Batch]*IFERROR(INDEX(PP_Grid[#Data],M_BOM[PPGridRow],7),0))</f>
        <v/>
      </c>
      <c r="H2">
        <f>SUMPRODUCT((M_BOM[RM_Code]=$A2)*M_BOM[RM_Qty_Per_Batch]*IFERROR(INDEX(PP_Grid[#Data],M_BOM[PPGridRow],8),0))</f>
        <v/>
      </c>
      <c r="I2">
        <f>SUMPRODUCT((M_BOM[RM_Code]=$A2)*M_BOM[RM_Qty_Per_Batch]*IFERROR(INDEX(PP_Grid[#Data],M_BOM[PPGridRow],9),0))</f>
        <v/>
      </c>
      <c r="J2">
        <f>SUMPRODUCT((M_BOM[RM_Code]=$A2)*M_BOM[RM_Qty_Per_Batch]*IFERROR(INDEX(PP_Grid[#Data],M_BOM[PPGridRow],10),0))</f>
        <v/>
      </c>
      <c r="K2">
        <f>SUMPRODUCT((M_BOM[RM_Code]=$A2)*M_BOM[RM_Qty_Per_Batch]*IFERROR(INDEX(PP_Grid[#Data],M_BOM[PPGridRow],11),0))</f>
        <v/>
      </c>
      <c r="L2">
        <f>SUMPRODUCT((M_BOM[RM_Code]=$A2)*M_BOM[RM_Qty_Per_Batch]*IFERROR(INDEX(PP_Grid[#Data],M_BOM[PPGridRow],12),0))</f>
        <v/>
      </c>
      <c r="M2">
        <f>SUMPRODUCT((M_BOM[RM_Code]=$A2)*M_BOM[RM_Qty_Per_Batch]*IFERROR(INDEX(PP_Grid[#Data],M_BOM[PPGridRow],13),0))</f>
        <v/>
      </c>
      <c r="N2">
        <f>SUMPRODUCT((M_BOM[RM_Code]=$A2)*M_BOM[RM_Qty_Per_Batch]*IFERROR(INDEX(PP_Grid[#Data],M_BOM[PPGridRow],14),0))</f>
        <v/>
      </c>
      <c r="O2">
        <f>SUMPRODUCT((M_BOM[RM_Code]=$A2)*M_BOM[RM_Qty_Per_Batch]*IFERROR(INDEX(PP_Grid[#Data],M_BOM[PPGridRow],15),0))</f>
        <v/>
      </c>
      <c r="P2">
        <f>SUMPRODUCT((M_BOM[RM_Code]=$A2)*M_BOM[RM_Qty_Per_Batch]*IFERROR(INDEX(PP_Grid[#Data],M_BOM[PPGridRow],16),0))</f>
        <v/>
      </c>
      <c r="Q2">
        <f>SUMPRODUCT((M_BOM[RM_Code]=$A2)*M_BOM[RM_Qty_Per_Batch]*IFERROR(INDEX(PP_Grid[#Data],M_BOM[PPGridRow],17),0))</f>
        <v/>
      </c>
      <c r="R2">
        <f>SUMPRODUCT((M_BOM[RM_Code]=$A2)*M_BOM[RM_Qty_Per_Batch]*IFERROR(INDEX(PP_Grid[#Data],M_BOM[PPGridRow],18),0))</f>
        <v/>
      </c>
      <c r="S2">
        <f>SUMPRODUCT((M_BOM[RM_Code]=$A2)*M_BOM[RM_Qty_Per_Batch]*IFERROR(INDEX(PP_Grid[#Data],M_BOM[PPGridRow],19),0))</f>
        <v/>
      </c>
      <c r="T2">
        <f>SUMPRODUCT((M_BOM[RM_Code]=$A2)*M_BOM[RM_Qty_Per_Batch]*IFERROR(INDEX(PP_Grid[#Data],M_BOM[PPGridRow],20),0))</f>
        <v/>
      </c>
      <c r="U2">
        <f>SUMPRODUCT((M_BOM[RM_Code]=$A2)*M_BOM[RM_Qty_Per_Batch]*IFERROR(INDEX(PP_Grid[#Data],M_BOM[PPGridRow],21),0))</f>
        <v/>
      </c>
      <c r="V2">
        <f>SUMPRODUCT((M_BOM[RM_Code]=$A2)*M_BOM[RM_Qty_Per_Batch]*IFERROR(INDEX(PP_Grid[#Data],M_BOM[PPGridRow],22),0))</f>
        <v/>
      </c>
      <c r="W2">
        <f>SUMPRODUCT((M_BOM[RM_Code]=$A2)*M_BOM[RM_Qty_Per_Batch]*IFERROR(INDEX(PP_Grid[#Data],M_BOM[PPGridRow],23),0))</f>
        <v/>
      </c>
      <c r="X2">
        <f>SUMPRODUCT((M_BOM[RM_Code]=$A2)*M_BOM[RM_Qty_Per_Batch]*IFERROR(INDEX(PP_Grid[#Data],M_BOM[PPGridRow],24),0))</f>
        <v/>
      </c>
      <c r="Y2">
        <f>SUMPRODUCT((M_BOM[RM_Code]=$A2)*M_BOM[RM_Qty_Per_Batch]*IFERROR(INDEX(PP_Grid[#Data],M_BOM[PPGridRow],25),0))</f>
        <v/>
      </c>
      <c r="Z2">
        <f>SUMPRODUCT((M_BOM[RM_Code]=$A2)*M_BOM[RM_Qty_Per_Batch]*IFERROR(INDEX(PP_Grid[#Data],M_BOM[PPGridRow],26),0))</f>
        <v/>
      </c>
      <c r="AA2">
        <f>SUMPRODUCT((M_BOM[RM_Code]=$A2)*M_BOM[RM_Qty_Per_Batch]*IFERROR(INDEX(PP_Grid[#Data],M_BOM[PPGridRow],27),0))</f>
        <v/>
      </c>
      <c r="AB2">
        <f>SUMPRODUCT((M_BOM[RM_Code]=$A2)*M_BOM[RM_Qty_Per_Batch]*IFERROR(INDEX(PP_Grid[#Data],M_BOM[PPGridRow],28),0))</f>
        <v/>
      </c>
      <c r="AC2">
        <f>SUMPRODUCT((M_BOM[RM_Code]=$A2)*M_BOM[RM_Qty_Per_Batch]*IFERROR(INDEX(PP_Grid[#Data],M_BOM[PPGridRow],29),0))</f>
        <v/>
      </c>
      <c r="AD2">
        <f>SUMPRODUCT((M_BOM[RM_Code]=$A2)*M_BOM[RM_Qty_Per_Batch]*IFERROR(INDEX(PP_Grid[#Data],M_BOM[PPGridRow],30),0))</f>
        <v/>
      </c>
      <c r="AE2">
        <f>SUMPRODUCT((M_BOM[RM_Code]=$A2)*M_BOM[RM_Qty_Per_Batch]*IFERROR(INDEX(PP_Grid[#Data],M_BOM[PPGridRow],31),0))</f>
        <v/>
      </c>
      <c r="AF2">
        <f>SUMPRODUCT((M_BOM[RM_Code]=$A2)*M_BOM[RM_Qty_Per_Batch]*IFERROR(INDEX(PP_Grid[#Data],M_BOM[PPGridRow],32),0))</f>
        <v/>
      </c>
      <c r="AG2">
        <f>SUMPRODUCT((M_BOM[RM_Code]=$A2)*M_BOM[RM_Qty_Per_Batch]*IFERROR(INDEX(PP_Grid[#Data],M_BOM[PPGridRow],33),0))</f>
        <v/>
      </c>
      <c r="AH2">
        <f>SUMPRODUCT((M_BOM[RM_Code]=$A2)*M_BOM[RM_Qty_Per_Batch]*IFERROR(INDEX(PP_Grid[#Data],M_BOM[PPGridRow],34),0))</f>
        <v/>
      </c>
      <c r="AI2">
        <f>SUMPRODUCT((M_BOM[RM_Code]=$A2)*M_BOM[RM_Qty_Per_Batch]*IFERROR(INDEX(PP_Grid[#Data],M_BOM[PPGridRow],35),0))</f>
        <v/>
      </c>
      <c r="AJ2">
        <f>SUMPRODUCT((M_BOM[RM_Code]=$A2)*M_BOM[RM_Qty_Per_Batch]*IFERROR(INDEX(PP_Grid[#Data],M_BOM[PPGridRow],36),0))</f>
        <v/>
      </c>
      <c r="AK2">
        <f>SUMPRODUCT((M_BOM[RM_Code]=$A2)*M_BOM[RM_Qty_Per_Batch]*IFERROR(INDEX(PP_Grid[#Data],M_BOM[PPGridRow],37),0))</f>
        <v/>
      </c>
      <c r="AL2">
        <f>SUMPRODUCT((M_BOM[RM_Code]=$A2)*M_BOM[RM_Qty_Per_Batch]*IFERROR(INDEX(PP_Grid[#Data],M_BOM[PPGridRow],38),0))</f>
        <v/>
      </c>
      <c r="AM2">
        <f>SUMPRODUCT((M_BOM[RM_Code]=$A2)*M_BOM[RM_Qty_Per_Batch]*IFERROR(INDEX(PP_Grid[#Data],M_BOM[PPGridRow],39),0))</f>
        <v/>
      </c>
      <c r="AN2">
        <f>SUMPRODUCT((M_BOM[RM_Code]=$A2)*M_BOM[RM_Qty_Per_Batch]*IFERROR(INDEX(PP_Grid[#Data],M_BOM[PPGridRow],40),0))</f>
        <v/>
      </c>
      <c r="AO2">
        <f>SUMPRODUCT((M_BOM[RM_Code]=$A2)*M_BOM[RM_Qty_Per_Batch]*IFERROR(INDEX(PP_Grid[#Data],M_BOM[PPGridRow],41),0))</f>
        <v/>
      </c>
      <c r="AP2">
        <f>SUMPRODUCT((M_BOM[RM_Code]=$A2)*M_BOM[RM_Qty_Per_Batch]*IFERROR(INDEX(PP_Grid[#Data],M_BOM[PPGridRow],42),0))</f>
        <v/>
      </c>
      <c r="AQ2">
        <f>SUMPRODUCT((M_BOM[RM_Code]=$A2)*M_BOM[RM_Qty_Per_Batch]*IFERROR(INDEX(PP_Grid[#Data],M_BOM[PPGridRow],43),0))</f>
        <v/>
      </c>
      <c r="AR2">
        <f>SUMPRODUCT((M_BOM[RM_Code]=$A2)*M_BOM[RM_Qty_Per_Batch]*IFERROR(INDEX(PP_Grid[#Data],M_BOM[PPGridRow],44),0))</f>
        <v/>
      </c>
      <c r="AS2">
        <f>SUMPRODUCT((M_BOM[RM_Code]=$A2)*M_BOM[RM_Qty_Per_Batch]*IFERROR(INDEX(PP_Grid[#Data],M_BOM[PPGridRow],45),0))</f>
        <v/>
      </c>
      <c r="AT2">
        <f>SUMPRODUCT((M_BOM[RM_Code]=$A2)*M_BOM[RM_Qty_Per_Batch]*IFERROR(INDEX(PP_Grid[#Data],M_BOM[PPGridRow],46),0))</f>
        <v/>
      </c>
      <c r="AU2">
        <f>SUMPRODUCT((M_BOM[RM_Code]=$A2)*M_BOM[RM_Qty_Per_Batch]*IFERROR(INDEX(PP_Grid[#Data],M_BOM[PPGridRow],47),0))</f>
        <v/>
      </c>
      <c r="AV2">
        <f>SUMPRODUCT((M_BOM[RM_Code]=$A2)*M_BOM[RM_Qty_Per_Batch]*IFERROR(INDEX(PP_Grid[#Data],M_BOM[PPGridRow],48),0))</f>
        <v/>
      </c>
      <c r="AW2">
        <f>SUMPRODUCT((M_BOM[RM_Code]=$A2)*M_BOM[RM_Qty_Per_Batch]*IFERROR(INDEX(PP_Grid[#Data],M_BOM[PPGridRow],49),0))</f>
        <v/>
      </c>
      <c r="AX2">
        <f>SUMPRODUCT((M_BOM[RM_Code]=$A2)*M_BOM[RM_Qty_Per_Batch]*IFERROR(INDEX(PP_Grid[#Data],M_BOM[PPGridRow],50),0))</f>
        <v/>
      </c>
      <c r="AY2">
        <f>SUMPRODUCT((M_BOM[RM_Code]=$A2)*M_BOM[RM_Qty_Per_Batch]*IFERROR(INDEX(PP_Grid[#Data],M_BOM[PPGridRow],51),0))</f>
        <v/>
      </c>
      <c r="AZ2">
        <f>SUMPRODUCT((M_BOM[RM_Code]=$A2)*M_BOM[RM_Qty_Per_Batch]*IFERROR(INDEX(PP_Grid[#Data],M_BOM[PPGridRow],52),0))</f>
        <v/>
      </c>
      <c r="BA2">
        <f>SUMPRODUCT((M_BOM[RM_Code]=$A2)*M_BOM[RM_Qty_Per_Batch]*IFERROR(INDEX(PP_Grid[#Data],M_BOM[PPGridRow],53),0))</f>
        <v/>
      </c>
      <c r="BB2">
        <f>SUMPRODUCT((M_BOM[RM_Code]=$A2)*M_BOM[RM_Qty_Per_Batch]*IFERROR(INDEX(PP_Grid[#Data],M_BOM[PPGridRow],54),0))</f>
        <v/>
      </c>
      <c r="BC2">
        <f>SUMPRODUCT((M_BOM[RM_Code]=$A2)*M_BOM[RM_Qty_Per_Batch]*IFERROR(INDEX(PP_Grid[#Data],M_BOM[PPGridRow],55),0))</f>
        <v/>
      </c>
      <c r="BD2">
        <f>SUMPRODUCT((M_BOM[RM_Code]=$A2)*M_BOM[RM_Qty_Per_Batch]*IFERROR(INDEX(PP_Grid[#Data],M_BOM[PPGridRow],56),0))</f>
        <v/>
      </c>
      <c r="BE2">
        <f>SUMPRODUCT((M_BOM[RM_Code]=$A2)*M_BOM[RM_Qty_Per_Batch]*IFERROR(INDEX(PP_Grid[#Data],M_BOM[PPGridRow],57),0))</f>
        <v/>
      </c>
      <c r="BF2">
        <f>SUMPRODUCT((M_BOM[RM_Code]=$A2)*M_BOM[RM_Qty_Per_Batch]*IFERROR(INDEX(PP_Grid[#Data],M_BOM[PPGridRow],58),0))</f>
        <v/>
      </c>
      <c r="BG2">
        <f>SUMPRODUCT((M_BOM[RM_Code]=$A2)*M_BOM[RM_Qty_Per_Batch]*IFERROR(INDEX(PP_Grid[#Data],M_BOM[PPGridRow],59),0))</f>
        <v/>
      </c>
      <c r="BH2">
        <f>SUMPRODUCT((M_BOM[RM_Code]=$A2)*M_BOM[RM_Qty_Per_Batch]*IFERROR(INDEX(PP_Grid[#Data],M_BOM[PPGridRow],60),0))</f>
        <v/>
      </c>
      <c r="BI2">
        <f>SUMPRODUCT((M_BOM[RM_Code]=$A2)*M_BOM[RM_Qty_Per_Batch]*IFERROR(INDEX(PP_Grid[#Data],M_BOM[PPGridRow],61),0))</f>
        <v/>
      </c>
      <c r="BJ2">
        <f>SUMPRODUCT((M_BOM[RM_Code]=$A2)*M_BOM[RM_Qty_Per_Batch]*IFERROR(INDEX(PP_Grid[#Data],M_BOM[PPGridRow],62),0))</f>
        <v/>
      </c>
      <c r="BK2">
        <f>SUMPRODUCT((M_BOM[RM_Code]=$A2)*M_BOM[RM_Qty_Per_Batch]*IFERROR(INDEX(PP_Grid[#Data],M_BOM[PPGridRow],63),0))</f>
        <v/>
      </c>
      <c r="BL2">
        <f>SUMPRODUCT((M_BOM[RM_Code]=$A2)*M_BOM[RM_Qty_Per_Batch]*IFERROR(INDEX(PP_Grid[#Data],M_BOM[PPGridRow],64),0))</f>
        <v/>
      </c>
      <c r="BM2">
        <f>SUMPRODUCT((M_BOM[RM_Code]=$A2)*M_BOM[RM_Qty_Per_Batch]*IFERROR(INDEX(PP_Grid[#Data],M_BOM[PPGridRow],65),0))</f>
        <v/>
      </c>
      <c r="BN2">
        <f>SUMPRODUCT((M_BOM[RM_Code]=$A2)*M_BOM[RM_Qty_Per_Batch]*IFERROR(INDEX(PP_Grid[#Data],M_BOM[PPGridRow],66),0))</f>
        <v/>
      </c>
      <c r="BO2">
        <f>SUMPRODUCT((M_BOM[RM_Code]=$A2)*M_BOM[RM_Qty_Per_Batch]*IFERROR(INDEX(PP_Grid[#Data],M_BOM[PPGridRow],67),0))</f>
        <v/>
      </c>
      <c r="BP2">
        <f>SUMPRODUCT((M_BOM[RM_Code]=$A2)*M_BOM[RM_Qty_Per_Batch]*IFERROR(INDEX(PP_Grid[#Data],M_BOM[PPGridRow],68),0))</f>
        <v/>
      </c>
      <c r="BQ2">
        <f>SUMPRODUCT((M_BOM[RM_Code]=$A2)*M_BOM[RM_Qty_Per_Batch]*IFERROR(INDEX(PP_Grid[#Data],M_BOM[PPGridRow],69),0))</f>
        <v/>
      </c>
      <c r="BR2">
        <f>SUMPRODUCT((M_BOM[RM_Code]=$A2)*M_BOM[RM_Qty_Per_Batch]*IFERROR(INDEX(PP_Grid[#Data],M_BOM[PPGridRow],70),0))</f>
        <v/>
      </c>
      <c r="BS2">
        <f>SUMPRODUCT((M_BOM[RM_Code]=$A2)*M_BOM[RM_Qty_Per_Batch]*IFERROR(INDEX(PP_Grid[#Data],M_BOM[PPGridRow],71),0))</f>
        <v/>
      </c>
      <c r="BT2">
        <f>SUMPRODUCT((M_BOM[RM_Code]=$A2)*M_BOM[RM_Qty_Per_Batch]*IFERROR(INDEX(PP_Grid[#Data],M_BOM[PPGridRow],72),0))</f>
        <v/>
      </c>
      <c r="BU2">
        <f>SUMPRODUCT((M_BOM[RM_Code]=$A2)*M_BOM[RM_Qty_Per_Batch]*IFERROR(INDEX(PP_Grid[#Data],M_BOM[PPGridRow],73),0))</f>
        <v/>
      </c>
      <c r="BV2">
        <f>SUMPRODUCT((M_BOM[RM_Code]=$A2)*M_BOM[RM_Qty_Per_Batch]*IFERROR(INDEX(PP_Grid[#Data],M_BOM[PPGridRow],74),0))</f>
        <v/>
      </c>
      <c r="BW2">
        <f>SUMPRODUCT((M_BOM[RM_Code]=$A2)*M_BOM[RM_Qty_Per_Batch]*IFERROR(INDEX(PP_Grid[#Data],M_BOM[PPGridRow],75),0))</f>
        <v/>
      </c>
      <c r="BX2">
        <f>SUMPRODUCT((M_BOM[RM_Code]=$A2)*M_BOM[RM_Qty_Per_Batch]*IFERROR(INDEX(PP_Grid[#Data],M_BOM[PPGridRow],76),0))</f>
        <v/>
      </c>
      <c r="BY2">
        <f>SUMPRODUCT((M_BOM[RM_Code]=$A2)*M_BOM[RM_Qty_Per_Batch]*IFERROR(INDEX(PP_Grid[#Data],M_BOM[PPGridRow],77),0))</f>
        <v/>
      </c>
      <c r="BZ2">
        <f>SUMPRODUCT((M_BOM[RM_Code]=$A2)*M_BOM[RM_Qty_Per_Batch]*IFERROR(INDEX(PP_Grid[#Data],M_BOM[PPGridRow],78),0))</f>
        <v/>
      </c>
      <c r="CA2">
        <f>SUMPRODUCT((M_BOM[RM_Code]=$A2)*M_BOM[RM_Qty_Per_Batch]*IFERROR(INDEX(PP_Grid[#Data],M_BOM[PPGridRow],79),0))</f>
        <v/>
      </c>
      <c r="CB2">
        <f>SUMPRODUCT((M_BOM[RM_Code]=$A2)*M_BOM[RM_Qty_Per_Batch]*IFERROR(INDEX(PP_Grid[#Data],M_BOM[PPGridRow],80),0))</f>
        <v/>
      </c>
      <c r="CC2">
        <f>SUMPRODUCT((M_BOM[RM_Code]=$A2)*M_BOM[RM_Qty_Per_Batch]*IFERROR(INDEX(PP_Grid[#Data],M_BOM[PPGridRow],81),0))</f>
        <v/>
      </c>
      <c r="CD2">
        <f>SUMPRODUCT((M_BOM[RM_Code]=$A2)*M_BOM[RM_Qty_Per_Batch]*IFERROR(INDEX(PP_Grid[#Data],M_BOM[PPGridRow],82),0))</f>
        <v/>
      </c>
      <c r="CE2">
        <f>SUMPRODUCT((M_BOM[RM_Code]=$A2)*M_BOM[RM_Qty_Per_Batch]*IFERROR(INDEX(PP_Grid[#Data],M_BOM[PPGridRow],83),0))</f>
        <v/>
      </c>
      <c r="CF2">
        <f>SUMPRODUCT((M_BOM[RM_Code]=$A2)*M_BOM[RM_Qty_Per_Batch]*IFERROR(INDEX(PP_Grid[#Data],M_BOM[PPGridRow],84),0))</f>
        <v/>
      </c>
      <c r="CG2">
        <f>SUMPRODUCT((M_BOM[RM_Code]=$A2)*M_BOM[RM_Qty_Per_Batch]*IFERROR(INDEX(PP_Grid[#Data],M_BOM[PPGridRow],85),0))</f>
        <v/>
      </c>
      <c r="CH2">
        <f>SUMPRODUCT((M_BOM[RM_Code]=$A2)*M_BOM[RM_Qty_Per_Batch]*IFERROR(INDEX(PP_Grid[#Data],M_BOM[PPGridRow],86),0))</f>
        <v/>
      </c>
      <c r="CI2">
        <f>SUMPRODUCT((M_BOM[RM_Code]=$A2)*M_BOM[RM_Qty_Per_Batch]*IFERROR(INDEX(PP_Grid[#Data],M_BOM[PPGridRow],87),0))</f>
        <v/>
      </c>
      <c r="CJ2">
        <f>SUMPRODUCT((M_BOM[RM_Code]=$A2)*M_BOM[RM_Qty_Per_Batch]*IFERROR(INDEX(PP_Grid[#Data],M_BOM[PPGridRow],88),0))</f>
        <v/>
      </c>
      <c r="CK2">
        <f>SUMPRODUCT((M_BOM[RM_Code]=$A2)*M_BOM[RM_Qty_Per_Batch]*IFERROR(INDEX(PP_Grid[#Data],M_BOM[PPGridRow],89),0))</f>
        <v/>
      </c>
      <c r="CL2">
        <f>SUMPRODUCT((M_BOM[RM_Code]=$A2)*M_BOM[RM_Qty_Per_Batch]*IFERROR(INDEX(PP_Grid[#Data],M_BOM[PPGridRow],90),0))</f>
        <v/>
      </c>
      <c r="CM2">
        <f>SUMPRODUCT((M_BOM[RM_Code]=$A2)*M_BOM[RM_Qty_Per_Batch]*IFERROR(INDEX(PP_Grid[#Data],M_BOM[PPGridRow],91),0))</f>
        <v/>
      </c>
      <c r="CN2">
        <f>SUMPRODUCT((M_BOM[RM_Code]=$A2)*M_BOM[RM_Qty_Per_Batch]*IFERROR(INDEX(PP_Grid[#Data],M_BOM[PPGridRow],92),0))</f>
        <v/>
      </c>
      <c r="CO2">
        <f>SUMPRODUCT((M_BOM[RM_Code]=$A2)*M_BOM[RM_Qty_Per_Batch]*IFERROR(INDEX(PP_Grid[#Data],M_BOM[PPGridRow],93),0))</f>
        <v/>
      </c>
      <c r="CP2">
        <f>SUMPRODUCT((M_BOM[RM_Code]=$A2)*M_BOM[RM_Qty_Per_Batch]*IFERROR(INDEX(PP_Grid[#Data],M_BOM[PPGridRow],94),0))</f>
        <v/>
      </c>
      <c r="CQ2">
        <f>SUMPRODUCT((M_BOM[RM_Code]=$A2)*M_BOM[RM_Qty_Per_Batch]*IFERROR(INDEX(PP_Grid[#Data],M_BOM[PPGridRow],95),0))</f>
        <v/>
      </c>
      <c r="CR2">
        <f>SUMPRODUCT((M_BOM[RM_Code]=$A2)*M_BOM[RM_Qty_Per_Batch]*IFERROR(INDEX(PP_Grid[#Data],M_BOM[PPGridRow],96),0))</f>
        <v/>
      </c>
      <c r="CS2">
        <f>SUMPRODUCT((M_BOM[RM_Code]=$A2)*M_BOM[RM_Qty_Per_Batch]*IFERROR(INDEX(PP_Grid[#Data],M_BOM[PPGridRow],97),0))</f>
        <v/>
      </c>
      <c r="CT2">
        <f>SUMPRODUCT((M_BOM[RM_Code]=$A2)*M_BOM[RM_Qty_Per_Batch]*IFERROR(INDEX(PP_Grid[#Data],M_BOM[PPGridRow],98),0))</f>
        <v/>
      </c>
      <c r="CU2">
        <f>SUMPRODUCT((M_BOM[RM_Code]=$A2)*M_BOM[RM_Qty_Per_Batch]*IFERROR(INDEX(PP_Grid[#Data],M_BOM[PPGridRow],99),0))</f>
        <v/>
      </c>
      <c r="CV2">
        <f>SUMPRODUCT((M_BOM[RM_Code]=$A2)*M_BOM[RM_Qty_Per_Batch]*IFERROR(INDEX(PP_Grid[#Data],M_BOM[PPGridRow],100),0))</f>
        <v/>
      </c>
      <c r="CW2">
        <f>SUMPRODUCT((M_BOM[RM_Code]=$A2)*M_BOM[RM_Qty_Per_Batch]*IFERROR(INDEX(PP_Grid[#Data],M_BOM[PPGridRow],101),0))</f>
        <v/>
      </c>
      <c r="CX2">
        <f>SUMPRODUCT((M_BOM[RM_Code]=$A2)*M_BOM[RM_Qty_Per_Batch]*IFERROR(INDEX(PP_Grid[#Data],M_BOM[PPGridRow],102),0))</f>
        <v/>
      </c>
      <c r="CY2">
        <f>SUMPRODUCT((M_BOM[RM_Code]=$A2)*M_BOM[RM_Qty_Per_Batch]*IFERROR(INDEX(PP_Grid[#Data],M_BOM[PPGridRow],103),0))</f>
        <v/>
      </c>
      <c r="CZ2">
        <f>SUMPRODUCT((M_BOM[RM_Code]=$A2)*M_BOM[RM_Qty_Per_Batch]*IFERROR(INDEX(PP_Grid[#Data],M_BOM[PPGridRow],104),0))</f>
        <v/>
      </c>
      <c r="DA2">
        <f>SUMPRODUCT((M_BOM[RM_Code]=$A2)*M_BOM[RM_Qty_Per_Batch]*IFERROR(INDEX(PP_Grid[#Data],M_BOM[PPGridRow],105),0))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SUMPRODUCT((M_BOM[RM_Code]=$A3)*M_BOM[RM_Qty_Per_Batch]*IFERROR(INDEX(PP_Grid[#Data],M_BOM[PPGridRow],2),0))</f>
        <v/>
      </c>
      <c r="C3">
        <f>SUMPRODUCT((M_BOM[RM_Code]=$A3)*M_BOM[RM_Qty_Per_Batch]*IFERROR(INDEX(PP_Grid[#Data],M_BOM[PPGridRow],3),0))</f>
        <v/>
      </c>
      <c r="D3">
        <f>SUMPRODUCT((M_BOM[RM_Code]=$A3)*M_BOM[RM_Qty_Per_Batch]*IFERROR(INDEX(PP_Grid[#Data],M_BOM[PPGridRow],4),0))</f>
        <v/>
      </c>
      <c r="E3">
        <f>SUMPRODUCT((M_BOM[RM_Code]=$A3)*M_BOM[RM_Qty_Per_Batch]*IFERROR(INDEX(PP_Grid[#Data],M_BOM[PPGridRow],5),0))</f>
        <v/>
      </c>
      <c r="F3">
        <f>SUMPRODUCT((M_BOM[RM_Code]=$A3)*M_BOM[RM_Qty_Per_Batch]*IFERROR(INDEX(PP_Grid[#Data],M_BOM[PPGridRow],6),0))</f>
        <v/>
      </c>
      <c r="G3">
        <f>SUMPRODUCT((M_BOM[RM_Code]=$A3)*M_BOM[RM_Qty_Per_Batch]*IFERROR(INDEX(PP_Grid[#Data],M_BOM[PPGridRow],7),0))</f>
        <v/>
      </c>
      <c r="H3">
        <f>SUMPRODUCT((M_BOM[RM_Code]=$A3)*M_BOM[RM_Qty_Per_Batch]*IFERROR(INDEX(PP_Grid[#Data],M_BOM[PPGridRow],8),0))</f>
        <v/>
      </c>
      <c r="I3">
        <f>SUMPRODUCT((M_BOM[RM_Code]=$A3)*M_BOM[RM_Qty_Per_Batch]*IFERROR(INDEX(PP_Grid[#Data],M_BOM[PPGridRow],9),0))</f>
        <v/>
      </c>
      <c r="J3">
        <f>SUMPRODUCT((M_BOM[RM_Code]=$A3)*M_BOM[RM_Qty_Per_Batch]*IFERROR(INDEX(PP_Grid[#Data],M_BOM[PPGridRow],10),0))</f>
        <v/>
      </c>
      <c r="K3">
        <f>SUMPRODUCT((M_BOM[RM_Code]=$A3)*M_BOM[RM_Qty_Per_Batch]*IFERROR(INDEX(PP_Grid[#Data],M_BOM[PPGridRow],11),0))</f>
        <v/>
      </c>
      <c r="L3">
        <f>SUMPRODUCT((M_BOM[RM_Code]=$A3)*M_BOM[RM_Qty_Per_Batch]*IFERROR(INDEX(PP_Grid[#Data],M_BOM[PPGridRow],12),0))</f>
        <v/>
      </c>
      <c r="M3">
        <f>SUMPRODUCT((M_BOM[RM_Code]=$A3)*M_BOM[RM_Qty_Per_Batch]*IFERROR(INDEX(PP_Grid[#Data],M_BOM[PPGridRow],13),0))</f>
        <v/>
      </c>
      <c r="N3">
        <f>SUMPRODUCT((M_BOM[RM_Code]=$A3)*M_BOM[RM_Qty_Per_Batch]*IFERROR(INDEX(PP_Grid[#Data],M_BOM[PPGridRow],14),0))</f>
        <v/>
      </c>
      <c r="O3">
        <f>SUMPRODUCT((M_BOM[RM_Code]=$A3)*M_BOM[RM_Qty_Per_Batch]*IFERROR(INDEX(PP_Grid[#Data],M_BOM[PPGridRow],15),0))</f>
        <v/>
      </c>
      <c r="P3">
        <f>SUMPRODUCT((M_BOM[RM_Code]=$A3)*M_BOM[RM_Qty_Per_Batch]*IFERROR(INDEX(PP_Grid[#Data],M_BOM[PPGridRow],16),0))</f>
        <v/>
      </c>
      <c r="Q3">
        <f>SUMPRODUCT((M_BOM[RM_Code]=$A3)*M_BOM[RM_Qty_Per_Batch]*IFERROR(INDEX(PP_Grid[#Data],M_BOM[PPGridRow],17),0))</f>
        <v/>
      </c>
      <c r="R3">
        <f>SUMPRODUCT((M_BOM[RM_Code]=$A3)*M_BOM[RM_Qty_Per_Batch]*IFERROR(INDEX(PP_Grid[#Data],M_BOM[PPGridRow],18),0))</f>
        <v/>
      </c>
      <c r="S3">
        <f>SUMPRODUCT((M_BOM[RM_Code]=$A3)*M_BOM[RM_Qty_Per_Batch]*IFERROR(INDEX(PP_Grid[#Data],M_BOM[PPGridRow],19),0))</f>
        <v/>
      </c>
      <c r="T3">
        <f>SUMPRODUCT((M_BOM[RM_Code]=$A3)*M_BOM[RM_Qty_Per_Batch]*IFERROR(INDEX(PP_Grid[#Data],M_BOM[PPGridRow],20),0))</f>
        <v/>
      </c>
      <c r="U3">
        <f>SUMPRODUCT((M_BOM[RM_Code]=$A3)*M_BOM[RM_Qty_Per_Batch]*IFERROR(INDEX(PP_Grid[#Data],M_BOM[PPGridRow],21),0))</f>
        <v/>
      </c>
      <c r="V3">
        <f>SUMPRODUCT((M_BOM[RM_Code]=$A3)*M_BOM[RM_Qty_Per_Batch]*IFERROR(INDEX(PP_Grid[#Data],M_BOM[PPGridRow],22),0))</f>
        <v/>
      </c>
      <c r="W3">
        <f>SUMPRODUCT((M_BOM[RM_Code]=$A3)*M_BOM[RM_Qty_Per_Batch]*IFERROR(INDEX(PP_Grid[#Data],M_BOM[PPGridRow],23),0))</f>
        <v/>
      </c>
      <c r="X3">
        <f>SUMPRODUCT((M_BOM[RM_Code]=$A3)*M_BOM[RM_Qty_Per_Batch]*IFERROR(INDEX(PP_Grid[#Data],M_BOM[PPGridRow],24),0))</f>
        <v/>
      </c>
      <c r="Y3">
        <f>SUMPRODUCT((M_BOM[RM_Code]=$A3)*M_BOM[RM_Qty_Per_Batch]*IFERROR(INDEX(PP_Grid[#Data],M_BOM[PPGridRow],25),0))</f>
        <v/>
      </c>
      <c r="Z3">
        <f>SUMPRODUCT((M_BOM[RM_Code]=$A3)*M_BOM[RM_Qty_Per_Batch]*IFERROR(INDEX(PP_Grid[#Data],M_BOM[PPGridRow],26),0))</f>
        <v/>
      </c>
      <c r="AA3">
        <f>SUMPRODUCT((M_BOM[RM_Code]=$A3)*M_BOM[RM_Qty_Per_Batch]*IFERROR(INDEX(PP_Grid[#Data],M_BOM[PPGridRow],27),0))</f>
        <v/>
      </c>
      <c r="AB3">
        <f>SUMPRODUCT((M_BOM[RM_Code]=$A3)*M_BOM[RM_Qty_Per_Batch]*IFERROR(INDEX(PP_Grid[#Data],M_BOM[PPGridRow],28),0))</f>
        <v/>
      </c>
      <c r="AC3">
        <f>SUMPRODUCT((M_BOM[RM_Code]=$A3)*M_BOM[RM_Qty_Per_Batch]*IFERROR(INDEX(PP_Grid[#Data],M_BOM[PPGridRow],29),0))</f>
        <v/>
      </c>
      <c r="AD3">
        <f>SUMPRODUCT((M_BOM[RM_Code]=$A3)*M_BOM[RM_Qty_Per_Batch]*IFERROR(INDEX(PP_Grid[#Data],M_BOM[PPGridRow],30),0))</f>
        <v/>
      </c>
      <c r="AE3">
        <f>SUMPRODUCT((M_BOM[RM_Code]=$A3)*M_BOM[RM_Qty_Per_Batch]*IFERROR(INDEX(PP_Grid[#Data],M_BOM[PPGridRow],31),0))</f>
        <v/>
      </c>
      <c r="AF3">
        <f>SUMPRODUCT((M_BOM[RM_Code]=$A3)*M_BOM[RM_Qty_Per_Batch]*IFERROR(INDEX(PP_Grid[#Data],M_BOM[PPGridRow],32),0))</f>
        <v/>
      </c>
      <c r="AG3">
        <f>SUMPRODUCT((M_BOM[RM_Code]=$A3)*M_BOM[RM_Qty_Per_Batch]*IFERROR(INDEX(PP_Grid[#Data],M_BOM[PPGridRow],33),0))</f>
        <v/>
      </c>
      <c r="AH3">
        <f>SUMPRODUCT((M_BOM[RM_Code]=$A3)*M_BOM[RM_Qty_Per_Batch]*IFERROR(INDEX(PP_Grid[#Data],M_BOM[PPGridRow],34),0))</f>
        <v/>
      </c>
      <c r="AI3">
        <f>SUMPRODUCT((M_BOM[RM_Code]=$A3)*M_BOM[RM_Qty_Per_Batch]*IFERROR(INDEX(PP_Grid[#Data],M_BOM[PPGridRow],35),0))</f>
        <v/>
      </c>
      <c r="AJ3">
        <f>SUMPRODUCT((M_BOM[RM_Code]=$A3)*M_BOM[RM_Qty_Per_Batch]*IFERROR(INDEX(PP_Grid[#Data],M_BOM[PPGridRow],36),0))</f>
        <v/>
      </c>
      <c r="AK3">
        <f>SUMPRODUCT((M_BOM[RM_Code]=$A3)*M_BOM[RM_Qty_Per_Batch]*IFERROR(INDEX(PP_Grid[#Data],M_BOM[PPGridRow],37),0))</f>
        <v/>
      </c>
      <c r="AL3">
        <f>SUMPRODUCT((M_BOM[RM_Code]=$A3)*M_BOM[RM_Qty_Per_Batch]*IFERROR(INDEX(PP_Grid[#Data],M_BOM[PPGridRow],38),0))</f>
        <v/>
      </c>
      <c r="AM3">
        <f>SUMPRODUCT((M_BOM[RM_Code]=$A3)*M_BOM[RM_Qty_Per_Batch]*IFERROR(INDEX(PP_Grid[#Data],M_BOM[PPGridRow],39),0))</f>
        <v/>
      </c>
      <c r="AN3">
        <f>SUMPRODUCT((M_BOM[RM_Code]=$A3)*M_BOM[RM_Qty_Per_Batch]*IFERROR(INDEX(PP_Grid[#Data],M_BOM[PPGridRow],40),0))</f>
        <v/>
      </c>
      <c r="AO3">
        <f>SUMPRODUCT((M_BOM[RM_Code]=$A3)*M_BOM[RM_Qty_Per_Batch]*IFERROR(INDEX(PP_Grid[#Data],M_BOM[PPGridRow],41),0))</f>
        <v/>
      </c>
      <c r="AP3">
        <f>SUMPRODUCT((M_BOM[RM_Code]=$A3)*M_BOM[RM_Qty_Per_Batch]*IFERROR(INDEX(PP_Grid[#Data],M_BOM[PPGridRow],42),0))</f>
        <v/>
      </c>
      <c r="AQ3">
        <f>SUMPRODUCT((M_BOM[RM_Code]=$A3)*M_BOM[RM_Qty_Per_Batch]*IFERROR(INDEX(PP_Grid[#Data],M_BOM[PPGridRow],43),0))</f>
        <v/>
      </c>
      <c r="AR3">
        <f>SUMPRODUCT((M_BOM[RM_Code]=$A3)*M_BOM[RM_Qty_Per_Batch]*IFERROR(INDEX(PP_Grid[#Data],M_BOM[PPGridRow],44),0))</f>
        <v/>
      </c>
      <c r="AS3">
        <f>SUMPRODUCT((M_BOM[RM_Code]=$A3)*M_BOM[RM_Qty_Per_Batch]*IFERROR(INDEX(PP_Grid[#Data],M_BOM[PPGridRow],45),0))</f>
        <v/>
      </c>
      <c r="AT3">
        <f>SUMPRODUCT((M_BOM[RM_Code]=$A3)*M_BOM[RM_Qty_Per_Batch]*IFERROR(INDEX(PP_Grid[#Data],M_BOM[PPGridRow],46),0))</f>
        <v/>
      </c>
      <c r="AU3">
        <f>SUMPRODUCT((M_BOM[RM_Code]=$A3)*M_BOM[RM_Qty_Per_Batch]*IFERROR(INDEX(PP_Grid[#Data],M_BOM[PPGridRow],47),0))</f>
        <v/>
      </c>
      <c r="AV3">
        <f>SUMPRODUCT((M_BOM[RM_Code]=$A3)*M_BOM[RM_Qty_Per_Batch]*IFERROR(INDEX(PP_Grid[#Data],M_BOM[PPGridRow],48),0))</f>
        <v/>
      </c>
      <c r="AW3">
        <f>SUMPRODUCT((M_BOM[RM_Code]=$A3)*M_BOM[RM_Qty_Per_Batch]*IFERROR(INDEX(PP_Grid[#Data],M_BOM[PPGridRow],49),0))</f>
        <v/>
      </c>
      <c r="AX3">
        <f>SUMPRODUCT((M_BOM[RM_Code]=$A3)*M_BOM[RM_Qty_Per_Batch]*IFERROR(INDEX(PP_Grid[#Data],M_BOM[PPGridRow],50),0))</f>
        <v/>
      </c>
      <c r="AY3">
        <f>SUMPRODUCT((M_BOM[RM_Code]=$A3)*M_BOM[RM_Qty_Per_Batch]*IFERROR(INDEX(PP_Grid[#Data],M_BOM[PPGridRow],51),0))</f>
        <v/>
      </c>
      <c r="AZ3">
        <f>SUMPRODUCT((M_BOM[RM_Code]=$A3)*M_BOM[RM_Qty_Per_Batch]*IFERROR(INDEX(PP_Grid[#Data],M_BOM[PPGridRow],52),0))</f>
        <v/>
      </c>
      <c r="BA3">
        <f>SUMPRODUCT((M_BOM[RM_Code]=$A3)*M_BOM[RM_Qty_Per_Batch]*IFERROR(INDEX(PP_Grid[#Data],M_BOM[PPGridRow],53),0))</f>
        <v/>
      </c>
      <c r="BB3">
        <f>SUMPRODUCT((M_BOM[RM_Code]=$A3)*M_BOM[RM_Qty_Per_Batch]*IFERROR(INDEX(PP_Grid[#Data],M_BOM[PPGridRow],54),0))</f>
        <v/>
      </c>
      <c r="BC3">
        <f>SUMPRODUCT((M_BOM[RM_Code]=$A3)*M_BOM[RM_Qty_Per_Batch]*IFERROR(INDEX(PP_Grid[#Data],M_BOM[PPGridRow],55),0))</f>
        <v/>
      </c>
      <c r="BD3">
        <f>SUMPRODUCT((M_BOM[RM_Code]=$A3)*M_BOM[RM_Qty_Per_Batch]*IFERROR(INDEX(PP_Grid[#Data],M_BOM[PPGridRow],56),0))</f>
        <v/>
      </c>
      <c r="BE3">
        <f>SUMPRODUCT((M_BOM[RM_Code]=$A3)*M_BOM[RM_Qty_Per_Batch]*IFERROR(INDEX(PP_Grid[#Data],M_BOM[PPGridRow],57),0))</f>
        <v/>
      </c>
      <c r="BF3">
        <f>SUMPRODUCT((M_BOM[RM_Code]=$A3)*M_BOM[RM_Qty_Per_Batch]*IFERROR(INDEX(PP_Grid[#Data],M_BOM[PPGridRow],58),0))</f>
        <v/>
      </c>
      <c r="BG3">
        <f>SUMPRODUCT((M_BOM[RM_Code]=$A3)*M_BOM[RM_Qty_Per_Batch]*IFERROR(INDEX(PP_Grid[#Data],M_BOM[PPGridRow],59),0))</f>
        <v/>
      </c>
      <c r="BH3">
        <f>SUMPRODUCT((M_BOM[RM_Code]=$A3)*M_BOM[RM_Qty_Per_Batch]*IFERROR(INDEX(PP_Grid[#Data],M_BOM[PPGridRow],60),0))</f>
        <v/>
      </c>
      <c r="BI3">
        <f>SUMPRODUCT((M_BOM[RM_Code]=$A3)*M_BOM[RM_Qty_Per_Batch]*IFERROR(INDEX(PP_Grid[#Data],M_BOM[PPGridRow],61),0))</f>
        <v/>
      </c>
      <c r="BJ3">
        <f>SUMPRODUCT((M_BOM[RM_Code]=$A3)*M_BOM[RM_Qty_Per_Batch]*IFERROR(INDEX(PP_Grid[#Data],M_BOM[PPGridRow],62),0))</f>
        <v/>
      </c>
      <c r="BK3">
        <f>SUMPRODUCT((M_BOM[RM_Code]=$A3)*M_BOM[RM_Qty_Per_Batch]*IFERROR(INDEX(PP_Grid[#Data],M_BOM[PPGridRow],63),0))</f>
        <v/>
      </c>
      <c r="BL3">
        <f>SUMPRODUCT((M_BOM[RM_Code]=$A3)*M_BOM[RM_Qty_Per_Batch]*IFERROR(INDEX(PP_Grid[#Data],M_BOM[PPGridRow],64),0))</f>
        <v/>
      </c>
      <c r="BM3">
        <f>SUMPRODUCT((M_BOM[RM_Code]=$A3)*M_BOM[RM_Qty_Per_Batch]*IFERROR(INDEX(PP_Grid[#Data],M_BOM[PPGridRow],65),0))</f>
        <v/>
      </c>
      <c r="BN3">
        <f>SUMPRODUCT((M_BOM[RM_Code]=$A3)*M_BOM[RM_Qty_Per_Batch]*IFERROR(INDEX(PP_Grid[#Data],M_BOM[PPGridRow],66),0))</f>
        <v/>
      </c>
      <c r="BO3">
        <f>SUMPRODUCT((M_BOM[RM_Code]=$A3)*M_BOM[RM_Qty_Per_Batch]*IFERROR(INDEX(PP_Grid[#Data],M_BOM[PPGridRow],67),0))</f>
        <v/>
      </c>
      <c r="BP3">
        <f>SUMPRODUCT((M_BOM[RM_Code]=$A3)*M_BOM[RM_Qty_Per_Batch]*IFERROR(INDEX(PP_Grid[#Data],M_BOM[PPGridRow],68),0))</f>
        <v/>
      </c>
      <c r="BQ3">
        <f>SUMPRODUCT((M_BOM[RM_Code]=$A3)*M_BOM[RM_Qty_Per_Batch]*IFERROR(INDEX(PP_Grid[#Data],M_BOM[PPGridRow],69),0))</f>
        <v/>
      </c>
      <c r="BR3">
        <f>SUMPRODUCT((M_BOM[RM_Code]=$A3)*M_BOM[RM_Qty_Per_Batch]*IFERROR(INDEX(PP_Grid[#Data],M_BOM[PPGridRow],70),0))</f>
        <v/>
      </c>
      <c r="BS3">
        <f>SUMPRODUCT((M_BOM[RM_Code]=$A3)*M_BOM[RM_Qty_Per_Batch]*IFERROR(INDEX(PP_Grid[#Data],M_BOM[PPGridRow],71),0))</f>
        <v/>
      </c>
      <c r="BT3">
        <f>SUMPRODUCT((M_BOM[RM_Code]=$A3)*M_BOM[RM_Qty_Per_Batch]*IFERROR(INDEX(PP_Grid[#Data],M_BOM[PPGridRow],72),0))</f>
        <v/>
      </c>
      <c r="BU3">
        <f>SUMPRODUCT((M_BOM[RM_Code]=$A3)*M_BOM[RM_Qty_Per_Batch]*IFERROR(INDEX(PP_Grid[#Data],M_BOM[PPGridRow],73),0))</f>
        <v/>
      </c>
      <c r="BV3">
        <f>SUMPRODUCT((M_BOM[RM_Code]=$A3)*M_BOM[RM_Qty_Per_Batch]*IFERROR(INDEX(PP_Grid[#Data],M_BOM[PPGridRow],74),0))</f>
        <v/>
      </c>
      <c r="BW3">
        <f>SUMPRODUCT((M_BOM[RM_Code]=$A3)*M_BOM[RM_Qty_Per_Batch]*IFERROR(INDEX(PP_Grid[#Data],M_BOM[PPGridRow],75),0))</f>
        <v/>
      </c>
      <c r="BX3">
        <f>SUMPRODUCT((M_BOM[RM_Code]=$A3)*M_BOM[RM_Qty_Per_Batch]*IFERROR(INDEX(PP_Grid[#Data],M_BOM[PPGridRow],76),0))</f>
        <v/>
      </c>
      <c r="BY3">
        <f>SUMPRODUCT((M_BOM[RM_Code]=$A3)*M_BOM[RM_Qty_Per_Batch]*IFERROR(INDEX(PP_Grid[#Data],M_BOM[PPGridRow],77),0))</f>
        <v/>
      </c>
      <c r="BZ3">
        <f>SUMPRODUCT((M_BOM[RM_Code]=$A3)*M_BOM[RM_Qty_Per_Batch]*IFERROR(INDEX(PP_Grid[#Data],M_BOM[PPGridRow],78),0))</f>
        <v/>
      </c>
      <c r="CA3">
        <f>SUMPRODUCT((M_BOM[RM_Code]=$A3)*M_BOM[RM_Qty_Per_Batch]*IFERROR(INDEX(PP_Grid[#Data],M_BOM[PPGridRow],79),0))</f>
        <v/>
      </c>
      <c r="CB3">
        <f>SUMPRODUCT((M_BOM[RM_Code]=$A3)*M_BOM[RM_Qty_Per_Batch]*IFERROR(INDEX(PP_Grid[#Data],M_BOM[PPGridRow],80),0))</f>
        <v/>
      </c>
      <c r="CC3">
        <f>SUMPRODUCT((M_BOM[RM_Code]=$A3)*M_BOM[RM_Qty_Per_Batch]*IFERROR(INDEX(PP_Grid[#Data],M_BOM[PPGridRow],81),0))</f>
        <v/>
      </c>
      <c r="CD3">
        <f>SUMPRODUCT((M_BOM[RM_Code]=$A3)*M_BOM[RM_Qty_Per_Batch]*IFERROR(INDEX(PP_Grid[#Data],M_BOM[PPGridRow],82),0))</f>
        <v/>
      </c>
      <c r="CE3">
        <f>SUMPRODUCT((M_BOM[RM_Code]=$A3)*M_BOM[RM_Qty_Per_Batch]*IFERROR(INDEX(PP_Grid[#Data],M_BOM[PPGridRow],83),0))</f>
        <v/>
      </c>
      <c r="CF3">
        <f>SUMPRODUCT((M_BOM[RM_Code]=$A3)*M_BOM[RM_Qty_Per_Batch]*IFERROR(INDEX(PP_Grid[#Data],M_BOM[PPGridRow],84),0))</f>
        <v/>
      </c>
      <c r="CG3">
        <f>SUMPRODUCT((M_BOM[RM_Code]=$A3)*M_BOM[RM_Qty_Per_Batch]*IFERROR(INDEX(PP_Grid[#Data],M_BOM[PPGridRow],85),0))</f>
        <v/>
      </c>
      <c r="CH3">
        <f>SUMPRODUCT((M_BOM[RM_Code]=$A3)*M_BOM[RM_Qty_Per_Batch]*IFERROR(INDEX(PP_Grid[#Data],M_BOM[PPGridRow],86),0))</f>
        <v/>
      </c>
      <c r="CI3">
        <f>SUMPRODUCT((M_BOM[RM_Code]=$A3)*M_BOM[RM_Qty_Per_Batch]*IFERROR(INDEX(PP_Grid[#Data],M_BOM[PPGridRow],87),0))</f>
        <v/>
      </c>
      <c r="CJ3">
        <f>SUMPRODUCT((M_BOM[RM_Code]=$A3)*M_BOM[RM_Qty_Per_Batch]*IFERROR(INDEX(PP_Grid[#Data],M_BOM[PPGridRow],88),0))</f>
        <v/>
      </c>
      <c r="CK3">
        <f>SUMPRODUCT((M_BOM[RM_Code]=$A3)*M_BOM[RM_Qty_Per_Batch]*IFERROR(INDEX(PP_Grid[#Data],M_BOM[PPGridRow],89),0))</f>
        <v/>
      </c>
      <c r="CL3">
        <f>SUMPRODUCT((M_BOM[RM_Code]=$A3)*M_BOM[RM_Qty_Per_Batch]*IFERROR(INDEX(PP_Grid[#Data],M_BOM[PPGridRow],90),0))</f>
        <v/>
      </c>
      <c r="CM3">
        <f>SUMPRODUCT((M_BOM[RM_Code]=$A3)*M_BOM[RM_Qty_Per_Batch]*IFERROR(INDEX(PP_Grid[#Data],M_BOM[PPGridRow],91),0))</f>
        <v/>
      </c>
      <c r="CN3">
        <f>SUMPRODUCT((M_BOM[RM_Code]=$A3)*M_BOM[RM_Qty_Per_Batch]*IFERROR(INDEX(PP_Grid[#Data],M_BOM[PPGridRow],92),0))</f>
        <v/>
      </c>
      <c r="CO3">
        <f>SUMPRODUCT((M_BOM[RM_Code]=$A3)*M_BOM[RM_Qty_Per_Batch]*IFERROR(INDEX(PP_Grid[#Data],M_BOM[PPGridRow],93),0))</f>
        <v/>
      </c>
      <c r="CP3">
        <f>SUMPRODUCT((M_BOM[RM_Code]=$A3)*M_BOM[RM_Qty_Per_Batch]*IFERROR(INDEX(PP_Grid[#Data],M_BOM[PPGridRow],94),0))</f>
        <v/>
      </c>
      <c r="CQ3">
        <f>SUMPRODUCT((M_BOM[RM_Code]=$A3)*M_BOM[RM_Qty_Per_Batch]*IFERROR(INDEX(PP_Grid[#Data],M_BOM[PPGridRow],95),0))</f>
        <v/>
      </c>
      <c r="CR3">
        <f>SUMPRODUCT((M_BOM[RM_Code]=$A3)*M_BOM[RM_Qty_Per_Batch]*IFERROR(INDEX(PP_Grid[#Data],M_BOM[PPGridRow],96),0))</f>
        <v/>
      </c>
      <c r="CS3">
        <f>SUMPRODUCT((M_BOM[RM_Code]=$A3)*M_BOM[RM_Qty_Per_Batch]*IFERROR(INDEX(PP_Grid[#Data],M_BOM[PPGridRow],97),0))</f>
        <v/>
      </c>
      <c r="CT3">
        <f>SUMPRODUCT((M_BOM[RM_Code]=$A3)*M_BOM[RM_Qty_Per_Batch]*IFERROR(INDEX(PP_Grid[#Data],M_BOM[PPGridRow],98),0))</f>
        <v/>
      </c>
      <c r="CU3">
        <f>SUMPRODUCT((M_BOM[RM_Code]=$A3)*M_BOM[RM_Qty_Per_Batch]*IFERROR(INDEX(PP_Grid[#Data],M_BOM[PPGridRow],99),0))</f>
        <v/>
      </c>
      <c r="CV3">
        <f>SUMPRODUCT((M_BOM[RM_Code]=$A3)*M_BOM[RM_Qty_Per_Batch]*IFERROR(INDEX(PP_Grid[#Data],M_BOM[PPGridRow],100),0))</f>
        <v/>
      </c>
      <c r="CW3">
        <f>SUMPRODUCT((M_BOM[RM_Code]=$A3)*M_BOM[RM_Qty_Per_Batch]*IFERROR(INDEX(PP_Grid[#Data],M_BOM[PPGridRow],101),0))</f>
        <v/>
      </c>
      <c r="CX3">
        <f>SUMPRODUCT((M_BOM[RM_Code]=$A3)*M_BOM[RM_Qty_Per_Batch]*IFERROR(INDEX(PP_Grid[#Data],M_BOM[PPGridRow],102),0))</f>
        <v/>
      </c>
      <c r="CY3">
        <f>SUMPRODUCT((M_BOM[RM_Code]=$A3)*M_BOM[RM_Qty_Per_Batch]*IFERROR(INDEX(PP_Grid[#Data],M_BOM[PPGridRow],103),0))</f>
        <v/>
      </c>
      <c r="CZ3">
        <f>SUMPRODUCT((M_BOM[RM_Code]=$A3)*M_BOM[RM_Qty_Per_Batch]*IFERROR(INDEX(PP_Grid[#Data],M_BOM[PPGridRow],104),0))</f>
        <v/>
      </c>
      <c r="DA3">
        <f>SUMPRODUCT((M_BOM[RM_Code]=$A3)*M_BOM[RM_Qty_Per_Batch]*IFERROR(INDEX(PP_Grid[#Data],M_BOM[PPGridRow],105),0))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SUMPRODUCT((M_BOM[RM_Code]=$A4)*M_BOM[RM_Qty_Per_Batch]*IFERROR(INDEX(PP_Grid[#Data],M_BOM[PPGridRow],2),0))</f>
        <v/>
      </c>
      <c r="C4">
        <f>SUMPRODUCT((M_BOM[RM_Code]=$A4)*M_BOM[RM_Qty_Per_Batch]*IFERROR(INDEX(PP_Grid[#Data],M_BOM[PPGridRow],3),0))</f>
        <v/>
      </c>
      <c r="D4">
        <f>SUMPRODUCT((M_BOM[RM_Code]=$A4)*M_BOM[RM_Qty_Per_Batch]*IFERROR(INDEX(PP_Grid[#Data],M_BOM[PPGridRow],4),0))</f>
        <v/>
      </c>
      <c r="E4">
        <f>SUMPRODUCT((M_BOM[RM_Code]=$A4)*M_BOM[RM_Qty_Per_Batch]*IFERROR(INDEX(PP_Grid[#Data],M_BOM[PPGridRow],5),0))</f>
        <v/>
      </c>
      <c r="F4">
        <f>SUMPRODUCT((M_BOM[RM_Code]=$A4)*M_BOM[RM_Qty_Per_Batch]*IFERROR(INDEX(PP_Grid[#Data],M_BOM[PPGridRow],6),0))</f>
        <v/>
      </c>
      <c r="G4">
        <f>SUMPRODUCT((M_BOM[RM_Code]=$A4)*M_BOM[RM_Qty_Per_Batch]*IFERROR(INDEX(PP_Grid[#Data],M_BOM[PPGridRow],7),0))</f>
        <v/>
      </c>
      <c r="H4">
        <f>SUMPRODUCT((M_BOM[RM_Code]=$A4)*M_BOM[RM_Qty_Per_Batch]*IFERROR(INDEX(PP_Grid[#Data],M_BOM[PPGridRow],8),0))</f>
        <v/>
      </c>
      <c r="I4">
        <f>SUMPRODUCT((M_BOM[RM_Code]=$A4)*M_BOM[RM_Qty_Per_Batch]*IFERROR(INDEX(PP_Grid[#Data],M_BOM[PPGridRow],9),0))</f>
        <v/>
      </c>
      <c r="J4">
        <f>SUMPRODUCT((M_BOM[RM_Code]=$A4)*M_BOM[RM_Qty_Per_Batch]*IFERROR(INDEX(PP_Grid[#Data],M_BOM[PPGridRow],10),0))</f>
        <v/>
      </c>
      <c r="K4">
        <f>SUMPRODUCT((M_BOM[RM_Code]=$A4)*M_BOM[RM_Qty_Per_Batch]*IFERROR(INDEX(PP_Grid[#Data],M_BOM[PPGridRow],11),0))</f>
        <v/>
      </c>
      <c r="L4">
        <f>SUMPRODUCT((M_BOM[RM_Code]=$A4)*M_BOM[RM_Qty_Per_Batch]*IFERROR(INDEX(PP_Grid[#Data],M_BOM[PPGridRow],12),0))</f>
        <v/>
      </c>
      <c r="M4">
        <f>SUMPRODUCT((M_BOM[RM_Code]=$A4)*M_BOM[RM_Qty_Per_Batch]*IFERROR(INDEX(PP_Grid[#Data],M_BOM[PPGridRow],13),0))</f>
        <v/>
      </c>
      <c r="N4">
        <f>SUMPRODUCT((M_BOM[RM_Code]=$A4)*M_BOM[RM_Qty_Per_Batch]*IFERROR(INDEX(PP_Grid[#Data],M_BOM[PPGridRow],14),0))</f>
        <v/>
      </c>
      <c r="O4">
        <f>SUMPRODUCT((M_BOM[RM_Code]=$A4)*M_BOM[RM_Qty_Per_Batch]*IFERROR(INDEX(PP_Grid[#Data],M_BOM[PPGridRow],15),0))</f>
        <v/>
      </c>
      <c r="P4">
        <f>SUMPRODUCT((M_BOM[RM_Code]=$A4)*M_BOM[RM_Qty_Per_Batch]*IFERROR(INDEX(PP_Grid[#Data],M_BOM[PPGridRow],16),0))</f>
        <v/>
      </c>
      <c r="Q4">
        <f>SUMPRODUCT((M_BOM[RM_Code]=$A4)*M_BOM[RM_Qty_Per_Batch]*IFERROR(INDEX(PP_Grid[#Data],M_BOM[PPGridRow],17),0))</f>
        <v/>
      </c>
      <c r="R4">
        <f>SUMPRODUCT((M_BOM[RM_Code]=$A4)*M_BOM[RM_Qty_Per_Batch]*IFERROR(INDEX(PP_Grid[#Data],M_BOM[PPGridRow],18),0))</f>
        <v/>
      </c>
      <c r="S4">
        <f>SUMPRODUCT((M_BOM[RM_Code]=$A4)*M_BOM[RM_Qty_Per_Batch]*IFERROR(INDEX(PP_Grid[#Data],M_BOM[PPGridRow],19),0))</f>
        <v/>
      </c>
      <c r="T4">
        <f>SUMPRODUCT((M_BOM[RM_Code]=$A4)*M_BOM[RM_Qty_Per_Batch]*IFERROR(INDEX(PP_Grid[#Data],M_BOM[PPGridRow],20),0))</f>
        <v/>
      </c>
      <c r="U4">
        <f>SUMPRODUCT((M_BOM[RM_Code]=$A4)*M_BOM[RM_Qty_Per_Batch]*IFERROR(INDEX(PP_Grid[#Data],M_BOM[PPGridRow],21),0))</f>
        <v/>
      </c>
      <c r="V4">
        <f>SUMPRODUCT((M_BOM[RM_Code]=$A4)*M_BOM[RM_Qty_Per_Batch]*IFERROR(INDEX(PP_Grid[#Data],M_BOM[PPGridRow],22),0))</f>
        <v/>
      </c>
      <c r="W4">
        <f>SUMPRODUCT((M_BOM[RM_Code]=$A4)*M_BOM[RM_Qty_Per_Batch]*IFERROR(INDEX(PP_Grid[#Data],M_BOM[PPGridRow],23),0))</f>
        <v/>
      </c>
      <c r="X4">
        <f>SUMPRODUCT((M_BOM[RM_Code]=$A4)*M_BOM[RM_Qty_Per_Batch]*IFERROR(INDEX(PP_Grid[#Data],M_BOM[PPGridRow],24),0))</f>
        <v/>
      </c>
      <c r="Y4">
        <f>SUMPRODUCT((M_BOM[RM_Code]=$A4)*M_BOM[RM_Qty_Per_Batch]*IFERROR(INDEX(PP_Grid[#Data],M_BOM[PPGridRow],25),0))</f>
        <v/>
      </c>
      <c r="Z4">
        <f>SUMPRODUCT((M_BOM[RM_Code]=$A4)*M_BOM[RM_Qty_Per_Batch]*IFERROR(INDEX(PP_Grid[#Data],M_BOM[PPGridRow],26),0))</f>
        <v/>
      </c>
      <c r="AA4">
        <f>SUMPRODUCT((M_BOM[RM_Code]=$A4)*M_BOM[RM_Qty_Per_Batch]*IFERROR(INDEX(PP_Grid[#Data],M_BOM[PPGridRow],27),0))</f>
        <v/>
      </c>
      <c r="AB4">
        <f>SUMPRODUCT((M_BOM[RM_Code]=$A4)*M_BOM[RM_Qty_Per_Batch]*IFERROR(INDEX(PP_Grid[#Data],M_BOM[PPGridRow],28),0))</f>
        <v/>
      </c>
      <c r="AC4">
        <f>SUMPRODUCT((M_BOM[RM_Code]=$A4)*M_BOM[RM_Qty_Per_Batch]*IFERROR(INDEX(PP_Grid[#Data],M_BOM[PPGridRow],29),0))</f>
        <v/>
      </c>
      <c r="AD4">
        <f>SUMPRODUCT((M_BOM[RM_Code]=$A4)*M_BOM[RM_Qty_Per_Batch]*IFERROR(INDEX(PP_Grid[#Data],M_BOM[PPGridRow],30),0))</f>
        <v/>
      </c>
      <c r="AE4">
        <f>SUMPRODUCT((M_BOM[RM_Code]=$A4)*M_BOM[RM_Qty_Per_Batch]*IFERROR(INDEX(PP_Grid[#Data],M_BOM[PPGridRow],31),0))</f>
        <v/>
      </c>
      <c r="AF4">
        <f>SUMPRODUCT((M_BOM[RM_Code]=$A4)*M_BOM[RM_Qty_Per_Batch]*IFERROR(INDEX(PP_Grid[#Data],M_BOM[PPGridRow],32),0))</f>
        <v/>
      </c>
      <c r="AG4">
        <f>SUMPRODUCT((M_BOM[RM_Code]=$A4)*M_BOM[RM_Qty_Per_Batch]*IFERROR(INDEX(PP_Grid[#Data],M_BOM[PPGridRow],33),0))</f>
        <v/>
      </c>
      <c r="AH4">
        <f>SUMPRODUCT((M_BOM[RM_Code]=$A4)*M_BOM[RM_Qty_Per_Batch]*IFERROR(INDEX(PP_Grid[#Data],M_BOM[PPGridRow],34),0))</f>
        <v/>
      </c>
      <c r="AI4">
        <f>SUMPRODUCT((M_BOM[RM_Code]=$A4)*M_BOM[RM_Qty_Per_Batch]*IFERROR(INDEX(PP_Grid[#Data],M_BOM[PPGridRow],35),0))</f>
        <v/>
      </c>
      <c r="AJ4">
        <f>SUMPRODUCT((M_BOM[RM_Code]=$A4)*M_BOM[RM_Qty_Per_Batch]*IFERROR(INDEX(PP_Grid[#Data],M_BOM[PPGridRow],36),0))</f>
        <v/>
      </c>
      <c r="AK4">
        <f>SUMPRODUCT((M_BOM[RM_Code]=$A4)*M_BOM[RM_Qty_Per_Batch]*IFERROR(INDEX(PP_Grid[#Data],M_BOM[PPGridRow],37),0))</f>
        <v/>
      </c>
      <c r="AL4">
        <f>SUMPRODUCT((M_BOM[RM_Code]=$A4)*M_BOM[RM_Qty_Per_Batch]*IFERROR(INDEX(PP_Grid[#Data],M_BOM[PPGridRow],38),0))</f>
        <v/>
      </c>
      <c r="AM4">
        <f>SUMPRODUCT((M_BOM[RM_Code]=$A4)*M_BOM[RM_Qty_Per_Batch]*IFERROR(INDEX(PP_Grid[#Data],M_BOM[PPGridRow],39),0))</f>
        <v/>
      </c>
      <c r="AN4">
        <f>SUMPRODUCT((M_BOM[RM_Code]=$A4)*M_BOM[RM_Qty_Per_Batch]*IFERROR(INDEX(PP_Grid[#Data],M_BOM[PPGridRow],40),0))</f>
        <v/>
      </c>
      <c r="AO4">
        <f>SUMPRODUCT((M_BOM[RM_Code]=$A4)*M_BOM[RM_Qty_Per_Batch]*IFERROR(INDEX(PP_Grid[#Data],M_BOM[PPGridRow],41),0))</f>
        <v/>
      </c>
      <c r="AP4">
        <f>SUMPRODUCT((M_BOM[RM_Code]=$A4)*M_BOM[RM_Qty_Per_Batch]*IFERROR(INDEX(PP_Grid[#Data],M_BOM[PPGridRow],42),0))</f>
        <v/>
      </c>
      <c r="AQ4">
        <f>SUMPRODUCT((M_BOM[RM_Code]=$A4)*M_BOM[RM_Qty_Per_Batch]*IFERROR(INDEX(PP_Grid[#Data],M_BOM[PPGridRow],43),0))</f>
        <v/>
      </c>
      <c r="AR4">
        <f>SUMPRODUCT((M_BOM[RM_Code]=$A4)*M_BOM[RM_Qty_Per_Batch]*IFERROR(INDEX(PP_Grid[#Data],M_BOM[PPGridRow],44),0))</f>
        <v/>
      </c>
      <c r="AS4">
        <f>SUMPRODUCT((M_BOM[RM_Code]=$A4)*M_BOM[RM_Qty_Per_Batch]*IFERROR(INDEX(PP_Grid[#Data],M_BOM[PPGridRow],45),0))</f>
        <v/>
      </c>
      <c r="AT4">
        <f>SUMPRODUCT((M_BOM[RM_Code]=$A4)*M_BOM[RM_Qty_Per_Batch]*IFERROR(INDEX(PP_Grid[#Data],M_BOM[PPGridRow],46),0))</f>
        <v/>
      </c>
      <c r="AU4">
        <f>SUMPRODUCT((M_BOM[RM_Code]=$A4)*M_BOM[RM_Qty_Per_Batch]*IFERROR(INDEX(PP_Grid[#Data],M_BOM[PPGridRow],47),0))</f>
        <v/>
      </c>
      <c r="AV4">
        <f>SUMPRODUCT((M_BOM[RM_Code]=$A4)*M_BOM[RM_Qty_Per_Batch]*IFERROR(INDEX(PP_Grid[#Data],M_BOM[PPGridRow],48),0))</f>
        <v/>
      </c>
      <c r="AW4">
        <f>SUMPRODUCT((M_BOM[RM_Code]=$A4)*M_BOM[RM_Qty_Per_Batch]*IFERROR(INDEX(PP_Grid[#Data],M_BOM[PPGridRow],49),0))</f>
        <v/>
      </c>
      <c r="AX4">
        <f>SUMPRODUCT((M_BOM[RM_Code]=$A4)*M_BOM[RM_Qty_Per_Batch]*IFERROR(INDEX(PP_Grid[#Data],M_BOM[PPGridRow],50),0))</f>
        <v/>
      </c>
      <c r="AY4">
        <f>SUMPRODUCT((M_BOM[RM_Code]=$A4)*M_BOM[RM_Qty_Per_Batch]*IFERROR(INDEX(PP_Grid[#Data],M_BOM[PPGridRow],51),0))</f>
        <v/>
      </c>
      <c r="AZ4">
        <f>SUMPRODUCT((M_BOM[RM_Code]=$A4)*M_BOM[RM_Qty_Per_Batch]*IFERROR(INDEX(PP_Grid[#Data],M_BOM[PPGridRow],52),0))</f>
        <v/>
      </c>
      <c r="BA4">
        <f>SUMPRODUCT((M_BOM[RM_Code]=$A4)*M_BOM[RM_Qty_Per_Batch]*IFERROR(INDEX(PP_Grid[#Data],M_BOM[PPGridRow],53),0))</f>
        <v/>
      </c>
      <c r="BB4">
        <f>SUMPRODUCT((M_BOM[RM_Code]=$A4)*M_BOM[RM_Qty_Per_Batch]*IFERROR(INDEX(PP_Grid[#Data],M_BOM[PPGridRow],54),0))</f>
        <v/>
      </c>
      <c r="BC4">
        <f>SUMPRODUCT((M_BOM[RM_Code]=$A4)*M_BOM[RM_Qty_Per_Batch]*IFERROR(INDEX(PP_Grid[#Data],M_BOM[PPGridRow],55),0))</f>
        <v/>
      </c>
      <c r="BD4">
        <f>SUMPRODUCT((M_BOM[RM_Code]=$A4)*M_BOM[RM_Qty_Per_Batch]*IFERROR(INDEX(PP_Grid[#Data],M_BOM[PPGridRow],56),0))</f>
        <v/>
      </c>
      <c r="BE4">
        <f>SUMPRODUCT((M_BOM[RM_Code]=$A4)*M_BOM[RM_Qty_Per_Batch]*IFERROR(INDEX(PP_Grid[#Data],M_BOM[PPGridRow],57),0))</f>
        <v/>
      </c>
      <c r="BF4">
        <f>SUMPRODUCT((M_BOM[RM_Code]=$A4)*M_BOM[RM_Qty_Per_Batch]*IFERROR(INDEX(PP_Grid[#Data],M_BOM[PPGridRow],58),0))</f>
        <v/>
      </c>
      <c r="BG4">
        <f>SUMPRODUCT((M_BOM[RM_Code]=$A4)*M_BOM[RM_Qty_Per_Batch]*IFERROR(INDEX(PP_Grid[#Data],M_BOM[PPGridRow],59),0))</f>
        <v/>
      </c>
      <c r="BH4">
        <f>SUMPRODUCT((M_BOM[RM_Code]=$A4)*M_BOM[RM_Qty_Per_Batch]*IFERROR(INDEX(PP_Grid[#Data],M_BOM[PPGridRow],60),0))</f>
        <v/>
      </c>
      <c r="BI4">
        <f>SUMPRODUCT((M_BOM[RM_Code]=$A4)*M_BOM[RM_Qty_Per_Batch]*IFERROR(INDEX(PP_Grid[#Data],M_BOM[PPGridRow],61),0))</f>
        <v/>
      </c>
      <c r="BJ4">
        <f>SUMPRODUCT((M_BOM[RM_Code]=$A4)*M_BOM[RM_Qty_Per_Batch]*IFERROR(INDEX(PP_Grid[#Data],M_BOM[PPGridRow],62),0))</f>
        <v/>
      </c>
      <c r="BK4">
        <f>SUMPRODUCT((M_BOM[RM_Code]=$A4)*M_BOM[RM_Qty_Per_Batch]*IFERROR(INDEX(PP_Grid[#Data],M_BOM[PPGridRow],63),0))</f>
        <v/>
      </c>
      <c r="BL4">
        <f>SUMPRODUCT((M_BOM[RM_Code]=$A4)*M_BOM[RM_Qty_Per_Batch]*IFERROR(INDEX(PP_Grid[#Data],M_BOM[PPGridRow],64),0))</f>
        <v/>
      </c>
      <c r="BM4">
        <f>SUMPRODUCT((M_BOM[RM_Code]=$A4)*M_BOM[RM_Qty_Per_Batch]*IFERROR(INDEX(PP_Grid[#Data],M_BOM[PPGridRow],65),0))</f>
        <v/>
      </c>
      <c r="BN4">
        <f>SUMPRODUCT((M_BOM[RM_Code]=$A4)*M_BOM[RM_Qty_Per_Batch]*IFERROR(INDEX(PP_Grid[#Data],M_BOM[PPGridRow],66),0))</f>
        <v/>
      </c>
      <c r="BO4">
        <f>SUMPRODUCT((M_BOM[RM_Code]=$A4)*M_BOM[RM_Qty_Per_Batch]*IFERROR(INDEX(PP_Grid[#Data],M_BOM[PPGridRow],67),0))</f>
        <v/>
      </c>
      <c r="BP4">
        <f>SUMPRODUCT((M_BOM[RM_Code]=$A4)*M_BOM[RM_Qty_Per_Batch]*IFERROR(INDEX(PP_Grid[#Data],M_BOM[PPGridRow],68),0))</f>
        <v/>
      </c>
      <c r="BQ4">
        <f>SUMPRODUCT((M_BOM[RM_Code]=$A4)*M_BOM[RM_Qty_Per_Batch]*IFERROR(INDEX(PP_Grid[#Data],M_BOM[PPGridRow],69),0))</f>
        <v/>
      </c>
      <c r="BR4">
        <f>SUMPRODUCT((M_BOM[RM_Code]=$A4)*M_BOM[RM_Qty_Per_Batch]*IFERROR(INDEX(PP_Grid[#Data],M_BOM[PPGridRow],70),0))</f>
        <v/>
      </c>
      <c r="BS4">
        <f>SUMPRODUCT((M_BOM[RM_Code]=$A4)*M_BOM[RM_Qty_Per_Batch]*IFERROR(INDEX(PP_Grid[#Data],M_BOM[PPGridRow],71),0))</f>
        <v/>
      </c>
      <c r="BT4">
        <f>SUMPRODUCT((M_BOM[RM_Code]=$A4)*M_BOM[RM_Qty_Per_Batch]*IFERROR(INDEX(PP_Grid[#Data],M_BOM[PPGridRow],72),0))</f>
        <v/>
      </c>
      <c r="BU4">
        <f>SUMPRODUCT((M_BOM[RM_Code]=$A4)*M_BOM[RM_Qty_Per_Batch]*IFERROR(INDEX(PP_Grid[#Data],M_BOM[PPGridRow],73),0))</f>
        <v/>
      </c>
      <c r="BV4">
        <f>SUMPRODUCT((M_BOM[RM_Code]=$A4)*M_BOM[RM_Qty_Per_Batch]*IFERROR(INDEX(PP_Grid[#Data],M_BOM[PPGridRow],74),0))</f>
        <v/>
      </c>
      <c r="BW4">
        <f>SUMPRODUCT((M_BOM[RM_Code]=$A4)*M_BOM[RM_Qty_Per_Batch]*IFERROR(INDEX(PP_Grid[#Data],M_BOM[PPGridRow],75),0))</f>
        <v/>
      </c>
      <c r="BX4">
        <f>SUMPRODUCT((M_BOM[RM_Code]=$A4)*M_BOM[RM_Qty_Per_Batch]*IFERROR(INDEX(PP_Grid[#Data],M_BOM[PPGridRow],76),0))</f>
        <v/>
      </c>
      <c r="BY4">
        <f>SUMPRODUCT((M_BOM[RM_Code]=$A4)*M_BOM[RM_Qty_Per_Batch]*IFERROR(INDEX(PP_Grid[#Data],M_BOM[PPGridRow],77),0))</f>
        <v/>
      </c>
      <c r="BZ4">
        <f>SUMPRODUCT((M_BOM[RM_Code]=$A4)*M_BOM[RM_Qty_Per_Batch]*IFERROR(INDEX(PP_Grid[#Data],M_BOM[PPGridRow],78),0))</f>
        <v/>
      </c>
      <c r="CA4">
        <f>SUMPRODUCT((M_BOM[RM_Code]=$A4)*M_BOM[RM_Qty_Per_Batch]*IFERROR(INDEX(PP_Grid[#Data],M_BOM[PPGridRow],79),0))</f>
        <v/>
      </c>
      <c r="CB4">
        <f>SUMPRODUCT((M_BOM[RM_Code]=$A4)*M_BOM[RM_Qty_Per_Batch]*IFERROR(INDEX(PP_Grid[#Data],M_BOM[PPGridRow],80),0))</f>
        <v/>
      </c>
      <c r="CC4">
        <f>SUMPRODUCT((M_BOM[RM_Code]=$A4)*M_BOM[RM_Qty_Per_Batch]*IFERROR(INDEX(PP_Grid[#Data],M_BOM[PPGridRow],81),0))</f>
        <v/>
      </c>
      <c r="CD4">
        <f>SUMPRODUCT((M_BOM[RM_Code]=$A4)*M_BOM[RM_Qty_Per_Batch]*IFERROR(INDEX(PP_Grid[#Data],M_BOM[PPGridRow],82),0))</f>
        <v/>
      </c>
      <c r="CE4">
        <f>SUMPRODUCT((M_BOM[RM_Code]=$A4)*M_BOM[RM_Qty_Per_Batch]*IFERROR(INDEX(PP_Grid[#Data],M_BOM[PPGridRow],83),0))</f>
        <v/>
      </c>
      <c r="CF4">
        <f>SUMPRODUCT((M_BOM[RM_Code]=$A4)*M_BOM[RM_Qty_Per_Batch]*IFERROR(INDEX(PP_Grid[#Data],M_BOM[PPGridRow],84),0))</f>
        <v/>
      </c>
      <c r="CG4">
        <f>SUMPRODUCT((M_BOM[RM_Code]=$A4)*M_BOM[RM_Qty_Per_Batch]*IFERROR(INDEX(PP_Grid[#Data],M_BOM[PPGridRow],85),0))</f>
        <v/>
      </c>
      <c r="CH4">
        <f>SUMPRODUCT((M_BOM[RM_Code]=$A4)*M_BOM[RM_Qty_Per_Batch]*IFERROR(INDEX(PP_Grid[#Data],M_BOM[PPGridRow],86),0))</f>
        <v/>
      </c>
      <c r="CI4">
        <f>SUMPRODUCT((M_BOM[RM_Code]=$A4)*M_BOM[RM_Qty_Per_Batch]*IFERROR(INDEX(PP_Grid[#Data],M_BOM[PPGridRow],87),0))</f>
        <v/>
      </c>
      <c r="CJ4">
        <f>SUMPRODUCT((M_BOM[RM_Code]=$A4)*M_BOM[RM_Qty_Per_Batch]*IFERROR(INDEX(PP_Grid[#Data],M_BOM[PPGridRow],88),0))</f>
        <v/>
      </c>
      <c r="CK4">
        <f>SUMPRODUCT((M_BOM[RM_Code]=$A4)*M_BOM[RM_Qty_Per_Batch]*IFERROR(INDEX(PP_Grid[#Data],M_BOM[PPGridRow],89),0))</f>
        <v/>
      </c>
      <c r="CL4">
        <f>SUMPRODUCT((M_BOM[RM_Code]=$A4)*M_BOM[RM_Qty_Per_Batch]*IFERROR(INDEX(PP_Grid[#Data],M_BOM[PPGridRow],90),0))</f>
        <v/>
      </c>
      <c r="CM4">
        <f>SUMPRODUCT((M_BOM[RM_Code]=$A4)*M_BOM[RM_Qty_Per_Batch]*IFERROR(INDEX(PP_Grid[#Data],M_BOM[PPGridRow],91),0))</f>
        <v/>
      </c>
      <c r="CN4">
        <f>SUMPRODUCT((M_BOM[RM_Code]=$A4)*M_BOM[RM_Qty_Per_Batch]*IFERROR(INDEX(PP_Grid[#Data],M_BOM[PPGridRow],92),0))</f>
        <v/>
      </c>
      <c r="CO4">
        <f>SUMPRODUCT((M_BOM[RM_Code]=$A4)*M_BOM[RM_Qty_Per_Batch]*IFERROR(INDEX(PP_Grid[#Data],M_BOM[PPGridRow],93),0))</f>
        <v/>
      </c>
      <c r="CP4">
        <f>SUMPRODUCT((M_BOM[RM_Code]=$A4)*M_BOM[RM_Qty_Per_Batch]*IFERROR(INDEX(PP_Grid[#Data],M_BOM[PPGridRow],94),0))</f>
        <v/>
      </c>
      <c r="CQ4">
        <f>SUMPRODUCT((M_BOM[RM_Code]=$A4)*M_BOM[RM_Qty_Per_Batch]*IFERROR(INDEX(PP_Grid[#Data],M_BOM[PPGridRow],95),0))</f>
        <v/>
      </c>
      <c r="CR4">
        <f>SUMPRODUCT((M_BOM[RM_Code]=$A4)*M_BOM[RM_Qty_Per_Batch]*IFERROR(INDEX(PP_Grid[#Data],M_BOM[PPGridRow],96),0))</f>
        <v/>
      </c>
      <c r="CS4">
        <f>SUMPRODUCT((M_BOM[RM_Code]=$A4)*M_BOM[RM_Qty_Per_Batch]*IFERROR(INDEX(PP_Grid[#Data],M_BOM[PPGridRow],97),0))</f>
        <v/>
      </c>
      <c r="CT4">
        <f>SUMPRODUCT((M_BOM[RM_Code]=$A4)*M_BOM[RM_Qty_Per_Batch]*IFERROR(INDEX(PP_Grid[#Data],M_BOM[PPGridRow],98),0))</f>
        <v/>
      </c>
      <c r="CU4">
        <f>SUMPRODUCT((M_BOM[RM_Code]=$A4)*M_BOM[RM_Qty_Per_Batch]*IFERROR(INDEX(PP_Grid[#Data],M_BOM[PPGridRow],99),0))</f>
        <v/>
      </c>
      <c r="CV4">
        <f>SUMPRODUCT((M_BOM[RM_Code]=$A4)*M_BOM[RM_Qty_Per_Batch]*IFERROR(INDEX(PP_Grid[#Data],M_BOM[PPGridRow],100),0))</f>
        <v/>
      </c>
      <c r="CW4">
        <f>SUMPRODUCT((M_BOM[RM_Code]=$A4)*M_BOM[RM_Qty_Per_Batch]*IFERROR(INDEX(PP_Grid[#Data],M_BOM[PPGridRow],101),0))</f>
        <v/>
      </c>
      <c r="CX4">
        <f>SUMPRODUCT((M_BOM[RM_Code]=$A4)*M_BOM[RM_Qty_Per_Batch]*IFERROR(INDEX(PP_Grid[#Data],M_BOM[PPGridRow],102),0))</f>
        <v/>
      </c>
      <c r="CY4">
        <f>SUMPRODUCT((M_BOM[RM_Code]=$A4)*M_BOM[RM_Qty_Per_Batch]*IFERROR(INDEX(PP_Grid[#Data],M_BOM[PPGridRow],103),0))</f>
        <v/>
      </c>
      <c r="CZ4">
        <f>SUMPRODUCT((M_BOM[RM_Code]=$A4)*M_BOM[RM_Qty_Per_Batch]*IFERROR(INDEX(PP_Grid[#Data],M_BOM[PPGridRow],104),0))</f>
        <v/>
      </c>
      <c r="DA4">
        <f>SUMPRODUCT((M_BOM[RM_Code]=$A4)*M_BOM[RM_Qty_Per_Batch]*IFERROR(INDEX(PP_Grid[#Data],M_BOM[PPGridRow],105),0))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SUMPRODUCT((M_BOM[RM_Code]=$A5)*M_BOM[RM_Qty_Per_Batch]*IFERROR(INDEX(PP_Grid[#Data],M_BOM[PPGridRow],2),0))</f>
        <v/>
      </c>
      <c r="C5">
        <f>SUMPRODUCT((M_BOM[RM_Code]=$A5)*M_BOM[RM_Qty_Per_Batch]*IFERROR(INDEX(PP_Grid[#Data],M_BOM[PPGridRow],3),0))</f>
        <v/>
      </c>
      <c r="D5">
        <f>SUMPRODUCT((M_BOM[RM_Code]=$A5)*M_BOM[RM_Qty_Per_Batch]*IFERROR(INDEX(PP_Grid[#Data],M_BOM[PPGridRow],4),0))</f>
        <v/>
      </c>
      <c r="E5">
        <f>SUMPRODUCT((M_BOM[RM_Code]=$A5)*M_BOM[RM_Qty_Per_Batch]*IFERROR(INDEX(PP_Grid[#Data],M_BOM[PPGridRow],5),0))</f>
        <v/>
      </c>
      <c r="F5">
        <f>SUMPRODUCT((M_BOM[RM_Code]=$A5)*M_BOM[RM_Qty_Per_Batch]*IFERROR(INDEX(PP_Grid[#Data],M_BOM[PPGridRow],6),0))</f>
        <v/>
      </c>
      <c r="G5">
        <f>SUMPRODUCT((M_BOM[RM_Code]=$A5)*M_BOM[RM_Qty_Per_Batch]*IFERROR(INDEX(PP_Grid[#Data],M_BOM[PPGridRow],7),0))</f>
        <v/>
      </c>
      <c r="H5">
        <f>SUMPRODUCT((M_BOM[RM_Code]=$A5)*M_BOM[RM_Qty_Per_Batch]*IFERROR(INDEX(PP_Grid[#Data],M_BOM[PPGridRow],8),0))</f>
        <v/>
      </c>
      <c r="I5">
        <f>SUMPRODUCT((M_BOM[RM_Code]=$A5)*M_BOM[RM_Qty_Per_Batch]*IFERROR(INDEX(PP_Grid[#Data],M_BOM[PPGridRow],9),0))</f>
        <v/>
      </c>
      <c r="J5">
        <f>SUMPRODUCT((M_BOM[RM_Code]=$A5)*M_BOM[RM_Qty_Per_Batch]*IFERROR(INDEX(PP_Grid[#Data],M_BOM[PPGridRow],10),0))</f>
        <v/>
      </c>
      <c r="K5">
        <f>SUMPRODUCT((M_BOM[RM_Code]=$A5)*M_BOM[RM_Qty_Per_Batch]*IFERROR(INDEX(PP_Grid[#Data],M_BOM[PPGridRow],11),0))</f>
        <v/>
      </c>
      <c r="L5">
        <f>SUMPRODUCT((M_BOM[RM_Code]=$A5)*M_BOM[RM_Qty_Per_Batch]*IFERROR(INDEX(PP_Grid[#Data],M_BOM[PPGridRow],12),0))</f>
        <v/>
      </c>
      <c r="M5">
        <f>SUMPRODUCT((M_BOM[RM_Code]=$A5)*M_BOM[RM_Qty_Per_Batch]*IFERROR(INDEX(PP_Grid[#Data],M_BOM[PPGridRow],13),0))</f>
        <v/>
      </c>
      <c r="N5">
        <f>SUMPRODUCT((M_BOM[RM_Code]=$A5)*M_BOM[RM_Qty_Per_Batch]*IFERROR(INDEX(PP_Grid[#Data],M_BOM[PPGridRow],14),0))</f>
        <v/>
      </c>
      <c r="O5">
        <f>SUMPRODUCT((M_BOM[RM_Code]=$A5)*M_BOM[RM_Qty_Per_Batch]*IFERROR(INDEX(PP_Grid[#Data],M_BOM[PPGridRow],15),0))</f>
        <v/>
      </c>
      <c r="P5">
        <f>SUMPRODUCT((M_BOM[RM_Code]=$A5)*M_BOM[RM_Qty_Per_Batch]*IFERROR(INDEX(PP_Grid[#Data],M_BOM[PPGridRow],16),0))</f>
        <v/>
      </c>
      <c r="Q5">
        <f>SUMPRODUCT((M_BOM[RM_Code]=$A5)*M_BOM[RM_Qty_Per_Batch]*IFERROR(INDEX(PP_Grid[#Data],M_BOM[PPGridRow],17),0))</f>
        <v/>
      </c>
      <c r="R5">
        <f>SUMPRODUCT((M_BOM[RM_Code]=$A5)*M_BOM[RM_Qty_Per_Batch]*IFERROR(INDEX(PP_Grid[#Data],M_BOM[PPGridRow],18),0))</f>
        <v/>
      </c>
      <c r="S5">
        <f>SUMPRODUCT((M_BOM[RM_Code]=$A5)*M_BOM[RM_Qty_Per_Batch]*IFERROR(INDEX(PP_Grid[#Data],M_BOM[PPGridRow],19),0))</f>
        <v/>
      </c>
      <c r="T5">
        <f>SUMPRODUCT((M_BOM[RM_Code]=$A5)*M_BOM[RM_Qty_Per_Batch]*IFERROR(INDEX(PP_Grid[#Data],M_BOM[PPGridRow],20),0))</f>
        <v/>
      </c>
      <c r="U5">
        <f>SUMPRODUCT((M_BOM[RM_Code]=$A5)*M_BOM[RM_Qty_Per_Batch]*IFERROR(INDEX(PP_Grid[#Data],M_BOM[PPGridRow],21),0))</f>
        <v/>
      </c>
      <c r="V5">
        <f>SUMPRODUCT((M_BOM[RM_Code]=$A5)*M_BOM[RM_Qty_Per_Batch]*IFERROR(INDEX(PP_Grid[#Data],M_BOM[PPGridRow],22),0))</f>
        <v/>
      </c>
      <c r="W5">
        <f>SUMPRODUCT((M_BOM[RM_Code]=$A5)*M_BOM[RM_Qty_Per_Batch]*IFERROR(INDEX(PP_Grid[#Data],M_BOM[PPGridRow],23),0))</f>
        <v/>
      </c>
      <c r="X5">
        <f>SUMPRODUCT((M_BOM[RM_Code]=$A5)*M_BOM[RM_Qty_Per_Batch]*IFERROR(INDEX(PP_Grid[#Data],M_BOM[PPGridRow],24),0))</f>
        <v/>
      </c>
      <c r="Y5">
        <f>SUMPRODUCT((M_BOM[RM_Code]=$A5)*M_BOM[RM_Qty_Per_Batch]*IFERROR(INDEX(PP_Grid[#Data],M_BOM[PPGridRow],25),0))</f>
        <v/>
      </c>
      <c r="Z5">
        <f>SUMPRODUCT((M_BOM[RM_Code]=$A5)*M_BOM[RM_Qty_Per_Batch]*IFERROR(INDEX(PP_Grid[#Data],M_BOM[PPGridRow],26),0))</f>
        <v/>
      </c>
      <c r="AA5">
        <f>SUMPRODUCT((M_BOM[RM_Code]=$A5)*M_BOM[RM_Qty_Per_Batch]*IFERROR(INDEX(PP_Grid[#Data],M_BOM[PPGridRow],27),0))</f>
        <v/>
      </c>
      <c r="AB5">
        <f>SUMPRODUCT((M_BOM[RM_Code]=$A5)*M_BOM[RM_Qty_Per_Batch]*IFERROR(INDEX(PP_Grid[#Data],M_BOM[PPGridRow],28),0))</f>
        <v/>
      </c>
      <c r="AC5">
        <f>SUMPRODUCT((M_BOM[RM_Code]=$A5)*M_BOM[RM_Qty_Per_Batch]*IFERROR(INDEX(PP_Grid[#Data],M_BOM[PPGridRow],29),0))</f>
        <v/>
      </c>
      <c r="AD5">
        <f>SUMPRODUCT((M_BOM[RM_Code]=$A5)*M_BOM[RM_Qty_Per_Batch]*IFERROR(INDEX(PP_Grid[#Data],M_BOM[PPGridRow],30),0))</f>
        <v/>
      </c>
      <c r="AE5">
        <f>SUMPRODUCT((M_BOM[RM_Code]=$A5)*M_BOM[RM_Qty_Per_Batch]*IFERROR(INDEX(PP_Grid[#Data],M_BOM[PPGridRow],31),0))</f>
        <v/>
      </c>
      <c r="AF5">
        <f>SUMPRODUCT((M_BOM[RM_Code]=$A5)*M_BOM[RM_Qty_Per_Batch]*IFERROR(INDEX(PP_Grid[#Data],M_BOM[PPGridRow],32),0))</f>
        <v/>
      </c>
      <c r="AG5">
        <f>SUMPRODUCT((M_BOM[RM_Code]=$A5)*M_BOM[RM_Qty_Per_Batch]*IFERROR(INDEX(PP_Grid[#Data],M_BOM[PPGridRow],33),0))</f>
        <v/>
      </c>
      <c r="AH5">
        <f>SUMPRODUCT((M_BOM[RM_Code]=$A5)*M_BOM[RM_Qty_Per_Batch]*IFERROR(INDEX(PP_Grid[#Data],M_BOM[PPGridRow],34),0))</f>
        <v/>
      </c>
      <c r="AI5">
        <f>SUMPRODUCT((M_BOM[RM_Code]=$A5)*M_BOM[RM_Qty_Per_Batch]*IFERROR(INDEX(PP_Grid[#Data],M_BOM[PPGridRow],35),0))</f>
        <v/>
      </c>
      <c r="AJ5">
        <f>SUMPRODUCT((M_BOM[RM_Code]=$A5)*M_BOM[RM_Qty_Per_Batch]*IFERROR(INDEX(PP_Grid[#Data],M_BOM[PPGridRow],36),0))</f>
        <v/>
      </c>
      <c r="AK5">
        <f>SUMPRODUCT((M_BOM[RM_Code]=$A5)*M_BOM[RM_Qty_Per_Batch]*IFERROR(INDEX(PP_Grid[#Data],M_BOM[PPGridRow],37),0))</f>
        <v/>
      </c>
      <c r="AL5">
        <f>SUMPRODUCT((M_BOM[RM_Code]=$A5)*M_BOM[RM_Qty_Per_Batch]*IFERROR(INDEX(PP_Grid[#Data],M_BOM[PPGridRow],38),0))</f>
        <v/>
      </c>
      <c r="AM5">
        <f>SUMPRODUCT((M_BOM[RM_Code]=$A5)*M_BOM[RM_Qty_Per_Batch]*IFERROR(INDEX(PP_Grid[#Data],M_BOM[PPGridRow],39),0))</f>
        <v/>
      </c>
      <c r="AN5">
        <f>SUMPRODUCT((M_BOM[RM_Code]=$A5)*M_BOM[RM_Qty_Per_Batch]*IFERROR(INDEX(PP_Grid[#Data],M_BOM[PPGridRow],40),0))</f>
        <v/>
      </c>
      <c r="AO5">
        <f>SUMPRODUCT((M_BOM[RM_Code]=$A5)*M_BOM[RM_Qty_Per_Batch]*IFERROR(INDEX(PP_Grid[#Data],M_BOM[PPGridRow],41),0))</f>
        <v/>
      </c>
      <c r="AP5">
        <f>SUMPRODUCT((M_BOM[RM_Code]=$A5)*M_BOM[RM_Qty_Per_Batch]*IFERROR(INDEX(PP_Grid[#Data],M_BOM[PPGridRow],42),0))</f>
        <v/>
      </c>
      <c r="AQ5">
        <f>SUMPRODUCT((M_BOM[RM_Code]=$A5)*M_BOM[RM_Qty_Per_Batch]*IFERROR(INDEX(PP_Grid[#Data],M_BOM[PPGridRow],43),0))</f>
        <v/>
      </c>
      <c r="AR5">
        <f>SUMPRODUCT((M_BOM[RM_Code]=$A5)*M_BOM[RM_Qty_Per_Batch]*IFERROR(INDEX(PP_Grid[#Data],M_BOM[PPGridRow],44),0))</f>
        <v/>
      </c>
      <c r="AS5">
        <f>SUMPRODUCT((M_BOM[RM_Code]=$A5)*M_BOM[RM_Qty_Per_Batch]*IFERROR(INDEX(PP_Grid[#Data],M_BOM[PPGridRow],45),0))</f>
        <v/>
      </c>
      <c r="AT5">
        <f>SUMPRODUCT((M_BOM[RM_Code]=$A5)*M_BOM[RM_Qty_Per_Batch]*IFERROR(INDEX(PP_Grid[#Data],M_BOM[PPGridRow],46),0))</f>
        <v/>
      </c>
      <c r="AU5">
        <f>SUMPRODUCT((M_BOM[RM_Code]=$A5)*M_BOM[RM_Qty_Per_Batch]*IFERROR(INDEX(PP_Grid[#Data],M_BOM[PPGridRow],47),0))</f>
        <v/>
      </c>
      <c r="AV5">
        <f>SUMPRODUCT((M_BOM[RM_Code]=$A5)*M_BOM[RM_Qty_Per_Batch]*IFERROR(INDEX(PP_Grid[#Data],M_BOM[PPGridRow],48),0))</f>
        <v/>
      </c>
      <c r="AW5">
        <f>SUMPRODUCT((M_BOM[RM_Code]=$A5)*M_BOM[RM_Qty_Per_Batch]*IFERROR(INDEX(PP_Grid[#Data],M_BOM[PPGridRow],49),0))</f>
        <v/>
      </c>
      <c r="AX5">
        <f>SUMPRODUCT((M_BOM[RM_Code]=$A5)*M_BOM[RM_Qty_Per_Batch]*IFERROR(INDEX(PP_Grid[#Data],M_BOM[PPGridRow],50),0))</f>
        <v/>
      </c>
      <c r="AY5">
        <f>SUMPRODUCT((M_BOM[RM_Code]=$A5)*M_BOM[RM_Qty_Per_Batch]*IFERROR(INDEX(PP_Grid[#Data],M_BOM[PPGridRow],51),0))</f>
        <v/>
      </c>
      <c r="AZ5">
        <f>SUMPRODUCT((M_BOM[RM_Code]=$A5)*M_BOM[RM_Qty_Per_Batch]*IFERROR(INDEX(PP_Grid[#Data],M_BOM[PPGridRow],52),0))</f>
        <v/>
      </c>
      <c r="BA5">
        <f>SUMPRODUCT((M_BOM[RM_Code]=$A5)*M_BOM[RM_Qty_Per_Batch]*IFERROR(INDEX(PP_Grid[#Data],M_BOM[PPGridRow],53),0))</f>
        <v/>
      </c>
      <c r="BB5">
        <f>SUMPRODUCT((M_BOM[RM_Code]=$A5)*M_BOM[RM_Qty_Per_Batch]*IFERROR(INDEX(PP_Grid[#Data],M_BOM[PPGridRow],54),0))</f>
        <v/>
      </c>
      <c r="BC5">
        <f>SUMPRODUCT((M_BOM[RM_Code]=$A5)*M_BOM[RM_Qty_Per_Batch]*IFERROR(INDEX(PP_Grid[#Data],M_BOM[PPGridRow],55),0))</f>
        <v/>
      </c>
      <c r="BD5">
        <f>SUMPRODUCT((M_BOM[RM_Code]=$A5)*M_BOM[RM_Qty_Per_Batch]*IFERROR(INDEX(PP_Grid[#Data],M_BOM[PPGridRow],56),0))</f>
        <v/>
      </c>
      <c r="BE5">
        <f>SUMPRODUCT((M_BOM[RM_Code]=$A5)*M_BOM[RM_Qty_Per_Batch]*IFERROR(INDEX(PP_Grid[#Data],M_BOM[PPGridRow],57),0))</f>
        <v/>
      </c>
      <c r="BF5">
        <f>SUMPRODUCT((M_BOM[RM_Code]=$A5)*M_BOM[RM_Qty_Per_Batch]*IFERROR(INDEX(PP_Grid[#Data],M_BOM[PPGridRow],58),0))</f>
        <v/>
      </c>
      <c r="BG5">
        <f>SUMPRODUCT((M_BOM[RM_Code]=$A5)*M_BOM[RM_Qty_Per_Batch]*IFERROR(INDEX(PP_Grid[#Data],M_BOM[PPGridRow],59),0))</f>
        <v/>
      </c>
      <c r="BH5">
        <f>SUMPRODUCT((M_BOM[RM_Code]=$A5)*M_BOM[RM_Qty_Per_Batch]*IFERROR(INDEX(PP_Grid[#Data],M_BOM[PPGridRow],60),0))</f>
        <v/>
      </c>
      <c r="BI5">
        <f>SUMPRODUCT((M_BOM[RM_Code]=$A5)*M_BOM[RM_Qty_Per_Batch]*IFERROR(INDEX(PP_Grid[#Data],M_BOM[PPGridRow],61),0))</f>
        <v/>
      </c>
      <c r="BJ5">
        <f>SUMPRODUCT((M_BOM[RM_Code]=$A5)*M_BOM[RM_Qty_Per_Batch]*IFERROR(INDEX(PP_Grid[#Data],M_BOM[PPGridRow],62),0))</f>
        <v/>
      </c>
      <c r="BK5">
        <f>SUMPRODUCT((M_BOM[RM_Code]=$A5)*M_BOM[RM_Qty_Per_Batch]*IFERROR(INDEX(PP_Grid[#Data],M_BOM[PPGridRow],63),0))</f>
        <v/>
      </c>
      <c r="BL5">
        <f>SUMPRODUCT((M_BOM[RM_Code]=$A5)*M_BOM[RM_Qty_Per_Batch]*IFERROR(INDEX(PP_Grid[#Data],M_BOM[PPGridRow],64),0))</f>
        <v/>
      </c>
      <c r="BM5">
        <f>SUMPRODUCT((M_BOM[RM_Code]=$A5)*M_BOM[RM_Qty_Per_Batch]*IFERROR(INDEX(PP_Grid[#Data],M_BOM[PPGridRow],65),0))</f>
        <v/>
      </c>
      <c r="BN5">
        <f>SUMPRODUCT((M_BOM[RM_Code]=$A5)*M_BOM[RM_Qty_Per_Batch]*IFERROR(INDEX(PP_Grid[#Data],M_BOM[PPGridRow],66),0))</f>
        <v/>
      </c>
      <c r="BO5">
        <f>SUMPRODUCT((M_BOM[RM_Code]=$A5)*M_BOM[RM_Qty_Per_Batch]*IFERROR(INDEX(PP_Grid[#Data],M_BOM[PPGridRow],67),0))</f>
        <v/>
      </c>
      <c r="BP5">
        <f>SUMPRODUCT((M_BOM[RM_Code]=$A5)*M_BOM[RM_Qty_Per_Batch]*IFERROR(INDEX(PP_Grid[#Data],M_BOM[PPGridRow],68),0))</f>
        <v/>
      </c>
      <c r="BQ5">
        <f>SUMPRODUCT((M_BOM[RM_Code]=$A5)*M_BOM[RM_Qty_Per_Batch]*IFERROR(INDEX(PP_Grid[#Data],M_BOM[PPGridRow],69),0))</f>
        <v/>
      </c>
      <c r="BR5">
        <f>SUMPRODUCT((M_BOM[RM_Code]=$A5)*M_BOM[RM_Qty_Per_Batch]*IFERROR(INDEX(PP_Grid[#Data],M_BOM[PPGridRow],70),0))</f>
        <v/>
      </c>
      <c r="BS5">
        <f>SUMPRODUCT((M_BOM[RM_Code]=$A5)*M_BOM[RM_Qty_Per_Batch]*IFERROR(INDEX(PP_Grid[#Data],M_BOM[PPGridRow],71),0))</f>
        <v/>
      </c>
      <c r="BT5">
        <f>SUMPRODUCT((M_BOM[RM_Code]=$A5)*M_BOM[RM_Qty_Per_Batch]*IFERROR(INDEX(PP_Grid[#Data],M_BOM[PPGridRow],72),0))</f>
        <v/>
      </c>
      <c r="BU5">
        <f>SUMPRODUCT((M_BOM[RM_Code]=$A5)*M_BOM[RM_Qty_Per_Batch]*IFERROR(INDEX(PP_Grid[#Data],M_BOM[PPGridRow],73),0))</f>
        <v/>
      </c>
      <c r="BV5">
        <f>SUMPRODUCT((M_BOM[RM_Code]=$A5)*M_BOM[RM_Qty_Per_Batch]*IFERROR(INDEX(PP_Grid[#Data],M_BOM[PPGridRow],74),0))</f>
        <v/>
      </c>
      <c r="BW5">
        <f>SUMPRODUCT((M_BOM[RM_Code]=$A5)*M_BOM[RM_Qty_Per_Batch]*IFERROR(INDEX(PP_Grid[#Data],M_BOM[PPGridRow],75),0))</f>
        <v/>
      </c>
      <c r="BX5">
        <f>SUMPRODUCT((M_BOM[RM_Code]=$A5)*M_BOM[RM_Qty_Per_Batch]*IFERROR(INDEX(PP_Grid[#Data],M_BOM[PPGridRow],76),0))</f>
        <v/>
      </c>
      <c r="BY5">
        <f>SUMPRODUCT((M_BOM[RM_Code]=$A5)*M_BOM[RM_Qty_Per_Batch]*IFERROR(INDEX(PP_Grid[#Data],M_BOM[PPGridRow],77),0))</f>
        <v/>
      </c>
      <c r="BZ5">
        <f>SUMPRODUCT((M_BOM[RM_Code]=$A5)*M_BOM[RM_Qty_Per_Batch]*IFERROR(INDEX(PP_Grid[#Data],M_BOM[PPGridRow],78),0))</f>
        <v/>
      </c>
      <c r="CA5">
        <f>SUMPRODUCT((M_BOM[RM_Code]=$A5)*M_BOM[RM_Qty_Per_Batch]*IFERROR(INDEX(PP_Grid[#Data],M_BOM[PPGridRow],79),0))</f>
        <v/>
      </c>
      <c r="CB5">
        <f>SUMPRODUCT((M_BOM[RM_Code]=$A5)*M_BOM[RM_Qty_Per_Batch]*IFERROR(INDEX(PP_Grid[#Data],M_BOM[PPGridRow],80),0))</f>
        <v/>
      </c>
      <c r="CC5">
        <f>SUMPRODUCT((M_BOM[RM_Code]=$A5)*M_BOM[RM_Qty_Per_Batch]*IFERROR(INDEX(PP_Grid[#Data],M_BOM[PPGridRow],81),0))</f>
        <v/>
      </c>
      <c r="CD5">
        <f>SUMPRODUCT((M_BOM[RM_Code]=$A5)*M_BOM[RM_Qty_Per_Batch]*IFERROR(INDEX(PP_Grid[#Data],M_BOM[PPGridRow],82),0))</f>
        <v/>
      </c>
      <c r="CE5">
        <f>SUMPRODUCT((M_BOM[RM_Code]=$A5)*M_BOM[RM_Qty_Per_Batch]*IFERROR(INDEX(PP_Grid[#Data],M_BOM[PPGridRow],83),0))</f>
        <v/>
      </c>
      <c r="CF5">
        <f>SUMPRODUCT((M_BOM[RM_Code]=$A5)*M_BOM[RM_Qty_Per_Batch]*IFERROR(INDEX(PP_Grid[#Data],M_BOM[PPGridRow],84),0))</f>
        <v/>
      </c>
      <c r="CG5">
        <f>SUMPRODUCT((M_BOM[RM_Code]=$A5)*M_BOM[RM_Qty_Per_Batch]*IFERROR(INDEX(PP_Grid[#Data],M_BOM[PPGridRow],85),0))</f>
        <v/>
      </c>
      <c r="CH5">
        <f>SUMPRODUCT((M_BOM[RM_Code]=$A5)*M_BOM[RM_Qty_Per_Batch]*IFERROR(INDEX(PP_Grid[#Data],M_BOM[PPGridRow],86),0))</f>
        <v/>
      </c>
      <c r="CI5">
        <f>SUMPRODUCT((M_BOM[RM_Code]=$A5)*M_BOM[RM_Qty_Per_Batch]*IFERROR(INDEX(PP_Grid[#Data],M_BOM[PPGridRow],87),0))</f>
        <v/>
      </c>
      <c r="CJ5">
        <f>SUMPRODUCT((M_BOM[RM_Code]=$A5)*M_BOM[RM_Qty_Per_Batch]*IFERROR(INDEX(PP_Grid[#Data],M_BOM[PPGridRow],88),0))</f>
        <v/>
      </c>
      <c r="CK5">
        <f>SUMPRODUCT((M_BOM[RM_Code]=$A5)*M_BOM[RM_Qty_Per_Batch]*IFERROR(INDEX(PP_Grid[#Data],M_BOM[PPGridRow],89),0))</f>
        <v/>
      </c>
      <c r="CL5">
        <f>SUMPRODUCT((M_BOM[RM_Code]=$A5)*M_BOM[RM_Qty_Per_Batch]*IFERROR(INDEX(PP_Grid[#Data],M_BOM[PPGridRow],90),0))</f>
        <v/>
      </c>
      <c r="CM5">
        <f>SUMPRODUCT((M_BOM[RM_Code]=$A5)*M_BOM[RM_Qty_Per_Batch]*IFERROR(INDEX(PP_Grid[#Data],M_BOM[PPGridRow],91),0))</f>
        <v/>
      </c>
      <c r="CN5">
        <f>SUMPRODUCT((M_BOM[RM_Code]=$A5)*M_BOM[RM_Qty_Per_Batch]*IFERROR(INDEX(PP_Grid[#Data],M_BOM[PPGridRow],92),0))</f>
        <v/>
      </c>
      <c r="CO5">
        <f>SUMPRODUCT((M_BOM[RM_Code]=$A5)*M_BOM[RM_Qty_Per_Batch]*IFERROR(INDEX(PP_Grid[#Data],M_BOM[PPGridRow],93),0))</f>
        <v/>
      </c>
      <c r="CP5">
        <f>SUMPRODUCT((M_BOM[RM_Code]=$A5)*M_BOM[RM_Qty_Per_Batch]*IFERROR(INDEX(PP_Grid[#Data],M_BOM[PPGridRow],94),0))</f>
        <v/>
      </c>
      <c r="CQ5">
        <f>SUMPRODUCT((M_BOM[RM_Code]=$A5)*M_BOM[RM_Qty_Per_Batch]*IFERROR(INDEX(PP_Grid[#Data],M_BOM[PPGridRow],95),0))</f>
        <v/>
      </c>
      <c r="CR5">
        <f>SUMPRODUCT((M_BOM[RM_Code]=$A5)*M_BOM[RM_Qty_Per_Batch]*IFERROR(INDEX(PP_Grid[#Data],M_BOM[PPGridRow],96),0))</f>
        <v/>
      </c>
      <c r="CS5">
        <f>SUMPRODUCT((M_BOM[RM_Code]=$A5)*M_BOM[RM_Qty_Per_Batch]*IFERROR(INDEX(PP_Grid[#Data],M_BOM[PPGridRow],97),0))</f>
        <v/>
      </c>
      <c r="CT5">
        <f>SUMPRODUCT((M_BOM[RM_Code]=$A5)*M_BOM[RM_Qty_Per_Batch]*IFERROR(INDEX(PP_Grid[#Data],M_BOM[PPGridRow],98),0))</f>
        <v/>
      </c>
      <c r="CU5">
        <f>SUMPRODUCT((M_BOM[RM_Code]=$A5)*M_BOM[RM_Qty_Per_Batch]*IFERROR(INDEX(PP_Grid[#Data],M_BOM[PPGridRow],99),0))</f>
        <v/>
      </c>
      <c r="CV5">
        <f>SUMPRODUCT((M_BOM[RM_Code]=$A5)*M_BOM[RM_Qty_Per_Batch]*IFERROR(INDEX(PP_Grid[#Data],M_BOM[PPGridRow],100),0))</f>
        <v/>
      </c>
      <c r="CW5">
        <f>SUMPRODUCT((M_BOM[RM_Code]=$A5)*M_BOM[RM_Qty_Per_Batch]*IFERROR(INDEX(PP_Grid[#Data],M_BOM[PPGridRow],101),0))</f>
        <v/>
      </c>
      <c r="CX5">
        <f>SUMPRODUCT((M_BOM[RM_Code]=$A5)*M_BOM[RM_Qty_Per_Batch]*IFERROR(INDEX(PP_Grid[#Data],M_BOM[PPGridRow],102),0))</f>
        <v/>
      </c>
      <c r="CY5">
        <f>SUMPRODUCT((M_BOM[RM_Code]=$A5)*M_BOM[RM_Qty_Per_Batch]*IFERROR(INDEX(PP_Grid[#Data],M_BOM[PPGridRow],103),0))</f>
        <v/>
      </c>
      <c r="CZ5">
        <f>SUMPRODUCT((M_BOM[RM_Code]=$A5)*M_BOM[RM_Qty_Per_Batch]*IFERROR(INDEX(PP_Grid[#Data],M_BOM[PPGridRow],104),0))</f>
        <v/>
      </c>
      <c r="DA5">
        <f>SUMPRODUCT((M_BOM[RM_Code]=$A5)*M_BOM[RM_Qty_Per_Batch]*IFERROR(INDEX(PP_Grid[#Data],M_BOM[PPGridRow],105),0))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SUMPRODUCT((M_BOM[RM_Code]=$A6)*M_BOM[RM_Qty_Per_Batch]*IFERROR(INDEX(PP_Grid[#Data],M_BOM[PPGridRow],2),0))</f>
        <v/>
      </c>
      <c r="C6">
        <f>SUMPRODUCT((M_BOM[RM_Code]=$A6)*M_BOM[RM_Qty_Per_Batch]*IFERROR(INDEX(PP_Grid[#Data],M_BOM[PPGridRow],3),0))</f>
        <v/>
      </c>
      <c r="D6">
        <f>SUMPRODUCT((M_BOM[RM_Code]=$A6)*M_BOM[RM_Qty_Per_Batch]*IFERROR(INDEX(PP_Grid[#Data],M_BOM[PPGridRow],4),0))</f>
        <v/>
      </c>
      <c r="E6">
        <f>SUMPRODUCT((M_BOM[RM_Code]=$A6)*M_BOM[RM_Qty_Per_Batch]*IFERROR(INDEX(PP_Grid[#Data],M_BOM[PPGridRow],5),0))</f>
        <v/>
      </c>
      <c r="F6">
        <f>SUMPRODUCT((M_BOM[RM_Code]=$A6)*M_BOM[RM_Qty_Per_Batch]*IFERROR(INDEX(PP_Grid[#Data],M_BOM[PPGridRow],6),0))</f>
        <v/>
      </c>
      <c r="G6">
        <f>SUMPRODUCT((M_BOM[RM_Code]=$A6)*M_BOM[RM_Qty_Per_Batch]*IFERROR(INDEX(PP_Grid[#Data],M_BOM[PPGridRow],7),0))</f>
        <v/>
      </c>
      <c r="H6">
        <f>SUMPRODUCT((M_BOM[RM_Code]=$A6)*M_BOM[RM_Qty_Per_Batch]*IFERROR(INDEX(PP_Grid[#Data],M_BOM[PPGridRow],8),0))</f>
        <v/>
      </c>
      <c r="I6">
        <f>SUMPRODUCT((M_BOM[RM_Code]=$A6)*M_BOM[RM_Qty_Per_Batch]*IFERROR(INDEX(PP_Grid[#Data],M_BOM[PPGridRow],9),0))</f>
        <v/>
      </c>
      <c r="J6">
        <f>SUMPRODUCT((M_BOM[RM_Code]=$A6)*M_BOM[RM_Qty_Per_Batch]*IFERROR(INDEX(PP_Grid[#Data],M_BOM[PPGridRow],10),0))</f>
        <v/>
      </c>
      <c r="K6">
        <f>SUMPRODUCT((M_BOM[RM_Code]=$A6)*M_BOM[RM_Qty_Per_Batch]*IFERROR(INDEX(PP_Grid[#Data],M_BOM[PPGridRow],11),0))</f>
        <v/>
      </c>
      <c r="L6">
        <f>SUMPRODUCT((M_BOM[RM_Code]=$A6)*M_BOM[RM_Qty_Per_Batch]*IFERROR(INDEX(PP_Grid[#Data],M_BOM[PPGridRow],12),0))</f>
        <v/>
      </c>
      <c r="M6">
        <f>SUMPRODUCT((M_BOM[RM_Code]=$A6)*M_BOM[RM_Qty_Per_Batch]*IFERROR(INDEX(PP_Grid[#Data],M_BOM[PPGridRow],13),0))</f>
        <v/>
      </c>
      <c r="N6">
        <f>SUMPRODUCT((M_BOM[RM_Code]=$A6)*M_BOM[RM_Qty_Per_Batch]*IFERROR(INDEX(PP_Grid[#Data],M_BOM[PPGridRow],14),0))</f>
        <v/>
      </c>
      <c r="O6">
        <f>SUMPRODUCT((M_BOM[RM_Code]=$A6)*M_BOM[RM_Qty_Per_Batch]*IFERROR(INDEX(PP_Grid[#Data],M_BOM[PPGridRow],15),0))</f>
        <v/>
      </c>
      <c r="P6">
        <f>SUMPRODUCT((M_BOM[RM_Code]=$A6)*M_BOM[RM_Qty_Per_Batch]*IFERROR(INDEX(PP_Grid[#Data],M_BOM[PPGridRow],16),0))</f>
        <v/>
      </c>
      <c r="Q6">
        <f>SUMPRODUCT((M_BOM[RM_Code]=$A6)*M_BOM[RM_Qty_Per_Batch]*IFERROR(INDEX(PP_Grid[#Data],M_BOM[PPGridRow],17),0))</f>
        <v/>
      </c>
      <c r="R6">
        <f>SUMPRODUCT((M_BOM[RM_Code]=$A6)*M_BOM[RM_Qty_Per_Batch]*IFERROR(INDEX(PP_Grid[#Data],M_BOM[PPGridRow],18),0))</f>
        <v/>
      </c>
      <c r="S6">
        <f>SUMPRODUCT((M_BOM[RM_Code]=$A6)*M_BOM[RM_Qty_Per_Batch]*IFERROR(INDEX(PP_Grid[#Data],M_BOM[PPGridRow],19),0))</f>
        <v/>
      </c>
      <c r="T6">
        <f>SUMPRODUCT((M_BOM[RM_Code]=$A6)*M_BOM[RM_Qty_Per_Batch]*IFERROR(INDEX(PP_Grid[#Data],M_BOM[PPGridRow],20),0))</f>
        <v/>
      </c>
      <c r="U6">
        <f>SUMPRODUCT((M_BOM[RM_Code]=$A6)*M_BOM[RM_Qty_Per_Batch]*IFERROR(INDEX(PP_Grid[#Data],M_BOM[PPGridRow],21),0))</f>
        <v/>
      </c>
      <c r="V6">
        <f>SUMPRODUCT((M_BOM[RM_Code]=$A6)*M_BOM[RM_Qty_Per_Batch]*IFERROR(INDEX(PP_Grid[#Data],M_BOM[PPGridRow],22),0))</f>
        <v/>
      </c>
      <c r="W6">
        <f>SUMPRODUCT((M_BOM[RM_Code]=$A6)*M_BOM[RM_Qty_Per_Batch]*IFERROR(INDEX(PP_Grid[#Data],M_BOM[PPGridRow],23),0))</f>
        <v/>
      </c>
      <c r="X6">
        <f>SUMPRODUCT((M_BOM[RM_Code]=$A6)*M_BOM[RM_Qty_Per_Batch]*IFERROR(INDEX(PP_Grid[#Data],M_BOM[PPGridRow],24),0))</f>
        <v/>
      </c>
      <c r="Y6">
        <f>SUMPRODUCT((M_BOM[RM_Code]=$A6)*M_BOM[RM_Qty_Per_Batch]*IFERROR(INDEX(PP_Grid[#Data],M_BOM[PPGridRow],25),0))</f>
        <v/>
      </c>
      <c r="Z6">
        <f>SUMPRODUCT((M_BOM[RM_Code]=$A6)*M_BOM[RM_Qty_Per_Batch]*IFERROR(INDEX(PP_Grid[#Data],M_BOM[PPGridRow],26),0))</f>
        <v/>
      </c>
      <c r="AA6">
        <f>SUMPRODUCT((M_BOM[RM_Code]=$A6)*M_BOM[RM_Qty_Per_Batch]*IFERROR(INDEX(PP_Grid[#Data],M_BOM[PPGridRow],27),0))</f>
        <v/>
      </c>
      <c r="AB6">
        <f>SUMPRODUCT((M_BOM[RM_Code]=$A6)*M_BOM[RM_Qty_Per_Batch]*IFERROR(INDEX(PP_Grid[#Data],M_BOM[PPGridRow],28),0))</f>
        <v/>
      </c>
      <c r="AC6">
        <f>SUMPRODUCT((M_BOM[RM_Code]=$A6)*M_BOM[RM_Qty_Per_Batch]*IFERROR(INDEX(PP_Grid[#Data],M_BOM[PPGridRow],29),0))</f>
        <v/>
      </c>
      <c r="AD6">
        <f>SUMPRODUCT((M_BOM[RM_Code]=$A6)*M_BOM[RM_Qty_Per_Batch]*IFERROR(INDEX(PP_Grid[#Data],M_BOM[PPGridRow],30),0))</f>
        <v/>
      </c>
      <c r="AE6">
        <f>SUMPRODUCT((M_BOM[RM_Code]=$A6)*M_BOM[RM_Qty_Per_Batch]*IFERROR(INDEX(PP_Grid[#Data],M_BOM[PPGridRow],31),0))</f>
        <v/>
      </c>
      <c r="AF6">
        <f>SUMPRODUCT((M_BOM[RM_Code]=$A6)*M_BOM[RM_Qty_Per_Batch]*IFERROR(INDEX(PP_Grid[#Data],M_BOM[PPGridRow],32),0))</f>
        <v/>
      </c>
      <c r="AG6">
        <f>SUMPRODUCT((M_BOM[RM_Code]=$A6)*M_BOM[RM_Qty_Per_Batch]*IFERROR(INDEX(PP_Grid[#Data],M_BOM[PPGridRow],33),0))</f>
        <v/>
      </c>
      <c r="AH6">
        <f>SUMPRODUCT((M_BOM[RM_Code]=$A6)*M_BOM[RM_Qty_Per_Batch]*IFERROR(INDEX(PP_Grid[#Data],M_BOM[PPGridRow],34),0))</f>
        <v/>
      </c>
      <c r="AI6">
        <f>SUMPRODUCT((M_BOM[RM_Code]=$A6)*M_BOM[RM_Qty_Per_Batch]*IFERROR(INDEX(PP_Grid[#Data],M_BOM[PPGridRow],35),0))</f>
        <v/>
      </c>
      <c r="AJ6">
        <f>SUMPRODUCT((M_BOM[RM_Code]=$A6)*M_BOM[RM_Qty_Per_Batch]*IFERROR(INDEX(PP_Grid[#Data],M_BOM[PPGridRow],36),0))</f>
        <v/>
      </c>
      <c r="AK6">
        <f>SUMPRODUCT((M_BOM[RM_Code]=$A6)*M_BOM[RM_Qty_Per_Batch]*IFERROR(INDEX(PP_Grid[#Data],M_BOM[PPGridRow],37),0))</f>
        <v/>
      </c>
      <c r="AL6">
        <f>SUMPRODUCT((M_BOM[RM_Code]=$A6)*M_BOM[RM_Qty_Per_Batch]*IFERROR(INDEX(PP_Grid[#Data],M_BOM[PPGridRow],38),0))</f>
        <v/>
      </c>
      <c r="AM6">
        <f>SUMPRODUCT((M_BOM[RM_Code]=$A6)*M_BOM[RM_Qty_Per_Batch]*IFERROR(INDEX(PP_Grid[#Data],M_BOM[PPGridRow],39),0))</f>
        <v/>
      </c>
      <c r="AN6">
        <f>SUMPRODUCT((M_BOM[RM_Code]=$A6)*M_BOM[RM_Qty_Per_Batch]*IFERROR(INDEX(PP_Grid[#Data],M_BOM[PPGridRow],40),0))</f>
        <v/>
      </c>
      <c r="AO6">
        <f>SUMPRODUCT((M_BOM[RM_Code]=$A6)*M_BOM[RM_Qty_Per_Batch]*IFERROR(INDEX(PP_Grid[#Data],M_BOM[PPGridRow],41),0))</f>
        <v/>
      </c>
      <c r="AP6">
        <f>SUMPRODUCT((M_BOM[RM_Code]=$A6)*M_BOM[RM_Qty_Per_Batch]*IFERROR(INDEX(PP_Grid[#Data],M_BOM[PPGridRow],42),0))</f>
        <v/>
      </c>
      <c r="AQ6">
        <f>SUMPRODUCT((M_BOM[RM_Code]=$A6)*M_BOM[RM_Qty_Per_Batch]*IFERROR(INDEX(PP_Grid[#Data],M_BOM[PPGridRow],43),0))</f>
        <v/>
      </c>
      <c r="AR6">
        <f>SUMPRODUCT((M_BOM[RM_Code]=$A6)*M_BOM[RM_Qty_Per_Batch]*IFERROR(INDEX(PP_Grid[#Data],M_BOM[PPGridRow],44),0))</f>
        <v/>
      </c>
      <c r="AS6">
        <f>SUMPRODUCT((M_BOM[RM_Code]=$A6)*M_BOM[RM_Qty_Per_Batch]*IFERROR(INDEX(PP_Grid[#Data],M_BOM[PPGridRow],45),0))</f>
        <v/>
      </c>
      <c r="AT6">
        <f>SUMPRODUCT((M_BOM[RM_Code]=$A6)*M_BOM[RM_Qty_Per_Batch]*IFERROR(INDEX(PP_Grid[#Data],M_BOM[PPGridRow],46),0))</f>
        <v/>
      </c>
      <c r="AU6">
        <f>SUMPRODUCT((M_BOM[RM_Code]=$A6)*M_BOM[RM_Qty_Per_Batch]*IFERROR(INDEX(PP_Grid[#Data],M_BOM[PPGridRow],47),0))</f>
        <v/>
      </c>
      <c r="AV6">
        <f>SUMPRODUCT((M_BOM[RM_Code]=$A6)*M_BOM[RM_Qty_Per_Batch]*IFERROR(INDEX(PP_Grid[#Data],M_BOM[PPGridRow],48),0))</f>
        <v/>
      </c>
      <c r="AW6">
        <f>SUMPRODUCT((M_BOM[RM_Code]=$A6)*M_BOM[RM_Qty_Per_Batch]*IFERROR(INDEX(PP_Grid[#Data],M_BOM[PPGridRow],49),0))</f>
        <v/>
      </c>
      <c r="AX6">
        <f>SUMPRODUCT((M_BOM[RM_Code]=$A6)*M_BOM[RM_Qty_Per_Batch]*IFERROR(INDEX(PP_Grid[#Data],M_BOM[PPGridRow],50),0))</f>
        <v/>
      </c>
      <c r="AY6">
        <f>SUMPRODUCT((M_BOM[RM_Code]=$A6)*M_BOM[RM_Qty_Per_Batch]*IFERROR(INDEX(PP_Grid[#Data],M_BOM[PPGridRow],51),0))</f>
        <v/>
      </c>
      <c r="AZ6">
        <f>SUMPRODUCT((M_BOM[RM_Code]=$A6)*M_BOM[RM_Qty_Per_Batch]*IFERROR(INDEX(PP_Grid[#Data],M_BOM[PPGridRow],52),0))</f>
        <v/>
      </c>
      <c r="BA6">
        <f>SUMPRODUCT((M_BOM[RM_Code]=$A6)*M_BOM[RM_Qty_Per_Batch]*IFERROR(INDEX(PP_Grid[#Data],M_BOM[PPGridRow],53),0))</f>
        <v/>
      </c>
      <c r="BB6">
        <f>SUMPRODUCT((M_BOM[RM_Code]=$A6)*M_BOM[RM_Qty_Per_Batch]*IFERROR(INDEX(PP_Grid[#Data],M_BOM[PPGridRow],54),0))</f>
        <v/>
      </c>
      <c r="BC6">
        <f>SUMPRODUCT((M_BOM[RM_Code]=$A6)*M_BOM[RM_Qty_Per_Batch]*IFERROR(INDEX(PP_Grid[#Data],M_BOM[PPGridRow],55),0))</f>
        <v/>
      </c>
      <c r="BD6">
        <f>SUMPRODUCT((M_BOM[RM_Code]=$A6)*M_BOM[RM_Qty_Per_Batch]*IFERROR(INDEX(PP_Grid[#Data],M_BOM[PPGridRow],56),0))</f>
        <v/>
      </c>
      <c r="BE6">
        <f>SUMPRODUCT((M_BOM[RM_Code]=$A6)*M_BOM[RM_Qty_Per_Batch]*IFERROR(INDEX(PP_Grid[#Data],M_BOM[PPGridRow],57),0))</f>
        <v/>
      </c>
      <c r="BF6">
        <f>SUMPRODUCT((M_BOM[RM_Code]=$A6)*M_BOM[RM_Qty_Per_Batch]*IFERROR(INDEX(PP_Grid[#Data],M_BOM[PPGridRow],58),0))</f>
        <v/>
      </c>
      <c r="BG6">
        <f>SUMPRODUCT((M_BOM[RM_Code]=$A6)*M_BOM[RM_Qty_Per_Batch]*IFERROR(INDEX(PP_Grid[#Data],M_BOM[PPGridRow],59),0))</f>
        <v/>
      </c>
      <c r="BH6">
        <f>SUMPRODUCT((M_BOM[RM_Code]=$A6)*M_BOM[RM_Qty_Per_Batch]*IFERROR(INDEX(PP_Grid[#Data],M_BOM[PPGridRow],60),0))</f>
        <v/>
      </c>
      <c r="BI6">
        <f>SUMPRODUCT((M_BOM[RM_Code]=$A6)*M_BOM[RM_Qty_Per_Batch]*IFERROR(INDEX(PP_Grid[#Data],M_BOM[PPGridRow],61),0))</f>
        <v/>
      </c>
      <c r="BJ6">
        <f>SUMPRODUCT((M_BOM[RM_Code]=$A6)*M_BOM[RM_Qty_Per_Batch]*IFERROR(INDEX(PP_Grid[#Data],M_BOM[PPGridRow],62),0))</f>
        <v/>
      </c>
      <c r="BK6">
        <f>SUMPRODUCT((M_BOM[RM_Code]=$A6)*M_BOM[RM_Qty_Per_Batch]*IFERROR(INDEX(PP_Grid[#Data],M_BOM[PPGridRow],63),0))</f>
        <v/>
      </c>
      <c r="BL6">
        <f>SUMPRODUCT((M_BOM[RM_Code]=$A6)*M_BOM[RM_Qty_Per_Batch]*IFERROR(INDEX(PP_Grid[#Data],M_BOM[PPGridRow],64),0))</f>
        <v/>
      </c>
      <c r="BM6">
        <f>SUMPRODUCT((M_BOM[RM_Code]=$A6)*M_BOM[RM_Qty_Per_Batch]*IFERROR(INDEX(PP_Grid[#Data],M_BOM[PPGridRow],65),0))</f>
        <v/>
      </c>
      <c r="BN6">
        <f>SUMPRODUCT((M_BOM[RM_Code]=$A6)*M_BOM[RM_Qty_Per_Batch]*IFERROR(INDEX(PP_Grid[#Data],M_BOM[PPGridRow],66),0))</f>
        <v/>
      </c>
      <c r="BO6">
        <f>SUMPRODUCT((M_BOM[RM_Code]=$A6)*M_BOM[RM_Qty_Per_Batch]*IFERROR(INDEX(PP_Grid[#Data],M_BOM[PPGridRow],67),0))</f>
        <v/>
      </c>
      <c r="BP6">
        <f>SUMPRODUCT((M_BOM[RM_Code]=$A6)*M_BOM[RM_Qty_Per_Batch]*IFERROR(INDEX(PP_Grid[#Data],M_BOM[PPGridRow],68),0))</f>
        <v/>
      </c>
      <c r="BQ6">
        <f>SUMPRODUCT((M_BOM[RM_Code]=$A6)*M_BOM[RM_Qty_Per_Batch]*IFERROR(INDEX(PP_Grid[#Data],M_BOM[PPGridRow],69),0))</f>
        <v/>
      </c>
      <c r="BR6">
        <f>SUMPRODUCT((M_BOM[RM_Code]=$A6)*M_BOM[RM_Qty_Per_Batch]*IFERROR(INDEX(PP_Grid[#Data],M_BOM[PPGridRow],70),0))</f>
        <v/>
      </c>
      <c r="BS6">
        <f>SUMPRODUCT((M_BOM[RM_Code]=$A6)*M_BOM[RM_Qty_Per_Batch]*IFERROR(INDEX(PP_Grid[#Data],M_BOM[PPGridRow],71),0))</f>
        <v/>
      </c>
      <c r="BT6">
        <f>SUMPRODUCT((M_BOM[RM_Code]=$A6)*M_BOM[RM_Qty_Per_Batch]*IFERROR(INDEX(PP_Grid[#Data],M_BOM[PPGridRow],72),0))</f>
        <v/>
      </c>
      <c r="BU6">
        <f>SUMPRODUCT((M_BOM[RM_Code]=$A6)*M_BOM[RM_Qty_Per_Batch]*IFERROR(INDEX(PP_Grid[#Data],M_BOM[PPGridRow],73),0))</f>
        <v/>
      </c>
      <c r="BV6">
        <f>SUMPRODUCT((M_BOM[RM_Code]=$A6)*M_BOM[RM_Qty_Per_Batch]*IFERROR(INDEX(PP_Grid[#Data],M_BOM[PPGridRow],74),0))</f>
        <v/>
      </c>
      <c r="BW6">
        <f>SUMPRODUCT((M_BOM[RM_Code]=$A6)*M_BOM[RM_Qty_Per_Batch]*IFERROR(INDEX(PP_Grid[#Data],M_BOM[PPGridRow],75),0))</f>
        <v/>
      </c>
      <c r="BX6">
        <f>SUMPRODUCT((M_BOM[RM_Code]=$A6)*M_BOM[RM_Qty_Per_Batch]*IFERROR(INDEX(PP_Grid[#Data],M_BOM[PPGridRow],76),0))</f>
        <v/>
      </c>
      <c r="BY6">
        <f>SUMPRODUCT((M_BOM[RM_Code]=$A6)*M_BOM[RM_Qty_Per_Batch]*IFERROR(INDEX(PP_Grid[#Data],M_BOM[PPGridRow],77),0))</f>
        <v/>
      </c>
      <c r="BZ6">
        <f>SUMPRODUCT((M_BOM[RM_Code]=$A6)*M_BOM[RM_Qty_Per_Batch]*IFERROR(INDEX(PP_Grid[#Data],M_BOM[PPGridRow],78),0))</f>
        <v/>
      </c>
      <c r="CA6">
        <f>SUMPRODUCT((M_BOM[RM_Code]=$A6)*M_BOM[RM_Qty_Per_Batch]*IFERROR(INDEX(PP_Grid[#Data],M_BOM[PPGridRow],79),0))</f>
        <v/>
      </c>
      <c r="CB6">
        <f>SUMPRODUCT((M_BOM[RM_Code]=$A6)*M_BOM[RM_Qty_Per_Batch]*IFERROR(INDEX(PP_Grid[#Data],M_BOM[PPGridRow],80),0))</f>
        <v/>
      </c>
      <c r="CC6">
        <f>SUMPRODUCT((M_BOM[RM_Code]=$A6)*M_BOM[RM_Qty_Per_Batch]*IFERROR(INDEX(PP_Grid[#Data],M_BOM[PPGridRow],81),0))</f>
        <v/>
      </c>
      <c r="CD6">
        <f>SUMPRODUCT((M_BOM[RM_Code]=$A6)*M_BOM[RM_Qty_Per_Batch]*IFERROR(INDEX(PP_Grid[#Data],M_BOM[PPGridRow],82),0))</f>
        <v/>
      </c>
      <c r="CE6">
        <f>SUMPRODUCT((M_BOM[RM_Code]=$A6)*M_BOM[RM_Qty_Per_Batch]*IFERROR(INDEX(PP_Grid[#Data],M_BOM[PPGridRow],83),0))</f>
        <v/>
      </c>
      <c r="CF6">
        <f>SUMPRODUCT((M_BOM[RM_Code]=$A6)*M_BOM[RM_Qty_Per_Batch]*IFERROR(INDEX(PP_Grid[#Data],M_BOM[PPGridRow],84),0))</f>
        <v/>
      </c>
      <c r="CG6">
        <f>SUMPRODUCT((M_BOM[RM_Code]=$A6)*M_BOM[RM_Qty_Per_Batch]*IFERROR(INDEX(PP_Grid[#Data],M_BOM[PPGridRow],85),0))</f>
        <v/>
      </c>
      <c r="CH6">
        <f>SUMPRODUCT((M_BOM[RM_Code]=$A6)*M_BOM[RM_Qty_Per_Batch]*IFERROR(INDEX(PP_Grid[#Data],M_BOM[PPGridRow],86),0))</f>
        <v/>
      </c>
      <c r="CI6">
        <f>SUMPRODUCT((M_BOM[RM_Code]=$A6)*M_BOM[RM_Qty_Per_Batch]*IFERROR(INDEX(PP_Grid[#Data],M_BOM[PPGridRow],87),0))</f>
        <v/>
      </c>
      <c r="CJ6">
        <f>SUMPRODUCT((M_BOM[RM_Code]=$A6)*M_BOM[RM_Qty_Per_Batch]*IFERROR(INDEX(PP_Grid[#Data],M_BOM[PPGridRow],88),0))</f>
        <v/>
      </c>
      <c r="CK6">
        <f>SUMPRODUCT((M_BOM[RM_Code]=$A6)*M_BOM[RM_Qty_Per_Batch]*IFERROR(INDEX(PP_Grid[#Data],M_BOM[PPGridRow],89),0))</f>
        <v/>
      </c>
      <c r="CL6">
        <f>SUMPRODUCT((M_BOM[RM_Code]=$A6)*M_BOM[RM_Qty_Per_Batch]*IFERROR(INDEX(PP_Grid[#Data],M_BOM[PPGridRow],90),0))</f>
        <v/>
      </c>
      <c r="CM6">
        <f>SUMPRODUCT((M_BOM[RM_Code]=$A6)*M_BOM[RM_Qty_Per_Batch]*IFERROR(INDEX(PP_Grid[#Data],M_BOM[PPGridRow],91),0))</f>
        <v/>
      </c>
      <c r="CN6">
        <f>SUMPRODUCT((M_BOM[RM_Code]=$A6)*M_BOM[RM_Qty_Per_Batch]*IFERROR(INDEX(PP_Grid[#Data],M_BOM[PPGridRow],92),0))</f>
        <v/>
      </c>
      <c r="CO6">
        <f>SUMPRODUCT((M_BOM[RM_Code]=$A6)*M_BOM[RM_Qty_Per_Batch]*IFERROR(INDEX(PP_Grid[#Data],M_BOM[PPGridRow],93),0))</f>
        <v/>
      </c>
      <c r="CP6">
        <f>SUMPRODUCT((M_BOM[RM_Code]=$A6)*M_BOM[RM_Qty_Per_Batch]*IFERROR(INDEX(PP_Grid[#Data],M_BOM[PPGridRow],94),0))</f>
        <v/>
      </c>
      <c r="CQ6">
        <f>SUMPRODUCT((M_BOM[RM_Code]=$A6)*M_BOM[RM_Qty_Per_Batch]*IFERROR(INDEX(PP_Grid[#Data],M_BOM[PPGridRow],95),0))</f>
        <v/>
      </c>
      <c r="CR6">
        <f>SUMPRODUCT((M_BOM[RM_Code]=$A6)*M_BOM[RM_Qty_Per_Batch]*IFERROR(INDEX(PP_Grid[#Data],M_BOM[PPGridRow],96),0))</f>
        <v/>
      </c>
      <c r="CS6">
        <f>SUMPRODUCT((M_BOM[RM_Code]=$A6)*M_BOM[RM_Qty_Per_Batch]*IFERROR(INDEX(PP_Grid[#Data],M_BOM[PPGridRow],97),0))</f>
        <v/>
      </c>
      <c r="CT6">
        <f>SUMPRODUCT((M_BOM[RM_Code]=$A6)*M_BOM[RM_Qty_Per_Batch]*IFERROR(INDEX(PP_Grid[#Data],M_BOM[PPGridRow],98),0))</f>
        <v/>
      </c>
      <c r="CU6">
        <f>SUMPRODUCT((M_BOM[RM_Code]=$A6)*M_BOM[RM_Qty_Per_Batch]*IFERROR(INDEX(PP_Grid[#Data],M_BOM[PPGridRow],99),0))</f>
        <v/>
      </c>
      <c r="CV6">
        <f>SUMPRODUCT((M_BOM[RM_Code]=$A6)*M_BOM[RM_Qty_Per_Batch]*IFERROR(INDEX(PP_Grid[#Data],M_BOM[PPGridRow],100),0))</f>
        <v/>
      </c>
      <c r="CW6">
        <f>SUMPRODUCT((M_BOM[RM_Code]=$A6)*M_BOM[RM_Qty_Per_Batch]*IFERROR(INDEX(PP_Grid[#Data],M_BOM[PPGridRow],101),0))</f>
        <v/>
      </c>
      <c r="CX6">
        <f>SUMPRODUCT((M_BOM[RM_Code]=$A6)*M_BOM[RM_Qty_Per_Batch]*IFERROR(INDEX(PP_Grid[#Data],M_BOM[PPGridRow],102),0))</f>
        <v/>
      </c>
      <c r="CY6">
        <f>SUMPRODUCT((M_BOM[RM_Code]=$A6)*M_BOM[RM_Qty_Per_Batch]*IFERROR(INDEX(PP_Grid[#Data],M_BOM[PPGridRow],103),0))</f>
        <v/>
      </c>
      <c r="CZ6">
        <f>SUMPRODUCT((M_BOM[RM_Code]=$A6)*M_BOM[RM_Qty_Per_Batch]*IFERROR(INDEX(PP_Grid[#Data],M_BOM[PPGridRow],104),0))</f>
        <v/>
      </c>
      <c r="DA6">
        <f>SUMPRODUCT((M_BOM[RM_Code]=$A6)*M_BOM[RM_Qty_Per_Batch]*IFERROR(INDEX(PP_Grid[#Data],M_BOM[PPGridRow],105),0))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SUMPRODUCT((M_BOM[RM_Code]=$A7)*M_BOM[RM_Qty_Per_Batch]*IFERROR(INDEX(PP_Grid[#Data],M_BOM[PPGridRow],2),0))</f>
        <v/>
      </c>
      <c r="C7">
        <f>SUMPRODUCT((M_BOM[RM_Code]=$A7)*M_BOM[RM_Qty_Per_Batch]*IFERROR(INDEX(PP_Grid[#Data],M_BOM[PPGridRow],3),0))</f>
        <v/>
      </c>
      <c r="D7">
        <f>SUMPRODUCT((M_BOM[RM_Code]=$A7)*M_BOM[RM_Qty_Per_Batch]*IFERROR(INDEX(PP_Grid[#Data],M_BOM[PPGridRow],4),0))</f>
        <v/>
      </c>
      <c r="E7">
        <f>SUMPRODUCT((M_BOM[RM_Code]=$A7)*M_BOM[RM_Qty_Per_Batch]*IFERROR(INDEX(PP_Grid[#Data],M_BOM[PPGridRow],5),0))</f>
        <v/>
      </c>
      <c r="F7">
        <f>SUMPRODUCT((M_BOM[RM_Code]=$A7)*M_BOM[RM_Qty_Per_Batch]*IFERROR(INDEX(PP_Grid[#Data],M_BOM[PPGridRow],6),0))</f>
        <v/>
      </c>
      <c r="G7">
        <f>SUMPRODUCT((M_BOM[RM_Code]=$A7)*M_BOM[RM_Qty_Per_Batch]*IFERROR(INDEX(PP_Grid[#Data],M_BOM[PPGridRow],7),0))</f>
        <v/>
      </c>
      <c r="H7">
        <f>SUMPRODUCT((M_BOM[RM_Code]=$A7)*M_BOM[RM_Qty_Per_Batch]*IFERROR(INDEX(PP_Grid[#Data],M_BOM[PPGridRow],8),0))</f>
        <v/>
      </c>
      <c r="I7">
        <f>SUMPRODUCT((M_BOM[RM_Code]=$A7)*M_BOM[RM_Qty_Per_Batch]*IFERROR(INDEX(PP_Grid[#Data],M_BOM[PPGridRow],9),0))</f>
        <v/>
      </c>
      <c r="J7">
        <f>SUMPRODUCT((M_BOM[RM_Code]=$A7)*M_BOM[RM_Qty_Per_Batch]*IFERROR(INDEX(PP_Grid[#Data],M_BOM[PPGridRow],10),0))</f>
        <v/>
      </c>
      <c r="K7">
        <f>SUMPRODUCT((M_BOM[RM_Code]=$A7)*M_BOM[RM_Qty_Per_Batch]*IFERROR(INDEX(PP_Grid[#Data],M_BOM[PPGridRow],11),0))</f>
        <v/>
      </c>
      <c r="L7">
        <f>SUMPRODUCT((M_BOM[RM_Code]=$A7)*M_BOM[RM_Qty_Per_Batch]*IFERROR(INDEX(PP_Grid[#Data],M_BOM[PPGridRow],12),0))</f>
        <v/>
      </c>
      <c r="M7">
        <f>SUMPRODUCT((M_BOM[RM_Code]=$A7)*M_BOM[RM_Qty_Per_Batch]*IFERROR(INDEX(PP_Grid[#Data],M_BOM[PPGridRow],13),0))</f>
        <v/>
      </c>
      <c r="N7">
        <f>SUMPRODUCT((M_BOM[RM_Code]=$A7)*M_BOM[RM_Qty_Per_Batch]*IFERROR(INDEX(PP_Grid[#Data],M_BOM[PPGridRow],14),0))</f>
        <v/>
      </c>
      <c r="O7">
        <f>SUMPRODUCT((M_BOM[RM_Code]=$A7)*M_BOM[RM_Qty_Per_Batch]*IFERROR(INDEX(PP_Grid[#Data],M_BOM[PPGridRow],15),0))</f>
        <v/>
      </c>
      <c r="P7">
        <f>SUMPRODUCT((M_BOM[RM_Code]=$A7)*M_BOM[RM_Qty_Per_Batch]*IFERROR(INDEX(PP_Grid[#Data],M_BOM[PPGridRow],16),0))</f>
        <v/>
      </c>
      <c r="Q7">
        <f>SUMPRODUCT((M_BOM[RM_Code]=$A7)*M_BOM[RM_Qty_Per_Batch]*IFERROR(INDEX(PP_Grid[#Data],M_BOM[PPGridRow],17),0))</f>
        <v/>
      </c>
      <c r="R7">
        <f>SUMPRODUCT((M_BOM[RM_Code]=$A7)*M_BOM[RM_Qty_Per_Batch]*IFERROR(INDEX(PP_Grid[#Data],M_BOM[PPGridRow],18),0))</f>
        <v/>
      </c>
      <c r="S7">
        <f>SUMPRODUCT((M_BOM[RM_Code]=$A7)*M_BOM[RM_Qty_Per_Batch]*IFERROR(INDEX(PP_Grid[#Data],M_BOM[PPGridRow],19),0))</f>
        <v/>
      </c>
      <c r="T7">
        <f>SUMPRODUCT((M_BOM[RM_Code]=$A7)*M_BOM[RM_Qty_Per_Batch]*IFERROR(INDEX(PP_Grid[#Data],M_BOM[PPGridRow],20),0))</f>
        <v/>
      </c>
      <c r="U7">
        <f>SUMPRODUCT((M_BOM[RM_Code]=$A7)*M_BOM[RM_Qty_Per_Batch]*IFERROR(INDEX(PP_Grid[#Data],M_BOM[PPGridRow],21),0))</f>
        <v/>
      </c>
      <c r="V7">
        <f>SUMPRODUCT((M_BOM[RM_Code]=$A7)*M_BOM[RM_Qty_Per_Batch]*IFERROR(INDEX(PP_Grid[#Data],M_BOM[PPGridRow],22),0))</f>
        <v/>
      </c>
      <c r="W7">
        <f>SUMPRODUCT((M_BOM[RM_Code]=$A7)*M_BOM[RM_Qty_Per_Batch]*IFERROR(INDEX(PP_Grid[#Data],M_BOM[PPGridRow],23),0))</f>
        <v/>
      </c>
      <c r="X7">
        <f>SUMPRODUCT((M_BOM[RM_Code]=$A7)*M_BOM[RM_Qty_Per_Batch]*IFERROR(INDEX(PP_Grid[#Data],M_BOM[PPGridRow],24),0))</f>
        <v/>
      </c>
      <c r="Y7">
        <f>SUMPRODUCT((M_BOM[RM_Code]=$A7)*M_BOM[RM_Qty_Per_Batch]*IFERROR(INDEX(PP_Grid[#Data],M_BOM[PPGridRow],25),0))</f>
        <v/>
      </c>
      <c r="Z7">
        <f>SUMPRODUCT((M_BOM[RM_Code]=$A7)*M_BOM[RM_Qty_Per_Batch]*IFERROR(INDEX(PP_Grid[#Data],M_BOM[PPGridRow],26),0))</f>
        <v/>
      </c>
      <c r="AA7">
        <f>SUMPRODUCT((M_BOM[RM_Code]=$A7)*M_BOM[RM_Qty_Per_Batch]*IFERROR(INDEX(PP_Grid[#Data],M_BOM[PPGridRow],27),0))</f>
        <v/>
      </c>
      <c r="AB7">
        <f>SUMPRODUCT((M_BOM[RM_Code]=$A7)*M_BOM[RM_Qty_Per_Batch]*IFERROR(INDEX(PP_Grid[#Data],M_BOM[PPGridRow],28),0))</f>
        <v/>
      </c>
      <c r="AC7">
        <f>SUMPRODUCT((M_BOM[RM_Code]=$A7)*M_BOM[RM_Qty_Per_Batch]*IFERROR(INDEX(PP_Grid[#Data],M_BOM[PPGridRow],29),0))</f>
        <v/>
      </c>
      <c r="AD7">
        <f>SUMPRODUCT((M_BOM[RM_Code]=$A7)*M_BOM[RM_Qty_Per_Batch]*IFERROR(INDEX(PP_Grid[#Data],M_BOM[PPGridRow],30),0))</f>
        <v/>
      </c>
      <c r="AE7">
        <f>SUMPRODUCT((M_BOM[RM_Code]=$A7)*M_BOM[RM_Qty_Per_Batch]*IFERROR(INDEX(PP_Grid[#Data],M_BOM[PPGridRow],31),0))</f>
        <v/>
      </c>
      <c r="AF7">
        <f>SUMPRODUCT((M_BOM[RM_Code]=$A7)*M_BOM[RM_Qty_Per_Batch]*IFERROR(INDEX(PP_Grid[#Data],M_BOM[PPGridRow],32),0))</f>
        <v/>
      </c>
      <c r="AG7">
        <f>SUMPRODUCT((M_BOM[RM_Code]=$A7)*M_BOM[RM_Qty_Per_Batch]*IFERROR(INDEX(PP_Grid[#Data],M_BOM[PPGridRow],33),0))</f>
        <v/>
      </c>
      <c r="AH7">
        <f>SUMPRODUCT((M_BOM[RM_Code]=$A7)*M_BOM[RM_Qty_Per_Batch]*IFERROR(INDEX(PP_Grid[#Data],M_BOM[PPGridRow],34),0))</f>
        <v/>
      </c>
      <c r="AI7">
        <f>SUMPRODUCT((M_BOM[RM_Code]=$A7)*M_BOM[RM_Qty_Per_Batch]*IFERROR(INDEX(PP_Grid[#Data],M_BOM[PPGridRow],35),0))</f>
        <v/>
      </c>
      <c r="AJ7">
        <f>SUMPRODUCT((M_BOM[RM_Code]=$A7)*M_BOM[RM_Qty_Per_Batch]*IFERROR(INDEX(PP_Grid[#Data],M_BOM[PPGridRow],36),0))</f>
        <v/>
      </c>
      <c r="AK7">
        <f>SUMPRODUCT((M_BOM[RM_Code]=$A7)*M_BOM[RM_Qty_Per_Batch]*IFERROR(INDEX(PP_Grid[#Data],M_BOM[PPGridRow],37),0))</f>
        <v/>
      </c>
      <c r="AL7">
        <f>SUMPRODUCT((M_BOM[RM_Code]=$A7)*M_BOM[RM_Qty_Per_Batch]*IFERROR(INDEX(PP_Grid[#Data],M_BOM[PPGridRow],38),0))</f>
        <v/>
      </c>
      <c r="AM7">
        <f>SUMPRODUCT((M_BOM[RM_Code]=$A7)*M_BOM[RM_Qty_Per_Batch]*IFERROR(INDEX(PP_Grid[#Data],M_BOM[PPGridRow],39),0))</f>
        <v/>
      </c>
      <c r="AN7">
        <f>SUMPRODUCT((M_BOM[RM_Code]=$A7)*M_BOM[RM_Qty_Per_Batch]*IFERROR(INDEX(PP_Grid[#Data],M_BOM[PPGridRow],40),0))</f>
        <v/>
      </c>
      <c r="AO7">
        <f>SUMPRODUCT((M_BOM[RM_Code]=$A7)*M_BOM[RM_Qty_Per_Batch]*IFERROR(INDEX(PP_Grid[#Data],M_BOM[PPGridRow],41),0))</f>
        <v/>
      </c>
      <c r="AP7">
        <f>SUMPRODUCT((M_BOM[RM_Code]=$A7)*M_BOM[RM_Qty_Per_Batch]*IFERROR(INDEX(PP_Grid[#Data],M_BOM[PPGridRow],42),0))</f>
        <v/>
      </c>
      <c r="AQ7">
        <f>SUMPRODUCT((M_BOM[RM_Code]=$A7)*M_BOM[RM_Qty_Per_Batch]*IFERROR(INDEX(PP_Grid[#Data],M_BOM[PPGridRow],43),0))</f>
        <v/>
      </c>
      <c r="AR7">
        <f>SUMPRODUCT((M_BOM[RM_Code]=$A7)*M_BOM[RM_Qty_Per_Batch]*IFERROR(INDEX(PP_Grid[#Data],M_BOM[PPGridRow],44),0))</f>
        <v/>
      </c>
      <c r="AS7">
        <f>SUMPRODUCT((M_BOM[RM_Code]=$A7)*M_BOM[RM_Qty_Per_Batch]*IFERROR(INDEX(PP_Grid[#Data],M_BOM[PPGridRow],45),0))</f>
        <v/>
      </c>
      <c r="AT7">
        <f>SUMPRODUCT((M_BOM[RM_Code]=$A7)*M_BOM[RM_Qty_Per_Batch]*IFERROR(INDEX(PP_Grid[#Data],M_BOM[PPGridRow],46),0))</f>
        <v/>
      </c>
      <c r="AU7">
        <f>SUMPRODUCT((M_BOM[RM_Code]=$A7)*M_BOM[RM_Qty_Per_Batch]*IFERROR(INDEX(PP_Grid[#Data],M_BOM[PPGridRow],47),0))</f>
        <v/>
      </c>
      <c r="AV7">
        <f>SUMPRODUCT((M_BOM[RM_Code]=$A7)*M_BOM[RM_Qty_Per_Batch]*IFERROR(INDEX(PP_Grid[#Data],M_BOM[PPGridRow],48),0))</f>
        <v/>
      </c>
      <c r="AW7">
        <f>SUMPRODUCT((M_BOM[RM_Code]=$A7)*M_BOM[RM_Qty_Per_Batch]*IFERROR(INDEX(PP_Grid[#Data],M_BOM[PPGridRow],49),0))</f>
        <v/>
      </c>
      <c r="AX7">
        <f>SUMPRODUCT((M_BOM[RM_Code]=$A7)*M_BOM[RM_Qty_Per_Batch]*IFERROR(INDEX(PP_Grid[#Data],M_BOM[PPGridRow],50),0))</f>
        <v/>
      </c>
      <c r="AY7">
        <f>SUMPRODUCT((M_BOM[RM_Code]=$A7)*M_BOM[RM_Qty_Per_Batch]*IFERROR(INDEX(PP_Grid[#Data],M_BOM[PPGridRow],51),0))</f>
        <v/>
      </c>
      <c r="AZ7">
        <f>SUMPRODUCT((M_BOM[RM_Code]=$A7)*M_BOM[RM_Qty_Per_Batch]*IFERROR(INDEX(PP_Grid[#Data],M_BOM[PPGridRow],52),0))</f>
        <v/>
      </c>
      <c r="BA7">
        <f>SUMPRODUCT((M_BOM[RM_Code]=$A7)*M_BOM[RM_Qty_Per_Batch]*IFERROR(INDEX(PP_Grid[#Data],M_BOM[PPGridRow],53),0))</f>
        <v/>
      </c>
      <c r="BB7">
        <f>SUMPRODUCT((M_BOM[RM_Code]=$A7)*M_BOM[RM_Qty_Per_Batch]*IFERROR(INDEX(PP_Grid[#Data],M_BOM[PPGridRow],54),0))</f>
        <v/>
      </c>
      <c r="BC7">
        <f>SUMPRODUCT((M_BOM[RM_Code]=$A7)*M_BOM[RM_Qty_Per_Batch]*IFERROR(INDEX(PP_Grid[#Data],M_BOM[PPGridRow],55),0))</f>
        <v/>
      </c>
      <c r="BD7">
        <f>SUMPRODUCT((M_BOM[RM_Code]=$A7)*M_BOM[RM_Qty_Per_Batch]*IFERROR(INDEX(PP_Grid[#Data],M_BOM[PPGridRow],56),0))</f>
        <v/>
      </c>
      <c r="BE7">
        <f>SUMPRODUCT((M_BOM[RM_Code]=$A7)*M_BOM[RM_Qty_Per_Batch]*IFERROR(INDEX(PP_Grid[#Data],M_BOM[PPGridRow],57),0))</f>
        <v/>
      </c>
      <c r="BF7">
        <f>SUMPRODUCT((M_BOM[RM_Code]=$A7)*M_BOM[RM_Qty_Per_Batch]*IFERROR(INDEX(PP_Grid[#Data],M_BOM[PPGridRow],58),0))</f>
        <v/>
      </c>
      <c r="BG7">
        <f>SUMPRODUCT((M_BOM[RM_Code]=$A7)*M_BOM[RM_Qty_Per_Batch]*IFERROR(INDEX(PP_Grid[#Data],M_BOM[PPGridRow],59),0))</f>
        <v/>
      </c>
      <c r="BH7">
        <f>SUMPRODUCT((M_BOM[RM_Code]=$A7)*M_BOM[RM_Qty_Per_Batch]*IFERROR(INDEX(PP_Grid[#Data],M_BOM[PPGridRow],60),0))</f>
        <v/>
      </c>
      <c r="BI7">
        <f>SUMPRODUCT((M_BOM[RM_Code]=$A7)*M_BOM[RM_Qty_Per_Batch]*IFERROR(INDEX(PP_Grid[#Data],M_BOM[PPGridRow],61),0))</f>
        <v/>
      </c>
      <c r="BJ7">
        <f>SUMPRODUCT((M_BOM[RM_Code]=$A7)*M_BOM[RM_Qty_Per_Batch]*IFERROR(INDEX(PP_Grid[#Data],M_BOM[PPGridRow],62),0))</f>
        <v/>
      </c>
      <c r="BK7">
        <f>SUMPRODUCT((M_BOM[RM_Code]=$A7)*M_BOM[RM_Qty_Per_Batch]*IFERROR(INDEX(PP_Grid[#Data],M_BOM[PPGridRow],63),0))</f>
        <v/>
      </c>
      <c r="BL7">
        <f>SUMPRODUCT((M_BOM[RM_Code]=$A7)*M_BOM[RM_Qty_Per_Batch]*IFERROR(INDEX(PP_Grid[#Data],M_BOM[PPGridRow],64),0))</f>
        <v/>
      </c>
      <c r="BM7">
        <f>SUMPRODUCT((M_BOM[RM_Code]=$A7)*M_BOM[RM_Qty_Per_Batch]*IFERROR(INDEX(PP_Grid[#Data],M_BOM[PPGridRow],65),0))</f>
        <v/>
      </c>
      <c r="BN7">
        <f>SUMPRODUCT((M_BOM[RM_Code]=$A7)*M_BOM[RM_Qty_Per_Batch]*IFERROR(INDEX(PP_Grid[#Data],M_BOM[PPGridRow],66),0))</f>
        <v/>
      </c>
      <c r="BO7">
        <f>SUMPRODUCT((M_BOM[RM_Code]=$A7)*M_BOM[RM_Qty_Per_Batch]*IFERROR(INDEX(PP_Grid[#Data],M_BOM[PPGridRow],67),0))</f>
        <v/>
      </c>
      <c r="BP7">
        <f>SUMPRODUCT((M_BOM[RM_Code]=$A7)*M_BOM[RM_Qty_Per_Batch]*IFERROR(INDEX(PP_Grid[#Data],M_BOM[PPGridRow],68),0))</f>
        <v/>
      </c>
      <c r="BQ7">
        <f>SUMPRODUCT((M_BOM[RM_Code]=$A7)*M_BOM[RM_Qty_Per_Batch]*IFERROR(INDEX(PP_Grid[#Data],M_BOM[PPGridRow],69),0))</f>
        <v/>
      </c>
      <c r="BR7">
        <f>SUMPRODUCT((M_BOM[RM_Code]=$A7)*M_BOM[RM_Qty_Per_Batch]*IFERROR(INDEX(PP_Grid[#Data],M_BOM[PPGridRow],70),0))</f>
        <v/>
      </c>
      <c r="BS7">
        <f>SUMPRODUCT((M_BOM[RM_Code]=$A7)*M_BOM[RM_Qty_Per_Batch]*IFERROR(INDEX(PP_Grid[#Data],M_BOM[PPGridRow],71),0))</f>
        <v/>
      </c>
      <c r="BT7">
        <f>SUMPRODUCT((M_BOM[RM_Code]=$A7)*M_BOM[RM_Qty_Per_Batch]*IFERROR(INDEX(PP_Grid[#Data],M_BOM[PPGridRow],72),0))</f>
        <v/>
      </c>
      <c r="BU7">
        <f>SUMPRODUCT((M_BOM[RM_Code]=$A7)*M_BOM[RM_Qty_Per_Batch]*IFERROR(INDEX(PP_Grid[#Data],M_BOM[PPGridRow],73),0))</f>
        <v/>
      </c>
      <c r="BV7">
        <f>SUMPRODUCT((M_BOM[RM_Code]=$A7)*M_BOM[RM_Qty_Per_Batch]*IFERROR(INDEX(PP_Grid[#Data],M_BOM[PPGridRow],74),0))</f>
        <v/>
      </c>
      <c r="BW7">
        <f>SUMPRODUCT((M_BOM[RM_Code]=$A7)*M_BOM[RM_Qty_Per_Batch]*IFERROR(INDEX(PP_Grid[#Data],M_BOM[PPGridRow],75),0))</f>
        <v/>
      </c>
      <c r="BX7">
        <f>SUMPRODUCT((M_BOM[RM_Code]=$A7)*M_BOM[RM_Qty_Per_Batch]*IFERROR(INDEX(PP_Grid[#Data],M_BOM[PPGridRow],76),0))</f>
        <v/>
      </c>
      <c r="BY7">
        <f>SUMPRODUCT((M_BOM[RM_Code]=$A7)*M_BOM[RM_Qty_Per_Batch]*IFERROR(INDEX(PP_Grid[#Data],M_BOM[PPGridRow],77),0))</f>
        <v/>
      </c>
      <c r="BZ7">
        <f>SUMPRODUCT((M_BOM[RM_Code]=$A7)*M_BOM[RM_Qty_Per_Batch]*IFERROR(INDEX(PP_Grid[#Data],M_BOM[PPGridRow],78),0))</f>
        <v/>
      </c>
      <c r="CA7">
        <f>SUMPRODUCT((M_BOM[RM_Code]=$A7)*M_BOM[RM_Qty_Per_Batch]*IFERROR(INDEX(PP_Grid[#Data],M_BOM[PPGridRow],79),0))</f>
        <v/>
      </c>
      <c r="CB7">
        <f>SUMPRODUCT((M_BOM[RM_Code]=$A7)*M_BOM[RM_Qty_Per_Batch]*IFERROR(INDEX(PP_Grid[#Data],M_BOM[PPGridRow],80),0))</f>
        <v/>
      </c>
      <c r="CC7">
        <f>SUMPRODUCT((M_BOM[RM_Code]=$A7)*M_BOM[RM_Qty_Per_Batch]*IFERROR(INDEX(PP_Grid[#Data],M_BOM[PPGridRow],81),0))</f>
        <v/>
      </c>
      <c r="CD7">
        <f>SUMPRODUCT((M_BOM[RM_Code]=$A7)*M_BOM[RM_Qty_Per_Batch]*IFERROR(INDEX(PP_Grid[#Data],M_BOM[PPGridRow],82),0))</f>
        <v/>
      </c>
      <c r="CE7">
        <f>SUMPRODUCT((M_BOM[RM_Code]=$A7)*M_BOM[RM_Qty_Per_Batch]*IFERROR(INDEX(PP_Grid[#Data],M_BOM[PPGridRow],83),0))</f>
        <v/>
      </c>
      <c r="CF7">
        <f>SUMPRODUCT((M_BOM[RM_Code]=$A7)*M_BOM[RM_Qty_Per_Batch]*IFERROR(INDEX(PP_Grid[#Data],M_BOM[PPGridRow],84),0))</f>
        <v/>
      </c>
      <c r="CG7">
        <f>SUMPRODUCT((M_BOM[RM_Code]=$A7)*M_BOM[RM_Qty_Per_Batch]*IFERROR(INDEX(PP_Grid[#Data],M_BOM[PPGridRow],85),0))</f>
        <v/>
      </c>
      <c r="CH7">
        <f>SUMPRODUCT((M_BOM[RM_Code]=$A7)*M_BOM[RM_Qty_Per_Batch]*IFERROR(INDEX(PP_Grid[#Data],M_BOM[PPGridRow],86),0))</f>
        <v/>
      </c>
      <c r="CI7">
        <f>SUMPRODUCT((M_BOM[RM_Code]=$A7)*M_BOM[RM_Qty_Per_Batch]*IFERROR(INDEX(PP_Grid[#Data],M_BOM[PPGridRow],87),0))</f>
        <v/>
      </c>
      <c r="CJ7">
        <f>SUMPRODUCT((M_BOM[RM_Code]=$A7)*M_BOM[RM_Qty_Per_Batch]*IFERROR(INDEX(PP_Grid[#Data],M_BOM[PPGridRow],88),0))</f>
        <v/>
      </c>
      <c r="CK7">
        <f>SUMPRODUCT((M_BOM[RM_Code]=$A7)*M_BOM[RM_Qty_Per_Batch]*IFERROR(INDEX(PP_Grid[#Data],M_BOM[PPGridRow],89),0))</f>
        <v/>
      </c>
      <c r="CL7">
        <f>SUMPRODUCT((M_BOM[RM_Code]=$A7)*M_BOM[RM_Qty_Per_Batch]*IFERROR(INDEX(PP_Grid[#Data],M_BOM[PPGridRow],90),0))</f>
        <v/>
      </c>
      <c r="CM7">
        <f>SUMPRODUCT((M_BOM[RM_Code]=$A7)*M_BOM[RM_Qty_Per_Batch]*IFERROR(INDEX(PP_Grid[#Data],M_BOM[PPGridRow],91),0))</f>
        <v/>
      </c>
      <c r="CN7">
        <f>SUMPRODUCT((M_BOM[RM_Code]=$A7)*M_BOM[RM_Qty_Per_Batch]*IFERROR(INDEX(PP_Grid[#Data],M_BOM[PPGridRow],92),0))</f>
        <v/>
      </c>
      <c r="CO7">
        <f>SUMPRODUCT((M_BOM[RM_Code]=$A7)*M_BOM[RM_Qty_Per_Batch]*IFERROR(INDEX(PP_Grid[#Data],M_BOM[PPGridRow],93),0))</f>
        <v/>
      </c>
      <c r="CP7">
        <f>SUMPRODUCT((M_BOM[RM_Code]=$A7)*M_BOM[RM_Qty_Per_Batch]*IFERROR(INDEX(PP_Grid[#Data],M_BOM[PPGridRow],94),0))</f>
        <v/>
      </c>
      <c r="CQ7">
        <f>SUMPRODUCT((M_BOM[RM_Code]=$A7)*M_BOM[RM_Qty_Per_Batch]*IFERROR(INDEX(PP_Grid[#Data],M_BOM[PPGridRow],95),0))</f>
        <v/>
      </c>
      <c r="CR7">
        <f>SUMPRODUCT((M_BOM[RM_Code]=$A7)*M_BOM[RM_Qty_Per_Batch]*IFERROR(INDEX(PP_Grid[#Data],M_BOM[PPGridRow],96),0))</f>
        <v/>
      </c>
      <c r="CS7">
        <f>SUMPRODUCT((M_BOM[RM_Code]=$A7)*M_BOM[RM_Qty_Per_Batch]*IFERROR(INDEX(PP_Grid[#Data],M_BOM[PPGridRow],97),0))</f>
        <v/>
      </c>
      <c r="CT7">
        <f>SUMPRODUCT((M_BOM[RM_Code]=$A7)*M_BOM[RM_Qty_Per_Batch]*IFERROR(INDEX(PP_Grid[#Data],M_BOM[PPGridRow],98),0))</f>
        <v/>
      </c>
      <c r="CU7">
        <f>SUMPRODUCT((M_BOM[RM_Code]=$A7)*M_BOM[RM_Qty_Per_Batch]*IFERROR(INDEX(PP_Grid[#Data],M_BOM[PPGridRow],99),0))</f>
        <v/>
      </c>
      <c r="CV7">
        <f>SUMPRODUCT((M_BOM[RM_Code]=$A7)*M_BOM[RM_Qty_Per_Batch]*IFERROR(INDEX(PP_Grid[#Data],M_BOM[PPGridRow],100),0))</f>
        <v/>
      </c>
      <c r="CW7">
        <f>SUMPRODUCT((M_BOM[RM_Code]=$A7)*M_BOM[RM_Qty_Per_Batch]*IFERROR(INDEX(PP_Grid[#Data],M_BOM[PPGridRow],101),0))</f>
        <v/>
      </c>
      <c r="CX7">
        <f>SUMPRODUCT((M_BOM[RM_Code]=$A7)*M_BOM[RM_Qty_Per_Batch]*IFERROR(INDEX(PP_Grid[#Data],M_BOM[PPGridRow],102),0))</f>
        <v/>
      </c>
      <c r="CY7">
        <f>SUMPRODUCT((M_BOM[RM_Code]=$A7)*M_BOM[RM_Qty_Per_Batch]*IFERROR(INDEX(PP_Grid[#Data],M_BOM[PPGridRow],103),0))</f>
        <v/>
      </c>
      <c r="CZ7">
        <f>SUMPRODUCT((M_BOM[RM_Code]=$A7)*M_BOM[RM_Qty_Per_Batch]*IFERROR(INDEX(PP_Grid[#Data],M_BOM[PPGridRow],104),0))</f>
        <v/>
      </c>
      <c r="DA7">
        <f>SUMPRODUCT((M_BOM[RM_Code]=$A7)*M_BOM[RM_Qty_Per_Batch]*IFERROR(INDEX(PP_Grid[#Data],M_BOM[PPGridRow],105),0))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SUMPRODUCT((M_BOM[RM_Code]=$A8)*M_BOM[RM_Qty_Per_Batch]*IFERROR(INDEX(PP_Grid[#Data],M_BOM[PPGridRow],2),0))</f>
        <v/>
      </c>
      <c r="C8">
        <f>SUMPRODUCT((M_BOM[RM_Code]=$A8)*M_BOM[RM_Qty_Per_Batch]*IFERROR(INDEX(PP_Grid[#Data],M_BOM[PPGridRow],3),0))</f>
        <v/>
      </c>
      <c r="D8">
        <f>SUMPRODUCT((M_BOM[RM_Code]=$A8)*M_BOM[RM_Qty_Per_Batch]*IFERROR(INDEX(PP_Grid[#Data],M_BOM[PPGridRow],4),0))</f>
        <v/>
      </c>
      <c r="E8">
        <f>SUMPRODUCT((M_BOM[RM_Code]=$A8)*M_BOM[RM_Qty_Per_Batch]*IFERROR(INDEX(PP_Grid[#Data],M_BOM[PPGridRow],5),0))</f>
        <v/>
      </c>
      <c r="F8">
        <f>SUMPRODUCT((M_BOM[RM_Code]=$A8)*M_BOM[RM_Qty_Per_Batch]*IFERROR(INDEX(PP_Grid[#Data],M_BOM[PPGridRow],6),0))</f>
        <v/>
      </c>
      <c r="G8">
        <f>SUMPRODUCT((M_BOM[RM_Code]=$A8)*M_BOM[RM_Qty_Per_Batch]*IFERROR(INDEX(PP_Grid[#Data],M_BOM[PPGridRow],7),0))</f>
        <v/>
      </c>
      <c r="H8">
        <f>SUMPRODUCT((M_BOM[RM_Code]=$A8)*M_BOM[RM_Qty_Per_Batch]*IFERROR(INDEX(PP_Grid[#Data],M_BOM[PPGridRow],8),0))</f>
        <v/>
      </c>
      <c r="I8">
        <f>SUMPRODUCT((M_BOM[RM_Code]=$A8)*M_BOM[RM_Qty_Per_Batch]*IFERROR(INDEX(PP_Grid[#Data],M_BOM[PPGridRow],9),0))</f>
        <v/>
      </c>
      <c r="J8">
        <f>SUMPRODUCT((M_BOM[RM_Code]=$A8)*M_BOM[RM_Qty_Per_Batch]*IFERROR(INDEX(PP_Grid[#Data],M_BOM[PPGridRow],10),0))</f>
        <v/>
      </c>
      <c r="K8">
        <f>SUMPRODUCT((M_BOM[RM_Code]=$A8)*M_BOM[RM_Qty_Per_Batch]*IFERROR(INDEX(PP_Grid[#Data],M_BOM[PPGridRow],11),0))</f>
        <v/>
      </c>
      <c r="L8">
        <f>SUMPRODUCT((M_BOM[RM_Code]=$A8)*M_BOM[RM_Qty_Per_Batch]*IFERROR(INDEX(PP_Grid[#Data],M_BOM[PPGridRow],12),0))</f>
        <v/>
      </c>
      <c r="M8">
        <f>SUMPRODUCT((M_BOM[RM_Code]=$A8)*M_BOM[RM_Qty_Per_Batch]*IFERROR(INDEX(PP_Grid[#Data],M_BOM[PPGridRow],13),0))</f>
        <v/>
      </c>
      <c r="N8">
        <f>SUMPRODUCT((M_BOM[RM_Code]=$A8)*M_BOM[RM_Qty_Per_Batch]*IFERROR(INDEX(PP_Grid[#Data],M_BOM[PPGridRow],14),0))</f>
        <v/>
      </c>
      <c r="O8">
        <f>SUMPRODUCT((M_BOM[RM_Code]=$A8)*M_BOM[RM_Qty_Per_Batch]*IFERROR(INDEX(PP_Grid[#Data],M_BOM[PPGridRow],15),0))</f>
        <v/>
      </c>
      <c r="P8">
        <f>SUMPRODUCT((M_BOM[RM_Code]=$A8)*M_BOM[RM_Qty_Per_Batch]*IFERROR(INDEX(PP_Grid[#Data],M_BOM[PPGridRow],16),0))</f>
        <v/>
      </c>
      <c r="Q8">
        <f>SUMPRODUCT((M_BOM[RM_Code]=$A8)*M_BOM[RM_Qty_Per_Batch]*IFERROR(INDEX(PP_Grid[#Data],M_BOM[PPGridRow],17),0))</f>
        <v/>
      </c>
      <c r="R8">
        <f>SUMPRODUCT((M_BOM[RM_Code]=$A8)*M_BOM[RM_Qty_Per_Batch]*IFERROR(INDEX(PP_Grid[#Data],M_BOM[PPGridRow],18),0))</f>
        <v/>
      </c>
      <c r="S8">
        <f>SUMPRODUCT((M_BOM[RM_Code]=$A8)*M_BOM[RM_Qty_Per_Batch]*IFERROR(INDEX(PP_Grid[#Data],M_BOM[PPGridRow],19),0))</f>
        <v/>
      </c>
      <c r="T8">
        <f>SUMPRODUCT((M_BOM[RM_Code]=$A8)*M_BOM[RM_Qty_Per_Batch]*IFERROR(INDEX(PP_Grid[#Data],M_BOM[PPGridRow],20),0))</f>
        <v/>
      </c>
      <c r="U8">
        <f>SUMPRODUCT((M_BOM[RM_Code]=$A8)*M_BOM[RM_Qty_Per_Batch]*IFERROR(INDEX(PP_Grid[#Data],M_BOM[PPGridRow],21),0))</f>
        <v/>
      </c>
      <c r="V8">
        <f>SUMPRODUCT((M_BOM[RM_Code]=$A8)*M_BOM[RM_Qty_Per_Batch]*IFERROR(INDEX(PP_Grid[#Data],M_BOM[PPGridRow],22),0))</f>
        <v/>
      </c>
      <c r="W8">
        <f>SUMPRODUCT((M_BOM[RM_Code]=$A8)*M_BOM[RM_Qty_Per_Batch]*IFERROR(INDEX(PP_Grid[#Data],M_BOM[PPGridRow],23),0))</f>
        <v/>
      </c>
      <c r="X8">
        <f>SUMPRODUCT((M_BOM[RM_Code]=$A8)*M_BOM[RM_Qty_Per_Batch]*IFERROR(INDEX(PP_Grid[#Data],M_BOM[PPGridRow],24),0))</f>
        <v/>
      </c>
      <c r="Y8">
        <f>SUMPRODUCT((M_BOM[RM_Code]=$A8)*M_BOM[RM_Qty_Per_Batch]*IFERROR(INDEX(PP_Grid[#Data],M_BOM[PPGridRow],25),0))</f>
        <v/>
      </c>
      <c r="Z8">
        <f>SUMPRODUCT((M_BOM[RM_Code]=$A8)*M_BOM[RM_Qty_Per_Batch]*IFERROR(INDEX(PP_Grid[#Data],M_BOM[PPGridRow],26),0))</f>
        <v/>
      </c>
      <c r="AA8">
        <f>SUMPRODUCT((M_BOM[RM_Code]=$A8)*M_BOM[RM_Qty_Per_Batch]*IFERROR(INDEX(PP_Grid[#Data],M_BOM[PPGridRow],27),0))</f>
        <v/>
      </c>
      <c r="AB8">
        <f>SUMPRODUCT((M_BOM[RM_Code]=$A8)*M_BOM[RM_Qty_Per_Batch]*IFERROR(INDEX(PP_Grid[#Data],M_BOM[PPGridRow],28),0))</f>
        <v/>
      </c>
      <c r="AC8">
        <f>SUMPRODUCT((M_BOM[RM_Code]=$A8)*M_BOM[RM_Qty_Per_Batch]*IFERROR(INDEX(PP_Grid[#Data],M_BOM[PPGridRow],29),0))</f>
        <v/>
      </c>
      <c r="AD8">
        <f>SUMPRODUCT((M_BOM[RM_Code]=$A8)*M_BOM[RM_Qty_Per_Batch]*IFERROR(INDEX(PP_Grid[#Data],M_BOM[PPGridRow],30),0))</f>
        <v/>
      </c>
      <c r="AE8">
        <f>SUMPRODUCT((M_BOM[RM_Code]=$A8)*M_BOM[RM_Qty_Per_Batch]*IFERROR(INDEX(PP_Grid[#Data],M_BOM[PPGridRow],31),0))</f>
        <v/>
      </c>
      <c r="AF8">
        <f>SUMPRODUCT((M_BOM[RM_Code]=$A8)*M_BOM[RM_Qty_Per_Batch]*IFERROR(INDEX(PP_Grid[#Data],M_BOM[PPGridRow],32),0))</f>
        <v/>
      </c>
      <c r="AG8">
        <f>SUMPRODUCT((M_BOM[RM_Code]=$A8)*M_BOM[RM_Qty_Per_Batch]*IFERROR(INDEX(PP_Grid[#Data],M_BOM[PPGridRow],33),0))</f>
        <v/>
      </c>
      <c r="AH8">
        <f>SUMPRODUCT((M_BOM[RM_Code]=$A8)*M_BOM[RM_Qty_Per_Batch]*IFERROR(INDEX(PP_Grid[#Data],M_BOM[PPGridRow],34),0))</f>
        <v/>
      </c>
      <c r="AI8">
        <f>SUMPRODUCT((M_BOM[RM_Code]=$A8)*M_BOM[RM_Qty_Per_Batch]*IFERROR(INDEX(PP_Grid[#Data],M_BOM[PPGridRow],35),0))</f>
        <v/>
      </c>
      <c r="AJ8">
        <f>SUMPRODUCT((M_BOM[RM_Code]=$A8)*M_BOM[RM_Qty_Per_Batch]*IFERROR(INDEX(PP_Grid[#Data],M_BOM[PPGridRow],36),0))</f>
        <v/>
      </c>
      <c r="AK8">
        <f>SUMPRODUCT((M_BOM[RM_Code]=$A8)*M_BOM[RM_Qty_Per_Batch]*IFERROR(INDEX(PP_Grid[#Data],M_BOM[PPGridRow],37),0))</f>
        <v/>
      </c>
      <c r="AL8">
        <f>SUMPRODUCT((M_BOM[RM_Code]=$A8)*M_BOM[RM_Qty_Per_Batch]*IFERROR(INDEX(PP_Grid[#Data],M_BOM[PPGridRow],38),0))</f>
        <v/>
      </c>
      <c r="AM8">
        <f>SUMPRODUCT((M_BOM[RM_Code]=$A8)*M_BOM[RM_Qty_Per_Batch]*IFERROR(INDEX(PP_Grid[#Data],M_BOM[PPGridRow],39),0))</f>
        <v/>
      </c>
      <c r="AN8">
        <f>SUMPRODUCT((M_BOM[RM_Code]=$A8)*M_BOM[RM_Qty_Per_Batch]*IFERROR(INDEX(PP_Grid[#Data],M_BOM[PPGridRow],40),0))</f>
        <v/>
      </c>
      <c r="AO8">
        <f>SUMPRODUCT((M_BOM[RM_Code]=$A8)*M_BOM[RM_Qty_Per_Batch]*IFERROR(INDEX(PP_Grid[#Data],M_BOM[PPGridRow],41),0))</f>
        <v/>
      </c>
      <c r="AP8">
        <f>SUMPRODUCT((M_BOM[RM_Code]=$A8)*M_BOM[RM_Qty_Per_Batch]*IFERROR(INDEX(PP_Grid[#Data],M_BOM[PPGridRow],42),0))</f>
        <v/>
      </c>
      <c r="AQ8">
        <f>SUMPRODUCT((M_BOM[RM_Code]=$A8)*M_BOM[RM_Qty_Per_Batch]*IFERROR(INDEX(PP_Grid[#Data],M_BOM[PPGridRow],43),0))</f>
        <v/>
      </c>
      <c r="AR8">
        <f>SUMPRODUCT((M_BOM[RM_Code]=$A8)*M_BOM[RM_Qty_Per_Batch]*IFERROR(INDEX(PP_Grid[#Data],M_BOM[PPGridRow],44),0))</f>
        <v/>
      </c>
      <c r="AS8">
        <f>SUMPRODUCT((M_BOM[RM_Code]=$A8)*M_BOM[RM_Qty_Per_Batch]*IFERROR(INDEX(PP_Grid[#Data],M_BOM[PPGridRow],45),0))</f>
        <v/>
      </c>
      <c r="AT8">
        <f>SUMPRODUCT((M_BOM[RM_Code]=$A8)*M_BOM[RM_Qty_Per_Batch]*IFERROR(INDEX(PP_Grid[#Data],M_BOM[PPGridRow],46),0))</f>
        <v/>
      </c>
      <c r="AU8">
        <f>SUMPRODUCT((M_BOM[RM_Code]=$A8)*M_BOM[RM_Qty_Per_Batch]*IFERROR(INDEX(PP_Grid[#Data],M_BOM[PPGridRow],47),0))</f>
        <v/>
      </c>
      <c r="AV8">
        <f>SUMPRODUCT((M_BOM[RM_Code]=$A8)*M_BOM[RM_Qty_Per_Batch]*IFERROR(INDEX(PP_Grid[#Data],M_BOM[PPGridRow],48),0))</f>
        <v/>
      </c>
      <c r="AW8">
        <f>SUMPRODUCT((M_BOM[RM_Code]=$A8)*M_BOM[RM_Qty_Per_Batch]*IFERROR(INDEX(PP_Grid[#Data],M_BOM[PPGridRow],49),0))</f>
        <v/>
      </c>
      <c r="AX8">
        <f>SUMPRODUCT((M_BOM[RM_Code]=$A8)*M_BOM[RM_Qty_Per_Batch]*IFERROR(INDEX(PP_Grid[#Data],M_BOM[PPGridRow],50),0))</f>
        <v/>
      </c>
      <c r="AY8">
        <f>SUMPRODUCT((M_BOM[RM_Code]=$A8)*M_BOM[RM_Qty_Per_Batch]*IFERROR(INDEX(PP_Grid[#Data],M_BOM[PPGridRow],51),0))</f>
        <v/>
      </c>
      <c r="AZ8">
        <f>SUMPRODUCT((M_BOM[RM_Code]=$A8)*M_BOM[RM_Qty_Per_Batch]*IFERROR(INDEX(PP_Grid[#Data],M_BOM[PPGridRow],52),0))</f>
        <v/>
      </c>
      <c r="BA8">
        <f>SUMPRODUCT((M_BOM[RM_Code]=$A8)*M_BOM[RM_Qty_Per_Batch]*IFERROR(INDEX(PP_Grid[#Data],M_BOM[PPGridRow],53),0))</f>
        <v/>
      </c>
      <c r="BB8">
        <f>SUMPRODUCT((M_BOM[RM_Code]=$A8)*M_BOM[RM_Qty_Per_Batch]*IFERROR(INDEX(PP_Grid[#Data],M_BOM[PPGridRow],54),0))</f>
        <v/>
      </c>
      <c r="BC8">
        <f>SUMPRODUCT((M_BOM[RM_Code]=$A8)*M_BOM[RM_Qty_Per_Batch]*IFERROR(INDEX(PP_Grid[#Data],M_BOM[PPGridRow],55),0))</f>
        <v/>
      </c>
      <c r="BD8">
        <f>SUMPRODUCT((M_BOM[RM_Code]=$A8)*M_BOM[RM_Qty_Per_Batch]*IFERROR(INDEX(PP_Grid[#Data],M_BOM[PPGridRow],56),0))</f>
        <v/>
      </c>
      <c r="BE8">
        <f>SUMPRODUCT((M_BOM[RM_Code]=$A8)*M_BOM[RM_Qty_Per_Batch]*IFERROR(INDEX(PP_Grid[#Data],M_BOM[PPGridRow],57),0))</f>
        <v/>
      </c>
      <c r="BF8">
        <f>SUMPRODUCT((M_BOM[RM_Code]=$A8)*M_BOM[RM_Qty_Per_Batch]*IFERROR(INDEX(PP_Grid[#Data],M_BOM[PPGridRow],58),0))</f>
        <v/>
      </c>
      <c r="BG8">
        <f>SUMPRODUCT((M_BOM[RM_Code]=$A8)*M_BOM[RM_Qty_Per_Batch]*IFERROR(INDEX(PP_Grid[#Data],M_BOM[PPGridRow],59),0))</f>
        <v/>
      </c>
      <c r="BH8">
        <f>SUMPRODUCT((M_BOM[RM_Code]=$A8)*M_BOM[RM_Qty_Per_Batch]*IFERROR(INDEX(PP_Grid[#Data],M_BOM[PPGridRow],60),0))</f>
        <v/>
      </c>
      <c r="BI8">
        <f>SUMPRODUCT((M_BOM[RM_Code]=$A8)*M_BOM[RM_Qty_Per_Batch]*IFERROR(INDEX(PP_Grid[#Data],M_BOM[PPGridRow],61),0))</f>
        <v/>
      </c>
      <c r="BJ8">
        <f>SUMPRODUCT((M_BOM[RM_Code]=$A8)*M_BOM[RM_Qty_Per_Batch]*IFERROR(INDEX(PP_Grid[#Data],M_BOM[PPGridRow],62),0))</f>
        <v/>
      </c>
      <c r="BK8">
        <f>SUMPRODUCT((M_BOM[RM_Code]=$A8)*M_BOM[RM_Qty_Per_Batch]*IFERROR(INDEX(PP_Grid[#Data],M_BOM[PPGridRow],63),0))</f>
        <v/>
      </c>
      <c r="BL8">
        <f>SUMPRODUCT((M_BOM[RM_Code]=$A8)*M_BOM[RM_Qty_Per_Batch]*IFERROR(INDEX(PP_Grid[#Data],M_BOM[PPGridRow],64),0))</f>
        <v/>
      </c>
      <c r="BM8">
        <f>SUMPRODUCT((M_BOM[RM_Code]=$A8)*M_BOM[RM_Qty_Per_Batch]*IFERROR(INDEX(PP_Grid[#Data],M_BOM[PPGridRow],65),0))</f>
        <v/>
      </c>
      <c r="BN8">
        <f>SUMPRODUCT((M_BOM[RM_Code]=$A8)*M_BOM[RM_Qty_Per_Batch]*IFERROR(INDEX(PP_Grid[#Data],M_BOM[PPGridRow],66),0))</f>
        <v/>
      </c>
      <c r="BO8">
        <f>SUMPRODUCT((M_BOM[RM_Code]=$A8)*M_BOM[RM_Qty_Per_Batch]*IFERROR(INDEX(PP_Grid[#Data],M_BOM[PPGridRow],67),0))</f>
        <v/>
      </c>
      <c r="BP8">
        <f>SUMPRODUCT((M_BOM[RM_Code]=$A8)*M_BOM[RM_Qty_Per_Batch]*IFERROR(INDEX(PP_Grid[#Data],M_BOM[PPGridRow],68),0))</f>
        <v/>
      </c>
      <c r="BQ8">
        <f>SUMPRODUCT((M_BOM[RM_Code]=$A8)*M_BOM[RM_Qty_Per_Batch]*IFERROR(INDEX(PP_Grid[#Data],M_BOM[PPGridRow],69),0))</f>
        <v/>
      </c>
      <c r="BR8">
        <f>SUMPRODUCT((M_BOM[RM_Code]=$A8)*M_BOM[RM_Qty_Per_Batch]*IFERROR(INDEX(PP_Grid[#Data],M_BOM[PPGridRow],70),0))</f>
        <v/>
      </c>
      <c r="BS8">
        <f>SUMPRODUCT((M_BOM[RM_Code]=$A8)*M_BOM[RM_Qty_Per_Batch]*IFERROR(INDEX(PP_Grid[#Data],M_BOM[PPGridRow],71),0))</f>
        <v/>
      </c>
      <c r="BT8">
        <f>SUMPRODUCT((M_BOM[RM_Code]=$A8)*M_BOM[RM_Qty_Per_Batch]*IFERROR(INDEX(PP_Grid[#Data],M_BOM[PPGridRow],72),0))</f>
        <v/>
      </c>
      <c r="BU8">
        <f>SUMPRODUCT((M_BOM[RM_Code]=$A8)*M_BOM[RM_Qty_Per_Batch]*IFERROR(INDEX(PP_Grid[#Data],M_BOM[PPGridRow],73),0))</f>
        <v/>
      </c>
      <c r="BV8">
        <f>SUMPRODUCT((M_BOM[RM_Code]=$A8)*M_BOM[RM_Qty_Per_Batch]*IFERROR(INDEX(PP_Grid[#Data],M_BOM[PPGridRow],74),0))</f>
        <v/>
      </c>
      <c r="BW8">
        <f>SUMPRODUCT((M_BOM[RM_Code]=$A8)*M_BOM[RM_Qty_Per_Batch]*IFERROR(INDEX(PP_Grid[#Data],M_BOM[PPGridRow],75),0))</f>
        <v/>
      </c>
      <c r="BX8">
        <f>SUMPRODUCT((M_BOM[RM_Code]=$A8)*M_BOM[RM_Qty_Per_Batch]*IFERROR(INDEX(PP_Grid[#Data],M_BOM[PPGridRow],76),0))</f>
        <v/>
      </c>
      <c r="BY8">
        <f>SUMPRODUCT((M_BOM[RM_Code]=$A8)*M_BOM[RM_Qty_Per_Batch]*IFERROR(INDEX(PP_Grid[#Data],M_BOM[PPGridRow],77),0))</f>
        <v/>
      </c>
      <c r="BZ8">
        <f>SUMPRODUCT((M_BOM[RM_Code]=$A8)*M_BOM[RM_Qty_Per_Batch]*IFERROR(INDEX(PP_Grid[#Data],M_BOM[PPGridRow],78),0))</f>
        <v/>
      </c>
      <c r="CA8">
        <f>SUMPRODUCT((M_BOM[RM_Code]=$A8)*M_BOM[RM_Qty_Per_Batch]*IFERROR(INDEX(PP_Grid[#Data],M_BOM[PPGridRow],79),0))</f>
        <v/>
      </c>
      <c r="CB8">
        <f>SUMPRODUCT((M_BOM[RM_Code]=$A8)*M_BOM[RM_Qty_Per_Batch]*IFERROR(INDEX(PP_Grid[#Data],M_BOM[PPGridRow],80),0))</f>
        <v/>
      </c>
      <c r="CC8">
        <f>SUMPRODUCT((M_BOM[RM_Code]=$A8)*M_BOM[RM_Qty_Per_Batch]*IFERROR(INDEX(PP_Grid[#Data],M_BOM[PPGridRow],81),0))</f>
        <v/>
      </c>
      <c r="CD8">
        <f>SUMPRODUCT((M_BOM[RM_Code]=$A8)*M_BOM[RM_Qty_Per_Batch]*IFERROR(INDEX(PP_Grid[#Data],M_BOM[PPGridRow],82),0))</f>
        <v/>
      </c>
      <c r="CE8">
        <f>SUMPRODUCT((M_BOM[RM_Code]=$A8)*M_BOM[RM_Qty_Per_Batch]*IFERROR(INDEX(PP_Grid[#Data],M_BOM[PPGridRow],83),0))</f>
        <v/>
      </c>
      <c r="CF8">
        <f>SUMPRODUCT((M_BOM[RM_Code]=$A8)*M_BOM[RM_Qty_Per_Batch]*IFERROR(INDEX(PP_Grid[#Data],M_BOM[PPGridRow],84),0))</f>
        <v/>
      </c>
      <c r="CG8">
        <f>SUMPRODUCT((M_BOM[RM_Code]=$A8)*M_BOM[RM_Qty_Per_Batch]*IFERROR(INDEX(PP_Grid[#Data],M_BOM[PPGridRow],85),0))</f>
        <v/>
      </c>
      <c r="CH8">
        <f>SUMPRODUCT((M_BOM[RM_Code]=$A8)*M_BOM[RM_Qty_Per_Batch]*IFERROR(INDEX(PP_Grid[#Data],M_BOM[PPGridRow],86),0))</f>
        <v/>
      </c>
      <c r="CI8">
        <f>SUMPRODUCT((M_BOM[RM_Code]=$A8)*M_BOM[RM_Qty_Per_Batch]*IFERROR(INDEX(PP_Grid[#Data],M_BOM[PPGridRow],87),0))</f>
        <v/>
      </c>
      <c r="CJ8">
        <f>SUMPRODUCT((M_BOM[RM_Code]=$A8)*M_BOM[RM_Qty_Per_Batch]*IFERROR(INDEX(PP_Grid[#Data],M_BOM[PPGridRow],88),0))</f>
        <v/>
      </c>
      <c r="CK8">
        <f>SUMPRODUCT((M_BOM[RM_Code]=$A8)*M_BOM[RM_Qty_Per_Batch]*IFERROR(INDEX(PP_Grid[#Data],M_BOM[PPGridRow],89),0))</f>
        <v/>
      </c>
      <c r="CL8">
        <f>SUMPRODUCT((M_BOM[RM_Code]=$A8)*M_BOM[RM_Qty_Per_Batch]*IFERROR(INDEX(PP_Grid[#Data],M_BOM[PPGridRow],90),0))</f>
        <v/>
      </c>
      <c r="CM8">
        <f>SUMPRODUCT((M_BOM[RM_Code]=$A8)*M_BOM[RM_Qty_Per_Batch]*IFERROR(INDEX(PP_Grid[#Data],M_BOM[PPGridRow],91),0))</f>
        <v/>
      </c>
      <c r="CN8">
        <f>SUMPRODUCT((M_BOM[RM_Code]=$A8)*M_BOM[RM_Qty_Per_Batch]*IFERROR(INDEX(PP_Grid[#Data],M_BOM[PPGridRow],92),0))</f>
        <v/>
      </c>
      <c r="CO8">
        <f>SUMPRODUCT((M_BOM[RM_Code]=$A8)*M_BOM[RM_Qty_Per_Batch]*IFERROR(INDEX(PP_Grid[#Data],M_BOM[PPGridRow],93),0))</f>
        <v/>
      </c>
      <c r="CP8">
        <f>SUMPRODUCT((M_BOM[RM_Code]=$A8)*M_BOM[RM_Qty_Per_Batch]*IFERROR(INDEX(PP_Grid[#Data],M_BOM[PPGridRow],94),0))</f>
        <v/>
      </c>
      <c r="CQ8">
        <f>SUMPRODUCT((M_BOM[RM_Code]=$A8)*M_BOM[RM_Qty_Per_Batch]*IFERROR(INDEX(PP_Grid[#Data],M_BOM[PPGridRow],95),0))</f>
        <v/>
      </c>
      <c r="CR8">
        <f>SUMPRODUCT((M_BOM[RM_Code]=$A8)*M_BOM[RM_Qty_Per_Batch]*IFERROR(INDEX(PP_Grid[#Data],M_BOM[PPGridRow],96),0))</f>
        <v/>
      </c>
      <c r="CS8">
        <f>SUMPRODUCT((M_BOM[RM_Code]=$A8)*M_BOM[RM_Qty_Per_Batch]*IFERROR(INDEX(PP_Grid[#Data],M_BOM[PPGridRow],97),0))</f>
        <v/>
      </c>
      <c r="CT8">
        <f>SUMPRODUCT((M_BOM[RM_Code]=$A8)*M_BOM[RM_Qty_Per_Batch]*IFERROR(INDEX(PP_Grid[#Data],M_BOM[PPGridRow],98),0))</f>
        <v/>
      </c>
      <c r="CU8">
        <f>SUMPRODUCT((M_BOM[RM_Code]=$A8)*M_BOM[RM_Qty_Per_Batch]*IFERROR(INDEX(PP_Grid[#Data],M_BOM[PPGridRow],99),0))</f>
        <v/>
      </c>
      <c r="CV8">
        <f>SUMPRODUCT((M_BOM[RM_Code]=$A8)*M_BOM[RM_Qty_Per_Batch]*IFERROR(INDEX(PP_Grid[#Data],M_BOM[PPGridRow],100),0))</f>
        <v/>
      </c>
      <c r="CW8">
        <f>SUMPRODUCT((M_BOM[RM_Code]=$A8)*M_BOM[RM_Qty_Per_Batch]*IFERROR(INDEX(PP_Grid[#Data],M_BOM[PPGridRow],101),0))</f>
        <v/>
      </c>
      <c r="CX8">
        <f>SUMPRODUCT((M_BOM[RM_Code]=$A8)*M_BOM[RM_Qty_Per_Batch]*IFERROR(INDEX(PP_Grid[#Data],M_BOM[PPGridRow],102),0))</f>
        <v/>
      </c>
      <c r="CY8">
        <f>SUMPRODUCT((M_BOM[RM_Code]=$A8)*M_BOM[RM_Qty_Per_Batch]*IFERROR(INDEX(PP_Grid[#Data],M_BOM[PPGridRow],103),0))</f>
        <v/>
      </c>
      <c r="CZ8">
        <f>SUMPRODUCT((M_BOM[RM_Code]=$A8)*M_BOM[RM_Qty_Per_Batch]*IFERROR(INDEX(PP_Grid[#Data],M_BOM[PPGridRow],104),0))</f>
        <v/>
      </c>
      <c r="DA8">
        <f>SUMPRODUCT((M_BOM[RM_Code]=$A8)*M_BOM[RM_Qty_Per_Batch]*IFERROR(INDEX(PP_Grid[#Data],M_BOM[PPGridRow],105),0))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SUMPRODUCT((M_BOM[RM_Code]=$A9)*M_BOM[RM_Qty_Per_Batch]*IFERROR(INDEX(PP_Grid[#Data],M_BOM[PPGridRow],2),0))</f>
        <v/>
      </c>
      <c r="C9">
        <f>SUMPRODUCT((M_BOM[RM_Code]=$A9)*M_BOM[RM_Qty_Per_Batch]*IFERROR(INDEX(PP_Grid[#Data],M_BOM[PPGridRow],3),0))</f>
        <v/>
      </c>
      <c r="D9">
        <f>SUMPRODUCT((M_BOM[RM_Code]=$A9)*M_BOM[RM_Qty_Per_Batch]*IFERROR(INDEX(PP_Grid[#Data],M_BOM[PPGridRow],4),0))</f>
        <v/>
      </c>
      <c r="E9">
        <f>SUMPRODUCT((M_BOM[RM_Code]=$A9)*M_BOM[RM_Qty_Per_Batch]*IFERROR(INDEX(PP_Grid[#Data],M_BOM[PPGridRow],5),0))</f>
        <v/>
      </c>
      <c r="F9">
        <f>SUMPRODUCT((M_BOM[RM_Code]=$A9)*M_BOM[RM_Qty_Per_Batch]*IFERROR(INDEX(PP_Grid[#Data],M_BOM[PPGridRow],6),0))</f>
        <v/>
      </c>
      <c r="G9">
        <f>SUMPRODUCT((M_BOM[RM_Code]=$A9)*M_BOM[RM_Qty_Per_Batch]*IFERROR(INDEX(PP_Grid[#Data],M_BOM[PPGridRow],7),0))</f>
        <v/>
      </c>
      <c r="H9">
        <f>SUMPRODUCT((M_BOM[RM_Code]=$A9)*M_BOM[RM_Qty_Per_Batch]*IFERROR(INDEX(PP_Grid[#Data],M_BOM[PPGridRow],8),0))</f>
        <v/>
      </c>
      <c r="I9">
        <f>SUMPRODUCT((M_BOM[RM_Code]=$A9)*M_BOM[RM_Qty_Per_Batch]*IFERROR(INDEX(PP_Grid[#Data],M_BOM[PPGridRow],9),0))</f>
        <v/>
      </c>
      <c r="J9">
        <f>SUMPRODUCT((M_BOM[RM_Code]=$A9)*M_BOM[RM_Qty_Per_Batch]*IFERROR(INDEX(PP_Grid[#Data],M_BOM[PPGridRow],10),0))</f>
        <v/>
      </c>
      <c r="K9">
        <f>SUMPRODUCT((M_BOM[RM_Code]=$A9)*M_BOM[RM_Qty_Per_Batch]*IFERROR(INDEX(PP_Grid[#Data],M_BOM[PPGridRow],11),0))</f>
        <v/>
      </c>
      <c r="L9">
        <f>SUMPRODUCT((M_BOM[RM_Code]=$A9)*M_BOM[RM_Qty_Per_Batch]*IFERROR(INDEX(PP_Grid[#Data],M_BOM[PPGridRow],12),0))</f>
        <v/>
      </c>
      <c r="M9">
        <f>SUMPRODUCT((M_BOM[RM_Code]=$A9)*M_BOM[RM_Qty_Per_Batch]*IFERROR(INDEX(PP_Grid[#Data],M_BOM[PPGridRow],13),0))</f>
        <v/>
      </c>
      <c r="N9">
        <f>SUMPRODUCT((M_BOM[RM_Code]=$A9)*M_BOM[RM_Qty_Per_Batch]*IFERROR(INDEX(PP_Grid[#Data],M_BOM[PPGridRow],14),0))</f>
        <v/>
      </c>
      <c r="O9">
        <f>SUMPRODUCT((M_BOM[RM_Code]=$A9)*M_BOM[RM_Qty_Per_Batch]*IFERROR(INDEX(PP_Grid[#Data],M_BOM[PPGridRow],15),0))</f>
        <v/>
      </c>
      <c r="P9">
        <f>SUMPRODUCT((M_BOM[RM_Code]=$A9)*M_BOM[RM_Qty_Per_Batch]*IFERROR(INDEX(PP_Grid[#Data],M_BOM[PPGridRow],16),0))</f>
        <v/>
      </c>
      <c r="Q9">
        <f>SUMPRODUCT((M_BOM[RM_Code]=$A9)*M_BOM[RM_Qty_Per_Batch]*IFERROR(INDEX(PP_Grid[#Data],M_BOM[PPGridRow],17),0))</f>
        <v/>
      </c>
      <c r="R9">
        <f>SUMPRODUCT((M_BOM[RM_Code]=$A9)*M_BOM[RM_Qty_Per_Batch]*IFERROR(INDEX(PP_Grid[#Data],M_BOM[PPGridRow],18),0))</f>
        <v/>
      </c>
      <c r="S9">
        <f>SUMPRODUCT((M_BOM[RM_Code]=$A9)*M_BOM[RM_Qty_Per_Batch]*IFERROR(INDEX(PP_Grid[#Data],M_BOM[PPGridRow],19),0))</f>
        <v/>
      </c>
      <c r="T9">
        <f>SUMPRODUCT((M_BOM[RM_Code]=$A9)*M_BOM[RM_Qty_Per_Batch]*IFERROR(INDEX(PP_Grid[#Data],M_BOM[PPGridRow],20),0))</f>
        <v/>
      </c>
      <c r="U9">
        <f>SUMPRODUCT((M_BOM[RM_Code]=$A9)*M_BOM[RM_Qty_Per_Batch]*IFERROR(INDEX(PP_Grid[#Data],M_BOM[PPGridRow],21),0))</f>
        <v/>
      </c>
      <c r="V9">
        <f>SUMPRODUCT((M_BOM[RM_Code]=$A9)*M_BOM[RM_Qty_Per_Batch]*IFERROR(INDEX(PP_Grid[#Data],M_BOM[PPGridRow],22),0))</f>
        <v/>
      </c>
      <c r="W9">
        <f>SUMPRODUCT((M_BOM[RM_Code]=$A9)*M_BOM[RM_Qty_Per_Batch]*IFERROR(INDEX(PP_Grid[#Data],M_BOM[PPGridRow],23),0))</f>
        <v/>
      </c>
      <c r="X9">
        <f>SUMPRODUCT((M_BOM[RM_Code]=$A9)*M_BOM[RM_Qty_Per_Batch]*IFERROR(INDEX(PP_Grid[#Data],M_BOM[PPGridRow],24),0))</f>
        <v/>
      </c>
      <c r="Y9">
        <f>SUMPRODUCT((M_BOM[RM_Code]=$A9)*M_BOM[RM_Qty_Per_Batch]*IFERROR(INDEX(PP_Grid[#Data],M_BOM[PPGridRow],25),0))</f>
        <v/>
      </c>
      <c r="Z9">
        <f>SUMPRODUCT((M_BOM[RM_Code]=$A9)*M_BOM[RM_Qty_Per_Batch]*IFERROR(INDEX(PP_Grid[#Data],M_BOM[PPGridRow],26),0))</f>
        <v/>
      </c>
      <c r="AA9">
        <f>SUMPRODUCT((M_BOM[RM_Code]=$A9)*M_BOM[RM_Qty_Per_Batch]*IFERROR(INDEX(PP_Grid[#Data],M_BOM[PPGridRow],27),0))</f>
        <v/>
      </c>
      <c r="AB9">
        <f>SUMPRODUCT((M_BOM[RM_Code]=$A9)*M_BOM[RM_Qty_Per_Batch]*IFERROR(INDEX(PP_Grid[#Data],M_BOM[PPGridRow],28),0))</f>
        <v/>
      </c>
      <c r="AC9">
        <f>SUMPRODUCT((M_BOM[RM_Code]=$A9)*M_BOM[RM_Qty_Per_Batch]*IFERROR(INDEX(PP_Grid[#Data],M_BOM[PPGridRow],29),0))</f>
        <v/>
      </c>
      <c r="AD9">
        <f>SUMPRODUCT((M_BOM[RM_Code]=$A9)*M_BOM[RM_Qty_Per_Batch]*IFERROR(INDEX(PP_Grid[#Data],M_BOM[PPGridRow],30),0))</f>
        <v/>
      </c>
      <c r="AE9">
        <f>SUMPRODUCT((M_BOM[RM_Code]=$A9)*M_BOM[RM_Qty_Per_Batch]*IFERROR(INDEX(PP_Grid[#Data],M_BOM[PPGridRow],31),0))</f>
        <v/>
      </c>
      <c r="AF9">
        <f>SUMPRODUCT((M_BOM[RM_Code]=$A9)*M_BOM[RM_Qty_Per_Batch]*IFERROR(INDEX(PP_Grid[#Data],M_BOM[PPGridRow],32),0))</f>
        <v/>
      </c>
      <c r="AG9">
        <f>SUMPRODUCT((M_BOM[RM_Code]=$A9)*M_BOM[RM_Qty_Per_Batch]*IFERROR(INDEX(PP_Grid[#Data],M_BOM[PPGridRow],33),0))</f>
        <v/>
      </c>
      <c r="AH9">
        <f>SUMPRODUCT((M_BOM[RM_Code]=$A9)*M_BOM[RM_Qty_Per_Batch]*IFERROR(INDEX(PP_Grid[#Data],M_BOM[PPGridRow],34),0))</f>
        <v/>
      </c>
      <c r="AI9">
        <f>SUMPRODUCT((M_BOM[RM_Code]=$A9)*M_BOM[RM_Qty_Per_Batch]*IFERROR(INDEX(PP_Grid[#Data],M_BOM[PPGridRow],35),0))</f>
        <v/>
      </c>
      <c r="AJ9">
        <f>SUMPRODUCT((M_BOM[RM_Code]=$A9)*M_BOM[RM_Qty_Per_Batch]*IFERROR(INDEX(PP_Grid[#Data],M_BOM[PPGridRow],36),0))</f>
        <v/>
      </c>
      <c r="AK9">
        <f>SUMPRODUCT((M_BOM[RM_Code]=$A9)*M_BOM[RM_Qty_Per_Batch]*IFERROR(INDEX(PP_Grid[#Data],M_BOM[PPGridRow],37),0))</f>
        <v/>
      </c>
      <c r="AL9">
        <f>SUMPRODUCT((M_BOM[RM_Code]=$A9)*M_BOM[RM_Qty_Per_Batch]*IFERROR(INDEX(PP_Grid[#Data],M_BOM[PPGridRow],38),0))</f>
        <v/>
      </c>
      <c r="AM9">
        <f>SUMPRODUCT((M_BOM[RM_Code]=$A9)*M_BOM[RM_Qty_Per_Batch]*IFERROR(INDEX(PP_Grid[#Data],M_BOM[PPGridRow],39),0))</f>
        <v/>
      </c>
      <c r="AN9">
        <f>SUMPRODUCT((M_BOM[RM_Code]=$A9)*M_BOM[RM_Qty_Per_Batch]*IFERROR(INDEX(PP_Grid[#Data],M_BOM[PPGridRow],40),0))</f>
        <v/>
      </c>
      <c r="AO9">
        <f>SUMPRODUCT((M_BOM[RM_Code]=$A9)*M_BOM[RM_Qty_Per_Batch]*IFERROR(INDEX(PP_Grid[#Data],M_BOM[PPGridRow],41),0))</f>
        <v/>
      </c>
      <c r="AP9">
        <f>SUMPRODUCT((M_BOM[RM_Code]=$A9)*M_BOM[RM_Qty_Per_Batch]*IFERROR(INDEX(PP_Grid[#Data],M_BOM[PPGridRow],42),0))</f>
        <v/>
      </c>
      <c r="AQ9">
        <f>SUMPRODUCT((M_BOM[RM_Code]=$A9)*M_BOM[RM_Qty_Per_Batch]*IFERROR(INDEX(PP_Grid[#Data],M_BOM[PPGridRow],43),0))</f>
        <v/>
      </c>
      <c r="AR9">
        <f>SUMPRODUCT((M_BOM[RM_Code]=$A9)*M_BOM[RM_Qty_Per_Batch]*IFERROR(INDEX(PP_Grid[#Data],M_BOM[PPGridRow],44),0))</f>
        <v/>
      </c>
      <c r="AS9">
        <f>SUMPRODUCT((M_BOM[RM_Code]=$A9)*M_BOM[RM_Qty_Per_Batch]*IFERROR(INDEX(PP_Grid[#Data],M_BOM[PPGridRow],45),0))</f>
        <v/>
      </c>
      <c r="AT9">
        <f>SUMPRODUCT((M_BOM[RM_Code]=$A9)*M_BOM[RM_Qty_Per_Batch]*IFERROR(INDEX(PP_Grid[#Data],M_BOM[PPGridRow],46),0))</f>
        <v/>
      </c>
      <c r="AU9">
        <f>SUMPRODUCT((M_BOM[RM_Code]=$A9)*M_BOM[RM_Qty_Per_Batch]*IFERROR(INDEX(PP_Grid[#Data],M_BOM[PPGridRow],47),0))</f>
        <v/>
      </c>
      <c r="AV9">
        <f>SUMPRODUCT((M_BOM[RM_Code]=$A9)*M_BOM[RM_Qty_Per_Batch]*IFERROR(INDEX(PP_Grid[#Data],M_BOM[PPGridRow],48),0))</f>
        <v/>
      </c>
      <c r="AW9">
        <f>SUMPRODUCT((M_BOM[RM_Code]=$A9)*M_BOM[RM_Qty_Per_Batch]*IFERROR(INDEX(PP_Grid[#Data],M_BOM[PPGridRow],49),0))</f>
        <v/>
      </c>
      <c r="AX9">
        <f>SUMPRODUCT((M_BOM[RM_Code]=$A9)*M_BOM[RM_Qty_Per_Batch]*IFERROR(INDEX(PP_Grid[#Data],M_BOM[PPGridRow],50),0))</f>
        <v/>
      </c>
      <c r="AY9">
        <f>SUMPRODUCT((M_BOM[RM_Code]=$A9)*M_BOM[RM_Qty_Per_Batch]*IFERROR(INDEX(PP_Grid[#Data],M_BOM[PPGridRow],51),0))</f>
        <v/>
      </c>
      <c r="AZ9">
        <f>SUMPRODUCT((M_BOM[RM_Code]=$A9)*M_BOM[RM_Qty_Per_Batch]*IFERROR(INDEX(PP_Grid[#Data],M_BOM[PPGridRow],52),0))</f>
        <v/>
      </c>
      <c r="BA9">
        <f>SUMPRODUCT((M_BOM[RM_Code]=$A9)*M_BOM[RM_Qty_Per_Batch]*IFERROR(INDEX(PP_Grid[#Data],M_BOM[PPGridRow],53),0))</f>
        <v/>
      </c>
      <c r="BB9">
        <f>SUMPRODUCT((M_BOM[RM_Code]=$A9)*M_BOM[RM_Qty_Per_Batch]*IFERROR(INDEX(PP_Grid[#Data],M_BOM[PPGridRow],54),0))</f>
        <v/>
      </c>
      <c r="BC9">
        <f>SUMPRODUCT((M_BOM[RM_Code]=$A9)*M_BOM[RM_Qty_Per_Batch]*IFERROR(INDEX(PP_Grid[#Data],M_BOM[PPGridRow],55),0))</f>
        <v/>
      </c>
      <c r="BD9">
        <f>SUMPRODUCT((M_BOM[RM_Code]=$A9)*M_BOM[RM_Qty_Per_Batch]*IFERROR(INDEX(PP_Grid[#Data],M_BOM[PPGridRow],56),0))</f>
        <v/>
      </c>
      <c r="BE9">
        <f>SUMPRODUCT((M_BOM[RM_Code]=$A9)*M_BOM[RM_Qty_Per_Batch]*IFERROR(INDEX(PP_Grid[#Data],M_BOM[PPGridRow],57),0))</f>
        <v/>
      </c>
      <c r="BF9">
        <f>SUMPRODUCT((M_BOM[RM_Code]=$A9)*M_BOM[RM_Qty_Per_Batch]*IFERROR(INDEX(PP_Grid[#Data],M_BOM[PPGridRow],58),0))</f>
        <v/>
      </c>
      <c r="BG9">
        <f>SUMPRODUCT((M_BOM[RM_Code]=$A9)*M_BOM[RM_Qty_Per_Batch]*IFERROR(INDEX(PP_Grid[#Data],M_BOM[PPGridRow],59),0))</f>
        <v/>
      </c>
      <c r="BH9">
        <f>SUMPRODUCT((M_BOM[RM_Code]=$A9)*M_BOM[RM_Qty_Per_Batch]*IFERROR(INDEX(PP_Grid[#Data],M_BOM[PPGridRow],60),0))</f>
        <v/>
      </c>
      <c r="BI9">
        <f>SUMPRODUCT((M_BOM[RM_Code]=$A9)*M_BOM[RM_Qty_Per_Batch]*IFERROR(INDEX(PP_Grid[#Data],M_BOM[PPGridRow],61),0))</f>
        <v/>
      </c>
      <c r="BJ9">
        <f>SUMPRODUCT((M_BOM[RM_Code]=$A9)*M_BOM[RM_Qty_Per_Batch]*IFERROR(INDEX(PP_Grid[#Data],M_BOM[PPGridRow],62),0))</f>
        <v/>
      </c>
      <c r="BK9">
        <f>SUMPRODUCT((M_BOM[RM_Code]=$A9)*M_BOM[RM_Qty_Per_Batch]*IFERROR(INDEX(PP_Grid[#Data],M_BOM[PPGridRow],63),0))</f>
        <v/>
      </c>
      <c r="BL9">
        <f>SUMPRODUCT((M_BOM[RM_Code]=$A9)*M_BOM[RM_Qty_Per_Batch]*IFERROR(INDEX(PP_Grid[#Data],M_BOM[PPGridRow],64),0))</f>
        <v/>
      </c>
      <c r="BM9">
        <f>SUMPRODUCT((M_BOM[RM_Code]=$A9)*M_BOM[RM_Qty_Per_Batch]*IFERROR(INDEX(PP_Grid[#Data],M_BOM[PPGridRow],65),0))</f>
        <v/>
      </c>
      <c r="BN9">
        <f>SUMPRODUCT((M_BOM[RM_Code]=$A9)*M_BOM[RM_Qty_Per_Batch]*IFERROR(INDEX(PP_Grid[#Data],M_BOM[PPGridRow],66),0))</f>
        <v/>
      </c>
      <c r="BO9">
        <f>SUMPRODUCT((M_BOM[RM_Code]=$A9)*M_BOM[RM_Qty_Per_Batch]*IFERROR(INDEX(PP_Grid[#Data],M_BOM[PPGridRow],67),0))</f>
        <v/>
      </c>
      <c r="BP9">
        <f>SUMPRODUCT((M_BOM[RM_Code]=$A9)*M_BOM[RM_Qty_Per_Batch]*IFERROR(INDEX(PP_Grid[#Data],M_BOM[PPGridRow],68),0))</f>
        <v/>
      </c>
      <c r="BQ9">
        <f>SUMPRODUCT((M_BOM[RM_Code]=$A9)*M_BOM[RM_Qty_Per_Batch]*IFERROR(INDEX(PP_Grid[#Data],M_BOM[PPGridRow],69),0))</f>
        <v/>
      </c>
      <c r="BR9">
        <f>SUMPRODUCT((M_BOM[RM_Code]=$A9)*M_BOM[RM_Qty_Per_Batch]*IFERROR(INDEX(PP_Grid[#Data],M_BOM[PPGridRow],70),0))</f>
        <v/>
      </c>
      <c r="BS9">
        <f>SUMPRODUCT((M_BOM[RM_Code]=$A9)*M_BOM[RM_Qty_Per_Batch]*IFERROR(INDEX(PP_Grid[#Data],M_BOM[PPGridRow],71),0))</f>
        <v/>
      </c>
      <c r="BT9">
        <f>SUMPRODUCT((M_BOM[RM_Code]=$A9)*M_BOM[RM_Qty_Per_Batch]*IFERROR(INDEX(PP_Grid[#Data],M_BOM[PPGridRow],72),0))</f>
        <v/>
      </c>
      <c r="BU9">
        <f>SUMPRODUCT((M_BOM[RM_Code]=$A9)*M_BOM[RM_Qty_Per_Batch]*IFERROR(INDEX(PP_Grid[#Data],M_BOM[PPGridRow],73),0))</f>
        <v/>
      </c>
      <c r="BV9">
        <f>SUMPRODUCT((M_BOM[RM_Code]=$A9)*M_BOM[RM_Qty_Per_Batch]*IFERROR(INDEX(PP_Grid[#Data],M_BOM[PPGridRow],74),0))</f>
        <v/>
      </c>
      <c r="BW9">
        <f>SUMPRODUCT((M_BOM[RM_Code]=$A9)*M_BOM[RM_Qty_Per_Batch]*IFERROR(INDEX(PP_Grid[#Data],M_BOM[PPGridRow],75),0))</f>
        <v/>
      </c>
      <c r="BX9">
        <f>SUMPRODUCT((M_BOM[RM_Code]=$A9)*M_BOM[RM_Qty_Per_Batch]*IFERROR(INDEX(PP_Grid[#Data],M_BOM[PPGridRow],76),0))</f>
        <v/>
      </c>
      <c r="BY9">
        <f>SUMPRODUCT((M_BOM[RM_Code]=$A9)*M_BOM[RM_Qty_Per_Batch]*IFERROR(INDEX(PP_Grid[#Data],M_BOM[PPGridRow],77),0))</f>
        <v/>
      </c>
      <c r="BZ9">
        <f>SUMPRODUCT((M_BOM[RM_Code]=$A9)*M_BOM[RM_Qty_Per_Batch]*IFERROR(INDEX(PP_Grid[#Data],M_BOM[PPGridRow],78),0))</f>
        <v/>
      </c>
      <c r="CA9">
        <f>SUMPRODUCT((M_BOM[RM_Code]=$A9)*M_BOM[RM_Qty_Per_Batch]*IFERROR(INDEX(PP_Grid[#Data],M_BOM[PPGridRow],79),0))</f>
        <v/>
      </c>
      <c r="CB9">
        <f>SUMPRODUCT((M_BOM[RM_Code]=$A9)*M_BOM[RM_Qty_Per_Batch]*IFERROR(INDEX(PP_Grid[#Data],M_BOM[PPGridRow],80),0))</f>
        <v/>
      </c>
      <c r="CC9">
        <f>SUMPRODUCT((M_BOM[RM_Code]=$A9)*M_BOM[RM_Qty_Per_Batch]*IFERROR(INDEX(PP_Grid[#Data],M_BOM[PPGridRow],81),0))</f>
        <v/>
      </c>
      <c r="CD9">
        <f>SUMPRODUCT((M_BOM[RM_Code]=$A9)*M_BOM[RM_Qty_Per_Batch]*IFERROR(INDEX(PP_Grid[#Data],M_BOM[PPGridRow],82),0))</f>
        <v/>
      </c>
      <c r="CE9">
        <f>SUMPRODUCT((M_BOM[RM_Code]=$A9)*M_BOM[RM_Qty_Per_Batch]*IFERROR(INDEX(PP_Grid[#Data],M_BOM[PPGridRow],83),0))</f>
        <v/>
      </c>
      <c r="CF9">
        <f>SUMPRODUCT((M_BOM[RM_Code]=$A9)*M_BOM[RM_Qty_Per_Batch]*IFERROR(INDEX(PP_Grid[#Data],M_BOM[PPGridRow],84),0))</f>
        <v/>
      </c>
      <c r="CG9">
        <f>SUMPRODUCT((M_BOM[RM_Code]=$A9)*M_BOM[RM_Qty_Per_Batch]*IFERROR(INDEX(PP_Grid[#Data],M_BOM[PPGridRow],85),0))</f>
        <v/>
      </c>
      <c r="CH9">
        <f>SUMPRODUCT((M_BOM[RM_Code]=$A9)*M_BOM[RM_Qty_Per_Batch]*IFERROR(INDEX(PP_Grid[#Data],M_BOM[PPGridRow],86),0))</f>
        <v/>
      </c>
      <c r="CI9">
        <f>SUMPRODUCT((M_BOM[RM_Code]=$A9)*M_BOM[RM_Qty_Per_Batch]*IFERROR(INDEX(PP_Grid[#Data],M_BOM[PPGridRow],87),0))</f>
        <v/>
      </c>
      <c r="CJ9">
        <f>SUMPRODUCT((M_BOM[RM_Code]=$A9)*M_BOM[RM_Qty_Per_Batch]*IFERROR(INDEX(PP_Grid[#Data],M_BOM[PPGridRow],88),0))</f>
        <v/>
      </c>
      <c r="CK9">
        <f>SUMPRODUCT((M_BOM[RM_Code]=$A9)*M_BOM[RM_Qty_Per_Batch]*IFERROR(INDEX(PP_Grid[#Data],M_BOM[PPGridRow],89),0))</f>
        <v/>
      </c>
      <c r="CL9">
        <f>SUMPRODUCT((M_BOM[RM_Code]=$A9)*M_BOM[RM_Qty_Per_Batch]*IFERROR(INDEX(PP_Grid[#Data],M_BOM[PPGridRow],90),0))</f>
        <v/>
      </c>
      <c r="CM9">
        <f>SUMPRODUCT((M_BOM[RM_Code]=$A9)*M_BOM[RM_Qty_Per_Batch]*IFERROR(INDEX(PP_Grid[#Data],M_BOM[PPGridRow],91),0))</f>
        <v/>
      </c>
      <c r="CN9">
        <f>SUMPRODUCT((M_BOM[RM_Code]=$A9)*M_BOM[RM_Qty_Per_Batch]*IFERROR(INDEX(PP_Grid[#Data],M_BOM[PPGridRow],92),0))</f>
        <v/>
      </c>
      <c r="CO9">
        <f>SUMPRODUCT((M_BOM[RM_Code]=$A9)*M_BOM[RM_Qty_Per_Batch]*IFERROR(INDEX(PP_Grid[#Data],M_BOM[PPGridRow],93),0))</f>
        <v/>
      </c>
      <c r="CP9">
        <f>SUMPRODUCT((M_BOM[RM_Code]=$A9)*M_BOM[RM_Qty_Per_Batch]*IFERROR(INDEX(PP_Grid[#Data],M_BOM[PPGridRow],94),0))</f>
        <v/>
      </c>
      <c r="CQ9">
        <f>SUMPRODUCT((M_BOM[RM_Code]=$A9)*M_BOM[RM_Qty_Per_Batch]*IFERROR(INDEX(PP_Grid[#Data],M_BOM[PPGridRow],95),0))</f>
        <v/>
      </c>
      <c r="CR9">
        <f>SUMPRODUCT((M_BOM[RM_Code]=$A9)*M_BOM[RM_Qty_Per_Batch]*IFERROR(INDEX(PP_Grid[#Data],M_BOM[PPGridRow],96),0))</f>
        <v/>
      </c>
      <c r="CS9">
        <f>SUMPRODUCT((M_BOM[RM_Code]=$A9)*M_BOM[RM_Qty_Per_Batch]*IFERROR(INDEX(PP_Grid[#Data],M_BOM[PPGridRow],97),0))</f>
        <v/>
      </c>
      <c r="CT9">
        <f>SUMPRODUCT((M_BOM[RM_Code]=$A9)*M_BOM[RM_Qty_Per_Batch]*IFERROR(INDEX(PP_Grid[#Data],M_BOM[PPGridRow],98),0))</f>
        <v/>
      </c>
      <c r="CU9">
        <f>SUMPRODUCT((M_BOM[RM_Code]=$A9)*M_BOM[RM_Qty_Per_Batch]*IFERROR(INDEX(PP_Grid[#Data],M_BOM[PPGridRow],99),0))</f>
        <v/>
      </c>
      <c r="CV9">
        <f>SUMPRODUCT((M_BOM[RM_Code]=$A9)*M_BOM[RM_Qty_Per_Batch]*IFERROR(INDEX(PP_Grid[#Data],M_BOM[PPGridRow],100),0))</f>
        <v/>
      </c>
      <c r="CW9">
        <f>SUMPRODUCT((M_BOM[RM_Code]=$A9)*M_BOM[RM_Qty_Per_Batch]*IFERROR(INDEX(PP_Grid[#Data],M_BOM[PPGridRow],101),0))</f>
        <v/>
      </c>
      <c r="CX9">
        <f>SUMPRODUCT((M_BOM[RM_Code]=$A9)*M_BOM[RM_Qty_Per_Batch]*IFERROR(INDEX(PP_Grid[#Data],M_BOM[PPGridRow],102),0))</f>
        <v/>
      </c>
      <c r="CY9">
        <f>SUMPRODUCT((M_BOM[RM_Code]=$A9)*M_BOM[RM_Qty_Per_Batch]*IFERROR(INDEX(PP_Grid[#Data],M_BOM[PPGridRow],103),0))</f>
        <v/>
      </c>
      <c r="CZ9">
        <f>SUMPRODUCT((M_BOM[RM_Code]=$A9)*M_BOM[RM_Qty_Per_Batch]*IFERROR(INDEX(PP_Grid[#Data],M_BOM[PPGridRow],104),0))</f>
        <v/>
      </c>
      <c r="DA9">
        <f>SUMPRODUCT((M_BOM[RM_Code]=$A9)*M_BOM[RM_Qty_Per_Batch]*IFERROR(INDEX(PP_Grid[#Data],M_BOM[PPGridRow],105),0))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SUMPRODUCT((M_BOM[RM_Code]=$A10)*M_BOM[RM_Qty_Per_Batch]*IFERROR(INDEX(PP_Grid[#Data],M_BOM[PPGridRow],2),0))</f>
        <v/>
      </c>
      <c r="C10">
        <f>SUMPRODUCT((M_BOM[RM_Code]=$A10)*M_BOM[RM_Qty_Per_Batch]*IFERROR(INDEX(PP_Grid[#Data],M_BOM[PPGridRow],3),0))</f>
        <v/>
      </c>
      <c r="D10">
        <f>SUMPRODUCT((M_BOM[RM_Code]=$A10)*M_BOM[RM_Qty_Per_Batch]*IFERROR(INDEX(PP_Grid[#Data],M_BOM[PPGridRow],4),0))</f>
        <v/>
      </c>
      <c r="E10">
        <f>SUMPRODUCT((M_BOM[RM_Code]=$A10)*M_BOM[RM_Qty_Per_Batch]*IFERROR(INDEX(PP_Grid[#Data],M_BOM[PPGridRow],5),0))</f>
        <v/>
      </c>
      <c r="F10">
        <f>SUMPRODUCT((M_BOM[RM_Code]=$A10)*M_BOM[RM_Qty_Per_Batch]*IFERROR(INDEX(PP_Grid[#Data],M_BOM[PPGridRow],6),0))</f>
        <v/>
      </c>
      <c r="G10">
        <f>SUMPRODUCT((M_BOM[RM_Code]=$A10)*M_BOM[RM_Qty_Per_Batch]*IFERROR(INDEX(PP_Grid[#Data],M_BOM[PPGridRow],7),0))</f>
        <v/>
      </c>
      <c r="H10">
        <f>SUMPRODUCT((M_BOM[RM_Code]=$A10)*M_BOM[RM_Qty_Per_Batch]*IFERROR(INDEX(PP_Grid[#Data],M_BOM[PPGridRow],8),0))</f>
        <v/>
      </c>
      <c r="I10">
        <f>SUMPRODUCT((M_BOM[RM_Code]=$A10)*M_BOM[RM_Qty_Per_Batch]*IFERROR(INDEX(PP_Grid[#Data],M_BOM[PPGridRow],9),0))</f>
        <v/>
      </c>
      <c r="J10">
        <f>SUMPRODUCT((M_BOM[RM_Code]=$A10)*M_BOM[RM_Qty_Per_Batch]*IFERROR(INDEX(PP_Grid[#Data],M_BOM[PPGridRow],10),0))</f>
        <v/>
      </c>
      <c r="K10">
        <f>SUMPRODUCT((M_BOM[RM_Code]=$A10)*M_BOM[RM_Qty_Per_Batch]*IFERROR(INDEX(PP_Grid[#Data],M_BOM[PPGridRow],11),0))</f>
        <v/>
      </c>
      <c r="L10">
        <f>SUMPRODUCT((M_BOM[RM_Code]=$A10)*M_BOM[RM_Qty_Per_Batch]*IFERROR(INDEX(PP_Grid[#Data],M_BOM[PPGridRow],12),0))</f>
        <v/>
      </c>
      <c r="M10">
        <f>SUMPRODUCT((M_BOM[RM_Code]=$A10)*M_BOM[RM_Qty_Per_Batch]*IFERROR(INDEX(PP_Grid[#Data],M_BOM[PPGridRow],13),0))</f>
        <v/>
      </c>
      <c r="N10">
        <f>SUMPRODUCT((M_BOM[RM_Code]=$A10)*M_BOM[RM_Qty_Per_Batch]*IFERROR(INDEX(PP_Grid[#Data],M_BOM[PPGridRow],14),0))</f>
        <v/>
      </c>
      <c r="O10">
        <f>SUMPRODUCT((M_BOM[RM_Code]=$A10)*M_BOM[RM_Qty_Per_Batch]*IFERROR(INDEX(PP_Grid[#Data],M_BOM[PPGridRow],15),0))</f>
        <v/>
      </c>
      <c r="P10">
        <f>SUMPRODUCT((M_BOM[RM_Code]=$A10)*M_BOM[RM_Qty_Per_Batch]*IFERROR(INDEX(PP_Grid[#Data],M_BOM[PPGridRow],16),0))</f>
        <v/>
      </c>
      <c r="Q10">
        <f>SUMPRODUCT((M_BOM[RM_Code]=$A10)*M_BOM[RM_Qty_Per_Batch]*IFERROR(INDEX(PP_Grid[#Data],M_BOM[PPGridRow],17),0))</f>
        <v/>
      </c>
      <c r="R10">
        <f>SUMPRODUCT((M_BOM[RM_Code]=$A10)*M_BOM[RM_Qty_Per_Batch]*IFERROR(INDEX(PP_Grid[#Data],M_BOM[PPGridRow],18),0))</f>
        <v/>
      </c>
      <c r="S10">
        <f>SUMPRODUCT((M_BOM[RM_Code]=$A10)*M_BOM[RM_Qty_Per_Batch]*IFERROR(INDEX(PP_Grid[#Data],M_BOM[PPGridRow],19),0))</f>
        <v/>
      </c>
      <c r="T10">
        <f>SUMPRODUCT((M_BOM[RM_Code]=$A10)*M_BOM[RM_Qty_Per_Batch]*IFERROR(INDEX(PP_Grid[#Data],M_BOM[PPGridRow],20),0))</f>
        <v/>
      </c>
      <c r="U10">
        <f>SUMPRODUCT((M_BOM[RM_Code]=$A10)*M_BOM[RM_Qty_Per_Batch]*IFERROR(INDEX(PP_Grid[#Data],M_BOM[PPGridRow],21),0))</f>
        <v/>
      </c>
      <c r="V10">
        <f>SUMPRODUCT((M_BOM[RM_Code]=$A10)*M_BOM[RM_Qty_Per_Batch]*IFERROR(INDEX(PP_Grid[#Data],M_BOM[PPGridRow],22),0))</f>
        <v/>
      </c>
      <c r="W10">
        <f>SUMPRODUCT((M_BOM[RM_Code]=$A10)*M_BOM[RM_Qty_Per_Batch]*IFERROR(INDEX(PP_Grid[#Data],M_BOM[PPGridRow],23),0))</f>
        <v/>
      </c>
      <c r="X10">
        <f>SUMPRODUCT((M_BOM[RM_Code]=$A10)*M_BOM[RM_Qty_Per_Batch]*IFERROR(INDEX(PP_Grid[#Data],M_BOM[PPGridRow],24),0))</f>
        <v/>
      </c>
      <c r="Y10">
        <f>SUMPRODUCT((M_BOM[RM_Code]=$A10)*M_BOM[RM_Qty_Per_Batch]*IFERROR(INDEX(PP_Grid[#Data],M_BOM[PPGridRow],25),0))</f>
        <v/>
      </c>
      <c r="Z10">
        <f>SUMPRODUCT((M_BOM[RM_Code]=$A10)*M_BOM[RM_Qty_Per_Batch]*IFERROR(INDEX(PP_Grid[#Data],M_BOM[PPGridRow],26),0))</f>
        <v/>
      </c>
      <c r="AA10">
        <f>SUMPRODUCT((M_BOM[RM_Code]=$A10)*M_BOM[RM_Qty_Per_Batch]*IFERROR(INDEX(PP_Grid[#Data],M_BOM[PPGridRow],27),0))</f>
        <v/>
      </c>
      <c r="AB10">
        <f>SUMPRODUCT((M_BOM[RM_Code]=$A10)*M_BOM[RM_Qty_Per_Batch]*IFERROR(INDEX(PP_Grid[#Data],M_BOM[PPGridRow],28),0))</f>
        <v/>
      </c>
      <c r="AC10">
        <f>SUMPRODUCT((M_BOM[RM_Code]=$A10)*M_BOM[RM_Qty_Per_Batch]*IFERROR(INDEX(PP_Grid[#Data],M_BOM[PPGridRow],29),0))</f>
        <v/>
      </c>
      <c r="AD10">
        <f>SUMPRODUCT((M_BOM[RM_Code]=$A10)*M_BOM[RM_Qty_Per_Batch]*IFERROR(INDEX(PP_Grid[#Data],M_BOM[PPGridRow],30),0))</f>
        <v/>
      </c>
      <c r="AE10">
        <f>SUMPRODUCT((M_BOM[RM_Code]=$A10)*M_BOM[RM_Qty_Per_Batch]*IFERROR(INDEX(PP_Grid[#Data],M_BOM[PPGridRow],31),0))</f>
        <v/>
      </c>
      <c r="AF10">
        <f>SUMPRODUCT((M_BOM[RM_Code]=$A10)*M_BOM[RM_Qty_Per_Batch]*IFERROR(INDEX(PP_Grid[#Data],M_BOM[PPGridRow],32),0))</f>
        <v/>
      </c>
      <c r="AG10">
        <f>SUMPRODUCT((M_BOM[RM_Code]=$A10)*M_BOM[RM_Qty_Per_Batch]*IFERROR(INDEX(PP_Grid[#Data],M_BOM[PPGridRow],33),0))</f>
        <v/>
      </c>
      <c r="AH10">
        <f>SUMPRODUCT((M_BOM[RM_Code]=$A10)*M_BOM[RM_Qty_Per_Batch]*IFERROR(INDEX(PP_Grid[#Data],M_BOM[PPGridRow],34),0))</f>
        <v/>
      </c>
      <c r="AI10">
        <f>SUMPRODUCT((M_BOM[RM_Code]=$A10)*M_BOM[RM_Qty_Per_Batch]*IFERROR(INDEX(PP_Grid[#Data],M_BOM[PPGridRow],35),0))</f>
        <v/>
      </c>
      <c r="AJ10">
        <f>SUMPRODUCT((M_BOM[RM_Code]=$A10)*M_BOM[RM_Qty_Per_Batch]*IFERROR(INDEX(PP_Grid[#Data],M_BOM[PPGridRow],36),0))</f>
        <v/>
      </c>
      <c r="AK10">
        <f>SUMPRODUCT((M_BOM[RM_Code]=$A10)*M_BOM[RM_Qty_Per_Batch]*IFERROR(INDEX(PP_Grid[#Data],M_BOM[PPGridRow],37),0))</f>
        <v/>
      </c>
      <c r="AL10">
        <f>SUMPRODUCT((M_BOM[RM_Code]=$A10)*M_BOM[RM_Qty_Per_Batch]*IFERROR(INDEX(PP_Grid[#Data],M_BOM[PPGridRow],38),0))</f>
        <v/>
      </c>
      <c r="AM10">
        <f>SUMPRODUCT((M_BOM[RM_Code]=$A10)*M_BOM[RM_Qty_Per_Batch]*IFERROR(INDEX(PP_Grid[#Data],M_BOM[PPGridRow],39),0))</f>
        <v/>
      </c>
      <c r="AN10">
        <f>SUMPRODUCT((M_BOM[RM_Code]=$A10)*M_BOM[RM_Qty_Per_Batch]*IFERROR(INDEX(PP_Grid[#Data],M_BOM[PPGridRow],40),0))</f>
        <v/>
      </c>
      <c r="AO10">
        <f>SUMPRODUCT((M_BOM[RM_Code]=$A10)*M_BOM[RM_Qty_Per_Batch]*IFERROR(INDEX(PP_Grid[#Data],M_BOM[PPGridRow],41),0))</f>
        <v/>
      </c>
      <c r="AP10">
        <f>SUMPRODUCT((M_BOM[RM_Code]=$A10)*M_BOM[RM_Qty_Per_Batch]*IFERROR(INDEX(PP_Grid[#Data],M_BOM[PPGridRow],42),0))</f>
        <v/>
      </c>
      <c r="AQ10">
        <f>SUMPRODUCT((M_BOM[RM_Code]=$A10)*M_BOM[RM_Qty_Per_Batch]*IFERROR(INDEX(PP_Grid[#Data],M_BOM[PPGridRow],43),0))</f>
        <v/>
      </c>
      <c r="AR10">
        <f>SUMPRODUCT((M_BOM[RM_Code]=$A10)*M_BOM[RM_Qty_Per_Batch]*IFERROR(INDEX(PP_Grid[#Data],M_BOM[PPGridRow],44),0))</f>
        <v/>
      </c>
      <c r="AS10">
        <f>SUMPRODUCT((M_BOM[RM_Code]=$A10)*M_BOM[RM_Qty_Per_Batch]*IFERROR(INDEX(PP_Grid[#Data],M_BOM[PPGridRow],45),0))</f>
        <v/>
      </c>
      <c r="AT10">
        <f>SUMPRODUCT((M_BOM[RM_Code]=$A10)*M_BOM[RM_Qty_Per_Batch]*IFERROR(INDEX(PP_Grid[#Data],M_BOM[PPGridRow],46),0))</f>
        <v/>
      </c>
      <c r="AU10">
        <f>SUMPRODUCT((M_BOM[RM_Code]=$A10)*M_BOM[RM_Qty_Per_Batch]*IFERROR(INDEX(PP_Grid[#Data],M_BOM[PPGridRow],47),0))</f>
        <v/>
      </c>
      <c r="AV10">
        <f>SUMPRODUCT((M_BOM[RM_Code]=$A10)*M_BOM[RM_Qty_Per_Batch]*IFERROR(INDEX(PP_Grid[#Data],M_BOM[PPGridRow],48),0))</f>
        <v/>
      </c>
      <c r="AW10">
        <f>SUMPRODUCT((M_BOM[RM_Code]=$A10)*M_BOM[RM_Qty_Per_Batch]*IFERROR(INDEX(PP_Grid[#Data],M_BOM[PPGridRow],49),0))</f>
        <v/>
      </c>
      <c r="AX10">
        <f>SUMPRODUCT((M_BOM[RM_Code]=$A10)*M_BOM[RM_Qty_Per_Batch]*IFERROR(INDEX(PP_Grid[#Data],M_BOM[PPGridRow],50),0))</f>
        <v/>
      </c>
      <c r="AY10">
        <f>SUMPRODUCT((M_BOM[RM_Code]=$A10)*M_BOM[RM_Qty_Per_Batch]*IFERROR(INDEX(PP_Grid[#Data],M_BOM[PPGridRow],51),0))</f>
        <v/>
      </c>
      <c r="AZ10">
        <f>SUMPRODUCT((M_BOM[RM_Code]=$A10)*M_BOM[RM_Qty_Per_Batch]*IFERROR(INDEX(PP_Grid[#Data],M_BOM[PPGridRow],52),0))</f>
        <v/>
      </c>
      <c r="BA10">
        <f>SUMPRODUCT((M_BOM[RM_Code]=$A10)*M_BOM[RM_Qty_Per_Batch]*IFERROR(INDEX(PP_Grid[#Data],M_BOM[PPGridRow],53),0))</f>
        <v/>
      </c>
      <c r="BB10">
        <f>SUMPRODUCT((M_BOM[RM_Code]=$A10)*M_BOM[RM_Qty_Per_Batch]*IFERROR(INDEX(PP_Grid[#Data],M_BOM[PPGridRow],54),0))</f>
        <v/>
      </c>
      <c r="BC10">
        <f>SUMPRODUCT((M_BOM[RM_Code]=$A10)*M_BOM[RM_Qty_Per_Batch]*IFERROR(INDEX(PP_Grid[#Data],M_BOM[PPGridRow],55),0))</f>
        <v/>
      </c>
      <c r="BD10">
        <f>SUMPRODUCT((M_BOM[RM_Code]=$A10)*M_BOM[RM_Qty_Per_Batch]*IFERROR(INDEX(PP_Grid[#Data],M_BOM[PPGridRow],56),0))</f>
        <v/>
      </c>
      <c r="BE10">
        <f>SUMPRODUCT((M_BOM[RM_Code]=$A10)*M_BOM[RM_Qty_Per_Batch]*IFERROR(INDEX(PP_Grid[#Data],M_BOM[PPGridRow],57),0))</f>
        <v/>
      </c>
      <c r="BF10">
        <f>SUMPRODUCT((M_BOM[RM_Code]=$A10)*M_BOM[RM_Qty_Per_Batch]*IFERROR(INDEX(PP_Grid[#Data],M_BOM[PPGridRow],58),0))</f>
        <v/>
      </c>
      <c r="BG10">
        <f>SUMPRODUCT((M_BOM[RM_Code]=$A10)*M_BOM[RM_Qty_Per_Batch]*IFERROR(INDEX(PP_Grid[#Data],M_BOM[PPGridRow],59),0))</f>
        <v/>
      </c>
      <c r="BH10">
        <f>SUMPRODUCT((M_BOM[RM_Code]=$A10)*M_BOM[RM_Qty_Per_Batch]*IFERROR(INDEX(PP_Grid[#Data],M_BOM[PPGridRow],60),0))</f>
        <v/>
      </c>
      <c r="BI10">
        <f>SUMPRODUCT((M_BOM[RM_Code]=$A10)*M_BOM[RM_Qty_Per_Batch]*IFERROR(INDEX(PP_Grid[#Data],M_BOM[PPGridRow],61),0))</f>
        <v/>
      </c>
      <c r="BJ10">
        <f>SUMPRODUCT((M_BOM[RM_Code]=$A10)*M_BOM[RM_Qty_Per_Batch]*IFERROR(INDEX(PP_Grid[#Data],M_BOM[PPGridRow],62),0))</f>
        <v/>
      </c>
      <c r="BK10">
        <f>SUMPRODUCT((M_BOM[RM_Code]=$A10)*M_BOM[RM_Qty_Per_Batch]*IFERROR(INDEX(PP_Grid[#Data],M_BOM[PPGridRow],63),0))</f>
        <v/>
      </c>
      <c r="BL10">
        <f>SUMPRODUCT((M_BOM[RM_Code]=$A10)*M_BOM[RM_Qty_Per_Batch]*IFERROR(INDEX(PP_Grid[#Data],M_BOM[PPGridRow],64),0))</f>
        <v/>
      </c>
      <c r="BM10">
        <f>SUMPRODUCT((M_BOM[RM_Code]=$A10)*M_BOM[RM_Qty_Per_Batch]*IFERROR(INDEX(PP_Grid[#Data],M_BOM[PPGridRow],65),0))</f>
        <v/>
      </c>
      <c r="BN10">
        <f>SUMPRODUCT((M_BOM[RM_Code]=$A10)*M_BOM[RM_Qty_Per_Batch]*IFERROR(INDEX(PP_Grid[#Data],M_BOM[PPGridRow],66),0))</f>
        <v/>
      </c>
      <c r="BO10">
        <f>SUMPRODUCT((M_BOM[RM_Code]=$A10)*M_BOM[RM_Qty_Per_Batch]*IFERROR(INDEX(PP_Grid[#Data],M_BOM[PPGridRow],67),0))</f>
        <v/>
      </c>
      <c r="BP10">
        <f>SUMPRODUCT((M_BOM[RM_Code]=$A10)*M_BOM[RM_Qty_Per_Batch]*IFERROR(INDEX(PP_Grid[#Data],M_BOM[PPGridRow],68),0))</f>
        <v/>
      </c>
      <c r="BQ10">
        <f>SUMPRODUCT((M_BOM[RM_Code]=$A10)*M_BOM[RM_Qty_Per_Batch]*IFERROR(INDEX(PP_Grid[#Data],M_BOM[PPGridRow],69),0))</f>
        <v/>
      </c>
      <c r="BR10">
        <f>SUMPRODUCT((M_BOM[RM_Code]=$A10)*M_BOM[RM_Qty_Per_Batch]*IFERROR(INDEX(PP_Grid[#Data],M_BOM[PPGridRow],70),0))</f>
        <v/>
      </c>
      <c r="BS10">
        <f>SUMPRODUCT((M_BOM[RM_Code]=$A10)*M_BOM[RM_Qty_Per_Batch]*IFERROR(INDEX(PP_Grid[#Data],M_BOM[PPGridRow],71),0))</f>
        <v/>
      </c>
      <c r="BT10">
        <f>SUMPRODUCT((M_BOM[RM_Code]=$A10)*M_BOM[RM_Qty_Per_Batch]*IFERROR(INDEX(PP_Grid[#Data],M_BOM[PPGridRow],72),0))</f>
        <v/>
      </c>
      <c r="BU10">
        <f>SUMPRODUCT((M_BOM[RM_Code]=$A10)*M_BOM[RM_Qty_Per_Batch]*IFERROR(INDEX(PP_Grid[#Data],M_BOM[PPGridRow],73),0))</f>
        <v/>
      </c>
      <c r="BV10">
        <f>SUMPRODUCT((M_BOM[RM_Code]=$A10)*M_BOM[RM_Qty_Per_Batch]*IFERROR(INDEX(PP_Grid[#Data],M_BOM[PPGridRow],74),0))</f>
        <v/>
      </c>
      <c r="BW10">
        <f>SUMPRODUCT((M_BOM[RM_Code]=$A10)*M_BOM[RM_Qty_Per_Batch]*IFERROR(INDEX(PP_Grid[#Data],M_BOM[PPGridRow],75),0))</f>
        <v/>
      </c>
      <c r="BX10">
        <f>SUMPRODUCT((M_BOM[RM_Code]=$A10)*M_BOM[RM_Qty_Per_Batch]*IFERROR(INDEX(PP_Grid[#Data],M_BOM[PPGridRow],76),0))</f>
        <v/>
      </c>
      <c r="BY10">
        <f>SUMPRODUCT((M_BOM[RM_Code]=$A10)*M_BOM[RM_Qty_Per_Batch]*IFERROR(INDEX(PP_Grid[#Data],M_BOM[PPGridRow],77),0))</f>
        <v/>
      </c>
      <c r="BZ10">
        <f>SUMPRODUCT((M_BOM[RM_Code]=$A10)*M_BOM[RM_Qty_Per_Batch]*IFERROR(INDEX(PP_Grid[#Data],M_BOM[PPGridRow],78),0))</f>
        <v/>
      </c>
      <c r="CA10">
        <f>SUMPRODUCT((M_BOM[RM_Code]=$A10)*M_BOM[RM_Qty_Per_Batch]*IFERROR(INDEX(PP_Grid[#Data],M_BOM[PPGridRow],79),0))</f>
        <v/>
      </c>
      <c r="CB10">
        <f>SUMPRODUCT((M_BOM[RM_Code]=$A10)*M_BOM[RM_Qty_Per_Batch]*IFERROR(INDEX(PP_Grid[#Data],M_BOM[PPGridRow],80),0))</f>
        <v/>
      </c>
      <c r="CC10">
        <f>SUMPRODUCT((M_BOM[RM_Code]=$A10)*M_BOM[RM_Qty_Per_Batch]*IFERROR(INDEX(PP_Grid[#Data],M_BOM[PPGridRow],81),0))</f>
        <v/>
      </c>
      <c r="CD10">
        <f>SUMPRODUCT((M_BOM[RM_Code]=$A10)*M_BOM[RM_Qty_Per_Batch]*IFERROR(INDEX(PP_Grid[#Data],M_BOM[PPGridRow],82),0))</f>
        <v/>
      </c>
      <c r="CE10">
        <f>SUMPRODUCT((M_BOM[RM_Code]=$A10)*M_BOM[RM_Qty_Per_Batch]*IFERROR(INDEX(PP_Grid[#Data],M_BOM[PPGridRow],83),0))</f>
        <v/>
      </c>
      <c r="CF10">
        <f>SUMPRODUCT((M_BOM[RM_Code]=$A10)*M_BOM[RM_Qty_Per_Batch]*IFERROR(INDEX(PP_Grid[#Data],M_BOM[PPGridRow],84),0))</f>
        <v/>
      </c>
      <c r="CG10">
        <f>SUMPRODUCT((M_BOM[RM_Code]=$A10)*M_BOM[RM_Qty_Per_Batch]*IFERROR(INDEX(PP_Grid[#Data],M_BOM[PPGridRow],85),0))</f>
        <v/>
      </c>
      <c r="CH10">
        <f>SUMPRODUCT((M_BOM[RM_Code]=$A10)*M_BOM[RM_Qty_Per_Batch]*IFERROR(INDEX(PP_Grid[#Data],M_BOM[PPGridRow],86),0))</f>
        <v/>
      </c>
      <c r="CI10">
        <f>SUMPRODUCT((M_BOM[RM_Code]=$A10)*M_BOM[RM_Qty_Per_Batch]*IFERROR(INDEX(PP_Grid[#Data],M_BOM[PPGridRow],87),0))</f>
        <v/>
      </c>
      <c r="CJ10">
        <f>SUMPRODUCT((M_BOM[RM_Code]=$A10)*M_BOM[RM_Qty_Per_Batch]*IFERROR(INDEX(PP_Grid[#Data],M_BOM[PPGridRow],88),0))</f>
        <v/>
      </c>
      <c r="CK10">
        <f>SUMPRODUCT((M_BOM[RM_Code]=$A10)*M_BOM[RM_Qty_Per_Batch]*IFERROR(INDEX(PP_Grid[#Data],M_BOM[PPGridRow],89),0))</f>
        <v/>
      </c>
      <c r="CL10">
        <f>SUMPRODUCT((M_BOM[RM_Code]=$A10)*M_BOM[RM_Qty_Per_Batch]*IFERROR(INDEX(PP_Grid[#Data],M_BOM[PPGridRow],90),0))</f>
        <v/>
      </c>
      <c r="CM10">
        <f>SUMPRODUCT((M_BOM[RM_Code]=$A10)*M_BOM[RM_Qty_Per_Batch]*IFERROR(INDEX(PP_Grid[#Data],M_BOM[PPGridRow],91),0))</f>
        <v/>
      </c>
      <c r="CN10">
        <f>SUMPRODUCT((M_BOM[RM_Code]=$A10)*M_BOM[RM_Qty_Per_Batch]*IFERROR(INDEX(PP_Grid[#Data],M_BOM[PPGridRow],92),0))</f>
        <v/>
      </c>
      <c r="CO10">
        <f>SUMPRODUCT((M_BOM[RM_Code]=$A10)*M_BOM[RM_Qty_Per_Batch]*IFERROR(INDEX(PP_Grid[#Data],M_BOM[PPGridRow],93),0))</f>
        <v/>
      </c>
      <c r="CP10">
        <f>SUMPRODUCT((M_BOM[RM_Code]=$A10)*M_BOM[RM_Qty_Per_Batch]*IFERROR(INDEX(PP_Grid[#Data],M_BOM[PPGridRow],94),0))</f>
        <v/>
      </c>
      <c r="CQ10">
        <f>SUMPRODUCT((M_BOM[RM_Code]=$A10)*M_BOM[RM_Qty_Per_Batch]*IFERROR(INDEX(PP_Grid[#Data],M_BOM[PPGridRow],95),0))</f>
        <v/>
      </c>
      <c r="CR10">
        <f>SUMPRODUCT((M_BOM[RM_Code]=$A10)*M_BOM[RM_Qty_Per_Batch]*IFERROR(INDEX(PP_Grid[#Data],M_BOM[PPGridRow],96),0))</f>
        <v/>
      </c>
      <c r="CS10">
        <f>SUMPRODUCT((M_BOM[RM_Code]=$A10)*M_BOM[RM_Qty_Per_Batch]*IFERROR(INDEX(PP_Grid[#Data],M_BOM[PPGridRow],97),0))</f>
        <v/>
      </c>
      <c r="CT10">
        <f>SUMPRODUCT((M_BOM[RM_Code]=$A10)*M_BOM[RM_Qty_Per_Batch]*IFERROR(INDEX(PP_Grid[#Data],M_BOM[PPGridRow],98),0))</f>
        <v/>
      </c>
      <c r="CU10">
        <f>SUMPRODUCT((M_BOM[RM_Code]=$A10)*M_BOM[RM_Qty_Per_Batch]*IFERROR(INDEX(PP_Grid[#Data],M_BOM[PPGridRow],99),0))</f>
        <v/>
      </c>
      <c r="CV10">
        <f>SUMPRODUCT((M_BOM[RM_Code]=$A10)*M_BOM[RM_Qty_Per_Batch]*IFERROR(INDEX(PP_Grid[#Data],M_BOM[PPGridRow],100),0))</f>
        <v/>
      </c>
      <c r="CW10">
        <f>SUMPRODUCT((M_BOM[RM_Code]=$A10)*M_BOM[RM_Qty_Per_Batch]*IFERROR(INDEX(PP_Grid[#Data],M_BOM[PPGridRow],101),0))</f>
        <v/>
      </c>
      <c r="CX10">
        <f>SUMPRODUCT((M_BOM[RM_Code]=$A10)*M_BOM[RM_Qty_Per_Batch]*IFERROR(INDEX(PP_Grid[#Data],M_BOM[PPGridRow],102),0))</f>
        <v/>
      </c>
      <c r="CY10">
        <f>SUMPRODUCT((M_BOM[RM_Code]=$A10)*M_BOM[RM_Qty_Per_Batch]*IFERROR(INDEX(PP_Grid[#Data],M_BOM[PPGridRow],103),0))</f>
        <v/>
      </c>
      <c r="CZ10">
        <f>SUMPRODUCT((M_BOM[RM_Code]=$A10)*M_BOM[RM_Qty_Per_Batch]*IFERROR(INDEX(PP_Grid[#Data],M_BOM[PPGridRow],104),0))</f>
        <v/>
      </c>
      <c r="DA10">
        <f>SUMPRODUCT((M_BOM[RM_Code]=$A10)*M_BOM[RM_Qty_Per_Batch]*IFERROR(INDEX(PP_Grid[#Data],M_BOM[PPGridRow],105),0))</f>
        <v/>
      </c>
    </row>
    <row r="11">
      <c r="A11" t="inlineStr">
        <is>
          <t>PET FILM(900*1000)</t>
        </is>
      </c>
      <c r="B11">
        <f>SUMPRODUCT((M_BOM[RM_Code]=$A11)*M_BOM[RM_Qty_Per_Batch]*IFERROR(INDEX(PP_Grid[#Data],M_BOM[PPGridRow],2),0))</f>
        <v/>
      </c>
      <c r="C11">
        <f>SUMPRODUCT((M_BOM[RM_Code]=$A11)*M_BOM[RM_Qty_Per_Batch]*IFERROR(INDEX(PP_Grid[#Data],M_BOM[PPGridRow],3),0))</f>
        <v/>
      </c>
      <c r="D11">
        <f>SUMPRODUCT((M_BOM[RM_Code]=$A11)*M_BOM[RM_Qty_Per_Batch]*IFERROR(INDEX(PP_Grid[#Data],M_BOM[PPGridRow],4),0))</f>
        <v/>
      </c>
      <c r="E11">
        <f>SUMPRODUCT((M_BOM[RM_Code]=$A11)*M_BOM[RM_Qty_Per_Batch]*IFERROR(INDEX(PP_Grid[#Data],M_BOM[PPGridRow],5),0))</f>
        <v/>
      </c>
      <c r="F11">
        <f>SUMPRODUCT((M_BOM[RM_Code]=$A11)*M_BOM[RM_Qty_Per_Batch]*IFERROR(INDEX(PP_Grid[#Data],M_BOM[PPGridRow],6),0))</f>
        <v/>
      </c>
      <c r="G11">
        <f>SUMPRODUCT((M_BOM[RM_Code]=$A11)*M_BOM[RM_Qty_Per_Batch]*IFERROR(INDEX(PP_Grid[#Data],M_BOM[PPGridRow],7),0))</f>
        <v/>
      </c>
      <c r="H11">
        <f>SUMPRODUCT((M_BOM[RM_Code]=$A11)*M_BOM[RM_Qty_Per_Batch]*IFERROR(INDEX(PP_Grid[#Data],M_BOM[PPGridRow],8),0))</f>
        <v/>
      </c>
      <c r="I11">
        <f>SUMPRODUCT((M_BOM[RM_Code]=$A11)*M_BOM[RM_Qty_Per_Batch]*IFERROR(INDEX(PP_Grid[#Data],M_BOM[PPGridRow],9),0))</f>
        <v/>
      </c>
      <c r="J11">
        <f>SUMPRODUCT((M_BOM[RM_Code]=$A11)*M_BOM[RM_Qty_Per_Batch]*IFERROR(INDEX(PP_Grid[#Data],M_BOM[PPGridRow],10),0))</f>
        <v/>
      </c>
      <c r="K11">
        <f>SUMPRODUCT((M_BOM[RM_Code]=$A11)*M_BOM[RM_Qty_Per_Batch]*IFERROR(INDEX(PP_Grid[#Data],M_BOM[PPGridRow],11),0))</f>
        <v/>
      </c>
      <c r="L11">
        <f>SUMPRODUCT((M_BOM[RM_Code]=$A11)*M_BOM[RM_Qty_Per_Batch]*IFERROR(INDEX(PP_Grid[#Data],M_BOM[PPGridRow],12),0))</f>
        <v/>
      </c>
      <c r="M11">
        <f>SUMPRODUCT((M_BOM[RM_Code]=$A11)*M_BOM[RM_Qty_Per_Batch]*IFERROR(INDEX(PP_Grid[#Data],M_BOM[PPGridRow],13),0))</f>
        <v/>
      </c>
      <c r="N11">
        <f>SUMPRODUCT((M_BOM[RM_Code]=$A11)*M_BOM[RM_Qty_Per_Batch]*IFERROR(INDEX(PP_Grid[#Data],M_BOM[PPGridRow],14),0))</f>
        <v/>
      </c>
      <c r="O11">
        <f>SUMPRODUCT((M_BOM[RM_Code]=$A11)*M_BOM[RM_Qty_Per_Batch]*IFERROR(INDEX(PP_Grid[#Data],M_BOM[PPGridRow],15),0))</f>
        <v/>
      </c>
      <c r="P11">
        <f>SUMPRODUCT((M_BOM[RM_Code]=$A11)*M_BOM[RM_Qty_Per_Batch]*IFERROR(INDEX(PP_Grid[#Data],M_BOM[PPGridRow],16),0))</f>
        <v/>
      </c>
      <c r="Q11">
        <f>SUMPRODUCT((M_BOM[RM_Code]=$A11)*M_BOM[RM_Qty_Per_Batch]*IFERROR(INDEX(PP_Grid[#Data],M_BOM[PPGridRow],17),0))</f>
        <v/>
      </c>
      <c r="R11">
        <f>SUMPRODUCT((M_BOM[RM_Code]=$A11)*M_BOM[RM_Qty_Per_Batch]*IFERROR(INDEX(PP_Grid[#Data],M_BOM[PPGridRow],18),0))</f>
        <v/>
      </c>
      <c r="S11">
        <f>SUMPRODUCT((M_BOM[RM_Code]=$A11)*M_BOM[RM_Qty_Per_Batch]*IFERROR(INDEX(PP_Grid[#Data],M_BOM[PPGridRow],19),0))</f>
        <v/>
      </c>
      <c r="T11">
        <f>SUMPRODUCT((M_BOM[RM_Code]=$A11)*M_BOM[RM_Qty_Per_Batch]*IFERROR(INDEX(PP_Grid[#Data],M_BOM[PPGridRow],20),0))</f>
        <v/>
      </c>
      <c r="U11">
        <f>SUMPRODUCT((M_BOM[RM_Code]=$A11)*M_BOM[RM_Qty_Per_Batch]*IFERROR(INDEX(PP_Grid[#Data],M_BOM[PPGridRow],21),0))</f>
        <v/>
      </c>
      <c r="V11">
        <f>SUMPRODUCT((M_BOM[RM_Code]=$A11)*M_BOM[RM_Qty_Per_Batch]*IFERROR(INDEX(PP_Grid[#Data],M_BOM[PPGridRow],22),0))</f>
        <v/>
      </c>
      <c r="W11">
        <f>SUMPRODUCT((M_BOM[RM_Code]=$A11)*M_BOM[RM_Qty_Per_Batch]*IFERROR(INDEX(PP_Grid[#Data],M_BOM[PPGridRow],23),0))</f>
        <v/>
      </c>
      <c r="X11">
        <f>SUMPRODUCT((M_BOM[RM_Code]=$A11)*M_BOM[RM_Qty_Per_Batch]*IFERROR(INDEX(PP_Grid[#Data],M_BOM[PPGridRow],24),0))</f>
        <v/>
      </c>
      <c r="Y11">
        <f>SUMPRODUCT((M_BOM[RM_Code]=$A11)*M_BOM[RM_Qty_Per_Batch]*IFERROR(INDEX(PP_Grid[#Data],M_BOM[PPGridRow],25),0))</f>
        <v/>
      </c>
      <c r="Z11">
        <f>SUMPRODUCT((M_BOM[RM_Code]=$A11)*M_BOM[RM_Qty_Per_Batch]*IFERROR(INDEX(PP_Grid[#Data],M_BOM[PPGridRow],26),0))</f>
        <v/>
      </c>
      <c r="AA11">
        <f>SUMPRODUCT((M_BOM[RM_Code]=$A11)*M_BOM[RM_Qty_Per_Batch]*IFERROR(INDEX(PP_Grid[#Data],M_BOM[PPGridRow],27),0))</f>
        <v/>
      </c>
      <c r="AB11">
        <f>SUMPRODUCT((M_BOM[RM_Code]=$A11)*M_BOM[RM_Qty_Per_Batch]*IFERROR(INDEX(PP_Grid[#Data],M_BOM[PPGridRow],28),0))</f>
        <v/>
      </c>
      <c r="AC11">
        <f>SUMPRODUCT((M_BOM[RM_Code]=$A11)*M_BOM[RM_Qty_Per_Batch]*IFERROR(INDEX(PP_Grid[#Data],M_BOM[PPGridRow],29),0))</f>
        <v/>
      </c>
      <c r="AD11">
        <f>SUMPRODUCT((M_BOM[RM_Code]=$A11)*M_BOM[RM_Qty_Per_Batch]*IFERROR(INDEX(PP_Grid[#Data],M_BOM[PPGridRow],30),0))</f>
        <v/>
      </c>
      <c r="AE11">
        <f>SUMPRODUCT((M_BOM[RM_Code]=$A11)*M_BOM[RM_Qty_Per_Batch]*IFERROR(INDEX(PP_Grid[#Data],M_BOM[PPGridRow],31),0))</f>
        <v/>
      </c>
      <c r="AF11">
        <f>SUMPRODUCT((M_BOM[RM_Code]=$A11)*M_BOM[RM_Qty_Per_Batch]*IFERROR(INDEX(PP_Grid[#Data],M_BOM[PPGridRow],32),0))</f>
        <v/>
      </c>
      <c r="AG11">
        <f>SUMPRODUCT((M_BOM[RM_Code]=$A11)*M_BOM[RM_Qty_Per_Batch]*IFERROR(INDEX(PP_Grid[#Data],M_BOM[PPGridRow],33),0))</f>
        <v/>
      </c>
      <c r="AH11">
        <f>SUMPRODUCT((M_BOM[RM_Code]=$A11)*M_BOM[RM_Qty_Per_Batch]*IFERROR(INDEX(PP_Grid[#Data],M_BOM[PPGridRow],34),0))</f>
        <v/>
      </c>
      <c r="AI11">
        <f>SUMPRODUCT((M_BOM[RM_Code]=$A11)*M_BOM[RM_Qty_Per_Batch]*IFERROR(INDEX(PP_Grid[#Data],M_BOM[PPGridRow],35),0))</f>
        <v/>
      </c>
      <c r="AJ11">
        <f>SUMPRODUCT((M_BOM[RM_Code]=$A11)*M_BOM[RM_Qty_Per_Batch]*IFERROR(INDEX(PP_Grid[#Data],M_BOM[PPGridRow],36),0))</f>
        <v/>
      </c>
      <c r="AK11">
        <f>SUMPRODUCT((M_BOM[RM_Code]=$A11)*M_BOM[RM_Qty_Per_Batch]*IFERROR(INDEX(PP_Grid[#Data],M_BOM[PPGridRow],37),0))</f>
        <v/>
      </c>
      <c r="AL11">
        <f>SUMPRODUCT((M_BOM[RM_Code]=$A11)*M_BOM[RM_Qty_Per_Batch]*IFERROR(INDEX(PP_Grid[#Data],M_BOM[PPGridRow],38),0))</f>
        <v/>
      </c>
      <c r="AM11">
        <f>SUMPRODUCT((M_BOM[RM_Code]=$A11)*M_BOM[RM_Qty_Per_Batch]*IFERROR(INDEX(PP_Grid[#Data],M_BOM[PPGridRow],39),0))</f>
        <v/>
      </c>
      <c r="AN11">
        <f>SUMPRODUCT((M_BOM[RM_Code]=$A11)*M_BOM[RM_Qty_Per_Batch]*IFERROR(INDEX(PP_Grid[#Data],M_BOM[PPGridRow],40),0))</f>
        <v/>
      </c>
      <c r="AO11">
        <f>SUMPRODUCT((M_BOM[RM_Code]=$A11)*M_BOM[RM_Qty_Per_Batch]*IFERROR(INDEX(PP_Grid[#Data],M_BOM[PPGridRow],41),0))</f>
        <v/>
      </c>
      <c r="AP11">
        <f>SUMPRODUCT((M_BOM[RM_Code]=$A11)*M_BOM[RM_Qty_Per_Batch]*IFERROR(INDEX(PP_Grid[#Data],M_BOM[PPGridRow],42),0))</f>
        <v/>
      </c>
      <c r="AQ11">
        <f>SUMPRODUCT((M_BOM[RM_Code]=$A11)*M_BOM[RM_Qty_Per_Batch]*IFERROR(INDEX(PP_Grid[#Data],M_BOM[PPGridRow],43),0))</f>
        <v/>
      </c>
      <c r="AR11">
        <f>SUMPRODUCT((M_BOM[RM_Code]=$A11)*M_BOM[RM_Qty_Per_Batch]*IFERROR(INDEX(PP_Grid[#Data],M_BOM[PPGridRow],44),0))</f>
        <v/>
      </c>
      <c r="AS11">
        <f>SUMPRODUCT((M_BOM[RM_Code]=$A11)*M_BOM[RM_Qty_Per_Batch]*IFERROR(INDEX(PP_Grid[#Data],M_BOM[PPGridRow],45),0))</f>
        <v/>
      </c>
      <c r="AT11">
        <f>SUMPRODUCT((M_BOM[RM_Code]=$A11)*M_BOM[RM_Qty_Per_Batch]*IFERROR(INDEX(PP_Grid[#Data],M_BOM[PPGridRow],46),0))</f>
        <v/>
      </c>
      <c r="AU11">
        <f>SUMPRODUCT((M_BOM[RM_Code]=$A11)*M_BOM[RM_Qty_Per_Batch]*IFERROR(INDEX(PP_Grid[#Data],M_BOM[PPGridRow],47),0))</f>
        <v/>
      </c>
      <c r="AV11">
        <f>SUMPRODUCT((M_BOM[RM_Code]=$A11)*M_BOM[RM_Qty_Per_Batch]*IFERROR(INDEX(PP_Grid[#Data],M_BOM[PPGridRow],48),0))</f>
        <v/>
      </c>
      <c r="AW11">
        <f>SUMPRODUCT((M_BOM[RM_Code]=$A11)*M_BOM[RM_Qty_Per_Batch]*IFERROR(INDEX(PP_Grid[#Data],M_BOM[PPGridRow],49),0))</f>
        <v/>
      </c>
      <c r="AX11">
        <f>SUMPRODUCT((M_BOM[RM_Code]=$A11)*M_BOM[RM_Qty_Per_Batch]*IFERROR(INDEX(PP_Grid[#Data],M_BOM[PPGridRow],50),0))</f>
        <v/>
      </c>
      <c r="AY11">
        <f>SUMPRODUCT((M_BOM[RM_Code]=$A11)*M_BOM[RM_Qty_Per_Batch]*IFERROR(INDEX(PP_Grid[#Data],M_BOM[PPGridRow],51),0))</f>
        <v/>
      </c>
      <c r="AZ11">
        <f>SUMPRODUCT((M_BOM[RM_Code]=$A11)*M_BOM[RM_Qty_Per_Batch]*IFERROR(INDEX(PP_Grid[#Data],M_BOM[PPGridRow],52),0))</f>
        <v/>
      </c>
      <c r="BA11">
        <f>SUMPRODUCT((M_BOM[RM_Code]=$A11)*M_BOM[RM_Qty_Per_Batch]*IFERROR(INDEX(PP_Grid[#Data],M_BOM[PPGridRow],53),0))</f>
        <v/>
      </c>
      <c r="BB11">
        <f>SUMPRODUCT((M_BOM[RM_Code]=$A11)*M_BOM[RM_Qty_Per_Batch]*IFERROR(INDEX(PP_Grid[#Data],M_BOM[PPGridRow],54),0))</f>
        <v/>
      </c>
      <c r="BC11">
        <f>SUMPRODUCT((M_BOM[RM_Code]=$A11)*M_BOM[RM_Qty_Per_Batch]*IFERROR(INDEX(PP_Grid[#Data],M_BOM[PPGridRow],55),0))</f>
        <v/>
      </c>
      <c r="BD11">
        <f>SUMPRODUCT((M_BOM[RM_Code]=$A11)*M_BOM[RM_Qty_Per_Batch]*IFERROR(INDEX(PP_Grid[#Data],M_BOM[PPGridRow],56),0))</f>
        <v/>
      </c>
      <c r="BE11">
        <f>SUMPRODUCT((M_BOM[RM_Code]=$A11)*M_BOM[RM_Qty_Per_Batch]*IFERROR(INDEX(PP_Grid[#Data],M_BOM[PPGridRow],57),0))</f>
        <v/>
      </c>
      <c r="BF11">
        <f>SUMPRODUCT((M_BOM[RM_Code]=$A11)*M_BOM[RM_Qty_Per_Batch]*IFERROR(INDEX(PP_Grid[#Data],M_BOM[PPGridRow],58),0))</f>
        <v/>
      </c>
      <c r="BG11">
        <f>SUMPRODUCT((M_BOM[RM_Code]=$A11)*M_BOM[RM_Qty_Per_Batch]*IFERROR(INDEX(PP_Grid[#Data],M_BOM[PPGridRow],59),0))</f>
        <v/>
      </c>
      <c r="BH11">
        <f>SUMPRODUCT((M_BOM[RM_Code]=$A11)*M_BOM[RM_Qty_Per_Batch]*IFERROR(INDEX(PP_Grid[#Data],M_BOM[PPGridRow],60),0))</f>
        <v/>
      </c>
      <c r="BI11">
        <f>SUMPRODUCT((M_BOM[RM_Code]=$A11)*M_BOM[RM_Qty_Per_Batch]*IFERROR(INDEX(PP_Grid[#Data],M_BOM[PPGridRow],61),0))</f>
        <v/>
      </c>
      <c r="BJ11">
        <f>SUMPRODUCT((M_BOM[RM_Code]=$A11)*M_BOM[RM_Qty_Per_Batch]*IFERROR(INDEX(PP_Grid[#Data],M_BOM[PPGridRow],62),0))</f>
        <v/>
      </c>
      <c r="BK11">
        <f>SUMPRODUCT((M_BOM[RM_Code]=$A11)*M_BOM[RM_Qty_Per_Batch]*IFERROR(INDEX(PP_Grid[#Data],M_BOM[PPGridRow],63),0))</f>
        <v/>
      </c>
      <c r="BL11">
        <f>SUMPRODUCT((M_BOM[RM_Code]=$A11)*M_BOM[RM_Qty_Per_Batch]*IFERROR(INDEX(PP_Grid[#Data],M_BOM[PPGridRow],64),0))</f>
        <v/>
      </c>
      <c r="BM11">
        <f>SUMPRODUCT((M_BOM[RM_Code]=$A11)*M_BOM[RM_Qty_Per_Batch]*IFERROR(INDEX(PP_Grid[#Data],M_BOM[PPGridRow],65),0))</f>
        <v/>
      </c>
      <c r="BN11">
        <f>SUMPRODUCT((M_BOM[RM_Code]=$A11)*M_BOM[RM_Qty_Per_Batch]*IFERROR(INDEX(PP_Grid[#Data],M_BOM[PPGridRow],66),0))</f>
        <v/>
      </c>
      <c r="BO11">
        <f>SUMPRODUCT((M_BOM[RM_Code]=$A11)*M_BOM[RM_Qty_Per_Batch]*IFERROR(INDEX(PP_Grid[#Data],M_BOM[PPGridRow],67),0))</f>
        <v/>
      </c>
      <c r="BP11">
        <f>SUMPRODUCT((M_BOM[RM_Code]=$A11)*M_BOM[RM_Qty_Per_Batch]*IFERROR(INDEX(PP_Grid[#Data],M_BOM[PPGridRow],68),0))</f>
        <v/>
      </c>
      <c r="BQ11">
        <f>SUMPRODUCT((M_BOM[RM_Code]=$A11)*M_BOM[RM_Qty_Per_Batch]*IFERROR(INDEX(PP_Grid[#Data],M_BOM[PPGridRow],69),0))</f>
        <v/>
      </c>
      <c r="BR11">
        <f>SUMPRODUCT((M_BOM[RM_Code]=$A11)*M_BOM[RM_Qty_Per_Batch]*IFERROR(INDEX(PP_Grid[#Data],M_BOM[PPGridRow],70),0))</f>
        <v/>
      </c>
      <c r="BS11">
        <f>SUMPRODUCT((M_BOM[RM_Code]=$A11)*M_BOM[RM_Qty_Per_Batch]*IFERROR(INDEX(PP_Grid[#Data],M_BOM[PPGridRow],71),0))</f>
        <v/>
      </c>
      <c r="BT11">
        <f>SUMPRODUCT((M_BOM[RM_Code]=$A11)*M_BOM[RM_Qty_Per_Batch]*IFERROR(INDEX(PP_Grid[#Data],M_BOM[PPGridRow],72),0))</f>
        <v/>
      </c>
      <c r="BU11">
        <f>SUMPRODUCT((M_BOM[RM_Code]=$A11)*M_BOM[RM_Qty_Per_Batch]*IFERROR(INDEX(PP_Grid[#Data],M_BOM[PPGridRow],73),0))</f>
        <v/>
      </c>
      <c r="BV11">
        <f>SUMPRODUCT((M_BOM[RM_Code]=$A11)*M_BOM[RM_Qty_Per_Batch]*IFERROR(INDEX(PP_Grid[#Data],M_BOM[PPGridRow],74),0))</f>
        <v/>
      </c>
      <c r="BW11">
        <f>SUMPRODUCT((M_BOM[RM_Code]=$A11)*M_BOM[RM_Qty_Per_Batch]*IFERROR(INDEX(PP_Grid[#Data],M_BOM[PPGridRow],75),0))</f>
        <v/>
      </c>
      <c r="BX11">
        <f>SUMPRODUCT((M_BOM[RM_Code]=$A11)*M_BOM[RM_Qty_Per_Batch]*IFERROR(INDEX(PP_Grid[#Data],M_BOM[PPGridRow],76),0))</f>
        <v/>
      </c>
      <c r="BY11">
        <f>SUMPRODUCT((M_BOM[RM_Code]=$A11)*M_BOM[RM_Qty_Per_Batch]*IFERROR(INDEX(PP_Grid[#Data],M_BOM[PPGridRow],77),0))</f>
        <v/>
      </c>
      <c r="BZ11">
        <f>SUMPRODUCT((M_BOM[RM_Code]=$A11)*M_BOM[RM_Qty_Per_Batch]*IFERROR(INDEX(PP_Grid[#Data],M_BOM[PPGridRow],78),0))</f>
        <v/>
      </c>
      <c r="CA11">
        <f>SUMPRODUCT((M_BOM[RM_Code]=$A11)*M_BOM[RM_Qty_Per_Batch]*IFERROR(INDEX(PP_Grid[#Data],M_BOM[PPGridRow],79),0))</f>
        <v/>
      </c>
      <c r="CB11">
        <f>SUMPRODUCT((M_BOM[RM_Code]=$A11)*M_BOM[RM_Qty_Per_Batch]*IFERROR(INDEX(PP_Grid[#Data],M_BOM[PPGridRow],80),0))</f>
        <v/>
      </c>
      <c r="CC11">
        <f>SUMPRODUCT((M_BOM[RM_Code]=$A11)*M_BOM[RM_Qty_Per_Batch]*IFERROR(INDEX(PP_Grid[#Data],M_BOM[PPGridRow],81),0))</f>
        <v/>
      </c>
      <c r="CD11">
        <f>SUMPRODUCT((M_BOM[RM_Code]=$A11)*M_BOM[RM_Qty_Per_Batch]*IFERROR(INDEX(PP_Grid[#Data],M_BOM[PPGridRow],82),0))</f>
        <v/>
      </c>
      <c r="CE11">
        <f>SUMPRODUCT((M_BOM[RM_Code]=$A11)*M_BOM[RM_Qty_Per_Batch]*IFERROR(INDEX(PP_Grid[#Data],M_BOM[PPGridRow],83),0))</f>
        <v/>
      </c>
      <c r="CF11">
        <f>SUMPRODUCT((M_BOM[RM_Code]=$A11)*M_BOM[RM_Qty_Per_Batch]*IFERROR(INDEX(PP_Grid[#Data],M_BOM[PPGridRow],84),0))</f>
        <v/>
      </c>
      <c r="CG11">
        <f>SUMPRODUCT((M_BOM[RM_Code]=$A11)*M_BOM[RM_Qty_Per_Batch]*IFERROR(INDEX(PP_Grid[#Data],M_BOM[PPGridRow],85),0))</f>
        <v/>
      </c>
      <c r="CH11">
        <f>SUMPRODUCT((M_BOM[RM_Code]=$A11)*M_BOM[RM_Qty_Per_Batch]*IFERROR(INDEX(PP_Grid[#Data],M_BOM[PPGridRow],86),0))</f>
        <v/>
      </c>
      <c r="CI11">
        <f>SUMPRODUCT((M_BOM[RM_Code]=$A11)*M_BOM[RM_Qty_Per_Batch]*IFERROR(INDEX(PP_Grid[#Data],M_BOM[PPGridRow],87),0))</f>
        <v/>
      </c>
      <c r="CJ11">
        <f>SUMPRODUCT((M_BOM[RM_Code]=$A11)*M_BOM[RM_Qty_Per_Batch]*IFERROR(INDEX(PP_Grid[#Data],M_BOM[PPGridRow],88),0))</f>
        <v/>
      </c>
      <c r="CK11">
        <f>SUMPRODUCT((M_BOM[RM_Code]=$A11)*M_BOM[RM_Qty_Per_Batch]*IFERROR(INDEX(PP_Grid[#Data],M_BOM[PPGridRow],89),0))</f>
        <v/>
      </c>
      <c r="CL11">
        <f>SUMPRODUCT((M_BOM[RM_Code]=$A11)*M_BOM[RM_Qty_Per_Batch]*IFERROR(INDEX(PP_Grid[#Data],M_BOM[PPGridRow],90),0))</f>
        <v/>
      </c>
      <c r="CM11">
        <f>SUMPRODUCT((M_BOM[RM_Code]=$A11)*M_BOM[RM_Qty_Per_Batch]*IFERROR(INDEX(PP_Grid[#Data],M_BOM[PPGridRow],91),0))</f>
        <v/>
      </c>
      <c r="CN11">
        <f>SUMPRODUCT((M_BOM[RM_Code]=$A11)*M_BOM[RM_Qty_Per_Batch]*IFERROR(INDEX(PP_Grid[#Data],M_BOM[PPGridRow],92),0))</f>
        <v/>
      </c>
      <c r="CO11">
        <f>SUMPRODUCT((M_BOM[RM_Code]=$A11)*M_BOM[RM_Qty_Per_Batch]*IFERROR(INDEX(PP_Grid[#Data],M_BOM[PPGridRow],93),0))</f>
        <v/>
      </c>
      <c r="CP11">
        <f>SUMPRODUCT((M_BOM[RM_Code]=$A11)*M_BOM[RM_Qty_Per_Batch]*IFERROR(INDEX(PP_Grid[#Data],M_BOM[PPGridRow],94),0))</f>
        <v/>
      </c>
      <c r="CQ11">
        <f>SUMPRODUCT((M_BOM[RM_Code]=$A11)*M_BOM[RM_Qty_Per_Batch]*IFERROR(INDEX(PP_Grid[#Data],M_BOM[PPGridRow],95),0))</f>
        <v/>
      </c>
      <c r="CR11">
        <f>SUMPRODUCT((M_BOM[RM_Code]=$A11)*M_BOM[RM_Qty_Per_Batch]*IFERROR(INDEX(PP_Grid[#Data],M_BOM[PPGridRow],96),0))</f>
        <v/>
      </c>
      <c r="CS11">
        <f>SUMPRODUCT((M_BOM[RM_Code]=$A11)*M_BOM[RM_Qty_Per_Batch]*IFERROR(INDEX(PP_Grid[#Data],M_BOM[PPGridRow],97),0))</f>
        <v/>
      </c>
      <c r="CT11">
        <f>SUMPRODUCT((M_BOM[RM_Code]=$A11)*M_BOM[RM_Qty_Per_Batch]*IFERROR(INDEX(PP_Grid[#Data],M_BOM[PPGridRow],98),0))</f>
        <v/>
      </c>
      <c r="CU11">
        <f>SUMPRODUCT((M_BOM[RM_Code]=$A11)*M_BOM[RM_Qty_Per_Batch]*IFERROR(INDEX(PP_Grid[#Data],M_BOM[PPGridRow],99),0))</f>
        <v/>
      </c>
      <c r="CV11">
        <f>SUMPRODUCT((M_BOM[RM_Code]=$A11)*M_BOM[RM_Qty_Per_Batch]*IFERROR(INDEX(PP_Grid[#Data],M_BOM[PPGridRow],100),0))</f>
        <v/>
      </c>
      <c r="CW11">
        <f>SUMPRODUCT((M_BOM[RM_Code]=$A11)*M_BOM[RM_Qty_Per_Batch]*IFERROR(INDEX(PP_Grid[#Data],M_BOM[PPGridRow],101),0))</f>
        <v/>
      </c>
      <c r="CX11">
        <f>SUMPRODUCT((M_BOM[RM_Code]=$A11)*M_BOM[RM_Qty_Per_Batch]*IFERROR(INDEX(PP_Grid[#Data],M_BOM[PPGridRow],102),0))</f>
        <v/>
      </c>
      <c r="CY11">
        <f>SUMPRODUCT((M_BOM[RM_Code]=$A11)*M_BOM[RM_Qty_Per_Batch]*IFERROR(INDEX(PP_Grid[#Data],M_BOM[PPGridRow],103),0))</f>
        <v/>
      </c>
      <c r="CZ11">
        <f>SUMPRODUCT((M_BOM[RM_Code]=$A11)*M_BOM[RM_Qty_Per_Batch]*IFERROR(INDEX(PP_Grid[#Data],M_BOM[PPGridRow],104),0))</f>
        <v/>
      </c>
      <c r="DA11">
        <f>SUMPRODUCT((M_BOM[RM_Code]=$A11)*M_BOM[RM_Qty_Per_Batch]*IFERROR(INDEX(PP_Grid[#Data],M_BOM[PPGridRow],105),0))</f>
        <v/>
      </c>
    </row>
    <row r="12">
      <c r="A12" t="inlineStr">
        <is>
          <t>4HL</t>
        </is>
      </c>
      <c r="B12">
        <f>SUMPRODUCT((M_BOM[RM_Code]=$A12)*M_BOM[RM_Qty_Per_Batch]*IFERROR(INDEX(PP_Grid[#Data],M_BOM[PPGridRow],2),0))</f>
        <v/>
      </c>
      <c r="C12">
        <f>SUMPRODUCT((M_BOM[RM_Code]=$A12)*M_BOM[RM_Qty_Per_Batch]*IFERROR(INDEX(PP_Grid[#Data],M_BOM[PPGridRow],3),0))</f>
        <v/>
      </c>
      <c r="D12">
        <f>SUMPRODUCT((M_BOM[RM_Code]=$A12)*M_BOM[RM_Qty_Per_Batch]*IFERROR(INDEX(PP_Grid[#Data],M_BOM[PPGridRow],4),0))</f>
        <v/>
      </c>
      <c r="E12">
        <f>SUMPRODUCT((M_BOM[RM_Code]=$A12)*M_BOM[RM_Qty_Per_Batch]*IFERROR(INDEX(PP_Grid[#Data],M_BOM[PPGridRow],5),0))</f>
        <v/>
      </c>
      <c r="F12">
        <f>SUMPRODUCT((M_BOM[RM_Code]=$A12)*M_BOM[RM_Qty_Per_Batch]*IFERROR(INDEX(PP_Grid[#Data],M_BOM[PPGridRow],6),0))</f>
        <v/>
      </c>
      <c r="G12">
        <f>SUMPRODUCT((M_BOM[RM_Code]=$A12)*M_BOM[RM_Qty_Per_Batch]*IFERROR(INDEX(PP_Grid[#Data],M_BOM[PPGridRow],7),0))</f>
        <v/>
      </c>
      <c r="H12">
        <f>SUMPRODUCT((M_BOM[RM_Code]=$A12)*M_BOM[RM_Qty_Per_Batch]*IFERROR(INDEX(PP_Grid[#Data],M_BOM[PPGridRow],8),0))</f>
        <v/>
      </c>
      <c r="I12">
        <f>SUMPRODUCT((M_BOM[RM_Code]=$A12)*M_BOM[RM_Qty_Per_Batch]*IFERROR(INDEX(PP_Grid[#Data],M_BOM[PPGridRow],9),0))</f>
        <v/>
      </c>
      <c r="J12">
        <f>SUMPRODUCT((M_BOM[RM_Code]=$A12)*M_BOM[RM_Qty_Per_Batch]*IFERROR(INDEX(PP_Grid[#Data],M_BOM[PPGridRow],10),0))</f>
        <v/>
      </c>
      <c r="K12">
        <f>SUMPRODUCT((M_BOM[RM_Code]=$A12)*M_BOM[RM_Qty_Per_Batch]*IFERROR(INDEX(PP_Grid[#Data],M_BOM[PPGridRow],11),0))</f>
        <v/>
      </c>
      <c r="L12">
        <f>SUMPRODUCT((M_BOM[RM_Code]=$A12)*M_BOM[RM_Qty_Per_Batch]*IFERROR(INDEX(PP_Grid[#Data],M_BOM[PPGridRow],12),0))</f>
        <v/>
      </c>
      <c r="M12">
        <f>SUMPRODUCT((M_BOM[RM_Code]=$A12)*M_BOM[RM_Qty_Per_Batch]*IFERROR(INDEX(PP_Grid[#Data],M_BOM[PPGridRow],13),0))</f>
        <v/>
      </c>
      <c r="N12">
        <f>SUMPRODUCT((M_BOM[RM_Code]=$A12)*M_BOM[RM_Qty_Per_Batch]*IFERROR(INDEX(PP_Grid[#Data],M_BOM[PPGridRow],14),0))</f>
        <v/>
      </c>
      <c r="O12">
        <f>SUMPRODUCT((M_BOM[RM_Code]=$A12)*M_BOM[RM_Qty_Per_Batch]*IFERROR(INDEX(PP_Grid[#Data],M_BOM[PPGridRow],15),0))</f>
        <v/>
      </c>
      <c r="P12">
        <f>SUMPRODUCT((M_BOM[RM_Code]=$A12)*M_BOM[RM_Qty_Per_Batch]*IFERROR(INDEX(PP_Grid[#Data],M_BOM[PPGridRow],16),0))</f>
        <v/>
      </c>
      <c r="Q12">
        <f>SUMPRODUCT((M_BOM[RM_Code]=$A12)*M_BOM[RM_Qty_Per_Batch]*IFERROR(INDEX(PP_Grid[#Data],M_BOM[PPGridRow],17),0))</f>
        <v/>
      </c>
      <c r="R12">
        <f>SUMPRODUCT((M_BOM[RM_Code]=$A12)*M_BOM[RM_Qty_Per_Batch]*IFERROR(INDEX(PP_Grid[#Data],M_BOM[PPGridRow],18),0))</f>
        <v/>
      </c>
      <c r="S12">
        <f>SUMPRODUCT((M_BOM[RM_Code]=$A12)*M_BOM[RM_Qty_Per_Batch]*IFERROR(INDEX(PP_Grid[#Data],M_BOM[PPGridRow],19),0))</f>
        <v/>
      </c>
      <c r="T12">
        <f>SUMPRODUCT((M_BOM[RM_Code]=$A12)*M_BOM[RM_Qty_Per_Batch]*IFERROR(INDEX(PP_Grid[#Data],M_BOM[PPGridRow],20),0))</f>
        <v/>
      </c>
      <c r="U12">
        <f>SUMPRODUCT((M_BOM[RM_Code]=$A12)*M_BOM[RM_Qty_Per_Batch]*IFERROR(INDEX(PP_Grid[#Data],M_BOM[PPGridRow],21),0))</f>
        <v/>
      </c>
      <c r="V12">
        <f>SUMPRODUCT((M_BOM[RM_Code]=$A12)*M_BOM[RM_Qty_Per_Batch]*IFERROR(INDEX(PP_Grid[#Data],M_BOM[PPGridRow],22),0))</f>
        <v/>
      </c>
      <c r="W12">
        <f>SUMPRODUCT((M_BOM[RM_Code]=$A12)*M_BOM[RM_Qty_Per_Batch]*IFERROR(INDEX(PP_Grid[#Data],M_BOM[PPGridRow],23),0))</f>
        <v/>
      </c>
      <c r="X12">
        <f>SUMPRODUCT((M_BOM[RM_Code]=$A12)*M_BOM[RM_Qty_Per_Batch]*IFERROR(INDEX(PP_Grid[#Data],M_BOM[PPGridRow],24),0))</f>
        <v/>
      </c>
      <c r="Y12">
        <f>SUMPRODUCT((M_BOM[RM_Code]=$A12)*M_BOM[RM_Qty_Per_Batch]*IFERROR(INDEX(PP_Grid[#Data],M_BOM[PPGridRow],25),0))</f>
        <v/>
      </c>
      <c r="Z12">
        <f>SUMPRODUCT((M_BOM[RM_Code]=$A12)*M_BOM[RM_Qty_Per_Batch]*IFERROR(INDEX(PP_Grid[#Data],M_BOM[PPGridRow],26),0))</f>
        <v/>
      </c>
      <c r="AA12">
        <f>SUMPRODUCT((M_BOM[RM_Code]=$A12)*M_BOM[RM_Qty_Per_Batch]*IFERROR(INDEX(PP_Grid[#Data],M_BOM[PPGridRow],27),0))</f>
        <v/>
      </c>
      <c r="AB12">
        <f>SUMPRODUCT((M_BOM[RM_Code]=$A12)*M_BOM[RM_Qty_Per_Batch]*IFERROR(INDEX(PP_Grid[#Data],M_BOM[PPGridRow],28),0))</f>
        <v/>
      </c>
      <c r="AC12">
        <f>SUMPRODUCT((M_BOM[RM_Code]=$A12)*M_BOM[RM_Qty_Per_Batch]*IFERROR(INDEX(PP_Grid[#Data],M_BOM[PPGridRow],29),0))</f>
        <v/>
      </c>
      <c r="AD12">
        <f>SUMPRODUCT((M_BOM[RM_Code]=$A12)*M_BOM[RM_Qty_Per_Batch]*IFERROR(INDEX(PP_Grid[#Data],M_BOM[PPGridRow],30),0))</f>
        <v/>
      </c>
      <c r="AE12">
        <f>SUMPRODUCT((M_BOM[RM_Code]=$A12)*M_BOM[RM_Qty_Per_Batch]*IFERROR(INDEX(PP_Grid[#Data],M_BOM[PPGridRow],31),0))</f>
        <v/>
      </c>
      <c r="AF12">
        <f>SUMPRODUCT((M_BOM[RM_Code]=$A12)*M_BOM[RM_Qty_Per_Batch]*IFERROR(INDEX(PP_Grid[#Data],M_BOM[PPGridRow],32),0))</f>
        <v/>
      </c>
      <c r="AG12">
        <f>SUMPRODUCT((M_BOM[RM_Code]=$A12)*M_BOM[RM_Qty_Per_Batch]*IFERROR(INDEX(PP_Grid[#Data],M_BOM[PPGridRow],33),0))</f>
        <v/>
      </c>
      <c r="AH12">
        <f>SUMPRODUCT((M_BOM[RM_Code]=$A12)*M_BOM[RM_Qty_Per_Batch]*IFERROR(INDEX(PP_Grid[#Data],M_BOM[PPGridRow],34),0))</f>
        <v/>
      </c>
      <c r="AI12">
        <f>SUMPRODUCT((M_BOM[RM_Code]=$A12)*M_BOM[RM_Qty_Per_Batch]*IFERROR(INDEX(PP_Grid[#Data],M_BOM[PPGridRow],35),0))</f>
        <v/>
      </c>
      <c r="AJ12">
        <f>SUMPRODUCT((M_BOM[RM_Code]=$A12)*M_BOM[RM_Qty_Per_Batch]*IFERROR(INDEX(PP_Grid[#Data],M_BOM[PPGridRow],36),0))</f>
        <v/>
      </c>
      <c r="AK12">
        <f>SUMPRODUCT((M_BOM[RM_Code]=$A12)*M_BOM[RM_Qty_Per_Batch]*IFERROR(INDEX(PP_Grid[#Data],M_BOM[PPGridRow],37),0))</f>
        <v/>
      </c>
      <c r="AL12">
        <f>SUMPRODUCT((M_BOM[RM_Code]=$A12)*M_BOM[RM_Qty_Per_Batch]*IFERROR(INDEX(PP_Grid[#Data],M_BOM[PPGridRow],38),0))</f>
        <v/>
      </c>
      <c r="AM12">
        <f>SUMPRODUCT((M_BOM[RM_Code]=$A12)*M_BOM[RM_Qty_Per_Batch]*IFERROR(INDEX(PP_Grid[#Data],M_BOM[PPGridRow],39),0))</f>
        <v/>
      </c>
      <c r="AN12">
        <f>SUMPRODUCT((M_BOM[RM_Code]=$A12)*M_BOM[RM_Qty_Per_Batch]*IFERROR(INDEX(PP_Grid[#Data],M_BOM[PPGridRow],40),0))</f>
        <v/>
      </c>
      <c r="AO12">
        <f>SUMPRODUCT((M_BOM[RM_Code]=$A12)*M_BOM[RM_Qty_Per_Batch]*IFERROR(INDEX(PP_Grid[#Data],M_BOM[PPGridRow],41),0))</f>
        <v/>
      </c>
      <c r="AP12">
        <f>SUMPRODUCT((M_BOM[RM_Code]=$A12)*M_BOM[RM_Qty_Per_Batch]*IFERROR(INDEX(PP_Grid[#Data],M_BOM[PPGridRow],42),0))</f>
        <v/>
      </c>
      <c r="AQ12">
        <f>SUMPRODUCT((M_BOM[RM_Code]=$A12)*M_BOM[RM_Qty_Per_Batch]*IFERROR(INDEX(PP_Grid[#Data],M_BOM[PPGridRow],43),0))</f>
        <v/>
      </c>
      <c r="AR12">
        <f>SUMPRODUCT((M_BOM[RM_Code]=$A12)*M_BOM[RM_Qty_Per_Batch]*IFERROR(INDEX(PP_Grid[#Data],M_BOM[PPGridRow],44),0))</f>
        <v/>
      </c>
      <c r="AS12">
        <f>SUMPRODUCT((M_BOM[RM_Code]=$A12)*M_BOM[RM_Qty_Per_Batch]*IFERROR(INDEX(PP_Grid[#Data],M_BOM[PPGridRow],45),0))</f>
        <v/>
      </c>
      <c r="AT12">
        <f>SUMPRODUCT((M_BOM[RM_Code]=$A12)*M_BOM[RM_Qty_Per_Batch]*IFERROR(INDEX(PP_Grid[#Data],M_BOM[PPGridRow],46),0))</f>
        <v/>
      </c>
      <c r="AU12">
        <f>SUMPRODUCT((M_BOM[RM_Code]=$A12)*M_BOM[RM_Qty_Per_Batch]*IFERROR(INDEX(PP_Grid[#Data],M_BOM[PPGridRow],47),0))</f>
        <v/>
      </c>
      <c r="AV12">
        <f>SUMPRODUCT((M_BOM[RM_Code]=$A12)*M_BOM[RM_Qty_Per_Batch]*IFERROR(INDEX(PP_Grid[#Data],M_BOM[PPGridRow],48),0))</f>
        <v/>
      </c>
      <c r="AW12">
        <f>SUMPRODUCT((M_BOM[RM_Code]=$A12)*M_BOM[RM_Qty_Per_Batch]*IFERROR(INDEX(PP_Grid[#Data],M_BOM[PPGridRow],49),0))</f>
        <v/>
      </c>
      <c r="AX12">
        <f>SUMPRODUCT((M_BOM[RM_Code]=$A12)*M_BOM[RM_Qty_Per_Batch]*IFERROR(INDEX(PP_Grid[#Data],M_BOM[PPGridRow],50),0))</f>
        <v/>
      </c>
      <c r="AY12">
        <f>SUMPRODUCT((M_BOM[RM_Code]=$A12)*M_BOM[RM_Qty_Per_Batch]*IFERROR(INDEX(PP_Grid[#Data],M_BOM[PPGridRow],51),0))</f>
        <v/>
      </c>
      <c r="AZ12">
        <f>SUMPRODUCT((M_BOM[RM_Code]=$A12)*M_BOM[RM_Qty_Per_Batch]*IFERROR(INDEX(PP_Grid[#Data],M_BOM[PPGridRow],52),0))</f>
        <v/>
      </c>
      <c r="BA12">
        <f>SUMPRODUCT((M_BOM[RM_Code]=$A12)*M_BOM[RM_Qty_Per_Batch]*IFERROR(INDEX(PP_Grid[#Data],M_BOM[PPGridRow],53),0))</f>
        <v/>
      </c>
      <c r="BB12">
        <f>SUMPRODUCT((M_BOM[RM_Code]=$A12)*M_BOM[RM_Qty_Per_Batch]*IFERROR(INDEX(PP_Grid[#Data],M_BOM[PPGridRow],54),0))</f>
        <v/>
      </c>
      <c r="BC12">
        <f>SUMPRODUCT((M_BOM[RM_Code]=$A12)*M_BOM[RM_Qty_Per_Batch]*IFERROR(INDEX(PP_Grid[#Data],M_BOM[PPGridRow],55),0))</f>
        <v/>
      </c>
      <c r="BD12">
        <f>SUMPRODUCT((M_BOM[RM_Code]=$A12)*M_BOM[RM_Qty_Per_Batch]*IFERROR(INDEX(PP_Grid[#Data],M_BOM[PPGridRow],56),0))</f>
        <v/>
      </c>
      <c r="BE12">
        <f>SUMPRODUCT((M_BOM[RM_Code]=$A12)*M_BOM[RM_Qty_Per_Batch]*IFERROR(INDEX(PP_Grid[#Data],M_BOM[PPGridRow],57),0))</f>
        <v/>
      </c>
      <c r="BF12">
        <f>SUMPRODUCT((M_BOM[RM_Code]=$A12)*M_BOM[RM_Qty_Per_Batch]*IFERROR(INDEX(PP_Grid[#Data],M_BOM[PPGridRow],58),0))</f>
        <v/>
      </c>
      <c r="BG12">
        <f>SUMPRODUCT((M_BOM[RM_Code]=$A12)*M_BOM[RM_Qty_Per_Batch]*IFERROR(INDEX(PP_Grid[#Data],M_BOM[PPGridRow],59),0))</f>
        <v/>
      </c>
      <c r="BH12">
        <f>SUMPRODUCT((M_BOM[RM_Code]=$A12)*M_BOM[RM_Qty_Per_Batch]*IFERROR(INDEX(PP_Grid[#Data],M_BOM[PPGridRow],60),0))</f>
        <v/>
      </c>
      <c r="BI12">
        <f>SUMPRODUCT((M_BOM[RM_Code]=$A12)*M_BOM[RM_Qty_Per_Batch]*IFERROR(INDEX(PP_Grid[#Data],M_BOM[PPGridRow],61),0))</f>
        <v/>
      </c>
      <c r="BJ12">
        <f>SUMPRODUCT((M_BOM[RM_Code]=$A12)*M_BOM[RM_Qty_Per_Batch]*IFERROR(INDEX(PP_Grid[#Data],M_BOM[PPGridRow],62),0))</f>
        <v/>
      </c>
      <c r="BK12">
        <f>SUMPRODUCT((M_BOM[RM_Code]=$A12)*M_BOM[RM_Qty_Per_Batch]*IFERROR(INDEX(PP_Grid[#Data],M_BOM[PPGridRow],63),0))</f>
        <v/>
      </c>
      <c r="BL12">
        <f>SUMPRODUCT((M_BOM[RM_Code]=$A12)*M_BOM[RM_Qty_Per_Batch]*IFERROR(INDEX(PP_Grid[#Data],M_BOM[PPGridRow],64),0))</f>
        <v/>
      </c>
      <c r="BM12">
        <f>SUMPRODUCT((M_BOM[RM_Code]=$A12)*M_BOM[RM_Qty_Per_Batch]*IFERROR(INDEX(PP_Grid[#Data],M_BOM[PPGridRow],65),0))</f>
        <v/>
      </c>
      <c r="BN12">
        <f>SUMPRODUCT((M_BOM[RM_Code]=$A12)*M_BOM[RM_Qty_Per_Batch]*IFERROR(INDEX(PP_Grid[#Data],M_BOM[PPGridRow],66),0))</f>
        <v/>
      </c>
      <c r="BO12">
        <f>SUMPRODUCT((M_BOM[RM_Code]=$A12)*M_BOM[RM_Qty_Per_Batch]*IFERROR(INDEX(PP_Grid[#Data],M_BOM[PPGridRow],67),0))</f>
        <v/>
      </c>
      <c r="BP12">
        <f>SUMPRODUCT((M_BOM[RM_Code]=$A12)*M_BOM[RM_Qty_Per_Batch]*IFERROR(INDEX(PP_Grid[#Data],M_BOM[PPGridRow],68),0))</f>
        <v/>
      </c>
      <c r="BQ12">
        <f>SUMPRODUCT((M_BOM[RM_Code]=$A12)*M_BOM[RM_Qty_Per_Batch]*IFERROR(INDEX(PP_Grid[#Data],M_BOM[PPGridRow],69),0))</f>
        <v/>
      </c>
      <c r="BR12">
        <f>SUMPRODUCT((M_BOM[RM_Code]=$A12)*M_BOM[RM_Qty_Per_Batch]*IFERROR(INDEX(PP_Grid[#Data],M_BOM[PPGridRow],70),0))</f>
        <v/>
      </c>
      <c r="BS12">
        <f>SUMPRODUCT((M_BOM[RM_Code]=$A12)*M_BOM[RM_Qty_Per_Batch]*IFERROR(INDEX(PP_Grid[#Data],M_BOM[PPGridRow],71),0))</f>
        <v/>
      </c>
      <c r="BT12">
        <f>SUMPRODUCT((M_BOM[RM_Code]=$A12)*M_BOM[RM_Qty_Per_Batch]*IFERROR(INDEX(PP_Grid[#Data],M_BOM[PPGridRow],72),0))</f>
        <v/>
      </c>
      <c r="BU12">
        <f>SUMPRODUCT((M_BOM[RM_Code]=$A12)*M_BOM[RM_Qty_Per_Batch]*IFERROR(INDEX(PP_Grid[#Data],M_BOM[PPGridRow],73),0))</f>
        <v/>
      </c>
      <c r="BV12">
        <f>SUMPRODUCT((M_BOM[RM_Code]=$A12)*M_BOM[RM_Qty_Per_Batch]*IFERROR(INDEX(PP_Grid[#Data],M_BOM[PPGridRow],74),0))</f>
        <v/>
      </c>
      <c r="BW12">
        <f>SUMPRODUCT((M_BOM[RM_Code]=$A12)*M_BOM[RM_Qty_Per_Batch]*IFERROR(INDEX(PP_Grid[#Data],M_BOM[PPGridRow],75),0))</f>
        <v/>
      </c>
      <c r="BX12">
        <f>SUMPRODUCT((M_BOM[RM_Code]=$A12)*M_BOM[RM_Qty_Per_Batch]*IFERROR(INDEX(PP_Grid[#Data],M_BOM[PPGridRow],76),0))</f>
        <v/>
      </c>
      <c r="BY12">
        <f>SUMPRODUCT((M_BOM[RM_Code]=$A12)*M_BOM[RM_Qty_Per_Batch]*IFERROR(INDEX(PP_Grid[#Data],M_BOM[PPGridRow],77),0))</f>
        <v/>
      </c>
      <c r="BZ12">
        <f>SUMPRODUCT((M_BOM[RM_Code]=$A12)*M_BOM[RM_Qty_Per_Batch]*IFERROR(INDEX(PP_Grid[#Data],M_BOM[PPGridRow],78),0))</f>
        <v/>
      </c>
      <c r="CA12">
        <f>SUMPRODUCT((M_BOM[RM_Code]=$A12)*M_BOM[RM_Qty_Per_Batch]*IFERROR(INDEX(PP_Grid[#Data],M_BOM[PPGridRow],79),0))</f>
        <v/>
      </c>
      <c r="CB12">
        <f>SUMPRODUCT((M_BOM[RM_Code]=$A12)*M_BOM[RM_Qty_Per_Batch]*IFERROR(INDEX(PP_Grid[#Data],M_BOM[PPGridRow],80),0))</f>
        <v/>
      </c>
      <c r="CC12">
        <f>SUMPRODUCT((M_BOM[RM_Code]=$A12)*M_BOM[RM_Qty_Per_Batch]*IFERROR(INDEX(PP_Grid[#Data],M_BOM[PPGridRow],81),0))</f>
        <v/>
      </c>
      <c r="CD12">
        <f>SUMPRODUCT((M_BOM[RM_Code]=$A12)*M_BOM[RM_Qty_Per_Batch]*IFERROR(INDEX(PP_Grid[#Data],M_BOM[PPGridRow],82),0))</f>
        <v/>
      </c>
      <c r="CE12">
        <f>SUMPRODUCT((M_BOM[RM_Code]=$A12)*M_BOM[RM_Qty_Per_Batch]*IFERROR(INDEX(PP_Grid[#Data],M_BOM[PPGridRow],83),0))</f>
        <v/>
      </c>
      <c r="CF12">
        <f>SUMPRODUCT((M_BOM[RM_Code]=$A12)*M_BOM[RM_Qty_Per_Batch]*IFERROR(INDEX(PP_Grid[#Data],M_BOM[PPGridRow],84),0))</f>
        <v/>
      </c>
      <c r="CG12">
        <f>SUMPRODUCT((M_BOM[RM_Code]=$A12)*M_BOM[RM_Qty_Per_Batch]*IFERROR(INDEX(PP_Grid[#Data],M_BOM[PPGridRow],85),0))</f>
        <v/>
      </c>
      <c r="CH12">
        <f>SUMPRODUCT((M_BOM[RM_Code]=$A12)*M_BOM[RM_Qty_Per_Batch]*IFERROR(INDEX(PP_Grid[#Data],M_BOM[PPGridRow],86),0))</f>
        <v/>
      </c>
      <c r="CI12">
        <f>SUMPRODUCT((M_BOM[RM_Code]=$A12)*M_BOM[RM_Qty_Per_Batch]*IFERROR(INDEX(PP_Grid[#Data],M_BOM[PPGridRow],87),0))</f>
        <v/>
      </c>
      <c r="CJ12">
        <f>SUMPRODUCT((M_BOM[RM_Code]=$A12)*M_BOM[RM_Qty_Per_Batch]*IFERROR(INDEX(PP_Grid[#Data],M_BOM[PPGridRow],88),0))</f>
        <v/>
      </c>
      <c r="CK12">
        <f>SUMPRODUCT((M_BOM[RM_Code]=$A12)*M_BOM[RM_Qty_Per_Batch]*IFERROR(INDEX(PP_Grid[#Data],M_BOM[PPGridRow],89),0))</f>
        <v/>
      </c>
      <c r="CL12">
        <f>SUMPRODUCT((M_BOM[RM_Code]=$A12)*M_BOM[RM_Qty_Per_Batch]*IFERROR(INDEX(PP_Grid[#Data],M_BOM[PPGridRow],90),0))</f>
        <v/>
      </c>
      <c r="CM12">
        <f>SUMPRODUCT((M_BOM[RM_Code]=$A12)*M_BOM[RM_Qty_Per_Batch]*IFERROR(INDEX(PP_Grid[#Data],M_BOM[PPGridRow],91),0))</f>
        <v/>
      </c>
      <c r="CN12">
        <f>SUMPRODUCT((M_BOM[RM_Code]=$A12)*M_BOM[RM_Qty_Per_Batch]*IFERROR(INDEX(PP_Grid[#Data],M_BOM[PPGridRow],92),0))</f>
        <v/>
      </c>
      <c r="CO12">
        <f>SUMPRODUCT((M_BOM[RM_Code]=$A12)*M_BOM[RM_Qty_Per_Batch]*IFERROR(INDEX(PP_Grid[#Data],M_BOM[PPGridRow],93),0))</f>
        <v/>
      </c>
      <c r="CP12">
        <f>SUMPRODUCT((M_BOM[RM_Code]=$A12)*M_BOM[RM_Qty_Per_Batch]*IFERROR(INDEX(PP_Grid[#Data],M_BOM[PPGridRow],94),0))</f>
        <v/>
      </c>
      <c r="CQ12">
        <f>SUMPRODUCT((M_BOM[RM_Code]=$A12)*M_BOM[RM_Qty_Per_Batch]*IFERROR(INDEX(PP_Grid[#Data],M_BOM[PPGridRow],95),0))</f>
        <v/>
      </c>
      <c r="CR12">
        <f>SUMPRODUCT((M_BOM[RM_Code]=$A12)*M_BOM[RM_Qty_Per_Batch]*IFERROR(INDEX(PP_Grid[#Data],M_BOM[PPGridRow],96),0))</f>
        <v/>
      </c>
      <c r="CS12">
        <f>SUMPRODUCT((M_BOM[RM_Code]=$A12)*M_BOM[RM_Qty_Per_Batch]*IFERROR(INDEX(PP_Grid[#Data],M_BOM[PPGridRow],97),0))</f>
        <v/>
      </c>
      <c r="CT12">
        <f>SUMPRODUCT((M_BOM[RM_Code]=$A12)*M_BOM[RM_Qty_Per_Batch]*IFERROR(INDEX(PP_Grid[#Data],M_BOM[PPGridRow],98),0))</f>
        <v/>
      </c>
      <c r="CU12">
        <f>SUMPRODUCT((M_BOM[RM_Code]=$A12)*M_BOM[RM_Qty_Per_Batch]*IFERROR(INDEX(PP_Grid[#Data],M_BOM[PPGridRow],99),0))</f>
        <v/>
      </c>
      <c r="CV12">
        <f>SUMPRODUCT((M_BOM[RM_Code]=$A12)*M_BOM[RM_Qty_Per_Batch]*IFERROR(INDEX(PP_Grid[#Data],M_BOM[PPGridRow],100),0))</f>
        <v/>
      </c>
      <c r="CW12">
        <f>SUMPRODUCT((M_BOM[RM_Code]=$A12)*M_BOM[RM_Qty_Per_Batch]*IFERROR(INDEX(PP_Grid[#Data],M_BOM[PPGridRow],101),0))</f>
        <v/>
      </c>
      <c r="CX12">
        <f>SUMPRODUCT((M_BOM[RM_Code]=$A12)*M_BOM[RM_Qty_Per_Batch]*IFERROR(INDEX(PP_Grid[#Data],M_BOM[PPGridRow],102),0))</f>
        <v/>
      </c>
      <c r="CY12">
        <f>SUMPRODUCT((M_BOM[RM_Code]=$A12)*M_BOM[RM_Qty_Per_Batch]*IFERROR(INDEX(PP_Grid[#Data],M_BOM[PPGridRow],103),0))</f>
        <v/>
      </c>
      <c r="CZ12">
        <f>SUMPRODUCT((M_BOM[RM_Code]=$A12)*M_BOM[RM_Qty_Per_Batch]*IFERROR(INDEX(PP_Grid[#Data],M_BOM[PPGridRow],104),0))</f>
        <v/>
      </c>
      <c r="DA12">
        <f>SUMPRODUCT((M_BOM[RM_Code]=$A12)*M_BOM[RM_Qty_Per_Batch]*IFERROR(INDEX(PP_Grid[#Data],M_BOM[PPGridRow],105),0))</f>
        <v/>
      </c>
    </row>
    <row r="13">
      <c r="A13" t="inlineStr">
        <is>
          <t>1EK</t>
        </is>
      </c>
      <c r="B13">
        <f>SUMPRODUCT((M_BOM[RM_Code]=$A13)*M_BOM[RM_Qty_Per_Batch]*IFERROR(INDEX(PP_Grid[#Data],M_BOM[PPGridRow],2),0))</f>
        <v/>
      </c>
      <c r="C13">
        <f>SUMPRODUCT((M_BOM[RM_Code]=$A13)*M_BOM[RM_Qty_Per_Batch]*IFERROR(INDEX(PP_Grid[#Data],M_BOM[PPGridRow],3),0))</f>
        <v/>
      </c>
      <c r="D13">
        <f>SUMPRODUCT((M_BOM[RM_Code]=$A13)*M_BOM[RM_Qty_Per_Batch]*IFERROR(INDEX(PP_Grid[#Data],M_BOM[PPGridRow],4),0))</f>
        <v/>
      </c>
      <c r="E13">
        <f>SUMPRODUCT((M_BOM[RM_Code]=$A13)*M_BOM[RM_Qty_Per_Batch]*IFERROR(INDEX(PP_Grid[#Data],M_BOM[PPGridRow],5),0))</f>
        <v/>
      </c>
      <c r="F13">
        <f>SUMPRODUCT((M_BOM[RM_Code]=$A13)*M_BOM[RM_Qty_Per_Batch]*IFERROR(INDEX(PP_Grid[#Data],M_BOM[PPGridRow],6),0))</f>
        <v/>
      </c>
      <c r="G13">
        <f>SUMPRODUCT((M_BOM[RM_Code]=$A13)*M_BOM[RM_Qty_Per_Batch]*IFERROR(INDEX(PP_Grid[#Data],M_BOM[PPGridRow],7),0))</f>
        <v/>
      </c>
      <c r="H13">
        <f>SUMPRODUCT((M_BOM[RM_Code]=$A13)*M_BOM[RM_Qty_Per_Batch]*IFERROR(INDEX(PP_Grid[#Data],M_BOM[PPGridRow],8),0))</f>
        <v/>
      </c>
      <c r="I13">
        <f>SUMPRODUCT((M_BOM[RM_Code]=$A13)*M_BOM[RM_Qty_Per_Batch]*IFERROR(INDEX(PP_Grid[#Data],M_BOM[PPGridRow],9),0))</f>
        <v/>
      </c>
      <c r="J13">
        <f>SUMPRODUCT((M_BOM[RM_Code]=$A13)*M_BOM[RM_Qty_Per_Batch]*IFERROR(INDEX(PP_Grid[#Data],M_BOM[PPGridRow],10),0))</f>
        <v/>
      </c>
      <c r="K13">
        <f>SUMPRODUCT((M_BOM[RM_Code]=$A13)*M_BOM[RM_Qty_Per_Batch]*IFERROR(INDEX(PP_Grid[#Data],M_BOM[PPGridRow],11),0))</f>
        <v/>
      </c>
      <c r="L13">
        <f>SUMPRODUCT((M_BOM[RM_Code]=$A13)*M_BOM[RM_Qty_Per_Batch]*IFERROR(INDEX(PP_Grid[#Data],M_BOM[PPGridRow],12),0))</f>
        <v/>
      </c>
      <c r="M13">
        <f>SUMPRODUCT((M_BOM[RM_Code]=$A13)*M_BOM[RM_Qty_Per_Batch]*IFERROR(INDEX(PP_Grid[#Data],M_BOM[PPGridRow],13),0))</f>
        <v/>
      </c>
      <c r="N13">
        <f>SUMPRODUCT((M_BOM[RM_Code]=$A13)*M_BOM[RM_Qty_Per_Batch]*IFERROR(INDEX(PP_Grid[#Data],M_BOM[PPGridRow],14),0))</f>
        <v/>
      </c>
      <c r="O13">
        <f>SUMPRODUCT((M_BOM[RM_Code]=$A13)*M_BOM[RM_Qty_Per_Batch]*IFERROR(INDEX(PP_Grid[#Data],M_BOM[PPGridRow],15),0))</f>
        <v/>
      </c>
      <c r="P13">
        <f>SUMPRODUCT((M_BOM[RM_Code]=$A13)*M_BOM[RM_Qty_Per_Batch]*IFERROR(INDEX(PP_Grid[#Data],M_BOM[PPGridRow],16),0))</f>
        <v/>
      </c>
      <c r="Q13">
        <f>SUMPRODUCT((M_BOM[RM_Code]=$A13)*M_BOM[RM_Qty_Per_Batch]*IFERROR(INDEX(PP_Grid[#Data],M_BOM[PPGridRow],17),0))</f>
        <v/>
      </c>
      <c r="R13">
        <f>SUMPRODUCT((M_BOM[RM_Code]=$A13)*M_BOM[RM_Qty_Per_Batch]*IFERROR(INDEX(PP_Grid[#Data],M_BOM[PPGridRow],18),0))</f>
        <v/>
      </c>
      <c r="S13">
        <f>SUMPRODUCT((M_BOM[RM_Code]=$A13)*M_BOM[RM_Qty_Per_Batch]*IFERROR(INDEX(PP_Grid[#Data],M_BOM[PPGridRow],19),0))</f>
        <v/>
      </c>
      <c r="T13">
        <f>SUMPRODUCT((M_BOM[RM_Code]=$A13)*M_BOM[RM_Qty_Per_Batch]*IFERROR(INDEX(PP_Grid[#Data],M_BOM[PPGridRow],20),0))</f>
        <v/>
      </c>
      <c r="U13">
        <f>SUMPRODUCT((M_BOM[RM_Code]=$A13)*M_BOM[RM_Qty_Per_Batch]*IFERROR(INDEX(PP_Grid[#Data],M_BOM[PPGridRow],21),0))</f>
        <v/>
      </c>
      <c r="V13">
        <f>SUMPRODUCT((M_BOM[RM_Code]=$A13)*M_BOM[RM_Qty_Per_Batch]*IFERROR(INDEX(PP_Grid[#Data],M_BOM[PPGridRow],22),0))</f>
        <v/>
      </c>
      <c r="W13">
        <f>SUMPRODUCT((M_BOM[RM_Code]=$A13)*M_BOM[RM_Qty_Per_Batch]*IFERROR(INDEX(PP_Grid[#Data],M_BOM[PPGridRow],23),0))</f>
        <v/>
      </c>
      <c r="X13">
        <f>SUMPRODUCT((M_BOM[RM_Code]=$A13)*M_BOM[RM_Qty_Per_Batch]*IFERROR(INDEX(PP_Grid[#Data],M_BOM[PPGridRow],24),0))</f>
        <v/>
      </c>
      <c r="Y13">
        <f>SUMPRODUCT((M_BOM[RM_Code]=$A13)*M_BOM[RM_Qty_Per_Batch]*IFERROR(INDEX(PP_Grid[#Data],M_BOM[PPGridRow],25),0))</f>
        <v/>
      </c>
      <c r="Z13">
        <f>SUMPRODUCT((M_BOM[RM_Code]=$A13)*M_BOM[RM_Qty_Per_Batch]*IFERROR(INDEX(PP_Grid[#Data],M_BOM[PPGridRow],26),0))</f>
        <v/>
      </c>
      <c r="AA13">
        <f>SUMPRODUCT((M_BOM[RM_Code]=$A13)*M_BOM[RM_Qty_Per_Batch]*IFERROR(INDEX(PP_Grid[#Data],M_BOM[PPGridRow],27),0))</f>
        <v/>
      </c>
      <c r="AB13">
        <f>SUMPRODUCT((M_BOM[RM_Code]=$A13)*M_BOM[RM_Qty_Per_Batch]*IFERROR(INDEX(PP_Grid[#Data],M_BOM[PPGridRow],28),0))</f>
        <v/>
      </c>
      <c r="AC13">
        <f>SUMPRODUCT((M_BOM[RM_Code]=$A13)*M_BOM[RM_Qty_Per_Batch]*IFERROR(INDEX(PP_Grid[#Data],M_BOM[PPGridRow],29),0))</f>
        <v/>
      </c>
      <c r="AD13">
        <f>SUMPRODUCT((M_BOM[RM_Code]=$A13)*M_BOM[RM_Qty_Per_Batch]*IFERROR(INDEX(PP_Grid[#Data],M_BOM[PPGridRow],30),0))</f>
        <v/>
      </c>
      <c r="AE13">
        <f>SUMPRODUCT((M_BOM[RM_Code]=$A13)*M_BOM[RM_Qty_Per_Batch]*IFERROR(INDEX(PP_Grid[#Data],M_BOM[PPGridRow],31),0))</f>
        <v/>
      </c>
      <c r="AF13">
        <f>SUMPRODUCT((M_BOM[RM_Code]=$A13)*M_BOM[RM_Qty_Per_Batch]*IFERROR(INDEX(PP_Grid[#Data],M_BOM[PPGridRow],32),0))</f>
        <v/>
      </c>
      <c r="AG13">
        <f>SUMPRODUCT((M_BOM[RM_Code]=$A13)*M_BOM[RM_Qty_Per_Batch]*IFERROR(INDEX(PP_Grid[#Data],M_BOM[PPGridRow],33),0))</f>
        <v/>
      </c>
      <c r="AH13">
        <f>SUMPRODUCT((M_BOM[RM_Code]=$A13)*M_BOM[RM_Qty_Per_Batch]*IFERROR(INDEX(PP_Grid[#Data],M_BOM[PPGridRow],34),0))</f>
        <v/>
      </c>
      <c r="AI13">
        <f>SUMPRODUCT((M_BOM[RM_Code]=$A13)*M_BOM[RM_Qty_Per_Batch]*IFERROR(INDEX(PP_Grid[#Data],M_BOM[PPGridRow],35),0))</f>
        <v/>
      </c>
      <c r="AJ13">
        <f>SUMPRODUCT((M_BOM[RM_Code]=$A13)*M_BOM[RM_Qty_Per_Batch]*IFERROR(INDEX(PP_Grid[#Data],M_BOM[PPGridRow],36),0))</f>
        <v/>
      </c>
      <c r="AK13">
        <f>SUMPRODUCT((M_BOM[RM_Code]=$A13)*M_BOM[RM_Qty_Per_Batch]*IFERROR(INDEX(PP_Grid[#Data],M_BOM[PPGridRow],37),0))</f>
        <v/>
      </c>
      <c r="AL13">
        <f>SUMPRODUCT((M_BOM[RM_Code]=$A13)*M_BOM[RM_Qty_Per_Batch]*IFERROR(INDEX(PP_Grid[#Data],M_BOM[PPGridRow],38),0))</f>
        <v/>
      </c>
      <c r="AM13">
        <f>SUMPRODUCT((M_BOM[RM_Code]=$A13)*M_BOM[RM_Qty_Per_Batch]*IFERROR(INDEX(PP_Grid[#Data],M_BOM[PPGridRow],39),0))</f>
        <v/>
      </c>
      <c r="AN13">
        <f>SUMPRODUCT((M_BOM[RM_Code]=$A13)*M_BOM[RM_Qty_Per_Batch]*IFERROR(INDEX(PP_Grid[#Data],M_BOM[PPGridRow],40),0))</f>
        <v/>
      </c>
      <c r="AO13">
        <f>SUMPRODUCT((M_BOM[RM_Code]=$A13)*M_BOM[RM_Qty_Per_Batch]*IFERROR(INDEX(PP_Grid[#Data],M_BOM[PPGridRow],41),0))</f>
        <v/>
      </c>
      <c r="AP13">
        <f>SUMPRODUCT((M_BOM[RM_Code]=$A13)*M_BOM[RM_Qty_Per_Batch]*IFERROR(INDEX(PP_Grid[#Data],M_BOM[PPGridRow],42),0))</f>
        <v/>
      </c>
      <c r="AQ13">
        <f>SUMPRODUCT((M_BOM[RM_Code]=$A13)*M_BOM[RM_Qty_Per_Batch]*IFERROR(INDEX(PP_Grid[#Data],M_BOM[PPGridRow],43),0))</f>
        <v/>
      </c>
      <c r="AR13">
        <f>SUMPRODUCT((M_BOM[RM_Code]=$A13)*M_BOM[RM_Qty_Per_Batch]*IFERROR(INDEX(PP_Grid[#Data],M_BOM[PPGridRow],44),0))</f>
        <v/>
      </c>
      <c r="AS13">
        <f>SUMPRODUCT((M_BOM[RM_Code]=$A13)*M_BOM[RM_Qty_Per_Batch]*IFERROR(INDEX(PP_Grid[#Data],M_BOM[PPGridRow],45),0))</f>
        <v/>
      </c>
      <c r="AT13">
        <f>SUMPRODUCT((M_BOM[RM_Code]=$A13)*M_BOM[RM_Qty_Per_Batch]*IFERROR(INDEX(PP_Grid[#Data],M_BOM[PPGridRow],46),0))</f>
        <v/>
      </c>
      <c r="AU13">
        <f>SUMPRODUCT((M_BOM[RM_Code]=$A13)*M_BOM[RM_Qty_Per_Batch]*IFERROR(INDEX(PP_Grid[#Data],M_BOM[PPGridRow],47),0))</f>
        <v/>
      </c>
      <c r="AV13">
        <f>SUMPRODUCT((M_BOM[RM_Code]=$A13)*M_BOM[RM_Qty_Per_Batch]*IFERROR(INDEX(PP_Grid[#Data],M_BOM[PPGridRow],48),0))</f>
        <v/>
      </c>
      <c r="AW13">
        <f>SUMPRODUCT((M_BOM[RM_Code]=$A13)*M_BOM[RM_Qty_Per_Batch]*IFERROR(INDEX(PP_Grid[#Data],M_BOM[PPGridRow],49),0))</f>
        <v/>
      </c>
      <c r="AX13">
        <f>SUMPRODUCT((M_BOM[RM_Code]=$A13)*M_BOM[RM_Qty_Per_Batch]*IFERROR(INDEX(PP_Grid[#Data],M_BOM[PPGridRow],50),0))</f>
        <v/>
      </c>
      <c r="AY13">
        <f>SUMPRODUCT((M_BOM[RM_Code]=$A13)*M_BOM[RM_Qty_Per_Batch]*IFERROR(INDEX(PP_Grid[#Data],M_BOM[PPGridRow],51),0))</f>
        <v/>
      </c>
      <c r="AZ13">
        <f>SUMPRODUCT((M_BOM[RM_Code]=$A13)*M_BOM[RM_Qty_Per_Batch]*IFERROR(INDEX(PP_Grid[#Data],M_BOM[PPGridRow],52),0))</f>
        <v/>
      </c>
      <c r="BA13">
        <f>SUMPRODUCT((M_BOM[RM_Code]=$A13)*M_BOM[RM_Qty_Per_Batch]*IFERROR(INDEX(PP_Grid[#Data],M_BOM[PPGridRow],53),0))</f>
        <v/>
      </c>
      <c r="BB13">
        <f>SUMPRODUCT((M_BOM[RM_Code]=$A13)*M_BOM[RM_Qty_Per_Batch]*IFERROR(INDEX(PP_Grid[#Data],M_BOM[PPGridRow],54),0))</f>
        <v/>
      </c>
      <c r="BC13">
        <f>SUMPRODUCT((M_BOM[RM_Code]=$A13)*M_BOM[RM_Qty_Per_Batch]*IFERROR(INDEX(PP_Grid[#Data],M_BOM[PPGridRow],55),0))</f>
        <v/>
      </c>
      <c r="BD13">
        <f>SUMPRODUCT((M_BOM[RM_Code]=$A13)*M_BOM[RM_Qty_Per_Batch]*IFERROR(INDEX(PP_Grid[#Data],M_BOM[PPGridRow],56),0))</f>
        <v/>
      </c>
      <c r="BE13">
        <f>SUMPRODUCT((M_BOM[RM_Code]=$A13)*M_BOM[RM_Qty_Per_Batch]*IFERROR(INDEX(PP_Grid[#Data],M_BOM[PPGridRow],57),0))</f>
        <v/>
      </c>
      <c r="BF13">
        <f>SUMPRODUCT((M_BOM[RM_Code]=$A13)*M_BOM[RM_Qty_Per_Batch]*IFERROR(INDEX(PP_Grid[#Data],M_BOM[PPGridRow],58),0))</f>
        <v/>
      </c>
      <c r="BG13">
        <f>SUMPRODUCT((M_BOM[RM_Code]=$A13)*M_BOM[RM_Qty_Per_Batch]*IFERROR(INDEX(PP_Grid[#Data],M_BOM[PPGridRow],59),0))</f>
        <v/>
      </c>
      <c r="BH13">
        <f>SUMPRODUCT((M_BOM[RM_Code]=$A13)*M_BOM[RM_Qty_Per_Batch]*IFERROR(INDEX(PP_Grid[#Data],M_BOM[PPGridRow],60),0))</f>
        <v/>
      </c>
      <c r="BI13">
        <f>SUMPRODUCT((M_BOM[RM_Code]=$A13)*M_BOM[RM_Qty_Per_Batch]*IFERROR(INDEX(PP_Grid[#Data],M_BOM[PPGridRow],61),0))</f>
        <v/>
      </c>
      <c r="BJ13">
        <f>SUMPRODUCT((M_BOM[RM_Code]=$A13)*M_BOM[RM_Qty_Per_Batch]*IFERROR(INDEX(PP_Grid[#Data],M_BOM[PPGridRow],62),0))</f>
        <v/>
      </c>
      <c r="BK13">
        <f>SUMPRODUCT((M_BOM[RM_Code]=$A13)*M_BOM[RM_Qty_Per_Batch]*IFERROR(INDEX(PP_Grid[#Data],M_BOM[PPGridRow],63),0))</f>
        <v/>
      </c>
      <c r="BL13">
        <f>SUMPRODUCT((M_BOM[RM_Code]=$A13)*M_BOM[RM_Qty_Per_Batch]*IFERROR(INDEX(PP_Grid[#Data],M_BOM[PPGridRow],64),0))</f>
        <v/>
      </c>
      <c r="BM13">
        <f>SUMPRODUCT((M_BOM[RM_Code]=$A13)*M_BOM[RM_Qty_Per_Batch]*IFERROR(INDEX(PP_Grid[#Data],M_BOM[PPGridRow],65),0))</f>
        <v/>
      </c>
      <c r="BN13">
        <f>SUMPRODUCT((M_BOM[RM_Code]=$A13)*M_BOM[RM_Qty_Per_Batch]*IFERROR(INDEX(PP_Grid[#Data],M_BOM[PPGridRow],66),0))</f>
        <v/>
      </c>
      <c r="BO13">
        <f>SUMPRODUCT((M_BOM[RM_Code]=$A13)*M_BOM[RM_Qty_Per_Batch]*IFERROR(INDEX(PP_Grid[#Data],M_BOM[PPGridRow],67),0))</f>
        <v/>
      </c>
      <c r="BP13">
        <f>SUMPRODUCT((M_BOM[RM_Code]=$A13)*M_BOM[RM_Qty_Per_Batch]*IFERROR(INDEX(PP_Grid[#Data],M_BOM[PPGridRow],68),0))</f>
        <v/>
      </c>
      <c r="BQ13">
        <f>SUMPRODUCT((M_BOM[RM_Code]=$A13)*M_BOM[RM_Qty_Per_Batch]*IFERROR(INDEX(PP_Grid[#Data],M_BOM[PPGridRow],69),0))</f>
        <v/>
      </c>
      <c r="BR13">
        <f>SUMPRODUCT((M_BOM[RM_Code]=$A13)*M_BOM[RM_Qty_Per_Batch]*IFERROR(INDEX(PP_Grid[#Data],M_BOM[PPGridRow],70),0))</f>
        <v/>
      </c>
      <c r="BS13">
        <f>SUMPRODUCT((M_BOM[RM_Code]=$A13)*M_BOM[RM_Qty_Per_Batch]*IFERROR(INDEX(PP_Grid[#Data],M_BOM[PPGridRow],71),0))</f>
        <v/>
      </c>
      <c r="BT13">
        <f>SUMPRODUCT((M_BOM[RM_Code]=$A13)*M_BOM[RM_Qty_Per_Batch]*IFERROR(INDEX(PP_Grid[#Data],M_BOM[PPGridRow],72),0))</f>
        <v/>
      </c>
      <c r="BU13">
        <f>SUMPRODUCT((M_BOM[RM_Code]=$A13)*M_BOM[RM_Qty_Per_Batch]*IFERROR(INDEX(PP_Grid[#Data],M_BOM[PPGridRow],73),0))</f>
        <v/>
      </c>
      <c r="BV13">
        <f>SUMPRODUCT((M_BOM[RM_Code]=$A13)*M_BOM[RM_Qty_Per_Batch]*IFERROR(INDEX(PP_Grid[#Data],M_BOM[PPGridRow],74),0))</f>
        <v/>
      </c>
      <c r="BW13">
        <f>SUMPRODUCT((M_BOM[RM_Code]=$A13)*M_BOM[RM_Qty_Per_Batch]*IFERROR(INDEX(PP_Grid[#Data],M_BOM[PPGridRow],75),0))</f>
        <v/>
      </c>
      <c r="BX13">
        <f>SUMPRODUCT((M_BOM[RM_Code]=$A13)*M_BOM[RM_Qty_Per_Batch]*IFERROR(INDEX(PP_Grid[#Data],M_BOM[PPGridRow],76),0))</f>
        <v/>
      </c>
      <c r="BY13">
        <f>SUMPRODUCT((M_BOM[RM_Code]=$A13)*M_BOM[RM_Qty_Per_Batch]*IFERROR(INDEX(PP_Grid[#Data],M_BOM[PPGridRow],77),0))</f>
        <v/>
      </c>
      <c r="BZ13">
        <f>SUMPRODUCT((M_BOM[RM_Code]=$A13)*M_BOM[RM_Qty_Per_Batch]*IFERROR(INDEX(PP_Grid[#Data],M_BOM[PPGridRow],78),0))</f>
        <v/>
      </c>
      <c r="CA13">
        <f>SUMPRODUCT((M_BOM[RM_Code]=$A13)*M_BOM[RM_Qty_Per_Batch]*IFERROR(INDEX(PP_Grid[#Data],M_BOM[PPGridRow],79),0))</f>
        <v/>
      </c>
      <c r="CB13">
        <f>SUMPRODUCT((M_BOM[RM_Code]=$A13)*M_BOM[RM_Qty_Per_Batch]*IFERROR(INDEX(PP_Grid[#Data],M_BOM[PPGridRow],80),0))</f>
        <v/>
      </c>
      <c r="CC13">
        <f>SUMPRODUCT((M_BOM[RM_Code]=$A13)*M_BOM[RM_Qty_Per_Batch]*IFERROR(INDEX(PP_Grid[#Data],M_BOM[PPGridRow],81),0))</f>
        <v/>
      </c>
      <c r="CD13">
        <f>SUMPRODUCT((M_BOM[RM_Code]=$A13)*M_BOM[RM_Qty_Per_Batch]*IFERROR(INDEX(PP_Grid[#Data],M_BOM[PPGridRow],82),0))</f>
        <v/>
      </c>
      <c r="CE13">
        <f>SUMPRODUCT((M_BOM[RM_Code]=$A13)*M_BOM[RM_Qty_Per_Batch]*IFERROR(INDEX(PP_Grid[#Data],M_BOM[PPGridRow],83),0))</f>
        <v/>
      </c>
      <c r="CF13">
        <f>SUMPRODUCT((M_BOM[RM_Code]=$A13)*M_BOM[RM_Qty_Per_Batch]*IFERROR(INDEX(PP_Grid[#Data],M_BOM[PPGridRow],84),0))</f>
        <v/>
      </c>
      <c r="CG13">
        <f>SUMPRODUCT((M_BOM[RM_Code]=$A13)*M_BOM[RM_Qty_Per_Batch]*IFERROR(INDEX(PP_Grid[#Data],M_BOM[PPGridRow],85),0))</f>
        <v/>
      </c>
      <c r="CH13">
        <f>SUMPRODUCT((M_BOM[RM_Code]=$A13)*M_BOM[RM_Qty_Per_Batch]*IFERROR(INDEX(PP_Grid[#Data],M_BOM[PPGridRow],86),0))</f>
        <v/>
      </c>
      <c r="CI13">
        <f>SUMPRODUCT((M_BOM[RM_Code]=$A13)*M_BOM[RM_Qty_Per_Batch]*IFERROR(INDEX(PP_Grid[#Data],M_BOM[PPGridRow],87),0))</f>
        <v/>
      </c>
      <c r="CJ13">
        <f>SUMPRODUCT((M_BOM[RM_Code]=$A13)*M_BOM[RM_Qty_Per_Batch]*IFERROR(INDEX(PP_Grid[#Data],M_BOM[PPGridRow],88),0))</f>
        <v/>
      </c>
      <c r="CK13">
        <f>SUMPRODUCT((M_BOM[RM_Code]=$A13)*M_BOM[RM_Qty_Per_Batch]*IFERROR(INDEX(PP_Grid[#Data],M_BOM[PPGridRow],89),0))</f>
        <v/>
      </c>
      <c r="CL13">
        <f>SUMPRODUCT((M_BOM[RM_Code]=$A13)*M_BOM[RM_Qty_Per_Batch]*IFERROR(INDEX(PP_Grid[#Data],M_BOM[PPGridRow],90),0))</f>
        <v/>
      </c>
      <c r="CM13">
        <f>SUMPRODUCT((M_BOM[RM_Code]=$A13)*M_BOM[RM_Qty_Per_Batch]*IFERROR(INDEX(PP_Grid[#Data],M_BOM[PPGridRow],91),0))</f>
        <v/>
      </c>
      <c r="CN13">
        <f>SUMPRODUCT((M_BOM[RM_Code]=$A13)*M_BOM[RM_Qty_Per_Batch]*IFERROR(INDEX(PP_Grid[#Data],M_BOM[PPGridRow],92),0))</f>
        <v/>
      </c>
      <c r="CO13">
        <f>SUMPRODUCT((M_BOM[RM_Code]=$A13)*M_BOM[RM_Qty_Per_Batch]*IFERROR(INDEX(PP_Grid[#Data],M_BOM[PPGridRow],93),0))</f>
        <v/>
      </c>
      <c r="CP13">
        <f>SUMPRODUCT((M_BOM[RM_Code]=$A13)*M_BOM[RM_Qty_Per_Batch]*IFERROR(INDEX(PP_Grid[#Data],M_BOM[PPGridRow],94),0))</f>
        <v/>
      </c>
      <c r="CQ13">
        <f>SUMPRODUCT((M_BOM[RM_Code]=$A13)*M_BOM[RM_Qty_Per_Batch]*IFERROR(INDEX(PP_Grid[#Data],M_BOM[PPGridRow],95),0))</f>
        <v/>
      </c>
      <c r="CR13">
        <f>SUMPRODUCT((M_BOM[RM_Code]=$A13)*M_BOM[RM_Qty_Per_Batch]*IFERROR(INDEX(PP_Grid[#Data],M_BOM[PPGridRow],96),0))</f>
        <v/>
      </c>
      <c r="CS13">
        <f>SUMPRODUCT((M_BOM[RM_Code]=$A13)*M_BOM[RM_Qty_Per_Batch]*IFERROR(INDEX(PP_Grid[#Data],M_BOM[PPGridRow],97),0))</f>
        <v/>
      </c>
      <c r="CT13">
        <f>SUMPRODUCT((M_BOM[RM_Code]=$A13)*M_BOM[RM_Qty_Per_Batch]*IFERROR(INDEX(PP_Grid[#Data],M_BOM[PPGridRow],98),0))</f>
        <v/>
      </c>
      <c r="CU13">
        <f>SUMPRODUCT((M_BOM[RM_Code]=$A13)*M_BOM[RM_Qty_Per_Batch]*IFERROR(INDEX(PP_Grid[#Data],M_BOM[PPGridRow],99),0))</f>
        <v/>
      </c>
      <c r="CV13">
        <f>SUMPRODUCT((M_BOM[RM_Code]=$A13)*M_BOM[RM_Qty_Per_Batch]*IFERROR(INDEX(PP_Grid[#Data],M_BOM[PPGridRow],100),0))</f>
        <v/>
      </c>
      <c r="CW13">
        <f>SUMPRODUCT((M_BOM[RM_Code]=$A13)*M_BOM[RM_Qty_Per_Batch]*IFERROR(INDEX(PP_Grid[#Data],M_BOM[PPGridRow],101),0))</f>
        <v/>
      </c>
      <c r="CX13">
        <f>SUMPRODUCT((M_BOM[RM_Code]=$A13)*M_BOM[RM_Qty_Per_Batch]*IFERROR(INDEX(PP_Grid[#Data],M_BOM[PPGridRow],102),0))</f>
        <v/>
      </c>
      <c r="CY13">
        <f>SUMPRODUCT((M_BOM[RM_Code]=$A13)*M_BOM[RM_Qty_Per_Batch]*IFERROR(INDEX(PP_Grid[#Data],M_BOM[PPGridRow],103),0))</f>
        <v/>
      </c>
      <c r="CZ13">
        <f>SUMPRODUCT((M_BOM[RM_Code]=$A13)*M_BOM[RM_Qty_Per_Batch]*IFERROR(INDEX(PP_Grid[#Data],M_BOM[PPGridRow],104),0))</f>
        <v/>
      </c>
      <c r="DA13">
        <f>SUMPRODUCT((M_BOM[RM_Code]=$A13)*M_BOM[RM_Qty_Per_Batch]*IFERROR(INDEX(PP_Grid[#Data],M_BOM[PPGridRow],105),0))</f>
        <v/>
      </c>
    </row>
    <row r="14">
      <c r="A14" t="inlineStr">
        <is>
          <t>7CL</t>
        </is>
      </c>
      <c r="B14">
        <f>SUMPRODUCT((M_BOM[RM_Code]=$A14)*M_BOM[RM_Qty_Per_Batch]*IFERROR(INDEX(PP_Grid[#Data],M_BOM[PPGridRow],2),0))</f>
        <v/>
      </c>
      <c r="C14">
        <f>SUMPRODUCT((M_BOM[RM_Code]=$A14)*M_BOM[RM_Qty_Per_Batch]*IFERROR(INDEX(PP_Grid[#Data],M_BOM[PPGridRow],3),0))</f>
        <v/>
      </c>
      <c r="D14">
        <f>SUMPRODUCT((M_BOM[RM_Code]=$A14)*M_BOM[RM_Qty_Per_Batch]*IFERROR(INDEX(PP_Grid[#Data],M_BOM[PPGridRow],4),0))</f>
        <v/>
      </c>
      <c r="E14">
        <f>SUMPRODUCT((M_BOM[RM_Code]=$A14)*M_BOM[RM_Qty_Per_Batch]*IFERROR(INDEX(PP_Grid[#Data],M_BOM[PPGridRow],5),0))</f>
        <v/>
      </c>
      <c r="F14">
        <f>SUMPRODUCT((M_BOM[RM_Code]=$A14)*M_BOM[RM_Qty_Per_Batch]*IFERROR(INDEX(PP_Grid[#Data],M_BOM[PPGridRow],6),0))</f>
        <v/>
      </c>
      <c r="G14">
        <f>SUMPRODUCT((M_BOM[RM_Code]=$A14)*M_BOM[RM_Qty_Per_Batch]*IFERROR(INDEX(PP_Grid[#Data],M_BOM[PPGridRow],7),0))</f>
        <v/>
      </c>
      <c r="H14">
        <f>SUMPRODUCT((M_BOM[RM_Code]=$A14)*M_BOM[RM_Qty_Per_Batch]*IFERROR(INDEX(PP_Grid[#Data],M_BOM[PPGridRow],8),0))</f>
        <v/>
      </c>
      <c r="I14">
        <f>SUMPRODUCT((M_BOM[RM_Code]=$A14)*M_BOM[RM_Qty_Per_Batch]*IFERROR(INDEX(PP_Grid[#Data],M_BOM[PPGridRow],9),0))</f>
        <v/>
      </c>
      <c r="J14">
        <f>SUMPRODUCT((M_BOM[RM_Code]=$A14)*M_BOM[RM_Qty_Per_Batch]*IFERROR(INDEX(PP_Grid[#Data],M_BOM[PPGridRow],10),0))</f>
        <v/>
      </c>
      <c r="K14">
        <f>SUMPRODUCT((M_BOM[RM_Code]=$A14)*M_BOM[RM_Qty_Per_Batch]*IFERROR(INDEX(PP_Grid[#Data],M_BOM[PPGridRow],11),0))</f>
        <v/>
      </c>
      <c r="L14">
        <f>SUMPRODUCT((M_BOM[RM_Code]=$A14)*M_BOM[RM_Qty_Per_Batch]*IFERROR(INDEX(PP_Grid[#Data],M_BOM[PPGridRow],12),0))</f>
        <v/>
      </c>
      <c r="M14">
        <f>SUMPRODUCT((M_BOM[RM_Code]=$A14)*M_BOM[RM_Qty_Per_Batch]*IFERROR(INDEX(PP_Grid[#Data],M_BOM[PPGridRow],13),0))</f>
        <v/>
      </c>
      <c r="N14">
        <f>SUMPRODUCT((M_BOM[RM_Code]=$A14)*M_BOM[RM_Qty_Per_Batch]*IFERROR(INDEX(PP_Grid[#Data],M_BOM[PPGridRow],14),0))</f>
        <v/>
      </c>
      <c r="O14">
        <f>SUMPRODUCT((M_BOM[RM_Code]=$A14)*M_BOM[RM_Qty_Per_Batch]*IFERROR(INDEX(PP_Grid[#Data],M_BOM[PPGridRow],15),0))</f>
        <v/>
      </c>
      <c r="P14">
        <f>SUMPRODUCT((M_BOM[RM_Code]=$A14)*M_BOM[RM_Qty_Per_Batch]*IFERROR(INDEX(PP_Grid[#Data],M_BOM[PPGridRow],16),0))</f>
        <v/>
      </c>
      <c r="Q14">
        <f>SUMPRODUCT((M_BOM[RM_Code]=$A14)*M_BOM[RM_Qty_Per_Batch]*IFERROR(INDEX(PP_Grid[#Data],M_BOM[PPGridRow],17),0))</f>
        <v/>
      </c>
      <c r="R14">
        <f>SUMPRODUCT((M_BOM[RM_Code]=$A14)*M_BOM[RM_Qty_Per_Batch]*IFERROR(INDEX(PP_Grid[#Data],M_BOM[PPGridRow],18),0))</f>
        <v/>
      </c>
      <c r="S14">
        <f>SUMPRODUCT((M_BOM[RM_Code]=$A14)*M_BOM[RM_Qty_Per_Batch]*IFERROR(INDEX(PP_Grid[#Data],M_BOM[PPGridRow],19),0))</f>
        <v/>
      </c>
      <c r="T14">
        <f>SUMPRODUCT((M_BOM[RM_Code]=$A14)*M_BOM[RM_Qty_Per_Batch]*IFERROR(INDEX(PP_Grid[#Data],M_BOM[PPGridRow],20),0))</f>
        <v/>
      </c>
      <c r="U14">
        <f>SUMPRODUCT((M_BOM[RM_Code]=$A14)*M_BOM[RM_Qty_Per_Batch]*IFERROR(INDEX(PP_Grid[#Data],M_BOM[PPGridRow],21),0))</f>
        <v/>
      </c>
      <c r="V14">
        <f>SUMPRODUCT((M_BOM[RM_Code]=$A14)*M_BOM[RM_Qty_Per_Batch]*IFERROR(INDEX(PP_Grid[#Data],M_BOM[PPGridRow],22),0))</f>
        <v/>
      </c>
      <c r="W14">
        <f>SUMPRODUCT((M_BOM[RM_Code]=$A14)*M_BOM[RM_Qty_Per_Batch]*IFERROR(INDEX(PP_Grid[#Data],M_BOM[PPGridRow],23),0))</f>
        <v/>
      </c>
      <c r="X14">
        <f>SUMPRODUCT((M_BOM[RM_Code]=$A14)*M_BOM[RM_Qty_Per_Batch]*IFERROR(INDEX(PP_Grid[#Data],M_BOM[PPGridRow],24),0))</f>
        <v/>
      </c>
      <c r="Y14">
        <f>SUMPRODUCT((M_BOM[RM_Code]=$A14)*M_BOM[RM_Qty_Per_Batch]*IFERROR(INDEX(PP_Grid[#Data],M_BOM[PPGridRow],25),0))</f>
        <v/>
      </c>
      <c r="Z14">
        <f>SUMPRODUCT((M_BOM[RM_Code]=$A14)*M_BOM[RM_Qty_Per_Batch]*IFERROR(INDEX(PP_Grid[#Data],M_BOM[PPGridRow],26),0))</f>
        <v/>
      </c>
      <c r="AA14">
        <f>SUMPRODUCT((M_BOM[RM_Code]=$A14)*M_BOM[RM_Qty_Per_Batch]*IFERROR(INDEX(PP_Grid[#Data],M_BOM[PPGridRow],27),0))</f>
        <v/>
      </c>
      <c r="AB14">
        <f>SUMPRODUCT((M_BOM[RM_Code]=$A14)*M_BOM[RM_Qty_Per_Batch]*IFERROR(INDEX(PP_Grid[#Data],M_BOM[PPGridRow],28),0))</f>
        <v/>
      </c>
      <c r="AC14">
        <f>SUMPRODUCT((M_BOM[RM_Code]=$A14)*M_BOM[RM_Qty_Per_Batch]*IFERROR(INDEX(PP_Grid[#Data],M_BOM[PPGridRow],29),0))</f>
        <v/>
      </c>
      <c r="AD14">
        <f>SUMPRODUCT((M_BOM[RM_Code]=$A14)*M_BOM[RM_Qty_Per_Batch]*IFERROR(INDEX(PP_Grid[#Data],M_BOM[PPGridRow],30),0))</f>
        <v/>
      </c>
      <c r="AE14">
        <f>SUMPRODUCT((M_BOM[RM_Code]=$A14)*M_BOM[RM_Qty_Per_Batch]*IFERROR(INDEX(PP_Grid[#Data],M_BOM[PPGridRow],31),0))</f>
        <v/>
      </c>
      <c r="AF14">
        <f>SUMPRODUCT((M_BOM[RM_Code]=$A14)*M_BOM[RM_Qty_Per_Batch]*IFERROR(INDEX(PP_Grid[#Data],M_BOM[PPGridRow],32),0))</f>
        <v/>
      </c>
      <c r="AG14">
        <f>SUMPRODUCT((M_BOM[RM_Code]=$A14)*M_BOM[RM_Qty_Per_Batch]*IFERROR(INDEX(PP_Grid[#Data],M_BOM[PPGridRow],33),0))</f>
        <v/>
      </c>
      <c r="AH14">
        <f>SUMPRODUCT((M_BOM[RM_Code]=$A14)*M_BOM[RM_Qty_Per_Batch]*IFERROR(INDEX(PP_Grid[#Data],M_BOM[PPGridRow],34),0))</f>
        <v/>
      </c>
      <c r="AI14">
        <f>SUMPRODUCT((M_BOM[RM_Code]=$A14)*M_BOM[RM_Qty_Per_Batch]*IFERROR(INDEX(PP_Grid[#Data],M_BOM[PPGridRow],35),0))</f>
        <v/>
      </c>
      <c r="AJ14">
        <f>SUMPRODUCT((M_BOM[RM_Code]=$A14)*M_BOM[RM_Qty_Per_Batch]*IFERROR(INDEX(PP_Grid[#Data],M_BOM[PPGridRow],36),0))</f>
        <v/>
      </c>
      <c r="AK14">
        <f>SUMPRODUCT((M_BOM[RM_Code]=$A14)*M_BOM[RM_Qty_Per_Batch]*IFERROR(INDEX(PP_Grid[#Data],M_BOM[PPGridRow],37),0))</f>
        <v/>
      </c>
      <c r="AL14">
        <f>SUMPRODUCT((M_BOM[RM_Code]=$A14)*M_BOM[RM_Qty_Per_Batch]*IFERROR(INDEX(PP_Grid[#Data],M_BOM[PPGridRow],38),0))</f>
        <v/>
      </c>
      <c r="AM14">
        <f>SUMPRODUCT((M_BOM[RM_Code]=$A14)*M_BOM[RM_Qty_Per_Batch]*IFERROR(INDEX(PP_Grid[#Data],M_BOM[PPGridRow],39),0))</f>
        <v/>
      </c>
      <c r="AN14">
        <f>SUMPRODUCT((M_BOM[RM_Code]=$A14)*M_BOM[RM_Qty_Per_Batch]*IFERROR(INDEX(PP_Grid[#Data],M_BOM[PPGridRow],40),0))</f>
        <v/>
      </c>
      <c r="AO14">
        <f>SUMPRODUCT((M_BOM[RM_Code]=$A14)*M_BOM[RM_Qty_Per_Batch]*IFERROR(INDEX(PP_Grid[#Data],M_BOM[PPGridRow],41),0))</f>
        <v/>
      </c>
      <c r="AP14">
        <f>SUMPRODUCT((M_BOM[RM_Code]=$A14)*M_BOM[RM_Qty_Per_Batch]*IFERROR(INDEX(PP_Grid[#Data],M_BOM[PPGridRow],42),0))</f>
        <v/>
      </c>
      <c r="AQ14">
        <f>SUMPRODUCT((M_BOM[RM_Code]=$A14)*M_BOM[RM_Qty_Per_Batch]*IFERROR(INDEX(PP_Grid[#Data],M_BOM[PPGridRow],43),0))</f>
        <v/>
      </c>
      <c r="AR14">
        <f>SUMPRODUCT((M_BOM[RM_Code]=$A14)*M_BOM[RM_Qty_Per_Batch]*IFERROR(INDEX(PP_Grid[#Data],M_BOM[PPGridRow],44),0))</f>
        <v/>
      </c>
      <c r="AS14">
        <f>SUMPRODUCT((M_BOM[RM_Code]=$A14)*M_BOM[RM_Qty_Per_Batch]*IFERROR(INDEX(PP_Grid[#Data],M_BOM[PPGridRow],45),0))</f>
        <v/>
      </c>
      <c r="AT14">
        <f>SUMPRODUCT((M_BOM[RM_Code]=$A14)*M_BOM[RM_Qty_Per_Batch]*IFERROR(INDEX(PP_Grid[#Data],M_BOM[PPGridRow],46),0))</f>
        <v/>
      </c>
      <c r="AU14">
        <f>SUMPRODUCT((M_BOM[RM_Code]=$A14)*M_BOM[RM_Qty_Per_Batch]*IFERROR(INDEX(PP_Grid[#Data],M_BOM[PPGridRow],47),0))</f>
        <v/>
      </c>
      <c r="AV14">
        <f>SUMPRODUCT((M_BOM[RM_Code]=$A14)*M_BOM[RM_Qty_Per_Batch]*IFERROR(INDEX(PP_Grid[#Data],M_BOM[PPGridRow],48),0))</f>
        <v/>
      </c>
      <c r="AW14">
        <f>SUMPRODUCT((M_BOM[RM_Code]=$A14)*M_BOM[RM_Qty_Per_Batch]*IFERROR(INDEX(PP_Grid[#Data],M_BOM[PPGridRow],49),0))</f>
        <v/>
      </c>
      <c r="AX14">
        <f>SUMPRODUCT((M_BOM[RM_Code]=$A14)*M_BOM[RM_Qty_Per_Batch]*IFERROR(INDEX(PP_Grid[#Data],M_BOM[PPGridRow],50),0))</f>
        <v/>
      </c>
      <c r="AY14">
        <f>SUMPRODUCT((M_BOM[RM_Code]=$A14)*M_BOM[RM_Qty_Per_Batch]*IFERROR(INDEX(PP_Grid[#Data],M_BOM[PPGridRow],51),0))</f>
        <v/>
      </c>
      <c r="AZ14">
        <f>SUMPRODUCT((M_BOM[RM_Code]=$A14)*M_BOM[RM_Qty_Per_Batch]*IFERROR(INDEX(PP_Grid[#Data],M_BOM[PPGridRow],52),0))</f>
        <v/>
      </c>
      <c r="BA14">
        <f>SUMPRODUCT((M_BOM[RM_Code]=$A14)*M_BOM[RM_Qty_Per_Batch]*IFERROR(INDEX(PP_Grid[#Data],M_BOM[PPGridRow],53),0))</f>
        <v/>
      </c>
      <c r="BB14">
        <f>SUMPRODUCT((M_BOM[RM_Code]=$A14)*M_BOM[RM_Qty_Per_Batch]*IFERROR(INDEX(PP_Grid[#Data],M_BOM[PPGridRow],54),0))</f>
        <v/>
      </c>
      <c r="BC14">
        <f>SUMPRODUCT((M_BOM[RM_Code]=$A14)*M_BOM[RM_Qty_Per_Batch]*IFERROR(INDEX(PP_Grid[#Data],M_BOM[PPGridRow],55),0))</f>
        <v/>
      </c>
      <c r="BD14">
        <f>SUMPRODUCT((M_BOM[RM_Code]=$A14)*M_BOM[RM_Qty_Per_Batch]*IFERROR(INDEX(PP_Grid[#Data],M_BOM[PPGridRow],56),0))</f>
        <v/>
      </c>
      <c r="BE14">
        <f>SUMPRODUCT((M_BOM[RM_Code]=$A14)*M_BOM[RM_Qty_Per_Batch]*IFERROR(INDEX(PP_Grid[#Data],M_BOM[PPGridRow],57),0))</f>
        <v/>
      </c>
      <c r="BF14">
        <f>SUMPRODUCT((M_BOM[RM_Code]=$A14)*M_BOM[RM_Qty_Per_Batch]*IFERROR(INDEX(PP_Grid[#Data],M_BOM[PPGridRow],58),0))</f>
        <v/>
      </c>
      <c r="BG14">
        <f>SUMPRODUCT((M_BOM[RM_Code]=$A14)*M_BOM[RM_Qty_Per_Batch]*IFERROR(INDEX(PP_Grid[#Data],M_BOM[PPGridRow],59),0))</f>
        <v/>
      </c>
      <c r="BH14">
        <f>SUMPRODUCT((M_BOM[RM_Code]=$A14)*M_BOM[RM_Qty_Per_Batch]*IFERROR(INDEX(PP_Grid[#Data],M_BOM[PPGridRow],60),0))</f>
        <v/>
      </c>
      <c r="BI14">
        <f>SUMPRODUCT((M_BOM[RM_Code]=$A14)*M_BOM[RM_Qty_Per_Batch]*IFERROR(INDEX(PP_Grid[#Data],M_BOM[PPGridRow],61),0))</f>
        <v/>
      </c>
      <c r="BJ14">
        <f>SUMPRODUCT((M_BOM[RM_Code]=$A14)*M_BOM[RM_Qty_Per_Batch]*IFERROR(INDEX(PP_Grid[#Data],M_BOM[PPGridRow],62),0))</f>
        <v/>
      </c>
      <c r="BK14">
        <f>SUMPRODUCT((M_BOM[RM_Code]=$A14)*M_BOM[RM_Qty_Per_Batch]*IFERROR(INDEX(PP_Grid[#Data],M_BOM[PPGridRow],63),0))</f>
        <v/>
      </c>
      <c r="BL14">
        <f>SUMPRODUCT((M_BOM[RM_Code]=$A14)*M_BOM[RM_Qty_Per_Batch]*IFERROR(INDEX(PP_Grid[#Data],M_BOM[PPGridRow],64),0))</f>
        <v/>
      </c>
      <c r="BM14">
        <f>SUMPRODUCT((M_BOM[RM_Code]=$A14)*M_BOM[RM_Qty_Per_Batch]*IFERROR(INDEX(PP_Grid[#Data],M_BOM[PPGridRow],65),0))</f>
        <v/>
      </c>
      <c r="BN14">
        <f>SUMPRODUCT((M_BOM[RM_Code]=$A14)*M_BOM[RM_Qty_Per_Batch]*IFERROR(INDEX(PP_Grid[#Data],M_BOM[PPGridRow],66),0))</f>
        <v/>
      </c>
      <c r="BO14">
        <f>SUMPRODUCT((M_BOM[RM_Code]=$A14)*M_BOM[RM_Qty_Per_Batch]*IFERROR(INDEX(PP_Grid[#Data],M_BOM[PPGridRow],67),0))</f>
        <v/>
      </c>
      <c r="BP14">
        <f>SUMPRODUCT((M_BOM[RM_Code]=$A14)*M_BOM[RM_Qty_Per_Batch]*IFERROR(INDEX(PP_Grid[#Data],M_BOM[PPGridRow],68),0))</f>
        <v/>
      </c>
      <c r="BQ14">
        <f>SUMPRODUCT((M_BOM[RM_Code]=$A14)*M_BOM[RM_Qty_Per_Batch]*IFERROR(INDEX(PP_Grid[#Data],M_BOM[PPGridRow],69),0))</f>
        <v/>
      </c>
      <c r="BR14">
        <f>SUMPRODUCT((M_BOM[RM_Code]=$A14)*M_BOM[RM_Qty_Per_Batch]*IFERROR(INDEX(PP_Grid[#Data],M_BOM[PPGridRow],70),0))</f>
        <v/>
      </c>
      <c r="BS14">
        <f>SUMPRODUCT((M_BOM[RM_Code]=$A14)*M_BOM[RM_Qty_Per_Batch]*IFERROR(INDEX(PP_Grid[#Data],M_BOM[PPGridRow],71),0))</f>
        <v/>
      </c>
      <c r="BT14">
        <f>SUMPRODUCT((M_BOM[RM_Code]=$A14)*M_BOM[RM_Qty_Per_Batch]*IFERROR(INDEX(PP_Grid[#Data],M_BOM[PPGridRow],72),0))</f>
        <v/>
      </c>
      <c r="BU14">
        <f>SUMPRODUCT((M_BOM[RM_Code]=$A14)*M_BOM[RM_Qty_Per_Batch]*IFERROR(INDEX(PP_Grid[#Data],M_BOM[PPGridRow],73),0))</f>
        <v/>
      </c>
      <c r="BV14">
        <f>SUMPRODUCT((M_BOM[RM_Code]=$A14)*M_BOM[RM_Qty_Per_Batch]*IFERROR(INDEX(PP_Grid[#Data],M_BOM[PPGridRow],74),0))</f>
        <v/>
      </c>
      <c r="BW14">
        <f>SUMPRODUCT((M_BOM[RM_Code]=$A14)*M_BOM[RM_Qty_Per_Batch]*IFERROR(INDEX(PP_Grid[#Data],M_BOM[PPGridRow],75),0))</f>
        <v/>
      </c>
      <c r="BX14">
        <f>SUMPRODUCT((M_BOM[RM_Code]=$A14)*M_BOM[RM_Qty_Per_Batch]*IFERROR(INDEX(PP_Grid[#Data],M_BOM[PPGridRow],76),0))</f>
        <v/>
      </c>
      <c r="BY14">
        <f>SUMPRODUCT((M_BOM[RM_Code]=$A14)*M_BOM[RM_Qty_Per_Batch]*IFERROR(INDEX(PP_Grid[#Data],M_BOM[PPGridRow],77),0))</f>
        <v/>
      </c>
      <c r="BZ14">
        <f>SUMPRODUCT((M_BOM[RM_Code]=$A14)*M_BOM[RM_Qty_Per_Batch]*IFERROR(INDEX(PP_Grid[#Data],M_BOM[PPGridRow],78),0))</f>
        <v/>
      </c>
      <c r="CA14">
        <f>SUMPRODUCT((M_BOM[RM_Code]=$A14)*M_BOM[RM_Qty_Per_Batch]*IFERROR(INDEX(PP_Grid[#Data],M_BOM[PPGridRow],79),0))</f>
        <v/>
      </c>
      <c r="CB14">
        <f>SUMPRODUCT((M_BOM[RM_Code]=$A14)*M_BOM[RM_Qty_Per_Batch]*IFERROR(INDEX(PP_Grid[#Data],M_BOM[PPGridRow],80),0))</f>
        <v/>
      </c>
      <c r="CC14">
        <f>SUMPRODUCT((M_BOM[RM_Code]=$A14)*M_BOM[RM_Qty_Per_Batch]*IFERROR(INDEX(PP_Grid[#Data],M_BOM[PPGridRow],81),0))</f>
        <v/>
      </c>
      <c r="CD14">
        <f>SUMPRODUCT((M_BOM[RM_Code]=$A14)*M_BOM[RM_Qty_Per_Batch]*IFERROR(INDEX(PP_Grid[#Data],M_BOM[PPGridRow],82),0))</f>
        <v/>
      </c>
      <c r="CE14">
        <f>SUMPRODUCT((M_BOM[RM_Code]=$A14)*M_BOM[RM_Qty_Per_Batch]*IFERROR(INDEX(PP_Grid[#Data],M_BOM[PPGridRow],83),0))</f>
        <v/>
      </c>
      <c r="CF14">
        <f>SUMPRODUCT((M_BOM[RM_Code]=$A14)*M_BOM[RM_Qty_Per_Batch]*IFERROR(INDEX(PP_Grid[#Data],M_BOM[PPGridRow],84),0))</f>
        <v/>
      </c>
      <c r="CG14">
        <f>SUMPRODUCT((M_BOM[RM_Code]=$A14)*M_BOM[RM_Qty_Per_Batch]*IFERROR(INDEX(PP_Grid[#Data],M_BOM[PPGridRow],85),0))</f>
        <v/>
      </c>
      <c r="CH14">
        <f>SUMPRODUCT((M_BOM[RM_Code]=$A14)*M_BOM[RM_Qty_Per_Batch]*IFERROR(INDEX(PP_Grid[#Data],M_BOM[PPGridRow],86),0))</f>
        <v/>
      </c>
      <c r="CI14">
        <f>SUMPRODUCT((M_BOM[RM_Code]=$A14)*M_BOM[RM_Qty_Per_Batch]*IFERROR(INDEX(PP_Grid[#Data],M_BOM[PPGridRow],87),0))</f>
        <v/>
      </c>
      <c r="CJ14">
        <f>SUMPRODUCT((M_BOM[RM_Code]=$A14)*M_BOM[RM_Qty_Per_Batch]*IFERROR(INDEX(PP_Grid[#Data],M_BOM[PPGridRow],88),0))</f>
        <v/>
      </c>
      <c r="CK14">
        <f>SUMPRODUCT((M_BOM[RM_Code]=$A14)*M_BOM[RM_Qty_Per_Batch]*IFERROR(INDEX(PP_Grid[#Data],M_BOM[PPGridRow],89),0))</f>
        <v/>
      </c>
      <c r="CL14">
        <f>SUMPRODUCT((M_BOM[RM_Code]=$A14)*M_BOM[RM_Qty_Per_Batch]*IFERROR(INDEX(PP_Grid[#Data],M_BOM[PPGridRow],90),0))</f>
        <v/>
      </c>
      <c r="CM14">
        <f>SUMPRODUCT((M_BOM[RM_Code]=$A14)*M_BOM[RM_Qty_Per_Batch]*IFERROR(INDEX(PP_Grid[#Data],M_BOM[PPGridRow],91),0))</f>
        <v/>
      </c>
      <c r="CN14">
        <f>SUMPRODUCT((M_BOM[RM_Code]=$A14)*M_BOM[RM_Qty_Per_Batch]*IFERROR(INDEX(PP_Grid[#Data],M_BOM[PPGridRow],92),0))</f>
        <v/>
      </c>
      <c r="CO14">
        <f>SUMPRODUCT((M_BOM[RM_Code]=$A14)*M_BOM[RM_Qty_Per_Batch]*IFERROR(INDEX(PP_Grid[#Data],M_BOM[PPGridRow],93),0))</f>
        <v/>
      </c>
      <c r="CP14">
        <f>SUMPRODUCT((M_BOM[RM_Code]=$A14)*M_BOM[RM_Qty_Per_Batch]*IFERROR(INDEX(PP_Grid[#Data],M_BOM[PPGridRow],94),0))</f>
        <v/>
      </c>
      <c r="CQ14">
        <f>SUMPRODUCT((M_BOM[RM_Code]=$A14)*M_BOM[RM_Qty_Per_Batch]*IFERROR(INDEX(PP_Grid[#Data],M_BOM[PPGridRow],95),0))</f>
        <v/>
      </c>
      <c r="CR14">
        <f>SUMPRODUCT((M_BOM[RM_Code]=$A14)*M_BOM[RM_Qty_Per_Batch]*IFERROR(INDEX(PP_Grid[#Data],M_BOM[PPGridRow],96),0))</f>
        <v/>
      </c>
      <c r="CS14">
        <f>SUMPRODUCT((M_BOM[RM_Code]=$A14)*M_BOM[RM_Qty_Per_Batch]*IFERROR(INDEX(PP_Grid[#Data],M_BOM[PPGridRow],97),0))</f>
        <v/>
      </c>
      <c r="CT14">
        <f>SUMPRODUCT((M_BOM[RM_Code]=$A14)*M_BOM[RM_Qty_Per_Batch]*IFERROR(INDEX(PP_Grid[#Data],M_BOM[PPGridRow],98),0))</f>
        <v/>
      </c>
      <c r="CU14">
        <f>SUMPRODUCT((M_BOM[RM_Code]=$A14)*M_BOM[RM_Qty_Per_Batch]*IFERROR(INDEX(PP_Grid[#Data],M_BOM[PPGridRow],99),0))</f>
        <v/>
      </c>
      <c r="CV14">
        <f>SUMPRODUCT((M_BOM[RM_Code]=$A14)*M_BOM[RM_Qty_Per_Batch]*IFERROR(INDEX(PP_Grid[#Data],M_BOM[PPGridRow],100),0))</f>
        <v/>
      </c>
      <c r="CW14">
        <f>SUMPRODUCT((M_BOM[RM_Code]=$A14)*M_BOM[RM_Qty_Per_Batch]*IFERROR(INDEX(PP_Grid[#Data],M_BOM[PPGridRow],101),0))</f>
        <v/>
      </c>
      <c r="CX14">
        <f>SUMPRODUCT((M_BOM[RM_Code]=$A14)*M_BOM[RM_Qty_Per_Batch]*IFERROR(INDEX(PP_Grid[#Data],M_BOM[PPGridRow],102),0))</f>
        <v/>
      </c>
      <c r="CY14">
        <f>SUMPRODUCT((M_BOM[RM_Code]=$A14)*M_BOM[RM_Qty_Per_Batch]*IFERROR(INDEX(PP_Grid[#Data],M_BOM[PPGridRow],103),0))</f>
        <v/>
      </c>
      <c r="CZ14">
        <f>SUMPRODUCT((M_BOM[RM_Code]=$A14)*M_BOM[RM_Qty_Per_Batch]*IFERROR(INDEX(PP_Grid[#Data],M_BOM[PPGridRow],104),0))</f>
        <v/>
      </c>
      <c r="DA14">
        <f>SUMPRODUCT((M_BOM[RM_Code]=$A14)*M_BOM[RM_Qty_Per_Batch]*IFERROR(INDEX(PP_Grid[#Data],M_BOM[PPGridRow],105),0))</f>
        <v/>
      </c>
    </row>
    <row r="15">
      <c r="A15" t="inlineStr">
        <is>
          <t>9RN</t>
        </is>
      </c>
      <c r="B15">
        <f>SUMPRODUCT((M_BOM[RM_Code]=$A15)*M_BOM[RM_Qty_Per_Batch]*IFERROR(INDEX(PP_Grid[#Data],M_BOM[PPGridRow],2),0))</f>
        <v/>
      </c>
      <c r="C15">
        <f>SUMPRODUCT((M_BOM[RM_Code]=$A15)*M_BOM[RM_Qty_Per_Batch]*IFERROR(INDEX(PP_Grid[#Data],M_BOM[PPGridRow],3),0))</f>
        <v/>
      </c>
      <c r="D15">
        <f>SUMPRODUCT((M_BOM[RM_Code]=$A15)*M_BOM[RM_Qty_Per_Batch]*IFERROR(INDEX(PP_Grid[#Data],M_BOM[PPGridRow],4),0))</f>
        <v/>
      </c>
      <c r="E15">
        <f>SUMPRODUCT((M_BOM[RM_Code]=$A15)*M_BOM[RM_Qty_Per_Batch]*IFERROR(INDEX(PP_Grid[#Data],M_BOM[PPGridRow],5),0))</f>
        <v/>
      </c>
      <c r="F15">
        <f>SUMPRODUCT((M_BOM[RM_Code]=$A15)*M_BOM[RM_Qty_Per_Batch]*IFERROR(INDEX(PP_Grid[#Data],M_BOM[PPGridRow],6),0))</f>
        <v/>
      </c>
      <c r="G15">
        <f>SUMPRODUCT((M_BOM[RM_Code]=$A15)*M_BOM[RM_Qty_Per_Batch]*IFERROR(INDEX(PP_Grid[#Data],M_BOM[PPGridRow],7),0))</f>
        <v/>
      </c>
      <c r="H15">
        <f>SUMPRODUCT((M_BOM[RM_Code]=$A15)*M_BOM[RM_Qty_Per_Batch]*IFERROR(INDEX(PP_Grid[#Data],M_BOM[PPGridRow],8),0))</f>
        <v/>
      </c>
      <c r="I15">
        <f>SUMPRODUCT((M_BOM[RM_Code]=$A15)*M_BOM[RM_Qty_Per_Batch]*IFERROR(INDEX(PP_Grid[#Data],M_BOM[PPGridRow],9),0))</f>
        <v/>
      </c>
      <c r="J15">
        <f>SUMPRODUCT((M_BOM[RM_Code]=$A15)*M_BOM[RM_Qty_Per_Batch]*IFERROR(INDEX(PP_Grid[#Data],M_BOM[PPGridRow],10),0))</f>
        <v/>
      </c>
      <c r="K15">
        <f>SUMPRODUCT((M_BOM[RM_Code]=$A15)*M_BOM[RM_Qty_Per_Batch]*IFERROR(INDEX(PP_Grid[#Data],M_BOM[PPGridRow],11),0))</f>
        <v/>
      </c>
      <c r="L15">
        <f>SUMPRODUCT((M_BOM[RM_Code]=$A15)*M_BOM[RM_Qty_Per_Batch]*IFERROR(INDEX(PP_Grid[#Data],M_BOM[PPGridRow],12),0))</f>
        <v/>
      </c>
      <c r="M15">
        <f>SUMPRODUCT((M_BOM[RM_Code]=$A15)*M_BOM[RM_Qty_Per_Batch]*IFERROR(INDEX(PP_Grid[#Data],M_BOM[PPGridRow],13),0))</f>
        <v/>
      </c>
      <c r="N15">
        <f>SUMPRODUCT((M_BOM[RM_Code]=$A15)*M_BOM[RM_Qty_Per_Batch]*IFERROR(INDEX(PP_Grid[#Data],M_BOM[PPGridRow],14),0))</f>
        <v/>
      </c>
      <c r="O15">
        <f>SUMPRODUCT((M_BOM[RM_Code]=$A15)*M_BOM[RM_Qty_Per_Batch]*IFERROR(INDEX(PP_Grid[#Data],M_BOM[PPGridRow],15),0))</f>
        <v/>
      </c>
      <c r="P15">
        <f>SUMPRODUCT((M_BOM[RM_Code]=$A15)*M_BOM[RM_Qty_Per_Batch]*IFERROR(INDEX(PP_Grid[#Data],M_BOM[PPGridRow],16),0))</f>
        <v/>
      </c>
      <c r="Q15">
        <f>SUMPRODUCT((M_BOM[RM_Code]=$A15)*M_BOM[RM_Qty_Per_Batch]*IFERROR(INDEX(PP_Grid[#Data],M_BOM[PPGridRow],17),0))</f>
        <v/>
      </c>
      <c r="R15">
        <f>SUMPRODUCT((M_BOM[RM_Code]=$A15)*M_BOM[RM_Qty_Per_Batch]*IFERROR(INDEX(PP_Grid[#Data],M_BOM[PPGridRow],18),0))</f>
        <v/>
      </c>
      <c r="S15">
        <f>SUMPRODUCT((M_BOM[RM_Code]=$A15)*M_BOM[RM_Qty_Per_Batch]*IFERROR(INDEX(PP_Grid[#Data],M_BOM[PPGridRow],19),0))</f>
        <v/>
      </c>
      <c r="T15">
        <f>SUMPRODUCT((M_BOM[RM_Code]=$A15)*M_BOM[RM_Qty_Per_Batch]*IFERROR(INDEX(PP_Grid[#Data],M_BOM[PPGridRow],20),0))</f>
        <v/>
      </c>
      <c r="U15">
        <f>SUMPRODUCT((M_BOM[RM_Code]=$A15)*M_BOM[RM_Qty_Per_Batch]*IFERROR(INDEX(PP_Grid[#Data],M_BOM[PPGridRow],21),0))</f>
        <v/>
      </c>
      <c r="V15">
        <f>SUMPRODUCT((M_BOM[RM_Code]=$A15)*M_BOM[RM_Qty_Per_Batch]*IFERROR(INDEX(PP_Grid[#Data],M_BOM[PPGridRow],22),0))</f>
        <v/>
      </c>
      <c r="W15">
        <f>SUMPRODUCT((M_BOM[RM_Code]=$A15)*M_BOM[RM_Qty_Per_Batch]*IFERROR(INDEX(PP_Grid[#Data],M_BOM[PPGridRow],23),0))</f>
        <v/>
      </c>
      <c r="X15">
        <f>SUMPRODUCT((M_BOM[RM_Code]=$A15)*M_BOM[RM_Qty_Per_Batch]*IFERROR(INDEX(PP_Grid[#Data],M_BOM[PPGridRow],24),0))</f>
        <v/>
      </c>
      <c r="Y15">
        <f>SUMPRODUCT((M_BOM[RM_Code]=$A15)*M_BOM[RM_Qty_Per_Batch]*IFERROR(INDEX(PP_Grid[#Data],M_BOM[PPGridRow],25),0))</f>
        <v/>
      </c>
      <c r="Z15">
        <f>SUMPRODUCT((M_BOM[RM_Code]=$A15)*M_BOM[RM_Qty_Per_Batch]*IFERROR(INDEX(PP_Grid[#Data],M_BOM[PPGridRow],26),0))</f>
        <v/>
      </c>
      <c r="AA15">
        <f>SUMPRODUCT((M_BOM[RM_Code]=$A15)*M_BOM[RM_Qty_Per_Batch]*IFERROR(INDEX(PP_Grid[#Data],M_BOM[PPGridRow],27),0))</f>
        <v/>
      </c>
      <c r="AB15">
        <f>SUMPRODUCT((M_BOM[RM_Code]=$A15)*M_BOM[RM_Qty_Per_Batch]*IFERROR(INDEX(PP_Grid[#Data],M_BOM[PPGridRow],28),0))</f>
        <v/>
      </c>
      <c r="AC15">
        <f>SUMPRODUCT((M_BOM[RM_Code]=$A15)*M_BOM[RM_Qty_Per_Batch]*IFERROR(INDEX(PP_Grid[#Data],M_BOM[PPGridRow],29),0))</f>
        <v/>
      </c>
      <c r="AD15">
        <f>SUMPRODUCT((M_BOM[RM_Code]=$A15)*M_BOM[RM_Qty_Per_Batch]*IFERROR(INDEX(PP_Grid[#Data],M_BOM[PPGridRow],30),0))</f>
        <v/>
      </c>
      <c r="AE15">
        <f>SUMPRODUCT((M_BOM[RM_Code]=$A15)*M_BOM[RM_Qty_Per_Batch]*IFERROR(INDEX(PP_Grid[#Data],M_BOM[PPGridRow],31),0))</f>
        <v/>
      </c>
      <c r="AF15">
        <f>SUMPRODUCT((M_BOM[RM_Code]=$A15)*M_BOM[RM_Qty_Per_Batch]*IFERROR(INDEX(PP_Grid[#Data],M_BOM[PPGridRow],32),0))</f>
        <v/>
      </c>
      <c r="AG15">
        <f>SUMPRODUCT((M_BOM[RM_Code]=$A15)*M_BOM[RM_Qty_Per_Batch]*IFERROR(INDEX(PP_Grid[#Data],M_BOM[PPGridRow],33),0))</f>
        <v/>
      </c>
      <c r="AH15">
        <f>SUMPRODUCT((M_BOM[RM_Code]=$A15)*M_BOM[RM_Qty_Per_Batch]*IFERROR(INDEX(PP_Grid[#Data],M_BOM[PPGridRow],34),0))</f>
        <v/>
      </c>
      <c r="AI15">
        <f>SUMPRODUCT((M_BOM[RM_Code]=$A15)*M_BOM[RM_Qty_Per_Batch]*IFERROR(INDEX(PP_Grid[#Data],M_BOM[PPGridRow],35),0))</f>
        <v/>
      </c>
      <c r="AJ15">
        <f>SUMPRODUCT((M_BOM[RM_Code]=$A15)*M_BOM[RM_Qty_Per_Batch]*IFERROR(INDEX(PP_Grid[#Data],M_BOM[PPGridRow],36),0))</f>
        <v/>
      </c>
      <c r="AK15">
        <f>SUMPRODUCT((M_BOM[RM_Code]=$A15)*M_BOM[RM_Qty_Per_Batch]*IFERROR(INDEX(PP_Grid[#Data],M_BOM[PPGridRow],37),0))</f>
        <v/>
      </c>
      <c r="AL15">
        <f>SUMPRODUCT((M_BOM[RM_Code]=$A15)*M_BOM[RM_Qty_Per_Batch]*IFERROR(INDEX(PP_Grid[#Data],M_BOM[PPGridRow],38),0))</f>
        <v/>
      </c>
      <c r="AM15">
        <f>SUMPRODUCT((M_BOM[RM_Code]=$A15)*M_BOM[RM_Qty_Per_Batch]*IFERROR(INDEX(PP_Grid[#Data],M_BOM[PPGridRow],39),0))</f>
        <v/>
      </c>
      <c r="AN15">
        <f>SUMPRODUCT((M_BOM[RM_Code]=$A15)*M_BOM[RM_Qty_Per_Batch]*IFERROR(INDEX(PP_Grid[#Data],M_BOM[PPGridRow],40),0))</f>
        <v/>
      </c>
      <c r="AO15">
        <f>SUMPRODUCT((M_BOM[RM_Code]=$A15)*M_BOM[RM_Qty_Per_Batch]*IFERROR(INDEX(PP_Grid[#Data],M_BOM[PPGridRow],41),0))</f>
        <v/>
      </c>
      <c r="AP15">
        <f>SUMPRODUCT((M_BOM[RM_Code]=$A15)*M_BOM[RM_Qty_Per_Batch]*IFERROR(INDEX(PP_Grid[#Data],M_BOM[PPGridRow],42),0))</f>
        <v/>
      </c>
      <c r="AQ15">
        <f>SUMPRODUCT((M_BOM[RM_Code]=$A15)*M_BOM[RM_Qty_Per_Batch]*IFERROR(INDEX(PP_Grid[#Data],M_BOM[PPGridRow],43),0))</f>
        <v/>
      </c>
      <c r="AR15">
        <f>SUMPRODUCT((M_BOM[RM_Code]=$A15)*M_BOM[RM_Qty_Per_Batch]*IFERROR(INDEX(PP_Grid[#Data],M_BOM[PPGridRow],44),0))</f>
        <v/>
      </c>
      <c r="AS15">
        <f>SUMPRODUCT((M_BOM[RM_Code]=$A15)*M_BOM[RM_Qty_Per_Batch]*IFERROR(INDEX(PP_Grid[#Data],M_BOM[PPGridRow],45),0))</f>
        <v/>
      </c>
      <c r="AT15">
        <f>SUMPRODUCT((M_BOM[RM_Code]=$A15)*M_BOM[RM_Qty_Per_Batch]*IFERROR(INDEX(PP_Grid[#Data],M_BOM[PPGridRow],46),0))</f>
        <v/>
      </c>
      <c r="AU15">
        <f>SUMPRODUCT((M_BOM[RM_Code]=$A15)*M_BOM[RM_Qty_Per_Batch]*IFERROR(INDEX(PP_Grid[#Data],M_BOM[PPGridRow],47),0))</f>
        <v/>
      </c>
      <c r="AV15">
        <f>SUMPRODUCT((M_BOM[RM_Code]=$A15)*M_BOM[RM_Qty_Per_Batch]*IFERROR(INDEX(PP_Grid[#Data],M_BOM[PPGridRow],48),0))</f>
        <v/>
      </c>
      <c r="AW15">
        <f>SUMPRODUCT((M_BOM[RM_Code]=$A15)*M_BOM[RM_Qty_Per_Batch]*IFERROR(INDEX(PP_Grid[#Data],M_BOM[PPGridRow],49),0))</f>
        <v/>
      </c>
      <c r="AX15">
        <f>SUMPRODUCT((M_BOM[RM_Code]=$A15)*M_BOM[RM_Qty_Per_Batch]*IFERROR(INDEX(PP_Grid[#Data],M_BOM[PPGridRow],50),0))</f>
        <v/>
      </c>
      <c r="AY15">
        <f>SUMPRODUCT((M_BOM[RM_Code]=$A15)*M_BOM[RM_Qty_Per_Batch]*IFERROR(INDEX(PP_Grid[#Data],M_BOM[PPGridRow],51),0))</f>
        <v/>
      </c>
      <c r="AZ15">
        <f>SUMPRODUCT((M_BOM[RM_Code]=$A15)*M_BOM[RM_Qty_Per_Batch]*IFERROR(INDEX(PP_Grid[#Data],M_BOM[PPGridRow],52),0))</f>
        <v/>
      </c>
      <c r="BA15">
        <f>SUMPRODUCT((M_BOM[RM_Code]=$A15)*M_BOM[RM_Qty_Per_Batch]*IFERROR(INDEX(PP_Grid[#Data],M_BOM[PPGridRow],53),0))</f>
        <v/>
      </c>
      <c r="BB15">
        <f>SUMPRODUCT((M_BOM[RM_Code]=$A15)*M_BOM[RM_Qty_Per_Batch]*IFERROR(INDEX(PP_Grid[#Data],M_BOM[PPGridRow],54),0))</f>
        <v/>
      </c>
      <c r="BC15">
        <f>SUMPRODUCT((M_BOM[RM_Code]=$A15)*M_BOM[RM_Qty_Per_Batch]*IFERROR(INDEX(PP_Grid[#Data],M_BOM[PPGridRow],55),0))</f>
        <v/>
      </c>
      <c r="BD15">
        <f>SUMPRODUCT((M_BOM[RM_Code]=$A15)*M_BOM[RM_Qty_Per_Batch]*IFERROR(INDEX(PP_Grid[#Data],M_BOM[PPGridRow],56),0))</f>
        <v/>
      </c>
      <c r="BE15">
        <f>SUMPRODUCT((M_BOM[RM_Code]=$A15)*M_BOM[RM_Qty_Per_Batch]*IFERROR(INDEX(PP_Grid[#Data],M_BOM[PPGridRow],57),0))</f>
        <v/>
      </c>
      <c r="BF15">
        <f>SUMPRODUCT((M_BOM[RM_Code]=$A15)*M_BOM[RM_Qty_Per_Batch]*IFERROR(INDEX(PP_Grid[#Data],M_BOM[PPGridRow],58),0))</f>
        <v/>
      </c>
      <c r="BG15">
        <f>SUMPRODUCT((M_BOM[RM_Code]=$A15)*M_BOM[RM_Qty_Per_Batch]*IFERROR(INDEX(PP_Grid[#Data],M_BOM[PPGridRow],59),0))</f>
        <v/>
      </c>
      <c r="BH15">
        <f>SUMPRODUCT((M_BOM[RM_Code]=$A15)*M_BOM[RM_Qty_Per_Batch]*IFERROR(INDEX(PP_Grid[#Data],M_BOM[PPGridRow],60),0))</f>
        <v/>
      </c>
      <c r="BI15">
        <f>SUMPRODUCT((M_BOM[RM_Code]=$A15)*M_BOM[RM_Qty_Per_Batch]*IFERROR(INDEX(PP_Grid[#Data],M_BOM[PPGridRow],61),0))</f>
        <v/>
      </c>
      <c r="BJ15">
        <f>SUMPRODUCT((M_BOM[RM_Code]=$A15)*M_BOM[RM_Qty_Per_Batch]*IFERROR(INDEX(PP_Grid[#Data],M_BOM[PPGridRow],62),0))</f>
        <v/>
      </c>
      <c r="BK15">
        <f>SUMPRODUCT((M_BOM[RM_Code]=$A15)*M_BOM[RM_Qty_Per_Batch]*IFERROR(INDEX(PP_Grid[#Data],M_BOM[PPGridRow],63),0))</f>
        <v/>
      </c>
      <c r="BL15">
        <f>SUMPRODUCT((M_BOM[RM_Code]=$A15)*M_BOM[RM_Qty_Per_Batch]*IFERROR(INDEX(PP_Grid[#Data],M_BOM[PPGridRow],64),0))</f>
        <v/>
      </c>
      <c r="BM15">
        <f>SUMPRODUCT((M_BOM[RM_Code]=$A15)*M_BOM[RM_Qty_Per_Batch]*IFERROR(INDEX(PP_Grid[#Data],M_BOM[PPGridRow],65),0))</f>
        <v/>
      </c>
      <c r="BN15">
        <f>SUMPRODUCT((M_BOM[RM_Code]=$A15)*M_BOM[RM_Qty_Per_Batch]*IFERROR(INDEX(PP_Grid[#Data],M_BOM[PPGridRow],66),0))</f>
        <v/>
      </c>
      <c r="BO15">
        <f>SUMPRODUCT((M_BOM[RM_Code]=$A15)*M_BOM[RM_Qty_Per_Batch]*IFERROR(INDEX(PP_Grid[#Data],M_BOM[PPGridRow],67),0))</f>
        <v/>
      </c>
      <c r="BP15">
        <f>SUMPRODUCT((M_BOM[RM_Code]=$A15)*M_BOM[RM_Qty_Per_Batch]*IFERROR(INDEX(PP_Grid[#Data],M_BOM[PPGridRow],68),0))</f>
        <v/>
      </c>
      <c r="BQ15">
        <f>SUMPRODUCT((M_BOM[RM_Code]=$A15)*M_BOM[RM_Qty_Per_Batch]*IFERROR(INDEX(PP_Grid[#Data],M_BOM[PPGridRow],69),0))</f>
        <v/>
      </c>
      <c r="BR15">
        <f>SUMPRODUCT((M_BOM[RM_Code]=$A15)*M_BOM[RM_Qty_Per_Batch]*IFERROR(INDEX(PP_Grid[#Data],M_BOM[PPGridRow],70),0))</f>
        <v/>
      </c>
      <c r="BS15">
        <f>SUMPRODUCT((M_BOM[RM_Code]=$A15)*M_BOM[RM_Qty_Per_Batch]*IFERROR(INDEX(PP_Grid[#Data],M_BOM[PPGridRow],71),0))</f>
        <v/>
      </c>
      <c r="BT15">
        <f>SUMPRODUCT((M_BOM[RM_Code]=$A15)*M_BOM[RM_Qty_Per_Batch]*IFERROR(INDEX(PP_Grid[#Data],M_BOM[PPGridRow],72),0))</f>
        <v/>
      </c>
      <c r="BU15">
        <f>SUMPRODUCT((M_BOM[RM_Code]=$A15)*M_BOM[RM_Qty_Per_Batch]*IFERROR(INDEX(PP_Grid[#Data],M_BOM[PPGridRow],73),0))</f>
        <v/>
      </c>
      <c r="BV15">
        <f>SUMPRODUCT((M_BOM[RM_Code]=$A15)*M_BOM[RM_Qty_Per_Batch]*IFERROR(INDEX(PP_Grid[#Data],M_BOM[PPGridRow],74),0))</f>
        <v/>
      </c>
      <c r="BW15">
        <f>SUMPRODUCT((M_BOM[RM_Code]=$A15)*M_BOM[RM_Qty_Per_Batch]*IFERROR(INDEX(PP_Grid[#Data],M_BOM[PPGridRow],75),0))</f>
        <v/>
      </c>
      <c r="BX15">
        <f>SUMPRODUCT((M_BOM[RM_Code]=$A15)*M_BOM[RM_Qty_Per_Batch]*IFERROR(INDEX(PP_Grid[#Data],M_BOM[PPGridRow],76),0))</f>
        <v/>
      </c>
      <c r="BY15">
        <f>SUMPRODUCT((M_BOM[RM_Code]=$A15)*M_BOM[RM_Qty_Per_Batch]*IFERROR(INDEX(PP_Grid[#Data],M_BOM[PPGridRow],77),0))</f>
        <v/>
      </c>
      <c r="BZ15">
        <f>SUMPRODUCT((M_BOM[RM_Code]=$A15)*M_BOM[RM_Qty_Per_Batch]*IFERROR(INDEX(PP_Grid[#Data],M_BOM[PPGridRow],78),0))</f>
        <v/>
      </c>
      <c r="CA15">
        <f>SUMPRODUCT((M_BOM[RM_Code]=$A15)*M_BOM[RM_Qty_Per_Batch]*IFERROR(INDEX(PP_Grid[#Data],M_BOM[PPGridRow],79),0))</f>
        <v/>
      </c>
      <c r="CB15">
        <f>SUMPRODUCT((M_BOM[RM_Code]=$A15)*M_BOM[RM_Qty_Per_Batch]*IFERROR(INDEX(PP_Grid[#Data],M_BOM[PPGridRow],80),0))</f>
        <v/>
      </c>
      <c r="CC15">
        <f>SUMPRODUCT((M_BOM[RM_Code]=$A15)*M_BOM[RM_Qty_Per_Batch]*IFERROR(INDEX(PP_Grid[#Data],M_BOM[PPGridRow],81),0))</f>
        <v/>
      </c>
      <c r="CD15">
        <f>SUMPRODUCT((M_BOM[RM_Code]=$A15)*M_BOM[RM_Qty_Per_Batch]*IFERROR(INDEX(PP_Grid[#Data],M_BOM[PPGridRow],82),0))</f>
        <v/>
      </c>
      <c r="CE15">
        <f>SUMPRODUCT((M_BOM[RM_Code]=$A15)*M_BOM[RM_Qty_Per_Batch]*IFERROR(INDEX(PP_Grid[#Data],M_BOM[PPGridRow],83),0))</f>
        <v/>
      </c>
      <c r="CF15">
        <f>SUMPRODUCT((M_BOM[RM_Code]=$A15)*M_BOM[RM_Qty_Per_Batch]*IFERROR(INDEX(PP_Grid[#Data],M_BOM[PPGridRow],84),0))</f>
        <v/>
      </c>
      <c r="CG15">
        <f>SUMPRODUCT((M_BOM[RM_Code]=$A15)*M_BOM[RM_Qty_Per_Batch]*IFERROR(INDEX(PP_Grid[#Data],M_BOM[PPGridRow],85),0))</f>
        <v/>
      </c>
      <c r="CH15">
        <f>SUMPRODUCT((M_BOM[RM_Code]=$A15)*M_BOM[RM_Qty_Per_Batch]*IFERROR(INDEX(PP_Grid[#Data],M_BOM[PPGridRow],86),0))</f>
        <v/>
      </c>
      <c r="CI15">
        <f>SUMPRODUCT((M_BOM[RM_Code]=$A15)*M_BOM[RM_Qty_Per_Batch]*IFERROR(INDEX(PP_Grid[#Data],M_BOM[PPGridRow],87),0))</f>
        <v/>
      </c>
      <c r="CJ15">
        <f>SUMPRODUCT((M_BOM[RM_Code]=$A15)*M_BOM[RM_Qty_Per_Batch]*IFERROR(INDEX(PP_Grid[#Data],M_BOM[PPGridRow],88),0))</f>
        <v/>
      </c>
      <c r="CK15">
        <f>SUMPRODUCT((M_BOM[RM_Code]=$A15)*M_BOM[RM_Qty_Per_Batch]*IFERROR(INDEX(PP_Grid[#Data],M_BOM[PPGridRow],89),0))</f>
        <v/>
      </c>
      <c r="CL15">
        <f>SUMPRODUCT((M_BOM[RM_Code]=$A15)*M_BOM[RM_Qty_Per_Batch]*IFERROR(INDEX(PP_Grid[#Data],M_BOM[PPGridRow],90),0))</f>
        <v/>
      </c>
      <c r="CM15">
        <f>SUMPRODUCT((M_BOM[RM_Code]=$A15)*M_BOM[RM_Qty_Per_Batch]*IFERROR(INDEX(PP_Grid[#Data],M_BOM[PPGridRow],91),0))</f>
        <v/>
      </c>
      <c r="CN15">
        <f>SUMPRODUCT((M_BOM[RM_Code]=$A15)*M_BOM[RM_Qty_Per_Batch]*IFERROR(INDEX(PP_Grid[#Data],M_BOM[PPGridRow],92),0))</f>
        <v/>
      </c>
      <c r="CO15">
        <f>SUMPRODUCT((M_BOM[RM_Code]=$A15)*M_BOM[RM_Qty_Per_Batch]*IFERROR(INDEX(PP_Grid[#Data],M_BOM[PPGridRow],93),0))</f>
        <v/>
      </c>
      <c r="CP15">
        <f>SUMPRODUCT((M_BOM[RM_Code]=$A15)*M_BOM[RM_Qty_Per_Batch]*IFERROR(INDEX(PP_Grid[#Data],M_BOM[PPGridRow],94),0))</f>
        <v/>
      </c>
      <c r="CQ15">
        <f>SUMPRODUCT((M_BOM[RM_Code]=$A15)*M_BOM[RM_Qty_Per_Batch]*IFERROR(INDEX(PP_Grid[#Data],M_BOM[PPGridRow],95),0))</f>
        <v/>
      </c>
      <c r="CR15">
        <f>SUMPRODUCT((M_BOM[RM_Code]=$A15)*M_BOM[RM_Qty_Per_Batch]*IFERROR(INDEX(PP_Grid[#Data],M_BOM[PPGridRow],96),0))</f>
        <v/>
      </c>
      <c r="CS15">
        <f>SUMPRODUCT((M_BOM[RM_Code]=$A15)*M_BOM[RM_Qty_Per_Batch]*IFERROR(INDEX(PP_Grid[#Data],M_BOM[PPGridRow],97),0))</f>
        <v/>
      </c>
      <c r="CT15">
        <f>SUMPRODUCT((M_BOM[RM_Code]=$A15)*M_BOM[RM_Qty_Per_Batch]*IFERROR(INDEX(PP_Grid[#Data],M_BOM[PPGridRow],98),0))</f>
        <v/>
      </c>
      <c r="CU15">
        <f>SUMPRODUCT((M_BOM[RM_Code]=$A15)*M_BOM[RM_Qty_Per_Batch]*IFERROR(INDEX(PP_Grid[#Data],M_BOM[PPGridRow],99),0))</f>
        <v/>
      </c>
      <c r="CV15">
        <f>SUMPRODUCT((M_BOM[RM_Code]=$A15)*M_BOM[RM_Qty_Per_Batch]*IFERROR(INDEX(PP_Grid[#Data],M_BOM[PPGridRow],100),0))</f>
        <v/>
      </c>
      <c r="CW15">
        <f>SUMPRODUCT((M_BOM[RM_Code]=$A15)*M_BOM[RM_Qty_Per_Batch]*IFERROR(INDEX(PP_Grid[#Data],M_BOM[PPGridRow],101),0))</f>
        <v/>
      </c>
      <c r="CX15">
        <f>SUMPRODUCT((M_BOM[RM_Code]=$A15)*M_BOM[RM_Qty_Per_Batch]*IFERROR(INDEX(PP_Grid[#Data],M_BOM[PPGridRow],102),0))</f>
        <v/>
      </c>
      <c r="CY15">
        <f>SUMPRODUCT((M_BOM[RM_Code]=$A15)*M_BOM[RM_Qty_Per_Batch]*IFERROR(INDEX(PP_Grid[#Data],M_BOM[PPGridRow],103),0))</f>
        <v/>
      </c>
      <c r="CZ15">
        <f>SUMPRODUCT((M_BOM[RM_Code]=$A15)*M_BOM[RM_Qty_Per_Batch]*IFERROR(INDEX(PP_Grid[#Data],M_BOM[PPGridRow],104),0))</f>
        <v/>
      </c>
      <c r="DA15">
        <f>SUMPRODUCT((M_BOM[RM_Code]=$A15)*M_BOM[RM_Qty_Per_Batch]*IFERROR(INDEX(PP_Grid[#Data],M_BOM[PPGridRow],105),0))</f>
        <v/>
      </c>
    </row>
    <row r="16">
      <c r="A16" t="inlineStr">
        <is>
          <t>7EP</t>
        </is>
      </c>
      <c r="B16">
        <f>SUMPRODUCT((M_BOM[RM_Code]=$A16)*M_BOM[RM_Qty_Per_Batch]*IFERROR(INDEX(PP_Grid[#Data],M_BOM[PPGridRow],2),0))</f>
        <v/>
      </c>
      <c r="C16">
        <f>SUMPRODUCT((M_BOM[RM_Code]=$A16)*M_BOM[RM_Qty_Per_Batch]*IFERROR(INDEX(PP_Grid[#Data],M_BOM[PPGridRow],3),0))</f>
        <v/>
      </c>
      <c r="D16">
        <f>SUMPRODUCT((M_BOM[RM_Code]=$A16)*M_BOM[RM_Qty_Per_Batch]*IFERROR(INDEX(PP_Grid[#Data],M_BOM[PPGridRow],4),0))</f>
        <v/>
      </c>
      <c r="E16">
        <f>SUMPRODUCT((M_BOM[RM_Code]=$A16)*M_BOM[RM_Qty_Per_Batch]*IFERROR(INDEX(PP_Grid[#Data],M_BOM[PPGridRow],5),0))</f>
        <v/>
      </c>
      <c r="F16">
        <f>SUMPRODUCT((M_BOM[RM_Code]=$A16)*M_BOM[RM_Qty_Per_Batch]*IFERROR(INDEX(PP_Grid[#Data],M_BOM[PPGridRow],6),0))</f>
        <v/>
      </c>
      <c r="G16">
        <f>SUMPRODUCT((M_BOM[RM_Code]=$A16)*M_BOM[RM_Qty_Per_Batch]*IFERROR(INDEX(PP_Grid[#Data],M_BOM[PPGridRow],7),0))</f>
        <v/>
      </c>
      <c r="H16">
        <f>SUMPRODUCT((M_BOM[RM_Code]=$A16)*M_BOM[RM_Qty_Per_Batch]*IFERROR(INDEX(PP_Grid[#Data],M_BOM[PPGridRow],8),0))</f>
        <v/>
      </c>
      <c r="I16">
        <f>SUMPRODUCT((M_BOM[RM_Code]=$A16)*M_BOM[RM_Qty_Per_Batch]*IFERROR(INDEX(PP_Grid[#Data],M_BOM[PPGridRow],9),0))</f>
        <v/>
      </c>
      <c r="J16">
        <f>SUMPRODUCT((M_BOM[RM_Code]=$A16)*M_BOM[RM_Qty_Per_Batch]*IFERROR(INDEX(PP_Grid[#Data],M_BOM[PPGridRow],10),0))</f>
        <v/>
      </c>
      <c r="K16">
        <f>SUMPRODUCT((M_BOM[RM_Code]=$A16)*M_BOM[RM_Qty_Per_Batch]*IFERROR(INDEX(PP_Grid[#Data],M_BOM[PPGridRow],11),0))</f>
        <v/>
      </c>
      <c r="L16">
        <f>SUMPRODUCT((M_BOM[RM_Code]=$A16)*M_BOM[RM_Qty_Per_Batch]*IFERROR(INDEX(PP_Grid[#Data],M_BOM[PPGridRow],12),0))</f>
        <v/>
      </c>
      <c r="M16">
        <f>SUMPRODUCT((M_BOM[RM_Code]=$A16)*M_BOM[RM_Qty_Per_Batch]*IFERROR(INDEX(PP_Grid[#Data],M_BOM[PPGridRow],13),0))</f>
        <v/>
      </c>
      <c r="N16">
        <f>SUMPRODUCT((M_BOM[RM_Code]=$A16)*M_BOM[RM_Qty_Per_Batch]*IFERROR(INDEX(PP_Grid[#Data],M_BOM[PPGridRow],14),0))</f>
        <v/>
      </c>
      <c r="O16">
        <f>SUMPRODUCT((M_BOM[RM_Code]=$A16)*M_BOM[RM_Qty_Per_Batch]*IFERROR(INDEX(PP_Grid[#Data],M_BOM[PPGridRow],15),0))</f>
        <v/>
      </c>
      <c r="P16">
        <f>SUMPRODUCT((M_BOM[RM_Code]=$A16)*M_BOM[RM_Qty_Per_Batch]*IFERROR(INDEX(PP_Grid[#Data],M_BOM[PPGridRow],16),0))</f>
        <v/>
      </c>
      <c r="Q16">
        <f>SUMPRODUCT((M_BOM[RM_Code]=$A16)*M_BOM[RM_Qty_Per_Batch]*IFERROR(INDEX(PP_Grid[#Data],M_BOM[PPGridRow],17),0))</f>
        <v/>
      </c>
      <c r="R16">
        <f>SUMPRODUCT((M_BOM[RM_Code]=$A16)*M_BOM[RM_Qty_Per_Batch]*IFERROR(INDEX(PP_Grid[#Data],M_BOM[PPGridRow],18),0))</f>
        <v/>
      </c>
      <c r="S16">
        <f>SUMPRODUCT((M_BOM[RM_Code]=$A16)*M_BOM[RM_Qty_Per_Batch]*IFERROR(INDEX(PP_Grid[#Data],M_BOM[PPGridRow],19),0))</f>
        <v/>
      </c>
      <c r="T16">
        <f>SUMPRODUCT((M_BOM[RM_Code]=$A16)*M_BOM[RM_Qty_Per_Batch]*IFERROR(INDEX(PP_Grid[#Data],M_BOM[PPGridRow],20),0))</f>
        <v/>
      </c>
      <c r="U16">
        <f>SUMPRODUCT((M_BOM[RM_Code]=$A16)*M_BOM[RM_Qty_Per_Batch]*IFERROR(INDEX(PP_Grid[#Data],M_BOM[PPGridRow],21),0))</f>
        <v/>
      </c>
      <c r="V16">
        <f>SUMPRODUCT((M_BOM[RM_Code]=$A16)*M_BOM[RM_Qty_Per_Batch]*IFERROR(INDEX(PP_Grid[#Data],M_BOM[PPGridRow],22),0))</f>
        <v/>
      </c>
      <c r="W16">
        <f>SUMPRODUCT((M_BOM[RM_Code]=$A16)*M_BOM[RM_Qty_Per_Batch]*IFERROR(INDEX(PP_Grid[#Data],M_BOM[PPGridRow],23),0))</f>
        <v/>
      </c>
      <c r="X16">
        <f>SUMPRODUCT((M_BOM[RM_Code]=$A16)*M_BOM[RM_Qty_Per_Batch]*IFERROR(INDEX(PP_Grid[#Data],M_BOM[PPGridRow],24),0))</f>
        <v/>
      </c>
      <c r="Y16">
        <f>SUMPRODUCT((M_BOM[RM_Code]=$A16)*M_BOM[RM_Qty_Per_Batch]*IFERROR(INDEX(PP_Grid[#Data],M_BOM[PPGridRow],25),0))</f>
        <v/>
      </c>
      <c r="Z16">
        <f>SUMPRODUCT((M_BOM[RM_Code]=$A16)*M_BOM[RM_Qty_Per_Batch]*IFERROR(INDEX(PP_Grid[#Data],M_BOM[PPGridRow],26),0))</f>
        <v/>
      </c>
      <c r="AA16">
        <f>SUMPRODUCT((M_BOM[RM_Code]=$A16)*M_BOM[RM_Qty_Per_Batch]*IFERROR(INDEX(PP_Grid[#Data],M_BOM[PPGridRow],27),0))</f>
        <v/>
      </c>
      <c r="AB16">
        <f>SUMPRODUCT((M_BOM[RM_Code]=$A16)*M_BOM[RM_Qty_Per_Batch]*IFERROR(INDEX(PP_Grid[#Data],M_BOM[PPGridRow],28),0))</f>
        <v/>
      </c>
      <c r="AC16">
        <f>SUMPRODUCT((M_BOM[RM_Code]=$A16)*M_BOM[RM_Qty_Per_Batch]*IFERROR(INDEX(PP_Grid[#Data],M_BOM[PPGridRow],29),0))</f>
        <v/>
      </c>
      <c r="AD16">
        <f>SUMPRODUCT((M_BOM[RM_Code]=$A16)*M_BOM[RM_Qty_Per_Batch]*IFERROR(INDEX(PP_Grid[#Data],M_BOM[PPGridRow],30),0))</f>
        <v/>
      </c>
      <c r="AE16">
        <f>SUMPRODUCT((M_BOM[RM_Code]=$A16)*M_BOM[RM_Qty_Per_Batch]*IFERROR(INDEX(PP_Grid[#Data],M_BOM[PPGridRow],31),0))</f>
        <v/>
      </c>
      <c r="AF16">
        <f>SUMPRODUCT((M_BOM[RM_Code]=$A16)*M_BOM[RM_Qty_Per_Batch]*IFERROR(INDEX(PP_Grid[#Data],M_BOM[PPGridRow],32),0))</f>
        <v/>
      </c>
      <c r="AG16">
        <f>SUMPRODUCT((M_BOM[RM_Code]=$A16)*M_BOM[RM_Qty_Per_Batch]*IFERROR(INDEX(PP_Grid[#Data],M_BOM[PPGridRow],33),0))</f>
        <v/>
      </c>
      <c r="AH16">
        <f>SUMPRODUCT((M_BOM[RM_Code]=$A16)*M_BOM[RM_Qty_Per_Batch]*IFERROR(INDEX(PP_Grid[#Data],M_BOM[PPGridRow],34),0))</f>
        <v/>
      </c>
      <c r="AI16">
        <f>SUMPRODUCT((M_BOM[RM_Code]=$A16)*M_BOM[RM_Qty_Per_Batch]*IFERROR(INDEX(PP_Grid[#Data],M_BOM[PPGridRow],35),0))</f>
        <v/>
      </c>
      <c r="AJ16">
        <f>SUMPRODUCT((M_BOM[RM_Code]=$A16)*M_BOM[RM_Qty_Per_Batch]*IFERROR(INDEX(PP_Grid[#Data],M_BOM[PPGridRow],36),0))</f>
        <v/>
      </c>
      <c r="AK16">
        <f>SUMPRODUCT((M_BOM[RM_Code]=$A16)*M_BOM[RM_Qty_Per_Batch]*IFERROR(INDEX(PP_Grid[#Data],M_BOM[PPGridRow],37),0))</f>
        <v/>
      </c>
      <c r="AL16">
        <f>SUMPRODUCT((M_BOM[RM_Code]=$A16)*M_BOM[RM_Qty_Per_Batch]*IFERROR(INDEX(PP_Grid[#Data],M_BOM[PPGridRow],38),0))</f>
        <v/>
      </c>
      <c r="AM16">
        <f>SUMPRODUCT((M_BOM[RM_Code]=$A16)*M_BOM[RM_Qty_Per_Batch]*IFERROR(INDEX(PP_Grid[#Data],M_BOM[PPGridRow],39),0))</f>
        <v/>
      </c>
      <c r="AN16">
        <f>SUMPRODUCT((M_BOM[RM_Code]=$A16)*M_BOM[RM_Qty_Per_Batch]*IFERROR(INDEX(PP_Grid[#Data],M_BOM[PPGridRow],40),0))</f>
        <v/>
      </c>
      <c r="AO16">
        <f>SUMPRODUCT((M_BOM[RM_Code]=$A16)*M_BOM[RM_Qty_Per_Batch]*IFERROR(INDEX(PP_Grid[#Data],M_BOM[PPGridRow],41),0))</f>
        <v/>
      </c>
      <c r="AP16">
        <f>SUMPRODUCT((M_BOM[RM_Code]=$A16)*M_BOM[RM_Qty_Per_Batch]*IFERROR(INDEX(PP_Grid[#Data],M_BOM[PPGridRow],42),0))</f>
        <v/>
      </c>
      <c r="AQ16">
        <f>SUMPRODUCT((M_BOM[RM_Code]=$A16)*M_BOM[RM_Qty_Per_Batch]*IFERROR(INDEX(PP_Grid[#Data],M_BOM[PPGridRow],43),0))</f>
        <v/>
      </c>
      <c r="AR16">
        <f>SUMPRODUCT((M_BOM[RM_Code]=$A16)*M_BOM[RM_Qty_Per_Batch]*IFERROR(INDEX(PP_Grid[#Data],M_BOM[PPGridRow],44),0))</f>
        <v/>
      </c>
      <c r="AS16">
        <f>SUMPRODUCT((M_BOM[RM_Code]=$A16)*M_BOM[RM_Qty_Per_Batch]*IFERROR(INDEX(PP_Grid[#Data],M_BOM[PPGridRow],45),0))</f>
        <v/>
      </c>
      <c r="AT16">
        <f>SUMPRODUCT((M_BOM[RM_Code]=$A16)*M_BOM[RM_Qty_Per_Batch]*IFERROR(INDEX(PP_Grid[#Data],M_BOM[PPGridRow],46),0))</f>
        <v/>
      </c>
      <c r="AU16">
        <f>SUMPRODUCT((M_BOM[RM_Code]=$A16)*M_BOM[RM_Qty_Per_Batch]*IFERROR(INDEX(PP_Grid[#Data],M_BOM[PPGridRow],47),0))</f>
        <v/>
      </c>
      <c r="AV16">
        <f>SUMPRODUCT((M_BOM[RM_Code]=$A16)*M_BOM[RM_Qty_Per_Batch]*IFERROR(INDEX(PP_Grid[#Data],M_BOM[PPGridRow],48),0))</f>
        <v/>
      </c>
      <c r="AW16">
        <f>SUMPRODUCT((M_BOM[RM_Code]=$A16)*M_BOM[RM_Qty_Per_Batch]*IFERROR(INDEX(PP_Grid[#Data],M_BOM[PPGridRow],49),0))</f>
        <v/>
      </c>
      <c r="AX16">
        <f>SUMPRODUCT((M_BOM[RM_Code]=$A16)*M_BOM[RM_Qty_Per_Batch]*IFERROR(INDEX(PP_Grid[#Data],M_BOM[PPGridRow],50),0))</f>
        <v/>
      </c>
      <c r="AY16">
        <f>SUMPRODUCT((M_BOM[RM_Code]=$A16)*M_BOM[RM_Qty_Per_Batch]*IFERROR(INDEX(PP_Grid[#Data],M_BOM[PPGridRow],51),0))</f>
        <v/>
      </c>
      <c r="AZ16">
        <f>SUMPRODUCT((M_BOM[RM_Code]=$A16)*M_BOM[RM_Qty_Per_Batch]*IFERROR(INDEX(PP_Grid[#Data],M_BOM[PPGridRow],52),0))</f>
        <v/>
      </c>
      <c r="BA16">
        <f>SUMPRODUCT((M_BOM[RM_Code]=$A16)*M_BOM[RM_Qty_Per_Batch]*IFERROR(INDEX(PP_Grid[#Data],M_BOM[PPGridRow],53),0))</f>
        <v/>
      </c>
      <c r="BB16">
        <f>SUMPRODUCT((M_BOM[RM_Code]=$A16)*M_BOM[RM_Qty_Per_Batch]*IFERROR(INDEX(PP_Grid[#Data],M_BOM[PPGridRow],54),0))</f>
        <v/>
      </c>
      <c r="BC16">
        <f>SUMPRODUCT((M_BOM[RM_Code]=$A16)*M_BOM[RM_Qty_Per_Batch]*IFERROR(INDEX(PP_Grid[#Data],M_BOM[PPGridRow],55),0))</f>
        <v/>
      </c>
      <c r="BD16">
        <f>SUMPRODUCT((M_BOM[RM_Code]=$A16)*M_BOM[RM_Qty_Per_Batch]*IFERROR(INDEX(PP_Grid[#Data],M_BOM[PPGridRow],56),0))</f>
        <v/>
      </c>
      <c r="BE16">
        <f>SUMPRODUCT((M_BOM[RM_Code]=$A16)*M_BOM[RM_Qty_Per_Batch]*IFERROR(INDEX(PP_Grid[#Data],M_BOM[PPGridRow],57),0))</f>
        <v/>
      </c>
      <c r="BF16">
        <f>SUMPRODUCT((M_BOM[RM_Code]=$A16)*M_BOM[RM_Qty_Per_Batch]*IFERROR(INDEX(PP_Grid[#Data],M_BOM[PPGridRow],58),0))</f>
        <v/>
      </c>
      <c r="BG16">
        <f>SUMPRODUCT((M_BOM[RM_Code]=$A16)*M_BOM[RM_Qty_Per_Batch]*IFERROR(INDEX(PP_Grid[#Data],M_BOM[PPGridRow],59),0))</f>
        <v/>
      </c>
      <c r="BH16">
        <f>SUMPRODUCT((M_BOM[RM_Code]=$A16)*M_BOM[RM_Qty_Per_Batch]*IFERROR(INDEX(PP_Grid[#Data],M_BOM[PPGridRow],60),0))</f>
        <v/>
      </c>
      <c r="BI16">
        <f>SUMPRODUCT((M_BOM[RM_Code]=$A16)*M_BOM[RM_Qty_Per_Batch]*IFERROR(INDEX(PP_Grid[#Data],M_BOM[PPGridRow],61),0))</f>
        <v/>
      </c>
      <c r="BJ16">
        <f>SUMPRODUCT((M_BOM[RM_Code]=$A16)*M_BOM[RM_Qty_Per_Batch]*IFERROR(INDEX(PP_Grid[#Data],M_BOM[PPGridRow],62),0))</f>
        <v/>
      </c>
      <c r="BK16">
        <f>SUMPRODUCT((M_BOM[RM_Code]=$A16)*M_BOM[RM_Qty_Per_Batch]*IFERROR(INDEX(PP_Grid[#Data],M_BOM[PPGridRow],63),0))</f>
        <v/>
      </c>
      <c r="BL16">
        <f>SUMPRODUCT((M_BOM[RM_Code]=$A16)*M_BOM[RM_Qty_Per_Batch]*IFERROR(INDEX(PP_Grid[#Data],M_BOM[PPGridRow],64),0))</f>
        <v/>
      </c>
      <c r="BM16">
        <f>SUMPRODUCT((M_BOM[RM_Code]=$A16)*M_BOM[RM_Qty_Per_Batch]*IFERROR(INDEX(PP_Grid[#Data],M_BOM[PPGridRow],65),0))</f>
        <v/>
      </c>
      <c r="BN16">
        <f>SUMPRODUCT((M_BOM[RM_Code]=$A16)*M_BOM[RM_Qty_Per_Batch]*IFERROR(INDEX(PP_Grid[#Data],M_BOM[PPGridRow],66),0))</f>
        <v/>
      </c>
      <c r="BO16">
        <f>SUMPRODUCT((M_BOM[RM_Code]=$A16)*M_BOM[RM_Qty_Per_Batch]*IFERROR(INDEX(PP_Grid[#Data],M_BOM[PPGridRow],67),0))</f>
        <v/>
      </c>
      <c r="BP16">
        <f>SUMPRODUCT((M_BOM[RM_Code]=$A16)*M_BOM[RM_Qty_Per_Batch]*IFERROR(INDEX(PP_Grid[#Data],M_BOM[PPGridRow],68),0))</f>
        <v/>
      </c>
      <c r="BQ16">
        <f>SUMPRODUCT((M_BOM[RM_Code]=$A16)*M_BOM[RM_Qty_Per_Batch]*IFERROR(INDEX(PP_Grid[#Data],M_BOM[PPGridRow],69),0))</f>
        <v/>
      </c>
      <c r="BR16">
        <f>SUMPRODUCT((M_BOM[RM_Code]=$A16)*M_BOM[RM_Qty_Per_Batch]*IFERROR(INDEX(PP_Grid[#Data],M_BOM[PPGridRow],70),0))</f>
        <v/>
      </c>
      <c r="BS16">
        <f>SUMPRODUCT((M_BOM[RM_Code]=$A16)*M_BOM[RM_Qty_Per_Batch]*IFERROR(INDEX(PP_Grid[#Data],M_BOM[PPGridRow],71),0))</f>
        <v/>
      </c>
      <c r="BT16">
        <f>SUMPRODUCT((M_BOM[RM_Code]=$A16)*M_BOM[RM_Qty_Per_Batch]*IFERROR(INDEX(PP_Grid[#Data],M_BOM[PPGridRow],72),0))</f>
        <v/>
      </c>
      <c r="BU16">
        <f>SUMPRODUCT((M_BOM[RM_Code]=$A16)*M_BOM[RM_Qty_Per_Batch]*IFERROR(INDEX(PP_Grid[#Data],M_BOM[PPGridRow],73),0))</f>
        <v/>
      </c>
      <c r="BV16">
        <f>SUMPRODUCT((M_BOM[RM_Code]=$A16)*M_BOM[RM_Qty_Per_Batch]*IFERROR(INDEX(PP_Grid[#Data],M_BOM[PPGridRow],74),0))</f>
        <v/>
      </c>
      <c r="BW16">
        <f>SUMPRODUCT((M_BOM[RM_Code]=$A16)*M_BOM[RM_Qty_Per_Batch]*IFERROR(INDEX(PP_Grid[#Data],M_BOM[PPGridRow],75),0))</f>
        <v/>
      </c>
      <c r="BX16">
        <f>SUMPRODUCT((M_BOM[RM_Code]=$A16)*M_BOM[RM_Qty_Per_Batch]*IFERROR(INDEX(PP_Grid[#Data],M_BOM[PPGridRow],76),0))</f>
        <v/>
      </c>
      <c r="BY16">
        <f>SUMPRODUCT((M_BOM[RM_Code]=$A16)*M_BOM[RM_Qty_Per_Batch]*IFERROR(INDEX(PP_Grid[#Data],M_BOM[PPGridRow],77),0))</f>
        <v/>
      </c>
      <c r="BZ16">
        <f>SUMPRODUCT((M_BOM[RM_Code]=$A16)*M_BOM[RM_Qty_Per_Batch]*IFERROR(INDEX(PP_Grid[#Data],M_BOM[PPGridRow],78),0))</f>
        <v/>
      </c>
      <c r="CA16">
        <f>SUMPRODUCT((M_BOM[RM_Code]=$A16)*M_BOM[RM_Qty_Per_Batch]*IFERROR(INDEX(PP_Grid[#Data],M_BOM[PPGridRow],79),0))</f>
        <v/>
      </c>
      <c r="CB16">
        <f>SUMPRODUCT((M_BOM[RM_Code]=$A16)*M_BOM[RM_Qty_Per_Batch]*IFERROR(INDEX(PP_Grid[#Data],M_BOM[PPGridRow],80),0))</f>
        <v/>
      </c>
      <c r="CC16">
        <f>SUMPRODUCT((M_BOM[RM_Code]=$A16)*M_BOM[RM_Qty_Per_Batch]*IFERROR(INDEX(PP_Grid[#Data],M_BOM[PPGridRow],81),0))</f>
        <v/>
      </c>
      <c r="CD16">
        <f>SUMPRODUCT((M_BOM[RM_Code]=$A16)*M_BOM[RM_Qty_Per_Batch]*IFERROR(INDEX(PP_Grid[#Data],M_BOM[PPGridRow],82),0))</f>
        <v/>
      </c>
      <c r="CE16">
        <f>SUMPRODUCT((M_BOM[RM_Code]=$A16)*M_BOM[RM_Qty_Per_Batch]*IFERROR(INDEX(PP_Grid[#Data],M_BOM[PPGridRow],83),0))</f>
        <v/>
      </c>
      <c r="CF16">
        <f>SUMPRODUCT((M_BOM[RM_Code]=$A16)*M_BOM[RM_Qty_Per_Batch]*IFERROR(INDEX(PP_Grid[#Data],M_BOM[PPGridRow],84),0))</f>
        <v/>
      </c>
      <c r="CG16">
        <f>SUMPRODUCT((M_BOM[RM_Code]=$A16)*M_BOM[RM_Qty_Per_Batch]*IFERROR(INDEX(PP_Grid[#Data],M_BOM[PPGridRow],85),0))</f>
        <v/>
      </c>
      <c r="CH16">
        <f>SUMPRODUCT((M_BOM[RM_Code]=$A16)*M_BOM[RM_Qty_Per_Batch]*IFERROR(INDEX(PP_Grid[#Data],M_BOM[PPGridRow],86),0))</f>
        <v/>
      </c>
      <c r="CI16">
        <f>SUMPRODUCT((M_BOM[RM_Code]=$A16)*M_BOM[RM_Qty_Per_Batch]*IFERROR(INDEX(PP_Grid[#Data],M_BOM[PPGridRow],87),0))</f>
        <v/>
      </c>
      <c r="CJ16">
        <f>SUMPRODUCT((M_BOM[RM_Code]=$A16)*M_BOM[RM_Qty_Per_Batch]*IFERROR(INDEX(PP_Grid[#Data],M_BOM[PPGridRow],88),0))</f>
        <v/>
      </c>
      <c r="CK16">
        <f>SUMPRODUCT((M_BOM[RM_Code]=$A16)*M_BOM[RM_Qty_Per_Batch]*IFERROR(INDEX(PP_Grid[#Data],M_BOM[PPGridRow],89),0))</f>
        <v/>
      </c>
      <c r="CL16">
        <f>SUMPRODUCT((M_BOM[RM_Code]=$A16)*M_BOM[RM_Qty_Per_Batch]*IFERROR(INDEX(PP_Grid[#Data],M_BOM[PPGridRow],90),0))</f>
        <v/>
      </c>
      <c r="CM16">
        <f>SUMPRODUCT((M_BOM[RM_Code]=$A16)*M_BOM[RM_Qty_Per_Batch]*IFERROR(INDEX(PP_Grid[#Data],M_BOM[PPGridRow],91),0))</f>
        <v/>
      </c>
      <c r="CN16">
        <f>SUMPRODUCT((M_BOM[RM_Code]=$A16)*M_BOM[RM_Qty_Per_Batch]*IFERROR(INDEX(PP_Grid[#Data],M_BOM[PPGridRow],92),0))</f>
        <v/>
      </c>
      <c r="CO16">
        <f>SUMPRODUCT((M_BOM[RM_Code]=$A16)*M_BOM[RM_Qty_Per_Batch]*IFERROR(INDEX(PP_Grid[#Data],M_BOM[PPGridRow],93),0))</f>
        <v/>
      </c>
      <c r="CP16">
        <f>SUMPRODUCT((M_BOM[RM_Code]=$A16)*M_BOM[RM_Qty_Per_Batch]*IFERROR(INDEX(PP_Grid[#Data],M_BOM[PPGridRow],94),0))</f>
        <v/>
      </c>
      <c r="CQ16">
        <f>SUMPRODUCT((M_BOM[RM_Code]=$A16)*M_BOM[RM_Qty_Per_Batch]*IFERROR(INDEX(PP_Grid[#Data],M_BOM[PPGridRow],95),0))</f>
        <v/>
      </c>
      <c r="CR16">
        <f>SUMPRODUCT((M_BOM[RM_Code]=$A16)*M_BOM[RM_Qty_Per_Batch]*IFERROR(INDEX(PP_Grid[#Data],M_BOM[PPGridRow],96),0))</f>
        <v/>
      </c>
      <c r="CS16">
        <f>SUMPRODUCT((M_BOM[RM_Code]=$A16)*M_BOM[RM_Qty_Per_Batch]*IFERROR(INDEX(PP_Grid[#Data],M_BOM[PPGridRow],97),0))</f>
        <v/>
      </c>
      <c r="CT16">
        <f>SUMPRODUCT((M_BOM[RM_Code]=$A16)*M_BOM[RM_Qty_Per_Batch]*IFERROR(INDEX(PP_Grid[#Data],M_BOM[PPGridRow],98),0))</f>
        <v/>
      </c>
      <c r="CU16">
        <f>SUMPRODUCT((M_BOM[RM_Code]=$A16)*M_BOM[RM_Qty_Per_Batch]*IFERROR(INDEX(PP_Grid[#Data],M_BOM[PPGridRow],99),0))</f>
        <v/>
      </c>
      <c r="CV16">
        <f>SUMPRODUCT((M_BOM[RM_Code]=$A16)*M_BOM[RM_Qty_Per_Batch]*IFERROR(INDEX(PP_Grid[#Data],M_BOM[PPGridRow],100),0))</f>
        <v/>
      </c>
      <c r="CW16">
        <f>SUMPRODUCT((M_BOM[RM_Code]=$A16)*M_BOM[RM_Qty_Per_Batch]*IFERROR(INDEX(PP_Grid[#Data],M_BOM[PPGridRow],101),0))</f>
        <v/>
      </c>
      <c r="CX16">
        <f>SUMPRODUCT((M_BOM[RM_Code]=$A16)*M_BOM[RM_Qty_Per_Batch]*IFERROR(INDEX(PP_Grid[#Data],M_BOM[PPGridRow],102),0))</f>
        <v/>
      </c>
      <c r="CY16">
        <f>SUMPRODUCT((M_BOM[RM_Code]=$A16)*M_BOM[RM_Qty_Per_Batch]*IFERROR(INDEX(PP_Grid[#Data],M_BOM[PPGridRow],103),0))</f>
        <v/>
      </c>
      <c r="CZ16">
        <f>SUMPRODUCT((M_BOM[RM_Code]=$A16)*M_BOM[RM_Qty_Per_Batch]*IFERROR(INDEX(PP_Grid[#Data],M_BOM[PPGridRow],104),0))</f>
        <v/>
      </c>
      <c r="DA16">
        <f>SUMPRODUCT((M_BOM[RM_Code]=$A16)*M_BOM[RM_Qty_Per_Batch]*IFERROR(INDEX(PP_Grid[#Data],M_BOM[PPGridRow],105),0))</f>
        <v/>
      </c>
    </row>
    <row r="17">
      <c r="A17" t="inlineStr">
        <is>
          <t>F2290</t>
        </is>
      </c>
      <c r="B17">
        <f>SUMPRODUCT((M_BOM[RM_Code]=$A17)*M_BOM[RM_Qty_Per_Batch]*IFERROR(INDEX(PP_Grid[#Data],M_BOM[PPGridRow],2),0))</f>
        <v/>
      </c>
      <c r="C17">
        <f>SUMPRODUCT((M_BOM[RM_Code]=$A17)*M_BOM[RM_Qty_Per_Batch]*IFERROR(INDEX(PP_Grid[#Data],M_BOM[PPGridRow],3),0))</f>
        <v/>
      </c>
      <c r="D17">
        <f>SUMPRODUCT((M_BOM[RM_Code]=$A17)*M_BOM[RM_Qty_Per_Batch]*IFERROR(INDEX(PP_Grid[#Data],M_BOM[PPGridRow],4),0))</f>
        <v/>
      </c>
      <c r="E17">
        <f>SUMPRODUCT((M_BOM[RM_Code]=$A17)*M_BOM[RM_Qty_Per_Batch]*IFERROR(INDEX(PP_Grid[#Data],M_BOM[PPGridRow],5),0))</f>
        <v/>
      </c>
      <c r="F17">
        <f>SUMPRODUCT((M_BOM[RM_Code]=$A17)*M_BOM[RM_Qty_Per_Batch]*IFERROR(INDEX(PP_Grid[#Data],M_BOM[PPGridRow],6),0))</f>
        <v/>
      </c>
      <c r="G17">
        <f>SUMPRODUCT((M_BOM[RM_Code]=$A17)*M_BOM[RM_Qty_Per_Batch]*IFERROR(INDEX(PP_Grid[#Data],M_BOM[PPGridRow],7),0))</f>
        <v/>
      </c>
      <c r="H17">
        <f>SUMPRODUCT((M_BOM[RM_Code]=$A17)*M_BOM[RM_Qty_Per_Batch]*IFERROR(INDEX(PP_Grid[#Data],M_BOM[PPGridRow],8),0))</f>
        <v/>
      </c>
      <c r="I17">
        <f>SUMPRODUCT((M_BOM[RM_Code]=$A17)*M_BOM[RM_Qty_Per_Batch]*IFERROR(INDEX(PP_Grid[#Data],M_BOM[PPGridRow],9),0))</f>
        <v/>
      </c>
      <c r="J17">
        <f>SUMPRODUCT((M_BOM[RM_Code]=$A17)*M_BOM[RM_Qty_Per_Batch]*IFERROR(INDEX(PP_Grid[#Data],M_BOM[PPGridRow],10),0))</f>
        <v/>
      </c>
      <c r="K17">
        <f>SUMPRODUCT((M_BOM[RM_Code]=$A17)*M_BOM[RM_Qty_Per_Batch]*IFERROR(INDEX(PP_Grid[#Data],M_BOM[PPGridRow],11),0))</f>
        <v/>
      </c>
      <c r="L17">
        <f>SUMPRODUCT((M_BOM[RM_Code]=$A17)*M_BOM[RM_Qty_Per_Batch]*IFERROR(INDEX(PP_Grid[#Data],M_BOM[PPGridRow],12),0))</f>
        <v/>
      </c>
      <c r="M17">
        <f>SUMPRODUCT((M_BOM[RM_Code]=$A17)*M_BOM[RM_Qty_Per_Batch]*IFERROR(INDEX(PP_Grid[#Data],M_BOM[PPGridRow],13),0))</f>
        <v/>
      </c>
      <c r="N17">
        <f>SUMPRODUCT((M_BOM[RM_Code]=$A17)*M_BOM[RM_Qty_Per_Batch]*IFERROR(INDEX(PP_Grid[#Data],M_BOM[PPGridRow],14),0))</f>
        <v/>
      </c>
      <c r="O17">
        <f>SUMPRODUCT((M_BOM[RM_Code]=$A17)*M_BOM[RM_Qty_Per_Batch]*IFERROR(INDEX(PP_Grid[#Data],M_BOM[PPGridRow],15),0))</f>
        <v/>
      </c>
      <c r="P17">
        <f>SUMPRODUCT((M_BOM[RM_Code]=$A17)*M_BOM[RM_Qty_Per_Batch]*IFERROR(INDEX(PP_Grid[#Data],M_BOM[PPGridRow],16),0))</f>
        <v/>
      </c>
      <c r="Q17">
        <f>SUMPRODUCT((M_BOM[RM_Code]=$A17)*M_BOM[RM_Qty_Per_Batch]*IFERROR(INDEX(PP_Grid[#Data],M_BOM[PPGridRow],17),0))</f>
        <v/>
      </c>
      <c r="R17">
        <f>SUMPRODUCT((M_BOM[RM_Code]=$A17)*M_BOM[RM_Qty_Per_Batch]*IFERROR(INDEX(PP_Grid[#Data],M_BOM[PPGridRow],18),0))</f>
        <v/>
      </c>
      <c r="S17">
        <f>SUMPRODUCT((M_BOM[RM_Code]=$A17)*M_BOM[RM_Qty_Per_Batch]*IFERROR(INDEX(PP_Grid[#Data],M_BOM[PPGridRow],19),0))</f>
        <v/>
      </c>
      <c r="T17">
        <f>SUMPRODUCT((M_BOM[RM_Code]=$A17)*M_BOM[RM_Qty_Per_Batch]*IFERROR(INDEX(PP_Grid[#Data],M_BOM[PPGridRow],20),0))</f>
        <v/>
      </c>
      <c r="U17">
        <f>SUMPRODUCT((M_BOM[RM_Code]=$A17)*M_BOM[RM_Qty_Per_Batch]*IFERROR(INDEX(PP_Grid[#Data],M_BOM[PPGridRow],21),0))</f>
        <v/>
      </c>
      <c r="V17">
        <f>SUMPRODUCT((M_BOM[RM_Code]=$A17)*M_BOM[RM_Qty_Per_Batch]*IFERROR(INDEX(PP_Grid[#Data],M_BOM[PPGridRow],22),0))</f>
        <v/>
      </c>
      <c r="W17">
        <f>SUMPRODUCT((M_BOM[RM_Code]=$A17)*M_BOM[RM_Qty_Per_Batch]*IFERROR(INDEX(PP_Grid[#Data],M_BOM[PPGridRow],23),0))</f>
        <v/>
      </c>
      <c r="X17">
        <f>SUMPRODUCT((M_BOM[RM_Code]=$A17)*M_BOM[RM_Qty_Per_Batch]*IFERROR(INDEX(PP_Grid[#Data],M_BOM[PPGridRow],24),0))</f>
        <v/>
      </c>
      <c r="Y17">
        <f>SUMPRODUCT((M_BOM[RM_Code]=$A17)*M_BOM[RM_Qty_Per_Batch]*IFERROR(INDEX(PP_Grid[#Data],M_BOM[PPGridRow],25),0))</f>
        <v/>
      </c>
      <c r="Z17">
        <f>SUMPRODUCT((M_BOM[RM_Code]=$A17)*M_BOM[RM_Qty_Per_Batch]*IFERROR(INDEX(PP_Grid[#Data],M_BOM[PPGridRow],26),0))</f>
        <v/>
      </c>
      <c r="AA17">
        <f>SUMPRODUCT((M_BOM[RM_Code]=$A17)*M_BOM[RM_Qty_Per_Batch]*IFERROR(INDEX(PP_Grid[#Data],M_BOM[PPGridRow],27),0))</f>
        <v/>
      </c>
      <c r="AB17">
        <f>SUMPRODUCT((M_BOM[RM_Code]=$A17)*M_BOM[RM_Qty_Per_Batch]*IFERROR(INDEX(PP_Grid[#Data],M_BOM[PPGridRow],28),0))</f>
        <v/>
      </c>
      <c r="AC17">
        <f>SUMPRODUCT((M_BOM[RM_Code]=$A17)*M_BOM[RM_Qty_Per_Batch]*IFERROR(INDEX(PP_Grid[#Data],M_BOM[PPGridRow],29),0))</f>
        <v/>
      </c>
      <c r="AD17">
        <f>SUMPRODUCT((M_BOM[RM_Code]=$A17)*M_BOM[RM_Qty_Per_Batch]*IFERROR(INDEX(PP_Grid[#Data],M_BOM[PPGridRow],30),0))</f>
        <v/>
      </c>
      <c r="AE17">
        <f>SUMPRODUCT((M_BOM[RM_Code]=$A17)*M_BOM[RM_Qty_Per_Batch]*IFERROR(INDEX(PP_Grid[#Data],M_BOM[PPGridRow],31),0))</f>
        <v/>
      </c>
      <c r="AF17">
        <f>SUMPRODUCT((M_BOM[RM_Code]=$A17)*M_BOM[RM_Qty_Per_Batch]*IFERROR(INDEX(PP_Grid[#Data],M_BOM[PPGridRow],32),0))</f>
        <v/>
      </c>
      <c r="AG17">
        <f>SUMPRODUCT((M_BOM[RM_Code]=$A17)*M_BOM[RM_Qty_Per_Batch]*IFERROR(INDEX(PP_Grid[#Data],M_BOM[PPGridRow],33),0))</f>
        <v/>
      </c>
      <c r="AH17">
        <f>SUMPRODUCT((M_BOM[RM_Code]=$A17)*M_BOM[RM_Qty_Per_Batch]*IFERROR(INDEX(PP_Grid[#Data],M_BOM[PPGridRow],34),0))</f>
        <v/>
      </c>
      <c r="AI17">
        <f>SUMPRODUCT((M_BOM[RM_Code]=$A17)*M_BOM[RM_Qty_Per_Batch]*IFERROR(INDEX(PP_Grid[#Data],M_BOM[PPGridRow],35),0))</f>
        <v/>
      </c>
      <c r="AJ17">
        <f>SUMPRODUCT((M_BOM[RM_Code]=$A17)*M_BOM[RM_Qty_Per_Batch]*IFERROR(INDEX(PP_Grid[#Data],M_BOM[PPGridRow],36),0))</f>
        <v/>
      </c>
      <c r="AK17">
        <f>SUMPRODUCT((M_BOM[RM_Code]=$A17)*M_BOM[RM_Qty_Per_Batch]*IFERROR(INDEX(PP_Grid[#Data],M_BOM[PPGridRow],37),0))</f>
        <v/>
      </c>
      <c r="AL17">
        <f>SUMPRODUCT((M_BOM[RM_Code]=$A17)*M_BOM[RM_Qty_Per_Batch]*IFERROR(INDEX(PP_Grid[#Data],M_BOM[PPGridRow],38),0))</f>
        <v/>
      </c>
      <c r="AM17">
        <f>SUMPRODUCT((M_BOM[RM_Code]=$A17)*M_BOM[RM_Qty_Per_Batch]*IFERROR(INDEX(PP_Grid[#Data],M_BOM[PPGridRow],39),0))</f>
        <v/>
      </c>
      <c r="AN17">
        <f>SUMPRODUCT((M_BOM[RM_Code]=$A17)*M_BOM[RM_Qty_Per_Batch]*IFERROR(INDEX(PP_Grid[#Data],M_BOM[PPGridRow],40),0))</f>
        <v/>
      </c>
      <c r="AO17">
        <f>SUMPRODUCT((M_BOM[RM_Code]=$A17)*M_BOM[RM_Qty_Per_Batch]*IFERROR(INDEX(PP_Grid[#Data],M_BOM[PPGridRow],41),0))</f>
        <v/>
      </c>
      <c r="AP17">
        <f>SUMPRODUCT((M_BOM[RM_Code]=$A17)*M_BOM[RM_Qty_Per_Batch]*IFERROR(INDEX(PP_Grid[#Data],M_BOM[PPGridRow],42),0))</f>
        <v/>
      </c>
      <c r="AQ17">
        <f>SUMPRODUCT((M_BOM[RM_Code]=$A17)*M_BOM[RM_Qty_Per_Batch]*IFERROR(INDEX(PP_Grid[#Data],M_BOM[PPGridRow],43),0))</f>
        <v/>
      </c>
      <c r="AR17">
        <f>SUMPRODUCT((M_BOM[RM_Code]=$A17)*M_BOM[RM_Qty_Per_Batch]*IFERROR(INDEX(PP_Grid[#Data],M_BOM[PPGridRow],44),0))</f>
        <v/>
      </c>
      <c r="AS17">
        <f>SUMPRODUCT((M_BOM[RM_Code]=$A17)*M_BOM[RM_Qty_Per_Batch]*IFERROR(INDEX(PP_Grid[#Data],M_BOM[PPGridRow],45),0))</f>
        <v/>
      </c>
      <c r="AT17">
        <f>SUMPRODUCT((M_BOM[RM_Code]=$A17)*M_BOM[RM_Qty_Per_Batch]*IFERROR(INDEX(PP_Grid[#Data],M_BOM[PPGridRow],46),0))</f>
        <v/>
      </c>
      <c r="AU17">
        <f>SUMPRODUCT((M_BOM[RM_Code]=$A17)*M_BOM[RM_Qty_Per_Batch]*IFERROR(INDEX(PP_Grid[#Data],M_BOM[PPGridRow],47),0))</f>
        <v/>
      </c>
      <c r="AV17">
        <f>SUMPRODUCT((M_BOM[RM_Code]=$A17)*M_BOM[RM_Qty_Per_Batch]*IFERROR(INDEX(PP_Grid[#Data],M_BOM[PPGridRow],48),0))</f>
        <v/>
      </c>
      <c r="AW17">
        <f>SUMPRODUCT((M_BOM[RM_Code]=$A17)*M_BOM[RM_Qty_Per_Batch]*IFERROR(INDEX(PP_Grid[#Data],M_BOM[PPGridRow],49),0))</f>
        <v/>
      </c>
      <c r="AX17">
        <f>SUMPRODUCT((M_BOM[RM_Code]=$A17)*M_BOM[RM_Qty_Per_Batch]*IFERROR(INDEX(PP_Grid[#Data],M_BOM[PPGridRow],50),0))</f>
        <v/>
      </c>
      <c r="AY17">
        <f>SUMPRODUCT((M_BOM[RM_Code]=$A17)*M_BOM[RM_Qty_Per_Batch]*IFERROR(INDEX(PP_Grid[#Data],M_BOM[PPGridRow],51),0))</f>
        <v/>
      </c>
      <c r="AZ17">
        <f>SUMPRODUCT((M_BOM[RM_Code]=$A17)*M_BOM[RM_Qty_Per_Batch]*IFERROR(INDEX(PP_Grid[#Data],M_BOM[PPGridRow],52),0))</f>
        <v/>
      </c>
      <c r="BA17">
        <f>SUMPRODUCT((M_BOM[RM_Code]=$A17)*M_BOM[RM_Qty_Per_Batch]*IFERROR(INDEX(PP_Grid[#Data],M_BOM[PPGridRow],53),0))</f>
        <v/>
      </c>
      <c r="BB17">
        <f>SUMPRODUCT((M_BOM[RM_Code]=$A17)*M_BOM[RM_Qty_Per_Batch]*IFERROR(INDEX(PP_Grid[#Data],M_BOM[PPGridRow],54),0))</f>
        <v/>
      </c>
      <c r="BC17">
        <f>SUMPRODUCT((M_BOM[RM_Code]=$A17)*M_BOM[RM_Qty_Per_Batch]*IFERROR(INDEX(PP_Grid[#Data],M_BOM[PPGridRow],55),0))</f>
        <v/>
      </c>
      <c r="BD17">
        <f>SUMPRODUCT((M_BOM[RM_Code]=$A17)*M_BOM[RM_Qty_Per_Batch]*IFERROR(INDEX(PP_Grid[#Data],M_BOM[PPGridRow],56),0))</f>
        <v/>
      </c>
      <c r="BE17">
        <f>SUMPRODUCT((M_BOM[RM_Code]=$A17)*M_BOM[RM_Qty_Per_Batch]*IFERROR(INDEX(PP_Grid[#Data],M_BOM[PPGridRow],57),0))</f>
        <v/>
      </c>
      <c r="BF17">
        <f>SUMPRODUCT((M_BOM[RM_Code]=$A17)*M_BOM[RM_Qty_Per_Batch]*IFERROR(INDEX(PP_Grid[#Data],M_BOM[PPGridRow],58),0))</f>
        <v/>
      </c>
      <c r="BG17">
        <f>SUMPRODUCT((M_BOM[RM_Code]=$A17)*M_BOM[RM_Qty_Per_Batch]*IFERROR(INDEX(PP_Grid[#Data],M_BOM[PPGridRow],59),0))</f>
        <v/>
      </c>
      <c r="BH17">
        <f>SUMPRODUCT((M_BOM[RM_Code]=$A17)*M_BOM[RM_Qty_Per_Batch]*IFERROR(INDEX(PP_Grid[#Data],M_BOM[PPGridRow],60),0))</f>
        <v/>
      </c>
      <c r="BI17">
        <f>SUMPRODUCT((M_BOM[RM_Code]=$A17)*M_BOM[RM_Qty_Per_Batch]*IFERROR(INDEX(PP_Grid[#Data],M_BOM[PPGridRow],61),0))</f>
        <v/>
      </c>
      <c r="BJ17">
        <f>SUMPRODUCT((M_BOM[RM_Code]=$A17)*M_BOM[RM_Qty_Per_Batch]*IFERROR(INDEX(PP_Grid[#Data],M_BOM[PPGridRow],62),0))</f>
        <v/>
      </c>
      <c r="BK17">
        <f>SUMPRODUCT((M_BOM[RM_Code]=$A17)*M_BOM[RM_Qty_Per_Batch]*IFERROR(INDEX(PP_Grid[#Data],M_BOM[PPGridRow],63),0))</f>
        <v/>
      </c>
      <c r="BL17">
        <f>SUMPRODUCT((M_BOM[RM_Code]=$A17)*M_BOM[RM_Qty_Per_Batch]*IFERROR(INDEX(PP_Grid[#Data],M_BOM[PPGridRow],64),0))</f>
        <v/>
      </c>
      <c r="BM17">
        <f>SUMPRODUCT((M_BOM[RM_Code]=$A17)*M_BOM[RM_Qty_Per_Batch]*IFERROR(INDEX(PP_Grid[#Data],M_BOM[PPGridRow],65),0))</f>
        <v/>
      </c>
      <c r="BN17">
        <f>SUMPRODUCT((M_BOM[RM_Code]=$A17)*M_BOM[RM_Qty_Per_Batch]*IFERROR(INDEX(PP_Grid[#Data],M_BOM[PPGridRow],66),0))</f>
        <v/>
      </c>
      <c r="BO17">
        <f>SUMPRODUCT((M_BOM[RM_Code]=$A17)*M_BOM[RM_Qty_Per_Batch]*IFERROR(INDEX(PP_Grid[#Data],M_BOM[PPGridRow],67),0))</f>
        <v/>
      </c>
      <c r="BP17">
        <f>SUMPRODUCT((M_BOM[RM_Code]=$A17)*M_BOM[RM_Qty_Per_Batch]*IFERROR(INDEX(PP_Grid[#Data],M_BOM[PPGridRow],68),0))</f>
        <v/>
      </c>
      <c r="BQ17">
        <f>SUMPRODUCT((M_BOM[RM_Code]=$A17)*M_BOM[RM_Qty_Per_Batch]*IFERROR(INDEX(PP_Grid[#Data],M_BOM[PPGridRow],69),0))</f>
        <v/>
      </c>
      <c r="BR17">
        <f>SUMPRODUCT((M_BOM[RM_Code]=$A17)*M_BOM[RM_Qty_Per_Batch]*IFERROR(INDEX(PP_Grid[#Data],M_BOM[PPGridRow],70),0))</f>
        <v/>
      </c>
      <c r="BS17">
        <f>SUMPRODUCT((M_BOM[RM_Code]=$A17)*M_BOM[RM_Qty_Per_Batch]*IFERROR(INDEX(PP_Grid[#Data],M_BOM[PPGridRow],71),0))</f>
        <v/>
      </c>
      <c r="BT17">
        <f>SUMPRODUCT((M_BOM[RM_Code]=$A17)*M_BOM[RM_Qty_Per_Batch]*IFERROR(INDEX(PP_Grid[#Data],M_BOM[PPGridRow],72),0))</f>
        <v/>
      </c>
      <c r="BU17">
        <f>SUMPRODUCT((M_BOM[RM_Code]=$A17)*M_BOM[RM_Qty_Per_Batch]*IFERROR(INDEX(PP_Grid[#Data],M_BOM[PPGridRow],73),0))</f>
        <v/>
      </c>
      <c r="BV17">
        <f>SUMPRODUCT((M_BOM[RM_Code]=$A17)*M_BOM[RM_Qty_Per_Batch]*IFERROR(INDEX(PP_Grid[#Data],M_BOM[PPGridRow],74),0))</f>
        <v/>
      </c>
      <c r="BW17">
        <f>SUMPRODUCT((M_BOM[RM_Code]=$A17)*M_BOM[RM_Qty_Per_Batch]*IFERROR(INDEX(PP_Grid[#Data],M_BOM[PPGridRow],75),0))</f>
        <v/>
      </c>
      <c r="BX17">
        <f>SUMPRODUCT((M_BOM[RM_Code]=$A17)*M_BOM[RM_Qty_Per_Batch]*IFERROR(INDEX(PP_Grid[#Data],M_BOM[PPGridRow],76),0))</f>
        <v/>
      </c>
      <c r="BY17">
        <f>SUMPRODUCT((M_BOM[RM_Code]=$A17)*M_BOM[RM_Qty_Per_Batch]*IFERROR(INDEX(PP_Grid[#Data],M_BOM[PPGridRow],77),0))</f>
        <v/>
      </c>
      <c r="BZ17">
        <f>SUMPRODUCT((M_BOM[RM_Code]=$A17)*M_BOM[RM_Qty_Per_Batch]*IFERROR(INDEX(PP_Grid[#Data],M_BOM[PPGridRow],78),0))</f>
        <v/>
      </c>
      <c r="CA17">
        <f>SUMPRODUCT((M_BOM[RM_Code]=$A17)*M_BOM[RM_Qty_Per_Batch]*IFERROR(INDEX(PP_Grid[#Data],M_BOM[PPGridRow],79),0))</f>
        <v/>
      </c>
      <c r="CB17">
        <f>SUMPRODUCT((M_BOM[RM_Code]=$A17)*M_BOM[RM_Qty_Per_Batch]*IFERROR(INDEX(PP_Grid[#Data],M_BOM[PPGridRow],80),0))</f>
        <v/>
      </c>
      <c r="CC17">
        <f>SUMPRODUCT((M_BOM[RM_Code]=$A17)*M_BOM[RM_Qty_Per_Batch]*IFERROR(INDEX(PP_Grid[#Data],M_BOM[PPGridRow],81),0))</f>
        <v/>
      </c>
      <c r="CD17">
        <f>SUMPRODUCT((M_BOM[RM_Code]=$A17)*M_BOM[RM_Qty_Per_Batch]*IFERROR(INDEX(PP_Grid[#Data],M_BOM[PPGridRow],82),0))</f>
        <v/>
      </c>
      <c r="CE17">
        <f>SUMPRODUCT((M_BOM[RM_Code]=$A17)*M_BOM[RM_Qty_Per_Batch]*IFERROR(INDEX(PP_Grid[#Data],M_BOM[PPGridRow],83),0))</f>
        <v/>
      </c>
      <c r="CF17">
        <f>SUMPRODUCT((M_BOM[RM_Code]=$A17)*M_BOM[RM_Qty_Per_Batch]*IFERROR(INDEX(PP_Grid[#Data],M_BOM[PPGridRow],84),0))</f>
        <v/>
      </c>
      <c r="CG17">
        <f>SUMPRODUCT((M_BOM[RM_Code]=$A17)*M_BOM[RM_Qty_Per_Batch]*IFERROR(INDEX(PP_Grid[#Data],M_BOM[PPGridRow],85),0))</f>
        <v/>
      </c>
      <c r="CH17">
        <f>SUMPRODUCT((M_BOM[RM_Code]=$A17)*M_BOM[RM_Qty_Per_Batch]*IFERROR(INDEX(PP_Grid[#Data],M_BOM[PPGridRow],86),0))</f>
        <v/>
      </c>
      <c r="CI17">
        <f>SUMPRODUCT((M_BOM[RM_Code]=$A17)*M_BOM[RM_Qty_Per_Batch]*IFERROR(INDEX(PP_Grid[#Data],M_BOM[PPGridRow],87),0))</f>
        <v/>
      </c>
      <c r="CJ17">
        <f>SUMPRODUCT((M_BOM[RM_Code]=$A17)*M_BOM[RM_Qty_Per_Batch]*IFERROR(INDEX(PP_Grid[#Data],M_BOM[PPGridRow],88),0))</f>
        <v/>
      </c>
      <c r="CK17">
        <f>SUMPRODUCT((M_BOM[RM_Code]=$A17)*M_BOM[RM_Qty_Per_Batch]*IFERROR(INDEX(PP_Grid[#Data],M_BOM[PPGridRow],89),0))</f>
        <v/>
      </c>
      <c r="CL17">
        <f>SUMPRODUCT((M_BOM[RM_Code]=$A17)*M_BOM[RM_Qty_Per_Batch]*IFERROR(INDEX(PP_Grid[#Data],M_BOM[PPGridRow],90),0))</f>
        <v/>
      </c>
      <c r="CM17">
        <f>SUMPRODUCT((M_BOM[RM_Code]=$A17)*M_BOM[RM_Qty_Per_Batch]*IFERROR(INDEX(PP_Grid[#Data],M_BOM[PPGridRow],91),0))</f>
        <v/>
      </c>
      <c r="CN17">
        <f>SUMPRODUCT((M_BOM[RM_Code]=$A17)*M_BOM[RM_Qty_Per_Batch]*IFERROR(INDEX(PP_Grid[#Data],M_BOM[PPGridRow],92),0))</f>
        <v/>
      </c>
      <c r="CO17">
        <f>SUMPRODUCT((M_BOM[RM_Code]=$A17)*M_BOM[RM_Qty_Per_Batch]*IFERROR(INDEX(PP_Grid[#Data],M_BOM[PPGridRow],93),0))</f>
        <v/>
      </c>
      <c r="CP17">
        <f>SUMPRODUCT((M_BOM[RM_Code]=$A17)*M_BOM[RM_Qty_Per_Batch]*IFERROR(INDEX(PP_Grid[#Data],M_BOM[PPGridRow],94),0))</f>
        <v/>
      </c>
      <c r="CQ17">
        <f>SUMPRODUCT((M_BOM[RM_Code]=$A17)*M_BOM[RM_Qty_Per_Batch]*IFERROR(INDEX(PP_Grid[#Data],M_BOM[PPGridRow],95),0))</f>
        <v/>
      </c>
      <c r="CR17">
        <f>SUMPRODUCT((M_BOM[RM_Code]=$A17)*M_BOM[RM_Qty_Per_Batch]*IFERROR(INDEX(PP_Grid[#Data],M_BOM[PPGridRow],96),0))</f>
        <v/>
      </c>
      <c r="CS17">
        <f>SUMPRODUCT((M_BOM[RM_Code]=$A17)*M_BOM[RM_Qty_Per_Batch]*IFERROR(INDEX(PP_Grid[#Data],M_BOM[PPGridRow],97),0))</f>
        <v/>
      </c>
      <c r="CT17">
        <f>SUMPRODUCT((M_BOM[RM_Code]=$A17)*M_BOM[RM_Qty_Per_Batch]*IFERROR(INDEX(PP_Grid[#Data],M_BOM[PPGridRow],98),0))</f>
        <v/>
      </c>
      <c r="CU17">
        <f>SUMPRODUCT((M_BOM[RM_Code]=$A17)*M_BOM[RM_Qty_Per_Batch]*IFERROR(INDEX(PP_Grid[#Data],M_BOM[PPGridRow],99),0))</f>
        <v/>
      </c>
      <c r="CV17">
        <f>SUMPRODUCT((M_BOM[RM_Code]=$A17)*M_BOM[RM_Qty_Per_Batch]*IFERROR(INDEX(PP_Grid[#Data],M_BOM[PPGridRow],100),0))</f>
        <v/>
      </c>
      <c r="CW17">
        <f>SUMPRODUCT((M_BOM[RM_Code]=$A17)*M_BOM[RM_Qty_Per_Batch]*IFERROR(INDEX(PP_Grid[#Data],M_BOM[PPGridRow],101),0))</f>
        <v/>
      </c>
      <c r="CX17">
        <f>SUMPRODUCT((M_BOM[RM_Code]=$A17)*M_BOM[RM_Qty_Per_Batch]*IFERROR(INDEX(PP_Grid[#Data],M_BOM[PPGridRow],102),0))</f>
        <v/>
      </c>
      <c r="CY17">
        <f>SUMPRODUCT((M_BOM[RM_Code]=$A17)*M_BOM[RM_Qty_Per_Batch]*IFERROR(INDEX(PP_Grid[#Data],M_BOM[PPGridRow],103),0))</f>
        <v/>
      </c>
      <c r="CZ17">
        <f>SUMPRODUCT((M_BOM[RM_Code]=$A17)*M_BOM[RM_Qty_Per_Batch]*IFERROR(INDEX(PP_Grid[#Data],M_BOM[PPGridRow],104),0))</f>
        <v/>
      </c>
      <c r="DA17">
        <f>SUMPRODUCT((M_BOM[RM_Code]=$A17)*M_BOM[RM_Qty_Per_Batch]*IFERROR(INDEX(PP_Grid[#Data],M_BOM[PPGridRow],105),0))</f>
        <v/>
      </c>
    </row>
    <row r="18">
      <c r="A18" t="inlineStr">
        <is>
          <t>CHEM-1400</t>
        </is>
      </c>
      <c r="B18">
        <f>SUMPRODUCT((M_BOM[RM_Code]=$A18)*M_BOM[RM_Qty_Per_Batch]*IFERROR(INDEX(PP_Grid[#Data],M_BOM[PPGridRow],2),0))</f>
        <v/>
      </c>
      <c r="C18">
        <f>SUMPRODUCT((M_BOM[RM_Code]=$A18)*M_BOM[RM_Qty_Per_Batch]*IFERROR(INDEX(PP_Grid[#Data],M_BOM[PPGridRow],3),0))</f>
        <v/>
      </c>
      <c r="D18">
        <f>SUMPRODUCT((M_BOM[RM_Code]=$A18)*M_BOM[RM_Qty_Per_Batch]*IFERROR(INDEX(PP_Grid[#Data],M_BOM[PPGridRow],4),0))</f>
        <v/>
      </c>
      <c r="E18">
        <f>SUMPRODUCT((M_BOM[RM_Code]=$A18)*M_BOM[RM_Qty_Per_Batch]*IFERROR(INDEX(PP_Grid[#Data],M_BOM[PPGridRow],5),0))</f>
        <v/>
      </c>
      <c r="F18">
        <f>SUMPRODUCT((M_BOM[RM_Code]=$A18)*M_BOM[RM_Qty_Per_Batch]*IFERROR(INDEX(PP_Grid[#Data],M_BOM[PPGridRow],6),0))</f>
        <v/>
      </c>
      <c r="G18">
        <f>SUMPRODUCT((M_BOM[RM_Code]=$A18)*M_BOM[RM_Qty_Per_Batch]*IFERROR(INDEX(PP_Grid[#Data],M_BOM[PPGridRow],7),0))</f>
        <v/>
      </c>
      <c r="H18">
        <f>SUMPRODUCT((M_BOM[RM_Code]=$A18)*M_BOM[RM_Qty_Per_Batch]*IFERROR(INDEX(PP_Grid[#Data],M_BOM[PPGridRow],8),0))</f>
        <v/>
      </c>
      <c r="I18">
        <f>SUMPRODUCT((M_BOM[RM_Code]=$A18)*M_BOM[RM_Qty_Per_Batch]*IFERROR(INDEX(PP_Grid[#Data],M_BOM[PPGridRow],9),0))</f>
        <v/>
      </c>
      <c r="J18">
        <f>SUMPRODUCT((M_BOM[RM_Code]=$A18)*M_BOM[RM_Qty_Per_Batch]*IFERROR(INDEX(PP_Grid[#Data],M_BOM[PPGridRow],10),0))</f>
        <v/>
      </c>
      <c r="K18">
        <f>SUMPRODUCT((M_BOM[RM_Code]=$A18)*M_BOM[RM_Qty_Per_Batch]*IFERROR(INDEX(PP_Grid[#Data],M_BOM[PPGridRow],11),0))</f>
        <v/>
      </c>
      <c r="L18">
        <f>SUMPRODUCT((M_BOM[RM_Code]=$A18)*M_BOM[RM_Qty_Per_Batch]*IFERROR(INDEX(PP_Grid[#Data],M_BOM[PPGridRow],12),0))</f>
        <v/>
      </c>
      <c r="M18">
        <f>SUMPRODUCT((M_BOM[RM_Code]=$A18)*M_BOM[RM_Qty_Per_Batch]*IFERROR(INDEX(PP_Grid[#Data],M_BOM[PPGridRow],13),0))</f>
        <v/>
      </c>
      <c r="N18">
        <f>SUMPRODUCT((M_BOM[RM_Code]=$A18)*M_BOM[RM_Qty_Per_Batch]*IFERROR(INDEX(PP_Grid[#Data],M_BOM[PPGridRow],14),0))</f>
        <v/>
      </c>
      <c r="O18">
        <f>SUMPRODUCT((M_BOM[RM_Code]=$A18)*M_BOM[RM_Qty_Per_Batch]*IFERROR(INDEX(PP_Grid[#Data],M_BOM[PPGridRow],15),0))</f>
        <v/>
      </c>
      <c r="P18">
        <f>SUMPRODUCT((M_BOM[RM_Code]=$A18)*M_BOM[RM_Qty_Per_Batch]*IFERROR(INDEX(PP_Grid[#Data],M_BOM[PPGridRow],16),0))</f>
        <v/>
      </c>
      <c r="Q18">
        <f>SUMPRODUCT((M_BOM[RM_Code]=$A18)*M_BOM[RM_Qty_Per_Batch]*IFERROR(INDEX(PP_Grid[#Data],M_BOM[PPGridRow],17),0))</f>
        <v/>
      </c>
      <c r="R18">
        <f>SUMPRODUCT((M_BOM[RM_Code]=$A18)*M_BOM[RM_Qty_Per_Batch]*IFERROR(INDEX(PP_Grid[#Data],M_BOM[PPGridRow],18),0))</f>
        <v/>
      </c>
      <c r="S18">
        <f>SUMPRODUCT((M_BOM[RM_Code]=$A18)*M_BOM[RM_Qty_Per_Batch]*IFERROR(INDEX(PP_Grid[#Data],M_BOM[PPGridRow],19),0))</f>
        <v/>
      </c>
      <c r="T18">
        <f>SUMPRODUCT((M_BOM[RM_Code]=$A18)*M_BOM[RM_Qty_Per_Batch]*IFERROR(INDEX(PP_Grid[#Data],M_BOM[PPGridRow],20),0))</f>
        <v/>
      </c>
      <c r="U18">
        <f>SUMPRODUCT((M_BOM[RM_Code]=$A18)*M_BOM[RM_Qty_Per_Batch]*IFERROR(INDEX(PP_Grid[#Data],M_BOM[PPGridRow],21),0))</f>
        <v/>
      </c>
      <c r="V18">
        <f>SUMPRODUCT((M_BOM[RM_Code]=$A18)*M_BOM[RM_Qty_Per_Batch]*IFERROR(INDEX(PP_Grid[#Data],M_BOM[PPGridRow],22),0))</f>
        <v/>
      </c>
      <c r="W18">
        <f>SUMPRODUCT((M_BOM[RM_Code]=$A18)*M_BOM[RM_Qty_Per_Batch]*IFERROR(INDEX(PP_Grid[#Data],M_BOM[PPGridRow],23),0))</f>
        <v/>
      </c>
      <c r="X18">
        <f>SUMPRODUCT((M_BOM[RM_Code]=$A18)*M_BOM[RM_Qty_Per_Batch]*IFERROR(INDEX(PP_Grid[#Data],M_BOM[PPGridRow],24),0))</f>
        <v/>
      </c>
      <c r="Y18">
        <f>SUMPRODUCT((M_BOM[RM_Code]=$A18)*M_BOM[RM_Qty_Per_Batch]*IFERROR(INDEX(PP_Grid[#Data],M_BOM[PPGridRow],25),0))</f>
        <v/>
      </c>
      <c r="Z18">
        <f>SUMPRODUCT((M_BOM[RM_Code]=$A18)*M_BOM[RM_Qty_Per_Batch]*IFERROR(INDEX(PP_Grid[#Data],M_BOM[PPGridRow],26),0))</f>
        <v/>
      </c>
      <c r="AA18">
        <f>SUMPRODUCT((M_BOM[RM_Code]=$A18)*M_BOM[RM_Qty_Per_Batch]*IFERROR(INDEX(PP_Grid[#Data],M_BOM[PPGridRow],27),0))</f>
        <v/>
      </c>
      <c r="AB18">
        <f>SUMPRODUCT((M_BOM[RM_Code]=$A18)*M_BOM[RM_Qty_Per_Batch]*IFERROR(INDEX(PP_Grid[#Data],M_BOM[PPGridRow],28),0))</f>
        <v/>
      </c>
      <c r="AC18">
        <f>SUMPRODUCT((M_BOM[RM_Code]=$A18)*M_BOM[RM_Qty_Per_Batch]*IFERROR(INDEX(PP_Grid[#Data],M_BOM[PPGridRow],29),0))</f>
        <v/>
      </c>
      <c r="AD18">
        <f>SUMPRODUCT((M_BOM[RM_Code]=$A18)*M_BOM[RM_Qty_Per_Batch]*IFERROR(INDEX(PP_Grid[#Data],M_BOM[PPGridRow],30),0))</f>
        <v/>
      </c>
      <c r="AE18">
        <f>SUMPRODUCT((M_BOM[RM_Code]=$A18)*M_BOM[RM_Qty_Per_Batch]*IFERROR(INDEX(PP_Grid[#Data],M_BOM[PPGridRow],31),0))</f>
        <v/>
      </c>
      <c r="AF18">
        <f>SUMPRODUCT((M_BOM[RM_Code]=$A18)*M_BOM[RM_Qty_Per_Batch]*IFERROR(INDEX(PP_Grid[#Data],M_BOM[PPGridRow],32),0))</f>
        <v/>
      </c>
      <c r="AG18">
        <f>SUMPRODUCT((M_BOM[RM_Code]=$A18)*M_BOM[RM_Qty_Per_Batch]*IFERROR(INDEX(PP_Grid[#Data],M_BOM[PPGridRow],33),0))</f>
        <v/>
      </c>
      <c r="AH18">
        <f>SUMPRODUCT((M_BOM[RM_Code]=$A18)*M_BOM[RM_Qty_Per_Batch]*IFERROR(INDEX(PP_Grid[#Data],M_BOM[PPGridRow],34),0))</f>
        <v/>
      </c>
      <c r="AI18">
        <f>SUMPRODUCT((M_BOM[RM_Code]=$A18)*M_BOM[RM_Qty_Per_Batch]*IFERROR(INDEX(PP_Grid[#Data],M_BOM[PPGridRow],35),0))</f>
        <v/>
      </c>
      <c r="AJ18">
        <f>SUMPRODUCT((M_BOM[RM_Code]=$A18)*M_BOM[RM_Qty_Per_Batch]*IFERROR(INDEX(PP_Grid[#Data],M_BOM[PPGridRow],36),0))</f>
        <v/>
      </c>
      <c r="AK18">
        <f>SUMPRODUCT((M_BOM[RM_Code]=$A18)*M_BOM[RM_Qty_Per_Batch]*IFERROR(INDEX(PP_Grid[#Data],M_BOM[PPGridRow],37),0))</f>
        <v/>
      </c>
      <c r="AL18">
        <f>SUMPRODUCT((M_BOM[RM_Code]=$A18)*M_BOM[RM_Qty_Per_Batch]*IFERROR(INDEX(PP_Grid[#Data],M_BOM[PPGridRow],38),0))</f>
        <v/>
      </c>
      <c r="AM18">
        <f>SUMPRODUCT((M_BOM[RM_Code]=$A18)*M_BOM[RM_Qty_Per_Batch]*IFERROR(INDEX(PP_Grid[#Data],M_BOM[PPGridRow],39),0))</f>
        <v/>
      </c>
      <c r="AN18">
        <f>SUMPRODUCT((M_BOM[RM_Code]=$A18)*M_BOM[RM_Qty_Per_Batch]*IFERROR(INDEX(PP_Grid[#Data],M_BOM[PPGridRow],40),0))</f>
        <v/>
      </c>
      <c r="AO18">
        <f>SUMPRODUCT((M_BOM[RM_Code]=$A18)*M_BOM[RM_Qty_Per_Batch]*IFERROR(INDEX(PP_Grid[#Data],M_BOM[PPGridRow],41),0))</f>
        <v/>
      </c>
      <c r="AP18">
        <f>SUMPRODUCT((M_BOM[RM_Code]=$A18)*M_BOM[RM_Qty_Per_Batch]*IFERROR(INDEX(PP_Grid[#Data],M_BOM[PPGridRow],42),0))</f>
        <v/>
      </c>
      <c r="AQ18">
        <f>SUMPRODUCT((M_BOM[RM_Code]=$A18)*M_BOM[RM_Qty_Per_Batch]*IFERROR(INDEX(PP_Grid[#Data],M_BOM[PPGridRow],43),0))</f>
        <v/>
      </c>
      <c r="AR18">
        <f>SUMPRODUCT((M_BOM[RM_Code]=$A18)*M_BOM[RM_Qty_Per_Batch]*IFERROR(INDEX(PP_Grid[#Data],M_BOM[PPGridRow],44),0))</f>
        <v/>
      </c>
      <c r="AS18">
        <f>SUMPRODUCT((M_BOM[RM_Code]=$A18)*M_BOM[RM_Qty_Per_Batch]*IFERROR(INDEX(PP_Grid[#Data],M_BOM[PPGridRow],45),0))</f>
        <v/>
      </c>
      <c r="AT18">
        <f>SUMPRODUCT((M_BOM[RM_Code]=$A18)*M_BOM[RM_Qty_Per_Batch]*IFERROR(INDEX(PP_Grid[#Data],M_BOM[PPGridRow],46),0))</f>
        <v/>
      </c>
      <c r="AU18">
        <f>SUMPRODUCT((M_BOM[RM_Code]=$A18)*M_BOM[RM_Qty_Per_Batch]*IFERROR(INDEX(PP_Grid[#Data],M_BOM[PPGridRow],47),0))</f>
        <v/>
      </c>
      <c r="AV18">
        <f>SUMPRODUCT((M_BOM[RM_Code]=$A18)*M_BOM[RM_Qty_Per_Batch]*IFERROR(INDEX(PP_Grid[#Data],M_BOM[PPGridRow],48),0))</f>
        <v/>
      </c>
      <c r="AW18">
        <f>SUMPRODUCT((M_BOM[RM_Code]=$A18)*M_BOM[RM_Qty_Per_Batch]*IFERROR(INDEX(PP_Grid[#Data],M_BOM[PPGridRow],49),0))</f>
        <v/>
      </c>
      <c r="AX18">
        <f>SUMPRODUCT((M_BOM[RM_Code]=$A18)*M_BOM[RM_Qty_Per_Batch]*IFERROR(INDEX(PP_Grid[#Data],M_BOM[PPGridRow],50),0))</f>
        <v/>
      </c>
      <c r="AY18">
        <f>SUMPRODUCT((M_BOM[RM_Code]=$A18)*M_BOM[RM_Qty_Per_Batch]*IFERROR(INDEX(PP_Grid[#Data],M_BOM[PPGridRow],51),0))</f>
        <v/>
      </c>
      <c r="AZ18">
        <f>SUMPRODUCT((M_BOM[RM_Code]=$A18)*M_BOM[RM_Qty_Per_Batch]*IFERROR(INDEX(PP_Grid[#Data],M_BOM[PPGridRow],52),0))</f>
        <v/>
      </c>
      <c r="BA18">
        <f>SUMPRODUCT((M_BOM[RM_Code]=$A18)*M_BOM[RM_Qty_Per_Batch]*IFERROR(INDEX(PP_Grid[#Data],M_BOM[PPGridRow],53),0))</f>
        <v/>
      </c>
      <c r="BB18">
        <f>SUMPRODUCT((M_BOM[RM_Code]=$A18)*M_BOM[RM_Qty_Per_Batch]*IFERROR(INDEX(PP_Grid[#Data],M_BOM[PPGridRow],54),0))</f>
        <v/>
      </c>
      <c r="BC18">
        <f>SUMPRODUCT((M_BOM[RM_Code]=$A18)*M_BOM[RM_Qty_Per_Batch]*IFERROR(INDEX(PP_Grid[#Data],M_BOM[PPGridRow],55),0))</f>
        <v/>
      </c>
      <c r="BD18">
        <f>SUMPRODUCT((M_BOM[RM_Code]=$A18)*M_BOM[RM_Qty_Per_Batch]*IFERROR(INDEX(PP_Grid[#Data],M_BOM[PPGridRow],56),0))</f>
        <v/>
      </c>
      <c r="BE18">
        <f>SUMPRODUCT((M_BOM[RM_Code]=$A18)*M_BOM[RM_Qty_Per_Batch]*IFERROR(INDEX(PP_Grid[#Data],M_BOM[PPGridRow],57),0))</f>
        <v/>
      </c>
      <c r="BF18">
        <f>SUMPRODUCT((M_BOM[RM_Code]=$A18)*M_BOM[RM_Qty_Per_Batch]*IFERROR(INDEX(PP_Grid[#Data],M_BOM[PPGridRow],58),0))</f>
        <v/>
      </c>
      <c r="BG18">
        <f>SUMPRODUCT((M_BOM[RM_Code]=$A18)*M_BOM[RM_Qty_Per_Batch]*IFERROR(INDEX(PP_Grid[#Data],M_BOM[PPGridRow],59),0))</f>
        <v/>
      </c>
      <c r="BH18">
        <f>SUMPRODUCT((M_BOM[RM_Code]=$A18)*M_BOM[RM_Qty_Per_Batch]*IFERROR(INDEX(PP_Grid[#Data],M_BOM[PPGridRow],60),0))</f>
        <v/>
      </c>
      <c r="BI18">
        <f>SUMPRODUCT((M_BOM[RM_Code]=$A18)*M_BOM[RM_Qty_Per_Batch]*IFERROR(INDEX(PP_Grid[#Data],M_BOM[PPGridRow],61),0))</f>
        <v/>
      </c>
      <c r="BJ18">
        <f>SUMPRODUCT((M_BOM[RM_Code]=$A18)*M_BOM[RM_Qty_Per_Batch]*IFERROR(INDEX(PP_Grid[#Data],M_BOM[PPGridRow],62),0))</f>
        <v/>
      </c>
      <c r="BK18">
        <f>SUMPRODUCT((M_BOM[RM_Code]=$A18)*M_BOM[RM_Qty_Per_Batch]*IFERROR(INDEX(PP_Grid[#Data],M_BOM[PPGridRow],63),0))</f>
        <v/>
      </c>
      <c r="BL18">
        <f>SUMPRODUCT((M_BOM[RM_Code]=$A18)*M_BOM[RM_Qty_Per_Batch]*IFERROR(INDEX(PP_Grid[#Data],M_BOM[PPGridRow],64),0))</f>
        <v/>
      </c>
      <c r="BM18">
        <f>SUMPRODUCT((M_BOM[RM_Code]=$A18)*M_BOM[RM_Qty_Per_Batch]*IFERROR(INDEX(PP_Grid[#Data],M_BOM[PPGridRow],65),0))</f>
        <v/>
      </c>
      <c r="BN18">
        <f>SUMPRODUCT((M_BOM[RM_Code]=$A18)*M_BOM[RM_Qty_Per_Batch]*IFERROR(INDEX(PP_Grid[#Data],M_BOM[PPGridRow],66),0))</f>
        <v/>
      </c>
      <c r="BO18">
        <f>SUMPRODUCT((M_BOM[RM_Code]=$A18)*M_BOM[RM_Qty_Per_Batch]*IFERROR(INDEX(PP_Grid[#Data],M_BOM[PPGridRow],67),0))</f>
        <v/>
      </c>
      <c r="BP18">
        <f>SUMPRODUCT((M_BOM[RM_Code]=$A18)*M_BOM[RM_Qty_Per_Batch]*IFERROR(INDEX(PP_Grid[#Data],M_BOM[PPGridRow],68),0))</f>
        <v/>
      </c>
      <c r="BQ18">
        <f>SUMPRODUCT((M_BOM[RM_Code]=$A18)*M_BOM[RM_Qty_Per_Batch]*IFERROR(INDEX(PP_Grid[#Data],M_BOM[PPGridRow],69),0))</f>
        <v/>
      </c>
      <c r="BR18">
        <f>SUMPRODUCT((M_BOM[RM_Code]=$A18)*M_BOM[RM_Qty_Per_Batch]*IFERROR(INDEX(PP_Grid[#Data],M_BOM[PPGridRow],70),0))</f>
        <v/>
      </c>
      <c r="BS18">
        <f>SUMPRODUCT((M_BOM[RM_Code]=$A18)*M_BOM[RM_Qty_Per_Batch]*IFERROR(INDEX(PP_Grid[#Data],M_BOM[PPGridRow],71),0))</f>
        <v/>
      </c>
      <c r="BT18">
        <f>SUMPRODUCT((M_BOM[RM_Code]=$A18)*M_BOM[RM_Qty_Per_Batch]*IFERROR(INDEX(PP_Grid[#Data],M_BOM[PPGridRow],72),0))</f>
        <v/>
      </c>
      <c r="BU18">
        <f>SUMPRODUCT((M_BOM[RM_Code]=$A18)*M_BOM[RM_Qty_Per_Batch]*IFERROR(INDEX(PP_Grid[#Data],M_BOM[PPGridRow],73),0))</f>
        <v/>
      </c>
      <c r="BV18">
        <f>SUMPRODUCT((M_BOM[RM_Code]=$A18)*M_BOM[RM_Qty_Per_Batch]*IFERROR(INDEX(PP_Grid[#Data],M_BOM[PPGridRow],74),0))</f>
        <v/>
      </c>
      <c r="BW18">
        <f>SUMPRODUCT((M_BOM[RM_Code]=$A18)*M_BOM[RM_Qty_Per_Batch]*IFERROR(INDEX(PP_Grid[#Data],M_BOM[PPGridRow],75),0))</f>
        <v/>
      </c>
      <c r="BX18">
        <f>SUMPRODUCT((M_BOM[RM_Code]=$A18)*M_BOM[RM_Qty_Per_Batch]*IFERROR(INDEX(PP_Grid[#Data],M_BOM[PPGridRow],76),0))</f>
        <v/>
      </c>
      <c r="BY18">
        <f>SUMPRODUCT((M_BOM[RM_Code]=$A18)*M_BOM[RM_Qty_Per_Batch]*IFERROR(INDEX(PP_Grid[#Data],M_BOM[PPGridRow],77),0))</f>
        <v/>
      </c>
      <c r="BZ18">
        <f>SUMPRODUCT((M_BOM[RM_Code]=$A18)*M_BOM[RM_Qty_Per_Batch]*IFERROR(INDEX(PP_Grid[#Data],M_BOM[PPGridRow],78),0))</f>
        <v/>
      </c>
      <c r="CA18">
        <f>SUMPRODUCT((M_BOM[RM_Code]=$A18)*M_BOM[RM_Qty_Per_Batch]*IFERROR(INDEX(PP_Grid[#Data],M_BOM[PPGridRow],79),0))</f>
        <v/>
      </c>
      <c r="CB18">
        <f>SUMPRODUCT((M_BOM[RM_Code]=$A18)*M_BOM[RM_Qty_Per_Batch]*IFERROR(INDEX(PP_Grid[#Data],M_BOM[PPGridRow],80),0))</f>
        <v/>
      </c>
      <c r="CC18">
        <f>SUMPRODUCT((M_BOM[RM_Code]=$A18)*M_BOM[RM_Qty_Per_Batch]*IFERROR(INDEX(PP_Grid[#Data],M_BOM[PPGridRow],81),0))</f>
        <v/>
      </c>
      <c r="CD18">
        <f>SUMPRODUCT((M_BOM[RM_Code]=$A18)*M_BOM[RM_Qty_Per_Batch]*IFERROR(INDEX(PP_Grid[#Data],M_BOM[PPGridRow],82),0))</f>
        <v/>
      </c>
      <c r="CE18">
        <f>SUMPRODUCT((M_BOM[RM_Code]=$A18)*M_BOM[RM_Qty_Per_Batch]*IFERROR(INDEX(PP_Grid[#Data],M_BOM[PPGridRow],83),0))</f>
        <v/>
      </c>
      <c r="CF18">
        <f>SUMPRODUCT((M_BOM[RM_Code]=$A18)*M_BOM[RM_Qty_Per_Batch]*IFERROR(INDEX(PP_Grid[#Data],M_BOM[PPGridRow],84),0))</f>
        <v/>
      </c>
      <c r="CG18">
        <f>SUMPRODUCT((M_BOM[RM_Code]=$A18)*M_BOM[RM_Qty_Per_Batch]*IFERROR(INDEX(PP_Grid[#Data],M_BOM[PPGridRow],85),0))</f>
        <v/>
      </c>
      <c r="CH18">
        <f>SUMPRODUCT((M_BOM[RM_Code]=$A18)*M_BOM[RM_Qty_Per_Batch]*IFERROR(INDEX(PP_Grid[#Data],M_BOM[PPGridRow],86),0))</f>
        <v/>
      </c>
      <c r="CI18">
        <f>SUMPRODUCT((M_BOM[RM_Code]=$A18)*M_BOM[RM_Qty_Per_Batch]*IFERROR(INDEX(PP_Grid[#Data],M_BOM[PPGridRow],87),0))</f>
        <v/>
      </c>
      <c r="CJ18">
        <f>SUMPRODUCT((M_BOM[RM_Code]=$A18)*M_BOM[RM_Qty_Per_Batch]*IFERROR(INDEX(PP_Grid[#Data],M_BOM[PPGridRow],88),0))</f>
        <v/>
      </c>
      <c r="CK18">
        <f>SUMPRODUCT((M_BOM[RM_Code]=$A18)*M_BOM[RM_Qty_Per_Batch]*IFERROR(INDEX(PP_Grid[#Data],M_BOM[PPGridRow],89),0))</f>
        <v/>
      </c>
      <c r="CL18">
        <f>SUMPRODUCT((M_BOM[RM_Code]=$A18)*M_BOM[RM_Qty_Per_Batch]*IFERROR(INDEX(PP_Grid[#Data],M_BOM[PPGridRow],90),0))</f>
        <v/>
      </c>
      <c r="CM18">
        <f>SUMPRODUCT((M_BOM[RM_Code]=$A18)*M_BOM[RM_Qty_Per_Batch]*IFERROR(INDEX(PP_Grid[#Data],M_BOM[PPGridRow],91),0))</f>
        <v/>
      </c>
      <c r="CN18">
        <f>SUMPRODUCT((M_BOM[RM_Code]=$A18)*M_BOM[RM_Qty_Per_Batch]*IFERROR(INDEX(PP_Grid[#Data],M_BOM[PPGridRow],92),0))</f>
        <v/>
      </c>
      <c r="CO18">
        <f>SUMPRODUCT((M_BOM[RM_Code]=$A18)*M_BOM[RM_Qty_Per_Batch]*IFERROR(INDEX(PP_Grid[#Data],M_BOM[PPGridRow],93),0))</f>
        <v/>
      </c>
      <c r="CP18">
        <f>SUMPRODUCT((M_BOM[RM_Code]=$A18)*M_BOM[RM_Qty_Per_Batch]*IFERROR(INDEX(PP_Grid[#Data],M_BOM[PPGridRow],94),0))</f>
        <v/>
      </c>
      <c r="CQ18">
        <f>SUMPRODUCT((M_BOM[RM_Code]=$A18)*M_BOM[RM_Qty_Per_Batch]*IFERROR(INDEX(PP_Grid[#Data],M_BOM[PPGridRow],95),0))</f>
        <v/>
      </c>
      <c r="CR18">
        <f>SUMPRODUCT((M_BOM[RM_Code]=$A18)*M_BOM[RM_Qty_Per_Batch]*IFERROR(INDEX(PP_Grid[#Data],M_BOM[PPGridRow],96),0))</f>
        <v/>
      </c>
      <c r="CS18">
        <f>SUMPRODUCT((M_BOM[RM_Code]=$A18)*M_BOM[RM_Qty_Per_Batch]*IFERROR(INDEX(PP_Grid[#Data],M_BOM[PPGridRow],97),0))</f>
        <v/>
      </c>
      <c r="CT18">
        <f>SUMPRODUCT((M_BOM[RM_Code]=$A18)*M_BOM[RM_Qty_Per_Batch]*IFERROR(INDEX(PP_Grid[#Data],M_BOM[PPGridRow],98),0))</f>
        <v/>
      </c>
      <c r="CU18">
        <f>SUMPRODUCT((M_BOM[RM_Code]=$A18)*M_BOM[RM_Qty_Per_Batch]*IFERROR(INDEX(PP_Grid[#Data],M_BOM[PPGridRow],99),0))</f>
        <v/>
      </c>
      <c r="CV18">
        <f>SUMPRODUCT((M_BOM[RM_Code]=$A18)*M_BOM[RM_Qty_Per_Batch]*IFERROR(INDEX(PP_Grid[#Data],M_BOM[PPGridRow],100),0))</f>
        <v/>
      </c>
      <c r="CW18">
        <f>SUMPRODUCT((M_BOM[RM_Code]=$A18)*M_BOM[RM_Qty_Per_Batch]*IFERROR(INDEX(PP_Grid[#Data],M_BOM[PPGridRow],101),0))</f>
        <v/>
      </c>
      <c r="CX18">
        <f>SUMPRODUCT((M_BOM[RM_Code]=$A18)*M_BOM[RM_Qty_Per_Batch]*IFERROR(INDEX(PP_Grid[#Data],M_BOM[PPGridRow],102),0))</f>
        <v/>
      </c>
      <c r="CY18">
        <f>SUMPRODUCT((M_BOM[RM_Code]=$A18)*M_BOM[RM_Qty_Per_Batch]*IFERROR(INDEX(PP_Grid[#Data],M_BOM[PPGridRow],103),0))</f>
        <v/>
      </c>
      <c r="CZ18">
        <f>SUMPRODUCT((M_BOM[RM_Code]=$A18)*M_BOM[RM_Qty_Per_Batch]*IFERROR(INDEX(PP_Grid[#Data],M_BOM[PPGridRow],104),0))</f>
        <v/>
      </c>
      <c r="DA18">
        <f>SUMPRODUCT((M_BOM[RM_Code]=$A18)*M_BOM[RM_Qty_Per_Batch]*IFERROR(INDEX(PP_Grid[#Data],M_BOM[PPGridRow],105),0))</f>
        <v/>
      </c>
    </row>
    <row r="19">
      <c r="A19" t="inlineStr">
        <is>
          <t>CHEM-1570</t>
        </is>
      </c>
      <c r="B19">
        <f>SUMPRODUCT((M_BOM[RM_Code]=$A19)*M_BOM[RM_Qty_Per_Batch]*IFERROR(INDEX(PP_Grid[#Data],M_BOM[PPGridRow],2),0))</f>
        <v/>
      </c>
      <c r="C19">
        <f>SUMPRODUCT((M_BOM[RM_Code]=$A19)*M_BOM[RM_Qty_Per_Batch]*IFERROR(INDEX(PP_Grid[#Data],M_BOM[PPGridRow],3),0))</f>
        <v/>
      </c>
      <c r="D19">
        <f>SUMPRODUCT((M_BOM[RM_Code]=$A19)*M_BOM[RM_Qty_Per_Batch]*IFERROR(INDEX(PP_Grid[#Data],M_BOM[PPGridRow],4),0))</f>
        <v/>
      </c>
      <c r="E19">
        <f>SUMPRODUCT((M_BOM[RM_Code]=$A19)*M_BOM[RM_Qty_Per_Batch]*IFERROR(INDEX(PP_Grid[#Data],M_BOM[PPGridRow],5),0))</f>
        <v/>
      </c>
      <c r="F19">
        <f>SUMPRODUCT((M_BOM[RM_Code]=$A19)*M_BOM[RM_Qty_Per_Batch]*IFERROR(INDEX(PP_Grid[#Data],M_BOM[PPGridRow],6),0))</f>
        <v/>
      </c>
      <c r="G19">
        <f>SUMPRODUCT((M_BOM[RM_Code]=$A19)*M_BOM[RM_Qty_Per_Batch]*IFERROR(INDEX(PP_Grid[#Data],M_BOM[PPGridRow],7),0))</f>
        <v/>
      </c>
      <c r="H19">
        <f>SUMPRODUCT((M_BOM[RM_Code]=$A19)*M_BOM[RM_Qty_Per_Batch]*IFERROR(INDEX(PP_Grid[#Data],M_BOM[PPGridRow],8),0))</f>
        <v/>
      </c>
      <c r="I19">
        <f>SUMPRODUCT((M_BOM[RM_Code]=$A19)*M_BOM[RM_Qty_Per_Batch]*IFERROR(INDEX(PP_Grid[#Data],M_BOM[PPGridRow],9),0))</f>
        <v/>
      </c>
      <c r="J19">
        <f>SUMPRODUCT((M_BOM[RM_Code]=$A19)*M_BOM[RM_Qty_Per_Batch]*IFERROR(INDEX(PP_Grid[#Data],M_BOM[PPGridRow],10),0))</f>
        <v/>
      </c>
      <c r="K19">
        <f>SUMPRODUCT((M_BOM[RM_Code]=$A19)*M_BOM[RM_Qty_Per_Batch]*IFERROR(INDEX(PP_Grid[#Data],M_BOM[PPGridRow],11),0))</f>
        <v/>
      </c>
      <c r="L19">
        <f>SUMPRODUCT((M_BOM[RM_Code]=$A19)*M_BOM[RM_Qty_Per_Batch]*IFERROR(INDEX(PP_Grid[#Data],M_BOM[PPGridRow],12),0))</f>
        <v/>
      </c>
      <c r="M19">
        <f>SUMPRODUCT((M_BOM[RM_Code]=$A19)*M_BOM[RM_Qty_Per_Batch]*IFERROR(INDEX(PP_Grid[#Data],M_BOM[PPGridRow],13),0))</f>
        <v/>
      </c>
      <c r="N19">
        <f>SUMPRODUCT((M_BOM[RM_Code]=$A19)*M_BOM[RM_Qty_Per_Batch]*IFERROR(INDEX(PP_Grid[#Data],M_BOM[PPGridRow],14),0))</f>
        <v/>
      </c>
      <c r="O19">
        <f>SUMPRODUCT((M_BOM[RM_Code]=$A19)*M_BOM[RM_Qty_Per_Batch]*IFERROR(INDEX(PP_Grid[#Data],M_BOM[PPGridRow],15),0))</f>
        <v/>
      </c>
      <c r="P19">
        <f>SUMPRODUCT((M_BOM[RM_Code]=$A19)*M_BOM[RM_Qty_Per_Batch]*IFERROR(INDEX(PP_Grid[#Data],M_BOM[PPGridRow],16),0))</f>
        <v/>
      </c>
      <c r="Q19">
        <f>SUMPRODUCT((M_BOM[RM_Code]=$A19)*M_BOM[RM_Qty_Per_Batch]*IFERROR(INDEX(PP_Grid[#Data],M_BOM[PPGridRow],17),0))</f>
        <v/>
      </c>
      <c r="R19">
        <f>SUMPRODUCT((M_BOM[RM_Code]=$A19)*M_BOM[RM_Qty_Per_Batch]*IFERROR(INDEX(PP_Grid[#Data],M_BOM[PPGridRow],18),0))</f>
        <v/>
      </c>
      <c r="S19">
        <f>SUMPRODUCT((M_BOM[RM_Code]=$A19)*M_BOM[RM_Qty_Per_Batch]*IFERROR(INDEX(PP_Grid[#Data],M_BOM[PPGridRow],19),0))</f>
        <v/>
      </c>
      <c r="T19">
        <f>SUMPRODUCT((M_BOM[RM_Code]=$A19)*M_BOM[RM_Qty_Per_Batch]*IFERROR(INDEX(PP_Grid[#Data],M_BOM[PPGridRow],20),0))</f>
        <v/>
      </c>
      <c r="U19">
        <f>SUMPRODUCT((M_BOM[RM_Code]=$A19)*M_BOM[RM_Qty_Per_Batch]*IFERROR(INDEX(PP_Grid[#Data],M_BOM[PPGridRow],21),0))</f>
        <v/>
      </c>
      <c r="V19">
        <f>SUMPRODUCT((M_BOM[RM_Code]=$A19)*M_BOM[RM_Qty_Per_Batch]*IFERROR(INDEX(PP_Grid[#Data],M_BOM[PPGridRow],22),0))</f>
        <v/>
      </c>
      <c r="W19">
        <f>SUMPRODUCT((M_BOM[RM_Code]=$A19)*M_BOM[RM_Qty_Per_Batch]*IFERROR(INDEX(PP_Grid[#Data],M_BOM[PPGridRow],23),0))</f>
        <v/>
      </c>
      <c r="X19">
        <f>SUMPRODUCT((M_BOM[RM_Code]=$A19)*M_BOM[RM_Qty_Per_Batch]*IFERROR(INDEX(PP_Grid[#Data],M_BOM[PPGridRow],24),0))</f>
        <v/>
      </c>
      <c r="Y19">
        <f>SUMPRODUCT((M_BOM[RM_Code]=$A19)*M_BOM[RM_Qty_Per_Batch]*IFERROR(INDEX(PP_Grid[#Data],M_BOM[PPGridRow],25),0))</f>
        <v/>
      </c>
      <c r="Z19">
        <f>SUMPRODUCT((M_BOM[RM_Code]=$A19)*M_BOM[RM_Qty_Per_Batch]*IFERROR(INDEX(PP_Grid[#Data],M_BOM[PPGridRow],26),0))</f>
        <v/>
      </c>
      <c r="AA19">
        <f>SUMPRODUCT((M_BOM[RM_Code]=$A19)*M_BOM[RM_Qty_Per_Batch]*IFERROR(INDEX(PP_Grid[#Data],M_BOM[PPGridRow],27),0))</f>
        <v/>
      </c>
      <c r="AB19">
        <f>SUMPRODUCT((M_BOM[RM_Code]=$A19)*M_BOM[RM_Qty_Per_Batch]*IFERROR(INDEX(PP_Grid[#Data],M_BOM[PPGridRow],28),0))</f>
        <v/>
      </c>
      <c r="AC19">
        <f>SUMPRODUCT((M_BOM[RM_Code]=$A19)*M_BOM[RM_Qty_Per_Batch]*IFERROR(INDEX(PP_Grid[#Data],M_BOM[PPGridRow],29),0))</f>
        <v/>
      </c>
      <c r="AD19">
        <f>SUMPRODUCT((M_BOM[RM_Code]=$A19)*M_BOM[RM_Qty_Per_Batch]*IFERROR(INDEX(PP_Grid[#Data],M_BOM[PPGridRow],30),0))</f>
        <v/>
      </c>
      <c r="AE19">
        <f>SUMPRODUCT((M_BOM[RM_Code]=$A19)*M_BOM[RM_Qty_Per_Batch]*IFERROR(INDEX(PP_Grid[#Data],M_BOM[PPGridRow],31),0))</f>
        <v/>
      </c>
      <c r="AF19">
        <f>SUMPRODUCT((M_BOM[RM_Code]=$A19)*M_BOM[RM_Qty_Per_Batch]*IFERROR(INDEX(PP_Grid[#Data],M_BOM[PPGridRow],32),0))</f>
        <v/>
      </c>
      <c r="AG19">
        <f>SUMPRODUCT((M_BOM[RM_Code]=$A19)*M_BOM[RM_Qty_Per_Batch]*IFERROR(INDEX(PP_Grid[#Data],M_BOM[PPGridRow],33),0))</f>
        <v/>
      </c>
      <c r="AH19">
        <f>SUMPRODUCT((M_BOM[RM_Code]=$A19)*M_BOM[RM_Qty_Per_Batch]*IFERROR(INDEX(PP_Grid[#Data],M_BOM[PPGridRow],34),0))</f>
        <v/>
      </c>
      <c r="AI19">
        <f>SUMPRODUCT((M_BOM[RM_Code]=$A19)*M_BOM[RM_Qty_Per_Batch]*IFERROR(INDEX(PP_Grid[#Data],M_BOM[PPGridRow],35),0))</f>
        <v/>
      </c>
      <c r="AJ19">
        <f>SUMPRODUCT((M_BOM[RM_Code]=$A19)*M_BOM[RM_Qty_Per_Batch]*IFERROR(INDEX(PP_Grid[#Data],M_BOM[PPGridRow],36),0))</f>
        <v/>
      </c>
      <c r="AK19">
        <f>SUMPRODUCT((M_BOM[RM_Code]=$A19)*M_BOM[RM_Qty_Per_Batch]*IFERROR(INDEX(PP_Grid[#Data],M_BOM[PPGridRow],37),0))</f>
        <v/>
      </c>
      <c r="AL19">
        <f>SUMPRODUCT((M_BOM[RM_Code]=$A19)*M_BOM[RM_Qty_Per_Batch]*IFERROR(INDEX(PP_Grid[#Data],M_BOM[PPGridRow],38),0))</f>
        <v/>
      </c>
      <c r="AM19">
        <f>SUMPRODUCT((M_BOM[RM_Code]=$A19)*M_BOM[RM_Qty_Per_Batch]*IFERROR(INDEX(PP_Grid[#Data],M_BOM[PPGridRow],39),0))</f>
        <v/>
      </c>
      <c r="AN19">
        <f>SUMPRODUCT((M_BOM[RM_Code]=$A19)*M_BOM[RM_Qty_Per_Batch]*IFERROR(INDEX(PP_Grid[#Data],M_BOM[PPGridRow],40),0))</f>
        <v/>
      </c>
      <c r="AO19">
        <f>SUMPRODUCT((M_BOM[RM_Code]=$A19)*M_BOM[RM_Qty_Per_Batch]*IFERROR(INDEX(PP_Grid[#Data],M_BOM[PPGridRow],41),0))</f>
        <v/>
      </c>
      <c r="AP19">
        <f>SUMPRODUCT((M_BOM[RM_Code]=$A19)*M_BOM[RM_Qty_Per_Batch]*IFERROR(INDEX(PP_Grid[#Data],M_BOM[PPGridRow],42),0))</f>
        <v/>
      </c>
      <c r="AQ19">
        <f>SUMPRODUCT((M_BOM[RM_Code]=$A19)*M_BOM[RM_Qty_Per_Batch]*IFERROR(INDEX(PP_Grid[#Data],M_BOM[PPGridRow],43),0))</f>
        <v/>
      </c>
      <c r="AR19">
        <f>SUMPRODUCT((M_BOM[RM_Code]=$A19)*M_BOM[RM_Qty_Per_Batch]*IFERROR(INDEX(PP_Grid[#Data],M_BOM[PPGridRow],44),0))</f>
        <v/>
      </c>
      <c r="AS19">
        <f>SUMPRODUCT((M_BOM[RM_Code]=$A19)*M_BOM[RM_Qty_Per_Batch]*IFERROR(INDEX(PP_Grid[#Data],M_BOM[PPGridRow],45),0))</f>
        <v/>
      </c>
      <c r="AT19">
        <f>SUMPRODUCT((M_BOM[RM_Code]=$A19)*M_BOM[RM_Qty_Per_Batch]*IFERROR(INDEX(PP_Grid[#Data],M_BOM[PPGridRow],46),0))</f>
        <v/>
      </c>
      <c r="AU19">
        <f>SUMPRODUCT((M_BOM[RM_Code]=$A19)*M_BOM[RM_Qty_Per_Batch]*IFERROR(INDEX(PP_Grid[#Data],M_BOM[PPGridRow],47),0))</f>
        <v/>
      </c>
      <c r="AV19">
        <f>SUMPRODUCT((M_BOM[RM_Code]=$A19)*M_BOM[RM_Qty_Per_Batch]*IFERROR(INDEX(PP_Grid[#Data],M_BOM[PPGridRow],48),0))</f>
        <v/>
      </c>
      <c r="AW19">
        <f>SUMPRODUCT((M_BOM[RM_Code]=$A19)*M_BOM[RM_Qty_Per_Batch]*IFERROR(INDEX(PP_Grid[#Data],M_BOM[PPGridRow],49),0))</f>
        <v/>
      </c>
      <c r="AX19">
        <f>SUMPRODUCT((M_BOM[RM_Code]=$A19)*M_BOM[RM_Qty_Per_Batch]*IFERROR(INDEX(PP_Grid[#Data],M_BOM[PPGridRow],50),0))</f>
        <v/>
      </c>
      <c r="AY19">
        <f>SUMPRODUCT((M_BOM[RM_Code]=$A19)*M_BOM[RM_Qty_Per_Batch]*IFERROR(INDEX(PP_Grid[#Data],M_BOM[PPGridRow],51),0))</f>
        <v/>
      </c>
      <c r="AZ19">
        <f>SUMPRODUCT((M_BOM[RM_Code]=$A19)*M_BOM[RM_Qty_Per_Batch]*IFERROR(INDEX(PP_Grid[#Data],M_BOM[PPGridRow],52),0))</f>
        <v/>
      </c>
      <c r="BA19">
        <f>SUMPRODUCT((M_BOM[RM_Code]=$A19)*M_BOM[RM_Qty_Per_Batch]*IFERROR(INDEX(PP_Grid[#Data],M_BOM[PPGridRow],53),0))</f>
        <v/>
      </c>
      <c r="BB19">
        <f>SUMPRODUCT((M_BOM[RM_Code]=$A19)*M_BOM[RM_Qty_Per_Batch]*IFERROR(INDEX(PP_Grid[#Data],M_BOM[PPGridRow],54),0))</f>
        <v/>
      </c>
      <c r="BC19">
        <f>SUMPRODUCT((M_BOM[RM_Code]=$A19)*M_BOM[RM_Qty_Per_Batch]*IFERROR(INDEX(PP_Grid[#Data],M_BOM[PPGridRow],55),0))</f>
        <v/>
      </c>
      <c r="BD19">
        <f>SUMPRODUCT((M_BOM[RM_Code]=$A19)*M_BOM[RM_Qty_Per_Batch]*IFERROR(INDEX(PP_Grid[#Data],M_BOM[PPGridRow],56),0))</f>
        <v/>
      </c>
      <c r="BE19">
        <f>SUMPRODUCT((M_BOM[RM_Code]=$A19)*M_BOM[RM_Qty_Per_Batch]*IFERROR(INDEX(PP_Grid[#Data],M_BOM[PPGridRow],57),0))</f>
        <v/>
      </c>
      <c r="BF19">
        <f>SUMPRODUCT((M_BOM[RM_Code]=$A19)*M_BOM[RM_Qty_Per_Batch]*IFERROR(INDEX(PP_Grid[#Data],M_BOM[PPGridRow],58),0))</f>
        <v/>
      </c>
      <c r="BG19">
        <f>SUMPRODUCT((M_BOM[RM_Code]=$A19)*M_BOM[RM_Qty_Per_Batch]*IFERROR(INDEX(PP_Grid[#Data],M_BOM[PPGridRow],59),0))</f>
        <v/>
      </c>
      <c r="BH19">
        <f>SUMPRODUCT((M_BOM[RM_Code]=$A19)*M_BOM[RM_Qty_Per_Batch]*IFERROR(INDEX(PP_Grid[#Data],M_BOM[PPGridRow],60),0))</f>
        <v/>
      </c>
      <c r="BI19">
        <f>SUMPRODUCT((M_BOM[RM_Code]=$A19)*M_BOM[RM_Qty_Per_Batch]*IFERROR(INDEX(PP_Grid[#Data],M_BOM[PPGridRow],61),0))</f>
        <v/>
      </c>
      <c r="BJ19">
        <f>SUMPRODUCT((M_BOM[RM_Code]=$A19)*M_BOM[RM_Qty_Per_Batch]*IFERROR(INDEX(PP_Grid[#Data],M_BOM[PPGridRow],62),0))</f>
        <v/>
      </c>
      <c r="BK19">
        <f>SUMPRODUCT((M_BOM[RM_Code]=$A19)*M_BOM[RM_Qty_Per_Batch]*IFERROR(INDEX(PP_Grid[#Data],M_BOM[PPGridRow],63),0))</f>
        <v/>
      </c>
      <c r="BL19">
        <f>SUMPRODUCT((M_BOM[RM_Code]=$A19)*M_BOM[RM_Qty_Per_Batch]*IFERROR(INDEX(PP_Grid[#Data],M_BOM[PPGridRow],64),0))</f>
        <v/>
      </c>
      <c r="BM19">
        <f>SUMPRODUCT((M_BOM[RM_Code]=$A19)*M_BOM[RM_Qty_Per_Batch]*IFERROR(INDEX(PP_Grid[#Data],M_BOM[PPGridRow],65),0))</f>
        <v/>
      </c>
      <c r="BN19">
        <f>SUMPRODUCT((M_BOM[RM_Code]=$A19)*M_BOM[RM_Qty_Per_Batch]*IFERROR(INDEX(PP_Grid[#Data],M_BOM[PPGridRow],66),0))</f>
        <v/>
      </c>
      <c r="BO19">
        <f>SUMPRODUCT((M_BOM[RM_Code]=$A19)*M_BOM[RM_Qty_Per_Batch]*IFERROR(INDEX(PP_Grid[#Data],M_BOM[PPGridRow],67),0))</f>
        <v/>
      </c>
      <c r="BP19">
        <f>SUMPRODUCT((M_BOM[RM_Code]=$A19)*M_BOM[RM_Qty_Per_Batch]*IFERROR(INDEX(PP_Grid[#Data],M_BOM[PPGridRow],68),0))</f>
        <v/>
      </c>
      <c r="BQ19">
        <f>SUMPRODUCT((M_BOM[RM_Code]=$A19)*M_BOM[RM_Qty_Per_Batch]*IFERROR(INDEX(PP_Grid[#Data],M_BOM[PPGridRow],69),0))</f>
        <v/>
      </c>
      <c r="BR19">
        <f>SUMPRODUCT((M_BOM[RM_Code]=$A19)*M_BOM[RM_Qty_Per_Batch]*IFERROR(INDEX(PP_Grid[#Data],M_BOM[PPGridRow],70),0))</f>
        <v/>
      </c>
      <c r="BS19">
        <f>SUMPRODUCT((M_BOM[RM_Code]=$A19)*M_BOM[RM_Qty_Per_Batch]*IFERROR(INDEX(PP_Grid[#Data],M_BOM[PPGridRow],71),0))</f>
        <v/>
      </c>
      <c r="BT19">
        <f>SUMPRODUCT((M_BOM[RM_Code]=$A19)*M_BOM[RM_Qty_Per_Batch]*IFERROR(INDEX(PP_Grid[#Data],M_BOM[PPGridRow],72),0))</f>
        <v/>
      </c>
      <c r="BU19">
        <f>SUMPRODUCT((M_BOM[RM_Code]=$A19)*M_BOM[RM_Qty_Per_Batch]*IFERROR(INDEX(PP_Grid[#Data],M_BOM[PPGridRow],73),0))</f>
        <v/>
      </c>
      <c r="BV19">
        <f>SUMPRODUCT((M_BOM[RM_Code]=$A19)*M_BOM[RM_Qty_Per_Batch]*IFERROR(INDEX(PP_Grid[#Data],M_BOM[PPGridRow],74),0))</f>
        <v/>
      </c>
      <c r="BW19">
        <f>SUMPRODUCT((M_BOM[RM_Code]=$A19)*M_BOM[RM_Qty_Per_Batch]*IFERROR(INDEX(PP_Grid[#Data],M_BOM[PPGridRow],75),0))</f>
        <v/>
      </c>
      <c r="BX19">
        <f>SUMPRODUCT((M_BOM[RM_Code]=$A19)*M_BOM[RM_Qty_Per_Batch]*IFERROR(INDEX(PP_Grid[#Data],M_BOM[PPGridRow],76),0))</f>
        <v/>
      </c>
      <c r="BY19">
        <f>SUMPRODUCT((M_BOM[RM_Code]=$A19)*M_BOM[RM_Qty_Per_Batch]*IFERROR(INDEX(PP_Grid[#Data],M_BOM[PPGridRow],77),0))</f>
        <v/>
      </c>
      <c r="BZ19">
        <f>SUMPRODUCT((M_BOM[RM_Code]=$A19)*M_BOM[RM_Qty_Per_Batch]*IFERROR(INDEX(PP_Grid[#Data],M_BOM[PPGridRow],78),0))</f>
        <v/>
      </c>
      <c r="CA19">
        <f>SUMPRODUCT((M_BOM[RM_Code]=$A19)*M_BOM[RM_Qty_Per_Batch]*IFERROR(INDEX(PP_Grid[#Data],M_BOM[PPGridRow],79),0))</f>
        <v/>
      </c>
      <c r="CB19">
        <f>SUMPRODUCT((M_BOM[RM_Code]=$A19)*M_BOM[RM_Qty_Per_Batch]*IFERROR(INDEX(PP_Grid[#Data],M_BOM[PPGridRow],80),0))</f>
        <v/>
      </c>
      <c r="CC19">
        <f>SUMPRODUCT((M_BOM[RM_Code]=$A19)*M_BOM[RM_Qty_Per_Batch]*IFERROR(INDEX(PP_Grid[#Data],M_BOM[PPGridRow],81),0))</f>
        <v/>
      </c>
      <c r="CD19">
        <f>SUMPRODUCT((M_BOM[RM_Code]=$A19)*M_BOM[RM_Qty_Per_Batch]*IFERROR(INDEX(PP_Grid[#Data],M_BOM[PPGridRow],82),0))</f>
        <v/>
      </c>
      <c r="CE19">
        <f>SUMPRODUCT((M_BOM[RM_Code]=$A19)*M_BOM[RM_Qty_Per_Batch]*IFERROR(INDEX(PP_Grid[#Data],M_BOM[PPGridRow],83),0))</f>
        <v/>
      </c>
      <c r="CF19">
        <f>SUMPRODUCT((M_BOM[RM_Code]=$A19)*M_BOM[RM_Qty_Per_Batch]*IFERROR(INDEX(PP_Grid[#Data],M_BOM[PPGridRow],84),0))</f>
        <v/>
      </c>
      <c r="CG19">
        <f>SUMPRODUCT((M_BOM[RM_Code]=$A19)*M_BOM[RM_Qty_Per_Batch]*IFERROR(INDEX(PP_Grid[#Data],M_BOM[PPGridRow],85),0))</f>
        <v/>
      </c>
      <c r="CH19">
        <f>SUMPRODUCT((M_BOM[RM_Code]=$A19)*M_BOM[RM_Qty_Per_Batch]*IFERROR(INDEX(PP_Grid[#Data],M_BOM[PPGridRow],86),0))</f>
        <v/>
      </c>
      <c r="CI19">
        <f>SUMPRODUCT((M_BOM[RM_Code]=$A19)*M_BOM[RM_Qty_Per_Batch]*IFERROR(INDEX(PP_Grid[#Data],M_BOM[PPGridRow],87),0))</f>
        <v/>
      </c>
      <c r="CJ19">
        <f>SUMPRODUCT((M_BOM[RM_Code]=$A19)*M_BOM[RM_Qty_Per_Batch]*IFERROR(INDEX(PP_Grid[#Data],M_BOM[PPGridRow],88),0))</f>
        <v/>
      </c>
      <c r="CK19">
        <f>SUMPRODUCT((M_BOM[RM_Code]=$A19)*M_BOM[RM_Qty_Per_Batch]*IFERROR(INDEX(PP_Grid[#Data],M_BOM[PPGridRow],89),0))</f>
        <v/>
      </c>
      <c r="CL19">
        <f>SUMPRODUCT((M_BOM[RM_Code]=$A19)*M_BOM[RM_Qty_Per_Batch]*IFERROR(INDEX(PP_Grid[#Data],M_BOM[PPGridRow],90),0))</f>
        <v/>
      </c>
      <c r="CM19">
        <f>SUMPRODUCT((M_BOM[RM_Code]=$A19)*M_BOM[RM_Qty_Per_Batch]*IFERROR(INDEX(PP_Grid[#Data],M_BOM[PPGridRow],91),0))</f>
        <v/>
      </c>
      <c r="CN19">
        <f>SUMPRODUCT((M_BOM[RM_Code]=$A19)*M_BOM[RM_Qty_Per_Batch]*IFERROR(INDEX(PP_Grid[#Data],M_BOM[PPGridRow],92),0))</f>
        <v/>
      </c>
      <c r="CO19">
        <f>SUMPRODUCT((M_BOM[RM_Code]=$A19)*M_BOM[RM_Qty_Per_Batch]*IFERROR(INDEX(PP_Grid[#Data],M_BOM[PPGridRow],93),0))</f>
        <v/>
      </c>
      <c r="CP19">
        <f>SUMPRODUCT((M_BOM[RM_Code]=$A19)*M_BOM[RM_Qty_Per_Batch]*IFERROR(INDEX(PP_Grid[#Data],M_BOM[PPGridRow],94),0))</f>
        <v/>
      </c>
      <c r="CQ19">
        <f>SUMPRODUCT((M_BOM[RM_Code]=$A19)*M_BOM[RM_Qty_Per_Batch]*IFERROR(INDEX(PP_Grid[#Data],M_BOM[PPGridRow],95),0))</f>
        <v/>
      </c>
      <c r="CR19">
        <f>SUMPRODUCT((M_BOM[RM_Code]=$A19)*M_BOM[RM_Qty_Per_Batch]*IFERROR(INDEX(PP_Grid[#Data],M_BOM[PPGridRow],96),0))</f>
        <v/>
      </c>
      <c r="CS19">
        <f>SUMPRODUCT((M_BOM[RM_Code]=$A19)*M_BOM[RM_Qty_Per_Batch]*IFERROR(INDEX(PP_Grid[#Data],M_BOM[PPGridRow],97),0))</f>
        <v/>
      </c>
      <c r="CT19">
        <f>SUMPRODUCT((M_BOM[RM_Code]=$A19)*M_BOM[RM_Qty_Per_Batch]*IFERROR(INDEX(PP_Grid[#Data],M_BOM[PPGridRow],98),0))</f>
        <v/>
      </c>
      <c r="CU19">
        <f>SUMPRODUCT((M_BOM[RM_Code]=$A19)*M_BOM[RM_Qty_Per_Batch]*IFERROR(INDEX(PP_Grid[#Data],M_BOM[PPGridRow],99),0))</f>
        <v/>
      </c>
      <c r="CV19">
        <f>SUMPRODUCT((M_BOM[RM_Code]=$A19)*M_BOM[RM_Qty_Per_Batch]*IFERROR(INDEX(PP_Grid[#Data],M_BOM[PPGridRow],100),0))</f>
        <v/>
      </c>
      <c r="CW19">
        <f>SUMPRODUCT((M_BOM[RM_Code]=$A19)*M_BOM[RM_Qty_Per_Batch]*IFERROR(INDEX(PP_Grid[#Data],M_BOM[PPGridRow],101),0))</f>
        <v/>
      </c>
      <c r="CX19">
        <f>SUMPRODUCT((M_BOM[RM_Code]=$A19)*M_BOM[RM_Qty_Per_Batch]*IFERROR(INDEX(PP_Grid[#Data],M_BOM[PPGridRow],102),0))</f>
        <v/>
      </c>
      <c r="CY19">
        <f>SUMPRODUCT((M_BOM[RM_Code]=$A19)*M_BOM[RM_Qty_Per_Batch]*IFERROR(INDEX(PP_Grid[#Data],M_BOM[PPGridRow],103),0))</f>
        <v/>
      </c>
      <c r="CZ19">
        <f>SUMPRODUCT((M_BOM[RM_Code]=$A19)*M_BOM[RM_Qty_Per_Batch]*IFERROR(INDEX(PP_Grid[#Data],M_BOM[PPGridRow],104),0))</f>
        <v/>
      </c>
      <c r="DA19">
        <f>SUMPRODUCT((M_BOM[RM_Code]=$A19)*M_BOM[RM_Qty_Per_Batch]*IFERROR(INDEX(PP_Grid[#Data],M_BOM[PPGridRow],105),0))</f>
        <v/>
      </c>
    </row>
    <row r="20">
      <c r="A20" t="inlineStr">
        <is>
          <t>CHEM-1650</t>
        </is>
      </c>
      <c r="B20">
        <f>SUMPRODUCT((M_BOM[RM_Code]=$A20)*M_BOM[RM_Qty_Per_Batch]*IFERROR(INDEX(PP_Grid[#Data],M_BOM[PPGridRow],2),0))</f>
        <v/>
      </c>
      <c r="C20">
        <f>SUMPRODUCT((M_BOM[RM_Code]=$A20)*M_BOM[RM_Qty_Per_Batch]*IFERROR(INDEX(PP_Grid[#Data],M_BOM[PPGridRow],3),0))</f>
        <v/>
      </c>
      <c r="D20">
        <f>SUMPRODUCT((M_BOM[RM_Code]=$A20)*M_BOM[RM_Qty_Per_Batch]*IFERROR(INDEX(PP_Grid[#Data],M_BOM[PPGridRow],4),0))</f>
        <v/>
      </c>
      <c r="E20">
        <f>SUMPRODUCT((M_BOM[RM_Code]=$A20)*M_BOM[RM_Qty_Per_Batch]*IFERROR(INDEX(PP_Grid[#Data],M_BOM[PPGridRow],5),0))</f>
        <v/>
      </c>
      <c r="F20">
        <f>SUMPRODUCT((M_BOM[RM_Code]=$A20)*M_BOM[RM_Qty_Per_Batch]*IFERROR(INDEX(PP_Grid[#Data],M_BOM[PPGridRow],6),0))</f>
        <v/>
      </c>
      <c r="G20">
        <f>SUMPRODUCT((M_BOM[RM_Code]=$A20)*M_BOM[RM_Qty_Per_Batch]*IFERROR(INDEX(PP_Grid[#Data],M_BOM[PPGridRow],7),0))</f>
        <v/>
      </c>
      <c r="H20">
        <f>SUMPRODUCT((M_BOM[RM_Code]=$A20)*M_BOM[RM_Qty_Per_Batch]*IFERROR(INDEX(PP_Grid[#Data],M_BOM[PPGridRow],8),0))</f>
        <v/>
      </c>
      <c r="I20">
        <f>SUMPRODUCT((M_BOM[RM_Code]=$A20)*M_BOM[RM_Qty_Per_Batch]*IFERROR(INDEX(PP_Grid[#Data],M_BOM[PPGridRow],9),0))</f>
        <v/>
      </c>
      <c r="J20">
        <f>SUMPRODUCT((M_BOM[RM_Code]=$A20)*M_BOM[RM_Qty_Per_Batch]*IFERROR(INDEX(PP_Grid[#Data],M_BOM[PPGridRow],10),0))</f>
        <v/>
      </c>
      <c r="K20">
        <f>SUMPRODUCT((M_BOM[RM_Code]=$A20)*M_BOM[RM_Qty_Per_Batch]*IFERROR(INDEX(PP_Grid[#Data],M_BOM[PPGridRow],11),0))</f>
        <v/>
      </c>
      <c r="L20">
        <f>SUMPRODUCT((M_BOM[RM_Code]=$A20)*M_BOM[RM_Qty_Per_Batch]*IFERROR(INDEX(PP_Grid[#Data],M_BOM[PPGridRow],12),0))</f>
        <v/>
      </c>
      <c r="M20">
        <f>SUMPRODUCT((M_BOM[RM_Code]=$A20)*M_BOM[RM_Qty_Per_Batch]*IFERROR(INDEX(PP_Grid[#Data],M_BOM[PPGridRow],13),0))</f>
        <v/>
      </c>
      <c r="N20">
        <f>SUMPRODUCT((M_BOM[RM_Code]=$A20)*M_BOM[RM_Qty_Per_Batch]*IFERROR(INDEX(PP_Grid[#Data],M_BOM[PPGridRow],14),0))</f>
        <v/>
      </c>
      <c r="O20">
        <f>SUMPRODUCT((M_BOM[RM_Code]=$A20)*M_BOM[RM_Qty_Per_Batch]*IFERROR(INDEX(PP_Grid[#Data],M_BOM[PPGridRow],15),0))</f>
        <v/>
      </c>
      <c r="P20">
        <f>SUMPRODUCT((M_BOM[RM_Code]=$A20)*M_BOM[RM_Qty_Per_Batch]*IFERROR(INDEX(PP_Grid[#Data],M_BOM[PPGridRow],16),0))</f>
        <v/>
      </c>
      <c r="Q20">
        <f>SUMPRODUCT((M_BOM[RM_Code]=$A20)*M_BOM[RM_Qty_Per_Batch]*IFERROR(INDEX(PP_Grid[#Data],M_BOM[PPGridRow],17),0))</f>
        <v/>
      </c>
      <c r="R20">
        <f>SUMPRODUCT((M_BOM[RM_Code]=$A20)*M_BOM[RM_Qty_Per_Batch]*IFERROR(INDEX(PP_Grid[#Data],M_BOM[PPGridRow],18),0))</f>
        <v/>
      </c>
      <c r="S20">
        <f>SUMPRODUCT((M_BOM[RM_Code]=$A20)*M_BOM[RM_Qty_Per_Batch]*IFERROR(INDEX(PP_Grid[#Data],M_BOM[PPGridRow],19),0))</f>
        <v/>
      </c>
      <c r="T20">
        <f>SUMPRODUCT((M_BOM[RM_Code]=$A20)*M_BOM[RM_Qty_Per_Batch]*IFERROR(INDEX(PP_Grid[#Data],M_BOM[PPGridRow],20),0))</f>
        <v/>
      </c>
      <c r="U20">
        <f>SUMPRODUCT((M_BOM[RM_Code]=$A20)*M_BOM[RM_Qty_Per_Batch]*IFERROR(INDEX(PP_Grid[#Data],M_BOM[PPGridRow],21),0))</f>
        <v/>
      </c>
      <c r="V20">
        <f>SUMPRODUCT((M_BOM[RM_Code]=$A20)*M_BOM[RM_Qty_Per_Batch]*IFERROR(INDEX(PP_Grid[#Data],M_BOM[PPGridRow],22),0))</f>
        <v/>
      </c>
      <c r="W20">
        <f>SUMPRODUCT((M_BOM[RM_Code]=$A20)*M_BOM[RM_Qty_Per_Batch]*IFERROR(INDEX(PP_Grid[#Data],M_BOM[PPGridRow],23),0))</f>
        <v/>
      </c>
      <c r="X20">
        <f>SUMPRODUCT((M_BOM[RM_Code]=$A20)*M_BOM[RM_Qty_Per_Batch]*IFERROR(INDEX(PP_Grid[#Data],M_BOM[PPGridRow],24),0))</f>
        <v/>
      </c>
      <c r="Y20">
        <f>SUMPRODUCT((M_BOM[RM_Code]=$A20)*M_BOM[RM_Qty_Per_Batch]*IFERROR(INDEX(PP_Grid[#Data],M_BOM[PPGridRow],25),0))</f>
        <v/>
      </c>
      <c r="Z20">
        <f>SUMPRODUCT((M_BOM[RM_Code]=$A20)*M_BOM[RM_Qty_Per_Batch]*IFERROR(INDEX(PP_Grid[#Data],M_BOM[PPGridRow],26),0))</f>
        <v/>
      </c>
      <c r="AA20">
        <f>SUMPRODUCT((M_BOM[RM_Code]=$A20)*M_BOM[RM_Qty_Per_Batch]*IFERROR(INDEX(PP_Grid[#Data],M_BOM[PPGridRow],27),0))</f>
        <v/>
      </c>
      <c r="AB20">
        <f>SUMPRODUCT((M_BOM[RM_Code]=$A20)*M_BOM[RM_Qty_Per_Batch]*IFERROR(INDEX(PP_Grid[#Data],M_BOM[PPGridRow],28),0))</f>
        <v/>
      </c>
      <c r="AC20">
        <f>SUMPRODUCT((M_BOM[RM_Code]=$A20)*M_BOM[RM_Qty_Per_Batch]*IFERROR(INDEX(PP_Grid[#Data],M_BOM[PPGridRow],29),0))</f>
        <v/>
      </c>
      <c r="AD20">
        <f>SUMPRODUCT((M_BOM[RM_Code]=$A20)*M_BOM[RM_Qty_Per_Batch]*IFERROR(INDEX(PP_Grid[#Data],M_BOM[PPGridRow],30),0))</f>
        <v/>
      </c>
      <c r="AE20">
        <f>SUMPRODUCT((M_BOM[RM_Code]=$A20)*M_BOM[RM_Qty_Per_Batch]*IFERROR(INDEX(PP_Grid[#Data],M_BOM[PPGridRow],31),0))</f>
        <v/>
      </c>
      <c r="AF20">
        <f>SUMPRODUCT((M_BOM[RM_Code]=$A20)*M_BOM[RM_Qty_Per_Batch]*IFERROR(INDEX(PP_Grid[#Data],M_BOM[PPGridRow],32),0))</f>
        <v/>
      </c>
      <c r="AG20">
        <f>SUMPRODUCT((M_BOM[RM_Code]=$A20)*M_BOM[RM_Qty_Per_Batch]*IFERROR(INDEX(PP_Grid[#Data],M_BOM[PPGridRow],33),0))</f>
        <v/>
      </c>
      <c r="AH20">
        <f>SUMPRODUCT((M_BOM[RM_Code]=$A20)*M_BOM[RM_Qty_Per_Batch]*IFERROR(INDEX(PP_Grid[#Data],M_BOM[PPGridRow],34),0))</f>
        <v/>
      </c>
      <c r="AI20">
        <f>SUMPRODUCT((M_BOM[RM_Code]=$A20)*M_BOM[RM_Qty_Per_Batch]*IFERROR(INDEX(PP_Grid[#Data],M_BOM[PPGridRow],35),0))</f>
        <v/>
      </c>
      <c r="AJ20">
        <f>SUMPRODUCT((M_BOM[RM_Code]=$A20)*M_BOM[RM_Qty_Per_Batch]*IFERROR(INDEX(PP_Grid[#Data],M_BOM[PPGridRow],36),0))</f>
        <v/>
      </c>
      <c r="AK20">
        <f>SUMPRODUCT((M_BOM[RM_Code]=$A20)*M_BOM[RM_Qty_Per_Batch]*IFERROR(INDEX(PP_Grid[#Data],M_BOM[PPGridRow],37),0))</f>
        <v/>
      </c>
      <c r="AL20">
        <f>SUMPRODUCT((M_BOM[RM_Code]=$A20)*M_BOM[RM_Qty_Per_Batch]*IFERROR(INDEX(PP_Grid[#Data],M_BOM[PPGridRow],38),0))</f>
        <v/>
      </c>
      <c r="AM20">
        <f>SUMPRODUCT((M_BOM[RM_Code]=$A20)*M_BOM[RM_Qty_Per_Batch]*IFERROR(INDEX(PP_Grid[#Data],M_BOM[PPGridRow],39),0))</f>
        <v/>
      </c>
      <c r="AN20">
        <f>SUMPRODUCT((M_BOM[RM_Code]=$A20)*M_BOM[RM_Qty_Per_Batch]*IFERROR(INDEX(PP_Grid[#Data],M_BOM[PPGridRow],40),0))</f>
        <v/>
      </c>
      <c r="AO20">
        <f>SUMPRODUCT((M_BOM[RM_Code]=$A20)*M_BOM[RM_Qty_Per_Batch]*IFERROR(INDEX(PP_Grid[#Data],M_BOM[PPGridRow],41),0))</f>
        <v/>
      </c>
      <c r="AP20">
        <f>SUMPRODUCT((M_BOM[RM_Code]=$A20)*M_BOM[RM_Qty_Per_Batch]*IFERROR(INDEX(PP_Grid[#Data],M_BOM[PPGridRow],42),0))</f>
        <v/>
      </c>
      <c r="AQ20">
        <f>SUMPRODUCT((M_BOM[RM_Code]=$A20)*M_BOM[RM_Qty_Per_Batch]*IFERROR(INDEX(PP_Grid[#Data],M_BOM[PPGridRow],43),0))</f>
        <v/>
      </c>
      <c r="AR20">
        <f>SUMPRODUCT((M_BOM[RM_Code]=$A20)*M_BOM[RM_Qty_Per_Batch]*IFERROR(INDEX(PP_Grid[#Data],M_BOM[PPGridRow],44),0))</f>
        <v/>
      </c>
      <c r="AS20">
        <f>SUMPRODUCT((M_BOM[RM_Code]=$A20)*M_BOM[RM_Qty_Per_Batch]*IFERROR(INDEX(PP_Grid[#Data],M_BOM[PPGridRow],45),0))</f>
        <v/>
      </c>
      <c r="AT20">
        <f>SUMPRODUCT((M_BOM[RM_Code]=$A20)*M_BOM[RM_Qty_Per_Batch]*IFERROR(INDEX(PP_Grid[#Data],M_BOM[PPGridRow],46),0))</f>
        <v/>
      </c>
      <c r="AU20">
        <f>SUMPRODUCT((M_BOM[RM_Code]=$A20)*M_BOM[RM_Qty_Per_Batch]*IFERROR(INDEX(PP_Grid[#Data],M_BOM[PPGridRow],47),0))</f>
        <v/>
      </c>
      <c r="AV20">
        <f>SUMPRODUCT((M_BOM[RM_Code]=$A20)*M_BOM[RM_Qty_Per_Batch]*IFERROR(INDEX(PP_Grid[#Data],M_BOM[PPGridRow],48),0))</f>
        <v/>
      </c>
      <c r="AW20">
        <f>SUMPRODUCT((M_BOM[RM_Code]=$A20)*M_BOM[RM_Qty_Per_Batch]*IFERROR(INDEX(PP_Grid[#Data],M_BOM[PPGridRow],49),0))</f>
        <v/>
      </c>
      <c r="AX20">
        <f>SUMPRODUCT((M_BOM[RM_Code]=$A20)*M_BOM[RM_Qty_Per_Batch]*IFERROR(INDEX(PP_Grid[#Data],M_BOM[PPGridRow],50),0))</f>
        <v/>
      </c>
      <c r="AY20">
        <f>SUMPRODUCT((M_BOM[RM_Code]=$A20)*M_BOM[RM_Qty_Per_Batch]*IFERROR(INDEX(PP_Grid[#Data],M_BOM[PPGridRow],51),0))</f>
        <v/>
      </c>
      <c r="AZ20">
        <f>SUMPRODUCT((M_BOM[RM_Code]=$A20)*M_BOM[RM_Qty_Per_Batch]*IFERROR(INDEX(PP_Grid[#Data],M_BOM[PPGridRow],52),0))</f>
        <v/>
      </c>
      <c r="BA20">
        <f>SUMPRODUCT((M_BOM[RM_Code]=$A20)*M_BOM[RM_Qty_Per_Batch]*IFERROR(INDEX(PP_Grid[#Data],M_BOM[PPGridRow],53),0))</f>
        <v/>
      </c>
      <c r="BB20">
        <f>SUMPRODUCT((M_BOM[RM_Code]=$A20)*M_BOM[RM_Qty_Per_Batch]*IFERROR(INDEX(PP_Grid[#Data],M_BOM[PPGridRow],54),0))</f>
        <v/>
      </c>
      <c r="BC20">
        <f>SUMPRODUCT((M_BOM[RM_Code]=$A20)*M_BOM[RM_Qty_Per_Batch]*IFERROR(INDEX(PP_Grid[#Data],M_BOM[PPGridRow],55),0))</f>
        <v/>
      </c>
      <c r="BD20">
        <f>SUMPRODUCT((M_BOM[RM_Code]=$A20)*M_BOM[RM_Qty_Per_Batch]*IFERROR(INDEX(PP_Grid[#Data],M_BOM[PPGridRow],56),0))</f>
        <v/>
      </c>
      <c r="BE20">
        <f>SUMPRODUCT((M_BOM[RM_Code]=$A20)*M_BOM[RM_Qty_Per_Batch]*IFERROR(INDEX(PP_Grid[#Data],M_BOM[PPGridRow],57),0))</f>
        <v/>
      </c>
      <c r="BF20">
        <f>SUMPRODUCT((M_BOM[RM_Code]=$A20)*M_BOM[RM_Qty_Per_Batch]*IFERROR(INDEX(PP_Grid[#Data],M_BOM[PPGridRow],58),0))</f>
        <v/>
      </c>
      <c r="BG20">
        <f>SUMPRODUCT((M_BOM[RM_Code]=$A20)*M_BOM[RM_Qty_Per_Batch]*IFERROR(INDEX(PP_Grid[#Data],M_BOM[PPGridRow],59),0))</f>
        <v/>
      </c>
      <c r="BH20">
        <f>SUMPRODUCT((M_BOM[RM_Code]=$A20)*M_BOM[RM_Qty_Per_Batch]*IFERROR(INDEX(PP_Grid[#Data],M_BOM[PPGridRow],60),0))</f>
        <v/>
      </c>
      <c r="BI20">
        <f>SUMPRODUCT((M_BOM[RM_Code]=$A20)*M_BOM[RM_Qty_Per_Batch]*IFERROR(INDEX(PP_Grid[#Data],M_BOM[PPGridRow],61),0))</f>
        <v/>
      </c>
      <c r="BJ20">
        <f>SUMPRODUCT((M_BOM[RM_Code]=$A20)*M_BOM[RM_Qty_Per_Batch]*IFERROR(INDEX(PP_Grid[#Data],M_BOM[PPGridRow],62),0))</f>
        <v/>
      </c>
      <c r="BK20">
        <f>SUMPRODUCT((M_BOM[RM_Code]=$A20)*M_BOM[RM_Qty_Per_Batch]*IFERROR(INDEX(PP_Grid[#Data],M_BOM[PPGridRow],63),0))</f>
        <v/>
      </c>
      <c r="BL20">
        <f>SUMPRODUCT((M_BOM[RM_Code]=$A20)*M_BOM[RM_Qty_Per_Batch]*IFERROR(INDEX(PP_Grid[#Data],M_BOM[PPGridRow],64),0))</f>
        <v/>
      </c>
      <c r="BM20">
        <f>SUMPRODUCT((M_BOM[RM_Code]=$A20)*M_BOM[RM_Qty_Per_Batch]*IFERROR(INDEX(PP_Grid[#Data],M_BOM[PPGridRow],65),0))</f>
        <v/>
      </c>
      <c r="BN20">
        <f>SUMPRODUCT((M_BOM[RM_Code]=$A20)*M_BOM[RM_Qty_Per_Batch]*IFERROR(INDEX(PP_Grid[#Data],M_BOM[PPGridRow],66),0))</f>
        <v/>
      </c>
      <c r="BO20">
        <f>SUMPRODUCT((M_BOM[RM_Code]=$A20)*M_BOM[RM_Qty_Per_Batch]*IFERROR(INDEX(PP_Grid[#Data],M_BOM[PPGridRow],67),0))</f>
        <v/>
      </c>
      <c r="BP20">
        <f>SUMPRODUCT((M_BOM[RM_Code]=$A20)*M_BOM[RM_Qty_Per_Batch]*IFERROR(INDEX(PP_Grid[#Data],M_BOM[PPGridRow],68),0))</f>
        <v/>
      </c>
      <c r="BQ20">
        <f>SUMPRODUCT((M_BOM[RM_Code]=$A20)*M_BOM[RM_Qty_Per_Batch]*IFERROR(INDEX(PP_Grid[#Data],M_BOM[PPGridRow],69),0))</f>
        <v/>
      </c>
      <c r="BR20">
        <f>SUMPRODUCT((M_BOM[RM_Code]=$A20)*M_BOM[RM_Qty_Per_Batch]*IFERROR(INDEX(PP_Grid[#Data],M_BOM[PPGridRow],70),0))</f>
        <v/>
      </c>
      <c r="BS20">
        <f>SUMPRODUCT((M_BOM[RM_Code]=$A20)*M_BOM[RM_Qty_Per_Batch]*IFERROR(INDEX(PP_Grid[#Data],M_BOM[PPGridRow],71),0))</f>
        <v/>
      </c>
      <c r="BT20">
        <f>SUMPRODUCT((M_BOM[RM_Code]=$A20)*M_BOM[RM_Qty_Per_Batch]*IFERROR(INDEX(PP_Grid[#Data],M_BOM[PPGridRow],72),0))</f>
        <v/>
      </c>
      <c r="BU20">
        <f>SUMPRODUCT((M_BOM[RM_Code]=$A20)*M_BOM[RM_Qty_Per_Batch]*IFERROR(INDEX(PP_Grid[#Data],M_BOM[PPGridRow],73),0))</f>
        <v/>
      </c>
      <c r="BV20">
        <f>SUMPRODUCT((M_BOM[RM_Code]=$A20)*M_BOM[RM_Qty_Per_Batch]*IFERROR(INDEX(PP_Grid[#Data],M_BOM[PPGridRow],74),0))</f>
        <v/>
      </c>
      <c r="BW20">
        <f>SUMPRODUCT((M_BOM[RM_Code]=$A20)*M_BOM[RM_Qty_Per_Batch]*IFERROR(INDEX(PP_Grid[#Data],M_BOM[PPGridRow],75),0))</f>
        <v/>
      </c>
      <c r="BX20">
        <f>SUMPRODUCT((M_BOM[RM_Code]=$A20)*M_BOM[RM_Qty_Per_Batch]*IFERROR(INDEX(PP_Grid[#Data],M_BOM[PPGridRow],76),0))</f>
        <v/>
      </c>
      <c r="BY20">
        <f>SUMPRODUCT((M_BOM[RM_Code]=$A20)*M_BOM[RM_Qty_Per_Batch]*IFERROR(INDEX(PP_Grid[#Data],M_BOM[PPGridRow],77),0))</f>
        <v/>
      </c>
      <c r="BZ20">
        <f>SUMPRODUCT((M_BOM[RM_Code]=$A20)*M_BOM[RM_Qty_Per_Batch]*IFERROR(INDEX(PP_Grid[#Data],M_BOM[PPGridRow],78),0))</f>
        <v/>
      </c>
      <c r="CA20">
        <f>SUMPRODUCT((M_BOM[RM_Code]=$A20)*M_BOM[RM_Qty_Per_Batch]*IFERROR(INDEX(PP_Grid[#Data],M_BOM[PPGridRow],79),0))</f>
        <v/>
      </c>
      <c r="CB20">
        <f>SUMPRODUCT((M_BOM[RM_Code]=$A20)*M_BOM[RM_Qty_Per_Batch]*IFERROR(INDEX(PP_Grid[#Data],M_BOM[PPGridRow],80),0))</f>
        <v/>
      </c>
      <c r="CC20">
        <f>SUMPRODUCT((M_BOM[RM_Code]=$A20)*M_BOM[RM_Qty_Per_Batch]*IFERROR(INDEX(PP_Grid[#Data],M_BOM[PPGridRow],81),0))</f>
        <v/>
      </c>
      <c r="CD20">
        <f>SUMPRODUCT((M_BOM[RM_Code]=$A20)*M_BOM[RM_Qty_Per_Batch]*IFERROR(INDEX(PP_Grid[#Data],M_BOM[PPGridRow],82),0))</f>
        <v/>
      </c>
      <c r="CE20">
        <f>SUMPRODUCT((M_BOM[RM_Code]=$A20)*M_BOM[RM_Qty_Per_Batch]*IFERROR(INDEX(PP_Grid[#Data],M_BOM[PPGridRow],83),0))</f>
        <v/>
      </c>
      <c r="CF20">
        <f>SUMPRODUCT((M_BOM[RM_Code]=$A20)*M_BOM[RM_Qty_Per_Batch]*IFERROR(INDEX(PP_Grid[#Data],M_BOM[PPGridRow],84),0))</f>
        <v/>
      </c>
      <c r="CG20">
        <f>SUMPRODUCT((M_BOM[RM_Code]=$A20)*M_BOM[RM_Qty_Per_Batch]*IFERROR(INDEX(PP_Grid[#Data],M_BOM[PPGridRow],85),0))</f>
        <v/>
      </c>
      <c r="CH20">
        <f>SUMPRODUCT((M_BOM[RM_Code]=$A20)*M_BOM[RM_Qty_Per_Batch]*IFERROR(INDEX(PP_Grid[#Data],M_BOM[PPGridRow],86),0))</f>
        <v/>
      </c>
      <c r="CI20">
        <f>SUMPRODUCT((M_BOM[RM_Code]=$A20)*M_BOM[RM_Qty_Per_Batch]*IFERROR(INDEX(PP_Grid[#Data],M_BOM[PPGridRow],87),0))</f>
        <v/>
      </c>
      <c r="CJ20">
        <f>SUMPRODUCT((M_BOM[RM_Code]=$A20)*M_BOM[RM_Qty_Per_Batch]*IFERROR(INDEX(PP_Grid[#Data],M_BOM[PPGridRow],88),0))</f>
        <v/>
      </c>
      <c r="CK20">
        <f>SUMPRODUCT((M_BOM[RM_Code]=$A20)*M_BOM[RM_Qty_Per_Batch]*IFERROR(INDEX(PP_Grid[#Data],M_BOM[PPGridRow],89),0))</f>
        <v/>
      </c>
      <c r="CL20">
        <f>SUMPRODUCT((M_BOM[RM_Code]=$A20)*M_BOM[RM_Qty_Per_Batch]*IFERROR(INDEX(PP_Grid[#Data],M_BOM[PPGridRow],90),0))</f>
        <v/>
      </c>
      <c r="CM20">
        <f>SUMPRODUCT((M_BOM[RM_Code]=$A20)*M_BOM[RM_Qty_Per_Batch]*IFERROR(INDEX(PP_Grid[#Data],M_BOM[PPGridRow],91),0))</f>
        <v/>
      </c>
      <c r="CN20">
        <f>SUMPRODUCT((M_BOM[RM_Code]=$A20)*M_BOM[RM_Qty_Per_Batch]*IFERROR(INDEX(PP_Grid[#Data],M_BOM[PPGridRow],92),0))</f>
        <v/>
      </c>
      <c r="CO20">
        <f>SUMPRODUCT((M_BOM[RM_Code]=$A20)*M_BOM[RM_Qty_Per_Batch]*IFERROR(INDEX(PP_Grid[#Data],M_BOM[PPGridRow],93),0))</f>
        <v/>
      </c>
      <c r="CP20">
        <f>SUMPRODUCT((M_BOM[RM_Code]=$A20)*M_BOM[RM_Qty_Per_Batch]*IFERROR(INDEX(PP_Grid[#Data],M_BOM[PPGridRow],94),0))</f>
        <v/>
      </c>
      <c r="CQ20">
        <f>SUMPRODUCT((M_BOM[RM_Code]=$A20)*M_BOM[RM_Qty_Per_Batch]*IFERROR(INDEX(PP_Grid[#Data],M_BOM[PPGridRow],95),0))</f>
        <v/>
      </c>
      <c r="CR20">
        <f>SUMPRODUCT((M_BOM[RM_Code]=$A20)*M_BOM[RM_Qty_Per_Batch]*IFERROR(INDEX(PP_Grid[#Data],M_BOM[PPGridRow],96),0))</f>
        <v/>
      </c>
      <c r="CS20">
        <f>SUMPRODUCT((M_BOM[RM_Code]=$A20)*M_BOM[RM_Qty_Per_Batch]*IFERROR(INDEX(PP_Grid[#Data],M_BOM[PPGridRow],97),0))</f>
        <v/>
      </c>
      <c r="CT20">
        <f>SUMPRODUCT((M_BOM[RM_Code]=$A20)*M_BOM[RM_Qty_Per_Batch]*IFERROR(INDEX(PP_Grid[#Data],M_BOM[PPGridRow],98),0))</f>
        <v/>
      </c>
      <c r="CU20">
        <f>SUMPRODUCT((M_BOM[RM_Code]=$A20)*M_BOM[RM_Qty_Per_Batch]*IFERROR(INDEX(PP_Grid[#Data],M_BOM[PPGridRow],99),0))</f>
        <v/>
      </c>
      <c r="CV20">
        <f>SUMPRODUCT((M_BOM[RM_Code]=$A20)*M_BOM[RM_Qty_Per_Batch]*IFERROR(INDEX(PP_Grid[#Data],M_BOM[PPGridRow],100),0))</f>
        <v/>
      </c>
      <c r="CW20">
        <f>SUMPRODUCT((M_BOM[RM_Code]=$A20)*M_BOM[RM_Qty_Per_Batch]*IFERROR(INDEX(PP_Grid[#Data],M_BOM[PPGridRow],101),0))</f>
        <v/>
      </c>
      <c r="CX20">
        <f>SUMPRODUCT((M_BOM[RM_Code]=$A20)*M_BOM[RM_Qty_Per_Batch]*IFERROR(INDEX(PP_Grid[#Data],M_BOM[PPGridRow],102),0))</f>
        <v/>
      </c>
      <c r="CY20">
        <f>SUMPRODUCT((M_BOM[RM_Code]=$A20)*M_BOM[RM_Qty_Per_Batch]*IFERROR(INDEX(PP_Grid[#Data],M_BOM[PPGridRow],103),0))</f>
        <v/>
      </c>
      <c r="CZ20">
        <f>SUMPRODUCT((M_BOM[RM_Code]=$A20)*M_BOM[RM_Qty_Per_Batch]*IFERROR(INDEX(PP_Grid[#Data],M_BOM[PPGridRow],104),0))</f>
        <v/>
      </c>
      <c r="DA20">
        <f>SUMPRODUCT((M_BOM[RM_Code]=$A20)*M_BOM[RM_Qty_Per_Batch]*IFERROR(INDEX(PP_Grid[#Data],M_BOM[PPGridRow],105),0))</f>
        <v/>
      </c>
    </row>
    <row r="21">
      <c r="A21" t="inlineStr">
        <is>
          <t>CHEM-1660</t>
        </is>
      </c>
      <c r="B21">
        <f>SUMPRODUCT((M_BOM[RM_Code]=$A21)*M_BOM[RM_Qty_Per_Batch]*IFERROR(INDEX(PP_Grid[#Data],M_BOM[PPGridRow],2),0))</f>
        <v/>
      </c>
      <c r="C21">
        <f>SUMPRODUCT((M_BOM[RM_Code]=$A21)*M_BOM[RM_Qty_Per_Batch]*IFERROR(INDEX(PP_Grid[#Data],M_BOM[PPGridRow],3),0))</f>
        <v/>
      </c>
      <c r="D21">
        <f>SUMPRODUCT((M_BOM[RM_Code]=$A21)*M_BOM[RM_Qty_Per_Batch]*IFERROR(INDEX(PP_Grid[#Data],M_BOM[PPGridRow],4),0))</f>
        <v/>
      </c>
      <c r="E21">
        <f>SUMPRODUCT((M_BOM[RM_Code]=$A21)*M_BOM[RM_Qty_Per_Batch]*IFERROR(INDEX(PP_Grid[#Data],M_BOM[PPGridRow],5),0))</f>
        <v/>
      </c>
      <c r="F21">
        <f>SUMPRODUCT((M_BOM[RM_Code]=$A21)*M_BOM[RM_Qty_Per_Batch]*IFERROR(INDEX(PP_Grid[#Data],M_BOM[PPGridRow],6),0))</f>
        <v/>
      </c>
      <c r="G21">
        <f>SUMPRODUCT((M_BOM[RM_Code]=$A21)*M_BOM[RM_Qty_Per_Batch]*IFERROR(INDEX(PP_Grid[#Data],M_BOM[PPGridRow],7),0))</f>
        <v/>
      </c>
      <c r="H21">
        <f>SUMPRODUCT((M_BOM[RM_Code]=$A21)*M_BOM[RM_Qty_Per_Batch]*IFERROR(INDEX(PP_Grid[#Data],M_BOM[PPGridRow],8),0))</f>
        <v/>
      </c>
      <c r="I21">
        <f>SUMPRODUCT((M_BOM[RM_Code]=$A21)*M_BOM[RM_Qty_Per_Batch]*IFERROR(INDEX(PP_Grid[#Data],M_BOM[PPGridRow],9),0))</f>
        <v/>
      </c>
      <c r="J21">
        <f>SUMPRODUCT((M_BOM[RM_Code]=$A21)*M_BOM[RM_Qty_Per_Batch]*IFERROR(INDEX(PP_Grid[#Data],M_BOM[PPGridRow],10),0))</f>
        <v/>
      </c>
      <c r="K21">
        <f>SUMPRODUCT((M_BOM[RM_Code]=$A21)*M_BOM[RM_Qty_Per_Batch]*IFERROR(INDEX(PP_Grid[#Data],M_BOM[PPGridRow],11),0))</f>
        <v/>
      </c>
      <c r="L21">
        <f>SUMPRODUCT((M_BOM[RM_Code]=$A21)*M_BOM[RM_Qty_Per_Batch]*IFERROR(INDEX(PP_Grid[#Data],M_BOM[PPGridRow],12),0))</f>
        <v/>
      </c>
      <c r="M21">
        <f>SUMPRODUCT((M_BOM[RM_Code]=$A21)*M_BOM[RM_Qty_Per_Batch]*IFERROR(INDEX(PP_Grid[#Data],M_BOM[PPGridRow],13),0))</f>
        <v/>
      </c>
      <c r="N21">
        <f>SUMPRODUCT((M_BOM[RM_Code]=$A21)*M_BOM[RM_Qty_Per_Batch]*IFERROR(INDEX(PP_Grid[#Data],M_BOM[PPGridRow],14),0))</f>
        <v/>
      </c>
      <c r="O21">
        <f>SUMPRODUCT((M_BOM[RM_Code]=$A21)*M_BOM[RM_Qty_Per_Batch]*IFERROR(INDEX(PP_Grid[#Data],M_BOM[PPGridRow],15),0))</f>
        <v/>
      </c>
      <c r="P21">
        <f>SUMPRODUCT((M_BOM[RM_Code]=$A21)*M_BOM[RM_Qty_Per_Batch]*IFERROR(INDEX(PP_Grid[#Data],M_BOM[PPGridRow],16),0))</f>
        <v/>
      </c>
      <c r="Q21">
        <f>SUMPRODUCT((M_BOM[RM_Code]=$A21)*M_BOM[RM_Qty_Per_Batch]*IFERROR(INDEX(PP_Grid[#Data],M_BOM[PPGridRow],17),0))</f>
        <v/>
      </c>
      <c r="R21">
        <f>SUMPRODUCT((M_BOM[RM_Code]=$A21)*M_BOM[RM_Qty_Per_Batch]*IFERROR(INDEX(PP_Grid[#Data],M_BOM[PPGridRow],18),0))</f>
        <v/>
      </c>
      <c r="S21">
        <f>SUMPRODUCT((M_BOM[RM_Code]=$A21)*M_BOM[RM_Qty_Per_Batch]*IFERROR(INDEX(PP_Grid[#Data],M_BOM[PPGridRow],19),0))</f>
        <v/>
      </c>
      <c r="T21">
        <f>SUMPRODUCT((M_BOM[RM_Code]=$A21)*M_BOM[RM_Qty_Per_Batch]*IFERROR(INDEX(PP_Grid[#Data],M_BOM[PPGridRow],20),0))</f>
        <v/>
      </c>
      <c r="U21">
        <f>SUMPRODUCT((M_BOM[RM_Code]=$A21)*M_BOM[RM_Qty_Per_Batch]*IFERROR(INDEX(PP_Grid[#Data],M_BOM[PPGridRow],21),0))</f>
        <v/>
      </c>
      <c r="V21">
        <f>SUMPRODUCT((M_BOM[RM_Code]=$A21)*M_BOM[RM_Qty_Per_Batch]*IFERROR(INDEX(PP_Grid[#Data],M_BOM[PPGridRow],22),0))</f>
        <v/>
      </c>
      <c r="W21">
        <f>SUMPRODUCT((M_BOM[RM_Code]=$A21)*M_BOM[RM_Qty_Per_Batch]*IFERROR(INDEX(PP_Grid[#Data],M_BOM[PPGridRow],23),0))</f>
        <v/>
      </c>
      <c r="X21">
        <f>SUMPRODUCT((M_BOM[RM_Code]=$A21)*M_BOM[RM_Qty_Per_Batch]*IFERROR(INDEX(PP_Grid[#Data],M_BOM[PPGridRow],24),0))</f>
        <v/>
      </c>
      <c r="Y21">
        <f>SUMPRODUCT((M_BOM[RM_Code]=$A21)*M_BOM[RM_Qty_Per_Batch]*IFERROR(INDEX(PP_Grid[#Data],M_BOM[PPGridRow],25),0))</f>
        <v/>
      </c>
      <c r="Z21">
        <f>SUMPRODUCT((M_BOM[RM_Code]=$A21)*M_BOM[RM_Qty_Per_Batch]*IFERROR(INDEX(PP_Grid[#Data],M_BOM[PPGridRow],26),0))</f>
        <v/>
      </c>
      <c r="AA21">
        <f>SUMPRODUCT((M_BOM[RM_Code]=$A21)*M_BOM[RM_Qty_Per_Batch]*IFERROR(INDEX(PP_Grid[#Data],M_BOM[PPGridRow],27),0))</f>
        <v/>
      </c>
      <c r="AB21">
        <f>SUMPRODUCT((M_BOM[RM_Code]=$A21)*M_BOM[RM_Qty_Per_Batch]*IFERROR(INDEX(PP_Grid[#Data],M_BOM[PPGridRow],28),0))</f>
        <v/>
      </c>
      <c r="AC21">
        <f>SUMPRODUCT((M_BOM[RM_Code]=$A21)*M_BOM[RM_Qty_Per_Batch]*IFERROR(INDEX(PP_Grid[#Data],M_BOM[PPGridRow],29),0))</f>
        <v/>
      </c>
      <c r="AD21">
        <f>SUMPRODUCT((M_BOM[RM_Code]=$A21)*M_BOM[RM_Qty_Per_Batch]*IFERROR(INDEX(PP_Grid[#Data],M_BOM[PPGridRow],30),0))</f>
        <v/>
      </c>
      <c r="AE21">
        <f>SUMPRODUCT((M_BOM[RM_Code]=$A21)*M_BOM[RM_Qty_Per_Batch]*IFERROR(INDEX(PP_Grid[#Data],M_BOM[PPGridRow],31),0))</f>
        <v/>
      </c>
      <c r="AF21">
        <f>SUMPRODUCT((M_BOM[RM_Code]=$A21)*M_BOM[RM_Qty_Per_Batch]*IFERROR(INDEX(PP_Grid[#Data],M_BOM[PPGridRow],32),0))</f>
        <v/>
      </c>
      <c r="AG21">
        <f>SUMPRODUCT((M_BOM[RM_Code]=$A21)*M_BOM[RM_Qty_Per_Batch]*IFERROR(INDEX(PP_Grid[#Data],M_BOM[PPGridRow],33),0))</f>
        <v/>
      </c>
      <c r="AH21">
        <f>SUMPRODUCT((M_BOM[RM_Code]=$A21)*M_BOM[RM_Qty_Per_Batch]*IFERROR(INDEX(PP_Grid[#Data],M_BOM[PPGridRow],34),0))</f>
        <v/>
      </c>
      <c r="AI21">
        <f>SUMPRODUCT((M_BOM[RM_Code]=$A21)*M_BOM[RM_Qty_Per_Batch]*IFERROR(INDEX(PP_Grid[#Data],M_BOM[PPGridRow],35),0))</f>
        <v/>
      </c>
      <c r="AJ21">
        <f>SUMPRODUCT((M_BOM[RM_Code]=$A21)*M_BOM[RM_Qty_Per_Batch]*IFERROR(INDEX(PP_Grid[#Data],M_BOM[PPGridRow],36),0))</f>
        <v/>
      </c>
      <c r="AK21">
        <f>SUMPRODUCT((M_BOM[RM_Code]=$A21)*M_BOM[RM_Qty_Per_Batch]*IFERROR(INDEX(PP_Grid[#Data],M_BOM[PPGridRow],37),0))</f>
        <v/>
      </c>
      <c r="AL21">
        <f>SUMPRODUCT((M_BOM[RM_Code]=$A21)*M_BOM[RM_Qty_Per_Batch]*IFERROR(INDEX(PP_Grid[#Data],M_BOM[PPGridRow],38),0))</f>
        <v/>
      </c>
      <c r="AM21">
        <f>SUMPRODUCT((M_BOM[RM_Code]=$A21)*M_BOM[RM_Qty_Per_Batch]*IFERROR(INDEX(PP_Grid[#Data],M_BOM[PPGridRow],39),0))</f>
        <v/>
      </c>
      <c r="AN21">
        <f>SUMPRODUCT((M_BOM[RM_Code]=$A21)*M_BOM[RM_Qty_Per_Batch]*IFERROR(INDEX(PP_Grid[#Data],M_BOM[PPGridRow],40),0))</f>
        <v/>
      </c>
      <c r="AO21">
        <f>SUMPRODUCT((M_BOM[RM_Code]=$A21)*M_BOM[RM_Qty_Per_Batch]*IFERROR(INDEX(PP_Grid[#Data],M_BOM[PPGridRow],41),0))</f>
        <v/>
      </c>
      <c r="AP21">
        <f>SUMPRODUCT((M_BOM[RM_Code]=$A21)*M_BOM[RM_Qty_Per_Batch]*IFERROR(INDEX(PP_Grid[#Data],M_BOM[PPGridRow],42),0))</f>
        <v/>
      </c>
      <c r="AQ21">
        <f>SUMPRODUCT((M_BOM[RM_Code]=$A21)*M_BOM[RM_Qty_Per_Batch]*IFERROR(INDEX(PP_Grid[#Data],M_BOM[PPGridRow],43),0))</f>
        <v/>
      </c>
      <c r="AR21">
        <f>SUMPRODUCT((M_BOM[RM_Code]=$A21)*M_BOM[RM_Qty_Per_Batch]*IFERROR(INDEX(PP_Grid[#Data],M_BOM[PPGridRow],44),0))</f>
        <v/>
      </c>
      <c r="AS21">
        <f>SUMPRODUCT((M_BOM[RM_Code]=$A21)*M_BOM[RM_Qty_Per_Batch]*IFERROR(INDEX(PP_Grid[#Data],M_BOM[PPGridRow],45),0))</f>
        <v/>
      </c>
      <c r="AT21">
        <f>SUMPRODUCT((M_BOM[RM_Code]=$A21)*M_BOM[RM_Qty_Per_Batch]*IFERROR(INDEX(PP_Grid[#Data],M_BOM[PPGridRow],46),0))</f>
        <v/>
      </c>
      <c r="AU21">
        <f>SUMPRODUCT((M_BOM[RM_Code]=$A21)*M_BOM[RM_Qty_Per_Batch]*IFERROR(INDEX(PP_Grid[#Data],M_BOM[PPGridRow],47),0))</f>
        <v/>
      </c>
      <c r="AV21">
        <f>SUMPRODUCT((M_BOM[RM_Code]=$A21)*M_BOM[RM_Qty_Per_Batch]*IFERROR(INDEX(PP_Grid[#Data],M_BOM[PPGridRow],48),0))</f>
        <v/>
      </c>
      <c r="AW21">
        <f>SUMPRODUCT((M_BOM[RM_Code]=$A21)*M_BOM[RM_Qty_Per_Batch]*IFERROR(INDEX(PP_Grid[#Data],M_BOM[PPGridRow],49),0))</f>
        <v/>
      </c>
      <c r="AX21">
        <f>SUMPRODUCT((M_BOM[RM_Code]=$A21)*M_BOM[RM_Qty_Per_Batch]*IFERROR(INDEX(PP_Grid[#Data],M_BOM[PPGridRow],50),0))</f>
        <v/>
      </c>
      <c r="AY21">
        <f>SUMPRODUCT((M_BOM[RM_Code]=$A21)*M_BOM[RM_Qty_Per_Batch]*IFERROR(INDEX(PP_Grid[#Data],M_BOM[PPGridRow],51),0))</f>
        <v/>
      </c>
      <c r="AZ21">
        <f>SUMPRODUCT((M_BOM[RM_Code]=$A21)*M_BOM[RM_Qty_Per_Batch]*IFERROR(INDEX(PP_Grid[#Data],M_BOM[PPGridRow],52),0))</f>
        <v/>
      </c>
      <c r="BA21">
        <f>SUMPRODUCT((M_BOM[RM_Code]=$A21)*M_BOM[RM_Qty_Per_Batch]*IFERROR(INDEX(PP_Grid[#Data],M_BOM[PPGridRow],53),0))</f>
        <v/>
      </c>
      <c r="BB21">
        <f>SUMPRODUCT((M_BOM[RM_Code]=$A21)*M_BOM[RM_Qty_Per_Batch]*IFERROR(INDEX(PP_Grid[#Data],M_BOM[PPGridRow],54),0))</f>
        <v/>
      </c>
      <c r="BC21">
        <f>SUMPRODUCT((M_BOM[RM_Code]=$A21)*M_BOM[RM_Qty_Per_Batch]*IFERROR(INDEX(PP_Grid[#Data],M_BOM[PPGridRow],55),0))</f>
        <v/>
      </c>
      <c r="BD21">
        <f>SUMPRODUCT((M_BOM[RM_Code]=$A21)*M_BOM[RM_Qty_Per_Batch]*IFERROR(INDEX(PP_Grid[#Data],M_BOM[PPGridRow],56),0))</f>
        <v/>
      </c>
      <c r="BE21">
        <f>SUMPRODUCT((M_BOM[RM_Code]=$A21)*M_BOM[RM_Qty_Per_Batch]*IFERROR(INDEX(PP_Grid[#Data],M_BOM[PPGridRow],57),0))</f>
        <v/>
      </c>
      <c r="BF21">
        <f>SUMPRODUCT((M_BOM[RM_Code]=$A21)*M_BOM[RM_Qty_Per_Batch]*IFERROR(INDEX(PP_Grid[#Data],M_BOM[PPGridRow],58),0))</f>
        <v/>
      </c>
      <c r="BG21">
        <f>SUMPRODUCT((M_BOM[RM_Code]=$A21)*M_BOM[RM_Qty_Per_Batch]*IFERROR(INDEX(PP_Grid[#Data],M_BOM[PPGridRow],59),0))</f>
        <v/>
      </c>
      <c r="BH21">
        <f>SUMPRODUCT((M_BOM[RM_Code]=$A21)*M_BOM[RM_Qty_Per_Batch]*IFERROR(INDEX(PP_Grid[#Data],M_BOM[PPGridRow],60),0))</f>
        <v/>
      </c>
      <c r="BI21">
        <f>SUMPRODUCT((M_BOM[RM_Code]=$A21)*M_BOM[RM_Qty_Per_Batch]*IFERROR(INDEX(PP_Grid[#Data],M_BOM[PPGridRow],61),0))</f>
        <v/>
      </c>
      <c r="BJ21">
        <f>SUMPRODUCT((M_BOM[RM_Code]=$A21)*M_BOM[RM_Qty_Per_Batch]*IFERROR(INDEX(PP_Grid[#Data],M_BOM[PPGridRow],62),0))</f>
        <v/>
      </c>
      <c r="BK21">
        <f>SUMPRODUCT((M_BOM[RM_Code]=$A21)*M_BOM[RM_Qty_Per_Batch]*IFERROR(INDEX(PP_Grid[#Data],M_BOM[PPGridRow],63),0))</f>
        <v/>
      </c>
      <c r="BL21">
        <f>SUMPRODUCT((M_BOM[RM_Code]=$A21)*M_BOM[RM_Qty_Per_Batch]*IFERROR(INDEX(PP_Grid[#Data],M_BOM[PPGridRow],64),0))</f>
        <v/>
      </c>
      <c r="BM21">
        <f>SUMPRODUCT((M_BOM[RM_Code]=$A21)*M_BOM[RM_Qty_Per_Batch]*IFERROR(INDEX(PP_Grid[#Data],M_BOM[PPGridRow],65),0))</f>
        <v/>
      </c>
      <c r="BN21">
        <f>SUMPRODUCT((M_BOM[RM_Code]=$A21)*M_BOM[RM_Qty_Per_Batch]*IFERROR(INDEX(PP_Grid[#Data],M_BOM[PPGridRow],66),0))</f>
        <v/>
      </c>
      <c r="BO21">
        <f>SUMPRODUCT((M_BOM[RM_Code]=$A21)*M_BOM[RM_Qty_Per_Batch]*IFERROR(INDEX(PP_Grid[#Data],M_BOM[PPGridRow],67),0))</f>
        <v/>
      </c>
      <c r="BP21">
        <f>SUMPRODUCT((M_BOM[RM_Code]=$A21)*M_BOM[RM_Qty_Per_Batch]*IFERROR(INDEX(PP_Grid[#Data],M_BOM[PPGridRow],68),0))</f>
        <v/>
      </c>
      <c r="BQ21">
        <f>SUMPRODUCT((M_BOM[RM_Code]=$A21)*M_BOM[RM_Qty_Per_Batch]*IFERROR(INDEX(PP_Grid[#Data],M_BOM[PPGridRow],69),0))</f>
        <v/>
      </c>
      <c r="BR21">
        <f>SUMPRODUCT((M_BOM[RM_Code]=$A21)*M_BOM[RM_Qty_Per_Batch]*IFERROR(INDEX(PP_Grid[#Data],M_BOM[PPGridRow],70),0))</f>
        <v/>
      </c>
      <c r="BS21">
        <f>SUMPRODUCT((M_BOM[RM_Code]=$A21)*M_BOM[RM_Qty_Per_Batch]*IFERROR(INDEX(PP_Grid[#Data],M_BOM[PPGridRow],71),0))</f>
        <v/>
      </c>
      <c r="BT21">
        <f>SUMPRODUCT((M_BOM[RM_Code]=$A21)*M_BOM[RM_Qty_Per_Batch]*IFERROR(INDEX(PP_Grid[#Data],M_BOM[PPGridRow],72),0))</f>
        <v/>
      </c>
      <c r="BU21">
        <f>SUMPRODUCT((M_BOM[RM_Code]=$A21)*M_BOM[RM_Qty_Per_Batch]*IFERROR(INDEX(PP_Grid[#Data],M_BOM[PPGridRow],73),0))</f>
        <v/>
      </c>
      <c r="BV21">
        <f>SUMPRODUCT((M_BOM[RM_Code]=$A21)*M_BOM[RM_Qty_Per_Batch]*IFERROR(INDEX(PP_Grid[#Data],M_BOM[PPGridRow],74),0))</f>
        <v/>
      </c>
      <c r="BW21">
        <f>SUMPRODUCT((M_BOM[RM_Code]=$A21)*M_BOM[RM_Qty_Per_Batch]*IFERROR(INDEX(PP_Grid[#Data],M_BOM[PPGridRow],75),0))</f>
        <v/>
      </c>
      <c r="BX21">
        <f>SUMPRODUCT((M_BOM[RM_Code]=$A21)*M_BOM[RM_Qty_Per_Batch]*IFERROR(INDEX(PP_Grid[#Data],M_BOM[PPGridRow],76),0))</f>
        <v/>
      </c>
      <c r="BY21">
        <f>SUMPRODUCT((M_BOM[RM_Code]=$A21)*M_BOM[RM_Qty_Per_Batch]*IFERROR(INDEX(PP_Grid[#Data],M_BOM[PPGridRow],77),0))</f>
        <v/>
      </c>
      <c r="BZ21">
        <f>SUMPRODUCT((M_BOM[RM_Code]=$A21)*M_BOM[RM_Qty_Per_Batch]*IFERROR(INDEX(PP_Grid[#Data],M_BOM[PPGridRow],78),0))</f>
        <v/>
      </c>
      <c r="CA21">
        <f>SUMPRODUCT((M_BOM[RM_Code]=$A21)*M_BOM[RM_Qty_Per_Batch]*IFERROR(INDEX(PP_Grid[#Data],M_BOM[PPGridRow],79),0))</f>
        <v/>
      </c>
      <c r="CB21">
        <f>SUMPRODUCT((M_BOM[RM_Code]=$A21)*M_BOM[RM_Qty_Per_Batch]*IFERROR(INDEX(PP_Grid[#Data],M_BOM[PPGridRow],80),0))</f>
        <v/>
      </c>
      <c r="CC21">
        <f>SUMPRODUCT((M_BOM[RM_Code]=$A21)*M_BOM[RM_Qty_Per_Batch]*IFERROR(INDEX(PP_Grid[#Data],M_BOM[PPGridRow],81),0))</f>
        <v/>
      </c>
      <c r="CD21">
        <f>SUMPRODUCT((M_BOM[RM_Code]=$A21)*M_BOM[RM_Qty_Per_Batch]*IFERROR(INDEX(PP_Grid[#Data],M_BOM[PPGridRow],82),0))</f>
        <v/>
      </c>
      <c r="CE21">
        <f>SUMPRODUCT((M_BOM[RM_Code]=$A21)*M_BOM[RM_Qty_Per_Batch]*IFERROR(INDEX(PP_Grid[#Data],M_BOM[PPGridRow],83),0))</f>
        <v/>
      </c>
      <c r="CF21">
        <f>SUMPRODUCT((M_BOM[RM_Code]=$A21)*M_BOM[RM_Qty_Per_Batch]*IFERROR(INDEX(PP_Grid[#Data],M_BOM[PPGridRow],84),0))</f>
        <v/>
      </c>
      <c r="CG21">
        <f>SUMPRODUCT((M_BOM[RM_Code]=$A21)*M_BOM[RM_Qty_Per_Batch]*IFERROR(INDEX(PP_Grid[#Data],M_BOM[PPGridRow],85),0))</f>
        <v/>
      </c>
      <c r="CH21">
        <f>SUMPRODUCT((M_BOM[RM_Code]=$A21)*M_BOM[RM_Qty_Per_Batch]*IFERROR(INDEX(PP_Grid[#Data],M_BOM[PPGridRow],86),0))</f>
        <v/>
      </c>
      <c r="CI21">
        <f>SUMPRODUCT((M_BOM[RM_Code]=$A21)*M_BOM[RM_Qty_Per_Batch]*IFERROR(INDEX(PP_Grid[#Data],M_BOM[PPGridRow],87),0))</f>
        <v/>
      </c>
      <c r="CJ21">
        <f>SUMPRODUCT((M_BOM[RM_Code]=$A21)*M_BOM[RM_Qty_Per_Batch]*IFERROR(INDEX(PP_Grid[#Data],M_BOM[PPGridRow],88),0))</f>
        <v/>
      </c>
      <c r="CK21">
        <f>SUMPRODUCT((M_BOM[RM_Code]=$A21)*M_BOM[RM_Qty_Per_Batch]*IFERROR(INDEX(PP_Grid[#Data],M_BOM[PPGridRow],89),0))</f>
        <v/>
      </c>
      <c r="CL21">
        <f>SUMPRODUCT((M_BOM[RM_Code]=$A21)*M_BOM[RM_Qty_Per_Batch]*IFERROR(INDEX(PP_Grid[#Data],M_BOM[PPGridRow],90),0))</f>
        <v/>
      </c>
      <c r="CM21">
        <f>SUMPRODUCT((M_BOM[RM_Code]=$A21)*M_BOM[RM_Qty_Per_Batch]*IFERROR(INDEX(PP_Grid[#Data],M_BOM[PPGridRow],91),0))</f>
        <v/>
      </c>
      <c r="CN21">
        <f>SUMPRODUCT((M_BOM[RM_Code]=$A21)*M_BOM[RM_Qty_Per_Batch]*IFERROR(INDEX(PP_Grid[#Data],M_BOM[PPGridRow],92),0))</f>
        <v/>
      </c>
      <c r="CO21">
        <f>SUMPRODUCT((M_BOM[RM_Code]=$A21)*M_BOM[RM_Qty_Per_Batch]*IFERROR(INDEX(PP_Grid[#Data],M_BOM[PPGridRow],93),0))</f>
        <v/>
      </c>
      <c r="CP21">
        <f>SUMPRODUCT((M_BOM[RM_Code]=$A21)*M_BOM[RM_Qty_Per_Batch]*IFERROR(INDEX(PP_Grid[#Data],M_BOM[PPGridRow],94),0))</f>
        <v/>
      </c>
      <c r="CQ21">
        <f>SUMPRODUCT((M_BOM[RM_Code]=$A21)*M_BOM[RM_Qty_Per_Batch]*IFERROR(INDEX(PP_Grid[#Data],M_BOM[PPGridRow],95),0))</f>
        <v/>
      </c>
      <c r="CR21">
        <f>SUMPRODUCT((M_BOM[RM_Code]=$A21)*M_BOM[RM_Qty_Per_Batch]*IFERROR(INDEX(PP_Grid[#Data],M_BOM[PPGridRow],96),0))</f>
        <v/>
      </c>
      <c r="CS21">
        <f>SUMPRODUCT((M_BOM[RM_Code]=$A21)*M_BOM[RM_Qty_Per_Batch]*IFERROR(INDEX(PP_Grid[#Data],M_BOM[PPGridRow],97),0))</f>
        <v/>
      </c>
      <c r="CT21">
        <f>SUMPRODUCT((M_BOM[RM_Code]=$A21)*M_BOM[RM_Qty_Per_Batch]*IFERROR(INDEX(PP_Grid[#Data],M_BOM[PPGridRow],98),0))</f>
        <v/>
      </c>
      <c r="CU21">
        <f>SUMPRODUCT((M_BOM[RM_Code]=$A21)*M_BOM[RM_Qty_Per_Batch]*IFERROR(INDEX(PP_Grid[#Data],M_BOM[PPGridRow],99),0))</f>
        <v/>
      </c>
      <c r="CV21">
        <f>SUMPRODUCT((M_BOM[RM_Code]=$A21)*M_BOM[RM_Qty_Per_Batch]*IFERROR(INDEX(PP_Grid[#Data],M_BOM[PPGridRow],100),0))</f>
        <v/>
      </c>
      <c r="CW21">
        <f>SUMPRODUCT((M_BOM[RM_Code]=$A21)*M_BOM[RM_Qty_Per_Batch]*IFERROR(INDEX(PP_Grid[#Data],M_BOM[PPGridRow],101),0))</f>
        <v/>
      </c>
      <c r="CX21">
        <f>SUMPRODUCT((M_BOM[RM_Code]=$A21)*M_BOM[RM_Qty_Per_Batch]*IFERROR(INDEX(PP_Grid[#Data],M_BOM[PPGridRow],102),0))</f>
        <v/>
      </c>
      <c r="CY21">
        <f>SUMPRODUCT((M_BOM[RM_Code]=$A21)*M_BOM[RM_Qty_Per_Batch]*IFERROR(INDEX(PP_Grid[#Data],M_BOM[PPGridRow],103),0))</f>
        <v/>
      </c>
      <c r="CZ21">
        <f>SUMPRODUCT((M_BOM[RM_Code]=$A21)*M_BOM[RM_Qty_Per_Batch]*IFERROR(INDEX(PP_Grid[#Data],M_BOM[PPGridRow],104),0))</f>
        <v/>
      </c>
      <c r="DA21">
        <f>SUMPRODUCT((M_BOM[RM_Code]=$A21)*M_BOM[RM_Qty_Per_Batch]*IFERROR(INDEX(PP_Grid[#Data],M_BOM[PPGridRow],105),0))</f>
        <v/>
      </c>
    </row>
    <row r="22">
      <c r="A22" t="inlineStr">
        <is>
          <t>CHEM-1600</t>
        </is>
      </c>
      <c r="B22">
        <f>SUMPRODUCT((M_BOM[RM_Code]=$A22)*M_BOM[RM_Qty_Per_Batch]*IFERROR(INDEX(PP_Grid[#Data],M_BOM[PPGridRow],2),0))</f>
        <v/>
      </c>
      <c r="C22">
        <f>SUMPRODUCT((M_BOM[RM_Code]=$A22)*M_BOM[RM_Qty_Per_Batch]*IFERROR(INDEX(PP_Grid[#Data],M_BOM[PPGridRow],3),0))</f>
        <v/>
      </c>
      <c r="D22">
        <f>SUMPRODUCT((M_BOM[RM_Code]=$A22)*M_BOM[RM_Qty_Per_Batch]*IFERROR(INDEX(PP_Grid[#Data],M_BOM[PPGridRow],4),0))</f>
        <v/>
      </c>
      <c r="E22">
        <f>SUMPRODUCT((M_BOM[RM_Code]=$A22)*M_BOM[RM_Qty_Per_Batch]*IFERROR(INDEX(PP_Grid[#Data],M_BOM[PPGridRow],5),0))</f>
        <v/>
      </c>
      <c r="F22">
        <f>SUMPRODUCT((M_BOM[RM_Code]=$A22)*M_BOM[RM_Qty_Per_Batch]*IFERROR(INDEX(PP_Grid[#Data],M_BOM[PPGridRow],6),0))</f>
        <v/>
      </c>
      <c r="G22">
        <f>SUMPRODUCT((M_BOM[RM_Code]=$A22)*M_BOM[RM_Qty_Per_Batch]*IFERROR(INDEX(PP_Grid[#Data],M_BOM[PPGridRow],7),0))</f>
        <v/>
      </c>
      <c r="H22">
        <f>SUMPRODUCT((M_BOM[RM_Code]=$A22)*M_BOM[RM_Qty_Per_Batch]*IFERROR(INDEX(PP_Grid[#Data],M_BOM[PPGridRow],8),0))</f>
        <v/>
      </c>
      <c r="I22">
        <f>SUMPRODUCT((M_BOM[RM_Code]=$A22)*M_BOM[RM_Qty_Per_Batch]*IFERROR(INDEX(PP_Grid[#Data],M_BOM[PPGridRow],9),0))</f>
        <v/>
      </c>
      <c r="J22">
        <f>SUMPRODUCT((M_BOM[RM_Code]=$A22)*M_BOM[RM_Qty_Per_Batch]*IFERROR(INDEX(PP_Grid[#Data],M_BOM[PPGridRow],10),0))</f>
        <v/>
      </c>
      <c r="K22">
        <f>SUMPRODUCT((M_BOM[RM_Code]=$A22)*M_BOM[RM_Qty_Per_Batch]*IFERROR(INDEX(PP_Grid[#Data],M_BOM[PPGridRow],11),0))</f>
        <v/>
      </c>
      <c r="L22">
        <f>SUMPRODUCT((M_BOM[RM_Code]=$A22)*M_BOM[RM_Qty_Per_Batch]*IFERROR(INDEX(PP_Grid[#Data],M_BOM[PPGridRow],12),0))</f>
        <v/>
      </c>
      <c r="M22">
        <f>SUMPRODUCT((M_BOM[RM_Code]=$A22)*M_BOM[RM_Qty_Per_Batch]*IFERROR(INDEX(PP_Grid[#Data],M_BOM[PPGridRow],13),0))</f>
        <v/>
      </c>
      <c r="N22">
        <f>SUMPRODUCT((M_BOM[RM_Code]=$A22)*M_BOM[RM_Qty_Per_Batch]*IFERROR(INDEX(PP_Grid[#Data],M_BOM[PPGridRow],14),0))</f>
        <v/>
      </c>
      <c r="O22">
        <f>SUMPRODUCT((M_BOM[RM_Code]=$A22)*M_BOM[RM_Qty_Per_Batch]*IFERROR(INDEX(PP_Grid[#Data],M_BOM[PPGridRow],15),0))</f>
        <v/>
      </c>
      <c r="P22">
        <f>SUMPRODUCT((M_BOM[RM_Code]=$A22)*M_BOM[RM_Qty_Per_Batch]*IFERROR(INDEX(PP_Grid[#Data],M_BOM[PPGridRow],16),0))</f>
        <v/>
      </c>
      <c r="Q22">
        <f>SUMPRODUCT((M_BOM[RM_Code]=$A22)*M_BOM[RM_Qty_Per_Batch]*IFERROR(INDEX(PP_Grid[#Data],M_BOM[PPGridRow],17),0))</f>
        <v/>
      </c>
      <c r="R22">
        <f>SUMPRODUCT((M_BOM[RM_Code]=$A22)*M_BOM[RM_Qty_Per_Batch]*IFERROR(INDEX(PP_Grid[#Data],M_BOM[PPGridRow],18),0))</f>
        <v/>
      </c>
      <c r="S22">
        <f>SUMPRODUCT((M_BOM[RM_Code]=$A22)*M_BOM[RM_Qty_Per_Batch]*IFERROR(INDEX(PP_Grid[#Data],M_BOM[PPGridRow],19),0))</f>
        <v/>
      </c>
      <c r="T22">
        <f>SUMPRODUCT((M_BOM[RM_Code]=$A22)*M_BOM[RM_Qty_Per_Batch]*IFERROR(INDEX(PP_Grid[#Data],M_BOM[PPGridRow],20),0))</f>
        <v/>
      </c>
      <c r="U22">
        <f>SUMPRODUCT((M_BOM[RM_Code]=$A22)*M_BOM[RM_Qty_Per_Batch]*IFERROR(INDEX(PP_Grid[#Data],M_BOM[PPGridRow],21),0))</f>
        <v/>
      </c>
      <c r="V22">
        <f>SUMPRODUCT((M_BOM[RM_Code]=$A22)*M_BOM[RM_Qty_Per_Batch]*IFERROR(INDEX(PP_Grid[#Data],M_BOM[PPGridRow],22),0))</f>
        <v/>
      </c>
      <c r="W22">
        <f>SUMPRODUCT((M_BOM[RM_Code]=$A22)*M_BOM[RM_Qty_Per_Batch]*IFERROR(INDEX(PP_Grid[#Data],M_BOM[PPGridRow],23),0))</f>
        <v/>
      </c>
      <c r="X22">
        <f>SUMPRODUCT((M_BOM[RM_Code]=$A22)*M_BOM[RM_Qty_Per_Batch]*IFERROR(INDEX(PP_Grid[#Data],M_BOM[PPGridRow],24),0))</f>
        <v/>
      </c>
      <c r="Y22">
        <f>SUMPRODUCT((M_BOM[RM_Code]=$A22)*M_BOM[RM_Qty_Per_Batch]*IFERROR(INDEX(PP_Grid[#Data],M_BOM[PPGridRow],25),0))</f>
        <v/>
      </c>
      <c r="Z22">
        <f>SUMPRODUCT((M_BOM[RM_Code]=$A22)*M_BOM[RM_Qty_Per_Batch]*IFERROR(INDEX(PP_Grid[#Data],M_BOM[PPGridRow],26),0))</f>
        <v/>
      </c>
      <c r="AA22">
        <f>SUMPRODUCT((M_BOM[RM_Code]=$A22)*M_BOM[RM_Qty_Per_Batch]*IFERROR(INDEX(PP_Grid[#Data],M_BOM[PPGridRow],27),0))</f>
        <v/>
      </c>
      <c r="AB22">
        <f>SUMPRODUCT((M_BOM[RM_Code]=$A22)*M_BOM[RM_Qty_Per_Batch]*IFERROR(INDEX(PP_Grid[#Data],M_BOM[PPGridRow],28),0))</f>
        <v/>
      </c>
      <c r="AC22">
        <f>SUMPRODUCT((M_BOM[RM_Code]=$A22)*M_BOM[RM_Qty_Per_Batch]*IFERROR(INDEX(PP_Grid[#Data],M_BOM[PPGridRow],29),0))</f>
        <v/>
      </c>
      <c r="AD22">
        <f>SUMPRODUCT((M_BOM[RM_Code]=$A22)*M_BOM[RM_Qty_Per_Batch]*IFERROR(INDEX(PP_Grid[#Data],M_BOM[PPGridRow],30),0))</f>
        <v/>
      </c>
      <c r="AE22">
        <f>SUMPRODUCT((M_BOM[RM_Code]=$A22)*M_BOM[RM_Qty_Per_Batch]*IFERROR(INDEX(PP_Grid[#Data],M_BOM[PPGridRow],31),0))</f>
        <v/>
      </c>
      <c r="AF22">
        <f>SUMPRODUCT((M_BOM[RM_Code]=$A22)*M_BOM[RM_Qty_Per_Batch]*IFERROR(INDEX(PP_Grid[#Data],M_BOM[PPGridRow],32),0))</f>
        <v/>
      </c>
      <c r="AG22">
        <f>SUMPRODUCT((M_BOM[RM_Code]=$A22)*M_BOM[RM_Qty_Per_Batch]*IFERROR(INDEX(PP_Grid[#Data],M_BOM[PPGridRow],33),0))</f>
        <v/>
      </c>
      <c r="AH22">
        <f>SUMPRODUCT((M_BOM[RM_Code]=$A22)*M_BOM[RM_Qty_Per_Batch]*IFERROR(INDEX(PP_Grid[#Data],M_BOM[PPGridRow],34),0))</f>
        <v/>
      </c>
      <c r="AI22">
        <f>SUMPRODUCT((M_BOM[RM_Code]=$A22)*M_BOM[RM_Qty_Per_Batch]*IFERROR(INDEX(PP_Grid[#Data],M_BOM[PPGridRow],35),0))</f>
        <v/>
      </c>
      <c r="AJ22">
        <f>SUMPRODUCT((M_BOM[RM_Code]=$A22)*M_BOM[RM_Qty_Per_Batch]*IFERROR(INDEX(PP_Grid[#Data],M_BOM[PPGridRow],36),0))</f>
        <v/>
      </c>
      <c r="AK22">
        <f>SUMPRODUCT((M_BOM[RM_Code]=$A22)*M_BOM[RM_Qty_Per_Batch]*IFERROR(INDEX(PP_Grid[#Data],M_BOM[PPGridRow],37),0))</f>
        <v/>
      </c>
      <c r="AL22">
        <f>SUMPRODUCT((M_BOM[RM_Code]=$A22)*M_BOM[RM_Qty_Per_Batch]*IFERROR(INDEX(PP_Grid[#Data],M_BOM[PPGridRow],38),0))</f>
        <v/>
      </c>
      <c r="AM22">
        <f>SUMPRODUCT((M_BOM[RM_Code]=$A22)*M_BOM[RM_Qty_Per_Batch]*IFERROR(INDEX(PP_Grid[#Data],M_BOM[PPGridRow],39),0))</f>
        <v/>
      </c>
      <c r="AN22">
        <f>SUMPRODUCT((M_BOM[RM_Code]=$A22)*M_BOM[RM_Qty_Per_Batch]*IFERROR(INDEX(PP_Grid[#Data],M_BOM[PPGridRow],40),0))</f>
        <v/>
      </c>
      <c r="AO22">
        <f>SUMPRODUCT((M_BOM[RM_Code]=$A22)*M_BOM[RM_Qty_Per_Batch]*IFERROR(INDEX(PP_Grid[#Data],M_BOM[PPGridRow],41),0))</f>
        <v/>
      </c>
      <c r="AP22">
        <f>SUMPRODUCT((M_BOM[RM_Code]=$A22)*M_BOM[RM_Qty_Per_Batch]*IFERROR(INDEX(PP_Grid[#Data],M_BOM[PPGridRow],42),0))</f>
        <v/>
      </c>
      <c r="AQ22">
        <f>SUMPRODUCT((M_BOM[RM_Code]=$A22)*M_BOM[RM_Qty_Per_Batch]*IFERROR(INDEX(PP_Grid[#Data],M_BOM[PPGridRow],43),0))</f>
        <v/>
      </c>
      <c r="AR22">
        <f>SUMPRODUCT((M_BOM[RM_Code]=$A22)*M_BOM[RM_Qty_Per_Batch]*IFERROR(INDEX(PP_Grid[#Data],M_BOM[PPGridRow],44),0))</f>
        <v/>
      </c>
      <c r="AS22">
        <f>SUMPRODUCT((M_BOM[RM_Code]=$A22)*M_BOM[RM_Qty_Per_Batch]*IFERROR(INDEX(PP_Grid[#Data],M_BOM[PPGridRow],45),0))</f>
        <v/>
      </c>
      <c r="AT22">
        <f>SUMPRODUCT((M_BOM[RM_Code]=$A22)*M_BOM[RM_Qty_Per_Batch]*IFERROR(INDEX(PP_Grid[#Data],M_BOM[PPGridRow],46),0))</f>
        <v/>
      </c>
      <c r="AU22">
        <f>SUMPRODUCT((M_BOM[RM_Code]=$A22)*M_BOM[RM_Qty_Per_Batch]*IFERROR(INDEX(PP_Grid[#Data],M_BOM[PPGridRow],47),0))</f>
        <v/>
      </c>
      <c r="AV22">
        <f>SUMPRODUCT((M_BOM[RM_Code]=$A22)*M_BOM[RM_Qty_Per_Batch]*IFERROR(INDEX(PP_Grid[#Data],M_BOM[PPGridRow],48),0))</f>
        <v/>
      </c>
      <c r="AW22">
        <f>SUMPRODUCT((M_BOM[RM_Code]=$A22)*M_BOM[RM_Qty_Per_Batch]*IFERROR(INDEX(PP_Grid[#Data],M_BOM[PPGridRow],49),0))</f>
        <v/>
      </c>
      <c r="AX22">
        <f>SUMPRODUCT((M_BOM[RM_Code]=$A22)*M_BOM[RM_Qty_Per_Batch]*IFERROR(INDEX(PP_Grid[#Data],M_BOM[PPGridRow],50),0))</f>
        <v/>
      </c>
      <c r="AY22">
        <f>SUMPRODUCT((M_BOM[RM_Code]=$A22)*M_BOM[RM_Qty_Per_Batch]*IFERROR(INDEX(PP_Grid[#Data],M_BOM[PPGridRow],51),0))</f>
        <v/>
      </c>
      <c r="AZ22">
        <f>SUMPRODUCT((M_BOM[RM_Code]=$A22)*M_BOM[RM_Qty_Per_Batch]*IFERROR(INDEX(PP_Grid[#Data],M_BOM[PPGridRow],52),0))</f>
        <v/>
      </c>
      <c r="BA22">
        <f>SUMPRODUCT((M_BOM[RM_Code]=$A22)*M_BOM[RM_Qty_Per_Batch]*IFERROR(INDEX(PP_Grid[#Data],M_BOM[PPGridRow],53),0))</f>
        <v/>
      </c>
      <c r="BB22">
        <f>SUMPRODUCT((M_BOM[RM_Code]=$A22)*M_BOM[RM_Qty_Per_Batch]*IFERROR(INDEX(PP_Grid[#Data],M_BOM[PPGridRow],54),0))</f>
        <v/>
      </c>
      <c r="BC22">
        <f>SUMPRODUCT((M_BOM[RM_Code]=$A22)*M_BOM[RM_Qty_Per_Batch]*IFERROR(INDEX(PP_Grid[#Data],M_BOM[PPGridRow],55),0))</f>
        <v/>
      </c>
      <c r="BD22">
        <f>SUMPRODUCT((M_BOM[RM_Code]=$A22)*M_BOM[RM_Qty_Per_Batch]*IFERROR(INDEX(PP_Grid[#Data],M_BOM[PPGridRow],56),0))</f>
        <v/>
      </c>
      <c r="BE22">
        <f>SUMPRODUCT((M_BOM[RM_Code]=$A22)*M_BOM[RM_Qty_Per_Batch]*IFERROR(INDEX(PP_Grid[#Data],M_BOM[PPGridRow],57),0))</f>
        <v/>
      </c>
      <c r="BF22">
        <f>SUMPRODUCT((M_BOM[RM_Code]=$A22)*M_BOM[RM_Qty_Per_Batch]*IFERROR(INDEX(PP_Grid[#Data],M_BOM[PPGridRow],58),0))</f>
        <v/>
      </c>
      <c r="BG22">
        <f>SUMPRODUCT((M_BOM[RM_Code]=$A22)*M_BOM[RM_Qty_Per_Batch]*IFERROR(INDEX(PP_Grid[#Data],M_BOM[PPGridRow],59),0))</f>
        <v/>
      </c>
      <c r="BH22">
        <f>SUMPRODUCT((M_BOM[RM_Code]=$A22)*M_BOM[RM_Qty_Per_Batch]*IFERROR(INDEX(PP_Grid[#Data],M_BOM[PPGridRow],60),0))</f>
        <v/>
      </c>
      <c r="BI22">
        <f>SUMPRODUCT((M_BOM[RM_Code]=$A22)*M_BOM[RM_Qty_Per_Batch]*IFERROR(INDEX(PP_Grid[#Data],M_BOM[PPGridRow],61),0))</f>
        <v/>
      </c>
      <c r="BJ22">
        <f>SUMPRODUCT((M_BOM[RM_Code]=$A22)*M_BOM[RM_Qty_Per_Batch]*IFERROR(INDEX(PP_Grid[#Data],M_BOM[PPGridRow],62),0))</f>
        <v/>
      </c>
      <c r="BK22">
        <f>SUMPRODUCT((M_BOM[RM_Code]=$A22)*M_BOM[RM_Qty_Per_Batch]*IFERROR(INDEX(PP_Grid[#Data],M_BOM[PPGridRow],63),0))</f>
        <v/>
      </c>
      <c r="BL22">
        <f>SUMPRODUCT((M_BOM[RM_Code]=$A22)*M_BOM[RM_Qty_Per_Batch]*IFERROR(INDEX(PP_Grid[#Data],M_BOM[PPGridRow],64),0))</f>
        <v/>
      </c>
      <c r="BM22">
        <f>SUMPRODUCT((M_BOM[RM_Code]=$A22)*M_BOM[RM_Qty_Per_Batch]*IFERROR(INDEX(PP_Grid[#Data],M_BOM[PPGridRow],65),0))</f>
        <v/>
      </c>
      <c r="BN22">
        <f>SUMPRODUCT((M_BOM[RM_Code]=$A22)*M_BOM[RM_Qty_Per_Batch]*IFERROR(INDEX(PP_Grid[#Data],M_BOM[PPGridRow],66),0))</f>
        <v/>
      </c>
      <c r="BO22">
        <f>SUMPRODUCT((M_BOM[RM_Code]=$A22)*M_BOM[RM_Qty_Per_Batch]*IFERROR(INDEX(PP_Grid[#Data],M_BOM[PPGridRow],67),0))</f>
        <v/>
      </c>
      <c r="BP22">
        <f>SUMPRODUCT((M_BOM[RM_Code]=$A22)*M_BOM[RM_Qty_Per_Batch]*IFERROR(INDEX(PP_Grid[#Data],M_BOM[PPGridRow],68),0))</f>
        <v/>
      </c>
      <c r="BQ22">
        <f>SUMPRODUCT((M_BOM[RM_Code]=$A22)*M_BOM[RM_Qty_Per_Batch]*IFERROR(INDEX(PP_Grid[#Data],M_BOM[PPGridRow],69),0))</f>
        <v/>
      </c>
      <c r="BR22">
        <f>SUMPRODUCT((M_BOM[RM_Code]=$A22)*M_BOM[RM_Qty_Per_Batch]*IFERROR(INDEX(PP_Grid[#Data],M_BOM[PPGridRow],70),0))</f>
        <v/>
      </c>
      <c r="BS22">
        <f>SUMPRODUCT((M_BOM[RM_Code]=$A22)*M_BOM[RM_Qty_Per_Batch]*IFERROR(INDEX(PP_Grid[#Data],M_BOM[PPGridRow],71),0))</f>
        <v/>
      </c>
      <c r="BT22">
        <f>SUMPRODUCT((M_BOM[RM_Code]=$A22)*M_BOM[RM_Qty_Per_Batch]*IFERROR(INDEX(PP_Grid[#Data],M_BOM[PPGridRow],72),0))</f>
        <v/>
      </c>
      <c r="BU22">
        <f>SUMPRODUCT((M_BOM[RM_Code]=$A22)*M_BOM[RM_Qty_Per_Batch]*IFERROR(INDEX(PP_Grid[#Data],M_BOM[PPGridRow],73),0))</f>
        <v/>
      </c>
      <c r="BV22">
        <f>SUMPRODUCT((M_BOM[RM_Code]=$A22)*M_BOM[RM_Qty_Per_Batch]*IFERROR(INDEX(PP_Grid[#Data],M_BOM[PPGridRow],74),0))</f>
        <v/>
      </c>
      <c r="BW22">
        <f>SUMPRODUCT((M_BOM[RM_Code]=$A22)*M_BOM[RM_Qty_Per_Batch]*IFERROR(INDEX(PP_Grid[#Data],M_BOM[PPGridRow],75),0))</f>
        <v/>
      </c>
      <c r="BX22">
        <f>SUMPRODUCT((M_BOM[RM_Code]=$A22)*M_BOM[RM_Qty_Per_Batch]*IFERROR(INDEX(PP_Grid[#Data],M_BOM[PPGridRow],76),0))</f>
        <v/>
      </c>
      <c r="BY22">
        <f>SUMPRODUCT((M_BOM[RM_Code]=$A22)*M_BOM[RM_Qty_Per_Batch]*IFERROR(INDEX(PP_Grid[#Data],M_BOM[PPGridRow],77),0))</f>
        <v/>
      </c>
      <c r="BZ22">
        <f>SUMPRODUCT((M_BOM[RM_Code]=$A22)*M_BOM[RM_Qty_Per_Batch]*IFERROR(INDEX(PP_Grid[#Data],M_BOM[PPGridRow],78),0))</f>
        <v/>
      </c>
      <c r="CA22">
        <f>SUMPRODUCT((M_BOM[RM_Code]=$A22)*M_BOM[RM_Qty_Per_Batch]*IFERROR(INDEX(PP_Grid[#Data],M_BOM[PPGridRow],79),0))</f>
        <v/>
      </c>
      <c r="CB22">
        <f>SUMPRODUCT((M_BOM[RM_Code]=$A22)*M_BOM[RM_Qty_Per_Batch]*IFERROR(INDEX(PP_Grid[#Data],M_BOM[PPGridRow],80),0))</f>
        <v/>
      </c>
      <c r="CC22">
        <f>SUMPRODUCT((M_BOM[RM_Code]=$A22)*M_BOM[RM_Qty_Per_Batch]*IFERROR(INDEX(PP_Grid[#Data],M_BOM[PPGridRow],81),0))</f>
        <v/>
      </c>
      <c r="CD22">
        <f>SUMPRODUCT((M_BOM[RM_Code]=$A22)*M_BOM[RM_Qty_Per_Batch]*IFERROR(INDEX(PP_Grid[#Data],M_BOM[PPGridRow],82),0))</f>
        <v/>
      </c>
      <c r="CE22">
        <f>SUMPRODUCT((M_BOM[RM_Code]=$A22)*M_BOM[RM_Qty_Per_Batch]*IFERROR(INDEX(PP_Grid[#Data],M_BOM[PPGridRow],83),0))</f>
        <v/>
      </c>
      <c r="CF22">
        <f>SUMPRODUCT((M_BOM[RM_Code]=$A22)*M_BOM[RM_Qty_Per_Batch]*IFERROR(INDEX(PP_Grid[#Data],M_BOM[PPGridRow],84),0))</f>
        <v/>
      </c>
      <c r="CG22">
        <f>SUMPRODUCT((M_BOM[RM_Code]=$A22)*M_BOM[RM_Qty_Per_Batch]*IFERROR(INDEX(PP_Grid[#Data],M_BOM[PPGridRow],85),0))</f>
        <v/>
      </c>
      <c r="CH22">
        <f>SUMPRODUCT((M_BOM[RM_Code]=$A22)*M_BOM[RM_Qty_Per_Batch]*IFERROR(INDEX(PP_Grid[#Data],M_BOM[PPGridRow],86),0))</f>
        <v/>
      </c>
      <c r="CI22">
        <f>SUMPRODUCT((M_BOM[RM_Code]=$A22)*M_BOM[RM_Qty_Per_Batch]*IFERROR(INDEX(PP_Grid[#Data],M_BOM[PPGridRow],87),0))</f>
        <v/>
      </c>
      <c r="CJ22">
        <f>SUMPRODUCT((M_BOM[RM_Code]=$A22)*M_BOM[RM_Qty_Per_Batch]*IFERROR(INDEX(PP_Grid[#Data],M_BOM[PPGridRow],88),0))</f>
        <v/>
      </c>
      <c r="CK22">
        <f>SUMPRODUCT((M_BOM[RM_Code]=$A22)*M_BOM[RM_Qty_Per_Batch]*IFERROR(INDEX(PP_Grid[#Data],M_BOM[PPGridRow],89),0))</f>
        <v/>
      </c>
      <c r="CL22">
        <f>SUMPRODUCT((M_BOM[RM_Code]=$A22)*M_BOM[RM_Qty_Per_Batch]*IFERROR(INDEX(PP_Grid[#Data],M_BOM[PPGridRow],90),0))</f>
        <v/>
      </c>
      <c r="CM22">
        <f>SUMPRODUCT((M_BOM[RM_Code]=$A22)*M_BOM[RM_Qty_Per_Batch]*IFERROR(INDEX(PP_Grid[#Data],M_BOM[PPGridRow],91),0))</f>
        <v/>
      </c>
      <c r="CN22">
        <f>SUMPRODUCT((M_BOM[RM_Code]=$A22)*M_BOM[RM_Qty_Per_Batch]*IFERROR(INDEX(PP_Grid[#Data],M_BOM[PPGridRow],92),0))</f>
        <v/>
      </c>
      <c r="CO22">
        <f>SUMPRODUCT((M_BOM[RM_Code]=$A22)*M_BOM[RM_Qty_Per_Batch]*IFERROR(INDEX(PP_Grid[#Data],M_BOM[PPGridRow],93),0))</f>
        <v/>
      </c>
      <c r="CP22">
        <f>SUMPRODUCT((M_BOM[RM_Code]=$A22)*M_BOM[RM_Qty_Per_Batch]*IFERROR(INDEX(PP_Grid[#Data],M_BOM[PPGridRow],94),0))</f>
        <v/>
      </c>
      <c r="CQ22">
        <f>SUMPRODUCT((M_BOM[RM_Code]=$A22)*M_BOM[RM_Qty_Per_Batch]*IFERROR(INDEX(PP_Grid[#Data],M_BOM[PPGridRow],95),0))</f>
        <v/>
      </c>
      <c r="CR22">
        <f>SUMPRODUCT((M_BOM[RM_Code]=$A22)*M_BOM[RM_Qty_Per_Batch]*IFERROR(INDEX(PP_Grid[#Data],M_BOM[PPGridRow],96),0))</f>
        <v/>
      </c>
      <c r="CS22">
        <f>SUMPRODUCT((M_BOM[RM_Code]=$A22)*M_BOM[RM_Qty_Per_Batch]*IFERROR(INDEX(PP_Grid[#Data],M_BOM[PPGridRow],97),0))</f>
        <v/>
      </c>
      <c r="CT22">
        <f>SUMPRODUCT((M_BOM[RM_Code]=$A22)*M_BOM[RM_Qty_Per_Batch]*IFERROR(INDEX(PP_Grid[#Data],M_BOM[PPGridRow],98),0))</f>
        <v/>
      </c>
      <c r="CU22">
        <f>SUMPRODUCT((M_BOM[RM_Code]=$A22)*M_BOM[RM_Qty_Per_Batch]*IFERROR(INDEX(PP_Grid[#Data],M_BOM[PPGridRow],99),0))</f>
        <v/>
      </c>
      <c r="CV22">
        <f>SUMPRODUCT((M_BOM[RM_Code]=$A22)*M_BOM[RM_Qty_Per_Batch]*IFERROR(INDEX(PP_Grid[#Data],M_BOM[PPGridRow],100),0))</f>
        <v/>
      </c>
      <c r="CW22">
        <f>SUMPRODUCT((M_BOM[RM_Code]=$A22)*M_BOM[RM_Qty_Per_Batch]*IFERROR(INDEX(PP_Grid[#Data],M_BOM[PPGridRow],101),0))</f>
        <v/>
      </c>
      <c r="CX22">
        <f>SUMPRODUCT((M_BOM[RM_Code]=$A22)*M_BOM[RM_Qty_Per_Batch]*IFERROR(INDEX(PP_Grid[#Data],M_BOM[PPGridRow],102),0))</f>
        <v/>
      </c>
      <c r="CY22">
        <f>SUMPRODUCT((M_BOM[RM_Code]=$A22)*M_BOM[RM_Qty_Per_Batch]*IFERROR(INDEX(PP_Grid[#Data],M_BOM[PPGridRow],103),0))</f>
        <v/>
      </c>
      <c r="CZ22">
        <f>SUMPRODUCT((M_BOM[RM_Code]=$A22)*M_BOM[RM_Qty_Per_Batch]*IFERROR(INDEX(PP_Grid[#Data],M_BOM[PPGridRow],104),0))</f>
        <v/>
      </c>
      <c r="DA22">
        <f>SUMPRODUCT((M_BOM[RM_Code]=$A22)*M_BOM[RM_Qty_Per_Batch]*IFERROR(INDEX(PP_Grid[#Data],M_BOM[PPGridRow],105),0))</f>
        <v/>
      </c>
    </row>
    <row r="23">
      <c r="A23" t="inlineStr">
        <is>
          <t>CHEM-1280</t>
        </is>
      </c>
      <c r="B23">
        <f>SUMPRODUCT((M_BOM[RM_Code]=$A23)*M_BOM[RM_Qty_Per_Batch]*IFERROR(INDEX(PP_Grid[#Data],M_BOM[PPGridRow],2),0))</f>
        <v/>
      </c>
      <c r="C23">
        <f>SUMPRODUCT((M_BOM[RM_Code]=$A23)*M_BOM[RM_Qty_Per_Batch]*IFERROR(INDEX(PP_Grid[#Data],M_BOM[PPGridRow],3),0))</f>
        <v/>
      </c>
      <c r="D23">
        <f>SUMPRODUCT((M_BOM[RM_Code]=$A23)*M_BOM[RM_Qty_Per_Batch]*IFERROR(INDEX(PP_Grid[#Data],M_BOM[PPGridRow],4),0))</f>
        <v/>
      </c>
      <c r="E23">
        <f>SUMPRODUCT((M_BOM[RM_Code]=$A23)*M_BOM[RM_Qty_Per_Batch]*IFERROR(INDEX(PP_Grid[#Data],M_BOM[PPGridRow],5),0))</f>
        <v/>
      </c>
      <c r="F23">
        <f>SUMPRODUCT((M_BOM[RM_Code]=$A23)*M_BOM[RM_Qty_Per_Batch]*IFERROR(INDEX(PP_Grid[#Data],M_BOM[PPGridRow],6),0))</f>
        <v/>
      </c>
      <c r="G23">
        <f>SUMPRODUCT((M_BOM[RM_Code]=$A23)*M_BOM[RM_Qty_Per_Batch]*IFERROR(INDEX(PP_Grid[#Data],M_BOM[PPGridRow],7),0))</f>
        <v/>
      </c>
      <c r="H23">
        <f>SUMPRODUCT((M_BOM[RM_Code]=$A23)*M_BOM[RM_Qty_Per_Batch]*IFERROR(INDEX(PP_Grid[#Data],M_BOM[PPGridRow],8),0))</f>
        <v/>
      </c>
      <c r="I23">
        <f>SUMPRODUCT((M_BOM[RM_Code]=$A23)*M_BOM[RM_Qty_Per_Batch]*IFERROR(INDEX(PP_Grid[#Data],M_BOM[PPGridRow],9),0))</f>
        <v/>
      </c>
      <c r="J23">
        <f>SUMPRODUCT((M_BOM[RM_Code]=$A23)*M_BOM[RM_Qty_Per_Batch]*IFERROR(INDEX(PP_Grid[#Data],M_BOM[PPGridRow],10),0))</f>
        <v/>
      </c>
      <c r="K23">
        <f>SUMPRODUCT((M_BOM[RM_Code]=$A23)*M_BOM[RM_Qty_Per_Batch]*IFERROR(INDEX(PP_Grid[#Data],M_BOM[PPGridRow],11),0))</f>
        <v/>
      </c>
      <c r="L23">
        <f>SUMPRODUCT((M_BOM[RM_Code]=$A23)*M_BOM[RM_Qty_Per_Batch]*IFERROR(INDEX(PP_Grid[#Data],M_BOM[PPGridRow],12),0))</f>
        <v/>
      </c>
      <c r="M23">
        <f>SUMPRODUCT((M_BOM[RM_Code]=$A23)*M_BOM[RM_Qty_Per_Batch]*IFERROR(INDEX(PP_Grid[#Data],M_BOM[PPGridRow],13),0))</f>
        <v/>
      </c>
      <c r="N23">
        <f>SUMPRODUCT((M_BOM[RM_Code]=$A23)*M_BOM[RM_Qty_Per_Batch]*IFERROR(INDEX(PP_Grid[#Data],M_BOM[PPGridRow],14),0))</f>
        <v/>
      </c>
      <c r="O23">
        <f>SUMPRODUCT((M_BOM[RM_Code]=$A23)*M_BOM[RM_Qty_Per_Batch]*IFERROR(INDEX(PP_Grid[#Data],M_BOM[PPGridRow],15),0))</f>
        <v/>
      </c>
      <c r="P23">
        <f>SUMPRODUCT((M_BOM[RM_Code]=$A23)*M_BOM[RM_Qty_Per_Batch]*IFERROR(INDEX(PP_Grid[#Data],M_BOM[PPGridRow],16),0))</f>
        <v/>
      </c>
      <c r="Q23">
        <f>SUMPRODUCT((M_BOM[RM_Code]=$A23)*M_BOM[RM_Qty_Per_Batch]*IFERROR(INDEX(PP_Grid[#Data],M_BOM[PPGridRow],17),0))</f>
        <v/>
      </c>
      <c r="R23">
        <f>SUMPRODUCT((M_BOM[RM_Code]=$A23)*M_BOM[RM_Qty_Per_Batch]*IFERROR(INDEX(PP_Grid[#Data],M_BOM[PPGridRow],18),0))</f>
        <v/>
      </c>
      <c r="S23">
        <f>SUMPRODUCT((M_BOM[RM_Code]=$A23)*M_BOM[RM_Qty_Per_Batch]*IFERROR(INDEX(PP_Grid[#Data],M_BOM[PPGridRow],19),0))</f>
        <v/>
      </c>
      <c r="T23">
        <f>SUMPRODUCT((M_BOM[RM_Code]=$A23)*M_BOM[RM_Qty_Per_Batch]*IFERROR(INDEX(PP_Grid[#Data],M_BOM[PPGridRow],20),0))</f>
        <v/>
      </c>
      <c r="U23">
        <f>SUMPRODUCT((M_BOM[RM_Code]=$A23)*M_BOM[RM_Qty_Per_Batch]*IFERROR(INDEX(PP_Grid[#Data],M_BOM[PPGridRow],21),0))</f>
        <v/>
      </c>
      <c r="V23">
        <f>SUMPRODUCT((M_BOM[RM_Code]=$A23)*M_BOM[RM_Qty_Per_Batch]*IFERROR(INDEX(PP_Grid[#Data],M_BOM[PPGridRow],22),0))</f>
        <v/>
      </c>
      <c r="W23">
        <f>SUMPRODUCT((M_BOM[RM_Code]=$A23)*M_BOM[RM_Qty_Per_Batch]*IFERROR(INDEX(PP_Grid[#Data],M_BOM[PPGridRow],23),0))</f>
        <v/>
      </c>
      <c r="X23">
        <f>SUMPRODUCT((M_BOM[RM_Code]=$A23)*M_BOM[RM_Qty_Per_Batch]*IFERROR(INDEX(PP_Grid[#Data],M_BOM[PPGridRow],24),0))</f>
        <v/>
      </c>
      <c r="Y23">
        <f>SUMPRODUCT((M_BOM[RM_Code]=$A23)*M_BOM[RM_Qty_Per_Batch]*IFERROR(INDEX(PP_Grid[#Data],M_BOM[PPGridRow],25),0))</f>
        <v/>
      </c>
      <c r="Z23">
        <f>SUMPRODUCT((M_BOM[RM_Code]=$A23)*M_BOM[RM_Qty_Per_Batch]*IFERROR(INDEX(PP_Grid[#Data],M_BOM[PPGridRow],26),0))</f>
        <v/>
      </c>
      <c r="AA23">
        <f>SUMPRODUCT((M_BOM[RM_Code]=$A23)*M_BOM[RM_Qty_Per_Batch]*IFERROR(INDEX(PP_Grid[#Data],M_BOM[PPGridRow],27),0))</f>
        <v/>
      </c>
      <c r="AB23">
        <f>SUMPRODUCT((M_BOM[RM_Code]=$A23)*M_BOM[RM_Qty_Per_Batch]*IFERROR(INDEX(PP_Grid[#Data],M_BOM[PPGridRow],28),0))</f>
        <v/>
      </c>
      <c r="AC23">
        <f>SUMPRODUCT((M_BOM[RM_Code]=$A23)*M_BOM[RM_Qty_Per_Batch]*IFERROR(INDEX(PP_Grid[#Data],M_BOM[PPGridRow],29),0))</f>
        <v/>
      </c>
      <c r="AD23">
        <f>SUMPRODUCT((M_BOM[RM_Code]=$A23)*M_BOM[RM_Qty_Per_Batch]*IFERROR(INDEX(PP_Grid[#Data],M_BOM[PPGridRow],30),0))</f>
        <v/>
      </c>
      <c r="AE23">
        <f>SUMPRODUCT((M_BOM[RM_Code]=$A23)*M_BOM[RM_Qty_Per_Batch]*IFERROR(INDEX(PP_Grid[#Data],M_BOM[PPGridRow],31),0))</f>
        <v/>
      </c>
      <c r="AF23">
        <f>SUMPRODUCT((M_BOM[RM_Code]=$A23)*M_BOM[RM_Qty_Per_Batch]*IFERROR(INDEX(PP_Grid[#Data],M_BOM[PPGridRow],32),0))</f>
        <v/>
      </c>
      <c r="AG23">
        <f>SUMPRODUCT((M_BOM[RM_Code]=$A23)*M_BOM[RM_Qty_Per_Batch]*IFERROR(INDEX(PP_Grid[#Data],M_BOM[PPGridRow],33),0))</f>
        <v/>
      </c>
      <c r="AH23">
        <f>SUMPRODUCT((M_BOM[RM_Code]=$A23)*M_BOM[RM_Qty_Per_Batch]*IFERROR(INDEX(PP_Grid[#Data],M_BOM[PPGridRow],34),0))</f>
        <v/>
      </c>
      <c r="AI23">
        <f>SUMPRODUCT((M_BOM[RM_Code]=$A23)*M_BOM[RM_Qty_Per_Batch]*IFERROR(INDEX(PP_Grid[#Data],M_BOM[PPGridRow],35),0))</f>
        <v/>
      </c>
      <c r="AJ23">
        <f>SUMPRODUCT((M_BOM[RM_Code]=$A23)*M_BOM[RM_Qty_Per_Batch]*IFERROR(INDEX(PP_Grid[#Data],M_BOM[PPGridRow],36),0))</f>
        <v/>
      </c>
      <c r="AK23">
        <f>SUMPRODUCT((M_BOM[RM_Code]=$A23)*M_BOM[RM_Qty_Per_Batch]*IFERROR(INDEX(PP_Grid[#Data],M_BOM[PPGridRow],37),0))</f>
        <v/>
      </c>
      <c r="AL23">
        <f>SUMPRODUCT((M_BOM[RM_Code]=$A23)*M_BOM[RM_Qty_Per_Batch]*IFERROR(INDEX(PP_Grid[#Data],M_BOM[PPGridRow],38),0))</f>
        <v/>
      </c>
      <c r="AM23">
        <f>SUMPRODUCT((M_BOM[RM_Code]=$A23)*M_BOM[RM_Qty_Per_Batch]*IFERROR(INDEX(PP_Grid[#Data],M_BOM[PPGridRow],39),0))</f>
        <v/>
      </c>
      <c r="AN23">
        <f>SUMPRODUCT((M_BOM[RM_Code]=$A23)*M_BOM[RM_Qty_Per_Batch]*IFERROR(INDEX(PP_Grid[#Data],M_BOM[PPGridRow],40),0))</f>
        <v/>
      </c>
      <c r="AO23">
        <f>SUMPRODUCT((M_BOM[RM_Code]=$A23)*M_BOM[RM_Qty_Per_Batch]*IFERROR(INDEX(PP_Grid[#Data],M_BOM[PPGridRow],41),0))</f>
        <v/>
      </c>
      <c r="AP23">
        <f>SUMPRODUCT((M_BOM[RM_Code]=$A23)*M_BOM[RM_Qty_Per_Batch]*IFERROR(INDEX(PP_Grid[#Data],M_BOM[PPGridRow],42),0))</f>
        <v/>
      </c>
      <c r="AQ23">
        <f>SUMPRODUCT((M_BOM[RM_Code]=$A23)*M_BOM[RM_Qty_Per_Batch]*IFERROR(INDEX(PP_Grid[#Data],M_BOM[PPGridRow],43),0))</f>
        <v/>
      </c>
      <c r="AR23">
        <f>SUMPRODUCT((M_BOM[RM_Code]=$A23)*M_BOM[RM_Qty_Per_Batch]*IFERROR(INDEX(PP_Grid[#Data],M_BOM[PPGridRow],44),0))</f>
        <v/>
      </c>
      <c r="AS23">
        <f>SUMPRODUCT((M_BOM[RM_Code]=$A23)*M_BOM[RM_Qty_Per_Batch]*IFERROR(INDEX(PP_Grid[#Data],M_BOM[PPGridRow],45),0))</f>
        <v/>
      </c>
      <c r="AT23">
        <f>SUMPRODUCT((M_BOM[RM_Code]=$A23)*M_BOM[RM_Qty_Per_Batch]*IFERROR(INDEX(PP_Grid[#Data],M_BOM[PPGridRow],46),0))</f>
        <v/>
      </c>
      <c r="AU23">
        <f>SUMPRODUCT((M_BOM[RM_Code]=$A23)*M_BOM[RM_Qty_Per_Batch]*IFERROR(INDEX(PP_Grid[#Data],M_BOM[PPGridRow],47),0))</f>
        <v/>
      </c>
      <c r="AV23">
        <f>SUMPRODUCT((M_BOM[RM_Code]=$A23)*M_BOM[RM_Qty_Per_Batch]*IFERROR(INDEX(PP_Grid[#Data],M_BOM[PPGridRow],48),0))</f>
        <v/>
      </c>
      <c r="AW23">
        <f>SUMPRODUCT((M_BOM[RM_Code]=$A23)*M_BOM[RM_Qty_Per_Batch]*IFERROR(INDEX(PP_Grid[#Data],M_BOM[PPGridRow],49),0))</f>
        <v/>
      </c>
      <c r="AX23">
        <f>SUMPRODUCT((M_BOM[RM_Code]=$A23)*M_BOM[RM_Qty_Per_Batch]*IFERROR(INDEX(PP_Grid[#Data],M_BOM[PPGridRow],50),0))</f>
        <v/>
      </c>
      <c r="AY23">
        <f>SUMPRODUCT((M_BOM[RM_Code]=$A23)*M_BOM[RM_Qty_Per_Batch]*IFERROR(INDEX(PP_Grid[#Data],M_BOM[PPGridRow],51),0))</f>
        <v/>
      </c>
      <c r="AZ23">
        <f>SUMPRODUCT((M_BOM[RM_Code]=$A23)*M_BOM[RM_Qty_Per_Batch]*IFERROR(INDEX(PP_Grid[#Data],M_BOM[PPGridRow],52),0))</f>
        <v/>
      </c>
      <c r="BA23">
        <f>SUMPRODUCT((M_BOM[RM_Code]=$A23)*M_BOM[RM_Qty_Per_Batch]*IFERROR(INDEX(PP_Grid[#Data],M_BOM[PPGridRow],53),0))</f>
        <v/>
      </c>
      <c r="BB23">
        <f>SUMPRODUCT((M_BOM[RM_Code]=$A23)*M_BOM[RM_Qty_Per_Batch]*IFERROR(INDEX(PP_Grid[#Data],M_BOM[PPGridRow],54),0))</f>
        <v/>
      </c>
      <c r="BC23">
        <f>SUMPRODUCT((M_BOM[RM_Code]=$A23)*M_BOM[RM_Qty_Per_Batch]*IFERROR(INDEX(PP_Grid[#Data],M_BOM[PPGridRow],55),0))</f>
        <v/>
      </c>
      <c r="BD23">
        <f>SUMPRODUCT((M_BOM[RM_Code]=$A23)*M_BOM[RM_Qty_Per_Batch]*IFERROR(INDEX(PP_Grid[#Data],M_BOM[PPGridRow],56),0))</f>
        <v/>
      </c>
      <c r="BE23">
        <f>SUMPRODUCT((M_BOM[RM_Code]=$A23)*M_BOM[RM_Qty_Per_Batch]*IFERROR(INDEX(PP_Grid[#Data],M_BOM[PPGridRow],57),0))</f>
        <v/>
      </c>
      <c r="BF23">
        <f>SUMPRODUCT((M_BOM[RM_Code]=$A23)*M_BOM[RM_Qty_Per_Batch]*IFERROR(INDEX(PP_Grid[#Data],M_BOM[PPGridRow],58),0))</f>
        <v/>
      </c>
      <c r="BG23">
        <f>SUMPRODUCT((M_BOM[RM_Code]=$A23)*M_BOM[RM_Qty_Per_Batch]*IFERROR(INDEX(PP_Grid[#Data],M_BOM[PPGridRow],59),0))</f>
        <v/>
      </c>
      <c r="BH23">
        <f>SUMPRODUCT((M_BOM[RM_Code]=$A23)*M_BOM[RM_Qty_Per_Batch]*IFERROR(INDEX(PP_Grid[#Data],M_BOM[PPGridRow],60),0))</f>
        <v/>
      </c>
      <c r="BI23">
        <f>SUMPRODUCT((M_BOM[RM_Code]=$A23)*M_BOM[RM_Qty_Per_Batch]*IFERROR(INDEX(PP_Grid[#Data],M_BOM[PPGridRow],61),0))</f>
        <v/>
      </c>
      <c r="BJ23">
        <f>SUMPRODUCT((M_BOM[RM_Code]=$A23)*M_BOM[RM_Qty_Per_Batch]*IFERROR(INDEX(PP_Grid[#Data],M_BOM[PPGridRow],62),0))</f>
        <v/>
      </c>
      <c r="BK23">
        <f>SUMPRODUCT((M_BOM[RM_Code]=$A23)*M_BOM[RM_Qty_Per_Batch]*IFERROR(INDEX(PP_Grid[#Data],M_BOM[PPGridRow],63),0))</f>
        <v/>
      </c>
      <c r="BL23">
        <f>SUMPRODUCT((M_BOM[RM_Code]=$A23)*M_BOM[RM_Qty_Per_Batch]*IFERROR(INDEX(PP_Grid[#Data],M_BOM[PPGridRow],64),0))</f>
        <v/>
      </c>
      <c r="BM23">
        <f>SUMPRODUCT((M_BOM[RM_Code]=$A23)*M_BOM[RM_Qty_Per_Batch]*IFERROR(INDEX(PP_Grid[#Data],M_BOM[PPGridRow],65),0))</f>
        <v/>
      </c>
      <c r="BN23">
        <f>SUMPRODUCT((M_BOM[RM_Code]=$A23)*M_BOM[RM_Qty_Per_Batch]*IFERROR(INDEX(PP_Grid[#Data],M_BOM[PPGridRow],66),0))</f>
        <v/>
      </c>
      <c r="BO23">
        <f>SUMPRODUCT((M_BOM[RM_Code]=$A23)*M_BOM[RM_Qty_Per_Batch]*IFERROR(INDEX(PP_Grid[#Data],M_BOM[PPGridRow],67),0))</f>
        <v/>
      </c>
      <c r="BP23">
        <f>SUMPRODUCT((M_BOM[RM_Code]=$A23)*M_BOM[RM_Qty_Per_Batch]*IFERROR(INDEX(PP_Grid[#Data],M_BOM[PPGridRow],68),0))</f>
        <v/>
      </c>
      <c r="BQ23">
        <f>SUMPRODUCT((M_BOM[RM_Code]=$A23)*M_BOM[RM_Qty_Per_Batch]*IFERROR(INDEX(PP_Grid[#Data],M_BOM[PPGridRow],69),0))</f>
        <v/>
      </c>
      <c r="BR23">
        <f>SUMPRODUCT((M_BOM[RM_Code]=$A23)*M_BOM[RM_Qty_Per_Batch]*IFERROR(INDEX(PP_Grid[#Data],M_BOM[PPGridRow],70),0))</f>
        <v/>
      </c>
      <c r="BS23">
        <f>SUMPRODUCT((M_BOM[RM_Code]=$A23)*M_BOM[RM_Qty_Per_Batch]*IFERROR(INDEX(PP_Grid[#Data],M_BOM[PPGridRow],71),0))</f>
        <v/>
      </c>
      <c r="BT23">
        <f>SUMPRODUCT((M_BOM[RM_Code]=$A23)*M_BOM[RM_Qty_Per_Batch]*IFERROR(INDEX(PP_Grid[#Data],M_BOM[PPGridRow],72),0))</f>
        <v/>
      </c>
      <c r="BU23">
        <f>SUMPRODUCT((M_BOM[RM_Code]=$A23)*M_BOM[RM_Qty_Per_Batch]*IFERROR(INDEX(PP_Grid[#Data],M_BOM[PPGridRow],73),0))</f>
        <v/>
      </c>
      <c r="BV23">
        <f>SUMPRODUCT((M_BOM[RM_Code]=$A23)*M_BOM[RM_Qty_Per_Batch]*IFERROR(INDEX(PP_Grid[#Data],M_BOM[PPGridRow],74),0))</f>
        <v/>
      </c>
      <c r="BW23">
        <f>SUMPRODUCT((M_BOM[RM_Code]=$A23)*M_BOM[RM_Qty_Per_Batch]*IFERROR(INDEX(PP_Grid[#Data],M_BOM[PPGridRow],75),0))</f>
        <v/>
      </c>
      <c r="BX23">
        <f>SUMPRODUCT((M_BOM[RM_Code]=$A23)*M_BOM[RM_Qty_Per_Batch]*IFERROR(INDEX(PP_Grid[#Data],M_BOM[PPGridRow],76),0))</f>
        <v/>
      </c>
      <c r="BY23">
        <f>SUMPRODUCT((M_BOM[RM_Code]=$A23)*M_BOM[RM_Qty_Per_Batch]*IFERROR(INDEX(PP_Grid[#Data],M_BOM[PPGridRow],77),0))</f>
        <v/>
      </c>
      <c r="BZ23">
        <f>SUMPRODUCT((M_BOM[RM_Code]=$A23)*M_BOM[RM_Qty_Per_Batch]*IFERROR(INDEX(PP_Grid[#Data],M_BOM[PPGridRow],78),0))</f>
        <v/>
      </c>
      <c r="CA23">
        <f>SUMPRODUCT((M_BOM[RM_Code]=$A23)*M_BOM[RM_Qty_Per_Batch]*IFERROR(INDEX(PP_Grid[#Data],M_BOM[PPGridRow],79),0))</f>
        <v/>
      </c>
      <c r="CB23">
        <f>SUMPRODUCT((M_BOM[RM_Code]=$A23)*M_BOM[RM_Qty_Per_Batch]*IFERROR(INDEX(PP_Grid[#Data],M_BOM[PPGridRow],80),0))</f>
        <v/>
      </c>
      <c r="CC23">
        <f>SUMPRODUCT((M_BOM[RM_Code]=$A23)*M_BOM[RM_Qty_Per_Batch]*IFERROR(INDEX(PP_Grid[#Data],M_BOM[PPGridRow],81),0))</f>
        <v/>
      </c>
      <c r="CD23">
        <f>SUMPRODUCT((M_BOM[RM_Code]=$A23)*M_BOM[RM_Qty_Per_Batch]*IFERROR(INDEX(PP_Grid[#Data],M_BOM[PPGridRow],82),0))</f>
        <v/>
      </c>
      <c r="CE23">
        <f>SUMPRODUCT((M_BOM[RM_Code]=$A23)*M_BOM[RM_Qty_Per_Batch]*IFERROR(INDEX(PP_Grid[#Data],M_BOM[PPGridRow],83),0))</f>
        <v/>
      </c>
      <c r="CF23">
        <f>SUMPRODUCT((M_BOM[RM_Code]=$A23)*M_BOM[RM_Qty_Per_Batch]*IFERROR(INDEX(PP_Grid[#Data],M_BOM[PPGridRow],84),0))</f>
        <v/>
      </c>
      <c r="CG23">
        <f>SUMPRODUCT((M_BOM[RM_Code]=$A23)*M_BOM[RM_Qty_Per_Batch]*IFERROR(INDEX(PP_Grid[#Data],M_BOM[PPGridRow],85),0))</f>
        <v/>
      </c>
      <c r="CH23">
        <f>SUMPRODUCT((M_BOM[RM_Code]=$A23)*M_BOM[RM_Qty_Per_Batch]*IFERROR(INDEX(PP_Grid[#Data],M_BOM[PPGridRow],86),0))</f>
        <v/>
      </c>
      <c r="CI23">
        <f>SUMPRODUCT((M_BOM[RM_Code]=$A23)*M_BOM[RM_Qty_Per_Batch]*IFERROR(INDEX(PP_Grid[#Data],M_BOM[PPGridRow],87),0))</f>
        <v/>
      </c>
      <c r="CJ23">
        <f>SUMPRODUCT((M_BOM[RM_Code]=$A23)*M_BOM[RM_Qty_Per_Batch]*IFERROR(INDEX(PP_Grid[#Data],M_BOM[PPGridRow],88),0))</f>
        <v/>
      </c>
      <c r="CK23">
        <f>SUMPRODUCT((M_BOM[RM_Code]=$A23)*M_BOM[RM_Qty_Per_Batch]*IFERROR(INDEX(PP_Grid[#Data],M_BOM[PPGridRow],89),0))</f>
        <v/>
      </c>
      <c r="CL23">
        <f>SUMPRODUCT((M_BOM[RM_Code]=$A23)*M_BOM[RM_Qty_Per_Batch]*IFERROR(INDEX(PP_Grid[#Data],M_BOM[PPGridRow],90),0))</f>
        <v/>
      </c>
      <c r="CM23">
        <f>SUMPRODUCT((M_BOM[RM_Code]=$A23)*M_BOM[RM_Qty_Per_Batch]*IFERROR(INDEX(PP_Grid[#Data],M_BOM[PPGridRow],91),0))</f>
        <v/>
      </c>
      <c r="CN23">
        <f>SUMPRODUCT((M_BOM[RM_Code]=$A23)*M_BOM[RM_Qty_Per_Batch]*IFERROR(INDEX(PP_Grid[#Data],M_BOM[PPGridRow],92),0))</f>
        <v/>
      </c>
      <c r="CO23">
        <f>SUMPRODUCT((M_BOM[RM_Code]=$A23)*M_BOM[RM_Qty_Per_Batch]*IFERROR(INDEX(PP_Grid[#Data],M_BOM[PPGridRow],93),0))</f>
        <v/>
      </c>
      <c r="CP23">
        <f>SUMPRODUCT((M_BOM[RM_Code]=$A23)*M_BOM[RM_Qty_Per_Batch]*IFERROR(INDEX(PP_Grid[#Data],M_BOM[PPGridRow],94),0))</f>
        <v/>
      </c>
      <c r="CQ23">
        <f>SUMPRODUCT((M_BOM[RM_Code]=$A23)*M_BOM[RM_Qty_Per_Batch]*IFERROR(INDEX(PP_Grid[#Data],M_BOM[PPGridRow],95),0))</f>
        <v/>
      </c>
      <c r="CR23">
        <f>SUMPRODUCT((M_BOM[RM_Code]=$A23)*M_BOM[RM_Qty_Per_Batch]*IFERROR(INDEX(PP_Grid[#Data],M_BOM[PPGridRow],96),0))</f>
        <v/>
      </c>
      <c r="CS23">
        <f>SUMPRODUCT((M_BOM[RM_Code]=$A23)*M_BOM[RM_Qty_Per_Batch]*IFERROR(INDEX(PP_Grid[#Data],M_BOM[PPGridRow],97),0))</f>
        <v/>
      </c>
      <c r="CT23">
        <f>SUMPRODUCT((M_BOM[RM_Code]=$A23)*M_BOM[RM_Qty_Per_Batch]*IFERROR(INDEX(PP_Grid[#Data],M_BOM[PPGridRow],98),0))</f>
        <v/>
      </c>
      <c r="CU23">
        <f>SUMPRODUCT((M_BOM[RM_Code]=$A23)*M_BOM[RM_Qty_Per_Batch]*IFERROR(INDEX(PP_Grid[#Data],M_BOM[PPGridRow],99),0))</f>
        <v/>
      </c>
      <c r="CV23">
        <f>SUMPRODUCT((M_BOM[RM_Code]=$A23)*M_BOM[RM_Qty_Per_Batch]*IFERROR(INDEX(PP_Grid[#Data],M_BOM[PPGridRow],100),0))</f>
        <v/>
      </c>
      <c r="CW23">
        <f>SUMPRODUCT((M_BOM[RM_Code]=$A23)*M_BOM[RM_Qty_Per_Batch]*IFERROR(INDEX(PP_Grid[#Data],M_BOM[PPGridRow],101),0))</f>
        <v/>
      </c>
      <c r="CX23">
        <f>SUMPRODUCT((M_BOM[RM_Code]=$A23)*M_BOM[RM_Qty_Per_Batch]*IFERROR(INDEX(PP_Grid[#Data],M_BOM[PPGridRow],102),0))</f>
        <v/>
      </c>
      <c r="CY23">
        <f>SUMPRODUCT((M_BOM[RM_Code]=$A23)*M_BOM[RM_Qty_Per_Batch]*IFERROR(INDEX(PP_Grid[#Data],M_BOM[PPGridRow],103),0))</f>
        <v/>
      </c>
      <c r="CZ23">
        <f>SUMPRODUCT((M_BOM[RM_Code]=$A23)*M_BOM[RM_Qty_Per_Batch]*IFERROR(INDEX(PP_Grid[#Data],M_BOM[PPGridRow],104),0))</f>
        <v/>
      </c>
      <c r="DA23">
        <f>SUMPRODUCT((M_BOM[RM_Code]=$A23)*M_BOM[RM_Qty_Per_Batch]*IFERROR(INDEX(PP_Grid[#Data],M_BOM[PPGridRow],105),0))</f>
        <v/>
      </c>
    </row>
    <row r="24">
      <c r="A24" t="inlineStr">
        <is>
          <t>CHEM-1240</t>
        </is>
      </c>
      <c r="B24">
        <f>SUMPRODUCT((M_BOM[RM_Code]=$A24)*M_BOM[RM_Qty_Per_Batch]*IFERROR(INDEX(PP_Grid[#Data],M_BOM[PPGridRow],2),0))</f>
        <v/>
      </c>
      <c r="C24">
        <f>SUMPRODUCT((M_BOM[RM_Code]=$A24)*M_BOM[RM_Qty_Per_Batch]*IFERROR(INDEX(PP_Grid[#Data],M_BOM[PPGridRow],3),0))</f>
        <v/>
      </c>
      <c r="D24">
        <f>SUMPRODUCT((M_BOM[RM_Code]=$A24)*M_BOM[RM_Qty_Per_Batch]*IFERROR(INDEX(PP_Grid[#Data],M_BOM[PPGridRow],4),0))</f>
        <v/>
      </c>
      <c r="E24">
        <f>SUMPRODUCT((M_BOM[RM_Code]=$A24)*M_BOM[RM_Qty_Per_Batch]*IFERROR(INDEX(PP_Grid[#Data],M_BOM[PPGridRow],5),0))</f>
        <v/>
      </c>
      <c r="F24">
        <f>SUMPRODUCT((M_BOM[RM_Code]=$A24)*M_BOM[RM_Qty_Per_Batch]*IFERROR(INDEX(PP_Grid[#Data],M_BOM[PPGridRow],6),0))</f>
        <v/>
      </c>
      <c r="G24">
        <f>SUMPRODUCT((M_BOM[RM_Code]=$A24)*M_BOM[RM_Qty_Per_Batch]*IFERROR(INDEX(PP_Grid[#Data],M_BOM[PPGridRow],7),0))</f>
        <v/>
      </c>
      <c r="H24">
        <f>SUMPRODUCT((M_BOM[RM_Code]=$A24)*M_BOM[RM_Qty_Per_Batch]*IFERROR(INDEX(PP_Grid[#Data],M_BOM[PPGridRow],8),0))</f>
        <v/>
      </c>
      <c r="I24">
        <f>SUMPRODUCT((M_BOM[RM_Code]=$A24)*M_BOM[RM_Qty_Per_Batch]*IFERROR(INDEX(PP_Grid[#Data],M_BOM[PPGridRow],9),0))</f>
        <v/>
      </c>
      <c r="J24">
        <f>SUMPRODUCT((M_BOM[RM_Code]=$A24)*M_BOM[RM_Qty_Per_Batch]*IFERROR(INDEX(PP_Grid[#Data],M_BOM[PPGridRow],10),0))</f>
        <v/>
      </c>
      <c r="K24">
        <f>SUMPRODUCT((M_BOM[RM_Code]=$A24)*M_BOM[RM_Qty_Per_Batch]*IFERROR(INDEX(PP_Grid[#Data],M_BOM[PPGridRow],11),0))</f>
        <v/>
      </c>
      <c r="L24">
        <f>SUMPRODUCT((M_BOM[RM_Code]=$A24)*M_BOM[RM_Qty_Per_Batch]*IFERROR(INDEX(PP_Grid[#Data],M_BOM[PPGridRow],12),0))</f>
        <v/>
      </c>
      <c r="M24">
        <f>SUMPRODUCT((M_BOM[RM_Code]=$A24)*M_BOM[RM_Qty_Per_Batch]*IFERROR(INDEX(PP_Grid[#Data],M_BOM[PPGridRow],13),0))</f>
        <v/>
      </c>
      <c r="N24">
        <f>SUMPRODUCT((M_BOM[RM_Code]=$A24)*M_BOM[RM_Qty_Per_Batch]*IFERROR(INDEX(PP_Grid[#Data],M_BOM[PPGridRow],14),0))</f>
        <v/>
      </c>
      <c r="O24">
        <f>SUMPRODUCT((M_BOM[RM_Code]=$A24)*M_BOM[RM_Qty_Per_Batch]*IFERROR(INDEX(PP_Grid[#Data],M_BOM[PPGridRow],15),0))</f>
        <v/>
      </c>
      <c r="P24">
        <f>SUMPRODUCT((M_BOM[RM_Code]=$A24)*M_BOM[RM_Qty_Per_Batch]*IFERROR(INDEX(PP_Grid[#Data],M_BOM[PPGridRow],16),0))</f>
        <v/>
      </c>
      <c r="Q24">
        <f>SUMPRODUCT((M_BOM[RM_Code]=$A24)*M_BOM[RM_Qty_Per_Batch]*IFERROR(INDEX(PP_Grid[#Data],M_BOM[PPGridRow],17),0))</f>
        <v/>
      </c>
      <c r="R24">
        <f>SUMPRODUCT((M_BOM[RM_Code]=$A24)*M_BOM[RM_Qty_Per_Batch]*IFERROR(INDEX(PP_Grid[#Data],M_BOM[PPGridRow],18),0))</f>
        <v/>
      </c>
      <c r="S24">
        <f>SUMPRODUCT((M_BOM[RM_Code]=$A24)*M_BOM[RM_Qty_Per_Batch]*IFERROR(INDEX(PP_Grid[#Data],M_BOM[PPGridRow],19),0))</f>
        <v/>
      </c>
      <c r="T24">
        <f>SUMPRODUCT((M_BOM[RM_Code]=$A24)*M_BOM[RM_Qty_Per_Batch]*IFERROR(INDEX(PP_Grid[#Data],M_BOM[PPGridRow],20),0))</f>
        <v/>
      </c>
      <c r="U24">
        <f>SUMPRODUCT((M_BOM[RM_Code]=$A24)*M_BOM[RM_Qty_Per_Batch]*IFERROR(INDEX(PP_Grid[#Data],M_BOM[PPGridRow],21),0))</f>
        <v/>
      </c>
      <c r="V24">
        <f>SUMPRODUCT((M_BOM[RM_Code]=$A24)*M_BOM[RM_Qty_Per_Batch]*IFERROR(INDEX(PP_Grid[#Data],M_BOM[PPGridRow],22),0))</f>
        <v/>
      </c>
      <c r="W24">
        <f>SUMPRODUCT((M_BOM[RM_Code]=$A24)*M_BOM[RM_Qty_Per_Batch]*IFERROR(INDEX(PP_Grid[#Data],M_BOM[PPGridRow],23),0))</f>
        <v/>
      </c>
      <c r="X24">
        <f>SUMPRODUCT((M_BOM[RM_Code]=$A24)*M_BOM[RM_Qty_Per_Batch]*IFERROR(INDEX(PP_Grid[#Data],M_BOM[PPGridRow],24),0))</f>
        <v/>
      </c>
      <c r="Y24">
        <f>SUMPRODUCT((M_BOM[RM_Code]=$A24)*M_BOM[RM_Qty_Per_Batch]*IFERROR(INDEX(PP_Grid[#Data],M_BOM[PPGridRow],25),0))</f>
        <v/>
      </c>
      <c r="Z24">
        <f>SUMPRODUCT((M_BOM[RM_Code]=$A24)*M_BOM[RM_Qty_Per_Batch]*IFERROR(INDEX(PP_Grid[#Data],M_BOM[PPGridRow],26),0))</f>
        <v/>
      </c>
      <c r="AA24">
        <f>SUMPRODUCT((M_BOM[RM_Code]=$A24)*M_BOM[RM_Qty_Per_Batch]*IFERROR(INDEX(PP_Grid[#Data],M_BOM[PPGridRow],27),0))</f>
        <v/>
      </c>
      <c r="AB24">
        <f>SUMPRODUCT((M_BOM[RM_Code]=$A24)*M_BOM[RM_Qty_Per_Batch]*IFERROR(INDEX(PP_Grid[#Data],M_BOM[PPGridRow],28),0))</f>
        <v/>
      </c>
      <c r="AC24">
        <f>SUMPRODUCT((M_BOM[RM_Code]=$A24)*M_BOM[RM_Qty_Per_Batch]*IFERROR(INDEX(PP_Grid[#Data],M_BOM[PPGridRow],29),0))</f>
        <v/>
      </c>
      <c r="AD24">
        <f>SUMPRODUCT((M_BOM[RM_Code]=$A24)*M_BOM[RM_Qty_Per_Batch]*IFERROR(INDEX(PP_Grid[#Data],M_BOM[PPGridRow],30),0))</f>
        <v/>
      </c>
      <c r="AE24">
        <f>SUMPRODUCT((M_BOM[RM_Code]=$A24)*M_BOM[RM_Qty_Per_Batch]*IFERROR(INDEX(PP_Grid[#Data],M_BOM[PPGridRow],31),0))</f>
        <v/>
      </c>
      <c r="AF24">
        <f>SUMPRODUCT((M_BOM[RM_Code]=$A24)*M_BOM[RM_Qty_Per_Batch]*IFERROR(INDEX(PP_Grid[#Data],M_BOM[PPGridRow],32),0))</f>
        <v/>
      </c>
      <c r="AG24">
        <f>SUMPRODUCT((M_BOM[RM_Code]=$A24)*M_BOM[RM_Qty_Per_Batch]*IFERROR(INDEX(PP_Grid[#Data],M_BOM[PPGridRow],33),0))</f>
        <v/>
      </c>
      <c r="AH24">
        <f>SUMPRODUCT((M_BOM[RM_Code]=$A24)*M_BOM[RM_Qty_Per_Batch]*IFERROR(INDEX(PP_Grid[#Data],M_BOM[PPGridRow],34),0))</f>
        <v/>
      </c>
      <c r="AI24">
        <f>SUMPRODUCT((M_BOM[RM_Code]=$A24)*M_BOM[RM_Qty_Per_Batch]*IFERROR(INDEX(PP_Grid[#Data],M_BOM[PPGridRow],35),0))</f>
        <v/>
      </c>
      <c r="AJ24">
        <f>SUMPRODUCT((M_BOM[RM_Code]=$A24)*M_BOM[RM_Qty_Per_Batch]*IFERROR(INDEX(PP_Grid[#Data],M_BOM[PPGridRow],36),0))</f>
        <v/>
      </c>
      <c r="AK24">
        <f>SUMPRODUCT((M_BOM[RM_Code]=$A24)*M_BOM[RM_Qty_Per_Batch]*IFERROR(INDEX(PP_Grid[#Data],M_BOM[PPGridRow],37),0))</f>
        <v/>
      </c>
      <c r="AL24">
        <f>SUMPRODUCT((M_BOM[RM_Code]=$A24)*M_BOM[RM_Qty_Per_Batch]*IFERROR(INDEX(PP_Grid[#Data],M_BOM[PPGridRow],38),0))</f>
        <v/>
      </c>
      <c r="AM24">
        <f>SUMPRODUCT((M_BOM[RM_Code]=$A24)*M_BOM[RM_Qty_Per_Batch]*IFERROR(INDEX(PP_Grid[#Data],M_BOM[PPGridRow],39),0))</f>
        <v/>
      </c>
      <c r="AN24">
        <f>SUMPRODUCT((M_BOM[RM_Code]=$A24)*M_BOM[RM_Qty_Per_Batch]*IFERROR(INDEX(PP_Grid[#Data],M_BOM[PPGridRow],40),0))</f>
        <v/>
      </c>
      <c r="AO24">
        <f>SUMPRODUCT((M_BOM[RM_Code]=$A24)*M_BOM[RM_Qty_Per_Batch]*IFERROR(INDEX(PP_Grid[#Data],M_BOM[PPGridRow],41),0))</f>
        <v/>
      </c>
      <c r="AP24">
        <f>SUMPRODUCT((M_BOM[RM_Code]=$A24)*M_BOM[RM_Qty_Per_Batch]*IFERROR(INDEX(PP_Grid[#Data],M_BOM[PPGridRow],42),0))</f>
        <v/>
      </c>
      <c r="AQ24">
        <f>SUMPRODUCT((M_BOM[RM_Code]=$A24)*M_BOM[RM_Qty_Per_Batch]*IFERROR(INDEX(PP_Grid[#Data],M_BOM[PPGridRow],43),0))</f>
        <v/>
      </c>
      <c r="AR24">
        <f>SUMPRODUCT((M_BOM[RM_Code]=$A24)*M_BOM[RM_Qty_Per_Batch]*IFERROR(INDEX(PP_Grid[#Data],M_BOM[PPGridRow],44),0))</f>
        <v/>
      </c>
      <c r="AS24">
        <f>SUMPRODUCT((M_BOM[RM_Code]=$A24)*M_BOM[RM_Qty_Per_Batch]*IFERROR(INDEX(PP_Grid[#Data],M_BOM[PPGridRow],45),0))</f>
        <v/>
      </c>
      <c r="AT24">
        <f>SUMPRODUCT((M_BOM[RM_Code]=$A24)*M_BOM[RM_Qty_Per_Batch]*IFERROR(INDEX(PP_Grid[#Data],M_BOM[PPGridRow],46),0))</f>
        <v/>
      </c>
      <c r="AU24">
        <f>SUMPRODUCT((M_BOM[RM_Code]=$A24)*M_BOM[RM_Qty_Per_Batch]*IFERROR(INDEX(PP_Grid[#Data],M_BOM[PPGridRow],47),0))</f>
        <v/>
      </c>
      <c r="AV24">
        <f>SUMPRODUCT((M_BOM[RM_Code]=$A24)*M_BOM[RM_Qty_Per_Batch]*IFERROR(INDEX(PP_Grid[#Data],M_BOM[PPGridRow],48),0))</f>
        <v/>
      </c>
      <c r="AW24">
        <f>SUMPRODUCT((M_BOM[RM_Code]=$A24)*M_BOM[RM_Qty_Per_Batch]*IFERROR(INDEX(PP_Grid[#Data],M_BOM[PPGridRow],49),0))</f>
        <v/>
      </c>
      <c r="AX24">
        <f>SUMPRODUCT((M_BOM[RM_Code]=$A24)*M_BOM[RM_Qty_Per_Batch]*IFERROR(INDEX(PP_Grid[#Data],M_BOM[PPGridRow],50),0))</f>
        <v/>
      </c>
      <c r="AY24">
        <f>SUMPRODUCT((M_BOM[RM_Code]=$A24)*M_BOM[RM_Qty_Per_Batch]*IFERROR(INDEX(PP_Grid[#Data],M_BOM[PPGridRow],51),0))</f>
        <v/>
      </c>
      <c r="AZ24">
        <f>SUMPRODUCT((M_BOM[RM_Code]=$A24)*M_BOM[RM_Qty_Per_Batch]*IFERROR(INDEX(PP_Grid[#Data],M_BOM[PPGridRow],52),0))</f>
        <v/>
      </c>
      <c r="BA24">
        <f>SUMPRODUCT((M_BOM[RM_Code]=$A24)*M_BOM[RM_Qty_Per_Batch]*IFERROR(INDEX(PP_Grid[#Data],M_BOM[PPGridRow],53),0))</f>
        <v/>
      </c>
      <c r="BB24">
        <f>SUMPRODUCT((M_BOM[RM_Code]=$A24)*M_BOM[RM_Qty_Per_Batch]*IFERROR(INDEX(PP_Grid[#Data],M_BOM[PPGridRow],54),0))</f>
        <v/>
      </c>
      <c r="BC24">
        <f>SUMPRODUCT((M_BOM[RM_Code]=$A24)*M_BOM[RM_Qty_Per_Batch]*IFERROR(INDEX(PP_Grid[#Data],M_BOM[PPGridRow],55),0))</f>
        <v/>
      </c>
      <c r="BD24">
        <f>SUMPRODUCT((M_BOM[RM_Code]=$A24)*M_BOM[RM_Qty_Per_Batch]*IFERROR(INDEX(PP_Grid[#Data],M_BOM[PPGridRow],56),0))</f>
        <v/>
      </c>
      <c r="BE24">
        <f>SUMPRODUCT((M_BOM[RM_Code]=$A24)*M_BOM[RM_Qty_Per_Batch]*IFERROR(INDEX(PP_Grid[#Data],M_BOM[PPGridRow],57),0))</f>
        <v/>
      </c>
      <c r="BF24">
        <f>SUMPRODUCT((M_BOM[RM_Code]=$A24)*M_BOM[RM_Qty_Per_Batch]*IFERROR(INDEX(PP_Grid[#Data],M_BOM[PPGridRow],58),0))</f>
        <v/>
      </c>
      <c r="BG24">
        <f>SUMPRODUCT((M_BOM[RM_Code]=$A24)*M_BOM[RM_Qty_Per_Batch]*IFERROR(INDEX(PP_Grid[#Data],M_BOM[PPGridRow],59),0))</f>
        <v/>
      </c>
      <c r="BH24">
        <f>SUMPRODUCT((M_BOM[RM_Code]=$A24)*M_BOM[RM_Qty_Per_Batch]*IFERROR(INDEX(PP_Grid[#Data],M_BOM[PPGridRow],60),0))</f>
        <v/>
      </c>
      <c r="BI24">
        <f>SUMPRODUCT((M_BOM[RM_Code]=$A24)*M_BOM[RM_Qty_Per_Batch]*IFERROR(INDEX(PP_Grid[#Data],M_BOM[PPGridRow],61),0))</f>
        <v/>
      </c>
      <c r="BJ24">
        <f>SUMPRODUCT((M_BOM[RM_Code]=$A24)*M_BOM[RM_Qty_Per_Batch]*IFERROR(INDEX(PP_Grid[#Data],M_BOM[PPGridRow],62),0))</f>
        <v/>
      </c>
      <c r="BK24">
        <f>SUMPRODUCT((M_BOM[RM_Code]=$A24)*M_BOM[RM_Qty_Per_Batch]*IFERROR(INDEX(PP_Grid[#Data],M_BOM[PPGridRow],63),0))</f>
        <v/>
      </c>
      <c r="BL24">
        <f>SUMPRODUCT((M_BOM[RM_Code]=$A24)*M_BOM[RM_Qty_Per_Batch]*IFERROR(INDEX(PP_Grid[#Data],M_BOM[PPGridRow],64),0))</f>
        <v/>
      </c>
      <c r="BM24">
        <f>SUMPRODUCT((M_BOM[RM_Code]=$A24)*M_BOM[RM_Qty_Per_Batch]*IFERROR(INDEX(PP_Grid[#Data],M_BOM[PPGridRow],65),0))</f>
        <v/>
      </c>
      <c r="BN24">
        <f>SUMPRODUCT((M_BOM[RM_Code]=$A24)*M_BOM[RM_Qty_Per_Batch]*IFERROR(INDEX(PP_Grid[#Data],M_BOM[PPGridRow],66),0))</f>
        <v/>
      </c>
      <c r="BO24">
        <f>SUMPRODUCT((M_BOM[RM_Code]=$A24)*M_BOM[RM_Qty_Per_Batch]*IFERROR(INDEX(PP_Grid[#Data],M_BOM[PPGridRow],67),0))</f>
        <v/>
      </c>
      <c r="BP24">
        <f>SUMPRODUCT((M_BOM[RM_Code]=$A24)*M_BOM[RM_Qty_Per_Batch]*IFERROR(INDEX(PP_Grid[#Data],M_BOM[PPGridRow],68),0))</f>
        <v/>
      </c>
      <c r="BQ24">
        <f>SUMPRODUCT((M_BOM[RM_Code]=$A24)*M_BOM[RM_Qty_Per_Batch]*IFERROR(INDEX(PP_Grid[#Data],M_BOM[PPGridRow],69),0))</f>
        <v/>
      </c>
      <c r="BR24">
        <f>SUMPRODUCT((M_BOM[RM_Code]=$A24)*M_BOM[RM_Qty_Per_Batch]*IFERROR(INDEX(PP_Grid[#Data],M_BOM[PPGridRow],70),0))</f>
        <v/>
      </c>
      <c r="BS24">
        <f>SUMPRODUCT((M_BOM[RM_Code]=$A24)*M_BOM[RM_Qty_Per_Batch]*IFERROR(INDEX(PP_Grid[#Data],M_BOM[PPGridRow],71),0))</f>
        <v/>
      </c>
      <c r="BT24">
        <f>SUMPRODUCT((M_BOM[RM_Code]=$A24)*M_BOM[RM_Qty_Per_Batch]*IFERROR(INDEX(PP_Grid[#Data],M_BOM[PPGridRow],72),0))</f>
        <v/>
      </c>
      <c r="BU24">
        <f>SUMPRODUCT((M_BOM[RM_Code]=$A24)*M_BOM[RM_Qty_Per_Batch]*IFERROR(INDEX(PP_Grid[#Data],M_BOM[PPGridRow],73),0))</f>
        <v/>
      </c>
      <c r="BV24">
        <f>SUMPRODUCT((M_BOM[RM_Code]=$A24)*M_BOM[RM_Qty_Per_Batch]*IFERROR(INDEX(PP_Grid[#Data],M_BOM[PPGridRow],74),0))</f>
        <v/>
      </c>
      <c r="BW24">
        <f>SUMPRODUCT((M_BOM[RM_Code]=$A24)*M_BOM[RM_Qty_Per_Batch]*IFERROR(INDEX(PP_Grid[#Data],M_BOM[PPGridRow],75),0))</f>
        <v/>
      </c>
      <c r="BX24">
        <f>SUMPRODUCT((M_BOM[RM_Code]=$A24)*M_BOM[RM_Qty_Per_Batch]*IFERROR(INDEX(PP_Grid[#Data],M_BOM[PPGridRow],76),0))</f>
        <v/>
      </c>
      <c r="BY24">
        <f>SUMPRODUCT((M_BOM[RM_Code]=$A24)*M_BOM[RM_Qty_Per_Batch]*IFERROR(INDEX(PP_Grid[#Data],M_BOM[PPGridRow],77),0))</f>
        <v/>
      </c>
      <c r="BZ24">
        <f>SUMPRODUCT((M_BOM[RM_Code]=$A24)*M_BOM[RM_Qty_Per_Batch]*IFERROR(INDEX(PP_Grid[#Data],M_BOM[PPGridRow],78),0))</f>
        <v/>
      </c>
      <c r="CA24">
        <f>SUMPRODUCT((M_BOM[RM_Code]=$A24)*M_BOM[RM_Qty_Per_Batch]*IFERROR(INDEX(PP_Grid[#Data],M_BOM[PPGridRow],79),0))</f>
        <v/>
      </c>
      <c r="CB24">
        <f>SUMPRODUCT((M_BOM[RM_Code]=$A24)*M_BOM[RM_Qty_Per_Batch]*IFERROR(INDEX(PP_Grid[#Data],M_BOM[PPGridRow],80),0))</f>
        <v/>
      </c>
      <c r="CC24">
        <f>SUMPRODUCT((M_BOM[RM_Code]=$A24)*M_BOM[RM_Qty_Per_Batch]*IFERROR(INDEX(PP_Grid[#Data],M_BOM[PPGridRow],81),0))</f>
        <v/>
      </c>
      <c r="CD24">
        <f>SUMPRODUCT((M_BOM[RM_Code]=$A24)*M_BOM[RM_Qty_Per_Batch]*IFERROR(INDEX(PP_Grid[#Data],M_BOM[PPGridRow],82),0))</f>
        <v/>
      </c>
      <c r="CE24">
        <f>SUMPRODUCT((M_BOM[RM_Code]=$A24)*M_BOM[RM_Qty_Per_Batch]*IFERROR(INDEX(PP_Grid[#Data],M_BOM[PPGridRow],83),0))</f>
        <v/>
      </c>
      <c r="CF24">
        <f>SUMPRODUCT((M_BOM[RM_Code]=$A24)*M_BOM[RM_Qty_Per_Batch]*IFERROR(INDEX(PP_Grid[#Data],M_BOM[PPGridRow],84),0))</f>
        <v/>
      </c>
      <c r="CG24">
        <f>SUMPRODUCT((M_BOM[RM_Code]=$A24)*M_BOM[RM_Qty_Per_Batch]*IFERROR(INDEX(PP_Grid[#Data],M_BOM[PPGridRow],85),0))</f>
        <v/>
      </c>
      <c r="CH24">
        <f>SUMPRODUCT((M_BOM[RM_Code]=$A24)*M_BOM[RM_Qty_Per_Batch]*IFERROR(INDEX(PP_Grid[#Data],M_BOM[PPGridRow],86),0))</f>
        <v/>
      </c>
      <c r="CI24">
        <f>SUMPRODUCT((M_BOM[RM_Code]=$A24)*M_BOM[RM_Qty_Per_Batch]*IFERROR(INDEX(PP_Grid[#Data],M_BOM[PPGridRow],87),0))</f>
        <v/>
      </c>
      <c r="CJ24">
        <f>SUMPRODUCT((M_BOM[RM_Code]=$A24)*M_BOM[RM_Qty_Per_Batch]*IFERROR(INDEX(PP_Grid[#Data],M_BOM[PPGridRow],88),0))</f>
        <v/>
      </c>
      <c r="CK24">
        <f>SUMPRODUCT((M_BOM[RM_Code]=$A24)*M_BOM[RM_Qty_Per_Batch]*IFERROR(INDEX(PP_Grid[#Data],M_BOM[PPGridRow],89),0))</f>
        <v/>
      </c>
      <c r="CL24">
        <f>SUMPRODUCT((M_BOM[RM_Code]=$A24)*M_BOM[RM_Qty_Per_Batch]*IFERROR(INDEX(PP_Grid[#Data],M_BOM[PPGridRow],90),0))</f>
        <v/>
      </c>
      <c r="CM24">
        <f>SUMPRODUCT((M_BOM[RM_Code]=$A24)*M_BOM[RM_Qty_Per_Batch]*IFERROR(INDEX(PP_Grid[#Data],M_BOM[PPGridRow],91),0))</f>
        <v/>
      </c>
      <c r="CN24">
        <f>SUMPRODUCT((M_BOM[RM_Code]=$A24)*M_BOM[RM_Qty_Per_Batch]*IFERROR(INDEX(PP_Grid[#Data],M_BOM[PPGridRow],92),0))</f>
        <v/>
      </c>
      <c r="CO24">
        <f>SUMPRODUCT((M_BOM[RM_Code]=$A24)*M_BOM[RM_Qty_Per_Batch]*IFERROR(INDEX(PP_Grid[#Data],M_BOM[PPGridRow],93),0))</f>
        <v/>
      </c>
      <c r="CP24">
        <f>SUMPRODUCT((M_BOM[RM_Code]=$A24)*M_BOM[RM_Qty_Per_Batch]*IFERROR(INDEX(PP_Grid[#Data],M_BOM[PPGridRow],94),0))</f>
        <v/>
      </c>
      <c r="CQ24">
        <f>SUMPRODUCT((M_BOM[RM_Code]=$A24)*M_BOM[RM_Qty_Per_Batch]*IFERROR(INDEX(PP_Grid[#Data],M_BOM[PPGridRow],95),0))</f>
        <v/>
      </c>
      <c r="CR24">
        <f>SUMPRODUCT((M_BOM[RM_Code]=$A24)*M_BOM[RM_Qty_Per_Batch]*IFERROR(INDEX(PP_Grid[#Data],M_BOM[PPGridRow],96),0))</f>
        <v/>
      </c>
      <c r="CS24">
        <f>SUMPRODUCT((M_BOM[RM_Code]=$A24)*M_BOM[RM_Qty_Per_Batch]*IFERROR(INDEX(PP_Grid[#Data],M_BOM[PPGridRow],97),0))</f>
        <v/>
      </c>
      <c r="CT24">
        <f>SUMPRODUCT((M_BOM[RM_Code]=$A24)*M_BOM[RM_Qty_Per_Batch]*IFERROR(INDEX(PP_Grid[#Data],M_BOM[PPGridRow],98),0))</f>
        <v/>
      </c>
      <c r="CU24">
        <f>SUMPRODUCT((M_BOM[RM_Code]=$A24)*M_BOM[RM_Qty_Per_Batch]*IFERROR(INDEX(PP_Grid[#Data],M_BOM[PPGridRow],99),0))</f>
        <v/>
      </c>
      <c r="CV24">
        <f>SUMPRODUCT((M_BOM[RM_Code]=$A24)*M_BOM[RM_Qty_Per_Batch]*IFERROR(INDEX(PP_Grid[#Data],M_BOM[PPGridRow],100),0))</f>
        <v/>
      </c>
      <c r="CW24">
        <f>SUMPRODUCT((M_BOM[RM_Code]=$A24)*M_BOM[RM_Qty_Per_Batch]*IFERROR(INDEX(PP_Grid[#Data],M_BOM[PPGridRow],101),0))</f>
        <v/>
      </c>
      <c r="CX24">
        <f>SUMPRODUCT((M_BOM[RM_Code]=$A24)*M_BOM[RM_Qty_Per_Batch]*IFERROR(INDEX(PP_Grid[#Data],M_BOM[PPGridRow],102),0))</f>
        <v/>
      </c>
      <c r="CY24">
        <f>SUMPRODUCT((M_BOM[RM_Code]=$A24)*M_BOM[RM_Qty_Per_Batch]*IFERROR(INDEX(PP_Grid[#Data],M_BOM[PPGridRow],103),0))</f>
        <v/>
      </c>
      <c r="CZ24">
        <f>SUMPRODUCT((M_BOM[RM_Code]=$A24)*M_BOM[RM_Qty_Per_Batch]*IFERROR(INDEX(PP_Grid[#Data],M_BOM[PPGridRow],104),0))</f>
        <v/>
      </c>
      <c r="DA24">
        <f>SUMPRODUCT((M_BOM[RM_Code]=$A24)*M_BOM[RM_Qty_Per_Batch]*IFERROR(INDEX(PP_Grid[#Data],M_BOM[PPGridRow],105),0))</f>
        <v/>
      </c>
    </row>
    <row r="25">
      <c r="A25" t="inlineStr">
        <is>
          <t>0JN</t>
        </is>
      </c>
      <c r="B25">
        <f>SUMPRODUCT((M_BOM[RM_Code]=$A25)*M_BOM[RM_Qty_Per_Batch]*IFERROR(INDEX(PP_Grid[#Data],M_BOM[PPGridRow],2),0))</f>
        <v/>
      </c>
      <c r="C25">
        <f>SUMPRODUCT((M_BOM[RM_Code]=$A25)*M_BOM[RM_Qty_Per_Batch]*IFERROR(INDEX(PP_Grid[#Data],M_BOM[PPGridRow],3),0))</f>
        <v/>
      </c>
      <c r="D25">
        <f>SUMPRODUCT((M_BOM[RM_Code]=$A25)*M_BOM[RM_Qty_Per_Batch]*IFERROR(INDEX(PP_Grid[#Data],M_BOM[PPGridRow],4),0))</f>
        <v/>
      </c>
      <c r="E25">
        <f>SUMPRODUCT((M_BOM[RM_Code]=$A25)*M_BOM[RM_Qty_Per_Batch]*IFERROR(INDEX(PP_Grid[#Data],M_BOM[PPGridRow],5),0))</f>
        <v/>
      </c>
      <c r="F25">
        <f>SUMPRODUCT((M_BOM[RM_Code]=$A25)*M_BOM[RM_Qty_Per_Batch]*IFERROR(INDEX(PP_Grid[#Data],M_BOM[PPGridRow],6),0))</f>
        <v/>
      </c>
      <c r="G25">
        <f>SUMPRODUCT((M_BOM[RM_Code]=$A25)*M_BOM[RM_Qty_Per_Batch]*IFERROR(INDEX(PP_Grid[#Data],M_BOM[PPGridRow],7),0))</f>
        <v/>
      </c>
      <c r="H25">
        <f>SUMPRODUCT((M_BOM[RM_Code]=$A25)*M_BOM[RM_Qty_Per_Batch]*IFERROR(INDEX(PP_Grid[#Data],M_BOM[PPGridRow],8),0))</f>
        <v/>
      </c>
      <c r="I25">
        <f>SUMPRODUCT((M_BOM[RM_Code]=$A25)*M_BOM[RM_Qty_Per_Batch]*IFERROR(INDEX(PP_Grid[#Data],M_BOM[PPGridRow],9),0))</f>
        <v/>
      </c>
      <c r="J25">
        <f>SUMPRODUCT((M_BOM[RM_Code]=$A25)*M_BOM[RM_Qty_Per_Batch]*IFERROR(INDEX(PP_Grid[#Data],M_BOM[PPGridRow],10),0))</f>
        <v/>
      </c>
      <c r="K25">
        <f>SUMPRODUCT((M_BOM[RM_Code]=$A25)*M_BOM[RM_Qty_Per_Batch]*IFERROR(INDEX(PP_Grid[#Data],M_BOM[PPGridRow],11),0))</f>
        <v/>
      </c>
      <c r="L25">
        <f>SUMPRODUCT((M_BOM[RM_Code]=$A25)*M_BOM[RM_Qty_Per_Batch]*IFERROR(INDEX(PP_Grid[#Data],M_BOM[PPGridRow],12),0))</f>
        <v/>
      </c>
      <c r="M25">
        <f>SUMPRODUCT((M_BOM[RM_Code]=$A25)*M_BOM[RM_Qty_Per_Batch]*IFERROR(INDEX(PP_Grid[#Data],M_BOM[PPGridRow],13),0))</f>
        <v/>
      </c>
      <c r="N25">
        <f>SUMPRODUCT((M_BOM[RM_Code]=$A25)*M_BOM[RM_Qty_Per_Batch]*IFERROR(INDEX(PP_Grid[#Data],M_BOM[PPGridRow],14),0))</f>
        <v/>
      </c>
      <c r="O25">
        <f>SUMPRODUCT((M_BOM[RM_Code]=$A25)*M_BOM[RM_Qty_Per_Batch]*IFERROR(INDEX(PP_Grid[#Data],M_BOM[PPGridRow],15),0))</f>
        <v/>
      </c>
      <c r="P25">
        <f>SUMPRODUCT((M_BOM[RM_Code]=$A25)*M_BOM[RM_Qty_Per_Batch]*IFERROR(INDEX(PP_Grid[#Data],M_BOM[PPGridRow],16),0))</f>
        <v/>
      </c>
      <c r="Q25">
        <f>SUMPRODUCT((M_BOM[RM_Code]=$A25)*M_BOM[RM_Qty_Per_Batch]*IFERROR(INDEX(PP_Grid[#Data],M_BOM[PPGridRow],17),0))</f>
        <v/>
      </c>
      <c r="R25">
        <f>SUMPRODUCT((M_BOM[RM_Code]=$A25)*M_BOM[RM_Qty_Per_Batch]*IFERROR(INDEX(PP_Grid[#Data],M_BOM[PPGridRow],18),0))</f>
        <v/>
      </c>
      <c r="S25">
        <f>SUMPRODUCT((M_BOM[RM_Code]=$A25)*M_BOM[RM_Qty_Per_Batch]*IFERROR(INDEX(PP_Grid[#Data],M_BOM[PPGridRow],19),0))</f>
        <v/>
      </c>
      <c r="T25">
        <f>SUMPRODUCT((M_BOM[RM_Code]=$A25)*M_BOM[RM_Qty_Per_Batch]*IFERROR(INDEX(PP_Grid[#Data],M_BOM[PPGridRow],20),0))</f>
        <v/>
      </c>
      <c r="U25">
        <f>SUMPRODUCT((M_BOM[RM_Code]=$A25)*M_BOM[RM_Qty_Per_Batch]*IFERROR(INDEX(PP_Grid[#Data],M_BOM[PPGridRow],21),0))</f>
        <v/>
      </c>
      <c r="V25">
        <f>SUMPRODUCT((M_BOM[RM_Code]=$A25)*M_BOM[RM_Qty_Per_Batch]*IFERROR(INDEX(PP_Grid[#Data],M_BOM[PPGridRow],22),0))</f>
        <v/>
      </c>
      <c r="W25">
        <f>SUMPRODUCT((M_BOM[RM_Code]=$A25)*M_BOM[RM_Qty_Per_Batch]*IFERROR(INDEX(PP_Grid[#Data],M_BOM[PPGridRow],23),0))</f>
        <v/>
      </c>
      <c r="X25">
        <f>SUMPRODUCT((M_BOM[RM_Code]=$A25)*M_BOM[RM_Qty_Per_Batch]*IFERROR(INDEX(PP_Grid[#Data],M_BOM[PPGridRow],24),0))</f>
        <v/>
      </c>
      <c r="Y25">
        <f>SUMPRODUCT((M_BOM[RM_Code]=$A25)*M_BOM[RM_Qty_Per_Batch]*IFERROR(INDEX(PP_Grid[#Data],M_BOM[PPGridRow],25),0))</f>
        <v/>
      </c>
      <c r="Z25">
        <f>SUMPRODUCT((M_BOM[RM_Code]=$A25)*M_BOM[RM_Qty_Per_Batch]*IFERROR(INDEX(PP_Grid[#Data],M_BOM[PPGridRow],26),0))</f>
        <v/>
      </c>
      <c r="AA25">
        <f>SUMPRODUCT((M_BOM[RM_Code]=$A25)*M_BOM[RM_Qty_Per_Batch]*IFERROR(INDEX(PP_Grid[#Data],M_BOM[PPGridRow],27),0))</f>
        <v/>
      </c>
      <c r="AB25">
        <f>SUMPRODUCT((M_BOM[RM_Code]=$A25)*M_BOM[RM_Qty_Per_Batch]*IFERROR(INDEX(PP_Grid[#Data],M_BOM[PPGridRow],28),0))</f>
        <v/>
      </c>
      <c r="AC25">
        <f>SUMPRODUCT((M_BOM[RM_Code]=$A25)*M_BOM[RM_Qty_Per_Batch]*IFERROR(INDEX(PP_Grid[#Data],M_BOM[PPGridRow],29),0))</f>
        <v/>
      </c>
      <c r="AD25">
        <f>SUMPRODUCT((M_BOM[RM_Code]=$A25)*M_BOM[RM_Qty_Per_Batch]*IFERROR(INDEX(PP_Grid[#Data],M_BOM[PPGridRow],30),0))</f>
        <v/>
      </c>
      <c r="AE25">
        <f>SUMPRODUCT((M_BOM[RM_Code]=$A25)*M_BOM[RM_Qty_Per_Batch]*IFERROR(INDEX(PP_Grid[#Data],M_BOM[PPGridRow],31),0))</f>
        <v/>
      </c>
      <c r="AF25">
        <f>SUMPRODUCT((M_BOM[RM_Code]=$A25)*M_BOM[RM_Qty_Per_Batch]*IFERROR(INDEX(PP_Grid[#Data],M_BOM[PPGridRow],32),0))</f>
        <v/>
      </c>
      <c r="AG25">
        <f>SUMPRODUCT((M_BOM[RM_Code]=$A25)*M_BOM[RM_Qty_Per_Batch]*IFERROR(INDEX(PP_Grid[#Data],M_BOM[PPGridRow],33),0))</f>
        <v/>
      </c>
      <c r="AH25">
        <f>SUMPRODUCT((M_BOM[RM_Code]=$A25)*M_BOM[RM_Qty_Per_Batch]*IFERROR(INDEX(PP_Grid[#Data],M_BOM[PPGridRow],34),0))</f>
        <v/>
      </c>
      <c r="AI25">
        <f>SUMPRODUCT((M_BOM[RM_Code]=$A25)*M_BOM[RM_Qty_Per_Batch]*IFERROR(INDEX(PP_Grid[#Data],M_BOM[PPGridRow],35),0))</f>
        <v/>
      </c>
      <c r="AJ25">
        <f>SUMPRODUCT((M_BOM[RM_Code]=$A25)*M_BOM[RM_Qty_Per_Batch]*IFERROR(INDEX(PP_Grid[#Data],M_BOM[PPGridRow],36),0))</f>
        <v/>
      </c>
      <c r="AK25">
        <f>SUMPRODUCT((M_BOM[RM_Code]=$A25)*M_BOM[RM_Qty_Per_Batch]*IFERROR(INDEX(PP_Grid[#Data],M_BOM[PPGridRow],37),0))</f>
        <v/>
      </c>
      <c r="AL25">
        <f>SUMPRODUCT((M_BOM[RM_Code]=$A25)*M_BOM[RM_Qty_Per_Batch]*IFERROR(INDEX(PP_Grid[#Data],M_BOM[PPGridRow],38),0))</f>
        <v/>
      </c>
      <c r="AM25">
        <f>SUMPRODUCT((M_BOM[RM_Code]=$A25)*M_BOM[RM_Qty_Per_Batch]*IFERROR(INDEX(PP_Grid[#Data],M_BOM[PPGridRow],39),0))</f>
        <v/>
      </c>
      <c r="AN25">
        <f>SUMPRODUCT((M_BOM[RM_Code]=$A25)*M_BOM[RM_Qty_Per_Batch]*IFERROR(INDEX(PP_Grid[#Data],M_BOM[PPGridRow],40),0))</f>
        <v/>
      </c>
      <c r="AO25">
        <f>SUMPRODUCT((M_BOM[RM_Code]=$A25)*M_BOM[RM_Qty_Per_Batch]*IFERROR(INDEX(PP_Grid[#Data],M_BOM[PPGridRow],41),0))</f>
        <v/>
      </c>
      <c r="AP25">
        <f>SUMPRODUCT((M_BOM[RM_Code]=$A25)*M_BOM[RM_Qty_Per_Batch]*IFERROR(INDEX(PP_Grid[#Data],M_BOM[PPGridRow],42),0))</f>
        <v/>
      </c>
      <c r="AQ25">
        <f>SUMPRODUCT((M_BOM[RM_Code]=$A25)*M_BOM[RM_Qty_Per_Batch]*IFERROR(INDEX(PP_Grid[#Data],M_BOM[PPGridRow],43),0))</f>
        <v/>
      </c>
      <c r="AR25">
        <f>SUMPRODUCT((M_BOM[RM_Code]=$A25)*M_BOM[RM_Qty_Per_Batch]*IFERROR(INDEX(PP_Grid[#Data],M_BOM[PPGridRow],44),0))</f>
        <v/>
      </c>
      <c r="AS25">
        <f>SUMPRODUCT((M_BOM[RM_Code]=$A25)*M_BOM[RM_Qty_Per_Batch]*IFERROR(INDEX(PP_Grid[#Data],M_BOM[PPGridRow],45),0))</f>
        <v/>
      </c>
      <c r="AT25">
        <f>SUMPRODUCT((M_BOM[RM_Code]=$A25)*M_BOM[RM_Qty_Per_Batch]*IFERROR(INDEX(PP_Grid[#Data],M_BOM[PPGridRow],46),0))</f>
        <v/>
      </c>
      <c r="AU25">
        <f>SUMPRODUCT((M_BOM[RM_Code]=$A25)*M_BOM[RM_Qty_Per_Batch]*IFERROR(INDEX(PP_Grid[#Data],M_BOM[PPGridRow],47),0))</f>
        <v/>
      </c>
      <c r="AV25">
        <f>SUMPRODUCT((M_BOM[RM_Code]=$A25)*M_BOM[RM_Qty_Per_Batch]*IFERROR(INDEX(PP_Grid[#Data],M_BOM[PPGridRow],48),0))</f>
        <v/>
      </c>
      <c r="AW25">
        <f>SUMPRODUCT((M_BOM[RM_Code]=$A25)*M_BOM[RM_Qty_Per_Batch]*IFERROR(INDEX(PP_Grid[#Data],M_BOM[PPGridRow],49),0))</f>
        <v/>
      </c>
      <c r="AX25">
        <f>SUMPRODUCT((M_BOM[RM_Code]=$A25)*M_BOM[RM_Qty_Per_Batch]*IFERROR(INDEX(PP_Grid[#Data],M_BOM[PPGridRow],50),0))</f>
        <v/>
      </c>
      <c r="AY25">
        <f>SUMPRODUCT((M_BOM[RM_Code]=$A25)*M_BOM[RM_Qty_Per_Batch]*IFERROR(INDEX(PP_Grid[#Data],M_BOM[PPGridRow],51),0))</f>
        <v/>
      </c>
      <c r="AZ25">
        <f>SUMPRODUCT((M_BOM[RM_Code]=$A25)*M_BOM[RM_Qty_Per_Batch]*IFERROR(INDEX(PP_Grid[#Data],M_BOM[PPGridRow],52),0))</f>
        <v/>
      </c>
      <c r="BA25">
        <f>SUMPRODUCT((M_BOM[RM_Code]=$A25)*M_BOM[RM_Qty_Per_Batch]*IFERROR(INDEX(PP_Grid[#Data],M_BOM[PPGridRow],53),0))</f>
        <v/>
      </c>
      <c r="BB25">
        <f>SUMPRODUCT((M_BOM[RM_Code]=$A25)*M_BOM[RM_Qty_Per_Batch]*IFERROR(INDEX(PP_Grid[#Data],M_BOM[PPGridRow],54),0))</f>
        <v/>
      </c>
      <c r="BC25">
        <f>SUMPRODUCT((M_BOM[RM_Code]=$A25)*M_BOM[RM_Qty_Per_Batch]*IFERROR(INDEX(PP_Grid[#Data],M_BOM[PPGridRow],55),0))</f>
        <v/>
      </c>
      <c r="BD25">
        <f>SUMPRODUCT((M_BOM[RM_Code]=$A25)*M_BOM[RM_Qty_Per_Batch]*IFERROR(INDEX(PP_Grid[#Data],M_BOM[PPGridRow],56),0))</f>
        <v/>
      </c>
      <c r="BE25">
        <f>SUMPRODUCT((M_BOM[RM_Code]=$A25)*M_BOM[RM_Qty_Per_Batch]*IFERROR(INDEX(PP_Grid[#Data],M_BOM[PPGridRow],57),0))</f>
        <v/>
      </c>
      <c r="BF25">
        <f>SUMPRODUCT((M_BOM[RM_Code]=$A25)*M_BOM[RM_Qty_Per_Batch]*IFERROR(INDEX(PP_Grid[#Data],M_BOM[PPGridRow],58),0))</f>
        <v/>
      </c>
      <c r="BG25">
        <f>SUMPRODUCT((M_BOM[RM_Code]=$A25)*M_BOM[RM_Qty_Per_Batch]*IFERROR(INDEX(PP_Grid[#Data],M_BOM[PPGridRow],59),0))</f>
        <v/>
      </c>
      <c r="BH25">
        <f>SUMPRODUCT((M_BOM[RM_Code]=$A25)*M_BOM[RM_Qty_Per_Batch]*IFERROR(INDEX(PP_Grid[#Data],M_BOM[PPGridRow],60),0))</f>
        <v/>
      </c>
      <c r="BI25">
        <f>SUMPRODUCT((M_BOM[RM_Code]=$A25)*M_BOM[RM_Qty_Per_Batch]*IFERROR(INDEX(PP_Grid[#Data],M_BOM[PPGridRow],61),0))</f>
        <v/>
      </c>
      <c r="BJ25">
        <f>SUMPRODUCT((M_BOM[RM_Code]=$A25)*M_BOM[RM_Qty_Per_Batch]*IFERROR(INDEX(PP_Grid[#Data],M_BOM[PPGridRow],62),0))</f>
        <v/>
      </c>
      <c r="BK25">
        <f>SUMPRODUCT((M_BOM[RM_Code]=$A25)*M_BOM[RM_Qty_Per_Batch]*IFERROR(INDEX(PP_Grid[#Data],M_BOM[PPGridRow],63),0))</f>
        <v/>
      </c>
      <c r="BL25">
        <f>SUMPRODUCT((M_BOM[RM_Code]=$A25)*M_BOM[RM_Qty_Per_Batch]*IFERROR(INDEX(PP_Grid[#Data],M_BOM[PPGridRow],64),0))</f>
        <v/>
      </c>
      <c r="BM25">
        <f>SUMPRODUCT((M_BOM[RM_Code]=$A25)*M_BOM[RM_Qty_Per_Batch]*IFERROR(INDEX(PP_Grid[#Data],M_BOM[PPGridRow],65),0))</f>
        <v/>
      </c>
      <c r="BN25">
        <f>SUMPRODUCT((M_BOM[RM_Code]=$A25)*M_BOM[RM_Qty_Per_Batch]*IFERROR(INDEX(PP_Grid[#Data],M_BOM[PPGridRow],66),0))</f>
        <v/>
      </c>
      <c r="BO25">
        <f>SUMPRODUCT((M_BOM[RM_Code]=$A25)*M_BOM[RM_Qty_Per_Batch]*IFERROR(INDEX(PP_Grid[#Data],M_BOM[PPGridRow],67),0))</f>
        <v/>
      </c>
      <c r="BP25">
        <f>SUMPRODUCT((M_BOM[RM_Code]=$A25)*M_BOM[RM_Qty_Per_Batch]*IFERROR(INDEX(PP_Grid[#Data],M_BOM[PPGridRow],68),0))</f>
        <v/>
      </c>
      <c r="BQ25">
        <f>SUMPRODUCT((M_BOM[RM_Code]=$A25)*M_BOM[RM_Qty_Per_Batch]*IFERROR(INDEX(PP_Grid[#Data],M_BOM[PPGridRow],69),0))</f>
        <v/>
      </c>
      <c r="BR25">
        <f>SUMPRODUCT((M_BOM[RM_Code]=$A25)*M_BOM[RM_Qty_Per_Batch]*IFERROR(INDEX(PP_Grid[#Data],M_BOM[PPGridRow],70),0))</f>
        <v/>
      </c>
      <c r="BS25">
        <f>SUMPRODUCT((M_BOM[RM_Code]=$A25)*M_BOM[RM_Qty_Per_Batch]*IFERROR(INDEX(PP_Grid[#Data],M_BOM[PPGridRow],71),0))</f>
        <v/>
      </c>
      <c r="BT25">
        <f>SUMPRODUCT((M_BOM[RM_Code]=$A25)*M_BOM[RM_Qty_Per_Batch]*IFERROR(INDEX(PP_Grid[#Data],M_BOM[PPGridRow],72),0))</f>
        <v/>
      </c>
      <c r="BU25">
        <f>SUMPRODUCT((M_BOM[RM_Code]=$A25)*M_BOM[RM_Qty_Per_Batch]*IFERROR(INDEX(PP_Grid[#Data],M_BOM[PPGridRow],73),0))</f>
        <v/>
      </c>
      <c r="BV25">
        <f>SUMPRODUCT((M_BOM[RM_Code]=$A25)*M_BOM[RM_Qty_Per_Batch]*IFERROR(INDEX(PP_Grid[#Data],M_BOM[PPGridRow],74),0))</f>
        <v/>
      </c>
      <c r="BW25">
        <f>SUMPRODUCT((M_BOM[RM_Code]=$A25)*M_BOM[RM_Qty_Per_Batch]*IFERROR(INDEX(PP_Grid[#Data],M_BOM[PPGridRow],75),0))</f>
        <v/>
      </c>
      <c r="BX25">
        <f>SUMPRODUCT((M_BOM[RM_Code]=$A25)*M_BOM[RM_Qty_Per_Batch]*IFERROR(INDEX(PP_Grid[#Data],M_BOM[PPGridRow],76),0))</f>
        <v/>
      </c>
      <c r="BY25">
        <f>SUMPRODUCT((M_BOM[RM_Code]=$A25)*M_BOM[RM_Qty_Per_Batch]*IFERROR(INDEX(PP_Grid[#Data],M_BOM[PPGridRow],77),0))</f>
        <v/>
      </c>
      <c r="BZ25">
        <f>SUMPRODUCT((M_BOM[RM_Code]=$A25)*M_BOM[RM_Qty_Per_Batch]*IFERROR(INDEX(PP_Grid[#Data],M_BOM[PPGridRow],78),0))</f>
        <v/>
      </c>
      <c r="CA25">
        <f>SUMPRODUCT((M_BOM[RM_Code]=$A25)*M_BOM[RM_Qty_Per_Batch]*IFERROR(INDEX(PP_Grid[#Data],M_BOM[PPGridRow],79),0))</f>
        <v/>
      </c>
      <c r="CB25">
        <f>SUMPRODUCT((M_BOM[RM_Code]=$A25)*M_BOM[RM_Qty_Per_Batch]*IFERROR(INDEX(PP_Grid[#Data],M_BOM[PPGridRow],80),0))</f>
        <v/>
      </c>
      <c r="CC25">
        <f>SUMPRODUCT((M_BOM[RM_Code]=$A25)*M_BOM[RM_Qty_Per_Batch]*IFERROR(INDEX(PP_Grid[#Data],M_BOM[PPGridRow],81),0))</f>
        <v/>
      </c>
      <c r="CD25">
        <f>SUMPRODUCT((M_BOM[RM_Code]=$A25)*M_BOM[RM_Qty_Per_Batch]*IFERROR(INDEX(PP_Grid[#Data],M_BOM[PPGridRow],82),0))</f>
        <v/>
      </c>
      <c r="CE25">
        <f>SUMPRODUCT((M_BOM[RM_Code]=$A25)*M_BOM[RM_Qty_Per_Batch]*IFERROR(INDEX(PP_Grid[#Data],M_BOM[PPGridRow],83),0))</f>
        <v/>
      </c>
      <c r="CF25">
        <f>SUMPRODUCT((M_BOM[RM_Code]=$A25)*M_BOM[RM_Qty_Per_Batch]*IFERROR(INDEX(PP_Grid[#Data],M_BOM[PPGridRow],84),0))</f>
        <v/>
      </c>
      <c r="CG25">
        <f>SUMPRODUCT((M_BOM[RM_Code]=$A25)*M_BOM[RM_Qty_Per_Batch]*IFERROR(INDEX(PP_Grid[#Data],M_BOM[PPGridRow],85),0))</f>
        <v/>
      </c>
      <c r="CH25">
        <f>SUMPRODUCT((M_BOM[RM_Code]=$A25)*M_BOM[RM_Qty_Per_Batch]*IFERROR(INDEX(PP_Grid[#Data],M_BOM[PPGridRow],86),0))</f>
        <v/>
      </c>
      <c r="CI25">
        <f>SUMPRODUCT((M_BOM[RM_Code]=$A25)*M_BOM[RM_Qty_Per_Batch]*IFERROR(INDEX(PP_Grid[#Data],M_BOM[PPGridRow],87),0))</f>
        <v/>
      </c>
      <c r="CJ25">
        <f>SUMPRODUCT((M_BOM[RM_Code]=$A25)*M_BOM[RM_Qty_Per_Batch]*IFERROR(INDEX(PP_Grid[#Data],M_BOM[PPGridRow],88),0))</f>
        <v/>
      </c>
      <c r="CK25">
        <f>SUMPRODUCT((M_BOM[RM_Code]=$A25)*M_BOM[RM_Qty_Per_Batch]*IFERROR(INDEX(PP_Grid[#Data],M_BOM[PPGridRow],89),0))</f>
        <v/>
      </c>
      <c r="CL25">
        <f>SUMPRODUCT((M_BOM[RM_Code]=$A25)*M_BOM[RM_Qty_Per_Batch]*IFERROR(INDEX(PP_Grid[#Data],M_BOM[PPGridRow],90),0))</f>
        <v/>
      </c>
      <c r="CM25">
        <f>SUMPRODUCT((M_BOM[RM_Code]=$A25)*M_BOM[RM_Qty_Per_Batch]*IFERROR(INDEX(PP_Grid[#Data],M_BOM[PPGridRow],91),0))</f>
        <v/>
      </c>
      <c r="CN25">
        <f>SUMPRODUCT((M_BOM[RM_Code]=$A25)*M_BOM[RM_Qty_Per_Batch]*IFERROR(INDEX(PP_Grid[#Data],M_BOM[PPGridRow],92),0))</f>
        <v/>
      </c>
      <c r="CO25">
        <f>SUMPRODUCT((M_BOM[RM_Code]=$A25)*M_BOM[RM_Qty_Per_Batch]*IFERROR(INDEX(PP_Grid[#Data],M_BOM[PPGridRow],93),0))</f>
        <v/>
      </c>
      <c r="CP25">
        <f>SUMPRODUCT((M_BOM[RM_Code]=$A25)*M_BOM[RM_Qty_Per_Batch]*IFERROR(INDEX(PP_Grid[#Data],M_BOM[PPGridRow],94),0))</f>
        <v/>
      </c>
      <c r="CQ25">
        <f>SUMPRODUCT((M_BOM[RM_Code]=$A25)*M_BOM[RM_Qty_Per_Batch]*IFERROR(INDEX(PP_Grid[#Data],M_BOM[PPGridRow],95),0))</f>
        <v/>
      </c>
      <c r="CR25">
        <f>SUMPRODUCT((M_BOM[RM_Code]=$A25)*M_BOM[RM_Qty_Per_Batch]*IFERROR(INDEX(PP_Grid[#Data],M_BOM[PPGridRow],96),0))</f>
        <v/>
      </c>
      <c r="CS25">
        <f>SUMPRODUCT((M_BOM[RM_Code]=$A25)*M_BOM[RM_Qty_Per_Batch]*IFERROR(INDEX(PP_Grid[#Data],M_BOM[PPGridRow],97),0))</f>
        <v/>
      </c>
      <c r="CT25">
        <f>SUMPRODUCT((M_BOM[RM_Code]=$A25)*M_BOM[RM_Qty_Per_Batch]*IFERROR(INDEX(PP_Grid[#Data],M_BOM[PPGridRow],98),0))</f>
        <v/>
      </c>
      <c r="CU25">
        <f>SUMPRODUCT((M_BOM[RM_Code]=$A25)*M_BOM[RM_Qty_Per_Batch]*IFERROR(INDEX(PP_Grid[#Data],M_BOM[PPGridRow],99),0))</f>
        <v/>
      </c>
      <c r="CV25">
        <f>SUMPRODUCT((M_BOM[RM_Code]=$A25)*M_BOM[RM_Qty_Per_Batch]*IFERROR(INDEX(PP_Grid[#Data],M_BOM[PPGridRow],100),0))</f>
        <v/>
      </c>
      <c r="CW25">
        <f>SUMPRODUCT((M_BOM[RM_Code]=$A25)*M_BOM[RM_Qty_Per_Batch]*IFERROR(INDEX(PP_Grid[#Data],M_BOM[PPGridRow],101),0))</f>
        <v/>
      </c>
      <c r="CX25">
        <f>SUMPRODUCT((M_BOM[RM_Code]=$A25)*M_BOM[RM_Qty_Per_Batch]*IFERROR(INDEX(PP_Grid[#Data],M_BOM[PPGridRow],102),0))</f>
        <v/>
      </c>
      <c r="CY25">
        <f>SUMPRODUCT((M_BOM[RM_Code]=$A25)*M_BOM[RM_Qty_Per_Batch]*IFERROR(INDEX(PP_Grid[#Data],M_BOM[PPGridRow],103),0))</f>
        <v/>
      </c>
      <c r="CZ25">
        <f>SUMPRODUCT((M_BOM[RM_Code]=$A25)*M_BOM[RM_Qty_Per_Batch]*IFERROR(INDEX(PP_Grid[#Data],M_BOM[PPGridRow],104),0))</f>
        <v/>
      </c>
      <c r="DA25">
        <f>SUMPRODUCT((M_BOM[RM_Code]=$A25)*M_BOM[RM_Qty_Per_Batch]*IFERROR(INDEX(PP_Grid[#Data],M_BOM[PPGridRow],105),0))</f>
        <v/>
      </c>
    </row>
    <row r="26">
      <c r="A26" t="inlineStr">
        <is>
          <t>CHEM-1760</t>
        </is>
      </c>
      <c r="B26">
        <f>SUMPRODUCT((M_BOM[RM_Code]=$A26)*M_BOM[RM_Qty_Per_Batch]*IFERROR(INDEX(PP_Grid[#Data],M_BOM[PPGridRow],2),0))</f>
        <v/>
      </c>
      <c r="C26">
        <f>SUMPRODUCT((M_BOM[RM_Code]=$A26)*M_BOM[RM_Qty_Per_Batch]*IFERROR(INDEX(PP_Grid[#Data],M_BOM[PPGridRow],3),0))</f>
        <v/>
      </c>
      <c r="D26">
        <f>SUMPRODUCT((M_BOM[RM_Code]=$A26)*M_BOM[RM_Qty_Per_Batch]*IFERROR(INDEX(PP_Grid[#Data],M_BOM[PPGridRow],4),0))</f>
        <v/>
      </c>
      <c r="E26">
        <f>SUMPRODUCT((M_BOM[RM_Code]=$A26)*M_BOM[RM_Qty_Per_Batch]*IFERROR(INDEX(PP_Grid[#Data],M_BOM[PPGridRow],5),0))</f>
        <v/>
      </c>
      <c r="F26">
        <f>SUMPRODUCT((M_BOM[RM_Code]=$A26)*M_BOM[RM_Qty_Per_Batch]*IFERROR(INDEX(PP_Grid[#Data],M_BOM[PPGridRow],6),0))</f>
        <v/>
      </c>
      <c r="G26">
        <f>SUMPRODUCT((M_BOM[RM_Code]=$A26)*M_BOM[RM_Qty_Per_Batch]*IFERROR(INDEX(PP_Grid[#Data],M_BOM[PPGridRow],7),0))</f>
        <v/>
      </c>
      <c r="H26">
        <f>SUMPRODUCT((M_BOM[RM_Code]=$A26)*M_BOM[RM_Qty_Per_Batch]*IFERROR(INDEX(PP_Grid[#Data],M_BOM[PPGridRow],8),0))</f>
        <v/>
      </c>
      <c r="I26">
        <f>SUMPRODUCT((M_BOM[RM_Code]=$A26)*M_BOM[RM_Qty_Per_Batch]*IFERROR(INDEX(PP_Grid[#Data],M_BOM[PPGridRow],9),0))</f>
        <v/>
      </c>
      <c r="J26">
        <f>SUMPRODUCT((M_BOM[RM_Code]=$A26)*M_BOM[RM_Qty_Per_Batch]*IFERROR(INDEX(PP_Grid[#Data],M_BOM[PPGridRow],10),0))</f>
        <v/>
      </c>
      <c r="K26">
        <f>SUMPRODUCT((M_BOM[RM_Code]=$A26)*M_BOM[RM_Qty_Per_Batch]*IFERROR(INDEX(PP_Grid[#Data],M_BOM[PPGridRow],11),0))</f>
        <v/>
      </c>
      <c r="L26">
        <f>SUMPRODUCT((M_BOM[RM_Code]=$A26)*M_BOM[RM_Qty_Per_Batch]*IFERROR(INDEX(PP_Grid[#Data],M_BOM[PPGridRow],12),0))</f>
        <v/>
      </c>
      <c r="M26">
        <f>SUMPRODUCT((M_BOM[RM_Code]=$A26)*M_BOM[RM_Qty_Per_Batch]*IFERROR(INDEX(PP_Grid[#Data],M_BOM[PPGridRow],13),0))</f>
        <v/>
      </c>
      <c r="N26">
        <f>SUMPRODUCT((M_BOM[RM_Code]=$A26)*M_BOM[RM_Qty_Per_Batch]*IFERROR(INDEX(PP_Grid[#Data],M_BOM[PPGridRow],14),0))</f>
        <v/>
      </c>
      <c r="O26">
        <f>SUMPRODUCT((M_BOM[RM_Code]=$A26)*M_BOM[RM_Qty_Per_Batch]*IFERROR(INDEX(PP_Grid[#Data],M_BOM[PPGridRow],15),0))</f>
        <v/>
      </c>
      <c r="P26">
        <f>SUMPRODUCT((M_BOM[RM_Code]=$A26)*M_BOM[RM_Qty_Per_Batch]*IFERROR(INDEX(PP_Grid[#Data],M_BOM[PPGridRow],16),0))</f>
        <v/>
      </c>
      <c r="Q26">
        <f>SUMPRODUCT((M_BOM[RM_Code]=$A26)*M_BOM[RM_Qty_Per_Batch]*IFERROR(INDEX(PP_Grid[#Data],M_BOM[PPGridRow],17),0))</f>
        <v/>
      </c>
      <c r="R26">
        <f>SUMPRODUCT((M_BOM[RM_Code]=$A26)*M_BOM[RM_Qty_Per_Batch]*IFERROR(INDEX(PP_Grid[#Data],M_BOM[PPGridRow],18),0))</f>
        <v/>
      </c>
      <c r="S26">
        <f>SUMPRODUCT((M_BOM[RM_Code]=$A26)*M_BOM[RM_Qty_Per_Batch]*IFERROR(INDEX(PP_Grid[#Data],M_BOM[PPGridRow],19),0))</f>
        <v/>
      </c>
      <c r="T26">
        <f>SUMPRODUCT((M_BOM[RM_Code]=$A26)*M_BOM[RM_Qty_Per_Batch]*IFERROR(INDEX(PP_Grid[#Data],M_BOM[PPGridRow],20),0))</f>
        <v/>
      </c>
      <c r="U26">
        <f>SUMPRODUCT((M_BOM[RM_Code]=$A26)*M_BOM[RM_Qty_Per_Batch]*IFERROR(INDEX(PP_Grid[#Data],M_BOM[PPGridRow],21),0))</f>
        <v/>
      </c>
      <c r="V26">
        <f>SUMPRODUCT((M_BOM[RM_Code]=$A26)*M_BOM[RM_Qty_Per_Batch]*IFERROR(INDEX(PP_Grid[#Data],M_BOM[PPGridRow],22),0))</f>
        <v/>
      </c>
      <c r="W26">
        <f>SUMPRODUCT((M_BOM[RM_Code]=$A26)*M_BOM[RM_Qty_Per_Batch]*IFERROR(INDEX(PP_Grid[#Data],M_BOM[PPGridRow],23),0))</f>
        <v/>
      </c>
      <c r="X26">
        <f>SUMPRODUCT((M_BOM[RM_Code]=$A26)*M_BOM[RM_Qty_Per_Batch]*IFERROR(INDEX(PP_Grid[#Data],M_BOM[PPGridRow],24),0))</f>
        <v/>
      </c>
      <c r="Y26">
        <f>SUMPRODUCT((M_BOM[RM_Code]=$A26)*M_BOM[RM_Qty_Per_Batch]*IFERROR(INDEX(PP_Grid[#Data],M_BOM[PPGridRow],25),0))</f>
        <v/>
      </c>
      <c r="Z26">
        <f>SUMPRODUCT((M_BOM[RM_Code]=$A26)*M_BOM[RM_Qty_Per_Batch]*IFERROR(INDEX(PP_Grid[#Data],M_BOM[PPGridRow],26),0))</f>
        <v/>
      </c>
      <c r="AA26">
        <f>SUMPRODUCT((M_BOM[RM_Code]=$A26)*M_BOM[RM_Qty_Per_Batch]*IFERROR(INDEX(PP_Grid[#Data],M_BOM[PPGridRow],27),0))</f>
        <v/>
      </c>
      <c r="AB26">
        <f>SUMPRODUCT((M_BOM[RM_Code]=$A26)*M_BOM[RM_Qty_Per_Batch]*IFERROR(INDEX(PP_Grid[#Data],M_BOM[PPGridRow],28),0))</f>
        <v/>
      </c>
      <c r="AC26">
        <f>SUMPRODUCT((M_BOM[RM_Code]=$A26)*M_BOM[RM_Qty_Per_Batch]*IFERROR(INDEX(PP_Grid[#Data],M_BOM[PPGridRow],29),0))</f>
        <v/>
      </c>
      <c r="AD26">
        <f>SUMPRODUCT((M_BOM[RM_Code]=$A26)*M_BOM[RM_Qty_Per_Batch]*IFERROR(INDEX(PP_Grid[#Data],M_BOM[PPGridRow],30),0))</f>
        <v/>
      </c>
      <c r="AE26">
        <f>SUMPRODUCT((M_BOM[RM_Code]=$A26)*M_BOM[RM_Qty_Per_Batch]*IFERROR(INDEX(PP_Grid[#Data],M_BOM[PPGridRow],31),0))</f>
        <v/>
      </c>
      <c r="AF26">
        <f>SUMPRODUCT((M_BOM[RM_Code]=$A26)*M_BOM[RM_Qty_Per_Batch]*IFERROR(INDEX(PP_Grid[#Data],M_BOM[PPGridRow],32),0))</f>
        <v/>
      </c>
      <c r="AG26">
        <f>SUMPRODUCT((M_BOM[RM_Code]=$A26)*M_BOM[RM_Qty_Per_Batch]*IFERROR(INDEX(PP_Grid[#Data],M_BOM[PPGridRow],33),0))</f>
        <v/>
      </c>
      <c r="AH26">
        <f>SUMPRODUCT((M_BOM[RM_Code]=$A26)*M_BOM[RM_Qty_Per_Batch]*IFERROR(INDEX(PP_Grid[#Data],M_BOM[PPGridRow],34),0))</f>
        <v/>
      </c>
      <c r="AI26">
        <f>SUMPRODUCT((M_BOM[RM_Code]=$A26)*M_BOM[RM_Qty_Per_Batch]*IFERROR(INDEX(PP_Grid[#Data],M_BOM[PPGridRow],35),0))</f>
        <v/>
      </c>
      <c r="AJ26">
        <f>SUMPRODUCT((M_BOM[RM_Code]=$A26)*M_BOM[RM_Qty_Per_Batch]*IFERROR(INDEX(PP_Grid[#Data],M_BOM[PPGridRow],36),0))</f>
        <v/>
      </c>
      <c r="AK26">
        <f>SUMPRODUCT((M_BOM[RM_Code]=$A26)*M_BOM[RM_Qty_Per_Batch]*IFERROR(INDEX(PP_Grid[#Data],M_BOM[PPGridRow],37),0))</f>
        <v/>
      </c>
      <c r="AL26">
        <f>SUMPRODUCT((M_BOM[RM_Code]=$A26)*M_BOM[RM_Qty_Per_Batch]*IFERROR(INDEX(PP_Grid[#Data],M_BOM[PPGridRow],38),0))</f>
        <v/>
      </c>
      <c r="AM26">
        <f>SUMPRODUCT((M_BOM[RM_Code]=$A26)*M_BOM[RM_Qty_Per_Batch]*IFERROR(INDEX(PP_Grid[#Data],M_BOM[PPGridRow],39),0))</f>
        <v/>
      </c>
      <c r="AN26">
        <f>SUMPRODUCT((M_BOM[RM_Code]=$A26)*M_BOM[RM_Qty_Per_Batch]*IFERROR(INDEX(PP_Grid[#Data],M_BOM[PPGridRow],40),0))</f>
        <v/>
      </c>
      <c r="AO26">
        <f>SUMPRODUCT((M_BOM[RM_Code]=$A26)*M_BOM[RM_Qty_Per_Batch]*IFERROR(INDEX(PP_Grid[#Data],M_BOM[PPGridRow],41),0))</f>
        <v/>
      </c>
      <c r="AP26">
        <f>SUMPRODUCT((M_BOM[RM_Code]=$A26)*M_BOM[RM_Qty_Per_Batch]*IFERROR(INDEX(PP_Grid[#Data],M_BOM[PPGridRow],42),0))</f>
        <v/>
      </c>
      <c r="AQ26">
        <f>SUMPRODUCT((M_BOM[RM_Code]=$A26)*M_BOM[RM_Qty_Per_Batch]*IFERROR(INDEX(PP_Grid[#Data],M_BOM[PPGridRow],43),0))</f>
        <v/>
      </c>
      <c r="AR26">
        <f>SUMPRODUCT((M_BOM[RM_Code]=$A26)*M_BOM[RM_Qty_Per_Batch]*IFERROR(INDEX(PP_Grid[#Data],M_BOM[PPGridRow],44),0))</f>
        <v/>
      </c>
      <c r="AS26">
        <f>SUMPRODUCT((M_BOM[RM_Code]=$A26)*M_BOM[RM_Qty_Per_Batch]*IFERROR(INDEX(PP_Grid[#Data],M_BOM[PPGridRow],45),0))</f>
        <v/>
      </c>
      <c r="AT26">
        <f>SUMPRODUCT((M_BOM[RM_Code]=$A26)*M_BOM[RM_Qty_Per_Batch]*IFERROR(INDEX(PP_Grid[#Data],M_BOM[PPGridRow],46),0))</f>
        <v/>
      </c>
      <c r="AU26">
        <f>SUMPRODUCT((M_BOM[RM_Code]=$A26)*M_BOM[RM_Qty_Per_Batch]*IFERROR(INDEX(PP_Grid[#Data],M_BOM[PPGridRow],47),0))</f>
        <v/>
      </c>
      <c r="AV26">
        <f>SUMPRODUCT((M_BOM[RM_Code]=$A26)*M_BOM[RM_Qty_Per_Batch]*IFERROR(INDEX(PP_Grid[#Data],M_BOM[PPGridRow],48),0))</f>
        <v/>
      </c>
      <c r="AW26">
        <f>SUMPRODUCT((M_BOM[RM_Code]=$A26)*M_BOM[RM_Qty_Per_Batch]*IFERROR(INDEX(PP_Grid[#Data],M_BOM[PPGridRow],49),0))</f>
        <v/>
      </c>
      <c r="AX26">
        <f>SUMPRODUCT((M_BOM[RM_Code]=$A26)*M_BOM[RM_Qty_Per_Batch]*IFERROR(INDEX(PP_Grid[#Data],M_BOM[PPGridRow],50),0))</f>
        <v/>
      </c>
      <c r="AY26">
        <f>SUMPRODUCT((M_BOM[RM_Code]=$A26)*M_BOM[RM_Qty_Per_Batch]*IFERROR(INDEX(PP_Grid[#Data],M_BOM[PPGridRow],51),0))</f>
        <v/>
      </c>
      <c r="AZ26">
        <f>SUMPRODUCT((M_BOM[RM_Code]=$A26)*M_BOM[RM_Qty_Per_Batch]*IFERROR(INDEX(PP_Grid[#Data],M_BOM[PPGridRow],52),0))</f>
        <v/>
      </c>
      <c r="BA26">
        <f>SUMPRODUCT((M_BOM[RM_Code]=$A26)*M_BOM[RM_Qty_Per_Batch]*IFERROR(INDEX(PP_Grid[#Data],M_BOM[PPGridRow],53),0))</f>
        <v/>
      </c>
      <c r="BB26">
        <f>SUMPRODUCT((M_BOM[RM_Code]=$A26)*M_BOM[RM_Qty_Per_Batch]*IFERROR(INDEX(PP_Grid[#Data],M_BOM[PPGridRow],54),0))</f>
        <v/>
      </c>
      <c r="BC26">
        <f>SUMPRODUCT((M_BOM[RM_Code]=$A26)*M_BOM[RM_Qty_Per_Batch]*IFERROR(INDEX(PP_Grid[#Data],M_BOM[PPGridRow],55),0))</f>
        <v/>
      </c>
      <c r="BD26">
        <f>SUMPRODUCT((M_BOM[RM_Code]=$A26)*M_BOM[RM_Qty_Per_Batch]*IFERROR(INDEX(PP_Grid[#Data],M_BOM[PPGridRow],56),0))</f>
        <v/>
      </c>
      <c r="BE26">
        <f>SUMPRODUCT((M_BOM[RM_Code]=$A26)*M_BOM[RM_Qty_Per_Batch]*IFERROR(INDEX(PP_Grid[#Data],M_BOM[PPGridRow],57),0))</f>
        <v/>
      </c>
      <c r="BF26">
        <f>SUMPRODUCT((M_BOM[RM_Code]=$A26)*M_BOM[RM_Qty_Per_Batch]*IFERROR(INDEX(PP_Grid[#Data],M_BOM[PPGridRow],58),0))</f>
        <v/>
      </c>
      <c r="BG26">
        <f>SUMPRODUCT((M_BOM[RM_Code]=$A26)*M_BOM[RM_Qty_Per_Batch]*IFERROR(INDEX(PP_Grid[#Data],M_BOM[PPGridRow],59),0))</f>
        <v/>
      </c>
      <c r="BH26">
        <f>SUMPRODUCT((M_BOM[RM_Code]=$A26)*M_BOM[RM_Qty_Per_Batch]*IFERROR(INDEX(PP_Grid[#Data],M_BOM[PPGridRow],60),0))</f>
        <v/>
      </c>
      <c r="BI26">
        <f>SUMPRODUCT((M_BOM[RM_Code]=$A26)*M_BOM[RM_Qty_Per_Batch]*IFERROR(INDEX(PP_Grid[#Data],M_BOM[PPGridRow],61),0))</f>
        <v/>
      </c>
      <c r="BJ26">
        <f>SUMPRODUCT((M_BOM[RM_Code]=$A26)*M_BOM[RM_Qty_Per_Batch]*IFERROR(INDEX(PP_Grid[#Data],M_BOM[PPGridRow],62),0))</f>
        <v/>
      </c>
      <c r="BK26">
        <f>SUMPRODUCT((M_BOM[RM_Code]=$A26)*M_BOM[RM_Qty_Per_Batch]*IFERROR(INDEX(PP_Grid[#Data],M_BOM[PPGridRow],63),0))</f>
        <v/>
      </c>
      <c r="BL26">
        <f>SUMPRODUCT((M_BOM[RM_Code]=$A26)*M_BOM[RM_Qty_Per_Batch]*IFERROR(INDEX(PP_Grid[#Data],M_BOM[PPGridRow],64),0))</f>
        <v/>
      </c>
      <c r="BM26">
        <f>SUMPRODUCT((M_BOM[RM_Code]=$A26)*M_BOM[RM_Qty_Per_Batch]*IFERROR(INDEX(PP_Grid[#Data],M_BOM[PPGridRow],65),0))</f>
        <v/>
      </c>
      <c r="BN26">
        <f>SUMPRODUCT((M_BOM[RM_Code]=$A26)*M_BOM[RM_Qty_Per_Batch]*IFERROR(INDEX(PP_Grid[#Data],M_BOM[PPGridRow],66),0))</f>
        <v/>
      </c>
      <c r="BO26">
        <f>SUMPRODUCT((M_BOM[RM_Code]=$A26)*M_BOM[RM_Qty_Per_Batch]*IFERROR(INDEX(PP_Grid[#Data],M_BOM[PPGridRow],67),0))</f>
        <v/>
      </c>
      <c r="BP26">
        <f>SUMPRODUCT((M_BOM[RM_Code]=$A26)*M_BOM[RM_Qty_Per_Batch]*IFERROR(INDEX(PP_Grid[#Data],M_BOM[PPGridRow],68),0))</f>
        <v/>
      </c>
      <c r="BQ26">
        <f>SUMPRODUCT((M_BOM[RM_Code]=$A26)*M_BOM[RM_Qty_Per_Batch]*IFERROR(INDEX(PP_Grid[#Data],M_BOM[PPGridRow],69),0))</f>
        <v/>
      </c>
      <c r="BR26">
        <f>SUMPRODUCT((M_BOM[RM_Code]=$A26)*M_BOM[RM_Qty_Per_Batch]*IFERROR(INDEX(PP_Grid[#Data],M_BOM[PPGridRow],70),0))</f>
        <v/>
      </c>
      <c r="BS26">
        <f>SUMPRODUCT((M_BOM[RM_Code]=$A26)*M_BOM[RM_Qty_Per_Batch]*IFERROR(INDEX(PP_Grid[#Data],M_BOM[PPGridRow],71),0))</f>
        <v/>
      </c>
      <c r="BT26">
        <f>SUMPRODUCT((M_BOM[RM_Code]=$A26)*M_BOM[RM_Qty_Per_Batch]*IFERROR(INDEX(PP_Grid[#Data],M_BOM[PPGridRow],72),0))</f>
        <v/>
      </c>
      <c r="BU26">
        <f>SUMPRODUCT((M_BOM[RM_Code]=$A26)*M_BOM[RM_Qty_Per_Batch]*IFERROR(INDEX(PP_Grid[#Data],M_BOM[PPGridRow],73),0))</f>
        <v/>
      </c>
      <c r="BV26">
        <f>SUMPRODUCT((M_BOM[RM_Code]=$A26)*M_BOM[RM_Qty_Per_Batch]*IFERROR(INDEX(PP_Grid[#Data],M_BOM[PPGridRow],74),0))</f>
        <v/>
      </c>
      <c r="BW26">
        <f>SUMPRODUCT((M_BOM[RM_Code]=$A26)*M_BOM[RM_Qty_Per_Batch]*IFERROR(INDEX(PP_Grid[#Data],M_BOM[PPGridRow],75),0))</f>
        <v/>
      </c>
      <c r="BX26">
        <f>SUMPRODUCT((M_BOM[RM_Code]=$A26)*M_BOM[RM_Qty_Per_Batch]*IFERROR(INDEX(PP_Grid[#Data],M_BOM[PPGridRow],76),0))</f>
        <v/>
      </c>
      <c r="BY26">
        <f>SUMPRODUCT((M_BOM[RM_Code]=$A26)*M_BOM[RM_Qty_Per_Batch]*IFERROR(INDEX(PP_Grid[#Data],M_BOM[PPGridRow],77),0))</f>
        <v/>
      </c>
      <c r="BZ26">
        <f>SUMPRODUCT((M_BOM[RM_Code]=$A26)*M_BOM[RM_Qty_Per_Batch]*IFERROR(INDEX(PP_Grid[#Data],M_BOM[PPGridRow],78),0))</f>
        <v/>
      </c>
      <c r="CA26">
        <f>SUMPRODUCT((M_BOM[RM_Code]=$A26)*M_BOM[RM_Qty_Per_Batch]*IFERROR(INDEX(PP_Grid[#Data],M_BOM[PPGridRow],79),0))</f>
        <v/>
      </c>
      <c r="CB26">
        <f>SUMPRODUCT((M_BOM[RM_Code]=$A26)*M_BOM[RM_Qty_Per_Batch]*IFERROR(INDEX(PP_Grid[#Data],M_BOM[PPGridRow],80),0))</f>
        <v/>
      </c>
      <c r="CC26">
        <f>SUMPRODUCT((M_BOM[RM_Code]=$A26)*M_BOM[RM_Qty_Per_Batch]*IFERROR(INDEX(PP_Grid[#Data],M_BOM[PPGridRow],81),0))</f>
        <v/>
      </c>
      <c r="CD26">
        <f>SUMPRODUCT((M_BOM[RM_Code]=$A26)*M_BOM[RM_Qty_Per_Batch]*IFERROR(INDEX(PP_Grid[#Data],M_BOM[PPGridRow],82),0))</f>
        <v/>
      </c>
      <c r="CE26">
        <f>SUMPRODUCT((M_BOM[RM_Code]=$A26)*M_BOM[RM_Qty_Per_Batch]*IFERROR(INDEX(PP_Grid[#Data],M_BOM[PPGridRow],83),0))</f>
        <v/>
      </c>
      <c r="CF26">
        <f>SUMPRODUCT((M_BOM[RM_Code]=$A26)*M_BOM[RM_Qty_Per_Batch]*IFERROR(INDEX(PP_Grid[#Data],M_BOM[PPGridRow],84),0))</f>
        <v/>
      </c>
      <c r="CG26">
        <f>SUMPRODUCT((M_BOM[RM_Code]=$A26)*M_BOM[RM_Qty_Per_Batch]*IFERROR(INDEX(PP_Grid[#Data],M_BOM[PPGridRow],85),0))</f>
        <v/>
      </c>
      <c r="CH26">
        <f>SUMPRODUCT((M_BOM[RM_Code]=$A26)*M_BOM[RM_Qty_Per_Batch]*IFERROR(INDEX(PP_Grid[#Data],M_BOM[PPGridRow],86),0))</f>
        <v/>
      </c>
      <c r="CI26">
        <f>SUMPRODUCT((M_BOM[RM_Code]=$A26)*M_BOM[RM_Qty_Per_Batch]*IFERROR(INDEX(PP_Grid[#Data],M_BOM[PPGridRow],87),0))</f>
        <v/>
      </c>
      <c r="CJ26">
        <f>SUMPRODUCT((M_BOM[RM_Code]=$A26)*M_BOM[RM_Qty_Per_Batch]*IFERROR(INDEX(PP_Grid[#Data],M_BOM[PPGridRow],88),0))</f>
        <v/>
      </c>
      <c r="CK26">
        <f>SUMPRODUCT((M_BOM[RM_Code]=$A26)*M_BOM[RM_Qty_Per_Batch]*IFERROR(INDEX(PP_Grid[#Data],M_BOM[PPGridRow],89),0))</f>
        <v/>
      </c>
      <c r="CL26">
        <f>SUMPRODUCT((M_BOM[RM_Code]=$A26)*M_BOM[RM_Qty_Per_Batch]*IFERROR(INDEX(PP_Grid[#Data],M_BOM[PPGridRow],90),0))</f>
        <v/>
      </c>
      <c r="CM26">
        <f>SUMPRODUCT((M_BOM[RM_Code]=$A26)*M_BOM[RM_Qty_Per_Batch]*IFERROR(INDEX(PP_Grid[#Data],M_BOM[PPGridRow],91),0))</f>
        <v/>
      </c>
      <c r="CN26">
        <f>SUMPRODUCT((M_BOM[RM_Code]=$A26)*M_BOM[RM_Qty_Per_Batch]*IFERROR(INDEX(PP_Grid[#Data],M_BOM[PPGridRow],92),0))</f>
        <v/>
      </c>
      <c r="CO26">
        <f>SUMPRODUCT((M_BOM[RM_Code]=$A26)*M_BOM[RM_Qty_Per_Batch]*IFERROR(INDEX(PP_Grid[#Data],M_BOM[PPGridRow],93),0))</f>
        <v/>
      </c>
      <c r="CP26">
        <f>SUMPRODUCT((M_BOM[RM_Code]=$A26)*M_BOM[RM_Qty_Per_Batch]*IFERROR(INDEX(PP_Grid[#Data],M_BOM[PPGridRow],94),0))</f>
        <v/>
      </c>
      <c r="CQ26">
        <f>SUMPRODUCT((M_BOM[RM_Code]=$A26)*M_BOM[RM_Qty_Per_Batch]*IFERROR(INDEX(PP_Grid[#Data],M_BOM[PPGridRow],95),0))</f>
        <v/>
      </c>
      <c r="CR26">
        <f>SUMPRODUCT((M_BOM[RM_Code]=$A26)*M_BOM[RM_Qty_Per_Batch]*IFERROR(INDEX(PP_Grid[#Data],M_BOM[PPGridRow],96),0))</f>
        <v/>
      </c>
      <c r="CS26">
        <f>SUMPRODUCT((M_BOM[RM_Code]=$A26)*M_BOM[RM_Qty_Per_Batch]*IFERROR(INDEX(PP_Grid[#Data],M_BOM[PPGridRow],97),0))</f>
        <v/>
      </c>
      <c r="CT26">
        <f>SUMPRODUCT((M_BOM[RM_Code]=$A26)*M_BOM[RM_Qty_Per_Batch]*IFERROR(INDEX(PP_Grid[#Data],M_BOM[PPGridRow],98),0))</f>
        <v/>
      </c>
      <c r="CU26">
        <f>SUMPRODUCT((M_BOM[RM_Code]=$A26)*M_BOM[RM_Qty_Per_Batch]*IFERROR(INDEX(PP_Grid[#Data],M_BOM[PPGridRow],99),0))</f>
        <v/>
      </c>
      <c r="CV26">
        <f>SUMPRODUCT((M_BOM[RM_Code]=$A26)*M_BOM[RM_Qty_Per_Batch]*IFERROR(INDEX(PP_Grid[#Data],M_BOM[PPGridRow],100),0))</f>
        <v/>
      </c>
      <c r="CW26">
        <f>SUMPRODUCT((M_BOM[RM_Code]=$A26)*M_BOM[RM_Qty_Per_Batch]*IFERROR(INDEX(PP_Grid[#Data],M_BOM[PPGridRow],101),0))</f>
        <v/>
      </c>
      <c r="CX26">
        <f>SUMPRODUCT((M_BOM[RM_Code]=$A26)*M_BOM[RM_Qty_Per_Batch]*IFERROR(INDEX(PP_Grid[#Data],M_BOM[PPGridRow],102),0))</f>
        <v/>
      </c>
      <c r="CY26">
        <f>SUMPRODUCT((M_BOM[RM_Code]=$A26)*M_BOM[RM_Qty_Per_Batch]*IFERROR(INDEX(PP_Grid[#Data],M_BOM[PPGridRow],103),0))</f>
        <v/>
      </c>
      <c r="CZ26">
        <f>SUMPRODUCT((M_BOM[RM_Code]=$A26)*M_BOM[RM_Qty_Per_Batch]*IFERROR(INDEX(PP_Grid[#Data],M_BOM[PPGridRow],104),0))</f>
        <v/>
      </c>
      <c r="DA26">
        <f>SUMPRODUCT((M_BOM[RM_Code]=$A26)*M_BOM[RM_Qty_Per_Batch]*IFERROR(INDEX(PP_Grid[#Data],M_BOM[PPGridRow],105),0))</f>
        <v/>
      </c>
    </row>
    <row r="27">
      <c r="A27" t="inlineStr">
        <is>
          <t>Original Towel</t>
        </is>
      </c>
      <c r="B27">
        <f>SUMPRODUCT((M_BOM[RM_Code]=$A27)*M_BOM[RM_Qty_Per_Batch]*IFERROR(INDEX(PP_Grid[#Data],M_BOM[PPGridRow],2),0))</f>
        <v/>
      </c>
      <c r="C27">
        <f>SUMPRODUCT((M_BOM[RM_Code]=$A27)*M_BOM[RM_Qty_Per_Batch]*IFERROR(INDEX(PP_Grid[#Data],M_BOM[PPGridRow],3),0))</f>
        <v/>
      </c>
      <c r="D27">
        <f>SUMPRODUCT((M_BOM[RM_Code]=$A27)*M_BOM[RM_Qty_Per_Batch]*IFERROR(INDEX(PP_Grid[#Data],M_BOM[PPGridRow],4),0))</f>
        <v/>
      </c>
      <c r="E27">
        <f>SUMPRODUCT((M_BOM[RM_Code]=$A27)*M_BOM[RM_Qty_Per_Batch]*IFERROR(INDEX(PP_Grid[#Data],M_BOM[PPGridRow],5),0))</f>
        <v/>
      </c>
      <c r="F27">
        <f>SUMPRODUCT((M_BOM[RM_Code]=$A27)*M_BOM[RM_Qty_Per_Batch]*IFERROR(INDEX(PP_Grid[#Data],M_BOM[PPGridRow],6),0))</f>
        <v/>
      </c>
      <c r="G27">
        <f>SUMPRODUCT((M_BOM[RM_Code]=$A27)*M_BOM[RM_Qty_Per_Batch]*IFERROR(INDEX(PP_Grid[#Data],M_BOM[PPGridRow],7),0))</f>
        <v/>
      </c>
      <c r="H27">
        <f>SUMPRODUCT((M_BOM[RM_Code]=$A27)*M_BOM[RM_Qty_Per_Batch]*IFERROR(INDEX(PP_Grid[#Data],M_BOM[PPGridRow],8),0))</f>
        <v/>
      </c>
      <c r="I27">
        <f>SUMPRODUCT((M_BOM[RM_Code]=$A27)*M_BOM[RM_Qty_Per_Batch]*IFERROR(INDEX(PP_Grid[#Data],M_BOM[PPGridRow],9),0))</f>
        <v/>
      </c>
      <c r="J27">
        <f>SUMPRODUCT((M_BOM[RM_Code]=$A27)*M_BOM[RM_Qty_Per_Batch]*IFERROR(INDEX(PP_Grid[#Data],M_BOM[PPGridRow],10),0))</f>
        <v/>
      </c>
      <c r="K27">
        <f>SUMPRODUCT((M_BOM[RM_Code]=$A27)*M_BOM[RM_Qty_Per_Batch]*IFERROR(INDEX(PP_Grid[#Data],M_BOM[PPGridRow],11),0))</f>
        <v/>
      </c>
      <c r="L27">
        <f>SUMPRODUCT((M_BOM[RM_Code]=$A27)*M_BOM[RM_Qty_Per_Batch]*IFERROR(INDEX(PP_Grid[#Data],M_BOM[PPGridRow],12),0))</f>
        <v/>
      </c>
      <c r="M27">
        <f>SUMPRODUCT((M_BOM[RM_Code]=$A27)*M_BOM[RM_Qty_Per_Batch]*IFERROR(INDEX(PP_Grid[#Data],M_BOM[PPGridRow],13),0))</f>
        <v/>
      </c>
      <c r="N27">
        <f>SUMPRODUCT((M_BOM[RM_Code]=$A27)*M_BOM[RM_Qty_Per_Batch]*IFERROR(INDEX(PP_Grid[#Data],M_BOM[PPGridRow],14),0))</f>
        <v/>
      </c>
      <c r="O27">
        <f>SUMPRODUCT((M_BOM[RM_Code]=$A27)*M_BOM[RM_Qty_Per_Batch]*IFERROR(INDEX(PP_Grid[#Data],M_BOM[PPGridRow],15),0))</f>
        <v/>
      </c>
      <c r="P27">
        <f>SUMPRODUCT((M_BOM[RM_Code]=$A27)*M_BOM[RM_Qty_Per_Batch]*IFERROR(INDEX(PP_Grid[#Data],M_BOM[PPGridRow],16),0))</f>
        <v/>
      </c>
      <c r="Q27">
        <f>SUMPRODUCT((M_BOM[RM_Code]=$A27)*M_BOM[RM_Qty_Per_Batch]*IFERROR(INDEX(PP_Grid[#Data],M_BOM[PPGridRow],17),0))</f>
        <v/>
      </c>
      <c r="R27">
        <f>SUMPRODUCT((M_BOM[RM_Code]=$A27)*M_BOM[RM_Qty_Per_Batch]*IFERROR(INDEX(PP_Grid[#Data],M_BOM[PPGridRow],18),0))</f>
        <v/>
      </c>
      <c r="S27">
        <f>SUMPRODUCT((M_BOM[RM_Code]=$A27)*M_BOM[RM_Qty_Per_Batch]*IFERROR(INDEX(PP_Grid[#Data],M_BOM[PPGridRow],19),0))</f>
        <v/>
      </c>
      <c r="T27">
        <f>SUMPRODUCT((M_BOM[RM_Code]=$A27)*M_BOM[RM_Qty_Per_Batch]*IFERROR(INDEX(PP_Grid[#Data],M_BOM[PPGridRow],20),0))</f>
        <v/>
      </c>
      <c r="U27">
        <f>SUMPRODUCT((M_BOM[RM_Code]=$A27)*M_BOM[RM_Qty_Per_Batch]*IFERROR(INDEX(PP_Grid[#Data],M_BOM[PPGridRow],21),0))</f>
        <v/>
      </c>
      <c r="V27">
        <f>SUMPRODUCT((M_BOM[RM_Code]=$A27)*M_BOM[RM_Qty_Per_Batch]*IFERROR(INDEX(PP_Grid[#Data],M_BOM[PPGridRow],22),0))</f>
        <v/>
      </c>
      <c r="W27">
        <f>SUMPRODUCT((M_BOM[RM_Code]=$A27)*M_BOM[RM_Qty_Per_Batch]*IFERROR(INDEX(PP_Grid[#Data],M_BOM[PPGridRow],23),0))</f>
        <v/>
      </c>
      <c r="X27">
        <f>SUMPRODUCT((M_BOM[RM_Code]=$A27)*M_BOM[RM_Qty_Per_Batch]*IFERROR(INDEX(PP_Grid[#Data],M_BOM[PPGridRow],24),0))</f>
        <v/>
      </c>
      <c r="Y27">
        <f>SUMPRODUCT((M_BOM[RM_Code]=$A27)*M_BOM[RM_Qty_Per_Batch]*IFERROR(INDEX(PP_Grid[#Data],M_BOM[PPGridRow],25),0))</f>
        <v/>
      </c>
      <c r="Z27">
        <f>SUMPRODUCT((M_BOM[RM_Code]=$A27)*M_BOM[RM_Qty_Per_Batch]*IFERROR(INDEX(PP_Grid[#Data],M_BOM[PPGridRow],26),0))</f>
        <v/>
      </c>
      <c r="AA27">
        <f>SUMPRODUCT((M_BOM[RM_Code]=$A27)*M_BOM[RM_Qty_Per_Batch]*IFERROR(INDEX(PP_Grid[#Data],M_BOM[PPGridRow],27),0))</f>
        <v/>
      </c>
      <c r="AB27">
        <f>SUMPRODUCT((M_BOM[RM_Code]=$A27)*M_BOM[RM_Qty_Per_Batch]*IFERROR(INDEX(PP_Grid[#Data],M_BOM[PPGridRow],28),0))</f>
        <v/>
      </c>
      <c r="AC27">
        <f>SUMPRODUCT((M_BOM[RM_Code]=$A27)*M_BOM[RM_Qty_Per_Batch]*IFERROR(INDEX(PP_Grid[#Data],M_BOM[PPGridRow],29),0))</f>
        <v/>
      </c>
      <c r="AD27">
        <f>SUMPRODUCT((M_BOM[RM_Code]=$A27)*M_BOM[RM_Qty_Per_Batch]*IFERROR(INDEX(PP_Grid[#Data],M_BOM[PPGridRow],30),0))</f>
        <v/>
      </c>
      <c r="AE27">
        <f>SUMPRODUCT((M_BOM[RM_Code]=$A27)*M_BOM[RM_Qty_Per_Batch]*IFERROR(INDEX(PP_Grid[#Data],M_BOM[PPGridRow],31),0))</f>
        <v/>
      </c>
      <c r="AF27">
        <f>SUMPRODUCT((M_BOM[RM_Code]=$A27)*M_BOM[RM_Qty_Per_Batch]*IFERROR(INDEX(PP_Grid[#Data],M_BOM[PPGridRow],32),0))</f>
        <v/>
      </c>
      <c r="AG27">
        <f>SUMPRODUCT((M_BOM[RM_Code]=$A27)*M_BOM[RM_Qty_Per_Batch]*IFERROR(INDEX(PP_Grid[#Data],M_BOM[PPGridRow],33),0))</f>
        <v/>
      </c>
      <c r="AH27">
        <f>SUMPRODUCT((M_BOM[RM_Code]=$A27)*M_BOM[RM_Qty_Per_Batch]*IFERROR(INDEX(PP_Grid[#Data],M_BOM[PPGridRow],34),0))</f>
        <v/>
      </c>
      <c r="AI27">
        <f>SUMPRODUCT((M_BOM[RM_Code]=$A27)*M_BOM[RM_Qty_Per_Batch]*IFERROR(INDEX(PP_Grid[#Data],M_BOM[PPGridRow],35),0))</f>
        <v/>
      </c>
      <c r="AJ27">
        <f>SUMPRODUCT((M_BOM[RM_Code]=$A27)*M_BOM[RM_Qty_Per_Batch]*IFERROR(INDEX(PP_Grid[#Data],M_BOM[PPGridRow],36),0))</f>
        <v/>
      </c>
      <c r="AK27">
        <f>SUMPRODUCT((M_BOM[RM_Code]=$A27)*M_BOM[RM_Qty_Per_Batch]*IFERROR(INDEX(PP_Grid[#Data],M_BOM[PPGridRow],37),0))</f>
        <v/>
      </c>
      <c r="AL27">
        <f>SUMPRODUCT((M_BOM[RM_Code]=$A27)*M_BOM[RM_Qty_Per_Batch]*IFERROR(INDEX(PP_Grid[#Data],M_BOM[PPGridRow],38),0))</f>
        <v/>
      </c>
      <c r="AM27">
        <f>SUMPRODUCT((M_BOM[RM_Code]=$A27)*M_BOM[RM_Qty_Per_Batch]*IFERROR(INDEX(PP_Grid[#Data],M_BOM[PPGridRow],39),0))</f>
        <v/>
      </c>
      <c r="AN27">
        <f>SUMPRODUCT((M_BOM[RM_Code]=$A27)*M_BOM[RM_Qty_Per_Batch]*IFERROR(INDEX(PP_Grid[#Data],M_BOM[PPGridRow],40),0))</f>
        <v/>
      </c>
      <c r="AO27">
        <f>SUMPRODUCT((M_BOM[RM_Code]=$A27)*M_BOM[RM_Qty_Per_Batch]*IFERROR(INDEX(PP_Grid[#Data],M_BOM[PPGridRow],41),0))</f>
        <v/>
      </c>
      <c r="AP27">
        <f>SUMPRODUCT((M_BOM[RM_Code]=$A27)*M_BOM[RM_Qty_Per_Batch]*IFERROR(INDEX(PP_Grid[#Data],M_BOM[PPGridRow],42),0))</f>
        <v/>
      </c>
      <c r="AQ27">
        <f>SUMPRODUCT((M_BOM[RM_Code]=$A27)*M_BOM[RM_Qty_Per_Batch]*IFERROR(INDEX(PP_Grid[#Data],M_BOM[PPGridRow],43),0))</f>
        <v/>
      </c>
      <c r="AR27">
        <f>SUMPRODUCT((M_BOM[RM_Code]=$A27)*M_BOM[RM_Qty_Per_Batch]*IFERROR(INDEX(PP_Grid[#Data],M_BOM[PPGridRow],44),0))</f>
        <v/>
      </c>
      <c r="AS27">
        <f>SUMPRODUCT((M_BOM[RM_Code]=$A27)*M_BOM[RM_Qty_Per_Batch]*IFERROR(INDEX(PP_Grid[#Data],M_BOM[PPGridRow],45),0))</f>
        <v/>
      </c>
      <c r="AT27">
        <f>SUMPRODUCT((M_BOM[RM_Code]=$A27)*M_BOM[RM_Qty_Per_Batch]*IFERROR(INDEX(PP_Grid[#Data],M_BOM[PPGridRow],46),0))</f>
        <v/>
      </c>
      <c r="AU27">
        <f>SUMPRODUCT((M_BOM[RM_Code]=$A27)*M_BOM[RM_Qty_Per_Batch]*IFERROR(INDEX(PP_Grid[#Data],M_BOM[PPGridRow],47),0))</f>
        <v/>
      </c>
      <c r="AV27">
        <f>SUMPRODUCT((M_BOM[RM_Code]=$A27)*M_BOM[RM_Qty_Per_Batch]*IFERROR(INDEX(PP_Grid[#Data],M_BOM[PPGridRow],48),0))</f>
        <v/>
      </c>
      <c r="AW27">
        <f>SUMPRODUCT((M_BOM[RM_Code]=$A27)*M_BOM[RM_Qty_Per_Batch]*IFERROR(INDEX(PP_Grid[#Data],M_BOM[PPGridRow],49),0))</f>
        <v/>
      </c>
      <c r="AX27">
        <f>SUMPRODUCT((M_BOM[RM_Code]=$A27)*M_BOM[RM_Qty_Per_Batch]*IFERROR(INDEX(PP_Grid[#Data],M_BOM[PPGridRow],50),0))</f>
        <v/>
      </c>
      <c r="AY27">
        <f>SUMPRODUCT((M_BOM[RM_Code]=$A27)*M_BOM[RM_Qty_Per_Batch]*IFERROR(INDEX(PP_Grid[#Data],M_BOM[PPGridRow],51),0))</f>
        <v/>
      </c>
      <c r="AZ27">
        <f>SUMPRODUCT((M_BOM[RM_Code]=$A27)*M_BOM[RM_Qty_Per_Batch]*IFERROR(INDEX(PP_Grid[#Data],M_BOM[PPGridRow],52),0))</f>
        <v/>
      </c>
      <c r="BA27">
        <f>SUMPRODUCT((M_BOM[RM_Code]=$A27)*M_BOM[RM_Qty_Per_Batch]*IFERROR(INDEX(PP_Grid[#Data],M_BOM[PPGridRow],53),0))</f>
        <v/>
      </c>
      <c r="BB27">
        <f>SUMPRODUCT((M_BOM[RM_Code]=$A27)*M_BOM[RM_Qty_Per_Batch]*IFERROR(INDEX(PP_Grid[#Data],M_BOM[PPGridRow],54),0))</f>
        <v/>
      </c>
      <c r="BC27">
        <f>SUMPRODUCT((M_BOM[RM_Code]=$A27)*M_BOM[RM_Qty_Per_Batch]*IFERROR(INDEX(PP_Grid[#Data],M_BOM[PPGridRow],55),0))</f>
        <v/>
      </c>
      <c r="BD27">
        <f>SUMPRODUCT((M_BOM[RM_Code]=$A27)*M_BOM[RM_Qty_Per_Batch]*IFERROR(INDEX(PP_Grid[#Data],M_BOM[PPGridRow],56),0))</f>
        <v/>
      </c>
      <c r="BE27">
        <f>SUMPRODUCT((M_BOM[RM_Code]=$A27)*M_BOM[RM_Qty_Per_Batch]*IFERROR(INDEX(PP_Grid[#Data],M_BOM[PPGridRow],57),0))</f>
        <v/>
      </c>
      <c r="BF27">
        <f>SUMPRODUCT((M_BOM[RM_Code]=$A27)*M_BOM[RM_Qty_Per_Batch]*IFERROR(INDEX(PP_Grid[#Data],M_BOM[PPGridRow],58),0))</f>
        <v/>
      </c>
      <c r="BG27">
        <f>SUMPRODUCT((M_BOM[RM_Code]=$A27)*M_BOM[RM_Qty_Per_Batch]*IFERROR(INDEX(PP_Grid[#Data],M_BOM[PPGridRow],59),0))</f>
        <v/>
      </c>
      <c r="BH27">
        <f>SUMPRODUCT((M_BOM[RM_Code]=$A27)*M_BOM[RM_Qty_Per_Batch]*IFERROR(INDEX(PP_Grid[#Data],M_BOM[PPGridRow],60),0))</f>
        <v/>
      </c>
      <c r="BI27">
        <f>SUMPRODUCT((M_BOM[RM_Code]=$A27)*M_BOM[RM_Qty_Per_Batch]*IFERROR(INDEX(PP_Grid[#Data],M_BOM[PPGridRow],61),0))</f>
        <v/>
      </c>
      <c r="BJ27">
        <f>SUMPRODUCT((M_BOM[RM_Code]=$A27)*M_BOM[RM_Qty_Per_Batch]*IFERROR(INDEX(PP_Grid[#Data],M_BOM[PPGridRow],62),0))</f>
        <v/>
      </c>
      <c r="BK27">
        <f>SUMPRODUCT((M_BOM[RM_Code]=$A27)*M_BOM[RM_Qty_Per_Batch]*IFERROR(INDEX(PP_Grid[#Data],M_BOM[PPGridRow],63),0))</f>
        <v/>
      </c>
      <c r="BL27">
        <f>SUMPRODUCT((M_BOM[RM_Code]=$A27)*M_BOM[RM_Qty_Per_Batch]*IFERROR(INDEX(PP_Grid[#Data],M_BOM[PPGridRow],64),0))</f>
        <v/>
      </c>
      <c r="BM27">
        <f>SUMPRODUCT((M_BOM[RM_Code]=$A27)*M_BOM[RM_Qty_Per_Batch]*IFERROR(INDEX(PP_Grid[#Data],M_BOM[PPGridRow],65),0))</f>
        <v/>
      </c>
      <c r="BN27">
        <f>SUMPRODUCT((M_BOM[RM_Code]=$A27)*M_BOM[RM_Qty_Per_Batch]*IFERROR(INDEX(PP_Grid[#Data],M_BOM[PPGridRow],66),0))</f>
        <v/>
      </c>
      <c r="BO27">
        <f>SUMPRODUCT((M_BOM[RM_Code]=$A27)*M_BOM[RM_Qty_Per_Batch]*IFERROR(INDEX(PP_Grid[#Data],M_BOM[PPGridRow],67),0))</f>
        <v/>
      </c>
      <c r="BP27">
        <f>SUMPRODUCT((M_BOM[RM_Code]=$A27)*M_BOM[RM_Qty_Per_Batch]*IFERROR(INDEX(PP_Grid[#Data],M_BOM[PPGridRow],68),0))</f>
        <v/>
      </c>
      <c r="BQ27">
        <f>SUMPRODUCT((M_BOM[RM_Code]=$A27)*M_BOM[RM_Qty_Per_Batch]*IFERROR(INDEX(PP_Grid[#Data],M_BOM[PPGridRow],69),0))</f>
        <v/>
      </c>
      <c r="BR27">
        <f>SUMPRODUCT((M_BOM[RM_Code]=$A27)*M_BOM[RM_Qty_Per_Batch]*IFERROR(INDEX(PP_Grid[#Data],M_BOM[PPGridRow],70),0))</f>
        <v/>
      </c>
      <c r="BS27">
        <f>SUMPRODUCT((M_BOM[RM_Code]=$A27)*M_BOM[RM_Qty_Per_Batch]*IFERROR(INDEX(PP_Grid[#Data],M_BOM[PPGridRow],71),0))</f>
        <v/>
      </c>
      <c r="BT27">
        <f>SUMPRODUCT((M_BOM[RM_Code]=$A27)*M_BOM[RM_Qty_Per_Batch]*IFERROR(INDEX(PP_Grid[#Data],M_BOM[PPGridRow],72),0))</f>
        <v/>
      </c>
      <c r="BU27">
        <f>SUMPRODUCT((M_BOM[RM_Code]=$A27)*M_BOM[RM_Qty_Per_Batch]*IFERROR(INDEX(PP_Grid[#Data],M_BOM[PPGridRow],73),0))</f>
        <v/>
      </c>
      <c r="BV27">
        <f>SUMPRODUCT((M_BOM[RM_Code]=$A27)*M_BOM[RM_Qty_Per_Batch]*IFERROR(INDEX(PP_Grid[#Data],M_BOM[PPGridRow],74),0))</f>
        <v/>
      </c>
      <c r="BW27">
        <f>SUMPRODUCT((M_BOM[RM_Code]=$A27)*M_BOM[RM_Qty_Per_Batch]*IFERROR(INDEX(PP_Grid[#Data],M_BOM[PPGridRow],75),0))</f>
        <v/>
      </c>
      <c r="BX27">
        <f>SUMPRODUCT((M_BOM[RM_Code]=$A27)*M_BOM[RM_Qty_Per_Batch]*IFERROR(INDEX(PP_Grid[#Data],M_BOM[PPGridRow],76),0))</f>
        <v/>
      </c>
      <c r="BY27">
        <f>SUMPRODUCT((M_BOM[RM_Code]=$A27)*M_BOM[RM_Qty_Per_Batch]*IFERROR(INDEX(PP_Grid[#Data],M_BOM[PPGridRow],77),0))</f>
        <v/>
      </c>
      <c r="BZ27">
        <f>SUMPRODUCT((M_BOM[RM_Code]=$A27)*M_BOM[RM_Qty_Per_Batch]*IFERROR(INDEX(PP_Grid[#Data],M_BOM[PPGridRow],78),0))</f>
        <v/>
      </c>
      <c r="CA27">
        <f>SUMPRODUCT((M_BOM[RM_Code]=$A27)*M_BOM[RM_Qty_Per_Batch]*IFERROR(INDEX(PP_Grid[#Data],M_BOM[PPGridRow],79),0))</f>
        <v/>
      </c>
      <c r="CB27">
        <f>SUMPRODUCT((M_BOM[RM_Code]=$A27)*M_BOM[RM_Qty_Per_Batch]*IFERROR(INDEX(PP_Grid[#Data],M_BOM[PPGridRow],80),0))</f>
        <v/>
      </c>
      <c r="CC27">
        <f>SUMPRODUCT((M_BOM[RM_Code]=$A27)*M_BOM[RM_Qty_Per_Batch]*IFERROR(INDEX(PP_Grid[#Data],M_BOM[PPGridRow],81),0))</f>
        <v/>
      </c>
      <c r="CD27">
        <f>SUMPRODUCT((M_BOM[RM_Code]=$A27)*M_BOM[RM_Qty_Per_Batch]*IFERROR(INDEX(PP_Grid[#Data],M_BOM[PPGridRow],82),0))</f>
        <v/>
      </c>
      <c r="CE27">
        <f>SUMPRODUCT((M_BOM[RM_Code]=$A27)*M_BOM[RM_Qty_Per_Batch]*IFERROR(INDEX(PP_Grid[#Data],M_BOM[PPGridRow],83),0))</f>
        <v/>
      </c>
      <c r="CF27">
        <f>SUMPRODUCT((M_BOM[RM_Code]=$A27)*M_BOM[RM_Qty_Per_Batch]*IFERROR(INDEX(PP_Grid[#Data],M_BOM[PPGridRow],84),0))</f>
        <v/>
      </c>
      <c r="CG27">
        <f>SUMPRODUCT((M_BOM[RM_Code]=$A27)*M_BOM[RM_Qty_Per_Batch]*IFERROR(INDEX(PP_Grid[#Data],M_BOM[PPGridRow],85),0))</f>
        <v/>
      </c>
      <c r="CH27">
        <f>SUMPRODUCT((M_BOM[RM_Code]=$A27)*M_BOM[RM_Qty_Per_Batch]*IFERROR(INDEX(PP_Grid[#Data],M_BOM[PPGridRow],86),0))</f>
        <v/>
      </c>
      <c r="CI27">
        <f>SUMPRODUCT((M_BOM[RM_Code]=$A27)*M_BOM[RM_Qty_Per_Batch]*IFERROR(INDEX(PP_Grid[#Data],M_BOM[PPGridRow],87),0))</f>
        <v/>
      </c>
      <c r="CJ27">
        <f>SUMPRODUCT((M_BOM[RM_Code]=$A27)*M_BOM[RM_Qty_Per_Batch]*IFERROR(INDEX(PP_Grid[#Data],M_BOM[PPGridRow],88),0))</f>
        <v/>
      </c>
      <c r="CK27">
        <f>SUMPRODUCT((M_BOM[RM_Code]=$A27)*M_BOM[RM_Qty_Per_Batch]*IFERROR(INDEX(PP_Grid[#Data],M_BOM[PPGridRow],89),0))</f>
        <v/>
      </c>
      <c r="CL27">
        <f>SUMPRODUCT((M_BOM[RM_Code]=$A27)*M_BOM[RM_Qty_Per_Batch]*IFERROR(INDEX(PP_Grid[#Data],M_BOM[PPGridRow],90),0))</f>
        <v/>
      </c>
      <c r="CM27">
        <f>SUMPRODUCT((M_BOM[RM_Code]=$A27)*M_BOM[RM_Qty_Per_Batch]*IFERROR(INDEX(PP_Grid[#Data],M_BOM[PPGridRow],91),0))</f>
        <v/>
      </c>
      <c r="CN27">
        <f>SUMPRODUCT((M_BOM[RM_Code]=$A27)*M_BOM[RM_Qty_Per_Batch]*IFERROR(INDEX(PP_Grid[#Data],M_BOM[PPGridRow],92),0))</f>
        <v/>
      </c>
      <c r="CO27">
        <f>SUMPRODUCT((M_BOM[RM_Code]=$A27)*M_BOM[RM_Qty_Per_Batch]*IFERROR(INDEX(PP_Grid[#Data],M_BOM[PPGridRow],93),0))</f>
        <v/>
      </c>
      <c r="CP27">
        <f>SUMPRODUCT((M_BOM[RM_Code]=$A27)*M_BOM[RM_Qty_Per_Batch]*IFERROR(INDEX(PP_Grid[#Data],M_BOM[PPGridRow],94),0))</f>
        <v/>
      </c>
      <c r="CQ27">
        <f>SUMPRODUCT((M_BOM[RM_Code]=$A27)*M_BOM[RM_Qty_Per_Batch]*IFERROR(INDEX(PP_Grid[#Data],M_BOM[PPGridRow],95),0))</f>
        <v/>
      </c>
      <c r="CR27">
        <f>SUMPRODUCT((M_BOM[RM_Code]=$A27)*M_BOM[RM_Qty_Per_Batch]*IFERROR(INDEX(PP_Grid[#Data],M_BOM[PPGridRow],96),0))</f>
        <v/>
      </c>
      <c r="CS27">
        <f>SUMPRODUCT((M_BOM[RM_Code]=$A27)*M_BOM[RM_Qty_Per_Batch]*IFERROR(INDEX(PP_Grid[#Data],M_BOM[PPGridRow],97),0))</f>
        <v/>
      </c>
      <c r="CT27">
        <f>SUMPRODUCT((M_BOM[RM_Code]=$A27)*M_BOM[RM_Qty_Per_Batch]*IFERROR(INDEX(PP_Grid[#Data],M_BOM[PPGridRow],98),0))</f>
        <v/>
      </c>
      <c r="CU27">
        <f>SUMPRODUCT((M_BOM[RM_Code]=$A27)*M_BOM[RM_Qty_Per_Batch]*IFERROR(INDEX(PP_Grid[#Data],M_BOM[PPGridRow],99),0))</f>
        <v/>
      </c>
      <c r="CV27">
        <f>SUMPRODUCT((M_BOM[RM_Code]=$A27)*M_BOM[RM_Qty_Per_Batch]*IFERROR(INDEX(PP_Grid[#Data],M_BOM[PPGridRow],100),0))</f>
        <v/>
      </c>
      <c r="CW27">
        <f>SUMPRODUCT((M_BOM[RM_Code]=$A27)*M_BOM[RM_Qty_Per_Batch]*IFERROR(INDEX(PP_Grid[#Data],M_BOM[PPGridRow],101),0))</f>
        <v/>
      </c>
      <c r="CX27">
        <f>SUMPRODUCT((M_BOM[RM_Code]=$A27)*M_BOM[RM_Qty_Per_Batch]*IFERROR(INDEX(PP_Grid[#Data],M_BOM[PPGridRow],102),0))</f>
        <v/>
      </c>
      <c r="CY27">
        <f>SUMPRODUCT((M_BOM[RM_Code]=$A27)*M_BOM[RM_Qty_Per_Batch]*IFERROR(INDEX(PP_Grid[#Data],M_BOM[PPGridRow],103),0))</f>
        <v/>
      </c>
      <c r="CZ27">
        <f>SUMPRODUCT((M_BOM[RM_Code]=$A27)*M_BOM[RM_Qty_Per_Batch]*IFERROR(INDEX(PP_Grid[#Data],M_BOM[PPGridRow],104),0))</f>
        <v/>
      </c>
      <c r="DA27">
        <f>SUMPRODUCT((M_BOM[RM_Code]=$A27)*M_BOM[RM_Qty_Per_Batch]*IFERROR(INDEX(PP_Grid[#Data],M_BOM[PPGridRow],105),0))</f>
        <v/>
      </c>
    </row>
    <row r="28">
      <c r="A28" t="inlineStr">
        <is>
          <t>0LJ</t>
        </is>
      </c>
      <c r="B28">
        <f>SUMPRODUCT((M_BOM[RM_Code]=$A28)*M_BOM[RM_Qty_Per_Batch]*IFERROR(INDEX(PP_Grid[#Data],M_BOM[PPGridRow],2),0))</f>
        <v/>
      </c>
      <c r="C28">
        <f>SUMPRODUCT((M_BOM[RM_Code]=$A28)*M_BOM[RM_Qty_Per_Batch]*IFERROR(INDEX(PP_Grid[#Data],M_BOM[PPGridRow],3),0))</f>
        <v/>
      </c>
      <c r="D28">
        <f>SUMPRODUCT((M_BOM[RM_Code]=$A28)*M_BOM[RM_Qty_Per_Batch]*IFERROR(INDEX(PP_Grid[#Data],M_BOM[PPGridRow],4),0))</f>
        <v/>
      </c>
      <c r="E28">
        <f>SUMPRODUCT((M_BOM[RM_Code]=$A28)*M_BOM[RM_Qty_Per_Batch]*IFERROR(INDEX(PP_Grid[#Data],M_BOM[PPGridRow],5),0))</f>
        <v/>
      </c>
      <c r="F28">
        <f>SUMPRODUCT((M_BOM[RM_Code]=$A28)*M_BOM[RM_Qty_Per_Batch]*IFERROR(INDEX(PP_Grid[#Data],M_BOM[PPGridRow],6),0))</f>
        <v/>
      </c>
      <c r="G28">
        <f>SUMPRODUCT((M_BOM[RM_Code]=$A28)*M_BOM[RM_Qty_Per_Batch]*IFERROR(INDEX(PP_Grid[#Data],M_BOM[PPGridRow],7),0))</f>
        <v/>
      </c>
      <c r="H28">
        <f>SUMPRODUCT((M_BOM[RM_Code]=$A28)*M_BOM[RM_Qty_Per_Batch]*IFERROR(INDEX(PP_Grid[#Data],M_BOM[PPGridRow],8),0))</f>
        <v/>
      </c>
      <c r="I28">
        <f>SUMPRODUCT((M_BOM[RM_Code]=$A28)*M_BOM[RM_Qty_Per_Batch]*IFERROR(INDEX(PP_Grid[#Data],M_BOM[PPGridRow],9),0))</f>
        <v/>
      </c>
      <c r="J28">
        <f>SUMPRODUCT((M_BOM[RM_Code]=$A28)*M_BOM[RM_Qty_Per_Batch]*IFERROR(INDEX(PP_Grid[#Data],M_BOM[PPGridRow],10),0))</f>
        <v/>
      </c>
      <c r="K28">
        <f>SUMPRODUCT((M_BOM[RM_Code]=$A28)*M_BOM[RM_Qty_Per_Batch]*IFERROR(INDEX(PP_Grid[#Data],M_BOM[PPGridRow],11),0))</f>
        <v/>
      </c>
      <c r="L28">
        <f>SUMPRODUCT((M_BOM[RM_Code]=$A28)*M_BOM[RM_Qty_Per_Batch]*IFERROR(INDEX(PP_Grid[#Data],M_BOM[PPGridRow],12),0))</f>
        <v/>
      </c>
      <c r="M28">
        <f>SUMPRODUCT((M_BOM[RM_Code]=$A28)*M_BOM[RM_Qty_Per_Batch]*IFERROR(INDEX(PP_Grid[#Data],M_BOM[PPGridRow],13),0))</f>
        <v/>
      </c>
      <c r="N28">
        <f>SUMPRODUCT((M_BOM[RM_Code]=$A28)*M_BOM[RM_Qty_Per_Batch]*IFERROR(INDEX(PP_Grid[#Data],M_BOM[PPGridRow],14),0))</f>
        <v/>
      </c>
      <c r="O28">
        <f>SUMPRODUCT((M_BOM[RM_Code]=$A28)*M_BOM[RM_Qty_Per_Batch]*IFERROR(INDEX(PP_Grid[#Data],M_BOM[PPGridRow],15),0))</f>
        <v/>
      </c>
      <c r="P28">
        <f>SUMPRODUCT((M_BOM[RM_Code]=$A28)*M_BOM[RM_Qty_Per_Batch]*IFERROR(INDEX(PP_Grid[#Data],M_BOM[PPGridRow],16),0))</f>
        <v/>
      </c>
      <c r="Q28">
        <f>SUMPRODUCT((M_BOM[RM_Code]=$A28)*M_BOM[RM_Qty_Per_Batch]*IFERROR(INDEX(PP_Grid[#Data],M_BOM[PPGridRow],17),0))</f>
        <v/>
      </c>
      <c r="R28">
        <f>SUMPRODUCT((M_BOM[RM_Code]=$A28)*M_BOM[RM_Qty_Per_Batch]*IFERROR(INDEX(PP_Grid[#Data],M_BOM[PPGridRow],18),0))</f>
        <v/>
      </c>
      <c r="S28">
        <f>SUMPRODUCT((M_BOM[RM_Code]=$A28)*M_BOM[RM_Qty_Per_Batch]*IFERROR(INDEX(PP_Grid[#Data],M_BOM[PPGridRow],19),0))</f>
        <v/>
      </c>
      <c r="T28">
        <f>SUMPRODUCT((M_BOM[RM_Code]=$A28)*M_BOM[RM_Qty_Per_Batch]*IFERROR(INDEX(PP_Grid[#Data],M_BOM[PPGridRow],20),0))</f>
        <v/>
      </c>
      <c r="U28">
        <f>SUMPRODUCT((M_BOM[RM_Code]=$A28)*M_BOM[RM_Qty_Per_Batch]*IFERROR(INDEX(PP_Grid[#Data],M_BOM[PPGridRow],21),0))</f>
        <v/>
      </c>
      <c r="V28">
        <f>SUMPRODUCT((M_BOM[RM_Code]=$A28)*M_BOM[RM_Qty_Per_Batch]*IFERROR(INDEX(PP_Grid[#Data],M_BOM[PPGridRow],22),0))</f>
        <v/>
      </c>
      <c r="W28">
        <f>SUMPRODUCT((M_BOM[RM_Code]=$A28)*M_BOM[RM_Qty_Per_Batch]*IFERROR(INDEX(PP_Grid[#Data],M_BOM[PPGridRow],23),0))</f>
        <v/>
      </c>
      <c r="X28">
        <f>SUMPRODUCT((M_BOM[RM_Code]=$A28)*M_BOM[RM_Qty_Per_Batch]*IFERROR(INDEX(PP_Grid[#Data],M_BOM[PPGridRow],24),0))</f>
        <v/>
      </c>
      <c r="Y28">
        <f>SUMPRODUCT((M_BOM[RM_Code]=$A28)*M_BOM[RM_Qty_Per_Batch]*IFERROR(INDEX(PP_Grid[#Data],M_BOM[PPGridRow],25),0))</f>
        <v/>
      </c>
      <c r="Z28">
        <f>SUMPRODUCT((M_BOM[RM_Code]=$A28)*M_BOM[RM_Qty_Per_Batch]*IFERROR(INDEX(PP_Grid[#Data],M_BOM[PPGridRow],26),0))</f>
        <v/>
      </c>
      <c r="AA28">
        <f>SUMPRODUCT((M_BOM[RM_Code]=$A28)*M_BOM[RM_Qty_Per_Batch]*IFERROR(INDEX(PP_Grid[#Data],M_BOM[PPGridRow],27),0))</f>
        <v/>
      </c>
      <c r="AB28">
        <f>SUMPRODUCT((M_BOM[RM_Code]=$A28)*M_BOM[RM_Qty_Per_Batch]*IFERROR(INDEX(PP_Grid[#Data],M_BOM[PPGridRow],28),0))</f>
        <v/>
      </c>
      <c r="AC28">
        <f>SUMPRODUCT((M_BOM[RM_Code]=$A28)*M_BOM[RM_Qty_Per_Batch]*IFERROR(INDEX(PP_Grid[#Data],M_BOM[PPGridRow],29),0))</f>
        <v/>
      </c>
      <c r="AD28">
        <f>SUMPRODUCT((M_BOM[RM_Code]=$A28)*M_BOM[RM_Qty_Per_Batch]*IFERROR(INDEX(PP_Grid[#Data],M_BOM[PPGridRow],30),0))</f>
        <v/>
      </c>
      <c r="AE28">
        <f>SUMPRODUCT((M_BOM[RM_Code]=$A28)*M_BOM[RM_Qty_Per_Batch]*IFERROR(INDEX(PP_Grid[#Data],M_BOM[PPGridRow],31),0))</f>
        <v/>
      </c>
      <c r="AF28">
        <f>SUMPRODUCT((M_BOM[RM_Code]=$A28)*M_BOM[RM_Qty_Per_Batch]*IFERROR(INDEX(PP_Grid[#Data],M_BOM[PPGridRow],32),0))</f>
        <v/>
      </c>
      <c r="AG28">
        <f>SUMPRODUCT((M_BOM[RM_Code]=$A28)*M_BOM[RM_Qty_Per_Batch]*IFERROR(INDEX(PP_Grid[#Data],M_BOM[PPGridRow],33),0))</f>
        <v/>
      </c>
      <c r="AH28">
        <f>SUMPRODUCT((M_BOM[RM_Code]=$A28)*M_BOM[RM_Qty_Per_Batch]*IFERROR(INDEX(PP_Grid[#Data],M_BOM[PPGridRow],34),0))</f>
        <v/>
      </c>
      <c r="AI28">
        <f>SUMPRODUCT((M_BOM[RM_Code]=$A28)*M_BOM[RM_Qty_Per_Batch]*IFERROR(INDEX(PP_Grid[#Data],M_BOM[PPGridRow],35),0))</f>
        <v/>
      </c>
      <c r="AJ28">
        <f>SUMPRODUCT((M_BOM[RM_Code]=$A28)*M_BOM[RM_Qty_Per_Batch]*IFERROR(INDEX(PP_Grid[#Data],M_BOM[PPGridRow],36),0))</f>
        <v/>
      </c>
      <c r="AK28">
        <f>SUMPRODUCT((M_BOM[RM_Code]=$A28)*M_BOM[RM_Qty_Per_Batch]*IFERROR(INDEX(PP_Grid[#Data],M_BOM[PPGridRow],37),0))</f>
        <v/>
      </c>
      <c r="AL28">
        <f>SUMPRODUCT((M_BOM[RM_Code]=$A28)*M_BOM[RM_Qty_Per_Batch]*IFERROR(INDEX(PP_Grid[#Data],M_BOM[PPGridRow],38),0))</f>
        <v/>
      </c>
      <c r="AM28">
        <f>SUMPRODUCT((M_BOM[RM_Code]=$A28)*M_BOM[RM_Qty_Per_Batch]*IFERROR(INDEX(PP_Grid[#Data],M_BOM[PPGridRow],39),0))</f>
        <v/>
      </c>
      <c r="AN28">
        <f>SUMPRODUCT((M_BOM[RM_Code]=$A28)*M_BOM[RM_Qty_Per_Batch]*IFERROR(INDEX(PP_Grid[#Data],M_BOM[PPGridRow],40),0))</f>
        <v/>
      </c>
      <c r="AO28">
        <f>SUMPRODUCT((M_BOM[RM_Code]=$A28)*M_BOM[RM_Qty_Per_Batch]*IFERROR(INDEX(PP_Grid[#Data],M_BOM[PPGridRow],41),0))</f>
        <v/>
      </c>
      <c r="AP28">
        <f>SUMPRODUCT((M_BOM[RM_Code]=$A28)*M_BOM[RM_Qty_Per_Batch]*IFERROR(INDEX(PP_Grid[#Data],M_BOM[PPGridRow],42),0))</f>
        <v/>
      </c>
      <c r="AQ28">
        <f>SUMPRODUCT((M_BOM[RM_Code]=$A28)*M_BOM[RM_Qty_Per_Batch]*IFERROR(INDEX(PP_Grid[#Data],M_BOM[PPGridRow],43),0))</f>
        <v/>
      </c>
      <c r="AR28">
        <f>SUMPRODUCT((M_BOM[RM_Code]=$A28)*M_BOM[RM_Qty_Per_Batch]*IFERROR(INDEX(PP_Grid[#Data],M_BOM[PPGridRow],44),0))</f>
        <v/>
      </c>
      <c r="AS28">
        <f>SUMPRODUCT((M_BOM[RM_Code]=$A28)*M_BOM[RM_Qty_Per_Batch]*IFERROR(INDEX(PP_Grid[#Data],M_BOM[PPGridRow],45),0))</f>
        <v/>
      </c>
      <c r="AT28">
        <f>SUMPRODUCT((M_BOM[RM_Code]=$A28)*M_BOM[RM_Qty_Per_Batch]*IFERROR(INDEX(PP_Grid[#Data],M_BOM[PPGridRow],46),0))</f>
        <v/>
      </c>
      <c r="AU28">
        <f>SUMPRODUCT((M_BOM[RM_Code]=$A28)*M_BOM[RM_Qty_Per_Batch]*IFERROR(INDEX(PP_Grid[#Data],M_BOM[PPGridRow],47),0))</f>
        <v/>
      </c>
      <c r="AV28">
        <f>SUMPRODUCT((M_BOM[RM_Code]=$A28)*M_BOM[RM_Qty_Per_Batch]*IFERROR(INDEX(PP_Grid[#Data],M_BOM[PPGridRow],48),0))</f>
        <v/>
      </c>
      <c r="AW28">
        <f>SUMPRODUCT((M_BOM[RM_Code]=$A28)*M_BOM[RM_Qty_Per_Batch]*IFERROR(INDEX(PP_Grid[#Data],M_BOM[PPGridRow],49),0))</f>
        <v/>
      </c>
      <c r="AX28">
        <f>SUMPRODUCT((M_BOM[RM_Code]=$A28)*M_BOM[RM_Qty_Per_Batch]*IFERROR(INDEX(PP_Grid[#Data],M_BOM[PPGridRow],50),0))</f>
        <v/>
      </c>
      <c r="AY28">
        <f>SUMPRODUCT((M_BOM[RM_Code]=$A28)*M_BOM[RM_Qty_Per_Batch]*IFERROR(INDEX(PP_Grid[#Data],M_BOM[PPGridRow],51),0))</f>
        <v/>
      </c>
      <c r="AZ28">
        <f>SUMPRODUCT((M_BOM[RM_Code]=$A28)*M_BOM[RM_Qty_Per_Batch]*IFERROR(INDEX(PP_Grid[#Data],M_BOM[PPGridRow],52),0))</f>
        <v/>
      </c>
      <c r="BA28">
        <f>SUMPRODUCT((M_BOM[RM_Code]=$A28)*M_BOM[RM_Qty_Per_Batch]*IFERROR(INDEX(PP_Grid[#Data],M_BOM[PPGridRow],53),0))</f>
        <v/>
      </c>
      <c r="BB28">
        <f>SUMPRODUCT((M_BOM[RM_Code]=$A28)*M_BOM[RM_Qty_Per_Batch]*IFERROR(INDEX(PP_Grid[#Data],M_BOM[PPGridRow],54),0))</f>
        <v/>
      </c>
      <c r="BC28">
        <f>SUMPRODUCT((M_BOM[RM_Code]=$A28)*M_BOM[RM_Qty_Per_Batch]*IFERROR(INDEX(PP_Grid[#Data],M_BOM[PPGridRow],55),0))</f>
        <v/>
      </c>
      <c r="BD28">
        <f>SUMPRODUCT((M_BOM[RM_Code]=$A28)*M_BOM[RM_Qty_Per_Batch]*IFERROR(INDEX(PP_Grid[#Data],M_BOM[PPGridRow],56),0))</f>
        <v/>
      </c>
      <c r="BE28">
        <f>SUMPRODUCT((M_BOM[RM_Code]=$A28)*M_BOM[RM_Qty_Per_Batch]*IFERROR(INDEX(PP_Grid[#Data],M_BOM[PPGridRow],57),0))</f>
        <v/>
      </c>
      <c r="BF28">
        <f>SUMPRODUCT((M_BOM[RM_Code]=$A28)*M_BOM[RM_Qty_Per_Batch]*IFERROR(INDEX(PP_Grid[#Data],M_BOM[PPGridRow],58),0))</f>
        <v/>
      </c>
      <c r="BG28">
        <f>SUMPRODUCT((M_BOM[RM_Code]=$A28)*M_BOM[RM_Qty_Per_Batch]*IFERROR(INDEX(PP_Grid[#Data],M_BOM[PPGridRow],59),0))</f>
        <v/>
      </c>
      <c r="BH28">
        <f>SUMPRODUCT((M_BOM[RM_Code]=$A28)*M_BOM[RM_Qty_Per_Batch]*IFERROR(INDEX(PP_Grid[#Data],M_BOM[PPGridRow],60),0))</f>
        <v/>
      </c>
      <c r="BI28">
        <f>SUMPRODUCT((M_BOM[RM_Code]=$A28)*M_BOM[RM_Qty_Per_Batch]*IFERROR(INDEX(PP_Grid[#Data],M_BOM[PPGridRow],61),0))</f>
        <v/>
      </c>
      <c r="BJ28">
        <f>SUMPRODUCT((M_BOM[RM_Code]=$A28)*M_BOM[RM_Qty_Per_Batch]*IFERROR(INDEX(PP_Grid[#Data],M_BOM[PPGridRow],62),0))</f>
        <v/>
      </c>
      <c r="BK28">
        <f>SUMPRODUCT((M_BOM[RM_Code]=$A28)*M_BOM[RM_Qty_Per_Batch]*IFERROR(INDEX(PP_Grid[#Data],M_BOM[PPGridRow],63),0))</f>
        <v/>
      </c>
      <c r="BL28">
        <f>SUMPRODUCT((M_BOM[RM_Code]=$A28)*M_BOM[RM_Qty_Per_Batch]*IFERROR(INDEX(PP_Grid[#Data],M_BOM[PPGridRow],64),0))</f>
        <v/>
      </c>
      <c r="BM28">
        <f>SUMPRODUCT((M_BOM[RM_Code]=$A28)*M_BOM[RM_Qty_Per_Batch]*IFERROR(INDEX(PP_Grid[#Data],M_BOM[PPGridRow],65),0))</f>
        <v/>
      </c>
      <c r="BN28">
        <f>SUMPRODUCT((M_BOM[RM_Code]=$A28)*M_BOM[RM_Qty_Per_Batch]*IFERROR(INDEX(PP_Grid[#Data],M_BOM[PPGridRow],66),0))</f>
        <v/>
      </c>
      <c r="BO28">
        <f>SUMPRODUCT((M_BOM[RM_Code]=$A28)*M_BOM[RM_Qty_Per_Batch]*IFERROR(INDEX(PP_Grid[#Data],M_BOM[PPGridRow],67),0))</f>
        <v/>
      </c>
      <c r="BP28">
        <f>SUMPRODUCT((M_BOM[RM_Code]=$A28)*M_BOM[RM_Qty_Per_Batch]*IFERROR(INDEX(PP_Grid[#Data],M_BOM[PPGridRow],68),0))</f>
        <v/>
      </c>
      <c r="BQ28">
        <f>SUMPRODUCT((M_BOM[RM_Code]=$A28)*M_BOM[RM_Qty_Per_Batch]*IFERROR(INDEX(PP_Grid[#Data],M_BOM[PPGridRow],69),0))</f>
        <v/>
      </c>
      <c r="BR28">
        <f>SUMPRODUCT((M_BOM[RM_Code]=$A28)*M_BOM[RM_Qty_Per_Batch]*IFERROR(INDEX(PP_Grid[#Data],M_BOM[PPGridRow],70),0))</f>
        <v/>
      </c>
      <c r="BS28">
        <f>SUMPRODUCT((M_BOM[RM_Code]=$A28)*M_BOM[RM_Qty_Per_Batch]*IFERROR(INDEX(PP_Grid[#Data],M_BOM[PPGridRow],71),0))</f>
        <v/>
      </c>
      <c r="BT28">
        <f>SUMPRODUCT((M_BOM[RM_Code]=$A28)*M_BOM[RM_Qty_Per_Batch]*IFERROR(INDEX(PP_Grid[#Data],M_BOM[PPGridRow],72),0))</f>
        <v/>
      </c>
      <c r="BU28">
        <f>SUMPRODUCT((M_BOM[RM_Code]=$A28)*M_BOM[RM_Qty_Per_Batch]*IFERROR(INDEX(PP_Grid[#Data],M_BOM[PPGridRow],73),0))</f>
        <v/>
      </c>
      <c r="BV28">
        <f>SUMPRODUCT((M_BOM[RM_Code]=$A28)*M_BOM[RM_Qty_Per_Batch]*IFERROR(INDEX(PP_Grid[#Data],M_BOM[PPGridRow],74),0))</f>
        <v/>
      </c>
      <c r="BW28">
        <f>SUMPRODUCT((M_BOM[RM_Code]=$A28)*M_BOM[RM_Qty_Per_Batch]*IFERROR(INDEX(PP_Grid[#Data],M_BOM[PPGridRow],75),0))</f>
        <v/>
      </c>
      <c r="BX28">
        <f>SUMPRODUCT((M_BOM[RM_Code]=$A28)*M_BOM[RM_Qty_Per_Batch]*IFERROR(INDEX(PP_Grid[#Data],M_BOM[PPGridRow],76),0))</f>
        <v/>
      </c>
      <c r="BY28">
        <f>SUMPRODUCT((M_BOM[RM_Code]=$A28)*M_BOM[RM_Qty_Per_Batch]*IFERROR(INDEX(PP_Grid[#Data],M_BOM[PPGridRow],77),0))</f>
        <v/>
      </c>
      <c r="BZ28">
        <f>SUMPRODUCT((M_BOM[RM_Code]=$A28)*M_BOM[RM_Qty_Per_Batch]*IFERROR(INDEX(PP_Grid[#Data],M_BOM[PPGridRow],78),0))</f>
        <v/>
      </c>
      <c r="CA28">
        <f>SUMPRODUCT((M_BOM[RM_Code]=$A28)*M_BOM[RM_Qty_Per_Batch]*IFERROR(INDEX(PP_Grid[#Data],M_BOM[PPGridRow],79),0))</f>
        <v/>
      </c>
      <c r="CB28">
        <f>SUMPRODUCT((M_BOM[RM_Code]=$A28)*M_BOM[RM_Qty_Per_Batch]*IFERROR(INDEX(PP_Grid[#Data],M_BOM[PPGridRow],80),0))</f>
        <v/>
      </c>
      <c r="CC28">
        <f>SUMPRODUCT((M_BOM[RM_Code]=$A28)*M_BOM[RM_Qty_Per_Batch]*IFERROR(INDEX(PP_Grid[#Data],M_BOM[PPGridRow],81),0))</f>
        <v/>
      </c>
      <c r="CD28">
        <f>SUMPRODUCT((M_BOM[RM_Code]=$A28)*M_BOM[RM_Qty_Per_Batch]*IFERROR(INDEX(PP_Grid[#Data],M_BOM[PPGridRow],82),0))</f>
        <v/>
      </c>
      <c r="CE28">
        <f>SUMPRODUCT((M_BOM[RM_Code]=$A28)*M_BOM[RM_Qty_Per_Batch]*IFERROR(INDEX(PP_Grid[#Data],M_BOM[PPGridRow],83),0))</f>
        <v/>
      </c>
      <c r="CF28">
        <f>SUMPRODUCT((M_BOM[RM_Code]=$A28)*M_BOM[RM_Qty_Per_Batch]*IFERROR(INDEX(PP_Grid[#Data],M_BOM[PPGridRow],84),0))</f>
        <v/>
      </c>
      <c r="CG28">
        <f>SUMPRODUCT((M_BOM[RM_Code]=$A28)*M_BOM[RM_Qty_Per_Batch]*IFERROR(INDEX(PP_Grid[#Data],M_BOM[PPGridRow],85),0))</f>
        <v/>
      </c>
      <c r="CH28">
        <f>SUMPRODUCT((M_BOM[RM_Code]=$A28)*M_BOM[RM_Qty_Per_Batch]*IFERROR(INDEX(PP_Grid[#Data],M_BOM[PPGridRow],86),0))</f>
        <v/>
      </c>
      <c r="CI28">
        <f>SUMPRODUCT((M_BOM[RM_Code]=$A28)*M_BOM[RM_Qty_Per_Batch]*IFERROR(INDEX(PP_Grid[#Data],M_BOM[PPGridRow],87),0))</f>
        <v/>
      </c>
      <c r="CJ28">
        <f>SUMPRODUCT((M_BOM[RM_Code]=$A28)*M_BOM[RM_Qty_Per_Batch]*IFERROR(INDEX(PP_Grid[#Data],M_BOM[PPGridRow],88),0))</f>
        <v/>
      </c>
      <c r="CK28">
        <f>SUMPRODUCT((M_BOM[RM_Code]=$A28)*M_BOM[RM_Qty_Per_Batch]*IFERROR(INDEX(PP_Grid[#Data],M_BOM[PPGridRow],89),0))</f>
        <v/>
      </c>
      <c r="CL28">
        <f>SUMPRODUCT((M_BOM[RM_Code]=$A28)*M_BOM[RM_Qty_Per_Batch]*IFERROR(INDEX(PP_Grid[#Data],M_BOM[PPGridRow],90),0))</f>
        <v/>
      </c>
      <c r="CM28">
        <f>SUMPRODUCT((M_BOM[RM_Code]=$A28)*M_BOM[RM_Qty_Per_Batch]*IFERROR(INDEX(PP_Grid[#Data],M_BOM[PPGridRow],91),0))</f>
        <v/>
      </c>
      <c r="CN28">
        <f>SUMPRODUCT((M_BOM[RM_Code]=$A28)*M_BOM[RM_Qty_Per_Batch]*IFERROR(INDEX(PP_Grid[#Data],M_BOM[PPGridRow],92),0))</f>
        <v/>
      </c>
      <c r="CO28">
        <f>SUMPRODUCT((M_BOM[RM_Code]=$A28)*M_BOM[RM_Qty_Per_Batch]*IFERROR(INDEX(PP_Grid[#Data],M_BOM[PPGridRow],93),0))</f>
        <v/>
      </c>
      <c r="CP28">
        <f>SUMPRODUCT((M_BOM[RM_Code]=$A28)*M_BOM[RM_Qty_Per_Batch]*IFERROR(INDEX(PP_Grid[#Data],M_BOM[PPGridRow],94),0))</f>
        <v/>
      </c>
      <c r="CQ28">
        <f>SUMPRODUCT((M_BOM[RM_Code]=$A28)*M_BOM[RM_Qty_Per_Batch]*IFERROR(INDEX(PP_Grid[#Data],M_BOM[PPGridRow],95),0))</f>
        <v/>
      </c>
      <c r="CR28">
        <f>SUMPRODUCT((M_BOM[RM_Code]=$A28)*M_BOM[RM_Qty_Per_Batch]*IFERROR(INDEX(PP_Grid[#Data],M_BOM[PPGridRow],96),0))</f>
        <v/>
      </c>
      <c r="CS28">
        <f>SUMPRODUCT((M_BOM[RM_Code]=$A28)*M_BOM[RM_Qty_Per_Batch]*IFERROR(INDEX(PP_Grid[#Data],M_BOM[PPGridRow],97),0))</f>
        <v/>
      </c>
      <c r="CT28">
        <f>SUMPRODUCT((M_BOM[RM_Code]=$A28)*M_BOM[RM_Qty_Per_Batch]*IFERROR(INDEX(PP_Grid[#Data],M_BOM[PPGridRow],98),0))</f>
        <v/>
      </c>
      <c r="CU28">
        <f>SUMPRODUCT((M_BOM[RM_Code]=$A28)*M_BOM[RM_Qty_Per_Batch]*IFERROR(INDEX(PP_Grid[#Data],M_BOM[PPGridRow],99),0))</f>
        <v/>
      </c>
      <c r="CV28">
        <f>SUMPRODUCT((M_BOM[RM_Code]=$A28)*M_BOM[RM_Qty_Per_Batch]*IFERROR(INDEX(PP_Grid[#Data],M_BOM[PPGridRow],100),0))</f>
        <v/>
      </c>
      <c r="CW28">
        <f>SUMPRODUCT((M_BOM[RM_Code]=$A28)*M_BOM[RM_Qty_Per_Batch]*IFERROR(INDEX(PP_Grid[#Data],M_BOM[PPGridRow],101),0))</f>
        <v/>
      </c>
      <c r="CX28">
        <f>SUMPRODUCT((M_BOM[RM_Code]=$A28)*M_BOM[RM_Qty_Per_Batch]*IFERROR(INDEX(PP_Grid[#Data],M_BOM[PPGridRow],102),0))</f>
        <v/>
      </c>
      <c r="CY28">
        <f>SUMPRODUCT((M_BOM[RM_Code]=$A28)*M_BOM[RM_Qty_Per_Batch]*IFERROR(INDEX(PP_Grid[#Data],M_BOM[PPGridRow],103),0))</f>
        <v/>
      </c>
      <c r="CZ28">
        <f>SUMPRODUCT((M_BOM[RM_Code]=$A28)*M_BOM[RM_Qty_Per_Batch]*IFERROR(INDEX(PP_Grid[#Data],M_BOM[PPGridRow],104),0))</f>
        <v/>
      </c>
      <c r="DA28">
        <f>SUMPRODUCT((M_BOM[RM_Code]=$A28)*M_BOM[RM_Qty_Per_Batch]*IFERROR(INDEX(PP_Grid[#Data],M_BOM[PPGridRow],105),0))</f>
        <v/>
      </c>
    </row>
    <row r="29">
      <c r="A29" t="inlineStr">
        <is>
          <t>PP FILM</t>
        </is>
      </c>
      <c r="B29">
        <f>SUMPRODUCT((M_BOM[RM_Code]=$A29)*M_BOM[RM_Qty_Per_Batch]*IFERROR(INDEX(PP_Grid[#Data],M_BOM[PPGridRow],2),0))</f>
        <v/>
      </c>
      <c r="C29">
        <f>SUMPRODUCT((M_BOM[RM_Code]=$A29)*M_BOM[RM_Qty_Per_Batch]*IFERROR(INDEX(PP_Grid[#Data],M_BOM[PPGridRow],3),0))</f>
        <v/>
      </c>
      <c r="D29">
        <f>SUMPRODUCT((M_BOM[RM_Code]=$A29)*M_BOM[RM_Qty_Per_Batch]*IFERROR(INDEX(PP_Grid[#Data],M_BOM[PPGridRow],4),0))</f>
        <v/>
      </c>
      <c r="E29">
        <f>SUMPRODUCT((M_BOM[RM_Code]=$A29)*M_BOM[RM_Qty_Per_Batch]*IFERROR(INDEX(PP_Grid[#Data],M_BOM[PPGridRow],5),0))</f>
        <v/>
      </c>
      <c r="F29">
        <f>SUMPRODUCT((M_BOM[RM_Code]=$A29)*M_BOM[RM_Qty_Per_Batch]*IFERROR(INDEX(PP_Grid[#Data],M_BOM[PPGridRow],6),0))</f>
        <v/>
      </c>
      <c r="G29">
        <f>SUMPRODUCT((M_BOM[RM_Code]=$A29)*M_BOM[RM_Qty_Per_Batch]*IFERROR(INDEX(PP_Grid[#Data],M_BOM[PPGridRow],7),0))</f>
        <v/>
      </c>
      <c r="H29">
        <f>SUMPRODUCT((M_BOM[RM_Code]=$A29)*M_BOM[RM_Qty_Per_Batch]*IFERROR(INDEX(PP_Grid[#Data],M_BOM[PPGridRow],8),0))</f>
        <v/>
      </c>
      <c r="I29">
        <f>SUMPRODUCT((M_BOM[RM_Code]=$A29)*M_BOM[RM_Qty_Per_Batch]*IFERROR(INDEX(PP_Grid[#Data],M_BOM[PPGridRow],9),0))</f>
        <v/>
      </c>
      <c r="J29">
        <f>SUMPRODUCT((M_BOM[RM_Code]=$A29)*M_BOM[RM_Qty_Per_Batch]*IFERROR(INDEX(PP_Grid[#Data],M_BOM[PPGridRow],10),0))</f>
        <v/>
      </c>
      <c r="K29">
        <f>SUMPRODUCT((M_BOM[RM_Code]=$A29)*M_BOM[RM_Qty_Per_Batch]*IFERROR(INDEX(PP_Grid[#Data],M_BOM[PPGridRow],11),0))</f>
        <v/>
      </c>
      <c r="L29">
        <f>SUMPRODUCT((M_BOM[RM_Code]=$A29)*M_BOM[RM_Qty_Per_Batch]*IFERROR(INDEX(PP_Grid[#Data],M_BOM[PPGridRow],12),0))</f>
        <v/>
      </c>
      <c r="M29">
        <f>SUMPRODUCT((M_BOM[RM_Code]=$A29)*M_BOM[RM_Qty_Per_Batch]*IFERROR(INDEX(PP_Grid[#Data],M_BOM[PPGridRow],13),0))</f>
        <v/>
      </c>
      <c r="N29">
        <f>SUMPRODUCT((M_BOM[RM_Code]=$A29)*M_BOM[RM_Qty_Per_Batch]*IFERROR(INDEX(PP_Grid[#Data],M_BOM[PPGridRow],14),0))</f>
        <v/>
      </c>
      <c r="O29">
        <f>SUMPRODUCT((M_BOM[RM_Code]=$A29)*M_BOM[RM_Qty_Per_Batch]*IFERROR(INDEX(PP_Grid[#Data],M_BOM[PPGridRow],15),0))</f>
        <v/>
      </c>
      <c r="P29">
        <f>SUMPRODUCT((M_BOM[RM_Code]=$A29)*M_BOM[RM_Qty_Per_Batch]*IFERROR(INDEX(PP_Grid[#Data],M_BOM[PPGridRow],16),0))</f>
        <v/>
      </c>
      <c r="Q29">
        <f>SUMPRODUCT((M_BOM[RM_Code]=$A29)*M_BOM[RM_Qty_Per_Batch]*IFERROR(INDEX(PP_Grid[#Data],M_BOM[PPGridRow],17),0))</f>
        <v/>
      </c>
      <c r="R29">
        <f>SUMPRODUCT((M_BOM[RM_Code]=$A29)*M_BOM[RM_Qty_Per_Batch]*IFERROR(INDEX(PP_Grid[#Data],M_BOM[PPGridRow],18),0))</f>
        <v/>
      </c>
      <c r="S29">
        <f>SUMPRODUCT((M_BOM[RM_Code]=$A29)*M_BOM[RM_Qty_Per_Batch]*IFERROR(INDEX(PP_Grid[#Data],M_BOM[PPGridRow],19),0))</f>
        <v/>
      </c>
      <c r="T29">
        <f>SUMPRODUCT((M_BOM[RM_Code]=$A29)*M_BOM[RM_Qty_Per_Batch]*IFERROR(INDEX(PP_Grid[#Data],M_BOM[PPGridRow],20),0))</f>
        <v/>
      </c>
      <c r="U29">
        <f>SUMPRODUCT((M_BOM[RM_Code]=$A29)*M_BOM[RM_Qty_Per_Batch]*IFERROR(INDEX(PP_Grid[#Data],M_BOM[PPGridRow],21),0))</f>
        <v/>
      </c>
      <c r="V29">
        <f>SUMPRODUCT((M_BOM[RM_Code]=$A29)*M_BOM[RM_Qty_Per_Batch]*IFERROR(INDEX(PP_Grid[#Data],M_BOM[PPGridRow],22),0))</f>
        <v/>
      </c>
      <c r="W29">
        <f>SUMPRODUCT((M_BOM[RM_Code]=$A29)*M_BOM[RM_Qty_Per_Batch]*IFERROR(INDEX(PP_Grid[#Data],M_BOM[PPGridRow],23),0))</f>
        <v/>
      </c>
      <c r="X29">
        <f>SUMPRODUCT((M_BOM[RM_Code]=$A29)*M_BOM[RM_Qty_Per_Batch]*IFERROR(INDEX(PP_Grid[#Data],M_BOM[PPGridRow],24),0))</f>
        <v/>
      </c>
      <c r="Y29">
        <f>SUMPRODUCT((M_BOM[RM_Code]=$A29)*M_BOM[RM_Qty_Per_Batch]*IFERROR(INDEX(PP_Grid[#Data],M_BOM[PPGridRow],25),0))</f>
        <v/>
      </c>
      <c r="Z29">
        <f>SUMPRODUCT((M_BOM[RM_Code]=$A29)*M_BOM[RM_Qty_Per_Batch]*IFERROR(INDEX(PP_Grid[#Data],M_BOM[PPGridRow],26),0))</f>
        <v/>
      </c>
      <c r="AA29">
        <f>SUMPRODUCT((M_BOM[RM_Code]=$A29)*M_BOM[RM_Qty_Per_Batch]*IFERROR(INDEX(PP_Grid[#Data],M_BOM[PPGridRow],27),0))</f>
        <v/>
      </c>
      <c r="AB29">
        <f>SUMPRODUCT((M_BOM[RM_Code]=$A29)*M_BOM[RM_Qty_Per_Batch]*IFERROR(INDEX(PP_Grid[#Data],M_BOM[PPGridRow],28),0))</f>
        <v/>
      </c>
      <c r="AC29">
        <f>SUMPRODUCT((M_BOM[RM_Code]=$A29)*M_BOM[RM_Qty_Per_Batch]*IFERROR(INDEX(PP_Grid[#Data],M_BOM[PPGridRow],29),0))</f>
        <v/>
      </c>
      <c r="AD29">
        <f>SUMPRODUCT((M_BOM[RM_Code]=$A29)*M_BOM[RM_Qty_Per_Batch]*IFERROR(INDEX(PP_Grid[#Data],M_BOM[PPGridRow],30),0))</f>
        <v/>
      </c>
      <c r="AE29">
        <f>SUMPRODUCT((M_BOM[RM_Code]=$A29)*M_BOM[RM_Qty_Per_Batch]*IFERROR(INDEX(PP_Grid[#Data],M_BOM[PPGridRow],31),0))</f>
        <v/>
      </c>
      <c r="AF29">
        <f>SUMPRODUCT((M_BOM[RM_Code]=$A29)*M_BOM[RM_Qty_Per_Batch]*IFERROR(INDEX(PP_Grid[#Data],M_BOM[PPGridRow],32),0))</f>
        <v/>
      </c>
      <c r="AG29">
        <f>SUMPRODUCT((M_BOM[RM_Code]=$A29)*M_BOM[RM_Qty_Per_Batch]*IFERROR(INDEX(PP_Grid[#Data],M_BOM[PPGridRow],33),0))</f>
        <v/>
      </c>
      <c r="AH29">
        <f>SUMPRODUCT((M_BOM[RM_Code]=$A29)*M_BOM[RM_Qty_Per_Batch]*IFERROR(INDEX(PP_Grid[#Data],M_BOM[PPGridRow],34),0))</f>
        <v/>
      </c>
      <c r="AI29">
        <f>SUMPRODUCT((M_BOM[RM_Code]=$A29)*M_BOM[RM_Qty_Per_Batch]*IFERROR(INDEX(PP_Grid[#Data],M_BOM[PPGridRow],35),0))</f>
        <v/>
      </c>
      <c r="AJ29">
        <f>SUMPRODUCT((M_BOM[RM_Code]=$A29)*M_BOM[RM_Qty_Per_Batch]*IFERROR(INDEX(PP_Grid[#Data],M_BOM[PPGridRow],36),0))</f>
        <v/>
      </c>
      <c r="AK29">
        <f>SUMPRODUCT((M_BOM[RM_Code]=$A29)*M_BOM[RM_Qty_Per_Batch]*IFERROR(INDEX(PP_Grid[#Data],M_BOM[PPGridRow],37),0))</f>
        <v/>
      </c>
      <c r="AL29">
        <f>SUMPRODUCT((M_BOM[RM_Code]=$A29)*M_BOM[RM_Qty_Per_Batch]*IFERROR(INDEX(PP_Grid[#Data],M_BOM[PPGridRow],38),0))</f>
        <v/>
      </c>
      <c r="AM29">
        <f>SUMPRODUCT((M_BOM[RM_Code]=$A29)*M_BOM[RM_Qty_Per_Batch]*IFERROR(INDEX(PP_Grid[#Data],M_BOM[PPGridRow],39),0))</f>
        <v/>
      </c>
      <c r="AN29">
        <f>SUMPRODUCT((M_BOM[RM_Code]=$A29)*M_BOM[RM_Qty_Per_Batch]*IFERROR(INDEX(PP_Grid[#Data],M_BOM[PPGridRow],40),0))</f>
        <v/>
      </c>
      <c r="AO29">
        <f>SUMPRODUCT((M_BOM[RM_Code]=$A29)*M_BOM[RM_Qty_Per_Batch]*IFERROR(INDEX(PP_Grid[#Data],M_BOM[PPGridRow],41),0))</f>
        <v/>
      </c>
      <c r="AP29">
        <f>SUMPRODUCT((M_BOM[RM_Code]=$A29)*M_BOM[RM_Qty_Per_Batch]*IFERROR(INDEX(PP_Grid[#Data],M_BOM[PPGridRow],42),0))</f>
        <v/>
      </c>
      <c r="AQ29">
        <f>SUMPRODUCT((M_BOM[RM_Code]=$A29)*M_BOM[RM_Qty_Per_Batch]*IFERROR(INDEX(PP_Grid[#Data],M_BOM[PPGridRow],43),0))</f>
        <v/>
      </c>
      <c r="AR29">
        <f>SUMPRODUCT((M_BOM[RM_Code]=$A29)*M_BOM[RM_Qty_Per_Batch]*IFERROR(INDEX(PP_Grid[#Data],M_BOM[PPGridRow],44),0))</f>
        <v/>
      </c>
      <c r="AS29">
        <f>SUMPRODUCT((M_BOM[RM_Code]=$A29)*M_BOM[RM_Qty_Per_Batch]*IFERROR(INDEX(PP_Grid[#Data],M_BOM[PPGridRow],45),0))</f>
        <v/>
      </c>
      <c r="AT29">
        <f>SUMPRODUCT((M_BOM[RM_Code]=$A29)*M_BOM[RM_Qty_Per_Batch]*IFERROR(INDEX(PP_Grid[#Data],M_BOM[PPGridRow],46),0))</f>
        <v/>
      </c>
      <c r="AU29">
        <f>SUMPRODUCT((M_BOM[RM_Code]=$A29)*M_BOM[RM_Qty_Per_Batch]*IFERROR(INDEX(PP_Grid[#Data],M_BOM[PPGridRow],47),0))</f>
        <v/>
      </c>
      <c r="AV29">
        <f>SUMPRODUCT((M_BOM[RM_Code]=$A29)*M_BOM[RM_Qty_Per_Batch]*IFERROR(INDEX(PP_Grid[#Data],M_BOM[PPGridRow],48),0))</f>
        <v/>
      </c>
      <c r="AW29">
        <f>SUMPRODUCT((M_BOM[RM_Code]=$A29)*M_BOM[RM_Qty_Per_Batch]*IFERROR(INDEX(PP_Grid[#Data],M_BOM[PPGridRow],49),0))</f>
        <v/>
      </c>
      <c r="AX29">
        <f>SUMPRODUCT((M_BOM[RM_Code]=$A29)*M_BOM[RM_Qty_Per_Batch]*IFERROR(INDEX(PP_Grid[#Data],M_BOM[PPGridRow],50),0))</f>
        <v/>
      </c>
      <c r="AY29">
        <f>SUMPRODUCT((M_BOM[RM_Code]=$A29)*M_BOM[RM_Qty_Per_Batch]*IFERROR(INDEX(PP_Grid[#Data],M_BOM[PPGridRow],51),0))</f>
        <v/>
      </c>
      <c r="AZ29">
        <f>SUMPRODUCT((M_BOM[RM_Code]=$A29)*M_BOM[RM_Qty_Per_Batch]*IFERROR(INDEX(PP_Grid[#Data],M_BOM[PPGridRow],52),0))</f>
        <v/>
      </c>
      <c r="BA29">
        <f>SUMPRODUCT((M_BOM[RM_Code]=$A29)*M_BOM[RM_Qty_Per_Batch]*IFERROR(INDEX(PP_Grid[#Data],M_BOM[PPGridRow],53),0))</f>
        <v/>
      </c>
      <c r="BB29">
        <f>SUMPRODUCT((M_BOM[RM_Code]=$A29)*M_BOM[RM_Qty_Per_Batch]*IFERROR(INDEX(PP_Grid[#Data],M_BOM[PPGridRow],54),0))</f>
        <v/>
      </c>
      <c r="BC29">
        <f>SUMPRODUCT((M_BOM[RM_Code]=$A29)*M_BOM[RM_Qty_Per_Batch]*IFERROR(INDEX(PP_Grid[#Data],M_BOM[PPGridRow],55),0))</f>
        <v/>
      </c>
      <c r="BD29">
        <f>SUMPRODUCT((M_BOM[RM_Code]=$A29)*M_BOM[RM_Qty_Per_Batch]*IFERROR(INDEX(PP_Grid[#Data],M_BOM[PPGridRow],56),0))</f>
        <v/>
      </c>
      <c r="BE29">
        <f>SUMPRODUCT((M_BOM[RM_Code]=$A29)*M_BOM[RM_Qty_Per_Batch]*IFERROR(INDEX(PP_Grid[#Data],M_BOM[PPGridRow],57),0))</f>
        <v/>
      </c>
      <c r="BF29">
        <f>SUMPRODUCT((M_BOM[RM_Code]=$A29)*M_BOM[RM_Qty_Per_Batch]*IFERROR(INDEX(PP_Grid[#Data],M_BOM[PPGridRow],58),0))</f>
        <v/>
      </c>
      <c r="BG29">
        <f>SUMPRODUCT((M_BOM[RM_Code]=$A29)*M_BOM[RM_Qty_Per_Batch]*IFERROR(INDEX(PP_Grid[#Data],M_BOM[PPGridRow],59),0))</f>
        <v/>
      </c>
      <c r="BH29">
        <f>SUMPRODUCT((M_BOM[RM_Code]=$A29)*M_BOM[RM_Qty_Per_Batch]*IFERROR(INDEX(PP_Grid[#Data],M_BOM[PPGridRow],60),0))</f>
        <v/>
      </c>
      <c r="BI29">
        <f>SUMPRODUCT((M_BOM[RM_Code]=$A29)*M_BOM[RM_Qty_Per_Batch]*IFERROR(INDEX(PP_Grid[#Data],M_BOM[PPGridRow],61),0))</f>
        <v/>
      </c>
      <c r="BJ29">
        <f>SUMPRODUCT((M_BOM[RM_Code]=$A29)*M_BOM[RM_Qty_Per_Batch]*IFERROR(INDEX(PP_Grid[#Data],M_BOM[PPGridRow],62),0))</f>
        <v/>
      </c>
      <c r="BK29">
        <f>SUMPRODUCT((M_BOM[RM_Code]=$A29)*M_BOM[RM_Qty_Per_Batch]*IFERROR(INDEX(PP_Grid[#Data],M_BOM[PPGridRow],63),0))</f>
        <v/>
      </c>
      <c r="BL29">
        <f>SUMPRODUCT((M_BOM[RM_Code]=$A29)*M_BOM[RM_Qty_Per_Batch]*IFERROR(INDEX(PP_Grid[#Data],M_BOM[PPGridRow],64),0))</f>
        <v/>
      </c>
      <c r="BM29">
        <f>SUMPRODUCT((M_BOM[RM_Code]=$A29)*M_BOM[RM_Qty_Per_Batch]*IFERROR(INDEX(PP_Grid[#Data],M_BOM[PPGridRow],65),0))</f>
        <v/>
      </c>
      <c r="BN29">
        <f>SUMPRODUCT((M_BOM[RM_Code]=$A29)*M_BOM[RM_Qty_Per_Batch]*IFERROR(INDEX(PP_Grid[#Data],M_BOM[PPGridRow],66),0))</f>
        <v/>
      </c>
      <c r="BO29">
        <f>SUMPRODUCT((M_BOM[RM_Code]=$A29)*M_BOM[RM_Qty_Per_Batch]*IFERROR(INDEX(PP_Grid[#Data],M_BOM[PPGridRow],67),0))</f>
        <v/>
      </c>
      <c r="BP29">
        <f>SUMPRODUCT((M_BOM[RM_Code]=$A29)*M_BOM[RM_Qty_Per_Batch]*IFERROR(INDEX(PP_Grid[#Data],M_BOM[PPGridRow],68),0))</f>
        <v/>
      </c>
      <c r="BQ29">
        <f>SUMPRODUCT((M_BOM[RM_Code]=$A29)*M_BOM[RM_Qty_Per_Batch]*IFERROR(INDEX(PP_Grid[#Data],M_BOM[PPGridRow],69),0))</f>
        <v/>
      </c>
      <c r="BR29">
        <f>SUMPRODUCT((M_BOM[RM_Code]=$A29)*M_BOM[RM_Qty_Per_Batch]*IFERROR(INDEX(PP_Grid[#Data],M_BOM[PPGridRow],70),0))</f>
        <v/>
      </c>
      <c r="BS29">
        <f>SUMPRODUCT((M_BOM[RM_Code]=$A29)*M_BOM[RM_Qty_Per_Batch]*IFERROR(INDEX(PP_Grid[#Data],M_BOM[PPGridRow],71),0))</f>
        <v/>
      </c>
      <c r="BT29">
        <f>SUMPRODUCT((M_BOM[RM_Code]=$A29)*M_BOM[RM_Qty_Per_Batch]*IFERROR(INDEX(PP_Grid[#Data],M_BOM[PPGridRow],72),0))</f>
        <v/>
      </c>
      <c r="BU29">
        <f>SUMPRODUCT((M_BOM[RM_Code]=$A29)*M_BOM[RM_Qty_Per_Batch]*IFERROR(INDEX(PP_Grid[#Data],M_BOM[PPGridRow],73),0))</f>
        <v/>
      </c>
      <c r="BV29">
        <f>SUMPRODUCT((M_BOM[RM_Code]=$A29)*M_BOM[RM_Qty_Per_Batch]*IFERROR(INDEX(PP_Grid[#Data],M_BOM[PPGridRow],74),0))</f>
        <v/>
      </c>
      <c r="BW29">
        <f>SUMPRODUCT((M_BOM[RM_Code]=$A29)*M_BOM[RM_Qty_Per_Batch]*IFERROR(INDEX(PP_Grid[#Data],M_BOM[PPGridRow],75),0))</f>
        <v/>
      </c>
      <c r="BX29">
        <f>SUMPRODUCT((M_BOM[RM_Code]=$A29)*M_BOM[RM_Qty_Per_Batch]*IFERROR(INDEX(PP_Grid[#Data],M_BOM[PPGridRow],76),0))</f>
        <v/>
      </c>
      <c r="BY29">
        <f>SUMPRODUCT((M_BOM[RM_Code]=$A29)*M_BOM[RM_Qty_Per_Batch]*IFERROR(INDEX(PP_Grid[#Data],M_BOM[PPGridRow],77),0))</f>
        <v/>
      </c>
      <c r="BZ29">
        <f>SUMPRODUCT((M_BOM[RM_Code]=$A29)*M_BOM[RM_Qty_Per_Batch]*IFERROR(INDEX(PP_Grid[#Data],M_BOM[PPGridRow],78),0))</f>
        <v/>
      </c>
      <c r="CA29">
        <f>SUMPRODUCT((M_BOM[RM_Code]=$A29)*M_BOM[RM_Qty_Per_Batch]*IFERROR(INDEX(PP_Grid[#Data],M_BOM[PPGridRow],79),0))</f>
        <v/>
      </c>
      <c r="CB29">
        <f>SUMPRODUCT((M_BOM[RM_Code]=$A29)*M_BOM[RM_Qty_Per_Batch]*IFERROR(INDEX(PP_Grid[#Data],M_BOM[PPGridRow],80),0))</f>
        <v/>
      </c>
      <c r="CC29">
        <f>SUMPRODUCT((M_BOM[RM_Code]=$A29)*M_BOM[RM_Qty_Per_Batch]*IFERROR(INDEX(PP_Grid[#Data],M_BOM[PPGridRow],81),0))</f>
        <v/>
      </c>
      <c r="CD29">
        <f>SUMPRODUCT((M_BOM[RM_Code]=$A29)*M_BOM[RM_Qty_Per_Batch]*IFERROR(INDEX(PP_Grid[#Data],M_BOM[PPGridRow],82),0))</f>
        <v/>
      </c>
      <c r="CE29">
        <f>SUMPRODUCT((M_BOM[RM_Code]=$A29)*M_BOM[RM_Qty_Per_Batch]*IFERROR(INDEX(PP_Grid[#Data],M_BOM[PPGridRow],83),0))</f>
        <v/>
      </c>
      <c r="CF29">
        <f>SUMPRODUCT((M_BOM[RM_Code]=$A29)*M_BOM[RM_Qty_Per_Batch]*IFERROR(INDEX(PP_Grid[#Data],M_BOM[PPGridRow],84),0))</f>
        <v/>
      </c>
      <c r="CG29">
        <f>SUMPRODUCT((M_BOM[RM_Code]=$A29)*M_BOM[RM_Qty_Per_Batch]*IFERROR(INDEX(PP_Grid[#Data],M_BOM[PPGridRow],85),0))</f>
        <v/>
      </c>
      <c r="CH29">
        <f>SUMPRODUCT((M_BOM[RM_Code]=$A29)*M_BOM[RM_Qty_Per_Batch]*IFERROR(INDEX(PP_Grid[#Data],M_BOM[PPGridRow],86),0))</f>
        <v/>
      </c>
      <c r="CI29">
        <f>SUMPRODUCT((M_BOM[RM_Code]=$A29)*M_BOM[RM_Qty_Per_Batch]*IFERROR(INDEX(PP_Grid[#Data],M_BOM[PPGridRow],87),0))</f>
        <v/>
      </c>
      <c r="CJ29">
        <f>SUMPRODUCT((M_BOM[RM_Code]=$A29)*M_BOM[RM_Qty_Per_Batch]*IFERROR(INDEX(PP_Grid[#Data],M_BOM[PPGridRow],88),0))</f>
        <v/>
      </c>
      <c r="CK29">
        <f>SUMPRODUCT((M_BOM[RM_Code]=$A29)*M_BOM[RM_Qty_Per_Batch]*IFERROR(INDEX(PP_Grid[#Data],M_BOM[PPGridRow],89),0))</f>
        <v/>
      </c>
      <c r="CL29">
        <f>SUMPRODUCT((M_BOM[RM_Code]=$A29)*M_BOM[RM_Qty_Per_Batch]*IFERROR(INDEX(PP_Grid[#Data],M_BOM[PPGridRow],90),0))</f>
        <v/>
      </c>
      <c r="CM29">
        <f>SUMPRODUCT((M_BOM[RM_Code]=$A29)*M_BOM[RM_Qty_Per_Batch]*IFERROR(INDEX(PP_Grid[#Data],M_BOM[PPGridRow],91),0))</f>
        <v/>
      </c>
      <c r="CN29">
        <f>SUMPRODUCT((M_BOM[RM_Code]=$A29)*M_BOM[RM_Qty_Per_Batch]*IFERROR(INDEX(PP_Grid[#Data],M_BOM[PPGridRow],92),0))</f>
        <v/>
      </c>
      <c r="CO29">
        <f>SUMPRODUCT((M_BOM[RM_Code]=$A29)*M_BOM[RM_Qty_Per_Batch]*IFERROR(INDEX(PP_Grid[#Data],M_BOM[PPGridRow],93),0))</f>
        <v/>
      </c>
      <c r="CP29">
        <f>SUMPRODUCT((M_BOM[RM_Code]=$A29)*M_BOM[RM_Qty_Per_Batch]*IFERROR(INDEX(PP_Grid[#Data],M_BOM[PPGridRow],94),0))</f>
        <v/>
      </c>
      <c r="CQ29">
        <f>SUMPRODUCT((M_BOM[RM_Code]=$A29)*M_BOM[RM_Qty_Per_Batch]*IFERROR(INDEX(PP_Grid[#Data],M_BOM[PPGridRow],95),0))</f>
        <v/>
      </c>
      <c r="CR29">
        <f>SUMPRODUCT((M_BOM[RM_Code]=$A29)*M_BOM[RM_Qty_Per_Batch]*IFERROR(INDEX(PP_Grid[#Data],M_BOM[PPGridRow],96),0))</f>
        <v/>
      </c>
      <c r="CS29">
        <f>SUMPRODUCT((M_BOM[RM_Code]=$A29)*M_BOM[RM_Qty_Per_Batch]*IFERROR(INDEX(PP_Grid[#Data],M_BOM[PPGridRow],97),0))</f>
        <v/>
      </c>
      <c r="CT29">
        <f>SUMPRODUCT((M_BOM[RM_Code]=$A29)*M_BOM[RM_Qty_Per_Batch]*IFERROR(INDEX(PP_Grid[#Data],M_BOM[PPGridRow],98),0))</f>
        <v/>
      </c>
      <c r="CU29">
        <f>SUMPRODUCT((M_BOM[RM_Code]=$A29)*M_BOM[RM_Qty_Per_Batch]*IFERROR(INDEX(PP_Grid[#Data],M_BOM[PPGridRow],99),0))</f>
        <v/>
      </c>
      <c r="CV29">
        <f>SUMPRODUCT((M_BOM[RM_Code]=$A29)*M_BOM[RM_Qty_Per_Batch]*IFERROR(INDEX(PP_Grid[#Data],M_BOM[PPGridRow],100),0))</f>
        <v/>
      </c>
      <c r="CW29">
        <f>SUMPRODUCT((M_BOM[RM_Code]=$A29)*M_BOM[RM_Qty_Per_Batch]*IFERROR(INDEX(PP_Grid[#Data],M_BOM[PPGridRow],101),0))</f>
        <v/>
      </c>
      <c r="CX29">
        <f>SUMPRODUCT((M_BOM[RM_Code]=$A29)*M_BOM[RM_Qty_Per_Batch]*IFERROR(INDEX(PP_Grid[#Data],M_BOM[PPGridRow],102),0))</f>
        <v/>
      </c>
      <c r="CY29">
        <f>SUMPRODUCT((M_BOM[RM_Code]=$A29)*M_BOM[RM_Qty_Per_Batch]*IFERROR(INDEX(PP_Grid[#Data],M_BOM[PPGridRow],103),0))</f>
        <v/>
      </c>
      <c r="CZ29">
        <f>SUMPRODUCT((M_BOM[RM_Code]=$A29)*M_BOM[RM_Qty_Per_Batch]*IFERROR(INDEX(PP_Grid[#Data],M_BOM[PPGridRow],104),0))</f>
        <v/>
      </c>
      <c r="DA29">
        <f>SUMPRODUCT((M_BOM[RM_Code]=$A29)*M_BOM[RM_Qty_Per_Batch]*IFERROR(INDEX(PP_Grid[#Data],M_BOM[PPGridRow],105),0))</f>
        <v/>
      </c>
    </row>
    <row r="30">
      <c r="A30" t="inlineStr">
        <is>
          <t>CHEM-1200</t>
        </is>
      </c>
      <c r="B30">
        <f>SUMPRODUCT((M_BOM[RM_Code]=$A30)*M_BOM[RM_Qty_Per_Batch]*IFERROR(INDEX(PP_Grid[#Data],M_BOM[PPGridRow],2),0))</f>
        <v/>
      </c>
      <c r="C30">
        <f>SUMPRODUCT((M_BOM[RM_Code]=$A30)*M_BOM[RM_Qty_Per_Batch]*IFERROR(INDEX(PP_Grid[#Data],M_BOM[PPGridRow],3),0))</f>
        <v/>
      </c>
      <c r="D30">
        <f>SUMPRODUCT((M_BOM[RM_Code]=$A30)*M_BOM[RM_Qty_Per_Batch]*IFERROR(INDEX(PP_Grid[#Data],M_BOM[PPGridRow],4),0))</f>
        <v/>
      </c>
      <c r="E30">
        <f>SUMPRODUCT((M_BOM[RM_Code]=$A30)*M_BOM[RM_Qty_Per_Batch]*IFERROR(INDEX(PP_Grid[#Data],M_BOM[PPGridRow],5),0))</f>
        <v/>
      </c>
      <c r="F30">
        <f>SUMPRODUCT((M_BOM[RM_Code]=$A30)*M_BOM[RM_Qty_Per_Batch]*IFERROR(INDEX(PP_Grid[#Data],M_BOM[PPGridRow],6),0))</f>
        <v/>
      </c>
      <c r="G30">
        <f>SUMPRODUCT((M_BOM[RM_Code]=$A30)*M_BOM[RM_Qty_Per_Batch]*IFERROR(INDEX(PP_Grid[#Data],M_BOM[PPGridRow],7),0))</f>
        <v/>
      </c>
      <c r="H30">
        <f>SUMPRODUCT((M_BOM[RM_Code]=$A30)*M_BOM[RM_Qty_Per_Batch]*IFERROR(INDEX(PP_Grid[#Data],M_BOM[PPGridRow],8),0))</f>
        <v/>
      </c>
      <c r="I30">
        <f>SUMPRODUCT((M_BOM[RM_Code]=$A30)*M_BOM[RM_Qty_Per_Batch]*IFERROR(INDEX(PP_Grid[#Data],M_BOM[PPGridRow],9),0))</f>
        <v/>
      </c>
      <c r="J30">
        <f>SUMPRODUCT((M_BOM[RM_Code]=$A30)*M_BOM[RM_Qty_Per_Batch]*IFERROR(INDEX(PP_Grid[#Data],M_BOM[PPGridRow],10),0))</f>
        <v/>
      </c>
      <c r="K30">
        <f>SUMPRODUCT((M_BOM[RM_Code]=$A30)*M_BOM[RM_Qty_Per_Batch]*IFERROR(INDEX(PP_Grid[#Data],M_BOM[PPGridRow],11),0))</f>
        <v/>
      </c>
      <c r="L30">
        <f>SUMPRODUCT((M_BOM[RM_Code]=$A30)*M_BOM[RM_Qty_Per_Batch]*IFERROR(INDEX(PP_Grid[#Data],M_BOM[PPGridRow],12),0))</f>
        <v/>
      </c>
      <c r="M30">
        <f>SUMPRODUCT((M_BOM[RM_Code]=$A30)*M_BOM[RM_Qty_Per_Batch]*IFERROR(INDEX(PP_Grid[#Data],M_BOM[PPGridRow],13),0))</f>
        <v/>
      </c>
      <c r="N30">
        <f>SUMPRODUCT((M_BOM[RM_Code]=$A30)*M_BOM[RM_Qty_Per_Batch]*IFERROR(INDEX(PP_Grid[#Data],M_BOM[PPGridRow],14),0))</f>
        <v/>
      </c>
      <c r="O30">
        <f>SUMPRODUCT((M_BOM[RM_Code]=$A30)*M_BOM[RM_Qty_Per_Batch]*IFERROR(INDEX(PP_Grid[#Data],M_BOM[PPGridRow],15),0))</f>
        <v/>
      </c>
      <c r="P30">
        <f>SUMPRODUCT((M_BOM[RM_Code]=$A30)*M_BOM[RM_Qty_Per_Batch]*IFERROR(INDEX(PP_Grid[#Data],M_BOM[PPGridRow],16),0))</f>
        <v/>
      </c>
      <c r="Q30">
        <f>SUMPRODUCT((M_BOM[RM_Code]=$A30)*M_BOM[RM_Qty_Per_Batch]*IFERROR(INDEX(PP_Grid[#Data],M_BOM[PPGridRow],17),0))</f>
        <v/>
      </c>
      <c r="R30">
        <f>SUMPRODUCT((M_BOM[RM_Code]=$A30)*M_BOM[RM_Qty_Per_Batch]*IFERROR(INDEX(PP_Grid[#Data],M_BOM[PPGridRow],18),0))</f>
        <v/>
      </c>
      <c r="S30">
        <f>SUMPRODUCT((M_BOM[RM_Code]=$A30)*M_BOM[RM_Qty_Per_Batch]*IFERROR(INDEX(PP_Grid[#Data],M_BOM[PPGridRow],19),0))</f>
        <v/>
      </c>
      <c r="T30">
        <f>SUMPRODUCT((M_BOM[RM_Code]=$A30)*M_BOM[RM_Qty_Per_Batch]*IFERROR(INDEX(PP_Grid[#Data],M_BOM[PPGridRow],20),0))</f>
        <v/>
      </c>
      <c r="U30">
        <f>SUMPRODUCT((M_BOM[RM_Code]=$A30)*M_BOM[RM_Qty_Per_Batch]*IFERROR(INDEX(PP_Grid[#Data],M_BOM[PPGridRow],21),0))</f>
        <v/>
      </c>
      <c r="V30">
        <f>SUMPRODUCT((M_BOM[RM_Code]=$A30)*M_BOM[RM_Qty_Per_Batch]*IFERROR(INDEX(PP_Grid[#Data],M_BOM[PPGridRow],22),0))</f>
        <v/>
      </c>
      <c r="W30">
        <f>SUMPRODUCT((M_BOM[RM_Code]=$A30)*M_BOM[RM_Qty_Per_Batch]*IFERROR(INDEX(PP_Grid[#Data],M_BOM[PPGridRow],23),0))</f>
        <v/>
      </c>
      <c r="X30">
        <f>SUMPRODUCT((M_BOM[RM_Code]=$A30)*M_BOM[RM_Qty_Per_Batch]*IFERROR(INDEX(PP_Grid[#Data],M_BOM[PPGridRow],24),0))</f>
        <v/>
      </c>
      <c r="Y30">
        <f>SUMPRODUCT((M_BOM[RM_Code]=$A30)*M_BOM[RM_Qty_Per_Batch]*IFERROR(INDEX(PP_Grid[#Data],M_BOM[PPGridRow],25),0))</f>
        <v/>
      </c>
      <c r="Z30">
        <f>SUMPRODUCT((M_BOM[RM_Code]=$A30)*M_BOM[RM_Qty_Per_Batch]*IFERROR(INDEX(PP_Grid[#Data],M_BOM[PPGridRow],26),0))</f>
        <v/>
      </c>
      <c r="AA30">
        <f>SUMPRODUCT((M_BOM[RM_Code]=$A30)*M_BOM[RM_Qty_Per_Batch]*IFERROR(INDEX(PP_Grid[#Data],M_BOM[PPGridRow],27),0))</f>
        <v/>
      </c>
      <c r="AB30">
        <f>SUMPRODUCT((M_BOM[RM_Code]=$A30)*M_BOM[RM_Qty_Per_Batch]*IFERROR(INDEX(PP_Grid[#Data],M_BOM[PPGridRow],28),0))</f>
        <v/>
      </c>
      <c r="AC30">
        <f>SUMPRODUCT((M_BOM[RM_Code]=$A30)*M_BOM[RM_Qty_Per_Batch]*IFERROR(INDEX(PP_Grid[#Data],M_BOM[PPGridRow],29),0))</f>
        <v/>
      </c>
      <c r="AD30">
        <f>SUMPRODUCT((M_BOM[RM_Code]=$A30)*M_BOM[RM_Qty_Per_Batch]*IFERROR(INDEX(PP_Grid[#Data],M_BOM[PPGridRow],30),0))</f>
        <v/>
      </c>
      <c r="AE30">
        <f>SUMPRODUCT((M_BOM[RM_Code]=$A30)*M_BOM[RM_Qty_Per_Batch]*IFERROR(INDEX(PP_Grid[#Data],M_BOM[PPGridRow],31),0))</f>
        <v/>
      </c>
      <c r="AF30">
        <f>SUMPRODUCT((M_BOM[RM_Code]=$A30)*M_BOM[RM_Qty_Per_Batch]*IFERROR(INDEX(PP_Grid[#Data],M_BOM[PPGridRow],32),0))</f>
        <v/>
      </c>
      <c r="AG30">
        <f>SUMPRODUCT((M_BOM[RM_Code]=$A30)*M_BOM[RM_Qty_Per_Batch]*IFERROR(INDEX(PP_Grid[#Data],M_BOM[PPGridRow],33),0))</f>
        <v/>
      </c>
      <c r="AH30">
        <f>SUMPRODUCT((M_BOM[RM_Code]=$A30)*M_BOM[RM_Qty_Per_Batch]*IFERROR(INDEX(PP_Grid[#Data],M_BOM[PPGridRow],34),0))</f>
        <v/>
      </c>
      <c r="AI30">
        <f>SUMPRODUCT((M_BOM[RM_Code]=$A30)*M_BOM[RM_Qty_Per_Batch]*IFERROR(INDEX(PP_Grid[#Data],M_BOM[PPGridRow],35),0))</f>
        <v/>
      </c>
      <c r="AJ30">
        <f>SUMPRODUCT((M_BOM[RM_Code]=$A30)*M_BOM[RM_Qty_Per_Batch]*IFERROR(INDEX(PP_Grid[#Data],M_BOM[PPGridRow],36),0))</f>
        <v/>
      </c>
      <c r="AK30">
        <f>SUMPRODUCT((M_BOM[RM_Code]=$A30)*M_BOM[RM_Qty_Per_Batch]*IFERROR(INDEX(PP_Grid[#Data],M_BOM[PPGridRow],37),0))</f>
        <v/>
      </c>
      <c r="AL30">
        <f>SUMPRODUCT((M_BOM[RM_Code]=$A30)*M_BOM[RM_Qty_Per_Batch]*IFERROR(INDEX(PP_Grid[#Data],M_BOM[PPGridRow],38),0))</f>
        <v/>
      </c>
      <c r="AM30">
        <f>SUMPRODUCT((M_BOM[RM_Code]=$A30)*M_BOM[RM_Qty_Per_Batch]*IFERROR(INDEX(PP_Grid[#Data],M_BOM[PPGridRow],39),0))</f>
        <v/>
      </c>
      <c r="AN30">
        <f>SUMPRODUCT((M_BOM[RM_Code]=$A30)*M_BOM[RM_Qty_Per_Batch]*IFERROR(INDEX(PP_Grid[#Data],M_BOM[PPGridRow],40),0))</f>
        <v/>
      </c>
      <c r="AO30">
        <f>SUMPRODUCT((M_BOM[RM_Code]=$A30)*M_BOM[RM_Qty_Per_Batch]*IFERROR(INDEX(PP_Grid[#Data],M_BOM[PPGridRow],41),0))</f>
        <v/>
      </c>
      <c r="AP30">
        <f>SUMPRODUCT((M_BOM[RM_Code]=$A30)*M_BOM[RM_Qty_Per_Batch]*IFERROR(INDEX(PP_Grid[#Data],M_BOM[PPGridRow],42),0))</f>
        <v/>
      </c>
      <c r="AQ30">
        <f>SUMPRODUCT((M_BOM[RM_Code]=$A30)*M_BOM[RM_Qty_Per_Batch]*IFERROR(INDEX(PP_Grid[#Data],M_BOM[PPGridRow],43),0))</f>
        <v/>
      </c>
      <c r="AR30">
        <f>SUMPRODUCT((M_BOM[RM_Code]=$A30)*M_BOM[RM_Qty_Per_Batch]*IFERROR(INDEX(PP_Grid[#Data],M_BOM[PPGridRow],44),0))</f>
        <v/>
      </c>
      <c r="AS30">
        <f>SUMPRODUCT((M_BOM[RM_Code]=$A30)*M_BOM[RM_Qty_Per_Batch]*IFERROR(INDEX(PP_Grid[#Data],M_BOM[PPGridRow],45),0))</f>
        <v/>
      </c>
      <c r="AT30">
        <f>SUMPRODUCT((M_BOM[RM_Code]=$A30)*M_BOM[RM_Qty_Per_Batch]*IFERROR(INDEX(PP_Grid[#Data],M_BOM[PPGridRow],46),0))</f>
        <v/>
      </c>
      <c r="AU30">
        <f>SUMPRODUCT((M_BOM[RM_Code]=$A30)*M_BOM[RM_Qty_Per_Batch]*IFERROR(INDEX(PP_Grid[#Data],M_BOM[PPGridRow],47),0))</f>
        <v/>
      </c>
      <c r="AV30">
        <f>SUMPRODUCT((M_BOM[RM_Code]=$A30)*M_BOM[RM_Qty_Per_Batch]*IFERROR(INDEX(PP_Grid[#Data],M_BOM[PPGridRow],48),0))</f>
        <v/>
      </c>
      <c r="AW30">
        <f>SUMPRODUCT((M_BOM[RM_Code]=$A30)*M_BOM[RM_Qty_Per_Batch]*IFERROR(INDEX(PP_Grid[#Data],M_BOM[PPGridRow],49),0))</f>
        <v/>
      </c>
      <c r="AX30">
        <f>SUMPRODUCT((M_BOM[RM_Code]=$A30)*M_BOM[RM_Qty_Per_Batch]*IFERROR(INDEX(PP_Grid[#Data],M_BOM[PPGridRow],50),0))</f>
        <v/>
      </c>
      <c r="AY30">
        <f>SUMPRODUCT((M_BOM[RM_Code]=$A30)*M_BOM[RM_Qty_Per_Batch]*IFERROR(INDEX(PP_Grid[#Data],M_BOM[PPGridRow],51),0))</f>
        <v/>
      </c>
      <c r="AZ30">
        <f>SUMPRODUCT((M_BOM[RM_Code]=$A30)*M_BOM[RM_Qty_Per_Batch]*IFERROR(INDEX(PP_Grid[#Data],M_BOM[PPGridRow],52),0))</f>
        <v/>
      </c>
      <c r="BA30">
        <f>SUMPRODUCT((M_BOM[RM_Code]=$A30)*M_BOM[RM_Qty_Per_Batch]*IFERROR(INDEX(PP_Grid[#Data],M_BOM[PPGridRow],53),0))</f>
        <v/>
      </c>
      <c r="BB30">
        <f>SUMPRODUCT((M_BOM[RM_Code]=$A30)*M_BOM[RM_Qty_Per_Batch]*IFERROR(INDEX(PP_Grid[#Data],M_BOM[PPGridRow],54),0))</f>
        <v/>
      </c>
      <c r="BC30">
        <f>SUMPRODUCT((M_BOM[RM_Code]=$A30)*M_BOM[RM_Qty_Per_Batch]*IFERROR(INDEX(PP_Grid[#Data],M_BOM[PPGridRow],55),0))</f>
        <v/>
      </c>
      <c r="BD30">
        <f>SUMPRODUCT((M_BOM[RM_Code]=$A30)*M_BOM[RM_Qty_Per_Batch]*IFERROR(INDEX(PP_Grid[#Data],M_BOM[PPGridRow],56),0))</f>
        <v/>
      </c>
      <c r="BE30">
        <f>SUMPRODUCT((M_BOM[RM_Code]=$A30)*M_BOM[RM_Qty_Per_Batch]*IFERROR(INDEX(PP_Grid[#Data],M_BOM[PPGridRow],57),0))</f>
        <v/>
      </c>
      <c r="BF30">
        <f>SUMPRODUCT((M_BOM[RM_Code]=$A30)*M_BOM[RM_Qty_Per_Batch]*IFERROR(INDEX(PP_Grid[#Data],M_BOM[PPGridRow],58),0))</f>
        <v/>
      </c>
      <c r="BG30">
        <f>SUMPRODUCT((M_BOM[RM_Code]=$A30)*M_BOM[RM_Qty_Per_Batch]*IFERROR(INDEX(PP_Grid[#Data],M_BOM[PPGridRow],59),0))</f>
        <v/>
      </c>
      <c r="BH30">
        <f>SUMPRODUCT((M_BOM[RM_Code]=$A30)*M_BOM[RM_Qty_Per_Batch]*IFERROR(INDEX(PP_Grid[#Data],M_BOM[PPGridRow],60),0))</f>
        <v/>
      </c>
      <c r="BI30">
        <f>SUMPRODUCT((M_BOM[RM_Code]=$A30)*M_BOM[RM_Qty_Per_Batch]*IFERROR(INDEX(PP_Grid[#Data],M_BOM[PPGridRow],61),0))</f>
        <v/>
      </c>
      <c r="BJ30">
        <f>SUMPRODUCT((M_BOM[RM_Code]=$A30)*M_BOM[RM_Qty_Per_Batch]*IFERROR(INDEX(PP_Grid[#Data],M_BOM[PPGridRow],62),0))</f>
        <v/>
      </c>
      <c r="BK30">
        <f>SUMPRODUCT((M_BOM[RM_Code]=$A30)*M_BOM[RM_Qty_Per_Batch]*IFERROR(INDEX(PP_Grid[#Data],M_BOM[PPGridRow],63),0))</f>
        <v/>
      </c>
      <c r="BL30">
        <f>SUMPRODUCT((M_BOM[RM_Code]=$A30)*M_BOM[RM_Qty_Per_Batch]*IFERROR(INDEX(PP_Grid[#Data],M_BOM[PPGridRow],64),0))</f>
        <v/>
      </c>
      <c r="BM30">
        <f>SUMPRODUCT((M_BOM[RM_Code]=$A30)*M_BOM[RM_Qty_Per_Batch]*IFERROR(INDEX(PP_Grid[#Data],M_BOM[PPGridRow],65),0))</f>
        <v/>
      </c>
      <c r="BN30">
        <f>SUMPRODUCT((M_BOM[RM_Code]=$A30)*M_BOM[RM_Qty_Per_Batch]*IFERROR(INDEX(PP_Grid[#Data],M_BOM[PPGridRow],66),0))</f>
        <v/>
      </c>
      <c r="BO30">
        <f>SUMPRODUCT((M_BOM[RM_Code]=$A30)*M_BOM[RM_Qty_Per_Batch]*IFERROR(INDEX(PP_Grid[#Data],M_BOM[PPGridRow],67),0))</f>
        <v/>
      </c>
      <c r="BP30">
        <f>SUMPRODUCT((M_BOM[RM_Code]=$A30)*M_BOM[RM_Qty_Per_Batch]*IFERROR(INDEX(PP_Grid[#Data],M_BOM[PPGridRow],68),0))</f>
        <v/>
      </c>
      <c r="BQ30">
        <f>SUMPRODUCT((M_BOM[RM_Code]=$A30)*M_BOM[RM_Qty_Per_Batch]*IFERROR(INDEX(PP_Grid[#Data],M_BOM[PPGridRow],69),0))</f>
        <v/>
      </c>
      <c r="BR30">
        <f>SUMPRODUCT((M_BOM[RM_Code]=$A30)*M_BOM[RM_Qty_Per_Batch]*IFERROR(INDEX(PP_Grid[#Data],M_BOM[PPGridRow],70),0))</f>
        <v/>
      </c>
      <c r="BS30">
        <f>SUMPRODUCT((M_BOM[RM_Code]=$A30)*M_BOM[RM_Qty_Per_Batch]*IFERROR(INDEX(PP_Grid[#Data],M_BOM[PPGridRow],71),0))</f>
        <v/>
      </c>
      <c r="BT30">
        <f>SUMPRODUCT((M_BOM[RM_Code]=$A30)*M_BOM[RM_Qty_Per_Batch]*IFERROR(INDEX(PP_Grid[#Data],M_BOM[PPGridRow],72),0))</f>
        <v/>
      </c>
      <c r="BU30">
        <f>SUMPRODUCT((M_BOM[RM_Code]=$A30)*M_BOM[RM_Qty_Per_Batch]*IFERROR(INDEX(PP_Grid[#Data],M_BOM[PPGridRow],73),0))</f>
        <v/>
      </c>
      <c r="BV30">
        <f>SUMPRODUCT((M_BOM[RM_Code]=$A30)*M_BOM[RM_Qty_Per_Batch]*IFERROR(INDEX(PP_Grid[#Data],M_BOM[PPGridRow],74),0))</f>
        <v/>
      </c>
      <c r="BW30">
        <f>SUMPRODUCT((M_BOM[RM_Code]=$A30)*M_BOM[RM_Qty_Per_Batch]*IFERROR(INDEX(PP_Grid[#Data],M_BOM[PPGridRow],75),0))</f>
        <v/>
      </c>
      <c r="BX30">
        <f>SUMPRODUCT((M_BOM[RM_Code]=$A30)*M_BOM[RM_Qty_Per_Batch]*IFERROR(INDEX(PP_Grid[#Data],M_BOM[PPGridRow],76),0))</f>
        <v/>
      </c>
      <c r="BY30">
        <f>SUMPRODUCT((M_BOM[RM_Code]=$A30)*M_BOM[RM_Qty_Per_Batch]*IFERROR(INDEX(PP_Grid[#Data],M_BOM[PPGridRow],77),0))</f>
        <v/>
      </c>
      <c r="BZ30">
        <f>SUMPRODUCT((M_BOM[RM_Code]=$A30)*M_BOM[RM_Qty_Per_Batch]*IFERROR(INDEX(PP_Grid[#Data],M_BOM[PPGridRow],78),0))</f>
        <v/>
      </c>
      <c r="CA30">
        <f>SUMPRODUCT((M_BOM[RM_Code]=$A30)*M_BOM[RM_Qty_Per_Batch]*IFERROR(INDEX(PP_Grid[#Data],M_BOM[PPGridRow],79),0))</f>
        <v/>
      </c>
      <c r="CB30">
        <f>SUMPRODUCT((M_BOM[RM_Code]=$A30)*M_BOM[RM_Qty_Per_Batch]*IFERROR(INDEX(PP_Grid[#Data],M_BOM[PPGridRow],80),0))</f>
        <v/>
      </c>
      <c r="CC30">
        <f>SUMPRODUCT((M_BOM[RM_Code]=$A30)*M_BOM[RM_Qty_Per_Batch]*IFERROR(INDEX(PP_Grid[#Data],M_BOM[PPGridRow],81),0))</f>
        <v/>
      </c>
      <c r="CD30">
        <f>SUMPRODUCT((M_BOM[RM_Code]=$A30)*M_BOM[RM_Qty_Per_Batch]*IFERROR(INDEX(PP_Grid[#Data],M_BOM[PPGridRow],82),0))</f>
        <v/>
      </c>
      <c r="CE30">
        <f>SUMPRODUCT((M_BOM[RM_Code]=$A30)*M_BOM[RM_Qty_Per_Batch]*IFERROR(INDEX(PP_Grid[#Data],M_BOM[PPGridRow],83),0))</f>
        <v/>
      </c>
      <c r="CF30">
        <f>SUMPRODUCT((M_BOM[RM_Code]=$A30)*M_BOM[RM_Qty_Per_Batch]*IFERROR(INDEX(PP_Grid[#Data],M_BOM[PPGridRow],84),0))</f>
        <v/>
      </c>
      <c r="CG30">
        <f>SUMPRODUCT((M_BOM[RM_Code]=$A30)*M_BOM[RM_Qty_Per_Batch]*IFERROR(INDEX(PP_Grid[#Data],M_BOM[PPGridRow],85),0))</f>
        <v/>
      </c>
      <c r="CH30">
        <f>SUMPRODUCT((M_BOM[RM_Code]=$A30)*M_BOM[RM_Qty_Per_Batch]*IFERROR(INDEX(PP_Grid[#Data],M_BOM[PPGridRow],86),0))</f>
        <v/>
      </c>
      <c r="CI30">
        <f>SUMPRODUCT((M_BOM[RM_Code]=$A30)*M_BOM[RM_Qty_Per_Batch]*IFERROR(INDEX(PP_Grid[#Data],M_BOM[PPGridRow],87),0))</f>
        <v/>
      </c>
      <c r="CJ30">
        <f>SUMPRODUCT((M_BOM[RM_Code]=$A30)*M_BOM[RM_Qty_Per_Batch]*IFERROR(INDEX(PP_Grid[#Data],M_BOM[PPGridRow],88),0))</f>
        <v/>
      </c>
      <c r="CK30">
        <f>SUMPRODUCT((M_BOM[RM_Code]=$A30)*M_BOM[RM_Qty_Per_Batch]*IFERROR(INDEX(PP_Grid[#Data],M_BOM[PPGridRow],89),0))</f>
        <v/>
      </c>
      <c r="CL30">
        <f>SUMPRODUCT((M_BOM[RM_Code]=$A30)*M_BOM[RM_Qty_Per_Batch]*IFERROR(INDEX(PP_Grid[#Data],M_BOM[PPGridRow],90),0))</f>
        <v/>
      </c>
      <c r="CM30">
        <f>SUMPRODUCT((M_BOM[RM_Code]=$A30)*M_BOM[RM_Qty_Per_Batch]*IFERROR(INDEX(PP_Grid[#Data],M_BOM[PPGridRow],91),0))</f>
        <v/>
      </c>
      <c r="CN30">
        <f>SUMPRODUCT((M_BOM[RM_Code]=$A30)*M_BOM[RM_Qty_Per_Batch]*IFERROR(INDEX(PP_Grid[#Data],M_BOM[PPGridRow],92),0))</f>
        <v/>
      </c>
      <c r="CO30">
        <f>SUMPRODUCT((M_BOM[RM_Code]=$A30)*M_BOM[RM_Qty_Per_Batch]*IFERROR(INDEX(PP_Grid[#Data],M_BOM[PPGridRow],93),0))</f>
        <v/>
      </c>
      <c r="CP30">
        <f>SUMPRODUCT((M_BOM[RM_Code]=$A30)*M_BOM[RM_Qty_Per_Batch]*IFERROR(INDEX(PP_Grid[#Data],M_BOM[PPGridRow],94),0))</f>
        <v/>
      </c>
      <c r="CQ30">
        <f>SUMPRODUCT((M_BOM[RM_Code]=$A30)*M_BOM[RM_Qty_Per_Batch]*IFERROR(INDEX(PP_Grid[#Data],M_BOM[PPGridRow],95),0))</f>
        <v/>
      </c>
      <c r="CR30">
        <f>SUMPRODUCT((M_BOM[RM_Code]=$A30)*M_BOM[RM_Qty_Per_Batch]*IFERROR(INDEX(PP_Grid[#Data],M_BOM[PPGridRow],96),0))</f>
        <v/>
      </c>
      <c r="CS30">
        <f>SUMPRODUCT((M_BOM[RM_Code]=$A30)*M_BOM[RM_Qty_Per_Batch]*IFERROR(INDEX(PP_Grid[#Data],M_BOM[PPGridRow],97),0))</f>
        <v/>
      </c>
      <c r="CT30">
        <f>SUMPRODUCT((M_BOM[RM_Code]=$A30)*M_BOM[RM_Qty_Per_Batch]*IFERROR(INDEX(PP_Grid[#Data],M_BOM[PPGridRow],98),0))</f>
        <v/>
      </c>
      <c r="CU30">
        <f>SUMPRODUCT((M_BOM[RM_Code]=$A30)*M_BOM[RM_Qty_Per_Batch]*IFERROR(INDEX(PP_Grid[#Data],M_BOM[PPGridRow],99),0))</f>
        <v/>
      </c>
      <c r="CV30">
        <f>SUMPRODUCT((M_BOM[RM_Code]=$A30)*M_BOM[RM_Qty_Per_Batch]*IFERROR(INDEX(PP_Grid[#Data],M_BOM[PPGridRow],100),0))</f>
        <v/>
      </c>
      <c r="CW30">
        <f>SUMPRODUCT((M_BOM[RM_Code]=$A30)*M_BOM[RM_Qty_Per_Batch]*IFERROR(INDEX(PP_Grid[#Data],M_BOM[PPGridRow],101),0))</f>
        <v/>
      </c>
      <c r="CX30">
        <f>SUMPRODUCT((M_BOM[RM_Code]=$A30)*M_BOM[RM_Qty_Per_Batch]*IFERROR(INDEX(PP_Grid[#Data],M_BOM[PPGridRow],102),0))</f>
        <v/>
      </c>
      <c r="CY30">
        <f>SUMPRODUCT((M_BOM[RM_Code]=$A30)*M_BOM[RM_Qty_Per_Batch]*IFERROR(INDEX(PP_Grid[#Data],M_BOM[PPGridRow],103),0))</f>
        <v/>
      </c>
      <c r="CZ30">
        <f>SUMPRODUCT((M_BOM[RM_Code]=$A30)*M_BOM[RM_Qty_Per_Batch]*IFERROR(INDEX(PP_Grid[#Data],M_BOM[PPGridRow],104),0))</f>
        <v/>
      </c>
      <c r="DA30">
        <f>SUMPRODUCT((M_BOM[RM_Code]=$A30)*M_BOM[RM_Qty_Per_Batch]*IFERROR(INDEX(PP_Grid[#Data],M_BOM[PPGridRow],105),0))</f>
        <v/>
      </c>
    </row>
    <row r="31">
      <c r="A31" t="inlineStr">
        <is>
          <t>ABN</t>
        </is>
      </c>
      <c r="B31">
        <f>SUMPRODUCT((M_BOM[RM_Code]=$A31)*M_BOM[RM_Qty_Per_Batch]*IFERROR(INDEX(PP_Grid[#Data],M_BOM[PPGridRow],2),0))</f>
        <v/>
      </c>
      <c r="C31">
        <f>SUMPRODUCT((M_BOM[RM_Code]=$A31)*M_BOM[RM_Qty_Per_Batch]*IFERROR(INDEX(PP_Grid[#Data],M_BOM[PPGridRow],3),0))</f>
        <v/>
      </c>
      <c r="D31">
        <f>SUMPRODUCT((M_BOM[RM_Code]=$A31)*M_BOM[RM_Qty_Per_Batch]*IFERROR(INDEX(PP_Grid[#Data],M_BOM[PPGridRow],4),0))</f>
        <v/>
      </c>
      <c r="E31">
        <f>SUMPRODUCT((M_BOM[RM_Code]=$A31)*M_BOM[RM_Qty_Per_Batch]*IFERROR(INDEX(PP_Grid[#Data],M_BOM[PPGridRow],5),0))</f>
        <v/>
      </c>
      <c r="F31">
        <f>SUMPRODUCT((M_BOM[RM_Code]=$A31)*M_BOM[RM_Qty_Per_Batch]*IFERROR(INDEX(PP_Grid[#Data],M_BOM[PPGridRow],6),0))</f>
        <v/>
      </c>
      <c r="G31">
        <f>SUMPRODUCT((M_BOM[RM_Code]=$A31)*M_BOM[RM_Qty_Per_Batch]*IFERROR(INDEX(PP_Grid[#Data],M_BOM[PPGridRow],7),0))</f>
        <v/>
      </c>
      <c r="H31">
        <f>SUMPRODUCT((M_BOM[RM_Code]=$A31)*M_BOM[RM_Qty_Per_Batch]*IFERROR(INDEX(PP_Grid[#Data],M_BOM[PPGridRow],8),0))</f>
        <v/>
      </c>
      <c r="I31">
        <f>SUMPRODUCT((M_BOM[RM_Code]=$A31)*M_BOM[RM_Qty_Per_Batch]*IFERROR(INDEX(PP_Grid[#Data],M_BOM[PPGridRow],9),0))</f>
        <v/>
      </c>
      <c r="J31">
        <f>SUMPRODUCT((M_BOM[RM_Code]=$A31)*M_BOM[RM_Qty_Per_Batch]*IFERROR(INDEX(PP_Grid[#Data],M_BOM[PPGridRow],10),0))</f>
        <v/>
      </c>
      <c r="K31">
        <f>SUMPRODUCT((M_BOM[RM_Code]=$A31)*M_BOM[RM_Qty_Per_Batch]*IFERROR(INDEX(PP_Grid[#Data],M_BOM[PPGridRow],11),0))</f>
        <v/>
      </c>
      <c r="L31">
        <f>SUMPRODUCT((M_BOM[RM_Code]=$A31)*M_BOM[RM_Qty_Per_Batch]*IFERROR(INDEX(PP_Grid[#Data],M_BOM[PPGridRow],12),0))</f>
        <v/>
      </c>
      <c r="M31">
        <f>SUMPRODUCT((M_BOM[RM_Code]=$A31)*M_BOM[RM_Qty_Per_Batch]*IFERROR(INDEX(PP_Grid[#Data],M_BOM[PPGridRow],13),0))</f>
        <v/>
      </c>
      <c r="N31">
        <f>SUMPRODUCT((M_BOM[RM_Code]=$A31)*M_BOM[RM_Qty_Per_Batch]*IFERROR(INDEX(PP_Grid[#Data],M_BOM[PPGridRow],14),0))</f>
        <v/>
      </c>
      <c r="O31">
        <f>SUMPRODUCT((M_BOM[RM_Code]=$A31)*M_BOM[RM_Qty_Per_Batch]*IFERROR(INDEX(PP_Grid[#Data],M_BOM[PPGridRow],15),0))</f>
        <v/>
      </c>
      <c r="P31">
        <f>SUMPRODUCT((M_BOM[RM_Code]=$A31)*M_BOM[RM_Qty_Per_Batch]*IFERROR(INDEX(PP_Grid[#Data],M_BOM[PPGridRow],16),0))</f>
        <v/>
      </c>
      <c r="Q31">
        <f>SUMPRODUCT((M_BOM[RM_Code]=$A31)*M_BOM[RM_Qty_Per_Batch]*IFERROR(INDEX(PP_Grid[#Data],M_BOM[PPGridRow],17),0))</f>
        <v/>
      </c>
      <c r="R31">
        <f>SUMPRODUCT((M_BOM[RM_Code]=$A31)*M_BOM[RM_Qty_Per_Batch]*IFERROR(INDEX(PP_Grid[#Data],M_BOM[PPGridRow],18),0))</f>
        <v/>
      </c>
      <c r="S31">
        <f>SUMPRODUCT((M_BOM[RM_Code]=$A31)*M_BOM[RM_Qty_Per_Batch]*IFERROR(INDEX(PP_Grid[#Data],M_BOM[PPGridRow],19),0))</f>
        <v/>
      </c>
      <c r="T31">
        <f>SUMPRODUCT((M_BOM[RM_Code]=$A31)*M_BOM[RM_Qty_Per_Batch]*IFERROR(INDEX(PP_Grid[#Data],M_BOM[PPGridRow],20),0))</f>
        <v/>
      </c>
      <c r="U31">
        <f>SUMPRODUCT((M_BOM[RM_Code]=$A31)*M_BOM[RM_Qty_Per_Batch]*IFERROR(INDEX(PP_Grid[#Data],M_BOM[PPGridRow],21),0))</f>
        <v/>
      </c>
      <c r="V31">
        <f>SUMPRODUCT((M_BOM[RM_Code]=$A31)*M_BOM[RM_Qty_Per_Batch]*IFERROR(INDEX(PP_Grid[#Data],M_BOM[PPGridRow],22),0))</f>
        <v/>
      </c>
      <c r="W31">
        <f>SUMPRODUCT((M_BOM[RM_Code]=$A31)*M_BOM[RM_Qty_Per_Batch]*IFERROR(INDEX(PP_Grid[#Data],M_BOM[PPGridRow],23),0))</f>
        <v/>
      </c>
      <c r="X31">
        <f>SUMPRODUCT((M_BOM[RM_Code]=$A31)*M_BOM[RM_Qty_Per_Batch]*IFERROR(INDEX(PP_Grid[#Data],M_BOM[PPGridRow],24),0))</f>
        <v/>
      </c>
      <c r="Y31">
        <f>SUMPRODUCT((M_BOM[RM_Code]=$A31)*M_BOM[RM_Qty_Per_Batch]*IFERROR(INDEX(PP_Grid[#Data],M_BOM[PPGridRow],25),0))</f>
        <v/>
      </c>
      <c r="Z31">
        <f>SUMPRODUCT((M_BOM[RM_Code]=$A31)*M_BOM[RM_Qty_Per_Batch]*IFERROR(INDEX(PP_Grid[#Data],M_BOM[PPGridRow],26),0))</f>
        <v/>
      </c>
      <c r="AA31">
        <f>SUMPRODUCT((M_BOM[RM_Code]=$A31)*M_BOM[RM_Qty_Per_Batch]*IFERROR(INDEX(PP_Grid[#Data],M_BOM[PPGridRow],27),0))</f>
        <v/>
      </c>
      <c r="AB31">
        <f>SUMPRODUCT((M_BOM[RM_Code]=$A31)*M_BOM[RM_Qty_Per_Batch]*IFERROR(INDEX(PP_Grid[#Data],M_BOM[PPGridRow],28),0))</f>
        <v/>
      </c>
      <c r="AC31">
        <f>SUMPRODUCT((M_BOM[RM_Code]=$A31)*M_BOM[RM_Qty_Per_Batch]*IFERROR(INDEX(PP_Grid[#Data],M_BOM[PPGridRow],29),0))</f>
        <v/>
      </c>
      <c r="AD31">
        <f>SUMPRODUCT((M_BOM[RM_Code]=$A31)*M_BOM[RM_Qty_Per_Batch]*IFERROR(INDEX(PP_Grid[#Data],M_BOM[PPGridRow],30),0))</f>
        <v/>
      </c>
      <c r="AE31">
        <f>SUMPRODUCT((M_BOM[RM_Code]=$A31)*M_BOM[RM_Qty_Per_Batch]*IFERROR(INDEX(PP_Grid[#Data],M_BOM[PPGridRow],31),0))</f>
        <v/>
      </c>
      <c r="AF31">
        <f>SUMPRODUCT((M_BOM[RM_Code]=$A31)*M_BOM[RM_Qty_Per_Batch]*IFERROR(INDEX(PP_Grid[#Data],M_BOM[PPGridRow],32),0))</f>
        <v/>
      </c>
      <c r="AG31">
        <f>SUMPRODUCT((M_BOM[RM_Code]=$A31)*M_BOM[RM_Qty_Per_Batch]*IFERROR(INDEX(PP_Grid[#Data],M_BOM[PPGridRow],33),0))</f>
        <v/>
      </c>
      <c r="AH31">
        <f>SUMPRODUCT((M_BOM[RM_Code]=$A31)*M_BOM[RM_Qty_Per_Batch]*IFERROR(INDEX(PP_Grid[#Data],M_BOM[PPGridRow],34),0))</f>
        <v/>
      </c>
      <c r="AI31">
        <f>SUMPRODUCT((M_BOM[RM_Code]=$A31)*M_BOM[RM_Qty_Per_Batch]*IFERROR(INDEX(PP_Grid[#Data],M_BOM[PPGridRow],35),0))</f>
        <v/>
      </c>
      <c r="AJ31">
        <f>SUMPRODUCT((M_BOM[RM_Code]=$A31)*M_BOM[RM_Qty_Per_Batch]*IFERROR(INDEX(PP_Grid[#Data],M_BOM[PPGridRow],36),0))</f>
        <v/>
      </c>
      <c r="AK31">
        <f>SUMPRODUCT((M_BOM[RM_Code]=$A31)*M_BOM[RM_Qty_Per_Batch]*IFERROR(INDEX(PP_Grid[#Data],M_BOM[PPGridRow],37),0))</f>
        <v/>
      </c>
      <c r="AL31">
        <f>SUMPRODUCT((M_BOM[RM_Code]=$A31)*M_BOM[RM_Qty_Per_Batch]*IFERROR(INDEX(PP_Grid[#Data],M_BOM[PPGridRow],38),0))</f>
        <v/>
      </c>
      <c r="AM31">
        <f>SUMPRODUCT((M_BOM[RM_Code]=$A31)*M_BOM[RM_Qty_Per_Batch]*IFERROR(INDEX(PP_Grid[#Data],M_BOM[PPGridRow],39),0))</f>
        <v/>
      </c>
      <c r="AN31">
        <f>SUMPRODUCT((M_BOM[RM_Code]=$A31)*M_BOM[RM_Qty_Per_Batch]*IFERROR(INDEX(PP_Grid[#Data],M_BOM[PPGridRow],40),0))</f>
        <v/>
      </c>
      <c r="AO31">
        <f>SUMPRODUCT((M_BOM[RM_Code]=$A31)*M_BOM[RM_Qty_Per_Batch]*IFERROR(INDEX(PP_Grid[#Data],M_BOM[PPGridRow],41),0))</f>
        <v/>
      </c>
      <c r="AP31">
        <f>SUMPRODUCT((M_BOM[RM_Code]=$A31)*M_BOM[RM_Qty_Per_Batch]*IFERROR(INDEX(PP_Grid[#Data],M_BOM[PPGridRow],42),0))</f>
        <v/>
      </c>
      <c r="AQ31">
        <f>SUMPRODUCT((M_BOM[RM_Code]=$A31)*M_BOM[RM_Qty_Per_Batch]*IFERROR(INDEX(PP_Grid[#Data],M_BOM[PPGridRow],43),0))</f>
        <v/>
      </c>
      <c r="AR31">
        <f>SUMPRODUCT((M_BOM[RM_Code]=$A31)*M_BOM[RM_Qty_Per_Batch]*IFERROR(INDEX(PP_Grid[#Data],M_BOM[PPGridRow],44),0))</f>
        <v/>
      </c>
      <c r="AS31">
        <f>SUMPRODUCT((M_BOM[RM_Code]=$A31)*M_BOM[RM_Qty_Per_Batch]*IFERROR(INDEX(PP_Grid[#Data],M_BOM[PPGridRow],45),0))</f>
        <v/>
      </c>
      <c r="AT31">
        <f>SUMPRODUCT((M_BOM[RM_Code]=$A31)*M_BOM[RM_Qty_Per_Batch]*IFERROR(INDEX(PP_Grid[#Data],M_BOM[PPGridRow],46),0))</f>
        <v/>
      </c>
      <c r="AU31">
        <f>SUMPRODUCT((M_BOM[RM_Code]=$A31)*M_BOM[RM_Qty_Per_Batch]*IFERROR(INDEX(PP_Grid[#Data],M_BOM[PPGridRow],47),0))</f>
        <v/>
      </c>
      <c r="AV31">
        <f>SUMPRODUCT((M_BOM[RM_Code]=$A31)*M_BOM[RM_Qty_Per_Batch]*IFERROR(INDEX(PP_Grid[#Data],M_BOM[PPGridRow],48),0))</f>
        <v/>
      </c>
      <c r="AW31">
        <f>SUMPRODUCT((M_BOM[RM_Code]=$A31)*M_BOM[RM_Qty_Per_Batch]*IFERROR(INDEX(PP_Grid[#Data],M_BOM[PPGridRow],49),0))</f>
        <v/>
      </c>
      <c r="AX31">
        <f>SUMPRODUCT((M_BOM[RM_Code]=$A31)*M_BOM[RM_Qty_Per_Batch]*IFERROR(INDEX(PP_Grid[#Data],M_BOM[PPGridRow],50),0))</f>
        <v/>
      </c>
      <c r="AY31">
        <f>SUMPRODUCT((M_BOM[RM_Code]=$A31)*M_BOM[RM_Qty_Per_Batch]*IFERROR(INDEX(PP_Grid[#Data],M_BOM[PPGridRow],51),0))</f>
        <v/>
      </c>
      <c r="AZ31">
        <f>SUMPRODUCT((M_BOM[RM_Code]=$A31)*M_BOM[RM_Qty_Per_Batch]*IFERROR(INDEX(PP_Grid[#Data],M_BOM[PPGridRow],52),0))</f>
        <v/>
      </c>
      <c r="BA31">
        <f>SUMPRODUCT((M_BOM[RM_Code]=$A31)*M_BOM[RM_Qty_Per_Batch]*IFERROR(INDEX(PP_Grid[#Data],M_BOM[PPGridRow],53),0))</f>
        <v/>
      </c>
      <c r="BB31">
        <f>SUMPRODUCT((M_BOM[RM_Code]=$A31)*M_BOM[RM_Qty_Per_Batch]*IFERROR(INDEX(PP_Grid[#Data],M_BOM[PPGridRow],54),0))</f>
        <v/>
      </c>
      <c r="BC31">
        <f>SUMPRODUCT((M_BOM[RM_Code]=$A31)*M_BOM[RM_Qty_Per_Batch]*IFERROR(INDEX(PP_Grid[#Data],M_BOM[PPGridRow],55),0))</f>
        <v/>
      </c>
      <c r="BD31">
        <f>SUMPRODUCT((M_BOM[RM_Code]=$A31)*M_BOM[RM_Qty_Per_Batch]*IFERROR(INDEX(PP_Grid[#Data],M_BOM[PPGridRow],56),0))</f>
        <v/>
      </c>
      <c r="BE31">
        <f>SUMPRODUCT((M_BOM[RM_Code]=$A31)*M_BOM[RM_Qty_Per_Batch]*IFERROR(INDEX(PP_Grid[#Data],M_BOM[PPGridRow],57),0))</f>
        <v/>
      </c>
      <c r="BF31">
        <f>SUMPRODUCT((M_BOM[RM_Code]=$A31)*M_BOM[RM_Qty_Per_Batch]*IFERROR(INDEX(PP_Grid[#Data],M_BOM[PPGridRow],58),0))</f>
        <v/>
      </c>
      <c r="BG31">
        <f>SUMPRODUCT((M_BOM[RM_Code]=$A31)*M_BOM[RM_Qty_Per_Batch]*IFERROR(INDEX(PP_Grid[#Data],M_BOM[PPGridRow],59),0))</f>
        <v/>
      </c>
      <c r="BH31">
        <f>SUMPRODUCT((M_BOM[RM_Code]=$A31)*M_BOM[RM_Qty_Per_Batch]*IFERROR(INDEX(PP_Grid[#Data],M_BOM[PPGridRow],60),0))</f>
        <v/>
      </c>
      <c r="BI31">
        <f>SUMPRODUCT((M_BOM[RM_Code]=$A31)*M_BOM[RM_Qty_Per_Batch]*IFERROR(INDEX(PP_Grid[#Data],M_BOM[PPGridRow],61),0))</f>
        <v/>
      </c>
      <c r="BJ31">
        <f>SUMPRODUCT((M_BOM[RM_Code]=$A31)*M_BOM[RM_Qty_Per_Batch]*IFERROR(INDEX(PP_Grid[#Data],M_BOM[PPGridRow],62),0))</f>
        <v/>
      </c>
      <c r="BK31">
        <f>SUMPRODUCT((M_BOM[RM_Code]=$A31)*M_BOM[RM_Qty_Per_Batch]*IFERROR(INDEX(PP_Grid[#Data],M_BOM[PPGridRow],63),0))</f>
        <v/>
      </c>
      <c r="BL31">
        <f>SUMPRODUCT((M_BOM[RM_Code]=$A31)*M_BOM[RM_Qty_Per_Batch]*IFERROR(INDEX(PP_Grid[#Data],M_BOM[PPGridRow],64),0))</f>
        <v/>
      </c>
      <c r="BM31">
        <f>SUMPRODUCT((M_BOM[RM_Code]=$A31)*M_BOM[RM_Qty_Per_Batch]*IFERROR(INDEX(PP_Grid[#Data],M_BOM[PPGridRow],65),0))</f>
        <v/>
      </c>
      <c r="BN31">
        <f>SUMPRODUCT((M_BOM[RM_Code]=$A31)*M_BOM[RM_Qty_Per_Batch]*IFERROR(INDEX(PP_Grid[#Data],M_BOM[PPGridRow],66),0))</f>
        <v/>
      </c>
      <c r="BO31">
        <f>SUMPRODUCT((M_BOM[RM_Code]=$A31)*M_BOM[RM_Qty_Per_Batch]*IFERROR(INDEX(PP_Grid[#Data],M_BOM[PPGridRow],67),0))</f>
        <v/>
      </c>
      <c r="BP31">
        <f>SUMPRODUCT((M_BOM[RM_Code]=$A31)*M_BOM[RM_Qty_Per_Batch]*IFERROR(INDEX(PP_Grid[#Data],M_BOM[PPGridRow],68),0))</f>
        <v/>
      </c>
      <c r="BQ31">
        <f>SUMPRODUCT((M_BOM[RM_Code]=$A31)*M_BOM[RM_Qty_Per_Batch]*IFERROR(INDEX(PP_Grid[#Data],M_BOM[PPGridRow],69),0))</f>
        <v/>
      </c>
      <c r="BR31">
        <f>SUMPRODUCT((M_BOM[RM_Code]=$A31)*M_BOM[RM_Qty_Per_Batch]*IFERROR(INDEX(PP_Grid[#Data],M_BOM[PPGridRow],70),0))</f>
        <v/>
      </c>
      <c r="BS31">
        <f>SUMPRODUCT((M_BOM[RM_Code]=$A31)*M_BOM[RM_Qty_Per_Batch]*IFERROR(INDEX(PP_Grid[#Data],M_BOM[PPGridRow],71),0))</f>
        <v/>
      </c>
      <c r="BT31">
        <f>SUMPRODUCT((M_BOM[RM_Code]=$A31)*M_BOM[RM_Qty_Per_Batch]*IFERROR(INDEX(PP_Grid[#Data],M_BOM[PPGridRow],72),0))</f>
        <v/>
      </c>
      <c r="BU31">
        <f>SUMPRODUCT((M_BOM[RM_Code]=$A31)*M_BOM[RM_Qty_Per_Batch]*IFERROR(INDEX(PP_Grid[#Data],M_BOM[PPGridRow],73),0))</f>
        <v/>
      </c>
      <c r="BV31">
        <f>SUMPRODUCT((M_BOM[RM_Code]=$A31)*M_BOM[RM_Qty_Per_Batch]*IFERROR(INDEX(PP_Grid[#Data],M_BOM[PPGridRow],74),0))</f>
        <v/>
      </c>
      <c r="BW31">
        <f>SUMPRODUCT((M_BOM[RM_Code]=$A31)*M_BOM[RM_Qty_Per_Batch]*IFERROR(INDEX(PP_Grid[#Data],M_BOM[PPGridRow],75),0))</f>
        <v/>
      </c>
      <c r="BX31">
        <f>SUMPRODUCT((M_BOM[RM_Code]=$A31)*M_BOM[RM_Qty_Per_Batch]*IFERROR(INDEX(PP_Grid[#Data],M_BOM[PPGridRow],76),0))</f>
        <v/>
      </c>
      <c r="BY31">
        <f>SUMPRODUCT((M_BOM[RM_Code]=$A31)*M_BOM[RM_Qty_Per_Batch]*IFERROR(INDEX(PP_Grid[#Data],M_BOM[PPGridRow],77),0))</f>
        <v/>
      </c>
      <c r="BZ31">
        <f>SUMPRODUCT((M_BOM[RM_Code]=$A31)*M_BOM[RM_Qty_Per_Batch]*IFERROR(INDEX(PP_Grid[#Data],M_BOM[PPGridRow],78),0))</f>
        <v/>
      </c>
      <c r="CA31">
        <f>SUMPRODUCT((M_BOM[RM_Code]=$A31)*M_BOM[RM_Qty_Per_Batch]*IFERROR(INDEX(PP_Grid[#Data],M_BOM[PPGridRow],79),0))</f>
        <v/>
      </c>
      <c r="CB31">
        <f>SUMPRODUCT((M_BOM[RM_Code]=$A31)*M_BOM[RM_Qty_Per_Batch]*IFERROR(INDEX(PP_Grid[#Data],M_BOM[PPGridRow],80),0))</f>
        <v/>
      </c>
      <c r="CC31">
        <f>SUMPRODUCT((M_BOM[RM_Code]=$A31)*M_BOM[RM_Qty_Per_Batch]*IFERROR(INDEX(PP_Grid[#Data],M_BOM[PPGridRow],81),0))</f>
        <v/>
      </c>
      <c r="CD31">
        <f>SUMPRODUCT((M_BOM[RM_Code]=$A31)*M_BOM[RM_Qty_Per_Batch]*IFERROR(INDEX(PP_Grid[#Data],M_BOM[PPGridRow],82),0))</f>
        <v/>
      </c>
      <c r="CE31">
        <f>SUMPRODUCT((M_BOM[RM_Code]=$A31)*M_BOM[RM_Qty_Per_Batch]*IFERROR(INDEX(PP_Grid[#Data],M_BOM[PPGridRow],83),0))</f>
        <v/>
      </c>
      <c r="CF31">
        <f>SUMPRODUCT((M_BOM[RM_Code]=$A31)*M_BOM[RM_Qty_Per_Batch]*IFERROR(INDEX(PP_Grid[#Data],M_BOM[PPGridRow],84),0))</f>
        <v/>
      </c>
      <c r="CG31">
        <f>SUMPRODUCT((M_BOM[RM_Code]=$A31)*M_BOM[RM_Qty_Per_Batch]*IFERROR(INDEX(PP_Grid[#Data],M_BOM[PPGridRow],85),0))</f>
        <v/>
      </c>
      <c r="CH31">
        <f>SUMPRODUCT((M_BOM[RM_Code]=$A31)*M_BOM[RM_Qty_Per_Batch]*IFERROR(INDEX(PP_Grid[#Data],M_BOM[PPGridRow],86),0))</f>
        <v/>
      </c>
      <c r="CI31">
        <f>SUMPRODUCT((M_BOM[RM_Code]=$A31)*M_BOM[RM_Qty_Per_Batch]*IFERROR(INDEX(PP_Grid[#Data],M_BOM[PPGridRow],87),0))</f>
        <v/>
      </c>
      <c r="CJ31">
        <f>SUMPRODUCT((M_BOM[RM_Code]=$A31)*M_BOM[RM_Qty_Per_Batch]*IFERROR(INDEX(PP_Grid[#Data],M_BOM[PPGridRow],88),0))</f>
        <v/>
      </c>
      <c r="CK31">
        <f>SUMPRODUCT((M_BOM[RM_Code]=$A31)*M_BOM[RM_Qty_Per_Batch]*IFERROR(INDEX(PP_Grid[#Data],M_BOM[PPGridRow],89),0))</f>
        <v/>
      </c>
      <c r="CL31">
        <f>SUMPRODUCT((M_BOM[RM_Code]=$A31)*M_BOM[RM_Qty_Per_Batch]*IFERROR(INDEX(PP_Grid[#Data],M_BOM[PPGridRow],90),0))</f>
        <v/>
      </c>
      <c r="CM31">
        <f>SUMPRODUCT((M_BOM[RM_Code]=$A31)*M_BOM[RM_Qty_Per_Batch]*IFERROR(INDEX(PP_Grid[#Data],M_BOM[PPGridRow],91),0))</f>
        <v/>
      </c>
      <c r="CN31">
        <f>SUMPRODUCT((M_BOM[RM_Code]=$A31)*M_BOM[RM_Qty_Per_Batch]*IFERROR(INDEX(PP_Grid[#Data],M_BOM[PPGridRow],92),0))</f>
        <v/>
      </c>
      <c r="CO31">
        <f>SUMPRODUCT((M_BOM[RM_Code]=$A31)*M_BOM[RM_Qty_Per_Batch]*IFERROR(INDEX(PP_Grid[#Data],M_BOM[PPGridRow],93),0))</f>
        <v/>
      </c>
      <c r="CP31">
        <f>SUMPRODUCT((M_BOM[RM_Code]=$A31)*M_BOM[RM_Qty_Per_Batch]*IFERROR(INDEX(PP_Grid[#Data],M_BOM[PPGridRow],94),0))</f>
        <v/>
      </c>
      <c r="CQ31">
        <f>SUMPRODUCT((M_BOM[RM_Code]=$A31)*M_BOM[RM_Qty_Per_Batch]*IFERROR(INDEX(PP_Grid[#Data],M_BOM[PPGridRow],95),0))</f>
        <v/>
      </c>
      <c r="CR31">
        <f>SUMPRODUCT((M_BOM[RM_Code]=$A31)*M_BOM[RM_Qty_Per_Batch]*IFERROR(INDEX(PP_Grid[#Data],M_BOM[PPGridRow],96),0))</f>
        <v/>
      </c>
      <c r="CS31">
        <f>SUMPRODUCT((M_BOM[RM_Code]=$A31)*M_BOM[RM_Qty_Per_Batch]*IFERROR(INDEX(PP_Grid[#Data],M_BOM[PPGridRow],97),0))</f>
        <v/>
      </c>
      <c r="CT31">
        <f>SUMPRODUCT((M_BOM[RM_Code]=$A31)*M_BOM[RM_Qty_Per_Batch]*IFERROR(INDEX(PP_Grid[#Data],M_BOM[PPGridRow],98),0))</f>
        <v/>
      </c>
      <c r="CU31">
        <f>SUMPRODUCT((M_BOM[RM_Code]=$A31)*M_BOM[RM_Qty_Per_Batch]*IFERROR(INDEX(PP_Grid[#Data],M_BOM[PPGridRow],99),0))</f>
        <v/>
      </c>
      <c r="CV31">
        <f>SUMPRODUCT((M_BOM[RM_Code]=$A31)*M_BOM[RM_Qty_Per_Batch]*IFERROR(INDEX(PP_Grid[#Data],M_BOM[PPGridRow],100),0))</f>
        <v/>
      </c>
      <c r="CW31">
        <f>SUMPRODUCT((M_BOM[RM_Code]=$A31)*M_BOM[RM_Qty_Per_Batch]*IFERROR(INDEX(PP_Grid[#Data],M_BOM[PPGridRow],101),0))</f>
        <v/>
      </c>
      <c r="CX31">
        <f>SUMPRODUCT((M_BOM[RM_Code]=$A31)*M_BOM[RM_Qty_Per_Batch]*IFERROR(INDEX(PP_Grid[#Data],M_BOM[PPGridRow],102),0))</f>
        <v/>
      </c>
      <c r="CY31">
        <f>SUMPRODUCT((M_BOM[RM_Code]=$A31)*M_BOM[RM_Qty_Per_Batch]*IFERROR(INDEX(PP_Grid[#Data],M_BOM[PPGridRow],103),0))</f>
        <v/>
      </c>
      <c r="CZ31">
        <f>SUMPRODUCT((M_BOM[RM_Code]=$A31)*M_BOM[RM_Qty_Per_Batch]*IFERROR(INDEX(PP_Grid[#Data],M_BOM[PPGridRow],104),0))</f>
        <v/>
      </c>
      <c r="DA31">
        <f>SUMPRODUCT((M_BOM[RM_Code]=$A31)*M_BOM[RM_Qty_Per_Batch]*IFERROR(INDEX(PP_Grid[#Data],M_BOM[PPGridRow],105),0))</f>
        <v/>
      </c>
    </row>
    <row r="32">
      <c r="A32" t="inlineStr">
        <is>
          <t>YAN</t>
        </is>
      </c>
      <c r="B32">
        <f>SUMPRODUCT((M_BOM[RM_Code]=$A32)*M_BOM[RM_Qty_Per_Batch]*IFERROR(INDEX(PP_Grid[#Data],M_BOM[PPGridRow],2),0))</f>
        <v/>
      </c>
      <c r="C32">
        <f>SUMPRODUCT((M_BOM[RM_Code]=$A32)*M_BOM[RM_Qty_Per_Batch]*IFERROR(INDEX(PP_Grid[#Data],M_BOM[PPGridRow],3),0))</f>
        <v/>
      </c>
      <c r="D32">
        <f>SUMPRODUCT((M_BOM[RM_Code]=$A32)*M_BOM[RM_Qty_Per_Batch]*IFERROR(INDEX(PP_Grid[#Data],M_BOM[PPGridRow],4),0))</f>
        <v/>
      </c>
      <c r="E32">
        <f>SUMPRODUCT((M_BOM[RM_Code]=$A32)*M_BOM[RM_Qty_Per_Batch]*IFERROR(INDEX(PP_Grid[#Data],M_BOM[PPGridRow],5),0))</f>
        <v/>
      </c>
      <c r="F32">
        <f>SUMPRODUCT((M_BOM[RM_Code]=$A32)*M_BOM[RM_Qty_Per_Batch]*IFERROR(INDEX(PP_Grid[#Data],M_BOM[PPGridRow],6),0))</f>
        <v/>
      </c>
      <c r="G32">
        <f>SUMPRODUCT((M_BOM[RM_Code]=$A32)*M_BOM[RM_Qty_Per_Batch]*IFERROR(INDEX(PP_Grid[#Data],M_BOM[PPGridRow],7),0))</f>
        <v/>
      </c>
      <c r="H32">
        <f>SUMPRODUCT((M_BOM[RM_Code]=$A32)*M_BOM[RM_Qty_Per_Batch]*IFERROR(INDEX(PP_Grid[#Data],M_BOM[PPGridRow],8),0))</f>
        <v/>
      </c>
      <c r="I32">
        <f>SUMPRODUCT((M_BOM[RM_Code]=$A32)*M_BOM[RM_Qty_Per_Batch]*IFERROR(INDEX(PP_Grid[#Data],M_BOM[PPGridRow],9),0))</f>
        <v/>
      </c>
      <c r="J32">
        <f>SUMPRODUCT((M_BOM[RM_Code]=$A32)*M_BOM[RM_Qty_Per_Batch]*IFERROR(INDEX(PP_Grid[#Data],M_BOM[PPGridRow],10),0))</f>
        <v/>
      </c>
      <c r="K32">
        <f>SUMPRODUCT((M_BOM[RM_Code]=$A32)*M_BOM[RM_Qty_Per_Batch]*IFERROR(INDEX(PP_Grid[#Data],M_BOM[PPGridRow],11),0))</f>
        <v/>
      </c>
      <c r="L32">
        <f>SUMPRODUCT((M_BOM[RM_Code]=$A32)*M_BOM[RM_Qty_Per_Batch]*IFERROR(INDEX(PP_Grid[#Data],M_BOM[PPGridRow],12),0))</f>
        <v/>
      </c>
      <c r="M32">
        <f>SUMPRODUCT((M_BOM[RM_Code]=$A32)*M_BOM[RM_Qty_Per_Batch]*IFERROR(INDEX(PP_Grid[#Data],M_BOM[PPGridRow],13),0))</f>
        <v/>
      </c>
      <c r="N32">
        <f>SUMPRODUCT((M_BOM[RM_Code]=$A32)*M_BOM[RM_Qty_Per_Batch]*IFERROR(INDEX(PP_Grid[#Data],M_BOM[PPGridRow],14),0))</f>
        <v/>
      </c>
      <c r="O32">
        <f>SUMPRODUCT((M_BOM[RM_Code]=$A32)*M_BOM[RM_Qty_Per_Batch]*IFERROR(INDEX(PP_Grid[#Data],M_BOM[PPGridRow],15),0))</f>
        <v/>
      </c>
      <c r="P32">
        <f>SUMPRODUCT((M_BOM[RM_Code]=$A32)*M_BOM[RM_Qty_Per_Batch]*IFERROR(INDEX(PP_Grid[#Data],M_BOM[PPGridRow],16),0))</f>
        <v/>
      </c>
      <c r="Q32">
        <f>SUMPRODUCT((M_BOM[RM_Code]=$A32)*M_BOM[RM_Qty_Per_Batch]*IFERROR(INDEX(PP_Grid[#Data],M_BOM[PPGridRow],17),0))</f>
        <v/>
      </c>
      <c r="R32">
        <f>SUMPRODUCT((M_BOM[RM_Code]=$A32)*M_BOM[RM_Qty_Per_Batch]*IFERROR(INDEX(PP_Grid[#Data],M_BOM[PPGridRow],18),0))</f>
        <v/>
      </c>
      <c r="S32">
        <f>SUMPRODUCT((M_BOM[RM_Code]=$A32)*M_BOM[RM_Qty_Per_Batch]*IFERROR(INDEX(PP_Grid[#Data],M_BOM[PPGridRow],19),0))</f>
        <v/>
      </c>
      <c r="T32">
        <f>SUMPRODUCT((M_BOM[RM_Code]=$A32)*M_BOM[RM_Qty_Per_Batch]*IFERROR(INDEX(PP_Grid[#Data],M_BOM[PPGridRow],20),0))</f>
        <v/>
      </c>
      <c r="U32">
        <f>SUMPRODUCT((M_BOM[RM_Code]=$A32)*M_BOM[RM_Qty_Per_Batch]*IFERROR(INDEX(PP_Grid[#Data],M_BOM[PPGridRow],21),0))</f>
        <v/>
      </c>
      <c r="V32">
        <f>SUMPRODUCT((M_BOM[RM_Code]=$A32)*M_BOM[RM_Qty_Per_Batch]*IFERROR(INDEX(PP_Grid[#Data],M_BOM[PPGridRow],22),0))</f>
        <v/>
      </c>
      <c r="W32">
        <f>SUMPRODUCT((M_BOM[RM_Code]=$A32)*M_BOM[RM_Qty_Per_Batch]*IFERROR(INDEX(PP_Grid[#Data],M_BOM[PPGridRow],23),0))</f>
        <v/>
      </c>
      <c r="X32">
        <f>SUMPRODUCT((M_BOM[RM_Code]=$A32)*M_BOM[RM_Qty_Per_Batch]*IFERROR(INDEX(PP_Grid[#Data],M_BOM[PPGridRow],24),0))</f>
        <v/>
      </c>
      <c r="Y32">
        <f>SUMPRODUCT((M_BOM[RM_Code]=$A32)*M_BOM[RM_Qty_Per_Batch]*IFERROR(INDEX(PP_Grid[#Data],M_BOM[PPGridRow],25),0))</f>
        <v/>
      </c>
      <c r="Z32">
        <f>SUMPRODUCT((M_BOM[RM_Code]=$A32)*M_BOM[RM_Qty_Per_Batch]*IFERROR(INDEX(PP_Grid[#Data],M_BOM[PPGridRow],26),0))</f>
        <v/>
      </c>
      <c r="AA32">
        <f>SUMPRODUCT((M_BOM[RM_Code]=$A32)*M_BOM[RM_Qty_Per_Batch]*IFERROR(INDEX(PP_Grid[#Data],M_BOM[PPGridRow],27),0))</f>
        <v/>
      </c>
      <c r="AB32">
        <f>SUMPRODUCT((M_BOM[RM_Code]=$A32)*M_BOM[RM_Qty_Per_Batch]*IFERROR(INDEX(PP_Grid[#Data],M_BOM[PPGridRow],28),0))</f>
        <v/>
      </c>
      <c r="AC32">
        <f>SUMPRODUCT((M_BOM[RM_Code]=$A32)*M_BOM[RM_Qty_Per_Batch]*IFERROR(INDEX(PP_Grid[#Data],M_BOM[PPGridRow],29),0))</f>
        <v/>
      </c>
      <c r="AD32">
        <f>SUMPRODUCT((M_BOM[RM_Code]=$A32)*M_BOM[RM_Qty_Per_Batch]*IFERROR(INDEX(PP_Grid[#Data],M_BOM[PPGridRow],30),0))</f>
        <v/>
      </c>
      <c r="AE32">
        <f>SUMPRODUCT((M_BOM[RM_Code]=$A32)*M_BOM[RM_Qty_Per_Batch]*IFERROR(INDEX(PP_Grid[#Data],M_BOM[PPGridRow],31),0))</f>
        <v/>
      </c>
      <c r="AF32">
        <f>SUMPRODUCT((M_BOM[RM_Code]=$A32)*M_BOM[RM_Qty_Per_Batch]*IFERROR(INDEX(PP_Grid[#Data],M_BOM[PPGridRow],32),0))</f>
        <v/>
      </c>
      <c r="AG32">
        <f>SUMPRODUCT((M_BOM[RM_Code]=$A32)*M_BOM[RM_Qty_Per_Batch]*IFERROR(INDEX(PP_Grid[#Data],M_BOM[PPGridRow],33),0))</f>
        <v/>
      </c>
      <c r="AH32">
        <f>SUMPRODUCT((M_BOM[RM_Code]=$A32)*M_BOM[RM_Qty_Per_Batch]*IFERROR(INDEX(PP_Grid[#Data],M_BOM[PPGridRow],34),0))</f>
        <v/>
      </c>
      <c r="AI32">
        <f>SUMPRODUCT((M_BOM[RM_Code]=$A32)*M_BOM[RM_Qty_Per_Batch]*IFERROR(INDEX(PP_Grid[#Data],M_BOM[PPGridRow],35),0))</f>
        <v/>
      </c>
      <c r="AJ32">
        <f>SUMPRODUCT((M_BOM[RM_Code]=$A32)*M_BOM[RM_Qty_Per_Batch]*IFERROR(INDEX(PP_Grid[#Data],M_BOM[PPGridRow],36),0))</f>
        <v/>
      </c>
      <c r="AK32">
        <f>SUMPRODUCT((M_BOM[RM_Code]=$A32)*M_BOM[RM_Qty_Per_Batch]*IFERROR(INDEX(PP_Grid[#Data],M_BOM[PPGridRow],37),0))</f>
        <v/>
      </c>
      <c r="AL32">
        <f>SUMPRODUCT((M_BOM[RM_Code]=$A32)*M_BOM[RM_Qty_Per_Batch]*IFERROR(INDEX(PP_Grid[#Data],M_BOM[PPGridRow],38),0))</f>
        <v/>
      </c>
      <c r="AM32">
        <f>SUMPRODUCT((M_BOM[RM_Code]=$A32)*M_BOM[RM_Qty_Per_Batch]*IFERROR(INDEX(PP_Grid[#Data],M_BOM[PPGridRow],39),0))</f>
        <v/>
      </c>
      <c r="AN32">
        <f>SUMPRODUCT((M_BOM[RM_Code]=$A32)*M_BOM[RM_Qty_Per_Batch]*IFERROR(INDEX(PP_Grid[#Data],M_BOM[PPGridRow],40),0))</f>
        <v/>
      </c>
      <c r="AO32">
        <f>SUMPRODUCT((M_BOM[RM_Code]=$A32)*M_BOM[RM_Qty_Per_Batch]*IFERROR(INDEX(PP_Grid[#Data],M_BOM[PPGridRow],41),0))</f>
        <v/>
      </c>
      <c r="AP32">
        <f>SUMPRODUCT((M_BOM[RM_Code]=$A32)*M_BOM[RM_Qty_Per_Batch]*IFERROR(INDEX(PP_Grid[#Data],M_BOM[PPGridRow],42),0))</f>
        <v/>
      </c>
      <c r="AQ32">
        <f>SUMPRODUCT((M_BOM[RM_Code]=$A32)*M_BOM[RM_Qty_Per_Batch]*IFERROR(INDEX(PP_Grid[#Data],M_BOM[PPGridRow],43),0))</f>
        <v/>
      </c>
      <c r="AR32">
        <f>SUMPRODUCT((M_BOM[RM_Code]=$A32)*M_BOM[RM_Qty_Per_Batch]*IFERROR(INDEX(PP_Grid[#Data],M_BOM[PPGridRow],44),0))</f>
        <v/>
      </c>
      <c r="AS32">
        <f>SUMPRODUCT((M_BOM[RM_Code]=$A32)*M_BOM[RM_Qty_Per_Batch]*IFERROR(INDEX(PP_Grid[#Data],M_BOM[PPGridRow],45),0))</f>
        <v/>
      </c>
      <c r="AT32">
        <f>SUMPRODUCT((M_BOM[RM_Code]=$A32)*M_BOM[RM_Qty_Per_Batch]*IFERROR(INDEX(PP_Grid[#Data],M_BOM[PPGridRow],46),0))</f>
        <v/>
      </c>
      <c r="AU32">
        <f>SUMPRODUCT((M_BOM[RM_Code]=$A32)*M_BOM[RM_Qty_Per_Batch]*IFERROR(INDEX(PP_Grid[#Data],M_BOM[PPGridRow],47),0))</f>
        <v/>
      </c>
      <c r="AV32">
        <f>SUMPRODUCT((M_BOM[RM_Code]=$A32)*M_BOM[RM_Qty_Per_Batch]*IFERROR(INDEX(PP_Grid[#Data],M_BOM[PPGridRow],48),0))</f>
        <v/>
      </c>
      <c r="AW32">
        <f>SUMPRODUCT((M_BOM[RM_Code]=$A32)*M_BOM[RM_Qty_Per_Batch]*IFERROR(INDEX(PP_Grid[#Data],M_BOM[PPGridRow],49),0))</f>
        <v/>
      </c>
      <c r="AX32">
        <f>SUMPRODUCT((M_BOM[RM_Code]=$A32)*M_BOM[RM_Qty_Per_Batch]*IFERROR(INDEX(PP_Grid[#Data],M_BOM[PPGridRow],50),0))</f>
        <v/>
      </c>
      <c r="AY32">
        <f>SUMPRODUCT((M_BOM[RM_Code]=$A32)*M_BOM[RM_Qty_Per_Batch]*IFERROR(INDEX(PP_Grid[#Data],M_BOM[PPGridRow],51),0))</f>
        <v/>
      </c>
      <c r="AZ32">
        <f>SUMPRODUCT((M_BOM[RM_Code]=$A32)*M_BOM[RM_Qty_Per_Batch]*IFERROR(INDEX(PP_Grid[#Data],M_BOM[PPGridRow],52),0))</f>
        <v/>
      </c>
      <c r="BA32">
        <f>SUMPRODUCT((M_BOM[RM_Code]=$A32)*M_BOM[RM_Qty_Per_Batch]*IFERROR(INDEX(PP_Grid[#Data],M_BOM[PPGridRow],53),0))</f>
        <v/>
      </c>
      <c r="BB32">
        <f>SUMPRODUCT((M_BOM[RM_Code]=$A32)*M_BOM[RM_Qty_Per_Batch]*IFERROR(INDEX(PP_Grid[#Data],M_BOM[PPGridRow],54),0))</f>
        <v/>
      </c>
      <c r="BC32">
        <f>SUMPRODUCT((M_BOM[RM_Code]=$A32)*M_BOM[RM_Qty_Per_Batch]*IFERROR(INDEX(PP_Grid[#Data],M_BOM[PPGridRow],55),0))</f>
        <v/>
      </c>
      <c r="BD32">
        <f>SUMPRODUCT((M_BOM[RM_Code]=$A32)*M_BOM[RM_Qty_Per_Batch]*IFERROR(INDEX(PP_Grid[#Data],M_BOM[PPGridRow],56),0))</f>
        <v/>
      </c>
      <c r="BE32">
        <f>SUMPRODUCT((M_BOM[RM_Code]=$A32)*M_BOM[RM_Qty_Per_Batch]*IFERROR(INDEX(PP_Grid[#Data],M_BOM[PPGridRow],57),0))</f>
        <v/>
      </c>
      <c r="BF32">
        <f>SUMPRODUCT((M_BOM[RM_Code]=$A32)*M_BOM[RM_Qty_Per_Batch]*IFERROR(INDEX(PP_Grid[#Data],M_BOM[PPGridRow],58),0))</f>
        <v/>
      </c>
      <c r="BG32">
        <f>SUMPRODUCT((M_BOM[RM_Code]=$A32)*M_BOM[RM_Qty_Per_Batch]*IFERROR(INDEX(PP_Grid[#Data],M_BOM[PPGridRow],59),0))</f>
        <v/>
      </c>
      <c r="BH32">
        <f>SUMPRODUCT((M_BOM[RM_Code]=$A32)*M_BOM[RM_Qty_Per_Batch]*IFERROR(INDEX(PP_Grid[#Data],M_BOM[PPGridRow],60),0))</f>
        <v/>
      </c>
      <c r="BI32">
        <f>SUMPRODUCT((M_BOM[RM_Code]=$A32)*M_BOM[RM_Qty_Per_Batch]*IFERROR(INDEX(PP_Grid[#Data],M_BOM[PPGridRow],61),0))</f>
        <v/>
      </c>
      <c r="BJ32">
        <f>SUMPRODUCT((M_BOM[RM_Code]=$A32)*M_BOM[RM_Qty_Per_Batch]*IFERROR(INDEX(PP_Grid[#Data],M_BOM[PPGridRow],62),0))</f>
        <v/>
      </c>
      <c r="BK32">
        <f>SUMPRODUCT((M_BOM[RM_Code]=$A32)*M_BOM[RM_Qty_Per_Batch]*IFERROR(INDEX(PP_Grid[#Data],M_BOM[PPGridRow],63),0))</f>
        <v/>
      </c>
      <c r="BL32">
        <f>SUMPRODUCT((M_BOM[RM_Code]=$A32)*M_BOM[RM_Qty_Per_Batch]*IFERROR(INDEX(PP_Grid[#Data],M_BOM[PPGridRow],64),0))</f>
        <v/>
      </c>
      <c r="BM32">
        <f>SUMPRODUCT((M_BOM[RM_Code]=$A32)*M_BOM[RM_Qty_Per_Batch]*IFERROR(INDEX(PP_Grid[#Data],M_BOM[PPGridRow],65),0))</f>
        <v/>
      </c>
      <c r="BN32">
        <f>SUMPRODUCT((M_BOM[RM_Code]=$A32)*M_BOM[RM_Qty_Per_Batch]*IFERROR(INDEX(PP_Grid[#Data],M_BOM[PPGridRow],66),0))</f>
        <v/>
      </c>
      <c r="BO32">
        <f>SUMPRODUCT((M_BOM[RM_Code]=$A32)*M_BOM[RM_Qty_Per_Batch]*IFERROR(INDEX(PP_Grid[#Data],M_BOM[PPGridRow],67),0))</f>
        <v/>
      </c>
      <c r="BP32">
        <f>SUMPRODUCT((M_BOM[RM_Code]=$A32)*M_BOM[RM_Qty_Per_Batch]*IFERROR(INDEX(PP_Grid[#Data],M_BOM[PPGridRow],68),0))</f>
        <v/>
      </c>
      <c r="BQ32">
        <f>SUMPRODUCT((M_BOM[RM_Code]=$A32)*M_BOM[RM_Qty_Per_Batch]*IFERROR(INDEX(PP_Grid[#Data],M_BOM[PPGridRow],69),0))</f>
        <v/>
      </c>
      <c r="BR32">
        <f>SUMPRODUCT((M_BOM[RM_Code]=$A32)*M_BOM[RM_Qty_Per_Batch]*IFERROR(INDEX(PP_Grid[#Data],M_BOM[PPGridRow],70),0))</f>
        <v/>
      </c>
      <c r="BS32">
        <f>SUMPRODUCT((M_BOM[RM_Code]=$A32)*M_BOM[RM_Qty_Per_Batch]*IFERROR(INDEX(PP_Grid[#Data],M_BOM[PPGridRow],71),0))</f>
        <v/>
      </c>
      <c r="BT32">
        <f>SUMPRODUCT((M_BOM[RM_Code]=$A32)*M_BOM[RM_Qty_Per_Batch]*IFERROR(INDEX(PP_Grid[#Data],M_BOM[PPGridRow],72),0))</f>
        <v/>
      </c>
      <c r="BU32">
        <f>SUMPRODUCT((M_BOM[RM_Code]=$A32)*M_BOM[RM_Qty_Per_Batch]*IFERROR(INDEX(PP_Grid[#Data],M_BOM[PPGridRow],73),0))</f>
        <v/>
      </c>
      <c r="BV32">
        <f>SUMPRODUCT((M_BOM[RM_Code]=$A32)*M_BOM[RM_Qty_Per_Batch]*IFERROR(INDEX(PP_Grid[#Data],M_BOM[PPGridRow],74),0))</f>
        <v/>
      </c>
      <c r="BW32">
        <f>SUMPRODUCT((M_BOM[RM_Code]=$A32)*M_BOM[RM_Qty_Per_Batch]*IFERROR(INDEX(PP_Grid[#Data],M_BOM[PPGridRow],75),0))</f>
        <v/>
      </c>
      <c r="BX32">
        <f>SUMPRODUCT((M_BOM[RM_Code]=$A32)*M_BOM[RM_Qty_Per_Batch]*IFERROR(INDEX(PP_Grid[#Data],M_BOM[PPGridRow],76),0))</f>
        <v/>
      </c>
      <c r="BY32">
        <f>SUMPRODUCT((M_BOM[RM_Code]=$A32)*M_BOM[RM_Qty_Per_Batch]*IFERROR(INDEX(PP_Grid[#Data],M_BOM[PPGridRow],77),0))</f>
        <v/>
      </c>
      <c r="BZ32">
        <f>SUMPRODUCT((M_BOM[RM_Code]=$A32)*M_BOM[RM_Qty_Per_Batch]*IFERROR(INDEX(PP_Grid[#Data],M_BOM[PPGridRow],78),0))</f>
        <v/>
      </c>
      <c r="CA32">
        <f>SUMPRODUCT((M_BOM[RM_Code]=$A32)*M_BOM[RM_Qty_Per_Batch]*IFERROR(INDEX(PP_Grid[#Data],M_BOM[PPGridRow],79),0))</f>
        <v/>
      </c>
      <c r="CB32">
        <f>SUMPRODUCT((M_BOM[RM_Code]=$A32)*M_BOM[RM_Qty_Per_Batch]*IFERROR(INDEX(PP_Grid[#Data],M_BOM[PPGridRow],80),0))</f>
        <v/>
      </c>
      <c r="CC32">
        <f>SUMPRODUCT((M_BOM[RM_Code]=$A32)*M_BOM[RM_Qty_Per_Batch]*IFERROR(INDEX(PP_Grid[#Data],M_BOM[PPGridRow],81),0))</f>
        <v/>
      </c>
      <c r="CD32">
        <f>SUMPRODUCT((M_BOM[RM_Code]=$A32)*M_BOM[RM_Qty_Per_Batch]*IFERROR(INDEX(PP_Grid[#Data],M_BOM[PPGridRow],82),0))</f>
        <v/>
      </c>
      <c r="CE32">
        <f>SUMPRODUCT((M_BOM[RM_Code]=$A32)*M_BOM[RM_Qty_Per_Batch]*IFERROR(INDEX(PP_Grid[#Data],M_BOM[PPGridRow],83),0))</f>
        <v/>
      </c>
      <c r="CF32">
        <f>SUMPRODUCT((M_BOM[RM_Code]=$A32)*M_BOM[RM_Qty_Per_Batch]*IFERROR(INDEX(PP_Grid[#Data],M_BOM[PPGridRow],84),0))</f>
        <v/>
      </c>
      <c r="CG32">
        <f>SUMPRODUCT((M_BOM[RM_Code]=$A32)*M_BOM[RM_Qty_Per_Batch]*IFERROR(INDEX(PP_Grid[#Data],M_BOM[PPGridRow],85),0))</f>
        <v/>
      </c>
      <c r="CH32">
        <f>SUMPRODUCT((M_BOM[RM_Code]=$A32)*M_BOM[RM_Qty_Per_Batch]*IFERROR(INDEX(PP_Grid[#Data],M_BOM[PPGridRow],86),0))</f>
        <v/>
      </c>
      <c r="CI32">
        <f>SUMPRODUCT((M_BOM[RM_Code]=$A32)*M_BOM[RM_Qty_Per_Batch]*IFERROR(INDEX(PP_Grid[#Data],M_BOM[PPGridRow],87),0))</f>
        <v/>
      </c>
      <c r="CJ32">
        <f>SUMPRODUCT((M_BOM[RM_Code]=$A32)*M_BOM[RM_Qty_Per_Batch]*IFERROR(INDEX(PP_Grid[#Data],M_BOM[PPGridRow],88),0))</f>
        <v/>
      </c>
      <c r="CK32">
        <f>SUMPRODUCT((M_BOM[RM_Code]=$A32)*M_BOM[RM_Qty_Per_Batch]*IFERROR(INDEX(PP_Grid[#Data],M_BOM[PPGridRow],89),0))</f>
        <v/>
      </c>
      <c r="CL32">
        <f>SUMPRODUCT((M_BOM[RM_Code]=$A32)*M_BOM[RM_Qty_Per_Batch]*IFERROR(INDEX(PP_Grid[#Data],M_BOM[PPGridRow],90),0))</f>
        <v/>
      </c>
      <c r="CM32">
        <f>SUMPRODUCT((M_BOM[RM_Code]=$A32)*M_BOM[RM_Qty_Per_Batch]*IFERROR(INDEX(PP_Grid[#Data],M_BOM[PPGridRow],91),0))</f>
        <v/>
      </c>
      <c r="CN32">
        <f>SUMPRODUCT((M_BOM[RM_Code]=$A32)*M_BOM[RM_Qty_Per_Batch]*IFERROR(INDEX(PP_Grid[#Data],M_BOM[PPGridRow],92),0))</f>
        <v/>
      </c>
      <c r="CO32">
        <f>SUMPRODUCT((M_BOM[RM_Code]=$A32)*M_BOM[RM_Qty_Per_Batch]*IFERROR(INDEX(PP_Grid[#Data],M_BOM[PPGridRow],93),0))</f>
        <v/>
      </c>
      <c r="CP32">
        <f>SUMPRODUCT((M_BOM[RM_Code]=$A32)*M_BOM[RM_Qty_Per_Batch]*IFERROR(INDEX(PP_Grid[#Data],M_BOM[PPGridRow],94),0))</f>
        <v/>
      </c>
      <c r="CQ32">
        <f>SUMPRODUCT((M_BOM[RM_Code]=$A32)*M_BOM[RM_Qty_Per_Batch]*IFERROR(INDEX(PP_Grid[#Data],M_BOM[PPGridRow],95),0))</f>
        <v/>
      </c>
      <c r="CR32">
        <f>SUMPRODUCT((M_BOM[RM_Code]=$A32)*M_BOM[RM_Qty_Per_Batch]*IFERROR(INDEX(PP_Grid[#Data],M_BOM[PPGridRow],96),0))</f>
        <v/>
      </c>
      <c r="CS32">
        <f>SUMPRODUCT((M_BOM[RM_Code]=$A32)*M_BOM[RM_Qty_Per_Batch]*IFERROR(INDEX(PP_Grid[#Data],M_BOM[PPGridRow],97),0))</f>
        <v/>
      </c>
      <c r="CT32">
        <f>SUMPRODUCT((M_BOM[RM_Code]=$A32)*M_BOM[RM_Qty_Per_Batch]*IFERROR(INDEX(PP_Grid[#Data],M_BOM[PPGridRow],98),0))</f>
        <v/>
      </c>
      <c r="CU32">
        <f>SUMPRODUCT((M_BOM[RM_Code]=$A32)*M_BOM[RM_Qty_Per_Batch]*IFERROR(INDEX(PP_Grid[#Data],M_BOM[PPGridRow],99),0))</f>
        <v/>
      </c>
      <c r="CV32">
        <f>SUMPRODUCT((M_BOM[RM_Code]=$A32)*M_BOM[RM_Qty_Per_Batch]*IFERROR(INDEX(PP_Grid[#Data],M_BOM[PPGridRow],100),0))</f>
        <v/>
      </c>
      <c r="CW32">
        <f>SUMPRODUCT((M_BOM[RM_Code]=$A32)*M_BOM[RM_Qty_Per_Batch]*IFERROR(INDEX(PP_Grid[#Data],M_BOM[PPGridRow],101),0))</f>
        <v/>
      </c>
      <c r="CX32">
        <f>SUMPRODUCT((M_BOM[RM_Code]=$A32)*M_BOM[RM_Qty_Per_Batch]*IFERROR(INDEX(PP_Grid[#Data],M_BOM[PPGridRow],102),0))</f>
        <v/>
      </c>
      <c r="CY32">
        <f>SUMPRODUCT((M_BOM[RM_Code]=$A32)*M_BOM[RM_Qty_Per_Batch]*IFERROR(INDEX(PP_Grid[#Data],M_BOM[PPGridRow],103),0))</f>
        <v/>
      </c>
      <c r="CZ32">
        <f>SUMPRODUCT((M_BOM[RM_Code]=$A32)*M_BOM[RM_Qty_Per_Batch]*IFERROR(INDEX(PP_Grid[#Data],M_BOM[PPGridRow],104),0))</f>
        <v/>
      </c>
      <c r="DA32">
        <f>SUMPRODUCT((M_BOM[RM_Code]=$A32)*M_BOM[RM_Qty_Per_Batch]*IFERROR(INDEX(PP_Grid[#Data],M_BOM[PPGridRow],105),0))</f>
        <v/>
      </c>
    </row>
    <row r="33">
      <c r="A33" t="inlineStr">
        <is>
          <t>KEJ</t>
        </is>
      </c>
      <c r="B33">
        <f>SUMPRODUCT((M_BOM[RM_Code]=$A33)*M_BOM[RM_Qty_Per_Batch]*IFERROR(INDEX(PP_Grid[#Data],M_BOM[PPGridRow],2),0))</f>
        <v/>
      </c>
      <c r="C33">
        <f>SUMPRODUCT((M_BOM[RM_Code]=$A33)*M_BOM[RM_Qty_Per_Batch]*IFERROR(INDEX(PP_Grid[#Data],M_BOM[PPGridRow],3),0))</f>
        <v/>
      </c>
      <c r="D33">
        <f>SUMPRODUCT((M_BOM[RM_Code]=$A33)*M_BOM[RM_Qty_Per_Batch]*IFERROR(INDEX(PP_Grid[#Data],M_BOM[PPGridRow],4),0))</f>
        <v/>
      </c>
      <c r="E33">
        <f>SUMPRODUCT((M_BOM[RM_Code]=$A33)*M_BOM[RM_Qty_Per_Batch]*IFERROR(INDEX(PP_Grid[#Data],M_BOM[PPGridRow],5),0))</f>
        <v/>
      </c>
      <c r="F33">
        <f>SUMPRODUCT((M_BOM[RM_Code]=$A33)*M_BOM[RM_Qty_Per_Batch]*IFERROR(INDEX(PP_Grid[#Data],M_BOM[PPGridRow],6),0))</f>
        <v/>
      </c>
      <c r="G33">
        <f>SUMPRODUCT((M_BOM[RM_Code]=$A33)*M_BOM[RM_Qty_Per_Batch]*IFERROR(INDEX(PP_Grid[#Data],M_BOM[PPGridRow],7),0))</f>
        <v/>
      </c>
      <c r="H33">
        <f>SUMPRODUCT((M_BOM[RM_Code]=$A33)*M_BOM[RM_Qty_Per_Batch]*IFERROR(INDEX(PP_Grid[#Data],M_BOM[PPGridRow],8),0))</f>
        <v/>
      </c>
      <c r="I33">
        <f>SUMPRODUCT((M_BOM[RM_Code]=$A33)*M_BOM[RM_Qty_Per_Batch]*IFERROR(INDEX(PP_Grid[#Data],M_BOM[PPGridRow],9),0))</f>
        <v/>
      </c>
      <c r="J33">
        <f>SUMPRODUCT((M_BOM[RM_Code]=$A33)*M_BOM[RM_Qty_Per_Batch]*IFERROR(INDEX(PP_Grid[#Data],M_BOM[PPGridRow],10),0))</f>
        <v/>
      </c>
      <c r="K33">
        <f>SUMPRODUCT((M_BOM[RM_Code]=$A33)*M_BOM[RM_Qty_Per_Batch]*IFERROR(INDEX(PP_Grid[#Data],M_BOM[PPGridRow],11),0))</f>
        <v/>
      </c>
      <c r="L33">
        <f>SUMPRODUCT((M_BOM[RM_Code]=$A33)*M_BOM[RM_Qty_Per_Batch]*IFERROR(INDEX(PP_Grid[#Data],M_BOM[PPGridRow],12),0))</f>
        <v/>
      </c>
      <c r="M33">
        <f>SUMPRODUCT((M_BOM[RM_Code]=$A33)*M_BOM[RM_Qty_Per_Batch]*IFERROR(INDEX(PP_Grid[#Data],M_BOM[PPGridRow],13),0))</f>
        <v/>
      </c>
      <c r="N33">
        <f>SUMPRODUCT((M_BOM[RM_Code]=$A33)*M_BOM[RM_Qty_Per_Batch]*IFERROR(INDEX(PP_Grid[#Data],M_BOM[PPGridRow],14),0))</f>
        <v/>
      </c>
      <c r="O33">
        <f>SUMPRODUCT((M_BOM[RM_Code]=$A33)*M_BOM[RM_Qty_Per_Batch]*IFERROR(INDEX(PP_Grid[#Data],M_BOM[PPGridRow],15),0))</f>
        <v/>
      </c>
      <c r="P33">
        <f>SUMPRODUCT((M_BOM[RM_Code]=$A33)*M_BOM[RM_Qty_Per_Batch]*IFERROR(INDEX(PP_Grid[#Data],M_BOM[PPGridRow],16),0))</f>
        <v/>
      </c>
      <c r="Q33">
        <f>SUMPRODUCT((M_BOM[RM_Code]=$A33)*M_BOM[RM_Qty_Per_Batch]*IFERROR(INDEX(PP_Grid[#Data],M_BOM[PPGridRow],17),0))</f>
        <v/>
      </c>
      <c r="R33">
        <f>SUMPRODUCT((M_BOM[RM_Code]=$A33)*M_BOM[RM_Qty_Per_Batch]*IFERROR(INDEX(PP_Grid[#Data],M_BOM[PPGridRow],18),0))</f>
        <v/>
      </c>
      <c r="S33">
        <f>SUMPRODUCT((M_BOM[RM_Code]=$A33)*M_BOM[RM_Qty_Per_Batch]*IFERROR(INDEX(PP_Grid[#Data],M_BOM[PPGridRow],19),0))</f>
        <v/>
      </c>
      <c r="T33">
        <f>SUMPRODUCT((M_BOM[RM_Code]=$A33)*M_BOM[RM_Qty_Per_Batch]*IFERROR(INDEX(PP_Grid[#Data],M_BOM[PPGridRow],20),0))</f>
        <v/>
      </c>
      <c r="U33">
        <f>SUMPRODUCT((M_BOM[RM_Code]=$A33)*M_BOM[RM_Qty_Per_Batch]*IFERROR(INDEX(PP_Grid[#Data],M_BOM[PPGridRow],21),0))</f>
        <v/>
      </c>
      <c r="V33">
        <f>SUMPRODUCT((M_BOM[RM_Code]=$A33)*M_BOM[RM_Qty_Per_Batch]*IFERROR(INDEX(PP_Grid[#Data],M_BOM[PPGridRow],22),0))</f>
        <v/>
      </c>
      <c r="W33">
        <f>SUMPRODUCT((M_BOM[RM_Code]=$A33)*M_BOM[RM_Qty_Per_Batch]*IFERROR(INDEX(PP_Grid[#Data],M_BOM[PPGridRow],23),0))</f>
        <v/>
      </c>
      <c r="X33">
        <f>SUMPRODUCT((M_BOM[RM_Code]=$A33)*M_BOM[RM_Qty_Per_Batch]*IFERROR(INDEX(PP_Grid[#Data],M_BOM[PPGridRow],24),0))</f>
        <v/>
      </c>
      <c r="Y33">
        <f>SUMPRODUCT((M_BOM[RM_Code]=$A33)*M_BOM[RM_Qty_Per_Batch]*IFERROR(INDEX(PP_Grid[#Data],M_BOM[PPGridRow],25),0))</f>
        <v/>
      </c>
      <c r="Z33">
        <f>SUMPRODUCT((M_BOM[RM_Code]=$A33)*M_BOM[RM_Qty_Per_Batch]*IFERROR(INDEX(PP_Grid[#Data],M_BOM[PPGridRow],26),0))</f>
        <v/>
      </c>
      <c r="AA33">
        <f>SUMPRODUCT((M_BOM[RM_Code]=$A33)*M_BOM[RM_Qty_Per_Batch]*IFERROR(INDEX(PP_Grid[#Data],M_BOM[PPGridRow],27),0))</f>
        <v/>
      </c>
      <c r="AB33">
        <f>SUMPRODUCT((M_BOM[RM_Code]=$A33)*M_BOM[RM_Qty_Per_Batch]*IFERROR(INDEX(PP_Grid[#Data],M_BOM[PPGridRow],28),0))</f>
        <v/>
      </c>
      <c r="AC33">
        <f>SUMPRODUCT((M_BOM[RM_Code]=$A33)*M_BOM[RM_Qty_Per_Batch]*IFERROR(INDEX(PP_Grid[#Data],M_BOM[PPGridRow],29),0))</f>
        <v/>
      </c>
      <c r="AD33">
        <f>SUMPRODUCT((M_BOM[RM_Code]=$A33)*M_BOM[RM_Qty_Per_Batch]*IFERROR(INDEX(PP_Grid[#Data],M_BOM[PPGridRow],30),0))</f>
        <v/>
      </c>
      <c r="AE33">
        <f>SUMPRODUCT((M_BOM[RM_Code]=$A33)*M_BOM[RM_Qty_Per_Batch]*IFERROR(INDEX(PP_Grid[#Data],M_BOM[PPGridRow],31),0))</f>
        <v/>
      </c>
      <c r="AF33">
        <f>SUMPRODUCT((M_BOM[RM_Code]=$A33)*M_BOM[RM_Qty_Per_Batch]*IFERROR(INDEX(PP_Grid[#Data],M_BOM[PPGridRow],32),0))</f>
        <v/>
      </c>
      <c r="AG33">
        <f>SUMPRODUCT((M_BOM[RM_Code]=$A33)*M_BOM[RM_Qty_Per_Batch]*IFERROR(INDEX(PP_Grid[#Data],M_BOM[PPGridRow],33),0))</f>
        <v/>
      </c>
      <c r="AH33">
        <f>SUMPRODUCT((M_BOM[RM_Code]=$A33)*M_BOM[RM_Qty_Per_Batch]*IFERROR(INDEX(PP_Grid[#Data],M_BOM[PPGridRow],34),0))</f>
        <v/>
      </c>
      <c r="AI33">
        <f>SUMPRODUCT((M_BOM[RM_Code]=$A33)*M_BOM[RM_Qty_Per_Batch]*IFERROR(INDEX(PP_Grid[#Data],M_BOM[PPGridRow],35),0))</f>
        <v/>
      </c>
      <c r="AJ33">
        <f>SUMPRODUCT((M_BOM[RM_Code]=$A33)*M_BOM[RM_Qty_Per_Batch]*IFERROR(INDEX(PP_Grid[#Data],M_BOM[PPGridRow],36),0))</f>
        <v/>
      </c>
      <c r="AK33">
        <f>SUMPRODUCT((M_BOM[RM_Code]=$A33)*M_BOM[RM_Qty_Per_Batch]*IFERROR(INDEX(PP_Grid[#Data],M_BOM[PPGridRow],37),0))</f>
        <v/>
      </c>
      <c r="AL33">
        <f>SUMPRODUCT((M_BOM[RM_Code]=$A33)*M_BOM[RM_Qty_Per_Batch]*IFERROR(INDEX(PP_Grid[#Data],M_BOM[PPGridRow],38),0))</f>
        <v/>
      </c>
      <c r="AM33">
        <f>SUMPRODUCT((M_BOM[RM_Code]=$A33)*M_BOM[RM_Qty_Per_Batch]*IFERROR(INDEX(PP_Grid[#Data],M_BOM[PPGridRow],39),0))</f>
        <v/>
      </c>
      <c r="AN33">
        <f>SUMPRODUCT((M_BOM[RM_Code]=$A33)*M_BOM[RM_Qty_Per_Batch]*IFERROR(INDEX(PP_Grid[#Data],M_BOM[PPGridRow],40),0))</f>
        <v/>
      </c>
      <c r="AO33">
        <f>SUMPRODUCT((M_BOM[RM_Code]=$A33)*M_BOM[RM_Qty_Per_Batch]*IFERROR(INDEX(PP_Grid[#Data],M_BOM[PPGridRow],41),0))</f>
        <v/>
      </c>
      <c r="AP33">
        <f>SUMPRODUCT((M_BOM[RM_Code]=$A33)*M_BOM[RM_Qty_Per_Batch]*IFERROR(INDEX(PP_Grid[#Data],M_BOM[PPGridRow],42),0))</f>
        <v/>
      </c>
      <c r="AQ33">
        <f>SUMPRODUCT((M_BOM[RM_Code]=$A33)*M_BOM[RM_Qty_Per_Batch]*IFERROR(INDEX(PP_Grid[#Data],M_BOM[PPGridRow],43),0))</f>
        <v/>
      </c>
      <c r="AR33">
        <f>SUMPRODUCT((M_BOM[RM_Code]=$A33)*M_BOM[RM_Qty_Per_Batch]*IFERROR(INDEX(PP_Grid[#Data],M_BOM[PPGridRow],44),0))</f>
        <v/>
      </c>
      <c r="AS33">
        <f>SUMPRODUCT((M_BOM[RM_Code]=$A33)*M_BOM[RM_Qty_Per_Batch]*IFERROR(INDEX(PP_Grid[#Data],M_BOM[PPGridRow],45),0))</f>
        <v/>
      </c>
      <c r="AT33">
        <f>SUMPRODUCT((M_BOM[RM_Code]=$A33)*M_BOM[RM_Qty_Per_Batch]*IFERROR(INDEX(PP_Grid[#Data],M_BOM[PPGridRow],46),0))</f>
        <v/>
      </c>
      <c r="AU33">
        <f>SUMPRODUCT((M_BOM[RM_Code]=$A33)*M_BOM[RM_Qty_Per_Batch]*IFERROR(INDEX(PP_Grid[#Data],M_BOM[PPGridRow],47),0))</f>
        <v/>
      </c>
      <c r="AV33">
        <f>SUMPRODUCT((M_BOM[RM_Code]=$A33)*M_BOM[RM_Qty_Per_Batch]*IFERROR(INDEX(PP_Grid[#Data],M_BOM[PPGridRow],48),0))</f>
        <v/>
      </c>
      <c r="AW33">
        <f>SUMPRODUCT((M_BOM[RM_Code]=$A33)*M_BOM[RM_Qty_Per_Batch]*IFERROR(INDEX(PP_Grid[#Data],M_BOM[PPGridRow],49),0))</f>
        <v/>
      </c>
      <c r="AX33">
        <f>SUMPRODUCT((M_BOM[RM_Code]=$A33)*M_BOM[RM_Qty_Per_Batch]*IFERROR(INDEX(PP_Grid[#Data],M_BOM[PPGridRow],50),0))</f>
        <v/>
      </c>
      <c r="AY33">
        <f>SUMPRODUCT((M_BOM[RM_Code]=$A33)*M_BOM[RM_Qty_Per_Batch]*IFERROR(INDEX(PP_Grid[#Data],M_BOM[PPGridRow],51),0))</f>
        <v/>
      </c>
      <c r="AZ33">
        <f>SUMPRODUCT((M_BOM[RM_Code]=$A33)*M_BOM[RM_Qty_Per_Batch]*IFERROR(INDEX(PP_Grid[#Data],M_BOM[PPGridRow],52),0))</f>
        <v/>
      </c>
      <c r="BA33">
        <f>SUMPRODUCT((M_BOM[RM_Code]=$A33)*M_BOM[RM_Qty_Per_Batch]*IFERROR(INDEX(PP_Grid[#Data],M_BOM[PPGridRow],53),0))</f>
        <v/>
      </c>
      <c r="BB33">
        <f>SUMPRODUCT((M_BOM[RM_Code]=$A33)*M_BOM[RM_Qty_Per_Batch]*IFERROR(INDEX(PP_Grid[#Data],M_BOM[PPGridRow],54),0))</f>
        <v/>
      </c>
      <c r="BC33">
        <f>SUMPRODUCT((M_BOM[RM_Code]=$A33)*M_BOM[RM_Qty_Per_Batch]*IFERROR(INDEX(PP_Grid[#Data],M_BOM[PPGridRow],55),0))</f>
        <v/>
      </c>
      <c r="BD33">
        <f>SUMPRODUCT((M_BOM[RM_Code]=$A33)*M_BOM[RM_Qty_Per_Batch]*IFERROR(INDEX(PP_Grid[#Data],M_BOM[PPGridRow],56),0))</f>
        <v/>
      </c>
      <c r="BE33">
        <f>SUMPRODUCT((M_BOM[RM_Code]=$A33)*M_BOM[RM_Qty_Per_Batch]*IFERROR(INDEX(PP_Grid[#Data],M_BOM[PPGridRow],57),0))</f>
        <v/>
      </c>
      <c r="BF33">
        <f>SUMPRODUCT((M_BOM[RM_Code]=$A33)*M_BOM[RM_Qty_Per_Batch]*IFERROR(INDEX(PP_Grid[#Data],M_BOM[PPGridRow],58),0))</f>
        <v/>
      </c>
      <c r="BG33">
        <f>SUMPRODUCT((M_BOM[RM_Code]=$A33)*M_BOM[RM_Qty_Per_Batch]*IFERROR(INDEX(PP_Grid[#Data],M_BOM[PPGridRow],59),0))</f>
        <v/>
      </c>
      <c r="BH33">
        <f>SUMPRODUCT((M_BOM[RM_Code]=$A33)*M_BOM[RM_Qty_Per_Batch]*IFERROR(INDEX(PP_Grid[#Data],M_BOM[PPGridRow],60),0))</f>
        <v/>
      </c>
      <c r="BI33">
        <f>SUMPRODUCT((M_BOM[RM_Code]=$A33)*M_BOM[RM_Qty_Per_Batch]*IFERROR(INDEX(PP_Grid[#Data],M_BOM[PPGridRow],61),0))</f>
        <v/>
      </c>
      <c r="BJ33">
        <f>SUMPRODUCT((M_BOM[RM_Code]=$A33)*M_BOM[RM_Qty_Per_Batch]*IFERROR(INDEX(PP_Grid[#Data],M_BOM[PPGridRow],62),0))</f>
        <v/>
      </c>
      <c r="BK33">
        <f>SUMPRODUCT((M_BOM[RM_Code]=$A33)*M_BOM[RM_Qty_Per_Batch]*IFERROR(INDEX(PP_Grid[#Data],M_BOM[PPGridRow],63),0))</f>
        <v/>
      </c>
      <c r="BL33">
        <f>SUMPRODUCT((M_BOM[RM_Code]=$A33)*M_BOM[RM_Qty_Per_Batch]*IFERROR(INDEX(PP_Grid[#Data],M_BOM[PPGridRow],64),0))</f>
        <v/>
      </c>
      <c r="BM33">
        <f>SUMPRODUCT((M_BOM[RM_Code]=$A33)*M_BOM[RM_Qty_Per_Batch]*IFERROR(INDEX(PP_Grid[#Data],M_BOM[PPGridRow],65),0))</f>
        <v/>
      </c>
      <c r="BN33">
        <f>SUMPRODUCT((M_BOM[RM_Code]=$A33)*M_BOM[RM_Qty_Per_Batch]*IFERROR(INDEX(PP_Grid[#Data],M_BOM[PPGridRow],66),0))</f>
        <v/>
      </c>
      <c r="BO33">
        <f>SUMPRODUCT((M_BOM[RM_Code]=$A33)*M_BOM[RM_Qty_Per_Batch]*IFERROR(INDEX(PP_Grid[#Data],M_BOM[PPGridRow],67),0))</f>
        <v/>
      </c>
      <c r="BP33">
        <f>SUMPRODUCT((M_BOM[RM_Code]=$A33)*M_BOM[RM_Qty_Per_Batch]*IFERROR(INDEX(PP_Grid[#Data],M_BOM[PPGridRow],68),0))</f>
        <v/>
      </c>
      <c r="BQ33">
        <f>SUMPRODUCT((M_BOM[RM_Code]=$A33)*M_BOM[RM_Qty_Per_Batch]*IFERROR(INDEX(PP_Grid[#Data],M_BOM[PPGridRow],69),0))</f>
        <v/>
      </c>
      <c r="BR33">
        <f>SUMPRODUCT((M_BOM[RM_Code]=$A33)*M_BOM[RM_Qty_Per_Batch]*IFERROR(INDEX(PP_Grid[#Data],M_BOM[PPGridRow],70),0))</f>
        <v/>
      </c>
      <c r="BS33">
        <f>SUMPRODUCT((M_BOM[RM_Code]=$A33)*M_BOM[RM_Qty_Per_Batch]*IFERROR(INDEX(PP_Grid[#Data],M_BOM[PPGridRow],71),0))</f>
        <v/>
      </c>
      <c r="BT33">
        <f>SUMPRODUCT((M_BOM[RM_Code]=$A33)*M_BOM[RM_Qty_Per_Batch]*IFERROR(INDEX(PP_Grid[#Data],M_BOM[PPGridRow],72),0))</f>
        <v/>
      </c>
      <c r="BU33">
        <f>SUMPRODUCT((M_BOM[RM_Code]=$A33)*M_BOM[RM_Qty_Per_Batch]*IFERROR(INDEX(PP_Grid[#Data],M_BOM[PPGridRow],73),0))</f>
        <v/>
      </c>
      <c r="BV33">
        <f>SUMPRODUCT((M_BOM[RM_Code]=$A33)*M_BOM[RM_Qty_Per_Batch]*IFERROR(INDEX(PP_Grid[#Data],M_BOM[PPGridRow],74),0))</f>
        <v/>
      </c>
      <c r="BW33">
        <f>SUMPRODUCT((M_BOM[RM_Code]=$A33)*M_BOM[RM_Qty_Per_Batch]*IFERROR(INDEX(PP_Grid[#Data],M_BOM[PPGridRow],75),0))</f>
        <v/>
      </c>
      <c r="BX33">
        <f>SUMPRODUCT((M_BOM[RM_Code]=$A33)*M_BOM[RM_Qty_Per_Batch]*IFERROR(INDEX(PP_Grid[#Data],M_BOM[PPGridRow],76),0))</f>
        <v/>
      </c>
      <c r="BY33">
        <f>SUMPRODUCT((M_BOM[RM_Code]=$A33)*M_BOM[RM_Qty_Per_Batch]*IFERROR(INDEX(PP_Grid[#Data],M_BOM[PPGridRow],77),0))</f>
        <v/>
      </c>
      <c r="BZ33">
        <f>SUMPRODUCT((M_BOM[RM_Code]=$A33)*M_BOM[RM_Qty_Per_Batch]*IFERROR(INDEX(PP_Grid[#Data],M_BOM[PPGridRow],78),0))</f>
        <v/>
      </c>
      <c r="CA33">
        <f>SUMPRODUCT((M_BOM[RM_Code]=$A33)*M_BOM[RM_Qty_Per_Batch]*IFERROR(INDEX(PP_Grid[#Data],M_BOM[PPGridRow],79),0))</f>
        <v/>
      </c>
      <c r="CB33">
        <f>SUMPRODUCT((M_BOM[RM_Code]=$A33)*M_BOM[RM_Qty_Per_Batch]*IFERROR(INDEX(PP_Grid[#Data],M_BOM[PPGridRow],80),0))</f>
        <v/>
      </c>
      <c r="CC33">
        <f>SUMPRODUCT((M_BOM[RM_Code]=$A33)*M_BOM[RM_Qty_Per_Batch]*IFERROR(INDEX(PP_Grid[#Data],M_BOM[PPGridRow],81),0))</f>
        <v/>
      </c>
      <c r="CD33">
        <f>SUMPRODUCT((M_BOM[RM_Code]=$A33)*M_BOM[RM_Qty_Per_Batch]*IFERROR(INDEX(PP_Grid[#Data],M_BOM[PPGridRow],82),0))</f>
        <v/>
      </c>
      <c r="CE33">
        <f>SUMPRODUCT((M_BOM[RM_Code]=$A33)*M_BOM[RM_Qty_Per_Batch]*IFERROR(INDEX(PP_Grid[#Data],M_BOM[PPGridRow],83),0))</f>
        <v/>
      </c>
      <c r="CF33">
        <f>SUMPRODUCT((M_BOM[RM_Code]=$A33)*M_BOM[RM_Qty_Per_Batch]*IFERROR(INDEX(PP_Grid[#Data],M_BOM[PPGridRow],84),0))</f>
        <v/>
      </c>
      <c r="CG33">
        <f>SUMPRODUCT((M_BOM[RM_Code]=$A33)*M_BOM[RM_Qty_Per_Batch]*IFERROR(INDEX(PP_Grid[#Data],M_BOM[PPGridRow],85),0))</f>
        <v/>
      </c>
      <c r="CH33">
        <f>SUMPRODUCT((M_BOM[RM_Code]=$A33)*M_BOM[RM_Qty_Per_Batch]*IFERROR(INDEX(PP_Grid[#Data],M_BOM[PPGridRow],86),0))</f>
        <v/>
      </c>
      <c r="CI33">
        <f>SUMPRODUCT((M_BOM[RM_Code]=$A33)*M_BOM[RM_Qty_Per_Batch]*IFERROR(INDEX(PP_Grid[#Data],M_BOM[PPGridRow],87),0))</f>
        <v/>
      </c>
      <c r="CJ33">
        <f>SUMPRODUCT((M_BOM[RM_Code]=$A33)*M_BOM[RM_Qty_Per_Batch]*IFERROR(INDEX(PP_Grid[#Data],M_BOM[PPGridRow],88),0))</f>
        <v/>
      </c>
      <c r="CK33">
        <f>SUMPRODUCT((M_BOM[RM_Code]=$A33)*M_BOM[RM_Qty_Per_Batch]*IFERROR(INDEX(PP_Grid[#Data],M_BOM[PPGridRow],89),0))</f>
        <v/>
      </c>
      <c r="CL33">
        <f>SUMPRODUCT((M_BOM[RM_Code]=$A33)*M_BOM[RM_Qty_Per_Batch]*IFERROR(INDEX(PP_Grid[#Data],M_BOM[PPGridRow],90),0))</f>
        <v/>
      </c>
      <c r="CM33">
        <f>SUMPRODUCT((M_BOM[RM_Code]=$A33)*M_BOM[RM_Qty_Per_Batch]*IFERROR(INDEX(PP_Grid[#Data],M_BOM[PPGridRow],91),0))</f>
        <v/>
      </c>
      <c r="CN33">
        <f>SUMPRODUCT((M_BOM[RM_Code]=$A33)*M_BOM[RM_Qty_Per_Batch]*IFERROR(INDEX(PP_Grid[#Data],M_BOM[PPGridRow],92),0))</f>
        <v/>
      </c>
      <c r="CO33">
        <f>SUMPRODUCT((M_BOM[RM_Code]=$A33)*M_BOM[RM_Qty_Per_Batch]*IFERROR(INDEX(PP_Grid[#Data],M_BOM[PPGridRow],93),0))</f>
        <v/>
      </c>
      <c r="CP33">
        <f>SUMPRODUCT((M_BOM[RM_Code]=$A33)*M_BOM[RM_Qty_Per_Batch]*IFERROR(INDEX(PP_Grid[#Data],M_BOM[PPGridRow],94),0))</f>
        <v/>
      </c>
      <c r="CQ33">
        <f>SUMPRODUCT((M_BOM[RM_Code]=$A33)*M_BOM[RM_Qty_Per_Batch]*IFERROR(INDEX(PP_Grid[#Data],M_BOM[PPGridRow],95),0))</f>
        <v/>
      </c>
      <c r="CR33">
        <f>SUMPRODUCT((M_BOM[RM_Code]=$A33)*M_BOM[RM_Qty_Per_Batch]*IFERROR(INDEX(PP_Grid[#Data],M_BOM[PPGridRow],96),0))</f>
        <v/>
      </c>
      <c r="CS33">
        <f>SUMPRODUCT((M_BOM[RM_Code]=$A33)*M_BOM[RM_Qty_Per_Batch]*IFERROR(INDEX(PP_Grid[#Data],M_BOM[PPGridRow],97),0))</f>
        <v/>
      </c>
      <c r="CT33">
        <f>SUMPRODUCT((M_BOM[RM_Code]=$A33)*M_BOM[RM_Qty_Per_Batch]*IFERROR(INDEX(PP_Grid[#Data],M_BOM[PPGridRow],98),0))</f>
        <v/>
      </c>
      <c r="CU33">
        <f>SUMPRODUCT((M_BOM[RM_Code]=$A33)*M_BOM[RM_Qty_Per_Batch]*IFERROR(INDEX(PP_Grid[#Data],M_BOM[PPGridRow],99),0))</f>
        <v/>
      </c>
      <c r="CV33">
        <f>SUMPRODUCT((M_BOM[RM_Code]=$A33)*M_BOM[RM_Qty_Per_Batch]*IFERROR(INDEX(PP_Grid[#Data],M_BOM[PPGridRow],100),0))</f>
        <v/>
      </c>
      <c r="CW33">
        <f>SUMPRODUCT((M_BOM[RM_Code]=$A33)*M_BOM[RM_Qty_Per_Batch]*IFERROR(INDEX(PP_Grid[#Data],M_BOM[PPGridRow],101),0))</f>
        <v/>
      </c>
      <c r="CX33">
        <f>SUMPRODUCT((M_BOM[RM_Code]=$A33)*M_BOM[RM_Qty_Per_Batch]*IFERROR(INDEX(PP_Grid[#Data],M_BOM[PPGridRow],102),0))</f>
        <v/>
      </c>
      <c r="CY33">
        <f>SUMPRODUCT((M_BOM[RM_Code]=$A33)*M_BOM[RM_Qty_Per_Batch]*IFERROR(INDEX(PP_Grid[#Data],M_BOM[PPGridRow],103),0))</f>
        <v/>
      </c>
      <c r="CZ33">
        <f>SUMPRODUCT((M_BOM[RM_Code]=$A33)*M_BOM[RM_Qty_Per_Batch]*IFERROR(INDEX(PP_Grid[#Data],M_BOM[PPGridRow],104),0))</f>
        <v/>
      </c>
      <c r="DA33">
        <f>SUMPRODUCT((M_BOM[RM_Code]=$A33)*M_BOM[RM_Qty_Per_Batch]*IFERROR(INDEX(PP_Grid[#Data],M_BOM[PPGridRow],105),0))</f>
        <v/>
      </c>
    </row>
    <row r="34">
      <c r="A34" t="inlineStr">
        <is>
          <t>JEJ</t>
        </is>
      </c>
      <c r="B34">
        <f>SUMPRODUCT((M_BOM[RM_Code]=$A34)*M_BOM[RM_Qty_Per_Batch]*IFERROR(INDEX(PP_Grid[#Data],M_BOM[PPGridRow],2),0))</f>
        <v/>
      </c>
      <c r="C34">
        <f>SUMPRODUCT((M_BOM[RM_Code]=$A34)*M_BOM[RM_Qty_Per_Batch]*IFERROR(INDEX(PP_Grid[#Data],M_BOM[PPGridRow],3),0))</f>
        <v/>
      </c>
      <c r="D34">
        <f>SUMPRODUCT((M_BOM[RM_Code]=$A34)*M_BOM[RM_Qty_Per_Batch]*IFERROR(INDEX(PP_Grid[#Data],M_BOM[PPGridRow],4),0))</f>
        <v/>
      </c>
      <c r="E34">
        <f>SUMPRODUCT((M_BOM[RM_Code]=$A34)*M_BOM[RM_Qty_Per_Batch]*IFERROR(INDEX(PP_Grid[#Data],M_BOM[PPGridRow],5),0))</f>
        <v/>
      </c>
      <c r="F34">
        <f>SUMPRODUCT((M_BOM[RM_Code]=$A34)*M_BOM[RM_Qty_Per_Batch]*IFERROR(INDEX(PP_Grid[#Data],M_BOM[PPGridRow],6),0))</f>
        <v/>
      </c>
      <c r="G34">
        <f>SUMPRODUCT((M_BOM[RM_Code]=$A34)*M_BOM[RM_Qty_Per_Batch]*IFERROR(INDEX(PP_Grid[#Data],M_BOM[PPGridRow],7),0))</f>
        <v/>
      </c>
      <c r="H34">
        <f>SUMPRODUCT((M_BOM[RM_Code]=$A34)*M_BOM[RM_Qty_Per_Batch]*IFERROR(INDEX(PP_Grid[#Data],M_BOM[PPGridRow],8),0))</f>
        <v/>
      </c>
      <c r="I34">
        <f>SUMPRODUCT((M_BOM[RM_Code]=$A34)*M_BOM[RM_Qty_Per_Batch]*IFERROR(INDEX(PP_Grid[#Data],M_BOM[PPGridRow],9),0))</f>
        <v/>
      </c>
      <c r="J34">
        <f>SUMPRODUCT((M_BOM[RM_Code]=$A34)*M_BOM[RM_Qty_Per_Batch]*IFERROR(INDEX(PP_Grid[#Data],M_BOM[PPGridRow],10),0))</f>
        <v/>
      </c>
      <c r="K34">
        <f>SUMPRODUCT((M_BOM[RM_Code]=$A34)*M_BOM[RM_Qty_Per_Batch]*IFERROR(INDEX(PP_Grid[#Data],M_BOM[PPGridRow],11),0))</f>
        <v/>
      </c>
      <c r="L34">
        <f>SUMPRODUCT((M_BOM[RM_Code]=$A34)*M_BOM[RM_Qty_Per_Batch]*IFERROR(INDEX(PP_Grid[#Data],M_BOM[PPGridRow],12),0))</f>
        <v/>
      </c>
      <c r="M34">
        <f>SUMPRODUCT((M_BOM[RM_Code]=$A34)*M_BOM[RM_Qty_Per_Batch]*IFERROR(INDEX(PP_Grid[#Data],M_BOM[PPGridRow],13),0))</f>
        <v/>
      </c>
      <c r="N34">
        <f>SUMPRODUCT((M_BOM[RM_Code]=$A34)*M_BOM[RM_Qty_Per_Batch]*IFERROR(INDEX(PP_Grid[#Data],M_BOM[PPGridRow],14),0))</f>
        <v/>
      </c>
      <c r="O34">
        <f>SUMPRODUCT((M_BOM[RM_Code]=$A34)*M_BOM[RM_Qty_Per_Batch]*IFERROR(INDEX(PP_Grid[#Data],M_BOM[PPGridRow],15),0))</f>
        <v/>
      </c>
      <c r="P34">
        <f>SUMPRODUCT((M_BOM[RM_Code]=$A34)*M_BOM[RM_Qty_Per_Batch]*IFERROR(INDEX(PP_Grid[#Data],M_BOM[PPGridRow],16),0))</f>
        <v/>
      </c>
      <c r="Q34">
        <f>SUMPRODUCT((M_BOM[RM_Code]=$A34)*M_BOM[RM_Qty_Per_Batch]*IFERROR(INDEX(PP_Grid[#Data],M_BOM[PPGridRow],17),0))</f>
        <v/>
      </c>
      <c r="R34">
        <f>SUMPRODUCT((M_BOM[RM_Code]=$A34)*M_BOM[RM_Qty_Per_Batch]*IFERROR(INDEX(PP_Grid[#Data],M_BOM[PPGridRow],18),0))</f>
        <v/>
      </c>
      <c r="S34">
        <f>SUMPRODUCT((M_BOM[RM_Code]=$A34)*M_BOM[RM_Qty_Per_Batch]*IFERROR(INDEX(PP_Grid[#Data],M_BOM[PPGridRow],19),0))</f>
        <v/>
      </c>
      <c r="T34">
        <f>SUMPRODUCT((M_BOM[RM_Code]=$A34)*M_BOM[RM_Qty_Per_Batch]*IFERROR(INDEX(PP_Grid[#Data],M_BOM[PPGridRow],20),0))</f>
        <v/>
      </c>
      <c r="U34">
        <f>SUMPRODUCT((M_BOM[RM_Code]=$A34)*M_BOM[RM_Qty_Per_Batch]*IFERROR(INDEX(PP_Grid[#Data],M_BOM[PPGridRow],21),0))</f>
        <v/>
      </c>
      <c r="V34">
        <f>SUMPRODUCT((M_BOM[RM_Code]=$A34)*M_BOM[RM_Qty_Per_Batch]*IFERROR(INDEX(PP_Grid[#Data],M_BOM[PPGridRow],22),0))</f>
        <v/>
      </c>
      <c r="W34">
        <f>SUMPRODUCT((M_BOM[RM_Code]=$A34)*M_BOM[RM_Qty_Per_Batch]*IFERROR(INDEX(PP_Grid[#Data],M_BOM[PPGridRow],23),0))</f>
        <v/>
      </c>
      <c r="X34">
        <f>SUMPRODUCT((M_BOM[RM_Code]=$A34)*M_BOM[RM_Qty_Per_Batch]*IFERROR(INDEX(PP_Grid[#Data],M_BOM[PPGridRow],24),0))</f>
        <v/>
      </c>
      <c r="Y34">
        <f>SUMPRODUCT((M_BOM[RM_Code]=$A34)*M_BOM[RM_Qty_Per_Batch]*IFERROR(INDEX(PP_Grid[#Data],M_BOM[PPGridRow],25),0))</f>
        <v/>
      </c>
      <c r="Z34">
        <f>SUMPRODUCT((M_BOM[RM_Code]=$A34)*M_BOM[RM_Qty_Per_Batch]*IFERROR(INDEX(PP_Grid[#Data],M_BOM[PPGridRow],26),0))</f>
        <v/>
      </c>
      <c r="AA34">
        <f>SUMPRODUCT((M_BOM[RM_Code]=$A34)*M_BOM[RM_Qty_Per_Batch]*IFERROR(INDEX(PP_Grid[#Data],M_BOM[PPGridRow],27),0))</f>
        <v/>
      </c>
      <c r="AB34">
        <f>SUMPRODUCT((M_BOM[RM_Code]=$A34)*M_BOM[RM_Qty_Per_Batch]*IFERROR(INDEX(PP_Grid[#Data],M_BOM[PPGridRow],28),0))</f>
        <v/>
      </c>
      <c r="AC34">
        <f>SUMPRODUCT((M_BOM[RM_Code]=$A34)*M_BOM[RM_Qty_Per_Batch]*IFERROR(INDEX(PP_Grid[#Data],M_BOM[PPGridRow],29),0))</f>
        <v/>
      </c>
      <c r="AD34">
        <f>SUMPRODUCT((M_BOM[RM_Code]=$A34)*M_BOM[RM_Qty_Per_Batch]*IFERROR(INDEX(PP_Grid[#Data],M_BOM[PPGridRow],30),0))</f>
        <v/>
      </c>
      <c r="AE34">
        <f>SUMPRODUCT((M_BOM[RM_Code]=$A34)*M_BOM[RM_Qty_Per_Batch]*IFERROR(INDEX(PP_Grid[#Data],M_BOM[PPGridRow],31),0))</f>
        <v/>
      </c>
      <c r="AF34">
        <f>SUMPRODUCT((M_BOM[RM_Code]=$A34)*M_BOM[RM_Qty_Per_Batch]*IFERROR(INDEX(PP_Grid[#Data],M_BOM[PPGridRow],32),0))</f>
        <v/>
      </c>
      <c r="AG34">
        <f>SUMPRODUCT((M_BOM[RM_Code]=$A34)*M_BOM[RM_Qty_Per_Batch]*IFERROR(INDEX(PP_Grid[#Data],M_BOM[PPGridRow],33),0))</f>
        <v/>
      </c>
      <c r="AH34">
        <f>SUMPRODUCT((M_BOM[RM_Code]=$A34)*M_BOM[RM_Qty_Per_Batch]*IFERROR(INDEX(PP_Grid[#Data],M_BOM[PPGridRow],34),0))</f>
        <v/>
      </c>
      <c r="AI34">
        <f>SUMPRODUCT((M_BOM[RM_Code]=$A34)*M_BOM[RM_Qty_Per_Batch]*IFERROR(INDEX(PP_Grid[#Data],M_BOM[PPGridRow],35),0))</f>
        <v/>
      </c>
      <c r="AJ34">
        <f>SUMPRODUCT((M_BOM[RM_Code]=$A34)*M_BOM[RM_Qty_Per_Batch]*IFERROR(INDEX(PP_Grid[#Data],M_BOM[PPGridRow],36),0))</f>
        <v/>
      </c>
      <c r="AK34">
        <f>SUMPRODUCT((M_BOM[RM_Code]=$A34)*M_BOM[RM_Qty_Per_Batch]*IFERROR(INDEX(PP_Grid[#Data],M_BOM[PPGridRow],37),0))</f>
        <v/>
      </c>
      <c r="AL34">
        <f>SUMPRODUCT((M_BOM[RM_Code]=$A34)*M_BOM[RM_Qty_Per_Batch]*IFERROR(INDEX(PP_Grid[#Data],M_BOM[PPGridRow],38),0))</f>
        <v/>
      </c>
      <c r="AM34">
        <f>SUMPRODUCT((M_BOM[RM_Code]=$A34)*M_BOM[RM_Qty_Per_Batch]*IFERROR(INDEX(PP_Grid[#Data],M_BOM[PPGridRow],39),0))</f>
        <v/>
      </c>
      <c r="AN34">
        <f>SUMPRODUCT((M_BOM[RM_Code]=$A34)*M_BOM[RM_Qty_Per_Batch]*IFERROR(INDEX(PP_Grid[#Data],M_BOM[PPGridRow],40),0))</f>
        <v/>
      </c>
      <c r="AO34">
        <f>SUMPRODUCT((M_BOM[RM_Code]=$A34)*M_BOM[RM_Qty_Per_Batch]*IFERROR(INDEX(PP_Grid[#Data],M_BOM[PPGridRow],41),0))</f>
        <v/>
      </c>
      <c r="AP34">
        <f>SUMPRODUCT((M_BOM[RM_Code]=$A34)*M_BOM[RM_Qty_Per_Batch]*IFERROR(INDEX(PP_Grid[#Data],M_BOM[PPGridRow],42),0))</f>
        <v/>
      </c>
      <c r="AQ34">
        <f>SUMPRODUCT((M_BOM[RM_Code]=$A34)*M_BOM[RM_Qty_Per_Batch]*IFERROR(INDEX(PP_Grid[#Data],M_BOM[PPGridRow],43),0))</f>
        <v/>
      </c>
      <c r="AR34">
        <f>SUMPRODUCT((M_BOM[RM_Code]=$A34)*M_BOM[RM_Qty_Per_Batch]*IFERROR(INDEX(PP_Grid[#Data],M_BOM[PPGridRow],44),0))</f>
        <v/>
      </c>
      <c r="AS34">
        <f>SUMPRODUCT((M_BOM[RM_Code]=$A34)*M_BOM[RM_Qty_Per_Batch]*IFERROR(INDEX(PP_Grid[#Data],M_BOM[PPGridRow],45),0))</f>
        <v/>
      </c>
      <c r="AT34">
        <f>SUMPRODUCT((M_BOM[RM_Code]=$A34)*M_BOM[RM_Qty_Per_Batch]*IFERROR(INDEX(PP_Grid[#Data],M_BOM[PPGridRow],46),0))</f>
        <v/>
      </c>
      <c r="AU34">
        <f>SUMPRODUCT((M_BOM[RM_Code]=$A34)*M_BOM[RM_Qty_Per_Batch]*IFERROR(INDEX(PP_Grid[#Data],M_BOM[PPGridRow],47),0))</f>
        <v/>
      </c>
      <c r="AV34">
        <f>SUMPRODUCT((M_BOM[RM_Code]=$A34)*M_BOM[RM_Qty_Per_Batch]*IFERROR(INDEX(PP_Grid[#Data],M_BOM[PPGridRow],48),0))</f>
        <v/>
      </c>
      <c r="AW34">
        <f>SUMPRODUCT((M_BOM[RM_Code]=$A34)*M_BOM[RM_Qty_Per_Batch]*IFERROR(INDEX(PP_Grid[#Data],M_BOM[PPGridRow],49),0))</f>
        <v/>
      </c>
      <c r="AX34">
        <f>SUMPRODUCT((M_BOM[RM_Code]=$A34)*M_BOM[RM_Qty_Per_Batch]*IFERROR(INDEX(PP_Grid[#Data],M_BOM[PPGridRow],50),0))</f>
        <v/>
      </c>
      <c r="AY34">
        <f>SUMPRODUCT((M_BOM[RM_Code]=$A34)*M_BOM[RM_Qty_Per_Batch]*IFERROR(INDEX(PP_Grid[#Data],M_BOM[PPGridRow],51),0))</f>
        <v/>
      </c>
      <c r="AZ34">
        <f>SUMPRODUCT((M_BOM[RM_Code]=$A34)*M_BOM[RM_Qty_Per_Batch]*IFERROR(INDEX(PP_Grid[#Data],M_BOM[PPGridRow],52),0))</f>
        <v/>
      </c>
      <c r="BA34">
        <f>SUMPRODUCT((M_BOM[RM_Code]=$A34)*M_BOM[RM_Qty_Per_Batch]*IFERROR(INDEX(PP_Grid[#Data],M_BOM[PPGridRow],53),0))</f>
        <v/>
      </c>
      <c r="BB34">
        <f>SUMPRODUCT((M_BOM[RM_Code]=$A34)*M_BOM[RM_Qty_Per_Batch]*IFERROR(INDEX(PP_Grid[#Data],M_BOM[PPGridRow],54),0))</f>
        <v/>
      </c>
      <c r="BC34">
        <f>SUMPRODUCT((M_BOM[RM_Code]=$A34)*M_BOM[RM_Qty_Per_Batch]*IFERROR(INDEX(PP_Grid[#Data],M_BOM[PPGridRow],55),0))</f>
        <v/>
      </c>
      <c r="BD34">
        <f>SUMPRODUCT((M_BOM[RM_Code]=$A34)*M_BOM[RM_Qty_Per_Batch]*IFERROR(INDEX(PP_Grid[#Data],M_BOM[PPGridRow],56),0))</f>
        <v/>
      </c>
      <c r="BE34">
        <f>SUMPRODUCT((M_BOM[RM_Code]=$A34)*M_BOM[RM_Qty_Per_Batch]*IFERROR(INDEX(PP_Grid[#Data],M_BOM[PPGridRow],57),0))</f>
        <v/>
      </c>
      <c r="BF34">
        <f>SUMPRODUCT((M_BOM[RM_Code]=$A34)*M_BOM[RM_Qty_Per_Batch]*IFERROR(INDEX(PP_Grid[#Data],M_BOM[PPGridRow],58),0))</f>
        <v/>
      </c>
      <c r="BG34">
        <f>SUMPRODUCT((M_BOM[RM_Code]=$A34)*M_BOM[RM_Qty_Per_Batch]*IFERROR(INDEX(PP_Grid[#Data],M_BOM[PPGridRow],59),0))</f>
        <v/>
      </c>
      <c r="BH34">
        <f>SUMPRODUCT((M_BOM[RM_Code]=$A34)*M_BOM[RM_Qty_Per_Batch]*IFERROR(INDEX(PP_Grid[#Data],M_BOM[PPGridRow],60),0))</f>
        <v/>
      </c>
      <c r="BI34">
        <f>SUMPRODUCT((M_BOM[RM_Code]=$A34)*M_BOM[RM_Qty_Per_Batch]*IFERROR(INDEX(PP_Grid[#Data],M_BOM[PPGridRow],61),0))</f>
        <v/>
      </c>
      <c r="BJ34">
        <f>SUMPRODUCT((M_BOM[RM_Code]=$A34)*M_BOM[RM_Qty_Per_Batch]*IFERROR(INDEX(PP_Grid[#Data],M_BOM[PPGridRow],62),0))</f>
        <v/>
      </c>
      <c r="BK34">
        <f>SUMPRODUCT((M_BOM[RM_Code]=$A34)*M_BOM[RM_Qty_Per_Batch]*IFERROR(INDEX(PP_Grid[#Data],M_BOM[PPGridRow],63),0))</f>
        <v/>
      </c>
      <c r="BL34">
        <f>SUMPRODUCT((M_BOM[RM_Code]=$A34)*M_BOM[RM_Qty_Per_Batch]*IFERROR(INDEX(PP_Grid[#Data],M_BOM[PPGridRow],64),0))</f>
        <v/>
      </c>
      <c r="BM34">
        <f>SUMPRODUCT((M_BOM[RM_Code]=$A34)*M_BOM[RM_Qty_Per_Batch]*IFERROR(INDEX(PP_Grid[#Data],M_BOM[PPGridRow],65),0))</f>
        <v/>
      </c>
      <c r="BN34">
        <f>SUMPRODUCT((M_BOM[RM_Code]=$A34)*M_BOM[RM_Qty_Per_Batch]*IFERROR(INDEX(PP_Grid[#Data],M_BOM[PPGridRow],66),0))</f>
        <v/>
      </c>
      <c r="BO34">
        <f>SUMPRODUCT((M_BOM[RM_Code]=$A34)*M_BOM[RM_Qty_Per_Batch]*IFERROR(INDEX(PP_Grid[#Data],M_BOM[PPGridRow],67),0))</f>
        <v/>
      </c>
      <c r="BP34">
        <f>SUMPRODUCT((M_BOM[RM_Code]=$A34)*M_BOM[RM_Qty_Per_Batch]*IFERROR(INDEX(PP_Grid[#Data],M_BOM[PPGridRow],68),0))</f>
        <v/>
      </c>
      <c r="BQ34">
        <f>SUMPRODUCT((M_BOM[RM_Code]=$A34)*M_BOM[RM_Qty_Per_Batch]*IFERROR(INDEX(PP_Grid[#Data],M_BOM[PPGridRow],69),0))</f>
        <v/>
      </c>
      <c r="BR34">
        <f>SUMPRODUCT((M_BOM[RM_Code]=$A34)*M_BOM[RM_Qty_Per_Batch]*IFERROR(INDEX(PP_Grid[#Data],M_BOM[PPGridRow],70),0))</f>
        <v/>
      </c>
      <c r="BS34">
        <f>SUMPRODUCT((M_BOM[RM_Code]=$A34)*M_BOM[RM_Qty_Per_Batch]*IFERROR(INDEX(PP_Grid[#Data],M_BOM[PPGridRow],71),0))</f>
        <v/>
      </c>
      <c r="BT34">
        <f>SUMPRODUCT((M_BOM[RM_Code]=$A34)*M_BOM[RM_Qty_Per_Batch]*IFERROR(INDEX(PP_Grid[#Data],M_BOM[PPGridRow],72),0))</f>
        <v/>
      </c>
      <c r="BU34">
        <f>SUMPRODUCT((M_BOM[RM_Code]=$A34)*M_BOM[RM_Qty_Per_Batch]*IFERROR(INDEX(PP_Grid[#Data],M_BOM[PPGridRow],73),0))</f>
        <v/>
      </c>
      <c r="BV34">
        <f>SUMPRODUCT((M_BOM[RM_Code]=$A34)*M_BOM[RM_Qty_Per_Batch]*IFERROR(INDEX(PP_Grid[#Data],M_BOM[PPGridRow],74),0))</f>
        <v/>
      </c>
      <c r="BW34">
        <f>SUMPRODUCT((M_BOM[RM_Code]=$A34)*M_BOM[RM_Qty_Per_Batch]*IFERROR(INDEX(PP_Grid[#Data],M_BOM[PPGridRow],75),0))</f>
        <v/>
      </c>
      <c r="BX34">
        <f>SUMPRODUCT((M_BOM[RM_Code]=$A34)*M_BOM[RM_Qty_Per_Batch]*IFERROR(INDEX(PP_Grid[#Data],M_BOM[PPGridRow],76),0))</f>
        <v/>
      </c>
      <c r="BY34">
        <f>SUMPRODUCT((M_BOM[RM_Code]=$A34)*M_BOM[RM_Qty_Per_Batch]*IFERROR(INDEX(PP_Grid[#Data],M_BOM[PPGridRow],77),0))</f>
        <v/>
      </c>
      <c r="BZ34">
        <f>SUMPRODUCT((M_BOM[RM_Code]=$A34)*M_BOM[RM_Qty_Per_Batch]*IFERROR(INDEX(PP_Grid[#Data],M_BOM[PPGridRow],78),0))</f>
        <v/>
      </c>
      <c r="CA34">
        <f>SUMPRODUCT((M_BOM[RM_Code]=$A34)*M_BOM[RM_Qty_Per_Batch]*IFERROR(INDEX(PP_Grid[#Data],M_BOM[PPGridRow],79),0))</f>
        <v/>
      </c>
      <c r="CB34">
        <f>SUMPRODUCT((M_BOM[RM_Code]=$A34)*M_BOM[RM_Qty_Per_Batch]*IFERROR(INDEX(PP_Grid[#Data],M_BOM[PPGridRow],80),0))</f>
        <v/>
      </c>
      <c r="CC34">
        <f>SUMPRODUCT((M_BOM[RM_Code]=$A34)*M_BOM[RM_Qty_Per_Batch]*IFERROR(INDEX(PP_Grid[#Data],M_BOM[PPGridRow],81),0))</f>
        <v/>
      </c>
      <c r="CD34">
        <f>SUMPRODUCT((M_BOM[RM_Code]=$A34)*M_BOM[RM_Qty_Per_Batch]*IFERROR(INDEX(PP_Grid[#Data],M_BOM[PPGridRow],82),0))</f>
        <v/>
      </c>
      <c r="CE34">
        <f>SUMPRODUCT((M_BOM[RM_Code]=$A34)*M_BOM[RM_Qty_Per_Batch]*IFERROR(INDEX(PP_Grid[#Data],M_BOM[PPGridRow],83),0))</f>
        <v/>
      </c>
      <c r="CF34">
        <f>SUMPRODUCT((M_BOM[RM_Code]=$A34)*M_BOM[RM_Qty_Per_Batch]*IFERROR(INDEX(PP_Grid[#Data],M_BOM[PPGridRow],84),0))</f>
        <v/>
      </c>
      <c r="CG34">
        <f>SUMPRODUCT((M_BOM[RM_Code]=$A34)*M_BOM[RM_Qty_Per_Batch]*IFERROR(INDEX(PP_Grid[#Data],M_BOM[PPGridRow],85),0))</f>
        <v/>
      </c>
      <c r="CH34">
        <f>SUMPRODUCT((M_BOM[RM_Code]=$A34)*M_BOM[RM_Qty_Per_Batch]*IFERROR(INDEX(PP_Grid[#Data],M_BOM[PPGridRow],86),0))</f>
        <v/>
      </c>
      <c r="CI34">
        <f>SUMPRODUCT((M_BOM[RM_Code]=$A34)*M_BOM[RM_Qty_Per_Batch]*IFERROR(INDEX(PP_Grid[#Data],M_BOM[PPGridRow],87),0))</f>
        <v/>
      </c>
      <c r="CJ34">
        <f>SUMPRODUCT((M_BOM[RM_Code]=$A34)*M_BOM[RM_Qty_Per_Batch]*IFERROR(INDEX(PP_Grid[#Data],M_BOM[PPGridRow],88),0))</f>
        <v/>
      </c>
      <c r="CK34">
        <f>SUMPRODUCT((M_BOM[RM_Code]=$A34)*M_BOM[RM_Qty_Per_Batch]*IFERROR(INDEX(PP_Grid[#Data],M_BOM[PPGridRow],89),0))</f>
        <v/>
      </c>
      <c r="CL34">
        <f>SUMPRODUCT((M_BOM[RM_Code]=$A34)*M_BOM[RM_Qty_Per_Batch]*IFERROR(INDEX(PP_Grid[#Data],M_BOM[PPGridRow],90),0))</f>
        <v/>
      </c>
      <c r="CM34">
        <f>SUMPRODUCT((M_BOM[RM_Code]=$A34)*M_BOM[RM_Qty_Per_Batch]*IFERROR(INDEX(PP_Grid[#Data],M_BOM[PPGridRow],91),0))</f>
        <v/>
      </c>
      <c r="CN34">
        <f>SUMPRODUCT((M_BOM[RM_Code]=$A34)*M_BOM[RM_Qty_Per_Batch]*IFERROR(INDEX(PP_Grid[#Data],M_BOM[PPGridRow],92),0))</f>
        <v/>
      </c>
      <c r="CO34">
        <f>SUMPRODUCT((M_BOM[RM_Code]=$A34)*M_BOM[RM_Qty_Per_Batch]*IFERROR(INDEX(PP_Grid[#Data],M_BOM[PPGridRow],93),0))</f>
        <v/>
      </c>
      <c r="CP34">
        <f>SUMPRODUCT((M_BOM[RM_Code]=$A34)*M_BOM[RM_Qty_Per_Batch]*IFERROR(INDEX(PP_Grid[#Data],M_BOM[PPGridRow],94),0))</f>
        <v/>
      </c>
      <c r="CQ34">
        <f>SUMPRODUCT((M_BOM[RM_Code]=$A34)*M_BOM[RM_Qty_Per_Batch]*IFERROR(INDEX(PP_Grid[#Data],M_BOM[PPGridRow],95),0))</f>
        <v/>
      </c>
      <c r="CR34">
        <f>SUMPRODUCT((M_BOM[RM_Code]=$A34)*M_BOM[RM_Qty_Per_Batch]*IFERROR(INDEX(PP_Grid[#Data],M_BOM[PPGridRow],96),0))</f>
        <v/>
      </c>
      <c r="CS34">
        <f>SUMPRODUCT((M_BOM[RM_Code]=$A34)*M_BOM[RM_Qty_Per_Batch]*IFERROR(INDEX(PP_Grid[#Data],M_BOM[PPGridRow],97),0))</f>
        <v/>
      </c>
      <c r="CT34">
        <f>SUMPRODUCT((M_BOM[RM_Code]=$A34)*M_BOM[RM_Qty_Per_Batch]*IFERROR(INDEX(PP_Grid[#Data],M_BOM[PPGridRow],98),0))</f>
        <v/>
      </c>
      <c r="CU34">
        <f>SUMPRODUCT((M_BOM[RM_Code]=$A34)*M_BOM[RM_Qty_Per_Batch]*IFERROR(INDEX(PP_Grid[#Data],M_BOM[PPGridRow],99),0))</f>
        <v/>
      </c>
      <c r="CV34">
        <f>SUMPRODUCT((M_BOM[RM_Code]=$A34)*M_BOM[RM_Qty_Per_Batch]*IFERROR(INDEX(PP_Grid[#Data],M_BOM[PPGridRow],100),0))</f>
        <v/>
      </c>
      <c r="CW34">
        <f>SUMPRODUCT((M_BOM[RM_Code]=$A34)*M_BOM[RM_Qty_Per_Batch]*IFERROR(INDEX(PP_Grid[#Data],M_BOM[PPGridRow],101),0))</f>
        <v/>
      </c>
      <c r="CX34">
        <f>SUMPRODUCT((M_BOM[RM_Code]=$A34)*M_BOM[RM_Qty_Per_Batch]*IFERROR(INDEX(PP_Grid[#Data],M_BOM[PPGridRow],102),0))</f>
        <v/>
      </c>
      <c r="CY34">
        <f>SUMPRODUCT((M_BOM[RM_Code]=$A34)*M_BOM[RM_Qty_Per_Batch]*IFERROR(INDEX(PP_Grid[#Data],M_BOM[PPGridRow],103),0))</f>
        <v/>
      </c>
      <c r="CZ34">
        <f>SUMPRODUCT((M_BOM[RM_Code]=$A34)*M_BOM[RM_Qty_Per_Batch]*IFERROR(INDEX(PP_Grid[#Data],M_BOM[PPGridRow],104),0))</f>
        <v/>
      </c>
      <c r="DA34">
        <f>SUMPRODUCT((M_BOM[RM_Code]=$A34)*M_BOM[RM_Qty_Per_Batch]*IFERROR(INDEX(PP_Grid[#Data],M_BOM[PPGridRow],105),0))</f>
        <v/>
      </c>
    </row>
    <row r="35">
      <c r="A35" t="inlineStr">
        <is>
          <t>CHEM-1830</t>
        </is>
      </c>
      <c r="B35">
        <f>SUMPRODUCT((M_BOM[RM_Code]=$A35)*M_BOM[RM_Qty_Per_Batch]*IFERROR(INDEX(PP_Grid[#Data],M_BOM[PPGridRow],2),0))</f>
        <v/>
      </c>
      <c r="C35">
        <f>SUMPRODUCT((M_BOM[RM_Code]=$A35)*M_BOM[RM_Qty_Per_Batch]*IFERROR(INDEX(PP_Grid[#Data],M_BOM[PPGridRow],3),0))</f>
        <v/>
      </c>
      <c r="D35">
        <f>SUMPRODUCT((M_BOM[RM_Code]=$A35)*M_BOM[RM_Qty_Per_Batch]*IFERROR(INDEX(PP_Grid[#Data],M_BOM[PPGridRow],4),0))</f>
        <v/>
      </c>
      <c r="E35">
        <f>SUMPRODUCT((M_BOM[RM_Code]=$A35)*M_BOM[RM_Qty_Per_Batch]*IFERROR(INDEX(PP_Grid[#Data],M_BOM[PPGridRow],5),0))</f>
        <v/>
      </c>
      <c r="F35">
        <f>SUMPRODUCT((M_BOM[RM_Code]=$A35)*M_BOM[RM_Qty_Per_Batch]*IFERROR(INDEX(PP_Grid[#Data],M_BOM[PPGridRow],6),0))</f>
        <v/>
      </c>
      <c r="G35">
        <f>SUMPRODUCT((M_BOM[RM_Code]=$A35)*M_BOM[RM_Qty_Per_Batch]*IFERROR(INDEX(PP_Grid[#Data],M_BOM[PPGridRow],7),0))</f>
        <v/>
      </c>
      <c r="H35">
        <f>SUMPRODUCT((M_BOM[RM_Code]=$A35)*M_BOM[RM_Qty_Per_Batch]*IFERROR(INDEX(PP_Grid[#Data],M_BOM[PPGridRow],8),0))</f>
        <v/>
      </c>
      <c r="I35">
        <f>SUMPRODUCT((M_BOM[RM_Code]=$A35)*M_BOM[RM_Qty_Per_Batch]*IFERROR(INDEX(PP_Grid[#Data],M_BOM[PPGridRow],9),0))</f>
        <v/>
      </c>
      <c r="J35">
        <f>SUMPRODUCT((M_BOM[RM_Code]=$A35)*M_BOM[RM_Qty_Per_Batch]*IFERROR(INDEX(PP_Grid[#Data],M_BOM[PPGridRow],10),0))</f>
        <v/>
      </c>
      <c r="K35">
        <f>SUMPRODUCT((M_BOM[RM_Code]=$A35)*M_BOM[RM_Qty_Per_Batch]*IFERROR(INDEX(PP_Grid[#Data],M_BOM[PPGridRow],11),0))</f>
        <v/>
      </c>
      <c r="L35">
        <f>SUMPRODUCT((M_BOM[RM_Code]=$A35)*M_BOM[RM_Qty_Per_Batch]*IFERROR(INDEX(PP_Grid[#Data],M_BOM[PPGridRow],12),0))</f>
        <v/>
      </c>
      <c r="M35">
        <f>SUMPRODUCT((M_BOM[RM_Code]=$A35)*M_BOM[RM_Qty_Per_Batch]*IFERROR(INDEX(PP_Grid[#Data],M_BOM[PPGridRow],13),0))</f>
        <v/>
      </c>
      <c r="N35">
        <f>SUMPRODUCT((M_BOM[RM_Code]=$A35)*M_BOM[RM_Qty_Per_Batch]*IFERROR(INDEX(PP_Grid[#Data],M_BOM[PPGridRow],14),0))</f>
        <v/>
      </c>
      <c r="O35">
        <f>SUMPRODUCT((M_BOM[RM_Code]=$A35)*M_BOM[RM_Qty_Per_Batch]*IFERROR(INDEX(PP_Grid[#Data],M_BOM[PPGridRow],15),0))</f>
        <v/>
      </c>
      <c r="P35">
        <f>SUMPRODUCT((M_BOM[RM_Code]=$A35)*M_BOM[RM_Qty_Per_Batch]*IFERROR(INDEX(PP_Grid[#Data],M_BOM[PPGridRow],16),0))</f>
        <v/>
      </c>
      <c r="Q35">
        <f>SUMPRODUCT((M_BOM[RM_Code]=$A35)*M_BOM[RM_Qty_Per_Batch]*IFERROR(INDEX(PP_Grid[#Data],M_BOM[PPGridRow],17),0))</f>
        <v/>
      </c>
      <c r="R35">
        <f>SUMPRODUCT((M_BOM[RM_Code]=$A35)*M_BOM[RM_Qty_Per_Batch]*IFERROR(INDEX(PP_Grid[#Data],M_BOM[PPGridRow],18),0))</f>
        <v/>
      </c>
      <c r="S35">
        <f>SUMPRODUCT((M_BOM[RM_Code]=$A35)*M_BOM[RM_Qty_Per_Batch]*IFERROR(INDEX(PP_Grid[#Data],M_BOM[PPGridRow],19),0))</f>
        <v/>
      </c>
      <c r="T35">
        <f>SUMPRODUCT((M_BOM[RM_Code]=$A35)*M_BOM[RM_Qty_Per_Batch]*IFERROR(INDEX(PP_Grid[#Data],M_BOM[PPGridRow],20),0))</f>
        <v/>
      </c>
      <c r="U35">
        <f>SUMPRODUCT((M_BOM[RM_Code]=$A35)*M_BOM[RM_Qty_Per_Batch]*IFERROR(INDEX(PP_Grid[#Data],M_BOM[PPGridRow],21),0))</f>
        <v/>
      </c>
      <c r="V35">
        <f>SUMPRODUCT((M_BOM[RM_Code]=$A35)*M_BOM[RM_Qty_Per_Batch]*IFERROR(INDEX(PP_Grid[#Data],M_BOM[PPGridRow],22),0))</f>
        <v/>
      </c>
      <c r="W35">
        <f>SUMPRODUCT((M_BOM[RM_Code]=$A35)*M_BOM[RM_Qty_Per_Batch]*IFERROR(INDEX(PP_Grid[#Data],M_BOM[PPGridRow],23),0))</f>
        <v/>
      </c>
      <c r="X35">
        <f>SUMPRODUCT((M_BOM[RM_Code]=$A35)*M_BOM[RM_Qty_Per_Batch]*IFERROR(INDEX(PP_Grid[#Data],M_BOM[PPGridRow],24),0))</f>
        <v/>
      </c>
      <c r="Y35">
        <f>SUMPRODUCT((M_BOM[RM_Code]=$A35)*M_BOM[RM_Qty_Per_Batch]*IFERROR(INDEX(PP_Grid[#Data],M_BOM[PPGridRow],25),0))</f>
        <v/>
      </c>
      <c r="Z35">
        <f>SUMPRODUCT((M_BOM[RM_Code]=$A35)*M_BOM[RM_Qty_Per_Batch]*IFERROR(INDEX(PP_Grid[#Data],M_BOM[PPGridRow],26),0))</f>
        <v/>
      </c>
      <c r="AA35">
        <f>SUMPRODUCT((M_BOM[RM_Code]=$A35)*M_BOM[RM_Qty_Per_Batch]*IFERROR(INDEX(PP_Grid[#Data],M_BOM[PPGridRow],27),0))</f>
        <v/>
      </c>
      <c r="AB35">
        <f>SUMPRODUCT((M_BOM[RM_Code]=$A35)*M_BOM[RM_Qty_Per_Batch]*IFERROR(INDEX(PP_Grid[#Data],M_BOM[PPGridRow],28),0))</f>
        <v/>
      </c>
      <c r="AC35">
        <f>SUMPRODUCT((M_BOM[RM_Code]=$A35)*M_BOM[RM_Qty_Per_Batch]*IFERROR(INDEX(PP_Grid[#Data],M_BOM[PPGridRow],29),0))</f>
        <v/>
      </c>
      <c r="AD35">
        <f>SUMPRODUCT((M_BOM[RM_Code]=$A35)*M_BOM[RM_Qty_Per_Batch]*IFERROR(INDEX(PP_Grid[#Data],M_BOM[PPGridRow],30),0))</f>
        <v/>
      </c>
      <c r="AE35">
        <f>SUMPRODUCT((M_BOM[RM_Code]=$A35)*M_BOM[RM_Qty_Per_Batch]*IFERROR(INDEX(PP_Grid[#Data],M_BOM[PPGridRow],31),0))</f>
        <v/>
      </c>
      <c r="AF35">
        <f>SUMPRODUCT((M_BOM[RM_Code]=$A35)*M_BOM[RM_Qty_Per_Batch]*IFERROR(INDEX(PP_Grid[#Data],M_BOM[PPGridRow],32),0))</f>
        <v/>
      </c>
      <c r="AG35">
        <f>SUMPRODUCT((M_BOM[RM_Code]=$A35)*M_BOM[RM_Qty_Per_Batch]*IFERROR(INDEX(PP_Grid[#Data],M_BOM[PPGridRow],33),0))</f>
        <v/>
      </c>
      <c r="AH35">
        <f>SUMPRODUCT((M_BOM[RM_Code]=$A35)*M_BOM[RM_Qty_Per_Batch]*IFERROR(INDEX(PP_Grid[#Data],M_BOM[PPGridRow],34),0))</f>
        <v/>
      </c>
      <c r="AI35">
        <f>SUMPRODUCT((M_BOM[RM_Code]=$A35)*M_BOM[RM_Qty_Per_Batch]*IFERROR(INDEX(PP_Grid[#Data],M_BOM[PPGridRow],35),0))</f>
        <v/>
      </c>
      <c r="AJ35">
        <f>SUMPRODUCT((M_BOM[RM_Code]=$A35)*M_BOM[RM_Qty_Per_Batch]*IFERROR(INDEX(PP_Grid[#Data],M_BOM[PPGridRow],36),0))</f>
        <v/>
      </c>
      <c r="AK35">
        <f>SUMPRODUCT((M_BOM[RM_Code]=$A35)*M_BOM[RM_Qty_Per_Batch]*IFERROR(INDEX(PP_Grid[#Data],M_BOM[PPGridRow],37),0))</f>
        <v/>
      </c>
      <c r="AL35">
        <f>SUMPRODUCT((M_BOM[RM_Code]=$A35)*M_BOM[RM_Qty_Per_Batch]*IFERROR(INDEX(PP_Grid[#Data],M_BOM[PPGridRow],38),0))</f>
        <v/>
      </c>
      <c r="AM35">
        <f>SUMPRODUCT((M_BOM[RM_Code]=$A35)*M_BOM[RM_Qty_Per_Batch]*IFERROR(INDEX(PP_Grid[#Data],M_BOM[PPGridRow],39),0))</f>
        <v/>
      </c>
      <c r="AN35">
        <f>SUMPRODUCT((M_BOM[RM_Code]=$A35)*M_BOM[RM_Qty_Per_Batch]*IFERROR(INDEX(PP_Grid[#Data],M_BOM[PPGridRow],40),0))</f>
        <v/>
      </c>
      <c r="AO35">
        <f>SUMPRODUCT((M_BOM[RM_Code]=$A35)*M_BOM[RM_Qty_Per_Batch]*IFERROR(INDEX(PP_Grid[#Data],M_BOM[PPGridRow],41),0))</f>
        <v/>
      </c>
      <c r="AP35">
        <f>SUMPRODUCT((M_BOM[RM_Code]=$A35)*M_BOM[RM_Qty_Per_Batch]*IFERROR(INDEX(PP_Grid[#Data],M_BOM[PPGridRow],42),0))</f>
        <v/>
      </c>
      <c r="AQ35">
        <f>SUMPRODUCT((M_BOM[RM_Code]=$A35)*M_BOM[RM_Qty_Per_Batch]*IFERROR(INDEX(PP_Grid[#Data],M_BOM[PPGridRow],43),0))</f>
        <v/>
      </c>
      <c r="AR35">
        <f>SUMPRODUCT((M_BOM[RM_Code]=$A35)*M_BOM[RM_Qty_Per_Batch]*IFERROR(INDEX(PP_Grid[#Data],M_BOM[PPGridRow],44),0))</f>
        <v/>
      </c>
      <c r="AS35">
        <f>SUMPRODUCT((M_BOM[RM_Code]=$A35)*M_BOM[RM_Qty_Per_Batch]*IFERROR(INDEX(PP_Grid[#Data],M_BOM[PPGridRow],45),0))</f>
        <v/>
      </c>
      <c r="AT35">
        <f>SUMPRODUCT((M_BOM[RM_Code]=$A35)*M_BOM[RM_Qty_Per_Batch]*IFERROR(INDEX(PP_Grid[#Data],M_BOM[PPGridRow],46),0))</f>
        <v/>
      </c>
      <c r="AU35">
        <f>SUMPRODUCT((M_BOM[RM_Code]=$A35)*M_BOM[RM_Qty_Per_Batch]*IFERROR(INDEX(PP_Grid[#Data],M_BOM[PPGridRow],47),0))</f>
        <v/>
      </c>
      <c r="AV35">
        <f>SUMPRODUCT((M_BOM[RM_Code]=$A35)*M_BOM[RM_Qty_Per_Batch]*IFERROR(INDEX(PP_Grid[#Data],M_BOM[PPGridRow],48),0))</f>
        <v/>
      </c>
      <c r="AW35">
        <f>SUMPRODUCT((M_BOM[RM_Code]=$A35)*M_BOM[RM_Qty_Per_Batch]*IFERROR(INDEX(PP_Grid[#Data],M_BOM[PPGridRow],49),0))</f>
        <v/>
      </c>
      <c r="AX35">
        <f>SUMPRODUCT((M_BOM[RM_Code]=$A35)*M_BOM[RM_Qty_Per_Batch]*IFERROR(INDEX(PP_Grid[#Data],M_BOM[PPGridRow],50),0))</f>
        <v/>
      </c>
      <c r="AY35">
        <f>SUMPRODUCT((M_BOM[RM_Code]=$A35)*M_BOM[RM_Qty_Per_Batch]*IFERROR(INDEX(PP_Grid[#Data],M_BOM[PPGridRow],51),0))</f>
        <v/>
      </c>
      <c r="AZ35">
        <f>SUMPRODUCT((M_BOM[RM_Code]=$A35)*M_BOM[RM_Qty_Per_Batch]*IFERROR(INDEX(PP_Grid[#Data],M_BOM[PPGridRow],52),0))</f>
        <v/>
      </c>
      <c r="BA35">
        <f>SUMPRODUCT((M_BOM[RM_Code]=$A35)*M_BOM[RM_Qty_Per_Batch]*IFERROR(INDEX(PP_Grid[#Data],M_BOM[PPGridRow],53),0))</f>
        <v/>
      </c>
      <c r="BB35">
        <f>SUMPRODUCT((M_BOM[RM_Code]=$A35)*M_BOM[RM_Qty_Per_Batch]*IFERROR(INDEX(PP_Grid[#Data],M_BOM[PPGridRow],54),0))</f>
        <v/>
      </c>
      <c r="BC35">
        <f>SUMPRODUCT((M_BOM[RM_Code]=$A35)*M_BOM[RM_Qty_Per_Batch]*IFERROR(INDEX(PP_Grid[#Data],M_BOM[PPGridRow],55),0))</f>
        <v/>
      </c>
      <c r="BD35">
        <f>SUMPRODUCT((M_BOM[RM_Code]=$A35)*M_BOM[RM_Qty_Per_Batch]*IFERROR(INDEX(PP_Grid[#Data],M_BOM[PPGridRow],56),0))</f>
        <v/>
      </c>
      <c r="BE35">
        <f>SUMPRODUCT((M_BOM[RM_Code]=$A35)*M_BOM[RM_Qty_Per_Batch]*IFERROR(INDEX(PP_Grid[#Data],M_BOM[PPGridRow],57),0))</f>
        <v/>
      </c>
      <c r="BF35">
        <f>SUMPRODUCT((M_BOM[RM_Code]=$A35)*M_BOM[RM_Qty_Per_Batch]*IFERROR(INDEX(PP_Grid[#Data],M_BOM[PPGridRow],58),0))</f>
        <v/>
      </c>
      <c r="BG35">
        <f>SUMPRODUCT((M_BOM[RM_Code]=$A35)*M_BOM[RM_Qty_Per_Batch]*IFERROR(INDEX(PP_Grid[#Data],M_BOM[PPGridRow],59),0))</f>
        <v/>
      </c>
      <c r="BH35">
        <f>SUMPRODUCT((M_BOM[RM_Code]=$A35)*M_BOM[RM_Qty_Per_Batch]*IFERROR(INDEX(PP_Grid[#Data],M_BOM[PPGridRow],60),0))</f>
        <v/>
      </c>
      <c r="BI35">
        <f>SUMPRODUCT((M_BOM[RM_Code]=$A35)*M_BOM[RM_Qty_Per_Batch]*IFERROR(INDEX(PP_Grid[#Data],M_BOM[PPGridRow],61),0))</f>
        <v/>
      </c>
      <c r="BJ35">
        <f>SUMPRODUCT((M_BOM[RM_Code]=$A35)*M_BOM[RM_Qty_Per_Batch]*IFERROR(INDEX(PP_Grid[#Data],M_BOM[PPGridRow],62),0))</f>
        <v/>
      </c>
      <c r="BK35">
        <f>SUMPRODUCT((M_BOM[RM_Code]=$A35)*M_BOM[RM_Qty_Per_Batch]*IFERROR(INDEX(PP_Grid[#Data],M_BOM[PPGridRow],63),0))</f>
        <v/>
      </c>
      <c r="BL35">
        <f>SUMPRODUCT((M_BOM[RM_Code]=$A35)*M_BOM[RM_Qty_Per_Batch]*IFERROR(INDEX(PP_Grid[#Data],M_BOM[PPGridRow],64),0))</f>
        <v/>
      </c>
      <c r="BM35">
        <f>SUMPRODUCT((M_BOM[RM_Code]=$A35)*M_BOM[RM_Qty_Per_Batch]*IFERROR(INDEX(PP_Grid[#Data],M_BOM[PPGridRow],65),0))</f>
        <v/>
      </c>
      <c r="BN35">
        <f>SUMPRODUCT((M_BOM[RM_Code]=$A35)*M_BOM[RM_Qty_Per_Batch]*IFERROR(INDEX(PP_Grid[#Data],M_BOM[PPGridRow],66),0))</f>
        <v/>
      </c>
      <c r="BO35">
        <f>SUMPRODUCT((M_BOM[RM_Code]=$A35)*M_BOM[RM_Qty_Per_Batch]*IFERROR(INDEX(PP_Grid[#Data],M_BOM[PPGridRow],67),0))</f>
        <v/>
      </c>
      <c r="BP35">
        <f>SUMPRODUCT((M_BOM[RM_Code]=$A35)*M_BOM[RM_Qty_Per_Batch]*IFERROR(INDEX(PP_Grid[#Data],M_BOM[PPGridRow],68),0))</f>
        <v/>
      </c>
      <c r="BQ35">
        <f>SUMPRODUCT((M_BOM[RM_Code]=$A35)*M_BOM[RM_Qty_Per_Batch]*IFERROR(INDEX(PP_Grid[#Data],M_BOM[PPGridRow],69),0))</f>
        <v/>
      </c>
      <c r="BR35">
        <f>SUMPRODUCT((M_BOM[RM_Code]=$A35)*M_BOM[RM_Qty_Per_Batch]*IFERROR(INDEX(PP_Grid[#Data],M_BOM[PPGridRow],70),0))</f>
        <v/>
      </c>
      <c r="BS35">
        <f>SUMPRODUCT((M_BOM[RM_Code]=$A35)*M_BOM[RM_Qty_Per_Batch]*IFERROR(INDEX(PP_Grid[#Data],M_BOM[PPGridRow],71),0))</f>
        <v/>
      </c>
      <c r="BT35">
        <f>SUMPRODUCT((M_BOM[RM_Code]=$A35)*M_BOM[RM_Qty_Per_Batch]*IFERROR(INDEX(PP_Grid[#Data],M_BOM[PPGridRow],72),0))</f>
        <v/>
      </c>
      <c r="BU35">
        <f>SUMPRODUCT((M_BOM[RM_Code]=$A35)*M_BOM[RM_Qty_Per_Batch]*IFERROR(INDEX(PP_Grid[#Data],M_BOM[PPGridRow],73),0))</f>
        <v/>
      </c>
      <c r="BV35">
        <f>SUMPRODUCT((M_BOM[RM_Code]=$A35)*M_BOM[RM_Qty_Per_Batch]*IFERROR(INDEX(PP_Grid[#Data],M_BOM[PPGridRow],74),0))</f>
        <v/>
      </c>
      <c r="BW35">
        <f>SUMPRODUCT((M_BOM[RM_Code]=$A35)*M_BOM[RM_Qty_Per_Batch]*IFERROR(INDEX(PP_Grid[#Data],M_BOM[PPGridRow],75),0))</f>
        <v/>
      </c>
      <c r="BX35">
        <f>SUMPRODUCT((M_BOM[RM_Code]=$A35)*M_BOM[RM_Qty_Per_Batch]*IFERROR(INDEX(PP_Grid[#Data],M_BOM[PPGridRow],76),0))</f>
        <v/>
      </c>
      <c r="BY35">
        <f>SUMPRODUCT((M_BOM[RM_Code]=$A35)*M_BOM[RM_Qty_Per_Batch]*IFERROR(INDEX(PP_Grid[#Data],M_BOM[PPGridRow],77),0))</f>
        <v/>
      </c>
      <c r="BZ35">
        <f>SUMPRODUCT((M_BOM[RM_Code]=$A35)*M_BOM[RM_Qty_Per_Batch]*IFERROR(INDEX(PP_Grid[#Data],M_BOM[PPGridRow],78),0))</f>
        <v/>
      </c>
      <c r="CA35">
        <f>SUMPRODUCT((M_BOM[RM_Code]=$A35)*M_BOM[RM_Qty_Per_Batch]*IFERROR(INDEX(PP_Grid[#Data],M_BOM[PPGridRow],79),0))</f>
        <v/>
      </c>
      <c r="CB35">
        <f>SUMPRODUCT((M_BOM[RM_Code]=$A35)*M_BOM[RM_Qty_Per_Batch]*IFERROR(INDEX(PP_Grid[#Data],M_BOM[PPGridRow],80),0))</f>
        <v/>
      </c>
      <c r="CC35">
        <f>SUMPRODUCT((M_BOM[RM_Code]=$A35)*M_BOM[RM_Qty_Per_Batch]*IFERROR(INDEX(PP_Grid[#Data],M_BOM[PPGridRow],81),0))</f>
        <v/>
      </c>
      <c r="CD35">
        <f>SUMPRODUCT((M_BOM[RM_Code]=$A35)*M_BOM[RM_Qty_Per_Batch]*IFERROR(INDEX(PP_Grid[#Data],M_BOM[PPGridRow],82),0))</f>
        <v/>
      </c>
      <c r="CE35">
        <f>SUMPRODUCT((M_BOM[RM_Code]=$A35)*M_BOM[RM_Qty_Per_Batch]*IFERROR(INDEX(PP_Grid[#Data],M_BOM[PPGridRow],83),0))</f>
        <v/>
      </c>
      <c r="CF35">
        <f>SUMPRODUCT((M_BOM[RM_Code]=$A35)*M_BOM[RM_Qty_Per_Batch]*IFERROR(INDEX(PP_Grid[#Data],M_BOM[PPGridRow],84),0))</f>
        <v/>
      </c>
      <c r="CG35">
        <f>SUMPRODUCT((M_BOM[RM_Code]=$A35)*M_BOM[RM_Qty_Per_Batch]*IFERROR(INDEX(PP_Grid[#Data],M_BOM[PPGridRow],85),0))</f>
        <v/>
      </c>
      <c r="CH35">
        <f>SUMPRODUCT((M_BOM[RM_Code]=$A35)*M_BOM[RM_Qty_Per_Batch]*IFERROR(INDEX(PP_Grid[#Data],M_BOM[PPGridRow],86),0))</f>
        <v/>
      </c>
      <c r="CI35">
        <f>SUMPRODUCT((M_BOM[RM_Code]=$A35)*M_BOM[RM_Qty_Per_Batch]*IFERROR(INDEX(PP_Grid[#Data],M_BOM[PPGridRow],87),0))</f>
        <v/>
      </c>
      <c r="CJ35">
        <f>SUMPRODUCT((M_BOM[RM_Code]=$A35)*M_BOM[RM_Qty_Per_Batch]*IFERROR(INDEX(PP_Grid[#Data],M_BOM[PPGridRow],88),0))</f>
        <v/>
      </c>
      <c r="CK35">
        <f>SUMPRODUCT((M_BOM[RM_Code]=$A35)*M_BOM[RM_Qty_Per_Batch]*IFERROR(INDEX(PP_Grid[#Data],M_BOM[PPGridRow],89),0))</f>
        <v/>
      </c>
      <c r="CL35">
        <f>SUMPRODUCT((M_BOM[RM_Code]=$A35)*M_BOM[RM_Qty_Per_Batch]*IFERROR(INDEX(PP_Grid[#Data],M_BOM[PPGridRow],90),0))</f>
        <v/>
      </c>
      <c r="CM35">
        <f>SUMPRODUCT((M_BOM[RM_Code]=$A35)*M_BOM[RM_Qty_Per_Batch]*IFERROR(INDEX(PP_Grid[#Data],M_BOM[PPGridRow],91),0))</f>
        <v/>
      </c>
      <c r="CN35">
        <f>SUMPRODUCT((M_BOM[RM_Code]=$A35)*M_BOM[RM_Qty_Per_Batch]*IFERROR(INDEX(PP_Grid[#Data],M_BOM[PPGridRow],92),0))</f>
        <v/>
      </c>
      <c r="CO35">
        <f>SUMPRODUCT((M_BOM[RM_Code]=$A35)*M_BOM[RM_Qty_Per_Batch]*IFERROR(INDEX(PP_Grid[#Data],M_BOM[PPGridRow],93),0))</f>
        <v/>
      </c>
      <c r="CP35">
        <f>SUMPRODUCT((M_BOM[RM_Code]=$A35)*M_BOM[RM_Qty_Per_Batch]*IFERROR(INDEX(PP_Grid[#Data],M_BOM[PPGridRow],94),0))</f>
        <v/>
      </c>
      <c r="CQ35">
        <f>SUMPRODUCT((M_BOM[RM_Code]=$A35)*M_BOM[RM_Qty_Per_Batch]*IFERROR(INDEX(PP_Grid[#Data],M_BOM[PPGridRow],95),0))</f>
        <v/>
      </c>
      <c r="CR35">
        <f>SUMPRODUCT((M_BOM[RM_Code]=$A35)*M_BOM[RM_Qty_Per_Batch]*IFERROR(INDEX(PP_Grid[#Data],M_BOM[PPGridRow],96),0))</f>
        <v/>
      </c>
      <c r="CS35">
        <f>SUMPRODUCT((M_BOM[RM_Code]=$A35)*M_BOM[RM_Qty_Per_Batch]*IFERROR(INDEX(PP_Grid[#Data],M_BOM[PPGridRow],97),0))</f>
        <v/>
      </c>
      <c r="CT35">
        <f>SUMPRODUCT((M_BOM[RM_Code]=$A35)*M_BOM[RM_Qty_Per_Batch]*IFERROR(INDEX(PP_Grid[#Data],M_BOM[PPGridRow],98),0))</f>
        <v/>
      </c>
      <c r="CU35">
        <f>SUMPRODUCT((M_BOM[RM_Code]=$A35)*M_BOM[RM_Qty_Per_Batch]*IFERROR(INDEX(PP_Grid[#Data],M_BOM[PPGridRow],99),0))</f>
        <v/>
      </c>
      <c r="CV35">
        <f>SUMPRODUCT((M_BOM[RM_Code]=$A35)*M_BOM[RM_Qty_Per_Batch]*IFERROR(INDEX(PP_Grid[#Data],M_BOM[PPGridRow],100),0))</f>
        <v/>
      </c>
      <c r="CW35">
        <f>SUMPRODUCT((M_BOM[RM_Code]=$A35)*M_BOM[RM_Qty_Per_Batch]*IFERROR(INDEX(PP_Grid[#Data],M_BOM[PPGridRow],101),0))</f>
        <v/>
      </c>
      <c r="CX35">
        <f>SUMPRODUCT((M_BOM[RM_Code]=$A35)*M_BOM[RM_Qty_Per_Batch]*IFERROR(INDEX(PP_Grid[#Data],M_BOM[PPGridRow],102),0))</f>
        <v/>
      </c>
      <c r="CY35">
        <f>SUMPRODUCT((M_BOM[RM_Code]=$A35)*M_BOM[RM_Qty_Per_Batch]*IFERROR(INDEX(PP_Grid[#Data],M_BOM[PPGridRow],103),0))</f>
        <v/>
      </c>
      <c r="CZ35">
        <f>SUMPRODUCT((M_BOM[RM_Code]=$A35)*M_BOM[RM_Qty_Per_Batch]*IFERROR(INDEX(PP_Grid[#Data],M_BOM[PPGridRow],104),0))</f>
        <v/>
      </c>
      <c r="DA35">
        <f>SUMPRODUCT((M_BOM[RM_Code]=$A35)*M_BOM[RM_Qty_Per_Batch]*IFERROR(INDEX(PP_Grid[#Data],M_BOM[PPGridRow],105),0))</f>
        <v/>
      </c>
    </row>
    <row r="36">
      <c r="A36" t="inlineStr">
        <is>
          <t>CHEM-1100</t>
        </is>
      </c>
      <c r="B36">
        <f>SUMPRODUCT((M_BOM[RM_Code]=$A36)*M_BOM[RM_Qty_Per_Batch]*IFERROR(INDEX(PP_Grid[#Data],M_BOM[PPGridRow],2),0))</f>
        <v/>
      </c>
      <c r="C36">
        <f>SUMPRODUCT((M_BOM[RM_Code]=$A36)*M_BOM[RM_Qty_Per_Batch]*IFERROR(INDEX(PP_Grid[#Data],M_BOM[PPGridRow],3),0))</f>
        <v/>
      </c>
      <c r="D36">
        <f>SUMPRODUCT((M_BOM[RM_Code]=$A36)*M_BOM[RM_Qty_Per_Batch]*IFERROR(INDEX(PP_Grid[#Data],M_BOM[PPGridRow],4),0))</f>
        <v/>
      </c>
      <c r="E36">
        <f>SUMPRODUCT((M_BOM[RM_Code]=$A36)*M_BOM[RM_Qty_Per_Batch]*IFERROR(INDEX(PP_Grid[#Data],M_BOM[PPGridRow],5),0))</f>
        <v/>
      </c>
      <c r="F36">
        <f>SUMPRODUCT((M_BOM[RM_Code]=$A36)*M_BOM[RM_Qty_Per_Batch]*IFERROR(INDEX(PP_Grid[#Data],M_BOM[PPGridRow],6),0))</f>
        <v/>
      </c>
      <c r="G36">
        <f>SUMPRODUCT((M_BOM[RM_Code]=$A36)*M_BOM[RM_Qty_Per_Batch]*IFERROR(INDEX(PP_Grid[#Data],M_BOM[PPGridRow],7),0))</f>
        <v/>
      </c>
      <c r="H36">
        <f>SUMPRODUCT((M_BOM[RM_Code]=$A36)*M_BOM[RM_Qty_Per_Batch]*IFERROR(INDEX(PP_Grid[#Data],M_BOM[PPGridRow],8),0))</f>
        <v/>
      </c>
      <c r="I36">
        <f>SUMPRODUCT((M_BOM[RM_Code]=$A36)*M_BOM[RM_Qty_Per_Batch]*IFERROR(INDEX(PP_Grid[#Data],M_BOM[PPGridRow],9),0))</f>
        <v/>
      </c>
      <c r="J36">
        <f>SUMPRODUCT((M_BOM[RM_Code]=$A36)*M_BOM[RM_Qty_Per_Batch]*IFERROR(INDEX(PP_Grid[#Data],M_BOM[PPGridRow],10),0))</f>
        <v/>
      </c>
      <c r="K36">
        <f>SUMPRODUCT((M_BOM[RM_Code]=$A36)*M_BOM[RM_Qty_Per_Batch]*IFERROR(INDEX(PP_Grid[#Data],M_BOM[PPGridRow],11),0))</f>
        <v/>
      </c>
      <c r="L36">
        <f>SUMPRODUCT((M_BOM[RM_Code]=$A36)*M_BOM[RM_Qty_Per_Batch]*IFERROR(INDEX(PP_Grid[#Data],M_BOM[PPGridRow],12),0))</f>
        <v/>
      </c>
      <c r="M36">
        <f>SUMPRODUCT((M_BOM[RM_Code]=$A36)*M_BOM[RM_Qty_Per_Batch]*IFERROR(INDEX(PP_Grid[#Data],M_BOM[PPGridRow],13),0))</f>
        <v/>
      </c>
      <c r="N36">
        <f>SUMPRODUCT((M_BOM[RM_Code]=$A36)*M_BOM[RM_Qty_Per_Batch]*IFERROR(INDEX(PP_Grid[#Data],M_BOM[PPGridRow],14),0))</f>
        <v/>
      </c>
      <c r="O36">
        <f>SUMPRODUCT((M_BOM[RM_Code]=$A36)*M_BOM[RM_Qty_Per_Batch]*IFERROR(INDEX(PP_Grid[#Data],M_BOM[PPGridRow],15),0))</f>
        <v/>
      </c>
      <c r="P36">
        <f>SUMPRODUCT((M_BOM[RM_Code]=$A36)*M_BOM[RM_Qty_Per_Batch]*IFERROR(INDEX(PP_Grid[#Data],M_BOM[PPGridRow],16),0))</f>
        <v/>
      </c>
      <c r="Q36">
        <f>SUMPRODUCT((M_BOM[RM_Code]=$A36)*M_BOM[RM_Qty_Per_Batch]*IFERROR(INDEX(PP_Grid[#Data],M_BOM[PPGridRow],17),0))</f>
        <v/>
      </c>
      <c r="R36">
        <f>SUMPRODUCT((M_BOM[RM_Code]=$A36)*M_BOM[RM_Qty_Per_Batch]*IFERROR(INDEX(PP_Grid[#Data],M_BOM[PPGridRow],18),0))</f>
        <v/>
      </c>
      <c r="S36">
        <f>SUMPRODUCT((M_BOM[RM_Code]=$A36)*M_BOM[RM_Qty_Per_Batch]*IFERROR(INDEX(PP_Grid[#Data],M_BOM[PPGridRow],19),0))</f>
        <v/>
      </c>
      <c r="T36">
        <f>SUMPRODUCT((M_BOM[RM_Code]=$A36)*M_BOM[RM_Qty_Per_Batch]*IFERROR(INDEX(PP_Grid[#Data],M_BOM[PPGridRow],20),0))</f>
        <v/>
      </c>
      <c r="U36">
        <f>SUMPRODUCT((M_BOM[RM_Code]=$A36)*M_BOM[RM_Qty_Per_Batch]*IFERROR(INDEX(PP_Grid[#Data],M_BOM[PPGridRow],21),0))</f>
        <v/>
      </c>
      <c r="V36">
        <f>SUMPRODUCT((M_BOM[RM_Code]=$A36)*M_BOM[RM_Qty_Per_Batch]*IFERROR(INDEX(PP_Grid[#Data],M_BOM[PPGridRow],22),0))</f>
        <v/>
      </c>
      <c r="W36">
        <f>SUMPRODUCT((M_BOM[RM_Code]=$A36)*M_BOM[RM_Qty_Per_Batch]*IFERROR(INDEX(PP_Grid[#Data],M_BOM[PPGridRow],23),0))</f>
        <v/>
      </c>
      <c r="X36">
        <f>SUMPRODUCT((M_BOM[RM_Code]=$A36)*M_BOM[RM_Qty_Per_Batch]*IFERROR(INDEX(PP_Grid[#Data],M_BOM[PPGridRow],24),0))</f>
        <v/>
      </c>
      <c r="Y36">
        <f>SUMPRODUCT((M_BOM[RM_Code]=$A36)*M_BOM[RM_Qty_Per_Batch]*IFERROR(INDEX(PP_Grid[#Data],M_BOM[PPGridRow],25),0))</f>
        <v/>
      </c>
      <c r="Z36">
        <f>SUMPRODUCT((M_BOM[RM_Code]=$A36)*M_BOM[RM_Qty_Per_Batch]*IFERROR(INDEX(PP_Grid[#Data],M_BOM[PPGridRow],26),0))</f>
        <v/>
      </c>
      <c r="AA36">
        <f>SUMPRODUCT((M_BOM[RM_Code]=$A36)*M_BOM[RM_Qty_Per_Batch]*IFERROR(INDEX(PP_Grid[#Data],M_BOM[PPGridRow],27),0))</f>
        <v/>
      </c>
      <c r="AB36">
        <f>SUMPRODUCT((M_BOM[RM_Code]=$A36)*M_BOM[RM_Qty_Per_Batch]*IFERROR(INDEX(PP_Grid[#Data],M_BOM[PPGridRow],28),0))</f>
        <v/>
      </c>
      <c r="AC36">
        <f>SUMPRODUCT((M_BOM[RM_Code]=$A36)*M_BOM[RM_Qty_Per_Batch]*IFERROR(INDEX(PP_Grid[#Data],M_BOM[PPGridRow],29),0))</f>
        <v/>
      </c>
      <c r="AD36">
        <f>SUMPRODUCT((M_BOM[RM_Code]=$A36)*M_BOM[RM_Qty_Per_Batch]*IFERROR(INDEX(PP_Grid[#Data],M_BOM[PPGridRow],30),0))</f>
        <v/>
      </c>
      <c r="AE36">
        <f>SUMPRODUCT((M_BOM[RM_Code]=$A36)*M_BOM[RM_Qty_Per_Batch]*IFERROR(INDEX(PP_Grid[#Data],M_BOM[PPGridRow],31),0))</f>
        <v/>
      </c>
      <c r="AF36">
        <f>SUMPRODUCT((M_BOM[RM_Code]=$A36)*M_BOM[RM_Qty_Per_Batch]*IFERROR(INDEX(PP_Grid[#Data],M_BOM[PPGridRow],32),0))</f>
        <v/>
      </c>
      <c r="AG36">
        <f>SUMPRODUCT((M_BOM[RM_Code]=$A36)*M_BOM[RM_Qty_Per_Batch]*IFERROR(INDEX(PP_Grid[#Data],M_BOM[PPGridRow],33),0))</f>
        <v/>
      </c>
      <c r="AH36">
        <f>SUMPRODUCT((M_BOM[RM_Code]=$A36)*M_BOM[RM_Qty_Per_Batch]*IFERROR(INDEX(PP_Grid[#Data],M_BOM[PPGridRow],34),0))</f>
        <v/>
      </c>
      <c r="AI36">
        <f>SUMPRODUCT((M_BOM[RM_Code]=$A36)*M_BOM[RM_Qty_Per_Batch]*IFERROR(INDEX(PP_Grid[#Data],M_BOM[PPGridRow],35),0))</f>
        <v/>
      </c>
      <c r="AJ36">
        <f>SUMPRODUCT((M_BOM[RM_Code]=$A36)*M_BOM[RM_Qty_Per_Batch]*IFERROR(INDEX(PP_Grid[#Data],M_BOM[PPGridRow],36),0))</f>
        <v/>
      </c>
      <c r="AK36">
        <f>SUMPRODUCT((M_BOM[RM_Code]=$A36)*M_BOM[RM_Qty_Per_Batch]*IFERROR(INDEX(PP_Grid[#Data],M_BOM[PPGridRow],37),0))</f>
        <v/>
      </c>
      <c r="AL36">
        <f>SUMPRODUCT((M_BOM[RM_Code]=$A36)*M_BOM[RM_Qty_Per_Batch]*IFERROR(INDEX(PP_Grid[#Data],M_BOM[PPGridRow],38),0))</f>
        <v/>
      </c>
      <c r="AM36">
        <f>SUMPRODUCT((M_BOM[RM_Code]=$A36)*M_BOM[RM_Qty_Per_Batch]*IFERROR(INDEX(PP_Grid[#Data],M_BOM[PPGridRow],39),0))</f>
        <v/>
      </c>
      <c r="AN36">
        <f>SUMPRODUCT((M_BOM[RM_Code]=$A36)*M_BOM[RM_Qty_Per_Batch]*IFERROR(INDEX(PP_Grid[#Data],M_BOM[PPGridRow],40),0))</f>
        <v/>
      </c>
      <c r="AO36">
        <f>SUMPRODUCT((M_BOM[RM_Code]=$A36)*M_BOM[RM_Qty_Per_Batch]*IFERROR(INDEX(PP_Grid[#Data],M_BOM[PPGridRow],41),0))</f>
        <v/>
      </c>
      <c r="AP36">
        <f>SUMPRODUCT((M_BOM[RM_Code]=$A36)*M_BOM[RM_Qty_Per_Batch]*IFERROR(INDEX(PP_Grid[#Data],M_BOM[PPGridRow],42),0))</f>
        <v/>
      </c>
      <c r="AQ36">
        <f>SUMPRODUCT((M_BOM[RM_Code]=$A36)*M_BOM[RM_Qty_Per_Batch]*IFERROR(INDEX(PP_Grid[#Data],M_BOM[PPGridRow],43),0))</f>
        <v/>
      </c>
      <c r="AR36">
        <f>SUMPRODUCT((M_BOM[RM_Code]=$A36)*M_BOM[RM_Qty_Per_Batch]*IFERROR(INDEX(PP_Grid[#Data],M_BOM[PPGridRow],44),0))</f>
        <v/>
      </c>
      <c r="AS36">
        <f>SUMPRODUCT((M_BOM[RM_Code]=$A36)*M_BOM[RM_Qty_Per_Batch]*IFERROR(INDEX(PP_Grid[#Data],M_BOM[PPGridRow],45),0))</f>
        <v/>
      </c>
      <c r="AT36">
        <f>SUMPRODUCT((M_BOM[RM_Code]=$A36)*M_BOM[RM_Qty_Per_Batch]*IFERROR(INDEX(PP_Grid[#Data],M_BOM[PPGridRow],46),0))</f>
        <v/>
      </c>
      <c r="AU36">
        <f>SUMPRODUCT((M_BOM[RM_Code]=$A36)*M_BOM[RM_Qty_Per_Batch]*IFERROR(INDEX(PP_Grid[#Data],M_BOM[PPGridRow],47),0))</f>
        <v/>
      </c>
      <c r="AV36">
        <f>SUMPRODUCT((M_BOM[RM_Code]=$A36)*M_BOM[RM_Qty_Per_Batch]*IFERROR(INDEX(PP_Grid[#Data],M_BOM[PPGridRow],48),0))</f>
        <v/>
      </c>
      <c r="AW36">
        <f>SUMPRODUCT((M_BOM[RM_Code]=$A36)*M_BOM[RM_Qty_Per_Batch]*IFERROR(INDEX(PP_Grid[#Data],M_BOM[PPGridRow],49),0))</f>
        <v/>
      </c>
      <c r="AX36">
        <f>SUMPRODUCT((M_BOM[RM_Code]=$A36)*M_BOM[RM_Qty_Per_Batch]*IFERROR(INDEX(PP_Grid[#Data],M_BOM[PPGridRow],50),0))</f>
        <v/>
      </c>
      <c r="AY36">
        <f>SUMPRODUCT((M_BOM[RM_Code]=$A36)*M_BOM[RM_Qty_Per_Batch]*IFERROR(INDEX(PP_Grid[#Data],M_BOM[PPGridRow],51),0))</f>
        <v/>
      </c>
      <c r="AZ36">
        <f>SUMPRODUCT((M_BOM[RM_Code]=$A36)*M_BOM[RM_Qty_Per_Batch]*IFERROR(INDEX(PP_Grid[#Data],M_BOM[PPGridRow],52),0))</f>
        <v/>
      </c>
      <c r="BA36">
        <f>SUMPRODUCT((M_BOM[RM_Code]=$A36)*M_BOM[RM_Qty_Per_Batch]*IFERROR(INDEX(PP_Grid[#Data],M_BOM[PPGridRow],53),0))</f>
        <v/>
      </c>
      <c r="BB36">
        <f>SUMPRODUCT((M_BOM[RM_Code]=$A36)*M_BOM[RM_Qty_Per_Batch]*IFERROR(INDEX(PP_Grid[#Data],M_BOM[PPGridRow],54),0))</f>
        <v/>
      </c>
      <c r="BC36">
        <f>SUMPRODUCT((M_BOM[RM_Code]=$A36)*M_BOM[RM_Qty_Per_Batch]*IFERROR(INDEX(PP_Grid[#Data],M_BOM[PPGridRow],55),0))</f>
        <v/>
      </c>
      <c r="BD36">
        <f>SUMPRODUCT((M_BOM[RM_Code]=$A36)*M_BOM[RM_Qty_Per_Batch]*IFERROR(INDEX(PP_Grid[#Data],M_BOM[PPGridRow],56),0))</f>
        <v/>
      </c>
      <c r="BE36">
        <f>SUMPRODUCT((M_BOM[RM_Code]=$A36)*M_BOM[RM_Qty_Per_Batch]*IFERROR(INDEX(PP_Grid[#Data],M_BOM[PPGridRow],57),0))</f>
        <v/>
      </c>
      <c r="BF36">
        <f>SUMPRODUCT((M_BOM[RM_Code]=$A36)*M_BOM[RM_Qty_Per_Batch]*IFERROR(INDEX(PP_Grid[#Data],M_BOM[PPGridRow],58),0))</f>
        <v/>
      </c>
      <c r="BG36">
        <f>SUMPRODUCT((M_BOM[RM_Code]=$A36)*M_BOM[RM_Qty_Per_Batch]*IFERROR(INDEX(PP_Grid[#Data],M_BOM[PPGridRow],59),0))</f>
        <v/>
      </c>
      <c r="BH36">
        <f>SUMPRODUCT((M_BOM[RM_Code]=$A36)*M_BOM[RM_Qty_Per_Batch]*IFERROR(INDEX(PP_Grid[#Data],M_BOM[PPGridRow],60),0))</f>
        <v/>
      </c>
      <c r="BI36">
        <f>SUMPRODUCT((M_BOM[RM_Code]=$A36)*M_BOM[RM_Qty_Per_Batch]*IFERROR(INDEX(PP_Grid[#Data],M_BOM[PPGridRow],61),0))</f>
        <v/>
      </c>
      <c r="BJ36">
        <f>SUMPRODUCT((M_BOM[RM_Code]=$A36)*M_BOM[RM_Qty_Per_Batch]*IFERROR(INDEX(PP_Grid[#Data],M_BOM[PPGridRow],62),0))</f>
        <v/>
      </c>
      <c r="BK36">
        <f>SUMPRODUCT((M_BOM[RM_Code]=$A36)*M_BOM[RM_Qty_Per_Batch]*IFERROR(INDEX(PP_Grid[#Data],M_BOM[PPGridRow],63),0))</f>
        <v/>
      </c>
      <c r="BL36">
        <f>SUMPRODUCT((M_BOM[RM_Code]=$A36)*M_BOM[RM_Qty_Per_Batch]*IFERROR(INDEX(PP_Grid[#Data],M_BOM[PPGridRow],64),0))</f>
        <v/>
      </c>
      <c r="BM36">
        <f>SUMPRODUCT((M_BOM[RM_Code]=$A36)*M_BOM[RM_Qty_Per_Batch]*IFERROR(INDEX(PP_Grid[#Data],M_BOM[PPGridRow],65),0))</f>
        <v/>
      </c>
      <c r="BN36">
        <f>SUMPRODUCT((M_BOM[RM_Code]=$A36)*M_BOM[RM_Qty_Per_Batch]*IFERROR(INDEX(PP_Grid[#Data],M_BOM[PPGridRow],66),0))</f>
        <v/>
      </c>
      <c r="BO36">
        <f>SUMPRODUCT((M_BOM[RM_Code]=$A36)*M_BOM[RM_Qty_Per_Batch]*IFERROR(INDEX(PP_Grid[#Data],M_BOM[PPGridRow],67),0))</f>
        <v/>
      </c>
      <c r="BP36">
        <f>SUMPRODUCT((M_BOM[RM_Code]=$A36)*M_BOM[RM_Qty_Per_Batch]*IFERROR(INDEX(PP_Grid[#Data],M_BOM[PPGridRow],68),0))</f>
        <v/>
      </c>
      <c r="BQ36">
        <f>SUMPRODUCT((M_BOM[RM_Code]=$A36)*M_BOM[RM_Qty_Per_Batch]*IFERROR(INDEX(PP_Grid[#Data],M_BOM[PPGridRow],69),0))</f>
        <v/>
      </c>
      <c r="BR36">
        <f>SUMPRODUCT((M_BOM[RM_Code]=$A36)*M_BOM[RM_Qty_Per_Batch]*IFERROR(INDEX(PP_Grid[#Data],M_BOM[PPGridRow],70),0))</f>
        <v/>
      </c>
      <c r="BS36">
        <f>SUMPRODUCT((M_BOM[RM_Code]=$A36)*M_BOM[RM_Qty_Per_Batch]*IFERROR(INDEX(PP_Grid[#Data],M_BOM[PPGridRow],71),0))</f>
        <v/>
      </c>
      <c r="BT36">
        <f>SUMPRODUCT((M_BOM[RM_Code]=$A36)*M_BOM[RM_Qty_Per_Batch]*IFERROR(INDEX(PP_Grid[#Data],M_BOM[PPGridRow],72),0))</f>
        <v/>
      </c>
      <c r="BU36">
        <f>SUMPRODUCT((M_BOM[RM_Code]=$A36)*M_BOM[RM_Qty_Per_Batch]*IFERROR(INDEX(PP_Grid[#Data],M_BOM[PPGridRow],73),0))</f>
        <v/>
      </c>
      <c r="BV36">
        <f>SUMPRODUCT((M_BOM[RM_Code]=$A36)*M_BOM[RM_Qty_Per_Batch]*IFERROR(INDEX(PP_Grid[#Data],M_BOM[PPGridRow],74),0))</f>
        <v/>
      </c>
      <c r="BW36">
        <f>SUMPRODUCT((M_BOM[RM_Code]=$A36)*M_BOM[RM_Qty_Per_Batch]*IFERROR(INDEX(PP_Grid[#Data],M_BOM[PPGridRow],75),0))</f>
        <v/>
      </c>
      <c r="BX36">
        <f>SUMPRODUCT((M_BOM[RM_Code]=$A36)*M_BOM[RM_Qty_Per_Batch]*IFERROR(INDEX(PP_Grid[#Data],M_BOM[PPGridRow],76),0))</f>
        <v/>
      </c>
      <c r="BY36">
        <f>SUMPRODUCT((M_BOM[RM_Code]=$A36)*M_BOM[RM_Qty_Per_Batch]*IFERROR(INDEX(PP_Grid[#Data],M_BOM[PPGridRow],77),0))</f>
        <v/>
      </c>
      <c r="BZ36">
        <f>SUMPRODUCT((M_BOM[RM_Code]=$A36)*M_BOM[RM_Qty_Per_Batch]*IFERROR(INDEX(PP_Grid[#Data],M_BOM[PPGridRow],78),0))</f>
        <v/>
      </c>
      <c r="CA36">
        <f>SUMPRODUCT((M_BOM[RM_Code]=$A36)*M_BOM[RM_Qty_Per_Batch]*IFERROR(INDEX(PP_Grid[#Data],M_BOM[PPGridRow],79),0))</f>
        <v/>
      </c>
      <c r="CB36">
        <f>SUMPRODUCT((M_BOM[RM_Code]=$A36)*M_BOM[RM_Qty_Per_Batch]*IFERROR(INDEX(PP_Grid[#Data],M_BOM[PPGridRow],80),0))</f>
        <v/>
      </c>
      <c r="CC36">
        <f>SUMPRODUCT((M_BOM[RM_Code]=$A36)*M_BOM[RM_Qty_Per_Batch]*IFERROR(INDEX(PP_Grid[#Data],M_BOM[PPGridRow],81),0))</f>
        <v/>
      </c>
      <c r="CD36">
        <f>SUMPRODUCT((M_BOM[RM_Code]=$A36)*M_BOM[RM_Qty_Per_Batch]*IFERROR(INDEX(PP_Grid[#Data],M_BOM[PPGridRow],82),0))</f>
        <v/>
      </c>
      <c r="CE36">
        <f>SUMPRODUCT((M_BOM[RM_Code]=$A36)*M_BOM[RM_Qty_Per_Batch]*IFERROR(INDEX(PP_Grid[#Data],M_BOM[PPGridRow],83),0))</f>
        <v/>
      </c>
      <c r="CF36">
        <f>SUMPRODUCT((M_BOM[RM_Code]=$A36)*M_BOM[RM_Qty_Per_Batch]*IFERROR(INDEX(PP_Grid[#Data],M_BOM[PPGridRow],84),0))</f>
        <v/>
      </c>
      <c r="CG36">
        <f>SUMPRODUCT((M_BOM[RM_Code]=$A36)*M_BOM[RM_Qty_Per_Batch]*IFERROR(INDEX(PP_Grid[#Data],M_BOM[PPGridRow],85),0))</f>
        <v/>
      </c>
      <c r="CH36">
        <f>SUMPRODUCT((M_BOM[RM_Code]=$A36)*M_BOM[RM_Qty_Per_Batch]*IFERROR(INDEX(PP_Grid[#Data],M_BOM[PPGridRow],86),0))</f>
        <v/>
      </c>
      <c r="CI36">
        <f>SUMPRODUCT((M_BOM[RM_Code]=$A36)*M_BOM[RM_Qty_Per_Batch]*IFERROR(INDEX(PP_Grid[#Data],M_BOM[PPGridRow],87),0))</f>
        <v/>
      </c>
      <c r="CJ36">
        <f>SUMPRODUCT((M_BOM[RM_Code]=$A36)*M_BOM[RM_Qty_Per_Batch]*IFERROR(INDEX(PP_Grid[#Data],M_BOM[PPGridRow],88),0))</f>
        <v/>
      </c>
      <c r="CK36">
        <f>SUMPRODUCT((M_BOM[RM_Code]=$A36)*M_BOM[RM_Qty_Per_Batch]*IFERROR(INDEX(PP_Grid[#Data],M_BOM[PPGridRow],89),0))</f>
        <v/>
      </c>
      <c r="CL36">
        <f>SUMPRODUCT((M_BOM[RM_Code]=$A36)*M_BOM[RM_Qty_Per_Batch]*IFERROR(INDEX(PP_Grid[#Data],M_BOM[PPGridRow],90),0))</f>
        <v/>
      </c>
      <c r="CM36">
        <f>SUMPRODUCT((M_BOM[RM_Code]=$A36)*M_BOM[RM_Qty_Per_Batch]*IFERROR(INDEX(PP_Grid[#Data],M_BOM[PPGridRow],91),0))</f>
        <v/>
      </c>
      <c r="CN36">
        <f>SUMPRODUCT((M_BOM[RM_Code]=$A36)*M_BOM[RM_Qty_Per_Batch]*IFERROR(INDEX(PP_Grid[#Data],M_BOM[PPGridRow],92),0))</f>
        <v/>
      </c>
      <c r="CO36">
        <f>SUMPRODUCT((M_BOM[RM_Code]=$A36)*M_BOM[RM_Qty_Per_Batch]*IFERROR(INDEX(PP_Grid[#Data],M_BOM[PPGridRow],93),0))</f>
        <v/>
      </c>
      <c r="CP36">
        <f>SUMPRODUCT((M_BOM[RM_Code]=$A36)*M_BOM[RM_Qty_Per_Batch]*IFERROR(INDEX(PP_Grid[#Data],M_BOM[PPGridRow],94),0))</f>
        <v/>
      </c>
      <c r="CQ36">
        <f>SUMPRODUCT((M_BOM[RM_Code]=$A36)*M_BOM[RM_Qty_Per_Batch]*IFERROR(INDEX(PP_Grid[#Data],M_BOM[PPGridRow],95),0))</f>
        <v/>
      </c>
      <c r="CR36">
        <f>SUMPRODUCT((M_BOM[RM_Code]=$A36)*M_BOM[RM_Qty_Per_Batch]*IFERROR(INDEX(PP_Grid[#Data],M_BOM[PPGridRow],96),0))</f>
        <v/>
      </c>
      <c r="CS36">
        <f>SUMPRODUCT((M_BOM[RM_Code]=$A36)*M_BOM[RM_Qty_Per_Batch]*IFERROR(INDEX(PP_Grid[#Data],M_BOM[PPGridRow],97),0))</f>
        <v/>
      </c>
      <c r="CT36">
        <f>SUMPRODUCT((M_BOM[RM_Code]=$A36)*M_BOM[RM_Qty_Per_Batch]*IFERROR(INDEX(PP_Grid[#Data],M_BOM[PPGridRow],98),0))</f>
        <v/>
      </c>
      <c r="CU36">
        <f>SUMPRODUCT((M_BOM[RM_Code]=$A36)*M_BOM[RM_Qty_Per_Batch]*IFERROR(INDEX(PP_Grid[#Data],M_BOM[PPGridRow],99),0))</f>
        <v/>
      </c>
      <c r="CV36">
        <f>SUMPRODUCT((M_BOM[RM_Code]=$A36)*M_BOM[RM_Qty_Per_Batch]*IFERROR(INDEX(PP_Grid[#Data],M_BOM[PPGridRow],100),0))</f>
        <v/>
      </c>
      <c r="CW36">
        <f>SUMPRODUCT((M_BOM[RM_Code]=$A36)*M_BOM[RM_Qty_Per_Batch]*IFERROR(INDEX(PP_Grid[#Data],M_BOM[PPGridRow],101),0))</f>
        <v/>
      </c>
      <c r="CX36">
        <f>SUMPRODUCT((M_BOM[RM_Code]=$A36)*M_BOM[RM_Qty_Per_Batch]*IFERROR(INDEX(PP_Grid[#Data],M_BOM[PPGridRow],102),0))</f>
        <v/>
      </c>
      <c r="CY36">
        <f>SUMPRODUCT((M_BOM[RM_Code]=$A36)*M_BOM[RM_Qty_Per_Batch]*IFERROR(INDEX(PP_Grid[#Data],M_BOM[PPGridRow],103),0))</f>
        <v/>
      </c>
      <c r="CZ36">
        <f>SUMPRODUCT((M_BOM[RM_Code]=$A36)*M_BOM[RM_Qty_Per_Batch]*IFERROR(INDEX(PP_Grid[#Data],M_BOM[PPGridRow],104),0))</f>
        <v/>
      </c>
      <c r="DA36">
        <f>SUMPRODUCT((M_BOM[RM_Code]=$A36)*M_BOM[RM_Qty_Per_Batch]*IFERROR(INDEX(PP_Grid[#Data],M_BOM[PPGridRow],105),0))</f>
        <v/>
      </c>
    </row>
    <row r="37">
      <c r="A37" t="inlineStr">
        <is>
          <t>CHEM-1680</t>
        </is>
      </c>
      <c r="B37">
        <f>SUMPRODUCT((M_BOM[RM_Code]=$A37)*M_BOM[RM_Qty_Per_Batch]*IFERROR(INDEX(PP_Grid[#Data],M_BOM[PPGridRow],2),0))</f>
        <v/>
      </c>
      <c r="C37">
        <f>SUMPRODUCT((M_BOM[RM_Code]=$A37)*M_BOM[RM_Qty_Per_Batch]*IFERROR(INDEX(PP_Grid[#Data],M_BOM[PPGridRow],3),0))</f>
        <v/>
      </c>
      <c r="D37">
        <f>SUMPRODUCT((M_BOM[RM_Code]=$A37)*M_BOM[RM_Qty_Per_Batch]*IFERROR(INDEX(PP_Grid[#Data],M_BOM[PPGridRow],4),0))</f>
        <v/>
      </c>
      <c r="E37">
        <f>SUMPRODUCT((M_BOM[RM_Code]=$A37)*M_BOM[RM_Qty_Per_Batch]*IFERROR(INDEX(PP_Grid[#Data],M_BOM[PPGridRow],5),0))</f>
        <v/>
      </c>
      <c r="F37">
        <f>SUMPRODUCT((M_BOM[RM_Code]=$A37)*M_BOM[RM_Qty_Per_Batch]*IFERROR(INDEX(PP_Grid[#Data],M_BOM[PPGridRow],6),0))</f>
        <v/>
      </c>
      <c r="G37">
        <f>SUMPRODUCT((M_BOM[RM_Code]=$A37)*M_BOM[RM_Qty_Per_Batch]*IFERROR(INDEX(PP_Grid[#Data],M_BOM[PPGridRow],7),0))</f>
        <v/>
      </c>
      <c r="H37">
        <f>SUMPRODUCT((M_BOM[RM_Code]=$A37)*M_BOM[RM_Qty_Per_Batch]*IFERROR(INDEX(PP_Grid[#Data],M_BOM[PPGridRow],8),0))</f>
        <v/>
      </c>
      <c r="I37">
        <f>SUMPRODUCT((M_BOM[RM_Code]=$A37)*M_BOM[RM_Qty_Per_Batch]*IFERROR(INDEX(PP_Grid[#Data],M_BOM[PPGridRow],9),0))</f>
        <v/>
      </c>
      <c r="J37">
        <f>SUMPRODUCT((M_BOM[RM_Code]=$A37)*M_BOM[RM_Qty_Per_Batch]*IFERROR(INDEX(PP_Grid[#Data],M_BOM[PPGridRow],10),0))</f>
        <v/>
      </c>
      <c r="K37">
        <f>SUMPRODUCT((M_BOM[RM_Code]=$A37)*M_BOM[RM_Qty_Per_Batch]*IFERROR(INDEX(PP_Grid[#Data],M_BOM[PPGridRow],11),0))</f>
        <v/>
      </c>
      <c r="L37">
        <f>SUMPRODUCT((M_BOM[RM_Code]=$A37)*M_BOM[RM_Qty_Per_Batch]*IFERROR(INDEX(PP_Grid[#Data],M_BOM[PPGridRow],12),0))</f>
        <v/>
      </c>
      <c r="M37">
        <f>SUMPRODUCT((M_BOM[RM_Code]=$A37)*M_BOM[RM_Qty_Per_Batch]*IFERROR(INDEX(PP_Grid[#Data],M_BOM[PPGridRow],13),0))</f>
        <v/>
      </c>
      <c r="N37">
        <f>SUMPRODUCT((M_BOM[RM_Code]=$A37)*M_BOM[RM_Qty_Per_Batch]*IFERROR(INDEX(PP_Grid[#Data],M_BOM[PPGridRow],14),0))</f>
        <v/>
      </c>
      <c r="O37">
        <f>SUMPRODUCT((M_BOM[RM_Code]=$A37)*M_BOM[RM_Qty_Per_Batch]*IFERROR(INDEX(PP_Grid[#Data],M_BOM[PPGridRow],15),0))</f>
        <v/>
      </c>
      <c r="P37">
        <f>SUMPRODUCT((M_BOM[RM_Code]=$A37)*M_BOM[RM_Qty_Per_Batch]*IFERROR(INDEX(PP_Grid[#Data],M_BOM[PPGridRow],16),0))</f>
        <v/>
      </c>
      <c r="Q37">
        <f>SUMPRODUCT((M_BOM[RM_Code]=$A37)*M_BOM[RM_Qty_Per_Batch]*IFERROR(INDEX(PP_Grid[#Data],M_BOM[PPGridRow],17),0))</f>
        <v/>
      </c>
      <c r="R37">
        <f>SUMPRODUCT((M_BOM[RM_Code]=$A37)*M_BOM[RM_Qty_Per_Batch]*IFERROR(INDEX(PP_Grid[#Data],M_BOM[PPGridRow],18),0))</f>
        <v/>
      </c>
      <c r="S37">
        <f>SUMPRODUCT((M_BOM[RM_Code]=$A37)*M_BOM[RM_Qty_Per_Batch]*IFERROR(INDEX(PP_Grid[#Data],M_BOM[PPGridRow],19),0))</f>
        <v/>
      </c>
      <c r="T37">
        <f>SUMPRODUCT((M_BOM[RM_Code]=$A37)*M_BOM[RM_Qty_Per_Batch]*IFERROR(INDEX(PP_Grid[#Data],M_BOM[PPGridRow],20),0))</f>
        <v/>
      </c>
      <c r="U37">
        <f>SUMPRODUCT((M_BOM[RM_Code]=$A37)*M_BOM[RM_Qty_Per_Batch]*IFERROR(INDEX(PP_Grid[#Data],M_BOM[PPGridRow],21),0))</f>
        <v/>
      </c>
      <c r="V37">
        <f>SUMPRODUCT((M_BOM[RM_Code]=$A37)*M_BOM[RM_Qty_Per_Batch]*IFERROR(INDEX(PP_Grid[#Data],M_BOM[PPGridRow],22),0))</f>
        <v/>
      </c>
      <c r="W37">
        <f>SUMPRODUCT((M_BOM[RM_Code]=$A37)*M_BOM[RM_Qty_Per_Batch]*IFERROR(INDEX(PP_Grid[#Data],M_BOM[PPGridRow],23),0))</f>
        <v/>
      </c>
      <c r="X37">
        <f>SUMPRODUCT((M_BOM[RM_Code]=$A37)*M_BOM[RM_Qty_Per_Batch]*IFERROR(INDEX(PP_Grid[#Data],M_BOM[PPGridRow],24),0))</f>
        <v/>
      </c>
      <c r="Y37">
        <f>SUMPRODUCT((M_BOM[RM_Code]=$A37)*M_BOM[RM_Qty_Per_Batch]*IFERROR(INDEX(PP_Grid[#Data],M_BOM[PPGridRow],25),0))</f>
        <v/>
      </c>
      <c r="Z37">
        <f>SUMPRODUCT((M_BOM[RM_Code]=$A37)*M_BOM[RM_Qty_Per_Batch]*IFERROR(INDEX(PP_Grid[#Data],M_BOM[PPGridRow],26),0))</f>
        <v/>
      </c>
      <c r="AA37">
        <f>SUMPRODUCT((M_BOM[RM_Code]=$A37)*M_BOM[RM_Qty_Per_Batch]*IFERROR(INDEX(PP_Grid[#Data],M_BOM[PPGridRow],27),0))</f>
        <v/>
      </c>
      <c r="AB37">
        <f>SUMPRODUCT((M_BOM[RM_Code]=$A37)*M_BOM[RM_Qty_Per_Batch]*IFERROR(INDEX(PP_Grid[#Data],M_BOM[PPGridRow],28),0))</f>
        <v/>
      </c>
      <c r="AC37">
        <f>SUMPRODUCT((M_BOM[RM_Code]=$A37)*M_BOM[RM_Qty_Per_Batch]*IFERROR(INDEX(PP_Grid[#Data],M_BOM[PPGridRow],29),0))</f>
        <v/>
      </c>
      <c r="AD37">
        <f>SUMPRODUCT((M_BOM[RM_Code]=$A37)*M_BOM[RM_Qty_Per_Batch]*IFERROR(INDEX(PP_Grid[#Data],M_BOM[PPGridRow],30),0))</f>
        <v/>
      </c>
      <c r="AE37">
        <f>SUMPRODUCT((M_BOM[RM_Code]=$A37)*M_BOM[RM_Qty_Per_Batch]*IFERROR(INDEX(PP_Grid[#Data],M_BOM[PPGridRow],31),0))</f>
        <v/>
      </c>
      <c r="AF37">
        <f>SUMPRODUCT((M_BOM[RM_Code]=$A37)*M_BOM[RM_Qty_Per_Batch]*IFERROR(INDEX(PP_Grid[#Data],M_BOM[PPGridRow],32),0))</f>
        <v/>
      </c>
      <c r="AG37">
        <f>SUMPRODUCT((M_BOM[RM_Code]=$A37)*M_BOM[RM_Qty_Per_Batch]*IFERROR(INDEX(PP_Grid[#Data],M_BOM[PPGridRow],33),0))</f>
        <v/>
      </c>
      <c r="AH37">
        <f>SUMPRODUCT((M_BOM[RM_Code]=$A37)*M_BOM[RM_Qty_Per_Batch]*IFERROR(INDEX(PP_Grid[#Data],M_BOM[PPGridRow],34),0))</f>
        <v/>
      </c>
      <c r="AI37">
        <f>SUMPRODUCT((M_BOM[RM_Code]=$A37)*M_BOM[RM_Qty_Per_Batch]*IFERROR(INDEX(PP_Grid[#Data],M_BOM[PPGridRow],35),0))</f>
        <v/>
      </c>
      <c r="AJ37">
        <f>SUMPRODUCT((M_BOM[RM_Code]=$A37)*M_BOM[RM_Qty_Per_Batch]*IFERROR(INDEX(PP_Grid[#Data],M_BOM[PPGridRow],36),0))</f>
        <v/>
      </c>
      <c r="AK37">
        <f>SUMPRODUCT((M_BOM[RM_Code]=$A37)*M_BOM[RM_Qty_Per_Batch]*IFERROR(INDEX(PP_Grid[#Data],M_BOM[PPGridRow],37),0))</f>
        <v/>
      </c>
      <c r="AL37">
        <f>SUMPRODUCT((M_BOM[RM_Code]=$A37)*M_BOM[RM_Qty_Per_Batch]*IFERROR(INDEX(PP_Grid[#Data],M_BOM[PPGridRow],38),0))</f>
        <v/>
      </c>
      <c r="AM37">
        <f>SUMPRODUCT((M_BOM[RM_Code]=$A37)*M_BOM[RM_Qty_Per_Batch]*IFERROR(INDEX(PP_Grid[#Data],M_BOM[PPGridRow],39),0))</f>
        <v/>
      </c>
      <c r="AN37">
        <f>SUMPRODUCT((M_BOM[RM_Code]=$A37)*M_BOM[RM_Qty_Per_Batch]*IFERROR(INDEX(PP_Grid[#Data],M_BOM[PPGridRow],40),0))</f>
        <v/>
      </c>
      <c r="AO37">
        <f>SUMPRODUCT((M_BOM[RM_Code]=$A37)*M_BOM[RM_Qty_Per_Batch]*IFERROR(INDEX(PP_Grid[#Data],M_BOM[PPGridRow],41),0))</f>
        <v/>
      </c>
      <c r="AP37">
        <f>SUMPRODUCT((M_BOM[RM_Code]=$A37)*M_BOM[RM_Qty_Per_Batch]*IFERROR(INDEX(PP_Grid[#Data],M_BOM[PPGridRow],42),0))</f>
        <v/>
      </c>
      <c r="AQ37">
        <f>SUMPRODUCT((M_BOM[RM_Code]=$A37)*M_BOM[RM_Qty_Per_Batch]*IFERROR(INDEX(PP_Grid[#Data],M_BOM[PPGridRow],43),0))</f>
        <v/>
      </c>
      <c r="AR37">
        <f>SUMPRODUCT((M_BOM[RM_Code]=$A37)*M_BOM[RM_Qty_Per_Batch]*IFERROR(INDEX(PP_Grid[#Data],M_BOM[PPGridRow],44),0))</f>
        <v/>
      </c>
      <c r="AS37">
        <f>SUMPRODUCT((M_BOM[RM_Code]=$A37)*M_BOM[RM_Qty_Per_Batch]*IFERROR(INDEX(PP_Grid[#Data],M_BOM[PPGridRow],45),0))</f>
        <v/>
      </c>
      <c r="AT37">
        <f>SUMPRODUCT((M_BOM[RM_Code]=$A37)*M_BOM[RM_Qty_Per_Batch]*IFERROR(INDEX(PP_Grid[#Data],M_BOM[PPGridRow],46),0))</f>
        <v/>
      </c>
      <c r="AU37">
        <f>SUMPRODUCT((M_BOM[RM_Code]=$A37)*M_BOM[RM_Qty_Per_Batch]*IFERROR(INDEX(PP_Grid[#Data],M_BOM[PPGridRow],47),0))</f>
        <v/>
      </c>
      <c r="AV37">
        <f>SUMPRODUCT((M_BOM[RM_Code]=$A37)*M_BOM[RM_Qty_Per_Batch]*IFERROR(INDEX(PP_Grid[#Data],M_BOM[PPGridRow],48),0))</f>
        <v/>
      </c>
      <c r="AW37">
        <f>SUMPRODUCT((M_BOM[RM_Code]=$A37)*M_BOM[RM_Qty_Per_Batch]*IFERROR(INDEX(PP_Grid[#Data],M_BOM[PPGridRow],49),0))</f>
        <v/>
      </c>
      <c r="AX37">
        <f>SUMPRODUCT((M_BOM[RM_Code]=$A37)*M_BOM[RM_Qty_Per_Batch]*IFERROR(INDEX(PP_Grid[#Data],M_BOM[PPGridRow],50),0))</f>
        <v/>
      </c>
      <c r="AY37">
        <f>SUMPRODUCT((M_BOM[RM_Code]=$A37)*M_BOM[RM_Qty_Per_Batch]*IFERROR(INDEX(PP_Grid[#Data],M_BOM[PPGridRow],51),0))</f>
        <v/>
      </c>
      <c r="AZ37">
        <f>SUMPRODUCT((M_BOM[RM_Code]=$A37)*M_BOM[RM_Qty_Per_Batch]*IFERROR(INDEX(PP_Grid[#Data],M_BOM[PPGridRow],52),0))</f>
        <v/>
      </c>
      <c r="BA37">
        <f>SUMPRODUCT((M_BOM[RM_Code]=$A37)*M_BOM[RM_Qty_Per_Batch]*IFERROR(INDEX(PP_Grid[#Data],M_BOM[PPGridRow],53),0))</f>
        <v/>
      </c>
      <c r="BB37">
        <f>SUMPRODUCT((M_BOM[RM_Code]=$A37)*M_BOM[RM_Qty_Per_Batch]*IFERROR(INDEX(PP_Grid[#Data],M_BOM[PPGridRow],54),0))</f>
        <v/>
      </c>
      <c r="BC37">
        <f>SUMPRODUCT((M_BOM[RM_Code]=$A37)*M_BOM[RM_Qty_Per_Batch]*IFERROR(INDEX(PP_Grid[#Data],M_BOM[PPGridRow],55),0))</f>
        <v/>
      </c>
      <c r="BD37">
        <f>SUMPRODUCT((M_BOM[RM_Code]=$A37)*M_BOM[RM_Qty_Per_Batch]*IFERROR(INDEX(PP_Grid[#Data],M_BOM[PPGridRow],56),0))</f>
        <v/>
      </c>
      <c r="BE37">
        <f>SUMPRODUCT((M_BOM[RM_Code]=$A37)*M_BOM[RM_Qty_Per_Batch]*IFERROR(INDEX(PP_Grid[#Data],M_BOM[PPGridRow],57),0))</f>
        <v/>
      </c>
      <c r="BF37">
        <f>SUMPRODUCT((M_BOM[RM_Code]=$A37)*M_BOM[RM_Qty_Per_Batch]*IFERROR(INDEX(PP_Grid[#Data],M_BOM[PPGridRow],58),0))</f>
        <v/>
      </c>
      <c r="BG37">
        <f>SUMPRODUCT((M_BOM[RM_Code]=$A37)*M_BOM[RM_Qty_Per_Batch]*IFERROR(INDEX(PP_Grid[#Data],M_BOM[PPGridRow],59),0))</f>
        <v/>
      </c>
      <c r="BH37">
        <f>SUMPRODUCT((M_BOM[RM_Code]=$A37)*M_BOM[RM_Qty_Per_Batch]*IFERROR(INDEX(PP_Grid[#Data],M_BOM[PPGridRow],60),0))</f>
        <v/>
      </c>
      <c r="BI37">
        <f>SUMPRODUCT((M_BOM[RM_Code]=$A37)*M_BOM[RM_Qty_Per_Batch]*IFERROR(INDEX(PP_Grid[#Data],M_BOM[PPGridRow],61),0))</f>
        <v/>
      </c>
      <c r="BJ37">
        <f>SUMPRODUCT((M_BOM[RM_Code]=$A37)*M_BOM[RM_Qty_Per_Batch]*IFERROR(INDEX(PP_Grid[#Data],M_BOM[PPGridRow],62),0))</f>
        <v/>
      </c>
      <c r="BK37">
        <f>SUMPRODUCT((M_BOM[RM_Code]=$A37)*M_BOM[RM_Qty_Per_Batch]*IFERROR(INDEX(PP_Grid[#Data],M_BOM[PPGridRow],63),0))</f>
        <v/>
      </c>
      <c r="BL37">
        <f>SUMPRODUCT((M_BOM[RM_Code]=$A37)*M_BOM[RM_Qty_Per_Batch]*IFERROR(INDEX(PP_Grid[#Data],M_BOM[PPGridRow],64),0))</f>
        <v/>
      </c>
      <c r="BM37">
        <f>SUMPRODUCT((M_BOM[RM_Code]=$A37)*M_BOM[RM_Qty_Per_Batch]*IFERROR(INDEX(PP_Grid[#Data],M_BOM[PPGridRow],65),0))</f>
        <v/>
      </c>
      <c r="BN37">
        <f>SUMPRODUCT((M_BOM[RM_Code]=$A37)*M_BOM[RM_Qty_Per_Batch]*IFERROR(INDEX(PP_Grid[#Data],M_BOM[PPGridRow],66),0))</f>
        <v/>
      </c>
      <c r="BO37">
        <f>SUMPRODUCT((M_BOM[RM_Code]=$A37)*M_BOM[RM_Qty_Per_Batch]*IFERROR(INDEX(PP_Grid[#Data],M_BOM[PPGridRow],67),0))</f>
        <v/>
      </c>
      <c r="BP37">
        <f>SUMPRODUCT((M_BOM[RM_Code]=$A37)*M_BOM[RM_Qty_Per_Batch]*IFERROR(INDEX(PP_Grid[#Data],M_BOM[PPGridRow],68),0))</f>
        <v/>
      </c>
      <c r="BQ37">
        <f>SUMPRODUCT((M_BOM[RM_Code]=$A37)*M_BOM[RM_Qty_Per_Batch]*IFERROR(INDEX(PP_Grid[#Data],M_BOM[PPGridRow],69),0))</f>
        <v/>
      </c>
      <c r="BR37">
        <f>SUMPRODUCT((M_BOM[RM_Code]=$A37)*M_BOM[RM_Qty_Per_Batch]*IFERROR(INDEX(PP_Grid[#Data],M_BOM[PPGridRow],70),0))</f>
        <v/>
      </c>
      <c r="BS37">
        <f>SUMPRODUCT((M_BOM[RM_Code]=$A37)*M_BOM[RM_Qty_Per_Batch]*IFERROR(INDEX(PP_Grid[#Data],M_BOM[PPGridRow],71),0))</f>
        <v/>
      </c>
      <c r="BT37">
        <f>SUMPRODUCT((M_BOM[RM_Code]=$A37)*M_BOM[RM_Qty_Per_Batch]*IFERROR(INDEX(PP_Grid[#Data],M_BOM[PPGridRow],72),0))</f>
        <v/>
      </c>
      <c r="BU37">
        <f>SUMPRODUCT((M_BOM[RM_Code]=$A37)*M_BOM[RM_Qty_Per_Batch]*IFERROR(INDEX(PP_Grid[#Data],M_BOM[PPGridRow],73),0))</f>
        <v/>
      </c>
      <c r="BV37">
        <f>SUMPRODUCT((M_BOM[RM_Code]=$A37)*M_BOM[RM_Qty_Per_Batch]*IFERROR(INDEX(PP_Grid[#Data],M_BOM[PPGridRow],74),0))</f>
        <v/>
      </c>
      <c r="BW37">
        <f>SUMPRODUCT((M_BOM[RM_Code]=$A37)*M_BOM[RM_Qty_Per_Batch]*IFERROR(INDEX(PP_Grid[#Data],M_BOM[PPGridRow],75),0))</f>
        <v/>
      </c>
      <c r="BX37">
        <f>SUMPRODUCT((M_BOM[RM_Code]=$A37)*M_BOM[RM_Qty_Per_Batch]*IFERROR(INDEX(PP_Grid[#Data],M_BOM[PPGridRow],76),0))</f>
        <v/>
      </c>
      <c r="BY37">
        <f>SUMPRODUCT((M_BOM[RM_Code]=$A37)*M_BOM[RM_Qty_Per_Batch]*IFERROR(INDEX(PP_Grid[#Data],M_BOM[PPGridRow],77),0))</f>
        <v/>
      </c>
      <c r="BZ37">
        <f>SUMPRODUCT((M_BOM[RM_Code]=$A37)*M_BOM[RM_Qty_Per_Batch]*IFERROR(INDEX(PP_Grid[#Data],M_BOM[PPGridRow],78),0))</f>
        <v/>
      </c>
      <c r="CA37">
        <f>SUMPRODUCT((M_BOM[RM_Code]=$A37)*M_BOM[RM_Qty_Per_Batch]*IFERROR(INDEX(PP_Grid[#Data],M_BOM[PPGridRow],79),0))</f>
        <v/>
      </c>
      <c r="CB37">
        <f>SUMPRODUCT((M_BOM[RM_Code]=$A37)*M_BOM[RM_Qty_Per_Batch]*IFERROR(INDEX(PP_Grid[#Data],M_BOM[PPGridRow],80),0))</f>
        <v/>
      </c>
      <c r="CC37">
        <f>SUMPRODUCT((M_BOM[RM_Code]=$A37)*M_BOM[RM_Qty_Per_Batch]*IFERROR(INDEX(PP_Grid[#Data],M_BOM[PPGridRow],81),0))</f>
        <v/>
      </c>
      <c r="CD37">
        <f>SUMPRODUCT((M_BOM[RM_Code]=$A37)*M_BOM[RM_Qty_Per_Batch]*IFERROR(INDEX(PP_Grid[#Data],M_BOM[PPGridRow],82),0))</f>
        <v/>
      </c>
      <c r="CE37">
        <f>SUMPRODUCT((M_BOM[RM_Code]=$A37)*M_BOM[RM_Qty_Per_Batch]*IFERROR(INDEX(PP_Grid[#Data],M_BOM[PPGridRow],83),0))</f>
        <v/>
      </c>
      <c r="CF37">
        <f>SUMPRODUCT((M_BOM[RM_Code]=$A37)*M_BOM[RM_Qty_Per_Batch]*IFERROR(INDEX(PP_Grid[#Data],M_BOM[PPGridRow],84),0))</f>
        <v/>
      </c>
      <c r="CG37">
        <f>SUMPRODUCT((M_BOM[RM_Code]=$A37)*M_BOM[RM_Qty_Per_Batch]*IFERROR(INDEX(PP_Grid[#Data],M_BOM[PPGridRow],85),0))</f>
        <v/>
      </c>
      <c r="CH37">
        <f>SUMPRODUCT((M_BOM[RM_Code]=$A37)*M_BOM[RM_Qty_Per_Batch]*IFERROR(INDEX(PP_Grid[#Data],M_BOM[PPGridRow],86),0))</f>
        <v/>
      </c>
      <c r="CI37">
        <f>SUMPRODUCT((M_BOM[RM_Code]=$A37)*M_BOM[RM_Qty_Per_Batch]*IFERROR(INDEX(PP_Grid[#Data],M_BOM[PPGridRow],87),0))</f>
        <v/>
      </c>
      <c r="CJ37">
        <f>SUMPRODUCT((M_BOM[RM_Code]=$A37)*M_BOM[RM_Qty_Per_Batch]*IFERROR(INDEX(PP_Grid[#Data],M_BOM[PPGridRow],88),0))</f>
        <v/>
      </c>
      <c r="CK37">
        <f>SUMPRODUCT((M_BOM[RM_Code]=$A37)*M_BOM[RM_Qty_Per_Batch]*IFERROR(INDEX(PP_Grid[#Data],M_BOM[PPGridRow],89),0))</f>
        <v/>
      </c>
      <c r="CL37">
        <f>SUMPRODUCT((M_BOM[RM_Code]=$A37)*M_BOM[RM_Qty_Per_Batch]*IFERROR(INDEX(PP_Grid[#Data],M_BOM[PPGridRow],90),0))</f>
        <v/>
      </c>
      <c r="CM37">
        <f>SUMPRODUCT((M_BOM[RM_Code]=$A37)*M_BOM[RM_Qty_Per_Batch]*IFERROR(INDEX(PP_Grid[#Data],M_BOM[PPGridRow],91),0))</f>
        <v/>
      </c>
      <c r="CN37">
        <f>SUMPRODUCT((M_BOM[RM_Code]=$A37)*M_BOM[RM_Qty_Per_Batch]*IFERROR(INDEX(PP_Grid[#Data],M_BOM[PPGridRow],92),0))</f>
        <v/>
      </c>
      <c r="CO37">
        <f>SUMPRODUCT((M_BOM[RM_Code]=$A37)*M_BOM[RM_Qty_Per_Batch]*IFERROR(INDEX(PP_Grid[#Data],M_BOM[PPGridRow],93),0))</f>
        <v/>
      </c>
      <c r="CP37">
        <f>SUMPRODUCT((M_BOM[RM_Code]=$A37)*M_BOM[RM_Qty_Per_Batch]*IFERROR(INDEX(PP_Grid[#Data],M_BOM[PPGridRow],94),0))</f>
        <v/>
      </c>
      <c r="CQ37">
        <f>SUMPRODUCT((M_BOM[RM_Code]=$A37)*M_BOM[RM_Qty_Per_Batch]*IFERROR(INDEX(PP_Grid[#Data],M_BOM[PPGridRow],95),0))</f>
        <v/>
      </c>
      <c r="CR37">
        <f>SUMPRODUCT((M_BOM[RM_Code]=$A37)*M_BOM[RM_Qty_Per_Batch]*IFERROR(INDEX(PP_Grid[#Data],M_BOM[PPGridRow],96),0))</f>
        <v/>
      </c>
      <c r="CS37">
        <f>SUMPRODUCT((M_BOM[RM_Code]=$A37)*M_BOM[RM_Qty_Per_Batch]*IFERROR(INDEX(PP_Grid[#Data],M_BOM[PPGridRow],97),0))</f>
        <v/>
      </c>
      <c r="CT37">
        <f>SUMPRODUCT((M_BOM[RM_Code]=$A37)*M_BOM[RM_Qty_Per_Batch]*IFERROR(INDEX(PP_Grid[#Data],M_BOM[PPGridRow],98),0))</f>
        <v/>
      </c>
      <c r="CU37">
        <f>SUMPRODUCT((M_BOM[RM_Code]=$A37)*M_BOM[RM_Qty_Per_Batch]*IFERROR(INDEX(PP_Grid[#Data],M_BOM[PPGridRow],99),0))</f>
        <v/>
      </c>
      <c r="CV37">
        <f>SUMPRODUCT((M_BOM[RM_Code]=$A37)*M_BOM[RM_Qty_Per_Batch]*IFERROR(INDEX(PP_Grid[#Data],M_BOM[PPGridRow],100),0))</f>
        <v/>
      </c>
      <c r="CW37">
        <f>SUMPRODUCT((M_BOM[RM_Code]=$A37)*M_BOM[RM_Qty_Per_Batch]*IFERROR(INDEX(PP_Grid[#Data],M_BOM[PPGridRow],101),0))</f>
        <v/>
      </c>
      <c r="CX37">
        <f>SUMPRODUCT((M_BOM[RM_Code]=$A37)*M_BOM[RM_Qty_Per_Batch]*IFERROR(INDEX(PP_Grid[#Data],M_BOM[PPGridRow],102),0))</f>
        <v/>
      </c>
      <c r="CY37">
        <f>SUMPRODUCT((M_BOM[RM_Code]=$A37)*M_BOM[RM_Qty_Per_Batch]*IFERROR(INDEX(PP_Grid[#Data],M_BOM[PPGridRow],103),0))</f>
        <v/>
      </c>
      <c r="CZ37">
        <f>SUMPRODUCT((M_BOM[RM_Code]=$A37)*M_BOM[RM_Qty_Per_Batch]*IFERROR(INDEX(PP_Grid[#Data],M_BOM[PPGridRow],104),0))</f>
        <v/>
      </c>
      <c r="DA37">
        <f>SUMPRODUCT((M_BOM[RM_Code]=$A37)*M_BOM[RM_Qty_Per_Batch]*IFERROR(INDEX(PP_Grid[#Data],M_BOM[PPGridRow],105),0))</f>
        <v/>
      </c>
    </row>
    <row r="38">
      <c r="A38" t="inlineStr">
        <is>
          <t>CHEM-1820</t>
        </is>
      </c>
      <c r="B38">
        <f>SUMPRODUCT((M_BOM[RM_Code]=$A38)*M_BOM[RM_Qty_Per_Batch]*IFERROR(INDEX(PP_Grid[#Data],M_BOM[PPGridRow],2),0))</f>
        <v/>
      </c>
      <c r="C38">
        <f>SUMPRODUCT((M_BOM[RM_Code]=$A38)*M_BOM[RM_Qty_Per_Batch]*IFERROR(INDEX(PP_Grid[#Data],M_BOM[PPGridRow],3),0))</f>
        <v/>
      </c>
      <c r="D38">
        <f>SUMPRODUCT((M_BOM[RM_Code]=$A38)*M_BOM[RM_Qty_Per_Batch]*IFERROR(INDEX(PP_Grid[#Data],M_BOM[PPGridRow],4),0))</f>
        <v/>
      </c>
      <c r="E38">
        <f>SUMPRODUCT((M_BOM[RM_Code]=$A38)*M_BOM[RM_Qty_Per_Batch]*IFERROR(INDEX(PP_Grid[#Data],M_BOM[PPGridRow],5),0))</f>
        <v/>
      </c>
      <c r="F38">
        <f>SUMPRODUCT((M_BOM[RM_Code]=$A38)*M_BOM[RM_Qty_Per_Batch]*IFERROR(INDEX(PP_Grid[#Data],M_BOM[PPGridRow],6),0))</f>
        <v/>
      </c>
      <c r="G38">
        <f>SUMPRODUCT((M_BOM[RM_Code]=$A38)*M_BOM[RM_Qty_Per_Batch]*IFERROR(INDEX(PP_Grid[#Data],M_BOM[PPGridRow],7),0))</f>
        <v/>
      </c>
      <c r="H38">
        <f>SUMPRODUCT((M_BOM[RM_Code]=$A38)*M_BOM[RM_Qty_Per_Batch]*IFERROR(INDEX(PP_Grid[#Data],M_BOM[PPGridRow],8),0))</f>
        <v/>
      </c>
      <c r="I38">
        <f>SUMPRODUCT((M_BOM[RM_Code]=$A38)*M_BOM[RM_Qty_Per_Batch]*IFERROR(INDEX(PP_Grid[#Data],M_BOM[PPGridRow],9),0))</f>
        <v/>
      </c>
      <c r="J38">
        <f>SUMPRODUCT((M_BOM[RM_Code]=$A38)*M_BOM[RM_Qty_Per_Batch]*IFERROR(INDEX(PP_Grid[#Data],M_BOM[PPGridRow],10),0))</f>
        <v/>
      </c>
      <c r="K38">
        <f>SUMPRODUCT((M_BOM[RM_Code]=$A38)*M_BOM[RM_Qty_Per_Batch]*IFERROR(INDEX(PP_Grid[#Data],M_BOM[PPGridRow],11),0))</f>
        <v/>
      </c>
      <c r="L38">
        <f>SUMPRODUCT((M_BOM[RM_Code]=$A38)*M_BOM[RM_Qty_Per_Batch]*IFERROR(INDEX(PP_Grid[#Data],M_BOM[PPGridRow],12),0))</f>
        <v/>
      </c>
      <c r="M38">
        <f>SUMPRODUCT((M_BOM[RM_Code]=$A38)*M_BOM[RM_Qty_Per_Batch]*IFERROR(INDEX(PP_Grid[#Data],M_BOM[PPGridRow],13),0))</f>
        <v/>
      </c>
      <c r="N38">
        <f>SUMPRODUCT((M_BOM[RM_Code]=$A38)*M_BOM[RM_Qty_Per_Batch]*IFERROR(INDEX(PP_Grid[#Data],M_BOM[PPGridRow],14),0))</f>
        <v/>
      </c>
      <c r="O38">
        <f>SUMPRODUCT((M_BOM[RM_Code]=$A38)*M_BOM[RM_Qty_Per_Batch]*IFERROR(INDEX(PP_Grid[#Data],M_BOM[PPGridRow],15),0))</f>
        <v/>
      </c>
      <c r="P38">
        <f>SUMPRODUCT((M_BOM[RM_Code]=$A38)*M_BOM[RM_Qty_Per_Batch]*IFERROR(INDEX(PP_Grid[#Data],M_BOM[PPGridRow],16),0))</f>
        <v/>
      </c>
      <c r="Q38">
        <f>SUMPRODUCT((M_BOM[RM_Code]=$A38)*M_BOM[RM_Qty_Per_Batch]*IFERROR(INDEX(PP_Grid[#Data],M_BOM[PPGridRow],17),0))</f>
        <v/>
      </c>
      <c r="R38">
        <f>SUMPRODUCT((M_BOM[RM_Code]=$A38)*M_BOM[RM_Qty_Per_Batch]*IFERROR(INDEX(PP_Grid[#Data],M_BOM[PPGridRow],18),0))</f>
        <v/>
      </c>
      <c r="S38">
        <f>SUMPRODUCT((M_BOM[RM_Code]=$A38)*M_BOM[RM_Qty_Per_Batch]*IFERROR(INDEX(PP_Grid[#Data],M_BOM[PPGridRow],19),0))</f>
        <v/>
      </c>
      <c r="T38">
        <f>SUMPRODUCT((M_BOM[RM_Code]=$A38)*M_BOM[RM_Qty_Per_Batch]*IFERROR(INDEX(PP_Grid[#Data],M_BOM[PPGridRow],20),0))</f>
        <v/>
      </c>
      <c r="U38">
        <f>SUMPRODUCT((M_BOM[RM_Code]=$A38)*M_BOM[RM_Qty_Per_Batch]*IFERROR(INDEX(PP_Grid[#Data],M_BOM[PPGridRow],21),0))</f>
        <v/>
      </c>
      <c r="V38">
        <f>SUMPRODUCT((M_BOM[RM_Code]=$A38)*M_BOM[RM_Qty_Per_Batch]*IFERROR(INDEX(PP_Grid[#Data],M_BOM[PPGridRow],22),0))</f>
        <v/>
      </c>
      <c r="W38">
        <f>SUMPRODUCT((M_BOM[RM_Code]=$A38)*M_BOM[RM_Qty_Per_Batch]*IFERROR(INDEX(PP_Grid[#Data],M_BOM[PPGridRow],23),0))</f>
        <v/>
      </c>
      <c r="X38">
        <f>SUMPRODUCT((M_BOM[RM_Code]=$A38)*M_BOM[RM_Qty_Per_Batch]*IFERROR(INDEX(PP_Grid[#Data],M_BOM[PPGridRow],24),0))</f>
        <v/>
      </c>
      <c r="Y38">
        <f>SUMPRODUCT((M_BOM[RM_Code]=$A38)*M_BOM[RM_Qty_Per_Batch]*IFERROR(INDEX(PP_Grid[#Data],M_BOM[PPGridRow],25),0))</f>
        <v/>
      </c>
      <c r="Z38">
        <f>SUMPRODUCT((M_BOM[RM_Code]=$A38)*M_BOM[RM_Qty_Per_Batch]*IFERROR(INDEX(PP_Grid[#Data],M_BOM[PPGridRow],26),0))</f>
        <v/>
      </c>
      <c r="AA38">
        <f>SUMPRODUCT((M_BOM[RM_Code]=$A38)*M_BOM[RM_Qty_Per_Batch]*IFERROR(INDEX(PP_Grid[#Data],M_BOM[PPGridRow],27),0))</f>
        <v/>
      </c>
      <c r="AB38">
        <f>SUMPRODUCT((M_BOM[RM_Code]=$A38)*M_BOM[RM_Qty_Per_Batch]*IFERROR(INDEX(PP_Grid[#Data],M_BOM[PPGridRow],28),0))</f>
        <v/>
      </c>
      <c r="AC38">
        <f>SUMPRODUCT((M_BOM[RM_Code]=$A38)*M_BOM[RM_Qty_Per_Batch]*IFERROR(INDEX(PP_Grid[#Data],M_BOM[PPGridRow],29),0))</f>
        <v/>
      </c>
      <c r="AD38">
        <f>SUMPRODUCT((M_BOM[RM_Code]=$A38)*M_BOM[RM_Qty_Per_Batch]*IFERROR(INDEX(PP_Grid[#Data],M_BOM[PPGridRow],30),0))</f>
        <v/>
      </c>
      <c r="AE38">
        <f>SUMPRODUCT((M_BOM[RM_Code]=$A38)*M_BOM[RM_Qty_Per_Batch]*IFERROR(INDEX(PP_Grid[#Data],M_BOM[PPGridRow],31),0))</f>
        <v/>
      </c>
      <c r="AF38">
        <f>SUMPRODUCT((M_BOM[RM_Code]=$A38)*M_BOM[RM_Qty_Per_Batch]*IFERROR(INDEX(PP_Grid[#Data],M_BOM[PPGridRow],32),0))</f>
        <v/>
      </c>
      <c r="AG38">
        <f>SUMPRODUCT((M_BOM[RM_Code]=$A38)*M_BOM[RM_Qty_Per_Batch]*IFERROR(INDEX(PP_Grid[#Data],M_BOM[PPGridRow],33),0))</f>
        <v/>
      </c>
      <c r="AH38">
        <f>SUMPRODUCT((M_BOM[RM_Code]=$A38)*M_BOM[RM_Qty_Per_Batch]*IFERROR(INDEX(PP_Grid[#Data],M_BOM[PPGridRow],34),0))</f>
        <v/>
      </c>
      <c r="AI38">
        <f>SUMPRODUCT((M_BOM[RM_Code]=$A38)*M_BOM[RM_Qty_Per_Batch]*IFERROR(INDEX(PP_Grid[#Data],M_BOM[PPGridRow],35),0))</f>
        <v/>
      </c>
      <c r="AJ38">
        <f>SUMPRODUCT((M_BOM[RM_Code]=$A38)*M_BOM[RM_Qty_Per_Batch]*IFERROR(INDEX(PP_Grid[#Data],M_BOM[PPGridRow],36),0))</f>
        <v/>
      </c>
      <c r="AK38">
        <f>SUMPRODUCT((M_BOM[RM_Code]=$A38)*M_BOM[RM_Qty_Per_Batch]*IFERROR(INDEX(PP_Grid[#Data],M_BOM[PPGridRow],37),0))</f>
        <v/>
      </c>
      <c r="AL38">
        <f>SUMPRODUCT((M_BOM[RM_Code]=$A38)*M_BOM[RM_Qty_Per_Batch]*IFERROR(INDEX(PP_Grid[#Data],M_BOM[PPGridRow],38),0))</f>
        <v/>
      </c>
      <c r="AM38">
        <f>SUMPRODUCT((M_BOM[RM_Code]=$A38)*M_BOM[RM_Qty_Per_Batch]*IFERROR(INDEX(PP_Grid[#Data],M_BOM[PPGridRow],39),0))</f>
        <v/>
      </c>
      <c r="AN38">
        <f>SUMPRODUCT((M_BOM[RM_Code]=$A38)*M_BOM[RM_Qty_Per_Batch]*IFERROR(INDEX(PP_Grid[#Data],M_BOM[PPGridRow],40),0))</f>
        <v/>
      </c>
      <c r="AO38">
        <f>SUMPRODUCT((M_BOM[RM_Code]=$A38)*M_BOM[RM_Qty_Per_Batch]*IFERROR(INDEX(PP_Grid[#Data],M_BOM[PPGridRow],41),0))</f>
        <v/>
      </c>
      <c r="AP38">
        <f>SUMPRODUCT((M_BOM[RM_Code]=$A38)*M_BOM[RM_Qty_Per_Batch]*IFERROR(INDEX(PP_Grid[#Data],M_BOM[PPGridRow],42),0))</f>
        <v/>
      </c>
      <c r="AQ38">
        <f>SUMPRODUCT((M_BOM[RM_Code]=$A38)*M_BOM[RM_Qty_Per_Batch]*IFERROR(INDEX(PP_Grid[#Data],M_BOM[PPGridRow],43),0))</f>
        <v/>
      </c>
      <c r="AR38">
        <f>SUMPRODUCT((M_BOM[RM_Code]=$A38)*M_BOM[RM_Qty_Per_Batch]*IFERROR(INDEX(PP_Grid[#Data],M_BOM[PPGridRow],44),0))</f>
        <v/>
      </c>
      <c r="AS38">
        <f>SUMPRODUCT((M_BOM[RM_Code]=$A38)*M_BOM[RM_Qty_Per_Batch]*IFERROR(INDEX(PP_Grid[#Data],M_BOM[PPGridRow],45),0))</f>
        <v/>
      </c>
      <c r="AT38">
        <f>SUMPRODUCT((M_BOM[RM_Code]=$A38)*M_BOM[RM_Qty_Per_Batch]*IFERROR(INDEX(PP_Grid[#Data],M_BOM[PPGridRow],46),0))</f>
        <v/>
      </c>
      <c r="AU38">
        <f>SUMPRODUCT((M_BOM[RM_Code]=$A38)*M_BOM[RM_Qty_Per_Batch]*IFERROR(INDEX(PP_Grid[#Data],M_BOM[PPGridRow],47),0))</f>
        <v/>
      </c>
      <c r="AV38">
        <f>SUMPRODUCT((M_BOM[RM_Code]=$A38)*M_BOM[RM_Qty_Per_Batch]*IFERROR(INDEX(PP_Grid[#Data],M_BOM[PPGridRow],48),0))</f>
        <v/>
      </c>
      <c r="AW38">
        <f>SUMPRODUCT((M_BOM[RM_Code]=$A38)*M_BOM[RM_Qty_Per_Batch]*IFERROR(INDEX(PP_Grid[#Data],M_BOM[PPGridRow],49),0))</f>
        <v/>
      </c>
      <c r="AX38">
        <f>SUMPRODUCT((M_BOM[RM_Code]=$A38)*M_BOM[RM_Qty_Per_Batch]*IFERROR(INDEX(PP_Grid[#Data],M_BOM[PPGridRow],50),0))</f>
        <v/>
      </c>
      <c r="AY38">
        <f>SUMPRODUCT((M_BOM[RM_Code]=$A38)*M_BOM[RM_Qty_Per_Batch]*IFERROR(INDEX(PP_Grid[#Data],M_BOM[PPGridRow],51),0))</f>
        <v/>
      </c>
      <c r="AZ38">
        <f>SUMPRODUCT((M_BOM[RM_Code]=$A38)*M_BOM[RM_Qty_Per_Batch]*IFERROR(INDEX(PP_Grid[#Data],M_BOM[PPGridRow],52),0))</f>
        <v/>
      </c>
      <c r="BA38">
        <f>SUMPRODUCT((M_BOM[RM_Code]=$A38)*M_BOM[RM_Qty_Per_Batch]*IFERROR(INDEX(PP_Grid[#Data],M_BOM[PPGridRow],53),0))</f>
        <v/>
      </c>
      <c r="BB38">
        <f>SUMPRODUCT((M_BOM[RM_Code]=$A38)*M_BOM[RM_Qty_Per_Batch]*IFERROR(INDEX(PP_Grid[#Data],M_BOM[PPGridRow],54),0))</f>
        <v/>
      </c>
      <c r="BC38">
        <f>SUMPRODUCT((M_BOM[RM_Code]=$A38)*M_BOM[RM_Qty_Per_Batch]*IFERROR(INDEX(PP_Grid[#Data],M_BOM[PPGridRow],55),0))</f>
        <v/>
      </c>
      <c r="BD38">
        <f>SUMPRODUCT((M_BOM[RM_Code]=$A38)*M_BOM[RM_Qty_Per_Batch]*IFERROR(INDEX(PP_Grid[#Data],M_BOM[PPGridRow],56),0))</f>
        <v/>
      </c>
      <c r="BE38">
        <f>SUMPRODUCT((M_BOM[RM_Code]=$A38)*M_BOM[RM_Qty_Per_Batch]*IFERROR(INDEX(PP_Grid[#Data],M_BOM[PPGridRow],57),0))</f>
        <v/>
      </c>
      <c r="BF38">
        <f>SUMPRODUCT((M_BOM[RM_Code]=$A38)*M_BOM[RM_Qty_Per_Batch]*IFERROR(INDEX(PP_Grid[#Data],M_BOM[PPGridRow],58),0))</f>
        <v/>
      </c>
      <c r="BG38">
        <f>SUMPRODUCT((M_BOM[RM_Code]=$A38)*M_BOM[RM_Qty_Per_Batch]*IFERROR(INDEX(PP_Grid[#Data],M_BOM[PPGridRow],59),0))</f>
        <v/>
      </c>
      <c r="BH38">
        <f>SUMPRODUCT((M_BOM[RM_Code]=$A38)*M_BOM[RM_Qty_Per_Batch]*IFERROR(INDEX(PP_Grid[#Data],M_BOM[PPGridRow],60),0))</f>
        <v/>
      </c>
      <c r="BI38">
        <f>SUMPRODUCT((M_BOM[RM_Code]=$A38)*M_BOM[RM_Qty_Per_Batch]*IFERROR(INDEX(PP_Grid[#Data],M_BOM[PPGridRow],61),0))</f>
        <v/>
      </c>
      <c r="BJ38">
        <f>SUMPRODUCT((M_BOM[RM_Code]=$A38)*M_BOM[RM_Qty_Per_Batch]*IFERROR(INDEX(PP_Grid[#Data],M_BOM[PPGridRow],62),0))</f>
        <v/>
      </c>
      <c r="BK38">
        <f>SUMPRODUCT((M_BOM[RM_Code]=$A38)*M_BOM[RM_Qty_Per_Batch]*IFERROR(INDEX(PP_Grid[#Data],M_BOM[PPGridRow],63),0))</f>
        <v/>
      </c>
      <c r="BL38">
        <f>SUMPRODUCT((M_BOM[RM_Code]=$A38)*M_BOM[RM_Qty_Per_Batch]*IFERROR(INDEX(PP_Grid[#Data],M_BOM[PPGridRow],64),0))</f>
        <v/>
      </c>
      <c r="BM38">
        <f>SUMPRODUCT((M_BOM[RM_Code]=$A38)*M_BOM[RM_Qty_Per_Batch]*IFERROR(INDEX(PP_Grid[#Data],M_BOM[PPGridRow],65),0))</f>
        <v/>
      </c>
      <c r="BN38">
        <f>SUMPRODUCT((M_BOM[RM_Code]=$A38)*M_BOM[RM_Qty_Per_Batch]*IFERROR(INDEX(PP_Grid[#Data],M_BOM[PPGridRow],66),0))</f>
        <v/>
      </c>
      <c r="BO38">
        <f>SUMPRODUCT((M_BOM[RM_Code]=$A38)*M_BOM[RM_Qty_Per_Batch]*IFERROR(INDEX(PP_Grid[#Data],M_BOM[PPGridRow],67),0))</f>
        <v/>
      </c>
      <c r="BP38">
        <f>SUMPRODUCT((M_BOM[RM_Code]=$A38)*M_BOM[RM_Qty_Per_Batch]*IFERROR(INDEX(PP_Grid[#Data],M_BOM[PPGridRow],68),0))</f>
        <v/>
      </c>
      <c r="BQ38">
        <f>SUMPRODUCT((M_BOM[RM_Code]=$A38)*M_BOM[RM_Qty_Per_Batch]*IFERROR(INDEX(PP_Grid[#Data],M_BOM[PPGridRow],69),0))</f>
        <v/>
      </c>
      <c r="BR38">
        <f>SUMPRODUCT((M_BOM[RM_Code]=$A38)*M_BOM[RM_Qty_Per_Batch]*IFERROR(INDEX(PP_Grid[#Data],M_BOM[PPGridRow],70),0))</f>
        <v/>
      </c>
      <c r="BS38">
        <f>SUMPRODUCT((M_BOM[RM_Code]=$A38)*M_BOM[RM_Qty_Per_Batch]*IFERROR(INDEX(PP_Grid[#Data],M_BOM[PPGridRow],71),0))</f>
        <v/>
      </c>
      <c r="BT38">
        <f>SUMPRODUCT((M_BOM[RM_Code]=$A38)*M_BOM[RM_Qty_Per_Batch]*IFERROR(INDEX(PP_Grid[#Data],M_BOM[PPGridRow],72),0))</f>
        <v/>
      </c>
      <c r="BU38">
        <f>SUMPRODUCT((M_BOM[RM_Code]=$A38)*M_BOM[RM_Qty_Per_Batch]*IFERROR(INDEX(PP_Grid[#Data],M_BOM[PPGridRow],73),0))</f>
        <v/>
      </c>
      <c r="BV38">
        <f>SUMPRODUCT((M_BOM[RM_Code]=$A38)*M_BOM[RM_Qty_Per_Batch]*IFERROR(INDEX(PP_Grid[#Data],M_BOM[PPGridRow],74),0))</f>
        <v/>
      </c>
      <c r="BW38">
        <f>SUMPRODUCT((M_BOM[RM_Code]=$A38)*M_BOM[RM_Qty_Per_Batch]*IFERROR(INDEX(PP_Grid[#Data],M_BOM[PPGridRow],75),0))</f>
        <v/>
      </c>
      <c r="BX38">
        <f>SUMPRODUCT((M_BOM[RM_Code]=$A38)*M_BOM[RM_Qty_Per_Batch]*IFERROR(INDEX(PP_Grid[#Data],M_BOM[PPGridRow],76),0))</f>
        <v/>
      </c>
      <c r="BY38">
        <f>SUMPRODUCT((M_BOM[RM_Code]=$A38)*M_BOM[RM_Qty_Per_Batch]*IFERROR(INDEX(PP_Grid[#Data],M_BOM[PPGridRow],77),0))</f>
        <v/>
      </c>
      <c r="BZ38">
        <f>SUMPRODUCT((M_BOM[RM_Code]=$A38)*M_BOM[RM_Qty_Per_Batch]*IFERROR(INDEX(PP_Grid[#Data],M_BOM[PPGridRow],78),0))</f>
        <v/>
      </c>
      <c r="CA38">
        <f>SUMPRODUCT((M_BOM[RM_Code]=$A38)*M_BOM[RM_Qty_Per_Batch]*IFERROR(INDEX(PP_Grid[#Data],M_BOM[PPGridRow],79),0))</f>
        <v/>
      </c>
      <c r="CB38">
        <f>SUMPRODUCT((M_BOM[RM_Code]=$A38)*M_BOM[RM_Qty_Per_Batch]*IFERROR(INDEX(PP_Grid[#Data],M_BOM[PPGridRow],80),0))</f>
        <v/>
      </c>
      <c r="CC38">
        <f>SUMPRODUCT((M_BOM[RM_Code]=$A38)*M_BOM[RM_Qty_Per_Batch]*IFERROR(INDEX(PP_Grid[#Data],M_BOM[PPGridRow],81),0))</f>
        <v/>
      </c>
      <c r="CD38">
        <f>SUMPRODUCT((M_BOM[RM_Code]=$A38)*M_BOM[RM_Qty_Per_Batch]*IFERROR(INDEX(PP_Grid[#Data],M_BOM[PPGridRow],82),0))</f>
        <v/>
      </c>
      <c r="CE38">
        <f>SUMPRODUCT((M_BOM[RM_Code]=$A38)*M_BOM[RM_Qty_Per_Batch]*IFERROR(INDEX(PP_Grid[#Data],M_BOM[PPGridRow],83),0))</f>
        <v/>
      </c>
      <c r="CF38">
        <f>SUMPRODUCT((M_BOM[RM_Code]=$A38)*M_BOM[RM_Qty_Per_Batch]*IFERROR(INDEX(PP_Grid[#Data],M_BOM[PPGridRow],84),0))</f>
        <v/>
      </c>
      <c r="CG38">
        <f>SUMPRODUCT((M_BOM[RM_Code]=$A38)*M_BOM[RM_Qty_Per_Batch]*IFERROR(INDEX(PP_Grid[#Data],M_BOM[PPGridRow],85),0))</f>
        <v/>
      </c>
      <c r="CH38">
        <f>SUMPRODUCT((M_BOM[RM_Code]=$A38)*M_BOM[RM_Qty_Per_Batch]*IFERROR(INDEX(PP_Grid[#Data],M_BOM[PPGridRow],86),0))</f>
        <v/>
      </c>
      <c r="CI38">
        <f>SUMPRODUCT((M_BOM[RM_Code]=$A38)*M_BOM[RM_Qty_Per_Batch]*IFERROR(INDEX(PP_Grid[#Data],M_BOM[PPGridRow],87),0))</f>
        <v/>
      </c>
      <c r="CJ38">
        <f>SUMPRODUCT((M_BOM[RM_Code]=$A38)*M_BOM[RM_Qty_Per_Batch]*IFERROR(INDEX(PP_Grid[#Data],M_BOM[PPGridRow],88),0))</f>
        <v/>
      </c>
      <c r="CK38">
        <f>SUMPRODUCT((M_BOM[RM_Code]=$A38)*M_BOM[RM_Qty_Per_Batch]*IFERROR(INDEX(PP_Grid[#Data],M_BOM[PPGridRow],89),0))</f>
        <v/>
      </c>
      <c r="CL38">
        <f>SUMPRODUCT((M_BOM[RM_Code]=$A38)*M_BOM[RM_Qty_Per_Batch]*IFERROR(INDEX(PP_Grid[#Data],M_BOM[PPGridRow],90),0))</f>
        <v/>
      </c>
      <c r="CM38">
        <f>SUMPRODUCT((M_BOM[RM_Code]=$A38)*M_BOM[RM_Qty_Per_Batch]*IFERROR(INDEX(PP_Grid[#Data],M_BOM[PPGridRow],91),0))</f>
        <v/>
      </c>
      <c r="CN38">
        <f>SUMPRODUCT((M_BOM[RM_Code]=$A38)*M_BOM[RM_Qty_Per_Batch]*IFERROR(INDEX(PP_Grid[#Data],M_BOM[PPGridRow],92),0))</f>
        <v/>
      </c>
      <c r="CO38">
        <f>SUMPRODUCT((M_BOM[RM_Code]=$A38)*M_BOM[RM_Qty_Per_Batch]*IFERROR(INDEX(PP_Grid[#Data],M_BOM[PPGridRow],93),0))</f>
        <v/>
      </c>
      <c r="CP38">
        <f>SUMPRODUCT((M_BOM[RM_Code]=$A38)*M_BOM[RM_Qty_Per_Batch]*IFERROR(INDEX(PP_Grid[#Data],M_BOM[PPGridRow],94),0))</f>
        <v/>
      </c>
      <c r="CQ38">
        <f>SUMPRODUCT((M_BOM[RM_Code]=$A38)*M_BOM[RM_Qty_Per_Batch]*IFERROR(INDEX(PP_Grid[#Data],M_BOM[PPGridRow],95),0))</f>
        <v/>
      </c>
      <c r="CR38">
        <f>SUMPRODUCT((M_BOM[RM_Code]=$A38)*M_BOM[RM_Qty_Per_Batch]*IFERROR(INDEX(PP_Grid[#Data],M_BOM[PPGridRow],96),0))</f>
        <v/>
      </c>
      <c r="CS38">
        <f>SUMPRODUCT((M_BOM[RM_Code]=$A38)*M_BOM[RM_Qty_Per_Batch]*IFERROR(INDEX(PP_Grid[#Data],M_BOM[PPGridRow],97),0))</f>
        <v/>
      </c>
      <c r="CT38">
        <f>SUMPRODUCT((M_BOM[RM_Code]=$A38)*M_BOM[RM_Qty_Per_Batch]*IFERROR(INDEX(PP_Grid[#Data],M_BOM[PPGridRow],98),0))</f>
        <v/>
      </c>
      <c r="CU38">
        <f>SUMPRODUCT((M_BOM[RM_Code]=$A38)*M_BOM[RM_Qty_Per_Batch]*IFERROR(INDEX(PP_Grid[#Data],M_BOM[PPGridRow],99),0))</f>
        <v/>
      </c>
      <c r="CV38">
        <f>SUMPRODUCT((M_BOM[RM_Code]=$A38)*M_BOM[RM_Qty_Per_Batch]*IFERROR(INDEX(PP_Grid[#Data],M_BOM[PPGridRow],100),0))</f>
        <v/>
      </c>
      <c r="CW38">
        <f>SUMPRODUCT((M_BOM[RM_Code]=$A38)*M_BOM[RM_Qty_Per_Batch]*IFERROR(INDEX(PP_Grid[#Data],M_BOM[PPGridRow],101),0))</f>
        <v/>
      </c>
      <c r="CX38">
        <f>SUMPRODUCT((M_BOM[RM_Code]=$A38)*M_BOM[RM_Qty_Per_Batch]*IFERROR(INDEX(PP_Grid[#Data],M_BOM[PPGridRow],102),0))</f>
        <v/>
      </c>
      <c r="CY38">
        <f>SUMPRODUCT((M_BOM[RM_Code]=$A38)*M_BOM[RM_Qty_Per_Batch]*IFERROR(INDEX(PP_Grid[#Data],M_BOM[PPGridRow],103),0))</f>
        <v/>
      </c>
      <c r="CZ38">
        <f>SUMPRODUCT((M_BOM[RM_Code]=$A38)*M_BOM[RM_Qty_Per_Batch]*IFERROR(INDEX(PP_Grid[#Data],M_BOM[PPGridRow],104),0))</f>
        <v/>
      </c>
      <c r="DA38">
        <f>SUMPRODUCT((M_BOM[RM_Code]=$A38)*M_BOM[RM_Qty_Per_Batch]*IFERROR(INDEX(PP_Grid[#Data],M_BOM[PPGridRow],105),0))</f>
        <v/>
      </c>
    </row>
    <row r="39">
      <c r="A39" t="inlineStr">
        <is>
          <t>CHEM-1840</t>
        </is>
      </c>
      <c r="B39">
        <f>SUMPRODUCT((M_BOM[RM_Code]=$A39)*M_BOM[RM_Qty_Per_Batch]*IFERROR(INDEX(PP_Grid[#Data],M_BOM[PPGridRow],2),0))</f>
        <v/>
      </c>
      <c r="C39">
        <f>SUMPRODUCT((M_BOM[RM_Code]=$A39)*M_BOM[RM_Qty_Per_Batch]*IFERROR(INDEX(PP_Grid[#Data],M_BOM[PPGridRow],3),0))</f>
        <v/>
      </c>
      <c r="D39">
        <f>SUMPRODUCT((M_BOM[RM_Code]=$A39)*M_BOM[RM_Qty_Per_Batch]*IFERROR(INDEX(PP_Grid[#Data],M_BOM[PPGridRow],4),0))</f>
        <v/>
      </c>
      <c r="E39">
        <f>SUMPRODUCT((M_BOM[RM_Code]=$A39)*M_BOM[RM_Qty_Per_Batch]*IFERROR(INDEX(PP_Grid[#Data],M_BOM[PPGridRow],5),0))</f>
        <v/>
      </c>
      <c r="F39">
        <f>SUMPRODUCT((M_BOM[RM_Code]=$A39)*M_BOM[RM_Qty_Per_Batch]*IFERROR(INDEX(PP_Grid[#Data],M_BOM[PPGridRow],6),0))</f>
        <v/>
      </c>
      <c r="G39">
        <f>SUMPRODUCT((M_BOM[RM_Code]=$A39)*M_BOM[RM_Qty_Per_Batch]*IFERROR(INDEX(PP_Grid[#Data],M_BOM[PPGridRow],7),0))</f>
        <v/>
      </c>
      <c r="H39">
        <f>SUMPRODUCT((M_BOM[RM_Code]=$A39)*M_BOM[RM_Qty_Per_Batch]*IFERROR(INDEX(PP_Grid[#Data],M_BOM[PPGridRow],8),0))</f>
        <v/>
      </c>
      <c r="I39">
        <f>SUMPRODUCT((M_BOM[RM_Code]=$A39)*M_BOM[RM_Qty_Per_Batch]*IFERROR(INDEX(PP_Grid[#Data],M_BOM[PPGridRow],9),0))</f>
        <v/>
      </c>
      <c r="J39">
        <f>SUMPRODUCT((M_BOM[RM_Code]=$A39)*M_BOM[RM_Qty_Per_Batch]*IFERROR(INDEX(PP_Grid[#Data],M_BOM[PPGridRow],10),0))</f>
        <v/>
      </c>
      <c r="K39">
        <f>SUMPRODUCT((M_BOM[RM_Code]=$A39)*M_BOM[RM_Qty_Per_Batch]*IFERROR(INDEX(PP_Grid[#Data],M_BOM[PPGridRow],11),0))</f>
        <v/>
      </c>
      <c r="L39">
        <f>SUMPRODUCT((M_BOM[RM_Code]=$A39)*M_BOM[RM_Qty_Per_Batch]*IFERROR(INDEX(PP_Grid[#Data],M_BOM[PPGridRow],12),0))</f>
        <v/>
      </c>
      <c r="M39">
        <f>SUMPRODUCT((M_BOM[RM_Code]=$A39)*M_BOM[RM_Qty_Per_Batch]*IFERROR(INDEX(PP_Grid[#Data],M_BOM[PPGridRow],13),0))</f>
        <v/>
      </c>
      <c r="N39">
        <f>SUMPRODUCT((M_BOM[RM_Code]=$A39)*M_BOM[RM_Qty_Per_Batch]*IFERROR(INDEX(PP_Grid[#Data],M_BOM[PPGridRow],14),0))</f>
        <v/>
      </c>
      <c r="O39">
        <f>SUMPRODUCT((M_BOM[RM_Code]=$A39)*M_BOM[RM_Qty_Per_Batch]*IFERROR(INDEX(PP_Grid[#Data],M_BOM[PPGridRow],15),0))</f>
        <v/>
      </c>
      <c r="P39">
        <f>SUMPRODUCT((M_BOM[RM_Code]=$A39)*M_BOM[RM_Qty_Per_Batch]*IFERROR(INDEX(PP_Grid[#Data],M_BOM[PPGridRow],16),0))</f>
        <v/>
      </c>
      <c r="Q39">
        <f>SUMPRODUCT((M_BOM[RM_Code]=$A39)*M_BOM[RM_Qty_Per_Batch]*IFERROR(INDEX(PP_Grid[#Data],M_BOM[PPGridRow],17),0))</f>
        <v/>
      </c>
      <c r="R39">
        <f>SUMPRODUCT((M_BOM[RM_Code]=$A39)*M_BOM[RM_Qty_Per_Batch]*IFERROR(INDEX(PP_Grid[#Data],M_BOM[PPGridRow],18),0))</f>
        <v/>
      </c>
      <c r="S39">
        <f>SUMPRODUCT((M_BOM[RM_Code]=$A39)*M_BOM[RM_Qty_Per_Batch]*IFERROR(INDEX(PP_Grid[#Data],M_BOM[PPGridRow],19),0))</f>
        <v/>
      </c>
      <c r="T39">
        <f>SUMPRODUCT((M_BOM[RM_Code]=$A39)*M_BOM[RM_Qty_Per_Batch]*IFERROR(INDEX(PP_Grid[#Data],M_BOM[PPGridRow],20),0))</f>
        <v/>
      </c>
      <c r="U39">
        <f>SUMPRODUCT((M_BOM[RM_Code]=$A39)*M_BOM[RM_Qty_Per_Batch]*IFERROR(INDEX(PP_Grid[#Data],M_BOM[PPGridRow],21),0))</f>
        <v/>
      </c>
      <c r="V39">
        <f>SUMPRODUCT((M_BOM[RM_Code]=$A39)*M_BOM[RM_Qty_Per_Batch]*IFERROR(INDEX(PP_Grid[#Data],M_BOM[PPGridRow],22),0))</f>
        <v/>
      </c>
      <c r="W39">
        <f>SUMPRODUCT((M_BOM[RM_Code]=$A39)*M_BOM[RM_Qty_Per_Batch]*IFERROR(INDEX(PP_Grid[#Data],M_BOM[PPGridRow],23),0))</f>
        <v/>
      </c>
      <c r="X39">
        <f>SUMPRODUCT((M_BOM[RM_Code]=$A39)*M_BOM[RM_Qty_Per_Batch]*IFERROR(INDEX(PP_Grid[#Data],M_BOM[PPGridRow],24),0))</f>
        <v/>
      </c>
      <c r="Y39">
        <f>SUMPRODUCT((M_BOM[RM_Code]=$A39)*M_BOM[RM_Qty_Per_Batch]*IFERROR(INDEX(PP_Grid[#Data],M_BOM[PPGridRow],25),0))</f>
        <v/>
      </c>
      <c r="Z39">
        <f>SUMPRODUCT((M_BOM[RM_Code]=$A39)*M_BOM[RM_Qty_Per_Batch]*IFERROR(INDEX(PP_Grid[#Data],M_BOM[PPGridRow],26),0))</f>
        <v/>
      </c>
      <c r="AA39">
        <f>SUMPRODUCT((M_BOM[RM_Code]=$A39)*M_BOM[RM_Qty_Per_Batch]*IFERROR(INDEX(PP_Grid[#Data],M_BOM[PPGridRow],27),0))</f>
        <v/>
      </c>
      <c r="AB39">
        <f>SUMPRODUCT((M_BOM[RM_Code]=$A39)*M_BOM[RM_Qty_Per_Batch]*IFERROR(INDEX(PP_Grid[#Data],M_BOM[PPGridRow],28),0))</f>
        <v/>
      </c>
      <c r="AC39">
        <f>SUMPRODUCT((M_BOM[RM_Code]=$A39)*M_BOM[RM_Qty_Per_Batch]*IFERROR(INDEX(PP_Grid[#Data],M_BOM[PPGridRow],29),0))</f>
        <v/>
      </c>
      <c r="AD39">
        <f>SUMPRODUCT((M_BOM[RM_Code]=$A39)*M_BOM[RM_Qty_Per_Batch]*IFERROR(INDEX(PP_Grid[#Data],M_BOM[PPGridRow],30),0))</f>
        <v/>
      </c>
      <c r="AE39">
        <f>SUMPRODUCT((M_BOM[RM_Code]=$A39)*M_BOM[RM_Qty_Per_Batch]*IFERROR(INDEX(PP_Grid[#Data],M_BOM[PPGridRow],31),0))</f>
        <v/>
      </c>
      <c r="AF39">
        <f>SUMPRODUCT((M_BOM[RM_Code]=$A39)*M_BOM[RM_Qty_Per_Batch]*IFERROR(INDEX(PP_Grid[#Data],M_BOM[PPGridRow],32),0))</f>
        <v/>
      </c>
      <c r="AG39">
        <f>SUMPRODUCT((M_BOM[RM_Code]=$A39)*M_BOM[RM_Qty_Per_Batch]*IFERROR(INDEX(PP_Grid[#Data],M_BOM[PPGridRow],33),0))</f>
        <v/>
      </c>
      <c r="AH39">
        <f>SUMPRODUCT((M_BOM[RM_Code]=$A39)*M_BOM[RM_Qty_Per_Batch]*IFERROR(INDEX(PP_Grid[#Data],M_BOM[PPGridRow],34),0))</f>
        <v/>
      </c>
      <c r="AI39">
        <f>SUMPRODUCT((M_BOM[RM_Code]=$A39)*M_BOM[RM_Qty_Per_Batch]*IFERROR(INDEX(PP_Grid[#Data],M_BOM[PPGridRow],35),0))</f>
        <v/>
      </c>
      <c r="AJ39">
        <f>SUMPRODUCT((M_BOM[RM_Code]=$A39)*M_BOM[RM_Qty_Per_Batch]*IFERROR(INDEX(PP_Grid[#Data],M_BOM[PPGridRow],36),0))</f>
        <v/>
      </c>
      <c r="AK39">
        <f>SUMPRODUCT((M_BOM[RM_Code]=$A39)*M_BOM[RM_Qty_Per_Batch]*IFERROR(INDEX(PP_Grid[#Data],M_BOM[PPGridRow],37),0))</f>
        <v/>
      </c>
      <c r="AL39">
        <f>SUMPRODUCT((M_BOM[RM_Code]=$A39)*M_BOM[RM_Qty_Per_Batch]*IFERROR(INDEX(PP_Grid[#Data],M_BOM[PPGridRow],38),0))</f>
        <v/>
      </c>
      <c r="AM39">
        <f>SUMPRODUCT((M_BOM[RM_Code]=$A39)*M_BOM[RM_Qty_Per_Batch]*IFERROR(INDEX(PP_Grid[#Data],M_BOM[PPGridRow],39),0))</f>
        <v/>
      </c>
      <c r="AN39">
        <f>SUMPRODUCT((M_BOM[RM_Code]=$A39)*M_BOM[RM_Qty_Per_Batch]*IFERROR(INDEX(PP_Grid[#Data],M_BOM[PPGridRow],40),0))</f>
        <v/>
      </c>
      <c r="AO39">
        <f>SUMPRODUCT((M_BOM[RM_Code]=$A39)*M_BOM[RM_Qty_Per_Batch]*IFERROR(INDEX(PP_Grid[#Data],M_BOM[PPGridRow],41),0))</f>
        <v/>
      </c>
      <c r="AP39">
        <f>SUMPRODUCT((M_BOM[RM_Code]=$A39)*M_BOM[RM_Qty_Per_Batch]*IFERROR(INDEX(PP_Grid[#Data],M_BOM[PPGridRow],42),0))</f>
        <v/>
      </c>
      <c r="AQ39">
        <f>SUMPRODUCT((M_BOM[RM_Code]=$A39)*M_BOM[RM_Qty_Per_Batch]*IFERROR(INDEX(PP_Grid[#Data],M_BOM[PPGridRow],43),0))</f>
        <v/>
      </c>
      <c r="AR39">
        <f>SUMPRODUCT((M_BOM[RM_Code]=$A39)*M_BOM[RM_Qty_Per_Batch]*IFERROR(INDEX(PP_Grid[#Data],M_BOM[PPGridRow],44),0))</f>
        <v/>
      </c>
      <c r="AS39">
        <f>SUMPRODUCT((M_BOM[RM_Code]=$A39)*M_BOM[RM_Qty_Per_Batch]*IFERROR(INDEX(PP_Grid[#Data],M_BOM[PPGridRow],45),0))</f>
        <v/>
      </c>
      <c r="AT39">
        <f>SUMPRODUCT((M_BOM[RM_Code]=$A39)*M_BOM[RM_Qty_Per_Batch]*IFERROR(INDEX(PP_Grid[#Data],M_BOM[PPGridRow],46),0))</f>
        <v/>
      </c>
      <c r="AU39">
        <f>SUMPRODUCT((M_BOM[RM_Code]=$A39)*M_BOM[RM_Qty_Per_Batch]*IFERROR(INDEX(PP_Grid[#Data],M_BOM[PPGridRow],47),0))</f>
        <v/>
      </c>
      <c r="AV39">
        <f>SUMPRODUCT((M_BOM[RM_Code]=$A39)*M_BOM[RM_Qty_Per_Batch]*IFERROR(INDEX(PP_Grid[#Data],M_BOM[PPGridRow],48),0))</f>
        <v/>
      </c>
      <c r="AW39">
        <f>SUMPRODUCT((M_BOM[RM_Code]=$A39)*M_BOM[RM_Qty_Per_Batch]*IFERROR(INDEX(PP_Grid[#Data],M_BOM[PPGridRow],49),0))</f>
        <v/>
      </c>
      <c r="AX39">
        <f>SUMPRODUCT((M_BOM[RM_Code]=$A39)*M_BOM[RM_Qty_Per_Batch]*IFERROR(INDEX(PP_Grid[#Data],M_BOM[PPGridRow],50),0))</f>
        <v/>
      </c>
      <c r="AY39">
        <f>SUMPRODUCT((M_BOM[RM_Code]=$A39)*M_BOM[RM_Qty_Per_Batch]*IFERROR(INDEX(PP_Grid[#Data],M_BOM[PPGridRow],51),0))</f>
        <v/>
      </c>
      <c r="AZ39">
        <f>SUMPRODUCT((M_BOM[RM_Code]=$A39)*M_BOM[RM_Qty_Per_Batch]*IFERROR(INDEX(PP_Grid[#Data],M_BOM[PPGridRow],52),0))</f>
        <v/>
      </c>
      <c r="BA39">
        <f>SUMPRODUCT((M_BOM[RM_Code]=$A39)*M_BOM[RM_Qty_Per_Batch]*IFERROR(INDEX(PP_Grid[#Data],M_BOM[PPGridRow],53),0))</f>
        <v/>
      </c>
      <c r="BB39">
        <f>SUMPRODUCT((M_BOM[RM_Code]=$A39)*M_BOM[RM_Qty_Per_Batch]*IFERROR(INDEX(PP_Grid[#Data],M_BOM[PPGridRow],54),0))</f>
        <v/>
      </c>
      <c r="BC39">
        <f>SUMPRODUCT((M_BOM[RM_Code]=$A39)*M_BOM[RM_Qty_Per_Batch]*IFERROR(INDEX(PP_Grid[#Data],M_BOM[PPGridRow],55),0))</f>
        <v/>
      </c>
      <c r="BD39">
        <f>SUMPRODUCT((M_BOM[RM_Code]=$A39)*M_BOM[RM_Qty_Per_Batch]*IFERROR(INDEX(PP_Grid[#Data],M_BOM[PPGridRow],56),0))</f>
        <v/>
      </c>
      <c r="BE39">
        <f>SUMPRODUCT((M_BOM[RM_Code]=$A39)*M_BOM[RM_Qty_Per_Batch]*IFERROR(INDEX(PP_Grid[#Data],M_BOM[PPGridRow],57),0))</f>
        <v/>
      </c>
      <c r="BF39">
        <f>SUMPRODUCT((M_BOM[RM_Code]=$A39)*M_BOM[RM_Qty_Per_Batch]*IFERROR(INDEX(PP_Grid[#Data],M_BOM[PPGridRow],58),0))</f>
        <v/>
      </c>
      <c r="BG39">
        <f>SUMPRODUCT((M_BOM[RM_Code]=$A39)*M_BOM[RM_Qty_Per_Batch]*IFERROR(INDEX(PP_Grid[#Data],M_BOM[PPGridRow],59),0))</f>
        <v/>
      </c>
      <c r="BH39">
        <f>SUMPRODUCT((M_BOM[RM_Code]=$A39)*M_BOM[RM_Qty_Per_Batch]*IFERROR(INDEX(PP_Grid[#Data],M_BOM[PPGridRow],60),0))</f>
        <v/>
      </c>
      <c r="BI39">
        <f>SUMPRODUCT((M_BOM[RM_Code]=$A39)*M_BOM[RM_Qty_Per_Batch]*IFERROR(INDEX(PP_Grid[#Data],M_BOM[PPGridRow],61),0))</f>
        <v/>
      </c>
      <c r="BJ39">
        <f>SUMPRODUCT((M_BOM[RM_Code]=$A39)*M_BOM[RM_Qty_Per_Batch]*IFERROR(INDEX(PP_Grid[#Data],M_BOM[PPGridRow],62),0))</f>
        <v/>
      </c>
      <c r="BK39">
        <f>SUMPRODUCT((M_BOM[RM_Code]=$A39)*M_BOM[RM_Qty_Per_Batch]*IFERROR(INDEX(PP_Grid[#Data],M_BOM[PPGridRow],63),0))</f>
        <v/>
      </c>
      <c r="BL39">
        <f>SUMPRODUCT((M_BOM[RM_Code]=$A39)*M_BOM[RM_Qty_Per_Batch]*IFERROR(INDEX(PP_Grid[#Data],M_BOM[PPGridRow],64),0))</f>
        <v/>
      </c>
      <c r="BM39">
        <f>SUMPRODUCT((M_BOM[RM_Code]=$A39)*M_BOM[RM_Qty_Per_Batch]*IFERROR(INDEX(PP_Grid[#Data],M_BOM[PPGridRow],65),0))</f>
        <v/>
      </c>
      <c r="BN39">
        <f>SUMPRODUCT((M_BOM[RM_Code]=$A39)*M_BOM[RM_Qty_Per_Batch]*IFERROR(INDEX(PP_Grid[#Data],M_BOM[PPGridRow],66),0))</f>
        <v/>
      </c>
      <c r="BO39">
        <f>SUMPRODUCT((M_BOM[RM_Code]=$A39)*M_BOM[RM_Qty_Per_Batch]*IFERROR(INDEX(PP_Grid[#Data],M_BOM[PPGridRow],67),0))</f>
        <v/>
      </c>
      <c r="BP39">
        <f>SUMPRODUCT((M_BOM[RM_Code]=$A39)*M_BOM[RM_Qty_Per_Batch]*IFERROR(INDEX(PP_Grid[#Data],M_BOM[PPGridRow],68),0))</f>
        <v/>
      </c>
      <c r="BQ39">
        <f>SUMPRODUCT((M_BOM[RM_Code]=$A39)*M_BOM[RM_Qty_Per_Batch]*IFERROR(INDEX(PP_Grid[#Data],M_BOM[PPGridRow],69),0))</f>
        <v/>
      </c>
      <c r="BR39">
        <f>SUMPRODUCT((M_BOM[RM_Code]=$A39)*M_BOM[RM_Qty_Per_Batch]*IFERROR(INDEX(PP_Grid[#Data],M_BOM[PPGridRow],70),0))</f>
        <v/>
      </c>
      <c r="BS39">
        <f>SUMPRODUCT((M_BOM[RM_Code]=$A39)*M_BOM[RM_Qty_Per_Batch]*IFERROR(INDEX(PP_Grid[#Data],M_BOM[PPGridRow],71),0))</f>
        <v/>
      </c>
      <c r="BT39">
        <f>SUMPRODUCT((M_BOM[RM_Code]=$A39)*M_BOM[RM_Qty_Per_Batch]*IFERROR(INDEX(PP_Grid[#Data],M_BOM[PPGridRow],72),0))</f>
        <v/>
      </c>
      <c r="BU39">
        <f>SUMPRODUCT((M_BOM[RM_Code]=$A39)*M_BOM[RM_Qty_Per_Batch]*IFERROR(INDEX(PP_Grid[#Data],M_BOM[PPGridRow],73),0))</f>
        <v/>
      </c>
      <c r="BV39">
        <f>SUMPRODUCT((M_BOM[RM_Code]=$A39)*M_BOM[RM_Qty_Per_Batch]*IFERROR(INDEX(PP_Grid[#Data],M_BOM[PPGridRow],74),0))</f>
        <v/>
      </c>
      <c r="BW39">
        <f>SUMPRODUCT((M_BOM[RM_Code]=$A39)*M_BOM[RM_Qty_Per_Batch]*IFERROR(INDEX(PP_Grid[#Data],M_BOM[PPGridRow],75),0))</f>
        <v/>
      </c>
      <c r="BX39">
        <f>SUMPRODUCT((M_BOM[RM_Code]=$A39)*M_BOM[RM_Qty_Per_Batch]*IFERROR(INDEX(PP_Grid[#Data],M_BOM[PPGridRow],76),0))</f>
        <v/>
      </c>
      <c r="BY39">
        <f>SUMPRODUCT((M_BOM[RM_Code]=$A39)*M_BOM[RM_Qty_Per_Batch]*IFERROR(INDEX(PP_Grid[#Data],M_BOM[PPGridRow],77),0))</f>
        <v/>
      </c>
      <c r="BZ39">
        <f>SUMPRODUCT((M_BOM[RM_Code]=$A39)*M_BOM[RM_Qty_Per_Batch]*IFERROR(INDEX(PP_Grid[#Data],M_BOM[PPGridRow],78),0))</f>
        <v/>
      </c>
      <c r="CA39">
        <f>SUMPRODUCT((M_BOM[RM_Code]=$A39)*M_BOM[RM_Qty_Per_Batch]*IFERROR(INDEX(PP_Grid[#Data],M_BOM[PPGridRow],79),0))</f>
        <v/>
      </c>
      <c r="CB39">
        <f>SUMPRODUCT((M_BOM[RM_Code]=$A39)*M_BOM[RM_Qty_Per_Batch]*IFERROR(INDEX(PP_Grid[#Data],M_BOM[PPGridRow],80),0))</f>
        <v/>
      </c>
      <c r="CC39">
        <f>SUMPRODUCT((M_BOM[RM_Code]=$A39)*M_BOM[RM_Qty_Per_Batch]*IFERROR(INDEX(PP_Grid[#Data],M_BOM[PPGridRow],81),0))</f>
        <v/>
      </c>
      <c r="CD39">
        <f>SUMPRODUCT((M_BOM[RM_Code]=$A39)*M_BOM[RM_Qty_Per_Batch]*IFERROR(INDEX(PP_Grid[#Data],M_BOM[PPGridRow],82),0))</f>
        <v/>
      </c>
      <c r="CE39">
        <f>SUMPRODUCT((M_BOM[RM_Code]=$A39)*M_BOM[RM_Qty_Per_Batch]*IFERROR(INDEX(PP_Grid[#Data],M_BOM[PPGridRow],83),0))</f>
        <v/>
      </c>
      <c r="CF39">
        <f>SUMPRODUCT((M_BOM[RM_Code]=$A39)*M_BOM[RM_Qty_Per_Batch]*IFERROR(INDEX(PP_Grid[#Data],M_BOM[PPGridRow],84),0))</f>
        <v/>
      </c>
      <c r="CG39">
        <f>SUMPRODUCT((M_BOM[RM_Code]=$A39)*M_BOM[RM_Qty_Per_Batch]*IFERROR(INDEX(PP_Grid[#Data],M_BOM[PPGridRow],85),0))</f>
        <v/>
      </c>
      <c r="CH39">
        <f>SUMPRODUCT((M_BOM[RM_Code]=$A39)*M_BOM[RM_Qty_Per_Batch]*IFERROR(INDEX(PP_Grid[#Data],M_BOM[PPGridRow],86),0))</f>
        <v/>
      </c>
      <c r="CI39">
        <f>SUMPRODUCT((M_BOM[RM_Code]=$A39)*M_BOM[RM_Qty_Per_Batch]*IFERROR(INDEX(PP_Grid[#Data],M_BOM[PPGridRow],87),0))</f>
        <v/>
      </c>
      <c r="CJ39">
        <f>SUMPRODUCT((M_BOM[RM_Code]=$A39)*M_BOM[RM_Qty_Per_Batch]*IFERROR(INDEX(PP_Grid[#Data],M_BOM[PPGridRow],88),0))</f>
        <v/>
      </c>
      <c r="CK39">
        <f>SUMPRODUCT((M_BOM[RM_Code]=$A39)*M_BOM[RM_Qty_Per_Batch]*IFERROR(INDEX(PP_Grid[#Data],M_BOM[PPGridRow],89),0))</f>
        <v/>
      </c>
      <c r="CL39">
        <f>SUMPRODUCT((M_BOM[RM_Code]=$A39)*M_BOM[RM_Qty_Per_Batch]*IFERROR(INDEX(PP_Grid[#Data],M_BOM[PPGridRow],90),0))</f>
        <v/>
      </c>
      <c r="CM39">
        <f>SUMPRODUCT((M_BOM[RM_Code]=$A39)*M_BOM[RM_Qty_Per_Batch]*IFERROR(INDEX(PP_Grid[#Data],M_BOM[PPGridRow],91),0))</f>
        <v/>
      </c>
      <c r="CN39">
        <f>SUMPRODUCT((M_BOM[RM_Code]=$A39)*M_BOM[RM_Qty_Per_Batch]*IFERROR(INDEX(PP_Grid[#Data],M_BOM[PPGridRow],92),0))</f>
        <v/>
      </c>
      <c r="CO39">
        <f>SUMPRODUCT((M_BOM[RM_Code]=$A39)*M_BOM[RM_Qty_Per_Batch]*IFERROR(INDEX(PP_Grid[#Data],M_BOM[PPGridRow],93),0))</f>
        <v/>
      </c>
      <c r="CP39">
        <f>SUMPRODUCT((M_BOM[RM_Code]=$A39)*M_BOM[RM_Qty_Per_Batch]*IFERROR(INDEX(PP_Grid[#Data],M_BOM[PPGridRow],94),0))</f>
        <v/>
      </c>
      <c r="CQ39">
        <f>SUMPRODUCT((M_BOM[RM_Code]=$A39)*M_BOM[RM_Qty_Per_Batch]*IFERROR(INDEX(PP_Grid[#Data],M_BOM[PPGridRow],95),0))</f>
        <v/>
      </c>
      <c r="CR39">
        <f>SUMPRODUCT((M_BOM[RM_Code]=$A39)*M_BOM[RM_Qty_Per_Batch]*IFERROR(INDEX(PP_Grid[#Data],M_BOM[PPGridRow],96),0))</f>
        <v/>
      </c>
      <c r="CS39">
        <f>SUMPRODUCT((M_BOM[RM_Code]=$A39)*M_BOM[RM_Qty_Per_Batch]*IFERROR(INDEX(PP_Grid[#Data],M_BOM[PPGridRow],97),0))</f>
        <v/>
      </c>
      <c r="CT39">
        <f>SUMPRODUCT((M_BOM[RM_Code]=$A39)*M_BOM[RM_Qty_Per_Batch]*IFERROR(INDEX(PP_Grid[#Data],M_BOM[PPGridRow],98),0))</f>
        <v/>
      </c>
      <c r="CU39">
        <f>SUMPRODUCT((M_BOM[RM_Code]=$A39)*M_BOM[RM_Qty_Per_Batch]*IFERROR(INDEX(PP_Grid[#Data],M_BOM[PPGridRow],99),0))</f>
        <v/>
      </c>
      <c r="CV39">
        <f>SUMPRODUCT((M_BOM[RM_Code]=$A39)*M_BOM[RM_Qty_Per_Batch]*IFERROR(INDEX(PP_Grid[#Data],M_BOM[PPGridRow],100),0))</f>
        <v/>
      </c>
      <c r="CW39">
        <f>SUMPRODUCT((M_BOM[RM_Code]=$A39)*M_BOM[RM_Qty_Per_Batch]*IFERROR(INDEX(PP_Grid[#Data],M_BOM[PPGridRow],101),0))</f>
        <v/>
      </c>
      <c r="CX39">
        <f>SUMPRODUCT((M_BOM[RM_Code]=$A39)*M_BOM[RM_Qty_Per_Batch]*IFERROR(INDEX(PP_Grid[#Data],M_BOM[PPGridRow],102),0))</f>
        <v/>
      </c>
      <c r="CY39">
        <f>SUMPRODUCT((M_BOM[RM_Code]=$A39)*M_BOM[RM_Qty_Per_Batch]*IFERROR(INDEX(PP_Grid[#Data],M_BOM[PPGridRow],103),0))</f>
        <v/>
      </c>
      <c r="CZ39">
        <f>SUMPRODUCT((M_BOM[RM_Code]=$A39)*M_BOM[RM_Qty_Per_Batch]*IFERROR(INDEX(PP_Grid[#Data],M_BOM[PPGridRow],104),0))</f>
        <v/>
      </c>
      <c r="DA39">
        <f>SUMPRODUCT((M_BOM[RM_Code]=$A39)*M_BOM[RM_Qty_Per_Batch]*IFERROR(INDEX(PP_Grid[#Data],M_BOM[PPGridRow],105),0))</f>
        <v/>
      </c>
    </row>
    <row r="40">
      <c r="A40" t="inlineStr">
        <is>
          <t>TPP-1469</t>
        </is>
      </c>
      <c r="B40">
        <f>SUMPRODUCT((M_BOM[RM_Code]=$A40)*M_BOM[RM_Qty_Per_Batch]*IFERROR(INDEX(PP_Grid[#Data],M_BOM[PPGridRow],2),0))</f>
        <v/>
      </c>
      <c r="C40">
        <f>SUMPRODUCT((M_BOM[RM_Code]=$A40)*M_BOM[RM_Qty_Per_Batch]*IFERROR(INDEX(PP_Grid[#Data],M_BOM[PPGridRow],3),0))</f>
        <v/>
      </c>
      <c r="D40">
        <f>SUMPRODUCT((M_BOM[RM_Code]=$A40)*M_BOM[RM_Qty_Per_Batch]*IFERROR(INDEX(PP_Grid[#Data],M_BOM[PPGridRow],4),0))</f>
        <v/>
      </c>
      <c r="E40">
        <f>SUMPRODUCT((M_BOM[RM_Code]=$A40)*M_BOM[RM_Qty_Per_Batch]*IFERROR(INDEX(PP_Grid[#Data],M_BOM[PPGridRow],5),0))</f>
        <v/>
      </c>
      <c r="F40">
        <f>SUMPRODUCT((M_BOM[RM_Code]=$A40)*M_BOM[RM_Qty_Per_Batch]*IFERROR(INDEX(PP_Grid[#Data],M_BOM[PPGridRow],6),0))</f>
        <v/>
      </c>
      <c r="G40">
        <f>SUMPRODUCT((M_BOM[RM_Code]=$A40)*M_BOM[RM_Qty_Per_Batch]*IFERROR(INDEX(PP_Grid[#Data],M_BOM[PPGridRow],7),0))</f>
        <v/>
      </c>
      <c r="H40">
        <f>SUMPRODUCT((M_BOM[RM_Code]=$A40)*M_BOM[RM_Qty_Per_Batch]*IFERROR(INDEX(PP_Grid[#Data],M_BOM[PPGridRow],8),0))</f>
        <v/>
      </c>
      <c r="I40">
        <f>SUMPRODUCT((M_BOM[RM_Code]=$A40)*M_BOM[RM_Qty_Per_Batch]*IFERROR(INDEX(PP_Grid[#Data],M_BOM[PPGridRow],9),0))</f>
        <v/>
      </c>
      <c r="J40">
        <f>SUMPRODUCT((M_BOM[RM_Code]=$A40)*M_BOM[RM_Qty_Per_Batch]*IFERROR(INDEX(PP_Grid[#Data],M_BOM[PPGridRow],10),0))</f>
        <v/>
      </c>
      <c r="K40">
        <f>SUMPRODUCT((M_BOM[RM_Code]=$A40)*M_BOM[RM_Qty_Per_Batch]*IFERROR(INDEX(PP_Grid[#Data],M_BOM[PPGridRow],11),0))</f>
        <v/>
      </c>
      <c r="L40">
        <f>SUMPRODUCT((M_BOM[RM_Code]=$A40)*M_BOM[RM_Qty_Per_Batch]*IFERROR(INDEX(PP_Grid[#Data],M_BOM[PPGridRow],12),0))</f>
        <v/>
      </c>
      <c r="M40">
        <f>SUMPRODUCT((M_BOM[RM_Code]=$A40)*M_BOM[RM_Qty_Per_Batch]*IFERROR(INDEX(PP_Grid[#Data],M_BOM[PPGridRow],13),0))</f>
        <v/>
      </c>
      <c r="N40">
        <f>SUMPRODUCT((M_BOM[RM_Code]=$A40)*M_BOM[RM_Qty_Per_Batch]*IFERROR(INDEX(PP_Grid[#Data],M_BOM[PPGridRow],14),0))</f>
        <v/>
      </c>
      <c r="O40">
        <f>SUMPRODUCT((M_BOM[RM_Code]=$A40)*M_BOM[RM_Qty_Per_Batch]*IFERROR(INDEX(PP_Grid[#Data],M_BOM[PPGridRow],15),0))</f>
        <v/>
      </c>
      <c r="P40">
        <f>SUMPRODUCT((M_BOM[RM_Code]=$A40)*M_BOM[RM_Qty_Per_Batch]*IFERROR(INDEX(PP_Grid[#Data],M_BOM[PPGridRow],16),0))</f>
        <v/>
      </c>
      <c r="Q40">
        <f>SUMPRODUCT((M_BOM[RM_Code]=$A40)*M_BOM[RM_Qty_Per_Batch]*IFERROR(INDEX(PP_Grid[#Data],M_BOM[PPGridRow],17),0))</f>
        <v/>
      </c>
      <c r="R40">
        <f>SUMPRODUCT((M_BOM[RM_Code]=$A40)*M_BOM[RM_Qty_Per_Batch]*IFERROR(INDEX(PP_Grid[#Data],M_BOM[PPGridRow],18),0))</f>
        <v/>
      </c>
      <c r="S40">
        <f>SUMPRODUCT((M_BOM[RM_Code]=$A40)*M_BOM[RM_Qty_Per_Batch]*IFERROR(INDEX(PP_Grid[#Data],M_BOM[PPGridRow],19),0))</f>
        <v/>
      </c>
      <c r="T40">
        <f>SUMPRODUCT((M_BOM[RM_Code]=$A40)*M_BOM[RM_Qty_Per_Batch]*IFERROR(INDEX(PP_Grid[#Data],M_BOM[PPGridRow],20),0))</f>
        <v/>
      </c>
      <c r="U40">
        <f>SUMPRODUCT((M_BOM[RM_Code]=$A40)*M_BOM[RM_Qty_Per_Batch]*IFERROR(INDEX(PP_Grid[#Data],M_BOM[PPGridRow],21),0))</f>
        <v/>
      </c>
      <c r="V40">
        <f>SUMPRODUCT((M_BOM[RM_Code]=$A40)*M_BOM[RM_Qty_Per_Batch]*IFERROR(INDEX(PP_Grid[#Data],M_BOM[PPGridRow],22),0))</f>
        <v/>
      </c>
      <c r="W40">
        <f>SUMPRODUCT((M_BOM[RM_Code]=$A40)*M_BOM[RM_Qty_Per_Batch]*IFERROR(INDEX(PP_Grid[#Data],M_BOM[PPGridRow],23),0))</f>
        <v/>
      </c>
      <c r="X40">
        <f>SUMPRODUCT((M_BOM[RM_Code]=$A40)*M_BOM[RM_Qty_Per_Batch]*IFERROR(INDEX(PP_Grid[#Data],M_BOM[PPGridRow],24),0))</f>
        <v/>
      </c>
      <c r="Y40">
        <f>SUMPRODUCT((M_BOM[RM_Code]=$A40)*M_BOM[RM_Qty_Per_Batch]*IFERROR(INDEX(PP_Grid[#Data],M_BOM[PPGridRow],25),0))</f>
        <v/>
      </c>
      <c r="Z40">
        <f>SUMPRODUCT((M_BOM[RM_Code]=$A40)*M_BOM[RM_Qty_Per_Batch]*IFERROR(INDEX(PP_Grid[#Data],M_BOM[PPGridRow],26),0))</f>
        <v/>
      </c>
      <c r="AA40">
        <f>SUMPRODUCT((M_BOM[RM_Code]=$A40)*M_BOM[RM_Qty_Per_Batch]*IFERROR(INDEX(PP_Grid[#Data],M_BOM[PPGridRow],27),0))</f>
        <v/>
      </c>
      <c r="AB40">
        <f>SUMPRODUCT((M_BOM[RM_Code]=$A40)*M_BOM[RM_Qty_Per_Batch]*IFERROR(INDEX(PP_Grid[#Data],M_BOM[PPGridRow],28),0))</f>
        <v/>
      </c>
      <c r="AC40">
        <f>SUMPRODUCT((M_BOM[RM_Code]=$A40)*M_BOM[RM_Qty_Per_Batch]*IFERROR(INDEX(PP_Grid[#Data],M_BOM[PPGridRow],29),0))</f>
        <v/>
      </c>
      <c r="AD40">
        <f>SUMPRODUCT((M_BOM[RM_Code]=$A40)*M_BOM[RM_Qty_Per_Batch]*IFERROR(INDEX(PP_Grid[#Data],M_BOM[PPGridRow],30),0))</f>
        <v/>
      </c>
      <c r="AE40">
        <f>SUMPRODUCT((M_BOM[RM_Code]=$A40)*M_BOM[RM_Qty_Per_Batch]*IFERROR(INDEX(PP_Grid[#Data],M_BOM[PPGridRow],31),0))</f>
        <v/>
      </c>
      <c r="AF40">
        <f>SUMPRODUCT((M_BOM[RM_Code]=$A40)*M_BOM[RM_Qty_Per_Batch]*IFERROR(INDEX(PP_Grid[#Data],M_BOM[PPGridRow],32),0))</f>
        <v/>
      </c>
      <c r="AG40">
        <f>SUMPRODUCT((M_BOM[RM_Code]=$A40)*M_BOM[RM_Qty_Per_Batch]*IFERROR(INDEX(PP_Grid[#Data],M_BOM[PPGridRow],33),0))</f>
        <v/>
      </c>
      <c r="AH40">
        <f>SUMPRODUCT((M_BOM[RM_Code]=$A40)*M_BOM[RM_Qty_Per_Batch]*IFERROR(INDEX(PP_Grid[#Data],M_BOM[PPGridRow],34),0))</f>
        <v/>
      </c>
      <c r="AI40">
        <f>SUMPRODUCT((M_BOM[RM_Code]=$A40)*M_BOM[RM_Qty_Per_Batch]*IFERROR(INDEX(PP_Grid[#Data],M_BOM[PPGridRow],35),0))</f>
        <v/>
      </c>
      <c r="AJ40">
        <f>SUMPRODUCT((M_BOM[RM_Code]=$A40)*M_BOM[RM_Qty_Per_Batch]*IFERROR(INDEX(PP_Grid[#Data],M_BOM[PPGridRow],36),0))</f>
        <v/>
      </c>
      <c r="AK40">
        <f>SUMPRODUCT((M_BOM[RM_Code]=$A40)*M_BOM[RM_Qty_Per_Batch]*IFERROR(INDEX(PP_Grid[#Data],M_BOM[PPGridRow],37),0))</f>
        <v/>
      </c>
      <c r="AL40">
        <f>SUMPRODUCT((M_BOM[RM_Code]=$A40)*M_BOM[RM_Qty_Per_Batch]*IFERROR(INDEX(PP_Grid[#Data],M_BOM[PPGridRow],38),0))</f>
        <v/>
      </c>
      <c r="AM40">
        <f>SUMPRODUCT((M_BOM[RM_Code]=$A40)*M_BOM[RM_Qty_Per_Batch]*IFERROR(INDEX(PP_Grid[#Data],M_BOM[PPGridRow],39),0))</f>
        <v/>
      </c>
      <c r="AN40">
        <f>SUMPRODUCT((M_BOM[RM_Code]=$A40)*M_BOM[RM_Qty_Per_Batch]*IFERROR(INDEX(PP_Grid[#Data],M_BOM[PPGridRow],40),0))</f>
        <v/>
      </c>
      <c r="AO40">
        <f>SUMPRODUCT((M_BOM[RM_Code]=$A40)*M_BOM[RM_Qty_Per_Batch]*IFERROR(INDEX(PP_Grid[#Data],M_BOM[PPGridRow],41),0))</f>
        <v/>
      </c>
      <c r="AP40">
        <f>SUMPRODUCT((M_BOM[RM_Code]=$A40)*M_BOM[RM_Qty_Per_Batch]*IFERROR(INDEX(PP_Grid[#Data],M_BOM[PPGridRow],42),0))</f>
        <v/>
      </c>
      <c r="AQ40">
        <f>SUMPRODUCT((M_BOM[RM_Code]=$A40)*M_BOM[RM_Qty_Per_Batch]*IFERROR(INDEX(PP_Grid[#Data],M_BOM[PPGridRow],43),0))</f>
        <v/>
      </c>
      <c r="AR40">
        <f>SUMPRODUCT((M_BOM[RM_Code]=$A40)*M_BOM[RM_Qty_Per_Batch]*IFERROR(INDEX(PP_Grid[#Data],M_BOM[PPGridRow],44),0))</f>
        <v/>
      </c>
      <c r="AS40">
        <f>SUMPRODUCT((M_BOM[RM_Code]=$A40)*M_BOM[RM_Qty_Per_Batch]*IFERROR(INDEX(PP_Grid[#Data],M_BOM[PPGridRow],45),0))</f>
        <v/>
      </c>
      <c r="AT40">
        <f>SUMPRODUCT((M_BOM[RM_Code]=$A40)*M_BOM[RM_Qty_Per_Batch]*IFERROR(INDEX(PP_Grid[#Data],M_BOM[PPGridRow],46),0))</f>
        <v/>
      </c>
      <c r="AU40">
        <f>SUMPRODUCT((M_BOM[RM_Code]=$A40)*M_BOM[RM_Qty_Per_Batch]*IFERROR(INDEX(PP_Grid[#Data],M_BOM[PPGridRow],47),0))</f>
        <v/>
      </c>
      <c r="AV40">
        <f>SUMPRODUCT((M_BOM[RM_Code]=$A40)*M_BOM[RM_Qty_Per_Batch]*IFERROR(INDEX(PP_Grid[#Data],M_BOM[PPGridRow],48),0))</f>
        <v/>
      </c>
      <c r="AW40">
        <f>SUMPRODUCT((M_BOM[RM_Code]=$A40)*M_BOM[RM_Qty_Per_Batch]*IFERROR(INDEX(PP_Grid[#Data],M_BOM[PPGridRow],49),0))</f>
        <v/>
      </c>
      <c r="AX40">
        <f>SUMPRODUCT((M_BOM[RM_Code]=$A40)*M_BOM[RM_Qty_Per_Batch]*IFERROR(INDEX(PP_Grid[#Data],M_BOM[PPGridRow],50),0))</f>
        <v/>
      </c>
      <c r="AY40">
        <f>SUMPRODUCT((M_BOM[RM_Code]=$A40)*M_BOM[RM_Qty_Per_Batch]*IFERROR(INDEX(PP_Grid[#Data],M_BOM[PPGridRow],51),0))</f>
        <v/>
      </c>
      <c r="AZ40">
        <f>SUMPRODUCT((M_BOM[RM_Code]=$A40)*M_BOM[RM_Qty_Per_Batch]*IFERROR(INDEX(PP_Grid[#Data],M_BOM[PPGridRow],52),0))</f>
        <v/>
      </c>
      <c r="BA40">
        <f>SUMPRODUCT((M_BOM[RM_Code]=$A40)*M_BOM[RM_Qty_Per_Batch]*IFERROR(INDEX(PP_Grid[#Data],M_BOM[PPGridRow],53),0))</f>
        <v/>
      </c>
      <c r="BB40">
        <f>SUMPRODUCT((M_BOM[RM_Code]=$A40)*M_BOM[RM_Qty_Per_Batch]*IFERROR(INDEX(PP_Grid[#Data],M_BOM[PPGridRow],54),0))</f>
        <v/>
      </c>
      <c r="BC40">
        <f>SUMPRODUCT((M_BOM[RM_Code]=$A40)*M_BOM[RM_Qty_Per_Batch]*IFERROR(INDEX(PP_Grid[#Data],M_BOM[PPGridRow],55),0))</f>
        <v/>
      </c>
      <c r="BD40">
        <f>SUMPRODUCT((M_BOM[RM_Code]=$A40)*M_BOM[RM_Qty_Per_Batch]*IFERROR(INDEX(PP_Grid[#Data],M_BOM[PPGridRow],56),0))</f>
        <v/>
      </c>
      <c r="BE40">
        <f>SUMPRODUCT((M_BOM[RM_Code]=$A40)*M_BOM[RM_Qty_Per_Batch]*IFERROR(INDEX(PP_Grid[#Data],M_BOM[PPGridRow],57),0))</f>
        <v/>
      </c>
      <c r="BF40">
        <f>SUMPRODUCT((M_BOM[RM_Code]=$A40)*M_BOM[RM_Qty_Per_Batch]*IFERROR(INDEX(PP_Grid[#Data],M_BOM[PPGridRow],58),0))</f>
        <v/>
      </c>
      <c r="BG40">
        <f>SUMPRODUCT((M_BOM[RM_Code]=$A40)*M_BOM[RM_Qty_Per_Batch]*IFERROR(INDEX(PP_Grid[#Data],M_BOM[PPGridRow],59),0))</f>
        <v/>
      </c>
      <c r="BH40">
        <f>SUMPRODUCT((M_BOM[RM_Code]=$A40)*M_BOM[RM_Qty_Per_Batch]*IFERROR(INDEX(PP_Grid[#Data],M_BOM[PPGridRow],60),0))</f>
        <v/>
      </c>
      <c r="BI40">
        <f>SUMPRODUCT((M_BOM[RM_Code]=$A40)*M_BOM[RM_Qty_Per_Batch]*IFERROR(INDEX(PP_Grid[#Data],M_BOM[PPGridRow],61),0))</f>
        <v/>
      </c>
      <c r="BJ40">
        <f>SUMPRODUCT((M_BOM[RM_Code]=$A40)*M_BOM[RM_Qty_Per_Batch]*IFERROR(INDEX(PP_Grid[#Data],M_BOM[PPGridRow],62),0))</f>
        <v/>
      </c>
      <c r="BK40">
        <f>SUMPRODUCT((M_BOM[RM_Code]=$A40)*M_BOM[RM_Qty_Per_Batch]*IFERROR(INDEX(PP_Grid[#Data],M_BOM[PPGridRow],63),0))</f>
        <v/>
      </c>
      <c r="BL40">
        <f>SUMPRODUCT((M_BOM[RM_Code]=$A40)*M_BOM[RM_Qty_Per_Batch]*IFERROR(INDEX(PP_Grid[#Data],M_BOM[PPGridRow],64),0))</f>
        <v/>
      </c>
      <c r="BM40">
        <f>SUMPRODUCT((M_BOM[RM_Code]=$A40)*M_BOM[RM_Qty_Per_Batch]*IFERROR(INDEX(PP_Grid[#Data],M_BOM[PPGridRow],65),0))</f>
        <v/>
      </c>
      <c r="BN40">
        <f>SUMPRODUCT((M_BOM[RM_Code]=$A40)*M_BOM[RM_Qty_Per_Batch]*IFERROR(INDEX(PP_Grid[#Data],M_BOM[PPGridRow],66),0))</f>
        <v/>
      </c>
      <c r="BO40">
        <f>SUMPRODUCT((M_BOM[RM_Code]=$A40)*M_BOM[RM_Qty_Per_Batch]*IFERROR(INDEX(PP_Grid[#Data],M_BOM[PPGridRow],67),0))</f>
        <v/>
      </c>
      <c r="BP40">
        <f>SUMPRODUCT((M_BOM[RM_Code]=$A40)*M_BOM[RM_Qty_Per_Batch]*IFERROR(INDEX(PP_Grid[#Data],M_BOM[PPGridRow],68),0))</f>
        <v/>
      </c>
      <c r="BQ40">
        <f>SUMPRODUCT((M_BOM[RM_Code]=$A40)*M_BOM[RM_Qty_Per_Batch]*IFERROR(INDEX(PP_Grid[#Data],M_BOM[PPGridRow],69),0))</f>
        <v/>
      </c>
      <c r="BR40">
        <f>SUMPRODUCT((M_BOM[RM_Code]=$A40)*M_BOM[RM_Qty_Per_Batch]*IFERROR(INDEX(PP_Grid[#Data],M_BOM[PPGridRow],70),0))</f>
        <v/>
      </c>
      <c r="BS40">
        <f>SUMPRODUCT((M_BOM[RM_Code]=$A40)*M_BOM[RM_Qty_Per_Batch]*IFERROR(INDEX(PP_Grid[#Data],M_BOM[PPGridRow],71),0))</f>
        <v/>
      </c>
      <c r="BT40">
        <f>SUMPRODUCT((M_BOM[RM_Code]=$A40)*M_BOM[RM_Qty_Per_Batch]*IFERROR(INDEX(PP_Grid[#Data],M_BOM[PPGridRow],72),0))</f>
        <v/>
      </c>
      <c r="BU40">
        <f>SUMPRODUCT((M_BOM[RM_Code]=$A40)*M_BOM[RM_Qty_Per_Batch]*IFERROR(INDEX(PP_Grid[#Data],M_BOM[PPGridRow],73),0))</f>
        <v/>
      </c>
      <c r="BV40">
        <f>SUMPRODUCT((M_BOM[RM_Code]=$A40)*M_BOM[RM_Qty_Per_Batch]*IFERROR(INDEX(PP_Grid[#Data],M_BOM[PPGridRow],74),0))</f>
        <v/>
      </c>
      <c r="BW40">
        <f>SUMPRODUCT((M_BOM[RM_Code]=$A40)*M_BOM[RM_Qty_Per_Batch]*IFERROR(INDEX(PP_Grid[#Data],M_BOM[PPGridRow],75),0))</f>
        <v/>
      </c>
      <c r="BX40">
        <f>SUMPRODUCT((M_BOM[RM_Code]=$A40)*M_BOM[RM_Qty_Per_Batch]*IFERROR(INDEX(PP_Grid[#Data],M_BOM[PPGridRow],76),0))</f>
        <v/>
      </c>
      <c r="BY40">
        <f>SUMPRODUCT((M_BOM[RM_Code]=$A40)*M_BOM[RM_Qty_Per_Batch]*IFERROR(INDEX(PP_Grid[#Data],M_BOM[PPGridRow],77),0))</f>
        <v/>
      </c>
      <c r="BZ40">
        <f>SUMPRODUCT((M_BOM[RM_Code]=$A40)*M_BOM[RM_Qty_Per_Batch]*IFERROR(INDEX(PP_Grid[#Data],M_BOM[PPGridRow],78),0))</f>
        <v/>
      </c>
      <c r="CA40">
        <f>SUMPRODUCT((M_BOM[RM_Code]=$A40)*M_BOM[RM_Qty_Per_Batch]*IFERROR(INDEX(PP_Grid[#Data],M_BOM[PPGridRow],79),0))</f>
        <v/>
      </c>
      <c r="CB40">
        <f>SUMPRODUCT((M_BOM[RM_Code]=$A40)*M_BOM[RM_Qty_Per_Batch]*IFERROR(INDEX(PP_Grid[#Data],M_BOM[PPGridRow],80),0))</f>
        <v/>
      </c>
      <c r="CC40">
        <f>SUMPRODUCT((M_BOM[RM_Code]=$A40)*M_BOM[RM_Qty_Per_Batch]*IFERROR(INDEX(PP_Grid[#Data],M_BOM[PPGridRow],81),0))</f>
        <v/>
      </c>
      <c r="CD40">
        <f>SUMPRODUCT((M_BOM[RM_Code]=$A40)*M_BOM[RM_Qty_Per_Batch]*IFERROR(INDEX(PP_Grid[#Data],M_BOM[PPGridRow],82),0))</f>
        <v/>
      </c>
      <c r="CE40">
        <f>SUMPRODUCT((M_BOM[RM_Code]=$A40)*M_BOM[RM_Qty_Per_Batch]*IFERROR(INDEX(PP_Grid[#Data],M_BOM[PPGridRow],83),0))</f>
        <v/>
      </c>
      <c r="CF40">
        <f>SUMPRODUCT((M_BOM[RM_Code]=$A40)*M_BOM[RM_Qty_Per_Batch]*IFERROR(INDEX(PP_Grid[#Data],M_BOM[PPGridRow],84),0))</f>
        <v/>
      </c>
      <c r="CG40">
        <f>SUMPRODUCT((M_BOM[RM_Code]=$A40)*M_BOM[RM_Qty_Per_Batch]*IFERROR(INDEX(PP_Grid[#Data],M_BOM[PPGridRow],85),0))</f>
        <v/>
      </c>
      <c r="CH40">
        <f>SUMPRODUCT((M_BOM[RM_Code]=$A40)*M_BOM[RM_Qty_Per_Batch]*IFERROR(INDEX(PP_Grid[#Data],M_BOM[PPGridRow],86),0))</f>
        <v/>
      </c>
      <c r="CI40">
        <f>SUMPRODUCT((M_BOM[RM_Code]=$A40)*M_BOM[RM_Qty_Per_Batch]*IFERROR(INDEX(PP_Grid[#Data],M_BOM[PPGridRow],87),0))</f>
        <v/>
      </c>
      <c r="CJ40">
        <f>SUMPRODUCT((M_BOM[RM_Code]=$A40)*M_BOM[RM_Qty_Per_Batch]*IFERROR(INDEX(PP_Grid[#Data],M_BOM[PPGridRow],88),0))</f>
        <v/>
      </c>
      <c r="CK40">
        <f>SUMPRODUCT((M_BOM[RM_Code]=$A40)*M_BOM[RM_Qty_Per_Batch]*IFERROR(INDEX(PP_Grid[#Data],M_BOM[PPGridRow],89),0))</f>
        <v/>
      </c>
      <c r="CL40">
        <f>SUMPRODUCT((M_BOM[RM_Code]=$A40)*M_BOM[RM_Qty_Per_Batch]*IFERROR(INDEX(PP_Grid[#Data],M_BOM[PPGridRow],90),0))</f>
        <v/>
      </c>
      <c r="CM40">
        <f>SUMPRODUCT((M_BOM[RM_Code]=$A40)*M_BOM[RM_Qty_Per_Batch]*IFERROR(INDEX(PP_Grid[#Data],M_BOM[PPGridRow],91),0))</f>
        <v/>
      </c>
      <c r="CN40">
        <f>SUMPRODUCT((M_BOM[RM_Code]=$A40)*M_BOM[RM_Qty_Per_Batch]*IFERROR(INDEX(PP_Grid[#Data],M_BOM[PPGridRow],92),0))</f>
        <v/>
      </c>
      <c r="CO40">
        <f>SUMPRODUCT((M_BOM[RM_Code]=$A40)*M_BOM[RM_Qty_Per_Batch]*IFERROR(INDEX(PP_Grid[#Data],M_BOM[PPGridRow],93),0))</f>
        <v/>
      </c>
      <c r="CP40">
        <f>SUMPRODUCT((M_BOM[RM_Code]=$A40)*M_BOM[RM_Qty_Per_Batch]*IFERROR(INDEX(PP_Grid[#Data],M_BOM[PPGridRow],94),0))</f>
        <v/>
      </c>
      <c r="CQ40">
        <f>SUMPRODUCT((M_BOM[RM_Code]=$A40)*M_BOM[RM_Qty_Per_Batch]*IFERROR(INDEX(PP_Grid[#Data],M_BOM[PPGridRow],95),0))</f>
        <v/>
      </c>
      <c r="CR40">
        <f>SUMPRODUCT((M_BOM[RM_Code]=$A40)*M_BOM[RM_Qty_Per_Batch]*IFERROR(INDEX(PP_Grid[#Data],M_BOM[PPGridRow],96),0))</f>
        <v/>
      </c>
      <c r="CS40">
        <f>SUMPRODUCT((M_BOM[RM_Code]=$A40)*M_BOM[RM_Qty_Per_Batch]*IFERROR(INDEX(PP_Grid[#Data],M_BOM[PPGridRow],97),0))</f>
        <v/>
      </c>
      <c r="CT40">
        <f>SUMPRODUCT((M_BOM[RM_Code]=$A40)*M_BOM[RM_Qty_Per_Batch]*IFERROR(INDEX(PP_Grid[#Data],M_BOM[PPGridRow],98),0))</f>
        <v/>
      </c>
      <c r="CU40">
        <f>SUMPRODUCT((M_BOM[RM_Code]=$A40)*M_BOM[RM_Qty_Per_Batch]*IFERROR(INDEX(PP_Grid[#Data],M_BOM[PPGridRow],99),0))</f>
        <v/>
      </c>
      <c r="CV40">
        <f>SUMPRODUCT((M_BOM[RM_Code]=$A40)*M_BOM[RM_Qty_Per_Batch]*IFERROR(INDEX(PP_Grid[#Data],M_BOM[PPGridRow],100),0))</f>
        <v/>
      </c>
      <c r="CW40">
        <f>SUMPRODUCT((M_BOM[RM_Code]=$A40)*M_BOM[RM_Qty_Per_Batch]*IFERROR(INDEX(PP_Grid[#Data],M_BOM[PPGridRow],101),0))</f>
        <v/>
      </c>
      <c r="CX40">
        <f>SUMPRODUCT((M_BOM[RM_Code]=$A40)*M_BOM[RM_Qty_Per_Batch]*IFERROR(INDEX(PP_Grid[#Data],M_BOM[PPGridRow],102),0))</f>
        <v/>
      </c>
      <c r="CY40">
        <f>SUMPRODUCT((M_BOM[RM_Code]=$A40)*M_BOM[RM_Qty_Per_Batch]*IFERROR(INDEX(PP_Grid[#Data],M_BOM[PPGridRow],103),0))</f>
        <v/>
      </c>
      <c r="CZ40">
        <f>SUMPRODUCT((M_BOM[RM_Code]=$A40)*M_BOM[RM_Qty_Per_Batch]*IFERROR(INDEX(PP_Grid[#Data],M_BOM[PPGridRow],104),0))</f>
        <v/>
      </c>
      <c r="DA40">
        <f>SUMPRODUCT((M_BOM[RM_Code]=$A40)*M_BOM[RM_Qty_Per_Batch]*IFERROR(INDEX(PP_Grid[#Data],M_BOM[PPGridRow],105),0))</f>
        <v/>
      </c>
    </row>
    <row r="41">
      <c r="A41" t="inlineStr">
        <is>
          <t>TDJ</t>
        </is>
      </c>
      <c r="B41">
        <f>SUMPRODUCT((M_BOM[RM_Code]=$A41)*M_BOM[RM_Qty_Per_Batch]*IFERROR(INDEX(PP_Grid[#Data],M_BOM[PPGridRow],2),0))</f>
        <v/>
      </c>
      <c r="C41">
        <f>SUMPRODUCT((M_BOM[RM_Code]=$A41)*M_BOM[RM_Qty_Per_Batch]*IFERROR(INDEX(PP_Grid[#Data],M_BOM[PPGridRow],3),0))</f>
        <v/>
      </c>
      <c r="D41">
        <f>SUMPRODUCT((M_BOM[RM_Code]=$A41)*M_BOM[RM_Qty_Per_Batch]*IFERROR(INDEX(PP_Grid[#Data],M_BOM[PPGridRow],4),0))</f>
        <v/>
      </c>
      <c r="E41">
        <f>SUMPRODUCT((M_BOM[RM_Code]=$A41)*M_BOM[RM_Qty_Per_Batch]*IFERROR(INDEX(PP_Grid[#Data],M_BOM[PPGridRow],5),0))</f>
        <v/>
      </c>
      <c r="F41">
        <f>SUMPRODUCT((M_BOM[RM_Code]=$A41)*M_BOM[RM_Qty_Per_Batch]*IFERROR(INDEX(PP_Grid[#Data],M_BOM[PPGridRow],6),0))</f>
        <v/>
      </c>
      <c r="G41">
        <f>SUMPRODUCT((M_BOM[RM_Code]=$A41)*M_BOM[RM_Qty_Per_Batch]*IFERROR(INDEX(PP_Grid[#Data],M_BOM[PPGridRow],7),0))</f>
        <v/>
      </c>
      <c r="H41">
        <f>SUMPRODUCT((M_BOM[RM_Code]=$A41)*M_BOM[RM_Qty_Per_Batch]*IFERROR(INDEX(PP_Grid[#Data],M_BOM[PPGridRow],8),0))</f>
        <v/>
      </c>
      <c r="I41">
        <f>SUMPRODUCT((M_BOM[RM_Code]=$A41)*M_BOM[RM_Qty_Per_Batch]*IFERROR(INDEX(PP_Grid[#Data],M_BOM[PPGridRow],9),0))</f>
        <v/>
      </c>
      <c r="J41">
        <f>SUMPRODUCT((M_BOM[RM_Code]=$A41)*M_BOM[RM_Qty_Per_Batch]*IFERROR(INDEX(PP_Grid[#Data],M_BOM[PPGridRow],10),0))</f>
        <v/>
      </c>
      <c r="K41">
        <f>SUMPRODUCT((M_BOM[RM_Code]=$A41)*M_BOM[RM_Qty_Per_Batch]*IFERROR(INDEX(PP_Grid[#Data],M_BOM[PPGridRow],11),0))</f>
        <v/>
      </c>
      <c r="L41">
        <f>SUMPRODUCT((M_BOM[RM_Code]=$A41)*M_BOM[RM_Qty_Per_Batch]*IFERROR(INDEX(PP_Grid[#Data],M_BOM[PPGridRow],12),0))</f>
        <v/>
      </c>
      <c r="M41">
        <f>SUMPRODUCT((M_BOM[RM_Code]=$A41)*M_BOM[RM_Qty_Per_Batch]*IFERROR(INDEX(PP_Grid[#Data],M_BOM[PPGridRow],13),0))</f>
        <v/>
      </c>
      <c r="N41">
        <f>SUMPRODUCT((M_BOM[RM_Code]=$A41)*M_BOM[RM_Qty_Per_Batch]*IFERROR(INDEX(PP_Grid[#Data],M_BOM[PPGridRow],14),0))</f>
        <v/>
      </c>
      <c r="O41">
        <f>SUMPRODUCT((M_BOM[RM_Code]=$A41)*M_BOM[RM_Qty_Per_Batch]*IFERROR(INDEX(PP_Grid[#Data],M_BOM[PPGridRow],15),0))</f>
        <v/>
      </c>
      <c r="P41">
        <f>SUMPRODUCT((M_BOM[RM_Code]=$A41)*M_BOM[RM_Qty_Per_Batch]*IFERROR(INDEX(PP_Grid[#Data],M_BOM[PPGridRow],16),0))</f>
        <v/>
      </c>
      <c r="Q41">
        <f>SUMPRODUCT((M_BOM[RM_Code]=$A41)*M_BOM[RM_Qty_Per_Batch]*IFERROR(INDEX(PP_Grid[#Data],M_BOM[PPGridRow],17),0))</f>
        <v/>
      </c>
      <c r="R41">
        <f>SUMPRODUCT((M_BOM[RM_Code]=$A41)*M_BOM[RM_Qty_Per_Batch]*IFERROR(INDEX(PP_Grid[#Data],M_BOM[PPGridRow],18),0))</f>
        <v/>
      </c>
      <c r="S41">
        <f>SUMPRODUCT((M_BOM[RM_Code]=$A41)*M_BOM[RM_Qty_Per_Batch]*IFERROR(INDEX(PP_Grid[#Data],M_BOM[PPGridRow],19),0))</f>
        <v/>
      </c>
      <c r="T41">
        <f>SUMPRODUCT((M_BOM[RM_Code]=$A41)*M_BOM[RM_Qty_Per_Batch]*IFERROR(INDEX(PP_Grid[#Data],M_BOM[PPGridRow],20),0))</f>
        <v/>
      </c>
      <c r="U41">
        <f>SUMPRODUCT((M_BOM[RM_Code]=$A41)*M_BOM[RM_Qty_Per_Batch]*IFERROR(INDEX(PP_Grid[#Data],M_BOM[PPGridRow],21),0))</f>
        <v/>
      </c>
      <c r="V41">
        <f>SUMPRODUCT((M_BOM[RM_Code]=$A41)*M_BOM[RM_Qty_Per_Batch]*IFERROR(INDEX(PP_Grid[#Data],M_BOM[PPGridRow],22),0))</f>
        <v/>
      </c>
      <c r="W41">
        <f>SUMPRODUCT((M_BOM[RM_Code]=$A41)*M_BOM[RM_Qty_Per_Batch]*IFERROR(INDEX(PP_Grid[#Data],M_BOM[PPGridRow],23),0))</f>
        <v/>
      </c>
      <c r="X41">
        <f>SUMPRODUCT((M_BOM[RM_Code]=$A41)*M_BOM[RM_Qty_Per_Batch]*IFERROR(INDEX(PP_Grid[#Data],M_BOM[PPGridRow],24),0))</f>
        <v/>
      </c>
      <c r="Y41">
        <f>SUMPRODUCT((M_BOM[RM_Code]=$A41)*M_BOM[RM_Qty_Per_Batch]*IFERROR(INDEX(PP_Grid[#Data],M_BOM[PPGridRow],25),0))</f>
        <v/>
      </c>
      <c r="Z41">
        <f>SUMPRODUCT((M_BOM[RM_Code]=$A41)*M_BOM[RM_Qty_Per_Batch]*IFERROR(INDEX(PP_Grid[#Data],M_BOM[PPGridRow],26),0))</f>
        <v/>
      </c>
      <c r="AA41">
        <f>SUMPRODUCT((M_BOM[RM_Code]=$A41)*M_BOM[RM_Qty_Per_Batch]*IFERROR(INDEX(PP_Grid[#Data],M_BOM[PPGridRow],27),0))</f>
        <v/>
      </c>
      <c r="AB41">
        <f>SUMPRODUCT((M_BOM[RM_Code]=$A41)*M_BOM[RM_Qty_Per_Batch]*IFERROR(INDEX(PP_Grid[#Data],M_BOM[PPGridRow],28),0))</f>
        <v/>
      </c>
      <c r="AC41">
        <f>SUMPRODUCT((M_BOM[RM_Code]=$A41)*M_BOM[RM_Qty_Per_Batch]*IFERROR(INDEX(PP_Grid[#Data],M_BOM[PPGridRow],29),0))</f>
        <v/>
      </c>
      <c r="AD41">
        <f>SUMPRODUCT((M_BOM[RM_Code]=$A41)*M_BOM[RM_Qty_Per_Batch]*IFERROR(INDEX(PP_Grid[#Data],M_BOM[PPGridRow],30),0))</f>
        <v/>
      </c>
      <c r="AE41">
        <f>SUMPRODUCT((M_BOM[RM_Code]=$A41)*M_BOM[RM_Qty_Per_Batch]*IFERROR(INDEX(PP_Grid[#Data],M_BOM[PPGridRow],31),0))</f>
        <v/>
      </c>
      <c r="AF41">
        <f>SUMPRODUCT((M_BOM[RM_Code]=$A41)*M_BOM[RM_Qty_Per_Batch]*IFERROR(INDEX(PP_Grid[#Data],M_BOM[PPGridRow],32),0))</f>
        <v/>
      </c>
      <c r="AG41">
        <f>SUMPRODUCT((M_BOM[RM_Code]=$A41)*M_BOM[RM_Qty_Per_Batch]*IFERROR(INDEX(PP_Grid[#Data],M_BOM[PPGridRow],33),0))</f>
        <v/>
      </c>
      <c r="AH41">
        <f>SUMPRODUCT((M_BOM[RM_Code]=$A41)*M_BOM[RM_Qty_Per_Batch]*IFERROR(INDEX(PP_Grid[#Data],M_BOM[PPGridRow],34),0))</f>
        <v/>
      </c>
      <c r="AI41">
        <f>SUMPRODUCT((M_BOM[RM_Code]=$A41)*M_BOM[RM_Qty_Per_Batch]*IFERROR(INDEX(PP_Grid[#Data],M_BOM[PPGridRow],35),0))</f>
        <v/>
      </c>
      <c r="AJ41">
        <f>SUMPRODUCT((M_BOM[RM_Code]=$A41)*M_BOM[RM_Qty_Per_Batch]*IFERROR(INDEX(PP_Grid[#Data],M_BOM[PPGridRow],36),0))</f>
        <v/>
      </c>
      <c r="AK41">
        <f>SUMPRODUCT((M_BOM[RM_Code]=$A41)*M_BOM[RM_Qty_Per_Batch]*IFERROR(INDEX(PP_Grid[#Data],M_BOM[PPGridRow],37),0))</f>
        <v/>
      </c>
      <c r="AL41">
        <f>SUMPRODUCT((M_BOM[RM_Code]=$A41)*M_BOM[RM_Qty_Per_Batch]*IFERROR(INDEX(PP_Grid[#Data],M_BOM[PPGridRow],38),0))</f>
        <v/>
      </c>
      <c r="AM41">
        <f>SUMPRODUCT((M_BOM[RM_Code]=$A41)*M_BOM[RM_Qty_Per_Batch]*IFERROR(INDEX(PP_Grid[#Data],M_BOM[PPGridRow],39),0))</f>
        <v/>
      </c>
      <c r="AN41">
        <f>SUMPRODUCT((M_BOM[RM_Code]=$A41)*M_BOM[RM_Qty_Per_Batch]*IFERROR(INDEX(PP_Grid[#Data],M_BOM[PPGridRow],40),0))</f>
        <v/>
      </c>
      <c r="AO41">
        <f>SUMPRODUCT((M_BOM[RM_Code]=$A41)*M_BOM[RM_Qty_Per_Batch]*IFERROR(INDEX(PP_Grid[#Data],M_BOM[PPGridRow],41),0))</f>
        <v/>
      </c>
      <c r="AP41">
        <f>SUMPRODUCT((M_BOM[RM_Code]=$A41)*M_BOM[RM_Qty_Per_Batch]*IFERROR(INDEX(PP_Grid[#Data],M_BOM[PPGridRow],42),0))</f>
        <v/>
      </c>
      <c r="AQ41">
        <f>SUMPRODUCT((M_BOM[RM_Code]=$A41)*M_BOM[RM_Qty_Per_Batch]*IFERROR(INDEX(PP_Grid[#Data],M_BOM[PPGridRow],43),0))</f>
        <v/>
      </c>
      <c r="AR41">
        <f>SUMPRODUCT((M_BOM[RM_Code]=$A41)*M_BOM[RM_Qty_Per_Batch]*IFERROR(INDEX(PP_Grid[#Data],M_BOM[PPGridRow],44),0))</f>
        <v/>
      </c>
      <c r="AS41">
        <f>SUMPRODUCT((M_BOM[RM_Code]=$A41)*M_BOM[RM_Qty_Per_Batch]*IFERROR(INDEX(PP_Grid[#Data],M_BOM[PPGridRow],45),0))</f>
        <v/>
      </c>
      <c r="AT41">
        <f>SUMPRODUCT((M_BOM[RM_Code]=$A41)*M_BOM[RM_Qty_Per_Batch]*IFERROR(INDEX(PP_Grid[#Data],M_BOM[PPGridRow],46),0))</f>
        <v/>
      </c>
      <c r="AU41">
        <f>SUMPRODUCT((M_BOM[RM_Code]=$A41)*M_BOM[RM_Qty_Per_Batch]*IFERROR(INDEX(PP_Grid[#Data],M_BOM[PPGridRow],47),0))</f>
        <v/>
      </c>
      <c r="AV41">
        <f>SUMPRODUCT((M_BOM[RM_Code]=$A41)*M_BOM[RM_Qty_Per_Batch]*IFERROR(INDEX(PP_Grid[#Data],M_BOM[PPGridRow],48),0))</f>
        <v/>
      </c>
      <c r="AW41">
        <f>SUMPRODUCT((M_BOM[RM_Code]=$A41)*M_BOM[RM_Qty_Per_Batch]*IFERROR(INDEX(PP_Grid[#Data],M_BOM[PPGridRow],49),0))</f>
        <v/>
      </c>
      <c r="AX41">
        <f>SUMPRODUCT((M_BOM[RM_Code]=$A41)*M_BOM[RM_Qty_Per_Batch]*IFERROR(INDEX(PP_Grid[#Data],M_BOM[PPGridRow],50),0))</f>
        <v/>
      </c>
      <c r="AY41">
        <f>SUMPRODUCT((M_BOM[RM_Code]=$A41)*M_BOM[RM_Qty_Per_Batch]*IFERROR(INDEX(PP_Grid[#Data],M_BOM[PPGridRow],51),0))</f>
        <v/>
      </c>
      <c r="AZ41">
        <f>SUMPRODUCT((M_BOM[RM_Code]=$A41)*M_BOM[RM_Qty_Per_Batch]*IFERROR(INDEX(PP_Grid[#Data],M_BOM[PPGridRow],52),0))</f>
        <v/>
      </c>
      <c r="BA41">
        <f>SUMPRODUCT((M_BOM[RM_Code]=$A41)*M_BOM[RM_Qty_Per_Batch]*IFERROR(INDEX(PP_Grid[#Data],M_BOM[PPGridRow],53),0))</f>
        <v/>
      </c>
      <c r="BB41">
        <f>SUMPRODUCT((M_BOM[RM_Code]=$A41)*M_BOM[RM_Qty_Per_Batch]*IFERROR(INDEX(PP_Grid[#Data],M_BOM[PPGridRow],54),0))</f>
        <v/>
      </c>
      <c r="BC41">
        <f>SUMPRODUCT((M_BOM[RM_Code]=$A41)*M_BOM[RM_Qty_Per_Batch]*IFERROR(INDEX(PP_Grid[#Data],M_BOM[PPGridRow],55),0))</f>
        <v/>
      </c>
      <c r="BD41">
        <f>SUMPRODUCT((M_BOM[RM_Code]=$A41)*M_BOM[RM_Qty_Per_Batch]*IFERROR(INDEX(PP_Grid[#Data],M_BOM[PPGridRow],56),0))</f>
        <v/>
      </c>
      <c r="BE41">
        <f>SUMPRODUCT((M_BOM[RM_Code]=$A41)*M_BOM[RM_Qty_Per_Batch]*IFERROR(INDEX(PP_Grid[#Data],M_BOM[PPGridRow],57),0))</f>
        <v/>
      </c>
      <c r="BF41">
        <f>SUMPRODUCT((M_BOM[RM_Code]=$A41)*M_BOM[RM_Qty_Per_Batch]*IFERROR(INDEX(PP_Grid[#Data],M_BOM[PPGridRow],58),0))</f>
        <v/>
      </c>
      <c r="BG41">
        <f>SUMPRODUCT((M_BOM[RM_Code]=$A41)*M_BOM[RM_Qty_Per_Batch]*IFERROR(INDEX(PP_Grid[#Data],M_BOM[PPGridRow],59),0))</f>
        <v/>
      </c>
      <c r="BH41">
        <f>SUMPRODUCT((M_BOM[RM_Code]=$A41)*M_BOM[RM_Qty_Per_Batch]*IFERROR(INDEX(PP_Grid[#Data],M_BOM[PPGridRow],60),0))</f>
        <v/>
      </c>
      <c r="BI41">
        <f>SUMPRODUCT((M_BOM[RM_Code]=$A41)*M_BOM[RM_Qty_Per_Batch]*IFERROR(INDEX(PP_Grid[#Data],M_BOM[PPGridRow],61),0))</f>
        <v/>
      </c>
      <c r="BJ41">
        <f>SUMPRODUCT((M_BOM[RM_Code]=$A41)*M_BOM[RM_Qty_Per_Batch]*IFERROR(INDEX(PP_Grid[#Data],M_BOM[PPGridRow],62),0))</f>
        <v/>
      </c>
      <c r="BK41">
        <f>SUMPRODUCT((M_BOM[RM_Code]=$A41)*M_BOM[RM_Qty_Per_Batch]*IFERROR(INDEX(PP_Grid[#Data],M_BOM[PPGridRow],63),0))</f>
        <v/>
      </c>
      <c r="BL41">
        <f>SUMPRODUCT((M_BOM[RM_Code]=$A41)*M_BOM[RM_Qty_Per_Batch]*IFERROR(INDEX(PP_Grid[#Data],M_BOM[PPGridRow],64),0))</f>
        <v/>
      </c>
      <c r="BM41">
        <f>SUMPRODUCT((M_BOM[RM_Code]=$A41)*M_BOM[RM_Qty_Per_Batch]*IFERROR(INDEX(PP_Grid[#Data],M_BOM[PPGridRow],65),0))</f>
        <v/>
      </c>
      <c r="BN41">
        <f>SUMPRODUCT((M_BOM[RM_Code]=$A41)*M_BOM[RM_Qty_Per_Batch]*IFERROR(INDEX(PP_Grid[#Data],M_BOM[PPGridRow],66),0))</f>
        <v/>
      </c>
      <c r="BO41">
        <f>SUMPRODUCT((M_BOM[RM_Code]=$A41)*M_BOM[RM_Qty_Per_Batch]*IFERROR(INDEX(PP_Grid[#Data],M_BOM[PPGridRow],67),0))</f>
        <v/>
      </c>
      <c r="BP41">
        <f>SUMPRODUCT((M_BOM[RM_Code]=$A41)*M_BOM[RM_Qty_Per_Batch]*IFERROR(INDEX(PP_Grid[#Data],M_BOM[PPGridRow],68),0))</f>
        <v/>
      </c>
      <c r="BQ41">
        <f>SUMPRODUCT((M_BOM[RM_Code]=$A41)*M_BOM[RM_Qty_Per_Batch]*IFERROR(INDEX(PP_Grid[#Data],M_BOM[PPGridRow],69),0))</f>
        <v/>
      </c>
      <c r="BR41">
        <f>SUMPRODUCT((M_BOM[RM_Code]=$A41)*M_BOM[RM_Qty_Per_Batch]*IFERROR(INDEX(PP_Grid[#Data],M_BOM[PPGridRow],70),0))</f>
        <v/>
      </c>
      <c r="BS41">
        <f>SUMPRODUCT((M_BOM[RM_Code]=$A41)*M_BOM[RM_Qty_Per_Batch]*IFERROR(INDEX(PP_Grid[#Data],M_BOM[PPGridRow],71),0))</f>
        <v/>
      </c>
      <c r="BT41">
        <f>SUMPRODUCT((M_BOM[RM_Code]=$A41)*M_BOM[RM_Qty_Per_Batch]*IFERROR(INDEX(PP_Grid[#Data],M_BOM[PPGridRow],72),0))</f>
        <v/>
      </c>
      <c r="BU41">
        <f>SUMPRODUCT((M_BOM[RM_Code]=$A41)*M_BOM[RM_Qty_Per_Batch]*IFERROR(INDEX(PP_Grid[#Data],M_BOM[PPGridRow],73),0))</f>
        <v/>
      </c>
      <c r="BV41">
        <f>SUMPRODUCT((M_BOM[RM_Code]=$A41)*M_BOM[RM_Qty_Per_Batch]*IFERROR(INDEX(PP_Grid[#Data],M_BOM[PPGridRow],74),0))</f>
        <v/>
      </c>
      <c r="BW41">
        <f>SUMPRODUCT((M_BOM[RM_Code]=$A41)*M_BOM[RM_Qty_Per_Batch]*IFERROR(INDEX(PP_Grid[#Data],M_BOM[PPGridRow],75),0))</f>
        <v/>
      </c>
      <c r="BX41">
        <f>SUMPRODUCT((M_BOM[RM_Code]=$A41)*M_BOM[RM_Qty_Per_Batch]*IFERROR(INDEX(PP_Grid[#Data],M_BOM[PPGridRow],76),0))</f>
        <v/>
      </c>
      <c r="BY41">
        <f>SUMPRODUCT((M_BOM[RM_Code]=$A41)*M_BOM[RM_Qty_Per_Batch]*IFERROR(INDEX(PP_Grid[#Data],M_BOM[PPGridRow],77),0))</f>
        <v/>
      </c>
      <c r="BZ41">
        <f>SUMPRODUCT((M_BOM[RM_Code]=$A41)*M_BOM[RM_Qty_Per_Batch]*IFERROR(INDEX(PP_Grid[#Data],M_BOM[PPGridRow],78),0))</f>
        <v/>
      </c>
      <c r="CA41">
        <f>SUMPRODUCT((M_BOM[RM_Code]=$A41)*M_BOM[RM_Qty_Per_Batch]*IFERROR(INDEX(PP_Grid[#Data],M_BOM[PPGridRow],79),0))</f>
        <v/>
      </c>
      <c r="CB41">
        <f>SUMPRODUCT((M_BOM[RM_Code]=$A41)*M_BOM[RM_Qty_Per_Batch]*IFERROR(INDEX(PP_Grid[#Data],M_BOM[PPGridRow],80),0))</f>
        <v/>
      </c>
      <c r="CC41">
        <f>SUMPRODUCT((M_BOM[RM_Code]=$A41)*M_BOM[RM_Qty_Per_Batch]*IFERROR(INDEX(PP_Grid[#Data],M_BOM[PPGridRow],81),0))</f>
        <v/>
      </c>
      <c r="CD41">
        <f>SUMPRODUCT((M_BOM[RM_Code]=$A41)*M_BOM[RM_Qty_Per_Batch]*IFERROR(INDEX(PP_Grid[#Data],M_BOM[PPGridRow],82),0))</f>
        <v/>
      </c>
      <c r="CE41">
        <f>SUMPRODUCT((M_BOM[RM_Code]=$A41)*M_BOM[RM_Qty_Per_Batch]*IFERROR(INDEX(PP_Grid[#Data],M_BOM[PPGridRow],83),0))</f>
        <v/>
      </c>
      <c r="CF41">
        <f>SUMPRODUCT((M_BOM[RM_Code]=$A41)*M_BOM[RM_Qty_Per_Batch]*IFERROR(INDEX(PP_Grid[#Data],M_BOM[PPGridRow],84),0))</f>
        <v/>
      </c>
      <c r="CG41">
        <f>SUMPRODUCT((M_BOM[RM_Code]=$A41)*M_BOM[RM_Qty_Per_Batch]*IFERROR(INDEX(PP_Grid[#Data],M_BOM[PPGridRow],85),0))</f>
        <v/>
      </c>
      <c r="CH41">
        <f>SUMPRODUCT((M_BOM[RM_Code]=$A41)*M_BOM[RM_Qty_Per_Batch]*IFERROR(INDEX(PP_Grid[#Data],M_BOM[PPGridRow],86),0))</f>
        <v/>
      </c>
      <c r="CI41">
        <f>SUMPRODUCT((M_BOM[RM_Code]=$A41)*M_BOM[RM_Qty_Per_Batch]*IFERROR(INDEX(PP_Grid[#Data],M_BOM[PPGridRow],87),0))</f>
        <v/>
      </c>
      <c r="CJ41">
        <f>SUMPRODUCT((M_BOM[RM_Code]=$A41)*M_BOM[RM_Qty_Per_Batch]*IFERROR(INDEX(PP_Grid[#Data],M_BOM[PPGridRow],88),0))</f>
        <v/>
      </c>
      <c r="CK41">
        <f>SUMPRODUCT((M_BOM[RM_Code]=$A41)*M_BOM[RM_Qty_Per_Batch]*IFERROR(INDEX(PP_Grid[#Data],M_BOM[PPGridRow],89),0))</f>
        <v/>
      </c>
      <c r="CL41">
        <f>SUMPRODUCT((M_BOM[RM_Code]=$A41)*M_BOM[RM_Qty_Per_Batch]*IFERROR(INDEX(PP_Grid[#Data],M_BOM[PPGridRow],90),0))</f>
        <v/>
      </c>
      <c r="CM41">
        <f>SUMPRODUCT((M_BOM[RM_Code]=$A41)*M_BOM[RM_Qty_Per_Batch]*IFERROR(INDEX(PP_Grid[#Data],M_BOM[PPGridRow],91),0))</f>
        <v/>
      </c>
      <c r="CN41">
        <f>SUMPRODUCT((M_BOM[RM_Code]=$A41)*M_BOM[RM_Qty_Per_Batch]*IFERROR(INDEX(PP_Grid[#Data],M_BOM[PPGridRow],92),0))</f>
        <v/>
      </c>
      <c r="CO41">
        <f>SUMPRODUCT((M_BOM[RM_Code]=$A41)*M_BOM[RM_Qty_Per_Batch]*IFERROR(INDEX(PP_Grid[#Data],M_BOM[PPGridRow],93),0))</f>
        <v/>
      </c>
      <c r="CP41">
        <f>SUMPRODUCT((M_BOM[RM_Code]=$A41)*M_BOM[RM_Qty_Per_Batch]*IFERROR(INDEX(PP_Grid[#Data],M_BOM[PPGridRow],94),0))</f>
        <v/>
      </c>
      <c r="CQ41">
        <f>SUMPRODUCT((M_BOM[RM_Code]=$A41)*M_BOM[RM_Qty_Per_Batch]*IFERROR(INDEX(PP_Grid[#Data],M_BOM[PPGridRow],95),0))</f>
        <v/>
      </c>
      <c r="CR41">
        <f>SUMPRODUCT((M_BOM[RM_Code]=$A41)*M_BOM[RM_Qty_Per_Batch]*IFERROR(INDEX(PP_Grid[#Data],M_BOM[PPGridRow],96),0))</f>
        <v/>
      </c>
      <c r="CS41">
        <f>SUMPRODUCT((M_BOM[RM_Code]=$A41)*M_BOM[RM_Qty_Per_Batch]*IFERROR(INDEX(PP_Grid[#Data],M_BOM[PPGridRow],97),0))</f>
        <v/>
      </c>
      <c r="CT41">
        <f>SUMPRODUCT((M_BOM[RM_Code]=$A41)*M_BOM[RM_Qty_Per_Batch]*IFERROR(INDEX(PP_Grid[#Data],M_BOM[PPGridRow],98),0))</f>
        <v/>
      </c>
      <c r="CU41">
        <f>SUMPRODUCT((M_BOM[RM_Code]=$A41)*M_BOM[RM_Qty_Per_Batch]*IFERROR(INDEX(PP_Grid[#Data],M_BOM[PPGridRow],99),0))</f>
        <v/>
      </c>
      <c r="CV41">
        <f>SUMPRODUCT((M_BOM[RM_Code]=$A41)*M_BOM[RM_Qty_Per_Batch]*IFERROR(INDEX(PP_Grid[#Data],M_BOM[PPGridRow],100),0))</f>
        <v/>
      </c>
      <c r="CW41">
        <f>SUMPRODUCT((M_BOM[RM_Code]=$A41)*M_BOM[RM_Qty_Per_Batch]*IFERROR(INDEX(PP_Grid[#Data],M_BOM[PPGridRow],101),0))</f>
        <v/>
      </c>
      <c r="CX41">
        <f>SUMPRODUCT((M_BOM[RM_Code]=$A41)*M_BOM[RM_Qty_Per_Batch]*IFERROR(INDEX(PP_Grid[#Data],M_BOM[PPGridRow],102),0))</f>
        <v/>
      </c>
      <c r="CY41">
        <f>SUMPRODUCT((M_BOM[RM_Code]=$A41)*M_BOM[RM_Qty_Per_Batch]*IFERROR(INDEX(PP_Grid[#Data],M_BOM[PPGridRow],103),0))</f>
        <v/>
      </c>
      <c r="CZ41">
        <f>SUMPRODUCT((M_BOM[RM_Code]=$A41)*M_BOM[RM_Qty_Per_Batch]*IFERROR(INDEX(PP_Grid[#Data],M_BOM[PPGridRow],104),0))</f>
        <v/>
      </c>
      <c r="DA41">
        <f>SUMPRODUCT((M_BOM[RM_Code]=$A41)*M_BOM[RM_Qty_Per_Batch]*IFERROR(INDEX(PP_Grid[#Data],M_BOM[PPGridRow],105),0))</f>
        <v/>
      </c>
    </row>
    <row r="42">
      <c r="A42" t="inlineStr">
        <is>
          <t>CHEM-1730</t>
        </is>
      </c>
      <c r="B42">
        <f>SUMPRODUCT((M_BOM[RM_Code]=$A42)*M_BOM[RM_Qty_Per_Batch]*IFERROR(INDEX(PP_Grid[#Data],M_BOM[PPGridRow],2),0))</f>
        <v/>
      </c>
      <c r="C42">
        <f>SUMPRODUCT((M_BOM[RM_Code]=$A42)*M_BOM[RM_Qty_Per_Batch]*IFERROR(INDEX(PP_Grid[#Data],M_BOM[PPGridRow],3),0))</f>
        <v/>
      </c>
      <c r="D42">
        <f>SUMPRODUCT((M_BOM[RM_Code]=$A42)*M_BOM[RM_Qty_Per_Batch]*IFERROR(INDEX(PP_Grid[#Data],M_BOM[PPGridRow],4),0))</f>
        <v/>
      </c>
      <c r="E42">
        <f>SUMPRODUCT((M_BOM[RM_Code]=$A42)*M_BOM[RM_Qty_Per_Batch]*IFERROR(INDEX(PP_Grid[#Data],M_BOM[PPGridRow],5),0))</f>
        <v/>
      </c>
      <c r="F42">
        <f>SUMPRODUCT((M_BOM[RM_Code]=$A42)*M_BOM[RM_Qty_Per_Batch]*IFERROR(INDEX(PP_Grid[#Data],M_BOM[PPGridRow],6),0))</f>
        <v/>
      </c>
      <c r="G42">
        <f>SUMPRODUCT((M_BOM[RM_Code]=$A42)*M_BOM[RM_Qty_Per_Batch]*IFERROR(INDEX(PP_Grid[#Data],M_BOM[PPGridRow],7),0))</f>
        <v/>
      </c>
      <c r="H42">
        <f>SUMPRODUCT((M_BOM[RM_Code]=$A42)*M_BOM[RM_Qty_Per_Batch]*IFERROR(INDEX(PP_Grid[#Data],M_BOM[PPGridRow],8),0))</f>
        <v/>
      </c>
      <c r="I42">
        <f>SUMPRODUCT((M_BOM[RM_Code]=$A42)*M_BOM[RM_Qty_Per_Batch]*IFERROR(INDEX(PP_Grid[#Data],M_BOM[PPGridRow],9),0))</f>
        <v/>
      </c>
      <c r="J42">
        <f>SUMPRODUCT((M_BOM[RM_Code]=$A42)*M_BOM[RM_Qty_Per_Batch]*IFERROR(INDEX(PP_Grid[#Data],M_BOM[PPGridRow],10),0))</f>
        <v/>
      </c>
      <c r="K42">
        <f>SUMPRODUCT((M_BOM[RM_Code]=$A42)*M_BOM[RM_Qty_Per_Batch]*IFERROR(INDEX(PP_Grid[#Data],M_BOM[PPGridRow],11),0))</f>
        <v/>
      </c>
      <c r="L42">
        <f>SUMPRODUCT((M_BOM[RM_Code]=$A42)*M_BOM[RM_Qty_Per_Batch]*IFERROR(INDEX(PP_Grid[#Data],M_BOM[PPGridRow],12),0))</f>
        <v/>
      </c>
      <c r="M42">
        <f>SUMPRODUCT((M_BOM[RM_Code]=$A42)*M_BOM[RM_Qty_Per_Batch]*IFERROR(INDEX(PP_Grid[#Data],M_BOM[PPGridRow],13),0))</f>
        <v/>
      </c>
      <c r="N42">
        <f>SUMPRODUCT((M_BOM[RM_Code]=$A42)*M_BOM[RM_Qty_Per_Batch]*IFERROR(INDEX(PP_Grid[#Data],M_BOM[PPGridRow],14),0))</f>
        <v/>
      </c>
      <c r="O42">
        <f>SUMPRODUCT((M_BOM[RM_Code]=$A42)*M_BOM[RM_Qty_Per_Batch]*IFERROR(INDEX(PP_Grid[#Data],M_BOM[PPGridRow],15),0))</f>
        <v/>
      </c>
      <c r="P42">
        <f>SUMPRODUCT((M_BOM[RM_Code]=$A42)*M_BOM[RM_Qty_Per_Batch]*IFERROR(INDEX(PP_Grid[#Data],M_BOM[PPGridRow],16),0))</f>
        <v/>
      </c>
      <c r="Q42">
        <f>SUMPRODUCT((M_BOM[RM_Code]=$A42)*M_BOM[RM_Qty_Per_Batch]*IFERROR(INDEX(PP_Grid[#Data],M_BOM[PPGridRow],17),0))</f>
        <v/>
      </c>
      <c r="R42">
        <f>SUMPRODUCT((M_BOM[RM_Code]=$A42)*M_BOM[RM_Qty_Per_Batch]*IFERROR(INDEX(PP_Grid[#Data],M_BOM[PPGridRow],18),0))</f>
        <v/>
      </c>
      <c r="S42">
        <f>SUMPRODUCT((M_BOM[RM_Code]=$A42)*M_BOM[RM_Qty_Per_Batch]*IFERROR(INDEX(PP_Grid[#Data],M_BOM[PPGridRow],19),0))</f>
        <v/>
      </c>
      <c r="T42">
        <f>SUMPRODUCT((M_BOM[RM_Code]=$A42)*M_BOM[RM_Qty_Per_Batch]*IFERROR(INDEX(PP_Grid[#Data],M_BOM[PPGridRow],20),0))</f>
        <v/>
      </c>
      <c r="U42">
        <f>SUMPRODUCT((M_BOM[RM_Code]=$A42)*M_BOM[RM_Qty_Per_Batch]*IFERROR(INDEX(PP_Grid[#Data],M_BOM[PPGridRow],21),0))</f>
        <v/>
      </c>
      <c r="V42">
        <f>SUMPRODUCT((M_BOM[RM_Code]=$A42)*M_BOM[RM_Qty_Per_Batch]*IFERROR(INDEX(PP_Grid[#Data],M_BOM[PPGridRow],22),0))</f>
        <v/>
      </c>
      <c r="W42">
        <f>SUMPRODUCT((M_BOM[RM_Code]=$A42)*M_BOM[RM_Qty_Per_Batch]*IFERROR(INDEX(PP_Grid[#Data],M_BOM[PPGridRow],23),0))</f>
        <v/>
      </c>
      <c r="X42">
        <f>SUMPRODUCT((M_BOM[RM_Code]=$A42)*M_BOM[RM_Qty_Per_Batch]*IFERROR(INDEX(PP_Grid[#Data],M_BOM[PPGridRow],24),0))</f>
        <v/>
      </c>
      <c r="Y42">
        <f>SUMPRODUCT((M_BOM[RM_Code]=$A42)*M_BOM[RM_Qty_Per_Batch]*IFERROR(INDEX(PP_Grid[#Data],M_BOM[PPGridRow],25),0))</f>
        <v/>
      </c>
      <c r="Z42">
        <f>SUMPRODUCT((M_BOM[RM_Code]=$A42)*M_BOM[RM_Qty_Per_Batch]*IFERROR(INDEX(PP_Grid[#Data],M_BOM[PPGridRow],26),0))</f>
        <v/>
      </c>
      <c r="AA42">
        <f>SUMPRODUCT((M_BOM[RM_Code]=$A42)*M_BOM[RM_Qty_Per_Batch]*IFERROR(INDEX(PP_Grid[#Data],M_BOM[PPGridRow],27),0))</f>
        <v/>
      </c>
      <c r="AB42">
        <f>SUMPRODUCT((M_BOM[RM_Code]=$A42)*M_BOM[RM_Qty_Per_Batch]*IFERROR(INDEX(PP_Grid[#Data],M_BOM[PPGridRow],28),0))</f>
        <v/>
      </c>
      <c r="AC42">
        <f>SUMPRODUCT((M_BOM[RM_Code]=$A42)*M_BOM[RM_Qty_Per_Batch]*IFERROR(INDEX(PP_Grid[#Data],M_BOM[PPGridRow],29),0))</f>
        <v/>
      </c>
      <c r="AD42">
        <f>SUMPRODUCT((M_BOM[RM_Code]=$A42)*M_BOM[RM_Qty_Per_Batch]*IFERROR(INDEX(PP_Grid[#Data],M_BOM[PPGridRow],30),0))</f>
        <v/>
      </c>
      <c r="AE42">
        <f>SUMPRODUCT((M_BOM[RM_Code]=$A42)*M_BOM[RM_Qty_Per_Batch]*IFERROR(INDEX(PP_Grid[#Data],M_BOM[PPGridRow],31),0))</f>
        <v/>
      </c>
      <c r="AF42">
        <f>SUMPRODUCT((M_BOM[RM_Code]=$A42)*M_BOM[RM_Qty_Per_Batch]*IFERROR(INDEX(PP_Grid[#Data],M_BOM[PPGridRow],32),0))</f>
        <v/>
      </c>
      <c r="AG42">
        <f>SUMPRODUCT((M_BOM[RM_Code]=$A42)*M_BOM[RM_Qty_Per_Batch]*IFERROR(INDEX(PP_Grid[#Data],M_BOM[PPGridRow],33),0))</f>
        <v/>
      </c>
      <c r="AH42">
        <f>SUMPRODUCT((M_BOM[RM_Code]=$A42)*M_BOM[RM_Qty_Per_Batch]*IFERROR(INDEX(PP_Grid[#Data],M_BOM[PPGridRow],34),0))</f>
        <v/>
      </c>
      <c r="AI42">
        <f>SUMPRODUCT((M_BOM[RM_Code]=$A42)*M_BOM[RM_Qty_Per_Batch]*IFERROR(INDEX(PP_Grid[#Data],M_BOM[PPGridRow],35),0))</f>
        <v/>
      </c>
      <c r="AJ42">
        <f>SUMPRODUCT((M_BOM[RM_Code]=$A42)*M_BOM[RM_Qty_Per_Batch]*IFERROR(INDEX(PP_Grid[#Data],M_BOM[PPGridRow],36),0))</f>
        <v/>
      </c>
      <c r="AK42">
        <f>SUMPRODUCT((M_BOM[RM_Code]=$A42)*M_BOM[RM_Qty_Per_Batch]*IFERROR(INDEX(PP_Grid[#Data],M_BOM[PPGridRow],37),0))</f>
        <v/>
      </c>
      <c r="AL42">
        <f>SUMPRODUCT((M_BOM[RM_Code]=$A42)*M_BOM[RM_Qty_Per_Batch]*IFERROR(INDEX(PP_Grid[#Data],M_BOM[PPGridRow],38),0))</f>
        <v/>
      </c>
      <c r="AM42">
        <f>SUMPRODUCT((M_BOM[RM_Code]=$A42)*M_BOM[RM_Qty_Per_Batch]*IFERROR(INDEX(PP_Grid[#Data],M_BOM[PPGridRow],39),0))</f>
        <v/>
      </c>
      <c r="AN42">
        <f>SUMPRODUCT((M_BOM[RM_Code]=$A42)*M_BOM[RM_Qty_Per_Batch]*IFERROR(INDEX(PP_Grid[#Data],M_BOM[PPGridRow],40),0))</f>
        <v/>
      </c>
      <c r="AO42">
        <f>SUMPRODUCT((M_BOM[RM_Code]=$A42)*M_BOM[RM_Qty_Per_Batch]*IFERROR(INDEX(PP_Grid[#Data],M_BOM[PPGridRow],41),0))</f>
        <v/>
      </c>
      <c r="AP42">
        <f>SUMPRODUCT((M_BOM[RM_Code]=$A42)*M_BOM[RM_Qty_Per_Batch]*IFERROR(INDEX(PP_Grid[#Data],M_BOM[PPGridRow],42),0))</f>
        <v/>
      </c>
      <c r="AQ42">
        <f>SUMPRODUCT((M_BOM[RM_Code]=$A42)*M_BOM[RM_Qty_Per_Batch]*IFERROR(INDEX(PP_Grid[#Data],M_BOM[PPGridRow],43),0))</f>
        <v/>
      </c>
      <c r="AR42">
        <f>SUMPRODUCT((M_BOM[RM_Code]=$A42)*M_BOM[RM_Qty_Per_Batch]*IFERROR(INDEX(PP_Grid[#Data],M_BOM[PPGridRow],44),0))</f>
        <v/>
      </c>
      <c r="AS42">
        <f>SUMPRODUCT((M_BOM[RM_Code]=$A42)*M_BOM[RM_Qty_Per_Batch]*IFERROR(INDEX(PP_Grid[#Data],M_BOM[PPGridRow],45),0))</f>
        <v/>
      </c>
      <c r="AT42">
        <f>SUMPRODUCT((M_BOM[RM_Code]=$A42)*M_BOM[RM_Qty_Per_Batch]*IFERROR(INDEX(PP_Grid[#Data],M_BOM[PPGridRow],46),0))</f>
        <v/>
      </c>
      <c r="AU42">
        <f>SUMPRODUCT((M_BOM[RM_Code]=$A42)*M_BOM[RM_Qty_Per_Batch]*IFERROR(INDEX(PP_Grid[#Data],M_BOM[PPGridRow],47),0))</f>
        <v/>
      </c>
      <c r="AV42">
        <f>SUMPRODUCT((M_BOM[RM_Code]=$A42)*M_BOM[RM_Qty_Per_Batch]*IFERROR(INDEX(PP_Grid[#Data],M_BOM[PPGridRow],48),0))</f>
        <v/>
      </c>
      <c r="AW42">
        <f>SUMPRODUCT((M_BOM[RM_Code]=$A42)*M_BOM[RM_Qty_Per_Batch]*IFERROR(INDEX(PP_Grid[#Data],M_BOM[PPGridRow],49),0))</f>
        <v/>
      </c>
      <c r="AX42">
        <f>SUMPRODUCT((M_BOM[RM_Code]=$A42)*M_BOM[RM_Qty_Per_Batch]*IFERROR(INDEX(PP_Grid[#Data],M_BOM[PPGridRow],50),0))</f>
        <v/>
      </c>
      <c r="AY42">
        <f>SUMPRODUCT((M_BOM[RM_Code]=$A42)*M_BOM[RM_Qty_Per_Batch]*IFERROR(INDEX(PP_Grid[#Data],M_BOM[PPGridRow],51),0))</f>
        <v/>
      </c>
      <c r="AZ42">
        <f>SUMPRODUCT((M_BOM[RM_Code]=$A42)*M_BOM[RM_Qty_Per_Batch]*IFERROR(INDEX(PP_Grid[#Data],M_BOM[PPGridRow],52),0))</f>
        <v/>
      </c>
      <c r="BA42">
        <f>SUMPRODUCT((M_BOM[RM_Code]=$A42)*M_BOM[RM_Qty_Per_Batch]*IFERROR(INDEX(PP_Grid[#Data],M_BOM[PPGridRow],53),0))</f>
        <v/>
      </c>
      <c r="BB42">
        <f>SUMPRODUCT((M_BOM[RM_Code]=$A42)*M_BOM[RM_Qty_Per_Batch]*IFERROR(INDEX(PP_Grid[#Data],M_BOM[PPGridRow],54),0))</f>
        <v/>
      </c>
      <c r="BC42">
        <f>SUMPRODUCT((M_BOM[RM_Code]=$A42)*M_BOM[RM_Qty_Per_Batch]*IFERROR(INDEX(PP_Grid[#Data],M_BOM[PPGridRow],55),0))</f>
        <v/>
      </c>
      <c r="BD42">
        <f>SUMPRODUCT((M_BOM[RM_Code]=$A42)*M_BOM[RM_Qty_Per_Batch]*IFERROR(INDEX(PP_Grid[#Data],M_BOM[PPGridRow],56),0))</f>
        <v/>
      </c>
      <c r="BE42">
        <f>SUMPRODUCT((M_BOM[RM_Code]=$A42)*M_BOM[RM_Qty_Per_Batch]*IFERROR(INDEX(PP_Grid[#Data],M_BOM[PPGridRow],57),0))</f>
        <v/>
      </c>
      <c r="BF42">
        <f>SUMPRODUCT((M_BOM[RM_Code]=$A42)*M_BOM[RM_Qty_Per_Batch]*IFERROR(INDEX(PP_Grid[#Data],M_BOM[PPGridRow],58),0))</f>
        <v/>
      </c>
      <c r="BG42">
        <f>SUMPRODUCT((M_BOM[RM_Code]=$A42)*M_BOM[RM_Qty_Per_Batch]*IFERROR(INDEX(PP_Grid[#Data],M_BOM[PPGridRow],59),0))</f>
        <v/>
      </c>
      <c r="BH42">
        <f>SUMPRODUCT((M_BOM[RM_Code]=$A42)*M_BOM[RM_Qty_Per_Batch]*IFERROR(INDEX(PP_Grid[#Data],M_BOM[PPGridRow],60),0))</f>
        <v/>
      </c>
      <c r="BI42">
        <f>SUMPRODUCT((M_BOM[RM_Code]=$A42)*M_BOM[RM_Qty_Per_Batch]*IFERROR(INDEX(PP_Grid[#Data],M_BOM[PPGridRow],61),0))</f>
        <v/>
      </c>
      <c r="BJ42">
        <f>SUMPRODUCT((M_BOM[RM_Code]=$A42)*M_BOM[RM_Qty_Per_Batch]*IFERROR(INDEX(PP_Grid[#Data],M_BOM[PPGridRow],62),0))</f>
        <v/>
      </c>
      <c r="BK42">
        <f>SUMPRODUCT((M_BOM[RM_Code]=$A42)*M_BOM[RM_Qty_Per_Batch]*IFERROR(INDEX(PP_Grid[#Data],M_BOM[PPGridRow],63),0))</f>
        <v/>
      </c>
      <c r="BL42">
        <f>SUMPRODUCT((M_BOM[RM_Code]=$A42)*M_BOM[RM_Qty_Per_Batch]*IFERROR(INDEX(PP_Grid[#Data],M_BOM[PPGridRow],64),0))</f>
        <v/>
      </c>
      <c r="BM42">
        <f>SUMPRODUCT((M_BOM[RM_Code]=$A42)*M_BOM[RM_Qty_Per_Batch]*IFERROR(INDEX(PP_Grid[#Data],M_BOM[PPGridRow],65),0))</f>
        <v/>
      </c>
      <c r="BN42">
        <f>SUMPRODUCT((M_BOM[RM_Code]=$A42)*M_BOM[RM_Qty_Per_Batch]*IFERROR(INDEX(PP_Grid[#Data],M_BOM[PPGridRow],66),0))</f>
        <v/>
      </c>
      <c r="BO42">
        <f>SUMPRODUCT((M_BOM[RM_Code]=$A42)*M_BOM[RM_Qty_Per_Batch]*IFERROR(INDEX(PP_Grid[#Data],M_BOM[PPGridRow],67),0))</f>
        <v/>
      </c>
      <c r="BP42">
        <f>SUMPRODUCT((M_BOM[RM_Code]=$A42)*M_BOM[RM_Qty_Per_Batch]*IFERROR(INDEX(PP_Grid[#Data],M_BOM[PPGridRow],68),0))</f>
        <v/>
      </c>
      <c r="BQ42">
        <f>SUMPRODUCT((M_BOM[RM_Code]=$A42)*M_BOM[RM_Qty_Per_Batch]*IFERROR(INDEX(PP_Grid[#Data],M_BOM[PPGridRow],69),0))</f>
        <v/>
      </c>
      <c r="BR42">
        <f>SUMPRODUCT((M_BOM[RM_Code]=$A42)*M_BOM[RM_Qty_Per_Batch]*IFERROR(INDEX(PP_Grid[#Data],M_BOM[PPGridRow],70),0))</f>
        <v/>
      </c>
      <c r="BS42">
        <f>SUMPRODUCT((M_BOM[RM_Code]=$A42)*M_BOM[RM_Qty_Per_Batch]*IFERROR(INDEX(PP_Grid[#Data],M_BOM[PPGridRow],71),0))</f>
        <v/>
      </c>
      <c r="BT42">
        <f>SUMPRODUCT((M_BOM[RM_Code]=$A42)*M_BOM[RM_Qty_Per_Batch]*IFERROR(INDEX(PP_Grid[#Data],M_BOM[PPGridRow],72),0))</f>
        <v/>
      </c>
      <c r="BU42">
        <f>SUMPRODUCT((M_BOM[RM_Code]=$A42)*M_BOM[RM_Qty_Per_Batch]*IFERROR(INDEX(PP_Grid[#Data],M_BOM[PPGridRow],73),0))</f>
        <v/>
      </c>
      <c r="BV42">
        <f>SUMPRODUCT((M_BOM[RM_Code]=$A42)*M_BOM[RM_Qty_Per_Batch]*IFERROR(INDEX(PP_Grid[#Data],M_BOM[PPGridRow],74),0))</f>
        <v/>
      </c>
      <c r="BW42">
        <f>SUMPRODUCT((M_BOM[RM_Code]=$A42)*M_BOM[RM_Qty_Per_Batch]*IFERROR(INDEX(PP_Grid[#Data],M_BOM[PPGridRow],75),0))</f>
        <v/>
      </c>
      <c r="BX42">
        <f>SUMPRODUCT((M_BOM[RM_Code]=$A42)*M_BOM[RM_Qty_Per_Batch]*IFERROR(INDEX(PP_Grid[#Data],M_BOM[PPGridRow],76),0))</f>
        <v/>
      </c>
      <c r="BY42">
        <f>SUMPRODUCT((M_BOM[RM_Code]=$A42)*M_BOM[RM_Qty_Per_Batch]*IFERROR(INDEX(PP_Grid[#Data],M_BOM[PPGridRow],77),0))</f>
        <v/>
      </c>
      <c r="BZ42">
        <f>SUMPRODUCT((M_BOM[RM_Code]=$A42)*M_BOM[RM_Qty_Per_Batch]*IFERROR(INDEX(PP_Grid[#Data],M_BOM[PPGridRow],78),0))</f>
        <v/>
      </c>
      <c r="CA42">
        <f>SUMPRODUCT((M_BOM[RM_Code]=$A42)*M_BOM[RM_Qty_Per_Batch]*IFERROR(INDEX(PP_Grid[#Data],M_BOM[PPGridRow],79),0))</f>
        <v/>
      </c>
      <c r="CB42">
        <f>SUMPRODUCT((M_BOM[RM_Code]=$A42)*M_BOM[RM_Qty_Per_Batch]*IFERROR(INDEX(PP_Grid[#Data],M_BOM[PPGridRow],80),0))</f>
        <v/>
      </c>
      <c r="CC42">
        <f>SUMPRODUCT((M_BOM[RM_Code]=$A42)*M_BOM[RM_Qty_Per_Batch]*IFERROR(INDEX(PP_Grid[#Data],M_BOM[PPGridRow],81),0))</f>
        <v/>
      </c>
      <c r="CD42">
        <f>SUMPRODUCT((M_BOM[RM_Code]=$A42)*M_BOM[RM_Qty_Per_Batch]*IFERROR(INDEX(PP_Grid[#Data],M_BOM[PPGridRow],82),0))</f>
        <v/>
      </c>
      <c r="CE42">
        <f>SUMPRODUCT((M_BOM[RM_Code]=$A42)*M_BOM[RM_Qty_Per_Batch]*IFERROR(INDEX(PP_Grid[#Data],M_BOM[PPGridRow],83),0))</f>
        <v/>
      </c>
      <c r="CF42">
        <f>SUMPRODUCT((M_BOM[RM_Code]=$A42)*M_BOM[RM_Qty_Per_Batch]*IFERROR(INDEX(PP_Grid[#Data],M_BOM[PPGridRow],84),0))</f>
        <v/>
      </c>
      <c r="CG42">
        <f>SUMPRODUCT((M_BOM[RM_Code]=$A42)*M_BOM[RM_Qty_Per_Batch]*IFERROR(INDEX(PP_Grid[#Data],M_BOM[PPGridRow],85),0))</f>
        <v/>
      </c>
      <c r="CH42">
        <f>SUMPRODUCT((M_BOM[RM_Code]=$A42)*M_BOM[RM_Qty_Per_Batch]*IFERROR(INDEX(PP_Grid[#Data],M_BOM[PPGridRow],86),0))</f>
        <v/>
      </c>
      <c r="CI42">
        <f>SUMPRODUCT((M_BOM[RM_Code]=$A42)*M_BOM[RM_Qty_Per_Batch]*IFERROR(INDEX(PP_Grid[#Data],M_BOM[PPGridRow],87),0))</f>
        <v/>
      </c>
      <c r="CJ42">
        <f>SUMPRODUCT((M_BOM[RM_Code]=$A42)*M_BOM[RM_Qty_Per_Batch]*IFERROR(INDEX(PP_Grid[#Data],M_BOM[PPGridRow],88),0))</f>
        <v/>
      </c>
      <c r="CK42">
        <f>SUMPRODUCT((M_BOM[RM_Code]=$A42)*M_BOM[RM_Qty_Per_Batch]*IFERROR(INDEX(PP_Grid[#Data],M_BOM[PPGridRow],89),0))</f>
        <v/>
      </c>
      <c r="CL42">
        <f>SUMPRODUCT((M_BOM[RM_Code]=$A42)*M_BOM[RM_Qty_Per_Batch]*IFERROR(INDEX(PP_Grid[#Data],M_BOM[PPGridRow],90),0))</f>
        <v/>
      </c>
      <c r="CM42">
        <f>SUMPRODUCT((M_BOM[RM_Code]=$A42)*M_BOM[RM_Qty_Per_Batch]*IFERROR(INDEX(PP_Grid[#Data],M_BOM[PPGridRow],91),0))</f>
        <v/>
      </c>
      <c r="CN42">
        <f>SUMPRODUCT((M_BOM[RM_Code]=$A42)*M_BOM[RM_Qty_Per_Batch]*IFERROR(INDEX(PP_Grid[#Data],M_BOM[PPGridRow],92),0))</f>
        <v/>
      </c>
      <c r="CO42">
        <f>SUMPRODUCT((M_BOM[RM_Code]=$A42)*M_BOM[RM_Qty_Per_Batch]*IFERROR(INDEX(PP_Grid[#Data],M_BOM[PPGridRow],93),0))</f>
        <v/>
      </c>
      <c r="CP42">
        <f>SUMPRODUCT((M_BOM[RM_Code]=$A42)*M_BOM[RM_Qty_Per_Batch]*IFERROR(INDEX(PP_Grid[#Data],M_BOM[PPGridRow],94),0))</f>
        <v/>
      </c>
      <c r="CQ42">
        <f>SUMPRODUCT((M_BOM[RM_Code]=$A42)*M_BOM[RM_Qty_Per_Batch]*IFERROR(INDEX(PP_Grid[#Data],M_BOM[PPGridRow],95),0))</f>
        <v/>
      </c>
      <c r="CR42">
        <f>SUMPRODUCT((M_BOM[RM_Code]=$A42)*M_BOM[RM_Qty_Per_Batch]*IFERROR(INDEX(PP_Grid[#Data],M_BOM[PPGridRow],96),0))</f>
        <v/>
      </c>
      <c r="CS42">
        <f>SUMPRODUCT((M_BOM[RM_Code]=$A42)*M_BOM[RM_Qty_Per_Batch]*IFERROR(INDEX(PP_Grid[#Data],M_BOM[PPGridRow],97),0))</f>
        <v/>
      </c>
      <c r="CT42">
        <f>SUMPRODUCT((M_BOM[RM_Code]=$A42)*M_BOM[RM_Qty_Per_Batch]*IFERROR(INDEX(PP_Grid[#Data],M_BOM[PPGridRow],98),0))</f>
        <v/>
      </c>
      <c r="CU42">
        <f>SUMPRODUCT((M_BOM[RM_Code]=$A42)*M_BOM[RM_Qty_Per_Batch]*IFERROR(INDEX(PP_Grid[#Data],M_BOM[PPGridRow],99),0))</f>
        <v/>
      </c>
      <c r="CV42">
        <f>SUMPRODUCT((M_BOM[RM_Code]=$A42)*M_BOM[RM_Qty_Per_Batch]*IFERROR(INDEX(PP_Grid[#Data],M_BOM[PPGridRow],100),0))</f>
        <v/>
      </c>
      <c r="CW42">
        <f>SUMPRODUCT((M_BOM[RM_Code]=$A42)*M_BOM[RM_Qty_Per_Batch]*IFERROR(INDEX(PP_Grid[#Data],M_BOM[PPGridRow],101),0))</f>
        <v/>
      </c>
      <c r="CX42">
        <f>SUMPRODUCT((M_BOM[RM_Code]=$A42)*M_BOM[RM_Qty_Per_Batch]*IFERROR(INDEX(PP_Grid[#Data],M_BOM[PPGridRow],102),0))</f>
        <v/>
      </c>
      <c r="CY42">
        <f>SUMPRODUCT((M_BOM[RM_Code]=$A42)*M_BOM[RM_Qty_Per_Batch]*IFERROR(INDEX(PP_Grid[#Data],M_BOM[PPGridRow],103),0))</f>
        <v/>
      </c>
      <c r="CZ42">
        <f>SUMPRODUCT((M_BOM[RM_Code]=$A42)*M_BOM[RM_Qty_Per_Batch]*IFERROR(INDEX(PP_Grid[#Data],M_BOM[PPGridRow],104),0))</f>
        <v/>
      </c>
      <c r="DA42">
        <f>SUMPRODUCT((M_BOM[RM_Code]=$A42)*M_BOM[RM_Qty_Per_Batch]*IFERROR(INDEX(PP_Grid[#Data],M_BOM[PPGridRow],105),0))</f>
        <v/>
      </c>
    </row>
    <row r="43">
      <c r="A43" t="inlineStr">
        <is>
          <t>CHEM-1110</t>
        </is>
      </c>
      <c r="B43">
        <f>SUMPRODUCT((M_BOM[RM_Code]=$A43)*M_BOM[RM_Qty_Per_Batch]*IFERROR(INDEX(PP_Grid[#Data],M_BOM[PPGridRow],2),0))</f>
        <v/>
      </c>
      <c r="C43">
        <f>SUMPRODUCT((M_BOM[RM_Code]=$A43)*M_BOM[RM_Qty_Per_Batch]*IFERROR(INDEX(PP_Grid[#Data],M_BOM[PPGridRow],3),0))</f>
        <v/>
      </c>
      <c r="D43">
        <f>SUMPRODUCT((M_BOM[RM_Code]=$A43)*M_BOM[RM_Qty_Per_Batch]*IFERROR(INDEX(PP_Grid[#Data],M_BOM[PPGridRow],4),0))</f>
        <v/>
      </c>
      <c r="E43">
        <f>SUMPRODUCT((M_BOM[RM_Code]=$A43)*M_BOM[RM_Qty_Per_Batch]*IFERROR(INDEX(PP_Grid[#Data],M_BOM[PPGridRow],5),0))</f>
        <v/>
      </c>
      <c r="F43">
        <f>SUMPRODUCT((M_BOM[RM_Code]=$A43)*M_BOM[RM_Qty_Per_Batch]*IFERROR(INDEX(PP_Grid[#Data],M_BOM[PPGridRow],6),0))</f>
        <v/>
      </c>
      <c r="G43">
        <f>SUMPRODUCT((M_BOM[RM_Code]=$A43)*M_BOM[RM_Qty_Per_Batch]*IFERROR(INDEX(PP_Grid[#Data],M_BOM[PPGridRow],7),0))</f>
        <v/>
      </c>
      <c r="H43">
        <f>SUMPRODUCT((M_BOM[RM_Code]=$A43)*M_BOM[RM_Qty_Per_Batch]*IFERROR(INDEX(PP_Grid[#Data],M_BOM[PPGridRow],8),0))</f>
        <v/>
      </c>
      <c r="I43">
        <f>SUMPRODUCT((M_BOM[RM_Code]=$A43)*M_BOM[RM_Qty_Per_Batch]*IFERROR(INDEX(PP_Grid[#Data],M_BOM[PPGridRow],9),0))</f>
        <v/>
      </c>
      <c r="J43">
        <f>SUMPRODUCT((M_BOM[RM_Code]=$A43)*M_BOM[RM_Qty_Per_Batch]*IFERROR(INDEX(PP_Grid[#Data],M_BOM[PPGridRow],10),0))</f>
        <v/>
      </c>
      <c r="K43">
        <f>SUMPRODUCT((M_BOM[RM_Code]=$A43)*M_BOM[RM_Qty_Per_Batch]*IFERROR(INDEX(PP_Grid[#Data],M_BOM[PPGridRow],11),0))</f>
        <v/>
      </c>
      <c r="L43">
        <f>SUMPRODUCT((M_BOM[RM_Code]=$A43)*M_BOM[RM_Qty_Per_Batch]*IFERROR(INDEX(PP_Grid[#Data],M_BOM[PPGridRow],12),0))</f>
        <v/>
      </c>
      <c r="M43">
        <f>SUMPRODUCT((M_BOM[RM_Code]=$A43)*M_BOM[RM_Qty_Per_Batch]*IFERROR(INDEX(PP_Grid[#Data],M_BOM[PPGridRow],13),0))</f>
        <v/>
      </c>
      <c r="N43">
        <f>SUMPRODUCT((M_BOM[RM_Code]=$A43)*M_BOM[RM_Qty_Per_Batch]*IFERROR(INDEX(PP_Grid[#Data],M_BOM[PPGridRow],14),0))</f>
        <v/>
      </c>
      <c r="O43">
        <f>SUMPRODUCT((M_BOM[RM_Code]=$A43)*M_BOM[RM_Qty_Per_Batch]*IFERROR(INDEX(PP_Grid[#Data],M_BOM[PPGridRow],15),0))</f>
        <v/>
      </c>
      <c r="P43">
        <f>SUMPRODUCT((M_BOM[RM_Code]=$A43)*M_BOM[RM_Qty_Per_Batch]*IFERROR(INDEX(PP_Grid[#Data],M_BOM[PPGridRow],16),0))</f>
        <v/>
      </c>
      <c r="Q43">
        <f>SUMPRODUCT((M_BOM[RM_Code]=$A43)*M_BOM[RM_Qty_Per_Batch]*IFERROR(INDEX(PP_Grid[#Data],M_BOM[PPGridRow],17),0))</f>
        <v/>
      </c>
      <c r="R43">
        <f>SUMPRODUCT((M_BOM[RM_Code]=$A43)*M_BOM[RM_Qty_Per_Batch]*IFERROR(INDEX(PP_Grid[#Data],M_BOM[PPGridRow],18),0))</f>
        <v/>
      </c>
      <c r="S43">
        <f>SUMPRODUCT((M_BOM[RM_Code]=$A43)*M_BOM[RM_Qty_Per_Batch]*IFERROR(INDEX(PP_Grid[#Data],M_BOM[PPGridRow],19),0))</f>
        <v/>
      </c>
      <c r="T43">
        <f>SUMPRODUCT((M_BOM[RM_Code]=$A43)*M_BOM[RM_Qty_Per_Batch]*IFERROR(INDEX(PP_Grid[#Data],M_BOM[PPGridRow],20),0))</f>
        <v/>
      </c>
      <c r="U43">
        <f>SUMPRODUCT((M_BOM[RM_Code]=$A43)*M_BOM[RM_Qty_Per_Batch]*IFERROR(INDEX(PP_Grid[#Data],M_BOM[PPGridRow],21),0))</f>
        <v/>
      </c>
      <c r="V43">
        <f>SUMPRODUCT((M_BOM[RM_Code]=$A43)*M_BOM[RM_Qty_Per_Batch]*IFERROR(INDEX(PP_Grid[#Data],M_BOM[PPGridRow],22),0))</f>
        <v/>
      </c>
      <c r="W43">
        <f>SUMPRODUCT((M_BOM[RM_Code]=$A43)*M_BOM[RM_Qty_Per_Batch]*IFERROR(INDEX(PP_Grid[#Data],M_BOM[PPGridRow],23),0))</f>
        <v/>
      </c>
      <c r="X43">
        <f>SUMPRODUCT((M_BOM[RM_Code]=$A43)*M_BOM[RM_Qty_Per_Batch]*IFERROR(INDEX(PP_Grid[#Data],M_BOM[PPGridRow],24),0))</f>
        <v/>
      </c>
      <c r="Y43">
        <f>SUMPRODUCT((M_BOM[RM_Code]=$A43)*M_BOM[RM_Qty_Per_Batch]*IFERROR(INDEX(PP_Grid[#Data],M_BOM[PPGridRow],25),0))</f>
        <v/>
      </c>
      <c r="Z43">
        <f>SUMPRODUCT((M_BOM[RM_Code]=$A43)*M_BOM[RM_Qty_Per_Batch]*IFERROR(INDEX(PP_Grid[#Data],M_BOM[PPGridRow],26),0))</f>
        <v/>
      </c>
      <c r="AA43">
        <f>SUMPRODUCT((M_BOM[RM_Code]=$A43)*M_BOM[RM_Qty_Per_Batch]*IFERROR(INDEX(PP_Grid[#Data],M_BOM[PPGridRow],27),0))</f>
        <v/>
      </c>
      <c r="AB43">
        <f>SUMPRODUCT((M_BOM[RM_Code]=$A43)*M_BOM[RM_Qty_Per_Batch]*IFERROR(INDEX(PP_Grid[#Data],M_BOM[PPGridRow],28),0))</f>
        <v/>
      </c>
      <c r="AC43">
        <f>SUMPRODUCT((M_BOM[RM_Code]=$A43)*M_BOM[RM_Qty_Per_Batch]*IFERROR(INDEX(PP_Grid[#Data],M_BOM[PPGridRow],29),0))</f>
        <v/>
      </c>
      <c r="AD43">
        <f>SUMPRODUCT((M_BOM[RM_Code]=$A43)*M_BOM[RM_Qty_Per_Batch]*IFERROR(INDEX(PP_Grid[#Data],M_BOM[PPGridRow],30),0))</f>
        <v/>
      </c>
      <c r="AE43">
        <f>SUMPRODUCT((M_BOM[RM_Code]=$A43)*M_BOM[RM_Qty_Per_Batch]*IFERROR(INDEX(PP_Grid[#Data],M_BOM[PPGridRow],31),0))</f>
        <v/>
      </c>
      <c r="AF43">
        <f>SUMPRODUCT((M_BOM[RM_Code]=$A43)*M_BOM[RM_Qty_Per_Batch]*IFERROR(INDEX(PP_Grid[#Data],M_BOM[PPGridRow],32),0))</f>
        <v/>
      </c>
      <c r="AG43">
        <f>SUMPRODUCT((M_BOM[RM_Code]=$A43)*M_BOM[RM_Qty_Per_Batch]*IFERROR(INDEX(PP_Grid[#Data],M_BOM[PPGridRow],33),0))</f>
        <v/>
      </c>
      <c r="AH43">
        <f>SUMPRODUCT((M_BOM[RM_Code]=$A43)*M_BOM[RM_Qty_Per_Batch]*IFERROR(INDEX(PP_Grid[#Data],M_BOM[PPGridRow],34),0))</f>
        <v/>
      </c>
      <c r="AI43">
        <f>SUMPRODUCT((M_BOM[RM_Code]=$A43)*M_BOM[RM_Qty_Per_Batch]*IFERROR(INDEX(PP_Grid[#Data],M_BOM[PPGridRow],35),0))</f>
        <v/>
      </c>
      <c r="AJ43">
        <f>SUMPRODUCT((M_BOM[RM_Code]=$A43)*M_BOM[RM_Qty_Per_Batch]*IFERROR(INDEX(PP_Grid[#Data],M_BOM[PPGridRow],36),0))</f>
        <v/>
      </c>
      <c r="AK43">
        <f>SUMPRODUCT((M_BOM[RM_Code]=$A43)*M_BOM[RM_Qty_Per_Batch]*IFERROR(INDEX(PP_Grid[#Data],M_BOM[PPGridRow],37),0))</f>
        <v/>
      </c>
      <c r="AL43">
        <f>SUMPRODUCT((M_BOM[RM_Code]=$A43)*M_BOM[RM_Qty_Per_Batch]*IFERROR(INDEX(PP_Grid[#Data],M_BOM[PPGridRow],38),0))</f>
        <v/>
      </c>
      <c r="AM43">
        <f>SUMPRODUCT((M_BOM[RM_Code]=$A43)*M_BOM[RM_Qty_Per_Batch]*IFERROR(INDEX(PP_Grid[#Data],M_BOM[PPGridRow],39),0))</f>
        <v/>
      </c>
      <c r="AN43">
        <f>SUMPRODUCT((M_BOM[RM_Code]=$A43)*M_BOM[RM_Qty_Per_Batch]*IFERROR(INDEX(PP_Grid[#Data],M_BOM[PPGridRow],40),0))</f>
        <v/>
      </c>
      <c r="AO43">
        <f>SUMPRODUCT((M_BOM[RM_Code]=$A43)*M_BOM[RM_Qty_Per_Batch]*IFERROR(INDEX(PP_Grid[#Data],M_BOM[PPGridRow],41),0))</f>
        <v/>
      </c>
      <c r="AP43">
        <f>SUMPRODUCT((M_BOM[RM_Code]=$A43)*M_BOM[RM_Qty_Per_Batch]*IFERROR(INDEX(PP_Grid[#Data],M_BOM[PPGridRow],42),0))</f>
        <v/>
      </c>
      <c r="AQ43">
        <f>SUMPRODUCT((M_BOM[RM_Code]=$A43)*M_BOM[RM_Qty_Per_Batch]*IFERROR(INDEX(PP_Grid[#Data],M_BOM[PPGridRow],43),0))</f>
        <v/>
      </c>
      <c r="AR43">
        <f>SUMPRODUCT((M_BOM[RM_Code]=$A43)*M_BOM[RM_Qty_Per_Batch]*IFERROR(INDEX(PP_Grid[#Data],M_BOM[PPGridRow],44),0))</f>
        <v/>
      </c>
      <c r="AS43">
        <f>SUMPRODUCT((M_BOM[RM_Code]=$A43)*M_BOM[RM_Qty_Per_Batch]*IFERROR(INDEX(PP_Grid[#Data],M_BOM[PPGridRow],45),0))</f>
        <v/>
      </c>
      <c r="AT43">
        <f>SUMPRODUCT((M_BOM[RM_Code]=$A43)*M_BOM[RM_Qty_Per_Batch]*IFERROR(INDEX(PP_Grid[#Data],M_BOM[PPGridRow],46),0))</f>
        <v/>
      </c>
      <c r="AU43">
        <f>SUMPRODUCT((M_BOM[RM_Code]=$A43)*M_BOM[RM_Qty_Per_Batch]*IFERROR(INDEX(PP_Grid[#Data],M_BOM[PPGridRow],47),0))</f>
        <v/>
      </c>
      <c r="AV43">
        <f>SUMPRODUCT((M_BOM[RM_Code]=$A43)*M_BOM[RM_Qty_Per_Batch]*IFERROR(INDEX(PP_Grid[#Data],M_BOM[PPGridRow],48),0))</f>
        <v/>
      </c>
      <c r="AW43">
        <f>SUMPRODUCT((M_BOM[RM_Code]=$A43)*M_BOM[RM_Qty_Per_Batch]*IFERROR(INDEX(PP_Grid[#Data],M_BOM[PPGridRow],49),0))</f>
        <v/>
      </c>
      <c r="AX43">
        <f>SUMPRODUCT((M_BOM[RM_Code]=$A43)*M_BOM[RM_Qty_Per_Batch]*IFERROR(INDEX(PP_Grid[#Data],M_BOM[PPGridRow],50),0))</f>
        <v/>
      </c>
      <c r="AY43">
        <f>SUMPRODUCT((M_BOM[RM_Code]=$A43)*M_BOM[RM_Qty_Per_Batch]*IFERROR(INDEX(PP_Grid[#Data],M_BOM[PPGridRow],51),0))</f>
        <v/>
      </c>
      <c r="AZ43">
        <f>SUMPRODUCT((M_BOM[RM_Code]=$A43)*M_BOM[RM_Qty_Per_Batch]*IFERROR(INDEX(PP_Grid[#Data],M_BOM[PPGridRow],52),0))</f>
        <v/>
      </c>
      <c r="BA43">
        <f>SUMPRODUCT((M_BOM[RM_Code]=$A43)*M_BOM[RM_Qty_Per_Batch]*IFERROR(INDEX(PP_Grid[#Data],M_BOM[PPGridRow],53),0))</f>
        <v/>
      </c>
      <c r="BB43">
        <f>SUMPRODUCT((M_BOM[RM_Code]=$A43)*M_BOM[RM_Qty_Per_Batch]*IFERROR(INDEX(PP_Grid[#Data],M_BOM[PPGridRow],54),0))</f>
        <v/>
      </c>
      <c r="BC43">
        <f>SUMPRODUCT((M_BOM[RM_Code]=$A43)*M_BOM[RM_Qty_Per_Batch]*IFERROR(INDEX(PP_Grid[#Data],M_BOM[PPGridRow],55),0))</f>
        <v/>
      </c>
      <c r="BD43">
        <f>SUMPRODUCT((M_BOM[RM_Code]=$A43)*M_BOM[RM_Qty_Per_Batch]*IFERROR(INDEX(PP_Grid[#Data],M_BOM[PPGridRow],56),0))</f>
        <v/>
      </c>
      <c r="BE43">
        <f>SUMPRODUCT((M_BOM[RM_Code]=$A43)*M_BOM[RM_Qty_Per_Batch]*IFERROR(INDEX(PP_Grid[#Data],M_BOM[PPGridRow],57),0))</f>
        <v/>
      </c>
      <c r="BF43">
        <f>SUMPRODUCT((M_BOM[RM_Code]=$A43)*M_BOM[RM_Qty_Per_Batch]*IFERROR(INDEX(PP_Grid[#Data],M_BOM[PPGridRow],58),0))</f>
        <v/>
      </c>
      <c r="BG43">
        <f>SUMPRODUCT((M_BOM[RM_Code]=$A43)*M_BOM[RM_Qty_Per_Batch]*IFERROR(INDEX(PP_Grid[#Data],M_BOM[PPGridRow],59),0))</f>
        <v/>
      </c>
      <c r="BH43">
        <f>SUMPRODUCT((M_BOM[RM_Code]=$A43)*M_BOM[RM_Qty_Per_Batch]*IFERROR(INDEX(PP_Grid[#Data],M_BOM[PPGridRow],60),0))</f>
        <v/>
      </c>
      <c r="BI43">
        <f>SUMPRODUCT((M_BOM[RM_Code]=$A43)*M_BOM[RM_Qty_Per_Batch]*IFERROR(INDEX(PP_Grid[#Data],M_BOM[PPGridRow],61),0))</f>
        <v/>
      </c>
      <c r="BJ43">
        <f>SUMPRODUCT((M_BOM[RM_Code]=$A43)*M_BOM[RM_Qty_Per_Batch]*IFERROR(INDEX(PP_Grid[#Data],M_BOM[PPGridRow],62),0))</f>
        <v/>
      </c>
      <c r="BK43">
        <f>SUMPRODUCT((M_BOM[RM_Code]=$A43)*M_BOM[RM_Qty_Per_Batch]*IFERROR(INDEX(PP_Grid[#Data],M_BOM[PPGridRow],63),0))</f>
        <v/>
      </c>
      <c r="BL43">
        <f>SUMPRODUCT((M_BOM[RM_Code]=$A43)*M_BOM[RM_Qty_Per_Batch]*IFERROR(INDEX(PP_Grid[#Data],M_BOM[PPGridRow],64),0))</f>
        <v/>
      </c>
      <c r="BM43">
        <f>SUMPRODUCT((M_BOM[RM_Code]=$A43)*M_BOM[RM_Qty_Per_Batch]*IFERROR(INDEX(PP_Grid[#Data],M_BOM[PPGridRow],65),0))</f>
        <v/>
      </c>
      <c r="BN43">
        <f>SUMPRODUCT((M_BOM[RM_Code]=$A43)*M_BOM[RM_Qty_Per_Batch]*IFERROR(INDEX(PP_Grid[#Data],M_BOM[PPGridRow],66),0))</f>
        <v/>
      </c>
      <c r="BO43">
        <f>SUMPRODUCT((M_BOM[RM_Code]=$A43)*M_BOM[RM_Qty_Per_Batch]*IFERROR(INDEX(PP_Grid[#Data],M_BOM[PPGridRow],67),0))</f>
        <v/>
      </c>
      <c r="BP43">
        <f>SUMPRODUCT((M_BOM[RM_Code]=$A43)*M_BOM[RM_Qty_Per_Batch]*IFERROR(INDEX(PP_Grid[#Data],M_BOM[PPGridRow],68),0))</f>
        <v/>
      </c>
      <c r="BQ43">
        <f>SUMPRODUCT((M_BOM[RM_Code]=$A43)*M_BOM[RM_Qty_Per_Batch]*IFERROR(INDEX(PP_Grid[#Data],M_BOM[PPGridRow],69),0))</f>
        <v/>
      </c>
      <c r="BR43">
        <f>SUMPRODUCT((M_BOM[RM_Code]=$A43)*M_BOM[RM_Qty_Per_Batch]*IFERROR(INDEX(PP_Grid[#Data],M_BOM[PPGridRow],70),0))</f>
        <v/>
      </c>
      <c r="BS43">
        <f>SUMPRODUCT((M_BOM[RM_Code]=$A43)*M_BOM[RM_Qty_Per_Batch]*IFERROR(INDEX(PP_Grid[#Data],M_BOM[PPGridRow],71),0))</f>
        <v/>
      </c>
      <c r="BT43">
        <f>SUMPRODUCT((M_BOM[RM_Code]=$A43)*M_BOM[RM_Qty_Per_Batch]*IFERROR(INDEX(PP_Grid[#Data],M_BOM[PPGridRow],72),0))</f>
        <v/>
      </c>
      <c r="BU43">
        <f>SUMPRODUCT((M_BOM[RM_Code]=$A43)*M_BOM[RM_Qty_Per_Batch]*IFERROR(INDEX(PP_Grid[#Data],M_BOM[PPGridRow],73),0))</f>
        <v/>
      </c>
      <c r="BV43">
        <f>SUMPRODUCT((M_BOM[RM_Code]=$A43)*M_BOM[RM_Qty_Per_Batch]*IFERROR(INDEX(PP_Grid[#Data],M_BOM[PPGridRow],74),0))</f>
        <v/>
      </c>
      <c r="BW43">
        <f>SUMPRODUCT((M_BOM[RM_Code]=$A43)*M_BOM[RM_Qty_Per_Batch]*IFERROR(INDEX(PP_Grid[#Data],M_BOM[PPGridRow],75),0))</f>
        <v/>
      </c>
      <c r="BX43">
        <f>SUMPRODUCT((M_BOM[RM_Code]=$A43)*M_BOM[RM_Qty_Per_Batch]*IFERROR(INDEX(PP_Grid[#Data],M_BOM[PPGridRow],76),0))</f>
        <v/>
      </c>
      <c r="BY43">
        <f>SUMPRODUCT((M_BOM[RM_Code]=$A43)*M_BOM[RM_Qty_Per_Batch]*IFERROR(INDEX(PP_Grid[#Data],M_BOM[PPGridRow],77),0))</f>
        <v/>
      </c>
      <c r="BZ43">
        <f>SUMPRODUCT((M_BOM[RM_Code]=$A43)*M_BOM[RM_Qty_Per_Batch]*IFERROR(INDEX(PP_Grid[#Data],M_BOM[PPGridRow],78),0))</f>
        <v/>
      </c>
      <c r="CA43">
        <f>SUMPRODUCT((M_BOM[RM_Code]=$A43)*M_BOM[RM_Qty_Per_Batch]*IFERROR(INDEX(PP_Grid[#Data],M_BOM[PPGridRow],79),0))</f>
        <v/>
      </c>
      <c r="CB43">
        <f>SUMPRODUCT((M_BOM[RM_Code]=$A43)*M_BOM[RM_Qty_Per_Batch]*IFERROR(INDEX(PP_Grid[#Data],M_BOM[PPGridRow],80),0))</f>
        <v/>
      </c>
      <c r="CC43">
        <f>SUMPRODUCT((M_BOM[RM_Code]=$A43)*M_BOM[RM_Qty_Per_Batch]*IFERROR(INDEX(PP_Grid[#Data],M_BOM[PPGridRow],81),0))</f>
        <v/>
      </c>
      <c r="CD43">
        <f>SUMPRODUCT((M_BOM[RM_Code]=$A43)*M_BOM[RM_Qty_Per_Batch]*IFERROR(INDEX(PP_Grid[#Data],M_BOM[PPGridRow],82),0))</f>
        <v/>
      </c>
      <c r="CE43">
        <f>SUMPRODUCT((M_BOM[RM_Code]=$A43)*M_BOM[RM_Qty_Per_Batch]*IFERROR(INDEX(PP_Grid[#Data],M_BOM[PPGridRow],83),0))</f>
        <v/>
      </c>
      <c r="CF43">
        <f>SUMPRODUCT((M_BOM[RM_Code]=$A43)*M_BOM[RM_Qty_Per_Batch]*IFERROR(INDEX(PP_Grid[#Data],M_BOM[PPGridRow],84),0))</f>
        <v/>
      </c>
      <c r="CG43">
        <f>SUMPRODUCT((M_BOM[RM_Code]=$A43)*M_BOM[RM_Qty_Per_Batch]*IFERROR(INDEX(PP_Grid[#Data],M_BOM[PPGridRow],85),0))</f>
        <v/>
      </c>
      <c r="CH43">
        <f>SUMPRODUCT((M_BOM[RM_Code]=$A43)*M_BOM[RM_Qty_Per_Batch]*IFERROR(INDEX(PP_Grid[#Data],M_BOM[PPGridRow],86),0))</f>
        <v/>
      </c>
      <c r="CI43">
        <f>SUMPRODUCT((M_BOM[RM_Code]=$A43)*M_BOM[RM_Qty_Per_Batch]*IFERROR(INDEX(PP_Grid[#Data],M_BOM[PPGridRow],87),0))</f>
        <v/>
      </c>
      <c r="CJ43">
        <f>SUMPRODUCT((M_BOM[RM_Code]=$A43)*M_BOM[RM_Qty_Per_Batch]*IFERROR(INDEX(PP_Grid[#Data],M_BOM[PPGridRow],88),0))</f>
        <v/>
      </c>
      <c r="CK43">
        <f>SUMPRODUCT((M_BOM[RM_Code]=$A43)*M_BOM[RM_Qty_Per_Batch]*IFERROR(INDEX(PP_Grid[#Data],M_BOM[PPGridRow],89),0))</f>
        <v/>
      </c>
      <c r="CL43">
        <f>SUMPRODUCT((M_BOM[RM_Code]=$A43)*M_BOM[RM_Qty_Per_Batch]*IFERROR(INDEX(PP_Grid[#Data],M_BOM[PPGridRow],90),0))</f>
        <v/>
      </c>
      <c r="CM43">
        <f>SUMPRODUCT((M_BOM[RM_Code]=$A43)*M_BOM[RM_Qty_Per_Batch]*IFERROR(INDEX(PP_Grid[#Data],M_BOM[PPGridRow],91),0))</f>
        <v/>
      </c>
      <c r="CN43">
        <f>SUMPRODUCT((M_BOM[RM_Code]=$A43)*M_BOM[RM_Qty_Per_Batch]*IFERROR(INDEX(PP_Grid[#Data],M_BOM[PPGridRow],92),0))</f>
        <v/>
      </c>
      <c r="CO43">
        <f>SUMPRODUCT((M_BOM[RM_Code]=$A43)*M_BOM[RM_Qty_Per_Batch]*IFERROR(INDEX(PP_Grid[#Data],M_BOM[PPGridRow],93),0))</f>
        <v/>
      </c>
      <c r="CP43">
        <f>SUMPRODUCT((M_BOM[RM_Code]=$A43)*M_BOM[RM_Qty_Per_Batch]*IFERROR(INDEX(PP_Grid[#Data],M_BOM[PPGridRow],94),0))</f>
        <v/>
      </c>
      <c r="CQ43">
        <f>SUMPRODUCT((M_BOM[RM_Code]=$A43)*M_BOM[RM_Qty_Per_Batch]*IFERROR(INDEX(PP_Grid[#Data],M_BOM[PPGridRow],95),0))</f>
        <v/>
      </c>
      <c r="CR43">
        <f>SUMPRODUCT((M_BOM[RM_Code]=$A43)*M_BOM[RM_Qty_Per_Batch]*IFERROR(INDEX(PP_Grid[#Data],M_BOM[PPGridRow],96),0))</f>
        <v/>
      </c>
      <c r="CS43">
        <f>SUMPRODUCT((M_BOM[RM_Code]=$A43)*M_BOM[RM_Qty_Per_Batch]*IFERROR(INDEX(PP_Grid[#Data],M_BOM[PPGridRow],97),0))</f>
        <v/>
      </c>
      <c r="CT43">
        <f>SUMPRODUCT((M_BOM[RM_Code]=$A43)*M_BOM[RM_Qty_Per_Batch]*IFERROR(INDEX(PP_Grid[#Data],M_BOM[PPGridRow],98),0))</f>
        <v/>
      </c>
      <c r="CU43">
        <f>SUMPRODUCT((M_BOM[RM_Code]=$A43)*M_BOM[RM_Qty_Per_Batch]*IFERROR(INDEX(PP_Grid[#Data],M_BOM[PPGridRow],99),0))</f>
        <v/>
      </c>
      <c r="CV43">
        <f>SUMPRODUCT((M_BOM[RM_Code]=$A43)*M_BOM[RM_Qty_Per_Batch]*IFERROR(INDEX(PP_Grid[#Data],M_BOM[PPGridRow],100),0))</f>
        <v/>
      </c>
      <c r="CW43">
        <f>SUMPRODUCT((M_BOM[RM_Code]=$A43)*M_BOM[RM_Qty_Per_Batch]*IFERROR(INDEX(PP_Grid[#Data],M_BOM[PPGridRow],101),0))</f>
        <v/>
      </c>
      <c r="CX43">
        <f>SUMPRODUCT((M_BOM[RM_Code]=$A43)*M_BOM[RM_Qty_Per_Batch]*IFERROR(INDEX(PP_Grid[#Data],M_BOM[PPGridRow],102),0))</f>
        <v/>
      </c>
      <c r="CY43">
        <f>SUMPRODUCT((M_BOM[RM_Code]=$A43)*M_BOM[RM_Qty_Per_Batch]*IFERROR(INDEX(PP_Grid[#Data],M_BOM[PPGridRow],103),0))</f>
        <v/>
      </c>
      <c r="CZ43">
        <f>SUMPRODUCT((M_BOM[RM_Code]=$A43)*M_BOM[RM_Qty_Per_Batch]*IFERROR(INDEX(PP_Grid[#Data],M_BOM[PPGridRow],104),0))</f>
        <v/>
      </c>
      <c r="DA43">
        <f>SUMPRODUCT((M_BOM[RM_Code]=$A43)*M_BOM[RM_Qty_Per_Batch]*IFERROR(INDEX(PP_Grid[#Data],M_BOM[PPGridRow],105),0))</f>
        <v/>
      </c>
    </row>
    <row r="44">
      <c r="A44" t="inlineStr">
        <is>
          <t>CHEM-1120</t>
        </is>
      </c>
      <c r="B44">
        <f>SUMPRODUCT((M_BOM[RM_Code]=$A44)*M_BOM[RM_Qty_Per_Batch]*IFERROR(INDEX(PP_Grid[#Data],M_BOM[PPGridRow],2),0))</f>
        <v/>
      </c>
      <c r="C44">
        <f>SUMPRODUCT((M_BOM[RM_Code]=$A44)*M_BOM[RM_Qty_Per_Batch]*IFERROR(INDEX(PP_Grid[#Data],M_BOM[PPGridRow],3),0))</f>
        <v/>
      </c>
      <c r="D44">
        <f>SUMPRODUCT((M_BOM[RM_Code]=$A44)*M_BOM[RM_Qty_Per_Batch]*IFERROR(INDEX(PP_Grid[#Data],M_BOM[PPGridRow],4),0))</f>
        <v/>
      </c>
      <c r="E44">
        <f>SUMPRODUCT((M_BOM[RM_Code]=$A44)*M_BOM[RM_Qty_Per_Batch]*IFERROR(INDEX(PP_Grid[#Data],M_BOM[PPGridRow],5),0))</f>
        <v/>
      </c>
      <c r="F44">
        <f>SUMPRODUCT((M_BOM[RM_Code]=$A44)*M_BOM[RM_Qty_Per_Batch]*IFERROR(INDEX(PP_Grid[#Data],M_BOM[PPGridRow],6),0))</f>
        <v/>
      </c>
      <c r="G44">
        <f>SUMPRODUCT((M_BOM[RM_Code]=$A44)*M_BOM[RM_Qty_Per_Batch]*IFERROR(INDEX(PP_Grid[#Data],M_BOM[PPGridRow],7),0))</f>
        <v/>
      </c>
      <c r="H44">
        <f>SUMPRODUCT((M_BOM[RM_Code]=$A44)*M_BOM[RM_Qty_Per_Batch]*IFERROR(INDEX(PP_Grid[#Data],M_BOM[PPGridRow],8),0))</f>
        <v/>
      </c>
      <c r="I44">
        <f>SUMPRODUCT((M_BOM[RM_Code]=$A44)*M_BOM[RM_Qty_Per_Batch]*IFERROR(INDEX(PP_Grid[#Data],M_BOM[PPGridRow],9),0))</f>
        <v/>
      </c>
      <c r="J44">
        <f>SUMPRODUCT((M_BOM[RM_Code]=$A44)*M_BOM[RM_Qty_Per_Batch]*IFERROR(INDEX(PP_Grid[#Data],M_BOM[PPGridRow],10),0))</f>
        <v/>
      </c>
      <c r="K44">
        <f>SUMPRODUCT((M_BOM[RM_Code]=$A44)*M_BOM[RM_Qty_Per_Batch]*IFERROR(INDEX(PP_Grid[#Data],M_BOM[PPGridRow],11),0))</f>
        <v/>
      </c>
      <c r="L44">
        <f>SUMPRODUCT((M_BOM[RM_Code]=$A44)*M_BOM[RM_Qty_Per_Batch]*IFERROR(INDEX(PP_Grid[#Data],M_BOM[PPGridRow],12),0))</f>
        <v/>
      </c>
      <c r="M44">
        <f>SUMPRODUCT((M_BOM[RM_Code]=$A44)*M_BOM[RM_Qty_Per_Batch]*IFERROR(INDEX(PP_Grid[#Data],M_BOM[PPGridRow],13),0))</f>
        <v/>
      </c>
      <c r="N44">
        <f>SUMPRODUCT((M_BOM[RM_Code]=$A44)*M_BOM[RM_Qty_Per_Batch]*IFERROR(INDEX(PP_Grid[#Data],M_BOM[PPGridRow],14),0))</f>
        <v/>
      </c>
      <c r="O44">
        <f>SUMPRODUCT((M_BOM[RM_Code]=$A44)*M_BOM[RM_Qty_Per_Batch]*IFERROR(INDEX(PP_Grid[#Data],M_BOM[PPGridRow],15),0))</f>
        <v/>
      </c>
      <c r="P44">
        <f>SUMPRODUCT((M_BOM[RM_Code]=$A44)*M_BOM[RM_Qty_Per_Batch]*IFERROR(INDEX(PP_Grid[#Data],M_BOM[PPGridRow],16),0))</f>
        <v/>
      </c>
      <c r="Q44">
        <f>SUMPRODUCT((M_BOM[RM_Code]=$A44)*M_BOM[RM_Qty_Per_Batch]*IFERROR(INDEX(PP_Grid[#Data],M_BOM[PPGridRow],17),0))</f>
        <v/>
      </c>
      <c r="R44">
        <f>SUMPRODUCT((M_BOM[RM_Code]=$A44)*M_BOM[RM_Qty_Per_Batch]*IFERROR(INDEX(PP_Grid[#Data],M_BOM[PPGridRow],18),0))</f>
        <v/>
      </c>
      <c r="S44">
        <f>SUMPRODUCT((M_BOM[RM_Code]=$A44)*M_BOM[RM_Qty_Per_Batch]*IFERROR(INDEX(PP_Grid[#Data],M_BOM[PPGridRow],19),0))</f>
        <v/>
      </c>
      <c r="T44">
        <f>SUMPRODUCT((M_BOM[RM_Code]=$A44)*M_BOM[RM_Qty_Per_Batch]*IFERROR(INDEX(PP_Grid[#Data],M_BOM[PPGridRow],20),0))</f>
        <v/>
      </c>
      <c r="U44">
        <f>SUMPRODUCT((M_BOM[RM_Code]=$A44)*M_BOM[RM_Qty_Per_Batch]*IFERROR(INDEX(PP_Grid[#Data],M_BOM[PPGridRow],21),0))</f>
        <v/>
      </c>
      <c r="V44">
        <f>SUMPRODUCT((M_BOM[RM_Code]=$A44)*M_BOM[RM_Qty_Per_Batch]*IFERROR(INDEX(PP_Grid[#Data],M_BOM[PPGridRow],22),0))</f>
        <v/>
      </c>
      <c r="W44">
        <f>SUMPRODUCT((M_BOM[RM_Code]=$A44)*M_BOM[RM_Qty_Per_Batch]*IFERROR(INDEX(PP_Grid[#Data],M_BOM[PPGridRow],23),0))</f>
        <v/>
      </c>
      <c r="X44">
        <f>SUMPRODUCT((M_BOM[RM_Code]=$A44)*M_BOM[RM_Qty_Per_Batch]*IFERROR(INDEX(PP_Grid[#Data],M_BOM[PPGridRow],24),0))</f>
        <v/>
      </c>
      <c r="Y44">
        <f>SUMPRODUCT((M_BOM[RM_Code]=$A44)*M_BOM[RM_Qty_Per_Batch]*IFERROR(INDEX(PP_Grid[#Data],M_BOM[PPGridRow],25),0))</f>
        <v/>
      </c>
      <c r="Z44">
        <f>SUMPRODUCT((M_BOM[RM_Code]=$A44)*M_BOM[RM_Qty_Per_Batch]*IFERROR(INDEX(PP_Grid[#Data],M_BOM[PPGridRow],26),0))</f>
        <v/>
      </c>
      <c r="AA44">
        <f>SUMPRODUCT((M_BOM[RM_Code]=$A44)*M_BOM[RM_Qty_Per_Batch]*IFERROR(INDEX(PP_Grid[#Data],M_BOM[PPGridRow],27),0))</f>
        <v/>
      </c>
      <c r="AB44">
        <f>SUMPRODUCT((M_BOM[RM_Code]=$A44)*M_BOM[RM_Qty_Per_Batch]*IFERROR(INDEX(PP_Grid[#Data],M_BOM[PPGridRow],28),0))</f>
        <v/>
      </c>
      <c r="AC44">
        <f>SUMPRODUCT((M_BOM[RM_Code]=$A44)*M_BOM[RM_Qty_Per_Batch]*IFERROR(INDEX(PP_Grid[#Data],M_BOM[PPGridRow],29),0))</f>
        <v/>
      </c>
      <c r="AD44">
        <f>SUMPRODUCT((M_BOM[RM_Code]=$A44)*M_BOM[RM_Qty_Per_Batch]*IFERROR(INDEX(PP_Grid[#Data],M_BOM[PPGridRow],30),0))</f>
        <v/>
      </c>
      <c r="AE44">
        <f>SUMPRODUCT((M_BOM[RM_Code]=$A44)*M_BOM[RM_Qty_Per_Batch]*IFERROR(INDEX(PP_Grid[#Data],M_BOM[PPGridRow],31),0))</f>
        <v/>
      </c>
      <c r="AF44">
        <f>SUMPRODUCT((M_BOM[RM_Code]=$A44)*M_BOM[RM_Qty_Per_Batch]*IFERROR(INDEX(PP_Grid[#Data],M_BOM[PPGridRow],32),0))</f>
        <v/>
      </c>
      <c r="AG44">
        <f>SUMPRODUCT((M_BOM[RM_Code]=$A44)*M_BOM[RM_Qty_Per_Batch]*IFERROR(INDEX(PP_Grid[#Data],M_BOM[PPGridRow],33),0))</f>
        <v/>
      </c>
      <c r="AH44">
        <f>SUMPRODUCT((M_BOM[RM_Code]=$A44)*M_BOM[RM_Qty_Per_Batch]*IFERROR(INDEX(PP_Grid[#Data],M_BOM[PPGridRow],34),0))</f>
        <v/>
      </c>
      <c r="AI44">
        <f>SUMPRODUCT((M_BOM[RM_Code]=$A44)*M_BOM[RM_Qty_Per_Batch]*IFERROR(INDEX(PP_Grid[#Data],M_BOM[PPGridRow],35),0))</f>
        <v/>
      </c>
      <c r="AJ44">
        <f>SUMPRODUCT((M_BOM[RM_Code]=$A44)*M_BOM[RM_Qty_Per_Batch]*IFERROR(INDEX(PP_Grid[#Data],M_BOM[PPGridRow],36),0))</f>
        <v/>
      </c>
      <c r="AK44">
        <f>SUMPRODUCT((M_BOM[RM_Code]=$A44)*M_BOM[RM_Qty_Per_Batch]*IFERROR(INDEX(PP_Grid[#Data],M_BOM[PPGridRow],37),0))</f>
        <v/>
      </c>
      <c r="AL44">
        <f>SUMPRODUCT((M_BOM[RM_Code]=$A44)*M_BOM[RM_Qty_Per_Batch]*IFERROR(INDEX(PP_Grid[#Data],M_BOM[PPGridRow],38),0))</f>
        <v/>
      </c>
      <c r="AM44">
        <f>SUMPRODUCT((M_BOM[RM_Code]=$A44)*M_BOM[RM_Qty_Per_Batch]*IFERROR(INDEX(PP_Grid[#Data],M_BOM[PPGridRow],39),0))</f>
        <v/>
      </c>
      <c r="AN44">
        <f>SUMPRODUCT((M_BOM[RM_Code]=$A44)*M_BOM[RM_Qty_Per_Batch]*IFERROR(INDEX(PP_Grid[#Data],M_BOM[PPGridRow],40),0))</f>
        <v/>
      </c>
      <c r="AO44">
        <f>SUMPRODUCT((M_BOM[RM_Code]=$A44)*M_BOM[RM_Qty_Per_Batch]*IFERROR(INDEX(PP_Grid[#Data],M_BOM[PPGridRow],41),0))</f>
        <v/>
      </c>
      <c r="AP44">
        <f>SUMPRODUCT((M_BOM[RM_Code]=$A44)*M_BOM[RM_Qty_Per_Batch]*IFERROR(INDEX(PP_Grid[#Data],M_BOM[PPGridRow],42),0))</f>
        <v/>
      </c>
      <c r="AQ44">
        <f>SUMPRODUCT((M_BOM[RM_Code]=$A44)*M_BOM[RM_Qty_Per_Batch]*IFERROR(INDEX(PP_Grid[#Data],M_BOM[PPGridRow],43),0))</f>
        <v/>
      </c>
      <c r="AR44">
        <f>SUMPRODUCT((M_BOM[RM_Code]=$A44)*M_BOM[RM_Qty_Per_Batch]*IFERROR(INDEX(PP_Grid[#Data],M_BOM[PPGridRow],44),0))</f>
        <v/>
      </c>
      <c r="AS44">
        <f>SUMPRODUCT((M_BOM[RM_Code]=$A44)*M_BOM[RM_Qty_Per_Batch]*IFERROR(INDEX(PP_Grid[#Data],M_BOM[PPGridRow],45),0))</f>
        <v/>
      </c>
      <c r="AT44">
        <f>SUMPRODUCT((M_BOM[RM_Code]=$A44)*M_BOM[RM_Qty_Per_Batch]*IFERROR(INDEX(PP_Grid[#Data],M_BOM[PPGridRow],46),0))</f>
        <v/>
      </c>
      <c r="AU44">
        <f>SUMPRODUCT((M_BOM[RM_Code]=$A44)*M_BOM[RM_Qty_Per_Batch]*IFERROR(INDEX(PP_Grid[#Data],M_BOM[PPGridRow],47),0))</f>
        <v/>
      </c>
      <c r="AV44">
        <f>SUMPRODUCT((M_BOM[RM_Code]=$A44)*M_BOM[RM_Qty_Per_Batch]*IFERROR(INDEX(PP_Grid[#Data],M_BOM[PPGridRow],48),0))</f>
        <v/>
      </c>
      <c r="AW44">
        <f>SUMPRODUCT((M_BOM[RM_Code]=$A44)*M_BOM[RM_Qty_Per_Batch]*IFERROR(INDEX(PP_Grid[#Data],M_BOM[PPGridRow],49),0))</f>
        <v/>
      </c>
      <c r="AX44">
        <f>SUMPRODUCT((M_BOM[RM_Code]=$A44)*M_BOM[RM_Qty_Per_Batch]*IFERROR(INDEX(PP_Grid[#Data],M_BOM[PPGridRow],50),0))</f>
        <v/>
      </c>
      <c r="AY44">
        <f>SUMPRODUCT((M_BOM[RM_Code]=$A44)*M_BOM[RM_Qty_Per_Batch]*IFERROR(INDEX(PP_Grid[#Data],M_BOM[PPGridRow],51),0))</f>
        <v/>
      </c>
      <c r="AZ44">
        <f>SUMPRODUCT((M_BOM[RM_Code]=$A44)*M_BOM[RM_Qty_Per_Batch]*IFERROR(INDEX(PP_Grid[#Data],M_BOM[PPGridRow],52),0))</f>
        <v/>
      </c>
      <c r="BA44">
        <f>SUMPRODUCT((M_BOM[RM_Code]=$A44)*M_BOM[RM_Qty_Per_Batch]*IFERROR(INDEX(PP_Grid[#Data],M_BOM[PPGridRow],53),0))</f>
        <v/>
      </c>
      <c r="BB44">
        <f>SUMPRODUCT((M_BOM[RM_Code]=$A44)*M_BOM[RM_Qty_Per_Batch]*IFERROR(INDEX(PP_Grid[#Data],M_BOM[PPGridRow],54),0))</f>
        <v/>
      </c>
      <c r="BC44">
        <f>SUMPRODUCT((M_BOM[RM_Code]=$A44)*M_BOM[RM_Qty_Per_Batch]*IFERROR(INDEX(PP_Grid[#Data],M_BOM[PPGridRow],55),0))</f>
        <v/>
      </c>
      <c r="BD44">
        <f>SUMPRODUCT((M_BOM[RM_Code]=$A44)*M_BOM[RM_Qty_Per_Batch]*IFERROR(INDEX(PP_Grid[#Data],M_BOM[PPGridRow],56),0))</f>
        <v/>
      </c>
      <c r="BE44">
        <f>SUMPRODUCT((M_BOM[RM_Code]=$A44)*M_BOM[RM_Qty_Per_Batch]*IFERROR(INDEX(PP_Grid[#Data],M_BOM[PPGridRow],57),0))</f>
        <v/>
      </c>
      <c r="BF44">
        <f>SUMPRODUCT((M_BOM[RM_Code]=$A44)*M_BOM[RM_Qty_Per_Batch]*IFERROR(INDEX(PP_Grid[#Data],M_BOM[PPGridRow],58),0))</f>
        <v/>
      </c>
      <c r="BG44">
        <f>SUMPRODUCT((M_BOM[RM_Code]=$A44)*M_BOM[RM_Qty_Per_Batch]*IFERROR(INDEX(PP_Grid[#Data],M_BOM[PPGridRow],59),0))</f>
        <v/>
      </c>
      <c r="BH44">
        <f>SUMPRODUCT((M_BOM[RM_Code]=$A44)*M_BOM[RM_Qty_Per_Batch]*IFERROR(INDEX(PP_Grid[#Data],M_BOM[PPGridRow],60),0))</f>
        <v/>
      </c>
      <c r="BI44">
        <f>SUMPRODUCT((M_BOM[RM_Code]=$A44)*M_BOM[RM_Qty_Per_Batch]*IFERROR(INDEX(PP_Grid[#Data],M_BOM[PPGridRow],61),0))</f>
        <v/>
      </c>
      <c r="BJ44">
        <f>SUMPRODUCT((M_BOM[RM_Code]=$A44)*M_BOM[RM_Qty_Per_Batch]*IFERROR(INDEX(PP_Grid[#Data],M_BOM[PPGridRow],62),0))</f>
        <v/>
      </c>
      <c r="BK44">
        <f>SUMPRODUCT((M_BOM[RM_Code]=$A44)*M_BOM[RM_Qty_Per_Batch]*IFERROR(INDEX(PP_Grid[#Data],M_BOM[PPGridRow],63),0))</f>
        <v/>
      </c>
      <c r="BL44">
        <f>SUMPRODUCT((M_BOM[RM_Code]=$A44)*M_BOM[RM_Qty_Per_Batch]*IFERROR(INDEX(PP_Grid[#Data],M_BOM[PPGridRow],64),0))</f>
        <v/>
      </c>
      <c r="BM44">
        <f>SUMPRODUCT((M_BOM[RM_Code]=$A44)*M_BOM[RM_Qty_Per_Batch]*IFERROR(INDEX(PP_Grid[#Data],M_BOM[PPGridRow],65),0))</f>
        <v/>
      </c>
      <c r="BN44">
        <f>SUMPRODUCT((M_BOM[RM_Code]=$A44)*M_BOM[RM_Qty_Per_Batch]*IFERROR(INDEX(PP_Grid[#Data],M_BOM[PPGridRow],66),0))</f>
        <v/>
      </c>
      <c r="BO44">
        <f>SUMPRODUCT((M_BOM[RM_Code]=$A44)*M_BOM[RM_Qty_Per_Batch]*IFERROR(INDEX(PP_Grid[#Data],M_BOM[PPGridRow],67),0))</f>
        <v/>
      </c>
      <c r="BP44">
        <f>SUMPRODUCT((M_BOM[RM_Code]=$A44)*M_BOM[RM_Qty_Per_Batch]*IFERROR(INDEX(PP_Grid[#Data],M_BOM[PPGridRow],68),0))</f>
        <v/>
      </c>
      <c r="BQ44">
        <f>SUMPRODUCT((M_BOM[RM_Code]=$A44)*M_BOM[RM_Qty_Per_Batch]*IFERROR(INDEX(PP_Grid[#Data],M_BOM[PPGridRow],69),0))</f>
        <v/>
      </c>
      <c r="BR44">
        <f>SUMPRODUCT((M_BOM[RM_Code]=$A44)*M_BOM[RM_Qty_Per_Batch]*IFERROR(INDEX(PP_Grid[#Data],M_BOM[PPGridRow],70),0))</f>
        <v/>
      </c>
      <c r="BS44">
        <f>SUMPRODUCT((M_BOM[RM_Code]=$A44)*M_BOM[RM_Qty_Per_Batch]*IFERROR(INDEX(PP_Grid[#Data],M_BOM[PPGridRow],71),0))</f>
        <v/>
      </c>
      <c r="BT44">
        <f>SUMPRODUCT((M_BOM[RM_Code]=$A44)*M_BOM[RM_Qty_Per_Batch]*IFERROR(INDEX(PP_Grid[#Data],M_BOM[PPGridRow],72),0))</f>
        <v/>
      </c>
      <c r="BU44">
        <f>SUMPRODUCT((M_BOM[RM_Code]=$A44)*M_BOM[RM_Qty_Per_Batch]*IFERROR(INDEX(PP_Grid[#Data],M_BOM[PPGridRow],73),0))</f>
        <v/>
      </c>
      <c r="BV44">
        <f>SUMPRODUCT((M_BOM[RM_Code]=$A44)*M_BOM[RM_Qty_Per_Batch]*IFERROR(INDEX(PP_Grid[#Data],M_BOM[PPGridRow],74),0))</f>
        <v/>
      </c>
      <c r="BW44">
        <f>SUMPRODUCT((M_BOM[RM_Code]=$A44)*M_BOM[RM_Qty_Per_Batch]*IFERROR(INDEX(PP_Grid[#Data],M_BOM[PPGridRow],75),0))</f>
        <v/>
      </c>
      <c r="BX44">
        <f>SUMPRODUCT((M_BOM[RM_Code]=$A44)*M_BOM[RM_Qty_Per_Batch]*IFERROR(INDEX(PP_Grid[#Data],M_BOM[PPGridRow],76),0))</f>
        <v/>
      </c>
      <c r="BY44">
        <f>SUMPRODUCT((M_BOM[RM_Code]=$A44)*M_BOM[RM_Qty_Per_Batch]*IFERROR(INDEX(PP_Grid[#Data],M_BOM[PPGridRow],77),0))</f>
        <v/>
      </c>
      <c r="BZ44">
        <f>SUMPRODUCT((M_BOM[RM_Code]=$A44)*M_BOM[RM_Qty_Per_Batch]*IFERROR(INDEX(PP_Grid[#Data],M_BOM[PPGridRow],78),0))</f>
        <v/>
      </c>
      <c r="CA44">
        <f>SUMPRODUCT((M_BOM[RM_Code]=$A44)*M_BOM[RM_Qty_Per_Batch]*IFERROR(INDEX(PP_Grid[#Data],M_BOM[PPGridRow],79),0))</f>
        <v/>
      </c>
      <c r="CB44">
        <f>SUMPRODUCT((M_BOM[RM_Code]=$A44)*M_BOM[RM_Qty_Per_Batch]*IFERROR(INDEX(PP_Grid[#Data],M_BOM[PPGridRow],80),0))</f>
        <v/>
      </c>
      <c r="CC44">
        <f>SUMPRODUCT((M_BOM[RM_Code]=$A44)*M_BOM[RM_Qty_Per_Batch]*IFERROR(INDEX(PP_Grid[#Data],M_BOM[PPGridRow],81),0))</f>
        <v/>
      </c>
      <c r="CD44">
        <f>SUMPRODUCT((M_BOM[RM_Code]=$A44)*M_BOM[RM_Qty_Per_Batch]*IFERROR(INDEX(PP_Grid[#Data],M_BOM[PPGridRow],82),0))</f>
        <v/>
      </c>
      <c r="CE44">
        <f>SUMPRODUCT((M_BOM[RM_Code]=$A44)*M_BOM[RM_Qty_Per_Batch]*IFERROR(INDEX(PP_Grid[#Data],M_BOM[PPGridRow],83),0))</f>
        <v/>
      </c>
      <c r="CF44">
        <f>SUMPRODUCT((M_BOM[RM_Code]=$A44)*M_BOM[RM_Qty_Per_Batch]*IFERROR(INDEX(PP_Grid[#Data],M_BOM[PPGridRow],84),0))</f>
        <v/>
      </c>
      <c r="CG44">
        <f>SUMPRODUCT((M_BOM[RM_Code]=$A44)*M_BOM[RM_Qty_Per_Batch]*IFERROR(INDEX(PP_Grid[#Data],M_BOM[PPGridRow],85),0))</f>
        <v/>
      </c>
      <c r="CH44">
        <f>SUMPRODUCT((M_BOM[RM_Code]=$A44)*M_BOM[RM_Qty_Per_Batch]*IFERROR(INDEX(PP_Grid[#Data],M_BOM[PPGridRow],86),0))</f>
        <v/>
      </c>
      <c r="CI44">
        <f>SUMPRODUCT((M_BOM[RM_Code]=$A44)*M_BOM[RM_Qty_Per_Batch]*IFERROR(INDEX(PP_Grid[#Data],M_BOM[PPGridRow],87),0))</f>
        <v/>
      </c>
      <c r="CJ44">
        <f>SUMPRODUCT((M_BOM[RM_Code]=$A44)*M_BOM[RM_Qty_Per_Batch]*IFERROR(INDEX(PP_Grid[#Data],M_BOM[PPGridRow],88),0))</f>
        <v/>
      </c>
      <c r="CK44">
        <f>SUMPRODUCT((M_BOM[RM_Code]=$A44)*M_BOM[RM_Qty_Per_Batch]*IFERROR(INDEX(PP_Grid[#Data],M_BOM[PPGridRow],89),0))</f>
        <v/>
      </c>
      <c r="CL44">
        <f>SUMPRODUCT((M_BOM[RM_Code]=$A44)*M_BOM[RM_Qty_Per_Batch]*IFERROR(INDEX(PP_Grid[#Data],M_BOM[PPGridRow],90),0))</f>
        <v/>
      </c>
      <c r="CM44">
        <f>SUMPRODUCT((M_BOM[RM_Code]=$A44)*M_BOM[RM_Qty_Per_Batch]*IFERROR(INDEX(PP_Grid[#Data],M_BOM[PPGridRow],91),0))</f>
        <v/>
      </c>
      <c r="CN44">
        <f>SUMPRODUCT((M_BOM[RM_Code]=$A44)*M_BOM[RM_Qty_Per_Batch]*IFERROR(INDEX(PP_Grid[#Data],M_BOM[PPGridRow],92),0))</f>
        <v/>
      </c>
      <c r="CO44">
        <f>SUMPRODUCT((M_BOM[RM_Code]=$A44)*M_BOM[RM_Qty_Per_Batch]*IFERROR(INDEX(PP_Grid[#Data],M_BOM[PPGridRow],93),0))</f>
        <v/>
      </c>
      <c r="CP44">
        <f>SUMPRODUCT((M_BOM[RM_Code]=$A44)*M_BOM[RM_Qty_Per_Batch]*IFERROR(INDEX(PP_Grid[#Data],M_BOM[PPGridRow],94),0))</f>
        <v/>
      </c>
      <c r="CQ44">
        <f>SUMPRODUCT((M_BOM[RM_Code]=$A44)*M_BOM[RM_Qty_Per_Batch]*IFERROR(INDEX(PP_Grid[#Data],M_BOM[PPGridRow],95),0))</f>
        <v/>
      </c>
      <c r="CR44">
        <f>SUMPRODUCT((M_BOM[RM_Code]=$A44)*M_BOM[RM_Qty_Per_Batch]*IFERROR(INDEX(PP_Grid[#Data],M_BOM[PPGridRow],96),0))</f>
        <v/>
      </c>
      <c r="CS44">
        <f>SUMPRODUCT((M_BOM[RM_Code]=$A44)*M_BOM[RM_Qty_Per_Batch]*IFERROR(INDEX(PP_Grid[#Data],M_BOM[PPGridRow],97),0))</f>
        <v/>
      </c>
      <c r="CT44">
        <f>SUMPRODUCT((M_BOM[RM_Code]=$A44)*M_BOM[RM_Qty_Per_Batch]*IFERROR(INDEX(PP_Grid[#Data],M_BOM[PPGridRow],98),0))</f>
        <v/>
      </c>
      <c r="CU44">
        <f>SUMPRODUCT((M_BOM[RM_Code]=$A44)*M_BOM[RM_Qty_Per_Batch]*IFERROR(INDEX(PP_Grid[#Data],M_BOM[PPGridRow],99),0))</f>
        <v/>
      </c>
      <c r="CV44">
        <f>SUMPRODUCT((M_BOM[RM_Code]=$A44)*M_BOM[RM_Qty_Per_Batch]*IFERROR(INDEX(PP_Grid[#Data],M_BOM[PPGridRow],100),0))</f>
        <v/>
      </c>
      <c r="CW44">
        <f>SUMPRODUCT((M_BOM[RM_Code]=$A44)*M_BOM[RM_Qty_Per_Batch]*IFERROR(INDEX(PP_Grid[#Data],M_BOM[PPGridRow],101),0))</f>
        <v/>
      </c>
      <c r="CX44">
        <f>SUMPRODUCT((M_BOM[RM_Code]=$A44)*M_BOM[RM_Qty_Per_Batch]*IFERROR(INDEX(PP_Grid[#Data],M_BOM[PPGridRow],102),0))</f>
        <v/>
      </c>
      <c r="CY44">
        <f>SUMPRODUCT((M_BOM[RM_Code]=$A44)*M_BOM[RM_Qty_Per_Batch]*IFERROR(INDEX(PP_Grid[#Data],M_BOM[PPGridRow],103),0))</f>
        <v/>
      </c>
      <c r="CZ44">
        <f>SUMPRODUCT((M_BOM[RM_Code]=$A44)*M_BOM[RM_Qty_Per_Batch]*IFERROR(INDEX(PP_Grid[#Data],M_BOM[PPGridRow],104),0))</f>
        <v/>
      </c>
      <c r="DA44">
        <f>SUMPRODUCT((M_BOM[RM_Code]=$A44)*M_BOM[RM_Qty_Per_Batch]*IFERROR(INDEX(PP_Grid[#Data],M_BOM[PPGridRow],105),0))</f>
        <v/>
      </c>
    </row>
    <row r="45">
      <c r="A45" t="inlineStr">
        <is>
          <t>CHEM-1010</t>
        </is>
      </c>
      <c r="B45">
        <f>SUMPRODUCT((M_BOM[RM_Code]=$A45)*M_BOM[RM_Qty_Per_Batch]*IFERROR(INDEX(PP_Grid[#Data],M_BOM[PPGridRow],2),0))</f>
        <v/>
      </c>
      <c r="C45">
        <f>SUMPRODUCT((M_BOM[RM_Code]=$A45)*M_BOM[RM_Qty_Per_Batch]*IFERROR(INDEX(PP_Grid[#Data],M_BOM[PPGridRow],3),0))</f>
        <v/>
      </c>
      <c r="D45">
        <f>SUMPRODUCT((M_BOM[RM_Code]=$A45)*M_BOM[RM_Qty_Per_Batch]*IFERROR(INDEX(PP_Grid[#Data],M_BOM[PPGridRow],4),0))</f>
        <v/>
      </c>
      <c r="E45">
        <f>SUMPRODUCT((M_BOM[RM_Code]=$A45)*M_BOM[RM_Qty_Per_Batch]*IFERROR(INDEX(PP_Grid[#Data],M_BOM[PPGridRow],5),0))</f>
        <v/>
      </c>
      <c r="F45">
        <f>SUMPRODUCT((M_BOM[RM_Code]=$A45)*M_BOM[RM_Qty_Per_Batch]*IFERROR(INDEX(PP_Grid[#Data],M_BOM[PPGridRow],6),0))</f>
        <v/>
      </c>
      <c r="G45">
        <f>SUMPRODUCT((M_BOM[RM_Code]=$A45)*M_BOM[RM_Qty_Per_Batch]*IFERROR(INDEX(PP_Grid[#Data],M_BOM[PPGridRow],7),0))</f>
        <v/>
      </c>
      <c r="H45">
        <f>SUMPRODUCT((M_BOM[RM_Code]=$A45)*M_BOM[RM_Qty_Per_Batch]*IFERROR(INDEX(PP_Grid[#Data],M_BOM[PPGridRow],8),0))</f>
        <v/>
      </c>
      <c r="I45">
        <f>SUMPRODUCT((M_BOM[RM_Code]=$A45)*M_BOM[RM_Qty_Per_Batch]*IFERROR(INDEX(PP_Grid[#Data],M_BOM[PPGridRow],9),0))</f>
        <v/>
      </c>
      <c r="J45">
        <f>SUMPRODUCT((M_BOM[RM_Code]=$A45)*M_BOM[RM_Qty_Per_Batch]*IFERROR(INDEX(PP_Grid[#Data],M_BOM[PPGridRow],10),0))</f>
        <v/>
      </c>
      <c r="K45">
        <f>SUMPRODUCT((M_BOM[RM_Code]=$A45)*M_BOM[RM_Qty_Per_Batch]*IFERROR(INDEX(PP_Grid[#Data],M_BOM[PPGridRow],11),0))</f>
        <v/>
      </c>
      <c r="L45">
        <f>SUMPRODUCT((M_BOM[RM_Code]=$A45)*M_BOM[RM_Qty_Per_Batch]*IFERROR(INDEX(PP_Grid[#Data],M_BOM[PPGridRow],12),0))</f>
        <v/>
      </c>
      <c r="M45">
        <f>SUMPRODUCT((M_BOM[RM_Code]=$A45)*M_BOM[RM_Qty_Per_Batch]*IFERROR(INDEX(PP_Grid[#Data],M_BOM[PPGridRow],13),0))</f>
        <v/>
      </c>
      <c r="N45">
        <f>SUMPRODUCT((M_BOM[RM_Code]=$A45)*M_BOM[RM_Qty_Per_Batch]*IFERROR(INDEX(PP_Grid[#Data],M_BOM[PPGridRow],14),0))</f>
        <v/>
      </c>
      <c r="O45">
        <f>SUMPRODUCT((M_BOM[RM_Code]=$A45)*M_BOM[RM_Qty_Per_Batch]*IFERROR(INDEX(PP_Grid[#Data],M_BOM[PPGridRow],15),0))</f>
        <v/>
      </c>
      <c r="P45">
        <f>SUMPRODUCT((M_BOM[RM_Code]=$A45)*M_BOM[RM_Qty_Per_Batch]*IFERROR(INDEX(PP_Grid[#Data],M_BOM[PPGridRow],16),0))</f>
        <v/>
      </c>
      <c r="Q45">
        <f>SUMPRODUCT((M_BOM[RM_Code]=$A45)*M_BOM[RM_Qty_Per_Batch]*IFERROR(INDEX(PP_Grid[#Data],M_BOM[PPGridRow],17),0))</f>
        <v/>
      </c>
      <c r="R45">
        <f>SUMPRODUCT((M_BOM[RM_Code]=$A45)*M_BOM[RM_Qty_Per_Batch]*IFERROR(INDEX(PP_Grid[#Data],M_BOM[PPGridRow],18),0))</f>
        <v/>
      </c>
      <c r="S45">
        <f>SUMPRODUCT((M_BOM[RM_Code]=$A45)*M_BOM[RM_Qty_Per_Batch]*IFERROR(INDEX(PP_Grid[#Data],M_BOM[PPGridRow],19),0))</f>
        <v/>
      </c>
      <c r="T45">
        <f>SUMPRODUCT((M_BOM[RM_Code]=$A45)*M_BOM[RM_Qty_Per_Batch]*IFERROR(INDEX(PP_Grid[#Data],M_BOM[PPGridRow],20),0))</f>
        <v/>
      </c>
      <c r="U45">
        <f>SUMPRODUCT((M_BOM[RM_Code]=$A45)*M_BOM[RM_Qty_Per_Batch]*IFERROR(INDEX(PP_Grid[#Data],M_BOM[PPGridRow],21),0))</f>
        <v/>
      </c>
      <c r="V45">
        <f>SUMPRODUCT((M_BOM[RM_Code]=$A45)*M_BOM[RM_Qty_Per_Batch]*IFERROR(INDEX(PP_Grid[#Data],M_BOM[PPGridRow],22),0))</f>
        <v/>
      </c>
      <c r="W45">
        <f>SUMPRODUCT((M_BOM[RM_Code]=$A45)*M_BOM[RM_Qty_Per_Batch]*IFERROR(INDEX(PP_Grid[#Data],M_BOM[PPGridRow],23),0))</f>
        <v/>
      </c>
      <c r="X45">
        <f>SUMPRODUCT((M_BOM[RM_Code]=$A45)*M_BOM[RM_Qty_Per_Batch]*IFERROR(INDEX(PP_Grid[#Data],M_BOM[PPGridRow],24),0))</f>
        <v/>
      </c>
      <c r="Y45">
        <f>SUMPRODUCT((M_BOM[RM_Code]=$A45)*M_BOM[RM_Qty_Per_Batch]*IFERROR(INDEX(PP_Grid[#Data],M_BOM[PPGridRow],25),0))</f>
        <v/>
      </c>
      <c r="Z45">
        <f>SUMPRODUCT((M_BOM[RM_Code]=$A45)*M_BOM[RM_Qty_Per_Batch]*IFERROR(INDEX(PP_Grid[#Data],M_BOM[PPGridRow],26),0))</f>
        <v/>
      </c>
      <c r="AA45">
        <f>SUMPRODUCT((M_BOM[RM_Code]=$A45)*M_BOM[RM_Qty_Per_Batch]*IFERROR(INDEX(PP_Grid[#Data],M_BOM[PPGridRow],27),0))</f>
        <v/>
      </c>
      <c r="AB45">
        <f>SUMPRODUCT((M_BOM[RM_Code]=$A45)*M_BOM[RM_Qty_Per_Batch]*IFERROR(INDEX(PP_Grid[#Data],M_BOM[PPGridRow],28),0))</f>
        <v/>
      </c>
      <c r="AC45">
        <f>SUMPRODUCT((M_BOM[RM_Code]=$A45)*M_BOM[RM_Qty_Per_Batch]*IFERROR(INDEX(PP_Grid[#Data],M_BOM[PPGridRow],29),0))</f>
        <v/>
      </c>
      <c r="AD45">
        <f>SUMPRODUCT((M_BOM[RM_Code]=$A45)*M_BOM[RM_Qty_Per_Batch]*IFERROR(INDEX(PP_Grid[#Data],M_BOM[PPGridRow],30),0))</f>
        <v/>
      </c>
      <c r="AE45">
        <f>SUMPRODUCT((M_BOM[RM_Code]=$A45)*M_BOM[RM_Qty_Per_Batch]*IFERROR(INDEX(PP_Grid[#Data],M_BOM[PPGridRow],31),0))</f>
        <v/>
      </c>
      <c r="AF45">
        <f>SUMPRODUCT((M_BOM[RM_Code]=$A45)*M_BOM[RM_Qty_Per_Batch]*IFERROR(INDEX(PP_Grid[#Data],M_BOM[PPGridRow],32),0))</f>
        <v/>
      </c>
      <c r="AG45">
        <f>SUMPRODUCT((M_BOM[RM_Code]=$A45)*M_BOM[RM_Qty_Per_Batch]*IFERROR(INDEX(PP_Grid[#Data],M_BOM[PPGridRow],33),0))</f>
        <v/>
      </c>
      <c r="AH45">
        <f>SUMPRODUCT((M_BOM[RM_Code]=$A45)*M_BOM[RM_Qty_Per_Batch]*IFERROR(INDEX(PP_Grid[#Data],M_BOM[PPGridRow],34),0))</f>
        <v/>
      </c>
      <c r="AI45">
        <f>SUMPRODUCT((M_BOM[RM_Code]=$A45)*M_BOM[RM_Qty_Per_Batch]*IFERROR(INDEX(PP_Grid[#Data],M_BOM[PPGridRow],35),0))</f>
        <v/>
      </c>
      <c r="AJ45">
        <f>SUMPRODUCT((M_BOM[RM_Code]=$A45)*M_BOM[RM_Qty_Per_Batch]*IFERROR(INDEX(PP_Grid[#Data],M_BOM[PPGridRow],36),0))</f>
        <v/>
      </c>
      <c r="AK45">
        <f>SUMPRODUCT((M_BOM[RM_Code]=$A45)*M_BOM[RM_Qty_Per_Batch]*IFERROR(INDEX(PP_Grid[#Data],M_BOM[PPGridRow],37),0))</f>
        <v/>
      </c>
      <c r="AL45">
        <f>SUMPRODUCT((M_BOM[RM_Code]=$A45)*M_BOM[RM_Qty_Per_Batch]*IFERROR(INDEX(PP_Grid[#Data],M_BOM[PPGridRow],38),0))</f>
        <v/>
      </c>
      <c r="AM45">
        <f>SUMPRODUCT((M_BOM[RM_Code]=$A45)*M_BOM[RM_Qty_Per_Batch]*IFERROR(INDEX(PP_Grid[#Data],M_BOM[PPGridRow],39),0))</f>
        <v/>
      </c>
      <c r="AN45">
        <f>SUMPRODUCT((M_BOM[RM_Code]=$A45)*M_BOM[RM_Qty_Per_Batch]*IFERROR(INDEX(PP_Grid[#Data],M_BOM[PPGridRow],40),0))</f>
        <v/>
      </c>
      <c r="AO45">
        <f>SUMPRODUCT((M_BOM[RM_Code]=$A45)*M_BOM[RM_Qty_Per_Batch]*IFERROR(INDEX(PP_Grid[#Data],M_BOM[PPGridRow],41),0))</f>
        <v/>
      </c>
      <c r="AP45">
        <f>SUMPRODUCT((M_BOM[RM_Code]=$A45)*M_BOM[RM_Qty_Per_Batch]*IFERROR(INDEX(PP_Grid[#Data],M_BOM[PPGridRow],42),0))</f>
        <v/>
      </c>
      <c r="AQ45">
        <f>SUMPRODUCT((M_BOM[RM_Code]=$A45)*M_BOM[RM_Qty_Per_Batch]*IFERROR(INDEX(PP_Grid[#Data],M_BOM[PPGridRow],43),0))</f>
        <v/>
      </c>
      <c r="AR45">
        <f>SUMPRODUCT((M_BOM[RM_Code]=$A45)*M_BOM[RM_Qty_Per_Batch]*IFERROR(INDEX(PP_Grid[#Data],M_BOM[PPGridRow],44),0))</f>
        <v/>
      </c>
      <c r="AS45">
        <f>SUMPRODUCT((M_BOM[RM_Code]=$A45)*M_BOM[RM_Qty_Per_Batch]*IFERROR(INDEX(PP_Grid[#Data],M_BOM[PPGridRow],45),0))</f>
        <v/>
      </c>
      <c r="AT45">
        <f>SUMPRODUCT((M_BOM[RM_Code]=$A45)*M_BOM[RM_Qty_Per_Batch]*IFERROR(INDEX(PP_Grid[#Data],M_BOM[PPGridRow],46),0))</f>
        <v/>
      </c>
      <c r="AU45">
        <f>SUMPRODUCT((M_BOM[RM_Code]=$A45)*M_BOM[RM_Qty_Per_Batch]*IFERROR(INDEX(PP_Grid[#Data],M_BOM[PPGridRow],47),0))</f>
        <v/>
      </c>
      <c r="AV45">
        <f>SUMPRODUCT((M_BOM[RM_Code]=$A45)*M_BOM[RM_Qty_Per_Batch]*IFERROR(INDEX(PP_Grid[#Data],M_BOM[PPGridRow],48),0))</f>
        <v/>
      </c>
      <c r="AW45">
        <f>SUMPRODUCT((M_BOM[RM_Code]=$A45)*M_BOM[RM_Qty_Per_Batch]*IFERROR(INDEX(PP_Grid[#Data],M_BOM[PPGridRow],49),0))</f>
        <v/>
      </c>
      <c r="AX45">
        <f>SUMPRODUCT((M_BOM[RM_Code]=$A45)*M_BOM[RM_Qty_Per_Batch]*IFERROR(INDEX(PP_Grid[#Data],M_BOM[PPGridRow],50),0))</f>
        <v/>
      </c>
      <c r="AY45">
        <f>SUMPRODUCT((M_BOM[RM_Code]=$A45)*M_BOM[RM_Qty_Per_Batch]*IFERROR(INDEX(PP_Grid[#Data],M_BOM[PPGridRow],51),0))</f>
        <v/>
      </c>
      <c r="AZ45">
        <f>SUMPRODUCT((M_BOM[RM_Code]=$A45)*M_BOM[RM_Qty_Per_Batch]*IFERROR(INDEX(PP_Grid[#Data],M_BOM[PPGridRow],52),0))</f>
        <v/>
      </c>
      <c r="BA45">
        <f>SUMPRODUCT((M_BOM[RM_Code]=$A45)*M_BOM[RM_Qty_Per_Batch]*IFERROR(INDEX(PP_Grid[#Data],M_BOM[PPGridRow],53),0))</f>
        <v/>
      </c>
      <c r="BB45">
        <f>SUMPRODUCT((M_BOM[RM_Code]=$A45)*M_BOM[RM_Qty_Per_Batch]*IFERROR(INDEX(PP_Grid[#Data],M_BOM[PPGridRow],54),0))</f>
        <v/>
      </c>
      <c r="BC45">
        <f>SUMPRODUCT((M_BOM[RM_Code]=$A45)*M_BOM[RM_Qty_Per_Batch]*IFERROR(INDEX(PP_Grid[#Data],M_BOM[PPGridRow],55),0))</f>
        <v/>
      </c>
      <c r="BD45">
        <f>SUMPRODUCT((M_BOM[RM_Code]=$A45)*M_BOM[RM_Qty_Per_Batch]*IFERROR(INDEX(PP_Grid[#Data],M_BOM[PPGridRow],56),0))</f>
        <v/>
      </c>
      <c r="BE45">
        <f>SUMPRODUCT((M_BOM[RM_Code]=$A45)*M_BOM[RM_Qty_Per_Batch]*IFERROR(INDEX(PP_Grid[#Data],M_BOM[PPGridRow],57),0))</f>
        <v/>
      </c>
      <c r="BF45">
        <f>SUMPRODUCT((M_BOM[RM_Code]=$A45)*M_BOM[RM_Qty_Per_Batch]*IFERROR(INDEX(PP_Grid[#Data],M_BOM[PPGridRow],58),0))</f>
        <v/>
      </c>
      <c r="BG45">
        <f>SUMPRODUCT((M_BOM[RM_Code]=$A45)*M_BOM[RM_Qty_Per_Batch]*IFERROR(INDEX(PP_Grid[#Data],M_BOM[PPGridRow],59),0))</f>
        <v/>
      </c>
      <c r="BH45">
        <f>SUMPRODUCT((M_BOM[RM_Code]=$A45)*M_BOM[RM_Qty_Per_Batch]*IFERROR(INDEX(PP_Grid[#Data],M_BOM[PPGridRow],60),0))</f>
        <v/>
      </c>
      <c r="BI45">
        <f>SUMPRODUCT((M_BOM[RM_Code]=$A45)*M_BOM[RM_Qty_Per_Batch]*IFERROR(INDEX(PP_Grid[#Data],M_BOM[PPGridRow],61),0))</f>
        <v/>
      </c>
      <c r="BJ45">
        <f>SUMPRODUCT((M_BOM[RM_Code]=$A45)*M_BOM[RM_Qty_Per_Batch]*IFERROR(INDEX(PP_Grid[#Data],M_BOM[PPGridRow],62),0))</f>
        <v/>
      </c>
      <c r="BK45">
        <f>SUMPRODUCT((M_BOM[RM_Code]=$A45)*M_BOM[RM_Qty_Per_Batch]*IFERROR(INDEX(PP_Grid[#Data],M_BOM[PPGridRow],63),0))</f>
        <v/>
      </c>
      <c r="BL45">
        <f>SUMPRODUCT((M_BOM[RM_Code]=$A45)*M_BOM[RM_Qty_Per_Batch]*IFERROR(INDEX(PP_Grid[#Data],M_BOM[PPGridRow],64),0))</f>
        <v/>
      </c>
      <c r="BM45">
        <f>SUMPRODUCT((M_BOM[RM_Code]=$A45)*M_BOM[RM_Qty_Per_Batch]*IFERROR(INDEX(PP_Grid[#Data],M_BOM[PPGridRow],65),0))</f>
        <v/>
      </c>
      <c r="BN45">
        <f>SUMPRODUCT((M_BOM[RM_Code]=$A45)*M_BOM[RM_Qty_Per_Batch]*IFERROR(INDEX(PP_Grid[#Data],M_BOM[PPGridRow],66),0))</f>
        <v/>
      </c>
      <c r="BO45">
        <f>SUMPRODUCT((M_BOM[RM_Code]=$A45)*M_BOM[RM_Qty_Per_Batch]*IFERROR(INDEX(PP_Grid[#Data],M_BOM[PPGridRow],67),0))</f>
        <v/>
      </c>
      <c r="BP45">
        <f>SUMPRODUCT((M_BOM[RM_Code]=$A45)*M_BOM[RM_Qty_Per_Batch]*IFERROR(INDEX(PP_Grid[#Data],M_BOM[PPGridRow],68),0))</f>
        <v/>
      </c>
      <c r="BQ45">
        <f>SUMPRODUCT((M_BOM[RM_Code]=$A45)*M_BOM[RM_Qty_Per_Batch]*IFERROR(INDEX(PP_Grid[#Data],M_BOM[PPGridRow],69),0))</f>
        <v/>
      </c>
      <c r="BR45">
        <f>SUMPRODUCT((M_BOM[RM_Code]=$A45)*M_BOM[RM_Qty_Per_Batch]*IFERROR(INDEX(PP_Grid[#Data],M_BOM[PPGridRow],70),0))</f>
        <v/>
      </c>
      <c r="BS45">
        <f>SUMPRODUCT((M_BOM[RM_Code]=$A45)*M_BOM[RM_Qty_Per_Batch]*IFERROR(INDEX(PP_Grid[#Data],M_BOM[PPGridRow],71),0))</f>
        <v/>
      </c>
      <c r="BT45">
        <f>SUMPRODUCT((M_BOM[RM_Code]=$A45)*M_BOM[RM_Qty_Per_Batch]*IFERROR(INDEX(PP_Grid[#Data],M_BOM[PPGridRow],72),0))</f>
        <v/>
      </c>
      <c r="BU45">
        <f>SUMPRODUCT((M_BOM[RM_Code]=$A45)*M_BOM[RM_Qty_Per_Batch]*IFERROR(INDEX(PP_Grid[#Data],M_BOM[PPGridRow],73),0))</f>
        <v/>
      </c>
      <c r="BV45">
        <f>SUMPRODUCT((M_BOM[RM_Code]=$A45)*M_BOM[RM_Qty_Per_Batch]*IFERROR(INDEX(PP_Grid[#Data],M_BOM[PPGridRow],74),0))</f>
        <v/>
      </c>
      <c r="BW45">
        <f>SUMPRODUCT((M_BOM[RM_Code]=$A45)*M_BOM[RM_Qty_Per_Batch]*IFERROR(INDEX(PP_Grid[#Data],M_BOM[PPGridRow],75),0))</f>
        <v/>
      </c>
      <c r="BX45">
        <f>SUMPRODUCT((M_BOM[RM_Code]=$A45)*M_BOM[RM_Qty_Per_Batch]*IFERROR(INDEX(PP_Grid[#Data],M_BOM[PPGridRow],76),0))</f>
        <v/>
      </c>
      <c r="BY45">
        <f>SUMPRODUCT((M_BOM[RM_Code]=$A45)*M_BOM[RM_Qty_Per_Batch]*IFERROR(INDEX(PP_Grid[#Data],M_BOM[PPGridRow],77),0))</f>
        <v/>
      </c>
      <c r="BZ45">
        <f>SUMPRODUCT((M_BOM[RM_Code]=$A45)*M_BOM[RM_Qty_Per_Batch]*IFERROR(INDEX(PP_Grid[#Data],M_BOM[PPGridRow],78),0))</f>
        <v/>
      </c>
      <c r="CA45">
        <f>SUMPRODUCT((M_BOM[RM_Code]=$A45)*M_BOM[RM_Qty_Per_Batch]*IFERROR(INDEX(PP_Grid[#Data],M_BOM[PPGridRow],79),0))</f>
        <v/>
      </c>
      <c r="CB45">
        <f>SUMPRODUCT((M_BOM[RM_Code]=$A45)*M_BOM[RM_Qty_Per_Batch]*IFERROR(INDEX(PP_Grid[#Data],M_BOM[PPGridRow],80),0))</f>
        <v/>
      </c>
      <c r="CC45">
        <f>SUMPRODUCT((M_BOM[RM_Code]=$A45)*M_BOM[RM_Qty_Per_Batch]*IFERROR(INDEX(PP_Grid[#Data],M_BOM[PPGridRow],81),0))</f>
        <v/>
      </c>
      <c r="CD45">
        <f>SUMPRODUCT((M_BOM[RM_Code]=$A45)*M_BOM[RM_Qty_Per_Batch]*IFERROR(INDEX(PP_Grid[#Data],M_BOM[PPGridRow],82),0))</f>
        <v/>
      </c>
      <c r="CE45">
        <f>SUMPRODUCT((M_BOM[RM_Code]=$A45)*M_BOM[RM_Qty_Per_Batch]*IFERROR(INDEX(PP_Grid[#Data],M_BOM[PPGridRow],83),0))</f>
        <v/>
      </c>
      <c r="CF45">
        <f>SUMPRODUCT((M_BOM[RM_Code]=$A45)*M_BOM[RM_Qty_Per_Batch]*IFERROR(INDEX(PP_Grid[#Data],M_BOM[PPGridRow],84),0))</f>
        <v/>
      </c>
      <c r="CG45">
        <f>SUMPRODUCT((M_BOM[RM_Code]=$A45)*M_BOM[RM_Qty_Per_Batch]*IFERROR(INDEX(PP_Grid[#Data],M_BOM[PPGridRow],85),0))</f>
        <v/>
      </c>
      <c r="CH45">
        <f>SUMPRODUCT((M_BOM[RM_Code]=$A45)*M_BOM[RM_Qty_Per_Batch]*IFERROR(INDEX(PP_Grid[#Data],M_BOM[PPGridRow],86),0))</f>
        <v/>
      </c>
      <c r="CI45">
        <f>SUMPRODUCT((M_BOM[RM_Code]=$A45)*M_BOM[RM_Qty_Per_Batch]*IFERROR(INDEX(PP_Grid[#Data],M_BOM[PPGridRow],87),0))</f>
        <v/>
      </c>
      <c r="CJ45">
        <f>SUMPRODUCT((M_BOM[RM_Code]=$A45)*M_BOM[RM_Qty_Per_Batch]*IFERROR(INDEX(PP_Grid[#Data],M_BOM[PPGridRow],88),0))</f>
        <v/>
      </c>
      <c r="CK45">
        <f>SUMPRODUCT((M_BOM[RM_Code]=$A45)*M_BOM[RM_Qty_Per_Batch]*IFERROR(INDEX(PP_Grid[#Data],M_BOM[PPGridRow],89),0))</f>
        <v/>
      </c>
      <c r="CL45">
        <f>SUMPRODUCT((M_BOM[RM_Code]=$A45)*M_BOM[RM_Qty_Per_Batch]*IFERROR(INDEX(PP_Grid[#Data],M_BOM[PPGridRow],90),0))</f>
        <v/>
      </c>
      <c r="CM45">
        <f>SUMPRODUCT((M_BOM[RM_Code]=$A45)*M_BOM[RM_Qty_Per_Batch]*IFERROR(INDEX(PP_Grid[#Data],M_BOM[PPGridRow],91),0))</f>
        <v/>
      </c>
      <c r="CN45">
        <f>SUMPRODUCT((M_BOM[RM_Code]=$A45)*M_BOM[RM_Qty_Per_Batch]*IFERROR(INDEX(PP_Grid[#Data],M_BOM[PPGridRow],92),0))</f>
        <v/>
      </c>
      <c r="CO45">
        <f>SUMPRODUCT((M_BOM[RM_Code]=$A45)*M_BOM[RM_Qty_Per_Batch]*IFERROR(INDEX(PP_Grid[#Data],M_BOM[PPGridRow],93),0))</f>
        <v/>
      </c>
      <c r="CP45">
        <f>SUMPRODUCT((M_BOM[RM_Code]=$A45)*M_BOM[RM_Qty_Per_Batch]*IFERROR(INDEX(PP_Grid[#Data],M_BOM[PPGridRow],94),0))</f>
        <v/>
      </c>
      <c r="CQ45">
        <f>SUMPRODUCT((M_BOM[RM_Code]=$A45)*M_BOM[RM_Qty_Per_Batch]*IFERROR(INDEX(PP_Grid[#Data],M_BOM[PPGridRow],95),0))</f>
        <v/>
      </c>
      <c r="CR45">
        <f>SUMPRODUCT((M_BOM[RM_Code]=$A45)*M_BOM[RM_Qty_Per_Batch]*IFERROR(INDEX(PP_Grid[#Data],M_BOM[PPGridRow],96),0))</f>
        <v/>
      </c>
      <c r="CS45">
        <f>SUMPRODUCT((M_BOM[RM_Code]=$A45)*M_BOM[RM_Qty_Per_Batch]*IFERROR(INDEX(PP_Grid[#Data],M_BOM[PPGridRow],97),0))</f>
        <v/>
      </c>
      <c r="CT45">
        <f>SUMPRODUCT((M_BOM[RM_Code]=$A45)*M_BOM[RM_Qty_Per_Batch]*IFERROR(INDEX(PP_Grid[#Data],M_BOM[PPGridRow],98),0))</f>
        <v/>
      </c>
      <c r="CU45">
        <f>SUMPRODUCT((M_BOM[RM_Code]=$A45)*M_BOM[RM_Qty_Per_Batch]*IFERROR(INDEX(PP_Grid[#Data],M_BOM[PPGridRow],99),0))</f>
        <v/>
      </c>
      <c r="CV45">
        <f>SUMPRODUCT((M_BOM[RM_Code]=$A45)*M_BOM[RM_Qty_Per_Batch]*IFERROR(INDEX(PP_Grid[#Data],M_BOM[PPGridRow],100),0))</f>
        <v/>
      </c>
      <c r="CW45">
        <f>SUMPRODUCT((M_BOM[RM_Code]=$A45)*M_BOM[RM_Qty_Per_Batch]*IFERROR(INDEX(PP_Grid[#Data],M_BOM[PPGridRow],101),0))</f>
        <v/>
      </c>
      <c r="CX45">
        <f>SUMPRODUCT((M_BOM[RM_Code]=$A45)*M_BOM[RM_Qty_Per_Batch]*IFERROR(INDEX(PP_Grid[#Data],M_BOM[PPGridRow],102),0))</f>
        <v/>
      </c>
      <c r="CY45">
        <f>SUMPRODUCT((M_BOM[RM_Code]=$A45)*M_BOM[RM_Qty_Per_Batch]*IFERROR(INDEX(PP_Grid[#Data],M_BOM[PPGridRow],103),0))</f>
        <v/>
      </c>
      <c r="CZ45">
        <f>SUMPRODUCT((M_BOM[RM_Code]=$A45)*M_BOM[RM_Qty_Per_Batch]*IFERROR(INDEX(PP_Grid[#Data],M_BOM[PPGridRow],104),0))</f>
        <v/>
      </c>
      <c r="DA45">
        <f>SUMPRODUCT((M_BOM[RM_Code]=$A45)*M_BOM[RM_Qty_Per_Batch]*IFERROR(INDEX(PP_Grid[#Data],M_BOM[PPGridRow],105),0))</f>
        <v/>
      </c>
    </row>
    <row r="46">
      <c r="A46" t="inlineStr">
        <is>
          <t>CHEM-1410</t>
        </is>
      </c>
      <c r="B46">
        <f>SUMPRODUCT((M_BOM[RM_Code]=$A46)*M_BOM[RM_Qty_Per_Batch]*IFERROR(INDEX(PP_Grid[#Data],M_BOM[PPGridRow],2),0))</f>
        <v/>
      </c>
      <c r="C46">
        <f>SUMPRODUCT((M_BOM[RM_Code]=$A46)*M_BOM[RM_Qty_Per_Batch]*IFERROR(INDEX(PP_Grid[#Data],M_BOM[PPGridRow],3),0))</f>
        <v/>
      </c>
      <c r="D46">
        <f>SUMPRODUCT((M_BOM[RM_Code]=$A46)*M_BOM[RM_Qty_Per_Batch]*IFERROR(INDEX(PP_Grid[#Data],M_BOM[PPGridRow],4),0))</f>
        <v/>
      </c>
      <c r="E46">
        <f>SUMPRODUCT((M_BOM[RM_Code]=$A46)*M_BOM[RM_Qty_Per_Batch]*IFERROR(INDEX(PP_Grid[#Data],M_BOM[PPGridRow],5),0))</f>
        <v/>
      </c>
      <c r="F46">
        <f>SUMPRODUCT((M_BOM[RM_Code]=$A46)*M_BOM[RM_Qty_Per_Batch]*IFERROR(INDEX(PP_Grid[#Data],M_BOM[PPGridRow],6),0))</f>
        <v/>
      </c>
      <c r="G46">
        <f>SUMPRODUCT((M_BOM[RM_Code]=$A46)*M_BOM[RM_Qty_Per_Batch]*IFERROR(INDEX(PP_Grid[#Data],M_BOM[PPGridRow],7),0))</f>
        <v/>
      </c>
      <c r="H46">
        <f>SUMPRODUCT((M_BOM[RM_Code]=$A46)*M_BOM[RM_Qty_Per_Batch]*IFERROR(INDEX(PP_Grid[#Data],M_BOM[PPGridRow],8),0))</f>
        <v/>
      </c>
      <c r="I46">
        <f>SUMPRODUCT((M_BOM[RM_Code]=$A46)*M_BOM[RM_Qty_Per_Batch]*IFERROR(INDEX(PP_Grid[#Data],M_BOM[PPGridRow],9),0))</f>
        <v/>
      </c>
      <c r="J46">
        <f>SUMPRODUCT((M_BOM[RM_Code]=$A46)*M_BOM[RM_Qty_Per_Batch]*IFERROR(INDEX(PP_Grid[#Data],M_BOM[PPGridRow],10),0))</f>
        <v/>
      </c>
      <c r="K46">
        <f>SUMPRODUCT((M_BOM[RM_Code]=$A46)*M_BOM[RM_Qty_Per_Batch]*IFERROR(INDEX(PP_Grid[#Data],M_BOM[PPGridRow],11),0))</f>
        <v/>
      </c>
      <c r="L46">
        <f>SUMPRODUCT((M_BOM[RM_Code]=$A46)*M_BOM[RM_Qty_Per_Batch]*IFERROR(INDEX(PP_Grid[#Data],M_BOM[PPGridRow],12),0))</f>
        <v/>
      </c>
      <c r="M46">
        <f>SUMPRODUCT((M_BOM[RM_Code]=$A46)*M_BOM[RM_Qty_Per_Batch]*IFERROR(INDEX(PP_Grid[#Data],M_BOM[PPGridRow],13),0))</f>
        <v/>
      </c>
      <c r="N46">
        <f>SUMPRODUCT((M_BOM[RM_Code]=$A46)*M_BOM[RM_Qty_Per_Batch]*IFERROR(INDEX(PP_Grid[#Data],M_BOM[PPGridRow],14),0))</f>
        <v/>
      </c>
      <c r="O46">
        <f>SUMPRODUCT((M_BOM[RM_Code]=$A46)*M_BOM[RM_Qty_Per_Batch]*IFERROR(INDEX(PP_Grid[#Data],M_BOM[PPGridRow],15),0))</f>
        <v/>
      </c>
      <c r="P46">
        <f>SUMPRODUCT((M_BOM[RM_Code]=$A46)*M_BOM[RM_Qty_Per_Batch]*IFERROR(INDEX(PP_Grid[#Data],M_BOM[PPGridRow],16),0))</f>
        <v/>
      </c>
      <c r="Q46">
        <f>SUMPRODUCT((M_BOM[RM_Code]=$A46)*M_BOM[RM_Qty_Per_Batch]*IFERROR(INDEX(PP_Grid[#Data],M_BOM[PPGridRow],17),0))</f>
        <v/>
      </c>
      <c r="R46">
        <f>SUMPRODUCT((M_BOM[RM_Code]=$A46)*M_BOM[RM_Qty_Per_Batch]*IFERROR(INDEX(PP_Grid[#Data],M_BOM[PPGridRow],18),0))</f>
        <v/>
      </c>
      <c r="S46">
        <f>SUMPRODUCT((M_BOM[RM_Code]=$A46)*M_BOM[RM_Qty_Per_Batch]*IFERROR(INDEX(PP_Grid[#Data],M_BOM[PPGridRow],19),0))</f>
        <v/>
      </c>
      <c r="T46">
        <f>SUMPRODUCT((M_BOM[RM_Code]=$A46)*M_BOM[RM_Qty_Per_Batch]*IFERROR(INDEX(PP_Grid[#Data],M_BOM[PPGridRow],20),0))</f>
        <v/>
      </c>
      <c r="U46">
        <f>SUMPRODUCT((M_BOM[RM_Code]=$A46)*M_BOM[RM_Qty_Per_Batch]*IFERROR(INDEX(PP_Grid[#Data],M_BOM[PPGridRow],21),0))</f>
        <v/>
      </c>
      <c r="V46">
        <f>SUMPRODUCT((M_BOM[RM_Code]=$A46)*M_BOM[RM_Qty_Per_Batch]*IFERROR(INDEX(PP_Grid[#Data],M_BOM[PPGridRow],22),0))</f>
        <v/>
      </c>
      <c r="W46">
        <f>SUMPRODUCT((M_BOM[RM_Code]=$A46)*M_BOM[RM_Qty_Per_Batch]*IFERROR(INDEX(PP_Grid[#Data],M_BOM[PPGridRow],23),0))</f>
        <v/>
      </c>
      <c r="X46">
        <f>SUMPRODUCT((M_BOM[RM_Code]=$A46)*M_BOM[RM_Qty_Per_Batch]*IFERROR(INDEX(PP_Grid[#Data],M_BOM[PPGridRow],24),0))</f>
        <v/>
      </c>
      <c r="Y46">
        <f>SUMPRODUCT((M_BOM[RM_Code]=$A46)*M_BOM[RM_Qty_Per_Batch]*IFERROR(INDEX(PP_Grid[#Data],M_BOM[PPGridRow],25),0))</f>
        <v/>
      </c>
      <c r="Z46">
        <f>SUMPRODUCT((M_BOM[RM_Code]=$A46)*M_BOM[RM_Qty_Per_Batch]*IFERROR(INDEX(PP_Grid[#Data],M_BOM[PPGridRow],26),0))</f>
        <v/>
      </c>
      <c r="AA46">
        <f>SUMPRODUCT((M_BOM[RM_Code]=$A46)*M_BOM[RM_Qty_Per_Batch]*IFERROR(INDEX(PP_Grid[#Data],M_BOM[PPGridRow],27),0))</f>
        <v/>
      </c>
      <c r="AB46">
        <f>SUMPRODUCT((M_BOM[RM_Code]=$A46)*M_BOM[RM_Qty_Per_Batch]*IFERROR(INDEX(PP_Grid[#Data],M_BOM[PPGridRow],28),0))</f>
        <v/>
      </c>
      <c r="AC46">
        <f>SUMPRODUCT((M_BOM[RM_Code]=$A46)*M_BOM[RM_Qty_Per_Batch]*IFERROR(INDEX(PP_Grid[#Data],M_BOM[PPGridRow],29),0))</f>
        <v/>
      </c>
      <c r="AD46">
        <f>SUMPRODUCT((M_BOM[RM_Code]=$A46)*M_BOM[RM_Qty_Per_Batch]*IFERROR(INDEX(PP_Grid[#Data],M_BOM[PPGridRow],30),0))</f>
        <v/>
      </c>
      <c r="AE46">
        <f>SUMPRODUCT((M_BOM[RM_Code]=$A46)*M_BOM[RM_Qty_Per_Batch]*IFERROR(INDEX(PP_Grid[#Data],M_BOM[PPGridRow],31),0))</f>
        <v/>
      </c>
      <c r="AF46">
        <f>SUMPRODUCT((M_BOM[RM_Code]=$A46)*M_BOM[RM_Qty_Per_Batch]*IFERROR(INDEX(PP_Grid[#Data],M_BOM[PPGridRow],32),0))</f>
        <v/>
      </c>
      <c r="AG46">
        <f>SUMPRODUCT((M_BOM[RM_Code]=$A46)*M_BOM[RM_Qty_Per_Batch]*IFERROR(INDEX(PP_Grid[#Data],M_BOM[PPGridRow],33),0))</f>
        <v/>
      </c>
      <c r="AH46">
        <f>SUMPRODUCT((M_BOM[RM_Code]=$A46)*M_BOM[RM_Qty_Per_Batch]*IFERROR(INDEX(PP_Grid[#Data],M_BOM[PPGridRow],34),0))</f>
        <v/>
      </c>
      <c r="AI46">
        <f>SUMPRODUCT((M_BOM[RM_Code]=$A46)*M_BOM[RM_Qty_Per_Batch]*IFERROR(INDEX(PP_Grid[#Data],M_BOM[PPGridRow],35),0))</f>
        <v/>
      </c>
      <c r="AJ46">
        <f>SUMPRODUCT((M_BOM[RM_Code]=$A46)*M_BOM[RM_Qty_Per_Batch]*IFERROR(INDEX(PP_Grid[#Data],M_BOM[PPGridRow],36),0))</f>
        <v/>
      </c>
      <c r="AK46">
        <f>SUMPRODUCT((M_BOM[RM_Code]=$A46)*M_BOM[RM_Qty_Per_Batch]*IFERROR(INDEX(PP_Grid[#Data],M_BOM[PPGridRow],37),0))</f>
        <v/>
      </c>
      <c r="AL46">
        <f>SUMPRODUCT((M_BOM[RM_Code]=$A46)*M_BOM[RM_Qty_Per_Batch]*IFERROR(INDEX(PP_Grid[#Data],M_BOM[PPGridRow],38),0))</f>
        <v/>
      </c>
      <c r="AM46">
        <f>SUMPRODUCT((M_BOM[RM_Code]=$A46)*M_BOM[RM_Qty_Per_Batch]*IFERROR(INDEX(PP_Grid[#Data],M_BOM[PPGridRow],39),0))</f>
        <v/>
      </c>
      <c r="AN46">
        <f>SUMPRODUCT((M_BOM[RM_Code]=$A46)*M_BOM[RM_Qty_Per_Batch]*IFERROR(INDEX(PP_Grid[#Data],M_BOM[PPGridRow],40),0))</f>
        <v/>
      </c>
      <c r="AO46">
        <f>SUMPRODUCT((M_BOM[RM_Code]=$A46)*M_BOM[RM_Qty_Per_Batch]*IFERROR(INDEX(PP_Grid[#Data],M_BOM[PPGridRow],41),0))</f>
        <v/>
      </c>
      <c r="AP46">
        <f>SUMPRODUCT((M_BOM[RM_Code]=$A46)*M_BOM[RM_Qty_Per_Batch]*IFERROR(INDEX(PP_Grid[#Data],M_BOM[PPGridRow],42),0))</f>
        <v/>
      </c>
      <c r="AQ46">
        <f>SUMPRODUCT((M_BOM[RM_Code]=$A46)*M_BOM[RM_Qty_Per_Batch]*IFERROR(INDEX(PP_Grid[#Data],M_BOM[PPGridRow],43),0))</f>
        <v/>
      </c>
      <c r="AR46">
        <f>SUMPRODUCT((M_BOM[RM_Code]=$A46)*M_BOM[RM_Qty_Per_Batch]*IFERROR(INDEX(PP_Grid[#Data],M_BOM[PPGridRow],44),0))</f>
        <v/>
      </c>
      <c r="AS46">
        <f>SUMPRODUCT((M_BOM[RM_Code]=$A46)*M_BOM[RM_Qty_Per_Batch]*IFERROR(INDEX(PP_Grid[#Data],M_BOM[PPGridRow],45),0))</f>
        <v/>
      </c>
      <c r="AT46">
        <f>SUMPRODUCT((M_BOM[RM_Code]=$A46)*M_BOM[RM_Qty_Per_Batch]*IFERROR(INDEX(PP_Grid[#Data],M_BOM[PPGridRow],46),0))</f>
        <v/>
      </c>
      <c r="AU46">
        <f>SUMPRODUCT((M_BOM[RM_Code]=$A46)*M_BOM[RM_Qty_Per_Batch]*IFERROR(INDEX(PP_Grid[#Data],M_BOM[PPGridRow],47),0))</f>
        <v/>
      </c>
      <c r="AV46">
        <f>SUMPRODUCT((M_BOM[RM_Code]=$A46)*M_BOM[RM_Qty_Per_Batch]*IFERROR(INDEX(PP_Grid[#Data],M_BOM[PPGridRow],48),0))</f>
        <v/>
      </c>
      <c r="AW46">
        <f>SUMPRODUCT((M_BOM[RM_Code]=$A46)*M_BOM[RM_Qty_Per_Batch]*IFERROR(INDEX(PP_Grid[#Data],M_BOM[PPGridRow],49),0))</f>
        <v/>
      </c>
      <c r="AX46">
        <f>SUMPRODUCT((M_BOM[RM_Code]=$A46)*M_BOM[RM_Qty_Per_Batch]*IFERROR(INDEX(PP_Grid[#Data],M_BOM[PPGridRow],50),0))</f>
        <v/>
      </c>
      <c r="AY46">
        <f>SUMPRODUCT((M_BOM[RM_Code]=$A46)*M_BOM[RM_Qty_Per_Batch]*IFERROR(INDEX(PP_Grid[#Data],M_BOM[PPGridRow],51),0))</f>
        <v/>
      </c>
      <c r="AZ46">
        <f>SUMPRODUCT((M_BOM[RM_Code]=$A46)*M_BOM[RM_Qty_Per_Batch]*IFERROR(INDEX(PP_Grid[#Data],M_BOM[PPGridRow],52),0))</f>
        <v/>
      </c>
      <c r="BA46">
        <f>SUMPRODUCT((M_BOM[RM_Code]=$A46)*M_BOM[RM_Qty_Per_Batch]*IFERROR(INDEX(PP_Grid[#Data],M_BOM[PPGridRow],53),0))</f>
        <v/>
      </c>
      <c r="BB46">
        <f>SUMPRODUCT((M_BOM[RM_Code]=$A46)*M_BOM[RM_Qty_Per_Batch]*IFERROR(INDEX(PP_Grid[#Data],M_BOM[PPGridRow],54),0))</f>
        <v/>
      </c>
      <c r="BC46">
        <f>SUMPRODUCT((M_BOM[RM_Code]=$A46)*M_BOM[RM_Qty_Per_Batch]*IFERROR(INDEX(PP_Grid[#Data],M_BOM[PPGridRow],55),0))</f>
        <v/>
      </c>
      <c r="BD46">
        <f>SUMPRODUCT((M_BOM[RM_Code]=$A46)*M_BOM[RM_Qty_Per_Batch]*IFERROR(INDEX(PP_Grid[#Data],M_BOM[PPGridRow],56),0))</f>
        <v/>
      </c>
      <c r="BE46">
        <f>SUMPRODUCT((M_BOM[RM_Code]=$A46)*M_BOM[RM_Qty_Per_Batch]*IFERROR(INDEX(PP_Grid[#Data],M_BOM[PPGridRow],57),0))</f>
        <v/>
      </c>
      <c r="BF46">
        <f>SUMPRODUCT((M_BOM[RM_Code]=$A46)*M_BOM[RM_Qty_Per_Batch]*IFERROR(INDEX(PP_Grid[#Data],M_BOM[PPGridRow],58),0))</f>
        <v/>
      </c>
      <c r="BG46">
        <f>SUMPRODUCT((M_BOM[RM_Code]=$A46)*M_BOM[RM_Qty_Per_Batch]*IFERROR(INDEX(PP_Grid[#Data],M_BOM[PPGridRow],59),0))</f>
        <v/>
      </c>
      <c r="BH46">
        <f>SUMPRODUCT((M_BOM[RM_Code]=$A46)*M_BOM[RM_Qty_Per_Batch]*IFERROR(INDEX(PP_Grid[#Data],M_BOM[PPGridRow],60),0))</f>
        <v/>
      </c>
      <c r="BI46">
        <f>SUMPRODUCT((M_BOM[RM_Code]=$A46)*M_BOM[RM_Qty_Per_Batch]*IFERROR(INDEX(PP_Grid[#Data],M_BOM[PPGridRow],61),0))</f>
        <v/>
      </c>
      <c r="BJ46">
        <f>SUMPRODUCT((M_BOM[RM_Code]=$A46)*M_BOM[RM_Qty_Per_Batch]*IFERROR(INDEX(PP_Grid[#Data],M_BOM[PPGridRow],62),0))</f>
        <v/>
      </c>
      <c r="BK46">
        <f>SUMPRODUCT((M_BOM[RM_Code]=$A46)*M_BOM[RM_Qty_Per_Batch]*IFERROR(INDEX(PP_Grid[#Data],M_BOM[PPGridRow],63),0))</f>
        <v/>
      </c>
      <c r="BL46">
        <f>SUMPRODUCT((M_BOM[RM_Code]=$A46)*M_BOM[RM_Qty_Per_Batch]*IFERROR(INDEX(PP_Grid[#Data],M_BOM[PPGridRow],64),0))</f>
        <v/>
      </c>
      <c r="BM46">
        <f>SUMPRODUCT((M_BOM[RM_Code]=$A46)*M_BOM[RM_Qty_Per_Batch]*IFERROR(INDEX(PP_Grid[#Data],M_BOM[PPGridRow],65),0))</f>
        <v/>
      </c>
      <c r="BN46">
        <f>SUMPRODUCT((M_BOM[RM_Code]=$A46)*M_BOM[RM_Qty_Per_Batch]*IFERROR(INDEX(PP_Grid[#Data],M_BOM[PPGridRow],66),0))</f>
        <v/>
      </c>
      <c r="BO46">
        <f>SUMPRODUCT((M_BOM[RM_Code]=$A46)*M_BOM[RM_Qty_Per_Batch]*IFERROR(INDEX(PP_Grid[#Data],M_BOM[PPGridRow],67),0))</f>
        <v/>
      </c>
      <c r="BP46">
        <f>SUMPRODUCT((M_BOM[RM_Code]=$A46)*M_BOM[RM_Qty_Per_Batch]*IFERROR(INDEX(PP_Grid[#Data],M_BOM[PPGridRow],68),0))</f>
        <v/>
      </c>
      <c r="BQ46">
        <f>SUMPRODUCT((M_BOM[RM_Code]=$A46)*M_BOM[RM_Qty_Per_Batch]*IFERROR(INDEX(PP_Grid[#Data],M_BOM[PPGridRow],69),0))</f>
        <v/>
      </c>
      <c r="BR46">
        <f>SUMPRODUCT((M_BOM[RM_Code]=$A46)*M_BOM[RM_Qty_Per_Batch]*IFERROR(INDEX(PP_Grid[#Data],M_BOM[PPGridRow],70),0))</f>
        <v/>
      </c>
      <c r="BS46">
        <f>SUMPRODUCT((M_BOM[RM_Code]=$A46)*M_BOM[RM_Qty_Per_Batch]*IFERROR(INDEX(PP_Grid[#Data],M_BOM[PPGridRow],71),0))</f>
        <v/>
      </c>
      <c r="BT46">
        <f>SUMPRODUCT((M_BOM[RM_Code]=$A46)*M_BOM[RM_Qty_Per_Batch]*IFERROR(INDEX(PP_Grid[#Data],M_BOM[PPGridRow],72),0))</f>
        <v/>
      </c>
      <c r="BU46">
        <f>SUMPRODUCT((M_BOM[RM_Code]=$A46)*M_BOM[RM_Qty_Per_Batch]*IFERROR(INDEX(PP_Grid[#Data],M_BOM[PPGridRow],73),0))</f>
        <v/>
      </c>
      <c r="BV46">
        <f>SUMPRODUCT((M_BOM[RM_Code]=$A46)*M_BOM[RM_Qty_Per_Batch]*IFERROR(INDEX(PP_Grid[#Data],M_BOM[PPGridRow],74),0))</f>
        <v/>
      </c>
      <c r="BW46">
        <f>SUMPRODUCT((M_BOM[RM_Code]=$A46)*M_BOM[RM_Qty_Per_Batch]*IFERROR(INDEX(PP_Grid[#Data],M_BOM[PPGridRow],75),0))</f>
        <v/>
      </c>
      <c r="BX46">
        <f>SUMPRODUCT((M_BOM[RM_Code]=$A46)*M_BOM[RM_Qty_Per_Batch]*IFERROR(INDEX(PP_Grid[#Data],M_BOM[PPGridRow],76),0))</f>
        <v/>
      </c>
      <c r="BY46">
        <f>SUMPRODUCT((M_BOM[RM_Code]=$A46)*M_BOM[RM_Qty_Per_Batch]*IFERROR(INDEX(PP_Grid[#Data],M_BOM[PPGridRow],77),0))</f>
        <v/>
      </c>
      <c r="BZ46">
        <f>SUMPRODUCT((M_BOM[RM_Code]=$A46)*M_BOM[RM_Qty_Per_Batch]*IFERROR(INDEX(PP_Grid[#Data],M_BOM[PPGridRow],78),0))</f>
        <v/>
      </c>
      <c r="CA46">
        <f>SUMPRODUCT((M_BOM[RM_Code]=$A46)*M_BOM[RM_Qty_Per_Batch]*IFERROR(INDEX(PP_Grid[#Data],M_BOM[PPGridRow],79),0))</f>
        <v/>
      </c>
      <c r="CB46">
        <f>SUMPRODUCT((M_BOM[RM_Code]=$A46)*M_BOM[RM_Qty_Per_Batch]*IFERROR(INDEX(PP_Grid[#Data],M_BOM[PPGridRow],80),0))</f>
        <v/>
      </c>
      <c r="CC46">
        <f>SUMPRODUCT((M_BOM[RM_Code]=$A46)*M_BOM[RM_Qty_Per_Batch]*IFERROR(INDEX(PP_Grid[#Data],M_BOM[PPGridRow],81),0))</f>
        <v/>
      </c>
      <c r="CD46">
        <f>SUMPRODUCT((M_BOM[RM_Code]=$A46)*M_BOM[RM_Qty_Per_Batch]*IFERROR(INDEX(PP_Grid[#Data],M_BOM[PPGridRow],82),0))</f>
        <v/>
      </c>
      <c r="CE46">
        <f>SUMPRODUCT((M_BOM[RM_Code]=$A46)*M_BOM[RM_Qty_Per_Batch]*IFERROR(INDEX(PP_Grid[#Data],M_BOM[PPGridRow],83),0))</f>
        <v/>
      </c>
      <c r="CF46">
        <f>SUMPRODUCT((M_BOM[RM_Code]=$A46)*M_BOM[RM_Qty_Per_Batch]*IFERROR(INDEX(PP_Grid[#Data],M_BOM[PPGridRow],84),0))</f>
        <v/>
      </c>
      <c r="CG46">
        <f>SUMPRODUCT((M_BOM[RM_Code]=$A46)*M_BOM[RM_Qty_Per_Batch]*IFERROR(INDEX(PP_Grid[#Data],M_BOM[PPGridRow],85),0))</f>
        <v/>
      </c>
      <c r="CH46">
        <f>SUMPRODUCT((M_BOM[RM_Code]=$A46)*M_BOM[RM_Qty_Per_Batch]*IFERROR(INDEX(PP_Grid[#Data],M_BOM[PPGridRow],86),0))</f>
        <v/>
      </c>
      <c r="CI46">
        <f>SUMPRODUCT((M_BOM[RM_Code]=$A46)*M_BOM[RM_Qty_Per_Batch]*IFERROR(INDEX(PP_Grid[#Data],M_BOM[PPGridRow],87),0))</f>
        <v/>
      </c>
      <c r="CJ46">
        <f>SUMPRODUCT((M_BOM[RM_Code]=$A46)*M_BOM[RM_Qty_Per_Batch]*IFERROR(INDEX(PP_Grid[#Data],M_BOM[PPGridRow],88),0))</f>
        <v/>
      </c>
      <c r="CK46">
        <f>SUMPRODUCT((M_BOM[RM_Code]=$A46)*M_BOM[RM_Qty_Per_Batch]*IFERROR(INDEX(PP_Grid[#Data],M_BOM[PPGridRow],89),0))</f>
        <v/>
      </c>
      <c r="CL46">
        <f>SUMPRODUCT((M_BOM[RM_Code]=$A46)*M_BOM[RM_Qty_Per_Batch]*IFERROR(INDEX(PP_Grid[#Data],M_BOM[PPGridRow],90),0))</f>
        <v/>
      </c>
      <c r="CM46">
        <f>SUMPRODUCT((M_BOM[RM_Code]=$A46)*M_BOM[RM_Qty_Per_Batch]*IFERROR(INDEX(PP_Grid[#Data],M_BOM[PPGridRow],91),0))</f>
        <v/>
      </c>
      <c r="CN46">
        <f>SUMPRODUCT((M_BOM[RM_Code]=$A46)*M_BOM[RM_Qty_Per_Batch]*IFERROR(INDEX(PP_Grid[#Data],M_BOM[PPGridRow],92),0))</f>
        <v/>
      </c>
      <c r="CO46">
        <f>SUMPRODUCT((M_BOM[RM_Code]=$A46)*M_BOM[RM_Qty_Per_Batch]*IFERROR(INDEX(PP_Grid[#Data],M_BOM[PPGridRow],93),0))</f>
        <v/>
      </c>
      <c r="CP46">
        <f>SUMPRODUCT((M_BOM[RM_Code]=$A46)*M_BOM[RM_Qty_Per_Batch]*IFERROR(INDEX(PP_Grid[#Data],M_BOM[PPGridRow],94),0))</f>
        <v/>
      </c>
      <c r="CQ46">
        <f>SUMPRODUCT((M_BOM[RM_Code]=$A46)*M_BOM[RM_Qty_Per_Batch]*IFERROR(INDEX(PP_Grid[#Data],M_BOM[PPGridRow],95),0))</f>
        <v/>
      </c>
      <c r="CR46">
        <f>SUMPRODUCT((M_BOM[RM_Code]=$A46)*M_BOM[RM_Qty_Per_Batch]*IFERROR(INDEX(PP_Grid[#Data],M_BOM[PPGridRow],96),0))</f>
        <v/>
      </c>
      <c r="CS46">
        <f>SUMPRODUCT((M_BOM[RM_Code]=$A46)*M_BOM[RM_Qty_Per_Batch]*IFERROR(INDEX(PP_Grid[#Data],M_BOM[PPGridRow],97),0))</f>
        <v/>
      </c>
      <c r="CT46">
        <f>SUMPRODUCT((M_BOM[RM_Code]=$A46)*M_BOM[RM_Qty_Per_Batch]*IFERROR(INDEX(PP_Grid[#Data],M_BOM[PPGridRow],98),0))</f>
        <v/>
      </c>
      <c r="CU46">
        <f>SUMPRODUCT((M_BOM[RM_Code]=$A46)*M_BOM[RM_Qty_Per_Batch]*IFERROR(INDEX(PP_Grid[#Data],M_BOM[PPGridRow],99),0))</f>
        <v/>
      </c>
      <c r="CV46">
        <f>SUMPRODUCT((M_BOM[RM_Code]=$A46)*M_BOM[RM_Qty_Per_Batch]*IFERROR(INDEX(PP_Grid[#Data],M_BOM[PPGridRow],100),0))</f>
        <v/>
      </c>
      <c r="CW46">
        <f>SUMPRODUCT((M_BOM[RM_Code]=$A46)*M_BOM[RM_Qty_Per_Batch]*IFERROR(INDEX(PP_Grid[#Data],M_BOM[PPGridRow],101),0))</f>
        <v/>
      </c>
      <c r="CX46">
        <f>SUMPRODUCT((M_BOM[RM_Code]=$A46)*M_BOM[RM_Qty_Per_Batch]*IFERROR(INDEX(PP_Grid[#Data],M_BOM[PPGridRow],102),0))</f>
        <v/>
      </c>
      <c r="CY46">
        <f>SUMPRODUCT((M_BOM[RM_Code]=$A46)*M_BOM[RM_Qty_Per_Batch]*IFERROR(INDEX(PP_Grid[#Data],M_BOM[PPGridRow],103),0))</f>
        <v/>
      </c>
      <c r="CZ46">
        <f>SUMPRODUCT((M_BOM[RM_Code]=$A46)*M_BOM[RM_Qty_Per_Batch]*IFERROR(INDEX(PP_Grid[#Data],M_BOM[PPGridRow],104),0))</f>
        <v/>
      </c>
      <c r="DA46">
        <f>SUMPRODUCT((M_BOM[RM_Code]=$A46)*M_BOM[RM_Qty_Per_Batch]*IFERROR(INDEX(PP_Grid[#Data],M_BOM[PPGridRow],105),0))</f>
        <v/>
      </c>
    </row>
    <row r="47">
      <c r="A47" t="inlineStr">
        <is>
          <t>CHEM-1430</t>
        </is>
      </c>
      <c r="B47">
        <f>SUMPRODUCT((M_BOM[RM_Code]=$A47)*M_BOM[RM_Qty_Per_Batch]*IFERROR(INDEX(PP_Grid[#Data],M_BOM[PPGridRow],2),0))</f>
        <v/>
      </c>
      <c r="C47">
        <f>SUMPRODUCT((M_BOM[RM_Code]=$A47)*M_BOM[RM_Qty_Per_Batch]*IFERROR(INDEX(PP_Grid[#Data],M_BOM[PPGridRow],3),0))</f>
        <v/>
      </c>
      <c r="D47">
        <f>SUMPRODUCT((M_BOM[RM_Code]=$A47)*M_BOM[RM_Qty_Per_Batch]*IFERROR(INDEX(PP_Grid[#Data],M_BOM[PPGridRow],4),0))</f>
        <v/>
      </c>
      <c r="E47">
        <f>SUMPRODUCT((M_BOM[RM_Code]=$A47)*M_BOM[RM_Qty_Per_Batch]*IFERROR(INDEX(PP_Grid[#Data],M_BOM[PPGridRow],5),0))</f>
        <v/>
      </c>
      <c r="F47">
        <f>SUMPRODUCT((M_BOM[RM_Code]=$A47)*M_BOM[RM_Qty_Per_Batch]*IFERROR(INDEX(PP_Grid[#Data],M_BOM[PPGridRow],6),0))</f>
        <v/>
      </c>
      <c r="G47">
        <f>SUMPRODUCT((M_BOM[RM_Code]=$A47)*M_BOM[RM_Qty_Per_Batch]*IFERROR(INDEX(PP_Grid[#Data],M_BOM[PPGridRow],7),0))</f>
        <v/>
      </c>
      <c r="H47">
        <f>SUMPRODUCT((M_BOM[RM_Code]=$A47)*M_BOM[RM_Qty_Per_Batch]*IFERROR(INDEX(PP_Grid[#Data],M_BOM[PPGridRow],8),0))</f>
        <v/>
      </c>
      <c r="I47">
        <f>SUMPRODUCT((M_BOM[RM_Code]=$A47)*M_BOM[RM_Qty_Per_Batch]*IFERROR(INDEX(PP_Grid[#Data],M_BOM[PPGridRow],9),0))</f>
        <v/>
      </c>
      <c r="J47">
        <f>SUMPRODUCT((M_BOM[RM_Code]=$A47)*M_BOM[RM_Qty_Per_Batch]*IFERROR(INDEX(PP_Grid[#Data],M_BOM[PPGridRow],10),0))</f>
        <v/>
      </c>
      <c r="K47">
        <f>SUMPRODUCT((M_BOM[RM_Code]=$A47)*M_BOM[RM_Qty_Per_Batch]*IFERROR(INDEX(PP_Grid[#Data],M_BOM[PPGridRow],11),0))</f>
        <v/>
      </c>
      <c r="L47">
        <f>SUMPRODUCT((M_BOM[RM_Code]=$A47)*M_BOM[RM_Qty_Per_Batch]*IFERROR(INDEX(PP_Grid[#Data],M_BOM[PPGridRow],12),0))</f>
        <v/>
      </c>
      <c r="M47">
        <f>SUMPRODUCT((M_BOM[RM_Code]=$A47)*M_BOM[RM_Qty_Per_Batch]*IFERROR(INDEX(PP_Grid[#Data],M_BOM[PPGridRow],13),0))</f>
        <v/>
      </c>
      <c r="N47">
        <f>SUMPRODUCT((M_BOM[RM_Code]=$A47)*M_BOM[RM_Qty_Per_Batch]*IFERROR(INDEX(PP_Grid[#Data],M_BOM[PPGridRow],14),0))</f>
        <v/>
      </c>
      <c r="O47">
        <f>SUMPRODUCT((M_BOM[RM_Code]=$A47)*M_BOM[RM_Qty_Per_Batch]*IFERROR(INDEX(PP_Grid[#Data],M_BOM[PPGridRow],15),0))</f>
        <v/>
      </c>
      <c r="P47">
        <f>SUMPRODUCT((M_BOM[RM_Code]=$A47)*M_BOM[RM_Qty_Per_Batch]*IFERROR(INDEX(PP_Grid[#Data],M_BOM[PPGridRow],16),0))</f>
        <v/>
      </c>
      <c r="Q47">
        <f>SUMPRODUCT((M_BOM[RM_Code]=$A47)*M_BOM[RM_Qty_Per_Batch]*IFERROR(INDEX(PP_Grid[#Data],M_BOM[PPGridRow],17),0))</f>
        <v/>
      </c>
      <c r="R47">
        <f>SUMPRODUCT((M_BOM[RM_Code]=$A47)*M_BOM[RM_Qty_Per_Batch]*IFERROR(INDEX(PP_Grid[#Data],M_BOM[PPGridRow],18),0))</f>
        <v/>
      </c>
      <c r="S47">
        <f>SUMPRODUCT((M_BOM[RM_Code]=$A47)*M_BOM[RM_Qty_Per_Batch]*IFERROR(INDEX(PP_Grid[#Data],M_BOM[PPGridRow],19),0))</f>
        <v/>
      </c>
      <c r="T47">
        <f>SUMPRODUCT((M_BOM[RM_Code]=$A47)*M_BOM[RM_Qty_Per_Batch]*IFERROR(INDEX(PP_Grid[#Data],M_BOM[PPGridRow],20),0))</f>
        <v/>
      </c>
      <c r="U47">
        <f>SUMPRODUCT((M_BOM[RM_Code]=$A47)*M_BOM[RM_Qty_Per_Batch]*IFERROR(INDEX(PP_Grid[#Data],M_BOM[PPGridRow],21),0))</f>
        <v/>
      </c>
      <c r="V47">
        <f>SUMPRODUCT((M_BOM[RM_Code]=$A47)*M_BOM[RM_Qty_Per_Batch]*IFERROR(INDEX(PP_Grid[#Data],M_BOM[PPGridRow],22),0))</f>
        <v/>
      </c>
      <c r="W47">
        <f>SUMPRODUCT((M_BOM[RM_Code]=$A47)*M_BOM[RM_Qty_Per_Batch]*IFERROR(INDEX(PP_Grid[#Data],M_BOM[PPGridRow],23),0))</f>
        <v/>
      </c>
      <c r="X47">
        <f>SUMPRODUCT((M_BOM[RM_Code]=$A47)*M_BOM[RM_Qty_Per_Batch]*IFERROR(INDEX(PP_Grid[#Data],M_BOM[PPGridRow],24),0))</f>
        <v/>
      </c>
      <c r="Y47">
        <f>SUMPRODUCT((M_BOM[RM_Code]=$A47)*M_BOM[RM_Qty_Per_Batch]*IFERROR(INDEX(PP_Grid[#Data],M_BOM[PPGridRow],25),0))</f>
        <v/>
      </c>
      <c r="Z47">
        <f>SUMPRODUCT((M_BOM[RM_Code]=$A47)*M_BOM[RM_Qty_Per_Batch]*IFERROR(INDEX(PP_Grid[#Data],M_BOM[PPGridRow],26),0))</f>
        <v/>
      </c>
      <c r="AA47">
        <f>SUMPRODUCT((M_BOM[RM_Code]=$A47)*M_BOM[RM_Qty_Per_Batch]*IFERROR(INDEX(PP_Grid[#Data],M_BOM[PPGridRow],27),0))</f>
        <v/>
      </c>
      <c r="AB47">
        <f>SUMPRODUCT((M_BOM[RM_Code]=$A47)*M_BOM[RM_Qty_Per_Batch]*IFERROR(INDEX(PP_Grid[#Data],M_BOM[PPGridRow],28),0))</f>
        <v/>
      </c>
      <c r="AC47">
        <f>SUMPRODUCT((M_BOM[RM_Code]=$A47)*M_BOM[RM_Qty_Per_Batch]*IFERROR(INDEX(PP_Grid[#Data],M_BOM[PPGridRow],29),0))</f>
        <v/>
      </c>
      <c r="AD47">
        <f>SUMPRODUCT((M_BOM[RM_Code]=$A47)*M_BOM[RM_Qty_Per_Batch]*IFERROR(INDEX(PP_Grid[#Data],M_BOM[PPGridRow],30),0))</f>
        <v/>
      </c>
      <c r="AE47">
        <f>SUMPRODUCT((M_BOM[RM_Code]=$A47)*M_BOM[RM_Qty_Per_Batch]*IFERROR(INDEX(PP_Grid[#Data],M_BOM[PPGridRow],31),0))</f>
        <v/>
      </c>
      <c r="AF47">
        <f>SUMPRODUCT((M_BOM[RM_Code]=$A47)*M_BOM[RM_Qty_Per_Batch]*IFERROR(INDEX(PP_Grid[#Data],M_BOM[PPGridRow],32),0))</f>
        <v/>
      </c>
      <c r="AG47">
        <f>SUMPRODUCT((M_BOM[RM_Code]=$A47)*M_BOM[RM_Qty_Per_Batch]*IFERROR(INDEX(PP_Grid[#Data],M_BOM[PPGridRow],33),0))</f>
        <v/>
      </c>
      <c r="AH47">
        <f>SUMPRODUCT((M_BOM[RM_Code]=$A47)*M_BOM[RM_Qty_Per_Batch]*IFERROR(INDEX(PP_Grid[#Data],M_BOM[PPGridRow],34),0))</f>
        <v/>
      </c>
      <c r="AI47">
        <f>SUMPRODUCT((M_BOM[RM_Code]=$A47)*M_BOM[RM_Qty_Per_Batch]*IFERROR(INDEX(PP_Grid[#Data],M_BOM[PPGridRow],35),0))</f>
        <v/>
      </c>
      <c r="AJ47">
        <f>SUMPRODUCT((M_BOM[RM_Code]=$A47)*M_BOM[RM_Qty_Per_Batch]*IFERROR(INDEX(PP_Grid[#Data],M_BOM[PPGridRow],36),0))</f>
        <v/>
      </c>
      <c r="AK47">
        <f>SUMPRODUCT((M_BOM[RM_Code]=$A47)*M_BOM[RM_Qty_Per_Batch]*IFERROR(INDEX(PP_Grid[#Data],M_BOM[PPGridRow],37),0))</f>
        <v/>
      </c>
      <c r="AL47">
        <f>SUMPRODUCT((M_BOM[RM_Code]=$A47)*M_BOM[RM_Qty_Per_Batch]*IFERROR(INDEX(PP_Grid[#Data],M_BOM[PPGridRow],38),0))</f>
        <v/>
      </c>
      <c r="AM47">
        <f>SUMPRODUCT((M_BOM[RM_Code]=$A47)*M_BOM[RM_Qty_Per_Batch]*IFERROR(INDEX(PP_Grid[#Data],M_BOM[PPGridRow],39),0))</f>
        <v/>
      </c>
      <c r="AN47">
        <f>SUMPRODUCT((M_BOM[RM_Code]=$A47)*M_BOM[RM_Qty_Per_Batch]*IFERROR(INDEX(PP_Grid[#Data],M_BOM[PPGridRow],40),0))</f>
        <v/>
      </c>
      <c r="AO47">
        <f>SUMPRODUCT((M_BOM[RM_Code]=$A47)*M_BOM[RM_Qty_Per_Batch]*IFERROR(INDEX(PP_Grid[#Data],M_BOM[PPGridRow],41),0))</f>
        <v/>
      </c>
      <c r="AP47">
        <f>SUMPRODUCT((M_BOM[RM_Code]=$A47)*M_BOM[RM_Qty_Per_Batch]*IFERROR(INDEX(PP_Grid[#Data],M_BOM[PPGridRow],42),0))</f>
        <v/>
      </c>
      <c r="AQ47">
        <f>SUMPRODUCT((M_BOM[RM_Code]=$A47)*M_BOM[RM_Qty_Per_Batch]*IFERROR(INDEX(PP_Grid[#Data],M_BOM[PPGridRow],43),0))</f>
        <v/>
      </c>
      <c r="AR47">
        <f>SUMPRODUCT((M_BOM[RM_Code]=$A47)*M_BOM[RM_Qty_Per_Batch]*IFERROR(INDEX(PP_Grid[#Data],M_BOM[PPGridRow],44),0))</f>
        <v/>
      </c>
      <c r="AS47">
        <f>SUMPRODUCT((M_BOM[RM_Code]=$A47)*M_BOM[RM_Qty_Per_Batch]*IFERROR(INDEX(PP_Grid[#Data],M_BOM[PPGridRow],45),0))</f>
        <v/>
      </c>
      <c r="AT47">
        <f>SUMPRODUCT((M_BOM[RM_Code]=$A47)*M_BOM[RM_Qty_Per_Batch]*IFERROR(INDEX(PP_Grid[#Data],M_BOM[PPGridRow],46),0))</f>
        <v/>
      </c>
      <c r="AU47">
        <f>SUMPRODUCT((M_BOM[RM_Code]=$A47)*M_BOM[RM_Qty_Per_Batch]*IFERROR(INDEX(PP_Grid[#Data],M_BOM[PPGridRow],47),0))</f>
        <v/>
      </c>
      <c r="AV47">
        <f>SUMPRODUCT((M_BOM[RM_Code]=$A47)*M_BOM[RM_Qty_Per_Batch]*IFERROR(INDEX(PP_Grid[#Data],M_BOM[PPGridRow],48),0))</f>
        <v/>
      </c>
      <c r="AW47">
        <f>SUMPRODUCT((M_BOM[RM_Code]=$A47)*M_BOM[RM_Qty_Per_Batch]*IFERROR(INDEX(PP_Grid[#Data],M_BOM[PPGridRow],49),0))</f>
        <v/>
      </c>
      <c r="AX47">
        <f>SUMPRODUCT((M_BOM[RM_Code]=$A47)*M_BOM[RM_Qty_Per_Batch]*IFERROR(INDEX(PP_Grid[#Data],M_BOM[PPGridRow],50),0))</f>
        <v/>
      </c>
      <c r="AY47">
        <f>SUMPRODUCT((M_BOM[RM_Code]=$A47)*M_BOM[RM_Qty_Per_Batch]*IFERROR(INDEX(PP_Grid[#Data],M_BOM[PPGridRow],51),0))</f>
        <v/>
      </c>
      <c r="AZ47">
        <f>SUMPRODUCT((M_BOM[RM_Code]=$A47)*M_BOM[RM_Qty_Per_Batch]*IFERROR(INDEX(PP_Grid[#Data],M_BOM[PPGridRow],52),0))</f>
        <v/>
      </c>
      <c r="BA47">
        <f>SUMPRODUCT((M_BOM[RM_Code]=$A47)*M_BOM[RM_Qty_Per_Batch]*IFERROR(INDEX(PP_Grid[#Data],M_BOM[PPGridRow],53),0))</f>
        <v/>
      </c>
      <c r="BB47">
        <f>SUMPRODUCT((M_BOM[RM_Code]=$A47)*M_BOM[RM_Qty_Per_Batch]*IFERROR(INDEX(PP_Grid[#Data],M_BOM[PPGridRow],54),0))</f>
        <v/>
      </c>
      <c r="BC47">
        <f>SUMPRODUCT((M_BOM[RM_Code]=$A47)*M_BOM[RM_Qty_Per_Batch]*IFERROR(INDEX(PP_Grid[#Data],M_BOM[PPGridRow],55),0))</f>
        <v/>
      </c>
      <c r="BD47">
        <f>SUMPRODUCT((M_BOM[RM_Code]=$A47)*M_BOM[RM_Qty_Per_Batch]*IFERROR(INDEX(PP_Grid[#Data],M_BOM[PPGridRow],56),0))</f>
        <v/>
      </c>
      <c r="BE47">
        <f>SUMPRODUCT((M_BOM[RM_Code]=$A47)*M_BOM[RM_Qty_Per_Batch]*IFERROR(INDEX(PP_Grid[#Data],M_BOM[PPGridRow],57),0))</f>
        <v/>
      </c>
      <c r="BF47">
        <f>SUMPRODUCT((M_BOM[RM_Code]=$A47)*M_BOM[RM_Qty_Per_Batch]*IFERROR(INDEX(PP_Grid[#Data],M_BOM[PPGridRow],58),0))</f>
        <v/>
      </c>
      <c r="BG47">
        <f>SUMPRODUCT((M_BOM[RM_Code]=$A47)*M_BOM[RM_Qty_Per_Batch]*IFERROR(INDEX(PP_Grid[#Data],M_BOM[PPGridRow],59),0))</f>
        <v/>
      </c>
      <c r="BH47">
        <f>SUMPRODUCT((M_BOM[RM_Code]=$A47)*M_BOM[RM_Qty_Per_Batch]*IFERROR(INDEX(PP_Grid[#Data],M_BOM[PPGridRow],60),0))</f>
        <v/>
      </c>
      <c r="BI47">
        <f>SUMPRODUCT((M_BOM[RM_Code]=$A47)*M_BOM[RM_Qty_Per_Batch]*IFERROR(INDEX(PP_Grid[#Data],M_BOM[PPGridRow],61),0))</f>
        <v/>
      </c>
      <c r="BJ47">
        <f>SUMPRODUCT((M_BOM[RM_Code]=$A47)*M_BOM[RM_Qty_Per_Batch]*IFERROR(INDEX(PP_Grid[#Data],M_BOM[PPGridRow],62),0))</f>
        <v/>
      </c>
      <c r="BK47">
        <f>SUMPRODUCT((M_BOM[RM_Code]=$A47)*M_BOM[RM_Qty_Per_Batch]*IFERROR(INDEX(PP_Grid[#Data],M_BOM[PPGridRow],63),0))</f>
        <v/>
      </c>
      <c r="BL47">
        <f>SUMPRODUCT((M_BOM[RM_Code]=$A47)*M_BOM[RM_Qty_Per_Batch]*IFERROR(INDEX(PP_Grid[#Data],M_BOM[PPGridRow],64),0))</f>
        <v/>
      </c>
      <c r="BM47">
        <f>SUMPRODUCT((M_BOM[RM_Code]=$A47)*M_BOM[RM_Qty_Per_Batch]*IFERROR(INDEX(PP_Grid[#Data],M_BOM[PPGridRow],65),0))</f>
        <v/>
      </c>
      <c r="BN47">
        <f>SUMPRODUCT((M_BOM[RM_Code]=$A47)*M_BOM[RM_Qty_Per_Batch]*IFERROR(INDEX(PP_Grid[#Data],M_BOM[PPGridRow],66),0))</f>
        <v/>
      </c>
      <c r="BO47">
        <f>SUMPRODUCT((M_BOM[RM_Code]=$A47)*M_BOM[RM_Qty_Per_Batch]*IFERROR(INDEX(PP_Grid[#Data],M_BOM[PPGridRow],67),0))</f>
        <v/>
      </c>
      <c r="BP47">
        <f>SUMPRODUCT((M_BOM[RM_Code]=$A47)*M_BOM[RM_Qty_Per_Batch]*IFERROR(INDEX(PP_Grid[#Data],M_BOM[PPGridRow],68),0))</f>
        <v/>
      </c>
      <c r="BQ47">
        <f>SUMPRODUCT((M_BOM[RM_Code]=$A47)*M_BOM[RM_Qty_Per_Batch]*IFERROR(INDEX(PP_Grid[#Data],M_BOM[PPGridRow],69),0))</f>
        <v/>
      </c>
      <c r="BR47">
        <f>SUMPRODUCT((M_BOM[RM_Code]=$A47)*M_BOM[RM_Qty_Per_Batch]*IFERROR(INDEX(PP_Grid[#Data],M_BOM[PPGridRow],70),0))</f>
        <v/>
      </c>
      <c r="BS47">
        <f>SUMPRODUCT((M_BOM[RM_Code]=$A47)*M_BOM[RM_Qty_Per_Batch]*IFERROR(INDEX(PP_Grid[#Data],M_BOM[PPGridRow],71),0))</f>
        <v/>
      </c>
      <c r="BT47">
        <f>SUMPRODUCT((M_BOM[RM_Code]=$A47)*M_BOM[RM_Qty_Per_Batch]*IFERROR(INDEX(PP_Grid[#Data],M_BOM[PPGridRow],72),0))</f>
        <v/>
      </c>
      <c r="BU47">
        <f>SUMPRODUCT((M_BOM[RM_Code]=$A47)*M_BOM[RM_Qty_Per_Batch]*IFERROR(INDEX(PP_Grid[#Data],M_BOM[PPGridRow],73),0))</f>
        <v/>
      </c>
      <c r="BV47">
        <f>SUMPRODUCT((M_BOM[RM_Code]=$A47)*M_BOM[RM_Qty_Per_Batch]*IFERROR(INDEX(PP_Grid[#Data],M_BOM[PPGridRow],74),0))</f>
        <v/>
      </c>
      <c r="BW47">
        <f>SUMPRODUCT((M_BOM[RM_Code]=$A47)*M_BOM[RM_Qty_Per_Batch]*IFERROR(INDEX(PP_Grid[#Data],M_BOM[PPGridRow],75),0))</f>
        <v/>
      </c>
      <c r="BX47">
        <f>SUMPRODUCT((M_BOM[RM_Code]=$A47)*M_BOM[RM_Qty_Per_Batch]*IFERROR(INDEX(PP_Grid[#Data],M_BOM[PPGridRow],76),0))</f>
        <v/>
      </c>
      <c r="BY47">
        <f>SUMPRODUCT((M_BOM[RM_Code]=$A47)*M_BOM[RM_Qty_Per_Batch]*IFERROR(INDEX(PP_Grid[#Data],M_BOM[PPGridRow],77),0))</f>
        <v/>
      </c>
      <c r="BZ47">
        <f>SUMPRODUCT((M_BOM[RM_Code]=$A47)*M_BOM[RM_Qty_Per_Batch]*IFERROR(INDEX(PP_Grid[#Data],M_BOM[PPGridRow],78),0))</f>
        <v/>
      </c>
      <c r="CA47">
        <f>SUMPRODUCT((M_BOM[RM_Code]=$A47)*M_BOM[RM_Qty_Per_Batch]*IFERROR(INDEX(PP_Grid[#Data],M_BOM[PPGridRow],79),0))</f>
        <v/>
      </c>
      <c r="CB47">
        <f>SUMPRODUCT((M_BOM[RM_Code]=$A47)*M_BOM[RM_Qty_Per_Batch]*IFERROR(INDEX(PP_Grid[#Data],M_BOM[PPGridRow],80),0))</f>
        <v/>
      </c>
      <c r="CC47">
        <f>SUMPRODUCT((M_BOM[RM_Code]=$A47)*M_BOM[RM_Qty_Per_Batch]*IFERROR(INDEX(PP_Grid[#Data],M_BOM[PPGridRow],81),0))</f>
        <v/>
      </c>
      <c r="CD47">
        <f>SUMPRODUCT((M_BOM[RM_Code]=$A47)*M_BOM[RM_Qty_Per_Batch]*IFERROR(INDEX(PP_Grid[#Data],M_BOM[PPGridRow],82),0))</f>
        <v/>
      </c>
      <c r="CE47">
        <f>SUMPRODUCT((M_BOM[RM_Code]=$A47)*M_BOM[RM_Qty_Per_Batch]*IFERROR(INDEX(PP_Grid[#Data],M_BOM[PPGridRow],83),0))</f>
        <v/>
      </c>
      <c r="CF47">
        <f>SUMPRODUCT((M_BOM[RM_Code]=$A47)*M_BOM[RM_Qty_Per_Batch]*IFERROR(INDEX(PP_Grid[#Data],M_BOM[PPGridRow],84),0))</f>
        <v/>
      </c>
      <c r="CG47">
        <f>SUMPRODUCT((M_BOM[RM_Code]=$A47)*M_BOM[RM_Qty_Per_Batch]*IFERROR(INDEX(PP_Grid[#Data],M_BOM[PPGridRow],85),0))</f>
        <v/>
      </c>
      <c r="CH47">
        <f>SUMPRODUCT((M_BOM[RM_Code]=$A47)*M_BOM[RM_Qty_Per_Batch]*IFERROR(INDEX(PP_Grid[#Data],M_BOM[PPGridRow],86),0))</f>
        <v/>
      </c>
      <c r="CI47">
        <f>SUMPRODUCT((M_BOM[RM_Code]=$A47)*M_BOM[RM_Qty_Per_Batch]*IFERROR(INDEX(PP_Grid[#Data],M_BOM[PPGridRow],87),0))</f>
        <v/>
      </c>
      <c r="CJ47">
        <f>SUMPRODUCT((M_BOM[RM_Code]=$A47)*M_BOM[RM_Qty_Per_Batch]*IFERROR(INDEX(PP_Grid[#Data],M_BOM[PPGridRow],88),0))</f>
        <v/>
      </c>
      <c r="CK47">
        <f>SUMPRODUCT((M_BOM[RM_Code]=$A47)*M_BOM[RM_Qty_Per_Batch]*IFERROR(INDEX(PP_Grid[#Data],M_BOM[PPGridRow],89),0))</f>
        <v/>
      </c>
      <c r="CL47">
        <f>SUMPRODUCT((M_BOM[RM_Code]=$A47)*M_BOM[RM_Qty_Per_Batch]*IFERROR(INDEX(PP_Grid[#Data],M_BOM[PPGridRow],90),0))</f>
        <v/>
      </c>
      <c r="CM47">
        <f>SUMPRODUCT((M_BOM[RM_Code]=$A47)*M_BOM[RM_Qty_Per_Batch]*IFERROR(INDEX(PP_Grid[#Data],M_BOM[PPGridRow],91),0))</f>
        <v/>
      </c>
      <c r="CN47">
        <f>SUMPRODUCT((M_BOM[RM_Code]=$A47)*M_BOM[RM_Qty_Per_Batch]*IFERROR(INDEX(PP_Grid[#Data],M_BOM[PPGridRow],92),0))</f>
        <v/>
      </c>
      <c r="CO47">
        <f>SUMPRODUCT((M_BOM[RM_Code]=$A47)*M_BOM[RM_Qty_Per_Batch]*IFERROR(INDEX(PP_Grid[#Data],M_BOM[PPGridRow],93),0))</f>
        <v/>
      </c>
      <c r="CP47">
        <f>SUMPRODUCT((M_BOM[RM_Code]=$A47)*M_BOM[RM_Qty_Per_Batch]*IFERROR(INDEX(PP_Grid[#Data],M_BOM[PPGridRow],94),0))</f>
        <v/>
      </c>
      <c r="CQ47">
        <f>SUMPRODUCT((M_BOM[RM_Code]=$A47)*M_BOM[RM_Qty_Per_Batch]*IFERROR(INDEX(PP_Grid[#Data],M_BOM[PPGridRow],95),0))</f>
        <v/>
      </c>
      <c r="CR47">
        <f>SUMPRODUCT((M_BOM[RM_Code]=$A47)*M_BOM[RM_Qty_Per_Batch]*IFERROR(INDEX(PP_Grid[#Data],M_BOM[PPGridRow],96),0))</f>
        <v/>
      </c>
      <c r="CS47">
        <f>SUMPRODUCT((M_BOM[RM_Code]=$A47)*M_BOM[RM_Qty_Per_Batch]*IFERROR(INDEX(PP_Grid[#Data],M_BOM[PPGridRow],97),0))</f>
        <v/>
      </c>
      <c r="CT47">
        <f>SUMPRODUCT((M_BOM[RM_Code]=$A47)*M_BOM[RM_Qty_Per_Batch]*IFERROR(INDEX(PP_Grid[#Data],M_BOM[PPGridRow],98),0))</f>
        <v/>
      </c>
      <c r="CU47">
        <f>SUMPRODUCT((M_BOM[RM_Code]=$A47)*M_BOM[RM_Qty_Per_Batch]*IFERROR(INDEX(PP_Grid[#Data],M_BOM[PPGridRow],99),0))</f>
        <v/>
      </c>
      <c r="CV47">
        <f>SUMPRODUCT((M_BOM[RM_Code]=$A47)*M_BOM[RM_Qty_Per_Batch]*IFERROR(INDEX(PP_Grid[#Data],M_BOM[PPGridRow],100),0))</f>
        <v/>
      </c>
      <c r="CW47">
        <f>SUMPRODUCT((M_BOM[RM_Code]=$A47)*M_BOM[RM_Qty_Per_Batch]*IFERROR(INDEX(PP_Grid[#Data],M_BOM[PPGridRow],101),0))</f>
        <v/>
      </c>
      <c r="CX47">
        <f>SUMPRODUCT((M_BOM[RM_Code]=$A47)*M_BOM[RM_Qty_Per_Batch]*IFERROR(INDEX(PP_Grid[#Data],M_BOM[PPGridRow],102),0))</f>
        <v/>
      </c>
      <c r="CY47">
        <f>SUMPRODUCT((M_BOM[RM_Code]=$A47)*M_BOM[RM_Qty_Per_Batch]*IFERROR(INDEX(PP_Grid[#Data],M_BOM[PPGridRow],103),0))</f>
        <v/>
      </c>
      <c r="CZ47">
        <f>SUMPRODUCT((M_BOM[RM_Code]=$A47)*M_BOM[RM_Qty_Per_Batch]*IFERROR(INDEX(PP_Grid[#Data],M_BOM[PPGridRow],104),0))</f>
        <v/>
      </c>
      <c r="DA47">
        <f>SUMPRODUCT((M_BOM[RM_Code]=$A47)*M_BOM[RM_Qty_Per_Batch]*IFERROR(INDEX(PP_Grid[#Data],M_BOM[PPGridRow],105),0))</f>
        <v/>
      </c>
    </row>
    <row r="48">
      <c r="A48" t="inlineStr">
        <is>
          <t>CHEM-1450</t>
        </is>
      </c>
      <c r="B48">
        <f>SUMPRODUCT((M_BOM[RM_Code]=$A48)*M_BOM[RM_Qty_Per_Batch]*IFERROR(INDEX(PP_Grid[#Data],M_BOM[PPGridRow],2),0))</f>
        <v/>
      </c>
      <c r="C48">
        <f>SUMPRODUCT((M_BOM[RM_Code]=$A48)*M_BOM[RM_Qty_Per_Batch]*IFERROR(INDEX(PP_Grid[#Data],M_BOM[PPGridRow],3),0))</f>
        <v/>
      </c>
      <c r="D48">
        <f>SUMPRODUCT((M_BOM[RM_Code]=$A48)*M_BOM[RM_Qty_Per_Batch]*IFERROR(INDEX(PP_Grid[#Data],M_BOM[PPGridRow],4),0))</f>
        <v/>
      </c>
      <c r="E48">
        <f>SUMPRODUCT((M_BOM[RM_Code]=$A48)*M_BOM[RM_Qty_Per_Batch]*IFERROR(INDEX(PP_Grid[#Data],M_BOM[PPGridRow],5),0))</f>
        <v/>
      </c>
      <c r="F48">
        <f>SUMPRODUCT((M_BOM[RM_Code]=$A48)*M_BOM[RM_Qty_Per_Batch]*IFERROR(INDEX(PP_Grid[#Data],M_BOM[PPGridRow],6),0))</f>
        <v/>
      </c>
      <c r="G48">
        <f>SUMPRODUCT((M_BOM[RM_Code]=$A48)*M_BOM[RM_Qty_Per_Batch]*IFERROR(INDEX(PP_Grid[#Data],M_BOM[PPGridRow],7),0))</f>
        <v/>
      </c>
      <c r="H48">
        <f>SUMPRODUCT((M_BOM[RM_Code]=$A48)*M_BOM[RM_Qty_Per_Batch]*IFERROR(INDEX(PP_Grid[#Data],M_BOM[PPGridRow],8),0))</f>
        <v/>
      </c>
      <c r="I48">
        <f>SUMPRODUCT((M_BOM[RM_Code]=$A48)*M_BOM[RM_Qty_Per_Batch]*IFERROR(INDEX(PP_Grid[#Data],M_BOM[PPGridRow],9),0))</f>
        <v/>
      </c>
      <c r="J48">
        <f>SUMPRODUCT((M_BOM[RM_Code]=$A48)*M_BOM[RM_Qty_Per_Batch]*IFERROR(INDEX(PP_Grid[#Data],M_BOM[PPGridRow],10),0))</f>
        <v/>
      </c>
      <c r="K48">
        <f>SUMPRODUCT((M_BOM[RM_Code]=$A48)*M_BOM[RM_Qty_Per_Batch]*IFERROR(INDEX(PP_Grid[#Data],M_BOM[PPGridRow],11),0))</f>
        <v/>
      </c>
      <c r="L48">
        <f>SUMPRODUCT((M_BOM[RM_Code]=$A48)*M_BOM[RM_Qty_Per_Batch]*IFERROR(INDEX(PP_Grid[#Data],M_BOM[PPGridRow],12),0))</f>
        <v/>
      </c>
      <c r="M48">
        <f>SUMPRODUCT((M_BOM[RM_Code]=$A48)*M_BOM[RM_Qty_Per_Batch]*IFERROR(INDEX(PP_Grid[#Data],M_BOM[PPGridRow],13),0))</f>
        <v/>
      </c>
      <c r="N48">
        <f>SUMPRODUCT((M_BOM[RM_Code]=$A48)*M_BOM[RM_Qty_Per_Batch]*IFERROR(INDEX(PP_Grid[#Data],M_BOM[PPGridRow],14),0))</f>
        <v/>
      </c>
      <c r="O48">
        <f>SUMPRODUCT((M_BOM[RM_Code]=$A48)*M_BOM[RM_Qty_Per_Batch]*IFERROR(INDEX(PP_Grid[#Data],M_BOM[PPGridRow],15),0))</f>
        <v/>
      </c>
      <c r="P48">
        <f>SUMPRODUCT((M_BOM[RM_Code]=$A48)*M_BOM[RM_Qty_Per_Batch]*IFERROR(INDEX(PP_Grid[#Data],M_BOM[PPGridRow],16),0))</f>
        <v/>
      </c>
      <c r="Q48">
        <f>SUMPRODUCT((M_BOM[RM_Code]=$A48)*M_BOM[RM_Qty_Per_Batch]*IFERROR(INDEX(PP_Grid[#Data],M_BOM[PPGridRow],17),0))</f>
        <v/>
      </c>
      <c r="R48">
        <f>SUMPRODUCT((M_BOM[RM_Code]=$A48)*M_BOM[RM_Qty_Per_Batch]*IFERROR(INDEX(PP_Grid[#Data],M_BOM[PPGridRow],18),0))</f>
        <v/>
      </c>
      <c r="S48">
        <f>SUMPRODUCT((M_BOM[RM_Code]=$A48)*M_BOM[RM_Qty_Per_Batch]*IFERROR(INDEX(PP_Grid[#Data],M_BOM[PPGridRow],19),0))</f>
        <v/>
      </c>
      <c r="T48">
        <f>SUMPRODUCT((M_BOM[RM_Code]=$A48)*M_BOM[RM_Qty_Per_Batch]*IFERROR(INDEX(PP_Grid[#Data],M_BOM[PPGridRow],20),0))</f>
        <v/>
      </c>
      <c r="U48">
        <f>SUMPRODUCT((M_BOM[RM_Code]=$A48)*M_BOM[RM_Qty_Per_Batch]*IFERROR(INDEX(PP_Grid[#Data],M_BOM[PPGridRow],21),0))</f>
        <v/>
      </c>
      <c r="V48">
        <f>SUMPRODUCT((M_BOM[RM_Code]=$A48)*M_BOM[RM_Qty_Per_Batch]*IFERROR(INDEX(PP_Grid[#Data],M_BOM[PPGridRow],22),0))</f>
        <v/>
      </c>
      <c r="W48">
        <f>SUMPRODUCT((M_BOM[RM_Code]=$A48)*M_BOM[RM_Qty_Per_Batch]*IFERROR(INDEX(PP_Grid[#Data],M_BOM[PPGridRow],23),0))</f>
        <v/>
      </c>
      <c r="X48">
        <f>SUMPRODUCT((M_BOM[RM_Code]=$A48)*M_BOM[RM_Qty_Per_Batch]*IFERROR(INDEX(PP_Grid[#Data],M_BOM[PPGridRow],24),0))</f>
        <v/>
      </c>
      <c r="Y48">
        <f>SUMPRODUCT((M_BOM[RM_Code]=$A48)*M_BOM[RM_Qty_Per_Batch]*IFERROR(INDEX(PP_Grid[#Data],M_BOM[PPGridRow],25),0))</f>
        <v/>
      </c>
      <c r="Z48">
        <f>SUMPRODUCT((M_BOM[RM_Code]=$A48)*M_BOM[RM_Qty_Per_Batch]*IFERROR(INDEX(PP_Grid[#Data],M_BOM[PPGridRow],26),0))</f>
        <v/>
      </c>
      <c r="AA48">
        <f>SUMPRODUCT((M_BOM[RM_Code]=$A48)*M_BOM[RM_Qty_Per_Batch]*IFERROR(INDEX(PP_Grid[#Data],M_BOM[PPGridRow],27),0))</f>
        <v/>
      </c>
      <c r="AB48">
        <f>SUMPRODUCT((M_BOM[RM_Code]=$A48)*M_BOM[RM_Qty_Per_Batch]*IFERROR(INDEX(PP_Grid[#Data],M_BOM[PPGridRow],28),0))</f>
        <v/>
      </c>
      <c r="AC48">
        <f>SUMPRODUCT((M_BOM[RM_Code]=$A48)*M_BOM[RM_Qty_Per_Batch]*IFERROR(INDEX(PP_Grid[#Data],M_BOM[PPGridRow],29),0))</f>
        <v/>
      </c>
      <c r="AD48">
        <f>SUMPRODUCT((M_BOM[RM_Code]=$A48)*M_BOM[RM_Qty_Per_Batch]*IFERROR(INDEX(PP_Grid[#Data],M_BOM[PPGridRow],30),0))</f>
        <v/>
      </c>
      <c r="AE48">
        <f>SUMPRODUCT((M_BOM[RM_Code]=$A48)*M_BOM[RM_Qty_Per_Batch]*IFERROR(INDEX(PP_Grid[#Data],M_BOM[PPGridRow],31),0))</f>
        <v/>
      </c>
      <c r="AF48">
        <f>SUMPRODUCT((M_BOM[RM_Code]=$A48)*M_BOM[RM_Qty_Per_Batch]*IFERROR(INDEX(PP_Grid[#Data],M_BOM[PPGridRow],32),0))</f>
        <v/>
      </c>
      <c r="AG48">
        <f>SUMPRODUCT((M_BOM[RM_Code]=$A48)*M_BOM[RM_Qty_Per_Batch]*IFERROR(INDEX(PP_Grid[#Data],M_BOM[PPGridRow],33),0))</f>
        <v/>
      </c>
      <c r="AH48">
        <f>SUMPRODUCT((M_BOM[RM_Code]=$A48)*M_BOM[RM_Qty_Per_Batch]*IFERROR(INDEX(PP_Grid[#Data],M_BOM[PPGridRow],34),0))</f>
        <v/>
      </c>
      <c r="AI48">
        <f>SUMPRODUCT((M_BOM[RM_Code]=$A48)*M_BOM[RM_Qty_Per_Batch]*IFERROR(INDEX(PP_Grid[#Data],M_BOM[PPGridRow],35),0))</f>
        <v/>
      </c>
      <c r="AJ48">
        <f>SUMPRODUCT((M_BOM[RM_Code]=$A48)*M_BOM[RM_Qty_Per_Batch]*IFERROR(INDEX(PP_Grid[#Data],M_BOM[PPGridRow],36),0))</f>
        <v/>
      </c>
      <c r="AK48">
        <f>SUMPRODUCT((M_BOM[RM_Code]=$A48)*M_BOM[RM_Qty_Per_Batch]*IFERROR(INDEX(PP_Grid[#Data],M_BOM[PPGridRow],37),0))</f>
        <v/>
      </c>
      <c r="AL48">
        <f>SUMPRODUCT((M_BOM[RM_Code]=$A48)*M_BOM[RM_Qty_Per_Batch]*IFERROR(INDEX(PP_Grid[#Data],M_BOM[PPGridRow],38),0))</f>
        <v/>
      </c>
      <c r="AM48">
        <f>SUMPRODUCT((M_BOM[RM_Code]=$A48)*M_BOM[RM_Qty_Per_Batch]*IFERROR(INDEX(PP_Grid[#Data],M_BOM[PPGridRow],39),0))</f>
        <v/>
      </c>
      <c r="AN48">
        <f>SUMPRODUCT((M_BOM[RM_Code]=$A48)*M_BOM[RM_Qty_Per_Batch]*IFERROR(INDEX(PP_Grid[#Data],M_BOM[PPGridRow],40),0))</f>
        <v/>
      </c>
      <c r="AO48">
        <f>SUMPRODUCT((M_BOM[RM_Code]=$A48)*M_BOM[RM_Qty_Per_Batch]*IFERROR(INDEX(PP_Grid[#Data],M_BOM[PPGridRow],41),0))</f>
        <v/>
      </c>
      <c r="AP48">
        <f>SUMPRODUCT((M_BOM[RM_Code]=$A48)*M_BOM[RM_Qty_Per_Batch]*IFERROR(INDEX(PP_Grid[#Data],M_BOM[PPGridRow],42),0))</f>
        <v/>
      </c>
      <c r="AQ48">
        <f>SUMPRODUCT((M_BOM[RM_Code]=$A48)*M_BOM[RM_Qty_Per_Batch]*IFERROR(INDEX(PP_Grid[#Data],M_BOM[PPGridRow],43),0))</f>
        <v/>
      </c>
      <c r="AR48">
        <f>SUMPRODUCT((M_BOM[RM_Code]=$A48)*M_BOM[RM_Qty_Per_Batch]*IFERROR(INDEX(PP_Grid[#Data],M_BOM[PPGridRow],44),0))</f>
        <v/>
      </c>
      <c r="AS48">
        <f>SUMPRODUCT((M_BOM[RM_Code]=$A48)*M_BOM[RM_Qty_Per_Batch]*IFERROR(INDEX(PP_Grid[#Data],M_BOM[PPGridRow],45),0))</f>
        <v/>
      </c>
      <c r="AT48">
        <f>SUMPRODUCT((M_BOM[RM_Code]=$A48)*M_BOM[RM_Qty_Per_Batch]*IFERROR(INDEX(PP_Grid[#Data],M_BOM[PPGridRow],46),0))</f>
        <v/>
      </c>
      <c r="AU48">
        <f>SUMPRODUCT((M_BOM[RM_Code]=$A48)*M_BOM[RM_Qty_Per_Batch]*IFERROR(INDEX(PP_Grid[#Data],M_BOM[PPGridRow],47),0))</f>
        <v/>
      </c>
      <c r="AV48">
        <f>SUMPRODUCT((M_BOM[RM_Code]=$A48)*M_BOM[RM_Qty_Per_Batch]*IFERROR(INDEX(PP_Grid[#Data],M_BOM[PPGridRow],48),0))</f>
        <v/>
      </c>
      <c r="AW48">
        <f>SUMPRODUCT((M_BOM[RM_Code]=$A48)*M_BOM[RM_Qty_Per_Batch]*IFERROR(INDEX(PP_Grid[#Data],M_BOM[PPGridRow],49),0))</f>
        <v/>
      </c>
      <c r="AX48">
        <f>SUMPRODUCT((M_BOM[RM_Code]=$A48)*M_BOM[RM_Qty_Per_Batch]*IFERROR(INDEX(PP_Grid[#Data],M_BOM[PPGridRow],50),0))</f>
        <v/>
      </c>
      <c r="AY48">
        <f>SUMPRODUCT((M_BOM[RM_Code]=$A48)*M_BOM[RM_Qty_Per_Batch]*IFERROR(INDEX(PP_Grid[#Data],M_BOM[PPGridRow],51),0))</f>
        <v/>
      </c>
      <c r="AZ48">
        <f>SUMPRODUCT((M_BOM[RM_Code]=$A48)*M_BOM[RM_Qty_Per_Batch]*IFERROR(INDEX(PP_Grid[#Data],M_BOM[PPGridRow],52),0))</f>
        <v/>
      </c>
      <c r="BA48">
        <f>SUMPRODUCT((M_BOM[RM_Code]=$A48)*M_BOM[RM_Qty_Per_Batch]*IFERROR(INDEX(PP_Grid[#Data],M_BOM[PPGridRow],53),0))</f>
        <v/>
      </c>
      <c r="BB48">
        <f>SUMPRODUCT((M_BOM[RM_Code]=$A48)*M_BOM[RM_Qty_Per_Batch]*IFERROR(INDEX(PP_Grid[#Data],M_BOM[PPGridRow],54),0))</f>
        <v/>
      </c>
      <c r="BC48">
        <f>SUMPRODUCT((M_BOM[RM_Code]=$A48)*M_BOM[RM_Qty_Per_Batch]*IFERROR(INDEX(PP_Grid[#Data],M_BOM[PPGridRow],55),0))</f>
        <v/>
      </c>
      <c r="BD48">
        <f>SUMPRODUCT((M_BOM[RM_Code]=$A48)*M_BOM[RM_Qty_Per_Batch]*IFERROR(INDEX(PP_Grid[#Data],M_BOM[PPGridRow],56),0))</f>
        <v/>
      </c>
      <c r="BE48">
        <f>SUMPRODUCT((M_BOM[RM_Code]=$A48)*M_BOM[RM_Qty_Per_Batch]*IFERROR(INDEX(PP_Grid[#Data],M_BOM[PPGridRow],57),0))</f>
        <v/>
      </c>
      <c r="BF48">
        <f>SUMPRODUCT((M_BOM[RM_Code]=$A48)*M_BOM[RM_Qty_Per_Batch]*IFERROR(INDEX(PP_Grid[#Data],M_BOM[PPGridRow],58),0))</f>
        <v/>
      </c>
      <c r="BG48">
        <f>SUMPRODUCT((M_BOM[RM_Code]=$A48)*M_BOM[RM_Qty_Per_Batch]*IFERROR(INDEX(PP_Grid[#Data],M_BOM[PPGridRow],59),0))</f>
        <v/>
      </c>
      <c r="BH48">
        <f>SUMPRODUCT((M_BOM[RM_Code]=$A48)*M_BOM[RM_Qty_Per_Batch]*IFERROR(INDEX(PP_Grid[#Data],M_BOM[PPGridRow],60),0))</f>
        <v/>
      </c>
      <c r="BI48">
        <f>SUMPRODUCT((M_BOM[RM_Code]=$A48)*M_BOM[RM_Qty_Per_Batch]*IFERROR(INDEX(PP_Grid[#Data],M_BOM[PPGridRow],61),0))</f>
        <v/>
      </c>
      <c r="BJ48">
        <f>SUMPRODUCT((M_BOM[RM_Code]=$A48)*M_BOM[RM_Qty_Per_Batch]*IFERROR(INDEX(PP_Grid[#Data],M_BOM[PPGridRow],62),0))</f>
        <v/>
      </c>
      <c r="BK48">
        <f>SUMPRODUCT((M_BOM[RM_Code]=$A48)*M_BOM[RM_Qty_Per_Batch]*IFERROR(INDEX(PP_Grid[#Data],M_BOM[PPGridRow],63),0))</f>
        <v/>
      </c>
      <c r="BL48">
        <f>SUMPRODUCT((M_BOM[RM_Code]=$A48)*M_BOM[RM_Qty_Per_Batch]*IFERROR(INDEX(PP_Grid[#Data],M_BOM[PPGridRow],64),0))</f>
        <v/>
      </c>
      <c r="BM48">
        <f>SUMPRODUCT((M_BOM[RM_Code]=$A48)*M_BOM[RM_Qty_Per_Batch]*IFERROR(INDEX(PP_Grid[#Data],M_BOM[PPGridRow],65),0))</f>
        <v/>
      </c>
      <c r="BN48">
        <f>SUMPRODUCT((M_BOM[RM_Code]=$A48)*M_BOM[RM_Qty_Per_Batch]*IFERROR(INDEX(PP_Grid[#Data],M_BOM[PPGridRow],66),0))</f>
        <v/>
      </c>
      <c r="BO48">
        <f>SUMPRODUCT((M_BOM[RM_Code]=$A48)*M_BOM[RM_Qty_Per_Batch]*IFERROR(INDEX(PP_Grid[#Data],M_BOM[PPGridRow],67),0))</f>
        <v/>
      </c>
      <c r="BP48">
        <f>SUMPRODUCT((M_BOM[RM_Code]=$A48)*M_BOM[RM_Qty_Per_Batch]*IFERROR(INDEX(PP_Grid[#Data],M_BOM[PPGridRow],68),0))</f>
        <v/>
      </c>
      <c r="BQ48">
        <f>SUMPRODUCT((M_BOM[RM_Code]=$A48)*M_BOM[RM_Qty_Per_Batch]*IFERROR(INDEX(PP_Grid[#Data],M_BOM[PPGridRow],69),0))</f>
        <v/>
      </c>
      <c r="BR48">
        <f>SUMPRODUCT((M_BOM[RM_Code]=$A48)*M_BOM[RM_Qty_Per_Batch]*IFERROR(INDEX(PP_Grid[#Data],M_BOM[PPGridRow],70),0))</f>
        <v/>
      </c>
      <c r="BS48">
        <f>SUMPRODUCT((M_BOM[RM_Code]=$A48)*M_BOM[RM_Qty_Per_Batch]*IFERROR(INDEX(PP_Grid[#Data],M_BOM[PPGridRow],71),0))</f>
        <v/>
      </c>
      <c r="BT48">
        <f>SUMPRODUCT((M_BOM[RM_Code]=$A48)*M_BOM[RM_Qty_Per_Batch]*IFERROR(INDEX(PP_Grid[#Data],M_BOM[PPGridRow],72),0))</f>
        <v/>
      </c>
      <c r="BU48">
        <f>SUMPRODUCT((M_BOM[RM_Code]=$A48)*M_BOM[RM_Qty_Per_Batch]*IFERROR(INDEX(PP_Grid[#Data],M_BOM[PPGridRow],73),0))</f>
        <v/>
      </c>
      <c r="BV48">
        <f>SUMPRODUCT((M_BOM[RM_Code]=$A48)*M_BOM[RM_Qty_Per_Batch]*IFERROR(INDEX(PP_Grid[#Data],M_BOM[PPGridRow],74),0))</f>
        <v/>
      </c>
      <c r="BW48">
        <f>SUMPRODUCT((M_BOM[RM_Code]=$A48)*M_BOM[RM_Qty_Per_Batch]*IFERROR(INDEX(PP_Grid[#Data],M_BOM[PPGridRow],75),0))</f>
        <v/>
      </c>
      <c r="BX48">
        <f>SUMPRODUCT((M_BOM[RM_Code]=$A48)*M_BOM[RM_Qty_Per_Batch]*IFERROR(INDEX(PP_Grid[#Data],M_BOM[PPGridRow],76),0))</f>
        <v/>
      </c>
      <c r="BY48">
        <f>SUMPRODUCT((M_BOM[RM_Code]=$A48)*M_BOM[RM_Qty_Per_Batch]*IFERROR(INDEX(PP_Grid[#Data],M_BOM[PPGridRow],77),0))</f>
        <v/>
      </c>
      <c r="BZ48">
        <f>SUMPRODUCT((M_BOM[RM_Code]=$A48)*M_BOM[RM_Qty_Per_Batch]*IFERROR(INDEX(PP_Grid[#Data],M_BOM[PPGridRow],78),0))</f>
        <v/>
      </c>
      <c r="CA48">
        <f>SUMPRODUCT((M_BOM[RM_Code]=$A48)*M_BOM[RM_Qty_Per_Batch]*IFERROR(INDEX(PP_Grid[#Data],M_BOM[PPGridRow],79),0))</f>
        <v/>
      </c>
      <c r="CB48">
        <f>SUMPRODUCT((M_BOM[RM_Code]=$A48)*M_BOM[RM_Qty_Per_Batch]*IFERROR(INDEX(PP_Grid[#Data],M_BOM[PPGridRow],80),0))</f>
        <v/>
      </c>
      <c r="CC48">
        <f>SUMPRODUCT((M_BOM[RM_Code]=$A48)*M_BOM[RM_Qty_Per_Batch]*IFERROR(INDEX(PP_Grid[#Data],M_BOM[PPGridRow],81),0))</f>
        <v/>
      </c>
      <c r="CD48">
        <f>SUMPRODUCT((M_BOM[RM_Code]=$A48)*M_BOM[RM_Qty_Per_Batch]*IFERROR(INDEX(PP_Grid[#Data],M_BOM[PPGridRow],82),0))</f>
        <v/>
      </c>
      <c r="CE48">
        <f>SUMPRODUCT((M_BOM[RM_Code]=$A48)*M_BOM[RM_Qty_Per_Batch]*IFERROR(INDEX(PP_Grid[#Data],M_BOM[PPGridRow],83),0))</f>
        <v/>
      </c>
      <c r="CF48">
        <f>SUMPRODUCT((M_BOM[RM_Code]=$A48)*M_BOM[RM_Qty_Per_Batch]*IFERROR(INDEX(PP_Grid[#Data],M_BOM[PPGridRow],84),0))</f>
        <v/>
      </c>
      <c r="CG48">
        <f>SUMPRODUCT((M_BOM[RM_Code]=$A48)*M_BOM[RM_Qty_Per_Batch]*IFERROR(INDEX(PP_Grid[#Data],M_BOM[PPGridRow],85),0))</f>
        <v/>
      </c>
      <c r="CH48">
        <f>SUMPRODUCT((M_BOM[RM_Code]=$A48)*M_BOM[RM_Qty_Per_Batch]*IFERROR(INDEX(PP_Grid[#Data],M_BOM[PPGridRow],86),0))</f>
        <v/>
      </c>
      <c r="CI48">
        <f>SUMPRODUCT((M_BOM[RM_Code]=$A48)*M_BOM[RM_Qty_Per_Batch]*IFERROR(INDEX(PP_Grid[#Data],M_BOM[PPGridRow],87),0))</f>
        <v/>
      </c>
      <c r="CJ48">
        <f>SUMPRODUCT((M_BOM[RM_Code]=$A48)*M_BOM[RM_Qty_Per_Batch]*IFERROR(INDEX(PP_Grid[#Data],M_BOM[PPGridRow],88),0))</f>
        <v/>
      </c>
      <c r="CK48">
        <f>SUMPRODUCT((M_BOM[RM_Code]=$A48)*M_BOM[RM_Qty_Per_Batch]*IFERROR(INDEX(PP_Grid[#Data],M_BOM[PPGridRow],89),0))</f>
        <v/>
      </c>
      <c r="CL48">
        <f>SUMPRODUCT((M_BOM[RM_Code]=$A48)*M_BOM[RM_Qty_Per_Batch]*IFERROR(INDEX(PP_Grid[#Data],M_BOM[PPGridRow],90),0))</f>
        <v/>
      </c>
      <c r="CM48">
        <f>SUMPRODUCT((M_BOM[RM_Code]=$A48)*M_BOM[RM_Qty_Per_Batch]*IFERROR(INDEX(PP_Grid[#Data],M_BOM[PPGridRow],91),0))</f>
        <v/>
      </c>
      <c r="CN48">
        <f>SUMPRODUCT((M_BOM[RM_Code]=$A48)*M_BOM[RM_Qty_Per_Batch]*IFERROR(INDEX(PP_Grid[#Data],M_BOM[PPGridRow],92),0))</f>
        <v/>
      </c>
      <c r="CO48">
        <f>SUMPRODUCT((M_BOM[RM_Code]=$A48)*M_BOM[RM_Qty_Per_Batch]*IFERROR(INDEX(PP_Grid[#Data],M_BOM[PPGridRow],93),0))</f>
        <v/>
      </c>
      <c r="CP48">
        <f>SUMPRODUCT((M_BOM[RM_Code]=$A48)*M_BOM[RM_Qty_Per_Batch]*IFERROR(INDEX(PP_Grid[#Data],M_BOM[PPGridRow],94),0))</f>
        <v/>
      </c>
      <c r="CQ48">
        <f>SUMPRODUCT((M_BOM[RM_Code]=$A48)*M_BOM[RM_Qty_Per_Batch]*IFERROR(INDEX(PP_Grid[#Data],M_BOM[PPGridRow],95),0))</f>
        <v/>
      </c>
      <c r="CR48">
        <f>SUMPRODUCT((M_BOM[RM_Code]=$A48)*M_BOM[RM_Qty_Per_Batch]*IFERROR(INDEX(PP_Grid[#Data],M_BOM[PPGridRow],96),0))</f>
        <v/>
      </c>
      <c r="CS48">
        <f>SUMPRODUCT((M_BOM[RM_Code]=$A48)*M_BOM[RM_Qty_Per_Batch]*IFERROR(INDEX(PP_Grid[#Data],M_BOM[PPGridRow],97),0))</f>
        <v/>
      </c>
      <c r="CT48">
        <f>SUMPRODUCT((M_BOM[RM_Code]=$A48)*M_BOM[RM_Qty_Per_Batch]*IFERROR(INDEX(PP_Grid[#Data],M_BOM[PPGridRow],98),0))</f>
        <v/>
      </c>
      <c r="CU48">
        <f>SUMPRODUCT((M_BOM[RM_Code]=$A48)*M_BOM[RM_Qty_Per_Batch]*IFERROR(INDEX(PP_Grid[#Data],M_BOM[PPGridRow],99),0))</f>
        <v/>
      </c>
      <c r="CV48">
        <f>SUMPRODUCT((M_BOM[RM_Code]=$A48)*M_BOM[RM_Qty_Per_Batch]*IFERROR(INDEX(PP_Grid[#Data],M_BOM[PPGridRow],100),0))</f>
        <v/>
      </c>
      <c r="CW48">
        <f>SUMPRODUCT((M_BOM[RM_Code]=$A48)*M_BOM[RM_Qty_Per_Batch]*IFERROR(INDEX(PP_Grid[#Data],M_BOM[PPGridRow],101),0))</f>
        <v/>
      </c>
      <c r="CX48">
        <f>SUMPRODUCT((M_BOM[RM_Code]=$A48)*M_BOM[RM_Qty_Per_Batch]*IFERROR(INDEX(PP_Grid[#Data],M_BOM[PPGridRow],102),0))</f>
        <v/>
      </c>
      <c r="CY48">
        <f>SUMPRODUCT((M_BOM[RM_Code]=$A48)*M_BOM[RM_Qty_Per_Batch]*IFERROR(INDEX(PP_Grid[#Data],M_BOM[PPGridRow],103),0))</f>
        <v/>
      </c>
      <c r="CZ48">
        <f>SUMPRODUCT((M_BOM[RM_Code]=$A48)*M_BOM[RM_Qty_Per_Batch]*IFERROR(INDEX(PP_Grid[#Data],M_BOM[PPGridRow],104),0))</f>
        <v/>
      </c>
      <c r="DA48">
        <f>SUMPRODUCT((M_BOM[RM_Code]=$A48)*M_BOM[RM_Qty_Per_Batch]*IFERROR(INDEX(PP_Grid[#Data],M_BOM[PPGridRow],105),0))</f>
        <v/>
      </c>
    </row>
    <row r="49">
      <c r="A49" t="inlineStr">
        <is>
          <t>CHEM-1470</t>
        </is>
      </c>
      <c r="B49">
        <f>SUMPRODUCT((M_BOM[RM_Code]=$A49)*M_BOM[RM_Qty_Per_Batch]*IFERROR(INDEX(PP_Grid[#Data],M_BOM[PPGridRow],2),0))</f>
        <v/>
      </c>
      <c r="C49">
        <f>SUMPRODUCT((M_BOM[RM_Code]=$A49)*M_BOM[RM_Qty_Per_Batch]*IFERROR(INDEX(PP_Grid[#Data],M_BOM[PPGridRow],3),0))</f>
        <v/>
      </c>
      <c r="D49">
        <f>SUMPRODUCT((M_BOM[RM_Code]=$A49)*M_BOM[RM_Qty_Per_Batch]*IFERROR(INDEX(PP_Grid[#Data],M_BOM[PPGridRow],4),0))</f>
        <v/>
      </c>
      <c r="E49">
        <f>SUMPRODUCT((M_BOM[RM_Code]=$A49)*M_BOM[RM_Qty_Per_Batch]*IFERROR(INDEX(PP_Grid[#Data],M_BOM[PPGridRow],5),0))</f>
        <v/>
      </c>
      <c r="F49">
        <f>SUMPRODUCT((M_BOM[RM_Code]=$A49)*M_BOM[RM_Qty_Per_Batch]*IFERROR(INDEX(PP_Grid[#Data],M_BOM[PPGridRow],6),0))</f>
        <v/>
      </c>
      <c r="G49">
        <f>SUMPRODUCT((M_BOM[RM_Code]=$A49)*M_BOM[RM_Qty_Per_Batch]*IFERROR(INDEX(PP_Grid[#Data],M_BOM[PPGridRow],7),0))</f>
        <v/>
      </c>
      <c r="H49">
        <f>SUMPRODUCT((M_BOM[RM_Code]=$A49)*M_BOM[RM_Qty_Per_Batch]*IFERROR(INDEX(PP_Grid[#Data],M_BOM[PPGridRow],8),0))</f>
        <v/>
      </c>
      <c r="I49">
        <f>SUMPRODUCT((M_BOM[RM_Code]=$A49)*M_BOM[RM_Qty_Per_Batch]*IFERROR(INDEX(PP_Grid[#Data],M_BOM[PPGridRow],9),0))</f>
        <v/>
      </c>
      <c r="J49">
        <f>SUMPRODUCT((M_BOM[RM_Code]=$A49)*M_BOM[RM_Qty_Per_Batch]*IFERROR(INDEX(PP_Grid[#Data],M_BOM[PPGridRow],10),0))</f>
        <v/>
      </c>
      <c r="K49">
        <f>SUMPRODUCT((M_BOM[RM_Code]=$A49)*M_BOM[RM_Qty_Per_Batch]*IFERROR(INDEX(PP_Grid[#Data],M_BOM[PPGridRow],11),0))</f>
        <v/>
      </c>
      <c r="L49">
        <f>SUMPRODUCT((M_BOM[RM_Code]=$A49)*M_BOM[RM_Qty_Per_Batch]*IFERROR(INDEX(PP_Grid[#Data],M_BOM[PPGridRow],12),0))</f>
        <v/>
      </c>
      <c r="M49">
        <f>SUMPRODUCT((M_BOM[RM_Code]=$A49)*M_BOM[RM_Qty_Per_Batch]*IFERROR(INDEX(PP_Grid[#Data],M_BOM[PPGridRow],13),0))</f>
        <v/>
      </c>
      <c r="N49">
        <f>SUMPRODUCT((M_BOM[RM_Code]=$A49)*M_BOM[RM_Qty_Per_Batch]*IFERROR(INDEX(PP_Grid[#Data],M_BOM[PPGridRow],14),0))</f>
        <v/>
      </c>
      <c r="O49">
        <f>SUMPRODUCT((M_BOM[RM_Code]=$A49)*M_BOM[RM_Qty_Per_Batch]*IFERROR(INDEX(PP_Grid[#Data],M_BOM[PPGridRow],15),0))</f>
        <v/>
      </c>
      <c r="P49">
        <f>SUMPRODUCT((M_BOM[RM_Code]=$A49)*M_BOM[RM_Qty_Per_Batch]*IFERROR(INDEX(PP_Grid[#Data],M_BOM[PPGridRow],16),0))</f>
        <v/>
      </c>
      <c r="Q49">
        <f>SUMPRODUCT((M_BOM[RM_Code]=$A49)*M_BOM[RM_Qty_Per_Batch]*IFERROR(INDEX(PP_Grid[#Data],M_BOM[PPGridRow],17),0))</f>
        <v/>
      </c>
      <c r="R49">
        <f>SUMPRODUCT((M_BOM[RM_Code]=$A49)*M_BOM[RM_Qty_Per_Batch]*IFERROR(INDEX(PP_Grid[#Data],M_BOM[PPGridRow],18),0))</f>
        <v/>
      </c>
      <c r="S49">
        <f>SUMPRODUCT((M_BOM[RM_Code]=$A49)*M_BOM[RM_Qty_Per_Batch]*IFERROR(INDEX(PP_Grid[#Data],M_BOM[PPGridRow],19),0))</f>
        <v/>
      </c>
      <c r="T49">
        <f>SUMPRODUCT((M_BOM[RM_Code]=$A49)*M_BOM[RM_Qty_Per_Batch]*IFERROR(INDEX(PP_Grid[#Data],M_BOM[PPGridRow],20),0))</f>
        <v/>
      </c>
      <c r="U49">
        <f>SUMPRODUCT((M_BOM[RM_Code]=$A49)*M_BOM[RM_Qty_Per_Batch]*IFERROR(INDEX(PP_Grid[#Data],M_BOM[PPGridRow],21),0))</f>
        <v/>
      </c>
      <c r="V49">
        <f>SUMPRODUCT((M_BOM[RM_Code]=$A49)*M_BOM[RM_Qty_Per_Batch]*IFERROR(INDEX(PP_Grid[#Data],M_BOM[PPGridRow],22),0))</f>
        <v/>
      </c>
      <c r="W49">
        <f>SUMPRODUCT((M_BOM[RM_Code]=$A49)*M_BOM[RM_Qty_Per_Batch]*IFERROR(INDEX(PP_Grid[#Data],M_BOM[PPGridRow],23),0))</f>
        <v/>
      </c>
      <c r="X49">
        <f>SUMPRODUCT((M_BOM[RM_Code]=$A49)*M_BOM[RM_Qty_Per_Batch]*IFERROR(INDEX(PP_Grid[#Data],M_BOM[PPGridRow],24),0))</f>
        <v/>
      </c>
      <c r="Y49">
        <f>SUMPRODUCT((M_BOM[RM_Code]=$A49)*M_BOM[RM_Qty_Per_Batch]*IFERROR(INDEX(PP_Grid[#Data],M_BOM[PPGridRow],25),0))</f>
        <v/>
      </c>
      <c r="Z49">
        <f>SUMPRODUCT((M_BOM[RM_Code]=$A49)*M_BOM[RM_Qty_Per_Batch]*IFERROR(INDEX(PP_Grid[#Data],M_BOM[PPGridRow],26),0))</f>
        <v/>
      </c>
      <c r="AA49">
        <f>SUMPRODUCT((M_BOM[RM_Code]=$A49)*M_BOM[RM_Qty_Per_Batch]*IFERROR(INDEX(PP_Grid[#Data],M_BOM[PPGridRow],27),0))</f>
        <v/>
      </c>
      <c r="AB49">
        <f>SUMPRODUCT((M_BOM[RM_Code]=$A49)*M_BOM[RM_Qty_Per_Batch]*IFERROR(INDEX(PP_Grid[#Data],M_BOM[PPGridRow],28),0))</f>
        <v/>
      </c>
      <c r="AC49">
        <f>SUMPRODUCT((M_BOM[RM_Code]=$A49)*M_BOM[RM_Qty_Per_Batch]*IFERROR(INDEX(PP_Grid[#Data],M_BOM[PPGridRow],29),0))</f>
        <v/>
      </c>
      <c r="AD49">
        <f>SUMPRODUCT((M_BOM[RM_Code]=$A49)*M_BOM[RM_Qty_Per_Batch]*IFERROR(INDEX(PP_Grid[#Data],M_BOM[PPGridRow],30),0))</f>
        <v/>
      </c>
      <c r="AE49">
        <f>SUMPRODUCT((M_BOM[RM_Code]=$A49)*M_BOM[RM_Qty_Per_Batch]*IFERROR(INDEX(PP_Grid[#Data],M_BOM[PPGridRow],31),0))</f>
        <v/>
      </c>
      <c r="AF49">
        <f>SUMPRODUCT((M_BOM[RM_Code]=$A49)*M_BOM[RM_Qty_Per_Batch]*IFERROR(INDEX(PP_Grid[#Data],M_BOM[PPGridRow],32),0))</f>
        <v/>
      </c>
      <c r="AG49">
        <f>SUMPRODUCT((M_BOM[RM_Code]=$A49)*M_BOM[RM_Qty_Per_Batch]*IFERROR(INDEX(PP_Grid[#Data],M_BOM[PPGridRow],33),0))</f>
        <v/>
      </c>
      <c r="AH49">
        <f>SUMPRODUCT((M_BOM[RM_Code]=$A49)*M_BOM[RM_Qty_Per_Batch]*IFERROR(INDEX(PP_Grid[#Data],M_BOM[PPGridRow],34),0))</f>
        <v/>
      </c>
      <c r="AI49">
        <f>SUMPRODUCT((M_BOM[RM_Code]=$A49)*M_BOM[RM_Qty_Per_Batch]*IFERROR(INDEX(PP_Grid[#Data],M_BOM[PPGridRow],35),0))</f>
        <v/>
      </c>
      <c r="AJ49">
        <f>SUMPRODUCT((M_BOM[RM_Code]=$A49)*M_BOM[RM_Qty_Per_Batch]*IFERROR(INDEX(PP_Grid[#Data],M_BOM[PPGridRow],36),0))</f>
        <v/>
      </c>
      <c r="AK49">
        <f>SUMPRODUCT((M_BOM[RM_Code]=$A49)*M_BOM[RM_Qty_Per_Batch]*IFERROR(INDEX(PP_Grid[#Data],M_BOM[PPGridRow],37),0))</f>
        <v/>
      </c>
      <c r="AL49">
        <f>SUMPRODUCT((M_BOM[RM_Code]=$A49)*M_BOM[RM_Qty_Per_Batch]*IFERROR(INDEX(PP_Grid[#Data],M_BOM[PPGridRow],38),0))</f>
        <v/>
      </c>
      <c r="AM49">
        <f>SUMPRODUCT((M_BOM[RM_Code]=$A49)*M_BOM[RM_Qty_Per_Batch]*IFERROR(INDEX(PP_Grid[#Data],M_BOM[PPGridRow],39),0))</f>
        <v/>
      </c>
      <c r="AN49">
        <f>SUMPRODUCT((M_BOM[RM_Code]=$A49)*M_BOM[RM_Qty_Per_Batch]*IFERROR(INDEX(PP_Grid[#Data],M_BOM[PPGridRow],40),0))</f>
        <v/>
      </c>
      <c r="AO49">
        <f>SUMPRODUCT((M_BOM[RM_Code]=$A49)*M_BOM[RM_Qty_Per_Batch]*IFERROR(INDEX(PP_Grid[#Data],M_BOM[PPGridRow],41),0))</f>
        <v/>
      </c>
      <c r="AP49">
        <f>SUMPRODUCT((M_BOM[RM_Code]=$A49)*M_BOM[RM_Qty_Per_Batch]*IFERROR(INDEX(PP_Grid[#Data],M_BOM[PPGridRow],42),0))</f>
        <v/>
      </c>
      <c r="AQ49">
        <f>SUMPRODUCT((M_BOM[RM_Code]=$A49)*M_BOM[RM_Qty_Per_Batch]*IFERROR(INDEX(PP_Grid[#Data],M_BOM[PPGridRow],43),0))</f>
        <v/>
      </c>
      <c r="AR49">
        <f>SUMPRODUCT((M_BOM[RM_Code]=$A49)*M_BOM[RM_Qty_Per_Batch]*IFERROR(INDEX(PP_Grid[#Data],M_BOM[PPGridRow],44),0))</f>
        <v/>
      </c>
      <c r="AS49">
        <f>SUMPRODUCT((M_BOM[RM_Code]=$A49)*M_BOM[RM_Qty_Per_Batch]*IFERROR(INDEX(PP_Grid[#Data],M_BOM[PPGridRow],45),0))</f>
        <v/>
      </c>
      <c r="AT49">
        <f>SUMPRODUCT((M_BOM[RM_Code]=$A49)*M_BOM[RM_Qty_Per_Batch]*IFERROR(INDEX(PP_Grid[#Data],M_BOM[PPGridRow],46),0))</f>
        <v/>
      </c>
      <c r="AU49">
        <f>SUMPRODUCT((M_BOM[RM_Code]=$A49)*M_BOM[RM_Qty_Per_Batch]*IFERROR(INDEX(PP_Grid[#Data],M_BOM[PPGridRow],47),0))</f>
        <v/>
      </c>
      <c r="AV49">
        <f>SUMPRODUCT((M_BOM[RM_Code]=$A49)*M_BOM[RM_Qty_Per_Batch]*IFERROR(INDEX(PP_Grid[#Data],M_BOM[PPGridRow],48),0))</f>
        <v/>
      </c>
      <c r="AW49">
        <f>SUMPRODUCT((M_BOM[RM_Code]=$A49)*M_BOM[RM_Qty_Per_Batch]*IFERROR(INDEX(PP_Grid[#Data],M_BOM[PPGridRow],49),0))</f>
        <v/>
      </c>
      <c r="AX49">
        <f>SUMPRODUCT((M_BOM[RM_Code]=$A49)*M_BOM[RM_Qty_Per_Batch]*IFERROR(INDEX(PP_Grid[#Data],M_BOM[PPGridRow],50),0))</f>
        <v/>
      </c>
      <c r="AY49">
        <f>SUMPRODUCT((M_BOM[RM_Code]=$A49)*M_BOM[RM_Qty_Per_Batch]*IFERROR(INDEX(PP_Grid[#Data],M_BOM[PPGridRow],51),0))</f>
        <v/>
      </c>
      <c r="AZ49">
        <f>SUMPRODUCT((M_BOM[RM_Code]=$A49)*M_BOM[RM_Qty_Per_Batch]*IFERROR(INDEX(PP_Grid[#Data],M_BOM[PPGridRow],52),0))</f>
        <v/>
      </c>
      <c r="BA49">
        <f>SUMPRODUCT((M_BOM[RM_Code]=$A49)*M_BOM[RM_Qty_Per_Batch]*IFERROR(INDEX(PP_Grid[#Data],M_BOM[PPGridRow],53),0))</f>
        <v/>
      </c>
      <c r="BB49">
        <f>SUMPRODUCT((M_BOM[RM_Code]=$A49)*M_BOM[RM_Qty_Per_Batch]*IFERROR(INDEX(PP_Grid[#Data],M_BOM[PPGridRow],54),0))</f>
        <v/>
      </c>
      <c r="BC49">
        <f>SUMPRODUCT((M_BOM[RM_Code]=$A49)*M_BOM[RM_Qty_Per_Batch]*IFERROR(INDEX(PP_Grid[#Data],M_BOM[PPGridRow],55),0))</f>
        <v/>
      </c>
      <c r="BD49">
        <f>SUMPRODUCT((M_BOM[RM_Code]=$A49)*M_BOM[RM_Qty_Per_Batch]*IFERROR(INDEX(PP_Grid[#Data],M_BOM[PPGridRow],56),0))</f>
        <v/>
      </c>
      <c r="BE49">
        <f>SUMPRODUCT((M_BOM[RM_Code]=$A49)*M_BOM[RM_Qty_Per_Batch]*IFERROR(INDEX(PP_Grid[#Data],M_BOM[PPGridRow],57),0))</f>
        <v/>
      </c>
      <c r="BF49">
        <f>SUMPRODUCT((M_BOM[RM_Code]=$A49)*M_BOM[RM_Qty_Per_Batch]*IFERROR(INDEX(PP_Grid[#Data],M_BOM[PPGridRow],58),0))</f>
        <v/>
      </c>
      <c r="BG49">
        <f>SUMPRODUCT((M_BOM[RM_Code]=$A49)*M_BOM[RM_Qty_Per_Batch]*IFERROR(INDEX(PP_Grid[#Data],M_BOM[PPGridRow],59),0))</f>
        <v/>
      </c>
      <c r="BH49">
        <f>SUMPRODUCT((M_BOM[RM_Code]=$A49)*M_BOM[RM_Qty_Per_Batch]*IFERROR(INDEX(PP_Grid[#Data],M_BOM[PPGridRow],60),0))</f>
        <v/>
      </c>
      <c r="BI49">
        <f>SUMPRODUCT((M_BOM[RM_Code]=$A49)*M_BOM[RM_Qty_Per_Batch]*IFERROR(INDEX(PP_Grid[#Data],M_BOM[PPGridRow],61),0))</f>
        <v/>
      </c>
      <c r="BJ49">
        <f>SUMPRODUCT((M_BOM[RM_Code]=$A49)*M_BOM[RM_Qty_Per_Batch]*IFERROR(INDEX(PP_Grid[#Data],M_BOM[PPGridRow],62),0))</f>
        <v/>
      </c>
      <c r="BK49">
        <f>SUMPRODUCT((M_BOM[RM_Code]=$A49)*M_BOM[RM_Qty_Per_Batch]*IFERROR(INDEX(PP_Grid[#Data],M_BOM[PPGridRow],63),0))</f>
        <v/>
      </c>
      <c r="BL49">
        <f>SUMPRODUCT((M_BOM[RM_Code]=$A49)*M_BOM[RM_Qty_Per_Batch]*IFERROR(INDEX(PP_Grid[#Data],M_BOM[PPGridRow],64),0))</f>
        <v/>
      </c>
      <c r="BM49">
        <f>SUMPRODUCT((M_BOM[RM_Code]=$A49)*M_BOM[RM_Qty_Per_Batch]*IFERROR(INDEX(PP_Grid[#Data],M_BOM[PPGridRow],65),0))</f>
        <v/>
      </c>
      <c r="BN49">
        <f>SUMPRODUCT((M_BOM[RM_Code]=$A49)*M_BOM[RM_Qty_Per_Batch]*IFERROR(INDEX(PP_Grid[#Data],M_BOM[PPGridRow],66),0))</f>
        <v/>
      </c>
      <c r="BO49">
        <f>SUMPRODUCT((M_BOM[RM_Code]=$A49)*M_BOM[RM_Qty_Per_Batch]*IFERROR(INDEX(PP_Grid[#Data],M_BOM[PPGridRow],67),0))</f>
        <v/>
      </c>
      <c r="BP49">
        <f>SUMPRODUCT((M_BOM[RM_Code]=$A49)*M_BOM[RM_Qty_Per_Batch]*IFERROR(INDEX(PP_Grid[#Data],M_BOM[PPGridRow],68),0))</f>
        <v/>
      </c>
      <c r="BQ49">
        <f>SUMPRODUCT((M_BOM[RM_Code]=$A49)*M_BOM[RM_Qty_Per_Batch]*IFERROR(INDEX(PP_Grid[#Data],M_BOM[PPGridRow],69),0))</f>
        <v/>
      </c>
      <c r="BR49">
        <f>SUMPRODUCT((M_BOM[RM_Code]=$A49)*M_BOM[RM_Qty_Per_Batch]*IFERROR(INDEX(PP_Grid[#Data],M_BOM[PPGridRow],70),0))</f>
        <v/>
      </c>
      <c r="BS49">
        <f>SUMPRODUCT((M_BOM[RM_Code]=$A49)*M_BOM[RM_Qty_Per_Batch]*IFERROR(INDEX(PP_Grid[#Data],M_BOM[PPGridRow],71),0))</f>
        <v/>
      </c>
      <c r="BT49">
        <f>SUMPRODUCT((M_BOM[RM_Code]=$A49)*M_BOM[RM_Qty_Per_Batch]*IFERROR(INDEX(PP_Grid[#Data],M_BOM[PPGridRow],72),0))</f>
        <v/>
      </c>
      <c r="BU49">
        <f>SUMPRODUCT((M_BOM[RM_Code]=$A49)*M_BOM[RM_Qty_Per_Batch]*IFERROR(INDEX(PP_Grid[#Data],M_BOM[PPGridRow],73),0))</f>
        <v/>
      </c>
      <c r="BV49">
        <f>SUMPRODUCT((M_BOM[RM_Code]=$A49)*M_BOM[RM_Qty_Per_Batch]*IFERROR(INDEX(PP_Grid[#Data],M_BOM[PPGridRow],74),0))</f>
        <v/>
      </c>
      <c r="BW49">
        <f>SUMPRODUCT((M_BOM[RM_Code]=$A49)*M_BOM[RM_Qty_Per_Batch]*IFERROR(INDEX(PP_Grid[#Data],M_BOM[PPGridRow],75),0))</f>
        <v/>
      </c>
      <c r="BX49">
        <f>SUMPRODUCT((M_BOM[RM_Code]=$A49)*M_BOM[RM_Qty_Per_Batch]*IFERROR(INDEX(PP_Grid[#Data],M_BOM[PPGridRow],76),0))</f>
        <v/>
      </c>
      <c r="BY49">
        <f>SUMPRODUCT((M_BOM[RM_Code]=$A49)*M_BOM[RM_Qty_Per_Batch]*IFERROR(INDEX(PP_Grid[#Data],M_BOM[PPGridRow],77),0))</f>
        <v/>
      </c>
      <c r="BZ49">
        <f>SUMPRODUCT((M_BOM[RM_Code]=$A49)*M_BOM[RM_Qty_Per_Batch]*IFERROR(INDEX(PP_Grid[#Data],M_BOM[PPGridRow],78),0))</f>
        <v/>
      </c>
      <c r="CA49">
        <f>SUMPRODUCT((M_BOM[RM_Code]=$A49)*M_BOM[RM_Qty_Per_Batch]*IFERROR(INDEX(PP_Grid[#Data],M_BOM[PPGridRow],79),0))</f>
        <v/>
      </c>
      <c r="CB49">
        <f>SUMPRODUCT((M_BOM[RM_Code]=$A49)*M_BOM[RM_Qty_Per_Batch]*IFERROR(INDEX(PP_Grid[#Data],M_BOM[PPGridRow],80),0))</f>
        <v/>
      </c>
      <c r="CC49">
        <f>SUMPRODUCT((M_BOM[RM_Code]=$A49)*M_BOM[RM_Qty_Per_Batch]*IFERROR(INDEX(PP_Grid[#Data],M_BOM[PPGridRow],81),0))</f>
        <v/>
      </c>
      <c r="CD49">
        <f>SUMPRODUCT((M_BOM[RM_Code]=$A49)*M_BOM[RM_Qty_Per_Batch]*IFERROR(INDEX(PP_Grid[#Data],M_BOM[PPGridRow],82),0))</f>
        <v/>
      </c>
      <c r="CE49">
        <f>SUMPRODUCT((M_BOM[RM_Code]=$A49)*M_BOM[RM_Qty_Per_Batch]*IFERROR(INDEX(PP_Grid[#Data],M_BOM[PPGridRow],83),0))</f>
        <v/>
      </c>
      <c r="CF49">
        <f>SUMPRODUCT((M_BOM[RM_Code]=$A49)*M_BOM[RM_Qty_Per_Batch]*IFERROR(INDEX(PP_Grid[#Data],M_BOM[PPGridRow],84),0))</f>
        <v/>
      </c>
      <c r="CG49">
        <f>SUMPRODUCT((M_BOM[RM_Code]=$A49)*M_BOM[RM_Qty_Per_Batch]*IFERROR(INDEX(PP_Grid[#Data],M_BOM[PPGridRow],85),0))</f>
        <v/>
      </c>
      <c r="CH49">
        <f>SUMPRODUCT((M_BOM[RM_Code]=$A49)*M_BOM[RM_Qty_Per_Batch]*IFERROR(INDEX(PP_Grid[#Data],M_BOM[PPGridRow],86),0))</f>
        <v/>
      </c>
      <c r="CI49">
        <f>SUMPRODUCT((M_BOM[RM_Code]=$A49)*M_BOM[RM_Qty_Per_Batch]*IFERROR(INDEX(PP_Grid[#Data],M_BOM[PPGridRow],87),0))</f>
        <v/>
      </c>
      <c r="CJ49">
        <f>SUMPRODUCT((M_BOM[RM_Code]=$A49)*M_BOM[RM_Qty_Per_Batch]*IFERROR(INDEX(PP_Grid[#Data],M_BOM[PPGridRow],88),0))</f>
        <v/>
      </c>
      <c r="CK49">
        <f>SUMPRODUCT((M_BOM[RM_Code]=$A49)*M_BOM[RM_Qty_Per_Batch]*IFERROR(INDEX(PP_Grid[#Data],M_BOM[PPGridRow],89),0))</f>
        <v/>
      </c>
      <c r="CL49">
        <f>SUMPRODUCT((M_BOM[RM_Code]=$A49)*M_BOM[RM_Qty_Per_Batch]*IFERROR(INDEX(PP_Grid[#Data],M_BOM[PPGridRow],90),0))</f>
        <v/>
      </c>
      <c r="CM49">
        <f>SUMPRODUCT((M_BOM[RM_Code]=$A49)*M_BOM[RM_Qty_Per_Batch]*IFERROR(INDEX(PP_Grid[#Data],M_BOM[PPGridRow],91),0))</f>
        <v/>
      </c>
      <c r="CN49">
        <f>SUMPRODUCT((M_BOM[RM_Code]=$A49)*M_BOM[RM_Qty_Per_Batch]*IFERROR(INDEX(PP_Grid[#Data],M_BOM[PPGridRow],92),0))</f>
        <v/>
      </c>
      <c r="CO49">
        <f>SUMPRODUCT((M_BOM[RM_Code]=$A49)*M_BOM[RM_Qty_Per_Batch]*IFERROR(INDEX(PP_Grid[#Data],M_BOM[PPGridRow],93),0))</f>
        <v/>
      </c>
      <c r="CP49">
        <f>SUMPRODUCT((M_BOM[RM_Code]=$A49)*M_BOM[RM_Qty_Per_Batch]*IFERROR(INDEX(PP_Grid[#Data],M_BOM[PPGridRow],94),0))</f>
        <v/>
      </c>
      <c r="CQ49">
        <f>SUMPRODUCT((M_BOM[RM_Code]=$A49)*M_BOM[RM_Qty_Per_Batch]*IFERROR(INDEX(PP_Grid[#Data],M_BOM[PPGridRow],95),0))</f>
        <v/>
      </c>
      <c r="CR49">
        <f>SUMPRODUCT((M_BOM[RM_Code]=$A49)*M_BOM[RM_Qty_Per_Batch]*IFERROR(INDEX(PP_Grid[#Data],M_BOM[PPGridRow],96),0))</f>
        <v/>
      </c>
      <c r="CS49">
        <f>SUMPRODUCT((M_BOM[RM_Code]=$A49)*M_BOM[RM_Qty_Per_Batch]*IFERROR(INDEX(PP_Grid[#Data],M_BOM[PPGridRow],97),0))</f>
        <v/>
      </c>
      <c r="CT49">
        <f>SUMPRODUCT((M_BOM[RM_Code]=$A49)*M_BOM[RM_Qty_Per_Batch]*IFERROR(INDEX(PP_Grid[#Data],M_BOM[PPGridRow],98),0))</f>
        <v/>
      </c>
      <c r="CU49">
        <f>SUMPRODUCT((M_BOM[RM_Code]=$A49)*M_BOM[RM_Qty_Per_Batch]*IFERROR(INDEX(PP_Grid[#Data],M_BOM[PPGridRow],99),0))</f>
        <v/>
      </c>
      <c r="CV49">
        <f>SUMPRODUCT((M_BOM[RM_Code]=$A49)*M_BOM[RM_Qty_Per_Batch]*IFERROR(INDEX(PP_Grid[#Data],M_BOM[PPGridRow],100),0))</f>
        <v/>
      </c>
      <c r="CW49">
        <f>SUMPRODUCT((M_BOM[RM_Code]=$A49)*M_BOM[RM_Qty_Per_Batch]*IFERROR(INDEX(PP_Grid[#Data],M_BOM[PPGridRow],101),0))</f>
        <v/>
      </c>
      <c r="CX49">
        <f>SUMPRODUCT((M_BOM[RM_Code]=$A49)*M_BOM[RM_Qty_Per_Batch]*IFERROR(INDEX(PP_Grid[#Data],M_BOM[PPGridRow],102),0))</f>
        <v/>
      </c>
      <c r="CY49">
        <f>SUMPRODUCT((M_BOM[RM_Code]=$A49)*M_BOM[RM_Qty_Per_Batch]*IFERROR(INDEX(PP_Grid[#Data],M_BOM[PPGridRow],103),0))</f>
        <v/>
      </c>
      <c r="CZ49">
        <f>SUMPRODUCT((M_BOM[RM_Code]=$A49)*M_BOM[RM_Qty_Per_Batch]*IFERROR(INDEX(PP_Grid[#Data],M_BOM[PPGridRow],104),0))</f>
        <v/>
      </c>
      <c r="DA49">
        <f>SUMPRODUCT((M_BOM[RM_Code]=$A49)*M_BOM[RM_Qty_Per_Batch]*IFERROR(INDEX(PP_Grid[#Data],M_BOM[PPGridRow],105),0))</f>
        <v/>
      </c>
    </row>
    <row r="50">
      <c r="A50" t="inlineStr">
        <is>
          <t>CHEM-1480</t>
        </is>
      </c>
      <c r="B50">
        <f>SUMPRODUCT((M_BOM[RM_Code]=$A50)*M_BOM[RM_Qty_Per_Batch]*IFERROR(INDEX(PP_Grid[#Data],M_BOM[PPGridRow],2),0))</f>
        <v/>
      </c>
      <c r="C50">
        <f>SUMPRODUCT((M_BOM[RM_Code]=$A50)*M_BOM[RM_Qty_Per_Batch]*IFERROR(INDEX(PP_Grid[#Data],M_BOM[PPGridRow],3),0))</f>
        <v/>
      </c>
      <c r="D50">
        <f>SUMPRODUCT((M_BOM[RM_Code]=$A50)*M_BOM[RM_Qty_Per_Batch]*IFERROR(INDEX(PP_Grid[#Data],M_BOM[PPGridRow],4),0))</f>
        <v/>
      </c>
      <c r="E50">
        <f>SUMPRODUCT((M_BOM[RM_Code]=$A50)*M_BOM[RM_Qty_Per_Batch]*IFERROR(INDEX(PP_Grid[#Data],M_BOM[PPGridRow],5),0))</f>
        <v/>
      </c>
      <c r="F50">
        <f>SUMPRODUCT((M_BOM[RM_Code]=$A50)*M_BOM[RM_Qty_Per_Batch]*IFERROR(INDEX(PP_Grid[#Data],M_BOM[PPGridRow],6),0))</f>
        <v/>
      </c>
      <c r="G50">
        <f>SUMPRODUCT((M_BOM[RM_Code]=$A50)*M_BOM[RM_Qty_Per_Batch]*IFERROR(INDEX(PP_Grid[#Data],M_BOM[PPGridRow],7),0))</f>
        <v/>
      </c>
      <c r="H50">
        <f>SUMPRODUCT((M_BOM[RM_Code]=$A50)*M_BOM[RM_Qty_Per_Batch]*IFERROR(INDEX(PP_Grid[#Data],M_BOM[PPGridRow],8),0))</f>
        <v/>
      </c>
      <c r="I50">
        <f>SUMPRODUCT((M_BOM[RM_Code]=$A50)*M_BOM[RM_Qty_Per_Batch]*IFERROR(INDEX(PP_Grid[#Data],M_BOM[PPGridRow],9),0))</f>
        <v/>
      </c>
      <c r="J50">
        <f>SUMPRODUCT((M_BOM[RM_Code]=$A50)*M_BOM[RM_Qty_Per_Batch]*IFERROR(INDEX(PP_Grid[#Data],M_BOM[PPGridRow],10),0))</f>
        <v/>
      </c>
      <c r="K50">
        <f>SUMPRODUCT((M_BOM[RM_Code]=$A50)*M_BOM[RM_Qty_Per_Batch]*IFERROR(INDEX(PP_Grid[#Data],M_BOM[PPGridRow],11),0))</f>
        <v/>
      </c>
      <c r="L50">
        <f>SUMPRODUCT((M_BOM[RM_Code]=$A50)*M_BOM[RM_Qty_Per_Batch]*IFERROR(INDEX(PP_Grid[#Data],M_BOM[PPGridRow],12),0))</f>
        <v/>
      </c>
      <c r="M50">
        <f>SUMPRODUCT((M_BOM[RM_Code]=$A50)*M_BOM[RM_Qty_Per_Batch]*IFERROR(INDEX(PP_Grid[#Data],M_BOM[PPGridRow],13),0))</f>
        <v/>
      </c>
      <c r="N50">
        <f>SUMPRODUCT((M_BOM[RM_Code]=$A50)*M_BOM[RM_Qty_Per_Batch]*IFERROR(INDEX(PP_Grid[#Data],M_BOM[PPGridRow],14),0))</f>
        <v/>
      </c>
      <c r="O50">
        <f>SUMPRODUCT((M_BOM[RM_Code]=$A50)*M_BOM[RM_Qty_Per_Batch]*IFERROR(INDEX(PP_Grid[#Data],M_BOM[PPGridRow],15),0))</f>
        <v/>
      </c>
      <c r="P50">
        <f>SUMPRODUCT((M_BOM[RM_Code]=$A50)*M_BOM[RM_Qty_Per_Batch]*IFERROR(INDEX(PP_Grid[#Data],M_BOM[PPGridRow],16),0))</f>
        <v/>
      </c>
      <c r="Q50">
        <f>SUMPRODUCT((M_BOM[RM_Code]=$A50)*M_BOM[RM_Qty_Per_Batch]*IFERROR(INDEX(PP_Grid[#Data],M_BOM[PPGridRow],17),0))</f>
        <v/>
      </c>
      <c r="R50">
        <f>SUMPRODUCT((M_BOM[RM_Code]=$A50)*M_BOM[RM_Qty_Per_Batch]*IFERROR(INDEX(PP_Grid[#Data],M_BOM[PPGridRow],18),0))</f>
        <v/>
      </c>
      <c r="S50">
        <f>SUMPRODUCT((M_BOM[RM_Code]=$A50)*M_BOM[RM_Qty_Per_Batch]*IFERROR(INDEX(PP_Grid[#Data],M_BOM[PPGridRow],19),0))</f>
        <v/>
      </c>
      <c r="T50">
        <f>SUMPRODUCT((M_BOM[RM_Code]=$A50)*M_BOM[RM_Qty_Per_Batch]*IFERROR(INDEX(PP_Grid[#Data],M_BOM[PPGridRow],20),0))</f>
        <v/>
      </c>
      <c r="U50">
        <f>SUMPRODUCT((M_BOM[RM_Code]=$A50)*M_BOM[RM_Qty_Per_Batch]*IFERROR(INDEX(PP_Grid[#Data],M_BOM[PPGridRow],21),0))</f>
        <v/>
      </c>
      <c r="V50">
        <f>SUMPRODUCT((M_BOM[RM_Code]=$A50)*M_BOM[RM_Qty_Per_Batch]*IFERROR(INDEX(PP_Grid[#Data],M_BOM[PPGridRow],22),0))</f>
        <v/>
      </c>
      <c r="W50">
        <f>SUMPRODUCT((M_BOM[RM_Code]=$A50)*M_BOM[RM_Qty_Per_Batch]*IFERROR(INDEX(PP_Grid[#Data],M_BOM[PPGridRow],23),0))</f>
        <v/>
      </c>
      <c r="X50">
        <f>SUMPRODUCT((M_BOM[RM_Code]=$A50)*M_BOM[RM_Qty_Per_Batch]*IFERROR(INDEX(PP_Grid[#Data],M_BOM[PPGridRow],24),0))</f>
        <v/>
      </c>
      <c r="Y50">
        <f>SUMPRODUCT((M_BOM[RM_Code]=$A50)*M_BOM[RM_Qty_Per_Batch]*IFERROR(INDEX(PP_Grid[#Data],M_BOM[PPGridRow],25),0))</f>
        <v/>
      </c>
      <c r="Z50">
        <f>SUMPRODUCT((M_BOM[RM_Code]=$A50)*M_BOM[RM_Qty_Per_Batch]*IFERROR(INDEX(PP_Grid[#Data],M_BOM[PPGridRow],26),0))</f>
        <v/>
      </c>
      <c r="AA50">
        <f>SUMPRODUCT((M_BOM[RM_Code]=$A50)*M_BOM[RM_Qty_Per_Batch]*IFERROR(INDEX(PP_Grid[#Data],M_BOM[PPGridRow],27),0))</f>
        <v/>
      </c>
      <c r="AB50">
        <f>SUMPRODUCT((M_BOM[RM_Code]=$A50)*M_BOM[RM_Qty_Per_Batch]*IFERROR(INDEX(PP_Grid[#Data],M_BOM[PPGridRow],28),0))</f>
        <v/>
      </c>
      <c r="AC50">
        <f>SUMPRODUCT((M_BOM[RM_Code]=$A50)*M_BOM[RM_Qty_Per_Batch]*IFERROR(INDEX(PP_Grid[#Data],M_BOM[PPGridRow],29),0))</f>
        <v/>
      </c>
      <c r="AD50">
        <f>SUMPRODUCT((M_BOM[RM_Code]=$A50)*M_BOM[RM_Qty_Per_Batch]*IFERROR(INDEX(PP_Grid[#Data],M_BOM[PPGridRow],30),0))</f>
        <v/>
      </c>
      <c r="AE50">
        <f>SUMPRODUCT((M_BOM[RM_Code]=$A50)*M_BOM[RM_Qty_Per_Batch]*IFERROR(INDEX(PP_Grid[#Data],M_BOM[PPGridRow],31),0))</f>
        <v/>
      </c>
      <c r="AF50">
        <f>SUMPRODUCT((M_BOM[RM_Code]=$A50)*M_BOM[RM_Qty_Per_Batch]*IFERROR(INDEX(PP_Grid[#Data],M_BOM[PPGridRow],32),0))</f>
        <v/>
      </c>
      <c r="AG50">
        <f>SUMPRODUCT((M_BOM[RM_Code]=$A50)*M_BOM[RM_Qty_Per_Batch]*IFERROR(INDEX(PP_Grid[#Data],M_BOM[PPGridRow],33),0))</f>
        <v/>
      </c>
      <c r="AH50">
        <f>SUMPRODUCT((M_BOM[RM_Code]=$A50)*M_BOM[RM_Qty_Per_Batch]*IFERROR(INDEX(PP_Grid[#Data],M_BOM[PPGridRow],34),0))</f>
        <v/>
      </c>
      <c r="AI50">
        <f>SUMPRODUCT((M_BOM[RM_Code]=$A50)*M_BOM[RM_Qty_Per_Batch]*IFERROR(INDEX(PP_Grid[#Data],M_BOM[PPGridRow],35),0))</f>
        <v/>
      </c>
      <c r="AJ50">
        <f>SUMPRODUCT((M_BOM[RM_Code]=$A50)*M_BOM[RM_Qty_Per_Batch]*IFERROR(INDEX(PP_Grid[#Data],M_BOM[PPGridRow],36),0))</f>
        <v/>
      </c>
      <c r="AK50">
        <f>SUMPRODUCT((M_BOM[RM_Code]=$A50)*M_BOM[RM_Qty_Per_Batch]*IFERROR(INDEX(PP_Grid[#Data],M_BOM[PPGridRow],37),0))</f>
        <v/>
      </c>
      <c r="AL50">
        <f>SUMPRODUCT((M_BOM[RM_Code]=$A50)*M_BOM[RM_Qty_Per_Batch]*IFERROR(INDEX(PP_Grid[#Data],M_BOM[PPGridRow],38),0))</f>
        <v/>
      </c>
      <c r="AM50">
        <f>SUMPRODUCT((M_BOM[RM_Code]=$A50)*M_BOM[RM_Qty_Per_Batch]*IFERROR(INDEX(PP_Grid[#Data],M_BOM[PPGridRow],39),0))</f>
        <v/>
      </c>
      <c r="AN50">
        <f>SUMPRODUCT((M_BOM[RM_Code]=$A50)*M_BOM[RM_Qty_Per_Batch]*IFERROR(INDEX(PP_Grid[#Data],M_BOM[PPGridRow],40),0))</f>
        <v/>
      </c>
      <c r="AO50">
        <f>SUMPRODUCT((M_BOM[RM_Code]=$A50)*M_BOM[RM_Qty_Per_Batch]*IFERROR(INDEX(PP_Grid[#Data],M_BOM[PPGridRow],41),0))</f>
        <v/>
      </c>
      <c r="AP50">
        <f>SUMPRODUCT((M_BOM[RM_Code]=$A50)*M_BOM[RM_Qty_Per_Batch]*IFERROR(INDEX(PP_Grid[#Data],M_BOM[PPGridRow],42),0))</f>
        <v/>
      </c>
      <c r="AQ50">
        <f>SUMPRODUCT((M_BOM[RM_Code]=$A50)*M_BOM[RM_Qty_Per_Batch]*IFERROR(INDEX(PP_Grid[#Data],M_BOM[PPGridRow],43),0))</f>
        <v/>
      </c>
      <c r="AR50">
        <f>SUMPRODUCT((M_BOM[RM_Code]=$A50)*M_BOM[RM_Qty_Per_Batch]*IFERROR(INDEX(PP_Grid[#Data],M_BOM[PPGridRow],44),0))</f>
        <v/>
      </c>
      <c r="AS50">
        <f>SUMPRODUCT((M_BOM[RM_Code]=$A50)*M_BOM[RM_Qty_Per_Batch]*IFERROR(INDEX(PP_Grid[#Data],M_BOM[PPGridRow],45),0))</f>
        <v/>
      </c>
      <c r="AT50">
        <f>SUMPRODUCT((M_BOM[RM_Code]=$A50)*M_BOM[RM_Qty_Per_Batch]*IFERROR(INDEX(PP_Grid[#Data],M_BOM[PPGridRow],46),0))</f>
        <v/>
      </c>
      <c r="AU50">
        <f>SUMPRODUCT((M_BOM[RM_Code]=$A50)*M_BOM[RM_Qty_Per_Batch]*IFERROR(INDEX(PP_Grid[#Data],M_BOM[PPGridRow],47),0))</f>
        <v/>
      </c>
      <c r="AV50">
        <f>SUMPRODUCT((M_BOM[RM_Code]=$A50)*M_BOM[RM_Qty_Per_Batch]*IFERROR(INDEX(PP_Grid[#Data],M_BOM[PPGridRow],48),0))</f>
        <v/>
      </c>
      <c r="AW50">
        <f>SUMPRODUCT((M_BOM[RM_Code]=$A50)*M_BOM[RM_Qty_Per_Batch]*IFERROR(INDEX(PP_Grid[#Data],M_BOM[PPGridRow],49),0))</f>
        <v/>
      </c>
      <c r="AX50">
        <f>SUMPRODUCT((M_BOM[RM_Code]=$A50)*M_BOM[RM_Qty_Per_Batch]*IFERROR(INDEX(PP_Grid[#Data],M_BOM[PPGridRow],50),0))</f>
        <v/>
      </c>
      <c r="AY50">
        <f>SUMPRODUCT((M_BOM[RM_Code]=$A50)*M_BOM[RM_Qty_Per_Batch]*IFERROR(INDEX(PP_Grid[#Data],M_BOM[PPGridRow],51),0))</f>
        <v/>
      </c>
      <c r="AZ50">
        <f>SUMPRODUCT((M_BOM[RM_Code]=$A50)*M_BOM[RM_Qty_Per_Batch]*IFERROR(INDEX(PP_Grid[#Data],M_BOM[PPGridRow],52),0))</f>
        <v/>
      </c>
      <c r="BA50">
        <f>SUMPRODUCT((M_BOM[RM_Code]=$A50)*M_BOM[RM_Qty_Per_Batch]*IFERROR(INDEX(PP_Grid[#Data],M_BOM[PPGridRow],53),0))</f>
        <v/>
      </c>
      <c r="BB50">
        <f>SUMPRODUCT((M_BOM[RM_Code]=$A50)*M_BOM[RM_Qty_Per_Batch]*IFERROR(INDEX(PP_Grid[#Data],M_BOM[PPGridRow],54),0))</f>
        <v/>
      </c>
      <c r="BC50">
        <f>SUMPRODUCT((M_BOM[RM_Code]=$A50)*M_BOM[RM_Qty_Per_Batch]*IFERROR(INDEX(PP_Grid[#Data],M_BOM[PPGridRow],55),0))</f>
        <v/>
      </c>
      <c r="BD50">
        <f>SUMPRODUCT((M_BOM[RM_Code]=$A50)*M_BOM[RM_Qty_Per_Batch]*IFERROR(INDEX(PP_Grid[#Data],M_BOM[PPGridRow],56),0))</f>
        <v/>
      </c>
      <c r="BE50">
        <f>SUMPRODUCT((M_BOM[RM_Code]=$A50)*M_BOM[RM_Qty_Per_Batch]*IFERROR(INDEX(PP_Grid[#Data],M_BOM[PPGridRow],57),0))</f>
        <v/>
      </c>
      <c r="BF50">
        <f>SUMPRODUCT((M_BOM[RM_Code]=$A50)*M_BOM[RM_Qty_Per_Batch]*IFERROR(INDEX(PP_Grid[#Data],M_BOM[PPGridRow],58),0))</f>
        <v/>
      </c>
      <c r="BG50">
        <f>SUMPRODUCT((M_BOM[RM_Code]=$A50)*M_BOM[RM_Qty_Per_Batch]*IFERROR(INDEX(PP_Grid[#Data],M_BOM[PPGridRow],59),0))</f>
        <v/>
      </c>
      <c r="BH50">
        <f>SUMPRODUCT((M_BOM[RM_Code]=$A50)*M_BOM[RM_Qty_Per_Batch]*IFERROR(INDEX(PP_Grid[#Data],M_BOM[PPGridRow],60),0))</f>
        <v/>
      </c>
      <c r="BI50">
        <f>SUMPRODUCT((M_BOM[RM_Code]=$A50)*M_BOM[RM_Qty_Per_Batch]*IFERROR(INDEX(PP_Grid[#Data],M_BOM[PPGridRow],61),0))</f>
        <v/>
      </c>
      <c r="BJ50">
        <f>SUMPRODUCT((M_BOM[RM_Code]=$A50)*M_BOM[RM_Qty_Per_Batch]*IFERROR(INDEX(PP_Grid[#Data],M_BOM[PPGridRow],62),0))</f>
        <v/>
      </c>
      <c r="BK50">
        <f>SUMPRODUCT((M_BOM[RM_Code]=$A50)*M_BOM[RM_Qty_Per_Batch]*IFERROR(INDEX(PP_Grid[#Data],M_BOM[PPGridRow],63),0))</f>
        <v/>
      </c>
      <c r="BL50">
        <f>SUMPRODUCT((M_BOM[RM_Code]=$A50)*M_BOM[RM_Qty_Per_Batch]*IFERROR(INDEX(PP_Grid[#Data],M_BOM[PPGridRow],64),0))</f>
        <v/>
      </c>
      <c r="BM50">
        <f>SUMPRODUCT((M_BOM[RM_Code]=$A50)*M_BOM[RM_Qty_Per_Batch]*IFERROR(INDEX(PP_Grid[#Data],M_BOM[PPGridRow],65),0))</f>
        <v/>
      </c>
      <c r="BN50">
        <f>SUMPRODUCT((M_BOM[RM_Code]=$A50)*M_BOM[RM_Qty_Per_Batch]*IFERROR(INDEX(PP_Grid[#Data],M_BOM[PPGridRow],66),0))</f>
        <v/>
      </c>
      <c r="BO50">
        <f>SUMPRODUCT((M_BOM[RM_Code]=$A50)*M_BOM[RM_Qty_Per_Batch]*IFERROR(INDEX(PP_Grid[#Data],M_BOM[PPGridRow],67),0))</f>
        <v/>
      </c>
      <c r="BP50">
        <f>SUMPRODUCT((M_BOM[RM_Code]=$A50)*M_BOM[RM_Qty_Per_Batch]*IFERROR(INDEX(PP_Grid[#Data],M_BOM[PPGridRow],68),0))</f>
        <v/>
      </c>
      <c r="BQ50">
        <f>SUMPRODUCT((M_BOM[RM_Code]=$A50)*M_BOM[RM_Qty_Per_Batch]*IFERROR(INDEX(PP_Grid[#Data],M_BOM[PPGridRow],69),0))</f>
        <v/>
      </c>
      <c r="BR50">
        <f>SUMPRODUCT((M_BOM[RM_Code]=$A50)*M_BOM[RM_Qty_Per_Batch]*IFERROR(INDEX(PP_Grid[#Data],M_BOM[PPGridRow],70),0))</f>
        <v/>
      </c>
      <c r="BS50">
        <f>SUMPRODUCT((M_BOM[RM_Code]=$A50)*M_BOM[RM_Qty_Per_Batch]*IFERROR(INDEX(PP_Grid[#Data],M_BOM[PPGridRow],71),0))</f>
        <v/>
      </c>
      <c r="BT50">
        <f>SUMPRODUCT((M_BOM[RM_Code]=$A50)*M_BOM[RM_Qty_Per_Batch]*IFERROR(INDEX(PP_Grid[#Data],M_BOM[PPGridRow],72),0))</f>
        <v/>
      </c>
      <c r="BU50">
        <f>SUMPRODUCT((M_BOM[RM_Code]=$A50)*M_BOM[RM_Qty_Per_Batch]*IFERROR(INDEX(PP_Grid[#Data],M_BOM[PPGridRow],73),0))</f>
        <v/>
      </c>
      <c r="BV50">
        <f>SUMPRODUCT((M_BOM[RM_Code]=$A50)*M_BOM[RM_Qty_Per_Batch]*IFERROR(INDEX(PP_Grid[#Data],M_BOM[PPGridRow],74),0))</f>
        <v/>
      </c>
      <c r="BW50">
        <f>SUMPRODUCT((M_BOM[RM_Code]=$A50)*M_BOM[RM_Qty_Per_Batch]*IFERROR(INDEX(PP_Grid[#Data],M_BOM[PPGridRow],75),0))</f>
        <v/>
      </c>
      <c r="BX50">
        <f>SUMPRODUCT((M_BOM[RM_Code]=$A50)*M_BOM[RM_Qty_Per_Batch]*IFERROR(INDEX(PP_Grid[#Data],M_BOM[PPGridRow],76),0))</f>
        <v/>
      </c>
      <c r="BY50">
        <f>SUMPRODUCT((M_BOM[RM_Code]=$A50)*M_BOM[RM_Qty_Per_Batch]*IFERROR(INDEX(PP_Grid[#Data],M_BOM[PPGridRow],77),0))</f>
        <v/>
      </c>
      <c r="BZ50">
        <f>SUMPRODUCT((M_BOM[RM_Code]=$A50)*M_BOM[RM_Qty_Per_Batch]*IFERROR(INDEX(PP_Grid[#Data],M_BOM[PPGridRow],78),0))</f>
        <v/>
      </c>
      <c r="CA50">
        <f>SUMPRODUCT((M_BOM[RM_Code]=$A50)*M_BOM[RM_Qty_Per_Batch]*IFERROR(INDEX(PP_Grid[#Data],M_BOM[PPGridRow],79),0))</f>
        <v/>
      </c>
      <c r="CB50">
        <f>SUMPRODUCT((M_BOM[RM_Code]=$A50)*M_BOM[RM_Qty_Per_Batch]*IFERROR(INDEX(PP_Grid[#Data],M_BOM[PPGridRow],80),0))</f>
        <v/>
      </c>
      <c r="CC50">
        <f>SUMPRODUCT((M_BOM[RM_Code]=$A50)*M_BOM[RM_Qty_Per_Batch]*IFERROR(INDEX(PP_Grid[#Data],M_BOM[PPGridRow],81),0))</f>
        <v/>
      </c>
      <c r="CD50">
        <f>SUMPRODUCT((M_BOM[RM_Code]=$A50)*M_BOM[RM_Qty_Per_Batch]*IFERROR(INDEX(PP_Grid[#Data],M_BOM[PPGridRow],82),0))</f>
        <v/>
      </c>
      <c r="CE50">
        <f>SUMPRODUCT((M_BOM[RM_Code]=$A50)*M_BOM[RM_Qty_Per_Batch]*IFERROR(INDEX(PP_Grid[#Data],M_BOM[PPGridRow],83),0))</f>
        <v/>
      </c>
      <c r="CF50">
        <f>SUMPRODUCT((M_BOM[RM_Code]=$A50)*M_BOM[RM_Qty_Per_Batch]*IFERROR(INDEX(PP_Grid[#Data],M_BOM[PPGridRow],84),0))</f>
        <v/>
      </c>
      <c r="CG50">
        <f>SUMPRODUCT((M_BOM[RM_Code]=$A50)*M_BOM[RM_Qty_Per_Batch]*IFERROR(INDEX(PP_Grid[#Data],M_BOM[PPGridRow],85),0))</f>
        <v/>
      </c>
      <c r="CH50">
        <f>SUMPRODUCT((M_BOM[RM_Code]=$A50)*M_BOM[RM_Qty_Per_Batch]*IFERROR(INDEX(PP_Grid[#Data],M_BOM[PPGridRow],86),0))</f>
        <v/>
      </c>
      <c r="CI50">
        <f>SUMPRODUCT((M_BOM[RM_Code]=$A50)*M_BOM[RM_Qty_Per_Batch]*IFERROR(INDEX(PP_Grid[#Data],M_BOM[PPGridRow],87),0))</f>
        <v/>
      </c>
      <c r="CJ50">
        <f>SUMPRODUCT((M_BOM[RM_Code]=$A50)*M_BOM[RM_Qty_Per_Batch]*IFERROR(INDEX(PP_Grid[#Data],M_BOM[PPGridRow],88),0))</f>
        <v/>
      </c>
      <c r="CK50">
        <f>SUMPRODUCT((M_BOM[RM_Code]=$A50)*M_BOM[RM_Qty_Per_Batch]*IFERROR(INDEX(PP_Grid[#Data],M_BOM[PPGridRow],89),0))</f>
        <v/>
      </c>
      <c r="CL50">
        <f>SUMPRODUCT((M_BOM[RM_Code]=$A50)*M_BOM[RM_Qty_Per_Batch]*IFERROR(INDEX(PP_Grid[#Data],M_BOM[PPGridRow],90),0))</f>
        <v/>
      </c>
      <c r="CM50">
        <f>SUMPRODUCT((M_BOM[RM_Code]=$A50)*M_BOM[RM_Qty_Per_Batch]*IFERROR(INDEX(PP_Grid[#Data],M_BOM[PPGridRow],91),0))</f>
        <v/>
      </c>
      <c r="CN50">
        <f>SUMPRODUCT((M_BOM[RM_Code]=$A50)*M_BOM[RM_Qty_Per_Batch]*IFERROR(INDEX(PP_Grid[#Data],M_BOM[PPGridRow],92),0))</f>
        <v/>
      </c>
      <c r="CO50">
        <f>SUMPRODUCT((M_BOM[RM_Code]=$A50)*M_BOM[RM_Qty_Per_Batch]*IFERROR(INDEX(PP_Grid[#Data],M_BOM[PPGridRow],93),0))</f>
        <v/>
      </c>
      <c r="CP50">
        <f>SUMPRODUCT((M_BOM[RM_Code]=$A50)*M_BOM[RM_Qty_Per_Batch]*IFERROR(INDEX(PP_Grid[#Data],M_BOM[PPGridRow],94),0))</f>
        <v/>
      </c>
      <c r="CQ50">
        <f>SUMPRODUCT((M_BOM[RM_Code]=$A50)*M_BOM[RM_Qty_Per_Batch]*IFERROR(INDEX(PP_Grid[#Data],M_BOM[PPGridRow],95),0))</f>
        <v/>
      </c>
      <c r="CR50">
        <f>SUMPRODUCT((M_BOM[RM_Code]=$A50)*M_BOM[RM_Qty_Per_Batch]*IFERROR(INDEX(PP_Grid[#Data],M_BOM[PPGridRow],96),0))</f>
        <v/>
      </c>
      <c r="CS50">
        <f>SUMPRODUCT((M_BOM[RM_Code]=$A50)*M_BOM[RM_Qty_Per_Batch]*IFERROR(INDEX(PP_Grid[#Data],M_BOM[PPGridRow],97),0))</f>
        <v/>
      </c>
      <c r="CT50">
        <f>SUMPRODUCT((M_BOM[RM_Code]=$A50)*M_BOM[RM_Qty_Per_Batch]*IFERROR(INDEX(PP_Grid[#Data],M_BOM[PPGridRow],98),0))</f>
        <v/>
      </c>
      <c r="CU50">
        <f>SUMPRODUCT((M_BOM[RM_Code]=$A50)*M_BOM[RM_Qty_Per_Batch]*IFERROR(INDEX(PP_Grid[#Data],M_BOM[PPGridRow],99),0))</f>
        <v/>
      </c>
      <c r="CV50">
        <f>SUMPRODUCT((M_BOM[RM_Code]=$A50)*M_BOM[RM_Qty_Per_Batch]*IFERROR(INDEX(PP_Grid[#Data],M_BOM[PPGridRow],100),0))</f>
        <v/>
      </c>
      <c r="CW50">
        <f>SUMPRODUCT((M_BOM[RM_Code]=$A50)*M_BOM[RM_Qty_Per_Batch]*IFERROR(INDEX(PP_Grid[#Data],M_BOM[PPGridRow],101),0))</f>
        <v/>
      </c>
      <c r="CX50">
        <f>SUMPRODUCT((M_BOM[RM_Code]=$A50)*M_BOM[RM_Qty_Per_Batch]*IFERROR(INDEX(PP_Grid[#Data],M_BOM[PPGridRow],102),0))</f>
        <v/>
      </c>
      <c r="CY50">
        <f>SUMPRODUCT((M_BOM[RM_Code]=$A50)*M_BOM[RM_Qty_Per_Batch]*IFERROR(INDEX(PP_Grid[#Data],M_BOM[PPGridRow],103),0))</f>
        <v/>
      </c>
      <c r="CZ50">
        <f>SUMPRODUCT((M_BOM[RM_Code]=$A50)*M_BOM[RM_Qty_Per_Batch]*IFERROR(INDEX(PP_Grid[#Data],M_BOM[PPGridRow],104),0))</f>
        <v/>
      </c>
      <c r="DA50">
        <f>SUMPRODUCT((M_BOM[RM_Code]=$A50)*M_BOM[RM_Qty_Per_Batch]*IFERROR(INDEX(PP_Grid[#Data],M_BOM[PPGridRow],105),0))</f>
        <v/>
      </c>
    </row>
    <row r="51">
      <c r="A51" t="inlineStr">
        <is>
          <t>CHEM-1560</t>
        </is>
      </c>
      <c r="B51">
        <f>SUMPRODUCT((M_BOM[RM_Code]=$A51)*M_BOM[RM_Qty_Per_Batch]*IFERROR(INDEX(PP_Grid[#Data],M_BOM[PPGridRow],2),0))</f>
        <v/>
      </c>
      <c r="C51">
        <f>SUMPRODUCT((M_BOM[RM_Code]=$A51)*M_BOM[RM_Qty_Per_Batch]*IFERROR(INDEX(PP_Grid[#Data],M_BOM[PPGridRow],3),0))</f>
        <v/>
      </c>
      <c r="D51">
        <f>SUMPRODUCT((M_BOM[RM_Code]=$A51)*M_BOM[RM_Qty_Per_Batch]*IFERROR(INDEX(PP_Grid[#Data],M_BOM[PPGridRow],4),0))</f>
        <v/>
      </c>
      <c r="E51">
        <f>SUMPRODUCT((M_BOM[RM_Code]=$A51)*M_BOM[RM_Qty_Per_Batch]*IFERROR(INDEX(PP_Grid[#Data],M_BOM[PPGridRow],5),0))</f>
        <v/>
      </c>
      <c r="F51">
        <f>SUMPRODUCT((M_BOM[RM_Code]=$A51)*M_BOM[RM_Qty_Per_Batch]*IFERROR(INDEX(PP_Grid[#Data],M_BOM[PPGridRow],6),0))</f>
        <v/>
      </c>
      <c r="G51">
        <f>SUMPRODUCT((M_BOM[RM_Code]=$A51)*M_BOM[RM_Qty_Per_Batch]*IFERROR(INDEX(PP_Grid[#Data],M_BOM[PPGridRow],7),0))</f>
        <v/>
      </c>
      <c r="H51">
        <f>SUMPRODUCT((M_BOM[RM_Code]=$A51)*M_BOM[RM_Qty_Per_Batch]*IFERROR(INDEX(PP_Grid[#Data],M_BOM[PPGridRow],8),0))</f>
        <v/>
      </c>
      <c r="I51">
        <f>SUMPRODUCT((M_BOM[RM_Code]=$A51)*M_BOM[RM_Qty_Per_Batch]*IFERROR(INDEX(PP_Grid[#Data],M_BOM[PPGridRow],9),0))</f>
        <v/>
      </c>
      <c r="J51">
        <f>SUMPRODUCT((M_BOM[RM_Code]=$A51)*M_BOM[RM_Qty_Per_Batch]*IFERROR(INDEX(PP_Grid[#Data],M_BOM[PPGridRow],10),0))</f>
        <v/>
      </c>
      <c r="K51">
        <f>SUMPRODUCT((M_BOM[RM_Code]=$A51)*M_BOM[RM_Qty_Per_Batch]*IFERROR(INDEX(PP_Grid[#Data],M_BOM[PPGridRow],11),0))</f>
        <v/>
      </c>
      <c r="L51">
        <f>SUMPRODUCT((M_BOM[RM_Code]=$A51)*M_BOM[RM_Qty_Per_Batch]*IFERROR(INDEX(PP_Grid[#Data],M_BOM[PPGridRow],12),0))</f>
        <v/>
      </c>
      <c r="M51">
        <f>SUMPRODUCT((M_BOM[RM_Code]=$A51)*M_BOM[RM_Qty_Per_Batch]*IFERROR(INDEX(PP_Grid[#Data],M_BOM[PPGridRow],13),0))</f>
        <v/>
      </c>
      <c r="N51">
        <f>SUMPRODUCT((M_BOM[RM_Code]=$A51)*M_BOM[RM_Qty_Per_Batch]*IFERROR(INDEX(PP_Grid[#Data],M_BOM[PPGridRow],14),0))</f>
        <v/>
      </c>
      <c r="O51">
        <f>SUMPRODUCT((M_BOM[RM_Code]=$A51)*M_BOM[RM_Qty_Per_Batch]*IFERROR(INDEX(PP_Grid[#Data],M_BOM[PPGridRow],15),0))</f>
        <v/>
      </c>
      <c r="P51">
        <f>SUMPRODUCT((M_BOM[RM_Code]=$A51)*M_BOM[RM_Qty_Per_Batch]*IFERROR(INDEX(PP_Grid[#Data],M_BOM[PPGridRow],16),0))</f>
        <v/>
      </c>
      <c r="Q51">
        <f>SUMPRODUCT((M_BOM[RM_Code]=$A51)*M_BOM[RM_Qty_Per_Batch]*IFERROR(INDEX(PP_Grid[#Data],M_BOM[PPGridRow],17),0))</f>
        <v/>
      </c>
      <c r="R51">
        <f>SUMPRODUCT((M_BOM[RM_Code]=$A51)*M_BOM[RM_Qty_Per_Batch]*IFERROR(INDEX(PP_Grid[#Data],M_BOM[PPGridRow],18),0))</f>
        <v/>
      </c>
      <c r="S51">
        <f>SUMPRODUCT((M_BOM[RM_Code]=$A51)*M_BOM[RM_Qty_Per_Batch]*IFERROR(INDEX(PP_Grid[#Data],M_BOM[PPGridRow],19),0))</f>
        <v/>
      </c>
      <c r="T51">
        <f>SUMPRODUCT((M_BOM[RM_Code]=$A51)*M_BOM[RM_Qty_Per_Batch]*IFERROR(INDEX(PP_Grid[#Data],M_BOM[PPGridRow],20),0))</f>
        <v/>
      </c>
      <c r="U51">
        <f>SUMPRODUCT((M_BOM[RM_Code]=$A51)*M_BOM[RM_Qty_Per_Batch]*IFERROR(INDEX(PP_Grid[#Data],M_BOM[PPGridRow],21),0))</f>
        <v/>
      </c>
      <c r="V51">
        <f>SUMPRODUCT((M_BOM[RM_Code]=$A51)*M_BOM[RM_Qty_Per_Batch]*IFERROR(INDEX(PP_Grid[#Data],M_BOM[PPGridRow],22),0))</f>
        <v/>
      </c>
      <c r="W51">
        <f>SUMPRODUCT((M_BOM[RM_Code]=$A51)*M_BOM[RM_Qty_Per_Batch]*IFERROR(INDEX(PP_Grid[#Data],M_BOM[PPGridRow],23),0))</f>
        <v/>
      </c>
      <c r="X51">
        <f>SUMPRODUCT((M_BOM[RM_Code]=$A51)*M_BOM[RM_Qty_Per_Batch]*IFERROR(INDEX(PP_Grid[#Data],M_BOM[PPGridRow],24),0))</f>
        <v/>
      </c>
      <c r="Y51">
        <f>SUMPRODUCT((M_BOM[RM_Code]=$A51)*M_BOM[RM_Qty_Per_Batch]*IFERROR(INDEX(PP_Grid[#Data],M_BOM[PPGridRow],25),0))</f>
        <v/>
      </c>
      <c r="Z51">
        <f>SUMPRODUCT((M_BOM[RM_Code]=$A51)*M_BOM[RM_Qty_Per_Batch]*IFERROR(INDEX(PP_Grid[#Data],M_BOM[PPGridRow],26),0))</f>
        <v/>
      </c>
      <c r="AA51">
        <f>SUMPRODUCT((M_BOM[RM_Code]=$A51)*M_BOM[RM_Qty_Per_Batch]*IFERROR(INDEX(PP_Grid[#Data],M_BOM[PPGridRow],27),0))</f>
        <v/>
      </c>
      <c r="AB51">
        <f>SUMPRODUCT((M_BOM[RM_Code]=$A51)*M_BOM[RM_Qty_Per_Batch]*IFERROR(INDEX(PP_Grid[#Data],M_BOM[PPGridRow],28),0))</f>
        <v/>
      </c>
      <c r="AC51">
        <f>SUMPRODUCT((M_BOM[RM_Code]=$A51)*M_BOM[RM_Qty_Per_Batch]*IFERROR(INDEX(PP_Grid[#Data],M_BOM[PPGridRow],29),0))</f>
        <v/>
      </c>
      <c r="AD51">
        <f>SUMPRODUCT((M_BOM[RM_Code]=$A51)*M_BOM[RM_Qty_Per_Batch]*IFERROR(INDEX(PP_Grid[#Data],M_BOM[PPGridRow],30),0))</f>
        <v/>
      </c>
      <c r="AE51">
        <f>SUMPRODUCT((M_BOM[RM_Code]=$A51)*M_BOM[RM_Qty_Per_Batch]*IFERROR(INDEX(PP_Grid[#Data],M_BOM[PPGridRow],31),0))</f>
        <v/>
      </c>
      <c r="AF51">
        <f>SUMPRODUCT((M_BOM[RM_Code]=$A51)*M_BOM[RM_Qty_Per_Batch]*IFERROR(INDEX(PP_Grid[#Data],M_BOM[PPGridRow],32),0))</f>
        <v/>
      </c>
      <c r="AG51">
        <f>SUMPRODUCT((M_BOM[RM_Code]=$A51)*M_BOM[RM_Qty_Per_Batch]*IFERROR(INDEX(PP_Grid[#Data],M_BOM[PPGridRow],33),0))</f>
        <v/>
      </c>
      <c r="AH51">
        <f>SUMPRODUCT((M_BOM[RM_Code]=$A51)*M_BOM[RM_Qty_Per_Batch]*IFERROR(INDEX(PP_Grid[#Data],M_BOM[PPGridRow],34),0))</f>
        <v/>
      </c>
      <c r="AI51">
        <f>SUMPRODUCT((M_BOM[RM_Code]=$A51)*M_BOM[RM_Qty_Per_Batch]*IFERROR(INDEX(PP_Grid[#Data],M_BOM[PPGridRow],35),0))</f>
        <v/>
      </c>
      <c r="AJ51">
        <f>SUMPRODUCT((M_BOM[RM_Code]=$A51)*M_BOM[RM_Qty_Per_Batch]*IFERROR(INDEX(PP_Grid[#Data],M_BOM[PPGridRow],36),0))</f>
        <v/>
      </c>
      <c r="AK51">
        <f>SUMPRODUCT((M_BOM[RM_Code]=$A51)*M_BOM[RM_Qty_Per_Batch]*IFERROR(INDEX(PP_Grid[#Data],M_BOM[PPGridRow],37),0))</f>
        <v/>
      </c>
      <c r="AL51">
        <f>SUMPRODUCT((M_BOM[RM_Code]=$A51)*M_BOM[RM_Qty_Per_Batch]*IFERROR(INDEX(PP_Grid[#Data],M_BOM[PPGridRow],38),0))</f>
        <v/>
      </c>
      <c r="AM51">
        <f>SUMPRODUCT((M_BOM[RM_Code]=$A51)*M_BOM[RM_Qty_Per_Batch]*IFERROR(INDEX(PP_Grid[#Data],M_BOM[PPGridRow],39),0))</f>
        <v/>
      </c>
      <c r="AN51">
        <f>SUMPRODUCT((M_BOM[RM_Code]=$A51)*M_BOM[RM_Qty_Per_Batch]*IFERROR(INDEX(PP_Grid[#Data],M_BOM[PPGridRow],40),0))</f>
        <v/>
      </c>
      <c r="AO51">
        <f>SUMPRODUCT((M_BOM[RM_Code]=$A51)*M_BOM[RM_Qty_Per_Batch]*IFERROR(INDEX(PP_Grid[#Data],M_BOM[PPGridRow],41),0))</f>
        <v/>
      </c>
      <c r="AP51">
        <f>SUMPRODUCT((M_BOM[RM_Code]=$A51)*M_BOM[RM_Qty_Per_Batch]*IFERROR(INDEX(PP_Grid[#Data],M_BOM[PPGridRow],42),0))</f>
        <v/>
      </c>
      <c r="AQ51">
        <f>SUMPRODUCT((M_BOM[RM_Code]=$A51)*M_BOM[RM_Qty_Per_Batch]*IFERROR(INDEX(PP_Grid[#Data],M_BOM[PPGridRow],43),0))</f>
        <v/>
      </c>
      <c r="AR51">
        <f>SUMPRODUCT((M_BOM[RM_Code]=$A51)*M_BOM[RM_Qty_Per_Batch]*IFERROR(INDEX(PP_Grid[#Data],M_BOM[PPGridRow],44),0))</f>
        <v/>
      </c>
      <c r="AS51">
        <f>SUMPRODUCT((M_BOM[RM_Code]=$A51)*M_BOM[RM_Qty_Per_Batch]*IFERROR(INDEX(PP_Grid[#Data],M_BOM[PPGridRow],45),0))</f>
        <v/>
      </c>
      <c r="AT51">
        <f>SUMPRODUCT((M_BOM[RM_Code]=$A51)*M_BOM[RM_Qty_Per_Batch]*IFERROR(INDEX(PP_Grid[#Data],M_BOM[PPGridRow],46),0))</f>
        <v/>
      </c>
      <c r="AU51">
        <f>SUMPRODUCT((M_BOM[RM_Code]=$A51)*M_BOM[RM_Qty_Per_Batch]*IFERROR(INDEX(PP_Grid[#Data],M_BOM[PPGridRow],47),0))</f>
        <v/>
      </c>
      <c r="AV51">
        <f>SUMPRODUCT((M_BOM[RM_Code]=$A51)*M_BOM[RM_Qty_Per_Batch]*IFERROR(INDEX(PP_Grid[#Data],M_BOM[PPGridRow],48),0))</f>
        <v/>
      </c>
      <c r="AW51">
        <f>SUMPRODUCT((M_BOM[RM_Code]=$A51)*M_BOM[RM_Qty_Per_Batch]*IFERROR(INDEX(PP_Grid[#Data],M_BOM[PPGridRow],49),0))</f>
        <v/>
      </c>
      <c r="AX51">
        <f>SUMPRODUCT((M_BOM[RM_Code]=$A51)*M_BOM[RM_Qty_Per_Batch]*IFERROR(INDEX(PP_Grid[#Data],M_BOM[PPGridRow],50),0))</f>
        <v/>
      </c>
      <c r="AY51">
        <f>SUMPRODUCT((M_BOM[RM_Code]=$A51)*M_BOM[RM_Qty_Per_Batch]*IFERROR(INDEX(PP_Grid[#Data],M_BOM[PPGridRow],51),0))</f>
        <v/>
      </c>
      <c r="AZ51">
        <f>SUMPRODUCT((M_BOM[RM_Code]=$A51)*M_BOM[RM_Qty_Per_Batch]*IFERROR(INDEX(PP_Grid[#Data],M_BOM[PPGridRow],52),0))</f>
        <v/>
      </c>
      <c r="BA51">
        <f>SUMPRODUCT((M_BOM[RM_Code]=$A51)*M_BOM[RM_Qty_Per_Batch]*IFERROR(INDEX(PP_Grid[#Data],M_BOM[PPGridRow],53),0))</f>
        <v/>
      </c>
      <c r="BB51">
        <f>SUMPRODUCT((M_BOM[RM_Code]=$A51)*M_BOM[RM_Qty_Per_Batch]*IFERROR(INDEX(PP_Grid[#Data],M_BOM[PPGridRow],54),0))</f>
        <v/>
      </c>
      <c r="BC51">
        <f>SUMPRODUCT((M_BOM[RM_Code]=$A51)*M_BOM[RM_Qty_Per_Batch]*IFERROR(INDEX(PP_Grid[#Data],M_BOM[PPGridRow],55),0))</f>
        <v/>
      </c>
      <c r="BD51">
        <f>SUMPRODUCT((M_BOM[RM_Code]=$A51)*M_BOM[RM_Qty_Per_Batch]*IFERROR(INDEX(PP_Grid[#Data],M_BOM[PPGridRow],56),0))</f>
        <v/>
      </c>
      <c r="BE51">
        <f>SUMPRODUCT((M_BOM[RM_Code]=$A51)*M_BOM[RM_Qty_Per_Batch]*IFERROR(INDEX(PP_Grid[#Data],M_BOM[PPGridRow],57),0))</f>
        <v/>
      </c>
      <c r="BF51">
        <f>SUMPRODUCT((M_BOM[RM_Code]=$A51)*M_BOM[RM_Qty_Per_Batch]*IFERROR(INDEX(PP_Grid[#Data],M_BOM[PPGridRow],58),0))</f>
        <v/>
      </c>
      <c r="BG51">
        <f>SUMPRODUCT((M_BOM[RM_Code]=$A51)*M_BOM[RM_Qty_Per_Batch]*IFERROR(INDEX(PP_Grid[#Data],M_BOM[PPGridRow],59),0))</f>
        <v/>
      </c>
      <c r="BH51">
        <f>SUMPRODUCT((M_BOM[RM_Code]=$A51)*M_BOM[RM_Qty_Per_Batch]*IFERROR(INDEX(PP_Grid[#Data],M_BOM[PPGridRow],60),0))</f>
        <v/>
      </c>
      <c r="BI51">
        <f>SUMPRODUCT((M_BOM[RM_Code]=$A51)*M_BOM[RM_Qty_Per_Batch]*IFERROR(INDEX(PP_Grid[#Data],M_BOM[PPGridRow],61),0))</f>
        <v/>
      </c>
      <c r="BJ51">
        <f>SUMPRODUCT((M_BOM[RM_Code]=$A51)*M_BOM[RM_Qty_Per_Batch]*IFERROR(INDEX(PP_Grid[#Data],M_BOM[PPGridRow],62),0))</f>
        <v/>
      </c>
      <c r="BK51">
        <f>SUMPRODUCT((M_BOM[RM_Code]=$A51)*M_BOM[RM_Qty_Per_Batch]*IFERROR(INDEX(PP_Grid[#Data],M_BOM[PPGridRow],63),0))</f>
        <v/>
      </c>
      <c r="BL51">
        <f>SUMPRODUCT((M_BOM[RM_Code]=$A51)*M_BOM[RM_Qty_Per_Batch]*IFERROR(INDEX(PP_Grid[#Data],M_BOM[PPGridRow],64),0))</f>
        <v/>
      </c>
      <c r="BM51">
        <f>SUMPRODUCT((M_BOM[RM_Code]=$A51)*M_BOM[RM_Qty_Per_Batch]*IFERROR(INDEX(PP_Grid[#Data],M_BOM[PPGridRow],65),0))</f>
        <v/>
      </c>
      <c r="BN51">
        <f>SUMPRODUCT((M_BOM[RM_Code]=$A51)*M_BOM[RM_Qty_Per_Batch]*IFERROR(INDEX(PP_Grid[#Data],M_BOM[PPGridRow],66),0))</f>
        <v/>
      </c>
      <c r="BO51">
        <f>SUMPRODUCT((M_BOM[RM_Code]=$A51)*M_BOM[RM_Qty_Per_Batch]*IFERROR(INDEX(PP_Grid[#Data],M_BOM[PPGridRow],67),0))</f>
        <v/>
      </c>
      <c r="BP51">
        <f>SUMPRODUCT((M_BOM[RM_Code]=$A51)*M_BOM[RM_Qty_Per_Batch]*IFERROR(INDEX(PP_Grid[#Data],M_BOM[PPGridRow],68),0))</f>
        <v/>
      </c>
      <c r="BQ51">
        <f>SUMPRODUCT((M_BOM[RM_Code]=$A51)*M_BOM[RM_Qty_Per_Batch]*IFERROR(INDEX(PP_Grid[#Data],M_BOM[PPGridRow],69),0))</f>
        <v/>
      </c>
      <c r="BR51">
        <f>SUMPRODUCT((M_BOM[RM_Code]=$A51)*M_BOM[RM_Qty_Per_Batch]*IFERROR(INDEX(PP_Grid[#Data],M_BOM[PPGridRow],70),0))</f>
        <v/>
      </c>
      <c r="BS51">
        <f>SUMPRODUCT((M_BOM[RM_Code]=$A51)*M_BOM[RM_Qty_Per_Batch]*IFERROR(INDEX(PP_Grid[#Data],M_BOM[PPGridRow],71),0))</f>
        <v/>
      </c>
      <c r="BT51">
        <f>SUMPRODUCT((M_BOM[RM_Code]=$A51)*M_BOM[RM_Qty_Per_Batch]*IFERROR(INDEX(PP_Grid[#Data],M_BOM[PPGridRow],72),0))</f>
        <v/>
      </c>
      <c r="BU51">
        <f>SUMPRODUCT((M_BOM[RM_Code]=$A51)*M_BOM[RM_Qty_Per_Batch]*IFERROR(INDEX(PP_Grid[#Data],M_BOM[PPGridRow],73),0))</f>
        <v/>
      </c>
      <c r="BV51">
        <f>SUMPRODUCT((M_BOM[RM_Code]=$A51)*M_BOM[RM_Qty_Per_Batch]*IFERROR(INDEX(PP_Grid[#Data],M_BOM[PPGridRow],74),0))</f>
        <v/>
      </c>
      <c r="BW51">
        <f>SUMPRODUCT((M_BOM[RM_Code]=$A51)*M_BOM[RM_Qty_Per_Batch]*IFERROR(INDEX(PP_Grid[#Data],M_BOM[PPGridRow],75),0))</f>
        <v/>
      </c>
      <c r="BX51">
        <f>SUMPRODUCT((M_BOM[RM_Code]=$A51)*M_BOM[RM_Qty_Per_Batch]*IFERROR(INDEX(PP_Grid[#Data],M_BOM[PPGridRow],76),0))</f>
        <v/>
      </c>
      <c r="BY51">
        <f>SUMPRODUCT((M_BOM[RM_Code]=$A51)*M_BOM[RM_Qty_Per_Batch]*IFERROR(INDEX(PP_Grid[#Data],M_BOM[PPGridRow],77),0))</f>
        <v/>
      </c>
      <c r="BZ51">
        <f>SUMPRODUCT((M_BOM[RM_Code]=$A51)*M_BOM[RM_Qty_Per_Batch]*IFERROR(INDEX(PP_Grid[#Data],M_BOM[PPGridRow],78),0))</f>
        <v/>
      </c>
      <c r="CA51">
        <f>SUMPRODUCT((M_BOM[RM_Code]=$A51)*M_BOM[RM_Qty_Per_Batch]*IFERROR(INDEX(PP_Grid[#Data],M_BOM[PPGridRow],79),0))</f>
        <v/>
      </c>
      <c r="CB51">
        <f>SUMPRODUCT((M_BOM[RM_Code]=$A51)*M_BOM[RM_Qty_Per_Batch]*IFERROR(INDEX(PP_Grid[#Data],M_BOM[PPGridRow],80),0))</f>
        <v/>
      </c>
      <c r="CC51">
        <f>SUMPRODUCT((M_BOM[RM_Code]=$A51)*M_BOM[RM_Qty_Per_Batch]*IFERROR(INDEX(PP_Grid[#Data],M_BOM[PPGridRow],81),0))</f>
        <v/>
      </c>
      <c r="CD51">
        <f>SUMPRODUCT((M_BOM[RM_Code]=$A51)*M_BOM[RM_Qty_Per_Batch]*IFERROR(INDEX(PP_Grid[#Data],M_BOM[PPGridRow],82),0))</f>
        <v/>
      </c>
      <c r="CE51">
        <f>SUMPRODUCT((M_BOM[RM_Code]=$A51)*M_BOM[RM_Qty_Per_Batch]*IFERROR(INDEX(PP_Grid[#Data],M_BOM[PPGridRow],83),0))</f>
        <v/>
      </c>
      <c r="CF51">
        <f>SUMPRODUCT((M_BOM[RM_Code]=$A51)*M_BOM[RM_Qty_Per_Batch]*IFERROR(INDEX(PP_Grid[#Data],M_BOM[PPGridRow],84),0))</f>
        <v/>
      </c>
      <c r="CG51">
        <f>SUMPRODUCT((M_BOM[RM_Code]=$A51)*M_BOM[RM_Qty_Per_Batch]*IFERROR(INDEX(PP_Grid[#Data],M_BOM[PPGridRow],85),0))</f>
        <v/>
      </c>
      <c r="CH51">
        <f>SUMPRODUCT((M_BOM[RM_Code]=$A51)*M_BOM[RM_Qty_Per_Batch]*IFERROR(INDEX(PP_Grid[#Data],M_BOM[PPGridRow],86),0))</f>
        <v/>
      </c>
      <c r="CI51">
        <f>SUMPRODUCT((M_BOM[RM_Code]=$A51)*M_BOM[RM_Qty_Per_Batch]*IFERROR(INDEX(PP_Grid[#Data],M_BOM[PPGridRow],87),0))</f>
        <v/>
      </c>
      <c r="CJ51">
        <f>SUMPRODUCT((M_BOM[RM_Code]=$A51)*M_BOM[RM_Qty_Per_Batch]*IFERROR(INDEX(PP_Grid[#Data],M_BOM[PPGridRow],88),0))</f>
        <v/>
      </c>
      <c r="CK51">
        <f>SUMPRODUCT((M_BOM[RM_Code]=$A51)*M_BOM[RM_Qty_Per_Batch]*IFERROR(INDEX(PP_Grid[#Data],M_BOM[PPGridRow],89),0))</f>
        <v/>
      </c>
      <c r="CL51">
        <f>SUMPRODUCT((M_BOM[RM_Code]=$A51)*M_BOM[RM_Qty_Per_Batch]*IFERROR(INDEX(PP_Grid[#Data],M_BOM[PPGridRow],90),0))</f>
        <v/>
      </c>
      <c r="CM51">
        <f>SUMPRODUCT((M_BOM[RM_Code]=$A51)*M_BOM[RM_Qty_Per_Batch]*IFERROR(INDEX(PP_Grid[#Data],M_BOM[PPGridRow],91),0))</f>
        <v/>
      </c>
      <c r="CN51">
        <f>SUMPRODUCT((M_BOM[RM_Code]=$A51)*M_BOM[RM_Qty_Per_Batch]*IFERROR(INDEX(PP_Grid[#Data],M_BOM[PPGridRow],92),0))</f>
        <v/>
      </c>
      <c r="CO51">
        <f>SUMPRODUCT((M_BOM[RM_Code]=$A51)*M_BOM[RM_Qty_Per_Batch]*IFERROR(INDEX(PP_Grid[#Data],M_BOM[PPGridRow],93),0))</f>
        <v/>
      </c>
      <c r="CP51">
        <f>SUMPRODUCT((M_BOM[RM_Code]=$A51)*M_BOM[RM_Qty_Per_Batch]*IFERROR(INDEX(PP_Grid[#Data],M_BOM[PPGridRow],94),0))</f>
        <v/>
      </c>
      <c r="CQ51">
        <f>SUMPRODUCT((M_BOM[RM_Code]=$A51)*M_BOM[RM_Qty_Per_Batch]*IFERROR(INDEX(PP_Grid[#Data],M_BOM[PPGridRow],95),0))</f>
        <v/>
      </c>
      <c r="CR51">
        <f>SUMPRODUCT((M_BOM[RM_Code]=$A51)*M_BOM[RM_Qty_Per_Batch]*IFERROR(INDEX(PP_Grid[#Data],M_BOM[PPGridRow],96),0))</f>
        <v/>
      </c>
      <c r="CS51">
        <f>SUMPRODUCT((M_BOM[RM_Code]=$A51)*M_BOM[RM_Qty_Per_Batch]*IFERROR(INDEX(PP_Grid[#Data],M_BOM[PPGridRow],97),0))</f>
        <v/>
      </c>
      <c r="CT51">
        <f>SUMPRODUCT((M_BOM[RM_Code]=$A51)*M_BOM[RM_Qty_Per_Batch]*IFERROR(INDEX(PP_Grid[#Data],M_BOM[PPGridRow],98),0))</f>
        <v/>
      </c>
      <c r="CU51">
        <f>SUMPRODUCT((M_BOM[RM_Code]=$A51)*M_BOM[RM_Qty_Per_Batch]*IFERROR(INDEX(PP_Grid[#Data],M_BOM[PPGridRow],99),0))</f>
        <v/>
      </c>
      <c r="CV51">
        <f>SUMPRODUCT((M_BOM[RM_Code]=$A51)*M_BOM[RM_Qty_Per_Batch]*IFERROR(INDEX(PP_Grid[#Data],M_BOM[PPGridRow],100),0))</f>
        <v/>
      </c>
      <c r="CW51">
        <f>SUMPRODUCT((M_BOM[RM_Code]=$A51)*M_BOM[RM_Qty_Per_Batch]*IFERROR(INDEX(PP_Grid[#Data],M_BOM[PPGridRow],101),0))</f>
        <v/>
      </c>
      <c r="CX51">
        <f>SUMPRODUCT((M_BOM[RM_Code]=$A51)*M_BOM[RM_Qty_Per_Batch]*IFERROR(INDEX(PP_Grid[#Data],M_BOM[PPGridRow],102),0))</f>
        <v/>
      </c>
      <c r="CY51">
        <f>SUMPRODUCT((M_BOM[RM_Code]=$A51)*M_BOM[RM_Qty_Per_Batch]*IFERROR(INDEX(PP_Grid[#Data],M_BOM[PPGridRow],103),0))</f>
        <v/>
      </c>
      <c r="CZ51">
        <f>SUMPRODUCT((M_BOM[RM_Code]=$A51)*M_BOM[RM_Qty_Per_Batch]*IFERROR(INDEX(PP_Grid[#Data],M_BOM[PPGridRow],104),0))</f>
        <v/>
      </c>
      <c r="DA51">
        <f>SUMPRODUCT((M_BOM[RM_Code]=$A51)*M_BOM[RM_Qty_Per_Batch]*IFERROR(INDEX(PP_Grid[#Data],M_BOM[PPGridRow],105),0))</f>
        <v/>
      </c>
    </row>
    <row r="52">
      <c r="A52" t="inlineStr">
        <is>
          <t>CHEM-1520</t>
        </is>
      </c>
      <c r="B52">
        <f>SUMPRODUCT((M_BOM[RM_Code]=$A52)*M_BOM[RM_Qty_Per_Batch]*IFERROR(INDEX(PP_Grid[#Data],M_BOM[PPGridRow],2),0))</f>
        <v/>
      </c>
      <c r="C52">
        <f>SUMPRODUCT((M_BOM[RM_Code]=$A52)*M_BOM[RM_Qty_Per_Batch]*IFERROR(INDEX(PP_Grid[#Data],M_BOM[PPGridRow],3),0))</f>
        <v/>
      </c>
      <c r="D52">
        <f>SUMPRODUCT((M_BOM[RM_Code]=$A52)*M_BOM[RM_Qty_Per_Batch]*IFERROR(INDEX(PP_Grid[#Data],M_BOM[PPGridRow],4),0))</f>
        <v/>
      </c>
      <c r="E52">
        <f>SUMPRODUCT((M_BOM[RM_Code]=$A52)*M_BOM[RM_Qty_Per_Batch]*IFERROR(INDEX(PP_Grid[#Data],M_BOM[PPGridRow],5),0))</f>
        <v/>
      </c>
      <c r="F52">
        <f>SUMPRODUCT((M_BOM[RM_Code]=$A52)*M_BOM[RM_Qty_Per_Batch]*IFERROR(INDEX(PP_Grid[#Data],M_BOM[PPGridRow],6),0))</f>
        <v/>
      </c>
      <c r="G52">
        <f>SUMPRODUCT((M_BOM[RM_Code]=$A52)*M_BOM[RM_Qty_Per_Batch]*IFERROR(INDEX(PP_Grid[#Data],M_BOM[PPGridRow],7),0))</f>
        <v/>
      </c>
      <c r="H52">
        <f>SUMPRODUCT((M_BOM[RM_Code]=$A52)*M_BOM[RM_Qty_Per_Batch]*IFERROR(INDEX(PP_Grid[#Data],M_BOM[PPGridRow],8),0))</f>
        <v/>
      </c>
      <c r="I52">
        <f>SUMPRODUCT((M_BOM[RM_Code]=$A52)*M_BOM[RM_Qty_Per_Batch]*IFERROR(INDEX(PP_Grid[#Data],M_BOM[PPGridRow],9),0))</f>
        <v/>
      </c>
      <c r="J52">
        <f>SUMPRODUCT((M_BOM[RM_Code]=$A52)*M_BOM[RM_Qty_Per_Batch]*IFERROR(INDEX(PP_Grid[#Data],M_BOM[PPGridRow],10),0))</f>
        <v/>
      </c>
      <c r="K52">
        <f>SUMPRODUCT((M_BOM[RM_Code]=$A52)*M_BOM[RM_Qty_Per_Batch]*IFERROR(INDEX(PP_Grid[#Data],M_BOM[PPGridRow],11),0))</f>
        <v/>
      </c>
      <c r="L52">
        <f>SUMPRODUCT((M_BOM[RM_Code]=$A52)*M_BOM[RM_Qty_Per_Batch]*IFERROR(INDEX(PP_Grid[#Data],M_BOM[PPGridRow],12),0))</f>
        <v/>
      </c>
      <c r="M52">
        <f>SUMPRODUCT((M_BOM[RM_Code]=$A52)*M_BOM[RM_Qty_Per_Batch]*IFERROR(INDEX(PP_Grid[#Data],M_BOM[PPGridRow],13),0))</f>
        <v/>
      </c>
      <c r="N52">
        <f>SUMPRODUCT((M_BOM[RM_Code]=$A52)*M_BOM[RM_Qty_Per_Batch]*IFERROR(INDEX(PP_Grid[#Data],M_BOM[PPGridRow],14),0))</f>
        <v/>
      </c>
      <c r="O52">
        <f>SUMPRODUCT((M_BOM[RM_Code]=$A52)*M_BOM[RM_Qty_Per_Batch]*IFERROR(INDEX(PP_Grid[#Data],M_BOM[PPGridRow],15),0))</f>
        <v/>
      </c>
      <c r="P52">
        <f>SUMPRODUCT((M_BOM[RM_Code]=$A52)*M_BOM[RM_Qty_Per_Batch]*IFERROR(INDEX(PP_Grid[#Data],M_BOM[PPGridRow],16),0))</f>
        <v/>
      </c>
      <c r="Q52">
        <f>SUMPRODUCT((M_BOM[RM_Code]=$A52)*M_BOM[RM_Qty_Per_Batch]*IFERROR(INDEX(PP_Grid[#Data],M_BOM[PPGridRow],17),0))</f>
        <v/>
      </c>
      <c r="R52">
        <f>SUMPRODUCT((M_BOM[RM_Code]=$A52)*M_BOM[RM_Qty_Per_Batch]*IFERROR(INDEX(PP_Grid[#Data],M_BOM[PPGridRow],18),0))</f>
        <v/>
      </c>
      <c r="S52">
        <f>SUMPRODUCT((M_BOM[RM_Code]=$A52)*M_BOM[RM_Qty_Per_Batch]*IFERROR(INDEX(PP_Grid[#Data],M_BOM[PPGridRow],19),0))</f>
        <v/>
      </c>
      <c r="T52">
        <f>SUMPRODUCT((M_BOM[RM_Code]=$A52)*M_BOM[RM_Qty_Per_Batch]*IFERROR(INDEX(PP_Grid[#Data],M_BOM[PPGridRow],20),0))</f>
        <v/>
      </c>
      <c r="U52">
        <f>SUMPRODUCT((M_BOM[RM_Code]=$A52)*M_BOM[RM_Qty_Per_Batch]*IFERROR(INDEX(PP_Grid[#Data],M_BOM[PPGridRow],21),0))</f>
        <v/>
      </c>
      <c r="V52">
        <f>SUMPRODUCT((M_BOM[RM_Code]=$A52)*M_BOM[RM_Qty_Per_Batch]*IFERROR(INDEX(PP_Grid[#Data],M_BOM[PPGridRow],22),0))</f>
        <v/>
      </c>
      <c r="W52">
        <f>SUMPRODUCT((M_BOM[RM_Code]=$A52)*M_BOM[RM_Qty_Per_Batch]*IFERROR(INDEX(PP_Grid[#Data],M_BOM[PPGridRow],23),0))</f>
        <v/>
      </c>
      <c r="X52">
        <f>SUMPRODUCT((M_BOM[RM_Code]=$A52)*M_BOM[RM_Qty_Per_Batch]*IFERROR(INDEX(PP_Grid[#Data],M_BOM[PPGridRow],24),0))</f>
        <v/>
      </c>
      <c r="Y52">
        <f>SUMPRODUCT((M_BOM[RM_Code]=$A52)*M_BOM[RM_Qty_Per_Batch]*IFERROR(INDEX(PP_Grid[#Data],M_BOM[PPGridRow],25),0))</f>
        <v/>
      </c>
      <c r="Z52">
        <f>SUMPRODUCT((M_BOM[RM_Code]=$A52)*M_BOM[RM_Qty_Per_Batch]*IFERROR(INDEX(PP_Grid[#Data],M_BOM[PPGridRow],26),0))</f>
        <v/>
      </c>
      <c r="AA52">
        <f>SUMPRODUCT((M_BOM[RM_Code]=$A52)*M_BOM[RM_Qty_Per_Batch]*IFERROR(INDEX(PP_Grid[#Data],M_BOM[PPGridRow],27),0))</f>
        <v/>
      </c>
      <c r="AB52">
        <f>SUMPRODUCT((M_BOM[RM_Code]=$A52)*M_BOM[RM_Qty_Per_Batch]*IFERROR(INDEX(PP_Grid[#Data],M_BOM[PPGridRow],28),0))</f>
        <v/>
      </c>
      <c r="AC52">
        <f>SUMPRODUCT((M_BOM[RM_Code]=$A52)*M_BOM[RM_Qty_Per_Batch]*IFERROR(INDEX(PP_Grid[#Data],M_BOM[PPGridRow],29),0))</f>
        <v/>
      </c>
      <c r="AD52">
        <f>SUMPRODUCT((M_BOM[RM_Code]=$A52)*M_BOM[RM_Qty_Per_Batch]*IFERROR(INDEX(PP_Grid[#Data],M_BOM[PPGridRow],30),0))</f>
        <v/>
      </c>
      <c r="AE52">
        <f>SUMPRODUCT((M_BOM[RM_Code]=$A52)*M_BOM[RM_Qty_Per_Batch]*IFERROR(INDEX(PP_Grid[#Data],M_BOM[PPGridRow],31),0))</f>
        <v/>
      </c>
      <c r="AF52">
        <f>SUMPRODUCT((M_BOM[RM_Code]=$A52)*M_BOM[RM_Qty_Per_Batch]*IFERROR(INDEX(PP_Grid[#Data],M_BOM[PPGridRow],32),0))</f>
        <v/>
      </c>
      <c r="AG52">
        <f>SUMPRODUCT((M_BOM[RM_Code]=$A52)*M_BOM[RM_Qty_Per_Batch]*IFERROR(INDEX(PP_Grid[#Data],M_BOM[PPGridRow],33),0))</f>
        <v/>
      </c>
      <c r="AH52">
        <f>SUMPRODUCT((M_BOM[RM_Code]=$A52)*M_BOM[RM_Qty_Per_Batch]*IFERROR(INDEX(PP_Grid[#Data],M_BOM[PPGridRow],34),0))</f>
        <v/>
      </c>
      <c r="AI52">
        <f>SUMPRODUCT((M_BOM[RM_Code]=$A52)*M_BOM[RM_Qty_Per_Batch]*IFERROR(INDEX(PP_Grid[#Data],M_BOM[PPGridRow],35),0))</f>
        <v/>
      </c>
      <c r="AJ52">
        <f>SUMPRODUCT((M_BOM[RM_Code]=$A52)*M_BOM[RM_Qty_Per_Batch]*IFERROR(INDEX(PP_Grid[#Data],M_BOM[PPGridRow],36),0))</f>
        <v/>
      </c>
      <c r="AK52">
        <f>SUMPRODUCT((M_BOM[RM_Code]=$A52)*M_BOM[RM_Qty_Per_Batch]*IFERROR(INDEX(PP_Grid[#Data],M_BOM[PPGridRow],37),0))</f>
        <v/>
      </c>
      <c r="AL52">
        <f>SUMPRODUCT((M_BOM[RM_Code]=$A52)*M_BOM[RM_Qty_Per_Batch]*IFERROR(INDEX(PP_Grid[#Data],M_BOM[PPGridRow],38),0))</f>
        <v/>
      </c>
      <c r="AM52">
        <f>SUMPRODUCT((M_BOM[RM_Code]=$A52)*M_BOM[RM_Qty_Per_Batch]*IFERROR(INDEX(PP_Grid[#Data],M_BOM[PPGridRow],39),0))</f>
        <v/>
      </c>
      <c r="AN52">
        <f>SUMPRODUCT((M_BOM[RM_Code]=$A52)*M_BOM[RM_Qty_Per_Batch]*IFERROR(INDEX(PP_Grid[#Data],M_BOM[PPGridRow],40),0))</f>
        <v/>
      </c>
      <c r="AO52">
        <f>SUMPRODUCT((M_BOM[RM_Code]=$A52)*M_BOM[RM_Qty_Per_Batch]*IFERROR(INDEX(PP_Grid[#Data],M_BOM[PPGridRow],41),0))</f>
        <v/>
      </c>
      <c r="AP52">
        <f>SUMPRODUCT((M_BOM[RM_Code]=$A52)*M_BOM[RM_Qty_Per_Batch]*IFERROR(INDEX(PP_Grid[#Data],M_BOM[PPGridRow],42),0))</f>
        <v/>
      </c>
      <c r="AQ52">
        <f>SUMPRODUCT((M_BOM[RM_Code]=$A52)*M_BOM[RM_Qty_Per_Batch]*IFERROR(INDEX(PP_Grid[#Data],M_BOM[PPGridRow],43),0))</f>
        <v/>
      </c>
      <c r="AR52">
        <f>SUMPRODUCT((M_BOM[RM_Code]=$A52)*M_BOM[RM_Qty_Per_Batch]*IFERROR(INDEX(PP_Grid[#Data],M_BOM[PPGridRow],44),0))</f>
        <v/>
      </c>
      <c r="AS52">
        <f>SUMPRODUCT((M_BOM[RM_Code]=$A52)*M_BOM[RM_Qty_Per_Batch]*IFERROR(INDEX(PP_Grid[#Data],M_BOM[PPGridRow],45),0))</f>
        <v/>
      </c>
      <c r="AT52">
        <f>SUMPRODUCT((M_BOM[RM_Code]=$A52)*M_BOM[RM_Qty_Per_Batch]*IFERROR(INDEX(PP_Grid[#Data],M_BOM[PPGridRow],46),0))</f>
        <v/>
      </c>
      <c r="AU52">
        <f>SUMPRODUCT((M_BOM[RM_Code]=$A52)*M_BOM[RM_Qty_Per_Batch]*IFERROR(INDEX(PP_Grid[#Data],M_BOM[PPGridRow],47),0))</f>
        <v/>
      </c>
      <c r="AV52">
        <f>SUMPRODUCT((M_BOM[RM_Code]=$A52)*M_BOM[RM_Qty_Per_Batch]*IFERROR(INDEX(PP_Grid[#Data],M_BOM[PPGridRow],48),0))</f>
        <v/>
      </c>
      <c r="AW52">
        <f>SUMPRODUCT((M_BOM[RM_Code]=$A52)*M_BOM[RM_Qty_Per_Batch]*IFERROR(INDEX(PP_Grid[#Data],M_BOM[PPGridRow],49),0))</f>
        <v/>
      </c>
      <c r="AX52">
        <f>SUMPRODUCT((M_BOM[RM_Code]=$A52)*M_BOM[RM_Qty_Per_Batch]*IFERROR(INDEX(PP_Grid[#Data],M_BOM[PPGridRow],50),0))</f>
        <v/>
      </c>
      <c r="AY52">
        <f>SUMPRODUCT((M_BOM[RM_Code]=$A52)*M_BOM[RM_Qty_Per_Batch]*IFERROR(INDEX(PP_Grid[#Data],M_BOM[PPGridRow],51),0))</f>
        <v/>
      </c>
      <c r="AZ52">
        <f>SUMPRODUCT((M_BOM[RM_Code]=$A52)*M_BOM[RM_Qty_Per_Batch]*IFERROR(INDEX(PP_Grid[#Data],M_BOM[PPGridRow],52),0))</f>
        <v/>
      </c>
      <c r="BA52">
        <f>SUMPRODUCT((M_BOM[RM_Code]=$A52)*M_BOM[RM_Qty_Per_Batch]*IFERROR(INDEX(PP_Grid[#Data],M_BOM[PPGridRow],53),0))</f>
        <v/>
      </c>
      <c r="BB52">
        <f>SUMPRODUCT((M_BOM[RM_Code]=$A52)*M_BOM[RM_Qty_Per_Batch]*IFERROR(INDEX(PP_Grid[#Data],M_BOM[PPGridRow],54),0))</f>
        <v/>
      </c>
      <c r="BC52">
        <f>SUMPRODUCT((M_BOM[RM_Code]=$A52)*M_BOM[RM_Qty_Per_Batch]*IFERROR(INDEX(PP_Grid[#Data],M_BOM[PPGridRow],55),0))</f>
        <v/>
      </c>
      <c r="BD52">
        <f>SUMPRODUCT((M_BOM[RM_Code]=$A52)*M_BOM[RM_Qty_Per_Batch]*IFERROR(INDEX(PP_Grid[#Data],M_BOM[PPGridRow],56),0))</f>
        <v/>
      </c>
      <c r="BE52">
        <f>SUMPRODUCT((M_BOM[RM_Code]=$A52)*M_BOM[RM_Qty_Per_Batch]*IFERROR(INDEX(PP_Grid[#Data],M_BOM[PPGridRow],57),0))</f>
        <v/>
      </c>
      <c r="BF52">
        <f>SUMPRODUCT((M_BOM[RM_Code]=$A52)*M_BOM[RM_Qty_Per_Batch]*IFERROR(INDEX(PP_Grid[#Data],M_BOM[PPGridRow],58),0))</f>
        <v/>
      </c>
      <c r="BG52">
        <f>SUMPRODUCT((M_BOM[RM_Code]=$A52)*M_BOM[RM_Qty_Per_Batch]*IFERROR(INDEX(PP_Grid[#Data],M_BOM[PPGridRow],59),0))</f>
        <v/>
      </c>
      <c r="BH52">
        <f>SUMPRODUCT((M_BOM[RM_Code]=$A52)*M_BOM[RM_Qty_Per_Batch]*IFERROR(INDEX(PP_Grid[#Data],M_BOM[PPGridRow],60),0))</f>
        <v/>
      </c>
      <c r="BI52">
        <f>SUMPRODUCT((M_BOM[RM_Code]=$A52)*M_BOM[RM_Qty_Per_Batch]*IFERROR(INDEX(PP_Grid[#Data],M_BOM[PPGridRow],61),0))</f>
        <v/>
      </c>
      <c r="BJ52">
        <f>SUMPRODUCT((M_BOM[RM_Code]=$A52)*M_BOM[RM_Qty_Per_Batch]*IFERROR(INDEX(PP_Grid[#Data],M_BOM[PPGridRow],62),0))</f>
        <v/>
      </c>
      <c r="BK52">
        <f>SUMPRODUCT((M_BOM[RM_Code]=$A52)*M_BOM[RM_Qty_Per_Batch]*IFERROR(INDEX(PP_Grid[#Data],M_BOM[PPGridRow],63),0))</f>
        <v/>
      </c>
      <c r="BL52">
        <f>SUMPRODUCT((M_BOM[RM_Code]=$A52)*M_BOM[RM_Qty_Per_Batch]*IFERROR(INDEX(PP_Grid[#Data],M_BOM[PPGridRow],64),0))</f>
        <v/>
      </c>
      <c r="BM52">
        <f>SUMPRODUCT((M_BOM[RM_Code]=$A52)*M_BOM[RM_Qty_Per_Batch]*IFERROR(INDEX(PP_Grid[#Data],M_BOM[PPGridRow],65),0))</f>
        <v/>
      </c>
      <c r="BN52">
        <f>SUMPRODUCT((M_BOM[RM_Code]=$A52)*M_BOM[RM_Qty_Per_Batch]*IFERROR(INDEX(PP_Grid[#Data],M_BOM[PPGridRow],66),0))</f>
        <v/>
      </c>
      <c r="BO52">
        <f>SUMPRODUCT((M_BOM[RM_Code]=$A52)*M_BOM[RM_Qty_Per_Batch]*IFERROR(INDEX(PP_Grid[#Data],M_BOM[PPGridRow],67),0))</f>
        <v/>
      </c>
      <c r="BP52">
        <f>SUMPRODUCT((M_BOM[RM_Code]=$A52)*M_BOM[RM_Qty_Per_Batch]*IFERROR(INDEX(PP_Grid[#Data],M_BOM[PPGridRow],68),0))</f>
        <v/>
      </c>
      <c r="BQ52">
        <f>SUMPRODUCT((M_BOM[RM_Code]=$A52)*M_BOM[RM_Qty_Per_Batch]*IFERROR(INDEX(PP_Grid[#Data],M_BOM[PPGridRow],69),0))</f>
        <v/>
      </c>
      <c r="BR52">
        <f>SUMPRODUCT((M_BOM[RM_Code]=$A52)*M_BOM[RM_Qty_Per_Batch]*IFERROR(INDEX(PP_Grid[#Data],M_BOM[PPGridRow],70),0))</f>
        <v/>
      </c>
      <c r="BS52">
        <f>SUMPRODUCT((M_BOM[RM_Code]=$A52)*M_BOM[RM_Qty_Per_Batch]*IFERROR(INDEX(PP_Grid[#Data],M_BOM[PPGridRow],71),0))</f>
        <v/>
      </c>
      <c r="BT52">
        <f>SUMPRODUCT((M_BOM[RM_Code]=$A52)*M_BOM[RM_Qty_Per_Batch]*IFERROR(INDEX(PP_Grid[#Data],M_BOM[PPGridRow],72),0))</f>
        <v/>
      </c>
      <c r="BU52">
        <f>SUMPRODUCT((M_BOM[RM_Code]=$A52)*M_BOM[RM_Qty_Per_Batch]*IFERROR(INDEX(PP_Grid[#Data],M_BOM[PPGridRow],73),0))</f>
        <v/>
      </c>
      <c r="BV52">
        <f>SUMPRODUCT((M_BOM[RM_Code]=$A52)*M_BOM[RM_Qty_Per_Batch]*IFERROR(INDEX(PP_Grid[#Data],M_BOM[PPGridRow],74),0))</f>
        <v/>
      </c>
      <c r="BW52">
        <f>SUMPRODUCT((M_BOM[RM_Code]=$A52)*M_BOM[RM_Qty_Per_Batch]*IFERROR(INDEX(PP_Grid[#Data],M_BOM[PPGridRow],75),0))</f>
        <v/>
      </c>
      <c r="BX52">
        <f>SUMPRODUCT((M_BOM[RM_Code]=$A52)*M_BOM[RM_Qty_Per_Batch]*IFERROR(INDEX(PP_Grid[#Data],M_BOM[PPGridRow],76),0))</f>
        <v/>
      </c>
      <c r="BY52">
        <f>SUMPRODUCT((M_BOM[RM_Code]=$A52)*M_BOM[RM_Qty_Per_Batch]*IFERROR(INDEX(PP_Grid[#Data],M_BOM[PPGridRow],77),0))</f>
        <v/>
      </c>
      <c r="BZ52">
        <f>SUMPRODUCT((M_BOM[RM_Code]=$A52)*M_BOM[RM_Qty_Per_Batch]*IFERROR(INDEX(PP_Grid[#Data],M_BOM[PPGridRow],78),0))</f>
        <v/>
      </c>
      <c r="CA52">
        <f>SUMPRODUCT((M_BOM[RM_Code]=$A52)*M_BOM[RM_Qty_Per_Batch]*IFERROR(INDEX(PP_Grid[#Data],M_BOM[PPGridRow],79),0))</f>
        <v/>
      </c>
      <c r="CB52">
        <f>SUMPRODUCT((M_BOM[RM_Code]=$A52)*M_BOM[RM_Qty_Per_Batch]*IFERROR(INDEX(PP_Grid[#Data],M_BOM[PPGridRow],80),0))</f>
        <v/>
      </c>
      <c r="CC52">
        <f>SUMPRODUCT((M_BOM[RM_Code]=$A52)*M_BOM[RM_Qty_Per_Batch]*IFERROR(INDEX(PP_Grid[#Data],M_BOM[PPGridRow],81),0))</f>
        <v/>
      </c>
      <c r="CD52">
        <f>SUMPRODUCT((M_BOM[RM_Code]=$A52)*M_BOM[RM_Qty_Per_Batch]*IFERROR(INDEX(PP_Grid[#Data],M_BOM[PPGridRow],82),0))</f>
        <v/>
      </c>
      <c r="CE52">
        <f>SUMPRODUCT((M_BOM[RM_Code]=$A52)*M_BOM[RM_Qty_Per_Batch]*IFERROR(INDEX(PP_Grid[#Data],M_BOM[PPGridRow],83),0))</f>
        <v/>
      </c>
      <c r="CF52">
        <f>SUMPRODUCT((M_BOM[RM_Code]=$A52)*M_BOM[RM_Qty_Per_Batch]*IFERROR(INDEX(PP_Grid[#Data],M_BOM[PPGridRow],84),0))</f>
        <v/>
      </c>
      <c r="CG52">
        <f>SUMPRODUCT((M_BOM[RM_Code]=$A52)*M_BOM[RM_Qty_Per_Batch]*IFERROR(INDEX(PP_Grid[#Data],M_BOM[PPGridRow],85),0))</f>
        <v/>
      </c>
      <c r="CH52">
        <f>SUMPRODUCT((M_BOM[RM_Code]=$A52)*M_BOM[RM_Qty_Per_Batch]*IFERROR(INDEX(PP_Grid[#Data],M_BOM[PPGridRow],86),0))</f>
        <v/>
      </c>
      <c r="CI52">
        <f>SUMPRODUCT((M_BOM[RM_Code]=$A52)*M_BOM[RM_Qty_Per_Batch]*IFERROR(INDEX(PP_Grid[#Data],M_BOM[PPGridRow],87),0))</f>
        <v/>
      </c>
      <c r="CJ52">
        <f>SUMPRODUCT((M_BOM[RM_Code]=$A52)*M_BOM[RM_Qty_Per_Batch]*IFERROR(INDEX(PP_Grid[#Data],M_BOM[PPGridRow],88),0))</f>
        <v/>
      </c>
      <c r="CK52">
        <f>SUMPRODUCT((M_BOM[RM_Code]=$A52)*M_BOM[RM_Qty_Per_Batch]*IFERROR(INDEX(PP_Grid[#Data],M_BOM[PPGridRow],89),0))</f>
        <v/>
      </c>
      <c r="CL52">
        <f>SUMPRODUCT((M_BOM[RM_Code]=$A52)*M_BOM[RM_Qty_Per_Batch]*IFERROR(INDEX(PP_Grid[#Data],M_BOM[PPGridRow],90),0))</f>
        <v/>
      </c>
      <c r="CM52">
        <f>SUMPRODUCT((M_BOM[RM_Code]=$A52)*M_BOM[RM_Qty_Per_Batch]*IFERROR(INDEX(PP_Grid[#Data],M_BOM[PPGridRow],91),0))</f>
        <v/>
      </c>
      <c r="CN52">
        <f>SUMPRODUCT((M_BOM[RM_Code]=$A52)*M_BOM[RM_Qty_Per_Batch]*IFERROR(INDEX(PP_Grid[#Data],M_BOM[PPGridRow],92),0))</f>
        <v/>
      </c>
      <c r="CO52">
        <f>SUMPRODUCT((M_BOM[RM_Code]=$A52)*M_BOM[RM_Qty_Per_Batch]*IFERROR(INDEX(PP_Grid[#Data],M_BOM[PPGridRow],93),0))</f>
        <v/>
      </c>
      <c r="CP52">
        <f>SUMPRODUCT((M_BOM[RM_Code]=$A52)*M_BOM[RM_Qty_Per_Batch]*IFERROR(INDEX(PP_Grid[#Data],M_BOM[PPGridRow],94),0))</f>
        <v/>
      </c>
      <c r="CQ52">
        <f>SUMPRODUCT((M_BOM[RM_Code]=$A52)*M_BOM[RM_Qty_Per_Batch]*IFERROR(INDEX(PP_Grid[#Data],M_BOM[PPGridRow],95),0))</f>
        <v/>
      </c>
      <c r="CR52">
        <f>SUMPRODUCT((M_BOM[RM_Code]=$A52)*M_BOM[RM_Qty_Per_Batch]*IFERROR(INDEX(PP_Grid[#Data],M_BOM[PPGridRow],96),0))</f>
        <v/>
      </c>
      <c r="CS52">
        <f>SUMPRODUCT((M_BOM[RM_Code]=$A52)*M_BOM[RM_Qty_Per_Batch]*IFERROR(INDEX(PP_Grid[#Data],M_BOM[PPGridRow],97),0))</f>
        <v/>
      </c>
      <c r="CT52">
        <f>SUMPRODUCT((M_BOM[RM_Code]=$A52)*M_BOM[RM_Qty_Per_Batch]*IFERROR(INDEX(PP_Grid[#Data],M_BOM[PPGridRow],98),0))</f>
        <v/>
      </c>
      <c r="CU52">
        <f>SUMPRODUCT((M_BOM[RM_Code]=$A52)*M_BOM[RM_Qty_Per_Batch]*IFERROR(INDEX(PP_Grid[#Data],M_BOM[PPGridRow],99),0))</f>
        <v/>
      </c>
      <c r="CV52">
        <f>SUMPRODUCT((M_BOM[RM_Code]=$A52)*M_BOM[RM_Qty_Per_Batch]*IFERROR(INDEX(PP_Grid[#Data],M_BOM[PPGridRow],100),0))</f>
        <v/>
      </c>
      <c r="CW52">
        <f>SUMPRODUCT((M_BOM[RM_Code]=$A52)*M_BOM[RM_Qty_Per_Batch]*IFERROR(INDEX(PP_Grid[#Data],M_BOM[PPGridRow],101),0))</f>
        <v/>
      </c>
      <c r="CX52">
        <f>SUMPRODUCT((M_BOM[RM_Code]=$A52)*M_BOM[RM_Qty_Per_Batch]*IFERROR(INDEX(PP_Grid[#Data],M_BOM[PPGridRow],102),0))</f>
        <v/>
      </c>
      <c r="CY52">
        <f>SUMPRODUCT((M_BOM[RM_Code]=$A52)*M_BOM[RM_Qty_Per_Batch]*IFERROR(INDEX(PP_Grid[#Data],M_BOM[PPGridRow],103),0))</f>
        <v/>
      </c>
      <c r="CZ52">
        <f>SUMPRODUCT((M_BOM[RM_Code]=$A52)*M_BOM[RM_Qty_Per_Batch]*IFERROR(INDEX(PP_Grid[#Data],M_BOM[PPGridRow],104),0))</f>
        <v/>
      </c>
      <c r="DA52">
        <f>SUMPRODUCT((M_BOM[RM_Code]=$A52)*M_BOM[RM_Qty_Per_Batch]*IFERROR(INDEX(PP_Grid[#Data],M_BOM[PPGridRow],105),0))</f>
        <v/>
      </c>
    </row>
    <row r="53">
      <c r="A53" t="inlineStr">
        <is>
          <t>CHEM-1580</t>
        </is>
      </c>
      <c r="B53">
        <f>SUMPRODUCT((M_BOM[RM_Code]=$A53)*M_BOM[RM_Qty_Per_Batch]*IFERROR(INDEX(PP_Grid[#Data],M_BOM[PPGridRow],2),0))</f>
        <v/>
      </c>
      <c r="C53">
        <f>SUMPRODUCT((M_BOM[RM_Code]=$A53)*M_BOM[RM_Qty_Per_Batch]*IFERROR(INDEX(PP_Grid[#Data],M_BOM[PPGridRow],3),0))</f>
        <v/>
      </c>
      <c r="D53">
        <f>SUMPRODUCT((M_BOM[RM_Code]=$A53)*M_BOM[RM_Qty_Per_Batch]*IFERROR(INDEX(PP_Grid[#Data],M_BOM[PPGridRow],4),0))</f>
        <v/>
      </c>
      <c r="E53">
        <f>SUMPRODUCT((M_BOM[RM_Code]=$A53)*M_BOM[RM_Qty_Per_Batch]*IFERROR(INDEX(PP_Grid[#Data],M_BOM[PPGridRow],5),0))</f>
        <v/>
      </c>
      <c r="F53">
        <f>SUMPRODUCT((M_BOM[RM_Code]=$A53)*M_BOM[RM_Qty_Per_Batch]*IFERROR(INDEX(PP_Grid[#Data],M_BOM[PPGridRow],6),0))</f>
        <v/>
      </c>
      <c r="G53">
        <f>SUMPRODUCT((M_BOM[RM_Code]=$A53)*M_BOM[RM_Qty_Per_Batch]*IFERROR(INDEX(PP_Grid[#Data],M_BOM[PPGridRow],7),0))</f>
        <v/>
      </c>
      <c r="H53">
        <f>SUMPRODUCT((M_BOM[RM_Code]=$A53)*M_BOM[RM_Qty_Per_Batch]*IFERROR(INDEX(PP_Grid[#Data],M_BOM[PPGridRow],8),0))</f>
        <v/>
      </c>
      <c r="I53">
        <f>SUMPRODUCT((M_BOM[RM_Code]=$A53)*M_BOM[RM_Qty_Per_Batch]*IFERROR(INDEX(PP_Grid[#Data],M_BOM[PPGridRow],9),0))</f>
        <v/>
      </c>
      <c r="J53">
        <f>SUMPRODUCT((M_BOM[RM_Code]=$A53)*M_BOM[RM_Qty_Per_Batch]*IFERROR(INDEX(PP_Grid[#Data],M_BOM[PPGridRow],10),0))</f>
        <v/>
      </c>
      <c r="K53">
        <f>SUMPRODUCT((M_BOM[RM_Code]=$A53)*M_BOM[RM_Qty_Per_Batch]*IFERROR(INDEX(PP_Grid[#Data],M_BOM[PPGridRow],11),0))</f>
        <v/>
      </c>
      <c r="L53">
        <f>SUMPRODUCT((M_BOM[RM_Code]=$A53)*M_BOM[RM_Qty_Per_Batch]*IFERROR(INDEX(PP_Grid[#Data],M_BOM[PPGridRow],12),0))</f>
        <v/>
      </c>
      <c r="M53">
        <f>SUMPRODUCT((M_BOM[RM_Code]=$A53)*M_BOM[RM_Qty_Per_Batch]*IFERROR(INDEX(PP_Grid[#Data],M_BOM[PPGridRow],13),0))</f>
        <v/>
      </c>
      <c r="N53">
        <f>SUMPRODUCT((M_BOM[RM_Code]=$A53)*M_BOM[RM_Qty_Per_Batch]*IFERROR(INDEX(PP_Grid[#Data],M_BOM[PPGridRow],14),0))</f>
        <v/>
      </c>
      <c r="O53">
        <f>SUMPRODUCT((M_BOM[RM_Code]=$A53)*M_BOM[RM_Qty_Per_Batch]*IFERROR(INDEX(PP_Grid[#Data],M_BOM[PPGridRow],15),0))</f>
        <v/>
      </c>
      <c r="P53">
        <f>SUMPRODUCT((M_BOM[RM_Code]=$A53)*M_BOM[RM_Qty_Per_Batch]*IFERROR(INDEX(PP_Grid[#Data],M_BOM[PPGridRow],16),0))</f>
        <v/>
      </c>
      <c r="Q53">
        <f>SUMPRODUCT((M_BOM[RM_Code]=$A53)*M_BOM[RM_Qty_Per_Batch]*IFERROR(INDEX(PP_Grid[#Data],M_BOM[PPGridRow],17),0))</f>
        <v/>
      </c>
      <c r="R53">
        <f>SUMPRODUCT((M_BOM[RM_Code]=$A53)*M_BOM[RM_Qty_Per_Batch]*IFERROR(INDEX(PP_Grid[#Data],M_BOM[PPGridRow],18),0))</f>
        <v/>
      </c>
      <c r="S53">
        <f>SUMPRODUCT((M_BOM[RM_Code]=$A53)*M_BOM[RM_Qty_Per_Batch]*IFERROR(INDEX(PP_Grid[#Data],M_BOM[PPGridRow],19),0))</f>
        <v/>
      </c>
      <c r="T53">
        <f>SUMPRODUCT((M_BOM[RM_Code]=$A53)*M_BOM[RM_Qty_Per_Batch]*IFERROR(INDEX(PP_Grid[#Data],M_BOM[PPGridRow],20),0))</f>
        <v/>
      </c>
      <c r="U53">
        <f>SUMPRODUCT((M_BOM[RM_Code]=$A53)*M_BOM[RM_Qty_Per_Batch]*IFERROR(INDEX(PP_Grid[#Data],M_BOM[PPGridRow],21),0))</f>
        <v/>
      </c>
      <c r="V53">
        <f>SUMPRODUCT((M_BOM[RM_Code]=$A53)*M_BOM[RM_Qty_Per_Batch]*IFERROR(INDEX(PP_Grid[#Data],M_BOM[PPGridRow],22),0))</f>
        <v/>
      </c>
      <c r="W53">
        <f>SUMPRODUCT((M_BOM[RM_Code]=$A53)*M_BOM[RM_Qty_Per_Batch]*IFERROR(INDEX(PP_Grid[#Data],M_BOM[PPGridRow],23),0))</f>
        <v/>
      </c>
      <c r="X53">
        <f>SUMPRODUCT((M_BOM[RM_Code]=$A53)*M_BOM[RM_Qty_Per_Batch]*IFERROR(INDEX(PP_Grid[#Data],M_BOM[PPGridRow],24),0))</f>
        <v/>
      </c>
      <c r="Y53">
        <f>SUMPRODUCT((M_BOM[RM_Code]=$A53)*M_BOM[RM_Qty_Per_Batch]*IFERROR(INDEX(PP_Grid[#Data],M_BOM[PPGridRow],25),0))</f>
        <v/>
      </c>
      <c r="Z53">
        <f>SUMPRODUCT((M_BOM[RM_Code]=$A53)*M_BOM[RM_Qty_Per_Batch]*IFERROR(INDEX(PP_Grid[#Data],M_BOM[PPGridRow],26),0))</f>
        <v/>
      </c>
      <c r="AA53">
        <f>SUMPRODUCT((M_BOM[RM_Code]=$A53)*M_BOM[RM_Qty_Per_Batch]*IFERROR(INDEX(PP_Grid[#Data],M_BOM[PPGridRow],27),0))</f>
        <v/>
      </c>
      <c r="AB53">
        <f>SUMPRODUCT((M_BOM[RM_Code]=$A53)*M_BOM[RM_Qty_Per_Batch]*IFERROR(INDEX(PP_Grid[#Data],M_BOM[PPGridRow],28),0))</f>
        <v/>
      </c>
      <c r="AC53">
        <f>SUMPRODUCT((M_BOM[RM_Code]=$A53)*M_BOM[RM_Qty_Per_Batch]*IFERROR(INDEX(PP_Grid[#Data],M_BOM[PPGridRow],29),0))</f>
        <v/>
      </c>
      <c r="AD53">
        <f>SUMPRODUCT((M_BOM[RM_Code]=$A53)*M_BOM[RM_Qty_Per_Batch]*IFERROR(INDEX(PP_Grid[#Data],M_BOM[PPGridRow],30),0))</f>
        <v/>
      </c>
      <c r="AE53">
        <f>SUMPRODUCT((M_BOM[RM_Code]=$A53)*M_BOM[RM_Qty_Per_Batch]*IFERROR(INDEX(PP_Grid[#Data],M_BOM[PPGridRow],31),0))</f>
        <v/>
      </c>
      <c r="AF53">
        <f>SUMPRODUCT((M_BOM[RM_Code]=$A53)*M_BOM[RM_Qty_Per_Batch]*IFERROR(INDEX(PP_Grid[#Data],M_BOM[PPGridRow],32),0))</f>
        <v/>
      </c>
      <c r="AG53">
        <f>SUMPRODUCT((M_BOM[RM_Code]=$A53)*M_BOM[RM_Qty_Per_Batch]*IFERROR(INDEX(PP_Grid[#Data],M_BOM[PPGridRow],33),0))</f>
        <v/>
      </c>
      <c r="AH53">
        <f>SUMPRODUCT((M_BOM[RM_Code]=$A53)*M_BOM[RM_Qty_Per_Batch]*IFERROR(INDEX(PP_Grid[#Data],M_BOM[PPGridRow],34),0))</f>
        <v/>
      </c>
      <c r="AI53">
        <f>SUMPRODUCT((M_BOM[RM_Code]=$A53)*M_BOM[RM_Qty_Per_Batch]*IFERROR(INDEX(PP_Grid[#Data],M_BOM[PPGridRow],35),0))</f>
        <v/>
      </c>
      <c r="AJ53">
        <f>SUMPRODUCT((M_BOM[RM_Code]=$A53)*M_BOM[RM_Qty_Per_Batch]*IFERROR(INDEX(PP_Grid[#Data],M_BOM[PPGridRow],36),0))</f>
        <v/>
      </c>
      <c r="AK53">
        <f>SUMPRODUCT((M_BOM[RM_Code]=$A53)*M_BOM[RM_Qty_Per_Batch]*IFERROR(INDEX(PP_Grid[#Data],M_BOM[PPGridRow],37),0))</f>
        <v/>
      </c>
      <c r="AL53">
        <f>SUMPRODUCT((M_BOM[RM_Code]=$A53)*M_BOM[RM_Qty_Per_Batch]*IFERROR(INDEX(PP_Grid[#Data],M_BOM[PPGridRow],38),0))</f>
        <v/>
      </c>
      <c r="AM53">
        <f>SUMPRODUCT((M_BOM[RM_Code]=$A53)*M_BOM[RM_Qty_Per_Batch]*IFERROR(INDEX(PP_Grid[#Data],M_BOM[PPGridRow],39),0))</f>
        <v/>
      </c>
      <c r="AN53">
        <f>SUMPRODUCT((M_BOM[RM_Code]=$A53)*M_BOM[RM_Qty_Per_Batch]*IFERROR(INDEX(PP_Grid[#Data],M_BOM[PPGridRow],40),0))</f>
        <v/>
      </c>
      <c r="AO53">
        <f>SUMPRODUCT((M_BOM[RM_Code]=$A53)*M_BOM[RM_Qty_Per_Batch]*IFERROR(INDEX(PP_Grid[#Data],M_BOM[PPGridRow],41),0))</f>
        <v/>
      </c>
      <c r="AP53">
        <f>SUMPRODUCT((M_BOM[RM_Code]=$A53)*M_BOM[RM_Qty_Per_Batch]*IFERROR(INDEX(PP_Grid[#Data],M_BOM[PPGridRow],42),0))</f>
        <v/>
      </c>
      <c r="AQ53">
        <f>SUMPRODUCT((M_BOM[RM_Code]=$A53)*M_BOM[RM_Qty_Per_Batch]*IFERROR(INDEX(PP_Grid[#Data],M_BOM[PPGridRow],43),0))</f>
        <v/>
      </c>
      <c r="AR53">
        <f>SUMPRODUCT((M_BOM[RM_Code]=$A53)*M_BOM[RM_Qty_Per_Batch]*IFERROR(INDEX(PP_Grid[#Data],M_BOM[PPGridRow],44),0))</f>
        <v/>
      </c>
      <c r="AS53">
        <f>SUMPRODUCT((M_BOM[RM_Code]=$A53)*M_BOM[RM_Qty_Per_Batch]*IFERROR(INDEX(PP_Grid[#Data],M_BOM[PPGridRow],45),0))</f>
        <v/>
      </c>
      <c r="AT53">
        <f>SUMPRODUCT((M_BOM[RM_Code]=$A53)*M_BOM[RM_Qty_Per_Batch]*IFERROR(INDEX(PP_Grid[#Data],M_BOM[PPGridRow],46),0))</f>
        <v/>
      </c>
      <c r="AU53">
        <f>SUMPRODUCT((M_BOM[RM_Code]=$A53)*M_BOM[RM_Qty_Per_Batch]*IFERROR(INDEX(PP_Grid[#Data],M_BOM[PPGridRow],47),0))</f>
        <v/>
      </c>
      <c r="AV53">
        <f>SUMPRODUCT((M_BOM[RM_Code]=$A53)*M_BOM[RM_Qty_Per_Batch]*IFERROR(INDEX(PP_Grid[#Data],M_BOM[PPGridRow],48),0))</f>
        <v/>
      </c>
      <c r="AW53">
        <f>SUMPRODUCT((M_BOM[RM_Code]=$A53)*M_BOM[RM_Qty_Per_Batch]*IFERROR(INDEX(PP_Grid[#Data],M_BOM[PPGridRow],49),0))</f>
        <v/>
      </c>
      <c r="AX53">
        <f>SUMPRODUCT((M_BOM[RM_Code]=$A53)*M_BOM[RM_Qty_Per_Batch]*IFERROR(INDEX(PP_Grid[#Data],M_BOM[PPGridRow],50),0))</f>
        <v/>
      </c>
      <c r="AY53">
        <f>SUMPRODUCT((M_BOM[RM_Code]=$A53)*M_BOM[RM_Qty_Per_Batch]*IFERROR(INDEX(PP_Grid[#Data],M_BOM[PPGridRow],51),0))</f>
        <v/>
      </c>
      <c r="AZ53">
        <f>SUMPRODUCT((M_BOM[RM_Code]=$A53)*M_BOM[RM_Qty_Per_Batch]*IFERROR(INDEX(PP_Grid[#Data],M_BOM[PPGridRow],52),0))</f>
        <v/>
      </c>
      <c r="BA53">
        <f>SUMPRODUCT((M_BOM[RM_Code]=$A53)*M_BOM[RM_Qty_Per_Batch]*IFERROR(INDEX(PP_Grid[#Data],M_BOM[PPGridRow],53),0))</f>
        <v/>
      </c>
      <c r="BB53">
        <f>SUMPRODUCT((M_BOM[RM_Code]=$A53)*M_BOM[RM_Qty_Per_Batch]*IFERROR(INDEX(PP_Grid[#Data],M_BOM[PPGridRow],54),0))</f>
        <v/>
      </c>
      <c r="BC53">
        <f>SUMPRODUCT((M_BOM[RM_Code]=$A53)*M_BOM[RM_Qty_Per_Batch]*IFERROR(INDEX(PP_Grid[#Data],M_BOM[PPGridRow],55),0))</f>
        <v/>
      </c>
      <c r="BD53">
        <f>SUMPRODUCT((M_BOM[RM_Code]=$A53)*M_BOM[RM_Qty_Per_Batch]*IFERROR(INDEX(PP_Grid[#Data],M_BOM[PPGridRow],56),0))</f>
        <v/>
      </c>
      <c r="BE53">
        <f>SUMPRODUCT((M_BOM[RM_Code]=$A53)*M_BOM[RM_Qty_Per_Batch]*IFERROR(INDEX(PP_Grid[#Data],M_BOM[PPGridRow],57),0))</f>
        <v/>
      </c>
      <c r="BF53">
        <f>SUMPRODUCT((M_BOM[RM_Code]=$A53)*M_BOM[RM_Qty_Per_Batch]*IFERROR(INDEX(PP_Grid[#Data],M_BOM[PPGridRow],58),0))</f>
        <v/>
      </c>
      <c r="BG53">
        <f>SUMPRODUCT((M_BOM[RM_Code]=$A53)*M_BOM[RM_Qty_Per_Batch]*IFERROR(INDEX(PP_Grid[#Data],M_BOM[PPGridRow],59),0))</f>
        <v/>
      </c>
      <c r="BH53">
        <f>SUMPRODUCT((M_BOM[RM_Code]=$A53)*M_BOM[RM_Qty_Per_Batch]*IFERROR(INDEX(PP_Grid[#Data],M_BOM[PPGridRow],60),0))</f>
        <v/>
      </c>
      <c r="BI53">
        <f>SUMPRODUCT((M_BOM[RM_Code]=$A53)*M_BOM[RM_Qty_Per_Batch]*IFERROR(INDEX(PP_Grid[#Data],M_BOM[PPGridRow],61),0))</f>
        <v/>
      </c>
      <c r="BJ53">
        <f>SUMPRODUCT((M_BOM[RM_Code]=$A53)*M_BOM[RM_Qty_Per_Batch]*IFERROR(INDEX(PP_Grid[#Data],M_BOM[PPGridRow],62),0))</f>
        <v/>
      </c>
      <c r="BK53">
        <f>SUMPRODUCT((M_BOM[RM_Code]=$A53)*M_BOM[RM_Qty_Per_Batch]*IFERROR(INDEX(PP_Grid[#Data],M_BOM[PPGridRow],63),0))</f>
        <v/>
      </c>
      <c r="BL53">
        <f>SUMPRODUCT((M_BOM[RM_Code]=$A53)*M_BOM[RM_Qty_Per_Batch]*IFERROR(INDEX(PP_Grid[#Data],M_BOM[PPGridRow],64),0))</f>
        <v/>
      </c>
      <c r="BM53">
        <f>SUMPRODUCT((M_BOM[RM_Code]=$A53)*M_BOM[RM_Qty_Per_Batch]*IFERROR(INDEX(PP_Grid[#Data],M_BOM[PPGridRow],65),0))</f>
        <v/>
      </c>
      <c r="BN53">
        <f>SUMPRODUCT((M_BOM[RM_Code]=$A53)*M_BOM[RM_Qty_Per_Batch]*IFERROR(INDEX(PP_Grid[#Data],M_BOM[PPGridRow],66),0))</f>
        <v/>
      </c>
      <c r="BO53">
        <f>SUMPRODUCT((M_BOM[RM_Code]=$A53)*M_BOM[RM_Qty_Per_Batch]*IFERROR(INDEX(PP_Grid[#Data],M_BOM[PPGridRow],67),0))</f>
        <v/>
      </c>
      <c r="BP53">
        <f>SUMPRODUCT((M_BOM[RM_Code]=$A53)*M_BOM[RM_Qty_Per_Batch]*IFERROR(INDEX(PP_Grid[#Data],M_BOM[PPGridRow],68),0))</f>
        <v/>
      </c>
      <c r="BQ53">
        <f>SUMPRODUCT((M_BOM[RM_Code]=$A53)*M_BOM[RM_Qty_Per_Batch]*IFERROR(INDEX(PP_Grid[#Data],M_BOM[PPGridRow],69),0))</f>
        <v/>
      </c>
      <c r="BR53">
        <f>SUMPRODUCT((M_BOM[RM_Code]=$A53)*M_BOM[RM_Qty_Per_Batch]*IFERROR(INDEX(PP_Grid[#Data],M_BOM[PPGridRow],70),0))</f>
        <v/>
      </c>
      <c r="BS53">
        <f>SUMPRODUCT((M_BOM[RM_Code]=$A53)*M_BOM[RM_Qty_Per_Batch]*IFERROR(INDEX(PP_Grid[#Data],M_BOM[PPGridRow],71),0))</f>
        <v/>
      </c>
      <c r="BT53">
        <f>SUMPRODUCT((M_BOM[RM_Code]=$A53)*M_BOM[RM_Qty_Per_Batch]*IFERROR(INDEX(PP_Grid[#Data],M_BOM[PPGridRow],72),0))</f>
        <v/>
      </c>
      <c r="BU53">
        <f>SUMPRODUCT((M_BOM[RM_Code]=$A53)*M_BOM[RM_Qty_Per_Batch]*IFERROR(INDEX(PP_Grid[#Data],M_BOM[PPGridRow],73),0))</f>
        <v/>
      </c>
      <c r="BV53">
        <f>SUMPRODUCT((M_BOM[RM_Code]=$A53)*M_BOM[RM_Qty_Per_Batch]*IFERROR(INDEX(PP_Grid[#Data],M_BOM[PPGridRow],74),0))</f>
        <v/>
      </c>
      <c r="BW53">
        <f>SUMPRODUCT((M_BOM[RM_Code]=$A53)*M_BOM[RM_Qty_Per_Batch]*IFERROR(INDEX(PP_Grid[#Data],M_BOM[PPGridRow],75),0))</f>
        <v/>
      </c>
      <c r="BX53">
        <f>SUMPRODUCT((M_BOM[RM_Code]=$A53)*M_BOM[RM_Qty_Per_Batch]*IFERROR(INDEX(PP_Grid[#Data],M_BOM[PPGridRow],76),0))</f>
        <v/>
      </c>
      <c r="BY53">
        <f>SUMPRODUCT((M_BOM[RM_Code]=$A53)*M_BOM[RM_Qty_Per_Batch]*IFERROR(INDEX(PP_Grid[#Data],M_BOM[PPGridRow],77),0))</f>
        <v/>
      </c>
      <c r="BZ53">
        <f>SUMPRODUCT((M_BOM[RM_Code]=$A53)*M_BOM[RM_Qty_Per_Batch]*IFERROR(INDEX(PP_Grid[#Data],M_BOM[PPGridRow],78),0))</f>
        <v/>
      </c>
      <c r="CA53">
        <f>SUMPRODUCT((M_BOM[RM_Code]=$A53)*M_BOM[RM_Qty_Per_Batch]*IFERROR(INDEX(PP_Grid[#Data],M_BOM[PPGridRow],79),0))</f>
        <v/>
      </c>
      <c r="CB53">
        <f>SUMPRODUCT((M_BOM[RM_Code]=$A53)*M_BOM[RM_Qty_Per_Batch]*IFERROR(INDEX(PP_Grid[#Data],M_BOM[PPGridRow],80),0))</f>
        <v/>
      </c>
      <c r="CC53">
        <f>SUMPRODUCT((M_BOM[RM_Code]=$A53)*M_BOM[RM_Qty_Per_Batch]*IFERROR(INDEX(PP_Grid[#Data],M_BOM[PPGridRow],81),0))</f>
        <v/>
      </c>
      <c r="CD53">
        <f>SUMPRODUCT((M_BOM[RM_Code]=$A53)*M_BOM[RM_Qty_Per_Batch]*IFERROR(INDEX(PP_Grid[#Data],M_BOM[PPGridRow],82),0))</f>
        <v/>
      </c>
      <c r="CE53">
        <f>SUMPRODUCT((M_BOM[RM_Code]=$A53)*M_BOM[RM_Qty_Per_Batch]*IFERROR(INDEX(PP_Grid[#Data],M_BOM[PPGridRow],83),0))</f>
        <v/>
      </c>
      <c r="CF53">
        <f>SUMPRODUCT((M_BOM[RM_Code]=$A53)*M_BOM[RM_Qty_Per_Batch]*IFERROR(INDEX(PP_Grid[#Data],M_BOM[PPGridRow],84),0))</f>
        <v/>
      </c>
      <c r="CG53">
        <f>SUMPRODUCT((M_BOM[RM_Code]=$A53)*M_BOM[RM_Qty_Per_Batch]*IFERROR(INDEX(PP_Grid[#Data],M_BOM[PPGridRow],85),0))</f>
        <v/>
      </c>
      <c r="CH53">
        <f>SUMPRODUCT((M_BOM[RM_Code]=$A53)*M_BOM[RM_Qty_Per_Batch]*IFERROR(INDEX(PP_Grid[#Data],M_BOM[PPGridRow],86),0))</f>
        <v/>
      </c>
      <c r="CI53">
        <f>SUMPRODUCT((M_BOM[RM_Code]=$A53)*M_BOM[RM_Qty_Per_Batch]*IFERROR(INDEX(PP_Grid[#Data],M_BOM[PPGridRow],87),0))</f>
        <v/>
      </c>
      <c r="CJ53">
        <f>SUMPRODUCT((M_BOM[RM_Code]=$A53)*M_BOM[RM_Qty_Per_Batch]*IFERROR(INDEX(PP_Grid[#Data],M_BOM[PPGridRow],88),0))</f>
        <v/>
      </c>
      <c r="CK53">
        <f>SUMPRODUCT((M_BOM[RM_Code]=$A53)*M_BOM[RM_Qty_Per_Batch]*IFERROR(INDEX(PP_Grid[#Data],M_BOM[PPGridRow],89),0))</f>
        <v/>
      </c>
      <c r="CL53">
        <f>SUMPRODUCT((M_BOM[RM_Code]=$A53)*M_BOM[RM_Qty_Per_Batch]*IFERROR(INDEX(PP_Grid[#Data],M_BOM[PPGridRow],90),0))</f>
        <v/>
      </c>
      <c r="CM53">
        <f>SUMPRODUCT((M_BOM[RM_Code]=$A53)*M_BOM[RM_Qty_Per_Batch]*IFERROR(INDEX(PP_Grid[#Data],M_BOM[PPGridRow],91),0))</f>
        <v/>
      </c>
      <c r="CN53">
        <f>SUMPRODUCT((M_BOM[RM_Code]=$A53)*M_BOM[RM_Qty_Per_Batch]*IFERROR(INDEX(PP_Grid[#Data],M_BOM[PPGridRow],92),0))</f>
        <v/>
      </c>
      <c r="CO53">
        <f>SUMPRODUCT((M_BOM[RM_Code]=$A53)*M_BOM[RM_Qty_Per_Batch]*IFERROR(INDEX(PP_Grid[#Data],M_BOM[PPGridRow],93),0))</f>
        <v/>
      </c>
      <c r="CP53">
        <f>SUMPRODUCT((M_BOM[RM_Code]=$A53)*M_BOM[RM_Qty_Per_Batch]*IFERROR(INDEX(PP_Grid[#Data],M_BOM[PPGridRow],94),0))</f>
        <v/>
      </c>
      <c r="CQ53">
        <f>SUMPRODUCT((M_BOM[RM_Code]=$A53)*M_BOM[RM_Qty_Per_Batch]*IFERROR(INDEX(PP_Grid[#Data],M_BOM[PPGridRow],95),0))</f>
        <v/>
      </c>
      <c r="CR53">
        <f>SUMPRODUCT((M_BOM[RM_Code]=$A53)*M_BOM[RM_Qty_Per_Batch]*IFERROR(INDEX(PP_Grid[#Data],M_BOM[PPGridRow],96),0))</f>
        <v/>
      </c>
      <c r="CS53">
        <f>SUMPRODUCT((M_BOM[RM_Code]=$A53)*M_BOM[RM_Qty_Per_Batch]*IFERROR(INDEX(PP_Grid[#Data],M_BOM[PPGridRow],97),0))</f>
        <v/>
      </c>
      <c r="CT53">
        <f>SUMPRODUCT((M_BOM[RM_Code]=$A53)*M_BOM[RM_Qty_Per_Batch]*IFERROR(INDEX(PP_Grid[#Data],M_BOM[PPGridRow],98),0))</f>
        <v/>
      </c>
      <c r="CU53">
        <f>SUMPRODUCT((M_BOM[RM_Code]=$A53)*M_BOM[RM_Qty_Per_Batch]*IFERROR(INDEX(PP_Grid[#Data],M_BOM[PPGridRow],99),0))</f>
        <v/>
      </c>
      <c r="CV53">
        <f>SUMPRODUCT((M_BOM[RM_Code]=$A53)*M_BOM[RM_Qty_Per_Batch]*IFERROR(INDEX(PP_Grid[#Data],M_BOM[PPGridRow],100),0))</f>
        <v/>
      </c>
      <c r="CW53">
        <f>SUMPRODUCT((M_BOM[RM_Code]=$A53)*M_BOM[RM_Qty_Per_Batch]*IFERROR(INDEX(PP_Grid[#Data],M_BOM[PPGridRow],101),0))</f>
        <v/>
      </c>
      <c r="CX53">
        <f>SUMPRODUCT((M_BOM[RM_Code]=$A53)*M_BOM[RM_Qty_Per_Batch]*IFERROR(INDEX(PP_Grid[#Data],M_BOM[PPGridRow],102),0))</f>
        <v/>
      </c>
      <c r="CY53">
        <f>SUMPRODUCT((M_BOM[RM_Code]=$A53)*M_BOM[RM_Qty_Per_Batch]*IFERROR(INDEX(PP_Grid[#Data],M_BOM[PPGridRow],103),0))</f>
        <v/>
      </c>
      <c r="CZ53">
        <f>SUMPRODUCT((M_BOM[RM_Code]=$A53)*M_BOM[RM_Qty_Per_Batch]*IFERROR(INDEX(PP_Grid[#Data],M_BOM[PPGridRow],104),0))</f>
        <v/>
      </c>
      <c r="DA53">
        <f>SUMPRODUCT((M_BOM[RM_Code]=$A53)*M_BOM[RM_Qty_Per_Batch]*IFERROR(INDEX(PP_Grid[#Data],M_BOM[PPGridRow],105),0))</f>
        <v/>
      </c>
    </row>
    <row r="54">
      <c r="A54" t="inlineStr">
        <is>
          <t>CHEM-1550</t>
        </is>
      </c>
      <c r="B54">
        <f>SUMPRODUCT((M_BOM[RM_Code]=$A54)*M_BOM[RM_Qty_Per_Batch]*IFERROR(INDEX(PP_Grid[#Data],M_BOM[PPGridRow],2),0))</f>
        <v/>
      </c>
      <c r="C54">
        <f>SUMPRODUCT((M_BOM[RM_Code]=$A54)*M_BOM[RM_Qty_Per_Batch]*IFERROR(INDEX(PP_Grid[#Data],M_BOM[PPGridRow],3),0))</f>
        <v/>
      </c>
      <c r="D54">
        <f>SUMPRODUCT((M_BOM[RM_Code]=$A54)*M_BOM[RM_Qty_Per_Batch]*IFERROR(INDEX(PP_Grid[#Data],M_BOM[PPGridRow],4),0))</f>
        <v/>
      </c>
      <c r="E54">
        <f>SUMPRODUCT((M_BOM[RM_Code]=$A54)*M_BOM[RM_Qty_Per_Batch]*IFERROR(INDEX(PP_Grid[#Data],M_BOM[PPGridRow],5),0))</f>
        <v/>
      </c>
      <c r="F54">
        <f>SUMPRODUCT((M_BOM[RM_Code]=$A54)*M_BOM[RM_Qty_Per_Batch]*IFERROR(INDEX(PP_Grid[#Data],M_BOM[PPGridRow],6),0))</f>
        <v/>
      </c>
      <c r="G54">
        <f>SUMPRODUCT((M_BOM[RM_Code]=$A54)*M_BOM[RM_Qty_Per_Batch]*IFERROR(INDEX(PP_Grid[#Data],M_BOM[PPGridRow],7),0))</f>
        <v/>
      </c>
      <c r="H54">
        <f>SUMPRODUCT((M_BOM[RM_Code]=$A54)*M_BOM[RM_Qty_Per_Batch]*IFERROR(INDEX(PP_Grid[#Data],M_BOM[PPGridRow],8),0))</f>
        <v/>
      </c>
      <c r="I54">
        <f>SUMPRODUCT((M_BOM[RM_Code]=$A54)*M_BOM[RM_Qty_Per_Batch]*IFERROR(INDEX(PP_Grid[#Data],M_BOM[PPGridRow],9),0))</f>
        <v/>
      </c>
      <c r="J54">
        <f>SUMPRODUCT((M_BOM[RM_Code]=$A54)*M_BOM[RM_Qty_Per_Batch]*IFERROR(INDEX(PP_Grid[#Data],M_BOM[PPGridRow],10),0))</f>
        <v/>
      </c>
      <c r="K54">
        <f>SUMPRODUCT((M_BOM[RM_Code]=$A54)*M_BOM[RM_Qty_Per_Batch]*IFERROR(INDEX(PP_Grid[#Data],M_BOM[PPGridRow],11),0))</f>
        <v/>
      </c>
      <c r="L54">
        <f>SUMPRODUCT((M_BOM[RM_Code]=$A54)*M_BOM[RM_Qty_Per_Batch]*IFERROR(INDEX(PP_Grid[#Data],M_BOM[PPGridRow],12),0))</f>
        <v/>
      </c>
      <c r="M54">
        <f>SUMPRODUCT((M_BOM[RM_Code]=$A54)*M_BOM[RM_Qty_Per_Batch]*IFERROR(INDEX(PP_Grid[#Data],M_BOM[PPGridRow],13),0))</f>
        <v/>
      </c>
      <c r="N54">
        <f>SUMPRODUCT((M_BOM[RM_Code]=$A54)*M_BOM[RM_Qty_Per_Batch]*IFERROR(INDEX(PP_Grid[#Data],M_BOM[PPGridRow],14),0))</f>
        <v/>
      </c>
      <c r="O54">
        <f>SUMPRODUCT((M_BOM[RM_Code]=$A54)*M_BOM[RM_Qty_Per_Batch]*IFERROR(INDEX(PP_Grid[#Data],M_BOM[PPGridRow],15),0))</f>
        <v/>
      </c>
      <c r="P54">
        <f>SUMPRODUCT((M_BOM[RM_Code]=$A54)*M_BOM[RM_Qty_Per_Batch]*IFERROR(INDEX(PP_Grid[#Data],M_BOM[PPGridRow],16),0))</f>
        <v/>
      </c>
      <c r="Q54">
        <f>SUMPRODUCT((M_BOM[RM_Code]=$A54)*M_BOM[RM_Qty_Per_Batch]*IFERROR(INDEX(PP_Grid[#Data],M_BOM[PPGridRow],17),0))</f>
        <v/>
      </c>
      <c r="R54">
        <f>SUMPRODUCT((M_BOM[RM_Code]=$A54)*M_BOM[RM_Qty_Per_Batch]*IFERROR(INDEX(PP_Grid[#Data],M_BOM[PPGridRow],18),0))</f>
        <v/>
      </c>
      <c r="S54">
        <f>SUMPRODUCT((M_BOM[RM_Code]=$A54)*M_BOM[RM_Qty_Per_Batch]*IFERROR(INDEX(PP_Grid[#Data],M_BOM[PPGridRow],19),0))</f>
        <v/>
      </c>
      <c r="T54">
        <f>SUMPRODUCT((M_BOM[RM_Code]=$A54)*M_BOM[RM_Qty_Per_Batch]*IFERROR(INDEX(PP_Grid[#Data],M_BOM[PPGridRow],20),0))</f>
        <v/>
      </c>
      <c r="U54">
        <f>SUMPRODUCT((M_BOM[RM_Code]=$A54)*M_BOM[RM_Qty_Per_Batch]*IFERROR(INDEX(PP_Grid[#Data],M_BOM[PPGridRow],21),0))</f>
        <v/>
      </c>
      <c r="V54">
        <f>SUMPRODUCT((M_BOM[RM_Code]=$A54)*M_BOM[RM_Qty_Per_Batch]*IFERROR(INDEX(PP_Grid[#Data],M_BOM[PPGridRow],22),0))</f>
        <v/>
      </c>
      <c r="W54">
        <f>SUMPRODUCT((M_BOM[RM_Code]=$A54)*M_BOM[RM_Qty_Per_Batch]*IFERROR(INDEX(PP_Grid[#Data],M_BOM[PPGridRow],23),0))</f>
        <v/>
      </c>
      <c r="X54">
        <f>SUMPRODUCT((M_BOM[RM_Code]=$A54)*M_BOM[RM_Qty_Per_Batch]*IFERROR(INDEX(PP_Grid[#Data],M_BOM[PPGridRow],24),0))</f>
        <v/>
      </c>
      <c r="Y54">
        <f>SUMPRODUCT((M_BOM[RM_Code]=$A54)*M_BOM[RM_Qty_Per_Batch]*IFERROR(INDEX(PP_Grid[#Data],M_BOM[PPGridRow],25),0))</f>
        <v/>
      </c>
      <c r="Z54">
        <f>SUMPRODUCT((M_BOM[RM_Code]=$A54)*M_BOM[RM_Qty_Per_Batch]*IFERROR(INDEX(PP_Grid[#Data],M_BOM[PPGridRow],26),0))</f>
        <v/>
      </c>
      <c r="AA54">
        <f>SUMPRODUCT((M_BOM[RM_Code]=$A54)*M_BOM[RM_Qty_Per_Batch]*IFERROR(INDEX(PP_Grid[#Data],M_BOM[PPGridRow],27),0))</f>
        <v/>
      </c>
      <c r="AB54">
        <f>SUMPRODUCT((M_BOM[RM_Code]=$A54)*M_BOM[RM_Qty_Per_Batch]*IFERROR(INDEX(PP_Grid[#Data],M_BOM[PPGridRow],28),0))</f>
        <v/>
      </c>
      <c r="AC54">
        <f>SUMPRODUCT((M_BOM[RM_Code]=$A54)*M_BOM[RM_Qty_Per_Batch]*IFERROR(INDEX(PP_Grid[#Data],M_BOM[PPGridRow],29),0))</f>
        <v/>
      </c>
      <c r="AD54">
        <f>SUMPRODUCT((M_BOM[RM_Code]=$A54)*M_BOM[RM_Qty_Per_Batch]*IFERROR(INDEX(PP_Grid[#Data],M_BOM[PPGridRow],30),0))</f>
        <v/>
      </c>
      <c r="AE54">
        <f>SUMPRODUCT((M_BOM[RM_Code]=$A54)*M_BOM[RM_Qty_Per_Batch]*IFERROR(INDEX(PP_Grid[#Data],M_BOM[PPGridRow],31),0))</f>
        <v/>
      </c>
      <c r="AF54">
        <f>SUMPRODUCT((M_BOM[RM_Code]=$A54)*M_BOM[RM_Qty_Per_Batch]*IFERROR(INDEX(PP_Grid[#Data],M_BOM[PPGridRow],32),0))</f>
        <v/>
      </c>
      <c r="AG54">
        <f>SUMPRODUCT((M_BOM[RM_Code]=$A54)*M_BOM[RM_Qty_Per_Batch]*IFERROR(INDEX(PP_Grid[#Data],M_BOM[PPGridRow],33),0))</f>
        <v/>
      </c>
      <c r="AH54">
        <f>SUMPRODUCT((M_BOM[RM_Code]=$A54)*M_BOM[RM_Qty_Per_Batch]*IFERROR(INDEX(PP_Grid[#Data],M_BOM[PPGridRow],34),0))</f>
        <v/>
      </c>
      <c r="AI54">
        <f>SUMPRODUCT((M_BOM[RM_Code]=$A54)*M_BOM[RM_Qty_Per_Batch]*IFERROR(INDEX(PP_Grid[#Data],M_BOM[PPGridRow],35),0))</f>
        <v/>
      </c>
      <c r="AJ54">
        <f>SUMPRODUCT((M_BOM[RM_Code]=$A54)*M_BOM[RM_Qty_Per_Batch]*IFERROR(INDEX(PP_Grid[#Data],M_BOM[PPGridRow],36),0))</f>
        <v/>
      </c>
      <c r="AK54">
        <f>SUMPRODUCT((M_BOM[RM_Code]=$A54)*M_BOM[RM_Qty_Per_Batch]*IFERROR(INDEX(PP_Grid[#Data],M_BOM[PPGridRow],37),0))</f>
        <v/>
      </c>
      <c r="AL54">
        <f>SUMPRODUCT((M_BOM[RM_Code]=$A54)*M_BOM[RM_Qty_Per_Batch]*IFERROR(INDEX(PP_Grid[#Data],M_BOM[PPGridRow],38),0))</f>
        <v/>
      </c>
      <c r="AM54">
        <f>SUMPRODUCT((M_BOM[RM_Code]=$A54)*M_BOM[RM_Qty_Per_Batch]*IFERROR(INDEX(PP_Grid[#Data],M_BOM[PPGridRow],39),0))</f>
        <v/>
      </c>
      <c r="AN54">
        <f>SUMPRODUCT((M_BOM[RM_Code]=$A54)*M_BOM[RM_Qty_Per_Batch]*IFERROR(INDEX(PP_Grid[#Data],M_BOM[PPGridRow],40),0))</f>
        <v/>
      </c>
      <c r="AO54">
        <f>SUMPRODUCT((M_BOM[RM_Code]=$A54)*M_BOM[RM_Qty_Per_Batch]*IFERROR(INDEX(PP_Grid[#Data],M_BOM[PPGridRow],41),0))</f>
        <v/>
      </c>
      <c r="AP54">
        <f>SUMPRODUCT((M_BOM[RM_Code]=$A54)*M_BOM[RM_Qty_Per_Batch]*IFERROR(INDEX(PP_Grid[#Data],M_BOM[PPGridRow],42),0))</f>
        <v/>
      </c>
      <c r="AQ54">
        <f>SUMPRODUCT((M_BOM[RM_Code]=$A54)*M_BOM[RM_Qty_Per_Batch]*IFERROR(INDEX(PP_Grid[#Data],M_BOM[PPGridRow],43),0))</f>
        <v/>
      </c>
      <c r="AR54">
        <f>SUMPRODUCT((M_BOM[RM_Code]=$A54)*M_BOM[RM_Qty_Per_Batch]*IFERROR(INDEX(PP_Grid[#Data],M_BOM[PPGridRow],44),0))</f>
        <v/>
      </c>
      <c r="AS54">
        <f>SUMPRODUCT((M_BOM[RM_Code]=$A54)*M_BOM[RM_Qty_Per_Batch]*IFERROR(INDEX(PP_Grid[#Data],M_BOM[PPGridRow],45),0))</f>
        <v/>
      </c>
      <c r="AT54">
        <f>SUMPRODUCT((M_BOM[RM_Code]=$A54)*M_BOM[RM_Qty_Per_Batch]*IFERROR(INDEX(PP_Grid[#Data],M_BOM[PPGridRow],46),0))</f>
        <v/>
      </c>
      <c r="AU54">
        <f>SUMPRODUCT((M_BOM[RM_Code]=$A54)*M_BOM[RM_Qty_Per_Batch]*IFERROR(INDEX(PP_Grid[#Data],M_BOM[PPGridRow],47),0))</f>
        <v/>
      </c>
      <c r="AV54">
        <f>SUMPRODUCT((M_BOM[RM_Code]=$A54)*M_BOM[RM_Qty_Per_Batch]*IFERROR(INDEX(PP_Grid[#Data],M_BOM[PPGridRow],48),0))</f>
        <v/>
      </c>
      <c r="AW54">
        <f>SUMPRODUCT((M_BOM[RM_Code]=$A54)*M_BOM[RM_Qty_Per_Batch]*IFERROR(INDEX(PP_Grid[#Data],M_BOM[PPGridRow],49),0))</f>
        <v/>
      </c>
      <c r="AX54">
        <f>SUMPRODUCT((M_BOM[RM_Code]=$A54)*M_BOM[RM_Qty_Per_Batch]*IFERROR(INDEX(PP_Grid[#Data],M_BOM[PPGridRow],50),0))</f>
        <v/>
      </c>
      <c r="AY54">
        <f>SUMPRODUCT((M_BOM[RM_Code]=$A54)*M_BOM[RM_Qty_Per_Batch]*IFERROR(INDEX(PP_Grid[#Data],M_BOM[PPGridRow],51),0))</f>
        <v/>
      </c>
      <c r="AZ54">
        <f>SUMPRODUCT((M_BOM[RM_Code]=$A54)*M_BOM[RM_Qty_Per_Batch]*IFERROR(INDEX(PP_Grid[#Data],M_BOM[PPGridRow],52),0))</f>
        <v/>
      </c>
      <c r="BA54">
        <f>SUMPRODUCT((M_BOM[RM_Code]=$A54)*M_BOM[RM_Qty_Per_Batch]*IFERROR(INDEX(PP_Grid[#Data],M_BOM[PPGridRow],53),0))</f>
        <v/>
      </c>
      <c r="BB54">
        <f>SUMPRODUCT((M_BOM[RM_Code]=$A54)*M_BOM[RM_Qty_Per_Batch]*IFERROR(INDEX(PP_Grid[#Data],M_BOM[PPGridRow],54),0))</f>
        <v/>
      </c>
      <c r="BC54">
        <f>SUMPRODUCT((M_BOM[RM_Code]=$A54)*M_BOM[RM_Qty_Per_Batch]*IFERROR(INDEX(PP_Grid[#Data],M_BOM[PPGridRow],55),0))</f>
        <v/>
      </c>
      <c r="BD54">
        <f>SUMPRODUCT((M_BOM[RM_Code]=$A54)*M_BOM[RM_Qty_Per_Batch]*IFERROR(INDEX(PP_Grid[#Data],M_BOM[PPGridRow],56),0))</f>
        <v/>
      </c>
      <c r="BE54">
        <f>SUMPRODUCT((M_BOM[RM_Code]=$A54)*M_BOM[RM_Qty_Per_Batch]*IFERROR(INDEX(PP_Grid[#Data],M_BOM[PPGridRow],57),0))</f>
        <v/>
      </c>
      <c r="BF54">
        <f>SUMPRODUCT((M_BOM[RM_Code]=$A54)*M_BOM[RM_Qty_Per_Batch]*IFERROR(INDEX(PP_Grid[#Data],M_BOM[PPGridRow],58),0))</f>
        <v/>
      </c>
      <c r="BG54">
        <f>SUMPRODUCT((M_BOM[RM_Code]=$A54)*M_BOM[RM_Qty_Per_Batch]*IFERROR(INDEX(PP_Grid[#Data],M_BOM[PPGridRow],59),0))</f>
        <v/>
      </c>
      <c r="BH54">
        <f>SUMPRODUCT((M_BOM[RM_Code]=$A54)*M_BOM[RM_Qty_Per_Batch]*IFERROR(INDEX(PP_Grid[#Data],M_BOM[PPGridRow],60),0))</f>
        <v/>
      </c>
      <c r="BI54">
        <f>SUMPRODUCT((M_BOM[RM_Code]=$A54)*M_BOM[RM_Qty_Per_Batch]*IFERROR(INDEX(PP_Grid[#Data],M_BOM[PPGridRow],61),0))</f>
        <v/>
      </c>
      <c r="BJ54">
        <f>SUMPRODUCT((M_BOM[RM_Code]=$A54)*M_BOM[RM_Qty_Per_Batch]*IFERROR(INDEX(PP_Grid[#Data],M_BOM[PPGridRow],62),0))</f>
        <v/>
      </c>
      <c r="BK54">
        <f>SUMPRODUCT((M_BOM[RM_Code]=$A54)*M_BOM[RM_Qty_Per_Batch]*IFERROR(INDEX(PP_Grid[#Data],M_BOM[PPGridRow],63),0))</f>
        <v/>
      </c>
      <c r="BL54">
        <f>SUMPRODUCT((M_BOM[RM_Code]=$A54)*M_BOM[RM_Qty_Per_Batch]*IFERROR(INDEX(PP_Grid[#Data],M_BOM[PPGridRow],64),0))</f>
        <v/>
      </c>
      <c r="BM54">
        <f>SUMPRODUCT((M_BOM[RM_Code]=$A54)*M_BOM[RM_Qty_Per_Batch]*IFERROR(INDEX(PP_Grid[#Data],M_BOM[PPGridRow],65),0))</f>
        <v/>
      </c>
      <c r="BN54">
        <f>SUMPRODUCT((M_BOM[RM_Code]=$A54)*M_BOM[RM_Qty_Per_Batch]*IFERROR(INDEX(PP_Grid[#Data],M_BOM[PPGridRow],66),0))</f>
        <v/>
      </c>
      <c r="BO54">
        <f>SUMPRODUCT((M_BOM[RM_Code]=$A54)*M_BOM[RM_Qty_Per_Batch]*IFERROR(INDEX(PP_Grid[#Data],M_BOM[PPGridRow],67),0))</f>
        <v/>
      </c>
      <c r="BP54">
        <f>SUMPRODUCT((M_BOM[RM_Code]=$A54)*M_BOM[RM_Qty_Per_Batch]*IFERROR(INDEX(PP_Grid[#Data],M_BOM[PPGridRow],68),0))</f>
        <v/>
      </c>
      <c r="BQ54">
        <f>SUMPRODUCT((M_BOM[RM_Code]=$A54)*M_BOM[RM_Qty_Per_Batch]*IFERROR(INDEX(PP_Grid[#Data],M_BOM[PPGridRow],69),0))</f>
        <v/>
      </c>
      <c r="BR54">
        <f>SUMPRODUCT((M_BOM[RM_Code]=$A54)*M_BOM[RM_Qty_Per_Batch]*IFERROR(INDEX(PP_Grid[#Data],M_BOM[PPGridRow],70),0))</f>
        <v/>
      </c>
      <c r="BS54">
        <f>SUMPRODUCT((M_BOM[RM_Code]=$A54)*M_BOM[RM_Qty_Per_Batch]*IFERROR(INDEX(PP_Grid[#Data],M_BOM[PPGridRow],71),0))</f>
        <v/>
      </c>
      <c r="BT54">
        <f>SUMPRODUCT((M_BOM[RM_Code]=$A54)*M_BOM[RM_Qty_Per_Batch]*IFERROR(INDEX(PP_Grid[#Data],M_BOM[PPGridRow],72),0))</f>
        <v/>
      </c>
      <c r="BU54">
        <f>SUMPRODUCT((M_BOM[RM_Code]=$A54)*M_BOM[RM_Qty_Per_Batch]*IFERROR(INDEX(PP_Grid[#Data],M_BOM[PPGridRow],73),0))</f>
        <v/>
      </c>
      <c r="BV54">
        <f>SUMPRODUCT((M_BOM[RM_Code]=$A54)*M_BOM[RM_Qty_Per_Batch]*IFERROR(INDEX(PP_Grid[#Data],M_BOM[PPGridRow],74),0))</f>
        <v/>
      </c>
      <c r="BW54">
        <f>SUMPRODUCT((M_BOM[RM_Code]=$A54)*M_BOM[RM_Qty_Per_Batch]*IFERROR(INDEX(PP_Grid[#Data],M_BOM[PPGridRow],75),0))</f>
        <v/>
      </c>
      <c r="BX54">
        <f>SUMPRODUCT((M_BOM[RM_Code]=$A54)*M_BOM[RM_Qty_Per_Batch]*IFERROR(INDEX(PP_Grid[#Data],M_BOM[PPGridRow],76),0))</f>
        <v/>
      </c>
      <c r="BY54">
        <f>SUMPRODUCT((M_BOM[RM_Code]=$A54)*M_BOM[RM_Qty_Per_Batch]*IFERROR(INDEX(PP_Grid[#Data],M_BOM[PPGridRow],77),0))</f>
        <v/>
      </c>
      <c r="BZ54">
        <f>SUMPRODUCT((M_BOM[RM_Code]=$A54)*M_BOM[RM_Qty_Per_Batch]*IFERROR(INDEX(PP_Grid[#Data],M_BOM[PPGridRow],78),0))</f>
        <v/>
      </c>
      <c r="CA54">
        <f>SUMPRODUCT((M_BOM[RM_Code]=$A54)*M_BOM[RM_Qty_Per_Batch]*IFERROR(INDEX(PP_Grid[#Data],M_BOM[PPGridRow],79),0))</f>
        <v/>
      </c>
      <c r="CB54">
        <f>SUMPRODUCT((M_BOM[RM_Code]=$A54)*M_BOM[RM_Qty_Per_Batch]*IFERROR(INDEX(PP_Grid[#Data],M_BOM[PPGridRow],80),0))</f>
        <v/>
      </c>
      <c r="CC54">
        <f>SUMPRODUCT((M_BOM[RM_Code]=$A54)*M_BOM[RM_Qty_Per_Batch]*IFERROR(INDEX(PP_Grid[#Data],M_BOM[PPGridRow],81),0))</f>
        <v/>
      </c>
      <c r="CD54">
        <f>SUMPRODUCT((M_BOM[RM_Code]=$A54)*M_BOM[RM_Qty_Per_Batch]*IFERROR(INDEX(PP_Grid[#Data],M_BOM[PPGridRow],82),0))</f>
        <v/>
      </c>
      <c r="CE54">
        <f>SUMPRODUCT((M_BOM[RM_Code]=$A54)*M_BOM[RM_Qty_Per_Batch]*IFERROR(INDEX(PP_Grid[#Data],M_BOM[PPGridRow],83),0))</f>
        <v/>
      </c>
      <c r="CF54">
        <f>SUMPRODUCT((M_BOM[RM_Code]=$A54)*M_BOM[RM_Qty_Per_Batch]*IFERROR(INDEX(PP_Grid[#Data],M_BOM[PPGridRow],84),0))</f>
        <v/>
      </c>
      <c r="CG54">
        <f>SUMPRODUCT((M_BOM[RM_Code]=$A54)*M_BOM[RM_Qty_Per_Batch]*IFERROR(INDEX(PP_Grid[#Data],M_BOM[PPGridRow],85),0))</f>
        <v/>
      </c>
      <c r="CH54">
        <f>SUMPRODUCT((M_BOM[RM_Code]=$A54)*M_BOM[RM_Qty_Per_Batch]*IFERROR(INDEX(PP_Grid[#Data],M_BOM[PPGridRow],86),0))</f>
        <v/>
      </c>
      <c r="CI54">
        <f>SUMPRODUCT((M_BOM[RM_Code]=$A54)*M_BOM[RM_Qty_Per_Batch]*IFERROR(INDEX(PP_Grid[#Data],M_BOM[PPGridRow],87),0))</f>
        <v/>
      </c>
      <c r="CJ54">
        <f>SUMPRODUCT((M_BOM[RM_Code]=$A54)*M_BOM[RM_Qty_Per_Batch]*IFERROR(INDEX(PP_Grid[#Data],M_BOM[PPGridRow],88),0))</f>
        <v/>
      </c>
      <c r="CK54">
        <f>SUMPRODUCT((M_BOM[RM_Code]=$A54)*M_BOM[RM_Qty_Per_Batch]*IFERROR(INDEX(PP_Grid[#Data],M_BOM[PPGridRow],89),0))</f>
        <v/>
      </c>
      <c r="CL54">
        <f>SUMPRODUCT((M_BOM[RM_Code]=$A54)*M_BOM[RM_Qty_Per_Batch]*IFERROR(INDEX(PP_Grid[#Data],M_BOM[PPGridRow],90),0))</f>
        <v/>
      </c>
      <c r="CM54">
        <f>SUMPRODUCT((M_BOM[RM_Code]=$A54)*M_BOM[RM_Qty_Per_Batch]*IFERROR(INDEX(PP_Grid[#Data],M_BOM[PPGridRow],91),0))</f>
        <v/>
      </c>
      <c r="CN54">
        <f>SUMPRODUCT((M_BOM[RM_Code]=$A54)*M_BOM[RM_Qty_Per_Batch]*IFERROR(INDEX(PP_Grid[#Data],M_BOM[PPGridRow],92),0))</f>
        <v/>
      </c>
      <c r="CO54">
        <f>SUMPRODUCT((M_BOM[RM_Code]=$A54)*M_BOM[RM_Qty_Per_Batch]*IFERROR(INDEX(PP_Grid[#Data],M_BOM[PPGridRow],93),0))</f>
        <v/>
      </c>
      <c r="CP54">
        <f>SUMPRODUCT((M_BOM[RM_Code]=$A54)*M_BOM[RM_Qty_Per_Batch]*IFERROR(INDEX(PP_Grid[#Data],M_BOM[PPGridRow],94),0))</f>
        <v/>
      </c>
      <c r="CQ54">
        <f>SUMPRODUCT((M_BOM[RM_Code]=$A54)*M_BOM[RM_Qty_Per_Batch]*IFERROR(INDEX(PP_Grid[#Data],M_BOM[PPGridRow],95),0))</f>
        <v/>
      </c>
      <c r="CR54">
        <f>SUMPRODUCT((M_BOM[RM_Code]=$A54)*M_BOM[RM_Qty_Per_Batch]*IFERROR(INDEX(PP_Grid[#Data],M_BOM[PPGridRow],96),0))</f>
        <v/>
      </c>
      <c r="CS54">
        <f>SUMPRODUCT((M_BOM[RM_Code]=$A54)*M_BOM[RM_Qty_Per_Batch]*IFERROR(INDEX(PP_Grid[#Data],M_BOM[PPGridRow],97),0))</f>
        <v/>
      </c>
      <c r="CT54">
        <f>SUMPRODUCT((M_BOM[RM_Code]=$A54)*M_BOM[RM_Qty_Per_Batch]*IFERROR(INDEX(PP_Grid[#Data],M_BOM[PPGridRow],98),0))</f>
        <v/>
      </c>
      <c r="CU54">
        <f>SUMPRODUCT((M_BOM[RM_Code]=$A54)*M_BOM[RM_Qty_Per_Batch]*IFERROR(INDEX(PP_Grid[#Data],M_BOM[PPGridRow],99),0))</f>
        <v/>
      </c>
      <c r="CV54">
        <f>SUMPRODUCT((M_BOM[RM_Code]=$A54)*M_BOM[RM_Qty_Per_Batch]*IFERROR(INDEX(PP_Grid[#Data],M_BOM[PPGridRow],100),0))</f>
        <v/>
      </c>
      <c r="CW54">
        <f>SUMPRODUCT((M_BOM[RM_Code]=$A54)*M_BOM[RM_Qty_Per_Batch]*IFERROR(INDEX(PP_Grid[#Data],M_BOM[PPGridRow],101),0))</f>
        <v/>
      </c>
      <c r="CX54">
        <f>SUMPRODUCT((M_BOM[RM_Code]=$A54)*M_BOM[RM_Qty_Per_Batch]*IFERROR(INDEX(PP_Grid[#Data],M_BOM[PPGridRow],102),0))</f>
        <v/>
      </c>
      <c r="CY54">
        <f>SUMPRODUCT((M_BOM[RM_Code]=$A54)*M_BOM[RM_Qty_Per_Batch]*IFERROR(INDEX(PP_Grid[#Data],M_BOM[PPGridRow],103),0))</f>
        <v/>
      </c>
      <c r="CZ54">
        <f>SUMPRODUCT((M_BOM[RM_Code]=$A54)*M_BOM[RM_Qty_Per_Batch]*IFERROR(INDEX(PP_Grid[#Data],M_BOM[PPGridRow],104),0))</f>
        <v/>
      </c>
      <c r="DA54">
        <f>SUMPRODUCT((M_BOM[RM_Code]=$A54)*M_BOM[RM_Qty_Per_Batch]*IFERROR(INDEX(PP_Grid[#Data],M_BOM[PPGridRow],105),0))</f>
        <v/>
      </c>
    </row>
    <row r="55">
      <c r="A55" t="inlineStr">
        <is>
          <t>CHEM-1510</t>
        </is>
      </c>
      <c r="B55">
        <f>SUMPRODUCT((M_BOM[RM_Code]=$A55)*M_BOM[RM_Qty_Per_Batch]*IFERROR(INDEX(PP_Grid[#Data],M_BOM[PPGridRow],2),0))</f>
        <v/>
      </c>
      <c r="C55">
        <f>SUMPRODUCT((M_BOM[RM_Code]=$A55)*M_BOM[RM_Qty_Per_Batch]*IFERROR(INDEX(PP_Grid[#Data],M_BOM[PPGridRow],3),0))</f>
        <v/>
      </c>
      <c r="D55">
        <f>SUMPRODUCT((M_BOM[RM_Code]=$A55)*M_BOM[RM_Qty_Per_Batch]*IFERROR(INDEX(PP_Grid[#Data],M_BOM[PPGridRow],4),0))</f>
        <v/>
      </c>
      <c r="E55">
        <f>SUMPRODUCT((M_BOM[RM_Code]=$A55)*M_BOM[RM_Qty_Per_Batch]*IFERROR(INDEX(PP_Grid[#Data],M_BOM[PPGridRow],5),0))</f>
        <v/>
      </c>
      <c r="F55">
        <f>SUMPRODUCT((M_BOM[RM_Code]=$A55)*M_BOM[RM_Qty_Per_Batch]*IFERROR(INDEX(PP_Grid[#Data],M_BOM[PPGridRow],6),0))</f>
        <v/>
      </c>
      <c r="G55">
        <f>SUMPRODUCT((M_BOM[RM_Code]=$A55)*M_BOM[RM_Qty_Per_Batch]*IFERROR(INDEX(PP_Grid[#Data],M_BOM[PPGridRow],7),0))</f>
        <v/>
      </c>
      <c r="H55">
        <f>SUMPRODUCT((M_BOM[RM_Code]=$A55)*M_BOM[RM_Qty_Per_Batch]*IFERROR(INDEX(PP_Grid[#Data],M_BOM[PPGridRow],8),0))</f>
        <v/>
      </c>
      <c r="I55">
        <f>SUMPRODUCT((M_BOM[RM_Code]=$A55)*M_BOM[RM_Qty_Per_Batch]*IFERROR(INDEX(PP_Grid[#Data],M_BOM[PPGridRow],9),0))</f>
        <v/>
      </c>
      <c r="J55">
        <f>SUMPRODUCT((M_BOM[RM_Code]=$A55)*M_BOM[RM_Qty_Per_Batch]*IFERROR(INDEX(PP_Grid[#Data],M_BOM[PPGridRow],10),0))</f>
        <v/>
      </c>
      <c r="K55">
        <f>SUMPRODUCT((M_BOM[RM_Code]=$A55)*M_BOM[RM_Qty_Per_Batch]*IFERROR(INDEX(PP_Grid[#Data],M_BOM[PPGridRow],11),0))</f>
        <v/>
      </c>
      <c r="L55">
        <f>SUMPRODUCT((M_BOM[RM_Code]=$A55)*M_BOM[RM_Qty_Per_Batch]*IFERROR(INDEX(PP_Grid[#Data],M_BOM[PPGridRow],12),0))</f>
        <v/>
      </c>
      <c r="M55">
        <f>SUMPRODUCT((M_BOM[RM_Code]=$A55)*M_BOM[RM_Qty_Per_Batch]*IFERROR(INDEX(PP_Grid[#Data],M_BOM[PPGridRow],13),0))</f>
        <v/>
      </c>
      <c r="N55">
        <f>SUMPRODUCT((M_BOM[RM_Code]=$A55)*M_BOM[RM_Qty_Per_Batch]*IFERROR(INDEX(PP_Grid[#Data],M_BOM[PPGridRow],14),0))</f>
        <v/>
      </c>
      <c r="O55">
        <f>SUMPRODUCT((M_BOM[RM_Code]=$A55)*M_BOM[RM_Qty_Per_Batch]*IFERROR(INDEX(PP_Grid[#Data],M_BOM[PPGridRow],15),0))</f>
        <v/>
      </c>
      <c r="P55">
        <f>SUMPRODUCT((M_BOM[RM_Code]=$A55)*M_BOM[RM_Qty_Per_Batch]*IFERROR(INDEX(PP_Grid[#Data],M_BOM[PPGridRow],16),0))</f>
        <v/>
      </c>
      <c r="Q55">
        <f>SUMPRODUCT((M_BOM[RM_Code]=$A55)*M_BOM[RM_Qty_Per_Batch]*IFERROR(INDEX(PP_Grid[#Data],M_BOM[PPGridRow],17),0))</f>
        <v/>
      </c>
      <c r="R55">
        <f>SUMPRODUCT((M_BOM[RM_Code]=$A55)*M_BOM[RM_Qty_Per_Batch]*IFERROR(INDEX(PP_Grid[#Data],M_BOM[PPGridRow],18),0))</f>
        <v/>
      </c>
      <c r="S55">
        <f>SUMPRODUCT((M_BOM[RM_Code]=$A55)*M_BOM[RM_Qty_Per_Batch]*IFERROR(INDEX(PP_Grid[#Data],M_BOM[PPGridRow],19),0))</f>
        <v/>
      </c>
      <c r="T55">
        <f>SUMPRODUCT((M_BOM[RM_Code]=$A55)*M_BOM[RM_Qty_Per_Batch]*IFERROR(INDEX(PP_Grid[#Data],M_BOM[PPGridRow],20),0))</f>
        <v/>
      </c>
      <c r="U55">
        <f>SUMPRODUCT((M_BOM[RM_Code]=$A55)*M_BOM[RM_Qty_Per_Batch]*IFERROR(INDEX(PP_Grid[#Data],M_BOM[PPGridRow],21),0))</f>
        <v/>
      </c>
      <c r="V55">
        <f>SUMPRODUCT((M_BOM[RM_Code]=$A55)*M_BOM[RM_Qty_Per_Batch]*IFERROR(INDEX(PP_Grid[#Data],M_BOM[PPGridRow],22),0))</f>
        <v/>
      </c>
      <c r="W55">
        <f>SUMPRODUCT((M_BOM[RM_Code]=$A55)*M_BOM[RM_Qty_Per_Batch]*IFERROR(INDEX(PP_Grid[#Data],M_BOM[PPGridRow],23),0))</f>
        <v/>
      </c>
      <c r="X55">
        <f>SUMPRODUCT((M_BOM[RM_Code]=$A55)*M_BOM[RM_Qty_Per_Batch]*IFERROR(INDEX(PP_Grid[#Data],M_BOM[PPGridRow],24),0))</f>
        <v/>
      </c>
      <c r="Y55">
        <f>SUMPRODUCT((M_BOM[RM_Code]=$A55)*M_BOM[RM_Qty_Per_Batch]*IFERROR(INDEX(PP_Grid[#Data],M_BOM[PPGridRow],25),0))</f>
        <v/>
      </c>
      <c r="Z55">
        <f>SUMPRODUCT((M_BOM[RM_Code]=$A55)*M_BOM[RM_Qty_Per_Batch]*IFERROR(INDEX(PP_Grid[#Data],M_BOM[PPGridRow],26),0))</f>
        <v/>
      </c>
      <c r="AA55">
        <f>SUMPRODUCT((M_BOM[RM_Code]=$A55)*M_BOM[RM_Qty_Per_Batch]*IFERROR(INDEX(PP_Grid[#Data],M_BOM[PPGridRow],27),0))</f>
        <v/>
      </c>
      <c r="AB55">
        <f>SUMPRODUCT((M_BOM[RM_Code]=$A55)*M_BOM[RM_Qty_Per_Batch]*IFERROR(INDEX(PP_Grid[#Data],M_BOM[PPGridRow],28),0))</f>
        <v/>
      </c>
      <c r="AC55">
        <f>SUMPRODUCT((M_BOM[RM_Code]=$A55)*M_BOM[RM_Qty_Per_Batch]*IFERROR(INDEX(PP_Grid[#Data],M_BOM[PPGridRow],29),0))</f>
        <v/>
      </c>
      <c r="AD55">
        <f>SUMPRODUCT((M_BOM[RM_Code]=$A55)*M_BOM[RM_Qty_Per_Batch]*IFERROR(INDEX(PP_Grid[#Data],M_BOM[PPGridRow],30),0))</f>
        <v/>
      </c>
      <c r="AE55">
        <f>SUMPRODUCT((M_BOM[RM_Code]=$A55)*M_BOM[RM_Qty_Per_Batch]*IFERROR(INDEX(PP_Grid[#Data],M_BOM[PPGridRow],31),0))</f>
        <v/>
      </c>
      <c r="AF55">
        <f>SUMPRODUCT((M_BOM[RM_Code]=$A55)*M_BOM[RM_Qty_Per_Batch]*IFERROR(INDEX(PP_Grid[#Data],M_BOM[PPGridRow],32),0))</f>
        <v/>
      </c>
      <c r="AG55">
        <f>SUMPRODUCT((M_BOM[RM_Code]=$A55)*M_BOM[RM_Qty_Per_Batch]*IFERROR(INDEX(PP_Grid[#Data],M_BOM[PPGridRow],33),0))</f>
        <v/>
      </c>
      <c r="AH55">
        <f>SUMPRODUCT((M_BOM[RM_Code]=$A55)*M_BOM[RM_Qty_Per_Batch]*IFERROR(INDEX(PP_Grid[#Data],M_BOM[PPGridRow],34),0))</f>
        <v/>
      </c>
      <c r="AI55">
        <f>SUMPRODUCT((M_BOM[RM_Code]=$A55)*M_BOM[RM_Qty_Per_Batch]*IFERROR(INDEX(PP_Grid[#Data],M_BOM[PPGridRow],35),0))</f>
        <v/>
      </c>
      <c r="AJ55">
        <f>SUMPRODUCT((M_BOM[RM_Code]=$A55)*M_BOM[RM_Qty_Per_Batch]*IFERROR(INDEX(PP_Grid[#Data],M_BOM[PPGridRow],36),0))</f>
        <v/>
      </c>
      <c r="AK55">
        <f>SUMPRODUCT((M_BOM[RM_Code]=$A55)*M_BOM[RM_Qty_Per_Batch]*IFERROR(INDEX(PP_Grid[#Data],M_BOM[PPGridRow],37),0))</f>
        <v/>
      </c>
      <c r="AL55">
        <f>SUMPRODUCT((M_BOM[RM_Code]=$A55)*M_BOM[RM_Qty_Per_Batch]*IFERROR(INDEX(PP_Grid[#Data],M_BOM[PPGridRow],38),0))</f>
        <v/>
      </c>
      <c r="AM55">
        <f>SUMPRODUCT((M_BOM[RM_Code]=$A55)*M_BOM[RM_Qty_Per_Batch]*IFERROR(INDEX(PP_Grid[#Data],M_BOM[PPGridRow],39),0))</f>
        <v/>
      </c>
      <c r="AN55">
        <f>SUMPRODUCT((M_BOM[RM_Code]=$A55)*M_BOM[RM_Qty_Per_Batch]*IFERROR(INDEX(PP_Grid[#Data],M_BOM[PPGridRow],40),0))</f>
        <v/>
      </c>
      <c r="AO55">
        <f>SUMPRODUCT((M_BOM[RM_Code]=$A55)*M_BOM[RM_Qty_Per_Batch]*IFERROR(INDEX(PP_Grid[#Data],M_BOM[PPGridRow],41),0))</f>
        <v/>
      </c>
      <c r="AP55">
        <f>SUMPRODUCT((M_BOM[RM_Code]=$A55)*M_BOM[RM_Qty_Per_Batch]*IFERROR(INDEX(PP_Grid[#Data],M_BOM[PPGridRow],42),0))</f>
        <v/>
      </c>
      <c r="AQ55">
        <f>SUMPRODUCT((M_BOM[RM_Code]=$A55)*M_BOM[RM_Qty_Per_Batch]*IFERROR(INDEX(PP_Grid[#Data],M_BOM[PPGridRow],43),0))</f>
        <v/>
      </c>
      <c r="AR55">
        <f>SUMPRODUCT((M_BOM[RM_Code]=$A55)*M_BOM[RM_Qty_Per_Batch]*IFERROR(INDEX(PP_Grid[#Data],M_BOM[PPGridRow],44),0))</f>
        <v/>
      </c>
      <c r="AS55">
        <f>SUMPRODUCT((M_BOM[RM_Code]=$A55)*M_BOM[RM_Qty_Per_Batch]*IFERROR(INDEX(PP_Grid[#Data],M_BOM[PPGridRow],45),0))</f>
        <v/>
      </c>
      <c r="AT55">
        <f>SUMPRODUCT((M_BOM[RM_Code]=$A55)*M_BOM[RM_Qty_Per_Batch]*IFERROR(INDEX(PP_Grid[#Data],M_BOM[PPGridRow],46),0))</f>
        <v/>
      </c>
      <c r="AU55">
        <f>SUMPRODUCT((M_BOM[RM_Code]=$A55)*M_BOM[RM_Qty_Per_Batch]*IFERROR(INDEX(PP_Grid[#Data],M_BOM[PPGridRow],47),0))</f>
        <v/>
      </c>
      <c r="AV55">
        <f>SUMPRODUCT((M_BOM[RM_Code]=$A55)*M_BOM[RM_Qty_Per_Batch]*IFERROR(INDEX(PP_Grid[#Data],M_BOM[PPGridRow],48),0))</f>
        <v/>
      </c>
      <c r="AW55">
        <f>SUMPRODUCT((M_BOM[RM_Code]=$A55)*M_BOM[RM_Qty_Per_Batch]*IFERROR(INDEX(PP_Grid[#Data],M_BOM[PPGridRow],49),0))</f>
        <v/>
      </c>
      <c r="AX55">
        <f>SUMPRODUCT((M_BOM[RM_Code]=$A55)*M_BOM[RM_Qty_Per_Batch]*IFERROR(INDEX(PP_Grid[#Data],M_BOM[PPGridRow],50),0))</f>
        <v/>
      </c>
      <c r="AY55">
        <f>SUMPRODUCT((M_BOM[RM_Code]=$A55)*M_BOM[RM_Qty_Per_Batch]*IFERROR(INDEX(PP_Grid[#Data],M_BOM[PPGridRow],51),0))</f>
        <v/>
      </c>
      <c r="AZ55">
        <f>SUMPRODUCT((M_BOM[RM_Code]=$A55)*M_BOM[RM_Qty_Per_Batch]*IFERROR(INDEX(PP_Grid[#Data],M_BOM[PPGridRow],52),0))</f>
        <v/>
      </c>
      <c r="BA55">
        <f>SUMPRODUCT((M_BOM[RM_Code]=$A55)*M_BOM[RM_Qty_Per_Batch]*IFERROR(INDEX(PP_Grid[#Data],M_BOM[PPGridRow],53),0))</f>
        <v/>
      </c>
      <c r="BB55">
        <f>SUMPRODUCT((M_BOM[RM_Code]=$A55)*M_BOM[RM_Qty_Per_Batch]*IFERROR(INDEX(PP_Grid[#Data],M_BOM[PPGridRow],54),0))</f>
        <v/>
      </c>
      <c r="BC55">
        <f>SUMPRODUCT((M_BOM[RM_Code]=$A55)*M_BOM[RM_Qty_Per_Batch]*IFERROR(INDEX(PP_Grid[#Data],M_BOM[PPGridRow],55),0))</f>
        <v/>
      </c>
      <c r="BD55">
        <f>SUMPRODUCT((M_BOM[RM_Code]=$A55)*M_BOM[RM_Qty_Per_Batch]*IFERROR(INDEX(PP_Grid[#Data],M_BOM[PPGridRow],56),0))</f>
        <v/>
      </c>
      <c r="BE55">
        <f>SUMPRODUCT((M_BOM[RM_Code]=$A55)*M_BOM[RM_Qty_Per_Batch]*IFERROR(INDEX(PP_Grid[#Data],M_BOM[PPGridRow],57),0))</f>
        <v/>
      </c>
      <c r="BF55">
        <f>SUMPRODUCT((M_BOM[RM_Code]=$A55)*M_BOM[RM_Qty_Per_Batch]*IFERROR(INDEX(PP_Grid[#Data],M_BOM[PPGridRow],58),0))</f>
        <v/>
      </c>
      <c r="BG55">
        <f>SUMPRODUCT((M_BOM[RM_Code]=$A55)*M_BOM[RM_Qty_Per_Batch]*IFERROR(INDEX(PP_Grid[#Data],M_BOM[PPGridRow],59),0))</f>
        <v/>
      </c>
      <c r="BH55">
        <f>SUMPRODUCT((M_BOM[RM_Code]=$A55)*M_BOM[RM_Qty_Per_Batch]*IFERROR(INDEX(PP_Grid[#Data],M_BOM[PPGridRow],60),0))</f>
        <v/>
      </c>
      <c r="BI55">
        <f>SUMPRODUCT((M_BOM[RM_Code]=$A55)*M_BOM[RM_Qty_Per_Batch]*IFERROR(INDEX(PP_Grid[#Data],M_BOM[PPGridRow],61),0))</f>
        <v/>
      </c>
      <c r="BJ55">
        <f>SUMPRODUCT((M_BOM[RM_Code]=$A55)*M_BOM[RM_Qty_Per_Batch]*IFERROR(INDEX(PP_Grid[#Data],M_BOM[PPGridRow],62),0))</f>
        <v/>
      </c>
      <c r="BK55">
        <f>SUMPRODUCT((M_BOM[RM_Code]=$A55)*M_BOM[RM_Qty_Per_Batch]*IFERROR(INDEX(PP_Grid[#Data],M_BOM[PPGridRow],63),0))</f>
        <v/>
      </c>
      <c r="BL55">
        <f>SUMPRODUCT((M_BOM[RM_Code]=$A55)*M_BOM[RM_Qty_Per_Batch]*IFERROR(INDEX(PP_Grid[#Data],M_BOM[PPGridRow],64),0))</f>
        <v/>
      </c>
      <c r="BM55">
        <f>SUMPRODUCT((M_BOM[RM_Code]=$A55)*M_BOM[RM_Qty_Per_Batch]*IFERROR(INDEX(PP_Grid[#Data],M_BOM[PPGridRow],65),0))</f>
        <v/>
      </c>
      <c r="BN55">
        <f>SUMPRODUCT((M_BOM[RM_Code]=$A55)*M_BOM[RM_Qty_Per_Batch]*IFERROR(INDEX(PP_Grid[#Data],M_BOM[PPGridRow],66),0))</f>
        <v/>
      </c>
      <c r="BO55">
        <f>SUMPRODUCT((M_BOM[RM_Code]=$A55)*M_BOM[RM_Qty_Per_Batch]*IFERROR(INDEX(PP_Grid[#Data],M_BOM[PPGridRow],67),0))</f>
        <v/>
      </c>
      <c r="BP55">
        <f>SUMPRODUCT((M_BOM[RM_Code]=$A55)*M_BOM[RM_Qty_Per_Batch]*IFERROR(INDEX(PP_Grid[#Data],M_BOM[PPGridRow],68),0))</f>
        <v/>
      </c>
      <c r="BQ55">
        <f>SUMPRODUCT((M_BOM[RM_Code]=$A55)*M_BOM[RM_Qty_Per_Batch]*IFERROR(INDEX(PP_Grid[#Data],M_BOM[PPGridRow],69),0))</f>
        <v/>
      </c>
      <c r="BR55">
        <f>SUMPRODUCT((M_BOM[RM_Code]=$A55)*M_BOM[RM_Qty_Per_Batch]*IFERROR(INDEX(PP_Grid[#Data],M_BOM[PPGridRow],70),0))</f>
        <v/>
      </c>
      <c r="BS55">
        <f>SUMPRODUCT((M_BOM[RM_Code]=$A55)*M_BOM[RM_Qty_Per_Batch]*IFERROR(INDEX(PP_Grid[#Data],M_BOM[PPGridRow],71),0))</f>
        <v/>
      </c>
      <c r="BT55">
        <f>SUMPRODUCT((M_BOM[RM_Code]=$A55)*M_BOM[RM_Qty_Per_Batch]*IFERROR(INDEX(PP_Grid[#Data],M_BOM[PPGridRow],72),0))</f>
        <v/>
      </c>
      <c r="BU55">
        <f>SUMPRODUCT((M_BOM[RM_Code]=$A55)*M_BOM[RM_Qty_Per_Batch]*IFERROR(INDEX(PP_Grid[#Data],M_BOM[PPGridRow],73),0))</f>
        <v/>
      </c>
      <c r="BV55">
        <f>SUMPRODUCT((M_BOM[RM_Code]=$A55)*M_BOM[RM_Qty_Per_Batch]*IFERROR(INDEX(PP_Grid[#Data],M_BOM[PPGridRow],74),0))</f>
        <v/>
      </c>
      <c r="BW55">
        <f>SUMPRODUCT((M_BOM[RM_Code]=$A55)*M_BOM[RM_Qty_Per_Batch]*IFERROR(INDEX(PP_Grid[#Data],M_BOM[PPGridRow],75),0))</f>
        <v/>
      </c>
      <c r="BX55">
        <f>SUMPRODUCT((M_BOM[RM_Code]=$A55)*M_BOM[RM_Qty_Per_Batch]*IFERROR(INDEX(PP_Grid[#Data],M_BOM[PPGridRow],76),0))</f>
        <v/>
      </c>
      <c r="BY55">
        <f>SUMPRODUCT((M_BOM[RM_Code]=$A55)*M_BOM[RM_Qty_Per_Batch]*IFERROR(INDEX(PP_Grid[#Data],M_BOM[PPGridRow],77),0))</f>
        <v/>
      </c>
      <c r="BZ55">
        <f>SUMPRODUCT((M_BOM[RM_Code]=$A55)*M_BOM[RM_Qty_Per_Batch]*IFERROR(INDEX(PP_Grid[#Data],M_BOM[PPGridRow],78),0))</f>
        <v/>
      </c>
      <c r="CA55">
        <f>SUMPRODUCT((M_BOM[RM_Code]=$A55)*M_BOM[RM_Qty_Per_Batch]*IFERROR(INDEX(PP_Grid[#Data],M_BOM[PPGridRow],79),0))</f>
        <v/>
      </c>
      <c r="CB55">
        <f>SUMPRODUCT((M_BOM[RM_Code]=$A55)*M_BOM[RM_Qty_Per_Batch]*IFERROR(INDEX(PP_Grid[#Data],M_BOM[PPGridRow],80),0))</f>
        <v/>
      </c>
      <c r="CC55">
        <f>SUMPRODUCT((M_BOM[RM_Code]=$A55)*M_BOM[RM_Qty_Per_Batch]*IFERROR(INDEX(PP_Grid[#Data],M_BOM[PPGridRow],81),0))</f>
        <v/>
      </c>
      <c r="CD55">
        <f>SUMPRODUCT((M_BOM[RM_Code]=$A55)*M_BOM[RM_Qty_Per_Batch]*IFERROR(INDEX(PP_Grid[#Data],M_BOM[PPGridRow],82),0))</f>
        <v/>
      </c>
      <c r="CE55">
        <f>SUMPRODUCT((M_BOM[RM_Code]=$A55)*M_BOM[RM_Qty_Per_Batch]*IFERROR(INDEX(PP_Grid[#Data],M_BOM[PPGridRow],83),0))</f>
        <v/>
      </c>
      <c r="CF55">
        <f>SUMPRODUCT((M_BOM[RM_Code]=$A55)*M_BOM[RM_Qty_Per_Batch]*IFERROR(INDEX(PP_Grid[#Data],M_BOM[PPGridRow],84),0))</f>
        <v/>
      </c>
      <c r="CG55">
        <f>SUMPRODUCT((M_BOM[RM_Code]=$A55)*M_BOM[RM_Qty_Per_Batch]*IFERROR(INDEX(PP_Grid[#Data],M_BOM[PPGridRow],85),0))</f>
        <v/>
      </c>
      <c r="CH55">
        <f>SUMPRODUCT((M_BOM[RM_Code]=$A55)*M_BOM[RM_Qty_Per_Batch]*IFERROR(INDEX(PP_Grid[#Data],M_BOM[PPGridRow],86),0))</f>
        <v/>
      </c>
      <c r="CI55">
        <f>SUMPRODUCT((M_BOM[RM_Code]=$A55)*M_BOM[RM_Qty_Per_Batch]*IFERROR(INDEX(PP_Grid[#Data],M_BOM[PPGridRow],87),0))</f>
        <v/>
      </c>
      <c r="CJ55">
        <f>SUMPRODUCT((M_BOM[RM_Code]=$A55)*M_BOM[RM_Qty_Per_Batch]*IFERROR(INDEX(PP_Grid[#Data],M_BOM[PPGridRow],88),0))</f>
        <v/>
      </c>
      <c r="CK55">
        <f>SUMPRODUCT((M_BOM[RM_Code]=$A55)*M_BOM[RM_Qty_Per_Batch]*IFERROR(INDEX(PP_Grid[#Data],M_BOM[PPGridRow],89),0))</f>
        <v/>
      </c>
      <c r="CL55">
        <f>SUMPRODUCT((M_BOM[RM_Code]=$A55)*M_BOM[RM_Qty_Per_Batch]*IFERROR(INDEX(PP_Grid[#Data],M_BOM[PPGridRow],90),0))</f>
        <v/>
      </c>
      <c r="CM55">
        <f>SUMPRODUCT((M_BOM[RM_Code]=$A55)*M_BOM[RM_Qty_Per_Batch]*IFERROR(INDEX(PP_Grid[#Data],M_BOM[PPGridRow],91),0))</f>
        <v/>
      </c>
      <c r="CN55">
        <f>SUMPRODUCT((M_BOM[RM_Code]=$A55)*M_BOM[RM_Qty_Per_Batch]*IFERROR(INDEX(PP_Grid[#Data],M_BOM[PPGridRow],92),0))</f>
        <v/>
      </c>
      <c r="CO55">
        <f>SUMPRODUCT((M_BOM[RM_Code]=$A55)*M_BOM[RM_Qty_Per_Batch]*IFERROR(INDEX(PP_Grid[#Data],M_BOM[PPGridRow],93),0))</f>
        <v/>
      </c>
      <c r="CP55">
        <f>SUMPRODUCT((M_BOM[RM_Code]=$A55)*M_BOM[RM_Qty_Per_Batch]*IFERROR(INDEX(PP_Grid[#Data],M_BOM[PPGridRow],94),0))</f>
        <v/>
      </c>
      <c r="CQ55">
        <f>SUMPRODUCT((M_BOM[RM_Code]=$A55)*M_BOM[RM_Qty_Per_Batch]*IFERROR(INDEX(PP_Grid[#Data],M_BOM[PPGridRow],95),0))</f>
        <v/>
      </c>
      <c r="CR55">
        <f>SUMPRODUCT((M_BOM[RM_Code]=$A55)*M_BOM[RM_Qty_Per_Batch]*IFERROR(INDEX(PP_Grid[#Data],M_BOM[PPGridRow],96),0))</f>
        <v/>
      </c>
      <c r="CS55">
        <f>SUMPRODUCT((M_BOM[RM_Code]=$A55)*M_BOM[RM_Qty_Per_Batch]*IFERROR(INDEX(PP_Grid[#Data],M_BOM[PPGridRow],97),0))</f>
        <v/>
      </c>
      <c r="CT55">
        <f>SUMPRODUCT((M_BOM[RM_Code]=$A55)*M_BOM[RM_Qty_Per_Batch]*IFERROR(INDEX(PP_Grid[#Data],M_BOM[PPGridRow],98),0))</f>
        <v/>
      </c>
      <c r="CU55">
        <f>SUMPRODUCT((M_BOM[RM_Code]=$A55)*M_BOM[RM_Qty_Per_Batch]*IFERROR(INDEX(PP_Grid[#Data],M_BOM[PPGridRow],99),0))</f>
        <v/>
      </c>
      <c r="CV55">
        <f>SUMPRODUCT((M_BOM[RM_Code]=$A55)*M_BOM[RM_Qty_Per_Batch]*IFERROR(INDEX(PP_Grid[#Data],M_BOM[PPGridRow],100),0))</f>
        <v/>
      </c>
      <c r="CW55">
        <f>SUMPRODUCT((M_BOM[RM_Code]=$A55)*M_BOM[RM_Qty_Per_Batch]*IFERROR(INDEX(PP_Grid[#Data],M_BOM[PPGridRow],101),0))</f>
        <v/>
      </c>
      <c r="CX55">
        <f>SUMPRODUCT((M_BOM[RM_Code]=$A55)*M_BOM[RM_Qty_Per_Batch]*IFERROR(INDEX(PP_Grid[#Data],M_BOM[PPGridRow],102),0))</f>
        <v/>
      </c>
      <c r="CY55">
        <f>SUMPRODUCT((M_BOM[RM_Code]=$A55)*M_BOM[RM_Qty_Per_Batch]*IFERROR(INDEX(PP_Grid[#Data],M_BOM[PPGridRow],103),0))</f>
        <v/>
      </c>
      <c r="CZ55">
        <f>SUMPRODUCT((M_BOM[RM_Code]=$A55)*M_BOM[RM_Qty_Per_Batch]*IFERROR(INDEX(PP_Grid[#Data],M_BOM[PPGridRow],104),0))</f>
        <v/>
      </c>
      <c r="DA55">
        <f>SUMPRODUCT((M_BOM[RM_Code]=$A55)*M_BOM[RM_Qty_Per_Batch]*IFERROR(INDEX(PP_Grid[#Data],M_BOM[PPGridRow],105),0))</f>
        <v/>
      </c>
    </row>
    <row r="56">
      <c r="A56" t="inlineStr">
        <is>
          <t>CHEM-1080</t>
        </is>
      </c>
      <c r="B56">
        <f>SUMPRODUCT((M_BOM[RM_Code]=$A56)*M_BOM[RM_Qty_Per_Batch]*IFERROR(INDEX(PP_Grid[#Data],M_BOM[PPGridRow],2),0))</f>
        <v/>
      </c>
      <c r="C56">
        <f>SUMPRODUCT((M_BOM[RM_Code]=$A56)*M_BOM[RM_Qty_Per_Batch]*IFERROR(INDEX(PP_Grid[#Data],M_BOM[PPGridRow],3),0))</f>
        <v/>
      </c>
      <c r="D56">
        <f>SUMPRODUCT((M_BOM[RM_Code]=$A56)*M_BOM[RM_Qty_Per_Batch]*IFERROR(INDEX(PP_Grid[#Data],M_BOM[PPGridRow],4),0))</f>
        <v/>
      </c>
      <c r="E56">
        <f>SUMPRODUCT((M_BOM[RM_Code]=$A56)*M_BOM[RM_Qty_Per_Batch]*IFERROR(INDEX(PP_Grid[#Data],M_BOM[PPGridRow],5),0))</f>
        <v/>
      </c>
      <c r="F56">
        <f>SUMPRODUCT((M_BOM[RM_Code]=$A56)*M_BOM[RM_Qty_Per_Batch]*IFERROR(INDEX(PP_Grid[#Data],M_BOM[PPGridRow],6),0))</f>
        <v/>
      </c>
      <c r="G56">
        <f>SUMPRODUCT((M_BOM[RM_Code]=$A56)*M_BOM[RM_Qty_Per_Batch]*IFERROR(INDEX(PP_Grid[#Data],M_BOM[PPGridRow],7),0))</f>
        <v/>
      </c>
      <c r="H56">
        <f>SUMPRODUCT((M_BOM[RM_Code]=$A56)*M_BOM[RM_Qty_Per_Batch]*IFERROR(INDEX(PP_Grid[#Data],M_BOM[PPGridRow],8),0))</f>
        <v/>
      </c>
      <c r="I56">
        <f>SUMPRODUCT((M_BOM[RM_Code]=$A56)*M_BOM[RM_Qty_Per_Batch]*IFERROR(INDEX(PP_Grid[#Data],M_BOM[PPGridRow],9),0))</f>
        <v/>
      </c>
      <c r="J56">
        <f>SUMPRODUCT((M_BOM[RM_Code]=$A56)*M_BOM[RM_Qty_Per_Batch]*IFERROR(INDEX(PP_Grid[#Data],M_BOM[PPGridRow],10),0))</f>
        <v/>
      </c>
      <c r="K56">
        <f>SUMPRODUCT((M_BOM[RM_Code]=$A56)*M_BOM[RM_Qty_Per_Batch]*IFERROR(INDEX(PP_Grid[#Data],M_BOM[PPGridRow],11),0))</f>
        <v/>
      </c>
      <c r="L56">
        <f>SUMPRODUCT((M_BOM[RM_Code]=$A56)*M_BOM[RM_Qty_Per_Batch]*IFERROR(INDEX(PP_Grid[#Data],M_BOM[PPGridRow],12),0))</f>
        <v/>
      </c>
      <c r="M56">
        <f>SUMPRODUCT((M_BOM[RM_Code]=$A56)*M_BOM[RM_Qty_Per_Batch]*IFERROR(INDEX(PP_Grid[#Data],M_BOM[PPGridRow],13),0))</f>
        <v/>
      </c>
      <c r="N56">
        <f>SUMPRODUCT((M_BOM[RM_Code]=$A56)*M_BOM[RM_Qty_Per_Batch]*IFERROR(INDEX(PP_Grid[#Data],M_BOM[PPGridRow],14),0))</f>
        <v/>
      </c>
      <c r="O56">
        <f>SUMPRODUCT((M_BOM[RM_Code]=$A56)*M_BOM[RM_Qty_Per_Batch]*IFERROR(INDEX(PP_Grid[#Data],M_BOM[PPGridRow],15),0))</f>
        <v/>
      </c>
      <c r="P56">
        <f>SUMPRODUCT((M_BOM[RM_Code]=$A56)*M_BOM[RM_Qty_Per_Batch]*IFERROR(INDEX(PP_Grid[#Data],M_BOM[PPGridRow],16),0))</f>
        <v/>
      </c>
      <c r="Q56">
        <f>SUMPRODUCT((M_BOM[RM_Code]=$A56)*M_BOM[RM_Qty_Per_Batch]*IFERROR(INDEX(PP_Grid[#Data],M_BOM[PPGridRow],17),0))</f>
        <v/>
      </c>
      <c r="R56">
        <f>SUMPRODUCT((M_BOM[RM_Code]=$A56)*M_BOM[RM_Qty_Per_Batch]*IFERROR(INDEX(PP_Grid[#Data],M_BOM[PPGridRow],18),0))</f>
        <v/>
      </c>
      <c r="S56">
        <f>SUMPRODUCT((M_BOM[RM_Code]=$A56)*M_BOM[RM_Qty_Per_Batch]*IFERROR(INDEX(PP_Grid[#Data],M_BOM[PPGridRow],19),0))</f>
        <v/>
      </c>
      <c r="T56">
        <f>SUMPRODUCT((M_BOM[RM_Code]=$A56)*M_BOM[RM_Qty_Per_Batch]*IFERROR(INDEX(PP_Grid[#Data],M_BOM[PPGridRow],20),0))</f>
        <v/>
      </c>
      <c r="U56">
        <f>SUMPRODUCT((M_BOM[RM_Code]=$A56)*M_BOM[RM_Qty_Per_Batch]*IFERROR(INDEX(PP_Grid[#Data],M_BOM[PPGridRow],21),0))</f>
        <v/>
      </c>
      <c r="V56">
        <f>SUMPRODUCT((M_BOM[RM_Code]=$A56)*M_BOM[RM_Qty_Per_Batch]*IFERROR(INDEX(PP_Grid[#Data],M_BOM[PPGridRow],22),0))</f>
        <v/>
      </c>
      <c r="W56">
        <f>SUMPRODUCT((M_BOM[RM_Code]=$A56)*M_BOM[RM_Qty_Per_Batch]*IFERROR(INDEX(PP_Grid[#Data],M_BOM[PPGridRow],23),0))</f>
        <v/>
      </c>
      <c r="X56">
        <f>SUMPRODUCT((M_BOM[RM_Code]=$A56)*M_BOM[RM_Qty_Per_Batch]*IFERROR(INDEX(PP_Grid[#Data],M_BOM[PPGridRow],24),0))</f>
        <v/>
      </c>
      <c r="Y56">
        <f>SUMPRODUCT((M_BOM[RM_Code]=$A56)*M_BOM[RM_Qty_Per_Batch]*IFERROR(INDEX(PP_Grid[#Data],M_BOM[PPGridRow],25),0))</f>
        <v/>
      </c>
      <c r="Z56">
        <f>SUMPRODUCT((M_BOM[RM_Code]=$A56)*M_BOM[RM_Qty_Per_Batch]*IFERROR(INDEX(PP_Grid[#Data],M_BOM[PPGridRow],26),0))</f>
        <v/>
      </c>
      <c r="AA56">
        <f>SUMPRODUCT((M_BOM[RM_Code]=$A56)*M_BOM[RM_Qty_Per_Batch]*IFERROR(INDEX(PP_Grid[#Data],M_BOM[PPGridRow],27),0))</f>
        <v/>
      </c>
      <c r="AB56">
        <f>SUMPRODUCT((M_BOM[RM_Code]=$A56)*M_BOM[RM_Qty_Per_Batch]*IFERROR(INDEX(PP_Grid[#Data],M_BOM[PPGridRow],28),0))</f>
        <v/>
      </c>
      <c r="AC56">
        <f>SUMPRODUCT((M_BOM[RM_Code]=$A56)*M_BOM[RM_Qty_Per_Batch]*IFERROR(INDEX(PP_Grid[#Data],M_BOM[PPGridRow],29),0))</f>
        <v/>
      </c>
      <c r="AD56">
        <f>SUMPRODUCT((M_BOM[RM_Code]=$A56)*M_BOM[RM_Qty_Per_Batch]*IFERROR(INDEX(PP_Grid[#Data],M_BOM[PPGridRow],30),0))</f>
        <v/>
      </c>
      <c r="AE56">
        <f>SUMPRODUCT((M_BOM[RM_Code]=$A56)*M_BOM[RM_Qty_Per_Batch]*IFERROR(INDEX(PP_Grid[#Data],M_BOM[PPGridRow],31),0))</f>
        <v/>
      </c>
      <c r="AF56">
        <f>SUMPRODUCT((M_BOM[RM_Code]=$A56)*M_BOM[RM_Qty_Per_Batch]*IFERROR(INDEX(PP_Grid[#Data],M_BOM[PPGridRow],32),0))</f>
        <v/>
      </c>
      <c r="AG56">
        <f>SUMPRODUCT((M_BOM[RM_Code]=$A56)*M_BOM[RM_Qty_Per_Batch]*IFERROR(INDEX(PP_Grid[#Data],M_BOM[PPGridRow],33),0))</f>
        <v/>
      </c>
      <c r="AH56">
        <f>SUMPRODUCT((M_BOM[RM_Code]=$A56)*M_BOM[RM_Qty_Per_Batch]*IFERROR(INDEX(PP_Grid[#Data],M_BOM[PPGridRow],34),0))</f>
        <v/>
      </c>
      <c r="AI56">
        <f>SUMPRODUCT((M_BOM[RM_Code]=$A56)*M_BOM[RM_Qty_Per_Batch]*IFERROR(INDEX(PP_Grid[#Data],M_BOM[PPGridRow],35),0))</f>
        <v/>
      </c>
      <c r="AJ56">
        <f>SUMPRODUCT((M_BOM[RM_Code]=$A56)*M_BOM[RM_Qty_Per_Batch]*IFERROR(INDEX(PP_Grid[#Data],M_BOM[PPGridRow],36),0))</f>
        <v/>
      </c>
      <c r="AK56">
        <f>SUMPRODUCT((M_BOM[RM_Code]=$A56)*M_BOM[RM_Qty_Per_Batch]*IFERROR(INDEX(PP_Grid[#Data],M_BOM[PPGridRow],37),0))</f>
        <v/>
      </c>
      <c r="AL56">
        <f>SUMPRODUCT((M_BOM[RM_Code]=$A56)*M_BOM[RM_Qty_Per_Batch]*IFERROR(INDEX(PP_Grid[#Data],M_BOM[PPGridRow],38),0))</f>
        <v/>
      </c>
      <c r="AM56">
        <f>SUMPRODUCT((M_BOM[RM_Code]=$A56)*M_BOM[RM_Qty_Per_Batch]*IFERROR(INDEX(PP_Grid[#Data],M_BOM[PPGridRow],39),0))</f>
        <v/>
      </c>
      <c r="AN56">
        <f>SUMPRODUCT((M_BOM[RM_Code]=$A56)*M_BOM[RM_Qty_Per_Batch]*IFERROR(INDEX(PP_Grid[#Data],M_BOM[PPGridRow],40),0))</f>
        <v/>
      </c>
      <c r="AO56">
        <f>SUMPRODUCT((M_BOM[RM_Code]=$A56)*M_BOM[RM_Qty_Per_Batch]*IFERROR(INDEX(PP_Grid[#Data],M_BOM[PPGridRow],41),0))</f>
        <v/>
      </c>
      <c r="AP56">
        <f>SUMPRODUCT((M_BOM[RM_Code]=$A56)*M_BOM[RM_Qty_Per_Batch]*IFERROR(INDEX(PP_Grid[#Data],M_BOM[PPGridRow],42),0))</f>
        <v/>
      </c>
      <c r="AQ56">
        <f>SUMPRODUCT((M_BOM[RM_Code]=$A56)*M_BOM[RM_Qty_Per_Batch]*IFERROR(INDEX(PP_Grid[#Data],M_BOM[PPGridRow],43),0))</f>
        <v/>
      </c>
      <c r="AR56">
        <f>SUMPRODUCT((M_BOM[RM_Code]=$A56)*M_BOM[RM_Qty_Per_Batch]*IFERROR(INDEX(PP_Grid[#Data],M_BOM[PPGridRow],44),0))</f>
        <v/>
      </c>
      <c r="AS56">
        <f>SUMPRODUCT((M_BOM[RM_Code]=$A56)*M_BOM[RM_Qty_Per_Batch]*IFERROR(INDEX(PP_Grid[#Data],M_BOM[PPGridRow],45),0))</f>
        <v/>
      </c>
      <c r="AT56">
        <f>SUMPRODUCT((M_BOM[RM_Code]=$A56)*M_BOM[RM_Qty_Per_Batch]*IFERROR(INDEX(PP_Grid[#Data],M_BOM[PPGridRow],46),0))</f>
        <v/>
      </c>
      <c r="AU56">
        <f>SUMPRODUCT((M_BOM[RM_Code]=$A56)*M_BOM[RM_Qty_Per_Batch]*IFERROR(INDEX(PP_Grid[#Data],M_BOM[PPGridRow],47),0))</f>
        <v/>
      </c>
      <c r="AV56">
        <f>SUMPRODUCT((M_BOM[RM_Code]=$A56)*M_BOM[RM_Qty_Per_Batch]*IFERROR(INDEX(PP_Grid[#Data],M_BOM[PPGridRow],48),0))</f>
        <v/>
      </c>
      <c r="AW56">
        <f>SUMPRODUCT((M_BOM[RM_Code]=$A56)*M_BOM[RM_Qty_Per_Batch]*IFERROR(INDEX(PP_Grid[#Data],M_BOM[PPGridRow],49),0))</f>
        <v/>
      </c>
      <c r="AX56">
        <f>SUMPRODUCT((M_BOM[RM_Code]=$A56)*M_BOM[RM_Qty_Per_Batch]*IFERROR(INDEX(PP_Grid[#Data],M_BOM[PPGridRow],50),0))</f>
        <v/>
      </c>
      <c r="AY56">
        <f>SUMPRODUCT((M_BOM[RM_Code]=$A56)*M_BOM[RM_Qty_Per_Batch]*IFERROR(INDEX(PP_Grid[#Data],M_BOM[PPGridRow],51),0))</f>
        <v/>
      </c>
      <c r="AZ56">
        <f>SUMPRODUCT((M_BOM[RM_Code]=$A56)*M_BOM[RM_Qty_Per_Batch]*IFERROR(INDEX(PP_Grid[#Data],M_BOM[PPGridRow],52),0))</f>
        <v/>
      </c>
      <c r="BA56">
        <f>SUMPRODUCT((M_BOM[RM_Code]=$A56)*M_BOM[RM_Qty_Per_Batch]*IFERROR(INDEX(PP_Grid[#Data],M_BOM[PPGridRow],53),0))</f>
        <v/>
      </c>
      <c r="BB56">
        <f>SUMPRODUCT((M_BOM[RM_Code]=$A56)*M_BOM[RM_Qty_Per_Batch]*IFERROR(INDEX(PP_Grid[#Data],M_BOM[PPGridRow],54),0))</f>
        <v/>
      </c>
      <c r="BC56">
        <f>SUMPRODUCT((M_BOM[RM_Code]=$A56)*M_BOM[RM_Qty_Per_Batch]*IFERROR(INDEX(PP_Grid[#Data],M_BOM[PPGridRow],55),0))</f>
        <v/>
      </c>
      <c r="BD56">
        <f>SUMPRODUCT((M_BOM[RM_Code]=$A56)*M_BOM[RM_Qty_Per_Batch]*IFERROR(INDEX(PP_Grid[#Data],M_BOM[PPGridRow],56),0))</f>
        <v/>
      </c>
      <c r="BE56">
        <f>SUMPRODUCT((M_BOM[RM_Code]=$A56)*M_BOM[RM_Qty_Per_Batch]*IFERROR(INDEX(PP_Grid[#Data],M_BOM[PPGridRow],57),0))</f>
        <v/>
      </c>
      <c r="BF56">
        <f>SUMPRODUCT((M_BOM[RM_Code]=$A56)*M_BOM[RM_Qty_Per_Batch]*IFERROR(INDEX(PP_Grid[#Data],M_BOM[PPGridRow],58),0))</f>
        <v/>
      </c>
      <c r="BG56">
        <f>SUMPRODUCT((M_BOM[RM_Code]=$A56)*M_BOM[RM_Qty_Per_Batch]*IFERROR(INDEX(PP_Grid[#Data],M_BOM[PPGridRow],59),0))</f>
        <v/>
      </c>
      <c r="BH56">
        <f>SUMPRODUCT((M_BOM[RM_Code]=$A56)*M_BOM[RM_Qty_Per_Batch]*IFERROR(INDEX(PP_Grid[#Data],M_BOM[PPGridRow],60),0))</f>
        <v/>
      </c>
      <c r="BI56">
        <f>SUMPRODUCT((M_BOM[RM_Code]=$A56)*M_BOM[RM_Qty_Per_Batch]*IFERROR(INDEX(PP_Grid[#Data],M_BOM[PPGridRow],61),0))</f>
        <v/>
      </c>
      <c r="BJ56">
        <f>SUMPRODUCT((M_BOM[RM_Code]=$A56)*M_BOM[RM_Qty_Per_Batch]*IFERROR(INDEX(PP_Grid[#Data],M_BOM[PPGridRow],62),0))</f>
        <v/>
      </c>
      <c r="BK56">
        <f>SUMPRODUCT((M_BOM[RM_Code]=$A56)*M_BOM[RM_Qty_Per_Batch]*IFERROR(INDEX(PP_Grid[#Data],M_BOM[PPGridRow],63),0))</f>
        <v/>
      </c>
      <c r="BL56">
        <f>SUMPRODUCT((M_BOM[RM_Code]=$A56)*M_BOM[RM_Qty_Per_Batch]*IFERROR(INDEX(PP_Grid[#Data],M_BOM[PPGridRow],64),0))</f>
        <v/>
      </c>
      <c r="BM56">
        <f>SUMPRODUCT((M_BOM[RM_Code]=$A56)*M_BOM[RM_Qty_Per_Batch]*IFERROR(INDEX(PP_Grid[#Data],M_BOM[PPGridRow],65),0))</f>
        <v/>
      </c>
      <c r="BN56">
        <f>SUMPRODUCT((M_BOM[RM_Code]=$A56)*M_BOM[RM_Qty_Per_Batch]*IFERROR(INDEX(PP_Grid[#Data],M_BOM[PPGridRow],66),0))</f>
        <v/>
      </c>
      <c r="BO56">
        <f>SUMPRODUCT((M_BOM[RM_Code]=$A56)*M_BOM[RM_Qty_Per_Batch]*IFERROR(INDEX(PP_Grid[#Data],M_BOM[PPGridRow],67),0))</f>
        <v/>
      </c>
      <c r="BP56">
        <f>SUMPRODUCT((M_BOM[RM_Code]=$A56)*M_BOM[RM_Qty_Per_Batch]*IFERROR(INDEX(PP_Grid[#Data],M_BOM[PPGridRow],68),0))</f>
        <v/>
      </c>
      <c r="BQ56">
        <f>SUMPRODUCT((M_BOM[RM_Code]=$A56)*M_BOM[RM_Qty_Per_Batch]*IFERROR(INDEX(PP_Grid[#Data],M_BOM[PPGridRow],69),0))</f>
        <v/>
      </c>
      <c r="BR56">
        <f>SUMPRODUCT((M_BOM[RM_Code]=$A56)*M_BOM[RM_Qty_Per_Batch]*IFERROR(INDEX(PP_Grid[#Data],M_BOM[PPGridRow],70),0))</f>
        <v/>
      </c>
      <c r="BS56">
        <f>SUMPRODUCT((M_BOM[RM_Code]=$A56)*M_BOM[RM_Qty_Per_Batch]*IFERROR(INDEX(PP_Grid[#Data],M_BOM[PPGridRow],71),0))</f>
        <v/>
      </c>
      <c r="BT56">
        <f>SUMPRODUCT((M_BOM[RM_Code]=$A56)*M_BOM[RM_Qty_Per_Batch]*IFERROR(INDEX(PP_Grid[#Data],M_BOM[PPGridRow],72),0))</f>
        <v/>
      </c>
      <c r="BU56">
        <f>SUMPRODUCT((M_BOM[RM_Code]=$A56)*M_BOM[RM_Qty_Per_Batch]*IFERROR(INDEX(PP_Grid[#Data],M_BOM[PPGridRow],73),0))</f>
        <v/>
      </c>
      <c r="BV56">
        <f>SUMPRODUCT((M_BOM[RM_Code]=$A56)*M_BOM[RM_Qty_Per_Batch]*IFERROR(INDEX(PP_Grid[#Data],M_BOM[PPGridRow],74),0))</f>
        <v/>
      </c>
      <c r="BW56">
        <f>SUMPRODUCT((M_BOM[RM_Code]=$A56)*M_BOM[RM_Qty_Per_Batch]*IFERROR(INDEX(PP_Grid[#Data],M_BOM[PPGridRow],75),0))</f>
        <v/>
      </c>
      <c r="BX56">
        <f>SUMPRODUCT((M_BOM[RM_Code]=$A56)*M_BOM[RM_Qty_Per_Batch]*IFERROR(INDEX(PP_Grid[#Data],M_BOM[PPGridRow],76),0))</f>
        <v/>
      </c>
      <c r="BY56">
        <f>SUMPRODUCT((M_BOM[RM_Code]=$A56)*M_BOM[RM_Qty_Per_Batch]*IFERROR(INDEX(PP_Grid[#Data],M_BOM[PPGridRow],77),0))</f>
        <v/>
      </c>
      <c r="BZ56">
        <f>SUMPRODUCT((M_BOM[RM_Code]=$A56)*M_BOM[RM_Qty_Per_Batch]*IFERROR(INDEX(PP_Grid[#Data],M_BOM[PPGridRow],78),0))</f>
        <v/>
      </c>
      <c r="CA56">
        <f>SUMPRODUCT((M_BOM[RM_Code]=$A56)*M_BOM[RM_Qty_Per_Batch]*IFERROR(INDEX(PP_Grid[#Data],M_BOM[PPGridRow],79),0))</f>
        <v/>
      </c>
      <c r="CB56">
        <f>SUMPRODUCT((M_BOM[RM_Code]=$A56)*M_BOM[RM_Qty_Per_Batch]*IFERROR(INDEX(PP_Grid[#Data],M_BOM[PPGridRow],80),0))</f>
        <v/>
      </c>
      <c r="CC56">
        <f>SUMPRODUCT((M_BOM[RM_Code]=$A56)*M_BOM[RM_Qty_Per_Batch]*IFERROR(INDEX(PP_Grid[#Data],M_BOM[PPGridRow],81),0))</f>
        <v/>
      </c>
      <c r="CD56">
        <f>SUMPRODUCT((M_BOM[RM_Code]=$A56)*M_BOM[RM_Qty_Per_Batch]*IFERROR(INDEX(PP_Grid[#Data],M_BOM[PPGridRow],82),0))</f>
        <v/>
      </c>
      <c r="CE56">
        <f>SUMPRODUCT((M_BOM[RM_Code]=$A56)*M_BOM[RM_Qty_Per_Batch]*IFERROR(INDEX(PP_Grid[#Data],M_BOM[PPGridRow],83),0))</f>
        <v/>
      </c>
      <c r="CF56">
        <f>SUMPRODUCT((M_BOM[RM_Code]=$A56)*M_BOM[RM_Qty_Per_Batch]*IFERROR(INDEX(PP_Grid[#Data],M_BOM[PPGridRow],84),0))</f>
        <v/>
      </c>
      <c r="CG56">
        <f>SUMPRODUCT((M_BOM[RM_Code]=$A56)*M_BOM[RM_Qty_Per_Batch]*IFERROR(INDEX(PP_Grid[#Data],M_BOM[PPGridRow],85),0))</f>
        <v/>
      </c>
      <c r="CH56">
        <f>SUMPRODUCT((M_BOM[RM_Code]=$A56)*M_BOM[RM_Qty_Per_Batch]*IFERROR(INDEX(PP_Grid[#Data],M_BOM[PPGridRow],86),0))</f>
        <v/>
      </c>
      <c r="CI56">
        <f>SUMPRODUCT((M_BOM[RM_Code]=$A56)*M_BOM[RM_Qty_Per_Batch]*IFERROR(INDEX(PP_Grid[#Data],M_BOM[PPGridRow],87),0))</f>
        <v/>
      </c>
      <c r="CJ56">
        <f>SUMPRODUCT((M_BOM[RM_Code]=$A56)*M_BOM[RM_Qty_Per_Batch]*IFERROR(INDEX(PP_Grid[#Data],M_BOM[PPGridRow],88),0))</f>
        <v/>
      </c>
      <c r="CK56">
        <f>SUMPRODUCT((M_BOM[RM_Code]=$A56)*M_BOM[RM_Qty_Per_Batch]*IFERROR(INDEX(PP_Grid[#Data],M_BOM[PPGridRow],89),0))</f>
        <v/>
      </c>
      <c r="CL56">
        <f>SUMPRODUCT((M_BOM[RM_Code]=$A56)*M_BOM[RM_Qty_Per_Batch]*IFERROR(INDEX(PP_Grid[#Data],M_BOM[PPGridRow],90),0))</f>
        <v/>
      </c>
      <c r="CM56">
        <f>SUMPRODUCT((M_BOM[RM_Code]=$A56)*M_BOM[RM_Qty_Per_Batch]*IFERROR(INDEX(PP_Grid[#Data],M_BOM[PPGridRow],91),0))</f>
        <v/>
      </c>
      <c r="CN56">
        <f>SUMPRODUCT((M_BOM[RM_Code]=$A56)*M_BOM[RM_Qty_Per_Batch]*IFERROR(INDEX(PP_Grid[#Data],M_BOM[PPGridRow],92),0))</f>
        <v/>
      </c>
      <c r="CO56">
        <f>SUMPRODUCT((M_BOM[RM_Code]=$A56)*M_BOM[RM_Qty_Per_Batch]*IFERROR(INDEX(PP_Grid[#Data],M_BOM[PPGridRow],93),0))</f>
        <v/>
      </c>
      <c r="CP56">
        <f>SUMPRODUCT((M_BOM[RM_Code]=$A56)*M_BOM[RM_Qty_Per_Batch]*IFERROR(INDEX(PP_Grid[#Data],M_BOM[PPGridRow],94),0))</f>
        <v/>
      </c>
      <c r="CQ56">
        <f>SUMPRODUCT((M_BOM[RM_Code]=$A56)*M_BOM[RM_Qty_Per_Batch]*IFERROR(INDEX(PP_Grid[#Data],M_BOM[PPGridRow],95),0))</f>
        <v/>
      </c>
      <c r="CR56">
        <f>SUMPRODUCT((M_BOM[RM_Code]=$A56)*M_BOM[RM_Qty_Per_Batch]*IFERROR(INDEX(PP_Grid[#Data],M_BOM[PPGridRow],96),0))</f>
        <v/>
      </c>
      <c r="CS56">
        <f>SUMPRODUCT((M_BOM[RM_Code]=$A56)*M_BOM[RM_Qty_Per_Batch]*IFERROR(INDEX(PP_Grid[#Data],M_BOM[PPGridRow],97),0))</f>
        <v/>
      </c>
      <c r="CT56">
        <f>SUMPRODUCT((M_BOM[RM_Code]=$A56)*M_BOM[RM_Qty_Per_Batch]*IFERROR(INDEX(PP_Grid[#Data],M_BOM[PPGridRow],98),0))</f>
        <v/>
      </c>
      <c r="CU56">
        <f>SUMPRODUCT((M_BOM[RM_Code]=$A56)*M_BOM[RM_Qty_Per_Batch]*IFERROR(INDEX(PP_Grid[#Data],M_BOM[PPGridRow],99),0))</f>
        <v/>
      </c>
      <c r="CV56">
        <f>SUMPRODUCT((M_BOM[RM_Code]=$A56)*M_BOM[RM_Qty_Per_Batch]*IFERROR(INDEX(PP_Grid[#Data],M_BOM[PPGridRow],100),0))</f>
        <v/>
      </c>
      <c r="CW56">
        <f>SUMPRODUCT((M_BOM[RM_Code]=$A56)*M_BOM[RM_Qty_Per_Batch]*IFERROR(INDEX(PP_Grid[#Data],M_BOM[PPGridRow],101),0))</f>
        <v/>
      </c>
      <c r="CX56">
        <f>SUMPRODUCT((M_BOM[RM_Code]=$A56)*M_BOM[RM_Qty_Per_Batch]*IFERROR(INDEX(PP_Grid[#Data],M_BOM[PPGridRow],102),0))</f>
        <v/>
      </c>
      <c r="CY56">
        <f>SUMPRODUCT((M_BOM[RM_Code]=$A56)*M_BOM[RM_Qty_Per_Batch]*IFERROR(INDEX(PP_Grid[#Data],M_BOM[PPGridRow],103),0))</f>
        <v/>
      </c>
      <c r="CZ56">
        <f>SUMPRODUCT((M_BOM[RM_Code]=$A56)*M_BOM[RM_Qty_Per_Batch]*IFERROR(INDEX(PP_Grid[#Data],M_BOM[PPGridRow],104),0))</f>
        <v/>
      </c>
      <c r="DA56">
        <f>SUMPRODUCT((M_BOM[RM_Code]=$A56)*M_BOM[RM_Qty_Per_Batch]*IFERROR(INDEX(PP_Grid[#Data],M_BOM[PPGridRow],105),0))</f>
        <v/>
      </c>
    </row>
    <row r="57">
      <c r="A57" t="inlineStr">
        <is>
          <t>CHEM-1770</t>
        </is>
      </c>
      <c r="B57">
        <f>SUMPRODUCT((M_BOM[RM_Code]=$A57)*M_BOM[RM_Qty_Per_Batch]*IFERROR(INDEX(PP_Grid[#Data],M_BOM[PPGridRow],2),0))</f>
        <v/>
      </c>
      <c r="C57">
        <f>SUMPRODUCT((M_BOM[RM_Code]=$A57)*M_BOM[RM_Qty_Per_Batch]*IFERROR(INDEX(PP_Grid[#Data],M_BOM[PPGridRow],3),0))</f>
        <v/>
      </c>
      <c r="D57">
        <f>SUMPRODUCT((M_BOM[RM_Code]=$A57)*M_BOM[RM_Qty_Per_Batch]*IFERROR(INDEX(PP_Grid[#Data],M_BOM[PPGridRow],4),0))</f>
        <v/>
      </c>
      <c r="E57">
        <f>SUMPRODUCT((M_BOM[RM_Code]=$A57)*M_BOM[RM_Qty_Per_Batch]*IFERROR(INDEX(PP_Grid[#Data],M_BOM[PPGridRow],5),0))</f>
        <v/>
      </c>
      <c r="F57">
        <f>SUMPRODUCT((M_BOM[RM_Code]=$A57)*M_BOM[RM_Qty_Per_Batch]*IFERROR(INDEX(PP_Grid[#Data],M_BOM[PPGridRow],6),0))</f>
        <v/>
      </c>
      <c r="G57">
        <f>SUMPRODUCT((M_BOM[RM_Code]=$A57)*M_BOM[RM_Qty_Per_Batch]*IFERROR(INDEX(PP_Grid[#Data],M_BOM[PPGridRow],7),0))</f>
        <v/>
      </c>
      <c r="H57">
        <f>SUMPRODUCT((M_BOM[RM_Code]=$A57)*M_BOM[RM_Qty_Per_Batch]*IFERROR(INDEX(PP_Grid[#Data],M_BOM[PPGridRow],8),0))</f>
        <v/>
      </c>
      <c r="I57">
        <f>SUMPRODUCT((M_BOM[RM_Code]=$A57)*M_BOM[RM_Qty_Per_Batch]*IFERROR(INDEX(PP_Grid[#Data],M_BOM[PPGridRow],9),0))</f>
        <v/>
      </c>
      <c r="J57">
        <f>SUMPRODUCT((M_BOM[RM_Code]=$A57)*M_BOM[RM_Qty_Per_Batch]*IFERROR(INDEX(PP_Grid[#Data],M_BOM[PPGridRow],10),0))</f>
        <v/>
      </c>
      <c r="K57">
        <f>SUMPRODUCT((M_BOM[RM_Code]=$A57)*M_BOM[RM_Qty_Per_Batch]*IFERROR(INDEX(PP_Grid[#Data],M_BOM[PPGridRow],11),0))</f>
        <v/>
      </c>
      <c r="L57">
        <f>SUMPRODUCT((M_BOM[RM_Code]=$A57)*M_BOM[RM_Qty_Per_Batch]*IFERROR(INDEX(PP_Grid[#Data],M_BOM[PPGridRow],12),0))</f>
        <v/>
      </c>
      <c r="M57">
        <f>SUMPRODUCT((M_BOM[RM_Code]=$A57)*M_BOM[RM_Qty_Per_Batch]*IFERROR(INDEX(PP_Grid[#Data],M_BOM[PPGridRow],13),0))</f>
        <v/>
      </c>
      <c r="N57">
        <f>SUMPRODUCT((M_BOM[RM_Code]=$A57)*M_BOM[RM_Qty_Per_Batch]*IFERROR(INDEX(PP_Grid[#Data],M_BOM[PPGridRow],14),0))</f>
        <v/>
      </c>
      <c r="O57">
        <f>SUMPRODUCT((M_BOM[RM_Code]=$A57)*M_BOM[RM_Qty_Per_Batch]*IFERROR(INDEX(PP_Grid[#Data],M_BOM[PPGridRow],15),0))</f>
        <v/>
      </c>
      <c r="P57">
        <f>SUMPRODUCT((M_BOM[RM_Code]=$A57)*M_BOM[RM_Qty_Per_Batch]*IFERROR(INDEX(PP_Grid[#Data],M_BOM[PPGridRow],16),0))</f>
        <v/>
      </c>
      <c r="Q57">
        <f>SUMPRODUCT((M_BOM[RM_Code]=$A57)*M_BOM[RM_Qty_Per_Batch]*IFERROR(INDEX(PP_Grid[#Data],M_BOM[PPGridRow],17),0))</f>
        <v/>
      </c>
      <c r="R57">
        <f>SUMPRODUCT((M_BOM[RM_Code]=$A57)*M_BOM[RM_Qty_Per_Batch]*IFERROR(INDEX(PP_Grid[#Data],M_BOM[PPGridRow],18),0))</f>
        <v/>
      </c>
      <c r="S57">
        <f>SUMPRODUCT((M_BOM[RM_Code]=$A57)*M_BOM[RM_Qty_Per_Batch]*IFERROR(INDEX(PP_Grid[#Data],M_BOM[PPGridRow],19),0))</f>
        <v/>
      </c>
      <c r="T57">
        <f>SUMPRODUCT((M_BOM[RM_Code]=$A57)*M_BOM[RM_Qty_Per_Batch]*IFERROR(INDEX(PP_Grid[#Data],M_BOM[PPGridRow],20),0))</f>
        <v/>
      </c>
      <c r="U57">
        <f>SUMPRODUCT((M_BOM[RM_Code]=$A57)*M_BOM[RM_Qty_Per_Batch]*IFERROR(INDEX(PP_Grid[#Data],M_BOM[PPGridRow],21),0))</f>
        <v/>
      </c>
      <c r="V57">
        <f>SUMPRODUCT((M_BOM[RM_Code]=$A57)*M_BOM[RM_Qty_Per_Batch]*IFERROR(INDEX(PP_Grid[#Data],M_BOM[PPGridRow],22),0))</f>
        <v/>
      </c>
      <c r="W57">
        <f>SUMPRODUCT((M_BOM[RM_Code]=$A57)*M_BOM[RM_Qty_Per_Batch]*IFERROR(INDEX(PP_Grid[#Data],M_BOM[PPGridRow],23),0))</f>
        <v/>
      </c>
      <c r="X57">
        <f>SUMPRODUCT((M_BOM[RM_Code]=$A57)*M_BOM[RM_Qty_Per_Batch]*IFERROR(INDEX(PP_Grid[#Data],M_BOM[PPGridRow],24),0))</f>
        <v/>
      </c>
      <c r="Y57">
        <f>SUMPRODUCT((M_BOM[RM_Code]=$A57)*M_BOM[RM_Qty_Per_Batch]*IFERROR(INDEX(PP_Grid[#Data],M_BOM[PPGridRow],25),0))</f>
        <v/>
      </c>
      <c r="Z57">
        <f>SUMPRODUCT((M_BOM[RM_Code]=$A57)*M_BOM[RM_Qty_Per_Batch]*IFERROR(INDEX(PP_Grid[#Data],M_BOM[PPGridRow],26),0))</f>
        <v/>
      </c>
      <c r="AA57">
        <f>SUMPRODUCT((M_BOM[RM_Code]=$A57)*M_BOM[RM_Qty_Per_Batch]*IFERROR(INDEX(PP_Grid[#Data],M_BOM[PPGridRow],27),0))</f>
        <v/>
      </c>
      <c r="AB57">
        <f>SUMPRODUCT((M_BOM[RM_Code]=$A57)*M_BOM[RM_Qty_Per_Batch]*IFERROR(INDEX(PP_Grid[#Data],M_BOM[PPGridRow],28),0))</f>
        <v/>
      </c>
      <c r="AC57">
        <f>SUMPRODUCT((M_BOM[RM_Code]=$A57)*M_BOM[RM_Qty_Per_Batch]*IFERROR(INDEX(PP_Grid[#Data],M_BOM[PPGridRow],29),0))</f>
        <v/>
      </c>
      <c r="AD57">
        <f>SUMPRODUCT((M_BOM[RM_Code]=$A57)*M_BOM[RM_Qty_Per_Batch]*IFERROR(INDEX(PP_Grid[#Data],M_BOM[PPGridRow],30),0))</f>
        <v/>
      </c>
      <c r="AE57">
        <f>SUMPRODUCT((M_BOM[RM_Code]=$A57)*M_BOM[RM_Qty_Per_Batch]*IFERROR(INDEX(PP_Grid[#Data],M_BOM[PPGridRow],31),0))</f>
        <v/>
      </c>
      <c r="AF57">
        <f>SUMPRODUCT((M_BOM[RM_Code]=$A57)*M_BOM[RM_Qty_Per_Batch]*IFERROR(INDEX(PP_Grid[#Data],M_BOM[PPGridRow],32),0))</f>
        <v/>
      </c>
      <c r="AG57">
        <f>SUMPRODUCT((M_BOM[RM_Code]=$A57)*M_BOM[RM_Qty_Per_Batch]*IFERROR(INDEX(PP_Grid[#Data],M_BOM[PPGridRow],33),0))</f>
        <v/>
      </c>
      <c r="AH57">
        <f>SUMPRODUCT((M_BOM[RM_Code]=$A57)*M_BOM[RM_Qty_Per_Batch]*IFERROR(INDEX(PP_Grid[#Data],M_BOM[PPGridRow],34),0))</f>
        <v/>
      </c>
      <c r="AI57">
        <f>SUMPRODUCT((M_BOM[RM_Code]=$A57)*M_BOM[RM_Qty_Per_Batch]*IFERROR(INDEX(PP_Grid[#Data],M_BOM[PPGridRow],35),0))</f>
        <v/>
      </c>
      <c r="AJ57">
        <f>SUMPRODUCT((M_BOM[RM_Code]=$A57)*M_BOM[RM_Qty_Per_Batch]*IFERROR(INDEX(PP_Grid[#Data],M_BOM[PPGridRow],36),0))</f>
        <v/>
      </c>
      <c r="AK57">
        <f>SUMPRODUCT((M_BOM[RM_Code]=$A57)*M_BOM[RM_Qty_Per_Batch]*IFERROR(INDEX(PP_Grid[#Data],M_BOM[PPGridRow],37),0))</f>
        <v/>
      </c>
      <c r="AL57">
        <f>SUMPRODUCT((M_BOM[RM_Code]=$A57)*M_BOM[RM_Qty_Per_Batch]*IFERROR(INDEX(PP_Grid[#Data],M_BOM[PPGridRow],38),0))</f>
        <v/>
      </c>
      <c r="AM57">
        <f>SUMPRODUCT((M_BOM[RM_Code]=$A57)*M_BOM[RM_Qty_Per_Batch]*IFERROR(INDEX(PP_Grid[#Data],M_BOM[PPGridRow],39),0))</f>
        <v/>
      </c>
      <c r="AN57">
        <f>SUMPRODUCT((M_BOM[RM_Code]=$A57)*M_BOM[RM_Qty_Per_Batch]*IFERROR(INDEX(PP_Grid[#Data],M_BOM[PPGridRow],40),0))</f>
        <v/>
      </c>
      <c r="AO57">
        <f>SUMPRODUCT((M_BOM[RM_Code]=$A57)*M_BOM[RM_Qty_Per_Batch]*IFERROR(INDEX(PP_Grid[#Data],M_BOM[PPGridRow],41),0))</f>
        <v/>
      </c>
      <c r="AP57">
        <f>SUMPRODUCT((M_BOM[RM_Code]=$A57)*M_BOM[RM_Qty_Per_Batch]*IFERROR(INDEX(PP_Grid[#Data],M_BOM[PPGridRow],42),0))</f>
        <v/>
      </c>
      <c r="AQ57">
        <f>SUMPRODUCT((M_BOM[RM_Code]=$A57)*M_BOM[RM_Qty_Per_Batch]*IFERROR(INDEX(PP_Grid[#Data],M_BOM[PPGridRow],43),0))</f>
        <v/>
      </c>
      <c r="AR57">
        <f>SUMPRODUCT((M_BOM[RM_Code]=$A57)*M_BOM[RM_Qty_Per_Batch]*IFERROR(INDEX(PP_Grid[#Data],M_BOM[PPGridRow],44),0))</f>
        <v/>
      </c>
      <c r="AS57">
        <f>SUMPRODUCT((M_BOM[RM_Code]=$A57)*M_BOM[RM_Qty_Per_Batch]*IFERROR(INDEX(PP_Grid[#Data],M_BOM[PPGridRow],45),0))</f>
        <v/>
      </c>
      <c r="AT57">
        <f>SUMPRODUCT((M_BOM[RM_Code]=$A57)*M_BOM[RM_Qty_Per_Batch]*IFERROR(INDEX(PP_Grid[#Data],M_BOM[PPGridRow],46),0))</f>
        <v/>
      </c>
      <c r="AU57">
        <f>SUMPRODUCT((M_BOM[RM_Code]=$A57)*M_BOM[RM_Qty_Per_Batch]*IFERROR(INDEX(PP_Grid[#Data],M_BOM[PPGridRow],47),0))</f>
        <v/>
      </c>
      <c r="AV57">
        <f>SUMPRODUCT((M_BOM[RM_Code]=$A57)*M_BOM[RM_Qty_Per_Batch]*IFERROR(INDEX(PP_Grid[#Data],M_BOM[PPGridRow],48),0))</f>
        <v/>
      </c>
      <c r="AW57">
        <f>SUMPRODUCT((M_BOM[RM_Code]=$A57)*M_BOM[RM_Qty_Per_Batch]*IFERROR(INDEX(PP_Grid[#Data],M_BOM[PPGridRow],49),0))</f>
        <v/>
      </c>
      <c r="AX57">
        <f>SUMPRODUCT((M_BOM[RM_Code]=$A57)*M_BOM[RM_Qty_Per_Batch]*IFERROR(INDEX(PP_Grid[#Data],M_BOM[PPGridRow],50),0))</f>
        <v/>
      </c>
      <c r="AY57">
        <f>SUMPRODUCT((M_BOM[RM_Code]=$A57)*M_BOM[RM_Qty_Per_Batch]*IFERROR(INDEX(PP_Grid[#Data],M_BOM[PPGridRow],51),0))</f>
        <v/>
      </c>
      <c r="AZ57">
        <f>SUMPRODUCT((M_BOM[RM_Code]=$A57)*M_BOM[RM_Qty_Per_Batch]*IFERROR(INDEX(PP_Grid[#Data],M_BOM[PPGridRow],52),0))</f>
        <v/>
      </c>
      <c r="BA57">
        <f>SUMPRODUCT((M_BOM[RM_Code]=$A57)*M_BOM[RM_Qty_Per_Batch]*IFERROR(INDEX(PP_Grid[#Data],M_BOM[PPGridRow],53),0))</f>
        <v/>
      </c>
      <c r="BB57">
        <f>SUMPRODUCT((M_BOM[RM_Code]=$A57)*M_BOM[RM_Qty_Per_Batch]*IFERROR(INDEX(PP_Grid[#Data],M_BOM[PPGridRow],54),0))</f>
        <v/>
      </c>
      <c r="BC57">
        <f>SUMPRODUCT((M_BOM[RM_Code]=$A57)*M_BOM[RM_Qty_Per_Batch]*IFERROR(INDEX(PP_Grid[#Data],M_BOM[PPGridRow],55),0))</f>
        <v/>
      </c>
      <c r="BD57">
        <f>SUMPRODUCT((M_BOM[RM_Code]=$A57)*M_BOM[RM_Qty_Per_Batch]*IFERROR(INDEX(PP_Grid[#Data],M_BOM[PPGridRow],56),0))</f>
        <v/>
      </c>
      <c r="BE57">
        <f>SUMPRODUCT((M_BOM[RM_Code]=$A57)*M_BOM[RM_Qty_Per_Batch]*IFERROR(INDEX(PP_Grid[#Data],M_BOM[PPGridRow],57),0))</f>
        <v/>
      </c>
      <c r="BF57">
        <f>SUMPRODUCT((M_BOM[RM_Code]=$A57)*M_BOM[RM_Qty_Per_Batch]*IFERROR(INDEX(PP_Grid[#Data],M_BOM[PPGridRow],58),0))</f>
        <v/>
      </c>
      <c r="BG57">
        <f>SUMPRODUCT((M_BOM[RM_Code]=$A57)*M_BOM[RM_Qty_Per_Batch]*IFERROR(INDEX(PP_Grid[#Data],M_BOM[PPGridRow],59),0))</f>
        <v/>
      </c>
      <c r="BH57">
        <f>SUMPRODUCT((M_BOM[RM_Code]=$A57)*M_BOM[RM_Qty_Per_Batch]*IFERROR(INDEX(PP_Grid[#Data],M_BOM[PPGridRow],60),0))</f>
        <v/>
      </c>
      <c r="BI57">
        <f>SUMPRODUCT((M_BOM[RM_Code]=$A57)*M_BOM[RM_Qty_Per_Batch]*IFERROR(INDEX(PP_Grid[#Data],M_BOM[PPGridRow],61),0))</f>
        <v/>
      </c>
      <c r="BJ57">
        <f>SUMPRODUCT((M_BOM[RM_Code]=$A57)*M_BOM[RM_Qty_Per_Batch]*IFERROR(INDEX(PP_Grid[#Data],M_BOM[PPGridRow],62),0))</f>
        <v/>
      </c>
      <c r="BK57">
        <f>SUMPRODUCT((M_BOM[RM_Code]=$A57)*M_BOM[RM_Qty_Per_Batch]*IFERROR(INDEX(PP_Grid[#Data],M_BOM[PPGridRow],63),0))</f>
        <v/>
      </c>
      <c r="BL57">
        <f>SUMPRODUCT((M_BOM[RM_Code]=$A57)*M_BOM[RM_Qty_Per_Batch]*IFERROR(INDEX(PP_Grid[#Data],M_BOM[PPGridRow],64),0))</f>
        <v/>
      </c>
      <c r="BM57">
        <f>SUMPRODUCT((M_BOM[RM_Code]=$A57)*M_BOM[RM_Qty_Per_Batch]*IFERROR(INDEX(PP_Grid[#Data],M_BOM[PPGridRow],65),0))</f>
        <v/>
      </c>
      <c r="BN57">
        <f>SUMPRODUCT((M_BOM[RM_Code]=$A57)*M_BOM[RM_Qty_Per_Batch]*IFERROR(INDEX(PP_Grid[#Data],M_BOM[PPGridRow],66),0))</f>
        <v/>
      </c>
      <c r="BO57">
        <f>SUMPRODUCT((M_BOM[RM_Code]=$A57)*M_BOM[RM_Qty_Per_Batch]*IFERROR(INDEX(PP_Grid[#Data],M_BOM[PPGridRow],67),0))</f>
        <v/>
      </c>
      <c r="BP57">
        <f>SUMPRODUCT((M_BOM[RM_Code]=$A57)*M_BOM[RM_Qty_Per_Batch]*IFERROR(INDEX(PP_Grid[#Data],M_BOM[PPGridRow],68),0))</f>
        <v/>
      </c>
      <c r="BQ57">
        <f>SUMPRODUCT((M_BOM[RM_Code]=$A57)*M_BOM[RM_Qty_Per_Batch]*IFERROR(INDEX(PP_Grid[#Data],M_BOM[PPGridRow],69),0))</f>
        <v/>
      </c>
      <c r="BR57">
        <f>SUMPRODUCT((M_BOM[RM_Code]=$A57)*M_BOM[RM_Qty_Per_Batch]*IFERROR(INDEX(PP_Grid[#Data],M_BOM[PPGridRow],70),0))</f>
        <v/>
      </c>
      <c r="BS57">
        <f>SUMPRODUCT((M_BOM[RM_Code]=$A57)*M_BOM[RM_Qty_Per_Batch]*IFERROR(INDEX(PP_Grid[#Data],M_BOM[PPGridRow],71),0))</f>
        <v/>
      </c>
      <c r="BT57">
        <f>SUMPRODUCT((M_BOM[RM_Code]=$A57)*M_BOM[RM_Qty_Per_Batch]*IFERROR(INDEX(PP_Grid[#Data],M_BOM[PPGridRow],72),0))</f>
        <v/>
      </c>
      <c r="BU57">
        <f>SUMPRODUCT((M_BOM[RM_Code]=$A57)*M_BOM[RM_Qty_Per_Batch]*IFERROR(INDEX(PP_Grid[#Data],M_BOM[PPGridRow],73),0))</f>
        <v/>
      </c>
      <c r="BV57">
        <f>SUMPRODUCT((M_BOM[RM_Code]=$A57)*M_BOM[RM_Qty_Per_Batch]*IFERROR(INDEX(PP_Grid[#Data],M_BOM[PPGridRow],74),0))</f>
        <v/>
      </c>
      <c r="BW57">
        <f>SUMPRODUCT((M_BOM[RM_Code]=$A57)*M_BOM[RM_Qty_Per_Batch]*IFERROR(INDEX(PP_Grid[#Data],M_BOM[PPGridRow],75),0))</f>
        <v/>
      </c>
      <c r="BX57">
        <f>SUMPRODUCT((M_BOM[RM_Code]=$A57)*M_BOM[RM_Qty_Per_Batch]*IFERROR(INDEX(PP_Grid[#Data],M_BOM[PPGridRow],76),0))</f>
        <v/>
      </c>
      <c r="BY57">
        <f>SUMPRODUCT((M_BOM[RM_Code]=$A57)*M_BOM[RM_Qty_Per_Batch]*IFERROR(INDEX(PP_Grid[#Data],M_BOM[PPGridRow],77),0))</f>
        <v/>
      </c>
      <c r="BZ57">
        <f>SUMPRODUCT((M_BOM[RM_Code]=$A57)*M_BOM[RM_Qty_Per_Batch]*IFERROR(INDEX(PP_Grid[#Data],M_BOM[PPGridRow],78),0))</f>
        <v/>
      </c>
      <c r="CA57">
        <f>SUMPRODUCT((M_BOM[RM_Code]=$A57)*M_BOM[RM_Qty_Per_Batch]*IFERROR(INDEX(PP_Grid[#Data],M_BOM[PPGridRow],79),0))</f>
        <v/>
      </c>
      <c r="CB57">
        <f>SUMPRODUCT((M_BOM[RM_Code]=$A57)*M_BOM[RM_Qty_Per_Batch]*IFERROR(INDEX(PP_Grid[#Data],M_BOM[PPGridRow],80),0))</f>
        <v/>
      </c>
      <c r="CC57">
        <f>SUMPRODUCT((M_BOM[RM_Code]=$A57)*M_BOM[RM_Qty_Per_Batch]*IFERROR(INDEX(PP_Grid[#Data],M_BOM[PPGridRow],81),0))</f>
        <v/>
      </c>
      <c r="CD57">
        <f>SUMPRODUCT((M_BOM[RM_Code]=$A57)*M_BOM[RM_Qty_Per_Batch]*IFERROR(INDEX(PP_Grid[#Data],M_BOM[PPGridRow],82),0))</f>
        <v/>
      </c>
      <c r="CE57">
        <f>SUMPRODUCT((M_BOM[RM_Code]=$A57)*M_BOM[RM_Qty_Per_Batch]*IFERROR(INDEX(PP_Grid[#Data],M_BOM[PPGridRow],83),0))</f>
        <v/>
      </c>
      <c r="CF57">
        <f>SUMPRODUCT((M_BOM[RM_Code]=$A57)*M_BOM[RM_Qty_Per_Batch]*IFERROR(INDEX(PP_Grid[#Data],M_BOM[PPGridRow],84),0))</f>
        <v/>
      </c>
      <c r="CG57">
        <f>SUMPRODUCT((M_BOM[RM_Code]=$A57)*M_BOM[RM_Qty_Per_Batch]*IFERROR(INDEX(PP_Grid[#Data],M_BOM[PPGridRow],85),0))</f>
        <v/>
      </c>
      <c r="CH57">
        <f>SUMPRODUCT((M_BOM[RM_Code]=$A57)*M_BOM[RM_Qty_Per_Batch]*IFERROR(INDEX(PP_Grid[#Data],M_BOM[PPGridRow],86),0))</f>
        <v/>
      </c>
      <c r="CI57">
        <f>SUMPRODUCT((M_BOM[RM_Code]=$A57)*M_BOM[RM_Qty_Per_Batch]*IFERROR(INDEX(PP_Grid[#Data],M_BOM[PPGridRow],87),0))</f>
        <v/>
      </c>
      <c r="CJ57">
        <f>SUMPRODUCT((M_BOM[RM_Code]=$A57)*M_BOM[RM_Qty_Per_Batch]*IFERROR(INDEX(PP_Grid[#Data],M_BOM[PPGridRow],88),0))</f>
        <v/>
      </c>
      <c r="CK57">
        <f>SUMPRODUCT((M_BOM[RM_Code]=$A57)*M_BOM[RM_Qty_Per_Batch]*IFERROR(INDEX(PP_Grid[#Data],M_BOM[PPGridRow],89),0))</f>
        <v/>
      </c>
      <c r="CL57">
        <f>SUMPRODUCT((M_BOM[RM_Code]=$A57)*M_BOM[RM_Qty_Per_Batch]*IFERROR(INDEX(PP_Grid[#Data],M_BOM[PPGridRow],90),0))</f>
        <v/>
      </c>
      <c r="CM57">
        <f>SUMPRODUCT((M_BOM[RM_Code]=$A57)*M_BOM[RM_Qty_Per_Batch]*IFERROR(INDEX(PP_Grid[#Data],M_BOM[PPGridRow],91),0))</f>
        <v/>
      </c>
      <c r="CN57">
        <f>SUMPRODUCT((M_BOM[RM_Code]=$A57)*M_BOM[RM_Qty_Per_Batch]*IFERROR(INDEX(PP_Grid[#Data],M_BOM[PPGridRow],92),0))</f>
        <v/>
      </c>
      <c r="CO57">
        <f>SUMPRODUCT((M_BOM[RM_Code]=$A57)*M_BOM[RM_Qty_Per_Batch]*IFERROR(INDEX(PP_Grid[#Data],M_BOM[PPGridRow],93),0))</f>
        <v/>
      </c>
      <c r="CP57">
        <f>SUMPRODUCT((M_BOM[RM_Code]=$A57)*M_BOM[RM_Qty_Per_Batch]*IFERROR(INDEX(PP_Grid[#Data],M_BOM[PPGridRow],94),0))</f>
        <v/>
      </c>
      <c r="CQ57">
        <f>SUMPRODUCT((M_BOM[RM_Code]=$A57)*M_BOM[RM_Qty_Per_Batch]*IFERROR(INDEX(PP_Grid[#Data],M_BOM[PPGridRow],95),0))</f>
        <v/>
      </c>
      <c r="CR57">
        <f>SUMPRODUCT((M_BOM[RM_Code]=$A57)*M_BOM[RM_Qty_Per_Batch]*IFERROR(INDEX(PP_Grid[#Data],M_BOM[PPGridRow],96),0))</f>
        <v/>
      </c>
      <c r="CS57">
        <f>SUMPRODUCT((M_BOM[RM_Code]=$A57)*M_BOM[RM_Qty_Per_Batch]*IFERROR(INDEX(PP_Grid[#Data],M_BOM[PPGridRow],97),0))</f>
        <v/>
      </c>
      <c r="CT57">
        <f>SUMPRODUCT((M_BOM[RM_Code]=$A57)*M_BOM[RM_Qty_Per_Batch]*IFERROR(INDEX(PP_Grid[#Data],M_BOM[PPGridRow],98),0))</f>
        <v/>
      </c>
      <c r="CU57">
        <f>SUMPRODUCT((M_BOM[RM_Code]=$A57)*M_BOM[RM_Qty_Per_Batch]*IFERROR(INDEX(PP_Grid[#Data],M_BOM[PPGridRow],99),0))</f>
        <v/>
      </c>
      <c r="CV57">
        <f>SUMPRODUCT((M_BOM[RM_Code]=$A57)*M_BOM[RM_Qty_Per_Batch]*IFERROR(INDEX(PP_Grid[#Data],M_BOM[PPGridRow],100),0))</f>
        <v/>
      </c>
      <c r="CW57">
        <f>SUMPRODUCT((M_BOM[RM_Code]=$A57)*M_BOM[RM_Qty_Per_Batch]*IFERROR(INDEX(PP_Grid[#Data],M_BOM[PPGridRow],101),0))</f>
        <v/>
      </c>
      <c r="CX57">
        <f>SUMPRODUCT((M_BOM[RM_Code]=$A57)*M_BOM[RM_Qty_Per_Batch]*IFERROR(INDEX(PP_Grid[#Data],M_BOM[PPGridRow],102),0))</f>
        <v/>
      </c>
      <c r="CY57">
        <f>SUMPRODUCT((M_BOM[RM_Code]=$A57)*M_BOM[RM_Qty_Per_Batch]*IFERROR(INDEX(PP_Grid[#Data],M_BOM[PPGridRow],103),0))</f>
        <v/>
      </c>
      <c r="CZ57">
        <f>SUMPRODUCT((M_BOM[RM_Code]=$A57)*M_BOM[RM_Qty_Per_Batch]*IFERROR(INDEX(PP_Grid[#Data],M_BOM[PPGridRow],104),0))</f>
        <v/>
      </c>
      <c r="DA57">
        <f>SUMPRODUCT((M_BOM[RM_Code]=$A57)*M_BOM[RM_Qty_Per_Batch]*IFERROR(INDEX(PP_Grid[#Data],M_BOM[PPGridRow],105),0))</f>
        <v/>
      </c>
    </row>
    <row r="58">
      <c r="A58" t="inlineStr">
        <is>
          <t>CHEM-1850</t>
        </is>
      </c>
      <c r="B58">
        <f>SUMPRODUCT((M_BOM[RM_Code]=$A58)*M_BOM[RM_Qty_Per_Batch]*IFERROR(INDEX(PP_Grid[#Data],M_BOM[PPGridRow],2),0))</f>
        <v/>
      </c>
      <c r="C58">
        <f>SUMPRODUCT((M_BOM[RM_Code]=$A58)*M_BOM[RM_Qty_Per_Batch]*IFERROR(INDEX(PP_Grid[#Data],M_BOM[PPGridRow],3),0))</f>
        <v/>
      </c>
      <c r="D58">
        <f>SUMPRODUCT((M_BOM[RM_Code]=$A58)*M_BOM[RM_Qty_Per_Batch]*IFERROR(INDEX(PP_Grid[#Data],M_BOM[PPGridRow],4),0))</f>
        <v/>
      </c>
      <c r="E58">
        <f>SUMPRODUCT((M_BOM[RM_Code]=$A58)*M_BOM[RM_Qty_Per_Batch]*IFERROR(INDEX(PP_Grid[#Data],M_BOM[PPGridRow],5),0))</f>
        <v/>
      </c>
      <c r="F58">
        <f>SUMPRODUCT((M_BOM[RM_Code]=$A58)*M_BOM[RM_Qty_Per_Batch]*IFERROR(INDEX(PP_Grid[#Data],M_BOM[PPGridRow],6),0))</f>
        <v/>
      </c>
      <c r="G58">
        <f>SUMPRODUCT((M_BOM[RM_Code]=$A58)*M_BOM[RM_Qty_Per_Batch]*IFERROR(INDEX(PP_Grid[#Data],M_BOM[PPGridRow],7),0))</f>
        <v/>
      </c>
      <c r="H58">
        <f>SUMPRODUCT((M_BOM[RM_Code]=$A58)*M_BOM[RM_Qty_Per_Batch]*IFERROR(INDEX(PP_Grid[#Data],M_BOM[PPGridRow],8),0))</f>
        <v/>
      </c>
      <c r="I58">
        <f>SUMPRODUCT((M_BOM[RM_Code]=$A58)*M_BOM[RM_Qty_Per_Batch]*IFERROR(INDEX(PP_Grid[#Data],M_BOM[PPGridRow],9),0))</f>
        <v/>
      </c>
      <c r="J58">
        <f>SUMPRODUCT((M_BOM[RM_Code]=$A58)*M_BOM[RM_Qty_Per_Batch]*IFERROR(INDEX(PP_Grid[#Data],M_BOM[PPGridRow],10),0))</f>
        <v/>
      </c>
      <c r="K58">
        <f>SUMPRODUCT((M_BOM[RM_Code]=$A58)*M_BOM[RM_Qty_Per_Batch]*IFERROR(INDEX(PP_Grid[#Data],M_BOM[PPGridRow],11),0))</f>
        <v/>
      </c>
      <c r="L58">
        <f>SUMPRODUCT((M_BOM[RM_Code]=$A58)*M_BOM[RM_Qty_Per_Batch]*IFERROR(INDEX(PP_Grid[#Data],M_BOM[PPGridRow],12),0))</f>
        <v/>
      </c>
      <c r="M58">
        <f>SUMPRODUCT((M_BOM[RM_Code]=$A58)*M_BOM[RM_Qty_Per_Batch]*IFERROR(INDEX(PP_Grid[#Data],M_BOM[PPGridRow],13),0))</f>
        <v/>
      </c>
      <c r="N58">
        <f>SUMPRODUCT((M_BOM[RM_Code]=$A58)*M_BOM[RM_Qty_Per_Batch]*IFERROR(INDEX(PP_Grid[#Data],M_BOM[PPGridRow],14),0))</f>
        <v/>
      </c>
      <c r="O58">
        <f>SUMPRODUCT((M_BOM[RM_Code]=$A58)*M_BOM[RM_Qty_Per_Batch]*IFERROR(INDEX(PP_Grid[#Data],M_BOM[PPGridRow],15),0))</f>
        <v/>
      </c>
      <c r="P58">
        <f>SUMPRODUCT((M_BOM[RM_Code]=$A58)*M_BOM[RM_Qty_Per_Batch]*IFERROR(INDEX(PP_Grid[#Data],M_BOM[PPGridRow],16),0))</f>
        <v/>
      </c>
      <c r="Q58">
        <f>SUMPRODUCT((M_BOM[RM_Code]=$A58)*M_BOM[RM_Qty_Per_Batch]*IFERROR(INDEX(PP_Grid[#Data],M_BOM[PPGridRow],17),0))</f>
        <v/>
      </c>
      <c r="R58">
        <f>SUMPRODUCT((M_BOM[RM_Code]=$A58)*M_BOM[RM_Qty_Per_Batch]*IFERROR(INDEX(PP_Grid[#Data],M_BOM[PPGridRow],18),0))</f>
        <v/>
      </c>
      <c r="S58">
        <f>SUMPRODUCT((M_BOM[RM_Code]=$A58)*M_BOM[RM_Qty_Per_Batch]*IFERROR(INDEX(PP_Grid[#Data],M_BOM[PPGridRow],19),0))</f>
        <v/>
      </c>
      <c r="T58">
        <f>SUMPRODUCT((M_BOM[RM_Code]=$A58)*M_BOM[RM_Qty_Per_Batch]*IFERROR(INDEX(PP_Grid[#Data],M_BOM[PPGridRow],20),0))</f>
        <v/>
      </c>
      <c r="U58">
        <f>SUMPRODUCT((M_BOM[RM_Code]=$A58)*M_BOM[RM_Qty_Per_Batch]*IFERROR(INDEX(PP_Grid[#Data],M_BOM[PPGridRow],21),0))</f>
        <v/>
      </c>
      <c r="V58">
        <f>SUMPRODUCT((M_BOM[RM_Code]=$A58)*M_BOM[RM_Qty_Per_Batch]*IFERROR(INDEX(PP_Grid[#Data],M_BOM[PPGridRow],22),0))</f>
        <v/>
      </c>
      <c r="W58">
        <f>SUMPRODUCT((M_BOM[RM_Code]=$A58)*M_BOM[RM_Qty_Per_Batch]*IFERROR(INDEX(PP_Grid[#Data],M_BOM[PPGridRow],23),0))</f>
        <v/>
      </c>
      <c r="X58">
        <f>SUMPRODUCT((M_BOM[RM_Code]=$A58)*M_BOM[RM_Qty_Per_Batch]*IFERROR(INDEX(PP_Grid[#Data],M_BOM[PPGridRow],24),0))</f>
        <v/>
      </c>
      <c r="Y58">
        <f>SUMPRODUCT((M_BOM[RM_Code]=$A58)*M_BOM[RM_Qty_Per_Batch]*IFERROR(INDEX(PP_Grid[#Data],M_BOM[PPGridRow],25),0))</f>
        <v/>
      </c>
      <c r="Z58">
        <f>SUMPRODUCT((M_BOM[RM_Code]=$A58)*M_BOM[RM_Qty_Per_Batch]*IFERROR(INDEX(PP_Grid[#Data],M_BOM[PPGridRow],26),0))</f>
        <v/>
      </c>
      <c r="AA58">
        <f>SUMPRODUCT((M_BOM[RM_Code]=$A58)*M_BOM[RM_Qty_Per_Batch]*IFERROR(INDEX(PP_Grid[#Data],M_BOM[PPGridRow],27),0))</f>
        <v/>
      </c>
      <c r="AB58">
        <f>SUMPRODUCT((M_BOM[RM_Code]=$A58)*M_BOM[RM_Qty_Per_Batch]*IFERROR(INDEX(PP_Grid[#Data],M_BOM[PPGridRow],28),0))</f>
        <v/>
      </c>
      <c r="AC58">
        <f>SUMPRODUCT((M_BOM[RM_Code]=$A58)*M_BOM[RM_Qty_Per_Batch]*IFERROR(INDEX(PP_Grid[#Data],M_BOM[PPGridRow],29),0))</f>
        <v/>
      </c>
      <c r="AD58">
        <f>SUMPRODUCT((M_BOM[RM_Code]=$A58)*M_BOM[RM_Qty_Per_Batch]*IFERROR(INDEX(PP_Grid[#Data],M_BOM[PPGridRow],30),0))</f>
        <v/>
      </c>
      <c r="AE58">
        <f>SUMPRODUCT((M_BOM[RM_Code]=$A58)*M_BOM[RM_Qty_Per_Batch]*IFERROR(INDEX(PP_Grid[#Data],M_BOM[PPGridRow],31),0))</f>
        <v/>
      </c>
      <c r="AF58">
        <f>SUMPRODUCT((M_BOM[RM_Code]=$A58)*M_BOM[RM_Qty_Per_Batch]*IFERROR(INDEX(PP_Grid[#Data],M_BOM[PPGridRow],32),0))</f>
        <v/>
      </c>
      <c r="AG58">
        <f>SUMPRODUCT((M_BOM[RM_Code]=$A58)*M_BOM[RM_Qty_Per_Batch]*IFERROR(INDEX(PP_Grid[#Data],M_BOM[PPGridRow],33),0))</f>
        <v/>
      </c>
      <c r="AH58">
        <f>SUMPRODUCT((M_BOM[RM_Code]=$A58)*M_BOM[RM_Qty_Per_Batch]*IFERROR(INDEX(PP_Grid[#Data],M_BOM[PPGridRow],34),0))</f>
        <v/>
      </c>
      <c r="AI58">
        <f>SUMPRODUCT((M_BOM[RM_Code]=$A58)*M_BOM[RM_Qty_Per_Batch]*IFERROR(INDEX(PP_Grid[#Data],M_BOM[PPGridRow],35),0))</f>
        <v/>
      </c>
      <c r="AJ58">
        <f>SUMPRODUCT((M_BOM[RM_Code]=$A58)*M_BOM[RM_Qty_Per_Batch]*IFERROR(INDEX(PP_Grid[#Data],M_BOM[PPGridRow],36),0))</f>
        <v/>
      </c>
      <c r="AK58">
        <f>SUMPRODUCT((M_BOM[RM_Code]=$A58)*M_BOM[RM_Qty_Per_Batch]*IFERROR(INDEX(PP_Grid[#Data],M_BOM[PPGridRow],37),0))</f>
        <v/>
      </c>
      <c r="AL58">
        <f>SUMPRODUCT((M_BOM[RM_Code]=$A58)*M_BOM[RM_Qty_Per_Batch]*IFERROR(INDEX(PP_Grid[#Data],M_BOM[PPGridRow],38),0))</f>
        <v/>
      </c>
      <c r="AM58">
        <f>SUMPRODUCT((M_BOM[RM_Code]=$A58)*M_BOM[RM_Qty_Per_Batch]*IFERROR(INDEX(PP_Grid[#Data],M_BOM[PPGridRow],39),0))</f>
        <v/>
      </c>
      <c r="AN58">
        <f>SUMPRODUCT((M_BOM[RM_Code]=$A58)*M_BOM[RM_Qty_Per_Batch]*IFERROR(INDEX(PP_Grid[#Data],M_BOM[PPGridRow],40),0))</f>
        <v/>
      </c>
      <c r="AO58">
        <f>SUMPRODUCT((M_BOM[RM_Code]=$A58)*M_BOM[RM_Qty_Per_Batch]*IFERROR(INDEX(PP_Grid[#Data],M_BOM[PPGridRow],41),0))</f>
        <v/>
      </c>
      <c r="AP58">
        <f>SUMPRODUCT((M_BOM[RM_Code]=$A58)*M_BOM[RM_Qty_Per_Batch]*IFERROR(INDEX(PP_Grid[#Data],M_BOM[PPGridRow],42),0))</f>
        <v/>
      </c>
      <c r="AQ58">
        <f>SUMPRODUCT((M_BOM[RM_Code]=$A58)*M_BOM[RM_Qty_Per_Batch]*IFERROR(INDEX(PP_Grid[#Data],M_BOM[PPGridRow],43),0))</f>
        <v/>
      </c>
      <c r="AR58">
        <f>SUMPRODUCT((M_BOM[RM_Code]=$A58)*M_BOM[RM_Qty_Per_Batch]*IFERROR(INDEX(PP_Grid[#Data],M_BOM[PPGridRow],44),0))</f>
        <v/>
      </c>
      <c r="AS58">
        <f>SUMPRODUCT((M_BOM[RM_Code]=$A58)*M_BOM[RM_Qty_Per_Batch]*IFERROR(INDEX(PP_Grid[#Data],M_BOM[PPGridRow],45),0))</f>
        <v/>
      </c>
      <c r="AT58">
        <f>SUMPRODUCT((M_BOM[RM_Code]=$A58)*M_BOM[RM_Qty_Per_Batch]*IFERROR(INDEX(PP_Grid[#Data],M_BOM[PPGridRow],46),0))</f>
        <v/>
      </c>
      <c r="AU58">
        <f>SUMPRODUCT((M_BOM[RM_Code]=$A58)*M_BOM[RM_Qty_Per_Batch]*IFERROR(INDEX(PP_Grid[#Data],M_BOM[PPGridRow],47),0))</f>
        <v/>
      </c>
      <c r="AV58">
        <f>SUMPRODUCT((M_BOM[RM_Code]=$A58)*M_BOM[RM_Qty_Per_Batch]*IFERROR(INDEX(PP_Grid[#Data],M_BOM[PPGridRow],48),0))</f>
        <v/>
      </c>
      <c r="AW58">
        <f>SUMPRODUCT((M_BOM[RM_Code]=$A58)*M_BOM[RM_Qty_Per_Batch]*IFERROR(INDEX(PP_Grid[#Data],M_BOM[PPGridRow],49),0))</f>
        <v/>
      </c>
      <c r="AX58">
        <f>SUMPRODUCT((M_BOM[RM_Code]=$A58)*M_BOM[RM_Qty_Per_Batch]*IFERROR(INDEX(PP_Grid[#Data],M_BOM[PPGridRow],50),0))</f>
        <v/>
      </c>
      <c r="AY58">
        <f>SUMPRODUCT((M_BOM[RM_Code]=$A58)*M_BOM[RM_Qty_Per_Batch]*IFERROR(INDEX(PP_Grid[#Data],M_BOM[PPGridRow],51),0))</f>
        <v/>
      </c>
      <c r="AZ58">
        <f>SUMPRODUCT((M_BOM[RM_Code]=$A58)*M_BOM[RM_Qty_Per_Batch]*IFERROR(INDEX(PP_Grid[#Data],M_BOM[PPGridRow],52),0))</f>
        <v/>
      </c>
      <c r="BA58">
        <f>SUMPRODUCT((M_BOM[RM_Code]=$A58)*M_BOM[RM_Qty_Per_Batch]*IFERROR(INDEX(PP_Grid[#Data],M_BOM[PPGridRow],53),0))</f>
        <v/>
      </c>
      <c r="BB58">
        <f>SUMPRODUCT((M_BOM[RM_Code]=$A58)*M_BOM[RM_Qty_Per_Batch]*IFERROR(INDEX(PP_Grid[#Data],M_BOM[PPGridRow],54),0))</f>
        <v/>
      </c>
      <c r="BC58">
        <f>SUMPRODUCT((M_BOM[RM_Code]=$A58)*M_BOM[RM_Qty_Per_Batch]*IFERROR(INDEX(PP_Grid[#Data],M_BOM[PPGridRow],55),0))</f>
        <v/>
      </c>
      <c r="BD58">
        <f>SUMPRODUCT((M_BOM[RM_Code]=$A58)*M_BOM[RM_Qty_Per_Batch]*IFERROR(INDEX(PP_Grid[#Data],M_BOM[PPGridRow],56),0))</f>
        <v/>
      </c>
      <c r="BE58">
        <f>SUMPRODUCT((M_BOM[RM_Code]=$A58)*M_BOM[RM_Qty_Per_Batch]*IFERROR(INDEX(PP_Grid[#Data],M_BOM[PPGridRow],57),0))</f>
        <v/>
      </c>
      <c r="BF58">
        <f>SUMPRODUCT((M_BOM[RM_Code]=$A58)*M_BOM[RM_Qty_Per_Batch]*IFERROR(INDEX(PP_Grid[#Data],M_BOM[PPGridRow],58),0))</f>
        <v/>
      </c>
      <c r="BG58">
        <f>SUMPRODUCT((M_BOM[RM_Code]=$A58)*M_BOM[RM_Qty_Per_Batch]*IFERROR(INDEX(PP_Grid[#Data],M_BOM[PPGridRow],59),0))</f>
        <v/>
      </c>
      <c r="BH58">
        <f>SUMPRODUCT((M_BOM[RM_Code]=$A58)*M_BOM[RM_Qty_Per_Batch]*IFERROR(INDEX(PP_Grid[#Data],M_BOM[PPGridRow],60),0))</f>
        <v/>
      </c>
      <c r="BI58">
        <f>SUMPRODUCT((M_BOM[RM_Code]=$A58)*M_BOM[RM_Qty_Per_Batch]*IFERROR(INDEX(PP_Grid[#Data],M_BOM[PPGridRow],61),0))</f>
        <v/>
      </c>
      <c r="BJ58">
        <f>SUMPRODUCT((M_BOM[RM_Code]=$A58)*M_BOM[RM_Qty_Per_Batch]*IFERROR(INDEX(PP_Grid[#Data],M_BOM[PPGridRow],62),0))</f>
        <v/>
      </c>
      <c r="BK58">
        <f>SUMPRODUCT((M_BOM[RM_Code]=$A58)*M_BOM[RM_Qty_Per_Batch]*IFERROR(INDEX(PP_Grid[#Data],M_BOM[PPGridRow],63),0))</f>
        <v/>
      </c>
      <c r="BL58">
        <f>SUMPRODUCT((M_BOM[RM_Code]=$A58)*M_BOM[RM_Qty_Per_Batch]*IFERROR(INDEX(PP_Grid[#Data],M_BOM[PPGridRow],64),0))</f>
        <v/>
      </c>
      <c r="BM58">
        <f>SUMPRODUCT((M_BOM[RM_Code]=$A58)*M_BOM[RM_Qty_Per_Batch]*IFERROR(INDEX(PP_Grid[#Data],M_BOM[PPGridRow],65),0))</f>
        <v/>
      </c>
      <c r="BN58">
        <f>SUMPRODUCT((M_BOM[RM_Code]=$A58)*M_BOM[RM_Qty_Per_Batch]*IFERROR(INDEX(PP_Grid[#Data],M_BOM[PPGridRow],66),0))</f>
        <v/>
      </c>
      <c r="BO58">
        <f>SUMPRODUCT((M_BOM[RM_Code]=$A58)*M_BOM[RM_Qty_Per_Batch]*IFERROR(INDEX(PP_Grid[#Data],M_BOM[PPGridRow],67),0))</f>
        <v/>
      </c>
      <c r="BP58">
        <f>SUMPRODUCT((M_BOM[RM_Code]=$A58)*M_BOM[RM_Qty_Per_Batch]*IFERROR(INDEX(PP_Grid[#Data],M_BOM[PPGridRow],68),0))</f>
        <v/>
      </c>
      <c r="BQ58">
        <f>SUMPRODUCT((M_BOM[RM_Code]=$A58)*M_BOM[RM_Qty_Per_Batch]*IFERROR(INDEX(PP_Grid[#Data],M_BOM[PPGridRow],69),0))</f>
        <v/>
      </c>
      <c r="BR58">
        <f>SUMPRODUCT((M_BOM[RM_Code]=$A58)*M_BOM[RM_Qty_Per_Batch]*IFERROR(INDEX(PP_Grid[#Data],M_BOM[PPGridRow],70),0))</f>
        <v/>
      </c>
      <c r="BS58">
        <f>SUMPRODUCT((M_BOM[RM_Code]=$A58)*M_BOM[RM_Qty_Per_Batch]*IFERROR(INDEX(PP_Grid[#Data],M_BOM[PPGridRow],71),0))</f>
        <v/>
      </c>
      <c r="BT58">
        <f>SUMPRODUCT((M_BOM[RM_Code]=$A58)*M_BOM[RM_Qty_Per_Batch]*IFERROR(INDEX(PP_Grid[#Data],M_BOM[PPGridRow],72),0))</f>
        <v/>
      </c>
      <c r="BU58">
        <f>SUMPRODUCT((M_BOM[RM_Code]=$A58)*M_BOM[RM_Qty_Per_Batch]*IFERROR(INDEX(PP_Grid[#Data],M_BOM[PPGridRow],73),0))</f>
        <v/>
      </c>
      <c r="BV58">
        <f>SUMPRODUCT((M_BOM[RM_Code]=$A58)*M_BOM[RM_Qty_Per_Batch]*IFERROR(INDEX(PP_Grid[#Data],M_BOM[PPGridRow],74),0))</f>
        <v/>
      </c>
      <c r="BW58">
        <f>SUMPRODUCT((M_BOM[RM_Code]=$A58)*M_BOM[RM_Qty_Per_Batch]*IFERROR(INDEX(PP_Grid[#Data],M_BOM[PPGridRow],75),0))</f>
        <v/>
      </c>
      <c r="BX58">
        <f>SUMPRODUCT((M_BOM[RM_Code]=$A58)*M_BOM[RM_Qty_Per_Batch]*IFERROR(INDEX(PP_Grid[#Data],M_BOM[PPGridRow],76),0))</f>
        <v/>
      </c>
      <c r="BY58">
        <f>SUMPRODUCT((M_BOM[RM_Code]=$A58)*M_BOM[RM_Qty_Per_Batch]*IFERROR(INDEX(PP_Grid[#Data],M_BOM[PPGridRow],77),0))</f>
        <v/>
      </c>
      <c r="BZ58">
        <f>SUMPRODUCT((M_BOM[RM_Code]=$A58)*M_BOM[RM_Qty_Per_Batch]*IFERROR(INDEX(PP_Grid[#Data],M_BOM[PPGridRow],78),0))</f>
        <v/>
      </c>
      <c r="CA58">
        <f>SUMPRODUCT((M_BOM[RM_Code]=$A58)*M_BOM[RM_Qty_Per_Batch]*IFERROR(INDEX(PP_Grid[#Data],M_BOM[PPGridRow],79),0))</f>
        <v/>
      </c>
      <c r="CB58">
        <f>SUMPRODUCT((M_BOM[RM_Code]=$A58)*M_BOM[RM_Qty_Per_Batch]*IFERROR(INDEX(PP_Grid[#Data],M_BOM[PPGridRow],80),0))</f>
        <v/>
      </c>
      <c r="CC58">
        <f>SUMPRODUCT((M_BOM[RM_Code]=$A58)*M_BOM[RM_Qty_Per_Batch]*IFERROR(INDEX(PP_Grid[#Data],M_BOM[PPGridRow],81),0))</f>
        <v/>
      </c>
      <c r="CD58">
        <f>SUMPRODUCT((M_BOM[RM_Code]=$A58)*M_BOM[RM_Qty_Per_Batch]*IFERROR(INDEX(PP_Grid[#Data],M_BOM[PPGridRow],82),0))</f>
        <v/>
      </c>
      <c r="CE58">
        <f>SUMPRODUCT((M_BOM[RM_Code]=$A58)*M_BOM[RM_Qty_Per_Batch]*IFERROR(INDEX(PP_Grid[#Data],M_BOM[PPGridRow],83),0))</f>
        <v/>
      </c>
      <c r="CF58">
        <f>SUMPRODUCT((M_BOM[RM_Code]=$A58)*M_BOM[RM_Qty_Per_Batch]*IFERROR(INDEX(PP_Grid[#Data],M_BOM[PPGridRow],84),0))</f>
        <v/>
      </c>
      <c r="CG58">
        <f>SUMPRODUCT((M_BOM[RM_Code]=$A58)*M_BOM[RM_Qty_Per_Batch]*IFERROR(INDEX(PP_Grid[#Data],M_BOM[PPGridRow],85),0))</f>
        <v/>
      </c>
      <c r="CH58">
        <f>SUMPRODUCT((M_BOM[RM_Code]=$A58)*M_BOM[RM_Qty_Per_Batch]*IFERROR(INDEX(PP_Grid[#Data],M_BOM[PPGridRow],86),0))</f>
        <v/>
      </c>
      <c r="CI58">
        <f>SUMPRODUCT((M_BOM[RM_Code]=$A58)*M_BOM[RM_Qty_Per_Batch]*IFERROR(INDEX(PP_Grid[#Data],M_BOM[PPGridRow],87),0))</f>
        <v/>
      </c>
      <c r="CJ58">
        <f>SUMPRODUCT((M_BOM[RM_Code]=$A58)*M_BOM[RM_Qty_Per_Batch]*IFERROR(INDEX(PP_Grid[#Data],M_BOM[PPGridRow],88),0))</f>
        <v/>
      </c>
      <c r="CK58">
        <f>SUMPRODUCT((M_BOM[RM_Code]=$A58)*M_BOM[RM_Qty_Per_Batch]*IFERROR(INDEX(PP_Grid[#Data],M_BOM[PPGridRow],89),0))</f>
        <v/>
      </c>
      <c r="CL58">
        <f>SUMPRODUCT((M_BOM[RM_Code]=$A58)*M_BOM[RM_Qty_Per_Batch]*IFERROR(INDEX(PP_Grid[#Data],M_BOM[PPGridRow],90),0))</f>
        <v/>
      </c>
      <c r="CM58">
        <f>SUMPRODUCT((M_BOM[RM_Code]=$A58)*M_BOM[RM_Qty_Per_Batch]*IFERROR(INDEX(PP_Grid[#Data],M_BOM[PPGridRow],91),0))</f>
        <v/>
      </c>
      <c r="CN58">
        <f>SUMPRODUCT((M_BOM[RM_Code]=$A58)*M_BOM[RM_Qty_Per_Batch]*IFERROR(INDEX(PP_Grid[#Data],M_BOM[PPGridRow],92),0))</f>
        <v/>
      </c>
      <c r="CO58">
        <f>SUMPRODUCT((M_BOM[RM_Code]=$A58)*M_BOM[RM_Qty_Per_Batch]*IFERROR(INDEX(PP_Grid[#Data],M_BOM[PPGridRow],93),0))</f>
        <v/>
      </c>
      <c r="CP58">
        <f>SUMPRODUCT((M_BOM[RM_Code]=$A58)*M_BOM[RM_Qty_Per_Batch]*IFERROR(INDEX(PP_Grid[#Data],M_BOM[PPGridRow],94),0))</f>
        <v/>
      </c>
      <c r="CQ58">
        <f>SUMPRODUCT((M_BOM[RM_Code]=$A58)*M_BOM[RM_Qty_Per_Batch]*IFERROR(INDEX(PP_Grid[#Data],M_BOM[PPGridRow],95),0))</f>
        <v/>
      </c>
      <c r="CR58">
        <f>SUMPRODUCT((M_BOM[RM_Code]=$A58)*M_BOM[RM_Qty_Per_Batch]*IFERROR(INDEX(PP_Grid[#Data],M_BOM[PPGridRow],96),0))</f>
        <v/>
      </c>
      <c r="CS58">
        <f>SUMPRODUCT((M_BOM[RM_Code]=$A58)*M_BOM[RM_Qty_Per_Batch]*IFERROR(INDEX(PP_Grid[#Data],M_BOM[PPGridRow],97),0))</f>
        <v/>
      </c>
      <c r="CT58">
        <f>SUMPRODUCT((M_BOM[RM_Code]=$A58)*M_BOM[RM_Qty_Per_Batch]*IFERROR(INDEX(PP_Grid[#Data],M_BOM[PPGridRow],98),0))</f>
        <v/>
      </c>
      <c r="CU58">
        <f>SUMPRODUCT((M_BOM[RM_Code]=$A58)*M_BOM[RM_Qty_Per_Batch]*IFERROR(INDEX(PP_Grid[#Data],M_BOM[PPGridRow],99),0))</f>
        <v/>
      </c>
      <c r="CV58">
        <f>SUMPRODUCT((M_BOM[RM_Code]=$A58)*M_BOM[RM_Qty_Per_Batch]*IFERROR(INDEX(PP_Grid[#Data],M_BOM[PPGridRow],100),0))</f>
        <v/>
      </c>
      <c r="CW58">
        <f>SUMPRODUCT((M_BOM[RM_Code]=$A58)*M_BOM[RM_Qty_Per_Batch]*IFERROR(INDEX(PP_Grid[#Data],M_BOM[PPGridRow],101),0))</f>
        <v/>
      </c>
      <c r="CX58">
        <f>SUMPRODUCT((M_BOM[RM_Code]=$A58)*M_BOM[RM_Qty_Per_Batch]*IFERROR(INDEX(PP_Grid[#Data],M_BOM[PPGridRow],102),0))</f>
        <v/>
      </c>
      <c r="CY58">
        <f>SUMPRODUCT((M_BOM[RM_Code]=$A58)*M_BOM[RM_Qty_Per_Batch]*IFERROR(INDEX(PP_Grid[#Data],M_BOM[PPGridRow],103),0))</f>
        <v/>
      </c>
      <c r="CZ58">
        <f>SUMPRODUCT((M_BOM[RM_Code]=$A58)*M_BOM[RM_Qty_Per_Batch]*IFERROR(INDEX(PP_Grid[#Data],M_BOM[PPGridRow],104),0))</f>
        <v/>
      </c>
      <c r="DA58">
        <f>SUMPRODUCT((M_BOM[RM_Code]=$A58)*M_BOM[RM_Qty_Per_Batch]*IFERROR(INDEX(PP_Grid[#Data],M_BOM[PPGridRow],105),0))</f>
        <v/>
      </c>
    </row>
    <row r="59">
      <c r="A59" t="inlineStr">
        <is>
          <t>CHEM-1780</t>
        </is>
      </c>
      <c r="B59">
        <f>SUMPRODUCT((M_BOM[RM_Code]=$A59)*M_BOM[RM_Qty_Per_Batch]*IFERROR(INDEX(PP_Grid[#Data],M_BOM[PPGridRow],2),0))</f>
        <v/>
      </c>
      <c r="C59">
        <f>SUMPRODUCT((M_BOM[RM_Code]=$A59)*M_BOM[RM_Qty_Per_Batch]*IFERROR(INDEX(PP_Grid[#Data],M_BOM[PPGridRow],3),0))</f>
        <v/>
      </c>
      <c r="D59">
        <f>SUMPRODUCT((M_BOM[RM_Code]=$A59)*M_BOM[RM_Qty_Per_Batch]*IFERROR(INDEX(PP_Grid[#Data],M_BOM[PPGridRow],4),0))</f>
        <v/>
      </c>
      <c r="E59">
        <f>SUMPRODUCT((M_BOM[RM_Code]=$A59)*M_BOM[RM_Qty_Per_Batch]*IFERROR(INDEX(PP_Grid[#Data],M_BOM[PPGridRow],5),0))</f>
        <v/>
      </c>
      <c r="F59">
        <f>SUMPRODUCT((M_BOM[RM_Code]=$A59)*M_BOM[RM_Qty_Per_Batch]*IFERROR(INDEX(PP_Grid[#Data],M_BOM[PPGridRow],6),0))</f>
        <v/>
      </c>
      <c r="G59">
        <f>SUMPRODUCT((M_BOM[RM_Code]=$A59)*M_BOM[RM_Qty_Per_Batch]*IFERROR(INDEX(PP_Grid[#Data],M_BOM[PPGridRow],7),0))</f>
        <v/>
      </c>
      <c r="H59">
        <f>SUMPRODUCT((M_BOM[RM_Code]=$A59)*M_BOM[RM_Qty_Per_Batch]*IFERROR(INDEX(PP_Grid[#Data],M_BOM[PPGridRow],8),0))</f>
        <v/>
      </c>
      <c r="I59">
        <f>SUMPRODUCT((M_BOM[RM_Code]=$A59)*M_BOM[RM_Qty_Per_Batch]*IFERROR(INDEX(PP_Grid[#Data],M_BOM[PPGridRow],9),0))</f>
        <v/>
      </c>
      <c r="J59">
        <f>SUMPRODUCT((M_BOM[RM_Code]=$A59)*M_BOM[RM_Qty_Per_Batch]*IFERROR(INDEX(PP_Grid[#Data],M_BOM[PPGridRow],10),0))</f>
        <v/>
      </c>
      <c r="K59">
        <f>SUMPRODUCT((M_BOM[RM_Code]=$A59)*M_BOM[RM_Qty_Per_Batch]*IFERROR(INDEX(PP_Grid[#Data],M_BOM[PPGridRow],11),0))</f>
        <v/>
      </c>
      <c r="L59">
        <f>SUMPRODUCT((M_BOM[RM_Code]=$A59)*M_BOM[RM_Qty_Per_Batch]*IFERROR(INDEX(PP_Grid[#Data],M_BOM[PPGridRow],12),0))</f>
        <v/>
      </c>
      <c r="M59">
        <f>SUMPRODUCT((M_BOM[RM_Code]=$A59)*M_BOM[RM_Qty_Per_Batch]*IFERROR(INDEX(PP_Grid[#Data],M_BOM[PPGridRow],13),0))</f>
        <v/>
      </c>
      <c r="N59">
        <f>SUMPRODUCT((M_BOM[RM_Code]=$A59)*M_BOM[RM_Qty_Per_Batch]*IFERROR(INDEX(PP_Grid[#Data],M_BOM[PPGridRow],14),0))</f>
        <v/>
      </c>
      <c r="O59">
        <f>SUMPRODUCT((M_BOM[RM_Code]=$A59)*M_BOM[RM_Qty_Per_Batch]*IFERROR(INDEX(PP_Grid[#Data],M_BOM[PPGridRow],15),0))</f>
        <v/>
      </c>
      <c r="P59">
        <f>SUMPRODUCT((M_BOM[RM_Code]=$A59)*M_BOM[RM_Qty_Per_Batch]*IFERROR(INDEX(PP_Grid[#Data],M_BOM[PPGridRow],16),0))</f>
        <v/>
      </c>
      <c r="Q59">
        <f>SUMPRODUCT((M_BOM[RM_Code]=$A59)*M_BOM[RM_Qty_Per_Batch]*IFERROR(INDEX(PP_Grid[#Data],M_BOM[PPGridRow],17),0))</f>
        <v/>
      </c>
      <c r="R59">
        <f>SUMPRODUCT((M_BOM[RM_Code]=$A59)*M_BOM[RM_Qty_Per_Batch]*IFERROR(INDEX(PP_Grid[#Data],M_BOM[PPGridRow],18),0))</f>
        <v/>
      </c>
      <c r="S59">
        <f>SUMPRODUCT((M_BOM[RM_Code]=$A59)*M_BOM[RM_Qty_Per_Batch]*IFERROR(INDEX(PP_Grid[#Data],M_BOM[PPGridRow],19),0))</f>
        <v/>
      </c>
      <c r="T59">
        <f>SUMPRODUCT((M_BOM[RM_Code]=$A59)*M_BOM[RM_Qty_Per_Batch]*IFERROR(INDEX(PP_Grid[#Data],M_BOM[PPGridRow],20),0))</f>
        <v/>
      </c>
      <c r="U59">
        <f>SUMPRODUCT((M_BOM[RM_Code]=$A59)*M_BOM[RM_Qty_Per_Batch]*IFERROR(INDEX(PP_Grid[#Data],M_BOM[PPGridRow],21),0))</f>
        <v/>
      </c>
      <c r="V59">
        <f>SUMPRODUCT((M_BOM[RM_Code]=$A59)*M_BOM[RM_Qty_Per_Batch]*IFERROR(INDEX(PP_Grid[#Data],M_BOM[PPGridRow],22),0))</f>
        <v/>
      </c>
      <c r="W59">
        <f>SUMPRODUCT((M_BOM[RM_Code]=$A59)*M_BOM[RM_Qty_Per_Batch]*IFERROR(INDEX(PP_Grid[#Data],M_BOM[PPGridRow],23),0))</f>
        <v/>
      </c>
      <c r="X59">
        <f>SUMPRODUCT((M_BOM[RM_Code]=$A59)*M_BOM[RM_Qty_Per_Batch]*IFERROR(INDEX(PP_Grid[#Data],M_BOM[PPGridRow],24),0))</f>
        <v/>
      </c>
      <c r="Y59">
        <f>SUMPRODUCT((M_BOM[RM_Code]=$A59)*M_BOM[RM_Qty_Per_Batch]*IFERROR(INDEX(PP_Grid[#Data],M_BOM[PPGridRow],25),0))</f>
        <v/>
      </c>
      <c r="Z59">
        <f>SUMPRODUCT((M_BOM[RM_Code]=$A59)*M_BOM[RM_Qty_Per_Batch]*IFERROR(INDEX(PP_Grid[#Data],M_BOM[PPGridRow],26),0))</f>
        <v/>
      </c>
      <c r="AA59">
        <f>SUMPRODUCT((M_BOM[RM_Code]=$A59)*M_BOM[RM_Qty_Per_Batch]*IFERROR(INDEX(PP_Grid[#Data],M_BOM[PPGridRow],27),0))</f>
        <v/>
      </c>
      <c r="AB59">
        <f>SUMPRODUCT((M_BOM[RM_Code]=$A59)*M_BOM[RM_Qty_Per_Batch]*IFERROR(INDEX(PP_Grid[#Data],M_BOM[PPGridRow],28),0))</f>
        <v/>
      </c>
      <c r="AC59">
        <f>SUMPRODUCT((M_BOM[RM_Code]=$A59)*M_BOM[RM_Qty_Per_Batch]*IFERROR(INDEX(PP_Grid[#Data],M_BOM[PPGridRow],29),0))</f>
        <v/>
      </c>
      <c r="AD59">
        <f>SUMPRODUCT((M_BOM[RM_Code]=$A59)*M_BOM[RM_Qty_Per_Batch]*IFERROR(INDEX(PP_Grid[#Data],M_BOM[PPGridRow],30),0))</f>
        <v/>
      </c>
      <c r="AE59">
        <f>SUMPRODUCT((M_BOM[RM_Code]=$A59)*M_BOM[RM_Qty_Per_Batch]*IFERROR(INDEX(PP_Grid[#Data],M_BOM[PPGridRow],31),0))</f>
        <v/>
      </c>
      <c r="AF59">
        <f>SUMPRODUCT((M_BOM[RM_Code]=$A59)*M_BOM[RM_Qty_Per_Batch]*IFERROR(INDEX(PP_Grid[#Data],M_BOM[PPGridRow],32),0))</f>
        <v/>
      </c>
      <c r="AG59">
        <f>SUMPRODUCT((M_BOM[RM_Code]=$A59)*M_BOM[RM_Qty_Per_Batch]*IFERROR(INDEX(PP_Grid[#Data],M_BOM[PPGridRow],33),0))</f>
        <v/>
      </c>
      <c r="AH59">
        <f>SUMPRODUCT((M_BOM[RM_Code]=$A59)*M_BOM[RM_Qty_Per_Batch]*IFERROR(INDEX(PP_Grid[#Data],M_BOM[PPGridRow],34),0))</f>
        <v/>
      </c>
      <c r="AI59">
        <f>SUMPRODUCT((M_BOM[RM_Code]=$A59)*M_BOM[RM_Qty_Per_Batch]*IFERROR(INDEX(PP_Grid[#Data],M_BOM[PPGridRow],35),0))</f>
        <v/>
      </c>
      <c r="AJ59">
        <f>SUMPRODUCT((M_BOM[RM_Code]=$A59)*M_BOM[RM_Qty_Per_Batch]*IFERROR(INDEX(PP_Grid[#Data],M_BOM[PPGridRow],36),0))</f>
        <v/>
      </c>
      <c r="AK59">
        <f>SUMPRODUCT((M_BOM[RM_Code]=$A59)*M_BOM[RM_Qty_Per_Batch]*IFERROR(INDEX(PP_Grid[#Data],M_BOM[PPGridRow],37),0))</f>
        <v/>
      </c>
      <c r="AL59">
        <f>SUMPRODUCT((M_BOM[RM_Code]=$A59)*M_BOM[RM_Qty_Per_Batch]*IFERROR(INDEX(PP_Grid[#Data],M_BOM[PPGridRow],38),0))</f>
        <v/>
      </c>
      <c r="AM59">
        <f>SUMPRODUCT((M_BOM[RM_Code]=$A59)*M_BOM[RM_Qty_Per_Batch]*IFERROR(INDEX(PP_Grid[#Data],M_BOM[PPGridRow],39),0))</f>
        <v/>
      </c>
      <c r="AN59">
        <f>SUMPRODUCT((M_BOM[RM_Code]=$A59)*M_BOM[RM_Qty_Per_Batch]*IFERROR(INDEX(PP_Grid[#Data],M_BOM[PPGridRow],40),0))</f>
        <v/>
      </c>
      <c r="AO59">
        <f>SUMPRODUCT((M_BOM[RM_Code]=$A59)*M_BOM[RM_Qty_Per_Batch]*IFERROR(INDEX(PP_Grid[#Data],M_BOM[PPGridRow],41),0))</f>
        <v/>
      </c>
      <c r="AP59">
        <f>SUMPRODUCT((M_BOM[RM_Code]=$A59)*M_BOM[RM_Qty_Per_Batch]*IFERROR(INDEX(PP_Grid[#Data],M_BOM[PPGridRow],42),0))</f>
        <v/>
      </c>
      <c r="AQ59">
        <f>SUMPRODUCT((M_BOM[RM_Code]=$A59)*M_BOM[RM_Qty_Per_Batch]*IFERROR(INDEX(PP_Grid[#Data],M_BOM[PPGridRow],43),0))</f>
        <v/>
      </c>
      <c r="AR59">
        <f>SUMPRODUCT((M_BOM[RM_Code]=$A59)*M_BOM[RM_Qty_Per_Batch]*IFERROR(INDEX(PP_Grid[#Data],M_BOM[PPGridRow],44),0))</f>
        <v/>
      </c>
      <c r="AS59">
        <f>SUMPRODUCT((M_BOM[RM_Code]=$A59)*M_BOM[RM_Qty_Per_Batch]*IFERROR(INDEX(PP_Grid[#Data],M_BOM[PPGridRow],45),0))</f>
        <v/>
      </c>
      <c r="AT59">
        <f>SUMPRODUCT((M_BOM[RM_Code]=$A59)*M_BOM[RM_Qty_Per_Batch]*IFERROR(INDEX(PP_Grid[#Data],M_BOM[PPGridRow],46),0))</f>
        <v/>
      </c>
      <c r="AU59">
        <f>SUMPRODUCT((M_BOM[RM_Code]=$A59)*M_BOM[RM_Qty_Per_Batch]*IFERROR(INDEX(PP_Grid[#Data],M_BOM[PPGridRow],47),0))</f>
        <v/>
      </c>
      <c r="AV59">
        <f>SUMPRODUCT((M_BOM[RM_Code]=$A59)*M_BOM[RM_Qty_Per_Batch]*IFERROR(INDEX(PP_Grid[#Data],M_BOM[PPGridRow],48),0))</f>
        <v/>
      </c>
      <c r="AW59">
        <f>SUMPRODUCT((M_BOM[RM_Code]=$A59)*M_BOM[RM_Qty_Per_Batch]*IFERROR(INDEX(PP_Grid[#Data],M_BOM[PPGridRow],49),0))</f>
        <v/>
      </c>
      <c r="AX59">
        <f>SUMPRODUCT((M_BOM[RM_Code]=$A59)*M_BOM[RM_Qty_Per_Batch]*IFERROR(INDEX(PP_Grid[#Data],M_BOM[PPGridRow],50),0))</f>
        <v/>
      </c>
      <c r="AY59">
        <f>SUMPRODUCT((M_BOM[RM_Code]=$A59)*M_BOM[RM_Qty_Per_Batch]*IFERROR(INDEX(PP_Grid[#Data],M_BOM[PPGridRow],51),0))</f>
        <v/>
      </c>
      <c r="AZ59">
        <f>SUMPRODUCT((M_BOM[RM_Code]=$A59)*M_BOM[RM_Qty_Per_Batch]*IFERROR(INDEX(PP_Grid[#Data],M_BOM[PPGridRow],52),0))</f>
        <v/>
      </c>
      <c r="BA59">
        <f>SUMPRODUCT((M_BOM[RM_Code]=$A59)*M_BOM[RM_Qty_Per_Batch]*IFERROR(INDEX(PP_Grid[#Data],M_BOM[PPGridRow],53),0))</f>
        <v/>
      </c>
      <c r="BB59">
        <f>SUMPRODUCT((M_BOM[RM_Code]=$A59)*M_BOM[RM_Qty_Per_Batch]*IFERROR(INDEX(PP_Grid[#Data],M_BOM[PPGridRow],54),0))</f>
        <v/>
      </c>
      <c r="BC59">
        <f>SUMPRODUCT((M_BOM[RM_Code]=$A59)*M_BOM[RM_Qty_Per_Batch]*IFERROR(INDEX(PP_Grid[#Data],M_BOM[PPGridRow],55),0))</f>
        <v/>
      </c>
      <c r="BD59">
        <f>SUMPRODUCT((M_BOM[RM_Code]=$A59)*M_BOM[RM_Qty_Per_Batch]*IFERROR(INDEX(PP_Grid[#Data],M_BOM[PPGridRow],56),0))</f>
        <v/>
      </c>
      <c r="BE59">
        <f>SUMPRODUCT((M_BOM[RM_Code]=$A59)*M_BOM[RM_Qty_Per_Batch]*IFERROR(INDEX(PP_Grid[#Data],M_BOM[PPGridRow],57),0))</f>
        <v/>
      </c>
      <c r="BF59">
        <f>SUMPRODUCT((M_BOM[RM_Code]=$A59)*M_BOM[RM_Qty_Per_Batch]*IFERROR(INDEX(PP_Grid[#Data],M_BOM[PPGridRow],58),0))</f>
        <v/>
      </c>
      <c r="BG59">
        <f>SUMPRODUCT((M_BOM[RM_Code]=$A59)*M_BOM[RM_Qty_Per_Batch]*IFERROR(INDEX(PP_Grid[#Data],M_BOM[PPGridRow],59),0))</f>
        <v/>
      </c>
      <c r="BH59">
        <f>SUMPRODUCT((M_BOM[RM_Code]=$A59)*M_BOM[RM_Qty_Per_Batch]*IFERROR(INDEX(PP_Grid[#Data],M_BOM[PPGridRow],60),0))</f>
        <v/>
      </c>
      <c r="BI59">
        <f>SUMPRODUCT((M_BOM[RM_Code]=$A59)*M_BOM[RM_Qty_Per_Batch]*IFERROR(INDEX(PP_Grid[#Data],M_BOM[PPGridRow],61),0))</f>
        <v/>
      </c>
      <c r="BJ59">
        <f>SUMPRODUCT((M_BOM[RM_Code]=$A59)*M_BOM[RM_Qty_Per_Batch]*IFERROR(INDEX(PP_Grid[#Data],M_BOM[PPGridRow],62),0))</f>
        <v/>
      </c>
      <c r="BK59">
        <f>SUMPRODUCT((M_BOM[RM_Code]=$A59)*M_BOM[RM_Qty_Per_Batch]*IFERROR(INDEX(PP_Grid[#Data],M_BOM[PPGridRow],63),0))</f>
        <v/>
      </c>
      <c r="BL59">
        <f>SUMPRODUCT((M_BOM[RM_Code]=$A59)*M_BOM[RM_Qty_Per_Batch]*IFERROR(INDEX(PP_Grid[#Data],M_BOM[PPGridRow],64),0))</f>
        <v/>
      </c>
      <c r="BM59">
        <f>SUMPRODUCT((M_BOM[RM_Code]=$A59)*M_BOM[RM_Qty_Per_Batch]*IFERROR(INDEX(PP_Grid[#Data],M_BOM[PPGridRow],65),0))</f>
        <v/>
      </c>
      <c r="BN59">
        <f>SUMPRODUCT((M_BOM[RM_Code]=$A59)*M_BOM[RM_Qty_Per_Batch]*IFERROR(INDEX(PP_Grid[#Data],M_BOM[PPGridRow],66),0))</f>
        <v/>
      </c>
      <c r="BO59">
        <f>SUMPRODUCT((M_BOM[RM_Code]=$A59)*M_BOM[RM_Qty_Per_Batch]*IFERROR(INDEX(PP_Grid[#Data],M_BOM[PPGridRow],67),0))</f>
        <v/>
      </c>
      <c r="BP59">
        <f>SUMPRODUCT((M_BOM[RM_Code]=$A59)*M_BOM[RM_Qty_Per_Batch]*IFERROR(INDEX(PP_Grid[#Data],M_BOM[PPGridRow],68),0))</f>
        <v/>
      </c>
      <c r="BQ59">
        <f>SUMPRODUCT((M_BOM[RM_Code]=$A59)*M_BOM[RM_Qty_Per_Batch]*IFERROR(INDEX(PP_Grid[#Data],M_BOM[PPGridRow],69),0))</f>
        <v/>
      </c>
      <c r="BR59">
        <f>SUMPRODUCT((M_BOM[RM_Code]=$A59)*M_BOM[RM_Qty_Per_Batch]*IFERROR(INDEX(PP_Grid[#Data],M_BOM[PPGridRow],70),0))</f>
        <v/>
      </c>
      <c r="BS59">
        <f>SUMPRODUCT((M_BOM[RM_Code]=$A59)*M_BOM[RM_Qty_Per_Batch]*IFERROR(INDEX(PP_Grid[#Data],M_BOM[PPGridRow],71),0))</f>
        <v/>
      </c>
      <c r="BT59">
        <f>SUMPRODUCT((M_BOM[RM_Code]=$A59)*M_BOM[RM_Qty_Per_Batch]*IFERROR(INDEX(PP_Grid[#Data],M_BOM[PPGridRow],72),0))</f>
        <v/>
      </c>
      <c r="BU59">
        <f>SUMPRODUCT((M_BOM[RM_Code]=$A59)*M_BOM[RM_Qty_Per_Batch]*IFERROR(INDEX(PP_Grid[#Data],M_BOM[PPGridRow],73),0))</f>
        <v/>
      </c>
      <c r="BV59">
        <f>SUMPRODUCT((M_BOM[RM_Code]=$A59)*M_BOM[RM_Qty_Per_Batch]*IFERROR(INDEX(PP_Grid[#Data],M_BOM[PPGridRow],74),0))</f>
        <v/>
      </c>
      <c r="BW59">
        <f>SUMPRODUCT((M_BOM[RM_Code]=$A59)*M_BOM[RM_Qty_Per_Batch]*IFERROR(INDEX(PP_Grid[#Data],M_BOM[PPGridRow],75),0))</f>
        <v/>
      </c>
      <c r="BX59">
        <f>SUMPRODUCT((M_BOM[RM_Code]=$A59)*M_BOM[RM_Qty_Per_Batch]*IFERROR(INDEX(PP_Grid[#Data],M_BOM[PPGridRow],76),0))</f>
        <v/>
      </c>
      <c r="BY59">
        <f>SUMPRODUCT((M_BOM[RM_Code]=$A59)*M_BOM[RM_Qty_Per_Batch]*IFERROR(INDEX(PP_Grid[#Data],M_BOM[PPGridRow],77),0))</f>
        <v/>
      </c>
      <c r="BZ59">
        <f>SUMPRODUCT((M_BOM[RM_Code]=$A59)*M_BOM[RM_Qty_Per_Batch]*IFERROR(INDEX(PP_Grid[#Data],M_BOM[PPGridRow],78),0))</f>
        <v/>
      </c>
      <c r="CA59">
        <f>SUMPRODUCT((M_BOM[RM_Code]=$A59)*M_BOM[RM_Qty_Per_Batch]*IFERROR(INDEX(PP_Grid[#Data],M_BOM[PPGridRow],79),0))</f>
        <v/>
      </c>
      <c r="CB59">
        <f>SUMPRODUCT((M_BOM[RM_Code]=$A59)*M_BOM[RM_Qty_Per_Batch]*IFERROR(INDEX(PP_Grid[#Data],M_BOM[PPGridRow],80),0))</f>
        <v/>
      </c>
      <c r="CC59">
        <f>SUMPRODUCT((M_BOM[RM_Code]=$A59)*M_BOM[RM_Qty_Per_Batch]*IFERROR(INDEX(PP_Grid[#Data],M_BOM[PPGridRow],81),0))</f>
        <v/>
      </c>
      <c r="CD59">
        <f>SUMPRODUCT((M_BOM[RM_Code]=$A59)*M_BOM[RM_Qty_Per_Batch]*IFERROR(INDEX(PP_Grid[#Data],M_BOM[PPGridRow],82),0))</f>
        <v/>
      </c>
      <c r="CE59">
        <f>SUMPRODUCT((M_BOM[RM_Code]=$A59)*M_BOM[RM_Qty_Per_Batch]*IFERROR(INDEX(PP_Grid[#Data],M_BOM[PPGridRow],83),0))</f>
        <v/>
      </c>
      <c r="CF59">
        <f>SUMPRODUCT((M_BOM[RM_Code]=$A59)*M_BOM[RM_Qty_Per_Batch]*IFERROR(INDEX(PP_Grid[#Data],M_BOM[PPGridRow],84),0))</f>
        <v/>
      </c>
      <c r="CG59">
        <f>SUMPRODUCT((M_BOM[RM_Code]=$A59)*M_BOM[RM_Qty_Per_Batch]*IFERROR(INDEX(PP_Grid[#Data],M_BOM[PPGridRow],85),0))</f>
        <v/>
      </c>
      <c r="CH59">
        <f>SUMPRODUCT((M_BOM[RM_Code]=$A59)*M_BOM[RM_Qty_Per_Batch]*IFERROR(INDEX(PP_Grid[#Data],M_BOM[PPGridRow],86),0))</f>
        <v/>
      </c>
      <c r="CI59">
        <f>SUMPRODUCT((M_BOM[RM_Code]=$A59)*M_BOM[RM_Qty_Per_Batch]*IFERROR(INDEX(PP_Grid[#Data],M_BOM[PPGridRow],87),0))</f>
        <v/>
      </c>
      <c r="CJ59">
        <f>SUMPRODUCT((M_BOM[RM_Code]=$A59)*M_BOM[RM_Qty_Per_Batch]*IFERROR(INDEX(PP_Grid[#Data],M_BOM[PPGridRow],88),0))</f>
        <v/>
      </c>
      <c r="CK59">
        <f>SUMPRODUCT((M_BOM[RM_Code]=$A59)*M_BOM[RM_Qty_Per_Batch]*IFERROR(INDEX(PP_Grid[#Data],M_BOM[PPGridRow],89),0))</f>
        <v/>
      </c>
      <c r="CL59">
        <f>SUMPRODUCT((M_BOM[RM_Code]=$A59)*M_BOM[RM_Qty_Per_Batch]*IFERROR(INDEX(PP_Grid[#Data],M_BOM[PPGridRow],90),0))</f>
        <v/>
      </c>
      <c r="CM59">
        <f>SUMPRODUCT((M_BOM[RM_Code]=$A59)*M_BOM[RM_Qty_Per_Batch]*IFERROR(INDEX(PP_Grid[#Data],M_BOM[PPGridRow],91),0))</f>
        <v/>
      </c>
      <c r="CN59">
        <f>SUMPRODUCT((M_BOM[RM_Code]=$A59)*M_BOM[RM_Qty_Per_Batch]*IFERROR(INDEX(PP_Grid[#Data],M_BOM[PPGridRow],92),0))</f>
        <v/>
      </c>
      <c r="CO59">
        <f>SUMPRODUCT((M_BOM[RM_Code]=$A59)*M_BOM[RM_Qty_Per_Batch]*IFERROR(INDEX(PP_Grid[#Data],M_BOM[PPGridRow],93),0))</f>
        <v/>
      </c>
      <c r="CP59">
        <f>SUMPRODUCT((M_BOM[RM_Code]=$A59)*M_BOM[RM_Qty_Per_Batch]*IFERROR(INDEX(PP_Grid[#Data],M_BOM[PPGridRow],94),0))</f>
        <v/>
      </c>
      <c r="CQ59">
        <f>SUMPRODUCT((M_BOM[RM_Code]=$A59)*M_BOM[RM_Qty_Per_Batch]*IFERROR(INDEX(PP_Grid[#Data],M_BOM[PPGridRow],95),0))</f>
        <v/>
      </c>
      <c r="CR59">
        <f>SUMPRODUCT((M_BOM[RM_Code]=$A59)*M_BOM[RM_Qty_Per_Batch]*IFERROR(INDEX(PP_Grid[#Data],M_BOM[PPGridRow],96),0))</f>
        <v/>
      </c>
      <c r="CS59">
        <f>SUMPRODUCT((M_BOM[RM_Code]=$A59)*M_BOM[RM_Qty_Per_Batch]*IFERROR(INDEX(PP_Grid[#Data],M_BOM[PPGridRow],97),0))</f>
        <v/>
      </c>
      <c r="CT59">
        <f>SUMPRODUCT((M_BOM[RM_Code]=$A59)*M_BOM[RM_Qty_Per_Batch]*IFERROR(INDEX(PP_Grid[#Data],M_BOM[PPGridRow],98),0))</f>
        <v/>
      </c>
      <c r="CU59">
        <f>SUMPRODUCT((M_BOM[RM_Code]=$A59)*M_BOM[RM_Qty_Per_Batch]*IFERROR(INDEX(PP_Grid[#Data],M_BOM[PPGridRow],99),0))</f>
        <v/>
      </c>
      <c r="CV59">
        <f>SUMPRODUCT((M_BOM[RM_Code]=$A59)*M_BOM[RM_Qty_Per_Batch]*IFERROR(INDEX(PP_Grid[#Data],M_BOM[PPGridRow],100),0))</f>
        <v/>
      </c>
      <c r="CW59">
        <f>SUMPRODUCT((M_BOM[RM_Code]=$A59)*M_BOM[RM_Qty_Per_Batch]*IFERROR(INDEX(PP_Grid[#Data],M_BOM[PPGridRow],101),0))</f>
        <v/>
      </c>
      <c r="CX59">
        <f>SUMPRODUCT((M_BOM[RM_Code]=$A59)*M_BOM[RM_Qty_Per_Batch]*IFERROR(INDEX(PP_Grid[#Data],M_BOM[PPGridRow],102),0))</f>
        <v/>
      </c>
      <c r="CY59">
        <f>SUMPRODUCT((M_BOM[RM_Code]=$A59)*M_BOM[RM_Qty_Per_Batch]*IFERROR(INDEX(PP_Grid[#Data],M_BOM[PPGridRow],103),0))</f>
        <v/>
      </c>
      <c r="CZ59">
        <f>SUMPRODUCT((M_BOM[RM_Code]=$A59)*M_BOM[RM_Qty_Per_Batch]*IFERROR(INDEX(PP_Grid[#Data],M_BOM[PPGridRow],104),0))</f>
        <v/>
      </c>
      <c r="DA59">
        <f>SUMPRODUCT((M_BOM[RM_Code]=$A59)*M_BOM[RM_Qty_Per_Batch]*IFERROR(INDEX(PP_Grid[#Data],M_BOM[PPGridRow],105),0))</f>
        <v/>
      </c>
    </row>
    <row r="60">
      <c r="A60" t="inlineStr">
        <is>
          <t>CHEM-1020</t>
        </is>
      </c>
      <c r="B60">
        <f>SUMPRODUCT((M_BOM[RM_Code]=$A60)*M_BOM[RM_Qty_Per_Batch]*IFERROR(INDEX(PP_Grid[#Data],M_BOM[PPGridRow],2),0))</f>
        <v/>
      </c>
      <c r="C60">
        <f>SUMPRODUCT((M_BOM[RM_Code]=$A60)*M_BOM[RM_Qty_Per_Batch]*IFERROR(INDEX(PP_Grid[#Data],M_BOM[PPGridRow],3),0))</f>
        <v/>
      </c>
      <c r="D60">
        <f>SUMPRODUCT((M_BOM[RM_Code]=$A60)*M_BOM[RM_Qty_Per_Batch]*IFERROR(INDEX(PP_Grid[#Data],M_BOM[PPGridRow],4),0))</f>
        <v/>
      </c>
      <c r="E60">
        <f>SUMPRODUCT((M_BOM[RM_Code]=$A60)*M_BOM[RM_Qty_Per_Batch]*IFERROR(INDEX(PP_Grid[#Data],M_BOM[PPGridRow],5),0))</f>
        <v/>
      </c>
      <c r="F60">
        <f>SUMPRODUCT((M_BOM[RM_Code]=$A60)*M_BOM[RM_Qty_Per_Batch]*IFERROR(INDEX(PP_Grid[#Data],M_BOM[PPGridRow],6),0))</f>
        <v/>
      </c>
      <c r="G60">
        <f>SUMPRODUCT((M_BOM[RM_Code]=$A60)*M_BOM[RM_Qty_Per_Batch]*IFERROR(INDEX(PP_Grid[#Data],M_BOM[PPGridRow],7),0))</f>
        <v/>
      </c>
      <c r="H60">
        <f>SUMPRODUCT((M_BOM[RM_Code]=$A60)*M_BOM[RM_Qty_Per_Batch]*IFERROR(INDEX(PP_Grid[#Data],M_BOM[PPGridRow],8),0))</f>
        <v/>
      </c>
      <c r="I60">
        <f>SUMPRODUCT((M_BOM[RM_Code]=$A60)*M_BOM[RM_Qty_Per_Batch]*IFERROR(INDEX(PP_Grid[#Data],M_BOM[PPGridRow],9),0))</f>
        <v/>
      </c>
      <c r="J60">
        <f>SUMPRODUCT((M_BOM[RM_Code]=$A60)*M_BOM[RM_Qty_Per_Batch]*IFERROR(INDEX(PP_Grid[#Data],M_BOM[PPGridRow],10),0))</f>
        <v/>
      </c>
      <c r="K60">
        <f>SUMPRODUCT((M_BOM[RM_Code]=$A60)*M_BOM[RM_Qty_Per_Batch]*IFERROR(INDEX(PP_Grid[#Data],M_BOM[PPGridRow],11),0))</f>
        <v/>
      </c>
      <c r="L60">
        <f>SUMPRODUCT((M_BOM[RM_Code]=$A60)*M_BOM[RM_Qty_Per_Batch]*IFERROR(INDEX(PP_Grid[#Data],M_BOM[PPGridRow],12),0))</f>
        <v/>
      </c>
      <c r="M60">
        <f>SUMPRODUCT((M_BOM[RM_Code]=$A60)*M_BOM[RM_Qty_Per_Batch]*IFERROR(INDEX(PP_Grid[#Data],M_BOM[PPGridRow],13),0))</f>
        <v/>
      </c>
      <c r="N60">
        <f>SUMPRODUCT((M_BOM[RM_Code]=$A60)*M_BOM[RM_Qty_Per_Batch]*IFERROR(INDEX(PP_Grid[#Data],M_BOM[PPGridRow],14),0))</f>
        <v/>
      </c>
      <c r="O60">
        <f>SUMPRODUCT((M_BOM[RM_Code]=$A60)*M_BOM[RM_Qty_Per_Batch]*IFERROR(INDEX(PP_Grid[#Data],M_BOM[PPGridRow],15),0))</f>
        <v/>
      </c>
      <c r="P60">
        <f>SUMPRODUCT((M_BOM[RM_Code]=$A60)*M_BOM[RM_Qty_Per_Batch]*IFERROR(INDEX(PP_Grid[#Data],M_BOM[PPGridRow],16),0))</f>
        <v/>
      </c>
      <c r="Q60">
        <f>SUMPRODUCT((M_BOM[RM_Code]=$A60)*M_BOM[RM_Qty_Per_Batch]*IFERROR(INDEX(PP_Grid[#Data],M_BOM[PPGridRow],17),0))</f>
        <v/>
      </c>
      <c r="R60">
        <f>SUMPRODUCT((M_BOM[RM_Code]=$A60)*M_BOM[RM_Qty_Per_Batch]*IFERROR(INDEX(PP_Grid[#Data],M_BOM[PPGridRow],18),0))</f>
        <v/>
      </c>
      <c r="S60">
        <f>SUMPRODUCT((M_BOM[RM_Code]=$A60)*M_BOM[RM_Qty_Per_Batch]*IFERROR(INDEX(PP_Grid[#Data],M_BOM[PPGridRow],19),0))</f>
        <v/>
      </c>
      <c r="T60">
        <f>SUMPRODUCT((M_BOM[RM_Code]=$A60)*M_BOM[RM_Qty_Per_Batch]*IFERROR(INDEX(PP_Grid[#Data],M_BOM[PPGridRow],20),0))</f>
        <v/>
      </c>
      <c r="U60">
        <f>SUMPRODUCT((M_BOM[RM_Code]=$A60)*M_BOM[RM_Qty_Per_Batch]*IFERROR(INDEX(PP_Grid[#Data],M_BOM[PPGridRow],21),0))</f>
        <v/>
      </c>
      <c r="V60">
        <f>SUMPRODUCT((M_BOM[RM_Code]=$A60)*M_BOM[RM_Qty_Per_Batch]*IFERROR(INDEX(PP_Grid[#Data],M_BOM[PPGridRow],22),0))</f>
        <v/>
      </c>
      <c r="W60">
        <f>SUMPRODUCT((M_BOM[RM_Code]=$A60)*M_BOM[RM_Qty_Per_Batch]*IFERROR(INDEX(PP_Grid[#Data],M_BOM[PPGridRow],23),0))</f>
        <v/>
      </c>
      <c r="X60">
        <f>SUMPRODUCT((M_BOM[RM_Code]=$A60)*M_BOM[RM_Qty_Per_Batch]*IFERROR(INDEX(PP_Grid[#Data],M_BOM[PPGridRow],24),0))</f>
        <v/>
      </c>
      <c r="Y60">
        <f>SUMPRODUCT((M_BOM[RM_Code]=$A60)*M_BOM[RM_Qty_Per_Batch]*IFERROR(INDEX(PP_Grid[#Data],M_BOM[PPGridRow],25),0))</f>
        <v/>
      </c>
      <c r="Z60">
        <f>SUMPRODUCT((M_BOM[RM_Code]=$A60)*M_BOM[RM_Qty_Per_Batch]*IFERROR(INDEX(PP_Grid[#Data],M_BOM[PPGridRow],26),0))</f>
        <v/>
      </c>
      <c r="AA60">
        <f>SUMPRODUCT((M_BOM[RM_Code]=$A60)*M_BOM[RM_Qty_Per_Batch]*IFERROR(INDEX(PP_Grid[#Data],M_BOM[PPGridRow],27),0))</f>
        <v/>
      </c>
      <c r="AB60">
        <f>SUMPRODUCT((M_BOM[RM_Code]=$A60)*M_BOM[RM_Qty_Per_Batch]*IFERROR(INDEX(PP_Grid[#Data],M_BOM[PPGridRow],28),0))</f>
        <v/>
      </c>
      <c r="AC60">
        <f>SUMPRODUCT((M_BOM[RM_Code]=$A60)*M_BOM[RM_Qty_Per_Batch]*IFERROR(INDEX(PP_Grid[#Data],M_BOM[PPGridRow],29),0))</f>
        <v/>
      </c>
      <c r="AD60">
        <f>SUMPRODUCT((M_BOM[RM_Code]=$A60)*M_BOM[RM_Qty_Per_Batch]*IFERROR(INDEX(PP_Grid[#Data],M_BOM[PPGridRow],30),0))</f>
        <v/>
      </c>
      <c r="AE60">
        <f>SUMPRODUCT((M_BOM[RM_Code]=$A60)*M_BOM[RM_Qty_Per_Batch]*IFERROR(INDEX(PP_Grid[#Data],M_BOM[PPGridRow],31),0))</f>
        <v/>
      </c>
      <c r="AF60">
        <f>SUMPRODUCT((M_BOM[RM_Code]=$A60)*M_BOM[RM_Qty_Per_Batch]*IFERROR(INDEX(PP_Grid[#Data],M_BOM[PPGridRow],32),0))</f>
        <v/>
      </c>
      <c r="AG60">
        <f>SUMPRODUCT((M_BOM[RM_Code]=$A60)*M_BOM[RM_Qty_Per_Batch]*IFERROR(INDEX(PP_Grid[#Data],M_BOM[PPGridRow],33),0))</f>
        <v/>
      </c>
      <c r="AH60">
        <f>SUMPRODUCT((M_BOM[RM_Code]=$A60)*M_BOM[RM_Qty_Per_Batch]*IFERROR(INDEX(PP_Grid[#Data],M_BOM[PPGridRow],34),0))</f>
        <v/>
      </c>
      <c r="AI60">
        <f>SUMPRODUCT((M_BOM[RM_Code]=$A60)*M_BOM[RM_Qty_Per_Batch]*IFERROR(INDEX(PP_Grid[#Data],M_BOM[PPGridRow],35),0))</f>
        <v/>
      </c>
      <c r="AJ60">
        <f>SUMPRODUCT((M_BOM[RM_Code]=$A60)*M_BOM[RM_Qty_Per_Batch]*IFERROR(INDEX(PP_Grid[#Data],M_BOM[PPGridRow],36),0))</f>
        <v/>
      </c>
      <c r="AK60">
        <f>SUMPRODUCT((M_BOM[RM_Code]=$A60)*M_BOM[RM_Qty_Per_Batch]*IFERROR(INDEX(PP_Grid[#Data],M_BOM[PPGridRow],37),0))</f>
        <v/>
      </c>
      <c r="AL60">
        <f>SUMPRODUCT((M_BOM[RM_Code]=$A60)*M_BOM[RM_Qty_Per_Batch]*IFERROR(INDEX(PP_Grid[#Data],M_BOM[PPGridRow],38),0))</f>
        <v/>
      </c>
      <c r="AM60">
        <f>SUMPRODUCT((M_BOM[RM_Code]=$A60)*M_BOM[RM_Qty_Per_Batch]*IFERROR(INDEX(PP_Grid[#Data],M_BOM[PPGridRow],39),0))</f>
        <v/>
      </c>
      <c r="AN60">
        <f>SUMPRODUCT((M_BOM[RM_Code]=$A60)*M_BOM[RM_Qty_Per_Batch]*IFERROR(INDEX(PP_Grid[#Data],M_BOM[PPGridRow],40),0))</f>
        <v/>
      </c>
      <c r="AO60">
        <f>SUMPRODUCT((M_BOM[RM_Code]=$A60)*M_BOM[RM_Qty_Per_Batch]*IFERROR(INDEX(PP_Grid[#Data],M_BOM[PPGridRow],41),0))</f>
        <v/>
      </c>
      <c r="AP60">
        <f>SUMPRODUCT((M_BOM[RM_Code]=$A60)*M_BOM[RM_Qty_Per_Batch]*IFERROR(INDEX(PP_Grid[#Data],M_BOM[PPGridRow],42),0))</f>
        <v/>
      </c>
      <c r="AQ60">
        <f>SUMPRODUCT((M_BOM[RM_Code]=$A60)*M_BOM[RM_Qty_Per_Batch]*IFERROR(INDEX(PP_Grid[#Data],M_BOM[PPGridRow],43),0))</f>
        <v/>
      </c>
      <c r="AR60">
        <f>SUMPRODUCT((M_BOM[RM_Code]=$A60)*M_BOM[RM_Qty_Per_Batch]*IFERROR(INDEX(PP_Grid[#Data],M_BOM[PPGridRow],44),0))</f>
        <v/>
      </c>
      <c r="AS60">
        <f>SUMPRODUCT((M_BOM[RM_Code]=$A60)*M_BOM[RM_Qty_Per_Batch]*IFERROR(INDEX(PP_Grid[#Data],M_BOM[PPGridRow],45),0))</f>
        <v/>
      </c>
      <c r="AT60">
        <f>SUMPRODUCT((M_BOM[RM_Code]=$A60)*M_BOM[RM_Qty_Per_Batch]*IFERROR(INDEX(PP_Grid[#Data],M_BOM[PPGridRow],46),0))</f>
        <v/>
      </c>
      <c r="AU60">
        <f>SUMPRODUCT((M_BOM[RM_Code]=$A60)*M_BOM[RM_Qty_Per_Batch]*IFERROR(INDEX(PP_Grid[#Data],M_BOM[PPGridRow],47),0))</f>
        <v/>
      </c>
      <c r="AV60">
        <f>SUMPRODUCT((M_BOM[RM_Code]=$A60)*M_BOM[RM_Qty_Per_Batch]*IFERROR(INDEX(PP_Grid[#Data],M_BOM[PPGridRow],48),0))</f>
        <v/>
      </c>
      <c r="AW60">
        <f>SUMPRODUCT((M_BOM[RM_Code]=$A60)*M_BOM[RM_Qty_Per_Batch]*IFERROR(INDEX(PP_Grid[#Data],M_BOM[PPGridRow],49),0))</f>
        <v/>
      </c>
      <c r="AX60">
        <f>SUMPRODUCT((M_BOM[RM_Code]=$A60)*M_BOM[RM_Qty_Per_Batch]*IFERROR(INDEX(PP_Grid[#Data],M_BOM[PPGridRow],50),0))</f>
        <v/>
      </c>
      <c r="AY60">
        <f>SUMPRODUCT((M_BOM[RM_Code]=$A60)*M_BOM[RM_Qty_Per_Batch]*IFERROR(INDEX(PP_Grid[#Data],M_BOM[PPGridRow],51),0))</f>
        <v/>
      </c>
      <c r="AZ60">
        <f>SUMPRODUCT((M_BOM[RM_Code]=$A60)*M_BOM[RM_Qty_Per_Batch]*IFERROR(INDEX(PP_Grid[#Data],M_BOM[PPGridRow],52),0))</f>
        <v/>
      </c>
      <c r="BA60">
        <f>SUMPRODUCT((M_BOM[RM_Code]=$A60)*M_BOM[RM_Qty_Per_Batch]*IFERROR(INDEX(PP_Grid[#Data],M_BOM[PPGridRow],53),0))</f>
        <v/>
      </c>
      <c r="BB60">
        <f>SUMPRODUCT((M_BOM[RM_Code]=$A60)*M_BOM[RM_Qty_Per_Batch]*IFERROR(INDEX(PP_Grid[#Data],M_BOM[PPGridRow],54),0))</f>
        <v/>
      </c>
      <c r="BC60">
        <f>SUMPRODUCT((M_BOM[RM_Code]=$A60)*M_BOM[RM_Qty_Per_Batch]*IFERROR(INDEX(PP_Grid[#Data],M_BOM[PPGridRow],55),0))</f>
        <v/>
      </c>
      <c r="BD60">
        <f>SUMPRODUCT((M_BOM[RM_Code]=$A60)*M_BOM[RM_Qty_Per_Batch]*IFERROR(INDEX(PP_Grid[#Data],M_BOM[PPGridRow],56),0))</f>
        <v/>
      </c>
      <c r="BE60">
        <f>SUMPRODUCT((M_BOM[RM_Code]=$A60)*M_BOM[RM_Qty_Per_Batch]*IFERROR(INDEX(PP_Grid[#Data],M_BOM[PPGridRow],57),0))</f>
        <v/>
      </c>
      <c r="BF60">
        <f>SUMPRODUCT((M_BOM[RM_Code]=$A60)*M_BOM[RM_Qty_Per_Batch]*IFERROR(INDEX(PP_Grid[#Data],M_BOM[PPGridRow],58),0))</f>
        <v/>
      </c>
      <c r="BG60">
        <f>SUMPRODUCT((M_BOM[RM_Code]=$A60)*M_BOM[RM_Qty_Per_Batch]*IFERROR(INDEX(PP_Grid[#Data],M_BOM[PPGridRow],59),0))</f>
        <v/>
      </c>
      <c r="BH60">
        <f>SUMPRODUCT((M_BOM[RM_Code]=$A60)*M_BOM[RM_Qty_Per_Batch]*IFERROR(INDEX(PP_Grid[#Data],M_BOM[PPGridRow],60),0))</f>
        <v/>
      </c>
      <c r="BI60">
        <f>SUMPRODUCT((M_BOM[RM_Code]=$A60)*M_BOM[RM_Qty_Per_Batch]*IFERROR(INDEX(PP_Grid[#Data],M_BOM[PPGridRow],61),0))</f>
        <v/>
      </c>
      <c r="BJ60">
        <f>SUMPRODUCT((M_BOM[RM_Code]=$A60)*M_BOM[RM_Qty_Per_Batch]*IFERROR(INDEX(PP_Grid[#Data],M_BOM[PPGridRow],62),0))</f>
        <v/>
      </c>
      <c r="BK60">
        <f>SUMPRODUCT((M_BOM[RM_Code]=$A60)*M_BOM[RM_Qty_Per_Batch]*IFERROR(INDEX(PP_Grid[#Data],M_BOM[PPGridRow],63),0))</f>
        <v/>
      </c>
      <c r="BL60">
        <f>SUMPRODUCT((M_BOM[RM_Code]=$A60)*M_BOM[RM_Qty_Per_Batch]*IFERROR(INDEX(PP_Grid[#Data],M_BOM[PPGridRow],64),0))</f>
        <v/>
      </c>
      <c r="BM60">
        <f>SUMPRODUCT((M_BOM[RM_Code]=$A60)*M_BOM[RM_Qty_Per_Batch]*IFERROR(INDEX(PP_Grid[#Data],M_BOM[PPGridRow],65),0))</f>
        <v/>
      </c>
      <c r="BN60">
        <f>SUMPRODUCT((M_BOM[RM_Code]=$A60)*M_BOM[RM_Qty_Per_Batch]*IFERROR(INDEX(PP_Grid[#Data],M_BOM[PPGridRow],66),0))</f>
        <v/>
      </c>
      <c r="BO60">
        <f>SUMPRODUCT((M_BOM[RM_Code]=$A60)*M_BOM[RM_Qty_Per_Batch]*IFERROR(INDEX(PP_Grid[#Data],M_BOM[PPGridRow],67),0))</f>
        <v/>
      </c>
      <c r="BP60">
        <f>SUMPRODUCT((M_BOM[RM_Code]=$A60)*M_BOM[RM_Qty_Per_Batch]*IFERROR(INDEX(PP_Grid[#Data],M_BOM[PPGridRow],68),0))</f>
        <v/>
      </c>
      <c r="BQ60">
        <f>SUMPRODUCT((M_BOM[RM_Code]=$A60)*M_BOM[RM_Qty_Per_Batch]*IFERROR(INDEX(PP_Grid[#Data],M_BOM[PPGridRow],69),0))</f>
        <v/>
      </c>
      <c r="BR60">
        <f>SUMPRODUCT((M_BOM[RM_Code]=$A60)*M_BOM[RM_Qty_Per_Batch]*IFERROR(INDEX(PP_Grid[#Data],M_BOM[PPGridRow],70),0))</f>
        <v/>
      </c>
      <c r="BS60">
        <f>SUMPRODUCT((M_BOM[RM_Code]=$A60)*M_BOM[RM_Qty_Per_Batch]*IFERROR(INDEX(PP_Grid[#Data],M_BOM[PPGridRow],71),0))</f>
        <v/>
      </c>
      <c r="BT60">
        <f>SUMPRODUCT((M_BOM[RM_Code]=$A60)*M_BOM[RM_Qty_Per_Batch]*IFERROR(INDEX(PP_Grid[#Data],M_BOM[PPGridRow],72),0))</f>
        <v/>
      </c>
      <c r="BU60">
        <f>SUMPRODUCT((M_BOM[RM_Code]=$A60)*M_BOM[RM_Qty_Per_Batch]*IFERROR(INDEX(PP_Grid[#Data],M_BOM[PPGridRow],73),0))</f>
        <v/>
      </c>
      <c r="BV60">
        <f>SUMPRODUCT((M_BOM[RM_Code]=$A60)*M_BOM[RM_Qty_Per_Batch]*IFERROR(INDEX(PP_Grid[#Data],M_BOM[PPGridRow],74),0))</f>
        <v/>
      </c>
      <c r="BW60">
        <f>SUMPRODUCT((M_BOM[RM_Code]=$A60)*M_BOM[RM_Qty_Per_Batch]*IFERROR(INDEX(PP_Grid[#Data],M_BOM[PPGridRow],75),0))</f>
        <v/>
      </c>
      <c r="BX60">
        <f>SUMPRODUCT((M_BOM[RM_Code]=$A60)*M_BOM[RM_Qty_Per_Batch]*IFERROR(INDEX(PP_Grid[#Data],M_BOM[PPGridRow],76),0))</f>
        <v/>
      </c>
      <c r="BY60">
        <f>SUMPRODUCT((M_BOM[RM_Code]=$A60)*M_BOM[RM_Qty_Per_Batch]*IFERROR(INDEX(PP_Grid[#Data],M_BOM[PPGridRow],77),0))</f>
        <v/>
      </c>
      <c r="BZ60">
        <f>SUMPRODUCT((M_BOM[RM_Code]=$A60)*M_BOM[RM_Qty_Per_Batch]*IFERROR(INDEX(PP_Grid[#Data],M_BOM[PPGridRow],78),0))</f>
        <v/>
      </c>
      <c r="CA60">
        <f>SUMPRODUCT((M_BOM[RM_Code]=$A60)*M_BOM[RM_Qty_Per_Batch]*IFERROR(INDEX(PP_Grid[#Data],M_BOM[PPGridRow],79),0))</f>
        <v/>
      </c>
      <c r="CB60">
        <f>SUMPRODUCT((M_BOM[RM_Code]=$A60)*M_BOM[RM_Qty_Per_Batch]*IFERROR(INDEX(PP_Grid[#Data],M_BOM[PPGridRow],80),0))</f>
        <v/>
      </c>
      <c r="CC60">
        <f>SUMPRODUCT((M_BOM[RM_Code]=$A60)*M_BOM[RM_Qty_Per_Batch]*IFERROR(INDEX(PP_Grid[#Data],M_BOM[PPGridRow],81),0))</f>
        <v/>
      </c>
      <c r="CD60">
        <f>SUMPRODUCT((M_BOM[RM_Code]=$A60)*M_BOM[RM_Qty_Per_Batch]*IFERROR(INDEX(PP_Grid[#Data],M_BOM[PPGridRow],82),0))</f>
        <v/>
      </c>
      <c r="CE60">
        <f>SUMPRODUCT((M_BOM[RM_Code]=$A60)*M_BOM[RM_Qty_Per_Batch]*IFERROR(INDEX(PP_Grid[#Data],M_BOM[PPGridRow],83),0))</f>
        <v/>
      </c>
      <c r="CF60">
        <f>SUMPRODUCT((M_BOM[RM_Code]=$A60)*M_BOM[RM_Qty_Per_Batch]*IFERROR(INDEX(PP_Grid[#Data],M_BOM[PPGridRow],84),0))</f>
        <v/>
      </c>
      <c r="CG60">
        <f>SUMPRODUCT((M_BOM[RM_Code]=$A60)*M_BOM[RM_Qty_Per_Batch]*IFERROR(INDEX(PP_Grid[#Data],M_BOM[PPGridRow],85),0))</f>
        <v/>
      </c>
      <c r="CH60">
        <f>SUMPRODUCT((M_BOM[RM_Code]=$A60)*M_BOM[RM_Qty_Per_Batch]*IFERROR(INDEX(PP_Grid[#Data],M_BOM[PPGridRow],86),0))</f>
        <v/>
      </c>
      <c r="CI60">
        <f>SUMPRODUCT((M_BOM[RM_Code]=$A60)*M_BOM[RM_Qty_Per_Batch]*IFERROR(INDEX(PP_Grid[#Data],M_BOM[PPGridRow],87),0))</f>
        <v/>
      </c>
      <c r="CJ60">
        <f>SUMPRODUCT((M_BOM[RM_Code]=$A60)*M_BOM[RM_Qty_Per_Batch]*IFERROR(INDEX(PP_Grid[#Data],M_BOM[PPGridRow],88),0))</f>
        <v/>
      </c>
      <c r="CK60">
        <f>SUMPRODUCT((M_BOM[RM_Code]=$A60)*M_BOM[RM_Qty_Per_Batch]*IFERROR(INDEX(PP_Grid[#Data],M_BOM[PPGridRow],89),0))</f>
        <v/>
      </c>
      <c r="CL60">
        <f>SUMPRODUCT((M_BOM[RM_Code]=$A60)*M_BOM[RM_Qty_Per_Batch]*IFERROR(INDEX(PP_Grid[#Data],M_BOM[PPGridRow],90),0))</f>
        <v/>
      </c>
      <c r="CM60">
        <f>SUMPRODUCT((M_BOM[RM_Code]=$A60)*M_BOM[RM_Qty_Per_Batch]*IFERROR(INDEX(PP_Grid[#Data],M_BOM[PPGridRow],91),0))</f>
        <v/>
      </c>
      <c r="CN60">
        <f>SUMPRODUCT((M_BOM[RM_Code]=$A60)*M_BOM[RM_Qty_Per_Batch]*IFERROR(INDEX(PP_Grid[#Data],M_BOM[PPGridRow],92),0))</f>
        <v/>
      </c>
      <c r="CO60">
        <f>SUMPRODUCT((M_BOM[RM_Code]=$A60)*M_BOM[RM_Qty_Per_Batch]*IFERROR(INDEX(PP_Grid[#Data],M_BOM[PPGridRow],93),0))</f>
        <v/>
      </c>
      <c r="CP60">
        <f>SUMPRODUCT((M_BOM[RM_Code]=$A60)*M_BOM[RM_Qty_Per_Batch]*IFERROR(INDEX(PP_Grid[#Data],M_BOM[PPGridRow],94),0))</f>
        <v/>
      </c>
      <c r="CQ60">
        <f>SUMPRODUCT((M_BOM[RM_Code]=$A60)*M_BOM[RM_Qty_Per_Batch]*IFERROR(INDEX(PP_Grid[#Data],M_BOM[PPGridRow],95),0))</f>
        <v/>
      </c>
      <c r="CR60">
        <f>SUMPRODUCT((M_BOM[RM_Code]=$A60)*M_BOM[RM_Qty_Per_Batch]*IFERROR(INDEX(PP_Grid[#Data],M_BOM[PPGridRow],96),0))</f>
        <v/>
      </c>
      <c r="CS60">
        <f>SUMPRODUCT((M_BOM[RM_Code]=$A60)*M_BOM[RM_Qty_Per_Batch]*IFERROR(INDEX(PP_Grid[#Data],M_BOM[PPGridRow],97),0))</f>
        <v/>
      </c>
      <c r="CT60">
        <f>SUMPRODUCT((M_BOM[RM_Code]=$A60)*M_BOM[RM_Qty_Per_Batch]*IFERROR(INDEX(PP_Grid[#Data],M_BOM[PPGridRow],98),0))</f>
        <v/>
      </c>
      <c r="CU60">
        <f>SUMPRODUCT((M_BOM[RM_Code]=$A60)*M_BOM[RM_Qty_Per_Batch]*IFERROR(INDEX(PP_Grid[#Data],M_BOM[PPGridRow],99),0))</f>
        <v/>
      </c>
      <c r="CV60">
        <f>SUMPRODUCT((M_BOM[RM_Code]=$A60)*M_BOM[RM_Qty_Per_Batch]*IFERROR(INDEX(PP_Grid[#Data],M_BOM[PPGridRow],100),0))</f>
        <v/>
      </c>
      <c r="CW60">
        <f>SUMPRODUCT((M_BOM[RM_Code]=$A60)*M_BOM[RM_Qty_Per_Batch]*IFERROR(INDEX(PP_Grid[#Data],M_BOM[PPGridRow],101),0))</f>
        <v/>
      </c>
      <c r="CX60">
        <f>SUMPRODUCT((M_BOM[RM_Code]=$A60)*M_BOM[RM_Qty_Per_Batch]*IFERROR(INDEX(PP_Grid[#Data],M_BOM[PPGridRow],102),0))</f>
        <v/>
      </c>
      <c r="CY60">
        <f>SUMPRODUCT((M_BOM[RM_Code]=$A60)*M_BOM[RM_Qty_Per_Batch]*IFERROR(INDEX(PP_Grid[#Data],M_BOM[PPGridRow],103),0))</f>
        <v/>
      </c>
      <c r="CZ60">
        <f>SUMPRODUCT((M_BOM[RM_Code]=$A60)*M_BOM[RM_Qty_Per_Batch]*IFERROR(INDEX(PP_Grid[#Data],M_BOM[PPGridRow],104),0))</f>
        <v/>
      </c>
      <c r="DA60">
        <f>SUMPRODUCT((M_BOM[RM_Code]=$A60)*M_BOM[RM_Qty_Per_Batch]*IFERROR(INDEX(PP_Grid[#Data],M_BOM[PPGridRow],105),0))</f>
        <v/>
      </c>
    </row>
    <row r="61">
      <c r="A61" t="inlineStr">
        <is>
          <t>CSA Code</t>
        </is>
      </c>
      <c r="B61">
        <f>SUMPRODUCT((M_BOM[RM_Code]=$A61)*M_BOM[RM_Qty_Per_Batch]*IFERROR(INDEX(PP_Grid[#Data],M_BOM[PPGridRow],2),0))</f>
        <v/>
      </c>
      <c r="C61">
        <f>SUMPRODUCT((M_BOM[RM_Code]=$A61)*M_BOM[RM_Qty_Per_Batch]*IFERROR(INDEX(PP_Grid[#Data],M_BOM[PPGridRow],3),0))</f>
        <v/>
      </c>
      <c r="D61">
        <f>SUMPRODUCT((M_BOM[RM_Code]=$A61)*M_BOM[RM_Qty_Per_Batch]*IFERROR(INDEX(PP_Grid[#Data],M_BOM[PPGridRow],4),0))</f>
        <v/>
      </c>
      <c r="E61">
        <f>SUMPRODUCT((M_BOM[RM_Code]=$A61)*M_BOM[RM_Qty_Per_Batch]*IFERROR(INDEX(PP_Grid[#Data],M_BOM[PPGridRow],5),0))</f>
        <v/>
      </c>
      <c r="F61">
        <f>SUMPRODUCT((M_BOM[RM_Code]=$A61)*M_BOM[RM_Qty_Per_Batch]*IFERROR(INDEX(PP_Grid[#Data],M_BOM[PPGridRow],6),0))</f>
        <v/>
      </c>
      <c r="G61">
        <f>SUMPRODUCT((M_BOM[RM_Code]=$A61)*M_BOM[RM_Qty_Per_Batch]*IFERROR(INDEX(PP_Grid[#Data],M_BOM[PPGridRow],7),0))</f>
        <v/>
      </c>
      <c r="H61">
        <f>SUMPRODUCT((M_BOM[RM_Code]=$A61)*M_BOM[RM_Qty_Per_Batch]*IFERROR(INDEX(PP_Grid[#Data],M_BOM[PPGridRow],8),0))</f>
        <v/>
      </c>
      <c r="I61">
        <f>SUMPRODUCT((M_BOM[RM_Code]=$A61)*M_BOM[RM_Qty_Per_Batch]*IFERROR(INDEX(PP_Grid[#Data],M_BOM[PPGridRow],9),0))</f>
        <v/>
      </c>
      <c r="J61">
        <f>SUMPRODUCT((M_BOM[RM_Code]=$A61)*M_BOM[RM_Qty_Per_Batch]*IFERROR(INDEX(PP_Grid[#Data],M_BOM[PPGridRow],10),0))</f>
        <v/>
      </c>
      <c r="K61">
        <f>SUMPRODUCT((M_BOM[RM_Code]=$A61)*M_BOM[RM_Qty_Per_Batch]*IFERROR(INDEX(PP_Grid[#Data],M_BOM[PPGridRow],11),0))</f>
        <v/>
      </c>
      <c r="L61">
        <f>SUMPRODUCT((M_BOM[RM_Code]=$A61)*M_BOM[RM_Qty_Per_Batch]*IFERROR(INDEX(PP_Grid[#Data],M_BOM[PPGridRow],12),0))</f>
        <v/>
      </c>
      <c r="M61">
        <f>SUMPRODUCT((M_BOM[RM_Code]=$A61)*M_BOM[RM_Qty_Per_Batch]*IFERROR(INDEX(PP_Grid[#Data],M_BOM[PPGridRow],13),0))</f>
        <v/>
      </c>
      <c r="N61">
        <f>SUMPRODUCT((M_BOM[RM_Code]=$A61)*M_BOM[RM_Qty_Per_Batch]*IFERROR(INDEX(PP_Grid[#Data],M_BOM[PPGridRow],14),0))</f>
        <v/>
      </c>
      <c r="O61">
        <f>SUMPRODUCT((M_BOM[RM_Code]=$A61)*M_BOM[RM_Qty_Per_Batch]*IFERROR(INDEX(PP_Grid[#Data],M_BOM[PPGridRow],15),0))</f>
        <v/>
      </c>
      <c r="P61">
        <f>SUMPRODUCT((M_BOM[RM_Code]=$A61)*M_BOM[RM_Qty_Per_Batch]*IFERROR(INDEX(PP_Grid[#Data],M_BOM[PPGridRow],16),0))</f>
        <v/>
      </c>
      <c r="Q61">
        <f>SUMPRODUCT((M_BOM[RM_Code]=$A61)*M_BOM[RM_Qty_Per_Batch]*IFERROR(INDEX(PP_Grid[#Data],M_BOM[PPGridRow],17),0))</f>
        <v/>
      </c>
      <c r="R61">
        <f>SUMPRODUCT((M_BOM[RM_Code]=$A61)*M_BOM[RM_Qty_Per_Batch]*IFERROR(INDEX(PP_Grid[#Data],M_BOM[PPGridRow],18),0))</f>
        <v/>
      </c>
      <c r="S61">
        <f>SUMPRODUCT((M_BOM[RM_Code]=$A61)*M_BOM[RM_Qty_Per_Batch]*IFERROR(INDEX(PP_Grid[#Data],M_BOM[PPGridRow],19),0))</f>
        <v/>
      </c>
      <c r="T61">
        <f>SUMPRODUCT((M_BOM[RM_Code]=$A61)*M_BOM[RM_Qty_Per_Batch]*IFERROR(INDEX(PP_Grid[#Data],M_BOM[PPGridRow],20),0))</f>
        <v/>
      </c>
      <c r="U61">
        <f>SUMPRODUCT((M_BOM[RM_Code]=$A61)*M_BOM[RM_Qty_Per_Batch]*IFERROR(INDEX(PP_Grid[#Data],M_BOM[PPGridRow],21),0))</f>
        <v/>
      </c>
      <c r="V61">
        <f>SUMPRODUCT((M_BOM[RM_Code]=$A61)*M_BOM[RM_Qty_Per_Batch]*IFERROR(INDEX(PP_Grid[#Data],M_BOM[PPGridRow],22),0))</f>
        <v/>
      </c>
      <c r="W61">
        <f>SUMPRODUCT((M_BOM[RM_Code]=$A61)*M_BOM[RM_Qty_Per_Batch]*IFERROR(INDEX(PP_Grid[#Data],M_BOM[PPGridRow],23),0))</f>
        <v/>
      </c>
      <c r="X61">
        <f>SUMPRODUCT((M_BOM[RM_Code]=$A61)*M_BOM[RM_Qty_Per_Batch]*IFERROR(INDEX(PP_Grid[#Data],M_BOM[PPGridRow],24),0))</f>
        <v/>
      </c>
      <c r="Y61">
        <f>SUMPRODUCT((M_BOM[RM_Code]=$A61)*M_BOM[RM_Qty_Per_Batch]*IFERROR(INDEX(PP_Grid[#Data],M_BOM[PPGridRow],25),0))</f>
        <v/>
      </c>
      <c r="Z61">
        <f>SUMPRODUCT((M_BOM[RM_Code]=$A61)*M_BOM[RM_Qty_Per_Batch]*IFERROR(INDEX(PP_Grid[#Data],M_BOM[PPGridRow],26),0))</f>
        <v/>
      </c>
      <c r="AA61">
        <f>SUMPRODUCT((M_BOM[RM_Code]=$A61)*M_BOM[RM_Qty_Per_Batch]*IFERROR(INDEX(PP_Grid[#Data],M_BOM[PPGridRow],27),0))</f>
        <v/>
      </c>
      <c r="AB61">
        <f>SUMPRODUCT((M_BOM[RM_Code]=$A61)*M_BOM[RM_Qty_Per_Batch]*IFERROR(INDEX(PP_Grid[#Data],M_BOM[PPGridRow],28),0))</f>
        <v/>
      </c>
      <c r="AC61">
        <f>SUMPRODUCT((M_BOM[RM_Code]=$A61)*M_BOM[RM_Qty_Per_Batch]*IFERROR(INDEX(PP_Grid[#Data],M_BOM[PPGridRow],29),0))</f>
        <v/>
      </c>
      <c r="AD61">
        <f>SUMPRODUCT((M_BOM[RM_Code]=$A61)*M_BOM[RM_Qty_Per_Batch]*IFERROR(INDEX(PP_Grid[#Data],M_BOM[PPGridRow],30),0))</f>
        <v/>
      </c>
      <c r="AE61">
        <f>SUMPRODUCT((M_BOM[RM_Code]=$A61)*M_BOM[RM_Qty_Per_Batch]*IFERROR(INDEX(PP_Grid[#Data],M_BOM[PPGridRow],31),0))</f>
        <v/>
      </c>
      <c r="AF61">
        <f>SUMPRODUCT((M_BOM[RM_Code]=$A61)*M_BOM[RM_Qty_Per_Batch]*IFERROR(INDEX(PP_Grid[#Data],M_BOM[PPGridRow],32),0))</f>
        <v/>
      </c>
      <c r="AG61">
        <f>SUMPRODUCT((M_BOM[RM_Code]=$A61)*M_BOM[RM_Qty_Per_Batch]*IFERROR(INDEX(PP_Grid[#Data],M_BOM[PPGridRow],33),0))</f>
        <v/>
      </c>
      <c r="AH61">
        <f>SUMPRODUCT((M_BOM[RM_Code]=$A61)*M_BOM[RM_Qty_Per_Batch]*IFERROR(INDEX(PP_Grid[#Data],M_BOM[PPGridRow],34),0))</f>
        <v/>
      </c>
      <c r="AI61">
        <f>SUMPRODUCT((M_BOM[RM_Code]=$A61)*M_BOM[RM_Qty_Per_Batch]*IFERROR(INDEX(PP_Grid[#Data],M_BOM[PPGridRow],35),0))</f>
        <v/>
      </c>
      <c r="AJ61">
        <f>SUMPRODUCT((M_BOM[RM_Code]=$A61)*M_BOM[RM_Qty_Per_Batch]*IFERROR(INDEX(PP_Grid[#Data],M_BOM[PPGridRow],36),0))</f>
        <v/>
      </c>
      <c r="AK61">
        <f>SUMPRODUCT((M_BOM[RM_Code]=$A61)*M_BOM[RM_Qty_Per_Batch]*IFERROR(INDEX(PP_Grid[#Data],M_BOM[PPGridRow],37),0))</f>
        <v/>
      </c>
      <c r="AL61">
        <f>SUMPRODUCT((M_BOM[RM_Code]=$A61)*M_BOM[RM_Qty_Per_Batch]*IFERROR(INDEX(PP_Grid[#Data],M_BOM[PPGridRow],38),0))</f>
        <v/>
      </c>
      <c r="AM61">
        <f>SUMPRODUCT((M_BOM[RM_Code]=$A61)*M_BOM[RM_Qty_Per_Batch]*IFERROR(INDEX(PP_Grid[#Data],M_BOM[PPGridRow],39),0))</f>
        <v/>
      </c>
      <c r="AN61">
        <f>SUMPRODUCT((M_BOM[RM_Code]=$A61)*M_BOM[RM_Qty_Per_Batch]*IFERROR(INDEX(PP_Grid[#Data],M_BOM[PPGridRow],40),0))</f>
        <v/>
      </c>
      <c r="AO61">
        <f>SUMPRODUCT((M_BOM[RM_Code]=$A61)*M_BOM[RM_Qty_Per_Batch]*IFERROR(INDEX(PP_Grid[#Data],M_BOM[PPGridRow],41),0))</f>
        <v/>
      </c>
      <c r="AP61">
        <f>SUMPRODUCT((M_BOM[RM_Code]=$A61)*M_BOM[RM_Qty_Per_Batch]*IFERROR(INDEX(PP_Grid[#Data],M_BOM[PPGridRow],42),0))</f>
        <v/>
      </c>
      <c r="AQ61">
        <f>SUMPRODUCT((M_BOM[RM_Code]=$A61)*M_BOM[RM_Qty_Per_Batch]*IFERROR(INDEX(PP_Grid[#Data],M_BOM[PPGridRow],43),0))</f>
        <v/>
      </c>
      <c r="AR61">
        <f>SUMPRODUCT((M_BOM[RM_Code]=$A61)*M_BOM[RM_Qty_Per_Batch]*IFERROR(INDEX(PP_Grid[#Data],M_BOM[PPGridRow],44),0))</f>
        <v/>
      </c>
      <c r="AS61">
        <f>SUMPRODUCT((M_BOM[RM_Code]=$A61)*M_BOM[RM_Qty_Per_Batch]*IFERROR(INDEX(PP_Grid[#Data],M_BOM[PPGridRow],45),0))</f>
        <v/>
      </c>
      <c r="AT61">
        <f>SUMPRODUCT((M_BOM[RM_Code]=$A61)*M_BOM[RM_Qty_Per_Batch]*IFERROR(INDEX(PP_Grid[#Data],M_BOM[PPGridRow],46),0))</f>
        <v/>
      </c>
      <c r="AU61">
        <f>SUMPRODUCT((M_BOM[RM_Code]=$A61)*M_BOM[RM_Qty_Per_Batch]*IFERROR(INDEX(PP_Grid[#Data],M_BOM[PPGridRow],47),0))</f>
        <v/>
      </c>
      <c r="AV61">
        <f>SUMPRODUCT((M_BOM[RM_Code]=$A61)*M_BOM[RM_Qty_Per_Batch]*IFERROR(INDEX(PP_Grid[#Data],M_BOM[PPGridRow],48),0))</f>
        <v/>
      </c>
      <c r="AW61">
        <f>SUMPRODUCT((M_BOM[RM_Code]=$A61)*M_BOM[RM_Qty_Per_Batch]*IFERROR(INDEX(PP_Grid[#Data],M_BOM[PPGridRow],49),0))</f>
        <v/>
      </c>
      <c r="AX61">
        <f>SUMPRODUCT((M_BOM[RM_Code]=$A61)*M_BOM[RM_Qty_Per_Batch]*IFERROR(INDEX(PP_Grid[#Data],M_BOM[PPGridRow],50),0))</f>
        <v/>
      </c>
      <c r="AY61">
        <f>SUMPRODUCT((M_BOM[RM_Code]=$A61)*M_BOM[RM_Qty_Per_Batch]*IFERROR(INDEX(PP_Grid[#Data],M_BOM[PPGridRow],51),0))</f>
        <v/>
      </c>
      <c r="AZ61">
        <f>SUMPRODUCT((M_BOM[RM_Code]=$A61)*M_BOM[RM_Qty_Per_Batch]*IFERROR(INDEX(PP_Grid[#Data],M_BOM[PPGridRow],52),0))</f>
        <v/>
      </c>
      <c r="BA61">
        <f>SUMPRODUCT((M_BOM[RM_Code]=$A61)*M_BOM[RM_Qty_Per_Batch]*IFERROR(INDEX(PP_Grid[#Data],M_BOM[PPGridRow],53),0))</f>
        <v/>
      </c>
      <c r="BB61">
        <f>SUMPRODUCT((M_BOM[RM_Code]=$A61)*M_BOM[RM_Qty_Per_Batch]*IFERROR(INDEX(PP_Grid[#Data],M_BOM[PPGridRow],54),0))</f>
        <v/>
      </c>
      <c r="BC61">
        <f>SUMPRODUCT((M_BOM[RM_Code]=$A61)*M_BOM[RM_Qty_Per_Batch]*IFERROR(INDEX(PP_Grid[#Data],M_BOM[PPGridRow],55),0))</f>
        <v/>
      </c>
      <c r="BD61">
        <f>SUMPRODUCT((M_BOM[RM_Code]=$A61)*M_BOM[RM_Qty_Per_Batch]*IFERROR(INDEX(PP_Grid[#Data],M_BOM[PPGridRow],56),0))</f>
        <v/>
      </c>
      <c r="BE61">
        <f>SUMPRODUCT((M_BOM[RM_Code]=$A61)*M_BOM[RM_Qty_Per_Batch]*IFERROR(INDEX(PP_Grid[#Data],M_BOM[PPGridRow],57),0))</f>
        <v/>
      </c>
      <c r="BF61">
        <f>SUMPRODUCT((M_BOM[RM_Code]=$A61)*M_BOM[RM_Qty_Per_Batch]*IFERROR(INDEX(PP_Grid[#Data],M_BOM[PPGridRow],58),0))</f>
        <v/>
      </c>
      <c r="BG61">
        <f>SUMPRODUCT((M_BOM[RM_Code]=$A61)*M_BOM[RM_Qty_Per_Batch]*IFERROR(INDEX(PP_Grid[#Data],M_BOM[PPGridRow],59),0))</f>
        <v/>
      </c>
      <c r="BH61">
        <f>SUMPRODUCT((M_BOM[RM_Code]=$A61)*M_BOM[RM_Qty_Per_Batch]*IFERROR(INDEX(PP_Grid[#Data],M_BOM[PPGridRow],60),0))</f>
        <v/>
      </c>
      <c r="BI61">
        <f>SUMPRODUCT((M_BOM[RM_Code]=$A61)*M_BOM[RM_Qty_Per_Batch]*IFERROR(INDEX(PP_Grid[#Data],M_BOM[PPGridRow],61),0))</f>
        <v/>
      </c>
      <c r="BJ61">
        <f>SUMPRODUCT((M_BOM[RM_Code]=$A61)*M_BOM[RM_Qty_Per_Batch]*IFERROR(INDEX(PP_Grid[#Data],M_BOM[PPGridRow],62),0))</f>
        <v/>
      </c>
      <c r="BK61">
        <f>SUMPRODUCT((M_BOM[RM_Code]=$A61)*M_BOM[RM_Qty_Per_Batch]*IFERROR(INDEX(PP_Grid[#Data],M_BOM[PPGridRow],63),0))</f>
        <v/>
      </c>
      <c r="BL61">
        <f>SUMPRODUCT((M_BOM[RM_Code]=$A61)*M_BOM[RM_Qty_Per_Batch]*IFERROR(INDEX(PP_Grid[#Data],M_BOM[PPGridRow],64),0))</f>
        <v/>
      </c>
      <c r="BM61">
        <f>SUMPRODUCT((M_BOM[RM_Code]=$A61)*M_BOM[RM_Qty_Per_Batch]*IFERROR(INDEX(PP_Grid[#Data],M_BOM[PPGridRow],65),0))</f>
        <v/>
      </c>
      <c r="BN61">
        <f>SUMPRODUCT((M_BOM[RM_Code]=$A61)*M_BOM[RM_Qty_Per_Batch]*IFERROR(INDEX(PP_Grid[#Data],M_BOM[PPGridRow],66),0))</f>
        <v/>
      </c>
      <c r="BO61">
        <f>SUMPRODUCT((M_BOM[RM_Code]=$A61)*M_BOM[RM_Qty_Per_Batch]*IFERROR(INDEX(PP_Grid[#Data],M_BOM[PPGridRow],67),0))</f>
        <v/>
      </c>
      <c r="BP61">
        <f>SUMPRODUCT((M_BOM[RM_Code]=$A61)*M_BOM[RM_Qty_Per_Batch]*IFERROR(INDEX(PP_Grid[#Data],M_BOM[PPGridRow],68),0))</f>
        <v/>
      </c>
      <c r="BQ61">
        <f>SUMPRODUCT((M_BOM[RM_Code]=$A61)*M_BOM[RM_Qty_Per_Batch]*IFERROR(INDEX(PP_Grid[#Data],M_BOM[PPGridRow],69),0))</f>
        <v/>
      </c>
      <c r="BR61">
        <f>SUMPRODUCT((M_BOM[RM_Code]=$A61)*M_BOM[RM_Qty_Per_Batch]*IFERROR(INDEX(PP_Grid[#Data],M_BOM[PPGridRow],70),0))</f>
        <v/>
      </c>
      <c r="BS61">
        <f>SUMPRODUCT((M_BOM[RM_Code]=$A61)*M_BOM[RM_Qty_Per_Batch]*IFERROR(INDEX(PP_Grid[#Data],M_BOM[PPGridRow],71),0))</f>
        <v/>
      </c>
      <c r="BT61">
        <f>SUMPRODUCT((M_BOM[RM_Code]=$A61)*M_BOM[RM_Qty_Per_Batch]*IFERROR(INDEX(PP_Grid[#Data],M_BOM[PPGridRow],72),0))</f>
        <v/>
      </c>
      <c r="BU61">
        <f>SUMPRODUCT((M_BOM[RM_Code]=$A61)*M_BOM[RM_Qty_Per_Batch]*IFERROR(INDEX(PP_Grid[#Data],M_BOM[PPGridRow],73),0))</f>
        <v/>
      </c>
      <c r="BV61">
        <f>SUMPRODUCT((M_BOM[RM_Code]=$A61)*M_BOM[RM_Qty_Per_Batch]*IFERROR(INDEX(PP_Grid[#Data],M_BOM[PPGridRow],74),0))</f>
        <v/>
      </c>
      <c r="BW61">
        <f>SUMPRODUCT((M_BOM[RM_Code]=$A61)*M_BOM[RM_Qty_Per_Batch]*IFERROR(INDEX(PP_Grid[#Data],M_BOM[PPGridRow],75),0))</f>
        <v/>
      </c>
      <c r="BX61">
        <f>SUMPRODUCT((M_BOM[RM_Code]=$A61)*M_BOM[RM_Qty_Per_Batch]*IFERROR(INDEX(PP_Grid[#Data],M_BOM[PPGridRow],76),0))</f>
        <v/>
      </c>
      <c r="BY61">
        <f>SUMPRODUCT((M_BOM[RM_Code]=$A61)*M_BOM[RM_Qty_Per_Batch]*IFERROR(INDEX(PP_Grid[#Data],M_BOM[PPGridRow],77),0))</f>
        <v/>
      </c>
      <c r="BZ61">
        <f>SUMPRODUCT((M_BOM[RM_Code]=$A61)*M_BOM[RM_Qty_Per_Batch]*IFERROR(INDEX(PP_Grid[#Data],M_BOM[PPGridRow],78),0))</f>
        <v/>
      </c>
      <c r="CA61">
        <f>SUMPRODUCT((M_BOM[RM_Code]=$A61)*M_BOM[RM_Qty_Per_Batch]*IFERROR(INDEX(PP_Grid[#Data],M_BOM[PPGridRow],79),0))</f>
        <v/>
      </c>
      <c r="CB61">
        <f>SUMPRODUCT((M_BOM[RM_Code]=$A61)*M_BOM[RM_Qty_Per_Batch]*IFERROR(INDEX(PP_Grid[#Data],M_BOM[PPGridRow],80),0))</f>
        <v/>
      </c>
      <c r="CC61">
        <f>SUMPRODUCT((M_BOM[RM_Code]=$A61)*M_BOM[RM_Qty_Per_Batch]*IFERROR(INDEX(PP_Grid[#Data],M_BOM[PPGridRow],81),0))</f>
        <v/>
      </c>
      <c r="CD61">
        <f>SUMPRODUCT((M_BOM[RM_Code]=$A61)*M_BOM[RM_Qty_Per_Batch]*IFERROR(INDEX(PP_Grid[#Data],M_BOM[PPGridRow],82),0))</f>
        <v/>
      </c>
      <c r="CE61">
        <f>SUMPRODUCT((M_BOM[RM_Code]=$A61)*M_BOM[RM_Qty_Per_Batch]*IFERROR(INDEX(PP_Grid[#Data],M_BOM[PPGridRow],83),0))</f>
        <v/>
      </c>
      <c r="CF61">
        <f>SUMPRODUCT((M_BOM[RM_Code]=$A61)*M_BOM[RM_Qty_Per_Batch]*IFERROR(INDEX(PP_Grid[#Data],M_BOM[PPGridRow],84),0))</f>
        <v/>
      </c>
      <c r="CG61">
        <f>SUMPRODUCT((M_BOM[RM_Code]=$A61)*M_BOM[RM_Qty_Per_Batch]*IFERROR(INDEX(PP_Grid[#Data],M_BOM[PPGridRow],85),0))</f>
        <v/>
      </c>
      <c r="CH61">
        <f>SUMPRODUCT((M_BOM[RM_Code]=$A61)*M_BOM[RM_Qty_Per_Batch]*IFERROR(INDEX(PP_Grid[#Data],M_BOM[PPGridRow],86),0))</f>
        <v/>
      </c>
      <c r="CI61">
        <f>SUMPRODUCT((M_BOM[RM_Code]=$A61)*M_BOM[RM_Qty_Per_Batch]*IFERROR(INDEX(PP_Grid[#Data],M_BOM[PPGridRow],87),0))</f>
        <v/>
      </c>
      <c r="CJ61">
        <f>SUMPRODUCT((M_BOM[RM_Code]=$A61)*M_BOM[RM_Qty_Per_Batch]*IFERROR(INDEX(PP_Grid[#Data],M_BOM[PPGridRow],88),0))</f>
        <v/>
      </c>
      <c r="CK61">
        <f>SUMPRODUCT((M_BOM[RM_Code]=$A61)*M_BOM[RM_Qty_Per_Batch]*IFERROR(INDEX(PP_Grid[#Data],M_BOM[PPGridRow],89),0))</f>
        <v/>
      </c>
      <c r="CL61">
        <f>SUMPRODUCT((M_BOM[RM_Code]=$A61)*M_BOM[RM_Qty_Per_Batch]*IFERROR(INDEX(PP_Grid[#Data],M_BOM[PPGridRow],90),0))</f>
        <v/>
      </c>
      <c r="CM61">
        <f>SUMPRODUCT((M_BOM[RM_Code]=$A61)*M_BOM[RM_Qty_Per_Batch]*IFERROR(INDEX(PP_Grid[#Data],M_BOM[PPGridRow],91),0))</f>
        <v/>
      </c>
      <c r="CN61">
        <f>SUMPRODUCT((M_BOM[RM_Code]=$A61)*M_BOM[RM_Qty_Per_Batch]*IFERROR(INDEX(PP_Grid[#Data],M_BOM[PPGridRow],92),0))</f>
        <v/>
      </c>
      <c r="CO61">
        <f>SUMPRODUCT((M_BOM[RM_Code]=$A61)*M_BOM[RM_Qty_Per_Batch]*IFERROR(INDEX(PP_Grid[#Data],M_BOM[PPGridRow],93),0))</f>
        <v/>
      </c>
      <c r="CP61">
        <f>SUMPRODUCT((M_BOM[RM_Code]=$A61)*M_BOM[RM_Qty_Per_Batch]*IFERROR(INDEX(PP_Grid[#Data],M_BOM[PPGridRow],94),0))</f>
        <v/>
      </c>
      <c r="CQ61">
        <f>SUMPRODUCT((M_BOM[RM_Code]=$A61)*M_BOM[RM_Qty_Per_Batch]*IFERROR(INDEX(PP_Grid[#Data],M_BOM[PPGridRow],95),0))</f>
        <v/>
      </c>
      <c r="CR61">
        <f>SUMPRODUCT((M_BOM[RM_Code]=$A61)*M_BOM[RM_Qty_Per_Batch]*IFERROR(INDEX(PP_Grid[#Data],M_BOM[PPGridRow],96),0))</f>
        <v/>
      </c>
      <c r="CS61">
        <f>SUMPRODUCT((M_BOM[RM_Code]=$A61)*M_BOM[RM_Qty_Per_Batch]*IFERROR(INDEX(PP_Grid[#Data],M_BOM[PPGridRow],97),0))</f>
        <v/>
      </c>
      <c r="CT61">
        <f>SUMPRODUCT((M_BOM[RM_Code]=$A61)*M_BOM[RM_Qty_Per_Batch]*IFERROR(INDEX(PP_Grid[#Data],M_BOM[PPGridRow],98),0))</f>
        <v/>
      </c>
      <c r="CU61">
        <f>SUMPRODUCT((M_BOM[RM_Code]=$A61)*M_BOM[RM_Qty_Per_Batch]*IFERROR(INDEX(PP_Grid[#Data],M_BOM[PPGridRow],99),0))</f>
        <v/>
      </c>
      <c r="CV61">
        <f>SUMPRODUCT((M_BOM[RM_Code]=$A61)*M_BOM[RM_Qty_Per_Batch]*IFERROR(INDEX(PP_Grid[#Data],M_BOM[PPGridRow],100),0))</f>
        <v/>
      </c>
      <c r="CW61">
        <f>SUMPRODUCT((M_BOM[RM_Code]=$A61)*M_BOM[RM_Qty_Per_Batch]*IFERROR(INDEX(PP_Grid[#Data],M_BOM[PPGridRow],101),0))</f>
        <v/>
      </c>
      <c r="CX61">
        <f>SUMPRODUCT((M_BOM[RM_Code]=$A61)*M_BOM[RM_Qty_Per_Batch]*IFERROR(INDEX(PP_Grid[#Data],M_BOM[PPGridRow],102),0))</f>
        <v/>
      </c>
      <c r="CY61">
        <f>SUMPRODUCT((M_BOM[RM_Code]=$A61)*M_BOM[RM_Qty_Per_Batch]*IFERROR(INDEX(PP_Grid[#Data],M_BOM[PPGridRow],103),0))</f>
        <v/>
      </c>
      <c r="CZ61">
        <f>SUMPRODUCT((M_BOM[RM_Code]=$A61)*M_BOM[RM_Qty_Per_Batch]*IFERROR(INDEX(PP_Grid[#Data],M_BOM[PPGridRow],104),0))</f>
        <v/>
      </c>
      <c r="DA61">
        <f>SUMPRODUCT((M_BOM[RM_Code]=$A61)*M_BOM[RM_Qty_Per_Batch]*IFERROR(INDEX(PP_Grid[#Data],M_BOM[PPGridRow],105),0))</f>
        <v/>
      </c>
    </row>
    <row r="62">
      <c r="A62" t="inlineStr">
        <is>
          <t>Ester Film</t>
        </is>
      </c>
      <c r="B62">
        <f>SUMPRODUCT((M_BOM[RM_Code]=$A62)*M_BOM[RM_Qty_Per_Batch]*IFERROR(INDEX(PP_Grid[#Data],M_BOM[PPGridRow],2),0))</f>
        <v/>
      </c>
      <c r="C62">
        <f>SUMPRODUCT((M_BOM[RM_Code]=$A62)*M_BOM[RM_Qty_Per_Batch]*IFERROR(INDEX(PP_Grid[#Data],M_BOM[PPGridRow],3),0))</f>
        <v/>
      </c>
      <c r="D62">
        <f>SUMPRODUCT((M_BOM[RM_Code]=$A62)*M_BOM[RM_Qty_Per_Batch]*IFERROR(INDEX(PP_Grid[#Data],M_BOM[PPGridRow],4),0))</f>
        <v/>
      </c>
      <c r="E62">
        <f>SUMPRODUCT((M_BOM[RM_Code]=$A62)*M_BOM[RM_Qty_Per_Batch]*IFERROR(INDEX(PP_Grid[#Data],M_BOM[PPGridRow],5),0))</f>
        <v/>
      </c>
      <c r="F62">
        <f>SUMPRODUCT((M_BOM[RM_Code]=$A62)*M_BOM[RM_Qty_Per_Batch]*IFERROR(INDEX(PP_Grid[#Data],M_BOM[PPGridRow],6),0))</f>
        <v/>
      </c>
      <c r="G62">
        <f>SUMPRODUCT((M_BOM[RM_Code]=$A62)*M_BOM[RM_Qty_Per_Batch]*IFERROR(INDEX(PP_Grid[#Data],M_BOM[PPGridRow],7),0))</f>
        <v/>
      </c>
      <c r="H62">
        <f>SUMPRODUCT((M_BOM[RM_Code]=$A62)*M_BOM[RM_Qty_Per_Batch]*IFERROR(INDEX(PP_Grid[#Data],M_BOM[PPGridRow],8),0))</f>
        <v/>
      </c>
      <c r="I62">
        <f>SUMPRODUCT((M_BOM[RM_Code]=$A62)*M_BOM[RM_Qty_Per_Batch]*IFERROR(INDEX(PP_Grid[#Data],M_BOM[PPGridRow],9),0))</f>
        <v/>
      </c>
      <c r="J62">
        <f>SUMPRODUCT((M_BOM[RM_Code]=$A62)*M_BOM[RM_Qty_Per_Batch]*IFERROR(INDEX(PP_Grid[#Data],M_BOM[PPGridRow],10),0))</f>
        <v/>
      </c>
      <c r="K62">
        <f>SUMPRODUCT((M_BOM[RM_Code]=$A62)*M_BOM[RM_Qty_Per_Batch]*IFERROR(INDEX(PP_Grid[#Data],M_BOM[PPGridRow],11),0))</f>
        <v/>
      </c>
      <c r="L62">
        <f>SUMPRODUCT((M_BOM[RM_Code]=$A62)*M_BOM[RM_Qty_Per_Batch]*IFERROR(INDEX(PP_Grid[#Data],M_BOM[PPGridRow],12),0))</f>
        <v/>
      </c>
      <c r="M62">
        <f>SUMPRODUCT((M_BOM[RM_Code]=$A62)*M_BOM[RM_Qty_Per_Batch]*IFERROR(INDEX(PP_Grid[#Data],M_BOM[PPGridRow],13),0))</f>
        <v/>
      </c>
      <c r="N62">
        <f>SUMPRODUCT((M_BOM[RM_Code]=$A62)*M_BOM[RM_Qty_Per_Batch]*IFERROR(INDEX(PP_Grid[#Data],M_BOM[PPGridRow],14),0))</f>
        <v/>
      </c>
      <c r="O62">
        <f>SUMPRODUCT((M_BOM[RM_Code]=$A62)*M_BOM[RM_Qty_Per_Batch]*IFERROR(INDEX(PP_Grid[#Data],M_BOM[PPGridRow],15),0))</f>
        <v/>
      </c>
      <c r="P62">
        <f>SUMPRODUCT((M_BOM[RM_Code]=$A62)*M_BOM[RM_Qty_Per_Batch]*IFERROR(INDEX(PP_Grid[#Data],M_BOM[PPGridRow],16),0))</f>
        <v/>
      </c>
      <c r="Q62">
        <f>SUMPRODUCT((M_BOM[RM_Code]=$A62)*M_BOM[RM_Qty_Per_Batch]*IFERROR(INDEX(PP_Grid[#Data],M_BOM[PPGridRow],17),0))</f>
        <v/>
      </c>
      <c r="R62">
        <f>SUMPRODUCT((M_BOM[RM_Code]=$A62)*M_BOM[RM_Qty_Per_Batch]*IFERROR(INDEX(PP_Grid[#Data],M_BOM[PPGridRow],18),0))</f>
        <v/>
      </c>
      <c r="S62">
        <f>SUMPRODUCT((M_BOM[RM_Code]=$A62)*M_BOM[RM_Qty_Per_Batch]*IFERROR(INDEX(PP_Grid[#Data],M_BOM[PPGridRow],19),0))</f>
        <v/>
      </c>
      <c r="T62">
        <f>SUMPRODUCT((M_BOM[RM_Code]=$A62)*M_BOM[RM_Qty_Per_Batch]*IFERROR(INDEX(PP_Grid[#Data],M_BOM[PPGridRow],20),0))</f>
        <v/>
      </c>
      <c r="U62">
        <f>SUMPRODUCT((M_BOM[RM_Code]=$A62)*M_BOM[RM_Qty_Per_Batch]*IFERROR(INDEX(PP_Grid[#Data],M_BOM[PPGridRow],21),0))</f>
        <v/>
      </c>
      <c r="V62">
        <f>SUMPRODUCT((M_BOM[RM_Code]=$A62)*M_BOM[RM_Qty_Per_Batch]*IFERROR(INDEX(PP_Grid[#Data],M_BOM[PPGridRow],22),0))</f>
        <v/>
      </c>
      <c r="W62">
        <f>SUMPRODUCT((M_BOM[RM_Code]=$A62)*M_BOM[RM_Qty_Per_Batch]*IFERROR(INDEX(PP_Grid[#Data],M_BOM[PPGridRow],23),0))</f>
        <v/>
      </c>
      <c r="X62">
        <f>SUMPRODUCT((M_BOM[RM_Code]=$A62)*M_BOM[RM_Qty_Per_Batch]*IFERROR(INDEX(PP_Grid[#Data],M_BOM[PPGridRow],24),0))</f>
        <v/>
      </c>
      <c r="Y62">
        <f>SUMPRODUCT((M_BOM[RM_Code]=$A62)*M_BOM[RM_Qty_Per_Batch]*IFERROR(INDEX(PP_Grid[#Data],M_BOM[PPGridRow],25),0))</f>
        <v/>
      </c>
      <c r="Z62">
        <f>SUMPRODUCT((M_BOM[RM_Code]=$A62)*M_BOM[RM_Qty_Per_Batch]*IFERROR(INDEX(PP_Grid[#Data],M_BOM[PPGridRow],26),0))</f>
        <v/>
      </c>
      <c r="AA62">
        <f>SUMPRODUCT((M_BOM[RM_Code]=$A62)*M_BOM[RM_Qty_Per_Batch]*IFERROR(INDEX(PP_Grid[#Data],M_BOM[PPGridRow],27),0))</f>
        <v/>
      </c>
      <c r="AB62">
        <f>SUMPRODUCT((M_BOM[RM_Code]=$A62)*M_BOM[RM_Qty_Per_Batch]*IFERROR(INDEX(PP_Grid[#Data],M_BOM[PPGridRow],28),0))</f>
        <v/>
      </c>
      <c r="AC62">
        <f>SUMPRODUCT((M_BOM[RM_Code]=$A62)*M_BOM[RM_Qty_Per_Batch]*IFERROR(INDEX(PP_Grid[#Data],M_BOM[PPGridRow],29),0))</f>
        <v/>
      </c>
      <c r="AD62">
        <f>SUMPRODUCT((M_BOM[RM_Code]=$A62)*M_BOM[RM_Qty_Per_Batch]*IFERROR(INDEX(PP_Grid[#Data],M_BOM[PPGridRow],30),0))</f>
        <v/>
      </c>
      <c r="AE62">
        <f>SUMPRODUCT((M_BOM[RM_Code]=$A62)*M_BOM[RM_Qty_Per_Batch]*IFERROR(INDEX(PP_Grid[#Data],M_BOM[PPGridRow],31),0))</f>
        <v/>
      </c>
      <c r="AF62">
        <f>SUMPRODUCT((M_BOM[RM_Code]=$A62)*M_BOM[RM_Qty_Per_Batch]*IFERROR(INDEX(PP_Grid[#Data],M_BOM[PPGridRow],32),0))</f>
        <v/>
      </c>
      <c r="AG62">
        <f>SUMPRODUCT((M_BOM[RM_Code]=$A62)*M_BOM[RM_Qty_Per_Batch]*IFERROR(INDEX(PP_Grid[#Data],M_BOM[PPGridRow],33),0))</f>
        <v/>
      </c>
      <c r="AH62">
        <f>SUMPRODUCT((M_BOM[RM_Code]=$A62)*M_BOM[RM_Qty_Per_Batch]*IFERROR(INDEX(PP_Grid[#Data],M_BOM[PPGridRow],34),0))</f>
        <v/>
      </c>
      <c r="AI62">
        <f>SUMPRODUCT((M_BOM[RM_Code]=$A62)*M_BOM[RM_Qty_Per_Batch]*IFERROR(INDEX(PP_Grid[#Data],M_BOM[PPGridRow],35),0))</f>
        <v/>
      </c>
      <c r="AJ62">
        <f>SUMPRODUCT((M_BOM[RM_Code]=$A62)*M_BOM[RM_Qty_Per_Batch]*IFERROR(INDEX(PP_Grid[#Data],M_BOM[PPGridRow],36),0))</f>
        <v/>
      </c>
      <c r="AK62">
        <f>SUMPRODUCT((M_BOM[RM_Code]=$A62)*M_BOM[RM_Qty_Per_Batch]*IFERROR(INDEX(PP_Grid[#Data],M_BOM[PPGridRow],37),0))</f>
        <v/>
      </c>
      <c r="AL62">
        <f>SUMPRODUCT((M_BOM[RM_Code]=$A62)*M_BOM[RM_Qty_Per_Batch]*IFERROR(INDEX(PP_Grid[#Data],M_BOM[PPGridRow],38),0))</f>
        <v/>
      </c>
      <c r="AM62">
        <f>SUMPRODUCT((M_BOM[RM_Code]=$A62)*M_BOM[RM_Qty_Per_Batch]*IFERROR(INDEX(PP_Grid[#Data],M_BOM[PPGridRow],39),0))</f>
        <v/>
      </c>
      <c r="AN62">
        <f>SUMPRODUCT((M_BOM[RM_Code]=$A62)*M_BOM[RM_Qty_Per_Batch]*IFERROR(INDEX(PP_Grid[#Data],M_BOM[PPGridRow],40),0))</f>
        <v/>
      </c>
      <c r="AO62">
        <f>SUMPRODUCT((M_BOM[RM_Code]=$A62)*M_BOM[RM_Qty_Per_Batch]*IFERROR(INDEX(PP_Grid[#Data],M_BOM[PPGridRow],41),0))</f>
        <v/>
      </c>
      <c r="AP62">
        <f>SUMPRODUCT((M_BOM[RM_Code]=$A62)*M_BOM[RM_Qty_Per_Batch]*IFERROR(INDEX(PP_Grid[#Data],M_BOM[PPGridRow],42),0))</f>
        <v/>
      </c>
      <c r="AQ62">
        <f>SUMPRODUCT((M_BOM[RM_Code]=$A62)*M_BOM[RM_Qty_Per_Batch]*IFERROR(INDEX(PP_Grid[#Data],M_BOM[PPGridRow],43),0))</f>
        <v/>
      </c>
      <c r="AR62">
        <f>SUMPRODUCT((M_BOM[RM_Code]=$A62)*M_BOM[RM_Qty_Per_Batch]*IFERROR(INDEX(PP_Grid[#Data],M_BOM[PPGridRow],44),0))</f>
        <v/>
      </c>
      <c r="AS62">
        <f>SUMPRODUCT((M_BOM[RM_Code]=$A62)*M_BOM[RM_Qty_Per_Batch]*IFERROR(INDEX(PP_Grid[#Data],M_BOM[PPGridRow],45),0))</f>
        <v/>
      </c>
      <c r="AT62">
        <f>SUMPRODUCT((M_BOM[RM_Code]=$A62)*M_BOM[RM_Qty_Per_Batch]*IFERROR(INDEX(PP_Grid[#Data],M_BOM[PPGridRow],46),0))</f>
        <v/>
      </c>
      <c r="AU62">
        <f>SUMPRODUCT((M_BOM[RM_Code]=$A62)*M_BOM[RM_Qty_Per_Batch]*IFERROR(INDEX(PP_Grid[#Data],M_BOM[PPGridRow],47),0))</f>
        <v/>
      </c>
      <c r="AV62">
        <f>SUMPRODUCT((M_BOM[RM_Code]=$A62)*M_BOM[RM_Qty_Per_Batch]*IFERROR(INDEX(PP_Grid[#Data],M_BOM[PPGridRow],48),0))</f>
        <v/>
      </c>
      <c r="AW62">
        <f>SUMPRODUCT((M_BOM[RM_Code]=$A62)*M_BOM[RM_Qty_Per_Batch]*IFERROR(INDEX(PP_Grid[#Data],M_BOM[PPGridRow],49),0))</f>
        <v/>
      </c>
      <c r="AX62">
        <f>SUMPRODUCT((M_BOM[RM_Code]=$A62)*M_BOM[RM_Qty_Per_Batch]*IFERROR(INDEX(PP_Grid[#Data],M_BOM[PPGridRow],50),0))</f>
        <v/>
      </c>
      <c r="AY62">
        <f>SUMPRODUCT((M_BOM[RM_Code]=$A62)*M_BOM[RM_Qty_Per_Batch]*IFERROR(INDEX(PP_Grid[#Data],M_BOM[PPGridRow],51),0))</f>
        <v/>
      </c>
      <c r="AZ62">
        <f>SUMPRODUCT((M_BOM[RM_Code]=$A62)*M_BOM[RM_Qty_Per_Batch]*IFERROR(INDEX(PP_Grid[#Data],M_BOM[PPGridRow],52),0))</f>
        <v/>
      </c>
      <c r="BA62">
        <f>SUMPRODUCT((M_BOM[RM_Code]=$A62)*M_BOM[RM_Qty_Per_Batch]*IFERROR(INDEX(PP_Grid[#Data],M_BOM[PPGridRow],53),0))</f>
        <v/>
      </c>
      <c r="BB62">
        <f>SUMPRODUCT((M_BOM[RM_Code]=$A62)*M_BOM[RM_Qty_Per_Batch]*IFERROR(INDEX(PP_Grid[#Data],M_BOM[PPGridRow],54),0))</f>
        <v/>
      </c>
      <c r="BC62">
        <f>SUMPRODUCT((M_BOM[RM_Code]=$A62)*M_BOM[RM_Qty_Per_Batch]*IFERROR(INDEX(PP_Grid[#Data],M_BOM[PPGridRow],55),0))</f>
        <v/>
      </c>
      <c r="BD62">
        <f>SUMPRODUCT((M_BOM[RM_Code]=$A62)*M_BOM[RM_Qty_Per_Batch]*IFERROR(INDEX(PP_Grid[#Data],M_BOM[PPGridRow],56),0))</f>
        <v/>
      </c>
      <c r="BE62">
        <f>SUMPRODUCT((M_BOM[RM_Code]=$A62)*M_BOM[RM_Qty_Per_Batch]*IFERROR(INDEX(PP_Grid[#Data],M_BOM[PPGridRow],57),0))</f>
        <v/>
      </c>
      <c r="BF62">
        <f>SUMPRODUCT((M_BOM[RM_Code]=$A62)*M_BOM[RM_Qty_Per_Batch]*IFERROR(INDEX(PP_Grid[#Data],M_BOM[PPGridRow],58),0))</f>
        <v/>
      </c>
      <c r="BG62">
        <f>SUMPRODUCT((M_BOM[RM_Code]=$A62)*M_BOM[RM_Qty_Per_Batch]*IFERROR(INDEX(PP_Grid[#Data],M_BOM[PPGridRow],59),0))</f>
        <v/>
      </c>
      <c r="BH62">
        <f>SUMPRODUCT((M_BOM[RM_Code]=$A62)*M_BOM[RM_Qty_Per_Batch]*IFERROR(INDEX(PP_Grid[#Data],M_BOM[PPGridRow],60),0))</f>
        <v/>
      </c>
      <c r="BI62">
        <f>SUMPRODUCT((M_BOM[RM_Code]=$A62)*M_BOM[RM_Qty_Per_Batch]*IFERROR(INDEX(PP_Grid[#Data],M_BOM[PPGridRow],61),0))</f>
        <v/>
      </c>
      <c r="BJ62">
        <f>SUMPRODUCT((M_BOM[RM_Code]=$A62)*M_BOM[RM_Qty_Per_Batch]*IFERROR(INDEX(PP_Grid[#Data],M_BOM[PPGridRow],62),0))</f>
        <v/>
      </c>
      <c r="BK62">
        <f>SUMPRODUCT((M_BOM[RM_Code]=$A62)*M_BOM[RM_Qty_Per_Batch]*IFERROR(INDEX(PP_Grid[#Data],M_BOM[PPGridRow],63),0))</f>
        <v/>
      </c>
      <c r="BL62">
        <f>SUMPRODUCT((M_BOM[RM_Code]=$A62)*M_BOM[RM_Qty_Per_Batch]*IFERROR(INDEX(PP_Grid[#Data],M_BOM[PPGridRow],64),0))</f>
        <v/>
      </c>
      <c r="BM62">
        <f>SUMPRODUCT((M_BOM[RM_Code]=$A62)*M_BOM[RM_Qty_Per_Batch]*IFERROR(INDEX(PP_Grid[#Data],M_BOM[PPGridRow],65),0))</f>
        <v/>
      </c>
      <c r="BN62">
        <f>SUMPRODUCT((M_BOM[RM_Code]=$A62)*M_BOM[RM_Qty_Per_Batch]*IFERROR(INDEX(PP_Grid[#Data],M_BOM[PPGridRow],66),0))</f>
        <v/>
      </c>
      <c r="BO62">
        <f>SUMPRODUCT((M_BOM[RM_Code]=$A62)*M_BOM[RM_Qty_Per_Batch]*IFERROR(INDEX(PP_Grid[#Data],M_BOM[PPGridRow],67),0))</f>
        <v/>
      </c>
      <c r="BP62">
        <f>SUMPRODUCT((M_BOM[RM_Code]=$A62)*M_BOM[RM_Qty_Per_Batch]*IFERROR(INDEX(PP_Grid[#Data],M_BOM[PPGridRow],68),0))</f>
        <v/>
      </c>
      <c r="BQ62">
        <f>SUMPRODUCT((M_BOM[RM_Code]=$A62)*M_BOM[RM_Qty_Per_Batch]*IFERROR(INDEX(PP_Grid[#Data],M_BOM[PPGridRow],69),0))</f>
        <v/>
      </c>
      <c r="BR62">
        <f>SUMPRODUCT((M_BOM[RM_Code]=$A62)*M_BOM[RM_Qty_Per_Batch]*IFERROR(INDEX(PP_Grid[#Data],M_BOM[PPGridRow],70),0))</f>
        <v/>
      </c>
      <c r="BS62">
        <f>SUMPRODUCT((M_BOM[RM_Code]=$A62)*M_BOM[RM_Qty_Per_Batch]*IFERROR(INDEX(PP_Grid[#Data],M_BOM[PPGridRow],71),0))</f>
        <v/>
      </c>
      <c r="BT62">
        <f>SUMPRODUCT((M_BOM[RM_Code]=$A62)*M_BOM[RM_Qty_Per_Batch]*IFERROR(INDEX(PP_Grid[#Data],M_BOM[PPGridRow],72),0))</f>
        <v/>
      </c>
      <c r="BU62">
        <f>SUMPRODUCT((M_BOM[RM_Code]=$A62)*M_BOM[RM_Qty_Per_Batch]*IFERROR(INDEX(PP_Grid[#Data],M_BOM[PPGridRow],73),0))</f>
        <v/>
      </c>
      <c r="BV62">
        <f>SUMPRODUCT((M_BOM[RM_Code]=$A62)*M_BOM[RM_Qty_Per_Batch]*IFERROR(INDEX(PP_Grid[#Data],M_BOM[PPGridRow],74),0))</f>
        <v/>
      </c>
      <c r="BW62">
        <f>SUMPRODUCT((M_BOM[RM_Code]=$A62)*M_BOM[RM_Qty_Per_Batch]*IFERROR(INDEX(PP_Grid[#Data],M_BOM[PPGridRow],75),0))</f>
        <v/>
      </c>
      <c r="BX62">
        <f>SUMPRODUCT((M_BOM[RM_Code]=$A62)*M_BOM[RM_Qty_Per_Batch]*IFERROR(INDEX(PP_Grid[#Data],M_BOM[PPGridRow],76),0))</f>
        <v/>
      </c>
      <c r="BY62">
        <f>SUMPRODUCT((M_BOM[RM_Code]=$A62)*M_BOM[RM_Qty_Per_Batch]*IFERROR(INDEX(PP_Grid[#Data],M_BOM[PPGridRow],77),0))</f>
        <v/>
      </c>
      <c r="BZ62">
        <f>SUMPRODUCT((M_BOM[RM_Code]=$A62)*M_BOM[RM_Qty_Per_Batch]*IFERROR(INDEX(PP_Grid[#Data],M_BOM[PPGridRow],78),0))</f>
        <v/>
      </c>
      <c r="CA62">
        <f>SUMPRODUCT((M_BOM[RM_Code]=$A62)*M_BOM[RM_Qty_Per_Batch]*IFERROR(INDEX(PP_Grid[#Data],M_BOM[PPGridRow],79),0))</f>
        <v/>
      </c>
      <c r="CB62">
        <f>SUMPRODUCT((M_BOM[RM_Code]=$A62)*M_BOM[RM_Qty_Per_Batch]*IFERROR(INDEX(PP_Grid[#Data],M_BOM[PPGridRow],80),0))</f>
        <v/>
      </c>
      <c r="CC62">
        <f>SUMPRODUCT((M_BOM[RM_Code]=$A62)*M_BOM[RM_Qty_Per_Batch]*IFERROR(INDEX(PP_Grid[#Data],M_BOM[PPGridRow],81),0))</f>
        <v/>
      </c>
      <c r="CD62">
        <f>SUMPRODUCT((M_BOM[RM_Code]=$A62)*M_BOM[RM_Qty_Per_Batch]*IFERROR(INDEX(PP_Grid[#Data],M_BOM[PPGridRow],82),0))</f>
        <v/>
      </c>
      <c r="CE62">
        <f>SUMPRODUCT((M_BOM[RM_Code]=$A62)*M_BOM[RM_Qty_Per_Batch]*IFERROR(INDEX(PP_Grid[#Data],M_BOM[PPGridRow],83),0))</f>
        <v/>
      </c>
      <c r="CF62">
        <f>SUMPRODUCT((M_BOM[RM_Code]=$A62)*M_BOM[RM_Qty_Per_Batch]*IFERROR(INDEX(PP_Grid[#Data],M_BOM[PPGridRow],84),0))</f>
        <v/>
      </c>
      <c r="CG62">
        <f>SUMPRODUCT((M_BOM[RM_Code]=$A62)*M_BOM[RM_Qty_Per_Batch]*IFERROR(INDEX(PP_Grid[#Data],M_BOM[PPGridRow],85),0))</f>
        <v/>
      </c>
      <c r="CH62">
        <f>SUMPRODUCT((M_BOM[RM_Code]=$A62)*M_BOM[RM_Qty_Per_Batch]*IFERROR(INDEX(PP_Grid[#Data],M_BOM[PPGridRow],86),0))</f>
        <v/>
      </c>
      <c r="CI62">
        <f>SUMPRODUCT((M_BOM[RM_Code]=$A62)*M_BOM[RM_Qty_Per_Batch]*IFERROR(INDEX(PP_Grid[#Data],M_BOM[PPGridRow],87),0))</f>
        <v/>
      </c>
      <c r="CJ62">
        <f>SUMPRODUCT((M_BOM[RM_Code]=$A62)*M_BOM[RM_Qty_Per_Batch]*IFERROR(INDEX(PP_Grid[#Data],M_BOM[PPGridRow],88),0))</f>
        <v/>
      </c>
      <c r="CK62">
        <f>SUMPRODUCT((M_BOM[RM_Code]=$A62)*M_BOM[RM_Qty_Per_Batch]*IFERROR(INDEX(PP_Grid[#Data],M_BOM[PPGridRow],89),0))</f>
        <v/>
      </c>
      <c r="CL62">
        <f>SUMPRODUCT((M_BOM[RM_Code]=$A62)*M_BOM[RM_Qty_Per_Batch]*IFERROR(INDEX(PP_Grid[#Data],M_BOM[PPGridRow],90),0))</f>
        <v/>
      </c>
      <c r="CM62">
        <f>SUMPRODUCT((M_BOM[RM_Code]=$A62)*M_BOM[RM_Qty_Per_Batch]*IFERROR(INDEX(PP_Grid[#Data],M_BOM[PPGridRow],91),0))</f>
        <v/>
      </c>
      <c r="CN62">
        <f>SUMPRODUCT((M_BOM[RM_Code]=$A62)*M_BOM[RM_Qty_Per_Batch]*IFERROR(INDEX(PP_Grid[#Data],M_BOM[PPGridRow],92),0))</f>
        <v/>
      </c>
      <c r="CO62">
        <f>SUMPRODUCT((M_BOM[RM_Code]=$A62)*M_BOM[RM_Qty_Per_Batch]*IFERROR(INDEX(PP_Grid[#Data],M_BOM[PPGridRow],93),0))</f>
        <v/>
      </c>
      <c r="CP62">
        <f>SUMPRODUCT((M_BOM[RM_Code]=$A62)*M_BOM[RM_Qty_Per_Batch]*IFERROR(INDEX(PP_Grid[#Data],M_BOM[PPGridRow],94),0))</f>
        <v/>
      </c>
      <c r="CQ62">
        <f>SUMPRODUCT((M_BOM[RM_Code]=$A62)*M_BOM[RM_Qty_Per_Batch]*IFERROR(INDEX(PP_Grid[#Data],M_BOM[PPGridRow],95),0))</f>
        <v/>
      </c>
      <c r="CR62">
        <f>SUMPRODUCT((M_BOM[RM_Code]=$A62)*M_BOM[RM_Qty_Per_Batch]*IFERROR(INDEX(PP_Grid[#Data],M_BOM[PPGridRow],96),0))</f>
        <v/>
      </c>
      <c r="CS62">
        <f>SUMPRODUCT((M_BOM[RM_Code]=$A62)*M_BOM[RM_Qty_Per_Batch]*IFERROR(INDEX(PP_Grid[#Data],M_BOM[PPGridRow],97),0))</f>
        <v/>
      </c>
      <c r="CT62">
        <f>SUMPRODUCT((M_BOM[RM_Code]=$A62)*M_BOM[RM_Qty_Per_Batch]*IFERROR(INDEX(PP_Grid[#Data],M_BOM[PPGridRow],98),0))</f>
        <v/>
      </c>
      <c r="CU62">
        <f>SUMPRODUCT((M_BOM[RM_Code]=$A62)*M_BOM[RM_Qty_Per_Batch]*IFERROR(INDEX(PP_Grid[#Data],M_BOM[PPGridRow],99),0))</f>
        <v/>
      </c>
      <c r="CV62">
        <f>SUMPRODUCT((M_BOM[RM_Code]=$A62)*M_BOM[RM_Qty_Per_Batch]*IFERROR(INDEX(PP_Grid[#Data],M_BOM[PPGridRow],100),0))</f>
        <v/>
      </c>
      <c r="CW62">
        <f>SUMPRODUCT((M_BOM[RM_Code]=$A62)*M_BOM[RM_Qty_Per_Batch]*IFERROR(INDEX(PP_Grid[#Data],M_BOM[PPGridRow],101),0))</f>
        <v/>
      </c>
      <c r="CX62">
        <f>SUMPRODUCT((M_BOM[RM_Code]=$A62)*M_BOM[RM_Qty_Per_Batch]*IFERROR(INDEX(PP_Grid[#Data],M_BOM[PPGridRow],102),0))</f>
        <v/>
      </c>
      <c r="CY62">
        <f>SUMPRODUCT((M_BOM[RM_Code]=$A62)*M_BOM[RM_Qty_Per_Batch]*IFERROR(INDEX(PP_Grid[#Data],M_BOM[PPGridRow],103),0))</f>
        <v/>
      </c>
      <c r="CZ62">
        <f>SUMPRODUCT((M_BOM[RM_Code]=$A62)*M_BOM[RM_Qty_Per_Batch]*IFERROR(INDEX(PP_Grid[#Data],M_BOM[PPGridRow],104),0))</f>
        <v/>
      </c>
      <c r="DA62">
        <f>SUMPRODUCT((M_BOM[RM_Code]=$A62)*M_BOM[RM_Qty_Per_Batch]*IFERROR(INDEX(PP_Grid[#Data],M_BOM[PPGridRow],105),0))</f>
        <v/>
      </c>
    </row>
    <row r="63">
      <c r="A63" t="inlineStr">
        <is>
          <t>PP Film</t>
        </is>
      </c>
      <c r="B63">
        <f>SUMPRODUCT((M_BOM[RM_Code]=$A63)*M_BOM[RM_Qty_Per_Batch]*IFERROR(INDEX(PP_Grid[#Data],M_BOM[PPGridRow],2),0))</f>
        <v/>
      </c>
      <c r="C63">
        <f>SUMPRODUCT((M_BOM[RM_Code]=$A63)*M_BOM[RM_Qty_Per_Batch]*IFERROR(INDEX(PP_Grid[#Data],M_BOM[PPGridRow],3),0))</f>
        <v/>
      </c>
      <c r="D63">
        <f>SUMPRODUCT((M_BOM[RM_Code]=$A63)*M_BOM[RM_Qty_Per_Batch]*IFERROR(INDEX(PP_Grid[#Data],M_BOM[PPGridRow],4),0))</f>
        <v/>
      </c>
      <c r="E63">
        <f>SUMPRODUCT((M_BOM[RM_Code]=$A63)*M_BOM[RM_Qty_Per_Batch]*IFERROR(INDEX(PP_Grid[#Data],M_BOM[PPGridRow],5),0))</f>
        <v/>
      </c>
      <c r="F63">
        <f>SUMPRODUCT((M_BOM[RM_Code]=$A63)*M_BOM[RM_Qty_Per_Batch]*IFERROR(INDEX(PP_Grid[#Data],M_BOM[PPGridRow],6),0))</f>
        <v/>
      </c>
      <c r="G63">
        <f>SUMPRODUCT((M_BOM[RM_Code]=$A63)*M_BOM[RM_Qty_Per_Batch]*IFERROR(INDEX(PP_Grid[#Data],M_BOM[PPGridRow],7),0))</f>
        <v/>
      </c>
      <c r="H63">
        <f>SUMPRODUCT((M_BOM[RM_Code]=$A63)*M_BOM[RM_Qty_Per_Batch]*IFERROR(INDEX(PP_Grid[#Data],M_BOM[PPGridRow],8),0))</f>
        <v/>
      </c>
      <c r="I63">
        <f>SUMPRODUCT((M_BOM[RM_Code]=$A63)*M_BOM[RM_Qty_Per_Batch]*IFERROR(INDEX(PP_Grid[#Data],M_BOM[PPGridRow],9),0))</f>
        <v/>
      </c>
      <c r="J63">
        <f>SUMPRODUCT((M_BOM[RM_Code]=$A63)*M_BOM[RM_Qty_Per_Batch]*IFERROR(INDEX(PP_Grid[#Data],M_BOM[PPGridRow],10),0))</f>
        <v/>
      </c>
      <c r="K63">
        <f>SUMPRODUCT((M_BOM[RM_Code]=$A63)*M_BOM[RM_Qty_Per_Batch]*IFERROR(INDEX(PP_Grid[#Data],M_BOM[PPGridRow],11),0))</f>
        <v/>
      </c>
      <c r="L63">
        <f>SUMPRODUCT((M_BOM[RM_Code]=$A63)*M_BOM[RM_Qty_Per_Batch]*IFERROR(INDEX(PP_Grid[#Data],M_BOM[PPGridRow],12),0))</f>
        <v/>
      </c>
      <c r="M63">
        <f>SUMPRODUCT((M_BOM[RM_Code]=$A63)*M_BOM[RM_Qty_Per_Batch]*IFERROR(INDEX(PP_Grid[#Data],M_BOM[PPGridRow],13),0))</f>
        <v/>
      </c>
      <c r="N63">
        <f>SUMPRODUCT((M_BOM[RM_Code]=$A63)*M_BOM[RM_Qty_Per_Batch]*IFERROR(INDEX(PP_Grid[#Data],M_BOM[PPGridRow],14),0))</f>
        <v/>
      </c>
      <c r="O63">
        <f>SUMPRODUCT((M_BOM[RM_Code]=$A63)*M_BOM[RM_Qty_Per_Batch]*IFERROR(INDEX(PP_Grid[#Data],M_BOM[PPGridRow],15),0))</f>
        <v/>
      </c>
      <c r="P63">
        <f>SUMPRODUCT((M_BOM[RM_Code]=$A63)*M_BOM[RM_Qty_Per_Batch]*IFERROR(INDEX(PP_Grid[#Data],M_BOM[PPGridRow],16),0))</f>
        <v/>
      </c>
      <c r="Q63">
        <f>SUMPRODUCT((M_BOM[RM_Code]=$A63)*M_BOM[RM_Qty_Per_Batch]*IFERROR(INDEX(PP_Grid[#Data],M_BOM[PPGridRow],17),0))</f>
        <v/>
      </c>
      <c r="R63">
        <f>SUMPRODUCT((M_BOM[RM_Code]=$A63)*M_BOM[RM_Qty_Per_Batch]*IFERROR(INDEX(PP_Grid[#Data],M_BOM[PPGridRow],18),0))</f>
        <v/>
      </c>
      <c r="S63">
        <f>SUMPRODUCT((M_BOM[RM_Code]=$A63)*M_BOM[RM_Qty_Per_Batch]*IFERROR(INDEX(PP_Grid[#Data],M_BOM[PPGridRow],19),0))</f>
        <v/>
      </c>
      <c r="T63">
        <f>SUMPRODUCT((M_BOM[RM_Code]=$A63)*M_BOM[RM_Qty_Per_Batch]*IFERROR(INDEX(PP_Grid[#Data],M_BOM[PPGridRow],20),0))</f>
        <v/>
      </c>
      <c r="U63">
        <f>SUMPRODUCT((M_BOM[RM_Code]=$A63)*M_BOM[RM_Qty_Per_Batch]*IFERROR(INDEX(PP_Grid[#Data],M_BOM[PPGridRow],21),0))</f>
        <v/>
      </c>
      <c r="V63">
        <f>SUMPRODUCT((M_BOM[RM_Code]=$A63)*M_BOM[RM_Qty_Per_Batch]*IFERROR(INDEX(PP_Grid[#Data],M_BOM[PPGridRow],22),0))</f>
        <v/>
      </c>
      <c r="W63">
        <f>SUMPRODUCT((M_BOM[RM_Code]=$A63)*M_BOM[RM_Qty_Per_Batch]*IFERROR(INDEX(PP_Grid[#Data],M_BOM[PPGridRow],23),0))</f>
        <v/>
      </c>
      <c r="X63">
        <f>SUMPRODUCT((M_BOM[RM_Code]=$A63)*M_BOM[RM_Qty_Per_Batch]*IFERROR(INDEX(PP_Grid[#Data],M_BOM[PPGridRow],24),0))</f>
        <v/>
      </c>
      <c r="Y63">
        <f>SUMPRODUCT((M_BOM[RM_Code]=$A63)*M_BOM[RM_Qty_Per_Batch]*IFERROR(INDEX(PP_Grid[#Data],M_BOM[PPGridRow],25),0))</f>
        <v/>
      </c>
      <c r="Z63">
        <f>SUMPRODUCT((M_BOM[RM_Code]=$A63)*M_BOM[RM_Qty_Per_Batch]*IFERROR(INDEX(PP_Grid[#Data],M_BOM[PPGridRow],26),0))</f>
        <v/>
      </c>
      <c r="AA63">
        <f>SUMPRODUCT((M_BOM[RM_Code]=$A63)*M_BOM[RM_Qty_Per_Batch]*IFERROR(INDEX(PP_Grid[#Data],M_BOM[PPGridRow],27),0))</f>
        <v/>
      </c>
      <c r="AB63">
        <f>SUMPRODUCT((M_BOM[RM_Code]=$A63)*M_BOM[RM_Qty_Per_Batch]*IFERROR(INDEX(PP_Grid[#Data],M_BOM[PPGridRow],28),0))</f>
        <v/>
      </c>
      <c r="AC63">
        <f>SUMPRODUCT((M_BOM[RM_Code]=$A63)*M_BOM[RM_Qty_Per_Batch]*IFERROR(INDEX(PP_Grid[#Data],M_BOM[PPGridRow],29),0))</f>
        <v/>
      </c>
      <c r="AD63">
        <f>SUMPRODUCT((M_BOM[RM_Code]=$A63)*M_BOM[RM_Qty_Per_Batch]*IFERROR(INDEX(PP_Grid[#Data],M_BOM[PPGridRow],30),0))</f>
        <v/>
      </c>
      <c r="AE63">
        <f>SUMPRODUCT((M_BOM[RM_Code]=$A63)*M_BOM[RM_Qty_Per_Batch]*IFERROR(INDEX(PP_Grid[#Data],M_BOM[PPGridRow],31),0))</f>
        <v/>
      </c>
      <c r="AF63">
        <f>SUMPRODUCT((M_BOM[RM_Code]=$A63)*M_BOM[RM_Qty_Per_Batch]*IFERROR(INDEX(PP_Grid[#Data],M_BOM[PPGridRow],32),0))</f>
        <v/>
      </c>
      <c r="AG63">
        <f>SUMPRODUCT((M_BOM[RM_Code]=$A63)*M_BOM[RM_Qty_Per_Batch]*IFERROR(INDEX(PP_Grid[#Data],M_BOM[PPGridRow],33),0))</f>
        <v/>
      </c>
      <c r="AH63">
        <f>SUMPRODUCT((M_BOM[RM_Code]=$A63)*M_BOM[RM_Qty_Per_Batch]*IFERROR(INDEX(PP_Grid[#Data],M_BOM[PPGridRow],34),0))</f>
        <v/>
      </c>
      <c r="AI63">
        <f>SUMPRODUCT((M_BOM[RM_Code]=$A63)*M_BOM[RM_Qty_Per_Batch]*IFERROR(INDEX(PP_Grid[#Data],M_BOM[PPGridRow],35),0))</f>
        <v/>
      </c>
      <c r="AJ63">
        <f>SUMPRODUCT((M_BOM[RM_Code]=$A63)*M_BOM[RM_Qty_Per_Batch]*IFERROR(INDEX(PP_Grid[#Data],M_BOM[PPGridRow],36),0))</f>
        <v/>
      </c>
      <c r="AK63">
        <f>SUMPRODUCT((M_BOM[RM_Code]=$A63)*M_BOM[RM_Qty_Per_Batch]*IFERROR(INDEX(PP_Grid[#Data],M_BOM[PPGridRow],37),0))</f>
        <v/>
      </c>
      <c r="AL63">
        <f>SUMPRODUCT((M_BOM[RM_Code]=$A63)*M_BOM[RM_Qty_Per_Batch]*IFERROR(INDEX(PP_Grid[#Data],M_BOM[PPGridRow],38),0))</f>
        <v/>
      </c>
      <c r="AM63">
        <f>SUMPRODUCT((M_BOM[RM_Code]=$A63)*M_BOM[RM_Qty_Per_Batch]*IFERROR(INDEX(PP_Grid[#Data],M_BOM[PPGridRow],39),0))</f>
        <v/>
      </c>
      <c r="AN63">
        <f>SUMPRODUCT((M_BOM[RM_Code]=$A63)*M_BOM[RM_Qty_Per_Batch]*IFERROR(INDEX(PP_Grid[#Data],M_BOM[PPGridRow],40),0))</f>
        <v/>
      </c>
      <c r="AO63">
        <f>SUMPRODUCT((M_BOM[RM_Code]=$A63)*M_BOM[RM_Qty_Per_Batch]*IFERROR(INDEX(PP_Grid[#Data],M_BOM[PPGridRow],41),0))</f>
        <v/>
      </c>
      <c r="AP63">
        <f>SUMPRODUCT((M_BOM[RM_Code]=$A63)*M_BOM[RM_Qty_Per_Batch]*IFERROR(INDEX(PP_Grid[#Data],M_BOM[PPGridRow],42),0))</f>
        <v/>
      </c>
      <c r="AQ63">
        <f>SUMPRODUCT((M_BOM[RM_Code]=$A63)*M_BOM[RM_Qty_Per_Batch]*IFERROR(INDEX(PP_Grid[#Data],M_BOM[PPGridRow],43),0))</f>
        <v/>
      </c>
      <c r="AR63">
        <f>SUMPRODUCT((M_BOM[RM_Code]=$A63)*M_BOM[RM_Qty_Per_Batch]*IFERROR(INDEX(PP_Grid[#Data],M_BOM[PPGridRow],44),0))</f>
        <v/>
      </c>
      <c r="AS63">
        <f>SUMPRODUCT((M_BOM[RM_Code]=$A63)*M_BOM[RM_Qty_Per_Batch]*IFERROR(INDEX(PP_Grid[#Data],M_BOM[PPGridRow],45),0))</f>
        <v/>
      </c>
      <c r="AT63">
        <f>SUMPRODUCT((M_BOM[RM_Code]=$A63)*M_BOM[RM_Qty_Per_Batch]*IFERROR(INDEX(PP_Grid[#Data],M_BOM[PPGridRow],46),0))</f>
        <v/>
      </c>
      <c r="AU63">
        <f>SUMPRODUCT((M_BOM[RM_Code]=$A63)*M_BOM[RM_Qty_Per_Batch]*IFERROR(INDEX(PP_Grid[#Data],M_BOM[PPGridRow],47),0))</f>
        <v/>
      </c>
      <c r="AV63">
        <f>SUMPRODUCT((M_BOM[RM_Code]=$A63)*M_BOM[RM_Qty_Per_Batch]*IFERROR(INDEX(PP_Grid[#Data],M_BOM[PPGridRow],48),0))</f>
        <v/>
      </c>
      <c r="AW63">
        <f>SUMPRODUCT((M_BOM[RM_Code]=$A63)*M_BOM[RM_Qty_Per_Batch]*IFERROR(INDEX(PP_Grid[#Data],M_BOM[PPGridRow],49),0))</f>
        <v/>
      </c>
      <c r="AX63">
        <f>SUMPRODUCT((M_BOM[RM_Code]=$A63)*M_BOM[RM_Qty_Per_Batch]*IFERROR(INDEX(PP_Grid[#Data],M_BOM[PPGridRow],50),0))</f>
        <v/>
      </c>
      <c r="AY63">
        <f>SUMPRODUCT((M_BOM[RM_Code]=$A63)*M_BOM[RM_Qty_Per_Batch]*IFERROR(INDEX(PP_Grid[#Data],M_BOM[PPGridRow],51),0))</f>
        <v/>
      </c>
      <c r="AZ63">
        <f>SUMPRODUCT((M_BOM[RM_Code]=$A63)*M_BOM[RM_Qty_Per_Batch]*IFERROR(INDEX(PP_Grid[#Data],M_BOM[PPGridRow],52),0))</f>
        <v/>
      </c>
      <c r="BA63">
        <f>SUMPRODUCT((M_BOM[RM_Code]=$A63)*M_BOM[RM_Qty_Per_Batch]*IFERROR(INDEX(PP_Grid[#Data],M_BOM[PPGridRow],53),0))</f>
        <v/>
      </c>
      <c r="BB63">
        <f>SUMPRODUCT((M_BOM[RM_Code]=$A63)*M_BOM[RM_Qty_Per_Batch]*IFERROR(INDEX(PP_Grid[#Data],M_BOM[PPGridRow],54),0))</f>
        <v/>
      </c>
      <c r="BC63">
        <f>SUMPRODUCT((M_BOM[RM_Code]=$A63)*M_BOM[RM_Qty_Per_Batch]*IFERROR(INDEX(PP_Grid[#Data],M_BOM[PPGridRow],55),0))</f>
        <v/>
      </c>
      <c r="BD63">
        <f>SUMPRODUCT((M_BOM[RM_Code]=$A63)*M_BOM[RM_Qty_Per_Batch]*IFERROR(INDEX(PP_Grid[#Data],M_BOM[PPGridRow],56),0))</f>
        <v/>
      </c>
      <c r="BE63">
        <f>SUMPRODUCT((M_BOM[RM_Code]=$A63)*M_BOM[RM_Qty_Per_Batch]*IFERROR(INDEX(PP_Grid[#Data],M_BOM[PPGridRow],57),0))</f>
        <v/>
      </c>
      <c r="BF63">
        <f>SUMPRODUCT((M_BOM[RM_Code]=$A63)*M_BOM[RM_Qty_Per_Batch]*IFERROR(INDEX(PP_Grid[#Data],M_BOM[PPGridRow],58),0))</f>
        <v/>
      </c>
      <c r="BG63">
        <f>SUMPRODUCT((M_BOM[RM_Code]=$A63)*M_BOM[RM_Qty_Per_Batch]*IFERROR(INDEX(PP_Grid[#Data],M_BOM[PPGridRow],59),0))</f>
        <v/>
      </c>
      <c r="BH63">
        <f>SUMPRODUCT((M_BOM[RM_Code]=$A63)*M_BOM[RM_Qty_Per_Batch]*IFERROR(INDEX(PP_Grid[#Data],M_BOM[PPGridRow],60),0))</f>
        <v/>
      </c>
      <c r="BI63">
        <f>SUMPRODUCT((M_BOM[RM_Code]=$A63)*M_BOM[RM_Qty_Per_Batch]*IFERROR(INDEX(PP_Grid[#Data],M_BOM[PPGridRow],61),0))</f>
        <v/>
      </c>
      <c r="BJ63">
        <f>SUMPRODUCT((M_BOM[RM_Code]=$A63)*M_BOM[RM_Qty_Per_Batch]*IFERROR(INDEX(PP_Grid[#Data],M_BOM[PPGridRow],62),0))</f>
        <v/>
      </c>
      <c r="BK63">
        <f>SUMPRODUCT((M_BOM[RM_Code]=$A63)*M_BOM[RM_Qty_Per_Batch]*IFERROR(INDEX(PP_Grid[#Data],M_BOM[PPGridRow],63),0))</f>
        <v/>
      </c>
      <c r="BL63">
        <f>SUMPRODUCT((M_BOM[RM_Code]=$A63)*M_BOM[RM_Qty_Per_Batch]*IFERROR(INDEX(PP_Grid[#Data],M_BOM[PPGridRow],64),0))</f>
        <v/>
      </c>
      <c r="BM63">
        <f>SUMPRODUCT((M_BOM[RM_Code]=$A63)*M_BOM[RM_Qty_Per_Batch]*IFERROR(INDEX(PP_Grid[#Data],M_BOM[PPGridRow],65),0))</f>
        <v/>
      </c>
      <c r="BN63">
        <f>SUMPRODUCT((M_BOM[RM_Code]=$A63)*M_BOM[RM_Qty_Per_Batch]*IFERROR(INDEX(PP_Grid[#Data],M_BOM[PPGridRow],66),0))</f>
        <v/>
      </c>
      <c r="BO63">
        <f>SUMPRODUCT((M_BOM[RM_Code]=$A63)*M_BOM[RM_Qty_Per_Batch]*IFERROR(INDEX(PP_Grid[#Data],M_BOM[PPGridRow],67),0))</f>
        <v/>
      </c>
      <c r="BP63">
        <f>SUMPRODUCT((M_BOM[RM_Code]=$A63)*M_BOM[RM_Qty_Per_Batch]*IFERROR(INDEX(PP_Grid[#Data],M_BOM[PPGridRow],68),0))</f>
        <v/>
      </c>
      <c r="BQ63">
        <f>SUMPRODUCT((M_BOM[RM_Code]=$A63)*M_BOM[RM_Qty_Per_Batch]*IFERROR(INDEX(PP_Grid[#Data],M_BOM[PPGridRow],69),0))</f>
        <v/>
      </c>
      <c r="BR63">
        <f>SUMPRODUCT((M_BOM[RM_Code]=$A63)*M_BOM[RM_Qty_Per_Batch]*IFERROR(INDEX(PP_Grid[#Data],M_BOM[PPGridRow],70),0))</f>
        <v/>
      </c>
      <c r="BS63">
        <f>SUMPRODUCT((M_BOM[RM_Code]=$A63)*M_BOM[RM_Qty_Per_Batch]*IFERROR(INDEX(PP_Grid[#Data],M_BOM[PPGridRow],71),0))</f>
        <v/>
      </c>
      <c r="BT63">
        <f>SUMPRODUCT((M_BOM[RM_Code]=$A63)*M_BOM[RM_Qty_Per_Batch]*IFERROR(INDEX(PP_Grid[#Data],M_BOM[PPGridRow],72),0))</f>
        <v/>
      </c>
      <c r="BU63">
        <f>SUMPRODUCT((M_BOM[RM_Code]=$A63)*M_BOM[RM_Qty_Per_Batch]*IFERROR(INDEX(PP_Grid[#Data],M_BOM[PPGridRow],73),0))</f>
        <v/>
      </c>
      <c r="BV63">
        <f>SUMPRODUCT((M_BOM[RM_Code]=$A63)*M_BOM[RM_Qty_Per_Batch]*IFERROR(INDEX(PP_Grid[#Data],M_BOM[PPGridRow],74),0))</f>
        <v/>
      </c>
      <c r="BW63">
        <f>SUMPRODUCT((M_BOM[RM_Code]=$A63)*M_BOM[RM_Qty_Per_Batch]*IFERROR(INDEX(PP_Grid[#Data],M_BOM[PPGridRow],75),0))</f>
        <v/>
      </c>
      <c r="BX63">
        <f>SUMPRODUCT((M_BOM[RM_Code]=$A63)*M_BOM[RM_Qty_Per_Batch]*IFERROR(INDEX(PP_Grid[#Data],M_BOM[PPGridRow],76),0))</f>
        <v/>
      </c>
      <c r="BY63">
        <f>SUMPRODUCT((M_BOM[RM_Code]=$A63)*M_BOM[RM_Qty_Per_Batch]*IFERROR(INDEX(PP_Grid[#Data],M_BOM[PPGridRow],77),0))</f>
        <v/>
      </c>
      <c r="BZ63">
        <f>SUMPRODUCT((M_BOM[RM_Code]=$A63)*M_BOM[RM_Qty_Per_Batch]*IFERROR(INDEX(PP_Grid[#Data],M_BOM[PPGridRow],78),0))</f>
        <v/>
      </c>
      <c r="CA63">
        <f>SUMPRODUCT((M_BOM[RM_Code]=$A63)*M_BOM[RM_Qty_Per_Batch]*IFERROR(INDEX(PP_Grid[#Data],M_BOM[PPGridRow],79),0))</f>
        <v/>
      </c>
      <c r="CB63">
        <f>SUMPRODUCT((M_BOM[RM_Code]=$A63)*M_BOM[RM_Qty_Per_Batch]*IFERROR(INDEX(PP_Grid[#Data],M_BOM[PPGridRow],80),0))</f>
        <v/>
      </c>
      <c r="CC63">
        <f>SUMPRODUCT((M_BOM[RM_Code]=$A63)*M_BOM[RM_Qty_Per_Batch]*IFERROR(INDEX(PP_Grid[#Data],M_BOM[PPGridRow],81),0))</f>
        <v/>
      </c>
      <c r="CD63">
        <f>SUMPRODUCT((M_BOM[RM_Code]=$A63)*M_BOM[RM_Qty_Per_Batch]*IFERROR(INDEX(PP_Grid[#Data],M_BOM[PPGridRow],82),0))</f>
        <v/>
      </c>
      <c r="CE63">
        <f>SUMPRODUCT((M_BOM[RM_Code]=$A63)*M_BOM[RM_Qty_Per_Batch]*IFERROR(INDEX(PP_Grid[#Data],M_BOM[PPGridRow],83),0))</f>
        <v/>
      </c>
      <c r="CF63">
        <f>SUMPRODUCT((M_BOM[RM_Code]=$A63)*M_BOM[RM_Qty_Per_Batch]*IFERROR(INDEX(PP_Grid[#Data],M_BOM[PPGridRow],84),0))</f>
        <v/>
      </c>
      <c r="CG63">
        <f>SUMPRODUCT((M_BOM[RM_Code]=$A63)*M_BOM[RM_Qty_Per_Batch]*IFERROR(INDEX(PP_Grid[#Data],M_BOM[PPGridRow],85),0))</f>
        <v/>
      </c>
      <c r="CH63">
        <f>SUMPRODUCT((M_BOM[RM_Code]=$A63)*M_BOM[RM_Qty_Per_Batch]*IFERROR(INDEX(PP_Grid[#Data],M_BOM[PPGridRow],86),0))</f>
        <v/>
      </c>
      <c r="CI63">
        <f>SUMPRODUCT((M_BOM[RM_Code]=$A63)*M_BOM[RM_Qty_Per_Batch]*IFERROR(INDEX(PP_Grid[#Data],M_BOM[PPGridRow],87),0))</f>
        <v/>
      </c>
      <c r="CJ63">
        <f>SUMPRODUCT((M_BOM[RM_Code]=$A63)*M_BOM[RM_Qty_Per_Batch]*IFERROR(INDEX(PP_Grid[#Data],M_BOM[PPGridRow],88),0))</f>
        <v/>
      </c>
      <c r="CK63">
        <f>SUMPRODUCT((M_BOM[RM_Code]=$A63)*M_BOM[RM_Qty_Per_Batch]*IFERROR(INDEX(PP_Grid[#Data],M_BOM[PPGridRow],89),0))</f>
        <v/>
      </c>
      <c r="CL63">
        <f>SUMPRODUCT((M_BOM[RM_Code]=$A63)*M_BOM[RM_Qty_Per_Batch]*IFERROR(INDEX(PP_Grid[#Data],M_BOM[PPGridRow],90),0))</f>
        <v/>
      </c>
      <c r="CM63">
        <f>SUMPRODUCT((M_BOM[RM_Code]=$A63)*M_BOM[RM_Qty_Per_Batch]*IFERROR(INDEX(PP_Grid[#Data],M_BOM[PPGridRow],91),0))</f>
        <v/>
      </c>
      <c r="CN63">
        <f>SUMPRODUCT((M_BOM[RM_Code]=$A63)*M_BOM[RM_Qty_Per_Batch]*IFERROR(INDEX(PP_Grid[#Data],M_BOM[PPGridRow],92),0))</f>
        <v/>
      </c>
      <c r="CO63">
        <f>SUMPRODUCT((M_BOM[RM_Code]=$A63)*M_BOM[RM_Qty_Per_Batch]*IFERROR(INDEX(PP_Grid[#Data],M_BOM[PPGridRow],93),0))</f>
        <v/>
      </c>
      <c r="CP63">
        <f>SUMPRODUCT((M_BOM[RM_Code]=$A63)*M_BOM[RM_Qty_Per_Batch]*IFERROR(INDEX(PP_Grid[#Data],M_BOM[PPGridRow],94),0))</f>
        <v/>
      </c>
      <c r="CQ63">
        <f>SUMPRODUCT((M_BOM[RM_Code]=$A63)*M_BOM[RM_Qty_Per_Batch]*IFERROR(INDEX(PP_Grid[#Data],M_BOM[PPGridRow],95),0))</f>
        <v/>
      </c>
      <c r="CR63">
        <f>SUMPRODUCT((M_BOM[RM_Code]=$A63)*M_BOM[RM_Qty_Per_Batch]*IFERROR(INDEX(PP_Grid[#Data],M_BOM[PPGridRow],96),0))</f>
        <v/>
      </c>
      <c r="CS63">
        <f>SUMPRODUCT((M_BOM[RM_Code]=$A63)*M_BOM[RM_Qty_Per_Batch]*IFERROR(INDEX(PP_Grid[#Data],M_BOM[PPGridRow],97),0))</f>
        <v/>
      </c>
      <c r="CT63">
        <f>SUMPRODUCT((M_BOM[RM_Code]=$A63)*M_BOM[RM_Qty_Per_Batch]*IFERROR(INDEX(PP_Grid[#Data],M_BOM[PPGridRow],98),0))</f>
        <v/>
      </c>
      <c r="CU63">
        <f>SUMPRODUCT((M_BOM[RM_Code]=$A63)*M_BOM[RM_Qty_Per_Batch]*IFERROR(INDEX(PP_Grid[#Data],M_BOM[PPGridRow],99),0))</f>
        <v/>
      </c>
      <c r="CV63">
        <f>SUMPRODUCT((M_BOM[RM_Code]=$A63)*M_BOM[RM_Qty_Per_Batch]*IFERROR(INDEX(PP_Grid[#Data],M_BOM[PPGridRow],100),0))</f>
        <v/>
      </c>
      <c r="CW63">
        <f>SUMPRODUCT((M_BOM[RM_Code]=$A63)*M_BOM[RM_Qty_Per_Batch]*IFERROR(INDEX(PP_Grid[#Data],M_BOM[PPGridRow],101),0))</f>
        <v/>
      </c>
      <c r="CX63">
        <f>SUMPRODUCT((M_BOM[RM_Code]=$A63)*M_BOM[RM_Qty_Per_Batch]*IFERROR(INDEX(PP_Grid[#Data],M_BOM[PPGridRow],102),0))</f>
        <v/>
      </c>
      <c r="CY63">
        <f>SUMPRODUCT((M_BOM[RM_Code]=$A63)*M_BOM[RM_Qty_Per_Batch]*IFERROR(INDEX(PP_Grid[#Data],M_BOM[PPGridRow],103),0))</f>
        <v/>
      </c>
      <c r="CZ63">
        <f>SUMPRODUCT((M_BOM[RM_Code]=$A63)*M_BOM[RM_Qty_Per_Batch]*IFERROR(INDEX(PP_Grid[#Data],M_BOM[PPGridRow],104),0))</f>
        <v/>
      </c>
      <c r="DA63">
        <f>SUMPRODUCT((M_BOM[RM_Code]=$A63)*M_BOM[RM_Qty_Per_Batch]*IFERROR(INDEX(PP_Grid[#Data],M_BOM[PPGridRow],105),0))</f>
        <v/>
      </c>
    </row>
    <row r="64">
      <c r="A64" t="inlineStr">
        <is>
          <t>5SN</t>
        </is>
      </c>
      <c r="B64">
        <f>SUMPRODUCT((M_BOM[RM_Code]=$A64)*M_BOM[RM_Qty_Per_Batch]*IFERROR(INDEX(PP_Grid[#Data],M_BOM[PPGridRow],2),0))</f>
        <v/>
      </c>
      <c r="C64">
        <f>SUMPRODUCT((M_BOM[RM_Code]=$A64)*M_BOM[RM_Qty_Per_Batch]*IFERROR(INDEX(PP_Grid[#Data],M_BOM[PPGridRow],3),0))</f>
        <v/>
      </c>
      <c r="D64">
        <f>SUMPRODUCT((M_BOM[RM_Code]=$A64)*M_BOM[RM_Qty_Per_Batch]*IFERROR(INDEX(PP_Grid[#Data],M_BOM[PPGridRow],4),0))</f>
        <v/>
      </c>
      <c r="E64">
        <f>SUMPRODUCT((M_BOM[RM_Code]=$A64)*M_BOM[RM_Qty_Per_Batch]*IFERROR(INDEX(PP_Grid[#Data],M_BOM[PPGridRow],5),0))</f>
        <v/>
      </c>
      <c r="F64">
        <f>SUMPRODUCT((M_BOM[RM_Code]=$A64)*M_BOM[RM_Qty_Per_Batch]*IFERROR(INDEX(PP_Grid[#Data],M_BOM[PPGridRow],6),0))</f>
        <v/>
      </c>
      <c r="G64">
        <f>SUMPRODUCT((M_BOM[RM_Code]=$A64)*M_BOM[RM_Qty_Per_Batch]*IFERROR(INDEX(PP_Grid[#Data],M_BOM[PPGridRow],7),0))</f>
        <v/>
      </c>
      <c r="H64">
        <f>SUMPRODUCT((M_BOM[RM_Code]=$A64)*M_BOM[RM_Qty_Per_Batch]*IFERROR(INDEX(PP_Grid[#Data],M_BOM[PPGridRow],8),0))</f>
        <v/>
      </c>
      <c r="I64">
        <f>SUMPRODUCT((M_BOM[RM_Code]=$A64)*M_BOM[RM_Qty_Per_Batch]*IFERROR(INDEX(PP_Grid[#Data],M_BOM[PPGridRow],9),0))</f>
        <v/>
      </c>
      <c r="J64">
        <f>SUMPRODUCT((M_BOM[RM_Code]=$A64)*M_BOM[RM_Qty_Per_Batch]*IFERROR(INDEX(PP_Grid[#Data],M_BOM[PPGridRow],10),0))</f>
        <v/>
      </c>
      <c r="K64">
        <f>SUMPRODUCT((M_BOM[RM_Code]=$A64)*M_BOM[RM_Qty_Per_Batch]*IFERROR(INDEX(PP_Grid[#Data],M_BOM[PPGridRow],11),0))</f>
        <v/>
      </c>
      <c r="L64">
        <f>SUMPRODUCT((M_BOM[RM_Code]=$A64)*M_BOM[RM_Qty_Per_Batch]*IFERROR(INDEX(PP_Grid[#Data],M_BOM[PPGridRow],12),0))</f>
        <v/>
      </c>
      <c r="M64">
        <f>SUMPRODUCT((M_BOM[RM_Code]=$A64)*M_BOM[RM_Qty_Per_Batch]*IFERROR(INDEX(PP_Grid[#Data],M_BOM[PPGridRow],13),0))</f>
        <v/>
      </c>
      <c r="N64">
        <f>SUMPRODUCT((M_BOM[RM_Code]=$A64)*M_BOM[RM_Qty_Per_Batch]*IFERROR(INDEX(PP_Grid[#Data],M_BOM[PPGridRow],14),0))</f>
        <v/>
      </c>
      <c r="O64">
        <f>SUMPRODUCT((M_BOM[RM_Code]=$A64)*M_BOM[RM_Qty_Per_Batch]*IFERROR(INDEX(PP_Grid[#Data],M_BOM[PPGridRow],15),0))</f>
        <v/>
      </c>
      <c r="P64">
        <f>SUMPRODUCT((M_BOM[RM_Code]=$A64)*M_BOM[RM_Qty_Per_Batch]*IFERROR(INDEX(PP_Grid[#Data],M_BOM[PPGridRow],16),0))</f>
        <v/>
      </c>
      <c r="Q64">
        <f>SUMPRODUCT((M_BOM[RM_Code]=$A64)*M_BOM[RM_Qty_Per_Batch]*IFERROR(INDEX(PP_Grid[#Data],M_BOM[PPGridRow],17),0))</f>
        <v/>
      </c>
      <c r="R64">
        <f>SUMPRODUCT((M_BOM[RM_Code]=$A64)*M_BOM[RM_Qty_Per_Batch]*IFERROR(INDEX(PP_Grid[#Data],M_BOM[PPGridRow],18),0))</f>
        <v/>
      </c>
      <c r="S64">
        <f>SUMPRODUCT((M_BOM[RM_Code]=$A64)*M_BOM[RM_Qty_Per_Batch]*IFERROR(INDEX(PP_Grid[#Data],M_BOM[PPGridRow],19),0))</f>
        <v/>
      </c>
      <c r="T64">
        <f>SUMPRODUCT((M_BOM[RM_Code]=$A64)*M_BOM[RM_Qty_Per_Batch]*IFERROR(INDEX(PP_Grid[#Data],M_BOM[PPGridRow],20),0))</f>
        <v/>
      </c>
      <c r="U64">
        <f>SUMPRODUCT((M_BOM[RM_Code]=$A64)*M_BOM[RM_Qty_Per_Batch]*IFERROR(INDEX(PP_Grid[#Data],M_BOM[PPGridRow],21),0))</f>
        <v/>
      </c>
      <c r="V64">
        <f>SUMPRODUCT((M_BOM[RM_Code]=$A64)*M_BOM[RM_Qty_Per_Batch]*IFERROR(INDEX(PP_Grid[#Data],M_BOM[PPGridRow],22),0))</f>
        <v/>
      </c>
      <c r="W64">
        <f>SUMPRODUCT((M_BOM[RM_Code]=$A64)*M_BOM[RM_Qty_Per_Batch]*IFERROR(INDEX(PP_Grid[#Data],M_BOM[PPGridRow],23),0))</f>
        <v/>
      </c>
      <c r="X64">
        <f>SUMPRODUCT((M_BOM[RM_Code]=$A64)*M_BOM[RM_Qty_Per_Batch]*IFERROR(INDEX(PP_Grid[#Data],M_BOM[PPGridRow],24),0))</f>
        <v/>
      </c>
      <c r="Y64">
        <f>SUMPRODUCT((M_BOM[RM_Code]=$A64)*M_BOM[RM_Qty_Per_Batch]*IFERROR(INDEX(PP_Grid[#Data],M_BOM[PPGridRow],25),0))</f>
        <v/>
      </c>
      <c r="Z64">
        <f>SUMPRODUCT((M_BOM[RM_Code]=$A64)*M_BOM[RM_Qty_Per_Batch]*IFERROR(INDEX(PP_Grid[#Data],M_BOM[PPGridRow],26),0))</f>
        <v/>
      </c>
      <c r="AA64">
        <f>SUMPRODUCT((M_BOM[RM_Code]=$A64)*M_BOM[RM_Qty_Per_Batch]*IFERROR(INDEX(PP_Grid[#Data],M_BOM[PPGridRow],27),0))</f>
        <v/>
      </c>
      <c r="AB64">
        <f>SUMPRODUCT((M_BOM[RM_Code]=$A64)*M_BOM[RM_Qty_Per_Batch]*IFERROR(INDEX(PP_Grid[#Data],M_BOM[PPGridRow],28),0))</f>
        <v/>
      </c>
      <c r="AC64">
        <f>SUMPRODUCT((M_BOM[RM_Code]=$A64)*M_BOM[RM_Qty_Per_Batch]*IFERROR(INDEX(PP_Grid[#Data],M_BOM[PPGridRow],29),0))</f>
        <v/>
      </c>
      <c r="AD64">
        <f>SUMPRODUCT((M_BOM[RM_Code]=$A64)*M_BOM[RM_Qty_Per_Batch]*IFERROR(INDEX(PP_Grid[#Data],M_BOM[PPGridRow],30),0))</f>
        <v/>
      </c>
      <c r="AE64">
        <f>SUMPRODUCT((M_BOM[RM_Code]=$A64)*M_BOM[RM_Qty_Per_Batch]*IFERROR(INDEX(PP_Grid[#Data],M_BOM[PPGridRow],31),0))</f>
        <v/>
      </c>
      <c r="AF64">
        <f>SUMPRODUCT((M_BOM[RM_Code]=$A64)*M_BOM[RM_Qty_Per_Batch]*IFERROR(INDEX(PP_Grid[#Data],M_BOM[PPGridRow],32),0))</f>
        <v/>
      </c>
      <c r="AG64">
        <f>SUMPRODUCT((M_BOM[RM_Code]=$A64)*M_BOM[RM_Qty_Per_Batch]*IFERROR(INDEX(PP_Grid[#Data],M_BOM[PPGridRow],33),0))</f>
        <v/>
      </c>
      <c r="AH64">
        <f>SUMPRODUCT((M_BOM[RM_Code]=$A64)*M_BOM[RM_Qty_Per_Batch]*IFERROR(INDEX(PP_Grid[#Data],M_BOM[PPGridRow],34),0))</f>
        <v/>
      </c>
      <c r="AI64">
        <f>SUMPRODUCT((M_BOM[RM_Code]=$A64)*M_BOM[RM_Qty_Per_Batch]*IFERROR(INDEX(PP_Grid[#Data],M_BOM[PPGridRow],35),0))</f>
        <v/>
      </c>
      <c r="AJ64">
        <f>SUMPRODUCT((M_BOM[RM_Code]=$A64)*M_BOM[RM_Qty_Per_Batch]*IFERROR(INDEX(PP_Grid[#Data],M_BOM[PPGridRow],36),0))</f>
        <v/>
      </c>
      <c r="AK64">
        <f>SUMPRODUCT((M_BOM[RM_Code]=$A64)*M_BOM[RM_Qty_Per_Batch]*IFERROR(INDEX(PP_Grid[#Data],M_BOM[PPGridRow],37),0))</f>
        <v/>
      </c>
      <c r="AL64">
        <f>SUMPRODUCT((M_BOM[RM_Code]=$A64)*M_BOM[RM_Qty_Per_Batch]*IFERROR(INDEX(PP_Grid[#Data],M_BOM[PPGridRow],38),0))</f>
        <v/>
      </c>
      <c r="AM64">
        <f>SUMPRODUCT((M_BOM[RM_Code]=$A64)*M_BOM[RM_Qty_Per_Batch]*IFERROR(INDEX(PP_Grid[#Data],M_BOM[PPGridRow],39),0))</f>
        <v/>
      </c>
      <c r="AN64">
        <f>SUMPRODUCT((M_BOM[RM_Code]=$A64)*M_BOM[RM_Qty_Per_Batch]*IFERROR(INDEX(PP_Grid[#Data],M_BOM[PPGridRow],40),0))</f>
        <v/>
      </c>
      <c r="AO64">
        <f>SUMPRODUCT((M_BOM[RM_Code]=$A64)*M_BOM[RM_Qty_Per_Batch]*IFERROR(INDEX(PP_Grid[#Data],M_BOM[PPGridRow],41),0))</f>
        <v/>
      </c>
      <c r="AP64">
        <f>SUMPRODUCT((M_BOM[RM_Code]=$A64)*M_BOM[RM_Qty_Per_Batch]*IFERROR(INDEX(PP_Grid[#Data],M_BOM[PPGridRow],42),0))</f>
        <v/>
      </c>
      <c r="AQ64">
        <f>SUMPRODUCT((M_BOM[RM_Code]=$A64)*M_BOM[RM_Qty_Per_Batch]*IFERROR(INDEX(PP_Grid[#Data],M_BOM[PPGridRow],43),0))</f>
        <v/>
      </c>
      <c r="AR64">
        <f>SUMPRODUCT((M_BOM[RM_Code]=$A64)*M_BOM[RM_Qty_Per_Batch]*IFERROR(INDEX(PP_Grid[#Data],M_BOM[PPGridRow],44),0))</f>
        <v/>
      </c>
      <c r="AS64">
        <f>SUMPRODUCT((M_BOM[RM_Code]=$A64)*M_BOM[RM_Qty_Per_Batch]*IFERROR(INDEX(PP_Grid[#Data],M_BOM[PPGridRow],45),0))</f>
        <v/>
      </c>
      <c r="AT64">
        <f>SUMPRODUCT((M_BOM[RM_Code]=$A64)*M_BOM[RM_Qty_Per_Batch]*IFERROR(INDEX(PP_Grid[#Data],M_BOM[PPGridRow],46),0))</f>
        <v/>
      </c>
      <c r="AU64">
        <f>SUMPRODUCT((M_BOM[RM_Code]=$A64)*M_BOM[RM_Qty_Per_Batch]*IFERROR(INDEX(PP_Grid[#Data],M_BOM[PPGridRow],47),0))</f>
        <v/>
      </c>
      <c r="AV64">
        <f>SUMPRODUCT((M_BOM[RM_Code]=$A64)*M_BOM[RM_Qty_Per_Batch]*IFERROR(INDEX(PP_Grid[#Data],M_BOM[PPGridRow],48),0))</f>
        <v/>
      </c>
      <c r="AW64">
        <f>SUMPRODUCT((M_BOM[RM_Code]=$A64)*M_BOM[RM_Qty_Per_Batch]*IFERROR(INDEX(PP_Grid[#Data],M_BOM[PPGridRow],49),0))</f>
        <v/>
      </c>
      <c r="AX64">
        <f>SUMPRODUCT((M_BOM[RM_Code]=$A64)*M_BOM[RM_Qty_Per_Batch]*IFERROR(INDEX(PP_Grid[#Data],M_BOM[PPGridRow],50),0))</f>
        <v/>
      </c>
      <c r="AY64">
        <f>SUMPRODUCT((M_BOM[RM_Code]=$A64)*M_BOM[RM_Qty_Per_Batch]*IFERROR(INDEX(PP_Grid[#Data],M_BOM[PPGridRow],51),0))</f>
        <v/>
      </c>
      <c r="AZ64">
        <f>SUMPRODUCT((M_BOM[RM_Code]=$A64)*M_BOM[RM_Qty_Per_Batch]*IFERROR(INDEX(PP_Grid[#Data],M_BOM[PPGridRow],52),0))</f>
        <v/>
      </c>
      <c r="BA64">
        <f>SUMPRODUCT((M_BOM[RM_Code]=$A64)*M_BOM[RM_Qty_Per_Batch]*IFERROR(INDEX(PP_Grid[#Data],M_BOM[PPGridRow],53),0))</f>
        <v/>
      </c>
      <c r="BB64">
        <f>SUMPRODUCT((M_BOM[RM_Code]=$A64)*M_BOM[RM_Qty_Per_Batch]*IFERROR(INDEX(PP_Grid[#Data],M_BOM[PPGridRow],54),0))</f>
        <v/>
      </c>
      <c r="BC64">
        <f>SUMPRODUCT((M_BOM[RM_Code]=$A64)*M_BOM[RM_Qty_Per_Batch]*IFERROR(INDEX(PP_Grid[#Data],M_BOM[PPGridRow],55),0))</f>
        <v/>
      </c>
      <c r="BD64">
        <f>SUMPRODUCT((M_BOM[RM_Code]=$A64)*M_BOM[RM_Qty_Per_Batch]*IFERROR(INDEX(PP_Grid[#Data],M_BOM[PPGridRow],56),0))</f>
        <v/>
      </c>
      <c r="BE64">
        <f>SUMPRODUCT((M_BOM[RM_Code]=$A64)*M_BOM[RM_Qty_Per_Batch]*IFERROR(INDEX(PP_Grid[#Data],M_BOM[PPGridRow],57),0))</f>
        <v/>
      </c>
      <c r="BF64">
        <f>SUMPRODUCT((M_BOM[RM_Code]=$A64)*M_BOM[RM_Qty_Per_Batch]*IFERROR(INDEX(PP_Grid[#Data],M_BOM[PPGridRow],58),0))</f>
        <v/>
      </c>
      <c r="BG64">
        <f>SUMPRODUCT((M_BOM[RM_Code]=$A64)*M_BOM[RM_Qty_Per_Batch]*IFERROR(INDEX(PP_Grid[#Data],M_BOM[PPGridRow],59),0))</f>
        <v/>
      </c>
      <c r="BH64">
        <f>SUMPRODUCT((M_BOM[RM_Code]=$A64)*M_BOM[RM_Qty_Per_Batch]*IFERROR(INDEX(PP_Grid[#Data],M_BOM[PPGridRow],60),0))</f>
        <v/>
      </c>
      <c r="BI64">
        <f>SUMPRODUCT((M_BOM[RM_Code]=$A64)*M_BOM[RM_Qty_Per_Batch]*IFERROR(INDEX(PP_Grid[#Data],M_BOM[PPGridRow],61),0))</f>
        <v/>
      </c>
      <c r="BJ64">
        <f>SUMPRODUCT((M_BOM[RM_Code]=$A64)*M_BOM[RM_Qty_Per_Batch]*IFERROR(INDEX(PP_Grid[#Data],M_BOM[PPGridRow],62),0))</f>
        <v/>
      </c>
      <c r="BK64">
        <f>SUMPRODUCT((M_BOM[RM_Code]=$A64)*M_BOM[RM_Qty_Per_Batch]*IFERROR(INDEX(PP_Grid[#Data],M_BOM[PPGridRow],63),0))</f>
        <v/>
      </c>
      <c r="BL64">
        <f>SUMPRODUCT((M_BOM[RM_Code]=$A64)*M_BOM[RM_Qty_Per_Batch]*IFERROR(INDEX(PP_Grid[#Data],M_BOM[PPGridRow],64),0))</f>
        <v/>
      </c>
      <c r="BM64">
        <f>SUMPRODUCT((M_BOM[RM_Code]=$A64)*M_BOM[RM_Qty_Per_Batch]*IFERROR(INDEX(PP_Grid[#Data],M_BOM[PPGridRow],65),0))</f>
        <v/>
      </c>
      <c r="BN64">
        <f>SUMPRODUCT((M_BOM[RM_Code]=$A64)*M_BOM[RM_Qty_Per_Batch]*IFERROR(INDEX(PP_Grid[#Data],M_BOM[PPGridRow],66),0))</f>
        <v/>
      </c>
      <c r="BO64">
        <f>SUMPRODUCT((M_BOM[RM_Code]=$A64)*M_BOM[RM_Qty_Per_Batch]*IFERROR(INDEX(PP_Grid[#Data],M_BOM[PPGridRow],67),0))</f>
        <v/>
      </c>
      <c r="BP64">
        <f>SUMPRODUCT((M_BOM[RM_Code]=$A64)*M_BOM[RM_Qty_Per_Batch]*IFERROR(INDEX(PP_Grid[#Data],M_BOM[PPGridRow],68),0))</f>
        <v/>
      </c>
      <c r="BQ64">
        <f>SUMPRODUCT((M_BOM[RM_Code]=$A64)*M_BOM[RM_Qty_Per_Batch]*IFERROR(INDEX(PP_Grid[#Data],M_BOM[PPGridRow],69),0))</f>
        <v/>
      </c>
      <c r="BR64">
        <f>SUMPRODUCT((M_BOM[RM_Code]=$A64)*M_BOM[RM_Qty_Per_Batch]*IFERROR(INDEX(PP_Grid[#Data],M_BOM[PPGridRow],70),0))</f>
        <v/>
      </c>
      <c r="BS64">
        <f>SUMPRODUCT((M_BOM[RM_Code]=$A64)*M_BOM[RM_Qty_Per_Batch]*IFERROR(INDEX(PP_Grid[#Data],M_BOM[PPGridRow],71),0))</f>
        <v/>
      </c>
      <c r="BT64">
        <f>SUMPRODUCT((M_BOM[RM_Code]=$A64)*M_BOM[RM_Qty_Per_Batch]*IFERROR(INDEX(PP_Grid[#Data],M_BOM[PPGridRow],72),0))</f>
        <v/>
      </c>
      <c r="BU64">
        <f>SUMPRODUCT((M_BOM[RM_Code]=$A64)*M_BOM[RM_Qty_Per_Batch]*IFERROR(INDEX(PP_Grid[#Data],M_BOM[PPGridRow],73),0))</f>
        <v/>
      </c>
      <c r="BV64">
        <f>SUMPRODUCT((M_BOM[RM_Code]=$A64)*M_BOM[RM_Qty_Per_Batch]*IFERROR(INDEX(PP_Grid[#Data],M_BOM[PPGridRow],74),0))</f>
        <v/>
      </c>
      <c r="BW64">
        <f>SUMPRODUCT((M_BOM[RM_Code]=$A64)*M_BOM[RM_Qty_Per_Batch]*IFERROR(INDEX(PP_Grid[#Data],M_BOM[PPGridRow],75),0))</f>
        <v/>
      </c>
      <c r="BX64">
        <f>SUMPRODUCT((M_BOM[RM_Code]=$A64)*M_BOM[RM_Qty_Per_Batch]*IFERROR(INDEX(PP_Grid[#Data],M_BOM[PPGridRow],76),0))</f>
        <v/>
      </c>
      <c r="BY64">
        <f>SUMPRODUCT((M_BOM[RM_Code]=$A64)*M_BOM[RM_Qty_Per_Batch]*IFERROR(INDEX(PP_Grid[#Data],M_BOM[PPGridRow],77),0))</f>
        <v/>
      </c>
      <c r="BZ64">
        <f>SUMPRODUCT((M_BOM[RM_Code]=$A64)*M_BOM[RM_Qty_Per_Batch]*IFERROR(INDEX(PP_Grid[#Data],M_BOM[PPGridRow],78),0))</f>
        <v/>
      </c>
      <c r="CA64">
        <f>SUMPRODUCT((M_BOM[RM_Code]=$A64)*M_BOM[RM_Qty_Per_Batch]*IFERROR(INDEX(PP_Grid[#Data],M_BOM[PPGridRow],79),0))</f>
        <v/>
      </c>
      <c r="CB64">
        <f>SUMPRODUCT((M_BOM[RM_Code]=$A64)*M_BOM[RM_Qty_Per_Batch]*IFERROR(INDEX(PP_Grid[#Data],M_BOM[PPGridRow],80),0))</f>
        <v/>
      </c>
      <c r="CC64">
        <f>SUMPRODUCT((M_BOM[RM_Code]=$A64)*M_BOM[RM_Qty_Per_Batch]*IFERROR(INDEX(PP_Grid[#Data],M_BOM[PPGridRow],81),0))</f>
        <v/>
      </c>
      <c r="CD64">
        <f>SUMPRODUCT((M_BOM[RM_Code]=$A64)*M_BOM[RM_Qty_Per_Batch]*IFERROR(INDEX(PP_Grid[#Data],M_BOM[PPGridRow],82),0))</f>
        <v/>
      </c>
      <c r="CE64">
        <f>SUMPRODUCT((M_BOM[RM_Code]=$A64)*M_BOM[RM_Qty_Per_Batch]*IFERROR(INDEX(PP_Grid[#Data],M_BOM[PPGridRow],83),0))</f>
        <v/>
      </c>
      <c r="CF64">
        <f>SUMPRODUCT((M_BOM[RM_Code]=$A64)*M_BOM[RM_Qty_Per_Batch]*IFERROR(INDEX(PP_Grid[#Data],M_BOM[PPGridRow],84),0))</f>
        <v/>
      </c>
      <c r="CG64">
        <f>SUMPRODUCT((M_BOM[RM_Code]=$A64)*M_BOM[RM_Qty_Per_Batch]*IFERROR(INDEX(PP_Grid[#Data],M_BOM[PPGridRow],85),0))</f>
        <v/>
      </c>
      <c r="CH64">
        <f>SUMPRODUCT((M_BOM[RM_Code]=$A64)*M_BOM[RM_Qty_Per_Batch]*IFERROR(INDEX(PP_Grid[#Data],M_BOM[PPGridRow],86),0))</f>
        <v/>
      </c>
      <c r="CI64">
        <f>SUMPRODUCT((M_BOM[RM_Code]=$A64)*M_BOM[RM_Qty_Per_Batch]*IFERROR(INDEX(PP_Grid[#Data],M_BOM[PPGridRow],87),0))</f>
        <v/>
      </c>
      <c r="CJ64">
        <f>SUMPRODUCT((M_BOM[RM_Code]=$A64)*M_BOM[RM_Qty_Per_Batch]*IFERROR(INDEX(PP_Grid[#Data],M_BOM[PPGridRow],88),0))</f>
        <v/>
      </c>
      <c r="CK64">
        <f>SUMPRODUCT((M_BOM[RM_Code]=$A64)*M_BOM[RM_Qty_Per_Batch]*IFERROR(INDEX(PP_Grid[#Data],M_BOM[PPGridRow],89),0))</f>
        <v/>
      </c>
      <c r="CL64">
        <f>SUMPRODUCT((M_BOM[RM_Code]=$A64)*M_BOM[RM_Qty_Per_Batch]*IFERROR(INDEX(PP_Grid[#Data],M_BOM[PPGridRow],90),0))</f>
        <v/>
      </c>
      <c r="CM64">
        <f>SUMPRODUCT((M_BOM[RM_Code]=$A64)*M_BOM[RM_Qty_Per_Batch]*IFERROR(INDEX(PP_Grid[#Data],M_BOM[PPGridRow],91),0))</f>
        <v/>
      </c>
      <c r="CN64">
        <f>SUMPRODUCT((M_BOM[RM_Code]=$A64)*M_BOM[RM_Qty_Per_Batch]*IFERROR(INDEX(PP_Grid[#Data],M_BOM[PPGridRow],92),0))</f>
        <v/>
      </c>
      <c r="CO64">
        <f>SUMPRODUCT((M_BOM[RM_Code]=$A64)*M_BOM[RM_Qty_Per_Batch]*IFERROR(INDEX(PP_Grid[#Data],M_BOM[PPGridRow],93),0))</f>
        <v/>
      </c>
      <c r="CP64">
        <f>SUMPRODUCT((M_BOM[RM_Code]=$A64)*M_BOM[RM_Qty_Per_Batch]*IFERROR(INDEX(PP_Grid[#Data],M_BOM[PPGridRow],94),0))</f>
        <v/>
      </c>
      <c r="CQ64">
        <f>SUMPRODUCT((M_BOM[RM_Code]=$A64)*M_BOM[RM_Qty_Per_Batch]*IFERROR(INDEX(PP_Grid[#Data],M_BOM[PPGridRow],95),0))</f>
        <v/>
      </c>
      <c r="CR64">
        <f>SUMPRODUCT((M_BOM[RM_Code]=$A64)*M_BOM[RM_Qty_Per_Batch]*IFERROR(INDEX(PP_Grid[#Data],M_BOM[PPGridRow],96),0))</f>
        <v/>
      </c>
      <c r="CS64">
        <f>SUMPRODUCT((M_BOM[RM_Code]=$A64)*M_BOM[RM_Qty_Per_Batch]*IFERROR(INDEX(PP_Grid[#Data],M_BOM[PPGridRow],97),0))</f>
        <v/>
      </c>
      <c r="CT64">
        <f>SUMPRODUCT((M_BOM[RM_Code]=$A64)*M_BOM[RM_Qty_Per_Batch]*IFERROR(INDEX(PP_Grid[#Data],M_BOM[PPGridRow],98),0))</f>
        <v/>
      </c>
      <c r="CU64">
        <f>SUMPRODUCT((M_BOM[RM_Code]=$A64)*M_BOM[RM_Qty_Per_Batch]*IFERROR(INDEX(PP_Grid[#Data],M_BOM[PPGridRow],99),0))</f>
        <v/>
      </c>
      <c r="CV64">
        <f>SUMPRODUCT((M_BOM[RM_Code]=$A64)*M_BOM[RM_Qty_Per_Batch]*IFERROR(INDEX(PP_Grid[#Data],M_BOM[PPGridRow],100),0))</f>
        <v/>
      </c>
      <c r="CW64">
        <f>SUMPRODUCT((M_BOM[RM_Code]=$A64)*M_BOM[RM_Qty_Per_Batch]*IFERROR(INDEX(PP_Grid[#Data],M_BOM[PPGridRow],101),0))</f>
        <v/>
      </c>
      <c r="CX64">
        <f>SUMPRODUCT((M_BOM[RM_Code]=$A64)*M_BOM[RM_Qty_Per_Batch]*IFERROR(INDEX(PP_Grid[#Data],M_BOM[PPGridRow],102),0))</f>
        <v/>
      </c>
      <c r="CY64">
        <f>SUMPRODUCT((M_BOM[RM_Code]=$A64)*M_BOM[RM_Qty_Per_Batch]*IFERROR(INDEX(PP_Grid[#Data],M_BOM[PPGridRow],103),0))</f>
        <v/>
      </c>
      <c r="CZ64">
        <f>SUMPRODUCT((M_BOM[RM_Code]=$A64)*M_BOM[RM_Qty_Per_Batch]*IFERROR(INDEX(PP_Grid[#Data],M_BOM[PPGridRow],104),0))</f>
        <v/>
      </c>
      <c r="DA64">
        <f>SUMPRODUCT((M_BOM[RM_Code]=$A64)*M_BOM[RM_Qty_Per_Batch]*IFERROR(INDEX(PP_Grid[#Data],M_BOM[PPGridRow],105),0))</f>
        <v/>
      </c>
    </row>
    <row r="65">
      <c r="A65" t="inlineStr">
        <is>
          <t>1JN</t>
        </is>
      </c>
      <c r="B65">
        <f>SUMPRODUCT((M_BOM[RM_Code]=$A65)*M_BOM[RM_Qty_Per_Batch]*IFERROR(INDEX(PP_Grid[#Data],M_BOM[PPGridRow],2),0))</f>
        <v/>
      </c>
      <c r="C65">
        <f>SUMPRODUCT((M_BOM[RM_Code]=$A65)*M_BOM[RM_Qty_Per_Batch]*IFERROR(INDEX(PP_Grid[#Data],M_BOM[PPGridRow],3),0))</f>
        <v/>
      </c>
      <c r="D65">
        <f>SUMPRODUCT((M_BOM[RM_Code]=$A65)*M_BOM[RM_Qty_Per_Batch]*IFERROR(INDEX(PP_Grid[#Data],M_BOM[PPGridRow],4),0))</f>
        <v/>
      </c>
      <c r="E65">
        <f>SUMPRODUCT((M_BOM[RM_Code]=$A65)*M_BOM[RM_Qty_Per_Batch]*IFERROR(INDEX(PP_Grid[#Data],M_BOM[PPGridRow],5),0))</f>
        <v/>
      </c>
      <c r="F65">
        <f>SUMPRODUCT((M_BOM[RM_Code]=$A65)*M_BOM[RM_Qty_Per_Batch]*IFERROR(INDEX(PP_Grid[#Data],M_BOM[PPGridRow],6),0))</f>
        <v/>
      </c>
      <c r="G65">
        <f>SUMPRODUCT((M_BOM[RM_Code]=$A65)*M_BOM[RM_Qty_Per_Batch]*IFERROR(INDEX(PP_Grid[#Data],M_BOM[PPGridRow],7),0))</f>
        <v/>
      </c>
      <c r="H65">
        <f>SUMPRODUCT((M_BOM[RM_Code]=$A65)*M_BOM[RM_Qty_Per_Batch]*IFERROR(INDEX(PP_Grid[#Data],M_BOM[PPGridRow],8),0))</f>
        <v/>
      </c>
      <c r="I65">
        <f>SUMPRODUCT((M_BOM[RM_Code]=$A65)*M_BOM[RM_Qty_Per_Batch]*IFERROR(INDEX(PP_Grid[#Data],M_BOM[PPGridRow],9),0))</f>
        <v/>
      </c>
      <c r="J65">
        <f>SUMPRODUCT((M_BOM[RM_Code]=$A65)*M_BOM[RM_Qty_Per_Batch]*IFERROR(INDEX(PP_Grid[#Data],M_BOM[PPGridRow],10),0))</f>
        <v/>
      </c>
      <c r="K65">
        <f>SUMPRODUCT((M_BOM[RM_Code]=$A65)*M_BOM[RM_Qty_Per_Batch]*IFERROR(INDEX(PP_Grid[#Data],M_BOM[PPGridRow],11),0))</f>
        <v/>
      </c>
      <c r="L65">
        <f>SUMPRODUCT((M_BOM[RM_Code]=$A65)*M_BOM[RM_Qty_Per_Batch]*IFERROR(INDEX(PP_Grid[#Data],M_BOM[PPGridRow],12),0))</f>
        <v/>
      </c>
      <c r="M65">
        <f>SUMPRODUCT((M_BOM[RM_Code]=$A65)*M_BOM[RM_Qty_Per_Batch]*IFERROR(INDEX(PP_Grid[#Data],M_BOM[PPGridRow],13),0))</f>
        <v/>
      </c>
      <c r="N65">
        <f>SUMPRODUCT((M_BOM[RM_Code]=$A65)*M_BOM[RM_Qty_Per_Batch]*IFERROR(INDEX(PP_Grid[#Data],M_BOM[PPGridRow],14),0))</f>
        <v/>
      </c>
      <c r="O65">
        <f>SUMPRODUCT((M_BOM[RM_Code]=$A65)*M_BOM[RM_Qty_Per_Batch]*IFERROR(INDEX(PP_Grid[#Data],M_BOM[PPGridRow],15),0))</f>
        <v/>
      </c>
      <c r="P65">
        <f>SUMPRODUCT((M_BOM[RM_Code]=$A65)*M_BOM[RM_Qty_Per_Batch]*IFERROR(INDEX(PP_Grid[#Data],M_BOM[PPGridRow],16),0))</f>
        <v/>
      </c>
      <c r="Q65">
        <f>SUMPRODUCT((M_BOM[RM_Code]=$A65)*M_BOM[RM_Qty_Per_Batch]*IFERROR(INDEX(PP_Grid[#Data],M_BOM[PPGridRow],17),0))</f>
        <v/>
      </c>
      <c r="R65">
        <f>SUMPRODUCT((M_BOM[RM_Code]=$A65)*M_BOM[RM_Qty_Per_Batch]*IFERROR(INDEX(PP_Grid[#Data],M_BOM[PPGridRow],18),0))</f>
        <v/>
      </c>
      <c r="S65">
        <f>SUMPRODUCT((M_BOM[RM_Code]=$A65)*M_BOM[RM_Qty_Per_Batch]*IFERROR(INDEX(PP_Grid[#Data],M_BOM[PPGridRow],19),0))</f>
        <v/>
      </c>
      <c r="T65">
        <f>SUMPRODUCT((M_BOM[RM_Code]=$A65)*M_BOM[RM_Qty_Per_Batch]*IFERROR(INDEX(PP_Grid[#Data],M_BOM[PPGridRow],20),0))</f>
        <v/>
      </c>
      <c r="U65">
        <f>SUMPRODUCT((M_BOM[RM_Code]=$A65)*M_BOM[RM_Qty_Per_Batch]*IFERROR(INDEX(PP_Grid[#Data],M_BOM[PPGridRow],21),0))</f>
        <v/>
      </c>
      <c r="V65">
        <f>SUMPRODUCT((M_BOM[RM_Code]=$A65)*M_BOM[RM_Qty_Per_Batch]*IFERROR(INDEX(PP_Grid[#Data],M_BOM[PPGridRow],22),0))</f>
        <v/>
      </c>
      <c r="W65">
        <f>SUMPRODUCT((M_BOM[RM_Code]=$A65)*M_BOM[RM_Qty_Per_Batch]*IFERROR(INDEX(PP_Grid[#Data],M_BOM[PPGridRow],23),0))</f>
        <v/>
      </c>
      <c r="X65">
        <f>SUMPRODUCT((M_BOM[RM_Code]=$A65)*M_BOM[RM_Qty_Per_Batch]*IFERROR(INDEX(PP_Grid[#Data],M_BOM[PPGridRow],24),0))</f>
        <v/>
      </c>
      <c r="Y65">
        <f>SUMPRODUCT((M_BOM[RM_Code]=$A65)*M_BOM[RM_Qty_Per_Batch]*IFERROR(INDEX(PP_Grid[#Data],M_BOM[PPGridRow],25),0))</f>
        <v/>
      </c>
      <c r="Z65">
        <f>SUMPRODUCT((M_BOM[RM_Code]=$A65)*M_BOM[RM_Qty_Per_Batch]*IFERROR(INDEX(PP_Grid[#Data],M_BOM[PPGridRow],26),0))</f>
        <v/>
      </c>
      <c r="AA65">
        <f>SUMPRODUCT((M_BOM[RM_Code]=$A65)*M_BOM[RM_Qty_Per_Batch]*IFERROR(INDEX(PP_Grid[#Data],M_BOM[PPGridRow],27),0))</f>
        <v/>
      </c>
      <c r="AB65">
        <f>SUMPRODUCT((M_BOM[RM_Code]=$A65)*M_BOM[RM_Qty_Per_Batch]*IFERROR(INDEX(PP_Grid[#Data],M_BOM[PPGridRow],28),0))</f>
        <v/>
      </c>
      <c r="AC65">
        <f>SUMPRODUCT((M_BOM[RM_Code]=$A65)*M_BOM[RM_Qty_Per_Batch]*IFERROR(INDEX(PP_Grid[#Data],M_BOM[PPGridRow],29),0))</f>
        <v/>
      </c>
      <c r="AD65">
        <f>SUMPRODUCT((M_BOM[RM_Code]=$A65)*M_BOM[RM_Qty_Per_Batch]*IFERROR(INDEX(PP_Grid[#Data],M_BOM[PPGridRow],30),0))</f>
        <v/>
      </c>
      <c r="AE65">
        <f>SUMPRODUCT((M_BOM[RM_Code]=$A65)*M_BOM[RM_Qty_Per_Batch]*IFERROR(INDEX(PP_Grid[#Data],M_BOM[PPGridRow],31),0))</f>
        <v/>
      </c>
      <c r="AF65">
        <f>SUMPRODUCT((M_BOM[RM_Code]=$A65)*M_BOM[RM_Qty_Per_Batch]*IFERROR(INDEX(PP_Grid[#Data],M_BOM[PPGridRow],32),0))</f>
        <v/>
      </c>
      <c r="AG65">
        <f>SUMPRODUCT((M_BOM[RM_Code]=$A65)*M_BOM[RM_Qty_Per_Batch]*IFERROR(INDEX(PP_Grid[#Data],M_BOM[PPGridRow],33),0))</f>
        <v/>
      </c>
      <c r="AH65">
        <f>SUMPRODUCT((M_BOM[RM_Code]=$A65)*M_BOM[RM_Qty_Per_Batch]*IFERROR(INDEX(PP_Grid[#Data],M_BOM[PPGridRow],34),0))</f>
        <v/>
      </c>
      <c r="AI65">
        <f>SUMPRODUCT((M_BOM[RM_Code]=$A65)*M_BOM[RM_Qty_Per_Batch]*IFERROR(INDEX(PP_Grid[#Data],M_BOM[PPGridRow],35),0))</f>
        <v/>
      </c>
      <c r="AJ65">
        <f>SUMPRODUCT((M_BOM[RM_Code]=$A65)*M_BOM[RM_Qty_Per_Batch]*IFERROR(INDEX(PP_Grid[#Data],M_BOM[PPGridRow],36),0))</f>
        <v/>
      </c>
      <c r="AK65">
        <f>SUMPRODUCT((M_BOM[RM_Code]=$A65)*M_BOM[RM_Qty_Per_Batch]*IFERROR(INDEX(PP_Grid[#Data],M_BOM[PPGridRow],37),0))</f>
        <v/>
      </c>
      <c r="AL65">
        <f>SUMPRODUCT((M_BOM[RM_Code]=$A65)*M_BOM[RM_Qty_Per_Batch]*IFERROR(INDEX(PP_Grid[#Data],M_BOM[PPGridRow],38),0))</f>
        <v/>
      </c>
      <c r="AM65">
        <f>SUMPRODUCT((M_BOM[RM_Code]=$A65)*M_BOM[RM_Qty_Per_Batch]*IFERROR(INDEX(PP_Grid[#Data],M_BOM[PPGridRow],39),0))</f>
        <v/>
      </c>
      <c r="AN65">
        <f>SUMPRODUCT((M_BOM[RM_Code]=$A65)*M_BOM[RM_Qty_Per_Batch]*IFERROR(INDEX(PP_Grid[#Data],M_BOM[PPGridRow],40),0))</f>
        <v/>
      </c>
      <c r="AO65">
        <f>SUMPRODUCT((M_BOM[RM_Code]=$A65)*M_BOM[RM_Qty_Per_Batch]*IFERROR(INDEX(PP_Grid[#Data],M_BOM[PPGridRow],41),0))</f>
        <v/>
      </c>
      <c r="AP65">
        <f>SUMPRODUCT((M_BOM[RM_Code]=$A65)*M_BOM[RM_Qty_Per_Batch]*IFERROR(INDEX(PP_Grid[#Data],M_BOM[PPGridRow],42),0))</f>
        <v/>
      </c>
      <c r="AQ65">
        <f>SUMPRODUCT((M_BOM[RM_Code]=$A65)*M_BOM[RM_Qty_Per_Batch]*IFERROR(INDEX(PP_Grid[#Data],M_BOM[PPGridRow],43),0))</f>
        <v/>
      </c>
      <c r="AR65">
        <f>SUMPRODUCT((M_BOM[RM_Code]=$A65)*M_BOM[RM_Qty_Per_Batch]*IFERROR(INDEX(PP_Grid[#Data],M_BOM[PPGridRow],44),0))</f>
        <v/>
      </c>
      <c r="AS65">
        <f>SUMPRODUCT((M_BOM[RM_Code]=$A65)*M_BOM[RM_Qty_Per_Batch]*IFERROR(INDEX(PP_Grid[#Data],M_BOM[PPGridRow],45),0))</f>
        <v/>
      </c>
      <c r="AT65">
        <f>SUMPRODUCT((M_BOM[RM_Code]=$A65)*M_BOM[RM_Qty_Per_Batch]*IFERROR(INDEX(PP_Grid[#Data],M_BOM[PPGridRow],46),0))</f>
        <v/>
      </c>
      <c r="AU65">
        <f>SUMPRODUCT((M_BOM[RM_Code]=$A65)*M_BOM[RM_Qty_Per_Batch]*IFERROR(INDEX(PP_Grid[#Data],M_BOM[PPGridRow],47),0))</f>
        <v/>
      </c>
      <c r="AV65">
        <f>SUMPRODUCT((M_BOM[RM_Code]=$A65)*M_BOM[RM_Qty_Per_Batch]*IFERROR(INDEX(PP_Grid[#Data],M_BOM[PPGridRow],48),0))</f>
        <v/>
      </c>
      <c r="AW65">
        <f>SUMPRODUCT((M_BOM[RM_Code]=$A65)*M_BOM[RM_Qty_Per_Batch]*IFERROR(INDEX(PP_Grid[#Data],M_BOM[PPGridRow],49),0))</f>
        <v/>
      </c>
      <c r="AX65">
        <f>SUMPRODUCT((M_BOM[RM_Code]=$A65)*M_BOM[RM_Qty_Per_Batch]*IFERROR(INDEX(PP_Grid[#Data],M_BOM[PPGridRow],50),0))</f>
        <v/>
      </c>
      <c r="AY65">
        <f>SUMPRODUCT((M_BOM[RM_Code]=$A65)*M_BOM[RM_Qty_Per_Batch]*IFERROR(INDEX(PP_Grid[#Data],M_BOM[PPGridRow],51),0))</f>
        <v/>
      </c>
      <c r="AZ65">
        <f>SUMPRODUCT((M_BOM[RM_Code]=$A65)*M_BOM[RM_Qty_Per_Batch]*IFERROR(INDEX(PP_Grid[#Data],M_BOM[PPGridRow],52),0))</f>
        <v/>
      </c>
      <c r="BA65">
        <f>SUMPRODUCT((M_BOM[RM_Code]=$A65)*M_BOM[RM_Qty_Per_Batch]*IFERROR(INDEX(PP_Grid[#Data],M_BOM[PPGridRow],53),0))</f>
        <v/>
      </c>
      <c r="BB65">
        <f>SUMPRODUCT((M_BOM[RM_Code]=$A65)*M_BOM[RM_Qty_Per_Batch]*IFERROR(INDEX(PP_Grid[#Data],M_BOM[PPGridRow],54),0))</f>
        <v/>
      </c>
      <c r="BC65">
        <f>SUMPRODUCT((M_BOM[RM_Code]=$A65)*M_BOM[RM_Qty_Per_Batch]*IFERROR(INDEX(PP_Grid[#Data],M_BOM[PPGridRow],55),0))</f>
        <v/>
      </c>
      <c r="BD65">
        <f>SUMPRODUCT((M_BOM[RM_Code]=$A65)*M_BOM[RM_Qty_Per_Batch]*IFERROR(INDEX(PP_Grid[#Data],M_BOM[PPGridRow],56),0))</f>
        <v/>
      </c>
      <c r="BE65">
        <f>SUMPRODUCT((M_BOM[RM_Code]=$A65)*M_BOM[RM_Qty_Per_Batch]*IFERROR(INDEX(PP_Grid[#Data],M_BOM[PPGridRow],57),0))</f>
        <v/>
      </c>
      <c r="BF65">
        <f>SUMPRODUCT((M_BOM[RM_Code]=$A65)*M_BOM[RM_Qty_Per_Batch]*IFERROR(INDEX(PP_Grid[#Data],M_BOM[PPGridRow],58),0))</f>
        <v/>
      </c>
      <c r="BG65">
        <f>SUMPRODUCT((M_BOM[RM_Code]=$A65)*M_BOM[RM_Qty_Per_Batch]*IFERROR(INDEX(PP_Grid[#Data],M_BOM[PPGridRow],59),0))</f>
        <v/>
      </c>
      <c r="BH65">
        <f>SUMPRODUCT((M_BOM[RM_Code]=$A65)*M_BOM[RM_Qty_Per_Batch]*IFERROR(INDEX(PP_Grid[#Data],M_BOM[PPGridRow],60),0))</f>
        <v/>
      </c>
      <c r="BI65">
        <f>SUMPRODUCT((M_BOM[RM_Code]=$A65)*M_BOM[RM_Qty_Per_Batch]*IFERROR(INDEX(PP_Grid[#Data],M_BOM[PPGridRow],61),0))</f>
        <v/>
      </c>
      <c r="BJ65">
        <f>SUMPRODUCT((M_BOM[RM_Code]=$A65)*M_BOM[RM_Qty_Per_Batch]*IFERROR(INDEX(PP_Grid[#Data],M_BOM[PPGridRow],62),0))</f>
        <v/>
      </c>
      <c r="BK65">
        <f>SUMPRODUCT((M_BOM[RM_Code]=$A65)*M_BOM[RM_Qty_Per_Batch]*IFERROR(INDEX(PP_Grid[#Data],M_BOM[PPGridRow],63),0))</f>
        <v/>
      </c>
      <c r="BL65">
        <f>SUMPRODUCT((M_BOM[RM_Code]=$A65)*M_BOM[RM_Qty_Per_Batch]*IFERROR(INDEX(PP_Grid[#Data],M_BOM[PPGridRow],64),0))</f>
        <v/>
      </c>
      <c r="BM65">
        <f>SUMPRODUCT((M_BOM[RM_Code]=$A65)*M_BOM[RM_Qty_Per_Batch]*IFERROR(INDEX(PP_Grid[#Data],M_BOM[PPGridRow],65),0))</f>
        <v/>
      </c>
      <c r="BN65">
        <f>SUMPRODUCT((M_BOM[RM_Code]=$A65)*M_BOM[RM_Qty_Per_Batch]*IFERROR(INDEX(PP_Grid[#Data],M_BOM[PPGridRow],66),0))</f>
        <v/>
      </c>
      <c r="BO65">
        <f>SUMPRODUCT((M_BOM[RM_Code]=$A65)*M_BOM[RM_Qty_Per_Batch]*IFERROR(INDEX(PP_Grid[#Data],M_BOM[PPGridRow],67),0))</f>
        <v/>
      </c>
      <c r="BP65">
        <f>SUMPRODUCT((M_BOM[RM_Code]=$A65)*M_BOM[RM_Qty_Per_Batch]*IFERROR(INDEX(PP_Grid[#Data],M_BOM[PPGridRow],68),0))</f>
        <v/>
      </c>
      <c r="BQ65">
        <f>SUMPRODUCT((M_BOM[RM_Code]=$A65)*M_BOM[RM_Qty_Per_Batch]*IFERROR(INDEX(PP_Grid[#Data],M_BOM[PPGridRow],69),0))</f>
        <v/>
      </c>
      <c r="BR65">
        <f>SUMPRODUCT((M_BOM[RM_Code]=$A65)*M_BOM[RM_Qty_Per_Batch]*IFERROR(INDEX(PP_Grid[#Data],M_BOM[PPGridRow],70),0))</f>
        <v/>
      </c>
      <c r="BS65">
        <f>SUMPRODUCT((M_BOM[RM_Code]=$A65)*M_BOM[RM_Qty_Per_Batch]*IFERROR(INDEX(PP_Grid[#Data],M_BOM[PPGridRow],71),0))</f>
        <v/>
      </c>
      <c r="BT65">
        <f>SUMPRODUCT((M_BOM[RM_Code]=$A65)*M_BOM[RM_Qty_Per_Batch]*IFERROR(INDEX(PP_Grid[#Data],M_BOM[PPGridRow],72),0))</f>
        <v/>
      </c>
      <c r="BU65">
        <f>SUMPRODUCT((M_BOM[RM_Code]=$A65)*M_BOM[RM_Qty_Per_Batch]*IFERROR(INDEX(PP_Grid[#Data],M_BOM[PPGridRow],73),0))</f>
        <v/>
      </c>
      <c r="BV65">
        <f>SUMPRODUCT((M_BOM[RM_Code]=$A65)*M_BOM[RM_Qty_Per_Batch]*IFERROR(INDEX(PP_Grid[#Data],M_BOM[PPGridRow],74),0))</f>
        <v/>
      </c>
      <c r="BW65">
        <f>SUMPRODUCT((M_BOM[RM_Code]=$A65)*M_BOM[RM_Qty_Per_Batch]*IFERROR(INDEX(PP_Grid[#Data],M_BOM[PPGridRow],75),0))</f>
        <v/>
      </c>
      <c r="BX65">
        <f>SUMPRODUCT((M_BOM[RM_Code]=$A65)*M_BOM[RM_Qty_Per_Batch]*IFERROR(INDEX(PP_Grid[#Data],M_BOM[PPGridRow],76),0))</f>
        <v/>
      </c>
      <c r="BY65">
        <f>SUMPRODUCT((M_BOM[RM_Code]=$A65)*M_BOM[RM_Qty_Per_Batch]*IFERROR(INDEX(PP_Grid[#Data],M_BOM[PPGridRow],77),0))</f>
        <v/>
      </c>
      <c r="BZ65">
        <f>SUMPRODUCT((M_BOM[RM_Code]=$A65)*M_BOM[RM_Qty_Per_Batch]*IFERROR(INDEX(PP_Grid[#Data],M_BOM[PPGridRow],78),0))</f>
        <v/>
      </c>
      <c r="CA65">
        <f>SUMPRODUCT((M_BOM[RM_Code]=$A65)*M_BOM[RM_Qty_Per_Batch]*IFERROR(INDEX(PP_Grid[#Data],M_BOM[PPGridRow],79),0))</f>
        <v/>
      </c>
      <c r="CB65">
        <f>SUMPRODUCT((M_BOM[RM_Code]=$A65)*M_BOM[RM_Qty_Per_Batch]*IFERROR(INDEX(PP_Grid[#Data],M_BOM[PPGridRow],80),0))</f>
        <v/>
      </c>
      <c r="CC65">
        <f>SUMPRODUCT((M_BOM[RM_Code]=$A65)*M_BOM[RM_Qty_Per_Batch]*IFERROR(INDEX(PP_Grid[#Data],M_BOM[PPGridRow],81),0))</f>
        <v/>
      </c>
      <c r="CD65">
        <f>SUMPRODUCT((M_BOM[RM_Code]=$A65)*M_BOM[RM_Qty_Per_Batch]*IFERROR(INDEX(PP_Grid[#Data],M_BOM[PPGridRow],82),0))</f>
        <v/>
      </c>
      <c r="CE65">
        <f>SUMPRODUCT((M_BOM[RM_Code]=$A65)*M_BOM[RM_Qty_Per_Batch]*IFERROR(INDEX(PP_Grid[#Data],M_BOM[PPGridRow],83),0))</f>
        <v/>
      </c>
      <c r="CF65">
        <f>SUMPRODUCT((M_BOM[RM_Code]=$A65)*M_BOM[RM_Qty_Per_Batch]*IFERROR(INDEX(PP_Grid[#Data],M_BOM[PPGridRow],84),0))</f>
        <v/>
      </c>
      <c r="CG65">
        <f>SUMPRODUCT((M_BOM[RM_Code]=$A65)*M_BOM[RM_Qty_Per_Batch]*IFERROR(INDEX(PP_Grid[#Data],M_BOM[PPGridRow],85),0))</f>
        <v/>
      </c>
      <c r="CH65">
        <f>SUMPRODUCT((M_BOM[RM_Code]=$A65)*M_BOM[RM_Qty_Per_Batch]*IFERROR(INDEX(PP_Grid[#Data],M_BOM[PPGridRow],86),0))</f>
        <v/>
      </c>
      <c r="CI65">
        <f>SUMPRODUCT((M_BOM[RM_Code]=$A65)*M_BOM[RM_Qty_Per_Batch]*IFERROR(INDEX(PP_Grid[#Data],M_BOM[PPGridRow],87),0))</f>
        <v/>
      </c>
      <c r="CJ65">
        <f>SUMPRODUCT((M_BOM[RM_Code]=$A65)*M_BOM[RM_Qty_Per_Batch]*IFERROR(INDEX(PP_Grid[#Data],M_BOM[PPGridRow],88),0))</f>
        <v/>
      </c>
      <c r="CK65">
        <f>SUMPRODUCT((M_BOM[RM_Code]=$A65)*M_BOM[RM_Qty_Per_Batch]*IFERROR(INDEX(PP_Grid[#Data],M_BOM[PPGridRow],89),0))</f>
        <v/>
      </c>
      <c r="CL65">
        <f>SUMPRODUCT((M_BOM[RM_Code]=$A65)*M_BOM[RM_Qty_Per_Batch]*IFERROR(INDEX(PP_Grid[#Data],M_BOM[PPGridRow],90),0))</f>
        <v/>
      </c>
      <c r="CM65">
        <f>SUMPRODUCT((M_BOM[RM_Code]=$A65)*M_BOM[RM_Qty_Per_Batch]*IFERROR(INDEX(PP_Grid[#Data],M_BOM[PPGridRow],91),0))</f>
        <v/>
      </c>
      <c r="CN65">
        <f>SUMPRODUCT((M_BOM[RM_Code]=$A65)*M_BOM[RM_Qty_Per_Batch]*IFERROR(INDEX(PP_Grid[#Data],M_BOM[PPGridRow],92),0))</f>
        <v/>
      </c>
      <c r="CO65">
        <f>SUMPRODUCT((M_BOM[RM_Code]=$A65)*M_BOM[RM_Qty_Per_Batch]*IFERROR(INDEX(PP_Grid[#Data],M_BOM[PPGridRow],93),0))</f>
        <v/>
      </c>
      <c r="CP65">
        <f>SUMPRODUCT((M_BOM[RM_Code]=$A65)*M_BOM[RM_Qty_Per_Batch]*IFERROR(INDEX(PP_Grid[#Data],M_BOM[PPGridRow],94),0))</f>
        <v/>
      </c>
      <c r="CQ65">
        <f>SUMPRODUCT((M_BOM[RM_Code]=$A65)*M_BOM[RM_Qty_Per_Batch]*IFERROR(INDEX(PP_Grid[#Data],M_BOM[PPGridRow],95),0))</f>
        <v/>
      </c>
      <c r="CR65">
        <f>SUMPRODUCT((M_BOM[RM_Code]=$A65)*M_BOM[RM_Qty_Per_Batch]*IFERROR(INDEX(PP_Grid[#Data],M_BOM[PPGridRow],96),0))</f>
        <v/>
      </c>
      <c r="CS65">
        <f>SUMPRODUCT((M_BOM[RM_Code]=$A65)*M_BOM[RM_Qty_Per_Batch]*IFERROR(INDEX(PP_Grid[#Data],M_BOM[PPGridRow],97),0))</f>
        <v/>
      </c>
      <c r="CT65">
        <f>SUMPRODUCT((M_BOM[RM_Code]=$A65)*M_BOM[RM_Qty_Per_Batch]*IFERROR(INDEX(PP_Grid[#Data],M_BOM[PPGridRow],98),0))</f>
        <v/>
      </c>
      <c r="CU65">
        <f>SUMPRODUCT((M_BOM[RM_Code]=$A65)*M_BOM[RM_Qty_Per_Batch]*IFERROR(INDEX(PP_Grid[#Data],M_BOM[PPGridRow],99),0))</f>
        <v/>
      </c>
      <c r="CV65">
        <f>SUMPRODUCT((M_BOM[RM_Code]=$A65)*M_BOM[RM_Qty_Per_Batch]*IFERROR(INDEX(PP_Grid[#Data],M_BOM[PPGridRow],100),0))</f>
        <v/>
      </c>
      <c r="CW65">
        <f>SUMPRODUCT((M_BOM[RM_Code]=$A65)*M_BOM[RM_Qty_Per_Batch]*IFERROR(INDEX(PP_Grid[#Data],M_BOM[PPGridRow],101),0))</f>
        <v/>
      </c>
      <c r="CX65">
        <f>SUMPRODUCT((M_BOM[RM_Code]=$A65)*M_BOM[RM_Qty_Per_Batch]*IFERROR(INDEX(PP_Grid[#Data],M_BOM[PPGridRow],102),0))</f>
        <v/>
      </c>
      <c r="CY65">
        <f>SUMPRODUCT((M_BOM[RM_Code]=$A65)*M_BOM[RM_Qty_Per_Batch]*IFERROR(INDEX(PP_Grid[#Data],M_BOM[PPGridRow],103),0))</f>
        <v/>
      </c>
      <c r="CZ65">
        <f>SUMPRODUCT((M_BOM[RM_Code]=$A65)*M_BOM[RM_Qty_Per_Batch]*IFERROR(INDEX(PP_Grid[#Data],M_BOM[PPGridRow],104),0))</f>
        <v/>
      </c>
      <c r="DA65">
        <f>SUMPRODUCT((M_BOM[RM_Code]=$A65)*M_BOM[RM_Qty_Per_Batch]*IFERROR(INDEX(PP_Grid[#Data],M_BOM[PPGridRow],105),0))</f>
        <v/>
      </c>
    </row>
    <row r="66">
      <c r="A66" t="inlineStr">
        <is>
          <t>V03</t>
        </is>
      </c>
      <c r="B66">
        <f>SUMPRODUCT((M_BOM[RM_Code]=$A66)*M_BOM[RM_Qty_Per_Batch]*IFERROR(INDEX(PP_Grid[#Data],M_BOM[PPGridRow],2),0))</f>
        <v/>
      </c>
      <c r="C66">
        <f>SUMPRODUCT((M_BOM[RM_Code]=$A66)*M_BOM[RM_Qty_Per_Batch]*IFERROR(INDEX(PP_Grid[#Data],M_BOM[PPGridRow],3),0))</f>
        <v/>
      </c>
      <c r="D66">
        <f>SUMPRODUCT((M_BOM[RM_Code]=$A66)*M_BOM[RM_Qty_Per_Batch]*IFERROR(INDEX(PP_Grid[#Data],M_BOM[PPGridRow],4),0))</f>
        <v/>
      </c>
      <c r="E66">
        <f>SUMPRODUCT((M_BOM[RM_Code]=$A66)*M_BOM[RM_Qty_Per_Batch]*IFERROR(INDEX(PP_Grid[#Data],M_BOM[PPGridRow],5),0))</f>
        <v/>
      </c>
      <c r="F66">
        <f>SUMPRODUCT((M_BOM[RM_Code]=$A66)*M_BOM[RM_Qty_Per_Batch]*IFERROR(INDEX(PP_Grid[#Data],M_BOM[PPGridRow],6),0))</f>
        <v/>
      </c>
      <c r="G66">
        <f>SUMPRODUCT((M_BOM[RM_Code]=$A66)*M_BOM[RM_Qty_Per_Batch]*IFERROR(INDEX(PP_Grid[#Data],M_BOM[PPGridRow],7),0))</f>
        <v/>
      </c>
      <c r="H66">
        <f>SUMPRODUCT((M_BOM[RM_Code]=$A66)*M_BOM[RM_Qty_Per_Batch]*IFERROR(INDEX(PP_Grid[#Data],M_BOM[PPGridRow],8),0))</f>
        <v/>
      </c>
      <c r="I66">
        <f>SUMPRODUCT((M_BOM[RM_Code]=$A66)*M_BOM[RM_Qty_Per_Batch]*IFERROR(INDEX(PP_Grid[#Data],M_BOM[PPGridRow],9),0))</f>
        <v/>
      </c>
      <c r="J66">
        <f>SUMPRODUCT((M_BOM[RM_Code]=$A66)*M_BOM[RM_Qty_Per_Batch]*IFERROR(INDEX(PP_Grid[#Data],M_BOM[PPGridRow],10),0))</f>
        <v/>
      </c>
      <c r="K66">
        <f>SUMPRODUCT((M_BOM[RM_Code]=$A66)*M_BOM[RM_Qty_Per_Batch]*IFERROR(INDEX(PP_Grid[#Data],M_BOM[PPGridRow],11),0))</f>
        <v/>
      </c>
      <c r="L66">
        <f>SUMPRODUCT((M_BOM[RM_Code]=$A66)*M_BOM[RM_Qty_Per_Batch]*IFERROR(INDEX(PP_Grid[#Data],M_BOM[PPGridRow],12),0))</f>
        <v/>
      </c>
      <c r="M66">
        <f>SUMPRODUCT((M_BOM[RM_Code]=$A66)*M_BOM[RM_Qty_Per_Batch]*IFERROR(INDEX(PP_Grid[#Data],M_BOM[PPGridRow],13),0))</f>
        <v/>
      </c>
      <c r="N66">
        <f>SUMPRODUCT((M_BOM[RM_Code]=$A66)*M_BOM[RM_Qty_Per_Batch]*IFERROR(INDEX(PP_Grid[#Data],M_BOM[PPGridRow],14),0))</f>
        <v/>
      </c>
      <c r="O66">
        <f>SUMPRODUCT((M_BOM[RM_Code]=$A66)*M_BOM[RM_Qty_Per_Batch]*IFERROR(INDEX(PP_Grid[#Data],M_BOM[PPGridRow],15),0))</f>
        <v/>
      </c>
      <c r="P66">
        <f>SUMPRODUCT((M_BOM[RM_Code]=$A66)*M_BOM[RM_Qty_Per_Batch]*IFERROR(INDEX(PP_Grid[#Data],M_BOM[PPGridRow],16),0))</f>
        <v/>
      </c>
      <c r="Q66">
        <f>SUMPRODUCT((M_BOM[RM_Code]=$A66)*M_BOM[RM_Qty_Per_Batch]*IFERROR(INDEX(PP_Grid[#Data],M_BOM[PPGridRow],17),0))</f>
        <v/>
      </c>
      <c r="R66">
        <f>SUMPRODUCT((M_BOM[RM_Code]=$A66)*M_BOM[RM_Qty_Per_Batch]*IFERROR(INDEX(PP_Grid[#Data],M_BOM[PPGridRow],18),0))</f>
        <v/>
      </c>
      <c r="S66">
        <f>SUMPRODUCT((M_BOM[RM_Code]=$A66)*M_BOM[RM_Qty_Per_Batch]*IFERROR(INDEX(PP_Grid[#Data],M_BOM[PPGridRow],19),0))</f>
        <v/>
      </c>
      <c r="T66">
        <f>SUMPRODUCT((M_BOM[RM_Code]=$A66)*M_BOM[RM_Qty_Per_Batch]*IFERROR(INDEX(PP_Grid[#Data],M_BOM[PPGridRow],20),0))</f>
        <v/>
      </c>
      <c r="U66">
        <f>SUMPRODUCT((M_BOM[RM_Code]=$A66)*M_BOM[RM_Qty_Per_Batch]*IFERROR(INDEX(PP_Grid[#Data],M_BOM[PPGridRow],21),0))</f>
        <v/>
      </c>
      <c r="V66">
        <f>SUMPRODUCT((M_BOM[RM_Code]=$A66)*M_BOM[RM_Qty_Per_Batch]*IFERROR(INDEX(PP_Grid[#Data],M_BOM[PPGridRow],22),0))</f>
        <v/>
      </c>
      <c r="W66">
        <f>SUMPRODUCT((M_BOM[RM_Code]=$A66)*M_BOM[RM_Qty_Per_Batch]*IFERROR(INDEX(PP_Grid[#Data],M_BOM[PPGridRow],23),0))</f>
        <v/>
      </c>
      <c r="X66">
        <f>SUMPRODUCT((M_BOM[RM_Code]=$A66)*M_BOM[RM_Qty_Per_Batch]*IFERROR(INDEX(PP_Grid[#Data],M_BOM[PPGridRow],24),0))</f>
        <v/>
      </c>
      <c r="Y66">
        <f>SUMPRODUCT((M_BOM[RM_Code]=$A66)*M_BOM[RM_Qty_Per_Batch]*IFERROR(INDEX(PP_Grid[#Data],M_BOM[PPGridRow],25),0))</f>
        <v/>
      </c>
      <c r="Z66">
        <f>SUMPRODUCT((M_BOM[RM_Code]=$A66)*M_BOM[RM_Qty_Per_Batch]*IFERROR(INDEX(PP_Grid[#Data],M_BOM[PPGridRow],26),0))</f>
        <v/>
      </c>
      <c r="AA66">
        <f>SUMPRODUCT((M_BOM[RM_Code]=$A66)*M_BOM[RM_Qty_Per_Batch]*IFERROR(INDEX(PP_Grid[#Data],M_BOM[PPGridRow],27),0))</f>
        <v/>
      </c>
      <c r="AB66">
        <f>SUMPRODUCT((M_BOM[RM_Code]=$A66)*M_BOM[RM_Qty_Per_Batch]*IFERROR(INDEX(PP_Grid[#Data],M_BOM[PPGridRow],28),0))</f>
        <v/>
      </c>
      <c r="AC66">
        <f>SUMPRODUCT((M_BOM[RM_Code]=$A66)*M_BOM[RM_Qty_Per_Batch]*IFERROR(INDEX(PP_Grid[#Data],M_BOM[PPGridRow],29),0))</f>
        <v/>
      </c>
      <c r="AD66">
        <f>SUMPRODUCT((M_BOM[RM_Code]=$A66)*M_BOM[RM_Qty_Per_Batch]*IFERROR(INDEX(PP_Grid[#Data],M_BOM[PPGridRow],30),0))</f>
        <v/>
      </c>
      <c r="AE66">
        <f>SUMPRODUCT((M_BOM[RM_Code]=$A66)*M_BOM[RM_Qty_Per_Batch]*IFERROR(INDEX(PP_Grid[#Data],M_BOM[PPGridRow],31),0))</f>
        <v/>
      </c>
      <c r="AF66">
        <f>SUMPRODUCT((M_BOM[RM_Code]=$A66)*M_BOM[RM_Qty_Per_Batch]*IFERROR(INDEX(PP_Grid[#Data],M_BOM[PPGridRow],32),0))</f>
        <v/>
      </c>
      <c r="AG66">
        <f>SUMPRODUCT((M_BOM[RM_Code]=$A66)*M_BOM[RM_Qty_Per_Batch]*IFERROR(INDEX(PP_Grid[#Data],M_BOM[PPGridRow],33),0))</f>
        <v/>
      </c>
      <c r="AH66">
        <f>SUMPRODUCT((M_BOM[RM_Code]=$A66)*M_BOM[RM_Qty_Per_Batch]*IFERROR(INDEX(PP_Grid[#Data],M_BOM[PPGridRow],34),0))</f>
        <v/>
      </c>
      <c r="AI66">
        <f>SUMPRODUCT((M_BOM[RM_Code]=$A66)*M_BOM[RM_Qty_Per_Batch]*IFERROR(INDEX(PP_Grid[#Data],M_BOM[PPGridRow],35),0))</f>
        <v/>
      </c>
      <c r="AJ66">
        <f>SUMPRODUCT((M_BOM[RM_Code]=$A66)*M_BOM[RM_Qty_Per_Batch]*IFERROR(INDEX(PP_Grid[#Data],M_BOM[PPGridRow],36),0))</f>
        <v/>
      </c>
      <c r="AK66">
        <f>SUMPRODUCT((M_BOM[RM_Code]=$A66)*M_BOM[RM_Qty_Per_Batch]*IFERROR(INDEX(PP_Grid[#Data],M_BOM[PPGridRow],37),0))</f>
        <v/>
      </c>
      <c r="AL66">
        <f>SUMPRODUCT((M_BOM[RM_Code]=$A66)*M_BOM[RM_Qty_Per_Batch]*IFERROR(INDEX(PP_Grid[#Data],M_BOM[PPGridRow],38),0))</f>
        <v/>
      </c>
      <c r="AM66">
        <f>SUMPRODUCT((M_BOM[RM_Code]=$A66)*M_BOM[RM_Qty_Per_Batch]*IFERROR(INDEX(PP_Grid[#Data],M_BOM[PPGridRow],39),0))</f>
        <v/>
      </c>
      <c r="AN66">
        <f>SUMPRODUCT((M_BOM[RM_Code]=$A66)*M_BOM[RM_Qty_Per_Batch]*IFERROR(INDEX(PP_Grid[#Data],M_BOM[PPGridRow],40),0))</f>
        <v/>
      </c>
      <c r="AO66">
        <f>SUMPRODUCT((M_BOM[RM_Code]=$A66)*M_BOM[RM_Qty_Per_Batch]*IFERROR(INDEX(PP_Grid[#Data],M_BOM[PPGridRow],41),0))</f>
        <v/>
      </c>
      <c r="AP66">
        <f>SUMPRODUCT((M_BOM[RM_Code]=$A66)*M_BOM[RM_Qty_Per_Batch]*IFERROR(INDEX(PP_Grid[#Data],M_BOM[PPGridRow],42),0))</f>
        <v/>
      </c>
      <c r="AQ66">
        <f>SUMPRODUCT((M_BOM[RM_Code]=$A66)*M_BOM[RM_Qty_Per_Batch]*IFERROR(INDEX(PP_Grid[#Data],M_BOM[PPGridRow],43),0))</f>
        <v/>
      </c>
      <c r="AR66">
        <f>SUMPRODUCT((M_BOM[RM_Code]=$A66)*M_BOM[RM_Qty_Per_Batch]*IFERROR(INDEX(PP_Grid[#Data],M_BOM[PPGridRow],44),0))</f>
        <v/>
      </c>
      <c r="AS66">
        <f>SUMPRODUCT((M_BOM[RM_Code]=$A66)*M_BOM[RM_Qty_Per_Batch]*IFERROR(INDEX(PP_Grid[#Data],M_BOM[PPGridRow],45),0))</f>
        <v/>
      </c>
      <c r="AT66">
        <f>SUMPRODUCT((M_BOM[RM_Code]=$A66)*M_BOM[RM_Qty_Per_Batch]*IFERROR(INDEX(PP_Grid[#Data],M_BOM[PPGridRow],46),0))</f>
        <v/>
      </c>
      <c r="AU66">
        <f>SUMPRODUCT((M_BOM[RM_Code]=$A66)*M_BOM[RM_Qty_Per_Batch]*IFERROR(INDEX(PP_Grid[#Data],M_BOM[PPGridRow],47),0))</f>
        <v/>
      </c>
      <c r="AV66">
        <f>SUMPRODUCT((M_BOM[RM_Code]=$A66)*M_BOM[RM_Qty_Per_Batch]*IFERROR(INDEX(PP_Grid[#Data],M_BOM[PPGridRow],48),0))</f>
        <v/>
      </c>
      <c r="AW66">
        <f>SUMPRODUCT((M_BOM[RM_Code]=$A66)*M_BOM[RM_Qty_Per_Batch]*IFERROR(INDEX(PP_Grid[#Data],M_BOM[PPGridRow],49),0))</f>
        <v/>
      </c>
      <c r="AX66">
        <f>SUMPRODUCT((M_BOM[RM_Code]=$A66)*M_BOM[RM_Qty_Per_Batch]*IFERROR(INDEX(PP_Grid[#Data],M_BOM[PPGridRow],50),0))</f>
        <v/>
      </c>
      <c r="AY66">
        <f>SUMPRODUCT((M_BOM[RM_Code]=$A66)*M_BOM[RM_Qty_Per_Batch]*IFERROR(INDEX(PP_Grid[#Data],M_BOM[PPGridRow],51),0))</f>
        <v/>
      </c>
      <c r="AZ66">
        <f>SUMPRODUCT((M_BOM[RM_Code]=$A66)*M_BOM[RM_Qty_Per_Batch]*IFERROR(INDEX(PP_Grid[#Data],M_BOM[PPGridRow],52),0))</f>
        <v/>
      </c>
      <c r="BA66">
        <f>SUMPRODUCT((M_BOM[RM_Code]=$A66)*M_BOM[RM_Qty_Per_Batch]*IFERROR(INDEX(PP_Grid[#Data],M_BOM[PPGridRow],53),0))</f>
        <v/>
      </c>
      <c r="BB66">
        <f>SUMPRODUCT((M_BOM[RM_Code]=$A66)*M_BOM[RM_Qty_Per_Batch]*IFERROR(INDEX(PP_Grid[#Data],M_BOM[PPGridRow],54),0))</f>
        <v/>
      </c>
      <c r="BC66">
        <f>SUMPRODUCT((M_BOM[RM_Code]=$A66)*M_BOM[RM_Qty_Per_Batch]*IFERROR(INDEX(PP_Grid[#Data],M_BOM[PPGridRow],55),0))</f>
        <v/>
      </c>
      <c r="BD66">
        <f>SUMPRODUCT((M_BOM[RM_Code]=$A66)*M_BOM[RM_Qty_Per_Batch]*IFERROR(INDEX(PP_Grid[#Data],M_BOM[PPGridRow],56),0))</f>
        <v/>
      </c>
      <c r="BE66">
        <f>SUMPRODUCT((M_BOM[RM_Code]=$A66)*M_BOM[RM_Qty_Per_Batch]*IFERROR(INDEX(PP_Grid[#Data],M_BOM[PPGridRow],57),0))</f>
        <v/>
      </c>
      <c r="BF66">
        <f>SUMPRODUCT((M_BOM[RM_Code]=$A66)*M_BOM[RM_Qty_Per_Batch]*IFERROR(INDEX(PP_Grid[#Data],M_BOM[PPGridRow],58),0))</f>
        <v/>
      </c>
      <c r="BG66">
        <f>SUMPRODUCT((M_BOM[RM_Code]=$A66)*M_BOM[RM_Qty_Per_Batch]*IFERROR(INDEX(PP_Grid[#Data],M_BOM[PPGridRow],59),0))</f>
        <v/>
      </c>
      <c r="BH66">
        <f>SUMPRODUCT((M_BOM[RM_Code]=$A66)*M_BOM[RM_Qty_Per_Batch]*IFERROR(INDEX(PP_Grid[#Data],M_BOM[PPGridRow],60),0))</f>
        <v/>
      </c>
      <c r="BI66">
        <f>SUMPRODUCT((M_BOM[RM_Code]=$A66)*M_BOM[RM_Qty_Per_Batch]*IFERROR(INDEX(PP_Grid[#Data],M_BOM[PPGridRow],61),0))</f>
        <v/>
      </c>
      <c r="BJ66">
        <f>SUMPRODUCT((M_BOM[RM_Code]=$A66)*M_BOM[RM_Qty_Per_Batch]*IFERROR(INDEX(PP_Grid[#Data],M_BOM[PPGridRow],62),0))</f>
        <v/>
      </c>
      <c r="BK66">
        <f>SUMPRODUCT((M_BOM[RM_Code]=$A66)*M_BOM[RM_Qty_Per_Batch]*IFERROR(INDEX(PP_Grid[#Data],M_BOM[PPGridRow],63),0))</f>
        <v/>
      </c>
      <c r="BL66">
        <f>SUMPRODUCT((M_BOM[RM_Code]=$A66)*M_BOM[RM_Qty_Per_Batch]*IFERROR(INDEX(PP_Grid[#Data],M_BOM[PPGridRow],64),0))</f>
        <v/>
      </c>
      <c r="BM66">
        <f>SUMPRODUCT((M_BOM[RM_Code]=$A66)*M_BOM[RM_Qty_Per_Batch]*IFERROR(INDEX(PP_Grid[#Data],M_BOM[PPGridRow],65),0))</f>
        <v/>
      </c>
      <c r="BN66">
        <f>SUMPRODUCT((M_BOM[RM_Code]=$A66)*M_BOM[RM_Qty_Per_Batch]*IFERROR(INDEX(PP_Grid[#Data],M_BOM[PPGridRow],66),0))</f>
        <v/>
      </c>
      <c r="BO66">
        <f>SUMPRODUCT((M_BOM[RM_Code]=$A66)*M_BOM[RM_Qty_Per_Batch]*IFERROR(INDEX(PP_Grid[#Data],M_BOM[PPGridRow],67),0))</f>
        <v/>
      </c>
      <c r="BP66">
        <f>SUMPRODUCT((M_BOM[RM_Code]=$A66)*M_BOM[RM_Qty_Per_Batch]*IFERROR(INDEX(PP_Grid[#Data],M_BOM[PPGridRow],68),0))</f>
        <v/>
      </c>
      <c r="BQ66">
        <f>SUMPRODUCT((M_BOM[RM_Code]=$A66)*M_BOM[RM_Qty_Per_Batch]*IFERROR(INDEX(PP_Grid[#Data],M_BOM[PPGridRow],69),0))</f>
        <v/>
      </c>
      <c r="BR66">
        <f>SUMPRODUCT((M_BOM[RM_Code]=$A66)*M_BOM[RM_Qty_Per_Batch]*IFERROR(INDEX(PP_Grid[#Data],M_BOM[PPGridRow],70),0))</f>
        <v/>
      </c>
      <c r="BS66">
        <f>SUMPRODUCT((M_BOM[RM_Code]=$A66)*M_BOM[RM_Qty_Per_Batch]*IFERROR(INDEX(PP_Grid[#Data],M_BOM[PPGridRow],71),0))</f>
        <v/>
      </c>
      <c r="BT66">
        <f>SUMPRODUCT((M_BOM[RM_Code]=$A66)*M_BOM[RM_Qty_Per_Batch]*IFERROR(INDEX(PP_Grid[#Data],M_BOM[PPGridRow],72),0))</f>
        <v/>
      </c>
      <c r="BU66">
        <f>SUMPRODUCT((M_BOM[RM_Code]=$A66)*M_BOM[RM_Qty_Per_Batch]*IFERROR(INDEX(PP_Grid[#Data],M_BOM[PPGridRow],73),0))</f>
        <v/>
      </c>
      <c r="BV66">
        <f>SUMPRODUCT((M_BOM[RM_Code]=$A66)*M_BOM[RM_Qty_Per_Batch]*IFERROR(INDEX(PP_Grid[#Data],M_BOM[PPGridRow],74),0))</f>
        <v/>
      </c>
      <c r="BW66">
        <f>SUMPRODUCT((M_BOM[RM_Code]=$A66)*M_BOM[RM_Qty_Per_Batch]*IFERROR(INDEX(PP_Grid[#Data],M_BOM[PPGridRow],75),0))</f>
        <v/>
      </c>
      <c r="BX66">
        <f>SUMPRODUCT((M_BOM[RM_Code]=$A66)*M_BOM[RM_Qty_Per_Batch]*IFERROR(INDEX(PP_Grid[#Data],M_BOM[PPGridRow],76),0))</f>
        <v/>
      </c>
      <c r="BY66">
        <f>SUMPRODUCT((M_BOM[RM_Code]=$A66)*M_BOM[RM_Qty_Per_Batch]*IFERROR(INDEX(PP_Grid[#Data],M_BOM[PPGridRow],77),0))</f>
        <v/>
      </c>
      <c r="BZ66">
        <f>SUMPRODUCT((M_BOM[RM_Code]=$A66)*M_BOM[RM_Qty_Per_Batch]*IFERROR(INDEX(PP_Grid[#Data],M_BOM[PPGridRow],78),0))</f>
        <v/>
      </c>
      <c r="CA66">
        <f>SUMPRODUCT((M_BOM[RM_Code]=$A66)*M_BOM[RM_Qty_Per_Batch]*IFERROR(INDEX(PP_Grid[#Data],M_BOM[PPGridRow],79),0))</f>
        <v/>
      </c>
      <c r="CB66">
        <f>SUMPRODUCT((M_BOM[RM_Code]=$A66)*M_BOM[RM_Qty_Per_Batch]*IFERROR(INDEX(PP_Grid[#Data],M_BOM[PPGridRow],80),0))</f>
        <v/>
      </c>
      <c r="CC66">
        <f>SUMPRODUCT((M_BOM[RM_Code]=$A66)*M_BOM[RM_Qty_Per_Batch]*IFERROR(INDEX(PP_Grid[#Data],M_BOM[PPGridRow],81),0))</f>
        <v/>
      </c>
      <c r="CD66">
        <f>SUMPRODUCT((M_BOM[RM_Code]=$A66)*M_BOM[RM_Qty_Per_Batch]*IFERROR(INDEX(PP_Grid[#Data],M_BOM[PPGridRow],82),0))</f>
        <v/>
      </c>
      <c r="CE66">
        <f>SUMPRODUCT((M_BOM[RM_Code]=$A66)*M_BOM[RM_Qty_Per_Batch]*IFERROR(INDEX(PP_Grid[#Data],M_BOM[PPGridRow],83),0))</f>
        <v/>
      </c>
      <c r="CF66">
        <f>SUMPRODUCT((M_BOM[RM_Code]=$A66)*M_BOM[RM_Qty_Per_Batch]*IFERROR(INDEX(PP_Grid[#Data],M_BOM[PPGridRow],84),0))</f>
        <v/>
      </c>
      <c r="CG66">
        <f>SUMPRODUCT((M_BOM[RM_Code]=$A66)*M_BOM[RM_Qty_Per_Batch]*IFERROR(INDEX(PP_Grid[#Data],M_BOM[PPGridRow],85),0))</f>
        <v/>
      </c>
      <c r="CH66">
        <f>SUMPRODUCT((M_BOM[RM_Code]=$A66)*M_BOM[RM_Qty_Per_Batch]*IFERROR(INDEX(PP_Grid[#Data],M_BOM[PPGridRow],86),0))</f>
        <v/>
      </c>
      <c r="CI66">
        <f>SUMPRODUCT((M_BOM[RM_Code]=$A66)*M_BOM[RM_Qty_Per_Batch]*IFERROR(INDEX(PP_Grid[#Data],M_BOM[PPGridRow],87),0))</f>
        <v/>
      </c>
      <c r="CJ66">
        <f>SUMPRODUCT((M_BOM[RM_Code]=$A66)*M_BOM[RM_Qty_Per_Batch]*IFERROR(INDEX(PP_Grid[#Data],M_BOM[PPGridRow],88),0))</f>
        <v/>
      </c>
      <c r="CK66">
        <f>SUMPRODUCT((M_BOM[RM_Code]=$A66)*M_BOM[RM_Qty_Per_Batch]*IFERROR(INDEX(PP_Grid[#Data],M_BOM[PPGridRow],89),0))</f>
        <v/>
      </c>
      <c r="CL66">
        <f>SUMPRODUCT((M_BOM[RM_Code]=$A66)*M_BOM[RM_Qty_Per_Batch]*IFERROR(INDEX(PP_Grid[#Data],M_BOM[PPGridRow],90),0))</f>
        <v/>
      </c>
      <c r="CM66">
        <f>SUMPRODUCT((M_BOM[RM_Code]=$A66)*M_BOM[RM_Qty_Per_Batch]*IFERROR(INDEX(PP_Grid[#Data],M_BOM[PPGridRow],91),0))</f>
        <v/>
      </c>
      <c r="CN66">
        <f>SUMPRODUCT((M_BOM[RM_Code]=$A66)*M_BOM[RM_Qty_Per_Batch]*IFERROR(INDEX(PP_Grid[#Data],M_BOM[PPGridRow],92),0))</f>
        <v/>
      </c>
      <c r="CO66">
        <f>SUMPRODUCT((M_BOM[RM_Code]=$A66)*M_BOM[RM_Qty_Per_Batch]*IFERROR(INDEX(PP_Grid[#Data],M_BOM[PPGridRow],93),0))</f>
        <v/>
      </c>
      <c r="CP66">
        <f>SUMPRODUCT((M_BOM[RM_Code]=$A66)*M_BOM[RM_Qty_Per_Batch]*IFERROR(INDEX(PP_Grid[#Data],M_BOM[PPGridRow],94),0))</f>
        <v/>
      </c>
      <c r="CQ66">
        <f>SUMPRODUCT((M_BOM[RM_Code]=$A66)*M_BOM[RM_Qty_Per_Batch]*IFERROR(INDEX(PP_Grid[#Data],M_BOM[PPGridRow],95),0))</f>
        <v/>
      </c>
      <c r="CR66">
        <f>SUMPRODUCT((M_BOM[RM_Code]=$A66)*M_BOM[RM_Qty_Per_Batch]*IFERROR(INDEX(PP_Grid[#Data],M_BOM[PPGridRow],96),0))</f>
        <v/>
      </c>
      <c r="CS66">
        <f>SUMPRODUCT((M_BOM[RM_Code]=$A66)*M_BOM[RM_Qty_Per_Batch]*IFERROR(INDEX(PP_Grid[#Data],M_BOM[PPGridRow],97),0))</f>
        <v/>
      </c>
      <c r="CT66">
        <f>SUMPRODUCT((M_BOM[RM_Code]=$A66)*M_BOM[RM_Qty_Per_Batch]*IFERROR(INDEX(PP_Grid[#Data],M_BOM[PPGridRow],98),0))</f>
        <v/>
      </c>
      <c r="CU66">
        <f>SUMPRODUCT((M_BOM[RM_Code]=$A66)*M_BOM[RM_Qty_Per_Batch]*IFERROR(INDEX(PP_Grid[#Data],M_BOM[PPGridRow],99),0))</f>
        <v/>
      </c>
      <c r="CV66">
        <f>SUMPRODUCT((M_BOM[RM_Code]=$A66)*M_BOM[RM_Qty_Per_Batch]*IFERROR(INDEX(PP_Grid[#Data],M_BOM[PPGridRow],100),0))</f>
        <v/>
      </c>
      <c r="CW66">
        <f>SUMPRODUCT((M_BOM[RM_Code]=$A66)*M_BOM[RM_Qty_Per_Batch]*IFERROR(INDEX(PP_Grid[#Data],M_BOM[PPGridRow],101),0))</f>
        <v/>
      </c>
      <c r="CX66">
        <f>SUMPRODUCT((M_BOM[RM_Code]=$A66)*M_BOM[RM_Qty_Per_Batch]*IFERROR(INDEX(PP_Grid[#Data],M_BOM[PPGridRow],102),0))</f>
        <v/>
      </c>
      <c r="CY66">
        <f>SUMPRODUCT((M_BOM[RM_Code]=$A66)*M_BOM[RM_Qty_Per_Batch]*IFERROR(INDEX(PP_Grid[#Data],M_BOM[PPGridRow],103),0))</f>
        <v/>
      </c>
      <c r="CZ66">
        <f>SUMPRODUCT((M_BOM[RM_Code]=$A66)*M_BOM[RM_Qty_Per_Batch]*IFERROR(INDEX(PP_Grid[#Data],M_BOM[PPGridRow],104),0))</f>
        <v/>
      </c>
      <c r="DA66">
        <f>SUMPRODUCT((M_BOM[RM_Code]=$A66)*M_BOM[RM_Qty_Per_Batch]*IFERROR(INDEX(PP_Grid[#Data],M_BOM[PPGridRow],105),0))</f>
        <v/>
      </c>
    </row>
    <row r="67">
      <c r="A67" t="inlineStr">
        <is>
          <t>V19</t>
        </is>
      </c>
      <c r="B67">
        <f>SUMPRODUCT((M_BOM[RM_Code]=$A67)*M_BOM[RM_Qty_Per_Batch]*IFERROR(INDEX(PP_Grid[#Data],M_BOM[PPGridRow],2),0))</f>
        <v/>
      </c>
      <c r="C67">
        <f>SUMPRODUCT((M_BOM[RM_Code]=$A67)*M_BOM[RM_Qty_Per_Batch]*IFERROR(INDEX(PP_Grid[#Data],M_BOM[PPGridRow],3),0))</f>
        <v/>
      </c>
      <c r="D67">
        <f>SUMPRODUCT((M_BOM[RM_Code]=$A67)*M_BOM[RM_Qty_Per_Batch]*IFERROR(INDEX(PP_Grid[#Data],M_BOM[PPGridRow],4),0))</f>
        <v/>
      </c>
      <c r="E67">
        <f>SUMPRODUCT((M_BOM[RM_Code]=$A67)*M_BOM[RM_Qty_Per_Batch]*IFERROR(INDEX(PP_Grid[#Data],M_BOM[PPGridRow],5),0))</f>
        <v/>
      </c>
      <c r="F67">
        <f>SUMPRODUCT((M_BOM[RM_Code]=$A67)*M_BOM[RM_Qty_Per_Batch]*IFERROR(INDEX(PP_Grid[#Data],M_BOM[PPGridRow],6),0))</f>
        <v/>
      </c>
      <c r="G67">
        <f>SUMPRODUCT((M_BOM[RM_Code]=$A67)*M_BOM[RM_Qty_Per_Batch]*IFERROR(INDEX(PP_Grid[#Data],M_BOM[PPGridRow],7),0))</f>
        <v/>
      </c>
      <c r="H67">
        <f>SUMPRODUCT((M_BOM[RM_Code]=$A67)*M_BOM[RM_Qty_Per_Batch]*IFERROR(INDEX(PP_Grid[#Data],M_BOM[PPGridRow],8),0))</f>
        <v/>
      </c>
      <c r="I67">
        <f>SUMPRODUCT((M_BOM[RM_Code]=$A67)*M_BOM[RM_Qty_Per_Batch]*IFERROR(INDEX(PP_Grid[#Data],M_BOM[PPGridRow],9),0))</f>
        <v/>
      </c>
      <c r="J67">
        <f>SUMPRODUCT((M_BOM[RM_Code]=$A67)*M_BOM[RM_Qty_Per_Batch]*IFERROR(INDEX(PP_Grid[#Data],M_BOM[PPGridRow],10),0))</f>
        <v/>
      </c>
      <c r="K67">
        <f>SUMPRODUCT((M_BOM[RM_Code]=$A67)*M_BOM[RM_Qty_Per_Batch]*IFERROR(INDEX(PP_Grid[#Data],M_BOM[PPGridRow],11),0))</f>
        <v/>
      </c>
      <c r="L67">
        <f>SUMPRODUCT((M_BOM[RM_Code]=$A67)*M_BOM[RM_Qty_Per_Batch]*IFERROR(INDEX(PP_Grid[#Data],M_BOM[PPGridRow],12),0))</f>
        <v/>
      </c>
      <c r="M67">
        <f>SUMPRODUCT((M_BOM[RM_Code]=$A67)*M_BOM[RM_Qty_Per_Batch]*IFERROR(INDEX(PP_Grid[#Data],M_BOM[PPGridRow],13),0))</f>
        <v/>
      </c>
      <c r="N67">
        <f>SUMPRODUCT((M_BOM[RM_Code]=$A67)*M_BOM[RM_Qty_Per_Batch]*IFERROR(INDEX(PP_Grid[#Data],M_BOM[PPGridRow],14),0))</f>
        <v/>
      </c>
      <c r="O67">
        <f>SUMPRODUCT((M_BOM[RM_Code]=$A67)*M_BOM[RM_Qty_Per_Batch]*IFERROR(INDEX(PP_Grid[#Data],M_BOM[PPGridRow],15),0))</f>
        <v/>
      </c>
      <c r="P67">
        <f>SUMPRODUCT((M_BOM[RM_Code]=$A67)*M_BOM[RM_Qty_Per_Batch]*IFERROR(INDEX(PP_Grid[#Data],M_BOM[PPGridRow],16),0))</f>
        <v/>
      </c>
      <c r="Q67">
        <f>SUMPRODUCT((M_BOM[RM_Code]=$A67)*M_BOM[RM_Qty_Per_Batch]*IFERROR(INDEX(PP_Grid[#Data],M_BOM[PPGridRow],17),0))</f>
        <v/>
      </c>
      <c r="R67">
        <f>SUMPRODUCT((M_BOM[RM_Code]=$A67)*M_BOM[RM_Qty_Per_Batch]*IFERROR(INDEX(PP_Grid[#Data],M_BOM[PPGridRow],18),0))</f>
        <v/>
      </c>
      <c r="S67">
        <f>SUMPRODUCT((M_BOM[RM_Code]=$A67)*M_BOM[RM_Qty_Per_Batch]*IFERROR(INDEX(PP_Grid[#Data],M_BOM[PPGridRow],19),0))</f>
        <v/>
      </c>
      <c r="T67">
        <f>SUMPRODUCT((M_BOM[RM_Code]=$A67)*M_BOM[RM_Qty_Per_Batch]*IFERROR(INDEX(PP_Grid[#Data],M_BOM[PPGridRow],20),0))</f>
        <v/>
      </c>
      <c r="U67">
        <f>SUMPRODUCT((M_BOM[RM_Code]=$A67)*M_BOM[RM_Qty_Per_Batch]*IFERROR(INDEX(PP_Grid[#Data],M_BOM[PPGridRow],21),0))</f>
        <v/>
      </c>
      <c r="V67">
        <f>SUMPRODUCT((M_BOM[RM_Code]=$A67)*M_BOM[RM_Qty_Per_Batch]*IFERROR(INDEX(PP_Grid[#Data],M_BOM[PPGridRow],22),0))</f>
        <v/>
      </c>
      <c r="W67">
        <f>SUMPRODUCT((M_BOM[RM_Code]=$A67)*M_BOM[RM_Qty_Per_Batch]*IFERROR(INDEX(PP_Grid[#Data],M_BOM[PPGridRow],23),0))</f>
        <v/>
      </c>
      <c r="X67">
        <f>SUMPRODUCT((M_BOM[RM_Code]=$A67)*M_BOM[RM_Qty_Per_Batch]*IFERROR(INDEX(PP_Grid[#Data],M_BOM[PPGridRow],24),0))</f>
        <v/>
      </c>
      <c r="Y67">
        <f>SUMPRODUCT((M_BOM[RM_Code]=$A67)*M_BOM[RM_Qty_Per_Batch]*IFERROR(INDEX(PP_Grid[#Data],M_BOM[PPGridRow],25),0))</f>
        <v/>
      </c>
      <c r="Z67">
        <f>SUMPRODUCT((M_BOM[RM_Code]=$A67)*M_BOM[RM_Qty_Per_Batch]*IFERROR(INDEX(PP_Grid[#Data],M_BOM[PPGridRow],26),0))</f>
        <v/>
      </c>
      <c r="AA67">
        <f>SUMPRODUCT((M_BOM[RM_Code]=$A67)*M_BOM[RM_Qty_Per_Batch]*IFERROR(INDEX(PP_Grid[#Data],M_BOM[PPGridRow],27),0))</f>
        <v/>
      </c>
      <c r="AB67">
        <f>SUMPRODUCT((M_BOM[RM_Code]=$A67)*M_BOM[RM_Qty_Per_Batch]*IFERROR(INDEX(PP_Grid[#Data],M_BOM[PPGridRow],28),0))</f>
        <v/>
      </c>
      <c r="AC67">
        <f>SUMPRODUCT((M_BOM[RM_Code]=$A67)*M_BOM[RM_Qty_Per_Batch]*IFERROR(INDEX(PP_Grid[#Data],M_BOM[PPGridRow],29),0))</f>
        <v/>
      </c>
      <c r="AD67">
        <f>SUMPRODUCT((M_BOM[RM_Code]=$A67)*M_BOM[RM_Qty_Per_Batch]*IFERROR(INDEX(PP_Grid[#Data],M_BOM[PPGridRow],30),0))</f>
        <v/>
      </c>
      <c r="AE67">
        <f>SUMPRODUCT((M_BOM[RM_Code]=$A67)*M_BOM[RM_Qty_Per_Batch]*IFERROR(INDEX(PP_Grid[#Data],M_BOM[PPGridRow],31),0))</f>
        <v/>
      </c>
      <c r="AF67">
        <f>SUMPRODUCT((M_BOM[RM_Code]=$A67)*M_BOM[RM_Qty_Per_Batch]*IFERROR(INDEX(PP_Grid[#Data],M_BOM[PPGridRow],32),0))</f>
        <v/>
      </c>
      <c r="AG67">
        <f>SUMPRODUCT((M_BOM[RM_Code]=$A67)*M_BOM[RM_Qty_Per_Batch]*IFERROR(INDEX(PP_Grid[#Data],M_BOM[PPGridRow],33),0))</f>
        <v/>
      </c>
      <c r="AH67">
        <f>SUMPRODUCT((M_BOM[RM_Code]=$A67)*M_BOM[RM_Qty_Per_Batch]*IFERROR(INDEX(PP_Grid[#Data],M_BOM[PPGridRow],34),0))</f>
        <v/>
      </c>
      <c r="AI67">
        <f>SUMPRODUCT((M_BOM[RM_Code]=$A67)*M_BOM[RM_Qty_Per_Batch]*IFERROR(INDEX(PP_Grid[#Data],M_BOM[PPGridRow],35),0))</f>
        <v/>
      </c>
      <c r="AJ67">
        <f>SUMPRODUCT((M_BOM[RM_Code]=$A67)*M_BOM[RM_Qty_Per_Batch]*IFERROR(INDEX(PP_Grid[#Data],M_BOM[PPGridRow],36),0))</f>
        <v/>
      </c>
      <c r="AK67">
        <f>SUMPRODUCT((M_BOM[RM_Code]=$A67)*M_BOM[RM_Qty_Per_Batch]*IFERROR(INDEX(PP_Grid[#Data],M_BOM[PPGridRow],37),0))</f>
        <v/>
      </c>
      <c r="AL67">
        <f>SUMPRODUCT((M_BOM[RM_Code]=$A67)*M_BOM[RM_Qty_Per_Batch]*IFERROR(INDEX(PP_Grid[#Data],M_BOM[PPGridRow],38),0))</f>
        <v/>
      </c>
      <c r="AM67">
        <f>SUMPRODUCT((M_BOM[RM_Code]=$A67)*M_BOM[RM_Qty_Per_Batch]*IFERROR(INDEX(PP_Grid[#Data],M_BOM[PPGridRow],39),0))</f>
        <v/>
      </c>
      <c r="AN67">
        <f>SUMPRODUCT((M_BOM[RM_Code]=$A67)*M_BOM[RM_Qty_Per_Batch]*IFERROR(INDEX(PP_Grid[#Data],M_BOM[PPGridRow],40),0))</f>
        <v/>
      </c>
      <c r="AO67">
        <f>SUMPRODUCT((M_BOM[RM_Code]=$A67)*M_BOM[RM_Qty_Per_Batch]*IFERROR(INDEX(PP_Grid[#Data],M_BOM[PPGridRow],41),0))</f>
        <v/>
      </c>
      <c r="AP67">
        <f>SUMPRODUCT((M_BOM[RM_Code]=$A67)*M_BOM[RM_Qty_Per_Batch]*IFERROR(INDEX(PP_Grid[#Data],M_BOM[PPGridRow],42),0))</f>
        <v/>
      </c>
      <c r="AQ67">
        <f>SUMPRODUCT((M_BOM[RM_Code]=$A67)*M_BOM[RM_Qty_Per_Batch]*IFERROR(INDEX(PP_Grid[#Data],M_BOM[PPGridRow],43),0))</f>
        <v/>
      </c>
      <c r="AR67">
        <f>SUMPRODUCT((M_BOM[RM_Code]=$A67)*M_BOM[RM_Qty_Per_Batch]*IFERROR(INDEX(PP_Grid[#Data],M_BOM[PPGridRow],44),0))</f>
        <v/>
      </c>
      <c r="AS67">
        <f>SUMPRODUCT((M_BOM[RM_Code]=$A67)*M_BOM[RM_Qty_Per_Batch]*IFERROR(INDEX(PP_Grid[#Data],M_BOM[PPGridRow],45),0))</f>
        <v/>
      </c>
      <c r="AT67">
        <f>SUMPRODUCT((M_BOM[RM_Code]=$A67)*M_BOM[RM_Qty_Per_Batch]*IFERROR(INDEX(PP_Grid[#Data],M_BOM[PPGridRow],46),0))</f>
        <v/>
      </c>
      <c r="AU67">
        <f>SUMPRODUCT((M_BOM[RM_Code]=$A67)*M_BOM[RM_Qty_Per_Batch]*IFERROR(INDEX(PP_Grid[#Data],M_BOM[PPGridRow],47),0))</f>
        <v/>
      </c>
      <c r="AV67">
        <f>SUMPRODUCT((M_BOM[RM_Code]=$A67)*M_BOM[RM_Qty_Per_Batch]*IFERROR(INDEX(PP_Grid[#Data],M_BOM[PPGridRow],48),0))</f>
        <v/>
      </c>
      <c r="AW67">
        <f>SUMPRODUCT((M_BOM[RM_Code]=$A67)*M_BOM[RM_Qty_Per_Batch]*IFERROR(INDEX(PP_Grid[#Data],M_BOM[PPGridRow],49),0))</f>
        <v/>
      </c>
      <c r="AX67">
        <f>SUMPRODUCT((M_BOM[RM_Code]=$A67)*M_BOM[RM_Qty_Per_Batch]*IFERROR(INDEX(PP_Grid[#Data],M_BOM[PPGridRow],50),0))</f>
        <v/>
      </c>
      <c r="AY67">
        <f>SUMPRODUCT((M_BOM[RM_Code]=$A67)*M_BOM[RM_Qty_Per_Batch]*IFERROR(INDEX(PP_Grid[#Data],M_BOM[PPGridRow],51),0))</f>
        <v/>
      </c>
      <c r="AZ67">
        <f>SUMPRODUCT((M_BOM[RM_Code]=$A67)*M_BOM[RM_Qty_Per_Batch]*IFERROR(INDEX(PP_Grid[#Data],M_BOM[PPGridRow],52),0))</f>
        <v/>
      </c>
      <c r="BA67">
        <f>SUMPRODUCT((M_BOM[RM_Code]=$A67)*M_BOM[RM_Qty_Per_Batch]*IFERROR(INDEX(PP_Grid[#Data],M_BOM[PPGridRow],53),0))</f>
        <v/>
      </c>
      <c r="BB67">
        <f>SUMPRODUCT((M_BOM[RM_Code]=$A67)*M_BOM[RM_Qty_Per_Batch]*IFERROR(INDEX(PP_Grid[#Data],M_BOM[PPGridRow],54),0))</f>
        <v/>
      </c>
      <c r="BC67">
        <f>SUMPRODUCT((M_BOM[RM_Code]=$A67)*M_BOM[RM_Qty_Per_Batch]*IFERROR(INDEX(PP_Grid[#Data],M_BOM[PPGridRow],55),0))</f>
        <v/>
      </c>
      <c r="BD67">
        <f>SUMPRODUCT((M_BOM[RM_Code]=$A67)*M_BOM[RM_Qty_Per_Batch]*IFERROR(INDEX(PP_Grid[#Data],M_BOM[PPGridRow],56),0))</f>
        <v/>
      </c>
      <c r="BE67">
        <f>SUMPRODUCT((M_BOM[RM_Code]=$A67)*M_BOM[RM_Qty_Per_Batch]*IFERROR(INDEX(PP_Grid[#Data],M_BOM[PPGridRow],57),0))</f>
        <v/>
      </c>
      <c r="BF67">
        <f>SUMPRODUCT((M_BOM[RM_Code]=$A67)*M_BOM[RM_Qty_Per_Batch]*IFERROR(INDEX(PP_Grid[#Data],M_BOM[PPGridRow],58),0))</f>
        <v/>
      </c>
      <c r="BG67">
        <f>SUMPRODUCT((M_BOM[RM_Code]=$A67)*M_BOM[RM_Qty_Per_Batch]*IFERROR(INDEX(PP_Grid[#Data],M_BOM[PPGridRow],59),0))</f>
        <v/>
      </c>
      <c r="BH67">
        <f>SUMPRODUCT((M_BOM[RM_Code]=$A67)*M_BOM[RM_Qty_Per_Batch]*IFERROR(INDEX(PP_Grid[#Data],M_BOM[PPGridRow],60),0))</f>
        <v/>
      </c>
      <c r="BI67">
        <f>SUMPRODUCT((M_BOM[RM_Code]=$A67)*M_BOM[RM_Qty_Per_Batch]*IFERROR(INDEX(PP_Grid[#Data],M_BOM[PPGridRow],61),0))</f>
        <v/>
      </c>
      <c r="BJ67">
        <f>SUMPRODUCT((M_BOM[RM_Code]=$A67)*M_BOM[RM_Qty_Per_Batch]*IFERROR(INDEX(PP_Grid[#Data],M_BOM[PPGridRow],62),0))</f>
        <v/>
      </c>
      <c r="BK67">
        <f>SUMPRODUCT((M_BOM[RM_Code]=$A67)*M_BOM[RM_Qty_Per_Batch]*IFERROR(INDEX(PP_Grid[#Data],M_BOM[PPGridRow],63),0))</f>
        <v/>
      </c>
      <c r="BL67">
        <f>SUMPRODUCT((M_BOM[RM_Code]=$A67)*M_BOM[RM_Qty_Per_Batch]*IFERROR(INDEX(PP_Grid[#Data],M_BOM[PPGridRow],64),0))</f>
        <v/>
      </c>
      <c r="BM67">
        <f>SUMPRODUCT((M_BOM[RM_Code]=$A67)*M_BOM[RM_Qty_Per_Batch]*IFERROR(INDEX(PP_Grid[#Data],M_BOM[PPGridRow],65),0))</f>
        <v/>
      </c>
      <c r="BN67">
        <f>SUMPRODUCT((M_BOM[RM_Code]=$A67)*M_BOM[RM_Qty_Per_Batch]*IFERROR(INDEX(PP_Grid[#Data],M_BOM[PPGridRow],66),0))</f>
        <v/>
      </c>
      <c r="BO67">
        <f>SUMPRODUCT((M_BOM[RM_Code]=$A67)*M_BOM[RM_Qty_Per_Batch]*IFERROR(INDEX(PP_Grid[#Data],M_BOM[PPGridRow],67),0))</f>
        <v/>
      </c>
      <c r="BP67">
        <f>SUMPRODUCT((M_BOM[RM_Code]=$A67)*M_BOM[RM_Qty_Per_Batch]*IFERROR(INDEX(PP_Grid[#Data],M_BOM[PPGridRow],68),0))</f>
        <v/>
      </c>
      <c r="BQ67">
        <f>SUMPRODUCT((M_BOM[RM_Code]=$A67)*M_BOM[RM_Qty_Per_Batch]*IFERROR(INDEX(PP_Grid[#Data],M_BOM[PPGridRow],69),0))</f>
        <v/>
      </c>
      <c r="BR67">
        <f>SUMPRODUCT((M_BOM[RM_Code]=$A67)*M_BOM[RM_Qty_Per_Batch]*IFERROR(INDEX(PP_Grid[#Data],M_BOM[PPGridRow],70),0))</f>
        <v/>
      </c>
      <c r="BS67">
        <f>SUMPRODUCT((M_BOM[RM_Code]=$A67)*M_BOM[RM_Qty_Per_Batch]*IFERROR(INDEX(PP_Grid[#Data],M_BOM[PPGridRow],71),0))</f>
        <v/>
      </c>
      <c r="BT67">
        <f>SUMPRODUCT((M_BOM[RM_Code]=$A67)*M_BOM[RM_Qty_Per_Batch]*IFERROR(INDEX(PP_Grid[#Data],M_BOM[PPGridRow],72),0))</f>
        <v/>
      </c>
      <c r="BU67">
        <f>SUMPRODUCT((M_BOM[RM_Code]=$A67)*M_BOM[RM_Qty_Per_Batch]*IFERROR(INDEX(PP_Grid[#Data],M_BOM[PPGridRow],73),0))</f>
        <v/>
      </c>
      <c r="BV67">
        <f>SUMPRODUCT((M_BOM[RM_Code]=$A67)*M_BOM[RM_Qty_Per_Batch]*IFERROR(INDEX(PP_Grid[#Data],M_BOM[PPGridRow],74),0))</f>
        <v/>
      </c>
      <c r="BW67">
        <f>SUMPRODUCT((M_BOM[RM_Code]=$A67)*M_BOM[RM_Qty_Per_Batch]*IFERROR(INDEX(PP_Grid[#Data],M_BOM[PPGridRow],75),0))</f>
        <v/>
      </c>
      <c r="BX67">
        <f>SUMPRODUCT((M_BOM[RM_Code]=$A67)*M_BOM[RM_Qty_Per_Batch]*IFERROR(INDEX(PP_Grid[#Data],M_BOM[PPGridRow],76),0))</f>
        <v/>
      </c>
      <c r="BY67">
        <f>SUMPRODUCT((M_BOM[RM_Code]=$A67)*M_BOM[RM_Qty_Per_Batch]*IFERROR(INDEX(PP_Grid[#Data],M_BOM[PPGridRow],77),0))</f>
        <v/>
      </c>
      <c r="BZ67">
        <f>SUMPRODUCT((M_BOM[RM_Code]=$A67)*M_BOM[RM_Qty_Per_Batch]*IFERROR(INDEX(PP_Grid[#Data],M_BOM[PPGridRow],78),0))</f>
        <v/>
      </c>
      <c r="CA67">
        <f>SUMPRODUCT((M_BOM[RM_Code]=$A67)*M_BOM[RM_Qty_Per_Batch]*IFERROR(INDEX(PP_Grid[#Data],M_BOM[PPGridRow],79),0))</f>
        <v/>
      </c>
      <c r="CB67">
        <f>SUMPRODUCT((M_BOM[RM_Code]=$A67)*M_BOM[RM_Qty_Per_Batch]*IFERROR(INDEX(PP_Grid[#Data],M_BOM[PPGridRow],80),0))</f>
        <v/>
      </c>
      <c r="CC67">
        <f>SUMPRODUCT((M_BOM[RM_Code]=$A67)*M_BOM[RM_Qty_Per_Batch]*IFERROR(INDEX(PP_Grid[#Data],M_BOM[PPGridRow],81),0))</f>
        <v/>
      </c>
      <c r="CD67">
        <f>SUMPRODUCT((M_BOM[RM_Code]=$A67)*M_BOM[RM_Qty_Per_Batch]*IFERROR(INDEX(PP_Grid[#Data],M_BOM[PPGridRow],82),0))</f>
        <v/>
      </c>
      <c r="CE67">
        <f>SUMPRODUCT((M_BOM[RM_Code]=$A67)*M_BOM[RM_Qty_Per_Batch]*IFERROR(INDEX(PP_Grid[#Data],M_BOM[PPGridRow],83),0))</f>
        <v/>
      </c>
      <c r="CF67">
        <f>SUMPRODUCT((M_BOM[RM_Code]=$A67)*M_BOM[RM_Qty_Per_Batch]*IFERROR(INDEX(PP_Grid[#Data],M_BOM[PPGridRow],84),0))</f>
        <v/>
      </c>
      <c r="CG67">
        <f>SUMPRODUCT((M_BOM[RM_Code]=$A67)*M_BOM[RM_Qty_Per_Batch]*IFERROR(INDEX(PP_Grid[#Data],M_BOM[PPGridRow],85),0))</f>
        <v/>
      </c>
      <c r="CH67">
        <f>SUMPRODUCT((M_BOM[RM_Code]=$A67)*M_BOM[RM_Qty_Per_Batch]*IFERROR(INDEX(PP_Grid[#Data],M_BOM[PPGridRow],86),0))</f>
        <v/>
      </c>
      <c r="CI67">
        <f>SUMPRODUCT((M_BOM[RM_Code]=$A67)*M_BOM[RM_Qty_Per_Batch]*IFERROR(INDEX(PP_Grid[#Data],M_BOM[PPGridRow],87),0))</f>
        <v/>
      </c>
      <c r="CJ67">
        <f>SUMPRODUCT((M_BOM[RM_Code]=$A67)*M_BOM[RM_Qty_Per_Batch]*IFERROR(INDEX(PP_Grid[#Data],M_BOM[PPGridRow],88),0))</f>
        <v/>
      </c>
      <c r="CK67">
        <f>SUMPRODUCT((M_BOM[RM_Code]=$A67)*M_BOM[RM_Qty_Per_Batch]*IFERROR(INDEX(PP_Grid[#Data],M_BOM[PPGridRow],89),0))</f>
        <v/>
      </c>
      <c r="CL67">
        <f>SUMPRODUCT((M_BOM[RM_Code]=$A67)*M_BOM[RM_Qty_Per_Batch]*IFERROR(INDEX(PP_Grid[#Data],M_BOM[PPGridRow],90),0))</f>
        <v/>
      </c>
      <c r="CM67">
        <f>SUMPRODUCT((M_BOM[RM_Code]=$A67)*M_BOM[RM_Qty_Per_Batch]*IFERROR(INDEX(PP_Grid[#Data],M_BOM[PPGridRow],91),0))</f>
        <v/>
      </c>
      <c r="CN67">
        <f>SUMPRODUCT((M_BOM[RM_Code]=$A67)*M_BOM[RM_Qty_Per_Batch]*IFERROR(INDEX(PP_Grid[#Data],M_BOM[PPGridRow],92),0))</f>
        <v/>
      </c>
      <c r="CO67">
        <f>SUMPRODUCT((M_BOM[RM_Code]=$A67)*M_BOM[RM_Qty_Per_Batch]*IFERROR(INDEX(PP_Grid[#Data],M_BOM[PPGridRow],93),0))</f>
        <v/>
      </c>
      <c r="CP67">
        <f>SUMPRODUCT((M_BOM[RM_Code]=$A67)*M_BOM[RM_Qty_Per_Batch]*IFERROR(INDEX(PP_Grid[#Data],M_BOM[PPGridRow],94),0))</f>
        <v/>
      </c>
      <c r="CQ67">
        <f>SUMPRODUCT((M_BOM[RM_Code]=$A67)*M_BOM[RM_Qty_Per_Batch]*IFERROR(INDEX(PP_Grid[#Data],M_BOM[PPGridRow],95),0))</f>
        <v/>
      </c>
      <c r="CR67">
        <f>SUMPRODUCT((M_BOM[RM_Code]=$A67)*M_BOM[RM_Qty_Per_Batch]*IFERROR(INDEX(PP_Grid[#Data],M_BOM[PPGridRow],96),0))</f>
        <v/>
      </c>
      <c r="CS67">
        <f>SUMPRODUCT((M_BOM[RM_Code]=$A67)*M_BOM[RM_Qty_Per_Batch]*IFERROR(INDEX(PP_Grid[#Data],M_BOM[PPGridRow],97),0))</f>
        <v/>
      </c>
      <c r="CT67">
        <f>SUMPRODUCT((M_BOM[RM_Code]=$A67)*M_BOM[RM_Qty_Per_Batch]*IFERROR(INDEX(PP_Grid[#Data],M_BOM[PPGridRow],98),0))</f>
        <v/>
      </c>
      <c r="CU67">
        <f>SUMPRODUCT((M_BOM[RM_Code]=$A67)*M_BOM[RM_Qty_Per_Batch]*IFERROR(INDEX(PP_Grid[#Data],M_BOM[PPGridRow],99),0))</f>
        <v/>
      </c>
      <c r="CV67">
        <f>SUMPRODUCT((M_BOM[RM_Code]=$A67)*M_BOM[RM_Qty_Per_Batch]*IFERROR(INDEX(PP_Grid[#Data],M_BOM[PPGridRow],100),0))</f>
        <v/>
      </c>
      <c r="CW67">
        <f>SUMPRODUCT((M_BOM[RM_Code]=$A67)*M_BOM[RM_Qty_Per_Batch]*IFERROR(INDEX(PP_Grid[#Data],M_BOM[PPGridRow],101),0))</f>
        <v/>
      </c>
      <c r="CX67">
        <f>SUMPRODUCT((M_BOM[RM_Code]=$A67)*M_BOM[RM_Qty_Per_Batch]*IFERROR(INDEX(PP_Grid[#Data],M_BOM[PPGridRow],102),0))</f>
        <v/>
      </c>
      <c r="CY67">
        <f>SUMPRODUCT((M_BOM[RM_Code]=$A67)*M_BOM[RM_Qty_Per_Batch]*IFERROR(INDEX(PP_Grid[#Data],M_BOM[PPGridRow],103),0))</f>
        <v/>
      </c>
      <c r="CZ67">
        <f>SUMPRODUCT((M_BOM[RM_Code]=$A67)*M_BOM[RM_Qty_Per_Batch]*IFERROR(INDEX(PP_Grid[#Data],M_BOM[PPGridRow],104),0))</f>
        <v/>
      </c>
      <c r="DA67">
        <f>SUMPRODUCT((M_BOM[RM_Code]=$A67)*M_BOM[RM_Qty_Per_Batch]*IFERROR(INDEX(PP_Grid[#Data],M_BOM[PPGridRow],105),0))</f>
        <v/>
      </c>
    </row>
    <row r="68">
      <c r="A68" t="inlineStr">
        <is>
          <t>3TP</t>
        </is>
      </c>
      <c r="B68">
        <f>SUMPRODUCT((M_BOM[RM_Code]=$A68)*M_BOM[RM_Qty_Per_Batch]*IFERROR(INDEX(PP_Grid[#Data],M_BOM[PPGridRow],2),0))</f>
        <v/>
      </c>
      <c r="C68">
        <f>SUMPRODUCT((M_BOM[RM_Code]=$A68)*M_BOM[RM_Qty_Per_Batch]*IFERROR(INDEX(PP_Grid[#Data],M_BOM[PPGridRow],3),0))</f>
        <v/>
      </c>
      <c r="D68">
        <f>SUMPRODUCT((M_BOM[RM_Code]=$A68)*M_BOM[RM_Qty_Per_Batch]*IFERROR(INDEX(PP_Grid[#Data],M_BOM[PPGridRow],4),0))</f>
        <v/>
      </c>
      <c r="E68">
        <f>SUMPRODUCT((M_BOM[RM_Code]=$A68)*M_BOM[RM_Qty_Per_Batch]*IFERROR(INDEX(PP_Grid[#Data],M_BOM[PPGridRow],5),0))</f>
        <v/>
      </c>
      <c r="F68">
        <f>SUMPRODUCT((M_BOM[RM_Code]=$A68)*M_BOM[RM_Qty_Per_Batch]*IFERROR(INDEX(PP_Grid[#Data],M_BOM[PPGridRow],6),0))</f>
        <v/>
      </c>
      <c r="G68">
        <f>SUMPRODUCT((M_BOM[RM_Code]=$A68)*M_BOM[RM_Qty_Per_Batch]*IFERROR(INDEX(PP_Grid[#Data],M_BOM[PPGridRow],7),0))</f>
        <v/>
      </c>
      <c r="H68">
        <f>SUMPRODUCT((M_BOM[RM_Code]=$A68)*M_BOM[RM_Qty_Per_Batch]*IFERROR(INDEX(PP_Grid[#Data],M_BOM[PPGridRow],8),0))</f>
        <v/>
      </c>
      <c r="I68">
        <f>SUMPRODUCT((M_BOM[RM_Code]=$A68)*M_BOM[RM_Qty_Per_Batch]*IFERROR(INDEX(PP_Grid[#Data],M_BOM[PPGridRow],9),0))</f>
        <v/>
      </c>
      <c r="J68">
        <f>SUMPRODUCT((M_BOM[RM_Code]=$A68)*M_BOM[RM_Qty_Per_Batch]*IFERROR(INDEX(PP_Grid[#Data],M_BOM[PPGridRow],10),0))</f>
        <v/>
      </c>
      <c r="K68">
        <f>SUMPRODUCT((M_BOM[RM_Code]=$A68)*M_BOM[RM_Qty_Per_Batch]*IFERROR(INDEX(PP_Grid[#Data],M_BOM[PPGridRow],11),0))</f>
        <v/>
      </c>
      <c r="L68">
        <f>SUMPRODUCT((M_BOM[RM_Code]=$A68)*M_BOM[RM_Qty_Per_Batch]*IFERROR(INDEX(PP_Grid[#Data],M_BOM[PPGridRow],12),0))</f>
        <v/>
      </c>
      <c r="M68">
        <f>SUMPRODUCT((M_BOM[RM_Code]=$A68)*M_BOM[RM_Qty_Per_Batch]*IFERROR(INDEX(PP_Grid[#Data],M_BOM[PPGridRow],13),0))</f>
        <v/>
      </c>
      <c r="N68">
        <f>SUMPRODUCT((M_BOM[RM_Code]=$A68)*M_BOM[RM_Qty_Per_Batch]*IFERROR(INDEX(PP_Grid[#Data],M_BOM[PPGridRow],14),0))</f>
        <v/>
      </c>
      <c r="O68">
        <f>SUMPRODUCT((M_BOM[RM_Code]=$A68)*M_BOM[RM_Qty_Per_Batch]*IFERROR(INDEX(PP_Grid[#Data],M_BOM[PPGridRow],15),0))</f>
        <v/>
      </c>
      <c r="P68">
        <f>SUMPRODUCT((M_BOM[RM_Code]=$A68)*M_BOM[RM_Qty_Per_Batch]*IFERROR(INDEX(PP_Grid[#Data],M_BOM[PPGridRow],16),0))</f>
        <v/>
      </c>
      <c r="Q68">
        <f>SUMPRODUCT((M_BOM[RM_Code]=$A68)*M_BOM[RM_Qty_Per_Batch]*IFERROR(INDEX(PP_Grid[#Data],M_BOM[PPGridRow],17),0))</f>
        <v/>
      </c>
      <c r="R68">
        <f>SUMPRODUCT((M_BOM[RM_Code]=$A68)*M_BOM[RM_Qty_Per_Batch]*IFERROR(INDEX(PP_Grid[#Data],M_BOM[PPGridRow],18),0))</f>
        <v/>
      </c>
      <c r="S68">
        <f>SUMPRODUCT((M_BOM[RM_Code]=$A68)*M_BOM[RM_Qty_Per_Batch]*IFERROR(INDEX(PP_Grid[#Data],M_BOM[PPGridRow],19),0))</f>
        <v/>
      </c>
      <c r="T68">
        <f>SUMPRODUCT((M_BOM[RM_Code]=$A68)*M_BOM[RM_Qty_Per_Batch]*IFERROR(INDEX(PP_Grid[#Data],M_BOM[PPGridRow],20),0))</f>
        <v/>
      </c>
      <c r="U68">
        <f>SUMPRODUCT((M_BOM[RM_Code]=$A68)*M_BOM[RM_Qty_Per_Batch]*IFERROR(INDEX(PP_Grid[#Data],M_BOM[PPGridRow],21),0))</f>
        <v/>
      </c>
      <c r="V68">
        <f>SUMPRODUCT((M_BOM[RM_Code]=$A68)*M_BOM[RM_Qty_Per_Batch]*IFERROR(INDEX(PP_Grid[#Data],M_BOM[PPGridRow],22),0))</f>
        <v/>
      </c>
      <c r="W68">
        <f>SUMPRODUCT((M_BOM[RM_Code]=$A68)*M_BOM[RM_Qty_Per_Batch]*IFERROR(INDEX(PP_Grid[#Data],M_BOM[PPGridRow],23),0))</f>
        <v/>
      </c>
      <c r="X68">
        <f>SUMPRODUCT((M_BOM[RM_Code]=$A68)*M_BOM[RM_Qty_Per_Batch]*IFERROR(INDEX(PP_Grid[#Data],M_BOM[PPGridRow],24),0))</f>
        <v/>
      </c>
      <c r="Y68">
        <f>SUMPRODUCT((M_BOM[RM_Code]=$A68)*M_BOM[RM_Qty_Per_Batch]*IFERROR(INDEX(PP_Grid[#Data],M_BOM[PPGridRow],25),0))</f>
        <v/>
      </c>
      <c r="Z68">
        <f>SUMPRODUCT((M_BOM[RM_Code]=$A68)*M_BOM[RM_Qty_Per_Batch]*IFERROR(INDEX(PP_Grid[#Data],M_BOM[PPGridRow],26),0))</f>
        <v/>
      </c>
      <c r="AA68">
        <f>SUMPRODUCT((M_BOM[RM_Code]=$A68)*M_BOM[RM_Qty_Per_Batch]*IFERROR(INDEX(PP_Grid[#Data],M_BOM[PPGridRow],27),0))</f>
        <v/>
      </c>
      <c r="AB68">
        <f>SUMPRODUCT((M_BOM[RM_Code]=$A68)*M_BOM[RM_Qty_Per_Batch]*IFERROR(INDEX(PP_Grid[#Data],M_BOM[PPGridRow],28),0))</f>
        <v/>
      </c>
      <c r="AC68">
        <f>SUMPRODUCT((M_BOM[RM_Code]=$A68)*M_BOM[RM_Qty_Per_Batch]*IFERROR(INDEX(PP_Grid[#Data],M_BOM[PPGridRow],29),0))</f>
        <v/>
      </c>
      <c r="AD68">
        <f>SUMPRODUCT((M_BOM[RM_Code]=$A68)*M_BOM[RM_Qty_Per_Batch]*IFERROR(INDEX(PP_Grid[#Data],M_BOM[PPGridRow],30),0))</f>
        <v/>
      </c>
      <c r="AE68">
        <f>SUMPRODUCT((M_BOM[RM_Code]=$A68)*M_BOM[RM_Qty_Per_Batch]*IFERROR(INDEX(PP_Grid[#Data],M_BOM[PPGridRow],31),0))</f>
        <v/>
      </c>
      <c r="AF68">
        <f>SUMPRODUCT((M_BOM[RM_Code]=$A68)*M_BOM[RM_Qty_Per_Batch]*IFERROR(INDEX(PP_Grid[#Data],M_BOM[PPGridRow],32),0))</f>
        <v/>
      </c>
      <c r="AG68">
        <f>SUMPRODUCT((M_BOM[RM_Code]=$A68)*M_BOM[RM_Qty_Per_Batch]*IFERROR(INDEX(PP_Grid[#Data],M_BOM[PPGridRow],33),0))</f>
        <v/>
      </c>
      <c r="AH68">
        <f>SUMPRODUCT((M_BOM[RM_Code]=$A68)*M_BOM[RM_Qty_Per_Batch]*IFERROR(INDEX(PP_Grid[#Data],M_BOM[PPGridRow],34),0))</f>
        <v/>
      </c>
      <c r="AI68">
        <f>SUMPRODUCT((M_BOM[RM_Code]=$A68)*M_BOM[RM_Qty_Per_Batch]*IFERROR(INDEX(PP_Grid[#Data],M_BOM[PPGridRow],35),0))</f>
        <v/>
      </c>
      <c r="AJ68">
        <f>SUMPRODUCT((M_BOM[RM_Code]=$A68)*M_BOM[RM_Qty_Per_Batch]*IFERROR(INDEX(PP_Grid[#Data],M_BOM[PPGridRow],36),0))</f>
        <v/>
      </c>
      <c r="AK68">
        <f>SUMPRODUCT((M_BOM[RM_Code]=$A68)*M_BOM[RM_Qty_Per_Batch]*IFERROR(INDEX(PP_Grid[#Data],M_BOM[PPGridRow],37),0))</f>
        <v/>
      </c>
      <c r="AL68">
        <f>SUMPRODUCT((M_BOM[RM_Code]=$A68)*M_BOM[RM_Qty_Per_Batch]*IFERROR(INDEX(PP_Grid[#Data],M_BOM[PPGridRow],38),0))</f>
        <v/>
      </c>
      <c r="AM68">
        <f>SUMPRODUCT((M_BOM[RM_Code]=$A68)*M_BOM[RM_Qty_Per_Batch]*IFERROR(INDEX(PP_Grid[#Data],M_BOM[PPGridRow],39),0))</f>
        <v/>
      </c>
      <c r="AN68">
        <f>SUMPRODUCT((M_BOM[RM_Code]=$A68)*M_BOM[RM_Qty_Per_Batch]*IFERROR(INDEX(PP_Grid[#Data],M_BOM[PPGridRow],40),0))</f>
        <v/>
      </c>
      <c r="AO68">
        <f>SUMPRODUCT((M_BOM[RM_Code]=$A68)*M_BOM[RM_Qty_Per_Batch]*IFERROR(INDEX(PP_Grid[#Data],M_BOM[PPGridRow],41),0))</f>
        <v/>
      </c>
      <c r="AP68">
        <f>SUMPRODUCT((M_BOM[RM_Code]=$A68)*M_BOM[RM_Qty_Per_Batch]*IFERROR(INDEX(PP_Grid[#Data],M_BOM[PPGridRow],42),0))</f>
        <v/>
      </c>
      <c r="AQ68">
        <f>SUMPRODUCT((M_BOM[RM_Code]=$A68)*M_BOM[RM_Qty_Per_Batch]*IFERROR(INDEX(PP_Grid[#Data],M_BOM[PPGridRow],43),0))</f>
        <v/>
      </c>
      <c r="AR68">
        <f>SUMPRODUCT((M_BOM[RM_Code]=$A68)*M_BOM[RM_Qty_Per_Batch]*IFERROR(INDEX(PP_Grid[#Data],M_BOM[PPGridRow],44),0))</f>
        <v/>
      </c>
      <c r="AS68">
        <f>SUMPRODUCT((M_BOM[RM_Code]=$A68)*M_BOM[RM_Qty_Per_Batch]*IFERROR(INDEX(PP_Grid[#Data],M_BOM[PPGridRow],45),0))</f>
        <v/>
      </c>
      <c r="AT68">
        <f>SUMPRODUCT((M_BOM[RM_Code]=$A68)*M_BOM[RM_Qty_Per_Batch]*IFERROR(INDEX(PP_Grid[#Data],M_BOM[PPGridRow],46),0))</f>
        <v/>
      </c>
      <c r="AU68">
        <f>SUMPRODUCT((M_BOM[RM_Code]=$A68)*M_BOM[RM_Qty_Per_Batch]*IFERROR(INDEX(PP_Grid[#Data],M_BOM[PPGridRow],47),0))</f>
        <v/>
      </c>
      <c r="AV68">
        <f>SUMPRODUCT((M_BOM[RM_Code]=$A68)*M_BOM[RM_Qty_Per_Batch]*IFERROR(INDEX(PP_Grid[#Data],M_BOM[PPGridRow],48),0))</f>
        <v/>
      </c>
      <c r="AW68">
        <f>SUMPRODUCT((M_BOM[RM_Code]=$A68)*M_BOM[RM_Qty_Per_Batch]*IFERROR(INDEX(PP_Grid[#Data],M_BOM[PPGridRow],49),0))</f>
        <v/>
      </c>
      <c r="AX68">
        <f>SUMPRODUCT((M_BOM[RM_Code]=$A68)*M_BOM[RM_Qty_Per_Batch]*IFERROR(INDEX(PP_Grid[#Data],M_BOM[PPGridRow],50),0))</f>
        <v/>
      </c>
      <c r="AY68">
        <f>SUMPRODUCT((M_BOM[RM_Code]=$A68)*M_BOM[RM_Qty_Per_Batch]*IFERROR(INDEX(PP_Grid[#Data],M_BOM[PPGridRow],51),0))</f>
        <v/>
      </c>
      <c r="AZ68">
        <f>SUMPRODUCT((M_BOM[RM_Code]=$A68)*M_BOM[RM_Qty_Per_Batch]*IFERROR(INDEX(PP_Grid[#Data],M_BOM[PPGridRow],52),0))</f>
        <v/>
      </c>
      <c r="BA68">
        <f>SUMPRODUCT((M_BOM[RM_Code]=$A68)*M_BOM[RM_Qty_Per_Batch]*IFERROR(INDEX(PP_Grid[#Data],M_BOM[PPGridRow],53),0))</f>
        <v/>
      </c>
      <c r="BB68">
        <f>SUMPRODUCT((M_BOM[RM_Code]=$A68)*M_BOM[RM_Qty_Per_Batch]*IFERROR(INDEX(PP_Grid[#Data],M_BOM[PPGridRow],54),0))</f>
        <v/>
      </c>
      <c r="BC68">
        <f>SUMPRODUCT((M_BOM[RM_Code]=$A68)*M_BOM[RM_Qty_Per_Batch]*IFERROR(INDEX(PP_Grid[#Data],M_BOM[PPGridRow],55),0))</f>
        <v/>
      </c>
      <c r="BD68">
        <f>SUMPRODUCT((M_BOM[RM_Code]=$A68)*M_BOM[RM_Qty_Per_Batch]*IFERROR(INDEX(PP_Grid[#Data],M_BOM[PPGridRow],56),0))</f>
        <v/>
      </c>
      <c r="BE68">
        <f>SUMPRODUCT((M_BOM[RM_Code]=$A68)*M_BOM[RM_Qty_Per_Batch]*IFERROR(INDEX(PP_Grid[#Data],M_BOM[PPGridRow],57),0))</f>
        <v/>
      </c>
      <c r="BF68">
        <f>SUMPRODUCT((M_BOM[RM_Code]=$A68)*M_BOM[RM_Qty_Per_Batch]*IFERROR(INDEX(PP_Grid[#Data],M_BOM[PPGridRow],58),0))</f>
        <v/>
      </c>
      <c r="BG68">
        <f>SUMPRODUCT((M_BOM[RM_Code]=$A68)*M_BOM[RM_Qty_Per_Batch]*IFERROR(INDEX(PP_Grid[#Data],M_BOM[PPGridRow],59),0))</f>
        <v/>
      </c>
      <c r="BH68">
        <f>SUMPRODUCT((M_BOM[RM_Code]=$A68)*M_BOM[RM_Qty_Per_Batch]*IFERROR(INDEX(PP_Grid[#Data],M_BOM[PPGridRow],60),0))</f>
        <v/>
      </c>
      <c r="BI68">
        <f>SUMPRODUCT((M_BOM[RM_Code]=$A68)*M_BOM[RM_Qty_Per_Batch]*IFERROR(INDEX(PP_Grid[#Data],M_BOM[PPGridRow],61),0))</f>
        <v/>
      </c>
      <c r="BJ68">
        <f>SUMPRODUCT((M_BOM[RM_Code]=$A68)*M_BOM[RM_Qty_Per_Batch]*IFERROR(INDEX(PP_Grid[#Data],M_BOM[PPGridRow],62),0))</f>
        <v/>
      </c>
      <c r="BK68">
        <f>SUMPRODUCT((M_BOM[RM_Code]=$A68)*M_BOM[RM_Qty_Per_Batch]*IFERROR(INDEX(PP_Grid[#Data],M_BOM[PPGridRow],63),0))</f>
        <v/>
      </c>
      <c r="BL68">
        <f>SUMPRODUCT((M_BOM[RM_Code]=$A68)*M_BOM[RM_Qty_Per_Batch]*IFERROR(INDEX(PP_Grid[#Data],M_BOM[PPGridRow],64),0))</f>
        <v/>
      </c>
      <c r="BM68">
        <f>SUMPRODUCT((M_BOM[RM_Code]=$A68)*M_BOM[RM_Qty_Per_Batch]*IFERROR(INDEX(PP_Grid[#Data],M_BOM[PPGridRow],65),0))</f>
        <v/>
      </c>
      <c r="BN68">
        <f>SUMPRODUCT((M_BOM[RM_Code]=$A68)*M_BOM[RM_Qty_Per_Batch]*IFERROR(INDEX(PP_Grid[#Data],M_BOM[PPGridRow],66),0))</f>
        <v/>
      </c>
      <c r="BO68">
        <f>SUMPRODUCT((M_BOM[RM_Code]=$A68)*M_BOM[RM_Qty_Per_Batch]*IFERROR(INDEX(PP_Grid[#Data],M_BOM[PPGridRow],67),0))</f>
        <v/>
      </c>
      <c r="BP68">
        <f>SUMPRODUCT((M_BOM[RM_Code]=$A68)*M_BOM[RM_Qty_Per_Batch]*IFERROR(INDEX(PP_Grid[#Data],M_BOM[PPGridRow],68),0))</f>
        <v/>
      </c>
      <c r="BQ68">
        <f>SUMPRODUCT((M_BOM[RM_Code]=$A68)*M_BOM[RM_Qty_Per_Batch]*IFERROR(INDEX(PP_Grid[#Data],M_BOM[PPGridRow],69),0))</f>
        <v/>
      </c>
      <c r="BR68">
        <f>SUMPRODUCT((M_BOM[RM_Code]=$A68)*M_BOM[RM_Qty_Per_Batch]*IFERROR(INDEX(PP_Grid[#Data],M_BOM[PPGridRow],70),0))</f>
        <v/>
      </c>
      <c r="BS68">
        <f>SUMPRODUCT((M_BOM[RM_Code]=$A68)*M_BOM[RM_Qty_Per_Batch]*IFERROR(INDEX(PP_Grid[#Data],M_BOM[PPGridRow],71),0))</f>
        <v/>
      </c>
      <c r="BT68">
        <f>SUMPRODUCT((M_BOM[RM_Code]=$A68)*M_BOM[RM_Qty_Per_Batch]*IFERROR(INDEX(PP_Grid[#Data],M_BOM[PPGridRow],72),0))</f>
        <v/>
      </c>
      <c r="BU68">
        <f>SUMPRODUCT((M_BOM[RM_Code]=$A68)*M_BOM[RM_Qty_Per_Batch]*IFERROR(INDEX(PP_Grid[#Data],M_BOM[PPGridRow],73),0))</f>
        <v/>
      </c>
      <c r="BV68">
        <f>SUMPRODUCT((M_BOM[RM_Code]=$A68)*M_BOM[RM_Qty_Per_Batch]*IFERROR(INDEX(PP_Grid[#Data],M_BOM[PPGridRow],74),0))</f>
        <v/>
      </c>
      <c r="BW68">
        <f>SUMPRODUCT((M_BOM[RM_Code]=$A68)*M_BOM[RM_Qty_Per_Batch]*IFERROR(INDEX(PP_Grid[#Data],M_BOM[PPGridRow],75),0))</f>
        <v/>
      </c>
      <c r="BX68">
        <f>SUMPRODUCT((M_BOM[RM_Code]=$A68)*M_BOM[RM_Qty_Per_Batch]*IFERROR(INDEX(PP_Grid[#Data],M_BOM[PPGridRow],76),0))</f>
        <v/>
      </c>
      <c r="BY68">
        <f>SUMPRODUCT((M_BOM[RM_Code]=$A68)*M_BOM[RM_Qty_Per_Batch]*IFERROR(INDEX(PP_Grid[#Data],M_BOM[PPGridRow],77),0))</f>
        <v/>
      </c>
      <c r="BZ68">
        <f>SUMPRODUCT((M_BOM[RM_Code]=$A68)*M_BOM[RM_Qty_Per_Batch]*IFERROR(INDEX(PP_Grid[#Data],M_BOM[PPGridRow],78),0))</f>
        <v/>
      </c>
      <c r="CA68">
        <f>SUMPRODUCT((M_BOM[RM_Code]=$A68)*M_BOM[RM_Qty_Per_Batch]*IFERROR(INDEX(PP_Grid[#Data],M_BOM[PPGridRow],79),0))</f>
        <v/>
      </c>
      <c r="CB68">
        <f>SUMPRODUCT((M_BOM[RM_Code]=$A68)*M_BOM[RM_Qty_Per_Batch]*IFERROR(INDEX(PP_Grid[#Data],M_BOM[PPGridRow],80),0))</f>
        <v/>
      </c>
      <c r="CC68">
        <f>SUMPRODUCT((M_BOM[RM_Code]=$A68)*M_BOM[RM_Qty_Per_Batch]*IFERROR(INDEX(PP_Grid[#Data],M_BOM[PPGridRow],81),0))</f>
        <v/>
      </c>
      <c r="CD68">
        <f>SUMPRODUCT((M_BOM[RM_Code]=$A68)*M_BOM[RM_Qty_Per_Batch]*IFERROR(INDEX(PP_Grid[#Data],M_BOM[PPGridRow],82),0))</f>
        <v/>
      </c>
      <c r="CE68">
        <f>SUMPRODUCT((M_BOM[RM_Code]=$A68)*M_BOM[RM_Qty_Per_Batch]*IFERROR(INDEX(PP_Grid[#Data],M_BOM[PPGridRow],83),0))</f>
        <v/>
      </c>
      <c r="CF68">
        <f>SUMPRODUCT((M_BOM[RM_Code]=$A68)*M_BOM[RM_Qty_Per_Batch]*IFERROR(INDEX(PP_Grid[#Data],M_BOM[PPGridRow],84),0))</f>
        <v/>
      </c>
      <c r="CG68">
        <f>SUMPRODUCT((M_BOM[RM_Code]=$A68)*M_BOM[RM_Qty_Per_Batch]*IFERROR(INDEX(PP_Grid[#Data],M_BOM[PPGridRow],85),0))</f>
        <v/>
      </c>
      <c r="CH68">
        <f>SUMPRODUCT((M_BOM[RM_Code]=$A68)*M_BOM[RM_Qty_Per_Batch]*IFERROR(INDEX(PP_Grid[#Data],M_BOM[PPGridRow],86),0))</f>
        <v/>
      </c>
      <c r="CI68">
        <f>SUMPRODUCT((M_BOM[RM_Code]=$A68)*M_BOM[RM_Qty_Per_Batch]*IFERROR(INDEX(PP_Grid[#Data],M_BOM[PPGridRow],87),0))</f>
        <v/>
      </c>
      <c r="CJ68">
        <f>SUMPRODUCT((M_BOM[RM_Code]=$A68)*M_BOM[RM_Qty_Per_Batch]*IFERROR(INDEX(PP_Grid[#Data],M_BOM[PPGridRow],88),0))</f>
        <v/>
      </c>
      <c r="CK68">
        <f>SUMPRODUCT((M_BOM[RM_Code]=$A68)*M_BOM[RM_Qty_Per_Batch]*IFERROR(INDEX(PP_Grid[#Data],M_BOM[PPGridRow],89),0))</f>
        <v/>
      </c>
      <c r="CL68">
        <f>SUMPRODUCT((M_BOM[RM_Code]=$A68)*M_BOM[RM_Qty_Per_Batch]*IFERROR(INDEX(PP_Grid[#Data],M_BOM[PPGridRow],90),0))</f>
        <v/>
      </c>
      <c r="CM68">
        <f>SUMPRODUCT((M_BOM[RM_Code]=$A68)*M_BOM[RM_Qty_Per_Batch]*IFERROR(INDEX(PP_Grid[#Data],M_BOM[PPGridRow],91),0))</f>
        <v/>
      </c>
      <c r="CN68">
        <f>SUMPRODUCT((M_BOM[RM_Code]=$A68)*M_BOM[RM_Qty_Per_Batch]*IFERROR(INDEX(PP_Grid[#Data],M_BOM[PPGridRow],92),0))</f>
        <v/>
      </c>
      <c r="CO68">
        <f>SUMPRODUCT((M_BOM[RM_Code]=$A68)*M_BOM[RM_Qty_Per_Batch]*IFERROR(INDEX(PP_Grid[#Data],M_BOM[PPGridRow],93),0))</f>
        <v/>
      </c>
      <c r="CP68">
        <f>SUMPRODUCT((M_BOM[RM_Code]=$A68)*M_BOM[RM_Qty_Per_Batch]*IFERROR(INDEX(PP_Grid[#Data],M_BOM[PPGridRow],94),0))</f>
        <v/>
      </c>
      <c r="CQ68">
        <f>SUMPRODUCT((M_BOM[RM_Code]=$A68)*M_BOM[RM_Qty_Per_Batch]*IFERROR(INDEX(PP_Grid[#Data],M_BOM[PPGridRow],95),0))</f>
        <v/>
      </c>
      <c r="CR68">
        <f>SUMPRODUCT((M_BOM[RM_Code]=$A68)*M_BOM[RM_Qty_Per_Batch]*IFERROR(INDEX(PP_Grid[#Data],M_BOM[PPGridRow],96),0))</f>
        <v/>
      </c>
      <c r="CS68">
        <f>SUMPRODUCT((M_BOM[RM_Code]=$A68)*M_BOM[RM_Qty_Per_Batch]*IFERROR(INDEX(PP_Grid[#Data],M_BOM[PPGridRow],97),0))</f>
        <v/>
      </c>
      <c r="CT68">
        <f>SUMPRODUCT((M_BOM[RM_Code]=$A68)*M_BOM[RM_Qty_Per_Batch]*IFERROR(INDEX(PP_Grid[#Data],M_BOM[PPGridRow],98),0))</f>
        <v/>
      </c>
      <c r="CU68">
        <f>SUMPRODUCT((M_BOM[RM_Code]=$A68)*M_BOM[RM_Qty_Per_Batch]*IFERROR(INDEX(PP_Grid[#Data],M_BOM[PPGridRow],99),0))</f>
        <v/>
      </c>
      <c r="CV68">
        <f>SUMPRODUCT((M_BOM[RM_Code]=$A68)*M_BOM[RM_Qty_Per_Batch]*IFERROR(INDEX(PP_Grid[#Data],M_BOM[PPGridRow],100),0))</f>
        <v/>
      </c>
      <c r="CW68">
        <f>SUMPRODUCT((M_BOM[RM_Code]=$A68)*M_BOM[RM_Qty_Per_Batch]*IFERROR(INDEX(PP_Grid[#Data],M_BOM[PPGridRow],101),0))</f>
        <v/>
      </c>
      <c r="CX68">
        <f>SUMPRODUCT((M_BOM[RM_Code]=$A68)*M_BOM[RM_Qty_Per_Batch]*IFERROR(INDEX(PP_Grid[#Data],M_BOM[PPGridRow],102),0))</f>
        <v/>
      </c>
      <c r="CY68">
        <f>SUMPRODUCT((M_BOM[RM_Code]=$A68)*M_BOM[RM_Qty_Per_Batch]*IFERROR(INDEX(PP_Grid[#Data],M_BOM[PPGridRow],103),0))</f>
        <v/>
      </c>
      <c r="CZ68">
        <f>SUMPRODUCT((M_BOM[RM_Code]=$A68)*M_BOM[RM_Qty_Per_Batch]*IFERROR(INDEX(PP_Grid[#Data],M_BOM[PPGridRow],104),0))</f>
        <v/>
      </c>
      <c r="DA68">
        <f>SUMPRODUCT((M_BOM[RM_Code]=$A68)*M_BOM[RM_Qty_Per_Batch]*IFERROR(INDEX(PP_Grid[#Data],M_BOM[PPGridRow],105),0))</f>
        <v/>
      </c>
    </row>
    <row r="69">
      <c r="A69" t="inlineStr">
        <is>
          <t>CHEM-1740</t>
        </is>
      </c>
      <c r="B69">
        <f>SUMPRODUCT((M_BOM[RM_Code]=$A69)*M_BOM[RM_Qty_Per_Batch]*IFERROR(INDEX(PP_Grid[#Data],M_BOM[PPGridRow],2),0))</f>
        <v/>
      </c>
      <c r="C69">
        <f>SUMPRODUCT((M_BOM[RM_Code]=$A69)*M_BOM[RM_Qty_Per_Batch]*IFERROR(INDEX(PP_Grid[#Data],M_BOM[PPGridRow],3),0))</f>
        <v/>
      </c>
      <c r="D69">
        <f>SUMPRODUCT((M_BOM[RM_Code]=$A69)*M_BOM[RM_Qty_Per_Batch]*IFERROR(INDEX(PP_Grid[#Data],M_BOM[PPGridRow],4),0))</f>
        <v/>
      </c>
      <c r="E69">
        <f>SUMPRODUCT((M_BOM[RM_Code]=$A69)*M_BOM[RM_Qty_Per_Batch]*IFERROR(INDEX(PP_Grid[#Data],M_BOM[PPGridRow],5),0))</f>
        <v/>
      </c>
      <c r="F69">
        <f>SUMPRODUCT((M_BOM[RM_Code]=$A69)*M_BOM[RM_Qty_Per_Batch]*IFERROR(INDEX(PP_Grid[#Data],M_BOM[PPGridRow],6),0))</f>
        <v/>
      </c>
      <c r="G69">
        <f>SUMPRODUCT((M_BOM[RM_Code]=$A69)*M_BOM[RM_Qty_Per_Batch]*IFERROR(INDEX(PP_Grid[#Data],M_BOM[PPGridRow],7),0))</f>
        <v/>
      </c>
      <c r="H69">
        <f>SUMPRODUCT((M_BOM[RM_Code]=$A69)*M_BOM[RM_Qty_Per_Batch]*IFERROR(INDEX(PP_Grid[#Data],M_BOM[PPGridRow],8),0))</f>
        <v/>
      </c>
      <c r="I69">
        <f>SUMPRODUCT((M_BOM[RM_Code]=$A69)*M_BOM[RM_Qty_Per_Batch]*IFERROR(INDEX(PP_Grid[#Data],M_BOM[PPGridRow],9),0))</f>
        <v/>
      </c>
      <c r="J69">
        <f>SUMPRODUCT((M_BOM[RM_Code]=$A69)*M_BOM[RM_Qty_Per_Batch]*IFERROR(INDEX(PP_Grid[#Data],M_BOM[PPGridRow],10),0))</f>
        <v/>
      </c>
      <c r="K69">
        <f>SUMPRODUCT((M_BOM[RM_Code]=$A69)*M_BOM[RM_Qty_Per_Batch]*IFERROR(INDEX(PP_Grid[#Data],M_BOM[PPGridRow],11),0))</f>
        <v/>
      </c>
      <c r="L69">
        <f>SUMPRODUCT((M_BOM[RM_Code]=$A69)*M_BOM[RM_Qty_Per_Batch]*IFERROR(INDEX(PP_Grid[#Data],M_BOM[PPGridRow],12),0))</f>
        <v/>
      </c>
      <c r="M69">
        <f>SUMPRODUCT((M_BOM[RM_Code]=$A69)*M_BOM[RM_Qty_Per_Batch]*IFERROR(INDEX(PP_Grid[#Data],M_BOM[PPGridRow],13),0))</f>
        <v/>
      </c>
      <c r="N69">
        <f>SUMPRODUCT((M_BOM[RM_Code]=$A69)*M_BOM[RM_Qty_Per_Batch]*IFERROR(INDEX(PP_Grid[#Data],M_BOM[PPGridRow],14),0))</f>
        <v/>
      </c>
      <c r="O69">
        <f>SUMPRODUCT((M_BOM[RM_Code]=$A69)*M_BOM[RM_Qty_Per_Batch]*IFERROR(INDEX(PP_Grid[#Data],M_BOM[PPGridRow],15),0))</f>
        <v/>
      </c>
      <c r="P69">
        <f>SUMPRODUCT((M_BOM[RM_Code]=$A69)*M_BOM[RM_Qty_Per_Batch]*IFERROR(INDEX(PP_Grid[#Data],M_BOM[PPGridRow],16),0))</f>
        <v/>
      </c>
      <c r="Q69">
        <f>SUMPRODUCT((M_BOM[RM_Code]=$A69)*M_BOM[RM_Qty_Per_Batch]*IFERROR(INDEX(PP_Grid[#Data],M_BOM[PPGridRow],17),0))</f>
        <v/>
      </c>
      <c r="R69">
        <f>SUMPRODUCT((M_BOM[RM_Code]=$A69)*M_BOM[RM_Qty_Per_Batch]*IFERROR(INDEX(PP_Grid[#Data],M_BOM[PPGridRow],18),0))</f>
        <v/>
      </c>
      <c r="S69">
        <f>SUMPRODUCT((M_BOM[RM_Code]=$A69)*M_BOM[RM_Qty_Per_Batch]*IFERROR(INDEX(PP_Grid[#Data],M_BOM[PPGridRow],19),0))</f>
        <v/>
      </c>
      <c r="T69">
        <f>SUMPRODUCT((M_BOM[RM_Code]=$A69)*M_BOM[RM_Qty_Per_Batch]*IFERROR(INDEX(PP_Grid[#Data],M_BOM[PPGridRow],20),0))</f>
        <v/>
      </c>
      <c r="U69">
        <f>SUMPRODUCT((M_BOM[RM_Code]=$A69)*M_BOM[RM_Qty_Per_Batch]*IFERROR(INDEX(PP_Grid[#Data],M_BOM[PPGridRow],21),0))</f>
        <v/>
      </c>
      <c r="V69">
        <f>SUMPRODUCT((M_BOM[RM_Code]=$A69)*M_BOM[RM_Qty_Per_Batch]*IFERROR(INDEX(PP_Grid[#Data],M_BOM[PPGridRow],22),0))</f>
        <v/>
      </c>
      <c r="W69">
        <f>SUMPRODUCT((M_BOM[RM_Code]=$A69)*M_BOM[RM_Qty_Per_Batch]*IFERROR(INDEX(PP_Grid[#Data],M_BOM[PPGridRow],23),0))</f>
        <v/>
      </c>
      <c r="X69">
        <f>SUMPRODUCT((M_BOM[RM_Code]=$A69)*M_BOM[RM_Qty_Per_Batch]*IFERROR(INDEX(PP_Grid[#Data],M_BOM[PPGridRow],24),0))</f>
        <v/>
      </c>
      <c r="Y69">
        <f>SUMPRODUCT((M_BOM[RM_Code]=$A69)*M_BOM[RM_Qty_Per_Batch]*IFERROR(INDEX(PP_Grid[#Data],M_BOM[PPGridRow],25),0))</f>
        <v/>
      </c>
      <c r="Z69">
        <f>SUMPRODUCT((M_BOM[RM_Code]=$A69)*M_BOM[RM_Qty_Per_Batch]*IFERROR(INDEX(PP_Grid[#Data],M_BOM[PPGridRow],26),0))</f>
        <v/>
      </c>
      <c r="AA69">
        <f>SUMPRODUCT((M_BOM[RM_Code]=$A69)*M_BOM[RM_Qty_Per_Batch]*IFERROR(INDEX(PP_Grid[#Data],M_BOM[PPGridRow],27),0))</f>
        <v/>
      </c>
      <c r="AB69">
        <f>SUMPRODUCT((M_BOM[RM_Code]=$A69)*M_BOM[RM_Qty_Per_Batch]*IFERROR(INDEX(PP_Grid[#Data],M_BOM[PPGridRow],28),0))</f>
        <v/>
      </c>
      <c r="AC69">
        <f>SUMPRODUCT((M_BOM[RM_Code]=$A69)*M_BOM[RM_Qty_Per_Batch]*IFERROR(INDEX(PP_Grid[#Data],M_BOM[PPGridRow],29),0))</f>
        <v/>
      </c>
      <c r="AD69">
        <f>SUMPRODUCT((M_BOM[RM_Code]=$A69)*M_BOM[RM_Qty_Per_Batch]*IFERROR(INDEX(PP_Grid[#Data],M_BOM[PPGridRow],30),0))</f>
        <v/>
      </c>
      <c r="AE69">
        <f>SUMPRODUCT((M_BOM[RM_Code]=$A69)*M_BOM[RM_Qty_Per_Batch]*IFERROR(INDEX(PP_Grid[#Data],M_BOM[PPGridRow],31),0))</f>
        <v/>
      </c>
      <c r="AF69">
        <f>SUMPRODUCT((M_BOM[RM_Code]=$A69)*M_BOM[RM_Qty_Per_Batch]*IFERROR(INDEX(PP_Grid[#Data],M_BOM[PPGridRow],32),0))</f>
        <v/>
      </c>
      <c r="AG69">
        <f>SUMPRODUCT((M_BOM[RM_Code]=$A69)*M_BOM[RM_Qty_Per_Batch]*IFERROR(INDEX(PP_Grid[#Data],M_BOM[PPGridRow],33),0))</f>
        <v/>
      </c>
      <c r="AH69">
        <f>SUMPRODUCT((M_BOM[RM_Code]=$A69)*M_BOM[RM_Qty_Per_Batch]*IFERROR(INDEX(PP_Grid[#Data],M_BOM[PPGridRow],34),0))</f>
        <v/>
      </c>
      <c r="AI69">
        <f>SUMPRODUCT((M_BOM[RM_Code]=$A69)*M_BOM[RM_Qty_Per_Batch]*IFERROR(INDEX(PP_Grid[#Data],M_BOM[PPGridRow],35),0))</f>
        <v/>
      </c>
      <c r="AJ69">
        <f>SUMPRODUCT((M_BOM[RM_Code]=$A69)*M_BOM[RM_Qty_Per_Batch]*IFERROR(INDEX(PP_Grid[#Data],M_BOM[PPGridRow],36),0))</f>
        <v/>
      </c>
      <c r="AK69">
        <f>SUMPRODUCT((M_BOM[RM_Code]=$A69)*M_BOM[RM_Qty_Per_Batch]*IFERROR(INDEX(PP_Grid[#Data],M_BOM[PPGridRow],37),0))</f>
        <v/>
      </c>
      <c r="AL69">
        <f>SUMPRODUCT((M_BOM[RM_Code]=$A69)*M_BOM[RM_Qty_Per_Batch]*IFERROR(INDEX(PP_Grid[#Data],M_BOM[PPGridRow],38),0))</f>
        <v/>
      </c>
      <c r="AM69">
        <f>SUMPRODUCT((M_BOM[RM_Code]=$A69)*M_BOM[RM_Qty_Per_Batch]*IFERROR(INDEX(PP_Grid[#Data],M_BOM[PPGridRow],39),0))</f>
        <v/>
      </c>
      <c r="AN69">
        <f>SUMPRODUCT((M_BOM[RM_Code]=$A69)*M_BOM[RM_Qty_Per_Batch]*IFERROR(INDEX(PP_Grid[#Data],M_BOM[PPGridRow],40),0))</f>
        <v/>
      </c>
      <c r="AO69">
        <f>SUMPRODUCT((M_BOM[RM_Code]=$A69)*M_BOM[RM_Qty_Per_Batch]*IFERROR(INDEX(PP_Grid[#Data],M_BOM[PPGridRow],41),0))</f>
        <v/>
      </c>
      <c r="AP69">
        <f>SUMPRODUCT((M_BOM[RM_Code]=$A69)*M_BOM[RM_Qty_Per_Batch]*IFERROR(INDEX(PP_Grid[#Data],M_BOM[PPGridRow],42),0))</f>
        <v/>
      </c>
      <c r="AQ69">
        <f>SUMPRODUCT((M_BOM[RM_Code]=$A69)*M_BOM[RM_Qty_Per_Batch]*IFERROR(INDEX(PP_Grid[#Data],M_BOM[PPGridRow],43),0))</f>
        <v/>
      </c>
      <c r="AR69">
        <f>SUMPRODUCT((M_BOM[RM_Code]=$A69)*M_BOM[RM_Qty_Per_Batch]*IFERROR(INDEX(PP_Grid[#Data],M_BOM[PPGridRow],44),0))</f>
        <v/>
      </c>
      <c r="AS69">
        <f>SUMPRODUCT((M_BOM[RM_Code]=$A69)*M_BOM[RM_Qty_Per_Batch]*IFERROR(INDEX(PP_Grid[#Data],M_BOM[PPGridRow],45),0))</f>
        <v/>
      </c>
      <c r="AT69">
        <f>SUMPRODUCT((M_BOM[RM_Code]=$A69)*M_BOM[RM_Qty_Per_Batch]*IFERROR(INDEX(PP_Grid[#Data],M_BOM[PPGridRow],46),0))</f>
        <v/>
      </c>
      <c r="AU69">
        <f>SUMPRODUCT((M_BOM[RM_Code]=$A69)*M_BOM[RM_Qty_Per_Batch]*IFERROR(INDEX(PP_Grid[#Data],M_BOM[PPGridRow],47),0))</f>
        <v/>
      </c>
      <c r="AV69">
        <f>SUMPRODUCT((M_BOM[RM_Code]=$A69)*M_BOM[RM_Qty_Per_Batch]*IFERROR(INDEX(PP_Grid[#Data],M_BOM[PPGridRow],48),0))</f>
        <v/>
      </c>
      <c r="AW69">
        <f>SUMPRODUCT((M_BOM[RM_Code]=$A69)*M_BOM[RM_Qty_Per_Batch]*IFERROR(INDEX(PP_Grid[#Data],M_BOM[PPGridRow],49),0))</f>
        <v/>
      </c>
      <c r="AX69">
        <f>SUMPRODUCT((M_BOM[RM_Code]=$A69)*M_BOM[RM_Qty_Per_Batch]*IFERROR(INDEX(PP_Grid[#Data],M_BOM[PPGridRow],50),0))</f>
        <v/>
      </c>
      <c r="AY69">
        <f>SUMPRODUCT((M_BOM[RM_Code]=$A69)*M_BOM[RM_Qty_Per_Batch]*IFERROR(INDEX(PP_Grid[#Data],M_BOM[PPGridRow],51),0))</f>
        <v/>
      </c>
      <c r="AZ69">
        <f>SUMPRODUCT((M_BOM[RM_Code]=$A69)*M_BOM[RM_Qty_Per_Batch]*IFERROR(INDEX(PP_Grid[#Data],M_BOM[PPGridRow],52),0))</f>
        <v/>
      </c>
      <c r="BA69">
        <f>SUMPRODUCT((M_BOM[RM_Code]=$A69)*M_BOM[RM_Qty_Per_Batch]*IFERROR(INDEX(PP_Grid[#Data],M_BOM[PPGridRow],53),0))</f>
        <v/>
      </c>
      <c r="BB69">
        <f>SUMPRODUCT((M_BOM[RM_Code]=$A69)*M_BOM[RM_Qty_Per_Batch]*IFERROR(INDEX(PP_Grid[#Data],M_BOM[PPGridRow],54),0))</f>
        <v/>
      </c>
      <c r="BC69">
        <f>SUMPRODUCT((M_BOM[RM_Code]=$A69)*M_BOM[RM_Qty_Per_Batch]*IFERROR(INDEX(PP_Grid[#Data],M_BOM[PPGridRow],55),0))</f>
        <v/>
      </c>
      <c r="BD69">
        <f>SUMPRODUCT((M_BOM[RM_Code]=$A69)*M_BOM[RM_Qty_Per_Batch]*IFERROR(INDEX(PP_Grid[#Data],M_BOM[PPGridRow],56),0))</f>
        <v/>
      </c>
      <c r="BE69">
        <f>SUMPRODUCT((M_BOM[RM_Code]=$A69)*M_BOM[RM_Qty_Per_Batch]*IFERROR(INDEX(PP_Grid[#Data],M_BOM[PPGridRow],57),0))</f>
        <v/>
      </c>
      <c r="BF69">
        <f>SUMPRODUCT((M_BOM[RM_Code]=$A69)*M_BOM[RM_Qty_Per_Batch]*IFERROR(INDEX(PP_Grid[#Data],M_BOM[PPGridRow],58),0))</f>
        <v/>
      </c>
      <c r="BG69">
        <f>SUMPRODUCT((M_BOM[RM_Code]=$A69)*M_BOM[RM_Qty_Per_Batch]*IFERROR(INDEX(PP_Grid[#Data],M_BOM[PPGridRow],59),0))</f>
        <v/>
      </c>
      <c r="BH69">
        <f>SUMPRODUCT((M_BOM[RM_Code]=$A69)*M_BOM[RM_Qty_Per_Batch]*IFERROR(INDEX(PP_Grid[#Data],M_BOM[PPGridRow],60),0))</f>
        <v/>
      </c>
      <c r="BI69">
        <f>SUMPRODUCT((M_BOM[RM_Code]=$A69)*M_BOM[RM_Qty_Per_Batch]*IFERROR(INDEX(PP_Grid[#Data],M_BOM[PPGridRow],61),0))</f>
        <v/>
      </c>
      <c r="BJ69">
        <f>SUMPRODUCT((M_BOM[RM_Code]=$A69)*M_BOM[RM_Qty_Per_Batch]*IFERROR(INDEX(PP_Grid[#Data],M_BOM[PPGridRow],62),0))</f>
        <v/>
      </c>
      <c r="BK69">
        <f>SUMPRODUCT((M_BOM[RM_Code]=$A69)*M_BOM[RM_Qty_Per_Batch]*IFERROR(INDEX(PP_Grid[#Data],M_BOM[PPGridRow],63),0))</f>
        <v/>
      </c>
      <c r="BL69">
        <f>SUMPRODUCT((M_BOM[RM_Code]=$A69)*M_BOM[RM_Qty_Per_Batch]*IFERROR(INDEX(PP_Grid[#Data],M_BOM[PPGridRow],64),0))</f>
        <v/>
      </c>
      <c r="BM69">
        <f>SUMPRODUCT((M_BOM[RM_Code]=$A69)*M_BOM[RM_Qty_Per_Batch]*IFERROR(INDEX(PP_Grid[#Data],M_BOM[PPGridRow],65),0))</f>
        <v/>
      </c>
      <c r="BN69">
        <f>SUMPRODUCT((M_BOM[RM_Code]=$A69)*M_BOM[RM_Qty_Per_Batch]*IFERROR(INDEX(PP_Grid[#Data],M_BOM[PPGridRow],66),0))</f>
        <v/>
      </c>
      <c r="BO69">
        <f>SUMPRODUCT((M_BOM[RM_Code]=$A69)*M_BOM[RM_Qty_Per_Batch]*IFERROR(INDEX(PP_Grid[#Data],M_BOM[PPGridRow],67),0))</f>
        <v/>
      </c>
      <c r="BP69">
        <f>SUMPRODUCT((M_BOM[RM_Code]=$A69)*M_BOM[RM_Qty_Per_Batch]*IFERROR(INDEX(PP_Grid[#Data],M_BOM[PPGridRow],68),0))</f>
        <v/>
      </c>
      <c r="BQ69">
        <f>SUMPRODUCT((M_BOM[RM_Code]=$A69)*M_BOM[RM_Qty_Per_Batch]*IFERROR(INDEX(PP_Grid[#Data],M_BOM[PPGridRow],69),0))</f>
        <v/>
      </c>
      <c r="BR69">
        <f>SUMPRODUCT((M_BOM[RM_Code]=$A69)*M_BOM[RM_Qty_Per_Batch]*IFERROR(INDEX(PP_Grid[#Data],M_BOM[PPGridRow],70),0))</f>
        <v/>
      </c>
      <c r="BS69">
        <f>SUMPRODUCT((M_BOM[RM_Code]=$A69)*M_BOM[RM_Qty_Per_Batch]*IFERROR(INDEX(PP_Grid[#Data],M_BOM[PPGridRow],71),0))</f>
        <v/>
      </c>
      <c r="BT69">
        <f>SUMPRODUCT((M_BOM[RM_Code]=$A69)*M_BOM[RM_Qty_Per_Batch]*IFERROR(INDEX(PP_Grid[#Data],M_BOM[PPGridRow],72),0))</f>
        <v/>
      </c>
      <c r="BU69">
        <f>SUMPRODUCT((M_BOM[RM_Code]=$A69)*M_BOM[RM_Qty_Per_Batch]*IFERROR(INDEX(PP_Grid[#Data],M_BOM[PPGridRow],73),0))</f>
        <v/>
      </c>
      <c r="BV69">
        <f>SUMPRODUCT((M_BOM[RM_Code]=$A69)*M_BOM[RM_Qty_Per_Batch]*IFERROR(INDEX(PP_Grid[#Data],M_BOM[PPGridRow],74),0))</f>
        <v/>
      </c>
      <c r="BW69">
        <f>SUMPRODUCT((M_BOM[RM_Code]=$A69)*M_BOM[RM_Qty_Per_Batch]*IFERROR(INDEX(PP_Grid[#Data],M_BOM[PPGridRow],75),0))</f>
        <v/>
      </c>
      <c r="BX69">
        <f>SUMPRODUCT((M_BOM[RM_Code]=$A69)*M_BOM[RM_Qty_Per_Batch]*IFERROR(INDEX(PP_Grid[#Data],M_BOM[PPGridRow],76),0))</f>
        <v/>
      </c>
      <c r="BY69">
        <f>SUMPRODUCT((M_BOM[RM_Code]=$A69)*M_BOM[RM_Qty_Per_Batch]*IFERROR(INDEX(PP_Grid[#Data],M_BOM[PPGridRow],77),0))</f>
        <v/>
      </c>
      <c r="BZ69">
        <f>SUMPRODUCT((M_BOM[RM_Code]=$A69)*M_BOM[RM_Qty_Per_Batch]*IFERROR(INDEX(PP_Grid[#Data],M_BOM[PPGridRow],78),0))</f>
        <v/>
      </c>
      <c r="CA69">
        <f>SUMPRODUCT((M_BOM[RM_Code]=$A69)*M_BOM[RM_Qty_Per_Batch]*IFERROR(INDEX(PP_Grid[#Data],M_BOM[PPGridRow],79),0))</f>
        <v/>
      </c>
      <c r="CB69">
        <f>SUMPRODUCT((M_BOM[RM_Code]=$A69)*M_BOM[RM_Qty_Per_Batch]*IFERROR(INDEX(PP_Grid[#Data],M_BOM[PPGridRow],80),0))</f>
        <v/>
      </c>
      <c r="CC69">
        <f>SUMPRODUCT((M_BOM[RM_Code]=$A69)*M_BOM[RM_Qty_Per_Batch]*IFERROR(INDEX(PP_Grid[#Data],M_BOM[PPGridRow],81),0))</f>
        <v/>
      </c>
      <c r="CD69">
        <f>SUMPRODUCT((M_BOM[RM_Code]=$A69)*M_BOM[RM_Qty_Per_Batch]*IFERROR(INDEX(PP_Grid[#Data],M_BOM[PPGridRow],82),0))</f>
        <v/>
      </c>
      <c r="CE69">
        <f>SUMPRODUCT((M_BOM[RM_Code]=$A69)*M_BOM[RM_Qty_Per_Batch]*IFERROR(INDEX(PP_Grid[#Data],M_BOM[PPGridRow],83),0))</f>
        <v/>
      </c>
      <c r="CF69">
        <f>SUMPRODUCT((M_BOM[RM_Code]=$A69)*M_BOM[RM_Qty_Per_Batch]*IFERROR(INDEX(PP_Grid[#Data],M_BOM[PPGridRow],84),0))</f>
        <v/>
      </c>
      <c r="CG69">
        <f>SUMPRODUCT((M_BOM[RM_Code]=$A69)*M_BOM[RM_Qty_Per_Batch]*IFERROR(INDEX(PP_Grid[#Data],M_BOM[PPGridRow],85),0))</f>
        <v/>
      </c>
      <c r="CH69">
        <f>SUMPRODUCT((M_BOM[RM_Code]=$A69)*M_BOM[RM_Qty_Per_Batch]*IFERROR(INDEX(PP_Grid[#Data],M_BOM[PPGridRow],86),0))</f>
        <v/>
      </c>
      <c r="CI69">
        <f>SUMPRODUCT((M_BOM[RM_Code]=$A69)*M_BOM[RM_Qty_Per_Batch]*IFERROR(INDEX(PP_Grid[#Data],M_BOM[PPGridRow],87),0))</f>
        <v/>
      </c>
      <c r="CJ69">
        <f>SUMPRODUCT((M_BOM[RM_Code]=$A69)*M_BOM[RM_Qty_Per_Batch]*IFERROR(INDEX(PP_Grid[#Data],M_BOM[PPGridRow],88),0))</f>
        <v/>
      </c>
      <c r="CK69">
        <f>SUMPRODUCT((M_BOM[RM_Code]=$A69)*M_BOM[RM_Qty_Per_Batch]*IFERROR(INDEX(PP_Grid[#Data],M_BOM[PPGridRow],89),0))</f>
        <v/>
      </c>
      <c r="CL69">
        <f>SUMPRODUCT((M_BOM[RM_Code]=$A69)*M_BOM[RM_Qty_Per_Batch]*IFERROR(INDEX(PP_Grid[#Data],M_BOM[PPGridRow],90),0))</f>
        <v/>
      </c>
      <c r="CM69">
        <f>SUMPRODUCT((M_BOM[RM_Code]=$A69)*M_BOM[RM_Qty_Per_Batch]*IFERROR(INDEX(PP_Grid[#Data],M_BOM[PPGridRow],91),0))</f>
        <v/>
      </c>
      <c r="CN69">
        <f>SUMPRODUCT((M_BOM[RM_Code]=$A69)*M_BOM[RM_Qty_Per_Batch]*IFERROR(INDEX(PP_Grid[#Data],M_BOM[PPGridRow],92),0))</f>
        <v/>
      </c>
      <c r="CO69">
        <f>SUMPRODUCT((M_BOM[RM_Code]=$A69)*M_BOM[RM_Qty_Per_Batch]*IFERROR(INDEX(PP_Grid[#Data],M_BOM[PPGridRow],93),0))</f>
        <v/>
      </c>
      <c r="CP69">
        <f>SUMPRODUCT((M_BOM[RM_Code]=$A69)*M_BOM[RM_Qty_Per_Batch]*IFERROR(INDEX(PP_Grid[#Data],M_BOM[PPGridRow],94),0))</f>
        <v/>
      </c>
      <c r="CQ69">
        <f>SUMPRODUCT((M_BOM[RM_Code]=$A69)*M_BOM[RM_Qty_Per_Batch]*IFERROR(INDEX(PP_Grid[#Data],M_BOM[PPGridRow],95),0))</f>
        <v/>
      </c>
      <c r="CR69">
        <f>SUMPRODUCT((M_BOM[RM_Code]=$A69)*M_BOM[RM_Qty_Per_Batch]*IFERROR(INDEX(PP_Grid[#Data],M_BOM[PPGridRow],96),0))</f>
        <v/>
      </c>
      <c r="CS69">
        <f>SUMPRODUCT((M_BOM[RM_Code]=$A69)*M_BOM[RM_Qty_Per_Batch]*IFERROR(INDEX(PP_Grid[#Data],M_BOM[PPGridRow],97),0))</f>
        <v/>
      </c>
      <c r="CT69">
        <f>SUMPRODUCT((M_BOM[RM_Code]=$A69)*M_BOM[RM_Qty_Per_Batch]*IFERROR(INDEX(PP_Grid[#Data],M_BOM[PPGridRow],98),0))</f>
        <v/>
      </c>
      <c r="CU69">
        <f>SUMPRODUCT((M_BOM[RM_Code]=$A69)*M_BOM[RM_Qty_Per_Batch]*IFERROR(INDEX(PP_Grid[#Data],M_BOM[PPGridRow],99),0))</f>
        <v/>
      </c>
      <c r="CV69">
        <f>SUMPRODUCT((M_BOM[RM_Code]=$A69)*M_BOM[RM_Qty_Per_Batch]*IFERROR(INDEX(PP_Grid[#Data],M_BOM[PPGridRow],100),0))</f>
        <v/>
      </c>
      <c r="CW69">
        <f>SUMPRODUCT((M_BOM[RM_Code]=$A69)*M_BOM[RM_Qty_Per_Batch]*IFERROR(INDEX(PP_Grid[#Data],M_BOM[PPGridRow],101),0))</f>
        <v/>
      </c>
      <c r="CX69">
        <f>SUMPRODUCT((M_BOM[RM_Code]=$A69)*M_BOM[RM_Qty_Per_Batch]*IFERROR(INDEX(PP_Grid[#Data],M_BOM[PPGridRow],102),0))</f>
        <v/>
      </c>
      <c r="CY69">
        <f>SUMPRODUCT((M_BOM[RM_Code]=$A69)*M_BOM[RM_Qty_Per_Batch]*IFERROR(INDEX(PP_Grid[#Data],M_BOM[PPGridRow],103),0))</f>
        <v/>
      </c>
      <c r="CZ69">
        <f>SUMPRODUCT((M_BOM[RM_Code]=$A69)*M_BOM[RM_Qty_Per_Batch]*IFERROR(INDEX(PP_Grid[#Data],M_BOM[PPGridRow],104),0))</f>
        <v/>
      </c>
      <c r="DA69">
        <f>SUMPRODUCT((M_BOM[RM_Code]=$A69)*M_BOM[RM_Qty_Per_Batch]*IFERROR(INDEX(PP_Grid[#Data],M_BOM[PPGridRow],105),0))</f>
        <v/>
      </c>
    </row>
    <row r="70">
      <c r="A70" t="inlineStr">
        <is>
          <t>CHEM-1750</t>
        </is>
      </c>
      <c r="B70">
        <f>SUMPRODUCT((M_BOM[RM_Code]=$A70)*M_BOM[RM_Qty_Per_Batch]*IFERROR(INDEX(PP_Grid[#Data],M_BOM[PPGridRow],2),0))</f>
        <v/>
      </c>
      <c r="C70">
        <f>SUMPRODUCT((M_BOM[RM_Code]=$A70)*M_BOM[RM_Qty_Per_Batch]*IFERROR(INDEX(PP_Grid[#Data],M_BOM[PPGridRow],3),0))</f>
        <v/>
      </c>
      <c r="D70">
        <f>SUMPRODUCT((M_BOM[RM_Code]=$A70)*M_BOM[RM_Qty_Per_Batch]*IFERROR(INDEX(PP_Grid[#Data],M_BOM[PPGridRow],4),0))</f>
        <v/>
      </c>
      <c r="E70">
        <f>SUMPRODUCT((M_BOM[RM_Code]=$A70)*M_BOM[RM_Qty_Per_Batch]*IFERROR(INDEX(PP_Grid[#Data],M_BOM[PPGridRow],5),0))</f>
        <v/>
      </c>
      <c r="F70">
        <f>SUMPRODUCT((M_BOM[RM_Code]=$A70)*M_BOM[RM_Qty_Per_Batch]*IFERROR(INDEX(PP_Grid[#Data],M_BOM[PPGridRow],6),0))</f>
        <v/>
      </c>
      <c r="G70">
        <f>SUMPRODUCT((M_BOM[RM_Code]=$A70)*M_BOM[RM_Qty_Per_Batch]*IFERROR(INDEX(PP_Grid[#Data],M_BOM[PPGridRow],7),0))</f>
        <v/>
      </c>
      <c r="H70">
        <f>SUMPRODUCT((M_BOM[RM_Code]=$A70)*M_BOM[RM_Qty_Per_Batch]*IFERROR(INDEX(PP_Grid[#Data],M_BOM[PPGridRow],8),0))</f>
        <v/>
      </c>
      <c r="I70">
        <f>SUMPRODUCT((M_BOM[RM_Code]=$A70)*M_BOM[RM_Qty_Per_Batch]*IFERROR(INDEX(PP_Grid[#Data],M_BOM[PPGridRow],9),0))</f>
        <v/>
      </c>
      <c r="J70">
        <f>SUMPRODUCT((M_BOM[RM_Code]=$A70)*M_BOM[RM_Qty_Per_Batch]*IFERROR(INDEX(PP_Grid[#Data],M_BOM[PPGridRow],10),0))</f>
        <v/>
      </c>
      <c r="K70">
        <f>SUMPRODUCT((M_BOM[RM_Code]=$A70)*M_BOM[RM_Qty_Per_Batch]*IFERROR(INDEX(PP_Grid[#Data],M_BOM[PPGridRow],11),0))</f>
        <v/>
      </c>
      <c r="L70">
        <f>SUMPRODUCT((M_BOM[RM_Code]=$A70)*M_BOM[RM_Qty_Per_Batch]*IFERROR(INDEX(PP_Grid[#Data],M_BOM[PPGridRow],12),0))</f>
        <v/>
      </c>
      <c r="M70">
        <f>SUMPRODUCT((M_BOM[RM_Code]=$A70)*M_BOM[RM_Qty_Per_Batch]*IFERROR(INDEX(PP_Grid[#Data],M_BOM[PPGridRow],13),0))</f>
        <v/>
      </c>
      <c r="N70">
        <f>SUMPRODUCT((M_BOM[RM_Code]=$A70)*M_BOM[RM_Qty_Per_Batch]*IFERROR(INDEX(PP_Grid[#Data],M_BOM[PPGridRow],14),0))</f>
        <v/>
      </c>
      <c r="O70">
        <f>SUMPRODUCT((M_BOM[RM_Code]=$A70)*M_BOM[RM_Qty_Per_Batch]*IFERROR(INDEX(PP_Grid[#Data],M_BOM[PPGridRow],15),0))</f>
        <v/>
      </c>
      <c r="P70">
        <f>SUMPRODUCT((M_BOM[RM_Code]=$A70)*M_BOM[RM_Qty_Per_Batch]*IFERROR(INDEX(PP_Grid[#Data],M_BOM[PPGridRow],16),0))</f>
        <v/>
      </c>
      <c r="Q70">
        <f>SUMPRODUCT((M_BOM[RM_Code]=$A70)*M_BOM[RM_Qty_Per_Batch]*IFERROR(INDEX(PP_Grid[#Data],M_BOM[PPGridRow],17),0))</f>
        <v/>
      </c>
      <c r="R70">
        <f>SUMPRODUCT((M_BOM[RM_Code]=$A70)*M_BOM[RM_Qty_Per_Batch]*IFERROR(INDEX(PP_Grid[#Data],M_BOM[PPGridRow],18),0))</f>
        <v/>
      </c>
      <c r="S70">
        <f>SUMPRODUCT((M_BOM[RM_Code]=$A70)*M_BOM[RM_Qty_Per_Batch]*IFERROR(INDEX(PP_Grid[#Data],M_BOM[PPGridRow],19),0))</f>
        <v/>
      </c>
      <c r="T70">
        <f>SUMPRODUCT((M_BOM[RM_Code]=$A70)*M_BOM[RM_Qty_Per_Batch]*IFERROR(INDEX(PP_Grid[#Data],M_BOM[PPGridRow],20),0))</f>
        <v/>
      </c>
      <c r="U70">
        <f>SUMPRODUCT((M_BOM[RM_Code]=$A70)*M_BOM[RM_Qty_Per_Batch]*IFERROR(INDEX(PP_Grid[#Data],M_BOM[PPGridRow],21),0))</f>
        <v/>
      </c>
      <c r="V70">
        <f>SUMPRODUCT((M_BOM[RM_Code]=$A70)*M_BOM[RM_Qty_Per_Batch]*IFERROR(INDEX(PP_Grid[#Data],M_BOM[PPGridRow],22),0))</f>
        <v/>
      </c>
      <c r="W70">
        <f>SUMPRODUCT((M_BOM[RM_Code]=$A70)*M_BOM[RM_Qty_Per_Batch]*IFERROR(INDEX(PP_Grid[#Data],M_BOM[PPGridRow],23),0))</f>
        <v/>
      </c>
      <c r="X70">
        <f>SUMPRODUCT((M_BOM[RM_Code]=$A70)*M_BOM[RM_Qty_Per_Batch]*IFERROR(INDEX(PP_Grid[#Data],M_BOM[PPGridRow],24),0))</f>
        <v/>
      </c>
      <c r="Y70">
        <f>SUMPRODUCT((M_BOM[RM_Code]=$A70)*M_BOM[RM_Qty_Per_Batch]*IFERROR(INDEX(PP_Grid[#Data],M_BOM[PPGridRow],25),0))</f>
        <v/>
      </c>
      <c r="Z70">
        <f>SUMPRODUCT((M_BOM[RM_Code]=$A70)*M_BOM[RM_Qty_Per_Batch]*IFERROR(INDEX(PP_Grid[#Data],M_BOM[PPGridRow],26),0))</f>
        <v/>
      </c>
      <c r="AA70">
        <f>SUMPRODUCT((M_BOM[RM_Code]=$A70)*M_BOM[RM_Qty_Per_Batch]*IFERROR(INDEX(PP_Grid[#Data],M_BOM[PPGridRow],27),0))</f>
        <v/>
      </c>
      <c r="AB70">
        <f>SUMPRODUCT((M_BOM[RM_Code]=$A70)*M_BOM[RM_Qty_Per_Batch]*IFERROR(INDEX(PP_Grid[#Data],M_BOM[PPGridRow],28),0))</f>
        <v/>
      </c>
      <c r="AC70">
        <f>SUMPRODUCT((M_BOM[RM_Code]=$A70)*M_BOM[RM_Qty_Per_Batch]*IFERROR(INDEX(PP_Grid[#Data],M_BOM[PPGridRow],29),0))</f>
        <v/>
      </c>
      <c r="AD70">
        <f>SUMPRODUCT((M_BOM[RM_Code]=$A70)*M_BOM[RM_Qty_Per_Batch]*IFERROR(INDEX(PP_Grid[#Data],M_BOM[PPGridRow],30),0))</f>
        <v/>
      </c>
      <c r="AE70">
        <f>SUMPRODUCT((M_BOM[RM_Code]=$A70)*M_BOM[RM_Qty_Per_Batch]*IFERROR(INDEX(PP_Grid[#Data],M_BOM[PPGridRow],31),0))</f>
        <v/>
      </c>
      <c r="AF70">
        <f>SUMPRODUCT((M_BOM[RM_Code]=$A70)*M_BOM[RM_Qty_Per_Batch]*IFERROR(INDEX(PP_Grid[#Data],M_BOM[PPGridRow],32),0))</f>
        <v/>
      </c>
      <c r="AG70">
        <f>SUMPRODUCT((M_BOM[RM_Code]=$A70)*M_BOM[RM_Qty_Per_Batch]*IFERROR(INDEX(PP_Grid[#Data],M_BOM[PPGridRow],33),0))</f>
        <v/>
      </c>
      <c r="AH70">
        <f>SUMPRODUCT((M_BOM[RM_Code]=$A70)*M_BOM[RM_Qty_Per_Batch]*IFERROR(INDEX(PP_Grid[#Data],M_BOM[PPGridRow],34),0))</f>
        <v/>
      </c>
      <c r="AI70">
        <f>SUMPRODUCT((M_BOM[RM_Code]=$A70)*M_BOM[RM_Qty_Per_Batch]*IFERROR(INDEX(PP_Grid[#Data],M_BOM[PPGridRow],35),0))</f>
        <v/>
      </c>
      <c r="AJ70">
        <f>SUMPRODUCT((M_BOM[RM_Code]=$A70)*M_BOM[RM_Qty_Per_Batch]*IFERROR(INDEX(PP_Grid[#Data],M_BOM[PPGridRow],36),0))</f>
        <v/>
      </c>
      <c r="AK70">
        <f>SUMPRODUCT((M_BOM[RM_Code]=$A70)*M_BOM[RM_Qty_Per_Batch]*IFERROR(INDEX(PP_Grid[#Data],M_BOM[PPGridRow],37),0))</f>
        <v/>
      </c>
      <c r="AL70">
        <f>SUMPRODUCT((M_BOM[RM_Code]=$A70)*M_BOM[RM_Qty_Per_Batch]*IFERROR(INDEX(PP_Grid[#Data],M_BOM[PPGridRow],38),0))</f>
        <v/>
      </c>
      <c r="AM70">
        <f>SUMPRODUCT((M_BOM[RM_Code]=$A70)*M_BOM[RM_Qty_Per_Batch]*IFERROR(INDEX(PP_Grid[#Data],M_BOM[PPGridRow],39),0))</f>
        <v/>
      </c>
      <c r="AN70">
        <f>SUMPRODUCT((M_BOM[RM_Code]=$A70)*M_BOM[RM_Qty_Per_Batch]*IFERROR(INDEX(PP_Grid[#Data],M_BOM[PPGridRow],40),0))</f>
        <v/>
      </c>
      <c r="AO70">
        <f>SUMPRODUCT((M_BOM[RM_Code]=$A70)*M_BOM[RM_Qty_Per_Batch]*IFERROR(INDEX(PP_Grid[#Data],M_BOM[PPGridRow],41),0))</f>
        <v/>
      </c>
      <c r="AP70">
        <f>SUMPRODUCT((M_BOM[RM_Code]=$A70)*M_BOM[RM_Qty_Per_Batch]*IFERROR(INDEX(PP_Grid[#Data],M_BOM[PPGridRow],42),0))</f>
        <v/>
      </c>
      <c r="AQ70">
        <f>SUMPRODUCT((M_BOM[RM_Code]=$A70)*M_BOM[RM_Qty_Per_Batch]*IFERROR(INDEX(PP_Grid[#Data],M_BOM[PPGridRow],43),0))</f>
        <v/>
      </c>
      <c r="AR70">
        <f>SUMPRODUCT((M_BOM[RM_Code]=$A70)*M_BOM[RM_Qty_Per_Batch]*IFERROR(INDEX(PP_Grid[#Data],M_BOM[PPGridRow],44),0))</f>
        <v/>
      </c>
      <c r="AS70">
        <f>SUMPRODUCT((M_BOM[RM_Code]=$A70)*M_BOM[RM_Qty_Per_Batch]*IFERROR(INDEX(PP_Grid[#Data],M_BOM[PPGridRow],45),0))</f>
        <v/>
      </c>
      <c r="AT70">
        <f>SUMPRODUCT((M_BOM[RM_Code]=$A70)*M_BOM[RM_Qty_Per_Batch]*IFERROR(INDEX(PP_Grid[#Data],M_BOM[PPGridRow],46),0))</f>
        <v/>
      </c>
      <c r="AU70">
        <f>SUMPRODUCT((M_BOM[RM_Code]=$A70)*M_BOM[RM_Qty_Per_Batch]*IFERROR(INDEX(PP_Grid[#Data],M_BOM[PPGridRow],47),0))</f>
        <v/>
      </c>
      <c r="AV70">
        <f>SUMPRODUCT((M_BOM[RM_Code]=$A70)*M_BOM[RM_Qty_Per_Batch]*IFERROR(INDEX(PP_Grid[#Data],M_BOM[PPGridRow],48),0))</f>
        <v/>
      </c>
      <c r="AW70">
        <f>SUMPRODUCT((M_BOM[RM_Code]=$A70)*M_BOM[RM_Qty_Per_Batch]*IFERROR(INDEX(PP_Grid[#Data],M_BOM[PPGridRow],49),0))</f>
        <v/>
      </c>
      <c r="AX70">
        <f>SUMPRODUCT((M_BOM[RM_Code]=$A70)*M_BOM[RM_Qty_Per_Batch]*IFERROR(INDEX(PP_Grid[#Data],M_BOM[PPGridRow],50),0))</f>
        <v/>
      </c>
      <c r="AY70">
        <f>SUMPRODUCT((M_BOM[RM_Code]=$A70)*M_BOM[RM_Qty_Per_Batch]*IFERROR(INDEX(PP_Grid[#Data],M_BOM[PPGridRow],51),0))</f>
        <v/>
      </c>
      <c r="AZ70">
        <f>SUMPRODUCT((M_BOM[RM_Code]=$A70)*M_BOM[RM_Qty_Per_Batch]*IFERROR(INDEX(PP_Grid[#Data],M_BOM[PPGridRow],52),0))</f>
        <v/>
      </c>
      <c r="BA70">
        <f>SUMPRODUCT((M_BOM[RM_Code]=$A70)*M_BOM[RM_Qty_Per_Batch]*IFERROR(INDEX(PP_Grid[#Data],M_BOM[PPGridRow],53),0))</f>
        <v/>
      </c>
      <c r="BB70">
        <f>SUMPRODUCT((M_BOM[RM_Code]=$A70)*M_BOM[RM_Qty_Per_Batch]*IFERROR(INDEX(PP_Grid[#Data],M_BOM[PPGridRow],54),0))</f>
        <v/>
      </c>
      <c r="BC70">
        <f>SUMPRODUCT((M_BOM[RM_Code]=$A70)*M_BOM[RM_Qty_Per_Batch]*IFERROR(INDEX(PP_Grid[#Data],M_BOM[PPGridRow],55),0))</f>
        <v/>
      </c>
      <c r="BD70">
        <f>SUMPRODUCT((M_BOM[RM_Code]=$A70)*M_BOM[RM_Qty_Per_Batch]*IFERROR(INDEX(PP_Grid[#Data],M_BOM[PPGridRow],56),0))</f>
        <v/>
      </c>
      <c r="BE70">
        <f>SUMPRODUCT((M_BOM[RM_Code]=$A70)*M_BOM[RM_Qty_Per_Batch]*IFERROR(INDEX(PP_Grid[#Data],M_BOM[PPGridRow],57),0))</f>
        <v/>
      </c>
      <c r="BF70">
        <f>SUMPRODUCT((M_BOM[RM_Code]=$A70)*M_BOM[RM_Qty_Per_Batch]*IFERROR(INDEX(PP_Grid[#Data],M_BOM[PPGridRow],58),0))</f>
        <v/>
      </c>
      <c r="BG70">
        <f>SUMPRODUCT((M_BOM[RM_Code]=$A70)*M_BOM[RM_Qty_Per_Batch]*IFERROR(INDEX(PP_Grid[#Data],M_BOM[PPGridRow],59),0))</f>
        <v/>
      </c>
      <c r="BH70">
        <f>SUMPRODUCT((M_BOM[RM_Code]=$A70)*M_BOM[RM_Qty_Per_Batch]*IFERROR(INDEX(PP_Grid[#Data],M_BOM[PPGridRow],60),0))</f>
        <v/>
      </c>
      <c r="BI70">
        <f>SUMPRODUCT((M_BOM[RM_Code]=$A70)*M_BOM[RM_Qty_Per_Batch]*IFERROR(INDEX(PP_Grid[#Data],M_BOM[PPGridRow],61),0))</f>
        <v/>
      </c>
      <c r="BJ70">
        <f>SUMPRODUCT((M_BOM[RM_Code]=$A70)*M_BOM[RM_Qty_Per_Batch]*IFERROR(INDEX(PP_Grid[#Data],M_BOM[PPGridRow],62),0))</f>
        <v/>
      </c>
      <c r="BK70">
        <f>SUMPRODUCT((M_BOM[RM_Code]=$A70)*M_BOM[RM_Qty_Per_Batch]*IFERROR(INDEX(PP_Grid[#Data],M_BOM[PPGridRow],63),0))</f>
        <v/>
      </c>
      <c r="BL70">
        <f>SUMPRODUCT((M_BOM[RM_Code]=$A70)*M_BOM[RM_Qty_Per_Batch]*IFERROR(INDEX(PP_Grid[#Data],M_BOM[PPGridRow],64),0))</f>
        <v/>
      </c>
      <c r="BM70">
        <f>SUMPRODUCT((M_BOM[RM_Code]=$A70)*M_BOM[RM_Qty_Per_Batch]*IFERROR(INDEX(PP_Grid[#Data],M_BOM[PPGridRow],65),0))</f>
        <v/>
      </c>
      <c r="BN70">
        <f>SUMPRODUCT((M_BOM[RM_Code]=$A70)*M_BOM[RM_Qty_Per_Batch]*IFERROR(INDEX(PP_Grid[#Data],M_BOM[PPGridRow],66),0))</f>
        <v/>
      </c>
      <c r="BO70">
        <f>SUMPRODUCT((M_BOM[RM_Code]=$A70)*M_BOM[RM_Qty_Per_Batch]*IFERROR(INDEX(PP_Grid[#Data],M_BOM[PPGridRow],67),0))</f>
        <v/>
      </c>
      <c r="BP70">
        <f>SUMPRODUCT((M_BOM[RM_Code]=$A70)*M_BOM[RM_Qty_Per_Batch]*IFERROR(INDEX(PP_Grid[#Data],M_BOM[PPGridRow],68),0))</f>
        <v/>
      </c>
      <c r="BQ70">
        <f>SUMPRODUCT((M_BOM[RM_Code]=$A70)*M_BOM[RM_Qty_Per_Batch]*IFERROR(INDEX(PP_Grid[#Data],M_BOM[PPGridRow],69),0))</f>
        <v/>
      </c>
      <c r="BR70">
        <f>SUMPRODUCT((M_BOM[RM_Code]=$A70)*M_BOM[RM_Qty_Per_Batch]*IFERROR(INDEX(PP_Grid[#Data],M_BOM[PPGridRow],70),0))</f>
        <v/>
      </c>
      <c r="BS70">
        <f>SUMPRODUCT((M_BOM[RM_Code]=$A70)*M_BOM[RM_Qty_Per_Batch]*IFERROR(INDEX(PP_Grid[#Data],M_BOM[PPGridRow],71),0))</f>
        <v/>
      </c>
      <c r="BT70">
        <f>SUMPRODUCT((M_BOM[RM_Code]=$A70)*M_BOM[RM_Qty_Per_Batch]*IFERROR(INDEX(PP_Grid[#Data],M_BOM[PPGridRow],72),0))</f>
        <v/>
      </c>
      <c r="BU70">
        <f>SUMPRODUCT((M_BOM[RM_Code]=$A70)*M_BOM[RM_Qty_Per_Batch]*IFERROR(INDEX(PP_Grid[#Data],M_BOM[PPGridRow],73),0))</f>
        <v/>
      </c>
      <c r="BV70">
        <f>SUMPRODUCT((M_BOM[RM_Code]=$A70)*M_BOM[RM_Qty_Per_Batch]*IFERROR(INDEX(PP_Grid[#Data],M_BOM[PPGridRow],74),0))</f>
        <v/>
      </c>
      <c r="BW70">
        <f>SUMPRODUCT((M_BOM[RM_Code]=$A70)*M_BOM[RM_Qty_Per_Batch]*IFERROR(INDEX(PP_Grid[#Data],M_BOM[PPGridRow],75),0))</f>
        <v/>
      </c>
      <c r="BX70">
        <f>SUMPRODUCT((M_BOM[RM_Code]=$A70)*M_BOM[RM_Qty_Per_Batch]*IFERROR(INDEX(PP_Grid[#Data],M_BOM[PPGridRow],76),0))</f>
        <v/>
      </c>
      <c r="BY70">
        <f>SUMPRODUCT((M_BOM[RM_Code]=$A70)*M_BOM[RM_Qty_Per_Batch]*IFERROR(INDEX(PP_Grid[#Data],M_BOM[PPGridRow],77),0))</f>
        <v/>
      </c>
      <c r="BZ70">
        <f>SUMPRODUCT((M_BOM[RM_Code]=$A70)*M_BOM[RM_Qty_Per_Batch]*IFERROR(INDEX(PP_Grid[#Data],M_BOM[PPGridRow],78),0))</f>
        <v/>
      </c>
      <c r="CA70">
        <f>SUMPRODUCT((M_BOM[RM_Code]=$A70)*M_BOM[RM_Qty_Per_Batch]*IFERROR(INDEX(PP_Grid[#Data],M_BOM[PPGridRow],79),0))</f>
        <v/>
      </c>
      <c r="CB70">
        <f>SUMPRODUCT((M_BOM[RM_Code]=$A70)*M_BOM[RM_Qty_Per_Batch]*IFERROR(INDEX(PP_Grid[#Data],M_BOM[PPGridRow],80),0))</f>
        <v/>
      </c>
      <c r="CC70">
        <f>SUMPRODUCT((M_BOM[RM_Code]=$A70)*M_BOM[RM_Qty_Per_Batch]*IFERROR(INDEX(PP_Grid[#Data],M_BOM[PPGridRow],81),0))</f>
        <v/>
      </c>
      <c r="CD70">
        <f>SUMPRODUCT((M_BOM[RM_Code]=$A70)*M_BOM[RM_Qty_Per_Batch]*IFERROR(INDEX(PP_Grid[#Data],M_BOM[PPGridRow],82),0))</f>
        <v/>
      </c>
      <c r="CE70">
        <f>SUMPRODUCT((M_BOM[RM_Code]=$A70)*M_BOM[RM_Qty_Per_Batch]*IFERROR(INDEX(PP_Grid[#Data],M_BOM[PPGridRow],83),0))</f>
        <v/>
      </c>
      <c r="CF70">
        <f>SUMPRODUCT((M_BOM[RM_Code]=$A70)*M_BOM[RM_Qty_Per_Batch]*IFERROR(INDEX(PP_Grid[#Data],M_BOM[PPGridRow],84),0))</f>
        <v/>
      </c>
      <c r="CG70">
        <f>SUMPRODUCT((M_BOM[RM_Code]=$A70)*M_BOM[RM_Qty_Per_Batch]*IFERROR(INDEX(PP_Grid[#Data],M_BOM[PPGridRow],85),0))</f>
        <v/>
      </c>
      <c r="CH70">
        <f>SUMPRODUCT((M_BOM[RM_Code]=$A70)*M_BOM[RM_Qty_Per_Batch]*IFERROR(INDEX(PP_Grid[#Data],M_BOM[PPGridRow],86),0))</f>
        <v/>
      </c>
      <c r="CI70">
        <f>SUMPRODUCT((M_BOM[RM_Code]=$A70)*M_BOM[RM_Qty_Per_Batch]*IFERROR(INDEX(PP_Grid[#Data],M_BOM[PPGridRow],87),0))</f>
        <v/>
      </c>
      <c r="CJ70">
        <f>SUMPRODUCT((M_BOM[RM_Code]=$A70)*M_BOM[RM_Qty_Per_Batch]*IFERROR(INDEX(PP_Grid[#Data],M_BOM[PPGridRow],88),0))</f>
        <v/>
      </c>
      <c r="CK70">
        <f>SUMPRODUCT((M_BOM[RM_Code]=$A70)*M_BOM[RM_Qty_Per_Batch]*IFERROR(INDEX(PP_Grid[#Data],M_BOM[PPGridRow],89),0))</f>
        <v/>
      </c>
      <c r="CL70">
        <f>SUMPRODUCT((M_BOM[RM_Code]=$A70)*M_BOM[RM_Qty_Per_Batch]*IFERROR(INDEX(PP_Grid[#Data],M_BOM[PPGridRow],90),0))</f>
        <v/>
      </c>
      <c r="CM70">
        <f>SUMPRODUCT((M_BOM[RM_Code]=$A70)*M_BOM[RM_Qty_Per_Batch]*IFERROR(INDEX(PP_Grid[#Data],M_BOM[PPGridRow],91),0))</f>
        <v/>
      </c>
      <c r="CN70">
        <f>SUMPRODUCT((M_BOM[RM_Code]=$A70)*M_BOM[RM_Qty_Per_Batch]*IFERROR(INDEX(PP_Grid[#Data],M_BOM[PPGridRow],92),0))</f>
        <v/>
      </c>
      <c r="CO70">
        <f>SUMPRODUCT((M_BOM[RM_Code]=$A70)*M_BOM[RM_Qty_Per_Batch]*IFERROR(INDEX(PP_Grid[#Data],M_BOM[PPGridRow],93),0))</f>
        <v/>
      </c>
      <c r="CP70">
        <f>SUMPRODUCT((M_BOM[RM_Code]=$A70)*M_BOM[RM_Qty_Per_Batch]*IFERROR(INDEX(PP_Grid[#Data],M_BOM[PPGridRow],94),0))</f>
        <v/>
      </c>
      <c r="CQ70">
        <f>SUMPRODUCT((M_BOM[RM_Code]=$A70)*M_BOM[RM_Qty_Per_Batch]*IFERROR(INDEX(PP_Grid[#Data],M_BOM[PPGridRow],95),0))</f>
        <v/>
      </c>
      <c r="CR70">
        <f>SUMPRODUCT((M_BOM[RM_Code]=$A70)*M_BOM[RM_Qty_Per_Batch]*IFERROR(INDEX(PP_Grid[#Data],M_BOM[PPGridRow],96),0))</f>
        <v/>
      </c>
      <c r="CS70">
        <f>SUMPRODUCT((M_BOM[RM_Code]=$A70)*M_BOM[RM_Qty_Per_Batch]*IFERROR(INDEX(PP_Grid[#Data],M_BOM[PPGridRow],97),0))</f>
        <v/>
      </c>
      <c r="CT70">
        <f>SUMPRODUCT((M_BOM[RM_Code]=$A70)*M_BOM[RM_Qty_Per_Batch]*IFERROR(INDEX(PP_Grid[#Data],M_BOM[PPGridRow],98),0))</f>
        <v/>
      </c>
      <c r="CU70">
        <f>SUMPRODUCT((M_BOM[RM_Code]=$A70)*M_BOM[RM_Qty_Per_Batch]*IFERROR(INDEX(PP_Grid[#Data],M_BOM[PPGridRow],99),0))</f>
        <v/>
      </c>
      <c r="CV70">
        <f>SUMPRODUCT((M_BOM[RM_Code]=$A70)*M_BOM[RM_Qty_Per_Batch]*IFERROR(INDEX(PP_Grid[#Data],M_BOM[PPGridRow],100),0))</f>
        <v/>
      </c>
      <c r="CW70">
        <f>SUMPRODUCT((M_BOM[RM_Code]=$A70)*M_BOM[RM_Qty_Per_Batch]*IFERROR(INDEX(PP_Grid[#Data],M_BOM[PPGridRow],101),0))</f>
        <v/>
      </c>
      <c r="CX70">
        <f>SUMPRODUCT((M_BOM[RM_Code]=$A70)*M_BOM[RM_Qty_Per_Batch]*IFERROR(INDEX(PP_Grid[#Data],M_BOM[PPGridRow],102),0))</f>
        <v/>
      </c>
      <c r="CY70">
        <f>SUMPRODUCT((M_BOM[RM_Code]=$A70)*M_BOM[RM_Qty_Per_Batch]*IFERROR(INDEX(PP_Grid[#Data],M_BOM[PPGridRow],103),0))</f>
        <v/>
      </c>
      <c r="CZ70">
        <f>SUMPRODUCT((M_BOM[RM_Code]=$A70)*M_BOM[RM_Qty_Per_Batch]*IFERROR(INDEX(PP_Grid[#Data],M_BOM[PPGridRow],104),0))</f>
        <v/>
      </c>
      <c r="DA70">
        <f>SUMPRODUCT((M_BOM[RM_Code]=$A70)*M_BOM[RM_Qty_Per_Batch]*IFERROR(INDEX(PP_Grid[#Data],M_BOM[PPGridRow],105),0))</f>
        <v/>
      </c>
    </row>
    <row r="71">
      <c r="A71" t="inlineStr">
        <is>
          <t>848530</t>
        </is>
      </c>
      <c r="B71">
        <f>SUMPRODUCT((M_BOM[RM_Code]=$A71)*M_BOM[RM_Qty_Per_Batch]*IFERROR(INDEX(PP_Grid[#Data],M_BOM[PPGridRow],2),0))</f>
        <v/>
      </c>
      <c r="C71">
        <f>SUMPRODUCT((M_BOM[RM_Code]=$A71)*M_BOM[RM_Qty_Per_Batch]*IFERROR(INDEX(PP_Grid[#Data],M_BOM[PPGridRow],3),0))</f>
        <v/>
      </c>
      <c r="D71">
        <f>SUMPRODUCT((M_BOM[RM_Code]=$A71)*M_BOM[RM_Qty_Per_Batch]*IFERROR(INDEX(PP_Grid[#Data],M_BOM[PPGridRow],4),0))</f>
        <v/>
      </c>
      <c r="E71">
        <f>SUMPRODUCT((M_BOM[RM_Code]=$A71)*M_BOM[RM_Qty_Per_Batch]*IFERROR(INDEX(PP_Grid[#Data],M_BOM[PPGridRow],5),0))</f>
        <v/>
      </c>
      <c r="F71">
        <f>SUMPRODUCT((M_BOM[RM_Code]=$A71)*M_BOM[RM_Qty_Per_Batch]*IFERROR(INDEX(PP_Grid[#Data],M_BOM[PPGridRow],6),0))</f>
        <v/>
      </c>
      <c r="G71">
        <f>SUMPRODUCT((M_BOM[RM_Code]=$A71)*M_BOM[RM_Qty_Per_Batch]*IFERROR(INDEX(PP_Grid[#Data],M_BOM[PPGridRow],7),0))</f>
        <v/>
      </c>
      <c r="H71">
        <f>SUMPRODUCT((M_BOM[RM_Code]=$A71)*M_BOM[RM_Qty_Per_Batch]*IFERROR(INDEX(PP_Grid[#Data],M_BOM[PPGridRow],8),0))</f>
        <v/>
      </c>
      <c r="I71">
        <f>SUMPRODUCT((M_BOM[RM_Code]=$A71)*M_BOM[RM_Qty_Per_Batch]*IFERROR(INDEX(PP_Grid[#Data],M_BOM[PPGridRow],9),0))</f>
        <v/>
      </c>
      <c r="J71">
        <f>SUMPRODUCT((M_BOM[RM_Code]=$A71)*M_BOM[RM_Qty_Per_Batch]*IFERROR(INDEX(PP_Grid[#Data],M_BOM[PPGridRow],10),0))</f>
        <v/>
      </c>
      <c r="K71">
        <f>SUMPRODUCT((M_BOM[RM_Code]=$A71)*M_BOM[RM_Qty_Per_Batch]*IFERROR(INDEX(PP_Grid[#Data],M_BOM[PPGridRow],11),0))</f>
        <v/>
      </c>
      <c r="L71">
        <f>SUMPRODUCT((M_BOM[RM_Code]=$A71)*M_BOM[RM_Qty_Per_Batch]*IFERROR(INDEX(PP_Grid[#Data],M_BOM[PPGridRow],12),0))</f>
        <v/>
      </c>
      <c r="M71">
        <f>SUMPRODUCT((M_BOM[RM_Code]=$A71)*M_BOM[RM_Qty_Per_Batch]*IFERROR(INDEX(PP_Grid[#Data],M_BOM[PPGridRow],13),0))</f>
        <v/>
      </c>
      <c r="N71">
        <f>SUMPRODUCT((M_BOM[RM_Code]=$A71)*M_BOM[RM_Qty_Per_Batch]*IFERROR(INDEX(PP_Grid[#Data],M_BOM[PPGridRow],14),0))</f>
        <v/>
      </c>
      <c r="O71">
        <f>SUMPRODUCT((M_BOM[RM_Code]=$A71)*M_BOM[RM_Qty_Per_Batch]*IFERROR(INDEX(PP_Grid[#Data],M_BOM[PPGridRow],15),0))</f>
        <v/>
      </c>
      <c r="P71">
        <f>SUMPRODUCT((M_BOM[RM_Code]=$A71)*M_BOM[RM_Qty_Per_Batch]*IFERROR(INDEX(PP_Grid[#Data],M_BOM[PPGridRow],16),0))</f>
        <v/>
      </c>
      <c r="Q71">
        <f>SUMPRODUCT((M_BOM[RM_Code]=$A71)*M_BOM[RM_Qty_Per_Batch]*IFERROR(INDEX(PP_Grid[#Data],M_BOM[PPGridRow],17),0))</f>
        <v/>
      </c>
      <c r="R71">
        <f>SUMPRODUCT((M_BOM[RM_Code]=$A71)*M_BOM[RM_Qty_Per_Batch]*IFERROR(INDEX(PP_Grid[#Data],M_BOM[PPGridRow],18),0))</f>
        <v/>
      </c>
      <c r="S71">
        <f>SUMPRODUCT((M_BOM[RM_Code]=$A71)*M_BOM[RM_Qty_Per_Batch]*IFERROR(INDEX(PP_Grid[#Data],M_BOM[PPGridRow],19),0))</f>
        <v/>
      </c>
      <c r="T71">
        <f>SUMPRODUCT((M_BOM[RM_Code]=$A71)*M_BOM[RM_Qty_Per_Batch]*IFERROR(INDEX(PP_Grid[#Data],M_BOM[PPGridRow],20),0))</f>
        <v/>
      </c>
      <c r="U71">
        <f>SUMPRODUCT((M_BOM[RM_Code]=$A71)*M_BOM[RM_Qty_Per_Batch]*IFERROR(INDEX(PP_Grid[#Data],M_BOM[PPGridRow],21),0))</f>
        <v/>
      </c>
      <c r="V71">
        <f>SUMPRODUCT((M_BOM[RM_Code]=$A71)*M_BOM[RM_Qty_Per_Batch]*IFERROR(INDEX(PP_Grid[#Data],M_BOM[PPGridRow],22),0))</f>
        <v/>
      </c>
      <c r="W71">
        <f>SUMPRODUCT((M_BOM[RM_Code]=$A71)*M_BOM[RM_Qty_Per_Batch]*IFERROR(INDEX(PP_Grid[#Data],M_BOM[PPGridRow],23),0))</f>
        <v/>
      </c>
      <c r="X71">
        <f>SUMPRODUCT((M_BOM[RM_Code]=$A71)*M_BOM[RM_Qty_Per_Batch]*IFERROR(INDEX(PP_Grid[#Data],M_BOM[PPGridRow],24),0))</f>
        <v/>
      </c>
      <c r="Y71">
        <f>SUMPRODUCT((M_BOM[RM_Code]=$A71)*M_BOM[RM_Qty_Per_Batch]*IFERROR(INDEX(PP_Grid[#Data],M_BOM[PPGridRow],25),0))</f>
        <v/>
      </c>
      <c r="Z71">
        <f>SUMPRODUCT((M_BOM[RM_Code]=$A71)*M_BOM[RM_Qty_Per_Batch]*IFERROR(INDEX(PP_Grid[#Data],M_BOM[PPGridRow],26),0))</f>
        <v/>
      </c>
      <c r="AA71">
        <f>SUMPRODUCT((M_BOM[RM_Code]=$A71)*M_BOM[RM_Qty_Per_Batch]*IFERROR(INDEX(PP_Grid[#Data],M_BOM[PPGridRow],27),0))</f>
        <v/>
      </c>
      <c r="AB71">
        <f>SUMPRODUCT((M_BOM[RM_Code]=$A71)*M_BOM[RM_Qty_Per_Batch]*IFERROR(INDEX(PP_Grid[#Data],M_BOM[PPGridRow],28),0))</f>
        <v/>
      </c>
      <c r="AC71">
        <f>SUMPRODUCT((M_BOM[RM_Code]=$A71)*M_BOM[RM_Qty_Per_Batch]*IFERROR(INDEX(PP_Grid[#Data],M_BOM[PPGridRow],29),0))</f>
        <v/>
      </c>
      <c r="AD71">
        <f>SUMPRODUCT((M_BOM[RM_Code]=$A71)*M_BOM[RM_Qty_Per_Batch]*IFERROR(INDEX(PP_Grid[#Data],M_BOM[PPGridRow],30),0))</f>
        <v/>
      </c>
      <c r="AE71">
        <f>SUMPRODUCT((M_BOM[RM_Code]=$A71)*M_BOM[RM_Qty_Per_Batch]*IFERROR(INDEX(PP_Grid[#Data],M_BOM[PPGridRow],31),0))</f>
        <v/>
      </c>
      <c r="AF71">
        <f>SUMPRODUCT((M_BOM[RM_Code]=$A71)*M_BOM[RM_Qty_Per_Batch]*IFERROR(INDEX(PP_Grid[#Data],M_BOM[PPGridRow],32),0))</f>
        <v/>
      </c>
      <c r="AG71">
        <f>SUMPRODUCT((M_BOM[RM_Code]=$A71)*M_BOM[RM_Qty_Per_Batch]*IFERROR(INDEX(PP_Grid[#Data],M_BOM[PPGridRow],33),0))</f>
        <v/>
      </c>
      <c r="AH71">
        <f>SUMPRODUCT((M_BOM[RM_Code]=$A71)*M_BOM[RM_Qty_Per_Batch]*IFERROR(INDEX(PP_Grid[#Data],M_BOM[PPGridRow],34),0))</f>
        <v/>
      </c>
      <c r="AI71">
        <f>SUMPRODUCT((M_BOM[RM_Code]=$A71)*M_BOM[RM_Qty_Per_Batch]*IFERROR(INDEX(PP_Grid[#Data],M_BOM[PPGridRow],35),0))</f>
        <v/>
      </c>
      <c r="AJ71">
        <f>SUMPRODUCT((M_BOM[RM_Code]=$A71)*M_BOM[RM_Qty_Per_Batch]*IFERROR(INDEX(PP_Grid[#Data],M_BOM[PPGridRow],36),0))</f>
        <v/>
      </c>
      <c r="AK71">
        <f>SUMPRODUCT((M_BOM[RM_Code]=$A71)*M_BOM[RM_Qty_Per_Batch]*IFERROR(INDEX(PP_Grid[#Data],M_BOM[PPGridRow],37),0))</f>
        <v/>
      </c>
      <c r="AL71">
        <f>SUMPRODUCT((M_BOM[RM_Code]=$A71)*M_BOM[RM_Qty_Per_Batch]*IFERROR(INDEX(PP_Grid[#Data],M_BOM[PPGridRow],38),0))</f>
        <v/>
      </c>
      <c r="AM71">
        <f>SUMPRODUCT((M_BOM[RM_Code]=$A71)*M_BOM[RM_Qty_Per_Batch]*IFERROR(INDEX(PP_Grid[#Data],M_BOM[PPGridRow],39),0))</f>
        <v/>
      </c>
      <c r="AN71">
        <f>SUMPRODUCT((M_BOM[RM_Code]=$A71)*M_BOM[RM_Qty_Per_Batch]*IFERROR(INDEX(PP_Grid[#Data],M_BOM[PPGridRow],40),0))</f>
        <v/>
      </c>
      <c r="AO71">
        <f>SUMPRODUCT((M_BOM[RM_Code]=$A71)*M_BOM[RM_Qty_Per_Batch]*IFERROR(INDEX(PP_Grid[#Data],M_BOM[PPGridRow],41),0))</f>
        <v/>
      </c>
      <c r="AP71">
        <f>SUMPRODUCT((M_BOM[RM_Code]=$A71)*M_BOM[RM_Qty_Per_Batch]*IFERROR(INDEX(PP_Grid[#Data],M_BOM[PPGridRow],42),0))</f>
        <v/>
      </c>
      <c r="AQ71">
        <f>SUMPRODUCT((M_BOM[RM_Code]=$A71)*M_BOM[RM_Qty_Per_Batch]*IFERROR(INDEX(PP_Grid[#Data],M_BOM[PPGridRow],43),0))</f>
        <v/>
      </c>
      <c r="AR71">
        <f>SUMPRODUCT((M_BOM[RM_Code]=$A71)*M_BOM[RM_Qty_Per_Batch]*IFERROR(INDEX(PP_Grid[#Data],M_BOM[PPGridRow],44),0))</f>
        <v/>
      </c>
      <c r="AS71">
        <f>SUMPRODUCT((M_BOM[RM_Code]=$A71)*M_BOM[RM_Qty_Per_Batch]*IFERROR(INDEX(PP_Grid[#Data],M_BOM[PPGridRow],45),0))</f>
        <v/>
      </c>
      <c r="AT71">
        <f>SUMPRODUCT((M_BOM[RM_Code]=$A71)*M_BOM[RM_Qty_Per_Batch]*IFERROR(INDEX(PP_Grid[#Data],M_BOM[PPGridRow],46),0))</f>
        <v/>
      </c>
      <c r="AU71">
        <f>SUMPRODUCT((M_BOM[RM_Code]=$A71)*M_BOM[RM_Qty_Per_Batch]*IFERROR(INDEX(PP_Grid[#Data],M_BOM[PPGridRow],47),0))</f>
        <v/>
      </c>
      <c r="AV71">
        <f>SUMPRODUCT((M_BOM[RM_Code]=$A71)*M_BOM[RM_Qty_Per_Batch]*IFERROR(INDEX(PP_Grid[#Data],M_BOM[PPGridRow],48),0))</f>
        <v/>
      </c>
      <c r="AW71">
        <f>SUMPRODUCT((M_BOM[RM_Code]=$A71)*M_BOM[RM_Qty_Per_Batch]*IFERROR(INDEX(PP_Grid[#Data],M_BOM[PPGridRow],49),0))</f>
        <v/>
      </c>
      <c r="AX71">
        <f>SUMPRODUCT((M_BOM[RM_Code]=$A71)*M_BOM[RM_Qty_Per_Batch]*IFERROR(INDEX(PP_Grid[#Data],M_BOM[PPGridRow],50),0))</f>
        <v/>
      </c>
      <c r="AY71">
        <f>SUMPRODUCT((M_BOM[RM_Code]=$A71)*M_BOM[RM_Qty_Per_Batch]*IFERROR(INDEX(PP_Grid[#Data],M_BOM[PPGridRow],51),0))</f>
        <v/>
      </c>
      <c r="AZ71">
        <f>SUMPRODUCT((M_BOM[RM_Code]=$A71)*M_BOM[RM_Qty_Per_Batch]*IFERROR(INDEX(PP_Grid[#Data],M_BOM[PPGridRow],52),0))</f>
        <v/>
      </c>
      <c r="BA71">
        <f>SUMPRODUCT((M_BOM[RM_Code]=$A71)*M_BOM[RM_Qty_Per_Batch]*IFERROR(INDEX(PP_Grid[#Data],M_BOM[PPGridRow],53),0))</f>
        <v/>
      </c>
      <c r="BB71">
        <f>SUMPRODUCT((M_BOM[RM_Code]=$A71)*M_BOM[RM_Qty_Per_Batch]*IFERROR(INDEX(PP_Grid[#Data],M_BOM[PPGridRow],54),0))</f>
        <v/>
      </c>
      <c r="BC71">
        <f>SUMPRODUCT((M_BOM[RM_Code]=$A71)*M_BOM[RM_Qty_Per_Batch]*IFERROR(INDEX(PP_Grid[#Data],M_BOM[PPGridRow],55),0))</f>
        <v/>
      </c>
      <c r="BD71">
        <f>SUMPRODUCT((M_BOM[RM_Code]=$A71)*M_BOM[RM_Qty_Per_Batch]*IFERROR(INDEX(PP_Grid[#Data],M_BOM[PPGridRow],56),0))</f>
        <v/>
      </c>
      <c r="BE71">
        <f>SUMPRODUCT((M_BOM[RM_Code]=$A71)*M_BOM[RM_Qty_Per_Batch]*IFERROR(INDEX(PP_Grid[#Data],M_BOM[PPGridRow],57),0))</f>
        <v/>
      </c>
      <c r="BF71">
        <f>SUMPRODUCT((M_BOM[RM_Code]=$A71)*M_BOM[RM_Qty_Per_Batch]*IFERROR(INDEX(PP_Grid[#Data],M_BOM[PPGridRow],58),0))</f>
        <v/>
      </c>
      <c r="BG71">
        <f>SUMPRODUCT((M_BOM[RM_Code]=$A71)*M_BOM[RM_Qty_Per_Batch]*IFERROR(INDEX(PP_Grid[#Data],M_BOM[PPGridRow],59),0))</f>
        <v/>
      </c>
      <c r="BH71">
        <f>SUMPRODUCT((M_BOM[RM_Code]=$A71)*M_BOM[RM_Qty_Per_Batch]*IFERROR(INDEX(PP_Grid[#Data],M_BOM[PPGridRow],60),0))</f>
        <v/>
      </c>
      <c r="BI71">
        <f>SUMPRODUCT((M_BOM[RM_Code]=$A71)*M_BOM[RM_Qty_Per_Batch]*IFERROR(INDEX(PP_Grid[#Data],M_BOM[PPGridRow],61),0))</f>
        <v/>
      </c>
      <c r="BJ71">
        <f>SUMPRODUCT((M_BOM[RM_Code]=$A71)*M_BOM[RM_Qty_Per_Batch]*IFERROR(INDEX(PP_Grid[#Data],M_BOM[PPGridRow],62),0))</f>
        <v/>
      </c>
      <c r="BK71">
        <f>SUMPRODUCT((M_BOM[RM_Code]=$A71)*M_BOM[RM_Qty_Per_Batch]*IFERROR(INDEX(PP_Grid[#Data],M_BOM[PPGridRow],63),0))</f>
        <v/>
      </c>
      <c r="BL71">
        <f>SUMPRODUCT((M_BOM[RM_Code]=$A71)*M_BOM[RM_Qty_Per_Batch]*IFERROR(INDEX(PP_Grid[#Data],M_BOM[PPGridRow],64),0))</f>
        <v/>
      </c>
      <c r="BM71">
        <f>SUMPRODUCT((M_BOM[RM_Code]=$A71)*M_BOM[RM_Qty_Per_Batch]*IFERROR(INDEX(PP_Grid[#Data],M_BOM[PPGridRow],65),0))</f>
        <v/>
      </c>
      <c r="BN71">
        <f>SUMPRODUCT((M_BOM[RM_Code]=$A71)*M_BOM[RM_Qty_Per_Batch]*IFERROR(INDEX(PP_Grid[#Data],M_BOM[PPGridRow],66),0))</f>
        <v/>
      </c>
      <c r="BO71">
        <f>SUMPRODUCT((M_BOM[RM_Code]=$A71)*M_BOM[RM_Qty_Per_Batch]*IFERROR(INDEX(PP_Grid[#Data],M_BOM[PPGridRow],67),0))</f>
        <v/>
      </c>
      <c r="BP71">
        <f>SUMPRODUCT((M_BOM[RM_Code]=$A71)*M_BOM[RM_Qty_Per_Batch]*IFERROR(INDEX(PP_Grid[#Data],M_BOM[PPGridRow],68),0))</f>
        <v/>
      </c>
      <c r="BQ71">
        <f>SUMPRODUCT((M_BOM[RM_Code]=$A71)*M_BOM[RM_Qty_Per_Batch]*IFERROR(INDEX(PP_Grid[#Data],M_BOM[PPGridRow],69),0))</f>
        <v/>
      </c>
      <c r="BR71">
        <f>SUMPRODUCT((M_BOM[RM_Code]=$A71)*M_BOM[RM_Qty_Per_Batch]*IFERROR(INDEX(PP_Grid[#Data],M_BOM[PPGridRow],70),0))</f>
        <v/>
      </c>
      <c r="BS71">
        <f>SUMPRODUCT((M_BOM[RM_Code]=$A71)*M_BOM[RM_Qty_Per_Batch]*IFERROR(INDEX(PP_Grid[#Data],M_BOM[PPGridRow],71),0))</f>
        <v/>
      </c>
      <c r="BT71">
        <f>SUMPRODUCT((M_BOM[RM_Code]=$A71)*M_BOM[RM_Qty_Per_Batch]*IFERROR(INDEX(PP_Grid[#Data],M_BOM[PPGridRow],72),0))</f>
        <v/>
      </c>
      <c r="BU71">
        <f>SUMPRODUCT((M_BOM[RM_Code]=$A71)*M_BOM[RM_Qty_Per_Batch]*IFERROR(INDEX(PP_Grid[#Data],M_BOM[PPGridRow],73),0))</f>
        <v/>
      </c>
      <c r="BV71">
        <f>SUMPRODUCT((M_BOM[RM_Code]=$A71)*M_BOM[RM_Qty_Per_Batch]*IFERROR(INDEX(PP_Grid[#Data],M_BOM[PPGridRow],74),0))</f>
        <v/>
      </c>
      <c r="BW71">
        <f>SUMPRODUCT((M_BOM[RM_Code]=$A71)*M_BOM[RM_Qty_Per_Batch]*IFERROR(INDEX(PP_Grid[#Data],M_BOM[PPGridRow],75),0))</f>
        <v/>
      </c>
      <c r="BX71">
        <f>SUMPRODUCT((M_BOM[RM_Code]=$A71)*M_BOM[RM_Qty_Per_Batch]*IFERROR(INDEX(PP_Grid[#Data],M_BOM[PPGridRow],76),0))</f>
        <v/>
      </c>
      <c r="BY71">
        <f>SUMPRODUCT((M_BOM[RM_Code]=$A71)*M_BOM[RM_Qty_Per_Batch]*IFERROR(INDEX(PP_Grid[#Data],M_BOM[PPGridRow],77),0))</f>
        <v/>
      </c>
      <c r="BZ71">
        <f>SUMPRODUCT((M_BOM[RM_Code]=$A71)*M_BOM[RM_Qty_Per_Batch]*IFERROR(INDEX(PP_Grid[#Data],M_BOM[PPGridRow],78),0))</f>
        <v/>
      </c>
      <c r="CA71">
        <f>SUMPRODUCT((M_BOM[RM_Code]=$A71)*M_BOM[RM_Qty_Per_Batch]*IFERROR(INDEX(PP_Grid[#Data],M_BOM[PPGridRow],79),0))</f>
        <v/>
      </c>
      <c r="CB71">
        <f>SUMPRODUCT((M_BOM[RM_Code]=$A71)*M_BOM[RM_Qty_Per_Batch]*IFERROR(INDEX(PP_Grid[#Data],M_BOM[PPGridRow],80),0))</f>
        <v/>
      </c>
      <c r="CC71">
        <f>SUMPRODUCT((M_BOM[RM_Code]=$A71)*M_BOM[RM_Qty_Per_Batch]*IFERROR(INDEX(PP_Grid[#Data],M_BOM[PPGridRow],81),0))</f>
        <v/>
      </c>
      <c r="CD71">
        <f>SUMPRODUCT((M_BOM[RM_Code]=$A71)*M_BOM[RM_Qty_Per_Batch]*IFERROR(INDEX(PP_Grid[#Data],M_BOM[PPGridRow],82),0))</f>
        <v/>
      </c>
      <c r="CE71">
        <f>SUMPRODUCT((M_BOM[RM_Code]=$A71)*M_BOM[RM_Qty_Per_Batch]*IFERROR(INDEX(PP_Grid[#Data],M_BOM[PPGridRow],83),0))</f>
        <v/>
      </c>
      <c r="CF71">
        <f>SUMPRODUCT((M_BOM[RM_Code]=$A71)*M_BOM[RM_Qty_Per_Batch]*IFERROR(INDEX(PP_Grid[#Data],M_BOM[PPGridRow],84),0))</f>
        <v/>
      </c>
      <c r="CG71">
        <f>SUMPRODUCT((M_BOM[RM_Code]=$A71)*M_BOM[RM_Qty_Per_Batch]*IFERROR(INDEX(PP_Grid[#Data],M_BOM[PPGridRow],85),0))</f>
        <v/>
      </c>
      <c r="CH71">
        <f>SUMPRODUCT((M_BOM[RM_Code]=$A71)*M_BOM[RM_Qty_Per_Batch]*IFERROR(INDEX(PP_Grid[#Data],M_BOM[PPGridRow],86),0))</f>
        <v/>
      </c>
      <c r="CI71">
        <f>SUMPRODUCT((M_BOM[RM_Code]=$A71)*M_BOM[RM_Qty_Per_Batch]*IFERROR(INDEX(PP_Grid[#Data],M_BOM[PPGridRow],87),0))</f>
        <v/>
      </c>
      <c r="CJ71">
        <f>SUMPRODUCT((M_BOM[RM_Code]=$A71)*M_BOM[RM_Qty_Per_Batch]*IFERROR(INDEX(PP_Grid[#Data],M_BOM[PPGridRow],88),0))</f>
        <v/>
      </c>
      <c r="CK71">
        <f>SUMPRODUCT((M_BOM[RM_Code]=$A71)*M_BOM[RM_Qty_Per_Batch]*IFERROR(INDEX(PP_Grid[#Data],M_BOM[PPGridRow],89),0))</f>
        <v/>
      </c>
      <c r="CL71">
        <f>SUMPRODUCT((M_BOM[RM_Code]=$A71)*M_BOM[RM_Qty_Per_Batch]*IFERROR(INDEX(PP_Grid[#Data],M_BOM[PPGridRow],90),0))</f>
        <v/>
      </c>
      <c r="CM71">
        <f>SUMPRODUCT((M_BOM[RM_Code]=$A71)*M_BOM[RM_Qty_Per_Batch]*IFERROR(INDEX(PP_Grid[#Data],M_BOM[PPGridRow],91),0))</f>
        <v/>
      </c>
      <c r="CN71">
        <f>SUMPRODUCT((M_BOM[RM_Code]=$A71)*M_BOM[RM_Qty_Per_Batch]*IFERROR(INDEX(PP_Grid[#Data],M_BOM[PPGridRow],92),0))</f>
        <v/>
      </c>
      <c r="CO71">
        <f>SUMPRODUCT((M_BOM[RM_Code]=$A71)*M_BOM[RM_Qty_Per_Batch]*IFERROR(INDEX(PP_Grid[#Data],M_BOM[PPGridRow],93),0))</f>
        <v/>
      </c>
      <c r="CP71">
        <f>SUMPRODUCT((M_BOM[RM_Code]=$A71)*M_BOM[RM_Qty_Per_Batch]*IFERROR(INDEX(PP_Grid[#Data],M_BOM[PPGridRow],94),0))</f>
        <v/>
      </c>
      <c r="CQ71">
        <f>SUMPRODUCT((M_BOM[RM_Code]=$A71)*M_BOM[RM_Qty_Per_Batch]*IFERROR(INDEX(PP_Grid[#Data],M_BOM[PPGridRow],95),0))</f>
        <v/>
      </c>
      <c r="CR71">
        <f>SUMPRODUCT((M_BOM[RM_Code]=$A71)*M_BOM[RM_Qty_Per_Batch]*IFERROR(INDEX(PP_Grid[#Data],M_BOM[PPGridRow],96),0))</f>
        <v/>
      </c>
      <c r="CS71">
        <f>SUMPRODUCT((M_BOM[RM_Code]=$A71)*M_BOM[RM_Qty_Per_Batch]*IFERROR(INDEX(PP_Grid[#Data],M_BOM[PPGridRow],97),0))</f>
        <v/>
      </c>
      <c r="CT71">
        <f>SUMPRODUCT((M_BOM[RM_Code]=$A71)*M_BOM[RM_Qty_Per_Batch]*IFERROR(INDEX(PP_Grid[#Data],M_BOM[PPGridRow],98),0))</f>
        <v/>
      </c>
      <c r="CU71">
        <f>SUMPRODUCT((M_BOM[RM_Code]=$A71)*M_BOM[RM_Qty_Per_Batch]*IFERROR(INDEX(PP_Grid[#Data],M_BOM[PPGridRow],99),0))</f>
        <v/>
      </c>
      <c r="CV71">
        <f>SUMPRODUCT((M_BOM[RM_Code]=$A71)*M_BOM[RM_Qty_Per_Batch]*IFERROR(INDEX(PP_Grid[#Data],M_BOM[PPGridRow],100),0))</f>
        <v/>
      </c>
      <c r="CW71">
        <f>SUMPRODUCT((M_BOM[RM_Code]=$A71)*M_BOM[RM_Qty_Per_Batch]*IFERROR(INDEX(PP_Grid[#Data],M_BOM[PPGridRow],101),0))</f>
        <v/>
      </c>
      <c r="CX71">
        <f>SUMPRODUCT((M_BOM[RM_Code]=$A71)*M_BOM[RM_Qty_Per_Batch]*IFERROR(INDEX(PP_Grid[#Data],M_BOM[PPGridRow],102),0))</f>
        <v/>
      </c>
      <c r="CY71">
        <f>SUMPRODUCT((M_BOM[RM_Code]=$A71)*M_BOM[RM_Qty_Per_Batch]*IFERROR(INDEX(PP_Grid[#Data],M_BOM[PPGridRow],103),0))</f>
        <v/>
      </c>
      <c r="CZ71">
        <f>SUMPRODUCT((M_BOM[RM_Code]=$A71)*M_BOM[RM_Qty_Per_Batch]*IFERROR(INDEX(PP_Grid[#Data],M_BOM[PPGridRow],104),0))</f>
        <v/>
      </c>
      <c r="DA71">
        <f>SUMPRODUCT((M_BOM[RM_Code]=$A71)*M_BOM[RM_Qty_Per_Batch]*IFERROR(INDEX(PP_Grid[#Data],M_BOM[PPGridRow],105),0))</f>
        <v/>
      </c>
    </row>
    <row r="72">
      <c r="A72" t="inlineStr">
        <is>
          <t>848531</t>
        </is>
      </c>
      <c r="B72">
        <f>SUMPRODUCT((M_BOM[RM_Code]=$A72)*M_BOM[RM_Qty_Per_Batch]*IFERROR(INDEX(PP_Grid[#Data],M_BOM[PPGridRow],2),0))</f>
        <v/>
      </c>
      <c r="C72">
        <f>SUMPRODUCT((M_BOM[RM_Code]=$A72)*M_BOM[RM_Qty_Per_Batch]*IFERROR(INDEX(PP_Grid[#Data],M_BOM[PPGridRow],3),0))</f>
        <v/>
      </c>
      <c r="D72">
        <f>SUMPRODUCT((M_BOM[RM_Code]=$A72)*M_BOM[RM_Qty_Per_Batch]*IFERROR(INDEX(PP_Grid[#Data],M_BOM[PPGridRow],4),0))</f>
        <v/>
      </c>
      <c r="E72">
        <f>SUMPRODUCT((M_BOM[RM_Code]=$A72)*M_BOM[RM_Qty_Per_Batch]*IFERROR(INDEX(PP_Grid[#Data],M_BOM[PPGridRow],5),0))</f>
        <v/>
      </c>
      <c r="F72">
        <f>SUMPRODUCT((M_BOM[RM_Code]=$A72)*M_BOM[RM_Qty_Per_Batch]*IFERROR(INDEX(PP_Grid[#Data],M_BOM[PPGridRow],6),0))</f>
        <v/>
      </c>
      <c r="G72">
        <f>SUMPRODUCT((M_BOM[RM_Code]=$A72)*M_BOM[RM_Qty_Per_Batch]*IFERROR(INDEX(PP_Grid[#Data],M_BOM[PPGridRow],7),0))</f>
        <v/>
      </c>
      <c r="H72">
        <f>SUMPRODUCT((M_BOM[RM_Code]=$A72)*M_BOM[RM_Qty_Per_Batch]*IFERROR(INDEX(PP_Grid[#Data],M_BOM[PPGridRow],8),0))</f>
        <v/>
      </c>
      <c r="I72">
        <f>SUMPRODUCT((M_BOM[RM_Code]=$A72)*M_BOM[RM_Qty_Per_Batch]*IFERROR(INDEX(PP_Grid[#Data],M_BOM[PPGridRow],9),0))</f>
        <v/>
      </c>
      <c r="J72">
        <f>SUMPRODUCT((M_BOM[RM_Code]=$A72)*M_BOM[RM_Qty_Per_Batch]*IFERROR(INDEX(PP_Grid[#Data],M_BOM[PPGridRow],10),0))</f>
        <v/>
      </c>
      <c r="K72">
        <f>SUMPRODUCT((M_BOM[RM_Code]=$A72)*M_BOM[RM_Qty_Per_Batch]*IFERROR(INDEX(PP_Grid[#Data],M_BOM[PPGridRow],11),0))</f>
        <v/>
      </c>
      <c r="L72">
        <f>SUMPRODUCT((M_BOM[RM_Code]=$A72)*M_BOM[RM_Qty_Per_Batch]*IFERROR(INDEX(PP_Grid[#Data],M_BOM[PPGridRow],12),0))</f>
        <v/>
      </c>
      <c r="M72">
        <f>SUMPRODUCT((M_BOM[RM_Code]=$A72)*M_BOM[RM_Qty_Per_Batch]*IFERROR(INDEX(PP_Grid[#Data],M_BOM[PPGridRow],13),0))</f>
        <v/>
      </c>
      <c r="N72">
        <f>SUMPRODUCT((M_BOM[RM_Code]=$A72)*M_BOM[RM_Qty_Per_Batch]*IFERROR(INDEX(PP_Grid[#Data],M_BOM[PPGridRow],14),0))</f>
        <v/>
      </c>
      <c r="O72">
        <f>SUMPRODUCT((M_BOM[RM_Code]=$A72)*M_BOM[RM_Qty_Per_Batch]*IFERROR(INDEX(PP_Grid[#Data],M_BOM[PPGridRow],15),0))</f>
        <v/>
      </c>
      <c r="P72">
        <f>SUMPRODUCT((M_BOM[RM_Code]=$A72)*M_BOM[RM_Qty_Per_Batch]*IFERROR(INDEX(PP_Grid[#Data],M_BOM[PPGridRow],16),0))</f>
        <v/>
      </c>
      <c r="Q72">
        <f>SUMPRODUCT((M_BOM[RM_Code]=$A72)*M_BOM[RM_Qty_Per_Batch]*IFERROR(INDEX(PP_Grid[#Data],M_BOM[PPGridRow],17),0))</f>
        <v/>
      </c>
      <c r="R72">
        <f>SUMPRODUCT((M_BOM[RM_Code]=$A72)*M_BOM[RM_Qty_Per_Batch]*IFERROR(INDEX(PP_Grid[#Data],M_BOM[PPGridRow],18),0))</f>
        <v/>
      </c>
      <c r="S72">
        <f>SUMPRODUCT((M_BOM[RM_Code]=$A72)*M_BOM[RM_Qty_Per_Batch]*IFERROR(INDEX(PP_Grid[#Data],M_BOM[PPGridRow],19),0))</f>
        <v/>
      </c>
      <c r="T72">
        <f>SUMPRODUCT((M_BOM[RM_Code]=$A72)*M_BOM[RM_Qty_Per_Batch]*IFERROR(INDEX(PP_Grid[#Data],M_BOM[PPGridRow],20),0))</f>
        <v/>
      </c>
      <c r="U72">
        <f>SUMPRODUCT((M_BOM[RM_Code]=$A72)*M_BOM[RM_Qty_Per_Batch]*IFERROR(INDEX(PP_Grid[#Data],M_BOM[PPGridRow],21),0))</f>
        <v/>
      </c>
      <c r="V72">
        <f>SUMPRODUCT((M_BOM[RM_Code]=$A72)*M_BOM[RM_Qty_Per_Batch]*IFERROR(INDEX(PP_Grid[#Data],M_BOM[PPGridRow],22),0))</f>
        <v/>
      </c>
      <c r="W72">
        <f>SUMPRODUCT((M_BOM[RM_Code]=$A72)*M_BOM[RM_Qty_Per_Batch]*IFERROR(INDEX(PP_Grid[#Data],M_BOM[PPGridRow],23),0))</f>
        <v/>
      </c>
      <c r="X72">
        <f>SUMPRODUCT((M_BOM[RM_Code]=$A72)*M_BOM[RM_Qty_Per_Batch]*IFERROR(INDEX(PP_Grid[#Data],M_BOM[PPGridRow],24),0))</f>
        <v/>
      </c>
      <c r="Y72">
        <f>SUMPRODUCT((M_BOM[RM_Code]=$A72)*M_BOM[RM_Qty_Per_Batch]*IFERROR(INDEX(PP_Grid[#Data],M_BOM[PPGridRow],25),0))</f>
        <v/>
      </c>
      <c r="Z72">
        <f>SUMPRODUCT((M_BOM[RM_Code]=$A72)*M_BOM[RM_Qty_Per_Batch]*IFERROR(INDEX(PP_Grid[#Data],M_BOM[PPGridRow],26),0))</f>
        <v/>
      </c>
      <c r="AA72">
        <f>SUMPRODUCT((M_BOM[RM_Code]=$A72)*M_BOM[RM_Qty_Per_Batch]*IFERROR(INDEX(PP_Grid[#Data],M_BOM[PPGridRow],27),0))</f>
        <v/>
      </c>
      <c r="AB72">
        <f>SUMPRODUCT((M_BOM[RM_Code]=$A72)*M_BOM[RM_Qty_Per_Batch]*IFERROR(INDEX(PP_Grid[#Data],M_BOM[PPGridRow],28),0))</f>
        <v/>
      </c>
      <c r="AC72">
        <f>SUMPRODUCT((M_BOM[RM_Code]=$A72)*M_BOM[RM_Qty_Per_Batch]*IFERROR(INDEX(PP_Grid[#Data],M_BOM[PPGridRow],29),0))</f>
        <v/>
      </c>
      <c r="AD72">
        <f>SUMPRODUCT((M_BOM[RM_Code]=$A72)*M_BOM[RM_Qty_Per_Batch]*IFERROR(INDEX(PP_Grid[#Data],M_BOM[PPGridRow],30),0))</f>
        <v/>
      </c>
      <c r="AE72">
        <f>SUMPRODUCT((M_BOM[RM_Code]=$A72)*M_BOM[RM_Qty_Per_Batch]*IFERROR(INDEX(PP_Grid[#Data],M_BOM[PPGridRow],31),0))</f>
        <v/>
      </c>
      <c r="AF72">
        <f>SUMPRODUCT((M_BOM[RM_Code]=$A72)*M_BOM[RM_Qty_Per_Batch]*IFERROR(INDEX(PP_Grid[#Data],M_BOM[PPGridRow],32),0))</f>
        <v/>
      </c>
      <c r="AG72">
        <f>SUMPRODUCT((M_BOM[RM_Code]=$A72)*M_BOM[RM_Qty_Per_Batch]*IFERROR(INDEX(PP_Grid[#Data],M_BOM[PPGridRow],33),0))</f>
        <v/>
      </c>
      <c r="AH72">
        <f>SUMPRODUCT((M_BOM[RM_Code]=$A72)*M_BOM[RM_Qty_Per_Batch]*IFERROR(INDEX(PP_Grid[#Data],M_BOM[PPGridRow],34),0))</f>
        <v/>
      </c>
      <c r="AI72">
        <f>SUMPRODUCT((M_BOM[RM_Code]=$A72)*M_BOM[RM_Qty_Per_Batch]*IFERROR(INDEX(PP_Grid[#Data],M_BOM[PPGridRow],35),0))</f>
        <v/>
      </c>
      <c r="AJ72">
        <f>SUMPRODUCT((M_BOM[RM_Code]=$A72)*M_BOM[RM_Qty_Per_Batch]*IFERROR(INDEX(PP_Grid[#Data],M_BOM[PPGridRow],36),0))</f>
        <v/>
      </c>
      <c r="AK72">
        <f>SUMPRODUCT((M_BOM[RM_Code]=$A72)*M_BOM[RM_Qty_Per_Batch]*IFERROR(INDEX(PP_Grid[#Data],M_BOM[PPGridRow],37),0))</f>
        <v/>
      </c>
      <c r="AL72">
        <f>SUMPRODUCT((M_BOM[RM_Code]=$A72)*M_BOM[RM_Qty_Per_Batch]*IFERROR(INDEX(PP_Grid[#Data],M_BOM[PPGridRow],38),0))</f>
        <v/>
      </c>
      <c r="AM72">
        <f>SUMPRODUCT((M_BOM[RM_Code]=$A72)*M_BOM[RM_Qty_Per_Batch]*IFERROR(INDEX(PP_Grid[#Data],M_BOM[PPGridRow],39),0))</f>
        <v/>
      </c>
      <c r="AN72">
        <f>SUMPRODUCT((M_BOM[RM_Code]=$A72)*M_BOM[RM_Qty_Per_Batch]*IFERROR(INDEX(PP_Grid[#Data],M_BOM[PPGridRow],40),0))</f>
        <v/>
      </c>
      <c r="AO72">
        <f>SUMPRODUCT((M_BOM[RM_Code]=$A72)*M_BOM[RM_Qty_Per_Batch]*IFERROR(INDEX(PP_Grid[#Data],M_BOM[PPGridRow],41),0))</f>
        <v/>
      </c>
      <c r="AP72">
        <f>SUMPRODUCT((M_BOM[RM_Code]=$A72)*M_BOM[RM_Qty_Per_Batch]*IFERROR(INDEX(PP_Grid[#Data],M_BOM[PPGridRow],42),0))</f>
        <v/>
      </c>
      <c r="AQ72">
        <f>SUMPRODUCT((M_BOM[RM_Code]=$A72)*M_BOM[RM_Qty_Per_Batch]*IFERROR(INDEX(PP_Grid[#Data],M_BOM[PPGridRow],43),0))</f>
        <v/>
      </c>
      <c r="AR72">
        <f>SUMPRODUCT((M_BOM[RM_Code]=$A72)*M_BOM[RM_Qty_Per_Batch]*IFERROR(INDEX(PP_Grid[#Data],M_BOM[PPGridRow],44),0))</f>
        <v/>
      </c>
      <c r="AS72">
        <f>SUMPRODUCT((M_BOM[RM_Code]=$A72)*M_BOM[RM_Qty_Per_Batch]*IFERROR(INDEX(PP_Grid[#Data],M_BOM[PPGridRow],45),0))</f>
        <v/>
      </c>
      <c r="AT72">
        <f>SUMPRODUCT((M_BOM[RM_Code]=$A72)*M_BOM[RM_Qty_Per_Batch]*IFERROR(INDEX(PP_Grid[#Data],M_BOM[PPGridRow],46),0))</f>
        <v/>
      </c>
      <c r="AU72">
        <f>SUMPRODUCT((M_BOM[RM_Code]=$A72)*M_BOM[RM_Qty_Per_Batch]*IFERROR(INDEX(PP_Grid[#Data],M_BOM[PPGridRow],47),0))</f>
        <v/>
      </c>
      <c r="AV72">
        <f>SUMPRODUCT((M_BOM[RM_Code]=$A72)*M_BOM[RM_Qty_Per_Batch]*IFERROR(INDEX(PP_Grid[#Data],M_BOM[PPGridRow],48),0))</f>
        <v/>
      </c>
      <c r="AW72">
        <f>SUMPRODUCT((M_BOM[RM_Code]=$A72)*M_BOM[RM_Qty_Per_Batch]*IFERROR(INDEX(PP_Grid[#Data],M_BOM[PPGridRow],49),0))</f>
        <v/>
      </c>
      <c r="AX72">
        <f>SUMPRODUCT((M_BOM[RM_Code]=$A72)*M_BOM[RM_Qty_Per_Batch]*IFERROR(INDEX(PP_Grid[#Data],M_BOM[PPGridRow],50),0))</f>
        <v/>
      </c>
      <c r="AY72">
        <f>SUMPRODUCT((M_BOM[RM_Code]=$A72)*M_BOM[RM_Qty_Per_Batch]*IFERROR(INDEX(PP_Grid[#Data],M_BOM[PPGridRow],51),0))</f>
        <v/>
      </c>
      <c r="AZ72">
        <f>SUMPRODUCT((M_BOM[RM_Code]=$A72)*M_BOM[RM_Qty_Per_Batch]*IFERROR(INDEX(PP_Grid[#Data],M_BOM[PPGridRow],52),0))</f>
        <v/>
      </c>
      <c r="BA72">
        <f>SUMPRODUCT((M_BOM[RM_Code]=$A72)*M_BOM[RM_Qty_Per_Batch]*IFERROR(INDEX(PP_Grid[#Data],M_BOM[PPGridRow],53),0))</f>
        <v/>
      </c>
      <c r="BB72">
        <f>SUMPRODUCT((M_BOM[RM_Code]=$A72)*M_BOM[RM_Qty_Per_Batch]*IFERROR(INDEX(PP_Grid[#Data],M_BOM[PPGridRow],54),0))</f>
        <v/>
      </c>
      <c r="BC72">
        <f>SUMPRODUCT((M_BOM[RM_Code]=$A72)*M_BOM[RM_Qty_Per_Batch]*IFERROR(INDEX(PP_Grid[#Data],M_BOM[PPGridRow],55),0))</f>
        <v/>
      </c>
      <c r="BD72">
        <f>SUMPRODUCT((M_BOM[RM_Code]=$A72)*M_BOM[RM_Qty_Per_Batch]*IFERROR(INDEX(PP_Grid[#Data],M_BOM[PPGridRow],56),0))</f>
        <v/>
      </c>
      <c r="BE72">
        <f>SUMPRODUCT((M_BOM[RM_Code]=$A72)*M_BOM[RM_Qty_Per_Batch]*IFERROR(INDEX(PP_Grid[#Data],M_BOM[PPGridRow],57),0))</f>
        <v/>
      </c>
      <c r="BF72">
        <f>SUMPRODUCT((M_BOM[RM_Code]=$A72)*M_BOM[RM_Qty_Per_Batch]*IFERROR(INDEX(PP_Grid[#Data],M_BOM[PPGridRow],58),0))</f>
        <v/>
      </c>
      <c r="BG72">
        <f>SUMPRODUCT((M_BOM[RM_Code]=$A72)*M_BOM[RM_Qty_Per_Batch]*IFERROR(INDEX(PP_Grid[#Data],M_BOM[PPGridRow],59),0))</f>
        <v/>
      </c>
      <c r="BH72">
        <f>SUMPRODUCT((M_BOM[RM_Code]=$A72)*M_BOM[RM_Qty_Per_Batch]*IFERROR(INDEX(PP_Grid[#Data],M_BOM[PPGridRow],60),0))</f>
        <v/>
      </c>
      <c r="BI72">
        <f>SUMPRODUCT((M_BOM[RM_Code]=$A72)*M_BOM[RM_Qty_Per_Batch]*IFERROR(INDEX(PP_Grid[#Data],M_BOM[PPGridRow],61),0))</f>
        <v/>
      </c>
      <c r="BJ72">
        <f>SUMPRODUCT((M_BOM[RM_Code]=$A72)*M_BOM[RM_Qty_Per_Batch]*IFERROR(INDEX(PP_Grid[#Data],M_BOM[PPGridRow],62),0))</f>
        <v/>
      </c>
      <c r="BK72">
        <f>SUMPRODUCT((M_BOM[RM_Code]=$A72)*M_BOM[RM_Qty_Per_Batch]*IFERROR(INDEX(PP_Grid[#Data],M_BOM[PPGridRow],63),0))</f>
        <v/>
      </c>
      <c r="BL72">
        <f>SUMPRODUCT((M_BOM[RM_Code]=$A72)*M_BOM[RM_Qty_Per_Batch]*IFERROR(INDEX(PP_Grid[#Data],M_BOM[PPGridRow],64),0))</f>
        <v/>
      </c>
      <c r="BM72">
        <f>SUMPRODUCT((M_BOM[RM_Code]=$A72)*M_BOM[RM_Qty_Per_Batch]*IFERROR(INDEX(PP_Grid[#Data],M_BOM[PPGridRow],65),0))</f>
        <v/>
      </c>
      <c r="BN72">
        <f>SUMPRODUCT((M_BOM[RM_Code]=$A72)*M_BOM[RM_Qty_Per_Batch]*IFERROR(INDEX(PP_Grid[#Data],M_BOM[PPGridRow],66),0))</f>
        <v/>
      </c>
      <c r="BO72">
        <f>SUMPRODUCT((M_BOM[RM_Code]=$A72)*M_BOM[RM_Qty_Per_Batch]*IFERROR(INDEX(PP_Grid[#Data],M_BOM[PPGridRow],67),0))</f>
        <v/>
      </c>
      <c r="BP72">
        <f>SUMPRODUCT((M_BOM[RM_Code]=$A72)*M_BOM[RM_Qty_Per_Batch]*IFERROR(INDEX(PP_Grid[#Data],M_BOM[PPGridRow],68),0))</f>
        <v/>
      </c>
      <c r="BQ72">
        <f>SUMPRODUCT((M_BOM[RM_Code]=$A72)*M_BOM[RM_Qty_Per_Batch]*IFERROR(INDEX(PP_Grid[#Data],M_BOM[PPGridRow],69),0))</f>
        <v/>
      </c>
      <c r="BR72">
        <f>SUMPRODUCT((M_BOM[RM_Code]=$A72)*M_BOM[RM_Qty_Per_Batch]*IFERROR(INDEX(PP_Grid[#Data],M_BOM[PPGridRow],70),0))</f>
        <v/>
      </c>
      <c r="BS72">
        <f>SUMPRODUCT((M_BOM[RM_Code]=$A72)*M_BOM[RM_Qty_Per_Batch]*IFERROR(INDEX(PP_Grid[#Data],M_BOM[PPGridRow],71),0))</f>
        <v/>
      </c>
      <c r="BT72">
        <f>SUMPRODUCT((M_BOM[RM_Code]=$A72)*M_BOM[RM_Qty_Per_Batch]*IFERROR(INDEX(PP_Grid[#Data],M_BOM[PPGridRow],72),0))</f>
        <v/>
      </c>
      <c r="BU72">
        <f>SUMPRODUCT((M_BOM[RM_Code]=$A72)*M_BOM[RM_Qty_Per_Batch]*IFERROR(INDEX(PP_Grid[#Data],M_BOM[PPGridRow],73),0))</f>
        <v/>
      </c>
      <c r="BV72">
        <f>SUMPRODUCT((M_BOM[RM_Code]=$A72)*M_BOM[RM_Qty_Per_Batch]*IFERROR(INDEX(PP_Grid[#Data],M_BOM[PPGridRow],74),0))</f>
        <v/>
      </c>
      <c r="BW72">
        <f>SUMPRODUCT((M_BOM[RM_Code]=$A72)*M_BOM[RM_Qty_Per_Batch]*IFERROR(INDEX(PP_Grid[#Data],M_BOM[PPGridRow],75),0))</f>
        <v/>
      </c>
      <c r="BX72">
        <f>SUMPRODUCT((M_BOM[RM_Code]=$A72)*M_BOM[RM_Qty_Per_Batch]*IFERROR(INDEX(PP_Grid[#Data],M_BOM[PPGridRow],76),0))</f>
        <v/>
      </c>
      <c r="BY72">
        <f>SUMPRODUCT((M_BOM[RM_Code]=$A72)*M_BOM[RM_Qty_Per_Batch]*IFERROR(INDEX(PP_Grid[#Data],M_BOM[PPGridRow],77),0))</f>
        <v/>
      </c>
      <c r="BZ72">
        <f>SUMPRODUCT((M_BOM[RM_Code]=$A72)*M_BOM[RM_Qty_Per_Batch]*IFERROR(INDEX(PP_Grid[#Data],M_BOM[PPGridRow],78),0))</f>
        <v/>
      </c>
      <c r="CA72">
        <f>SUMPRODUCT((M_BOM[RM_Code]=$A72)*M_BOM[RM_Qty_Per_Batch]*IFERROR(INDEX(PP_Grid[#Data],M_BOM[PPGridRow],79),0))</f>
        <v/>
      </c>
      <c r="CB72">
        <f>SUMPRODUCT((M_BOM[RM_Code]=$A72)*M_BOM[RM_Qty_Per_Batch]*IFERROR(INDEX(PP_Grid[#Data],M_BOM[PPGridRow],80),0))</f>
        <v/>
      </c>
      <c r="CC72">
        <f>SUMPRODUCT((M_BOM[RM_Code]=$A72)*M_BOM[RM_Qty_Per_Batch]*IFERROR(INDEX(PP_Grid[#Data],M_BOM[PPGridRow],81),0))</f>
        <v/>
      </c>
      <c r="CD72">
        <f>SUMPRODUCT((M_BOM[RM_Code]=$A72)*M_BOM[RM_Qty_Per_Batch]*IFERROR(INDEX(PP_Grid[#Data],M_BOM[PPGridRow],82),0))</f>
        <v/>
      </c>
      <c r="CE72">
        <f>SUMPRODUCT((M_BOM[RM_Code]=$A72)*M_BOM[RM_Qty_Per_Batch]*IFERROR(INDEX(PP_Grid[#Data],M_BOM[PPGridRow],83),0))</f>
        <v/>
      </c>
      <c r="CF72">
        <f>SUMPRODUCT((M_BOM[RM_Code]=$A72)*M_BOM[RM_Qty_Per_Batch]*IFERROR(INDEX(PP_Grid[#Data],M_BOM[PPGridRow],84),0))</f>
        <v/>
      </c>
      <c r="CG72">
        <f>SUMPRODUCT((M_BOM[RM_Code]=$A72)*M_BOM[RM_Qty_Per_Batch]*IFERROR(INDEX(PP_Grid[#Data],M_BOM[PPGridRow],85),0))</f>
        <v/>
      </c>
      <c r="CH72">
        <f>SUMPRODUCT((M_BOM[RM_Code]=$A72)*M_BOM[RM_Qty_Per_Batch]*IFERROR(INDEX(PP_Grid[#Data],M_BOM[PPGridRow],86),0))</f>
        <v/>
      </c>
      <c r="CI72">
        <f>SUMPRODUCT((M_BOM[RM_Code]=$A72)*M_BOM[RM_Qty_Per_Batch]*IFERROR(INDEX(PP_Grid[#Data],M_BOM[PPGridRow],87),0))</f>
        <v/>
      </c>
      <c r="CJ72">
        <f>SUMPRODUCT((M_BOM[RM_Code]=$A72)*M_BOM[RM_Qty_Per_Batch]*IFERROR(INDEX(PP_Grid[#Data],M_BOM[PPGridRow],88),0))</f>
        <v/>
      </c>
      <c r="CK72">
        <f>SUMPRODUCT((M_BOM[RM_Code]=$A72)*M_BOM[RM_Qty_Per_Batch]*IFERROR(INDEX(PP_Grid[#Data],M_BOM[PPGridRow],89),0))</f>
        <v/>
      </c>
      <c r="CL72">
        <f>SUMPRODUCT((M_BOM[RM_Code]=$A72)*M_BOM[RM_Qty_Per_Batch]*IFERROR(INDEX(PP_Grid[#Data],M_BOM[PPGridRow],90),0))</f>
        <v/>
      </c>
      <c r="CM72">
        <f>SUMPRODUCT((M_BOM[RM_Code]=$A72)*M_BOM[RM_Qty_Per_Batch]*IFERROR(INDEX(PP_Grid[#Data],M_BOM[PPGridRow],91),0))</f>
        <v/>
      </c>
      <c r="CN72">
        <f>SUMPRODUCT((M_BOM[RM_Code]=$A72)*M_BOM[RM_Qty_Per_Batch]*IFERROR(INDEX(PP_Grid[#Data],M_BOM[PPGridRow],92),0))</f>
        <v/>
      </c>
      <c r="CO72">
        <f>SUMPRODUCT((M_BOM[RM_Code]=$A72)*M_BOM[RM_Qty_Per_Batch]*IFERROR(INDEX(PP_Grid[#Data],M_BOM[PPGridRow],93),0))</f>
        <v/>
      </c>
      <c r="CP72">
        <f>SUMPRODUCT((M_BOM[RM_Code]=$A72)*M_BOM[RM_Qty_Per_Batch]*IFERROR(INDEX(PP_Grid[#Data],M_BOM[PPGridRow],94),0))</f>
        <v/>
      </c>
      <c r="CQ72">
        <f>SUMPRODUCT((M_BOM[RM_Code]=$A72)*M_BOM[RM_Qty_Per_Batch]*IFERROR(INDEX(PP_Grid[#Data],M_BOM[PPGridRow],95),0))</f>
        <v/>
      </c>
      <c r="CR72">
        <f>SUMPRODUCT((M_BOM[RM_Code]=$A72)*M_BOM[RM_Qty_Per_Batch]*IFERROR(INDEX(PP_Grid[#Data],M_BOM[PPGridRow],96),0))</f>
        <v/>
      </c>
      <c r="CS72">
        <f>SUMPRODUCT((M_BOM[RM_Code]=$A72)*M_BOM[RM_Qty_Per_Batch]*IFERROR(INDEX(PP_Grid[#Data],M_BOM[PPGridRow],97),0))</f>
        <v/>
      </c>
      <c r="CT72">
        <f>SUMPRODUCT((M_BOM[RM_Code]=$A72)*M_BOM[RM_Qty_Per_Batch]*IFERROR(INDEX(PP_Grid[#Data],M_BOM[PPGridRow],98),0))</f>
        <v/>
      </c>
      <c r="CU72">
        <f>SUMPRODUCT((M_BOM[RM_Code]=$A72)*M_BOM[RM_Qty_Per_Batch]*IFERROR(INDEX(PP_Grid[#Data],M_BOM[PPGridRow],99),0))</f>
        <v/>
      </c>
      <c r="CV72">
        <f>SUMPRODUCT((M_BOM[RM_Code]=$A72)*M_BOM[RM_Qty_Per_Batch]*IFERROR(INDEX(PP_Grid[#Data],M_BOM[PPGridRow],100),0))</f>
        <v/>
      </c>
      <c r="CW72">
        <f>SUMPRODUCT((M_BOM[RM_Code]=$A72)*M_BOM[RM_Qty_Per_Batch]*IFERROR(INDEX(PP_Grid[#Data],M_BOM[PPGridRow],101),0))</f>
        <v/>
      </c>
      <c r="CX72">
        <f>SUMPRODUCT((M_BOM[RM_Code]=$A72)*M_BOM[RM_Qty_Per_Batch]*IFERROR(INDEX(PP_Grid[#Data],M_BOM[PPGridRow],102),0))</f>
        <v/>
      </c>
      <c r="CY72">
        <f>SUMPRODUCT((M_BOM[RM_Code]=$A72)*M_BOM[RM_Qty_Per_Batch]*IFERROR(INDEX(PP_Grid[#Data],M_BOM[PPGridRow],103),0))</f>
        <v/>
      </c>
      <c r="CZ72">
        <f>SUMPRODUCT((M_BOM[RM_Code]=$A72)*M_BOM[RM_Qty_Per_Batch]*IFERROR(INDEX(PP_Grid[#Data],M_BOM[PPGridRow],104),0))</f>
        <v/>
      </c>
      <c r="DA72">
        <f>SUMPRODUCT((M_BOM[RM_Code]=$A72)*M_BOM[RM_Qty_Per_Batch]*IFERROR(INDEX(PP_Grid[#Data],M_BOM[PPGridRow],105),0))</f>
        <v/>
      </c>
    </row>
    <row r="73">
      <c r="A73" t="inlineStr">
        <is>
          <t>846227</t>
        </is>
      </c>
      <c r="B73">
        <f>SUMPRODUCT((M_BOM[RM_Code]=$A73)*M_BOM[RM_Qty_Per_Batch]*IFERROR(INDEX(PP_Grid[#Data],M_BOM[PPGridRow],2),0))</f>
        <v/>
      </c>
      <c r="C73">
        <f>SUMPRODUCT((M_BOM[RM_Code]=$A73)*M_BOM[RM_Qty_Per_Batch]*IFERROR(INDEX(PP_Grid[#Data],M_BOM[PPGridRow],3),0))</f>
        <v/>
      </c>
      <c r="D73">
        <f>SUMPRODUCT((M_BOM[RM_Code]=$A73)*M_BOM[RM_Qty_Per_Batch]*IFERROR(INDEX(PP_Grid[#Data],M_BOM[PPGridRow],4),0))</f>
        <v/>
      </c>
      <c r="E73">
        <f>SUMPRODUCT((M_BOM[RM_Code]=$A73)*M_BOM[RM_Qty_Per_Batch]*IFERROR(INDEX(PP_Grid[#Data],M_BOM[PPGridRow],5),0))</f>
        <v/>
      </c>
      <c r="F73">
        <f>SUMPRODUCT((M_BOM[RM_Code]=$A73)*M_BOM[RM_Qty_Per_Batch]*IFERROR(INDEX(PP_Grid[#Data],M_BOM[PPGridRow],6),0))</f>
        <v/>
      </c>
      <c r="G73">
        <f>SUMPRODUCT((M_BOM[RM_Code]=$A73)*M_BOM[RM_Qty_Per_Batch]*IFERROR(INDEX(PP_Grid[#Data],M_BOM[PPGridRow],7),0))</f>
        <v/>
      </c>
      <c r="H73">
        <f>SUMPRODUCT((M_BOM[RM_Code]=$A73)*M_BOM[RM_Qty_Per_Batch]*IFERROR(INDEX(PP_Grid[#Data],M_BOM[PPGridRow],8),0))</f>
        <v/>
      </c>
      <c r="I73">
        <f>SUMPRODUCT((M_BOM[RM_Code]=$A73)*M_BOM[RM_Qty_Per_Batch]*IFERROR(INDEX(PP_Grid[#Data],M_BOM[PPGridRow],9),0))</f>
        <v/>
      </c>
      <c r="J73">
        <f>SUMPRODUCT((M_BOM[RM_Code]=$A73)*M_BOM[RM_Qty_Per_Batch]*IFERROR(INDEX(PP_Grid[#Data],M_BOM[PPGridRow],10),0))</f>
        <v/>
      </c>
      <c r="K73">
        <f>SUMPRODUCT((M_BOM[RM_Code]=$A73)*M_BOM[RM_Qty_Per_Batch]*IFERROR(INDEX(PP_Grid[#Data],M_BOM[PPGridRow],11),0))</f>
        <v/>
      </c>
      <c r="L73">
        <f>SUMPRODUCT((M_BOM[RM_Code]=$A73)*M_BOM[RM_Qty_Per_Batch]*IFERROR(INDEX(PP_Grid[#Data],M_BOM[PPGridRow],12),0))</f>
        <v/>
      </c>
      <c r="M73">
        <f>SUMPRODUCT((M_BOM[RM_Code]=$A73)*M_BOM[RM_Qty_Per_Batch]*IFERROR(INDEX(PP_Grid[#Data],M_BOM[PPGridRow],13),0))</f>
        <v/>
      </c>
      <c r="N73">
        <f>SUMPRODUCT((M_BOM[RM_Code]=$A73)*M_BOM[RM_Qty_Per_Batch]*IFERROR(INDEX(PP_Grid[#Data],M_BOM[PPGridRow],14),0))</f>
        <v/>
      </c>
      <c r="O73">
        <f>SUMPRODUCT((M_BOM[RM_Code]=$A73)*M_BOM[RM_Qty_Per_Batch]*IFERROR(INDEX(PP_Grid[#Data],M_BOM[PPGridRow],15),0))</f>
        <v/>
      </c>
      <c r="P73">
        <f>SUMPRODUCT((M_BOM[RM_Code]=$A73)*M_BOM[RM_Qty_Per_Batch]*IFERROR(INDEX(PP_Grid[#Data],M_BOM[PPGridRow],16),0))</f>
        <v/>
      </c>
      <c r="Q73">
        <f>SUMPRODUCT((M_BOM[RM_Code]=$A73)*M_BOM[RM_Qty_Per_Batch]*IFERROR(INDEX(PP_Grid[#Data],M_BOM[PPGridRow],17),0))</f>
        <v/>
      </c>
      <c r="R73">
        <f>SUMPRODUCT((M_BOM[RM_Code]=$A73)*M_BOM[RM_Qty_Per_Batch]*IFERROR(INDEX(PP_Grid[#Data],M_BOM[PPGridRow],18),0))</f>
        <v/>
      </c>
      <c r="S73">
        <f>SUMPRODUCT((M_BOM[RM_Code]=$A73)*M_BOM[RM_Qty_Per_Batch]*IFERROR(INDEX(PP_Grid[#Data],M_BOM[PPGridRow],19),0))</f>
        <v/>
      </c>
      <c r="T73">
        <f>SUMPRODUCT((M_BOM[RM_Code]=$A73)*M_BOM[RM_Qty_Per_Batch]*IFERROR(INDEX(PP_Grid[#Data],M_BOM[PPGridRow],20),0))</f>
        <v/>
      </c>
      <c r="U73">
        <f>SUMPRODUCT((M_BOM[RM_Code]=$A73)*M_BOM[RM_Qty_Per_Batch]*IFERROR(INDEX(PP_Grid[#Data],M_BOM[PPGridRow],21),0))</f>
        <v/>
      </c>
      <c r="V73">
        <f>SUMPRODUCT((M_BOM[RM_Code]=$A73)*M_BOM[RM_Qty_Per_Batch]*IFERROR(INDEX(PP_Grid[#Data],M_BOM[PPGridRow],22),0))</f>
        <v/>
      </c>
      <c r="W73">
        <f>SUMPRODUCT((M_BOM[RM_Code]=$A73)*M_BOM[RM_Qty_Per_Batch]*IFERROR(INDEX(PP_Grid[#Data],M_BOM[PPGridRow],23),0))</f>
        <v/>
      </c>
      <c r="X73">
        <f>SUMPRODUCT((M_BOM[RM_Code]=$A73)*M_BOM[RM_Qty_Per_Batch]*IFERROR(INDEX(PP_Grid[#Data],M_BOM[PPGridRow],24),0))</f>
        <v/>
      </c>
      <c r="Y73">
        <f>SUMPRODUCT((M_BOM[RM_Code]=$A73)*M_BOM[RM_Qty_Per_Batch]*IFERROR(INDEX(PP_Grid[#Data],M_BOM[PPGridRow],25),0))</f>
        <v/>
      </c>
      <c r="Z73">
        <f>SUMPRODUCT((M_BOM[RM_Code]=$A73)*M_BOM[RM_Qty_Per_Batch]*IFERROR(INDEX(PP_Grid[#Data],M_BOM[PPGridRow],26),0))</f>
        <v/>
      </c>
      <c r="AA73">
        <f>SUMPRODUCT((M_BOM[RM_Code]=$A73)*M_BOM[RM_Qty_Per_Batch]*IFERROR(INDEX(PP_Grid[#Data],M_BOM[PPGridRow],27),0))</f>
        <v/>
      </c>
      <c r="AB73">
        <f>SUMPRODUCT((M_BOM[RM_Code]=$A73)*M_BOM[RM_Qty_Per_Batch]*IFERROR(INDEX(PP_Grid[#Data],M_BOM[PPGridRow],28),0))</f>
        <v/>
      </c>
      <c r="AC73">
        <f>SUMPRODUCT((M_BOM[RM_Code]=$A73)*M_BOM[RM_Qty_Per_Batch]*IFERROR(INDEX(PP_Grid[#Data],M_BOM[PPGridRow],29),0))</f>
        <v/>
      </c>
      <c r="AD73">
        <f>SUMPRODUCT((M_BOM[RM_Code]=$A73)*M_BOM[RM_Qty_Per_Batch]*IFERROR(INDEX(PP_Grid[#Data],M_BOM[PPGridRow],30),0))</f>
        <v/>
      </c>
      <c r="AE73">
        <f>SUMPRODUCT((M_BOM[RM_Code]=$A73)*M_BOM[RM_Qty_Per_Batch]*IFERROR(INDEX(PP_Grid[#Data],M_BOM[PPGridRow],31),0))</f>
        <v/>
      </c>
      <c r="AF73">
        <f>SUMPRODUCT((M_BOM[RM_Code]=$A73)*M_BOM[RM_Qty_Per_Batch]*IFERROR(INDEX(PP_Grid[#Data],M_BOM[PPGridRow],32),0))</f>
        <v/>
      </c>
      <c r="AG73">
        <f>SUMPRODUCT((M_BOM[RM_Code]=$A73)*M_BOM[RM_Qty_Per_Batch]*IFERROR(INDEX(PP_Grid[#Data],M_BOM[PPGridRow],33),0))</f>
        <v/>
      </c>
      <c r="AH73">
        <f>SUMPRODUCT((M_BOM[RM_Code]=$A73)*M_BOM[RM_Qty_Per_Batch]*IFERROR(INDEX(PP_Grid[#Data],M_BOM[PPGridRow],34),0))</f>
        <v/>
      </c>
      <c r="AI73">
        <f>SUMPRODUCT((M_BOM[RM_Code]=$A73)*M_BOM[RM_Qty_Per_Batch]*IFERROR(INDEX(PP_Grid[#Data],M_BOM[PPGridRow],35),0))</f>
        <v/>
      </c>
      <c r="AJ73">
        <f>SUMPRODUCT((M_BOM[RM_Code]=$A73)*M_BOM[RM_Qty_Per_Batch]*IFERROR(INDEX(PP_Grid[#Data],M_BOM[PPGridRow],36),0))</f>
        <v/>
      </c>
      <c r="AK73">
        <f>SUMPRODUCT((M_BOM[RM_Code]=$A73)*M_BOM[RM_Qty_Per_Batch]*IFERROR(INDEX(PP_Grid[#Data],M_BOM[PPGridRow],37),0))</f>
        <v/>
      </c>
      <c r="AL73">
        <f>SUMPRODUCT((M_BOM[RM_Code]=$A73)*M_BOM[RM_Qty_Per_Batch]*IFERROR(INDEX(PP_Grid[#Data],M_BOM[PPGridRow],38),0))</f>
        <v/>
      </c>
      <c r="AM73">
        <f>SUMPRODUCT((M_BOM[RM_Code]=$A73)*M_BOM[RM_Qty_Per_Batch]*IFERROR(INDEX(PP_Grid[#Data],M_BOM[PPGridRow],39),0))</f>
        <v/>
      </c>
      <c r="AN73">
        <f>SUMPRODUCT((M_BOM[RM_Code]=$A73)*M_BOM[RM_Qty_Per_Batch]*IFERROR(INDEX(PP_Grid[#Data],M_BOM[PPGridRow],40),0))</f>
        <v/>
      </c>
      <c r="AO73">
        <f>SUMPRODUCT((M_BOM[RM_Code]=$A73)*M_BOM[RM_Qty_Per_Batch]*IFERROR(INDEX(PP_Grid[#Data],M_BOM[PPGridRow],41),0))</f>
        <v/>
      </c>
      <c r="AP73">
        <f>SUMPRODUCT((M_BOM[RM_Code]=$A73)*M_BOM[RM_Qty_Per_Batch]*IFERROR(INDEX(PP_Grid[#Data],M_BOM[PPGridRow],42),0))</f>
        <v/>
      </c>
      <c r="AQ73">
        <f>SUMPRODUCT((M_BOM[RM_Code]=$A73)*M_BOM[RM_Qty_Per_Batch]*IFERROR(INDEX(PP_Grid[#Data],M_BOM[PPGridRow],43),0))</f>
        <v/>
      </c>
      <c r="AR73">
        <f>SUMPRODUCT((M_BOM[RM_Code]=$A73)*M_BOM[RM_Qty_Per_Batch]*IFERROR(INDEX(PP_Grid[#Data],M_BOM[PPGridRow],44),0))</f>
        <v/>
      </c>
      <c r="AS73">
        <f>SUMPRODUCT((M_BOM[RM_Code]=$A73)*M_BOM[RM_Qty_Per_Batch]*IFERROR(INDEX(PP_Grid[#Data],M_BOM[PPGridRow],45),0))</f>
        <v/>
      </c>
      <c r="AT73">
        <f>SUMPRODUCT((M_BOM[RM_Code]=$A73)*M_BOM[RM_Qty_Per_Batch]*IFERROR(INDEX(PP_Grid[#Data],M_BOM[PPGridRow],46),0))</f>
        <v/>
      </c>
      <c r="AU73">
        <f>SUMPRODUCT((M_BOM[RM_Code]=$A73)*M_BOM[RM_Qty_Per_Batch]*IFERROR(INDEX(PP_Grid[#Data],M_BOM[PPGridRow],47),0))</f>
        <v/>
      </c>
      <c r="AV73">
        <f>SUMPRODUCT((M_BOM[RM_Code]=$A73)*M_BOM[RM_Qty_Per_Batch]*IFERROR(INDEX(PP_Grid[#Data],M_BOM[PPGridRow],48),0))</f>
        <v/>
      </c>
      <c r="AW73">
        <f>SUMPRODUCT((M_BOM[RM_Code]=$A73)*M_BOM[RM_Qty_Per_Batch]*IFERROR(INDEX(PP_Grid[#Data],M_BOM[PPGridRow],49),0))</f>
        <v/>
      </c>
      <c r="AX73">
        <f>SUMPRODUCT((M_BOM[RM_Code]=$A73)*M_BOM[RM_Qty_Per_Batch]*IFERROR(INDEX(PP_Grid[#Data],M_BOM[PPGridRow],50),0))</f>
        <v/>
      </c>
      <c r="AY73">
        <f>SUMPRODUCT((M_BOM[RM_Code]=$A73)*M_BOM[RM_Qty_Per_Batch]*IFERROR(INDEX(PP_Grid[#Data],M_BOM[PPGridRow],51),0))</f>
        <v/>
      </c>
      <c r="AZ73">
        <f>SUMPRODUCT((M_BOM[RM_Code]=$A73)*M_BOM[RM_Qty_Per_Batch]*IFERROR(INDEX(PP_Grid[#Data],M_BOM[PPGridRow],52),0))</f>
        <v/>
      </c>
      <c r="BA73">
        <f>SUMPRODUCT((M_BOM[RM_Code]=$A73)*M_BOM[RM_Qty_Per_Batch]*IFERROR(INDEX(PP_Grid[#Data],M_BOM[PPGridRow],53),0))</f>
        <v/>
      </c>
      <c r="BB73">
        <f>SUMPRODUCT((M_BOM[RM_Code]=$A73)*M_BOM[RM_Qty_Per_Batch]*IFERROR(INDEX(PP_Grid[#Data],M_BOM[PPGridRow],54),0))</f>
        <v/>
      </c>
      <c r="BC73">
        <f>SUMPRODUCT((M_BOM[RM_Code]=$A73)*M_BOM[RM_Qty_Per_Batch]*IFERROR(INDEX(PP_Grid[#Data],M_BOM[PPGridRow],55),0))</f>
        <v/>
      </c>
      <c r="BD73">
        <f>SUMPRODUCT((M_BOM[RM_Code]=$A73)*M_BOM[RM_Qty_Per_Batch]*IFERROR(INDEX(PP_Grid[#Data],M_BOM[PPGridRow],56),0))</f>
        <v/>
      </c>
      <c r="BE73">
        <f>SUMPRODUCT((M_BOM[RM_Code]=$A73)*M_BOM[RM_Qty_Per_Batch]*IFERROR(INDEX(PP_Grid[#Data],M_BOM[PPGridRow],57),0))</f>
        <v/>
      </c>
      <c r="BF73">
        <f>SUMPRODUCT((M_BOM[RM_Code]=$A73)*M_BOM[RM_Qty_Per_Batch]*IFERROR(INDEX(PP_Grid[#Data],M_BOM[PPGridRow],58),0))</f>
        <v/>
      </c>
      <c r="BG73">
        <f>SUMPRODUCT((M_BOM[RM_Code]=$A73)*M_BOM[RM_Qty_Per_Batch]*IFERROR(INDEX(PP_Grid[#Data],M_BOM[PPGridRow],59),0))</f>
        <v/>
      </c>
      <c r="BH73">
        <f>SUMPRODUCT((M_BOM[RM_Code]=$A73)*M_BOM[RM_Qty_Per_Batch]*IFERROR(INDEX(PP_Grid[#Data],M_BOM[PPGridRow],60),0))</f>
        <v/>
      </c>
      <c r="BI73">
        <f>SUMPRODUCT((M_BOM[RM_Code]=$A73)*M_BOM[RM_Qty_Per_Batch]*IFERROR(INDEX(PP_Grid[#Data],M_BOM[PPGridRow],61),0))</f>
        <v/>
      </c>
      <c r="BJ73">
        <f>SUMPRODUCT((M_BOM[RM_Code]=$A73)*M_BOM[RM_Qty_Per_Batch]*IFERROR(INDEX(PP_Grid[#Data],M_BOM[PPGridRow],62),0))</f>
        <v/>
      </c>
      <c r="BK73">
        <f>SUMPRODUCT((M_BOM[RM_Code]=$A73)*M_BOM[RM_Qty_Per_Batch]*IFERROR(INDEX(PP_Grid[#Data],M_BOM[PPGridRow],63),0))</f>
        <v/>
      </c>
      <c r="BL73">
        <f>SUMPRODUCT((M_BOM[RM_Code]=$A73)*M_BOM[RM_Qty_Per_Batch]*IFERROR(INDEX(PP_Grid[#Data],M_BOM[PPGridRow],64),0))</f>
        <v/>
      </c>
      <c r="BM73">
        <f>SUMPRODUCT((M_BOM[RM_Code]=$A73)*M_BOM[RM_Qty_Per_Batch]*IFERROR(INDEX(PP_Grid[#Data],M_BOM[PPGridRow],65),0))</f>
        <v/>
      </c>
      <c r="BN73">
        <f>SUMPRODUCT((M_BOM[RM_Code]=$A73)*M_BOM[RM_Qty_Per_Batch]*IFERROR(INDEX(PP_Grid[#Data],M_BOM[PPGridRow],66),0))</f>
        <v/>
      </c>
      <c r="BO73">
        <f>SUMPRODUCT((M_BOM[RM_Code]=$A73)*M_BOM[RM_Qty_Per_Batch]*IFERROR(INDEX(PP_Grid[#Data],M_BOM[PPGridRow],67),0))</f>
        <v/>
      </c>
      <c r="BP73">
        <f>SUMPRODUCT((M_BOM[RM_Code]=$A73)*M_BOM[RM_Qty_Per_Batch]*IFERROR(INDEX(PP_Grid[#Data],M_BOM[PPGridRow],68),0))</f>
        <v/>
      </c>
      <c r="BQ73">
        <f>SUMPRODUCT((M_BOM[RM_Code]=$A73)*M_BOM[RM_Qty_Per_Batch]*IFERROR(INDEX(PP_Grid[#Data],M_BOM[PPGridRow],69),0))</f>
        <v/>
      </c>
      <c r="BR73">
        <f>SUMPRODUCT((M_BOM[RM_Code]=$A73)*M_BOM[RM_Qty_Per_Batch]*IFERROR(INDEX(PP_Grid[#Data],M_BOM[PPGridRow],70),0))</f>
        <v/>
      </c>
      <c r="BS73">
        <f>SUMPRODUCT((M_BOM[RM_Code]=$A73)*M_BOM[RM_Qty_Per_Batch]*IFERROR(INDEX(PP_Grid[#Data],M_BOM[PPGridRow],71),0))</f>
        <v/>
      </c>
      <c r="BT73">
        <f>SUMPRODUCT((M_BOM[RM_Code]=$A73)*M_BOM[RM_Qty_Per_Batch]*IFERROR(INDEX(PP_Grid[#Data],M_BOM[PPGridRow],72),0))</f>
        <v/>
      </c>
      <c r="BU73">
        <f>SUMPRODUCT((M_BOM[RM_Code]=$A73)*M_BOM[RM_Qty_Per_Batch]*IFERROR(INDEX(PP_Grid[#Data],M_BOM[PPGridRow],73),0))</f>
        <v/>
      </c>
      <c r="BV73">
        <f>SUMPRODUCT((M_BOM[RM_Code]=$A73)*M_BOM[RM_Qty_Per_Batch]*IFERROR(INDEX(PP_Grid[#Data],M_BOM[PPGridRow],74),0))</f>
        <v/>
      </c>
      <c r="BW73">
        <f>SUMPRODUCT((M_BOM[RM_Code]=$A73)*M_BOM[RM_Qty_Per_Batch]*IFERROR(INDEX(PP_Grid[#Data],M_BOM[PPGridRow],75),0))</f>
        <v/>
      </c>
      <c r="BX73">
        <f>SUMPRODUCT((M_BOM[RM_Code]=$A73)*M_BOM[RM_Qty_Per_Batch]*IFERROR(INDEX(PP_Grid[#Data],M_BOM[PPGridRow],76),0))</f>
        <v/>
      </c>
      <c r="BY73">
        <f>SUMPRODUCT((M_BOM[RM_Code]=$A73)*M_BOM[RM_Qty_Per_Batch]*IFERROR(INDEX(PP_Grid[#Data],M_BOM[PPGridRow],77),0))</f>
        <v/>
      </c>
      <c r="BZ73">
        <f>SUMPRODUCT((M_BOM[RM_Code]=$A73)*M_BOM[RM_Qty_Per_Batch]*IFERROR(INDEX(PP_Grid[#Data],M_BOM[PPGridRow],78),0))</f>
        <v/>
      </c>
      <c r="CA73">
        <f>SUMPRODUCT((M_BOM[RM_Code]=$A73)*M_BOM[RM_Qty_Per_Batch]*IFERROR(INDEX(PP_Grid[#Data],M_BOM[PPGridRow],79),0))</f>
        <v/>
      </c>
      <c r="CB73">
        <f>SUMPRODUCT((M_BOM[RM_Code]=$A73)*M_BOM[RM_Qty_Per_Batch]*IFERROR(INDEX(PP_Grid[#Data],M_BOM[PPGridRow],80),0))</f>
        <v/>
      </c>
      <c r="CC73">
        <f>SUMPRODUCT((M_BOM[RM_Code]=$A73)*M_BOM[RM_Qty_Per_Batch]*IFERROR(INDEX(PP_Grid[#Data],M_BOM[PPGridRow],81),0))</f>
        <v/>
      </c>
      <c r="CD73">
        <f>SUMPRODUCT((M_BOM[RM_Code]=$A73)*M_BOM[RM_Qty_Per_Batch]*IFERROR(INDEX(PP_Grid[#Data],M_BOM[PPGridRow],82),0))</f>
        <v/>
      </c>
      <c r="CE73">
        <f>SUMPRODUCT((M_BOM[RM_Code]=$A73)*M_BOM[RM_Qty_Per_Batch]*IFERROR(INDEX(PP_Grid[#Data],M_BOM[PPGridRow],83),0))</f>
        <v/>
      </c>
      <c r="CF73">
        <f>SUMPRODUCT((M_BOM[RM_Code]=$A73)*M_BOM[RM_Qty_Per_Batch]*IFERROR(INDEX(PP_Grid[#Data],M_BOM[PPGridRow],84),0))</f>
        <v/>
      </c>
      <c r="CG73">
        <f>SUMPRODUCT((M_BOM[RM_Code]=$A73)*M_BOM[RM_Qty_Per_Batch]*IFERROR(INDEX(PP_Grid[#Data],M_BOM[PPGridRow],85),0))</f>
        <v/>
      </c>
      <c r="CH73">
        <f>SUMPRODUCT((M_BOM[RM_Code]=$A73)*M_BOM[RM_Qty_Per_Batch]*IFERROR(INDEX(PP_Grid[#Data],M_BOM[PPGridRow],86),0))</f>
        <v/>
      </c>
      <c r="CI73">
        <f>SUMPRODUCT((M_BOM[RM_Code]=$A73)*M_BOM[RM_Qty_Per_Batch]*IFERROR(INDEX(PP_Grid[#Data],M_BOM[PPGridRow],87),0))</f>
        <v/>
      </c>
      <c r="CJ73">
        <f>SUMPRODUCT((M_BOM[RM_Code]=$A73)*M_BOM[RM_Qty_Per_Batch]*IFERROR(INDEX(PP_Grid[#Data],M_BOM[PPGridRow],88),0))</f>
        <v/>
      </c>
      <c r="CK73">
        <f>SUMPRODUCT((M_BOM[RM_Code]=$A73)*M_BOM[RM_Qty_Per_Batch]*IFERROR(INDEX(PP_Grid[#Data],M_BOM[PPGridRow],89),0))</f>
        <v/>
      </c>
      <c r="CL73">
        <f>SUMPRODUCT((M_BOM[RM_Code]=$A73)*M_BOM[RM_Qty_Per_Batch]*IFERROR(INDEX(PP_Grid[#Data],M_BOM[PPGridRow],90),0))</f>
        <v/>
      </c>
      <c r="CM73">
        <f>SUMPRODUCT((M_BOM[RM_Code]=$A73)*M_BOM[RM_Qty_Per_Batch]*IFERROR(INDEX(PP_Grid[#Data],M_BOM[PPGridRow],91),0))</f>
        <v/>
      </c>
      <c r="CN73">
        <f>SUMPRODUCT((M_BOM[RM_Code]=$A73)*M_BOM[RM_Qty_Per_Batch]*IFERROR(INDEX(PP_Grid[#Data],M_BOM[PPGridRow],92),0))</f>
        <v/>
      </c>
      <c r="CO73">
        <f>SUMPRODUCT((M_BOM[RM_Code]=$A73)*M_BOM[RM_Qty_Per_Batch]*IFERROR(INDEX(PP_Grid[#Data],M_BOM[PPGridRow],93),0))</f>
        <v/>
      </c>
      <c r="CP73">
        <f>SUMPRODUCT((M_BOM[RM_Code]=$A73)*M_BOM[RM_Qty_Per_Batch]*IFERROR(INDEX(PP_Grid[#Data],M_BOM[PPGridRow],94),0))</f>
        <v/>
      </c>
      <c r="CQ73">
        <f>SUMPRODUCT((M_BOM[RM_Code]=$A73)*M_BOM[RM_Qty_Per_Batch]*IFERROR(INDEX(PP_Grid[#Data],M_BOM[PPGridRow],95),0))</f>
        <v/>
      </c>
      <c r="CR73">
        <f>SUMPRODUCT((M_BOM[RM_Code]=$A73)*M_BOM[RM_Qty_Per_Batch]*IFERROR(INDEX(PP_Grid[#Data],M_BOM[PPGridRow],96),0))</f>
        <v/>
      </c>
      <c r="CS73">
        <f>SUMPRODUCT((M_BOM[RM_Code]=$A73)*M_BOM[RM_Qty_Per_Batch]*IFERROR(INDEX(PP_Grid[#Data],M_BOM[PPGridRow],97),0))</f>
        <v/>
      </c>
      <c r="CT73">
        <f>SUMPRODUCT((M_BOM[RM_Code]=$A73)*M_BOM[RM_Qty_Per_Batch]*IFERROR(INDEX(PP_Grid[#Data],M_BOM[PPGridRow],98),0))</f>
        <v/>
      </c>
      <c r="CU73">
        <f>SUMPRODUCT((M_BOM[RM_Code]=$A73)*M_BOM[RM_Qty_Per_Batch]*IFERROR(INDEX(PP_Grid[#Data],M_BOM[PPGridRow],99),0))</f>
        <v/>
      </c>
      <c r="CV73">
        <f>SUMPRODUCT((M_BOM[RM_Code]=$A73)*M_BOM[RM_Qty_Per_Batch]*IFERROR(INDEX(PP_Grid[#Data],M_BOM[PPGridRow],100),0))</f>
        <v/>
      </c>
      <c r="CW73">
        <f>SUMPRODUCT((M_BOM[RM_Code]=$A73)*M_BOM[RM_Qty_Per_Batch]*IFERROR(INDEX(PP_Grid[#Data],M_BOM[PPGridRow],101),0))</f>
        <v/>
      </c>
      <c r="CX73">
        <f>SUMPRODUCT((M_BOM[RM_Code]=$A73)*M_BOM[RM_Qty_Per_Batch]*IFERROR(INDEX(PP_Grid[#Data],M_BOM[PPGridRow],102),0))</f>
        <v/>
      </c>
      <c r="CY73">
        <f>SUMPRODUCT((M_BOM[RM_Code]=$A73)*M_BOM[RM_Qty_Per_Batch]*IFERROR(INDEX(PP_Grid[#Data],M_BOM[PPGridRow],103),0))</f>
        <v/>
      </c>
      <c r="CZ73">
        <f>SUMPRODUCT((M_BOM[RM_Code]=$A73)*M_BOM[RM_Qty_Per_Batch]*IFERROR(INDEX(PP_Grid[#Data],M_BOM[PPGridRow],104),0))</f>
        <v/>
      </c>
      <c r="DA73">
        <f>SUMPRODUCT((M_BOM[RM_Code]=$A73)*M_BOM[RM_Qty_Per_Batch]*IFERROR(INDEX(PP_Grid[#Data],M_BOM[PPGridRow],105),0))</f>
        <v/>
      </c>
    </row>
    <row r="74">
      <c r="A74" t="inlineStr">
        <is>
          <t>OLJ</t>
        </is>
      </c>
      <c r="B74">
        <f>SUMPRODUCT((M_BOM[RM_Code]=$A74)*M_BOM[RM_Qty_Per_Batch]*IFERROR(INDEX(PP_Grid[#Data],M_BOM[PPGridRow],2),0))</f>
        <v/>
      </c>
      <c r="C74">
        <f>SUMPRODUCT((M_BOM[RM_Code]=$A74)*M_BOM[RM_Qty_Per_Batch]*IFERROR(INDEX(PP_Grid[#Data],M_BOM[PPGridRow],3),0))</f>
        <v/>
      </c>
      <c r="D74">
        <f>SUMPRODUCT((M_BOM[RM_Code]=$A74)*M_BOM[RM_Qty_Per_Batch]*IFERROR(INDEX(PP_Grid[#Data],M_BOM[PPGridRow],4),0))</f>
        <v/>
      </c>
      <c r="E74">
        <f>SUMPRODUCT((M_BOM[RM_Code]=$A74)*M_BOM[RM_Qty_Per_Batch]*IFERROR(INDEX(PP_Grid[#Data],M_BOM[PPGridRow],5),0))</f>
        <v/>
      </c>
      <c r="F74">
        <f>SUMPRODUCT((M_BOM[RM_Code]=$A74)*M_BOM[RM_Qty_Per_Batch]*IFERROR(INDEX(PP_Grid[#Data],M_BOM[PPGridRow],6),0))</f>
        <v/>
      </c>
      <c r="G74">
        <f>SUMPRODUCT((M_BOM[RM_Code]=$A74)*M_BOM[RM_Qty_Per_Batch]*IFERROR(INDEX(PP_Grid[#Data],M_BOM[PPGridRow],7),0))</f>
        <v/>
      </c>
      <c r="H74">
        <f>SUMPRODUCT((M_BOM[RM_Code]=$A74)*M_BOM[RM_Qty_Per_Batch]*IFERROR(INDEX(PP_Grid[#Data],M_BOM[PPGridRow],8),0))</f>
        <v/>
      </c>
      <c r="I74">
        <f>SUMPRODUCT((M_BOM[RM_Code]=$A74)*M_BOM[RM_Qty_Per_Batch]*IFERROR(INDEX(PP_Grid[#Data],M_BOM[PPGridRow],9),0))</f>
        <v/>
      </c>
      <c r="J74">
        <f>SUMPRODUCT((M_BOM[RM_Code]=$A74)*M_BOM[RM_Qty_Per_Batch]*IFERROR(INDEX(PP_Grid[#Data],M_BOM[PPGridRow],10),0))</f>
        <v/>
      </c>
      <c r="K74">
        <f>SUMPRODUCT((M_BOM[RM_Code]=$A74)*M_BOM[RM_Qty_Per_Batch]*IFERROR(INDEX(PP_Grid[#Data],M_BOM[PPGridRow],11),0))</f>
        <v/>
      </c>
      <c r="L74">
        <f>SUMPRODUCT((M_BOM[RM_Code]=$A74)*M_BOM[RM_Qty_Per_Batch]*IFERROR(INDEX(PP_Grid[#Data],M_BOM[PPGridRow],12),0))</f>
        <v/>
      </c>
      <c r="M74">
        <f>SUMPRODUCT((M_BOM[RM_Code]=$A74)*M_BOM[RM_Qty_Per_Batch]*IFERROR(INDEX(PP_Grid[#Data],M_BOM[PPGridRow],13),0))</f>
        <v/>
      </c>
      <c r="N74">
        <f>SUMPRODUCT((M_BOM[RM_Code]=$A74)*M_BOM[RM_Qty_Per_Batch]*IFERROR(INDEX(PP_Grid[#Data],M_BOM[PPGridRow],14),0))</f>
        <v/>
      </c>
      <c r="O74">
        <f>SUMPRODUCT((M_BOM[RM_Code]=$A74)*M_BOM[RM_Qty_Per_Batch]*IFERROR(INDEX(PP_Grid[#Data],M_BOM[PPGridRow],15),0))</f>
        <v/>
      </c>
      <c r="P74">
        <f>SUMPRODUCT((M_BOM[RM_Code]=$A74)*M_BOM[RM_Qty_Per_Batch]*IFERROR(INDEX(PP_Grid[#Data],M_BOM[PPGridRow],16),0))</f>
        <v/>
      </c>
      <c r="Q74">
        <f>SUMPRODUCT((M_BOM[RM_Code]=$A74)*M_BOM[RM_Qty_Per_Batch]*IFERROR(INDEX(PP_Grid[#Data],M_BOM[PPGridRow],17),0))</f>
        <v/>
      </c>
      <c r="R74">
        <f>SUMPRODUCT((M_BOM[RM_Code]=$A74)*M_BOM[RM_Qty_Per_Batch]*IFERROR(INDEX(PP_Grid[#Data],M_BOM[PPGridRow],18),0))</f>
        <v/>
      </c>
      <c r="S74">
        <f>SUMPRODUCT((M_BOM[RM_Code]=$A74)*M_BOM[RM_Qty_Per_Batch]*IFERROR(INDEX(PP_Grid[#Data],M_BOM[PPGridRow],19),0))</f>
        <v/>
      </c>
      <c r="T74">
        <f>SUMPRODUCT((M_BOM[RM_Code]=$A74)*M_BOM[RM_Qty_Per_Batch]*IFERROR(INDEX(PP_Grid[#Data],M_BOM[PPGridRow],20),0))</f>
        <v/>
      </c>
      <c r="U74">
        <f>SUMPRODUCT((M_BOM[RM_Code]=$A74)*M_BOM[RM_Qty_Per_Batch]*IFERROR(INDEX(PP_Grid[#Data],M_BOM[PPGridRow],21),0))</f>
        <v/>
      </c>
      <c r="V74">
        <f>SUMPRODUCT((M_BOM[RM_Code]=$A74)*M_BOM[RM_Qty_Per_Batch]*IFERROR(INDEX(PP_Grid[#Data],M_BOM[PPGridRow],22),0))</f>
        <v/>
      </c>
      <c r="W74">
        <f>SUMPRODUCT((M_BOM[RM_Code]=$A74)*M_BOM[RM_Qty_Per_Batch]*IFERROR(INDEX(PP_Grid[#Data],M_BOM[PPGridRow],23),0))</f>
        <v/>
      </c>
      <c r="X74">
        <f>SUMPRODUCT((M_BOM[RM_Code]=$A74)*M_BOM[RM_Qty_Per_Batch]*IFERROR(INDEX(PP_Grid[#Data],M_BOM[PPGridRow],24),0))</f>
        <v/>
      </c>
      <c r="Y74">
        <f>SUMPRODUCT((M_BOM[RM_Code]=$A74)*M_BOM[RM_Qty_Per_Batch]*IFERROR(INDEX(PP_Grid[#Data],M_BOM[PPGridRow],25),0))</f>
        <v/>
      </c>
      <c r="Z74">
        <f>SUMPRODUCT((M_BOM[RM_Code]=$A74)*M_BOM[RM_Qty_Per_Batch]*IFERROR(INDEX(PP_Grid[#Data],M_BOM[PPGridRow],26),0))</f>
        <v/>
      </c>
      <c r="AA74">
        <f>SUMPRODUCT((M_BOM[RM_Code]=$A74)*M_BOM[RM_Qty_Per_Batch]*IFERROR(INDEX(PP_Grid[#Data],M_BOM[PPGridRow],27),0))</f>
        <v/>
      </c>
      <c r="AB74">
        <f>SUMPRODUCT((M_BOM[RM_Code]=$A74)*M_BOM[RM_Qty_Per_Batch]*IFERROR(INDEX(PP_Grid[#Data],M_BOM[PPGridRow],28),0))</f>
        <v/>
      </c>
      <c r="AC74">
        <f>SUMPRODUCT((M_BOM[RM_Code]=$A74)*M_BOM[RM_Qty_Per_Batch]*IFERROR(INDEX(PP_Grid[#Data],M_BOM[PPGridRow],29),0))</f>
        <v/>
      </c>
      <c r="AD74">
        <f>SUMPRODUCT((M_BOM[RM_Code]=$A74)*M_BOM[RM_Qty_Per_Batch]*IFERROR(INDEX(PP_Grid[#Data],M_BOM[PPGridRow],30),0))</f>
        <v/>
      </c>
      <c r="AE74">
        <f>SUMPRODUCT((M_BOM[RM_Code]=$A74)*M_BOM[RM_Qty_Per_Batch]*IFERROR(INDEX(PP_Grid[#Data],M_BOM[PPGridRow],31),0))</f>
        <v/>
      </c>
      <c r="AF74">
        <f>SUMPRODUCT((M_BOM[RM_Code]=$A74)*M_BOM[RM_Qty_Per_Batch]*IFERROR(INDEX(PP_Grid[#Data],M_BOM[PPGridRow],32),0))</f>
        <v/>
      </c>
      <c r="AG74">
        <f>SUMPRODUCT((M_BOM[RM_Code]=$A74)*M_BOM[RM_Qty_Per_Batch]*IFERROR(INDEX(PP_Grid[#Data],M_BOM[PPGridRow],33),0))</f>
        <v/>
      </c>
      <c r="AH74">
        <f>SUMPRODUCT((M_BOM[RM_Code]=$A74)*M_BOM[RM_Qty_Per_Batch]*IFERROR(INDEX(PP_Grid[#Data],M_BOM[PPGridRow],34),0))</f>
        <v/>
      </c>
      <c r="AI74">
        <f>SUMPRODUCT((M_BOM[RM_Code]=$A74)*M_BOM[RM_Qty_Per_Batch]*IFERROR(INDEX(PP_Grid[#Data],M_BOM[PPGridRow],35),0))</f>
        <v/>
      </c>
      <c r="AJ74">
        <f>SUMPRODUCT((M_BOM[RM_Code]=$A74)*M_BOM[RM_Qty_Per_Batch]*IFERROR(INDEX(PP_Grid[#Data],M_BOM[PPGridRow],36),0))</f>
        <v/>
      </c>
      <c r="AK74">
        <f>SUMPRODUCT((M_BOM[RM_Code]=$A74)*M_BOM[RM_Qty_Per_Batch]*IFERROR(INDEX(PP_Grid[#Data],M_BOM[PPGridRow],37),0))</f>
        <v/>
      </c>
      <c r="AL74">
        <f>SUMPRODUCT((M_BOM[RM_Code]=$A74)*M_BOM[RM_Qty_Per_Batch]*IFERROR(INDEX(PP_Grid[#Data],M_BOM[PPGridRow],38),0))</f>
        <v/>
      </c>
      <c r="AM74">
        <f>SUMPRODUCT((M_BOM[RM_Code]=$A74)*M_BOM[RM_Qty_Per_Batch]*IFERROR(INDEX(PP_Grid[#Data],M_BOM[PPGridRow],39),0))</f>
        <v/>
      </c>
      <c r="AN74">
        <f>SUMPRODUCT((M_BOM[RM_Code]=$A74)*M_BOM[RM_Qty_Per_Batch]*IFERROR(INDEX(PP_Grid[#Data],M_BOM[PPGridRow],40),0))</f>
        <v/>
      </c>
      <c r="AO74">
        <f>SUMPRODUCT((M_BOM[RM_Code]=$A74)*M_BOM[RM_Qty_Per_Batch]*IFERROR(INDEX(PP_Grid[#Data],M_BOM[PPGridRow],41),0))</f>
        <v/>
      </c>
      <c r="AP74">
        <f>SUMPRODUCT((M_BOM[RM_Code]=$A74)*M_BOM[RM_Qty_Per_Batch]*IFERROR(INDEX(PP_Grid[#Data],M_BOM[PPGridRow],42),0))</f>
        <v/>
      </c>
      <c r="AQ74">
        <f>SUMPRODUCT((M_BOM[RM_Code]=$A74)*M_BOM[RM_Qty_Per_Batch]*IFERROR(INDEX(PP_Grid[#Data],M_BOM[PPGridRow],43),0))</f>
        <v/>
      </c>
      <c r="AR74">
        <f>SUMPRODUCT((M_BOM[RM_Code]=$A74)*M_BOM[RM_Qty_Per_Batch]*IFERROR(INDEX(PP_Grid[#Data],M_BOM[PPGridRow],44),0))</f>
        <v/>
      </c>
      <c r="AS74">
        <f>SUMPRODUCT((M_BOM[RM_Code]=$A74)*M_BOM[RM_Qty_Per_Batch]*IFERROR(INDEX(PP_Grid[#Data],M_BOM[PPGridRow],45),0))</f>
        <v/>
      </c>
      <c r="AT74">
        <f>SUMPRODUCT((M_BOM[RM_Code]=$A74)*M_BOM[RM_Qty_Per_Batch]*IFERROR(INDEX(PP_Grid[#Data],M_BOM[PPGridRow],46),0))</f>
        <v/>
      </c>
      <c r="AU74">
        <f>SUMPRODUCT((M_BOM[RM_Code]=$A74)*M_BOM[RM_Qty_Per_Batch]*IFERROR(INDEX(PP_Grid[#Data],M_BOM[PPGridRow],47),0))</f>
        <v/>
      </c>
      <c r="AV74">
        <f>SUMPRODUCT((M_BOM[RM_Code]=$A74)*M_BOM[RM_Qty_Per_Batch]*IFERROR(INDEX(PP_Grid[#Data],M_BOM[PPGridRow],48),0))</f>
        <v/>
      </c>
      <c r="AW74">
        <f>SUMPRODUCT((M_BOM[RM_Code]=$A74)*M_BOM[RM_Qty_Per_Batch]*IFERROR(INDEX(PP_Grid[#Data],M_BOM[PPGridRow],49),0))</f>
        <v/>
      </c>
      <c r="AX74">
        <f>SUMPRODUCT((M_BOM[RM_Code]=$A74)*M_BOM[RM_Qty_Per_Batch]*IFERROR(INDEX(PP_Grid[#Data],M_BOM[PPGridRow],50),0))</f>
        <v/>
      </c>
      <c r="AY74">
        <f>SUMPRODUCT((M_BOM[RM_Code]=$A74)*M_BOM[RM_Qty_Per_Batch]*IFERROR(INDEX(PP_Grid[#Data],M_BOM[PPGridRow],51),0))</f>
        <v/>
      </c>
      <c r="AZ74">
        <f>SUMPRODUCT((M_BOM[RM_Code]=$A74)*M_BOM[RM_Qty_Per_Batch]*IFERROR(INDEX(PP_Grid[#Data],M_BOM[PPGridRow],52),0))</f>
        <v/>
      </c>
      <c r="BA74">
        <f>SUMPRODUCT((M_BOM[RM_Code]=$A74)*M_BOM[RM_Qty_Per_Batch]*IFERROR(INDEX(PP_Grid[#Data],M_BOM[PPGridRow],53),0))</f>
        <v/>
      </c>
      <c r="BB74">
        <f>SUMPRODUCT((M_BOM[RM_Code]=$A74)*M_BOM[RM_Qty_Per_Batch]*IFERROR(INDEX(PP_Grid[#Data],M_BOM[PPGridRow],54),0))</f>
        <v/>
      </c>
      <c r="BC74">
        <f>SUMPRODUCT((M_BOM[RM_Code]=$A74)*M_BOM[RM_Qty_Per_Batch]*IFERROR(INDEX(PP_Grid[#Data],M_BOM[PPGridRow],55),0))</f>
        <v/>
      </c>
      <c r="BD74">
        <f>SUMPRODUCT((M_BOM[RM_Code]=$A74)*M_BOM[RM_Qty_Per_Batch]*IFERROR(INDEX(PP_Grid[#Data],M_BOM[PPGridRow],56),0))</f>
        <v/>
      </c>
      <c r="BE74">
        <f>SUMPRODUCT((M_BOM[RM_Code]=$A74)*M_BOM[RM_Qty_Per_Batch]*IFERROR(INDEX(PP_Grid[#Data],M_BOM[PPGridRow],57),0))</f>
        <v/>
      </c>
      <c r="BF74">
        <f>SUMPRODUCT((M_BOM[RM_Code]=$A74)*M_BOM[RM_Qty_Per_Batch]*IFERROR(INDEX(PP_Grid[#Data],M_BOM[PPGridRow],58),0))</f>
        <v/>
      </c>
      <c r="BG74">
        <f>SUMPRODUCT((M_BOM[RM_Code]=$A74)*M_BOM[RM_Qty_Per_Batch]*IFERROR(INDEX(PP_Grid[#Data],M_BOM[PPGridRow],59),0))</f>
        <v/>
      </c>
      <c r="BH74">
        <f>SUMPRODUCT((M_BOM[RM_Code]=$A74)*M_BOM[RM_Qty_Per_Batch]*IFERROR(INDEX(PP_Grid[#Data],M_BOM[PPGridRow],60),0))</f>
        <v/>
      </c>
      <c r="BI74">
        <f>SUMPRODUCT((M_BOM[RM_Code]=$A74)*M_BOM[RM_Qty_Per_Batch]*IFERROR(INDEX(PP_Grid[#Data],M_BOM[PPGridRow],61),0))</f>
        <v/>
      </c>
      <c r="BJ74">
        <f>SUMPRODUCT((M_BOM[RM_Code]=$A74)*M_BOM[RM_Qty_Per_Batch]*IFERROR(INDEX(PP_Grid[#Data],M_BOM[PPGridRow],62),0))</f>
        <v/>
      </c>
      <c r="BK74">
        <f>SUMPRODUCT((M_BOM[RM_Code]=$A74)*M_BOM[RM_Qty_Per_Batch]*IFERROR(INDEX(PP_Grid[#Data],M_BOM[PPGridRow],63),0))</f>
        <v/>
      </c>
      <c r="BL74">
        <f>SUMPRODUCT((M_BOM[RM_Code]=$A74)*M_BOM[RM_Qty_Per_Batch]*IFERROR(INDEX(PP_Grid[#Data],M_BOM[PPGridRow],64),0))</f>
        <v/>
      </c>
      <c r="BM74">
        <f>SUMPRODUCT((M_BOM[RM_Code]=$A74)*M_BOM[RM_Qty_Per_Batch]*IFERROR(INDEX(PP_Grid[#Data],M_BOM[PPGridRow],65),0))</f>
        <v/>
      </c>
      <c r="BN74">
        <f>SUMPRODUCT((M_BOM[RM_Code]=$A74)*M_BOM[RM_Qty_Per_Batch]*IFERROR(INDEX(PP_Grid[#Data],M_BOM[PPGridRow],66),0))</f>
        <v/>
      </c>
      <c r="BO74">
        <f>SUMPRODUCT((M_BOM[RM_Code]=$A74)*M_BOM[RM_Qty_Per_Batch]*IFERROR(INDEX(PP_Grid[#Data],M_BOM[PPGridRow],67),0))</f>
        <v/>
      </c>
      <c r="BP74">
        <f>SUMPRODUCT((M_BOM[RM_Code]=$A74)*M_BOM[RM_Qty_Per_Batch]*IFERROR(INDEX(PP_Grid[#Data],M_BOM[PPGridRow],68),0))</f>
        <v/>
      </c>
      <c r="BQ74">
        <f>SUMPRODUCT((M_BOM[RM_Code]=$A74)*M_BOM[RM_Qty_Per_Batch]*IFERROR(INDEX(PP_Grid[#Data],M_BOM[PPGridRow],69),0))</f>
        <v/>
      </c>
      <c r="BR74">
        <f>SUMPRODUCT((M_BOM[RM_Code]=$A74)*M_BOM[RM_Qty_Per_Batch]*IFERROR(INDEX(PP_Grid[#Data],M_BOM[PPGridRow],70),0))</f>
        <v/>
      </c>
      <c r="BS74">
        <f>SUMPRODUCT((M_BOM[RM_Code]=$A74)*M_BOM[RM_Qty_Per_Batch]*IFERROR(INDEX(PP_Grid[#Data],M_BOM[PPGridRow],71),0))</f>
        <v/>
      </c>
      <c r="BT74">
        <f>SUMPRODUCT((M_BOM[RM_Code]=$A74)*M_BOM[RM_Qty_Per_Batch]*IFERROR(INDEX(PP_Grid[#Data],M_BOM[PPGridRow],72),0))</f>
        <v/>
      </c>
      <c r="BU74">
        <f>SUMPRODUCT((M_BOM[RM_Code]=$A74)*M_BOM[RM_Qty_Per_Batch]*IFERROR(INDEX(PP_Grid[#Data],M_BOM[PPGridRow],73),0))</f>
        <v/>
      </c>
      <c r="BV74">
        <f>SUMPRODUCT((M_BOM[RM_Code]=$A74)*M_BOM[RM_Qty_Per_Batch]*IFERROR(INDEX(PP_Grid[#Data],M_BOM[PPGridRow],74),0))</f>
        <v/>
      </c>
      <c r="BW74">
        <f>SUMPRODUCT((M_BOM[RM_Code]=$A74)*M_BOM[RM_Qty_Per_Batch]*IFERROR(INDEX(PP_Grid[#Data],M_BOM[PPGridRow],75),0))</f>
        <v/>
      </c>
      <c r="BX74">
        <f>SUMPRODUCT((M_BOM[RM_Code]=$A74)*M_BOM[RM_Qty_Per_Batch]*IFERROR(INDEX(PP_Grid[#Data],M_BOM[PPGridRow],76),0))</f>
        <v/>
      </c>
      <c r="BY74">
        <f>SUMPRODUCT((M_BOM[RM_Code]=$A74)*M_BOM[RM_Qty_Per_Batch]*IFERROR(INDEX(PP_Grid[#Data],M_BOM[PPGridRow],77),0))</f>
        <v/>
      </c>
      <c r="BZ74">
        <f>SUMPRODUCT((M_BOM[RM_Code]=$A74)*M_BOM[RM_Qty_Per_Batch]*IFERROR(INDEX(PP_Grid[#Data],M_BOM[PPGridRow],78),0))</f>
        <v/>
      </c>
      <c r="CA74">
        <f>SUMPRODUCT((M_BOM[RM_Code]=$A74)*M_BOM[RM_Qty_Per_Batch]*IFERROR(INDEX(PP_Grid[#Data],M_BOM[PPGridRow],79),0))</f>
        <v/>
      </c>
      <c r="CB74">
        <f>SUMPRODUCT((M_BOM[RM_Code]=$A74)*M_BOM[RM_Qty_Per_Batch]*IFERROR(INDEX(PP_Grid[#Data],M_BOM[PPGridRow],80),0))</f>
        <v/>
      </c>
      <c r="CC74">
        <f>SUMPRODUCT((M_BOM[RM_Code]=$A74)*M_BOM[RM_Qty_Per_Batch]*IFERROR(INDEX(PP_Grid[#Data],M_BOM[PPGridRow],81),0))</f>
        <v/>
      </c>
      <c r="CD74">
        <f>SUMPRODUCT((M_BOM[RM_Code]=$A74)*M_BOM[RM_Qty_Per_Batch]*IFERROR(INDEX(PP_Grid[#Data],M_BOM[PPGridRow],82),0))</f>
        <v/>
      </c>
      <c r="CE74">
        <f>SUMPRODUCT((M_BOM[RM_Code]=$A74)*M_BOM[RM_Qty_Per_Batch]*IFERROR(INDEX(PP_Grid[#Data],M_BOM[PPGridRow],83),0))</f>
        <v/>
      </c>
      <c r="CF74">
        <f>SUMPRODUCT((M_BOM[RM_Code]=$A74)*M_BOM[RM_Qty_Per_Batch]*IFERROR(INDEX(PP_Grid[#Data],M_BOM[PPGridRow],84),0))</f>
        <v/>
      </c>
      <c r="CG74">
        <f>SUMPRODUCT((M_BOM[RM_Code]=$A74)*M_BOM[RM_Qty_Per_Batch]*IFERROR(INDEX(PP_Grid[#Data],M_BOM[PPGridRow],85),0))</f>
        <v/>
      </c>
      <c r="CH74">
        <f>SUMPRODUCT((M_BOM[RM_Code]=$A74)*M_BOM[RM_Qty_Per_Batch]*IFERROR(INDEX(PP_Grid[#Data],M_BOM[PPGridRow],86),0))</f>
        <v/>
      </c>
      <c r="CI74">
        <f>SUMPRODUCT((M_BOM[RM_Code]=$A74)*M_BOM[RM_Qty_Per_Batch]*IFERROR(INDEX(PP_Grid[#Data],M_BOM[PPGridRow],87),0))</f>
        <v/>
      </c>
      <c r="CJ74">
        <f>SUMPRODUCT((M_BOM[RM_Code]=$A74)*M_BOM[RM_Qty_Per_Batch]*IFERROR(INDEX(PP_Grid[#Data],M_BOM[PPGridRow],88),0))</f>
        <v/>
      </c>
      <c r="CK74">
        <f>SUMPRODUCT((M_BOM[RM_Code]=$A74)*M_BOM[RM_Qty_Per_Batch]*IFERROR(INDEX(PP_Grid[#Data],M_BOM[PPGridRow],89),0))</f>
        <v/>
      </c>
      <c r="CL74">
        <f>SUMPRODUCT((M_BOM[RM_Code]=$A74)*M_BOM[RM_Qty_Per_Batch]*IFERROR(INDEX(PP_Grid[#Data],M_BOM[PPGridRow],90),0))</f>
        <v/>
      </c>
      <c r="CM74">
        <f>SUMPRODUCT((M_BOM[RM_Code]=$A74)*M_BOM[RM_Qty_Per_Batch]*IFERROR(INDEX(PP_Grid[#Data],M_BOM[PPGridRow],91),0))</f>
        <v/>
      </c>
      <c r="CN74">
        <f>SUMPRODUCT((M_BOM[RM_Code]=$A74)*M_BOM[RM_Qty_Per_Batch]*IFERROR(INDEX(PP_Grid[#Data],M_BOM[PPGridRow],92),0))</f>
        <v/>
      </c>
      <c r="CO74">
        <f>SUMPRODUCT((M_BOM[RM_Code]=$A74)*M_BOM[RM_Qty_Per_Batch]*IFERROR(INDEX(PP_Grid[#Data],M_BOM[PPGridRow],93),0))</f>
        <v/>
      </c>
      <c r="CP74">
        <f>SUMPRODUCT((M_BOM[RM_Code]=$A74)*M_BOM[RM_Qty_Per_Batch]*IFERROR(INDEX(PP_Grid[#Data],M_BOM[PPGridRow],94),0))</f>
        <v/>
      </c>
      <c r="CQ74">
        <f>SUMPRODUCT((M_BOM[RM_Code]=$A74)*M_BOM[RM_Qty_Per_Batch]*IFERROR(INDEX(PP_Grid[#Data],M_BOM[PPGridRow],95),0))</f>
        <v/>
      </c>
      <c r="CR74">
        <f>SUMPRODUCT((M_BOM[RM_Code]=$A74)*M_BOM[RM_Qty_Per_Batch]*IFERROR(INDEX(PP_Grid[#Data],M_BOM[PPGridRow],96),0))</f>
        <v/>
      </c>
      <c r="CS74">
        <f>SUMPRODUCT((M_BOM[RM_Code]=$A74)*M_BOM[RM_Qty_Per_Batch]*IFERROR(INDEX(PP_Grid[#Data],M_BOM[PPGridRow],97),0))</f>
        <v/>
      </c>
      <c r="CT74">
        <f>SUMPRODUCT((M_BOM[RM_Code]=$A74)*M_BOM[RM_Qty_Per_Batch]*IFERROR(INDEX(PP_Grid[#Data],M_BOM[PPGridRow],98),0))</f>
        <v/>
      </c>
      <c r="CU74">
        <f>SUMPRODUCT((M_BOM[RM_Code]=$A74)*M_BOM[RM_Qty_Per_Batch]*IFERROR(INDEX(PP_Grid[#Data],M_BOM[PPGridRow],99),0))</f>
        <v/>
      </c>
      <c r="CV74">
        <f>SUMPRODUCT((M_BOM[RM_Code]=$A74)*M_BOM[RM_Qty_Per_Batch]*IFERROR(INDEX(PP_Grid[#Data],M_BOM[PPGridRow],100),0))</f>
        <v/>
      </c>
      <c r="CW74">
        <f>SUMPRODUCT((M_BOM[RM_Code]=$A74)*M_BOM[RM_Qty_Per_Batch]*IFERROR(INDEX(PP_Grid[#Data],M_BOM[PPGridRow],101),0))</f>
        <v/>
      </c>
      <c r="CX74">
        <f>SUMPRODUCT((M_BOM[RM_Code]=$A74)*M_BOM[RM_Qty_Per_Batch]*IFERROR(INDEX(PP_Grid[#Data],M_BOM[PPGridRow],102),0))</f>
        <v/>
      </c>
      <c r="CY74">
        <f>SUMPRODUCT((M_BOM[RM_Code]=$A74)*M_BOM[RM_Qty_Per_Batch]*IFERROR(INDEX(PP_Grid[#Data],M_BOM[PPGridRow],103),0))</f>
        <v/>
      </c>
      <c r="CZ74">
        <f>SUMPRODUCT((M_BOM[RM_Code]=$A74)*M_BOM[RM_Qty_Per_Batch]*IFERROR(INDEX(PP_Grid[#Data],M_BOM[PPGridRow],104),0))</f>
        <v/>
      </c>
      <c r="DA74">
        <f>SUMPRODUCT((M_BOM[RM_Code]=$A74)*M_BOM[RM_Qty_Per_Batch]*IFERROR(INDEX(PP_Grid[#Data],M_BOM[PPGridRow],105),0))</f>
        <v/>
      </c>
    </row>
    <row r="75">
      <c r="A75" t="inlineStr">
        <is>
          <t>CHEM-1500</t>
        </is>
      </c>
      <c r="B75">
        <f>SUMPRODUCT((M_BOM[RM_Code]=$A75)*M_BOM[RM_Qty_Per_Batch]*IFERROR(INDEX(PP_Grid[#Data],M_BOM[PPGridRow],2),0))</f>
        <v/>
      </c>
      <c r="C75">
        <f>SUMPRODUCT((M_BOM[RM_Code]=$A75)*M_BOM[RM_Qty_Per_Batch]*IFERROR(INDEX(PP_Grid[#Data],M_BOM[PPGridRow],3),0))</f>
        <v/>
      </c>
      <c r="D75">
        <f>SUMPRODUCT((M_BOM[RM_Code]=$A75)*M_BOM[RM_Qty_Per_Batch]*IFERROR(INDEX(PP_Grid[#Data],M_BOM[PPGridRow],4),0))</f>
        <v/>
      </c>
      <c r="E75">
        <f>SUMPRODUCT((M_BOM[RM_Code]=$A75)*M_BOM[RM_Qty_Per_Batch]*IFERROR(INDEX(PP_Grid[#Data],M_BOM[PPGridRow],5),0))</f>
        <v/>
      </c>
      <c r="F75">
        <f>SUMPRODUCT((M_BOM[RM_Code]=$A75)*M_BOM[RM_Qty_Per_Batch]*IFERROR(INDEX(PP_Grid[#Data],M_BOM[PPGridRow],6),0))</f>
        <v/>
      </c>
      <c r="G75">
        <f>SUMPRODUCT((M_BOM[RM_Code]=$A75)*M_BOM[RM_Qty_Per_Batch]*IFERROR(INDEX(PP_Grid[#Data],M_BOM[PPGridRow],7),0))</f>
        <v/>
      </c>
      <c r="H75">
        <f>SUMPRODUCT((M_BOM[RM_Code]=$A75)*M_BOM[RM_Qty_Per_Batch]*IFERROR(INDEX(PP_Grid[#Data],M_BOM[PPGridRow],8),0))</f>
        <v/>
      </c>
      <c r="I75">
        <f>SUMPRODUCT((M_BOM[RM_Code]=$A75)*M_BOM[RM_Qty_Per_Batch]*IFERROR(INDEX(PP_Grid[#Data],M_BOM[PPGridRow],9),0))</f>
        <v/>
      </c>
      <c r="J75">
        <f>SUMPRODUCT((M_BOM[RM_Code]=$A75)*M_BOM[RM_Qty_Per_Batch]*IFERROR(INDEX(PP_Grid[#Data],M_BOM[PPGridRow],10),0))</f>
        <v/>
      </c>
      <c r="K75">
        <f>SUMPRODUCT((M_BOM[RM_Code]=$A75)*M_BOM[RM_Qty_Per_Batch]*IFERROR(INDEX(PP_Grid[#Data],M_BOM[PPGridRow],11),0))</f>
        <v/>
      </c>
      <c r="L75">
        <f>SUMPRODUCT((M_BOM[RM_Code]=$A75)*M_BOM[RM_Qty_Per_Batch]*IFERROR(INDEX(PP_Grid[#Data],M_BOM[PPGridRow],12),0))</f>
        <v/>
      </c>
      <c r="M75">
        <f>SUMPRODUCT((M_BOM[RM_Code]=$A75)*M_BOM[RM_Qty_Per_Batch]*IFERROR(INDEX(PP_Grid[#Data],M_BOM[PPGridRow],13),0))</f>
        <v/>
      </c>
      <c r="N75">
        <f>SUMPRODUCT((M_BOM[RM_Code]=$A75)*M_BOM[RM_Qty_Per_Batch]*IFERROR(INDEX(PP_Grid[#Data],M_BOM[PPGridRow],14),0))</f>
        <v/>
      </c>
      <c r="O75">
        <f>SUMPRODUCT((M_BOM[RM_Code]=$A75)*M_BOM[RM_Qty_Per_Batch]*IFERROR(INDEX(PP_Grid[#Data],M_BOM[PPGridRow],15),0))</f>
        <v/>
      </c>
      <c r="P75">
        <f>SUMPRODUCT((M_BOM[RM_Code]=$A75)*M_BOM[RM_Qty_Per_Batch]*IFERROR(INDEX(PP_Grid[#Data],M_BOM[PPGridRow],16),0))</f>
        <v/>
      </c>
      <c r="Q75">
        <f>SUMPRODUCT((M_BOM[RM_Code]=$A75)*M_BOM[RM_Qty_Per_Batch]*IFERROR(INDEX(PP_Grid[#Data],M_BOM[PPGridRow],17),0))</f>
        <v/>
      </c>
      <c r="R75">
        <f>SUMPRODUCT((M_BOM[RM_Code]=$A75)*M_BOM[RM_Qty_Per_Batch]*IFERROR(INDEX(PP_Grid[#Data],M_BOM[PPGridRow],18),0))</f>
        <v/>
      </c>
      <c r="S75">
        <f>SUMPRODUCT((M_BOM[RM_Code]=$A75)*M_BOM[RM_Qty_Per_Batch]*IFERROR(INDEX(PP_Grid[#Data],M_BOM[PPGridRow],19),0))</f>
        <v/>
      </c>
      <c r="T75">
        <f>SUMPRODUCT((M_BOM[RM_Code]=$A75)*M_BOM[RM_Qty_Per_Batch]*IFERROR(INDEX(PP_Grid[#Data],M_BOM[PPGridRow],20),0))</f>
        <v/>
      </c>
      <c r="U75">
        <f>SUMPRODUCT((M_BOM[RM_Code]=$A75)*M_BOM[RM_Qty_Per_Batch]*IFERROR(INDEX(PP_Grid[#Data],M_BOM[PPGridRow],21),0))</f>
        <v/>
      </c>
      <c r="V75">
        <f>SUMPRODUCT((M_BOM[RM_Code]=$A75)*M_BOM[RM_Qty_Per_Batch]*IFERROR(INDEX(PP_Grid[#Data],M_BOM[PPGridRow],22),0))</f>
        <v/>
      </c>
      <c r="W75">
        <f>SUMPRODUCT((M_BOM[RM_Code]=$A75)*M_BOM[RM_Qty_Per_Batch]*IFERROR(INDEX(PP_Grid[#Data],M_BOM[PPGridRow],23),0))</f>
        <v/>
      </c>
      <c r="X75">
        <f>SUMPRODUCT((M_BOM[RM_Code]=$A75)*M_BOM[RM_Qty_Per_Batch]*IFERROR(INDEX(PP_Grid[#Data],M_BOM[PPGridRow],24),0))</f>
        <v/>
      </c>
      <c r="Y75">
        <f>SUMPRODUCT((M_BOM[RM_Code]=$A75)*M_BOM[RM_Qty_Per_Batch]*IFERROR(INDEX(PP_Grid[#Data],M_BOM[PPGridRow],25),0))</f>
        <v/>
      </c>
      <c r="Z75">
        <f>SUMPRODUCT((M_BOM[RM_Code]=$A75)*M_BOM[RM_Qty_Per_Batch]*IFERROR(INDEX(PP_Grid[#Data],M_BOM[PPGridRow],26),0))</f>
        <v/>
      </c>
      <c r="AA75">
        <f>SUMPRODUCT((M_BOM[RM_Code]=$A75)*M_BOM[RM_Qty_Per_Batch]*IFERROR(INDEX(PP_Grid[#Data],M_BOM[PPGridRow],27),0))</f>
        <v/>
      </c>
      <c r="AB75">
        <f>SUMPRODUCT((M_BOM[RM_Code]=$A75)*M_BOM[RM_Qty_Per_Batch]*IFERROR(INDEX(PP_Grid[#Data],M_BOM[PPGridRow],28),0))</f>
        <v/>
      </c>
      <c r="AC75">
        <f>SUMPRODUCT((M_BOM[RM_Code]=$A75)*M_BOM[RM_Qty_Per_Batch]*IFERROR(INDEX(PP_Grid[#Data],M_BOM[PPGridRow],29),0))</f>
        <v/>
      </c>
      <c r="AD75">
        <f>SUMPRODUCT((M_BOM[RM_Code]=$A75)*M_BOM[RM_Qty_Per_Batch]*IFERROR(INDEX(PP_Grid[#Data],M_BOM[PPGridRow],30),0))</f>
        <v/>
      </c>
      <c r="AE75">
        <f>SUMPRODUCT((M_BOM[RM_Code]=$A75)*M_BOM[RM_Qty_Per_Batch]*IFERROR(INDEX(PP_Grid[#Data],M_BOM[PPGridRow],31),0))</f>
        <v/>
      </c>
      <c r="AF75">
        <f>SUMPRODUCT((M_BOM[RM_Code]=$A75)*M_BOM[RM_Qty_Per_Batch]*IFERROR(INDEX(PP_Grid[#Data],M_BOM[PPGridRow],32),0))</f>
        <v/>
      </c>
      <c r="AG75">
        <f>SUMPRODUCT((M_BOM[RM_Code]=$A75)*M_BOM[RM_Qty_Per_Batch]*IFERROR(INDEX(PP_Grid[#Data],M_BOM[PPGridRow],33),0))</f>
        <v/>
      </c>
      <c r="AH75">
        <f>SUMPRODUCT((M_BOM[RM_Code]=$A75)*M_BOM[RM_Qty_Per_Batch]*IFERROR(INDEX(PP_Grid[#Data],M_BOM[PPGridRow],34),0))</f>
        <v/>
      </c>
      <c r="AI75">
        <f>SUMPRODUCT((M_BOM[RM_Code]=$A75)*M_BOM[RM_Qty_Per_Batch]*IFERROR(INDEX(PP_Grid[#Data],M_BOM[PPGridRow],35),0))</f>
        <v/>
      </c>
      <c r="AJ75">
        <f>SUMPRODUCT((M_BOM[RM_Code]=$A75)*M_BOM[RM_Qty_Per_Batch]*IFERROR(INDEX(PP_Grid[#Data],M_BOM[PPGridRow],36),0))</f>
        <v/>
      </c>
      <c r="AK75">
        <f>SUMPRODUCT((M_BOM[RM_Code]=$A75)*M_BOM[RM_Qty_Per_Batch]*IFERROR(INDEX(PP_Grid[#Data],M_BOM[PPGridRow],37),0))</f>
        <v/>
      </c>
      <c r="AL75">
        <f>SUMPRODUCT((M_BOM[RM_Code]=$A75)*M_BOM[RM_Qty_Per_Batch]*IFERROR(INDEX(PP_Grid[#Data],M_BOM[PPGridRow],38),0))</f>
        <v/>
      </c>
      <c r="AM75">
        <f>SUMPRODUCT((M_BOM[RM_Code]=$A75)*M_BOM[RM_Qty_Per_Batch]*IFERROR(INDEX(PP_Grid[#Data],M_BOM[PPGridRow],39),0))</f>
        <v/>
      </c>
      <c r="AN75">
        <f>SUMPRODUCT((M_BOM[RM_Code]=$A75)*M_BOM[RM_Qty_Per_Batch]*IFERROR(INDEX(PP_Grid[#Data],M_BOM[PPGridRow],40),0))</f>
        <v/>
      </c>
      <c r="AO75">
        <f>SUMPRODUCT((M_BOM[RM_Code]=$A75)*M_BOM[RM_Qty_Per_Batch]*IFERROR(INDEX(PP_Grid[#Data],M_BOM[PPGridRow],41),0))</f>
        <v/>
      </c>
      <c r="AP75">
        <f>SUMPRODUCT((M_BOM[RM_Code]=$A75)*M_BOM[RM_Qty_Per_Batch]*IFERROR(INDEX(PP_Grid[#Data],M_BOM[PPGridRow],42),0))</f>
        <v/>
      </c>
      <c r="AQ75">
        <f>SUMPRODUCT((M_BOM[RM_Code]=$A75)*M_BOM[RM_Qty_Per_Batch]*IFERROR(INDEX(PP_Grid[#Data],M_BOM[PPGridRow],43),0))</f>
        <v/>
      </c>
      <c r="AR75">
        <f>SUMPRODUCT((M_BOM[RM_Code]=$A75)*M_BOM[RM_Qty_Per_Batch]*IFERROR(INDEX(PP_Grid[#Data],M_BOM[PPGridRow],44),0))</f>
        <v/>
      </c>
      <c r="AS75">
        <f>SUMPRODUCT((M_BOM[RM_Code]=$A75)*M_BOM[RM_Qty_Per_Batch]*IFERROR(INDEX(PP_Grid[#Data],M_BOM[PPGridRow],45),0))</f>
        <v/>
      </c>
      <c r="AT75">
        <f>SUMPRODUCT((M_BOM[RM_Code]=$A75)*M_BOM[RM_Qty_Per_Batch]*IFERROR(INDEX(PP_Grid[#Data],M_BOM[PPGridRow],46),0))</f>
        <v/>
      </c>
      <c r="AU75">
        <f>SUMPRODUCT((M_BOM[RM_Code]=$A75)*M_BOM[RM_Qty_Per_Batch]*IFERROR(INDEX(PP_Grid[#Data],M_BOM[PPGridRow],47),0))</f>
        <v/>
      </c>
      <c r="AV75">
        <f>SUMPRODUCT((M_BOM[RM_Code]=$A75)*M_BOM[RM_Qty_Per_Batch]*IFERROR(INDEX(PP_Grid[#Data],M_BOM[PPGridRow],48),0))</f>
        <v/>
      </c>
      <c r="AW75">
        <f>SUMPRODUCT((M_BOM[RM_Code]=$A75)*M_BOM[RM_Qty_Per_Batch]*IFERROR(INDEX(PP_Grid[#Data],M_BOM[PPGridRow],49),0))</f>
        <v/>
      </c>
      <c r="AX75">
        <f>SUMPRODUCT((M_BOM[RM_Code]=$A75)*M_BOM[RM_Qty_Per_Batch]*IFERROR(INDEX(PP_Grid[#Data],M_BOM[PPGridRow],50),0))</f>
        <v/>
      </c>
      <c r="AY75">
        <f>SUMPRODUCT((M_BOM[RM_Code]=$A75)*M_BOM[RM_Qty_Per_Batch]*IFERROR(INDEX(PP_Grid[#Data],M_BOM[PPGridRow],51),0))</f>
        <v/>
      </c>
      <c r="AZ75">
        <f>SUMPRODUCT((M_BOM[RM_Code]=$A75)*M_BOM[RM_Qty_Per_Batch]*IFERROR(INDEX(PP_Grid[#Data],M_BOM[PPGridRow],52),0))</f>
        <v/>
      </c>
      <c r="BA75">
        <f>SUMPRODUCT((M_BOM[RM_Code]=$A75)*M_BOM[RM_Qty_Per_Batch]*IFERROR(INDEX(PP_Grid[#Data],M_BOM[PPGridRow],53),0))</f>
        <v/>
      </c>
      <c r="BB75">
        <f>SUMPRODUCT((M_BOM[RM_Code]=$A75)*M_BOM[RM_Qty_Per_Batch]*IFERROR(INDEX(PP_Grid[#Data],M_BOM[PPGridRow],54),0))</f>
        <v/>
      </c>
      <c r="BC75">
        <f>SUMPRODUCT((M_BOM[RM_Code]=$A75)*M_BOM[RM_Qty_Per_Batch]*IFERROR(INDEX(PP_Grid[#Data],M_BOM[PPGridRow],55),0))</f>
        <v/>
      </c>
      <c r="BD75">
        <f>SUMPRODUCT((M_BOM[RM_Code]=$A75)*M_BOM[RM_Qty_Per_Batch]*IFERROR(INDEX(PP_Grid[#Data],M_BOM[PPGridRow],56),0))</f>
        <v/>
      </c>
      <c r="BE75">
        <f>SUMPRODUCT((M_BOM[RM_Code]=$A75)*M_BOM[RM_Qty_Per_Batch]*IFERROR(INDEX(PP_Grid[#Data],M_BOM[PPGridRow],57),0))</f>
        <v/>
      </c>
      <c r="BF75">
        <f>SUMPRODUCT((M_BOM[RM_Code]=$A75)*M_BOM[RM_Qty_Per_Batch]*IFERROR(INDEX(PP_Grid[#Data],M_BOM[PPGridRow],58),0))</f>
        <v/>
      </c>
      <c r="BG75">
        <f>SUMPRODUCT((M_BOM[RM_Code]=$A75)*M_BOM[RM_Qty_Per_Batch]*IFERROR(INDEX(PP_Grid[#Data],M_BOM[PPGridRow],59),0))</f>
        <v/>
      </c>
      <c r="BH75">
        <f>SUMPRODUCT((M_BOM[RM_Code]=$A75)*M_BOM[RM_Qty_Per_Batch]*IFERROR(INDEX(PP_Grid[#Data],M_BOM[PPGridRow],60),0))</f>
        <v/>
      </c>
      <c r="BI75">
        <f>SUMPRODUCT((M_BOM[RM_Code]=$A75)*M_BOM[RM_Qty_Per_Batch]*IFERROR(INDEX(PP_Grid[#Data],M_BOM[PPGridRow],61),0))</f>
        <v/>
      </c>
      <c r="BJ75">
        <f>SUMPRODUCT((M_BOM[RM_Code]=$A75)*M_BOM[RM_Qty_Per_Batch]*IFERROR(INDEX(PP_Grid[#Data],M_BOM[PPGridRow],62),0))</f>
        <v/>
      </c>
      <c r="BK75">
        <f>SUMPRODUCT((M_BOM[RM_Code]=$A75)*M_BOM[RM_Qty_Per_Batch]*IFERROR(INDEX(PP_Grid[#Data],M_BOM[PPGridRow],63),0))</f>
        <v/>
      </c>
      <c r="BL75">
        <f>SUMPRODUCT((M_BOM[RM_Code]=$A75)*M_BOM[RM_Qty_Per_Batch]*IFERROR(INDEX(PP_Grid[#Data],M_BOM[PPGridRow],64),0))</f>
        <v/>
      </c>
      <c r="BM75">
        <f>SUMPRODUCT((M_BOM[RM_Code]=$A75)*M_BOM[RM_Qty_Per_Batch]*IFERROR(INDEX(PP_Grid[#Data],M_BOM[PPGridRow],65),0))</f>
        <v/>
      </c>
      <c r="BN75">
        <f>SUMPRODUCT((M_BOM[RM_Code]=$A75)*M_BOM[RM_Qty_Per_Batch]*IFERROR(INDEX(PP_Grid[#Data],M_BOM[PPGridRow],66),0))</f>
        <v/>
      </c>
      <c r="BO75">
        <f>SUMPRODUCT((M_BOM[RM_Code]=$A75)*M_BOM[RM_Qty_Per_Batch]*IFERROR(INDEX(PP_Grid[#Data],M_BOM[PPGridRow],67),0))</f>
        <v/>
      </c>
      <c r="BP75">
        <f>SUMPRODUCT((M_BOM[RM_Code]=$A75)*M_BOM[RM_Qty_Per_Batch]*IFERROR(INDEX(PP_Grid[#Data],M_BOM[PPGridRow],68),0))</f>
        <v/>
      </c>
      <c r="BQ75">
        <f>SUMPRODUCT((M_BOM[RM_Code]=$A75)*M_BOM[RM_Qty_Per_Batch]*IFERROR(INDEX(PP_Grid[#Data],M_BOM[PPGridRow],69),0))</f>
        <v/>
      </c>
      <c r="BR75">
        <f>SUMPRODUCT((M_BOM[RM_Code]=$A75)*M_BOM[RM_Qty_Per_Batch]*IFERROR(INDEX(PP_Grid[#Data],M_BOM[PPGridRow],70),0))</f>
        <v/>
      </c>
      <c r="BS75">
        <f>SUMPRODUCT((M_BOM[RM_Code]=$A75)*M_BOM[RM_Qty_Per_Batch]*IFERROR(INDEX(PP_Grid[#Data],M_BOM[PPGridRow],71),0))</f>
        <v/>
      </c>
      <c r="BT75">
        <f>SUMPRODUCT((M_BOM[RM_Code]=$A75)*M_BOM[RM_Qty_Per_Batch]*IFERROR(INDEX(PP_Grid[#Data],M_BOM[PPGridRow],72),0))</f>
        <v/>
      </c>
      <c r="BU75">
        <f>SUMPRODUCT((M_BOM[RM_Code]=$A75)*M_BOM[RM_Qty_Per_Batch]*IFERROR(INDEX(PP_Grid[#Data],M_BOM[PPGridRow],73),0))</f>
        <v/>
      </c>
      <c r="BV75">
        <f>SUMPRODUCT((M_BOM[RM_Code]=$A75)*M_BOM[RM_Qty_Per_Batch]*IFERROR(INDEX(PP_Grid[#Data],M_BOM[PPGridRow],74),0))</f>
        <v/>
      </c>
      <c r="BW75">
        <f>SUMPRODUCT((M_BOM[RM_Code]=$A75)*M_BOM[RM_Qty_Per_Batch]*IFERROR(INDEX(PP_Grid[#Data],M_BOM[PPGridRow],75),0))</f>
        <v/>
      </c>
      <c r="BX75">
        <f>SUMPRODUCT((M_BOM[RM_Code]=$A75)*M_BOM[RM_Qty_Per_Batch]*IFERROR(INDEX(PP_Grid[#Data],M_BOM[PPGridRow],76),0))</f>
        <v/>
      </c>
      <c r="BY75">
        <f>SUMPRODUCT((M_BOM[RM_Code]=$A75)*M_BOM[RM_Qty_Per_Batch]*IFERROR(INDEX(PP_Grid[#Data],M_BOM[PPGridRow],77),0))</f>
        <v/>
      </c>
      <c r="BZ75">
        <f>SUMPRODUCT((M_BOM[RM_Code]=$A75)*M_BOM[RM_Qty_Per_Batch]*IFERROR(INDEX(PP_Grid[#Data],M_BOM[PPGridRow],78),0))</f>
        <v/>
      </c>
      <c r="CA75">
        <f>SUMPRODUCT((M_BOM[RM_Code]=$A75)*M_BOM[RM_Qty_Per_Batch]*IFERROR(INDEX(PP_Grid[#Data],M_BOM[PPGridRow],79),0))</f>
        <v/>
      </c>
      <c r="CB75">
        <f>SUMPRODUCT((M_BOM[RM_Code]=$A75)*M_BOM[RM_Qty_Per_Batch]*IFERROR(INDEX(PP_Grid[#Data],M_BOM[PPGridRow],80),0))</f>
        <v/>
      </c>
      <c r="CC75">
        <f>SUMPRODUCT((M_BOM[RM_Code]=$A75)*M_BOM[RM_Qty_Per_Batch]*IFERROR(INDEX(PP_Grid[#Data],M_BOM[PPGridRow],81),0))</f>
        <v/>
      </c>
      <c r="CD75">
        <f>SUMPRODUCT((M_BOM[RM_Code]=$A75)*M_BOM[RM_Qty_Per_Batch]*IFERROR(INDEX(PP_Grid[#Data],M_BOM[PPGridRow],82),0))</f>
        <v/>
      </c>
      <c r="CE75">
        <f>SUMPRODUCT((M_BOM[RM_Code]=$A75)*M_BOM[RM_Qty_Per_Batch]*IFERROR(INDEX(PP_Grid[#Data],M_BOM[PPGridRow],83),0))</f>
        <v/>
      </c>
      <c r="CF75">
        <f>SUMPRODUCT((M_BOM[RM_Code]=$A75)*M_BOM[RM_Qty_Per_Batch]*IFERROR(INDEX(PP_Grid[#Data],M_BOM[PPGridRow],84),0))</f>
        <v/>
      </c>
      <c r="CG75">
        <f>SUMPRODUCT((M_BOM[RM_Code]=$A75)*M_BOM[RM_Qty_Per_Batch]*IFERROR(INDEX(PP_Grid[#Data],M_BOM[PPGridRow],85),0))</f>
        <v/>
      </c>
      <c r="CH75">
        <f>SUMPRODUCT((M_BOM[RM_Code]=$A75)*M_BOM[RM_Qty_Per_Batch]*IFERROR(INDEX(PP_Grid[#Data],M_BOM[PPGridRow],86),0))</f>
        <v/>
      </c>
      <c r="CI75">
        <f>SUMPRODUCT((M_BOM[RM_Code]=$A75)*M_BOM[RM_Qty_Per_Batch]*IFERROR(INDEX(PP_Grid[#Data],M_BOM[PPGridRow],87),0))</f>
        <v/>
      </c>
      <c r="CJ75">
        <f>SUMPRODUCT((M_BOM[RM_Code]=$A75)*M_BOM[RM_Qty_Per_Batch]*IFERROR(INDEX(PP_Grid[#Data],M_BOM[PPGridRow],88),0))</f>
        <v/>
      </c>
      <c r="CK75">
        <f>SUMPRODUCT((M_BOM[RM_Code]=$A75)*M_BOM[RM_Qty_Per_Batch]*IFERROR(INDEX(PP_Grid[#Data],M_BOM[PPGridRow],89),0))</f>
        <v/>
      </c>
      <c r="CL75">
        <f>SUMPRODUCT((M_BOM[RM_Code]=$A75)*M_BOM[RM_Qty_Per_Batch]*IFERROR(INDEX(PP_Grid[#Data],M_BOM[PPGridRow],90),0))</f>
        <v/>
      </c>
      <c r="CM75">
        <f>SUMPRODUCT((M_BOM[RM_Code]=$A75)*M_BOM[RM_Qty_Per_Batch]*IFERROR(INDEX(PP_Grid[#Data],M_BOM[PPGridRow],91),0))</f>
        <v/>
      </c>
      <c r="CN75">
        <f>SUMPRODUCT((M_BOM[RM_Code]=$A75)*M_BOM[RM_Qty_Per_Batch]*IFERROR(INDEX(PP_Grid[#Data],M_BOM[PPGridRow],92),0))</f>
        <v/>
      </c>
      <c r="CO75">
        <f>SUMPRODUCT((M_BOM[RM_Code]=$A75)*M_BOM[RM_Qty_Per_Batch]*IFERROR(INDEX(PP_Grid[#Data],M_BOM[PPGridRow],93),0))</f>
        <v/>
      </c>
      <c r="CP75">
        <f>SUMPRODUCT((M_BOM[RM_Code]=$A75)*M_BOM[RM_Qty_Per_Batch]*IFERROR(INDEX(PP_Grid[#Data],M_BOM[PPGridRow],94),0))</f>
        <v/>
      </c>
      <c r="CQ75">
        <f>SUMPRODUCT((M_BOM[RM_Code]=$A75)*M_BOM[RM_Qty_Per_Batch]*IFERROR(INDEX(PP_Grid[#Data],M_BOM[PPGridRow],95),0))</f>
        <v/>
      </c>
      <c r="CR75">
        <f>SUMPRODUCT((M_BOM[RM_Code]=$A75)*M_BOM[RM_Qty_Per_Batch]*IFERROR(INDEX(PP_Grid[#Data],M_BOM[PPGridRow],96),0))</f>
        <v/>
      </c>
      <c r="CS75">
        <f>SUMPRODUCT((M_BOM[RM_Code]=$A75)*M_BOM[RM_Qty_Per_Batch]*IFERROR(INDEX(PP_Grid[#Data],M_BOM[PPGridRow],97),0))</f>
        <v/>
      </c>
      <c r="CT75">
        <f>SUMPRODUCT((M_BOM[RM_Code]=$A75)*M_BOM[RM_Qty_Per_Batch]*IFERROR(INDEX(PP_Grid[#Data],M_BOM[PPGridRow],98),0))</f>
        <v/>
      </c>
      <c r="CU75">
        <f>SUMPRODUCT((M_BOM[RM_Code]=$A75)*M_BOM[RM_Qty_Per_Batch]*IFERROR(INDEX(PP_Grid[#Data],M_BOM[PPGridRow],99),0))</f>
        <v/>
      </c>
      <c r="CV75">
        <f>SUMPRODUCT((M_BOM[RM_Code]=$A75)*M_BOM[RM_Qty_Per_Batch]*IFERROR(INDEX(PP_Grid[#Data],M_BOM[PPGridRow],100),0))</f>
        <v/>
      </c>
      <c r="CW75">
        <f>SUMPRODUCT((M_BOM[RM_Code]=$A75)*M_BOM[RM_Qty_Per_Batch]*IFERROR(INDEX(PP_Grid[#Data],M_BOM[PPGridRow],101),0))</f>
        <v/>
      </c>
      <c r="CX75">
        <f>SUMPRODUCT((M_BOM[RM_Code]=$A75)*M_BOM[RM_Qty_Per_Batch]*IFERROR(INDEX(PP_Grid[#Data],M_BOM[PPGridRow],102),0))</f>
        <v/>
      </c>
      <c r="CY75">
        <f>SUMPRODUCT((M_BOM[RM_Code]=$A75)*M_BOM[RM_Qty_Per_Batch]*IFERROR(INDEX(PP_Grid[#Data],M_BOM[PPGridRow],103),0))</f>
        <v/>
      </c>
      <c r="CZ75">
        <f>SUMPRODUCT((M_BOM[RM_Code]=$A75)*M_BOM[RM_Qty_Per_Batch]*IFERROR(INDEX(PP_Grid[#Data],M_BOM[PPGridRow],104),0))</f>
        <v/>
      </c>
      <c r="DA75">
        <f>SUMPRODUCT((M_BOM[RM_Code]=$A75)*M_BOM[RM_Qty_Per_Batch]*IFERROR(INDEX(PP_Grid[#Data],M_BOM[PPGridRow],105),0))</f>
        <v/>
      </c>
    </row>
    <row r="76">
      <c r="A76" t="inlineStr">
        <is>
          <t>CHEM-1810</t>
        </is>
      </c>
      <c r="B76">
        <f>SUMPRODUCT((M_BOM[RM_Code]=$A76)*M_BOM[RM_Qty_Per_Batch]*IFERROR(INDEX(PP_Grid[#Data],M_BOM[PPGridRow],2),0))</f>
        <v/>
      </c>
      <c r="C76">
        <f>SUMPRODUCT((M_BOM[RM_Code]=$A76)*M_BOM[RM_Qty_Per_Batch]*IFERROR(INDEX(PP_Grid[#Data],M_BOM[PPGridRow],3),0))</f>
        <v/>
      </c>
      <c r="D76">
        <f>SUMPRODUCT((M_BOM[RM_Code]=$A76)*M_BOM[RM_Qty_Per_Batch]*IFERROR(INDEX(PP_Grid[#Data],M_BOM[PPGridRow],4),0))</f>
        <v/>
      </c>
      <c r="E76">
        <f>SUMPRODUCT((M_BOM[RM_Code]=$A76)*M_BOM[RM_Qty_Per_Batch]*IFERROR(INDEX(PP_Grid[#Data],M_BOM[PPGridRow],5),0))</f>
        <v/>
      </c>
      <c r="F76">
        <f>SUMPRODUCT((M_BOM[RM_Code]=$A76)*M_BOM[RM_Qty_Per_Batch]*IFERROR(INDEX(PP_Grid[#Data],M_BOM[PPGridRow],6),0))</f>
        <v/>
      </c>
      <c r="G76">
        <f>SUMPRODUCT((M_BOM[RM_Code]=$A76)*M_BOM[RM_Qty_Per_Batch]*IFERROR(INDEX(PP_Grid[#Data],M_BOM[PPGridRow],7),0))</f>
        <v/>
      </c>
      <c r="H76">
        <f>SUMPRODUCT((M_BOM[RM_Code]=$A76)*M_BOM[RM_Qty_Per_Batch]*IFERROR(INDEX(PP_Grid[#Data],M_BOM[PPGridRow],8),0))</f>
        <v/>
      </c>
      <c r="I76">
        <f>SUMPRODUCT((M_BOM[RM_Code]=$A76)*M_BOM[RM_Qty_Per_Batch]*IFERROR(INDEX(PP_Grid[#Data],M_BOM[PPGridRow],9),0))</f>
        <v/>
      </c>
      <c r="J76">
        <f>SUMPRODUCT((M_BOM[RM_Code]=$A76)*M_BOM[RM_Qty_Per_Batch]*IFERROR(INDEX(PP_Grid[#Data],M_BOM[PPGridRow],10),0))</f>
        <v/>
      </c>
      <c r="K76">
        <f>SUMPRODUCT((M_BOM[RM_Code]=$A76)*M_BOM[RM_Qty_Per_Batch]*IFERROR(INDEX(PP_Grid[#Data],M_BOM[PPGridRow],11),0))</f>
        <v/>
      </c>
      <c r="L76">
        <f>SUMPRODUCT((M_BOM[RM_Code]=$A76)*M_BOM[RM_Qty_Per_Batch]*IFERROR(INDEX(PP_Grid[#Data],M_BOM[PPGridRow],12),0))</f>
        <v/>
      </c>
      <c r="M76">
        <f>SUMPRODUCT((M_BOM[RM_Code]=$A76)*M_BOM[RM_Qty_Per_Batch]*IFERROR(INDEX(PP_Grid[#Data],M_BOM[PPGridRow],13),0))</f>
        <v/>
      </c>
      <c r="N76">
        <f>SUMPRODUCT((M_BOM[RM_Code]=$A76)*M_BOM[RM_Qty_Per_Batch]*IFERROR(INDEX(PP_Grid[#Data],M_BOM[PPGridRow],14),0))</f>
        <v/>
      </c>
      <c r="O76">
        <f>SUMPRODUCT((M_BOM[RM_Code]=$A76)*M_BOM[RM_Qty_Per_Batch]*IFERROR(INDEX(PP_Grid[#Data],M_BOM[PPGridRow],15),0))</f>
        <v/>
      </c>
      <c r="P76">
        <f>SUMPRODUCT((M_BOM[RM_Code]=$A76)*M_BOM[RM_Qty_Per_Batch]*IFERROR(INDEX(PP_Grid[#Data],M_BOM[PPGridRow],16),0))</f>
        <v/>
      </c>
      <c r="Q76">
        <f>SUMPRODUCT((M_BOM[RM_Code]=$A76)*M_BOM[RM_Qty_Per_Batch]*IFERROR(INDEX(PP_Grid[#Data],M_BOM[PPGridRow],17),0))</f>
        <v/>
      </c>
      <c r="R76">
        <f>SUMPRODUCT((M_BOM[RM_Code]=$A76)*M_BOM[RM_Qty_Per_Batch]*IFERROR(INDEX(PP_Grid[#Data],M_BOM[PPGridRow],18),0))</f>
        <v/>
      </c>
      <c r="S76">
        <f>SUMPRODUCT((M_BOM[RM_Code]=$A76)*M_BOM[RM_Qty_Per_Batch]*IFERROR(INDEX(PP_Grid[#Data],M_BOM[PPGridRow],19),0))</f>
        <v/>
      </c>
      <c r="T76">
        <f>SUMPRODUCT((M_BOM[RM_Code]=$A76)*M_BOM[RM_Qty_Per_Batch]*IFERROR(INDEX(PP_Grid[#Data],M_BOM[PPGridRow],20),0))</f>
        <v/>
      </c>
      <c r="U76">
        <f>SUMPRODUCT((M_BOM[RM_Code]=$A76)*M_BOM[RM_Qty_Per_Batch]*IFERROR(INDEX(PP_Grid[#Data],M_BOM[PPGridRow],21),0))</f>
        <v/>
      </c>
      <c r="V76">
        <f>SUMPRODUCT((M_BOM[RM_Code]=$A76)*M_BOM[RM_Qty_Per_Batch]*IFERROR(INDEX(PP_Grid[#Data],M_BOM[PPGridRow],22),0))</f>
        <v/>
      </c>
      <c r="W76">
        <f>SUMPRODUCT((M_BOM[RM_Code]=$A76)*M_BOM[RM_Qty_Per_Batch]*IFERROR(INDEX(PP_Grid[#Data],M_BOM[PPGridRow],23),0))</f>
        <v/>
      </c>
      <c r="X76">
        <f>SUMPRODUCT((M_BOM[RM_Code]=$A76)*M_BOM[RM_Qty_Per_Batch]*IFERROR(INDEX(PP_Grid[#Data],M_BOM[PPGridRow],24),0))</f>
        <v/>
      </c>
      <c r="Y76">
        <f>SUMPRODUCT((M_BOM[RM_Code]=$A76)*M_BOM[RM_Qty_Per_Batch]*IFERROR(INDEX(PP_Grid[#Data],M_BOM[PPGridRow],25),0))</f>
        <v/>
      </c>
      <c r="Z76">
        <f>SUMPRODUCT((M_BOM[RM_Code]=$A76)*M_BOM[RM_Qty_Per_Batch]*IFERROR(INDEX(PP_Grid[#Data],M_BOM[PPGridRow],26),0))</f>
        <v/>
      </c>
      <c r="AA76">
        <f>SUMPRODUCT((M_BOM[RM_Code]=$A76)*M_BOM[RM_Qty_Per_Batch]*IFERROR(INDEX(PP_Grid[#Data],M_BOM[PPGridRow],27),0))</f>
        <v/>
      </c>
      <c r="AB76">
        <f>SUMPRODUCT((M_BOM[RM_Code]=$A76)*M_BOM[RM_Qty_Per_Batch]*IFERROR(INDEX(PP_Grid[#Data],M_BOM[PPGridRow],28),0))</f>
        <v/>
      </c>
      <c r="AC76">
        <f>SUMPRODUCT((M_BOM[RM_Code]=$A76)*M_BOM[RM_Qty_Per_Batch]*IFERROR(INDEX(PP_Grid[#Data],M_BOM[PPGridRow],29),0))</f>
        <v/>
      </c>
      <c r="AD76">
        <f>SUMPRODUCT((M_BOM[RM_Code]=$A76)*M_BOM[RM_Qty_Per_Batch]*IFERROR(INDEX(PP_Grid[#Data],M_BOM[PPGridRow],30),0))</f>
        <v/>
      </c>
      <c r="AE76">
        <f>SUMPRODUCT((M_BOM[RM_Code]=$A76)*M_BOM[RM_Qty_Per_Batch]*IFERROR(INDEX(PP_Grid[#Data],M_BOM[PPGridRow],31),0))</f>
        <v/>
      </c>
      <c r="AF76">
        <f>SUMPRODUCT((M_BOM[RM_Code]=$A76)*M_BOM[RM_Qty_Per_Batch]*IFERROR(INDEX(PP_Grid[#Data],M_BOM[PPGridRow],32),0))</f>
        <v/>
      </c>
      <c r="AG76">
        <f>SUMPRODUCT((M_BOM[RM_Code]=$A76)*M_BOM[RM_Qty_Per_Batch]*IFERROR(INDEX(PP_Grid[#Data],M_BOM[PPGridRow],33),0))</f>
        <v/>
      </c>
      <c r="AH76">
        <f>SUMPRODUCT((M_BOM[RM_Code]=$A76)*M_BOM[RM_Qty_Per_Batch]*IFERROR(INDEX(PP_Grid[#Data],M_BOM[PPGridRow],34),0))</f>
        <v/>
      </c>
      <c r="AI76">
        <f>SUMPRODUCT((M_BOM[RM_Code]=$A76)*M_BOM[RM_Qty_Per_Batch]*IFERROR(INDEX(PP_Grid[#Data],M_BOM[PPGridRow],35),0))</f>
        <v/>
      </c>
      <c r="AJ76">
        <f>SUMPRODUCT((M_BOM[RM_Code]=$A76)*M_BOM[RM_Qty_Per_Batch]*IFERROR(INDEX(PP_Grid[#Data],M_BOM[PPGridRow],36),0))</f>
        <v/>
      </c>
      <c r="AK76">
        <f>SUMPRODUCT((M_BOM[RM_Code]=$A76)*M_BOM[RM_Qty_Per_Batch]*IFERROR(INDEX(PP_Grid[#Data],M_BOM[PPGridRow],37),0))</f>
        <v/>
      </c>
      <c r="AL76">
        <f>SUMPRODUCT((M_BOM[RM_Code]=$A76)*M_BOM[RM_Qty_Per_Batch]*IFERROR(INDEX(PP_Grid[#Data],M_BOM[PPGridRow],38),0))</f>
        <v/>
      </c>
      <c r="AM76">
        <f>SUMPRODUCT((M_BOM[RM_Code]=$A76)*M_BOM[RM_Qty_Per_Batch]*IFERROR(INDEX(PP_Grid[#Data],M_BOM[PPGridRow],39),0))</f>
        <v/>
      </c>
      <c r="AN76">
        <f>SUMPRODUCT((M_BOM[RM_Code]=$A76)*M_BOM[RM_Qty_Per_Batch]*IFERROR(INDEX(PP_Grid[#Data],M_BOM[PPGridRow],40),0))</f>
        <v/>
      </c>
      <c r="AO76">
        <f>SUMPRODUCT((M_BOM[RM_Code]=$A76)*M_BOM[RM_Qty_Per_Batch]*IFERROR(INDEX(PP_Grid[#Data],M_BOM[PPGridRow],41),0))</f>
        <v/>
      </c>
      <c r="AP76">
        <f>SUMPRODUCT((M_BOM[RM_Code]=$A76)*M_BOM[RM_Qty_Per_Batch]*IFERROR(INDEX(PP_Grid[#Data],M_BOM[PPGridRow],42),0))</f>
        <v/>
      </c>
      <c r="AQ76">
        <f>SUMPRODUCT((M_BOM[RM_Code]=$A76)*M_BOM[RM_Qty_Per_Batch]*IFERROR(INDEX(PP_Grid[#Data],M_BOM[PPGridRow],43),0))</f>
        <v/>
      </c>
      <c r="AR76">
        <f>SUMPRODUCT((M_BOM[RM_Code]=$A76)*M_BOM[RM_Qty_Per_Batch]*IFERROR(INDEX(PP_Grid[#Data],M_BOM[PPGridRow],44),0))</f>
        <v/>
      </c>
      <c r="AS76">
        <f>SUMPRODUCT((M_BOM[RM_Code]=$A76)*M_BOM[RM_Qty_Per_Batch]*IFERROR(INDEX(PP_Grid[#Data],M_BOM[PPGridRow],45),0))</f>
        <v/>
      </c>
      <c r="AT76">
        <f>SUMPRODUCT((M_BOM[RM_Code]=$A76)*M_BOM[RM_Qty_Per_Batch]*IFERROR(INDEX(PP_Grid[#Data],M_BOM[PPGridRow],46),0))</f>
        <v/>
      </c>
      <c r="AU76">
        <f>SUMPRODUCT((M_BOM[RM_Code]=$A76)*M_BOM[RM_Qty_Per_Batch]*IFERROR(INDEX(PP_Grid[#Data],M_BOM[PPGridRow],47),0))</f>
        <v/>
      </c>
      <c r="AV76">
        <f>SUMPRODUCT((M_BOM[RM_Code]=$A76)*M_BOM[RM_Qty_Per_Batch]*IFERROR(INDEX(PP_Grid[#Data],M_BOM[PPGridRow],48),0))</f>
        <v/>
      </c>
      <c r="AW76">
        <f>SUMPRODUCT((M_BOM[RM_Code]=$A76)*M_BOM[RM_Qty_Per_Batch]*IFERROR(INDEX(PP_Grid[#Data],M_BOM[PPGridRow],49),0))</f>
        <v/>
      </c>
      <c r="AX76">
        <f>SUMPRODUCT((M_BOM[RM_Code]=$A76)*M_BOM[RM_Qty_Per_Batch]*IFERROR(INDEX(PP_Grid[#Data],M_BOM[PPGridRow],50),0))</f>
        <v/>
      </c>
      <c r="AY76">
        <f>SUMPRODUCT((M_BOM[RM_Code]=$A76)*M_BOM[RM_Qty_Per_Batch]*IFERROR(INDEX(PP_Grid[#Data],M_BOM[PPGridRow],51),0))</f>
        <v/>
      </c>
      <c r="AZ76">
        <f>SUMPRODUCT((M_BOM[RM_Code]=$A76)*M_BOM[RM_Qty_Per_Batch]*IFERROR(INDEX(PP_Grid[#Data],M_BOM[PPGridRow],52),0))</f>
        <v/>
      </c>
      <c r="BA76">
        <f>SUMPRODUCT((M_BOM[RM_Code]=$A76)*M_BOM[RM_Qty_Per_Batch]*IFERROR(INDEX(PP_Grid[#Data],M_BOM[PPGridRow],53),0))</f>
        <v/>
      </c>
      <c r="BB76">
        <f>SUMPRODUCT((M_BOM[RM_Code]=$A76)*M_BOM[RM_Qty_Per_Batch]*IFERROR(INDEX(PP_Grid[#Data],M_BOM[PPGridRow],54),0))</f>
        <v/>
      </c>
      <c r="BC76">
        <f>SUMPRODUCT((M_BOM[RM_Code]=$A76)*M_BOM[RM_Qty_Per_Batch]*IFERROR(INDEX(PP_Grid[#Data],M_BOM[PPGridRow],55),0))</f>
        <v/>
      </c>
      <c r="BD76">
        <f>SUMPRODUCT((M_BOM[RM_Code]=$A76)*M_BOM[RM_Qty_Per_Batch]*IFERROR(INDEX(PP_Grid[#Data],M_BOM[PPGridRow],56),0))</f>
        <v/>
      </c>
      <c r="BE76">
        <f>SUMPRODUCT((M_BOM[RM_Code]=$A76)*M_BOM[RM_Qty_Per_Batch]*IFERROR(INDEX(PP_Grid[#Data],M_BOM[PPGridRow],57),0))</f>
        <v/>
      </c>
      <c r="BF76">
        <f>SUMPRODUCT((M_BOM[RM_Code]=$A76)*M_BOM[RM_Qty_Per_Batch]*IFERROR(INDEX(PP_Grid[#Data],M_BOM[PPGridRow],58),0))</f>
        <v/>
      </c>
      <c r="BG76">
        <f>SUMPRODUCT((M_BOM[RM_Code]=$A76)*M_BOM[RM_Qty_Per_Batch]*IFERROR(INDEX(PP_Grid[#Data],M_BOM[PPGridRow],59),0))</f>
        <v/>
      </c>
      <c r="BH76">
        <f>SUMPRODUCT((M_BOM[RM_Code]=$A76)*M_BOM[RM_Qty_Per_Batch]*IFERROR(INDEX(PP_Grid[#Data],M_BOM[PPGridRow],60),0))</f>
        <v/>
      </c>
      <c r="BI76">
        <f>SUMPRODUCT((M_BOM[RM_Code]=$A76)*M_BOM[RM_Qty_Per_Batch]*IFERROR(INDEX(PP_Grid[#Data],M_BOM[PPGridRow],61),0))</f>
        <v/>
      </c>
      <c r="BJ76">
        <f>SUMPRODUCT((M_BOM[RM_Code]=$A76)*M_BOM[RM_Qty_Per_Batch]*IFERROR(INDEX(PP_Grid[#Data],M_BOM[PPGridRow],62),0))</f>
        <v/>
      </c>
      <c r="BK76">
        <f>SUMPRODUCT((M_BOM[RM_Code]=$A76)*M_BOM[RM_Qty_Per_Batch]*IFERROR(INDEX(PP_Grid[#Data],M_BOM[PPGridRow],63),0))</f>
        <v/>
      </c>
      <c r="BL76">
        <f>SUMPRODUCT((M_BOM[RM_Code]=$A76)*M_BOM[RM_Qty_Per_Batch]*IFERROR(INDEX(PP_Grid[#Data],M_BOM[PPGridRow],64),0))</f>
        <v/>
      </c>
      <c r="BM76">
        <f>SUMPRODUCT((M_BOM[RM_Code]=$A76)*M_BOM[RM_Qty_Per_Batch]*IFERROR(INDEX(PP_Grid[#Data],M_BOM[PPGridRow],65),0))</f>
        <v/>
      </c>
      <c r="BN76">
        <f>SUMPRODUCT((M_BOM[RM_Code]=$A76)*M_BOM[RM_Qty_Per_Batch]*IFERROR(INDEX(PP_Grid[#Data],M_BOM[PPGridRow],66),0))</f>
        <v/>
      </c>
      <c r="BO76">
        <f>SUMPRODUCT((M_BOM[RM_Code]=$A76)*M_BOM[RM_Qty_Per_Batch]*IFERROR(INDEX(PP_Grid[#Data],M_BOM[PPGridRow],67),0))</f>
        <v/>
      </c>
      <c r="BP76">
        <f>SUMPRODUCT((M_BOM[RM_Code]=$A76)*M_BOM[RM_Qty_Per_Batch]*IFERROR(INDEX(PP_Grid[#Data],M_BOM[PPGridRow],68),0))</f>
        <v/>
      </c>
      <c r="BQ76">
        <f>SUMPRODUCT((M_BOM[RM_Code]=$A76)*M_BOM[RM_Qty_Per_Batch]*IFERROR(INDEX(PP_Grid[#Data],M_BOM[PPGridRow],69),0))</f>
        <v/>
      </c>
      <c r="BR76">
        <f>SUMPRODUCT((M_BOM[RM_Code]=$A76)*M_BOM[RM_Qty_Per_Batch]*IFERROR(INDEX(PP_Grid[#Data],M_BOM[PPGridRow],70),0))</f>
        <v/>
      </c>
      <c r="BS76">
        <f>SUMPRODUCT((M_BOM[RM_Code]=$A76)*M_BOM[RM_Qty_Per_Batch]*IFERROR(INDEX(PP_Grid[#Data],M_BOM[PPGridRow],71),0))</f>
        <v/>
      </c>
      <c r="BT76">
        <f>SUMPRODUCT((M_BOM[RM_Code]=$A76)*M_BOM[RM_Qty_Per_Batch]*IFERROR(INDEX(PP_Grid[#Data],M_BOM[PPGridRow],72),0))</f>
        <v/>
      </c>
      <c r="BU76">
        <f>SUMPRODUCT((M_BOM[RM_Code]=$A76)*M_BOM[RM_Qty_Per_Batch]*IFERROR(INDEX(PP_Grid[#Data],M_BOM[PPGridRow],73),0))</f>
        <v/>
      </c>
      <c r="BV76">
        <f>SUMPRODUCT((M_BOM[RM_Code]=$A76)*M_BOM[RM_Qty_Per_Batch]*IFERROR(INDEX(PP_Grid[#Data],M_BOM[PPGridRow],74),0))</f>
        <v/>
      </c>
      <c r="BW76">
        <f>SUMPRODUCT((M_BOM[RM_Code]=$A76)*M_BOM[RM_Qty_Per_Batch]*IFERROR(INDEX(PP_Grid[#Data],M_BOM[PPGridRow],75),0))</f>
        <v/>
      </c>
      <c r="BX76">
        <f>SUMPRODUCT((M_BOM[RM_Code]=$A76)*M_BOM[RM_Qty_Per_Batch]*IFERROR(INDEX(PP_Grid[#Data],M_BOM[PPGridRow],76),0))</f>
        <v/>
      </c>
      <c r="BY76">
        <f>SUMPRODUCT((M_BOM[RM_Code]=$A76)*M_BOM[RM_Qty_Per_Batch]*IFERROR(INDEX(PP_Grid[#Data],M_BOM[PPGridRow],77),0))</f>
        <v/>
      </c>
      <c r="BZ76">
        <f>SUMPRODUCT((M_BOM[RM_Code]=$A76)*M_BOM[RM_Qty_Per_Batch]*IFERROR(INDEX(PP_Grid[#Data],M_BOM[PPGridRow],78),0))</f>
        <v/>
      </c>
      <c r="CA76">
        <f>SUMPRODUCT((M_BOM[RM_Code]=$A76)*M_BOM[RM_Qty_Per_Batch]*IFERROR(INDEX(PP_Grid[#Data],M_BOM[PPGridRow],79),0))</f>
        <v/>
      </c>
      <c r="CB76">
        <f>SUMPRODUCT((M_BOM[RM_Code]=$A76)*M_BOM[RM_Qty_Per_Batch]*IFERROR(INDEX(PP_Grid[#Data],M_BOM[PPGridRow],80),0))</f>
        <v/>
      </c>
      <c r="CC76">
        <f>SUMPRODUCT((M_BOM[RM_Code]=$A76)*M_BOM[RM_Qty_Per_Batch]*IFERROR(INDEX(PP_Grid[#Data],M_BOM[PPGridRow],81),0))</f>
        <v/>
      </c>
      <c r="CD76">
        <f>SUMPRODUCT((M_BOM[RM_Code]=$A76)*M_BOM[RM_Qty_Per_Batch]*IFERROR(INDEX(PP_Grid[#Data],M_BOM[PPGridRow],82),0))</f>
        <v/>
      </c>
      <c r="CE76">
        <f>SUMPRODUCT((M_BOM[RM_Code]=$A76)*M_BOM[RM_Qty_Per_Batch]*IFERROR(INDEX(PP_Grid[#Data],M_BOM[PPGridRow],83),0))</f>
        <v/>
      </c>
      <c r="CF76">
        <f>SUMPRODUCT((M_BOM[RM_Code]=$A76)*M_BOM[RM_Qty_Per_Batch]*IFERROR(INDEX(PP_Grid[#Data],M_BOM[PPGridRow],84),0))</f>
        <v/>
      </c>
      <c r="CG76">
        <f>SUMPRODUCT((M_BOM[RM_Code]=$A76)*M_BOM[RM_Qty_Per_Batch]*IFERROR(INDEX(PP_Grid[#Data],M_BOM[PPGridRow],85),0))</f>
        <v/>
      </c>
      <c r="CH76">
        <f>SUMPRODUCT((M_BOM[RM_Code]=$A76)*M_BOM[RM_Qty_Per_Batch]*IFERROR(INDEX(PP_Grid[#Data],M_BOM[PPGridRow],86),0))</f>
        <v/>
      </c>
      <c r="CI76">
        <f>SUMPRODUCT((M_BOM[RM_Code]=$A76)*M_BOM[RM_Qty_Per_Batch]*IFERROR(INDEX(PP_Grid[#Data],M_BOM[PPGridRow],87),0))</f>
        <v/>
      </c>
      <c r="CJ76">
        <f>SUMPRODUCT((M_BOM[RM_Code]=$A76)*M_BOM[RM_Qty_Per_Batch]*IFERROR(INDEX(PP_Grid[#Data],M_BOM[PPGridRow],88),0))</f>
        <v/>
      </c>
      <c r="CK76">
        <f>SUMPRODUCT((M_BOM[RM_Code]=$A76)*M_BOM[RM_Qty_Per_Batch]*IFERROR(INDEX(PP_Grid[#Data],M_BOM[PPGridRow],89),0))</f>
        <v/>
      </c>
      <c r="CL76">
        <f>SUMPRODUCT((M_BOM[RM_Code]=$A76)*M_BOM[RM_Qty_Per_Batch]*IFERROR(INDEX(PP_Grid[#Data],M_BOM[PPGridRow],90),0))</f>
        <v/>
      </c>
      <c r="CM76">
        <f>SUMPRODUCT((M_BOM[RM_Code]=$A76)*M_BOM[RM_Qty_Per_Batch]*IFERROR(INDEX(PP_Grid[#Data],M_BOM[PPGridRow],91),0))</f>
        <v/>
      </c>
      <c r="CN76">
        <f>SUMPRODUCT((M_BOM[RM_Code]=$A76)*M_BOM[RM_Qty_Per_Batch]*IFERROR(INDEX(PP_Grid[#Data],M_BOM[PPGridRow],92),0))</f>
        <v/>
      </c>
      <c r="CO76">
        <f>SUMPRODUCT((M_BOM[RM_Code]=$A76)*M_BOM[RM_Qty_Per_Batch]*IFERROR(INDEX(PP_Grid[#Data],M_BOM[PPGridRow],93),0))</f>
        <v/>
      </c>
      <c r="CP76">
        <f>SUMPRODUCT((M_BOM[RM_Code]=$A76)*M_BOM[RM_Qty_Per_Batch]*IFERROR(INDEX(PP_Grid[#Data],M_BOM[PPGridRow],94),0))</f>
        <v/>
      </c>
      <c r="CQ76">
        <f>SUMPRODUCT((M_BOM[RM_Code]=$A76)*M_BOM[RM_Qty_Per_Batch]*IFERROR(INDEX(PP_Grid[#Data],M_BOM[PPGridRow],95),0))</f>
        <v/>
      </c>
      <c r="CR76">
        <f>SUMPRODUCT((M_BOM[RM_Code]=$A76)*M_BOM[RM_Qty_Per_Batch]*IFERROR(INDEX(PP_Grid[#Data],M_BOM[PPGridRow],96),0))</f>
        <v/>
      </c>
      <c r="CS76">
        <f>SUMPRODUCT((M_BOM[RM_Code]=$A76)*M_BOM[RM_Qty_Per_Batch]*IFERROR(INDEX(PP_Grid[#Data],M_BOM[PPGridRow],97),0))</f>
        <v/>
      </c>
      <c r="CT76">
        <f>SUMPRODUCT((M_BOM[RM_Code]=$A76)*M_BOM[RM_Qty_Per_Batch]*IFERROR(INDEX(PP_Grid[#Data],M_BOM[PPGridRow],98),0))</f>
        <v/>
      </c>
      <c r="CU76">
        <f>SUMPRODUCT((M_BOM[RM_Code]=$A76)*M_BOM[RM_Qty_Per_Batch]*IFERROR(INDEX(PP_Grid[#Data],M_BOM[PPGridRow],99),0))</f>
        <v/>
      </c>
      <c r="CV76">
        <f>SUMPRODUCT((M_BOM[RM_Code]=$A76)*M_BOM[RM_Qty_Per_Batch]*IFERROR(INDEX(PP_Grid[#Data],M_BOM[PPGridRow],100),0))</f>
        <v/>
      </c>
      <c r="CW76">
        <f>SUMPRODUCT((M_BOM[RM_Code]=$A76)*M_BOM[RM_Qty_Per_Batch]*IFERROR(INDEX(PP_Grid[#Data],M_BOM[PPGridRow],101),0))</f>
        <v/>
      </c>
      <c r="CX76">
        <f>SUMPRODUCT((M_BOM[RM_Code]=$A76)*M_BOM[RM_Qty_Per_Batch]*IFERROR(INDEX(PP_Grid[#Data],M_BOM[PPGridRow],102),0))</f>
        <v/>
      </c>
      <c r="CY76">
        <f>SUMPRODUCT((M_BOM[RM_Code]=$A76)*M_BOM[RM_Qty_Per_Batch]*IFERROR(INDEX(PP_Grid[#Data],M_BOM[PPGridRow],103),0))</f>
        <v/>
      </c>
      <c r="CZ76">
        <f>SUMPRODUCT((M_BOM[RM_Code]=$A76)*M_BOM[RM_Qty_Per_Batch]*IFERROR(INDEX(PP_Grid[#Data],M_BOM[PPGridRow],104),0))</f>
        <v/>
      </c>
      <c r="DA76">
        <f>SUMPRODUCT((M_BOM[RM_Code]=$A76)*M_BOM[RM_Qty_Per_Batch]*IFERROR(INDEX(PP_Grid[#Data],M_BOM[PPGridRow],105),0))</f>
        <v/>
      </c>
    </row>
    <row r="77">
      <c r="A77" t="inlineStr">
        <is>
          <t>Chem-1220</t>
        </is>
      </c>
      <c r="B77">
        <f>SUMPRODUCT((M_BOM[RM_Code]=$A77)*M_BOM[RM_Qty_Per_Batch]*IFERROR(INDEX(PP_Grid[#Data],M_BOM[PPGridRow],2),0))</f>
        <v/>
      </c>
      <c r="C77">
        <f>SUMPRODUCT((M_BOM[RM_Code]=$A77)*M_BOM[RM_Qty_Per_Batch]*IFERROR(INDEX(PP_Grid[#Data],M_BOM[PPGridRow],3),0))</f>
        <v/>
      </c>
      <c r="D77">
        <f>SUMPRODUCT((M_BOM[RM_Code]=$A77)*M_BOM[RM_Qty_Per_Batch]*IFERROR(INDEX(PP_Grid[#Data],M_BOM[PPGridRow],4),0))</f>
        <v/>
      </c>
      <c r="E77">
        <f>SUMPRODUCT((M_BOM[RM_Code]=$A77)*M_BOM[RM_Qty_Per_Batch]*IFERROR(INDEX(PP_Grid[#Data],M_BOM[PPGridRow],5),0))</f>
        <v/>
      </c>
      <c r="F77">
        <f>SUMPRODUCT((M_BOM[RM_Code]=$A77)*M_BOM[RM_Qty_Per_Batch]*IFERROR(INDEX(PP_Grid[#Data],M_BOM[PPGridRow],6),0))</f>
        <v/>
      </c>
      <c r="G77">
        <f>SUMPRODUCT((M_BOM[RM_Code]=$A77)*M_BOM[RM_Qty_Per_Batch]*IFERROR(INDEX(PP_Grid[#Data],M_BOM[PPGridRow],7),0))</f>
        <v/>
      </c>
      <c r="H77">
        <f>SUMPRODUCT((M_BOM[RM_Code]=$A77)*M_BOM[RM_Qty_Per_Batch]*IFERROR(INDEX(PP_Grid[#Data],M_BOM[PPGridRow],8),0))</f>
        <v/>
      </c>
      <c r="I77">
        <f>SUMPRODUCT((M_BOM[RM_Code]=$A77)*M_BOM[RM_Qty_Per_Batch]*IFERROR(INDEX(PP_Grid[#Data],M_BOM[PPGridRow],9),0))</f>
        <v/>
      </c>
      <c r="J77">
        <f>SUMPRODUCT((M_BOM[RM_Code]=$A77)*M_BOM[RM_Qty_Per_Batch]*IFERROR(INDEX(PP_Grid[#Data],M_BOM[PPGridRow],10),0))</f>
        <v/>
      </c>
      <c r="K77">
        <f>SUMPRODUCT((M_BOM[RM_Code]=$A77)*M_BOM[RM_Qty_Per_Batch]*IFERROR(INDEX(PP_Grid[#Data],M_BOM[PPGridRow],11),0))</f>
        <v/>
      </c>
      <c r="L77">
        <f>SUMPRODUCT((M_BOM[RM_Code]=$A77)*M_BOM[RM_Qty_Per_Batch]*IFERROR(INDEX(PP_Grid[#Data],M_BOM[PPGridRow],12),0))</f>
        <v/>
      </c>
      <c r="M77">
        <f>SUMPRODUCT((M_BOM[RM_Code]=$A77)*M_BOM[RM_Qty_Per_Batch]*IFERROR(INDEX(PP_Grid[#Data],M_BOM[PPGridRow],13),0))</f>
        <v/>
      </c>
      <c r="N77">
        <f>SUMPRODUCT((M_BOM[RM_Code]=$A77)*M_BOM[RM_Qty_Per_Batch]*IFERROR(INDEX(PP_Grid[#Data],M_BOM[PPGridRow],14),0))</f>
        <v/>
      </c>
      <c r="O77">
        <f>SUMPRODUCT((M_BOM[RM_Code]=$A77)*M_BOM[RM_Qty_Per_Batch]*IFERROR(INDEX(PP_Grid[#Data],M_BOM[PPGridRow],15),0))</f>
        <v/>
      </c>
      <c r="P77">
        <f>SUMPRODUCT((M_BOM[RM_Code]=$A77)*M_BOM[RM_Qty_Per_Batch]*IFERROR(INDEX(PP_Grid[#Data],M_BOM[PPGridRow],16),0))</f>
        <v/>
      </c>
      <c r="Q77">
        <f>SUMPRODUCT((M_BOM[RM_Code]=$A77)*M_BOM[RM_Qty_Per_Batch]*IFERROR(INDEX(PP_Grid[#Data],M_BOM[PPGridRow],17),0))</f>
        <v/>
      </c>
      <c r="R77">
        <f>SUMPRODUCT((M_BOM[RM_Code]=$A77)*M_BOM[RM_Qty_Per_Batch]*IFERROR(INDEX(PP_Grid[#Data],M_BOM[PPGridRow],18),0))</f>
        <v/>
      </c>
      <c r="S77">
        <f>SUMPRODUCT((M_BOM[RM_Code]=$A77)*M_BOM[RM_Qty_Per_Batch]*IFERROR(INDEX(PP_Grid[#Data],M_BOM[PPGridRow],19),0))</f>
        <v/>
      </c>
      <c r="T77">
        <f>SUMPRODUCT((M_BOM[RM_Code]=$A77)*M_BOM[RM_Qty_Per_Batch]*IFERROR(INDEX(PP_Grid[#Data],M_BOM[PPGridRow],20),0))</f>
        <v/>
      </c>
      <c r="U77">
        <f>SUMPRODUCT((M_BOM[RM_Code]=$A77)*M_BOM[RM_Qty_Per_Batch]*IFERROR(INDEX(PP_Grid[#Data],M_BOM[PPGridRow],21),0))</f>
        <v/>
      </c>
      <c r="V77">
        <f>SUMPRODUCT((M_BOM[RM_Code]=$A77)*M_BOM[RM_Qty_Per_Batch]*IFERROR(INDEX(PP_Grid[#Data],M_BOM[PPGridRow],22),0))</f>
        <v/>
      </c>
      <c r="W77">
        <f>SUMPRODUCT((M_BOM[RM_Code]=$A77)*M_BOM[RM_Qty_Per_Batch]*IFERROR(INDEX(PP_Grid[#Data],M_BOM[PPGridRow],23),0))</f>
        <v/>
      </c>
      <c r="X77">
        <f>SUMPRODUCT((M_BOM[RM_Code]=$A77)*M_BOM[RM_Qty_Per_Batch]*IFERROR(INDEX(PP_Grid[#Data],M_BOM[PPGridRow],24),0))</f>
        <v/>
      </c>
      <c r="Y77">
        <f>SUMPRODUCT((M_BOM[RM_Code]=$A77)*M_BOM[RM_Qty_Per_Batch]*IFERROR(INDEX(PP_Grid[#Data],M_BOM[PPGridRow],25),0))</f>
        <v/>
      </c>
      <c r="Z77">
        <f>SUMPRODUCT((M_BOM[RM_Code]=$A77)*M_BOM[RM_Qty_Per_Batch]*IFERROR(INDEX(PP_Grid[#Data],M_BOM[PPGridRow],26),0))</f>
        <v/>
      </c>
      <c r="AA77">
        <f>SUMPRODUCT((M_BOM[RM_Code]=$A77)*M_BOM[RM_Qty_Per_Batch]*IFERROR(INDEX(PP_Grid[#Data],M_BOM[PPGridRow],27),0))</f>
        <v/>
      </c>
      <c r="AB77">
        <f>SUMPRODUCT((M_BOM[RM_Code]=$A77)*M_BOM[RM_Qty_Per_Batch]*IFERROR(INDEX(PP_Grid[#Data],M_BOM[PPGridRow],28),0))</f>
        <v/>
      </c>
      <c r="AC77">
        <f>SUMPRODUCT((M_BOM[RM_Code]=$A77)*M_BOM[RM_Qty_Per_Batch]*IFERROR(INDEX(PP_Grid[#Data],M_BOM[PPGridRow],29),0))</f>
        <v/>
      </c>
      <c r="AD77">
        <f>SUMPRODUCT((M_BOM[RM_Code]=$A77)*M_BOM[RM_Qty_Per_Batch]*IFERROR(INDEX(PP_Grid[#Data],M_BOM[PPGridRow],30),0))</f>
        <v/>
      </c>
      <c r="AE77">
        <f>SUMPRODUCT((M_BOM[RM_Code]=$A77)*M_BOM[RM_Qty_Per_Batch]*IFERROR(INDEX(PP_Grid[#Data],M_BOM[PPGridRow],31),0))</f>
        <v/>
      </c>
      <c r="AF77">
        <f>SUMPRODUCT((M_BOM[RM_Code]=$A77)*M_BOM[RM_Qty_Per_Batch]*IFERROR(INDEX(PP_Grid[#Data],M_BOM[PPGridRow],32),0))</f>
        <v/>
      </c>
      <c r="AG77">
        <f>SUMPRODUCT((M_BOM[RM_Code]=$A77)*M_BOM[RM_Qty_Per_Batch]*IFERROR(INDEX(PP_Grid[#Data],M_BOM[PPGridRow],33),0))</f>
        <v/>
      </c>
      <c r="AH77">
        <f>SUMPRODUCT((M_BOM[RM_Code]=$A77)*M_BOM[RM_Qty_Per_Batch]*IFERROR(INDEX(PP_Grid[#Data],M_BOM[PPGridRow],34),0))</f>
        <v/>
      </c>
      <c r="AI77">
        <f>SUMPRODUCT((M_BOM[RM_Code]=$A77)*M_BOM[RM_Qty_Per_Batch]*IFERROR(INDEX(PP_Grid[#Data],M_BOM[PPGridRow],35),0))</f>
        <v/>
      </c>
      <c r="AJ77">
        <f>SUMPRODUCT((M_BOM[RM_Code]=$A77)*M_BOM[RM_Qty_Per_Batch]*IFERROR(INDEX(PP_Grid[#Data],M_BOM[PPGridRow],36),0))</f>
        <v/>
      </c>
      <c r="AK77">
        <f>SUMPRODUCT((M_BOM[RM_Code]=$A77)*M_BOM[RM_Qty_Per_Batch]*IFERROR(INDEX(PP_Grid[#Data],M_BOM[PPGridRow],37),0))</f>
        <v/>
      </c>
      <c r="AL77">
        <f>SUMPRODUCT((M_BOM[RM_Code]=$A77)*M_BOM[RM_Qty_Per_Batch]*IFERROR(INDEX(PP_Grid[#Data],M_BOM[PPGridRow],38),0))</f>
        <v/>
      </c>
      <c r="AM77">
        <f>SUMPRODUCT((M_BOM[RM_Code]=$A77)*M_BOM[RM_Qty_Per_Batch]*IFERROR(INDEX(PP_Grid[#Data],M_BOM[PPGridRow],39),0))</f>
        <v/>
      </c>
      <c r="AN77">
        <f>SUMPRODUCT((M_BOM[RM_Code]=$A77)*M_BOM[RM_Qty_Per_Batch]*IFERROR(INDEX(PP_Grid[#Data],M_BOM[PPGridRow],40),0))</f>
        <v/>
      </c>
      <c r="AO77">
        <f>SUMPRODUCT((M_BOM[RM_Code]=$A77)*M_BOM[RM_Qty_Per_Batch]*IFERROR(INDEX(PP_Grid[#Data],M_BOM[PPGridRow],41),0))</f>
        <v/>
      </c>
      <c r="AP77">
        <f>SUMPRODUCT((M_BOM[RM_Code]=$A77)*M_BOM[RM_Qty_Per_Batch]*IFERROR(INDEX(PP_Grid[#Data],M_BOM[PPGridRow],42),0))</f>
        <v/>
      </c>
      <c r="AQ77">
        <f>SUMPRODUCT((M_BOM[RM_Code]=$A77)*M_BOM[RM_Qty_Per_Batch]*IFERROR(INDEX(PP_Grid[#Data],M_BOM[PPGridRow],43),0))</f>
        <v/>
      </c>
      <c r="AR77">
        <f>SUMPRODUCT((M_BOM[RM_Code]=$A77)*M_BOM[RM_Qty_Per_Batch]*IFERROR(INDEX(PP_Grid[#Data],M_BOM[PPGridRow],44),0))</f>
        <v/>
      </c>
      <c r="AS77">
        <f>SUMPRODUCT((M_BOM[RM_Code]=$A77)*M_BOM[RM_Qty_Per_Batch]*IFERROR(INDEX(PP_Grid[#Data],M_BOM[PPGridRow],45),0))</f>
        <v/>
      </c>
      <c r="AT77">
        <f>SUMPRODUCT((M_BOM[RM_Code]=$A77)*M_BOM[RM_Qty_Per_Batch]*IFERROR(INDEX(PP_Grid[#Data],M_BOM[PPGridRow],46),0))</f>
        <v/>
      </c>
      <c r="AU77">
        <f>SUMPRODUCT((M_BOM[RM_Code]=$A77)*M_BOM[RM_Qty_Per_Batch]*IFERROR(INDEX(PP_Grid[#Data],M_BOM[PPGridRow],47),0))</f>
        <v/>
      </c>
      <c r="AV77">
        <f>SUMPRODUCT((M_BOM[RM_Code]=$A77)*M_BOM[RM_Qty_Per_Batch]*IFERROR(INDEX(PP_Grid[#Data],M_BOM[PPGridRow],48),0))</f>
        <v/>
      </c>
      <c r="AW77">
        <f>SUMPRODUCT((M_BOM[RM_Code]=$A77)*M_BOM[RM_Qty_Per_Batch]*IFERROR(INDEX(PP_Grid[#Data],M_BOM[PPGridRow],49),0))</f>
        <v/>
      </c>
      <c r="AX77">
        <f>SUMPRODUCT((M_BOM[RM_Code]=$A77)*M_BOM[RM_Qty_Per_Batch]*IFERROR(INDEX(PP_Grid[#Data],M_BOM[PPGridRow],50),0))</f>
        <v/>
      </c>
      <c r="AY77">
        <f>SUMPRODUCT((M_BOM[RM_Code]=$A77)*M_BOM[RM_Qty_Per_Batch]*IFERROR(INDEX(PP_Grid[#Data],M_BOM[PPGridRow],51),0))</f>
        <v/>
      </c>
      <c r="AZ77">
        <f>SUMPRODUCT((M_BOM[RM_Code]=$A77)*M_BOM[RM_Qty_Per_Batch]*IFERROR(INDEX(PP_Grid[#Data],M_BOM[PPGridRow],52),0))</f>
        <v/>
      </c>
      <c r="BA77">
        <f>SUMPRODUCT((M_BOM[RM_Code]=$A77)*M_BOM[RM_Qty_Per_Batch]*IFERROR(INDEX(PP_Grid[#Data],M_BOM[PPGridRow],53),0))</f>
        <v/>
      </c>
      <c r="BB77">
        <f>SUMPRODUCT((M_BOM[RM_Code]=$A77)*M_BOM[RM_Qty_Per_Batch]*IFERROR(INDEX(PP_Grid[#Data],M_BOM[PPGridRow],54),0))</f>
        <v/>
      </c>
      <c r="BC77">
        <f>SUMPRODUCT((M_BOM[RM_Code]=$A77)*M_BOM[RM_Qty_Per_Batch]*IFERROR(INDEX(PP_Grid[#Data],M_BOM[PPGridRow],55),0))</f>
        <v/>
      </c>
      <c r="BD77">
        <f>SUMPRODUCT((M_BOM[RM_Code]=$A77)*M_BOM[RM_Qty_Per_Batch]*IFERROR(INDEX(PP_Grid[#Data],M_BOM[PPGridRow],56),0))</f>
        <v/>
      </c>
      <c r="BE77">
        <f>SUMPRODUCT((M_BOM[RM_Code]=$A77)*M_BOM[RM_Qty_Per_Batch]*IFERROR(INDEX(PP_Grid[#Data],M_BOM[PPGridRow],57),0))</f>
        <v/>
      </c>
      <c r="BF77">
        <f>SUMPRODUCT((M_BOM[RM_Code]=$A77)*M_BOM[RM_Qty_Per_Batch]*IFERROR(INDEX(PP_Grid[#Data],M_BOM[PPGridRow],58),0))</f>
        <v/>
      </c>
      <c r="BG77">
        <f>SUMPRODUCT((M_BOM[RM_Code]=$A77)*M_BOM[RM_Qty_Per_Batch]*IFERROR(INDEX(PP_Grid[#Data],M_BOM[PPGridRow],59),0))</f>
        <v/>
      </c>
      <c r="BH77">
        <f>SUMPRODUCT((M_BOM[RM_Code]=$A77)*M_BOM[RM_Qty_Per_Batch]*IFERROR(INDEX(PP_Grid[#Data],M_BOM[PPGridRow],60),0))</f>
        <v/>
      </c>
      <c r="BI77">
        <f>SUMPRODUCT((M_BOM[RM_Code]=$A77)*M_BOM[RM_Qty_Per_Batch]*IFERROR(INDEX(PP_Grid[#Data],M_BOM[PPGridRow],61),0))</f>
        <v/>
      </c>
      <c r="BJ77">
        <f>SUMPRODUCT((M_BOM[RM_Code]=$A77)*M_BOM[RM_Qty_Per_Batch]*IFERROR(INDEX(PP_Grid[#Data],M_BOM[PPGridRow],62),0))</f>
        <v/>
      </c>
      <c r="BK77">
        <f>SUMPRODUCT((M_BOM[RM_Code]=$A77)*M_BOM[RM_Qty_Per_Batch]*IFERROR(INDEX(PP_Grid[#Data],M_BOM[PPGridRow],63),0))</f>
        <v/>
      </c>
      <c r="BL77">
        <f>SUMPRODUCT((M_BOM[RM_Code]=$A77)*M_BOM[RM_Qty_Per_Batch]*IFERROR(INDEX(PP_Grid[#Data],M_BOM[PPGridRow],64),0))</f>
        <v/>
      </c>
      <c r="BM77">
        <f>SUMPRODUCT((M_BOM[RM_Code]=$A77)*M_BOM[RM_Qty_Per_Batch]*IFERROR(INDEX(PP_Grid[#Data],M_BOM[PPGridRow],65),0))</f>
        <v/>
      </c>
      <c r="BN77">
        <f>SUMPRODUCT((M_BOM[RM_Code]=$A77)*M_BOM[RM_Qty_Per_Batch]*IFERROR(INDEX(PP_Grid[#Data],M_BOM[PPGridRow],66),0))</f>
        <v/>
      </c>
      <c r="BO77">
        <f>SUMPRODUCT((M_BOM[RM_Code]=$A77)*M_BOM[RM_Qty_Per_Batch]*IFERROR(INDEX(PP_Grid[#Data],M_BOM[PPGridRow],67),0))</f>
        <v/>
      </c>
      <c r="BP77">
        <f>SUMPRODUCT((M_BOM[RM_Code]=$A77)*M_BOM[RM_Qty_Per_Batch]*IFERROR(INDEX(PP_Grid[#Data],M_BOM[PPGridRow],68),0))</f>
        <v/>
      </c>
      <c r="BQ77">
        <f>SUMPRODUCT((M_BOM[RM_Code]=$A77)*M_BOM[RM_Qty_Per_Batch]*IFERROR(INDEX(PP_Grid[#Data],M_BOM[PPGridRow],69),0))</f>
        <v/>
      </c>
      <c r="BR77">
        <f>SUMPRODUCT((M_BOM[RM_Code]=$A77)*M_BOM[RM_Qty_Per_Batch]*IFERROR(INDEX(PP_Grid[#Data],M_BOM[PPGridRow],70),0))</f>
        <v/>
      </c>
      <c r="BS77">
        <f>SUMPRODUCT((M_BOM[RM_Code]=$A77)*M_BOM[RM_Qty_Per_Batch]*IFERROR(INDEX(PP_Grid[#Data],M_BOM[PPGridRow],71),0))</f>
        <v/>
      </c>
      <c r="BT77">
        <f>SUMPRODUCT((M_BOM[RM_Code]=$A77)*M_BOM[RM_Qty_Per_Batch]*IFERROR(INDEX(PP_Grid[#Data],M_BOM[PPGridRow],72),0))</f>
        <v/>
      </c>
      <c r="BU77">
        <f>SUMPRODUCT((M_BOM[RM_Code]=$A77)*M_BOM[RM_Qty_Per_Batch]*IFERROR(INDEX(PP_Grid[#Data],M_BOM[PPGridRow],73),0))</f>
        <v/>
      </c>
      <c r="BV77">
        <f>SUMPRODUCT((M_BOM[RM_Code]=$A77)*M_BOM[RM_Qty_Per_Batch]*IFERROR(INDEX(PP_Grid[#Data],M_BOM[PPGridRow],74),0))</f>
        <v/>
      </c>
      <c r="BW77">
        <f>SUMPRODUCT((M_BOM[RM_Code]=$A77)*M_BOM[RM_Qty_Per_Batch]*IFERROR(INDEX(PP_Grid[#Data],M_BOM[PPGridRow],75),0))</f>
        <v/>
      </c>
      <c r="BX77">
        <f>SUMPRODUCT((M_BOM[RM_Code]=$A77)*M_BOM[RM_Qty_Per_Batch]*IFERROR(INDEX(PP_Grid[#Data],M_BOM[PPGridRow],76),0))</f>
        <v/>
      </c>
      <c r="BY77">
        <f>SUMPRODUCT((M_BOM[RM_Code]=$A77)*M_BOM[RM_Qty_Per_Batch]*IFERROR(INDEX(PP_Grid[#Data],M_BOM[PPGridRow],77),0))</f>
        <v/>
      </c>
      <c r="BZ77">
        <f>SUMPRODUCT((M_BOM[RM_Code]=$A77)*M_BOM[RM_Qty_Per_Batch]*IFERROR(INDEX(PP_Grid[#Data],M_BOM[PPGridRow],78),0))</f>
        <v/>
      </c>
      <c r="CA77">
        <f>SUMPRODUCT((M_BOM[RM_Code]=$A77)*M_BOM[RM_Qty_Per_Batch]*IFERROR(INDEX(PP_Grid[#Data],M_BOM[PPGridRow],79),0))</f>
        <v/>
      </c>
      <c r="CB77">
        <f>SUMPRODUCT((M_BOM[RM_Code]=$A77)*M_BOM[RM_Qty_Per_Batch]*IFERROR(INDEX(PP_Grid[#Data],M_BOM[PPGridRow],80),0))</f>
        <v/>
      </c>
      <c r="CC77">
        <f>SUMPRODUCT((M_BOM[RM_Code]=$A77)*M_BOM[RM_Qty_Per_Batch]*IFERROR(INDEX(PP_Grid[#Data],M_BOM[PPGridRow],81),0))</f>
        <v/>
      </c>
      <c r="CD77">
        <f>SUMPRODUCT((M_BOM[RM_Code]=$A77)*M_BOM[RM_Qty_Per_Batch]*IFERROR(INDEX(PP_Grid[#Data],M_BOM[PPGridRow],82),0))</f>
        <v/>
      </c>
      <c r="CE77">
        <f>SUMPRODUCT((M_BOM[RM_Code]=$A77)*M_BOM[RM_Qty_Per_Batch]*IFERROR(INDEX(PP_Grid[#Data],M_BOM[PPGridRow],83),0))</f>
        <v/>
      </c>
      <c r="CF77">
        <f>SUMPRODUCT((M_BOM[RM_Code]=$A77)*M_BOM[RM_Qty_Per_Batch]*IFERROR(INDEX(PP_Grid[#Data],M_BOM[PPGridRow],84),0))</f>
        <v/>
      </c>
      <c r="CG77">
        <f>SUMPRODUCT((M_BOM[RM_Code]=$A77)*M_BOM[RM_Qty_Per_Batch]*IFERROR(INDEX(PP_Grid[#Data],M_BOM[PPGridRow],85),0))</f>
        <v/>
      </c>
      <c r="CH77">
        <f>SUMPRODUCT((M_BOM[RM_Code]=$A77)*M_BOM[RM_Qty_Per_Batch]*IFERROR(INDEX(PP_Grid[#Data],M_BOM[PPGridRow],86),0))</f>
        <v/>
      </c>
      <c r="CI77">
        <f>SUMPRODUCT((M_BOM[RM_Code]=$A77)*M_BOM[RM_Qty_Per_Batch]*IFERROR(INDEX(PP_Grid[#Data],M_BOM[PPGridRow],87),0))</f>
        <v/>
      </c>
      <c r="CJ77">
        <f>SUMPRODUCT((M_BOM[RM_Code]=$A77)*M_BOM[RM_Qty_Per_Batch]*IFERROR(INDEX(PP_Grid[#Data],M_BOM[PPGridRow],88),0))</f>
        <v/>
      </c>
      <c r="CK77">
        <f>SUMPRODUCT((M_BOM[RM_Code]=$A77)*M_BOM[RM_Qty_Per_Batch]*IFERROR(INDEX(PP_Grid[#Data],M_BOM[PPGridRow],89),0))</f>
        <v/>
      </c>
      <c r="CL77">
        <f>SUMPRODUCT((M_BOM[RM_Code]=$A77)*M_BOM[RM_Qty_Per_Batch]*IFERROR(INDEX(PP_Grid[#Data],M_BOM[PPGridRow],90),0))</f>
        <v/>
      </c>
      <c r="CM77">
        <f>SUMPRODUCT((M_BOM[RM_Code]=$A77)*M_BOM[RM_Qty_Per_Batch]*IFERROR(INDEX(PP_Grid[#Data],M_BOM[PPGridRow],91),0))</f>
        <v/>
      </c>
      <c r="CN77">
        <f>SUMPRODUCT((M_BOM[RM_Code]=$A77)*M_BOM[RM_Qty_Per_Batch]*IFERROR(INDEX(PP_Grid[#Data],M_BOM[PPGridRow],92),0))</f>
        <v/>
      </c>
      <c r="CO77">
        <f>SUMPRODUCT((M_BOM[RM_Code]=$A77)*M_BOM[RM_Qty_Per_Batch]*IFERROR(INDEX(PP_Grid[#Data],M_BOM[PPGridRow],93),0))</f>
        <v/>
      </c>
      <c r="CP77">
        <f>SUMPRODUCT((M_BOM[RM_Code]=$A77)*M_BOM[RM_Qty_Per_Batch]*IFERROR(INDEX(PP_Grid[#Data],M_BOM[PPGridRow],94),0))</f>
        <v/>
      </c>
      <c r="CQ77">
        <f>SUMPRODUCT((M_BOM[RM_Code]=$A77)*M_BOM[RM_Qty_Per_Batch]*IFERROR(INDEX(PP_Grid[#Data],M_BOM[PPGridRow],95),0))</f>
        <v/>
      </c>
      <c r="CR77">
        <f>SUMPRODUCT((M_BOM[RM_Code]=$A77)*M_BOM[RM_Qty_Per_Batch]*IFERROR(INDEX(PP_Grid[#Data],M_BOM[PPGridRow],96),0))</f>
        <v/>
      </c>
      <c r="CS77">
        <f>SUMPRODUCT((M_BOM[RM_Code]=$A77)*M_BOM[RM_Qty_Per_Batch]*IFERROR(INDEX(PP_Grid[#Data],M_BOM[PPGridRow],97),0))</f>
        <v/>
      </c>
      <c r="CT77">
        <f>SUMPRODUCT((M_BOM[RM_Code]=$A77)*M_BOM[RM_Qty_Per_Batch]*IFERROR(INDEX(PP_Grid[#Data],M_BOM[PPGridRow],98),0))</f>
        <v/>
      </c>
      <c r="CU77">
        <f>SUMPRODUCT((M_BOM[RM_Code]=$A77)*M_BOM[RM_Qty_Per_Batch]*IFERROR(INDEX(PP_Grid[#Data],M_BOM[PPGridRow],99),0))</f>
        <v/>
      </c>
      <c r="CV77">
        <f>SUMPRODUCT((M_BOM[RM_Code]=$A77)*M_BOM[RM_Qty_Per_Batch]*IFERROR(INDEX(PP_Grid[#Data],M_BOM[PPGridRow],100),0))</f>
        <v/>
      </c>
      <c r="CW77">
        <f>SUMPRODUCT((M_BOM[RM_Code]=$A77)*M_BOM[RM_Qty_Per_Batch]*IFERROR(INDEX(PP_Grid[#Data],M_BOM[PPGridRow],101),0))</f>
        <v/>
      </c>
      <c r="CX77">
        <f>SUMPRODUCT((M_BOM[RM_Code]=$A77)*M_BOM[RM_Qty_Per_Batch]*IFERROR(INDEX(PP_Grid[#Data],M_BOM[PPGridRow],102),0))</f>
        <v/>
      </c>
      <c r="CY77">
        <f>SUMPRODUCT((M_BOM[RM_Code]=$A77)*M_BOM[RM_Qty_Per_Batch]*IFERROR(INDEX(PP_Grid[#Data],M_BOM[PPGridRow],103),0))</f>
        <v/>
      </c>
      <c r="CZ77">
        <f>SUMPRODUCT((M_BOM[RM_Code]=$A77)*M_BOM[RM_Qty_Per_Batch]*IFERROR(INDEX(PP_Grid[#Data],M_BOM[PPGridRow],104),0))</f>
        <v/>
      </c>
      <c r="DA77">
        <f>SUMPRODUCT((M_BOM[RM_Code]=$A77)*M_BOM[RM_Qty_Per_Batch]*IFERROR(INDEX(PP_Grid[#Data],M_BOM[PPGridRow],105),0))</f>
        <v/>
      </c>
    </row>
    <row r="78">
      <c r="A78" t="inlineStr">
        <is>
          <t>Chem-1610</t>
        </is>
      </c>
      <c r="B78">
        <f>SUMPRODUCT((M_BOM[RM_Code]=$A78)*M_BOM[RM_Qty_Per_Batch]*IFERROR(INDEX(PP_Grid[#Data],M_BOM[PPGridRow],2),0))</f>
        <v/>
      </c>
      <c r="C78">
        <f>SUMPRODUCT((M_BOM[RM_Code]=$A78)*M_BOM[RM_Qty_Per_Batch]*IFERROR(INDEX(PP_Grid[#Data],M_BOM[PPGridRow],3),0))</f>
        <v/>
      </c>
      <c r="D78">
        <f>SUMPRODUCT((M_BOM[RM_Code]=$A78)*M_BOM[RM_Qty_Per_Batch]*IFERROR(INDEX(PP_Grid[#Data],M_BOM[PPGridRow],4),0))</f>
        <v/>
      </c>
      <c r="E78">
        <f>SUMPRODUCT((M_BOM[RM_Code]=$A78)*M_BOM[RM_Qty_Per_Batch]*IFERROR(INDEX(PP_Grid[#Data],M_BOM[PPGridRow],5),0))</f>
        <v/>
      </c>
      <c r="F78">
        <f>SUMPRODUCT((M_BOM[RM_Code]=$A78)*M_BOM[RM_Qty_Per_Batch]*IFERROR(INDEX(PP_Grid[#Data],M_BOM[PPGridRow],6),0))</f>
        <v/>
      </c>
      <c r="G78">
        <f>SUMPRODUCT((M_BOM[RM_Code]=$A78)*M_BOM[RM_Qty_Per_Batch]*IFERROR(INDEX(PP_Grid[#Data],M_BOM[PPGridRow],7),0))</f>
        <v/>
      </c>
      <c r="H78">
        <f>SUMPRODUCT((M_BOM[RM_Code]=$A78)*M_BOM[RM_Qty_Per_Batch]*IFERROR(INDEX(PP_Grid[#Data],M_BOM[PPGridRow],8),0))</f>
        <v/>
      </c>
      <c r="I78">
        <f>SUMPRODUCT((M_BOM[RM_Code]=$A78)*M_BOM[RM_Qty_Per_Batch]*IFERROR(INDEX(PP_Grid[#Data],M_BOM[PPGridRow],9),0))</f>
        <v/>
      </c>
      <c r="J78">
        <f>SUMPRODUCT((M_BOM[RM_Code]=$A78)*M_BOM[RM_Qty_Per_Batch]*IFERROR(INDEX(PP_Grid[#Data],M_BOM[PPGridRow],10),0))</f>
        <v/>
      </c>
      <c r="K78">
        <f>SUMPRODUCT((M_BOM[RM_Code]=$A78)*M_BOM[RM_Qty_Per_Batch]*IFERROR(INDEX(PP_Grid[#Data],M_BOM[PPGridRow],11),0))</f>
        <v/>
      </c>
      <c r="L78">
        <f>SUMPRODUCT((M_BOM[RM_Code]=$A78)*M_BOM[RM_Qty_Per_Batch]*IFERROR(INDEX(PP_Grid[#Data],M_BOM[PPGridRow],12),0))</f>
        <v/>
      </c>
      <c r="M78">
        <f>SUMPRODUCT((M_BOM[RM_Code]=$A78)*M_BOM[RM_Qty_Per_Batch]*IFERROR(INDEX(PP_Grid[#Data],M_BOM[PPGridRow],13),0))</f>
        <v/>
      </c>
      <c r="N78">
        <f>SUMPRODUCT((M_BOM[RM_Code]=$A78)*M_BOM[RM_Qty_Per_Batch]*IFERROR(INDEX(PP_Grid[#Data],M_BOM[PPGridRow],14),0))</f>
        <v/>
      </c>
      <c r="O78">
        <f>SUMPRODUCT((M_BOM[RM_Code]=$A78)*M_BOM[RM_Qty_Per_Batch]*IFERROR(INDEX(PP_Grid[#Data],M_BOM[PPGridRow],15),0))</f>
        <v/>
      </c>
      <c r="P78">
        <f>SUMPRODUCT((M_BOM[RM_Code]=$A78)*M_BOM[RM_Qty_Per_Batch]*IFERROR(INDEX(PP_Grid[#Data],M_BOM[PPGridRow],16),0))</f>
        <v/>
      </c>
      <c r="Q78">
        <f>SUMPRODUCT((M_BOM[RM_Code]=$A78)*M_BOM[RM_Qty_Per_Batch]*IFERROR(INDEX(PP_Grid[#Data],M_BOM[PPGridRow],17),0))</f>
        <v/>
      </c>
      <c r="R78">
        <f>SUMPRODUCT((M_BOM[RM_Code]=$A78)*M_BOM[RM_Qty_Per_Batch]*IFERROR(INDEX(PP_Grid[#Data],M_BOM[PPGridRow],18),0))</f>
        <v/>
      </c>
      <c r="S78">
        <f>SUMPRODUCT((M_BOM[RM_Code]=$A78)*M_BOM[RM_Qty_Per_Batch]*IFERROR(INDEX(PP_Grid[#Data],M_BOM[PPGridRow],19),0))</f>
        <v/>
      </c>
      <c r="T78">
        <f>SUMPRODUCT((M_BOM[RM_Code]=$A78)*M_BOM[RM_Qty_Per_Batch]*IFERROR(INDEX(PP_Grid[#Data],M_BOM[PPGridRow],20),0))</f>
        <v/>
      </c>
      <c r="U78">
        <f>SUMPRODUCT((M_BOM[RM_Code]=$A78)*M_BOM[RM_Qty_Per_Batch]*IFERROR(INDEX(PP_Grid[#Data],M_BOM[PPGridRow],21),0))</f>
        <v/>
      </c>
      <c r="V78">
        <f>SUMPRODUCT((M_BOM[RM_Code]=$A78)*M_BOM[RM_Qty_Per_Batch]*IFERROR(INDEX(PP_Grid[#Data],M_BOM[PPGridRow],22),0))</f>
        <v/>
      </c>
      <c r="W78">
        <f>SUMPRODUCT((M_BOM[RM_Code]=$A78)*M_BOM[RM_Qty_Per_Batch]*IFERROR(INDEX(PP_Grid[#Data],M_BOM[PPGridRow],23),0))</f>
        <v/>
      </c>
      <c r="X78">
        <f>SUMPRODUCT((M_BOM[RM_Code]=$A78)*M_BOM[RM_Qty_Per_Batch]*IFERROR(INDEX(PP_Grid[#Data],M_BOM[PPGridRow],24),0))</f>
        <v/>
      </c>
      <c r="Y78">
        <f>SUMPRODUCT((M_BOM[RM_Code]=$A78)*M_BOM[RM_Qty_Per_Batch]*IFERROR(INDEX(PP_Grid[#Data],M_BOM[PPGridRow],25),0))</f>
        <v/>
      </c>
      <c r="Z78">
        <f>SUMPRODUCT((M_BOM[RM_Code]=$A78)*M_BOM[RM_Qty_Per_Batch]*IFERROR(INDEX(PP_Grid[#Data],M_BOM[PPGridRow],26),0))</f>
        <v/>
      </c>
      <c r="AA78">
        <f>SUMPRODUCT((M_BOM[RM_Code]=$A78)*M_BOM[RM_Qty_Per_Batch]*IFERROR(INDEX(PP_Grid[#Data],M_BOM[PPGridRow],27),0))</f>
        <v/>
      </c>
      <c r="AB78">
        <f>SUMPRODUCT((M_BOM[RM_Code]=$A78)*M_BOM[RM_Qty_Per_Batch]*IFERROR(INDEX(PP_Grid[#Data],M_BOM[PPGridRow],28),0))</f>
        <v/>
      </c>
      <c r="AC78">
        <f>SUMPRODUCT((M_BOM[RM_Code]=$A78)*M_BOM[RM_Qty_Per_Batch]*IFERROR(INDEX(PP_Grid[#Data],M_BOM[PPGridRow],29),0))</f>
        <v/>
      </c>
      <c r="AD78">
        <f>SUMPRODUCT((M_BOM[RM_Code]=$A78)*M_BOM[RM_Qty_Per_Batch]*IFERROR(INDEX(PP_Grid[#Data],M_BOM[PPGridRow],30),0))</f>
        <v/>
      </c>
      <c r="AE78">
        <f>SUMPRODUCT((M_BOM[RM_Code]=$A78)*M_BOM[RM_Qty_Per_Batch]*IFERROR(INDEX(PP_Grid[#Data],M_BOM[PPGridRow],31),0))</f>
        <v/>
      </c>
      <c r="AF78">
        <f>SUMPRODUCT((M_BOM[RM_Code]=$A78)*M_BOM[RM_Qty_Per_Batch]*IFERROR(INDEX(PP_Grid[#Data],M_BOM[PPGridRow],32),0))</f>
        <v/>
      </c>
      <c r="AG78">
        <f>SUMPRODUCT((M_BOM[RM_Code]=$A78)*M_BOM[RM_Qty_Per_Batch]*IFERROR(INDEX(PP_Grid[#Data],M_BOM[PPGridRow],33),0))</f>
        <v/>
      </c>
      <c r="AH78">
        <f>SUMPRODUCT((M_BOM[RM_Code]=$A78)*M_BOM[RM_Qty_Per_Batch]*IFERROR(INDEX(PP_Grid[#Data],M_BOM[PPGridRow],34),0))</f>
        <v/>
      </c>
      <c r="AI78">
        <f>SUMPRODUCT((M_BOM[RM_Code]=$A78)*M_BOM[RM_Qty_Per_Batch]*IFERROR(INDEX(PP_Grid[#Data],M_BOM[PPGridRow],35),0))</f>
        <v/>
      </c>
      <c r="AJ78">
        <f>SUMPRODUCT((M_BOM[RM_Code]=$A78)*M_BOM[RM_Qty_Per_Batch]*IFERROR(INDEX(PP_Grid[#Data],M_BOM[PPGridRow],36),0))</f>
        <v/>
      </c>
      <c r="AK78">
        <f>SUMPRODUCT((M_BOM[RM_Code]=$A78)*M_BOM[RM_Qty_Per_Batch]*IFERROR(INDEX(PP_Grid[#Data],M_BOM[PPGridRow],37),0))</f>
        <v/>
      </c>
      <c r="AL78">
        <f>SUMPRODUCT((M_BOM[RM_Code]=$A78)*M_BOM[RM_Qty_Per_Batch]*IFERROR(INDEX(PP_Grid[#Data],M_BOM[PPGridRow],38),0))</f>
        <v/>
      </c>
      <c r="AM78">
        <f>SUMPRODUCT((M_BOM[RM_Code]=$A78)*M_BOM[RM_Qty_Per_Batch]*IFERROR(INDEX(PP_Grid[#Data],M_BOM[PPGridRow],39),0))</f>
        <v/>
      </c>
      <c r="AN78">
        <f>SUMPRODUCT((M_BOM[RM_Code]=$A78)*M_BOM[RM_Qty_Per_Batch]*IFERROR(INDEX(PP_Grid[#Data],M_BOM[PPGridRow],40),0))</f>
        <v/>
      </c>
      <c r="AO78">
        <f>SUMPRODUCT((M_BOM[RM_Code]=$A78)*M_BOM[RM_Qty_Per_Batch]*IFERROR(INDEX(PP_Grid[#Data],M_BOM[PPGridRow],41),0))</f>
        <v/>
      </c>
      <c r="AP78">
        <f>SUMPRODUCT((M_BOM[RM_Code]=$A78)*M_BOM[RM_Qty_Per_Batch]*IFERROR(INDEX(PP_Grid[#Data],M_BOM[PPGridRow],42),0))</f>
        <v/>
      </c>
      <c r="AQ78">
        <f>SUMPRODUCT((M_BOM[RM_Code]=$A78)*M_BOM[RM_Qty_Per_Batch]*IFERROR(INDEX(PP_Grid[#Data],M_BOM[PPGridRow],43),0))</f>
        <v/>
      </c>
      <c r="AR78">
        <f>SUMPRODUCT((M_BOM[RM_Code]=$A78)*M_BOM[RM_Qty_Per_Batch]*IFERROR(INDEX(PP_Grid[#Data],M_BOM[PPGridRow],44),0))</f>
        <v/>
      </c>
      <c r="AS78">
        <f>SUMPRODUCT((M_BOM[RM_Code]=$A78)*M_BOM[RM_Qty_Per_Batch]*IFERROR(INDEX(PP_Grid[#Data],M_BOM[PPGridRow],45),0))</f>
        <v/>
      </c>
      <c r="AT78">
        <f>SUMPRODUCT((M_BOM[RM_Code]=$A78)*M_BOM[RM_Qty_Per_Batch]*IFERROR(INDEX(PP_Grid[#Data],M_BOM[PPGridRow],46),0))</f>
        <v/>
      </c>
      <c r="AU78">
        <f>SUMPRODUCT((M_BOM[RM_Code]=$A78)*M_BOM[RM_Qty_Per_Batch]*IFERROR(INDEX(PP_Grid[#Data],M_BOM[PPGridRow],47),0))</f>
        <v/>
      </c>
      <c r="AV78">
        <f>SUMPRODUCT((M_BOM[RM_Code]=$A78)*M_BOM[RM_Qty_Per_Batch]*IFERROR(INDEX(PP_Grid[#Data],M_BOM[PPGridRow],48),0))</f>
        <v/>
      </c>
      <c r="AW78">
        <f>SUMPRODUCT((M_BOM[RM_Code]=$A78)*M_BOM[RM_Qty_Per_Batch]*IFERROR(INDEX(PP_Grid[#Data],M_BOM[PPGridRow],49),0))</f>
        <v/>
      </c>
      <c r="AX78">
        <f>SUMPRODUCT((M_BOM[RM_Code]=$A78)*M_BOM[RM_Qty_Per_Batch]*IFERROR(INDEX(PP_Grid[#Data],M_BOM[PPGridRow],50),0))</f>
        <v/>
      </c>
      <c r="AY78">
        <f>SUMPRODUCT((M_BOM[RM_Code]=$A78)*M_BOM[RM_Qty_Per_Batch]*IFERROR(INDEX(PP_Grid[#Data],M_BOM[PPGridRow],51),0))</f>
        <v/>
      </c>
      <c r="AZ78">
        <f>SUMPRODUCT((M_BOM[RM_Code]=$A78)*M_BOM[RM_Qty_Per_Batch]*IFERROR(INDEX(PP_Grid[#Data],M_BOM[PPGridRow],52),0))</f>
        <v/>
      </c>
      <c r="BA78">
        <f>SUMPRODUCT((M_BOM[RM_Code]=$A78)*M_BOM[RM_Qty_Per_Batch]*IFERROR(INDEX(PP_Grid[#Data],M_BOM[PPGridRow],53),0))</f>
        <v/>
      </c>
      <c r="BB78">
        <f>SUMPRODUCT((M_BOM[RM_Code]=$A78)*M_BOM[RM_Qty_Per_Batch]*IFERROR(INDEX(PP_Grid[#Data],M_BOM[PPGridRow],54),0))</f>
        <v/>
      </c>
      <c r="BC78">
        <f>SUMPRODUCT((M_BOM[RM_Code]=$A78)*M_BOM[RM_Qty_Per_Batch]*IFERROR(INDEX(PP_Grid[#Data],M_BOM[PPGridRow],55),0))</f>
        <v/>
      </c>
      <c r="BD78">
        <f>SUMPRODUCT((M_BOM[RM_Code]=$A78)*M_BOM[RM_Qty_Per_Batch]*IFERROR(INDEX(PP_Grid[#Data],M_BOM[PPGridRow],56),0))</f>
        <v/>
      </c>
      <c r="BE78">
        <f>SUMPRODUCT((M_BOM[RM_Code]=$A78)*M_BOM[RM_Qty_Per_Batch]*IFERROR(INDEX(PP_Grid[#Data],M_BOM[PPGridRow],57),0))</f>
        <v/>
      </c>
      <c r="BF78">
        <f>SUMPRODUCT((M_BOM[RM_Code]=$A78)*M_BOM[RM_Qty_Per_Batch]*IFERROR(INDEX(PP_Grid[#Data],M_BOM[PPGridRow],58),0))</f>
        <v/>
      </c>
      <c r="BG78">
        <f>SUMPRODUCT((M_BOM[RM_Code]=$A78)*M_BOM[RM_Qty_Per_Batch]*IFERROR(INDEX(PP_Grid[#Data],M_BOM[PPGridRow],59),0))</f>
        <v/>
      </c>
      <c r="BH78">
        <f>SUMPRODUCT((M_BOM[RM_Code]=$A78)*M_BOM[RM_Qty_Per_Batch]*IFERROR(INDEX(PP_Grid[#Data],M_BOM[PPGridRow],60),0))</f>
        <v/>
      </c>
      <c r="BI78">
        <f>SUMPRODUCT((M_BOM[RM_Code]=$A78)*M_BOM[RM_Qty_Per_Batch]*IFERROR(INDEX(PP_Grid[#Data],M_BOM[PPGridRow],61),0))</f>
        <v/>
      </c>
      <c r="BJ78">
        <f>SUMPRODUCT((M_BOM[RM_Code]=$A78)*M_BOM[RM_Qty_Per_Batch]*IFERROR(INDEX(PP_Grid[#Data],M_BOM[PPGridRow],62),0))</f>
        <v/>
      </c>
      <c r="BK78">
        <f>SUMPRODUCT((M_BOM[RM_Code]=$A78)*M_BOM[RM_Qty_Per_Batch]*IFERROR(INDEX(PP_Grid[#Data],M_BOM[PPGridRow],63),0))</f>
        <v/>
      </c>
      <c r="BL78">
        <f>SUMPRODUCT((M_BOM[RM_Code]=$A78)*M_BOM[RM_Qty_Per_Batch]*IFERROR(INDEX(PP_Grid[#Data],M_BOM[PPGridRow],64),0))</f>
        <v/>
      </c>
      <c r="BM78">
        <f>SUMPRODUCT((M_BOM[RM_Code]=$A78)*M_BOM[RM_Qty_Per_Batch]*IFERROR(INDEX(PP_Grid[#Data],M_BOM[PPGridRow],65),0))</f>
        <v/>
      </c>
      <c r="BN78">
        <f>SUMPRODUCT((M_BOM[RM_Code]=$A78)*M_BOM[RM_Qty_Per_Batch]*IFERROR(INDEX(PP_Grid[#Data],M_BOM[PPGridRow],66),0))</f>
        <v/>
      </c>
      <c r="BO78">
        <f>SUMPRODUCT((M_BOM[RM_Code]=$A78)*M_BOM[RM_Qty_Per_Batch]*IFERROR(INDEX(PP_Grid[#Data],M_BOM[PPGridRow],67),0))</f>
        <v/>
      </c>
      <c r="BP78">
        <f>SUMPRODUCT((M_BOM[RM_Code]=$A78)*M_BOM[RM_Qty_Per_Batch]*IFERROR(INDEX(PP_Grid[#Data],M_BOM[PPGridRow],68),0))</f>
        <v/>
      </c>
      <c r="BQ78">
        <f>SUMPRODUCT((M_BOM[RM_Code]=$A78)*M_BOM[RM_Qty_Per_Batch]*IFERROR(INDEX(PP_Grid[#Data],M_BOM[PPGridRow],69),0))</f>
        <v/>
      </c>
      <c r="BR78">
        <f>SUMPRODUCT((M_BOM[RM_Code]=$A78)*M_BOM[RM_Qty_Per_Batch]*IFERROR(INDEX(PP_Grid[#Data],M_BOM[PPGridRow],70),0))</f>
        <v/>
      </c>
      <c r="BS78">
        <f>SUMPRODUCT((M_BOM[RM_Code]=$A78)*M_BOM[RM_Qty_Per_Batch]*IFERROR(INDEX(PP_Grid[#Data],M_BOM[PPGridRow],71),0))</f>
        <v/>
      </c>
      <c r="BT78">
        <f>SUMPRODUCT((M_BOM[RM_Code]=$A78)*M_BOM[RM_Qty_Per_Batch]*IFERROR(INDEX(PP_Grid[#Data],M_BOM[PPGridRow],72),0))</f>
        <v/>
      </c>
      <c r="BU78">
        <f>SUMPRODUCT((M_BOM[RM_Code]=$A78)*M_BOM[RM_Qty_Per_Batch]*IFERROR(INDEX(PP_Grid[#Data],M_BOM[PPGridRow],73),0))</f>
        <v/>
      </c>
      <c r="BV78">
        <f>SUMPRODUCT((M_BOM[RM_Code]=$A78)*M_BOM[RM_Qty_Per_Batch]*IFERROR(INDEX(PP_Grid[#Data],M_BOM[PPGridRow],74),0))</f>
        <v/>
      </c>
      <c r="BW78">
        <f>SUMPRODUCT((M_BOM[RM_Code]=$A78)*M_BOM[RM_Qty_Per_Batch]*IFERROR(INDEX(PP_Grid[#Data],M_BOM[PPGridRow],75),0))</f>
        <v/>
      </c>
      <c r="BX78">
        <f>SUMPRODUCT((M_BOM[RM_Code]=$A78)*M_BOM[RM_Qty_Per_Batch]*IFERROR(INDEX(PP_Grid[#Data],M_BOM[PPGridRow],76),0))</f>
        <v/>
      </c>
      <c r="BY78">
        <f>SUMPRODUCT((M_BOM[RM_Code]=$A78)*M_BOM[RM_Qty_Per_Batch]*IFERROR(INDEX(PP_Grid[#Data],M_BOM[PPGridRow],77),0))</f>
        <v/>
      </c>
      <c r="BZ78">
        <f>SUMPRODUCT((M_BOM[RM_Code]=$A78)*M_BOM[RM_Qty_Per_Batch]*IFERROR(INDEX(PP_Grid[#Data],M_BOM[PPGridRow],78),0))</f>
        <v/>
      </c>
      <c r="CA78">
        <f>SUMPRODUCT((M_BOM[RM_Code]=$A78)*M_BOM[RM_Qty_Per_Batch]*IFERROR(INDEX(PP_Grid[#Data],M_BOM[PPGridRow],79),0))</f>
        <v/>
      </c>
      <c r="CB78">
        <f>SUMPRODUCT((M_BOM[RM_Code]=$A78)*M_BOM[RM_Qty_Per_Batch]*IFERROR(INDEX(PP_Grid[#Data],M_BOM[PPGridRow],80),0))</f>
        <v/>
      </c>
      <c r="CC78">
        <f>SUMPRODUCT((M_BOM[RM_Code]=$A78)*M_BOM[RM_Qty_Per_Batch]*IFERROR(INDEX(PP_Grid[#Data],M_BOM[PPGridRow],81),0))</f>
        <v/>
      </c>
      <c r="CD78">
        <f>SUMPRODUCT((M_BOM[RM_Code]=$A78)*M_BOM[RM_Qty_Per_Batch]*IFERROR(INDEX(PP_Grid[#Data],M_BOM[PPGridRow],82),0))</f>
        <v/>
      </c>
      <c r="CE78">
        <f>SUMPRODUCT((M_BOM[RM_Code]=$A78)*M_BOM[RM_Qty_Per_Batch]*IFERROR(INDEX(PP_Grid[#Data],M_BOM[PPGridRow],83),0))</f>
        <v/>
      </c>
      <c r="CF78">
        <f>SUMPRODUCT((M_BOM[RM_Code]=$A78)*M_BOM[RM_Qty_Per_Batch]*IFERROR(INDEX(PP_Grid[#Data],M_BOM[PPGridRow],84),0))</f>
        <v/>
      </c>
      <c r="CG78">
        <f>SUMPRODUCT((M_BOM[RM_Code]=$A78)*M_BOM[RM_Qty_Per_Batch]*IFERROR(INDEX(PP_Grid[#Data],M_BOM[PPGridRow],85),0))</f>
        <v/>
      </c>
      <c r="CH78">
        <f>SUMPRODUCT((M_BOM[RM_Code]=$A78)*M_BOM[RM_Qty_Per_Batch]*IFERROR(INDEX(PP_Grid[#Data],M_BOM[PPGridRow],86),0))</f>
        <v/>
      </c>
      <c r="CI78">
        <f>SUMPRODUCT((M_BOM[RM_Code]=$A78)*M_BOM[RM_Qty_Per_Batch]*IFERROR(INDEX(PP_Grid[#Data],M_BOM[PPGridRow],87),0))</f>
        <v/>
      </c>
      <c r="CJ78">
        <f>SUMPRODUCT((M_BOM[RM_Code]=$A78)*M_BOM[RM_Qty_Per_Batch]*IFERROR(INDEX(PP_Grid[#Data],M_BOM[PPGridRow],88),0))</f>
        <v/>
      </c>
      <c r="CK78">
        <f>SUMPRODUCT((M_BOM[RM_Code]=$A78)*M_BOM[RM_Qty_Per_Batch]*IFERROR(INDEX(PP_Grid[#Data],M_BOM[PPGridRow],89),0))</f>
        <v/>
      </c>
      <c r="CL78">
        <f>SUMPRODUCT((M_BOM[RM_Code]=$A78)*M_BOM[RM_Qty_Per_Batch]*IFERROR(INDEX(PP_Grid[#Data],M_BOM[PPGridRow],90),0))</f>
        <v/>
      </c>
      <c r="CM78">
        <f>SUMPRODUCT((M_BOM[RM_Code]=$A78)*M_BOM[RM_Qty_Per_Batch]*IFERROR(INDEX(PP_Grid[#Data],M_BOM[PPGridRow],91),0))</f>
        <v/>
      </c>
      <c r="CN78">
        <f>SUMPRODUCT((M_BOM[RM_Code]=$A78)*M_BOM[RM_Qty_Per_Batch]*IFERROR(INDEX(PP_Grid[#Data],M_BOM[PPGridRow],92),0))</f>
        <v/>
      </c>
      <c r="CO78">
        <f>SUMPRODUCT((M_BOM[RM_Code]=$A78)*M_BOM[RM_Qty_Per_Batch]*IFERROR(INDEX(PP_Grid[#Data],M_BOM[PPGridRow],93),0))</f>
        <v/>
      </c>
      <c r="CP78">
        <f>SUMPRODUCT((M_BOM[RM_Code]=$A78)*M_BOM[RM_Qty_Per_Batch]*IFERROR(INDEX(PP_Grid[#Data],M_BOM[PPGridRow],94),0))</f>
        <v/>
      </c>
      <c r="CQ78">
        <f>SUMPRODUCT((M_BOM[RM_Code]=$A78)*M_BOM[RM_Qty_Per_Batch]*IFERROR(INDEX(PP_Grid[#Data],M_BOM[PPGridRow],95),0))</f>
        <v/>
      </c>
      <c r="CR78">
        <f>SUMPRODUCT((M_BOM[RM_Code]=$A78)*M_BOM[RM_Qty_Per_Batch]*IFERROR(INDEX(PP_Grid[#Data],M_BOM[PPGridRow],96),0))</f>
        <v/>
      </c>
      <c r="CS78">
        <f>SUMPRODUCT((M_BOM[RM_Code]=$A78)*M_BOM[RM_Qty_Per_Batch]*IFERROR(INDEX(PP_Grid[#Data],M_BOM[PPGridRow],97),0))</f>
        <v/>
      </c>
      <c r="CT78">
        <f>SUMPRODUCT((M_BOM[RM_Code]=$A78)*M_BOM[RM_Qty_Per_Batch]*IFERROR(INDEX(PP_Grid[#Data],M_BOM[PPGridRow],98),0))</f>
        <v/>
      </c>
      <c r="CU78">
        <f>SUMPRODUCT((M_BOM[RM_Code]=$A78)*M_BOM[RM_Qty_Per_Batch]*IFERROR(INDEX(PP_Grid[#Data],M_BOM[PPGridRow],99),0))</f>
        <v/>
      </c>
      <c r="CV78">
        <f>SUMPRODUCT((M_BOM[RM_Code]=$A78)*M_BOM[RM_Qty_Per_Batch]*IFERROR(INDEX(PP_Grid[#Data],M_BOM[PPGridRow],100),0))</f>
        <v/>
      </c>
      <c r="CW78">
        <f>SUMPRODUCT((M_BOM[RM_Code]=$A78)*M_BOM[RM_Qty_Per_Batch]*IFERROR(INDEX(PP_Grid[#Data],M_BOM[PPGridRow],101),0))</f>
        <v/>
      </c>
      <c r="CX78">
        <f>SUMPRODUCT((M_BOM[RM_Code]=$A78)*M_BOM[RM_Qty_Per_Batch]*IFERROR(INDEX(PP_Grid[#Data],M_BOM[PPGridRow],102),0))</f>
        <v/>
      </c>
      <c r="CY78">
        <f>SUMPRODUCT((M_BOM[RM_Code]=$A78)*M_BOM[RM_Qty_Per_Batch]*IFERROR(INDEX(PP_Grid[#Data],M_BOM[PPGridRow],103),0))</f>
        <v/>
      </c>
      <c r="CZ78">
        <f>SUMPRODUCT((M_BOM[RM_Code]=$A78)*M_BOM[RM_Qty_Per_Batch]*IFERROR(INDEX(PP_Grid[#Data],M_BOM[PPGridRow],104),0))</f>
        <v/>
      </c>
      <c r="DA78">
        <f>SUMPRODUCT((M_BOM[RM_Code]=$A78)*M_BOM[RM_Qty_Per_Batch]*IFERROR(INDEX(PP_Grid[#Data],M_BOM[PPGridRow],105),0))</f>
        <v/>
      </c>
    </row>
    <row r="79">
      <c r="A79" t="inlineStr">
        <is>
          <t>Chem-1490</t>
        </is>
      </c>
      <c r="B79">
        <f>SUMPRODUCT((M_BOM[RM_Code]=$A79)*M_BOM[RM_Qty_Per_Batch]*IFERROR(INDEX(PP_Grid[#Data],M_BOM[PPGridRow],2),0))</f>
        <v/>
      </c>
      <c r="C79">
        <f>SUMPRODUCT((M_BOM[RM_Code]=$A79)*M_BOM[RM_Qty_Per_Batch]*IFERROR(INDEX(PP_Grid[#Data],M_BOM[PPGridRow],3),0))</f>
        <v/>
      </c>
      <c r="D79">
        <f>SUMPRODUCT((M_BOM[RM_Code]=$A79)*M_BOM[RM_Qty_Per_Batch]*IFERROR(INDEX(PP_Grid[#Data],M_BOM[PPGridRow],4),0))</f>
        <v/>
      </c>
      <c r="E79">
        <f>SUMPRODUCT((M_BOM[RM_Code]=$A79)*M_BOM[RM_Qty_Per_Batch]*IFERROR(INDEX(PP_Grid[#Data],M_BOM[PPGridRow],5),0))</f>
        <v/>
      </c>
      <c r="F79">
        <f>SUMPRODUCT((M_BOM[RM_Code]=$A79)*M_BOM[RM_Qty_Per_Batch]*IFERROR(INDEX(PP_Grid[#Data],M_BOM[PPGridRow],6),0))</f>
        <v/>
      </c>
      <c r="G79">
        <f>SUMPRODUCT((M_BOM[RM_Code]=$A79)*M_BOM[RM_Qty_Per_Batch]*IFERROR(INDEX(PP_Grid[#Data],M_BOM[PPGridRow],7),0))</f>
        <v/>
      </c>
      <c r="H79">
        <f>SUMPRODUCT((M_BOM[RM_Code]=$A79)*M_BOM[RM_Qty_Per_Batch]*IFERROR(INDEX(PP_Grid[#Data],M_BOM[PPGridRow],8),0))</f>
        <v/>
      </c>
      <c r="I79">
        <f>SUMPRODUCT((M_BOM[RM_Code]=$A79)*M_BOM[RM_Qty_Per_Batch]*IFERROR(INDEX(PP_Grid[#Data],M_BOM[PPGridRow],9),0))</f>
        <v/>
      </c>
      <c r="J79">
        <f>SUMPRODUCT((M_BOM[RM_Code]=$A79)*M_BOM[RM_Qty_Per_Batch]*IFERROR(INDEX(PP_Grid[#Data],M_BOM[PPGridRow],10),0))</f>
        <v/>
      </c>
      <c r="K79">
        <f>SUMPRODUCT((M_BOM[RM_Code]=$A79)*M_BOM[RM_Qty_Per_Batch]*IFERROR(INDEX(PP_Grid[#Data],M_BOM[PPGridRow],11),0))</f>
        <v/>
      </c>
      <c r="L79">
        <f>SUMPRODUCT((M_BOM[RM_Code]=$A79)*M_BOM[RM_Qty_Per_Batch]*IFERROR(INDEX(PP_Grid[#Data],M_BOM[PPGridRow],12),0))</f>
        <v/>
      </c>
      <c r="M79">
        <f>SUMPRODUCT((M_BOM[RM_Code]=$A79)*M_BOM[RM_Qty_Per_Batch]*IFERROR(INDEX(PP_Grid[#Data],M_BOM[PPGridRow],13),0))</f>
        <v/>
      </c>
      <c r="N79">
        <f>SUMPRODUCT((M_BOM[RM_Code]=$A79)*M_BOM[RM_Qty_Per_Batch]*IFERROR(INDEX(PP_Grid[#Data],M_BOM[PPGridRow],14),0))</f>
        <v/>
      </c>
      <c r="O79">
        <f>SUMPRODUCT((M_BOM[RM_Code]=$A79)*M_BOM[RM_Qty_Per_Batch]*IFERROR(INDEX(PP_Grid[#Data],M_BOM[PPGridRow],15),0))</f>
        <v/>
      </c>
      <c r="P79">
        <f>SUMPRODUCT((M_BOM[RM_Code]=$A79)*M_BOM[RM_Qty_Per_Batch]*IFERROR(INDEX(PP_Grid[#Data],M_BOM[PPGridRow],16),0))</f>
        <v/>
      </c>
      <c r="Q79">
        <f>SUMPRODUCT((M_BOM[RM_Code]=$A79)*M_BOM[RM_Qty_Per_Batch]*IFERROR(INDEX(PP_Grid[#Data],M_BOM[PPGridRow],17),0))</f>
        <v/>
      </c>
      <c r="R79">
        <f>SUMPRODUCT((M_BOM[RM_Code]=$A79)*M_BOM[RM_Qty_Per_Batch]*IFERROR(INDEX(PP_Grid[#Data],M_BOM[PPGridRow],18),0))</f>
        <v/>
      </c>
      <c r="S79">
        <f>SUMPRODUCT((M_BOM[RM_Code]=$A79)*M_BOM[RM_Qty_Per_Batch]*IFERROR(INDEX(PP_Grid[#Data],M_BOM[PPGridRow],19),0))</f>
        <v/>
      </c>
      <c r="T79">
        <f>SUMPRODUCT((M_BOM[RM_Code]=$A79)*M_BOM[RM_Qty_Per_Batch]*IFERROR(INDEX(PP_Grid[#Data],M_BOM[PPGridRow],20),0))</f>
        <v/>
      </c>
      <c r="U79">
        <f>SUMPRODUCT((M_BOM[RM_Code]=$A79)*M_BOM[RM_Qty_Per_Batch]*IFERROR(INDEX(PP_Grid[#Data],M_BOM[PPGridRow],21),0))</f>
        <v/>
      </c>
      <c r="V79">
        <f>SUMPRODUCT((M_BOM[RM_Code]=$A79)*M_BOM[RM_Qty_Per_Batch]*IFERROR(INDEX(PP_Grid[#Data],M_BOM[PPGridRow],22),0))</f>
        <v/>
      </c>
      <c r="W79">
        <f>SUMPRODUCT((M_BOM[RM_Code]=$A79)*M_BOM[RM_Qty_Per_Batch]*IFERROR(INDEX(PP_Grid[#Data],M_BOM[PPGridRow],23),0))</f>
        <v/>
      </c>
      <c r="X79">
        <f>SUMPRODUCT((M_BOM[RM_Code]=$A79)*M_BOM[RM_Qty_Per_Batch]*IFERROR(INDEX(PP_Grid[#Data],M_BOM[PPGridRow],24),0))</f>
        <v/>
      </c>
      <c r="Y79">
        <f>SUMPRODUCT((M_BOM[RM_Code]=$A79)*M_BOM[RM_Qty_Per_Batch]*IFERROR(INDEX(PP_Grid[#Data],M_BOM[PPGridRow],25),0))</f>
        <v/>
      </c>
      <c r="Z79">
        <f>SUMPRODUCT((M_BOM[RM_Code]=$A79)*M_BOM[RM_Qty_Per_Batch]*IFERROR(INDEX(PP_Grid[#Data],M_BOM[PPGridRow],26),0))</f>
        <v/>
      </c>
      <c r="AA79">
        <f>SUMPRODUCT((M_BOM[RM_Code]=$A79)*M_BOM[RM_Qty_Per_Batch]*IFERROR(INDEX(PP_Grid[#Data],M_BOM[PPGridRow],27),0))</f>
        <v/>
      </c>
      <c r="AB79">
        <f>SUMPRODUCT((M_BOM[RM_Code]=$A79)*M_BOM[RM_Qty_Per_Batch]*IFERROR(INDEX(PP_Grid[#Data],M_BOM[PPGridRow],28),0))</f>
        <v/>
      </c>
      <c r="AC79">
        <f>SUMPRODUCT((M_BOM[RM_Code]=$A79)*M_BOM[RM_Qty_Per_Batch]*IFERROR(INDEX(PP_Grid[#Data],M_BOM[PPGridRow],29),0))</f>
        <v/>
      </c>
      <c r="AD79">
        <f>SUMPRODUCT((M_BOM[RM_Code]=$A79)*M_BOM[RM_Qty_Per_Batch]*IFERROR(INDEX(PP_Grid[#Data],M_BOM[PPGridRow],30),0))</f>
        <v/>
      </c>
      <c r="AE79">
        <f>SUMPRODUCT((M_BOM[RM_Code]=$A79)*M_BOM[RM_Qty_Per_Batch]*IFERROR(INDEX(PP_Grid[#Data],M_BOM[PPGridRow],31),0))</f>
        <v/>
      </c>
      <c r="AF79">
        <f>SUMPRODUCT((M_BOM[RM_Code]=$A79)*M_BOM[RM_Qty_Per_Batch]*IFERROR(INDEX(PP_Grid[#Data],M_BOM[PPGridRow],32),0))</f>
        <v/>
      </c>
      <c r="AG79">
        <f>SUMPRODUCT((M_BOM[RM_Code]=$A79)*M_BOM[RM_Qty_Per_Batch]*IFERROR(INDEX(PP_Grid[#Data],M_BOM[PPGridRow],33),0))</f>
        <v/>
      </c>
      <c r="AH79">
        <f>SUMPRODUCT((M_BOM[RM_Code]=$A79)*M_BOM[RM_Qty_Per_Batch]*IFERROR(INDEX(PP_Grid[#Data],M_BOM[PPGridRow],34),0))</f>
        <v/>
      </c>
      <c r="AI79">
        <f>SUMPRODUCT((M_BOM[RM_Code]=$A79)*M_BOM[RM_Qty_Per_Batch]*IFERROR(INDEX(PP_Grid[#Data],M_BOM[PPGridRow],35),0))</f>
        <v/>
      </c>
      <c r="AJ79">
        <f>SUMPRODUCT((M_BOM[RM_Code]=$A79)*M_BOM[RM_Qty_Per_Batch]*IFERROR(INDEX(PP_Grid[#Data],M_BOM[PPGridRow],36),0))</f>
        <v/>
      </c>
      <c r="AK79">
        <f>SUMPRODUCT((M_BOM[RM_Code]=$A79)*M_BOM[RM_Qty_Per_Batch]*IFERROR(INDEX(PP_Grid[#Data],M_BOM[PPGridRow],37),0))</f>
        <v/>
      </c>
      <c r="AL79">
        <f>SUMPRODUCT((M_BOM[RM_Code]=$A79)*M_BOM[RM_Qty_Per_Batch]*IFERROR(INDEX(PP_Grid[#Data],M_BOM[PPGridRow],38),0))</f>
        <v/>
      </c>
      <c r="AM79">
        <f>SUMPRODUCT((M_BOM[RM_Code]=$A79)*M_BOM[RM_Qty_Per_Batch]*IFERROR(INDEX(PP_Grid[#Data],M_BOM[PPGridRow],39),0))</f>
        <v/>
      </c>
      <c r="AN79">
        <f>SUMPRODUCT((M_BOM[RM_Code]=$A79)*M_BOM[RM_Qty_Per_Batch]*IFERROR(INDEX(PP_Grid[#Data],M_BOM[PPGridRow],40),0))</f>
        <v/>
      </c>
      <c r="AO79">
        <f>SUMPRODUCT((M_BOM[RM_Code]=$A79)*M_BOM[RM_Qty_Per_Batch]*IFERROR(INDEX(PP_Grid[#Data],M_BOM[PPGridRow],41),0))</f>
        <v/>
      </c>
      <c r="AP79">
        <f>SUMPRODUCT((M_BOM[RM_Code]=$A79)*M_BOM[RM_Qty_Per_Batch]*IFERROR(INDEX(PP_Grid[#Data],M_BOM[PPGridRow],42),0))</f>
        <v/>
      </c>
      <c r="AQ79">
        <f>SUMPRODUCT((M_BOM[RM_Code]=$A79)*M_BOM[RM_Qty_Per_Batch]*IFERROR(INDEX(PP_Grid[#Data],M_BOM[PPGridRow],43),0))</f>
        <v/>
      </c>
      <c r="AR79">
        <f>SUMPRODUCT((M_BOM[RM_Code]=$A79)*M_BOM[RM_Qty_Per_Batch]*IFERROR(INDEX(PP_Grid[#Data],M_BOM[PPGridRow],44),0))</f>
        <v/>
      </c>
      <c r="AS79">
        <f>SUMPRODUCT((M_BOM[RM_Code]=$A79)*M_BOM[RM_Qty_Per_Batch]*IFERROR(INDEX(PP_Grid[#Data],M_BOM[PPGridRow],45),0))</f>
        <v/>
      </c>
      <c r="AT79">
        <f>SUMPRODUCT((M_BOM[RM_Code]=$A79)*M_BOM[RM_Qty_Per_Batch]*IFERROR(INDEX(PP_Grid[#Data],M_BOM[PPGridRow],46),0))</f>
        <v/>
      </c>
      <c r="AU79">
        <f>SUMPRODUCT((M_BOM[RM_Code]=$A79)*M_BOM[RM_Qty_Per_Batch]*IFERROR(INDEX(PP_Grid[#Data],M_BOM[PPGridRow],47),0))</f>
        <v/>
      </c>
      <c r="AV79">
        <f>SUMPRODUCT((M_BOM[RM_Code]=$A79)*M_BOM[RM_Qty_Per_Batch]*IFERROR(INDEX(PP_Grid[#Data],M_BOM[PPGridRow],48),0))</f>
        <v/>
      </c>
      <c r="AW79">
        <f>SUMPRODUCT((M_BOM[RM_Code]=$A79)*M_BOM[RM_Qty_Per_Batch]*IFERROR(INDEX(PP_Grid[#Data],M_BOM[PPGridRow],49),0))</f>
        <v/>
      </c>
      <c r="AX79">
        <f>SUMPRODUCT((M_BOM[RM_Code]=$A79)*M_BOM[RM_Qty_Per_Batch]*IFERROR(INDEX(PP_Grid[#Data],M_BOM[PPGridRow],50),0))</f>
        <v/>
      </c>
      <c r="AY79">
        <f>SUMPRODUCT((M_BOM[RM_Code]=$A79)*M_BOM[RM_Qty_Per_Batch]*IFERROR(INDEX(PP_Grid[#Data],M_BOM[PPGridRow],51),0))</f>
        <v/>
      </c>
      <c r="AZ79">
        <f>SUMPRODUCT((M_BOM[RM_Code]=$A79)*M_BOM[RM_Qty_Per_Batch]*IFERROR(INDEX(PP_Grid[#Data],M_BOM[PPGridRow],52),0))</f>
        <v/>
      </c>
      <c r="BA79">
        <f>SUMPRODUCT((M_BOM[RM_Code]=$A79)*M_BOM[RM_Qty_Per_Batch]*IFERROR(INDEX(PP_Grid[#Data],M_BOM[PPGridRow],53),0))</f>
        <v/>
      </c>
      <c r="BB79">
        <f>SUMPRODUCT((M_BOM[RM_Code]=$A79)*M_BOM[RM_Qty_Per_Batch]*IFERROR(INDEX(PP_Grid[#Data],M_BOM[PPGridRow],54),0))</f>
        <v/>
      </c>
      <c r="BC79">
        <f>SUMPRODUCT((M_BOM[RM_Code]=$A79)*M_BOM[RM_Qty_Per_Batch]*IFERROR(INDEX(PP_Grid[#Data],M_BOM[PPGridRow],55),0))</f>
        <v/>
      </c>
      <c r="BD79">
        <f>SUMPRODUCT((M_BOM[RM_Code]=$A79)*M_BOM[RM_Qty_Per_Batch]*IFERROR(INDEX(PP_Grid[#Data],M_BOM[PPGridRow],56),0))</f>
        <v/>
      </c>
      <c r="BE79">
        <f>SUMPRODUCT((M_BOM[RM_Code]=$A79)*M_BOM[RM_Qty_Per_Batch]*IFERROR(INDEX(PP_Grid[#Data],M_BOM[PPGridRow],57),0))</f>
        <v/>
      </c>
      <c r="BF79">
        <f>SUMPRODUCT((M_BOM[RM_Code]=$A79)*M_BOM[RM_Qty_Per_Batch]*IFERROR(INDEX(PP_Grid[#Data],M_BOM[PPGridRow],58),0))</f>
        <v/>
      </c>
      <c r="BG79">
        <f>SUMPRODUCT((M_BOM[RM_Code]=$A79)*M_BOM[RM_Qty_Per_Batch]*IFERROR(INDEX(PP_Grid[#Data],M_BOM[PPGridRow],59),0))</f>
        <v/>
      </c>
      <c r="BH79">
        <f>SUMPRODUCT((M_BOM[RM_Code]=$A79)*M_BOM[RM_Qty_Per_Batch]*IFERROR(INDEX(PP_Grid[#Data],M_BOM[PPGridRow],60),0))</f>
        <v/>
      </c>
      <c r="BI79">
        <f>SUMPRODUCT((M_BOM[RM_Code]=$A79)*M_BOM[RM_Qty_Per_Batch]*IFERROR(INDEX(PP_Grid[#Data],M_BOM[PPGridRow],61),0))</f>
        <v/>
      </c>
      <c r="BJ79">
        <f>SUMPRODUCT((M_BOM[RM_Code]=$A79)*M_BOM[RM_Qty_Per_Batch]*IFERROR(INDEX(PP_Grid[#Data],M_BOM[PPGridRow],62),0))</f>
        <v/>
      </c>
      <c r="BK79">
        <f>SUMPRODUCT((M_BOM[RM_Code]=$A79)*M_BOM[RM_Qty_Per_Batch]*IFERROR(INDEX(PP_Grid[#Data],M_BOM[PPGridRow],63),0))</f>
        <v/>
      </c>
      <c r="BL79">
        <f>SUMPRODUCT((M_BOM[RM_Code]=$A79)*M_BOM[RM_Qty_Per_Batch]*IFERROR(INDEX(PP_Grid[#Data],M_BOM[PPGridRow],64),0))</f>
        <v/>
      </c>
      <c r="BM79">
        <f>SUMPRODUCT((M_BOM[RM_Code]=$A79)*M_BOM[RM_Qty_Per_Batch]*IFERROR(INDEX(PP_Grid[#Data],M_BOM[PPGridRow],65),0))</f>
        <v/>
      </c>
      <c r="BN79">
        <f>SUMPRODUCT((M_BOM[RM_Code]=$A79)*M_BOM[RM_Qty_Per_Batch]*IFERROR(INDEX(PP_Grid[#Data],M_BOM[PPGridRow],66),0))</f>
        <v/>
      </c>
      <c r="BO79">
        <f>SUMPRODUCT((M_BOM[RM_Code]=$A79)*M_BOM[RM_Qty_Per_Batch]*IFERROR(INDEX(PP_Grid[#Data],M_BOM[PPGridRow],67),0))</f>
        <v/>
      </c>
      <c r="BP79">
        <f>SUMPRODUCT((M_BOM[RM_Code]=$A79)*M_BOM[RM_Qty_Per_Batch]*IFERROR(INDEX(PP_Grid[#Data],M_BOM[PPGridRow],68),0))</f>
        <v/>
      </c>
      <c r="BQ79">
        <f>SUMPRODUCT((M_BOM[RM_Code]=$A79)*M_BOM[RM_Qty_Per_Batch]*IFERROR(INDEX(PP_Grid[#Data],M_BOM[PPGridRow],69),0))</f>
        <v/>
      </c>
      <c r="BR79">
        <f>SUMPRODUCT((M_BOM[RM_Code]=$A79)*M_BOM[RM_Qty_Per_Batch]*IFERROR(INDEX(PP_Grid[#Data],M_BOM[PPGridRow],70),0))</f>
        <v/>
      </c>
      <c r="BS79">
        <f>SUMPRODUCT((M_BOM[RM_Code]=$A79)*M_BOM[RM_Qty_Per_Batch]*IFERROR(INDEX(PP_Grid[#Data],M_BOM[PPGridRow],71),0))</f>
        <v/>
      </c>
      <c r="BT79">
        <f>SUMPRODUCT((M_BOM[RM_Code]=$A79)*M_BOM[RM_Qty_Per_Batch]*IFERROR(INDEX(PP_Grid[#Data],M_BOM[PPGridRow],72),0))</f>
        <v/>
      </c>
      <c r="BU79">
        <f>SUMPRODUCT((M_BOM[RM_Code]=$A79)*M_BOM[RM_Qty_Per_Batch]*IFERROR(INDEX(PP_Grid[#Data],M_BOM[PPGridRow],73),0))</f>
        <v/>
      </c>
      <c r="BV79">
        <f>SUMPRODUCT((M_BOM[RM_Code]=$A79)*M_BOM[RM_Qty_Per_Batch]*IFERROR(INDEX(PP_Grid[#Data],M_BOM[PPGridRow],74),0))</f>
        <v/>
      </c>
      <c r="BW79">
        <f>SUMPRODUCT((M_BOM[RM_Code]=$A79)*M_BOM[RM_Qty_Per_Batch]*IFERROR(INDEX(PP_Grid[#Data],M_BOM[PPGridRow],75),0))</f>
        <v/>
      </c>
      <c r="BX79">
        <f>SUMPRODUCT((M_BOM[RM_Code]=$A79)*M_BOM[RM_Qty_Per_Batch]*IFERROR(INDEX(PP_Grid[#Data],M_BOM[PPGridRow],76),0))</f>
        <v/>
      </c>
      <c r="BY79">
        <f>SUMPRODUCT((M_BOM[RM_Code]=$A79)*M_BOM[RM_Qty_Per_Batch]*IFERROR(INDEX(PP_Grid[#Data],M_BOM[PPGridRow],77),0))</f>
        <v/>
      </c>
      <c r="BZ79">
        <f>SUMPRODUCT((M_BOM[RM_Code]=$A79)*M_BOM[RM_Qty_Per_Batch]*IFERROR(INDEX(PP_Grid[#Data],M_BOM[PPGridRow],78),0))</f>
        <v/>
      </c>
      <c r="CA79">
        <f>SUMPRODUCT((M_BOM[RM_Code]=$A79)*M_BOM[RM_Qty_Per_Batch]*IFERROR(INDEX(PP_Grid[#Data],M_BOM[PPGridRow],79),0))</f>
        <v/>
      </c>
      <c r="CB79">
        <f>SUMPRODUCT((M_BOM[RM_Code]=$A79)*M_BOM[RM_Qty_Per_Batch]*IFERROR(INDEX(PP_Grid[#Data],M_BOM[PPGridRow],80),0))</f>
        <v/>
      </c>
      <c r="CC79">
        <f>SUMPRODUCT((M_BOM[RM_Code]=$A79)*M_BOM[RM_Qty_Per_Batch]*IFERROR(INDEX(PP_Grid[#Data],M_BOM[PPGridRow],81),0))</f>
        <v/>
      </c>
      <c r="CD79">
        <f>SUMPRODUCT((M_BOM[RM_Code]=$A79)*M_BOM[RM_Qty_Per_Batch]*IFERROR(INDEX(PP_Grid[#Data],M_BOM[PPGridRow],82),0))</f>
        <v/>
      </c>
      <c r="CE79">
        <f>SUMPRODUCT((M_BOM[RM_Code]=$A79)*M_BOM[RM_Qty_Per_Batch]*IFERROR(INDEX(PP_Grid[#Data],M_BOM[PPGridRow],83),0))</f>
        <v/>
      </c>
      <c r="CF79">
        <f>SUMPRODUCT((M_BOM[RM_Code]=$A79)*M_BOM[RM_Qty_Per_Batch]*IFERROR(INDEX(PP_Grid[#Data],M_BOM[PPGridRow],84),0))</f>
        <v/>
      </c>
      <c r="CG79">
        <f>SUMPRODUCT((M_BOM[RM_Code]=$A79)*M_BOM[RM_Qty_Per_Batch]*IFERROR(INDEX(PP_Grid[#Data],M_BOM[PPGridRow],85),0))</f>
        <v/>
      </c>
      <c r="CH79">
        <f>SUMPRODUCT((M_BOM[RM_Code]=$A79)*M_BOM[RM_Qty_Per_Batch]*IFERROR(INDEX(PP_Grid[#Data],M_BOM[PPGridRow],86),0))</f>
        <v/>
      </c>
      <c r="CI79">
        <f>SUMPRODUCT((M_BOM[RM_Code]=$A79)*M_BOM[RM_Qty_Per_Batch]*IFERROR(INDEX(PP_Grid[#Data],M_BOM[PPGridRow],87),0))</f>
        <v/>
      </c>
      <c r="CJ79">
        <f>SUMPRODUCT((M_BOM[RM_Code]=$A79)*M_BOM[RM_Qty_Per_Batch]*IFERROR(INDEX(PP_Grid[#Data],M_BOM[PPGridRow],88),0))</f>
        <v/>
      </c>
      <c r="CK79">
        <f>SUMPRODUCT((M_BOM[RM_Code]=$A79)*M_BOM[RM_Qty_Per_Batch]*IFERROR(INDEX(PP_Grid[#Data],M_BOM[PPGridRow],89),0))</f>
        <v/>
      </c>
      <c r="CL79">
        <f>SUMPRODUCT((M_BOM[RM_Code]=$A79)*M_BOM[RM_Qty_Per_Batch]*IFERROR(INDEX(PP_Grid[#Data],M_BOM[PPGridRow],90),0))</f>
        <v/>
      </c>
      <c r="CM79">
        <f>SUMPRODUCT((M_BOM[RM_Code]=$A79)*M_BOM[RM_Qty_Per_Batch]*IFERROR(INDEX(PP_Grid[#Data],M_BOM[PPGridRow],91),0))</f>
        <v/>
      </c>
      <c r="CN79">
        <f>SUMPRODUCT((M_BOM[RM_Code]=$A79)*M_BOM[RM_Qty_Per_Batch]*IFERROR(INDEX(PP_Grid[#Data],M_BOM[PPGridRow],92),0))</f>
        <v/>
      </c>
      <c r="CO79">
        <f>SUMPRODUCT((M_BOM[RM_Code]=$A79)*M_BOM[RM_Qty_Per_Batch]*IFERROR(INDEX(PP_Grid[#Data],M_BOM[PPGridRow],93),0))</f>
        <v/>
      </c>
      <c r="CP79">
        <f>SUMPRODUCT((M_BOM[RM_Code]=$A79)*M_BOM[RM_Qty_Per_Batch]*IFERROR(INDEX(PP_Grid[#Data],M_BOM[PPGridRow],94),0))</f>
        <v/>
      </c>
      <c r="CQ79">
        <f>SUMPRODUCT((M_BOM[RM_Code]=$A79)*M_BOM[RM_Qty_Per_Batch]*IFERROR(INDEX(PP_Grid[#Data],M_BOM[PPGridRow],95),0))</f>
        <v/>
      </c>
      <c r="CR79">
        <f>SUMPRODUCT((M_BOM[RM_Code]=$A79)*M_BOM[RM_Qty_Per_Batch]*IFERROR(INDEX(PP_Grid[#Data],M_BOM[PPGridRow],96),0))</f>
        <v/>
      </c>
      <c r="CS79">
        <f>SUMPRODUCT((M_BOM[RM_Code]=$A79)*M_BOM[RM_Qty_Per_Batch]*IFERROR(INDEX(PP_Grid[#Data],M_BOM[PPGridRow],97),0))</f>
        <v/>
      </c>
      <c r="CT79">
        <f>SUMPRODUCT((M_BOM[RM_Code]=$A79)*M_BOM[RM_Qty_Per_Batch]*IFERROR(INDEX(PP_Grid[#Data],M_BOM[PPGridRow],98),0))</f>
        <v/>
      </c>
      <c r="CU79">
        <f>SUMPRODUCT((M_BOM[RM_Code]=$A79)*M_BOM[RM_Qty_Per_Batch]*IFERROR(INDEX(PP_Grid[#Data],M_BOM[PPGridRow],99),0))</f>
        <v/>
      </c>
      <c r="CV79">
        <f>SUMPRODUCT((M_BOM[RM_Code]=$A79)*M_BOM[RM_Qty_Per_Batch]*IFERROR(INDEX(PP_Grid[#Data],M_BOM[PPGridRow],100),0))</f>
        <v/>
      </c>
      <c r="CW79">
        <f>SUMPRODUCT((M_BOM[RM_Code]=$A79)*M_BOM[RM_Qty_Per_Batch]*IFERROR(INDEX(PP_Grid[#Data],M_BOM[PPGridRow],101),0))</f>
        <v/>
      </c>
      <c r="CX79">
        <f>SUMPRODUCT((M_BOM[RM_Code]=$A79)*M_BOM[RM_Qty_Per_Batch]*IFERROR(INDEX(PP_Grid[#Data],M_BOM[PPGridRow],102),0))</f>
        <v/>
      </c>
      <c r="CY79">
        <f>SUMPRODUCT((M_BOM[RM_Code]=$A79)*M_BOM[RM_Qty_Per_Batch]*IFERROR(INDEX(PP_Grid[#Data],M_BOM[PPGridRow],103),0))</f>
        <v/>
      </c>
      <c r="CZ79">
        <f>SUMPRODUCT((M_BOM[RM_Code]=$A79)*M_BOM[RM_Qty_Per_Batch]*IFERROR(INDEX(PP_Grid[#Data],M_BOM[PPGridRow],104),0))</f>
        <v/>
      </c>
      <c r="DA79">
        <f>SUMPRODUCT((M_BOM[RM_Code]=$A79)*M_BOM[RM_Qty_Per_Batch]*IFERROR(INDEX(PP_Grid[#Data],M_BOM[PPGridRow],105),0))</f>
        <v/>
      </c>
    </row>
    <row r="80">
      <c r="A80" t="inlineStr">
        <is>
          <t>Chem-1790</t>
        </is>
      </c>
      <c r="B80">
        <f>SUMPRODUCT((M_BOM[RM_Code]=$A80)*M_BOM[RM_Qty_Per_Batch]*IFERROR(INDEX(PP_Grid[#Data],M_BOM[PPGridRow],2),0))</f>
        <v/>
      </c>
      <c r="C80">
        <f>SUMPRODUCT((M_BOM[RM_Code]=$A80)*M_BOM[RM_Qty_Per_Batch]*IFERROR(INDEX(PP_Grid[#Data],M_BOM[PPGridRow],3),0))</f>
        <v/>
      </c>
      <c r="D80">
        <f>SUMPRODUCT((M_BOM[RM_Code]=$A80)*M_BOM[RM_Qty_Per_Batch]*IFERROR(INDEX(PP_Grid[#Data],M_BOM[PPGridRow],4),0))</f>
        <v/>
      </c>
      <c r="E80">
        <f>SUMPRODUCT((M_BOM[RM_Code]=$A80)*M_BOM[RM_Qty_Per_Batch]*IFERROR(INDEX(PP_Grid[#Data],M_BOM[PPGridRow],5),0))</f>
        <v/>
      </c>
      <c r="F80">
        <f>SUMPRODUCT((M_BOM[RM_Code]=$A80)*M_BOM[RM_Qty_Per_Batch]*IFERROR(INDEX(PP_Grid[#Data],M_BOM[PPGridRow],6),0))</f>
        <v/>
      </c>
      <c r="G80">
        <f>SUMPRODUCT((M_BOM[RM_Code]=$A80)*M_BOM[RM_Qty_Per_Batch]*IFERROR(INDEX(PP_Grid[#Data],M_BOM[PPGridRow],7),0))</f>
        <v/>
      </c>
      <c r="H80">
        <f>SUMPRODUCT((M_BOM[RM_Code]=$A80)*M_BOM[RM_Qty_Per_Batch]*IFERROR(INDEX(PP_Grid[#Data],M_BOM[PPGridRow],8),0))</f>
        <v/>
      </c>
      <c r="I80">
        <f>SUMPRODUCT((M_BOM[RM_Code]=$A80)*M_BOM[RM_Qty_Per_Batch]*IFERROR(INDEX(PP_Grid[#Data],M_BOM[PPGridRow],9),0))</f>
        <v/>
      </c>
      <c r="J80">
        <f>SUMPRODUCT((M_BOM[RM_Code]=$A80)*M_BOM[RM_Qty_Per_Batch]*IFERROR(INDEX(PP_Grid[#Data],M_BOM[PPGridRow],10),0))</f>
        <v/>
      </c>
      <c r="K80">
        <f>SUMPRODUCT((M_BOM[RM_Code]=$A80)*M_BOM[RM_Qty_Per_Batch]*IFERROR(INDEX(PP_Grid[#Data],M_BOM[PPGridRow],11),0))</f>
        <v/>
      </c>
      <c r="L80">
        <f>SUMPRODUCT((M_BOM[RM_Code]=$A80)*M_BOM[RM_Qty_Per_Batch]*IFERROR(INDEX(PP_Grid[#Data],M_BOM[PPGridRow],12),0))</f>
        <v/>
      </c>
      <c r="M80">
        <f>SUMPRODUCT((M_BOM[RM_Code]=$A80)*M_BOM[RM_Qty_Per_Batch]*IFERROR(INDEX(PP_Grid[#Data],M_BOM[PPGridRow],13),0))</f>
        <v/>
      </c>
      <c r="N80">
        <f>SUMPRODUCT((M_BOM[RM_Code]=$A80)*M_BOM[RM_Qty_Per_Batch]*IFERROR(INDEX(PP_Grid[#Data],M_BOM[PPGridRow],14),0))</f>
        <v/>
      </c>
      <c r="O80">
        <f>SUMPRODUCT((M_BOM[RM_Code]=$A80)*M_BOM[RM_Qty_Per_Batch]*IFERROR(INDEX(PP_Grid[#Data],M_BOM[PPGridRow],15),0))</f>
        <v/>
      </c>
      <c r="P80">
        <f>SUMPRODUCT((M_BOM[RM_Code]=$A80)*M_BOM[RM_Qty_Per_Batch]*IFERROR(INDEX(PP_Grid[#Data],M_BOM[PPGridRow],16),0))</f>
        <v/>
      </c>
      <c r="Q80">
        <f>SUMPRODUCT((M_BOM[RM_Code]=$A80)*M_BOM[RM_Qty_Per_Batch]*IFERROR(INDEX(PP_Grid[#Data],M_BOM[PPGridRow],17),0))</f>
        <v/>
      </c>
      <c r="R80">
        <f>SUMPRODUCT((M_BOM[RM_Code]=$A80)*M_BOM[RM_Qty_Per_Batch]*IFERROR(INDEX(PP_Grid[#Data],M_BOM[PPGridRow],18),0))</f>
        <v/>
      </c>
      <c r="S80">
        <f>SUMPRODUCT((M_BOM[RM_Code]=$A80)*M_BOM[RM_Qty_Per_Batch]*IFERROR(INDEX(PP_Grid[#Data],M_BOM[PPGridRow],19),0))</f>
        <v/>
      </c>
      <c r="T80">
        <f>SUMPRODUCT((M_BOM[RM_Code]=$A80)*M_BOM[RM_Qty_Per_Batch]*IFERROR(INDEX(PP_Grid[#Data],M_BOM[PPGridRow],20),0))</f>
        <v/>
      </c>
      <c r="U80">
        <f>SUMPRODUCT((M_BOM[RM_Code]=$A80)*M_BOM[RM_Qty_Per_Batch]*IFERROR(INDEX(PP_Grid[#Data],M_BOM[PPGridRow],21),0))</f>
        <v/>
      </c>
      <c r="V80">
        <f>SUMPRODUCT((M_BOM[RM_Code]=$A80)*M_BOM[RM_Qty_Per_Batch]*IFERROR(INDEX(PP_Grid[#Data],M_BOM[PPGridRow],22),0))</f>
        <v/>
      </c>
      <c r="W80">
        <f>SUMPRODUCT((M_BOM[RM_Code]=$A80)*M_BOM[RM_Qty_Per_Batch]*IFERROR(INDEX(PP_Grid[#Data],M_BOM[PPGridRow],23),0))</f>
        <v/>
      </c>
      <c r="X80">
        <f>SUMPRODUCT((M_BOM[RM_Code]=$A80)*M_BOM[RM_Qty_Per_Batch]*IFERROR(INDEX(PP_Grid[#Data],M_BOM[PPGridRow],24),0))</f>
        <v/>
      </c>
      <c r="Y80">
        <f>SUMPRODUCT((M_BOM[RM_Code]=$A80)*M_BOM[RM_Qty_Per_Batch]*IFERROR(INDEX(PP_Grid[#Data],M_BOM[PPGridRow],25),0))</f>
        <v/>
      </c>
      <c r="Z80">
        <f>SUMPRODUCT((M_BOM[RM_Code]=$A80)*M_BOM[RM_Qty_Per_Batch]*IFERROR(INDEX(PP_Grid[#Data],M_BOM[PPGridRow],26),0))</f>
        <v/>
      </c>
      <c r="AA80">
        <f>SUMPRODUCT((M_BOM[RM_Code]=$A80)*M_BOM[RM_Qty_Per_Batch]*IFERROR(INDEX(PP_Grid[#Data],M_BOM[PPGridRow],27),0))</f>
        <v/>
      </c>
      <c r="AB80">
        <f>SUMPRODUCT((M_BOM[RM_Code]=$A80)*M_BOM[RM_Qty_Per_Batch]*IFERROR(INDEX(PP_Grid[#Data],M_BOM[PPGridRow],28),0))</f>
        <v/>
      </c>
      <c r="AC80">
        <f>SUMPRODUCT((M_BOM[RM_Code]=$A80)*M_BOM[RM_Qty_Per_Batch]*IFERROR(INDEX(PP_Grid[#Data],M_BOM[PPGridRow],29),0))</f>
        <v/>
      </c>
      <c r="AD80">
        <f>SUMPRODUCT((M_BOM[RM_Code]=$A80)*M_BOM[RM_Qty_Per_Batch]*IFERROR(INDEX(PP_Grid[#Data],M_BOM[PPGridRow],30),0))</f>
        <v/>
      </c>
      <c r="AE80">
        <f>SUMPRODUCT((M_BOM[RM_Code]=$A80)*M_BOM[RM_Qty_Per_Batch]*IFERROR(INDEX(PP_Grid[#Data],M_BOM[PPGridRow],31),0))</f>
        <v/>
      </c>
      <c r="AF80">
        <f>SUMPRODUCT((M_BOM[RM_Code]=$A80)*M_BOM[RM_Qty_Per_Batch]*IFERROR(INDEX(PP_Grid[#Data],M_BOM[PPGridRow],32),0))</f>
        <v/>
      </c>
      <c r="AG80">
        <f>SUMPRODUCT((M_BOM[RM_Code]=$A80)*M_BOM[RM_Qty_Per_Batch]*IFERROR(INDEX(PP_Grid[#Data],M_BOM[PPGridRow],33),0))</f>
        <v/>
      </c>
      <c r="AH80">
        <f>SUMPRODUCT((M_BOM[RM_Code]=$A80)*M_BOM[RM_Qty_Per_Batch]*IFERROR(INDEX(PP_Grid[#Data],M_BOM[PPGridRow],34),0))</f>
        <v/>
      </c>
      <c r="AI80">
        <f>SUMPRODUCT((M_BOM[RM_Code]=$A80)*M_BOM[RM_Qty_Per_Batch]*IFERROR(INDEX(PP_Grid[#Data],M_BOM[PPGridRow],35),0))</f>
        <v/>
      </c>
      <c r="AJ80">
        <f>SUMPRODUCT((M_BOM[RM_Code]=$A80)*M_BOM[RM_Qty_Per_Batch]*IFERROR(INDEX(PP_Grid[#Data],M_BOM[PPGridRow],36),0))</f>
        <v/>
      </c>
      <c r="AK80">
        <f>SUMPRODUCT((M_BOM[RM_Code]=$A80)*M_BOM[RM_Qty_Per_Batch]*IFERROR(INDEX(PP_Grid[#Data],M_BOM[PPGridRow],37),0))</f>
        <v/>
      </c>
      <c r="AL80">
        <f>SUMPRODUCT((M_BOM[RM_Code]=$A80)*M_BOM[RM_Qty_Per_Batch]*IFERROR(INDEX(PP_Grid[#Data],M_BOM[PPGridRow],38),0))</f>
        <v/>
      </c>
      <c r="AM80">
        <f>SUMPRODUCT((M_BOM[RM_Code]=$A80)*M_BOM[RM_Qty_Per_Batch]*IFERROR(INDEX(PP_Grid[#Data],M_BOM[PPGridRow],39),0))</f>
        <v/>
      </c>
      <c r="AN80">
        <f>SUMPRODUCT((M_BOM[RM_Code]=$A80)*M_BOM[RM_Qty_Per_Batch]*IFERROR(INDEX(PP_Grid[#Data],M_BOM[PPGridRow],40),0))</f>
        <v/>
      </c>
      <c r="AO80">
        <f>SUMPRODUCT((M_BOM[RM_Code]=$A80)*M_BOM[RM_Qty_Per_Batch]*IFERROR(INDEX(PP_Grid[#Data],M_BOM[PPGridRow],41),0))</f>
        <v/>
      </c>
      <c r="AP80">
        <f>SUMPRODUCT((M_BOM[RM_Code]=$A80)*M_BOM[RM_Qty_Per_Batch]*IFERROR(INDEX(PP_Grid[#Data],M_BOM[PPGridRow],42),0))</f>
        <v/>
      </c>
      <c r="AQ80">
        <f>SUMPRODUCT((M_BOM[RM_Code]=$A80)*M_BOM[RM_Qty_Per_Batch]*IFERROR(INDEX(PP_Grid[#Data],M_BOM[PPGridRow],43),0))</f>
        <v/>
      </c>
      <c r="AR80">
        <f>SUMPRODUCT((M_BOM[RM_Code]=$A80)*M_BOM[RM_Qty_Per_Batch]*IFERROR(INDEX(PP_Grid[#Data],M_BOM[PPGridRow],44),0))</f>
        <v/>
      </c>
      <c r="AS80">
        <f>SUMPRODUCT((M_BOM[RM_Code]=$A80)*M_BOM[RM_Qty_Per_Batch]*IFERROR(INDEX(PP_Grid[#Data],M_BOM[PPGridRow],45),0))</f>
        <v/>
      </c>
      <c r="AT80">
        <f>SUMPRODUCT((M_BOM[RM_Code]=$A80)*M_BOM[RM_Qty_Per_Batch]*IFERROR(INDEX(PP_Grid[#Data],M_BOM[PPGridRow],46),0))</f>
        <v/>
      </c>
      <c r="AU80">
        <f>SUMPRODUCT((M_BOM[RM_Code]=$A80)*M_BOM[RM_Qty_Per_Batch]*IFERROR(INDEX(PP_Grid[#Data],M_BOM[PPGridRow],47),0))</f>
        <v/>
      </c>
      <c r="AV80">
        <f>SUMPRODUCT((M_BOM[RM_Code]=$A80)*M_BOM[RM_Qty_Per_Batch]*IFERROR(INDEX(PP_Grid[#Data],M_BOM[PPGridRow],48),0))</f>
        <v/>
      </c>
      <c r="AW80">
        <f>SUMPRODUCT((M_BOM[RM_Code]=$A80)*M_BOM[RM_Qty_Per_Batch]*IFERROR(INDEX(PP_Grid[#Data],M_BOM[PPGridRow],49),0))</f>
        <v/>
      </c>
      <c r="AX80">
        <f>SUMPRODUCT((M_BOM[RM_Code]=$A80)*M_BOM[RM_Qty_Per_Batch]*IFERROR(INDEX(PP_Grid[#Data],M_BOM[PPGridRow],50),0))</f>
        <v/>
      </c>
      <c r="AY80">
        <f>SUMPRODUCT((M_BOM[RM_Code]=$A80)*M_BOM[RM_Qty_Per_Batch]*IFERROR(INDEX(PP_Grid[#Data],M_BOM[PPGridRow],51),0))</f>
        <v/>
      </c>
      <c r="AZ80">
        <f>SUMPRODUCT((M_BOM[RM_Code]=$A80)*M_BOM[RM_Qty_Per_Batch]*IFERROR(INDEX(PP_Grid[#Data],M_BOM[PPGridRow],52),0))</f>
        <v/>
      </c>
      <c r="BA80">
        <f>SUMPRODUCT((M_BOM[RM_Code]=$A80)*M_BOM[RM_Qty_Per_Batch]*IFERROR(INDEX(PP_Grid[#Data],M_BOM[PPGridRow],53),0))</f>
        <v/>
      </c>
      <c r="BB80">
        <f>SUMPRODUCT((M_BOM[RM_Code]=$A80)*M_BOM[RM_Qty_Per_Batch]*IFERROR(INDEX(PP_Grid[#Data],M_BOM[PPGridRow],54),0))</f>
        <v/>
      </c>
      <c r="BC80">
        <f>SUMPRODUCT((M_BOM[RM_Code]=$A80)*M_BOM[RM_Qty_Per_Batch]*IFERROR(INDEX(PP_Grid[#Data],M_BOM[PPGridRow],55),0))</f>
        <v/>
      </c>
      <c r="BD80">
        <f>SUMPRODUCT((M_BOM[RM_Code]=$A80)*M_BOM[RM_Qty_Per_Batch]*IFERROR(INDEX(PP_Grid[#Data],M_BOM[PPGridRow],56),0))</f>
        <v/>
      </c>
      <c r="BE80">
        <f>SUMPRODUCT((M_BOM[RM_Code]=$A80)*M_BOM[RM_Qty_Per_Batch]*IFERROR(INDEX(PP_Grid[#Data],M_BOM[PPGridRow],57),0))</f>
        <v/>
      </c>
      <c r="BF80">
        <f>SUMPRODUCT((M_BOM[RM_Code]=$A80)*M_BOM[RM_Qty_Per_Batch]*IFERROR(INDEX(PP_Grid[#Data],M_BOM[PPGridRow],58),0))</f>
        <v/>
      </c>
      <c r="BG80">
        <f>SUMPRODUCT((M_BOM[RM_Code]=$A80)*M_BOM[RM_Qty_Per_Batch]*IFERROR(INDEX(PP_Grid[#Data],M_BOM[PPGridRow],59),0))</f>
        <v/>
      </c>
      <c r="BH80">
        <f>SUMPRODUCT((M_BOM[RM_Code]=$A80)*M_BOM[RM_Qty_Per_Batch]*IFERROR(INDEX(PP_Grid[#Data],M_BOM[PPGridRow],60),0))</f>
        <v/>
      </c>
      <c r="BI80">
        <f>SUMPRODUCT((M_BOM[RM_Code]=$A80)*M_BOM[RM_Qty_Per_Batch]*IFERROR(INDEX(PP_Grid[#Data],M_BOM[PPGridRow],61),0))</f>
        <v/>
      </c>
      <c r="BJ80">
        <f>SUMPRODUCT((M_BOM[RM_Code]=$A80)*M_BOM[RM_Qty_Per_Batch]*IFERROR(INDEX(PP_Grid[#Data],M_BOM[PPGridRow],62),0))</f>
        <v/>
      </c>
      <c r="BK80">
        <f>SUMPRODUCT((M_BOM[RM_Code]=$A80)*M_BOM[RM_Qty_Per_Batch]*IFERROR(INDEX(PP_Grid[#Data],M_BOM[PPGridRow],63),0))</f>
        <v/>
      </c>
      <c r="BL80">
        <f>SUMPRODUCT((M_BOM[RM_Code]=$A80)*M_BOM[RM_Qty_Per_Batch]*IFERROR(INDEX(PP_Grid[#Data],M_BOM[PPGridRow],64),0))</f>
        <v/>
      </c>
      <c r="BM80">
        <f>SUMPRODUCT((M_BOM[RM_Code]=$A80)*M_BOM[RM_Qty_Per_Batch]*IFERROR(INDEX(PP_Grid[#Data],M_BOM[PPGridRow],65),0))</f>
        <v/>
      </c>
      <c r="BN80">
        <f>SUMPRODUCT((M_BOM[RM_Code]=$A80)*M_BOM[RM_Qty_Per_Batch]*IFERROR(INDEX(PP_Grid[#Data],M_BOM[PPGridRow],66),0))</f>
        <v/>
      </c>
      <c r="BO80">
        <f>SUMPRODUCT((M_BOM[RM_Code]=$A80)*M_BOM[RM_Qty_Per_Batch]*IFERROR(INDEX(PP_Grid[#Data],M_BOM[PPGridRow],67),0))</f>
        <v/>
      </c>
      <c r="BP80">
        <f>SUMPRODUCT((M_BOM[RM_Code]=$A80)*M_BOM[RM_Qty_Per_Batch]*IFERROR(INDEX(PP_Grid[#Data],M_BOM[PPGridRow],68),0))</f>
        <v/>
      </c>
      <c r="BQ80">
        <f>SUMPRODUCT((M_BOM[RM_Code]=$A80)*M_BOM[RM_Qty_Per_Batch]*IFERROR(INDEX(PP_Grid[#Data],M_BOM[PPGridRow],69),0))</f>
        <v/>
      </c>
      <c r="BR80">
        <f>SUMPRODUCT((M_BOM[RM_Code]=$A80)*M_BOM[RM_Qty_Per_Batch]*IFERROR(INDEX(PP_Grid[#Data],M_BOM[PPGridRow],70),0))</f>
        <v/>
      </c>
      <c r="BS80">
        <f>SUMPRODUCT((M_BOM[RM_Code]=$A80)*M_BOM[RM_Qty_Per_Batch]*IFERROR(INDEX(PP_Grid[#Data],M_BOM[PPGridRow],71),0))</f>
        <v/>
      </c>
      <c r="BT80">
        <f>SUMPRODUCT((M_BOM[RM_Code]=$A80)*M_BOM[RM_Qty_Per_Batch]*IFERROR(INDEX(PP_Grid[#Data],M_BOM[PPGridRow],72),0))</f>
        <v/>
      </c>
      <c r="BU80">
        <f>SUMPRODUCT((M_BOM[RM_Code]=$A80)*M_BOM[RM_Qty_Per_Batch]*IFERROR(INDEX(PP_Grid[#Data],M_BOM[PPGridRow],73),0))</f>
        <v/>
      </c>
      <c r="BV80">
        <f>SUMPRODUCT((M_BOM[RM_Code]=$A80)*M_BOM[RM_Qty_Per_Batch]*IFERROR(INDEX(PP_Grid[#Data],M_BOM[PPGridRow],74),0))</f>
        <v/>
      </c>
      <c r="BW80">
        <f>SUMPRODUCT((M_BOM[RM_Code]=$A80)*M_BOM[RM_Qty_Per_Batch]*IFERROR(INDEX(PP_Grid[#Data],M_BOM[PPGridRow],75),0))</f>
        <v/>
      </c>
      <c r="BX80">
        <f>SUMPRODUCT((M_BOM[RM_Code]=$A80)*M_BOM[RM_Qty_Per_Batch]*IFERROR(INDEX(PP_Grid[#Data],M_BOM[PPGridRow],76),0))</f>
        <v/>
      </c>
      <c r="BY80">
        <f>SUMPRODUCT((M_BOM[RM_Code]=$A80)*M_BOM[RM_Qty_Per_Batch]*IFERROR(INDEX(PP_Grid[#Data],M_BOM[PPGridRow],77),0))</f>
        <v/>
      </c>
      <c r="BZ80">
        <f>SUMPRODUCT((M_BOM[RM_Code]=$A80)*M_BOM[RM_Qty_Per_Batch]*IFERROR(INDEX(PP_Grid[#Data],M_BOM[PPGridRow],78),0))</f>
        <v/>
      </c>
      <c r="CA80">
        <f>SUMPRODUCT((M_BOM[RM_Code]=$A80)*M_BOM[RM_Qty_Per_Batch]*IFERROR(INDEX(PP_Grid[#Data],M_BOM[PPGridRow],79),0))</f>
        <v/>
      </c>
      <c r="CB80">
        <f>SUMPRODUCT((M_BOM[RM_Code]=$A80)*M_BOM[RM_Qty_Per_Batch]*IFERROR(INDEX(PP_Grid[#Data],M_BOM[PPGridRow],80),0))</f>
        <v/>
      </c>
      <c r="CC80">
        <f>SUMPRODUCT((M_BOM[RM_Code]=$A80)*M_BOM[RM_Qty_Per_Batch]*IFERROR(INDEX(PP_Grid[#Data],M_BOM[PPGridRow],81),0))</f>
        <v/>
      </c>
      <c r="CD80">
        <f>SUMPRODUCT((M_BOM[RM_Code]=$A80)*M_BOM[RM_Qty_Per_Batch]*IFERROR(INDEX(PP_Grid[#Data],M_BOM[PPGridRow],82),0))</f>
        <v/>
      </c>
      <c r="CE80">
        <f>SUMPRODUCT((M_BOM[RM_Code]=$A80)*M_BOM[RM_Qty_Per_Batch]*IFERROR(INDEX(PP_Grid[#Data],M_BOM[PPGridRow],83),0))</f>
        <v/>
      </c>
      <c r="CF80">
        <f>SUMPRODUCT((M_BOM[RM_Code]=$A80)*M_BOM[RM_Qty_Per_Batch]*IFERROR(INDEX(PP_Grid[#Data],M_BOM[PPGridRow],84),0))</f>
        <v/>
      </c>
      <c r="CG80">
        <f>SUMPRODUCT((M_BOM[RM_Code]=$A80)*M_BOM[RM_Qty_Per_Batch]*IFERROR(INDEX(PP_Grid[#Data],M_BOM[PPGridRow],85),0))</f>
        <v/>
      </c>
      <c r="CH80">
        <f>SUMPRODUCT((M_BOM[RM_Code]=$A80)*M_BOM[RM_Qty_Per_Batch]*IFERROR(INDEX(PP_Grid[#Data],M_BOM[PPGridRow],86),0))</f>
        <v/>
      </c>
      <c r="CI80">
        <f>SUMPRODUCT((M_BOM[RM_Code]=$A80)*M_BOM[RM_Qty_Per_Batch]*IFERROR(INDEX(PP_Grid[#Data],M_BOM[PPGridRow],87),0))</f>
        <v/>
      </c>
      <c r="CJ80">
        <f>SUMPRODUCT((M_BOM[RM_Code]=$A80)*M_BOM[RM_Qty_Per_Batch]*IFERROR(INDEX(PP_Grid[#Data],M_BOM[PPGridRow],88),0))</f>
        <v/>
      </c>
      <c r="CK80">
        <f>SUMPRODUCT((M_BOM[RM_Code]=$A80)*M_BOM[RM_Qty_Per_Batch]*IFERROR(INDEX(PP_Grid[#Data],M_BOM[PPGridRow],89),0))</f>
        <v/>
      </c>
      <c r="CL80">
        <f>SUMPRODUCT((M_BOM[RM_Code]=$A80)*M_BOM[RM_Qty_Per_Batch]*IFERROR(INDEX(PP_Grid[#Data],M_BOM[PPGridRow],90),0))</f>
        <v/>
      </c>
      <c r="CM80">
        <f>SUMPRODUCT((M_BOM[RM_Code]=$A80)*M_BOM[RM_Qty_Per_Batch]*IFERROR(INDEX(PP_Grid[#Data],M_BOM[PPGridRow],91),0))</f>
        <v/>
      </c>
      <c r="CN80">
        <f>SUMPRODUCT((M_BOM[RM_Code]=$A80)*M_BOM[RM_Qty_Per_Batch]*IFERROR(INDEX(PP_Grid[#Data],M_BOM[PPGridRow],92),0))</f>
        <v/>
      </c>
      <c r="CO80">
        <f>SUMPRODUCT((M_BOM[RM_Code]=$A80)*M_BOM[RM_Qty_Per_Batch]*IFERROR(INDEX(PP_Grid[#Data],M_BOM[PPGridRow],93),0))</f>
        <v/>
      </c>
      <c r="CP80">
        <f>SUMPRODUCT((M_BOM[RM_Code]=$A80)*M_BOM[RM_Qty_Per_Batch]*IFERROR(INDEX(PP_Grid[#Data],M_BOM[PPGridRow],94),0))</f>
        <v/>
      </c>
      <c r="CQ80">
        <f>SUMPRODUCT((M_BOM[RM_Code]=$A80)*M_BOM[RM_Qty_Per_Batch]*IFERROR(INDEX(PP_Grid[#Data],M_BOM[PPGridRow],95),0))</f>
        <v/>
      </c>
      <c r="CR80">
        <f>SUMPRODUCT((M_BOM[RM_Code]=$A80)*M_BOM[RM_Qty_Per_Batch]*IFERROR(INDEX(PP_Grid[#Data],M_BOM[PPGridRow],96),0))</f>
        <v/>
      </c>
      <c r="CS80">
        <f>SUMPRODUCT((M_BOM[RM_Code]=$A80)*M_BOM[RM_Qty_Per_Batch]*IFERROR(INDEX(PP_Grid[#Data],M_BOM[PPGridRow],97),0))</f>
        <v/>
      </c>
      <c r="CT80">
        <f>SUMPRODUCT((M_BOM[RM_Code]=$A80)*M_BOM[RM_Qty_Per_Batch]*IFERROR(INDEX(PP_Grid[#Data],M_BOM[PPGridRow],98),0))</f>
        <v/>
      </c>
      <c r="CU80">
        <f>SUMPRODUCT((M_BOM[RM_Code]=$A80)*M_BOM[RM_Qty_Per_Batch]*IFERROR(INDEX(PP_Grid[#Data],M_BOM[PPGridRow],99),0))</f>
        <v/>
      </c>
      <c r="CV80">
        <f>SUMPRODUCT((M_BOM[RM_Code]=$A80)*M_BOM[RM_Qty_Per_Batch]*IFERROR(INDEX(PP_Grid[#Data],M_BOM[PPGridRow],100),0))</f>
        <v/>
      </c>
      <c r="CW80">
        <f>SUMPRODUCT((M_BOM[RM_Code]=$A80)*M_BOM[RM_Qty_Per_Batch]*IFERROR(INDEX(PP_Grid[#Data],M_BOM[PPGridRow],101),0))</f>
        <v/>
      </c>
      <c r="CX80">
        <f>SUMPRODUCT((M_BOM[RM_Code]=$A80)*M_BOM[RM_Qty_Per_Batch]*IFERROR(INDEX(PP_Grid[#Data],M_BOM[PPGridRow],102),0))</f>
        <v/>
      </c>
      <c r="CY80">
        <f>SUMPRODUCT((M_BOM[RM_Code]=$A80)*M_BOM[RM_Qty_Per_Batch]*IFERROR(INDEX(PP_Grid[#Data],M_BOM[PPGridRow],103),0))</f>
        <v/>
      </c>
      <c r="CZ80">
        <f>SUMPRODUCT((M_BOM[RM_Code]=$A80)*M_BOM[RM_Qty_Per_Batch]*IFERROR(INDEX(PP_Grid[#Data],M_BOM[PPGridRow],104),0))</f>
        <v/>
      </c>
      <c r="DA80">
        <f>SUMPRODUCT((M_BOM[RM_Code]=$A80)*M_BOM[RM_Qty_Per_Batch]*IFERROR(INDEX(PP_Grid[#Data],M_BOM[PPGridRow],105),0))</f>
        <v/>
      </c>
    </row>
    <row r="81">
      <c r="A81" t="inlineStr">
        <is>
          <t>Chem-1800</t>
        </is>
      </c>
      <c r="B81">
        <f>SUMPRODUCT((M_BOM[RM_Code]=$A81)*M_BOM[RM_Qty_Per_Batch]*IFERROR(INDEX(PP_Grid[#Data],M_BOM[PPGridRow],2),0))</f>
        <v/>
      </c>
      <c r="C81">
        <f>SUMPRODUCT((M_BOM[RM_Code]=$A81)*M_BOM[RM_Qty_Per_Batch]*IFERROR(INDEX(PP_Grid[#Data],M_BOM[PPGridRow],3),0))</f>
        <v/>
      </c>
      <c r="D81">
        <f>SUMPRODUCT((M_BOM[RM_Code]=$A81)*M_BOM[RM_Qty_Per_Batch]*IFERROR(INDEX(PP_Grid[#Data],M_BOM[PPGridRow],4),0))</f>
        <v/>
      </c>
      <c r="E81">
        <f>SUMPRODUCT((M_BOM[RM_Code]=$A81)*M_BOM[RM_Qty_Per_Batch]*IFERROR(INDEX(PP_Grid[#Data],M_BOM[PPGridRow],5),0))</f>
        <v/>
      </c>
      <c r="F81">
        <f>SUMPRODUCT((M_BOM[RM_Code]=$A81)*M_BOM[RM_Qty_Per_Batch]*IFERROR(INDEX(PP_Grid[#Data],M_BOM[PPGridRow],6),0))</f>
        <v/>
      </c>
      <c r="G81">
        <f>SUMPRODUCT((M_BOM[RM_Code]=$A81)*M_BOM[RM_Qty_Per_Batch]*IFERROR(INDEX(PP_Grid[#Data],M_BOM[PPGridRow],7),0))</f>
        <v/>
      </c>
      <c r="H81">
        <f>SUMPRODUCT((M_BOM[RM_Code]=$A81)*M_BOM[RM_Qty_Per_Batch]*IFERROR(INDEX(PP_Grid[#Data],M_BOM[PPGridRow],8),0))</f>
        <v/>
      </c>
      <c r="I81">
        <f>SUMPRODUCT((M_BOM[RM_Code]=$A81)*M_BOM[RM_Qty_Per_Batch]*IFERROR(INDEX(PP_Grid[#Data],M_BOM[PPGridRow],9),0))</f>
        <v/>
      </c>
      <c r="J81">
        <f>SUMPRODUCT((M_BOM[RM_Code]=$A81)*M_BOM[RM_Qty_Per_Batch]*IFERROR(INDEX(PP_Grid[#Data],M_BOM[PPGridRow],10),0))</f>
        <v/>
      </c>
      <c r="K81">
        <f>SUMPRODUCT((M_BOM[RM_Code]=$A81)*M_BOM[RM_Qty_Per_Batch]*IFERROR(INDEX(PP_Grid[#Data],M_BOM[PPGridRow],11),0))</f>
        <v/>
      </c>
      <c r="L81">
        <f>SUMPRODUCT((M_BOM[RM_Code]=$A81)*M_BOM[RM_Qty_Per_Batch]*IFERROR(INDEX(PP_Grid[#Data],M_BOM[PPGridRow],12),0))</f>
        <v/>
      </c>
      <c r="M81">
        <f>SUMPRODUCT((M_BOM[RM_Code]=$A81)*M_BOM[RM_Qty_Per_Batch]*IFERROR(INDEX(PP_Grid[#Data],M_BOM[PPGridRow],13),0))</f>
        <v/>
      </c>
      <c r="N81">
        <f>SUMPRODUCT((M_BOM[RM_Code]=$A81)*M_BOM[RM_Qty_Per_Batch]*IFERROR(INDEX(PP_Grid[#Data],M_BOM[PPGridRow],14),0))</f>
        <v/>
      </c>
      <c r="O81">
        <f>SUMPRODUCT((M_BOM[RM_Code]=$A81)*M_BOM[RM_Qty_Per_Batch]*IFERROR(INDEX(PP_Grid[#Data],M_BOM[PPGridRow],15),0))</f>
        <v/>
      </c>
      <c r="P81">
        <f>SUMPRODUCT((M_BOM[RM_Code]=$A81)*M_BOM[RM_Qty_Per_Batch]*IFERROR(INDEX(PP_Grid[#Data],M_BOM[PPGridRow],16),0))</f>
        <v/>
      </c>
      <c r="Q81">
        <f>SUMPRODUCT((M_BOM[RM_Code]=$A81)*M_BOM[RM_Qty_Per_Batch]*IFERROR(INDEX(PP_Grid[#Data],M_BOM[PPGridRow],17),0))</f>
        <v/>
      </c>
      <c r="R81">
        <f>SUMPRODUCT((M_BOM[RM_Code]=$A81)*M_BOM[RM_Qty_Per_Batch]*IFERROR(INDEX(PP_Grid[#Data],M_BOM[PPGridRow],18),0))</f>
        <v/>
      </c>
      <c r="S81">
        <f>SUMPRODUCT((M_BOM[RM_Code]=$A81)*M_BOM[RM_Qty_Per_Batch]*IFERROR(INDEX(PP_Grid[#Data],M_BOM[PPGridRow],19),0))</f>
        <v/>
      </c>
      <c r="T81">
        <f>SUMPRODUCT((M_BOM[RM_Code]=$A81)*M_BOM[RM_Qty_Per_Batch]*IFERROR(INDEX(PP_Grid[#Data],M_BOM[PPGridRow],20),0))</f>
        <v/>
      </c>
      <c r="U81">
        <f>SUMPRODUCT((M_BOM[RM_Code]=$A81)*M_BOM[RM_Qty_Per_Batch]*IFERROR(INDEX(PP_Grid[#Data],M_BOM[PPGridRow],21),0))</f>
        <v/>
      </c>
      <c r="V81">
        <f>SUMPRODUCT((M_BOM[RM_Code]=$A81)*M_BOM[RM_Qty_Per_Batch]*IFERROR(INDEX(PP_Grid[#Data],M_BOM[PPGridRow],22),0))</f>
        <v/>
      </c>
      <c r="W81">
        <f>SUMPRODUCT((M_BOM[RM_Code]=$A81)*M_BOM[RM_Qty_Per_Batch]*IFERROR(INDEX(PP_Grid[#Data],M_BOM[PPGridRow],23),0))</f>
        <v/>
      </c>
      <c r="X81">
        <f>SUMPRODUCT((M_BOM[RM_Code]=$A81)*M_BOM[RM_Qty_Per_Batch]*IFERROR(INDEX(PP_Grid[#Data],M_BOM[PPGridRow],24),0))</f>
        <v/>
      </c>
      <c r="Y81">
        <f>SUMPRODUCT((M_BOM[RM_Code]=$A81)*M_BOM[RM_Qty_Per_Batch]*IFERROR(INDEX(PP_Grid[#Data],M_BOM[PPGridRow],25),0))</f>
        <v/>
      </c>
      <c r="Z81">
        <f>SUMPRODUCT((M_BOM[RM_Code]=$A81)*M_BOM[RM_Qty_Per_Batch]*IFERROR(INDEX(PP_Grid[#Data],M_BOM[PPGridRow],26),0))</f>
        <v/>
      </c>
      <c r="AA81">
        <f>SUMPRODUCT((M_BOM[RM_Code]=$A81)*M_BOM[RM_Qty_Per_Batch]*IFERROR(INDEX(PP_Grid[#Data],M_BOM[PPGridRow],27),0))</f>
        <v/>
      </c>
      <c r="AB81">
        <f>SUMPRODUCT((M_BOM[RM_Code]=$A81)*M_BOM[RM_Qty_Per_Batch]*IFERROR(INDEX(PP_Grid[#Data],M_BOM[PPGridRow],28),0))</f>
        <v/>
      </c>
      <c r="AC81">
        <f>SUMPRODUCT((M_BOM[RM_Code]=$A81)*M_BOM[RM_Qty_Per_Batch]*IFERROR(INDEX(PP_Grid[#Data],M_BOM[PPGridRow],29),0))</f>
        <v/>
      </c>
      <c r="AD81">
        <f>SUMPRODUCT((M_BOM[RM_Code]=$A81)*M_BOM[RM_Qty_Per_Batch]*IFERROR(INDEX(PP_Grid[#Data],M_BOM[PPGridRow],30),0))</f>
        <v/>
      </c>
      <c r="AE81">
        <f>SUMPRODUCT((M_BOM[RM_Code]=$A81)*M_BOM[RM_Qty_Per_Batch]*IFERROR(INDEX(PP_Grid[#Data],M_BOM[PPGridRow],31),0))</f>
        <v/>
      </c>
      <c r="AF81">
        <f>SUMPRODUCT((M_BOM[RM_Code]=$A81)*M_BOM[RM_Qty_Per_Batch]*IFERROR(INDEX(PP_Grid[#Data],M_BOM[PPGridRow],32),0))</f>
        <v/>
      </c>
      <c r="AG81">
        <f>SUMPRODUCT((M_BOM[RM_Code]=$A81)*M_BOM[RM_Qty_Per_Batch]*IFERROR(INDEX(PP_Grid[#Data],M_BOM[PPGridRow],33),0))</f>
        <v/>
      </c>
      <c r="AH81">
        <f>SUMPRODUCT((M_BOM[RM_Code]=$A81)*M_BOM[RM_Qty_Per_Batch]*IFERROR(INDEX(PP_Grid[#Data],M_BOM[PPGridRow],34),0))</f>
        <v/>
      </c>
      <c r="AI81">
        <f>SUMPRODUCT((M_BOM[RM_Code]=$A81)*M_BOM[RM_Qty_Per_Batch]*IFERROR(INDEX(PP_Grid[#Data],M_BOM[PPGridRow],35),0))</f>
        <v/>
      </c>
      <c r="AJ81">
        <f>SUMPRODUCT((M_BOM[RM_Code]=$A81)*M_BOM[RM_Qty_Per_Batch]*IFERROR(INDEX(PP_Grid[#Data],M_BOM[PPGridRow],36),0))</f>
        <v/>
      </c>
      <c r="AK81">
        <f>SUMPRODUCT((M_BOM[RM_Code]=$A81)*M_BOM[RM_Qty_Per_Batch]*IFERROR(INDEX(PP_Grid[#Data],M_BOM[PPGridRow],37),0))</f>
        <v/>
      </c>
      <c r="AL81">
        <f>SUMPRODUCT((M_BOM[RM_Code]=$A81)*M_BOM[RM_Qty_Per_Batch]*IFERROR(INDEX(PP_Grid[#Data],M_BOM[PPGridRow],38),0))</f>
        <v/>
      </c>
      <c r="AM81">
        <f>SUMPRODUCT((M_BOM[RM_Code]=$A81)*M_BOM[RM_Qty_Per_Batch]*IFERROR(INDEX(PP_Grid[#Data],M_BOM[PPGridRow],39),0))</f>
        <v/>
      </c>
      <c r="AN81">
        <f>SUMPRODUCT((M_BOM[RM_Code]=$A81)*M_BOM[RM_Qty_Per_Batch]*IFERROR(INDEX(PP_Grid[#Data],M_BOM[PPGridRow],40),0))</f>
        <v/>
      </c>
      <c r="AO81">
        <f>SUMPRODUCT((M_BOM[RM_Code]=$A81)*M_BOM[RM_Qty_Per_Batch]*IFERROR(INDEX(PP_Grid[#Data],M_BOM[PPGridRow],41),0))</f>
        <v/>
      </c>
      <c r="AP81">
        <f>SUMPRODUCT((M_BOM[RM_Code]=$A81)*M_BOM[RM_Qty_Per_Batch]*IFERROR(INDEX(PP_Grid[#Data],M_BOM[PPGridRow],42),0))</f>
        <v/>
      </c>
      <c r="AQ81">
        <f>SUMPRODUCT((M_BOM[RM_Code]=$A81)*M_BOM[RM_Qty_Per_Batch]*IFERROR(INDEX(PP_Grid[#Data],M_BOM[PPGridRow],43),0))</f>
        <v/>
      </c>
      <c r="AR81">
        <f>SUMPRODUCT((M_BOM[RM_Code]=$A81)*M_BOM[RM_Qty_Per_Batch]*IFERROR(INDEX(PP_Grid[#Data],M_BOM[PPGridRow],44),0))</f>
        <v/>
      </c>
      <c r="AS81">
        <f>SUMPRODUCT((M_BOM[RM_Code]=$A81)*M_BOM[RM_Qty_Per_Batch]*IFERROR(INDEX(PP_Grid[#Data],M_BOM[PPGridRow],45),0))</f>
        <v/>
      </c>
      <c r="AT81">
        <f>SUMPRODUCT((M_BOM[RM_Code]=$A81)*M_BOM[RM_Qty_Per_Batch]*IFERROR(INDEX(PP_Grid[#Data],M_BOM[PPGridRow],46),0))</f>
        <v/>
      </c>
      <c r="AU81">
        <f>SUMPRODUCT((M_BOM[RM_Code]=$A81)*M_BOM[RM_Qty_Per_Batch]*IFERROR(INDEX(PP_Grid[#Data],M_BOM[PPGridRow],47),0))</f>
        <v/>
      </c>
      <c r="AV81">
        <f>SUMPRODUCT((M_BOM[RM_Code]=$A81)*M_BOM[RM_Qty_Per_Batch]*IFERROR(INDEX(PP_Grid[#Data],M_BOM[PPGridRow],48),0))</f>
        <v/>
      </c>
      <c r="AW81">
        <f>SUMPRODUCT((M_BOM[RM_Code]=$A81)*M_BOM[RM_Qty_Per_Batch]*IFERROR(INDEX(PP_Grid[#Data],M_BOM[PPGridRow],49),0))</f>
        <v/>
      </c>
      <c r="AX81">
        <f>SUMPRODUCT((M_BOM[RM_Code]=$A81)*M_BOM[RM_Qty_Per_Batch]*IFERROR(INDEX(PP_Grid[#Data],M_BOM[PPGridRow],50),0))</f>
        <v/>
      </c>
      <c r="AY81">
        <f>SUMPRODUCT((M_BOM[RM_Code]=$A81)*M_BOM[RM_Qty_Per_Batch]*IFERROR(INDEX(PP_Grid[#Data],M_BOM[PPGridRow],51),0))</f>
        <v/>
      </c>
      <c r="AZ81">
        <f>SUMPRODUCT((M_BOM[RM_Code]=$A81)*M_BOM[RM_Qty_Per_Batch]*IFERROR(INDEX(PP_Grid[#Data],M_BOM[PPGridRow],52),0))</f>
        <v/>
      </c>
      <c r="BA81">
        <f>SUMPRODUCT((M_BOM[RM_Code]=$A81)*M_BOM[RM_Qty_Per_Batch]*IFERROR(INDEX(PP_Grid[#Data],M_BOM[PPGridRow],53),0))</f>
        <v/>
      </c>
      <c r="BB81">
        <f>SUMPRODUCT((M_BOM[RM_Code]=$A81)*M_BOM[RM_Qty_Per_Batch]*IFERROR(INDEX(PP_Grid[#Data],M_BOM[PPGridRow],54),0))</f>
        <v/>
      </c>
      <c r="BC81">
        <f>SUMPRODUCT((M_BOM[RM_Code]=$A81)*M_BOM[RM_Qty_Per_Batch]*IFERROR(INDEX(PP_Grid[#Data],M_BOM[PPGridRow],55),0))</f>
        <v/>
      </c>
      <c r="BD81">
        <f>SUMPRODUCT((M_BOM[RM_Code]=$A81)*M_BOM[RM_Qty_Per_Batch]*IFERROR(INDEX(PP_Grid[#Data],M_BOM[PPGridRow],56),0))</f>
        <v/>
      </c>
      <c r="BE81">
        <f>SUMPRODUCT((M_BOM[RM_Code]=$A81)*M_BOM[RM_Qty_Per_Batch]*IFERROR(INDEX(PP_Grid[#Data],M_BOM[PPGridRow],57),0))</f>
        <v/>
      </c>
      <c r="BF81">
        <f>SUMPRODUCT((M_BOM[RM_Code]=$A81)*M_BOM[RM_Qty_Per_Batch]*IFERROR(INDEX(PP_Grid[#Data],M_BOM[PPGridRow],58),0))</f>
        <v/>
      </c>
      <c r="BG81">
        <f>SUMPRODUCT((M_BOM[RM_Code]=$A81)*M_BOM[RM_Qty_Per_Batch]*IFERROR(INDEX(PP_Grid[#Data],M_BOM[PPGridRow],59),0))</f>
        <v/>
      </c>
      <c r="BH81">
        <f>SUMPRODUCT((M_BOM[RM_Code]=$A81)*M_BOM[RM_Qty_Per_Batch]*IFERROR(INDEX(PP_Grid[#Data],M_BOM[PPGridRow],60),0))</f>
        <v/>
      </c>
      <c r="BI81">
        <f>SUMPRODUCT((M_BOM[RM_Code]=$A81)*M_BOM[RM_Qty_Per_Batch]*IFERROR(INDEX(PP_Grid[#Data],M_BOM[PPGridRow],61),0))</f>
        <v/>
      </c>
      <c r="BJ81">
        <f>SUMPRODUCT((M_BOM[RM_Code]=$A81)*M_BOM[RM_Qty_Per_Batch]*IFERROR(INDEX(PP_Grid[#Data],M_BOM[PPGridRow],62),0))</f>
        <v/>
      </c>
      <c r="BK81">
        <f>SUMPRODUCT((M_BOM[RM_Code]=$A81)*M_BOM[RM_Qty_Per_Batch]*IFERROR(INDEX(PP_Grid[#Data],M_BOM[PPGridRow],63),0))</f>
        <v/>
      </c>
      <c r="BL81">
        <f>SUMPRODUCT((M_BOM[RM_Code]=$A81)*M_BOM[RM_Qty_Per_Batch]*IFERROR(INDEX(PP_Grid[#Data],M_BOM[PPGridRow],64),0))</f>
        <v/>
      </c>
      <c r="BM81">
        <f>SUMPRODUCT((M_BOM[RM_Code]=$A81)*M_BOM[RM_Qty_Per_Batch]*IFERROR(INDEX(PP_Grid[#Data],M_BOM[PPGridRow],65),0))</f>
        <v/>
      </c>
      <c r="BN81">
        <f>SUMPRODUCT((M_BOM[RM_Code]=$A81)*M_BOM[RM_Qty_Per_Batch]*IFERROR(INDEX(PP_Grid[#Data],M_BOM[PPGridRow],66),0))</f>
        <v/>
      </c>
      <c r="BO81">
        <f>SUMPRODUCT((M_BOM[RM_Code]=$A81)*M_BOM[RM_Qty_Per_Batch]*IFERROR(INDEX(PP_Grid[#Data],M_BOM[PPGridRow],67),0))</f>
        <v/>
      </c>
      <c r="BP81">
        <f>SUMPRODUCT((M_BOM[RM_Code]=$A81)*M_BOM[RM_Qty_Per_Batch]*IFERROR(INDEX(PP_Grid[#Data],M_BOM[PPGridRow],68),0))</f>
        <v/>
      </c>
      <c r="BQ81">
        <f>SUMPRODUCT((M_BOM[RM_Code]=$A81)*M_BOM[RM_Qty_Per_Batch]*IFERROR(INDEX(PP_Grid[#Data],M_BOM[PPGridRow],69),0))</f>
        <v/>
      </c>
      <c r="BR81">
        <f>SUMPRODUCT((M_BOM[RM_Code]=$A81)*M_BOM[RM_Qty_Per_Batch]*IFERROR(INDEX(PP_Grid[#Data],M_BOM[PPGridRow],70),0))</f>
        <v/>
      </c>
      <c r="BS81">
        <f>SUMPRODUCT((M_BOM[RM_Code]=$A81)*M_BOM[RM_Qty_Per_Batch]*IFERROR(INDEX(PP_Grid[#Data],M_BOM[PPGridRow],71),0))</f>
        <v/>
      </c>
      <c r="BT81">
        <f>SUMPRODUCT((M_BOM[RM_Code]=$A81)*M_BOM[RM_Qty_Per_Batch]*IFERROR(INDEX(PP_Grid[#Data],M_BOM[PPGridRow],72),0))</f>
        <v/>
      </c>
      <c r="BU81">
        <f>SUMPRODUCT((M_BOM[RM_Code]=$A81)*M_BOM[RM_Qty_Per_Batch]*IFERROR(INDEX(PP_Grid[#Data],M_BOM[PPGridRow],73),0))</f>
        <v/>
      </c>
      <c r="BV81">
        <f>SUMPRODUCT((M_BOM[RM_Code]=$A81)*M_BOM[RM_Qty_Per_Batch]*IFERROR(INDEX(PP_Grid[#Data],M_BOM[PPGridRow],74),0))</f>
        <v/>
      </c>
      <c r="BW81">
        <f>SUMPRODUCT((M_BOM[RM_Code]=$A81)*M_BOM[RM_Qty_Per_Batch]*IFERROR(INDEX(PP_Grid[#Data],M_BOM[PPGridRow],75),0))</f>
        <v/>
      </c>
      <c r="BX81">
        <f>SUMPRODUCT((M_BOM[RM_Code]=$A81)*M_BOM[RM_Qty_Per_Batch]*IFERROR(INDEX(PP_Grid[#Data],M_BOM[PPGridRow],76),0))</f>
        <v/>
      </c>
      <c r="BY81">
        <f>SUMPRODUCT((M_BOM[RM_Code]=$A81)*M_BOM[RM_Qty_Per_Batch]*IFERROR(INDEX(PP_Grid[#Data],M_BOM[PPGridRow],77),0))</f>
        <v/>
      </c>
      <c r="BZ81">
        <f>SUMPRODUCT((M_BOM[RM_Code]=$A81)*M_BOM[RM_Qty_Per_Batch]*IFERROR(INDEX(PP_Grid[#Data],M_BOM[PPGridRow],78),0))</f>
        <v/>
      </c>
      <c r="CA81">
        <f>SUMPRODUCT((M_BOM[RM_Code]=$A81)*M_BOM[RM_Qty_Per_Batch]*IFERROR(INDEX(PP_Grid[#Data],M_BOM[PPGridRow],79),0))</f>
        <v/>
      </c>
      <c r="CB81">
        <f>SUMPRODUCT((M_BOM[RM_Code]=$A81)*M_BOM[RM_Qty_Per_Batch]*IFERROR(INDEX(PP_Grid[#Data],M_BOM[PPGridRow],80),0))</f>
        <v/>
      </c>
      <c r="CC81">
        <f>SUMPRODUCT((M_BOM[RM_Code]=$A81)*M_BOM[RM_Qty_Per_Batch]*IFERROR(INDEX(PP_Grid[#Data],M_BOM[PPGridRow],81),0))</f>
        <v/>
      </c>
      <c r="CD81">
        <f>SUMPRODUCT((M_BOM[RM_Code]=$A81)*M_BOM[RM_Qty_Per_Batch]*IFERROR(INDEX(PP_Grid[#Data],M_BOM[PPGridRow],82),0))</f>
        <v/>
      </c>
      <c r="CE81">
        <f>SUMPRODUCT((M_BOM[RM_Code]=$A81)*M_BOM[RM_Qty_Per_Batch]*IFERROR(INDEX(PP_Grid[#Data],M_BOM[PPGridRow],83),0))</f>
        <v/>
      </c>
      <c r="CF81">
        <f>SUMPRODUCT((M_BOM[RM_Code]=$A81)*M_BOM[RM_Qty_Per_Batch]*IFERROR(INDEX(PP_Grid[#Data],M_BOM[PPGridRow],84),0))</f>
        <v/>
      </c>
      <c r="CG81">
        <f>SUMPRODUCT((M_BOM[RM_Code]=$A81)*M_BOM[RM_Qty_Per_Batch]*IFERROR(INDEX(PP_Grid[#Data],M_BOM[PPGridRow],85),0))</f>
        <v/>
      </c>
      <c r="CH81">
        <f>SUMPRODUCT((M_BOM[RM_Code]=$A81)*M_BOM[RM_Qty_Per_Batch]*IFERROR(INDEX(PP_Grid[#Data],M_BOM[PPGridRow],86),0))</f>
        <v/>
      </c>
      <c r="CI81">
        <f>SUMPRODUCT((M_BOM[RM_Code]=$A81)*M_BOM[RM_Qty_Per_Batch]*IFERROR(INDEX(PP_Grid[#Data],M_BOM[PPGridRow],87),0))</f>
        <v/>
      </c>
      <c r="CJ81">
        <f>SUMPRODUCT((M_BOM[RM_Code]=$A81)*M_BOM[RM_Qty_Per_Batch]*IFERROR(INDEX(PP_Grid[#Data],M_BOM[PPGridRow],88),0))</f>
        <v/>
      </c>
      <c r="CK81">
        <f>SUMPRODUCT((M_BOM[RM_Code]=$A81)*M_BOM[RM_Qty_Per_Batch]*IFERROR(INDEX(PP_Grid[#Data],M_BOM[PPGridRow],89),0))</f>
        <v/>
      </c>
      <c r="CL81">
        <f>SUMPRODUCT((M_BOM[RM_Code]=$A81)*M_BOM[RM_Qty_Per_Batch]*IFERROR(INDEX(PP_Grid[#Data],M_BOM[PPGridRow],90),0))</f>
        <v/>
      </c>
      <c r="CM81">
        <f>SUMPRODUCT((M_BOM[RM_Code]=$A81)*M_BOM[RM_Qty_Per_Batch]*IFERROR(INDEX(PP_Grid[#Data],M_BOM[PPGridRow],91),0))</f>
        <v/>
      </c>
      <c r="CN81">
        <f>SUMPRODUCT((M_BOM[RM_Code]=$A81)*M_BOM[RM_Qty_Per_Batch]*IFERROR(INDEX(PP_Grid[#Data],M_BOM[PPGridRow],92),0))</f>
        <v/>
      </c>
      <c r="CO81">
        <f>SUMPRODUCT((M_BOM[RM_Code]=$A81)*M_BOM[RM_Qty_Per_Batch]*IFERROR(INDEX(PP_Grid[#Data],M_BOM[PPGridRow],93),0))</f>
        <v/>
      </c>
      <c r="CP81">
        <f>SUMPRODUCT((M_BOM[RM_Code]=$A81)*M_BOM[RM_Qty_Per_Batch]*IFERROR(INDEX(PP_Grid[#Data],M_BOM[PPGridRow],94),0))</f>
        <v/>
      </c>
      <c r="CQ81">
        <f>SUMPRODUCT((M_BOM[RM_Code]=$A81)*M_BOM[RM_Qty_Per_Batch]*IFERROR(INDEX(PP_Grid[#Data],M_BOM[PPGridRow],95),0))</f>
        <v/>
      </c>
      <c r="CR81">
        <f>SUMPRODUCT((M_BOM[RM_Code]=$A81)*M_BOM[RM_Qty_Per_Batch]*IFERROR(INDEX(PP_Grid[#Data],M_BOM[PPGridRow],96),0))</f>
        <v/>
      </c>
      <c r="CS81">
        <f>SUMPRODUCT((M_BOM[RM_Code]=$A81)*M_BOM[RM_Qty_Per_Batch]*IFERROR(INDEX(PP_Grid[#Data],M_BOM[PPGridRow],97),0))</f>
        <v/>
      </c>
      <c r="CT81">
        <f>SUMPRODUCT((M_BOM[RM_Code]=$A81)*M_BOM[RM_Qty_Per_Batch]*IFERROR(INDEX(PP_Grid[#Data],M_BOM[PPGridRow],98),0))</f>
        <v/>
      </c>
      <c r="CU81">
        <f>SUMPRODUCT((M_BOM[RM_Code]=$A81)*M_BOM[RM_Qty_Per_Batch]*IFERROR(INDEX(PP_Grid[#Data],M_BOM[PPGridRow],99),0))</f>
        <v/>
      </c>
      <c r="CV81">
        <f>SUMPRODUCT((M_BOM[RM_Code]=$A81)*M_BOM[RM_Qty_Per_Batch]*IFERROR(INDEX(PP_Grid[#Data],M_BOM[PPGridRow],100),0))</f>
        <v/>
      </c>
      <c r="CW81">
        <f>SUMPRODUCT((M_BOM[RM_Code]=$A81)*M_BOM[RM_Qty_Per_Batch]*IFERROR(INDEX(PP_Grid[#Data],M_BOM[PPGridRow],101),0))</f>
        <v/>
      </c>
      <c r="CX81">
        <f>SUMPRODUCT((M_BOM[RM_Code]=$A81)*M_BOM[RM_Qty_Per_Batch]*IFERROR(INDEX(PP_Grid[#Data],M_BOM[PPGridRow],102),0))</f>
        <v/>
      </c>
      <c r="CY81">
        <f>SUMPRODUCT((M_BOM[RM_Code]=$A81)*M_BOM[RM_Qty_Per_Batch]*IFERROR(INDEX(PP_Grid[#Data],M_BOM[PPGridRow],103),0))</f>
        <v/>
      </c>
      <c r="CZ81">
        <f>SUMPRODUCT((M_BOM[RM_Code]=$A81)*M_BOM[RM_Qty_Per_Batch]*IFERROR(INDEX(PP_Grid[#Data],M_BOM[PPGridRow],104),0))</f>
        <v/>
      </c>
      <c r="DA81">
        <f>SUMPRODUCT((M_BOM[RM_Code]=$A81)*M_BOM[RM_Qty_Per_Batch]*IFERROR(INDEX(PP_Grid[#Data],M_BOM[PPGridRow],105),0))</f>
        <v/>
      </c>
    </row>
    <row r="82">
      <c r="A82" t="inlineStr">
        <is>
          <t>A043</t>
        </is>
      </c>
      <c r="B82">
        <f>SUMPRODUCT((M_BOM[RM_Code]=$A82)*M_BOM[RM_Qty_Per_Batch]*IFERROR(INDEX(PP_Grid[#Data],M_BOM[PPGridRow],2),0))</f>
        <v/>
      </c>
      <c r="C82">
        <f>SUMPRODUCT((M_BOM[RM_Code]=$A82)*M_BOM[RM_Qty_Per_Batch]*IFERROR(INDEX(PP_Grid[#Data],M_BOM[PPGridRow],3),0))</f>
        <v/>
      </c>
      <c r="D82">
        <f>SUMPRODUCT((M_BOM[RM_Code]=$A82)*M_BOM[RM_Qty_Per_Batch]*IFERROR(INDEX(PP_Grid[#Data],M_BOM[PPGridRow],4),0))</f>
        <v/>
      </c>
      <c r="E82">
        <f>SUMPRODUCT((M_BOM[RM_Code]=$A82)*M_BOM[RM_Qty_Per_Batch]*IFERROR(INDEX(PP_Grid[#Data],M_BOM[PPGridRow],5),0))</f>
        <v/>
      </c>
      <c r="F82">
        <f>SUMPRODUCT((M_BOM[RM_Code]=$A82)*M_BOM[RM_Qty_Per_Batch]*IFERROR(INDEX(PP_Grid[#Data],M_BOM[PPGridRow],6),0))</f>
        <v/>
      </c>
      <c r="G82">
        <f>SUMPRODUCT((M_BOM[RM_Code]=$A82)*M_BOM[RM_Qty_Per_Batch]*IFERROR(INDEX(PP_Grid[#Data],M_BOM[PPGridRow],7),0))</f>
        <v/>
      </c>
      <c r="H82">
        <f>SUMPRODUCT((M_BOM[RM_Code]=$A82)*M_BOM[RM_Qty_Per_Batch]*IFERROR(INDEX(PP_Grid[#Data],M_BOM[PPGridRow],8),0))</f>
        <v/>
      </c>
      <c r="I82">
        <f>SUMPRODUCT((M_BOM[RM_Code]=$A82)*M_BOM[RM_Qty_Per_Batch]*IFERROR(INDEX(PP_Grid[#Data],M_BOM[PPGridRow],9),0))</f>
        <v/>
      </c>
      <c r="J82">
        <f>SUMPRODUCT((M_BOM[RM_Code]=$A82)*M_BOM[RM_Qty_Per_Batch]*IFERROR(INDEX(PP_Grid[#Data],M_BOM[PPGridRow],10),0))</f>
        <v/>
      </c>
      <c r="K82">
        <f>SUMPRODUCT((M_BOM[RM_Code]=$A82)*M_BOM[RM_Qty_Per_Batch]*IFERROR(INDEX(PP_Grid[#Data],M_BOM[PPGridRow],11),0))</f>
        <v/>
      </c>
      <c r="L82">
        <f>SUMPRODUCT((M_BOM[RM_Code]=$A82)*M_BOM[RM_Qty_Per_Batch]*IFERROR(INDEX(PP_Grid[#Data],M_BOM[PPGridRow],12),0))</f>
        <v/>
      </c>
      <c r="M82">
        <f>SUMPRODUCT((M_BOM[RM_Code]=$A82)*M_BOM[RM_Qty_Per_Batch]*IFERROR(INDEX(PP_Grid[#Data],M_BOM[PPGridRow],13),0))</f>
        <v/>
      </c>
      <c r="N82">
        <f>SUMPRODUCT((M_BOM[RM_Code]=$A82)*M_BOM[RM_Qty_Per_Batch]*IFERROR(INDEX(PP_Grid[#Data],M_BOM[PPGridRow],14),0))</f>
        <v/>
      </c>
      <c r="O82">
        <f>SUMPRODUCT((M_BOM[RM_Code]=$A82)*M_BOM[RM_Qty_Per_Batch]*IFERROR(INDEX(PP_Grid[#Data],M_BOM[PPGridRow],15),0))</f>
        <v/>
      </c>
      <c r="P82">
        <f>SUMPRODUCT((M_BOM[RM_Code]=$A82)*M_BOM[RM_Qty_Per_Batch]*IFERROR(INDEX(PP_Grid[#Data],M_BOM[PPGridRow],16),0))</f>
        <v/>
      </c>
      <c r="Q82">
        <f>SUMPRODUCT((M_BOM[RM_Code]=$A82)*M_BOM[RM_Qty_Per_Batch]*IFERROR(INDEX(PP_Grid[#Data],M_BOM[PPGridRow],17),0))</f>
        <v/>
      </c>
      <c r="R82">
        <f>SUMPRODUCT((M_BOM[RM_Code]=$A82)*M_BOM[RM_Qty_Per_Batch]*IFERROR(INDEX(PP_Grid[#Data],M_BOM[PPGridRow],18),0))</f>
        <v/>
      </c>
      <c r="S82">
        <f>SUMPRODUCT((M_BOM[RM_Code]=$A82)*M_BOM[RM_Qty_Per_Batch]*IFERROR(INDEX(PP_Grid[#Data],M_BOM[PPGridRow],19),0))</f>
        <v/>
      </c>
      <c r="T82">
        <f>SUMPRODUCT((M_BOM[RM_Code]=$A82)*M_BOM[RM_Qty_Per_Batch]*IFERROR(INDEX(PP_Grid[#Data],M_BOM[PPGridRow],20),0))</f>
        <v/>
      </c>
      <c r="U82">
        <f>SUMPRODUCT((M_BOM[RM_Code]=$A82)*M_BOM[RM_Qty_Per_Batch]*IFERROR(INDEX(PP_Grid[#Data],M_BOM[PPGridRow],21),0))</f>
        <v/>
      </c>
      <c r="V82">
        <f>SUMPRODUCT((M_BOM[RM_Code]=$A82)*M_BOM[RM_Qty_Per_Batch]*IFERROR(INDEX(PP_Grid[#Data],M_BOM[PPGridRow],22),0))</f>
        <v/>
      </c>
      <c r="W82">
        <f>SUMPRODUCT((M_BOM[RM_Code]=$A82)*M_BOM[RM_Qty_Per_Batch]*IFERROR(INDEX(PP_Grid[#Data],M_BOM[PPGridRow],23),0))</f>
        <v/>
      </c>
      <c r="X82">
        <f>SUMPRODUCT((M_BOM[RM_Code]=$A82)*M_BOM[RM_Qty_Per_Batch]*IFERROR(INDEX(PP_Grid[#Data],M_BOM[PPGridRow],24),0))</f>
        <v/>
      </c>
      <c r="Y82">
        <f>SUMPRODUCT((M_BOM[RM_Code]=$A82)*M_BOM[RM_Qty_Per_Batch]*IFERROR(INDEX(PP_Grid[#Data],M_BOM[PPGridRow],25),0))</f>
        <v/>
      </c>
      <c r="Z82">
        <f>SUMPRODUCT((M_BOM[RM_Code]=$A82)*M_BOM[RM_Qty_Per_Batch]*IFERROR(INDEX(PP_Grid[#Data],M_BOM[PPGridRow],26),0))</f>
        <v/>
      </c>
      <c r="AA82">
        <f>SUMPRODUCT((M_BOM[RM_Code]=$A82)*M_BOM[RM_Qty_Per_Batch]*IFERROR(INDEX(PP_Grid[#Data],M_BOM[PPGridRow],27),0))</f>
        <v/>
      </c>
      <c r="AB82">
        <f>SUMPRODUCT((M_BOM[RM_Code]=$A82)*M_BOM[RM_Qty_Per_Batch]*IFERROR(INDEX(PP_Grid[#Data],M_BOM[PPGridRow],28),0))</f>
        <v/>
      </c>
      <c r="AC82">
        <f>SUMPRODUCT((M_BOM[RM_Code]=$A82)*M_BOM[RM_Qty_Per_Batch]*IFERROR(INDEX(PP_Grid[#Data],M_BOM[PPGridRow],29),0))</f>
        <v/>
      </c>
      <c r="AD82">
        <f>SUMPRODUCT((M_BOM[RM_Code]=$A82)*M_BOM[RM_Qty_Per_Batch]*IFERROR(INDEX(PP_Grid[#Data],M_BOM[PPGridRow],30),0))</f>
        <v/>
      </c>
      <c r="AE82">
        <f>SUMPRODUCT((M_BOM[RM_Code]=$A82)*M_BOM[RM_Qty_Per_Batch]*IFERROR(INDEX(PP_Grid[#Data],M_BOM[PPGridRow],31),0))</f>
        <v/>
      </c>
      <c r="AF82">
        <f>SUMPRODUCT((M_BOM[RM_Code]=$A82)*M_BOM[RM_Qty_Per_Batch]*IFERROR(INDEX(PP_Grid[#Data],M_BOM[PPGridRow],32),0))</f>
        <v/>
      </c>
      <c r="AG82">
        <f>SUMPRODUCT((M_BOM[RM_Code]=$A82)*M_BOM[RM_Qty_Per_Batch]*IFERROR(INDEX(PP_Grid[#Data],M_BOM[PPGridRow],33),0))</f>
        <v/>
      </c>
      <c r="AH82">
        <f>SUMPRODUCT((M_BOM[RM_Code]=$A82)*M_BOM[RM_Qty_Per_Batch]*IFERROR(INDEX(PP_Grid[#Data],M_BOM[PPGridRow],34),0))</f>
        <v/>
      </c>
      <c r="AI82">
        <f>SUMPRODUCT((M_BOM[RM_Code]=$A82)*M_BOM[RM_Qty_Per_Batch]*IFERROR(INDEX(PP_Grid[#Data],M_BOM[PPGridRow],35),0))</f>
        <v/>
      </c>
      <c r="AJ82">
        <f>SUMPRODUCT((M_BOM[RM_Code]=$A82)*M_BOM[RM_Qty_Per_Batch]*IFERROR(INDEX(PP_Grid[#Data],M_BOM[PPGridRow],36),0))</f>
        <v/>
      </c>
      <c r="AK82">
        <f>SUMPRODUCT((M_BOM[RM_Code]=$A82)*M_BOM[RM_Qty_Per_Batch]*IFERROR(INDEX(PP_Grid[#Data],M_BOM[PPGridRow],37),0))</f>
        <v/>
      </c>
      <c r="AL82">
        <f>SUMPRODUCT((M_BOM[RM_Code]=$A82)*M_BOM[RM_Qty_Per_Batch]*IFERROR(INDEX(PP_Grid[#Data],M_BOM[PPGridRow],38),0))</f>
        <v/>
      </c>
      <c r="AM82">
        <f>SUMPRODUCT((M_BOM[RM_Code]=$A82)*M_BOM[RM_Qty_Per_Batch]*IFERROR(INDEX(PP_Grid[#Data],M_BOM[PPGridRow],39),0))</f>
        <v/>
      </c>
      <c r="AN82">
        <f>SUMPRODUCT((M_BOM[RM_Code]=$A82)*M_BOM[RM_Qty_Per_Batch]*IFERROR(INDEX(PP_Grid[#Data],M_BOM[PPGridRow],40),0))</f>
        <v/>
      </c>
      <c r="AO82">
        <f>SUMPRODUCT((M_BOM[RM_Code]=$A82)*M_BOM[RM_Qty_Per_Batch]*IFERROR(INDEX(PP_Grid[#Data],M_BOM[PPGridRow],41),0))</f>
        <v/>
      </c>
      <c r="AP82">
        <f>SUMPRODUCT((M_BOM[RM_Code]=$A82)*M_BOM[RM_Qty_Per_Batch]*IFERROR(INDEX(PP_Grid[#Data],M_BOM[PPGridRow],42),0))</f>
        <v/>
      </c>
      <c r="AQ82">
        <f>SUMPRODUCT((M_BOM[RM_Code]=$A82)*M_BOM[RM_Qty_Per_Batch]*IFERROR(INDEX(PP_Grid[#Data],M_BOM[PPGridRow],43),0))</f>
        <v/>
      </c>
      <c r="AR82">
        <f>SUMPRODUCT((M_BOM[RM_Code]=$A82)*M_BOM[RM_Qty_Per_Batch]*IFERROR(INDEX(PP_Grid[#Data],M_BOM[PPGridRow],44),0))</f>
        <v/>
      </c>
      <c r="AS82">
        <f>SUMPRODUCT((M_BOM[RM_Code]=$A82)*M_BOM[RM_Qty_Per_Batch]*IFERROR(INDEX(PP_Grid[#Data],M_BOM[PPGridRow],45),0))</f>
        <v/>
      </c>
      <c r="AT82">
        <f>SUMPRODUCT((M_BOM[RM_Code]=$A82)*M_BOM[RM_Qty_Per_Batch]*IFERROR(INDEX(PP_Grid[#Data],M_BOM[PPGridRow],46),0))</f>
        <v/>
      </c>
      <c r="AU82">
        <f>SUMPRODUCT((M_BOM[RM_Code]=$A82)*M_BOM[RM_Qty_Per_Batch]*IFERROR(INDEX(PP_Grid[#Data],M_BOM[PPGridRow],47),0))</f>
        <v/>
      </c>
      <c r="AV82">
        <f>SUMPRODUCT((M_BOM[RM_Code]=$A82)*M_BOM[RM_Qty_Per_Batch]*IFERROR(INDEX(PP_Grid[#Data],M_BOM[PPGridRow],48),0))</f>
        <v/>
      </c>
      <c r="AW82">
        <f>SUMPRODUCT((M_BOM[RM_Code]=$A82)*M_BOM[RM_Qty_Per_Batch]*IFERROR(INDEX(PP_Grid[#Data],M_BOM[PPGridRow],49),0))</f>
        <v/>
      </c>
      <c r="AX82">
        <f>SUMPRODUCT((M_BOM[RM_Code]=$A82)*M_BOM[RM_Qty_Per_Batch]*IFERROR(INDEX(PP_Grid[#Data],M_BOM[PPGridRow],50),0))</f>
        <v/>
      </c>
      <c r="AY82">
        <f>SUMPRODUCT((M_BOM[RM_Code]=$A82)*M_BOM[RM_Qty_Per_Batch]*IFERROR(INDEX(PP_Grid[#Data],M_BOM[PPGridRow],51),0))</f>
        <v/>
      </c>
      <c r="AZ82">
        <f>SUMPRODUCT((M_BOM[RM_Code]=$A82)*M_BOM[RM_Qty_Per_Batch]*IFERROR(INDEX(PP_Grid[#Data],M_BOM[PPGridRow],52),0))</f>
        <v/>
      </c>
      <c r="BA82">
        <f>SUMPRODUCT((M_BOM[RM_Code]=$A82)*M_BOM[RM_Qty_Per_Batch]*IFERROR(INDEX(PP_Grid[#Data],M_BOM[PPGridRow],53),0))</f>
        <v/>
      </c>
      <c r="BB82">
        <f>SUMPRODUCT((M_BOM[RM_Code]=$A82)*M_BOM[RM_Qty_Per_Batch]*IFERROR(INDEX(PP_Grid[#Data],M_BOM[PPGridRow],54),0))</f>
        <v/>
      </c>
      <c r="BC82">
        <f>SUMPRODUCT((M_BOM[RM_Code]=$A82)*M_BOM[RM_Qty_Per_Batch]*IFERROR(INDEX(PP_Grid[#Data],M_BOM[PPGridRow],55),0))</f>
        <v/>
      </c>
      <c r="BD82">
        <f>SUMPRODUCT((M_BOM[RM_Code]=$A82)*M_BOM[RM_Qty_Per_Batch]*IFERROR(INDEX(PP_Grid[#Data],M_BOM[PPGridRow],56),0))</f>
        <v/>
      </c>
      <c r="BE82">
        <f>SUMPRODUCT((M_BOM[RM_Code]=$A82)*M_BOM[RM_Qty_Per_Batch]*IFERROR(INDEX(PP_Grid[#Data],M_BOM[PPGridRow],57),0))</f>
        <v/>
      </c>
      <c r="BF82">
        <f>SUMPRODUCT((M_BOM[RM_Code]=$A82)*M_BOM[RM_Qty_Per_Batch]*IFERROR(INDEX(PP_Grid[#Data],M_BOM[PPGridRow],58),0))</f>
        <v/>
      </c>
      <c r="BG82">
        <f>SUMPRODUCT((M_BOM[RM_Code]=$A82)*M_BOM[RM_Qty_Per_Batch]*IFERROR(INDEX(PP_Grid[#Data],M_BOM[PPGridRow],59),0))</f>
        <v/>
      </c>
      <c r="BH82">
        <f>SUMPRODUCT((M_BOM[RM_Code]=$A82)*M_BOM[RM_Qty_Per_Batch]*IFERROR(INDEX(PP_Grid[#Data],M_BOM[PPGridRow],60),0))</f>
        <v/>
      </c>
      <c r="BI82">
        <f>SUMPRODUCT((M_BOM[RM_Code]=$A82)*M_BOM[RM_Qty_Per_Batch]*IFERROR(INDEX(PP_Grid[#Data],M_BOM[PPGridRow],61),0))</f>
        <v/>
      </c>
      <c r="BJ82">
        <f>SUMPRODUCT((M_BOM[RM_Code]=$A82)*M_BOM[RM_Qty_Per_Batch]*IFERROR(INDEX(PP_Grid[#Data],M_BOM[PPGridRow],62),0))</f>
        <v/>
      </c>
      <c r="BK82">
        <f>SUMPRODUCT((M_BOM[RM_Code]=$A82)*M_BOM[RM_Qty_Per_Batch]*IFERROR(INDEX(PP_Grid[#Data],M_BOM[PPGridRow],63),0))</f>
        <v/>
      </c>
      <c r="BL82">
        <f>SUMPRODUCT((M_BOM[RM_Code]=$A82)*M_BOM[RM_Qty_Per_Batch]*IFERROR(INDEX(PP_Grid[#Data],M_BOM[PPGridRow],64),0))</f>
        <v/>
      </c>
      <c r="BM82">
        <f>SUMPRODUCT((M_BOM[RM_Code]=$A82)*M_BOM[RM_Qty_Per_Batch]*IFERROR(INDEX(PP_Grid[#Data],M_BOM[PPGridRow],65),0))</f>
        <v/>
      </c>
      <c r="BN82">
        <f>SUMPRODUCT((M_BOM[RM_Code]=$A82)*M_BOM[RM_Qty_Per_Batch]*IFERROR(INDEX(PP_Grid[#Data],M_BOM[PPGridRow],66),0))</f>
        <v/>
      </c>
      <c r="BO82">
        <f>SUMPRODUCT((M_BOM[RM_Code]=$A82)*M_BOM[RM_Qty_Per_Batch]*IFERROR(INDEX(PP_Grid[#Data],M_BOM[PPGridRow],67),0))</f>
        <v/>
      </c>
      <c r="BP82">
        <f>SUMPRODUCT((M_BOM[RM_Code]=$A82)*M_BOM[RM_Qty_Per_Batch]*IFERROR(INDEX(PP_Grid[#Data],M_BOM[PPGridRow],68),0))</f>
        <v/>
      </c>
      <c r="BQ82">
        <f>SUMPRODUCT((M_BOM[RM_Code]=$A82)*M_BOM[RM_Qty_Per_Batch]*IFERROR(INDEX(PP_Grid[#Data],M_BOM[PPGridRow],69),0))</f>
        <v/>
      </c>
      <c r="BR82">
        <f>SUMPRODUCT((M_BOM[RM_Code]=$A82)*M_BOM[RM_Qty_Per_Batch]*IFERROR(INDEX(PP_Grid[#Data],M_BOM[PPGridRow],70),0))</f>
        <v/>
      </c>
      <c r="BS82">
        <f>SUMPRODUCT((M_BOM[RM_Code]=$A82)*M_BOM[RM_Qty_Per_Batch]*IFERROR(INDEX(PP_Grid[#Data],M_BOM[PPGridRow],71),0))</f>
        <v/>
      </c>
      <c r="BT82">
        <f>SUMPRODUCT((M_BOM[RM_Code]=$A82)*M_BOM[RM_Qty_Per_Batch]*IFERROR(INDEX(PP_Grid[#Data],M_BOM[PPGridRow],72),0))</f>
        <v/>
      </c>
      <c r="BU82">
        <f>SUMPRODUCT((M_BOM[RM_Code]=$A82)*M_BOM[RM_Qty_Per_Batch]*IFERROR(INDEX(PP_Grid[#Data],M_BOM[PPGridRow],73),0))</f>
        <v/>
      </c>
      <c r="BV82">
        <f>SUMPRODUCT((M_BOM[RM_Code]=$A82)*M_BOM[RM_Qty_Per_Batch]*IFERROR(INDEX(PP_Grid[#Data],M_BOM[PPGridRow],74),0))</f>
        <v/>
      </c>
      <c r="BW82">
        <f>SUMPRODUCT((M_BOM[RM_Code]=$A82)*M_BOM[RM_Qty_Per_Batch]*IFERROR(INDEX(PP_Grid[#Data],M_BOM[PPGridRow],75),0))</f>
        <v/>
      </c>
      <c r="BX82">
        <f>SUMPRODUCT((M_BOM[RM_Code]=$A82)*M_BOM[RM_Qty_Per_Batch]*IFERROR(INDEX(PP_Grid[#Data],M_BOM[PPGridRow],76),0))</f>
        <v/>
      </c>
      <c r="BY82">
        <f>SUMPRODUCT((M_BOM[RM_Code]=$A82)*M_BOM[RM_Qty_Per_Batch]*IFERROR(INDEX(PP_Grid[#Data],M_BOM[PPGridRow],77),0))</f>
        <v/>
      </c>
      <c r="BZ82">
        <f>SUMPRODUCT((M_BOM[RM_Code]=$A82)*M_BOM[RM_Qty_Per_Batch]*IFERROR(INDEX(PP_Grid[#Data],M_BOM[PPGridRow],78),0))</f>
        <v/>
      </c>
      <c r="CA82">
        <f>SUMPRODUCT((M_BOM[RM_Code]=$A82)*M_BOM[RM_Qty_Per_Batch]*IFERROR(INDEX(PP_Grid[#Data],M_BOM[PPGridRow],79),0))</f>
        <v/>
      </c>
      <c r="CB82">
        <f>SUMPRODUCT((M_BOM[RM_Code]=$A82)*M_BOM[RM_Qty_Per_Batch]*IFERROR(INDEX(PP_Grid[#Data],M_BOM[PPGridRow],80),0))</f>
        <v/>
      </c>
      <c r="CC82">
        <f>SUMPRODUCT((M_BOM[RM_Code]=$A82)*M_BOM[RM_Qty_Per_Batch]*IFERROR(INDEX(PP_Grid[#Data],M_BOM[PPGridRow],81),0))</f>
        <v/>
      </c>
      <c r="CD82">
        <f>SUMPRODUCT((M_BOM[RM_Code]=$A82)*M_BOM[RM_Qty_Per_Batch]*IFERROR(INDEX(PP_Grid[#Data],M_BOM[PPGridRow],82),0))</f>
        <v/>
      </c>
      <c r="CE82">
        <f>SUMPRODUCT((M_BOM[RM_Code]=$A82)*M_BOM[RM_Qty_Per_Batch]*IFERROR(INDEX(PP_Grid[#Data],M_BOM[PPGridRow],83),0))</f>
        <v/>
      </c>
      <c r="CF82">
        <f>SUMPRODUCT((M_BOM[RM_Code]=$A82)*M_BOM[RM_Qty_Per_Batch]*IFERROR(INDEX(PP_Grid[#Data],M_BOM[PPGridRow],84),0))</f>
        <v/>
      </c>
      <c r="CG82">
        <f>SUMPRODUCT((M_BOM[RM_Code]=$A82)*M_BOM[RM_Qty_Per_Batch]*IFERROR(INDEX(PP_Grid[#Data],M_BOM[PPGridRow],85),0))</f>
        <v/>
      </c>
      <c r="CH82">
        <f>SUMPRODUCT((M_BOM[RM_Code]=$A82)*M_BOM[RM_Qty_Per_Batch]*IFERROR(INDEX(PP_Grid[#Data],M_BOM[PPGridRow],86),0))</f>
        <v/>
      </c>
      <c r="CI82">
        <f>SUMPRODUCT((M_BOM[RM_Code]=$A82)*M_BOM[RM_Qty_Per_Batch]*IFERROR(INDEX(PP_Grid[#Data],M_BOM[PPGridRow],87),0))</f>
        <v/>
      </c>
      <c r="CJ82">
        <f>SUMPRODUCT((M_BOM[RM_Code]=$A82)*M_BOM[RM_Qty_Per_Batch]*IFERROR(INDEX(PP_Grid[#Data],M_BOM[PPGridRow],88),0))</f>
        <v/>
      </c>
      <c r="CK82">
        <f>SUMPRODUCT((M_BOM[RM_Code]=$A82)*M_BOM[RM_Qty_Per_Batch]*IFERROR(INDEX(PP_Grid[#Data],M_BOM[PPGridRow],89),0))</f>
        <v/>
      </c>
      <c r="CL82">
        <f>SUMPRODUCT((M_BOM[RM_Code]=$A82)*M_BOM[RM_Qty_Per_Batch]*IFERROR(INDEX(PP_Grid[#Data],M_BOM[PPGridRow],90),0))</f>
        <v/>
      </c>
      <c r="CM82">
        <f>SUMPRODUCT((M_BOM[RM_Code]=$A82)*M_BOM[RM_Qty_Per_Batch]*IFERROR(INDEX(PP_Grid[#Data],M_BOM[PPGridRow],91),0))</f>
        <v/>
      </c>
      <c r="CN82">
        <f>SUMPRODUCT((M_BOM[RM_Code]=$A82)*M_BOM[RM_Qty_Per_Batch]*IFERROR(INDEX(PP_Grid[#Data],M_BOM[PPGridRow],92),0))</f>
        <v/>
      </c>
      <c r="CO82">
        <f>SUMPRODUCT((M_BOM[RM_Code]=$A82)*M_BOM[RM_Qty_Per_Batch]*IFERROR(INDEX(PP_Grid[#Data],M_BOM[PPGridRow],93),0))</f>
        <v/>
      </c>
      <c r="CP82">
        <f>SUMPRODUCT((M_BOM[RM_Code]=$A82)*M_BOM[RM_Qty_Per_Batch]*IFERROR(INDEX(PP_Grid[#Data],M_BOM[PPGridRow],94),0))</f>
        <v/>
      </c>
      <c r="CQ82">
        <f>SUMPRODUCT((M_BOM[RM_Code]=$A82)*M_BOM[RM_Qty_Per_Batch]*IFERROR(INDEX(PP_Grid[#Data],M_BOM[PPGridRow],95),0))</f>
        <v/>
      </c>
      <c r="CR82">
        <f>SUMPRODUCT((M_BOM[RM_Code]=$A82)*M_BOM[RM_Qty_Per_Batch]*IFERROR(INDEX(PP_Grid[#Data],M_BOM[PPGridRow],96),0))</f>
        <v/>
      </c>
      <c r="CS82">
        <f>SUMPRODUCT((M_BOM[RM_Code]=$A82)*M_BOM[RM_Qty_Per_Batch]*IFERROR(INDEX(PP_Grid[#Data],M_BOM[PPGridRow],97),0))</f>
        <v/>
      </c>
      <c r="CT82">
        <f>SUMPRODUCT((M_BOM[RM_Code]=$A82)*M_BOM[RM_Qty_Per_Batch]*IFERROR(INDEX(PP_Grid[#Data],M_BOM[PPGridRow],98),0))</f>
        <v/>
      </c>
      <c r="CU82">
        <f>SUMPRODUCT((M_BOM[RM_Code]=$A82)*M_BOM[RM_Qty_Per_Batch]*IFERROR(INDEX(PP_Grid[#Data],M_BOM[PPGridRow],99),0))</f>
        <v/>
      </c>
      <c r="CV82">
        <f>SUMPRODUCT((M_BOM[RM_Code]=$A82)*M_BOM[RM_Qty_Per_Batch]*IFERROR(INDEX(PP_Grid[#Data],M_BOM[PPGridRow],100),0))</f>
        <v/>
      </c>
      <c r="CW82">
        <f>SUMPRODUCT((M_BOM[RM_Code]=$A82)*M_BOM[RM_Qty_Per_Batch]*IFERROR(INDEX(PP_Grid[#Data],M_BOM[PPGridRow],101),0))</f>
        <v/>
      </c>
      <c r="CX82">
        <f>SUMPRODUCT((M_BOM[RM_Code]=$A82)*M_BOM[RM_Qty_Per_Batch]*IFERROR(INDEX(PP_Grid[#Data],M_BOM[PPGridRow],102),0))</f>
        <v/>
      </c>
      <c r="CY82">
        <f>SUMPRODUCT((M_BOM[RM_Code]=$A82)*M_BOM[RM_Qty_Per_Batch]*IFERROR(INDEX(PP_Grid[#Data],M_BOM[PPGridRow],103),0))</f>
        <v/>
      </c>
      <c r="CZ82">
        <f>SUMPRODUCT((M_BOM[RM_Code]=$A82)*M_BOM[RM_Qty_Per_Batch]*IFERROR(INDEX(PP_Grid[#Data],M_BOM[PPGridRow],104),0))</f>
        <v/>
      </c>
      <c r="DA82">
        <f>SUMPRODUCT((M_BOM[RM_Code]=$A82)*M_BOM[RM_Qty_Per_Batch]*IFERROR(INDEX(PP_Grid[#Data],M_BOM[PPGridRow],105),0))</f>
        <v/>
      </c>
    </row>
    <row r="83">
      <c r="A83" t="inlineStr">
        <is>
          <t>CHEM-1220</t>
        </is>
      </c>
      <c r="B83">
        <f>SUMPRODUCT((M_BOM[RM_Code]=$A83)*M_BOM[RM_Qty_Per_Batch]*IFERROR(INDEX(PP_Grid[#Data],M_BOM[PPGridRow],2),0))</f>
        <v/>
      </c>
      <c r="C83">
        <f>SUMPRODUCT((M_BOM[RM_Code]=$A83)*M_BOM[RM_Qty_Per_Batch]*IFERROR(INDEX(PP_Grid[#Data],M_BOM[PPGridRow],3),0))</f>
        <v/>
      </c>
      <c r="D83">
        <f>SUMPRODUCT((M_BOM[RM_Code]=$A83)*M_BOM[RM_Qty_Per_Batch]*IFERROR(INDEX(PP_Grid[#Data],M_BOM[PPGridRow],4),0))</f>
        <v/>
      </c>
      <c r="E83">
        <f>SUMPRODUCT((M_BOM[RM_Code]=$A83)*M_BOM[RM_Qty_Per_Batch]*IFERROR(INDEX(PP_Grid[#Data],M_BOM[PPGridRow],5),0))</f>
        <v/>
      </c>
      <c r="F83">
        <f>SUMPRODUCT((M_BOM[RM_Code]=$A83)*M_BOM[RM_Qty_Per_Batch]*IFERROR(INDEX(PP_Grid[#Data],M_BOM[PPGridRow],6),0))</f>
        <v/>
      </c>
      <c r="G83">
        <f>SUMPRODUCT((M_BOM[RM_Code]=$A83)*M_BOM[RM_Qty_Per_Batch]*IFERROR(INDEX(PP_Grid[#Data],M_BOM[PPGridRow],7),0))</f>
        <v/>
      </c>
      <c r="H83">
        <f>SUMPRODUCT((M_BOM[RM_Code]=$A83)*M_BOM[RM_Qty_Per_Batch]*IFERROR(INDEX(PP_Grid[#Data],M_BOM[PPGridRow],8),0))</f>
        <v/>
      </c>
      <c r="I83">
        <f>SUMPRODUCT((M_BOM[RM_Code]=$A83)*M_BOM[RM_Qty_Per_Batch]*IFERROR(INDEX(PP_Grid[#Data],M_BOM[PPGridRow],9),0))</f>
        <v/>
      </c>
      <c r="J83">
        <f>SUMPRODUCT((M_BOM[RM_Code]=$A83)*M_BOM[RM_Qty_Per_Batch]*IFERROR(INDEX(PP_Grid[#Data],M_BOM[PPGridRow],10),0))</f>
        <v/>
      </c>
      <c r="K83">
        <f>SUMPRODUCT((M_BOM[RM_Code]=$A83)*M_BOM[RM_Qty_Per_Batch]*IFERROR(INDEX(PP_Grid[#Data],M_BOM[PPGridRow],11),0))</f>
        <v/>
      </c>
      <c r="L83">
        <f>SUMPRODUCT((M_BOM[RM_Code]=$A83)*M_BOM[RM_Qty_Per_Batch]*IFERROR(INDEX(PP_Grid[#Data],M_BOM[PPGridRow],12),0))</f>
        <v/>
      </c>
      <c r="M83">
        <f>SUMPRODUCT((M_BOM[RM_Code]=$A83)*M_BOM[RM_Qty_Per_Batch]*IFERROR(INDEX(PP_Grid[#Data],M_BOM[PPGridRow],13),0))</f>
        <v/>
      </c>
      <c r="N83">
        <f>SUMPRODUCT((M_BOM[RM_Code]=$A83)*M_BOM[RM_Qty_Per_Batch]*IFERROR(INDEX(PP_Grid[#Data],M_BOM[PPGridRow],14),0))</f>
        <v/>
      </c>
      <c r="O83">
        <f>SUMPRODUCT((M_BOM[RM_Code]=$A83)*M_BOM[RM_Qty_Per_Batch]*IFERROR(INDEX(PP_Grid[#Data],M_BOM[PPGridRow],15),0))</f>
        <v/>
      </c>
      <c r="P83">
        <f>SUMPRODUCT((M_BOM[RM_Code]=$A83)*M_BOM[RM_Qty_Per_Batch]*IFERROR(INDEX(PP_Grid[#Data],M_BOM[PPGridRow],16),0))</f>
        <v/>
      </c>
      <c r="Q83">
        <f>SUMPRODUCT((M_BOM[RM_Code]=$A83)*M_BOM[RM_Qty_Per_Batch]*IFERROR(INDEX(PP_Grid[#Data],M_BOM[PPGridRow],17),0))</f>
        <v/>
      </c>
      <c r="R83">
        <f>SUMPRODUCT((M_BOM[RM_Code]=$A83)*M_BOM[RM_Qty_Per_Batch]*IFERROR(INDEX(PP_Grid[#Data],M_BOM[PPGridRow],18),0))</f>
        <v/>
      </c>
      <c r="S83">
        <f>SUMPRODUCT((M_BOM[RM_Code]=$A83)*M_BOM[RM_Qty_Per_Batch]*IFERROR(INDEX(PP_Grid[#Data],M_BOM[PPGridRow],19),0))</f>
        <v/>
      </c>
      <c r="T83">
        <f>SUMPRODUCT((M_BOM[RM_Code]=$A83)*M_BOM[RM_Qty_Per_Batch]*IFERROR(INDEX(PP_Grid[#Data],M_BOM[PPGridRow],20),0))</f>
        <v/>
      </c>
      <c r="U83">
        <f>SUMPRODUCT((M_BOM[RM_Code]=$A83)*M_BOM[RM_Qty_Per_Batch]*IFERROR(INDEX(PP_Grid[#Data],M_BOM[PPGridRow],21),0))</f>
        <v/>
      </c>
      <c r="V83">
        <f>SUMPRODUCT((M_BOM[RM_Code]=$A83)*M_BOM[RM_Qty_Per_Batch]*IFERROR(INDEX(PP_Grid[#Data],M_BOM[PPGridRow],22),0))</f>
        <v/>
      </c>
      <c r="W83">
        <f>SUMPRODUCT((M_BOM[RM_Code]=$A83)*M_BOM[RM_Qty_Per_Batch]*IFERROR(INDEX(PP_Grid[#Data],M_BOM[PPGridRow],23),0))</f>
        <v/>
      </c>
      <c r="X83">
        <f>SUMPRODUCT((M_BOM[RM_Code]=$A83)*M_BOM[RM_Qty_Per_Batch]*IFERROR(INDEX(PP_Grid[#Data],M_BOM[PPGridRow],24),0))</f>
        <v/>
      </c>
      <c r="Y83">
        <f>SUMPRODUCT((M_BOM[RM_Code]=$A83)*M_BOM[RM_Qty_Per_Batch]*IFERROR(INDEX(PP_Grid[#Data],M_BOM[PPGridRow],25),0))</f>
        <v/>
      </c>
      <c r="Z83">
        <f>SUMPRODUCT((M_BOM[RM_Code]=$A83)*M_BOM[RM_Qty_Per_Batch]*IFERROR(INDEX(PP_Grid[#Data],M_BOM[PPGridRow],26),0))</f>
        <v/>
      </c>
      <c r="AA83">
        <f>SUMPRODUCT((M_BOM[RM_Code]=$A83)*M_BOM[RM_Qty_Per_Batch]*IFERROR(INDEX(PP_Grid[#Data],M_BOM[PPGridRow],27),0))</f>
        <v/>
      </c>
      <c r="AB83">
        <f>SUMPRODUCT((M_BOM[RM_Code]=$A83)*M_BOM[RM_Qty_Per_Batch]*IFERROR(INDEX(PP_Grid[#Data],M_BOM[PPGridRow],28),0))</f>
        <v/>
      </c>
      <c r="AC83">
        <f>SUMPRODUCT((M_BOM[RM_Code]=$A83)*M_BOM[RM_Qty_Per_Batch]*IFERROR(INDEX(PP_Grid[#Data],M_BOM[PPGridRow],29),0))</f>
        <v/>
      </c>
      <c r="AD83">
        <f>SUMPRODUCT((M_BOM[RM_Code]=$A83)*M_BOM[RM_Qty_Per_Batch]*IFERROR(INDEX(PP_Grid[#Data],M_BOM[PPGridRow],30),0))</f>
        <v/>
      </c>
      <c r="AE83">
        <f>SUMPRODUCT((M_BOM[RM_Code]=$A83)*M_BOM[RM_Qty_Per_Batch]*IFERROR(INDEX(PP_Grid[#Data],M_BOM[PPGridRow],31),0))</f>
        <v/>
      </c>
      <c r="AF83">
        <f>SUMPRODUCT((M_BOM[RM_Code]=$A83)*M_BOM[RM_Qty_Per_Batch]*IFERROR(INDEX(PP_Grid[#Data],M_BOM[PPGridRow],32),0))</f>
        <v/>
      </c>
      <c r="AG83">
        <f>SUMPRODUCT((M_BOM[RM_Code]=$A83)*M_BOM[RM_Qty_Per_Batch]*IFERROR(INDEX(PP_Grid[#Data],M_BOM[PPGridRow],33),0))</f>
        <v/>
      </c>
      <c r="AH83">
        <f>SUMPRODUCT((M_BOM[RM_Code]=$A83)*M_BOM[RM_Qty_Per_Batch]*IFERROR(INDEX(PP_Grid[#Data],M_BOM[PPGridRow],34),0))</f>
        <v/>
      </c>
      <c r="AI83">
        <f>SUMPRODUCT((M_BOM[RM_Code]=$A83)*M_BOM[RM_Qty_Per_Batch]*IFERROR(INDEX(PP_Grid[#Data],M_BOM[PPGridRow],35),0))</f>
        <v/>
      </c>
      <c r="AJ83">
        <f>SUMPRODUCT((M_BOM[RM_Code]=$A83)*M_BOM[RM_Qty_Per_Batch]*IFERROR(INDEX(PP_Grid[#Data],M_BOM[PPGridRow],36),0))</f>
        <v/>
      </c>
      <c r="AK83">
        <f>SUMPRODUCT((M_BOM[RM_Code]=$A83)*M_BOM[RM_Qty_Per_Batch]*IFERROR(INDEX(PP_Grid[#Data],M_BOM[PPGridRow],37),0))</f>
        <v/>
      </c>
      <c r="AL83">
        <f>SUMPRODUCT((M_BOM[RM_Code]=$A83)*M_BOM[RM_Qty_Per_Batch]*IFERROR(INDEX(PP_Grid[#Data],M_BOM[PPGridRow],38),0))</f>
        <v/>
      </c>
      <c r="AM83">
        <f>SUMPRODUCT((M_BOM[RM_Code]=$A83)*M_BOM[RM_Qty_Per_Batch]*IFERROR(INDEX(PP_Grid[#Data],M_BOM[PPGridRow],39),0))</f>
        <v/>
      </c>
      <c r="AN83">
        <f>SUMPRODUCT((M_BOM[RM_Code]=$A83)*M_BOM[RM_Qty_Per_Batch]*IFERROR(INDEX(PP_Grid[#Data],M_BOM[PPGridRow],40),0))</f>
        <v/>
      </c>
      <c r="AO83">
        <f>SUMPRODUCT((M_BOM[RM_Code]=$A83)*M_BOM[RM_Qty_Per_Batch]*IFERROR(INDEX(PP_Grid[#Data],M_BOM[PPGridRow],41),0))</f>
        <v/>
      </c>
      <c r="AP83">
        <f>SUMPRODUCT((M_BOM[RM_Code]=$A83)*M_BOM[RM_Qty_Per_Batch]*IFERROR(INDEX(PP_Grid[#Data],M_BOM[PPGridRow],42),0))</f>
        <v/>
      </c>
      <c r="AQ83">
        <f>SUMPRODUCT((M_BOM[RM_Code]=$A83)*M_BOM[RM_Qty_Per_Batch]*IFERROR(INDEX(PP_Grid[#Data],M_BOM[PPGridRow],43),0))</f>
        <v/>
      </c>
      <c r="AR83">
        <f>SUMPRODUCT((M_BOM[RM_Code]=$A83)*M_BOM[RM_Qty_Per_Batch]*IFERROR(INDEX(PP_Grid[#Data],M_BOM[PPGridRow],44),0))</f>
        <v/>
      </c>
      <c r="AS83">
        <f>SUMPRODUCT((M_BOM[RM_Code]=$A83)*M_BOM[RM_Qty_Per_Batch]*IFERROR(INDEX(PP_Grid[#Data],M_BOM[PPGridRow],45),0))</f>
        <v/>
      </c>
      <c r="AT83">
        <f>SUMPRODUCT((M_BOM[RM_Code]=$A83)*M_BOM[RM_Qty_Per_Batch]*IFERROR(INDEX(PP_Grid[#Data],M_BOM[PPGridRow],46),0))</f>
        <v/>
      </c>
      <c r="AU83">
        <f>SUMPRODUCT((M_BOM[RM_Code]=$A83)*M_BOM[RM_Qty_Per_Batch]*IFERROR(INDEX(PP_Grid[#Data],M_BOM[PPGridRow],47),0))</f>
        <v/>
      </c>
      <c r="AV83">
        <f>SUMPRODUCT((M_BOM[RM_Code]=$A83)*M_BOM[RM_Qty_Per_Batch]*IFERROR(INDEX(PP_Grid[#Data],M_BOM[PPGridRow],48),0))</f>
        <v/>
      </c>
      <c r="AW83">
        <f>SUMPRODUCT((M_BOM[RM_Code]=$A83)*M_BOM[RM_Qty_Per_Batch]*IFERROR(INDEX(PP_Grid[#Data],M_BOM[PPGridRow],49),0))</f>
        <v/>
      </c>
      <c r="AX83">
        <f>SUMPRODUCT((M_BOM[RM_Code]=$A83)*M_BOM[RM_Qty_Per_Batch]*IFERROR(INDEX(PP_Grid[#Data],M_BOM[PPGridRow],50),0))</f>
        <v/>
      </c>
      <c r="AY83">
        <f>SUMPRODUCT((M_BOM[RM_Code]=$A83)*M_BOM[RM_Qty_Per_Batch]*IFERROR(INDEX(PP_Grid[#Data],M_BOM[PPGridRow],51),0))</f>
        <v/>
      </c>
      <c r="AZ83">
        <f>SUMPRODUCT((M_BOM[RM_Code]=$A83)*M_BOM[RM_Qty_Per_Batch]*IFERROR(INDEX(PP_Grid[#Data],M_BOM[PPGridRow],52),0))</f>
        <v/>
      </c>
      <c r="BA83">
        <f>SUMPRODUCT((M_BOM[RM_Code]=$A83)*M_BOM[RM_Qty_Per_Batch]*IFERROR(INDEX(PP_Grid[#Data],M_BOM[PPGridRow],53),0))</f>
        <v/>
      </c>
      <c r="BB83">
        <f>SUMPRODUCT((M_BOM[RM_Code]=$A83)*M_BOM[RM_Qty_Per_Batch]*IFERROR(INDEX(PP_Grid[#Data],M_BOM[PPGridRow],54),0))</f>
        <v/>
      </c>
      <c r="BC83">
        <f>SUMPRODUCT((M_BOM[RM_Code]=$A83)*M_BOM[RM_Qty_Per_Batch]*IFERROR(INDEX(PP_Grid[#Data],M_BOM[PPGridRow],55),0))</f>
        <v/>
      </c>
      <c r="BD83">
        <f>SUMPRODUCT((M_BOM[RM_Code]=$A83)*M_BOM[RM_Qty_Per_Batch]*IFERROR(INDEX(PP_Grid[#Data],M_BOM[PPGridRow],56),0))</f>
        <v/>
      </c>
      <c r="BE83">
        <f>SUMPRODUCT((M_BOM[RM_Code]=$A83)*M_BOM[RM_Qty_Per_Batch]*IFERROR(INDEX(PP_Grid[#Data],M_BOM[PPGridRow],57),0))</f>
        <v/>
      </c>
      <c r="BF83">
        <f>SUMPRODUCT((M_BOM[RM_Code]=$A83)*M_BOM[RM_Qty_Per_Batch]*IFERROR(INDEX(PP_Grid[#Data],M_BOM[PPGridRow],58),0))</f>
        <v/>
      </c>
      <c r="BG83">
        <f>SUMPRODUCT((M_BOM[RM_Code]=$A83)*M_BOM[RM_Qty_Per_Batch]*IFERROR(INDEX(PP_Grid[#Data],M_BOM[PPGridRow],59),0))</f>
        <v/>
      </c>
      <c r="BH83">
        <f>SUMPRODUCT((M_BOM[RM_Code]=$A83)*M_BOM[RM_Qty_Per_Batch]*IFERROR(INDEX(PP_Grid[#Data],M_BOM[PPGridRow],60),0))</f>
        <v/>
      </c>
      <c r="BI83">
        <f>SUMPRODUCT((M_BOM[RM_Code]=$A83)*M_BOM[RM_Qty_Per_Batch]*IFERROR(INDEX(PP_Grid[#Data],M_BOM[PPGridRow],61),0))</f>
        <v/>
      </c>
      <c r="BJ83">
        <f>SUMPRODUCT((M_BOM[RM_Code]=$A83)*M_BOM[RM_Qty_Per_Batch]*IFERROR(INDEX(PP_Grid[#Data],M_BOM[PPGridRow],62),0))</f>
        <v/>
      </c>
      <c r="BK83">
        <f>SUMPRODUCT((M_BOM[RM_Code]=$A83)*M_BOM[RM_Qty_Per_Batch]*IFERROR(INDEX(PP_Grid[#Data],M_BOM[PPGridRow],63),0))</f>
        <v/>
      </c>
      <c r="BL83">
        <f>SUMPRODUCT((M_BOM[RM_Code]=$A83)*M_BOM[RM_Qty_Per_Batch]*IFERROR(INDEX(PP_Grid[#Data],M_BOM[PPGridRow],64),0))</f>
        <v/>
      </c>
      <c r="BM83">
        <f>SUMPRODUCT((M_BOM[RM_Code]=$A83)*M_BOM[RM_Qty_Per_Batch]*IFERROR(INDEX(PP_Grid[#Data],M_BOM[PPGridRow],65),0))</f>
        <v/>
      </c>
      <c r="BN83">
        <f>SUMPRODUCT((M_BOM[RM_Code]=$A83)*M_BOM[RM_Qty_Per_Batch]*IFERROR(INDEX(PP_Grid[#Data],M_BOM[PPGridRow],66),0))</f>
        <v/>
      </c>
      <c r="BO83">
        <f>SUMPRODUCT((M_BOM[RM_Code]=$A83)*M_BOM[RM_Qty_Per_Batch]*IFERROR(INDEX(PP_Grid[#Data],M_BOM[PPGridRow],67),0))</f>
        <v/>
      </c>
      <c r="BP83">
        <f>SUMPRODUCT((M_BOM[RM_Code]=$A83)*M_BOM[RM_Qty_Per_Batch]*IFERROR(INDEX(PP_Grid[#Data],M_BOM[PPGridRow],68),0))</f>
        <v/>
      </c>
      <c r="BQ83">
        <f>SUMPRODUCT((M_BOM[RM_Code]=$A83)*M_BOM[RM_Qty_Per_Batch]*IFERROR(INDEX(PP_Grid[#Data],M_BOM[PPGridRow],69),0))</f>
        <v/>
      </c>
      <c r="BR83">
        <f>SUMPRODUCT((M_BOM[RM_Code]=$A83)*M_BOM[RM_Qty_Per_Batch]*IFERROR(INDEX(PP_Grid[#Data],M_BOM[PPGridRow],70),0))</f>
        <v/>
      </c>
      <c r="BS83">
        <f>SUMPRODUCT((M_BOM[RM_Code]=$A83)*M_BOM[RM_Qty_Per_Batch]*IFERROR(INDEX(PP_Grid[#Data],M_BOM[PPGridRow],71),0))</f>
        <v/>
      </c>
      <c r="BT83">
        <f>SUMPRODUCT((M_BOM[RM_Code]=$A83)*M_BOM[RM_Qty_Per_Batch]*IFERROR(INDEX(PP_Grid[#Data],M_BOM[PPGridRow],72),0))</f>
        <v/>
      </c>
      <c r="BU83">
        <f>SUMPRODUCT((M_BOM[RM_Code]=$A83)*M_BOM[RM_Qty_Per_Batch]*IFERROR(INDEX(PP_Grid[#Data],M_BOM[PPGridRow],73),0))</f>
        <v/>
      </c>
      <c r="BV83">
        <f>SUMPRODUCT((M_BOM[RM_Code]=$A83)*M_BOM[RM_Qty_Per_Batch]*IFERROR(INDEX(PP_Grid[#Data],M_BOM[PPGridRow],74),0))</f>
        <v/>
      </c>
      <c r="BW83">
        <f>SUMPRODUCT((M_BOM[RM_Code]=$A83)*M_BOM[RM_Qty_Per_Batch]*IFERROR(INDEX(PP_Grid[#Data],M_BOM[PPGridRow],75),0))</f>
        <v/>
      </c>
      <c r="BX83">
        <f>SUMPRODUCT((M_BOM[RM_Code]=$A83)*M_BOM[RM_Qty_Per_Batch]*IFERROR(INDEX(PP_Grid[#Data],M_BOM[PPGridRow],76),0))</f>
        <v/>
      </c>
      <c r="BY83">
        <f>SUMPRODUCT((M_BOM[RM_Code]=$A83)*M_BOM[RM_Qty_Per_Batch]*IFERROR(INDEX(PP_Grid[#Data],M_BOM[PPGridRow],77),0))</f>
        <v/>
      </c>
      <c r="BZ83">
        <f>SUMPRODUCT((M_BOM[RM_Code]=$A83)*M_BOM[RM_Qty_Per_Batch]*IFERROR(INDEX(PP_Grid[#Data],M_BOM[PPGridRow],78),0))</f>
        <v/>
      </c>
      <c r="CA83">
        <f>SUMPRODUCT((M_BOM[RM_Code]=$A83)*M_BOM[RM_Qty_Per_Batch]*IFERROR(INDEX(PP_Grid[#Data],M_BOM[PPGridRow],79),0))</f>
        <v/>
      </c>
      <c r="CB83">
        <f>SUMPRODUCT((M_BOM[RM_Code]=$A83)*M_BOM[RM_Qty_Per_Batch]*IFERROR(INDEX(PP_Grid[#Data],M_BOM[PPGridRow],80),0))</f>
        <v/>
      </c>
      <c r="CC83">
        <f>SUMPRODUCT((M_BOM[RM_Code]=$A83)*M_BOM[RM_Qty_Per_Batch]*IFERROR(INDEX(PP_Grid[#Data],M_BOM[PPGridRow],81),0))</f>
        <v/>
      </c>
      <c r="CD83">
        <f>SUMPRODUCT((M_BOM[RM_Code]=$A83)*M_BOM[RM_Qty_Per_Batch]*IFERROR(INDEX(PP_Grid[#Data],M_BOM[PPGridRow],82),0))</f>
        <v/>
      </c>
      <c r="CE83">
        <f>SUMPRODUCT((M_BOM[RM_Code]=$A83)*M_BOM[RM_Qty_Per_Batch]*IFERROR(INDEX(PP_Grid[#Data],M_BOM[PPGridRow],83),0))</f>
        <v/>
      </c>
      <c r="CF83">
        <f>SUMPRODUCT((M_BOM[RM_Code]=$A83)*M_BOM[RM_Qty_Per_Batch]*IFERROR(INDEX(PP_Grid[#Data],M_BOM[PPGridRow],84),0))</f>
        <v/>
      </c>
      <c r="CG83">
        <f>SUMPRODUCT((M_BOM[RM_Code]=$A83)*M_BOM[RM_Qty_Per_Batch]*IFERROR(INDEX(PP_Grid[#Data],M_BOM[PPGridRow],85),0))</f>
        <v/>
      </c>
      <c r="CH83">
        <f>SUMPRODUCT((M_BOM[RM_Code]=$A83)*M_BOM[RM_Qty_Per_Batch]*IFERROR(INDEX(PP_Grid[#Data],M_BOM[PPGridRow],86),0))</f>
        <v/>
      </c>
      <c r="CI83">
        <f>SUMPRODUCT((M_BOM[RM_Code]=$A83)*M_BOM[RM_Qty_Per_Batch]*IFERROR(INDEX(PP_Grid[#Data],M_BOM[PPGridRow],87),0))</f>
        <v/>
      </c>
      <c r="CJ83">
        <f>SUMPRODUCT((M_BOM[RM_Code]=$A83)*M_BOM[RM_Qty_Per_Batch]*IFERROR(INDEX(PP_Grid[#Data],M_BOM[PPGridRow],88),0))</f>
        <v/>
      </c>
      <c r="CK83">
        <f>SUMPRODUCT((M_BOM[RM_Code]=$A83)*M_BOM[RM_Qty_Per_Batch]*IFERROR(INDEX(PP_Grid[#Data],M_BOM[PPGridRow],89),0))</f>
        <v/>
      </c>
      <c r="CL83">
        <f>SUMPRODUCT((M_BOM[RM_Code]=$A83)*M_BOM[RM_Qty_Per_Batch]*IFERROR(INDEX(PP_Grid[#Data],M_BOM[PPGridRow],90),0))</f>
        <v/>
      </c>
      <c r="CM83">
        <f>SUMPRODUCT((M_BOM[RM_Code]=$A83)*M_BOM[RM_Qty_Per_Batch]*IFERROR(INDEX(PP_Grid[#Data],M_BOM[PPGridRow],91),0))</f>
        <v/>
      </c>
      <c r="CN83">
        <f>SUMPRODUCT((M_BOM[RM_Code]=$A83)*M_BOM[RM_Qty_Per_Batch]*IFERROR(INDEX(PP_Grid[#Data],M_BOM[PPGridRow],92),0))</f>
        <v/>
      </c>
      <c r="CO83">
        <f>SUMPRODUCT((M_BOM[RM_Code]=$A83)*M_BOM[RM_Qty_Per_Batch]*IFERROR(INDEX(PP_Grid[#Data],M_BOM[PPGridRow],93),0))</f>
        <v/>
      </c>
      <c r="CP83">
        <f>SUMPRODUCT((M_BOM[RM_Code]=$A83)*M_BOM[RM_Qty_Per_Batch]*IFERROR(INDEX(PP_Grid[#Data],M_BOM[PPGridRow],94),0))</f>
        <v/>
      </c>
      <c r="CQ83">
        <f>SUMPRODUCT((M_BOM[RM_Code]=$A83)*M_BOM[RM_Qty_Per_Batch]*IFERROR(INDEX(PP_Grid[#Data],M_BOM[PPGridRow],95),0))</f>
        <v/>
      </c>
      <c r="CR83">
        <f>SUMPRODUCT((M_BOM[RM_Code]=$A83)*M_BOM[RM_Qty_Per_Batch]*IFERROR(INDEX(PP_Grid[#Data],M_BOM[PPGridRow],96),0))</f>
        <v/>
      </c>
      <c r="CS83">
        <f>SUMPRODUCT((M_BOM[RM_Code]=$A83)*M_BOM[RM_Qty_Per_Batch]*IFERROR(INDEX(PP_Grid[#Data],M_BOM[PPGridRow],97),0))</f>
        <v/>
      </c>
      <c r="CT83">
        <f>SUMPRODUCT((M_BOM[RM_Code]=$A83)*M_BOM[RM_Qty_Per_Batch]*IFERROR(INDEX(PP_Grid[#Data],M_BOM[PPGridRow],98),0))</f>
        <v/>
      </c>
      <c r="CU83">
        <f>SUMPRODUCT((M_BOM[RM_Code]=$A83)*M_BOM[RM_Qty_Per_Batch]*IFERROR(INDEX(PP_Grid[#Data],M_BOM[PPGridRow],99),0))</f>
        <v/>
      </c>
      <c r="CV83">
        <f>SUMPRODUCT((M_BOM[RM_Code]=$A83)*M_BOM[RM_Qty_Per_Batch]*IFERROR(INDEX(PP_Grid[#Data],M_BOM[PPGridRow],100),0))</f>
        <v/>
      </c>
      <c r="CW83">
        <f>SUMPRODUCT((M_BOM[RM_Code]=$A83)*M_BOM[RM_Qty_Per_Batch]*IFERROR(INDEX(PP_Grid[#Data],M_BOM[PPGridRow],101),0))</f>
        <v/>
      </c>
      <c r="CX83">
        <f>SUMPRODUCT((M_BOM[RM_Code]=$A83)*M_BOM[RM_Qty_Per_Batch]*IFERROR(INDEX(PP_Grid[#Data],M_BOM[PPGridRow],102),0))</f>
        <v/>
      </c>
      <c r="CY83">
        <f>SUMPRODUCT((M_BOM[RM_Code]=$A83)*M_BOM[RM_Qty_Per_Batch]*IFERROR(INDEX(PP_Grid[#Data],M_BOM[PPGridRow],103),0))</f>
        <v/>
      </c>
      <c r="CZ83">
        <f>SUMPRODUCT((M_BOM[RM_Code]=$A83)*M_BOM[RM_Qty_Per_Batch]*IFERROR(INDEX(PP_Grid[#Data],M_BOM[PPGridRow],104),0))</f>
        <v/>
      </c>
      <c r="DA83">
        <f>SUMPRODUCT((M_BOM[RM_Code]=$A83)*M_BOM[RM_Qty_Per_Batch]*IFERROR(INDEX(PP_Grid[#Data],M_BOM[PPGridRow],105),0))</f>
        <v/>
      </c>
    </row>
    <row r="84">
      <c r="A84" t="inlineStr">
        <is>
          <t>CHEM-1260</t>
        </is>
      </c>
      <c r="B84">
        <f>SUMPRODUCT((M_BOM[RM_Code]=$A84)*M_BOM[RM_Qty_Per_Batch]*IFERROR(INDEX(PP_Grid[#Data],M_BOM[PPGridRow],2),0))</f>
        <v/>
      </c>
      <c r="C84">
        <f>SUMPRODUCT((M_BOM[RM_Code]=$A84)*M_BOM[RM_Qty_Per_Batch]*IFERROR(INDEX(PP_Grid[#Data],M_BOM[PPGridRow],3),0))</f>
        <v/>
      </c>
      <c r="D84">
        <f>SUMPRODUCT((M_BOM[RM_Code]=$A84)*M_BOM[RM_Qty_Per_Batch]*IFERROR(INDEX(PP_Grid[#Data],M_BOM[PPGridRow],4),0))</f>
        <v/>
      </c>
      <c r="E84">
        <f>SUMPRODUCT((M_BOM[RM_Code]=$A84)*M_BOM[RM_Qty_Per_Batch]*IFERROR(INDEX(PP_Grid[#Data],M_BOM[PPGridRow],5),0))</f>
        <v/>
      </c>
      <c r="F84">
        <f>SUMPRODUCT((M_BOM[RM_Code]=$A84)*M_BOM[RM_Qty_Per_Batch]*IFERROR(INDEX(PP_Grid[#Data],M_BOM[PPGridRow],6),0))</f>
        <v/>
      </c>
      <c r="G84">
        <f>SUMPRODUCT((M_BOM[RM_Code]=$A84)*M_BOM[RM_Qty_Per_Batch]*IFERROR(INDEX(PP_Grid[#Data],M_BOM[PPGridRow],7),0))</f>
        <v/>
      </c>
      <c r="H84">
        <f>SUMPRODUCT((M_BOM[RM_Code]=$A84)*M_BOM[RM_Qty_Per_Batch]*IFERROR(INDEX(PP_Grid[#Data],M_BOM[PPGridRow],8),0))</f>
        <v/>
      </c>
      <c r="I84">
        <f>SUMPRODUCT((M_BOM[RM_Code]=$A84)*M_BOM[RM_Qty_Per_Batch]*IFERROR(INDEX(PP_Grid[#Data],M_BOM[PPGridRow],9),0))</f>
        <v/>
      </c>
      <c r="J84">
        <f>SUMPRODUCT((M_BOM[RM_Code]=$A84)*M_BOM[RM_Qty_Per_Batch]*IFERROR(INDEX(PP_Grid[#Data],M_BOM[PPGridRow],10),0))</f>
        <v/>
      </c>
      <c r="K84">
        <f>SUMPRODUCT((M_BOM[RM_Code]=$A84)*M_BOM[RM_Qty_Per_Batch]*IFERROR(INDEX(PP_Grid[#Data],M_BOM[PPGridRow],11),0))</f>
        <v/>
      </c>
      <c r="L84">
        <f>SUMPRODUCT((M_BOM[RM_Code]=$A84)*M_BOM[RM_Qty_Per_Batch]*IFERROR(INDEX(PP_Grid[#Data],M_BOM[PPGridRow],12),0))</f>
        <v/>
      </c>
      <c r="M84">
        <f>SUMPRODUCT((M_BOM[RM_Code]=$A84)*M_BOM[RM_Qty_Per_Batch]*IFERROR(INDEX(PP_Grid[#Data],M_BOM[PPGridRow],13),0))</f>
        <v/>
      </c>
      <c r="N84">
        <f>SUMPRODUCT((M_BOM[RM_Code]=$A84)*M_BOM[RM_Qty_Per_Batch]*IFERROR(INDEX(PP_Grid[#Data],M_BOM[PPGridRow],14),0))</f>
        <v/>
      </c>
      <c r="O84">
        <f>SUMPRODUCT((M_BOM[RM_Code]=$A84)*M_BOM[RM_Qty_Per_Batch]*IFERROR(INDEX(PP_Grid[#Data],M_BOM[PPGridRow],15),0))</f>
        <v/>
      </c>
      <c r="P84">
        <f>SUMPRODUCT((M_BOM[RM_Code]=$A84)*M_BOM[RM_Qty_Per_Batch]*IFERROR(INDEX(PP_Grid[#Data],M_BOM[PPGridRow],16),0))</f>
        <v/>
      </c>
      <c r="Q84">
        <f>SUMPRODUCT((M_BOM[RM_Code]=$A84)*M_BOM[RM_Qty_Per_Batch]*IFERROR(INDEX(PP_Grid[#Data],M_BOM[PPGridRow],17),0))</f>
        <v/>
      </c>
      <c r="R84">
        <f>SUMPRODUCT((M_BOM[RM_Code]=$A84)*M_BOM[RM_Qty_Per_Batch]*IFERROR(INDEX(PP_Grid[#Data],M_BOM[PPGridRow],18),0))</f>
        <v/>
      </c>
      <c r="S84">
        <f>SUMPRODUCT((M_BOM[RM_Code]=$A84)*M_BOM[RM_Qty_Per_Batch]*IFERROR(INDEX(PP_Grid[#Data],M_BOM[PPGridRow],19),0))</f>
        <v/>
      </c>
      <c r="T84">
        <f>SUMPRODUCT((M_BOM[RM_Code]=$A84)*M_BOM[RM_Qty_Per_Batch]*IFERROR(INDEX(PP_Grid[#Data],M_BOM[PPGridRow],20),0))</f>
        <v/>
      </c>
      <c r="U84">
        <f>SUMPRODUCT((M_BOM[RM_Code]=$A84)*M_BOM[RM_Qty_Per_Batch]*IFERROR(INDEX(PP_Grid[#Data],M_BOM[PPGridRow],21),0))</f>
        <v/>
      </c>
      <c r="V84">
        <f>SUMPRODUCT((M_BOM[RM_Code]=$A84)*M_BOM[RM_Qty_Per_Batch]*IFERROR(INDEX(PP_Grid[#Data],M_BOM[PPGridRow],22),0))</f>
        <v/>
      </c>
      <c r="W84">
        <f>SUMPRODUCT((M_BOM[RM_Code]=$A84)*M_BOM[RM_Qty_Per_Batch]*IFERROR(INDEX(PP_Grid[#Data],M_BOM[PPGridRow],23),0))</f>
        <v/>
      </c>
      <c r="X84">
        <f>SUMPRODUCT((M_BOM[RM_Code]=$A84)*M_BOM[RM_Qty_Per_Batch]*IFERROR(INDEX(PP_Grid[#Data],M_BOM[PPGridRow],24),0))</f>
        <v/>
      </c>
      <c r="Y84">
        <f>SUMPRODUCT((M_BOM[RM_Code]=$A84)*M_BOM[RM_Qty_Per_Batch]*IFERROR(INDEX(PP_Grid[#Data],M_BOM[PPGridRow],25),0))</f>
        <v/>
      </c>
      <c r="Z84">
        <f>SUMPRODUCT((M_BOM[RM_Code]=$A84)*M_BOM[RM_Qty_Per_Batch]*IFERROR(INDEX(PP_Grid[#Data],M_BOM[PPGridRow],26),0))</f>
        <v/>
      </c>
      <c r="AA84">
        <f>SUMPRODUCT((M_BOM[RM_Code]=$A84)*M_BOM[RM_Qty_Per_Batch]*IFERROR(INDEX(PP_Grid[#Data],M_BOM[PPGridRow],27),0))</f>
        <v/>
      </c>
      <c r="AB84">
        <f>SUMPRODUCT((M_BOM[RM_Code]=$A84)*M_BOM[RM_Qty_Per_Batch]*IFERROR(INDEX(PP_Grid[#Data],M_BOM[PPGridRow],28),0))</f>
        <v/>
      </c>
      <c r="AC84">
        <f>SUMPRODUCT((M_BOM[RM_Code]=$A84)*M_BOM[RM_Qty_Per_Batch]*IFERROR(INDEX(PP_Grid[#Data],M_BOM[PPGridRow],29),0))</f>
        <v/>
      </c>
      <c r="AD84">
        <f>SUMPRODUCT((M_BOM[RM_Code]=$A84)*M_BOM[RM_Qty_Per_Batch]*IFERROR(INDEX(PP_Grid[#Data],M_BOM[PPGridRow],30),0))</f>
        <v/>
      </c>
      <c r="AE84">
        <f>SUMPRODUCT((M_BOM[RM_Code]=$A84)*M_BOM[RM_Qty_Per_Batch]*IFERROR(INDEX(PP_Grid[#Data],M_BOM[PPGridRow],31),0))</f>
        <v/>
      </c>
      <c r="AF84">
        <f>SUMPRODUCT((M_BOM[RM_Code]=$A84)*M_BOM[RM_Qty_Per_Batch]*IFERROR(INDEX(PP_Grid[#Data],M_BOM[PPGridRow],32),0))</f>
        <v/>
      </c>
      <c r="AG84">
        <f>SUMPRODUCT((M_BOM[RM_Code]=$A84)*M_BOM[RM_Qty_Per_Batch]*IFERROR(INDEX(PP_Grid[#Data],M_BOM[PPGridRow],33),0))</f>
        <v/>
      </c>
      <c r="AH84">
        <f>SUMPRODUCT((M_BOM[RM_Code]=$A84)*M_BOM[RM_Qty_Per_Batch]*IFERROR(INDEX(PP_Grid[#Data],M_BOM[PPGridRow],34),0))</f>
        <v/>
      </c>
      <c r="AI84">
        <f>SUMPRODUCT((M_BOM[RM_Code]=$A84)*M_BOM[RM_Qty_Per_Batch]*IFERROR(INDEX(PP_Grid[#Data],M_BOM[PPGridRow],35),0))</f>
        <v/>
      </c>
      <c r="AJ84">
        <f>SUMPRODUCT((M_BOM[RM_Code]=$A84)*M_BOM[RM_Qty_Per_Batch]*IFERROR(INDEX(PP_Grid[#Data],M_BOM[PPGridRow],36),0))</f>
        <v/>
      </c>
      <c r="AK84">
        <f>SUMPRODUCT((M_BOM[RM_Code]=$A84)*M_BOM[RM_Qty_Per_Batch]*IFERROR(INDEX(PP_Grid[#Data],M_BOM[PPGridRow],37),0))</f>
        <v/>
      </c>
      <c r="AL84">
        <f>SUMPRODUCT((M_BOM[RM_Code]=$A84)*M_BOM[RM_Qty_Per_Batch]*IFERROR(INDEX(PP_Grid[#Data],M_BOM[PPGridRow],38),0))</f>
        <v/>
      </c>
      <c r="AM84">
        <f>SUMPRODUCT((M_BOM[RM_Code]=$A84)*M_BOM[RM_Qty_Per_Batch]*IFERROR(INDEX(PP_Grid[#Data],M_BOM[PPGridRow],39),0))</f>
        <v/>
      </c>
      <c r="AN84">
        <f>SUMPRODUCT((M_BOM[RM_Code]=$A84)*M_BOM[RM_Qty_Per_Batch]*IFERROR(INDEX(PP_Grid[#Data],M_BOM[PPGridRow],40),0))</f>
        <v/>
      </c>
      <c r="AO84">
        <f>SUMPRODUCT((M_BOM[RM_Code]=$A84)*M_BOM[RM_Qty_Per_Batch]*IFERROR(INDEX(PP_Grid[#Data],M_BOM[PPGridRow],41),0))</f>
        <v/>
      </c>
      <c r="AP84">
        <f>SUMPRODUCT((M_BOM[RM_Code]=$A84)*M_BOM[RM_Qty_Per_Batch]*IFERROR(INDEX(PP_Grid[#Data],M_BOM[PPGridRow],42),0))</f>
        <v/>
      </c>
      <c r="AQ84">
        <f>SUMPRODUCT((M_BOM[RM_Code]=$A84)*M_BOM[RM_Qty_Per_Batch]*IFERROR(INDEX(PP_Grid[#Data],M_BOM[PPGridRow],43),0))</f>
        <v/>
      </c>
      <c r="AR84">
        <f>SUMPRODUCT((M_BOM[RM_Code]=$A84)*M_BOM[RM_Qty_Per_Batch]*IFERROR(INDEX(PP_Grid[#Data],M_BOM[PPGridRow],44),0))</f>
        <v/>
      </c>
      <c r="AS84">
        <f>SUMPRODUCT((M_BOM[RM_Code]=$A84)*M_BOM[RM_Qty_Per_Batch]*IFERROR(INDEX(PP_Grid[#Data],M_BOM[PPGridRow],45),0))</f>
        <v/>
      </c>
      <c r="AT84">
        <f>SUMPRODUCT((M_BOM[RM_Code]=$A84)*M_BOM[RM_Qty_Per_Batch]*IFERROR(INDEX(PP_Grid[#Data],M_BOM[PPGridRow],46),0))</f>
        <v/>
      </c>
      <c r="AU84">
        <f>SUMPRODUCT((M_BOM[RM_Code]=$A84)*M_BOM[RM_Qty_Per_Batch]*IFERROR(INDEX(PP_Grid[#Data],M_BOM[PPGridRow],47),0))</f>
        <v/>
      </c>
      <c r="AV84">
        <f>SUMPRODUCT((M_BOM[RM_Code]=$A84)*M_BOM[RM_Qty_Per_Batch]*IFERROR(INDEX(PP_Grid[#Data],M_BOM[PPGridRow],48),0))</f>
        <v/>
      </c>
      <c r="AW84">
        <f>SUMPRODUCT((M_BOM[RM_Code]=$A84)*M_BOM[RM_Qty_Per_Batch]*IFERROR(INDEX(PP_Grid[#Data],M_BOM[PPGridRow],49),0))</f>
        <v/>
      </c>
      <c r="AX84">
        <f>SUMPRODUCT((M_BOM[RM_Code]=$A84)*M_BOM[RM_Qty_Per_Batch]*IFERROR(INDEX(PP_Grid[#Data],M_BOM[PPGridRow],50),0))</f>
        <v/>
      </c>
      <c r="AY84">
        <f>SUMPRODUCT((M_BOM[RM_Code]=$A84)*M_BOM[RM_Qty_Per_Batch]*IFERROR(INDEX(PP_Grid[#Data],M_BOM[PPGridRow],51),0))</f>
        <v/>
      </c>
      <c r="AZ84">
        <f>SUMPRODUCT((M_BOM[RM_Code]=$A84)*M_BOM[RM_Qty_Per_Batch]*IFERROR(INDEX(PP_Grid[#Data],M_BOM[PPGridRow],52),0))</f>
        <v/>
      </c>
      <c r="BA84">
        <f>SUMPRODUCT((M_BOM[RM_Code]=$A84)*M_BOM[RM_Qty_Per_Batch]*IFERROR(INDEX(PP_Grid[#Data],M_BOM[PPGridRow],53),0))</f>
        <v/>
      </c>
      <c r="BB84">
        <f>SUMPRODUCT((M_BOM[RM_Code]=$A84)*M_BOM[RM_Qty_Per_Batch]*IFERROR(INDEX(PP_Grid[#Data],M_BOM[PPGridRow],54),0))</f>
        <v/>
      </c>
      <c r="BC84">
        <f>SUMPRODUCT((M_BOM[RM_Code]=$A84)*M_BOM[RM_Qty_Per_Batch]*IFERROR(INDEX(PP_Grid[#Data],M_BOM[PPGridRow],55),0))</f>
        <v/>
      </c>
      <c r="BD84">
        <f>SUMPRODUCT((M_BOM[RM_Code]=$A84)*M_BOM[RM_Qty_Per_Batch]*IFERROR(INDEX(PP_Grid[#Data],M_BOM[PPGridRow],56),0))</f>
        <v/>
      </c>
      <c r="BE84">
        <f>SUMPRODUCT((M_BOM[RM_Code]=$A84)*M_BOM[RM_Qty_Per_Batch]*IFERROR(INDEX(PP_Grid[#Data],M_BOM[PPGridRow],57),0))</f>
        <v/>
      </c>
      <c r="BF84">
        <f>SUMPRODUCT((M_BOM[RM_Code]=$A84)*M_BOM[RM_Qty_Per_Batch]*IFERROR(INDEX(PP_Grid[#Data],M_BOM[PPGridRow],58),0))</f>
        <v/>
      </c>
      <c r="BG84">
        <f>SUMPRODUCT((M_BOM[RM_Code]=$A84)*M_BOM[RM_Qty_Per_Batch]*IFERROR(INDEX(PP_Grid[#Data],M_BOM[PPGridRow],59),0))</f>
        <v/>
      </c>
      <c r="BH84">
        <f>SUMPRODUCT((M_BOM[RM_Code]=$A84)*M_BOM[RM_Qty_Per_Batch]*IFERROR(INDEX(PP_Grid[#Data],M_BOM[PPGridRow],60),0))</f>
        <v/>
      </c>
      <c r="BI84">
        <f>SUMPRODUCT((M_BOM[RM_Code]=$A84)*M_BOM[RM_Qty_Per_Batch]*IFERROR(INDEX(PP_Grid[#Data],M_BOM[PPGridRow],61),0))</f>
        <v/>
      </c>
      <c r="BJ84">
        <f>SUMPRODUCT((M_BOM[RM_Code]=$A84)*M_BOM[RM_Qty_Per_Batch]*IFERROR(INDEX(PP_Grid[#Data],M_BOM[PPGridRow],62),0))</f>
        <v/>
      </c>
      <c r="BK84">
        <f>SUMPRODUCT((M_BOM[RM_Code]=$A84)*M_BOM[RM_Qty_Per_Batch]*IFERROR(INDEX(PP_Grid[#Data],M_BOM[PPGridRow],63),0))</f>
        <v/>
      </c>
      <c r="BL84">
        <f>SUMPRODUCT((M_BOM[RM_Code]=$A84)*M_BOM[RM_Qty_Per_Batch]*IFERROR(INDEX(PP_Grid[#Data],M_BOM[PPGridRow],64),0))</f>
        <v/>
      </c>
      <c r="BM84">
        <f>SUMPRODUCT((M_BOM[RM_Code]=$A84)*M_BOM[RM_Qty_Per_Batch]*IFERROR(INDEX(PP_Grid[#Data],M_BOM[PPGridRow],65),0))</f>
        <v/>
      </c>
      <c r="BN84">
        <f>SUMPRODUCT((M_BOM[RM_Code]=$A84)*M_BOM[RM_Qty_Per_Batch]*IFERROR(INDEX(PP_Grid[#Data],M_BOM[PPGridRow],66),0))</f>
        <v/>
      </c>
      <c r="BO84">
        <f>SUMPRODUCT((M_BOM[RM_Code]=$A84)*M_BOM[RM_Qty_Per_Batch]*IFERROR(INDEX(PP_Grid[#Data],M_BOM[PPGridRow],67),0))</f>
        <v/>
      </c>
      <c r="BP84">
        <f>SUMPRODUCT((M_BOM[RM_Code]=$A84)*M_BOM[RM_Qty_Per_Batch]*IFERROR(INDEX(PP_Grid[#Data],M_BOM[PPGridRow],68),0))</f>
        <v/>
      </c>
      <c r="BQ84">
        <f>SUMPRODUCT((M_BOM[RM_Code]=$A84)*M_BOM[RM_Qty_Per_Batch]*IFERROR(INDEX(PP_Grid[#Data],M_BOM[PPGridRow],69),0))</f>
        <v/>
      </c>
      <c r="BR84">
        <f>SUMPRODUCT((M_BOM[RM_Code]=$A84)*M_BOM[RM_Qty_Per_Batch]*IFERROR(INDEX(PP_Grid[#Data],M_BOM[PPGridRow],70),0))</f>
        <v/>
      </c>
      <c r="BS84">
        <f>SUMPRODUCT((M_BOM[RM_Code]=$A84)*M_BOM[RM_Qty_Per_Batch]*IFERROR(INDEX(PP_Grid[#Data],M_BOM[PPGridRow],71),0))</f>
        <v/>
      </c>
      <c r="BT84">
        <f>SUMPRODUCT((M_BOM[RM_Code]=$A84)*M_BOM[RM_Qty_Per_Batch]*IFERROR(INDEX(PP_Grid[#Data],M_BOM[PPGridRow],72),0))</f>
        <v/>
      </c>
      <c r="BU84">
        <f>SUMPRODUCT((M_BOM[RM_Code]=$A84)*M_BOM[RM_Qty_Per_Batch]*IFERROR(INDEX(PP_Grid[#Data],M_BOM[PPGridRow],73),0))</f>
        <v/>
      </c>
      <c r="BV84">
        <f>SUMPRODUCT((M_BOM[RM_Code]=$A84)*M_BOM[RM_Qty_Per_Batch]*IFERROR(INDEX(PP_Grid[#Data],M_BOM[PPGridRow],74),0))</f>
        <v/>
      </c>
      <c r="BW84">
        <f>SUMPRODUCT((M_BOM[RM_Code]=$A84)*M_BOM[RM_Qty_Per_Batch]*IFERROR(INDEX(PP_Grid[#Data],M_BOM[PPGridRow],75),0))</f>
        <v/>
      </c>
      <c r="BX84">
        <f>SUMPRODUCT((M_BOM[RM_Code]=$A84)*M_BOM[RM_Qty_Per_Batch]*IFERROR(INDEX(PP_Grid[#Data],M_BOM[PPGridRow],76),0))</f>
        <v/>
      </c>
      <c r="BY84">
        <f>SUMPRODUCT((M_BOM[RM_Code]=$A84)*M_BOM[RM_Qty_Per_Batch]*IFERROR(INDEX(PP_Grid[#Data],M_BOM[PPGridRow],77),0))</f>
        <v/>
      </c>
      <c r="BZ84">
        <f>SUMPRODUCT((M_BOM[RM_Code]=$A84)*M_BOM[RM_Qty_Per_Batch]*IFERROR(INDEX(PP_Grid[#Data],M_BOM[PPGridRow],78),0))</f>
        <v/>
      </c>
      <c r="CA84">
        <f>SUMPRODUCT((M_BOM[RM_Code]=$A84)*M_BOM[RM_Qty_Per_Batch]*IFERROR(INDEX(PP_Grid[#Data],M_BOM[PPGridRow],79),0))</f>
        <v/>
      </c>
      <c r="CB84">
        <f>SUMPRODUCT((M_BOM[RM_Code]=$A84)*M_BOM[RM_Qty_Per_Batch]*IFERROR(INDEX(PP_Grid[#Data],M_BOM[PPGridRow],80),0))</f>
        <v/>
      </c>
      <c r="CC84">
        <f>SUMPRODUCT((M_BOM[RM_Code]=$A84)*M_BOM[RM_Qty_Per_Batch]*IFERROR(INDEX(PP_Grid[#Data],M_BOM[PPGridRow],81),0))</f>
        <v/>
      </c>
      <c r="CD84">
        <f>SUMPRODUCT((M_BOM[RM_Code]=$A84)*M_BOM[RM_Qty_Per_Batch]*IFERROR(INDEX(PP_Grid[#Data],M_BOM[PPGridRow],82),0))</f>
        <v/>
      </c>
      <c r="CE84">
        <f>SUMPRODUCT((M_BOM[RM_Code]=$A84)*M_BOM[RM_Qty_Per_Batch]*IFERROR(INDEX(PP_Grid[#Data],M_BOM[PPGridRow],83),0))</f>
        <v/>
      </c>
      <c r="CF84">
        <f>SUMPRODUCT((M_BOM[RM_Code]=$A84)*M_BOM[RM_Qty_Per_Batch]*IFERROR(INDEX(PP_Grid[#Data],M_BOM[PPGridRow],84),0))</f>
        <v/>
      </c>
      <c r="CG84">
        <f>SUMPRODUCT((M_BOM[RM_Code]=$A84)*M_BOM[RM_Qty_Per_Batch]*IFERROR(INDEX(PP_Grid[#Data],M_BOM[PPGridRow],85),0))</f>
        <v/>
      </c>
      <c r="CH84">
        <f>SUMPRODUCT((M_BOM[RM_Code]=$A84)*M_BOM[RM_Qty_Per_Batch]*IFERROR(INDEX(PP_Grid[#Data],M_BOM[PPGridRow],86),0))</f>
        <v/>
      </c>
      <c r="CI84">
        <f>SUMPRODUCT((M_BOM[RM_Code]=$A84)*M_BOM[RM_Qty_Per_Batch]*IFERROR(INDEX(PP_Grid[#Data],M_BOM[PPGridRow],87),0))</f>
        <v/>
      </c>
      <c r="CJ84">
        <f>SUMPRODUCT((M_BOM[RM_Code]=$A84)*M_BOM[RM_Qty_Per_Batch]*IFERROR(INDEX(PP_Grid[#Data],M_BOM[PPGridRow],88),0))</f>
        <v/>
      </c>
      <c r="CK84">
        <f>SUMPRODUCT((M_BOM[RM_Code]=$A84)*M_BOM[RM_Qty_Per_Batch]*IFERROR(INDEX(PP_Grid[#Data],M_BOM[PPGridRow],89),0))</f>
        <v/>
      </c>
      <c r="CL84">
        <f>SUMPRODUCT((M_BOM[RM_Code]=$A84)*M_BOM[RM_Qty_Per_Batch]*IFERROR(INDEX(PP_Grid[#Data],M_BOM[PPGridRow],90),0))</f>
        <v/>
      </c>
      <c r="CM84">
        <f>SUMPRODUCT((M_BOM[RM_Code]=$A84)*M_BOM[RM_Qty_Per_Batch]*IFERROR(INDEX(PP_Grid[#Data],M_BOM[PPGridRow],91),0))</f>
        <v/>
      </c>
      <c r="CN84">
        <f>SUMPRODUCT((M_BOM[RM_Code]=$A84)*M_BOM[RM_Qty_Per_Batch]*IFERROR(INDEX(PP_Grid[#Data],M_BOM[PPGridRow],92),0))</f>
        <v/>
      </c>
      <c r="CO84">
        <f>SUMPRODUCT((M_BOM[RM_Code]=$A84)*M_BOM[RM_Qty_Per_Batch]*IFERROR(INDEX(PP_Grid[#Data],M_BOM[PPGridRow],93),0))</f>
        <v/>
      </c>
      <c r="CP84">
        <f>SUMPRODUCT((M_BOM[RM_Code]=$A84)*M_BOM[RM_Qty_Per_Batch]*IFERROR(INDEX(PP_Grid[#Data],M_BOM[PPGridRow],94),0))</f>
        <v/>
      </c>
      <c r="CQ84">
        <f>SUMPRODUCT((M_BOM[RM_Code]=$A84)*M_BOM[RM_Qty_Per_Batch]*IFERROR(INDEX(PP_Grid[#Data],M_BOM[PPGridRow],95),0))</f>
        <v/>
      </c>
      <c r="CR84">
        <f>SUMPRODUCT((M_BOM[RM_Code]=$A84)*M_BOM[RM_Qty_Per_Batch]*IFERROR(INDEX(PP_Grid[#Data],M_BOM[PPGridRow],96),0))</f>
        <v/>
      </c>
      <c r="CS84">
        <f>SUMPRODUCT((M_BOM[RM_Code]=$A84)*M_BOM[RM_Qty_Per_Batch]*IFERROR(INDEX(PP_Grid[#Data],M_BOM[PPGridRow],97),0))</f>
        <v/>
      </c>
      <c r="CT84">
        <f>SUMPRODUCT((M_BOM[RM_Code]=$A84)*M_BOM[RM_Qty_Per_Batch]*IFERROR(INDEX(PP_Grid[#Data],M_BOM[PPGridRow],98),0))</f>
        <v/>
      </c>
      <c r="CU84">
        <f>SUMPRODUCT((M_BOM[RM_Code]=$A84)*M_BOM[RM_Qty_Per_Batch]*IFERROR(INDEX(PP_Grid[#Data],M_BOM[PPGridRow],99),0))</f>
        <v/>
      </c>
      <c r="CV84">
        <f>SUMPRODUCT((M_BOM[RM_Code]=$A84)*M_BOM[RM_Qty_Per_Batch]*IFERROR(INDEX(PP_Grid[#Data],M_BOM[PPGridRow],100),0))</f>
        <v/>
      </c>
      <c r="CW84">
        <f>SUMPRODUCT((M_BOM[RM_Code]=$A84)*M_BOM[RM_Qty_Per_Batch]*IFERROR(INDEX(PP_Grid[#Data],M_BOM[PPGridRow],101),0))</f>
        <v/>
      </c>
      <c r="CX84">
        <f>SUMPRODUCT((M_BOM[RM_Code]=$A84)*M_BOM[RM_Qty_Per_Batch]*IFERROR(INDEX(PP_Grid[#Data],M_BOM[PPGridRow],102),0))</f>
        <v/>
      </c>
      <c r="CY84">
        <f>SUMPRODUCT((M_BOM[RM_Code]=$A84)*M_BOM[RM_Qty_Per_Batch]*IFERROR(INDEX(PP_Grid[#Data],M_BOM[PPGridRow],103),0))</f>
        <v/>
      </c>
      <c r="CZ84">
        <f>SUMPRODUCT((M_BOM[RM_Code]=$A84)*M_BOM[RM_Qty_Per_Batch]*IFERROR(INDEX(PP_Grid[#Data],M_BOM[PPGridRow],104),0))</f>
        <v/>
      </c>
      <c r="DA84">
        <f>SUMPRODUCT((M_BOM[RM_Code]=$A84)*M_BOM[RM_Qty_Per_Batch]*IFERROR(INDEX(PP_Grid[#Data],M_BOM[PPGridRow],105),0))</f>
        <v/>
      </c>
    </row>
    <row r="85">
      <c r="A85" t="inlineStr">
        <is>
          <t>CHEM-1790</t>
        </is>
      </c>
      <c r="B85">
        <f>SUMPRODUCT((M_BOM[RM_Code]=$A85)*M_BOM[RM_Qty_Per_Batch]*IFERROR(INDEX(PP_Grid[#Data],M_BOM[PPGridRow],2),0))</f>
        <v/>
      </c>
      <c r="C85">
        <f>SUMPRODUCT((M_BOM[RM_Code]=$A85)*M_BOM[RM_Qty_Per_Batch]*IFERROR(INDEX(PP_Grid[#Data],M_BOM[PPGridRow],3),0))</f>
        <v/>
      </c>
      <c r="D85">
        <f>SUMPRODUCT((M_BOM[RM_Code]=$A85)*M_BOM[RM_Qty_Per_Batch]*IFERROR(INDEX(PP_Grid[#Data],M_BOM[PPGridRow],4),0))</f>
        <v/>
      </c>
      <c r="E85">
        <f>SUMPRODUCT((M_BOM[RM_Code]=$A85)*M_BOM[RM_Qty_Per_Batch]*IFERROR(INDEX(PP_Grid[#Data],M_BOM[PPGridRow],5),0))</f>
        <v/>
      </c>
      <c r="F85">
        <f>SUMPRODUCT((M_BOM[RM_Code]=$A85)*M_BOM[RM_Qty_Per_Batch]*IFERROR(INDEX(PP_Grid[#Data],M_BOM[PPGridRow],6),0))</f>
        <v/>
      </c>
      <c r="G85">
        <f>SUMPRODUCT((M_BOM[RM_Code]=$A85)*M_BOM[RM_Qty_Per_Batch]*IFERROR(INDEX(PP_Grid[#Data],M_BOM[PPGridRow],7),0))</f>
        <v/>
      </c>
      <c r="H85">
        <f>SUMPRODUCT((M_BOM[RM_Code]=$A85)*M_BOM[RM_Qty_Per_Batch]*IFERROR(INDEX(PP_Grid[#Data],M_BOM[PPGridRow],8),0))</f>
        <v/>
      </c>
      <c r="I85">
        <f>SUMPRODUCT((M_BOM[RM_Code]=$A85)*M_BOM[RM_Qty_Per_Batch]*IFERROR(INDEX(PP_Grid[#Data],M_BOM[PPGridRow],9),0))</f>
        <v/>
      </c>
      <c r="J85">
        <f>SUMPRODUCT((M_BOM[RM_Code]=$A85)*M_BOM[RM_Qty_Per_Batch]*IFERROR(INDEX(PP_Grid[#Data],M_BOM[PPGridRow],10),0))</f>
        <v/>
      </c>
      <c r="K85">
        <f>SUMPRODUCT((M_BOM[RM_Code]=$A85)*M_BOM[RM_Qty_Per_Batch]*IFERROR(INDEX(PP_Grid[#Data],M_BOM[PPGridRow],11),0))</f>
        <v/>
      </c>
      <c r="L85">
        <f>SUMPRODUCT((M_BOM[RM_Code]=$A85)*M_BOM[RM_Qty_Per_Batch]*IFERROR(INDEX(PP_Grid[#Data],M_BOM[PPGridRow],12),0))</f>
        <v/>
      </c>
      <c r="M85">
        <f>SUMPRODUCT((M_BOM[RM_Code]=$A85)*M_BOM[RM_Qty_Per_Batch]*IFERROR(INDEX(PP_Grid[#Data],M_BOM[PPGridRow],13),0))</f>
        <v/>
      </c>
      <c r="N85">
        <f>SUMPRODUCT((M_BOM[RM_Code]=$A85)*M_BOM[RM_Qty_Per_Batch]*IFERROR(INDEX(PP_Grid[#Data],M_BOM[PPGridRow],14),0))</f>
        <v/>
      </c>
      <c r="O85">
        <f>SUMPRODUCT((M_BOM[RM_Code]=$A85)*M_BOM[RM_Qty_Per_Batch]*IFERROR(INDEX(PP_Grid[#Data],M_BOM[PPGridRow],15),0))</f>
        <v/>
      </c>
      <c r="P85">
        <f>SUMPRODUCT((M_BOM[RM_Code]=$A85)*M_BOM[RM_Qty_Per_Batch]*IFERROR(INDEX(PP_Grid[#Data],M_BOM[PPGridRow],16),0))</f>
        <v/>
      </c>
      <c r="Q85">
        <f>SUMPRODUCT((M_BOM[RM_Code]=$A85)*M_BOM[RM_Qty_Per_Batch]*IFERROR(INDEX(PP_Grid[#Data],M_BOM[PPGridRow],17),0))</f>
        <v/>
      </c>
      <c r="R85">
        <f>SUMPRODUCT((M_BOM[RM_Code]=$A85)*M_BOM[RM_Qty_Per_Batch]*IFERROR(INDEX(PP_Grid[#Data],M_BOM[PPGridRow],18),0))</f>
        <v/>
      </c>
      <c r="S85">
        <f>SUMPRODUCT((M_BOM[RM_Code]=$A85)*M_BOM[RM_Qty_Per_Batch]*IFERROR(INDEX(PP_Grid[#Data],M_BOM[PPGridRow],19),0))</f>
        <v/>
      </c>
      <c r="T85">
        <f>SUMPRODUCT((M_BOM[RM_Code]=$A85)*M_BOM[RM_Qty_Per_Batch]*IFERROR(INDEX(PP_Grid[#Data],M_BOM[PPGridRow],20),0))</f>
        <v/>
      </c>
      <c r="U85">
        <f>SUMPRODUCT((M_BOM[RM_Code]=$A85)*M_BOM[RM_Qty_Per_Batch]*IFERROR(INDEX(PP_Grid[#Data],M_BOM[PPGridRow],21),0))</f>
        <v/>
      </c>
      <c r="V85">
        <f>SUMPRODUCT((M_BOM[RM_Code]=$A85)*M_BOM[RM_Qty_Per_Batch]*IFERROR(INDEX(PP_Grid[#Data],M_BOM[PPGridRow],22),0))</f>
        <v/>
      </c>
      <c r="W85">
        <f>SUMPRODUCT((M_BOM[RM_Code]=$A85)*M_BOM[RM_Qty_Per_Batch]*IFERROR(INDEX(PP_Grid[#Data],M_BOM[PPGridRow],23),0))</f>
        <v/>
      </c>
      <c r="X85">
        <f>SUMPRODUCT((M_BOM[RM_Code]=$A85)*M_BOM[RM_Qty_Per_Batch]*IFERROR(INDEX(PP_Grid[#Data],M_BOM[PPGridRow],24),0))</f>
        <v/>
      </c>
      <c r="Y85">
        <f>SUMPRODUCT((M_BOM[RM_Code]=$A85)*M_BOM[RM_Qty_Per_Batch]*IFERROR(INDEX(PP_Grid[#Data],M_BOM[PPGridRow],25),0))</f>
        <v/>
      </c>
      <c r="Z85">
        <f>SUMPRODUCT((M_BOM[RM_Code]=$A85)*M_BOM[RM_Qty_Per_Batch]*IFERROR(INDEX(PP_Grid[#Data],M_BOM[PPGridRow],26),0))</f>
        <v/>
      </c>
      <c r="AA85">
        <f>SUMPRODUCT((M_BOM[RM_Code]=$A85)*M_BOM[RM_Qty_Per_Batch]*IFERROR(INDEX(PP_Grid[#Data],M_BOM[PPGridRow],27),0))</f>
        <v/>
      </c>
      <c r="AB85">
        <f>SUMPRODUCT((M_BOM[RM_Code]=$A85)*M_BOM[RM_Qty_Per_Batch]*IFERROR(INDEX(PP_Grid[#Data],M_BOM[PPGridRow],28),0))</f>
        <v/>
      </c>
      <c r="AC85">
        <f>SUMPRODUCT((M_BOM[RM_Code]=$A85)*M_BOM[RM_Qty_Per_Batch]*IFERROR(INDEX(PP_Grid[#Data],M_BOM[PPGridRow],29),0))</f>
        <v/>
      </c>
      <c r="AD85">
        <f>SUMPRODUCT((M_BOM[RM_Code]=$A85)*M_BOM[RM_Qty_Per_Batch]*IFERROR(INDEX(PP_Grid[#Data],M_BOM[PPGridRow],30),0))</f>
        <v/>
      </c>
      <c r="AE85">
        <f>SUMPRODUCT((M_BOM[RM_Code]=$A85)*M_BOM[RM_Qty_Per_Batch]*IFERROR(INDEX(PP_Grid[#Data],M_BOM[PPGridRow],31),0))</f>
        <v/>
      </c>
      <c r="AF85">
        <f>SUMPRODUCT((M_BOM[RM_Code]=$A85)*M_BOM[RM_Qty_Per_Batch]*IFERROR(INDEX(PP_Grid[#Data],M_BOM[PPGridRow],32),0))</f>
        <v/>
      </c>
      <c r="AG85">
        <f>SUMPRODUCT((M_BOM[RM_Code]=$A85)*M_BOM[RM_Qty_Per_Batch]*IFERROR(INDEX(PP_Grid[#Data],M_BOM[PPGridRow],33),0))</f>
        <v/>
      </c>
      <c r="AH85">
        <f>SUMPRODUCT((M_BOM[RM_Code]=$A85)*M_BOM[RM_Qty_Per_Batch]*IFERROR(INDEX(PP_Grid[#Data],M_BOM[PPGridRow],34),0))</f>
        <v/>
      </c>
      <c r="AI85">
        <f>SUMPRODUCT((M_BOM[RM_Code]=$A85)*M_BOM[RM_Qty_Per_Batch]*IFERROR(INDEX(PP_Grid[#Data],M_BOM[PPGridRow],35),0))</f>
        <v/>
      </c>
      <c r="AJ85">
        <f>SUMPRODUCT((M_BOM[RM_Code]=$A85)*M_BOM[RM_Qty_Per_Batch]*IFERROR(INDEX(PP_Grid[#Data],M_BOM[PPGridRow],36),0))</f>
        <v/>
      </c>
      <c r="AK85">
        <f>SUMPRODUCT((M_BOM[RM_Code]=$A85)*M_BOM[RM_Qty_Per_Batch]*IFERROR(INDEX(PP_Grid[#Data],M_BOM[PPGridRow],37),0))</f>
        <v/>
      </c>
      <c r="AL85">
        <f>SUMPRODUCT((M_BOM[RM_Code]=$A85)*M_BOM[RM_Qty_Per_Batch]*IFERROR(INDEX(PP_Grid[#Data],M_BOM[PPGridRow],38),0))</f>
        <v/>
      </c>
      <c r="AM85">
        <f>SUMPRODUCT((M_BOM[RM_Code]=$A85)*M_BOM[RM_Qty_Per_Batch]*IFERROR(INDEX(PP_Grid[#Data],M_BOM[PPGridRow],39),0))</f>
        <v/>
      </c>
      <c r="AN85">
        <f>SUMPRODUCT((M_BOM[RM_Code]=$A85)*M_BOM[RM_Qty_Per_Batch]*IFERROR(INDEX(PP_Grid[#Data],M_BOM[PPGridRow],40),0))</f>
        <v/>
      </c>
      <c r="AO85">
        <f>SUMPRODUCT((M_BOM[RM_Code]=$A85)*M_BOM[RM_Qty_Per_Batch]*IFERROR(INDEX(PP_Grid[#Data],M_BOM[PPGridRow],41),0))</f>
        <v/>
      </c>
      <c r="AP85">
        <f>SUMPRODUCT((M_BOM[RM_Code]=$A85)*M_BOM[RM_Qty_Per_Batch]*IFERROR(INDEX(PP_Grid[#Data],M_BOM[PPGridRow],42),0))</f>
        <v/>
      </c>
      <c r="AQ85">
        <f>SUMPRODUCT((M_BOM[RM_Code]=$A85)*M_BOM[RM_Qty_Per_Batch]*IFERROR(INDEX(PP_Grid[#Data],M_BOM[PPGridRow],43),0))</f>
        <v/>
      </c>
      <c r="AR85">
        <f>SUMPRODUCT((M_BOM[RM_Code]=$A85)*M_BOM[RM_Qty_Per_Batch]*IFERROR(INDEX(PP_Grid[#Data],M_BOM[PPGridRow],44),0))</f>
        <v/>
      </c>
      <c r="AS85">
        <f>SUMPRODUCT((M_BOM[RM_Code]=$A85)*M_BOM[RM_Qty_Per_Batch]*IFERROR(INDEX(PP_Grid[#Data],M_BOM[PPGridRow],45),0))</f>
        <v/>
      </c>
      <c r="AT85">
        <f>SUMPRODUCT((M_BOM[RM_Code]=$A85)*M_BOM[RM_Qty_Per_Batch]*IFERROR(INDEX(PP_Grid[#Data],M_BOM[PPGridRow],46),0))</f>
        <v/>
      </c>
      <c r="AU85">
        <f>SUMPRODUCT((M_BOM[RM_Code]=$A85)*M_BOM[RM_Qty_Per_Batch]*IFERROR(INDEX(PP_Grid[#Data],M_BOM[PPGridRow],47),0))</f>
        <v/>
      </c>
      <c r="AV85">
        <f>SUMPRODUCT((M_BOM[RM_Code]=$A85)*M_BOM[RM_Qty_Per_Batch]*IFERROR(INDEX(PP_Grid[#Data],M_BOM[PPGridRow],48),0))</f>
        <v/>
      </c>
      <c r="AW85">
        <f>SUMPRODUCT((M_BOM[RM_Code]=$A85)*M_BOM[RM_Qty_Per_Batch]*IFERROR(INDEX(PP_Grid[#Data],M_BOM[PPGridRow],49),0))</f>
        <v/>
      </c>
      <c r="AX85">
        <f>SUMPRODUCT((M_BOM[RM_Code]=$A85)*M_BOM[RM_Qty_Per_Batch]*IFERROR(INDEX(PP_Grid[#Data],M_BOM[PPGridRow],50),0))</f>
        <v/>
      </c>
      <c r="AY85">
        <f>SUMPRODUCT((M_BOM[RM_Code]=$A85)*M_BOM[RM_Qty_Per_Batch]*IFERROR(INDEX(PP_Grid[#Data],M_BOM[PPGridRow],51),0))</f>
        <v/>
      </c>
      <c r="AZ85">
        <f>SUMPRODUCT((M_BOM[RM_Code]=$A85)*M_BOM[RM_Qty_Per_Batch]*IFERROR(INDEX(PP_Grid[#Data],M_BOM[PPGridRow],52),0))</f>
        <v/>
      </c>
      <c r="BA85">
        <f>SUMPRODUCT((M_BOM[RM_Code]=$A85)*M_BOM[RM_Qty_Per_Batch]*IFERROR(INDEX(PP_Grid[#Data],M_BOM[PPGridRow],53),0))</f>
        <v/>
      </c>
      <c r="BB85">
        <f>SUMPRODUCT((M_BOM[RM_Code]=$A85)*M_BOM[RM_Qty_Per_Batch]*IFERROR(INDEX(PP_Grid[#Data],M_BOM[PPGridRow],54),0))</f>
        <v/>
      </c>
      <c r="BC85">
        <f>SUMPRODUCT((M_BOM[RM_Code]=$A85)*M_BOM[RM_Qty_Per_Batch]*IFERROR(INDEX(PP_Grid[#Data],M_BOM[PPGridRow],55),0))</f>
        <v/>
      </c>
      <c r="BD85">
        <f>SUMPRODUCT((M_BOM[RM_Code]=$A85)*M_BOM[RM_Qty_Per_Batch]*IFERROR(INDEX(PP_Grid[#Data],M_BOM[PPGridRow],56),0))</f>
        <v/>
      </c>
      <c r="BE85">
        <f>SUMPRODUCT((M_BOM[RM_Code]=$A85)*M_BOM[RM_Qty_Per_Batch]*IFERROR(INDEX(PP_Grid[#Data],M_BOM[PPGridRow],57),0))</f>
        <v/>
      </c>
      <c r="BF85">
        <f>SUMPRODUCT((M_BOM[RM_Code]=$A85)*M_BOM[RM_Qty_Per_Batch]*IFERROR(INDEX(PP_Grid[#Data],M_BOM[PPGridRow],58),0))</f>
        <v/>
      </c>
      <c r="BG85">
        <f>SUMPRODUCT((M_BOM[RM_Code]=$A85)*M_BOM[RM_Qty_Per_Batch]*IFERROR(INDEX(PP_Grid[#Data],M_BOM[PPGridRow],59),0))</f>
        <v/>
      </c>
      <c r="BH85">
        <f>SUMPRODUCT((M_BOM[RM_Code]=$A85)*M_BOM[RM_Qty_Per_Batch]*IFERROR(INDEX(PP_Grid[#Data],M_BOM[PPGridRow],60),0))</f>
        <v/>
      </c>
      <c r="BI85">
        <f>SUMPRODUCT((M_BOM[RM_Code]=$A85)*M_BOM[RM_Qty_Per_Batch]*IFERROR(INDEX(PP_Grid[#Data],M_BOM[PPGridRow],61),0))</f>
        <v/>
      </c>
      <c r="BJ85">
        <f>SUMPRODUCT((M_BOM[RM_Code]=$A85)*M_BOM[RM_Qty_Per_Batch]*IFERROR(INDEX(PP_Grid[#Data],M_BOM[PPGridRow],62),0))</f>
        <v/>
      </c>
      <c r="BK85">
        <f>SUMPRODUCT((M_BOM[RM_Code]=$A85)*M_BOM[RM_Qty_Per_Batch]*IFERROR(INDEX(PP_Grid[#Data],M_BOM[PPGridRow],63),0))</f>
        <v/>
      </c>
      <c r="BL85">
        <f>SUMPRODUCT((M_BOM[RM_Code]=$A85)*M_BOM[RM_Qty_Per_Batch]*IFERROR(INDEX(PP_Grid[#Data],M_BOM[PPGridRow],64),0))</f>
        <v/>
      </c>
      <c r="BM85">
        <f>SUMPRODUCT((M_BOM[RM_Code]=$A85)*M_BOM[RM_Qty_Per_Batch]*IFERROR(INDEX(PP_Grid[#Data],M_BOM[PPGridRow],65),0))</f>
        <v/>
      </c>
      <c r="BN85">
        <f>SUMPRODUCT((M_BOM[RM_Code]=$A85)*M_BOM[RM_Qty_Per_Batch]*IFERROR(INDEX(PP_Grid[#Data],M_BOM[PPGridRow],66),0))</f>
        <v/>
      </c>
      <c r="BO85">
        <f>SUMPRODUCT((M_BOM[RM_Code]=$A85)*M_BOM[RM_Qty_Per_Batch]*IFERROR(INDEX(PP_Grid[#Data],M_BOM[PPGridRow],67),0))</f>
        <v/>
      </c>
      <c r="BP85">
        <f>SUMPRODUCT((M_BOM[RM_Code]=$A85)*M_BOM[RM_Qty_Per_Batch]*IFERROR(INDEX(PP_Grid[#Data],M_BOM[PPGridRow],68),0))</f>
        <v/>
      </c>
      <c r="BQ85">
        <f>SUMPRODUCT((M_BOM[RM_Code]=$A85)*M_BOM[RM_Qty_Per_Batch]*IFERROR(INDEX(PP_Grid[#Data],M_BOM[PPGridRow],69),0))</f>
        <v/>
      </c>
      <c r="BR85">
        <f>SUMPRODUCT((M_BOM[RM_Code]=$A85)*M_BOM[RM_Qty_Per_Batch]*IFERROR(INDEX(PP_Grid[#Data],M_BOM[PPGridRow],70),0))</f>
        <v/>
      </c>
      <c r="BS85">
        <f>SUMPRODUCT((M_BOM[RM_Code]=$A85)*M_BOM[RM_Qty_Per_Batch]*IFERROR(INDEX(PP_Grid[#Data],M_BOM[PPGridRow],71),0))</f>
        <v/>
      </c>
      <c r="BT85">
        <f>SUMPRODUCT((M_BOM[RM_Code]=$A85)*M_BOM[RM_Qty_Per_Batch]*IFERROR(INDEX(PP_Grid[#Data],M_BOM[PPGridRow],72),0))</f>
        <v/>
      </c>
      <c r="BU85">
        <f>SUMPRODUCT((M_BOM[RM_Code]=$A85)*M_BOM[RM_Qty_Per_Batch]*IFERROR(INDEX(PP_Grid[#Data],M_BOM[PPGridRow],73),0))</f>
        <v/>
      </c>
      <c r="BV85">
        <f>SUMPRODUCT((M_BOM[RM_Code]=$A85)*M_BOM[RM_Qty_Per_Batch]*IFERROR(INDEX(PP_Grid[#Data],M_BOM[PPGridRow],74),0))</f>
        <v/>
      </c>
      <c r="BW85">
        <f>SUMPRODUCT((M_BOM[RM_Code]=$A85)*M_BOM[RM_Qty_Per_Batch]*IFERROR(INDEX(PP_Grid[#Data],M_BOM[PPGridRow],75),0))</f>
        <v/>
      </c>
      <c r="BX85">
        <f>SUMPRODUCT((M_BOM[RM_Code]=$A85)*M_BOM[RM_Qty_Per_Batch]*IFERROR(INDEX(PP_Grid[#Data],M_BOM[PPGridRow],76),0))</f>
        <v/>
      </c>
      <c r="BY85">
        <f>SUMPRODUCT((M_BOM[RM_Code]=$A85)*M_BOM[RM_Qty_Per_Batch]*IFERROR(INDEX(PP_Grid[#Data],M_BOM[PPGridRow],77),0))</f>
        <v/>
      </c>
      <c r="BZ85">
        <f>SUMPRODUCT((M_BOM[RM_Code]=$A85)*M_BOM[RM_Qty_Per_Batch]*IFERROR(INDEX(PP_Grid[#Data],M_BOM[PPGridRow],78),0))</f>
        <v/>
      </c>
      <c r="CA85">
        <f>SUMPRODUCT((M_BOM[RM_Code]=$A85)*M_BOM[RM_Qty_Per_Batch]*IFERROR(INDEX(PP_Grid[#Data],M_BOM[PPGridRow],79),0))</f>
        <v/>
      </c>
      <c r="CB85">
        <f>SUMPRODUCT((M_BOM[RM_Code]=$A85)*M_BOM[RM_Qty_Per_Batch]*IFERROR(INDEX(PP_Grid[#Data],M_BOM[PPGridRow],80),0))</f>
        <v/>
      </c>
      <c r="CC85">
        <f>SUMPRODUCT((M_BOM[RM_Code]=$A85)*M_BOM[RM_Qty_Per_Batch]*IFERROR(INDEX(PP_Grid[#Data],M_BOM[PPGridRow],81),0))</f>
        <v/>
      </c>
      <c r="CD85">
        <f>SUMPRODUCT((M_BOM[RM_Code]=$A85)*M_BOM[RM_Qty_Per_Batch]*IFERROR(INDEX(PP_Grid[#Data],M_BOM[PPGridRow],82),0))</f>
        <v/>
      </c>
      <c r="CE85">
        <f>SUMPRODUCT((M_BOM[RM_Code]=$A85)*M_BOM[RM_Qty_Per_Batch]*IFERROR(INDEX(PP_Grid[#Data],M_BOM[PPGridRow],83),0))</f>
        <v/>
      </c>
      <c r="CF85">
        <f>SUMPRODUCT((M_BOM[RM_Code]=$A85)*M_BOM[RM_Qty_Per_Batch]*IFERROR(INDEX(PP_Grid[#Data],M_BOM[PPGridRow],84),0))</f>
        <v/>
      </c>
      <c r="CG85">
        <f>SUMPRODUCT((M_BOM[RM_Code]=$A85)*M_BOM[RM_Qty_Per_Batch]*IFERROR(INDEX(PP_Grid[#Data],M_BOM[PPGridRow],85),0))</f>
        <v/>
      </c>
      <c r="CH85">
        <f>SUMPRODUCT((M_BOM[RM_Code]=$A85)*M_BOM[RM_Qty_Per_Batch]*IFERROR(INDEX(PP_Grid[#Data],M_BOM[PPGridRow],86),0))</f>
        <v/>
      </c>
      <c r="CI85">
        <f>SUMPRODUCT((M_BOM[RM_Code]=$A85)*M_BOM[RM_Qty_Per_Batch]*IFERROR(INDEX(PP_Grid[#Data],M_BOM[PPGridRow],87),0))</f>
        <v/>
      </c>
      <c r="CJ85">
        <f>SUMPRODUCT((M_BOM[RM_Code]=$A85)*M_BOM[RM_Qty_Per_Batch]*IFERROR(INDEX(PP_Grid[#Data],M_BOM[PPGridRow],88),0))</f>
        <v/>
      </c>
      <c r="CK85">
        <f>SUMPRODUCT((M_BOM[RM_Code]=$A85)*M_BOM[RM_Qty_Per_Batch]*IFERROR(INDEX(PP_Grid[#Data],M_BOM[PPGridRow],89),0))</f>
        <v/>
      </c>
      <c r="CL85">
        <f>SUMPRODUCT((M_BOM[RM_Code]=$A85)*M_BOM[RM_Qty_Per_Batch]*IFERROR(INDEX(PP_Grid[#Data],M_BOM[PPGridRow],90),0))</f>
        <v/>
      </c>
      <c r="CM85">
        <f>SUMPRODUCT((M_BOM[RM_Code]=$A85)*M_BOM[RM_Qty_Per_Batch]*IFERROR(INDEX(PP_Grid[#Data],M_BOM[PPGridRow],91),0))</f>
        <v/>
      </c>
      <c r="CN85">
        <f>SUMPRODUCT((M_BOM[RM_Code]=$A85)*M_BOM[RM_Qty_Per_Batch]*IFERROR(INDEX(PP_Grid[#Data],M_BOM[PPGridRow],92),0))</f>
        <v/>
      </c>
      <c r="CO85">
        <f>SUMPRODUCT((M_BOM[RM_Code]=$A85)*M_BOM[RM_Qty_Per_Batch]*IFERROR(INDEX(PP_Grid[#Data],M_BOM[PPGridRow],93),0))</f>
        <v/>
      </c>
      <c r="CP85">
        <f>SUMPRODUCT((M_BOM[RM_Code]=$A85)*M_BOM[RM_Qty_Per_Batch]*IFERROR(INDEX(PP_Grid[#Data],M_BOM[PPGridRow],94),0))</f>
        <v/>
      </c>
      <c r="CQ85">
        <f>SUMPRODUCT((M_BOM[RM_Code]=$A85)*M_BOM[RM_Qty_Per_Batch]*IFERROR(INDEX(PP_Grid[#Data],M_BOM[PPGridRow],95),0))</f>
        <v/>
      </c>
      <c r="CR85">
        <f>SUMPRODUCT((M_BOM[RM_Code]=$A85)*M_BOM[RM_Qty_Per_Batch]*IFERROR(INDEX(PP_Grid[#Data],M_BOM[PPGridRow],96),0))</f>
        <v/>
      </c>
      <c r="CS85">
        <f>SUMPRODUCT((M_BOM[RM_Code]=$A85)*M_BOM[RM_Qty_Per_Batch]*IFERROR(INDEX(PP_Grid[#Data],M_BOM[PPGridRow],97),0))</f>
        <v/>
      </c>
      <c r="CT85">
        <f>SUMPRODUCT((M_BOM[RM_Code]=$A85)*M_BOM[RM_Qty_Per_Batch]*IFERROR(INDEX(PP_Grid[#Data],M_BOM[PPGridRow],98),0))</f>
        <v/>
      </c>
      <c r="CU85">
        <f>SUMPRODUCT((M_BOM[RM_Code]=$A85)*M_BOM[RM_Qty_Per_Batch]*IFERROR(INDEX(PP_Grid[#Data],M_BOM[PPGridRow],99),0))</f>
        <v/>
      </c>
      <c r="CV85">
        <f>SUMPRODUCT((M_BOM[RM_Code]=$A85)*M_BOM[RM_Qty_Per_Batch]*IFERROR(INDEX(PP_Grid[#Data],M_BOM[PPGridRow],100),0))</f>
        <v/>
      </c>
      <c r="CW85">
        <f>SUMPRODUCT((M_BOM[RM_Code]=$A85)*M_BOM[RM_Qty_Per_Batch]*IFERROR(INDEX(PP_Grid[#Data],M_BOM[PPGridRow],101),0))</f>
        <v/>
      </c>
      <c r="CX85">
        <f>SUMPRODUCT((M_BOM[RM_Code]=$A85)*M_BOM[RM_Qty_Per_Batch]*IFERROR(INDEX(PP_Grid[#Data],M_BOM[PPGridRow],102),0))</f>
        <v/>
      </c>
      <c r="CY85">
        <f>SUMPRODUCT((M_BOM[RM_Code]=$A85)*M_BOM[RM_Qty_Per_Batch]*IFERROR(INDEX(PP_Grid[#Data],M_BOM[PPGridRow],103),0))</f>
        <v/>
      </c>
      <c r="CZ85">
        <f>SUMPRODUCT((M_BOM[RM_Code]=$A85)*M_BOM[RM_Qty_Per_Batch]*IFERROR(INDEX(PP_Grid[#Data],M_BOM[PPGridRow],104),0))</f>
        <v/>
      </c>
      <c r="DA85">
        <f>SUMPRODUCT((M_BOM[RM_Code]=$A85)*M_BOM[RM_Qty_Per_Batch]*IFERROR(INDEX(PP_Grid[#Data],M_BOM[PPGridRow],105),0))</f>
        <v/>
      </c>
    </row>
    <row r="86">
      <c r="A86" t="inlineStr">
        <is>
          <t>TSZ-616</t>
        </is>
      </c>
      <c r="B86">
        <f>SUMPRODUCT((M_BOM[RM_Code]=$A86)*M_BOM[RM_Qty_Per_Batch]*IFERROR(INDEX(PP_Grid[#Data],M_BOM[PPGridRow],2),0))</f>
        <v/>
      </c>
      <c r="C86">
        <f>SUMPRODUCT((M_BOM[RM_Code]=$A86)*M_BOM[RM_Qty_Per_Batch]*IFERROR(INDEX(PP_Grid[#Data],M_BOM[PPGridRow],3),0))</f>
        <v/>
      </c>
      <c r="D86">
        <f>SUMPRODUCT((M_BOM[RM_Code]=$A86)*M_BOM[RM_Qty_Per_Batch]*IFERROR(INDEX(PP_Grid[#Data],M_BOM[PPGridRow],4),0))</f>
        <v/>
      </c>
      <c r="E86">
        <f>SUMPRODUCT((M_BOM[RM_Code]=$A86)*M_BOM[RM_Qty_Per_Batch]*IFERROR(INDEX(PP_Grid[#Data],M_BOM[PPGridRow],5),0))</f>
        <v/>
      </c>
      <c r="F86">
        <f>SUMPRODUCT((M_BOM[RM_Code]=$A86)*M_BOM[RM_Qty_Per_Batch]*IFERROR(INDEX(PP_Grid[#Data],M_BOM[PPGridRow],6),0))</f>
        <v/>
      </c>
      <c r="G86">
        <f>SUMPRODUCT((M_BOM[RM_Code]=$A86)*M_BOM[RM_Qty_Per_Batch]*IFERROR(INDEX(PP_Grid[#Data],M_BOM[PPGridRow],7),0))</f>
        <v/>
      </c>
      <c r="H86">
        <f>SUMPRODUCT((M_BOM[RM_Code]=$A86)*M_BOM[RM_Qty_Per_Batch]*IFERROR(INDEX(PP_Grid[#Data],M_BOM[PPGridRow],8),0))</f>
        <v/>
      </c>
      <c r="I86">
        <f>SUMPRODUCT((M_BOM[RM_Code]=$A86)*M_BOM[RM_Qty_Per_Batch]*IFERROR(INDEX(PP_Grid[#Data],M_BOM[PPGridRow],9),0))</f>
        <v/>
      </c>
      <c r="J86">
        <f>SUMPRODUCT((M_BOM[RM_Code]=$A86)*M_BOM[RM_Qty_Per_Batch]*IFERROR(INDEX(PP_Grid[#Data],M_BOM[PPGridRow],10),0))</f>
        <v/>
      </c>
      <c r="K86">
        <f>SUMPRODUCT((M_BOM[RM_Code]=$A86)*M_BOM[RM_Qty_Per_Batch]*IFERROR(INDEX(PP_Grid[#Data],M_BOM[PPGridRow],11),0))</f>
        <v/>
      </c>
      <c r="L86">
        <f>SUMPRODUCT((M_BOM[RM_Code]=$A86)*M_BOM[RM_Qty_Per_Batch]*IFERROR(INDEX(PP_Grid[#Data],M_BOM[PPGridRow],12),0))</f>
        <v/>
      </c>
      <c r="M86">
        <f>SUMPRODUCT((M_BOM[RM_Code]=$A86)*M_BOM[RM_Qty_Per_Batch]*IFERROR(INDEX(PP_Grid[#Data],M_BOM[PPGridRow],13),0))</f>
        <v/>
      </c>
      <c r="N86">
        <f>SUMPRODUCT((M_BOM[RM_Code]=$A86)*M_BOM[RM_Qty_Per_Batch]*IFERROR(INDEX(PP_Grid[#Data],M_BOM[PPGridRow],14),0))</f>
        <v/>
      </c>
      <c r="O86">
        <f>SUMPRODUCT((M_BOM[RM_Code]=$A86)*M_BOM[RM_Qty_Per_Batch]*IFERROR(INDEX(PP_Grid[#Data],M_BOM[PPGridRow],15),0))</f>
        <v/>
      </c>
      <c r="P86">
        <f>SUMPRODUCT((M_BOM[RM_Code]=$A86)*M_BOM[RM_Qty_Per_Batch]*IFERROR(INDEX(PP_Grid[#Data],M_BOM[PPGridRow],16),0))</f>
        <v/>
      </c>
      <c r="Q86">
        <f>SUMPRODUCT((M_BOM[RM_Code]=$A86)*M_BOM[RM_Qty_Per_Batch]*IFERROR(INDEX(PP_Grid[#Data],M_BOM[PPGridRow],17),0))</f>
        <v/>
      </c>
      <c r="R86">
        <f>SUMPRODUCT((M_BOM[RM_Code]=$A86)*M_BOM[RM_Qty_Per_Batch]*IFERROR(INDEX(PP_Grid[#Data],M_BOM[PPGridRow],18),0))</f>
        <v/>
      </c>
      <c r="S86">
        <f>SUMPRODUCT((M_BOM[RM_Code]=$A86)*M_BOM[RM_Qty_Per_Batch]*IFERROR(INDEX(PP_Grid[#Data],M_BOM[PPGridRow],19),0))</f>
        <v/>
      </c>
      <c r="T86">
        <f>SUMPRODUCT((M_BOM[RM_Code]=$A86)*M_BOM[RM_Qty_Per_Batch]*IFERROR(INDEX(PP_Grid[#Data],M_BOM[PPGridRow],20),0))</f>
        <v/>
      </c>
      <c r="U86">
        <f>SUMPRODUCT((M_BOM[RM_Code]=$A86)*M_BOM[RM_Qty_Per_Batch]*IFERROR(INDEX(PP_Grid[#Data],M_BOM[PPGridRow],21),0))</f>
        <v/>
      </c>
      <c r="V86">
        <f>SUMPRODUCT((M_BOM[RM_Code]=$A86)*M_BOM[RM_Qty_Per_Batch]*IFERROR(INDEX(PP_Grid[#Data],M_BOM[PPGridRow],22),0))</f>
        <v/>
      </c>
      <c r="W86">
        <f>SUMPRODUCT((M_BOM[RM_Code]=$A86)*M_BOM[RM_Qty_Per_Batch]*IFERROR(INDEX(PP_Grid[#Data],M_BOM[PPGridRow],23),0))</f>
        <v/>
      </c>
      <c r="X86">
        <f>SUMPRODUCT((M_BOM[RM_Code]=$A86)*M_BOM[RM_Qty_Per_Batch]*IFERROR(INDEX(PP_Grid[#Data],M_BOM[PPGridRow],24),0))</f>
        <v/>
      </c>
      <c r="Y86">
        <f>SUMPRODUCT((M_BOM[RM_Code]=$A86)*M_BOM[RM_Qty_Per_Batch]*IFERROR(INDEX(PP_Grid[#Data],M_BOM[PPGridRow],25),0))</f>
        <v/>
      </c>
      <c r="Z86">
        <f>SUMPRODUCT((M_BOM[RM_Code]=$A86)*M_BOM[RM_Qty_Per_Batch]*IFERROR(INDEX(PP_Grid[#Data],M_BOM[PPGridRow],26),0))</f>
        <v/>
      </c>
      <c r="AA86">
        <f>SUMPRODUCT((M_BOM[RM_Code]=$A86)*M_BOM[RM_Qty_Per_Batch]*IFERROR(INDEX(PP_Grid[#Data],M_BOM[PPGridRow],27),0))</f>
        <v/>
      </c>
      <c r="AB86">
        <f>SUMPRODUCT((M_BOM[RM_Code]=$A86)*M_BOM[RM_Qty_Per_Batch]*IFERROR(INDEX(PP_Grid[#Data],M_BOM[PPGridRow],28),0))</f>
        <v/>
      </c>
      <c r="AC86">
        <f>SUMPRODUCT((M_BOM[RM_Code]=$A86)*M_BOM[RM_Qty_Per_Batch]*IFERROR(INDEX(PP_Grid[#Data],M_BOM[PPGridRow],29),0))</f>
        <v/>
      </c>
      <c r="AD86">
        <f>SUMPRODUCT((M_BOM[RM_Code]=$A86)*M_BOM[RM_Qty_Per_Batch]*IFERROR(INDEX(PP_Grid[#Data],M_BOM[PPGridRow],30),0))</f>
        <v/>
      </c>
      <c r="AE86">
        <f>SUMPRODUCT((M_BOM[RM_Code]=$A86)*M_BOM[RM_Qty_Per_Batch]*IFERROR(INDEX(PP_Grid[#Data],M_BOM[PPGridRow],31),0))</f>
        <v/>
      </c>
      <c r="AF86">
        <f>SUMPRODUCT((M_BOM[RM_Code]=$A86)*M_BOM[RM_Qty_Per_Batch]*IFERROR(INDEX(PP_Grid[#Data],M_BOM[PPGridRow],32),0))</f>
        <v/>
      </c>
      <c r="AG86">
        <f>SUMPRODUCT((M_BOM[RM_Code]=$A86)*M_BOM[RM_Qty_Per_Batch]*IFERROR(INDEX(PP_Grid[#Data],M_BOM[PPGridRow],33),0))</f>
        <v/>
      </c>
      <c r="AH86">
        <f>SUMPRODUCT((M_BOM[RM_Code]=$A86)*M_BOM[RM_Qty_Per_Batch]*IFERROR(INDEX(PP_Grid[#Data],M_BOM[PPGridRow],34),0))</f>
        <v/>
      </c>
      <c r="AI86">
        <f>SUMPRODUCT((M_BOM[RM_Code]=$A86)*M_BOM[RM_Qty_Per_Batch]*IFERROR(INDEX(PP_Grid[#Data],M_BOM[PPGridRow],35),0))</f>
        <v/>
      </c>
      <c r="AJ86">
        <f>SUMPRODUCT((M_BOM[RM_Code]=$A86)*M_BOM[RM_Qty_Per_Batch]*IFERROR(INDEX(PP_Grid[#Data],M_BOM[PPGridRow],36),0))</f>
        <v/>
      </c>
      <c r="AK86">
        <f>SUMPRODUCT((M_BOM[RM_Code]=$A86)*M_BOM[RM_Qty_Per_Batch]*IFERROR(INDEX(PP_Grid[#Data],M_BOM[PPGridRow],37),0))</f>
        <v/>
      </c>
      <c r="AL86">
        <f>SUMPRODUCT((M_BOM[RM_Code]=$A86)*M_BOM[RM_Qty_Per_Batch]*IFERROR(INDEX(PP_Grid[#Data],M_BOM[PPGridRow],38),0))</f>
        <v/>
      </c>
      <c r="AM86">
        <f>SUMPRODUCT((M_BOM[RM_Code]=$A86)*M_BOM[RM_Qty_Per_Batch]*IFERROR(INDEX(PP_Grid[#Data],M_BOM[PPGridRow],39),0))</f>
        <v/>
      </c>
      <c r="AN86">
        <f>SUMPRODUCT((M_BOM[RM_Code]=$A86)*M_BOM[RM_Qty_Per_Batch]*IFERROR(INDEX(PP_Grid[#Data],M_BOM[PPGridRow],40),0))</f>
        <v/>
      </c>
      <c r="AO86">
        <f>SUMPRODUCT((M_BOM[RM_Code]=$A86)*M_BOM[RM_Qty_Per_Batch]*IFERROR(INDEX(PP_Grid[#Data],M_BOM[PPGridRow],41),0))</f>
        <v/>
      </c>
      <c r="AP86">
        <f>SUMPRODUCT((M_BOM[RM_Code]=$A86)*M_BOM[RM_Qty_Per_Batch]*IFERROR(INDEX(PP_Grid[#Data],M_BOM[PPGridRow],42),0))</f>
        <v/>
      </c>
      <c r="AQ86">
        <f>SUMPRODUCT((M_BOM[RM_Code]=$A86)*M_BOM[RM_Qty_Per_Batch]*IFERROR(INDEX(PP_Grid[#Data],M_BOM[PPGridRow],43),0))</f>
        <v/>
      </c>
      <c r="AR86">
        <f>SUMPRODUCT((M_BOM[RM_Code]=$A86)*M_BOM[RM_Qty_Per_Batch]*IFERROR(INDEX(PP_Grid[#Data],M_BOM[PPGridRow],44),0))</f>
        <v/>
      </c>
      <c r="AS86">
        <f>SUMPRODUCT((M_BOM[RM_Code]=$A86)*M_BOM[RM_Qty_Per_Batch]*IFERROR(INDEX(PP_Grid[#Data],M_BOM[PPGridRow],45),0))</f>
        <v/>
      </c>
      <c r="AT86">
        <f>SUMPRODUCT((M_BOM[RM_Code]=$A86)*M_BOM[RM_Qty_Per_Batch]*IFERROR(INDEX(PP_Grid[#Data],M_BOM[PPGridRow],46),0))</f>
        <v/>
      </c>
      <c r="AU86">
        <f>SUMPRODUCT((M_BOM[RM_Code]=$A86)*M_BOM[RM_Qty_Per_Batch]*IFERROR(INDEX(PP_Grid[#Data],M_BOM[PPGridRow],47),0))</f>
        <v/>
      </c>
      <c r="AV86">
        <f>SUMPRODUCT((M_BOM[RM_Code]=$A86)*M_BOM[RM_Qty_Per_Batch]*IFERROR(INDEX(PP_Grid[#Data],M_BOM[PPGridRow],48),0))</f>
        <v/>
      </c>
      <c r="AW86">
        <f>SUMPRODUCT((M_BOM[RM_Code]=$A86)*M_BOM[RM_Qty_Per_Batch]*IFERROR(INDEX(PP_Grid[#Data],M_BOM[PPGridRow],49),0))</f>
        <v/>
      </c>
      <c r="AX86">
        <f>SUMPRODUCT((M_BOM[RM_Code]=$A86)*M_BOM[RM_Qty_Per_Batch]*IFERROR(INDEX(PP_Grid[#Data],M_BOM[PPGridRow],50),0))</f>
        <v/>
      </c>
      <c r="AY86">
        <f>SUMPRODUCT((M_BOM[RM_Code]=$A86)*M_BOM[RM_Qty_Per_Batch]*IFERROR(INDEX(PP_Grid[#Data],M_BOM[PPGridRow],51),0))</f>
        <v/>
      </c>
      <c r="AZ86">
        <f>SUMPRODUCT((M_BOM[RM_Code]=$A86)*M_BOM[RM_Qty_Per_Batch]*IFERROR(INDEX(PP_Grid[#Data],M_BOM[PPGridRow],52),0))</f>
        <v/>
      </c>
      <c r="BA86">
        <f>SUMPRODUCT((M_BOM[RM_Code]=$A86)*M_BOM[RM_Qty_Per_Batch]*IFERROR(INDEX(PP_Grid[#Data],M_BOM[PPGridRow],53),0))</f>
        <v/>
      </c>
      <c r="BB86">
        <f>SUMPRODUCT((M_BOM[RM_Code]=$A86)*M_BOM[RM_Qty_Per_Batch]*IFERROR(INDEX(PP_Grid[#Data],M_BOM[PPGridRow],54),0))</f>
        <v/>
      </c>
      <c r="BC86">
        <f>SUMPRODUCT((M_BOM[RM_Code]=$A86)*M_BOM[RM_Qty_Per_Batch]*IFERROR(INDEX(PP_Grid[#Data],M_BOM[PPGridRow],55),0))</f>
        <v/>
      </c>
      <c r="BD86">
        <f>SUMPRODUCT((M_BOM[RM_Code]=$A86)*M_BOM[RM_Qty_Per_Batch]*IFERROR(INDEX(PP_Grid[#Data],M_BOM[PPGridRow],56),0))</f>
        <v/>
      </c>
      <c r="BE86">
        <f>SUMPRODUCT((M_BOM[RM_Code]=$A86)*M_BOM[RM_Qty_Per_Batch]*IFERROR(INDEX(PP_Grid[#Data],M_BOM[PPGridRow],57),0))</f>
        <v/>
      </c>
      <c r="BF86">
        <f>SUMPRODUCT((M_BOM[RM_Code]=$A86)*M_BOM[RM_Qty_Per_Batch]*IFERROR(INDEX(PP_Grid[#Data],M_BOM[PPGridRow],58),0))</f>
        <v/>
      </c>
      <c r="BG86">
        <f>SUMPRODUCT((M_BOM[RM_Code]=$A86)*M_BOM[RM_Qty_Per_Batch]*IFERROR(INDEX(PP_Grid[#Data],M_BOM[PPGridRow],59),0))</f>
        <v/>
      </c>
      <c r="BH86">
        <f>SUMPRODUCT((M_BOM[RM_Code]=$A86)*M_BOM[RM_Qty_Per_Batch]*IFERROR(INDEX(PP_Grid[#Data],M_BOM[PPGridRow],60),0))</f>
        <v/>
      </c>
      <c r="BI86">
        <f>SUMPRODUCT((M_BOM[RM_Code]=$A86)*M_BOM[RM_Qty_Per_Batch]*IFERROR(INDEX(PP_Grid[#Data],M_BOM[PPGridRow],61),0))</f>
        <v/>
      </c>
      <c r="BJ86">
        <f>SUMPRODUCT((M_BOM[RM_Code]=$A86)*M_BOM[RM_Qty_Per_Batch]*IFERROR(INDEX(PP_Grid[#Data],M_BOM[PPGridRow],62),0))</f>
        <v/>
      </c>
      <c r="BK86">
        <f>SUMPRODUCT((M_BOM[RM_Code]=$A86)*M_BOM[RM_Qty_Per_Batch]*IFERROR(INDEX(PP_Grid[#Data],M_BOM[PPGridRow],63),0))</f>
        <v/>
      </c>
      <c r="BL86">
        <f>SUMPRODUCT((M_BOM[RM_Code]=$A86)*M_BOM[RM_Qty_Per_Batch]*IFERROR(INDEX(PP_Grid[#Data],M_BOM[PPGridRow],64),0))</f>
        <v/>
      </c>
      <c r="BM86">
        <f>SUMPRODUCT((M_BOM[RM_Code]=$A86)*M_BOM[RM_Qty_Per_Batch]*IFERROR(INDEX(PP_Grid[#Data],M_BOM[PPGridRow],65),0))</f>
        <v/>
      </c>
      <c r="BN86">
        <f>SUMPRODUCT((M_BOM[RM_Code]=$A86)*M_BOM[RM_Qty_Per_Batch]*IFERROR(INDEX(PP_Grid[#Data],M_BOM[PPGridRow],66),0))</f>
        <v/>
      </c>
      <c r="BO86">
        <f>SUMPRODUCT((M_BOM[RM_Code]=$A86)*M_BOM[RM_Qty_Per_Batch]*IFERROR(INDEX(PP_Grid[#Data],M_BOM[PPGridRow],67),0))</f>
        <v/>
      </c>
      <c r="BP86">
        <f>SUMPRODUCT((M_BOM[RM_Code]=$A86)*M_BOM[RM_Qty_Per_Batch]*IFERROR(INDEX(PP_Grid[#Data],M_BOM[PPGridRow],68),0))</f>
        <v/>
      </c>
      <c r="BQ86">
        <f>SUMPRODUCT((M_BOM[RM_Code]=$A86)*M_BOM[RM_Qty_Per_Batch]*IFERROR(INDEX(PP_Grid[#Data],M_BOM[PPGridRow],69),0))</f>
        <v/>
      </c>
      <c r="BR86">
        <f>SUMPRODUCT((M_BOM[RM_Code]=$A86)*M_BOM[RM_Qty_Per_Batch]*IFERROR(INDEX(PP_Grid[#Data],M_BOM[PPGridRow],70),0))</f>
        <v/>
      </c>
      <c r="BS86">
        <f>SUMPRODUCT((M_BOM[RM_Code]=$A86)*M_BOM[RM_Qty_Per_Batch]*IFERROR(INDEX(PP_Grid[#Data],M_BOM[PPGridRow],71),0))</f>
        <v/>
      </c>
      <c r="BT86">
        <f>SUMPRODUCT((M_BOM[RM_Code]=$A86)*M_BOM[RM_Qty_Per_Batch]*IFERROR(INDEX(PP_Grid[#Data],M_BOM[PPGridRow],72),0))</f>
        <v/>
      </c>
      <c r="BU86">
        <f>SUMPRODUCT((M_BOM[RM_Code]=$A86)*M_BOM[RM_Qty_Per_Batch]*IFERROR(INDEX(PP_Grid[#Data],M_BOM[PPGridRow],73),0))</f>
        <v/>
      </c>
      <c r="BV86">
        <f>SUMPRODUCT((M_BOM[RM_Code]=$A86)*M_BOM[RM_Qty_Per_Batch]*IFERROR(INDEX(PP_Grid[#Data],M_BOM[PPGridRow],74),0))</f>
        <v/>
      </c>
      <c r="BW86">
        <f>SUMPRODUCT((M_BOM[RM_Code]=$A86)*M_BOM[RM_Qty_Per_Batch]*IFERROR(INDEX(PP_Grid[#Data],M_BOM[PPGridRow],75),0))</f>
        <v/>
      </c>
      <c r="BX86">
        <f>SUMPRODUCT((M_BOM[RM_Code]=$A86)*M_BOM[RM_Qty_Per_Batch]*IFERROR(INDEX(PP_Grid[#Data],M_BOM[PPGridRow],76),0))</f>
        <v/>
      </c>
      <c r="BY86">
        <f>SUMPRODUCT((M_BOM[RM_Code]=$A86)*M_BOM[RM_Qty_Per_Batch]*IFERROR(INDEX(PP_Grid[#Data],M_BOM[PPGridRow],77),0))</f>
        <v/>
      </c>
      <c r="BZ86">
        <f>SUMPRODUCT((M_BOM[RM_Code]=$A86)*M_BOM[RM_Qty_Per_Batch]*IFERROR(INDEX(PP_Grid[#Data],M_BOM[PPGridRow],78),0))</f>
        <v/>
      </c>
      <c r="CA86">
        <f>SUMPRODUCT((M_BOM[RM_Code]=$A86)*M_BOM[RM_Qty_Per_Batch]*IFERROR(INDEX(PP_Grid[#Data],M_BOM[PPGridRow],79),0))</f>
        <v/>
      </c>
      <c r="CB86">
        <f>SUMPRODUCT((M_BOM[RM_Code]=$A86)*M_BOM[RM_Qty_Per_Batch]*IFERROR(INDEX(PP_Grid[#Data],M_BOM[PPGridRow],80),0))</f>
        <v/>
      </c>
      <c r="CC86">
        <f>SUMPRODUCT((M_BOM[RM_Code]=$A86)*M_BOM[RM_Qty_Per_Batch]*IFERROR(INDEX(PP_Grid[#Data],M_BOM[PPGridRow],81),0))</f>
        <v/>
      </c>
      <c r="CD86">
        <f>SUMPRODUCT((M_BOM[RM_Code]=$A86)*M_BOM[RM_Qty_Per_Batch]*IFERROR(INDEX(PP_Grid[#Data],M_BOM[PPGridRow],82),0))</f>
        <v/>
      </c>
      <c r="CE86">
        <f>SUMPRODUCT((M_BOM[RM_Code]=$A86)*M_BOM[RM_Qty_Per_Batch]*IFERROR(INDEX(PP_Grid[#Data],M_BOM[PPGridRow],83),0))</f>
        <v/>
      </c>
      <c r="CF86">
        <f>SUMPRODUCT((M_BOM[RM_Code]=$A86)*M_BOM[RM_Qty_Per_Batch]*IFERROR(INDEX(PP_Grid[#Data],M_BOM[PPGridRow],84),0))</f>
        <v/>
      </c>
      <c r="CG86">
        <f>SUMPRODUCT((M_BOM[RM_Code]=$A86)*M_BOM[RM_Qty_Per_Batch]*IFERROR(INDEX(PP_Grid[#Data],M_BOM[PPGridRow],85),0))</f>
        <v/>
      </c>
      <c r="CH86">
        <f>SUMPRODUCT((M_BOM[RM_Code]=$A86)*M_BOM[RM_Qty_Per_Batch]*IFERROR(INDEX(PP_Grid[#Data],M_BOM[PPGridRow],86),0))</f>
        <v/>
      </c>
      <c r="CI86">
        <f>SUMPRODUCT((M_BOM[RM_Code]=$A86)*M_BOM[RM_Qty_Per_Batch]*IFERROR(INDEX(PP_Grid[#Data],M_BOM[PPGridRow],87),0))</f>
        <v/>
      </c>
      <c r="CJ86">
        <f>SUMPRODUCT((M_BOM[RM_Code]=$A86)*M_BOM[RM_Qty_Per_Batch]*IFERROR(INDEX(PP_Grid[#Data],M_BOM[PPGridRow],88),0))</f>
        <v/>
      </c>
      <c r="CK86">
        <f>SUMPRODUCT((M_BOM[RM_Code]=$A86)*M_BOM[RM_Qty_Per_Batch]*IFERROR(INDEX(PP_Grid[#Data],M_BOM[PPGridRow],89),0))</f>
        <v/>
      </c>
      <c r="CL86">
        <f>SUMPRODUCT((M_BOM[RM_Code]=$A86)*M_BOM[RM_Qty_Per_Batch]*IFERROR(INDEX(PP_Grid[#Data],M_BOM[PPGridRow],90),0))</f>
        <v/>
      </c>
      <c r="CM86">
        <f>SUMPRODUCT((M_BOM[RM_Code]=$A86)*M_BOM[RM_Qty_Per_Batch]*IFERROR(INDEX(PP_Grid[#Data],M_BOM[PPGridRow],91),0))</f>
        <v/>
      </c>
      <c r="CN86">
        <f>SUMPRODUCT((M_BOM[RM_Code]=$A86)*M_BOM[RM_Qty_Per_Batch]*IFERROR(INDEX(PP_Grid[#Data],M_BOM[PPGridRow],92),0))</f>
        <v/>
      </c>
      <c r="CO86">
        <f>SUMPRODUCT((M_BOM[RM_Code]=$A86)*M_BOM[RM_Qty_Per_Batch]*IFERROR(INDEX(PP_Grid[#Data],M_BOM[PPGridRow],93),0))</f>
        <v/>
      </c>
      <c r="CP86">
        <f>SUMPRODUCT((M_BOM[RM_Code]=$A86)*M_BOM[RM_Qty_Per_Batch]*IFERROR(INDEX(PP_Grid[#Data],M_BOM[PPGridRow],94),0))</f>
        <v/>
      </c>
      <c r="CQ86">
        <f>SUMPRODUCT((M_BOM[RM_Code]=$A86)*M_BOM[RM_Qty_Per_Batch]*IFERROR(INDEX(PP_Grid[#Data],M_BOM[PPGridRow],95),0))</f>
        <v/>
      </c>
      <c r="CR86">
        <f>SUMPRODUCT((M_BOM[RM_Code]=$A86)*M_BOM[RM_Qty_Per_Batch]*IFERROR(INDEX(PP_Grid[#Data],M_BOM[PPGridRow],96),0))</f>
        <v/>
      </c>
      <c r="CS86">
        <f>SUMPRODUCT((M_BOM[RM_Code]=$A86)*M_BOM[RM_Qty_Per_Batch]*IFERROR(INDEX(PP_Grid[#Data],M_BOM[PPGridRow],97),0))</f>
        <v/>
      </c>
      <c r="CT86">
        <f>SUMPRODUCT((M_BOM[RM_Code]=$A86)*M_BOM[RM_Qty_Per_Batch]*IFERROR(INDEX(PP_Grid[#Data],M_BOM[PPGridRow],98),0))</f>
        <v/>
      </c>
      <c r="CU86">
        <f>SUMPRODUCT((M_BOM[RM_Code]=$A86)*M_BOM[RM_Qty_Per_Batch]*IFERROR(INDEX(PP_Grid[#Data],M_BOM[PPGridRow],99),0))</f>
        <v/>
      </c>
      <c r="CV86">
        <f>SUMPRODUCT((M_BOM[RM_Code]=$A86)*M_BOM[RM_Qty_Per_Batch]*IFERROR(INDEX(PP_Grid[#Data],M_BOM[PPGridRow],100),0))</f>
        <v/>
      </c>
      <c r="CW86">
        <f>SUMPRODUCT((M_BOM[RM_Code]=$A86)*M_BOM[RM_Qty_Per_Batch]*IFERROR(INDEX(PP_Grid[#Data],M_BOM[PPGridRow],101),0))</f>
        <v/>
      </c>
      <c r="CX86">
        <f>SUMPRODUCT((M_BOM[RM_Code]=$A86)*M_BOM[RM_Qty_Per_Batch]*IFERROR(INDEX(PP_Grid[#Data],M_BOM[PPGridRow],102),0))</f>
        <v/>
      </c>
      <c r="CY86">
        <f>SUMPRODUCT((M_BOM[RM_Code]=$A86)*M_BOM[RM_Qty_Per_Batch]*IFERROR(INDEX(PP_Grid[#Data],M_BOM[PPGridRow],103),0))</f>
        <v/>
      </c>
      <c r="CZ86">
        <f>SUMPRODUCT((M_BOM[RM_Code]=$A86)*M_BOM[RM_Qty_Per_Batch]*IFERROR(INDEX(PP_Grid[#Data],M_BOM[PPGridRow],104),0))</f>
        <v/>
      </c>
      <c r="DA86">
        <f>SUMPRODUCT((M_BOM[RM_Code]=$A86)*M_BOM[RM_Qty_Per_Batch]*IFERROR(INDEX(PP_Grid[#Data],M_BOM[PPGridRow],105),0))</f>
        <v/>
      </c>
    </row>
    <row r="87">
      <c r="A87" t="inlineStr">
        <is>
          <t>CHEM-1180</t>
        </is>
      </c>
      <c r="B87">
        <f>SUMPRODUCT((M_BOM[RM_Code]=$A87)*M_BOM[RM_Qty_Per_Batch]*IFERROR(INDEX(PP_Grid[#Data],M_BOM[PPGridRow],2),0))</f>
        <v/>
      </c>
      <c r="C87">
        <f>SUMPRODUCT((M_BOM[RM_Code]=$A87)*M_BOM[RM_Qty_Per_Batch]*IFERROR(INDEX(PP_Grid[#Data],M_BOM[PPGridRow],3),0))</f>
        <v/>
      </c>
      <c r="D87">
        <f>SUMPRODUCT((M_BOM[RM_Code]=$A87)*M_BOM[RM_Qty_Per_Batch]*IFERROR(INDEX(PP_Grid[#Data],M_BOM[PPGridRow],4),0))</f>
        <v/>
      </c>
      <c r="E87">
        <f>SUMPRODUCT((M_BOM[RM_Code]=$A87)*M_BOM[RM_Qty_Per_Batch]*IFERROR(INDEX(PP_Grid[#Data],M_BOM[PPGridRow],5),0))</f>
        <v/>
      </c>
      <c r="F87">
        <f>SUMPRODUCT((M_BOM[RM_Code]=$A87)*M_BOM[RM_Qty_Per_Batch]*IFERROR(INDEX(PP_Grid[#Data],M_BOM[PPGridRow],6),0))</f>
        <v/>
      </c>
      <c r="G87">
        <f>SUMPRODUCT((M_BOM[RM_Code]=$A87)*M_BOM[RM_Qty_Per_Batch]*IFERROR(INDEX(PP_Grid[#Data],M_BOM[PPGridRow],7),0))</f>
        <v/>
      </c>
      <c r="H87">
        <f>SUMPRODUCT((M_BOM[RM_Code]=$A87)*M_BOM[RM_Qty_Per_Batch]*IFERROR(INDEX(PP_Grid[#Data],M_BOM[PPGridRow],8),0))</f>
        <v/>
      </c>
      <c r="I87">
        <f>SUMPRODUCT((M_BOM[RM_Code]=$A87)*M_BOM[RM_Qty_Per_Batch]*IFERROR(INDEX(PP_Grid[#Data],M_BOM[PPGridRow],9),0))</f>
        <v/>
      </c>
      <c r="J87">
        <f>SUMPRODUCT((M_BOM[RM_Code]=$A87)*M_BOM[RM_Qty_Per_Batch]*IFERROR(INDEX(PP_Grid[#Data],M_BOM[PPGridRow],10),0))</f>
        <v/>
      </c>
      <c r="K87">
        <f>SUMPRODUCT((M_BOM[RM_Code]=$A87)*M_BOM[RM_Qty_Per_Batch]*IFERROR(INDEX(PP_Grid[#Data],M_BOM[PPGridRow],11),0))</f>
        <v/>
      </c>
      <c r="L87">
        <f>SUMPRODUCT((M_BOM[RM_Code]=$A87)*M_BOM[RM_Qty_Per_Batch]*IFERROR(INDEX(PP_Grid[#Data],M_BOM[PPGridRow],12),0))</f>
        <v/>
      </c>
      <c r="M87">
        <f>SUMPRODUCT((M_BOM[RM_Code]=$A87)*M_BOM[RM_Qty_Per_Batch]*IFERROR(INDEX(PP_Grid[#Data],M_BOM[PPGridRow],13),0))</f>
        <v/>
      </c>
      <c r="N87">
        <f>SUMPRODUCT((M_BOM[RM_Code]=$A87)*M_BOM[RM_Qty_Per_Batch]*IFERROR(INDEX(PP_Grid[#Data],M_BOM[PPGridRow],14),0))</f>
        <v/>
      </c>
      <c r="O87">
        <f>SUMPRODUCT((M_BOM[RM_Code]=$A87)*M_BOM[RM_Qty_Per_Batch]*IFERROR(INDEX(PP_Grid[#Data],M_BOM[PPGridRow],15),0))</f>
        <v/>
      </c>
      <c r="P87">
        <f>SUMPRODUCT((M_BOM[RM_Code]=$A87)*M_BOM[RM_Qty_Per_Batch]*IFERROR(INDEX(PP_Grid[#Data],M_BOM[PPGridRow],16),0))</f>
        <v/>
      </c>
      <c r="Q87">
        <f>SUMPRODUCT((M_BOM[RM_Code]=$A87)*M_BOM[RM_Qty_Per_Batch]*IFERROR(INDEX(PP_Grid[#Data],M_BOM[PPGridRow],17),0))</f>
        <v/>
      </c>
      <c r="R87">
        <f>SUMPRODUCT((M_BOM[RM_Code]=$A87)*M_BOM[RM_Qty_Per_Batch]*IFERROR(INDEX(PP_Grid[#Data],M_BOM[PPGridRow],18),0))</f>
        <v/>
      </c>
      <c r="S87">
        <f>SUMPRODUCT((M_BOM[RM_Code]=$A87)*M_BOM[RM_Qty_Per_Batch]*IFERROR(INDEX(PP_Grid[#Data],M_BOM[PPGridRow],19),0))</f>
        <v/>
      </c>
      <c r="T87">
        <f>SUMPRODUCT((M_BOM[RM_Code]=$A87)*M_BOM[RM_Qty_Per_Batch]*IFERROR(INDEX(PP_Grid[#Data],M_BOM[PPGridRow],20),0))</f>
        <v/>
      </c>
      <c r="U87">
        <f>SUMPRODUCT((M_BOM[RM_Code]=$A87)*M_BOM[RM_Qty_Per_Batch]*IFERROR(INDEX(PP_Grid[#Data],M_BOM[PPGridRow],21),0))</f>
        <v/>
      </c>
      <c r="V87">
        <f>SUMPRODUCT((M_BOM[RM_Code]=$A87)*M_BOM[RM_Qty_Per_Batch]*IFERROR(INDEX(PP_Grid[#Data],M_BOM[PPGridRow],22),0))</f>
        <v/>
      </c>
      <c r="W87">
        <f>SUMPRODUCT((M_BOM[RM_Code]=$A87)*M_BOM[RM_Qty_Per_Batch]*IFERROR(INDEX(PP_Grid[#Data],M_BOM[PPGridRow],23),0))</f>
        <v/>
      </c>
      <c r="X87">
        <f>SUMPRODUCT((M_BOM[RM_Code]=$A87)*M_BOM[RM_Qty_Per_Batch]*IFERROR(INDEX(PP_Grid[#Data],M_BOM[PPGridRow],24),0))</f>
        <v/>
      </c>
      <c r="Y87">
        <f>SUMPRODUCT((M_BOM[RM_Code]=$A87)*M_BOM[RM_Qty_Per_Batch]*IFERROR(INDEX(PP_Grid[#Data],M_BOM[PPGridRow],25),0))</f>
        <v/>
      </c>
      <c r="Z87">
        <f>SUMPRODUCT((M_BOM[RM_Code]=$A87)*M_BOM[RM_Qty_Per_Batch]*IFERROR(INDEX(PP_Grid[#Data],M_BOM[PPGridRow],26),0))</f>
        <v/>
      </c>
      <c r="AA87">
        <f>SUMPRODUCT((M_BOM[RM_Code]=$A87)*M_BOM[RM_Qty_Per_Batch]*IFERROR(INDEX(PP_Grid[#Data],M_BOM[PPGridRow],27),0))</f>
        <v/>
      </c>
      <c r="AB87">
        <f>SUMPRODUCT((M_BOM[RM_Code]=$A87)*M_BOM[RM_Qty_Per_Batch]*IFERROR(INDEX(PP_Grid[#Data],M_BOM[PPGridRow],28),0))</f>
        <v/>
      </c>
      <c r="AC87">
        <f>SUMPRODUCT((M_BOM[RM_Code]=$A87)*M_BOM[RM_Qty_Per_Batch]*IFERROR(INDEX(PP_Grid[#Data],M_BOM[PPGridRow],29),0))</f>
        <v/>
      </c>
      <c r="AD87">
        <f>SUMPRODUCT((M_BOM[RM_Code]=$A87)*M_BOM[RM_Qty_Per_Batch]*IFERROR(INDEX(PP_Grid[#Data],M_BOM[PPGridRow],30),0))</f>
        <v/>
      </c>
      <c r="AE87">
        <f>SUMPRODUCT((M_BOM[RM_Code]=$A87)*M_BOM[RM_Qty_Per_Batch]*IFERROR(INDEX(PP_Grid[#Data],M_BOM[PPGridRow],31),0))</f>
        <v/>
      </c>
      <c r="AF87">
        <f>SUMPRODUCT((M_BOM[RM_Code]=$A87)*M_BOM[RM_Qty_Per_Batch]*IFERROR(INDEX(PP_Grid[#Data],M_BOM[PPGridRow],32),0))</f>
        <v/>
      </c>
      <c r="AG87">
        <f>SUMPRODUCT((M_BOM[RM_Code]=$A87)*M_BOM[RM_Qty_Per_Batch]*IFERROR(INDEX(PP_Grid[#Data],M_BOM[PPGridRow],33),0))</f>
        <v/>
      </c>
      <c r="AH87">
        <f>SUMPRODUCT((M_BOM[RM_Code]=$A87)*M_BOM[RM_Qty_Per_Batch]*IFERROR(INDEX(PP_Grid[#Data],M_BOM[PPGridRow],34),0))</f>
        <v/>
      </c>
      <c r="AI87">
        <f>SUMPRODUCT((M_BOM[RM_Code]=$A87)*M_BOM[RM_Qty_Per_Batch]*IFERROR(INDEX(PP_Grid[#Data],M_BOM[PPGridRow],35),0))</f>
        <v/>
      </c>
      <c r="AJ87">
        <f>SUMPRODUCT((M_BOM[RM_Code]=$A87)*M_BOM[RM_Qty_Per_Batch]*IFERROR(INDEX(PP_Grid[#Data],M_BOM[PPGridRow],36),0))</f>
        <v/>
      </c>
      <c r="AK87">
        <f>SUMPRODUCT((M_BOM[RM_Code]=$A87)*M_BOM[RM_Qty_Per_Batch]*IFERROR(INDEX(PP_Grid[#Data],M_BOM[PPGridRow],37),0))</f>
        <v/>
      </c>
      <c r="AL87">
        <f>SUMPRODUCT((M_BOM[RM_Code]=$A87)*M_BOM[RM_Qty_Per_Batch]*IFERROR(INDEX(PP_Grid[#Data],M_BOM[PPGridRow],38),0))</f>
        <v/>
      </c>
      <c r="AM87">
        <f>SUMPRODUCT((M_BOM[RM_Code]=$A87)*M_BOM[RM_Qty_Per_Batch]*IFERROR(INDEX(PP_Grid[#Data],M_BOM[PPGridRow],39),0))</f>
        <v/>
      </c>
      <c r="AN87">
        <f>SUMPRODUCT((M_BOM[RM_Code]=$A87)*M_BOM[RM_Qty_Per_Batch]*IFERROR(INDEX(PP_Grid[#Data],M_BOM[PPGridRow],40),0))</f>
        <v/>
      </c>
      <c r="AO87">
        <f>SUMPRODUCT((M_BOM[RM_Code]=$A87)*M_BOM[RM_Qty_Per_Batch]*IFERROR(INDEX(PP_Grid[#Data],M_BOM[PPGridRow],41),0))</f>
        <v/>
      </c>
      <c r="AP87">
        <f>SUMPRODUCT((M_BOM[RM_Code]=$A87)*M_BOM[RM_Qty_Per_Batch]*IFERROR(INDEX(PP_Grid[#Data],M_BOM[PPGridRow],42),0))</f>
        <v/>
      </c>
      <c r="AQ87">
        <f>SUMPRODUCT((M_BOM[RM_Code]=$A87)*M_BOM[RM_Qty_Per_Batch]*IFERROR(INDEX(PP_Grid[#Data],M_BOM[PPGridRow],43),0))</f>
        <v/>
      </c>
      <c r="AR87">
        <f>SUMPRODUCT((M_BOM[RM_Code]=$A87)*M_BOM[RM_Qty_Per_Batch]*IFERROR(INDEX(PP_Grid[#Data],M_BOM[PPGridRow],44),0))</f>
        <v/>
      </c>
      <c r="AS87">
        <f>SUMPRODUCT((M_BOM[RM_Code]=$A87)*M_BOM[RM_Qty_Per_Batch]*IFERROR(INDEX(PP_Grid[#Data],M_BOM[PPGridRow],45),0))</f>
        <v/>
      </c>
      <c r="AT87">
        <f>SUMPRODUCT((M_BOM[RM_Code]=$A87)*M_BOM[RM_Qty_Per_Batch]*IFERROR(INDEX(PP_Grid[#Data],M_BOM[PPGridRow],46),0))</f>
        <v/>
      </c>
      <c r="AU87">
        <f>SUMPRODUCT((M_BOM[RM_Code]=$A87)*M_BOM[RM_Qty_Per_Batch]*IFERROR(INDEX(PP_Grid[#Data],M_BOM[PPGridRow],47),0))</f>
        <v/>
      </c>
      <c r="AV87">
        <f>SUMPRODUCT((M_BOM[RM_Code]=$A87)*M_BOM[RM_Qty_Per_Batch]*IFERROR(INDEX(PP_Grid[#Data],M_BOM[PPGridRow],48),0))</f>
        <v/>
      </c>
      <c r="AW87">
        <f>SUMPRODUCT((M_BOM[RM_Code]=$A87)*M_BOM[RM_Qty_Per_Batch]*IFERROR(INDEX(PP_Grid[#Data],M_BOM[PPGridRow],49),0))</f>
        <v/>
      </c>
      <c r="AX87">
        <f>SUMPRODUCT((M_BOM[RM_Code]=$A87)*M_BOM[RM_Qty_Per_Batch]*IFERROR(INDEX(PP_Grid[#Data],M_BOM[PPGridRow],50),0))</f>
        <v/>
      </c>
      <c r="AY87">
        <f>SUMPRODUCT((M_BOM[RM_Code]=$A87)*M_BOM[RM_Qty_Per_Batch]*IFERROR(INDEX(PP_Grid[#Data],M_BOM[PPGridRow],51),0))</f>
        <v/>
      </c>
      <c r="AZ87">
        <f>SUMPRODUCT((M_BOM[RM_Code]=$A87)*M_BOM[RM_Qty_Per_Batch]*IFERROR(INDEX(PP_Grid[#Data],M_BOM[PPGridRow],52),0))</f>
        <v/>
      </c>
      <c r="BA87">
        <f>SUMPRODUCT((M_BOM[RM_Code]=$A87)*M_BOM[RM_Qty_Per_Batch]*IFERROR(INDEX(PP_Grid[#Data],M_BOM[PPGridRow],53),0))</f>
        <v/>
      </c>
      <c r="BB87">
        <f>SUMPRODUCT((M_BOM[RM_Code]=$A87)*M_BOM[RM_Qty_Per_Batch]*IFERROR(INDEX(PP_Grid[#Data],M_BOM[PPGridRow],54),0))</f>
        <v/>
      </c>
      <c r="BC87">
        <f>SUMPRODUCT((M_BOM[RM_Code]=$A87)*M_BOM[RM_Qty_Per_Batch]*IFERROR(INDEX(PP_Grid[#Data],M_BOM[PPGridRow],55),0))</f>
        <v/>
      </c>
      <c r="BD87">
        <f>SUMPRODUCT((M_BOM[RM_Code]=$A87)*M_BOM[RM_Qty_Per_Batch]*IFERROR(INDEX(PP_Grid[#Data],M_BOM[PPGridRow],56),0))</f>
        <v/>
      </c>
      <c r="BE87">
        <f>SUMPRODUCT((M_BOM[RM_Code]=$A87)*M_BOM[RM_Qty_Per_Batch]*IFERROR(INDEX(PP_Grid[#Data],M_BOM[PPGridRow],57),0))</f>
        <v/>
      </c>
      <c r="BF87">
        <f>SUMPRODUCT((M_BOM[RM_Code]=$A87)*M_BOM[RM_Qty_Per_Batch]*IFERROR(INDEX(PP_Grid[#Data],M_BOM[PPGridRow],58),0))</f>
        <v/>
      </c>
      <c r="BG87">
        <f>SUMPRODUCT((M_BOM[RM_Code]=$A87)*M_BOM[RM_Qty_Per_Batch]*IFERROR(INDEX(PP_Grid[#Data],M_BOM[PPGridRow],59),0))</f>
        <v/>
      </c>
      <c r="BH87">
        <f>SUMPRODUCT((M_BOM[RM_Code]=$A87)*M_BOM[RM_Qty_Per_Batch]*IFERROR(INDEX(PP_Grid[#Data],M_BOM[PPGridRow],60),0))</f>
        <v/>
      </c>
      <c r="BI87">
        <f>SUMPRODUCT((M_BOM[RM_Code]=$A87)*M_BOM[RM_Qty_Per_Batch]*IFERROR(INDEX(PP_Grid[#Data],M_BOM[PPGridRow],61),0))</f>
        <v/>
      </c>
      <c r="BJ87">
        <f>SUMPRODUCT((M_BOM[RM_Code]=$A87)*M_BOM[RM_Qty_Per_Batch]*IFERROR(INDEX(PP_Grid[#Data],M_BOM[PPGridRow],62),0))</f>
        <v/>
      </c>
      <c r="BK87">
        <f>SUMPRODUCT((M_BOM[RM_Code]=$A87)*M_BOM[RM_Qty_Per_Batch]*IFERROR(INDEX(PP_Grid[#Data],M_BOM[PPGridRow],63),0))</f>
        <v/>
      </c>
      <c r="BL87">
        <f>SUMPRODUCT((M_BOM[RM_Code]=$A87)*M_BOM[RM_Qty_Per_Batch]*IFERROR(INDEX(PP_Grid[#Data],M_BOM[PPGridRow],64),0))</f>
        <v/>
      </c>
      <c r="BM87">
        <f>SUMPRODUCT((M_BOM[RM_Code]=$A87)*M_BOM[RM_Qty_Per_Batch]*IFERROR(INDEX(PP_Grid[#Data],M_BOM[PPGridRow],65),0))</f>
        <v/>
      </c>
      <c r="BN87">
        <f>SUMPRODUCT((M_BOM[RM_Code]=$A87)*M_BOM[RM_Qty_Per_Batch]*IFERROR(INDEX(PP_Grid[#Data],M_BOM[PPGridRow],66),0))</f>
        <v/>
      </c>
      <c r="BO87">
        <f>SUMPRODUCT((M_BOM[RM_Code]=$A87)*M_BOM[RM_Qty_Per_Batch]*IFERROR(INDEX(PP_Grid[#Data],M_BOM[PPGridRow],67),0))</f>
        <v/>
      </c>
      <c r="BP87">
        <f>SUMPRODUCT((M_BOM[RM_Code]=$A87)*M_BOM[RM_Qty_Per_Batch]*IFERROR(INDEX(PP_Grid[#Data],M_BOM[PPGridRow],68),0))</f>
        <v/>
      </c>
      <c r="BQ87">
        <f>SUMPRODUCT((M_BOM[RM_Code]=$A87)*M_BOM[RM_Qty_Per_Batch]*IFERROR(INDEX(PP_Grid[#Data],M_BOM[PPGridRow],69),0))</f>
        <v/>
      </c>
      <c r="BR87">
        <f>SUMPRODUCT((M_BOM[RM_Code]=$A87)*M_BOM[RM_Qty_Per_Batch]*IFERROR(INDEX(PP_Grid[#Data],M_BOM[PPGridRow],70),0))</f>
        <v/>
      </c>
      <c r="BS87">
        <f>SUMPRODUCT((M_BOM[RM_Code]=$A87)*M_BOM[RM_Qty_Per_Batch]*IFERROR(INDEX(PP_Grid[#Data],M_BOM[PPGridRow],71),0))</f>
        <v/>
      </c>
      <c r="BT87">
        <f>SUMPRODUCT((M_BOM[RM_Code]=$A87)*M_BOM[RM_Qty_Per_Batch]*IFERROR(INDEX(PP_Grid[#Data],M_BOM[PPGridRow],72),0))</f>
        <v/>
      </c>
      <c r="BU87">
        <f>SUMPRODUCT((M_BOM[RM_Code]=$A87)*M_BOM[RM_Qty_Per_Batch]*IFERROR(INDEX(PP_Grid[#Data],M_BOM[PPGridRow],73),0))</f>
        <v/>
      </c>
      <c r="BV87">
        <f>SUMPRODUCT((M_BOM[RM_Code]=$A87)*M_BOM[RM_Qty_Per_Batch]*IFERROR(INDEX(PP_Grid[#Data],M_BOM[PPGridRow],74),0))</f>
        <v/>
      </c>
      <c r="BW87">
        <f>SUMPRODUCT((M_BOM[RM_Code]=$A87)*M_BOM[RM_Qty_Per_Batch]*IFERROR(INDEX(PP_Grid[#Data],M_BOM[PPGridRow],75),0))</f>
        <v/>
      </c>
      <c r="BX87">
        <f>SUMPRODUCT((M_BOM[RM_Code]=$A87)*M_BOM[RM_Qty_Per_Batch]*IFERROR(INDEX(PP_Grid[#Data],M_BOM[PPGridRow],76),0))</f>
        <v/>
      </c>
      <c r="BY87">
        <f>SUMPRODUCT((M_BOM[RM_Code]=$A87)*M_BOM[RM_Qty_Per_Batch]*IFERROR(INDEX(PP_Grid[#Data],M_BOM[PPGridRow],77),0))</f>
        <v/>
      </c>
      <c r="BZ87">
        <f>SUMPRODUCT((M_BOM[RM_Code]=$A87)*M_BOM[RM_Qty_Per_Batch]*IFERROR(INDEX(PP_Grid[#Data],M_BOM[PPGridRow],78),0))</f>
        <v/>
      </c>
      <c r="CA87">
        <f>SUMPRODUCT((M_BOM[RM_Code]=$A87)*M_BOM[RM_Qty_Per_Batch]*IFERROR(INDEX(PP_Grid[#Data],M_BOM[PPGridRow],79),0))</f>
        <v/>
      </c>
      <c r="CB87">
        <f>SUMPRODUCT((M_BOM[RM_Code]=$A87)*M_BOM[RM_Qty_Per_Batch]*IFERROR(INDEX(PP_Grid[#Data],M_BOM[PPGridRow],80),0))</f>
        <v/>
      </c>
      <c r="CC87">
        <f>SUMPRODUCT((M_BOM[RM_Code]=$A87)*M_BOM[RM_Qty_Per_Batch]*IFERROR(INDEX(PP_Grid[#Data],M_BOM[PPGridRow],81),0))</f>
        <v/>
      </c>
      <c r="CD87">
        <f>SUMPRODUCT((M_BOM[RM_Code]=$A87)*M_BOM[RM_Qty_Per_Batch]*IFERROR(INDEX(PP_Grid[#Data],M_BOM[PPGridRow],82),0))</f>
        <v/>
      </c>
      <c r="CE87">
        <f>SUMPRODUCT((M_BOM[RM_Code]=$A87)*M_BOM[RM_Qty_Per_Batch]*IFERROR(INDEX(PP_Grid[#Data],M_BOM[PPGridRow],83),0))</f>
        <v/>
      </c>
      <c r="CF87">
        <f>SUMPRODUCT((M_BOM[RM_Code]=$A87)*M_BOM[RM_Qty_Per_Batch]*IFERROR(INDEX(PP_Grid[#Data],M_BOM[PPGridRow],84),0))</f>
        <v/>
      </c>
      <c r="CG87">
        <f>SUMPRODUCT((M_BOM[RM_Code]=$A87)*M_BOM[RM_Qty_Per_Batch]*IFERROR(INDEX(PP_Grid[#Data],M_BOM[PPGridRow],85),0))</f>
        <v/>
      </c>
      <c r="CH87">
        <f>SUMPRODUCT((M_BOM[RM_Code]=$A87)*M_BOM[RM_Qty_Per_Batch]*IFERROR(INDEX(PP_Grid[#Data],M_BOM[PPGridRow],86),0))</f>
        <v/>
      </c>
      <c r="CI87">
        <f>SUMPRODUCT((M_BOM[RM_Code]=$A87)*M_BOM[RM_Qty_Per_Batch]*IFERROR(INDEX(PP_Grid[#Data],M_BOM[PPGridRow],87),0))</f>
        <v/>
      </c>
      <c r="CJ87">
        <f>SUMPRODUCT((M_BOM[RM_Code]=$A87)*M_BOM[RM_Qty_Per_Batch]*IFERROR(INDEX(PP_Grid[#Data],M_BOM[PPGridRow],88),0))</f>
        <v/>
      </c>
      <c r="CK87">
        <f>SUMPRODUCT((M_BOM[RM_Code]=$A87)*M_BOM[RM_Qty_Per_Batch]*IFERROR(INDEX(PP_Grid[#Data],M_BOM[PPGridRow],89),0))</f>
        <v/>
      </c>
      <c r="CL87">
        <f>SUMPRODUCT((M_BOM[RM_Code]=$A87)*M_BOM[RM_Qty_Per_Batch]*IFERROR(INDEX(PP_Grid[#Data],M_BOM[PPGridRow],90),0))</f>
        <v/>
      </c>
      <c r="CM87">
        <f>SUMPRODUCT((M_BOM[RM_Code]=$A87)*M_BOM[RM_Qty_Per_Batch]*IFERROR(INDEX(PP_Grid[#Data],M_BOM[PPGridRow],91),0))</f>
        <v/>
      </c>
      <c r="CN87">
        <f>SUMPRODUCT((M_BOM[RM_Code]=$A87)*M_BOM[RM_Qty_Per_Batch]*IFERROR(INDEX(PP_Grid[#Data],M_BOM[PPGridRow],92),0))</f>
        <v/>
      </c>
      <c r="CO87">
        <f>SUMPRODUCT((M_BOM[RM_Code]=$A87)*M_BOM[RM_Qty_Per_Batch]*IFERROR(INDEX(PP_Grid[#Data],M_BOM[PPGridRow],93),0))</f>
        <v/>
      </c>
      <c r="CP87">
        <f>SUMPRODUCT((M_BOM[RM_Code]=$A87)*M_BOM[RM_Qty_Per_Batch]*IFERROR(INDEX(PP_Grid[#Data],M_BOM[PPGridRow],94),0))</f>
        <v/>
      </c>
      <c r="CQ87">
        <f>SUMPRODUCT((M_BOM[RM_Code]=$A87)*M_BOM[RM_Qty_Per_Batch]*IFERROR(INDEX(PP_Grid[#Data],M_BOM[PPGridRow],95),0))</f>
        <v/>
      </c>
      <c r="CR87">
        <f>SUMPRODUCT((M_BOM[RM_Code]=$A87)*M_BOM[RM_Qty_Per_Batch]*IFERROR(INDEX(PP_Grid[#Data],M_BOM[PPGridRow],96),0))</f>
        <v/>
      </c>
      <c r="CS87">
        <f>SUMPRODUCT((M_BOM[RM_Code]=$A87)*M_BOM[RM_Qty_Per_Batch]*IFERROR(INDEX(PP_Grid[#Data],M_BOM[PPGridRow],97),0))</f>
        <v/>
      </c>
      <c r="CT87">
        <f>SUMPRODUCT((M_BOM[RM_Code]=$A87)*M_BOM[RM_Qty_Per_Batch]*IFERROR(INDEX(PP_Grid[#Data],M_BOM[PPGridRow],98),0))</f>
        <v/>
      </c>
      <c r="CU87">
        <f>SUMPRODUCT((M_BOM[RM_Code]=$A87)*M_BOM[RM_Qty_Per_Batch]*IFERROR(INDEX(PP_Grid[#Data],M_BOM[PPGridRow],99),0))</f>
        <v/>
      </c>
      <c r="CV87">
        <f>SUMPRODUCT((M_BOM[RM_Code]=$A87)*M_BOM[RM_Qty_Per_Batch]*IFERROR(INDEX(PP_Grid[#Data],M_BOM[PPGridRow],100),0))</f>
        <v/>
      </c>
      <c r="CW87">
        <f>SUMPRODUCT((M_BOM[RM_Code]=$A87)*M_BOM[RM_Qty_Per_Batch]*IFERROR(INDEX(PP_Grid[#Data],M_BOM[PPGridRow],101),0))</f>
        <v/>
      </c>
      <c r="CX87">
        <f>SUMPRODUCT((M_BOM[RM_Code]=$A87)*M_BOM[RM_Qty_Per_Batch]*IFERROR(INDEX(PP_Grid[#Data],M_BOM[PPGridRow],102),0))</f>
        <v/>
      </c>
      <c r="CY87">
        <f>SUMPRODUCT((M_BOM[RM_Code]=$A87)*M_BOM[RM_Qty_Per_Batch]*IFERROR(INDEX(PP_Grid[#Data],M_BOM[PPGridRow],103),0))</f>
        <v/>
      </c>
      <c r="CZ87">
        <f>SUMPRODUCT((M_BOM[RM_Code]=$A87)*M_BOM[RM_Qty_Per_Batch]*IFERROR(INDEX(PP_Grid[#Data],M_BOM[PPGridRow],104),0))</f>
        <v/>
      </c>
      <c r="DA87">
        <f>SUMPRODUCT((M_BOM[RM_Code]=$A87)*M_BOM[RM_Qty_Per_Batch]*IFERROR(INDEX(PP_Grid[#Data],M_BOM[PPGridRow],105),0))</f>
        <v/>
      </c>
    </row>
    <row r="88">
      <c r="A88" t="inlineStr">
        <is>
          <t>TSZ-938</t>
        </is>
      </c>
      <c r="B88">
        <f>SUMPRODUCT((M_BOM[RM_Code]=$A88)*M_BOM[RM_Qty_Per_Batch]*IFERROR(INDEX(PP_Grid[#Data],M_BOM[PPGridRow],2),0))</f>
        <v/>
      </c>
      <c r="C88">
        <f>SUMPRODUCT((M_BOM[RM_Code]=$A88)*M_BOM[RM_Qty_Per_Batch]*IFERROR(INDEX(PP_Grid[#Data],M_BOM[PPGridRow],3),0))</f>
        <v/>
      </c>
      <c r="D88">
        <f>SUMPRODUCT((M_BOM[RM_Code]=$A88)*M_BOM[RM_Qty_Per_Batch]*IFERROR(INDEX(PP_Grid[#Data],M_BOM[PPGridRow],4),0))</f>
        <v/>
      </c>
      <c r="E88">
        <f>SUMPRODUCT((M_BOM[RM_Code]=$A88)*M_BOM[RM_Qty_Per_Batch]*IFERROR(INDEX(PP_Grid[#Data],M_BOM[PPGridRow],5),0))</f>
        <v/>
      </c>
      <c r="F88">
        <f>SUMPRODUCT((M_BOM[RM_Code]=$A88)*M_BOM[RM_Qty_Per_Batch]*IFERROR(INDEX(PP_Grid[#Data],M_BOM[PPGridRow],6),0))</f>
        <v/>
      </c>
      <c r="G88">
        <f>SUMPRODUCT((M_BOM[RM_Code]=$A88)*M_BOM[RM_Qty_Per_Batch]*IFERROR(INDEX(PP_Grid[#Data],M_BOM[PPGridRow],7),0))</f>
        <v/>
      </c>
      <c r="H88">
        <f>SUMPRODUCT((M_BOM[RM_Code]=$A88)*M_BOM[RM_Qty_Per_Batch]*IFERROR(INDEX(PP_Grid[#Data],M_BOM[PPGridRow],8),0))</f>
        <v/>
      </c>
      <c r="I88">
        <f>SUMPRODUCT((M_BOM[RM_Code]=$A88)*M_BOM[RM_Qty_Per_Batch]*IFERROR(INDEX(PP_Grid[#Data],M_BOM[PPGridRow],9),0))</f>
        <v/>
      </c>
      <c r="J88">
        <f>SUMPRODUCT((M_BOM[RM_Code]=$A88)*M_BOM[RM_Qty_Per_Batch]*IFERROR(INDEX(PP_Grid[#Data],M_BOM[PPGridRow],10),0))</f>
        <v/>
      </c>
      <c r="K88">
        <f>SUMPRODUCT((M_BOM[RM_Code]=$A88)*M_BOM[RM_Qty_Per_Batch]*IFERROR(INDEX(PP_Grid[#Data],M_BOM[PPGridRow],11),0))</f>
        <v/>
      </c>
      <c r="L88">
        <f>SUMPRODUCT((M_BOM[RM_Code]=$A88)*M_BOM[RM_Qty_Per_Batch]*IFERROR(INDEX(PP_Grid[#Data],M_BOM[PPGridRow],12),0))</f>
        <v/>
      </c>
      <c r="M88">
        <f>SUMPRODUCT((M_BOM[RM_Code]=$A88)*M_BOM[RM_Qty_Per_Batch]*IFERROR(INDEX(PP_Grid[#Data],M_BOM[PPGridRow],13),0))</f>
        <v/>
      </c>
      <c r="N88">
        <f>SUMPRODUCT((M_BOM[RM_Code]=$A88)*M_BOM[RM_Qty_Per_Batch]*IFERROR(INDEX(PP_Grid[#Data],M_BOM[PPGridRow],14),0))</f>
        <v/>
      </c>
      <c r="O88">
        <f>SUMPRODUCT((M_BOM[RM_Code]=$A88)*M_BOM[RM_Qty_Per_Batch]*IFERROR(INDEX(PP_Grid[#Data],M_BOM[PPGridRow],15),0))</f>
        <v/>
      </c>
      <c r="P88">
        <f>SUMPRODUCT((M_BOM[RM_Code]=$A88)*M_BOM[RM_Qty_Per_Batch]*IFERROR(INDEX(PP_Grid[#Data],M_BOM[PPGridRow],16),0))</f>
        <v/>
      </c>
      <c r="Q88">
        <f>SUMPRODUCT((M_BOM[RM_Code]=$A88)*M_BOM[RM_Qty_Per_Batch]*IFERROR(INDEX(PP_Grid[#Data],M_BOM[PPGridRow],17),0))</f>
        <v/>
      </c>
      <c r="R88">
        <f>SUMPRODUCT((M_BOM[RM_Code]=$A88)*M_BOM[RM_Qty_Per_Batch]*IFERROR(INDEX(PP_Grid[#Data],M_BOM[PPGridRow],18),0))</f>
        <v/>
      </c>
      <c r="S88">
        <f>SUMPRODUCT((M_BOM[RM_Code]=$A88)*M_BOM[RM_Qty_Per_Batch]*IFERROR(INDEX(PP_Grid[#Data],M_BOM[PPGridRow],19),0))</f>
        <v/>
      </c>
      <c r="T88">
        <f>SUMPRODUCT((M_BOM[RM_Code]=$A88)*M_BOM[RM_Qty_Per_Batch]*IFERROR(INDEX(PP_Grid[#Data],M_BOM[PPGridRow],20),0))</f>
        <v/>
      </c>
      <c r="U88">
        <f>SUMPRODUCT((M_BOM[RM_Code]=$A88)*M_BOM[RM_Qty_Per_Batch]*IFERROR(INDEX(PP_Grid[#Data],M_BOM[PPGridRow],21),0))</f>
        <v/>
      </c>
      <c r="V88">
        <f>SUMPRODUCT((M_BOM[RM_Code]=$A88)*M_BOM[RM_Qty_Per_Batch]*IFERROR(INDEX(PP_Grid[#Data],M_BOM[PPGridRow],22),0))</f>
        <v/>
      </c>
      <c r="W88">
        <f>SUMPRODUCT((M_BOM[RM_Code]=$A88)*M_BOM[RM_Qty_Per_Batch]*IFERROR(INDEX(PP_Grid[#Data],M_BOM[PPGridRow],23),0))</f>
        <v/>
      </c>
      <c r="X88">
        <f>SUMPRODUCT((M_BOM[RM_Code]=$A88)*M_BOM[RM_Qty_Per_Batch]*IFERROR(INDEX(PP_Grid[#Data],M_BOM[PPGridRow],24),0))</f>
        <v/>
      </c>
      <c r="Y88">
        <f>SUMPRODUCT((M_BOM[RM_Code]=$A88)*M_BOM[RM_Qty_Per_Batch]*IFERROR(INDEX(PP_Grid[#Data],M_BOM[PPGridRow],25),0))</f>
        <v/>
      </c>
      <c r="Z88">
        <f>SUMPRODUCT((M_BOM[RM_Code]=$A88)*M_BOM[RM_Qty_Per_Batch]*IFERROR(INDEX(PP_Grid[#Data],M_BOM[PPGridRow],26),0))</f>
        <v/>
      </c>
      <c r="AA88">
        <f>SUMPRODUCT((M_BOM[RM_Code]=$A88)*M_BOM[RM_Qty_Per_Batch]*IFERROR(INDEX(PP_Grid[#Data],M_BOM[PPGridRow],27),0))</f>
        <v/>
      </c>
      <c r="AB88">
        <f>SUMPRODUCT((M_BOM[RM_Code]=$A88)*M_BOM[RM_Qty_Per_Batch]*IFERROR(INDEX(PP_Grid[#Data],M_BOM[PPGridRow],28),0))</f>
        <v/>
      </c>
      <c r="AC88">
        <f>SUMPRODUCT((M_BOM[RM_Code]=$A88)*M_BOM[RM_Qty_Per_Batch]*IFERROR(INDEX(PP_Grid[#Data],M_BOM[PPGridRow],29),0))</f>
        <v/>
      </c>
      <c r="AD88">
        <f>SUMPRODUCT((M_BOM[RM_Code]=$A88)*M_BOM[RM_Qty_Per_Batch]*IFERROR(INDEX(PP_Grid[#Data],M_BOM[PPGridRow],30),0))</f>
        <v/>
      </c>
      <c r="AE88">
        <f>SUMPRODUCT((M_BOM[RM_Code]=$A88)*M_BOM[RM_Qty_Per_Batch]*IFERROR(INDEX(PP_Grid[#Data],M_BOM[PPGridRow],31),0))</f>
        <v/>
      </c>
      <c r="AF88">
        <f>SUMPRODUCT((M_BOM[RM_Code]=$A88)*M_BOM[RM_Qty_Per_Batch]*IFERROR(INDEX(PP_Grid[#Data],M_BOM[PPGridRow],32),0))</f>
        <v/>
      </c>
      <c r="AG88">
        <f>SUMPRODUCT((M_BOM[RM_Code]=$A88)*M_BOM[RM_Qty_Per_Batch]*IFERROR(INDEX(PP_Grid[#Data],M_BOM[PPGridRow],33),0))</f>
        <v/>
      </c>
      <c r="AH88">
        <f>SUMPRODUCT((M_BOM[RM_Code]=$A88)*M_BOM[RM_Qty_Per_Batch]*IFERROR(INDEX(PP_Grid[#Data],M_BOM[PPGridRow],34),0))</f>
        <v/>
      </c>
      <c r="AI88">
        <f>SUMPRODUCT((M_BOM[RM_Code]=$A88)*M_BOM[RM_Qty_Per_Batch]*IFERROR(INDEX(PP_Grid[#Data],M_BOM[PPGridRow],35),0))</f>
        <v/>
      </c>
      <c r="AJ88">
        <f>SUMPRODUCT((M_BOM[RM_Code]=$A88)*M_BOM[RM_Qty_Per_Batch]*IFERROR(INDEX(PP_Grid[#Data],M_BOM[PPGridRow],36),0))</f>
        <v/>
      </c>
      <c r="AK88">
        <f>SUMPRODUCT((M_BOM[RM_Code]=$A88)*M_BOM[RM_Qty_Per_Batch]*IFERROR(INDEX(PP_Grid[#Data],M_BOM[PPGridRow],37),0))</f>
        <v/>
      </c>
      <c r="AL88">
        <f>SUMPRODUCT((M_BOM[RM_Code]=$A88)*M_BOM[RM_Qty_Per_Batch]*IFERROR(INDEX(PP_Grid[#Data],M_BOM[PPGridRow],38),0))</f>
        <v/>
      </c>
      <c r="AM88">
        <f>SUMPRODUCT((M_BOM[RM_Code]=$A88)*M_BOM[RM_Qty_Per_Batch]*IFERROR(INDEX(PP_Grid[#Data],M_BOM[PPGridRow],39),0))</f>
        <v/>
      </c>
      <c r="AN88">
        <f>SUMPRODUCT((M_BOM[RM_Code]=$A88)*M_BOM[RM_Qty_Per_Batch]*IFERROR(INDEX(PP_Grid[#Data],M_BOM[PPGridRow],40),0))</f>
        <v/>
      </c>
      <c r="AO88">
        <f>SUMPRODUCT((M_BOM[RM_Code]=$A88)*M_BOM[RM_Qty_Per_Batch]*IFERROR(INDEX(PP_Grid[#Data],M_BOM[PPGridRow],41),0))</f>
        <v/>
      </c>
      <c r="AP88">
        <f>SUMPRODUCT((M_BOM[RM_Code]=$A88)*M_BOM[RM_Qty_Per_Batch]*IFERROR(INDEX(PP_Grid[#Data],M_BOM[PPGridRow],42),0))</f>
        <v/>
      </c>
      <c r="AQ88">
        <f>SUMPRODUCT((M_BOM[RM_Code]=$A88)*M_BOM[RM_Qty_Per_Batch]*IFERROR(INDEX(PP_Grid[#Data],M_BOM[PPGridRow],43),0))</f>
        <v/>
      </c>
      <c r="AR88">
        <f>SUMPRODUCT((M_BOM[RM_Code]=$A88)*M_BOM[RM_Qty_Per_Batch]*IFERROR(INDEX(PP_Grid[#Data],M_BOM[PPGridRow],44),0))</f>
        <v/>
      </c>
      <c r="AS88">
        <f>SUMPRODUCT((M_BOM[RM_Code]=$A88)*M_BOM[RM_Qty_Per_Batch]*IFERROR(INDEX(PP_Grid[#Data],M_BOM[PPGridRow],45),0))</f>
        <v/>
      </c>
      <c r="AT88">
        <f>SUMPRODUCT((M_BOM[RM_Code]=$A88)*M_BOM[RM_Qty_Per_Batch]*IFERROR(INDEX(PP_Grid[#Data],M_BOM[PPGridRow],46),0))</f>
        <v/>
      </c>
      <c r="AU88">
        <f>SUMPRODUCT((M_BOM[RM_Code]=$A88)*M_BOM[RM_Qty_Per_Batch]*IFERROR(INDEX(PP_Grid[#Data],M_BOM[PPGridRow],47),0))</f>
        <v/>
      </c>
      <c r="AV88">
        <f>SUMPRODUCT((M_BOM[RM_Code]=$A88)*M_BOM[RM_Qty_Per_Batch]*IFERROR(INDEX(PP_Grid[#Data],M_BOM[PPGridRow],48),0))</f>
        <v/>
      </c>
      <c r="AW88">
        <f>SUMPRODUCT((M_BOM[RM_Code]=$A88)*M_BOM[RM_Qty_Per_Batch]*IFERROR(INDEX(PP_Grid[#Data],M_BOM[PPGridRow],49),0))</f>
        <v/>
      </c>
      <c r="AX88">
        <f>SUMPRODUCT((M_BOM[RM_Code]=$A88)*M_BOM[RM_Qty_Per_Batch]*IFERROR(INDEX(PP_Grid[#Data],M_BOM[PPGridRow],50),0))</f>
        <v/>
      </c>
      <c r="AY88">
        <f>SUMPRODUCT((M_BOM[RM_Code]=$A88)*M_BOM[RM_Qty_Per_Batch]*IFERROR(INDEX(PP_Grid[#Data],M_BOM[PPGridRow],51),0))</f>
        <v/>
      </c>
      <c r="AZ88">
        <f>SUMPRODUCT((M_BOM[RM_Code]=$A88)*M_BOM[RM_Qty_Per_Batch]*IFERROR(INDEX(PP_Grid[#Data],M_BOM[PPGridRow],52),0))</f>
        <v/>
      </c>
      <c r="BA88">
        <f>SUMPRODUCT((M_BOM[RM_Code]=$A88)*M_BOM[RM_Qty_Per_Batch]*IFERROR(INDEX(PP_Grid[#Data],M_BOM[PPGridRow],53),0))</f>
        <v/>
      </c>
      <c r="BB88">
        <f>SUMPRODUCT((M_BOM[RM_Code]=$A88)*M_BOM[RM_Qty_Per_Batch]*IFERROR(INDEX(PP_Grid[#Data],M_BOM[PPGridRow],54),0))</f>
        <v/>
      </c>
      <c r="BC88">
        <f>SUMPRODUCT((M_BOM[RM_Code]=$A88)*M_BOM[RM_Qty_Per_Batch]*IFERROR(INDEX(PP_Grid[#Data],M_BOM[PPGridRow],55),0))</f>
        <v/>
      </c>
      <c r="BD88">
        <f>SUMPRODUCT((M_BOM[RM_Code]=$A88)*M_BOM[RM_Qty_Per_Batch]*IFERROR(INDEX(PP_Grid[#Data],M_BOM[PPGridRow],56),0))</f>
        <v/>
      </c>
      <c r="BE88">
        <f>SUMPRODUCT((M_BOM[RM_Code]=$A88)*M_BOM[RM_Qty_Per_Batch]*IFERROR(INDEX(PP_Grid[#Data],M_BOM[PPGridRow],57),0))</f>
        <v/>
      </c>
      <c r="BF88">
        <f>SUMPRODUCT((M_BOM[RM_Code]=$A88)*M_BOM[RM_Qty_Per_Batch]*IFERROR(INDEX(PP_Grid[#Data],M_BOM[PPGridRow],58),0))</f>
        <v/>
      </c>
      <c r="BG88">
        <f>SUMPRODUCT((M_BOM[RM_Code]=$A88)*M_BOM[RM_Qty_Per_Batch]*IFERROR(INDEX(PP_Grid[#Data],M_BOM[PPGridRow],59),0))</f>
        <v/>
      </c>
      <c r="BH88">
        <f>SUMPRODUCT((M_BOM[RM_Code]=$A88)*M_BOM[RM_Qty_Per_Batch]*IFERROR(INDEX(PP_Grid[#Data],M_BOM[PPGridRow],60),0))</f>
        <v/>
      </c>
      <c r="BI88">
        <f>SUMPRODUCT((M_BOM[RM_Code]=$A88)*M_BOM[RM_Qty_Per_Batch]*IFERROR(INDEX(PP_Grid[#Data],M_BOM[PPGridRow],61),0))</f>
        <v/>
      </c>
      <c r="BJ88">
        <f>SUMPRODUCT((M_BOM[RM_Code]=$A88)*M_BOM[RM_Qty_Per_Batch]*IFERROR(INDEX(PP_Grid[#Data],M_BOM[PPGridRow],62),0))</f>
        <v/>
      </c>
      <c r="BK88">
        <f>SUMPRODUCT((M_BOM[RM_Code]=$A88)*M_BOM[RM_Qty_Per_Batch]*IFERROR(INDEX(PP_Grid[#Data],M_BOM[PPGridRow],63),0))</f>
        <v/>
      </c>
      <c r="BL88">
        <f>SUMPRODUCT((M_BOM[RM_Code]=$A88)*M_BOM[RM_Qty_Per_Batch]*IFERROR(INDEX(PP_Grid[#Data],M_BOM[PPGridRow],64),0))</f>
        <v/>
      </c>
      <c r="BM88">
        <f>SUMPRODUCT((M_BOM[RM_Code]=$A88)*M_BOM[RM_Qty_Per_Batch]*IFERROR(INDEX(PP_Grid[#Data],M_BOM[PPGridRow],65),0))</f>
        <v/>
      </c>
      <c r="BN88">
        <f>SUMPRODUCT((M_BOM[RM_Code]=$A88)*M_BOM[RM_Qty_Per_Batch]*IFERROR(INDEX(PP_Grid[#Data],M_BOM[PPGridRow],66),0))</f>
        <v/>
      </c>
      <c r="BO88">
        <f>SUMPRODUCT((M_BOM[RM_Code]=$A88)*M_BOM[RM_Qty_Per_Batch]*IFERROR(INDEX(PP_Grid[#Data],M_BOM[PPGridRow],67),0))</f>
        <v/>
      </c>
      <c r="BP88">
        <f>SUMPRODUCT((M_BOM[RM_Code]=$A88)*M_BOM[RM_Qty_Per_Batch]*IFERROR(INDEX(PP_Grid[#Data],M_BOM[PPGridRow],68),0))</f>
        <v/>
      </c>
      <c r="BQ88">
        <f>SUMPRODUCT((M_BOM[RM_Code]=$A88)*M_BOM[RM_Qty_Per_Batch]*IFERROR(INDEX(PP_Grid[#Data],M_BOM[PPGridRow],69),0))</f>
        <v/>
      </c>
      <c r="BR88">
        <f>SUMPRODUCT((M_BOM[RM_Code]=$A88)*M_BOM[RM_Qty_Per_Batch]*IFERROR(INDEX(PP_Grid[#Data],M_BOM[PPGridRow],70),0))</f>
        <v/>
      </c>
      <c r="BS88">
        <f>SUMPRODUCT((M_BOM[RM_Code]=$A88)*M_BOM[RM_Qty_Per_Batch]*IFERROR(INDEX(PP_Grid[#Data],M_BOM[PPGridRow],71),0))</f>
        <v/>
      </c>
      <c r="BT88">
        <f>SUMPRODUCT((M_BOM[RM_Code]=$A88)*M_BOM[RM_Qty_Per_Batch]*IFERROR(INDEX(PP_Grid[#Data],M_BOM[PPGridRow],72),0))</f>
        <v/>
      </c>
      <c r="BU88">
        <f>SUMPRODUCT((M_BOM[RM_Code]=$A88)*M_BOM[RM_Qty_Per_Batch]*IFERROR(INDEX(PP_Grid[#Data],M_BOM[PPGridRow],73),0))</f>
        <v/>
      </c>
      <c r="BV88">
        <f>SUMPRODUCT((M_BOM[RM_Code]=$A88)*M_BOM[RM_Qty_Per_Batch]*IFERROR(INDEX(PP_Grid[#Data],M_BOM[PPGridRow],74),0))</f>
        <v/>
      </c>
      <c r="BW88">
        <f>SUMPRODUCT((M_BOM[RM_Code]=$A88)*M_BOM[RM_Qty_Per_Batch]*IFERROR(INDEX(PP_Grid[#Data],M_BOM[PPGridRow],75),0))</f>
        <v/>
      </c>
      <c r="BX88">
        <f>SUMPRODUCT((M_BOM[RM_Code]=$A88)*M_BOM[RM_Qty_Per_Batch]*IFERROR(INDEX(PP_Grid[#Data],M_BOM[PPGridRow],76),0))</f>
        <v/>
      </c>
      <c r="BY88">
        <f>SUMPRODUCT((M_BOM[RM_Code]=$A88)*M_BOM[RM_Qty_Per_Batch]*IFERROR(INDEX(PP_Grid[#Data],M_BOM[PPGridRow],77),0))</f>
        <v/>
      </c>
      <c r="BZ88">
        <f>SUMPRODUCT((M_BOM[RM_Code]=$A88)*M_BOM[RM_Qty_Per_Batch]*IFERROR(INDEX(PP_Grid[#Data],M_BOM[PPGridRow],78),0))</f>
        <v/>
      </c>
      <c r="CA88">
        <f>SUMPRODUCT((M_BOM[RM_Code]=$A88)*M_BOM[RM_Qty_Per_Batch]*IFERROR(INDEX(PP_Grid[#Data],M_BOM[PPGridRow],79),0))</f>
        <v/>
      </c>
      <c r="CB88">
        <f>SUMPRODUCT((M_BOM[RM_Code]=$A88)*M_BOM[RM_Qty_Per_Batch]*IFERROR(INDEX(PP_Grid[#Data],M_BOM[PPGridRow],80),0))</f>
        <v/>
      </c>
      <c r="CC88">
        <f>SUMPRODUCT((M_BOM[RM_Code]=$A88)*M_BOM[RM_Qty_Per_Batch]*IFERROR(INDEX(PP_Grid[#Data],M_BOM[PPGridRow],81),0))</f>
        <v/>
      </c>
      <c r="CD88">
        <f>SUMPRODUCT((M_BOM[RM_Code]=$A88)*M_BOM[RM_Qty_Per_Batch]*IFERROR(INDEX(PP_Grid[#Data],M_BOM[PPGridRow],82),0))</f>
        <v/>
      </c>
      <c r="CE88">
        <f>SUMPRODUCT((M_BOM[RM_Code]=$A88)*M_BOM[RM_Qty_Per_Batch]*IFERROR(INDEX(PP_Grid[#Data],M_BOM[PPGridRow],83),0))</f>
        <v/>
      </c>
      <c r="CF88">
        <f>SUMPRODUCT((M_BOM[RM_Code]=$A88)*M_BOM[RM_Qty_Per_Batch]*IFERROR(INDEX(PP_Grid[#Data],M_BOM[PPGridRow],84),0))</f>
        <v/>
      </c>
      <c r="CG88">
        <f>SUMPRODUCT((M_BOM[RM_Code]=$A88)*M_BOM[RM_Qty_Per_Batch]*IFERROR(INDEX(PP_Grid[#Data],M_BOM[PPGridRow],85),0))</f>
        <v/>
      </c>
      <c r="CH88">
        <f>SUMPRODUCT((M_BOM[RM_Code]=$A88)*M_BOM[RM_Qty_Per_Batch]*IFERROR(INDEX(PP_Grid[#Data],M_BOM[PPGridRow],86),0))</f>
        <v/>
      </c>
      <c r="CI88">
        <f>SUMPRODUCT((M_BOM[RM_Code]=$A88)*M_BOM[RM_Qty_Per_Batch]*IFERROR(INDEX(PP_Grid[#Data],M_BOM[PPGridRow],87),0))</f>
        <v/>
      </c>
      <c r="CJ88">
        <f>SUMPRODUCT((M_BOM[RM_Code]=$A88)*M_BOM[RM_Qty_Per_Batch]*IFERROR(INDEX(PP_Grid[#Data],M_BOM[PPGridRow],88),0))</f>
        <v/>
      </c>
      <c r="CK88">
        <f>SUMPRODUCT((M_BOM[RM_Code]=$A88)*M_BOM[RM_Qty_Per_Batch]*IFERROR(INDEX(PP_Grid[#Data],M_BOM[PPGridRow],89),0))</f>
        <v/>
      </c>
      <c r="CL88">
        <f>SUMPRODUCT((M_BOM[RM_Code]=$A88)*M_BOM[RM_Qty_Per_Batch]*IFERROR(INDEX(PP_Grid[#Data],M_BOM[PPGridRow],90),0))</f>
        <v/>
      </c>
      <c r="CM88">
        <f>SUMPRODUCT((M_BOM[RM_Code]=$A88)*M_BOM[RM_Qty_Per_Batch]*IFERROR(INDEX(PP_Grid[#Data],M_BOM[PPGridRow],91),0))</f>
        <v/>
      </c>
      <c r="CN88">
        <f>SUMPRODUCT((M_BOM[RM_Code]=$A88)*M_BOM[RM_Qty_Per_Batch]*IFERROR(INDEX(PP_Grid[#Data],M_BOM[PPGridRow],92),0))</f>
        <v/>
      </c>
      <c r="CO88">
        <f>SUMPRODUCT((M_BOM[RM_Code]=$A88)*M_BOM[RM_Qty_Per_Batch]*IFERROR(INDEX(PP_Grid[#Data],M_BOM[PPGridRow],93),0))</f>
        <v/>
      </c>
      <c r="CP88">
        <f>SUMPRODUCT((M_BOM[RM_Code]=$A88)*M_BOM[RM_Qty_Per_Batch]*IFERROR(INDEX(PP_Grid[#Data],M_BOM[PPGridRow],94),0))</f>
        <v/>
      </c>
      <c r="CQ88">
        <f>SUMPRODUCT((M_BOM[RM_Code]=$A88)*M_BOM[RM_Qty_Per_Batch]*IFERROR(INDEX(PP_Grid[#Data],M_BOM[PPGridRow],95),0))</f>
        <v/>
      </c>
      <c r="CR88">
        <f>SUMPRODUCT((M_BOM[RM_Code]=$A88)*M_BOM[RM_Qty_Per_Batch]*IFERROR(INDEX(PP_Grid[#Data],M_BOM[PPGridRow],96),0))</f>
        <v/>
      </c>
      <c r="CS88">
        <f>SUMPRODUCT((M_BOM[RM_Code]=$A88)*M_BOM[RM_Qty_Per_Batch]*IFERROR(INDEX(PP_Grid[#Data],M_BOM[PPGridRow],97),0))</f>
        <v/>
      </c>
      <c r="CT88">
        <f>SUMPRODUCT((M_BOM[RM_Code]=$A88)*M_BOM[RM_Qty_Per_Batch]*IFERROR(INDEX(PP_Grid[#Data],M_BOM[PPGridRow],98),0))</f>
        <v/>
      </c>
      <c r="CU88">
        <f>SUMPRODUCT((M_BOM[RM_Code]=$A88)*M_BOM[RM_Qty_Per_Batch]*IFERROR(INDEX(PP_Grid[#Data],M_BOM[PPGridRow],99),0))</f>
        <v/>
      </c>
      <c r="CV88">
        <f>SUMPRODUCT((M_BOM[RM_Code]=$A88)*M_BOM[RM_Qty_Per_Batch]*IFERROR(INDEX(PP_Grid[#Data],M_BOM[PPGridRow],100),0))</f>
        <v/>
      </c>
      <c r="CW88">
        <f>SUMPRODUCT((M_BOM[RM_Code]=$A88)*M_BOM[RM_Qty_Per_Batch]*IFERROR(INDEX(PP_Grid[#Data],M_BOM[PPGridRow],101),0))</f>
        <v/>
      </c>
      <c r="CX88">
        <f>SUMPRODUCT((M_BOM[RM_Code]=$A88)*M_BOM[RM_Qty_Per_Batch]*IFERROR(INDEX(PP_Grid[#Data],M_BOM[PPGridRow],102),0))</f>
        <v/>
      </c>
      <c r="CY88">
        <f>SUMPRODUCT((M_BOM[RM_Code]=$A88)*M_BOM[RM_Qty_Per_Batch]*IFERROR(INDEX(PP_Grid[#Data],M_BOM[PPGridRow],103),0))</f>
        <v/>
      </c>
      <c r="CZ88">
        <f>SUMPRODUCT((M_BOM[RM_Code]=$A88)*M_BOM[RM_Qty_Per_Batch]*IFERROR(INDEX(PP_Grid[#Data],M_BOM[PPGridRow],104),0))</f>
        <v/>
      </c>
      <c r="DA88">
        <f>SUMPRODUCT((M_BOM[RM_Code]=$A88)*M_BOM[RM_Qty_Per_Batch]*IFERROR(INDEX(PP_Grid[#Data],M_BOM[PPGridRow],105),0))</f>
        <v/>
      </c>
    </row>
    <row r="89">
      <c r="A89" t="inlineStr">
        <is>
          <t>CHEM-1460</t>
        </is>
      </c>
      <c r="B89">
        <f>SUMPRODUCT((M_BOM[RM_Code]=$A89)*M_BOM[RM_Qty_Per_Batch]*IFERROR(INDEX(PP_Grid[#Data],M_BOM[PPGridRow],2),0))</f>
        <v/>
      </c>
      <c r="C89">
        <f>SUMPRODUCT((M_BOM[RM_Code]=$A89)*M_BOM[RM_Qty_Per_Batch]*IFERROR(INDEX(PP_Grid[#Data],M_BOM[PPGridRow],3),0))</f>
        <v/>
      </c>
      <c r="D89">
        <f>SUMPRODUCT((M_BOM[RM_Code]=$A89)*M_BOM[RM_Qty_Per_Batch]*IFERROR(INDEX(PP_Grid[#Data],M_BOM[PPGridRow],4),0))</f>
        <v/>
      </c>
      <c r="E89">
        <f>SUMPRODUCT((M_BOM[RM_Code]=$A89)*M_BOM[RM_Qty_Per_Batch]*IFERROR(INDEX(PP_Grid[#Data],M_BOM[PPGridRow],5),0))</f>
        <v/>
      </c>
      <c r="F89">
        <f>SUMPRODUCT((M_BOM[RM_Code]=$A89)*M_BOM[RM_Qty_Per_Batch]*IFERROR(INDEX(PP_Grid[#Data],M_BOM[PPGridRow],6),0))</f>
        <v/>
      </c>
      <c r="G89">
        <f>SUMPRODUCT((M_BOM[RM_Code]=$A89)*M_BOM[RM_Qty_Per_Batch]*IFERROR(INDEX(PP_Grid[#Data],M_BOM[PPGridRow],7),0))</f>
        <v/>
      </c>
      <c r="H89">
        <f>SUMPRODUCT((M_BOM[RM_Code]=$A89)*M_BOM[RM_Qty_Per_Batch]*IFERROR(INDEX(PP_Grid[#Data],M_BOM[PPGridRow],8),0))</f>
        <v/>
      </c>
      <c r="I89">
        <f>SUMPRODUCT((M_BOM[RM_Code]=$A89)*M_BOM[RM_Qty_Per_Batch]*IFERROR(INDEX(PP_Grid[#Data],M_BOM[PPGridRow],9),0))</f>
        <v/>
      </c>
      <c r="J89">
        <f>SUMPRODUCT((M_BOM[RM_Code]=$A89)*M_BOM[RM_Qty_Per_Batch]*IFERROR(INDEX(PP_Grid[#Data],M_BOM[PPGridRow],10),0))</f>
        <v/>
      </c>
      <c r="K89">
        <f>SUMPRODUCT((M_BOM[RM_Code]=$A89)*M_BOM[RM_Qty_Per_Batch]*IFERROR(INDEX(PP_Grid[#Data],M_BOM[PPGridRow],11),0))</f>
        <v/>
      </c>
      <c r="L89">
        <f>SUMPRODUCT((M_BOM[RM_Code]=$A89)*M_BOM[RM_Qty_Per_Batch]*IFERROR(INDEX(PP_Grid[#Data],M_BOM[PPGridRow],12),0))</f>
        <v/>
      </c>
      <c r="M89">
        <f>SUMPRODUCT((M_BOM[RM_Code]=$A89)*M_BOM[RM_Qty_Per_Batch]*IFERROR(INDEX(PP_Grid[#Data],M_BOM[PPGridRow],13),0))</f>
        <v/>
      </c>
      <c r="N89">
        <f>SUMPRODUCT((M_BOM[RM_Code]=$A89)*M_BOM[RM_Qty_Per_Batch]*IFERROR(INDEX(PP_Grid[#Data],M_BOM[PPGridRow],14),0))</f>
        <v/>
      </c>
      <c r="O89">
        <f>SUMPRODUCT((M_BOM[RM_Code]=$A89)*M_BOM[RM_Qty_Per_Batch]*IFERROR(INDEX(PP_Grid[#Data],M_BOM[PPGridRow],15),0))</f>
        <v/>
      </c>
      <c r="P89">
        <f>SUMPRODUCT((M_BOM[RM_Code]=$A89)*M_BOM[RM_Qty_Per_Batch]*IFERROR(INDEX(PP_Grid[#Data],M_BOM[PPGridRow],16),0))</f>
        <v/>
      </c>
      <c r="Q89">
        <f>SUMPRODUCT((M_BOM[RM_Code]=$A89)*M_BOM[RM_Qty_Per_Batch]*IFERROR(INDEX(PP_Grid[#Data],M_BOM[PPGridRow],17),0))</f>
        <v/>
      </c>
      <c r="R89">
        <f>SUMPRODUCT((M_BOM[RM_Code]=$A89)*M_BOM[RM_Qty_Per_Batch]*IFERROR(INDEX(PP_Grid[#Data],M_BOM[PPGridRow],18),0))</f>
        <v/>
      </c>
      <c r="S89">
        <f>SUMPRODUCT((M_BOM[RM_Code]=$A89)*M_BOM[RM_Qty_Per_Batch]*IFERROR(INDEX(PP_Grid[#Data],M_BOM[PPGridRow],19),0))</f>
        <v/>
      </c>
      <c r="T89">
        <f>SUMPRODUCT((M_BOM[RM_Code]=$A89)*M_BOM[RM_Qty_Per_Batch]*IFERROR(INDEX(PP_Grid[#Data],M_BOM[PPGridRow],20),0))</f>
        <v/>
      </c>
      <c r="U89">
        <f>SUMPRODUCT((M_BOM[RM_Code]=$A89)*M_BOM[RM_Qty_Per_Batch]*IFERROR(INDEX(PP_Grid[#Data],M_BOM[PPGridRow],21),0))</f>
        <v/>
      </c>
      <c r="V89">
        <f>SUMPRODUCT((M_BOM[RM_Code]=$A89)*M_BOM[RM_Qty_Per_Batch]*IFERROR(INDEX(PP_Grid[#Data],M_BOM[PPGridRow],22),0))</f>
        <v/>
      </c>
      <c r="W89">
        <f>SUMPRODUCT((M_BOM[RM_Code]=$A89)*M_BOM[RM_Qty_Per_Batch]*IFERROR(INDEX(PP_Grid[#Data],M_BOM[PPGridRow],23),0))</f>
        <v/>
      </c>
      <c r="X89">
        <f>SUMPRODUCT((M_BOM[RM_Code]=$A89)*M_BOM[RM_Qty_Per_Batch]*IFERROR(INDEX(PP_Grid[#Data],M_BOM[PPGridRow],24),0))</f>
        <v/>
      </c>
      <c r="Y89">
        <f>SUMPRODUCT((M_BOM[RM_Code]=$A89)*M_BOM[RM_Qty_Per_Batch]*IFERROR(INDEX(PP_Grid[#Data],M_BOM[PPGridRow],25),0))</f>
        <v/>
      </c>
      <c r="Z89">
        <f>SUMPRODUCT((M_BOM[RM_Code]=$A89)*M_BOM[RM_Qty_Per_Batch]*IFERROR(INDEX(PP_Grid[#Data],M_BOM[PPGridRow],26),0))</f>
        <v/>
      </c>
      <c r="AA89">
        <f>SUMPRODUCT((M_BOM[RM_Code]=$A89)*M_BOM[RM_Qty_Per_Batch]*IFERROR(INDEX(PP_Grid[#Data],M_BOM[PPGridRow],27),0))</f>
        <v/>
      </c>
      <c r="AB89">
        <f>SUMPRODUCT((M_BOM[RM_Code]=$A89)*M_BOM[RM_Qty_Per_Batch]*IFERROR(INDEX(PP_Grid[#Data],M_BOM[PPGridRow],28),0))</f>
        <v/>
      </c>
      <c r="AC89">
        <f>SUMPRODUCT((M_BOM[RM_Code]=$A89)*M_BOM[RM_Qty_Per_Batch]*IFERROR(INDEX(PP_Grid[#Data],M_BOM[PPGridRow],29),0))</f>
        <v/>
      </c>
      <c r="AD89">
        <f>SUMPRODUCT((M_BOM[RM_Code]=$A89)*M_BOM[RM_Qty_Per_Batch]*IFERROR(INDEX(PP_Grid[#Data],M_BOM[PPGridRow],30),0))</f>
        <v/>
      </c>
      <c r="AE89">
        <f>SUMPRODUCT((M_BOM[RM_Code]=$A89)*M_BOM[RM_Qty_Per_Batch]*IFERROR(INDEX(PP_Grid[#Data],M_BOM[PPGridRow],31),0))</f>
        <v/>
      </c>
      <c r="AF89">
        <f>SUMPRODUCT((M_BOM[RM_Code]=$A89)*M_BOM[RM_Qty_Per_Batch]*IFERROR(INDEX(PP_Grid[#Data],M_BOM[PPGridRow],32),0))</f>
        <v/>
      </c>
      <c r="AG89">
        <f>SUMPRODUCT((M_BOM[RM_Code]=$A89)*M_BOM[RM_Qty_Per_Batch]*IFERROR(INDEX(PP_Grid[#Data],M_BOM[PPGridRow],33),0))</f>
        <v/>
      </c>
      <c r="AH89">
        <f>SUMPRODUCT((M_BOM[RM_Code]=$A89)*M_BOM[RM_Qty_Per_Batch]*IFERROR(INDEX(PP_Grid[#Data],M_BOM[PPGridRow],34),0))</f>
        <v/>
      </c>
      <c r="AI89">
        <f>SUMPRODUCT((M_BOM[RM_Code]=$A89)*M_BOM[RM_Qty_Per_Batch]*IFERROR(INDEX(PP_Grid[#Data],M_BOM[PPGridRow],35),0))</f>
        <v/>
      </c>
      <c r="AJ89">
        <f>SUMPRODUCT((M_BOM[RM_Code]=$A89)*M_BOM[RM_Qty_Per_Batch]*IFERROR(INDEX(PP_Grid[#Data],M_BOM[PPGridRow],36),0))</f>
        <v/>
      </c>
      <c r="AK89">
        <f>SUMPRODUCT((M_BOM[RM_Code]=$A89)*M_BOM[RM_Qty_Per_Batch]*IFERROR(INDEX(PP_Grid[#Data],M_BOM[PPGridRow],37),0))</f>
        <v/>
      </c>
      <c r="AL89">
        <f>SUMPRODUCT((M_BOM[RM_Code]=$A89)*M_BOM[RM_Qty_Per_Batch]*IFERROR(INDEX(PP_Grid[#Data],M_BOM[PPGridRow],38),0))</f>
        <v/>
      </c>
      <c r="AM89">
        <f>SUMPRODUCT((M_BOM[RM_Code]=$A89)*M_BOM[RM_Qty_Per_Batch]*IFERROR(INDEX(PP_Grid[#Data],M_BOM[PPGridRow],39),0))</f>
        <v/>
      </c>
      <c r="AN89">
        <f>SUMPRODUCT((M_BOM[RM_Code]=$A89)*M_BOM[RM_Qty_Per_Batch]*IFERROR(INDEX(PP_Grid[#Data],M_BOM[PPGridRow],40),0))</f>
        <v/>
      </c>
      <c r="AO89">
        <f>SUMPRODUCT((M_BOM[RM_Code]=$A89)*M_BOM[RM_Qty_Per_Batch]*IFERROR(INDEX(PP_Grid[#Data],M_BOM[PPGridRow],41),0))</f>
        <v/>
      </c>
      <c r="AP89">
        <f>SUMPRODUCT((M_BOM[RM_Code]=$A89)*M_BOM[RM_Qty_Per_Batch]*IFERROR(INDEX(PP_Grid[#Data],M_BOM[PPGridRow],42),0))</f>
        <v/>
      </c>
      <c r="AQ89">
        <f>SUMPRODUCT((M_BOM[RM_Code]=$A89)*M_BOM[RM_Qty_Per_Batch]*IFERROR(INDEX(PP_Grid[#Data],M_BOM[PPGridRow],43),0))</f>
        <v/>
      </c>
      <c r="AR89">
        <f>SUMPRODUCT((M_BOM[RM_Code]=$A89)*M_BOM[RM_Qty_Per_Batch]*IFERROR(INDEX(PP_Grid[#Data],M_BOM[PPGridRow],44),0))</f>
        <v/>
      </c>
      <c r="AS89">
        <f>SUMPRODUCT((M_BOM[RM_Code]=$A89)*M_BOM[RM_Qty_Per_Batch]*IFERROR(INDEX(PP_Grid[#Data],M_BOM[PPGridRow],45),0))</f>
        <v/>
      </c>
      <c r="AT89">
        <f>SUMPRODUCT((M_BOM[RM_Code]=$A89)*M_BOM[RM_Qty_Per_Batch]*IFERROR(INDEX(PP_Grid[#Data],M_BOM[PPGridRow],46),0))</f>
        <v/>
      </c>
      <c r="AU89">
        <f>SUMPRODUCT((M_BOM[RM_Code]=$A89)*M_BOM[RM_Qty_Per_Batch]*IFERROR(INDEX(PP_Grid[#Data],M_BOM[PPGridRow],47),0))</f>
        <v/>
      </c>
      <c r="AV89">
        <f>SUMPRODUCT((M_BOM[RM_Code]=$A89)*M_BOM[RM_Qty_Per_Batch]*IFERROR(INDEX(PP_Grid[#Data],M_BOM[PPGridRow],48),0))</f>
        <v/>
      </c>
      <c r="AW89">
        <f>SUMPRODUCT((M_BOM[RM_Code]=$A89)*M_BOM[RM_Qty_Per_Batch]*IFERROR(INDEX(PP_Grid[#Data],M_BOM[PPGridRow],49),0))</f>
        <v/>
      </c>
      <c r="AX89">
        <f>SUMPRODUCT((M_BOM[RM_Code]=$A89)*M_BOM[RM_Qty_Per_Batch]*IFERROR(INDEX(PP_Grid[#Data],M_BOM[PPGridRow],50),0))</f>
        <v/>
      </c>
      <c r="AY89">
        <f>SUMPRODUCT((M_BOM[RM_Code]=$A89)*M_BOM[RM_Qty_Per_Batch]*IFERROR(INDEX(PP_Grid[#Data],M_BOM[PPGridRow],51),0))</f>
        <v/>
      </c>
      <c r="AZ89">
        <f>SUMPRODUCT((M_BOM[RM_Code]=$A89)*M_BOM[RM_Qty_Per_Batch]*IFERROR(INDEX(PP_Grid[#Data],M_BOM[PPGridRow],52),0))</f>
        <v/>
      </c>
      <c r="BA89">
        <f>SUMPRODUCT((M_BOM[RM_Code]=$A89)*M_BOM[RM_Qty_Per_Batch]*IFERROR(INDEX(PP_Grid[#Data],M_BOM[PPGridRow],53),0))</f>
        <v/>
      </c>
      <c r="BB89">
        <f>SUMPRODUCT((M_BOM[RM_Code]=$A89)*M_BOM[RM_Qty_Per_Batch]*IFERROR(INDEX(PP_Grid[#Data],M_BOM[PPGridRow],54),0))</f>
        <v/>
      </c>
      <c r="BC89">
        <f>SUMPRODUCT((M_BOM[RM_Code]=$A89)*M_BOM[RM_Qty_Per_Batch]*IFERROR(INDEX(PP_Grid[#Data],M_BOM[PPGridRow],55),0))</f>
        <v/>
      </c>
      <c r="BD89">
        <f>SUMPRODUCT((M_BOM[RM_Code]=$A89)*M_BOM[RM_Qty_Per_Batch]*IFERROR(INDEX(PP_Grid[#Data],M_BOM[PPGridRow],56),0))</f>
        <v/>
      </c>
      <c r="BE89">
        <f>SUMPRODUCT((M_BOM[RM_Code]=$A89)*M_BOM[RM_Qty_Per_Batch]*IFERROR(INDEX(PP_Grid[#Data],M_BOM[PPGridRow],57),0))</f>
        <v/>
      </c>
      <c r="BF89">
        <f>SUMPRODUCT((M_BOM[RM_Code]=$A89)*M_BOM[RM_Qty_Per_Batch]*IFERROR(INDEX(PP_Grid[#Data],M_BOM[PPGridRow],58),0))</f>
        <v/>
      </c>
      <c r="BG89">
        <f>SUMPRODUCT((M_BOM[RM_Code]=$A89)*M_BOM[RM_Qty_Per_Batch]*IFERROR(INDEX(PP_Grid[#Data],M_BOM[PPGridRow],59),0))</f>
        <v/>
      </c>
      <c r="BH89">
        <f>SUMPRODUCT((M_BOM[RM_Code]=$A89)*M_BOM[RM_Qty_Per_Batch]*IFERROR(INDEX(PP_Grid[#Data],M_BOM[PPGridRow],60),0))</f>
        <v/>
      </c>
      <c r="BI89">
        <f>SUMPRODUCT((M_BOM[RM_Code]=$A89)*M_BOM[RM_Qty_Per_Batch]*IFERROR(INDEX(PP_Grid[#Data],M_BOM[PPGridRow],61),0))</f>
        <v/>
      </c>
      <c r="BJ89">
        <f>SUMPRODUCT((M_BOM[RM_Code]=$A89)*M_BOM[RM_Qty_Per_Batch]*IFERROR(INDEX(PP_Grid[#Data],M_BOM[PPGridRow],62),0))</f>
        <v/>
      </c>
      <c r="BK89">
        <f>SUMPRODUCT((M_BOM[RM_Code]=$A89)*M_BOM[RM_Qty_Per_Batch]*IFERROR(INDEX(PP_Grid[#Data],M_BOM[PPGridRow],63),0))</f>
        <v/>
      </c>
      <c r="BL89">
        <f>SUMPRODUCT((M_BOM[RM_Code]=$A89)*M_BOM[RM_Qty_Per_Batch]*IFERROR(INDEX(PP_Grid[#Data],M_BOM[PPGridRow],64),0))</f>
        <v/>
      </c>
      <c r="BM89">
        <f>SUMPRODUCT((M_BOM[RM_Code]=$A89)*M_BOM[RM_Qty_Per_Batch]*IFERROR(INDEX(PP_Grid[#Data],M_BOM[PPGridRow],65),0))</f>
        <v/>
      </c>
      <c r="BN89">
        <f>SUMPRODUCT((M_BOM[RM_Code]=$A89)*M_BOM[RM_Qty_Per_Batch]*IFERROR(INDEX(PP_Grid[#Data],M_BOM[PPGridRow],66),0))</f>
        <v/>
      </c>
      <c r="BO89">
        <f>SUMPRODUCT((M_BOM[RM_Code]=$A89)*M_BOM[RM_Qty_Per_Batch]*IFERROR(INDEX(PP_Grid[#Data],M_BOM[PPGridRow],67),0))</f>
        <v/>
      </c>
      <c r="BP89">
        <f>SUMPRODUCT((M_BOM[RM_Code]=$A89)*M_BOM[RM_Qty_Per_Batch]*IFERROR(INDEX(PP_Grid[#Data],M_BOM[PPGridRow],68),0))</f>
        <v/>
      </c>
      <c r="BQ89">
        <f>SUMPRODUCT((M_BOM[RM_Code]=$A89)*M_BOM[RM_Qty_Per_Batch]*IFERROR(INDEX(PP_Grid[#Data],M_BOM[PPGridRow],69),0))</f>
        <v/>
      </c>
      <c r="BR89">
        <f>SUMPRODUCT((M_BOM[RM_Code]=$A89)*M_BOM[RM_Qty_Per_Batch]*IFERROR(INDEX(PP_Grid[#Data],M_BOM[PPGridRow],70),0))</f>
        <v/>
      </c>
      <c r="BS89">
        <f>SUMPRODUCT((M_BOM[RM_Code]=$A89)*M_BOM[RM_Qty_Per_Batch]*IFERROR(INDEX(PP_Grid[#Data],M_BOM[PPGridRow],71),0))</f>
        <v/>
      </c>
      <c r="BT89">
        <f>SUMPRODUCT((M_BOM[RM_Code]=$A89)*M_BOM[RM_Qty_Per_Batch]*IFERROR(INDEX(PP_Grid[#Data],M_BOM[PPGridRow],72),0))</f>
        <v/>
      </c>
      <c r="BU89">
        <f>SUMPRODUCT((M_BOM[RM_Code]=$A89)*M_BOM[RM_Qty_Per_Batch]*IFERROR(INDEX(PP_Grid[#Data],M_BOM[PPGridRow],73),0))</f>
        <v/>
      </c>
      <c r="BV89">
        <f>SUMPRODUCT((M_BOM[RM_Code]=$A89)*M_BOM[RM_Qty_Per_Batch]*IFERROR(INDEX(PP_Grid[#Data],M_BOM[PPGridRow],74),0))</f>
        <v/>
      </c>
      <c r="BW89">
        <f>SUMPRODUCT((M_BOM[RM_Code]=$A89)*M_BOM[RM_Qty_Per_Batch]*IFERROR(INDEX(PP_Grid[#Data],M_BOM[PPGridRow],75),0))</f>
        <v/>
      </c>
      <c r="BX89">
        <f>SUMPRODUCT((M_BOM[RM_Code]=$A89)*M_BOM[RM_Qty_Per_Batch]*IFERROR(INDEX(PP_Grid[#Data],M_BOM[PPGridRow],76),0))</f>
        <v/>
      </c>
      <c r="BY89">
        <f>SUMPRODUCT((M_BOM[RM_Code]=$A89)*M_BOM[RM_Qty_Per_Batch]*IFERROR(INDEX(PP_Grid[#Data],M_BOM[PPGridRow],77),0))</f>
        <v/>
      </c>
      <c r="BZ89">
        <f>SUMPRODUCT((M_BOM[RM_Code]=$A89)*M_BOM[RM_Qty_Per_Batch]*IFERROR(INDEX(PP_Grid[#Data],M_BOM[PPGridRow],78),0))</f>
        <v/>
      </c>
      <c r="CA89">
        <f>SUMPRODUCT((M_BOM[RM_Code]=$A89)*M_BOM[RM_Qty_Per_Batch]*IFERROR(INDEX(PP_Grid[#Data],M_BOM[PPGridRow],79),0))</f>
        <v/>
      </c>
      <c r="CB89">
        <f>SUMPRODUCT((M_BOM[RM_Code]=$A89)*M_BOM[RM_Qty_Per_Batch]*IFERROR(INDEX(PP_Grid[#Data],M_BOM[PPGridRow],80),0))</f>
        <v/>
      </c>
      <c r="CC89">
        <f>SUMPRODUCT((M_BOM[RM_Code]=$A89)*M_BOM[RM_Qty_Per_Batch]*IFERROR(INDEX(PP_Grid[#Data],M_BOM[PPGridRow],81),0))</f>
        <v/>
      </c>
      <c r="CD89">
        <f>SUMPRODUCT((M_BOM[RM_Code]=$A89)*M_BOM[RM_Qty_Per_Batch]*IFERROR(INDEX(PP_Grid[#Data],M_BOM[PPGridRow],82),0))</f>
        <v/>
      </c>
      <c r="CE89">
        <f>SUMPRODUCT((M_BOM[RM_Code]=$A89)*M_BOM[RM_Qty_Per_Batch]*IFERROR(INDEX(PP_Grid[#Data],M_BOM[PPGridRow],83),0))</f>
        <v/>
      </c>
      <c r="CF89">
        <f>SUMPRODUCT((M_BOM[RM_Code]=$A89)*M_BOM[RM_Qty_Per_Batch]*IFERROR(INDEX(PP_Grid[#Data],M_BOM[PPGridRow],84),0))</f>
        <v/>
      </c>
      <c r="CG89">
        <f>SUMPRODUCT((M_BOM[RM_Code]=$A89)*M_BOM[RM_Qty_Per_Batch]*IFERROR(INDEX(PP_Grid[#Data],M_BOM[PPGridRow],85),0))</f>
        <v/>
      </c>
      <c r="CH89">
        <f>SUMPRODUCT((M_BOM[RM_Code]=$A89)*M_BOM[RM_Qty_Per_Batch]*IFERROR(INDEX(PP_Grid[#Data],M_BOM[PPGridRow],86),0))</f>
        <v/>
      </c>
      <c r="CI89">
        <f>SUMPRODUCT((M_BOM[RM_Code]=$A89)*M_BOM[RM_Qty_Per_Batch]*IFERROR(INDEX(PP_Grid[#Data],M_BOM[PPGridRow],87),0))</f>
        <v/>
      </c>
      <c r="CJ89">
        <f>SUMPRODUCT((M_BOM[RM_Code]=$A89)*M_BOM[RM_Qty_Per_Batch]*IFERROR(INDEX(PP_Grid[#Data],M_BOM[PPGridRow],88),0))</f>
        <v/>
      </c>
      <c r="CK89">
        <f>SUMPRODUCT((M_BOM[RM_Code]=$A89)*M_BOM[RM_Qty_Per_Batch]*IFERROR(INDEX(PP_Grid[#Data],M_BOM[PPGridRow],89),0))</f>
        <v/>
      </c>
      <c r="CL89">
        <f>SUMPRODUCT((M_BOM[RM_Code]=$A89)*M_BOM[RM_Qty_Per_Batch]*IFERROR(INDEX(PP_Grid[#Data],M_BOM[PPGridRow],90),0))</f>
        <v/>
      </c>
      <c r="CM89">
        <f>SUMPRODUCT((M_BOM[RM_Code]=$A89)*M_BOM[RM_Qty_Per_Batch]*IFERROR(INDEX(PP_Grid[#Data],M_BOM[PPGridRow],91),0))</f>
        <v/>
      </c>
      <c r="CN89">
        <f>SUMPRODUCT((M_BOM[RM_Code]=$A89)*M_BOM[RM_Qty_Per_Batch]*IFERROR(INDEX(PP_Grid[#Data],M_BOM[PPGridRow],92),0))</f>
        <v/>
      </c>
      <c r="CO89">
        <f>SUMPRODUCT((M_BOM[RM_Code]=$A89)*M_BOM[RM_Qty_Per_Batch]*IFERROR(INDEX(PP_Grid[#Data],M_BOM[PPGridRow],93),0))</f>
        <v/>
      </c>
      <c r="CP89">
        <f>SUMPRODUCT((M_BOM[RM_Code]=$A89)*M_BOM[RM_Qty_Per_Batch]*IFERROR(INDEX(PP_Grid[#Data],M_BOM[PPGridRow],94),0))</f>
        <v/>
      </c>
      <c r="CQ89">
        <f>SUMPRODUCT((M_BOM[RM_Code]=$A89)*M_BOM[RM_Qty_Per_Batch]*IFERROR(INDEX(PP_Grid[#Data],M_BOM[PPGridRow],95),0))</f>
        <v/>
      </c>
      <c r="CR89">
        <f>SUMPRODUCT((M_BOM[RM_Code]=$A89)*M_BOM[RM_Qty_Per_Batch]*IFERROR(INDEX(PP_Grid[#Data],M_BOM[PPGridRow],96),0))</f>
        <v/>
      </c>
      <c r="CS89">
        <f>SUMPRODUCT((M_BOM[RM_Code]=$A89)*M_BOM[RM_Qty_Per_Batch]*IFERROR(INDEX(PP_Grid[#Data],M_BOM[PPGridRow],97),0))</f>
        <v/>
      </c>
      <c r="CT89">
        <f>SUMPRODUCT((M_BOM[RM_Code]=$A89)*M_BOM[RM_Qty_Per_Batch]*IFERROR(INDEX(PP_Grid[#Data],M_BOM[PPGridRow],98),0))</f>
        <v/>
      </c>
      <c r="CU89">
        <f>SUMPRODUCT((M_BOM[RM_Code]=$A89)*M_BOM[RM_Qty_Per_Batch]*IFERROR(INDEX(PP_Grid[#Data],M_BOM[PPGridRow],99),0))</f>
        <v/>
      </c>
      <c r="CV89">
        <f>SUMPRODUCT((M_BOM[RM_Code]=$A89)*M_BOM[RM_Qty_Per_Batch]*IFERROR(INDEX(PP_Grid[#Data],M_BOM[PPGridRow],100),0))</f>
        <v/>
      </c>
      <c r="CW89">
        <f>SUMPRODUCT((M_BOM[RM_Code]=$A89)*M_BOM[RM_Qty_Per_Batch]*IFERROR(INDEX(PP_Grid[#Data],M_BOM[PPGridRow],101),0))</f>
        <v/>
      </c>
      <c r="CX89">
        <f>SUMPRODUCT((M_BOM[RM_Code]=$A89)*M_BOM[RM_Qty_Per_Batch]*IFERROR(INDEX(PP_Grid[#Data],M_BOM[PPGridRow],102),0))</f>
        <v/>
      </c>
      <c r="CY89">
        <f>SUMPRODUCT((M_BOM[RM_Code]=$A89)*M_BOM[RM_Qty_Per_Batch]*IFERROR(INDEX(PP_Grid[#Data],M_BOM[PPGridRow],103),0))</f>
        <v/>
      </c>
      <c r="CZ89">
        <f>SUMPRODUCT((M_BOM[RM_Code]=$A89)*M_BOM[RM_Qty_Per_Batch]*IFERROR(INDEX(PP_Grid[#Data],M_BOM[PPGridRow],104),0))</f>
        <v/>
      </c>
      <c r="DA89">
        <f>SUMPRODUCT((M_BOM[RM_Code]=$A89)*M_BOM[RM_Qty_Per_Batch]*IFERROR(INDEX(PP_Grid[#Data],M_BOM[PPGridRow],105),0))</f>
        <v/>
      </c>
    </row>
    <row r="90">
      <c r="A90" t="inlineStr">
        <is>
          <t>CHEM-1490</t>
        </is>
      </c>
      <c r="B90">
        <f>SUMPRODUCT((M_BOM[RM_Code]=$A90)*M_BOM[RM_Qty_Per_Batch]*IFERROR(INDEX(PP_Grid[#Data],M_BOM[PPGridRow],2),0))</f>
        <v/>
      </c>
      <c r="C90">
        <f>SUMPRODUCT((M_BOM[RM_Code]=$A90)*M_BOM[RM_Qty_Per_Batch]*IFERROR(INDEX(PP_Grid[#Data],M_BOM[PPGridRow],3),0))</f>
        <v/>
      </c>
      <c r="D90">
        <f>SUMPRODUCT((M_BOM[RM_Code]=$A90)*M_BOM[RM_Qty_Per_Batch]*IFERROR(INDEX(PP_Grid[#Data],M_BOM[PPGridRow],4),0))</f>
        <v/>
      </c>
      <c r="E90">
        <f>SUMPRODUCT((M_BOM[RM_Code]=$A90)*M_BOM[RM_Qty_Per_Batch]*IFERROR(INDEX(PP_Grid[#Data],M_BOM[PPGridRow],5),0))</f>
        <v/>
      </c>
      <c r="F90">
        <f>SUMPRODUCT((M_BOM[RM_Code]=$A90)*M_BOM[RM_Qty_Per_Batch]*IFERROR(INDEX(PP_Grid[#Data],M_BOM[PPGridRow],6),0))</f>
        <v/>
      </c>
      <c r="G90">
        <f>SUMPRODUCT((M_BOM[RM_Code]=$A90)*M_BOM[RM_Qty_Per_Batch]*IFERROR(INDEX(PP_Grid[#Data],M_BOM[PPGridRow],7),0))</f>
        <v/>
      </c>
      <c r="H90">
        <f>SUMPRODUCT((M_BOM[RM_Code]=$A90)*M_BOM[RM_Qty_Per_Batch]*IFERROR(INDEX(PP_Grid[#Data],M_BOM[PPGridRow],8),0))</f>
        <v/>
      </c>
      <c r="I90">
        <f>SUMPRODUCT((M_BOM[RM_Code]=$A90)*M_BOM[RM_Qty_Per_Batch]*IFERROR(INDEX(PP_Grid[#Data],M_BOM[PPGridRow],9),0))</f>
        <v/>
      </c>
      <c r="J90">
        <f>SUMPRODUCT((M_BOM[RM_Code]=$A90)*M_BOM[RM_Qty_Per_Batch]*IFERROR(INDEX(PP_Grid[#Data],M_BOM[PPGridRow],10),0))</f>
        <v/>
      </c>
      <c r="K90">
        <f>SUMPRODUCT((M_BOM[RM_Code]=$A90)*M_BOM[RM_Qty_Per_Batch]*IFERROR(INDEX(PP_Grid[#Data],M_BOM[PPGridRow],11),0))</f>
        <v/>
      </c>
      <c r="L90">
        <f>SUMPRODUCT((M_BOM[RM_Code]=$A90)*M_BOM[RM_Qty_Per_Batch]*IFERROR(INDEX(PP_Grid[#Data],M_BOM[PPGridRow],12),0))</f>
        <v/>
      </c>
      <c r="M90">
        <f>SUMPRODUCT((M_BOM[RM_Code]=$A90)*M_BOM[RM_Qty_Per_Batch]*IFERROR(INDEX(PP_Grid[#Data],M_BOM[PPGridRow],13),0))</f>
        <v/>
      </c>
      <c r="N90">
        <f>SUMPRODUCT((M_BOM[RM_Code]=$A90)*M_BOM[RM_Qty_Per_Batch]*IFERROR(INDEX(PP_Grid[#Data],M_BOM[PPGridRow],14),0))</f>
        <v/>
      </c>
      <c r="O90">
        <f>SUMPRODUCT((M_BOM[RM_Code]=$A90)*M_BOM[RM_Qty_Per_Batch]*IFERROR(INDEX(PP_Grid[#Data],M_BOM[PPGridRow],15),0))</f>
        <v/>
      </c>
      <c r="P90">
        <f>SUMPRODUCT((M_BOM[RM_Code]=$A90)*M_BOM[RM_Qty_Per_Batch]*IFERROR(INDEX(PP_Grid[#Data],M_BOM[PPGridRow],16),0))</f>
        <v/>
      </c>
      <c r="Q90">
        <f>SUMPRODUCT((M_BOM[RM_Code]=$A90)*M_BOM[RM_Qty_Per_Batch]*IFERROR(INDEX(PP_Grid[#Data],M_BOM[PPGridRow],17),0))</f>
        <v/>
      </c>
      <c r="R90">
        <f>SUMPRODUCT((M_BOM[RM_Code]=$A90)*M_BOM[RM_Qty_Per_Batch]*IFERROR(INDEX(PP_Grid[#Data],M_BOM[PPGridRow],18),0))</f>
        <v/>
      </c>
      <c r="S90">
        <f>SUMPRODUCT((M_BOM[RM_Code]=$A90)*M_BOM[RM_Qty_Per_Batch]*IFERROR(INDEX(PP_Grid[#Data],M_BOM[PPGridRow],19),0))</f>
        <v/>
      </c>
      <c r="T90">
        <f>SUMPRODUCT((M_BOM[RM_Code]=$A90)*M_BOM[RM_Qty_Per_Batch]*IFERROR(INDEX(PP_Grid[#Data],M_BOM[PPGridRow],20),0))</f>
        <v/>
      </c>
      <c r="U90">
        <f>SUMPRODUCT((M_BOM[RM_Code]=$A90)*M_BOM[RM_Qty_Per_Batch]*IFERROR(INDEX(PP_Grid[#Data],M_BOM[PPGridRow],21),0))</f>
        <v/>
      </c>
      <c r="V90">
        <f>SUMPRODUCT((M_BOM[RM_Code]=$A90)*M_BOM[RM_Qty_Per_Batch]*IFERROR(INDEX(PP_Grid[#Data],M_BOM[PPGridRow],22),0))</f>
        <v/>
      </c>
      <c r="W90">
        <f>SUMPRODUCT((M_BOM[RM_Code]=$A90)*M_BOM[RM_Qty_Per_Batch]*IFERROR(INDEX(PP_Grid[#Data],M_BOM[PPGridRow],23),0))</f>
        <v/>
      </c>
      <c r="X90">
        <f>SUMPRODUCT((M_BOM[RM_Code]=$A90)*M_BOM[RM_Qty_Per_Batch]*IFERROR(INDEX(PP_Grid[#Data],M_BOM[PPGridRow],24),0))</f>
        <v/>
      </c>
      <c r="Y90">
        <f>SUMPRODUCT((M_BOM[RM_Code]=$A90)*M_BOM[RM_Qty_Per_Batch]*IFERROR(INDEX(PP_Grid[#Data],M_BOM[PPGridRow],25),0))</f>
        <v/>
      </c>
      <c r="Z90">
        <f>SUMPRODUCT((M_BOM[RM_Code]=$A90)*M_BOM[RM_Qty_Per_Batch]*IFERROR(INDEX(PP_Grid[#Data],M_BOM[PPGridRow],26),0))</f>
        <v/>
      </c>
      <c r="AA90">
        <f>SUMPRODUCT((M_BOM[RM_Code]=$A90)*M_BOM[RM_Qty_Per_Batch]*IFERROR(INDEX(PP_Grid[#Data],M_BOM[PPGridRow],27),0))</f>
        <v/>
      </c>
      <c r="AB90">
        <f>SUMPRODUCT((M_BOM[RM_Code]=$A90)*M_BOM[RM_Qty_Per_Batch]*IFERROR(INDEX(PP_Grid[#Data],M_BOM[PPGridRow],28),0))</f>
        <v/>
      </c>
      <c r="AC90">
        <f>SUMPRODUCT((M_BOM[RM_Code]=$A90)*M_BOM[RM_Qty_Per_Batch]*IFERROR(INDEX(PP_Grid[#Data],M_BOM[PPGridRow],29),0))</f>
        <v/>
      </c>
      <c r="AD90">
        <f>SUMPRODUCT((M_BOM[RM_Code]=$A90)*M_BOM[RM_Qty_Per_Batch]*IFERROR(INDEX(PP_Grid[#Data],M_BOM[PPGridRow],30),0))</f>
        <v/>
      </c>
      <c r="AE90">
        <f>SUMPRODUCT((M_BOM[RM_Code]=$A90)*M_BOM[RM_Qty_Per_Batch]*IFERROR(INDEX(PP_Grid[#Data],M_BOM[PPGridRow],31),0))</f>
        <v/>
      </c>
      <c r="AF90">
        <f>SUMPRODUCT((M_BOM[RM_Code]=$A90)*M_BOM[RM_Qty_Per_Batch]*IFERROR(INDEX(PP_Grid[#Data],M_BOM[PPGridRow],32),0))</f>
        <v/>
      </c>
      <c r="AG90">
        <f>SUMPRODUCT((M_BOM[RM_Code]=$A90)*M_BOM[RM_Qty_Per_Batch]*IFERROR(INDEX(PP_Grid[#Data],M_BOM[PPGridRow],33),0))</f>
        <v/>
      </c>
      <c r="AH90">
        <f>SUMPRODUCT((M_BOM[RM_Code]=$A90)*M_BOM[RM_Qty_Per_Batch]*IFERROR(INDEX(PP_Grid[#Data],M_BOM[PPGridRow],34),0))</f>
        <v/>
      </c>
      <c r="AI90">
        <f>SUMPRODUCT((M_BOM[RM_Code]=$A90)*M_BOM[RM_Qty_Per_Batch]*IFERROR(INDEX(PP_Grid[#Data],M_BOM[PPGridRow],35),0))</f>
        <v/>
      </c>
      <c r="AJ90">
        <f>SUMPRODUCT((M_BOM[RM_Code]=$A90)*M_BOM[RM_Qty_Per_Batch]*IFERROR(INDEX(PP_Grid[#Data],M_BOM[PPGridRow],36),0))</f>
        <v/>
      </c>
      <c r="AK90">
        <f>SUMPRODUCT((M_BOM[RM_Code]=$A90)*M_BOM[RM_Qty_Per_Batch]*IFERROR(INDEX(PP_Grid[#Data],M_BOM[PPGridRow],37),0))</f>
        <v/>
      </c>
      <c r="AL90">
        <f>SUMPRODUCT((M_BOM[RM_Code]=$A90)*M_BOM[RM_Qty_Per_Batch]*IFERROR(INDEX(PP_Grid[#Data],M_BOM[PPGridRow],38),0))</f>
        <v/>
      </c>
      <c r="AM90">
        <f>SUMPRODUCT((M_BOM[RM_Code]=$A90)*M_BOM[RM_Qty_Per_Batch]*IFERROR(INDEX(PP_Grid[#Data],M_BOM[PPGridRow],39),0))</f>
        <v/>
      </c>
      <c r="AN90">
        <f>SUMPRODUCT((M_BOM[RM_Code]=$A90)*M_BOM[RM_Qty_Per_Batch]*IFERROR(INDEX(PP_Grid[#Data],M_BOM[PPGridRow],40),0))</f>
        <v/>
      </c>
      <c r="AO90">
        <f>SUMPRODUCT((M_BOM[RM_Code]=$A90)*M_BOM[RM_Qty_Per_Batch]*IFERROR(INDEX(PP_Grid[#Data],M_BOM[PPGridRow],41),0))</f>
        <v/>
      </c>
      <c r="AP90">
        <f>SUMPRODUCT((M_BOM[RM_Code]=$A90)*M_BOM[RM_Qty_Per_Batch]*IFERROR(INDEX(PP_Grid[#Data],M_BOM[PPGridRow],42),0))</f>
        <v/>
      </c>
      <c r="AQ90">
        <f>SUMPRODUCT((M_BOM[RM_Code]=$A90)*M_BOM[RM_Qty_Per_Batch]*IFERROR(INDEX(PP_Grid[#Data],M_BOM[PPGridRow],43),0))</f>
        <v/>
      </c>
      <c r="AR90">
        <f>SUMPRODUCT((M_BOM[RM_Code]=$A90)*M_BOM[RM_Qty_Per_Batch]*IFERROR(INDEX(PP_Grid[#Data],M_BOM[PPGridRow],44),0))</f>
        <v/>
      </c>
      <c r="AS90">
        <f>SUMPRODUCT((M_BOM[RM_Code]=$A90)*M_BOM[RM_Qty_Per_Batch]*IFERROR(INDEX(PP_Grid[#Data],M_BOM[PPGridRow],45),0))</f>
        <v/>
      </c>
      <c r="AT90">
        <f>SUMPRODUCT((M_BOM[RM_Code]=$A90)*M_BOM[RM_Qty_Per_Batch]*IFERROR(INDEX(PP_Grid[#Data],M_BOM[PPGridRow],46),0))</f>
        <v/>
      </c>
      <c r="AU90">
        <f>SUMPRODUCT((M_BOM[RM_Code]=$A90)*M_BOM[RM_Qty_Per_Batch]*IFERROR(INDEX(PP_Grid[#Data],M_BOM[PPGridRow],47),0))</f>
        <v/>
      </c>
      <c r="AV90">
        <f>SUMPRODUCT((M_BOM[RM_Code]=$A90)*M_BOM[RM_Qty_Per_Batch]*IFERROR(INDEX(PP_Grid[#Data],M_BOM[PPGridRow],48),0))</f>
        <v/>
      </c>
      <c r="AW90">
        <f>SUMPRODUCT((M_BOM[RM_Code]=$A90)*M_BOM[RM_Qty_Per_Batch]*IFERROR(INDEX(PP_Grid[#Data],M_BOM[PPGridRow],49),0))</f>
        <v/>
      </c>
      <c r="AX90">
        <f>SUMPRODUCT((M_BOM[RM_Code]=$A90)*M_BOM[RM_Qty_Per_Batch]*IFERROR(INDEX(PP_Grid[#Data],M_BOM[PPGridRow],50),0))</f>
        <v/>
      </c>
      <c r="AY90">
        <f>SUMPRODUCT((M_BOM[RM_Code]=$A90)*M_BOM[RM_Qty_Per_Batch]*IFERROR(INDEX(PP_Grid[#Data],M_BOM[PPGridRow],51),0))</f>
        <v/>
      </c>
      <c r="AZ90">
        <f>SUMPRODUCT((M_BOM[RM_Code]=$A90)*M_BOM[RM_Qty_Per_Batch]*IFERROR(INDEX(PP_Grid[#Data],M_BOM[PPGridRow],52),0))</f>
        <v/>
      </c>
      <c r="BA90">
        <f>SUMPRODUCT((M_BOM[RM_Code]=$A90)*M_BOM[RM_Qty_Per_Batch]*IFERROR(INDEX(PP_Grid[#Data],M_BOM[PPGridRow],53),0))</f>
        <v/>
      </c>
      <c r="BB90">
        <f>SUMPRODUCT((M_BOM[RM_Code]=$A90)*M_BOM[RM_Qty_Per_Batch]*IFERROR(INDEX(PP_Grid[#Data],M_BOM[PPGridRow],54),0))</f>
        <v/>
      </c>
      <c r="BC90">
        <f>SUMPRODUCT((M_BOM[RM_Code]=$A90)*M_BOM[RM_Qty_Per_Batch]*IFERROR(INDEX(PP_Grid[#Data],M_BOM[PPGridRow],55),0))</f>
        <v/>
      </c>
      <c r="BD90">
        <f>SUMPRODUCT((M_BOM[RM_Code]=$A90)*M_BOM[RM_Qty_Per_Batch]*IFERROR(INDEX(PP_Grid[#Data],M_BOM[PPGridRow],56),0))</f>
        <v/>
      </c>
      <c r="BE90">
        <f>SUMPRODUCT((M_BOM[RM_Code]=$A90)*M_BOM[RM_Qty_Per_Batch]*IFERROR(INDEX(PP_Grid[#Data],M_BOM[PPGridRow],57),0))</f>
        <v/>
      </c>
      <c r="BF90">
        <f>SUMPRODUCT((M_BOM[RM_Code]=$A90)*M_BOM[RM_Qty_Per_Batch]*IFERROR(INDEX(PP_Grid[#Data],M_BOM[PPGridRow],58),0))</f>
        <v/>
      </c>
      <c r="BG90">
        <f>SUMPRODUCT((M_BOM[RM_Code]=$A90)*M_BOM[RM_Qty_Per_Batch]*IFERROR(INDEX(PP_Grid[#Data],M_BOM[PPGridRow],59),0))</f>
        <v/>
      </c>
      <c r="BH90">
        <f>SUMPRODUCT((M_BOM[RM_Code]=$A90)*M_BOM[RM_Qty_Per_Batch]*IFERROR(INDEX(PP_Grid[#Data],M_BOM[PPGridRow],60),0))</f>
        <v/>
      </c>
      <c r="BI90">
        <f>SUMPRODUCT((M_BOM[RM_Code]=$A90)*M_BOM[RM_Qty_Per_Batch]*IFERROR(INDEX(PP_Grid[#Data],M_BOM[PPGridRow],61),0))</f>
        <v/>
      </c>
      <c r="BJ90">
        <f>SUMPRODUCT((M_BOM[RM_Code]=$A90)*M_BOM[RM_Qty_Per_Batch]*IFERROR(INDEX(PP_Grid[#Data],M_BOM[PPGridRow],62),0))</f>
        <v/>
      </c>
      <c r="BK90">
        <f>SUMPRODUCT((M_BOM[RM_Code]=$A90)*M_BOM[RM_Qty_Per_Batch]*IFERROR(INDEX(PP_Grid[#Data],M_BOM[PPGridRow],63),0))</f>
        <v/>
      </c>
      <c r="BL90">
        <f>SUMPRODUCT((M_BOM[RM_Code]=$A90)*M_BOM[RM_Qty_Per_Batch]*IFERROR(INDEX(PP_Grid[#Data],M_BOM[PPGridRow],64),0))</f>
        <v/>
      </c>
      <c r="BM90">
        <f>SUMPRODUCT((M_BOM[RM_Code]=$A90)*M_BOM[RM_Qty_Per_Batch]*IFERROR(INDEX(PP_Grid[#Data],M_BOM[PPGridRow],65),0))</f>
        <v/>
      </c>
      <c r="BN90">
        <f>SUMPRODUCT((M_BOM[RM_Code]=$A90)*M_BOM[RM_Qty_Per_Batch]*IFERROR(INDEX(PP_Grid[#Data],M_BOM[PPGridRow],66),0))</f>
        <v/>
      </c>
      <c r="BO90">
        <f>SUMPRODUCT((M_BOM[RM_Code]=$A90)*M_BOM[RM_Qty_Per_Batch]*IFERROR(INDEX(PP_Grid[#Data],M_BOM[PPGridRow],67),0))</f>
        <v/>
      </c>
      <c r="BP90">
        <f>SUMPRODUCT((M_BOM[RM_Code]=$A90)*M_BOM[RM_Qty_Per_Batch]*IFERROR(INDEX(PP_Grid[#Data],M_BOM[PPGridRow],68),0))</f>
        <v/>
      </c>
      <c r="BQ90">
        <f>SUMPRODUCT((M_BOM[RM_Code]=$A90)*M_BOM[RM_Qty_Per_Batch]*IFERROR(INDEX(PP_Grid[#Data],M_BOM[PPGridRow],69),0))</f>
        <v/>
      </c>
      <c r="BR90">
        <f>SUMPRODUCT((M_BOM[RM_Code]=$A90)*M_BOM[RM_Qty_Per_Batch]*IFERROR(INDEX(PP_Grid[#Data],M_BOM[PPGridRow],70),0))</f>
        <v/>
      </c>
      <c r="BS90">
        <f>SUMPRODUCT((M_BOM[RM_Code]=$A90)*M_BOM[RM_Qty_Per_Batch]*IFERROR(INDEX(PP_Grid[#Data],M_BOM[PPGridRow],71),0))</f>
        <v/>
      </c>
      <c r="BT90">
        <f>SUMPRODUCT((M_BOM[RM_Code]=$A90)*M_BOM[RM_Qty_Per_Batch]*IFERROR(INDEX(PP_Grid[#Data],M_BOM[PPGridRow],72),0))</f>
        <v/>
      </c>
      <c r="BU90">
        <f>SUMPRODUCT((M_BOM[RM_Code]=$A90)*M_BOM[RM_Qty_Per_Batch]*IFERROR(INDEX(PP_Grid[#Data],M_BOM[PPGridRow],73),0))</f>
        <v/>
      </c>
      <c r="BV90">
        <f>SUMPRODUCT((M_BOM[RM_Code]=$A90)*M_BOM[RM_Qty_Per_Batch]*IFERROR(INDEX(PP_Grid[#Data],M_BOM[PPGridRow],74),0))</f>
        <v/>
      </c>
      <c r="BW90">
        <f>SUMPRODUCT((M_BOM[RM_Code]=$A90)*M_BOM[RM_Qty_Per_Batch]*IFERROR(INDEX(PP_Grid[#Data],M_BOM[PPGridRow],75),0))</f>
        <v/>
      </c>
      <c r="BX90">
        <f>SUMPRODUCT((M_BOM[RM_Code]=$A90)*M_BOM[RM_Qty_Per_Batch]*IFERROR(INDEX(PP_Grid[#Data],M_BOM[PPGridRow],76),0))</f>
        <v/>
      </c>
      <c r="BY90">
        <f>SUMPRODUCT((M_BOM[RM_Code]=$A90)*M_BOM[RM_Qty_Per_Batch]*IFERROR(INDEX(PP_Grid[#Data],M_BOM[PPGridRow],77),0))</f>
        <v/>
      </c>
      <c r="BZ90">
        <f>SUMPRODUCT((M_BOM[RM_Code]=$A90)*M_BOM[RM_Qty_Per_Batch]*IFERROR(INDEX(PP_Grid[#Data],M_BOM[PPGridRow],78),0))</f>
        <v/>
      </c>
      <c r="CA90">
        <f>SUMPRODUCT((M_BOM[RM_Code]=$A90)*M_BOM[RM_Qty_Per_Batch]*IFERROR(INDEX(PP_Grid[#Data],M_BOM[PPGridRow],79),0))</f>
        <v/>
      </c>
      <c r="CB90">
        <f>SUMPRODUCT((M_BOM[RM_Code]=$A90)*M_BOM[RM_Qty_Per_Batch]*IFERROR(INDEX(PP_Grid[#Data],M_BOM[PPGridRow],80),0))</f>
        <v/>
      </c>
      <c r="CC90">
        <f>SUMPRODUCT((M_BOM[RM_Code]=$A90)*M_BOM[RM_Qty_Per_Batch]*IFERROR(INDEX(PP_Grid[#Data],M_BOM[PPGridRow],81),0))</f>
        <v/>
      </c>
      <c r="CD90">
        <f>SUMPRODUCT((M_BOM[RM_Code]=$A90)*M_BOM[RM_Qty_Per_Batch]*IFERROR(INDEX(PP_Grid[#Data],M_BOM[PPGridRow],82),0))</f>
        <v/>
      </c>
      <c r="CE90">
        <f>SUMPRODUCT((M_BOM[RM_Code]=$A90)*M_BOM[RM_Qty_Per_Batch]*IFERROR(INDEX(PP_Grid[#Data],M_BOM[PPGridRow],83),0))</f>
        <v/>
      </c>
      <c r="CF90">
        <f>SUMPRODUCT((M_BOM[RM_Code]=$A90)*M_BOM[RM_Qty_Per_Batch]*IFERROR(INDEX(PP_Grid[#Data],M_BOM[PPGridRow],84),0))</f>
        <v/>
      </c>
      <c r="CG90">
        <f>SUMPRODUCT((M_BOM[RM_Code]=$A90)*M_BOM[RM_Qty_Per_Batch]*IFERROR(INDEX(PP_Grid[#Data],M_BOM[PPGridRow],85),0))</f>
        <v/>
      </c>
      <c r="CH90">
        <f>SUMPRODUCT((M_BOM[RM_Code]=$A90)*M_BOM[RM_Qty_Per_Batch]*IFERROR(INDEX(PP_Grid[#Data],M_BOM[PPGridRow],86),0))</f>
        <v/>
      </c>
      <c r="CI90">
        <f>SUMPRODUCT((M_BOM[RM_Code]=$A90)*M_BOM[RM_Qty_Per_Batch]*IFERROR(INDEX(PP_Grid[#Data],M_BOM[PPGridRow],87),0))</f>
        <v/>
      </c>
      <c r="CJ90">
        <f>SUMPRODUCT((M_BOM[RM_Code]=$A90)*M_BOM[RM_Qty_Per_Batch]*IFERROR(INDEX(PP_Grid[#Data],M_BOM[PPGridRow],88),0))</f>
        <v/>
      </c>
      <c r="CK90">
        <f>SUMPRODUCT((M_BOM[RM_Code]=$A90)*M_BOM[RM_Qty_Per_Batch]*IFERROR(INDEX(PP_Grid[#Data],M_BOM[PPGridRow],89),0))</f>
        <v/>
      </c>
      <c r="CL90">
        <f>SUMPRODUCT((M_BOM[RM_Code]=$A90)*M_BOM[RM_Qty_Per_Batch]*IFERROR(INDEX(PP_Grid[#Data],M_BOM[PPGridRow],90),0))</f>
        <v/>
      </c>
      <c r="CM90">
        <f>SUMPRODUCT((M_BOM[RM_Code]=$A90)*M_BOM[RM_Qty_Per_Batch]*IFERROR(INDEX(PP_Grid[#Data],M_BOM[PPGridRow],91),0))</f>
        <v/>
      </c>
      <c r="CN90">
        <f>SUMPRODUCT((M_BOM[RM_Code]=$A90)*M_BOM[RM_Qty_Per_Batch]*IFERROR(INDEX(PP_Grid[#Data],M_BOM[PPGridRow],92),0))</f>
        <v/>
      </c>
      <c r="CO90">
        <f>SUMPRODUCT((M_BOM[RM_Code]=$A90)*M_BOM[RM_Qty_Per_Batch]*IFERROR(INDEX(PP_Grid[#Data],M_BOM[PPGridRow],93),0))</f>
        <v/>
      </c>
      <c r="CP90">
        <f>SUMPRODUCT((M_BOM[RM_Code]=$A90)*M_BOM[RM_Qty_Per_Batch]*IFERROR(INDEX(PP_Grid[#Data],M_BOM[PPGridRow],94),0))</f>
        <v/>
      </c>
      <c r="CQ90">
        <f>SUMPRODUCT((M_BOM[RM_Code]=$A90)*M_BOM[RM_Qty_Per_Batch]*IFERROR(INDEX(PP_Grid[#Data],M_BOM[PPGridRow],95),0))</f>
        <v/>
      </c>
      <c r="CR90">
        <f>SUMPRODUCT((M_BOM[RM_Code]=$A90)*M_BOM[RM_Qty_Per_Batch]*IFERROR(INDEX(PP_Grid[#Data],M_BOM[PPGridRow],96),0))</f>
        <v/>
      </c>
      <c r="CS90">
        <f>SUMPRODUCT((M_BOM[RM_Code]=$A90)*M_BOM[RM_Qty_Per_Batch]*IFERROR(INDEX(PP_Grid[#Data],M_BOM[PPGridRow],97),0))</f>
        <v/>
      </c>
      <c r="CT90">
        <f>SUMPRODUCT((M_BOM[RM_Code]=$A90)*M_BOM[RM_Qty_Per_Batch]*IFERROR(INDEX(PP_Grid[#Data],M_BOM[PPGridRow],98),0))</f>
        <v/>
      </c>
      <c r="CU90">
        <f>SUMPRODUCT((M_BOM[RM_Code]=$A90)*M_BOM[RM_Qty_Per_Batch]*IFERROR(INDEX(PP_Grid[#Data],M_BOM[PPGridRow],99),0))</f>
        <v/>
      </c>
      <c r="CV90">
        <f>SUMPRODUCT((M_BOM[RM_Code]=$A90)*M_BOM[RM_Qty_Per_Batch]*IFERROR(INDEX(PP_Grid[#Data],M_BOM[PPGridRow],100),0))</f>
        <v/>
      </c>
      <c r="CW90">
        <f>SUMPRODUCT((M_BOM[RM_Code]=$A90)*M_BOM[RM_Qty_Per_Batch]*IFERROR(INDEX(PP_Grid[#Data],M_BOM[PPGridRow],101),0))</f>
        <v/>
      </c>
      <c r="CX90">
        <f>SUMPRODUCT((M_BOM[RM_Code]=$A90)*M_BOM[RM_Qty_Per_Batch]*IFERROR(INDEX(PP_Grid[#Data],M_BOM[PPGridRow],102),0))</f>
        <v/>
      </c>
      <c r="CY90">
        <f>SUMPRODUCT((M_BOM[RM_Code]=$A90)*M_BOM[RM_Qty_Per_Batch]*IFERROR(INDEX(PP_Grid[#Data],M_BOM[PPGridRow],103),0))</f>
        <v/>
      </c>
      <c r="CZ90">
        <f>SUMPRODUCT((M_BOM[RM_Code]=$A90)*M_BOM[RM_Qty_Per_Batch]*IFERROR(INDEX(PP_Grid[#Data],M_BOM[PPGridRow],104),0))</f>
        <v/>
      </c>
      <c r="DA90">
        <f>SUMPRODUCT((M_BOM[RM_Code]=$A90)*M_BOM[RM_Qty_Per_Batch]*IFERROR(INDEX(PP_Grid[#Data],M_BOM[PPGridRow],105),0))</f>
        <v/>
      </c>
    </row>
    <row r="91">
      <c r="A91" t="inlineStr">
        <is>
          <t>CHEM-1610</t>
        </is>
      </c>
      <c r="B91">
        <f>SUMPRODUCT((M_BOM[RM_Code]=$A91)*M_BOM[RM_Qty_Per_Batch]*IFERROR(INDEX(PP_Grid[#Data],M_BOM[PPGridRow],2),0))</f>
        <v/>
      </c>
      <c r="C91">
        <f>SUMPRODUCT((M_BOM[RM_Code]=$A91)*M_BOM[RM_Qty_Per_Batch]*IFERROR(INDEX(PP_Grid[#Data],M_BOM[PPGridRow],3),0))</f>
        <v/>
      </c>
      <c r="D91">
        <f>SUMPRODUCT((M_BOM[RM_Code]=$A91)*M_BOM[RM_Qty_Per_Batch]*IFERROR(INDEX(PP_Grid[#Data],M_BOM[PPGridRow],4),0))</f>
        <v/>
      </c>
      <c r="E91">
        <f>SUMPRODUCT((M_BOM[RM_Code]=$A91)*M_BOM[RM_Qty_Per_Batch]*IFERROR(INDEX(PP_Grid[#Data],M_BOM[PPGridRow],5),0))</f>
        <v/>
      </c>
      <c r="F91">
        <f>SUMPRODUCT((M_BOM[RM_Code]=$A91)*M_BOM[RM_Qty_Per_Batch]*IFERROR(INDEX(PP_Grid[#Data],M_BOM[PPGridRow],6),0))</f>
        <v/>
      </c>
      <c r="G91">
        <f>SUMPRODUCT((M_BOM[RM_Code]=$A91)*M_BOM[RM_Qty_Per_Batch]*IFERROR(INDEX(PP_Grid[#Data],M_BOM[PPGridRow],7),0))</f>
        <v/>
      </c>
      <c r="H91">
        <f>SUMPRODUCT((M_BOM[RM_Code]=$A91)*M_BOM[RM_Qty_Per_Batch]*IFERROR(INDEX(PP_Grid[#Data],M_BOM[PPGridRow],8),0))</f>
        <v/>
      </c>
      <c r="I91">
        <f>SUMPRODUCT((M_BOM[RM_Code]=$A91)*M_BOM[RM_Qty_Per_Batch]*IFERROR(INDEX(PP_Grid[#Data],M_BOM[PPGridRow],9),0))</f>
        <v/>
      </c>
      <c r="J91">
        <f>SUMPRODUCT((M_BOM[RM_Code]=$A91)*M_BOM[RM_Qty_Per_Batch]*IFERROR(INDEX(PP_Grid[#Data],M_BOM[PPGridRow],10),0))</f>
        <v/>
      </c>
      <c r="K91">
        <f>SUMPRODUCT((M_BOM[RM_Code]=$A91)*M_BOM[RM_Qty_Per_Batch]*IFERROR(INDEX(PP_Grid[#Data],M_BOM[PPGridRow],11),0))</f>
        <v/>
      </c>
      <c r="L91">
        <f>SUMPRODUCT((M_BOM[RM_Code]=$A91)*M_BOM[RM_Qty_Per_Batch]*IFERROR(INDEX(PP_Grid[#Data],M_BOM[PPGridRow],12),0))</f>
        <v/>
      </c>
      <c r="M91">
        <f>SUMPRODUCT((M_BOM[RM_Code]=$A91)*M_BOM[RM_Qty_Per_Batch]*IFERROR(INDEX(PP_Grid[#Data],M_BOM[PPGridRow],13),0))</f>
        <v/>
      </c>
      <c r="N91">
        <f>SUMPRODUCT((M_BOM[RM_Code]=$A91)*M_BOM[RM_Qty_Per_Batch]*IFERROR(INDEX(PP_Grid[#Data],M_BOM[PPGridRow],14),0))</f>
        <v/>
      </c>
      <c r="O91">
        <f>SUMPRODUCT((M_BOM[RM_Code]=$A91)*M_BOM[RM_Qty_Per_Batch]*IFERROR(INDEX(PP_Grid[#Data],M_BOM[PPGridRow],15),0))</f>
        <v/>
      </c>
      <c r="P91">
        <f>SUMPRODUCT((M_BOM[RM_Code]=$A91)*M_BOM[RM_Qty_Per_Batch]*IFERROR(INDEX(PP_Grid[#Data],M_BOM[PPGridRow],16),0))</f>
        <v/>
      </c>
      <c r="Q91">
        <f>SUMPRODUCT((M_BOM[RM_Code]=$A91)*M_BOM[RM_Qty_Per_Batch]*IFERROR(INDEX(PP_Grid[#Data],M_BOM[PPGridRow],17),0))</f>
        <v/>
      </c>
      <c r="R91">
        <f>SUMPRODUCT((M_BOM[RM_Code]=$A91)*M_BOM[RM_Qty_Per_Batch]*IFERROR(INDEX(PP_Grid[#Data],M_BOM[PPGridRow],18),0))</f>
        <v/>
      </c>
      <c r="S91">
        <f>SUMPRODUCT((M_BOM[RM_Code]=$A91)*M_BOM[RM_Qty_Per_Batch]*IFERROR(INDEX(PP_Grid[#Data],M_BOM[PPGridRow],19),0))</f>
        <v/>
      </c>
      <c r="T91">
        <f>SUMPRODUCT((M_BOM[RM_Code]=$A91)*M_BOM[RM_Qty_Per_Batch]*IFERROR(INDEX(PP_Grid[#Data],M_BOM[PPGridRow],20),0))</f>
        <v/>
      </c>
      <c r="U91">
        <f>SUMPRODUCT((M_BOM[RM_Code]=$A91)*M_BOM[RM_Qty_Per_Batch]*IFERROR(INDEX(PP_Grid[#Data],M_BOM[PPGridRow],21),0))</f>
        <v/>
      </c>
      <c r="V91">
        <f>SUMPRODUCT((M_BOM[RM_Code]=$A91)*M_BOM[RM_Qty_Per_Batch]*IFERROR(INDEX(PP_Grid[#Data],M_BOM[PPGridRow],22),0))</f>
        <v/>
      </c>
      <c r="W91">
        <f>SUMPRODUCT((M_BOM[RM_Code]=$A91)*M_BOM[RM_Qty_Per_Batch]*IFERROR(INDEX(PP_Grid[#Data],M_BOM[PPGridRow],23),0))</f>
        <v/>
      </c>
      <c r="X91">
        <f>SUMPRODUCT((M_BOM[RM_Code]=$A91)*M_BOM[RM_Qty_Per_Batch]*IFERROR(INDEX(PP_Grid[#Data],M_BOM[PPGridRow],24),0))</f>
        <v/>
      </c>
      <c r="Y91">
        <f>SUMPRODUCT((M_BOM[RM_Code]=$A91)*M_BOM[RM_Qty_Per_Batch]*IFERROR(INDEX(PP_Grid[#Data],M_BOM[PPGridRow],25),0))</f>
        <v/>
      </c>
      <c r="Z91">
        <f>SUMPRODUCT((M_BOM[RM_Code]=$A91)*M_BOM[RM_Qty_Per_Batch]*IFERROR(INDEX(PP_Grid[#Data],M_BOM[PPGridRow],26),0))</f>
        <v/>
      </c>
      <c r="AA91">
        <f>SUMPRODUCT((M_BOM[RM_Code]=$A91)*M_BOM[RM_Qty_Per_Batch]*IFERROR(INDEX(PP_Grid[#Data],M_BOM[PPGridRow],27),0))</f>
        <v/>
      </c>
      <c r="AB91">
        <f>SUMPRODUCT((M_BOM[RM_Code]=$A91)*M_BOM[RM_Qty_Per_Batch]*IFERROR(INDEX(PP_Grid[#Data],M_BOM[PPGridRow],28),0))</f>
        <v/>
      </c>
      <c r="AC91">
        <f>SUMPRODUCT((M_BOM[RM_Code]=$A91)*M_BOM[RM_Qty_Per_Batch]*IFERROR(INDEX(PP_Grid[#Data],M_BOM[PPGridRow],29),0))</f>
        <v/>
      </c>
      <c r="AD91">
        <f>SUMPRODUCT((M_BOM[RM_Code]=$A91)*M_BOM[RM_Qty_Per_Batch]*IFERROR(INDEX(PP_Grid[#Data],M_BOM[PPGridRow],30),0))</f>
        <v/>
      </c>
      <c r="AE91">
        <f>SUMPRODUCT((M_BOM[RM_Code]=$A91)*M_BOM[RM_Qty_Per_Batch]*IFERROR(INDEX(PP_Grid[#Data],M_BOM[PPGridRow],31),0))</f>
        <v/>
      </c>
      <c r="AF91">
        <f>SUMPRODUCT((M_BOM[RM_Code]=$A91)*M_BOM[RM_Qty_Per_Batch]*IFERROR(INDEX(PP_Grid[#Data],M_BOM[PPGridRow],32),0))</f>
        <v/>
      </c>
      <c r="AG91">
        <f>SUMPRODUCT((M_BOM[RM_Code]=$A91)*M_BOM[RM_Qty_Per_Batch]*IFERROR(INDEX(PP_Grid[#Data],M_BOM[PPGridRow],33),0))</f>
        <v/>
      </c>
      <c r="AH91">
        <f>SUMPRODUCT((M_BOM[RM_Code]=$A91)*M_BOM[RM_Qty_Per_Batch]*IFERROR(INDEX(PP_Grid[#Data],M_BOM[PPGridRow],34),0))</f>
        <v/>
      </c>
      <c r="AI91">
        <f>SUMPRODUCT((M_BOM[RM_Code]=$A91)*M_BOM[RM_Qty_Per_Batch]*IFERROR(INDEX(PP_Grid[#Data],M_BOM[PPGridRow],35),0))</f>
        <v/>
      </c>
      <c r="AJ91">
        <f>SUMPRODUCT((M_BOM[RM_Code]=$A91)*M_BOM[RM_Qty_Per_Batch]*IFERROR(INDEX(PP_Grid[#Data],M_BOM[PPGridRow],36),0))</f>
        <v/>
      </c>
      <c r="AK91">
        <f>SUMPRODUCT((M_BOM[RM_Code]=$A91)*M_BOM[RM_Qty_Per_Batch]*IFERROR(INDEX(PP_Grid[#Data],M_BOM[PPGridRow],37),0))</f>
        <v/>
      </c>
      <c r="AL91">
        <f>SUMPRODUCT((M_BOM[RM_Code]=$A91)*M_BOM[RM_Qty_Per_Batch]*IFERROR(INDEX(PP_Grid[#Data],M_BOM[PPGridRow],38),0))</f>
        <v/>
      </c>
      <c r="AM91">
        <f>SUMPRODUCT((M_BOM[RM_Code]=$A91)*M_BOM[RM_Qty_Per_Batch]*IFERROR(INDEX(PP_Grid[#Data],M_BOM[PPGridRow],39),0))</f>
        <v/>
      </c>
      <c r="AN91">
        <f>SUMPRODUCT((M_BOM[RM_Code]=$A91)*M_BOM[RM_Qty_Per_Batch]*IFERROR(INDEX(PP_Grid[#Data],M_BOM[PPGridRow],40),0))</f>
        <v/>
      </c>
      <c r="AO91">
        <f>SUMPRODUCT((M_BOM[RM_Code]=$A91)*M_BOM[RM_Qty_Per_Batch]*IFERROR(INDEX(PP_Grid[#Data],M_BOM[PPGridRow],41),0))</f>
        <v/>
      </c>
      <c r="AP91">
        <f>SUMPRODUCT((M_BOM[RM_Code]=$A91)*M_BOM[RM_Qty_Per_Batch]*IFERROR(INDEX(PP_Grid[#Data],M_BOM[PPGridRow],42),0))</f>
        <v/>
      </c>
      <c r="AQ91">
        <f>SUMPRODUCT((M_BOM[RM_Code]=$A91)*M_BOM[RM_Qty_Per_Batch]*IFERROR(INDEX(PP_Grid[#Data],M_BOM[PPGridRow],43),0))</f>
        <v/>
      </c>
      <c r="AR91">
        <f>SUMPRODUCT((M_BOM[RM_Code]=$A91)*M_BOM[RM_Qty_Per_Batch]*IFERROR(INDEX(PP_Grid[#Data],M_BOM[PPGridRow],44),0))</f>
        <v/>
      </c>
      <c r="AS91">
        <f>SUMPRODUCT((M_BOM[RM_Code]=$A91)*M_BOM[RM_Qty_Per_Batch]*IFERROR(INDEX(PP_Grid[#Data],M_BOM[PPGridRow],45),0))</f>
        <v/>
      </c>
      <c r="AT91">
        <f>SUMPRODUCT((M_BOM[RM_Code]=$A91)*M_BOM[RM_Qty_Per_Batch]*IFERROR(INDEX(PP_Grid[#Data],M_BOM[PPGridRow],46),0))</f>
        <v/>
      </c>
      <c r="AU91">
        <f>SUMPRODUCT((M_BOM[RM_Code]=$A91)*M_BOM[RM_Qty_Per_Batch]*IFERROR(INDEX(PP_Grid[#Data],M_BOM[PPGridRow],47),0))</f>
        <v/>
      </c>
      <c r="AV91">
        <f>SUMPRODUCT((M_BOM[RM_Code]=$A91)*M_BOM[RM_Qty_Per_Batch]*IFERROR(INDEX(PP_Grid[#Data],M_BOM[PPGridRow],48),0))</f>
        <v/>
      </c>
      <c r="AW91">
        <f>SUMPRODUCT((M_BOM[RM_Code]=$A91)*M_BOM[RM_Qty_Per_Batch]*IFERROR(INDEX(PP_Grid[#Data],M_BOM[PPGridRow],49),0))</f>
        <v/>
      </c>
      <c r="AX91">
        <f>SUMPRODUCT((M_BOM[RM_Code]=$A91)*M_BOM[RM_Qty_Per_Batch]*IFERROR(INDEX(PP_Grid[#Data],M_BOM[PPGridRow],50),0))</f>
        <v/>
      </c>
      <c r="AY91">
        <f>SUMPRODUCT((M_BOM[RM_Code]=$A91)*M_BOM[RM_Qty_Per_Batch]*IFERROR(INDEX(PP_Grid[#Data],M_BOM[PPGridRow],51),0))</f>
        <v/>
      </c>
      <c r="AZ91">
        <f>SUMPRODUCT((M_BOM[RM_Code]=$A91)*M_BOM[RM_Qty_Per_Batch]*IFERROR(INDEX(PP_Grid[#Data],M_BOM[PPGridRow],52),0))</f>
        <v/>
      </c>
      <c r="BA91">
        <f>SUMPRODUCT((M_BOM[RM_Code]=$A91)*M_BOM[RM_Qty_Per_Batch]*IFERROR(INDEX(PP_Grid[#Data],M_BOM[PPGridRow],53),0))</f>
        <v/>
      </c>
      <c r="BB91">
        <f>SUMPRODUCT((M_BOM[RM_Code]=$A91)*M_BOM[RM_Qty_Per_Batch]*IFERROR(INDEX(PP_Grid[#Data],M_BOM[PPGridRow],54),0))</f>
        <v/>
      </c>
      <c r="BC91">
        <f>SUMPRODUCT((M_BOM[RM_Code]=$A91)*M_BOM[RM_Qty_Per_Batch]*IFERROR(INDEX(PP_Grid[#Data],M_BOM[PPGridRow],55),0))</f>
        <v/>
      </c>
      <c r="BD91">
        <f>SUMPRODUCT((M_BOM[RM_Code]=$A91)*M_BOM[RM_Qty_Per_Batch]*IFERROR(INDEX(PP_Grid[#Data],M_BOM[PPGridRow],56),0))</f>
        <v/>
      </c>
      <c r="BE91">
        <f>SUMPRODUCT((M_BOM[RM_Code]=$A91)*M_BOM[RM_Qty_Per_Batch]*IFERROR(INDEX(PP_Grid[#Data],M_BOM[PPGridRow],57),0))</f>
        <v/>
      </c>
      <c r="BF91">
        <f>SUMPRODUCT((M_BOM[RM_Code]=$A91)*M_BOM[RM_Qty_Per_Batch]*IFERROR(INDEX(PP_Grid[#Data],M_BOM[PPGridRow],58),0))</f>
        <v/>
      </c>
      <c r="BG91">
        <f>SUMPRODUCT((M_BOM[RM_Code]=$A91)*M_BOM[RM_Qty_Per_Batch]*IFERROR(INDEX(PP_Grid[#Data],M_BOM[PPGridRow],59),0))</f>
        <v/>
      </c>
      <c r="BH91">
        <f>SUMPRODUCT((M_BOM[RM_Code]=$A91)*M_BOM[RM_Qty_Per_Batch]*IFERROR(INDEX(PP_Grid[#Data],M_BOM[PPGridRow],60),0))</f>
        <v/>
      </c>
      <c r="BI91">
        <f>SUMPRODUCT((M_BOM[RM_Code]=$A91)*M_BOM[RM_Qty_Per_Batch]*IFERROR(INDEX(PP_Grid[#Data],M_BOM[PPGridRow],61),0))</f>
        <v/>
      </c>
      <c r="BJ91">
        <f>SUMPRODUCT((M_BOM[RM_Code]=$A91)*M_BOM[RM_Qty_Per_Batch]*IFERROR(INDEX(PP_Grid[#Data],M_BOM[PPGridRow],62),0))</f>
        <v/>
      </c>
      <c r="BK91">
        <f>SUMPRODUCT((M_BOM[RM_Code]=$A91)*M_BOM[RM_Qty_Per_Batch]*IFERROR(INDEX(PP_Grid[#Data],M_BOM[PPGridRow],63),0))</f>
        <v/>
      </c>
      <c r="BL91">
        <f>SUMPRODUCT((M_BOM[RM_Code]=$A91)*M_BOM[RM_Qty_Per_Batch]*IFERROR(INDEX(PP_Grid[#Data],M_BOM[PPGridRow],64),0))</f>
        <v/>
      </c>
      <c r="BM91">
        <f>SUMPRODUCT((M_BOM[RM_Code]=$A91)*M_BOM[RM_Qty_Per_Batch]*IFERROR(INDEX(PP_Grid[#Data],M_BOM[PPGridRow],65),0))</f>
        <v/>
      </c>
      <c r="BN91">
        <f>SUMPRODUCT((M_BOM[RM_Code]=$A91)*M_BOM[RM_Qty_Per_Batch]*IFERROR(INDEX(PP_Grid[#Data],M_BOM[PPGridRow],66),0))</f>
        <v/>
      </c>
      <c r="BO91">
        <f>SUMPRODUCT((M_BOM[RM_Code]=$A91)*M_BOM[RM_Qty_Per_Batch]*IFERROR(INDEX(PP_Grid[#Data],M_BOM[PPGridRow],67),0))</f>
        <v/>
      </c>
      <c r="BP91">
        <f>SUMPRODUCT((M_BOM[RM_Code]=$A91)*M_BOM[RM_Qty_Per_Batch]*IFERROR(INDEX(PP_Grid[#Data],M_BOM[PPGridRow],68),0))</f>
        <v/>
      </c>
      <c r="BQ91">
        <f>SUMPRODUCT((M_BOM[RM_Code]=$A91)*M_BOM[RM_Qty_Per_Batch]*IFERROR(INDEX(PP_Grid[#Data],M_BOM[PPGridRow],69),0))</f>
        <v/>
      </c>
      <c r="BR91">
        <f>SUMPRODUCT((M_BOM[RM_Code]=$A91)*M_BOM[RM_Qty_Per_Batch]*IFERROR(INDEX(PP_Grid[#Data],M_BOM[PPGridRow],70),0))</f>
        <v/>
      </c>
      <c r="BS91">
        <f>SUMPRODUCT((M_BOM[RM_Code]=$A91)*M_BOM[RM_Qty_Per_Batch]*IFERROR(INDEX(PP_Grid[#Data],M_BOM[PPGridRow],71),0))</f>
        <v/>
      </c>
      <c r="BT91">
        <f>SUMPRODUCT((M_BOM[RM_Code]=$A91)*M_BOM[RM_Qty_Per_Batch]*IFERROR(INDEX(PP_Grid[#Data],M_BOM[PPGridRow],72),0))</f>
        <v/>
      </c>
      <c r="BU91">
        <f>SUMPRODUCT((M_BOM[RM_Code]=$A91)*M_BOM[RM_Qty_Per_Batch]*IFERROR(INDEX(PP_Grid[#Data],M_BOM[PPGridRow],73),0))</f>
        <v/>
      </c>
      <c r="BV91">
        <f>SUMPRODUCT((M_BOM[RM_Code]=$A91)*M_BOM[RM_Qty_Per_Batch]*IFERROR(INDEX(PP_Grid[#Data],M_BOM[PPGridRow],74),0))</f>
        <v/>
      </c>
      <c r="BW91">
        <f>SUMPRODUCT((M_BOM[RM_Code]=$A91)*M_BOM[RM_Qty_Per_Batch]*IFERROR(INDEX(PP_Grid[#Data],M_BOM[PPGridRow],75),0))</f>
        <v/>
      </c>
      <c r="BX91">
        <f>SUMPRODUCT((M_BOM[RM_Code]=$A91)*M_BOM[RM_Qty_Per_Batch]*IFERROR(INDEX(PP_Grid[#Data],M_BOM[PPGridRow],76),0))</f>
        <v/>
      </c>
      <c r="BY91">
        <f>SUMPRODUCT((M_BOM[RM_Code]=$A91)*M_BOM[RM_Qty_Per_Batch]*IFERROR(INDEX(PP_Grid[#Data],M_BOM[PPGridRow],77),0))</f>
        <v/>
      </c>
      <c r="BZ91">
        <f>SUMPRODUCT((M_BOM[RM_Code]=$A91)*M_BOM[RM_Qty_Per_Batch]*IFERROR(INDEX(PP_Grid[#Data],M_BOM[PPGridRow],78),0))</f>
        <v/>
      </c>
      <c r="CA91">
        <f>SUMPRODUCT((M_BOM[RM_Code]=$A91)*M_BOM[RM_Qty_Per_Batch]*IFERROR(INDEX(PP_Grid[#Data],M_BOM[PPGridRow],79),0))</f>
        <v/>
      </c>
      <c r="CB91">
        <f>SUMPRODUCT((M_BOM[RM_Code]=$A91)*M_BOM[RM_Qty_Per_Batch]*IFERROR(INDEX(PP_Grid[#Data],M_BOM[PPGridRow],80),0))</f>
        <v/>
      </c>
      <c r="CC91">
        <f>SUMPRODUCT((M_BOM[RM_Code]=$A91)*M_BOM[RM_Qty_Per_Batch]*IFERROR(INDEX(PP_Grid[#Data],M_BOM[PPGridRow],81),0))</f>
        <v/>
      </c>
      <c r="CD91">
        <f>SUMPRODUCT((M_BOM[RM_Code]=$A91)*M_BOM[RM_Qty_Per_Batch]*IFERROR(INDEX(PP_Grid[#Data],M_BOM[PPGridRow],82),0))</f>
        <v/>
      </c>
      <c r="CE91">
        <f>SUMPRODUCT((M_BOM[RM_Code]=$A91)*M_BOM[RM_Qty_Per_Batch]*IFERROR(INDEX(PP_Grid[#Data],M_BOM[PPGridRow],83),0))</f>
        <v/>
      </c>
      <c r="CF91">
        <f>SUMPRODUCT((M_BOM[RM_Code]=$A91)*M_BOM[RM_Qty_Per_Batch]*IFERROR(INDEX(PP_Grid[#Data],M_BOM[PPGridRow],84),0))</f>
        <v/>
      </c>
      <c r="CG91">
        <f>SUMPRODUCT((M_BOM[RM_Code]=$A91)*M_BOM[RM_Qty_Per_Batch]*IFERROR(INDEX(PP_Grid[#Data],M_BOM[PPGridRow],85),0))</f>
        <v/>
      </c>
      <c r="CH91">
        <f>SUMPRODUCT((M_BOM[RM_Code]=$A91)*M_BOM[RM_Qty_Per_Batch]*IFERROR(INDEX(PP_Grid[#Data],M_BOM[PPGridRow],86),0))</f>
        <v/>
      </c>
      <c r="CI91">
        <f>SUMPRODUCT((M_BOM[RM_Code]=$A91)*M_BOM[RM_Qty_Per_Batch]*IFERROR(INDEX(PP_Grid[#Data],M_BOM[PPGridRow],87),0))</f>
        <v/>
      </c>
      <c r="CJ91">
        <f>SUMPRODUCT((M_BOM[RM_Code]=$A91)*M_BOM[RM_Qty_Per_Batch]*IFERROR(INDEX(PP_Grid[#Data],M_BOM[PPGridRow],88),0))</f>
        <v/>
      </c>
      <c r="CK91">
        <f>SUMPRODUCT((M_BOM[RM_Code]=$A91)*M_BOM[RM_Qty_Per_Batch]*IFERROR(INDEX(PP_Grid[#Data],M_BOM[PPGridRow],89),0))</f>
        <v/>
      </c>
      <c r="CL91">
        <f>SUMPRODUCT((M_BOM[RM_Code]=$A91)*M_BOM[RM_Qty_Per_Batch]*IFERROR(INDEX(PP_Grid[#Data],M_BOM[PPGridRow],90),0))</f>
        <v/>
      </c>
      <c r="CM91">
        <f>SUMPRODUCT((M_BOM[RM_Code]=$A91)*M_BOM[RM_Qty_Per_Batch]*IFERROR(INDEX(PP_Grid[#Data],M_BOM[PPGridRow],91),0))</f>
        <v/>
      </c>
      <c r="CN91">
        <f>SUMPRODUCT((M_BOM[RM_Code]=$A91)*M_BOM[RM_Qty_Per_Batch]*IFERROR(INDEX(PP_Grid[#Data],M_BOM[PPGridRow],92),0))</f>
        <v/>
      </c>
      <c r="CO91">
        <f>SUMPRODUCT((M_BOM[RM_Code]=$A91)*M_BOM[RM_Qty_Per_Batch]*IFERROR(INDEX(PP_Grid[#Data],M_BOM[PPGridRow],93),0))</f>
        <v/>
      </c>
      <c r="CP91">
        <f>SUMPRODUCT((M_BOM[RM_Code]=$A91)*M_BOM[RM_Qty_Per_Batch]*IFERROR(INDEX(PP_Grid[#Data],M_BOM[PPGridRow],94),0))</f>
        <v/>
      </c>
      <c r="CQ91">
        <f>SUMPRODUCT((M_BOM[RM_Code]=$A91)*M_BOM[RM_Qty_Per_Batch]*IFERROR(INDEX(PP_Grid[#Data],M_BOM[PPGridRow],95),0))</f>
        <v/>
      </c>
      <c r="CR91">
        <f>SUMPRODUCT((M_BOM[RM_Code]=$A91)*M_BOM[RM_Qty_Per_Batch]*IFERROR(INDEX(PP_Grid[#Data],M_BOM[PPGridRow],96),0))</f>
        <v/>
      </c>
      <c r="CS91">
        <f>SUMPRODUCT((M_BOM[RM_Code]=$A91)*M_BOM[RM_Qty_Per_Batch]*IFERROR(INDEX(PP_Grid[#Data],M_BOM[PPGridRow],97),0))</f>
        <v/>
      </c>
      <c r="CT91">
        <f>SUMPRODUCT((M_BOM[RM_Code]=$A91)*M_BOM[RM_Qty_Per_Batch]*IFERROR(INDEX(PP_Grid[#Data],M_BOM[PPGridRow],98),0))</f>
        <v/>
      </c>
      <c r="CU91">
        <f>SUMPRODUCT((M_BOM[RM_Code]=$A91)*M_BOM[RM_Qty_Per_Batch]*IFERROR(INDEX(PP_Grid[#Data],M_BOM[PPGridRow],99),0))</f>
        <v/>
      </c>
      <c r="CV91">
        <f>SUMPRODUCT((M_BOM[RM_Code]=$A91)*M_BOM[RM_Qty_Per_Batch]*IFERROR(INDEX(PP_Grid[#Data],M_BOM[PPGridRow],100),0))</f>
        <v/>
      </c>
      <c r="CW91">
        <f>SUMPRODUCT((M_BOM[RM_Code]=$A91)*M_BOM[RM_Qty_Per_Batch]*IFERROR(INDEX(PP_Grid[#Data],M_BOM[PPGridRow],101),0))</f>
        <v/>
      </c>
      <c r="CX91">
        <f>SUMPRODUCT((M_BOM[RM_Code]=$A91)*M_BOM[RM_Qty_Per_Batch]*IFERROR(INDEX(PP_Grid[#Data],M_BOM[PPGridRow],102),0))</f>
        <v/>
      </c>
      <c r="CY91">
        <f>SUMPRODUCT((M_BOM[RM_Code]=$A91)*M_BOM[RM_Qty_Per_Batch]*IFERROR(INDEX(PP_Grid[#Data],M_BOM[PPGridRow],103),0))</f>
        <v/>
      </c>
      <c r="CZ91">
        <f>SUMPRODUCT((M_BOM[RM_Code]=$A91)*M_BOM[RM_Qty_Per_Batch]*IFERROR(INDEX(PP_Grid[#Data],M_BOM[PPGridRow],104),0))</f>
        <v/>
      </c>
      <c r="DA91">
        <f>SUMPRODUCT((M_BOM[RM_Code]=$A91)*M_BOM[RM_Qty_Per_Batch]*IFERROR(INDEX(PP_Grid[#Data],M_BOM[PPGridRow],105),0))</f>
        <v/>
      </c>
    </row>
    <row r="92">
      <c r="A92" t="inlineStr">
        <is>
          <t>CHEM-1640</t>
        </is>
      </c>
      <c r="B92">
        <f>SUMPRODUCT((M_BOM[RM_Code]=$A92)*M_BOM[RM_Qty_Per_Batch]*IFERROR(INDEX(PP_Grid[#Data],M_BOM[PPGridRow],2),0))</f>
        <v/>
      </c>
      <c r="C92">
        <f>SUMPRODUCT((M_BOM[RM_Code]=$A92)*M_BOM[RM_Qty_Per_Batch]*IFERROR(INDEX(PP_Grid[#Data],M_BOM[PPGridRow],3),0))</f>
        <v/>
      </c>
      <c r="D92">
        <f>SUMPRODUCT((M_BOM[RM_Code]=$A92)*M_BOM[RM_Qty_Per_Batch]*IFERROR(INDEX(PP_Grid[#Data],M_BOM[PPGridRow],4),0))</f>
        <v/>
      </c>
      <c r="E92">
        <f>SUMPRODUCT((M_BOM[RM_Code]=$A92)*M_BOM[RM_Qty_Per_Batch]*IFERROR(INDEX(PP_Grid[#Data],M_BOM[PPGridRow],5),0))</f>
        <v/>
      </c>
      <c r="F92">
        <f>SUMPRODUCT((M_BOM[RM_Code]=$A92)*M_BOM[RM_Qty_Per_Batch]*IFERROR(INDEX(PP_Grid[#Data],M_BOM[PPGridRow],6),0))</f>
        <v/>
      </c>
      <c r="G92">
        <f>SUMPRODUCT((M_BOM[RM_Code]=$A92)*M_BOM[RM_Qty_Per_Batch]*IFERROR(INDEX(PP_Grid[#Data],M_BOM[PPGridRow],7),0))</f>
        <v/>
      </c>
      <c r="H92">
        <f>SUMPRODUCT((M_BOM[RM_Code]=$A92)*M_BOM[RM_Qty_Per_Batch]*IFERROR(INDEX(PP_Grid[#Data],M_BOM[PPGridRow],8),0))</f>
        <v/>
      </c>
      <c r="I92">
        <f>SUMPRODUCT((M_BOM[RM_Code]=$A92)*M_BOM[RM_Qty_Per_Batch]*IFERROR(INDEX(PP_Grid[#Data],M_BOM[PPGridRow],9),0))</f>
        <v/>
      </c>
      <c r="J92">
        <f>SUMPRODUCT((M_BOM[RM_Code]=$A92)*M_BOM[RM_Qty_Per_Batch]*IFERROR(INDEX(PP_Grid[#Data],M_BOM[PPGridRow],10),0))</f>
        <v/>
      </c>
      <c r="K92">
        <f>SUMPRODUCT((M_BOM[RM_Code]=$A92)*M_BOM[RM_Qty_Per_Batch]*IFERROR(INDEX(PP_Grid[#Data],M_BOM[PPGridRow],11),0))</f>
        <v/>
      </c>
      <c r="L92">
        <f>SUMPRODUCT((M_BOM[RM_Code]=$A92)*M_BOM[RM_Qty_Per_Batch]*IFERROR(INDEX(PP_Grid[#Data],M_BOM[PPGridRow],12),0))</f>
        <v/>
      </c>
      <c r="M92">
        <f>SUMPRODUCT((M_BOM[RM_Code]=$A92)*M_BOM[RM_Qty_Per_Batch]*IFERROR(INDEX(PP_Grid[#Data],M_BOM[PPGridRow],13),0))</f>
        <v/>
      </c>
      <c r="N92">
        <f>SUMPRODUCT((M_BOM[RM_Code]=$A92)*M_BOM[RM_Qty_Per_Batch]*IFERROR(INDEX(PP_Grid[#Data],M_BOM[PPGridRow],14),0))</f>
        <v/>
      </c>
      <c r="O92">
        <f>SUMPRODUCT((M_BOM[RM_Code]=$A92)*M_BOM[RM_Qty_Per_Batch]*IFERROR(INDEX(PP_Grid[#Data],M_BOM[PPGridRow],15),0))</f>
        <v/>
      </c>
      <c r="P92">
        <f>SUMPRODUCT((M_BOM[RM_Code]=$A92)*M_BOM[RM_Qty_Per_Batch]*IFERROR(INDEX(PP_Grid[#Data],M_BOM[PPGridRow],16),0))</f>
        <v/>
      </c>
      <c r="Q92">
        <f>SUMPRODUCT((M_BOM[RM_Code]=$A92)*M_BOM[RM_Qty_Per_Batch]*IFERROR(INDEX(PP_Grid[#Data],M_BOM[PPGridRow],17),0))</f>
        <v/>
      </c>
      <c r="R92">
        <f>SUMPRODUCT((M_BOM[RM_Code]=$A92)*M_BOM[RM_Qty_Per_Batch]*IFERROR(INDEX(PP_Grid[#Data],M_BOM[PPGridRow],18),0))</f>
        <v/>
      </c>
      <c r="S92">
        <f>SUMPRODUCT((M_BOM[RM_Code]=$A92)*M_BOM[RM_Qty_Per_Batch]*IFERROR(INDEX(PP_Grid[#Data],M_BOM[PPGridRow],19),0))</f>
        <v/>
      </c>
      <c r="T92">
        <f>SUMPRODUCT((M_BOM[RM_Code]=$A92)*M_BOM[RM_Qty_Per_Batch]*IFERROR(INDEX(PP_Grid[#Data],M_BOM[PPGridRow],20),0))</f>
        <v/>
      </c>
      <c r="U92">
        <f>SUMPRODUCT((M_BOM[RM_Code]=$A92)*M_BOM[RM_Qty_Per_Batch]*IFERROR(INDEX(PP_Grid[#Data],M_BOM[PPGridRow],21),0))</f>
        <v/>
      </c>
      <c r="V92">
        <f>SUMPRODUCT((M_BOM[RM_Code]=$A92)*M_BOM[RM_Qty_Per_Batch]*IFERROR(INDEX(PP_Grid[#Data],M_BOM[PPGridRow],22),0))</f>
        <v/>
      </c>
      <c r="W92">
        <f>SUMPRODUCT((M_BOM[RM_Code]=$A92)*M_BOM[RM_Qty_Per_Batch]*IFERROR(INDEX(PP_Grid[#Data],M_BOM[PPGridRow],23),0))</f>
        <v/>
      </c>
      <c r="X92">
        <f>SUMPRODUCT((M_BOM[RM_Code]=$A92)*M_BOM[RM_Qty_Per_Batch]*IFERROR(INDEX(PP_Grid[#Data],M_BOM[PPGridRow],24),0))</f>
        <v/>
      </c>
      <c r="Y92">
        <f>SUMPRODUCT((M_BOM[RM_Code]=$A92)*M_BOM[RM_Qty_Per_Batch]*IFERROR(INDEX(PP_Grid[#Data],M_BOM[PPGridRow],25),0))</f>
        <v/>
      </c>
      <c r="Z92">
        <f>SUMPRODUCT((M_BOM[RM_Code]=$A92)*M_BOM[RM_Qty_Per_Batch]*IFERROR(INDEX(PP_Grid[#Data],M_BOM[PPGridRow],26),0))</f>
        <v/>
      </c>
      <c r="AA92">
        <f>SUMPRODUCT((M_BOM[RM_Code]=$A92)*M_BOM[RM_Qty_Per_Batch]*IFERROR(INDEX(PP_Grid[#Data],M_BOM[PPGridRow],27),0))</f>
        <v/>
      </c>
      <c r="AB92">
        <f>SUMPRODUCT((M_BOM[RM_Code]=$A92)*M_BOM[RM_Qty_Per_Batch]*IFERROR(INDEX(PP_Grid[#Data],M_BOM[PPGridRow],28),0))</f>
        <v/>
      </c>
      <c r="AC92">
        <f>SUMPRODUCT((M_BOM[RM_Code]=$A92)*M_BOM[RM_Qty_Per_Batch]*IFERROR(INDEX(PP_Grid[#Data],M_BOM[PPGridRow],29),0))</f>
        <v/>
      </c>
      <c r="AD92">
        <f>SUMPRODUCT((M_BOM[RM_Code]=$A92)*M_BOM[RM_Qty_Per_Batch]*IFERROR(INDEX(PP_Grid[#Data],M_BOM[PPGridRow],30),0))</f>
        <v/>
      </c>
      <c r="AE92">
        <f>SUMPRODUCT((M_BOM[RM_Code]=$A92)*M_BOM[RM_Qty_Per_Batch]*IFERROR(INDEX(PP_Grid[#Data],M_BOM[PPGridRow],31),0))</f>
        <v/>
      </c>
      <c r="AF92">
        <f>SUMPRODUCT((M_BOM[RM_Code]=$A92)*M_BOM[RM_Qty_Per_Batch]*IFERROR(INDEX(PP_Grid[#Data],M_BOM[PPGridRow],32),0))</f>
        <v/>
      </c>
      <c r="AG92">
        <f>SUMPRODUCT((M_BOM[RM_Code]=$A92)*M_BOM[RM_Qty_Per_Batch]*IFERROR(INDEX(PP_Grid[#Data],M_BOM[PPGridRow],33),0))</f>
        <v/>
      </c>
      <c r="AH92">
        <f>SUMPRODUCT((M_BOM[RM_Code]=$A92)*M_BOM[RM_Qty_Per_Batch]*IFERROR(INDEX(PP_Grid[#Data],M_BOM[PPGridRow],34),0))</f>
        <v/>
      </c>
      <c r="AI92">
        <f>SUMPRODUCT((M_BOM[RM_Code]=$A92)*M_BOM[RM_Qty_Per_Batch]*IFERROR(INDEX(PP_Grid[#Data],M_BOM[PPGridRow],35),0))</f>
        <v/>
      </c>
      <c r="AJ92">
        <f>SUMPRODUCT((M_BOM[RM_Code]=$A92)*M_BOM[RM_Qty_Per_Batch]*IFERROR(INDEX(PP_Grid[#Data],M_BOM[PPGridRow],36),0))</f>
        <v/>
      </c>
      <c r="AK92">
        <f>SUMPRODUCT((M_BOM[RM_Code]=$A92)*M_BOM[RM_Qty_Per_Batch]*IFERROR(INDEX(PP_Grid[#Data],M_BOM[PPGridRow],37),0))</f>
        <v/>
      </c>
      <c r="AL92">
        <f>SUMPRODUCT((M_BOM[RM_Code]=$A92)*M_BOM[RM_Qty_Per_Batch]*IFERROR(INDEX(PP_Grid[#Data],M_BOM[PPGridRow],38),0))</f>
        <v/>
      </c>
      <c r="AM92">
        <f>SUMPRODUCT((M_BOM[RM_Code]=$A92)*M_BOM[RM_Qty_Per_Batch]*IFERROR(INDEX(PP_Grid[#Data],M_BOM[PPGridRow],39),0))</f>
        <v/>
      </c>
      <c r="AN92">
        <f>SUMPRODUCT((M_BOM[RM_Code]=$A92)*M_BOM[RM_Qty_Per_Batch]*IFERROR(INDEX(PP_Grid[#Data],M_BOM[PPGridRow],40),0))</f>
        <v/>
      </c>
      <c r="AO92">
        <f>SUMPRODUCT((M_BOM[RM_Code]=$A92)*M_BOM[RM_Qty_Per_Batch]*IFERROR(INDEX(PP_Grid[#Data],M_BOM[PPGridRow],41),0))</f>
        <v/>
      </c>
      <c r="AP92">
        <f>SUMPRODUCT((M_BOM[RM_Code]=$A92)*M_BOM[RM_Qty_Per_Batch]*IFERROR(INDEX(PP_Grid[#Data],M_BOM[PPGridRow],42),0))</f>
        <v/>
      </c>
      <c r="AQ92">
        <f>SUMPRODUCT((M_BOM[RM_Code]=$A92)*M_BOM[RM_Qty_Per_Batch]*IFERROR(INDEX(PP_Grid[#Data],M_BOM[PPGridRow],43),0))</f>
        <v/>
      </c>
      <c r="AR92">
        <f>SUMPRODUCT((M_BOM[RM_Code]=$A92)*M_BOM[RM_Qty_Per_Batch]*IFERROR(INDEX(PP_Grid[#Data],M_BOM[PPGridRow],44),0))</f>
        <v/>
      </c>
      <c r="AS92">
        <f>SUMPRODUCT((M_BOM[RM_Code]=$A92)*M_BOM[RM_Qty_Per_Batch]*IFERROR(INDEX(PP_Grid[#Data],M_BOM[PPGridRow],45),0))</f>
        <v/>
      </c>
      <c r="AT92">
        <f>SUMPRODUCT((M_BOM[RM_Code]=$A92)*M_BOM[RM_Qty_Per_Batch]*IFERROR(INDEX(PP_Grid[#Data],M_BOM[PPGridRow],46),0))</f>
        <v/>
      </c>
      <c r="AU92">
        <f>SUMPRODUCT((M_BOM[RM_Code]=$A92)*M_BOM[RM_Qty_Per_Batch]*IFERROR(INDEX(PP_Grid[#Data],M_BOM[PPGridRow],47),0))</f>
        <v/>
      </c>
      <c r="AV92">
        <f>SUMPRODUCT((M_BOM[RM_Code]=$A92)*M_BOM[RM_Qty_Per_Batch]*IFERROR(INDEX(PP_Grid[#Data],M_BOM[PPGridRow],48),0))</f>
        <v/>
      </c>
      <c r="AW92">
        <f>SUMPRODUCT((M_BOM[RM_Code]=$A92)*M_BOM[RM_Qty_Per_Batch]*IFERROR(INDEX(PP_Grid[#Data],M_BOM[PPGridRow],49),0))</f>
        <v/>
      </c>
      <c r="AX92">
        <f>SUMPRODUCT((M_BOM[RM_Code]=$A92)*M_BOM[RM_Qty_Per_Batch]*IFERROR(INDEX(PP_Grid[#Data],M_BOM[PPGridRow],50),0))</f>
        <v/>
      </c>
      <c r="AY92">
        <f>SUMPRODUCT((M_BOM[RM_Code]=$A92)*M_BOM[RM_Qty_Per_Batch]*IFERROR(INDEX(PP_Grid[#Data],M_BOM[PPGridRow],51),0))</f>
        <v/>
      </c>
      <c r="AZ92">
        <f>SUMPRODUCT((M_BOM[RM_Code]=$A92)*M_BOM[RM_Qty_Per_Batch]*IFERROR(INDEX(PP_Grid[#Data],M_BOM[PPGridRow],52),0))</f>
        <v/>
      </c>
      <c r="BA92">
        <f>SUMPRODUCT((M_BOM[RM_Code]=$A92)*M_BOM[RM_Qty_Per_Batch]*IFERROR(INDEX(PP_Grid[#Data],M_BOM[PPGridRow],53),0))</f>
        <v/>
      </c>
      <c r="BB92">
        <f>SUMPRODUCT((M_BOM[RM_Code]=$A92)*M_BOM[RM_Qty_Per_Batch]*IFERROR(INDEX(PP_Grid[#Data],M_BOM[PPGridRow],54),0))</f>
        <v/>
      </c>
      <c r="BC92">
        <f>SUMPRODUCT((M_BOM[RM_Code]=$A92)*M_BOM[RM_Qty_Per_Batch]*IFERROR(INDEX(PP_Grid[#Data],M_BOM[PPGridRow],55),0))</f>
        <v/>
      </c>
      <c r="BD92">
        <f>SUMPRODUCT((M_BOM[RM_Code]=$A92)*M_BOM[RM_Qty_Per_Batch]*IFERROR(INDEX(PP_Grid[#Data],M_BOM[PPGridRow],56),0))</f>
        <v/>
      </c>
      <c r="BE92">
        <f>SUMPRODUCT((M_BOM[RM_Code]=$A92)*M_BOM[RM_Qty_Per_Batch]*IFERROR(INDEX(PP_Grid[#Data],M_BOM[PPGridRow],57),0))</f>
        <v/>
      </c>
      <c r="BF92">
        <f>SUMPRODUCT((M_BOM[RM_Code]=$A92)*M_BOM[RM_Qty_Per_Batch]*IFERROR(INDEX(PP_Grid[#Data],M_BOM[PPGridRow],58),0))</f>
        <v/>
      </c>
      <c r="BG92">
        <f>SUMPRODUCT((M_BOM[RM_Code]=$A92)*M_BOM[RM_Qty_Per_Batch]*IFERROR(INDEX(PP_Grid[#Data],M_BOM[PPGridRow],59),0))</f>
        <v/>
      </c>
      <c r="BH92">
        <f>SUMPRODUCT((M_BOM[RM_Code]=$A92)*M_BOM[RM_Qty_Per_Batch]*IFERROR(INDEX(PP_Grid[#Data],M_BOM[PPGridRow],60),0))</f>
        <v/>
      </c>
      <c r="BI92">
        <f>SUMPRODUCT((M_BOM[RM_Code]=$A92)*M_BOM[RM_Qty_Per_Batch]*IFERROR(INDEX(PP_Grid[#Data],M_BOM[PPGridRow],61),0))</f>
        <v/>
      </c>
      <c r="BJ92">
        <f>SUMPRODUCT((M_BOM[RM_Code]=$A92)*M_BOM[RM_Qty_Per_Batch]*IFERROR(INDEX(PP_Grid[#Data],M_BOM[PPGridRow],62),0))</f>
        <v/>
      </c>
      <c r="BK92">
        <f>SUMPRODUCT((M_BOM[RM_Code]=$A92)*M_BOM[RM_Qty_Per_Batch]*IFERROR(INDEX(PP_Grid[#Data],M_BOM[PPGridRow],63),0))</f>
        <v/>
      </c>
      <c r="BL92">
        <f>SUMPRODUCT((M_BOM[RM_Code]=$A92)*M_BOM[RM_Qty_Per_Batch]*IFERROR(INDEX(PP_Grid[#Data],M_BOM[PPGridRow],64),0))</f>
        <v/>
      </c>
      <c r="BM92">
        <f>SUMPRODUCT((M_BOM[RM_Code]=$A92)*M_BOM[RM_Qty_Per_Batch]*IFERROR(INDEX(PP_Grid[#Data],M_BOM[PPGridRow],65),0))</f>
        <v/>
      </c>
      <c r="BN92">
        <f>SUMPRODUCT((M_BOM[RM_Code]=$A92)*M_BOM[RM_Qty_Per_Batch]*IFERROR(INDEX(PP_Grid[#Data],M_BOM[PPGridRow],66),0))</f>
        <v/>
      </c>
      <c r="BO92">
        <f>SUMPRODUCT((M_BOM[RM_Code]=$A92)*M_BOM[RM_Qty_Per_Batch]*IFERROR(INDEX(PP_Grid[#Data],M_BOM[PPGridRow],67),0))</f>
        <v/>
      </c>
      <c r="BP92">
        <f>SUMPRODUCT((M_BOM[RM_Code]=$A92)*M_BOM[RM_Qty_Per_Batch]*IFERROR(INDEX(PP_Grid[#Data],M_BOM[PPGridRow],68),0))</f>
        <v/>
      </c>
      <c r="BQ92">
        <f>SUMPRODUCT((M_BOM[RM_Code]=$A92)*M_BOM[RM_Qty_Per_Batch]*IFERROR(INDEX(PP_Grid[#Data],M_BOM[PPGridRow],69),0))</f>
        <v/>
      </c>
      <c r="BR92">
        <f>SUMPRODUCT((M_BOM[RM_Code]=$A92)*M_BOM[RM_Qty_Per_Batch]*IFERROR(INDEX(PP_Grid[#Data],M_BOM[PPGridRow],70),0))</f>
        <v/>
      </c>
      <c r="BS92">
        <f>SUMPRODUCT((M_BOM[RM_Code]=$A92)*M_BOM[RM_Qty_Per_Batch]*IFERROR(INDEX(PP_Grid[#Data],M_BOM[PPGridRow],71),0))</f>
        <v/>
      </c>
      <c r="BT92">
        <f>SUMPRODUCT((M_BOM[RM_Code]=$A92)*M_BOM[RM_Qty_Per_Batch]*IFERROR(INDEX(PP_Grid[#Data],M_BOM[PPGridRow],72),0))</f>
        <v/>
      </c>
      <c r="BU92">
        <f>SUMPRODUCT((M_BOM[RM_Code]=$A92)*M_BOM[RM_Qty_Per_Batch]*IFERROR(INDEX(PP_Grid[#Data],M_BOM[PPGridRow],73),0))</f>
        <v/>
      </c>
      <c r="BV92">
        <f>SUMPRODUCT((M_BOM[RM_Code]=$A92)*M_BOM[RM_Qty_Per_Batch]*IFERROR(INDEX(PP_Grid[#Data],M_BOM[PPGridRow],74),0))</f>
        <v/>
      </c>
      <c r="BW92">
        <f>SUMPRODUCT((M_BOM[RM_Code]=$A92)*M_BOM[RM_Qty_Per_Batch]*IFERROR(INDEX(PP_Grid[#Data],M_BOM[PPGridRow],75),0))</f>
        <v/>
      </c>
      <c r="BX92">
        <f>SUMPRODUCT((M_BOM[RM_Code]=$A92)*M_BOM[RM_Qty_Per_Batch]*IFERROR(INDEX(PP_Grid[#Data],M_BOM[PPGridRow],76),0))</f>
        <v/>
      </c>
      <c r="BY92">
        <f>SUMPRODUCT((M_BOM[RM_Code]=$A92)*M_BOM[RM_Qty_Per_Batch]*IFERROR(INDEX(PP_Grid[#Data],M_BOM[PPGridRow],77),0))</f>
        <v/>
      </c>
      <c r="BZ92">
        <f>SUMPRODUCT((M_BOM[RM_Code]=$A92)*M_BOM[RM_Qty_Per_Batch]*IFERROR(INDEX(PP_Grid[#Data],M_BOM[PPGridRow],78),0))</f>
        <v/>
      </c>
      <c r="CA92">
        <f>SUMPRODUCT((M_BOM[RM_Code]=$A92)*M_BOM[RM_Qty_Per_Batch]*IFERROR(INDEX(PP_Grid[#Data],M_BOM[PPGridRow],79),0))</f>
        <v/>
      </c>
      <c r="CB92">
        <f>SUMPRODUCT((M_BOM[RM_Code]=$A92)*M_BOM[RM_Qty_Per_Batch]*IFERROR(INDEX(PP_Grid[#Data],M_BOM[PPGridRow],80),0))</f>
        <v/>
      </c>
      <c r="CC92">
        <f>SUMPRODUCT((M_BOM[RM_Code]=$A92)*M_BOM[RM_Qty_Per_Batch]*IFERROR(INDEX(PP_Grid[#Data],M_BOM[PPGridRow],81),0))</f>
        <v/>
      </c>
      <c r="CD92">
        <f>SUMPRODUCT((M_BOM[RM_Code]=$A92)*M_BOM[RM_Qty_Per_Batch]*IFERROR(INDEX(PP_Grid[#Data],M_BOM[PPGridRow],82),0))</f>
        <v/>
      </c>
      <c r="CE92">
        <f>SUMPRODUCT((M_BOM[RM_Code]=$A92)*M_BOM[RM_Qty_Per_Batch]*IFERROR(INDEX(PP_Grid[#Data],M_BOM[PPGridRow],83),0))</f>
        <v/>
      </c>
      <c r="CF92">
        <f>SUMPRODUCT((M_BOM[RM_Code]=$A92)*M_BOM[RM_Qty_Per_Batch]*IFERROR(INDEX(PP_Grid[#Data],M_BOM[PPGridRow],84),0))</f>
        <v/>
      </c>
      <c r="CG92">
        <f>SUMPRODUCT((M_BOM[RM_Code]=$A92)*M_BOM[RM_Qty_Per_Batch]*IFERROR(INDEX(PP_Grid[#Data],M_BOM[PPGridRow],85),0))</f>
        <v/>
      </c>
      <c r="CH92">
        <f>SUMPRODUCT((M_BOM[RM_Code]=$A92)*M_BOM[RM_Qty_Per_Batch]*IFERROR(INDEX(PP_Grid[#Data],M_BOM[PPGridRow],86),0))</f>
        <v/>
      </c>
      <c r="CI92">
        <f>SUMPRODUCT((M_BOM[RM_Code]=$A92)*M_BOM[RM_Qty_Per_Batch]*IFERROR(INDEX(PP_Grid[#Data],M_BOM[PPGridRow],87),0))</f>
        <v/>
      </c>
      <c r="CJ92">
        <f>SUMPRODUCT((M_BOM[RM_Code]=$A92)*M_BOM[RM_Qty_Per_Batch]*IFERROR(INDEX(PP_Grid[#Data],M_BOM[PPGridRow],88),0))</f>
        <v/>
      </c>
      <c r="CK92">
        <f>SUMPRODUCT((M_BOM[RM_Code]=$A92)*M_BOM[RM_Qty_Per_Batch]*IFERROR(INDEX(PP_Grid[#Data],M_BOM[PPGridRow],89),0))</f>
        <v/>
      </c>
      <c r="CL92">
        <f>SUMPRODUCT((M_BOM[RM_Code]=$A92)*M_BOM[RM_Qty_Per_Batch]*IFERROR(INDEX(PP_Grid[#Data],M_BOM[PPGridRow],90),0))</f>
        <v/>
      </c>
      <c r="CM92">
        <f>SUMPRODUCT((M_BOM[RM_Code]=$A92)*M_BOM[RM_Qty_Per_Batch]*IFERROR(INDEX(PP_Grid[#Data],M_BOM[PPGridRow],91),0))</f>
        <v/>
      </c>
      <c r="CN92">
        <f>SUMPRODUCT((M_BOM[RM_Code]=$A92)*M_BOM[RM_Qty_Per_Batch]*IFERROR(INDEX(PP_Grid[#Data],M_BOM[PPGridRow],92),0))</f>
        <v/>
      </c>
      <c r="CO92">
        <f>SUMPRODUCT((M_BOM[RM_Code]=$A92)*M_BOM[RM_Qty_Per_Batch]*IFERROR(INDEX(PP_Grid[#Data],M_BOM[PPGridRow],93),0))</f>
        <v/>
      </c>
      <c r="CP92">
        <f>SUMPRODUCT((M_BOM[RM_Code]=$A92)*M_BOM[RM_Qty_Per_Batch]*IFERROR(INDEX(PP_Grid[#Data],M_BOM[PPGridRow],94),0))</f>
        <v/>
      </c>
      <c r="CQ92">
        <f>SUMPRODUCT((M_BOM[RM_Code]=$A92)*M_BOM[RM_Qty_Per_Batch]*IFERROR(INDEX(PP_Grid[#Data],M_BOM[PPGridRow],95),0))</f>
        <v/>
      </c>
      <c r="CR92">
        <f>SUMPRODUCT((M_BOM[RM_Code]=$A92)*M_BOM[RM_Qty_Per_Batch]*IFERROR(INDEX(PP_Grid[#Data],M_BOM[PPGridRow],96),0))</f>
        <v/>
      </c>
      <c r="CS92">
        <f>SUMPRODUCT((M_BOM[RM_Code]=$A92)*M_BOM[RM_Qty_Per_Batch]*IFERROR(INDEX(PP_Grid[#Data],M_BOM[PPGridRow],97),0))</f>
        <v/>
      </c>
      <c r="CT92">
        <f>SUMPRODUCT((M_BOM[RM_Code]=$A92)*M_BOM[RM_Qty_Per_Batch]*IFERROR(INDEX(PP_Grid[#Data],M_BOM[PPGridRow],98),0))</f>
        <v/>
      </c>
      <c r="CU92">
        <f>SUMPRODUCT((M_BOM[RM_Code]=$A92)*M_BOM[RM_Qty_Per_Batch]*IFERROR(INDEX(PP_Grid[#Data],M_BOM[PPGridRow],99),0))</f>
        <v/>
      </c>
      <c r="CV92">
        <f>SUMPRODUCT((M_BOM[RM_Code]=$A92)*M_BOM[RM_Qty_Per_Batch]*IFERROR(INDEX(PP_Grid[#Data],M_BOM[PPGridRow],100),0))</f>
        <v/>
      </c>
      <c r="CW92">
        <f>SUMPRODUCT((M_BOM[RM_Code]=$A92)*M_BOM[RM_Qty_Per_Batch]*IFERROR(INDEX(PP_Grid[#Data],M_BOM[PPGridRow],101),0))</f>
        <v/>
      </c>
      <c r="CX92">
        <f>SUMPRODUCT((M_BOM[RM_Code]=$A92)*M_BOM[RM_Qty_Per_Batch]*IFERROR(INDEX(PP_Grid[#Data],M_BOM[PPGridRow],102),0))</f>
        <v/>
      </c>
      <c r="CY92">
        <f>SUMPRODUCT((M_BOM[RM_Code]=$A92)*M_BOM[RM_Qty_Per_Batch]*IFERROR(INDEX(PP_Grid[#Data],M_BOM[PPGridRow],103),0))</f>
        <v/>
      </c>
      <c r="CZ92">
        <f>SUMPRODUCT((M_BOM[RM_Code]=$A92)*M_BOM[RM_Qty_Per_Batch]*IFERROR(INDEX(PP_Grid[#Data],M_BOM[PPGridRow],104),0))</f>
        <v/>
      </c>
      <c r="DA92">
        <f>SUMPRODUCT((M_BOM[RM_Code]=$A92)*M_BOM[RM_Qty_Per_Batch]*IFERROR(INDEX(PP_Grid[#Data],M_BOM[PPGridRow],105),0))</f>
        <v/>
      </c>
    </row>
    <row r="93">
      <c r="A93" t="inlineStr">
        <is>
          <t>CHEM-1030</t>
        </is>
      </c>
      <c r="B93">
        <f>SUMPRODUCT((M_BOM[RM_Code]=$A93)*M_BOM[RM_Qty_Per_Batch]*IFERROR(INDEX(PP_Grid[#Data],M_BOM[PPGridRow],2),0))</f>
        <v/>
      </c>
      <c r="C93">
        <f>SUMPRODUCT((M_BOM[RM_Code]=$A93)*M_BOM[RM_Qty_Per_Batch]*IFERROR(INDEX(PP_Grid[#Data],M_BOM[PPGridRow],3),0))</f>
        <v/>
      </c>
      <c r="D93">
        <f>SUMPRODUCT((M_BOM[RM_Code]=$A93)*M_BOM[RM_Qty_Per_Batch]*IFERROR(INDEX(PP_Grid[#Data],M_BOM[PPGridRow],4),0))</f>
        <v/>
      </c>
      <c r="E93">
        <f>SUMPRODUCT((M_BOM[RM_Code]=$A93)*M_BOM[RM_Qty_Per_Batch]*IFERROR(INDEX(PP_Grid[#Data],M_BOM[PPGridRow],5),0))</f>
        <v/>
      </c>
      <c r="F93">
        <f>SUMPRODUCT((M_BOM[RM_Code]=$A93)*M_BOM[RM_Qty_Per_Batch]*IFERROR(INDEX(PP_Grid[#Data],M_BOM[PPGridRow],6),0))</f>
        <v/>
      </c>
      <c r="G93">
        <f>SUMPRODUCT((M_BOM[RM_Code]=$A93)*M_BOM[RM_Qty_Per_Batch]*IFERROR(INDEX(PP_Grid[#Data],M_BOM[PPGridRow],7),0))</f>
        <v/>
      </c>
      <c r="H93">
        <f>SUMPRODUCT((M_BOM[RM_Code]=$A93)*M_BOM[RM_Qty_Per_Batch]*IFERROR(INDEX(PP_Grid[#Data],M_BOM[PPGridRow],8),0))</f>
        <v/>
      </c>
      <c r="I93">
        <f>SUMPRODUCT((M_BOM[RM_Code]=$A93)*M_BOM[RM_Qty_Per_Batch]*IFERROR(INDEX(PP_Grid[#Data],M_BOM[PPGridRow],9),0))</f>
        <v/>
      </c>
      <c r="J93">
        <f>SUMPRODUCT((M_BOM[RM_Code]=$A93)*M_BOM[RM_Qty_Per_Batch]*IFERROR(INDEX(PP_Grid[#Data],M_BOM[PPGridRow],10),0))</f>
        <v/>
      </c>
      <c r="K93">
        <f>SUMPRODUCT((M_BOM[RM_Code]=$A93)*M_BOM[RM_Qty_Per_Batch]*IFERROR(INDEX(PP_Grid[#Data],M_BOM[PPGridRow],11),0))</f>
        <v/>
      </c>
      <c r="L93">
        <f>SUMPRODUCT((M_BOM[RM_Code]=$A93)*M_BOM[RM_Qty_Per_Batch]*IFERROR(INDEX(PP_Grid[#Data],M_BOM[PPGridRow],12),0))</f>
        <v/>
      </c>
      <c r="M93">
        <f>SUMPRODUCT((M_BOM[RM_Code]=$A93)*M_BOM[RM_Qty_Per_Batch]*IFERROR(INDEX(PP_Grid[#Data],M_BOM[PPGridRow],13),0))</f>
        <v/>
      </c>
      <c r="N93">
        <f>SUMPRODUCT((M_BOM[RM_Code]=$A93)*M_BOM[RM_Qty_Per_Batch]*IFERROR(INDEX(PP_Grid[#Data],M_BOM[PPGridRow],14),0))</f>
        <v/>
      </c>
      <c r="O93">
        <f>SUMPRODUCT((M_BOM[RM_Code]=$A93)*M_BOM[RM_Qty_Per_Batch]*IFERROR(INDEX(PP_Grid[#Data],M_BOM[PPGridRow],15),0))</f>
        <v/>
      </c>
      <c r="P93">
        <f>SUMPRODUCT((M_BOM[RM_Code]=$A93)*M_BOM[RM_Qty_Per_Batch]*IFERROR(INDEX(PP_Grid[#Data],M_BOM[PPGridRow],16),0))</f>
        <v/>
      </c>
      <c r="Q93">
        <f>SUMPRODUCT((M_BOM[RM_Code]=$A93)*M_BOM[RM_Qty_Per_Batch]*IFERROR(INDEX(PP_Grid[#Data],M_BOM[PPGridRow],17),0))</f>
        <v/>
      </c>
      <c r="R93">
        <f>SUMPRODUCT((M_BOM[RM_Code]=$A93)*M_BOM[RM_Qty_Per_Batch]*IFERROR(INDEX(PP_Grid[#Data],M_BOM[PPGridRow],18),0))</f>
        <v/>
      </c>
      <c r="S93">
        <f>SUMPRODUCT((M_BOM[RM_Code]=$A93)*M_BOM[RM_Qty_Per_Batch]*IFERROR(INDEX(PP_Grid[#Data],M_BOM[PPGridRow],19),0))</f>
        <v/>
      </c>
      <c r="T93">
        <f>SUMPRODUCT((M_BOM[RM_Code]=$A93)*M_BOM[RM_Qty_Per_Batch]*IFERROR(INDEX(PP_Grid[#Data],M_BOM[PPGridRow],20),0))</f>
        <v/>
      </c>
      <c r="U93">
        <f>SUMPRODUCT((M_BOM[RM_Code]=$A93)*M_BOM[RM_Qty_Per_Batch]*IFERROR(INDEX(PP_Grid[#Data],M_BOM[PPGridRow],21),0))</f>
        <v/>
      </c>
      <c r="V93">
        <f>SUMPRODUCT((M_BOM[RM_Code]=$A93)*M_BOM[RM_Qty_Per_Batch]*IFERROR(INDEX(PP_Grid[#Data],M_BOM[PPGridRow],22),0))</f>
        <v/>
      </c>
      <c r="W93">
        <f>SUMPRODUCT((M_BOM[RM_Code]=$A93)*M_BOM[RM_Qty_Per_Batch]*IFERROR(INDEX(PP_Grid[#Data],M_BOM[PPGridRow],23),0))</f>
        <v/>
      </c>
      <c r="X93">
        <f>SUMPRODUCT((M_BOM[RM_Code]=$A93)*M_BOM[RM_Qty_Per_Batch]*IFERROR(INDEX(PP_Grid[#Data],M_BOM[PPGridRow],24),0))</f>
        <v/>
      </c>
      <c r="Y93">
        <f>SUMPRODUCT((M_BOM[RM_Code]=$A93)*M_BOM[RM_Qty_Per_Batch]*IFERROR(INDEX(PP_Grid[#Data],M_BOM[PPGridRow],25),0))</f>
        <v/>
      </c>
      <c r="Z93">
        <f>SUMPRODUCT((M_BOM[RM_Code]=$A93)*M_BOM[RM_Qty_Per_Batch]*IFERROR(INDEX(PP_Grid[#Data],M_BOM[PPGridRow],26),0))</f>
        <v/>
      </c>
      <c r="AA93">
        <f>SUMPRODUCT((M_BOM[RM_Code]=$A93)*M_BOM[RM_Qty_Per_Batch]*IFERROR(INDEX(PP_Grid[#Data],M_BOM[PPGridRow],27),0))</f>
        <v/>
      </c>
      <c r="AB93">
        <f>SUMPRODUCT((M_BOM[RM_Code]=$A93)*M_BOM[RM_Qty_Per_Batch]*IFERROR(INDEX(PP_Grid[#Data],M_BOM[PPGridRow],28),0))</f>
        <v/>
      </c>
      <c r="AC93">
        <f>SUMPRODUCT((M_BOM[RM_Code]=$A93)*M_BOM[RM_Qty_Per_Batch]*IFERROR(INDEX(PP_Grid[#Data],M_BOM[PPGridRow],29),0))</f>
        <v/>
      </c>
      <c r="AD93">
        <f>SUMPRODUCT((M_BOM[RM_Code]=$A93)*M_BOM[RM_Qty_Per_Batch]*IFERROR(INDEX(PP_Grid[#Data],M_BOM[PPGridRow],30),0))</f>
        <v/>
      </c>
      <c r="AE93">
        <f>SUMPRODUCT((M_BOM[RM_Code]=$A93)*M_BOM[RM_Qty_Per_Batch]*IFERROR(INDEX(PP_Grid[#Data],M_BOM[PPGridRow],31),0))</f>
        <v/>
      </c>
      <c r="AF93">
        <f>SUMPRODUCT((M_BOM[RM_Code]=$A93)*M_BOM[RM_Qty_Per_Batch]*IFERROR(INDEX(PP_Grid[#Data],M_BOM[PPGridRow],32),0))</f>
        <v/>
      </c>
      <c r="AG93">
        <f>SUMPRODUCT((M_BOM[RM_Code]=$A93)*M_BOM[RM_Qty_Per_Batch]*IFERROR(INDEX(PP_Grid[#Data],M_BOM[PPGridRow],33),0))</f>
        <v/>
      </c>
      <c r="AH93">
        <f>SUMPRODUCT((M_BOM[RM_Code]=$A93)*M_BOM[RM_Qty_Per_Batch]*IFERROR(INDEX(PP_Grid[#Data],M_BOM[PPGridRow],34),0))</f>
        <v/>
      </c>
      <c r="AI93">
        <f>SUMPRODUCT((M_BOM[RM_Code]=$A93)*M_BOM[RM_Qty_Per_Batch]*IFERROR(INDEX(PP_Grid[#Data],M_BOM[PPGridRow],35),0))</f>
        <v/>
      </c>
      <c r="AJ93">
        <f>SUMPRODUCT((M_BOM[RM_Code]=$A93)*M_BOM[RM_Qty_Per_Batch]*IFERROR(INDEX(PP_Grid[#Data],M_BOM[PPGridRow],36),0))</f>
        <v/>
      </c>
      <c r="AK93">
        <f>SUMPRODUCT((M_BOM[RM_Code]=$A93)*M_BOM[RM_Qty_Per_Batch]*IFERROR(INDEX(PP_Grid[#Data],M_BOM[PPGridRow],37),0))</f>
        <v/>
      </c>
      <c r="AL93">
        <f>SUMPRODUCT((M_BOM[RM_Code]=$A93)*M_BOM[RM_Qty_Per_Batch]*IFERROR(INDEX(PP_Grid[#Data],M_BOM[PPGridRow],38),0))</f>
        <v/>
      </c>
      <c r="AM93">
        <f>SUMPRODUCT((M_BOM[RM_Code]=$A93)*M_BOM[RM_Qty_Per_Batch]*IFERROR(INDEX(PP_Grid[#Data],M_BOM[PPGridRow],39),0))</f>
        <v/>
      </c>
      <c r="AN93">
        <f>SUMPRODUCT((M_BOM[RM_Code]=$A93)*M_BOM[RM_Qty_Per_Batch]*IFERROR(INDEX(PP_Grid[#Data],M_BOM[PPGridRow],40),0))</f>
        <v/>
      </c>
      <c r="AO93">
        <f>SUMPRODUCT((M_BOM[RM_Code]=$A93)*M_BOM[RM_Qty_Per_Batch]*IFERROR(INDEX(PP_Grid[#Data],M_BOM[PPGridRow],41),0))</f>
        <v/>
      </c>
      <c r="AP93">
        <f>SUMPRODUCT((M_BOM[RM_Code]=$A93)*M_BOM[RM_Qty_Per_Batch]*IFERROR(INDEX(PP_Grid[#Data],M_BOM[PPGridRow],42),0))</f>
        <v/>
      </c>
      <c r="AQ93">
        <f>SUMPRODUCT((M_BOM[RM_Code]=$A93)*M_BOM[RM_Qty_Per_Batch]*IFERROR(INDEX(PP_Grid[#Data],M_BOM[PPGridRow],43),0))</f>
        <v/>
      </c>
      <c r="AR93">
        <f>SUMPRODUCT((M_BOM[RM_Code]=$A93)*M_BOM[RM_Qty_Per_Batch]*IFERROR(INDEX(PP_Grid[#Data],M_BOM[PPGridRow],44),0))</f>
        <v/>
      </c>
      <c r="AS93">
        <f>SUMPRODUCT((M_BOM[RM_Code]=$A93)*M_BOM[RM_Qty_Per_Batch]*IFERROR(INDEX(PP_Grid[#Data],M_BOM[PPGridRow],45),0))</f>
        <v/>
      </c>
      <c r="AT93">
        <f>SUMPRODUCT((M_BOM[RM_Code]=$A93)*M_BOM[RM_Qty_Per_Batch]*IFERROR(INDEX(PP_Grid[#Data],M_BOM[PPGridRow],46),0))</f>
        <v/>
      </c>
      <c r="AU93">
        <f>SUMPRODUCT((M_BOM[RM_Code]=$A93)*M_BOM[RM_Qty_Per_Batch]*IFERROR(INDEX(PP_Grid[#Data],M_BOM[PPGridRow],47),0))</f>
        <v/>
      </c>
      <c r="AV93">
        <f>SUMPRODUCT((M_BOM[RM_Code]=$A93)*M_BOM[RM_Qty_Per_Batch]*IFERROR(INDEX(PP_Grid[#Data],M_BOM[PPGridRow],48),0))</f>
        <v/>
      </c>
      <c r="AW93">
        <f>SUMPRODUCT((M_BOM[RM_Code]=$A93)*M_BOM[RM_Qty_Per_Batch]*IFERROR(INDEX(PP_Grid[#Data],M_BOM[PPGridRow],49),0))</f>
        <v/>
      </c>
      <c r="AX93">
        <f>SUMPRODUCT((M_BOM[RM_Code]=$A93)*M_BOM[RM_Qty_Per_Batch]*IFERROR(INDEX(PP_Grid[#Data],M_BOM[PPGridRow],50),0))</f>
        <v/>
      </c>
      <c r="AY93">
        <f>SUMPRODUCT((M_BOM[RM_Code]=$A93)*M_BOM[RM_Qty_Per_Batch]*IFERROR(INDEX(PP_Grid[#Data],M_BOM[PPGridRow],51),0))</f>
        <v/>
      </c>
      <c r="AZ93">
        <f>SUMPRODUCT((M_BOM[RM_Code]=$A93)*M_BOM[RM_Qty_Per_Batch]*IFERROR(INDEX(PP_Grid[#Data],M_BOM[PPGridRow],52),0))</f>
        <v/>
      </c>
      <c r="BA93">
        <f>SUMPRODUCT((M_BOM[RM_Code]=$A93)*M_BOM[RM_Qty_Per_Batch]*IFERROR(INDEX(PP_Grid[#Data],M_BOM[PPGridRow],53),0))</f>
        <v/>
      </c>
      <c r="BB93">
        <f>SUMPRODUCT((M_BOM[RM_Code]=$A93)*M_BOM[RM_Qty_Per_Batch]*IFERROR(INDEX(PP_Grid[#Data],M_BOM[PPGridRow],54),0))</f>
        <v/>
      </c>
      <c r="BC93">
        <f>SUMPRODUCT((M_BOM[RM_Code]=$A93)*M_BOM[RM_Qty_Per_Batch]*IFERROR(INDEX(PP_Grid[#Data],M_BOM[PPGridRow],55),0))</f>
        <v/>
      </c>
      <c r="BD93">
        <f>SUMPRODUCT((M_BOM[RM_Code]=$A93)*M_BOM[RM_Qty_Per_Batch]*IFERROR(INDEX(PP_Grid[#Data],M_BOM[PPGridRow],56),0))</f>
        <v/>
      </c>
      <c r="BE93">
        <f>SUMPRODUCT((M_BOM[RM_Code]=$A93)*M_BOM[RM_Qty_Per_Batch]*IFERROR(INDEX(PP_Grid[#Data],M_BOM[PPGridRow],57),0))</f>
        <v/>
      </c>
      <c r="BF93">
        <f>SUMPRODUCT((M_BOM[RM_Code]=$A93)*M_BOM[RM_Qty_Per_Batch]*IFERROR(INDEX(PP_Grid[#Data],M_BOM[PPGridRow],58),0))</f>
        <v/>
      </c>
      <c r="BG93">
        <f>SUMPRODUCT((M_BOM[RM_Code]=$A93)*M_BOM[RM_Qty_Per_Batch]*IFERROR(INDEX(PP_Grid[#Data],M_BOM[PPGridRow],59),0))</f>
        <v/>
      </c>
      <c r="BH93">
        <f>SUMPRODUCT((M_BOM[RM_Code]=$A93)*M_BOM[RM_Qty_Per_Batch]*IFERROR(INDEX(PP_Grid[#Data],M_BOM[PPGridRow],60),0))</f>
        <v/>
      </c>
      <c r="BI93">
        <f>SUMPRODUCT((M_BOM[RM_Code]=$A93)*M_BOM[RM_Qty_Per_Batch]*IFERROR(INDEX(PP_Grid[#Data],M_BOM[PPGridRow],61),0))</f>
        <v/>
      </c>
      <c r="BJ93">
        <f>SUMPRODUCT((M_BOM[RM_Code]=$A93)*M_BOM[RM_Qty_Per_Batch]*IFERROR(INDEX(PP_Grid[#Data],M_BOM[PPGridRow],62),0))</f>
        <v/>
      </c>
      <c r="BK93">
        <f>SUMPRODUCT((M_BOM[RM_Code]=$A93)*M_BOM[RM_Qty_Per_Batch]*IFERROR(INDEX(PP_Grid[#Data],M_BOM[PPGridRow],63),0))</f>
        <v/>
      </c>
      <c r="BL93">
        <f>SUMPRODUCT((M_BOM[RM_Code]=$A93)*M_BOM[RM_Qty_Per_Batch]*IFERROR(INDEX(PP_Grid[#Data],M_BOM[PPGridRow],64),0))</f>
        <v/>
      </c>
      <c r="BM93">
        <f>SUMPRODUCT((M_BOM[RM_Code]=$A93)*M_BOM[RM_Qty_Per_Batch]*IFERROR(INDEX(PP_Grid[#Data],M_BOM[PPGridRow],65),0))</f>
        <v/>
      </c>
      <c r="BN93">
        <f>SUMPRODUCT((M_BOM[RM_Code]=$A93)*M_BOM[RM_Qty_Per_Batch]*IFERROR(INDEX(PP_Grid[#Data],M_BOM[PPGridRow],66),0))</f>
        <v/>
      </c>
      <c r="BO93">
        <f>SUMPRODUCT((M_BOM[RM_Code]=$A93)*M_BOM[RM_Qty_Per_Batch]*IFERROR(INDEX(PP_Grid[#Data],M_BOM[PPGridRow],67),0))</f>
        <v/>
      </c>
      <c r="BP93">
        <f>SUMPRODUCT((M_BOM[RM_Code]=$A93)*M_BOM[RM_Qty_Per_Batch]*IFERROR(INDEX(PP_Grid[#Data],M_BOM[PPGridRow],68),0))</f>
        <v/>
      </c>
      <c r="BQ93">
        <f>SUMPRODUCT((M_BOM[RM_Code]=$A93)*M_BOM[RM_Qty_Per_Batch]*IFERROR(INDEX(PP_Grid[#Data],M_BOM[PPGridRow],69),0))</f>
        <v/>
      </c>
      <c r="BR93">
        <f>SUMPRODUCT((M_BOM[RM_Code]=$A93)*M_BOM[RM_Qty_Per_Batch]*IFERROR(INDEX(PP_Grid[#Data],M_BOM[PPGridRow],70),0))</f>
        <v/>
      </c>
      <c r="BS93">
        <f>SUMPRODUCT((M_BOM[RM_Code]=$A93)*M_BOM[RM_Qty_Per_Batch]*IFERROR(INDEX(PP_Grid[#Data],M_BOM[PPGridRow],71),0))</f>
        <v/>
      </c>
      <c r="BT93">
        <f>SUMPRODUCT((M_BOM[RM_Code]=$A93)*M_BOM[RM_Qty_Per_Batch]*IFERROR(INDEX(PP_Grid[#Data],M_BOM[PPGridRow],72),0))</f>
        <v/>
      </c>
      <c r="BU93">
        <f>SUMPRODUCT((M_BOM[RM_Code]=$A93)*M_BOM[RM_Qty_Per_Batch]*IFERROR(INDEX(PP_Grid[#Data],M_BOM[PPGridRow],73),0))</f>
        <v/>
      </c>
      <c r="BV93">
        <f>SUMPRODUCT((M_BOM[RM_Code]=$A93)*M_BOM[RM_Qty_Per_Batch]*IFERROR(INDEX(PP_Grid[#Data],M_BOM[PPGridRow],74),0))</f>
        <v/>
      </c>
      <c r="BW93">
        <f>SUMPRODUCT((M_BOM[RM_Code]=$A93)*M_BOM[RM_Qty_Per_Batch]*IFERROR(INDEX(PP_Grid[#Data],M_BOM[PPGridRow],75),0))</f>
        <v/>
      </c>
      <c r="BX93">
        <f>SUMPRODUCT((M_BOM[RM_Code]=$A93)*M_BOM[RM_Qty_Per_Batch]*IFERROR(INDEX(PP_Grid[#Data],M_BOM[PPGridRow],76),0))</f>
        <v/>
      </c>
      <c r="BY93">
        <f>SUMPRODUCT((M_BOM[RM_Code]=$A93)*M_BOM[RM_Qty_Per_Batch]*IFERROR(INDEX(PP_Grid[#Data],M_BOM[PPGridRow],77),0))</f>
        <v/>
      </c>
      <c r="BZ93">
        <f>SUMPRODUCT((M_BOM[RM_Code]=$A93)*M_BOM[RM_Qty_Per_Batch]*IFERROR(INDEX(PP_Grid[#Data],M_BOM[PPGridRow],78),0))</f>
        <v/>
      </c>
      <c r="CA93">
        <f>SUMPRODUCT((M_BOM[RM_Code]=$A93)*M_BOM[RM_Qty_Per_Batch]*IFERROR(INDEX(PP_Grid[#Data],M_BOM[PPGridRow],79),0))</f>
        <v/>
      </c>
      <c r="CB93">
        <f>SUMPRODUCT((M_BOM[RM_Code]=$A93)*M_BOM[RM_Qty_Per_Batch]*IFERROR(INDEX(PP_Grid[#Data],M_BOM[PPGridRow],80),0))</f>
        <v/>
      </c>
      <c r="CC93">
        <f>SUMPRODUCT((M_BOM[RM_Code]=$A93)*M_BOM[RM_Qty_Per_Batch]*IFERROR(INDEX(PP_Grid[#Data],M_BOM[PPGridRow],81),0))</f>
        <v/>
      </c>
      <c r="CD93">
        <f>SUMPRODUCT((M_BOM[RM_Code]=$A93)*M_BOM[RM_Qty_Per_Batch]*IFERROR(INDEX(PP_Grid[#Data],M_BOM[PPGridRow],82),0))</f>
        <v/>
      </c>
      <c r="CE93">
        <f>SUMPRODUCT((M_BOM[RM_Code]=$A93)*M_BOM[RM_Qty_Per_Batch]*IFERROR(INDEX(PP_Grid[#Data],M_BOM[PPGridRow],83),0))</f>
        <v/>
      </c>
      <c r="CF93">
        <f>SUMPRODUCT((M_BOM[RM_Code]=$A93)*M_BOM[RM_Qty_Per_Batch]*IFERROR(INDEX(PP_Grid[#Data],M_BOM[PPGridRow],84),0))</f>
        <v/>
      </c>
      <c r="CG93">
        <f>SUMPRODUCT((M_BOM[RM_Code]=$A93)*M_BOM[RM_Qty_Per_Batch]*IFERROR(INDEX(PP_Grid[#Data],M_BOM[PPGridRow],85),0))</f>
        <v/>
      </c>
      <c r="CH93">
        <f>SUMPRODUCT((M_BOM[RM_Code]=$A93)*M_BOM[RM_Qty_Per_Batch]*IFERROR(INDEX(PP_Grid[#Data],M_BOM[PPGridRow],86),0))</f>
        <v/>
      </c>
      <c r="CI93">
        <f>SUMPRODUCT((M_BOM[RM_Code]=$A93)*M_BOM[RM_Qty_Per_Batch]*IFERROR(INDEX(PP_Grid[#Data],M_BOM[PPGridRow],87),0))</f>
        <v/>
      </c>
      <c r="CJ93">
        <f>SUMPRODUCT((M_BOM[RM_Code]=$A93)*M_BOM[RM_Qty_Per_Batch]*IFERROR(INDEX(PP_Grid[#Data],M_BOM[PPGridRow],88),0))</f>
        <v/>
      </c>
      <c r="CK93">
        <f>SUMPRODUCT((M_BOM[RM_Code]=$A93)*M_BOM[RM_Qty_Per_Batch]*IFERROR(INDEX(PP_Grid[#Data],M_BOM[PPGridRow],89),0))</f>
        <v/>
      </c>
      <c r="CL93">
        <f>SUMPRODUCT((M_BOM[RM_Code]=$A93)*M_BOM[RM_Qty_Per_Batch]*IFERROR(INDEX(PP_Grid[#Data],M_BOM[PPGridRow],90),0))</f>
        <v/>
      </c>
      <c r="CM93">
        <f>SUMPRODUCT((M_BOM[RM_Code]=$A93)*M_BOM[RM_Qty_Per_Batch]*IFERROR(INDEX(PP_Grid[#Data],M_BOM[PPGridRow],91),0))</f>
        <v/>
      </c>
      <c r="CN93">
        <f>SUMPRODUCT((M_BOM[RM_Code]=$A93)*M_BOM[RM_Qty_Per_Batch]*IFERROR(INDEX(PP_Grid[#Data],M_BOM[PPGridRow],92),0))</f>
        <v/>
      </c>
      <c r="CO93">
        <f>SUMPRODUCT((M_BOM[RM_Code]=$A93)*M_BOM[RM_Qty_Per_Batch]*IFERROR(INDEX(PP_Grid[#Data],M_BOM[PPGridRow],93),0))</f>
        <v/>
      </c>
      <c r="CP93">
        <f>SUMPRODUCT((M_BOM[RM_Code]=$A93)*M_BOM[RM_Qty_Per_Batch]*IFERROR(INDEX(PP_Grid[#Data],M_BOM[PPGridRow],94),0))</f>
        <v/>
      </c>
      <c r="CQ93">
        <f>SUMPRODUCT((M_BOM[RM_Code]=$A93)*M_BOM[RM_Qty_Per_Batch]*IFERROR(INDEX(PP_Grid[#Data],M_BOM[PPGridRow],95),0))</f>
        <v/>
      </c>
      <c r="CR93">
        <f>SUMPRODUCT((M_BOM[RM_Code]=$A93)*M_BOM[RM_Qty_Per_Batch]*IFERROR(INDEX(PP_Grid[#Data],M_BOM[PPGridRow],96),0))</f>
        <v/>
      </c>
      <c r="CS93">
        <f>SUMPRODUCT((M_BOM[RM_Code]=$A93)*M_BOM[RM_Qty_Per_Batch]*IFERROR(INDEX(PP_Grid[#Data],M_BOM[PPGridRow],97),0))</f>
        <v/>
      </c>
      <c r="CT93">
        <f>SUMPRODUCT((M_BOM[RM_Code]=$A93)*M_BOM[RM_Qty_Per_Batch]*IFERROR(INDEX(PP_Grid[#Data],M_BOM[PPGridRow],98),0))</f>
        <v/>
      </c>
      <c r="CU93">
        <f>SUMPRODUCT((M_BOM[RM_Code]=$A93)*M_BOM[RM_Qty_Per_Batch]*IFERROR(INDEX(PP_Grid[#Data],M_BOM[PPGridRow],99),0))</f>
        <v/>
      </c>
      <c r="CV93">
        <f>SUMPRODUCT((M_BOM[RM_Code]=$A93)*M_BOM[RM_Qty_Per_Batch]*IFERROR(INDEX(PP_Grid[#Data],M_BOM[PPGridRow],100),0))</f>
        <v/>
      </c>
      <c r="CW93">
        <f>SUMPRODUCT((M_BOM[RM_Code]=$A93)*M_BOM[RM_Qty_Per_Batch]*IFERROR(INDEX(PP_Grid[#Data],M_BOM[PPGridRow],101),0))</f>
        <v/>
      </c>
      <c r="CX93">
        <f>SUMPRODUCT((M_BOM[RM_Code]=$A93)*M_BOM[RM_Qty_Per_Batch]*IFERROR(INDEX(PP_Grid[#Data],M_BOM[PPGridRow],102),0))</f>
        <v/>
      </c>
      <c r="CY93">
        <f>SUMPRODUCT((M_BOM[RM_Code]=$A93)*M_BOM[RM_Qty_Per_Batch]*IFERROR(INDEX(PP_Grid[#Data],M_BOM[PPGridRow],103),0))</f>
        <v/>
      </c>
      <c r="CZ93">
        <f>SUMPRODUCT((M_BOM[RM_Code]=$A93)*M_BOM[RM_Qty_Per_Batch]*IFERROR(INDEX(PP_Grid[#Data],M_BOM[PPGridRow],104),0))</f>
        <v/>
      </c>
      <c r="DA93">
        <f>SUMPRODUCT((M_BOM[RM_Code]=$A93)*M_BOM[RM_Qty_Per_Batch]*IFERROR(INDEX(PP_Grid[#Data],M_BOM[PPGridRow],105),0))</f>
        <v/>
      </c>
    </row>
    <row r="94">
      <c r="A94" t="inlineStr">
        <is>
          <t>CHEM-1800</t>
        </is>
      </c>
      <c r="B94">
        <f>SUMPRODUCT((M_BOM[RM_Code]=$A94)*M_BOM[RM_Qty_Per_Batch]*IFERROR(INDEX(PP_Grid[#Data],M_BOM[PPGridRow],2),0))</f>
        <v/>
      </c>
      <c r="C94">
        <f>SUMPRODUCT((M_BOM[RM_Code]=$A94)*M_BOM[RM_Qty_Per_Batch]*IFERROR(INDEX(PP_Grid[#Data],M_BOM[PPGridRow],3),0))</f>
        <v/>
      </c>
      <c r="D94">
        <f>SUMPRODUCT((M_BOM[RM_Code]=$A94)*M_BOM[RM_Qty_Per_Batch]*IFERROR(INDEX(PP_Grid[#Data],M_BOM[PPGridRow],4),0))</f>
        <v/>
      </c>
      <c r="E94">
        <f>SUMPRODUCT((M_BOM[RM_Code]=$A94)*M_BOM[RM_Qty_Per_Batch]*IFERROR(INDEX(PP_Grid[#Data],M_BOM[PPGridRow],5),0))</f>
        <v/>
      </c>
      <c r="F94">
        <f>SUMPRODUCT((M_BOM[RM_Code]=$A94)*M_BOM[RM_Qty_Per_Batch]*IFERROR(INDEX(PP_Grid[#Data],M_BOM[PPGridRow],6),0))</f>
        <v/>
      </c>
      <c r="G94">
        <f>SUMPRODUCT((M_BOM[RM_Code]=$A94)*M_BOM[RM_Qty_Per_Batch]*IFERROR(INDEX(PP_Grid[#Data],M_BOM[PPGridRow],7),0))</f>
        <v/>
      </c>
      <c r="H94">
        <f>SUMPRODUCT((M_BOM[RM_Code]=$A94)*M_BOM[RM_Qty_Per_Batch]*IFERROR(INDEX(PP_Grid[#Data],M_BOM[PPGridRow],8),0))</f>
        <v/>
      </c>
      <c r="I94">
        <f>SUMPRODUCT((M_BOM[RM_Code]=$A94)*M_BOM[RM_Qty_Per_Batch]*IFERROR(INDEX(PP_Grid[#Data],M_BOM[PPGridRow],9),0))</f>
        <v/>
      </c>
      <c r="J94">
        <f>SUMPRODUCT((M_BOM[RM_Code]=$A94)*M_BOM[RM_Qty_Per_Batch]*IFERROR(INDEX(PP_Grid[#Data],M_BOM[PPGridRow],10),0))</f>
        <v/>
      </c>
      <c r="K94">
        <f>SUMPRODUCT((M_BOM[RM_Code]=$A94)*M_BOM[RM_Qty_Per_Batch]*IFERROR(INDEX(PP_Grid[#Data],M_BOM[PPGridRow],11),0))</f>
        <v/>
      </c>
      <c r="L94">
        <f>SUMPRODUCT((M_BOM[RM_Code]=$A94)*M_BOM[RM_Qty_Per_Batch]*IFERROR(INDEX(PP_Grid[#Data],M_BOM[PPGridRow],12),0))</f>
        <v/>
      </c>
      <c r="M94">
        <f>SUMPRODUCT((M_BOM[RM_Code]=$A94)*M_BOM[RM_Qty_Per_Batch]*IFERROR(INDEX(PP_Grid[#Data],M_BOM[PPGridRow],13),0))</f>
        <v/>
      </c>
      <c r="N94">
        <f>SUMPRODUCT((M_BOM[RM_Code]=$A94)*M_BOM[RM_Qty_Per_Batch]*IFERROR(INDEX(PP_Grid[#Data],M_BOM[PPGridRow],14),0))</f>
        <v/>
      </c>
      <c r="O94">
        <f>SUMPRODUCT((M_BOM[RM_Code]=$A94)*M_BOM[RM_Qty_Per_Batch]*IFERROR(INDEX(PP_Grid[#Data],M_BOM[PPGridRow],15),0))</f>
        <v/>
      </c>
      <c r="P94">
        <f>SUMPRODUCT((M_BOM[RM_Code]=$A94)*M_BOM[RM_Qty_Per_Batch]*IFERROR(INDEX(PP_Grid[#Data],M_BOM[PPGridRow],16),0))</f>
        <v/>
      </c>
      <c r="Q94">
        <f>SUMPRODUCT((M_BOM[RM_Code]=$A94)*M_BOM[RM_Qty_Per_Batch]*IFERROR(INDEX(PP_Grid[#Data],M_BOM[PPGridRow],17),0))</f>
        <v/>
      </c>
      <c r="R94">
        <f>SUMPRODUCT((M_BOM[RM_Code]=$A94)*M_BOM[RM_Qty_Per_Batch]*IFERROR(INDEX(PP_Grid[#Data],M_BOM[PPGridRow],18),0))</f>
        <v/>
      </c>
      <c r="S94">
        <f>SUMPRODUCT((M_BOM[RM_Code]=$A94)*M_BOM[RM_Qty_Per_Batch]*IFERROR(INDEX(PP_Grid[#Data],M_BOM[PPGridRow],19),0))</f>
        <v/>
      </c>
      <c r="T94">
        <f>SUMPRODUCT((M_BOM[RM_Code]=$A94)*M_BOM[RM_Qty_Per_Batch]*IFERROR(INDEX(PP_Grid[#Data],M_BOM[PPGridRow],20),0))</f>
        <v/>
      </c>
      <c r="U94">
        <f>SUMPRODUCT((M_BOM[RM_Code]=$A94)*M_BOM[RM_Qty_Per_Batch]*IFERROR(INDEX(PP_Grid[#Data],M_BOM[PPGridRow],21),0))</f>
        <v/>
      </c>
      <c r="V94">
        <f>SUMPRODUCT((M_BOM[RM_Code]=$A94)*M_BOM[RM_Qty_Per_Batch]*IFERROR(INDEX(PP_Grid[#Data],M_BOM[PPGridRow],22),0))</f>
        <v/>
      </c>
      <c r="W94">
        <f>SUMPRODUCT((M_BOM[RM_Code]=$A94)*M_BOM[RM_Qty_Per_Batch]*IFERROR(INDEX(PP_Grid[#Data],M_BOM[PPGridRow],23),0))</f>
        <v/>
      </c>
      <c r="X94">
        <f>SUMPRODUCT((M_BOM[RM_Code]=$A94)*M_BOM[RM_Qty_Per_Batch]*IFERROR(INDEX(PP_Grid[#Data],M_BOM[PPGridRow],24),0))</f>
        <v/>
      </c>
      <c r="Y94">
        <f>SUMPRODUCT((M_BOM[RM_Code]=$A94)*M_BOM[RM_Qty_Per_Batch]*IFERROR(INDEX(PP_Grid[#Data],M_BOM[PPGridRow],25),0))</f>
        <v/>
      </c>
      <c r="Z94">
        <f>SUMPRODUCT((M_BOM[RM_Code]=$A94)*M_BOM[RM_Qty_Per_Batch]*IFERROR(INDEX(PP_Grid[#Data],M_BOM[PPGridRow],26),0))</f>
        <v/>
      </c>
      <c r="AA94">
        <f>SUMPRODUCT((M_BOM[RM_Code]=$A94)*M_BOM[RM_Qty_Per_Batch]*IFERROR(INDEX(PP_Grid[#Data],M_BOM[PPGridRow],27),0))</f>
        <v/>
      </c>
      <c r="AB94">
        <f>SUMPRODUCT((M_BOM[RM_Code]=$A94)*M_BOM[RM_Qty_Per_Batch]*IFERROR(INDEX(PP_Grid[#Data],M_BOM[PPGridRow],28),0))</f>
        <v/>
      </c>
      <c r="AC94">
        <f>SUMPRODUCT((M_BOM[RM_Code]=$A94)*M_BOM[RM_Qty_Per_Batch]*IFERROR(INDEX(PP_Grid[#Data],M_BOM[PPGridRow],29),0))</f>
        <v/>
      </c>
      <c r="AD94">
        <f>SUMPRODUCT((M_BOM[RM_Code]=$A94)*M_BOM[RM_Qty_Per_Batch]*IFERROR(INDEX(PP_Grid[#Data],M_BOM[PPGridRow],30),0))</f>
        <v/>
      </c>
      <c r="AE94">
        <f>SUMPRODUCT((M_BOM[RM_Code]=$A94)*M_BOM[RM_Qty_Per_Batch]*IFERROR(INDEX(PP_Grid[#Data],M_BOM[PPGridRow],31),0))</f>
        <v/>
      </c>
      <c r="AF94">
        <f>SUMPRODUCT((M_BOM[RM_Code]=$A94)*M_BOM[RM_Qty_Per_Batch]*IFERROR(INDEX(PP_Grid[#Data],M_BOM[PPGridRow],32),0))</f>
        <v/>
      </c>
      <c r="AG94">
        <f>SUMPRODUCT((M_BOM[RM_Code]=$A94)*M_BOM[RM_Qty_Per_Batch]*IFERROR(INDEX(PP_Grid[#Data],M_BOM[PPGridRow],33),0))</f>
        <v/>
      </c>
      <c r="AH94">
        <f>SUMPRODUCT((M_BOM[RM_Code]=$A94)*M_BOM[RM_Qty_Per_Batch]*IFERROR(INDEX(PP_Grid[#Data],M_BOM[PPGridRow],34),0))</f>
        <v/>
      </c>
      <c r="AI94">
        <f>SUMPRODUCT((M_BOM[RM_Code]=$A94)*M_BOM[RM_Qty_Per_Batch]*IFERROR(INDEX(PP_Grid[#Data],M_BOM[PPGridRow],35),0))</f>
        <v/>
      </c>
      <c r="AJ94">
        <f>SUMPRODUCT((M_BOM[RM_Code]=$A94)*M_BOM[RM_Qty_Per_Batch]*IFERROR(INDEX(PP_Grid[#Data],M_BOM[PPGridRow],36),0))</f>
        <v/>
      </c>
      <c r="AK94">
        <f>SUMPRODUCT((M_BOM[RM_Code]=$A94)*M_BOM[RM_Qty_Per_Batch]*IFERROR(INDEX(PP_Grid[#Data],M_BOM[PPGridRow],37),0))</f>
        <v/>
      </c>
      <c r="AL94">
        <f>SUMPRODUCT((M_BOM[RM_Code]=$A94)*M_BOM[RM_Qty_Per_Batch]*IFERROR(INDEX(PP_Grid[#Data],M_BOM[PPGridRow],38),0))</f>
        <v/>
      </c>
      <c r="AM94">
        <f>SUMPRODUCT((M_BOM[RM_Code]=$A94)*M_BOM[RM_Qty_Per_Batch]*IFERROR(INDEX(PP_Grid[#Data],M_BOM[PPGridRow],39),0))</f>
        <v/>
      </c>
      <c r="AN94">
        <f>SUMPRODUCT((M_BOM[RM_Code]=$A94)*M_BOM[RM_Qty_Per_Batch]*IFERROR(INDEX(PP_Grid[#Data],M_BOM[PPGridRow],40),0))</f>
        <v/>
      </c>
      <c r="AO94">
        <f>SUMPRODUCT((M_BOM[RM_Code]=$A94)*M_BOM[RM_Qty_Per_Batch]*IFERROR(INDEX(PP_Grid[#Data],M_BOM[PPGridRow],41),0))</f>
        <v/>
      </c>
      <c r="AP94">
        <f>SUMPRODUCT((M_BOM[RM_Code]=$A94)*M_BOM[RM_Qty_Per_Batch]*IFERROR(INDEX(PP_Grid[#Data],M_BOM[PPGridRow],42),0))</f>
        <v/>
      </c>
      <c r="AQ94">
        <f>SUMPRODUCT((M_BOM[RM_Code]=$A94)*M_BOM[RM_Qty_Per_Batch]*IFERROR(INDEX(PP_Grid[#Data],M_BOM[PPGridRow],43),0))</f>
        <v/>
      </c>
      <c r="AR94">
        <f>SUMPRODUCT((M_BOM[RM_Code]=$A94)*M_BOM[RM_Qty_Per_Batch]*IFERROR(INDEX(PP_Grid[#Data],M_BOM[PPGridRow],44),0))</f>
        <v/>
      </c>
      <c r="AS94">
        <f>SUMPRODUCT((M_BOM[RM_Code]=$A94)*M_BOM[RM_Qty_Per_Batch]*IFERROR(INDEX(PP_Grid[#Data],M_BOM[PPGridRow],45),0))</f>
        <v/>
      </c>
      <c r="AT94">
        <f>SUMPRODUCT((M_BOM[RM_Code]=$A94)*M_BOM[RM_Qty_Per_Batch]*IFERROR(INDEX(PP_Grid[#Data],M_BOM[PPGridRow],46),0))</f>
        <v/>
      </c>
      <c r="AU94">
        <f>SUMPRODUCT((M_BOM[RM_Code]=$A94)*M_BOM[RM_Qty_Per_Batch]*IFERROR(INDEX(PP_Grid[#Data],M_BOM[PPGridRow],47),0))</f>
        <v/>
      </c>
      <c r="AV94">
        <f>SUMPRODUCT((M_BOM[RM_Code]=$A94)*M_BOM[RM_Qty_Per_Batch]*IFERROR(INDEX(PP_Grid[#Data],M_BOM[PPGridRow],48),0))</f>
        <v/>
      </c>
      <c r="AW94">
        <f>SUMPRODUCT((M_BOM[RM_Code]=$A94)*M_BOM[RM_Qty_Per_Batch]*IFERROR(INDEX(PP_Grid[#Data],M_BOM[PPGridRow],49),0))</f>
        <v/>
      </c>
      <c r="AX94">
        <f>SUMPRODUCT((M_BOM[RM_Code]=$A94)*M_BOM[RM_Qty_Per_Batch]*IFERROR(INDEX(PP_Grid[#Data],M_BOM[PPGridRow],50),0))</f>
        <v/>
      </c>
      <c r="AY94">
        <f>SUMPRODUCT((M_BOM[RM_Code]=$A94)*M_BOM[RM_Qty_Per_Batch]*IFERROR(INDEX(PP_Grid[#Data],M_BOM[PPGridRow],51),0))</f>
        <v/>
      </c>
      <c r="AZ94">
        <f>SUMPRODUCT((M_BOM[RM_Code]=$A94)*M_BOM[RM_Qty_Per_Batch]*IFERROR(INDEX(PP_Grid[#Data],M_BOM[PPGridRow],52),0))</f>
        <v/>
      </c>
      <c r="BA94">
        <f>SUMPRODUCT((M_BOM[RM_Code]=$A94)*M_BOM[RM_Qty_Per_Batch]*IFERROR(INDEX(PP_Grid[#Data],M_BOM[PPGridRow],53),0))</f>
        <v/>
      </c>
      <c r="BB94">
        <f>SUMPRODUCT((M_BOM[RM_Code]=$A94)*M_BOM[RM_Qty_Per_Batch]*IFERROR(INDEX(PP_Grid[#Data],M_BOM[PPGridRow],54),0))</f>
        <v/>
      </c>
      <c r="BC94">
        <f>SUMPRODUCT((M_BOM[RM_Code]=$A94)*M_BOM[RM_Qty_Per_Batch]*IFERROR(INDEX(PP_Grid[#Data],M_BOM[PPGridRow],55),0))</f>
        <v/>
      </c>
      <c r="BD94">
        <f>SUMPRODUCT((M_BOM[RM_Code]=$A94)*M_BOM[RM_Qty_Per_Batch]*IFERROR(INDEX(PP_Grid[#Data],M_BOM[PPGridRow],56),0))</f>
        <v/>
      </c>
      <c r="BE94">
        <f>SUMPRODUCT((M_BOM[RM_Code]=$A94)*M_BOM[RM_Qty_Per_Batch]*IFERROR(INDEX(PP_Grid[#Data],M_BOM[PPGridRow],57),0))</f>
        <v/>
      </c>
      <c r="BF94">
        <f>SUMPRODUCT((M_BOM[RM_Code]=$A94)*M_BOM[RM_Qty_Per_Batch]*IFERROR(INDEX(PP_Grid[#Data],M_BOM[PPGridRow],58),0))</f>
        <v/>
      </c>
      <c r="BG94">
        <f>SUMPRODUCT((M_BOM[RM_Code]=$A94)*M_BOM[RM_Qty_Per_Batch]*IFERROR(INDEX(PP_Grid[#Data],M_BOM[PPGridRow],59),0))</f>
        <v/>
      </c>
      <c r="BH94">
        <f>SUMPRODUCT((M_BOM[RM_Code]=$A94)*M_BOM[RM_Qty_Per_Batch]*IFERROR(INDEX(PP_Grid[#Data],M_BOM[PPGridRow],60),0))</f>
        <v/>
      </c>
      <c r="BI94">
        <f>SUMPRODUCT((M_BOM[RM_Code]=$A94)*M_BOM[RM_Qty_Per_Batch]*IFERROR(INDEX(PP_Grid[#Data],M_BOM[PPGridRow],61),0))</f>
        <v/>
      </c>
      <c r="BJ94">
        <f>SUMPRODUCT((M_BOM[RM_Code]=$A94)*M_BOM[RM_Qty_Per_Batch]*IFERROR(INDEX(PP_Grid[#Data],M_BOM[PPGridRow],62),0))</f>
        <v/>
      </c>
      <c r="BK94">
        <f>SUMPRODUCT((M_BOM[RM_Code]=$A94)*M_BOM[RM_Qty_Per_Batch]*IFERROR(INDEX(PP_Grid[#Data],M_BOM[PPGridRow],63),0))</f>
        <v/>
      </c>
      <c r="BL94">
        <f>SUMPRODUCT((M_BOM[RM_Code]=$A94)*M_BOM[RM_Qty_Per_Batch]*IFERROR(INDEX(PP_Grid[#Data],M_BOM[PPGridRow],64),0))</f>
        <v/>
      </c>
      <c r="BM94">
        <f>SUMPRODUCT((M_BOM[RM_Code]=$A94)*M_BOM[RM_Qty_Per_Batch]*IFERROR(INDEX(PP_Grid[#Data],M_BOM[PPGridRow],65),0))</f>
        <v/>
      </c>
      <c r="BN94">
        <f>SUMPRODUCT((M_BOM[RM_Code]=$A94)*M_BOM[RM_Qty_Per_Batch]*IFERROR(INDEX(PP_Grid[#Data],M_BOM[PPGridRow],66),0))</f>
        <v/>
      </c>
      <c r="BO94">
        <f>SUMPRODUCT((M_BOM[RM_Code]=$A94)*M_BOM[RM_Qty_Per_Batch]*IFERROR(INDEX(PP_Grid[#Data],M_BOM[PPGridRow],67),0))</f>
        <v/>
      </c>
      <c r="BP94">
        <f>SUMPRODUCT((M_BOM[RM_Code]=$A94)*M_BOM[RM_Qty_Per_Batch]*IFERROR(INDEX(PP_Grid[#Data],M_BOM[PPGridRow],68),0))</f>
        <v/>
      </c>
      <c r="BQ94">
        <f>SUMPRODUCT((M_BOM[RM_Code]=$A94)*M_BOM[RM_Qty_Per_Batch]*IFERROR(INDEX(PP_Grid[#Data],M_BOM[PPGridRow],69),0))</f>
        <v/>
      </c>
      <c r="BR94">
        <f>SUMPRODUCT((M_BOM[RM_Code]=$A94)*M_BOM[RM_Qty_Per_Batch]*IFERROR(INDEX(PP_Grid[#Data],M_BOM[PPGridRow],70),0))</f>
        <v/>
      </c>
      <c r="BS94">
        <f>SUMPRODUCT((M_BOM[RM_Code]=$A94)*M_BOM[RM_Qty_Per_Batch]*IFERROR(INDEX(PP_Grid[#Data],M_BOM[PPGridRow],71),0))</f>
        <v/>
      </c>
      <c r="BT94">
        <f>SUMPRODUCT((M_BOM[RM_Code]=$A94)*M_BOM[RM_Qty_Per_Batch]*IFERROR(INDEX(PP_Grid[#Data],M_BOM[PPGridRow],72),0))</f>
        <v/>
      </c>
      <c r="BU94">
        <f>SUMPRODUCT((M_BOM[RM_Code]=$A94)*M_BOM[RM_Qty_Per_Batch]*IFERROR(INDEX(PP_Grid[#Data],M_BOM[PPGridRow],73),0))</f>
        <v/>
      </c>
      <c r="BV94">
        <f>SUMPRODUCT((M_BOM[RM_Code]=$A94)*M_BOM[RM_Qty_Per_Batch]*IFERROR(INDEX(PP_Grid[#Data],M_BOM[PPGridRow],74),0))</f>
        <v/>
      </c>
      <c r="BW94">
        <f>SUMPRODUCT((M_BOM[RM_Code]=$A94)*M_BOM[RM_Qty_Per_Batch]*IFERROR(INDEX(PP_Grid[#Data],M_BOM[PPGridRow],75),0))</f>
        <v/>
      </c>
      <c r="BX94">
        <f>SUMPRODUCT((M_BOM[RM_Code]=$A94)*M_BOM[RM_Qty_Per_Batch]*IFERROR(INDEX(PP_Grid[#Data],M_BOM[PPGridRow],76),0))</f>
        <v/>
      </c>
      <c r="BY94">
        <f>SUMPRODUCT((M_BOM[RM_Code]=$A94)*M_BOM[RM_Qty_Per_Batch]*IFERROR(INDEX(PP_Grid[#Data],M_BOM[PPGridRow],77),0))</f>
        <v/>
      </c>
      <c r="BZ94">
        <f>SUMPRODUCT((M_BOM[RM_Code]=$A94)*M_BOM[RM_Qty_Per_Batch]*IFERROR(INDEX(PP_Grid[#Data],M_BOM[PPGridRow],78),0))</f>
        <v/>
      </c>
      <c r="CA94">
        <f>SUMPRODUCT((M_BOM[RM_Code]=$A94)*M_BOM[RM_Qty_Per_Batch]*IFERROR(INDEX(PP_Grid[#Data],M_BOM[PPGridRow],79),0))</f>
        <v/>
      </c>
      <c r="CB94">
        <f>SUMPRODUCT((M_BOM[RM_Code]=$A94)*M_BOM[RM_Qty_Per_Batch]*IFERROR(INDEX(PP_Grid[#Data],M_BOM[PPGridRow],80),0))</f>
        <v/>
      </c>
      <c r="CC94">
        <f>SUMPRODUCT((M_BOM[RM_Code]=$A94)*M_BOM[RM_Qty_Per_Batch]*IFERROR(INDEX(PP_Grid[#Data],M_BOM[PPGridRow],81),0))</f>
        <v/>
      </c>
      <c r="CD94">
        <f>SUMPRODUCT((M_BOM[RM_Code]=$A94)*M_BOM[RM_Qty_Per_Batch]*IFERROR(INDEX(PP_Grid[#Data],M_BOM[PPGridRow],82),0))</f>
        <v/>
      </c>
      <c r="CE94">
        <f>SUMPRODUCT((M_BOM[RM_Code]=$A94)*M_BOM[RM_Qty_Per_Batch]*IFERROR(INDEX(PP_Grid[#Data],M_BOM[PPGridRow],83),0))</f>
        <v/>
      </c>
      <c r="CF94">
        <f>SUMPRODUCT((M_BOM[RM_Code]=$A94)*M_BOM[RM_Qty_Per_Batch]*IFERROR(INDEX(PP_Grid[#Data],M_BOM[PPGridRow],84),0))</f>
        <v/>
      </c>
      <c r="CG94">
        <f>SUMPRODUCT((M_BOM[RM_Code]=$A94)*M_BOM[RM_Qty_Per_Batch]*IFERROR(INDEX(PP_Grid[#Data],M_BOM[PPGridRow],85),0))</f>
        <v/>
      </c>
      <c r="CH94">
        <f>SUMPRODUCT((M_BOM[RM_Code]=$A94)*M_BOM[RM_Qty_Per_Batch]*IFERROR(INDEX(PP_Grid[#Data],M_BOM[PPGridRow],86),0))</f>
        <v/>
      </c>
      <c r="CI94">
        <f>SUMPRODUCT((M_BOM[RM_Code]=$A94)*M_BOM[RM_Qty_Per_Batch]*IFERROR(INDEX(PP_Grid[#Data],M_BOM[PPGridRow],87),0))</f>
        <v/>
      </c>
      <c r="CJ94">
        <f>SUMPRODUCT((M_BOM[RM_Code]=$A94)*M_BOM[RM_Qty_Per_Batch]*IFERROR(INDEX(PP_Grid[#Data],M_BOM[PPGridRow],88),0))</f>
        <v/>
      </c>
      <c r="CK94">
        <f>SUMPRODUCT((M_BOM[RM_Code]=$A94)*M_BOM[RM_Qty_Per_Batch]*IFERROR(INDEX(PP_Grid[#Data],M_BOM[PPGridRow],89),0))</f>
        <v/>
      </c>
      <c r="CL94">
        <f>SUMPRODUCT((M_BOM[RM_Code]=$A94)*M_BOM[RM_Qty_Per_Batch]*IFERROR(INDEX(PP_Grid[#Data],M_BOM[PPGridRow],90),0))</f>
        <v/>
      </c>
      <c r="CM94">
        <f>SUMPRODUCT((M_BOM[RM_Code]=$A94)*M_BOM[RM_Qty_Per_Batch]*IFERROR(INDEX(PP_Grid[#Data],M_BOM[PPGridRow],91),0))</f>
        <v/>
      </c>
      <c r="CN94">
        <f>SUMPRODUCT((M_BOM[RM_Code]=$A94)*M_BOM[RM_Qty_Per_Batch]*IFERROR(INDEX(PP_Grid[#Data],M_BOM[PPGridRow],92),0))</f>
        <v/>
      </c>
      <c r="CO94">
        <f>SUMPRODUCT((M_BOM[RM_Code]=$A94)*M_BOM[RM_Qty_Per_Batch]*IFERROR(INDEX(PP_Grid[#Data],M_BOM[PPGridRow],93),0))</f>
        <v/>
      </c>
      <c r="CP94">
        <f>SUMPRODUCT((M_BOM[RM_Code]=$A94)*M_BOM[RM_Qty_Per_Batch]*IFERROR(INDEX(PP_Grid[#Data],M_BOM[PPGridRow],94),0))</f>
        <v/>
      </c>
      <c r="CQ94">
        <f>SUMPRODUCT((M_BOM[RM_Code]=$A94)*M_BOM[RM_Qty_Per_Batch]*IFERROR(INDEX(PP_Grid[#Data],M_BOM[PPGridRow],95),0))</f>
        <v/>
      </c>
      <c r="CR94">
        <f>SUMPRODUCT((M_BOM[RM_Code]=$A94)*M_BOM[RM_Qty_Per_Batch]*IFERROR(INDEX(PP_Grid[#Data],M_BOM[PPGridRow],96),0))</f>
        <v/>
      </c>
      <c r="CS94">
        <f>SUMPRODUCT((M_BOM[RM_Code]=$A94)*M_BOM[RM_Qty_Per_Batch]*IFERROR(INDEX(PP_Grid[#Data],M_BOM[PPGridRow],97),0))</f>
        <v/>
      </c>
      <c r="CT94">
        <f>SUMPRODUCT((M_BOM[RM_Code]=$A94)*M_BOM[RM_Qty_Per_Batch]*IFERROR(INDEX(PP_Grid[#Data],M_BOM[PPGridRow],98),0))</f>
        <v/>
      </c>
      <c r="CU94">
        <f>SUMPRODUCT((M_BOM[RM_Code]=$A94)*M_BOM[RM_Qty_Per_Batch]*IFERROR(INDEX(PP_Grid[#Data],M_BOM[PPGridRow],99),0))</f>
        <v/>
      </c>
      <c r="CV94">
        <f>SUMPRODUCT((M_BOM[RM_Code]=$A94)*M_BOM[RM_Qty_Per_Batch]*IFERROR(INDEX(PP_Grid[#Data],M_BOM[PPGridRow],100),0))</f>
        <v/>
      </c>
      <c r="CW94">
        <f>SUMPRODUCT((M_BOM[RM_Code]=$A94)*M_BOM[RM_Qty_Per_Batch]*IFERROR(INDEX(PP_Grid[#Data],M_BOM[PPGridRow],101),0))</f>
        <v/>
      </c>
      <c r="CX94">
        <f>SUMPRODUCT((M_BOM[RM_Code]=$A94)*M_BOM[RM_Qty_Per_Batch]*IFERROR(INDEX(PP_Grid[#Data],M_BOM[PPGridRow],102),0))</f>
        <v/>
      </c>
      <c r="CY94">
        <f>SUMPRODUCT((M_BOM[RM_Code]=$A94)*M_BOM[RM_Qty_Per_Batch]*IFERROR(INDEX(PP_Grid[#Data],M_BOM[PPGridRow],103),0))</f>
        <v/>
      </c>
      <c r="CZ94">
        <f>SUMPRODUCT((M_BOM[RM_Code]=$A94)*M_BOM[RM_Qty_Per_Batch]*IFERROR(INDEX(PP_Grid[#Data],M_BOM[PPGridRow],104),0))</f>
        <v/>
      </c>
      <c r="DA94">
        <f>SUMPRODUCT((M_BOM[RM_Code]=$A94)*M_BOM[RM_Qty_Per_Batch]*IFERROR(INDEX(PP_Grid[#Data],M_BOM[PPGridRow],105),0))</f>
        <v/>
      </c>
    </row>
    <row r="95">
      <c r="A95" t="inlineStr">
        <is>
          <t>CHEM-1710</t>
        </is>
      </c>
      <c r="B95">
        <f>SUMPRODUCT((M_BOM[RM_Code]=$A95)*M_BOM[RM_Qty_Per_Batch]*IFERROR(INDEX(PP_Grid[#Data],M_BOM[PPGridRow],2),0))</f>
        <v/>
      </c>
      <c r="C95">
        <f>SUMPRODUCT((M_BOM[RM_Code]=$A95)*M_BOM[RM_Qty_Per_Batch]*IFERROR(INDEX(PP_Grid[#Data],M_BOM[PPGridRow],3),0))</f>
        <v/>
      </c>
      <c r="D95">
        <f>SUMPRODUCT((M_BOM[RM_Code]=$A95)*M_BOM[RM_Qty_Per_Batch]*IFERROR(INDEX(PP_Grid[#Data],M_BOM[PPGridRow],4),0))</f>
        <v/>
      </c>
      <c r="E95">
        <f>SUMPRODUCT((M_BOM[RM_Code]=$A95)*M_BOM[RM_Qty_Per_Batch]*IFERROR(INDEX(PP_Grid[#Data],M_BOM[PPGridRow],5),0))</f>
        <v/>
      </c>
      <c r="F95">
        <f>SUMPRODUCT((M_BOM[RM_Code]=$A95)*M_BOM[RM_Qty_Per_Batch]*IFERROR(INDEX(PP_Grid[#Data],M_BOM[PPGridRow],6),0))</f>
        <v/>
      </c>
      <c r="G95">
        <f>SUMPRODUCT((M_BOM[RM_Code]=$A95)*M_BOM[RM_Qty_Per_Batch]*IFERROR(INDEX(PP_Grid[#Data],M_BOM[PPGridRow],7),0))</f>
        <v/>
      </c>
      <c r="H95">
        <f>SUMPRODUCT((M_BOM[RM_Code]=$A95)*M_BOM[RM_Qty_Per_Batch]*IFERROR(INDEX(PP_Grid[#Data],M_BOM[PPGridRow],8),0))</f>
        <v/>
      </c>
      <c r="I95">
        <f>SUMPRODUCT((M_BOM[RM_Code]=$A95)*M_BOM[RM_Qty_Per_Batch]*IFERROR(INDEX(PP_Grid[#Data],M_BOM[PPGridRow],9),0))</f>
        <v/>
      </c>
      <c r="J95">
        <f>SUMPRODUCT((M_BOM[RM_Code]=$A95)*M_BOM[RM_Qty_Per_Batch]*IFERROR(INDEX(PP_Grid[#Data],M_BOM[PPGridRow],10),0))</f>
        <v/>
      </c>
      <c r="K95">
        <f>SUMPRODUCT((M_BOM[RM_Code]=$A95)*M_BOM[RM_Qty_Per_Batch]*IFERROR(INDEX(PP_Grid[#Data],M_BOM[PPGridRow],11),0))</f>
        <v/>
      </c>
      <c r="L95">
        <f>SUMPRODUCT((M_BOM[RM_Code]=$A95)*M_BOM[RM_Qty_Per_Batch]*IFERROR(INDEX(PP_Grid[#Data],M_BOM[PPGridRow],12),0))</f>
        <v/>
      </c>
      <c r="M95">
        <f>SUMPRODUCT((M_BOM[RM_Code]=$A95)*M_BOM[RM_Qty_Per_Batch]*IFERROR(INDEX(PP_Grid[#Data],M_BOM[PPGridRow],13),0))</f>
        <v/>
      </c>
      <c r="N95">
        <f>SUMPRODUCT((M_BOM[RM_Code]=$A95)*M_BOM[RM_Qty_Per_Batch]*IFERROR(INDEX(PP_Grid[#Data],M_BOM[PPGridRow],14),0))</f>
        <v/>
      </c>
      <c r="O95">
        <f>SUMPRODUCT((M_BOM[RM_Code]=$A95)*M_BOM[RM_Qty_Per_Batch]*IFERROR(INDEX(PP_Grid[#Data],M_BOM[PPGridRow],15),0))</f>
        <v/>
      </c>
      <c r="P95">
        <f>SUMPRODUCT((M_BOM[RM_Code]=$A95)*M_BOM[RM_Qty_Per_Batch]*IFERROR(INDEX(PP_Grid[#Data],M_BOM[PPGridRow],16),0))</f>
        <v/>
      </c>
      <c r="Q95">
        <f>SUMPRODUCT((M_BOM[RM_Code]=$A95)*M_BOM[RM_Qty_Per_Batch]*IFERROR(INDEX(PP_Grid[#Data],M_BOM[PPGridRow],17),0))</f>
        <v/>
      </c>
      <c r="R95">
        <f>SUMPRODUCT((M_BOM[RM_Code]=$A95)*M_BOM[RM_Qty_Per_Batch]*IFERROR(INDEX(PP_Grid[#Data],M_BOM[PPGridRow],18),0))</f>
        <v/>
      </c>
      <c r="S95">
        <f>SUMPRODUCT((M_BOM[RM_Code]=$A95)*M_BOM[RM_Qty_Per_Batch]*IFERROR(INDEX(PP_Grid[#Data],M_BOM[PPGridRow],19),0))</f>
        <v/>
      </c>
      <c r="T95">
        <f>SUMPRODUCT((M_BOM[RM_Code]=$A95)*M_BOM[RM_Qty_Per_Batch]*IFERROR(INDEX(PP_Grid[#Data],M_BOM[PPGridRow],20),0))</f>
        <v/>
      </c>
      <c r="U95">
        <f>SUMPRODUCT((M_BOM[RM_Code]=$A95)*M_BOM[RM_Qty_Per_Batch]*IFERROR(INDEX(PP_Grid[#Data],M_BOM[PPGridRow],21),0))</f>
        <v/>
      </c>
      <c r="V95">
        <f>SUMPRODUCT((M_BOM[RM_Code]=$A95)*M_BOM[RM_Qty_Per_Batch]*IFERROR(INDEX(PP_Grid[#Data],M_BOM[PPGridRow],22),0))</f>
        <v/>
      </c>
      <c r="W95">
        <f>SUMPRODUCT((M_BOM[RM_Code]=$A95)*M_BOM[RM_Qty_Per_Batch]*IFERROR(INDEX(PP_Grid[#Data],M_BOM[PPGridRow],23),0))</f>
        <v/>
      </c>
      <c r="X95">
        <f>SUMPRODUCT((M_BOM[RM_Code]=$A95)*M_BOM[RM_Qty_Per_Batch]*IFERROR(INDEX(PP_Grid[#Data],M_BOM[PPGridRow],24),0))</f>
        <v/>
      </c>
      <c r="Y95">
        <f>SUMPRODUCT((M_BOM[RM_Code]=$A95)*M_BOM[RM_Qty_Per_Batch]*IFERROR(INDEX(PP_Grid[#Data],M_BOM[PPGridRow],25),0))</f>
        <v/>
      </c>
      <c r="Z95">
        <f>SUMPRODUCT((M_BOM[RM_Code]=$A95)*M_BOM[RM_Qty_Per_Batch]*IFERROR(INDEX(PP_Grid[#Data],M_BOM[PPGridRow],26),0))</f>
        <v/>
      </c>
      <c r="AA95">
        <f>SUMPRODUCT((M_BOM[RM_Code]=$A95)*M_BOM[RM_Qty_Per_Batch]*IFERROR(INDEX(PP_Grid[#Data],M_BOM[PPGridRow],27),0))</f>
        <v/>
      </c>
      <c r="AB95">
        <f>SUMPRODUCT((M_BOM[RM_Code]=$A95)*M_BOM[RM_Qty_Per_Batch]*IFERROR(INDEX(PP_Grid[#Data],M_BOM[PPGridRow],28),0))</f>
        <v/>
      </c>
      <c r="AC95">
        <f>SUMPRODUCT((M_BOM[RM_Code]=$A95)*M_BOM[RM_Qty_Per_Batch]*IFERROR(INDEX(PP_Grid[#Data],M_BOM[PPGridRow],29),0))</f>
        <v/>
      </c>
      <c r="AD95">
        <f>SUMPRODUCT((M_BOM[RM_Code]=$A95)*M_BOM[RM_Qty_Per_Batch]*IFERROR(INDEX(PP_Grid[#Data],M_BOM[PPGridRow],30),0))</f>
        <v/>
      </c>
      <c r="AE95">
        <f>SUMPRODUCT((M_BOM[RM_Code]=$A95)*M_BOM[RM_Qty_Per_Batch]*IFERROR(INDEX(PP_Grid[#Data],M_BOM[PPGridRow],31),0))</f>
        <v/>
      </c>
      <c r="AF95">
        <f>SUMPRODUCT((M_BOM[RM_Code]=$A95)*M_BOM[RM_Qty_Per_Batch]*IFERROR(INDEX(PP_Grid[#Data],M_BOM[PPGridRow],32),0))</f>
        <v/>
      </c>
      <c r="AG95">
        <f>SUMPRODUCT((M_BOM[RM_Code]=$A95)*M_BOM[RM_Qty_Per_Batch]*IFERROR(INDEX(PP_Grid[#Data],M_BOM[PPGridRow],33),0))</f>
        <v/>
      </c>
      <c r="AH95">
        <f>SUMPRODUCT((M_BOM[RM_Code]=$A95)*M_BOM[RM_Qty_Per_Batch]*IFERROR(INDEX(PP_Grid[#Data],M_BOM[PPGridRow],34),0))</f>
        <v/>
      </c>
      <c r="AI95">
        <f>SUMPRODUCT((M_BOM[RM_Code]=$A95)*M_BOM[RM_Qty_Per_Batch]*IFERROR(INDEX(PP_Grid[#Data],M_BOM[PPGridRow],35),0))</f>
        <v/>
      </c>
      <c r="AJ95">
        <f>SUMPRODUCT((M_BOM[RM_Code]=$A95)*M_BOM[RM_Qty_Per_Batch]*IFERROR(INDEX(PP_Grid[#Data],M_BOM[PPGridRow],36),0))</f>
        <v/>
      </c>
      <c r="AK95">
        <f>SUMPRODUCT((M_BOM[RM_Code]=$A95)*M_BOM[RM_Qty_Per_Batch]*IFERROR(INDEX(PP_Grid[#Data],M_BOM[PPGridRow],37),0))</f>
        <v/>
      </c>
      <c r="AL95">
        <f>SUMPRODUCT((M_BOM[RM_Code]=$A95)*M_BOM[RM_Qty_Per_Batch]*IFERROR(INDEX(PP_Grid[#Data],M_BOM[PPGridRow],38),0))</f>
        <v/>
      </c>
      <c r="AM95">
        <f>SUMPRODUCT((M_BOM[RM_Code]=$A95)*M_BOM[RM_Qty_Per_Batch]*IFERROR(INDEX(PP_Grid[#Data],M_BOM[PPGridRow],39),0))</f>
        <v/>
      </c>
      <c r="AN95">
        <f>SUMPRODUCT((M_BOM[RM_Code]=$A95)*M_BOM[RM_Qty_Per_Batch]*IFERROR(INDEX(PP_Grid[#Data],M_BOM[PPGridRow],40),0))</f>
        <v/>
      </c>
      <c r="AO95">
        <f>SUMPRODUCT((M_BOM[RM_Code]=$A95)*M_BOM[RM_Qty_Per_Batch]*IFERROR(INDEX(PP_Grid[#Data],M_BOM[PPGridRow],41),0))</f>
        <v/>
      </c>
      <c r="AP95">
        <f>SUMPRODUCT((M_BOM[RM_Code]=$A95)*M_BOM[RM_Qty_Per_Batch]*IFERROR(INDEX(PP_Grid[#Data],M_BOM[PPGridRow],42),0))</f>
        <v/>
      </c>
      <c r="AQ95">
        <f>SUMPRODUCT((M_BOM[RM_Code]=$A95)*M_BOM[RM_Qty_Per_Batch]*IFERROR(INDEX(PP_Grid[#Data],M_BOM[PPGridRow],43),0))</f>
        <v/>
      </c>
      <c r="AR95">
        <f>SUMPRODUCT((M_BOM[RM_Code]=$A95)*M_BOM[RM_Qty_Per_Batch]*IFERROR(INDEX(PP_Grid[#Data],M_BOM[PPGridRow],44),0))</f>
        <v/>
      </c>
      <c r="AS95">
        <f>SUMPRODUCT((M_BOM[RM_Code]=$A95)*M_BOM[RM_Qty_Per_Batch]*IFERROR(INDEX(PP_Grid[#Data],M_BOM[PPGridRow],45),0))</f>
        <v/>
      </c>
      <c r="AT95">
        <f>SUMPRODUCT((M_BOM[RM_Code]=$A95)*M_BOM[RM_Qty_Per_Batch]*IFERROR(INDEX(PP_Grid[#Data],M_BOM[PPGridRow],46),0))</f>
        <v/>
      </c>
      <c r="AU95">
        <f>SUMPRODUCT((M_BOM[RM_Code]=$A95)*M_BOM[RM_Qty_Per_Batch]*IFERROR(INDEX(PP_Grid[#Data],M_BOM[PPGridRow],47),0))</f>
        <v/>
      </c>
      <c r="AV95">
        <f>SUMPRODUCT((M_BOM[RM_Code]=$A95)*M_BOM[RM_Qty_Per_Batch]*IFERROR(INDEX(PP_Grid[#Data],M_BOM[PPGridRow],48),0))</f>
        <v/>
      </c>
      <c r="AW95">
        <f>SUMPRODUCT((M_BOM[RM_Code]=$A95)*M_BOM[RM_Qty_Per_Batch]*IFERROR(INDEX(PP_Grid[#Data],M_BOM[PPGridRow],49),0))</f>
        <v/>
      </c>
      <c r="AX95">
        <f>SUMPRODUCT((M_BOM[RM_Code]=$A95)*M_BOM[RM_Qty_Per_Batch]*IFERROR(INDEX(PP_Grid[#Data],M_BOM[PPGridRow],50),0))</f>
        <v/>
      </c>
      <c r="AY95">
        <f>SUMPRODUCT((M_BOM[RM_Code]=$A95)*M_BOM[RM_Qty_Per_Batch]*IFERROR(INDEX(PP_Grid[#Data],M_BOM[PPGridRow],51),0))</f>
        <v/>
      </c>
      <c r="AZ95">
        <f>SUMPRODUCT((M_BOM[RM_Code]=$A95)*M_BOM[RM_Qty_Per_Batch]*IFERROR(INDEX(PP_Grid[#Data],M_BOM[PPGridRow],52),0))</f>
        <v/>
      </c>
      <c r="BA95">
        <f>SUMPRODUCT((M_BOM[RM_Code]=$A95)*M_BOM[RM_Qty_Per_Batch]*IFERROR(INDEX(PP_Grid[#Data],M_BOM[PPGridRow],53),0))</f>
        <v/>
      </c>
      <c r="BB95">
        <f>SUMPRODUCT((M_BOM[RM_Code]=$A95)*M_BOM[RM_Qty_Per_Batch]*IFERROR(INDEX(PP_Grid[#Data],M_BOM[PPGridRow],54),0))</f>
        <v/>
      </c>
      <c r="BC95">
        <f>SUMPRODUCT((M_BOM[RM_Code]=$A95)*M_BOM[RM_Qty_Per_Batch]*IFERROR(INDEX(PP_Grid[#Data],M_BOM[PPGridRow],55),0))</f>
        <v/>
      </c>
      <c r="BD95">
        <f>SUMPRODUCT((M_BOM[RM_Code]=$A95)*M_BOM[RM_Qty_Per_Batch]*IFERROR(INDEX(PP_Grid[#Data],M_BOM[PPGridRow],56),0))</f>
        <v/>
      </c>
      <c r="BE95">
        <f>SUMPRODUCT((M_BOM[RM_Code]=$A95)*M_BOM[RM_Qty_Per_Batch]*IFERROR(INDEX(PP_Grid[#Data],M_BOM[PPGridRow],57),0))</f>
        <v/>
      </c>
      <c r="BF95">
        <f>SUMPRODUCT((M_BOM[RM_Code]=$A95)*M_BOM[RM_Qty_Per_Batch]*IFERROR(INDEX(PP_Grid[#Data],M_BOM[PPGridRow],58),0))</f>
        <v/>
      </c>
      <c r="BG95">
        <f>SUMPRODUCT((M_BOM[RM_Code]=$A95)*M_BOM[RM_Qty_Per_Batch]*IFERROR(INDEX(PP_Grid[#Data],M_BOM[PPGridRow],59),0))</f>
        <v/>
      </c>
      <c r="BH95">
        <f>SUMPRODUCT((M_BOM[RM_Code]=$A95)*M_BOM[RM_Qty_Per_Batch]*IFERROR(INDEX(PP_Grid[#Data],M_BOM[PPGridRow],60),0))</f>
        <v/>
      </c>
      <c r="BI95">
        <f>SUMPRODUCT((M_BOM[RM_Code]=$A95)*M_BOM[RM_Qty_Per_Batch]*IFERROR(INDEX(PP_Grid[#Data],M_BOM[PPGridRow],61),0))</f>
        <v/>
      </c>
      <c r="BJ95">
        <f>SUMPRODUCT((M_BOM[RM_Code]=$A95)*M_BOM[RM_Qty_Per_Batch]*IFERROR(INDEX(PP_Grid[#Data],M_BOM[PPGridRow],62),0))</f>
        <v/>
      </c>
      <c r="BK95">
        <f>SUMPRODUCT((M_BOM[RM_Code]=$A95)*M_BOM[RM_Qty_Per_Batch]*IFERROR(INDEX(PP_Grid[#Data],M_BOM[PPGridRow],63),0))</f>
        <v/>
      </c>
      <c r="BL95">
        <f>SUMPRODUCT((M_BOM[RM_Code]=$A95)*M_BOM[RM_Qty_Per_Batch]*IFERROR(INDEX(PP_Grid[#Data],M_BOM[PPGridRow],64),0))</f>
        <v/>
      </c>
      <c r="BM95">
        <f>SUMPRODUCT((M_BOM[RM_Code]=$A95)*M_BOM[RM_Qty_Per_Batch]*IFERROR(INDEX(PP_Grid[#Data],M_BOM[PPGridRow],65),0))</f>
        <v/>
      </c>
      <c r="BN95">
        <f>SUMPRODUCT((M_BOM[RM_Code]=$A95)*M_BOM[RM_Qty_Per_Batch]*IFERROR(INDEX(PP_Grid[#Data],M_BOM[PPGridRow],66),0))</f>
        <v/>
      </c>
      <c r="BO95">
        <f>SUMPRODUCT((M_BOM[RM_Code]=$A95)*M_BOM[RM_Qty_Per_Batch]*IFERROR(INDEX(PP_Grid[#Data],M_BOM[PPGridRow],67),0))</f>
        <v/>
      </c>
      <c r="BP95">
        <f>SUMPRODUCT((M_BOM[RM_Code]=$A95)*M_BOM[RM_Qty_Per_Batch]*IFERROR(INDEX(PP_Grid[#Data],M_BOM[PPGridRow],68),0))</f>
        <v/>
      </c>
      <c r="BQ95">
        <f>SUMPRODUCT((M_BOM[RM_Code]=$A95)*M_BOM[RM_Qty_Per_Batch]*IFERROR(INDEX(PP_Grid[#Data],M_BOM[PPGridRow],69),0))</f>
        <v/>
      </c>
      <c r="BR95">
        <f>SUMPRODUCT((M_BOM[RM_Code]=$A95)*M_BOM[RM_Qty_Per_Batch]*IFERROR(INDEX(PP_Grid[#Data],M_BOM[PPGridRow],70),0))</f>
        <v/>
      </c>
      <c r="BS95">
        <f>SUMPRODUCT((M_BOM[RM_Code]=$A95)*M_BOM[RM_Qty_Per_Batch]*IFERROR(INDEX(PP_Grid[#Data],M_BOM[PPGridRow],71),0))</f>
        <v/>
      </c>
      <c r="BT95">
        <f>SUMPRODUCT((M_BOM[RM_Code]=$A95)*M_BOM[RM_Qty_Per_Batch]*IFERROR(INDEX(PP_Grid[#Data],M_BOM[PPGridRow],72),0))</f>
        <v/>
      </c>
      <c r="BU95">
        <f>SUMPRODUCT((M_BOM[RM_Code]=$A95)*M_BOM[RM_Qty_Per_Batch]*IFERROR(INDEX(PP_Grid[#Data],M_BOM[PPGridRow],73),0))</f>
        <v/>
      </c>
      <c r="BV95">
        <f>SUMPRODUCT((M_BOM[RM_Code]=$A95)*M_BOM[RM_Qty_Per_Batch]*IFERROR(INDEX(PP_Grid[#Data],M_BOM[PPGridRow],74),0))</f>
        <v/>
      </c>
      <c r="BW95">
        <f>SUMPRODUCT((M_BOM[RM_Code]=$A95)*M_BOM[RM_Qty_Per_Batch]*IFERROR(INDEX(PP_Grid[#Data],M_BOM[PPGridRow],75),0))</f>
        <v/>
      </c>
      <c r="BX95">
        <f>SUMPRODUCT((M_BOM[RM_Code]=$A95)*M_BOM[RM_Qty_Per_Batch]*IFERROR(INDEX(PP_Grid[#Data],M_BOM[PPGridRow],76),0))</f>
        <v/>
      </c>
      <c r="BY95">
        <f>SUMPRODUCT((M_BOM[RM_Code]=$A95)*M_BOM[RM_Qty_Per_Batch]*IFERROR(INDEX(PP_Grid[#Data],M_BOM[PPGridRow],77),0))</f>
        <v/>
      </c>
      <c r="BZ95">
        <f>SUMPRODUCT((M_BOM[RM_Code]=$A95)*M_BOM[RM_Qty_Per_Batch]*IFERROR(INDEX(PP_Grid[#Data],M_BOM[PPGridRow],78),0))</f>
        <v/>
      </c>
      <c r="CA95">
        <f>SUMPRODUCT((M_BOM[RM_Code]=$A95)*M_BOM[RM_Qty_Per_Batch]*IFERROR(INDEX(PP_Grid[#Data],M_BOM[PPGridRow],79),0))</f>
        <v/>
      </c>
      <c r="CB95">
        <f>SUMPRODUCT((M_BOM[RM_Code]=$A95)*M_BOM[RM_Qty_Per_Batch]*IFERROR(INDEX(PP_Grid[#Data],M_BOM[PPGridRow],80),0))</f>
        <v/>
      </c>
      <c r="CC95">
        <f>SUMPRODUCT((M_BOM[RM_Code]=$A95)*M_BOM[RM_Qty_Per_Batch]*IFERROR(INDEX(PP_Grid[#Data],M_BOM[PPGridRow],81),0))</f>
        <v/>
      </c>
      <c r="CD95">
        <f>SUMPRODUCT((M_BOM[RM_Code]=$A95)*M_BOM[RM_Qty_Per_Batch]*IFERROR(INDEX(PP_Grid[#Data],M_BOM[PPGridRow],82),0))</f>
        <v/>
      </c>
      <c r="CE95">
        <f>SUMPRODUCT((M_BOM[RM_Code]=$A95)*M_BOM[RM_Qty_Per_Batch]*IFERROR(INDEX(PP_Grid[#Data],M_BOM[PPGridRow],83),0))</f>
        <v/>
      </c>
      <c r="CF95">
        <f>SUMPRODUCT((M_BOM[RM_Code]=$A95)*M_BOM[RM_Qty_Per_Batch]*IFERROR(INDEX(PP_Grid[#Data],M_BOM[PPGridRow],84),0))</f>
        <v/>
      </c>
      <c r="CG95">
        <f>SUMPRODUCT((M_BOM[RM_Code]=$A95)*M_BOM[RM_Qty_Per_Batch]*IFERROR(INDEX(PP_Grid[#Data],M_BOM[PPGridRow],85),0))</f>
        <v/>
      </c>
      <c r="CH95">
        <f>SUMPRODUCT((M_BOM[RM_Code]=$A95)*M_BOM[RM_Qty_Per_Batch]*IFERROR(INDEX(PP_Grid[#Data],M_BOM[PPGridRow],86),0))</f>
        <v/>
      </c>
      <c r="CI95">
        <f>SUMPRODUCT((M_BOM[RM_Code]=$A95)*M_BOM[RM_Qty_Per_Batch]*IFERROR(INDEX(PP_Grid[#Data],M_BOM[PPGridRow],87),0))</f>
        <v/>
      </c>
      <c r="CJ95">
        <f>SUMPRODUCT((M_BOM[RM_Code]=$A95)*M_BOM[RM_Qty_Per_Batch]*IFERROR(INDEX(PP_Grid[#Data],M_BOM[PPGridRow],88),0))</f>
        <v/>
      </c>
      <c r="CK95">
        <f>SUMPRODUCT((M_BOM[RM_Code]=$A95)*M_BOM[RM_Qty_Per_Batch]*IFERROR(INDEX(PP_Grid[#Data],M_BOM[PPGridRow],89),0))</f>
        <v/>
      </c>
      <c r="CL95">
        <f>SUMPRODUCT((M_BOM[RM_Code]=$A95)*M_BOM[RM_Qty_Per_Batch]*IFERROR(INDEX(PP_Grid[#Data],M_BOM[PPGridRow],90),0))</f>
        <v/>
      </c>
      <c r="CM95">
        <f>SUMPRODUCT((M_BOM[RM_Code]=$A95)*M_BOM[RM_Qty_Per_Batch]*IFERROR(INDEX(PP_Grid[#Data],M_BOM[PPGridRow],91),0))</f>
        <v/>
      </c>
      <c r="CN95">
        <f>SUMPRODUCT((M_BOM[RM_Code]=$A95)*M_BOM[RM_Qty_Per_Batch]*IFERROR(INDEX(PP_Grid[#Data],M_BOM[PPGridRow],92),0))</f>
        <v/>
      </c>
      <c r="CO95">
        <f>SUMPRODUCT((M_BOM[RM_Code]=$A95)*M_BOM[RM_Qty_Per_Batch]*IFERROR(INDEX(PP_Grid[#Data],M_BOM[PPGridRow],93),0))</f>
        <v/>
      </c>
      <c r="CP95">
        <f>SUMPRODUCT((M_BOM[RM_Code]=$A95)*M_BOM[RM_Qty_Per_Batch]*IFERROR(INDEX(PP_Grid[#Data],M_BOM[PPGridRow],94),0))</f>
        <v/>
      </c>
      <c r="CQ95">
        <f>SUMPRODUCT((M_BOM[RM_Code]=$A95)*M_BOM[RM_Qty_Per_Batch]*IFERROR(INDEX(PP_Grid[#Data],M_BOM[PPGridRow],95),0))</f>
        <v/>
      </c>
      <c r="CR95">
        <f>SUMPRODUCT((M_BOM[RM_Code]=$A95)*M_BOM[RM_Qty_Per_Batch]*IFERROR(INDEX(PP_Grid[#Data],M_BOM[PPGridRow],96),0))</f>
        <v/>
      </c>
      <c r="CS95">
        <f>SUMPRODUCT((M_BOM[RM_Code]=$A95)*M_BOM[RM_Qty_Per_Batch]*IFERROR(INDEX(PP_Grid[#Data],M_BOM[PPGridRow],97),0))</f>
        <v/>
      </c>
      <c r="CT95">
        <f>SUMPRODUCT((M_BOM[RM_Code]=$A95)*M_BOM[RM_Qty_Per_Batch]*IFERROR(INDEX(PP_Grid[#Data],M_BOM[PPGridRow],98),0))</f>
        <v/>
      </c>
      <c r="CU95">
        <f>SUMPRODUCT((M_BOM[RM_Code]=$A95)*M_BOM[RM_Qty_Per_Batch]*IFERROR(INDEX(PP_Grid[#Data],M_BOM[PPGridRow],99),0))</f>
        <v/>
      </c>
      <c r="CV95">
        <f>SUMPRODUCT((M_BOM[RM_Code]=$A95)*M_BOM[RM_Qty_Per_Batch]*IFERROR(INDEX(PP_Grid[#Data],M_BOM[PPGridRow],100),0))</f>
        <v/>
      </c>
      <c r="CW95">
        <f>SUMPRODUCT((M_BOM[RM_Code]=$A95)*M_BOM[RM_Qty_Per_Batch]*IFERROR(INDEX(PP_Grid[#Data],M_BOM[PPGridRow],101),0))</f>
        <v/>
      </c>
      <c r="CX95">
        <f>SUMPRODUCT((M_BOM[RM_Code]=$A95)*M_BOM[RM_Qty_Per_Batch]*IFERROR(INDEX(PP_Grid[#Data],M_BOM[PPGridRow],102),0))</f>
        <v/>
      </c>
      <c r="CY95">
        <f>SUMPRODUCT((M_BOM[RM_Code]=$A95)*M_BOM[RM_Qty_Per_Batch]*IFERROR(INDEX(PP_Grid[#Data],M_BOM[PPGridRow],103),0))</f>
        <v/>
      </c>
      <c r="CZ95">
        <f>SUMPRODUCT((M_BOM[RM_Code]=$A95)*M_BOM[RM_Qty_Per_Batch]*IFERROR(INDEX(PP_Grid[#Data],M_BOM[PPGridRow],104),0))</f>
        <v/>
      </c>
      <c r="DA95">
        <f>SUMPRODUCT((M_BOM[RM_Code]=$A95)*M_BOM[RM_Qty_Per_Batch]*IFERROR(INDEX(PP_Grid[#Data],M_BOM[PPGridRow],105),0))</f>
        <v/>
      </c>
    </row>
    <row r="96">
      <c r="A96" t="inlineStr">
        <is>
          <t>CHEM-1170</t>
        </is>
      </c>
      <c r="B96">
        <f>SUMPRODUCT((M_BOM[RM_Code]=$A96)*M_BOM[RM_Qty_Per_Batch]*IFERROR(INDEX(PP_Grid[#Data],M_BOM[PPGridRow],2),0))</f>
        <v/>
      </c>
      <c r="C96">
        <f>SUMPRODUCT((M_BOM[RM_Code]=$A96)*M_BOM[RM_Qty_Per_Batch]*IFERROR(INDEX(PP_Grid[#Data],M_BOM[PPGridRow],3),0))</f>
        <v/>
      </c>
      <c r="D96">
        <f>SUMPRODUCT((M_BOM[RM_Code]=$A96)*M_BOM[RM_Qty_Per_Batch]*IFERROR(INDEX(PP_Grid[#Data],M_BOM[PPGridRow],4),0))</f>
        <v/>
      </c>
      <c r="E96">
        <f>SUMPRODUCT((M_BOM[RM_Code]=$A96)*M_BOM[RM_Qty_Per_Batch]*IFERROR(INDEX(PP_Grid[#Data],M_BOM[PPGridRow],5),0))</f>
        <v/>
      </c>
      <c r="F96">
        <f>SUMPRODUCT((M_BOM[RM_Code]=$A96)*M_BOM[RM_Qty_Per_Batch]*IFERROR(INDEX(PP_Grid[#Data],M_BOM[PPGridRow],6),0))</f>
        <v/>
      </c>
      <c r="G96">
        <f>SUMPRODUCT((M_BOM[RM_Code]=$A96)*M_BOM[RM_Qty_Per_Batch]*IFERROR(INDEX(PP_Grid[#Data],M_BOM[PPGridRow],7),0))</f>
        <v/>
      </c>
      <c r="H96">
        <f>SUMPRODUCT((M_BOM[RM_Code]=$A96)*M_BOM[RM_Qty_Per_Batch]*IFERROR(INDEX(PP_Grid[#Data],M_BOM[PPGridRow],8),0))</f>
        <v/>
      </c>
      <c r="I96">
        <f>SUMPRODUCT((M_BOM[RM_Code]=$A96)*M_BOM[RM_Qty_Per_Batch]*IFERROR(INDEX(PP_Grid[#Data],M_BOM[PPGridRow],9),0))</f>
        <v/>
      </c>
      <c r="J96">
        <f>SUMPRODUCT((M_BOM[RM_Code]=$A96)*M_BOM[RM_Qty_Per_Batch]*IFERROR(INDEX(PP_Grid[#Data],M_BOM[PPGridRow],10),0))</f>
        <v/>
      </c>
      <c r="K96">
        <f>SUMPRODUCT((M_BOM[RM_Code]=$A96)*M_BOM[RM_Qty_Per_Batch]*IFERROR(INDEX(PP_Grid[#Data],M_BOM[PPGridRow],11),0))</f>
        <v/>
      </c>
      <c r="L96">
        <f>SUMPRODUCT((M_BOM[RM_Code]=$A96)*M_BOM[RM_Qty_Per_Batch]*IFERROR(INDEX(PP_Grid[#Data],M_BOM[PPGridRow],12),0))</f>
        <v/>
      </c>
      <c r="M96">
        <f>SUMPRODUCT((M_BOM[RM_Code]=$A96)*M_BOM[RM_Qty_Per_Batch]*IFERROR(INDEX(PP_Grid[#Data],M_BOM[PPGridRow],13),0))</f>
        <v/>
      </c>
      <c r="N96">
        <f>SUMPRODUCT((M_BOM[RM_Code]=$A96)*M_BOM[RM_Qty_Per_Batch]*IFERROR(INDEX(PP_Grid[#Data],M_BOM[PPGridRow],14),0))</f>
        <v/>
      </c>
      <c r="O96">
        <f>SUMPRODUCT((M_BOM[RM_Code]=$A96)*M_BOM[RM_Qty_Per_Batch]*IFERROR(INDEX(PP_Grid[#Data],M_BOM[PPGridRow],15),0))</f>
        <v/>
      </c>
      <c r="P96">
        <f>SUMPRODUCT((M_BOM[RM_Code]=$A96)*M_BOM[RM_Qty_Per_Batch]*IFERROR(INDEX(PP_Grid[#Data],M_BOM[PPGridRow],16),0))</f>
        <v/>
      </c>
      <c r="Q96">
        <f>SUMPRODUCT((M_BOM[RM_Code]=$A96)*M_BOM[RM_Qty_Per_Batch]*IFERROR(INDEX(PP_Grid[#Data],M_BOM[PPGridRow],17),0))</f>
        <v/>
      </c>
      <c r="R96">
        <f>SUMPRODUCT((M_BOM[RM_Code]=$A96)*M_BOM[RM_Qty_Per_Batch]*IFERROR(INDEX(PP_Grid[#Data],M_BOM[PPGridRow],18),0))</f>
        <v/>
      </c>
      <c r="S96">
        <f>SUMPRODUCT((M_BOM[RM_Code]=$A96)*M_BOM[RM_Qty_Per_Batch]*IFERROR(INDEX(PP_Grid[#Data],M_BOM[PPGridRow],19),0))</f>
        <v/>
      </c>
      <c r="T96">
        <f>SUMPRODUCT((M_BOM[RM_Code]=$A96)*M_BOM[RM_Qty_Per_Batch]*IFERROR(INDEX(PP_Grid[#Data],M_BOM[PPGridRow],20),0))</f>
        <v/>
      </c>
      <c r="U96">
        <f>SUMPRODUCT((M_BOM[RM_Code]=$A96)*M_BOM[RM_Qty_Per_Batch]*IFERROR(INDEX(PP_Grid[#Data],M_BOM[PPGridRow],21),0))</f>
        <v/>
      </c>
      <c r="V96">
        <f>SUMPRODUCT((M_BOM[RM_Code]=$A96)*M_BOM[RM_Qty_Per_Batch]*IFERROR(INDEX(PP_Grid[#Data],M_BOM[PPGridRow],22),0))</f>
        <v/>
      </c>
      <c r="W96">
        <f>SUMPRODUCT((M_BOM[RM_Code]=$A96)*M_BOM[RM_Qty_Per_Batch]*IFERROR(INDEX(PP_Grid[#Data],M_BOM[PPGridRow],23),0))</f>
        <v/>
      </c>
      <c r="X96">
        <f>SUMPRODUCT((M_BOM[RM_Code]=$A96)*M_BOM[RM_Qty_Per_Batch]*IFERROR(INDEX(PP_Grid[#Data],M_BOM[PPGridRow],24),0))</f>
        <v/>
      </c>
      <c r="Y96">
        <f>SUMPRODUCT((M_BOM[RM_Code]=$A96)*M_BOM[RM_Qty_Per_Batch]*IFERROR(INDEX(PP_Grid[#Data],M_BOM[PPGridRow],25),0))</f>
        <v/>
      </c>
      <c r="Z96">
        <f>SUMPRODUCT((M_BOM[RM_Code]=$A96)*M_BOM[RM_Qty_Per_Batch]*IFERROR(INDEX(PP_Grid[#Data],M_BOM[PPGridRow],26),0))</f>
        <v/>
      </c>
      <c r="AA96">
        <f>SUMPRODUCT((M_BOM[RM_Code]=$A96)*M_BOM[RM_Qty_Per_Batch]*IFERROR(INDEX(PP_Grid[#Data],M_BOM[PPGridRow],27),0))</f>
        <v/>
      </c>
      <c r="AB96">
        <f>SUMPRODUCT((M_BOM[RM_Code]=$A96)*M_BOM[RM_Qty_Per_Batch]*IFERROR(INDEX(PP_Grid[#Data],M_BOM[PPGridRow],28),0))</f>
        <v/>
      </c>
      <c r="AC96">
        <f>SUMPRODUCT((M_BOM[RM_Code]=$A96)*M_BOM[RM_Qty_Per_Batch]*IFERROR(INDEX(PP_Grid[#Data],M_BOM[PPGridRow],29),0))</f>
        <v/>
      </c>
      <c r="AD96">
        <f>SUMPRODUCT((M_BOM[RM_Code]=$A96)*M_BOM[RM_Qty_Per_Batch]*IFERROR(INDEX(PP_Grid[#Data],M_BOM[PPGridRow],30),0))</f>
        <v/>
      </c>
      <c r="AE96">
        <f>SUMPRODUCT((M_BOM[RM_Code]=$A96)*M_BOM[RM_Qty_Per_Batch]*IFERROR(INDEX(PP_Grid[#Data],M_BOM[PPGridRow],31),0))</f>
        <v/>
      </c>
      <c r="AF96">
        <f>SUMPRODUCT((M_BOM[RM_Code]=$A96)*M_BOM[RM_Qty_Per_Batch]*IFERROR(INDEX(PP_Grid[#Data],M_BOM[PPGridRow],32),0))</f>
        <v/>
      </c>
      <c r="AG96">
        <f>SUMPRODUCT((M_BOM[RM_Code]=$A96)*M_BOM[RM_Qty_Per_Batch]*IFERROR(INDEX(PP_Grid[#Data],M_BOM[PPGridRow],33),0))</f>
        <v/>
      </c>
      <c r="AH96">
        <f>SUMPRODUCT((M_BOM[RM_Code]=$A96)*M_BOM[RM_Qty_Per_Batch]*IFERROR(INDEX(PP_Grid[#Data],M_BOM[PPGridRow],34),0))</f>
        <v/>
      </c>
      <c r="AI96">
        <f>SUMPRODUCT((M_BOM[RM_Code]=$A96)*M_BOM[RM_Qty_Per_Batch]*IFERROR(INDEX(PP_Grid[#Data],M_BOM[PPGridRow],35),0))</f>
        <v/>
      </c>
      <c r="AJ96">
        <f>SUMPRODUCT((M_BOM[RM_Code]=$A96)*M_BOM[RM_Qty_Per_Batch]*IFERROR(INDEX(PP_Grid[#Data],M_BOM[PPGridRow],36),0))</f>
        <v/>
      </c>
      <c r="AK96">
        <f>SUMPRODUCT((M_BOM[RM_Code]=$A96)*M_BOM[RM_Qty_Per_Batch]*IFERROR(INDEX(PP_Grid[#Data],M_BOM[PPGridRow],37),0))</f>
        <v/>
      </c>
      <c r="AL96">
        <f>SUMPRODUCT((M_BOM[RM_Code]=$A96)*M_BOM[RM_Qty_Per_Batch]*IFERROR(INDEX(PP_Grid[#Data],M_BOM[PPGridRow],38),0))</f>
        <v/>
      </c>
      <c r="AM96">
        <f>SUMPRODUCT((M_BOM[RM_Code]=$A96)*M_BOM[RM_Qty_Per_Batch]*IFERROR(INDEX(PP_Grid[#Data],M_BOM[PPGridRow],39),0))</f>
        <v/>
      </c>
      <c r="AN96">
        <f>SUMPRODUCT((M_BOM[RM_Code]=$A96)*M_BOM[RM_Qty_Per_Batch]*IFERROR(INDEX(PP_Grid[#Data],M_BOM[PPGridRow],40),0))</f>
        <v/>
      </c>
      <c r="AO96">
        <f>SUMPRODUCT((M_BOM[RM_Code]=$A96)*M_BOM[RM_Qty_Per_Batch]*IFERROR(INDEX(PP_Grid[#Data],M_BOM[PPGridRow],41),0))</f>
        <v/>
      </c>
      <c r="AP96">
        <f>SUMPRODUCT((M_BOM[RM_Code]=$A96)*M_BOM[RM_Qty_Per_Batch]*IFERROR(INDEX(PP_Grid[#Data],M_BOM[PPGridRow],42),0))</f>
        <v/>
      </c>
      <c r="AQ96">
        <f>SUMPRODUCT((M_BOM[RM_Code]=$A96)*M_BOM[RM_Qty_Per_Batch]*IFERROR(INDEX(PP_Grid[#Data],M_BOM[PPGridRow],43),0))</f>
        <v/>
      </c>
      <c r="AR96">
        <f>SUMPRODUCT((M_BOM[RM_Code]=$A96)*M_BOM[RM_Qty_Per_Batch]*IFERROR(INDEX(PP_Grid[#Data],M_BOM[PPGridRow],44),0))</f>
        <v/>
      </c>
      <c r="AS96">
        <f>SUMPRODUCT((M_BOM[RM_Code]=$A96)*M_BOM[RM_Qty_Per_Batch]*IFERROR(INDEX(PP_Grid[#Data],M_BOM[PPGridRow],45),0))</f>
        <v/>
      </c>
      <c r="AT96">
        <f>SUMPRODUCT((M_BOM[RM_Code]=$A96)*M_BOM[RM_Qty_Per_Batch]*IFERROR(INDEX(PP_Grid[#Data],M_BOM[PPGridRow],46),0))</f>
        <v/>
      </c>
      <c r="AU96">
        <f>SUMPRODUCT((M_BOM[RM_Code]=$A96)*M_BOM[RM_Qty_Per_Batch]*IFERROR(INDEX(PP_Grid[#Data],M_BOM[PPGridRow],47),0))</f>
        <v/>
      </c>
      <c r="AV96">
        <f>SUMPRODUCT((M_BOM[RM_Code]=$A96)*M_BOM[RM_Qty_Per_Batch]*IFERROR(INDEX(PP_Grid[#Data],M_BOM[PPGridRow],48),0))</f>
        <v/>
      </c>
      <c r="AW96">
        <f>SUMPRODUCT((M_BOM[RM_Code]=$A96)*M_BOM[RM_Qty_Per_Batch]*IFERROR(INDEX(PP_Grid[#Data],M_BOM[PPGridRow],49),0))</f>
        <v/>
      </c>
      <c r="AX96">
        <f>SUMPRODUCT((M_BOM[RM_Code]=$A96)*M_BOM[RM_Qty_Per_Batch]*IFERROR(INDEX(PP_Grid[#Data],M_BOM[PPGridRow],50),0))</f>
        <v/>
      </c>
      <c r="AY96">
        <f>SUMPRODUCT((M_BOM[RM_Code]=$A96)*M_BOM[RM_Qty_Per_Batch]*IFERROR(INDEX(PP_Grid[#Data],M_BOM[PPGridRow],51),0))</f>
        <v/>
      </c>
      <c r="AZ96">
        <f>SUMPRODUCT((M_BOM[RM_Code]=$A96)*M_BOM[RM_Qty_Per_Batch]*IFERROR(INDEX(PP_Grid[#Data],M_BOM[PPGridRow],52),0))</f>
        <v/>
      </c>
      <c r="BA96">
        <f>SUMPRODUCT((M_BOM[RM_Code]=$A96)*M_BOM[RM_Qty_Per_Batch]*IFERROR(INDEX(PP_Grid[#Data],M_BOM[PPGridRow],53),0))</f>
        <v/>
      </c>
      <c r="BB96">
        <f>SUMPRODUCT((M_BOM[RM_Code]=$A96)*M_BOM[RM_Qty_Per_Batch]*IFERROR(INDEX(PP_Grid[#Data],M_BOM[PPGridRow],54),0))</f>
        <v/>
      </c>
      <c r="BC96">
        <f>SUMPRODUCT((M_BOM[RM_Code]=$A96)*M_BOM[RM_Qty_Per_Batch]*IFERROR(INDEX(PP_Grid[#Data],M_BOM[PPGridRow],55),0))</f>
        <v/>
      </c>
      <c r="BD96">
        <f>SUMPRODUCT((M_BOM[RM_Code]=$A96)*M_BOM[RM_Qty_Per_Batch]*IFERROR(INDEX(PP_Grid[#Data],M_BOM[PPGridRow],56),0))</f>
        <v/>
      </c>
      <c r="BE96">
        <f>SUMPRODUCT((M_BOM[RM_Code]=$A96)*M_BOM[RM_Qty_Per_Batch]*IFERROR(INDEX(PP_Grid[#Data],M_BOM[PPGridRow],57),0))</f>
        <v/>
      </c>
      <c r="BF96">
        <f>SUMPRODUCT((M_BOM[RM_Code]=$A96)*M_BOM[RM_Qty_Per_Batch]*IFERROR(INDEX(PP_Grid[#Data],M_BOM[PPGridRow],58),0))</f>
        <v/>
      </c>
      <c r="BG96">
        <f>SUMPRODUCT((M_BOM[RM_Code]=$A96)*M_BOM[RM_Qty_Per_Batch]*IFERROR(INDEX(PP_Grid[#Data],M_BOM[PPGridRow],59),0))</f>
        <v/>
      </c>
      <c r="BH96">
        <f>SUMPRODUCT((M_BOM[RM_Code]=$A96)*M_BOM[RM_Qty_Per_Batch]*IFERROR(INDEX(PP_Grid[#Data],M_BOM[PPGridRow],60),0))</f>
        <v/>
      </c>
      <c r="BI96">
        <f>SUMPRODUCT((M_BOM[RM_Code]=$A96)*M_BOM[RM_Qty_Per_Batch]*IFERROR(INDEX(PP_Grid[#Data],M_BOM[PPGridRow],61),0))</f>
        <v/>
      </c>
      <c r="BJ96">
        <f>SUMPRODUCT((M_BOM[RM_Code]=$A96)*M_BOM[RM_Qty_Per_Batch]*IFERROR(INDEX(PP_Grid[#Data],M_BOM[PPGridRow],62),0))</f>
        <v/>
      </c>
      <c r="BK96">
        <f>SUMPRODUCT((M_BOM[RM_Code]=$A96)*M_BOM[RM_Qty_Per_Batch]*IFERROR(INDEX(PP_Grid[#Data],M_BOM[PPGridRow],63),0))</f>
        <v/>
      </c>
      <c r="BL96">
        <f>SUMPRODUCT((M_BOM[RM_Code]=$A96)*M_BOM[RM_Qty_Per_Batch]*IFERROR(INDEX(PP_Grid[#Data],M_BOM[PPGridRow],64),0))</f>
        <v/>
      </c>
      <c r="BM96">
        <f>SUMPRODUCT((M_BOM[RM_Code]=$A96)*M_BOM[RM_Qty_Per_Batch]*IFERROR(INDEX(PP_Grid[#Data],M_BOM[PPGridRow],65),0))</f>
        <v/>
      </c>
      <c r="BN96">
        <f>SUMPRODUCT((M_BOM[RM_Code]=$A96)*M_BOM[RM_Qty_Per_Batch]*IFERROR(INDEX(PP_Grid[#Data],M_BOM[PPGridRow],66),0))</f>
        <v/>
      </c>
      <c r="BO96">
        <f>SUMPRODUCT((M_BOM[RM_Code]=$A96)*M_BOM[RM_Qty_Per_Batch]*IFERROR(INDEX(PP_Grid[#Data],M_BOM[PPGridRow],67),0))</f>
        <v/>
      </c>
      <c r="BP96">
        <f>SUMPRODUCT((M_BOM[RM_Code]=$A96)*M_BOM[RM_Qty_Per_Batch]*IFERROR(INDEX(PP_Grid[#Data],M_BOM[PPGridRow],68),0))</f>
        <v/>
      </c>
      <c r="BQ96">
        <f>SUMPRODUCT((M_BOM[RM_Code]=$A96)*M_BOM[RM_Qty_Per_Batch]*IFERROR(INDEX(PP_Grid[#Data],M_BOM[PPGridRow],69),0))</f>
        <v/>
      </c>
      <c r="BR96">
        <f>SUMPRODUCT((M_BOM[RM_Code]=$A96)*M_BOM[RM_Qty_Per_Batch]*IFERROR(INDEX(PP_Grid[#Data],M_BOM[PPGridRow],70),0))</f>
        <v/>
      </c>
      <c r="BS96">
        <f>SUMPRODUCT((M_BOM[RM_Code]=$A96)*M_BOM[RM_Qty_Per_Batch]*IFERROR(INDEX(PP_Grid[#Data],M_BOM[PPGridRow],71),0))</f>
        <v/>
      </c>
      <c r="BT96">
        <f>SUMPRODUCT((M_BOM[RM_Code]=$A96)*M_BOM[RM_Qty_Per_Batch]*IFERROR(INDEX(PP_Grid[#Data],M_BOM[PPGridRow],72),0))</f>
        <v/>
      </c>
      <c r="BU96">
        <f>SUMPRODUCT((M_BOM[RM_Code]=$A96)*M_BOM[RM_Qty_Per_Batch]*IFERROR(INDEX(PP_Grid[#Data],M_BOM[PPGridRow],73),0))</f>
        <v/>
      </c>
      <c r="BV96">
        <f>SUMPRODUCT((M_BOM[RM_Code]=$A96)*M_BOM[RM_Qty_Per_Batch]*IFERROR(INDEX(PP_Grid[#Data],M_BOM[PPGridRow],74),0))</f>
        <v/>
      </c>
      <c r="BW96">
        <f>SUMPRODUCT((M_BOM[RM_Code]=$A96)*M_BOM[RM_Qty_Per_Batch]*IFERROR(INDEX(PP_Grid[#Data],M_BOM[PPGridRow],75),0))</f>
        <v/>
      </c>
      <c r="BX96">
        <f>SUMPRODUCT((M_BOM[RM_Code]=$A96)*M_BOM[RM_Qty_Per_Batch]*IFERROR(INDEX(PP_Grid[#Data],M_BOM[PPGridRow],76),0))</f>
        <v/>
      </c>
      <c r="BY96">
        <f>SUMPRODUCT((M_BOM[RM_Code]=$A96)*M_BOM[RM_Qty_Per_Batch]*IFERROR(INDEX(PP_Grid[#Data],M_BOM[PPGridRow],77),0))</f>
        <v/>
      </c>
      <c r="BZ96">
        <f>SUMPRODUCT((M_BOM[RM_Code]=$A96)*M_BOM[RM_Qty_Per_Batch]*IFERROR(INDEX(PP_Grid[#Data],M_BOM[PPGridRow],78),0))</f>
        <v/>
      </c>
      <c r="CA96">
        <f>SUMPRODUCT((M_BOM[RM_Code]=$A96)*M_BOM[RM_Qty_Per_Batch]*IFERROR(INDEX(PP_Grid[#Data],M_BOM[PPGridRow],79),0))</f>
        <v/>
      </c>
      <c r="CB96">
        <f>SUMPRODUCT((M_BOM[RM_Code]=$A96)*M_BOM[RM_Qty_Per_Batch]*IFERROR(INDEX(PP_Grid[#Data],M_BOM[PPGridRow],80),0))</f>
        <v/>
      </c>
      <c r="CC96">
        <f>SUMPRODUCT((M_BOM[RM_Code]=$A96)*M_BOM[RM_Qty_Per_Batch]*IFERROR(INDEX(PP_Grid[#Data],M_BOM[PPGridRow],81),0))</f>
        <v/>
      </c>
      <c r="CD96">
        <f>SUMPRODUCT((M_BOM[RM_Code]=$A96)*M_BOM[RM_Qty_Per_Batch]*IFERROR(INDEX(PP_Grid[#Data],M_BOM[PPGridRow],82),0))</f>
        <v/>
      </c>
      <c r="CE96">
        <f>SUMPRODUCT((M_BOM[RM_Code]=$A96)*M_BOM[RM_Qty_Per_Batch]*IFERROR(INDEX(PP_Grid[#Data],M_BOM[PPGridRow],83),0))</f>
        <v/>
      </c>
      <c r="CF96">
        <f>SUMPRODUCT((M_BOM[RM_Code]=$A96)*M_BOM[RM_Qty_Per_Batch]*IFERROR(INDEX(PP_Grid[#Data],M_BOM[PPGridRow],84),0))</f>
        <v/>
      </c>
      <c r="CG96">
        <f>SUMPRODUCT((M_BOM[RM_Code]=$A96)*M_BOM[RM_Qty_Per_Batch]*IFERROR(INDEX(PP_Grid[#Data],M_BOM[PPGridRow],85),0))</f>
        <v/>
      </c>
      <c r="CH96">
        <f>SUMPRODUCT((M_BOM[RM_Code]=$A96)*M_BOM[RM_Qty_Per_Batch]*IFERROR(INDEX(PP_Grid[#Data],M_BOM[PPGridRow],86),0))</f>
        <v/>
      </c>
      <c r="CI96">
        <f>SUMPRODUCT((M_BOM[RM_Code]=$A96)*M_BOM[RM_Qty_Per_Batch]*IFERROR(INDEX(PP_Grid[#Data],M_BOM[PPGridRow],87),0))</f>
        <v/>
      </c>
      <c r="CJ96">
        <f>SUMPRODUCT((M_BOM[RM_Code]=$A96)*M_BOM[RM_Qty_Per_Batch]*IFERROR(INDEX(PP_Grid[#Data],M_BOM[PPGridRow],88),0))</f>
        <v/>
      </c>
      <c r="CK96">
        <f>SUMPRODUCT((M_BOM[RM_Code]=$A96)*M_BOM[RM_Qty_Per_Batch]*IFERROR(INDEX(PP_Grid[#Data],M_BOM[PPGridRow],89),0))</f>
        <v/>
      </c>
      <c r="CL96">
        <f>SUMPRODUCT((M_BOM[RM_Code]=$A96)*M_BOM[RM_Qty_Per_Batch]*IFERROR(INDEX(PP_Grid[#Data],M_BOM[PPGridRow],90),0))</f>
        <v/>
      </c>
      <c r="CM96">
        <f>SUMPRODUCT((M_BOM[RM_Code]=$A96)*M_BOM[RM_Qty_Per_Batch]*IFERROR(INDEX(PP_Grid[#Data],M_BOM[PPGridRow],91),0))</f>
        <v/>
      </c>
      <c r="CN96">
        <f>SUMPRODUCT((M_BOM[RM_Code]=$A96)*M_BOM[RM_Qty_Per_Batch]*IFERROR(INDEX(PP_Grid[#Data],M_BOM[PPGridRow],92),0))</f>
        <v/>
      </c>
      <c r="CO96">
        <f>SUMPRODUCT((M_BOM[RM_Code]=$A96)*M_BOM[RM_Qty_Per_Batch]*IFERROR(INDEX(PP_Grid[#Data],M_BOM[PPGridRow],93),0))</f>
        <v/>
      </c>
      <c r="CP96">
        <f>SUMPRODUCT((M_BOM[RM_Code]=$A96)*M_BOM[RM_Qty_Per_Batch]*IFERROR(INDEX(PP_Grid[#Data],M_BOM[PPGridRow],94),0))</f>
        <v/>
      </c>
      <c r="CQ96">
        <f>SUMPRODUCT((M_BOM[RM_Code]=$A96)*M_BOM[RM_Qty_Per_Batch]*IFERROR(INDEX(PP_Grid[#Data],M_BOM[PPGridRow],95),0))</f>
        <v/>
      </c>
      <c r="CR96">
        <f>SUMPRODUCT((M_BOM[RM_Code]=$A96)*M_BOM[RM_Qty_Per_Batch]*IFERROR(INDEX(PP_Grid[#Data],M_BOM[PPGridRow],96),0))</f>
        <v/>
      </c>
      <c r="CS96">
        <f>SUMPRODUCT((M_BOM[RM_Code]=$A96)*M_BOM[RM_Qty_Per_Batch]*IFERROR(INDEX(PP_Grid[#Data],M_BOM[PPGridRow],97),0))</f>
        <v/>
      </c>
      <c r="CT96">
        <f>SUMPRODUCT((M_BOM[RM_Code]=$A96)*M_BOM[RM_Qty_Per_Batch]*IFERROR(INDEX(PP_Grid[#Data],M_BOM[PPGridRow],98),0))</f>
        <v/>
      </c>
      <c r="CU96">
        <f>SUMPRODUCT((M_BOM[RM_Code]=$A96)*M_BOM[RM_Qty_Per_Batch]*IFERROR(INDEX(PP_Grid[#Data],M_BOM[PPGridRow],99),0))</f>
        <v/>
      </c>
      <c r="CV96">
        <f>SUMPRODUCT((M_BOM[RM_Code]=$A96)*M_BOM[RM_Qty_Per_Batch]*IFERROR(INDEX(PP_Grid[#Data],M_BOM[PPGridRow],100),0))</f>
        <v/>
      </c>
      <c r="CW96">
        <f>SUMPRODUCT((M_BOM[RM_Code]=$A96)*M_BOM[RM_Qty_Per_Batch]*IFERROR(INDEX(PP_Grid[#Data],M_BOM[PPGridRow],101),0))</f>
        <v/>
      </c>
      <c r="CX96">
        <f>SUMPRODUCT((M_BOM[RM_Code]=$A96)*M_BOM[RM_Qty_Per_Batch]*IFERROR(INDEX(PP_Grid[#Data],M_BOM[PPGridRow],102),0))</f>
        <v/>
      </c>
      <c r="CY96">
        <f>SUMPRODUCT((M_BOM[RM_Code]=$A96)*M_BOM[RM_Qty_Per_Batch]*IFERROR(INDEX(PP_Grid[#Data],M_BOM[PPGridRow],103),0))</f>
        <v/>
      </c>
      <c r="CZ96">
        <f>SUMPRODUCT((M_BOM[RM_Code]=$A96)*M_BOM[RM_Qty_Per_Batch]*IFERROR(INDEX(PP_Grid[#Data],M_BOM[PPGridRow],104),0))</f>
        <v/>
      </c>
      <c r="DA96">
        <f>SUMPRODUCT((M_BOM[RM_Code]=$A96)*M_BOM[RM_Qty_Per_Batch]*IFERROR(INDEX(PP_Grid[#Data],M_BOM[PPGridRow],105),0))</f>
        <v/>
      </c>
    </row>
    <row r="97">
      <c r="A97" t="inlineStr">
        <is>
          <t>CHEM-1620</t>
        </is>
      </c>
      <c r="B97">
        <f>SUMPRODUCT((M_BOM[RM_Code]=$A97)*M_BOM[RM_Qty_Per_Batch]*IFERROR(INDEX(PP_Grid[#Data],M_BOM[PPGridRow],2),0))</f>
        <v/>
      </c>
      <c r="C97">
        <f>SUMPRODUCT((M_BOM[RM_Code]=$A97)*M_BOM[RM_Qty_Per_Batch]*IFERROR(INDEX(PP_Grid[#Data],M_BOM[PPGridRow],3),0))</f>
        <v/>
      </c>
      <c r="D97">
        <f>SUMPRODUCT((M_BOM[RM_Code]=$A97)*M_BOM[RM_Qty_Per_Batch]*IFERROR(INDEX(PP_Grid[#Data],M_BOM[PPGridRow],4),0))</f>
        <v/>
      </c>
      <c r="E97">
        <f>SUMPRODUCT((M_BOM[RM_Code]=$A97)*M_BOM[RM_Qty_Per_Batch]*IFERROR(INDEX(PP_Grid[#Data],M_BOM[PPGridRow],5),0))</f>
        <v/>
      </c>
      <c r="F97">
        <f>SUMPRODUCT((M_BOM[RM_Code]=$A97)*M_BOM[RM_Qty_Per_Batch]*IFERROR(INDEX(PP_Grid[#Data],M_BOM[PPGridRow],6),0))</f>
        <v/>
      </c>
      <c r="G97">
        <f>SUMPRODUCT((M_BOM[RM_Code]=$A97)*M_BOM[RM_Qty_Per_Batch]*IFERROR(INDEX(PP_Grid[#Data],M_BOM[PPGridRow],7),0))</f>
        <v/>
      </c>
      <c r="H97">
        <f>SUMPRODUCT((M_BOM[RM_Code]=$A97)*M_BOM[RM_Qty_Per_Batch]*IFERROR(INDEX(PP_Grid[#Data],M_BOM[PPGridRow],8),0))</f>
        <v/>
      </c>
      <c r="I97">
        <f>SUMPRODUCT((M_BOM[RM_Code]=$A97)*M_BOM[RM_Qty_Per_Batch]*IFERROR(INDEX(PP_Grid[#Data],M_BOM[PPGridRow],9),0))</f>
        <v/>
      </c>
      <c r="J97">
        <f>SUMPRODUCT((M_BOM[RM_Code]=$A97)*M_BOM[RM_Qty_Per_Batch]*IFERROR(INDEX(PP_Grid[#Data],M_BOM[PPGridRow],10),0))</f>
        <v/>
      </c>
      <c r="K97">
        <f>SUMPRODUCT((M_BOM[RM_Code]=$A97)*M_BOM[RM_Qty_Per_Batch]*IFERROR(INDEX(PP_Grid[#Data],M_BOM[PPGridRow],11),0))</f>
        <v/>
      </c>
      <c r="L97">
        <f>SUMPRODUCT((M_BOM[RM_Code]=$A97)*M_BOM[RM_Qty_Per_Batch]*IFERROR(INDEX(PP_Grid[#Data],M_BOM[PPGridRow],12),0))</f>
        <v/>
      </c>
      <c r="M97">
        <f>SUMPRODUCT((M_BOM[RM_Code]=$A97)*M_BOM[RM_Qty_Per_Batch]*IFERROR(INDEX(PP_Grid[#Data],M_BOM[PPGridRow],13),0))</f>
        <v/>
      </c>
      <c r="N97">
        <f>SUMPRODUCT((M_BOM[RM_Code]=$A97)*M_BOM[RM_Qty_Per_Batch]*IFERROR(INDEX(PP_Grid[#Data],M_BOM[PPGridRow],14),0))</f>
        <v/>
      </c>
      <c r="O97">
        <f>SUMPRODUCT((M_BOM[RM_Code]=$A97)*M_BOM[RM_Qty_Per_Batch]*IFERROR(INDEX(PP_Grid[#Data],M_BOM[PPGridRow],15),0))</f>
        <v/>
      </c>
      <c r="P97">
        <f>SUMPRODUCT((M_BOM[RM_Code]=$A97)*M_BOM[RM_Qty_Per_Batch]*IFERROR(INDEX(PP_Grid[#Data],M_BOM[PPGridRow],16),0))</f>
        <v/>
      </c>
      <c r="Q97">
        <f>SUMPRODUCT((M_BOM[RM_Code]=$A97)*M_BOM[RM_Qty_Per_Batch]*IFERROR(INDEX(PP_Grid[#Data],M_BOM[PPGridRow],17),0))</f>
        <v/>
      </c>
      <c r="R97">
        <f>SUMPRODUCT((M_BOM[RM_Code]=$A97)*M_BOM[RM_Qty_Per_Batch]*IFERROR(INDEX(PP_Grid[#Data],M_BOM[PPGridRow],18),0))</f>
        <v/>
      </c>
      <c r="S97">
        <f>SUMPRODUCT((M_BOM[RM_Code]=$A97)*M_BOM[RM_Qty_Per_Batch]*IFERROR(INDEX(PP_Grid[#Data],M_BOM[PPGridRow],19),0))</f>
        <v/>
      </c>
      <c r="T97">
        <f>SUMPRODUCT((M_BOM[RM_Code]=$A97)*M_BOM[RM_Qty_Per_Batch]*IFERROR(INDEX(PP_Grid[#Data],M_BOM[PPGridRow],20),0))</f>
        <v/>
      </c>
      <c r="U97">
        <f>SUMPRODUCT((M_BOM[RM_Code]=$A97)*M_BOM[RM_Qty_Per_Batch]*IFERROR(INDEX(PP_Grid[#Data],M_BOM[PPGridRow],21),0))</f>
        <v/>
      </c>
      <c r="V97">
        <f>SUMPRODUCT((M_BOM[RM_Code]=$A97)*M_BOM[RM_Qty_Per_Batch]*IFERROR(INDEX(PP_Grid[#Data],M_BOM[PPGridRow],22),0))</f>
        <v/>
      </c>
      <c r="W97">
        <f>SUMPRODUCT((M_BOM[RM_Code]=$A97)*M_BOM[RM_Qty_Per_Batch]*IFERROR(INDEX(PP_Grid[#Data],M_BOM[PPGridRow],23),0))</f>
        <v/>
      </c>
      <c r="X97">
        <f>SUMPRODUCT((M_BOM[RM_Code]=$A97)*M_BOM[RM_Qty_Per_Batch]*IFERROR(INDEX(PP_Grid[#Data],M_BOM[PPGridRow],24),0))</f>
        <v/>
      </c>
      <c r="Y97">
        <f>SUMPRODUCT((M_BOM[RM_Code]=$A97)*M_BOM[RM_Qty_Per_Batch]*IFERROR(INDEX(PP_Grid[#Data],M_BOM[PPGridRow],25),0))</f>
        <v/>
      </c>
      <c r="Z97">
        <f>SUMPRODUCT((M_BOM[RM_Code]=$A97)*M_BOM[RM_Qty_Per_Batch]*IFERROR(INDEX(PP_Grid[#Data],M_BOM[PPGridRow],26),0))</f>
        <v/>
      </c>
      <c r="AA97">
        <f>SUMPRODUCT((M_BOM[RM_Code]=$A97)*M_BOM[RM_Qty_Per_Batch]*IFERROR(INDEX(PP_Grid[#Data],M_BOM[PPGridRow],27),0))</f>
        <v/>
      </c>
      <c r="AB97">
        <f>SUMPRODUCT((M_BOM[RM_Code]=$A97)*M_BOM[RM_Qty_Per_Batch]*IFERROR(INDEX(PP_Grid[#Data],M_BOM[PPGridRow],28),0))</f>
        <v/>
      </c>
      <c r="AC97">
        <f>SUMPRODUCT((M_BOM[RM_Code]=$A97)*M_BOM[RM_Qty_Per_Batch]*IFERROR(INDEX(PP_Grid[#Data],M_BOM[PPGridRow],29),0))</f>
        <v/>
      </c>
      <c r="AD97">
        <f>SUMPRODUCT((M_BOM[RM_Code]=$A97)*M_BOM[RM_Qty_Per_Batch]*IFERROR(INDEX(PP_Grid[#Data],M_BOM[PPGridRow],30),0))</f>
        <v/>
      </c>
      <c r="AE97">
        <f>SUMPRODUCT((M_BOM[RM_Code]=$A97)*M_BOM[RM_Qty_Per_Batch]*IFERROR(INDEX(PP_Grid[#Data],M_BOM[PPGridRow],31),0))</f>
        <v/>
      </c>
      <c r="AF97">
        <f>SUMPRODUCT((M_BOM[RM_Code]=$A97)*M_BOM[RM_Qty_Per_Batch]*IFERROR(INDEX(PP_Grid[#Data],M_BOM[PPGridRow],32),0))</f>
        <v/>
      </c>
      <c r="AG97">
        <f>SUMPRODUCT((M_BOM[RM_Code]=$A97)*M_BOM[RM_Qty_Per_Batch]*IFERROR(INDEX(PP_Grid[#Data],M_BOM[PPGridRow],33),0))</f>
        <v/>
      </c>
      <c r="AH97">
        <f>SUMPRODUCT((M_BOM[RM_Code]=$A97)*M_BOM[RM_Qty_Per_Batch]*IFERROR(INDEX(PP_Grid[#Data],M_BOM[PPGridRow],34),0))</f>
        <v/>
      </c>
      <c r="AI97">
        <f>SUMPRODUCT((M_BOM[RM_Code]=$A97)*M_BOM[RM_Qty_Per_Batch]*IFERROR(INDEX(PP_Grid[#Data],M_BOM[PPGridRow],35),0))</f>
        <v/>
      </c>
      <c r="AJ97">
        <f>SUMPRODUCT((M_BOM[RM_Code]=$A97)*M_BOM[RM_Qty_Per_Batch]*IFERROR(INDEX(PP_Grid[#Data],M_BOM[PPGridRow],36),0))</f>
        <v/>
      </c>
      <c r="AK97">
        <f>SUMPRODUCT((M_BOM[RM_Code]=$A97)*M_BOM[RM_Qty_Per_Batch]*IFERROR(INDEX(PP_Grid[#Data],M_BOM[PPGridRow],37),0))</f>
        <v/>
      </c>
      <c r="AL97">
        <f>SUMPRODUCT((M_BOM[RM_Code]=$A97)*M_BOM[RM_Qty_Per_Batch]*IFERROR(INDEX(PP_Grid[#Data],M_BOM[PPGridRow],38),0))</f>
        <v/>
      </c>
      <c r="AM97">
        <f>SUMPRODUCT((M_BOM[RM_Code]=$A97)*M_BOM[RM_Qty_Per_Batch]*IFERROR(INDEX(PP_Grid[#Data],M_BOM[PPGridRow],39),0))</f>
        <v/>
      </c>
      <c r="AN97">
        <f>SUMPRODUCT((M_BOM[RM_Code]=$A97)*M_BOM[RM_Qty_Per_Batch]*IFERROR(INDEX(PP_Grid[#Data],M_BOM[PPGridRow],40),0))</f>
        <v/>
      </c>
      <c r="AO97">
        <f>SUMPRODUCT((M_BOM[RM_Code]=$A97)*M_BOM[RM_Qty_Per_Batch]*IFERROR(INDEX(PP_Grid[#Data],M_BOM[PPGridRow],41),0))</f>
        <v/>
      </c>
      <c r="AP97">
        <f>SUMPRODUCT((M_BOM[RM_Code]=$A97)*M_BOM[RM_Qty_Per_Batch]*IFERROR(INDEX(PP_Grid[#Data],M_BOM[PPGridRow],42),0))</f>
        <v/>
      </c>
      <c r="AQ97">
        <f>SUMPRODUCT((M_BOM[RM_Code]=$A97)*M_BOM[RM_Qty_Per_Batch]*IFERROR(INDEX(PP_Grid[#Data],M_BOM[PPGridRow],43),0))</f>
        <v/>
      </c>
      <c r="AR97">
        <f>SUMPRODUCT((M_BOM[RM_Code]=$A97)*M_BOM[RM_Qty_Per_Batch]*IFERROR(INDEX(PP_Grid[#Data],M_BOM[PPGridRow],44),0))</f>
        <v/>
      </c>
      <c r="AS97">
        <f>SUMPRODUCT((M_BOM[RM_Code]=$A97)*M_BOM[RM_Qty_Per_Batch]*IFERROR(INDEX(PP_Grid[#Data],M_BOM[PPGridRow],45),0))</f>
        <v/>
      </c>
      <c r="AT97">
        <f>SUMPRODUCT((M_BOM[RM_Code]=$A97)*M_BOM[RM_Qty_Per_Batch]*IFERROR(INDEX(PP_Grid[#Data],M_BOM[PPGridRow],46),0))</f>
        <v/>
      </c>
      <c r="AU97">
        <f>SUMPRODUCT((M_BOM[RM_Code]=$A97)*M_BOM[RM_Qty_Per_Batch]*IFERROR(INDEX(PP_Grid[#Data],M_BOM[PPGridRow],47),0))</f>
        <v/>
      </c>
      <c r="AV97">
        <f>SUMPRODUCT((M_BOM[RM_Code]=$A97)*M_BOM[RM_Qty_Per_Batch]*IFERROR(INDEX(PP_Grid[#Data],M_BOM[PPGridRow],48),0))</f>
        <v/>
      </c>
      <c r="AW97">
        <f>SUMPRODUCT((M_BOM[RM_Code]=$A97)*M_BOM[RM_Qty_Per_Batch]*IFERROR(INDEX(PP_Grid[#Data],M_BOM[PPGridRow],49),0))</f>
        <v/>
      </c>
      <c r="AX97">
        <f>SUMPRODUCT((M_BOM[RM_Code]=$A97)*M_BOM[RM_Qty_Per_Batch]*IFERROR(INDEX(PP_Grid[#Data],M_BOM[PPGridRow],50),0))</f>
        <v/>
      </c>
      <c r="AY97">
        <f>SUMPRODUCT((M_BOM[RM_Code]=$A97)*M_BOM[RM_Qty_Per_Batch]*IFERROR(INDEX(PP_Grid[#Data],M_BOM[PPGridRow],51),0))</f>
        <v/>
      </c>
      <c r="AZ97">
        <f>SUMPRODUCT((M_BOM[RM_Code]=$A97)*M_BOM[RM_Qty_Per_Batch]*IFERROR(INDEX(PP_Grid[#Data],M_BOM[PPGridRow],52),0))</f>
        <v/>
      </c>
      <c r="BA97">
        <f>SUMPRODUCT((M_BOM[RM_Code]=$A97)*M_BOM[RM_Qty_Per_Batch]*IFERROR(INDEX(PP_Grid[#Data],M_BOM[PPGridRow],53),0))</f>
        <v/>
      </c>
      <c r="BB97">
        <f>SUMPRODUCT((M_BOM[RM_Code]=$A97)*M_BOM[RM_Qty_Per_Batch]*IFERROR(INDEX(PP_Grid[#Data],M_BOM[PPGridRow],54),0))</f>
        <v/>
      </c>
      <c r="BC97">
        <f>SUMPRODUCT((M_BOM[RM_Code]=$A97)*M_BOM[RM_Qty_Per_Batch]*IFERROR(INDEX(PP_Grid[#Data],M_BOM[PPGridRow],55),0))</f>
        <v/>
      </c>
      <c r="BD97">
        <f>SUMPRODUCT((M_BOM[RM_Code]=$A97)*M_BOM[RM_Qty_Per_Batch]*IFERROR(INDEX(PP_Grid[#Data],M_BOM[PPGridRow],56),0))</f>
        <v/>
      </c>
      <c r="BE97">
        <f>SUMPRODUCT((M_BOM[RM_Code]=$A97)*M_BOM[RM_Qty_Per_Batch]*IFERROR(INDEX(PP_Grid[#Data],M_BOM[PPGridRow],57),0))</f>
        <v/>
      </c>
      <c r="BF97">
        <f>SUMPRODUCT((M_BOM[RM_Code]=$A97)*M_BOM[RM_Qty_Per_Batch]*IFERROR(INDEX(PP_Grid[#Data],M_BOM[PPGridRow],58),0))</f>
        <v/>
      </c>
      <c r="BG97">
        <f>SUMPRODUCT((M_BOM[RM_Code]=$A97)*M_BOM[RM_Qty_Per_Batch]*IFERROR(INDEX(PP_Grid[#Data],M_BOM[PPGridRow],59),0))</f>
        <v/>
      </c>
      <c r="BH97">
        <f>SUMPRODUCT((M_BOM[RM_Code]=$A97)*M_BOM[RM_Qty_Per_Batch]*IFERROR(INDEX(PP_Grid[#Data],M_BOM[PPGridRow],60),0))</f>
        <v/>
      </c>
      <c r="BI97">
        <f>SUMPRODUCT((M_BOM[RM_Code]=$A97)*M_BOM[RM_Qty_Per_Batch]*IFERROR(INDEX(PP_Grid[#Data],M_BOM[PPGridRow],61),0))</f>
        <v/>
      </c>
      <c r="BJ97">
        <f>SUMPRODUCT((M_BOM[RM_Code]=$A97)*M_BOM[RM_Qty_Per_Batch]*IFERROR(INDEX(PP_Grid[#Data],M_BOM[PPGridRow],62),0))</f>
        <v/>
      </c>
      <c r="BK97">
        <f>SUMPRODUCT((M_BOM[RM_Code]=$A97)*M_BOM[RM_Qty_Per_Batch]*IFERROR(INDEX(PP_Grid[#Data],M_BOM[PPGridRow],63),0))</f>
        <v/>
      </c>
      <c r="BL97">
        <f>SUMPRODUCT((M_BOM[RM_Code]=$A97)*M_BOM[RM_Qty_Per_Batch]*IFERROR(INDEX(PP_Grid[#Data],M_BOM[PPGridRow],64),0))</f>
        <v/>
      </c>
      <c r="BM97">
        <f>SUMPRODUCT((M_BOM[RM_Code]=$A97)*M_BOM[RM_Qty_Per_Batch]*IFERROR(INDEX(PP_Grid[#Data],M_BOM[PPGridRow],65),0))</f>
        <v/>
      </c>
      <c r="BN97">
        <f>SUMPRODUCT((M_BOM[RM_Code]=$A97)*M_BOM[RM_Qty_Per_Batch]*IFERROR(INDEX(PP_Grid[#Data],M_BOM[PPGridRow],66),0))</f>
        <v/>
      </c>
      <c r="BO97">
        <f>SUMPRODUCT((M_BOM[RM_Code]=$A97)*M_BOM[RM_Qty_Per_Batch]*IFERROR(INDEX(PP_Grid[#Data],M_BOM[PPGridRow],67),0))</f>
        <v/>
      </c>
      <c r="BP97">
        <f>SUMPRODUCT((M_BOM[RM_Code]=$A97)*M_BOM[RM_Qty_Per_Batch]*IFERROR(INDEX(PP_Grid[#Data],M_BOM[PPGridRow],68),0))</f>
        <v/>
      </c>
      <c r="BQ97">
        <f>SUMPRODUCT((M_BOM[RM_Code]=$A97)*M_BOM[RM_Qty_Per_Batch]*IFERROR(INDEX(PP_Grid[#Data],M_BOM[PPGridRow],69),0))</f>
        <v/>
      </c>
      <c r="BR97">
        <f>SUMPRODUCT((M_BOM[RM_Code]=$A97)*M_BOM[RM_Qty_Per_Batch]*IFERROR(INDEX(PP_Grid[#Data],M_BOM[PPGridRow],70),0))</f>
        <v/>
      </c>
      <c r="BS97">
        <f>SUMPRODUCT((M_BOM[RM_Code]=$A97)*M_BOM[RM_Qty_Per_Batch]*IFERROR(INDEX(PP_Grid[#Data],M_BOM[PPGridRow],71),0))</f>
        <v/>
      </c>
      <c r="BT97">
        <f>SUMPRODUCT((M_BOM[RM_Code]=$A97)*M_BOM[RM_Qty_Per_Batch]*IFERROR(INDEX(PP_Grid[#Data],M_BOM[PPGridRow],72),0))</f>
        <v/>
      </c>
      <c r="BU97">
        <f>SUMPRODUCT((M_BOM[RM_Code]=$A97)*M_BOM[RM_Qty_Per_Batch]*IFERROR(INDEX(PP_Grid[#Data],M_BOM[PPGridRow],73),0))</f>
        <v/>
      </c>
      <c r="BV97">
        <f>SUMPRODUCT((M_BOM[RM_Code]=$A97)*M_BOM[RM_Qty_Per_Batch]*IFERROR(INDEX(PP_Grid[#Data],M_BOM[PPGridRow],74),0))</f>
        <v/>
      </c>
      <c r="BW97">
        <f>SUMPRODUCT((M_BOM[RM_Code]=$A97)*M_BOM[RM_Qty_Per_Batch]*IFERROR(INDEX(PP_Grid[#Data],M_BOM[PPGridRow],75),0))</f>
        <v/>
      </c>
      <c r="BX97">
        <f>SUMPRODUCT((M_BOM[RM_Code]=$A97)*M_BOM[RM_Qty_Per_Batch]*IFERROR(INDEX(PP_Grid[#Data],M_BOM[PPGridRow],76),0))</f>
        <v/>
      </c>
      <c r="BY97">
        <f>SUMPRODUCT((M_BOM[RM_Code]=$A97)*M_BOM[RM_Qty_Per_Batch]*IFERROR(INDEX(PP_Grid[#Data],M_BOM[PPGridRow],77),0))</f>
        <v/>
      </c>
      <c r="BZ97">
        <f>SUMPRODUCT((M_BOM[RM_Code]=$A97)*M_BOM[RM_Qty_Per_Batch]*IFERROR(INDEX(PP_Grid[#Data],M_BOM[PPGridRow],78),0))</f>
        <v/>
      </c>
      <c r="CA97">
        <f>SUMPRODUCT((M_BOM[RM_Code]=$A97)*M_BOM[RM_Qty_Per_Batch]*IFERROR(INDEX(PP_Grid[#Data],M_BOM[PPGridRow],79),0))</f>
        <v/>
      </c>
      <c r="CB97">
        <f>SUMPRODUCT((M_BOM[RM_Code]=$A97)*M_BOM[RM_Qty_Per_Batch]*IFERROR(INDEX(PP_Grid[#Data],M_BOM[PPGridRow],80),0))</f>
        <v/>
      </c>
      <c r="CC97">
        <f>SUMPRODUCT((M_BOM[RM_Code]=$A97)*M_BOM[RM_Qty_Per_Batch]*IFERROR(INDEX(PP_Grid[#Data],M_BOM[PPGridRow],81),0))</f>
        <v/>
      </c>
      <c r="CD97">
        <f>SUMPRODUCT((M_BOM[RM_Code]=$A97)*M_BOM[RM_Qty_Per_Batch]*IFERROR(INDEX(PP_Grid[#Data],M_BOM[PPGridRow],82),0))</f>
        <v/>
      </c>
      <c r="CE97">
        <f>SUMPRODUCT((M_BOM[RM_Code]=$A97)*M_BOM[RM_Qty_Per_Batch]*IFERROR(INDEX(PP_Grid[#Data],M_BOM[PPGridRow],83),0))</f>
        <v/>
      </c>
      <c r="CF97">
        <f>SUMPRODUCT((M_BOM[RM_Code]=$A97)*M_BOM[RM_Qty_Per_Batch]*IFERROR(INDEX(PP_Grid[#Data],M_BOM[PPGridRow],84),0))</f>
        <v/>
      </c>
      <c r="CG97">
        <f>SUMPRODUCT((M_BOM[RM_Code]=$A97)*M_BOM[RM_Qty_Per_Batch]*IFERROR(INDEX(PP_Grid[#Data],M_BOM[PPGridRow],85),0))</f>
        <v/>
      </c>
      <c r="CH97">
        <f>SUMPRODUCT((M_BOM[RM_Code]=$A97)*M_BOM[RM_Qty_Per_Batch]*IFERROR(INDEX(PP_Grid[#Data],M_BOM[PPGridRow],86),0))</f>
        <v/>
      </c>
      <c r="CI97">
        <f>SUMPRODUCT((M_BOM[RM_Code]=$A97)*M_BOM[RM_Qty_Per_Batch]*IFERROR(INDEX(PP_Grid[#Data],M_BOM[PPGridRow],87),0))</f>
        <v/>
      </c>
      <c r="CJ97">
        <f>SUMPRODUCT((M_BOM[RM_Code]=$A97)*M_BOM[RM_Qty_Per_Batch]*IFERROR(INDEX(PP_Grid[#Data],M_BOM[PPGridRow],88),0))</f>
        <v/>
      </c>
      <c r="CK97">
        <f>SUMPRODUCT((M_BOM[RM_Code]=$A97)*M_BOM[RM_Qty_Per_Batch]*IFERROR(INDEX(PP_Grid[#Data],M_BOM[PPGridRow],89),0))</f>
        <v/>
      </c>
      <c r="CL97">
        <f>SUMPRODUCT((M_BOM[RM_Code]=$A97)*M_BOM[RM_Qty_Per_Batch]*IFERROR(INDEX(PP_Grid[#Data],M_BOM[PPGridRow],90),0))</f>
        <v/>
      </c>
      <c r="CM97">
        <f>SUMPRODUCT((M_BOM[RM_Code]=$A97)*M_BOM[RM_Qty_Per_Batch]*IFERROR(INDEX(PP_Grid[#Data],M_BOM[PPGridRow],91),0))</f>
        <v/>
      </c>
      <c r="CN97">
        <f>SUMPRODUCT((M_BOM[RM_Code]=$A97)*M_BOM[RM_Qty_Per_Batch]*IFERROR(INDEX(PP_Grid[#Data],M_BOM[PPGridRow],92),0))</f>
        <v/>
      </c>
      <c r="CO97">
        <f>SUMPRODUCT((M_BOM[RM_Code]=$A97)*M_BOM[RM_Qty_Per_Batch]*IFERROR(INDEX(PP_Grid[#Data],M_BOM[PPGridRow],93),0))</f>
        <v/>
      </c>
      <c r="CP97">
        <f>SUMPRODUCT((M_BOM[RM_Code]=$A97)*M_BOM[RM_Qty_Per_Batch]*IFERROR(INDEX(PP_Grid[#Data],M_BOM[PPGridRow],94),0))</f>
        <v/>
      </c>
      <c r="CQ97">
        <f>SUMPRODUCT((M_BOM[RM_Code]=$A97)*M_BOM[RM_Qty_Per_Batch]*IFERROR(INDEX(PP_Grid[#Data],M_BOM[PPGridRow],95),0))</f>
        <v/>
      </c>
      <c r="CR97">
        <f>SUMPRODUCT((M_BOM[RM_Code]=$A97)*M_BOM[RM_Qty_Per_Batch]*IFERROR(INDEX(PP_Grid[#Data],M_BOM[PPGridRow],96),0))</f>
        <v/>
      </c>
      <c r="CS97">
        <f>SUMPRODUCT((M_BOM[RM_Code]=$A97)*M_BOM[RM_Qty_Per_Batch]*IFERROR(INDEX(PP_Grid[#Data],M_BOM[PPGridRow],97),0))</f>
        <v/>
      </c>
      <c r="CT97">
        <f>SUMPRODUCT((M_BOM[RM_Code]=$A97)*M_BOM[RM_Qty_Per_Batch]*IFERROR(INDEX(PP_Grid[#Data],M_BOM[PPGridRow],98),0))</f>
        <v/>
      </c>
      <c r="CU97">
        <f>SUMPRODUCT((M_BOM[RM_Code]=$A97)*M_BOM[RM_Qty_Per_Batch]*IFERROR(INDEX(PP_Grid[#Data],M_BOM[PPGridRow],99),0))</f>
        <v/>
      </c>
      <c r="CV97">
        <f>SUMPRODUCT((M_BOM[RM_Code]=$A97)*M_BOM[RM_Qty_Per_Batch]*IFERROR(INDEX(PP_Grid[#Data],M_BOM[PPGridRow],100),0))</f>
        <v/>
      </c>
      <c r="CW97">
        <f>SUMPRODUCT((M_BOM[RM_Code]=$A97)*M_BOM[RM_Qty_Per_Batch]*IFERROR(INDEX(PP_Grid[#Data],M_BOM[PPGridRow],101),0))</f>
        <v/>
      </c>
      <c r="CX97">
        <f>SUMPRODUCT((M_BOM[RM_Code]=$A97)*M_BOM[RM_Qty_Per_Batch]*IFERROR(INDEX(PP_Grid[#Data],M_BOM[PPGridRow],102),0))</f>
        <v/>
      </c>
      <c r="CY97">
        <f>SUMPRODUCT((M_BOM[RM_Code]=$A97)*M_BOM[RM_Qty_Per_Batch]*IFERROR(INDEX(PP_Grid[#Data],M_BOM[PPGridRow],103),0))</f>
        <v/>
      </c>
      <c r="CZ97">
        <f>SUMPRODUCT((M_BOM[RM_Code]=$A97)*M_BOM[RM_Qty_Per_Batch]*IFERROR(INDEX(PP_Grid[#Data],M_BOM[PPGridRow],104),0))</f>
        <v/>
      </c>
      <c r="DA97">
        <f>SUMPRODUCT((M_BOM[RM_Code]=$A97)*M_BOM[RM_Qty_Per_Batch]*IFERROR(INDEX(PP_Grid[#Data],M_BOM[PPGridRow],105),0))</f>
        <v/>
      </c>
    </row>
    <row r="98">
      <c r="A98" t="inlineStr">
        <is>
          <t>CHEM-1050</t>
        </is>
      </c>
      <c r="B98">
        <f>SUMPRODUCT((M_BOM[RM_Code]=$A98)*M_BOM[RM_Qty_Per_Batch]*IFERROR(INDEX(PP_Grid[#Data],M_BOM[PPGridRow],2),0))</f>
        <v/>
      </c>
      <c r="C98">
        <f>SUMPRODUCT((M_BOM[RM_Code]=$A98)*M_BOM[RM_Qty_Per_Batch]*IFERROR(INDEX(PP_Grid[#Data],M_BOM[PPGridRow],3),0))</f>
        <v/>
      </c>
      <c r="D98">
        <f>SUMPRODUCT((M_BOM[RM_Code]=$A98)*M_BOM[RM_Qty_Per_Batch]*IFERROR(INDEX(PP_Grid[#Data],M_BOM[PPGridRow],4),0))</f>
        <v/>
      </c>
      <c r="E98">
        <f>SUMPRODUCT((M_BOM[RM_Code]=$A98)*M_BOM[RM_Qty_Per_Batch]*IFERROR(INDEX(PP_Grid[#Data],M_BOM[PPGridRow],5),0))</f>
        <v/>
      </c>
      <c r="F98">
        <f>SUMPRODUCT((M_BOM[RM_Code]=$A98)*M_BOM[RM_Qty_Per_Batch]*IFERROR(INDEX(PP_Grid[#Data],M_BOM[PPGridRow],6),0))</f>
        <v/>
      </c>
      <c r="G98">
        <f>SUMPRODUCT((M_BOM[RM_Code]=$A98)*M_BOM[RM_Qty_Per_Batch]*IFERROR(INDEX(PP_Grid[#Data],M_BOM[PPGridRow],7),0))</f>
        <v/>
      </c>
      <c r="H98">
        <f>SUMPRODUCT((M_BOM[RM_Code]=$A98)*M_BOM[RM_Qty_Per_Batch]*IFERROR(INDEX(PP_Grid[#Data],M_BOM[PPGridRow],8),0))</f>
        <v/>
      </c>
      <c r="I98">
        <f>SUMPRODUCT((M_BOM[RM_Code]=$A98)*M_BOM[RM_Qty_Per_Batch]*IFERROR(INDEX(PP_Grid[#Data],M_BOM[PPGridRow],9),0))</f>
        <v/>
      </c>
      <c r="J98">
        <f>SUMPRODUCT((M_BOM[RM_Code]=$A98)*M_BOM[RM_Qty_Per_Batch]*IFERROR(INDEX(PP_Grid[#Data],M_BOM[PPGridRow],10),0))</f>
        <v/>
      </c>
      <c r="K98">
        <f>SUMPRODUCT((M_BOM[RM_Code]=$A98)*M_BOM[RM_Qty_Per_Batch]*IFERROR(INDEX(PP_Grid[#Data],M_BOM[PPGridRow],11),0))</f>
        <v/>
      </c>
      <c r="L98">
        <f>SUMPRODUCT((M_BOM[RM_Code]=$A98)*M_BOM[RM_Qty_Per_Batch]*IFERROR(INDEX(PP_Grid[#Data],M_BOM[PPGridRow],12),0))</f>
        <v/>
      </c>
      <c r="M98">
        <f>SUMPRODUCT((M_BOM[RM_Code]=$A98)*M_BOM[RM_Qty_Per_Batch]*IFERROR(INDEX(PP_Grid[#Data],M_BOM[PPGridRow],13),0))</f>
        <v/>
      </c>
      <c r="N98">
        <f>SUMPRODUCT((M_BOM[RM_Code]=$A98)*M_BOM[RM_Qty_Per_Batch]*IFERROR(INDEX(PP_Grid[#Data],M_BOM[PPGridRow],14),0))</f>
        <v/>
      </c>
      <c r="O98">
        <f>SUMPRODUCT((M_BOM[RM_Code]=$A98)*M_BOM[RM_Qty_Per_Batch]*IFERROR(INDEX(PP_Grid[#Data],M_BOM[PPGridRow],15),0))</f>
        <v/>
      </c>
      <c r="P98">
        <f>SUMPRODUCT((M_BOM[RM_Code]=$A98)*M_BOM[RM_Qty_Per_Batch]*IFERROR(INDEX(PP_Grid[#Data],M_BOM[PPGridRow],16),0))</f>
        <v/>
      </c>
      <c r="Q98">
        <f>SUMPRODUCT((M_BOM[RM_Code]=$A98)*M_BOM[RM_Qty_Per_Batch]*IFERROR(INDEX(PP_Grid[#Data],M_BOM[PPGridRow],17),0))</f>
        <v/>
      </c>
      <c r="R98">
        <f>SUMPRODUCT((M_BOM[RM_Code]=$A98)*M_BOM[RM_Qty_Per_Batch]*IFERROR(INDEX(PP_Grid[#Data],M_BOM[PPGridRow],18),0))</f>
        <v/>
      </c>
      <c r="S98">
        <f>SUMPRODUCT((M_BOM[RM_Code]=$A98)*M_BOM[RM_Qty_Per_Batch]*IFERROR(INDEX(PP_Grid[#Data],M_BOM[PPGridRow],19),0))</f>
        <v/>
      </c>
      <c r="T98">
        <f>SUMPRODUCT((M_BOM[RM_Code]=$A98)*M_BOM[RM_Qty_Per_Batch]*IFERROR(INDEX(PP_Grid[#Data],M_BOM[PPGridRow],20),0))</f>
        <v/>
      </c>
      <c r="U98">
        <f>SUMPRODUCT((M_BOM[RM_Code]=$A98)*M_BOM[RM_Qty_Per_Batch]*IFERROR(INDEX(PP_Grid[#Data],M_BOM[PPGridRow],21),0))</f>
        <v/>
      </c>
      <c r="V98">
        <f>SUMPRODUCT((M_BOM[RM_Code]=$A98)*M_BOM[RM_Qty_Per_Batch]*IFERROR(INDEX(PP_Grid[#Data],M_BOM[PPGridRow],22),0))</f>
        <v/>
      </c>
      <c r="W98">
        <f>SUMPRODUCT((M_BOM[RM_Code]=$A98)*M_BOM[RM_Qty_Per_Batch]*IFERROR(INDEX(PP_Grid[#Data],M_BOM[PPGridRow],23),0))</f>
        <v/>
      </c>
      <c r="X98">
        <f>SUMPRODUCT((M_BOM[RM_Code]=$A98)*M_BOM[RM_Qty_Per_Batch]*IFERROR(INDEX(PP_Grid[#Data],M_BOM[PPGridRow],24),0))</f>
        <v/>
      </c>
      <c r="Y98">
        <f>SUMPRODUCT((M_BOM[RM_Code]=$A98)*M_BOM[RM_Qty_Per_Batch]*IFERROR(INDEX(PP_Grid[#Data],M_BOM[PPGridRow],25),0))</f>
        <v/>
      </c>
      <c r="Z98">
        <f>SUMPRODUCT((M_BOM[RM_Code]=$A98)*M_BOM[RM_Qty_Per_Batch]*IFERROR(INDEX(PP_Grid[#Data],M_BOM[PPGridRow],26),0))</f>
        <v/>
      </c>
      <c r="AA98">
        <f>SUMPRODUCT((M_BOM[RM_Code]=$A98)*M_BOM[RM_Qty_Per_Batch]*IFERROR(INDEX(PP_Grid[#Data],M_BOM[PPGridRow],27),0))</f>
        <v/>
      </c>
      <c r="AB98">
        <f>SUMPRODUCT((M_BOM[RM_Code]=$A98)*M_BOM[RM_Qty_Per_Batch]*IFERROR(INDEX(PP_Grid[#Data],M_BOM[PPGridRow],28),0))</f>
        <v/>
      </c>
      <c r="AC98">
        <f>SUMPRODUCT((M_BOM[RM_Code]=$A98)*M_BOM[RM_Qty_Per_Batch]*IFERROR(INDEX(PP_Grid[#Data],M_BOM[PPGridRow],29),0))</f>
        <v/>
      </c>
      <c r="AD98">
        <f>SUMPRODUCT((M_BOM[RM_Code]=$A98)*M_BOM[RM_Qty_Per_Batch]*IFERROR(INDEX(PP_Grid[#Data],M_BOM[PPGridRow],30),0))</f>
        <v/>
      </c>
      <c r="AE98">
        <f>SUMPRODUCT((M_BOM[RM_Code]=$A98)*M_BOM[RM_Qty_Per_Batch]*IFERROR(INDEX(PP_Grid[#Data],M_BOM[PPGridRow],31),0))</f>
        <v/>
      </c>
      <c r="AF98">
        <f>SUMPRODUCT((M_BOM[RM_Code]=$A98)*M_BOM[RM_Qty_Per_Batch]*IFERROR(INDEX(PP_Grid[#Data],M_BOM[PPGridRow],32),0))</f>
        <v/>
      </c>
      <c r="AG98">
        <f>SUMPRODUCT((M_BOM[RM_Code]=$A98)*M_BOM[RM_Qty_Per_Batch]*IFERROR(INDEX(PP_Grid[#Data],M_BOM[PPGridRow],33),0))</f>
        <v/>
      </c>
      <c r="AH98">
        <f>SUMPRODUCT((M_BOM[RM_Code]=$A98)*M_BOM[RM_Qty_Per_Batch]*IFERROR(INDEX(PP_Grid[#Data],M_BOM[PPGridRow],34),0))</f>
        <v/>
      </c>
      <c r="AI98">
        <f>SUMPRODUCT((M_BOM[RM_Code]=$A98)*M_BOM[RM_Qty_Per_Batch]*IFERROR(INDEX(PP_Grid[#Data],M_BOM[PPGridRow],35),0))</f>
        <v/>
      </c>
      <c r="AJ98">
        <f>SUMPRODUCT((M_BOM[RM_Code]=$A98)*M_BOM[RM_Qty_Per_Batch]*IFERROR(INDEX(PP_Grid[#Data],M_BOM[PPGridRow],36),0))</f>
        <v/>
      </c>
      <c r="AK98">
        <f>SUMPRODUCT((M_BOM[RM_Code]=$A98)*M_BOM[RM_Qty_Per_Batch]*IFERROR(INDEX(PP_Grid[#Data],M_BOM[PPGridRow],37),0))</f>
        <v/>
      </c>
      <c r="AL98">
        <f>SUMPRODUCT((M_BOM[RM_Code]=$A98)*M_BOM[RM_Qty_Per_Batch]*IFERROR(INDEX(PP_Grid[#Data],M_BOM[PPGridRow],38),0))</f>
        <v/>
      </c>
      <c r="AM98">
        <f>SUMPRODUCT((M_BOM[RM_Code]=$A98)*M_BOM[RM_Qty_Per_Batch]*IFERROR(INDEX(PP_Grid[#Data],M_BOM[PPGridRow],39),0))</f>
        <v/>
      </c>
      <c r="AN98">
        <f>SUMPRODUCT((M_BOM[RM_Code]=$A98)*M_BOM[RM_Qty_Per_Batch]*IFERROR(INDEX(PP_Grid[#Data],M_BOM[PPGridRow],40),0))</f>
        <v/>
      </c>
      <c r="AO98">
        <f>SUMPRODUCT((M_BOM[RM_Code]=$A98)*M_BOM[RM_Qty_Per_Batch]*IFERROR(INDEX(PP_Grid[#Data],M_BOM[PPGridRow],41),0))</f>
        <v/>
      </c>
      <c r="AP98">
        <f>SUMPRODUCT((M_BOM[RM_Code]=$A98)*M_BOM[RM_Qty_Per_Batch]*IFERROR(INDEX(PP_Grid[#Data],M_BOM[PPGridRow],42),0))</f>
        <v/>
      </c>
      <c r="AQ98">
        <f>SUMPRODUCT((M_BOM[RM_Code]=$A98)*M_BOM[RM_Qty_Per_Batch]*IFERROR(INDEX(PP_Grid[#Data],M_BOM[PPGridRow],43),0))</f>
        <v/>
      </c>
      <c r="AR98">
        <f>SUMPRODUCT((M_BOM[RM_Code]=$A98)*M_BOM[RM_Qty_Per_Batch]*IFERROR(INDEX(PP_Grid[#Data],M_BOM[PPGridRow],44),0))</f>
        <v/>
      </c>
      <c r="AS98">
        <f>SUMPRODUCT((M_BOM[RM_Code]=$A98)*M_BOM[RM_Qty_Per_Batch]*IFERROR(INDEX(PP_Grid[#Data],M_BOM[PPGridRow],45),0))</f>
        <v/>
      </c>
      <c r="AT98">
        <f>SUMPRODUCT((M_BOM[RM_Code]=$A98)*M_BOM[RM_Qty_Per_Batch]*IFERROR(INDEX(PP_Grid[#Data],M_BOM[PPGridRow],46),0))</f>
        <v/>
      </c>
      <c r="AU98">
        <f>SUMPRODUCT((M_BOM[RM_Code]=$A98)*M_BOM[RM_Qty_Per_Batch]*IFERROR(INDEX(PP_Grid[#Data],M_BOM[PPGridRow],47),0))</f>
        <v/>
      </c>
      <c r="AV98">
        <f>SUMPRODUCT((M_BOM[RM_Code]=$A98)*M_BOM[RM_Qty_Per_Batch]*IFERROR(INDEX(PP_Grid[#Data],M_BOM[PPGridRow],48),0))</f>
        <v/>
      </c>
      <c r="AW98">
        <f>SUMPRODUCT((M_BOM[RM_Code]=$A98)*M_BOM[RM_Qty_Per_Batch]*IFERROR(INDEX(PP_Grid[#Data],M_BOM[PPGridRow],49),0))</f>
        <v/>
      </c>
      <c r="AX98">
        <f>SUMPRODUCT((M_BOM[RM_Code]=$A98)*M_BOM[RM_Qty_Per_Batch]*IFERROR(INDEX(PP_Grid[#Data],M_BOM[PPGridRow],50),0))</f>
        <v/>
      </c>
      <c r="AY98">
        <f>SUMPRODUCT((M_BOM[RM_Code]=$A98)*M_BOM[RM_Qty_Per_Batch]*IFERROR(INDEX(PP_Grid[#Data],M_BOM[PPGridRow],51),0))</f>
        <v/>
      </c>
      <c r="AZ98">
        <f>SUMPRODUCT((M_BOM[RM_Code]=$A98)*M_BOM[RM_Qty_Per_Batch]*IFERROR(INDEX(PP_Grid[#Data],M_BOM[PPGridRow],52),0))</f>
        <v/>
      </c>
      <c r="BA98">
        <f>SUMPRODUCT((M_BOM[RM_Code]=$A98)*M_BOM[RM_Qty_Per_Batch]*IFERROR(INDEX(PP_Grid[#Data],M_BOM[PPGridRow],53),0))</f>
        <v/>
      </c>
      <c r="BB98">
        <f>SUMPRODUCT((M_BOM[RM_Code]=$A98)*M_BOM[RM_Qty_Per_Batch]*IFERROR(INDEX(PP_Grid[#Data],M_BOM[PPGridRow],54),0))</f>
        <v/>
      </c>
      <c r="BC98">
        <f>SUMPRODUCT((M_BOM[RM_Code]=$A98)*M_BOM[RM_Qty_Per_Batch]*IFERROR(INDEX(PP_Grid[#Data],M_BOM[PPGridRow],55),0))</f>
        <v/>
      </c>
      <c r="BD98">
        <f>SUMPRODUCT((M_BOM[RM_Code]=$A98)*M_BOM[RM_Qty_Per_Batch]*IFERROR(INDEX(PP_Grid[#Data],M_BOM[PPGridRow],56),0))</f>
        <v/>
      </c>
      <c r="BE98">
        <f>SUMPRODUCT((M_BOM[RM_Code]=$A98)*M_BOM[RM_Qty_Per_Batch]*IFERROR(INDEX(PP_Grid[#Data],M_BOM[PPGridRow],57),0))</f>
        <v/>
      </c>
      <c r="BF98">
        <f>SUMPRODUCT((M_BOM[RM_Code]=$A98)*M_BOM[RM_Qty_Per_Batch]*IFERROR(INDEX(PP_Grid[#Data],M_BOM[PPGridRow],58),0))</f>
        <v/>
      </c>
      <c r="BG98">
        <f>SUMPRODUCT((M_BOM[RM_Code]=$A98)*M_BOM[RM_Qty_Per_Batch]*IFERROR(INDEX(PP_Grid[#Data],M_BOM[PPGridRow],59),0))</f>
        <v/>
      </c>
      <c r="BH98">
        <f>SUMPRODUCT((M_BOM[RM_Code]=$A98)*M_BOM[RM_Qty_Per_Batch]*IFERROR(INDEX(PP_Grid[#Data],M_BOM[PPGridRow],60),0))</f>
        <v/>
      </c>
      <c r="BI98">
        <f>SUMPRODUCT((M_BOM[RM_Code]=$A98)*M_BOM[RM_Qty_Per_Batch]*IFERROR(INDEX(PP_Grid[#Data],M_BOM[PPGridRow],61),0))</f>
        <v/>
      </c>
      <c r="BJ98">
        <f>SUMPRODUCT((M_BOM[RM_Code]=$A98)*M_BOM[RM_Qty_Per_Batch]*IFERROR(INDEX(PP_Grid[#Data],M_BOM[PPGridRow],62),0))</f>
        <v/>
      </c>
      <c r="BK98">
        <f>SUMPRODUCT((M_BOM[RM_Code]=$A98)*M_BOM[RM_Qty_Per_Batch]*IFERROR(INDEX(PP_Grid[#Data],M_BOM[PPGridRow],63),0))</f>
        <v/>
      </c>
      <c r="BL98">
        <f>SUMPRODUCT((M_BOM[RM_Code]=$A98)*M_BOM[RM_Qty_Per_Batch]*IFERROR(INDEX(PP_Grid[#Data],M_BOM[PPGridRow],64),0))</f>
        <v/>
      </c>
      <c r="BM98">
        <f>SUMPRODUCT((M_BOM[RM_Code]=$A98)*M_BOM[RM_Qty_Per_Batch]*IFERROR(INDEX(PP_Grid[#Data],M_BOM[PPGridRow],65),0))</f>
        <v/>
      </c>
      <c r="BN98">
        <f>SUMPRODUCT((M_BOM[RM_Code]=$A98)*M_BOM[RM_Qty_Per_Batch]*IFERROR(INDEX(PP_Grid[#Data],M_BOM[PPGridRow],66),0))</f>
        <v/>
      </c>
      <c r="BO98">
        <f>SUMPRODUCT((M_BOM[RM_Code]=$A98)*M_BOM[RM_Qty_Per_Batch]*IFERROR(INDEX(PP_Grid[#Data],M_BOM[PPGridRow],67),0))</f>
        <v/>
      </c>
      <c r="BP98">
        <f>SUMPRODUCT((M_BOM[RM_Code]=$A98)*M_BOM[RM_Qty_Per_Batch]*IFERROR(INDEX(PP_Grid[#Data],M_BOM[PPGridRow],68),0))</f>
        <v/>
      </c>
      <c r="BQ98">
        <f>SUMPRODUCT((M_BOM[RM_Code]=$A98)*M_BOM[RM_Qty_Per_Batch]*IFERROR(INDEX(PP_Grid[#Data],M_BOM[PPGridRow],69),0))</f>
        <v/>
      </c>
      <c r="BR98">
        <f>SUMPRODUCT((M_BOM[RM_Code]=$A98)*M_BOM[RM_Qty_Per_Batch]*IFERROR(INDEX(PP_Grid[#Data],M_BOM[PPGridRow],70),0))</f>
        <v/>
      </c>
      <c r="BS98">
        <f>SUMPRODUCT((M_BOM[RM_Code]=$A98)*M_BOM[RM_Qty_Per_Batch]*IFERROR(INDEX(PP_Grid[#Data],M_BOM[PPGridRow],71),0))</f>
        <v/>
      </c>
      <c r="BT98">
        <f>SUMPRODUCT((M_BOM[RM_Code]=$A98)*M_BOM[RM_Qty_Per_Batch]*IFERROR(INDEX(PP_Grid[#Data],M_BOM[PPGridRow],72),0))</f>
        <v/>
      </c>
      <c r="BU98">
        <f>SUMPRODUCT((M_BOM[RM_Code]=$A98)*M_BOM[RM_Qty_Per_Batch]*IFERROR(INDEX(PP_Grid[#Data],M_BOM[PPGridRow],73),0))</f>
        <v/>
      </c>
      <c r="BV98">
        <f>SUMPRODUCT((M_BOM[RM_Code]=$A98)*M_BOM[RM_Qty_Per_Batch]*IFERROR(INDEX(PP_Grid[#Data],M_BOM[PPGridRow],74),0))</f>
        <v/>
      </c>
      <c r="BW98">
        <f>SUMPRODUCT((M_BOM[RM_Code]=$A98)*M_BOM[RM_Qty_Per_Batch]*IFERROR(INDEX(PP_Grid[#Data],M_BOM[PPGridRow],75),0))</f>
        <v/>
      </c>
      <c r="BX98">
        <f>SUMPRODUCT((M_BOM[RM_Code]=$A98)*M_BOM[RM_Qty_Per_Batch]*IFERROR(INDEX(PP_Grid[#Data],M_BOM[PPGridRow],76),0))</f>
        <v/>
      </c>
      <c r="BY98">
        <f>SUMPRODUCT((M_BOM[RM_Code]=$A98)*M_BOM[RM_Qty_Per_Batch]*IFERROR(INDEX(PP_Grid[#Data],M_BOM[PPGridRow],77),0))</f>
        <v/>
      </c>
      <c r="BZ98">
        <f>SUMPRODUCT((M_BOM[RM_Code]=$A98)*M_BOM[RM_Qty_Per_Batch]*IFERROR(INDEX(PP_Grid[#Data],M_BOM[PPGridRow],78),0))</f>
        <v/>
      </c>
      <c r="CA98">
        <f>SUMPRODUCT((M_BOM[RM_Code]=$A98)*M_BOM[RM_Qty_Per_Batch]*IFERROR(INDEX(PP_Grid[#Data],M_BOM[PPGridRow],79),0))</f>
        <v/>
      </c>
      <c r="CB98">
        <f>SUMPRODUCT((M_BOM[RM_Code]=$A98)*M_BOM[RM_Qty_Per_Batch]*IFERROR(INDEX(PP_Grid[#Data],M_BOM[PPGridRow],80),0))</f>
        <v/>
      </c>
      <c r="CC98">
        <f>SUMPRODUCT((M_BOM[RM_Code]=$A98)*M_BOM[RM_Qty_Per_Batch]*IFERROR(INDEX(PP_Grid[#Data],M_BOM[PPGridRow],81),0))</f>
        <v/>
      </c>
      <c r="CD98">
        <f>SUMPRODUCT((M_BOM[RM_Code]=$A98)*M_BOM[RM_Qty_Per_Batch]*IFERROR(INDEX(PP_Grid[#Data],M_BOM[PPGridRow],82),0))</f>
        <v/>
      </c>
      <c r="CE98">
        <f>SUMPRODUCT((M_BOM[RM_Code]=$A98)*M_BOM[RM_Qty_Per_Batch]*IFERROR(INDEX(PP_Grid[#Data],M_BOM[PPGridRow],83),0))</f>
        <v/>
      </c>
      <c r="CF98">
        <f>SUMPRODUCT((M_BOM[RM_Code]=$A98)*M_BOM[RM_Qty_Per_Batch]*IFERROR(INDEX(PP_Grid[#Data],M_BOM[PPGridRow],84),0))</f>
        <v/>
      </c>
      <c r="CG98">
        <f>SUMPRODUCT((M_BOM[RM_Code]=$A98)*M_BOM[RM_Qty_Per_Batch]*IFERROR(INDEX(PP_Grid[#Data],M_BOM[PPGridRow],85),0))</f>
        <v/>
      </c>
      <c r="CH98">
        <f>SUMPRODUCT((M_BOM[RM_Code]=$A98)*M_BOM[RM_Qty_Per_Batch]*IFERROR(INDEX(PP_Grid[#Data],M_BOM[PPGridRow],86),0))</f>
        <v/>
      </c>
      <c r="CI98">
        <f>SUMPRODUCT((M_BOM[RM_Code]=$A98)*M_BOM[RM_Qty_Per_Batch]*IFERROR(INDEX(PP_Grid[#Data],M_BOM[PPGridRow],87),0))</f>
        <v/>
      </c>
      <c r="CJ98">
        <f>SUMPRODUCT((M_BOM[RM_Code]=$A98)*M_BOM[RM_Qty_Per_Batch]*IFERROR(INDEX(PP_Grid[#Data],M_BOM[PPGridRow],88),0))</f>
        <v/>
      </c>
      <c r="CK98">
        <f>SUMPRODUCT((M_BOM[RM_Code]=$A98)*M_BOM[RM_Qty_Per_Batch]*IFERROR(INDEX(PP_Grid[#Data],M_BOM[PPGridRow],89),0))</f>
        <v/>
      </c>
      <c r="CL98">
        <f>SUMPRODUCT((M_BOM[RM_Code]=$A98)*M_BOM[RM_Qty_Per_Batch]*IFERROR(INDEX(PP_Grid[#Data],M_BOM[PPGridRow],90),0))</f>
        <v/>
      </c>
      <c r="CM98">
        <f>SUMPRODUCT((M_BOM[RM_Code]=$A98)*M_BOM[RM_Qty_Per_Batch]*IFERROR(INDEX(PP_Grid[#Data],M_BOM[PPGridRow],91),0))</f>
        <v/>
      </c>
      <c r="CN98">
        <f>SUMPRODUCT((M_BOM[RM_Code]=$A98)*M_BOM[RM_Qty_Per_Batch]*IFERROR(INDEX(PP_Grid[#Data],M_BOM[PPGridRow],92),0))</f>
        <v/>
      </c>
      <c r="CO98">
        <f>SUMPRODUCT((M_BOM[RM_Code]=$A98)*M_BOM[RM_Qty_Per_Batch]*IFERROR(INDEX(PP_Grid[#Data],M_BOM[PPGridRow],93),0))</f>
        <v/>
      </c>
      <c r="CP98">
        <f>SUMPRODUCT((M_BOM[RM_Code]=$A98)*M_BOM[RM_Qty_Per_Batch]*IFERROR(INDEX(PP_Grid[#Data],M_BOM[PPGridRow],94),0))</f>
        <v/>
      </c>
      <c r="CQ98">
        <f>SUMPRODUCT((M_BOM[RM_Code]=$A98)*M_BOM[RM_Qty_Per_Batch]*IFERROR(INDEX(PP_Grid[#Data],M_BOM[PPGridRow],95),0))</f>
        <v/>
      </c>
      <c r="CR98">
        <f>SUMPRODUCT((M_BOM[RM_Code]=$A98)*M_BOM[RM_Qty_Per_Batch]*IFERROR(INDEX(PP_Grid[#Data],M_BOM[PPGridRow],96),0))</f>
        <v/>
      </c>
      <c r="CS98">
        <f>SUMPRODUCT((M_BOM[RM_Code]=$A98)*M_BOM[RM_Qty_Per_Batch]*IFERROR(INDEX(PP_Grid[#Data],M_BOM[PPGridRow],97),0))</f>
        <v/>
      </c>
      <c r="CT98">
        <f>SUMPRODUCT((M_BOM[RM_Code]=$A98)*M_BOM[RM_Qty_Per_Batch]*IFERROR(INDEX(PP_Grid[#Data],M_BOM[PPGridRow],98),0))</f>
        <v/>
      </c>
      <c r="CU98">
        <f>SUMPRODUCT((M_BOM[RM_Code]=$A98)*M_BOM[RM_Qty_Per_Batch]*IFERROR(INDEX(PP_Grid[#Data],M_BOM[PPGridRow],99),0))</f>
        <v/>
      </c>
      <c r="CV98">
        <f>SUMPRODUCT((M_BOM[RM_Code]=$A98)*M_BOM[RM_Qty_Per_Batch]*IFERROR(INDEX(PP_Grid[#Data],M_BOM[PPGridRow],100),0))</f>
        <v/>
      </c>
      <c r="CW98">
        <f>SUMPRODUCT((M_BOM[RM_Code]=$A98)*M_BOM[RM_Qty_Per_Batch]*IFERROR(INDEX(PP_Grid[#Data],M_BOM[PPGridRow],101),0))</f>
        <v/>
      </c>
      <c r="CX98">
        <f>SUMPRODUCT((M_BOM[RM_Code]=$A98)*M_BOM[RM_Qty_Per_Batch]*IFERROR(INDEX(PP_Grid[#Data],M_BOM[PPGridRow],102),0))</f>
        <v/>
      </c>
      <c r="CY98">
        <f>SUMPRODUCT((M_BOM[RM_Code]=$A98)*M_BOM[RM_Qty_Per_Batch]*IFERROR(INDEX(PP_Grid[#Data],M_BOM[PPGridRow],103),0))</f>
        <v/>
      </c>
      <c r="CZ98">
        <f>SUMPRODUCT((M_BOM[RM_Code]=$A98)*M_BOM[RM_Qty_Per_Batch]*IFERROR(INDEX(PP_Grid[#Data],M_BOM[PPGridRow],104),0))</f>
        <v/>
      </c>
      <c r="DA98">
        <f>SUMPRODUCT((M_BOM[RM_Code]=$A98)*M_BOM[RM_Qty_Per_Batch]*IFERROR(INDEX(PP_Grid[#Data],M_BOM[PPGridRow],105),0))</f>
        <v/>
      </c>
    </row>
    <row r="99">
      <c r="A99" t="inlineStr">
        <is>
          <t>CHEM-1190</t>
        </is>
      </c>
      <c r="B99">
        <f>SUMPRODUCT((M_BOM[RM_Code]=$A99)*M_BOM[RM_Qty_Per_Batch]*IFERROR(INDEX(PP_Grid[#Data],M_BOM[PPGridRow],2),0))</f>
        <v/>
      </c>
      <c r="C99">
        <f>SUMPRODUCT((M_BOM[RM_Code]=$A99)*M_BOM[RM_Qty_Per_Batch]*IFERROR(INDEX(PP_Grid[#Data],M_BOM[PPGridRow],3),0))</f>
        <v/>
      </c>
      <c r="D99">
        <f>SUMPRODUCT((M_BOM[RM_Code]=$A99)*M_BOM[RM_Qty_Per_Batch]*IFERROR(INDEX(PP_Grid[#Data],M_BOM[PPGridRow],4),0))</f>
        <v/>
      </c>
      <c r="E99">
        <f>SUMPRODUCT((M_BOM[RM_Code]=$A99)*M_BOM[RM_Qty_Per_Batch]*IFERROR(INDEX(PP_Grid[#Data],M_BOM[PPGridRow],5),0))</f>
        <v/>
      </c>
      <c r="F99">
        <f>SUMPRODUCT((M_BOM[RM_Code]=$A99)*M_BOM[RM_Qty_Per_Batch]*IFERROR(INDEX(PP_Grid[#Data],M_BOM[PPGridRow],6),0))</f>
        <v/>
      </c>
      <c r="G99">
        <f>SUMPRODUCT((M_BOM[RM_Code]=$A99)*M_BOM[RM_Qty_Per_Batch]*IFERROR(INDEX(PP_Grid[#Data],M_BOM[PPGridRow],7),0))</f>
        <v/>
      </c>
      <c r="H99">
        <f>SUMPRODUCT((M_BOM[RM_Code]=$A99)*M_BOM[RM_Qty_Per_Batch]*IFERROR(INDEX(PP_Grid[#Data],M_BOM[PPGridRow],8),0))</f>
        <v/>
      </c>
      <c r="I99">
        <f>SUMPRODUCT((M_BOM[RM_Code]=$A99)*M_BOM[RM_Qty_Per_Batch]*IFERROR(INDEX(PP_Grid[#Data],M_BOM[PPGridRow],9),0))</f>
        <v/>
      </c>
      <c r="J99">
        <f>SUMPRODUCT((M_BOM[RM_Code]=$A99)*M_BOM[RM_Qty_Per_Batch]*IFERROR(INDEX(PP_Grid[#Data],M_BOM[PPGridRow],10),0))</f>
        <v/>
      </c>
      <c r="K99">
        <f>SUMPRODUCT((M_BOM[RM_Code]=$A99)*M_BOM[RM_Qty_Per_Batch]*IFERROR(INDEX(PP_Grid[#Data],M_BOM[PPGridRow],11),0))</f>
        <v/>
      </c>
      <c r="L99">
        <f>SUMPRODUCT((M_BOM[RM_Code]=$A99)*M_BOM[RM_Qty_Per_Batch]*IFERROR(INDEX(PP_Grid[#Data],M_BOM[PPGridRow],12),0))</f>
        <v/>
      </c>
      <c r="M99">
        <f>SUMPRODUCT((M_BOM[RM_Code]=$A99)*M_BOM[RM_Qty_Per_Batch]*IFERROR(INDEX(PP_Grid[#Data],M_BOM[PPGridRow],13),0))</f>
        <v/>
      </c>
      <c r="N99">
        <f>SUMPRODUCT((M_BOM[RM_Code]=$A99)*M_BOM[RM_Qty_Per_Batch]*IFERROR(INDEX(PP_Grid[#Data],M_BOM[PPGridRow],14),0))</f>
        <v/>
      </c>
      <c r="O99">
        <f>SUMPRODUCT((M_BOM[RM_Code]=$A99)*M_BOM[RM_Qty_Per_Batch]*IFERROR(INDEX(PP_Grid[#Data],M_BOM[PPGridRow],15),0))</f>
        <v/>
      </c>
      <c r="P99">
        <f>SUMPRODUCT((M_BOM[RM_Code]=$A99)*M_BOM[RM_Qty_Per_Batch]*IFERROR(INDEX(PP_Grid[#Data],M_BOM[PPGridRow],16),0))</f>
        <v/>
      </c>
      <c r="Q99">
        <f>SUMPRODUCT((M_BOM[RM_Code]=$A99)*M_BOM[RM_Qty_Per_Batch]*IFERROR(INDEX(PP_Grid[#Data],M_BOM[PPGridRow],17),0))</f>
        <v/>
      </c>
      <c r="R99">
        <f>SUMPRODUCT((M_BOM[RM_Code]=$A99)*M_BOM[RM_Qty_Per_Batch]*IFERROR(INDEX(PP_Grid[#Data],M_BOM[PPGridRow],18),0))</f>
        <v/>
      </c>
      <c r="S99">
        <f>SUMPRODUCT((M_BOM[RM_Code]=$A99)*M_BOM[RM_Qty_Per_Batch]*IFERROR(INDEX(PP_Grid[#Data],M_BOM[PPGridRow],19),0))</f>
        <v/>
      </c>
      <c r="T99">
        <f>SUMPRODUCT((M_BOM[RM_Code]=$A99)*M_BOM[RM_Qty_Per_Batch]*IFERROR(INDEX(PP_Grid[#Data],M_BOM[PPGridRow],20),0))</f>
        <v/>
      </c>
      <c r="U99">
        <f>SUMPRODUCT((M_BOM[RM_Code]=$A99)*M_BOM[RM_Qty_Per_Batch]*IFERROR(INDEX(PP_Grid[#Data],M_BOM[PPGridRow],21),0))</f>
        <v/>
      </c>
      <c r="V99">
        <f>SUMPRODUCT((M_BOM[RM_Code]=$A99)*M_BOM[RM_Qty_Per_Batch]*IFERROR(INDEX(PP_Grid[#Data],M_BOM[PPGridRow],22),0))</f>
        <v/>
      </c>
      <c r="W99">
        <f>SUMPRODUCT((M_BOM[RM_Code]=$A99)*M_BOM[RM_Qty_Per_Batch]*IFERROR(INDEX(PP_Grid[#Data],M_BOM[PPGridRow],23),0))</f>
        <v/>
      </c>
      <c r="X99">
        <f>SUMPRODUCT((M_BOM[RM_Code]=$A99)*M_BOM[RM_Qty_Per_Batch]*IFERROR(INDEX(PP_Grid[#Data],M_BOM[PPGridRow],24),0))</f>
        <v/>
      </c>
      <c r="Y99">
        <f>SUMPRODUCT((M_BOM[RM_Code]=$A99)*M_BOM[RM_Qty_Per_Batch]*IFERROR(INDEX(PP_Grid[#Data],M_BOM[PPGridRow],25),0))</f>
        <v/>
      </c>
      <c r="Z99">
        <f>SUMPRODUCT((M_BOM[RM_Code]=$A99)*M_BOM[RM_Qty_Per_Batch]*IFERROR(INDEX(PP_Grid[#Data],M_BOM[PPGridRow],26),0))</f>
        <v/>
      </c>
      <c r="AA99">
        <f>SUMPRODUCT((M_BOM[RM_Code]=$A99)*M_BOM[RM_Qty_Per_Batch]*IFERROR(INDEX(PP_Grid[#Data],M_BOM[PPGridRow],27),0))</f>
        <v/>
      </c>
      <c r="AB99">
        <f>SUMPRODUCT((M_BOM[RM_Code]=$A99)*M_BOM[RM_Qty_Per_Batch]*IFERROR(INDEX(PP_Grid[#Data],M_BOM[PPGridRow],28),0))</f>
        <v/>
      </c>
      <c r="AC99">
        <f>SUMPRODUCT((M_BOM[RM_Code]=$A99)*M_BOM[RM_Qty_Per_Batch]*IFERROR(INDEX(PP_Grid[#Data],M_BOM[PPGridRow],29),0))</f>
        <v/>
      </c>
      <c r="AD99">
        <f>SUMPRODUCT((M_BOM[RM_Code]=$A99)*M_BOM[RM_Qty_Per_Batch]*IFERROR(INDEX(PP_Grid[#Data],M_BOM[PPGridRow],30),0))</f>
        <v/>
      </c>
      <c r="AE99">
        <f>SUMPRODUCT((M_BOM[RM_Code]=$A99)*M_BOM[RM_Qty_Per_Batch]*IFERROR(INDEX(PP_Grid[#Data],M_BOM[PPGridRow],31),0))</f>
        <v/>
      </c>
      <c r="AF99">
        <f>SUMPRODUCT((M_BOM[RM_Code]=$A99)*M_BOM[RM_Qty_Per_Batch]*IFERROR(INDEX(PP_Grid[#Data],M_BOM[PPGridRow],32),0))</f>
        <v/>
      </c>
      <c r="AG99">
        <f>SUMPRODUCT((M_BOM[RM_Code]=$A99)*M_BOM[RM_Qty_Per_Batch]*IFERROR(INDEX(PP_Grid[#Data],M_BOM[PPGridRow],33),0))</f>
        <v/>
      </c>
      <c r="AH99">
        <f>SUMPRODUCT((M_BOM[RM_Code]=$A99)*M_BOM[RM_Qty_Per_Batch]*IFERROR(INDEX(PP_Grid[#Data],M_BOM[PPGridRow],34),0))</f>
        <v/>
      </c>
      <c r="AI99">
        <f>SUMPRODUCT((M_BOM[RM_Code]=$A99)*M_BOM[RM_Qty_Per_Batch]*IFERROR(INDEX(PP_Grid[#Data],M_BOM[PPGridRow],35),0))</f>
        <v/>
      </c>
      <c r="AJ99">
        <f>SUMPRODUCT((M_BOM[RM_Code]=$A99)*M_BOM[RM_Qty_Per_Batch]*IFERROR(INDEX(PP_Grid[#Data],M_BOM[PPGridRow],36),0))</f>
        <v/>
      </c>
      <c r="AK99">
        <f>SUMPRODUCT((M_BOM[RM_Code]=$A99)*M_BOM[RM_Qty_Per_Batch]*IFERROR(INDEX(PP_Grid[#Data],M_BOM[PPGridRow],37),0))</f>
        <v/>
      </c>
      <c r="AL99">
        <f>SUMPRODUCT((M_BOM[RM_Code]=$A99)*M_BOM[RM_Qty_Per_Batch]*IFERROR(INDEX(PP_Grid[#Data],M_BOM[PPGridRow],38),0))</f>
        <v/>
      </c>
      <c r="AM99">
        <f>SUMPRODUCT((M_BOM[RM_Code]=$A99)*M_BOM[RM_Qty_Per_Batch]*IFERROR(INDEX(PP_Grid[#Data],M_BOM[PPGridRow],39),0))</f>
        <v/>
      </c>
      <c r="AN99">
        <f>SUMPRODUCT((M_BOM[RM_Code]=$A99)*M_BOM[RM_Qty_Per_Batch]*IFERROR(INDEX(PP_Grid[#Data],M_BOM[PPGridRow],40),0))</f>
        <v/>
      </c>
      <c r="AO99">
        <f>SUMPRODUCT((M_BOM[RM_Code]=$A99)*M_BOM[RM_Qty_Per_Batch]*IFERROR(INDEX(PP_Grid[#Data],M_BOM[PPGridRow],41),0))</f>
        <v/>
      </c>
      <c r="AP99">
        <f>SUMPRODUCT((M_BOM[RM_Code]=$A99)*M_BOM[RM_Qty_Per_Batch]*IFERROR(INDEX(PP_Grid[#Data],M_BOM[PPGridRow],42),0))</f>
        <v/>
      </c>
      <c r="AQ99">
        <f>SUMPRODUCT((M_BOM[RM_Code]=$A99)*M_BOM[RM_Qty_Per_Batch]*IFERROR(INDEX(PP_Grid[#Data],M_BOM[PPGridRow],43),0))</f>
        <v/>
      </c>
      <c r="AR99">
        <f>SUMPRODUCT((M_BOM[RM_Code]=$A99)*M_BOM[RM_Qty_Per_Batch]*IFERROR(INDEX(PP_Grid[#Data],M_BOM[PPGridRow],44),0))</f>
        <v/>
      </c>
      <c r="AS99">
        <f>SUMPRODUCT((M_BOM[RM_Code]=$A99)*M_BOM[RM_Qty_Per_Batch]*IFERROR(INDEX(PP_Grid[#Data],M_BOM[PPGridRow],45),0))</f>
        <v/>
      </c>
      <c r="AT99">
        <f>SUMPRODUCT((M_BOM[RM_Code]=$A99)*M_BOM[RM_Qty_Per_Batch]*IFERROR(INDEX(PP_Grid[#Data],M_BOM[PPGridRow],46),0))</f>
        <v/>
      </c>
      <c r="AU99">
        <f>SUMPRODUCT((M_BOM[RM_Code]=$A99)*M_BOM[RM_Qty_Per_Batch]*IFERROR(INDEX(PP_Grid[#Data],M_BOM[PPGridRow],47),0))</f>
        <v/>
      </c>
      <c r="AV99">
        <f>SUMPRODUCT((M_BOM[RM_Code]=$A99)*M_BOM[RM_Qty_Per_Batch]*IFERROR(INDEX(PP_Grid[#Data],M_BOM[PPGridRow],48),0))</f>
        <v/>
      </c>
      <c r="AW99">
        <f>SUMPRODUCT((M_BOM[RM_Code]=$A99)*M_BOM[RM_Qty_Per_Batch]*IFERROR(INDEX(PP_Grid[#Data],M_BOM[PPGridRow],49),0))</f>
        <v/>
      </c>
      <c r="AX99">
        <f>SUMPRODUCT((M_BOM[RM_Code]=$A99)*M_BOM[RM_Qty_Per_Batch]*IFERROR(INDEX(PP_Grid[#Data],M_BOM[PPGridRow],50),0))</f>
        <v/>
      </c>
      <c r="AY99">
        <f>SUMPRODUCT((M_BOM[RM_Code]=$A99)*M_BOM[RM_Qty_Per_Batch]*IFERROR(INDEX(PP_Grid[#Data],M_BOM[PPGridRow],51),0))</f>
        <v/>
      </c>
      <c r="AZ99">
        <f>SUMPRODUCT((M_BOM[RM_Code]=$A99)*M_BOM[RM_Qty_Per_Batch]*IFERROR(INDEX(PP_Grid[#Data],M_BOM[PPGridRow],52),0))</f>
        <v/>
      </c>
      <c r="BA99">
        <f>SUMPRODUCT((M_BOM[RM_Code]=$A99)*M_BOM[RM_Qty_Per_Batch]*IFERROR(INDEX(PP_Grid[#Data],M_BOM[PPGridRow],53),0))</f>
        <v/>
      </c>
      <c r="BB99">
        <f>SUMPRODUCT((M_BOM[RM_Code]=$A99)*M_BOM[RM_Qty_Per_Batch]*IFERROR(INDEX(PP_Grid[#Data],M_BOM[PPGridRow],54),0))</f>
        <v/>
      </c>
      <c r="BC99">
        <f>SUMPRODUCT((M_BOM[RM_Code]=$A99)*M_BOM[RM_Qty_Per_Batch]*IFERROR(INDEX(PP_Grid[#Data],M_BOM[PPGridRow],55),0))</f>
        <v/>
      </c>
      <c r="BD99">
        <f>SUMPRODUCT((M_BOM[RM_Code]=$A99)*M_BOM[RM_Qty_Per_Batch]*IFERROR(INDEX(PP_Grid[#Data],M_BOM[PPGridRow],56),0))</f>
        <v/>
      </c>
      <c r="BE99">
        <f>SUMPRODUCT((M_BOM[RM_Code]=$A99)*M_BOM[RM_Qty_Per_Batch]*IFERROR(INDEX(PP_Grid[#Data],M_BOM[PPGridRow],57),0))</f>
        <v/>
      </c>
      <c r="BF99">
        <f>SUMPRODUCT((M_BOM[RM_Code]=$A99)*M_BOM[RM_Qty_Per_Batch]*IFERROR(INDEX(PP_Grid[#Data],M_BOM[PPGridRow],58),0))</f>
        <v/>
      </c>
      <c r="BG99">
        <f>SUMPRODUCT((M_BOM[RM_Code]=$A99)*M_BOM[RM_Qty_Per_Batch]*IFERROR(INDEX(PP_Grid[#Data],M_BOM[PPGridRow],59),0))</f>
        <v/>
      </c>
      <c r="BH99">
        <f>SUMPRODUCT((M_BOM[RM_Code]=$A99)*M_BOM[RM_Qty_Per_Batch]*IFERROR(INDEX(PP_Grid[#Data],M_BOM[PPGridRow],60),0))</f>
        <v/>
      </c>
      <c r="BI99">
        <f>SUMPRODUCT((M_BOM[RM_Code]=$A99)*M_BOM[RM_Qty_Per_Batch]*IFERROR(INDEX(PP_Grid[#Data],M_BOM[PPGridRow],61),0))</f>
        <v/>
      </c>
      <c r="BJ99">
        <f>SUMPRODUCT((M_BOM[RM_Code]=$A99)*M_BOM[RM_Qty_Per_Batch]*IFERROR(INDEX(PP_Grid[#Data],M_BOM[PPGridRow],62),0))</f>
        <v/>
      </c>
      <c r="BK99">
        <f>SUMPRODUCT((M_BOM[RM_Code]=$A99)*M_BOM[RM_Qty_Per_Batch]*IFERROR(INDEX(PP_Grid[#Data],M_BOM[PPGridRow],63),0))</f>
        <v/>
      </c>
      <c r="BL99">
        <f>SUMPRODUCT((M_BOM[RM_Code]=$A99)*M_BOM[RM_Qty_Per_Batch]*IFERROR(INDEX(PP_Grid[#Data],M_BOM[PPGridRow],64),0))</f>
        <v/>
      </c>
      <c r="BM99">
        <f>SUMPRODUCT((M_BOM[RM_Code]=$A99)*M_BOM[RM_Qty_Per_Batch]*IFERROR(INDEX(PP_Grid[#Data],M_BOM[PPGridRow],65),0))</f>
        <v/>
      </c>
      <c r="BN99">
        <f>SUMPRODUCT((M_BOM[RM_Code]=$A99)*M_BOM[RM_Qty_Per_Batch]*IFERROR(INDEX(PP_Grid[#Data],M_BOM[PPGridRow],66),0))</f>
        <v/>
      </c>
      <c r="BO99">
        <f>SUMPRODUCT((M_BOM[RM_Code]=$A99)*M_BOM[RM_Qty_Per_Batch]*IFERROR(INDEX(PP_Grid[#Data],M_BOM[PPGridRow],67),0))</f>
        <v/>
      </c>
      <c r="BP99">
        <f>SUMPRODUCT((M_BOM[RM_Code]=$A99)*M_BOM[RM_Qty_Per_Batch]*IFERROR(INDEX(PP_Grid[#Data],M_BOM[PPGridRow],68),0))</f>
        <v/>
      </c>
      <c r="BQ99">
        <f>SUMPRODUCT((M_BOM[RM_Code]=$A99)*M_BOM[RM_Qty_Per_Batch]*IFERROR(INDEX(PP_Grid[#Data],M_BOM[PPGridRow],69),0))</f>
        <v/>
      </c>
      <c r="BR99">
        <f>SUMPRODUCT((M_BOM[RM_Code]=$A99)*M_BOM[RM_Qty_Per_Batch]*IFERROR(INDEX(PP_Grid[#Data],M_BOM[PPGridRow],70),0))</f>
        <v/>
      </c>
      <c r="BS99">
        <f>SUMPRODUCT((M_BOM[RM_Code]=$A99)*M_BOM[RM_Qty_Per_Batch]*IFERROR(INDEX(PP_Grid[#Data],M_BOM[PPGridRow],71),0))</f>
        <v/>
      </c>
      <c r="BT99">
        <f>SUMPRODUCT((M_BOM[RM_Code]=$A99)*M_BOM[RM_Qty_Per_Batch]*IFERROR(INDEX(PP_Grid[#Data],M_BOM[PPGridRow],72),0))</f>
        <v/>
      </c>
      <c r="BU99">
        <f>SUMPRODUCT((M_BOM[RM_Code]=$A99)*M_BOM[RM_Qty_Per_Batch]*IFERROR(INDEX(PP_Grid[#Data],M_BOM[PPGridRow],73),0))</f>
        <v/>
      </c>
      <c r="BV99">
        <f>SUMPRODUCT((M_BOM[RM_Code]=$A99)*M_BOM[RM_Qty_Per_Batch]*IFERROR(INDEX(PP_Grid[#Data],M_BOM[PPGridRow],74),0))</f>
        <v/>
      </c>
      <c r="BW99">
        <f>SUMPRODUCT((M_BOM[RM_Code]=$A99)*M_BOM[RM_Qty_Per_Batch]*IFERROR(INDEX(PP_Grid[#Data],M_BOM[PPGridRow],75),0))</f>
        <v/>
      </c>
      <c r="BX99">
        <f>SUMPRODUCT((M_BOM[RM_Code]=$A99)*M_BOM[RM_Qty_Per_Batch]*IFERROR(INDEX(PP_Grid[#Data],M_BOM[PPGridRow],76),0))</f>
        <v/>
      </c>
      <c r="BY99">
        <f>SUMPRODUCT((M_BOM[RM_Code]=$A99)*M_BOM[RM_Qty_Per_Batch]*IFERROR(INDEX(PP_Grid[#Data],M_BOM[PPGridRow],77),0))</f>
        <v/>
      </c>
      <c r="BZ99">
        <f>SUMPRODUCT((M_BOM[RM_Code]=$A99)*M_BOM[RM_Qty_Per_Batch]*IFERROR(INDEX(PP_Grid[#Data],M_BOM[PPGridRow],78),0))</f>
        <v/>
      </c>
      <c r="CA99">
        <f>SUMPRODUCT((M_BOM[RM_Code]=$A99)*M_BOM[RM_Qty_Per_Batch]*IFERROR(INDEX(PP_Grid[#Data],M_BOM[PPGridRow],79),0))</f>
        <v/>
      </c>
      <c r="CB99">
        <f>SUMPRODUCT((M_BOM[RM_Code]=$A99)*M_BOM[RM_Qty_Per_Batch]*IFERROR(INDEX(PP_Grid[#Data],M_BOM[PPGridRow],80),0))</f>
        <v/>
      </c>
      <c r="CC99">
        <f>SUMPRODUCT((M_BOM[RM_Code]=$A99)*M_BOM[RM_Qty_Per_Batch]*IFERROR(INDEX(PP_Grid[#Data],M_BOM[PPGridRow],81),0))</f>
        <v/>
      </c>
      <c r="CD99">
        <f>SUMPRODUCT((M_BOM[RM_Code]=$A99)*M_BOM[RM_Qty_Per_Batch]*IFERROR(INDEX(PP_Grid[#Data],M_BOM[PPGridRow],82),0))</f>
        <v/>
      </c>
      <c r="CE99">
        <f>SUMPRODUCT((M_BOM[RM_Code]=$A99)*M_BOM[RM_Qty_Per_Batch]*IFERROR(INDEX(PP_Grid[#Data],M_BOM[PPGridRow],83),0))</f>
        <v/>
      </c>
      <c r="CF99">
        <f>SUMPRODUCT((M_BOM[RM_Code]=$A99)*M_BOM[RM_Qty_Per_Batch]*IFERROR(INDEX(PP_Grid[#Data],M_BOM[PPGridRow],84),0))</f>
        <v/>
      </c>
      <c r="CG99">
        <f>SUMPRODUCT((M_BOM[RM_Code]=$A99)*M_BOM[RM_Qty_Per_Batch]*IFERROR(INDEX(PP_Grid[#Data],M_BOM[PPGridRow],85),0))</f>
        <v/>
      </c>
      <c r="CH99">
        <f>SUMPRODUCT((M_BOM[RM_Code]=$A99)*M_BOM[RM_Qty_Per_Batch]*IFERROR(INDEX(PP_Grid[#Data],M_BOM[PPGridRow],86),0))</f>
        <v/>
      </c>
      <c r="CI99">
        <f>SUMPRODUCT((M_BOM[RM_Code]=$A99)*M_BOM[RM_Qty_Per_Batch]*IFERROR(INDEX(PP_Grid[#Data],M_BOM[PPGridRow],87),0))</f>
        <v/>
      </c>
      <c r="CJ99">
        <f>SUMPRODUCT((M_BOM[RM_Code]=$A99)*M_BOM[RM_Qty_Per_Batch]*IFERROR(INDEX(PP_Grid[#Data],M_BOM[PPGridRow],88),0))</f>
        <v/>
      </c>
      <c r="CK99">
        <f>SUMPRODUCT((M_BOM[RM_Code]=$A99)*M_BOM[RM_Qty_Per_Batch]*IFERROR(INDEX(PP_Grid[#Data],M_BOM[PPGridRow],89),0))</f>
        <v/>
      </c>
      <c r="CL99">
        <f>SUMPRODUCT((M_BOM[RM_Code]=$A99)*M_BOM[RM_Qty_Per_Batch]*IFERROR(INDEX(PP_Grid[#Data],M_BOM[PPGridRow],90),0))</f>
        <v/>
      </c>
      <c r="CM99">
        <f>SUMPRODUCT((M_BOM[RM_Code]=$A99)*M_BOM[RM_Qty_Per_Batch]*IFERROR(INDEX(PP_Grid[#Data],M_BOM[PPGridRow],91),0))</f>
        <v/>
      </c>
      <c r="CN99">
        <f>SUMPRODUCT((M_BOM[RM_Code]=$A99)*M_BOM[RM_Qty_Per_Batch]*IFERROR(INDEX(PP_Grid[#Data],M_BOM[PPGridRow],92),0))</f>
        <v/>
      </c>
      <c r="CO99">
        <f>SUMPRODUCT((M_BOM[RM_Code]=$A99)*M_BOM[RM_Qty_Per_Batch]*IFERROR(INDEX(PP_Grid[#Data],M_BOM[PPGridRow],93),0))</f>
        <v/>
      </c>
      <c r="CP99">
        <f>SUMPRODUCT((M_BOM[RM_Code]=$A99)*M_BOM[RM_Qty_Per_Batch]*IFERROR(INDEX(PP_Grid[#Data],M_BOM[PPGridRow],94),0))</f>
        <v/>
      </c>
      <c r="CQ99">
        <f>SUMPRODUCT((M_BOM[RM_Code]=$A99)*M_BOM[RM_Qty_Per_Batch]*IFERROR(INDEX(PP_Grid[#Data],M_BOM[PPGridRow],95),0))</f>
        <v/>
      </c>
      <c r="CR99">
        <f>SUMPRODUCT((M_BOM[RM_Code]=$A99)*M_BOM[RM_Qty_Per_Batch]*IFERROR(INDEX(PP_Grid[#Data],M_BOM[PPGridRow],96),0))</f>
        <v/>
      </c>
      <c r="CS99">
        <f>SUMPRODUCT((M_BOM[RM_Code]=$A99)*M_BOM[RM_Qty_Per_Batch]*IFERROR(INDEX(PP_Grid[#Data],M_BOM[PPGridRow],97),0))</f>
        <v/>
      </c>
      <c r="CT99">
        <f>SUMPRODUCT((M_BOM[RM_Code]=$A99)*M_BOM[RM_Qty_Per_Batch]*IFERROR(INDEX(PP_Grid[#Data],M_BOM[PPGridRow],98),0))</f>
        <v/>
      </c>
      <c r="CU99">
        <f>SUMPRODUCT((M_BOM[RM_Code]=$A99)*M_BOM[RM_Qty_Per_Batch]*IFERROR(INDEX(PP_Grid[#Data],M_BOM[PPGridRow],99),0))</f>
        <v/>
      </c>
      <c r="CV99">
        <f>SUMPRODUCT((M_BOM[RM_Code]=$A99)*M_BOM[RM_Qty_Per_Batch]*IFERROR(INDEX(PP_Grid[#Data],M_BOM[PPGridRow],100),0))</f>
        <v/>
      </c>
      <c r="CW99">
        <f>SUMPRODUCT((M_BOM[RM_Code]=$A99)*M_BOM[RM_Qty_Per_Batch]*IFERROR(INDEX(PP_Grid[#Data],M_BOM[PPGridRow],101),0))</f>
        <v/>
      </c>
      <c r="CX99">
        <f>SUMPRODUCT((M_BOM[RM_Code]=$A99)*M_BOM[RM_Qty_Per_Batch]*IFERROR(INDEX(PP_Grid[#Data],M_BOM[PPGridRow],102),0))</f>
        <v/>
      </c>
      <c r="CY99">
        <f>SUMPRODUCT((M_BOM[RM_Code]=$A99)*M_BOM[RM_Qty_Per_Batch]*IFERROR(INDEX(PP_Grid[#Data],M_BOM[PPGridRow],103),0))</f>
        <v/>
      </c>
      <c r="CZ99">
        <f>SUMPRODUCT((M_BOM[RM_Code]=$A99)*M_BOM[RM_Qty_Per_Batch]*IFERROR(INDEX(PP_Grid[#Data],M_BOM[PPGridRow],104),0))</f>
        <v/>
      </c>
      <c r="DA99">
        <f>SUMPRODUCT((M_BOM[RM_Code]=$A99)*M_BOM[RM_Qty_Per_Batch]*IFERROR(INDEX(PP_Grid[#Data],M_BOM[PPGridRow],105),0))</f>
        <v/>
      </c>
    </row>
    <row r="100">
      <c r="A100" t="inlineStr">
        <is>
          <t>CHEM-1630</t>
        </is>
      </c>
      <c r="B100">
        <f>SUMPRODUCT((M_BOM[RM_Code]=$A100)*M_BOM[RM_Qty_Per_Batch]*IFERROR(INDEX(PP_Grid[#Data],M_BOM[PPGridRow],2),0))</f>
        <v/>
      </c>
      <c r="C100">
        <f>SUMPRODUCT((M_BOM[RM_Code]=$A100)*M_BOM[RM_Qty_Per_Batch]*IFERROR(INDEX(PP_Grid[#Data],M_BOM[PPGridRow],3),0))</f>
        <v/>
      </c>
      <c r="D100">
        <f>SUMPRODUCT((M_BOM[RM_Code]=$A100)*M_BOM[RM_Qty_Per_Batch]*IFERROR(INDEX(PP_Grid[#Data],M_BOM[PPGridRow],4),0))</f>
        <v/>
      </c>
      <c r="E100">
        <f>SUMPRODUCT((M_BOM[RM_Code]=$A100)*M_BOM[RM_Qty_Per_Batch]*IFERROR(INDEX(PP_Grid[#Data],M_BOM[PPGridRow],5),0))</f>
        <v/>
      </c>
      <c r="F100">
        <f>SUMPRODUCT((M_BOM[RM_Code]=$A100)*M_BOM[RM_Qty_Per_Batch]*IFERROR(INDEX(PP_Grid[#Data],M_BOM[PPGridRow],6),0))</f>
        <v/>
      </c>
      <c r="G100">
        <f>SUMPRODUCT((M_BOM[RM_Code]=$A100)*M_BOM[RM_Qty_Per_Batch]*IFERROR(INDEX(PP_Grid[#Data],M_BOM[PPGridRow],7),0))</f>
        <v/>
      </c>
      <c r="H100">
        <f>SUMPRODUCT((M_BOM[RM_Code]=$A100)*M_BOM[RM_Qty_Per_Batch]*IFERROR(INDEX(PP_Grid[#Data],M_BOM[PPGridRow],8),0))</f>
        <v/>
      </c>
      <c r="I100">
        <f>SUMPRODUCT((M_BOM[RM_Code]=$A100)*M_BOM[RM_Qty_Per_Batch]*IFERROR(INDEX(PP_Grid[#Data],M_BOM[PPGridRow],9),0))</f>
        <v/>
      </c>
      <c r="J100">
        <f>SUMPRODUCT((M_BOM[RM_Code]=$A100)*M_BOM[RM_Qty_Per_Batch]*IFERROR(INDEX(PP_Grid[#Data],M_BOM[PPGridRow],10),0))</f>
        <v/>
      </c>
      <c r="K100">
        <f>SUMPRODUCT((M_BOM[RM_Code]=$A100)*M_BOM[RM_Qty_Per_Batch]*IFERROR(INDEX(PP_Grid[#Data],M_BOM[PPGridRow],11),0))</f>
        <v/>
      </c>
      <c r="L100">
        <f>SUMPRODUCT((M_BOM[RM_Code]=$A100)*M_BOM[RM_Qty_Per_Batch]*IFERROR(INDEX(PP_Grid[#Data],M_BOM[PPGridRow],12),0))</f>
        <v/>
      </c>
      <c r="M100">
        <f>SUMPRODUCT((M_BOM[RM_Code]=$A100)*M_BOM[RM_Qty_Per_Batch]*IFERROR(INDEX(PP_Grid[#Data],M_BOM[PPGridRow],13),0))</f>
        <v/>
      </c>
      <c r="N100">
        <f>SUMPRODUCT((M_BOM[RM_Code]=$A100)*M_BOM[RM_Qty_Per_Batch]*IFERROR(INDEX(PP_Grid[#Data],M_BOM[PPGridRow],14),0))</f>
        <v/>
      </c>
      <c r="O100">
        <f>SUMPRODUCT((M_BOM[RM_Code]=$A100)*M_BOM[RM_Qty_Per_Batch]*IFERROR(INDEX(PP_Grid[#Data],M_BOM[PPGridRow],15),0))</f>
        <v/>
      </c>
      <c r="P100">
        <f>SUMPRODUCT((M_BOM[RM_Code]=$A100)*M_BOM[RM_Qty_Per_Batch]*IFERROR(INDEX(PP_Grid[#Data],M_BOM[PPGridRow],16),0))</f>
        <v/>
      </c>
      <c r="Q100">
        <f>SUMPRODUCT((M_BOM[RM_Code]=$A100)*M_BOM[RM_Qty_Per_Batch]*IFERROR(INDEX(PP_Grid[#Data],M_BOM[PPGridRow],17),0))</f>
        <v/>
      </c>
      <c r="R100">
        <f>SUMPRODUCT((M_BOM[RM_Code]=$A100)*M_BOM[RM_Qty_Per_Batch]*IFERROR(INDEX(PP_Grid[#Data],M_BOM[PPGridRow],18),0))</f>
        <v/>
      </c>
      <c r="S100">
        <f>SUMPRODUCT((M_BOM[RM_Code]=$A100)*M_BOM[RM_Qty_Per_Batch]*IFERROR(INDEX(PP_Grid[#Data],M_BOM[PPGridRow],19),0))</f>
        <v/>
      </c>
      <c r="T100">
        <f>SUMPRODUCT((M_BOM[RM_Code]=$A100)*M_BOM[RM_Qty_Per_Batch]*IFERROR(INDEX(PP_Grid[#Data],M_BOM[PPGridRow],20),0))</f>
        <v/>
      </c>
      <c r="U100">
        <f>SUMPRODUCT((M_BOM[RM_Code]=$A100)*M_BOM[RM_Qty_Per_Batch]*IFERROR(INDEX(PP_Grid[#Data],M_BOM[PPGridRow],21),0))</f>
        <v/>
      </c>
      <c r="V100">
        <f>SUMPRODUCT((M_BOM[RM_Code]=$A100)*M_BOM[RM_Qty_Per_Batch]*IFERROR(INDEX(PP_Grid[#Data],M_BOM[PPGridRow],22),0))</f>
        <v/>
      </c>
      <c r="W100">
        <f>SUMPRODUCT((M_BOM[RM_Code]=$A100)*M_BOM[RM_Qty_Per_Batch]*IFERROR(INDEX(PP_Grid[#Data],M_BOM[PPGridRow],23),0))</f>
        <v/>
      </c>
      <c r="X100">
        <f>SUMPRODUCT((M_BOM[RM_Code]=$A100)*M_BOM[RM_Qty_Per_Batch]*IFERROR(INDEX(PP_Grid[#Data],M_BOM[PPGridRow],24),0))</f>
        <v/>
      </c>
      <c r="Y100">
        <f>SUMPRODUCT((M_BOM[RM_Code]=$A100)*M_BOM[RM_Qty_Per_Batch]*IFERROR(INDEX(PP_Grid[#Data],M_BOM[PPGridRow],25),0))</f>
        <v/>
      </c>
      <c r="Z100">
        <f>SUMPRODUCT((M_BOM[RM_Code]=$A100)*M_BOM[RM_Qty_Per_Batch]*IFERROR(INDEX(PP_Grid[#Data],M_BOM[PPGridRow],26),0))</f>
        <v/>
      </c>
      <c r="AA100">
        <f>SUMPRODUCT((M_BOM[RM_Code]=$A100)*M_BOM[RM_Qty_Per_Batch]*IFERROR(INDEX(PP_Grid[#Data],M_BOM[PPGridRow],27),0))</f>
        <v/>
      </c>
      <c r="AB100">
        <f>SUMPRODUCT((M_BOM[RM_Code]=$A100)*M_BOM[RM_Qty_Per_Batch]*IFERROR(INDEX(PP_Grid[#Data],M_BOM[PPGridRow],28),0))</f>
        <v/>
      </c>
      <c r="AC100">
        <f>SUMPRODUCT((M_BOM[RM_Code]=$A100)*M_BOM[RM_Qty_Per_Batch]*IFERROR(INDEX(PP_Grid[#Data],M_BOM[PPGridRow],29),0))</f>
        <v/>
      </c>
      <c r="AD100">
        <f>SUMPRODUCT((M_BOM[RM_Code]=$A100)*M_BOM[RM_Qty_Per_Batch]*IFERROR(INDEX(PP_Grid[#Data],M_BOM[PPGridRow],30),0))</f>
        <v/>
      </c>
      <c r="AE100">
        <f>SUMPRODUCT((M_BOM[RM_Code]=$A100)*M_BOM[RM_Qty_Per_Batch]*IFERROR(INDEX(PP_Grid[#Data],M_BOM[PPGridRow],31),0))</f>
        <v/>
      </c>
      <c r="AF100">
        <f>SUMPRODUCT((M_BOM[RM_Code]=$A100)*M_BOM[RM_Qty_Per_Batch]*IFERROR(INDEX(PP_Grid[#Data],M_BOM[PPGridRow],32),0))</f>
        <v/>
      </c>
      <c r="AG100">
        <f>SUMPRODUCT((M_BOM[RM_Code]=$A100)*M_BOM[RM_Qty_Per_Batch]*IFERROR(INDEX(PP_Grid[#Data],M_BOM[PPGridRow],33),0))</f>
        <v/>
      </c>
      <c r="AH100">
        <f>SUMPRODUCT((M_BOM[RM_Code]=$A100)*M_BOM[RM_Qty_Per_Batch]*IFERROR(INDEX(PP_Grid[#Data],M_BOM[PPGridRow],34),0))</f>
        <v/>
      </c>
      <c r="AI100">
        <f>SUMPRODUCT((M_BOM[RM_Code]=$A100)*M_BOM[RM_Qty_Per_Batch]*IFERROR(INDEX(PP_Grid[#Data],M_BOM[PPGridRow],35),0))</f>
        <v/>
      </c>
      <c r="AJ100">
        <f>SUMPRODUCT((M_BOM[RM_Code]=$A100)*M_BOM[RM_Qty_Per_Batch]*IFERROR(INDEX(PP_Grid[#Data],M_BOM[PPGridRow],36),0))</f>
        <v/>
      </c>
      <c r="AK100">
        <f>SUMPRODUCT((M_BOM[RM_Code]=$A100)*M_BOM[RM_Qty_Per_Batch]*IFERROR(INDEX(PP_Grid[#Data],M_BOM[PPGridRow],37),0))</f>
        <v/>
      </c>
      <c r="AL100">
        <f>SUMPRODUCT((M_BOM[RM_Code]=$A100)*M_BOM[RM_Qty_Per_Batch]*IFERROR(INDEX(PP_Grid[#Data],M_BOM[PPGridRow],38),0))</f>
        <v/>
      </c>
      <c r="AM100">
        <f>SUMPRODUCT((M_BOM[RM_Code]=$A100)*M_BOM[RM_Qty_Per_Batch]*IFERROR(INDEX(PP_Grid[#Data],M_BOM[PPGridRow],39),0))</f>
        <v/>
      </c>
      <c r="AN100">
        <f>SUMPRODUCT((M_BOM[RM_Code]=$A100)*M_BOM[RM_Qty_Per_Batch]*IFERROR(INDEX(PP_Grid[#Data],M_BOM[PPGridRow],40),0))</f>
        <v/>
      </c>
      <c r="AO100">
        <f>SUMPRODUCT((M_BOM[RM_Code]=$A100)*M_BOM[RM_Qty_Per_Batch]*IFERROR(INDEX(PP_Grid[#Data],M_BOM[PPGridRow],41),0))</f>
        <v/>
      </c>
      <c r="AP100">
        <f>SUMPRODUCT((M_BOM[RM_Code]=$A100)*M_BOM[RM_Qty_Per_Batch]*IFERROR(INDEX(PP_Grid[#Data],M_BOM[PPGridRow],42),0))</f>
        <v/>
      </c>
      <c r="AQ100">
        <f>SUMPRODUCT((M_BOM[RM_Code]=$A100)*M_BOM[RM_Qty_Per_Batch]*IFERROR(INDEX(PP_Grid[#Data],M_BOM[PPGridRow],43),0))</f>
        <v/>
      </c>
      <c r="AR100">
        <f>SUMPRODUCT((M_BOM[RM_Code]=$A100)*M_BOM[RM_Qty_Per_Batch]*IFERROR(INDEX(PP_Grid[#Data],M_BOM[PPGridRow],44),0))</f>
        <v/>
      </c>
      <c r="AS100">
        <f>SUMPRODUCT((M_BOM[RM_Code]=$A100)*M_BOM[RM_Qty_Per_Batch]*IFERROR(INDEX(PP_Grid[#Data],M_BOM[PPGridRow],45),0))</f>
        <v/>
      </c>
      <c r="AT100">
        <f>SUMPRODUCT((M_BOM[RM_Code]=$A100)*M_BOM[RM_Qty_Per_Batch]*IFERROR(INDEX(PP_Grid[#Data],M_BOM[PPGridRow],46),0))</f>
        <v/>
      </c>
      <c r="AU100">
        <f>SUMPRODUCT((M_BOM[RM_Code]=$A100)*M_BOM[RM_Qty_Per_Batch]*IFERROR(INDEX(PP_Grid[#Data],M_BOM[PPGridRow],47),0))</f>
        <v/>
      </c>
      <c r="AV100">
        <f>SUMPRODUCT((M_BOM[RM_Code]=$A100)*M_BOM[RM_Qty_Per_Batch]*IFERROR(INDEX(PP_Grid[#Data],M_BOM[PPGridRow],48),0))</f>
        <v/>
      </c>
      <c r="AW100">
        <f>SUMPRODUCT((M_BOM[RM_Code]=$A100)*M_BOM[RM_Qty_Per_Batch]*IFERROR(INDEX(PP_Grid[#Data],M_BOM[PPGridRow],49),0))</f>
        <v/>
      </c>
      <c r="AX100">
        <f>SUMPRODUCT((M_BOM[RM_Code]=$A100)*M_BOM[RM_Qty_Per_Batch]*IFERROR(INDEX(PP_Grid[#Data],M_BOM[PPGridRow],50),0))</f>
        <v/>
      </c>
      <c r="AY100">
        <f>SUMPRODUCT((M_BOM[RM_Code]=$A100)*M_BOM[RM_Qty_Per_Batch]*IFERROR(INDEX(PP_Grid[#Data],M_BOM[PPGridRow],51),0))</f>
        <v/>
      </c>
      <c r="AZ100">
        <f>SUMPRODUCT((M_BOM[RM_Code]=$A100)*M_BOM[RM_Qty_Per_Batch]*IFERROR(INDEX(PP_Grid[#Data],M_BOM[PPGridRow],52),0))</f>
        <v/>
      </c>
      <c r="BA100">
        <f>SUMPRODUCT((M_BOM[RM_Code]=$A100)*M_BOM[RM_Qty_Per_Batch]*IFERROR(INDEX(PP_Grid[#Data],M_BOM[PPGridRow],53),0))</f>
        <v/>
      </c>
      <c r="BB100">
        <f>SUMPRODUCT((M_BOM[RM_Code]=$A100)*M_BOM[RM_Qty_Per_Batch]*IFERROR(INDEX(PP_Grid[#Data],M_BOM[PPGridRow],54),0))</f>
        <v/>
      </c>
      <c r="BC100">
        <f>SUMPRODUCT((M_BOM[RM_Code]=$A100)*M_BOM[RM_Qty_Per_Batch]*IFERROR(INDEX(PP_Grid[#Data],M_BOM[PPGridRow],55),0))</f>
        <v/>
      </c>
      <c r="BD100">
        <f>SUMPRODUCT((M_BOM[RM_Code]=$A100)*M_BOM[RM_Qty_Per_Batch]*IFERROR(INDEX(PP_Grid[#Data],M_BOM[PPGridRow],56),0))</f>
        <v/>
      </c>
      <c r="BE100">
        <f>SUMPRODUCT((M_BOM[RM_Code]=$A100)*M_BOM[RM_Qty_Per_Batch]*IFERROR(INDEX(PP_Grid[#Data],M_BOM[PPGridRow],57),0))</f>
        <v/>
      </c>
      <c r="BF100">
        <f>SUMPRODUCT((M_BOM[RM_Code]=$A100)*M_BOM[RM_Qty_Per_Batch]*IFERROR(INDEX(PP_Grid[#Data],M_BOM[PPGridRow],58),0))</f>
        <v/>
      </c>
      <c r="BG100">
        <f>SUMPRODUCT((M_BOM[RM_Code]=$A100)*M_BOM[RM_Qty_Per_Batch]*IFERROR(INDEX(PP_Grid[#Data],M_BOM[PPGridRow],59),0))</f>
        <v/>
      </c>
      <c r="BH100">
        <f>SUMPRODUCT((M_BOM[RM_Code]=$A100)*M_BOM[RM_Qty_Per_Batch]*IFERROR(INDEX(PP_Grid[#Data],M_BOM[PPGridRow],60),0))</f>
        <v/>
      </c>
      <c r="BI100">
        <f>SUMPRODUCT((M_BOM[RM_Code]=$A100)*M_BOM[RM_Qty_Per_Batch]*IFERROR(INDEX(PP_Grid[#Data],M_BOM[PPGridRow],61),0))</f>
        <v/>
      </c>
      <c r="BJ100">
        <f>SUMPRODUCT((M_BOM[RM_Code]=$A100)*M_BOM[RM_Qty_Per_Batch]*IFERROR(INDEX(PP_Grid[#Data],M_BOM[PPGridRow],62),0))</f>
        <v/>
      </c>
      <c r="BK100">
        <f>SUMPRODUCT((M_BOM[RM_Code]=$A100)*M_BOM[RM_Qty_Per_Batch]*IFERROR(INDEX(PP_Grid[#Data],M_BOM[PPGridRow],63),0))</f>
        <v/>
      </c>
      <c r="BL100">
        <f>SUMPRODUCT((M_BOM[RM_Code]=$A100)*M_BOM[RM_Qty_Per_Batch]*IFERROR(INDEX(PP_Grid[#Data],M_BOM[PPGridRow],64),0))</f>
        <v/>
      </c>
      <c r="BM100">
        <f>SUMPRODUCT((M_BOM[RM_Code]=$A100)*M_BOM[RM_Qty_Per_Batch]*IFERROR(INDEX(PP_Grid[#Data],M_BOM[PPGridRow],65),0))</f>
        <v/>
      </c>
      <c r="BN100">
        <f>SUMPRODUCT((M_BOM[RM_Code]=$A100)*M_BOM[RM_Qty_Per_Batch]*IFERROR(INDEX(PP_Grid[#Data],M_BOM[PPGridRow],66),0))</f>
        <v/>
      </c>
      <c r="BO100">
        <f>SUMPRODUCT((M_BOM[RM_Code]=$A100)*M_BOM[RM_Qty_Per_Batch]*IFERROR(INDEX(PP_Grid[#Data],M_BOM[PPGridRow],67),0))</f>
        <v/>
      </c>
      <c r="BP100">
        <f>SUMPRODUCT((M_BOM[RM_Code]=$A100)*M_BOM[RM_Qty_Per_Batch]*IFERROR(INDEX(PP_Grid[#Data],M_BOM[PPGridRow],68),0))</f>
        <v/>
      </c>
      <c r="BQ100">
        <f>SUMPRODUCT((M_BOM[RM_Code]=$A100)*M_BOM[RM_Qty_Per_Batch]*IFERROR(INDEX(PP_Grid[#Data],M_BOM[PPGridRow],69),0))</f>
        <v/>
      </c>
      <c r="BR100">
        <f>SUMPRODUCT((M_BOM[RM_Code]=$A100)*M_BOM[RM_Qty_Per_Batch]*IFERROR(INDEX(PP_Grid[#Data],M_BOM[PPGridRow],70),0))</f>
        <v/>
      </c>
      <c r="BS100">
        <f>SUMPRODUCT((M_BOM[RM_Code]=$A100)*M_BOM[RM_Qty_Per_Batch]*IFERROR(INDEX(PP_Grid[#Data],M_BOM[PPGridRow],71),0))</f>
        <v/>
      </c>
      <c r="BT100">
        <f>SUMPRODUCT((M_BOM[RM_Code]=$A100)*M_BOM[RM_Qty_Per_Batch]*IFERROR(INDEX(PP_Grid[#Data],M_BOM[PPGridRow],72),0))</f>
        <v/>
      </c>
      <c r="BU100">
        <f>SUMPRODUCT((M_BOM[RM_Code]=$A100)*M_BOM[RM_Qty_Per_Batch]*IFERROR(INDEX(PP_Grid[#Data],M_BOM[PPGridRow],73),0))</f>
        <v/>
      </c>
      <c r="BV100">
        <f>SUMPRODUCT((M_BOM[RM_Code]=$A100)*M_BOM[RM_Qty_Per_Batch]*IFERROR(INDEX(PP_Grid[#Data],M_BOM[PPGridRow],74),0))</f>
        <v/>
      </c>
      <c r="BW100">
        <f>SUMPRODUCT((M_BOM[RM_Code]=$A100)*M_BOM[RM_Qty_Per_Batch]*IFERROR(INDEX(PP_Grid[#Data],M_BOM[PPGridRow],75),0))</f>
        <v/>
      </c>
      <c r="BX100">
        <f>SUMPRODUCT((M_BOM[RM_Code]=$A100)*M_BOM[RM_Qty_Per_Batch]*IFERROR(INDEX(PP_Grid[#Data],M_BOM[PPGridRow],76),0))</f>
        <v/>
      </c>
      <c r="BY100">
        <f>SUMPRODUCT((M_BOM[RM_Code]=$A100)*M_BOM[RM_Qty_Per_Batch]*IFERROR(INDEX(PP_Grid[#Data],M_BOM[PPGridRow],77),0))</f>
        <v/>
      </c>
      <c r="BZ100">
        <f>SUMPRODUCT((M_BOM[RM_Code]=$A100)*M_BOM[RM_Qty_Per_Batch]*IFERROR(INDEX(PP_Grid[#Data],M_BOM[PPGridRow],78),0))</f>
        <v/>
      </c>
      <c r="CA100">
        <f>SUMPRODUCT((M_BOM[RM_Code]=$A100)*M_BOM[RM_Qty_Per_Batch]*IFERROR(INDEX(PP_Grid[#Data],M_BOM[PPGridRow],79),0))</f>
        <v/>
      </c>
      <c r="CB100">
        <f>SUMPRODUCT((M_BOM[RM_Code]=$A100)*M_BOM[RM_Qty_Per_Batch]*IFERROR(INDEX(PP_Grid[#Data],M_BOM[PPGridRow],80),0))</f>
        <v/>
      </c>
      <c r="CC100">
        <f>SUMPRODUCT((M_BOM[RM_Code]=$A100)*M_BOM[RM_Qty_Per_Batch]*IFERROR(INDEX(PP_Grid[#Data],M_BOM[PPGridRow],81),0))</f>
        <v/>
      </c>
      <c r="CD100">
        <f>SUMPRODUCT((M_BOM[RM_Code]=$A100)*M_BOM[RM_Qty_Per_Batch]*IFERROR(INDEX(PP_Grid[#Data],M_BOM[PPGridRow],82),0))</f>
        <v/>
      </c>
      <c r="CE100">
        <f>SUMPRODUCT((M_BOM[RM_Code]=$A100)*M_BOM[RM_Qty_Per_Batch]*IFERROR(INDEX(PP_Grid[#Data],M_BOM[PPGridRow],83),0))</f>
        <v/>
      </c>
      <c r="CF100">
        <f>SUMPRODUCT((M_BOM[RM_Code]=$A100)*M_BOM[RM_Qty_Per_Batch]*IFERROR(INDEX(PP_Grid[#Data],M_BOM[PPGridRow],84),0))</f>
        <v/>
      </c>
      <c r="CG100">
        <f>SUMPRODUCT((M_BOM[RM_Code]=$A100)*M_BOM[RM_Qty_Per_Batch]*IFERROR(INDEX(PP_Grid[#Data],M_BOM[PPGridRow],85),0))</f>
        <v/>
      </c>
      <c r="CH100">
        <f>SUMPRODUCT((M_BOM[RM_Code]=$A100)*M_BOM[RM_Qty_Per_Batch]*IFERROR(INDEX(PP_Grid[#Data],M_BOM[PPGridRow],86),0))</f>
        <v/>
      </c>
      <c r="CI100">
        <f>SUMPRODUCT((M_BOM[RM_Code]=$A100)*M_BOM[RM_Qty_Per_Batch]*IFERROR(INDEX(PP_Grid[#Data],M_BOM[PPGridRow],87),0))</f>
        <v/>
      </c>
      <c r="CJ100">
        <f>SUMPRODUCT((M_BOM[RM_Code]=$A100)*M_BOM[RM_Qty_Per_Batch]*IFERROR(INDEX(PP_Grid[#Data],M_BOM[PPGridRow],88),0))</f>
        <v/>
      </c>
      <c r="CK100">
        <f>SUMPRODUCT((M_BOM[RM_Code]=$A100)*M_BOM[RM_Qty_Per_Batch]*IFERROR(INDEX(PP_Grid[#Data],M_BOM[PPGridRow],89),0))</f>
        <v/>
      </c>
      <c r="CL100">
        <f>SUMPRODUCT((M_BOM[RM_Code]=$A100)*M_BOM[RM_Qty_Per_Batch]*IFERROR(INDEX(PP_Grid[#Data],M_BOM[PPGridRow],90),0))</f>
        <v/>
      </c>
      <c r="CM100">
        <f>SUMPRODUCT((M_BOM[RM_Code]=$A100)*M_BOM[RM_Qty_Per_Batch]*IFERROR(INDEX(PP_Grid[#Data],M_BOM[PPGridRow],91),0))</f>
        <v/>
      </c>
      <c r="CN100">
        <f>SUMPRODUCT((M_BOM[RM_Code]=$A100)*M_BOM[RM_Qty_Per_Batch]*IFERROR(INDEX(PP_Grid[#Data],M_BOM[PPGridRow],92),0))</f>
        <v/>
      </c>
      <c r="CO100">
        <f>SUMPRODUCT((M_BOM[RM_Code]=$A100)*M_BOM[RM_Qty_Per_Batch]*IFERROR(INDEX(PP_Grid[#Data],M_BOM[PPGridRow],93),0))</f>
        <v/>
      </c>
      <c r="CP100">
        <f>SUMPRODUCT((M_BOM[RM_Code]=$A100)*M_BOM[RM_Qty_Per_Batch]*IFERROR(INDEX(PP_Grid[#Data],M_BOM[PPGridRow],94),0))</f>
        <v/>
      </c>
      <c r="CQ100">
        <f>SUMPRODUCT((M_BOM[RM_Code]=$A100)*M_BOM[RM_Qty_Per_Batch]*IFERROR(INDEX(PP_Grid[#Data],M_BOM[PPGridRow],95),0))</f>
        <v/>
      </c>
      <c r="CR100">
        <f>SUMPRODUCT((M_BOM[RM_Code]=$A100)*M_BOM[RM_Qty_Per_Batch]*IFERROR(INDEX(PP_Grid[#Data],M_BOM[PPGridRow],96),0))</f>
        <v/>
      </c>
      <c r="CS100">
        <f>SUMPRODUCT((M_BOM[RM_Code]=$A100)*M_BOM[RM_Qty_Per_Batch]*IFERROR(INDEX(PP_Grid[#Data],M_BOM[PPGridRow],97),0))</f>
        <v/>
      </c>
      <c r="CT100">
        <f>SUMPRODUCT((M_BOM[RM_Code]=$A100)*M_BOM[RM_Qty_Per_Batch]*IFERROR(INDEX(PP_Grid[#Data],M_BOM[PPGridRow],98),0))</f>
        <v/>
      </c>
      <c r="CU100">
        <f>SUMPRODUCT((M_BOM[RM_Code]=$A100)*M_BOM[RM_Qty_Per_Batch]*IFERROR(INDEX(PP_Grid[#Data],M_BOM[PPGridRow],99),0))</f>
        <v/>
      </c>
      <c r="CV100">
        <f>SUMPRODUCT((M_BOM[RM_Code]=$A100)*M_BOM[RM_Qty_Per_Batch]*IFERROR(INDEX(PP_Grid[#Data],M_BOM[PPGridRow],100),0))</f>
        <v/>
      </c>
      <c r="CW100">
        <f>SUMPRODUCT((M_BOM[RM_Code]=$A100)*M_BOM[RM_Qty_Per_Batch]*IFERROR(INDEX(PP_Grid[#Data],M_BOM[PPGridRow],101),0))</f>
        <v/>
      </c>
      <c r="CX100">
        <f>SUMPRODUCT((M_BOM[RM_Code]=$A100)*M_BOM[RM_Qty_Per_Batch]*IFERROR(INDEX(PP_Grid[#Data],M_BOM[PPGridRow],102),0))</f>
        <v/>
      </c>
      <c r="CY100">
        <f>SUMPRODUCT((M_BOM[RM_Code]=$A100)*M_BOM[RM_Qty_Per_Batch]*IFERROR(INDEX(PP_Grid[#Data],M_BOM[PPGridRow],103),0))</f>
        <v/>
      </c>
      <c r="CZ100">
        <f>SUMPRODUCT((M_BOM[RM_Code]=$A100)*M_BOM[RM_Qty_Per_Batch]*IFERROR(INDEX(PP_Grid[#Data],M_BOM[PPGridRow],104),0))</f>
        <v/>
      </c>
      <c r="DA100">
        <f>SUMPRODUCT((M_BOM[RM_Code]=$A100)*M_BOM[RM_Qty_Per_Batch]*IFERROR(INDEX(PP_Grid[#Data],M_BOM[PPGridRow],105),0))</f>
        <v/>
      </c>
    </row>
    <row r="101">
      <c r="A101" t="inlineStr">
        <is>
          <t>CHEM-1090</t>
        </is>
      </c>
      <c r="B101">
        <f>SUMPRODUCT((M_BOM[RM_Code]=$A101)*M_BOM[RM_Qty_Per_Batch]*IFERROR(INDEX(PP_Grid[#Data],M_BOM[PPGridRow],2),0))</f>
        <v/>
      </c>
      <c r="C101">
        <f>SUMPRODUCT((M_BOM[RM_Code]=$A101)*M_BOM[RM_Qty_Per_Batch]*IFERROR(INDEX(PP_Grid[#Data],M_BOM[PPGridRow],3),0))</f>
        <v/>
      </c>
      <c r="D101">
        <f>SUMPRODUCT((M_BOM[RM_Code]=$A101)*M_BOM[RM_Qty_Per_Batch]*IFERROR(INDEX(PP_Grid[#Data],M_BOM[PPGridRow],4),0))</f>
        <v/>
      </c>
      <c r="E101">
        <f>SUMPRODUCT((M_BOM[RM_Code]=$A101)*M_BOM[RM_Qty_Per_Batch]*IFERROR(INDEX(PP_Grid[#Data],M_BOM[PPGridRow],5),0))</f>
        <v/>
      </c>
      <c r="F101">
        <f>SUMPRODUCT((M_BOM[RM_Code]=$A101)*M_BOM[RM_Qty_Per_Batch]*IFERROR(INDEX(PP_Grid[#Data],M_BOM[PPGridRow],6),0))</f>
        <v/>
      </c>
      <c r="G101">
        <f>SUMPRODUCT((M_BOM[RM_Code]=$A101)*M_BOM[RM_Qty_Per_Batch]*IFERROR(INDEX(PP_Grid[#Data],M_BOM[PPGridRow],7),0))</f>
        <v/>
      </c>
      <c r="H101">
        <f>SUMPRODUCT((M_BOM[RM_Code]=$A101)*M_BOM[RM_Qty_Per_Batch]*IFERROR(INDEX(PP_Grid[#Data],M_BOM[PPGridRow],8),0))</f>
        <v/>
      </c>
      <c r="I101">
        <f>SUMPRODUCT((M_BOM[RM_Code]=$A101)*M_BOM[RM_Qty_Per_Batch]*IFERROR(INDEX(PP_Grid[#Data],M_BOM[PPGridRow],9),0))</f>
        <v/>
      </c>
      <c r="J101">
        <f>SUMPRODUCT((M_BOM[RM_Code]=$A101)*M_BOM[RM_Qty_Per_Batch]*IFERROR(INDEX(PP_Grid[#Data],M_BOM[PPGridRow],10),0))</f>
        <v/>
      </c>
      <c r="K101">
        <f>SUMPRODUCT((M_BOM[RM_Code]=$A101)*M_BOM[RM_Qty_Per_Batch]*IFERROR(INDEX(PP_Grid[#Data],M_BOM[PPGridRow],11),0))</f>
        <v/>
      </c>
      <c r="L101">
        <f>SUMPRODUCT((M_BOM[RM_Code]=$A101)*M_BOM[RM_Qty_Per_Batch]*IFERROR(INDEX(PP_Grid[#Data],M_BOM[PPGridRow],12),0))</f>
        <v/>
      </c>
      <c r="M101">
        <f>SUMPRODUCT((M_BOM[RM_Code]=$A101)*M_BOM[RM_Qty_Per_Batch]*IFERROR(INDEX(PP_Grid[#Data],M_BOM[PPGridRow],13),0))</f>
        <v/>
      </c>
      <c r="N101">
        <f>SUMPRODUCT((M_BOM[RM_Code]=$A101)*M_BOM[RM_Qty_Per_Batch]*IFERROR(INDEX(PP_Grid[#Data],M_BOM[PPGridRow],14),0))</f>
        <v/>
      </c>
      <c r="O101">
        <f>SUMPRODUCT((M_BOM[RM_Code]=$A101)*M_BOM[RM_Qty_Per_Batch]*IFERROR(INDEX(PP_Grid[#Data],M_BOM[PPGridRow],15),0))</f>
        <v/>
      </c>
      <c r="P101">
        <f>SUMPRODUCT((M_BOM[RM_Code]=$A101)*M_BOM[RM_Qty_Per_Batch]*IFERROR(INDEX(PP_Grid[#Data],M_BOM[PPGridRow],16),0))</f>
        <v/>
      </c>
      <c r="Q101">
        <f>SUMPRODUCT((M_BOM[RM_Code]=$A101)*M_BOM[RM_Qty_Per_Batch]*IFERROR(INDEX(PP_Grid[#Data],M_BOM[PPGridRow],17),0))</f>
        <v/>
      </c>
      <c r="R101">
        <f>SUMPRODUCT((M_BOM[RM_Code]=$A101)*M_BOM[RM_Qty_Per_Batch]*IFERROR(INDEX(PP_Grid[#Data],M_BOM[PPGridRow],18),0))</f>
        <v/>
      </c>
      <c r="S101">
        <f>SUMPRODUCT((M_BOM[RM_Code]=$A101)*M_BOM[RM_Qty_Per_Batch]*IFERROR(INDEX(PP_Grid[#Data],M_BOM[PPGridRow],19),0))</f>
        <v/>
      </c>
      <c r="T101">
        <f>SUMPRODUCT((M_BOM[RM_Code]=$A101)*M_BOM[RM_Qty_Per_Batch]*IFERROR(INDEX(PP_Grid[#Data],M_BOM[PPGridRow],20),0))</f>
        <v/>
      </c>
      <c r="U101">
        <f>SUMPRODUCT((M_BOM[RM_Code]=$A101)*M_BOM[RM_Qty_Per_Batch]*IFERROR(INDEX(PP_Grid[#Data],M_BOM[PPGridRow],21),0))</f>
        <v/>
      </c>
      <c r="V101">
        <f>SUMPRODUCT((M_BOM[RM_Code]=$A101)*M_BOM[RM_Qty_Per_Batch]*IFERROR(INDEX(PP_Grid[#Data],M_BOM[PPGridRow],22),0))</f>
        <v/>
      </c>
      <c r="W101">
        <f>SUMPRODUCT((M_BOM[RM_Code]=$A101)*M_BOM[RM_Qty_Per_Batch]*IFERROR(INDEX(PP_Grid[#Data],M_BOM[PPGridRow],23),0))</f>
        <v/>
      </c>
      <c r="X101">
        <f>SUMPRODUCT((M_BOM[RM_Code]=$A101)*M_BOM[RM_Qty_Per_Batch]*IFERROR(INDEX(PP_Grid[#Data],M_BOM[PPGridRow],24),0))</f>
        <v/>
      </c>
      <c r="Y101">
        <f>SUMPRODUCT((M_BOM[RM_Code]=$A101)*M_BOM[RM_Qty_Per_Batch]*IFERROR(INDEX(PP_Grid[#Data],M_BOM[PPGridRow],25),0))</f>
        <v/>
      </c>
      <c r="Z101">
        <f>SUMPRODUCT((M_BOM[RM_Code]=$A101)*M_BOM[RM_Qty_Per_Batch]*IFERROR(INDEX(PP_Grid[#Data],M_BOM[PPGridRow],26),0))</f>
        <v/>
      </c>
      <c r="AA101">
        <f>SUMPRODUCT((M_BOM[RM_Code]=$A101)*M_BOM[RM_Qty_Per_Batch]*IFERROR(INDEX(PP_Grid[#Data],M_BOM[PPGridRow],27),0))</f>
        <v/>
      </c>
      <c r="AB101">
        <f>SUMPRODUCT((M_BOM[RM_Code]=$A101)*M_BOM[RM_Qty_Per_Batch]*IFERROR(INDEX(PP_Grid[#Data],M_BOM[PPGridRow],28),0))</f>
        <v/>
      </c>
      <c r="AC101">
        <f>SUMPRODUCT((M_BOM[RM_Code]=$A101)*M_BOM[RM_Qty_Per_Batch]*IFERROR(INDEX(PP_Grid[#Data],M_BOM[PPGridRow],29),0))</f>
        <v/>
      </c>
      <c r="AD101">
        <f>SUMPRODUCT((M_BOM[RM_Code]=$A101)*M_BOM[RM_Qty_Per_Batch]*IFERROR(INDEX(PP_Grid[#Data],M_BOM[PPGridRow],30),0))</f>
        <v/>
      </c>
      <c r="AE101">
        <f>SUMPRODUCT((M_BOM[RM_Code]=$A101)*M_BOM[RM_Qty_Per_Batch]*IFERROR(INDEX(PP_Grid[#Data],M_BOM[PPGridRow],31),0))</f>
        <v/>
      </c>
      <c r="AF101">
        <f>SUMPRODUCT((M_BOM[RM_Code]=$A101)*M_BOM[RM_Qty_Per_Batch]*IFERROR(INDEX(PP_Grid[#Data],M_BOM[PPGridRow],32),0))</f>
        <v/>
      </c>
      <c r="AG101">
        <f>SUMPRODUCT((M_BOM[RM_Code]=$A101)*M_BOM[RM_Qty_Per_Batch]*IFERROR(INDEX(PP_Grid[#Data],M_BOM[PPGridRow],33),0))</f>
        <v/>
      </c>
      <c r="AH101">
        <f>SUMPRODUCT((M_BOM[RM_Code]=$A101)*M_BOM[RM_Qty_Per_Batch]*IFERROR(INDEX(PP_Grid[#Data],M_BOM[PPGridRow],34),0))</f>
        <v/>
      </c>
      <c r="AI101">
        <f>SUMPRODUCT((M_BOM[RM_Code]=$A101)*M_BOM[RM_Qty_Per_Batch]*IFERROR(INDEX(PP_Grid[#Data],M_BOM[PPGridRow],35),0))</f>
        <v/>
      </c>
      <c r="AJ101">
        <f>SUMPRODUCT((M_BOM[RM_Code]=$A101)*M_BOM[RM_Qty_Per_Batch]*IFERROR(INDEX(PP_Grid[#Data],M_BOM[PPGridRow],36),0))</f>
        <v/>
      </c>
      <c r="AK101">
        <f>SUMPRODUCT((M_BOM[RM_Code]=$A101)*M_BOM[RM_Qty_Per_Batch]*IFERROR(INDEX(PP_Grid[#Data],M_BOM[PPGridRow],37),0))</f>
        <v/>
      </c>
      <c r="AL101">
        <f>SUMPRODUCT((M_BOM[RM_Code]=$A101)*M_BOM[RM_Qty_Per_Batch]*IFERROR(INDEX(PP_Grid[#Data],M_BOM[PPGridRow],38),0))</f>
        <v/>
      </c>
      <c r="AM101">
        <f>SUMPRODUCT((M_BOM[RM_Code]=$A101)*M_BOM[RM_Qty_Per_Batch]*IFERROR(INDEX(PP_Grid[#Data],M_BOM[PPGridRow],39),0))</f>
        <v/>
      </c>
      <c r="AN101">
        <f>SUMPRODUCT((M_BOM[RM_Code]=$A101)*M_BOM[RM_Qty_Per_Batch]*IFERROR(INDEX(PP_Grid[#Data],M_BOM[PPGridRow],40),0))</f>
        <v/>
      </c>
      <c r="AO101">
        <f>SUMPRODUCT((M_BOM[RM_Code]=$A101)*M_BOM[RM_Qty_Per_Batch]*IFERROR(INDEX(PP_Grid[#Data],M_BOM[PPGridRow],41),0))</f>
        <v/>
      </c>
      <c r="AP101">
        <f>SUMPRODUCT((M_BOM[RM_Code]=$A101)*M_BOM[RM_Qty_Per_Batch]*IFERROR(INDEX(PP_Grid[#Data],M_BOM[PPGridRow],42),0))</f>
        <v/>
      </c>
      <c r="AQ101">
        <f>SUMPRODUCT((M_BOM[RM_Code]=$A101)*M_BOM[RM_Qty_Per_Batch]*IFERROR(INDEX(PP_Grid[#Data],M_BOM[PPGridRow],43),0))</f>
        <v/>
      </c>
      <c r="AR101">
        <f>SUMPRODUCT((M_BOM[RM_Code]=$A101)*M_BOM[RM_Qty_Per_Batch]*IFERROR(INDEX(PP_Grid[#Data],M_BOM[PPGridRow],44),0))</f>
        <v/>
      </c>
      <c r="AS101">
        <f>SUMPRODUCT((M_BOM[RM_Code]=$A101)*M_BOM[RM_Qty_Per_Batch]*IFERROR(INDEX(PP_Grid[#Data],M_BOM[PPGridRow],45),0))</f>
        <v/>
      </c>
      <c r="AT101">
        <f>SUMPRODUCT((M_BOM[RM_Code]=$A101)*M_BOM[RM_Qty_Per_Batch]*IFERROR(INDEX(PP_Grid[#Data],M_BOM[PPGridRow],46),0))</f>
        <v/>
      </c>
      <c r="AU101">
        <f>SUMPRODUCT((M_BOM[RM_Code]=$A101)*M_BOM[RM_Qty_Per_Batch]*IFERROR(INDEX(PP_Grid[#Data],M_BOM[PPGridRow],47),0))</f>
        <v/>
      </c>
      <c r="AV101">
        <f>SUMPRODUCT((M_BOM[RM_Code]=$A101)*M_BOM[RM_Qty_Per_Batch]*IFERROR(INDEX(PP_Grid[#Data],M_BOM[PPGridRow],48),0))</f>
        <v/>
      </c>
      <c r="AW101">
        <f>SUMPRODUCT((M_BOM[RM_Code]=$A101)*M_BOM[RM_Qty_Per_Batch]*IFERROR(INDEX(PP_Grid[#Data],M_BOM[PPGridRow],49),0))</f>
        <v/>
      </c>
      <c r="AX101">
        <f>SUMPRODUCT((M_BOM[RM_Code]=$A101)*M_BOM[RM_Qty_Per_Batch]*IFERROR(INDEX(PP_Grid[#Data],M_BOM[PPGridRow],50),0))</f>
        <v/>
      </c>
      <c r="AY101">
        <f>SUMPRODUCT((M_BOM[RM_Code]=$A101)*M_BOM[RM_Qty_Per_Batch]*IFERROR(INDEX(PP_Grid[#Data],M_BOM[PPGridRow],51),0))</f>
        <v/>
      </c>
      <c r="AZ101">
        <f>SUMPRODUCT((M_BOM[RM_Code]=$A101)*M_BOM[RM_Qty_Per_Batch]*IFERROR(INDEX(PP_Grid[#Data],M_BOM[PPGridRow],52),0))</f>
        <v/>
      </c>
      <c r="BA101">
        <f>SUMPRODUCT((M_BOM[RM_Code]=$A101)*M_BOM[RM_Qty_Per_Batch]*IFERROR(INDEX(PP_Grid[#Data],M_BOM[PPGridRow],53),0))</f>
        <v/>
      </c>
      <c r="BB101">
        <f>SUMPRODUCT((M_BOM[RM_Code]=$A101)*M_BOM[RM_Qty_Per_Batch]*IFERROR(INDEX(PP_Grid[#Data],M_BOM[PPGridRow],54),0))</f>
        <v/>
      </c>
      <c r="BC101">
        <f>SUMPRODUCT((M_BOM[RM_Code]=$A101)*M_BOM[RM_Qty_Per_Batch]*IFERROR(INDEX(PP_Grid[#Data],M_BOM[PPGridRow],55),0))</f>
        <v/>
      </c>
      <c r="BD101">
        <f>SUMPRODUCT((M_BOM[RM_Code]=$A101)*M_BOM[RM_Qty_Per_Batch]*IFERROR(INDEX(PP_Grid[#Data],M_BOM[PPGridRow],56),0))</f>
        <v/>
      </c>
      <c r="BE101">
        <f>SUMPRODUCT((M_BOM[RM_Code]=$A101)*M_BOM[RM_Qty_Per_Batch]*IFERROR(INDEX(PP_Grid[#Data],M_BOM[PPGridRow],57),0))</f>
        <v/>
      </c>
      <c r="BF101">
        <f>SUMPRODUCT((M_BOM[RM_Code]=$A101)*M_BOM[RM_Qty_Per_Batch]*IFERROR(INDEX(PP_Grid[#Data],M_BOM[PPGridRow],58),0))</f>
        <v/>
      </c>
      <c r="BG101">
        <f>SUMPRODUCT((M_BOM[RM_Code]=$A101)*M_BOM[RM_Qty_Per_Batch]*IFERROR(INDEX(PP_Grid[#Data],M_BOM[PPGridRow],59),0))</f>
        <v/>
      </c>
      <c r="BH101">
        <f>SUMPRODUCT((M_BOM[RM_Code]=$A101)*M_BOM[RM_Qty_Per_Batch]*IFERROR(INDEX(PP_Grid[#Data],M_BOM[PPGridRow],60),0))</f>
        <v/>
      </c>
      <c r="BI101">
        <f>SUMPRODUCT((M_BOM[RM_Code]=$A101)*M_BOM[RM_Qty_Per_Batch]*IFERROR(INDEX(PP_Grid[#Data],M_BOM[PPGridRow],61),0))</f>
        <v/>
      </c>
      <c r="BJ101">
        <f>SUMPRODUCT((M_BOM[RM_Code]=$A101)*M_BOM[RM_Qty_Per_Batch]*IFERROR(INDEX(PP_Grid[#Data],M_BOM[PPGridRow],62),0))</f>
        <v/>
      </c>
      <c r="BK101">
        <f>SUMPRODUCT((M_BOM[RM_Code]=$A101)*M_BOM[RM_Qty_Per_Batch]*IFERROR(INDEX(PP_Grid[#Data],M_BOM[PPGridRow],63),0))</f>
        <v/>
      </c>
      <c r="BL101">
        <f>SUMPRODUCT((M_BOM[RM_Code]=$A101)*M_BOM[RM_Qty_Per_Batch]*IFERROR(INDEX(PP_Grid[#Data],M_BOM[PPGridRow],64),0))</f>
        <v/>
      </c>
      <c r="BM101">
        <f>SUMPRODUCT((M_BOM[RM_Code]=$A101)*M_BOM[RM_Qty_Per_Batch]*IFERROR(INDEX(PP_Grid[#Data],M_BOM[PPGridRow],65),0))</f>
        <v/>
      </c>
      <c r="BN101">
        <f>SUMPRODUCT((M_BOM[RM_Code]=$A101)*M_BOM[RM_Qty_Per_Batch]*IFERROR(INDEX(PP_Grid[#Data],M_BOM[PPGridRow],66),0))</f>
        <v/>
      </c>
      <c r="BO101">
        <f>SUMPRODUCT((M_BOM[RM_Code]=$A101)*M_BOM[RM_Qty_Per_Batch]*IFERROR(INDEX(PP_Grid[#Data],M_BOM[PPGridRow],67),0))</f>
        <v/>
      </c>
      <c r="BP101">
        <f>SUMPRODUCT((M_BOM[RM_Code]=$A101)*M_BOM[RM_Qty_Per_Batch]*IFERROR(INDEX(PP_Grid[#Data],M_BOM[PPGridRow],68),0))</f>
        <v/>
      </c>
      <c r="BQ101">
        <f>SUMPRODUCT((M_BOM[RM_Code]=$A101)*M_BOM[RM_Qty_Per_Batch]*IFERROR(INDEX(PP_Grid[#Data],M_BOM[PPGridRow],69),0))</f>
        <v/>
      </c>
      <c r="BR101">
        <f>SUMPRODUCT((M_BOM[RM_Code]=$A101)*M_BOM[RM_Qty_Per_Batch]*IFERROR(INDEX(PP_Grid[#Data],M_BOM[PPGridRow],70),0))</f>
        <v/>
      </c>
      <c r="BS101">
        <f>SUMPRODUCT((M_BOM[RM_Code]=$A101)*M_BOM[RM_Qty_Per_Batch]*IFERROR(INDEX(PP_Grid[#Data],M_BOM[PPGridRow],71),0))</f>
        <v/>
      </c>
      <c r="BT101">
        <f>SUMPRODUCT((M_BOM[RM_Code]=$A101)*M_BOM[RM_Qty_Per_Batch]*IFERROR(INDEX(PP_Grid[#Data],M_BOM[PPGridRow],72),0))</f>
        <v/>
      </c>
      <c r="BU101">
        <f>SUMPRODUCT((M_BOM[RM_Code]=$A101)*M_BOM[RM_Qty_Per_Batch]*IFERROR(INDEX(PP_Grid[#Data],M_BOM[PPGridRow],73),0))</f>
        <v/>
      </c>
      <c r="BV101">
        <f>SUMPRODUCT((M_BOM[RM_Code]=$A101)*M_BOM[RM_Qty_Per_Batch]*IFERROR(INDEX(PP_Grid[#Data],M_BOM[PPGridRow],74),0))</f>
        <v/>
      </c>
      <c r="BW101">
        <f>SUMPRODUCT((M_BOM[RM_Code]=$A101)*M_BOM[RM_Qty_Per_Batch]*IFERROR(INDEX(PP_Grid[#Data],M_BOM[PPGridRow],75),0))</f>
        <v/>
      </c>
      <c r="BX101">
        <f>SUMPRODUCT((M_BOM[RM_Code]=$A101)*M_BOM[RM_Qty_Per_Batch]*IFERROR(INDEX(PP_Grid[#Data],M_BOM[PPGridRow],76),0))</f>
        <v/>
      </c>
      <c r="BY101">
        <f>SUMPRODUCT((M_BOM[RM_Code]=$A101)*M_BOM[RM_Qty_Per_Batch]*IFERROR(INDEX(PP_Grid[#Data],M_BOM[PPGridRow],77),0))</f>
        <v/>
      </c>
      <c r="BZ101">
        <f>SUMPRODUCT((M_BOM[RM_Code]=$A101)*M_BOM[RM_Qty_Per_Batch]*IFERROR(INDEX(PP_Grid[#Data],M_BOM[PPGridRow],78),0))</f>
        <v/>
      </c>
      <c r="CA101">
        <f>SUMPRODUCT((M_BOM[RM_Code]=$A101)*M_BOM[RM_Qty_Per_Batch]*IFERROR(INDEX(PP_Grid[#Data],M_BOM[PPGridRow],79),0))</f>
        <v/>
      </c>
      <c r="CB101">
        <f>SUMPRODUCT((M_BOM[RM_Code]=$A101)*M_BOM[RM_Qty_Per_Batch]*IFERROR(INDEX(PP_Grid[#Data],M_BOM[PPGridRow],80),0))</f>
        <v/>
      </c>
      <c r="CC101">
        <f>SUMPRODUCT((M_BOM[RM_Code]=$A101)*M_BOM[RM_Qty_Per_Batch]*IFERROR(INDEX(PP_Grid[#Data],M_BOM[PPGridRow],81),0))</f>
        <v/>
      </c>
      <c r="CD101">
        <f>SUMPRODUCT((M_BOM[RM_Code]=$A101)*M_BOM[RM_Qty_Per_Batch]*IFERROR(INDEX(PP_Grid[#Data],M_BOM[PPGridRow],82),0))</f>
        <v/>
      </c>
      <c r="CE101">
        <f>SUMPRODUCT((M_BOM[RM_Code]=$A101)*M_BOM[RM_Qty_Per_Batch]*IFERROR(INDEX(PP_Grid[#Data],M_BOM[PPGridRow],83),0))</f>
        <v/>
      </c>
      <c r="CF101">
        <f>SUMPRODUCT((M_BOM[RM_Code]=$A101)*M_BOM[RM_Qty_Per_Batch]*IFERROR(INDEX(PP_Grid[#Data],M_BOM[PPGridRow],84),0))</f>
        <v/>
      </c>
      <c r="CG101">
        <f>SUMPRODUCT((M_BOM[RM_Code]=$A101)*M_BOM[RM_Qty_Per_Batch]*IFERROR(INDEX(PP_Grid[#Data],M_BOM[PPGridRow],85),0))</f>
        <v/>
      </c>
      <c r="CH101">
        <f>SUMPRODUCT((M_BOM[RM_Code]=$A101)*M_BOM[RM_Qty_Per_Batch]*IFERROR(INDEX(PP_Grid[#Data],M_BOM[PPGridRow],86),0))</f>
        <v/>
      </c>
      <c r="CI101">
        <f>SUMPRODUCT((M_BOM[RM_Code]=$A101)*M_BOM[RM_Qty_Per_Batch]*IFERROR(INDEX(PP_Grid[#Data],M_BOM[PPGridRow],87),0))</f>
        <v/>
      </c>
      <c r="CJ101">
        <f>SUMPRODUCT((M_BOM[RM_Code]=$A101)*M_BOM[RM_Qty_Per_Batch]*IFERROR(INDEX(PP_Grid[#Data],M_BOM[PPGridRow],88),0))</f>
        <v/>
      </c>
      <c r="CK101">
        <f>SUMPRODUCT((M_BOM[RM_Code]=$A101)*M_BOM[RM_Qty_Per_Batch]*IFERROR(INDEX(PP_Grid[#Data],M_BOM[PPGridRow],89),0))</f>
        <v/>
      </c>
      <c r="CL101">
        <f>SUMPRODUCT((M_BOM[RM_Code]=$A101)*M_BOM[RM_Qty_Per_Batch]*IFERROR(INDEX(PP_Grid[#Data],M_BOM[PPGridRow],90),0))</f>
        <v/>
      </c>
      <c r="CM101">
        <f>SUMPRODUCT((M_BOM[RM_Code]=$A101)*M_BOM[RM_Qty_Per_Batch]*IFERROR(INDEX(PP_Grid[#Data],M_BOM[PPGridRow],91),0))</f>
        <v/>
      </c>
      <c r="CN101">
        <f>SUMPRODUCT((M_BOM[RM_Code]=$A101)*M_BOM[RM_Qty_Per_Batch]*IFERROR(INDEX(PP_Grid[#Data],M_BOM[PPGridRow],92),0))</f>
        <v/>
      </c>
      <c r="CO101">
        <f>SUMPRODUCT((M_BOM[RM_Code]=$A101)*M_BOM[RM_Qty_Per_Batch]*IFERROR(INDEX(PP_Grid[#Data],M_BOM[PPGridRow],93),0))</f>
        <v/>
      </c>
      <c r="CP101">
        <f>SUMPRODUCT((M_BOM[RM_Code]=$A101)*M_BOM[RM_Qty_Per_Batch]*IFERROR(INDEX(PP_Grid[#Data],M_BOM[PPGridRow],94),0))</f>
        <v/>
      </c>
      <c r="CQ101">
        <f>SUMPRODUCT((M_BOM[RM_Code]=$A101)*M_BOM[RM_Qty_Per_Batch]*IFERROR(INDEX(PP_Grid[#Data],M_BOM[PPGridRow],95),0))</f>
        <v/>
      </c>
      <c r="CR101">
        <f>SUMPRODUCT((M_BOM[RM_Code]=$A101)*M_BOM[RM_Qty_Per_Batch]*IFERROR(INDEX(PP_Grid[#Data],M_BOM[PPGridRow],96),0))</f>
        <v/>
      </c>
      <c r="CS101">
        <f>SUMPRODUCT((M_BOM[RM_Code]=$A101)*M_BOM[RM_Qty_Per_Batch]*IFERROR(INDEX(PP_Grid[#Data],M_BOM[PPGridRow],97),0))</f>
        <v/>
      </c>
      <c r="CT101">
        <f>SUMPRODUCT((M_BOM[RM_Code]=$A101)*M_BOM[RM_Qty_Per_Batch]*IFERROR(INDEX(PP_Grid[#Data],M_BOM[PPGridRow],98),0))</f>
        <v/>
      </c>
      <c r="CU101">
        <f>SUMPRODUCT((M_BOM[RM_Code]=$A101)*M_BOM[RM_Qty_Per_Batch]*IFERROR(INDEX(PP_Grid[#Data],M_BOM[PPGridRow],99),0))</f>
        <v/>
      </c>
      <c r="CV101">
        <f>SUMPRODUCT((M_BOM[RM_Code]=$A101)*M_BOM[RM_Qty_Per_Batch]*IFERROR(INDEX(PP_Grid[#Data],M_BOM[PPGridRow],100),0))</f>
        <v/>
      </c>
      <c r="CW101">
        <f>SUMPRODUCT((M_BOM[RM_Code]=$A101)*M_BOM[RM_Qty_Per_Batch]*IFERROR(INDEX(PP_Grid[#Data],M_BOM[PPGridRow],101),0))</f>
        <v/>
      </c>
      <c r="CX101">
        <f>SUMPRODUCT((M_BOM[RM_Code]=$A101)*M_BOM[RM_Qty_Per_Batch]*IFERROR(INDEX(PP_Grid[#Data],M_BOM[PPGridRow],102),0))</f>
        <v/>
      </c>
      <c r="CY101">
        <f>SUMPRODUCT((M_BOM[RM_Code]=$A101)*M_BOM[RM_Qty_Per_Batch]*IFERROR(INDEX(PP_Grid[#Data],M_BOM[PPGridRow],103),0))</f>
        <v/>
      </c>
      <c r="CZ101">
        <f>SUMPRODUCT((M_BOM[RM_Code]=$A101)*M_BOM[RM_Qty_Per_Batch]*IFERROR(INDEX(PP_Grid[#Data],M_BOM[PPGridRow],104),0))</f>
        <v/>
      </c>
      <c r="DA101">
        <f>SUMPRODUCT((M_BOM[RM_Code]=$A101)*M_BOM[RM_Qty_Per_Batch]*IFERROR(INDEX(PP_Grid[#Data],M_BOM[PPGridRow],105),0))</f>
        <v/>
      </c>
    </row>
    <row r="102">
      <c r="A102" t="inlineStr">
        <is>
          <t>CHEM-1310</t>
        </is>
      </c>
      <c r="B102">
        <f>SUMPRODUCT((M_BOM[RM_Code]=$A102)*M_BOM[RM_Qty_Per_Batch]*IFERROR(INDEX(PP_Grid[#Data],M_BOM[PPGridRow],2),0))</f>
        <v/>
      </c>
      <c r="C102">
        <f>SUMPRODUCT((M_BOM[RM_Code]=$A102)*M_BOM[RM_Qty_Per_Batch]*IFERROR(INDEX(PP_Grid[#Data],M_BOM[PPGridRow],3),0))</f>
        <v/>
      </c>
      <c r="D102">
        <f>SUMPRODUCT((M_BOM[RM_Code]=$A102)*M_BOM[RM_Qty_Per_Batch]*IFERROR(INDEX(PP_Grid[#Data],M_BOM[PPGridRow],4),0))</f>
        <v/>
      </c>
      <c r="E102">
        <f>SUMPRODUCT((M_BOM[RM_Code]=$A102)*M_BOM[RM_Qty_Per_Batch]*IFERROR(INDEX(PP_Grid[#Data],M_BOM[PPGridRow],5),0))</f>
        <v/>
      </c>
      <c r="F102">
        <f>SUMPRODUCT((M_BOM[RM_Code]=$A102)*M_BOM[RM_Qty_Per_Batch]*IFERROR(INDEX(PP_Grid[#Data],M_BOM[PPGridRow],6),0))</f>
        <v/>
      </c>
      <c r="G102">
        <f>SUMPRODUCT((M_BOM[RM_Code]=$A102)*M_BOM[RM_Qty_Per_Batch]*IFERROR(INDEX(PP_Grid[#Data],M_BOM[PPGridRow],7),0))</f>
        <v/>
      </c>
      <c r="H102">
        <f>SUMPRODUCT((M_BOM[RM_Code]=$A102)*M_BOM[RM_Qty_Per_Batch]*IFERROR(INDEX(PP_Grid[#Data],M_BOM[PPGridRow],8),0))</f>
        <v/>
      </c>
      <c r="I102">
        <f>SUMPRODUCT((M_BOM[RM_Code]=$A102)*M_BOM[RM_Qty_Per_Batch]*IFERROR(INDEX(PP_Grid[#Data],M_BOM[PPGridRow],9),0))</f>
        <v/>
      </c>
      <c r="J102">
        <f>SUMPRODUCT((M_BOM[RM_Code]=$A102)*M_BOM[RM_Qty_Per_Batch]*IFERROR(INDEX(PP_Grid[#Data],M_BOM[PPGridRow],10),0))</f>
        <v/>
      </c>
      <c r="K102">
        <f>SUMPRODUCT((M_BOM[RM_Code]=$A102)*M_BOM[RM_Qty_Per_Batch]*IFERROR(INDEX(PP_Grid[#Data],M_BOM[PPGridRow],11),0))</f>
        <v/>
      </c>
      <c r="L102">
        <f>SUMPRODUCT((M_BOM[RM_Code]=$A102)*M_BOM[RM_Qty_Per_Batch]*IFERROR(INDEX(PP_Grid[#Data],M_BOM[PPGridRow],12),0))</f>
        <v/>
      </c>
      <c r="M102">
        <f>SUMPRODUCT((M_BOM[RM_Code]=$A102)*M_BOM[RM_Qty_Per_Batch]*IFERROR(INDEX(PP_Grid[#Data],M_BOM[PPGridRow],13),0))</f>
        <v/>
      </c>
      <c r="N102">
        <f>SUMPRODUCT((M_BOM[RM_Code]=$A102)*M_BOM[RM_Qty_Per_Batch]*IFERROR(INDEX(PP_Grid[#Data],M_BOM[PPGridRow],14),0))</f>
        <v/>
      </c>
      <c r="O102">
        <f>SUMPRODUCT((M_BOM[RM_Code]=$A102)*M_BOM[RM_Qty_Per_Batch]*IFERROR(INDEX(PP_Grid[#Data],M_BOM[PPGridRow],15),0))</f>
        <v/>
      </c>
      <c r="P102">
        <f>SUMPRODUCT((M_BOM[RM_Code]=$A102)*M_BOM[RM_Qty_Per_Batch]*IFERROR(INDEX(PP_Grid[#Data],M_BOM[PPGridRow],16),0))</f>
        <v/>
      </c>
      <c r="Q102">
        <f>SUMPRODUCT((M_BOM[RM_Code]=$A102)*M_BOM[RM_Qty_Per_Batch]*IFERROR(INDEX(PP_Grid[#Data],M_BOM[PPGridRow],17),0))</f>
        <v/>
      </c>
      <c r="R102">
        <f>SUMPRODUCT((M_BOM[RM_Code]=$A102)*M_BOM[RM_Qty_Per_Batch]*IFERROR(INDEX(PP_Grid[#Data],M_BOM[PPGridRow],18),0))</f>
        <v/>
      </c>
      <c r="S102">
        <f>SUMPRODUCT((M_BOM[RM_Code]=$A102)*M_BOM[RM_Qty_Per_Batch]*IFERROR(INDEX(PP_Grid[#Data],M_BOM[PPGridRow],19),0))</f>
        <v/>
      </c>
      <c r="T102">
        <f>SUMPRODUCT((M_BOM[RM_Code]=$A102)*M_BOM[RM_Qty_Per_Batch]*IFERROR(INDEX(PP_Grid[#Data],M_BOM[PPGridRow],20),0))</f>
        <v/>
      </c>
      <c r="U102">
        <f>SUMPRODUCT((M_BOM[RM_Code]=$A102)*M_BOM[RM_Qty_Per_Batch]*IFERROR(INDEX(PP_Grid[#Data],M_BOM[PPGridRow],21),0))</f>
        <v/>
      </c>
      <c r="V102">
        <f>SUMPRODUCT((M_BOM[RM_Code]=$A102)*M_BOM[RM_Qty_Per_Batch]*IFERROR(INDEX(PP_Grid[#Data],M_BOM[PPGridRow],22),0))</f>
        <v/>
      </c>
      <c r="W102">
        <f>SUMPRODUCT((M_BOM[RM_Code]=$A102)*M_BOM[RM_Qty_Per_Batch]*IFERROR(INDEX(PP_Grid[#Data],M_BOM[PPGridRow],23),0))</f>
        <v/>
      </c>
      <c r="X102">
        <f>SUMPRODUCT((M_BOM[RM_Code]=$A102)*M_BOM[RM_Qty_Per_Batch]*IFERROR(INDEX(PP_Grid[#Data],M_BOM[PPGridRow],24),0))</f>
        <v/>
      </c>
      <c r="Y102">
        <f>SUMPRODUCT((M_BOM[RM_Code]=$A102)*M_BOM[RM_Qty_Per_Batch]*IFERROR(INDEX(PP_Grid[#Data],M_BOM[PPGridRow],25),0))</f>
        <v/>
      </c>
      <c r="Z102">
        <f>SUMPRODUCT((M_BOM[RM_Code]=$A102)*M_BOM[RM_Qty_Per_Batch]*IFERROR(INDEX(PP_Grid[#Data],M_BOM[PPGridRow],26),0))</f>
        <v/>
      </c>
      <c r="AA102">
        <f>SUMPRODUCT((M_BOM[RM_Code]=$A102)*M_BOM[RM_Qty_Per_Batch]*IFERROR(INDEX(PP_Grid[#Data],M_BOM[PPGridRow],27),0))</f>
        <v/>
      </c>
      <c r="AB102">
        <f>SUMPRODUCT((M_BOM[RM_Code]=$A102)*M_BOM[RM_Qty_Per_Batch]*IFERROR(INDEX(PP_Grid[#Data],M_BOM[PPGridRow],28),0))</f>
        <v/>
      </c>
      <c r="AC102">
        <f>SUMPRODUCT((M_BOM[RM_Code]=$A102)*M_BOM[RM_Qty_Per_Batch]*IFERROR(INDEX(PP_Grid[#Data],M_BOM[PPGridRow],29),0))</f>
        <v/>
      </c>
      <c r="AD102">
        <f>SUMPRODUCT((M_BOM[RM_Code]=$A102)*M_BOM[RM_Qty_Per_Batch]*IFERROR(INDEX(PP_Grid[#Data],M_BOM[PPGridRow],30),0))</f>
        <v/>
      </c>
      <c r="AE102">
        <f>SUMPRODUCT((M_BOM[RM_Code]=$A102)*M_BOM[RM_Qty_Per_Batch]*IFERROR(INDEX(PP_Grid[#Data],M_BOM[PPGridRow],31),0))</f>
        <v/>
      </c>
      <c r="AF102">
        <f>SUMPRODUCT((M_BOM[RM_Code]=$A102)*M_BOM[RM_Qty_Per_Batch]*IFERROR(INDEX(PP_Grid[#Data],M_BOM[PPGridRow],32),0))</f>
        <v/>
      </c>
      <c r="AG102">
        <f>SUMPRODUCT((M_BOM[RM_Code]=$A102)*M_BOM[RM_Qty_Per_Batch]*IFERROR(INDEX(PP_Grid[#Data],M_BOM[PPGridRow],33),0))</f>
        <v/>
      </c>
      <c r="AH102">
        <f>SUMPRODUCT((M_BOM[RM_Code]=$A102)*M_BOM[RM_Qty_Per_Batch]*IFERROR(INDEX(PP_Grid[#Data],M_BOM[PPGridRow],34),0))</f>
        <v/>
      </c>
      <c r="AI102">
        <f>SUMPRODUCT((M_BOM[RM_Code]=$A102)*M_BOM[RM_Qty_Per_Batch]*IFERROR(INDEX(PP_Grid[#Data],M_BOM[PPGridRow],35),0))</f>
        <v/>
      </c>
      <c r="AJ102">
        <f>SUMPRODUCT((M_BOM[RM_Code]=$A102)*M_BOM[RM_Qty_Per_Batch]*IFERROR(INDEX(PP_Grid[#Data],M_BOM[PPGridRow],36),0))</f>
        <v/>
      </c>
      <c r="AK102">
        <f>SUMPRODUCT((M_BOM[RM_Code]=$A102)*M_BOM[RM_Qty_Per_Batch]*IFERROR(INDEX(PP_Grid[#Data],M_BOM[PPGridRow],37),0))</f>
        <v/>
      </c>
      <c r="AL102">
        <f>SUMPRODUCT((M_BOM[RM_Code]=$A102)*M_BOM[RM_Qty_Per_Batch]*IFERROR(INDEX(PP_Grid[#Data],M_BOM[PPGridRow],38),0))</f>
        <v/>
      </c>
      <c r="AM102">
        <f>SUMPRODUCT((M_BOM[RM_Code]=$A102)*M_BOM[RM_Qty_Per_Batch]*IFERROR(INDEX(PP_Grid[#Data],M_BOM[PPGridRow],39),0))</f>
        <v/>
      </c>
      <c r="AN102">
        <f>SUMPRODUCT((M_BOM[RM_Code]=$A102)*M_BOM[RM_Qty_Per_Batch]*IFERROR(INDEX(PP_Grid[#Data],M_BOM[PPGridRow],40),0))</f>
        <v/>
      </c>
      <c r="AO102">
        <f>SUMPRODUCT((M_BOM[RM_Code]=$A102)*M_BOM[RM_Qty_Per_Batch]*IFERROR(INDEX(PP_Grid[#Data],M_BOM[PPGridRow],41),0))</f>
        <v/>
      </c>
      <c r="AP102">
        <f>SUMPRODUCT((M_BOM[RM_Code]=$A102)*M_BOM[RM_Qty_Per_Batch]*IFERROR(INDEX(PP_Grid[#Data],M_BOM[PPGridRow],42),0))</f>
        <v/>
      </c>
      <c r="AQ102">
        <f>SUMPRODUCT((M_BOM[RM_Code]=$A102)*M_BOM[RM_Qty_Per_Batch]*IFERROR(INDEX(PP_Grid[#Data],M_BOM[PPGridRow],43),0))</f>
        <v/>
      </c>
      <c r="AR102">
        <f>SUMPRODUCT((M_BOM[RM_Code]=$A102)*M_BOM[RM_Qty_Per_Batch]*IFERROR(INDEX(PP_Grid[#Data],M_BOM[PPGridRow],44),0))</f>
        <v/>
      </c>
      <c r="AS102">
        <f>SUMPRODUCT((M_BOM[RM_Code]=$A102)*M_BOM[RM_Qty_Per_Batch]*IFERROR(INDEX(PP_Grid[#Data],M_BOM[PPGridRow],45),0))</f>
        <v/>
      </c>
      <c r="AT102">
        <f>SUMPRODUCT((M_BOM[RM_Code]=$A102)*M_BOM[RM_Qty_Per_Batch]*IFERROR(INDEX(PP_Grid[#Data],M_BOM[PPGridRow],46),0))</f>
        <v/>
      </c>
      <c r="AU102">
        <f>SUMPRODUCT((M_BOM[RM_Code]=$A102)*M_BOM[RM_Qty_Per_Batch]*IFERROR(INDEX(PP_Grid[#Data],M_BOM[PPGridRow],47),0))</f>
        <v/>
      </c>
      <c r="AV102">
        <f>SUMPRODUCT((M_BOM[RM_Code]=$A102)*M_BOM[RM_Qty_Per_Batch]*IFERROR(INDEX(PP_Grid[#Data],M_BOM[PPGridRow],48),0))</f>
        <v/>
      </c>
      <c r="AW102">
        <f>SUMPRODUCT((M_BOM[RM_Code]=$A102)*M_BOM[RM_Qty_Per_Batch]*IFERROR(INDEX(PP_Grid[#Data],M_BOM[PPGridRow],49),0))</f>
        <v/>
      </c>
      <c r="AX102">
        <f>SUMPRODUCT((M_BOM[RM_Code]=$A102)*M_BOM[RM_Qty_Per_Batch]*IFERROR(INDEX(PP_Grid[#Data],M_BOM[PPGridRow],50),0))</f>
        <v/>
      </c>
      <c r="AY102">
        <f>SUMPRODUCT((M_BOM[RM_Code]=$A102)*M_BOM[RM_Qty_Per_Batch]*IFERROR(INDEX(PP_Grid[#Data],M_BOM[PPGridRow],51),0))</f>
        <v/>
      </c>
      <c r="AZ102">
        <f>SUMPRODUCT((M_BOM[RM_Code]=$A102)*M_BOM[RM_Qty_Per_Batch]*IFERROR(INDEX(PP_Grid[#Data],M_BOM[PPGridRow],52),0))</f>
        <v/>
      </c>
      <c r="BA102">
        <f>SUMPRODUCT((M_BOM[RM_Code]=$A102)*M_BOM[RM_Qty_Per_Batch]*IFERROR(INDEX(PP_Grid[#Data],M_BOM[PPGridRow],53),0))</f>
        <v/>
      </c>
      <c r="BB102">
        <f>SUMPRODUCT((M_BOM[RM_Code]=$A102)*M_BOM[RM_Qty_Per_Batch]*IFERROR(INDEX(PP_Grid[#Data],M_BOM[PPGridRow],54),0))</f>
        <v/>
      </c>
      <c r="BC102">
        <f>SUMPRODUCT((M_BOM[RM_Code]=$A102)*M_BOM[RM_Qty_Per_Batch]*IFERROR(INDEX(PP_Grid[#Data],M_BOM[PPGridRow],55),0))</f>
        <v/>
      </c>
      <c r="BD102">
        <f>SUMPRODUCT((M_BOM[RM_Code]=$A102)*M_BOM[RM_Qty_Per_Batch]*IFERROR(INDEX(PP_Grid[#Data],M_BOM[PPGridRow],56),0))</f>
        <v/>
      </c>
      <c r="BE102">
        <f>SUMPRODUCT((M_BOM[RM_Code]=$A102)*M_BOM[RM_Qty_Per_Batch]*IFERROR(INDEX(PP_Grid[#Data],M_BOM[PPGridRow],57),0))</f>
        <v/>
      </c>
      <c r="BF102">
        <f>SUMPRODUCT((M_BOM[RM_Code]=$A102)*M_BOM[RM_Qty_Per_Batch]*IFERROR(INDEX(PP_Grid[#Data],M_BOM[PPGridRow],58),0))</f>
        <v/>
      </c>
      <c r="BG102">
        <f>SUMPRODUCT((M_BOM[RM_Code]=$A102)*M_BOM[RM_Qty_Per_Batch]*IFERROR(INDEX(PP_Grid[#Data],M_BOM[PPGridRow],59),0))</f>
        <v/>
      </c>
      <c r="BH102">
        <f>SUMPRODUCT((M_BOM[RM_Code]=$A102)*M_BOM[RM_Qty_Per_Batch]*IFERROR(INDEX(PP_Grid[#Data],M_BOM[PPGridRow],60),0))</f>
        <v/>
      </c>
      <c r="BI102">
        <f>SUMPRODUCT((M_BOM[RM_Code]=$A102)*M_BOM[RM_Qty_Per_Batch]*IFERROR(INDEX(PP_Grid[#Data],M_BOM[PPGridRow],61),0))</f>
        <v/>
      </c>
      <c r="BJ102">
        <f>SUMPRODUCT((M_BOM[RM_Code]=$A102)*M_BOM[RM_Qty_Per_Batch]*IFERROR(INDEX(PP_Grid[#Data],M_BOM[PPGridRow],62),0))</f>
        <v/>
      </c>
      <c r="BK102">
        <f>SUMPRODUCT((M_BOM[RM_Code]=$A102)*M_BOM[RM_Qty_Per_Batch]*IFERROR(INDEX(PP_Grid[#Data],M_BOM[PPGridRow],63),0))</f>
        <v/>
      </c>
      <c r="BL102">
        <f>SUMPRODUCT((M_BOM[RM_Code]=$A102)*M_BOM[RM_Qty_Per_Batch]*IFERROR(INDEX(PP_Grid[#Data],M_BOM[PPGridRow],64),0))</f>
        <v/>
      </c>
      <c r="BM102">
        <f>SUMPRODUCT((M_BOM[RM_Code]=$A102)*M_BOM[RM_Qty_Per_Batch]*IFERROR(INDEX(PP_Grid[#Data],M_BOM[PPGridRow],65),0))</f>
        <v/>
      </c>
      <c r="BN102">
        <f>SUMPRODUCT((M_BOM[RM_Code]=$A102)*M_BOM[RM_Qty_Per_Batch]*IFERROR(INDEX(PP_Grid[#Data],M_BOM[PPGridRow],66),0))</f>
        <v/>
      </c>
      <c r="BO102">
        <f>SUMPRODUCT((M_BOM[RM_Code]=$A102)*M_BOM[RM_Qty_Per_Batch]*IFERROR(INDEX(PP_Grid[#Data],M_BOM[PPGridRow],67),0))</f>
        <v/>
      </c>
      <c r="BP102">
        <f>SUMPRODUCT((M_BOM[RM_Code]=$A102)*M_BOM[RM_Qty_Per_Batch]*IFERROR(INDEX(PP_Grid[#Data],M_BOM[PPGridRow],68),0))</f>
        <v/>
      </c>
      <c r="BQ102">
        <f>SUMPRODUCT((M_BOM[RM_Code]=$A102)*M_BOM[RM_Qty_Per_Batch]*IFERROR(INDEX(PP_Grid[#Data],M_BOM[PPGridRow],69),0))</f>
        <v/>
      </c>
      <c r="BR102">
        <f>SUMPRODUCT((M_BOM[RM_Code]=$A102)*M_BOM[RM_Qty_Per_Batch]*IFERROR(INDEX(PP_Grid[#Data],M_BOM[PPGridRow],70),0))</f>
        <v/>
      </c>
      <c r="BS102">
        <f>SUMPRODUCT((M_BOM[RM_Code]=$A102)*M_BOM[RM_Qty_Per_Batch]*IFERROR(INDEX(PP_Grid[#Data],M_BOM[PPGridRow],71),0))</f>
        <v/>
      </c>
      <c r="BT102">
        <f>SUMPRODUCT((M_BOM[RM_Code]=$A102)*M_BOM[RM_Qty_Per_Batch]*IFERROR(INDEX(PP_Grid[#Data],M_BOM[PPGridRow],72),0))</f>
        <v/>
      </c>
      <c r="BU102">
        <f>SUMPRODUCT((M_BOM[RM_Code]=$A102)*M_BOM[RM_Qty_Per_Batch]*IFERROR(INDEX(PP_Grid[#Data],M_BOM[PPGridRow],73),0))</f>
        <v/>
      </c>
      <c r="BV102">
        <f>SUMPRODUCT((M_BOM[RM_Code]=$A102)*M_BOM[RM_Qty_Per_Batch]*IFERROR(INDEX(PP_Grid[#Data],M_BOM[PPGridRow],74),0))</f>
        <v/>
      </c>
      <c r="BW102">
        <f>SUMPRODUCT((M_BOM[RM_Code]=$A102)*M_BOM[RM_Qty_Per_Batch]*IFERROR(INDEX(PP_Grid[#Data],M_BOM[PPGridRow],75),0))</f>
        <v/>
      </c>
      <c r="BX102">
        <f>SUMPRODUCT((M_BOM[RM_Code]=$A102)*M_BOM[RM_Qty_Per_Batch]*IFERROR(INDEX(PP_Grid[#Data],M_BOM[PPGridRow],76),0))</f>
        <v/>
      </c>
      <c r="BY102">
        <f>SUMPRODUCT((M_BOM[RM_Code]=$A102)*M_BOM[RM_Qty_Per_Batch]*IFERROR(INDEX(PP_Grid[#Data],M_BOM[PPGridRow],77),0))</f>
        <v/>
      </c>
      <c r="BZ102">
        <f>SUMPRODUCT((M_BOM[RM_Code]=$A102)*M_BOM[RM_Qty_Per_Batch]*IFERROR(INDEX(PP_Grid[#Data],M_BOM[PPGridRow],78),0))</f>
        <v/>
      </c>
      <c r="CA102">
        <f>SUMPRODUCT((M_BOM[RM_Code]=$A102)*M_BOM[RM_Qty_Per_Batch]*IFERROR(INDEX(PP_Grid[#Data],M_BOM[PPGridRow],79),0))</f>
        <v/>
      </c>
      <c r="CB102">
        <f>SUMPRODUCT((M_BOM[RM_Code]=$A102)*M_BOM[RM_Qty_Per_Batch]*IFERROR(INDEX(PP_Grid[#Data],M_BOM[PPGridRow],80),0))</f>
        <v/>
      </c>
      <c r="CC102">
        <f>SUMPRODUCT((M_BOM[RM_Code]=$A102)*M_BOM[RM_Qty_Per_Batch]*IFERROR(INDEX(PP_Grid[#Data],M_BOM[PPGridRow],81),0))</f>
        <v/>
      </c>
      <c r="CD102">
        <f>SUMPRODUCT((M_BOM[RM_Code]=$A102)*M_BOM[RM_Qty_Per_Batch]*IFERROR(INDEX(PP_Grid[#Data],M_BOM[PPGridRow],82),0))</f>
        <v/>
      </c>
      <c r="CE102">
        <f>SUMPRODUCT((M_BOM[RM_Code]=$A102)*M_BOM[RM_Qty_Per_Batch]*IFERROR(INDEX(PP_Grid[#Data],M_BOM[PPGridRow],83),0))</f>
        <v/>
      </c>
      <c r="CF102">
        <f>SUMPRODUCT((M_BOM[RM_Code]=$A102)*M_BOM[RM_Qty_Per_Batch]*IFERROR(INDEX(PP_Grid[#Data],M_BOM[PPGridRow],84),0))</f>
        <v/>
      </c>
      <c r="CG102">
        <f>SUMPRODUCT((M_BOM[RM_Code]=$A102)*M_BOM[RM_Qty_Per_Batch]*IFERROR(INDEX(PP_Grid[#Data],M_BOM[PPGridRow],85),0))</f>
        <v/>
      </c>
      <c r="CH102">
        <f>SUMPRODUCT((M_BOM[RM_Code]=$A102)*M_BOM[RM_Qty_Per_Batch]*IFERROR(INDEX(PP_Grid[#Data],M_BOM[PPGridRow],86),0))</f>
        <v/>
      </c>
      <c r="CI102">
        <f>SUMPRODUCT((M_BOM[RM_Code]=$A102)*M_BOM[RM_Qty_Per_Batch]*IFERROR(INDEX(PP_Grid[#Data],M_BOM[PPGridRow],87),0))</f>
        <v/>
      </c>
      <c r="CJ102">
        <f>SUMPRODUCT((M_BOM[RM_Code]=$A102)*M_BOM[RM_Qty_Per_Batch]*IFERROR(INDEX(PP_Grid[#Data],M_BOM[PPGridRow],88),0))</f>
        <v/>
      </c>
      <c r="CK102">
        <f>SUMPRODUCT((M_BOM[RM_Code]=$A102)*M_BOM[RM_Qty_Per_Batch]*IFERROR(INDEX(PP_Grid[#Data],M_BOM[PPGridRow],89),0))</f>
        <v/>
      </c>
      <c r="CL102">
        <f>SUMPRODUCT((M_BOM[RM_Code]=$A102)*M_BOM[RM_Qty_Per_Batch]*IFERROR(INDEX(PP_Grid[#Data],M_BOM[PPGridRow],90),0))</f>
        <v/>
      </c>
      <c r="CM102">
        <f>SUMPRODUCT((M_BOM[RM_Code]=$A102)*M_BOM[RM_Qty_Per_Batch]*IFERROR(INDEX(PP_Grid[#Data],M_BOM[PPGridRow],91),0))</f>
        <v/>
      </c>
      <c r="CN102">
        <f>SUMPRODUCT((M_BOM[RM_Code]=$A102)*M_BOM[RM_Qty_Per_Batch]*IFERROR(INDEX(PP_Grid[#Data],M_BOM[PPGridRow],92),0))</f>
        <v/>
      </c>
      <c r="CO102">
        <f>SUMPRODUCT((M_BOM[RM_Code]=$A102)*M_BOM[RM_Qty_Per_Batch]*IFERROR(INDEX(PP_Grid[#Data],M_BOM[PPGridRow],93),0))</f>
        <v/>
      </c>
      <c r="CP102">
        <f>SUMPRODUCT((M_BOM[RM_Code]=$A102)*M_BOM[RM_Qty_Per_Batch]*IFERROR(INDEX(PP_Grid[#Data],M_BOM[PPGridRow],94),0))</f>
        <v/>
      </c>
      <c r="CQ102">
        <f>SUMPRODUCT((M_BOM[RM_Code]=$A102)*M_BOM[RM_Qty_Per_Batch]*IFERROR(INDEX(PP_Grid[#Data],M_BOM[PPGridRow],95),0))</f>
        <v/>
      </c>
      <c r="CR102">
        <f>SUMPRODUCT((M_BOM[RM_Code]=$A102)*M_BOM[RM_Qty_Per_Batch]*IFERROR(INDEX(PP_Grid[#Data],M_BOM[PPGridRow],96),0))</f>
        <v/>
      </c>
      <c r="CS102">
        <f>SUMPRODUCT((M_BOM[RM_Code]=$A102)*M_BOM[RM_Qty_Per_Batch]*IFERROR(INDEX(PP_Grid[#Data],M_BOM[PPGridRow],97),0))</f>
        <v/>
      </c>
      <c r="CT102">
        <f>SUMPRODUCT((M_BOM[RM_Code]=$A102)*M_BOM[RM_Qty_Per_Batch]*IFERROR(INDEX(PP_Grid[#Data],M_BOM[PPGridRow],98),0))</f>
        <v/>
      </c>
      <c r="CU102">
        <f>SUMPRODUCT((M_BOM[RM_Code]=$A102)*M_BOM[RM_Qty_Per_Batch]*IFERROR(INDEX(PP_Grid[#Data],M_BOM[PPGridRow],99),0))</f>
        <v/>
      </c>
      <c r="CV102">
        <f>SUMPRODUCT((M_BOM[RM_Code]=$A102)*M_BOM[RM_Qty_Per_Batch]*IFERROR(INDEX(PP_Grid[#Data],M_BOM[PPGridRow],100),0))</f>
        <v/>
      </c>
      <c r="CW102">
        <f>SUMPRODUCT((M_BOM[RM_Code]=$A102)*M_BOM[RM_Qty_Per_Batch]*IFERROR(INDEX(PP_Grid[#Data],M_BOM[PPGridRow],101),0))</f>
        <v/>
      </c>
      <c r="CX102">
        <f>SUMPRODUCT((M_BOM[RM_Code]=$A102)*M_BOM[RM_Qty_Per_Batch]*IFERROR(INDEX(PP_Grid[#Data],M_BOM[PPGridRow],102),0))</f>
        <v/>
      </c>
      <c r="CY102">
        <f>SUMPRODUCT((M_BOM[RM_Code]=$A102)*M_BOM[RM_Qty_Per_Batch]*IFERROR(INDEX(PP_Grid[#Data],M_BOM[PPGridRow],103),0))</f>
        <v/>
      </c>
      <c r="CZ102">
        <f>SUMPRODUCT((M_BOM[RM_Code]=$A102)*M_BOM[RM_Qty_Per_Batch]*IFERROR(INDEX(PP_Grid[#Data],M_BOM[PPGridRow],104),0))</f>
        <v/>
      </c>
      <c r="DA102">
        <f>SUMPRODUCT((M_BOM[RM_Code]=$A102)*M_BOM[RM_Qty_Per_Batch]*IFERROR(INDEX(PP_Grid[#Data],M_BOM[PPGridRow],105),0))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9" t="inlineStr">
        <is>
          <t>RM_Code</t>
        </is>
      </c>
      <c r="B1" s="29" t="inlineStr">
        <is>
          <t>2026-W01</t>
        </is>
      </c>
      <c r="C1" s="29" t="inlineStr">
        <is>
          <t>2026-W02</t>
        </is>
      </c>
      <c r="D1" s="29" t="inlineStr">
        <is>
          <t>2026-W03</t>
        </is>
      </c>
      <c r="E1" s="29" t="inlineStr">
        <is>
          <t>2026-W04</t>
        </is>
      </c>
      <c r="F1" s="29" t="inlineStr">
        <is>
          <t>2026-W05</t>
        </is>
      </c>
      <c r="G1" s="29" t="inlineStr">
        <is>
          <t>2026-W06</t>
        </is>
      </c>
      <c r="H1" s="29" t="inlineStr">
        <is>
          <t>2026-W07</t>
        </is>
      </c>
      <c r="I1" s="29" t="inlineStr">
        <is>
          <t>2026-W08</t>
        </is>
      </c>
      <c r="J1" s="29" t="inlineStr">
        <is>
          <t>2026-W09</t>
        </is>
      </c>
      <c r="K1" s="29" t="inlineStr">
        <is>
          <t>2026-W10</t>
        </is>
      </c>
      <c r="L1" s="29" t="inlineStr">
        <is>
          <t>2026-W11</t>
        </is>
      </c>
      <c r="M1" s="29" t="inlineStr">
        <is>
          <t>2026-W12</t>
        </is>
      </c>
      <c r="N1" s="29" t="inlineStr">
        <is>
          <t>2026-W13</t>
        </is>
      </c>
      <c r="O1" s="29" t="inlineStr">
        <is>
          <t>2026-W14</t>
        </is>
      </c>
      <c r="P1" s="29" t="inlineStr">
        <is>
          <t>2026-W15</t>
        </is>
      </c>
      <c r="Q1" s="29" t="inlineStr">
        <is>
          <t>2026-W16</t>
        </is>
      </c>
      <c r="R1" s="29" t="inlineStr">
        <is>
          <t>2026-W17</t>
        </is>
      </c>
      <c r="S1" s="29" t="inlineStr">
        <is>
          <t>2026-W18</t>
        </is>
      </c>
      <c r="T1" s="29" t="inlineStr">
        <is>
          <t>2026-W19</t>
        </is>
      </c>
      <c r="U1" s="29" t="inlineStr">
        <is>
          <t>2026-W20</t>
        </is>
      </c>
      <c r="V1" s="29" t="inlineStr">
        <is>
          <t>2026-W21</t>
        </is>
      </c>
      <c r="W1" s="29" t="inlineStr">
        <is>
          <t>2026-W22</t>
        </is>
      </c>
      <c r="X1" s="29" t="inlineStr">
        <is>
          <t>2026-W23</t>
        </is>
      </c>
      <c r="Y1" s="29" t="inlineStr">
        <is>
          <t>2026-W24</t>
        </is>
      </c>
      <c r="Z1" s="29" t="inlineStr">
        <is>
          <t>2026-W25</t>
        </is>
      </c>
      <c r="AA1" s="29" t="inlineStr">
        <is>
          <t>2026-W26</t>
        </is>
      </c>
      <c r="AB1" s="29" t="inlineStr">
        <is>
          <t>2026-W27</t>
        </is>
      </c>
      <c r="AC1" s="29" t="inlineStr">
        <is>
          <t>2026-W28</t>
        </is>
      </c>
      <c r="AD1" s="29" t="inlineStr">
        <is>
          <t>2026-W29</t>
        </is>
      </c>
      <c r="AE1" s="29" t="inlineStr">
        <is>
          <t>2026-W30</t>
        </is>
      </c>
      <c r="AF1" s="29" t="inlineStr">
        <is>
          <t>2026-W31</t>
        </is>
      </c>
      <c r="AG1" s="29" t="inlineStr">
        <is>
          <t>2026-W32</t>
        </is>
      </c>
      <c r="AH1" s="29" t="inlineStr">
        <is>
          <t>2026-W33</t>
        </is>
      </c>
      <c r="AI1" s="29" t="inlineStr">
        <is>
          <t>2026-W34</t>
        </is>
      </c>
      <c r="AJ1" s="29" t="inlineStr">
        <is>
          <t>2026-W35</t>
        </is>
      </c>
      <c r="AK1" s="29" t="inlineStr">
        <is>
          <t>2026-W36</t>
        </is>
      </c>
      <c r="AL1" s="29" t="inlineStr">
        <is>
          <t>2026-W37</t>
        </is>
      </c>
      <c r="AM1" s="29" t="inlineStr">
        <is>
          <t>2026-W38</t>
        </is>
      </c>
      <c r="AN1" s="29" t="inlineStr">
        <is>
          <t>2026-W39</t>
        </is>
      </c>
      <c r="AO1" s="29" t="inlineStr">
        <is>
          <t>2026-W40</t>
        </is>
      </c>
      <c r="AP1" s="29" t="inlineStr">
        <is>
          <t>2026-W41</t>
        </is>
      </c>
      <c r="AQ1" s="29" t="inlineStr">
        <is>
          <t>2026-W42</t>
        </is>
      </c>
      <c r="AR1" s="29" t="inlineStr">
        <is>
          <t>2026-W43</t>
        </is>
      </c>
      <c r="AS1" s="29" t="inlineStr">
        <is>
          <t>2026-W44</t>
        </is>
      </c>
      <c r="AT1" s="29" t="inlineStr">
        <is>
          <t>2026-W45</t>
        </is>
      </c>
      <c r="AU1" s="29" t="inlineStr">
        <is>
          <t>2026-W46</t>
        </is>
      </c>
      <c r="AV1" s="29" t="inlineStr">
        <is>
          <t>2026-W47</t>
        </is>
      </c>
      <c r="AW1" s="29" t="inlineStr">
        <is>
          <t>2026-W48</t>
        </is>
      </c>
      <c r="AX1" s="29" t="inlineStr">
        <is>
          <t>2026-W49</t>
        </is>
      </c>
      <c r="AY1" s="29" t="inlineStr">
        <is>
          <t>2026-W50</t>
        </is>
      </c>
      <c r="AZ1" s="29" t="inlineStr">
        <is>
          <t>2026-W51</t>
        </is>
      </c>
      <c r="BA1" s="29" t="inlineStr">
        <is>
          <t>2026-W52</t>
        </is>
      </c>
      <c r="BB1" s="29" t="inlineStr">
        <is>
          <t>2027-W01</t>
        </is>
      </c>
      <c r="BC1" s="29" t="inlineStr">
        <is>
          <t>2027-W02</t>
        </is>
      </c>
      <c r="BD1" s="29" t="inlineStr">
        <is>
          <t>2027-W03</t>
        </is>
      </c>
      <c r="BE1" s="29" t="inlineStr">
        <is>
          <t>2027-W04</t>
        </is>
      </c>
      <c r="BF1" s="29" t="inlineStr">
        <is>
          <t>2027-W05</t>
        </is>
      </c>
      <c r="BG1" s="29" t="inlineStr">
        <is>
          <t>2027-W06</t>
        </is>
      </c>
      <c r="BH1" s="29" t="inlineStr">
        <is>
          <t>2027-W07</t>
        </is>
      </c>
      <c r="BI1" s="29" t="inlineStr">
        <is>
          <t>2027-W08</t>
        </is>
      </c>
      <c r="BJ1" s="29" t="inlineStr">
        <is>
          <t>2027-W09</t>
        </is>
      </c>
      <c r="BK1" s="29" t="inlineStr">
        <is>
          <t>2027-W10</t>
        </is>
      </c>
      <c r="BL1" s="29" t="inlineStr">
        <is>
          <t>2027-W11</t>
        </is>
      </c>
      <c r="BM1" s="29" t="inlineStr">
        <is>
          <t>2027-W12</t>
        </is>
      </c>
      <c r="BN1" s="29" t="inlineStr">
        <is>
          <t>2027-W13</t>
        </is>
      </c>
      <c r="BO1" s="29" t="inlineStr">
        <is>
          <t>2027-W14</t>
        </is>
      </c>
      <c r="BP1" s="29" t="inlineStr">
        <is>
          <t>2027-W15</t>
        </is>
      </c>
      <c r="BQ1" s="29" t="inlineStr">
        <is>
          <t>2027-W16</t>
        </is>
      </c>
      <c r="BR1" s="29" t="inlineStr">
        <is>
          <t>2027-W17</t>
        </is>
      </c>
      <c r="BS1" s="29" t="inlineStr">
        <is>
          <t>2027-W18</t>
        </is>
      </c>
      <c r="BT1" s="29" t="inlineStr">
        <is>
          <t>2027-W19</t>
        </is>
      </c>
      <c r="BU1" s="29" t="inlineStr">
        <is>
          <t>2027-W20</t>
        </is>
      </c>
      <c r="BV1" s="29" t="inlineStr">
        <is>
          <t>2027-W21</t>
        </is>
      </c>
      <c r="BW1" s="29" t="inlineStr">
        <is>
          <t>2027-W22</t>
        </is>
      </c>
      <c r="BX1" s="29" t="inlineStr">
        <is>
          <t>2027-W23</t>
        </is>
      </c>
      <c r="BY1" s="29" t="inlineStr">
        <is>
          <t>2027-W24</t>
        </is>
      </c>
      <c r="BZ1" s="29" t="inlineStr">
        <is>
          <t>2027-W25</t>
        </is>
      </c>
      <c r="CA1" s="29" t="inlineStr">
        <is>
          <t>2027-W26</t>
        </is>
      </c>
      <c r="CB1" s="29" t="inlineStr">
        <is>
          <t>2027-W27</t>
        </is>
      </c>
      <c r="CC1" s="29" t="inlineStr">
        <is>
          <t>2027-W28</t>
        </is>
      </c>
      <c r="CD1" s="29" t="inlineStr">
        <is>
          <t>2027-W29</t>
        </is>
      </c>
      <c r="CE1" s="29" t="inlineStr">
        <is>
          <t>2027-W30</t>
        </is>
      </c>
      <c r="CF1" s="29" t="inlineStr">
        <is>
          <t>2027-W31</t>
        </is>
      </c>
      <c r="CG1" s="29" t="inlineStr">
        <is>
          <t>2027-W32</t>
        </is>
      </c>
      <c r="CH1" s="29" t="inlineStr">
        <is>
          <t>2027-W33</t>
        </is>
      </c>
      <c r="CI1" s="29" t="inlineStr">
        <is>
          <t>2027-W34</t>
        </is>
      </c>
      <c r="CJ1" s="29" t="inlineStr">
        <is>
          <t>2027-W35</t>
        </is>
      </c>
      <c r="CK1" s="29" t="inlineStr">
        <is>
          <t>2027-W36</t>
        </is>
      </c>
      <c r="CL1" s="29" t="inlineStr">
        <is>
          <t>2027-W37</t>
        </is>
      </c>
      <c r="CM1" s="29" t="inlineStr">
        <is>
          <t>2027-W38</t>
        </is>
      </c>
      <c r="CN1" s="29" t="inlineStr">
        <is>
          <t>2027-W39</t>
        </is>
      </c>
      <c r="CO1" s="29" t="inlineStr">
        <is>
          <t>2027-W40</t>
        </is>
      </c>
      <c r="CP1" s="29" t="inlineStr">
        <is>
          <t>2027-W41</t>
        </is>
      </c>
      <c r="CQ1" s="29" t="inlineStr">
        <is>
          <t>2027-W42</t>
        </is>
      </c>
      <c r="CR1" s="29" t="inlineStr">
        <is>
          <t>2027-W43</t>
        </is>
      </c>
      <c r="CS1" s="29" t="inlineStr">
        <is>
          <t>2027-W44</t>
        </is>
      </c>
      <c r="CT1" s="29" t="inlineStr">
        <is>
          <t>2027-W45</t>
        </is>
      </c>
      <c r="CU1" s="29" t="inlineStr">
        <is>
          <t>2027-W46</t>
        </is>
      </c>
      <c r="CV1" s="29" t="inlineStr">
        <is>
          <t>2027-W47</t>
        </is>
      </c>
      <c r="CW1" s="29" t="inlineStr">
        <is>
          <t>2027-W48</t>
        </is>
      </c>
      <c r="CX1" s="29" t="inlineStr">
        <is>
          <t>2027-W49</t>
        </is>
      </c>
      <c r="CY1" s="29" t="inlineStr">
        <is>
          <t>2027-W50</t>
        </is>
      </c>
      <c r="CZ1" s="29" t="inlineStr">
        <is>
          <t>2027-W51</t>
        </is>
      </c>
      <c r="DA1" s="29" t="inlineStr">
        <is>
          <t>2027-W52</t>
        </is>
      </c>
    </row>
    <row r="2">
      <c r="A2" t="inlineStr">
        <is>
          <t>CHEM-1250</t>
        </is>
      </c>
      <c r="B2">
        <f>SUMIFS(T_Shipments[Confirmed_Qty],T_Shipments[RM_Code],$A2,T_Shipments[Effective_Week],1)</f>
        <v/>
      </c>
      <c r="C2">
        <f>SUMIFS(T_Shipments[Confirmed_Qty],T_Shipments[RM_Code],$A2,T_Shipments[Effective_Week],2)</f>
        <v/>
      </c>
      <c r="D2">
        <f>SUMIFS(T_Shipments[Confirmed_Qty],T_Shipments[RM_Code],$A2,T_Shipments[Effective_Week],3)</f>
        <v/>
      </c>
      <c r="E2">
        <f>SUMIFS(T_Shipments[Confirmed_Qty],T_Shipments[RM_Code],$A2,T_Shipments[Effective_Week],4)</f>
        <v/>
      </c>
      <c r="F2">
        <f>SUMIFS(T_Shipments[Confirmed_Qty],T_Shipments[RM_Code],$A2,T_Shipments[Effective_Week],5)</f>
        <v/>
      </c>
      <c r="G2">
        <f>SUMIFS(T_Shipments[Confirmed_Qty],T_Shipments[RM_Code],$A2,T_Shipments[Effective_Week],6)</f>
        <v/>
      </c>
      <c r="H2">
        <f>SUMIFS(T_Shipments[Confirmed_Qty],T_Shipments[RM_Code],$A2,T_Shipments[Effective_Week],7)</f>
        <v/>
      </c>
      <c r="I2">
        <f>SUMIFS(T_Shipments[Confirmed_Qty],T_Shipments[RM_Code],$A2,T_Shipments[Effective_Week],8)</f>
        <v/>
      </c>
      <c r="J2">
        <f>SUMIFS(T_Shipments[Confirmed_Qty],T_Shipments[RM_Code],$A2,T_Shipments[Effective_Week],9)</f>
        <v/>
      </c>
      <c r="K2">
        <f>SUMIFS(T_Shipments[Confirmed_Qty],T_Shipments[RM_Code],$A2,T_Shipments[Effective_Week],10)</f>
        <v/>
      </c>
      <c r="L2">
        <f>SUMIFS(T_Shipments[Confirmed_Qty],T_Shipments[RM_Code],$A2,T_Shipments[Effective_Week],11)</f>
        <v/>
      </c>
      <c r="M2">
        <f>SUMIFS(T_Shipments[Confirmed_Qty],T_Shipments[RM_Code],$A2,T_Shipments[Effective_Week],12)</f>
        <v/>
      </c>
      <c r="N2">
        <f>SUMIFS(T_Shipments[Confirmed_Qty],T_Shipments[RM_Code],$A2,T_Shipments[Effective_Week],13)</f>
        <v/>
      </c>
      <c r="O2">
        <f>SUMIFS(T_Shipments[Confirmed_Qty],T_Shipments[RM_Code],$A2,T_Shipments[Effective_Week],14)</f>
        <v/>
      </c>
      <c r="P2">
        <f>SUMIFS(T_Shipments[Confirmed_Qty],T_Shipments[RM_Code],$A2,T_Shipments[Effective_Week],15)</f>
        <v/>
      </c>
      <c r="Q2">
        <f>SUMIFS(T_Shipments[Confirmed_Qty],T_Shipments[RM_Code],$A2,T_Shipments[Effective_Week],16)</f>
        <v/>
      </c>
      <c r="R2">
        <f>SUMIFS(T_Shipments[Confirmed_Qty],T_Shipments[RM_Code],$A2,T_Shipments[Effective_Week],17)</f>
        <v/>
      </c>
      <c r="S2">
        <f>SUMIFS(T_Shipments[Confirmed_Qty],T_Shipments[RM_Code],$A2,T_Shipments[Effective_Week],18)</f>
        <v/>
      </c>
      <c r="T2">
        <f>SUMIFS(T_Shipments[Confirmed_Qty],T_Shipments[RM_Code],$A2,T_Shipments[Effective_Week],19)</f>
        <v/>
      </c>
      <c r="U2">
        <f>SUMIFS(T_Shipments[Confirmed_Qty],T_Shipments[RM_Code],$A2,T_Shipments[Effective_Week],20)</f>
        <v/>
      </c>
      <c r="V2">
        <f>SUMIFS(T_Shipments[Confirmed_Qty],T_Shipments[RM_Code],$A2,T_Shipments[Effective_Week],21)</f>
        <v/>
      </c>
      <c r="W2">
        <f>SUMIFS(T_Shipments[Confirmed_Qty],T_Shipments[RM_Code],$A2,T_Shipments[Effective_Week],22)</f>
        <v/>
      </c>
      <c r="X2">
        <f>SUMIFS(T_Shipments[Confirmed_Qty],T_Shipments[RM_Code],$A2,T_Shipments[Effective_Week],23)</f>
        <v/>
      </c>
      <c r="Y2">
        <f>SUMIFS(T_Shipments[Confirmed_Qty],T_Shipments[RM_Code],$A2,T_Shipments[Effective_Week],24)</f>
        <v/>
      </c>
      <c r="Z2">
        <f>SUMIFS(T_Shipments[Confirmed_Qty],T_Shipments[RM_Code],$A2,T_Shipments[Effective_Week],25)</f>
        <v/>
      </c>
      <c r="AA2">
        <f>SUMIFS(T_Shipments[Confirmed_Qty],T_Shipments[RM_Code],$A2,T_Shipments[Effective_Week],26)</f>
        <v/>
      </c>
      <c r="AB2">
        <f>SUMIFS(T_Shipments[Confirmed_Qty],T_Shipments[RM_Code],$A2,T_Shipments[Effective_Week],27)</f>
        <v/>
      </c>
      <c r="AC2">
        <f>SUMIFS(T_Shipments[Confirmed_Qty],T_Shipments[RM_Code],$A2,T_Shipments[Effective_Week],28)</f>
        <v/>
      </c>
      <c r="AD2">
        <f>SUMIFS(T_Shipments[Confirmed_Qty],T_Shipments[RM_Code],$A2,T_Shipments[Effective_Week],29)</f>
        <v/>
      </c>
      <c r="AE2">
        <f>SUMIFS(T_Shipments[Confirmed_Qty],T_Shipments[RM_Code],$A2,T_Shipments[Effective_Week],30)</f>
        <v/>
      </c>
      <c r="AF2">
        <f>SUMIFS(T_Shipments[Confirmed_Qty],T_Shipments[RM_Code],$A2,T_Shipments[Effective_Week],31)</f>
        <v/>
      </c>
      <c r="AG2">
        <f>SUMIFS(T_Shipments[Confirmed_Qty],T_Shipments[RM_Code],$A2,T_Shipments[Effective_Week],32)</f>
        <v/>
      </c>
      <c r="AH2">
        <f>SUMIFS(T_Shipments[Confirmed_Qty],T_Shipments[RM_Code],$A2,T_Shipments[Effective_Week],33)</f>
        <v/>
      </c>
      <c r="AI2">
        <f>SUMIFS(T_Shipments[Confirmed_Qty],T_Shipments[RM_Code],$A2,T_Shipments[Effective_Week],34)</f>
        <v/>
      </c>
      <c r="AJ2">
        <f>SUMIFS(T_Shipments[Confirmed_Qty],T_Shipments[RM_Code],$A2,T_Shipments[Effective_Week],35)</f>
        <v/>
      </c>
      <c r="AK2">
        <f>SUMIFS(T_Shipments[Confirmed_Qty],T_Shipments[RM_Code],$A2,T_Shipments[Effective_Week],36)</f>
        <v/>
      </c>
      <c r="AL2">
        <f>SUMIFS(T_Shipments[Confirmed_Qty],T_Shipments[RM_Code],$A2,T_Shipments[Effective_Week],37)</f>
        <v/>
      </c>
      <c r="AM2">
        <f>SUMIFS(T_Shipments[Confirmed_Qty],T_Shipments[RM_Code],$A2,T_Shipments[Effective_Week],38)</f>
        <v/>
      </c>
      <c r="AN2">
        <f>SUMIFS(T_Shipments[Confirmed_Qty],T_Shipments[RM_Code],$A2,T_Shipments[Effective_Week],39)</f>
        <v/>
      </c>
      <c r="AO2">
        <f>SUMIFS(T_Shipments[Confirmed_Qty],T_Shipments[RM_Code],$A2,T_Shipments[Effective_Week],40)</f>
        <v/>
      </c>
      <c r="AP2">
        <f>SUMIFS(T_Shipments[Confirmed_Qty],T_Shipments[RM_Code],$A2,T_Shipments[Effective_Week],41)</f>
        <v/>
      </c>
      <c r="AQ2">
        <f>SUMIFS(T_Shipments[Confirmed_Qty],T_Shipments[RM_Code],$A2,T_Shipments[Effective_Week],42)</f>
        <v/>
      </c>
      <c r="AR2">
        <f>SUMIFS(T_Shipments[Confirmed_Qty],T_Shipments[RM_Code],$A2,T_Shipments[Effective_Week],43)</f>
        <v/>
      </c>
      <c r="AS2">
        <f>SUMIFS(T_Shipments[Confirmed_Qty],T_Shipments[RM_Code],$A2,T_Shipments[Effective_Week],44)</f>
        <v/>
      </c>
      <c r="AT2">
        <f>SUMIFS(T_Shipments[Confirmed_Qty],T_Shipments[RM_Code],$A2,T_Shipments[Effective_Week],45)</f>
        <v/>
      </c>
      <c r="AU2">
        <f>SUMIFS(T_Shipments[Confirmed_Qty],T_Shipments[RM_Code],$A2,T_Shipments[Effective_Week],46)</f>
        <v/>
      </c>
      <c r="AV2">
        <f>SUMIFS(T_Shipments[Confirmed_Qty],T_Shipments[RM_Code],$A2,T_Shipments[Effective_Week],47)</f>
        <v/>
      </c>
      <c r="AW2">
        <f>SUMIFS(T_Shipments[Confirmed_Qty],T_Shipments[RM_Code],$A2,T_Shipments[Effective_Week],48)</f>
        <v/>
      </c>
      <c r="AX2">
        <f>SUMIFS(T_Shipments[Confirmed_Qty],T_Shipments[RM_Code],$A2,T_Shipments[Effective_Week],49)</f>
        <v/>
      </c>
      <c r="AY2">
        <f>SUMIFS(T_Shipments[Confirmed_Qty],T_Shipments[RM_Code],$A2,T_Shipments[Effective_Week],50)</f>
        <v/>
      </c>
      <c r="AZ2">
        <f>SUMIFS(T_Shipments[Confirmed_Qty],T_Shipments[RM_Code],$A2,T_Shipments[Effective_Week],51)</f>
        <v/>
      </c>
      <c r="BA2">
        <f>SUMIFS(T_Shipments[Confirmed_Qty],T_Shipments[RM_Code],$A2,T_Shipments[Effective_Week],52)</f>
        <v/>
      </c>
      <c r="BB2">
        <f>SUMIFS(T_Shipments[Confirmed_Qty],T_Shipments[RM_Code],$A2,T_Shipments[Effective_Week],53)</f>
        <v/>
      </c>
      <c r="BC2">
        <f>SUMIFS(T_Shipments[Confirmed_Qty],T_Shipments[RM_Code],$A2,T_Shipments[Effective_Week],54)</f>
        <v/>
      </c>
      <c r="BD2">
        <f>SUMIFS(T_Shipments[Confirmed_Qty],T_Shipments[RM_Code],$A2,T_Shipments[Effective_Week],55)</f>
        <v/>
      </c>
      <c r="BE2">
        <f>SUMIFS(T_Shipments[Confirmed_Qty],T_Shipments[RM_Code],$A2,T_Shipments[Effective_Week],56)</f>
        <v/>
      </c>
      <c r="BF2">
        <f>SUMIFS(T_Shipments[Confirmed_Qty],T_Shipments[RM_Code],$A2,T_Shipments[Effective_Week],57)</f>
        <v/>
      </c>
      <c r="BG2">
        <f>SUMIFS(T_Shipments[Confirmed_Qty],T_Shipments[RM_Code],$A2,T_Shipments[Effective_Week],58)</f>
        <v/>
      </c>
      <c r="BH2">
        <f>SUMIFS(T_Shipments[Confirmed_Qty],T_Shipments[RM_Code],$A2,T_Shipments[Effective_Week],59)</f>
        <v/>
      </c>
      <c r="BI2">
        <f>SUMIFS(T_Shipments[Confirmed_Qty],T_Shipments[RM_Code],$A2,T_Shipments[Effective_Week],60)</f>
        <v/>
      </c>
      <c r="BJ2">
        <f>SUMIFS(T_Shipments[Confirmed_Qty],T_Shipments[RM_Code],$A2,T_Shipments[Effective_Week],61)</f>
        <v/>
      </c>
      <c r="BK2">
        <f>SUMIFS(T_Shipments[Confirmed_Qty],T_Shipments[RM_Code],$A2,T_Shipments[Effective_Week],62)</f>
        <v/>
      </c>
      <c r="BL2">
        <f>SUMIFS(T_Shipments[Confirmed_Qty],T_Shipments[RM_Code],$A2,T_Shipments[Effective_Week],63)</f>
        <v/>
      </c>
      <c r="BM2">
        <f>SUMIFS(T_Shipments[Confirmed_Qty],T_Shipments[RM_Code],$A2,T_Shipments[Effective_Week],64)</f>
        <v/>
      </c>
      <c r="BN2">
        <f>SUMIFS(T_Shipments[Confirmed_Qty],T_Shipments[RM_Code],$A2,T_Shipments[Effective_Week],65)</f>
        <v/>
      </c>
      <c r="BO2">
        <f>SUMIFS(T_Shipments[Confirmed_Qty],T_Shipments[RM_Code],$A2,T_Shipments[Effective_Week],66)</f>
        <v/>
      </c>
      <c r="BP2">
        <f>SUMIFS(T_Shipments[Confirmed_Qty],T_Shipments[RM_Code],$A2,T_Shipments[Effective_Week],67)</f>
        <v/>
      </c>
      <c r="BQ2">
        <f>SUMIFS(T_Shipments[Confirmed_Qty],T_Shipments[RM_Code],$A2,T_Shipments[Effective_Week],68)</f>
        <v/>
      </c>
      <c r="BR2">
        <f>SUMIFS(T_Shipments[Confirmed_Qty],T_Shipments[RM_Code],$A2,T_Shipments[Effective_Week],69)</f>
        <v/>
      </c>
      <c r="BS2">
        <f>SUMIFS(T_Shipments[Confirmed_Qty],T_Shipments[RM_Code],$A2,T_Shipments[Effective_Week],70)</f>
        <v/>
      </c>
      <c r="BT2">
        <f>SUMIFS(T_Shipments[Confirmed_Qty],T_Shipments[RM_Code],$A2,T_Shipments[Effective_Week],71)</f>
        <v/>
      </c>
      <c r="BU2">
        <f>SUMIFS(T_Shipments[Confirmed_Qty],T_Shipments[RM_Code],$A2,T_Shipments[Effective_Week],72)</f>
        <v/>
      </c>
      <c r="BV2">
        <f>SUMIFS(T_Shipments[Confirmed_Qty],T_Shipments[RM_Code],$A2,T_Shipments[Effective_Week],73)</f>
        <v/>
      </c>
      <c r="BW2">
        <f>SUMIFS(T_Shipments[Confirmed_Qty],T_Shipments[RM_Code],$A2,T_Shipments[Effective_Week],74)</f>
        <v/>
      </c>
      <c r="BX2">
        <f>SUMIFS(T_Shipments[Confirmed_Qty],T_Shipments[RM_Code],$A2,T_Shipments[Effective_Week],75)</f>
        <v/>
      </c>
      <c r="BY2">
        <f>SUMIFS(T_Shipments[Confirmed_Qty],T_Shipments[RM_Code],$A2,T_Shipments[Effective_Week],76)</f>
        <v/>
      </c>
      <c r="BZ2">
        <f>SUMIFS(T_Shipments[Confirmed_Qty],T_Shipments[RM_Code],$A2,T_Shipments[Effective_Week],77)</f>
        <v/>
      </c>
      <c r="CA2">
        <f>SUMIFS(T_Shipments[Confirmed_Qty],T_Shipments[RM_Code],$A2,T_Shipments[Effective_Week],78)</f>
        <v/>
      </c>
      <c r="CB2">
        <f>SUMIFS(T_Shipments[Confirmed_Qty],T_Shipments[RM_Code],$A2,T_Shipments[Effective_Week],79)</f>
        <v/>
      </c>
      <c r="CC2">
        <f>SUMIFS(T_Shipments[Confirmed_Qty],T_Shipments[RM_Code],$A2,T_Shipments[Effective_Week],80)</f>
        <v/>
      </c>
      <c r="CD2">
        <f>SUMIFS(T_Shipments[Confirmed_Qty],T_Shipments[RM_Code],$A2,T_Shipments[Effective_Week],81)</f>
        <v/>
      </c>
      <c r="CE2">
        <f>SUMIFS(T_Shipments[Confirmed_Qty],T_Shipments[RM_Code],$A2,T_Shipments[Effective_Week],82)</f>
        <v/>
      </c>
      <c r="CF2">
        <f>SUMIFS(T_Shipments[Confirmed_Qty],T_Shipments[RM_Code],$A2,T_Shipments[Effective_Week],83)</f>
        <v/>
      </c>
      <c r="CG2">
        <f>SUMIFS(T_Shipments[Confirmed_Qty],T_Shipments[RM_Code],$A2,T_Shipments[Effective_Week],84)</f>
        <v/>
      </c>
      <c r="CH2">
        <f>SUMIFS(T_Shipments[Confirmed_Qty],T_Shipments[RM_Code],$A2,T_Shipments[Effective_Week],85)</f>
        <v/>
      </c>
      <c r="CI2">
        <f>SUMIFS(T_Shipments[Confirmed_Qty],T_Shipments[RM_Code],$A2,T_Shipments[Effective_Week],86)</f>
        <v/>
      </c>
      <c r="CJ2">
        <f>SUMIFS(T_Shipments[Confirmed_Qty],T_Shipments[RM_Code],$A2,T_Shipments[Effective_Week],87)</f>
        <v/>
      </c>
      <c r="CK2">
        <f>SUMIFS(T_Shipments[Confirmed_Qty],T_Shipments[RM_Code],$A2,T_Shipments[Effective_Week],88)</f>
        <v/>
      </c>
      <c r="CL2">
        <f>SUMIFS(T_Shipments[Confirmed_Qty],T_Shipments[RM_Code],$A2,T_Shipments[Effective_Week],89)</f>
        <v/>
      </c>
      <c r="CM2">
        <f>SUMIFS(T_Shipments[Confirmed_Qty],T_Shipments[RM_Code],$A2,T_Shipments[Effective_Week],90)</f>
        <v/>
      </c>
      <c r="CN2">
        <f>SUMIFS(T_Shipments[Confirmed_Qty],T_Shipments[RM_Code],$A2,T_Shipments[Effective_Week],91)</f>
        <v/>
      </c>
      <c r="CO2">
        <f>SUMIFS(T_Shipments[Confirmed_Qty],T_Shipments[RM_Code],$A2,T_Shipments[Effective_Week],92)</f>
        <v/>
      </c>
      <c r="CP2">
        <f>SUMIFS(T_Shipments[Confirmed_Qty],T_Shipments[RM_Code],$A2,T_Shipments[Effective_Week],93)</f>
        <v/>
      </c>
      <c r="CQ2">
        <f>SUMIFS(T_Shipments[Confirmed_Qty],T_Shipments[RM_Code],$A2,T_Shipments[Effective_Week],94)</f>
        <v/>
      </c>
      <c r="CR2">
        <f>SUMIFS(T_Shipments[Confirmed_Qty],T_Shipments[RM_Code],$A2,T_Shipments[Effective_Week],95)</f>
        <v/>
      </c>
      <c r="CS2">
        <f>SUMIFS(T_Shipments[Confirmed_Qty],T_Shipments[RM_Code],$A2,T_Shipments[Effective_Week],96)</f>
        <v/>
      </c>
      <c r="CT2">
        <f>SUMIFS(T_Shipments[Confirmed_Qty],T_Shipments[RM_Code],$A2,T_Shipments[Effective_Week],97)</f>
        <v/>
      </c>
      <c r="CU2">
        <f>SUMIFS(T_Shipments[Confirmed_Qty],T_Shipments[RM_Code],$A2,T_Shipments[Effective_Week],98)</f>
        <v/>
      </c>
      <c r="CV2">
        <f>SUMIFS(T_Shipments[Confirmed_Qty],T_Shipments[RM_Code],$A2,T_Shipments[Effective_Week],99)</f>
        <v/>
      </c>
      <c r="CW2">
        <f>SUMIFS(T_Shipments[Confirmed_Qty],T_Shipments[RM_Code],$A2,T_Shipments[Effective_Week],100)</f>
        <v/>
      </c>
      <c r="CX2">
        <f>SUMIFS(T_Shipments[Confirmed_Qty],T_Shipments[RM_Code],$A2,T_Shipments[Effective_Week],101)</f>
        <v/>
      </c>
      <c r="CY2">
        <f>SUMIFS(T_Shipments[Confirmed_Qty],T_Shipments[RM_Code],$A2,T_Shipments[Effective_Week],102)</f>
        <v/>
      </c>
      <c r="CZ2">
        <f>SUMIFS(T_Shipments[Confirmed_Qty],T_Shipments[RM_Code],$A2,T_Shipments[Effective_Week],103)</f>
        <v/>
      </c>
      <c r="DA2">
        <f>SUMIFS(T_Shipments[Confirmed_Qty],T_Shipments[RM_Code],$A2,T_Shipments[Effective_Week],104)</f>
        <v/>
      </c>
    </row>
    <row r="3">
      <c r="A3" t="inlineStr">
        <is>
          <t>CHEM-1670</t>
        </is>
      </c>
      <c r="B3">
        <f>SUMIFS(T_Shipments[Confirmed_Qty],T_Shipments[RM_Code],$A3,T_Shipments[Effective_Week],1)</f>
        <v/>
      </c>
      <c r="C3">
        <f>SUMIFS(T_Shipments[Confirmed_Qty],T_Shipments[RM_Code],$A3,T_Shipments[Effective_Week],2)</f>
        <v/>
      </c>
      <c r="D3">
        <f>SUMIFS(T_Shipments[Confirmed_Qty],T_Shipments[RM_Code],$A3,T_Shipments[Effective_Week],3)</f>
        <v/>
      </c>
      <c r="E3">
        <f>SUMIFS(T_Shipments[Confirmed_Qty],T_Shipments[RM_Code],$A3,T_Shipments[Effective_Week],4)</f>
        <v/>
      </c>
      <c r="F3">
        <f>SUMIFS(T_Shipments[Confirmed_Qty],T_Shipments[RM_Code],$A3,T_Shipments[Effective_Week],5)</f>
        <v/>
      </c>
      <c r="G3">
        <f>SUMIFS(T_Shipments[Confirmed_Qty],T_Shipments[RM_Code],$A3,T_Shipments[Effective_Week],6)</f>
        <v/>
      </c>
      <c r="H3">
        <f>SUMIFS(T_Shipments[Confirmed_Qty],T_Shipments[RM_Code],$A3,T_Shipments[Effective_Week],7)</f>
        <v/>
      </c>
      <c r="I3">
        <f>SUMIFS(T_Shipments[Confirmed_Qty],T_Shipments[RM_Code],$A3,T_Shipments[Effective_Week],8)</f>
        <v/>
      </c>
      <c r="J3">
        <f>SUMIFS(T_Shipments[Confirmed_Qty],T_Shipments[RM_Code],$A3,T_Shipments[Effective_Week],9)</f>
        <v/>
      </c>
      <c r="K3">
        <f>SUMIFS(T_Shipments[Confirmed_Qty],T_Shipments[RM_Code],$A3,T_Shipments[Effective_Week],10)</f>
        <v/>
      </c>
      <c r="L3">
        <f>SUMIFS(T_Shipments[Confirmed_Qty],T_Shipments[RM_Code],$A3,T_Shipments[Effective_Week],11)</f>
        <v/>
      </c>
      <c r="M3">
        <f>SUMIFS(T_Shipments[Confirmed_Qty],T_Shipments[RM_Code],$A3,T_Shipments[Effective_Week],12)</f>
        <v/>
      </c>
      <c r="N3">
        <f>SUMIFS(T_Shipments[Confirmed_Qty],T_Shipments[RM_Code],$A3,T_Shipments[Effective_Week],13)</f>
        <v/>
      </c>
      <c r="O3">
        <f>SUMIFS(T_Shipments[Confirmed_Qty],T_Shipments[RM_Code],$A3,T_Shipments[Effective_Week],14)</f>
        <v/>
      </c>
      <c r="P3">
        <f>SUMIFS(T_Shipments[Confirmed_Qty],T_Shipments[RM_Code],$A3,T_Shipments[Effective_Week],15)</f>
        <v/>
      </c>
      <c r="Q3">
        <f>SUMIFS(T_Shipments[Confirmed_Qty],T_Shipments[RM_Code],$A3,T_Shipments[Effective_Week],16)</f>
        <v/>
      </c>
      <c r="R3">
        <f>SUMIFS(T_Shipments[Confirmed_Qty],T_Shipments[RM_Code],$A3,T_Shipments[Effective_Week],17)</f>
        <v/>
      </c>
      <c r="S3">
        <f>SUMIFS(T_Shipments[Confirmed_Qty],T_Shipments[RM_Code],$A3,T_Shipments[Effective_Week],18)</f>
        <v/>
      </c>
      <c r="T3">
        <f>SUMIFS(T_Shipments[Confirmed_Qty],T_Shipments[RM_Code],$A3,T_Shipments[Effective_Week],19)</f>
        <v/>
      </c>
      <c r="U3">
        <f>SUMIFS(T_Shipments[Confirmed_Qty],T_Shipments[RM_Code],$A3,T_Shipments[Effective_Week],20)</f>
        <v/>
      </c>
      <c r="V3">
        <f>SUMIFS(T_Shipments[Confirmed_Qty],T_Shipments[RM_Code],$A3,T_Shipments[Effective_Week],21)</f>
        <v/>
      </c>
      <c r="W3">
        <f>SUMIFS(T_Shipments[Confirmed_Qty],T_Shipments[RM_Code],$A3,T_Shipments[Effective_Week],22)</f>
        <v/>
      </c>
      <c r="X3">
        <f>SUMIFS(T_Shipments[Confirmed_Qty],T_Shipments[RM_Code],$A3,T_Shipments[Effective_Week],23)</f>
        <v/>
      </c>
      <c r="Y3">
        <f>SUMIFS(T_Shipments[Confirmed_Qty],T_Shipments[RM_Code],$A3,T_Shipments[Effective_Week],24)</f>
        <v/>
      </c>
      <c r="Z3">
        <f>SUMIFS(T_Shipments[Confirmed_Qty],T_Shipments[RM_Code],$A3,T_Shipments[Effective_Week],25)</f>
        <v/>
      </c>
      <c r="AA3">
        <f>SUMIFS(T_Shipments[Confirmed_Qty],T_Shipments[RM_Code],$A3,T_Shipments[Effective_Week],26)</f>
        <v/>
      </c>
      <c r="AB3">
        <f>SUMIFS(T_Shipments[Confirmed_Qty],T_Shipments[RM_Code],$A3,T_Shipments[Effective_Week],27)</f>
        <v/>
      </c>
      <c r="AC3">
        <f>SUMIFS(T_Shipments[Confirmed_Qty],T_Shipments[RM_Code],$A3,T_Shipments[Effective_Week],28)</f>
        <v/>
      </c>
      <c r="AD3">
        <f>SUMIFS(T_Shipments[Confirmed_Qty],T_Shipments[RM_Code],$A3,T_Shipments[Effective_Week],29)</f>
        <v/>
      </c>
      <c r="AE3">
        <f>SUMIFS(T_Shipments[Confirmed_Qty],T_Shipments[RM_Code],$A3,T_Shipments[Effective_Week],30)</f>
        <v/>
      </c>
      <c r="AF3">
        <f>SUMIFS(T_Shipments[Confirmed_Qty],T_Shipments[RM_Code],$A3,T_Shipments[Effective_Week],31)</f>
        <v/>
      </c>
      <c r="AG3">
        <f>SUMIFS(T_Shipments[Confirmed_Qty],T_Shipments[RM_Code],$A3,T_Shipments[Effective_Week],32)</f>
        <v/>
      </c>
      <c r="AH3">
        <f>SUMIFS(T_Shipments[Confirmed_Qty],T_Shipments[RM_Code],$A3,T_Shipments[Effective_Week],33)</f>
        <v/>
      </c>
      <c r="AI3">
        <f>SUMIFS(T_Shipments[Confirmed_Qty],T_Shipments[RM_Code],$A3,T_Shipments[Effective_Week],34)</f>
        <v/>
      </c>
      <c r="AJ3">
        <f>SUMIFS(T_Shipments[Confirmed_Qty],T_Shipments[RM_Code],$A3,T_Shipments[Effective_Week],35)</f>
        <v/>
      </c>
      <c r="AK3">
        <f>SUMIFS(T_Shipments[Confirmed_Qty],T_Shipments[RM_Code],$A3,T_Shipments[Effective_Week],36)</f>
        <v/>
      </c>
      <c r="AL3">
        <f>SUMIFS(T_Shipments[Confirmed_Qty],T_Shipments[RM_Code],$A3,T_Shipments[Effective_Week],37)</f>
        <v/>
      </c>
      <c r="AM3">
        <f>SUMIFS(T_Shipments[Confirmed_Qty],T_Shipments[RM_Code],$A3,T_Shipments[Effective_Week],38)</f>
        <v/>
      </c>
      <c r="AN3">
        <f>SUMIFS(T_Shipments[Confirmed_Qty],T_Shipments[RM_Code],$A3,T_Shipments[Effective_Week],39)</f>
        <v/>
      </c>
      <c r="AO3">
        <f>SUMIFS(T_Shipments[Confirmed_Qty],T_Shipments[RM_Code],$A3,T_Shipments[Effective_Week],40)</f>
        <v/>
      </c>
      <c r="AP3">
        <f>SUMIFS(T_Shipments[Confirmed_Qty],T_Shipments[RM_Code],$A3,T_Shipments[Effective_Week],41)</f>
        <v/>
      </c>
      <c r="AQ3">
        <f>SUMIFS(T_Shipments[Confirmed_Qty],T_Shipments[RM_Code],$A3,T_Shipments[Effective_Week],42)</f>
        <v/>
      </c>
      <c r="AR3">
        <f>SUMIFS(T_Shipments[Confirmed_Qty],T_Shipments[RM_Code],$A3,T_Shipments[Effective_Week],43)</f>
        <v/>
      </c>
      <c r="AS3">
        <f>SUMIFS(T_Shipments[Confirmed_Qty],T_Shipments[RM_Code],$A3,T_Shipments[Effective_Week],44)</f>
        <v/>
      </c>
      <c r="AT3">
        <f>SUMIFS(T_Shipments[Confirmed_Qty],T_Shipments[RM_Code],$A3,T_Shipments[Effective_Week],45)</f>
        <v/>
      </c>
      <c r="AU3">
        <f>SUMIFS(T_Shipments[Confirmed_Qty],T_Shipments[RM_Code],$A3,T_Shipments[Effective_Week],46)</f>
        <v/>
      </c>
      <c r="AV3">
        <f>SUMIFS(T_Shipments[Confirmed_Qty],T_Shipments[RM_Code],$A3,T_Shipments[Effective_Week],47)</f>
        <v/>
      </c>
      <c r="AW3">
        <f>SUMIFS(T_Shipments[Confirmed_Qty],T_Shipments[RM_Code],$A3,T_Shipments[Effective_Week],48)</f>
        <v/>
      </c>
      <c r="AX3">
        <f>SUMIFS(T_Shipments[Confirmed_Qty],T_Shipments[RM_Code],$A3,T_Shipments[Effective_Week],49)</f>
        <v/>
      </c>
      <c r="AY3">
        <f>SUMIFS(T_Shipments[Confirmed_Qty],T_Shipments[RM_Code],$A3,T_Shipments[Effective_Week],50)</f>
        <v/>
      </c>
      <c r="AZ3">
        <f>SUMIFS(T_Shipments[Confirmed_Qty],T_Shipments[RM_Code],$A3,T_Shipments[Effective_Week],51)</f>
        <v/>
      </c>
      <c r="BA3">
        <f>SUMIFS(T_Shipments[Confirmed_Qty],T_Shipments[RM_Code],$A3,T_Shipments[Effective_Week],52)</f>
        <v/>
      </c>
      <c r="BB3">
        <f>SUMIFS(T_Shipments[Confirmed_Qty],T_Shipments[RM_Code],$A3,T_Shipments[Effective_Week],53)</f>
        <v/>
      </c>
      <c r="BC3">
        <f>SUMIFS(T_Shipments[Confirmed_Qty],T_Shipments[RM_Code],$A3,T_Shipments[Effective_Week],54)</f>
        <v/>
      </c>
      <c r="BD3">
        <f>SUMIFS(T_Shipments[Confirmed_Qty],T_Shipments[RM_Code],$A3,T_Shipments[Effective_Week],55)</f>
        <v/>
      </c>
      <c r="BE3">
        <f>SUMIFS(T_Shipments[Confirmed_Qty],T_Shipments[RM_Code],$A3,T_Shipments[Effective_Week],56)</f>
        <v/>
      </c>
      <c r="BF3">
        <f>SUMIFS(T_Shipments[Confirmed_Qty],T_Shipments[RM_Code],$A3,T_Shipments[Effective_Week],57)</f>
        <v/>
      </c>
      <c r="BG3">
        <f>SUMIFS(T_Shipments[Confirmed_Qty],T_Shipments[RM_Code],$A3,T_Shipments[Effective_Week],58)</f>
        <v/>
      </c>
      <c r="BH3">
        <f>SUMIFS(T_Shipments[Confirmed_Qty],T_Shipments[RM_Code],$A3,T_Shipments[Effective_Week],59)</f>
        <v/>
      </c>
      <c r="BI3">
        <f>SUMIFS(T_Shipments[Confirmed_Qty],T_Shipments[RM_Code],$A3,T_Shipments[Effective_Week],60)</f>
        <v/>
      </c>
      <c r="BJ3">
        <f>SUMIFS(T_Shipments[Confirmed_Qty],T_Shipments[RM_Code],$A3,T_Shipments[Effective_Week],61)</f>
        <v/>
      </c>
      <c r="BK3">
        <f>SUMIFS(T_Shipments[Confirmed_Qty],T_Shipments[RM_Code],$A3,T_Shipments[Effective_Week],62)</f>
        <v/>
      </c>
      <c r="BL3">
        <f>SUMIFS(T_Shipments[Confirmed_Qty],T_Shipments[RM_Code],$A3,T_Shipments[Effective_Week],63)</f>
        <v/>
      </c>
      <c r="BM3">
        <f>SUMIFS(T_Shipments[Confirmed_Qty],T_Shipments[RM_Code],$A3,T_Shipments[Effective_Week],64)</f>
        <v/>
      </c>
      <c r="BN3">
        <f>SUMIFS(T_Shipments[Confirmed_Qty],T_Shipments[RM_Code],$A3,T_Shipments[Effective_Week],65)</f>
        <v/>
      </c>
      <c r="BO3">
        <f>SUMIFS(T_Shipments[Confirmed_Qty],T_Shipments[RM_Code],$A3,T_Shipments[Effective_Week],66)</f>
        <v/>
      </c>
      <c r="BP3">
        <f>SUMIFS(T_Shipments[Confirmed_Qty],T_Shipments[RM_Code],$A3,T_Shipments[Effective_Week],67)</f>
        <v/>
      </c>
      <c r="BQ3">
        <f>SUMIFS(T_Shipments[Confirmed_Qty],T_Shipments[RM_Code],$A3,T_Shipments[Effective_Week],68)</f>
        <v/>
      </c>
      <c r="BR3">
        <f>SUMIFS(T_Shipments[Confirmed_Qty],T_Shipments[RM_Code],$A3,T_Shipments[Effective_Week],69)</f>
        <v/>
      </c>
      <c r="BS3">
        <f>SUMIFS(T_Shipments[Confirmed_Qty],T_Shipments[RM_Code],$A3,T_Shipments[Effective_Week],70)</f>
        <v/>
      </c>
      <c r="BT3">
        <f>SUMIFS(T_Shipments[Confirmed_Qty],T_Shipments[RM_Code],$A3,T_Shipments[Effective_Week],71)</f>
        <v/>
      </c>
      <c r="BU3">
        <f>SUMIFS(T_Shipments[Confirmed_Qty],T_Shipments[RM_Code],$A3,T_Shipments[Effective_Week],72)</f>
        <v/>
      </c>
      <c r="BV3">
        <f>SUMIFS(T_Shipments[Confirmed_Qty],T_Shipments[RM_Code],$A3,T_Shipments[Effective_Week],73)</f>
        <v/>
      </c>
      <c r="BW3">
        <f>SUMIFS(T_Shipments[Confirmed_Qty],T_Shipments[RM_Code],$A3,T_Shipments[Effective_Week],74)</f>
        <v/>
      </c>
      <c r="BX3">
        <f>SUMIFS(T_Shipments[Confirmed_Qty],T_Shipments[RM_Code],$A3,T_Shipments[Effective_Week],75)</f>
        <v/>
      </c>
      <c r="BY3">
        <f>SUMIFS(T_Shipments[Confirmed_Qty],T_Shipments[RM_Code],$A3,T_Shipments[Effective_Week],76)</f>
        <v/>
      </c>
      <c r="BZ3">
        <f>SUMIFS(T_Shipments[Confirmed_Qty],T_Shipments[RM_Code],$A3,T_Shipments[Effective_Week],77)</f>
        <v/>
      </c>
      <c r="CA3">
        <f>SUMIFS(T_Shipments[Confirmed_Qty],T_Shipments[RM_Code],$A3,T_Shipments[Effective_Week],78)</f>
        <v/>
      </c>
      <c r="CB3">
        <f>SUMIFS(T_Shipments[Confirmed_Qty],T_Shipments[RM_Code],$A3,T_Shipments[Effective_Week],79)</f>
        <v/>
      </c>
      <c r="CC3">
        <f>SUMIFS(T_Shipments[Confirmed_Qty],T_Shipments[RM_Code],$A3,T_Shipments[Effective_Week],80)</f>
        <v/>
      </c>
      <c r="CD3">
        <f>SUMIFS(T_Shipments[Confirmed_Qty],T_Shipments[RM_Code],$A3,T_Shipments[Effective_Week],81)</f>
        <v/>
      </c>
      <c r="CE3">
        <f>SUMIFS(T_Shipments[Confirmed_Qty],T_Shipments[RM_Code],$A3,T_Shipments[Effective_Week],82)</f>
        <v/>
      </c>
      <c r="CF3">
        <f>SUMIFS(T_Shipments[Confirmed_Qty],T_Shipments[RM_Code],$A3,T_Shipments[Effective_Week],83)</f>
        <v/>
      </c>
      <c r="CG3">
        <f>SUMIFS(T_Shipments[Confirmed_Qty],T_Shipments[RM_Code],$A3,T_Shipments[Effective_Week],84)</f>
        <v/>
      </c>
      <c r="CH3">
        <f>SUMIFS(T_Shipments[Confirmed_Qty],T_Shipments[RM_Code],$A3,T_Shipments[Effective_Week],85)</f>
        <v/>
      </c>
      <c r="CI3">
        <f>SUMIFS(T_Shipments[Confirmed_Qty],T_Shipments[RM_Code],$A3,T_Shipments[Effective_Week],86)</f>
        <v/>
      </c>
      <c r="CJ3">
        <f>SUMIFS(T_Shipments[Confirmed_Qty],T_Shipments[RM_Code],$A3,T_Shipments[Effective_Week],87)</f>
        <v/>
      </c>
      <c r="CK3">
        <f>SUMIFS(T_Shipments[Confirmed_Qty],T_Shipments[RM_Code],$A3,T_Shipments[Effective_Week],88)</f>
        <v/>
      </c>
      <c r="CL3">
        <f>SUMIFS(T_Shipments[Confirmed_Qty],T_Shipments[RM_Code],$A3,T_Shipments[Effective_Week],89)</f>
        <v/>
      </c>
      <c r="CM3">
        <f>SUMIFS(T_Shipments[Confirmed_Qty],T_Shipments[RM_Code],$A3,T_Shipments[Effective_Week],90)</f>
        <v/>
      </c>
      <c r="CN3">
        <f>SUMIFS(T_Shipments[Confirmed_Qty],T_Shipments[RM_Code],$A3,T_Shipments[Effective_Week],91)</f>
        <v/>
      </c>
      <c r="CO3">
        <f>SUMIFS(T_Shipments[Confirmed_Qty],T_Shipments[RM_Code],$A3,T_Shipments[Effective_Week],92)</f>
        <v/>
      </c>
      <c r="CP3">
        <f>SUMIFS(T_Shipments[Confirmed_Qty],T_Shipments[RM_Code],$A3,T_Shipments[Effective_Week],93)</f>
        <v/>
      </c>
      <c r="CQ3">
        <f>SUMIFS(T_Shipments[Confirmed_Qty],T_Shipments[RM_Code],$A3,T_Shipments[Effective_Week],94)</f>
        <v/>
      </c>
      <c r="CR3">
        <f>SUMIFS(T_Shipments[Confirmed_Qty],T_Shipments[RM_Code],$A3,T_Shipments[Effective_Week],95)</f>
        <v/>
      </c>
      <c r="CS3">
        <f>SUMIFS(T_Shipments[Confirmed_Qty],T_Shipments[RM_Code],$A3,T_Shipments[Effective_Week],96)</f>
        <v/>
      </c>
      <c r="CT3">
        <f>SUMIFS(T_Shipments[Confirmed_Qty],T_Shipments[RM_Code],$A3,T_Shipments[Effective_Week],97)</f>
        <v/>
      </c>
      <c r="CU3">
        <f>SUMIFS(T_Shipments[Confirmed_Qty],T_Shipments[RM_Code],$A3,T_Shipments[Effective_Week],98)</f>
        <v/>
      </c>
      <c r="CV3">
        <f>SUMIFS(T_Shipments[Confirmed_Qty],T_Shipments[RM_Code],$A3,T_Shipments[Effective_Week],99)</f>
        <v/>
      </c>
      <c r="CW3">
        <f>SUMIFS(T_Shipments[Confirmed_Qty],T_Shipments[RM_Code],$A3,T_Shipments[Effective_Week],100)</f>
        <v/>
      </c>
      <c r="CX3">
        <f>SUMIFS(T_Shipments[Confirmed_Qty],T_Shipments[RM_Code],$A3,T_Shipments[Effective_Week],101)</f>
        <v/>
      </c>
      <c r="CY3">
        <f>SUMIFS(T_Shipments[Confirmed_Qty],T_Shipments[RM_Code],$A3,T_Shipments[Effective_Week],102)</f>
        <v/>
      </c>
      <c r="CZ3">
        <f>SUMIFS(T_Shipments[Confirmed_Qty],T_Shipments[RM_Code],$A3,T_Shipments[Effective_Week],103)</f>
        <v/>
      </c>
      <c r="DA3">
        <f>SUMIFS(T_Shipments[Confirmed_Qty],T_Shipments[RM_Code],$A3,T_Shipments[Effective_Week],104)</f>
        <v/>
      </c>
    </row>
    <row r="4">
      <c r="A4" t="inlineStr">
        <is>
          <t>CHEM-1700</t>
        </is>
      </c>
      <c r="B4">
        <f>SUMIFS(T_Shipments[Confirmed_Qty],T_Shipments[RM_Code],$A4,T_Shipments[Effective_Week],1)</f>
        <v/>
      </c>
      <c r="C4">
        <f>SUMIFS(T_Shipments[Confirmed_Qty],T_Shipments[RM_Code],$A4,T_Shipments[Effective_Week],2)</f>
        <v/>
      </c>
      <c r="D4">
        <f>SUMIFS(T_Shipments[Confirmed_Qty],T_Shipments[RM_Code],$A4,T_Shipments[Effective_Week],3)</f>
        <v/>
      </c>
      <c r="E4">
        <f>SUMIFS(T_Shipments[Confirmed_Qty],T_Shipments[RM_Code],$A4,T_Shipments[Effective_Week],4)</f>
        <v/>
      </c>
      <c r="F4">
        <f>SUMIFS(T_Shipments[Confirmed_Qty],T_Shipments[RM_Code],$A4,T_Shipments[Effective_Week],5)</f>
        <v/>
      </c>
      <c r="G4">
        <f>SUMIFS(T_Shipments[Confirmed_Qty],T_Shipments[RM_Code],$A4,T_Shipments[Effective_Week],6)</f>
        <v/>
      </c>
      <c r="H4">
        <f>SUMIFS(T_Shipments[Confirmed_Qty],T_Shipments[RM_Code],$A4,T_Shipments[Effective_Week],7)</f>
        <v/>
      </c>
      <c r="I4">
        <f>SUMIFS(T_Shipments[Confirmed_Qty],T_Shipments[RM_Code],$A4,T_Shipments[Effective_Week],8)</f>
        <v/>
      </c>
      <c r="J4">
        <f>SUMIFS(T_Shipments[Confirmed_Qty],T_Shipments[RM_Code],$A4,T_Shipments[Effective_Week],9)</f>
        <v/>
      </c>
      <c r="K4">
        <f>SUMIFS(T_Shipments[Confirmed_Qty],T_Shipments[RM_Code],$A4,T_Shipments[Effective_Week],10)</f>
        <v/>
      </c>
      <c r="L4">
        <f>SUMIFS(T_Shipments[Confirmed_Qty],T_Shipments[RM_Code],$A4,T_Shipments[Effective_Week],11)</f>
        <v/>
      </c>
      <c r="M4">
        <f>SUMIFS(T_Shipments[Confirmed_Qty],T_Shipments[RM_Code],$A4,T_Shipments[Effective_Week],12)</f>
        <v/>
      </c>
      <c r="N4">
        <f>SUMIFS(T_Shipments[Confirmed_Qty],T_Shipments[RM_Code],$A4,T_Shipments[Effective_Week],13)</f>
        <v/>
      </c>
      <c r="O4">
        <f>SUMIFS(T_Shipments[Confirmed_Qty],T_Shipments[RM_Code],$A4,T_Shipments[Effective_Week],14)</f>
        <v/>
      </c>
      <c r="P4">
        <f>SUMIFS(T_Shipments[Confirmed_Qty],T_Shipments[RM_Code],$A4,T_Shipments[Effective_Week],15)</f>
        <v/>
      </c>
      <c r="Q4">
        <f>SUMIFS(T_Shipments[Confirmed_Qty],T_Shipments[RM_Code],$A4,T_Shipments[Effective_Week],16)</f>
        <v/>
      </c>
      <c r="R4">
        <f>SUMIFS(T_Shipments[Confirmed_Qty],T_Shipments[RM_Code],$A4,T_Shipments[Effective_Week],17)</f>
        <v/>
      </c>
      <c r="S4">
        <f>SUMIFS(T_Shipments[Confirmed_Qty],T_Shipments[RM_Code],$A4,T_Shipments[Effective_Week],18)</f>
        <v/>
      </c>
      <c r="T4">
        <f>SUMIFS(T_Shipments[Confirmed_Qty],T_Shipments[RM_Code],$A4,T_Shipments[Effective_Week],19)</f>
        <v/>
      </c>
      <c r="U4">
        <f>SUMIFS(T_Shipments[Confirmed_Qty],T_Shipments[RM_Code],$A4,T_Shipments[Effective_Week],20)</f>
        <v/>
      </c>
      <c r="V4">
        <f>SUMIFS(T_Shipments[Confirmed_Qty],T_Shipments[RM_Code],$A4,T_Shipments[Effective_Week],21)</f>
        <v/>
      </c>
      <c r="W4">
        <f>SUMIFS(T_Shipments[Confirmed_Qty],T_Shipments[RM_Code],$A4,T_Shipments[Effective_Week],22)</f>
        <v/>
      </c>
      <c r="X4">
        <f>SUMIFS(T_Shipments[Confirmed_Qty],T_Shipments[RM_Code],$A4,T_Shipments[Effective_Week],23)</f>
        <v/>
      </c>
      <c r="Y4">
        <f>SUMIFS(T_Shipments[Confirmed_Qty],T_Shipments[RM_Code],$A4,T_Shipments[Effective_Week],24)</f>
        <v/>
      </c>
      <c r="Z4">
        <f>SUMIFS(T_Shipments[Confirmed_Qty],T_Shipments[RM_Code],$A4,T_Shipments[Effective_Week],25)</f>
        <v/>
      </c>
      <c r="AA4">
        <f>SUMIFS(T_Shipments[Confirmed_Qty],T_Shipments[RM_Code],$A4,T_Shipments[Effective_Week],26)</f>
        <v/>
      </c>
      <c r="AB4">
        <f>SUMIFS(T_Shipments[Confirmed_Qty],T_Shipments[RM_Code],$A4,T_Shipments[Effective_Week],27)</f>
        <v/>
      </c>
      <c r="AC4">
        <f>SUMIFS(T_Shipments[Confirmed_Qty],T_Shipments[RM_Code],$A4,T_Shipments[Effective_Week],28)</f>
        <v/>
      </c>
      <c r="AD4">
        <f>SUMIFS(T_Shipments[Confirmed_Qty],T_Shipments[RM_Code],$A4,T_Shipments[Effective_Week],29)</f>
        <v/>
      </c>
      <c r="AE4">
        <f>SUMIFS(T_Shipments[Confirmed_Qty],T_Shipments[RM_Code],$A4,T_Shipments[Effective_Week],30)</f>
        <v/>
      </c>
      <c r="AF4">
        <f>SUMIFS(T_Shipments[Confirmed_Qty],T_Shipments[RM_Code],$A4,T_Shipments[Effective_Week],31)</f>
        <v/>
      </c>
      <c r="AG4">
        <f>SUMIFS(T_Shipments[Confirmed_Qty],T_Shipments[RM_Code],$A4,T_Shipments[Effective_Week],32)</f>
        <v/>
      </c>
      <c r="AH4">
        <f>SUMIFS(T_Shipments[Confirmed_Qty],T_Shipments[RM_Code],$A4,T_Shipments[Effective_Week],33)</f>
        <v/>
      </c>
      <c r="AI4">
        <f>SUMIFS(T_Shipments[Confirmed_Qty],T_Shipments[RM_Code],$A4,T_Shipments[Effective_Week],34)</f>
        <v/>
      </c>
      <c r="AJ4">
        <f>SUMIFS(T_Shipments[Confirmed_Qty],T_Shipments[RM_Code],$A4,T_Shipments[Effective_Week],35)</f>
        <v/>
      </c>
      <c r="AK4">
        <f>SUMIFS(T_Shipments[Confirmed_Qty],T_Shipments[RM_Code],$A4,T_Shipments[Effective_Week],36)</f>
        <v/>
      </c>
      <c r="AL4">
        <f>SUMIFS(T_Shipments[Confirmed_Qty],T_Shipments[RM_Code],$A4,T_Shipments[Effective_Week],37)</f>
        <v/>
      </c>
      <c r="AM4">
        <f>SUMIFS(T_Shipments[Confirmed_Qty],T_Shipments[RM_Code],$A4,T_Shipments[Effective_Week],38)</f>
        <v/>
      </c>
      <c r="AN4">
        <f>SUMIFS(T_Shipments[Confirmed_Qty],T_Shipments[RM_Code],$A4,T_Shipments[Effective_Week],39)</f>
        <v/>
      </c>
      <c r="AO4">
        <f>SUMIFS(T_Shipments[Confirmed_Qty],T_Shipments[RM_Code],$A4,T_Shipments[Effective_Week],40)</f>
        <v/>
      </c>
      <c r="AP4">
        <f>SUMIFS(T_Shipments[Confirmed_Qty],T_Shipments[RM_Code],$A4,T_Shipments[Effective_Week],41)</f>
        <v/>
      </c>
      <c r="AQ4">
        <f>SUMIFS(T_Shipments[Confirmed_Qty],T_Shipments[RM_Code],$A4,T_Shipments[Effective_Week],42)</f>
        <v/>
      </c>
      <c r="AR4">
        <f>SUMIFS(T_Shipments[Confirmed_Qty],T_Shipments[RM_Code],$A4,T_Shipments[Effective_Week],43)</f>
        <v/>
      </c>
      <c r="AS4">
        <f>SUMIFS(T_Shipments[Confirmed_Qty],T_Shipments[RM_Code],$A4,T_Shipments[Effective_Week],44)</f>
        <v/>
      </c>
      <c r="AT4">
        <f>SUMIFS(T_Shipments[Confirmed_Qty],T_Shipments[RM_Code],$A4,T_Shipments[Effective_Week],45)</f>
        <v/>
      </c>
      <c r="AU4">
        <f>SUMIFS(T_Shipments[Confirmed_Qty],T_Shipments[RM_Code],$A4,T_Shipments[Effective_Week],46)</f>
        <v/>
      </c>
      <c r="AV4">
        <f>SUMIFS(T_Shipments[Confirmed_Qty],T_Shipments[RM_Code],$A4,T_Shipments[Effective_Week],47)</f>
        <v/>
      </c>
      <c r="AW4">
        <f>SUMIFS(T_Shipments[Confirmed_Qty],T_Shipments[RM_Code],$A4,T_Shipments[Effective_Week],48)</f>
        <v/>
      </c>
      <c r="AX4">
        <f>SUMIFS(T_Shipments[Confirmed_Qty],T_Shipments[RM_Code],$A4,T_Shipments[Effective_Week],49)</f>
        <v/>
      </c>
      <c r="AY4">
        <f>SUMIFS(T_Shipments[Confirmed_Qty],T_Shipments[RM_Code],$A4,T_Shipments[Effective_Week],50)</f>
        <v/>
      </c>
      <c r="AZ4">
        <f>SUMIFS(T_Shipments[Confirmed_Qty],T_Shipments[RM_Code],$A4,T_Shipments[Effective_Week],51)</f>
        <v/>
      </c>
      <c r="BA4">
        <f>SUMIFS(T_Shipments[Confirmed_Qty],T_Shipments[RM_Code],$A4,T_Shipments[Effective_Week],52)</f>
        <v/>
      </c>
      <c r="BB4">
        <f>SUMIFS(T_Shipments[Confirmed_Qty],T_Shipments[RM_Code],$A4,T_Shipments[Effective_Week],53)</f>
        <v/>
      </c>
      <c r="BC4">
        <f>SUMIFS(T_Shipments[Confirmed_Qty],T_Shipments[RM_Code],$A4,T_Shipments[Effective_Week],54)</f>
        <v/>
      </c>
      <c r="BD4">
        <f>SUMIFS(T_Shipments[Confirmed_Qty],T_Shipments[RM_Code],$A4,T_Shipments[Effective_Week],55)</f>
        <v/>
      </c>
      <c r="BE4">
        <f>SUMIFS(T_Shipments[Confirmed_Qty],T_Shipments[RM_Code],$A4,T_Shipments[Effective_Week],56)</f>
        <v/>
      </c>
      <c r="BF4">
        <f>SUMIFS(T_Shipments[Confirmed_Qty],T_Shipments[RM_Code],$A4,T_Shipments[Effective_Week],57)</f>
        <v/>
      </c>
      <c r="BG4">
        <f>SUMIFS(T_Shipments[Confirmed_Qty],T_Shipments[RM_Code],$A4,T_Shipments[Effective_Week],58)</f>
        <v/>
      </c>
      <c r="BH4">
        <f>SUMIFS(T_Shipments[Confirmed_Qty],T_Shipments[RM_Code],$A4,T_Shipments[Effective_Week],59)</f>
        <v/>
      </c>
      <c r="BI4">
        <f>SUMIFS(T_Shipments[Confirmed_Qty],T_Shipments[RM_Code],$A4,T_Shipments[Effective_Week],60)</f>
        <v/>
      </c>
      <c r="BJ4">
        <f>SUMIFS(T_Shipments[Confirmed_Qty],T_Shipments[RM_Code],$A4,T_Shipments[Effective_Week],61)</f>
        <v/>
      </c>
      <c r="BK4">
        <f>SUMIFS(T_Shipments[Confirmed_Qty],T_Shipments[RM_Code],$A4,T_Shipments[Effective_Week],62)</f>
        <v/>
      </c>
      <c r="BL4">
        <f>SUMIFS(T_Shipments[Confirmed_Qty],T_Shipments[RM_Code],$A4,T_Shipments[Effective_Week],63)</f>
        <v/>
      </c>
      <c r="BM4">
        <f>SUMIFS(T_Shipments[Confirmed_Qty],T_Shipments[RM_Code],$A4,T_Shipments[Effective_Week],64)</f>
        <v/>
      </c>
      <c r="BN4">
        <f>SUMIFS(T_Shipments[Confirmed_Qty],T_Shipments[RM_Code],$A4,T_Shipments[Effective_Week],65)</f>
        <v/>
      </c>
      <c r="BO4">
        <f>SUMIFS(T_Shipments[Confirmed_Qty],T_Shipments[RM_Code],$A4,T_Shipments[Effective_Week],66)</f>
        <v/>
      </c>
      <c r="BP4">
        <f>SUMIFS(T_Shipments[Confirmed_Qty],T_Shipments[RM_Code],$A4,T_Shipments[Effective_Week],67)</f>
        <v/>
      </c>
      <c r="BQ4">
        <f>SUMIFS(T_Shipments[Confirmed_Qty],T_Shipments[RM_Code],$A4,T_Shipments[Effective_Week],68)</f>
        <v/>
      </c>
      <c r="BR4">
        <f>SUMIFS(T_Shipments[Confirmed_Qty],T_Shipments[RM_Code],$A4,T_Shipments[Effective_Week],69)</f>
        <v/>
      </c>
      <c r="BS4">
        <f>SUMIFS(T_Shipments[Confirmed_Qty],T_Shipments[RM_Code],$A4,T_Shipments[Effective_Week],70)</f>
        <v/>
      </c>
      <c r="BT4">
        <f>SUMIFS(T_Shipments[Confirmed_Qty],T_Shipments[RM_Code],$A4,T_Shipments[Effective_Week],71)</f>
        <v/>
      </c>
      <c r="BU4">
        <f>SUMIFS(T_Shipments[Confirmed_Qty],T_Shipments[RM_Code],$A4,T_Shipments[Effective_Week],72)</f>
        <v/>
      </c>
      <c r="BV4">
        <f>SUMIFS(T_Shipments[Confirmed_Qty],T_Shipments[RM_Code],$A4,T_Shipments[Effective_Week],73)</f>
        <v/>
      </c>
      <c r="BW4">
        <f>SUMIFS(T_Shipments[Confirmed_Qty],T_Shipments[RM_Code],$A4,T_Shipments[Effective_Week],74)</f>
        <v/>
      </c>
      <c r="BX4">
        <f>SUMIFS(T_Shipments[Confirmed_Qty],T_Shipments[RM_Code],$A4,T_Shipments[Effective_Week],75)</f>
        <v/>
      </c>
      <c r="BY4">
        <f>SUMIFS(T_Shipments[Confirmed_Qty],T_Shipments[RM_Code],$A4,T_Shipments[Effective_Week],76)</f>
        <v/>
      </c>
      <c r="BZ4">
        <f>SUMIFS(T_Shipments[Confirmed_Qty],T_Shipments[RM_Code],$A4,T_Shipments[Effective_Week],77)</f>
        <v/>
      </c>
      <c r="CA4">
        <f>SUMIFS(T_Shipments[Confirmed_Qty],T_Shipments[RM_Code],$A4,T_Shipments[Effective_Week],78)</f>
        <v/>
      </c>
      <c r="CB4">
        <f>SUMIFS(T_Shipments[Confirmed_Qty],T_Shipments[RM_Code],$A4,T_Shipments[Effective_Week],79)</f>
        <v/>
      </c>
      <c r="CC4">
        <f>SUMIFS(T_Shipments[Confirmed_Qty],T_Shipments[RM_Code],$A4,T_Shipments[Effective_Week],80)</f>
        <v/>
      </c>
      <c r="CD4">
        <f>SUMIFS(T_Shipments[Confirmed_Qty],T_Shipments[RM_Code],$A4,T_Shipments[Effective_Week],81)</f>
        <v/>
      </c>
      <c r="CE4">
        <f>SUMIFS(T_Shipments[Confirmed_Qty],T_Shipments[RM_Code],$A4,T_Shipments[Effective_Week],82)</f>
        <v/>
      </c>
      <c r="CF4">
        <f>SUMIFS(T_Shipments[Confirmed_Qty],T_Shipments[RM_Code],$A4,T_Shipments[Effective_Week],83)</f>
        <v/>
      </c>
      <c r="CG4">
        <f>SUMIFS(T_Shipments[Confirmed_Qty],T_Shipments[RM_Code],$A4,T_Shipments[Effective_Week],84)</f>
        <v/>
      </c>
      <c r="CH4">
        <f>SUMIFS(T_Shipments[Confirmed_Qty],T_Shipments[RM_Code],$A4,T_Shipments[Effective_Week],85)</f>
        <v/>
      </c>
      <c r="CI4">
        <f>SUMIFS(T_Shipments[Confirmed_Qty],T_Shipments[RM_Code],$A4,T_Shipments[Effective_Week],86)</f>
        <v/>
      </c>
      <c r="CJ4">
        <f>SUMIFS(T_Shipments[Confirmed_Qty],T_Shipments[RM_Code],$A4,T_Shipments[Effective_Week],87)</f>
        <v/>
      </c>
      <c r="CK4">
        <f>SUMIFS(T_Shipments[Confirmed_Qty],T_Shipments[RM_Code],$A4,T_Shipments[Effective_Week],88)</f>
        <v/>
      </c>
      <c r="CL4">
        <f>SUMIFS(T_Shipments[Confirmed_Qty],T_Shipments[RM_Code],$A4,T_Shipments[Effective_Week],89)</f>
        <v/>
      </c>
      <c r="CM4">
        <f>SUMIFS(T_Shipments[Confirmed_Qty],T_Shipments[RM_Code],$A4,T_Shipments[Effective_Week],90)</f>
        <v/>
      </c>
      <c r="CN4">
        <f>SUMIFS(T_Shipments[Confirmed_Qty],T_Shipments[RM_Code],$A4,T_Shipments[Effective_Week],91)</f>
        <v/>
      </c>
      <c r="CO4">
        <f>SUMIFS(T_Shipments[Confirmed_Qty],T_Shipments[RM_Code],$A4,T_Shipments[Effective_Week],92)</f>
        <v/>
      </c>
      <c r="CP4">
        <f>SUMIFS(T_Shipments[Confirmed_Qty],T_Shipments[RM_Code],$A4,T_Shipments[Effective_Week],93)</f>
        <v/>
      </c>
      <c r="CQ4">
        <f>SUMIFS(T_Shipments[Confirmed_Qty],T_Shipments[RM_Code],$A4,T_Shipments[Effective_Week],94)</f>
        <v/>
      </c>
      <c r="CR4">
        <f>SUMIFS(T_Shipments[Confirmed_Qty],T_Shipments[RM_Code],$A4,T_Shipments[Effective_Week],95)</f>
        <v/>
      </c>
      <c r="CS4">
        <f>SUMIFS(T_Shipments[Confirmed_Qty],T_Shipments[RM_Code],$A4,T_Shipments[Effective_Week],96)</f>
        <v/>
      </c>
      <c r="CT4">
        <f>SUMIFS(T_Shipments[Confirmed_Qty],T_Shipments[RM_Code],$A4,T_Shipments[Effective_Week],97)</f>
        <v/>
      </c>
      <c r="CU4">
        <f>SUMIFS(T_Shipments[Confirmed_Qty],T_Shipments[RM_Code],$A4,T_Shipments[Effective_Week],98)</f>
        <v/>
      </c>
      <c r="CV4">
        <f>SUMIFS(T_Shipments[Confirmed_Qty],T_Shipments[RM_Code],$A4,T_Shipments[Effective_Week],99)</f>
        <v/>
      </c>
      <c r="CW4">
        <f>SUMIFS(T_Shipments[Confirmed_Qty],T_Shipments[RM_Code],$A4,T_Shipments[Effective_Week],100)</f>
        <v/>
      </c>
      <c r="CX4">
        <f>SUMIFS(T_Shipments[Confirmed_Qty],T_Shipments[RM_Code],$A4,T_Shipments[Effective_Week],101)</f>
        <v/>
      </c>
      <c r="CY4">
        <f>SUMIFS(T_Shipments[Confirmed_Qty],T_Shipments[RM_Code],$A4,T_Shipments[Effective_Week],102)</f>
        <v/>
      </c>
      <c r="CZ4">
        <f>SUMIFS(T_Shipments[Confirmed_Qty],T_Shipments[RM_Code],$A4,T_Shipments[Effective_Week],103)</f>
        <v/>
      </c>
      <c r="DA4">
        <f>SUMIFS(T_Shipments[Confirmed_Qty],T_Shipments[RM_Code],$A4,T_Shipments[Effective_Week],104)</f>
        <v/>
      </c>
    </row>
    <row r="5">
      <c r="A5" t="inlineStr">
        <is>
          <t>CHEM-1420</t>
        </is>
      </c>
      <c r="B5">
        <f>SUMIFS(T_Shipments[Confirmed_Qty],T_Shipments[RM_Code],$A5,T_Shipments[Effective_Week],1)</f>
        <v/>
      </c>
      <c r="C5">
        <f>SUMIFS(T_Shipments[Confirmed_Qty],T_Shipments[RM_Code],$A5,T_Shipments[Effective_Week],2)</f>
        <v/>
      </c>
      <c r="D5">
        <f>SUMIFS(T_Shipments[Confirmed_Qty],T_Shipments[RM_Code],$A5,T_Shipments[Effective_Week],3)</f>
        <v/>
      </c>
      <c r="E5">
        <f>SUMIFS(T_Shipments[Confirmed_Qty],T_Shipments[RM_Code],$A5,T_Shipments[Effective_Week],4)</f>
        <v/>
      </c>
      <c r="F5">
        <f>SUMIFS(T_Shipments[Confirmed_Qty],T_Shipments[RM_Code],$A5,T_Shipments[Effective_Week],5)</f>
        <v/>
      </c>
      <c r="G5">
        <f>SUMIFS(T_Shipments[Confirmed_Qty],T_Shipments[RM_Code],$A5,T_Shipments[Effective_Week],6)</f>
        <v/>
      </c>
      <c r="H5">
        <f>SUMIFS(T_Shipments[Confirmed_Qty],T_Shipments[RM_Code],$A5,T_Shipments[Effective_Week],7)</f>
        <v/>
      </c>
      <c r="I5">
        <f>SUMIFS(T_Shipments[Confirmed_Qty],T_Shipments[RM_Code],$A5,T_Shipments[Effective_Week],8)</f>
        <v/>
      </c>
      <c r="J5">
        <f>SUMIFS(T_Shipments[Confirmed_Qty],T_Shipments[RM_Code],$A5,T_Shipments[Effective_Week],9)</f>
        <v/>
      </c>
      <c r="K5">
        <f>SUMIFS(T_Shipments[Confirmed_Qty],T_Shipments[RM_Code],$A5,T_Shipments[Effective_Week],10)</f>
        <v/>
      </c>
      <c r="L5">
        <f>SUMIFS(T_Shipments[Confirmed_Qty],T_Shipments[RM_Code],$A5,T_Shipments[Effective_Week],11)</f>
        <v/>
      </c>
      <c r="M5">
        <f>SUMIFS(T_Shipments[Confirmed_Qty],T_Shipments[RM_Code],$A5,T_Shipments[Effective_Week],12)</f>
        <v/>
      </c>
      <c r="N5">
        <f>SUMIFS(T_Shipments[Confirmed_Qty],T_Shipments[RM_Code],$A5,T_Shipments[Effective_Week],13)</f>
        <v/>
      </c>
      <c r="O5">
        <f>SUMIFS(T_Shipments[Confirmed_Qty],T_Shipments[RM_Code],$A5,T_Shipments[Effective_Week],14)</f>
        <v/>
      </c>
      <c r="P5">
        <f>SUMIFS(T_Shipments[Confirmed_Qty],T_Shipments[RM_Code],$A5,T_Shipments[Effective_Week],15)</f>
        <v/>
      </c>
      <c r="Q5">
        <f>SUMIFS(T_Shipments[Confirmed_Qty],T_Shipments[RM_Code],$A5,T_Shipments[Effective_Week],16)</f>
        <v/>
      </c>
      <c r="R5">
        <f>SUMIFS(T_Shipments[Confirmed_Qty],T_Shipments[RM_Code],$A5,T_Shipments[Effective_Week],17)</f>
        <v/>
      </c>
      <c r="S5">
        <f>SUMIFS(T_Shipments[Confirmed_Qty],T_Shipments[RM_Code],$A5,T_Shipments[Effective_Week],18)</f>
        <v/>
      </c>
      <c r="T5">
        <f>SUMIFS(T_Shipments[Confirmed_Qty],T_Shipments[RM_Code],$A5,T_Shipments[Effective_Week],19)</f>
        <v/>
      </c>
      <c r="U5">
        <f>SUMIFS(T_Shipments[Confirmed_Qty],T_Shipments[RM_Code],$A5,T_Shipments[Effective_Week],20)</f>
        <v/>
      </c>
      <c r="V5">
        <f>SUMIFS(T_Shipments[Confirmed_Qty],T_Shipments[RM_Code],$A5,T_Shipments[Effective_Week],21)</f>
        <v/>
      </c>
      <c r="W5">
        <f>SUMIFS(T_Shipments[Confirmed_Qty],T_Shipments[RM_Code],$A5,T_Shipments[Effective_Week],22)</f>
        <v/>
      </c>
      <c r="X5">
        <f>SUMIFS(T_Shipments[Confirmed_Qty],T_Shipments[RM_Code],$A5,T_Shipments[Effective_Week],23)</f>
        <v/>
      </c>
      <c r="Y5">
        <f>SUMIFS(T_Shipments[Confirmed_Qty],T_Shipments[RM_Code],$A5,T_Shipments[Effective_Week],24)</f>
        <v/>
      </c>
      <c r="Z5">
        <f>SUMIFS(T_Shipments[Confirmed_Qty],T_Shipments[RM_Code],$A5,T_Shipments[Effective_Week],25)</f>
        <v/>
      </c>
      <c r="AA5">
        <f>SUMIFS(T_Shipments[Confirmed_Qty],T_Shipments[RM_Code],$A5,T_Shipments[Effective_Week],26)</f>
        <v/>
      </c>
      <c r="AB5">
        <f>SUMIFS(T_Shipments[Confirmed_Qty],T_Shipments[RM_Code],$A5,T_Shipments[Effective_Week],27)</f>
        <v/>
      </c>
      <c r="AC5">
        <f>SUMIFS(T_Shipments[Confirmed_Qty],T_Shipments[RM_Code],$A5,T_Shipments[Effective_Week],28)</f>
        <v/>
      </c>
      <c r="AD5">
        <f>SUMIFS(T_Shipments[Confirmed_Qty],T_Shipments[RM_Code],$A5,T_Shipments[Effective_Week],29)</f>
        <v/>
      </c>
      <c r="AE5">
        <f>SUMIFS(T_Shipments[Confirmed_Qty],T_Shipments[RM_Code],$A5,T_Shipments[Effective_Week],30)</f>
        <v/>
      </c>
      <c r="AF5">
        <f>SUMIFS(T_Shipments[Confirmed_Qty],T_Shipments[RM_Code],$A5,T_Shipments[Effective_Week],31)</f>
        <v/>
      </c>
      <c r="AG5">
        <f>SUMIFS(T_Shipments[Confirmed_Qty],T_Shipments[RM_Code],$A5,T_Shipments[Effective_Week],32)</f>
        <v/>
      </c>
      <c r="AH5">
        <f>SUMIFS(T_Shipments[Confirmed_Qty],T_Shipments[RM_Code],$A5,T_Shipments[Effective_Week],33)</f>
        <v/>
      </c>
      <c r="AI5">
        <f>SUMIFS(T_Shipments[Confirmed_Qty],T_Shipments[RM_Code],$A5,T_Shipments[Effective_Week],34)</f>
        <v/>
      </c>
      <c r="AJ5">
        <f>SUMIFS(T_Shipments[Confirmed_Qty],T_Shipments[RM_Code],$A5,T_Shipments[Effective_Week],35)</f>
        <v/>
      </c>
      <c r="AK5">
        <f>SUMIFS(T_Shipments[Confirmed_Qty],T_Shipments[RM_Code],$A5,T_Shipments[Effective_Week],36)</f>
        <v/>
      </c>
      <c r="AL5">
        <f>SUMIFS(T_Shipments[Confirmed_Qty],T_Shipments[RM_Code],$A5,T_Shipments[Effective_Week],37)</f>
        <v/>
      </c>
      <c r="AM5">
        <f>SUMIFS(T_Shipments[Confirmed_Qty],T_Shipments[RM_Code],$A5,T_Shipments[Effective_Week],38)</f>
        <v/>
      </c>
      <c r="AN5">
        <f>SUMIFS(T_Shipments[Confirmed_Qty],T_Shipments[RM_Code],$A5,T_Shipments[Effective_Week],39)</f>
        <v/>
      </c>
      <c r="AO5">
        <f>SUMIFS(T_Shipments[Confirmed_Qty],T_Shipments[RM_Code],$A5,T_Shipments[Effective_Week],40)</f>
        <v/>
      </c>
      <c r="AP5">
        <f>SUMIFS(T_Shipments[Confirmed_Qty],T_Shipments[RM_Code],$A5,T_Shipments[Effective_Week],41)</f>
        <v/>
      </c>
      <c r="AQ5">
        <f>SUMIFS(T_Shipments[Confirmed_Qty],T_Shipments[RM_Code],$A5,T_Shipments[Effective_Week],42)</f>
        <v/>
      </c>
      <c r="AR5">
        <f>SUMIFS(T_Shipments[Confirmed_Qty],T_Shipments[RM_Code],$A5,T_Shipments[Effective_Week],43)</f>
        <v/>
      </c>
      <c r="AS5">
        <f>SUMIFS(T_Shipments[Confirmed_Qty],T_Shipments[RM_Code],$A5,T_Shipments[Effective_Week],44)</f>
        <v/>
      </c>
      <c r="AT5">
        <f>SUMIFS(T_Shipments[Confirmed_Qty],T_Shipments[RM_Code],$A5,T_Shipments[Effective_Week],45)</f>
        <v/>
      </c>
      <c r="AU5">
        <f>SUMIFS(T_Shipments[Confirmed_Qty],T_Shipments[RM_Code],$A5,T_Shipments[Effective_Week],46)</f>
        <v/>
      </c>
      <c r="AV5">
        <f>SUMIFS(T_Shipments[Confirmed_Qty],T_Shipments[RM_Code],$A5,T_Shipments[Effective_Week],47)</f>
        <v/>
      </c>
      <c r="AW5">
        <f>SUMIFS(T_Shipments[Confirmed_Qty],T_Shipments[RM_Code],$A5,T_Shipments[Effective_Week],48)</f>
        <v/>
      </c>
      <c r="AX5">
        <f>SUMIFS(T_Shipments[Confirmed_Qty],T_Shipments[RM_Code],$A5,T_Shipments[Effective_Week],49)</f>
        <v/>
      </c>
      <c r="AY5">
        <f>SUMIFS(T_Shipments[Confirmed_Qty],T_Shipments[RM_Code],$A5,T_Shipments[Effective_Week],50)</f>
        <v/>
      </c>
      <c r="AZ5">
        <f>SUMIFS(T_Shipments[Confirmed_Qty],T_Shipments[RM_Code],$A5,T_Shipments[Effective_Week],51)</f>
        <v/>
      </c>
      <c r="BA5">
        <f>SUMIFS(T_Shipments[Confirmed_Qty],T_Shipments[RM_Code],$A5,T_Shipments[Effective_Week],52)</f>
        <v/>
      </c>
      <c r="BB5">
        <f>SUMIFS(T_Shipments[Confirmed_Qty],T_Shipments[RM_Code],$A5,T_Shipments[Effective_Week],53)</f>
        <v/>
      </c>
      <c r="BC5">
        <f>SUMIFS(T_Shipments[Confirmed_Qty],T_Shipments[RM_Code],$A5,T_Shipments[Effective_Week],54)</f>
        <v/>
      </c>
      <c r="BD5">
        <f>SUMIFS(T_Shipments[Confirmed_Qty],T_Shipments[RM_Code],$A5,T_Shipments[Effective_Week],55)</f>
        <v/>
      </c>
      <c r="BE5">
        <f>SUMIFS(T_Shipments[Confirmed_Qty],T_Shipments[RM_Code],$A5,T_Shipments[Effective_Week],56)</f>
        <v/>
      </c>
      <c r="BF5">
        <f>SUMIFS(T_Shipments[Confirmed_Qty],T_Shipments[RM_Code],$A5,T_Shipments[Effective_Week],57)</f>
        <v/>
      </c>
      <c r="BG5">
        <f>SUMIFS(T_Shipments[Confirmed_Qty],T_Shipments[RM_Code],$A5,T_Shipments[Effective_Week],58)</f>
        <v/>
      </c>
      <c r="BH5">
        <f>SUMIFS(T_Shipments[Confirmed_Qty],T_Shipments[RM_Code],$A5,T_Shipments[Effective_Week],59)</f>
        <v/>
      </c>
      <c r="BI5">
        <f>SUMIFS(T_Shipments[Confirmed_Qty],T_Shipments[RM_Code],$A5,T_Shipments[Effective_Week],60)</f>
        <v/>
      </c>
      <c r="BJ5">
        <f>SUMIFS(T_Shipments[Confirmed_Qty],T_Shipments[RM_Code],$A5,T_Shipments[Effective_Week],61)</f>
        <v/>
      </c>
      <c r="BK5">
        <f>SUMIFS(T_Shipments[Confirmed_Qty],T_Shipments[RM_Code],$A5,T_Shipments[Effective_Week],62)</f>
        <v/>
      </c>
      <c r="BL5">
        <f>SUMIFS(T_Shipments[Confirmed_Qty],T_Shipments[RM_Code],$A5,T_Shipments[Effective_Week],63)</f>
        <v/>
      </c>
      <c r="BM5">
        <f>SUMIFS(T_Shipments[Confirmed_Qty],T_Shipments[RM_Code],$A5,T_Shipments[Effective_Week],64)</f>
        <v/>
      </c>
      <c r="BN5">
        <f>SUMIFS(T_Shipments[Confirmed_Qty],T_Shipments[RM_Code],$A5,T_Shipments[Effective_Week],65)</f>
        <v/>
      </c>
      <c r="BO5">
        <f>SUMIFS(T_Shipments[Confirmed_Qty],T_Shipments[RM_Code],$A5,T_Shipments[Effective_Week],66)</f>
        <v/>
      </c>
      <c r="BP5">
        <f>SUMIFS(T_Shipments[Confirmed_Qty],T_Shipments[RM_Code],$A5,T_Shipments[Effective_Week],67)</f>
        <v/>
      </c>
      <c r="BQ5">
        <f>SUMIFS(T_Shipments[Confirmed_Qty],T_Shipments[RM_Code],$A5,T_Shipments[Effective_Week],68)</f>
        <v/>
      </c>
      <c r="BR5">
        <f>SUMIFS(T_Shipments[Confirmed_Qty],T_Shipments[RM_Code],$A5,T_Shipments[Effective_Week],69)</f>
        <v/>
      </c>
      <c r="BS5">
        <f>SUMIFS(T_Shipments[Confirmed_Qty],T_Shipments[RM_Code],$A5,T_Shipments[Effective_Week],70)</f>
        <v/>
      </c>
      <c r="BT5">
        <f>SUMIFS(T_Shipments[Confirmed_Qty],T_Shipments[RM_Code],$A5,T_Shipments[Effective_Week],71)</f>
        <v/>
      </c>
      <c r="BU5">
        <f>SUMIFS(T_Shipments[Confirmed_Qty],T_Shipments[RM_Code],$A5,T_Shipments[Effective_Week],72)</f>
        <v/>
      </c>
      <c r="BV5">
        <f>SUMIFS(T_Shipments[Confirmed_Qty],T_Shipments[RM_Code],$A5,T_Shipments[Effective_Week],73)</f>
        <v/>
      </c>
      <c r="BW5">
        <f>SUMIFS(T_Shipments[Confirmed_Qty],T_Shipments[RM_Code],$A5,T_Shipments[Effective_Week],74)</f>
        <v/>
      </c>
      <c r="BX5">
        <f>SUMIFS(T_Shipments[Confirmed_Qty],T_Shipments[RM_Code],$A5,T_Shipments[Effective_Week],75)</f>
        <v/>
      </c>
      <c r="BY5">
        <f>SUMIFS(T_Shipments[Confirmed_Qty],T_Shipments[RM_Code],$A5,T_Shipments[Effective_Week],76)</f>
        <v/>
      </c>
      <c r="BZ5">
        <f>SUMIFS(T_Shipments[Confirmed_Qty],T_Shipments[RM_Code],$A5,T_Shipments[Effective_Week],77)</f>
        <v/>
      </c>
      <c r="CA5">
        <f>SUMIFS(T_Shipments[Confirmed_Qty],T_Shipments[RM_Code],$A5,T_Shipments[Effective_Week],78)</f>
        <v/>
      </c>
      <c r="CB5">
        <f>SUMIFS(T_Shipments[Confirmed_Qty],T_Shipments[RM_Code],$A5,T_Shipments[Effective_Week],79)</f>
        <v/>
      </c>
      <c r="CC5">
        <f>SUMIFS(T_Shipments[Confirmed_Qty],T_Shipments[RM_Code],$A5,T_Shipments[Effective_Week],80)</f>
        <v/>
      </c>
      <c r="CD5">
        <f>SUMIFS(T_Shipments[Confirmed_Qty],T_Shipments[RM_Code],$A5,T_Shipments[Effective_Week],81)</f>
        <v/>
      </c>
      <c r="CE5">
        <f>SUMIFS(T_Shipments[Confirmed_Qty],T_Shipments[RM_Code],$A5,T_Shipments[Effective_Week],82)</f>
        <v/>
      </c>
      <c r="CF5">
        <f>SUMIFS(T_Shipments[Confirmed_Qty],T_Shipments[RM_Code],$A5,T_Shipments[Effective_Week],83)</f>
        <v/>
      </c>
      <c r="CG5">
        <f>SUMIFS(T_Shipments[Confirmed_Qty],T_Shipments[RM_Code],$A5,T_Shipments[Effective_Week],84)</f>
        <v/>
      </c>
      <c r="CH5">
        <f>SUMIFS(T_Shipments[Confirmed_Qty],T_Shipments[RM_Code],$A5,T_Shipments[Effective_Week],85)</f>
        <v/>
      </c>
      <c r="CI5">
        <f>SUMIFS(T_Shipments[Confirmed_Qty],T_Shipments[RM_Code],$A5,T_Shipments[Effective_Week],86)</f>
        <v/>
      </c>
      <c r="CJ5">
        <f>SUMIFS(T_Shipments[Confirmed_Qty],T_Shipments[RM_Code],$A5,T_Shipments[Effective_Week],87)</f>
        <v/>
      </c>
      <c r="CK5">
        <f>SUMIFS(T_Shipments[Confirmed_Qty],T_Shipments[RM_Code],$A5,T_Shipments[Effective_Week],88)</f>
        <v/>
      </c>
      <c r="CL5">
        <f>SUMIFS(T_Shipments[Confirmed_Qty],T_Shipments[RM_Code],$A5,T_Shipments[Effective_Week],89)</f>
        <v/>
      </c>
      <c r="CM5">
        <f>SUMIFS(T_Shipments[Confirmed_Qty],T_Shipments[RM_Code],$A5,T_Shipments[Effective_Week],90)</f>
        <v/>
      </c>
      <c r="CN5">
        <f>SUMIFS(T_Shipments[Confirmed_Qty],T_Shipments[RM_Code],$A5,T_Shipments[Effective_Week],91)</f>
        <v/>
      </c>
      <c r="CO5">
        <f>SUMIFS(T_Shipments[Confirmed_Qty],T_Shipments[RM_Code],$A5,T_Shipments[Effective_Week],92)</f>
        <v/>
      </c>
      <c r="CP5">
        <f>SUMIFS(T_Shipments[Confirmed_Qty],T_Shipments[RM_Code],$A5,T_Shipments[Effective_Week],93)</f>
        <v/>
      </c>
      <c r="CQ5">
        <f>SUMIFS(T_Shipments[Confirmed_Qty],T_Shipments[RM_Code],$A5,T_Shipments[Effective_Week],94)</f>
        <v/>
      </c>
      <c r="CR5">
        <f>SUMIFS(T_Shipments[Confirmed_Qty],T_Shipments[RM_Code],$A5,T_Shipments[Effective_Week],95)</f>
        <v/>
      </c>
      <c r="CS5">
        <f>SUMIFS(T_Shipments[Confirmed_Qty],T_Shipments[RM_Code],$A5,T_Shipments[Effective_Week],96)</f>
        <v/>
      </c>
      <c r="CT5">
        <f>SUMIFS(T_Shipments[Confirmed_Qty],T_Shipments[RM_Code],$A5,T_Shipments[Effective_Week],97)</f>
        <v/>
      </c>
      <c r="CU5">
        <f>SUMIFS(T_Shipments[Confirmed_Qty],T_Shipments[RM_Code],$A5,T_Shipments[Effective_Week],98)</f>
        <v/>
      </c>
      <c r="CV5">
        <f>SUMIFS(T_Shipments[Confirmed_Qty],T_Shipments[RM_Code],$A5,T_Shipments[Effective_Week],99)</f>
        <v/>
      </c>
      <c r="CW5">
        <f>SUMIFS(T_Shipments[Confirmed_Qty],T_Shipments[RM_Code],$A5,T_Shipments[Effective_Week],100)</f>
        <v/>
      </c>
      <c r="CX5">
        <f>SUMIFS(T_Shipments[Confirmed_Qty],T_Shipments[RM_Code],$A5,T_Shipments[Effective_Week],101)</f>
        <v/>
      </c>
      <c r="CY5">
        <f>SUMIFS(T_Shipments[Confirmed_Qty],T_Shipments[RM_Code],$A5,T_Shipments[Effective_Week],102)</f>
        <v/>
      </c>
      <c r="CZ5">
        <f>SUMIFS(T_Shipments[Confirmed_Qty],T_Shipments[RM_Code],$A5,T_Shipments[Effective_Week],103)</f>
        <v/>
      </c>
      <c r="DA5">
        <f>SUMIFS(T_Shipments[Confirmed_Qty],T_Shipments[RM_Code],$A5,T_Shipments[Effective_Week],104)</f>
        <v/>
      </c>
    </row>
    <row r="6">
      <c r="A6" t="inlineStr">
        <is>
          <t>CHEM-1530</t>
        </is>
      </c>
      <c r="B6">
        <f>SUMIFS(T_Shipments[Confirmed_Qty],T_Shipments[RM_Code],$A6,T_Shipments[Effective_Week],1)</f>
        <v/>
      </c>
      <c r="C6">
        <f>SUMIFS(T_Shipments[Confirmed_Qty],T_Shipments[RM_Code],$A6,T_Shipments[Effective_Week],2)</f>
        <v/>
      </c>
      <c r="D6">
        <f>SUMIFS(T_Shipments[Confirmed_Qty],T_Shipments[RM_Code],$A6,T_Shipments[Effective_Week],3)</f>
        <v/>
      </c>
      <c r="E6">
        <f>SUMIFS(T_Shipments[Confirmed_Qty],T_Shipments[RM_Code],$A6,T_Shipments[Effective_Week],4)</f>
        <v/>
      </c>
      <c r="F6">
        <f>SUMIFS(T_Shipments[Confirmed_Qty],T_Shipments[RM_Code],$A6,T_Shipments[Effective_Week],5)</f>
        <v/>
      </c>
      <c r="G6">
        <f>SUMIFS(T_Shipments[Confirmed_Qty],T_Shipments[RM_Code],$A6,T_Shipments[Effective_Week],6)</f>
        <v/>
      </c>
      <c r="H6">
        <f>SUMIFS(T_Shipments[Confirmed_Qty],T_Shipments[RM_Code],$A6,T_Shipments[Effective_Week],7)</f>
        <v/>
      </c>
      <c r="I6">
        <f>SUMIFS(T_Shipments[Confirmed_Qty],T_Shipments[RM_Code],$A6,T_Shipments[Effective_Week],8)</f>
        <v/>
      </c>
      <c r="J6">
        <f>SUMIFS(T_Shipments[Confirmed_Qty],T_Shipments[RM_Code],$A6,T_Shipments[Effective_Week],9)</f>
        <v/>
      </c>
      <c r="K6">
        <f>SUMIFS(T_Shipments[Confirmed_Qty],T_Shipments[RM_Code],$A6,T_Shipments[Effective_Week],10)</f>
        <v/>
      </c>
      <c r="L6">
        <f>SUMIFS(T_Shipments[Confirmed_Qty],T_Shipments[RM_Code],$A6,T_Shipments[Effective_Week],11)</f>
        <v/>
      </c>
      <c r="M6">
        <f>SUMIFS(T_Shipments[Confirmed_Qty],T_Shipments[RM_Code],$A6,T_Shipments[Effective_Week],12)</f>
        <v/>
      </c>
      <c r="N6">
        <f>SUMIFS(T_Shipments[Confirmed_Qty],T_Shipments[RM_Code],$A6,T_Shipments[Effective_Week],13)</f>
        <v/>
      </c>
      <c r="O6">
        <f>SUMIFS(T_Shipments[Confirmed_Qty],T_Shipments[RM_Code],$A6,T_Shipments[Effective_Week],14)</f>
        <v/>
      </c>
      <c r="P6">
        <f>SUMIFS(T_Shipments[Confirmed_Qty],T_Shipments[RM_Code],$A6,T_Shipments[Effective_Week],15)</f>
        <v/>
      </c>
      <c r="Q6">
        <f>SUMIFS(T_Shipments[Confirmed_Qty],T_Shipments[RM_Code],$A6,T_Shipments[Effective_Week],16)</f>
        <v/>
      </c>
      <c r="R6">
        <f>SUMIFS(T_Shipments[Confirmed_Qty],T_Shipments[RM_Code],$A6,T_Shipments[Effective_Week],17)</f>
        <v/>
      </c>
      <c r="S6">
        <f>SUMIFS(T_Shipments[Confirmed_Qty],T_Shipments[RM_Code],$A6,T_Shipments[Effective_Week],18)</f>
        <v/>
      </c>
      <c r="T6">
        <f>SUMIFS(T_Shipments[Confirmed_Qty],T_Shipments[RM_Code],$A6,T_Shipments[Effective_Week],19)</f>
        <v/>
      </c>
      <c r="U6">
        <f>SUMIFS(T_Shipments[Confirmed_Qty],T_Shipments[RM_Code],$A6,T_Shipments[Effective_Week],20)</f>
        <v/>
      </c>
      <c r="V6">
        <f>SUMIFS(T_Shipments[Confirmed_Qty],T_Shipments[RM_Code],$A6,T_Shipments[Effective_Week],21)</f>
        <v/>
      </c>
      <c r="W6">
        <f>SUMIFS(T_Shipments[Confirmed_Qty],T_Shipments[RM_Code],$A6,T_Shipments[Effective_Week],22)</f>
        <v/>
      </c>
      <c r="X6">
        <f>SUMIFS(T_Shipments[Confirmed_Qty],T_Shipments[RM_Code],$A6,T_Shipments[Effective_Week],23)</f>
        <v/>
      </c>
      <c r="Y6">
        <f>SUMIFS(T_Shipments[Confirmed_Qty],T_Shipments[RM_Code],$A6,T_Shipments[Effective_Week],24)</f>
        <v/>
      </c>
      <c r="Z6">
        <f>SUMIFS(T_Shipments[Confirmed_Qty],T_Shipments[RM_Code],$A6,T_Shipments[Effective_Week],25)</f>
        <v/>
      </c>
      <c r="AA6">
        <f>SUMIFS(T_Shipments[Confirmed_Qty],T_Shipments[RM_Code],$A6,T_Shipments[Effective_Week],26)</f>
        <v/>
      </c>
      <c r="AB6">
        <f>SUMIFS(T_Shipments[Confirmed_Qty],T_Shipments[RM_Code],$A6,T_Shipments[Effective_Week],27)</f>
        <v/>
      </c>
      <c r="AC6">
        <f>SUMIFS(T_Shipments[Confirmed_Qty],T_Shipments[RM_Code],$A6,T_Shipments[Effective_Week],28)</f>
        <v/>
      </c>
      <c r="AD6">
        <f>SUMIFS(T_Shipments[Confirmed_Qty],T_Shipments[RM_Code],$A6,T_Shipments[Effective_Week],29)</f>
        <v/>
      </c>
      <c r="AE6">
        <f>SUMIFS(T_Shipments[Confirmed_Qty],T_Shipments[RM_Code],$A6,T_Shipments[Effective_Week],30)</f>
        <v/>
      </c>
      <c r="AF6">
        <f>SUMIFS(T_Shipments[Confirmed_Qty],T_Shipments[RM_Code],$A6,T_Shipments[Effective_Week],31)</f>
        <v/>
      </c>
      <c r="AG6">
        <f>SUMIFS(T_Shipments[Confirmed_Qty],T_Shipments[RM_Code],$A6,T_Shipments[Effective_Week],32)</f>
        <v/>
      </c>
      <c r="AH6">
        <f>SUMIFS(T_Shipments[Confirmed_Qty],T_Shipments[RM_Code],$A6,T_Shipments[Effective_Week],33)</f>
        <v/>
      </c>
      <c r="AI6">
        <f>SUMIFS(T_Shipments[Confirmed_Qty],T_Shipments[RM_Code],$A6,T_Shipments[Effective_Week],34)</f>
        <v/>
      </c>
      <c r="AJ6">
        <f>SUMIFS(T_Shipments[Confirmed_Qty],T_Shipments[RM_Code],$A6,T_Shipments[Effective_Week],35)</f>
        <v/>
      </c>
      <c r="AK6">
        <f>SUMIFS(T_Shipments[Confirmed_Qty],T_Shipments[RM_Code],$A6,T_Shipments[Effective_Week],36)</f>
        <v/>
      </c>
      <c r="AL6">
        <f>SUMIFS(T_Shipments[Confirmed_Qty],T_Shipments[RM_Code],$A6,T_Shipments[Effective_Week],37)</f>
        <v/>
      </c>
      <c r="AM6">
        <f>SUMIFS(T_Shipments[Confirmed_Qty],T_Shipments[RM_Code],$A6,T_Shipments[Effective_Week],38)</f>
        <v/>
      </c>
      <c r="AN6">
        <f>SUMIFS(T_Shipments[Confirmed_Qty],T_Shipments[RM_Code],$A6,T_Shipments[Effective_Week],39)</f>
        <v/>
      </c>
      <c r="AO6">
        <f>SUMIFS(T_Shipments[Confirmed_Qty],T_Shipments[RM_Code],$A6,T_Shipments[Effective_Week],40)</f>
        <v/>
      </c>
      <c r="AP6">
        <f>SUMIFS(T_Shipments[Confirmed_Qty],T_Shipments[RM_Code],$A6,T_Shipments[Effective_Week],41)</f>
        <v/>
      </c>
      <c r="AQ6">
        <f>SUMIFS(T_Shipments[Confirmed_Qty],T_Shipments[RM_Code],$A6,T_Shipments[Effective_Week],42)</f>
        <v/>
      </c>
      <c r="AR6">
        <f>SUMIFS(T_Shipments[Confirmed_Qty],T_Shipments[RM_Code],$A6,T_Shipments[Effective_Week],43)</f>
        <v/>
      </c>
      <c r="AS6">
        <f>SUMIFS(T_Shipments[Confirmed_Qty],T_Shipments[RM_Code],$A6,T_Shipments[Effective_Week],44)</f>
        <v/>
      </c>
      <c r="AT6">
        <f>SUMIFS(T_Shipments[Confirmed_Qty],T_Shipments[RM_Code],$A6,T_Shipments[Effective_Week],45)</f>
        <v/>
      </c>
      <c r="AU6">
        <f>SUMIFS(T_Shipments[Confirmed_Qty],T_Shipments[RM_Code],$A6,T_Shipments[Effective_Week],46)</f>
        <v/>
      </c>
      <c r="AV6">
        <f>SUMIFS(T_Shipments[Confirmed_Qty],T_Shipments[RM_Code],$A6,T_Shipments[Effective_Week],47)</f>
        <v/>
      </c>
      <c r="AW6">
        <f>SUMIFS(T_Shipments[Confirmed_Qty],T_Shipments[RM_Code],$A6,T_Shipments[Effective_Week],48)</f>
        <v/>
      </c>
      <c r="AX6">
        <f>SUMIFS(T_Shipments[Confirmed_Qty],T_Shipments[RM_Code],$A6,T_Shipments[Effective_Week],49)</f>
        <v/>
      </c>
      <c r="AY6">
        <f>SUMIFS(T_Shipments[Confirmed_Qty],T_Shipments[RM_Code],$A6,T_Shipments[Effective_Week],50)</f>
        <v/>
      </c>
      <c r="AZ6">
        <f>SUMIFS(T_Shipments[Confirmed_Qty],T_Shipments[RM_Code],$A6,T_Shipments[Effective_Week],51)</f>
        <v/>
      </c>
      <c r="BA6">
        <f>SUMIFS(T_Shipments[Confirmed_Qty],T_Shipments[RM_Code],$A6,T_Shipments[Effective_Week],52)</f>
        <v/>
      </c>
      <c r="BB6">
        <f>SUMIFS(T_Shipments[Confirmed_Qty],T_Shipments[RM_Code],$A6,T_Shipments[Effective_Week],53)</f>
        <v/>
      </c>
      <c r="BC6">
        <f>SUMIFS(T_Shipments[Confirmed_Qty],T_Shipments[RM_Code],$A6,T_Shipments[Effective_Week],54)</f>
        <v/>
      </c>
      <c r="BD6">
        <f>SUMIFS(T_Shipments[Confirmed_Qty],T_Shipments[RM_Code],$A6,T_Shipments[Effective_Week],55)</f>
        <v/>
      </c>
      <c r="BE6">
        <f>SUMIFS(T_Shipments[Confirmed_Qty],T_Shipments[RM_Code],$A6,T_Shipments[Effective_Week],56)</f>
        <v/>
      </c>
      <c r="BF6">
        <f>SUMIFS(T_Shipments[Confirmed_Qty],T_Shipments[RM_Code],$A6,T_Shipments[Effective_Week],57)</f>
        <v/>
      </c>
      <c r="BG6">
        <f>SUMIFS(T_Shipments[Confirmed_Qty],T_Shipments[RM_Code],$A6,T_Shipments[Effective_Week],58)</f>
        <v/>
      </c>
      <c r="BH6">
        <f>SUMIFS(T_Shipments[Confirmed_Qty],T_Shipments[RM_Code],$A6,T_Shipments[Effective_Week],59)</f>
        <v/>
      </c>
      <c r="BI6">
        <f>SUMIFS(T_Shipments[Confirmed_Qty],T_Shipments[RM_Code],$A6,T_Shipments[Effective_Week],60)</f>
        <v/>
      </c>
      <c r="BJ6">
        <f>SUMIFS(T_Shipments[Confirmed_Qty],T_Shipments[RM_Code],$A6,T_Shipments[Effective_Week],61)</f>
        <v/>
      </c>
      <c r="BK6">
        <f>SUMIFS(T_Shipments[Confirmed_Qty],T_Shipments[RM_Code],$A6,T_Shipments[Effective_Week],62)</f>
        <v/>
      </c>
      <c r="BL6">
        <f>SUMIFS(T_Shipments[Confirmed_Qty],T_Shipments[RM_Code],$A6,T_Shipments[Effective_Week],63)</f>
        <v/>
      </c>
      <c r="BM6">
        <f>SUMIFS(T_Shipments[Confirmed_Qty],T_Shipments[RM_Code],$A6,T_Shipments[Effective_Week],64)</f>
        <v/>
      </c>
      <c r="BN6">
        <f>SUMIFS(T_Shipments[Confirmed_Qty],T_Shipments[RM_Code],$A6,T_Shipments[Effective_Week],65)</f>
        <v/>
      </c>
      <c r="BO6">
        <f>SUMIFS(T_Shipments[Confirmed_Qty],T_Shipments[RM_Code],$A6,T_Shipments[Effective_Week],66)</f>
        <v/>
      </c>
      <c r="BP6">
        <f>SUMIFS(T_Shipments[Confirmed_Qty],T_Shipments[RM_Code],$A6,T_Shipments[Effective_Week],67)</f>
        <v/>
      </c>
      <c r="BQ6">
        <f>SUMIFS(T_Shipments[Confirmed_Qty],T_Shipments[RM_Code],$A6,T_Shipments[Effective_Week],68)</f>
        <v/>
      </c>
      <c r="BR6">
        <f>SUMIFS(T_Shipments[Confirmed_Qty],T_Shipments[RM_Code],$A6,T_Shipments[Effective_Week],69)</f>
        <v/>
      </c>
      <c r="BS6">
        <f>SUMIFS(T_Shipments[Confirmed_Qty],T_Shipments[RM_Code],$A6,T_Shipments[Effective_Week],70)</f>
        <v/>
      </c>
      <c r="BT6">
        <f>SUMIFS(T_Shipments[Confirmed_Qty],T_Shipments[RM_Code],$A6,T_Shipments[Effective_Week],71)</f>
        <v/>
      </c>
      <c r="BU6">
        <f>SUMIFS(T_Shipments[Confirmed_Qty],T_Shipments[RM_Code],$A6,T_Shipments[Effective_Week],72)</f>
        <v/>
      </c>
      <c r="BV6">
        <f>SUMIFS(T_Shipments[Confirmed_Qty],T_Shipments[RM_Code],$A6,T_Shipments[Effective_Week],73)</f>
        <v/>
      </c>
      <c r="BW6">
        <f>SUMIFS(T_Shipments[Confirmed_Qty],T_Shipments[RM_Code],$A6,T_Shipments[Effective_Week],74)</f>
        <v/>
      </c>
      <c r="BX6">
        <f>SUMIFS(T_Shipments[Confirmed_Qty],T_Shipments[RM_Code],$A6,T_Shipments[Effective_Week],75)</f>
        <v/>
      </c>
      <c r="BY6">
        <f>SUMIFS(T_Shipments[Confirmed_Qty],T_Shipments[RM_Code],$A6,T_Shipments[Effective_Week],76)</f>
        <v/>
      </c>
      <c r="BZ6">
        <f>SUMIFS(T_Shipments[Confirmed_Qty],T_Shipments[RM_Code],$A6,T_Shipments[Effective_Week],77)</f>
        <v/>
      </c>
      <c r="CA6">
        <f>SUMIFS(T_Shipments[Confirmed_Qty],T_Shipments[RM_Code],$A6,T_Shipments[Effective_Week],78)</f>
        <v/>
      </c>
      <c r="CB6">
        <f>SUMIFS(T_Shipments[Confirmed_Qty],T_Shipments[RM_Code],$A6,T_Shipments[Effective_Week],79)</f>
        <v/>
      </c>
      <c r="CC6">
        <f>SUMIFS(T_Shipments[Confirmed_Qty],T_Shipments[RM_Code],$A6,T_Shipments[Effective_Week],80)</f>
        <v/>
      </c>
      <c r="CD6">
        <f>SUMIFS(T_Shipments[Confirmed_Qty],T_Shipments[RM_Code],$A6,T_Shipments[Effective_Week],81)</f>
        <v/>
      </c>
      <c r="CE6">
        <f>SUMIFS(T_Shipments[Confirmed_Qty],T_Shipments[RM_Code],$A6,T_Shipments[Effective_Week],82)</f>
        <v/>
      </c>
      <c r="CF6">
        <f>SUMIFS(T_Shipments[Confirmed_Qty],T_Shipments[RM_Code],$A6,T_Shipments[Effective_Week],83)</f>
        <v/>
      </c>
      <c r="CG6">
        <f>SUMIFS(T_Shipments[Confirmed_Qty],T_Shipments[RM_Code],$A6,T_Shipments[Effective_Week],84)</f>
        <v/>
      </c>
      <c r="CH6">
        <f>SUMIFS(T_Shipments[Confirmed_Qty],T_Shipments[RM_Code],$A6,T_Shipments[Effective_Week],85)</f>
        <v/>
      </c>
      <c r="CI6">
        <f>SUMIFS(T_Shipments[Confirmed_Qty],T_Shipments[RM_Code],$A6,T_Shipments[Effective_Week],86)</f>
        <v/>
      </c>
      <c r="CJ6">
        <f>SUMIFS(T_Shipments[Confirmed_Qty],T_Shipments[RM_Code],$A6,T_Shipments[Effective_Week],87)</f>
        <v/>
      </c>
      <c r="CK6">
        <f>SUMIFS(T_Shipments[Confirmed_Qty],T_Shipments[RM_Code],$A6,T_Shipments[Effective_Week],88)</f>
        <v/>
      </c>
      <c r="CL6">
        <f>SUMIFS(T_Shipments[Confirmed_Qty],T_Shipments[RM_Code],$A6,T_Shipments[Effective_Week],89)</f>
        <v/>
      </c>
      <c r="CM6">
        <f>SUMIFS(T_Shipments[Confirmed_Qty],T_Shipments[RM_Code],$A6,T_Shipments[Effective_Week],90)</f>
        <v/>
      </c>
      <c r="CN6">
        <f>SUMIFS(T_Shipments[Confirmed_Qty],T_Shipments[RM_Code],$A6,T_Shipments[Effective_Week],91)</f>
        <v/>
      </c>
      <c r="CO6">
        <f>SUMIFS(T_Shipments[Confirmed_Qty],T_Shipments[RM_Code],$A6,T_Shipments[Effective_Week],92)</f>
        <v/>
      </c>
      <c r="CP6">
        <f>SUMIFS(T_Shipments[Confirmed_Qty],T_Shipments[RM_Code],$A6,T_Shipments[Effective_Week],93)</f>
        <v/>
      </c>
      <c r="CQ6">
        <f>SUMIFS(T_Shipments[Confirmed_Qty],T_Shipments[RM_Code],$A6,T_Shipments[Effective_Week],94)</f>
        <v/>
      </c>
      <c r="CR6">
        <f>SUMIFS(T_Shipments[Confirmed_Qty],T_Shipments[RM_Code],$A6,T_Shipments[Effective_Week],95)</f>
        <v/>
      </c>
      <c r="CS6">
        <f>SUMIFS(T_Shipments[Confirmed_Qty],T_Shipments[RM_Code],$A6,T_Shipments[Effective_Week],96)</f>
        <v/>
      </c>
      <c r="CT6">
        <f>SUMIFS(T_Shipments[Confirmed_Qty],T_Shipments[RM_Code],$A6,T_Shipments[Effective_Week],97)</f>
        <v/>
      </c>
      <c r="CU6">
        <f>SUMIFS(T_Shipments[Confirmed_Qty],T_Shipments[RM_Code],$A6,T_Shipments[Effective_Week],98)</f>
        <v/>
      </c>
      <c r="CV6">
        <f>SUMIFS(T_Shipments[Confirmed_Qty],T_Shipments[RM_Code],$A6,T_Shipments[Effective_Week],99)</f>
        <v/>
      </c>
      <c r="CW6">
        <f>SUMIFS(T_Shipments[Confirmed_Qty],T_Shipments[RM_Code],$A6,T_Shipments[Effective_Week],100)</f>
        <v/>
      </c>
      <c r="CX6">
        <f>SUMIFS(T_Shipments[Confirmed_Qty],T_Shipments[RM_Code],$A6,T_Shipments[Effective_Week],101)</f>
        <v/>
      </c>
      <c r="CY6">
        <f>SUMIFS(T_Shipments[Confirmed_Qty],T_Shipments[RM_Code],$A6,T_Shipments[Effective_Week],102)</f>
        <v/>
      </c>
      <c r="CZ6">
        <f>SUMIFS(T_Shipments[Confirmed_Qty],T_Shipments[RM_Code],$A6,T_Shipments[Effective_Week],103)</f>
        <v/>
      </c>
      <c r="DA6">
        <f>SUMIFS(T_Shipments[Confirmed_Qty],T_Shipments[RM_Code],$A6,T_Shipments[Effective_Week],104)</f>
        <v/>
      </c>
    </row>
    <row r="7">
      <c r="A7" t="inlineStr">
        <is>
          <t>CHEM-1540</t>
        </is>
      </c>
      <c r="B7">
        <f>SUMIFS(T_Shipments[Confirmed_Qty],T_Shipments[RM_Code],$A7,T_Shipments[Effective_Week],1)</f>
        <v/>
      </c>
      <c r="C7">
        <f>SUMIFS(T_Shipments[Confirmed_Qty],T_Shipments[RM_Code],$A7,T_Shipments[Effective_Week],2)</f>
        <v/>
      </c>
      <c r="D7">
        <f>SUMIFS(T_Shipments[Confirmed_Qty],T_Shipments[RM_Code],$A7,T_Shipments[Effective_Week],3)</f>
        <v/>
      </c>
      <c r="E7">
        <f>SUMIFS(T_Shipments[Confirmed_Qty],T_Shipments[RM_Code],$A7,T_Shipments[Effective_Week],4)</f>
        <v/>
      </c>
      <c r="F7">
        <f>SUMIFS(T_Shipments[Confirmed_Qty],T_Shipments[RM_Code],$A7,T_Shipments[Effective_Week],5)</f>
        <v/>
      </c>
      <c r="G7">
        <f>SUMIFS(T_Shipments[Confirmed_Qty],T_Shipments[RM_Code],$A7,T_Shipments[Effective_Week],6)</f>
        <v/>
      </c>
      <c r="H7">
        <f>SUMIFS(T_Shipments[Confirmed_Qty],T_Shipments[RM_Code],$A7,T_Shipments[Effective_Week],7)</f>
        <v/>
      </c>
      <c r="I7">
        <f>SUMIFS(T_Shipments[Confirmed_Qty],T_Shipments[RM_Code],$A7,T_Shipments[Effective_Week],8)</f>
        <v/>
      </c>
      <c r="J7">
        <f>SUMIFS(T_Shipments[Confirmed_Qty],T_Shipments[RM_Code],$A7,T_Shipments[Effective_Week],9)</f>
        <v/>
      </c>
      <c r="K7">
        <f>SUMIFS(T_Shipments[Confirmed_Qty],T_Shipments[RM_Code],$A7,T_Shipments[Effective_Week],10)</f>
        <v/>
      </c>
      <c r="L7">
        <f>SUMIFS(T_Shipments[Confirmed_Qty],T_Shipments[RM_Code],$A7,T_Shipments[Effective_Week],11)</f>
        <v/>
      </c>
      <c r="M7">
        <f>SUMIFS(T_Shipments[Confirmed_Qty],T_Shipments[RM_Code],$A7,T_Shipments[Effective_Week],12)</f>
        <v/>
      </c>
      <c r="N7">
        <f>SUMIFS(T_Shipments[Confirmed_Qty],T_Shipments[RM_Code],$A7,T_Shipments[Effective_Week],13)</f>
        <v/>
      </c>
      <c r="O7">
        <f>SUMIFS(T_Shipments[Confirmed_Qty],T_Shipments[RM_Code],$A7,T_Shipments[Effective_Week],14)</f>
        <v/>
      </c>
      <c r="P7">
        <f>SUMIFS(T_Shipments[Confirmed_Qty],T_Shipments[RM_Code],$A7,T_Shipments[Effective_Week],15)</f>
        <v/>
      </c>
      <c r="Q7">
        <f>SUMIFS(T_Shipments[Confirmed_Qty],T_Shipments[RM_Code],$A7,T_Shipments[Effective_Week],16)</f>
        <v/>
      </c>
      <c r="R7">
        <f>SUMIFS(T_Shipments[Confirmed_Qty],T_Shipments[RM_Code],$A7,T_Shipments[Effective_Week],17)</f>
        <v/>
      </c>
      <c r="S7">
        <f>SUMIFS(T_Shipments[Confirmed_Qty],T_Shipments[RM_Code],$A7,T_Shipments[Effective_Week],18)</f>
        <v/>
      </c>
      <c r="T7">
        <f>SUMIFS(T_Shipments[Confirmed_Qty],T_Shipments[RM_Code],$A7,T_Shipments[Effective_Week],19)</f>
        <v/>
      </c>
      <c r="U7">
        <f>SUMIFS(T_Shipments[Confirmed_Qty],T_Shipments[RM_Code],$A7,T_Shipments[Effective_Week],20)</f>
        <v/>
      </c>
      <c r="V7">
        <f>SUMIFS(T_Shipments[Confirmed_Qty],T_Shipments[RM_Code],$A7,T_Shipments[Effective_Week],21)</f>
        <v/>
      </c>
      <c r="W7">
        <f>SUMIFS(T_Shipments[Confirmed_Qty],T_Shipments[RM_Code],$A7,T_Shipments[Effective_Week],22)</f>
        <v/>
      </c>
      <c r="X7">
        <f>SUMIFS(T_Shipments[Confirmed_Qty],T_Shipments[RM_Code],$A7,T_Shipments[Effective_Week],23)</f>
        <v/>
      </c>
      <c r="Y7">
        <f>SUMIFS(T_Shipments[Confirmed_Qty],T_Shipments[RM_Code],$A7,T_Shipments[Effective_Week],24)</f>
        <v/>
      </c>
      <c r="Z7">
        <f>SUMIFS(T_Shipments[Confirmed_Qty],T_Shipments[RM_Code],$A7,T_Shipments[Effective_Week],25)</f>
        <v/>
      </c>
      <c r="AA7">
        <f>SUMIFS(T_Shipments[Confirmed_Qty],T_Shipments[RM_Code],$A7,T_Shipments[Effective_Week],26)</f>
        <v/>
      </c>
      <c r="AB7">
        <f>SUMIFS(T_Shipments[Confirmed_Qty],T_Shipments[RM_Code],$A7,T_Shipments[Effective_Week],27)</f>
        <v/>
      </c>
      <c r="AC7">
        <f>SUMIFS(T_Shipments[Confirmed_Qty],T_Shipments[RM_Code],$A7,T_Shipments[Effective_Week],28)</f>
        <v/>
      </c>
      <c r="AD7">
        <f>SUMIFS(T_Shipments[Confirmed_Qty],T_Shipments[RM_Code],$A7,T_Shipments[Effective_Week],29)</f>
        <v/>
      </c>
      <c r="AE7">
        <f>SUMIFS(T_Shipments[Confirmed_Qty],T_Shipments[RM_Code],$A7,T_Shipments[Effective_Week],30)</f>
        <v/>
      </c>
      <c r="AF7">
        <f>SUMIFS(T_Shipments[Confirmed_Qty],T_Shipments[RM_Code],$A7,T_Shipments[Effective_Week],31)</f>
        <v/>
      </c>
      <c r="AG7">
        <f>SUMIFS(T_Shipments[Confirmed_Qty],T_Shipments[RM_Code],$A7,T_Shipments[Effective_Week],32)</f>
        <v/>
      </c>
      <c r="AH7">
        <f>SUMIFS(T_Shipments[Confirmed_Qty],T_Shipments[RM_Code],$A7,T_Shipments[Effective_Week],33)</f>
        <v/>
      </c>
      <c r="AI7">
        <f>SUMIFS(T_Shipments[Confirmed_Qty],T_Shipments[RM_Code],$A7,T_Shipments[Effective_Week],34)</f>
        <v/>
      </c>
      <c r="AJ7">
        <f>SUMIFS(T_Shipments[Confirmed_Qty],T_Shipments[RM_Code],$A7,T_Shipments[Effective_Week],35)</f>
        <v/>
      </c>
      <c r="AK7">
        <f>SUMIFS(T_Shipments[Confirmed_Qty],T_Shipments[RM_Code],$A7,T_Shipments[Effective_Week],36)</f>
        <v/>
      </c>
      <c r="AL7">
        <f>SUMIFS(T_Shipments[Confirmed_Qty],T_Shipments[RM_Code],$A7,T_Shipments[Effective_Week],37)</f>
        <v/>
      </c>
      <c r="AM7">
        <f>SUMIFS(T_Shipments[Confirmed_Qty],T_Shipments[RM_Code],$A7,T_Shipments[Effective_Week],38)</f>
        <v/>
      </c>
      <c r="AN7">
        <f>SUMIFS(T_Shipments[Confirmed_Qty],T_Shipments[RM_Code],$A7,T_Shipments[Effective_Week],39)</f>
        <v/>
      </c>
      <c r="AO7">
        <f>SUMIFS(T_Shipments[Confirmed_Qty],T_Shipments[RM_Code],$A7,T_Shipments[Effective_Week],40)</f>
        <v/>
      </c>
      <c r="AP7">
        <f>SUMIFS(T_Shipments[Confirmed_Qty],T_Shipments[RM_Code],$A7,T_Shipments[Effective_Week],41)</f>
        <v/>
      </c>
      <c r="AQ7">
        <f>SUMIFS(T_Shipments[Confirmed_Qty],T_Shipments[RM_Code],$A7,T_Shipments[Effective_Week],42)</f>
        <v/>
      </c>
      <c r="AR7">
        <f>SUMIFS(T_Shipments[Confirmed_Qty],T_Shipments[RM_Code],$A7,T_Shipments[Effective_Week],43)</f>
        <v/>
      </c>
      <c r="AS7">
        <f>SUMIFS(T_Shipments[Confirmed_Qty],T_Shipments[RM_Code],$A7,T_Shipments[Effective_Week],44)</f>
        <v/>
      </c>
      <c r="AT7">
        <f>SUMIFS(T_Shipments[Confirmed_Qty],T_Shipments[RM_Code],$A7,T_Shipments[Effective_Week],45)</f>
        <v/>
      </c>
      <c r="AU7">
        <f>SUMIFS(T_Shipments[Confirmed_Qty],T_Shipments[RM_Code],$A7,T_Shipments[Effective_Week],46)</f>
        <v/>
      </c>
      <c r="AV7">
        <f>SUMIFS(T_Shipments[Confirmed_Qty],T_Shipments[RM_Code],$A7,T_Shipments[Effective_Week],47)</f>
        <v/>
      </c>
      <c r="AW7">
        <f>SUMIFS(T_Shipments[Confirmed_Qty],T_Shipments[RM_Code],$A7,T_Shipments[Effective_Week],48)</f>
        <v/>
      </c>
      <c r="AX7">
        <f>SUMIFS(T_Shipments[Confirmed_Qty],T_Shipments[RM_Code],$A7,T_Shipments[Effective_Week],49)</f>
        <v/>
      </c>
      <c r="AY7">
        <f>SUMIFS(T_Shipments[Confirmed_Qty],T_Shipments[RM_Code],$A7,T_Shipments[Effective_Week],50)</f>
        <v/>
      </c>
      <c r="AZ7">
        <f>SUMIFS(T_Shipments[Confirmed_Qty],T_Shipments[RM_Code],$A7,T_Shipments[Effective_Week],51)</f>
        <v/>
      </c>
      <c r="BA7">
        <f>SUMIFS(T_Shipments[Confirmed_Qty],T_Shipments[RM_Code],$A7,T_Shipments[Effective_Week],52)</f>
        <v/>
      </c>
      <c r="BB7">
        <f>SUMIFS(T_Shipments[Confirmed_Qty],T_Shipments[RM_Code],$A7,T_Shipments[Effective_Week],53)</f>
        <v/>
      </c>
      <c r="BC7">
        <f>SUMIFS(T_Shipments[Confirmed_Qty],T_Shipments[RM_Code],$A7,T_Shipments[Effective_Week],54)</f>
        <v/>
      </c>
      <c r="BD7">
        <f>SUMIFS(T_Shipments[Confirmed_Qty],T_Shipments[RM_Code],$A7,T_Shipments[Effective_Week],55)</f>
        <v/>
      </c>
      <c r="BE7">
        <f>SUMIFS(T_Shipments[Confirmed_Qty],T_Shipments[RM_Code],$A7,T_Shipments[Effective_Week],56)</f>
        <v/>
      </c>
      <c r="BF7">
        <f>SUMIFS(T_Shipments[Confirmed_Qty],T_Shipments[RM_Code],$A7,T_Shipments[Effective_Week],57)</f>
        <v/>
      </c>
      <c r="BG7">
        <f>SUMIFS(T_Shipments[Confirmed_Qty],T_Shipments[RM_Code],$A7,T_Shipments[Effective_Week],58)</f>
        <v/>
      </c>
      <c r="BH7">
        <f>SUMIFS(T_Shipments[Confirmed_Qty],T_Shipments[RM_Code],$A7,T_Shipments[Effective_Week],59)</f>
        <v/>
      </c>
      <c r="BI7">
        <f>SUMIFS(T_Shipments[Confirmed_Qty],T_Shipments[RM_Code],$A7,T_Shipments[Effective_Week],60)</f>
        <v/>
      </c>
      <c r="BJ7">
        <f>SUMIFS(T_Shipments[Confirmed_Qty],T_Shipments[RM_Code],$A7,T_Shipments[Effective_Week],61)</f>
        <v/>
      </c>
      <c r="BK7">
        <f>SUMIFS(T_Shipments[Confirmed_Qty],T_Shipments[RM_Code],$A7,T_Shipments[Effective_Week],62)</f>
        <v/>
      </c>
      <c r="BL7">
        <f>SUMIFS(T_Shipments[Confirmed_Qty],T_Shipments[RM_Code],$A7,T_Shipments[Effective_Week],63)</f>
        <v/>
      </c>
      <c r="BM7">
        <f>SUMIFS(T_Shipments[Confirmed_Qty],T_Shipments[RM_Code],$A7,T_Shipments[Effective_Week],64)</f>
        <v/>
      </c>
      <c r="BN7">
        <f>SUMIFS(T_Shipments[Confirmed_Qty],T_Shipments[RM_Code],$A7,T_Shipments[Effective_Week],65)</f>
        <v/>
      </c>
      <c r="BO7">
        <f>SUMIFS(T_Shipments[Confirmed_Qty],T_Shipments[RM_Code],$A7,T_Shipments[Effective_Week],66)</f>
        <v/>
      </c>
      <c r="BP7">
        <f>SUMIFS(T_Shipments[Confirmed_Qty],T_Shipments[RM_Code],$A7,T_Shipments[Effective_Week],67)</f>
        <v/>
      </c>
      <c r="BQ7">
        <f>SUMIFS(T_Shipments[Confirmed_Qty],T_Shipments[RM_Code],$A7,T_Shipments[Effective_Week],68)</f>
        <v/>
      </c>
      <c r="BR7">
        <f>SUMIFS(T_Shipments[Confirmed_Qty],T_Shipments[RM_Code],$A7,T_Shipments[Effective_Week],69)</f>
        <v/>
      </c>
      <c r="BS7">
        <f>SUMIFS(T_Shipments[Confirmed_Qty],T_Shipments[RM_Code],$A7,T_Shipments[Effective_Week],70)</f>
        <v/>
      </c>
      <c r="BT7">
        <f>SUMIFS(T_Shipments[Confirmed_Qty],T_Shipments[RM_Code],$A7,T_Shipments[Effective_Week],71)</f>
        <v/>
      </c>
      <c r="BU7">
        <f>SUMIFS(T_Shipments[Confirmed_Qty],T_Shipments[RM_Code],$A7,T_Shipments[Effective_Week],72)</f>
        <v/>
      </c>
      <c r="BV7">
        <f>SUMIFS(T_Shipments[Confirmed_Qty],T_Shipments[RM_Code],$A7,T_Shipments[Effective_Week],73)</f>
        <v/>
      </c>
      <c r="BW7">
        <f>SUMIFS(T_Shipments[Confirmed_Qty],T_Shipments[RM_Code],$A7,T_Shipments[Effective_Week],74)</f>
        <v/>
      </c>
      <c r="BX7">
        <f>SUMIFS(T_Shipments[Confirmed_Qty],T_Shipments[RM_Code],$A7,T_Shipments[Effective_Week],75)</f>
        <v/>
      </c>
      <c r="BY7">
        <f>SUMIFS(T_Shipments[Confirmed_Qty],T_Shipments[RM_Code],$A7,T_Shipments[Effective_Week],76)</f>
        <v/>
      </c>
      <c r="BZ7">
        <f>SUMIFS(T_Shipments[Confirmed_Qty],T_Shipments[RM_Code],$A7,T_Shipments[Effective_Week],77)</f>
        <v/>
      </c>
      <c r="CA7">
        <f>SUMIFS(T_Shipments[Confirmed_Qty],T_Shipments[RM_Code],$A7,T_Shipments[Effective_Week],78)</f>
        <v/>
      </c>
      <c r="CB7">
        <f>SUMIFS(T_Shipments[Confirmed_Qty],T_Shipments[RM_Code],$A7,T_Shipments[Effective_Week],79)</f>
        <v/>
      </c>
      <c r="CC7">
        <f>SUMIFS(T_Shipments[Confirmed_Qty],T_Shipments[RM_Code],$A7,T_Shipments[Effective_Week],80)</f>
        <v/>
      </c>
      <c r="CD7">
        <f>SUMIFS(T_Shipments[Confirmed_Qty],T_Shipments[RM_Code],$A7,T_Shipments[Effective_Week],81)</f>
        <v/>
      </c>
      <c r="CE7">
        <f>SUMIFS(T_Shipments[Confirmed_Qty],T_Shipments[RM_Code],$A7,T_Shipments[Effective_Week],82)</f>
        <v/>
      </c>
      <c r="CF7">
        <f>SUMIFS(T_Shipments[Confirmed_Qty],T_Shipments[RM_Code],$A7,T_Shipments[Effective_Week],83)</f>
        <v/>
      </c>
      <c r="CG7">
        <f>SUMIFS(T_Shipments[Confirmed_Qty],T_Shipments[RM_Code],$A7,T_Shipments[Effective_Week],84)</f>
        <v/>
      </c>
      <c r="CH7">
        <f>SUMIFS(T_Shipments[Confirmed_Qty],T_Shipments[RM_Code],$A7,T_Shipments[Effective_Week],85)</f>
        <v/>
      </c>
      <c r="CI7">
        <f>SUMIFS(T_Shipments[Confirmed_Qty],T_Shipments[RM_Code],$A7,T_Shipments[Effective_Week],86)</f>
        <v/>
      </c>
      <c r="CJ7">
        <f>SUMIFS(T_Shipments[Confirmed_Qty],T_Shipments[RM_Code],$A7,T_Shipments[Effective_Week],87)</f>
        <v/>
      </c>
      <c r="CK7">
        <f>SUMIFS(T_Shipments[Confirmed_Qty],T_Shipments[RM_Code],$A7,T_Shipments[Effective_Week],88)</f>
        <v/>
      </c>
      <c r="CL7">
        <f>SUMIFS(T_Shipments[Confirmed_Qty],T_Shipments[RM_Code],$A7,T_Shipments[Effective_Week],89)</f>
        <v/>
      </c>
      <c r="CM7">
        <f>SUMIFS(T_Shipments[Confirmed_Qty],T_Shipments[RM_Code],$A7,T_Shipments[Effective_Week],90)</f>
        <v/>
      </c>
      <c r="CN7">
        <f>SUMIFS(T_Shipments[Confirmed_Qty],T_Shipments[RM_Code],$A7,T_Shipments[Effective_Week],91)</f>
        <v/>
      </c>
      <c r="CO7">
        <f>SUMIFS(T_Shipments[Confirmed_Qty],T_Shipments[RM_Code],$A7,T_Shipments[Effective_Week],92)</f>
        <v/>
      </c>
      <c r="CP7">
        <f>SUMIFS(T_Shipments[Confirmed_Qty],T_Shipments[RM_Code],$A7,T_Shipments[Effective_Week],93)</f>
        <v/>
      </c>
      <c r="CQ7">
        <f>SUMIFS(T_Shipments[Confirmed_Qty],T_Shipments[RM_Code],$A7,T_Shipments[Effective_Week],94)</f>
        <v/>
      </c>
      <c r="CR7">
        <f>SUMIFS(T_Shipments[Confirmed_Qty],T_Shipments[RM_Code],$A7,T_Shipments[Effective_Week],95)</f>
        <v/>
      </c>
      <c r="CS7">
        <f>SUMIFS(T_Shipments[Confirmed_Qty],T_Shipments[RM_Code],$A7,T_Shipments[Effective_Week],96)</f>
        <v/>
      </c>
      <c r="CT7">
        <f>SUMIFS(T_Shipments[Confirmed_Qty],T_Shipments[RM_Code],$A7,T_Shipments[Effective_Week],97)</f>
        <v/>
      </c>
      <c r="CU7">
        <f>SUMIFS(T_Shipments[Confirmed_Qty],T_Shipments[RM_Code],$A7,T_Shipments[Effective_Week],98)</f>
        <v/>
      </c>
      <c r="CV7">
        <f>SUMIFS(T_Shipments[Confirmed_Qty],T_Shipments[RM_Code],$A7,T_Shipments[Effective_Week],99)</f>
        <v/>
      </c>
      <c r="CW7">
        <f>SUMIFS(T_Shipments[Confirmed_Qty],T_Shipments[RM_Code],$A7,T_Shipments[Effective_Week],100)</f>
        <v/>
      </c>
      <c r="CX7">
        <f>SUMIFS(T_Shipments[Confirmed_Qty],T_Shipments[RM_Code],$A7,T_Shipments[Effective_Week],101)</f>
        <v/>
      </c>
      <c r="CY7">
        <f>SUMIFS(T_Shipments[Confirmed_Qty],T_Shipments[RM_Code],$A7,T_Shipments[Effective_Week],102)</f>
        <v/>
      </c>
      <c r="CZ7">
        <f>SUMIFS(T_Shipments[Confirmed_Qty],T_Shipments[RM_Code],$A7,T_Shipments[Effective_Week],103)</f>
        <v/>
      </c>
      <c r="DA7">
        <f>SUMIFS(T_Shipments[Confirmed_Qty],T_Shipments[RM_Code],$A7,T_Shipments[Effective_Week],104)</f>
        <v/>
      </c>
    </row>
    <row r="8">
      <c r="A8" t="inlineStr">
        <is>
          <t>CHEM-1690</t>
        </is>
      </c>
      <c r="B8">
        <f>SUMIFS(T_Shipments[Confirmed_Qty],T_Shipments[RM_Code],$A8,T_Shipments[Effective_Week],1)</f>
        <v/>
      </c>
      <c r="C8">
        <f>SUMIFS(T_Shipments[Confirmed_Qty],T_Shipments[RM_Code],$A8,T_Shipments[Effective_Week],2)</f>
        <v/>
      </c>
      <c r="D8">
        <f>SUMIFS(T_Shipments[Confirmed_Qty],T_Shipments[RM_Code],$A8,T_Shipments[Effective_Week],3)</f>
        <v/>
      </c>
      <c r="E8">
        <f>SUMIFS(T_Shipments[Confirmed_Qty],T_Shipments[RM_Code],$A8,T_Shipments[Effective_Week],4)</f>
        <v/>
      </c>
      <c r="F8">
        <f>SUMIFS(T_Shipments[Confirmed_Qty],T_Shipments[RM_Code],$A8,T_Shipments[Effective_Week],5)</f>
        <v/>
      </c>
      <c r="G8">
        <f>SUMIFS(T_Shipments[Confirmed_Qty],T_Shipments[RM_Code],$A8,T_Shipments[Effective_Week],6)</f>
        <v/>
      </c>
      <c r="H8">
        <f>SUMIFS(T_Shipments[Confirmed_Qty],T_Shipments[RM_Code],$A8,T_Shipments[Effective_Week],7)</f>
        <v/>
      </c>
      <c r="I8">
        <f>SUMIFS(T_Shipments[Confirmed_Qty],T_Shipments[RM_Code],$A8,T_Shipments[Effective_Week],8)</f>
        <v/>
      </c>
      <c r="J8">
        <f>SUMIFS(T_Shipments[Confirmed_Qty],T_Shipments[RM_Code],$A8,T_Shipments[Effective_Week],9)</f>
        <v/>
      </c>
      <c r="K8">
        <f>SUMIFS(T_Shipments[Confirmed_Qty],T_Shipments[RM_Code],$A8,T_Shipments[Effective_Week],10)</f>
        <v/>
      </c>
      <c r="L8">
        <f>SUMIFS(T_Shipments[Confirmed_Qty],T_Shipments[RM_Code],$A8,T_Shipments[Effective_Week],11)</f>
        <v/>
      </c>
      <c r="M8">
        <f>SUMIFS(T_Shipments[Confirmed_Qty],T_Shipments[RM_Code],$A8,T_Shipments[Effective_Week],12)</f>
        <v/>
      </c>
      <c r="N8">
        <f>SUMIFS(T_Shipments[Confirmed_Qty],T_Shipments[RM_Code],$A8,T_Shipments[Effective_Week],13)</f>
        <v/>
      </c>
      <c r="O8">
        <f>SUMIFS(T_Shipments[Confirmed_Qty],T_Shipments[RM_Code],$A8,T_Shipments[Effective_Week],14)</f>
        <v/>
      </c>
      <c r="P8">
        <f>SUMIFS(T_Shipments[Confirmed_Qty],T_Shipments[RM_Code],$A8,T_Shipments[Effective_Week],15)</f>
        <v/>
      </c>
      <c r="Q8">
        <f>SUMIFS(T_Shipments[Confirmed_Qty],T_Shipments[RM_Code],$A8,T_Shipments[Effective_Week],16)</f>
        <v/>
      </c>
      <c r="R8">
        <f>SUMIFS(T_Shipments[Confirmed_Qty],T_Shipments[RM_Code],$A8,T_Shipments[Effective_Week],17)</f>
        <v/>
      </c>
      <c r="S8">
        <f>SUMIFS(T_Shipments[Confirmed_Qty],T_Shipments[RM_Code],$A8,T_Shipments[Effective_Week],18)</f>
        <v/>
      </c>
      <c r="T8">
        <f>SUMIFS(T_Shipments[Confirmed_Qty],T_Shipments[RM_Code],$A8,T_Shipments[Effective_Week],19)</f>
        <v/>
      </c>
      <c r="U8">
        <f>SUMIFS(T_Shipments[Confirmed_Qty],T_Shipments[RM_Code],$A8,T_Shipments[Effective_Week],20)</f>
        <v/>
      </c>
      <c r="V8">
        <f>SUMIFS(T_Shipments[Confirmed_Qty],T_Shipments[RM_Code],$A8,T_Shipments[Effective_Week],21)</f>
        <v/>
      </c>
      <c r="W8">
        <f>SUMIFS(T_Shipments[Confirmed_Qty],T_Shipments[RM_Code],$A8,T_Shipments[Effective_Week],22)</f>
        <v/>
      </c>
      <c r="X8">
        <f>SUMIFS(T_Shipments[Confirmed_Qty],T_Shipments[RM_Code],$A8,T_Shipments[Effective_Week],23)</f>
        <v/>
      </c>
      <c r="Y8">
        <f>SUMIFS(T_Shipments[Confirmed_Qty],T_Shipments[RM_Code],$A8,T_Shipments[Effective_Week],24)</f>
        <v/>
      </c>
      <c r="Z8">
        <f>SUMIFS(T_Shipments[Confirmed_Qty],T_Shipments[RM_Code],$A8,T_Shipments[Effective_Week],25)</f>
        <v/>
      </c>
      <c r="AA8">
        <f>SUMIFS(T_Shipments[Confirmed_Qty],T_Shipments[RM_Code],$A8,T_Shipments[Effective_Week],26)</f>
        <v/>
      </c>
      <c r="AB8">
        <f>SUMIFS(T_Shipments[Confirmed_Qty],T_Shipments[RM_Code],$A8,T_Shipments[Effective_Week],27)</f>
        <v/>
      </c>
      <c r="AC8">
        <f>SUMIFS(T_Shipments[Confirmed_Qty],T_Shipments[RM_Code],$A8,T_Shipments[Effective_Week],28)</f>
        <v/>
      </c>
      <c r="AD8">
        <f>SUMIFS(T_Shipments[Confirmed_Qty],T_Shipments[RM_Code],$A8,T_Shipments[Effective_Week],29)</f>
        <v/>
      </c>
      <c r="AE8">
        <f>SUMIFS(T_Shipments[Confirmed_Qty],T_Shipments[RM_Code],$A8,T_Shipments[Effective_Week],30)</f>
        <v/>
      </c>
      <c r="AF8">
        <f>SUMIFS(T_Shipments[Confirmed_Qty],T_Shipments[RM_Code],$A8,T_Shipments[Effective_Week],31)</f>
        <v/>
      </c>
      <c r="AG8">
        <f>SUMIFS(T_Shipments[Confirmed_Qty],T_Shipments[RM_Code],$A8,T_Shipments[Effective_Week],32)</f>
        <v/>
      </c>
      <c r="AH8">
        <f>SUMIFS(T_Shipments[Confirmed_Qty],T_Shipments[RM_Code],$A8,T_Shipments[Effective_Week],33)</f>
        <v/>
      </c>
      <c r="AI8">
        <f>SUMIFS(T_Shipments[Confirmed_Qty],T_Shipments[RM_Code],$A8,T_Shipments[Effective_Week],34)</f>
        <v/>
      </c>
      <c r="AJ8">
        <f>SUMIFS(T_Shipments[Confirmed_Qty],T_Shipments[RM_Code],$A8,T_Shipments[Effective_Week],35)</f>
        <v/>
      </c>
      <c r="AK8">
        <f>SUMIFS(T_Shipments[Confirmed_Qty],T_Shipments[RM_Code],$A8,T_Shipments[Effective_Week],36)</f>
        <v/>
      </c>
      <c r="AL8">
        <f>SUMIFS(T_Shipments[Confirmed_Qty],T_Shipments[RM_Code],$A8,T_Shipments[Effective_Week],37)</f>
        <v/>
      </c>
      <c r="AM8">
        <f>SUMIFS(T_Shipments[Confirmed_Qty],T_Shipments[RM_Code],$A8,T_Shipments[Effective_Week],38)</f>
        <v/>
      </c>
      <c r="AN8">
        <f>SUMIFS(T_Shipments[Confirmed_Qty],T_Shipments[RM_Code],$A8,T_Shipments[Effective_Week],39)</f>
        <v/>
      </c>
      <c r="AO8">
        <f>SUMIFS(T_Shipments[Confirmed_Qty],T_Shipments[RM_Code],$A8,T_Shipments[Effective_Week],40)</f>
        <v/>
      </c>
      <c r="AP8">
        <f>SUMIFS(T_Shipments[Confirmed_Qty],T_Shipments[RM_Code],$A8,T_Shipments[Effective_Week],41)</f>
        <v/>
      </c>
      <c r="AQ8">
        <f>SUMIFS(T_Shipments[Confirmed_Qty],T_Shipments[RM_Code],$A8,T_Shipments[Effective_Week],42)</f>
        <v/>
      </c>
      <c r="AR8">
        <f>SUMIFS(T_Shipments[Confirmed_Qty],T_Shipments[RM_Code],$A8,T_Shipments[Effective_Week],43)</f>
        <v/>
      </c>
      <c r="AS8">
        <f>SUMIFS(T_Shipments[Confirmed_Qty],T_Shipments[RM_Code],$A8,T_Shipments[Effective_Week],44)</f>
        <v/>
      </c>
      <c r="AT8">
        <f>SUMIFS(T_Shipments[Confirmed_Qty],T_Shipments[RM_Code],$A8,T_Shipments[Effective_Week],45)</f>
        <v/>
      </c>
      <c r="AU8">
        <f>SUMIFS(T_Shipments[Confirmed_Qty],T_Shipments[RM_Code],$A8,T_Shipments[Effective_Week],46)</f>
        <v/>
      </c>
      <c r="AV8">
        <f>SUMIFS(T_Shipments[Confirmed_Qty],T_Shipments[RM_Code],$A8,T_Shipments[Effective_Week],47)</f>
        <v/>
      </c>
      <c r="AW8">
        <f>SUMIFS(T_Shipments[Confirmed_Qty],T_Shipments[RM_Code],$A8,T_Shipments[Effective_Week],48)</f>
        <v/>
      </c>
      <c r="AX8">
        <f>SUMIFS(T_Shipments[Confirmed_Qty],T_Shipments[RM_Code],$A8,T_Shipments[Effective_Week],49)</f>
        <v/>
      </c>
      <c r="AY8">
        <f>SUMIFS(T_Shipments[Confirmed_Qty],T_Shipments[RM_Code],$A8,T_Shipments[Effective_Week],50)</f>
        <v/>
      </c>
      <c r="AZ8">
        <f>SUMIFS(T_Shipments[Confirmed_Qty],T_Shipments[RM_Code],$A8,T_Shipments[Effective_Week],51)</f>
        <v/>
      </c>
      <c r="BA8">
        <f>SUMIFS(T_Shipments[Confirmed_Qty],T_Shipments[RM_Code],$A8,T_Shipments[Effective_Week],52)</f>
        <v/>
      </c>
      <c r="BB8">
        <f>SUMIFS(T_Shipments[Confirmed_Qty],T_Shipments[RM_Code],$A8,T_Shipments[Effective_Week],53)</f>
        <v/>
      </c>
      <c r="BC8">
        <f>SUMIFS(T_Shipments[Confirmed_Qty],T_Shipments[RM_Code],$A8,T_Shipments[Effective_Week],54)</f>
        <v/>
      </c>
      <c r="BD8">
        <f>SUMIFS(T_Shipments[Confirmed_Qty],T_Shipments[RM_Code],$A8,T_Shipments[Effective_Week],55)</f>
        <v/>
      </c>
      <c r="BE8">
        <f>SUMIFS(T_Shipments[Confirmed_Qty],T_Shipments[RM_Code],$A8,T_Shipments[Effective_Week],56)</f>
        <v/>
      </c>
      <c r="BF8">
        <f>SUMIFS(T_Shipments[Confirmed_Qty],T_Shipments[RM_Code],$A8,T_Shipments[Effective_Week],57)</f>
        <v/>
      </c>
      <c r="BG8">
        <f>SUMIFS(T_Shipments[Confirmed_Qty],T_Shipments[RM_Code],$A8,T_Shipments[Effective_Week],58)</f>
        <v/>
      </c>
      <c r="BH8">
        <f>SUMIFS(T_Shipments[Confirmed_Qty],T_Shipments[RM_Code],$A8,T_Shipments[Effective_Week],59)</f>
        <v/>
      </c>
      <c r="BI8">
        <f>SUMIFS(T_Shipments[Confirmed_Qty],T_Shipments[RM_Code],$A8,T_Shipments[Effective_Week],60)</f>
        <v/>
      </c>
      <c r="BJ8">
        <f>SUMIFS(T_Shipments[Confirmed_Qty],T_Shipments[RM_Code],$A8,T_Shipments[Effective_Week],61)</f>
        <v/>
      </c>
      <c r="BK8">
        <f>SUMIFS(T_Shipments[Confirmed_Qty],T_Shipments[RM_Code],$A8,T_Shipments[Effective_Week],62)</f>
        <v/>
      </c>
      <c r="BL8">
        <f>SUMIFS(T_Shipments[Confirmed_Qty],T_Shipments[RM_Code],$A8,T_Shipments[Effective_Week],63)</f>
        <v/>
      </c>
      <c r="BM8">
        <f>SUMIFS(T_Shipments[Confirmed_Qty],T_Shipments[RM_Code],$A8,T_Shipments[Effective_Week],64)</f>
        <v/>
      </c>
      <c r="BN8">
        <f>SUMIFS(T_Shipments[Confirmed_Qty],T_Shipments[RM_Code],$A8,T_Shipments[Effective_Week],65)</f>
        <v/>
      </c>
      <c r="BO8">
        <f>SUMIFS(T_Shipments[Confirmed_Qty],T_Shipments[RM_Code],$A8,T_Shipments[Effective_Week],66)</f>
        <v/>
      </c>
      <c r="BP8">
        <f>SUMIFS(T_Shipments[Confirmed_Qty],T_Shipments[RM_Code],$A8,T_Shipments[Effective_Week],67)</f>
        <v/>
      </c>
      <c r="BQ8">
        <f>SUMIFS(T_Shipments[Confirmed_Qty],T_Shipments[RM_Code],$A8,T_Shipments[Effective_Week],68)</f>
        <v/>
      </c>
      <c r="BR8">
        <f>SUMIFS(T_Shipments[Confirmed_Qty],T_Shipments[RM_Code],$A8,T_Shipments[Effective_Week],69)</f>
        <v/>
      </c>
      <c r="BS8">
        <f>SUMIFS(T_Shipments[Confirmed_Qty],T_Shipments[RM_Code],$A8,T_Shipments[Effective_Week],70)</f>
        <v/>
      </c>
      <c r="BT8">
        <f>SUMIFS(T_Shipments[Confirmed_Qty],T_Shipments[RM_Code],$A8,T_Shipments[Effective_Week],71)</f>
        <v/>
      </c>
      <c r="BU8">
        <f>SUMIFS(T_Shipments[Confirmed_Qty],T_Shipments[RM_Code],$A8,T_Shipments[Effective_Week],72)</f>
        <v/>
      </c>
      <c r="BV8">
        <f>SUMIFS(T_Shipments[Confirmed_Qty],T_Shipments[RM_Code],$A8,T_Shipments[Effective_Week],73)</f>
        <v/>
      </c>
      <c r="BW8">
        <f>SUMIFS(T_Shipments[Confirmed_Qty],T_Shipments[RM_Code],$A8,T_Shipments[Effective_Week],74)</f>
        <v/>
      </c>
      <c r="BX8">
        <f>SUMIFS(T_Shipments[Confirmed_Qty],T_Shipments[RM_Code],$A8,T_Shipments[Effective_Week],75)</f>
        <v/>
      </c>
      <c r="BY8">
        <f>SUMIFS(T_Shipments[Confirmed_Qty],T_Shipments[RM_Code],$A8,T_Shipments[Effective_Week],76)</f>
        <v/>
      </c>
      <c r="BZ8">
        <f>SUMIFS(T_Shipments[Confirmed_Qty],T_Shipments[RM_Code],$A8,T_Shipments[Effective_Week],77)</f>
        <v/>
      </c>
      <c r="CA8">
        <f>SUMIFS(T_Shipments[Confirmed_Qty],T_Shipments[RM_Code],$A8,T_Shipments[Effective_Week],78)</f>
        <v/>
      </c>
      <c r="CB8">
        <f>SUMIFS(T_Shipments[Confirmed_Qty],T_Shipments[RM_Code],$A8,T_Shipments[Effective_Week],79)</f>
        <v/>
      </c>
      <c r="CC8">
        <f>SUMIFS(T_Shipments[Confirmed_Qty],T_Shipments[RM_Code],$A8,T_Shipments[Effective_Week],80)</f>
        <v/>
      </c>
      <c r="CD8">
        <f>SUMIFS(T_Shipments[Confirmed_Qty],T_Shipments[RM_Code],$A8,T_Shipments[Effective_Week],81)</f>
        <v/>
      </c>
      <c r="CE8">
        <f>SUMIFS(T_Shipments[Confirmed_Qty],T_Shipments[RM_Code],$A8,T_Shipments[Effective_Week],82)</f>
        <v/>
      </c>
      <c r="CF8">
        <f>SUMIFS(T_Shipments[Confirmed_Qty],T_Shipments[RM_Code],$A8,T_Shipments[Effective_Week],83)</f>
        <v/>
      </c>
      <c r="CG8">
        <f>SUMIFS(T_Shipments[Confirmed_Qty],T_Shipments[RM_Code],$A8,T_Shipments[Effective_Week],84)</f>
        <v/>
      </c>
      <c r="CH8">
        <f>SUMIFS(T_Shipments[Confirmed_Qty],T_Shipments[RM_Code],$A8,T_Shipments[Effective_Week],85)</f>
        <v/>
      </c>
      <c r="CI8">
        <f>SUMIFS(T_Shipments[Confirmed_Qty],T_Shipments[RM_Code],$A8,T_Shipments[Effective_Week],86)</f>
        <v/>
      </c>
      <c r="CJ8">
        <f>SUMIFS(T_Shipments[Confirmed_Qty],T_Shipments[RM_Code],$A8,T_Shipments[Effective_Week],87)</f>
        <v/>
      </c>
      <c r="CK8">
        <f>SUMIFS(T_Shipments[Confirmed_Qty],T_Shipments[RM_Code],$A8,T_Shipments[Effective_Week],88)</f>
        <v/>
      </c>
      <c r="CL8">
        <f>SUMIFS(T_Shipments[Confirmed_Qty],T_Shipments[RM_Code],$A8,T_Shipments[Effective_Week],89)</f>
        <v/>
      </c>
      <c r="CM8">
        <f>SUMIFS(T_Shipments[Confirmed_Qty],T_Shipments[RM_Code],$A8,T_Shipments[Effective_Week],90)</f>
        <v/>
      </c>
      <c r="CN8">
        <f>SUMIFS(T_Shipments[Confirmed_Qty],T_Shipments[RM_Code],$A8,T_Shipments[Effective_Week],91)</f>
        <v/>
      </c>
      <c r="CO8">
        <f>SUMIFS(T_Shipments[Confirmed_Qty],T_Shipments[RM_Code],$A8,T_Shipments[Effective_Week],92)</f>
        <v/>
      </c>
      <c r="CP8">
        <f>SUMIFS(T_Shipments[Confirmed_Qty],T_Shipments[RM_Code],$A8,T_Shipments[Effective_Week],93)</f>
        <v/>
      </c>
      <c r="CQ8">
        <f>SUMIFS(T_Shipments[Confirmed_Qty],T_Shipments[RM_Code],$A8,T_Shipments[Effective_Week],94)</f>
        <v/>
      </c>
      <c r="CR8">
        <f>SUMIFS(T_Shipments[Confirmed_Qty],T_Shipments[RM_Code],$A8,T_Shipments[Effective_Week],95)</f>
        <v/>
      </c>
      <c r="CS8">
        <f>SUMIFS(T_Shipments[Confirmed_Qty],T_Shipments[RM_Code],$A8,T_Shipments[Effective_Week],96)</f>
        <v/>
      </c>
      <c r="CT8">
        <f>SUMIFS(T_Shipments[Confirmed_Qty],T_Shipments[RM_Code],$A8,T_Shipments[Effective_Week],97)</f>
        <v/>
      </c>
      <c r="CU8">
        <f>SUMIFS(T_Shipments[Confirmed_Qty],T_Shipments[RM_Code],$A8,T_Shipments[Effective_Week],98)</f>
        <v/>
      </c>
      <c r="CV8">
        <f>SUMIFS(T_Shipments[Confirmed_Qty],T_Shipments[RM_Code],$A8,T_Shipments[Effective_Week],99)</f>
        <v/>
      </c>
      <c r="CW8">
        <f>SUMIFS(T_Shipments[Confirmed_Qty],T_Shipments[RM_Code],$A8,T_Shipments[Effective_Week],100)</f>
        <v/>
      </c>
      <c r="CX8">
        <f>SUMIFS(T_Shipments[Confirmed_Qty],T_Shipments[RM_Code],$A8,T_Shipments[Effective_Week],101)</f>
        <v/>
      </c>
      <c r="CY8">
        <f>SUMIFS(T_Shipments[Confirmed_Qty],T_Shipments[RM_Code],$A8,T_Shipments[Effective_Week],102)</f>
        <v/>
      </c>
      <c r="CZ8">
        <f>SUMIFS(T_Shipments[Confirmed_Qty],T_Shipments[RM_Code],$A8,T_Shipments[Effective_Week],103)</f>
        <v/>
      </c>
      <c r="DA8">
        <f>SUMIFS(T_Shipments[Confirmed_Qty],T_Shipments[RM_Code],$A8,T_Shipments[Effective_Week],104)</f>
        <v/>
      </c>
    </row>
    <row r="9">
      <c r="A9" t="inlineStr">
        <is>
          <t>CHEM-1720</t>
        </is>
      </c>
      <c r="B9">
        <f>SUMIFS(T_Shipments[Confirmed_Qty],T_Shipments[RM_Code],$A9,T_Shipments[Effective_Week],1)</f>
        <v/>
      </c>
      <c r="C9">
        <f>SUMIFS(T_Shipments[Confirmed_Qty],T_Shipments[RM_Code],$A9,T_Shipments[Effective_Week],2)</f>
        <v/>
      </c>
      <c r="D9">
        <f>SUMIFS(T_Shipments[Confirmed_Qty],T_Shipments[RM_Code],$A9,T_Shipments[Effective_Week],3)</f>
        <v/>
      </c>
      <c r="E9">
        <f>SUMIFS(T_Shipments[Confirmed_Qty],T_Shipments[RM_Code],$A9,T_Shipments[Effective_Week],4)</f>
        <v/>
      </c>
      <c r="F9">
        <f>SUMIFS(T_Shipments[Confirmed_Qty],T_Shipments[RM_Code],$A9,T_Shipments[Effective_Week],5)</f>
        <v/>
      </c>
      <c r="G9">
        <f>SUMIFS(T_Shipments[Confirmed_Qty],T_Shipments[RM_Code],$A9,T_Shipments[Effective_Week],6)</f>
        <v/>
      </c>
      <c r="H9">
        <f>SUMIFS(T_Shipments[Confirmed_Qty],T_Shipments[RM_Code],$A9,T_Shipments[Effective_Week],7)</f>
        <v/>
      </c>
      <c r="I9">
        <f>SUMIFS(T_Shipments[Confirmed_Qty],T_Shipments[RM_Code],$A9,T_Shipments[Effective_Week],8)</f>
        <v/>
      </c>
      <c r="J9">
        <f>SUMIFS(T_Shipments[Confirmed_Qty],T_Shipments[RM_Code],$A9,T_Shipments[Effective_Week],9)</f>
        <v/>
      </c>
      <c r="K9">
        <f>SUMIFS(T_Shipments[Confirmed_Qty],T_Shipments[RM_Code],$A9,T_Shipments[Effective_Week],10)</f>
        <v/>
      </c>
      <c r="L9">
        <f>SUMIFS(T_Shipments[Confirmed_Qty],T_Shipments[RM_Code],$A9,T_Shipments[Effective_Week],11)</f>
        <v/>
      </c>
      <c r="M9">
        <f>SUMIFS(T_Shipments[Confirmed_Qty],T_Shipments[RM_Code],$A9,T_Shipments[Effective_Week],12)</f>
        <v/>
      </c>
      <c r="N9">
        <f>SUMIFS(T_Shipments[Confirmed_Qty],T_Shipments[RM_Code],$A9,T_Shipments[Effective_Week],13)</f>
        <v/>
      </c>
      <c r="O9">
        <f>SUMIFS(T_Shipments[Confirmed_Qty],T_Shipments[RM_Code],$A9,T_Shipments[Effective_Week],14)</f>
        <v/>
      </c>
      <c r="P9">
        <f>SUMIFS(T_Shipments[Confirmed_Qty],T_Shipments[RM_Code],$A9,T_Shipments[Effective_Week],15)</f>
        <v/>
      </c>
      <c r="Q9">
        <f>SUMIFS(T_Shipments[Confirmed_Qty],T_Shipments[RM_Code],$A9,T_Shipments[Effective_Week],16)</f>
        <v/>
      </c>
      <c r="R9">
        <f>SUMIFS(T_Shipments[Confirmed_Qty],T_Shipments[RM_Code],$A9,T_Shipments[Effective_Week],17)</f>
        <v/>
      </c>
      <c r="S9">
        <f>SUMIFS(T_Shipments[Confirmed_Qty],T_Shipments[RM_Code],$A9,T_Shipments[Effective_Week],18)</f>
        <v/>
      </c>
      <c r="T9">
        <f>SUMIFS(T_Shipments[Confirmed_Qty],T_Shipments[RM_Code],$A9,T_Shipments[Effective_Week],19)</f>
        <v/>
      </c>
      <c r="U9">
        <f>SUMIFS(T_Shipments[Confirmed_Qty],T_Shipments[RM_Code],$A9,T_Shipments[Effective_Week],20)</f>
        <v/>
      </c>
      <c r="V9">
        <f>SUMIFS(T_Shipments[Confirmed_Qty],T_Shipments[RM_Code],$A9,T_Shipments[Effective_Week],21)</f>
        <v/>
      </c>
      <c r="W9">
        <f>SUMIFS(T_Shipments[Confirmed_Qty],T_Shipments[RM_Code],$A9,T_Shipments[Effective_Week],22)</f>
        <v/>
      </c>
      <c r="X9">
        <f>SUMIFS(T_Shipments[Confirmed_Qty],T_Shipments[RM_Code],$A9,T_Shipments[Effective_Week],23)</f>
        <v/>
      </c>
      <c r="Y9">
        <f>SUMIFS(T_Shipments[Confirmed_Qty],T_Shipments[RM_Code],$A9,T_Shipments[Effective_Week],24)</f>
        <v/>
      </c>
      <c r="Z9">
        <f>SUMIFS(T_Shipments[Confirmed_Qty],T_Shipments[RM_Code],$A9,T_Shipments[Effective_Week],25)</f>
        <v/>
      </c>
      <c r="AA9">
        <f>SUMIFS(T_Shipments[Confirmed_Qty],T_Shipments[RM_Code],$A9,T_Shipments[Effective_Week],26)</f>
        <v/>
      </c>
      <c r="AB9">
        <f>SUMIFS(T_Shipments[Confirmed_Qty],T_Shipments[RM_Code],$A9,T_Shipments[Effective_Week],27)</f>
        <v/>
      </c>
      <c r="AC9">
        <f>SUMIFS(T_Shipments[Confirmed_Qty],T_Shipments[RM_Code],$A9,T_Shipments[Effective_Week],28)</f>
        <v/>
      </c>
      <c r="AD9">
        <f>SUMIFS(T_Shipments[Confirmed_Qty],T_Shipments[RM_Code],$A9,T_Shipments[Effective_Week],29)</f>
        <v/>
      </c>
      <c r="AE9">
        <f>SUMIFS(T_Shipments[Confirmed_Qty],T_Shipments[RM_Code],$A9,T_Shipments[Effective_Week],30)</f>
        <v/>
      </c>
      <c r="AF9">
        <f>SUMIFS(T_Shipments[Confirmed_Qty],T_Shipments[RM_Code],$A9,T_Shipments[Effective_Week],31)</f>
        <v/>
      </c>
      <c r="AG9">
        <f>SUMIFS(T_Shipments[Confirmed_Qty],T_Shipments[RM_Code],$A9,T_Shipments[Effective_Week],32)</f>
        <v/>
      </c>
      <c r="AH9">
        <f>SUMIFS(T_Shipments[Confirmed_Qty],T_Shipments[RM_Code],$A9,T_Shipments[Effective_Week],33)</f>
        <v/>
      </c>
      <c r="AI9">
        <f>SUMIFS(T_Shipments[Confirmed_Qty],T_Shipments[RM_Code],$A9,T_Shipments[Effective_Week],34)</f>
        <v/>
      </c>
      <c r="AJ9">
        <f>SUMIFS(T_Shipments[Confirmed_Qty],T_Shipments[RM_Code],$A9,T_Shipments[Effective_Week],35)</f>
        <v/>
      </c>
      <c r="AK9">
        <f>SUMIFS(T_Shipments[Confirmed_Qty],T_Shipments[RM_Code],$A9,T_Shipments[Effective_Week],36)</f>
        <v/>
      </c>
      <c r="AL9">
        <f>SUMIFS(T_Shipments[Confirmed_Qty],T_Shipments[RM_Code],$A9,T_Shipments[Effective_Week],37)</f>
        <v/>
      </c>
      <c r="AM9">
        <f>SUMIFS(T_Shipments[Confirmed_Qty],T_Shipments[RM_Code],$A9,T_Shipments[Effective_Week],38)</f>
        <v/>
      </c>
      <c r="AN9">
        <f>SUMIFS(T_Shipments[Confirmed_Qty],T_Shipments[RM_Code],$A9,T_Shipments[Effective_Week],39)</f>
        <v/>
      </c>
      <c r="AO9">
        <f>SUMIFS(T_Shipments[Confirmed_Qty],T_Shipments[RM_Code],$A9,T_Shipments[Effective_Week],40)</f>
        <v/>
      </c>
      <c r="AP9">
        <f>SUMIFS(T_Shipments[Confirmed_Qty],T_Shipments[RM_Code],$A9,T_Shipments[Effective_Week],41)</f>
        <v/>
      </c>
      <c r="AQ9">
        <f>SUMIFS(T_Shipments[Confirmed_Qty],T_Shipments[RM_Code],$A9,T_Shipments[Effective_Week],42)</f>
        <v/>
      </c>
      <c r="AR9">
        <f>SUMIFS(T_Shipments[Confirmed_Qty],T_Shipments[RM_Code],$A9,T_Shipments[Effective_Week],43)</f>
        <v/>
      </c>
      <c r="AS9">
        <f>SUMIFS(T_Shipments[Confirmed_Qty],T_Shipments[RM_Code],$A9,T_Shipments[Effective_Week],44)</f>
        <v/>
      </c>
      <c r="AT9">
        <f>SUMIFS(T_Shipments[Confirmed_Qty],T_Shipments[RM_Code],$A9,T_Shipments[Effective_Week],45)</f>
        <v/>
      </c>
      <c r="AU9">
        <f>SUMIFS(T_Shipments[Confirmed_Qty],T_Shipments[RM_Code],$A9,T_Shipments[Effective_Week],46)</f>
        <v/>
      </c>
      <c r="AV9">
        <f>SUMIFS(T_Shipments[Confirmed_Qty],T_Shipments[RM_Code],$A9,T_Shipments[Effective_Week],47)</f>
        <v/>
      </c>
      <c r="AW9">
        <f>SUMIFS(T_Shipments[Confirmed_Qty],T_Shipments[RM_Code],$A9,T_Shipments[Effective_Week],48)</f>
        <v/>
      </c>
      <c r="AX9">
        <f>SUMIFS(T_Shipments[Confirmed_Qty],T_Shipments[RM_Code],$A9,T_Shipments[Effective_Week],49)</f>
        <v/>
      </c>
      <c r="AY9">
        <f>SUMIFS(T_Shipments[Confirmed_Qty],T_Shipments[RM_Code],$A9,T_Shipments[Effective_Week],50)</f>
        <v/>
      </c>
      <c r="AZ9">
        <f>SUMIFS(T_Shipments[Confirmed_Qty],T_Shipments[RM_Code],$A9,T_Shipments[Effective_Week],51)</f>
        <v/>
      </c>
      <c r="BA9">
        <f>SUMIFS(T_Shipments[Confirmed_Qty],T_Shipments[RM_Code],$A9,T_Shipments[Effective_Week],52)</f>
        <v/>
      </c>
      <c r="BB9">
        <f>SUMIFS(T_Shipments[Confirmed_Qty],T_Shipments[RM_Code],$A9,T_Shipments[Effective_Week],53)</f>
        <v/>
      </c>
      <c r="BC9">
        <f>SUMIFS(T_Shipments[Confirmed_Qty],T_Shipments[RM_Code],$A9,T_Shipments[Effective_Week],54)</f>
        <v/>
      </c>
      <c r="BD9">
        <f>SUMIFS(T_Shipments[Confirmed_Qty],T_Shipments[RM_Code],$A9,T_Shipments[Effective_Week],55)</f>
        <v/>
      </c>
      <c r="BE9">
        <f>SUMIFS(T_Shipments[Confirmed_Qty],T_Shipments[RM_Code],$A9,T_Shipments[Effective_Week],56)</f>
        <v/>
      </c>
      <c r="BF9">
        <f>SUMIFS(T_Shipments[Confirmed_Qty],T_Shipments[RM_Code],$A9,T_Shipments[Effective_Week],57)</f>
        <v/>
      </c>
      <c r="BG9">
        <f>SUMIFS(T_Shipments[Confirmed_Qty],T_Shipments[RM_Code],$A9,T_Shipments[Effective_Week],58)</f>
        <v/>
      </c>
      <c r="BH9">
        <f>SUMIFS(T_Shipments[Confirmed_Qty],T_Shipments[RM_Code],$A9,T_Shipments[Effective_Week],59)</f>
        <v/>
      </c>
      <c r="BI9">
        <f>SUMIFS(T_Shipments[Confirmed_Qty],T_Shipments[RM_Code],$A9,T_Shipments[Effective_Week],60)</f>
        <v/>
      </c>
      <c r="BJ9">
        <f>SUMIFS(T_Shipments[Confirmed_Qty],T_Shipments[RM_Code],$A9,T_Shipments[Effective_Week],61)</f>
        <v/>
      </c>
      <c r="BK9">
        <f>SUMIFS(T_Shipments[Confirmed_Qty],T_Shipments[RM_Code],$A9,T_Shipments[Effective_Week],62)</f>
        <v/>
      </c>
      <c r="BL9">
        <f>SUMIFS(T_Shipments[Confirmed_Qty],T_Shipments[RM_Code],$A9,T_Shipments[Effective_Week],63)</f>
        <v/>
      </c>
      <c r="BM9">
        <f>SUMIFS(T_Shipments[Confirmed_Qty],T_Shipments[RM_Code],$A9,T_Shipments[Effective_Week],64)</f>
        <v/>
      </c>
      <c r="BN9">
        <f>SUMIFS(T_Shipments[Confirmed_Qty],T_Shipments[RM_Code],$A9,T_Shipments[Effective_Week],65)</f>
        <v/>
      </c>
      <c r="BO9">
        <f>SUMIFS(T_Shipments[Confirmed_Qty],T_Shipments[RM_Code],$A9,T_Shipments[Effective_Week],66)</f>
        <v/>
      </c>
      <c r="BP9">
        <f>SUMIFS(T_Shipments[Confirmed_Qty],T_Shipments[RM_Code],$A9,T_Shipments[Effective_Week],67)</f>
        <v/>
      </c>
      <c r="BQ9">
        <f>SUMIFS(T_Shipments[Confirmed_Qty],T_Shipments[RM_Code],$A9,T_Shipments[Effective_Week],68)</f>
        <v/>
      </c>
      <c r="BR9">
        <f>SUMIFS(T_Shipments[Confirmed_Qty],T_Shipments[RM_Code],$A9,T_Shipments[Effective_Week],69)</f>
        <v/>
      </c>
      <c r="BS9">
        <f>SUMIFS(T_Shipments[Confirmed_Qty],T_Shipments[RM_Code],$A9,T_Shipments[Effective_Week],70)</f>
        <v/>
      </c>
      <c r="BT9">
        <f>SUMIFS(T_Shipments[Confirmed_Qty],T_Shipments[RM_Code],$A9,T_Shipments[Effective_Week],71)</f>
        <v/>
      </c>
      <c r="BU9">
        <f>SUMIFS(T_Shipments[Confirmed_Qty],T_Shipments[RM_Code],$A9,T_Shipments[Effective_Week],72)</f>
        <v/>
      </c>
      <c r="BV9">
        <f>SUMIFS(T_Shipments[Confirmed_Qty],T_Shipments[RM_Code],$A9,T_Shipments[Effective_Week],73)</f>
        <v/>
      </c>
      <c r="BW9">
        <f>SUMIFS(T_Shipments[Confirmed_Qty],T_Shipments[RM_Code],$A9,T_Shipments[Effective_Week],74)</f>
        <v/>
      </c>
      <c r="BX9">
        <f>SUMIFS(T_Shipments[Confirmed_Qty],T_Shipments[RM_Code],$A9,T_Shipments[Effective_Week],75)</f>
        <v/>
      </c>
      <c r="BY9">
        <f>SUMIFS(T_Shipments[Confirmed_Qty],T_Shipments[RM_Code],$A9,T_Shipments[Effective_Week],76)</f>
        <v/>
      </c>
      <c r="BZ9">
        <f>SUMIFS(T_Shipments[Confirmed_Qty],T_Shipments[RM_Code],$A9,T_Shipments[Effective_Week],77)</f>
        <v/>
      </c>
      <c r="CA9">
        <f>SUMIFS(T_Shipments[Confirmed_Qty],T_Shipments[RM_Code],$A9,T_Shipments[Effective_Week],78)</f>
        <v/>
      </c>
      <c r="CB9">
        <f>SUMIFS(T_Shipments[Confirmed_Qty],T_Shipments[RM_Code],$A9,T_Shipments[Effective_Week],79)</f>
        <v/>
      </c>
      <c r="CC9">
        <f>SUMIFS(T_Shipments[Confirmed_Qty],T_Shipments[RM_Code],$A9,T_Shipments[Effective_Week],80)</f>
        <v/>
      </c>
      <c r="CD9">
        <f>SUMIFS(T_Shipments[Confirmed_Qty],T_Shipments[RM_Code],$A9,T_Shipments[Effective_Week],81)</f>
        <v/>
      </c>
      <c r="CE9">
        <f>SUMIFS(T_Shipments[Confirmed_Qty],T_Shipments[RM_Code],$A9,T_Shipments[Effective_Week],82)</f>
        <v/>
      </c>
      <c r="CF9">
        <f>SUMIFS(T_Shipments[Confirmed_Qty],T_Shipments[RM_Code],$A9,T_Shipments[Effective_Week],83)</f>
        <v/>
      </c>
      <c r="CG9">
        <f>SUMIFS(T_Shipments[Confirmed_Qty],T_Shipments[RM_Code],$A9,T_Shipments[Effective_Week],84)</f>
        <v/>
      </c>
      <c r="CH9">
        <f>SUMIFS(T_Shipments[Confirmed_Qty],T_Shipments[RM_Code],$A9,T_Shipments[Effective_Week],85)</f>
        <v/>
      </c>
      <c r="CI9">
        <f>SUMIFS(T_Shipments[Confirmed_Qty],T_Shipments[RM_Code],$A9,T_Shipments[Effective_Week],86)</f>
        <v/>
      </c>
      <c r="CJ9">
        <f>SUMIFS(T_Shipments[Confirmed_Qty],T_Shipments[RM_Code],$A9,T_Shipments[Effective_Week],87)</f>
        <v/>
      </c>
      <c r="CK9">
        <f>SUMIFS(T_Shipments[Confirmed_Qty],T_Shipments[RM_Code],$A9,T_Shipments[Effective_Week],88)</f>
        <v/>
      </c>
      <c r="CL9">
        <f>SUMIFS(T_Shipments[Confirmed_Qty],T_Shipments[RM_Code],$A9,T_Shipments[Effective_Week],89)</f>
        <v/>
      </c>
      <c r="CM9">
        <f>SUMIFS(T_Shipments[Confirmed_Qty],T_Shipments[RM_Code],$A9,T_Shipments[Effective_Week],90)</f>
        <v/>
      </c>
      <c r="CN9">
        <f>SUMIFS(T_Shipments[Confirmed_Qty],T_Shipments[RM_Code],$A9,T_Shipments[Effective_Week],91)</f>
        <v/>
      </c>
      <c r="CO9">
        <f>SUMIFS(T_Shipments[Confirmed_Qty],T_Shipments[RM_Code],$A9,T_Shipments[Effective_Week],92)</f>
        <v/>
      </c>
      <c r="CP9">
        <f>SUMIFS(T_Shipments[Confirmed_Qty],T_Shipments[RM_Code],$A9,T_Shipments[Effective_Week],93)</f>
        <v/>
      </c>
      <c r="CQ9">
        <f>SUMIFS(T_Shipments[Confirmed_Qty],T_Shipments[RM_Code],$A9,T_Shipments[Effective_Week],94)</f>
        <v/>
      </c>
      <c r="CR9">
        <f>SUMIFS(T_Shipments[Confirmed_Qty],T_Shipments[RM_Code],$A9,T_Shipments[Effective_Week],95)</f>
        <v/>
      </c>
      <c r="CS9">
        <f>SUMIFS(T_Shipments[Confirmed_Qty],T_Shipments[RM_Code],$A9,T_Shipments[Effective_Week],96)</f>
        <v/>
      </c>
      <c r="CT9">
        <f>SUMIFS(T_Shipments[Confirmed_Qty],T_Shipments[RM_Code],$A9,T_Shipments[Effective_Week],97)</f>
        <v/>
      </c>
      <c r="CU9">
        <f>SUMIFS(T_Shipments[Confirmed_Qty],T_Shipments[RM_Code],$A9,T_Shipments[Effective_Week],98)</f>
        <v/>
      </c>
      <c r="CV9">
        <f>SUMIFS(T_Shipments[Confirmed_Qty],T_Shipments[RM_Code],$A9,T_Shipments[Effective_Week],99)</f>
        <v/>
      </c>
      <c r="CW9">
        <f>SUMIFS(T_Shipments[Confirmed_Qty],T_Shipments[RM_Code],$A9,T_Shipments[Effective_Week],100)</f>
        <v/>
      </c>
      <c r="CX9">
        <f>SUMIFS(T_Shipments[Confirmed_Qty],T_Shipments[RM_Code],$A9,T_Shipments[Effective_Week],101)</f>
        <v/>
      </c>
      <c r="CY9">
        <f>SUMIFS(T_Shipments[Confirmed_Qty],T_Shipments[RM_Code],$A9,T_Shipments[Effective_Week],102)</f>
        <v/>
      </c>
      <c r="CZ9">
        <f>SUMIFS(T_Shipments[Confirmed_Qty],T_Shipments[RM_Code],$A9,T_Shipments[Effective_Week],103)</f>
        <v/>
      </c>
      <c r="DA9">
        <f>SUMIFS(T_Shipments[Confirmed_Qty],T_Shipments[RM_Code],$A9,T_Shipments[Effective_Week],104)</f>
        <v/>
      </c>
    </row>
    <row r="10">
      <c r="A10" t="inlineStr">
        <is>
          <t>CHEM-1440</t>
        </is>
      </c>
      <c r="B10">
        <f>SUMIFS(T_Shipments[Confirmed_Qty],T_Shipments[RM_Code],$A10,T_Shipments[Effective_Week],1)</f>
        <v/>
      </c>
      <c r="C10">
        <f>SUMIFS(T_Shipments[Confirmed_Qty],T_Shipments[RM_Code],$A10,T_Shipments[Effective_Week],2)</f>
        <v/>
      </c>
      <c r="D10">
        <f>SUMIFS(T_Shipments[Confirmed_Qty],T_Shipments[RM_Code],$A10,T_Shipments[Effective_Week],3)</f>
        <v/>
      </c>
      <c r="E10">
        <f>SUMIFS(T_Shipments[Confirmed_Qty],T_Shipments[RM_Code],$A10,T_Shipments[Effective_Week],4)</f>
        <v/>
      </c>
      <c r="F10">
        <f>SUMIFS(T_Shipments[Confirmed_Qty],T_Shipments[RM_Code],$A10,T_Shipments[Effective_Week],5)</f>
        <v/>
      </c>
      <c r="G10">
        <f>SUMIFS(T_Shipments[Confirmed_Qty],T_Shipments[RM_Code],$A10,T_Shipments[Effective_Week],6)</f>
        <v/>
      </c>
      <c r="H10">
        <f>SUMIFS(T_Shipments[Confirmed_Qty],T_Shipments[RM_Code],$A10,T_Shipments[Effective_Week],7)</f>
        <v/>
      </c>
      <c r="I10">
        <f>SUMIFS(T_Shipments[Confirmed_Qty],T_Shipments[RM_Code],$A10,T_Shipments[Effective_Week],8)</f>
        <v/>
      </c>
      <c r="J10">
        <f>SUMIFS(T_Shipments[Confirmed_Qty],T_Shipments[RM_Code],$A10,T_Shipments[Effective_Week],9)</f>
        <v/>
      </c>
      <c r="K10">
        <f>SUMIFS(T_Shipments[Confirmed_Qty],T_Shipments[RM_Code],$A10,T_Shipments[Effective_Week],10)</f>
        <v/>
      </c>
      <c r="L10">
        <f>SUMIFS(T_Shipments[Confirmed_Qty],T_Shipments[RM_Code],$A10,T_Shipments[Effective_Week],11)</f>
        <v/>
      </c>
      <c r="M10">
        <f>SUMIFS(T_Shipments[Confirmed_Qty],T_Shipments[RM_Code],$A10,T_Shipments[Effective_Week],12)</f>
        <v/>
      </c>
      <c r="N10">
        <f>SUMIFS(T_Shipments[Confirmed_Qty],T_Shipments[RM_Code],$A10,T_Shipments[Effective_Week],13)</f>
        <v/>
      </c>
      <c r="O10">
        <f>SUMIFS(T_Shipments[Confirmed_Qty],T_Shipments[RM_Code],$A10,T_Shipments[Effective_Week],14)</f>
        <v/>
      </c>
      <c r="P10">
        <f>SUMIFS(T_Shipments[Confirmed_Qty],T_Shipments[RM_Code],$A10,T_Shipments[Effective_Week],15)</f>
        <v/>
      </c>
      <c r="Q10">
        <f>SUMIFS(T_Shipments[Confirmed_Qty],T_Shipments[RM_Code],$A10,T_Shipments[Effective_Week],16)</f>
        <v/>
      </c>
      <c r="R10">
        <f>SUMIFS(T_Shipments[Confirmed_Qty],T_Shipments[RM_Code],$A10,T_Shipments[Effective_Week],17)</f>
        <v/>
      </c>
      <c r="S10">
        <f>SUMIFS(T_Shipments[Confirmed_Qty],T_Shipments[RM_Code],$A10,T_Shipments[Effective_Week],18)</f>
        <v/>
      </c>
      <c r="T10">
        <f>SUMIFS(T_Shipments[Confirmed_Qty],T_Shipments[RM_Code],$A10,T_Shipments[Effective_Week],19)</f>
        <v/>
      </c>
      <c r="U10">
        <f>SUMIFS(T_Shipments[Confirmed_Qty],T_Shipments[RM_Code],$A10,T_Shipments[Effective_Week],20)</f>
        <v/>
      </c>
      <c r="V10">
        <f>SUMIFS(T_Shipments[Confirmed_Qty],T_Shipments[RM_Code],$A10,T_Shipments[Effective_Week],21)</f>
        <v/>
      </c>
      <c r="W10">
        <f>SUMIFS(T_Shipments[Confirmed_Qty],T_Shipments[RM_Code],$A10,T_Shipments[Effective_Week],22)</f>
        <v/>
      </c>
      <c r="X10">
        <f>SUMIFS(T_Shipments[Confirmed_Qty],T_Shipments[RM_Code],$A10,T_Shipments[Effective_Week],23)</f>
        <v/>
      </c>
      <c r="Y10">
        <f>SUMIFS(T_Shipments[Confirmed_Qty],T_Shipments[RM_Code],$A10,T_Shipments[Effective_Week],24)</f>
        <v/>
      </c>
      <c r="Z10">
        <f>SUMIFS(T_Shipments[Confirmed_Qty],T_Shipments[RM_Code],$A10,T_Shipments[Effective_Week],25)</f>
        <v/>
      </c>
      <c r="AA10">
        <f>SUMIFS(T_Shipments[Confirmed_Qty],T_Shipments[RM_Code],$A10,T_Shipments[Effective_Week],26)</f>
        <v/>
      </c>
      <c r="AB10">
        <f>SUMIFS(T_Shipments[Confirmed_Qty],T_Shipments[RM_Code],$A10,T_Shipments[Effective_Week],27)</f>
        <v/>
      </c>
      <c r="AC10">
        <f>SUMIFS(T_Shipments[Confirmed_Qty],T_Shipments[RM_Code],$A10,T_Shipments[Effective_Week],28)</f>
        <v/>
      </c>
      <c r="AD10">
        <f>SUMIFS(T_Shipments[Confirmed_Qty],T_Shipments[RM_Code],$A10,T_Shipments[Effective_Week],29)</f>
        <v/>
      </c>
      <c r="AE10">
        <f>SUMIFS(T_Shipments[Confirmed_Qty],T_Shipments[RM_Code],$A10,T_Shipments[Effective_Week],30)</f>
        <v/>
      </c>
      <c r="AF10">
        <f>SUMIFS(T_Shipments[Confirmed_Qty],T_Shipments[RM_Code],$A10,T_Shipments[Effective_Week],31)</f>
        <v/>
      </c>
      <c r="AG10">
        <f>SUMIFS(T_Shipments[Confirmed_Qty],T_Shipments[RM_Code],$A10,T_Shipments[Effective_Week],32)</f>
        <v/>
      </c>
      <c r="AH10">
        <f>SUMIFS(T_Shipments[Confirmed_Qty],T_Shipments[RM_Code],$A10,T_Shipments[Effective_Week],33)</f>
        <v/>
      </c>
      <c r="AI10">
        <f>SUMIFS(T_Shipments[Confirmed_Qty],T_Shipments[RM_Code],$A10,T_Shipments[Effective_Week],34)</f>
        <v/>
      </c>
      <c r="AJ10">
        <f>SUMIFS(T_Shipments[Confirmed_Qty],T_Shipments[RM_Code],$A10,T_Shipments[Effective_Week],35)</f>
        <v/>
      </c>
      <c r="AK10">
        <f>SUMIFS(T_Shipments[Confirmed_Qty],T_Shipments[RM_Code],$A10,T_Shipments[Effective_Week],36)</f>
        <v/>
      </c>
      <c r="AL10">
        <f>SUMIFS(T_Shipments[Confirmed_Qty],T_Shipments[RM_Code],$A10,T_Shipments[Effective_Week],37)</f>
        <v/>
      </c>
      <c r="AM10">
        <f>SUMIFS(T_Shipments[Confirmed_Qty],T_Shipments[RM_Code],$A10,T_Shipments[Effective_Week],38)</f>
        <v/>
      </c>
      <c r="AN10">
        <f>SUMIFS(T_Shipments[Confirmed_Qty],T_Shipments[RM_Code],$A10,T_Shipments[Effective_Week],39)</f>
        <v/>
      </c>
      <c r="AO10">
        <f>SUMIFS(T_Shipments[Confirmed_Qty],T_Shipments[RM_Code],$A10,T_Shipments[Effective_Week],40)</f>
        <v/>
      </c>
      <c r="AP10">
        <f>SUMIFS(T_Shipments[Confirmed_Qty],T_Shipments[RM_Code],$A10,T_Shipments[Effective_Week],41)</f>
        <v/>
      </c>
      <c r="AQ10">
        <f>SUMIFS(T_Shipments[Confirmed_Qty],T_Shipments[RM_Code],$A10,T_Shipments[Effective_Week],42)</f>
        <v/>
      </c>
      <c r="AR10">
        <f>SUMIFS(T_Shipments[Confirmed_Qty],T_Shipments[RM_Code],$A10,T_Shipments[Effective_Week],43)</f>
        <v/>
      </c>
      <c r="AS10">
        <f>SUMIFS(T_Shipments[Confirmed_Qty],T_Shipments[RM_Code],$A10,T_Shipments[Effective_Week],44)</f>
        <v/>
      </c>
      <c r="AT10">
        <f>SUMIFS(T_Shipments[Confirmed_Qty],T_Shipments[RM_Code],$A10,T_Shipments[Effective_Week],45)</f>
        <v/>
      </c>
      <c r="AU10">
        <f>SUMIFS(T_Shipments[Confirmed_Qty],T_Shipments[RM_Code],$A10,T_Shipments[Effective_Week],46)</f>
        <v/>
      </c>
      <c r="AV10">
        <f>SUMIFS(T_Shipments[Confirmed_Qty],T_Shipments[RM_Code],$A10,T_Shipments[Effective_Week],47)</f>
        <v/>
      </c>
      <c r="AW10">
        <f>SUMIFS(T_Shipments[Confirmed_Qty],T_Shipments[RM_Code],$A10,T_Shipments[Effective_Week],48)</f>
        <v/>
      </c>
      <c r="AX10">
        <f>SUMIFS(T_Shipments[Confirmed_Qty],T_Shipments[RM_Code],$A10,T_Shipments[Effective_Week],49)</f>
        <v/>
      </c>
      <c r="AY10">
        <f>SUMIFS(T_Shipments[Confirmed_Qty],T_Shipments[RM_Code],$A10,T_Shipments[Effective_Week],50)</f>
        <v/>
      </c>
      <c r="AZ10">
        <f>SUMIFS(T_Shipments[Confirmed_Qty],T_Shipments[RM_Code],$A10,T_Shipments[Effective_Week],51)</f>
        <v/>
      </c>
      <c r="BA10">
        <f>SUMIFS(T_Shipments[Confirmed_Qty],T_Shipments[RM_Code],$A10,T_Shipments[Effective_Week],52)</f>
        <v/>
      </c>
      <c r="BB10">
        <f>SUMIFS(T_Shipments[Confirmed_Qty],T_Shipments[RM_Code],$A10,T_Shipments[Effective_Week],53)</f>
        <v/>
      </c>
      <c r="BC10">
        <f>SUMIFS(T_Shipments[Confirmed_Qty],T_Shipments[RM_Code],$A10,T_Shipments[Effective_Week],54)</f>
        <v/>
      </c>
      <c r="BD10">
        <f>SUMIFS(T_Shipments[Confirmed_Qty],T_Shipments[RM_Code],$A10,T_Shipments[Effective_Week],55)</f>
        <v/>
      </c>
      <c r="BE10">
        <f>SUMIFS(T_Shipments[Confirmed_Qty],T_Shipments[RM_Code],$A10,T_Shipments[Effective_Week],56)</f>
        <v/>
      </c>
      <c r="BF10">
        <f>SUMIFS(T_Shipments[Confirmed_Qty],T_Shipments[RM_Code],$A10,T_Shipments[Effective_Week],57)</f>
        <v/>
      </c>
      <c r="BG10">
        <f>SUMIFS(T_Shipments[Confirmed_Qty],T_Shipments[RM_Code],$A10,T_Shipments[Effective_Week],58)</f>
        <v/>
      </c>
      <c r="BH10">
        <f>SUMIFS(T_Shipments[Confirmed_Qty],T_Shipments[RM_Code],$A10,T_Shipments[Effective_Week],59)</f>
        <v/>
      </c>
      <c r="BI10">
        <f>SUMIFS(T_Shipments[Confirmed_Qty],T_Shipments[RM_Code],$A10,T_Shipments[Effective_Week],60)</f>
        <v/>
      </c>
      <c r="BJ10">
        <f>SUMIFS(T_Shipments[Confirmed_Qty],T_Shipments[RM_Code],$A10,T_Shipments[Effective_Week],61)</f>
        <v/>
      </c>
      <c r="BK10">
        <f>SUMIFS(T_Shipments[Confirmed_Qty],T_Shipments[RM_Code],$A10,T_Shipments[Effective_Week],62)</f>
        <v/>
      </c>
      <c r="BL10">
        <f>SUMIFS(T_Shipments[Confirmed_Qty],T_Shipments[RM_Code],$A10,T_Shipments[Effective_Week],63)</f>
        <v/>
      </c>
      <c r="BM10">
        <f>SUMIFS(T_Shipments[Confirmed_Qty],T_Shipments[RM_Code],$A10,T_Shipments[Effective_Week],64)</f>
        <v/>
      </c>
      <c r="BN10">
        <f>SUMIFS(T_Shipments[Confirmed_Qty],T_Shipments[RM_Code],$A10,T_Shipments[Effective_Week],65)</f>
        <v/>
      </c>
      <c r="BO10">
        <f>SUMIFS(T_Shipments[Confirmed_Qty],T_Shipments[RM_Code],$A10,T_Shipments[Effective_Week],66)</f>
        <v/>
      </c>
      <c r="BP10">
        <f>SUMIFS(T_Shipments[Confirmed_Qty],T_Shipments[RM_Code],$A10,T_Shipments[Effective_Week],67)</f>
        <v/>
      </c>
      <c r="BQ10">
        <f>SUMIFS(T_Shipments[Confirmed_Qty],T_Shipments[RM_Code],$A10,T_Shipments[Effective_Week],68)</f>
        <v/>
      </c>
      <c r="BR10">
        <f>SUMIFS(T_Shipments[Confirmed_Qty],T_Shipments[RM_Code],$A10,T_Shipments[Effective_Week],69)</f>
        <v/>
      </c>
      <c r="BS10">
        <f>SUMIFS(T_Shipments[Confirmed_Qty],T_Shipments[RM_Code],$A10,T_Shipments[Effective_Week],70)</f>
        <v/>
      </c>
      <c r="BT10">
        <f>SUMIFS(T_Shipments[Confirmed_Qty],T_Shipments[RM_Code],$A10,T_Shipments[Effective_Week],71)</f>
        <v/>
      </c>
      <c r="BU10">
        <f>SUMIFS(T_Shipments[Confirmed_Qty],T_Shipments[RM_Code],$A10,T_Shipments[Effective_Week],72)</f>
        <v/>
      </c>
      <c r="BV10">
        <f>SUMIFS(T_Shipments[Confirmed_Qty],T_Shipments[RM_Code],$A10,T_Shipments[Effective_Week],73)</f>
        <v/>
      </c>
      <c r="BW10">
        <f>SUMIFS(T_Shipments[Confirmed_Qty],T_Shipments[RM_Code],$A10,T_Shipments[Effective_Week],74)</f>
        <v/>
      </c>
      <c r="BX10">
        <f>SUMIFS(T_Shipments[Confirmed_Qty],T_Shipments[RM_Code],$A10,T_Shipments[Effective_Week],75)</f>
        <v/>
      </c>
      <c r="BY10">
        <f>SUMIFS(T_Shipments[Confirmed_Qty],T_Shipments[RM_Code],$A10,T_Shipments[Effective_Week],76)</f>
        <v/>
      </c>
      <c r="BZ10">
        <f>SUMIFS(T_Shipments[Confirmed_Qty],T_Shipments[RM_Code],$A10,T_Shipments[Effective_Week],77)</f>
        <v/>
      </c>
      <c r="CA10">
        <f>SUMIFS(T_Shipments[Confirmed_Qty],T_Shipments[RM_Code],$A10,T_Shipments[Effective_Week],78)</f>
        <v/>
      </c>
      <c r="CB10">
        <f>SUMIFS(T_Shipments[Confirmed_Qty],T_Shipments[RM_Code],$A10,T_Shipments[Effective_Week],79)</f>
        <v/>
      </c>
      <c r="CC10">
        <f>SUMIFS(T_Shipments[Confirmed_Qty],T_Shipments[RM_Code],$A10,T_Shipments[Effective_Week],80)</f>
        <v/>
      </c>
      <c r="CD10">
        <f>SUMIFS(T_Shipments[Confirmed_Qty],T_Shipments[RM_Code],$A10,T_Shipments[Effective_Week],81)</f>
        <v/>
      </c>
      <c r="CE10">
        <f>SUMIFS(T_Shipments[Confirmed_Qty],T_Shipments[RM_Code],$A10,T_Shipments[Effective_Week],82)</f>
        <v/>
      </c>
      <c r="CF10">
        <f>SUMIFS(T_Shipments[Confirmed_Qty],T_Shipments[RM_Code],$A10,T_Shipments[Effective_Week],83)</f>
        <v/>
      </c>
      <c r="CG10">
        <f>SUMIFS(T_Shipments[Confirmed_Qty],T_Shipments[RM_Code],$A10,T_Shipments[Effective_Week],84)</f>
        <v/>
      </c>
      <c r="CH10">
        <f>SUMIFS(T_Shipments[Confirmed_Qty],T_Shipments[RM_Code],$A10,T_Shipments[Effective_Week],85)</f>
        <v/>
      </c>
      <c r="CI10">
        <f>SUMIFS(T_Shipments[Confirmed_Qty],T_Shipments[RM_Code],$A10,T_Shipments[Effective_Week],86)</f>
        <v/>
      </c>
      <c r="CJ10">
        <f>SUMIFS(T_Shipments[Confirmed_Qty],T_Shipments[RM_Code],$A10,T_Shipments[Effective_Week],87)</f>
        <v/>
      </c>
      <c r="CK10">
        <f>SUMIFS(T_Shipments[Confirmed_Qty],T_Shipments[RM_Code],$A10,T_Shipments[Effective_Week],88)</f>
        <v/>
      </c>
      <c r="CL10">
        <f>SUMIFS(T_Shipments[Confirmed_Qty],T_Shipments[RM_Code],$A10,T_Shipments[Effective_Week],89)</f>
        <v/>
      </c>
      <c r="CM10">
        <f>SUMIFS(T_Shipments[Confirmed_Qty],T_Shipments[RM_Code],$A10,T_Shipments[Effective_Week],90)</f>
        <v/>
      </c>
      <c r="CN10">
        <f>SUMIFS(T_Shipments[Confirmed_Qty],T_Shipments[RM_Code],$A10,T_Shipments[Effective_Week],91)</f>
        <v/>
      </c>
      <c r="CO10">
        <f>SUMIFS(T_Shipments[Confirmed_Qty],T_Shipments[RM_Code],$A10,T_Shipments[Effective_Week],92)</f>
        <v/>
      </c>
      <c r="CP10">
        <f>SUMIFS(T_Shipments[Confirmed_Qty],T_Shipments[RM_Code],$A10,T_Shipments[Effective_Week],93)</f>
        <v/>
      </c>
      <c r="CQ10">
        <f>SUMIFS(T_Shipments[Confirmed_Qty],T_Shipments[RM_Code],$A10,T_Shipments[Effective_Week],94)</f>
        <v/>
      </c>
      <c r="CR10">
        <f>SUMIFS(T_Shipments[Confirmed_Qty],T_Shipments[RM_Code],$A10,T_Shipments[Effective_Week],95)</f>
        <v/>
      </c>
      <c r="CS10">
        <f>SUMIFS(T_Shipments[Confirmed_Qty],T_Shipments[RM_Code],$A10,T_Shipments[Effective_Week],96)</f>
        <v/>
      </c>
      <c r="CT10">
        <f>SUMIFS(T_Shipments[Confirmed_Qty],T_Shipments[RM_Code],$A10,T_Shipments[Effective_Week],97)</f>
        <v/>
      </c>
      <c r="CU10">
        <f>SUMIFS(T_Shipments[Confirmed_Qty],T_Shipments[RM_Code],$A10,T_Shipments[Effective_Week],98)</f>
        <v/>
      </c>
      <c r="CV10">
        <f>SUMIFS(T_Shipments[Confirmed_Qty],T_Shipments[RM_Code],$A10,T_Shipments[Effective_Week],99)</f>
        <v/>
      </c>
      <c r="CW10">
        <f>SUMIFS(T_Shipments[Confirmed_Qty],T_Shipments[RM_Code],$A10,T_Shipments[Effective_Week],100)</f>
        <v/>
      </c>
      <c r="CX10">
        <f>SUMIFS(T_Shipments[Confirmed_Qty],T_Shipments[RM_Code],$A10,T_Shipments[Effective_Week],101)</f>
        <v/>
      </c>
      <c r="CY10">
        <f>SUMIFS(T_Shipments[Confirmed_Qty],T_Shipments[RM_Code],$A10,T_Shipments[Effective_Week],102)</f>
        <v/>
      </c>
      <c r="CZ10">
        <f>SUMIFS(T_Shipments[Confirmed_Qty],T_Shipments[RM_Code],$A10,T_Shipments[Effective_Week],103)</f>
        <v/>
      </c>
      <c r="DA10">
        <f>SUMIFS(T_Shipments[Confirmed_Qty],T_Shipments[RM_Code],$A10,T_Shipments[Effective_Week],104)</f>
        <v/>
      </c>
    </row>
    <row r="11">
      <c r="A11" t="inlineStr">
        <is>
          <t>PET FILM(900*1000)</t>
        </is>
      </c>
      <c r="B11">
        <f>SUMIFS(T_Shipments[Confirmed_Qty],T_Shipments[RM_Code],$A11,T_Shipments[Effective_Week],1)</f>
        <v/>
      </c>
      <c r="C11">
        <f>SUMIFS(T_Shipments[Confirmed_Qty],T_Shipments[RM_Code],$A11,T_Shipments[Effective_Week],2)</f>
        <v/>
      </c>
      <c r="D11">
        <f>SUMIFS(T_Shipments[Confirmed_Qty],T_Shipments[RM_Code],$A11,T_Shipments[Effective_Week],3)</f>
        <v/>
      </c>
      <c r="E11">
        <f>SUMIFS(T_Shipments[Confirmed_Qty],T_Shipments[RM_Code],$A11,T_Shipments[Effective_Week],4)</f>
        <v/>
      </c>
      <c r="F11">
        <f>SUMIFS(T_Shipments[Confirmed_Qty],T_Shipments[RM_Code],$A11,T_Shipments[Effective_Week],5)</f>
        <v/>
      </c>
      <c r="G11">
        <f>SUMIFS(T_Shipments[Confirmed_Qty],T_Shipments[RM_Code],$A11,T_Shipments[Effective_Week],6)</f>
        <v/>
      </c>
      <c r="H11">
        <f>SUMIFS(T_Shipments[Confirmed_Qty],T_Shipments[RM_Code],$A11,T_Shipments[Effective_Week],7)</f>
        <v/>
      </c>
      <c r="I11">
        <f>SUMIFS(T_Shipments[Confirmed_Qty],T_Shipments[RM_Code],$A11,T_Shipments[Effective_Week],8)</f>
        <v/>
      </c>
      <c r="J11">
        <f>SUMIFS(T_Shipments[Confirmed_Qty],T_Shipments[RM_Code],$A11,T_Shipments[Effective_Week],9)</f>
        <v/>
      </c>
      <c r="K11">
        <f>SUMIFS(T_Shipments[Confirmed_Qty],T_Shipments[RM_Code],$A11,T_Shipments[Effective_Week],10)</f>
        <v/>
      </c>
      <c r="L11">
        <f>SUMIFS(T_Shipments[Confirmed_Qty],T_Shipments[RM_Code],$A11,T_Shipments[Effective_Week],11)</f>
        <v/>
      </c>
      <c r="M11">
        <f>SUMIFS(T_Shipments[Confirmed_Qty],T_Shipments[RM_Code],$A11,T_Shipments[Effective_Week],12)</f>
        <v/>
      </c>
      <c r="N11">
        <f>SUMIFS(T_Shipments[Confirmed_Qty],T_Shipments[RM_Code],$A11,T_Shipments[Effective_Week],13)</f>
        <v/>
      </c>
      <c r="O11">
        <f>SUMIFS(T_Shipments[Confirmed_Qty],T_Shipments[RM_Code],$A11,T_Shipments[Effective_Week],14)</f>
        <v/>
      </c>
      <c r="P11">
        <f>SUMIFS(T_Shipments[Confirmed_Qty],T_Shipments[RM_Code],$A11,T_Shipments[Effective_Week],15)</f>
        <v/>
      </c>
      <c r="Q11">
        <f>SUMIFS(T_Shipments[Confirmed_Qty],T_Shipments[RM_Code],$A11,T_Shipments[Effective_Week],16)</f>
        <v/>
      </c>
      <c r="R11">
        <f>SUMIFS(T_Shipments[Confirmed_Qty],T_Shipments[RM_Code],$A11,T_Shipments[Effective_Week],17)</f>
        <v/>
      </c>
      <c r="S11">
        <f>SUMIFS(T_Shipments[Confirmed_Qty],T_Shipments[RM_Code],$A11,T_Shipments[Effective_Week],18)</f>
        <v/>
      </c>
      <c r="T11">
        <f>SUMIFS(T_Shipments[Confirmed_Qty],T_Shipments[RM_Code],$A11,T_Shipments[Effective_Week],19)</f>
        <v/>
      </c>
      <c r="U11">
        <f>SUMIFS(T_Shipments[Confirmed_Qty],T_Shipments[RM_Code],$A11,T_Shipments[Effective_Week],20)</f>
        <v/>
      </c>
      <c r="V11">
        <f>SUMIFS(T_Shipments[Confirmed_Qty],T_Shipments[RM_Code],$A11,T_Shipments[Effective_Week],21)</f>
        <v/>
      </c>
      <c r="W11">
        <f>SUMIFS(T_Shipments[Confirmed_Qty],T_Shipments[RM_Code],$A11,T_Shipments[Effective_Week],22)</f>
        <v/>
      </c>
      <c r="X11">
        <f>SUMIFS(T_Shipments[Confirmed_Qty],T_Shipments[RM_Code],$A11,T_Shipments[Effective_Week],23)</f>
        <v/>
      </c>
      <c r="Y11">
        <f>SUMIFS(T_Shipments[Confirmed_Qty],T_Shipments[RM_Code],$A11,T_Shipments[Effective_Week],24)</f>
        <v/>
      </c>
      <c r="Z11">
        <f>SUMIFS(T_Shipments[Confirmed_Qty],T_Shipments[RM_Code],$A11,T_Shipments[Effective_Week],25)</f>
        <v/>
      </c>
      <c r="AA11">
        <f>SUMIFS(T_Shipments[Confirmed_Qty],T_Shipments[RM_Code],$A11,T_Shipments[Effective_Week],26)</f>
        <v/>
      </c>
      <c r="AB11">
        <f>SUMIFS(T_Shipments[Confirmed_Qty],T_Shipments[RM_Code],$A11,T_Shipments[Effective_Week],27)</f>
        <v/>
      </c>
      <c r="AC11">
        <f>SUMIFS(T_Shipments[Confirmed_Qty],T_Shipments[RM_Code],$A11,T_Shipments[Effective_Week],28)</f>
        <v/>
      </c>
      <c r="AD11">
        <f>SUMIFS(T_Shipments[Confirmed_Qty],T_Shipments[RM_Code],$A11,T_Shipments[Effective_Week],29)</f>
        <v/>
      </c>
      <c r="AE11">
        <f>SUMIFS(T_Shipments[Confirmed_Qty],T_Shipments[RM_Code],$A11,T_Shipments[Effective_Week],30)</f>
        <v/>
      </c>
      <c r="AF11">
        <f>SUMIFS(T_Shipments[Confirmed_Qty],T_Shipments[RM_Code],$A11,T_Shipments[Effective_Week],31)</f>
        <v/>
      </c>
      <c r="AG11">
        <f>SUMIFS(T_Shipments[Confirmed_Qty],T_Shipments[RM_Code],$A11,T_Shipments[Effective_Week],32)</f>
        <v/>
      </c>
      <c r="AH11">
        <f>SUMIFS(T_Shipments[Confirmed_Qty],T_Shipments[RM_Code],$A11,T_Shipments[Effective_Week],33)</f>
        <v/>
      </c>
      <c r="AI11">
        <f>SUMIFS(T_Shipments[Confirmed_Qty],T_Shipments[RM_Code],$A11,T_Shipments[Effective_Week],34)</f>
        <v/>
      </c>
      <c r="AJ11">
        <f>SUMIFS(T_Shipments[Confirmed_Qty],T_Shipments[RM_Code],$A11,T_Shipments[Effective_Week],35)</f>
        <v/>
      </c>
      <c r="AK11">
        <f>SUMIFS(T_Shipments[Confirmed_Qty],T_Shipments[RM_Code],$A11,T_Shipments[Effective_Week],36)</f>
        <v/>
      </c>
      <c r="AL11">
        <f>SUMIFS(T_Shipments[Confirmed_Qty],T_Shipments[RM_Code],$A11,T_Shipments[Effective_Week],37)</f>
        <v/>
      </c>
      <c r="AM11">
        <f>SUMIFS(T_Shipments[Confirmed_Qty],T_Shipments[RM_Code],$A11,T_Shipments[Effective_Week],38)</f>
        <v/>
      </c>
      <c r="AN11">
        <f>SUMIFS(T_Shipments[Confirmed_Qty],T_Shipments[RM_Code],$A11,T_Shipments[Effective_Week],39)</f>
        <v/>
      </c>
      <c r="AO11">
        <f>SUMIFS(T_Shipments[Confirmed_Qty],T_Shipments[RM_Code],$A11,T_Shipments[Effective_Week],40)</f>
        <v/>
      </c>
      <c r="AP11">
        <f>SUMIFS(T_Shipments[Confirmed_Qty],T_Shipments[RM_Code],$A11,T_Shipments[Effective_Week],41)</f>
        <v/>
      </c>
      <c r="AQ11">
        <f>SUMIFS(T_Shipments[Confirmed_Qty],T_Shipments[RM_Code],$A11,T_Shipments[Effective_Week],42)</f>
        <v/>
      </c>
      <c r="AR11">
        <f>SUMIFS(T_Shipments[Confirmed_Qty],T_Shipments[RM_Code],$A11,T_Shipments[Effective_Week],43)</f>
        <v/>
      </c>
      <c r="AS11">
        <f>SUMIFS(T_Shipments[Confirmed_Qty],T_Shipments[RM_Code],$A11,T_Shipments[Effective_Week],44)</f>
        <v/>
      </c>
      <c r="AT11">
        <f>SUMIFS(T_Shipments[Confirmed_Qty],T_Shipments[RM_Code],$A11,T_Shipments[Effective_Week],45)</f>
        <v/>
      </c>
      <c r="AU11">
        <f>SUMIFS(T_Shipments[Confirmed_Qty],T_Shipments[RM_Code],$A11,T_Shipments[Effective_Week],46)</f>
        <v/>
      </c>
      <c r="AV11">
        <f>SUMIFS(T_Shipments[Confirmed_Qty],T_Shipments[RM_Code],$A11,T_Shipments[Effective_Week],47)</f>
        <v/>
      </c>
      <c r="AW11">
        <f>SUMIFS(T_Shipments[Confirmed_Qty],T_Shipments[RM_Code],$A11,T_Shipments[Effective_Week],48)</f>
        <v/>
      </c>
      <c r="AX11">
        <f>SUMIFS(T_Shipments[Confirmed_Qty],T_Shipments[RM_Code],$A11,T_Shipments[Effective_Week],49)</f>
        <v/>
      </c>
      <c r="AY11">
        <f>SUMIFS(T_Shipments[Confirmed_Qty],T_Shipments[RM_Code],$A11,T_Shipments[Effective_Week],50)</f>
        <v/>
      </c>
      <c r="AZ11">
        <f>SUMIFS(T_Shipments[Confirmed_Qty],T_Shipments[RM_Code],$A11,T_Shipments[Effective_Week],51)</f>
        <v/>
      </c>
      <c r="BA11">
        <f>SUMIFS(T_Shipments[Confirmed_Qty],T_Shipments[RM_Code],$A11,T_Shipments[Effective_Week],52)</f>
        <v/>
      </c>
      <c r="BB11">
        <f>SUMIFS(T_Shipments[Confirmed_Qty],T_Shipments[RM_Code],$A11,T_Shipments[Effective_Week],53)</f>
        <v/>
      </c>
      <c r="BC11">
        <f>SUMIFS(T_Shipments[Confirmed_Qty],T_Shipments[RM_Code],$A11,T_Shipments[Effective_Week],54)</f>
        <v/>
      </c>
      <c r="BD11">
        <f>SUMIFS(T_Shipments[Confirmed_Qty],T_Shipments[RM_Code],$A11,T_Shipments[Effective_Week],55)</f>
        <v/>
      </c>
      <c r="BE11">
        <f>SUMIFS(T_Shipments[Confirmed_Qty],T_Shipments[RM_Code],$A11,T_Shipments[Effective_Week],56)</f>
        <v/>
      </c>
      <c r="BF11">
        <f>SUMIFS(T_Shipments[Confirmed_Qty],T_Shipments[RM_Code],$A11,T_Shipments[Effective_Week],57)</f>
        <v/>
      </c>
      <c r="BG11">
        <f>SUMIFS(T_Shipments[Confirmed_Qty],T_Shipments[RM_Code],$A11,T_Shipments[Effective_Week],58)</f>
        <v/>
      </c>
      <c r="BH11">
        <f>SUMIFS(T_Shipments[Confirmed_Qty],T_Shipments[RM_Code],$A11,T_Shipments[Effective_Week],59)</f>
        <v/>
      </c>
      <c r="BI11">
        <f>SUMIFS(T_Shipments[Confirmed_Qty],T_Shipments[RM_Code],$A11,T_Shipments[Effective_Week],60)</f>
        <v/>
      </c>
      <c r="BJ11">
        <f>SUMIFS(T_Shipments[Confirmed_Qty],T_Shipments[RM_Code],$A11,T_Shipments[Effective_Week],61)</f>
        <v/>
      </c>
      <c r="BK11">
        <f>SUMIFS(T_Shipments[Confirmed_Qty],T_Shipments[RM_Code],$A11,T_Shipments[Effective_Week],62)</f>
        <v/>
      </c>
      <c r="BL11">
        <f>SUMIFS(T_Shipments[Confirmed_Qty],T_Shipments[RM_Code],$A11,T_Shipments[Effective_Week],63)</f>
        <v/>
      </c>
      <c r="BM11">
        <f>SUMIFS(T_Shipments[Confirmed_Qty],T_Shipments[RM_Code],$A11,T_Shipments[Effective_Week],64)</f>
        <v/>
      </c>
      <c r="BN11">
        <f>SUMIFS(T_Shipments[Confirmed_Qty],T_Shipments[RM_Code],$A11,T_Shipments[Effective_Week],65)</f>
        <v/>
      </c>
      <c r="BO11">
        <f>SUMIFS(T_Shipments[Confirmed_Qty],T_Shipments[RM_Code],$A11,T_Shipments[Effective_Week],66)</f>
        <v/>
      </c>
      <c r="BP11">
        <f>SUMIFS(T_Shipments[Confirmed_Qty],T_Shipments[RM_Code],$A11,T_Shipments[Effective_Week],67)</f>
        <v/>
      </c>
      <c r="BQ11">
        <f>SUMIFS(T_Shipments[Confirmed_Qty],T_Shipments[RM_Code],$A11,T_Shipments[Effective_Week],68)</f>
        <v/>
      </c>
      <c r="BR11">
        <f>SUMIFS(T_Shipments[Confirmed_Qty],T_Shipments[RM_Code],$A11,T_Shipments[Effective_Week],69)</f>
        <v/>
      </c>
      <c r="BS11">
        <f>SUMIFS(T_Shipments[Confirmed_Qty],T_Shipments[RM_Code],$A11,T_Shipments[Effective_Week],70)</f>
        <v/>
      </c>
      <c r="BT11">
        <f>SUMIFS(T_Shipments[Confirmed_Qty],T_Shipments[RM_Code],$A11,T_Shipments[Effective_Week],71)</f>
        <v/>
      </c>
      <c r="BU11">
        <f>SUMIFS(T_Shipments[Confirmed_Qty],T_Shipments[RM_Code],$A11,T_Shipments[Effective_Week],72)</f>
        <v/>
      </c>
      <c r="BV11">
        <f>SUMIFS(T_Shipments[Confirmed_Qty],T_Shipments[RM_Code],$A11,T_Shipments[Effective_Week],73)</f>
        <v/>
      </c>
      <c r="BW11">
        <f>SUMIFS(T_Shipments[Confirmed_Qty],T_Shipments[RM_Code],$A11,T_Shipments[Effective_Week],74)</f>
        <v/>
      </c>
      <c r="BX11">
        <f>SUMIFS(T_Shipments[Confirmed_Qty],T_Shipments[RM_Code],$A11,T_Shipments[Effective_Week],75)</f>
        <v/>
      </c>
      <c r="BY11">
        <f>SUMIFS(T_Shipments[Confirmed_Qty],T_Shipments[RM_Code],$A11,T_Shipments[Effective_Week],76)</f>
        <v/>
      </c>
      <c r="BZ11">
        <f>SUMIFS(T_Shipments[Confirmed_Qty],T_Shipments[RM_Code],$A11,T_Shipments[Effective_Week],77)</f>
        <v/>
      </c>
      <c r="CA11">
        <f>SUMIFS(T_Shipments[Confirmed_Qty],T_Shipments[RM_Code],$A11,T_Shipments[Effective_Week],78)</f>
        <v/>
      </c>
      <c r="CB11">
        <f>SUMIFS(T_Shipments[Confirmed_Qty],T_Shipments[RM_Code],$A11,T_Shipments[Effective_Week],79)</f>
        <v/>
      </c>
      <c r="CC11">
        <f>SUMIFS(T_Shipments[Confirmed_Qty],T_Shipments[RM_Code],$A11,T_Shipments[Effective_Week],80)</f>
        <v/>
      </c>
      <c r="CD11">
        <f>SUMIFS(T_Shipments[Confirmed_Qty],T_Shipments[RM_Code],$A11,T_Shipments[Effective_Week],81)</f>
        <v/>
      </c>
      <c r="CE11">
        <f>SUMIFS(T_Shipments[Confirmed_Qty],T_Shipments[RM_Code],$A11,T_Shipments[Effective_Week],82)</f>
        <v/>
      </c>
      <c r="CF11">
        <f>SUMIFS(T_Shipments[Confirmed_Qty],T_Shipments[RM_Code],$A11,T_Shipments[Effective_Week],83)</f>
        <v/>
      </c>
      <c r="CG11">
        <f>SUMIFS(T_Shipments[Confirmed_Qty],T_Shipments[RM_Code],$A11,T_Shipments[Effective_Week],84)</f>
        <v/>
      </c>
      <c r="CH11">
        <f>SUMIFS(T_Shipments[Confirmed_Qty],T_Shipments[RM_Code],$A11,T_Shipments[Effective_Week],85)</f>
        <v/>
      </c>
      <c r="CI11">
        <f>SUMIFS(T_Shipments[Confirmed_Qty],T_Shipments[RM_Code],$A11,T_Shipments[Effective_Week],86)</f>
        <v/>
      </c>
      <c r="CJ11">
        <f>SUMIFS(T_Shipments[Confirmed_Qty],T_Shipments[RM_Code],$A11,T_Shipments[Effective_Week],87)</f>
        <v/>
      </c>
      <c r="CK11">
        <f>SUMIFS(T_Shipments[Confirmed_Qty],T_Shipments[RM_Code],$A11,T_Shipments[Effective_Week],88)</f>
        <v/>
      </c>
      <c r="CL11">
        <f>SUMIFS(T_Shipments[Confirmed_Qty],T_Shipments[RM_Code],$A11,T_Shipments[Effective_Week],89)</f>
        <v/>
      </c>
      <c r="CM11">
        <f>SUMIFS(T_Shipments[Confirmed_Qty],T_Shipments[RM_Code],$A11,T_Shipments[Effective_Week],90)</f>
        <v/>
      </c>
      <c r="CN11">
        <f>SUMIFS(T_Shipments[Confirmed_Qty],T_Shipments[RM_Code],$A11,T_Shipments[Effective_Week],91)</f>
        <v/>
      </c>
      <c r="CO11">
        <f>SUMIFS(T_Shipments[Confirmed_Qty],T_Shipments[RM_Code],$A11,T_Shipments[Effective_Week],92)</f>
        <v/>
      </c>
      <c r="CP11">
        <f>SUMIFS(T_Shipments[Confirmed_Qty],T_Shipments[RM_Code],$A11,T_Shipments[Effective_Week],93)</f>
        <v/>
      </c>
      <c r="CQ11">
        <f>SUMIFS(T_Shipments[Confirmed_Qty],T_Shipments[RM_Code],$A11,T_Shipments[Effective_Week],94)</f>
        <v/>
      </c>
      <c r="CR11">
        <f>SUMIFS(T_Shipments[Confirmed_Qty],T_Shipments[RM_Code],$A11,T_Shipments[Effective_Week],95)</f>
        <v/>
      </c>
      <c r="CS11">
        <f>SUMIFS(T_Shipments[Confirmed_Qty],T_Shipments[RM_Code],$A11,T_Shipments[Effective_Week],96)</f>
        <v/>
      </c>
      <c r="CT11">
        <f>SUMIFS(T_Shipments[Confirmed_Qty],T_Shipments[RM_Code],$A11,T_Shipments[Effective_Week],97)</f>
        <v/>
      </c>
      <c r="CU11">
        <f>SUMIFS(T_Shipments[Confirmed_Qty],T_Shipments[RM_Code],$A11,T_Shipments[Effective_Week],98)</f>
        <v/>
      </c>
      <c r="CV11">
        <f>SUMIFS(T_Shipments[Confirmed_Qty],T_Shipments[RM_Code],$A11,T_Shipments[Effective_Week],99)</f>
        <v/>
      </c>
      <c r="CW11">
        <f>SUMIFS(T_Shipments[Confirmed_Qty],T_Shipments[RM_Code],$A11,T_Shipments[Effective_Week],100)</f>
        <v/>
      </c>
      <c r="CX11">
        <f>SUMIFS(T_Shipments[Confirmed_Qty],T_Shipments[RM_Code],$A11,T_Shipments[Effective_Week],101)</f>
        <v/>
      </c>
      <c r="CY11">
        <f>SUMIFS(T_Shipments[Confirmed_Qty],T_Shipments[RM_Code],$A11,T_Shipments[Effective_Week],102)</f>
        <v/>
      </c>
      <c r="CZ11">
        <f>SUMIFS(T_Shipments[Confirmed_Qty],T_Shipments[RM_Code],$A11,T_Shipments[Effective_Week],103)</f>
        <v/>
      </c>
      <c r="DA11">
        <f>SUMIFS(T_Shipments[Confirmed_Qty],T_Shipments[RM_Code],$A11,T_Shipments[Effective_Week],104)</f>
        <v/>
      </c>
    </row>
    <row r="12">
      <c r="A12" t="inlineStr">
        <is>
          <t>4HL</t>
        </is>
      </c>
      <c r="B12">
        <f>SUMIFS(T_Shipments[Confirmed_Qty],T_Shipments[RM_Code],$A12,T_Shipments[Effective_Week],1)</f>
        <v/>
      </c>
      <c r="C12">
        <f>SUMIFS(T_Shipments[Confirmed_Qty],T_Shipments[RM_Code],$A12,T_Shipments[Effective_Week],2)</f>
        <v/>
      </c>
      <c r="D12">
        <f>SUMIFS(T_Shipments[Confirmed_Qty],T_Shipments[RM_Code],$A12,T_Shipments[Effective_Week],3)</f>
        <v/>
      </c>
      <c r="E12">
        <f>SUMIFS(T_Shipments[Confirmed_Qty],T_Shipments[RM_Code],$A12,T_Shipments[Effective_Week],4)</f>
        <v/>
      </c>
      <c r="F12">
        <f>SUMIFS(T_Shipments[Confirmed_Qty],T_Shipments[RM_Code],$A12,T_Shipments[Effective_Week],5)</f>
        <v/>
      </c>
      <c r="G12">
        <f>SUMIFS(T_Shipments[Confirmed_Qty],T_Shipments[RM_Code],$A12,T_Shipments[Effective_Week],6)</f>
        <v/>
      </c>
      <c r="H12">
        <f>SUMIFS(T_Shipments[Confirmed_Qty],T_Shipments[RM_Code],$A12,T_Shipments[Effective_Week],7)</f>
        <v/>
      </c>
      <c r="I12">
        <f>SUMIFS(T_Shipments[Confirmed_Qty],T_Shipments[RM_Code],$A12,T_Shipments[Effective_Week],8)</f>
        <v/>
      </c>
      <c r="J12">
        <f>SUMIFS(T_Shipments[Confirmed_Qty],T_Shipments[RM_Code],$A12,T_Shipments[Effective_Week],9)</f>
        <v/>
      </c>
      <c r="K12">
        <f>SUMIFS(T_Shipments[Confirmed_Qty],T_Shipments[RM_Code],$A12,T_Shipments[Effective_Week],10)</f>
        <v/>
      </c>
      <c r="L12">
        <f>SUMIFS(T_Shipments[Confirmed_Qty],T_Shipments[RM_Code],$A12,T_Shipments[Effective_Week],11)</f>
        <v/>
      </c>
      <c r="M12">
        <f>SUMIFS(T_Shipments[Confirmed_Qty],T_Shipments[RM_Code],$A12,T_Shipments[Effective_Week],12)</f>
        <v/>
      </c>
      <c r="N12">
        <f>SUMIFS(T_Shipments[Confirmed_Qty],T_Shipments[RM_Code],$A12,T_Shipments[Effective_Week],13)</f>
        <v/>
      </c>
      <c r="O12">
        <f>SUMIFS(T_Shipments[Confirmed_Qty],T_Shipments[RM_Code],$A12,T_Shipments[Effective_Week],14)</f>
        <v/>
      </c>
      <c r="P12">
        <f>SUMIFS(T_Shipments[Confirmed_Qty],T_Shipments[RM_Code],$A12,T_Shipments[Effective_Week],15)</f>
        <v/>
      </c>
      <c r="Q12">
        <f>SUMIFS(T_Shipments[Confirmed_Qty],T_Shipments[RM_Code],$A12,T_Shipments[Effective_Week],16)</f>
        <v/>
      </c>
      <c r="R12">
        <f>SUMIFS(T_Shipments[Confirmed_Qty],T_Shipments[RM_Code],$A12,T_Shipments[Effective_Week],17)</f>
        <v/>
      </c>
      <c r="S12">
        <f>SUMIFS(T_Shipments[Confirmed_Qty],T_Shipments[RM_Code],$A12,T_Shipments[Effective_Week],18)</f>
        <v/>
      </c>
      <c r="T12">
        <f>SUMIFS(T_Shipments[Confirmed_Qty],T_Shipments[RM_Code],$A12,T_Shipments[Effective_Week],19)</f>
        <v/>
      </c>
      <c r="U12">
        <f>SUMIFS(T_Shipments[Confirmed_Qty],T_Shipments[RM_Code],$A12,T_Shipments[Effective_Week],20)</f>
        <v/>
      </c>
      <c r="V12">
        <f>SUMIFS(T_Shipments[Confirmed_Qty],T_Shipments[RM_Code],$A12,T_Shipments[Effective_Week],21)</f>
        <v/>
      </c>
      <c r="W12">
        <f>SUMIFS(T_Shipments[Confirmed_Qty],T_Shipments[RM_Code],$A12,T_Shipments[Effective_Week],22)</f>
        <v/>
      </c>
      <c r="X12">
        <f>SUMIFS(T_Shipments[Confirmed_Qty],T_Shipments[RM_Code],$A12,T_Shipments[Effective_Week],23)</f>
        <v/>
      </c>
      <c r="Y12">
        <f>SUMIFS(T_Shipments[Confirmed_Qty],T_Shipments[RM_Code],$A12,T_Shipments[Effective_Week],24)</f>
        <v/>
      </c>
      <c r="Z12">
        <f>SUMIFS(T_Shipments[Confirmed_Qty],T_Shipments[RM_Code],$A12,T_Shipments[Effective_Week],25)</f>
        <v/>
      </c>
      <c r="AA12">
        <f>SUMIFS(T_Shipments[Confirmed_Qty],T_Shipments[RM_Code],$A12,T_Shipments[Effective_Week],26)</f>
        <v/>
      </c>
      <c r="AB12">
        <f>SUMIFS(T_Shipments[Confirmed_Qty],T_Shipments[RM_Code],$A12,T_Shipments[Effective_Week],27)</f>
        <v/>
      </c>
      <c r="AC12">
        <f>SUMIFS(T_Shipments[Confirmed_Qty],T_Shipments[RM_Code],$A12,T_Shipments[Effective_Week],28)</f>
        <v/>
      </c>
      <c r="AD12">
        <f>SUMIFS(T_Shipments[Confirmed_Qty],T_Shipments[RM_Code],$A12,T_Shipments[Effective_Week],29)</f>
        <v/>
      </c>
      <c r="AE12">
        <f>SUMIFS(T_Shipments[Confirmed_Qty],T_Shipments[RM_Code],$A12,T_Shipments[Effective_Week],30)</f>
        <v/>
      </c>
      <c r="AF12">
        <f>SUMIFS(T_Shipments[Confirmed_Qty],T_Shipments[RM_Code],$A12,T_Shipments[Effective_Week],31)</f>
        <v/>
      </c>
      <c r="AG12">
        <f>SUMIFS(T_Shipments[Confirmed_Qty],T_Shipments[RM_Code],$A12,T_Shipments[Effective_Week],32)</f>
        <v/>
      </c>
      <c r="AH12">
        <f>SUMIFS(T_Shipments[Confirmed_Qty],T_Shipments[RM_Code],$A12,T_Shipments[Effective_Week],33)</f>
        <v/>
      </c>
      <c r="AI12">
        <f>SUMIFS(T_Shipments[Confirmed_Qty],T_Shipments[RM_Code],$A12,T_Shipments[Effective_Week],34)</f>
        <v/>
      </c>
      <c r="AJ12">
        <f>SUMIFS(T_Shipments[Confirmed_Qty],T_Shipments[RM_Code],$A12,T_Shipments[Effective_Week],35)</f>
        <v/>
      </c>
      <c r="AK12">
        <f>SUMIFS(T_Shipments[Confirmed_Qty],T_Shipments[RM_Code],$A12,T_Shipments[Effective_Week],36)</f>
        <v/>
      </c>
      <c r="AL12">
        <f>SUMIFS(T_Shipments[Confirmed_Qty],T_Shipments[RM_Code],$A12,T_Shipments[Effective_Week],37)</f>
        <v/>
      </c>
      <c r="AM12">
        <f>SUMIFS(T_Shipments[Confirmed_Qty],T_Shipments[RM_Code],$A12,T_Shipments[Effective_Week],38)</f>
        <v/>
      </c>
      <c r="AN12">
        <f>SUMIFS(T_Shipments[Confirmed_Qty],T_Shipments[RM_Code],$A12,T_Shipments[Effective_Week],39)</f>
        <v/>
      </c>
      <c r="AO12">
        <f>SUMIFS(T_Shipments[Confirmed_Qty],T_Shipments[RM_Code],$A12,T_Shipments[Effective_Week],40)</f>
        <v/>
      </c>
      <c r="AP12">
        <f>SUMIFS(T_Shipments[Confirmed_Qty],T_Shipments[RM_Code],$A12,T_Shipments[Effective_Week],41)</f>
        <v/>
      </c>
      <c r="AQ12">
        <f>SUMIFS(T_Shipments[Confirmed_Qty],T_Shipments[RM_Code],$A12,T_Shipments[Effective_Week],42)</f>
        <v/>
      </c>
      <c r="AR12">
        <f>SUMIFS(T_Shipments[Confirmed_Qty],T_Shipments[RM_Code],$A12,T_Shipments[Effective_Week],43)</f>
        <v/>
      </c>
      <c r="AS12">
        <f>SUMIFS(T_Shipments[Confirmed_Qty],T_Shipments[RM_Code],$A12,T_Shipments[Effective_Week],44)</f>
        <v/>
      </c>
      <c r="AT12">
        <f>SUMIFS(T_Shipments[Confirmed_Qty],T_Shipments[RM_Code],$A12,T_Shipments[Effective_Week],45)</f>
        <v/>
      </c>
      <c r="AU12">
        <f>SUMIFS(T_Shipments[Confirmed_Qty],T_Shipments[RM_Code],$A12,T_Shipments[Effective_Week],46)</f>
        <v/>
      </c>
      <c r="AV12">
        <f>SUMIFS(T_Shipments[Confirmed_Qty],T_Shipments[RM_Code],$A12,T_Shipments[Effective_Week],47)</f>
        <v/>
      </c>
      <c r="AW12">
        <f>SUMIFS(T_Shipments[Confirmed_Qty],T_Shipments[RM_Code],$A12,T_Shipments[Effective_Week],48)</f>
        <v/>
      </c>
      <c r="AX12">
        <f>SUMIFS(T_Shipments[Confirmed_Qty],T_Shipments[RM_Code],$A12,T_Shipments[Effective_Week],49)</f>
        <v/>
      </c>
      <c r="AY12">
        <f>SUMIFS(T_Shipments[Confirmed_Qty],T_Shipments[RM_Code],$A12,T_Shipments[Effective_Week],50)</f>
        <v/>
      </c>
      <c r="AZ12">
        <f>SUMIFS(T_Shipments[Confirmed_Qty],T_Shipments[RM_Code],$A12,T_Shipments[Effective_Week],51)</f>
        <v/>
      </c>
      <c r="BA12">
        <f>SUMIFS(T_Shipments[Confirmed_Qty],T_Shipments[RM_Code],$A12,T_Shipments[Effective_Week],52)</f>
        <v/>
      </c>
      <c r="BB12">
        <f>SUMIFS(T_Shipments[Confirmed_Qty],T_Shipments[RM_Code],$A12,T_Shipments[Effective_Week],53)</f>
        <v/>
      </c>
      <c r="BC12">
        <f>SUMIFS(T_Shipments[Confirmed_Qty],T_Shipments[RM_Code],$A12,T_Shipments[Effective_Week],54)</f>
        <v/>
      </c>
      <c r="BD12">
        <f>SUMIFS(T_Shipments[Confirmed_Qty],T_Shipments[RM_Code],$A12,T_Shipments[Effective_Week],55)</f>
        <v/>
      </c>
      <c r="BE12">
        <f>SUMIFS(T_Shipments[Confirmed_Qty],T_Shipments[RM_Code],$A12,T_Shipments[Effective_Week],56)</f>
        <v/>
      </c>
      <c r="BF12">
        <f>SUMIFS(T_Shipments[Confirmed_Qty],T_Shipments[RM_Code],$A12,T_Shipments[Effective_Week],57)</f>
        <v/>
      </c>
      <c r="BG12">
        <f>SUMIFS(T_Shipments[Confirmed_Qty],T_Shipments[RM_Code],$A12,T_Shipments[Effective_Week],58)</f>
        <v/>
      </c>
      <c r="BH12">
        <f>SUMIFS(T_Shipments[Confirmed_Qty],T_Shipments[RM_Code],$A12,T_Shipments[Effective_Week],59)</f>
        <v/>
      </c>
      <c r="BI12">
        <f>SUMIFS(T_Shipments[Confirmed_Qty],T_Shipments[RM_Code],$A12,T_Shipments[Effective_Week],60)</f>
        <v/>
      </c>
      <c r="BJ12">
        <f>SUMIFS(T_Shipments[Confirmed_Qty],T_Shipments[RM_Code],$A12,T_Shipments[Effective_Week],61)</f>
        <v/>
      </c>
      <c r="BK12">
        <f>SUMIFS(T_Shipments[Confirmed_Qty],T_Shipments[RM_Code],$A12,T_Shipments[Effective_Week],62)</f>
        <v/>
      </c>
      <c r="BL12">
        <f>SUMIFS(T_Shipments[Confirmed_Qty],T_Shipments[RM_Code],$A12,T_Shipments[Effective_Week],63)</f>
        <v/>
      </c>
      <c r="BM12">
        <f>SUMIFS(T_Shipments[Confirmed_Qty],T_Shipments[RM_Code],$A12,T_Shipments[Effective_Week],64)</f>
        <v/>
      </c>
      <c r="BN12">
        <f>SUMIFS(T_Shipments[Confirmed_Qty],T_Shipments[RM_Code],$A12,T_Shipments[Effective_Week],65)</f>
        <v/>
      </c>
      <c r="BO12">
        <f>SUMIFS(T_Shipments[Confirmed_Qty],T_Shipments[RM_Code],$A12,T_Shipments[Effective_Week],66)</f>
        <v/>
      </c>
      <c r="BP12">
        <f>SUMIFS(T_Shipments[Confirmed_Qty],T_Shipments[RM_Code],$A12,T_Shipments[Effective_Week],67)</f>
        <v/>
      </c>
      <c r="BQ12">
        <f>SUMIFS(T_Shipments[Confirmed_Qty],T_Shipments[RM_Code],$A12,T_Shipments[Effective_Week],68)</f>
        <v/>
      </c>
      <c r="BR12">
        <f>SUMIFS(T_Shipments[Confirmed_Qty],T_Shipments[RM_Code],$A12,T_Shipments[Effective_Week],69)</f>
        <v/>
      </c>
      <c r="BS12">
        <f>SUMIFS(T_Shipments[Confirmed_Qty],T_Shipments[RM_Code],$A12,T_Shipments[Effective_Week],70)</f>
        <v/>
      </c>
      <c r="BT12">
        <f>SUMIFS(T_Shipments[Confirmed_Qty],T_Shipments[RM_Code],$A12,T_Shipments[Effective_Week],71)</f>
        <v/>
      </c>
      <c r="BU12">
        <f>SUMIFS(T_Shipments[Confirmed_Qty],T_Shipments[RM_Code],$A12,T_Shipments[Effective_Week],72)</f>
        <v/>
      </c>
      <c r="BV12">
        <f>SUMIFS(T_Shipments[Confirmed_Qty],T_Shipments[RM_Code],$A12,T_Shipments[Effective_Week],73)</f>
        <v/>
      </c>
      <c r="BW12">
        <f>SUMIFS(T_Shipments[Confirmed_Qty],T_Shipments[RM_Code],$A12,T_Shipments[Effective_Week],74)</f>
        <v/>
      </c>
      <c r="BX12">
        <f>SUMIFS(T_Shipments[Confirmed_Qty],T_Shipments[RM_Code],$A12,T_Shipments[Effective_Week],75)</f>
        <v/>
      </c>
      <c r="BY12">
        <f>SUMIFS(T_Shipments[Confirmed_Qty],T_Shipments[RM_Code],$A12,T_Shipments[Effective_Week],76)</f>
        <v/>
      </c>
      <c r="BZ12">
        <f>SUMIFS(T_Shipments[Confirmed_Qty],T_Shipments[RM_Code],$A12,T_Shipments[Effective_Week],77)</f>
        <v/>
      </c>
      <c r="CA12">
        <f>SUMIFS(T_Shipments[Confirmed_Qty],T_Shipments[RM_Code],$A12,T_Shipments[Effective_Week],78)</f>
        <v/>
      </c>
      <c r="CB12">
        <f>SUMIFS(T_Shipments[Confirmed_Qty],T_Shipments[RM_Code],$A12,T_Shipments[Effective_Week],79)</f>
        <v/>
      </c>
      <c r="CC12">
        <f>SUMIFS(T_Shipments[Confirmed_Qty],T_Shipments[RM_Code],$A12,T_Shipments[Effective_Week],80)</f>
        <v/>
      </c>
      <c r="CD12">
        <f>SUMIFS(T_Shipments[Confirmed_Qty],T_Shipments[RM_Code],$A12,T_Shipments[Effective_Week],81)</f>
        <v/>
      </c>
      <c r="CE12">
        <f>SUMIFS(T_Shipments[Confirmed_Qty],T_Shipments[RM_Code],$A12,T_Shipments[Effective_Week],82)</f>
        <v/>
      </c>
      <c r="CF12">
        <f>SUMIFS(T_Shipments[Confirmed_Qty],T_Shipments[RM_Code],$A12,T_Shipments[Effective_Week],83)</f>
        <v/>
      </c>
      <c r="CG12">
        <f>SUMIFS(T_Shipments[Confirmed_Qty],T_Shipments[RM_Code],$A12,T_Shipments[Effective_Week],84)</f>
        <v/>
      </c>
      <c r="CH12">
        <f>SUMIFS(T_Shipments[Confirmed_Qty],T_Shipments[RM_Code],$A12,T_Shipments[Effective_Week],85)</f>
        <v/>
      </c>
      <c r="CI12">
        <f>SUMIFS(T_Shipments[Confirmed_Qty],T_Shipments[RM_Code],$A12,T_Shipments[Effective_Week],86)</f>
        <v/>
      </c>
      <c r="CJ12">
        <f>SUMIFS(T_Shipments[Confirmed_Qty],T_Shipments[RM_Code],$A12,T_Shipments[Effective_Week],87)</f>
        <v/>
      </c>
      <c r="CK12">
        <f>SUMIFS(T_Shipments[Confirmed_Qty],T_Shipments[RM_Code],$A12,T_Shipments[Effective_Week],88)</f>
        <v/>
      </c>
      <c r="CL12">
        <f>SUMIFS(T_Shipments[Confirmed_Qty],T_Shipments[RM_Code],$A12,T_Shipments[Effective_Week],89)</f>
        <v/>
      </c>
      <c r="CM12">
        <f>SUMIFS(T_Shipments[Confirmed_Qty],T_Shipments[RM_Code],$A12,T_Shipments[Effective_Week],90)</f>
        <v/>
      </c>
      <c r="CN12">
        <f>SUMIFS(T_Shipments[Confirmed_Qty],T_Shipments[RM_Code],$A12,T_Shipments[Effective_Week],91)</f>
        <v/>
      </c>
      <c r="CO12">
        <f>SUMIFS(T_Shipments[Confirmed_Qty],T_Shipments[RM_Code],$A12,T_Shipments[Effective_Week],92)</f>
        <v/>
      </c>
      <c r="CP12">
        <f>SUMIFS(T_Shipments[Confirmed_Qty],T_Shipments[RM_Code],$A12,T_Shipments[Effective_Week],93)</f>
        <v/>
      </c>
      <c r="CQ12">
        <f>SUMIFS(T_Shipments[Confirmed_Qty],T_Shipments[RM_Code],$A12,T_Shipments[Effective_Week],94)</f>
        <v/>
      </c>
      <c r="CR12">
        <f>SUMIFS(T_Shipments[Confirmed_Qty],T_Shipments[RM_Code],$A12,T_Shipments[Effective_Week],95)</f>
        <v/>
      </c>
      <c r="CS12">
        <f>SUMIFS(T_Shipments[Confirmed_Qty],T_Shipments[RM_Code],$A12,T_Shipments[Effective_Week],96)</f>
        <v/>
      </c>
      <c r="CT12">
        <f>SUMIFS(T_Shipments[Confirmed_Qty],T_Shipments[RM_Code],$A12,T_Shipments[Effective_Week],97)</f>
        <v/>
      </c>
      <c r="CU12">
        <f>SUMIFS(T_Shipments[Confirmed_Qty],T_Shipments[RM_Code],$A12,T_Shipments[Effective_Week],98)</f>
        <v/>
      </c>
      <c r="CV12">
        <f>SUMIFS(T_Shipments[Confirmed_Qty],T_Shipments[RM_Code],$A12,T_Shipments[Effective_Week],99)</f>
        <v/>
      </c>
      <c r="CW12">
        <f>SUMIFS(T_Shipments[Confirmed_Qty],T_Shipments[RM_Code],$A12,T_Shipments[Effective_Week],100)</f>
        <v/>
      </c>
      <c r="CX12">
        <f>SUMIFS(T_Shipments[Confirmed_Qty],T_Shipments[RM_Code],$A12,T_Shipments[Effective_Week],101)</f>
        <v/>
      </c>
      <c r="CY12">
        <f>SUMIFS(T_Shipments[Confirmed_Qty],T_Shipments[RM_Code],$A12,T_Shipments[Effective_Week],102)</f>
        <v/>
      </c>
      <c r="CZ12">
        <f>SUMIFS(T_Shipments[Confirmed_Qty],T_Shipments[RM_Code],$A12,T_Shipments[Effective_Week],103)</f>
        <v/>
      </c>
      <c r="DA12">
        <f>SUMIFS(T_Shipments[Confirmed_Qty],T_Shipments[RM_Code],$A12,T_Shipments[Effective_Week],104)</f>
        <v/>
      </c>
    </row>
    <row r="13">
      <c r="A13" t="inlineStr">
        <is>
          <t>1EK</t>
        </is>
      </c>
      <c r="B13">
        <f>SUMIFS(T_Shipments[Confirmed_Qty],T_Shipments[RM_Code],$A13,T_Shipments[Effective_Week],1)</f>
        <v/>
      </c>
      <c r="C13">
        <f>SUMIFS(T_Shipments[Confirmed_Qty],T_Shipments[RM_Code],$A13,T_Shipments[Effective_Week],2)</f>
        <v/>
      </c>
      <c r="D13">
        <f>SUMIFS(T_Shipments[Confirmed_Qty],T_Shipments[RM_Code],$A13,T_Shipments[Effective_Week],3)</f>
        <v/>
      </c>
      <c r="E13">
        <f>SUMIFS(T_Shipments[Confirmed_Qty],T_Shipments[RM_Code],$A13,T_Shipments[Effective_Week],4)</f>
        <v/>
      </c>
      <c r="F13">
        <f>SUMIFS(T_Shipments[Confirmed_Qty],T_Shipments[RM_Code],$A13,T_Shipments[Effective_Week],5)</f>
        <v/>
      </c>
      <c r="G13">
        <f>SUMIFS(T_Shipments[Confirmed_Qty],T_Shipments[RM_Code],$A13,T_Shipments[Effective_Week],6)</f>
        <v/>
      </c>
      <c r="H13">
        <f>SUMIFS(T_Shipments[Confirmed_Qty],T_Shipments[RM_Code],$A13,T_Shipments[Effective_Week],7)</f>
        <v/>
      </c>
      <c r="I13">
        <f>SUMIFS(T_Shipments[Confirmed_Qty],T_Shipments[RM_Code],$A13,T_Shipments[Effective_Week],8)</f>
        <v/>
      </c>
      <c r="J13">
        <f>SUMIFS(T_Shipments[Confirmed_Qty],T_Shipments[RM_Code],$A13,T_Shipments[Effective_Week],9)</f>
        <v/>
      </c>
      <c r="K13">
        <f>SUMIFS(T_Shipments[Confirmed_Qty],T_Shipments[RM_Code],$A13,T_Shipments[Effective_Week],10)</f>
        <v/>
      </c>
      <c r="L13">
        <f>SUMIFS(T_Shipments[Confirmed_Qty],T_Shipments[RM_Code],$A13,T_Shipments[Effective_Week],11)</f>
        <v/>
      </c>
      <c r="M13">
        <f>SUMIFS(T_Shipments[Confirmed_Qty],T_Shipments[RM_Code],$A13,T_Shipments[Effective_Week],12)</f>
        <v/>
      </c>
      <c r="N13">
        <f>SUMIFS(T_Shipments[Confirmed_Qty],T_Shipments[RM_Code],$A13,T_Shipments[Effective_Week],13)</f>
        <v/>
      </c>
      <c r="O13">
        <f>SUMIFS(T_Shipments[Confirmed_Qty],T_Shipments[RM_Code],$A13,T_Shipments[Effective_Week],14)</f>
        <v/>
      </c>
      <c r="P13">
        <f>SUMIFS(T_Shipments[Confirmed_Qty],T_Shipments[RM_Code],$A13,T_Shipments[Effective_Week],15)</f>
        <v/>
      </c>
      <c r="Q13">
        <f>SUMIFS(T_Shipments[Confirmed_Qty],T_Shipments[RM_Code],$A13,T_Shipments[Effective_Week],16)</f>
        <v/>
      </c>
      <c r="R13">
        <f>SUMIFS(T_Shipments[Confirmed_Qty],T_Shipments[RM_Code],$A13,T_Shipments[Effective_Week],17)</f>
        <v/>
      </c>
      <c r="S13">
        <f>SUMIFS(T_Shipments[Confirmed_Qty],T_Shipments[RM_Code],$A13,T_Shipments[Effective_Week],18)</f>
        <v/>
      </c>
      <c r="T13">
        <f>SUMIFS(T_Shipments[Confirmed_Qty],T_Shipments[RM_Code],$A13,T_Shipments[Effective_Week],19)</f>
        <v/>
      </c>
      <c r="U13">
        <f>SUMIFS(T_Shipments[Confirmed_Qty],T_Shipments[RM_Code],$A13,T_Shipments[Effective_Week],20)</f>
        <v/>
      </c>
      <c r="V13">
        <f>SUMIFS(T_Shipments[Confirmed_Qty],T_Shipments[RM_Code],$A13,T_Shipments[Effective_Week],21)</f>
        <v/>
      </c>
      <c r="W13">
        <f>SUMIFS(T_Shipments[Confirmed_Qty],T_Shipments[RM_Code],$A13,T_Shipments[Effective_Week],22)</f>
        <v/>
      </c>
      <c r="X13">
        <f>SUMIFS(T_Shipments[Confirmed_Qty],T_Shipments[RM_Code],$A13,T_Shipments[Effective_Week],23)</f>
        <v/>
      </c>
      <c r="Y13">
        <f>SUMIFS(T_Shipments[Confirmed_Qty],T_Shipments[RM_Code],$A13,T_Shipments[Effective_Week],24)</f>
        <v/>
      </c>
      <c r="Z13">
        <f>SUMIFS(T_Shipments[Confirmed_Qty],T_Shipments[RM_Code],$A13,T_Shipments[Effective_Week],25)</f>
        <v/>
      </c>
      <c r="AA13">
        <f>SUMIFS(T_Shipments[Confirmed_Qty],T_Shipments[RM_Code],$A13,T_Shipments[Effective_Week],26)</f>
        <v/>
      </c>
      <c r="AB13">
        <f>SUMIFS(T_Shipments[Confirmed_Qty],T_Shipments[RM_Code],$A13,T_Shipments[Effective_Week],27)</f>
        <v/>
      </c>
      <c r="AC13">
        <f>SUMIFS(T_Shipments[Confirmed_Qty],T_Shipments[RM_Code],$A13,T_Shipments[Effective_Week],28)</f>
        <v/>
      </c>
      <c r="AD13">
        <f>SUMIFS(T_Shipments[Confirmed_Qty],T_Shipments[RM_Code],$A13,T_Shipments[Effective_Week],29)</f>
        <v/>
      </c>
      <c r="AE13">
        <f>SUMIFS(T_Shipments[Confirmed_Qty],T_Shipments[RM_Code],$A13,T_Shipments[Effective_Week],30)</f>
        <v/>
      </c>
      <c r="AF13">
        <f>SUMIFS(T_Shipments[Confirmed_Qty],T_Shipments[RM_Code],$A13,T_Shipments[Effective_Week],31)</f>
        <v/>
      </c>
      <c r="AG13">
        <f>SUMIFS(T_Shipments[Confirmed_Qty],T_Shipments[RM_Code],$A13,T_Shipments[Effective_Week],32)</f>
        <v/>
      </c>
      <c r="AH13">
        <f>SUMIFS(T_Shipments[Confirmed_Qty],T_Shipments[RM_Code],$A13,T_Shipments[Effective_Week],33)</f>
        <v/>
      </c>
      <c r="AI13">
        <f>SUMIFS(T_Shipments[Confirmed_Qty],T_Shipments[RM_Code],$A13,T_Shipments[Effective_Week],34)</f>
        <v/>
      </c>
      <c r="AJ13">
        <f>SUMIFS(T_Shipments[Confirmed_Qty],T_Shipments[RM_Code],$A13,T_Shipments[Effective_Week],35)</f>
        <v/>
      </c>
      <c r="AK13">
        <f>SUMIFS(T_Shipments[Confirmed_Qty],T_Shipments[RM_Code],$A13,T_Shipments[Effective_Week],36)</f>
        <v/>
      </c>
      <c r="AL13">
        <f>SUMIFS(T_Shipments[Confirmed_Qty],T_Shipments[RM_Code],$A13,T_Shipments[Effective_Week],37)</f>
        <v/>
      </c>
      <c r="AM13">
        <f>SUMIFS(T_Shipments[Confirmed_Qty],T_Shipments[RM_Code],$A13,T_Shipments[Effective_Week],38)</f>
        <v/>
      </c>
      <c r="AN13">
        <f>SUMIFS(T_Shipments[Confirmed_Qty],T_Shipments[RM_Code],$A13,T_Shipments[Effective_Week],39)</f>
        <v/>
      </c>
      <c r="AO13">
        <f>SUMIFS(T_Shipments[Confirmed_Qty],T_Shipments[RM_Code],$A13,T_Shipments[Effective_Week],40)</f>
        <v/>
      </c>
      <c r="AP13">
        <f>SUMIFS(T_Shipments[Confirmed_Qty],T_Shipments[RM_Code],$A13,T_Shipments[Effective_Week],41)</f>
        <v/>
      </c>
      <c r="AQ13">
        <f>SUMIFS(T_Shipments[Confirmed_Qty],T_Shipments[RM_Code],$A13,T_Shipments[Effective_Week],42)</f>
        <v/>
      </c>
      <c r="AR13">
        <f>SUMIFS(T_Shipments[Confirmed_Qty],T_Shipments[RM_Code],$A13,T_Shipments[Effective_Week],43)</f>
        <v/>
      </c>
      <c r="AS13">
        <f>SUMIFS(T_Shipments[Confirmed_Qty],T_Shipments[RM_Code],$A13,T_Shipments[Effective_Week],44)</f>
        <v/>
      </c>
      <c r="AT13">
        <f>SUMIFS(T_Shipments[Confirmed_Qty],T_Shipments[RM_Code],$A13,T_Shipments[Effective_Week],45)</f>
        <v/>
      </c>
      <c r="AU13">
        <f>SUMIFS(T_Shipments[Confirmed_Qty],T_Shipments[RM_Code],$A13,T_Shipments[Effective_Week],46)</f>
        <v/>
      </c>
      <c r="AV13">
        <f>SUMIFS(T_Shipments[Confirmed_Qty],T_Shipments[RM_Code],$A13,T_Shipments[Effective_Week],47)</f>
        <v/>
      </c>
      <c r="AW13">
        <f>SUMIFS(T_Shipments[Confirmed_Qty],T_Shipments[RM_Code],$A13,T_Shipments[Effective_Week],48)</f>
        <v/>
      </c>
      <c r="AX13">
        <f>SUMIFS(T_Shipments[Confirmed_Qty],T_Shipments[RM_Code],$A13,T_Shipments[Effective_Week],49)</f>
        <v/>
      </c>
      <c r="AY13">
        <f>SUMIFS(T_Shipments[Confirmed_Qty],T_Shipments[RM_Code],$A13,T_Shipments[Effective_Week],50)</f>
        <v/>
      </c>
      <c r="AZ13">
        <f>SUMIFS(T_Shipments[Confirmed_Qty],T_Shipments[RM_Code],$A13,T_Shipments[Effective_Week],51)</f>
        <v/>
      </c>
      <c r="BA13">
        <f>SUMIFS(T_Shipments[Confirmed_Qty],T_Shipments[RM_Code],$A13,T_Shipments[Effective_Week],52)</f>
        <v/>
      </c>
      <c r="BB13">
        <f>SUMIFS(T_Shipments[Confirmed_Qty],T_Shipments[RM_Code],$A13,T_Shipments[Effective_Week],53)</f>
        <v/>
      </c>
      <c r="BC13">
        <f>SUMIFS(T_Shipments[Confirmed_Qty],T_Shipments[RM_Code],$A13,T_Shipments[Effective_Week],54)</f>
        <v/>
      </c>
      <c r="BD13">
        <f>SUMIFS(T_Shipments[Confirmed_Qty],T_Shipments[RM_Code],$A13,T_Shipments[Effective_Week],55)</f>
        <v/>
      </c>
      <c r="BE13">
        <f>SUMIFS(T_Shipments[Confirmed_Qty],T_Shipments[RM_Code],$A13,T_Shipments[Effective_Week],56)</f>
        <v/>
      </c>
      <c r="BF13">
        <f>SUMIFS(T_Shipments[Confirmed_Qty],T_Shipments[RM_Code],$A13,T_Shipments[Effective_Week],57)</f>
        <v/>
      </c>
      <c r="BG13">
        <f>SUMIFS(T_Shipments[Confirmed_Qty],T_Shipments[RM_Code],$A13,T_Shipments[Effective_Week],58)</f>
        <v/>
      </c>
      <c r="BH13">
        <f>SUMIFS(T_Shipments[Confirmed_Qty],T_Shipments[RM_Code],$A13,T_Shipments[Effective_Week],59)</f>
        <v/>
      </c>
      <c r="BI13">
        <f>SUMIFS(T_Shipments[Confirmed_Qty],T_Shipments[RM_Code],$A13,T_Shipments[Effective_Week],60)</f>
        <v/>
      </c>
      <c r="BJ13">
        <f>SUMIFS(T_Shipments[Confirmed_Qty],T_Shipments[RM_Code],$A13,T_Shipments[Effective_Week],61)</f>
        <v/>
      </c>
      <c r="BK13">
        <f>SUMIFS(T_Shipments[Confirmed_Qty],T_Shipments[RM_Code],$A13,T_Shipments[Effective_Week],62)</f>
        <v/>
      </c>
      <c r="BL13">
        <f>SUMIFS(T_Shipments[Confirmed_Qty],T_Shipments[RM_Code],$A13,T_Shipments[Effective_Week],63)</f>
        <v/>
      </c>
      <c r="BM13">
        <f>SUMIFS(T_Shipments[Confirmed_Qty],T_Shipments[RM_Code],$A13,T_Shipments[Effective_Week],64)</f>
        <v/>
      </c>
      <c r="BN13">
        <f>SUMIFS(T_Shipments[Confirmed_Qty],T_Shipments[RM_Code],$A13,T_Shipments[Effective_Week],65)</f>
        <v/>
      </c>
      <c r="BO13">
        <f>SUMIFS(T_Shipments[Confirmed_Qty],T_Shipments[RM_Code],$A13,T_Shipments[Effective_Week],66)</f>
        <v/>
      </c>
      <c r="BP13">
        <f>SUMIFS(T_Shipments[Confirmed_Qty],T_Shipments[RM_Code],$A13,T_Shipments[Effective_Week],67)</f>
        <v/>
      </c>
      <c r="BQ13">
        <f>SUMIFS(T_Shipments[Confirmed_Qty],T_Shipments[RM_Code],$A13,T_Shipments[Effective_Week],68)</f>
        <v/>
      </c>
      <c r="BR13">
        <f>SUMIFS(T_Shipments[Confirmed_Qty],T_Shipments[RM_Code],$A13,T_Shipments[Effective_Week],69)</f>
        <v/>
      </c>
      <c r="BS13">
        <f>SUMIFS(T_Shipments[Confirmed_Qty],T_Shipments[RM_Code],$A13,T_Shipments[Effective_Week],70)</f>
        <v/>
      </c>
      <c r="BT13">
        <f>SUMIFS(T_Shipments[Confirmed_Qty],T_Shipments[RM_Code],$A13,T_Shipments[Effective_Week],71)</f>
        <v/>
      </c>
      <c r="BU13">
        <f>SUMIFS(T_Shipments[Confirmed_Qty],T_Shipments[RM_Code],$A13,T_Shipments[Effective_Week],72)</f>
        <v/>
      </c>
      <c r="BV13">
        <f>SUMIFS(T_Shipments[Confirmed_Qty],T_Shipments[RM_Code],$A13,T_Shipments[Effective_Week],73)</f>
        <v/>
      </c>
      <c r="BW13">
        <f>SUMIFS(T_Shipments[Confirmed_Qty],T_Shipments[RM_Code],$A13,T_Shipments[Effective_Week],74)</f>
        <v/>
      </c>
      <c r="BX13">
        <f>SUMIFS(T_Shipments[Confirmed_Qty],T_Shipments[RM_Code],$A13,T_Shipments[Effective_Week],75)</f>
        <v/>
      </c>
      <c r="BY13">
        <f>SUMIFS(T_Shipments[Confirmed_Qty],T_Shipments[RM_Code],$A13,T_Shipments[Effective_Week],76)</f>
        <v/>
      </c>
      <c r="BZ13">
        <f>SUMIFS(T_Shipments[Confirmed_Qty],T_Shipments[RM_Code],$A13,T_Shipments[Effective_Week],77)</f>
        <v/>
      </c>
      <c r="CA13">
        <f>SUMIFS(T_Shipments[Confirmed_Qty],T_Shipments[RM_Code],$A13,T_Shipments[Effective_Week],78)</f>
        <v/>
      </c>
      <c r="CB13">
        <f>SUMIFS(T_Shipments[Confirmed_Qty],T_Shipments[RM_Code],$A13,T_Shipments[Effective_Week],79)</f>
        <v/>
      </c>
      <c r="CC13">
        <f>SUMIFS(T_Shipments[Confirmed_Qty],T_Shipments[RM_Code],$A13,T_Shipments[Effective_Week],80)</f>
        <v/>
      </c>
      <c r="CD13">
        <f>SUMIFS(T_Shipments[Confirmed_Qty],T_Shipments[RM_Code],$A13,T_Shipments[Effective_Week],81)</f>
        <v/>
      </c>
      <c r="CE13">
        <f>SUMIFS(T_Shipments[Confirmed_Qty],T_Shipments[RM_Code],$A13,T_Shipments[Effective_Week],82)</f>
        <v/>
      </c>
      <c r="CF13">
        <f>SUMIFS(T_Shipments[Confirmed_Qty],T_Shipments[RM_Code],$A13,T_Shipments[Effective_Week],83)</f>
        <v/>
      </c>
      <c r="CG13">
        <f>SUMIFS(T_Shipments[Confirmed_Qty],T_Shipments[RM_Code],$A13,T_Shipments[Effective_Week],84)</f>
        <v/>
      </c>
      <c r="CH13">
        <f>SUMIFS(T_Shipments[Confirmed_Qty],T_Shipments[RM_Code],$A13,T_Shipments[Effective_Week],85)</f>
        <v/>
      </c>
      <c r="CI13">
        <f>SUMIFS(T_Shipments[Confirmed_Qty],T_Shipments[RM_Code],$A13,T_Shipments[Effective_Week],86)</f>
        <v/>
      </c>
      <c r="CJ13">
        <f>SUMIFS(T_Shipments[Confirmed_Qty],T_Shipments[RM_Code],$A13,T_Shipments[Effective_Week],87)</f>
        <v/>
      </c>
      <c r="CK13">
        <f>SUMIFS(T_Shipments[Confirmed_Qty],T_Shipments[RM_Code],$A13,T_Shipments[Effective_Week],88)</f>
        <v/>
      </c>
      <c r="CL13">
        <f>SUMIFS(T_Shipments[Confirmed_Qty],T_Shipments[RM_Code],$A13,T_Shipments[Effective_Week],89)</f>
        <v/>
      </c>
      <c r="CM13">
        <f>SUMIFS(T_Shipments[Confirmed_Qty],T_Shipments[RM_Code],$A13,T_Shipments[Effective_Week],90)</f>
        <v/>
      </c>
      <c r="CN13">
        <f>SUMIFS(T_Shipments[Confirmed_Qty],T_Shipments[RM_Code],$A13,T_Shipments[Effective_Week],91)</f>
        <v/>
      </c>
      <c r="CO13">
        <f>SUMIFS(T_Shipments[Confirmed_Qty],T_Shipments[RM_Code],$A13,T_Shipments[Effective_Week],92)</f>
        <v/>
      </c>
      <c r="CP13">
        <f>SUMIFS(T_Shipments[Confirmed_Qty],T_Shipments[RM_Code],$A13,T_Shipments[Effective_Week],93)</f>
        <v/>
      </c>
      <c r="CQ13">
        <f>SUMIFS(T_Shipments[Confirmed_Qty],T_Shipments[RM_Code],$A13,T_Shipments[Effective_Week],94)</f>
        <v/>
      </c>
      <c r="CR13">
        <f>SUMIFS(T_Shipments[Confirmed_Qty],T_Shipments[RM_Code],$A13,T_Shipments[Effective_Week],95)</f>
        <v/>
      </c>
      <c r="CS13">
        <f>SUMIFS(T_Shipments[Confirmed_Qty],T_Shipments[RM_Code],$A13,T_Shipments[Effective_Week],96)</f>
        <v/>
      </c>
      <c r="CT13">
        <f>SUMIFS(T_Shipments[Confirmed_Qty],T_Shipments[RM_Code],$A13,T_Shipments[Effective_Week],97)</f>
        <v/>
      </c>
      <c r="CU13">
        <f>SUMIFS(T_Shipments[Confirmed_Qty],T_Shipments[RM_Code],$A13,T_Shipments[Effective_Week],98)</f>
        <v/>
      </c>
      <c r="CV13">
        <f>SUMIFS(T_Shipments[Confirmed_Qty],T_Shipments[RM_Code],$A13,T_Shipments[Effective_Week],99)</f>
        <v/>
      </c>
      <c r="CW13">
        <f>SUMIFS(T_Shipments[Confirmed_Qty],T_Shipments[RM_Code],$A13,T_Shipments[Effective_Week],100)</f>
        <v/>
      </c>
      <c r="CX13">
        <f>SUMIFS(T_Shipments[Confirmed_Qty],T_Shipments[RM_Code],$A13,T_Shipments[Effective_Week],101)</f>
        <v/>
      </c>
      <c r="CY13">
        <f>SUMIFS(T_Shipments[Confirmed_Qty],T_Shipments[RM_Code],$A13,T_Shipments[Effective_Week],102)</f>
        <v/>
      </c>
      <c r="CZ13">
        <f>SUMIFS(T_Shipments[Confirmed_Qty],T_Shipments[RM_Code],$A13,T_Shipments[Effective_Week],103)</f>
        <v/>
      </c>
      <c r="DA13">
        <f>SUMIFS(T_Shipments[Confirmed_Qty],T_Shipments[RM_Code],$A13,T_Shipments[Effective_Week],104)</f>
        <v/>
      </c>
    </row>
    <row r="14">
      <c r="A14" t="inlineStr">
        <is>
          <t>7CL</t>
        </is>
      </c>
      <c r="B14">
        <f>SUMIFS(T_Shipments[Confirmed_Qty],T_Shipments[RM_Code],$A14,T_Shipments[Effective_Week],1)</f>
        <v/>
      </c>
      <c r="C14">
        <f>SUMIFS(T_Shipments[Confirmed_Qty],T_Shipments[RM_Code],$A14,T_Shipments[Effective_Week],2)</f>
        <v/>
      </c>
      <c r="D14">
        <f>SUMIFS(T_Shipments[Confirmed_Qty],T_Shipments[RM_Code],$A14,T_Shipments[Effective_Week],3)</f>
        <v/>
      </c>
      <c r="E14">
        <f>SUMIFS(T_Shipments[Confirmed_Qty],T_Shipments[RM_Code],$A14,T_Shipments[Effective_Week],4)</f>
        <v/>
      </c>
      <c r="F14">
        <f>SUMIFS(T_Shipments[Confirmed_Qty],T_Shipments[RM_Code],$A14,T_Shipments[Effective_Week],5)</f>
        <v/>
      </c>
      <c r="G14">
        <f>SUMIFS(T_Shipments[Confirmed_Qty],T_Shipments[RM_Code],$A14,T_Shipments[Effective_Week],6)</f>
        <v/>
      </c>
      <c r="H14">
        <f>SUMIFS(T_Shipments[Confirmed_Qty],T_Shipments[RM_Code],$A14,T_Shipments[Effective_Week],7)</f>
        <v/>
      </c>
      <c r="I14">
        <f>SUMIFS(T_Shipments[Confirmed_Qty],T_Shipments[RM_Code],$A14,T_Shipments[Effective_Week],8)</f>
        <v/>
      </c>
      <c r="J14">
        <f>SUMIFS(T_Shipments[Confirmed_Qty],T_Shipments[RM_Code],$A14,T_Shipments[Effective_Week],9)</f>
        <v/>
      </c>
      <c r="K14">
        <f>SUMIFS(T_Shipments[Confirmed_Qty],T_Shipments[RM_Code],$A14,T_Shipments[Effective_Week],10)</f>
        <v/>
      </c>
      <c r="L14">
        <f>SUMIFS(T_Shipments[Confirmed_Qty],T_Shipments[RM_Code],$A14,T_Shipments[Effective_Week],11)</f>
        <v/>
      </c>
      <c r="M14">
        <f>SUMIFS(T_Shipments[Confirmed_Qty],T_Shipments[RM_Code],$A14,T_Shipments[Effective_Week],12)</f>
        <v/>
      </c>
      <c r="N14">
        <f>SUMIFS(T_Shipments[Confirmed_Qty],T_Shipments[RM_Code],$A14,T_Shipments[Effective_Week],13)</f>
        <v/>
      </c>
      <c r="O14">
        <f>SUMIFS(T_Shipments[Confirmed_Qty],T_Shipments[RM_Code],$A14,T_Shipments[Effective_Week],14)</f>
        <v/>
      </c>
      <c r="P14">
        <f>SUMIFS(T_Shipments[Confirmed_Qty],T_Shipments[RM_Code],$A14,T_Shipments[Effective_Week],15)</f>
        <v/>
      </c>
      <c r="Q14">
        <f>SUMIFS(T_Shipments[Confirmed_Qty],T_Shipments[RM_Code],$A14,T_Shipments[Effective_Week],16)</f>
        <v/>
      </c>
      <c r="R14">
        <f>SUMIFS(T_Shipments[Confirmed_Qty],T_Shipments[RM_Code],$A14,T_Shipments[Effective_Week],17)</f>
        <v/>
      </c>
      <c r="S14">
        <f>SUMIFS(T_Shipments[Confirmed_Qty],T_Shipments[RM_Code],$A14,T_Shipments[Effective_Week],18)</f>
        <v/>
      </c>
      <c r="T14">
        <f>SUMIFS(T_Shipments[Confirmed_Qty],T_Shipments[RM_Code],$A14,T_Shipments[Effective_Week],19)</f>
        <v/>
      </c>
      <c r="U14">
        <f>SUMIFS(T_Shipments[Confirmed_Qty],T_Shipments[RM_Code],$A14,T_Shipments[Effective_Week],20)</f>
        <v/>
      </c>
      <c r="V14">
        <f>SUMIFS(T_Shipments[Confirmed_Qty],T_Shipments[RM_Code],$A14,T_Shipments[Effective_Week],21)</f>
        <v/>
      </c>
      <c r="W14">
        <f>SUMIFS(T_Shipments[Confirmed_Qty],T_Shipments[RM_Code],$A14,T_Shipments[Effective_Week],22)</f>
        <v/>
      </c>
      <c r="X14">
        <f>SUMIFS(T_Shipments[Confirmed_Qty],T_Shipments[RM_Code],$A14,T_Shipments[Effective_Week],23)</f>
        <v/>
      </c>
      <c r="Y14">
        <f>SUMIFS(T_Shipments[Confirmed_Qty],T_Shipments[RM_Code],$A14,T_Shipments[Effective_Week],24)</f>
        <v/>
      </c>
      <c r="Z14">
        <f>SUMIFS(T_Shipments[Confirmed_Qty],T_Shipments[RM_Code],$A14,T_Shipments[Effective_Week],25)</f>
        <v/>
      </c>
      <c r="AA14">
        <f>SUMIFS(T_Shipments[Confirmed_Qty],T_Shipments[RM_Code],$A14,T_Shipments[Effective_Week],26)</f>
        <v/>
      </c>
      <c r="AB14">
        <f>SUMIFS(T_Shipments[Confirmed_Qty],T_Shipments[RM_Code],$A14,T_Shipments[Effective_Week],27)</f>
        <v/>
      </c>
      <c r="AC14">
        <f>SUMIFS(T_Shipments[Confirmed_Qty],T_Shipments[RM_Code],$A14,T_Shipments[Effective_Week],28)</f>
        <v/>
      </c>
      <c r="AD14">
        <f>SUMIFS(T_Shipments[Confirmed_Qty],T_Shipments[RM_Code],$A14,T_Shipments[Effective_Week],29)</f>
        <v/>
      </c>
      <c r="AE14">
        <f>SUMIFS(T_Shipments[Confirmed_Qty],T_Shipments[RM_Code],$A14,T_Shipments[Effective_Week],30)</f>
        <v/>
      </c>
      <c r="AF14">
        <f>SUMIFS(T_Shipments[Confirmed_Qty],T_Shipments[RM_Code],$A14,T_Shipments[Effective_Week],31)</f>
        <v/>
      </c>
      <c r="AG14">
        <f>SUMIFS(T_Shipments[Confirmed_Qty],T_Shipments[RM_Code],$A14,T_Shipments[Effective_Week],32)</f>
        <v/>
      </c>
      <c r="AH14">
        <f>SUMIFS(T_Shipments[Confirmed_Qty],T_Shipments[RM_Code],$A14,T_Shipments[Effective_Week],33)</f>
        <v/>
      </c>
      <c r="AI14">
        <f>SUMIFS(T_Shipments[Confirmed_Qty],T_Shipments[RM_Code],$A14,T_Shipments[Effective_Week],34)</f>
        <v/>
      </c>
      <c r="AJ14">
        <f>SUMIFS(T_Shipments[Confirmed_Qty],T_Shipments[RM_Code],$A14,T_Shipments[Effective_Week],35)</f>
        <v/>
      </c>
      <c r="AK14">
        <f>SUMIFS(T_Shipments[Confirmed_Qty],T_Shipments[RM_Code],$A14,T_Shipments[Effective_Week],36)</f>
        <v/>
      </c>
      <c r="AL14">
        <f>SUMIFS(T_Shipments[Confirmed_Qty],T_Shipments[RM_Code],$A14,T_Shipments[Effective_Week],37)</f>
        <v/>
      </c>
      <c r="AM14">
        <f>SUMIFS(T_Shipments[Confirmed_Qty],T_Shipments[RM_Code],$A14,T_Shipments[Effective_Week],38)</f>
        <v/>
      </c>
      <c r="AN14">
        <f>SUMIFS(T_Shipments[Confirmed_Qty],T_Shipments[RM_Code],$A14,T_Shipments[Effective_Week],39)</f>
        <v/>
      </c>
      <c r="AO14">
        <f>SUMIFS(T_Shipments[Confirmed_Qty],T_Shipments[RM_Code],$A14,T_Shipments[Effective_Week],40)</f>
        <v/>
      </c>
      <c r="AP14">
        <f>SUMIFS(T_Shipments[Confirmed_Qty],T_Shipments[RM_Code],$A14,T_Shipments[Effective_Week],41)</f>
        <v/>
      </c>
      <c r="AQ14">
        <f>SUMIFS(T_Shipments[Confirmed_Qty],T_Shipments[RM_Code],$A14,T_Shipments[Effective_Week],42)</f>
        <v/>
      </c>
      <c r="AR14">
        <f>SUMIFS(T_Shipments[Confirmed_Qty],T_Shipments[RM_Code],$A14,T_Shipments[Effective_Week],43)</f>
        <v/>
      </c>
      <c r="AS14">
        <f>SUMIFS(T_Shipments[Confirmed_Qty],T_Shipments[RM_Code],$A14,T_Shipments[Effective_Week],44)</f>
        <v/>
      </c>
      <c r="AT14">
        <f>SUMIFS(T_Shipments[Confirmed_Qty],T_Shipments[RM_Code],$A14,T_Shipments[Effective_Week],45)</f>
        <v/>
      </c>
      <c r="AU14">
        <f>SUMIFS(T_Shipments[Confirmed_Qty],T_Shipments[RM_Code],$A14,T_Shipments[Effective_Week],46)</f>
        <v/>
      </c>
      <c r="AV14">
        <f>SUMIFS(T_Shipments[Confirmed_Qty],T_Shipments[RM_Code],$A14,T_Shipments[Effective_Week],47)</f>
        <v/>
      </c>
      <c r="AW14">
        <f>SUMIFS(T_Shipments[Confirmed_Qty],T_Shipments[RM_Code],$A14,T_Shipments[Effective_Week],48)</f>
        <v/>
      </c>
      <c r="AX14">
        <f>SUMIFS(T_Shipments[Confirmed_Qty],T_Shipments[RM_Code],$A14,T_Shipments[Effective_Week],49)</f>
        <v/>
      </c>
      <c r="AY14">
        <f>SUMIFS(T_Shipments[Confirmed_Qty],T_Shipments[RM_Code],$A14,T_Shipments[Effective_Week],50)</f>
        <v/>
      </c>
      <c r="AZ14">
        <f>SUMIFS(T_Shipments[Confirmed_Qty],T_Shipments[RM_Code],$A14,T_Shipments[Effective_Week],51)</f>
        <v/>
      </c>
      <c r="BA14">
        <f>SUMIFS(T_Shipments[Confirmed_Qty],T_Shipments[RM_Code],$A14,T_Shipments[Effective_Week],52)</f>
        <v/>
      </c>
      <c r="BB14">
        <f>SUMIFS(T_Shipments[Confirmed_Qty],T_Shipments[RM_Code],$A14,T_Shipments[Effective_Week],53)</f>
        <v/>
      </c>
      <c r="BC14">
        <f>SUMIFS(T_Shipments[Confirmed_Qty],T_Shipments[RM_Code],$A14,T_Shipments[Effective_Week],54)</f>
        <v/>
      </c>
      <c r="BD14">
        <f>SUMIFS(T_Shipments[Confirmed_Qty],T_Shipments[RM_Code],$A14,T_Shipments[Effective_Week],55)</f>
        <v/>
      </c>
      <c r="BE14">
        <f>SUMIFS(T_Shipments[Confirmed_Qty],T_Shipments[RM_Code],$A14,T_Shipments[Effective_Week],56)</f>
        <v/>
      </c>
      <c r="BF14">
        <f>SUMIFS(T_Shipments[Confirmed_Qty],T_Shipments[RM_Code],$A14,T_Shipments[Effective_Week],57)</f>
        <v/>
      </c>
      <c r="BG14">
        <f>SUMIFS(T_Shipments[Confirmed_Qty],T_Shipments[RM_Code],$A14,T_Shipments[Effective_Week],58)</f>
        <v/>
      </c>
      <c r="BH14">
        <f>SUMIFS(T_Shipments[Confirmed_Qty],T_Shipments[RM_Code],$A14,T_Shipments[Effective_Week],59)</f>
        <v/>
      </c>
      <c r="BI14">
        <f>SUMIFS(T_Shipments[Confirmed_Qty],T_Shipments[RM_Code],$A14,T_Shipments[Effective_Week],60)</f>
        <v/>
      </c>
      <c r="BJ14">
        <f>SUMIFS(T_Shipments[Confirmed_Qty],T_Shipments[RM_Code],$A14,T_Shipments[Effective_Week],61)</f>
        <v/>
      </c>
      <c r="BK14">
        <f>SUMIFS(T_Shipments[Confirmed_Qty],T_Shipments[RM_Code],$A14,T_Shipments[Effective_Week],62)</f>
        <v/>
      </c>
      <c r="BL14">
        <f>SUMIFS(T_Shipments[Confirmed_Qty],T_Shipments[RM_Code],$A14,T_Shipments[Effective_Week],63)</f>
        <v/>
      </c>
      <c r="BM14">
        <f>SUMIFS(T_Shipments[Confirmed_Qty],T_Shipments[RM_Code],$A14,T_Shipments[Effective_Week],64)</f>
        <v/>
      </c>
      <c r="BN14">
        <f>SUMIFS(T_Shipments[Confirmed_Qty],T_Shipments[RM_Code],$A14,T_Shipments[Effective_Week],65)</f>
        <v/>
      </c>
      <c r="BO14">
        <f>SUMIFS(T_Shipments[Confirmed_Qty],T_Shipments[RM_Code],$A14,T_Shipments[Effective_Week],66)</f>
        <v/>
      </c>
      <c r="BP14">
        <f>SUMIFS(T_Shipments[Confirmed_Qty],T_Shipments[RM_Code],$A14,T_Shipments[Effective_Week],67)</f>
        <v/>
      </c>
      <c r="BQ14">
        <f>SUMIFS(T_Shipments[Confirmed_Qty],T_Shipments[RM_Code],$A14,T_Shipments[Effective_Week],68)</f>
        <v/>
      </c>
      <c r="BR14">
        <f>SUMIFS(T_Shipments[Confirmed_Qty],T_Shipments[RM_Code],$A14,T_Shipments[Effective_Week],69)</f>
        <v/>
      </c>
      <c r="BS14">
        <f>SUMIFS(T_Shipments[Confirmed_Qty],T_Shipments[RM_Code],$A14,T_Shipments[Effective_Week],70)</f>
        <v/>
      </c>
      <c r="BT14">
        <f>SUMIFS(T_Shipments[Confirmed_Qty],T_Shipments[RM_Code],$A14,T_Shipments[Effective_Week],71)</f>
        <v/>
      </c>
      <c r="BU14">
        <f>SUMIFS(T_Shipments[Confirmed_Qty],T_Shipments[RM_Code],$A14,T_Shipments[Effective_Week],72)</f>
        <v/>
      </c>
      <c r="BV14">
        <f>SUMIFS(T_Shipments[Confirmed_Qty],T_Shipments[RM_Code],$A14,T_Shipments[Effective_Week],73)</f>
        <v/>
      </c>
      <c r="BW14">
        <f>SUMIFS(T_Shipments[Confirmed_Qty],T_Shipments[RM_Code],$A14,T_Shipments[Effective_Week],74)</f>
        <v/>
      </c>
      <c r="BX14">
        <f>SUMIFS(T_Shipments[Confirmed_Qty],T_Shipments[RM_Code],$A14,T_Shipments[Effective_Week],75)</f>
        <v/>
      </c>
      <c r="BY14">
        <f>SUMIFS(T_Shipments[Confirmed_Qty],T_Shipments[RM_Code],$A14,T_Shipments[Effective_Week],76)</f>
        <v/>
      </c>
      <c r="BZ14">
        <f>SUMIFS(T_Shipments[Confirmed_Qty],T_Shipments[RM_Code],$A14,T_Shipments[Effective_Week],77)</f>
        <v/>
      </c>
      <c r="CA14">
        <f>SUMIFS(T_Shipments[Confirmed_Qty],T_Shipments[RM_Code],$A14,T_Shipments[Effective_Week],78)</f>
        <v/>
      </c>
      <c r="CB14">
        <f>SUMIFS(T_Shipments[Confirmed_Qty],T_Shipments[RM_Code],$A14,T_Shipments[Effective_Week],79)</f>
        <v/>
      </c>
      <c r="CC14">
        <f>SUMIFS(T_Shipments[Confirmed_Qty],T_Shipments[RM_Code],$A14,T_Shipments[Effective_Week],80)</f>
        <v/>
      </c>
      <c r="CD14">
        <f>SUMIFS(T_Shipments[Confirmed_Qty],T_Shipments[RM_Code],$A14,T_Shipments[Effective_Week],81)</f>
        <v/>
      </c>
      <c r="CE14">
        <f>SUMIFS(T_Shipments[Confirmed_Qty],T_Shipments[RM_Code],$A14,T_Shipments[Effective_Week],82)</f>
        <v/>
      </c>
      <c r="CF14">
        <f>SUMIFS(T_Shipments[Confirmed_Qty],T_Shipments[RM_Code],$A14,T_Shipments[Effective_Week],83)</f>
        <v/>
      </c>
      <c r="CG14">
        <f>SUMIFS(T_Shipments[Confirmed_Qty],T_Shipments[RM_Code],$A14,T_Shipments[Effective_Week],84)</f>
        <v/>
      </c>
      <c r="CH14">
        <f>SUMIFS(T_Shipments[Confirmed_Qty],T_Shipments[RM_Code],$A14,T_Shipments[Effective_Week],85)</f>
        <v/>
      </c>
      <c r="CI14">
        <f>SUMIFS(T_Shipments[Confirmed_Qty],T_Shipments[RM_Code],$A14,T_Shipments[Effective_Week],86)</f>
        <v/>
      </c>
      <c r="CJ14">
        <f>SUMIFS(T_Shipments[Confirmed_Qty],T_Shipments[RM_Code],$A14,T_Shipments[Effective_Week],87)</f>
        <v/>
      </c>
      <c r="CK14">
        <f>SUMIFS(T_Shipments[Confirmed_Qty],T_Shipments[RM_Code],$A14,T_Shipments[Effective_Week],88)</f>
        <v/>
      </c>
      <c r="CL14">
        <f>SUMIFS(T_Shipments[Confirmed_Qty],T_Shipments[RM_Code],$A14,T_Shipments[Effective_Week],89)</f>
        <v/>
      </c>
      <c r="CM14">
        <f>SUMIFS(T_Shipments[Confirmed_Qty],T_Shipments[RM_Code],$A14,T_Shipments[Effective_Week],90)</f>
        <v/>
      </c>
      <c r="CN14">
        <f>SUMIFS(T_Shipments[Confirmed_Qty],T_Shipments[RM_Code],$A14,T_Shipments[Effective_Week],91)</f>
        <v/>
      </c>
      <c r="CO14">
        <f>SUMIFS(T_Shipments[Confirmed_Qty],T_Shipments[RM_Code],$A14,T_Shipments[Effective_Week],92)</f>
        <v/>
      </c>
      <c r="CP14">
        <f>SUMIFS(T_Shipments[Confirmed_Qty],T_Shipments[RM_Code],$A14,T_Shipments[Effective_Week],93)</f>
        <v/>
      </c>
      <c r="CQ14">
        <f>SUMIFS(T_Shipments[Confirmed_Qty],T_Shipments[RM_Code],$A14,T_Shipments[Effective_Week],94)</f>
        <v/>
      </c>
      <c r="CR14">
        <f>SUMIFS(T_Shipments[Confirmed_Qty],T_Shipments[RM_Code],$A14,T_Shipments[Effective_Week],95)</f>
        <v/>
      </c>
      <c r="CS14">
        <f>SUMIFS(T_Shipments[Confirmed_Qty],T_Shipments[RM_Code],$A14,T_Shipments[Effective_Week],96)</f>
        <v/>
      </c>
      <c r="CT14">
        <f>SUMIFS(T_Shipments[Confirmed_Qty],T_Shipments[RM_Code],$A14,T_Shipments[Effective_Week],97)</f>
        <v/>
      </c>
      <c r="CU14">
        <f>SUMIFS(T_Shipments[Confirmed_Qty],T_Shipments[RM_Code],$A14,T_Shipments[Effective_Week],98)</f>
        <v/>
      </c>
      <c r="CV14">
        <f>SUMIFS(T_Shipments[Confirmed_Qty],T_Shipments[RM_Code],$A14,T_Shipments[Effective_Week],99)</f>
        <v/>
      </c>
      <c r="CW14">
        <f>SUMIFS(T_Shipments[Confirmed_Qty],T_Shipments[RM_Code],$A14,T_Shipments[Effective_Week],100)</f>
        <v/>
      </c>
      <c r="CX14">
        <f>SUMIFS(T_Shipments[Confirmed_Qty],T_Shipments[RM_Code],$A14,T_Shipments[Effective_Week],101)</f>
        <v/>
      </c>
      <c r="CY14">
        <f>SUMIFS(T_Shipments[Confirmed_Qty],T_Shipments[RM_Code],$A14,T_Shipments[Effective_Week],102)</f>
        <v/>
      </c>
      <c r="CZ14">
        <f>SUMIFS(T_Shipments[Confirmed_Qty],T_Shipments[RM_Code],$A14,T_Shipments[Effective_Week],103)</f>
        <v/>
      </c>
      <c r="DA14">
        <f>SUMIFS(T_Shipments[Confirmed_Qty],T_Shipments[RM_Code],$A14,T_Shipments[Effective_Week],104)</f>
        <v/>
      </c>
    </row>
    <row r="15">
      <c r="A15" t="inlineStr">
        <is>
          <t>9RN</t>
        </is>
      </c>
      <c r="B15">
        <f>SUMIFS(T_Shipments[Confirmed_Qty],T_Shipments[RM_Code],$A15,T_Shipments[Effective_Week],1)</f>
        <v/>
      </c>
      <c r="C15">
        <f>SUMIFS(T_Shipments[Confirmed_Qty],T_Shipments[RM_Code],$A15,T_Shipments[Effective_Week],2)</f>
        <v/>
      </c>
      <c r="D15">
        <f>SUMIFS(T_Shipments[Confirmed_Qty],T_Shipments[RM_Code],$A15,T_Shipments[Effective_Week],3)</f>
        <v/>
      </c>
      <c r="E15">
        <f>SUMIFS(T_Shipments[Confirmed_Qty],T_Shipments[RM_Code],$A15,T_Shipments[Effective_Week],4)</f>
        <v/>
      </c>
      <c r="F15">
        <f>SUMIFS(T_Shipments[Confirmed_Qty],T_Shipments[RM_Code],$A15,T_Shipments[Effective_Week],5)</f>
        <v/>
      </c>
      <c r="G15">
        <f>SUMIFS(T_Shipments[Confirmed_Qty],T_Shipments[RM_Code],$A15,T_Shipments[Effective_Week],6)</f>
        <v/>
      </c>
      <c r="H15">
        <f>SUMIFS(T_Shipments[Confirmed_Qty],T_Shipments[RM_Code],$A15,T_Shipments[Effective_Week],7)</f>
        <v/>
      </c>
      <c r="I15">
        <f>SUMIFS(T_Shipments[Confirmed_Qty],T_Shipments[RM_Code],$A15,T_Shipments[Effective_Week],8)</f>
        <v/>
      </c>
      <c r="J15">
        <f>SUMIFS(T_Shipments[Confirmed_Qty],T_Shipments[RM_Code],$A15,T_Shipments[Effective_Week],9)</f>
        <v/>
      </c>
      <c r="K15">
        <f>SUMIFS(T_Shipments[Confirmed_Qty],T_Shipments[RM_Code],$A15,T_Shipments[Effective_Week],10)</f>
        <v/>
      </c>
      <c r="L15">
        <f>SUMIFS(T_Shipments[Confirmed_Qty],T_Shipments[RM_Code],$A15,T_Shipments[Effective_Week],11)</f>
        <v/>
      </c>
      <c r="M15">
        <f>SUMIFS(T_Shipments[Confirmed_Qty],T_Shipments[RM_Code],$A15,T_Shipments[Effective_Week],12)</f>
        <v/>
      </c>
      <c r="N15">
        <f>SUMIFS(T_Shipments[Confirmed_Qty],T_Shipments[RM_Code],$A15,T_Shipments[Effective_Week],13)</f>
        <v/>
      </c>
      <c r="O15">
        <f>SUMIFS(T_Shipments[Confirmed_Qty],T_Shipments[RM_Code],$A15,T_Shipments[Effective_Week],14)</f>
        <v/>
      </c>
      <c r="P15">
        <f>SUMIFS(T_Shipments[Confirmed_Qty],T_Shipments[RM_Code],$A15,T_Shipments[Effective_Week],15)</f>
        <v/>
      </c>
      <c r="Q15">
        <f>SUMIFS(T_Shipments[Confirmed_Qty],T_Shipments[RM_Code],$A15,T_Shipments[Effective_Week],16)</f>
        <v/>
      </c>
      <c r="R15">
        <f>SUMIFS(T_Shipments[Confirmed_Qty],T_Shipments[RM_Code],$A15,T_Shipments[Effective_Week],17)</f>
        <v/>
      </c>
      <c r="S15">
        <f>SUMIFS(T_Shipments[Confirmed_Qty],T_Shipments[RM_Code],$A15,T_Shipments[Effective_Week],18)</f>
        <v/>
      </c>
      <c r="T15">
        <f>SUMIFS(T_Shipments[Confirmed_Qty],T_Shipments[RM_Code],$A15,T_Shipments[Effective_Week],19)</f>
        <v/>
      </c>
      <c r="U15">
        <f>SUMIFS(T_Shipments[Confirmed_Qty],T_Shipments[RM_Code],$A15,T_Shipments[Effective_Week],20)</f>
        <v/>
      </c>
      <c r="V15">
        <f>SUMIFS(T_Shipments[Confirmed_Qty],T_Shipments[RM_Code],$A15,T_Shipments[Effective_Week],21)</f>
        <v/>
      </c>
      <c r="W15">
        <f>SUMIFS(T_Shipments[Confirmed_Qty],T_Shipments[RM_Code],$A15,T_Shipments[Effective_Week],22)</f>
        <v/>
      </c>
      <c r="X15">
        <f>SUMIFS(T_Shipments[Confirmed_Qty],T_Shipments[RM_Code],$A15,T_Shipments[Effective_Week],23)</f>
        <v/>
      </c>
      <c r="Y15">
        <f>SUMIFS(T_Shipments[Confirmed_Qty],T_Shipments[RM_Code],$A15,T_Shipments[Effective_Week],24)</f>
        <v/>
      </c>
      <c r="Z15">
        <f>SUMIFS(T_Shipments[Confirmed_Qty],T_Shipments[RM_Code],$A15,T_Shipments[Effective_Week],25)</f>
        <v/>
      </c>
      <c r="AA15">
        <f>SUMIFS(T_Shipments[Confirmed_Qty],T_Shipments[RM_Code],$A15,T_Shipments[Effective_Week],26)</f>
        <v/>
      </c>
      <c r="AB15">
        <f>SUMIFS(T_Shipments[Confirmed_Qty],T_Shipments[RM_Code],$A15,T_Shipments[Effective_Week],27)</f>
        <v/>
      </c>
      <c r="AC15">
        <f>SUMIFS(T_Shipments[Confirmed_Qty],T_Shipments[RM_Code],$A15,T_Shipments[Effective_Week],28)</f>
        <v/>
      </c>
      <c r="AD15">
        <f>SUMIFS(T_Shipments[Confirmed_Qty],T_Shipments[RM_Code],$A15,T_Shipments[Effective_Week],29)</f>
        <v/>
      </c>
      <c r="AE15">
        <f>SUMIFS(T_Shipments[Confirmed_Qty],T_Shipments[RM_Code],$A15,T_Shipments[Effective_Week],30)</f>
        <v/>
      </c>
      <c r="AF15">
        <f>SUMIFS(T_Shipments[Confirmed_Qty],T_Shipments[RM_Code],$A15,T_Shipments[Effective_Week],31)</f>
        <v/>
      </c>
      <c r="AG15">
        <f>SUMIFS(T_Shipments[Confirmed_Qty],T_Shipments[RM_Code],$A15,T_Shipments[Effective_Week],32)</f>
        <v/>
      </c>
      <c r="AH15">
        <f>SUMIFS(T_Shipments[Confirmed_Qty],T_Shipments[RM_Code],$A15,T_Shipments[Effective_Week],33)</f>
        <v/>
      </c>
      <c r="AI15">
        <f>SUMIFS(T_Shipments[Confirmed_Qty],T_Shipments[RM_Code],$A15,T_Shipments[Effective_Week],34)</f>
        <v/>
      </c>
      <c r="AJ15">
        <f>SUMIFS(T_Shipments[Confirmed_Qty],T_Shipments[RM_Code],$A15,T_Shipments[Effective_Week],35)</f>
        <v/>
      </c>
      <c r="AK15">
        <f>SUMIFS(T_Shipments[Confirmed_Qty],T_Shipments[RM_Code],$A15,T_Shipments[Effective_Week],36)</f>
        <v/>
      </c>
      <c r="AL15">
        <f>SUMIFS(T_Shipments[Confirmed_Qty],T_Shipments[RM_Code],$A15,T_Shipments[Effective_Week],37)</f>
        <v/>
      </c>
      <c r="AM15">
        <f>SUMIFS(T_Shipments[Confirmed_Qty],T_Shipments[RM_Code],$A15,T_Shipments[Effective_Week],38)</f>
        <v/>
      </c>
      <c r="AN15">
        <f>SUMIFS(T_Shipments[Confirmed_Qty],T_Shipments[RM_Code],$A15,T_Shipments[Effective_Week],39)</f>
        <v/>
      </c>
      <c r="AO15">
        <f>SUMIFS(T_Shipments[Confirmed_Qty],T_Shipments[RM_Code],$A15,T_Shipments[Effective_Week],40)</f>
        <v/>
      </c>
      <c r="AP15">
        <f>SUMIFS(T_Shipments[Confirmed_Qty],T_Shipments[RM_Code],$A15,T_Shipments[Effective_Week],41)</f>
        <v/>
      </c>
      <c r="AQ15">
        <f>SUMIFS(T_Shipments[Confirmed_Qty],T_Shipments[RM_Code],$A15,T_Shipments[Effective_Week],42)</f>
        <v/>
      </c>
      <c r="AR15">
        <f>SUMIFS(T_Shipments[Confirmed_Qty],T_Shipments[RM_Code],$A15,T_Shipments[Effective_Week],43)</f>
        <v/>
      </c>
      <c r="AS15">
        <f>SUMIFS(T_Shipments[Confirmed_Qty],T_Shipments[RM_Code],$A15,T_Shipments[Effective_Week],44)</f>
        <v/>
      </c>
      <c r="AT15">
        <f>SUMIFS(T_Shipments[Confirmed_Qty],T_Shipments[RM_Code],$A15,T_Shipments[Effective_Week],45)</f>
        <v/>
      </c>
      <c r="AU15">
        <f>SUMIFS(T_Shipments[Confirmed_Qty],T_Shipments[RM_Code],$A15,T_Shipments[Effective_Week],46)</f>
        <v/>
      </c>
      <c r="AV15">
        <f>SUMIFS(T_Shipments[Confirmed_Qty],T_Shipments[RM_Code],$A15,T_Shipments[Effective_Week],47)</f>
        <v/>
      </c>
      <c r="AW15">
        <f>SUMIFS(T_Shipments[Confirmed_Qty],T_Shipments[RM_Code],$A15,T_Shipments[Effective_Week],48)</f>
        <v/>
      </c>
      <c r="AX15">
        <f>SUMIFS(T_Shipments[Confirmed_Qty],T_Shipments[RM_Code],$A15,T_Shipments[Effective_Week],49)</f>
        <v/>
      </c>
      <c r="AY15">
        <f>SUMIFS(T_Shipments[Confirmed_Qty],T_Shipments[RM_Code],$A15,T_Shipments[Effective_Week],50)</f>
        <v/>
      </c>
      <c r="AZ15">
        <f>SUMIFS(T_Shipments[Confirmed_Qty],T_Shipments[RM_Code],$A15,T_Shipments[Effective_Week],51)</f>
        <v/>
      </c>
      <c r="BA15">
        <f>SUMIFS(T_Shipments[Confirmed_Qty],T_Shipments[RM_Code],$A15,T_Shipments[Effective_Week],52)</f>
        <v/>
      </c>
      <c r="BB15">
        <f>SUMIFS(T_Shipments[Confirmed_Qty],T_Shipments[RM_Code],$A15,T_Shipments[Effective_Week],53)</f>
        <v/>
      </c>
      <c r="BC15">
        <f>SUMIFS(T_Shipments[Confirmed_Qty],T_Shipments[RM_Code],$A15,T_Shipments[Effective_Week],54)</f>
        <v/>
      </c>
      <c r="BD15">
        <f>SUMIFS(T_Shipments[Confirmed_Qty],T_Shipments[RM_Code],$A15,T_Shipments[Effective_Week],55)</f>
        <v/>
      </c>
      <c r="BE15">
        <f>SUMIFS(T_Shipments[Confirmed_Qty],T_Shipments[RM_Code],$A15,T_Shipments[Effective_Week],56)</f>
        <v/>
      </c>
      <c r="BF15">
        <f>SUMIFS(T_Shipments[Confirmed_Qty],T_Shipments[RM_Code],$A15,T_Shipments[Effective_Week],57)</f>
        <v/>
      </c>
      <c r="BG15">
        <f>SUMIFS(T_Shipments[Confirmed_Qty],T_Shipments[RM_Code],$A15,T_Shipments[Effective_Week],58)</f>
        <v/>
      </c>
      <c r="BH15">
        <f>SUMIFS(T_Shipments[Confirmed_Qty],T_Shipments[RM_Code],$A15,T_Shipments[Effective_Week],59)</f>
        <v/>
      </c>
      <c r="BI15">
        <f>SUMIFS(T_Shipments[Confirmed_Qty],T_Shipments[RM_Code],$A15,T_Shipments[Effective_Week],60)</f>
        <v/>
      </c>
      <c r="BJ15">
        <f>SUMIFS(T_Shipments[Confirmed_Qty],T_Shipments[RM_Code],$A15,T_Shipments[Effective_Week],61)</f>
        <v/>
      </c>
      <c r="BK15">
        <f>SUMIFS(T_Shipments[Confirmed_Qty],T_Shipments[RM_Code],$A15,T_Shipments[Effective_Week],62)</f>
        <v/>
      </c>
      <c r="BL15">
        <f>SUMIFS(T_Shipments[Confirmed_Qty],T_Shipments[RM_Code],$A15,T_Shipments[Effective_Week],63)</f>
        <v/>
      </c>
      <c r="BM15">
        <f>SUMIFS(T_Shipments[Confirmed_Qty],T_Shipments[RM_Code],$A15,T_Shipments[Effective_Week],64)</f>
        <v/>
      </c>
      <c r="BN15">
        <f>SUMIFS(T_Shipments[Confirmed_Qty],T_Shipments[RM_Code],$A15,T_Shipments[Effective_Week],65)</f>
        <v/>
      </c>
      <c r="BO15">
        <f>SUMIFS(T_Shipments[Confirmed_Qty],T_Shipments[RM_Code],$A15,T_Shipments[Effective_Week],66)</f>
        <v/>
      </c>
      <c r="BP15">
        <f>SUMIFS(T_Shipments[Confirmed_Qty],T_Shipments[RM_Code],$A15,T_Shipments[Effective_Week],67)</f>
        <v/>
      </c>
      <c r="BQ15">
        <f>SUMIFS(T_Shipments[Confirmed_Qty],T_Shipments[RM_Code],$A15,T_Shipments[Effective_Week],68)</f>
        <v/>
      </c>
      <c r="BR15">
        <f>SUMIFS(T_Shipments[Confirmed_Qty],T_Shipments[RM_Code],$A15,T_Shipments[Effective_Week],69)</f>
        <v/>
      </c>
      <c r="BS15">
        <f>SUMIFS(T_Shipments[Confirmed_Qty],T_Shipments[RM_Code],$A15,T_Shipments[Effective_Week],70)</f>
        <v/>
      </c>
      <c r="BT15">
        <f>SUMIFS(T_Shipments[Confirmed_Qty],T_Shipments[RM_Code],$A15,T_Shipments[Effective_Week],71)</f>
        <v/>
      </c>
      <c r="BU15">
        <f>SUMIFS(T_Shipments[Confirmed_Qty],T_Shipments[RM_Code],$A15,T_Shipments[Effective_Week],72)</f>
        <v/>
      </c>
      <c r="BV15">
        <f>SUMIFS(T_Shipments[Confirmed_Qty],T_Shipments[RM_Code],$A15,T_Shipments[Effective_Week],73)</f>
        <v/>
      </c>
      <c r="BW15">
        <f>SUMIFS(T_Shipments[Confirmed_Qty],T_Shipments[RM_Code],$A15,T_Shipments[Effective_Week],74)</f>
        <v/>
      </c>
      <c r="BX15">
        <f>SUMIFS(T_Shipments[Confirmed_Qty],T_Shipments[RM_Code],$A15,T_Shipments[Effective_Week],75)</f>
        <v/>
      </c>
      <c r="BY15">
        <f>SUMIFS(T_Shipments[Confirmed_Qty],T_Shipments[RM_Code],$A15,T_Shipments[Effective_Week],76)</f>
        <v/>
      </c>
      <c r="BZ15">
        <f>SUMIFS(T_Shipments[Confirmed_Qty],T_Shipments[RM_Code],$A15,T_Shipments[Effective_Week],77)</f>
        <v/>
      </c>
      <c r="CA15">
        <f>SUMIFS(T_Shipments[Confirmed_Qty],T_Shipments[RM_Code],$A15,T_Shipments[Effective_Week],78)</f>
        <v/>
      </c>
      <c r="CB15">
        <f>SUMIFS(T_Shipments[Confirmed_Qty],T_Shipments[RM_Code],$A15,T_Shipments[Effective_Week],79)</f>
        <v/>
      </c>
      <c r="CC15">
        <f>SUMIFS(T_Shipments[Confirmed_Qty],T_Shipments[RM_Code],$A15,T_Shipments[Effective_Week],80)</f>
        <v/>
      </c>
      <c r="CD15">
        <f>SUMIFS(T_Shipments[Confirmed_Qty],T_Shipments[RM_Code],$A15,T_Shipments[Effective_Week],81)</f>
        <v/>
      </c>
      <c r="CE15">
        <f>SUMIFS(T_Shipments[Confirmed_Qty],T_Shipments[RM_Code],$A15,T_Shipments[Effective_Week],82)</f>
        <v/>
      </c>
      <c r="CF15">
        <f>SUMIFS(T_Shipments[Confirmed_Qty],T_Shipments[RM_Code],$A15,T_Shipments[Effective_Week],83)</f>
        <v/>
      </c>
      <c r="CG15">
        <f>SUMIFS(T_Shipments[Confirmed_Qty],T_Shipments[RM_Code],$A15,T_Shipments[Effective_Week],84)</f>
        <v/>
      </c>
      <c r="CH15">
        <f>SUMIFS(T_Shipments[Confirmed_Qty],T_Shipments[RM_Code],$A15,T_Shipments[Effective_Week],85)</f>
        <v/>
      </c>
      <c r="CI15">
        <f>SUMIFS(T_Shipments[Confirmed_Qty],T_Shipments[RM_Code],$A15,T_Shipments[Effective_Week],86)</f>
        <v/>
      </c>
      <c r="CJ15">
        <f>SUMIFS(T_Shipments[Confirmed_Qty],T_Shipments[RM_Code],$A15,T_Shipments[Effective_Week],87)</f>
        <v/>
      </c>
      <c r="CK15">
        <f>SUMIFS(T_Shipments[Confirmed_Qty],T_Shipments[RM_Code],$A15,T_Shipments[Effective_Week],88)</f>
        <v/>
      </c>
      <c r="CL15">
        <f>SUMIFS(T_Shipments[Confirmed_Qty],T_Shipments[RM_Code],$A15,T_Shipments[Effective_Week],89)</f>
        <v/>
      </c>
      <c r="CM15">
        <f>SUMIFS(T_Shipments[Confirmed_Qty],T_Shipments[RM_Code],$A15,T_Shipments[Effective_Week],90)</f>
        <v/>
      </c>
      <c r="CN15">
        <f>SUMIFS(T_Shipments[Confirmed_Qty],T_Shipments[RM_Code],$A15,T_Shipments[Effective_Week],91)</f>
        <v/>
      </c>
      <c r="CO15">
        <f>SUMIFS(T_Shipments[Confirmed_Qty],T_Shipments[RM_Code],$A15,T_Shipments[Effective_Week],92)</f>
        <v/>
      </c>
      <c r="CP15">
        <f>SUMIFS(T_Shipments[Confirmed_Qty],T_Shipments[RM_Code],$A15,T_Shipments[Effective_Week],93)</f>
        <v/>
      </c>
      <c r="CQ15">
        <f>SUMIFS(T_Shipments[Confirmed_Qty],T_Shipments[RM_Code],$A15,T_Shipments[Effective_Week],94)</f>
        <v/>
      </c>
      <c r="CR15">
        <f>SUMIFS(T_Shipments[Confirmed_Qty],T_Shipments[RM_Code],$A15,T_Shipments[Effective_Week],95)</f>
        <v/>
      </c>
      <c r="CS15">
        <f>SUMIFS(T_Shipments[Confirmed_Qty],T_Shipments[RM_Code],$A15,T_Shipments[Effective_Week],96)</f>
        <v/>
      </c>
      <c r="CT15">
        <f>SUMIFS(T_Shipments[Confirmed_Qty],T_Shipments[RM_Code],$A15,T_Shipments[Effective_Week],97)</f>
        <v/>
      </c>
      <c r="CU15">
        <f>SUMIFS(T_Shipments[Confirmed_Qty],T_Shipments[RM_Code],$A15,T_Shipments[Effective_Week],98)</f>
        <v/>
      </c>
      <c r="CV15">
        <f>SUMIFS(T_Shipments[Confirmed_Qty],T_Shipments[RM_Code],$A15,T_Shipments[Effective_Week],99)</f>
        <v/>
      </c>
      <c r="CW15">
        <f>SUMIFS(T_Shipments[Confirmed_Qty],T_Shipments[RM_Code],$A15,T_Shipments[Effective_Week],100)</f>
        <v/>
      </c>
      <c r="CX15">
        <f>SUMIFS(T_Shipments[Confirmed_Qty],T_Shipments[RM_Code],$A15,T_Shipments[Effective_Week],101)</f>
        <v/>
      </c>
      <c r="CY15">
        <f>SUMIFS(T_Shipments[Confirmed_Qty],T_Shipments[RM_Code],$A15,T_Shipments[Effective_Week],102)</f>
        <v/>
      </c>
      <c r="CZ15">
        <f>SUMIFS(T_Shipments[Confirmed_Qty],T_Shipments[RM_Code],$A15,T_Shipments[Effective_Week],103)</f>
        <v/>
      </c>
      <c r="DA15">
        <f>SUMIFS(T_Shipments[Confirmed_Qty],T_Shipments[RM_Code],$A15,T_Shipments[Effective_Week],104)</f>
        <v/>
      </c>
    </row>
    <row r="16">
      <c r="A16" t="inlineStr">
        <is>
          <t>7EP</t>
        </is>
      </c>
      <c r="B16">
        <f>SUMIFS(T_Shipments[Confirmed_Qty],T_Shipments[RM_Code],$A16,T_Shipments[Effective_Week],1)</f>
        <v/>
      </c>
      <c r="C16">
        <f>SUMIFS(T_Shipments[Confirmed_Qty],T_Shipments[RM_Code],$A16,T_Shipments[Effective_Week],2)</f>
        <v/>
      </c>
      <c r="D16">
        <f>SUMIFS(T_Shipments[Confirmed_Qty],T_Shipments[RM_Code],$A16,T_Shipments[Effective_Week],3)</f>
        <v/>
      </c>
      <c r="E16">
        <f>SUMIFS(T_Shipments[Confirmed_Qty],T_Shipments[RM_Code],$A16,T_Shipments[Effective_Week],4)</f>
        <v/>
      </c>
      <c r="F16">
        <f>SUMIFS(T_Shipments[Confirmed_Qty],T_Shipments[RM_Code],$A16,T_Shipments[Effective_Week],5)</f>
        <v/>
      </c>
      <c r="G16">
        <f>SUMIFS(T_Shipments[Confirmed_Qty],T_Shipments[RM_Code],$A16,T_Shipments[Effective_Week],6)</f>
        <v/>
      </c>
      <c r="H16">
        <f>SUMIFS(T_Shipments[Confirmed_Qty],T_Shipments[RM_Code],$A16,T_Shipments[Effective_Week],7)</f>
        <v/>
      </c>
      <c r="I16">
        <f>SUMIFS(T_Shipments[Confirmed_Qty],T_Shipments[RM_Code],$A16,T_Shipments[Effective_Week],8)</f>
        <v/>
      </c>
      <c r="J16">
        <f>SUMIFS(T_Shipments[Confirmed_Qty],T_Shipments[RM_Code],$A16,T_Shipments[Effective_Week],9)</f>
        <v/>
      </c>
      <c r="K16">
        <f>SUMIFS(T_Shipments[Confirmed_Qty],T_Shipments[RM_Code],$A16,T_Shipments[Effective_Week],10)</f>
        <v/>
      </c>
      <c r="L16">
        <f>SUMIFS(T_Shipments[Confirmed_Qty],T_Shipments[RM_Code],$A16,T_Shipments[Effective_Week],11)</f>
        <v/>
      </c>
      <c r="M16">
        <f>SUMIFS(T_Shipments[Confirmed_Qty],T_Shipments[RM_Code],$A16,T_Shipments[Effective_Week],12)</f>
        <v/>
      </c>
      <c r="N16">
        <f>SUMIFS(T_Shipments[Confirmed_Qty],T_Shipments[RM_Code],$A16,T_Shipments[Effective_Week],13)</f>
        <v/>
      </c>
      <c r="O16">
        <f>SUMIFS(T_Shipments[Confirmed_Qty],T_Shipments[RM_Code],$A16,T_Shipments[Effective_Week],14)</f>
        <v/>
      </c>
      <c r="P16">
        <f>SUMIFS(T_Shipments[Confirmed_Qty],T_Shipments[RM_Code],$A16,T_Shipments[Effective_Week],15)</f>
        <v/>
      </c>
      <c r="Q16">
        <f>SUMIFS(T_Shipments[Confirmed_Qty],T_Shipments[RM_Code],$A16,T_Shipments[Effective_Week],16)</f>
        <v/>
      </c>
      <c r="R16">
        <f>SUMIFS(T_Shipments[Confirmed_Qty],T_Shipments[RM_Code],$A16,T_Shipments[Effective_Week],17)</f>
        <v/>
      </c>
      <c r="S16">
        <f>SUMIFS(T_Shipments[Confirmed_Qty],T_Shipments[RM_Code],$A16,T_Shipments[Effective_Week],18)</f>
        <v/>
      </c>
      <c r="T16">
        <f>SUMIFS(T_Shipments[Confirmed_Qty],T_Shipments[RM_Code],$A16,T_Shipments[Effective_Week],19)</f>
        <v/>
      </c>
      <c r="U16">
        <f>SUMIFS(T_Shipments[Confirmed_Qty],T_Shipments[RM_Code],$A16,T_Shipments[Effective_Week],20)</f>
        <v/>
      </c>
      <c r="V16">
        <f>SUMIFS(T_Shipments[Confirmed_Qty],T_Shipments[RM_Code],$A16,T_Shipments[Effective_Week],21)</f>
        <v/>
      </c>
      <c r="W16">
        <f>SUMIFS(T_Shipments[Confirmed_Qty],T_Shipments[RM_Code],$A16,T_Shipments[Effective_Week],22)</f>
        <v/>
      </c>
      <c r="X16">
        <f>SUMIFS(T_Shipments[Confirmed_Qty],T_Shipments[RM_Code],$A16,T_Shipments[Effective_Week],23)</f>
        <v/>
      </c>
      <c r="Y16">
        <f>SUMIFS(T_Shipments[Confirmed_Qty],T_Shipments[RM_Code],$A16,T_Shipments[Effective_Week],24)</f>
        <v/>
      </c>
      <c r="Z16">
        <f>SUMIFS(T_Shipments[Confirmed_Qty],T_Shipments[RM_Code],$A16,T_Shipments[Effective_Week],25)</f>
        <v/>
      </c>
      <c r="AA16">
        <f>SUMIFS(T_Shipments[Confirmed_Qty],T_Shipments[RM_Code],$A16,T_Shipments[Effective_Week],26)</f>
        <v/>
      </c>
      <c r="AB16">
        <f>SUMIFS(T_Shipments[Confirmed_Qty],T_Shipments[RM_Code],$A16,T_Shipments[Effective_Week],27)</f>
        <v/>
      </c>
      <c r="AC16">
        <f>SUMIFS(T_Shipments[Confirmed_Qty],T_Shipments[RM_Code],$A16,T_Shipments[Effective_Week],28)</f>
        <v/>
      </c>
      <c r="AD16">
        <f>SUMIFS(T_Shipments[Confirmed_Qty],T_Shipments[RM_Code],$A16,T_Shipments[Effective_Week],29)</f>
        <v/>
      </c>
      <c r="AE16">
        <f>SUMIFS(T_Shipments[Confirmed_Qty],T_Shipments[RM_Code],$A16,T_Shipments[Effective_Week],30)</f>
        <v/>
      </c>
      <c r="AF16">
        <f>SUMIFS(T_Shipments[Confirmed_Qty],T_Shipments[RM_Code],$A16,T_Shipments[Effective_Week],31)</f>
        <v/>
      </c>
      <c r="AG16">
        <f>SUMIFS(T_Shipments[Confirmed_Qty],T_Shipments[RM_Code],$A16,T_Shipments[Effective_Week],32)</f>
        <v/>
      </c>
      <c r="AH16">
        <f>SUMIFS(T_Shipments[Confirmed_Qty],T_Shipments[RM_Code],$A16,T_Shipments[Effective_Week],33)</f>
        <v/>
      </c>
      <c r="AI16">
        <f>SUMIFS(T_Shipments[Confirmed_Qty],T_Shipments[RM_Code],$A16,T_Shipments[Effective_Week],34)</f>
        <v/>
      </c>
      <c r="AJ16">
        <f>SUMIFS(T_Shipments[Confirmed_Qty],T_Shipments[RM_Code],$A16,T_Shipments[Effective_Week],35)</f>
        <v/>
      </c>
      <c r="AK16">
        <f>SUMIFS(T_Shipments[Confirmed_Qty],T_Shipments[RM_Code],$A16,T_Shipments[Effective_Week],36)</f>
        <v/>
      </c>
      <c r="AL16">
        <f>SUMIFS(T_Shipments[Confirmed_Qty],T_Shipments[RM_Code],$A16,T_Shipments[Effective_Week],37)</f>
        <v/>
      </c>
      <c r="AM16">
        <f>SUMIFS(T_Shipments[Confirmed_Qty],T_Shipments[RM_Code],$A16,T_Shipments[Effective_Week],38)</f>
        <v/>
      </c>
      <c r="AN16">
        <f>SUMIFS(T_Shipments[Confirmed_Qty],T_Shipments[RM_Code],$A16,T_Shipments[Effective_Week],39)</f>
        <v/>
      </c>
      <c r="AO16">
        <f>SUMIFS(T_Shipments[Confirmed_Qty],T_Shipments[RM_Code],$A16,T_Shipments[Effective_Week],40)</f>
        <v/>
      </c>
      <c r="AP16">
        <f>SUMIFS(T_Shipments[Confirmed_Qty],T_Shipments[RM_Code],$A16,T_Shipments[Effective_Week],41)</f>
        <v/>
      </c>
      <c r="AQ16">
        <f>SUMIFS(T_Shipments[Confirmed_Qty],T_Shipments[RM_Code],$A16,T_Shipments[Effective_Week],42)</f>
        <v/>
      </c>
      <c r="AR16">
        <f>SUMIFS(T_Shipments[Confirmed_Qty],T_Shipments[RM_Code],$A16,T_Shipments[Effective_Week],43)</f>
        <v/>
      </c>
      <c r="AS16">
        <f>SUMIFS(T_Shipments[Confirmed_Qty],T_Shipments[RM_Code],$A16,T_Shipments[Effective_Week],44)</f>
        <v/>
      </c>
      <c r="AT16">
        <f>SUMIFS(T_Shipments[Confirmed_Qty],T_Shipments[RM_Code],$A16,T_Shipments[Effective_Week],45)</f>
        <v/>
      </c>
      <c r="AU16">
        <f>SUMIFS(T_Shipments[Confirmed_Qty],T_Shipments[RM_Code],$A16,T_Shipments[Effective_Week],46)</f>
        <v/>
      </c>
      <c r="AV16">
        <f>SUMIFS(T_Shipments[Confirmed_Qty],T_Shipments[RM_Code],$A16,T_Shipments[Effective_Week],47)</f>
        <v/>
      </c>
      <c r="AW16">
        <f>SUMIFS(T_Shipments[Confirmed_Qty],T_Shipments[RM_Code],$A16,T_Shipments[Effective_Week],48)</f>
        <v/>
      </c>
      <c r="AX16">
        <f>SUMIFS(T_Shipments[Confirmed_Qty],T_Shipments[RM_Code],$A16,T_Shipments[Effective_Week],49)</f>
        <v/>
      </c>
      <c r="AY16">
        <f>SUMIFS(T_Shipments[Confirmed_Qty],T_Shipments[RM_Code],$A16,T_Shipments[Effective_Week],50)</f>
        <v/>
      </c>
      <c r="AZ16">
        <f>SUMIFS(T_Shipments[Confirmed_Qty],T_Shipments[RM_Code],$A16,T_Shipments[Effective_Week],51)</f>
        <v/>
      </c>
      <c r="BA16">
        <f>SUMIFS(T_Shipments[Confirmed_Qty],T_Shipments[RM_Code],$A16,T_Shipments[Effective_Week],52)</f>
        <v/>
      </c>
      <c r="BB16">
        <f>SUMIFS(T_Shipments[Confirmed_Qty],T_Shipments[RM_Code],$A16,T_Shipments[Effective_Week],53)</f>
        <v/>
      </c>
      <c r="BC16">
        <f>SUMIFS(T_Shipments[Confirmed_Qty],T_Shipments[RM_Code],$A16,T_Shipments[Effective_Week],54)</f>
        <v/>
      </c>
      <c r="BD16">
        <f>SUMIFS(T_Shipments[Confirmed_Qty],T_Shipments[RM_Code],$A16,T_Shipments[Effective_Week],55)</f>
        <v/>
      </c>
      <c r="BE16">
        <f>SUMIFS(T_Shipments[Confirmed_Qty],T_Shipments[RM_Code],$A16,T_Shipments[Effective_Week],56)</f>
        <v/>
      </c>
      <c r="BF16">
        <f>SUMIFS(T_Shipments[Confirmed_Qty],T_Shipments[RM_Code],$A16,T_Shipments[Effective_Week],57)</f>
        <v/>
      </c>
      <c r="BG16">
        <f>SUMIFS(T_Shipments[Confirmed_Qty],T_Shipments[RM_Code],$A16,T_Shipments[Effective_Week],58)</f>
        <v/>
      </c>
      <c r="BH16">
        <f>SUMIFS(T_Shipments[Confirmed_Qty],T_Shipments[RM_Code],$A16,T_Shipments[Effective_Week],59)</f>
        <v/>
      </c>
      <c r="BI16">
        <f>SUMIFS(T_Shipments[Confirmed_Qty],T_Shipments[RM_Code],$A16,T_Shipments[Effective_Week],60)</f>
        <v/>
      </c>
      <c r="BJ16">
        <f>SUMIFS(T_Shipments[Confirmed_Qty],T_Shipments[RM_Code],$A16,T_Shipments[Effective_Week],61)</f>
        <v/>
      </c>
      <c r="BK16">
        <f>SUMIFS(T_Shipments[Confirmed_Qty],T_Shipments[RM_Code],$A16,T_Shipments[Effective_Week],62)</f>
        <v/>
      </c>
      <c r="BL16">
        <f>SUMIFS(T_Shipments[Confirmed_Qty],T_Shipments[RM_Code],$A16,T_Shipments[Effective_Week],63)</f>
        <v/>
      </c>
      <c r="BM16">
        <f>SUMIFS(T_Shipments[Confirmed_Qty],T_Shipments[RM_Code],$A16,T_Shipments[Effective_Week],64)</f>
        <v/>
      </c>
      <c r="BN16">
        <f>SUMIFS(T_Shipments[Confirmed_Qty],T_Shipments[RM_Code],$A16,T_Shipments[Effective_Week],65)</f>
        <v/>
      </c>
      <c r="BO16">
        <f>SUMIFS(T_Shipments[Confirmed_Qty],T_Shipments[RM_Code],$A16,T_Shipments[Effective_Week],66)</f>
        <v/>
      </c>
      <c r="BP16">
        <f>SUMIFS(T_Shipments[Confirmed_Qty],T_Shipments[RM_Code],$A16,T_Shipments[Effective_Week],67)</f>
        <v/>
      </c>
      <c r="BQ16">
        <f>SUMIFS(T_Shipments[Confirmed_Qty],T_Shipments[RM_Code],$A16,T_Shipments[Effective_Week],68)</f>
        <v/>
      </c>
      <c r="BR16">
        <f>SUMIFS(T_Shipments[Confirmed_Qty],T_Shipments[RM_Code],$A16,T_Shipments[Effective_Week],69)</f>
        <v/>
      </c>
      <c r="BS16">
        <f>SUMIFS(T_Shipments[Confirmed_Qty],T_Shipments[RM_Code],$A16,T_Shipments[Effective_Week],70)</f>
        <v/>
      </c>
      <c r="BT16">
        <f>SUMIFS(T_Shipments[Confirmed_Qty],T_Shipments[RM_Code],$A16,T_Shipments[Effective_Week],71)</f>
        <v/>
      </c>
      <c r="BU16">
        <f>SUMIFS(T_Shipments[Confirmed_Qty],T_Shipments[RM_Code],$A16,T_Shipments[Effective_Week],72)</f>
        <v/>
      </c>
      <c r="BV16">
        <f>SUMIFS(T_Shipments[Confirmed_Qty],T_Shipments[RM_Code],$A16,T_Shipments[Effective_Week],73)</f>
        <v/>
      </c>
      <c r="BW16">
        <f>SUMIFS(T_Shipments[Confirmed_Qty],T_Shipments[RM_Code],$A16,T_Shipments[Effective_Week],74)</f>
        <v/>
      </c>
      <c r="BX16">
        <f>SUMIFS(T_Shipments[Confirmed_Qty],T_Shipments[RM_Code],$A16,T_Shipments[Effective_Week],75)</f>
        <v/>
      </c>
      <c r="BY16">
        <f>SUMIFS(T_Shipments[Confirmed_Qty],T_Shipments[RM_Code],$A16,T_Shipments[Effective_Week],76)</f>
        <v/>
      </c>
      <c r="BZ16">
        <f>SUMIFS(T_Shipments[Confirmed_Qty],T_Shipments[RM_Code],$A16,T_Shipments[Effective_Week],77)</f>
        <v/>
      </c>
      <c r="CA16">
        <f>SUMIFS(T_Shipments[Confirmed_Qty],T_Shipments[RM_Code],$A16,T_Shipments[Effective_Week],78)</f>
        <v/>
      </c>
      <c r="CB16">
        <f>SUMIFS(T_Shipments[Confirmed_Qty],T_Shipments[RM_Code],$A16,T_Shipments[Effective_Week],79)</f>
        <v/>
      </c>
      <c r="CC16">
        <f>SUMIFS(T_Shipments[Confirmed_Qty],T_Shipments[RM_Code],$A16,T_Shipments[Effective_Week],80)</f>
        <v/>
      </c>
      <c r="CD16">
        <f>SUMIFS(T_Shipments[Confirmed_Qty],T_Shipments[RM_Code],$A16,T_Shipments[Effective_Week],81)</f>
        <v/>
      </c>
      <c r="CE16">
        <f>SUMIFS(T_Shipments[Confirmed_Qty],T_Shipments[RM_Code],$A16,T_Shipments[Effective_Week],82)</f>
        <v/>
      </c>
      <c r="CF16">
        <f>SUMIFS(T_Shipments[Confirmed_Qty],T_Shipments[RM_Code],$A16,T_Shipments[Effective_Week],83)</f>
        <v/>
      </c>
      <c r="CG16">
        <f>SUMIFS(T_Shipments[Confirmed_Qty],T_Shipments[RM_Code],$A16,T_Shipments[Effective_Week],84)</f>
        <v/>
      </c>
      <c r="CH16">
        <f>SUMIFS(T_Shipments[Confirmed_Qty],T_Shipments[RM_Code],$A16,T_Shipments[Effective_Week],85)</f>
        <v/>
      </c>
      <c r="CI16">
        <f>SUMIFS(T_Shipments[Confirmed_Qty],T_Shipments[RM_Code],$A16,T_Shipments[Effective_Week],86)</f>
        <v/>
      </c>
      <c r="CJ16">
        <f>SUMIFS(T_Shipments[Confirmed_Qty],T_Shipments[RM_Code],$A16,T_Shipments[Effective_Week],87)</f>
        <v/>
      </c>
      <c r="CK16">
        <f>SUMIFS(T_Shipments[Confirmed_Qty],T_Shipments[RM_Code],$A16,T_Shipments[Effective_Week],88)</f>
        <v/>
      </c>
      <c r="CL16">
        <f>SUMIFS(T_Shipments[Confirmed_Qty],T_Shipments[RM_Code],$A16,T_Shipments[Effective_Week],89)</f>
        <v/>
      </c>
      <c r="CM16">
        <f>SUMIFS(T_Shipments[Confirmed_Qty],T_Shipments[RM_Code],$A16,T_Shipments[Effective_Week],90)</f>
        <v/>
      </c>
      <c r="CN16">
        <f>SUMIFS(T_Shipments[Confirmed_Qty],T_Shipments[RM_Code],$A16,T_Shipments[Effective_Week],91)</f>
        <v/>
      </c>
      <c r="CO16">
        <f>SUMIFS(T_Shipments[Confirmed_Qty],T_Shipments[RM_Code],$A16,T_Shipments[Effective_Week],92)</f>
        <v/>
      </c>
      <c r="CP16">
        <f>SUMIFS(T_Shipments[Confirmed_Qty],T_Shipments[RM_Code],$A16,T_Shipments[Effective_Week],93)</f>
        <v/>
      </c>
      <c r="CQ16">
        <f>SUMIFS(T_Shipments[Confirmed_Qty],T_Shipments[RM_Code],$A16,T_Shipments[Effective_Week],94)</f>
        <v/>
      </c>
      <c r="CR16">
        <f>SUMIFS(T_Shipments[Confirmed_Qty],T_Shipments[RM_Code],$A16,T_Shipments[Effective_Week],95)</f>
        <v/>
      </c>
      <c r="CS16">
        <f>SUMIFS(T_Shipments[Confirmed_Qty],T_Shipments[RM_Code],$A16,T_Shipments[Effective_Week],96)</f>
        <v/>
      </c>
      <c r="CT16">
        <f>SUMIFS(T_Shipments[Confirmed_Qty],T_Shipments[RM_Code],$A16,T_Shipments[Effective_Week],97)</f>
        <v/>
      </c>
      <c r="CU16">
        <f>SUMIFS(T_Shipments[Confirmed_Qty],T_Shipments[RM_Code],$A16,T_Shipments[Effective_Week],98)</f>
        <v/>
      </c>
      <c r="CV16">
        <f>SUMIFS(T_Shipments[Confirmed_Qty],T_Shipments[RM_Code],$A16,T_Shipments[Effective_Week],99)</f>
        <v/>
      </c>
      <c r="CW16">
        <f>SUMIFS(T_Shipments[Confirmed_Qty],T_Shipments[RM_Code],$A16,T_Shipments[Effective_Week],100)</f>
        <v/>
      </c>
      <c r="CX16">
        <f>SUMIFS(T_Shipments[Confirmed_Qty],T_Shipments[RM_Code],$A16,T_Shipments[Effective_Week],101)</f>
        <v/>
      </c>
      <c r="CY16">
        <f>SUMIFS(T_Shipments[Confirmed_Qty],T_Shipments[RM_Code],$A16,T_Shipments[Effective_Week],102)</f>
        <v/>
      </c>
      <c r="CZ16">
        <f>SUMIFS(T_Shipments[Confirmed_Qty],T_Shipments[RM_Code],$A16,T_Shipments[Effective_Week],103)</f>
        <v/>
      </c>
      <c r="DA16">
        <f>SUMIFS(T_Shipments[Confirmed_Qty],T_Shipments[RM_Code],$A16,T_Shipments[Effective_Week],104)</f>
        <v/>
      </c>
    </row>
    <row r="17">
      <c r="A17" t="inlineStr">
        <is>
          <t>F2290</t>
        </is>
      </c>
      <c r="B17">
        <f>SUMIFS(T_Shipments[Confirmed_Qty],T_Shipments[RM_Code],$A17,T_Shipments[Effective_Week],1)</f>
        <v/>
      </c>
      <c r="C17">
        <f>SUMIFS(T_Shipments[Confirmed_Qty],T_Shipments[RM_Code],$A17,T_Shipments[Effective_Week],2)</f>
        <v/>
      </c>
      <c r="D17">
        <f>SUMIFS(T_Shipments[Confirmed_Qty],T_Shipments[RM_Code],$A17,T_Shipments[Effective_Week],3)</f>
        <v/>
      </c>
      <c r="E17">
        <f>SUMIFS(T_Shipments[Confirmed_Qty],T_Shipments[RM_Code],$A17,T_Shipments[Effective_Week],4)</f>
        <v/>
      </c>
      <c r="F17">
        <f>SUMIFS(T_Shipments[Confirmed_Qty],T_Shipments[RM_Code],$A17,T_Shipments[Effective_Week],5)</f>
        <v/>
      </c>
      <c r="G17">
        <f>SUMIFS(T_Shipments[Confirmed_Qty],T_Shipments[RM_Code],$A17,T_Shipments[Effective_Week],6)</f>
        <v/>
      </c>
      <c r="H17">
        <f>SUMIFS(T_Shipments[Confirmed_Qty],T_Shipments[RM_Code],$A17,T_Shipments[Effective_Week],7)</f>
        <v/>
      </c>
      <c r="I17">
        <f>SUMIFS(T_Shipments[Confirmed_Qty],T_Shipments[RM_Code],$A17,T_Shipments[Effective_Week],8)</f>
        <v/>
      </c>
      <c r="J17">
        <f>SUMIFS(T_Shipments[Confirmed_Qty],T_Shipments[RM_Code],$A17,T_Shipments[Effective_Week],9)</f>
        <v/>
      </c>
      <c r="K17">
        <f>SUMIFS(T_Shipments[Confirmed_Qty],T_Shipments[RM_Code],$A17,T_Shipments[Effective_Week],10)</f>
        <v/>
      </c>
      <c r="L17">
        <f>SUMIFS(T_Shipments[Confirmed_Qty],T_Shipments[RM_Code],$A17,T_Shipments[Effective_Week],11)</f>
        <v/>
      </c>
      <c r="M17">
        <f>SUMIFS(T_Shipments[Confirmed_Qty],T_Shipments[RM_Code],$A17,T_Shipments[Effective_Week],12)</f>
        <v/>
      </c>
      <c r="N17">
        <f>SUMIFS(T_Shipments[Confirmed_Qty],T_Shipments[RM_Code],$A17,T_Shipments[Effective_Week],13)</f>
        <v/>
      </c>
      <c r="O17">
        <f>SUMIFS(T_Shipments[Confirmed_Qty],T_Shipments[RM_Code],$A17,T_Shipments[Effective_Week],14)</f>
        <v/>
      </c>
      <c r="P17">
        <f>SUMIFS(T_Shipments[Confirmed_Qty],T_Shipments[RM_Code],$A17,T_Shipments[Effective_Week],15)</f>
        <v/>
      </c>
      <c r="Q17">
        <f>SUMIFS(T_Shipments[Confirmed_Qty],T_Shipments[RM_Code],$A17,T_Shipments[Effective_Week],16)</f>
        <v/>
      </c>
      <c r="R17">
        <f>SUMIFS(T_Shipments[Confirmed_Qty],T_Shipments[RM_Code],$A17,T_Shipments[Effective_Week],17)</f>
        <v/>
      </c>
      <c r="S17">
        <f>SUMIFS(T_Shipments[Confirmed_Qty],T_Shipments[RM_Code],$A17,T_Shipments[Effective_Week],18)</f>
        <v/>
      </c>
      <c r="T17">
        <f>SUMIFS(T_Shipments[Confirmed_Qty],T_Shipments[RM_Code],$A17,T_Shipments[Effective_Week],19)</f>
        <v/>
      </c>
      <c r="U17">
        <f>SUMIFS(T_Shipments[Confirmed_Qty],T_Shipments[RM_Code],$A17,T_Shipments[Effective_Week],20)</f>
        <v/>
      </c>
      <c r="V17">
        <f>SUMIFS(T_Shipments[Confirmed_Qty],T_Shipments[RM_Code],$A17,T_Shipments[Effective_Week],21)</f>
        <v/>
      </c>
      <c r="W17">
        <f>SUMIFS(T_Shipments[Confirmed_Qty],T_Shipments[RM_Code],$A17,T_Shipments[Effective_Week],22)</f>
        <v/>
      </c>
      <c r="X17">
        <f>SUMIFS(T_Shipments[Confirmed_Qty],T_Shipments[RM_Code],$A17,T_Shipments[Effective_Week],23)</f>
        <v/>
      </c>
      <c r="Y17">
        <f>SUMIFS(T_Shipments[Confirmed_Qty],T_Shipments[RM_Code],$A17,T_Shipments[Effective_Week],24)</f>
        <v/>
      </c>
      <c r="Z17">
        <f>SUMIFS(T_Shipments[Confirmed_Qty],T_Shipments[RM_Code],$A17,T_Shipments[Effective_Week],25)</f>
        <v/>
      </c>
      <c r="AA17">
        <f>SUMIFS(T_Shipments[Confirmed_Qty],T_Shipments[RM_Code],$A17,T_Shipments[Effective_Week],26)</f>
        <v/>
      </c>
      <c r="AB17">
        <f>SUMIFS(T_Shipments[Confirmed_Qty],T_Shipments[RM_Code],$A17,T_Shipments[Effective_Week],27)</f>
        <v/>
      </c>
      <c r="AC17">
        <f>SUMIFS(T_Shipments[Confirmed_Qty],T_Shipments[RM_Code],$A17,T_Shipments[Effective_Week],28)</f>
        <v/>
      </c>
      <c r="AD17">
        <f>SUMIFS(T_Shipments[Confirmed_Qty],T_Shipments[RM_Code],$A17,T_Shipments[Effective_Week],29)</f>
        <v/>
      </c>
      <c r="AE17">
        <f>SUMIFS(T_Shipments[Confirmed_Qty],T_Shipments[RM_Code],$A17,T_Shipments[Effective_Week],30)</f>
        <v/>
      </c>
      <c r="AF17">
        <f>SUMIFS(T_Shipments[Confirmed_Qty],T_Shipments[RM_Code],$A17,T_Shipments[Effective_Week],31)</f>
        <v/>
      </c>
      <c r="AG17">
        <f>SUMIFS(T_Shipments[Confirmed_Qty],T_Shipments[RM_Code],$A17,T_Shipments[Effective_Week],32)</f>
        <v/>
      </c>
      <c r="AH17">
        <f>SUMIFS(T_Shipments[Confirmed_Qty],T_Shipments[RM_Code],$A17,T_Shipments[Effective_Week],33)</f>
        <v/>
      </c>
      <c r="AI17">
        <f>SUMIFS(T_Shipments[Confirmed_Qty],T_Shipments[RM_Code],$A17,T_Shipments[Effective_Week],34)</f>
        <v/>
      </c>
      <c r="AJ17">
        <f>SUMIFS(T_Shipments[Confirmed_Qty],T_Shipments[RM_Code],$A17,T_Shipments[Effective_Week],35)</f>
        <v/>
      </c>
      <c r="AK17">
        <f>SUMIFS(T_Shipments[Confirmed_Qty],T_Shipments[RM_Code],$A17,T_Shipments[Effective_Week],36)</f>
        <v/>
      </c>
      <c r="AL17">
        <f>SUMIFS(T_Shipments[Confirmed_Qty],T_Shipments[RM_Code],$A17,T_Shipments[Effective_Week],37)</f>
        <v/>
      </c>
      <c r="AM17">
        <f>SUMIFS(T_Shipments[Confirmed_Qty],T_Shipments[RM_Code],$A17,T_Shipments[Effective_Week],38)</f>
        <v/>
      </c>
      <c r="AN17">
        <f>SUMIFS(T_Shipments[Confirmed_Qty],T_Shipments[RM_Code],$A17,T_Shipments[Effective_Week],39)</f>
        <v/>
      </c>
      <c r="AO17">
        <f>SUMIFS(T_Shipments[Confirmed_Qty],T_Shipments[RM_Code],$A17,T_Shipments[Effective_Week],40)</f>
        <v/>
      </c>
      <c r="AP17">
        <f>SUMIFS(T_Shipments[Confirmed_Qty],T_Shipments[RM_Code],$A17,T_Shipments[Effective_Week],41)</f>
        <v/>
      </c>
      <c r="AQ17">
        <f>SUMIFS(T_Shipments[Confirmed_Qty],T_Shipments[RM_Code],$A17,T_Shipments[Effective_Week],42)</f>
        <v/>
      </c>
      <c r="AR17">
        <f>SUMIFS(T_Shipments[Confirmed_Qty],T_Shipments[RM_Code],$A17,T_Shipments[Effective_Week],43)</f>
        <v/>
      </c>
      <c r="AS17">
        <f>SUMIFS(T_Shipments[Confirmed_Qty],T_Shipments[RM_Code],$A17,T_Shipments[Effective_Week],44)</f>
        <v/>
      </c>
      <c r="AT17">
        <f>SUMIFS(T_Shipments[Confirmed_Qty],T_Shipments[RM_Code],$A17,T_Shipments[Effective_Week],45)</f>
        <v/>
      </c>
      <c r="AU17">
        <f>SUMIFS(T_Shipments[Confirmed_Qty],T_Shipments[RM_Code],$A17,T_Shipments[Effective_Week],46)</f>
        <v/>
      </c>
      <c r="AV17">
        <f>SUMIFS(T_Shipments[Confirmed_Qty],T_Shipments[RM_Code],$A17,T_Shipments[Effective_Week],47)</f>
        <v/>
      </c>
      <c r="AW17">
        <f>SUMIFS(T_Shipments[Confirmed_Qty],T_Shipments[RM_Code],$A17,T_Shipments[Effective_Week],48)</f>
        <v/>
      </c>
      <c r="AX17">
        <f>SUMIFS(T_Shipments[Confirmed_Qty],T_Shipments[RM_Code],$A17,T_Shipments[Effective_Week],49)</f>
        <v/>
      </c>
      <c r="AY17">
        <f>SUMIFS(T_Shipments[Confirmed_Qty],T_Shipments[RM_Code],$A17,T_Shipments[Effective_Week],50)</f>
        <v/>
      </c>
      <c r="AZ17">
        <f>SUMIFS(T_Shipments[Confirmed_Qty],T_Shipments[RM_Code],$A17,T_Shipments[Effective_Week],51)</f>
        <v/>
      </c>
      <c r="BA17">
        <f>SUMIFS(T_Shipments[Confirmed_Qty],T_Shipments[RM_Code],$A17,T_Shipments[Effective_Week],52)</f>
        <v/>
      </c>
      <c r="BB17">
        <f>SUMIFS(T_Shipments[Confirmed_Qty],T_Shipments[RM_Code],$A17,T_Shipments[Effective_Week],53)</f>
        <v/>
      </c>
      <c r="BC17">
        <f>SUMIFS(T_Shipments[Confirmed_Qty],T_Shipments[RM_Code],$A17,T_Shipments[Effective_Week],54)</f>
        <v/>
      </c>
      <c r="BD17">
        <f>SUMIFS(T_Shipments[Confirmed_Qty],T_Shipments[RM_Code],$A17,T_Shipments[Effective_Week],55)</f>
        <v/>
      </c>
      <c r="BE17">
        <f>SUMIFS(T_Shipments[Confirmed_Qty],T_Shipments[RM_Code],$A17,T_Shipments[Effective_Week],56)</f>
        <v/>
      </c>
      <c r="BF17">
        <f>SUMIFS(T_Shipments[Confirmed_Qty],T_Shipments[RM_Code],$A17,T_Shipments[Effective_Week],57)</f>
        <v/>
      </c>
      <c r="BG17">
        <f>SUMIFS(T_Shipments[Confirmed_Qty],T_Shipments[RM_Code],$A17,T_Shipments[Effective_Week],58)</f>
        <v/>
      </c>
      <c r="BH17">
        <f>SUMIFS(T_Shipments[Confirmed_Qty],T_Shipments[RM_Code],$A17,T_Shipments[Effective_Week],59)</f>
        <v/>
      </c>
      <c r="BI17">
        <f>SUMIFS(T_Shipments[Confirmed_Qty],T_Shipments[RM_Code],$A17,T_Shipments[Effective_Week],60)</f>
        <v/>
      </c>
      <c r="BJ17">
        <f>SUMIFS(T_Shipments[Confirmed_Qty],T_Shipments[RM_Code],$A17,T_Shipments[Effective_Week],61)</f>
        <v/>
      </c>
      <c r="BK17">
        <f>SUMIFS(T_Shipments[Confirmed_Qty],T_Shipments[RM_Code],$A17,T_Shipments[Effective_Week],62)</f>
        <v/>
      </c>
      <c r="BL17">
        <f>SUMIFS(T_Shipments[Confirmed_Qty],T_Shipments[RM_Code],$A17,T_Shipments[Effective_Week],63)</f>
        <v/>
      </c>
      <c r="BM17">
        <f>SUMIFS(T_Shipments[Confirmed_Qty],T_Shipments[RM_Code],$A17,T_Shipments[Effective_Week],64)</f>
        <v/>
      </c>
      <c r="BN17">
        <f>SUMIFS(T_Shipments[Confirmed_Qty],T_Shipments[RM_Code],$A17,T_Shipments[Effective_Week],65)</f>
        <v/>
      </c>
      <c r="BO17">
        <f>SUMIFS(T_Shipments[Confirmed_Qty],T_Shipments[RM_Code],$A17,T_Shipments[Effective_Week],66)</f>
        <v/>
      </c>
      <c r="BP17">
        <f>SUMIFS(T_Shipments[Confirmed_Qty],T_Shipments[RM_Code],$A17,T_Shipments[Effective_Week],67)</f>
        <v/>
      </c>
      <c r="BQ17">
        <f>SUMIFS(T_Shipments[Confirmed_Qty],T_Shipments[RM_Code],$A17,T_Shipments[Effective_Week],68)</f>
        <v/>
      </c>
      <c r="BR17">
        <f>SUMIFS(T_Shipments[Confirmed_Qty],T_Shipments[RM_Code],$A17,T_Shipments[Effective_Week],69)</f>
        <v/>
      </c>
      <c r="BS17">
        <f>SUMIFS(T_Shipments[Confirmed_Qty],T_Shipments[RM_Code],$A17,T_Shipments[Effective_Week],70)</f>
        <v/>
      </c>
      <c r="BT17">
        <f>SUMIFS(T_Shipments[Confirmed_Qty],T_Shipments[RM_Code],$A17,T_Shipments[Effective_Week],71)</f>
        <v/>
      </c>
      <c r="BU17">
        <f>SUMIFS(T_Shipments[Confirmed_Qty],T_Shipments[RM_Code],$A17,T_Shipments[Effective_Week],72)</f>
        <v/>
      </c>
      <c r="BV17">
        <f>SUMIFS(T_Shipments[Confirmed_Qty],T_Shipments[RM_Code],$A17,T_Shipments[Effective_Week],73)</f>
        <v/>
      </c>
      <c r="BW17">
        <f>SUMIFS(T_Shipments[Confirmed_Qty],T_Shipments[RM_Code],$A17,T_Shipments[Effective_Week],74)</f>
        <v/>
      </c>
      <c r="BX17">
        <f>SUMIFS(T_Shipments[Confirmed_Qty],T_Shipments[RM_Code],$A17,T_Shipments[Effective_Week],75)</f>
        <v/>
      </c>
      <c r="BY17">
        <f>SUMIFS(T_Shipments[Confirmed_Qty],T_Shipments[RM_Code],$A17,T_Shipments[Effective_Week],76)</f>
        <v/>
      </c>
      <c r="BZ17">
        <f>SUMIFS(T_Shipments[Confirmed_Qty],T_Shipments[RM_Code],$A17,T_Shipments[Effective_Week],77)</f>
        <v/>
      </c>
      <c r="CA17">
        <f>SUMIFS(T_Shipments[Confirmed_Qty],T_Shipments[RM_Code],$A17,T_Shipments[Effective_Week],78)</f>
        <v/>
      </c>
      <c r="CB17">
        <f>SUMIFS(T_Shipments[Confirmed_Qty],T_Shipments[RM_Code],$A17,T_Shipments[Effective_Week],79)</f>
        <v/>
      </c>
      <c r="CC17">
        <f>SUMIFS(T_Shipments[Confirmed_Qty],T_Shipments[RM_Code],$A17,T_Shipments[Effective_Week],80)</f>
        <v/>
      </c>
      <c r="CD17">
        <f>SUMIFS(T_Shipments[Confirmed_Qty],T_Shipments[RM_Code],$A17,T_Shipments[Effective_Week],81)</f>
        <v/>
      </c>
      <c r="CE17">
        <f>SUMIFS(T_Shipments[Confirmed_Qty],T_Shipments[RM_Code],$A17,T_Shipments[Effective_Week],82)</f>
        <v/>
      </c>
      <c r="CF17">
        <f>SUMIFS(T_Shipments[Confirmed_Qty],T_Shipments[RM_Code],$A17,T_Shipments[Effective_Week],83)</f>
        <v/>
      </c>
      <c r="CG17">
        <f>SUMIFS(T_Shipments[Confirmed_Qty],T_Shipments[RM_Code],$A17,T_Shipments[Effective_Week],84)</f>
        <v/>
      </c>
      <c r="CH17">
        <f>SUMIFS(T_Shipments[Confirmed_Qty],T_Shipments[RM_Code],$A17,T_Shipments[Effective_Week],85)</f>
        <v/>
      </c>
      <c r="CI17">
        <f>SUMIFS(T_Shipments[Confirmed_Qty],T_Shipments[RM_Code],$A17,T_Shipments[Effective_Week],86)</f>
        <v/>
      </c>
      <c r="CJ17">
        <f>SUMIFS(T_Shipments[Confirmed_Qty],T_Shipments[RM_Code],$A17,T_Shipments[Effective_Week],87)</f>
        <v/>
      </c>
      <c r="CK17">
        <f>SUMIFS(T_Shipments[Confirmed_Qty],T_Shipments[RM_Code],$A17,T_Shipments[Effective_Week],88)</f>
        <v/>
      </c>
      <c r="CL17">
        <f>SUMIFS(T_Shipments[Confirmed_Qty],T_Shipments[RM_Code],$A17,T_Shipments[Effective_Week],89)</f>
        <v/>
      </c>
      <c r="CM17">
        <f>SUMIFS(T_Shipments[Confirmed_Qty],T_Shipments[RM_Code],$A17,T_Shipments[Effective_Week],90)</f>
        <v/>
      </c>
      <c r="CN17">
        <f>SUMIFS(T_Shipments[Confirmed_Qty],T_Shipments[RM_Code],$A17,T_Shipments[Effective_Week],91)</f>
        <v/>
      </c>
      <c r="CO17">
        <f>SUMIFS(T_Shipments[Confirmed_Qty],T_Shipments[RM_Code],$A17,T_Shipments[Effective_Week],92)</f>
        <v/>
      </c>
      <c r="CP17">
        <f>SUMIFS(T_Shipments[Confirmed_Qty],T_Shipments[RM_Code],$A17,T_Shipments[Effective_Week],93)</f>
        <v/>
      </c>
      <c r="CQ17">
        <f>SUMIFS(T_Shipments[Confirmed_Qty],T_Shipments[RM_Code],$A17,T_Shipments[Effective_Week],94)</f>
        <v/>
      </c>
      <c r="CR17">
        <f>SUMIFS(T_Shipments[Confirmed_Qty],T_Shipments[RM_Code],$A17,T_Shipments[Effective_Week],95)</f>
        <v/>
      </c>
      <c r="CS17">
        <f>SUMIFS(T_Shipments[Confirmed_Qty],T_Shipments[RM_Code],$A17,T_Shipments[Effective_Week],96)</f>
        <v/>
      </c>
      <c r="CT17">
        <f>SUMIFS(T_Shipments[Confirmed_Qty],T_Shipments[RM_Code],$A17,T_Shipments[Effective_Week],97)</f>
        <v/>
      </c>
      <c r="CU17">
        <f>SUMIFS(T_Shipments[Confirmed_Qty],T_Shipments[RM_Code],$A17,T_Shipments[Effective_Week],98)</f>
        <v/>
      </c>
      <c r="CV17">
        <f>SUMIFS(T_Shipments[Confirmed_Qty],T_Shipments[RM_Code],$A17,T_Shipments[Effective_Week],99)</f>
        <v/>
      </c>
      <c r="CW17">
        <f>SUMIFS(T_Shipments[Confirmed_Qty],T_Shipments[RM_Code],$A17,T_Shipments[Effective_Week],100)</f>
        <v/>
      </c>
      <c r="CX17">
        <f>SUMIFS(T_Shipments[Confirmed_Qty],T_Shipments[RM_Code],$A17,T_Shipments[Effective_Week],101)</f>
        <v/>
      </c>
      <c r="CY17">
        <f>SUMIFS(T_Shipments[Confirmed_Qty],T_Shipments[RM_Code],$A17,T_Shipments[Effective_Week],102)</f>
        <v/>
      </c>
      <c r="CZ17">
        <f>SUMIFS(T_Shipments[Confirmed_Qty],T_Shipments[RM_Code],$A17,T_Shipments[Effective_Week],103)</f>
        <v/>
      </c>
      <c r="DA17">
        <f>SUMIFS(T_Shipments[Confirmed_Qty],T_Shipments[RM_Code],$A17,T_Shipments[Effective_Week],104)</f>
        <v/>
      </c>
    </row>
    <row r="18">
      <c r="A18" t="inlineStr">
        <is>
          <t>CHEM-1400</t>
        </is>
      </c>
      <c r="B18">
        <f>SUMIFS(T_Shipments[Confirmed_Qty],T_Shipments[RM_Code],$A18,T_Shipments[Effective_Week],1)</f>
        <v/>
      </c>
      <c r="C18">
        <f>SUMIFS(T_Shipments[Confirmed_Qty],T_Shipments[RM_Code],$A18,T_Shipments[Effective_Week],2)</f>
        <v/>
      </c>
      <c r="D18">
        <f>SUMIFS(T_Shipments[Confirmed_Qty],T_Shipments[RM_Code],$A18,T_Shipments[Effective_Week],3)</f>
        <v/>
      </c>
      <c r="E18">
        <f>SUMIFS(T_Shipments[Confirmed_Qty],T_Shipments[RM_Code],$A18,T_Shipments[Effective_Week],4)</f>
        <v/>
      </c>
      <c r="F18">
        <f>SUMIFS(T_Shipments[Confirmed_Qty],T_Shipments[RM_Code],$A18,T_Shipments[Effective_Week],5)</f>
        <v/>
      </c>
      <c r="G18">
        <f>SUMIFS(T_Shipments[Confirmed_Qty],T_Shipments[RM_Code],$A18,T_Shipments[Effective_Week],6)</f>
        <v/>
      </c>
      <c r="H18">
        <f>SUMIFS(T_Shipments[Confirmed_Qty],T_Shipments[RM_Code],$A18,T_Shipments[Effective_Week],7)</f>
        <v/>
      </c>
      <c r="I18">
        <f>SUMIFS(T_Shipments[Confirmed_Qty],T_Shipments[RM_Code],$A18,T_Shipments[Effective_Week],8)</f>
        <v/>
      </c>
      <c r="J18">
        <f>SUMIFS(T_Shipments[Confirmed_Qty],T_Shipments[RM_Code],$A18,T_Shipments[Effective_Week],9)</f>
        <v/>
      </c>
      <c r="K18">
        <f>SUMIFS(T_Shipments[Confirmed_Qty],T_Shipments[RM_Code],$A18,T_Shipments[Effective_Week],10)</f>
        <v/>
      </c>
      <c r="L18">
        <f>SUMIFS(T_Shipments[Confirmed_Qty],T_Shipments[RM_Code],$A18,T_Shipments[Effective_Week],11)</f>
        <v/>
      </c>
      <c r="M18">
        <f>SUMIFS(T_Shipments[Confirmed_Qty],T_Shipments[RM_Code],$A18,T_Shipments[Effective_Week],12)</f>
        <v/>
      </c>
      <c r="N18">
        <f>SUMIFS(T_Shipments[Confirmed_Qty],T_Shipments[RM_Code],$A18,T_Shipments[Effective_Week],13)</f>
        <v/>
      </c>
      <c r="O18">
        <f>SUMIFS(T_Shipments[Confirmed_Qty],T_Shipments[RM_Code],$A18,T_Shipments[Effective_Week],14)</f>
        <v/>
      </c>
      <c r="P18">
        <f>SUMIFS(T_Shipments[Confirmed_Qty],T_Shipments[RM_Code],$A18,T_Shipments[Effective_Week],15)</f>
        <v/>
      </c>
      <c r="Q18">
        <f>SUMIFS(T_Shipments[Confirmed_Qty],T_Shipments[RM_Code],$A18,T_Shipments[Effective_Week],16)</f>
        <v/>
      </c>
      <c r="R18">
        <f>SUMIFS(T_Shipments[Confirmed_Qty],T_Shipments[RM_Code],$A18,T_Shipments[Effective_Week],17)</f>
        <v/>
      </c>
      <c r="S18">
        <f>SUMIFS(T_Shipments[Confirmed_Qty],T_Shipments[RM_Code],$A18,T_Shipments[Effective_Week],18)</f>
        <v/>
      </c>
      <c r="T18">
        <f>SUMIFS(T_Shipments[Confirmed_Qty],T_Shipments[RM_Code],$A18,T_Shipments[Effective_Week],19)</f>
        <v/>
      </c>
      <c r="U18">
        <f>SUMIFS(T_Shipments[Confirmed_Qty],T_Shipments[RM_Code],$A18,T_Shipments[Effective_Week],20)</f>
        <v/>
      </c>
      <c r="V18">
        <f>SUMIFS(T_Shipments[Confirmed_Qty],T_Shipments[RM_Code],$A18,T_Shipments[Effective_Week],21)</f>
        <v/>
      </c>
      <c r="W18">
        <f>SUMIFS(T_Shipments[Confirmed_Qty],T_Shipments[RM_Code],$A18,T_Shipments[Effective_Week],22)</f>
        <v/>
      </c>
      <c r="X18">
        <f>SUMIFS(T_Shipments[Confirmed_Qty],T_Shipments[RM_Code],$A18,T_Shipments[Effective_Week],23)</f>
        <v/>
      </c>
      <c r="Y18">
        <f>SUMIFS(T_Shipments[Confirmed_Qty],T_Shipments[RM_Code],$A18,T_Shipments[Effective_Week],24)</f>
        <v/>
      </c>
      <c r="Z18">
        <f>SUMIFS(T_Shipments[Confirmed_Qty],T_Shipments[RM_Code],$A18,T_Shipments[Effective_Week],25)</f>
        <v/>
      </c>
      <c r="AA18">
        <f>SUMIFS(T_Shipments[Confirmed_Qty],T_Shipments[RM_Code],$A18,T_Shipments[Effective_Week],26)</f>
        <v/>
      </c>
      <c r="AB18">
        <f>SUMIFS(T_Shipments[Confirmed_Qty],T_Shipments[RM_Code],$A18,T_Shipments[Effective_Week],27)</f>
        <v/>
      </c>
      <c r="AC18">
        <f>SUMIFS(T_Shipments[Confirmed_Qty],T_Shipments[RM_Code],$A18,T_Shipments[Effective_Week],28)</f>
        <v/>
      </c>
      <c r="AD18">
        <f>SUMIFS(T_Shipments[Confirmed_Qty],T_Shipments[RM_Code],$A18,T_Shipments[Effective_Week],29)</f>
        <v/>
      </c>
      <c r="AE18">
        <f>SUMIFS(T_Shipments[Confirmed_Qty],T_Shipments[RM_Code],$A18,T_Shipments[Effective_Week],30)</f>
        <v/>
      </c>
      <c r="AF18">
        <f>SUMIFS(T_Shipments[Confirmed_Qty],T_Shipments[RM_Code],$A18,T_Shipments[Effective_Week],31)</f>
        <v/>
      </c>
      <c r="AG18">
        <f>SUMIFS(T_Shipments[Confirmed_Qty],T_Shipments[RM_Code],$A18,T_Shipments[Effective_Week],32)</f>
        <v/>
      </c>
      <c r="AH18">
        <f>SUMIFS(T_Shipments[Confirmed_Qty],T_Shipments[RM_Code],$A18,T_Shipments[Effective_Week],33)</f>
        <v/>
      </c>
      <c r="AI18">
        <f>SUMIFS(T_Shipments[Confirmed_Qty],T_Shipments[RM_Code],$A18,T_Shipments[Effective_Week],34)</f>
        <v/>
      </c>
      <c r="AJ18">
        <f>SUMIFS(T_Shipments[Confirmed_Qty],T_Shipments[RM_Code],$A18,T_Shipments[Effective_Week],35)</f>
        <v/>
      </c>
      <c r="AK18">
        <f>SUMIFS(T_Shipments[Confirmed_Qty],T_Shipments[RM_Code],$A18,T_Shipments[Effective_Week],36)</f>
        <v/>
      </c>
      <c r="AL18">
        <f>SUMIFS(T_Shipments[Confirmed_Qty],T_Shipments[RM_Code],$A18,T_Shipments[Effective_Week],37)</f>
        <v/>
      </c>
      <c r="AM18">
        <f>SUMIFS(T_Shipments[Confirmed_Qty],T_Shipments[RM_Code],$A18,T_Shipments[Effective_Week],38)</f>
        <v/>
      </c>
      <c r="AN18">
        <f>SUMIFS(T_Shipments[Confirmed_Qty],T_Shipments[RM_Code],$A18,T_Shipments[Effective_Week],39)</f>
        <v/>
      </c>
      <c r="AO18">
        <f>SUMIFS(T_Shipments[Confirmed_Qty],T_Shipments[RM_Code],$A18,T_Shipments[Effective_Week],40)</f>
        <v/>
      </c>
      <c r="AP18">
        <f>SUMIFS(T_Shipments[Confirmed_Qty],T_Shipments[RM_Code],$A18,T_Shipments[Effective_Week],41)</f>
        <v/>
      </c>
      <c r="AQ18">
        <f>SUMIFS(T_Shipments[Confirmed_Qty],T_Shipments[RM_Code],$A18,T_Shipments[Effective_Week],42)</f>
        <v/>
      </c>
      <c r="AR18">
        <f>SUMIFS(T_Shipments[Confirmed_Qty],T_Shipments[RM_Code],$A18,T_Shipments[Effective_Week],43)</f>
        <v/>
      </c>
      <c r="AS18">
        <f>SUMIFS(T_Shipments[Confirmed_Qty],T_Shipments[RM_Code],$A18,T_Shipments[Effective_Week],44)</f>
        <v/>
      </c>
      <c r="AT18">
        <f>SUMIFS(T_Shipments[Confirmed_Qty],T_Shipments[RM_Code],$A18,T_Shipments[Effective_Week],45)</f>
        <v/>
      </c>
      <c r="AU18">
        <f>SUMIFS(T_Shipments[Confirmed_Qty],T_Shipments[RM_Code],$A18,T_Shipments[Effective_Week],46)</f>
        <v/>
      </c>
      <c r="AV18">
        <f>SUMIFS(T_Shipments[Confirmed_Qty],T_Shipments[RM_Code],$A18,T_Shipments[Effective_Week],47)</f>
        <v/>
      </c>
      <c r="AW18">
        <f>SUMIFS(T_Shipments[Confirmed_Qty],T_Shipments[RM_Code],$A18,T_Shipments[Effective_Week],48)</f>
        <v/>
      </c>
      <c r="AX18">
        <f>SUMIFS(T_Shipments[Confirmed_Qty],T_Shipments[RM_Code],$A18,T_Shipments[Effective_Week],49)</f>
        <v/>
      </c>
      <c r="AY18">
        <f>SUMIFS(T_Shipments[Confirmed_Qty],T_Shipments[RM_Code],$A18,T_Shipments[Effective_Week],50)</f>
        <v/>
      </c>
      <c r="AZ18">
        <f>SUMIFS(T_Shipments[Confirmed_Qty],T_Shipments[RM_Code],$A18,T_Shipments[Effective_Week],51)</f>
        <v/>
      </c>
      <c r="BA18">
        <f>SUMIFS(T_Shipments[Confirmed_Qty],T_Shipments[RM_Code],$A18,T_Shipments[Effective_Week],52)</f>
        <v/>
      </c>
      <c r="BB18">
        <f>SUMIFS(T_Shipments[Confirmed_Qty],T_Shipments[RM_Code],$A18,T_Shipments[Effective_Week],53)</f>
        <v/>
      </c>
      <c r="BC18">
        <f>SUMIFS(T_Shipments[Confirmed_Qty],T_Shipments[RM_Code],$A18,T_Shipments[Effective_Week],54)</f>
        <v/>
      </c>
      <c r="BD18">
        <f>SUMIFS(T_Shipments[Confirmed_Qty],T_Shipments[RM_Code],$A18,T_Shipments[Effective_Week],55)</f>
        <v/>
      </c>
      <c r="BE18">
        <f>SUMIFS(T_Shipments[Confirmed_Qty],T_Shipments[RM_Code],$A18,T_Shipments[Effective_Week],56)</f>
        <v/>
      </c>
      <c r="BF18">
        <f>SUMIFS(T_Shipments[Confirmed_Qty],T_Shipments[RM_Code],$A18,T_Shipments[Effective_Week],57)</f>
        <v/>
      </c>
      <c r="BG18">
        <f>SUMIFS(T_Shipments[Confirmed_Qty],T_Shipments[RM_Code],$A18,T_Shipments[Effective_Week],58)</f>
        <v/>
      </c>
      <c r="BH18">
        <f>SUMIFS(T_Shipments[Confirmed_Qty],T_Shipments[RM_Code],$A18,T_Shipments[Effective_Week],59)</f>
        <v/>
      </c>
      <c r="BI18">
        <f>SUMIFS(T_Shipments[Confirmed_Qty],T_Shipments[RM_Code],$A18,T_Shipments[Effective_Week],60)</f>
        <v/>
      </c>
      <c r="BJ18">
        <f>SUMIFS(T_Shipments[Confirmed_Qty],T_Shipments[RM_Code],$A18,T_Shipments[Effective_Week],61)</f>
        <v/>
      </c>
      <c r="BK18">
        <f>SUMIFS(T_Shipments[Confirmed_Qty],T_Shipments[RM_Code],$A18,T_Shipments[Effective_Week],62)</f>
        <v/>
      </c>
      <c r="BL18">
        <f>SUMIFS(T_Shipments[Confirmed_Qty],T_Shipments[RM_Code],$A18,T_Shipments[Effective_Week],63)</f>
        <v/>
      </c>
      <c r="BM18">
        <f>SUMIFS(T_Shipments[Confirmed_Qty],T_Shipments[RM_Code],$A18,T_Shipments[Effective_Week],64)</f>
        <v/>
      </c>
      <c r="BN18">
        <f>SUMIFS(T_Shipments[Confirmed_Qty],T_Shipments[RM_Code],$A18,T_Shipments[Effective_Week],65)</f>
        <v/>
      </c>
      <c r="BO18">
        <f>SUMIFS(T_Shipments[Confirmed_Qty],T_Shipments[RM_Code],$A18,T_Shipments[Effective_Week],66)</f>
        <v/>
      </c>
      <c r="BP18">
        <f>SUMIFS(T_Shipments[Confirmed_Qty],T_Shipments[RM_Code],$A18,T_Shipments[Effective_Week],67)</f>
        <v/>
      </c>
      <c r="BQ18">
        <f>SUMIFS(T_Shipments[Confirmed_Qty],T_Shipments[RM_Code],$A18,T_Shipments[Effective_Week],68)</f>
        <v/>
      </c>
      <c r="BR18">
        <f>SUMIFS(T_Shipments[Confirmed_Qty],T_Shipments[RM_Code],$A18,T_Shipments[Effective_Week],69)</f>
        <v/>
      </c>
      <c r="BS18">
        <f>SUMIFS(T_Shipments[Confirmed_Qty],T_Shipments[RM_Code],$A18,T_Shipments[Effective_Week],70)</f>
        <v/>
      </c>
      <c r="BT18">
        <f>SUMIFS(T_Shipments[Confirmed_Qty],T_Shipments[RM_Code],$A18,T_Shipments[Effective_Week],71)</f>
        <v/>
      </c>
      <c r="BU18">
        <f>SUMIFS(T_Shipments[Confirmed_Qty],T_Shipments[RM_Code],$A18,T_Shipments[Effective_Week],72)</f>
        <v/>
      </c>
      <c r="BV18">
        <f>SUMIFS(T_Shipments[Confirmed_Qty],T_Shipments[RM_Code],$A18,T_Shipments[Effective_Week],73)</f>
        <v/>
      </c>
      <c r="BW18">
        <f>SUMIFS(T_Shipments[Confirmed_Qty],T_Shipments[RM_Code],$A18,T_Shipments[Effective_Week],74)</f>
        <v/>
      </c>
      <c r="BX18">
        <f>SUMIFS(T_Shipments[Confirmed_Qty],T_Shipments[RM_Code],$A18,T_Shipments[Effective_Week],75)</f>
        <v/>
      </c>
      <c r="BY18">
        <f>SUMIFS(T_Shipments[Confirmed_Qty],T_Shipments[RM_Code],$A18,T_Shipments[Effective_Week],76)</f>
        <v/>
      </c>
      <c r="BZ18">
        <f>SUMIFS(T_Shipments[Confirmed_Qty],T_Shipments[RM_Code],$A18,T_Shipments[Effective_Week],77)</f>
        <v/>
      </c>
      <c r="CA18">
        <f>SUMIFS(T_Shipments[Confirmed_Qty],T_Shipments[RM_Code],$A18,T_Shipments[Effective_Week],78)</f>
        <v/>
      </c>
      <c r="CB18">
        <f>SUMIFS(T_Shipments[Confirmed_Qty],T_Shipments[RM_Code],$A18,T_Shipments[Effective_Week],79)</f>
        <v/>
      </c>
      <c r="CC18">
        <f>SUMIFS(T_Shipments[Confirmed_Qty],T_Shipments[RM_Code],$A18,T_Shipments[Effective_Week],80)</f>
        <v/>
      </c>
      <c r="CD18">
        <f>SUMIFS(T_Shipments[Confirmed_Qty],T_Shipments[RM_Code],$A18,T_Shipments[Effective_Week],81)</f>
        <v/>
      </c>
      <c r="CE18">
        <f>SUMIFS(T_Shipments[Confirmed_Qty],T_Shipments[RM_Code],$A18,T_Shipments[Effective_Week],82)</f>
        <v/>
      </c>
      <c r="CF18">
        <f>SUMIFS(T_Shipments[Confirmed_Qty],T_Shipments[RM_Code],$A18,T_Shipments[Effective_Week],83)</f>
        <v/>
      </c>
      <c r="CG18">
        <f>SUMIFS(T_Shipments[Confirmed_Qty],T_Shipments[RM_Code],$A18,T_Shipments[Effective_Week],84)</f>
        <v/>
      </c>
      <c r="CH18">
        <f>SUMIFS(T_Shipments[Confirmed_Qty],T_Shipments[RM_Code],$A18,T_Shipments[Effective_Week],85)</f>
        <v/>
      </c>
      <c r="CI18">
        <f>SUMIFS(T_Shipments[Confirmed_Qty],T_Shipments[RM_Code],$A18,T_Shipments[Effective_Week],86)</f>
        <v/>
      </c>
      <c r="CJ18">
        <f>SUMIFS(T_Shipments[Confirmed_Qty],T_Shipments[RM_Code],$A18,T_Shipments[Effective_Week],87)</f>
        <v/>
      </c>
      <c r="CK18">
        <f>SUMIFS(T_Shipments[Confirmed_Qty],T_Shipments[RM_Code],$A18,T_Shipments[Effective_Week],88)</f>
        <v/>
      </c>
      <c r="CL18">
        <f>SUMIFS(T_Shipments[Confirmed_Qty],T_Shipments[RM_Code],$A18,T_Shipments[Effective_Week],89)</f>
        <v/>
      </c>
      <c r="CM18">
        <f>SUMIFS(T_Shipments[Confirmed_Qty],T_Shipments[RM_Code],$A18,T_Shipments[Effective_Week],90)</f>
        <v/>
      </c>
      <c r="CN18">
        <f>SUMIFS(T_Shipments[Confirmed_Qty],T_Shipments[RM_Code],$A18,T_Shipments[Effective_Week],91)</f>
        <v/>
      </c>
      <c r="CO18">
        <f>SUMIFS(T_Shipments[Confirmed_Qty],T_Shipments[RM_Code],$A18,T_Shipments[Effective_Week],92)</f>
        <v/>
      </c>
      <c r="CP18">
        <f>SUMIFS(T_Shipments[Confirmed_Qty],T_Shipments[RM_Code],$A18,T_Shipments[Effective_Week],93)</f>
        <v/>
      </c>
      <c r="CQ18">
        <f>SUMIFS(T_Shipments[Confirmed_Qty],T_Shipments[RM_Code],$A18,T_Shipments[Effective_Week],94)</f>
        <v/>
      </c>
      <c r="CR18">
        <f>SUMIFS(T_Shipments[Confirmed_Qty],T_Shipments[RM_Code],$A18,T_Shipments[Effective_Week],95)</f>
        <v/>
      </c>
      <c r="CS18">
        <f>SUMIFS(T_Shipments[Confirmed_Qty],T_Shipments[RM_Code],$A18,T_Shipments[Effective_Week],96)</f>
        <v/>
      </c>
      <c r="CT18">
        <f>SUMIFS(T_Shipments[Confirmed_Qty],T_Shipments[RM_Code],$A18,T_Shipments[Effective_Week],97)</f>
        <v/>
      </c>
      <c r="CU18">
        <f>SUMIFS(T_Shipments[Confirmed_Qty],T_Shipments[RM_Code],$A18,T_Shipments[Effective_Week],98)</f>
        <v/>
      </c>
      <c r="CV18">
        <f>SUMIFS(T_Shipments[Confirmed_Qty],T_Shipments[RM_Code],$A18,T_Shipments[Effective_Week],99)</f>
        <v/>
      </c>
      <c r="CW18">
        <f>SUMIFS(T_Shipments[Confirmed_Qty],T_Shipments[RM_Code],$A18,T_Shipments[Effective_Week],100)</f>
        <v/>
      </c>
      <c r="CX18">
        <f>SUMIFS(T_Shipments[Confirmed_Qty],T_Shipments[RM_Code],$A18,T_Shipments[Effective_Week],101)</f>
        <v/>
      </c>
      <c r="CY18">
        <f>SUMIFS(T_Shipments[Confirmed_Qty],T_Shipments[RM_Code],$A18,T_Shipments[Effective_Week],102)</f>
        <v/>
      </c>
      <c r="CZ18">
        <f>SUMIFS(T_Shipments[Confirmed_Qty],T_Shipments[RM_Code],$A18,T_Shipments[Effective_Week],103)</f>
        <v/>
      </c>
      <c r="DA18">
        <f>SUMIFS(T_Shipments[Confirmed_Qty],T_Shipments[RM_Code],$A18,T_Shipments[Effective_Week],104)</f>
        <v/>
      </c>
    </row>
    <row r="19">
      <c r="A19" t="inlineStr">
        <is>
          <t>CHEM-1570</t>
        </is>
      </c>
      <c r="B19">
        <f>SUMIFS(T_Shipments[Confirmed_Qty],T_Shipments[RM_Code],$A19,T_Shipments[Effective_Week],1)</f>
        <v/>
      </c>
      <c r="C19">
        <f>SUMIFS(T_Shipments[Confirmed_Qty],T_Shipments[RM_Code],$A19,T_Shipments[Effective_Week],2)</f>
        <v/>
      </c>
      <c r="D19">
        <f>SUMIFS(T_Shipments[Confirmed_Qty],T_Shipments[RM_Code],$A19,T_Shipments[Effective_Week],3)</f>
        <v/>
      </c>
      <c r="E19">
        <f>SUMIFS(T_Shipments[Confirmed_Qty],T_Shipments[RM_Code],$A19,T_Shipments[Effective_Week],4)</f>
        <v/>
      </c>
      <c r="F19">
        <f>SUMIFS(T_Shipments[Confirmed_Qty],T_Shipments[RM_Code],$A19,T_Shipments[Effective_Week],5)</f>
        <v/>
      </c>
      <c r="G19">
        <f>SUMIFS(T_Shipments[Confirmed_Qty],T_Shipments[RM_Code],$A19,T_Shipments[Effective_Week],6)</f>
        <v/>
      </c>
      <c r="H19">
        <f>SUMIFS(T_Shipments[Confirmed_Qty],T_Shipments[RM_Code],$A19,T_Shipments[Effective_Week],7)</f>
        <v/>
      </c>
      <c r="I19">
        <f>SUMIFS(T_Shipments[Confirmed_Qty],T_Shipments[RM_Code],$A19,T_Shipments[Effective_Week],8)</f>
        <v/>
      </c>
      <c r="J19">
        <f>SUMIFS(T_Shipments[Confirmed_Qty],T_Shipments[RM_Code],$A19,T_Shipments[Effective_Week],9)</f>
        <v/>
      </c>
      <c r="K19">
        <f>SUMIFS(T_Shipments[Confirmed_Qty],T_Shipments[RM_Code],$A19,T_Shipments[Effective_Week],10)</f>
        <v/>
      </c>
      <c r="L19">
        <f>SUMIFS(T_Shipments[Confirmed_Qty],T_Shipments[RM_Code],$A19,T_Shipments[Effective_Week],11)</f>
        <v/>
      </c>
      <c r="M19">
        <f>SUMIFS(T_Shipments[Confirmed_Qty],T_Shipments[RM_Code],$A19,T_Shipments[Effective_Week],12)</f>
        <v/>
      </c>
      <c r="N19">
        <f>SUMIFS(T_Shipments[Confirmed_Qty],T_Shipments[RM_Code],$A19,T_Shipments[Effective_Week],13)</f>
        <v/>
      </c>
      <c r="O19">
        <f>SUMIFS(T_Shipments[Confirmed_Qty],T_Shipments[RM_Code],$A19,T_Shipments[Effective_Week],14)</f>
        <v/>
      </c>
      <c r="P19">
        <f>SUMIFS(T_Shipments[Confirmed_Qty],T_Shipments[RM_Code],$A19,T_Shipments[Effective_Week],15)</f>
        <v/>
      </c>
      <c r="Q19">
        <f>SUMIFS(T_Shipments[Confirmed_Qty],T_Shipments[RM_Code],$A19,T_Shipments[Effective_Week],16)</f>
        <v/>
      </c>
      <c r="R19">
        <f>SUMIFS(T_Shipments[Confirmed_Qty],T_Shipments[RM_Code],$A19,T_Shipments[Effective_Week],17)</f>
        <v/>
      </c>
      <c r="S19">
        <f>SUMIFS(T_Shipments[Confirmed_Qty],T_Shipments[RM_Code],$A19,T_Shipments[Effective_Week],18)</f>
        <v/>
      </c>
      <c r="T19">
        <f>SUMIFS(T_Shipments[Confirmed_Qty],T_Shipments[RM_Code],$A19,T_Shipments[Effective_Week],19)</f>
        <v/>
      </c>
      <c r="U19">
        <f>SUMIFS(T_Shipments[Confirmed_Qty],T_Shipments[RM_Code],$A19,T_Shipments[Effective_Week],20)</f>
        <v/>
      </c>
      <c r="V19">
        <f>SUMIFS(T_Shipments[Confirmed_Qty],T_Shipments[RM_Code],$A19,T_Shipments[Effective_Week],21)</f>
        <v/>
      </c>
      <c r="W19">
        <f>SUMIFS(T_Shipments[Confirmed_Qty],T_Shipments[RM_Code],$A19,T_Shipments[Effective_Week],22)</f>
        <v/>
      </c>
      <c r="X19">
        <f>SUMIFS(T_Shipments[Confirmed_Qty],T_Shipments[RM_Code],$A19,T_Shipments[Effective_Week],23)</f>
        <v/>
      </c>
      <c r="Y19">
        <f>SUMIFS(T_Shipments[Confirmed_Qty],T_Shipments[RM_Code],$A19,T_Shipments[Effective_Week],24)</f>
        <v/>
      </c>
      <c r="Z19">
        <f>SUMIFS(T_Shipments[Confirmed_Qty],T_Shipments[RM_Code],$A19,T_Shipments[Effective_Week],25)</f>
        <v/>
      </c>
      <c r="AA19">
        <f>SUMIFS(T_Shipments[Confirmed_Qty],T_Shipments[RM_Code],$A19,T_Shipments[Effective_Week],26)</f>
        <v/>
      </c>
      <c r="AB19">
        <f>SUMIFS(T_Shipments[Confirmed_Qty],T_Shipments[RM_Code],$A19,T_Shipments[Effective_Week],27)</f>
        <v/>
      </c>
      <c r="AC19">
        <f>SUMIFS(T_Shipments[Confirmed_Qty],T_Shipments[RM_Code],$A19,T_Shipments[Effective_Week],28)</f>
        <v/>
      </c>
      <c r="AD19">
        <f>SUMIFS(T_Shipments[Confirmed_Qty],T_Shipments[RM_Code],$A19,T_Shipments[Effective_Week],29)</f>
        <v/>
      </c>
      <c r="AE19">
        <f>SUMIFS(T_Shipments[Confirmed_Qty],T_Shipments[RM_Code],$A19,T_Shipments[Effective_Week],30)</f>
        <v/>
      </c>
      <c r="AF19">
        <f>SUMIFS(T_Shipments[Confirmed_Qty],T_Shipments[RM_Code],$A19,T_Shipments[Effective_Week],31)</f>
        <v/>
      </c>
      <c r="AG19">
        <f>SUMIFS(T_Shipments[Confirmed_Qty],T_Shipments[RM_Code],$A19,T_Shipments[Effective_Week],32)</f>
        <v/>
      </c>
      <c r="AH19">
        <f>SUMIFS(T_Shipments[Confirmed_Qty],T_Shipments[RM_Code],$A19,T_Shipments[Effective_Week],33)</f>
        <v/>
      </c>
      <c r="AI19">
        <f>SUMIFS(T_Shipments[Confirmed_Qty],T_Shipments[RM_Code],$A19,T_Shipments[Effective_Week],34)</f>
        <v/>
      </c>
      <c r="AJ19">
        <f>SUMIFS(T_Shipments[Confirmed_Qty],T_Shipments[RM_Code],$A19,T_Shipments[Effective_Week],35)</f>
        <v/>
      </c>
      <c r="AK19">
        <f>SUMIFS(T_Shipments[Confirmed_Qty],T_Shipments[RM_Code],$A19,T_Shipments[Effective_Week],36)</f>
        <v/>
      </c>
      <c r="AL19">
        <f>SUMIFS(T_Shipments[Confirmed_Qty],T_Shipments[RM_Code],$A19,T_Shipments[Effective_Week],37)</f>
        <v/>
      </c>
      <c r="AM19">
        <f>SUMIFS(T_Shipments[Confirmed_Qty],T_Shipments[RM_Code],$A19,T_Shipments[Effective_Week],38)</f>
        <v/>
      </c>
      <c r="AN19">
        <f>SUMIFS(T_Shipments[Confirmed_Qty],T_Shipments[RM_Code],$A19,T_Shipments[Effective_Week],39)</f>
        <v/>
      </c>
      <c r="AO19">
        <f>SUMIFS(T_Shipments[Confirmed_Qty],T_Shipments[RM_Code],$A19,T_Shipments[Effective_Week],40)</f>
        <v/>
      </c>
      <c r="AP19">
        <f>SUMIFS(T_Shipments[Confirmed_Qty],T_Shipments[RM_Code],$A19,T_Shipments[Effective_Week],41)</f>
        <v/>
      </c>
      <c r="AQ19">
        <f>SUMIFS(T_Shipments[Confirmed_Qty],T_Shipments[RM_Code],$A19,T_Shipments[Effective_Week],42)</f>
        <v/>
      </c>
      <c r="AR19">
        <f>SUMIFS(T_Shipments[Confirmed_Qty],T_Shipments[RM_Code],$A19,T_Shipments[Effective_Week],43)</f>
        <v/>
      </c>
      <c r="AS19">
        <f>SUMIFS(T_Shipments[Confirmed_Qty],T_Shipments[RM_Code],$A19,T_Shipments[Effective_Week],44)</f>
        <v/>
      </c>
      <c r="AT19">
        <f>SUMIFS(T_Shipments[Confirmed_Qty],T_Shipments[RM_Code],$A19,T_Shipments[Effective_Week],45)</f>
        <v/>
      </c>
      <c r="AU19">
        <f>SUMIFS(T_Shipments[Confirmed_Qty],T_Shipments[RM_Code],$A19,T_Shipments[Effective_Week],46)</f>
        <v/>
      </c>
      <c r="AV19">
        <f>SUMIFS(T_Shipments[Confirmed_Qty],T_Shipments[RM_Code],$A19,T_Shipments[Effective_Week],47)</f>
        <v/>
      </c>
      <c r="AW19">
        <f>SUMIFS(T_Shipments[Confirmed_Qty],T_Shipments[RM_Code],$A19,T_Shipments[Effective_Week],48)</f>
        <v/>
      </c>
      <c r="AX19">
        <f>SUMIFS(T_Shipments[Confirmed_Qty],T_Shipments[RM_Code],$A19,T_Shipments[Effective_Week],49)</f>
        <v/>
      </c>
      <c r="AY19">
        <f>SUMIFS(T_Shipments[Confirmed_Qty],T_Shipments[RM_Code],$A19,T_Shipments[Effective_Week],50)</f>
        <v/>
      </c>
      <c r="AZ19">
        <f>SUMIFS(T_Shipments[Confirmed_Qty],T_Shipments[RM_Code],$A19,T_Shipments[Effective_Week],51)</f>
        <v/>
      </c>
      <c r="BA19">
        <f>SUMIFS(T_Shipments[Confirmed_Qty],T_Shipments[RM_Code],$A19,T_Shipments[Effective_Week],52)</f>
        <v/>
      </c>
      <c r="BB19">
        <f>SUMIFS(T_Shipments[Confirmed_Qty],T_Shipments[RM_Code],$A19,T_Shipments[Effective_Week],53)</f>
        <v/>
      </c>
      <c r="BC19">
        <f>SUMIFS(T_Shipments[Confirmed_Qty],T_Shipments[RM_Code],$A19,T_Shipments[Effective_Week],54)</f>
        <v/>
      </c>
      <c r="BD19">
        <f>SUMIFS(T_Shipments[Confirmed_Qty],T_Shipments[RM_Code],$A19,T_Shipments[Effective_Week],55)</f>
        <v/>
      </c>
      <c r="BE19">
        <f>SUMIFS(T_Shipments[Confirmed_Qty],T_Shipments[RM_Code],$A19,T_Shipments[Effective_Week],56)</f>
        <v/>
      </c>
      <c r="BF19">
        <f>SUMIFS(T_Shipments[Confirmed_Qty],T_Shipments[RM_Code],$A19,T_Shipments[Effective_Week],57)</f>
        <v/>
      </c>
      <c r="BG19">
        <f>SUMIFS(T_Shipments[Confirmed_Qty],T_Shipments[RM_Code],$A19,T_Shipments[Effective_Week],58)</f>
        <v/>
      </c>
      <c r="BH19">
        <f>SUMIFS(T_Shipments[Confirmed_Qty],T_Shipments[RM_Code],$A19,T_Shipments[Effective_Week],59)</f>
        <v/>
      </c>
      <c r="BI19">
        <f>SUMIFS(T_Shipments[Confirmed_Qty],T_Shipments[RM_Code],$A19,T_Shipments[Effective_Week],60)</f>
        <v/>
      </c>
      <c r="BJ19">
        <f>SUMIFS(T_Shipments[Confirmed_Qty],T_Shipments[RM_Code],$A19,T_Shipments[Effective_Week],61)</f>
        <v/>
      </c>
      <c r="BK19">
        <f>SUMIFS(T_Shipments[Confirmed_Qty],T_Shipments[RM_Code],$A19,T_Shipments[Effective_Week],62)</f>
        <v/>
      </c>
      <c r="BL19">
        <f>SUMIFS(T_Shipments[Confirmed_Qty],T_Shipments[RM_Code],$A19,T_Shipments[Effective_Week],63)</f>
        <v/>
      </c>
      <c r="BM19">
        <f>SUMIFS(T_Shipments[Confirmed_Qty],T_Shipments[RM_Code],$A19,T_Shipments[Effective_Week],64)</f>
        <v/>
      </c>
      <c r="BN19">
        <f>SUMIFS(T_Shipments[Confirmed_Qty],T_Shipments[RM_Code],$A19,T_Shipments[Effective_Week],65)</f>
        <v/>
      </c>
      <c r="BO19">
        <f>SUMIFS(T_Shipments[Confirmed_Qty],T_Shipments[RM_Code],$A19,T_Shipments[Effective_Week],66)</f>
        <v/>
      </c>
      <c r="BP19">
        <f>SUMIFS(T_Shipments[Confirmed_Qty],T_Shipments[RM_Code],$A19,T_Shipments[Effective_Week],67)</f>
        <v/>
      </c>
      <c r="BQ19">
        <f>SUMIFS(T_Shipments[Confirmed_Qty],T_Shipments[RM_Code],$A19,T_Shipments[Effective_Week],68)</f>
        <v/>
      </c>
      <c r="BR19">
        <f>SUMIFS(T_Shipments[Confirmed_Qty],T_Shipments[RM_Code],$A19,T_Shipments[Effective_Week],69)</f>
        <v/>
      </c>
      <c r="BS19">
        <f>SUMIFS(T_Shipments[Confirmed_Qty],T_Shipments[RM_Code],$A19,T_Shipments[Effective_Week],70)</f>
        <v/>
      </c>
      <c r="BT19">
        <f>SUMIFS(T_Shipments[Confirmed_Qty],T_Shipments[RM_Code],$A19,T_Shipments[Effective_Week],71)</f>
        <v/>
      </c>
      <c r="BU19">
        <f>SUMIFS(T_Shipments[Confirmed_Qty],T_Shipments[RM_Code],$A19,T_Shipments[Effective_Week],72)</f>
        <v/>
      </c>
      <c r="BV19">
        <f>SUMIFS(T_Shipments[Confirmed_Qty],T_Shipments[RM_Code],$A19,T_Shipments[Effective_Week],73)</f>
        <v/>
      </c>
      <c r="BW19">
        <f>SUMIFS(T_Shipments[Confirmed_Qty],T_Shipments[RM_Code],$A19,T_Shipments[Effective_Week],74)</f>
        <v/>
      </c>
      <c r="BX19">
        <f>SUMIFS(T_Shipments[Confirmed_Qty],T_Shipments[RM_Code],$A19,T_Shipments[Effective_Week],75)</f>
        <v/>
      </c>
      <c r="BY19">
        <f>SUMIFS(T_Shipments[Confirmed_Qty],T_Shipments[RM_Code],$A19,T_Shipments[Effective_Week],76)</f>
        <v/>
      </c>
      <c r="BZ19">
        <f>SUMIFS(T_Shipments[Confirmed_Qty],T_Shipments[RM_Code],$A19,T_Shipments[Effective_Week],77)</f>
        <v/>
      </c>
      <c r="CA19">
        <f>SUMIFS(T_Shipments[Confirmed_Qty],T_Shipments[RM_Code],$A19,T_Shipments[Effective_Week],78)</f>
        <v/>
      </c>
      <c r="CB19">
        <f>SUMIFS(T_Shipments[Confirmed_Qty],T_Shipments[RM_Code],$A19,T_Shipments[Effective_Week],79)</f>
        <v/>
      </c>
      <c r="CC19">
        <f>SUMIFS(T_Shipments[Confirmed_Qty],T_Shipments[RM_Code],$A19,T_Shipments[Effective_Week],80)</f>
        <v/>
      </c>
      <c r="CD19">
        <f>SUMIFS(T_Shipments[Confirmed_Qty],T_Shipments[RM_Code],$A19,T_Shipments[Effective_Week],81)</f>
        <v/>
      </c>
      <c r="CE19">
        <f>SUMIFS(T_Shipments[Confirmed_Qty],T_Shipments[RM_Code],$A19,T_Shipments[Effective_Week],82)</f>
        <v/>
      </c>
      <c r="CF19">
        <f>SUMIFS(T_Shipments[Confirmed_Qty],T_Shipments[RM_Code],$A19,T_Shipments[Effective_Week],83)</f>
        <v/>
      </c>
      <c r="CG19">
        <f>SUMIFS(T_Shipments[Confirmed_Qty],T_Shipments[RM_Code],$A19,T_Shipments[Effective_Week],84)</f>
        <v/>
      </c>
      <c r="CH19">
        <f>SUMIFS(T_Shipments[Confirmed_Qty],T_Shipments[RM_Code],$A19,T_Shipments[Effective_Week],85)</f>
        <v/>
      </c>
      <c r="CI19">
        <f>SUMIFS(T_Shipments[Confirmed_Qty],T_Shipments[RM_Code],$A19,T_Shipments[Effective_Week],86)</f>
        <v/>
      </c>
      <c r="CJ19">
        <f>SUMIFS(T_Shipments[Confirmed_Qty],T_Shipments[RM_Code],$A19,T_Shipments[Effective_Week],87)</f>
        <v/>
      </c>
      <c r="CK19">
        <f>SUMIFS(T_Shipments[Confirmed_Qty],T_Shipments[RM_Code],$A19,T_Shipments[Effective_Week],88)</f>
        <v/>
      </c>
      <c r="CL19">
        <f>SUMIFS(T_Shipments[Confirmed_Qty],T_Shipments[RM_Code],$A19,T_Shipments[Effective_Week],89)</f>
        <v/>
      </c>
      <c r="CM19">
        <f>SUMIFS(T_Shipments[Confirmed_Qty],T_Shipments[RM_Code],$A19,T_Shipments[Effective_Week],90)</f>
        <v/>
      </c>
      <c r="CN19">
        <f>SUMIFS(T_Shipments[Confirmed_Qty],T_Shipments[RM_Code],$A19,T_Shipments[Effective_Week],91)</f>
        <v/>
      </c>
      <c r="CO19">
        <f>SUMIFS(T_Shipments[Confirmed_Qty],T_Shipments[RM_Code],$A19,T_Shipments[Effective_Week],92)</f>
        <v/>
      </c>
      <c r="CP19">
        <f>SUMIFS(T_Shipments[Confirmed_Qty],T_Shipments[RM_Code],$A19,T_Shipments[Effective_Week],93)</f>
        <v/>
      </c>
      <c r="CQ19">
        <f>SUMIFS(T_Shipments[Confirmed_Qty],T_Shipments[RM_Code],$A19,T_Shipments[Effective_Week],94)</f>
        <v/>
      </c>
      <c r="CR19">
        <f>SUMIFS(T_Shipments[Confirmed_Qty],T_Shipments[RM_Code],$A19,T_Shipments[Effective_Week],95)</f>
        <v/>
      </c>
      <c r="CS19">
        <f>SUMIFS(T_Shipments[Confirmed_Qty],T_Shipments[RM_Code],$A19,T_Shipments[Effective_Week],96)</f>
        <v/>
      </c>
      <c r="CT19">
        <f>SUMIFS(T_Shipments[Confirmed_Qty],T_Shipments[RM_Code],$A19,T_Shipments[Effective_Week],97)</f>
        <v/>
      </c>
      <c r="CU19">
        <f>SUMIFS(T_Shipments[Confirmed_Qty],T_Shipments[RM_Code],$A19,T_Shipments[Effective_Week],98)</f>
        <v/>
      </c>
      <c r="CV19">
        <f>SUMIFS(T_Shipments[Confirmed_Qty],T_Shipments[RM_Code],$A19,T_Shipments[Effective_Week],99)</f>
        <v/>
      </c>
      <c r="CW19">
        <f>SUMIFS(T_Shipments[Confirmed_Qty],T_Shipments[RM_Code],$A19,T_Shipments[Effective_Week],100)</f>
        <v/>
      </c>
      <c r="CX19">
        <f>SUMIFS(T_Shipments[Confirmed_Qty],T_Shipments[RM_Code],$A19,T_Shipments[Effective_Week],101)</f>
        <v/>
      </c>
      <c r="CY19">
        <f>SUMIFS(T_Shipments[Confirmed_Qty],T_Shipments[RM_Code],$A19,T_Shipments[Effective_Week],102)</f>
        <v/>
      </c>
      <c r="CZ19">
        <f>SUMIFS(T_Shipments[Confirmed_Qty],T_Shipments[RM_Code],$A19,T_Shipments[Effective_Week],103)</f>
        <v/>
      </c>
      <c r="DA19">
        <f>SUMIFS(T_Shipments[Confirmed_Qty],T_Shipments[RM_Code],$A19,T_Shipments[Effective_Week],104)</f>
        <v/>
      </c>
    </row>
    <row r="20">
      <c r="A20" t="inlineStr">
        <is>
          <t>CHEM-1650</t>
        </is>
      </c>
      <c r="B20">
        <f>SUMIFS(T_Shipments[Confirmed_Qty],T_Shipments[RM_Code],$A20,T_Shipments[Effective_Week],1)</f>
        <v/>
      </c>
      <c r="C20">
        <f>SUMIFS(T_Shipments[Confirmed_Qty],T_Shipments[RM_Code],$A20,T_Shipments[Effective_Week],2)</f>
        <v/>
      </c>
      <c r="D20">
        <f>SUMIFS(T_Shipments[Confirmed_Qty],T_Shipments[RM_Code],$A20,T_Shipments[Effective_Week],3)</f>
        <v/>
      </c>
      <c r="E20">
        <f>SUMIFS(T_Shipments[Confirmed_Qty],T_Shipments[RM_Code],$A20,T_Shipments[Effective_Week],4)</f>
        <v/>
      </c>
      <c r="F20">
        <f>SUMIFS(T_Shipments[Confirmed_Qty],T_Shipments[RM_Code],$A20,T_Shipments[Effective_Week],5)</f>
        <v/>
      </c>
      <c r="G20">
        <f>SUMIFS(T_Shipments[Confirmed_Qty],T_Shipments[RM_Code],$A20,T_Shipments[Effective_Week],6)</f>
        <v/>
      </c>
      <c r="H20">
        <f>SUMIFS(T_Shipments[Confirmed_Qty],T_Shipments[RM_Code],$A20,T_Shipments[Effective_Week],7)</f>
        <v/>
      </c>
      <c r="I20">
        <f>SUMIFS(T_Shipments[Confirmed_Qty],T_Shipments[RM_Code],$A20,T_Shipments[Effective_Week],8)</f>
        <v/>
      </c>
      <c r="J20">
        <f>SUMIFS(T_Shipments[Confirmed_Qty],T_Shipments[RM_Code],$A20,T_Shipments[Effective_Week],9)</f>
        <v/>
      </c>
      <c r="K20">
        <f>SUMIFS(T_Shipments[Confirmed_Qty],T_Shipments[RM_Code],$A20,T_Shipments[Effective_Week],10)</f>
        <v/>
      </c>
      <c r="L20">
        <f>SUMIFS(T_Shipments[Confirmed_Qty],T_Shipments[RM_Code],$A20,T_Shipments[Effective_Week],11)</f>
        <v/>
      </c>
      <c r="M20">
        <f>SUMIFS(T_Shipments[Confirmed_Qty],T_Shipments[RM_Code],$A20,T_Shipments[Effective_Week],12)</f>
        <v/>
      </c>
      <c r="N20">
        <f>SUMIFS(T_Shipments[Confirmed_Qty],T_Shipments[RM_Code],$A20,T_Shipments[Effective_Week],13)</f>
        <v/>
      </c>
      <c r="O20">
        <f>SUMIFS(T_Shipments[Confirmed_Qty],T_Shipments[RM_Code],$A20,T_Shipments[Effective_Week],14)</f>
        <v/>
      </c>
      <c r="P20">
        <f>SUMIFS(T_Shipments[Confirmed_Qty],T_Shipments[RM_Code],$A20,T_Shipments[Effective_Week],15)</f>
        <v/>
      </c>
      <c r="Q20">
        <f>SUMIFS(T_Shipments[Confirmed_Qty],T_Shipments[RM_Code],$A20,T_Shipments[Effective_Week],16)</f>
        <v/>
      </c>
      <c r="R20">
        <f>SUMIFS(T_Shipments[Confirmed_Qty],T_Shipments[RM_Code],$A20,T_Shipments[Effective_Week],17)</f>
        <v/>
      </c>
      <c r="S20">
        <f>SUMIFS(T_Shipments[Confirmed_Qty],T_Shipments[RM_Code],$A20,T_Shipments[Effective_Week],18)</f>
        <v/>
      </c>
      <c r="T20">
        <f>SUMIFS(T_Shipments[Confirmed_Qty],T_Shipments[RM_Code],$A20,T_Shipments[Effective_Week],19)</f>
        <v/>
      </c>
      <c r="U20">
        <f>SUMIFS(T_Shipments[Confirmed_Qty],T_Shipments[RM_Code],$A20,T_Shipments[Effective_Week],20)</f>
        <v/>
      </c>
      <c r="V20">
        <f>SUMIFS(T_Shipments[Confirmed_Qty],T_Shipments[RM_Code],$A20,T_Shipments[Effective_Week],21)</f>
        <v/>
      </c>
      <c r="W20">
        <f>SUMIFS(T_Shipments[Confirmed_Qty],T_Shipments[RM_Code],$A20,T_Shipments[Effective_Week],22)</f>
        <v/>
      </c>
      <c r="X20">
        <f>SUMIFS(T_Shipments[Confirmed_Qty],T_Shipments[RM_Code],$A20,T_Shipments[Effective_Week],23)</f>
        <v/>
      </c>
      <c r="Y20">
        <f>SUMIFS(T_Shipments[Confirmed_Qty],T_Shipments[RM_Code],$A20,T_Shipments[Effective_Week],24)</f>
        <v/>
      </c>
      <c r="Z20">
        <f>SUMIFS(T_Shipments[Confirmed_Qty],T_Shipments[RM_Code],$A20,T_Shipments[Effective_Week],25)</f>
        <v/>
      </c>
      <c r="AA20">
        <f>SUMIFS(T_Shipments[Confirmed_Qty],T_Shipments[RM_Code],$A20,T_Shipments[Effective_Week],26)</f>
        <v/>
      </c>
      <c r="AB20">
        <f>SUMIFS(T_Shipments[Confirmed_Qty],T_Shipments[RM_Code],$A20,T_Shipments[Effective_Week],27)</f>
        <v/>
      </c>
      <c r="AC20">
        <f>SUMIFS(T_Shipments[Confirmed_Qty],T_Shipments[RM_Code],$A20,T_Shipments[Effective_Week],28)</f>
        <v/>
      </c>
      <c r="AD20">
        <f>SUMIFS(T_Shipments[Confirmed_Qty],T_Shipments[RM_Code],$A20,T_Shipments[Effective_Week],29)</f>
        <v/>
      </c>
      <c r="AE20">
        <f>SUMIFS(T_Shipments[Confirmed_Qty],T_Shipments[RM_Code],$A20,T_Shipments[Effective_Week],30)</f>
        <v/>
      </c>
      <c r="AF20">
        <f>SUMIFS(T_Shipments[Confirmed_Qty],T_Shipments[RM_Code],$A20,T_Shipments[Effective_Week],31)</f>
        <v/>
      </c>
      <c r="AG20">
        <f>SUMIFS(T_Shipments[Confirmed_Qty],T_Shipments[RM_Code],$A20,T_Shipments[Effective_Week],32)</f>
        <v/>
      </c>
      <c r="AH20">
        <f>SUMIFS(T_Shipments[Confirmed_Qty],T_Shipments[RM_Code],$A20,T_Shipments[Effective_Week],33)</f>
        <v/>
      </c>
      <c r="AI20">
        <f>SUMIFS(T_Shipments[Confirmed_Qty],T_Shipments[RM_Code],$A20,T_Shipments[Effective_Week],34)</f>
        <v/>
      </c>
      <c r="AJ20">
        <f>SUMIFS(T_Shipments[Confirmed_Qty],T_Shipments[RM_Code],$A20,T_Shipments[Effective_Week],35)</f>
        <v/>
      </c>
      <c r="AK20">
        <f>SUMIFS(T_Shipments[Confirmed_Qty],T_Shipments[RM_Code],$A20,T_Shipments[Effective_Week],36)</f>
        <v/>
      </c>
      <c r="AL20">
        <f>SUMIFS(T_Shipments[Confirmed_Qty],T_Shipments[RM_Code],$A20,T_Shipments[Effective_Week],37)</f>
        <v/>
      </c>
      <c r="AM20">
        <f>SUMIFS(T_Shipments[Confirmed_Qty],T_Shipments[RM_Code],$A20,T_Shipments[Effective_Week],38)</f>
        <v/>
      </c>
      <c r="AN20">
        <f>SUMIFS(T_Shipments[Confirmed_Qty],T_Shipments[RM_Code],$A20,T_Shipments[Effective_Week],39)</f>
        <v/>
      </c>
      <c r="AO20">
        <f>SUMIFS(T_Shipments[Confirmed_Qty],T_Shipments[RM_Code],$A20,T_Shipments[Effective_Week],40)</f>
        <v/>
      </c>
      <c r="AP20">
        <f>SUMIFS(T_Shipments[Confirmed_Qty],T_Shipments[RM_Code],$A20,T_Shipments[Effective_Week],41)</f>
        <v/>
      </c>
      <c r="AQ20">
        <f>SUMIFS(T_Shipments[Confirmed_Qty],T_Shipments[RM_Code],$A20,T_Shipments[Effective_Week],42)</f>
        <v/>
      </c>
      <c r="AR20">
        <f>SUMIFS(T_Shipments[Confirmed_Qty],T_Shipments[RM_Code],$A20,T_Shipments[Effective_Week],43)</f>
        <v/>
      </c>
      <c r="AS20">
        <f>SUMIFS(T_Shipments[Confirmed_Qty],T_Shipments[RM_Code],$A20,T_Shipments[Effective_Week],44)</f>
        <v/>
      </c>
      <c r="AT20">
        <f>SUMIFS(T_Shipments[Confirmed_Qty],T_Shipments[RM_Code],$A20,T_Shipments[Effective_Week],45)</f>
        <v/>
      </c>
      <c r="AU20">
        <f>SUMIFS(T_Shipments[Confirmed_Qty],T_Shipments[RM_Code],$A20,T_Shipments[Effective_Week],46)</f>
        <v/>
      </c>
      <c r="AV20">
        <f>SUMIFS(T_Shipments[Confirmed_Qty],T_Shipments[RM_Code],$A20,T_Shipments[Effective_Week],47)</f>
        <v/>
      </c>
      <c r="AW20">
        <f>SUMIFS(T_Shipments[Confirmed_Qty],T_Shipments[RM_Code],$A20,T_Shipments[Effective_Week],48)</f>
        <v/>
      </c>
      <c r="AX20">
        <f>SUMIFS(T_Shipments[Confirmed_Qty],T_Shipments[RM_Code],$A20,T_Shipments[Effective_Week],49)</f>
        <v/>
      </c>
      <c r="AY20">
        <f>SUMIFS(T_Shipments[Confirmed_Qty],T_Shipments[RM_Code],$A20,T_Shipments[Effective_Week],50)</f>
        <v/>
      </c>
      <c r="AZ20">
        <f>SUMIFS(T_Shipments[Confirmed_Qty],T_Shipments[RM_Code],$A20,T_Shipments[Effective_Week],51)</f>
        <v/>
      </c>
      <c r="BA20">
        <f>SUMIFS(T_Shipments[Confirmed_Qty],T_Shipments[RM_Code],$A20,T_Shipments[Effective_Week],52)</f>
        <v/>
      </c>
      <c r="BB20">
        <f>SUMIFS(T_Shipments[Confirmed_Qty],T_Shipments[RM_Code],$A20,T_Shipments[Effective_Week],53)</f>
        <v/>
      </c>
      <c r="BC20">
        <f>SUMIFS(T_Shipments[Confirmed_Qty],T_Shipments[RM_Code],$A20,T_Shipments[Effective_Week],54)</f>
        <v/>
      </c>
      <c r="BD20">
        <f>SUMIFS(T_Shipments[Confirmed_Qty],T_Shipments[RM_Code],$A20,T_Shipments[Effective_Week],55)</f>
        <v/>
      </c>
      <c r="BE20">
        <f>SUMIFS(T_Shipments[Confirmed_Qty],T_Shipments[RM_Code],$A20,T_Shipments[Effective_Week],56)</f>
        <v/>
      </c>
      <c r="BF20">
        <f>SUMIFS(T_Shipments[Confirmed_Qty],T_Shipments[RM_Code],$A20,T_Shipments[Effective_Week],57)</f>
        <v/>
      </c>
      <c r="BG20">
        <f>SUMIFS(T_Shipments[Confirmed_Qty],T_Shipments[RM_Code],$A20,T_Shipments[Effective_Week],58)</f>
        <v/>
      </c>
      <c r="BH20">
        <f>SUMIFS(T_Shipments[Confirmed_Qty],T_Shipments[RM_Code],$A20,T_Shipments[Effective_Week],59)</f>
        <v/>
      </c>
      <c r="BI20">
        <f>SUMIFS(T_Shipments[Confirmed_Qty],T_Shipments[RM_Code],$A20,T_Shipments[Effective_Week],60)</f>
        <v/>
      </c>
      <c r="BJ20">
        <f>SUMIFS(T_Shipments[Confirmed_Qty],T_Shipments[RM_Code],$A20,T_Shipments[Effective_Week],61)</f>
        <v/>
      </c>
      <c r="BK20">
        <f>SUMIFS(T_Shipments[Confirmed_Qty],T_Shipments[RM_Code],$A20,T_Shipments[Effective_Week],62)</f>
        <v/>
      </c>
      <c r="BL20">
        <f>SUMIFS(T_Shipments[Confirmed_Qty],T_Shipments[RM_Code],$A20,T_Shipments[Effective_Week],63)</f>
        <v/>
      </c>
      <c r="BM20">
        <f>SUMIFS(T_Shipments[Confirmed_Qty],T_Shipments[RM_Code],$A20,T_Shipments[Effective_Week],64)</f>
        <v/>
      </c>
      <c r="BN20">
        <f>SUMIFS(T_Shipments[Confirmed_Qty],T_Shipments[RM_Code],$A20,T_Shipments[Effective_Week],65)</f>
        <v/>
      </c>
      <c r="BO20">
        <f>SUMIFS(T_Shipments[Confirmed_Qty],T_Shipments[RM_Code],$A20,T_Shipments[Effective_Week],66)</f>
        <v/>
      </c>
      <c r="BP20">
        <f>SUMIFS(T_Shipments[Confirmed_Qty],T_Shipments[RM_Code],$A20,T_Shipments[Effective_Week],67)</f>
        <v/>
      </c>
      <c r="BQ20">
        <f>SUMIFS(T_Shipments[Confirmed_Qty],T_Shipments[RM_Code],$A20,T_Shipments[Effective_Week],68)</f>
        <v/>
      </c>
      <c r="BR20">
        <f>SUMIFS(T_Shipments[Confirmed_Qty],T_Shipments[RM_Code],$A20,T_Shipments[Effective_Week],69)</f>
        <v/>
      </c>
      <c r="BS20">
        <f>SUMIFS(T_Shipments[Confirmed_Qty],T_Shipments[RM_Code],$A20,T_Shipments[Effective_Week],70)</f>
        <v/>
      </c>
      <c r="BT20">
        <f>SUMIFS(T_Shipments[Confirmed_Qty],T_Shipments[RM_Code],$A20,T_Shipments[Effective_Week],71)</f>
        <v/>
      </c>
      <c r="BU20">
        <f>SUMIFS(T_Shipments[Confirmed_Qty],T_Shipments[RM_Code],$A20,T_Shipments[Effective_Week],72)</f>
        <v/>
      </c>
      <c r="BV20">
        <f>SUMIFS(T_Shipments[Confirmed_Qty],T_Shipments[RM_Code],$A20,T_Shipments[Effective_Week],73)</f>
        <v/>
      </c>
      <c r="BW20">
        <f>SUMIFS(T_Shipments[Confirmed_Qty],T_Shipments[RM_Code],$A20,T_Shipments[Effective_Week],74)</f>
        <v/>
      </c>
      <c r="BX20">
        <f>SUMIFS(T_Shipments[Confirmed_Qty],T_Shipments[RM_Code],$A20,T_Shipments[Effective_Week],75)</f>
        <v/>
      </c>
      <c r="BY20">
        <f>SUMIFS(T_Shipments[Confirmed_Qty],T_Shipments[RM_Code],$A20,T_Shipments[Effective_Week],76)</f>
        <v/>
      </c>
      <c r="BZ20">
        <f>SUMIFS(T_Shipments[Confirmed_Qty],T_Shipments[RM_Code],$A20,T_Shipments[Effective_Week],77)</f>
        <v/>
      </c>
      <c r="CA20">
        <f>SUMIFS(T_Shipments[Confirmed_Qty],T_Shipments[RM_Code],$A20,T_Shipments[Effective_Week],78)</f>
        <v/>
      </c>
      <c r="CB20">
        <f>SUMIFS(T_Shipments[Confirmed_Qty],T_Shipments[RM_Code],$A20,T_Shipments[Effective_Week],79)</f>
        <v/>
      </c>
      <c r="CC20">
        <f>SUMIFS(T_Shipments[Confirmed_Qty],T_Shipments[RM_Code],$A20,T_Shipments[Effective_Week],80)</f>
        <v/>
      </c>
      <c r="CD20">
        <f>SUMIFS(T_Shipments[Confirmed_Qty],T_Shipments[RM_Code],$A20,T_Shipments[Effective_Week],81)</f>
        <v/>
      </c>
      <c r="CE20">
        <f>SUMIFS(T_Shipments[Confirmed_Qty],T_Shipments[RM_Code],$A20,T_Shipments[Effective_Week],82)</f>
        <v/>
      </c>
      <c r="CF20">
        <f>SUMIFS(T_Shipments[Confirmed_Qty],T_Shipments[RM_Code],$A20,T_Shipments[Effective_Week],83)</f>
        <v/>
      </c>
      <c r="CG20">
        <f>SUMIFS(T_Shipments[Confirmed_Qty],T_Shipments[RM_Code],$A20,T_Shipments[Effective_Week],84)</f>
        <v/>
      </c>
      <c r="CH20">
        <f>SUMIFS(T_Shipments[Confirmed_Qty],T_Shipments[RM_Code],$A20,T_Shipments[Effective_Week],85)</f>
        <v/>
      </c>
      <c r="CI20">
        <f>SUMIFS(T_Shipments[Confirmed_Qty],T_Shipments[RM_Code],$A20,T_Shipments[Effective_Week],86)</f>
        <v/>
      </c>
      <c r="CJ20">
        <f>SUMIFS(T_Shipments[Confirmed_Qty],T_Shipments[RM_Code],$A20,T_Shipments[Effective_Week],87)</f>
        <v/>
      </c>
      <c r="CK20">
        <f>SUMIFS(T_Shipments[Confirmed_Qty],T_Shipments[RM_Code],$A20,T_Shipments[Effective_Week],88)</f>
        <v/>
      </c>
      <c r="CL20">
        <f>SUMIFS(T_Shipments[Confirmed_Qty],T_Shipments[RM_Code],$A20,T_Shipments[Effective_Week],89)</f>
        <v/>
      </c>
      <c r="CM20">
        <f>SUMIFS(T_Shipments[Confirmed_Qty],T_Shipments[RM_Code],$A20,T_Shipments[Effective_Week],90)</f>
        <v/>
      </c>
      <c r="CN20">
        <f>SUMIFS(T_Shipments[Confirmed_Qty],T_Shipments[RM_Code],$A20,T_Shipments[Effective_Week],91)</f>
        <v/>
      </c>
      <c r="CO20">
        <f>SUMIFS(T_Shipments[Confirmed_Qty],T_Shipments[RM_Code],$A20,T_Shipments[Effective_Week],92)</f>
        <v/>
      </c>
      <c r="CP20">
        <f>SUMIFS(T_Shipments[Confirmed_Qty],T_Shipments[RM_Code],$A20,T_Shipments[Effective_Week],93)</f>
        <v/>
      </c>
      <c r="CQ20">
        <f>SUMIFS(T_Shipments[Confirmed_Qty],T_Shipments[RM_Code],$A20,T_Shipments[Effective_Week],94)</f>
        <v/>
      </c>
      <c r="CR20">
        <f>SUMIFS(T_Shipments[Confirmed_Qty],T_Shipments[RM_Code],$A20,T_Shipments[Effective_Week],95)</f>
        <v/>
      </c>
      <c r="CS20">
        <f>SUMIFS(T_Shipments[Confirmed_Qty],T_Shipments[RM_Code],$A20,T_Shipments[Effective_Week],96)</f>
        <v/>
      </c>
      <c r="CT20">
        <f>SUMIFS(T_Shipments[Confirmed_Qty],T_Shipments[RM_Code],$A20,T_Shipments[Effective_Week],97)</f>
        <v/>
      </c>
      <c r="CU20">
        <f>SUMIFS(T_Shipments[Confirmed_Qty],T_Shipments[RM_Code],$A20,T_Shipments[Effective_Week],98)</f>
        <v/>
      </c>
      <c r="CV20">
        <f>SUMIFS(T_Shipments[Confirmed_Qty],T_Shipments[RM_Code],$A20,T_Shipments[Effective_Week],99)</f>
        <v/>
      </c>
      <c r="CW20">
        <f>SUMIFS(T_Shipments[Confirmed_Qty],T_Shipments[RM_Code],$A20,T_Shipments[Effective_Week],100)</f>
        <v/>
      </c>
      <c r="CX20">
        <f>SUMIFS(T_Shipments[Confirmed_Qty],T_Shipments[RM_Code],$A20,T_Shipments[Effective_Week],101)</f>
        <v/>
      </c>
      <c r="CY20">
        <f>SUMIFS(T_Shipments[Confirmed_Qty],T_Shipments[RM_Code],$A20,T_Shipments[Effective_Week],102)</f>
        <v/>
      </c>
      <c r="CZ20">
        <f>SUMIFS(T_Shipments[Confirmed_Qty],T_Shipments[RM_Code],$A20,T_Shipments[Effective_Week],103)</f>
        <v/>
      </c>
      <c r="DA20">
        <f>SUMIFS(T_Shipments[Confirmed_Qty],T_Shipments[RM_Code],$A20,T_Shipments[Effective_Week],104)</f>
        <v/>
      </c>
    </row>
    <row r="21">
      <c r="A21" t="inlineStr">
        <is>
          <t>CHEM-1660</t>
        </is>
      </c>
      <c r="B21">
        <f>SUMIFS(T_Shipments[Confirmed_Qty],T_Shipments[RM_Code],$A21,T_Shipments[Effective_Week],1)</f>
        <v/>
      </c>
      <c r="C21">
        <f>SUMIFS(T_Shipments[Confirmed_Qty],T_Shipments[RM_Code],$A21,T_Shipments[Effective_Week],2)</f>
        <v/>
      </c>
      <c r="D21">
        <f>SUMIFS(T_Shipments[Confirmed_Qty],T_Shipments[RM_Code],$A21,T_Shipments[Effective_Week],3)</f>
        <v/>
      </c>
      <c r="E21">
        <f>SUMIFS(T_Shipments[Confirmed_Qty],T_Shipments[RM_Code],$A21,T_Shipments[Effective_Week],4)</f>
        <v/>
      </c>
      <c r="F21">
        <f>SUMIFS(T_Shipments[Confirmed_Qty],T_Shipments[RM_Code],$A21,T_Shipments[Effective_Week],5)</f>
        <v/>
      </c>
      <c r="G21">
        <f>SUMIFS(T_Shipments[Confirmed_Qty],T_Shipments[RM_Code],$A21,T_Shipments[Effective_Week],6)</f>
        <v/>
      </c>
      <c r="H21">
        <f>SUMIFS(T_Shipments[Confirmed_Qty],T_Shipments[RM_Code],$A21,T_Shipments[Effective_Week],7)</f>
        <v/>
      </c>
      <c r="I21">
        <f>SUMIFS(T_Shipments[Confirmed_Qty],T_Shipments[RM_Code],$A21,T_Shipments[Effective_Week],8)</f>
        <v/>
      </c>
      <c r="J21">
        <f>SUMIFS(T_Shipments[Confirmed_Qty],T_Shipments[RM_Code],$A21,T_Shipments[Effective_Week],9)</f>
        <v/>
      </c>
      <c r="K21">
        <f>SUMIFS(T_Shipments[Confirmed_Qty],T_Shipments[RM_Code],$A21,T_Shipments[Effective_Week],10)</f>
        <v/>
      </c>
      <c r="L21">
        <f>SUMIFS(T_Shipments[Confirmed_Qty],T_Shipments[RM_Code],$A21,T_Shipments[Effective_Week],11)</f>
        <v/>
      </c>
      <c r="M21">
        <f>SUMIFS(T_Shipments[Confirmed_Qty],T_Shipments[RM_Code],$A21,T_Shipments[Effective_Week],12)</f>
        <v/>
      </c>
      <c r="N21">
        <f>SUMIFS(T_Shipments[Confirmed_Qty],T_Shipments[RM_Code],$A21,T_Shipments[Effective_Week],13)</f>
        <v/>
      </c>
      <c r="O21">
        <f>SUMIFS(T_Shipments[Confirmed_Qty],T_Shipments[RM_Code],$A21,T_Shipments[Effective_Week],14)</f>
        <v/>
      </c>
      <c r="P21">
        <f>SUMIFS(T_Shipments[Confirmed_Qty],T_Shipments[RM_Code],$A21,T_Shipments[Effective_Week],15)</f>
        <v/>
      </c>
      <c r="Q21">
        <f>SUMIFS(T_Shipments[Confirmed_Qty],T_Shipments[RM_Code],$A21,T_Shipments[Effective_Week],16)</f>
        <v/>
      </c>
      <c r="R21">
        <f>SUMIFS(T_Shipments[Confirmed_Qty],T_Shipments[RM_Code],$A21,T_Shipments[Effective_Week],17)</f>
        <v/>
      </c>
      <c r="S21">
        <f>SUMIFS(T_Shipments[Confirmed_Qty],T_Shipments[RM_Code],$A21,T_Shipments[Effective_Week],18)</f>
        <v/>
      </c>
      <c r="T21">
        <f>SUMIFS(T_Shipments[Confirmed_Qty],T_Shipments[RM_Code],$A21,T_Shipments[Effective_Week],19)</f>
        <v/>
      </c>
      <c r="U21">
        <f>SUMIFS(T_Shipments[Confirmed_Qty],T_Shipments[RM_Code],$A21,T_Shipments[Effective_Week],20)</f>
        <v/>
      </c>
      <c r="V21">
        <f>SUMIFS(T_Shipments[Confirmed_Qty],T_Shipments[RM_Code],$A21,T_Shipments[Effective_Week],21)</f>
        <v/>
      </c>
      <c r="W21">
        <f>SUMIFS(T_Shipments[Confirmed_Qty],T_Shipments[RM_Code],$A21,T_Shipments[Effective_Week],22)</f>
        <v/>
      </c>
      <c r="X21">
        <f>SUMIFS(T_Shipments[Confirmed_Qty],T_Shipments[RM_Code],$A21,T_Shipments[Effective_Week],23)</f>
        <v/>
      </c>
      <c r="Y21">
        <f>SUMIFS(T_Shipments[Confirmed_Qty],T_Shipments[RM_Code],$A21,T_Shipments[Effective_Week],24)</f>
        <v/>
      </c>
      <c r="Z21">
        <f>SUMIFS(T_Shipments[Confirmed_Qty],T_Shipments[RM_Code],$A21,T_Shipments[Effective_Week],25)</f>
        <v/>
      </c>
      <c r="AA21">
        <f>SUMIFS(T_Shipments[Confirmed_Qty],T_Shipments[RM_Code],$A21,T_Shipments[Effective_Week],26)</f>
        <v/>
      </c>
      <c r="AB21">
        <f>SUMIFS(T_Shipments[Confirmed_Qty],T_Shipments[RM_Code],$A21,T_Shipments[Effective_Week],27)</f>
        <v/>
      </c>
      <c r="AC21">
        <f>SUMIFS(T_Shipments[Confirmed_Qty],T_Shipments[RM_Code],$A21,T_Shipments[Effective_Week],28)</f>
        <v/>
      </c>
      <c r="AD21">
        <f>SUMIFS(T_Shipments[Confirmed_Qty],T_Shipments[RM_Code],$A21,T_Shipments[Effective_Week],29)</f>
        <v/>
      </c>
      <c r="AE21">
        <f>SUMIFS(T_Shipments[Confirmed_Qty],T_Shipments[RM_Code],$A21,T_Shipments[Effective_Week],30)</f>
        <v/>
      </c>
      <c r="AF21">
        <f>SUMIFS(T_Shipments[Confirmed_Qty],T_Shipments[RM_Code],$A21,T_Shipments[Effective_Week],31)</f>
        <v/>
      </c>
      <c r="AG21">
        <f>SUMIFS(T_Shipments[Confirmed_Qty],T_Shipments[RM_Code],$A21,T_Shipments[Effective_Week],32)</f>
        <v/>
      </c>
      <c r="AH21">
        <f>SUMIFS(T_Shipments[Confirmed_Qty],T_Shipments[RM_Code],$A21,T_Shipments[Effective_Week],33)</f>
        <v/>
      </c>
      <c r="AI21">
        <f>SUMIFS(T_Shipments[Confirmed_Qty],T_Shipments[RM_Code],$A21,T_Shipments[Effective_Week],34)</f>
        <v/>
      </c>
      <c r="AJ21">
        <f>SUMIFS(T_Shipments[Confirmed_Qty],T_Shipments[RM_Code],$A21,T_Shipments[Effective_Week],35)</f>
        <v/>
      </c>
      <c r="AK21">
        <f>SUMIFS(T_Shipments[Confirmed_Qty],T_Shipments[RM_Code],$A21,T_Shipments[Effective_Week],36)</f>
        <v/>
      </c>
      <c r="AL21">
        <f>SUMIFS(T_Shipments[Confirmed_Qty],T_Shipments[RM_Code],$A21,T_Shipments[Effective_Week],37)</f>
        <v/>
      </c>
      <c r="AM21">
        <f>SUMIFS(T_Shipments[Confirmed_Qty],T_Shipments[RM_Code],$A21,T_Shipments[Effective_Week],38)</f>
        <v/>
      </c>
      <c r="AN21">
        <f>SUMIFS(T_Shipments[Confirmed_Qty],T_Shipments[RM_Code],$A21,T_Shipments[Effective_Week],39)</f>
        <v/>
      </c>
      <c r="AO21">
        <f>SUMIFS(T_Shipments[Confirmed_Qty],T_Shipments[RM_Code],$A21,T_Shipments[Effective_Week],40)</f>
        <v/>
      </c>
      <c r="AP21">
        <f>SUMIFS(T_Shipments[Confirmed_Qty],T_Shipments[RM_Code],$A21,T_Shipments[Effective_Week],41)</f>
        <v/>
      </c>
      <c r="AQ21">
        <f>SUMIFS(T_Shipments[Confirmed_Qty],T_Shipments[RM_Code],$A21,T_Shipments[Effective_Week],42)</f>
        <v/>
      </c>
      <c r="AR21">
        <f>SUMIFS(T_Shipments[Confirmed_Qty],T_Shipments[RM_Code],$A21,T_Shipments[Effective_Week],43)</f>
        <v/>
      </c>
      <c r="AS21">
        <f>SUMIFS(T_Shipments[Confirmed_Qty],T_Shipments[RM_Code],$A21,T_Shipments[Effective_Week],44)</f>
        <v/>
      </c>
      <c r="AT21">
        <f>SUMIFS(T_Shipments[Confirmed_Qty],T_Shipments[RM_Code],$A21,T_Shipments[Effective_Week],45)</f>
        <v/>
      </c>
      <c r="AU21">
        <f>SUMIFS(T_Shipments[Confirmed_Qty],T_Shipments[RM_Code],$A21,T_Shipments[Effective_Week],46)</f>
        <v/>
      </c>
      <c r="AV21">
        <f>SUMIFS(T_Shipments[Confirmed_Qty],T_Shipments[RM_Code],$A21,T_Shipments[Effective_Week],47)</f>
        <v/>
      </c>
      <c r="AW21">
        <f>SUMIFS(T_Shipments[Confirmed_Qty],T_Shipments[RM_Code],$A21,T_Shipments[Effective_Week],48)</f>
        <v/>
      </c>
      <c r="AX21">
        <f>SUMIFS(T_Shipments[Confirmed_Qty],T_Shipments[RM_Code],$A21,T_Shipments[Effective_Week],49)</f>
        <v/>
      </c>
      <c r="AY21">
        <f>SUMIFS(T_Shipments[Confirmed_Qty],T_Shipments[RM_Code],$A21,T_Shipments[Effective_Week],50)</f>
        <v/>
      </c>
      <c r="AZ21">
        <f>SUMIFS(T_Shipments[Confirmed_Qty],T_Shipments[RM_Code],$A21,T_Shipments[Effective_Week],51)</f>
        <v/>
      </c>
      <c r="BA21">
        <f>SUMIFS(T_Shipments[Confirmed_Qty],T_Shipments[RM_Code],$A21,T_Shipments[Effective_Week],52)</f>
        <v/>
      </c>
      <c r="BB21">
        <f>SUMIFS(T_Shipments[Confirmed_Qty],T_Shipments[RM_Code],$A21,T_Shipments[Effective_Week],53)</f>
        <v/>
      </c>
      <c r="BC21">
        <f>SUMIFS(T_Shipments[Confirmed_Qty],T_Shipments[RM_Code],$A21,T_Shipments[Effective_Week],54)</f>
        <v/>
      </c>
      <c r="BD21">
        <f>SUMIFS(T_Shipments[Confirmed_Qty],T_Shipments[RM_Code],$A21,T_Shipments[Effective_Week],55)</f>
        <v/>
      </c>
      <c r="BE21">
        <f>SUMIFS(T_Shipments[Confirmed_Qty],T_Shipments[RM_Code],$A21,T_Shipments[Effective_Week],56)</f>
        <v/>
      </c>
      <c r="BF21">
        <f>SUMIFS(T_Shipments[Confirmed_Qty],T_Shipments[RM_Code],$A21,T_Shipments[Effective_Week],57)</f>
        <v/>
      </c>
      <c r="BG21">
        <f>SUMIFS(T_Shipments[Confirmed_Qty],T_Shipments[RM_Code],$A21,T_Shipments[Effective_Week],58)</f>
        <v/>
      </c>
      <c r="BH21">
        <f>SUMIFS(T_Shipments[Confirmed_Qty],T_Shipments[RM_Code],$A21,T_Shipments[Effective_Week],59)</f>
        <v/>
      </c>
      <c r="BI21">
        <f>SUMIFS(T_Shipments[Confirmed_Qty],T_Shipments[RM_Code],$A21,T_Shipments[Effective_Week],60)</f>
        <v/>
      </c>
      <c r="BJ21">
        <f>SUMIFS(T_Shipments[Confirmed_Qty],T_Shipments[RM_Code],$A21,T_Shipments[Effective_Week],61)</f>
        <v/>
      </c>
      <c r="BK21">
        <f>SUMIFS(T_Shipments[Confirmed_Qty],T_Shipments[RM_Code],$A21,T_Shipments[Effective_Week],62)</f>
        <v/>
      </c>
      <c r="BL21">
        <f>SUMIFS(T_Shipments[Confirmed_Qty],T_Shipments[RM_Code],$A21,T_Shipments[Effective_Week],63)</f>
        <v/>
      </c>
      <c r="BM21">
        <f>SUMIFS(T_Shipments[Confirmed_Qty],T_Shipments[RM_Code],$A21,T_Shipments[Effective_Week],64)</f>
        <v/>
      </c>
      <c r="BN21">
        <f>SUMIFS(T_Shipments[Confirmed_Qty],T_Shipments[RM_Code],$A21,T_Shipments[Effective_Week],65)</f>
        <v/>
      </c>
      <c r="BO21">
        <f>SUMIFS(T_Shipments[Confirmed_Qty],T_Shipments[RM_Code],$A21,T_Shipments[Effective_Week],66)</f>
        <v/>
      </c>
      <c r="BP21">
        <f>SUMIFS(T_Shipments[Confirmed_Qty],T_Shipments[RM_Code],$A21,T_Shipments[Effective_Week],67)</f>
        <v/>
      </c>
      <c r="BQ21">
        <f>SUMIFS(T_Shipments[Confirmed_Qty],T_Shipments[RM_Code],$A21,T_Shipments[Effective_Week],68)</f>
        <v/>
      </c>
      <c r="BR21">
        <f>SUMIFS(T_Shipments[Confirmed_Qty],T_Shipments[RM_Code],$A21,T_Shipments[Effective_Week],69)</f>
        <v/>
      </c>
      <c r="BS21">
        <f>SUMIFS(T_Shipments[Confirmed_Qty],T_Shipments[RM_Code],$A21,T_Shipments[Effective_Week],70)</f>
        <v/>
      </c>
      <c r="BT21">
        <f>SUMIFS(T_Shipments[Confirmed_Qty],T_Shipments[RM_Code],$A21,T_Shipments[Effective_Week],71)</f>
        <v/>
      </c>
      <c r="BU21">
        <f>SUMIFS(T_Shipments[Confirmed_Qty],T_Shipments[RM_Code],$A21,T_Shipments[Effective_Week],72)</f>
        <v/>
      </c>
      <c r="BV21">
        <f>SUMIFS(T_Shipments[Confirmed_Qty],T_Shipments[RM_Code],$A21,T_Shipments[Effective_Week],73)</f>
        <v/>
      </c>
      <c r="BW21">
        <f>SUMIFS(T_Shipments[Confirmed_Qty],T_Shipments[RM_Code],$A21,T_Shipments[Effective_Week],74)</f>
        <v/>
      </c>
      <c r="BX21">
        <f>SUMIFS(T_Shipments[Confirmed_Qty],T_Shipments[RM_Code],$A21,T_Shipments[Effective_Week],75)</f>
        <v/>
      </c>
      <c r="BY21">
        <f>SUMIFS(T_Shipments[Confirmed_Qty],T_Shipments[RM_Code],$A21,T_Shipments[Effective_Week],76)</f>
        <v/>
      </c>
      <c r="BZ21">
        <f>SUMIFS(T_Shipments[Confirmed_Qty],T_Shipments[RM_Code],$A21,T_Shipments[Effective_Week],77)</f>
        <v/>
      </c>
      <c r="CA21">
        <f>SUMIFS(T_Shipments[Confirmed_Qty],T_Shipments[RM_Code],$A21,T_Shipments[Effective_Week],78)</f>
        <v/>
      </c>
      <c r="CB21">
        <f>SUMIFS(T_Shipments[Confirmed_Qty],T_Shipments[RM_Code],$A21,T_Shipments[Effective_Week],79)</f>
        <v/>
      </c>
      <c r="CC21">
        <f>SUMIFS(T_Shipments[Confirmed_Qty],T_Shipments[RM_Code],$A21,T_Shipments[Effective_Week],80)</f>
        <v/>
      </c>
      <c r="CD21">
        <f>SUMIFS(T_Shipments[Confirmed_Qty],T_Shipments[RM_Code],$A21,T_Shipments[Effective_Week],81)</f>
        <v/>
      </c>
      <c r="CE21">
        <f>SUMIFS(T_Shipments[Confirmed_Qty],T_Shipments[RM_Code],$A21,T_Shipments[Effective_Week],82)</f>
        <v/>
      </c>
      <c r="CF21">
        <f>SUMIFS(T_Shipments[Confirmed_Qty],T_Shipments[RM_Code],$A21,T_Shipments[Effective_Week],83)</f>
        <v/>
      </c>
      <c r="CG21">
        <f>SUMIFS(T_Shipments[Confirmed_Qty],T_Shipments[RM_Code],$A21,T_Shipments[Effective_Week],84)</f>
        <v/>
      </c>
      <c r="CH21">
        <f>SUMIFS(T_Shipments[Confirmed_Qty],T_Shipments[RM_Code],$A21,T_Shipments[Effective_Week],85)</f>
        <v/>
      </c>
      <c r="CI21">
        <f>SUMIFS(T_Shipments[Confirmed_Qty],T_Shipments[RM_Code],$A21,T_Shipments[Effective_Week],86)</f>
        <v/>
      </c>
      <c r="CJ21">
        <f>SUMIFS(T_Shipments[Confirmed_Qty],T_Shipments[RM_Code],$A21,T_Shipments[Effective_Week],87)</f>
        <v/>
      </c>
      <c r="CK21">
        <f>SUMIFS(T_Shipments[Confirmed_Qty],T_Shipments[RM_Code],$A21,T_Shipments[Effective_Week],88)</f>
        <v/>
      </c>
      <c r="CL21">
        <f>SUMIFS(T_Shipments[Confirmed_Qty],T_Shipments[RM_Code],$A21,T_Shipments[Effective_Week],89)</f>
        <v/>
      </c>
      <c r="CM21">
        <f>SUMIFS(T_Shipments[Confirmed_Qty],T_Shipments[RM_Code],$A21,T_Shipments[Effective_Week],90)</f>
        <v/>
      </c>
      <c r="CN21">
        <f>SUMIFS(T_Shipments[Confirmed_Qty],T_Shipments[RM_Code],$A21,T_Shipments[Effective_Week],91)</f>
        <v/>
      </c>
      <c r="CO21">
        <f>SUMIFS(T_Shipments[Confirmed_Qty],T_Shipments[RM_Code],$A21,T_Shipments[Effective_Week],92)</f>
        <v/>
      </c>
      <c r="CP21">
        <f>SUMIFS(T_Shipments[Confirmed_Qty],T_Shipments[RM_Code],$A21,T_Shipments[Effective_Week],93)</f>
        <v/>
      </c>
      <c r="CQ21">
        <f>SUMIFS(T_Shipments[Confirmed_Qty],T_Shipments[RM_Code],$A21,T_Shipments[Effective_Week],94)</f>
        <v/>
      </c>
      <c r="CR21">
        <f>SUMIFS(T_Shipments[Confirmed_Qty],T_Shipments[RM_Code],$A21,T_Shipments[Effective_Week],95)</f>
        <v/>
      </c>
      <c r="CS21">
        <f>SUMIFS(T_Shipments[Confirmed_Qty],T_Shipments[RM_Code],$A21,T_Shipments[Effective_Week],96)</f>
        <v/>
      </c>
      <c r="CT21">
        <f>SUMIFS(T_Shipments[Confirmed_Qty],T_Shipments[RM_Code],$A21,T_Shipments[Effective_Week],97)</f>
        <v/>
      </c>
      <c r="CU21">
        <f>SUMIFS(T_Shipments[Confirmed_Qty],T_Shipments[RM_Code],$A21,T_Shipments[Effective_Week],98)</f>
        <v/>
      </c>
      <c r="CV21">
        <f>SUMIFS(T_Shipments[Confirmed_Qty],T_Shipments[RM_Code],$A21,T_Shipments[Effective_Week],99)</f>
        <v/>
      </c>
      <c r="CW21">
        <f>SUMIFS(T_Shipments[Confirmed_Qty],T_Shipments[RM_Code],$A21,T_Shipments[Effective_Week],100)</f>
        <v/>
      </c>
      <c r="CX21">
        <f>SUMIFS(T_Shipments[Confirmed_Qty],T_Shipments[RM_Code],$A21,T_Shipments[Effective_Week],101)</f>
        <v/>
      </c>
      <c r="CY21">
        <f>SUMIFS(T_Shipments[Confirmed_Qty],T_Shipments[RM_Code],$A21,T_Shipments[Effective_Week],102)</f>
        <v/>
      </c>
      <c r="CZ21">
        <f>SUMIFS(T_Shipments[Confirmed_Qty],T_Shipments[RM_Code],$A21,T_Shipments[Effective_Week],103)</f>
        <v/>
      </c>
      <c r="DA21">
        <f>SUMIFS(T_Shipments[Confirmed_Qty],T_Shipments[RM_Code],$A21,T_Shipments[Effective_Week],104)</f>
        <v/>
      </c>
    </row>
    <row r="22">
      <c r="A22" t="inlineStr">
        <is>
          <t>CHEM-1600</t>
        </is>
      </c>
      <c r="B22">
        <f>SUMIFS(T_Shipments[Confirmed_Qty],T_Shipments[RM_Code],$A22,T_Shipments[Effective_Week],1)</f>
        <v/>
      </c>
      <c r="C22">
        <f>SUMIFS(T_Shipments[Confirmed_Qty],T_Shipments[RM_Code],$A22,T_Shipments[Effective_Week],2)</f>
        <v/>
      </c>
      <c r="D22">
        <f>SUMIFS(T_Shipments[Confirmed_Qty],T_Shipments[RM_Code],$A22,T_Shipments[Effective_Week],3)</f>
        <v/>
      </c>
      <c r="E22">
        <f>SUMIFS(T_Shipments[Confirmed_Qty],T_Shipments[RM_Code],$A22,T_Shipments[Effective_Week],4)</f>
        <v/>
      </c>
      <c r="F22">
        <f>SUMIFS(T_Shipments[Confirmed_Qty],T_Shipments[RM_Code],$A22,T_Shipments[Effective_Week],5)</f>
        <v/>
      </c>
      <c r="G22">
        <f>SUMIFS(T_Shipments[Confirmed_Qty],T_Shipments[RM_Code],$A22,T_Shipments[Effective_Week],6)</f>
        <v/>
      </c>
      <c r="H22">
        <f>SUMIFS(T_Shipments[Confirmed_Qty],T_Shipments[RM_Code],$A22,T_Shipments[Effective_Week],7)</f>
        <v/>
      </c>
      <c r="I22">
        <f>SUMIFS(T_Shipments[Confirmed_Qty],T_Shipments[RM_Code],$A22,T_Shipments[Effective_Week],8)</f>
        <v/>
      </c>
      <c r="J22">
        <f>SUMIFS(T_Shipments[Confirmed_Qty],T_Shipments[RM_Code],$A22,T_Shipments[Effective_Week],9)</f>
        <v/>
      </c>
      <c r="K22">
        <f>SUMIFS(T_Shipments[Confirmed_Qty],T_Shipments[RM_Code],$A22,T_Shipments[Effective_Week],10)</f>
        <v/>
      </c>
      <c r="L22">
        <f>SUMIFS(T_Shipments[Confirmed_Qty],T_Shipments[RM_Code],$A22,T_Shipments[Effective_Week],11)</f>
        <v/>
      </c>
      <c r="M22">
        <f>SUMIFS(T_Shipments[Confirmed_Qty],T_Shipments[RM_Code],$A22,T_Shipments[Effective_Week],12)</f>
        <v/>
      </c>
      <c r="N22">
        <f>SUMIFS(T_Shipments[Confirmed_Qty],T_Shipments[RM_Code],$A22,T_Shipments[Effective_Week],13)</f>
        <v/>
      </c>
      <c r="O22">
        <f>SUMIFS(T_Shipments[Confirmed_Qty],T_Shipments[RM_Code],$A22,T_Shipments[Effective_Week],14)</f>
        <v/>
      </c>
      <c r="P22">
        <f>SUMIFS(T_Shipments[Confirmed_Qty],T_Shipments[RM_Code],$A22,T_Shipments[Effective_Week],15)</f>
        <v/>
      </c>
      <c r="Q22">
        <f>SUMIFS(T_Shipments[Confirmed_Qty],T_Shipments[RM_Code],$A22,T_Shipments[Effective_Week],16)</f>
        <v/>
      </c>
      <c r="R22">
        <f>SUMIFS(T_Shipments[Confirmed_Qty],T_Shipments[RM_Code],$A22,T_Shipments[Effective_Week],17)</f>
        <v/>
      </c>
      <c r="S22">
        <f>SUMIFS(T_Shipments[Confirmed_Qty],T_Shipments[RM_Code],$A22,T_Shipments[Effective_Week],18)</f>
        <v/>
      </c>
      <c r="T22">
        <f>SUMIFS(T_Shipments[Confirmed_Qty],T_Shipments[RM_Code],$A22,T_Shipments[Effective_Week],19)</f>
        <v/>
      </c>
      <c r="U22">
        <f>SUMIFS(T_Shipments[Confirmed_Qty],T_Shipments[RM_Code],$A22,T_Shipments[Effective_Week],20)</f>
        <v/>
      </c>
      <c r="V22">
        <f>SUMIFS(T_Shipments[Confirmed_Qty],T_Shipments[RM_Code],$A22,T_Shipments[Effective_Week],21)</f>
        <v/>
      </c>
      <c r="W22">
        <f>SUMIFS(T_Shipments[Confirmed_Qty],T_Shipments[RM_Code],$A22,T_Shipments[Effective_Week],22)</f>
        <v/>
      </c>
      <c r="X22">
        <f>SUMIFS(T_Shipments[Confirmed_Qty],T_Shipments[RM_Code],$A22,T_Shipments[Effective_Week],23)</f>
        <v/>
      </c>
      <c r="Y22">
        <f>SUMIFS(T_Shipments[Confirmed_Qty],T_Shipments[RM_Code],$A22,T_Shipments[Effective_Week],24)</f>
        <v/>
      </c>
      <c r="Z22">
        <f>SUMIFS(T_Shipments[Confirmed_Qty],T_Shipments[RM_Code],$A22,T_Shipments[Effective_Week],25)</f>
        <v/>
      </c>
      <c r="AA22">
        <f>SUMIFS(T_Shipments[Confirmed_Qty],T_Shipments[RM_Code],$A22,T_Shipments[Effective_Week],26)</f>
        <v/>
      </c>
      <c r="AB22">
        <f>SUMIFS(T_Shipments[Confirmed_Qty],T_Shipments[RM_Code],$A22,T_Shipments[Effective_Week],27)</f>
        <v/>
      </c>
      <c r="AC22">
        <f>SUMIFS(T_Shipments[Confirmed_Qty],T_Shipments[RM_Code],$A22,T_Shipments[Effective_Week],28)</f>
        <v/>
      </c>
      <c r="AD22">
        <f>SUMIFS(T_Shipments[Confirmed_Qty],T_Shipments[RM_Code],$A22,T_Shipments[Effective_Week],29)</f>
        <v/>
      </c>
      <c r="AE22">
        <f>SUMIFS(T_Shipments[Confirmed_Qty],T_Shipments[RM_Code],$A22,T_Shipments[Effective_Week],30)</f>
        <v/>
      </c>
      <c r="AF22">
        <f>SUMIFS(T_Shipments[Confirmed_Qty],T_Shipments[RM_Code],$A22,T_Shipments[Effective_Week],31)</f>
        <v/>
      </c>
      <c r="AG22">
        <f>SUMIFS(T_Shipments[Confirmed_Qty],T_Shipments[RM_Code],$A22,T_Shipments[Effective_Week],32)</f>
        <v/>
      </c>
      <c r="AH22">
        <f>SUMIFS(T_Shipments[Confirmed_Qty],T_Shipments[RM_Code],$A22,T_Shipments[Effective_Week],33)</f>
        <v/>
      </c>
      <c r="AI22">
        <f>SUMIFS(T_Shipments[Confirmed_Qty],T_Shipments[RM_Code],$A22,T_Shipments[Effective_Week],34)</f>
        <v/>
      </c>
      <c r="AJ22">
        <f>SUMIFS(T_Shipments[Confirmed_Qty],T_Shipments[RM_Code],$A22,T_Shipments[Effective_Week],35)</f>
        <v/>
      </c>
      <c r="AK22">
        <f>SUMIFS(T_Shipments[Confirmed_Qty],T_Shipments[RM_Code],$A22,T_Shipments[Effective_Week],36)</f>
        <v/>
      </c>
      <c r="AL22">
        <f>SUMIFS(T_Shipments[Confirmed_Qty],T_Shipments[RM_Code],$A22,T_Shipments[Effective_Week],37)</f>
        <v/>
      </c>
      <c r="AM22">
        <f>SUMIFS(T_Shipments[Confirmed_Qty],T_Shipments[RM_Code],$A22,T_Shipments[Effective_Week],38)</f>
        <v/>
      </c>
      <c r="AN22">
        <f>SUMIFS(T_Shipments[Confirmed_Qty],T_Shipments[RM_Code],$A22,T_Shipments[Effective_Week],39)</f>
        <v/>
      </c>
      <c r="AO22">
        <f>SUMIFS(T_Shipments[Confirmed_Qty],T_Shipments[RM_Code],$A22,T_Shipments[Effective_Week],40)</f>
        <v/>
      </c>
      <c r="AP22">
        <f>SUMIFS(T_Shipments[Confirmed_Qty],T_Shipments[RM_Code],$A22,T_Shipments[Effective_Week],41)</f>
        <v/>
      </c>
      <c r="AQ22">
        <f>SUMIFS(T_Shipments[Confirmed_Qty],T_Shipments[RM_Code],$A22,T_Shipments[Effective_Week],42)</f>
        <v/>
      </c>
      <c r="AR22">
        <f>SUMIFS(T_Shipments[Confirmed_Qty],T_Shipments[RM_Code],$A22,T_Shipments[Effective_Week],43)</f>
        <v/>
      </c>
      <c r="AS22">
        <f>SUMIFS(T_Shipments[Confirmed_Qty],T_Shipments[RM_Code],$A22,T_Shipments[Effective_Week],44)</f>
        <v/>
      </c>
      <c r="AT22">
        <f>SUMIFS(T_Shipments[Confirmed_Qty],T_Shipments[RM_Code],$A22,T_Shipments[Effective_Week],45)</f>
        <v/>
      </c>
      <c r="AU22">
        <f>SUMIFS(T_Shipments[Confirmed_Qty],T_Shipments[RM_Code],$A22,T_Shipments[Effective_Week],46)</f>
        <v/>
      </c>
      <c r="AV22">
        <f>SUMIFS(T_Shipments[Confirmed_Qty],T_Shipments[RM_Code],$A22,T_Shipments[Effective_Week],47)</f>
        <v/>
      </c>
      <c r="AW22">
        <f>SUMIFS(T_Shipments[Confirmed_Qty],T_Shipments[RM_Code],$A22,T_Shipments[Effective_Week],48)</f>
        <v/>
      </c>
      <c r="AX22">
        <f>SUMIFS(T_Shipments[Confirmed_Qty],T_Shipments[RM_Code],$A22,T_Shipments[Effective_Week],49)</f>
        <v/>
      </c>
      <c r="AY22">
        <f>SUMIFS(T_Shipments[Confirmed_Qty],T_Shipments[RM_Code],$A22,T_Shipments[Effective_Week],50)</f>
        <v/>
      </c>
      <c r="AZ22">
        <f>SUMIFS(T_Shipments[Confirmed_Qty],T_Shipments[RM_Code],$A22,T_Shipments[Effective_Week],51)</f>
        <v/>
      </c>
      <c r="BA22">
        <f>SUMIFS(T_Shipments[Confirmed_Qty],T_Shipments[RM_Code],$A22,T_Shipments[Effective_Week],52)</f>
        <v/>
      </c>
      <c r="BB22">
        <f>SUMIFS(T_Shipments[Confirmed_Qty],T_Shipments[RM_Code],$A22,T_Shipments[Effective_Week],53)</f>
        <v/>
      </c>
      <c r="BC22">
        <f>SUMIFS(T_Shipments[Confirmed_Qty],T_Shipments[RM_Code],$A22,T_Shipments[Effective_Week],54)</f>
        <v/>
      </c>
      <c r="BD22">
        <f>SUMIFS(T_Shipments[Confirmed_Qty],T_Shipments[RM_Code],$A22,T_Shipments[Effective_Week],55)</f>
        <v/>
      </c>
      <c r="BE22">
        <f>SUMIFS(T_Shipments[Confirmed_Qty],T_Shipments[RM_Code],$A22,T_Shipments[Effective_Week],56)</f>
        <v/>
      </c>
      <c r="BF22">
        <f>SUMIFS(T_Shipments[Confirmed_Qty],T_Shipments[RM_Code],$A22,T_Shipments[Effective_Week],57)</f>
        <v/>
      </c>
      <c r="BG22">
        <f>SUMIFS(T_Shipments[Confirmed_Qty],T_Shipments[RM_Code],$A22,T_Shipments[Effective_Week],58)</f>
        <v/>
      </c>
      <c r="BH22">
        <f>SUMIFS(T_Shipments[Confirmed_Qty],T_Shipments[RM_Code],$A22,T_Shipments[Effective_Week],59)</f>
        <v/>
      </c>
      <c r="BI22">
        <f>SUMIFS(T_Shipments[Confirmed_Qty],T_Shipments[RM_Code],$A22,T_Shipments[Effective_Week],60)</f>
        <v/>
      </c>
      <c r="BJ22">
        <f>SUMIFS(T_Shipments[Confirmed_Qty],T_Shipments[RM_Code],$A22,T_Shipments[Effective_Week],61)</f>
        <v/>
      </c>
      <c r="BK22">
        <f>SUMIFS(T_Shipments[Confirmed_Qty],T_Shipments[RM_Code],$A22,T_Shipments[Effective_Week],62)</f>
        <v/>
      </c>
      <c r="BL22">
        <f>SUMIFS(T_Shipments[Confirmed_Qty],T_Shipments[RM_Code],$A22,T_Shipments[Effective_Week],63)</f>
        <v/>
      </c>
      <c r="BM22">
        <f>SUMIFS(T_Shipments[Confirmed_Qty],T_Shipments[RM_Code],$A22,T_Shipments[Effective_Week],64)</f>
        <v/>
      </c>
      <c r="BN22">
        <f>SUMIFS(T_Shipments[Confirmed_Qty],T_Shipments[RM_Code],$A22,T_Shipments[Effective_Week],65)</f>
        <v/>
      </c>
      <c r="BO22">
        <f>SUMIFS(T_Shipments[Confirmed_Qty],T_Shipments[RM_Code],$A22,T_Shipments[Effective_Week],66)</f>
        <v/>
      </c>
      <c r="BP22">
        <f>SUMIFS(T_Shipments[Confirmed_Qty],T_Shipments[RM_Code],$A22,T_Shipments[Effective_Week],67)</f>
        <v/>
      </c>
      <c r="BQ22">
        <f>SUMIFS(T_Shipments[Confirmed_Qty],T_Shipments[RM_Code],$A22,T_Shipments[Effective_Week],68)</f>
        <v/>
      </c>
      <c r="BR22">
        <f>SUMIFS(T_Shipments[Confirmed_Qty],T_Shipments[RM_Code],$A22,T_Shipments[Effective_Week],69)</f>
        <v/>
      </c>
      <c r="BS22">
        <f>SUMIFS(T_Shipments[Confirmed_Qty],T_Shipments[RM_Code],$A22,T_Shipments[Effective_Week],70)</f>
        <v/>
      </c>
      <c r="BT22">
        <f>SUMIFS(T_Shipments[Confirmed_Qty],T_Shipments[RM_Code],$A22,T_Shipments[Effective_Week],71)</f>
        <v/>
      </c>
      <c r="BU22">
        <f>SUMIFS(T_Shipments[Confirmed_Qty],T_Shipments[RM_Code],$A22,T_Shipments[Effective_Week],72)</f>
        <v/>
      </c>
      <c r="BV22">
        <f>SUMIFS(T_Shipments[Confirmed_Qty],T_Shipments[RM_Code],$A22,T_Shipments[Effective_Week],73)</f>
        <v/>
      </c>
      <c r="BW22">
        <f>SUMIFS(T_Shipments[Confirmed_Qty],T_Shipments[RM_Code],$A22,T_Shipments[Effective_Week],74)</f>
        <v/>
      </c>
      <c r="BX22">
        <f>SUMIFS(T_Shipments[Confirmed_Qty],T_Shipments[RM_Code],$A22,T_Shipments[Effective_Week],75)</f>
        <v/>
      </c>
      <c r="BY22">
        <f>SUMIFS(T_Shipments[Confirmed_Qty],T_Shipments[RM_Code],$A22,T_Shipments[Effective_Week],76)</f>
        <v/>
      </c>
      <c r="BZ22">
        <f>SUMIFS(T_Shipments[Confirmed_Qty],T_Shipments[RM_Code],$A22,T_Shipments[Effective_Week],77)</f>
        <v/>
      </c>
      <c r="CA22">
        <f>SUMIFS(T_Shipments[Confirmed_Qty],T_Shipments[RM_Code],$A22,T_Shipments[Effective_Week],78)</f>
        <v/>
      </c>
      <c r="CB22">
        <f>SUMIFS(T_Shipments[Confirmed_Qty],T_Shipments[RM_Code],$A22,T_Shipments[Effective_Week],79)</f>
        <v/>
      </c>
      <c r="CC22">
        <f>SUMIFS(T_Shipments[Confirmed_Qty],T_Shipments[RM_Code],$A22,T_Shipments[Effective_Week],80)</f>
        <v/>
      </c>
      <c r="CD22">
        <f>SUMIFS(T_Shipments[Confirmed_Qty],T_Shipments[RM_Code],$A22,T_Shipments[Effective_Week],81)</f>
        <v/>
      </c>
      <c r="CE22">
        <f>SUMIFS(T_Shipments[Confirmed_Qty],T_Shipments[RM_Code],$A22,T_Shipments[Effective_Week],82)</f>
        <v/>
      </c>
      <c r="CF22">
        <f>SUMIFS(T_Shipments[Confirmed_Qty],T_Shipments[RM_Code],$A22,T_Shipments[Effective_Week],83)</f>
        <v/>
      </c>
      <c r="CG22">
        <f>SUMIFS(T_Shipments[Confirmed_Qty],T_Shipments[RM_Code],$A22,T_Shipments[Effective_Week],84)</f>
        <v/>
      </c>
      <c r="CH22">
        <f>SUMIFS(T_Shipments[Confirmed_Qty],T_Shipments[RM_Code],$A22,T_Shipments[Effective_Week],85)</f>
        <v/>
      </c>
      <c r="CI22">
        <f>SUMIFS(T_Shipments[Confirmed_Qty],T_Shipments[RM_Code],$A22,T_Shipments[Effective_Week],86)</f>
        <v/>
      </c>
      <c r="CJ22">
        <f>SUMIFS(T_Shipments[Confirmed_Qty],T_Shipments[RM_Code],$A22,T_Shipments[Effective_Week],87)</f>
        <v/>
      </c>
      <c r="CK22">
        <f>SUMIFS(T_Shipments[Confirmed_Qty],T_Shipments[RM_Code],$A22,T_Shipments[Effective_Week],88)</f>
        <v/>
      </c>
      <c r="CL22">
        <f>SUMIFS(T_Shipments[Confirmed_Qty],T_Shipments[RM_Code],$A22,T_Shipments[Effective_Week],89)</f>
        <v/>
      </c>
      <c r="CM22">
        <f>SUMIFS(T_Shipments[Confirmed_Qty],T_Shipments[RM_Code],$A22,T_Shipments[Effective_Week],90)</f>
        <v/>
      </c>
      <c r="CN22">
        <f>SUMIFS(T_Shipments[Confirmed_Qty],T_Shipments[RM_Code],$A22,T_Shipments[Effective_Week],91)</f>
        <v/>
      </c>
      <c r="CO22">
        <f>SUMIFS(T_Shipments[Confirmed_Qty],T_Shipments[RM_Code],$A22,T_Shipments[Effective_Week],92)</f>
        <v/>
      </c>
      <c r="CP22">
        <f>SUMIFS(T_Shipments[Confirmed_Qty],T_Shipments[RM_Code],$A22,T_Shipments[Effective_Week],93)</f>
        <v/>
      </c>
      <c r="CQ22">
        <f>SUMIFS(T_Shipments[Confirmed_Qty],T_Shipments[RM_Code],$A22,T_Shipments[Effective_Week],94)</f>
        <v/>
      </c>
      <c r="CR22">
        <f>SUMIFS(T_Shipments[Confirmed_Qty],T_Shipments[RM_Code],$A22,T_Shipments[Effective_Week],95)</f>
        <v/>
      </c>
      <c r="CS22">
        <f>SUMIFS(T_Shipments[Confirmed_Qty],T_Shipments[RM_Code],$A22,T_Shipments[Effective_Week],96)</f>
        <v/>
      </c>
      <c r="CT22">
        <f>SUMIFS(T_Shipments[Confirmed_Qty],T_Shipments[RM_Code],$A22,T_Shipments[Effective_Week],97)</f>
        <v/>
      </c>
      <c r="CU22">
        <f>SUMIFS(T_Shipments[Confirmed_Qty],T_Shipments[RM_Code],$A22,T_Shipments[Effective_Week],98)</f>
        <v/>
      </c>
      <c r="CV22">
        <f>SUMIFS(T_Shipments[Confirmed_Qty],T_Shipments[RM_Code],$A22,T_Shipments[Effective_Week],99)</f>
        <v/>
      </c>
      <c r="CW22">
        <f>SUMIFS(T_Shipments[Confirmed_Qty],T_Shipments[RM_Code],$A22,T_Shipments[Effective_Week],100)</f>
        <v/>
      </c>
      <c r="CX22">
        <f>SUMIFS(T_Shipments[Confirmed_Qty],T_Shipments[RM_Code],$A22,T_Shipments[Effective_Week],101)</f>
        <v/>
      </c>
      <c r="CY22">
        <f>SUMIFS(T_Shipments[Confirmed_Qty],T_Shipments[RM_Code],$A22,T_Shipments[Effective_Week],102)</f>
        <v/>
      </c>
      <c r="CZ22">
        <f>SUMIFS(T_Shipments[Confirmed_Qty],T_Shipments[RM_Code],$A22,T_Shipments[Effective_Week],103)</f>
        <v/>
      </c>
      <c r="DA22">
        <f>SUMIFS(T_Shipments[Confirmed_Qty],T_Shipments[RM_Code],$A22,T_Shipments[Effective_Week],104)</f>
        <v/>
      </c>
    </row>
    <row r="23">
      <c r="A23" t="inlineStr">
        <is>
          <t>CHEM-1280</t>
        </is>
      </c>
      <c r="B23">
        <f>SUMIFS(T_Shipments[Confirmed_Qty],T_Shipments[RM_Code],$A23,T_Shipments[Effective_Week],1)</f>
        <v/>
      </c>
      <c r="C23">
        <f>SUMIFS(T_Shipments[Confirmed_Qty],T_Shipments[RM_Code],$A23,T_Shipments[Effective_Week],2)</f>
        <v/>
      </c>
      <c r="D23">
        <f>SUMIFS(T_Shipments[Confirmed_Qty],T_Shipments[RM_Code],$A23,T_Shipments[Effective_Week],3)</f>
        <v/>
      </c>
      <c r="E23">
        <f>SUMIFS(T_Shipments[Confirmed_Qty],T_Shipments[RM_Code],$A23,T_Shipments[Effective_Week],4)</f>
        <v/>
      </c>
      <c r="F23">
        <f>SUMIFS(T_Shipments[Confirmed_Qty],T_Shipments[RM_Code],$A23,T_Shipments[Effective_Week],5)</f>
        <v/>
      </c>
      <c r="G23">
        <f>SUMIFS(T_Shipments[Confirmed_Qty],T_Shipments[RM_Code],$A23,T_Shipments[Effective_Week],6)</f>
        <v/>
      </c>
      <c r="H23">
        <f>SUMIFS(T_Shipments[Confirmed_Qty],T_Shipments[RM_Code],$A23,T_Shipments[Effective_Week],7)</f>
        <v/>
      </c>
      <c r="I23">
        <f>SUMIFS(T_Shipments[Confirmed_Qty],T_Shipments[RM_Code],$A23,T_Shipments[Effective_Week],8)</f>
        <v/>
      </c>
      <c r="J23">
        <f>SUMIFS(T_Shipments[Confirmed_Qty],T_Shipments[RM_Code],$A23,T_Shipments[Effective_Week],9)</f>
        <v/>
      </c>
      <c r="K23">
        <f>SUMIFS(T_Shipments[Confirmed_Qty],T_Shipments[RM_Code],$A23,T_Shipments[Effective_Week],10)</f>
        <v/>
      </c>
      <c r="L23">
        <f>SUMIFS(T_Shipments[Confirmed_Qty],T_Shipments[RM_Code],$A23,T_Shipments[Effective_Week],11)</f>
        <v/>
      </c>
      <c r="M23">
        <f>SUMIFS(T_Shipments[Confirmed_Qty],T_Shipments[RM_Code],$A23,T_Shipments[Effective_Week],12)</f>
        <v/>
      </c>
      <c r="N23">
        <f>SUMIFS(T_Shipments[Confirmed_Qty],T_Shipments[RM_Code],$A23,T_Shipments[Effective_Week],13)</f>
        <v/>
      </c>
      <c r="O23">
        <f>SUMIFS(T_Shipments[Confirmed_Qty],T_Shipments[RM_Code],$A23,T_Shipments[Effective_Week],14)</f>
        <v/>
      </c>
      <c r="P23">
        <f>SUMIFS(T_Shipments[Confirmed_Qty],T_Shipments[RM_Code],$A23,T_Shipments[Effective_Week],15)</f>
        <v/>
      </c>
      <c r="Q23">
        <f>SUMIFS(T_Shipments[Confirmed_Qty],T_Shipments[RM_Code],$A23,T_Shipments[Effective_Week],16)</f>
        <v/>
      </c>
      <c r="R23">
        <f>SUMIFS(T_Shipments[Confirmed_Qty],T_Shipments[RM_Code],$A23,T_Shipments[Effective_Week],17)</f>
        <v/>
      </c>
      <c r="S23">
        <f>SUMIFS(T_Shipments[Confirmed_Qty],T_Shipments[RM_Code],$A23,T_Shipments[Effective_Week],18)</f>
        <v/>
      </c>
      <c r="T23">
        <f>SUMIFS(T_Shipments[Confirmed_Qty],T_Shipments[RM_Code],$A23,T_Shipments[Effective_Week],19)</f>
        <v/>
      </c>
      <c r="U23">
        <f>SUMIFS(T_Shipments[Confirmed_Qty],T_Shipments[RM_Code],$A23,T_Shipments[Effective_Week],20)</f>
        <v/>
      </c>
      <c r="V23">
        <f>SUMIFS(T_Shipments[Confirmed_Qty],T_Shipments[RM_Code],$A23,T_Shipments[Effective_Week],21)</f>
        <v/>
      </c>
      <c r="W23">
        <f>SUMIFS(T_Shipments[Confirmed_Qty],T_Shipments[RM_Code],$A23,T_Shipments[Effective_Week],22)</f>
        <v/>
      </c>
      <c r="X23">
        <f>SUMIFS(T_Shipments[Confirmed_Qty],T_Shipments[RM_Code],$A23,T_Shipments[Effective_Week],23)</f>
        <v/>
      </c>
      <c r="Y23">
        <f>SUMIFS(T_Shipments[Confirmed_Qty],T_Shipments[RM_Code],$A23,T_Shipments[Effective_Week],24)</f>
        <v/>
      </c>
      <c r="Z23">
        <f>SUMIFS(T_Shipments[Confirmed_Qty],T_Shipments[RM_Code],$A23,T_Shipments[Effective_Week],25)</f>
        <v/>
      </c>
      <c r="AA23">
        <f>SUMIFS(T_Shipments[Confirmed_Qty],T_Shipments[RM_Code],$A23,T_Shipments[Effective_Week],26)</f>
        <v/>
      </c>
      <c r="AB23">
        <f>SUMIFS(T_Shipments[Confirmed_Qty],T_Shipments[RM_Code],$A23,T_Shipments[Effective_Week],27)</f>
        <v/>
      </c>
      <c r="AC23">
        <f>SUMIFS(T_Shipments[Confirmed_Qty],T_Shipments[RM_Code],$A23,T_Shipments[Effective_Week],28)</f>
        <v/>
      </c>
      <c r="AD23">
        <f>SUMIFS(T_Shipments[Confirmed_Qty],T_Shipments[RM_Code],$A23,T_Shipments[Effective_Week],29)</f>
        <v/>
      </c>
      <c r="AE23">
        <f>SUMIFS(T_Shipments[Confirmed_Qty],T_Shipments[RM_Code],$A23,T_Shipments[Effective_Week],30)</f>
        <v/>
      </c>
      <c r="AF23">
        <f>SUMIFS(T_Shipments[Confirmed_Qty],T_Shipments[RM_Code],$A23,T_Shipments[Effective_Week],31)</f>
        <v/>
      </c>
      <c r="AG23">
        <f>SUMIFS(T_Shipments[Confirmed_Qty],T_Shipments[RM_Code],$A23,T_Shipments[Effective_Week],32)</f>
        <v/>
      </c>
      <c r="AH23">
        <f>SUMIFS(T_Shipments[Confirmed_Qty],T_Shipments[RM_Code],$A23,T_Shipments[Effective_Week],33)</f>
        <v/>
      </c>
      <c r="AI23">
        <f>SUMIFS(T_Shipments[Confirmed_Qty],T_Shipments[RM_Code],$A23,T_Shipments[Effective_Week],34)</f>
        <v/>
      </c>
      <c r="AJ23">
        <f>SUMIFS(T_Shipments[Confirmed_Qty],T_Shipments[RM_Code],$A23,T_Shipments[Effective_Week],35)</f>
        <v/>
      </c>
      <c r="AK23">
        <f>SUMIFS(T_Shipments[Confirmed_Qty],T_Shipments[RM_Code],$A23,T_Shipments[Effective_Week],36)</f>
        <v/>
      </c>
      <c r="AL23">
        <f>SUMIFS(T_Shipments[Confirmed_Qty],T_Shipments[RM_Code],$A23,T_Shipments[Effective_Week],37)</f>
        <v/>
      </c>
      <c r="AM23">
        <f>SUMIFS(T_Shipments[Confirmed_Qty],T_Shipments[RM_Code],$A23,T_Shipments[Effective_Week],38)</f>
        <v/>
      </c>
      <c r="AN23">
        <f>SUMIFS(T_Shipments[Confirmed_Qty],T_Shipments[RM_Code],$A23,T_Shipments[Effective_Week],39)</f>
        <v/>
      </c>
      <c r="AO23">
        <f>SUMIFS(T_Shipments[Confirmed_Qty],T_Shipments[RM_Code],$A23,T_Shipments[Effective_Week],40)</f>
        <v/>
      </c>
      <c r="AP23">
        <f>SUMIFS(T_Shipments[Confirmed_Qty],T_Shipments[RM_Code],$A23,T_Shipments[Effective_Week],41)</f>
        <v/>
      </c>
      <c r="AQ23">
        <f>SUMIFS(T_Shipments[Confirmed_Qty],T_Shipments[RM_Code],$A23,T_Shipments[Effective_Week],42)</f>
        <v/>
      </c>
      <c r="AR23">
        <f>SUMIFS(T_Shipments[Confirmed_Qty],T_Shipments[RM_Code],$A23,T_Shipments[Effective_Week],43)</f>
        <v/>
      </c>
      <c r="AS23">
        <f>SUMIFS(T_Shipments[Confirmed_Qty],T_Shipments[RM_Code],$A23,T_Shipments[Effective_Week],44)</f>
        <v/>
      </c>
      <c r="AT23">
        <f>SUMIFS(T_Shipments[Confirmed_Qty],T_Shipments[RM_Code],$A23,T_Shipments[Effective_Week],45)</f>
        <v/>
      </c>
      <c r="AU23">
        <f>SUMIFS(T_Shipments[Confirmed_Qty],T_Shipments[RM_Code],$A23,T_Shipments[Effective_Week],46)</f>
        <v/>
      </c>
      <c r="AV23">
        <f>SUMIFS(T_Shipments[Confirmed_Qty],T_Shipments[RM_Code],$A23,T_Shipments[Effective_Week],47)</f>
        <v/>
      </c>
      <c r="AW23">
        <f>SUMIFS(T_Shipments[Confirmed_Qty],T_Shipments[RM_Code],$A23,T_Shipments[Effective_Week],48)</f>
        <v/>
      </c>
      <c r="AX23">
        <f>SUMIFS(T_Shipments[Confirmed_Qty],T_Shipments[RM_Code],$A23,T_Shipments[Effective_Week],49)</f>
        <v/>
      </c>
      <c r="AY23">
        <f>SUMIFS(T_Shipments[Confirmed_Qty],T_Shipments[RM_Code],$A23,T_Shipments[Effective_Week],50)</f>
        <v/>
      </c>
      <c r="AZ23">
        <f>SUMIFS(T_Shipments[Confirmed_Qty],T_Shipments[RM_Code],$A23,T_Shipments[Effective_Week],51)</f>
        <v/>
      </c>
      <c r="BA23">
        <f>SUMIFS(T_Shipments[Confirmed_Qty],T_Shipments[RM_Code],$A23,T_Shipments[Effective_Week],52)</f>
        <v/>
      </c>
      <c r="BB23">
        <f>SUMIFS(T_Shipments[Confirmed_Qty],T_Shipments[RM_Code],$A23,T_Shipments[Effective_Week],53)</f>
        <v/>
      </c>
      <c r="BC23">
        <f>SUMIFS(T_Shipments[Confirmed_Qty],T_Shipments[RM_Code],$A23,T_Shipments[Effective_Week],54)</f>
        <v/>
      </c>
      <c r="BD23">
        <f>SUMIFS(T_Shipments[Confirmed_Qty],T_Shipments[RM_Code],$A23,T_Shipments[Effective_Week],55)</f>
        <v/>
      </c>
      <c r="BE23">
        <f>SUMIFS(T_Shipments[Confirmed_Qty],T_Shipments[RM_Code],$A23,T_Shipments[Effective_Week],56)</f>
        <v/>
      </c>
      <c r="BF23">
        <f>SUMIFS(T_Shipments[Confirmed_Qty],T_Shipments[RM_Code],$A23,T_Shipments[Effective_Week],57)</f>
        <v/>
      </c>
      <c r="BG23">
        <f>SUMIFS(T_Shipments[Confirmed_Qty],T_Shipments[RM_Code],$A23,T_Shipments[Effective_Week],58)</f>
        <v/>
      </c>
      <c r="BH23">
        <f>SUMIFS(T_Shipments[Confirmed_Qty],T_Shipments[RM_Code],$A23,T_Shipments[Effective_Week],59)</f>
        <v/>
      </c>
      <c r="BI23">
        <f>SUMIFS(T_Shipments[Confirmed_Qty],T_Shipments[RM_Code],$A23,T_Shipments[Effective_Week],60)</f>
        <v/>
      </c>
      <c r="BJ23">
        <f>SUMIFS(T_Shipments[Confirmed_Qty],T_Shipments[RM_Code],$A23,T_Shipments[Effective_Week],61)</f>
        <v/>
      </c>
      <c r="BK23">
        <f>SUMIFS(T_Shipments[Confirmed_Qty],T_Shipments[RM_Code],$A23,T_Shipments[Effective_Week],62)</f>
        <v/>
      </c>
      <c r="BL23">
        <f>SUMIFS(T_Shipments[Confirmed_Qty],T_Shipments[RM_Code],$A23,T_Shipments[Effective_Week],63)</f>
        <v/>
      </c>
      <c r="BM23">
        <f>SUMIFS(T_Shipments[Confirmed_Qty],T_Shipments[RM_Code],$A23,T_Shipments[Effective_Week],64)</f>
        <v/>
      </c>
      <c r="BN23">
        <f>SUMIFS(T_Shipments[Confirmed_Qty],T_Shipments[RM_Code],$A23,T_Shipments[Effective_Week],65)</f>
        <v/>
      </c>
      <c r="BO23">
        <f>SUMIFS(T_Shipments[Confirmed_Qty],T_Shipments[RM_Code],$A23,T_Shipments[Effective_Week],66)</f>
        <v/>
      </c>
      <c r="BP23">
        <f>SUMIFS(T_Shipments[Confirmed_Qty],T_Shipments[RM_Code],$A23,T_Shipments[Effective_Week],67)</f>
        <v/>
      </c>
      <c r="BQ23">
        <f>SUMIFS(T_Shipments[Confirmed_Qty],T_Shipments[RM_Code],$A23,T_Shipments[Effective_Week],68)</f>
        <v/>
      </c>
      <c r="BR23">
        <f>SUMIFS(T_Shipments[Confirmed_Qty],T_Shipments[RM_Code],$A23,T_Shipments[Effective_Week],69)</f>
        <v/>
      </c>
      <c r="BS23">
        <f>SUMIFS(T_Shipments[Confirmed_Qty],T_Shipments[RM_Code],$A23,T_Shipments[Effective_Week],70)</f>
        <v/>
      </c>
      <c r="BT23">
        <f>SUMIFS(T_Shipments[Confirmed_Qty],T_Shipments[RM_Code],$A23,T_Shipments[Effective_Week],71)</f>
        <v/>
      </c>
      <c r="BU23">
        <f>SUMIFS(T_Shipments[Confirmed_Qty],T_Shipments[RM_Code],$A23,T_Shipments[Effective_Week],72)</f>
        <v/>
      </c>
      <c r="BV23">
        <f>SUMIFS(T_Shipments[Confirmed_Qty],T_Shipments[RM_Code],$A23,T_Shipments[Effective_Week],73)</f>
        <v/>
      </c>
      <c r="BW23">
        <f>SUMIFS(T_Shipments[Confirmed_Qty],T_Shipments[RM_Code],$A23,T_Shipments[Effective_Week],74)</f>
        <v/>
      </c>
      <c r="BX23">
        <f>SUMIFS(T_Shipments[Confirmed_Qty],T_Shipments[RM_Code],$A23,T_Shipments[Effective_Week],75)</f>
        <v/>
      </c>
      <c r="BY23">
        <f>SUMIFS(T_Shipments[Confirmed_Qty],T_Shipments[RM_Code],$A23,T_Shipments[Effective_Week],76)</f>
        <v/>
      </c>
      <c r="BZ23">
        <f>SUMIFS(T_Shipments[Confirmed_Qty],T_Shipments[RM_Code],$A23,T_Shipments[Effective_Week],77)</f>
        <v/>
      </c>
      <c r="CA23">
        <f>SUMIFS(T_Shipments[Confirmed_Qty],T_Shipments[RM_Code],$A23,T_Shipments[Effective_Week],78)</f>
        <v/>
      </c>
      <c r="CB23">
        <f>SUMIFS(T_Shipments[Confirmed_Qty],T_Shipments[RM_Code],$A23,T_Shipments[Effective_Week],79)</f>
        <v/>
      </c>
      <c r="CC23">
        <f>SUMIFS(T_Shipments[Confirmed_Qty],T_Shipments[RM_Code],$A23,T_Shipments[Effective_Week],80)</f>
        <v/>
      </c>
      <c r="CD23">
        <f>SUMIFS(T_Shipments[Confirmed_Qty],T_Shipments[RM_Code],$A23,T_Shipments[Effective_Week],81)</f>
        <v/>
      </c>
      <c r="CE23">
        <f>SUMIFS(T_Shipments[Confirmed_Qty],T_Shipments[RM_Code],$A23,T_Shipments[Effective_Week],82)</f>
        <v/>
      </c>
      <c r="CF23">
        <f>SUMIFS(T_Shipments[Confirmed_Qty],T_Shipments[RM_Code],$A23,T_Shipments[Effective_Week],83)</f>
        <v/>
      </c>
      <c r="CG23">
        <f>SUMIFS(T_Shipments[Confirmed_Qty],T_Shipments[RM_Code],$A23,T_Shipments[Effective_Week],84)</f>
        <v/>
      </c>
      <c r="CH23">
        <f>SUMIFS(T_Shipments[Confirmed_Qty],T_Shipments[RM_Code],$A23,T_Shipments[Effective_Week],85)</f>
        <v/>
      </c>
      <c r="CI23">
        <f>SUMIFS(T_Shipments[Confirmed_Qty],T_Shipments[RM_Code],$A23,T_Shipments[Effective_Week],86)</f>
        <v/>
      </c>
      <c r="CJ23">
        <f>SUMIFS(T_Shipments[Confirmed_Qty],T_Shipments[RM_Code],$A23,T_Shipments[Effective_Week],87)</f>
        <v/>
      </c>
      <c r="CK23">
        <f>SUMIFS(T_Shipments[Confirmed_Qty],T_Shipments[RM_Code],$A23,T_Shipments[Effective_Week],88)</f>
        <v/>
      </c>
      <c r="CL23">
        <f>SUMIFS(T_Shipments[Confirmed_Qty],T_Shipments[RM_Code],$A23,T_Shipments[Effective_Week],89)</f>
        <v/>
      </c>
      <c r="CM23">
        <f>SUMIFS(T_Shipments[Confirmed_Qty],T_Shipments[RM_Code],$A23,T_Shipments[Effective_Week],90)</f>
        <v/>
      </c>
      <c r="CN23">
        <f>SUMIFS(T_Shipments[Confirmed_Qty],T_Shipments[RM_Code],$A23,T_Shipments[Effective_Week],91)</f>
        <v/>
      </c>
      <c r="CO23">
        <f>SUMIFS(T_Shipments[Confirmed_Qty],T_Shipments[RM_Code],$A23,T_Shipments[Effective_Week],92)</f>
        <v/>
      </c>
      <c r="CP23">
        <f>SUMIFS(T_Shipments[Confirmed_Qty],T_Shipments[RM_Code],$A23,T_Shipments[Effective_Week],93)</f>
        <v/>
      </c>
      <c r="CQ23">
        <f>SUMIFS(T_Shipments[Confirmed_Qty],T_Shipments[RM_Code],$A23,T_Shipments[Effective_Week],94)</f>
        <v/>
      </c>
      <c r="CR23">
        <f>SUMIFS(T_Shipments[Confirmed_Qty],T_Shipments[RM_Code],$A23,T_Shipments[Effective_Week],95)</f>
        <v/>
      </c>
      <c r="CS23">
        <f>SUMIFS(T_Shipments[Confirmed_Qty],T_Shipments[RM_Code],$A23,T_Shipments[Effective_Week],96)</f>
        <v/>
      </c>
      <c r="CT23">
        <f>SUMIFS(T_Shipments[Confirmed_Qty],T_Shipments[RM_Code],$A23,T_Shipments[Effective_Week],97)</f>
        <v/>
      </c>
      <c r="CU23">
        <f>SUMIFS(T_Shipments[Confirmed_Qty],T_Shipments[RM_Code],$A23,T_Shipments[Effective_Week],98)</f>
        <v/>
      </c>
      <c r="CV23">
        <f>SUMIFS(T_Shipments[Confirmed_Qty],T_Shipments[RM_Code],$A23,T_Shipments[Effective_Week],99)</f>
        <v/>
      </c>
      <c r="CW23">
        <f>SUMIFS(T_Shipments[Confirmed_Qty],T_Shipments[RM_Code],$A23,T_Shipments[Effective_Week],100)</f>
        <v/>
      </c>
      <c r="CX23">
        <f>SUMIFS(T_Shipments[Confirmed_Qty],T_Shipments[RM_Code],$A23,T_Shipments[Effective_Week],101)</f>
        <v/>
      </c>
      <c r="CY23">
        <f>SUMIFS(T_Shipments[Confirmed_Qty],T_Shipments[RM_Code],$A23,T_Shipments[Effective_Week],102)</f>
        <v/>
      </c>
      <c r="CZ23">
        <f>SUMIFS(T_Shipments[Confirmed_Qty],T_Shipments[RM_Code],$A23,T_Shipments[Effective_Week],103)</f>
        <v/>
      </c>
      <c r="DA23">
        <f>SUMIFS(T_Shipments[Confirmed_Qty],T_Shipments[RM_Code],$A23,T_Shipments[Effective_Week],104)</f>
        <v/>
      </c>
    </row>
    <row r="24">
      <c r="A24" t="inlineStr">
        <is>
          <t>CHEM-1240</t>
        </is>
      </c>
      <c r="B24">
        <f>SUMIFS(T_Shipments[Confirmed_Qty],T_Shipments[RM_Code],$A24,T_Shipments[Effective_Week],1)</f>
        <v/>
      </c>
      <c r="C24">
        <f>SUMIFS(T_Shipments[Confirmed_Qty],T_Shipments[RM_Code],$A24,T_Shipments[Effective_Week],2)</f>
        <v/>
      </c>
      <c r="D24">
        <f>SUMIFS(T_Shipments[Confirmed_Qty],T_Shipments[RM_Code],$A24,T_Shipments[Effective_Week],3)</f>
        <v/>
      </c>
      <c r="E24">
        <f>SUMIFS(T_Shipments[Confirmed_Qty],T_Shipments[RM_Code],$A24,T_Shipments[Effective_Week],4)</f>
        <v/>
      </c>
      <c r="F24">
        <f>SUMIFS(T_Shipments[Confirmed_Qty],T_Shipments[RM_Code],$A24,T_Shipments[Effective_Week],5)</f>
        <v/>
      </c>
      <c r="G24">
        <f>SUMIFS(T_Shipments[Confirmed_Qty],T_Shipments[RM_Code],$A24,T_Shipments[Effective_Week],6)</f>
        <v/>
      </c>
      <c r="H24">
        <f>SUMIFS(T_Shipments[Confirmed_Qty],T_Shipments[RM_Code],$A24,T_Shipments[Effective_Week],7)</f>
        <v/>
      </c>
      <c r="I24">
        <f>SUMIFS(T_Shipments[Confirmed_Qty],T_Shipments[RM_Code],$A24,T_Shipments[Effective_Week],8)</f>
        <v/>
      </c>
      <c r="J24">
        <f>SUMIFS(T_Shipments[Confirmed_Qty],T_Shipments[RM_Code],$A24,T_Shipments[Effective_Week],9)</f>
        <v/>
      </c>
      <c r="K24">
        <f>SUMIFS(T_Shipments[Confirmed_Qty],T_Shipments[RM_Code],$A24,T_Shipments[Effective_Week],10)</f>
        <v/>
      </c>
      <c r="L24">
        <f>SUMIFS(T_Shipments[Confirmed_Qty],T_Shipments[RM_Code],$A24,T_Shipments[Effective_Week],11)</f>
        <v/>
      </c>
      <c r="M24">
        <f>SUMIFS(T_Shipments[Confirmed_Qty],T_Shipments[RM_Code],$A24,T_Shipments[Effective_Week],12)</f>
        <v/>
      </c>
      <c r="N24">
        <f>SUMIFS(T_Shipments[Confirmed_Qty],T_Shipments[RM_Code],$A24,T_Shipments[Effective_Week],13)</f>
        <v/>
      </c>
      <c r="O24">
        <f>SUMIFS(T_Shipments[Confirmed_Qty],T_Shipments[RM_Code],$A24,T_Shipments[Effective_Week],14)</f>
        <v/>
      </c>
      <c r="P24">
        <f>SUMIFS(T_Shipments[Confirmed_Qty],T_Shipments[RM_Code],$A24,T_Shipments[Effective_Week],15)</f>
        <v/>
      </c>
      <c r="Q24">
        <f>SUMIFS(T_Shipments[Confirmed_Qty],T_Shipments[RM_Code],$A24,T_Shipments[Effective_Week],16)</f>
        <v/>
      </c>
      <c r="R24">
        <f>SUMIFS(T_Shipments[Confirmed_Qty],T_Shipments[RM_Code],$A24,T_Shipments[Effective_Week],17)</f>
        <v/>
      </c>
      <c r="S24">
        <f>SUMIFS(T_Shipments[Confirmed_Qty],T_Shipments[RM_Code],$A24,T_Shipments[Effective_Week],18)</f>
        <v/>
      </c>
      <c r="T24">
        <f>SUMIFS(T_Shipments[Confirmed_Qty],T_Shipments[RM_Code],$A24,T_Shipments[Effective_Week],19)</f>
        <v/>
      </c>
      <c r="U24">
        <f>SUMIFS(T_Shipments[Confirmed_Qty],T_Shipments[RM_Code],$A24,T_Shipments[Effective_Week],20)</f>
        <v/>
      </c>
      <c r="V24">
        <f>SUMIFS(T_Shipments[Confirmed_Qty],T_Shipments[RM_Code],$A24,T_Shipments[Effective_Week],21)</f>
        <v/>
      </c>
      <c r="W24">
        <f>SUMIFS(T_Shipments[Confirmed_Qty],T_Shipments[RM_Code],$A24,T_Shipments[Effective_Week],22)</f>
        <v/>
      </c>
      <c r="X24">
        <f>SUMIFS(T_Shipments[Confirmed_Qty],T_Shipments[RM_Code],$A24,T_Shipments[Effective_Week],23)</f>
        <v/>
      </c>
      <c r="Y24">
        <f>SUMIFS(T_Shipments[Confirmed_Qty],T_Shipments[RM_Code],$A24,T_Shipments[Effective_Week],24)</f>
        <v/>
      </c>
      <c r="Z24">
        <f>SUMIFS(T_Shipments[Confirmed_Qty],T_Shipments[RM_Code],$A24,T_Shipments[Effective_Week],25)</f>
        <v/>
      </c>
      <c r="AA24">
        <f>SUMIFS(T_Shipments[Confirmed_Qty],T_Shipments[RM_Code],$A24,T_Shipments[Effective_Week],26)</f>
        <v/>
      </c>
      <c r="AB24">
        <f>SUMIFS(T_Shipments[Confirmed_Qty],T_Shipments[RM_Code],$A24,T_Shipments[Effective_Week],27)</f>
        <v/>
      </c>
      <c r="AC24">
        <f>SUMIFS(T_Shipments[Confirmed_Qty],T_Shipments[RM_Code],$A24,T_Shipments[Effective_Week],28)</f>
        <v/>
      </c>
      <c r="AD24">
        <f>SUMIFS(T_Shipments[Confirmed_Qty],T_Shipments[RM_Code],$A24,T_Shipments[Effective_Week],29)</f>
        <v/>
      </c>
      <c r="AE24">
        <f>SUMIFS(T_Shipments[Confirmed_Qty],T_Shipments[RM_Code],$A24,T_Shipments[Effective_Week],30)</f>
        <v/>
      </c>
      <c r="AF24">
        <f>SUMIFS(T_Shipments[Confirmed_Qty],T_Shipments[RM_Code],$A24,T_Shipments[Effective_Week],31)</f>
        <v/>
      </c>
      <c r="AG24">
        <f>SUMIFS(T_Shipments[Confirmed_Qty],T_Shipments[RM_Code],$A24,T_Shipments[Effective_Week],32)</f>
        <v/>
      </c>
      <c r="AH24">
        <f>SUMIFS(T_Shipments[Confirmed_Qty],T_Shipments[RM_Code],$A24,T_Shipments[Effective_Week],33)</f>
        <v/>
      </c>
      <c r="AI24">
        <f>SUMIFS(T_Shipments[Confirmed_Qty],T_Shipments[RM_Code],$A24,T_Shipments[Effective_Week],34)</f>
        <v/>
      </c>
      <c r="AJ24">
        <f>SUMIFS(T_Shipments[Confirmed_Qty],T_Shipments[RM_Code],$A24,T_Shipments[Effective_Week],35)</f>
        <v/>
      </c>
      <c r="AK24">
        <f>SUMIFS(T_Shipments[Confirmed_Qty],T_Shipments[RM_Code],$A24,T_Shipments[Effective_Week],36)</f>
        <v/>
      </c>
      <c r="AL24">
        <f>SUMIFS(T_Shipments[Confirmed_Qty],T_Shipments[RM_Code],$A24,T_Shipments[Effective_Week],37)</f>
        <v/>
      </c>
      <c r="AM24">
        <f>SUMIFS(T_Shipments[Confirmed_Qty],T_Shipments[RM_Code],$A24,T_Shipments[Effective_Week],38)</f>
        <v/>
      </c>
      <c r="AN24">
        <f>SUMIFS(T_Shipments[Confirmed_Qty],T_Shipments[RM_Code],$A24,T_Shipments[Effective_Week],39)</f>
        <v/>
      </c>
      <c r="AO24">
        <f>SUMIFS(T_Shipments[Confirmed_Qty],T_Shipments[RM_Code],$A24,T_Shipments[Effective_Week],40)</f>
        <v/>
      </c>
      <c r="AP24">
        <f>SUMIFS(T_Shipments[Confirmed_Qty],T_Shipments[RM_Code],$A24,T_Shipments[Effective_Week],41)</f>
        <v/>
      </c>
      <c r="AQ24">
        <f>SUMIFS(T_Shipments[Confirmed_Qty],T_Shipments[RM_Code],$A24,T_Shipments[Effective_Week],42)</f>
        <v/>
      </c>
      <c r="AR24">
        <f>SUMIFS(T_Shipments[Confirmed_Qty],T_Shipments[RM_Code],$A24,T_Shipments[Effective_Week],43)</f>
        <v/>
      </c>
      <c r="AS24">
        <f>SUMIFS(T_Shipments[Confirmed_Qty],T_Shipments[RM_Code],$A24,T_Shipments[Effective_Week],44)</f>
        <v/>
      </c>
      <c r="AT24">
        <f>SUMIFS(T_Shipments[Confirmed_Qty],T_Shipments[RM_Code],$A24,T_Shipments[Effective_Week],45)</f>
        <v/>
      </c>
      <c r="AU24">
        <f>SUMIFS(T_Shipments[Confirmed_Qty],T_Shipments[RM_Code],$A24,T_Shipments[Effective_Week],46)</f>
        <v/>
      </c>
      <c r="AV24">
        <f>SUMIFS(T_Shipments[Confirmed_Qty],T_Shipments[RM_Code],$A24,T_Shipments[Effective_Week],47)</f>
        <v/>
      </c>
      <c r="AW24">
        <f>SUMIFS(T_Shipments[Confirmed_Qty],T_Shipments[RM_Code],$A24,T_Shipments[Effective_Week],48)</f>
        <v/>
      </c>
      <c r="AX24">
        <f>SUMIFS(T_Shipments[Confirmed_Qty],T_Shipments[RM_Code],$A24,T_Shipments[Effective_Week],49)</f>
        <v/>
      </c>
      <c r="AY24">
        <f>SUMIFS(T_Shipments[Confirmed_Qty],T_Shipments[RM_Code],$A24,T_Shipments[Effective_Week],50)</f>
        <v/>
      </c>
      <c r="AZ24">
        <f>SUMIFS(T_Shipments[Confirmed_Qty],T_Shipments[RM_Code],$A24,T_Shipments[Effective_Week],51)</f>
        <v/>
      </c>
      <c r="BA24">
        <f>SUMIFS(T_Shipments[Confirmed_Qty],T_Shipments[RM_Code],$A24,T_Shipments[Effective_Week],52)</f>
        <v/>
      </c>
      <c r="BB24">
        <f>SUMIFS(T_Shipments[Confirmed_Qty],T_Shipments[RM_Code],$A24,T_Shipments[Effective_Week],53)</f>
        <v/>
      </c>
      <c r="BC24">
        <f>SUMIFS(T_Shipments[Confirmed_Qty],T_Shipments[RM_Code],$A24,T_Shipments[Effective_Week],54)</f>
        <v/>
      </c>
      <c r="BD24">
        <f>SUMIFS(T_Shipments[Confirmed_Qty],T_Shipments[RM_Code],$A24,T_Shipments[Effective_Week],55)</f>
        <v/>
      </c>
      <c r="BE24">
        <f>SUMIFS(T_Shipments[Confirmed_Qty],T_Shipments[RM_Code],$A24,T_Shipments[Effective_Week],56)</f>
        <v/>
      </c>
      <c r="BF24">
        <f>SUMIFS(T_Shipments[Confirmed_Qty],T_Shipments[RM_Code],$A24,T_Shipments[Effective_Week],57)</f>
        <v/>
      </c>
      <c r="BG24">
        <f>SUMIFS(T_Shipments[Confirmed_Qty],T_Shipments[RM_Code],$A24,T_Shipments[Effective_Week],58)</f>
        <v/>
      </c>
      <c r="BH24">
        <f>SUMIFS(T_Shipments[Confirmed_Qty],T_Shipments[RM_Code],$A24,T_Shipments[Effective_Week],59)</f>
        <v/>
      </c>
      <c r="BI24">
        <f>SUMIFS(T_Shipments[Confirmed_Qty],T_Shipments[RM_Code],$A24,T_Shipments[Effective_Week],60)</f>
        <v/>
      </c>
      <c r="BJ24">
        <f>SUMIFS(T_Shipments[Confirmed_Qty],T_Shipments[RM_Code],$A24,T_Shipments[Effective_Week],61)</f>
        <v/>
      </c>
      <c r="BK24">
        <f>SUMIFS(T_Shipments[Confirmed_Qty],T_Shipments[RM_Code],$A24,T_Shipments[Effective_Week],62)</f>
        <v/>
      </c>
      <c r="BL24">
        <f>SUMIFS(T_Shipments[Confirmed_Qty],T_Shipments[RM_Code],$A24,T_Shipments[Effective_Week],63)</f>
        <v/>
      </c>
      <c r="BM24">
        <f>SUMIFS(T_Shipments[Confirmed_Qty],T_Shipments[RM_Code],$A24,T_Shipments[Effective_Week],64)</f>
        <v/>
      </c>
      <c r="BN24">
        <f>SUMIFS(T_Shipments[Confirmed_Qty],T_Shipments[RM_Code],$A24,T_Shipments[Effective_Week],65)</f>
        <v/>
      </c>
      <c r="BO24">
        <f>SUMIFS(T_Shipments[Confirmed_Qty],T_Shipments[RM_Code],$A24,T_Shipments[Effective_Week],66)</f>
        <v/>
      </c>
      <c r="BP24">
        <f>SUMIFS(T_Shipments[Confirmed_Qty],T_Shipments[RM_Code],$A24,T_Shipments[Effective_Week],67)</f>
        <v/>
      </c>
      <c r="BQ24">
        <f>SUMIFS(T_Shipments[Confirmed_Qty],T_Shipments[RM_Code],$A24,T_Shipments[Effective_Week],68)</f>
        <v/>
      </c>
      <c r="BR24">
        <f>SUMIFS(T_Shipments[Confirmed_Qty],T_Shipments[RM_Code],$A24,T_Shipments[Effective_Week],69)</f>
        <v/>
      </c>
      <c r="BS24">
        <f>SUMIFS(T_Shipments[Confirmed_Qty],T_Shipments[RM_Code],$A24,T_Shipments[Effective_Week],70)</f>
        <v/>
      </c>
      <c r="BT24">
        <f>SUMIFS(T_Shipments[Confirmed_Qty],T_Shipments[RM_Code],$A24,T_Shipments[Effective_Week],71)</f>
        <v/>
      </c>
      <c r="BU24">
        <f>SUMIFS(T_Shipments[Confirmed_Qty],T_Shipments[RM_Code],$A24,T_Shipments[Effective_Week],72)</f>
        <v/>
      </c>
      <c r="BV24">
        <f>SUMIFS(T_Shipments[Confirmed_Qty],T_Shipments[RM_Code],$A24,T_Shipments[Effective_Week],73)</f>
        <v/>
      </c>
      <c r="BW24">
        <f>SUMIFS(T_Shipments[Confirmed_Qty],T_Shipments[RM_Code],$A24,T_Shipments[Effective_Week],74)</f>
        <v/>
      </c>
      <c r="BX24">
        <f>SUMIFS(T_Shipments[Confirmed_Qty],T_Shipments[RM_Code],$A24,T_Shipments[Effective_Week],75)</f>
        <v/>
      </c>
      <c r="BY24">
        <f>SUMIFS(T_Shipments[Confirmed_Qty],T_Shipments[RM_Code],$A24,T_Shipments[Effective_Week],76)</f>
        <v/>
      </c>
      <c r="BZ24">
        <f>SUMIFS(T_Shipments[Confirmed_Qty],T_Shipments[RM_Code],$A24,T_Shipments[Effective_Week],77)</f>
        <v/>
      </c>
      <c r="CA24">
        <f>SUMIFS(T_Shipments[Confirmed_Qty],T_Shipments[RM_Code],$A24,T_Shipments[Effective_Week],78)</f>
        <v/>
      </c>
      <c r="CB24">
        <f>SUMIFS(T_Shipments[Confirmed_Qty],T_Shipments[RM_Code],$A24,T_Shipments[Effective_Week],79)</f>
        <v/>
      </c>
      <c r="CC24">
        <f>SUMIFS(T_Shipments[Confirmed_Qty],T_Shipments[RM_Code],$A24,T_Shipments[Effective_Week],80)</f>
        <v/>
      </c>
      <c r="CD24">
        <f>SUMIFS(T_Shipments[Confirmed_Qty],T_Shipments[RM_Code],$A24,T_Shipments[Effective_Week],81)</f>
        <v/>
      </c>
      <c r="CE24">
        <f>SUMIFS(T_Shipments[Confirmed_Qty],T_Shipments[RM_Code],$A24,T_Shipments[Effective_Week],82)</f>
        <v/>
      </c>
      <c r="CF24">
        <f>SUMIFS(T_Shipments[Confirmed_Qty],T_Shipments[RM_Code],$A24,T_Shipments[Effective_Week],83)</f>
        <v/>
      </c>
      <c r="CG24">
        <f>SUMIFS(T_Shipments[Confirmed_Qty],T_Shipments[RM_Code],$A24,T_Shipments[Effective_Week],84)</f>
        <v/>
      </c>
      <c r="CH24">
        <f>SUMIFS(T_Shipments[Confirmed_Qty],T_Shipments[RM_Code],$A24,T_Shipments[Effective_Week],85)</f>
        <v/>
      </c>
      <c r="CI24">
        <f>SUMIFS(T_Shipments[Confirmed_Qty],T_Shipments[RM_Code],$A24,T_Shipments[Effective_Week],86)</f>
        <v/>
      </c>
      <c r="CJ24">
        <f>SUMIFS(T_Shipments[Confirmed_Qty],T_Shipments[RM_Code],$A24,T_Shipments[Effective_Week],87)</f>
        <v/>
      </c>
      <c r="CK24">
        <f>SUMIFS(T_Shipments[Confirmed_Qty],T_Shipments[RM_Code],$A24,T_Shipments[Effective_Week],88)</f>
        <v/>
      </c>
      <c r="CL24">
        <f>SUMIFS(T_Shipments[Confirmed_Qty],T_Shipments[RM_Code],$A24,T_Shipments[Effective_Week],89)</f>
        <v/>
      </c>
      <c r="CM24">
        <f>SUMIFS(T_Shipments[Confirmed_Qty],T_Shipments[RM_Code],$A24,T_Shipments[Effective_Week],90)</f>
        <v/>
      </c>
      <c r="CN24">
        <f>SUMIFS(T_Shipments[Confirmed_Qty],T_Shipments[RM_Code],$A24,T_Shipments[Effective_Week],91)</f>
        <v/>
      </c>
      <c r="CO24">
        <f>SUMIFS(T_Shipments[Confirmed_Qty],T_Shipments[RM_Code],$A24,T_Shipments[Effective_Week],92)</f>
        <v/>
      </c>
      <c r="CP24">
        <f>SUMIFS(T_Shipments[Confirmed_Qty],T_Shipments[RM_Code],$A24,T_Shipments[Effective_Week],93)</f>
        <v/>
      </c>
      <c r="CQ24">
        <f>SUMIFS(T_Shipments[Confirmed_Qty],T_Shipments[RM_Code],$A24,T_Shipments[Effective_Week],94)</f>
        <v/>
      </c>
      <c r="CR24">
        <f>SUMIFS(T_Shipments[Confirmed_Qty],T_Shipments[RM_Code],$A24,T_Shipments[Effective_Week],95)</f>
        <v/>
      </c>
      <c r="CS24">
        <f>SUMIFS(T_Shipments[Confirmed_Qty],T_Shipments[RM_Code],$A24,T_Shipments[Effective_Week],96)</f>
        <v/>
      </c>
      <c r="CT24">
        <f>SUMIFS(T_Shipments[Confirmed_Qty],T_Shipments[RM_Code],$A24,T_Shipments[Effective_Week],97)</f>
        <v/>
      </c>
      <c r="CU24">
        <f>SUMIFS(T_Shipments[Confirmed_Qty],T_Shipments[RM_Code],$A24,T_Shipments[Effective_Week],98)</f>
        <v/>
      </c>
      <c r="CV24">
        <f>SUMIFS(T_Shipments[Confirmed_Qty],T_Shipments[RM_Code],$A24,T_Shipments[Effective_Week],99)</f>
        <v/>
      </c>
      <c r="CW24">
        <f>SUMIFS(T_Shipments[Confirmed_Qty],T_Shipments[RM_Code],$A24,T_Shipments[Effective_Week],100)</f>
        <v/>
      </c>
      <c r="CX24">
        <f>SUMIFS(T_Shipments[Confirmed_Qty],T_Shipments[RM_Code],$A24,T_Shipments[Effective_Week],101)</f>
        <v/>
      </c>
      <c r="CY24">
        <f>SUMIFS(T_Shipments[Confirmed_Qty],T_Shipments[RM_Code],$A24,T_Shipments[Effective_Week],102)</f>
        <v/>
      </c>
      <c r="CZ24">
        <f>SUMIFS(T_Shipments[Confirmed_Qty],T_Shipments[RM_Code],$A24,T_Shipments[Effective_Week],103)</f>
        <v/>
      </c>
      <c r="DA24">
        <f>SUMIFS(T_Shipments[Confirmed_Qty],T_Shipments[RM_Code],$A24,T_Shipments[Effective_Week],104)</f>
        <v/>
      </c>
    </row>
    <row r="25">
      <c r="A25" t="inlineStr">
        <is>
          <t>0JN</t>
        </is>
      </c>
      <c r="B25">
        <f>SUMIFS(T_Shipments[Confirmed_Qty],T_Shipments[RM_Code],$A25,T_Shipments[Effective_Week],1)</f>
        <v/>
      </c>
      <c r="C25">
        <f>SUMIFS(T_Shipments[Confirmed_Qty],T_Shipments[RM_Code],$A25,T_Shipments[Effective_Week],2)</f>
        <v/>
      </c>
      <c r="D25">
        <f>SUMIFS(T_Shipments[Confirmed_Qty],T_Shipments[RM_Code],$A25,T_Shipments[Effective_Week],3)</f>
        <v/>
      </c>
      <c r="E25">
        <f>SUMIFS(T_Shipments[Confirmed_Qty],T_Shipments[RM_Code],$A25,T_Shipments[Effective_Week],4)</f>
        <v/>
      </c>
      <c r="F25">
        <f>SUMIFS(T_Shipments[Confirmed_Qty],T_Shipments[RM_Code],$A25,T_Shipments[Effective_Week],5)</f>
        <v/>
      </c>
      <c r="G25">
        <f>SUMIFS(T_Shipments[Confirmed_Qty],T_Shipments[RM_Code],$A25,T_Shipments[Effective_Week],6)</f>
        <v/>
      </c>
      <c r="H25">
        <f>SUMIFS(T_Shipments[Confirmed_Qty],T_Shipments[RM_Code],$A25,T_Shipments[Effective_Week],7)</f>
        <v/>
      </c>
      <c r="I25">
        <f>SUMIFS(T_Shipments[Confirmed_Qty],T_Shipments[RM_Code],$A25,T_Shipments[Effective_Week],8)</f>
        <v/>
      </c>
      <c r="J25">
        <f>SUMIFS(T_Shipments[Confirmed_Qty],T_Shipments[RM_Code],$A25,T_Shipments[Effective_Week],9)</f>
        <v/>
      </c>
      <c r="K25">
        <f>SUMIFS(T_Shipments[Confirmed_Qty],T_Shipments[RM_Code],$A25,T_Shipments[Effective_Week],10)</f>
        <v/>
      </c>
      <c r="L25">
        <f>SUMIFS(T_Shipments[Confirmed_Qty],T_Shipments[RM_Code],$A25,T_Shipments[Effective_Week],11)</f>
        <v/>
      </c>
      <c r="M25">
        <f>SUMIFS(T_Shipments[Confirmed_Qty],T_Shipments[RM_Code],$A25,T_Shipments[Effective_Week],12)</f>
        <v/>
      </c>
      <c r="N25">
        <f>SUMIFS(T_Shipments[Confirmed_Qty],T_Shipments[RM_Code],$A25,T_Shipments[Effective_Week],13)</f>
        <v/>
      </c>
      <c r="O25">
        <f>SUMIFS(T_Shipments[Confirmed_Qty],T_Shipments[RM_Code],$A25,T_Shipments[Effective_Week],14)</f>
        <v/>
      </c>
      <c r="P25">
        <f>SUMIFS(T_Shipments[Confirmed_Qty],T_Shipments[RM_Code],$A25,T_Shipments[Effective_Week],15)</f>
        <v/>
      </c>
      <c r="Q25">
        <f>SUMIFS(T_Shipments[Confirmed_Qty],T_Shipments[RM_Code],$A25,T_Shipments[Effective_Week],16)</f>
        <v/>
      </c>
      <c r="R25">
        <f>SUMIFS(T_Shipments[Confirmed_Qty],T_Shipments[RM_Code],$A25,T_Shipments[Effective_Week],17)</f>
        <v/>
      </c>
      <c r="S25">
        <f>SUMIFS(T_Shipments[Confirmed_Qty],T_Shipments[RM_Code],$A25,T_Shipments[Effective_Week],18)</f>
        <v/>
      </c>
      <c r="T25">
        <f>SUMIFS(T_Shipments[Confirmed_Qty],T_Shipments[RM_Code],$A25,T_Shipments[Effective_Week],19)</f>
        <v/>
      </c>
      <c r="U25">
        <f>SUMIFS(T_Shipments[Confirmed_Qty],T_Shipments[RM_Code],$A25,T_Shipments[Effective_Week],20)</f>
        <v/>
      </c>
      <c r="V25">
        <f>SUMIFS(T_Shipments[Confirmed_Qty],T_Shipments[RM_Code],$A25,T_Shipments[Effective_Week],21)</f>
        <v/>
      </c>
      <c r="W25">
        <f>SUMIFS(T_Shipments[Confirmed_Qty],T_Shipments[RM_Code],$A25,T_Shipments[Effective_Week],22)</f>
        <v/>
      </c>
      <c r="X25">
        <f>SUMIFS(T_Shipments[Confirmed_Qty],T_Shipments[RM_Code],$A25,T_Shipments[Effective_Week],23)</f>
        <v/>
      </c>
      <c r="Y25">
        <f>SUMIFS(T_Shipments[Confirmed_Qty],T_Shipments[RM_Code],$A25,T_Shipments[Effective_Week],24)</f>
        <v/>
      </c>
      <c r="Z25">
        <f>SUMIFS(T_Shipments[Confirmed_Qty],T_Shipments[RM_Code],$A25,T_Shipments[Effective_Week],25)</f>
        <v/>
      </c>
      <c r="AA25">
        <f>SUMIFS(T_Shipments[Confirmed_Qty],T_Shipments[RM_Code],$A25,T_Shipments[Effective_Week],26)</f>
        <v/>
      </c>
      <c r="AB25">
        <f>SUMIFS(T_Shipments[Confirmed_Qty],T_Shipments[RM_Code],$A25,T_Shipments[Effective_Week],27)</f>
        <v/>
      </c>
      <c r="AC25">
        <f>SUMIFS(T_Shipments[Confirmed_Qty],T_Shipments[RM_Code],$A25,T_Shipments[Effective_Week],28)</f>
        <v/>
      </c>
      <c r="AD25">
        <f>SUMIFS(T_Shipments[Confirmed_Qty],T_Shipments[RM_Code],$A25,T_Shipments[Effective_Week],29)</f>
        <v/>
      </c>
      <c r="AE25">
        <f>SUMIFS(T_Shipments[Confirmed_Qty],T_Shipments[RM_Code],$A25,T_Shipments[Effective_Week],30)</f>
        <v/>
      </c>
      <c r="AF25">
        <f>SUMIFS(T_Shipments[Confirmed_Qty],T_Shipments[RM_Code],$A25,T_Shipments[Effective_Week],31)</f>
        <v/>
      </c>
      <c r="AG25">
        <f>SUMIFS(T_Shipments[Confirmed_Qty],T_Shipments[RM_Code],$A25,T_Shipments[Effective_Week],32)</f>
        <v/>
      </c>
      <c r="AH25">
        <f>SUMIFS(T_Shipments[Confirmed_Qty],T_Shipments[RM_Code],$A25,T_Shipments[Effective_Week],33)</f>
        <v/>
      </c>
      <c r="AI25">
        <f>SUMIFS(T_Shipments[Confirmed_Qty],T_Shipments[RM_Code],$A25,T_Shipments[Effective_Week],34)</f>
        <v/>
      </c>
      <c r="AJ25">
        <f>SUMIFS(T_Shipments[Confirmed_Qty],T_Shipments[RM_Code],$A25,T_Shipments[Effective_Week],35)</f>
        <v/>
      </c>
      <c r="AK25">
        <f>SUMIFS(T_Shipments[Confirmed_Qty],T_Shipments[RM_Code],$A25,T_Shipments[Effective_Week],36)</f>
        <v/>
      </c>
      <c r="AL25">
        <f>SUMIFS(T_Shipments[Confirmed_Qty],T_Shipments[RM_Code],$A25,T_Shipments[Effective_Week],37)</f>
        <v/>
      </c>
      <c r="AM25">
        <f>SUMIFS(T_Shipments[Confirmed_Qty],T_Shipments[RM_Code],$A25,T_Shipments[Effective_Week],38)</f>
        <v/>
      </c>
      <c r="AN25">
        <f>SUMIFS(T_Shipments[Confirmed_Qty],T_Shipments[RM_Code],$A25,T_Shipments[Effective_Week],39)</f>
        <v/>
      </c>
      <c r="AO25">
        <f>SUMIFS(T_Shipments[Confirmed_Qty],T_Shipments[RM_Code],$A25,T_Shipments[Effective_Week],40)</f>
        <v/>
      </c>
      <c r="AP25">
        <f>SUMIFS(T_Shipments[Confirmed_Qty],T_Shipments[RM_Code],$A25,T_Shipments[Effective_Week],41)</f>
        <v/>
      </c>
      <c r="AQ25">
        <f>SUMIFS(T_Shipments[Confirmed_Qty],T_Shipments[RM_Code],$A25,T_Shipments[Effective_Week],42)</f>
        <v/>
      </c>
      <c r="AR25">
        <f>SUMIFS(T_Shipments[Confirmed_Qty],T_Shipments[RM_Code],$A25,T_Shipments[Effective_Week],43)</f>
        <v/>
      </c>
      <c r="AS25">
        <f>SUMIFS(T_Shipments[Confirmed_Qty],T_Shipments[RM_Code],$A25,T_Shipments[Effective_Week],44)</f>
        <v/>
      </c>
      <c r="AT25">
        <f>SUMIFS(T_Shipments[Confirmed_Qty],T_Shipments[RM_Code],$A25,T_Shipments[Effective_Week],45)</f>
        <v/>
      </c>
      <c r="AU25">
        <f>SUMIFS(T_Shipments[Confirmed_Qty],T_Shipments[RM_Code],$A25,T_Shipments[Effective_Week],46)</f>
        <v/>
      </c>
      <c r="AV25">
        <f>SUMIFS(T_Shipments[Confirmed_Qty],T_Shipments[RM_Code],$A25,T_Shipments[Effective_Week],47)</f>
        <v/>
      </c>
      <c r="AW25">
        <f>SUMIFS(T_Shipments[Confirmed_Qty],T_Shipments[RM_Code],$A25,T_Shipments[Effective_Week],48)</f>
        <v/>
      </c>
      <c r="AX25">
        <f>SUMIFS(T_Shipments[Confirmed_Qty],T_Shipments[RM_Code],$A25,T_Shipments[Effective_Week],49)</f>
        <v/>
      </c>
      <c r="AY25">
        <f>SUMIFS(T_Shipments[Confirmed_Qty],T_Shipments[RM_Code],$A25,T_Shipments[Effective_Week],50)</f>
        <v/>
      </c>
      <c r="AZ25">
        <f>SUMIFS(T_Shipments[Confirmed_Qty],T_Shipments[RM_Code],$A25,T_Shipments[Effective_Week],51)</f>
        <v/>
      </c>
      <c r="BA25">
        <f>SUMIFS(T_Shipments[Confirmed_Qty],T_Shipments[RM_Code],$A25,T_Shipments[Effective_Week],52)</f>
        <v/>
      </c>
      <c r="BB25">
        <f>SUMIFS(T_Shipments[Confirmed_Qty],T_Shipments[RM_Code],$A25,T_Shipments[Effective_Week],53)</f>
        <v/>
      </c>
      <c r="BC25">
        <f>SUMIFS(T_Shipments[Confirmed_Qty],T_Shipments[RM_Code],$A25,T_Shipments[Effective_Week],54)</f>
        <v/>
      </c>
      <c r="BD25">
        <f>SUMIFS(T_Shipments[Confirmed_Qty],T_Shipments[RM_Code],$A25,T_Shipments[Effective_Week],55)</f>
        <v/>
      </c>
      <c r="BE25">
        <f>SUMIFS(T_Shipments[Confirmed_Qty],T_Shipments[RM_Code],$A25,T_Shipments[Effective_Week],56)</f>
        <v/>
      </c>
      <c r="BF25">
        <f>SUMIFS(T_Shipments[Confirmed_Qty],T_Shipments[RM_Code],$A25,T_Shipments[Effective_Week],57)</f>
        <v/>
      </c>
      <c r="BG25">
        <f>SUMIFS(T_Shipments[Confirmed_Qty],T_Shipments[RM_Code],$A25,T_Shipments[Effective_Week],58)</f>
        <v/>
      </c>
      <c r="BH25">
        <f>SUMIFS(T_Shipments[Confirmed_Qty],T_Shipments[RM_Code],$A25,T_Shipments[Effective_Week],59)</f>
        <v/>
      </c>
      <c r="BI25">
        <f>SUMIFS(T_Shipments[Confirmed_Qty],T_Shipments[RM_Code],$A25,T_Shipments[Effective_Week],60)</f>
        <v/>
      </c>
      <c r="BJ25">
        <f>SUMIFS(T_Shipments[Confirmed_Qty],T_Shipments[RM_Code],$A25,T_Shipments[Effective_Week],61)</f>
        <v/>
      </c>
      <c r="BK25">
        <f>SUMIFS(T_Shipments[Confirmed_Qty],T_Shipments[RM_Code],$A25,T_Shipments[Effective_Week],62)</f>
        <v/>
      </c>
      <c r="BL25">
        <f>SUMIFS(T_Shipments[Confirmed_Qty],T_Shipments[RM_Code],$A25,T_Shipments[Effective_Week],63)</f>
        <v/>
      </c>
      <c r="BM25">
        <f>SUMIFS(T_Shipments[Confirmed_Qty],T_Shipments[RM_Code],$A25,T_Shipments[Effective_Week],64)</f>
        <v/>
      </c>
      <c r="BN25">
        <f>SUMIFS(T_Shipments[Confirmed_Qty],T_Shipments[RM_Code],$A25,T_Shipments[Effective_Week],65)</f>
        <v/>
      </c>
      <c r="BO25">
        <f>SUMIFS(T_Shipments[Confirmed_Qty],T_Shipments[RM_Code],$A25,T_Shipments[Effective_Week],66)</f>
        <v/>
      </c>
      <c r="BP25">
        <f>SUMIFS(T_Shipments[Confirmed_Qty],T_Shipments[RM_Code],$A25,T_Shipments[Effective_Week],67)</f>
        <v/>
      </c>
      <c r="BQ25">
        <f>SUMIFS(T_Shipments[Confirmed_Qty],T_Shipments[RM_Code],$A25,T_Shipments[Effective_Week],68)</f>
        <v/>
      </c>
      <c r="BR25">
        <f>SUMIFS(T_Shipments[Confirmed_Qty],T_Shipments[RM_Code],$A25,T_Shipments[Effective_Week],69)</f>
        <v/>
      </c>
      <c r="BS25">
        <f>SUMIFS(T_Shipments[Confirmed_Qty],T_Shipments[RM_Code],$A25,T_Shipments[Effective_Week],70)</f>
        <v/>
      </c>
      <c r="BT25">
        <f>SUMIFS(T_Shipments[Confirmed_Qty],T_Shipments[RM_Code],$A25,T_Shipments[Effective_Week],71)</f>
        <v/>
      </c>
      <c r="BU25">
        <f>SUMIFS(T_Shipments[Confirmed_Qty],T_Shipments[RM_Code],$A25,T_Shipments[Effective_Week],72)</f>
        <v/>
      </c>
      <c r="BV25">
        <f>SUMIFS(T_Shipments[Confirmed_Qty],T_Shipments[RM_Code],$A25,T_Shipments[Effective_Week],73)</f>
        <v/>
      </c>
      <c r="BW25">
        <f>SUMIFS(T_Shipments[Confirmed_Qty],T_Shipments[RM_Code],$A25,T_Shipments[Effective_Week],74)</f>
        <v/>
      </c>
      <c r="BX25">
        <f>SUMIFS(T_Shipments[Confirmed_Qty],T_Shipments[RM_Code],$A25,T_Shipments[Effective_Week],75)</f>
        <v/>
      </c>
      <c r="BY25">
        <f>SUMIFS(T_Shipments[Confirmed_Qty],T_Shipments[RM_Code],$A25,T_Shipments[Effective_Week],76)</f>
        <v/>
      </c>
      <c r="BZ25">
        <f>SUMIFS(T_Shipments[Confirmed_Qty],T_Shipments[RM_Code],$A25,T_Shipments[Effective_Week],77)</f>
        <v/>
      </c>
      <c r="CA25">
        <f>SUMIFS(T_Shipments[Confirmed_Qty],T_Shipments[RM_Code],$A25,T_Shipments[Effective_Week],78)</f>
        <v/>
      </c>
      <c r="CB25">
        <f>SUMIFS(T_Shipments[Confirmed_Qty],T_Shipments[RM_Code],$A25,T_Shipments[Effective_Week],79)</f>
        <v/>
      </c>
      <c r="CC25">
        <f>SUMIFS(T_Shipments[Confirmed_Qty],T_Shipments[RM_Code],$A25,T_Shipments[Effective_Week],80)</f>
        <v/>
      </c>
      <c r="CD25">
        <f>SUMIFS(T_Shipments[Confirmed_Qty],T_Shipments[RM_Code],$A25,T_Shipments[Effective_Week],81)</f>
        <v/>
      </c>
      <c r="CE25">
        <f>SUMIFS(T_Shipments[Confirmed_Qty],T_Shipments[RM_Code],$A25,T_Shipments[Effective_Week],82)</f>
        <v/>
      </c>
      <c r="CF25">
        <f>SUMIFS(T_Shipments[Confirmed_Qty],T_Shipments[RM_Code],$A25,T_Shipments[Effective_Week],83)</f>
        <v/>
      </c>
      <c r="CG25">
        <f>SUMIFS(T_Shipments[Confirmed_Qty],T_Shipments[RM_Code],$A25,T_Shipments[Effective_Week],84)</f>
        <v/>
      </c>
      <c r="CH25">
        <f>SUMIFS(T_Shipments[Confirmed_Qty],T_Shipments[RM_Code],$A25,T_Shipments[Effective_Week],85)</f>
        <v/>
      </c>
      <c r="CI25">
        <f>SUMIFS(T_Shipments[Confirmed_Qty],T_Shipments[RM_Code],$A25,T_Shipments[Effective_Week],86)</f>
        <v/>
      </c>
      <c r="CJ25">
        <f>SUMIFS(T_Shipments[Confirmed_Qty],T_Shipments[RM_Code],$A25,T_Shipments[Effective_Week],87)</f>
        <v/>
      </c>
      <c r="CK25">
        <f>SUMIFS(T_Shipments[Confirmed_Qty],T_Shipments[RM_Code],$A25,T_Shipments[Effective_Week],88)</f>
        <v/>
      </c>
      <c r="CL25">
        <f>SUMIFS(T_Shipments[Confirmed_Qty],T_Shipments[RM_Code],$A25,T_Shipments[Effective_Week],89)</f>
        <v/>
      </c>
      <c r="CM25">
        <f>SUMIFS(T_Shipments[Confirmed_Qty],T_Shipments[RM_Code],$A25,T_Shipments[Effective_Week],90)</f>
        <v/>
      </c>
      <c r="CN25">
        <f>SUMIFS(T_Shipments[Confirmed_Qty],T_Shipments[RM_Code],$A25,T_Shipments[Effective_Week],91)</f>
        <v/>
      </c>
      <c r="CO25">
        <f>SUMIFS(T_Shipments[Confirmed_Qty],T_Shipments[RM_Code],$A25,T_Shipments[Effective_Week],92)</f>
        <v/>
      </c>
      <c r="CP25">
        <f>SUMIFS(T_Shipments[Confirmed_Qty],T_Shipments[RM_Code],$A25,T_Shipments[Effective_Week],93)</f>
        <v/>
      </c>
      <c r="CQ25">
        <f>SUMIFS(T_Shipments[Confirmed_Qty],T_Shipments[RM_Code],$A25,T_Shipments[Effective_Week],94)</f>
        <v/>
      </c>
      <c r="CR25">
        <f>SUMIFS(T_Shipments[Confirmed_Qty],T_Shipments[RM_Code],$A25,T_Shipments[Effective_Week],95)</f>
        <v/>
      </c>
      <c r="CS25">
        <f>SUMIFS(T_Shipments[Confirmed_Qty],T_Shipments[RM_Code],$A25,T_Shipments[Effective_Week],96)</f>
        <v/>
      </c>
      <c r="CT25">
        <f>SUMIFS(T_Shipments[Confirmed_Qty],T_Shipments[RM_Code],$A25,T_Shipments[Effective_Week],97)</f>
        <v/>
      </c>
      <c r="CU25">
        <f>SUMIFS(T_Shipments[Confirmed_Qty],T_Shipments[RM_Code],$A25,T_Shipments[Effective_Week],98)</f>
        <v/>
      </c>
      <c r="CV25">
        <f>SUMIFS(T_Shipments[Confirmed_Qty],T_Shipments[RM_Code],$A25,T_Shipments[Effective_Week],99)</f>
        <v/>
      </c>
      <c r="CW25">
        <f>SUMIFS(T_Shipments[Confirmed_Qty],T_Shipments[RM_Code],$A25,T_Shipments[Effective_Week],100)</f>
        <v/>
      </c>
      <c r="CX25">
        <f>SUMIFS(T_Shipments[Confirmed_Qty],T_Shipments[RM_Code],$A25,T_Shipments[Effective_Week],101)</f>
        <v/>
      </c>
      <c r="CY25">
        <f>SUMIFS(T_Shipments[Confirmed_Qty],T_Shipments[RM_Code],$A25,T_Shipments[Effective_Week],102)</f>
        <v/>
      </c>
      <c r="CZ25">
        <f>SUMIFS(T_Shipments[Confirmed_Qty],T_Shipments[RM_Code],$A25,T_Shipments[Effective_Week],103)</f>
        <v/>
      </c>
      <c r="DA25">
        <f>SUMIFS(T_Shipments[Confirmed_Qty],T_Shipments[RM_Code],$A25,T_Shipments[Effective_Week],104)</f>
        <v/>
      </c>
    </row>
    <row r="26">
      <c r="A26" t="inlineStr">
        <is>
          <t>CHEM-1760</t>
        </is>
      </c>
      <c r="B26">
        <f>SUMIFS(T_Shipments[Confirmed_Qty],T_Shipments[RM_Code],$A26,T_Shipments[Effective_Week],1)</f>
        <v/>
      </c>
      <c r="C26">
        <f>SUMIFS(T_Shipments[Confirmed_Qty],T_Shipments[RM_Code],$A26,T_Shipments[Effective_Week],2)</f>
        <v/>
      </c>
      <c r="D26">
        <f>SUMIFS(T_Shipments[Confirmed_Qty],T_Shipments[RM_Code],$A26,T_Shipments[Effective_Week],3)</f>
        <v/>
      </c>
      <c r="E26">
        <f>SUMIFS(T_Shipments[Confirmed_Qty],T_Shipments[RM_Code],$A26,T_Shipments[Effective_Week],4)</f>
        <v/>
      </c>
      <c r="F26">
        <f>SUMIFS(T_Shipments[Confirmed_Qty],T_Shipments[RM_Code],$A26,T_Shipments[Effective_Week],5)</f>
        <v/>
      </c>
      <c r="G26">
        <f>SUMIFS(T_Shipments[Confirmed_Qty],T_Shipments[RM_Code],$A26,T_Shipments[Effective_Week],6)</f>
        <v/>
      </c>
      <c r="H26">
        <f>SUMIFS(T_Shipments[Confirmed_Qty],T_Shipments[RM_Code],$A26,T_Shipments[Effective_Week],7)</f>
        <v/>
      </c>
      <c r="I26">
        <f>SUMIFS(T_Shipments[Confirmed_Qty],T_Shipments[RM_Code],$A26,T_Shipments[Effective_Week],8)</f>
        <v/>
      </c>
      <c r="J26">
        <f>SUMIFS(T_Shipments[Confirmed_Qty],T_Shipments[RM_Code],$A26,T_Shipments[Effective_Week],9)</f>
        <v/>
      </c>
      <c r="K26">
        <f>SUMIFS(T_Shipments[Confirmed_Qty],T_Shipments[RM_Code],$A26,T_Shipments[Effective_Week],10)</f>
        <v/>
      </c>
      <c r="L26">
        <f>SUMIFS(T_Shipments[Confirmed_Qty],T_Shipments[RM_Code],$A26,T_Shipments[Effective_Week],11)</f>
        <v/>
      </c>
      <c r="M26">
        <f>SUMIFS(T_Shipments[Confirmed_Qty],T_Shipments[RM_Code],$A26,T_Shipments[Effective_Week],12)</f>
        <v/>
      </c>
      <c r="N26">
        <f>SUMIFS(T_Shipments[Confirmed_Qty],T_Shipments[RM_Code],$A26,T_Shipments[Effective_Week],13)</f>
        <v/>
      </c>
      <c r="O26">
        <f>SUMIFS(T_Shipments[Confirmed_Qty],T_Shipments[RM_Code],$A26,T_Shipments[Effective_Week],14)</f>
        <v/>
      </c>
      <c r="P26">
        <f>SUMIFS(T_Shipments[Confirmed_Qty],T_Shipments[RM_Code],$A26,T_Shipments[Effective_Week],15)</f>
        <v/>
      </c>
      <c r="Q26">
        <f>SUMIFS(T_Shipments[Confirmed_Qty],T_Shipments[RM_Code],$A26,T_Shipments[Effective_Week],16)</f>
        <v/>
      </c>
      <c r="R26">
        <f>SUMIFS(T_Shipments[Confirmed_Qty],T_Shipments[RM_Code],$A26,T_Shipments[Effective_Week],17)</f>
        <v/>
      </c>
      <c r="S26">
        <f>SUMIFS(T_Shipments[Confirmed_Qty],T_Shipments[RM_Code],$A26,T_Shipments[Effective_Week],18)</f>
        <v/>
      </c>
      <c r="T26">
        <f>SUMIFS(T_Shipments[Confirmed_Qty],T_Shipments[RM_Code],$A26,T_Shipments[Effective_Week],19)</f>
        <v/>
      </c>
      <c r="U26">
        <f>SUMIFS(T_Shipments[Confirmed_Qty],T_Shipments[RM_Code],$A26,T_Shipments[Effective_Week],20)</f>
        <v/>
      </c>
      <c r="V26">
        <f>SUMIFS(T_Shipments[Confirmed_Qty],T_Shipments[RM_Code],$A26,T_Shipments[Effective_Week],21)</f>
        <v/>
      </c>
      <c r="W26">
        <f>SUMIFS(T_Shipments[Confirmed_Qty],T_Shipments[RM_Code],$A26,T_Shipments[Effective_Week],22)</f>
        <v/>
      </c>
      <c r="X26">
        <f>SUMIFS(T_Shipments[Confirmed_Qty],T_Shipments[RM_Code],$A26,T_Shipments[Effective_Week],23)</f>
        <v/>
      </c>
      <c r="Y26">
        <f>SUMIFS(T_Shipments[Confirmed_Qty],T_Shipments[RM_Code],$A26,T_Shipments[Effective_Week],24)</f>
        <v/>
      </c>
      <c r="Z26">
        <f>SUMIFS(T_Shipments[Confirmed_Qty],T_Shipments[RM_Code],$A26,T_Shipments[Effective_Week],25)</f>
        <v/>
      </c>
      <c r="AA26">
        <f>SUMIFS(T_Shipments[Confirmed_Qty],T_Shipments[RM_Code],$A26,T_Shipments[Effective_Week],26)</f>
        <v/>
      </c>
      <c r="AB26">
        <f>SUMIFS(T_Shipments[Confirmed_Qty],T_Shipments[RM_Code],$A26,T_Shipments[Effective_Week],27)</f>
        <v/>
      </c>
      <c r="AC26">
        <f>SUMIFS(T_Shipments[Confirmed_Qty],T_Shipments[RM_Code],$A26,T_Shipments[Effective_Week],28)</f>
        <v/>
      </c>
      <c r="AD26">
        <f>SUMIFS(T_Shipments[Confirmed_Qty],T_Shipments[RM_Code],$A26,T_Shipments[Effective_Week],29)</f>
        <v/>
      </c>
      <c r="AE26">
        <f>SUMIFS(T_Shipments[Confirmed_Qty],T_Shipments[RM_Code],$A26,T_Shipments[Effective_Week],30)</f>
        <v/>
      </c>
      <c r="AF26">
        <f>SUMIFS(T_Shipments[Confirmed_Qty],T_Shipments[RM_Code],$A26,T_Shipments[Effective_Week],31)</f>
        <v/>
      </c>
      <c r="AG26">
        <f>SUMIFS(T_Shipments[Confirmed_Qty],T_Shipments[RM_Code],$A26,T_Shipments[Effective_Week],32)</f>
        <v/>
      </c>
      <c r="AH26">
        <f>SUMIFS(T_Shipments[Confirmed_Qty],T_Shipments[RM_Code],$A26,T_Shipments[Effective_Week],33)</f>
        <v/>
      </c>
      <c r="AI26">
        <f>SUMIFS(T_Shipments[Confirmed_Qty],T_Shipments[RM_Code],$A26,T_Shipments[Effective_Week],34)</f>
        <v/>
      </c>
      <c r="AJ26">
        <f>SUMIFS(T_Shipments[Confirmed_Qty],T_Shipments[RM_Code],$A26,T_Shipments[Effective_Week],35)</f>
        <v/>
      </c>
      <c r="AK26">
        <f>SUMIFS(T_Shipments[Confirmed_Qty],T_Shipments[RM_Code],$A26,T_Shipments[Effective_Week],36)</f>
        <v/>
      </c>
      <c r="AL26">
        <f>SUMIFS(T_Shipments[Confirmed_Qty],T_Shipments[RM_Code],$A26,T_Shipments[Effective_Week],37)</f>
        <v/>
      </c>
      <c r="AM26">
        <f>SUMIFS(T_Shipments[Confirmed_Qty],T_Shipments[RM_Code],$A26,T_Shipments[Effective_Week],38)</f>
        <v/>
      </c>
      <c r="AN26">
        <f>SUMIFS(T_Shipments[Confirmed_Qty],T_Shipments[RM_Code],$A26,T_Shipments[Effective_Week],39)</f>
        <v/>
      </c>
      <c r="AO26">
        <f>SUMIFS(T_Shipments[Confirmed_Qty],T_Shipments[RM_Code],$A26,T_Shipments[Effective_Week],40)</f>
        <v/>
      </c>
      <c r="AP26">
        <f>SUMIFS(T_Shipments[Confirmed_Qty],T_Shipments[RM_Code],$A26,T_Shipments[Effective_Week],41)</f>
        <v/>
      </c>
      <c r="AQ26">
        <f>SUMIFS(T_Shipments[Confirmed_Qty],T_Shipments[RM_Code],$A26,T_Shipments[Effective_Week],42)</f>
        <v/>
      </c>
      <c r="AR26">
        <f>SUMIFS(T_Shipments[Confirmed_Qty],T_Shipments[RM_Code],$A26,T_Shipments[Effective_Week],43)</f>
        <v/>
      </c>
      <c r="AS26">
        <f>SUMIFS(T_Shipments[Confirmed_Qty],T_Shipments[RM_Code],$A26,T_Shipments[Effective_Week],44)</f>
        <v/>
      </c>
      <c r="AT26">
        <f>SUMIFS(T_Shipments[Confirmed_Qty],T_Shipments[RM_Code],$A26,T_Shipments[Effective_Week],45)</f>
        <v/>
      </c>
      <c r="AU26">
        <f>SUMIFS(T_Shipments[Confirmed_Qty],T_Shipments[RM_Code],$A26,T_Shipments[Effective_Week],46)</f>
        <v/>
      </c>
      <c r="AV26">
        <f>SUMIFS(T_Shipments[Confirmed_Qty],T_Shipments[RM_Code],$A26,T_Shipments[Effective_Week],47)</f>
        <v/>
      </c>
      <c r="AW26">
        <f>SUMIFS(T_Shipments[Confirmed_Qty],T_Shipments[RM_Code],$A26,T_Shipments[Effective_Week],48)</f>
        <v/>
      </c>
      <c r="AX26">
        <f>SUMIFS(T_Shipments[Confirmed_Qty],T_Shipments[RM_Code],$A26,T_Shipments[Effective_Week],49)</f>
        <v/>
      </c>
      <c r="AY26">
        <f>SUMIFS(T_Shipments[Confirmed_Qty],T_Shipments[RM_Code],$A26,T_Shipments[Effective_Week],50)</f>
        <v/>
      </c>
      <c r="AZ26">
        <f>SUMIFS(T_Shipments[Confirmed_Qty],T_Shipments[RM_Code],$A26,T_Shipments[Effective_Week],51)</f>
        <v/>
      </c>
      <c r="BA26">
        <f>SUMIFS(T_Shipments[Confirmed_Qty],T_Shipments[RM_Code],$A26,T_Shipments[Effective_Week],52)</f>
        <v/>
      </c>
      <c r="BB26">
        <f>SUMIFS(T_Shipments[Confirmed_Qty],T_Shipments[RM_Code],$A26,T_Shipments[Effective_Week],53)</f>
        <v/>
      </c>
      <c r="BC26">
        <f>SUMIFS(T_Shipments[Confirmed_Qty],T_Shipments[RM_Code],$A26,T_Shipments[Effective_Week],54)</f>
        <v/>
      </c>
      <c r="BD26">
        <f>SUMIFS(T_Shipments[Confirmed_Qty],T_Shipments[RM_Code],$A26,T_Shipments[Effective_Week],55)</f>
        <v/>
      </c>
      <c r="BE26">
        <f>SUMIFS(T_Shipments[Confirmed_Qty],T_Shipments[RM_Code],$A26,T_Shipments[Effective_Week],56)</f>
        <v/>
      </c>
      <c r="BF26">
        <f>SUMIFS(T_Shipments[Confirmed_Qty],T_Shipments[RM_Code],$A26,T_Shipments[Effective_Week],57)</f>
        <v/>
      </c>
      <c r="BG26">
        <f>SUMIFS(T_Shipments[Confirmed_Qty],T_Shipments[RM_Code],$A26,T_Shipments[Effective_Week],58)</f>
        <v/>
      </c>
      <c r="BH26">
        <f>SUMIFS(T_Shipments[Confirmed_Qty],T_Shipments[RM_Code],$A26,T_Shipments[Effective_Week],59)</f>
        <v/>
      </c>
      <c r="BI26">
        <f>SUMIFS(T_Shipments[Confirmed_Qty],T_Shipments[RM_Code],$A26,T_Shipments[Effective_Week],60)</f>
        <v/>
      </c>
      <c r="BJ26">
        <f>SUMIFS(T_Shipments[Confirmed_Qty],T_Shipments[RM_Code],$A26,T_Shipments[Effective_Week],61)</f>
        <v/>
      </c>
      <c r="BK26">
        <f>SUMIFS(T_Shipments[Confirmed_Qty],T_Shipments[RM_Code],$A26,T_Shipments[Effective_Week],62)</f>
        <v/>
      </c>
      <c r="BL26">
        <f>SUMIFS(T_Shipments[Confirmed_Qty],T_Shipments[RM_Code],$A26,T_Shipments[Effective_Week],63)</f>
        <v/>
      </c>
      <c r="BM26">
        <f>SUMIFS(T_Shipments[Confirmed_Qty],T_Shipments[RM_Code],$A26,T_Shipments[Effective_Week],64)</f>
        <v/>
      </c>
      <c r="BN26">
        <f>SUMIFS(T_Shipments[Confirmed_Qty],T_Shipments[RM_Code],$A26,T_Shipments[Effective_Week],65)</f>
        <v/>
      </c>
      <c r="BO26">
        <f>SUMIFS(T_Shipments[Confirmed_Qty],T_Shipments[RM_Code],$A26,T_Shipments[Effective_Week],66)</f>
        <v/>
      </c>
      <c r="BP26">
        <f>SUMIFS(T_Shipments[Confirmed_Qty],T_Shipments[RM_Code],$A26,T_Shipments[Effective_Week],67)</f>
        <v/>
      </c>
      <c r="BQ26">
        <f>SUMIFS(T_Shipments[Confirmed_Qty],T_Shipments[RM_Code],$A26,T_Shipments[Effective_Week],68)</f>
        <v/>
      </c>
      <c r="BR26">
        <f>SUMIFS(T_Shipments[Confirmed_Qty],T_Shipments[RM_Code],$A26,T_Shipments[Effective_Week],69)</f>
        <v/>
      </c>
      <c r="BS26">
        <f>SUMIFS(T_Shipments[Confirmed_Qty],T_Shipments[RM_Code],$A26,T_Shipments[Effective_Week],70)</f>
        <v/>
      </c>
      <c r="BT26">
        <f>SUMIFS(T_Shipments[Confirmed_Qty],T_Shipments[RM_Code],$A26,T_Shipments[Effective_Week],71)</f>
        <v/>
      </c>
      <c r="BU26">
        <f>SUMIFS(T_Shipments[Confirmed_Qty],T_Shipments[RM_Code],$A26,T_Shipments[Effective_Week],72)</f>
        <v/>
      </c>
      <c r="BV26">
        <f>SUMIFS(T_Shipments[Confirmed_Qty],T_Shipments[RM_Code],$A26,T_Shipments[Effective_Week],73)</f>
        <v/>
      </c>
      <c r="BW26">
        <f>SUMIFS(T_Shipments[Confirmed_Qty],T_Shipments[RM_Code],$A26,T_Shipments[Effective_Week],74)</f>
        <v/>
      </c>
      <c r="BX26">
        <f>SUMIFS(T_Shipments[Confirmed_Qty],T_Shipments[RM_Code],$A26,T_Shipments[Effective_Week],75)</f>
        <v/>
      </c>
      <c r="BY26">
        <f>SUMIFS(T_Shipments[Confirmed_Qty],T_Shipments[RM_Code],$A26,T_Shipments[Effective_Week],76)</f>
        <v/>
      </c>
      <c r="BZ26">
        <f>SUMIFS(T_Shipments[Confirmed_Qty],T_Shipments[RM_Code],$A26,T_Shipments[Effective_Week],77)</f>
        <v/>
      </c>
      <c r="CA26">
        <f>SUMIFS(T_Shipments[Confirmed_Qty],T_Shipments[RM_Code],$A26,T_Shipments[Effective_Week],78)</f>
        <v/>
      </c>
      <c r="CB26">
        <f>SUMIFS(T_Shipments[Confirmed_Qty],T_Shipments[RM_Code],$A26,T_Shipments[Effective_Week],79)</f>
        <v/>
      </c>
      <c r="CC26">
        <f>SUMIFS(T_Shipments[Confirmed_Qty],T_Shipments[RM_Code],$A26,T_Shipments[Effective_Week],80)</f>
        <v/>
      </c>
      <c r="CD26">
        <f>SUMIFS(T_Shipments[Confirmed_Qty],T_Shipments[RM_Code],$A26,T_Shipments[Effective_Week],81)</f>
        <v/>
      </c>
      <c r="CE26">
        <f>SUMIFS(T_Shipments[Confirmed_Qty],T_Shipments[RM_Code],$A26,T_Shipments[Effective_Week],82)</f>
        <v/>
      </c>
      <c r="CF26">
        <f>SUMIFS(T_Shipments[Confirmed_Qty],T_Shipments[RM_Code],$A26,T_Shipments[Effective_Week],83)</f>
        <v/>
      </c>
      <c r="CG26">
        <f>SUMIFS(T_Shipments[Confirmed_Qty],T_Shipments[RM_Code],$A26,T_Shipments[Effective_Week],84)</f>
        <v/>
      </c>
      <c r="CH26">
        <f>SUMIFS(T_Shipments[Confirmed_Qty],T_Shipments[RM_Code],$A26,T_Shipments[Effective_Week],85)</f>
        <v/>
      </c>
      <c r="CI26">
        <f>SUMIFS(T_Shipments[Confirmed_Qty],T_Shipments[RM_Code],$A26,T_Shipments[Effective_Week],86)</f>
        <v/>
      </c>
      <c r="CJ26">
        <f>SUMIFS(T_Shipments[Confirmed_Qty],T_Shipments[RM_Code],$A26,T_Shipments[Effective_Week],87)</f>
        <v/>
      </c>
      <c r="CK26">
        <f>SUMIFS(T_Shipments[Confirmed_Qty],T_Shipments[RM_Code],$A26,T_Shipments[Effective_Week],88)</f>
        <v/>
      </c>
      <c r="CL26">
        <f>SUMIFS(T_Shipments[Confirmed_Qty],T_Shipments[RM_Code],$A26,T_Shipments[Effective_Week],89)</f>
        <v/>
      </c>
      <c r="CM26">
        <f>SUMIFS(T_Shipments[Confirmed_Qty],T_Shipments[RM_Code],$A26,T_Shipments[Effective_Week],90)</f>
        <v/>
      </c>
      <c r="CN26">
        <f>SUMIFS(T_Shipments[Confirmed_Qty],T_Shipments[RM_Code],$A26,T_Shipments[Effective_Week],91)</f>
        <v/>
      </c>
      <c r="CO26">
        <f>SUMIFS(T_Shipments[Confirmed_Qty],T_Shipments[RM_Code],$A26,T_Shipments[Effective_Week],92)</f>
        <v/>
      </c>
      <c r="CP26">
        <f>SUMIFS(T_Shipments[Confirmed_Qty],T_Shipments[RM_Code],$A26,T_Shipments[Effective_Week],93)</f>
        <v/>
      </c>
      <c r="CQ26">
        <f>SUMIFS(T_Shipments[Confirmed_Qty],T_Shipments[RM_Code],$A26,T_Shipments[Effective_Week],94)</f>
        <v/>
      </c>
      <c r="CR26">
        <f>SUMIFS(T_Shipments[Confirmed_Qty],T_Shipments[RM_Code],$A26,T_Shipments[Effective_Week],95)</f>
        <v/>
      </c>
      <c r="CS26">
        <f>SUMIFS(T_Shipments[Confirmed_Qty],T_Shipments[RM_Code],$A26,T_Shipments[Effective_Week],96)</f>
        <v/>
      </c>
      <c r="CT26">
        <f>SUMIFS(T_Shipments[Confirmed_Qty],T_Shipments[RM_Code],$A26,T_Shipments[Effective_Week],97)</f>
        <v/>
      </c>
      <c r="CU26">
        <f>SUMIFS(T_Shipments[Confirmed_Qty],T_Shipments[RM_Code],$A26,T_Shipments[Effective_Week],98)</f>
        <v/>
      </c>
      <c r="CV26">
        <f>SUMIFS(T_Shipments[Confirmed_Qty],T_Shipments[RM_Code],$A26,T_Shipments[Effective_Week],99)</f>
        <v/>
      </c>
      <c r="CW26">
        <f>SUMIFS(T_Shipments[Confirmed_Qty],T_Shipments[RM_Code],$A26,T_Shipments[Effective_Week],100)</f>
        <v/>
      </c>
      <c r="CX26">
        <f>SUMIFS(T_Shipments[Confirmed_Qty],T_Shipments[RM_Code],$A26,T_Shipments[Effective_Week],101)</f>
        <v/>
      </c>
      <c r="CY26">
        <f>SUMIFS(T_Shipments[Confirmed_Qty],T_Shipments[RM_Code],$A26,T_Shipments[Effective_Week],102)</f>
        <v/>
      </c>
      <c r="CZ26">
        <f>SUMIFS(T_Shipments[Confirmed_Qty],T_Shipments[RM_Code],$A26,T_Shipments[Effective_Week],103)</f>
        <v/>
      </c>
      <c r="DA26">
        <f>SUMIFS(T_Shipments[Confirmed_Qty],T_Shipments[RM_Code],$A26,T_Shipments[Effective_Week],104)</f>
        <v/>
      </c>
    </row>
    <row r="27">
      <c r="A27" t="inlineStr">
        <is>
          <t>Original Towel</t>
        </is>
      </c>
      <c r="B27">
        <f>SUMIFS(T_Shipments[Confirmed_Qty],T_Shipments[RM_Code],$A27,T_Shipments[Effective_Week],1)</f>
        <v/>
      </c>
      <c r="C27">
        <f>SUMIFS(T_Shipments[Confirmed_Qty],T_Shipments[RM_Code],$A27,T_Shipments[Effective_Week],2)</f>
        <v/>
      </c>
      <c r="D27">
        <f>SUMIFS(T_Shipments[Confirmed_Qty],T_Shipments[RM_Code],$A27,T_Shipments[Effective_Week],3)</f>
        <v/>
      </c>
      <c r="E27">
        <f>SUMIFS(T_Shipments[Confirmed_Qty],T_Shipments[RM_Code],$A27,T_Shipments[Effective_Week],4)</f>
        <v/>
      </c>
      <c r="F27">
        <f>SUMIFS(T_Shipments[Confirmed_Qty],T_Shipments[RM_Code],$A27,T_Shipments[Effective_Week],5)</f>
        <v/>
      </c>
      <c r="G27">
        <f>SUMIFS(T_Shipments[Confirmed_Qty],T_Shipments[RM_Code],$A27,T_Shipments[Effective_Week],6)</f>
        <v/>
      </c>
      <c r="H27">
        <f>SUMIFS(T_Shipments[Confirmed_Qty],T_Shipments[RM_Code],$A27,T_Shipments[Effective_Week],7)</f>
        <v/>
      </c>
      <c r="I27">
        <f>SUMIFS(T_Shipments[Confirmed_Qty],T_Shipments[RM_Code],$A27,T_Shipments[Effective_Week],8)</f>
        <v/>
      </c>
      <c r="J27">
        <f>SUMIFS(T_Shipments[Confirmed_Qty],T_Shipments[RM_Code],$A27,T_Shipments[Effective_Week],9)</f>
        <v/>
      </c>
      <c r="K27">
        <f>SUMIFS(T_Shipments[Confirmed_Qty],T_Shipments[RM_Code],$A27,T_Shipments[Effective_Week],10)</f>
        <v/>
      </c>
      <c r="L27">
        <f>SUMIFS(T_Shipments[Confirmed_Qty],T_Shipments[RM_Code],$A27,T_Shipments[Effective_Week],11)</f>
        <v/>
      </c>
      <c r="M27">
        <f>SUMIFS(T_Shipments[Confirmed_Qty],T_Shipments[RM_Code],$A27,T_Shipments[Effective_Week],12)</f>
        <v/>
      </c>
      <c r="N27">
        <f>SUMIFS(T_Shipments[Confirmed_Qty],T_Shipments[RM_Code],$A27,T_Shipments[Effective_Week],13)</f>
        <v/>
      </c>
      <c r="O27">
        <f>SUMIFS(T_Shipments[Confirmed_Qty],T_Shipments[RM_Code],$A27,T_Shipments[Effective_Week],14)</f>
        <v/>
      </c>
      <c r="P27">
        <f>SUMIFS(T_Shipments[Confirmed_Qty],T_Shipments[RM_Code],$A27,T_Shipments[Effective_Week],15)</f>
        <v/>
      </c>
      <c r="Q27">
        <f>SUMIFS(T_Shipments[Confirmed_Qty],T_Shipments[RM_Code],$A27,T_Shipments[Effective_Week],16)</f>
        <v/>
      </c>
      <c r="R27">
        <f>SUMIFS(T_Shipments[Confirmed_Qty],T_Shipments[RM_Code],$A27,T_Shipments[Effective_Week],17)</f>
        <v/>
      </c>
      <c r="S27">
        <f>SUMIFS(T_Shipments[Confirmed_Qty],T_Shipments[RM_Code],$A27,T_Shipments[Effective_Week],18)</f>
        <v/>
      </c>
      <c r="T27">
        <f>SUMIFS(T_Shipments[Confirmed_Qty],T_Shipments[RM_Code],$A27,T_Shipments[Effective_Week],19)</f>
        <v/>
      </c>
      <c r="U27">
        <f>SUMIFS(T_Shipments[Confirmed_Qty],T_Shipments[RM_Code],$A27,T_Shipments[Effective_Week],20)</f>
        <v/>
      </c>
      <c r="V27">
        <f>SUMIFS(T_Shipments[Confirmed_Qty],T_Shipments[RM_Code],$A27,T_Shipments[Effective_Week],21)</f>
        <v/>
      </c>
      <c r="W27">
        <f>SUMIFS(T_Shipments[Confirmed_Qty],T_Shipments[RM_Code],$A27,T_Shipments[Effective_Week],22)</f>
        <v/>
      </c>
      <c r="X27">
        <f>SUMIFS(T_Shipments[Confirmed_Qty],T_Shipments[RM_Code],$A27,T_Shipments[Effective_Week],23)</f>
        <v/>
      </c>
      <c r="Y27">
        <f>SUMIFS(T_Shipments[Confirmed_Qty],T_Shipments[RM_Code],$A27,T_Shipments[Effective_Week],24)</f>
        <v/>
      </c>
      <c r="Z27">
        <f>SUMIFS(T_Shipments[Confirmed_Qty],T_Shipments[RM_Code],$A27,T_Shipments[Effective_Week],25)</f>
        <v/>
      </c>
      <c r="AA27">
        <f>SUMIFS(T_Shipments[Confirmed_Qty],T_Shipments[RM_Code],$A27,T_Shipments[Effective_Week],26)</f>
        <v/>
      </c>
      <c r="AB27">
        <f>SUMIFS(T_Shipments[Confirmed_Qty],T_Shipments[RM_Code],$A27,T_Shipments[Effective_Week],27)</f>
        <v/>
      </c>
      <c r="AC27">
        <f>SUMIFS(T_Shipments[Confirmed_Qty],T_Shipments[RM_Code],$A27,T_Shipments[Effective_Week],28)</f>
        <v/>
      </c>
      <c r="AD27">
        <f>SUMIFS(T_Shipments[Confirmed_Qty],T_Shipments[RM_Code],$A27,T_Shipments[Effective_Week],29)</f>
        <v/>
      </c>
      <c r="AE27">
        <f>SUMIFS(T_Shipments[Confirmed_Qty],T_Shipments[RM_Code],$A27,T_Shipments[Effective_Week],30)</f>
        <v/>
      </c>
      <c r="AF27">
        <f>SUMIFS(T_Shipments[Confirmed_Qty],T_Shipments[RM_Code],$A27,T_Shipments[Effective_Week],31)</f>
        <v/>
      </c>
      <c r="AG27">
        <f>SUMIFS(T_Shipments[Confirmed_Qty],T_Shipments[RM_Code],$A27,T_Shipments[Effective_Week],32)</f>
        <v/>
      </c>
      <c r="AH27">
        <f>SUMIFS(T_Shipments[Confirmed_Qty],T_Shipments[RM_Code],$A27,T_Shipments[Effective_Week],33)</f>
        <v/>
      </c>
      <c r="AI27">
        <f>SUMIFS(T_Shipments[Confirmed_Qty],T_Shipments[RM_Code],$A27,T_Shipments[Effective_Week],34)</f>
        <v/>
      </c>
      <c r="AJ27">
        <f>SUMIFS(T_Shipments[Confirmed_Qty],T_Shipments[RM_Code],$A27,T_Shipments[Effective_Week],35)</f>
        <v/>
      </c>
      <c r="AK27">
        <f>SUMIFS(T_Shipments[Confirmed_Qty],T_Shipments[RM_Code],$A27,T_Shipments[Effective_Week],36)</f>
        <v/>
      </c>
      <c r="AL27">
        <f>SUMIFS(T_Shipments[Confirmed_Qty],T_Shipments[RM_Code],$A27,T_Shipments[Effective_Week],37)</f>
        <v/>
      </c>
      <c r="AM27">
        <f>SUMIFS(T_Shipments[Confirmed_Qty],T_Shipments[RM_Code],$A27,T_Shipments[Effective_Week],38)</f>
        <v/>
      </c>
      <c r="AN27">
        <f>SUMIFS(T_Shipments[Confirmed_Qty],T_Shipments[RM_Code],$A27,T_Shipments[Effective_Week],39)</f>
        <v/>
      </c>
      <c r="AO27">
        <f>SUMIFS(T_Shipments[Confirmed_Qty],T_Shipments[RM_Code],$A27,T_Shipments[Effective_Week],40)</f>
        <v/>
      </c>
      <c r="AP27">
        <f>SUMIFS(T_Shipments[Confirmed_Qty],T_Shipments[RM_Code],$A27,T_Shipments[Effective_Week],41)</f>
        <v/>
      </c>
      <c r="AQ27">
        <f>SUMIFS(T_Shipments[Confirmed_Qty],T_Shipments[RM_Code],$A27,T_Shipments[Effective_Week],42)</f>
        <v/>
      </c>
      <c r="AR27">
        <f>SUMIFS(T_Shipments[Confirmed_Qty],T_Shipments[RM_Code],$A27,T_Shipments[Effective_Week],43)</f>
        <v/>
      </c>
      <c r="AS27">
        <f>SUMIFS(T_Shipments[Confirmed_Qty],T_Shipments[RM_Code],$A27,T_Shipments[Effective_Week],44)</f>
        <v/>
      </c>
      <c r="AT27">
        <f>SUMIFS(T_Shipments[Confirmed_Qty],T_Shipments[RM_Code],$A27,T_Shipments[Effective_Week],45)</f>
        <v/>
      </c>
      <c r="AU27">
        <f>SUMIFS(T_Shipments[Confirmed_Qty],T_Shipments[RM_Code],$A27,T_Shipments[Effective_Week],46)</f>
        <v/>
      </c>
      <c r="AV27">
        <f>SUMIFS(T_Shipments[Confirmed_Qty],T_Shipments[RM_Code],$A27,T_Shipments[Effective_Week],47)</f>
        <v/>
      </c>
      <c r="AW27">
        <f>SUMIFS(T_Shipments[Confirmed_Qty],T_Shipments[RM_Code],$A27,T_Shipments[Effective_Week],48)</f>
        <v/>
      </c>
      <c r="AX27">
        <f>SUMIFS(T_Shipments[Confirmed_Qty],T_Shipments[RM_Code],$A27,T_Shipments[Effective_Week],49)</f>
        <v/>
      </c>
      <c r="AY27">
        <f>SUMIFS(T_Shipments[Confirmed_Qty],T_Shipments[RM_Code],$A27,T_Shipments[Effective_Week],50)</f>
        <v/>
      </c>
      <c r="AZ27">
        <f>SUMIFS(T_Shipments[Confirmed_Qty],T_Shipments[RM_Code],$A27,T_Shipments[Effective_Week],51)</f>
        <v/>
      </c>
      <c r="BA27">
        <f>SUMIFS(T_Shipments[Confirmed_Qty],T_Shipments[RM_Code],$A27,T_Shipments[Effective_Week],52)</f>
        <v/>
      </c>
      <c r="BB27">
        <f>SUMIFS(T_Shipments[Confirmed_Qty],T_Shipments[RM_Code],$A27,T_Shipments[Effective_Week],53)</f>
        <v/>
      </c>
      <c r="BC27">
        <f>SUMIFS(T_Shipments[Confirmed_Qty],T_Shipments[RM_Code],$A27,T_Shipments[Effective_Week],54)</f>
        <v/>
      </c>
      <c r="BD27">
        <f>SUMIFS(T_Shipments[Confirmed_Qty],T_Shipments[RM_Code],$A27,T_Shipments[Effective_Week],55)</f>
        <v/>
      </c>
      <c r="BE27">
        <f>SUMIFS(T_Shipments[Confirmed_Qty],T_Shipments[RM_Code],$A27,T_Shipments[Effective_Week],56)</f>
        <v/>
      </c>
      <c r="BF27">
        <f>SUMIFS(T_Shipments[Confirmed_Qty],T_Shipments[RM_Code],$A27,T_Shipments[Effective_Week],57)</f>
        <v/>
      </c>
      <c r="BG27">
        <f>SUMIFS(T_Shipments[Confirmed_Qty],T_Shipments[RM_Code],$A27,T_Shipments[Effective_Week],58)</f>
        <v/>
      </c>
      <c r="BH27">
        <f>SUMIFS(T_Shipments[Confirmed_Qty],T_Shipments[RM_Code],$A27,T_Shipments[Effective_Week],59)</f>
        <v/>
      </c>
      <c r="BI27">
        <f>SUMIFS(T_Shipments[Confirmed_Qty],T_Shipments[RM_Code],$A27,T_Shipments[Effective_Week],60)</f>
        <v/>
      </c>
      <c r="BJ27">
        <f>SUMIFS(T_Shipments[Confirmed_Qty],T_Shipments[RM_Code],$A27,T_Shipments[Effective_Week],61)</f>
        <v/>
      </c>
      <c r="BK27">
        <f>SUMIFS(T_Shipments[Confirmed_Qty],T_Shipments[RM_Code],$A27,T_Shipments[Effective_Week],62)</f>
        <v/>
      </c>
      <c r="BL27">
        <f>SUMIFS(T_Shipments[Confirmed_Qty],T_Shipments[RM_Code],$A27,T_Shipments[Effective_Week],63)</f>
        <v/>
      </c>
      <c r="BM27">
        <f>SUMIFS(T_Shipments[Confirmed_Qty],T_Shipments[RM_Code],$A27,T_Shipments[Effective_Week],64)</f>
        <v/>
      </c>
      <c r="BN27">
        <f>SUMIFS(T_Shipments[Confirmed_Qty],T_Shipments[RM_Code],$A27,T_Shipments[Effective_Week],65)</f>
        <v/>
      </c>
      <c r="BO27">
        <f>SUMIFS(T_Shipments[Confirmed_Qty],T_Shipments[RM_Code],$A27,T_Shipments[Effective_Week],66)</f>
        <v/>
      </c>
      <c r="BP27">
        <f>SUMIFS(T_Shipments[Confirmed_Qty],T_Shipments[RM_Code],$A27,T_Shipments[Effective_Week],67)</f>
        <v/>
      </c>
      <c r="BQ27">
        <f>SUMIFS(T_Shipments[Confirmed_Qty],T_Shipments[RM_Code],$A27,T_Shipments[Effective_Week],68)</f>
        <v/>
      </c>
      <c r="BR27">
        <f>SUMIFS(T_Shipments[Confirmed_Qty],T_Shipments[RM_Code],$A27,T_Shipments[Effective_Week],69)</f>
        <v/>
      </c>
      <c r="BS27">
        <f>SUMIFS(T_Shipments[Confirmed_Qty],T_Shipments[RM_Code],$A27,T_Shipments[Effective_Week],70)</f>
        <v/>
      </c>
      <c r="BT27">
        <f>SUMIFS(T_Shipments[Confirmed_Qty],T_Shipments[RM_Code],$A27,T_Shipments[Effective_Week],71)</f>
        <v/>
      </c>
      <c r="BU27">
        <f>SUMIFS(T_Shipments[Confirmed_Qty],T_Shipments[RM_Code],$A27,T_Shipments[Effective_Week],72)</f>
        <v/>
      </c>
      <c r="BV27">
        <f>SUMIFS(T_Shipments[Confirmed_Qty],T_Shipments[RM_Code],$A27,T_Shipments[Effective_Week],73)</f>
        <v/>
      </c>
      <c r="BW27">
        <f>SUMIFS(T_Shipments[Confirmed_Qty],T_Shipments[RM_Code],$A27,T_Shipments[Effective_Week],74)</f>
        <v/>
      </c>
      <c r="BX27">
        <f>SUMIFS(T_Shipments[Confirmed_Qty],T_Shipments[RM_Code],$A27,T_Shipments[Effective_Week],75)</f>
        <v/>
      </c>
      <c r="BY27">
        <f>SUMIFS(T_Shipments[Confirmed_Qty],T_Shipments[RM_Code],$A27,T_Shipments[Effective_Week],76)</f>
        <v/>
      </c>
      <c r="BZ27">
        <f>SUMIFS(T_Shipments[Confirmed_Qty],T_Shipments[RM_Code],$A27,T_Shipments[Effective_Week],77)</f>
        <v/>
      </c>
      <c r="CA27">
        <f>SUMIFS(T_Shipments[Confirmed_Qty],T_Shipments[RM_Code],$A27,T_Shipments[Effective_Week],78)</f>
        <v/>
      </c>
      <c r="CB27">
        <f>SUMIFS(T_Shipments[Confirmed_Qty],T_Shipments[RM_Code],$A27,T_Shipments[Effective_Week],79)</f>
        <v/>
      </c>
      <c r="CC27">
        <f>SUMIFS(T_Shipments[Confirmed_Qty],T_Shipments[RM_Code],$A27,T_Shipments[Effective_Week],80)</f>
        <v/>
      </c>
      <c r="CD27">
        <f>SUMIFS(T_Shipments[Confirmed_Qty],T_Shipments[RM_Code],$A27,T_Shipments[Effective_Week],81)</f>
        <v/>
      </c>
      <c r="CE27">
        <f>SUMIFS(T_Shipments[Confirmed_Qty],T_Shipments[RM_Code],$A27,T_Shipments[Effective_Week],82)</f>
        <v/>
      </c>
      <c r="CF27">
        <f>SUMIFS(T_Shipments[Confirmed_Qty],T_Shipments[RM_Code],$A27,T_Shipments[Effective_Week],83)</f>
        <v/>
      </c>
      <c r="CG27">
        <f>SUMIFS(T_Shipments[Confirmed_Qty],T_Shipments[RM_Code],$A27,T_Shipments[Effective_Week],84)</f>
        <v/>
      </c>
      <c r="CH27">
        <f>SUMIFS(T_Shipments[Confirmed_Qty],T_Shipments[RM_Code],$A27,T_Shipments[Effective_Week],85)</f>
        <v/>
      </c>
      <c r="CI27">
        <f>SUMIFS(T_Shipments[Confirmed_Qty],T_Shipments[RM_Code],$A27,T_Shipments[Effective_Week],86)</f>
        <v/>
      </c>
      <c r="CJ27">
        <f>SUMIFS(T_Shipments[Confirmed_Qty],T_Shipments[RM_Code],$A27,T_Shipments[Effective_Week],87)</f>
        <v/>
      </c>
      <c r="CK27">
        <f>SUMIFS(T_Shipments[Confirmed_Qty],T_Shipments[RM_Code],$A27,T_Shipments[Effective_Week],88)</f>
        <v/>
      </c>
      <c r="CL27">
        <f>SUMIFS(T_Shipments[Confirmed_Qty],T_Shipments[RM_Code],$A27,T_Shipments[Effective_Week],89)</f>
        <v/>
      </c>
      <c r="CM27">
        <f>SUMIFS(T_Shipments[Confirmed_Qty],T_Shipments[RM_Code],$A27,T_Shipments[Effective_Week],90)</f>
        <v/>
      </c>
      <c r="CN27">
        <f>SUMIFS(T_Shipments[Confirmed_Qty],T_Shipments[RM_Code],$A27,T_Shipments[Effective_Week],91)</f>
        <v/>
      </c>
      <c r="CO27">
        <f>SUMIFS(T_Shipments[Confirmed_Qty],T_Shipments[RM_Code],$A27,T_Shipments[Effective_Week],92)</f>
        <v/>
      </c>
      <c r="CP27">
        <f>SUMIFS(T_Shipments[Confirmed_Qty],T_Shipments[RM_Code],$A27,T_Shipments[Effective_Week],93)</f>
        <v/>
      </c>
      <c r="CQ27">
        <f>SUMIFS(T_Shipments[Confirmed_Qty],T_Shipments[RM_Code],$A27,T_Shipments[Effective_Week],94)</f>
        <v/>
      </c>
      <c r="CR27">
        <f>SUMIFS(T_Shipments[Confirmed_Qty],T_Shipments[RM_Code],$A27,T_Shipments[Effective_Week],95)</f>
        <v/>
      </c>
      <c r="CS27">
        <f>SUMIFS(T_Shipments[Confirmed_Qty],T_Shipments[RM_Code],$A27,T_Shipments[Effective_Week],96)</f>
        <v/>
      </c>
      <c r="CT27">
        <f>SUMIFS(T_Shipments[Confirmed_Qty],T_Shipments[RM_Code],$A27,T_Shipments[Effective_Week],97)</f>
        <v/>
      </c>
      <c r="CU27">
        <f>SUMIFS(T_Shipments[Confirmed_Qty],T_Shipments[RM_Code],$A27,T_Shipments[Effective_Week],98)</f>
        <v/>
      </c>
      <c r="CV27">
        <f>SUMIFS(T_Shipments[Confirmed_Qty],T_Shipments[RM_Code],$A27,T_Shipments[Effective_Week],99)</f>
        <v/>
      </c>
      <c r="CW27">
        <f>SUMIFS(T_Shipments[Confirmed_Qty],T_Shipments[RM_Code],$A27,T_Shipments[Effective_Week],100)</f>
        <v/>
      </c>
      <c r="CX27">
        <f>SUMIFS(T_Shipments[Confirmed_Qty],T_Shipments[RM_Code],$A27,T_Shipments[Effective_Week],101)</f>
        <v/>
      </c>
      <c r="CY27">
        <f>SUMIFS(T_Shipments[Confirmed_Qty],T_Shipments[RM_Code],$A27,T_Shipments[Effective_Week],102)</f>
        <v/>
      </c>
      <c r="CZ27">
        <f>SUMIFS(T_Shipments[Confirmed_Qty],T_Shipments[RM_Code],$A27,T_Shipments[Effective_Week],103)</f>
        <v/>
      </c>
      <c r="DA27">
        <f>SUMIFS(T_Shipments[Confirmed_Qty],T_Shipments[RM_Code],$A27,T_Shipments[Effective_Week],104)</f>
        <v/>
      </c>
    </row>
    <row r="28">
      <c r="A28" t="inlineStr">
        <is>
          <t>0LJ</t>
        </is>
      </c>
      <c r="B28">
        <f>SUMIFS(T_Shipments[Confirmed_Qty],T_Shipments[RM_Code],$A28,T_Shipments[Effective_Week],1)</f>
        <v/>
      </c>
      <c r="C28">
        <f>SUMIFS(T_Shipments[Confirmed_Qty],T_Shipments[RM_Code],$A28,T_Shipments[Effective_Week],2)</f>
        <v/>
      </c>
      <c r="D28">
        <f>SUMIFS(T_Shipments[Confirmed_Qty],T_Shipments[RM_Code],$A28,T_Shipments[Effective_Week],3)</f>
        <v/>
      </c>
      <c r="E28">
        <f>SUMIFS(T_Shipments[Confirmed_Qty],T_Shipments[RM_Code],$A28,T_Shipments[Effective_Week],4)</f>
        <v/>
      </c>
      <c r="F28">
        <f>SUMIFS(T_Shipments[Confirmed_Qty],T_Shipments[RM_Code],$A28,T_Shipments[Effective_Week],5)</f>
        <v/>
      </c>
      <c r="G28">
        <f>SUMIFS(T_Shipments[Confirmed_Qty],T_Shipments[RM_Code],$A28,T_Shipments[Effective_Week],6)</f>
        <v/>
      </c>
      <c r="H28">
        <f>SUMIFS(T_Shipments[Confirmed_Qty],T_Shipments[RM_Code],$A28,T_Shipments[Effective_Week],7)</f>
        <v/>
      </c>
      <c r="I28">
        <f>SUMIFS(T_Shipments[Confirmed_Qty],T_Shipments[RM_Code],$A28,T_Shipments[Effective_Week],8)</f>
        <v/>
      </c>
      <c r="J28">
        <f>SUMIFS(T_Shipments[Confirmed_Qty],T_Shipments[RM_Code],$A28,T_Shipments[Effective_Week],9)</f>
        <v/>
      </c>
      <c r="K28">
        <f>SUMIFS(T_Shipments[Confirmed_Qty],T_Shipments[RM_Code],$A28,T_Shipments[Effective_Week],10)</f>
        <v/>
      </c>
      <c r="L28">
        <f>SUMIFS(T_Shipments[Confirmed_Qty],T_Shipments[RM_Code],$A28,T_Shipments[Effective_Week],11)</f>
        <v/>
      </c>
      <c r="M28">
        <f>SUMIFS(T_Shipments[Confirmed_Qty],T_Shipments[RM_Code],$A28,T_Shipments[Effective_Week],12)</f>
        <v/>
      </c>
      <c r="N28">
        <f>SUMIFS(T_Shipments[Confirmed_Qty],T_Shipments[RM_Code],$A28,T_Shipments[Effective_Week],13)</f>
        <v/>
      </c>
      <c r="O28">
        <f>SUMIFS(T_Shipments[Confirmed_Qty],T_Shipments[RM_Code],$A28,T_Shipments[Effective_Week],14)</f>
        <v/>
      </c>
      <c r="P28">
        <f>SUMIFS(T_Shipments[Confirmed_Qty],T_Shipments[RM_Code],$A28,T_Shipments[Effective_Week],15)</f>
        <v/>
      </c>
      <c r="Q28">
        <f>SUMIFS(T_Shipments[Confirmed_Qty],T_Shipments[RM_Code],$A28,T_Shipments[Effective_Week],16)</f>
        <v/>
      </c>
      <c r="R28">
        <f>SUMIFS(T_Shipments[Confirmed_Qty],T_Shipments[RM_Code],$A28,T_Shipments[Effective_Week],17)</f>
        <v/>
      </c>
      <c r="S28">
        <f>SUMIFS(T_Shipments[Confirmed_Qty],T_Shipments[RM_Code],$A28,T_Shipments[Effective_Week],18)</f>
        <v/>
      </c>
      <c r="T28">
        <f>SUMIFS(T_Shipments[Confirmed_Qty],T_Shipments[RM_Code],$A28,T_Shipments[Effective_Week],19)</f>
        <v/>
      </c>
      <c r="U28">
        <f>SUMIFS(T_Shipments[Confirmed_Qty],T_Shipments[RM_Code],$A28,T_Shipments[Effective_Week],20)</f>
        <v/>
      </c>
      <c r="V28">
        <f>SUMIFS(T_Shipments[Confirmed_Qty],T_Shipments[RM_Code],$A28,T_Shipments[Effective_Week],21)</f>
        <v/>
      </c>
      <c r="W28">
        <f>SUMIFS(T_Shipments[Confirmed_Qty],T_Shipments[RM_Code],$A28,T_Shipments[Effective_Week],22)</f>
        <v/>
      </c>
      <c r="X28">
        <f>SUMIFS(T_Shipments[Confirmed_Qty],T_Shipments[RM_Code],$A28,T_Shipments[Effective_Week],23)</f>
        <v/>
      </c>
      <c r="Y28">
        <f>SUMIFS(T_Shipments[Confirmed_Qty],T_Shipments[RM_Code],$A28,T_Shipments[Effective_Week],24)</f>
        <v/>
      </c>
      <c r="Z28">
        <f>SUMIFS(T_Shipments[Confirmed_Qty],T_Shipments[RM_Code],$A28,T_Shipments[Effective_Week],25)</f>
        <v/>
      </c>
      <c r="AA28">
        <f>SUMIFS(T_Shipments[Confirmed_Qty],T_Shipments[RM_Code],$A28,T_Shipments[Effective_Week],26)</f>
        <v/>
      </c>
      <c r="AB28">
        <f>SUMIFS(T_Shipments[Confirmed_Qty],T_Shipments[RM_Code],$A28,T_Shipments[Effective_Week],27)</f>
        <v/>
      </c>
      <c r="AC28">
        <f>SUMIFS(T_Shipments[Confirmed_Qty],T_Shipments[RM_Code],$A28,T_Shipments[Effective_Week],28)</f>
        <v/>
      </c>
      <c r="AD28">
        <f>SUMIFS(T_Shipments[Confirmed_Qty],T_Shipments[RM_Code],$A28,T_Shipments[Effective_Week],29)</f>
        <v/>
      </c>
      <c r="AE28">
        <f>SUMIFS(T_Shipments[Confirmed_Qty],T_Shipments[RM_Code],$A28,T_Shipments[Effective_Week],30)</f>
        <v/>
      </c>
      <c r="AF28">
        <f>SUMIFS(T_Shipments[Confirmed_Qty],T_Shipments[RM_Code],$A28,T_Shipments[Effective_Week],31)</f>
        <v/>
      </c>
      <c r="AG28">
        <f>SUMIFS(T_Shipments[Confirmed_Qty],T_Shipments[RM_Code],$A28,T_Shipments[Effective_Week],32)</f>
        <v/>
      </c>
      <c r="AH28">
        <f>SUMIFS(T_Shipments[Confirmed_Qty],T_Shipments[RM_Code],$A28,T_Shipments[Effective_Week],33)</f>
        <v/>
      </c>
      <c r="AI28">
        <f>SUMIFS(T_Shipments[Confirmed_Qty],T_Shipments[RM_Code],$A28,T_Shipments[Effective_Week],34)</f>
        <v/>
      </c>
      <c r="AJ28">
        <f>SUMIFS(T_Shipments[Confirmed_Qty],T_Shipments[RM_Code],$A28,T_Shipments[Effective_Week],35)</f>
        <v/>
      </c>
      <c r="AK28">
        <f>SUMIFS(T_Shipments[Confirmed_Qty],T_Shipments[RM_Code],$A28,T_Shipments[Effective_Week],36)</f>
        <v/>
      </c>
      <c r="AL28">
        <f>SUMIFS(T_Shipments[Confirmed_Qty],T_Shipments[RM_Code],$A28,T_Shipments[Effective_Week],37)</f>
        <v/>
      </c>
      <c r="AM28">
        <f>SUMIFS(T_Shipments[Confirmed_Qty],T_Shipments[RM_Code],$A28,T_Shipments[Effective_Week],38)</f>
        <v/>
      </c>
      <c r="AN28">
        <f>SUMIFS(T_Shipments[Confirmed_Qty],T_Shipments[RM_Code],$A28,T_Shipments[Effective_Week],39)</f>
        <v/>
      </c>
      <c r="AO28">
        <f>SUMIFS(T_Shipments[Confirmed_Qty],T_Shipments[RM_Code],$A28,T_Shipments[Effective_Week],40)</f>
        <v/>
      </c>
      <c r="AP28">
        <f>SUMIFS(T_Shipments[Confirmed_Qty],T_Shipments[RM_Code],$A28,T_Shipments[Effective_Week],41)</f>
        <v/>
      </c>
      <c r="AQ28">
        <f>SUMIFS(T_Shipments[Confirmed_Qty],T_Shipments[RM_Code],$A28,T_Shipments[Effective_Week],42)</f>
        <v/>
      </c>
      <c r="AR28">
        <f>SUMIFS(T_Shipments[Confirmed_Qty],T_Shipments[RM_Code],$A28,T_Shipments[Effective_Week],43)</f>
        <v/>
      </c>
      <c r="AS28">
        <f>SUMIFS(T_Shipments[Confirmed_Qty],T_Shipments[RM_Code],$A28,T_Shipments[Effective_Week],44)</f>
        <v/>
      </c>
      <c r="AT28">
        <f>SUMIFS(T_Shipments[Confirmed_Qty],T_Shipments[RM_Code],$A28,T_Shipments[Effective_Week],45)</f>
        <v/>
      </c>
      <c r="AU28">
        <f>SUMIFS(T_Shipments[Confirmed_Qty],T_Shipments[RM_Code],$A28,T_Shipments[Effective_Week],46)</f>
        <v/>
      </c>
      <c r="AV28">
        <f>SUMIFS(T_Shipments[Confirmed_Qty],T_Shipments[RM_Code],$A28,T_Shipments[Effective_Week],47)</f>
        <v/>
      </c>
      <c r="AW28">
        <f>SUMIFS(T_Shipments[Confirmed_Qty],T_Shipments[RM_Code],$A28,T_Shipments[Effective_Week],48)</f>
        <v/>
      </c>
      <c r="AX28">
        <f>SUMIFS(T_Shipments[Confirmed_Qty],T_Shipments[RM_Code],$A28,T_Shipments[Effective_Week],49)</f>
        <v/>
      </c>
      <c r="AY28">
        <f>SUMIFS(T_Shipments[Confirmed_Qty],T_Shipments[RM_Code],$A28,T_Shipments[Effective_Week],50)</f>
        <v/>
      </c>
      <c r="AZ28">
        <f>SUMIFS(T_Shipments[Confirmed_Qty],T_Shipments[RM_Code],$A28,T_Shipments[Effective_Week],51)</f>
        <v/>
      </c>
      <c r="BA28">
        <f>SUMIFS(T_Shipments[Confirmed_Qty],T_Shipments[RM_Code],$A28,T_Shipments[Effective_Week],52)</f>
        <v/>
      </c>
      <c r="BB28">
        <f>SUMIFS(T_Shipments[Confirmed_Qty],T_Shipments[RM_Code],$A28,T_Shipments[Effective_Week],53)</f>
        <v/>
      </c>
      <c r="BC28">
        <f>SUMIFS(T_Shipments[Confirmed_Qty],T_Shipments[RM_Code],$A28,T_Shipments[Effective_Week],54)</f>
        <v/>
      </c>
      <c r="BD28">
        <f>SUMIFS(T_Shipments[Confirmed_Qty],T_Shipments[RM_Code],$A28,T_Shipments[Effective_Week],55)</f>
        <v/>
      </c>
      <c r="BE28">
        <f>SUMIFS(T_Shipments[Confirmed_Qty],T_Shipments[RM_Code],$A28,T_Shipments[Effective_Week],56)</f>
        <v/>
      </c>
      <c r="BF28">
        <f>SUMIFS(T_Shipments[Confirmed_Qty],T_Shipments[RM_Code],$A28,T_Shipments[Effective_Week],57)</f>
        <v/>
      </c>
      <c r="BG28">
        <f>SUMIFS(T_Shipments[Confirmed_Qty],T_Shipments[RM_Code],$A28,T_Shipments[Effective_Week],58)</f>
        <v/>
      </c>
      <c r="BH28">
        <f>SUMIFS(T_Shipments[Confirmed_Qty],T_Shipments[RM_Code],$A28,T_Shipments[Effective_Week],59)</f>
        <v/>
      </c>
      <c r="BI28">
        <f>SUMIFS(T_Shipments[Confirmed_Qty],T_Shipments[RM_Code],$A28,T_Shipments[Effective_Week],60)</f>
        <v/>
      </c>
      <c r="BJ28">
        <f>SUMIFS(T_Shipments[Confirmed_Qty],T_Shipments[RM_Code],$A28,T_Shipments[Effective_Week],61)</f>
        <v/>
      </c>
      <c r="BK28">
        <f>SUMIFS(T_Shipments[Confirmed_Qty],T_Shipments[RM_Code],$A28,T_Shipments[Effective_Week],62)</f>
        <v/>
      </c>
      <c r="BL28">
        <f>SUMIFS(T_Shipments[Confirmed_Qty],T_Shipments[RM_Code],$A28,T_Shipments[Effective_Week],63)</f>
        <v/>
      </c>
      <c r="BM28">
        <f>SUMIFS(T_Shipments[Confirmed_Qty],T_Shipments[RM_Code],$A28,T_Shipments[Effective_Week],64)</f>
        <v/>
      </c>
      <c r="BN28">
        <f>SUMIFS(T_Shipments[Confirmed_Qty],T_Shipments[RM_Code],$A28,T_Shipments[Effective_Week],65)</f>
        <v/>
      </c>
      <c r="BO28">
        <f>SUMIFS(T_Shipments[Confirmed_Qty],T_Shipments[RM_Code],$A28,T_Shipments[Effective_Week],66)</f>
        <v/>
      </c>
      <c r="BP28">
        <f>SUMIFS(T_Shipments[Confirmed_Qty],T_Shipments[RM_Code],$A28,T_Shipments[Effective_Week],67)</f>
        <v/>
      </c>
      <c r="BQ28">
        <f>SUMIFS(T_Shipments[Confirmed_Qty],T_Shipments[RM_Code],$A28,T_Shipments[Effective_Week],68)</f>
        <v/>
      </c>
      <c r="BR28">
        <f>SUMIFS(T_Shipments[Confirmed_Qty],T_Shipments[RM_Code],$A28,T_Shipments[Effective_Week],69)</f>
        <v/>
      </c>
      <c r="BS28">
        <f>SUMIFS(T_Shipments[Confirmed_Qty],T_Shipments[RM_Code],$A28,T_Shipments[Effective_Week],70)</f>
        <v/>
      </c>
      <c r="BT28">
        <f>SUMIFS(T_Shipments[Confirmed_Qty],T_Shipments[RM_Code],$A28,T_Shipments[Effective_Week],71)</f>
        <v/>
      </c>
      <c r="BU28">
        <f>SUMIFS(T_Shipments[Confirmed_Qty],T_Shipments[RM_Code],$A28,T_Shipments[Effective_Week],72)</f>
        <v/>
      </c>
      <c r="BV28">
        <f>SUMIFS(T_Shipments[Confirmed_Qty],T_Shipments[RM_Code],$A28,T_Shipments[Effective_Week],73)</f>
        <v/>
      </c>
      <c r="BW28">
        <f>SUMIFS(T_Shipments[Confirmed_Qty],T_Shipments[RM_Code],$A28,T_Shipments[Effective_Week],74)</f>
        <v/>
      </c>
      <c r="BX28">
        <f>SUMIFS(T_Shipments[Confirmed_Qty],T_Shipments[RM_Code],$A28,T_Shipments[Effective_Week],75)</f>
        <v/>
      </c>
      <c r="BY28">
        <f>SUMIFS(T_Shipments[Confirmed_Qty],T_Shipments[RM_Code],$A28,T_Shipments[Effective_Week],76)</f>
        <v/>
      </c>
      <c r="BZ28">
        <f>SUMIFS(T_Shipments[Confirmed_Qty],T_Shipments[RM_Code],$A28,T_Shipments[Effective_Week],77)</f>
        <v/>
      </c>
      <c r="CA28">
        <f>SUMIFS(T_Shipments[Confirmed_Qty],T_Shipments[RM_Code],$A28,T_Shipments[Effective_Week],78)</f>
        <v/>
      </c>
      <c r="CB28">
        <f>SUMIFS(T_Shipments[Confirmed_Qty],T_Shipments[RM_Code],$A28,T_Shipments[Effective_Week],79)</f>
        <v/>
      </c>
      <c r="CC28">
        <f>SUMIFS(T_Shipments[Confirmed_Qty],T_Shipments[RM_Code],$A28,T_Shipments[Effective_Week],80)</f>
        <v/>
      </c>
      <c r="CD28">
        <f>SUMIFS(T_Shipments[Confirmed_Qty],T_Shipments[RM_Code],$A28,T_Shipments[Effective_Week],81)</f>
        <v/>
      </c>
      <c r="CE28">
        <f>SUMIFS(T_Shipments[Confirmed_Qty],T_Shipments[RM_Code],$A28,T_Shipments[Effective_Week],82)</f>
        <v/>
      </c>
      <c r="CF28">
        <f>SUMIFS(T_Shipments[Confirmed_Qty],T_Shipments[RM_Code],$A28,T_Shipments[Effective_Week],83)</f>
        <v/>
      </c>
      <c r="CG28">
        <f>SUMIFS(T_Shipments[Confirmed_Qty],T_Shipments[RM_Code],$A28,T_Shipments[Effective_Week],84)</f>
        <v/>
      </c>
      <c r="CH28">
        <f>SUMIFS(T_Shipments[Confirmed_Qty],T_Shipments[RM_Code],$A28,T_Shipments[Effective_Week],85)</f>
        <v/>
      </c>
      <c r="CI28">
        <f>SUMIFS(T_Shipments[Confirmed_Qty],T_Shipments[RM_Code],$A28,T_Shipments[Effective_Week],86)</f>
        <v/>
      </c>
      <c r="CJ28">
        <f>SUMIFS(T_Shipments[Confirmed_Qty],T_Shipments[RM_Code],$A28,T_Shipments[Effective_Week],87)</f>
        <v/>
      </c>
      <c r="CK28">
        <f>SUMIFS(T_Shipments[Confirmed_Qty],T_Shipments[RM_Code],$A28,T_Shipments[Effective_Week],88)</f>
        <v/>
      </c>
      <c r="CL28">
        <f>SUMIFS(T_Shipments[Confirmed_Qty],T_Shipments[RM_Code],$A28,T_Shipments[Effective_Week],89)</f>
        <v/>
      </c>
      <c r="CM28">
        <f>SUMIFS(T_Shipments[Confirmed_Qty],T_Shipments[RM_Code],$A28,T_Shipments[Effective_Week],90)</f>
        <v/>
      </c>
      <c r="CN28">
        <f>SUMIFS(T_Shipments[Confirmed_Qty],T_Shipments[RM_Code],$A28,T_Shipments[Effective_Week],91)</f>
        <v/>
      </c>
      <c r="CO28">
        <f>SUMIFS(T_Shipments[Confirmed_Qty],T_Shipments[RM_Code],$A28,T_Shipments[Effective_Week],92)</f>
        <v/>
      </c>
      <c r="CP28">
        <f>SUMIFS(T_Shipments[Confirmed_Qty],T_Shipments[RM_Code],$A28,T_Shipments[Effective_Week],93)</f>
        <v/>
      </c>
      <c r="CQ28">
        <f>SUMIFS(T_Shipments[Confirmed_Qty],T_Shipments[RM_Code],$A28,T_Shipments[Effective_Week],94)</f>
        <v/>
      </c>
      <c r="CR28">
        <f>SUMIFS(T_Shipments[Confirmed_Qty],T_Shipments[RM_Code],$A28,T_Shipments[Effective_Week],95)</f>
        <v/>
      </c>
      <c r="CS28">
        <f>SUMIFS(T_Shipments[Confirmed_Qty],T_Shipments[RM_Code],$A28,T_Shipments[Effective_Week],96)</f>
        <v/>
      </c>
      <c r="CT28">
        <f>SUMIFS(T_Shipments[Confirmed_Qty],T_Shipments[RM_Code],$A28,T_Shipments[Effective_Week],97)</f>
        <v/>
      </c>
      <c r="CU28">
        <f>SUMIFS(T_Shipments[Confirmed_Qty],T_Shipments[RM_Code],$A28,T_Shipments[Effective_Week],98)</f>
        <v/>
      </c>
      <c r="CV28">
        <f>SUMIFS(T_Shipments[Confirmed_Qty],T_Shipments[RM_Code],$A28,T_Shipments[Effective_Week],99)</f>
        <v/>
      </c>
      <c r="CW28">
        <f>SUMIFS(T_Shipments[Confirmed_Qty],T_Shipments[RM_Code],$A28,T_Shipments[Effective_Week],100)</f>
        <v/>
      </c>
      <c r="CX28">
        <f>SUMIFS(T_Shipments[Confirmed_Qty],T_Shipments[RM_Code],$A28,T_Shipments[Effective_Week],101)</f>
        <v/>
      </c>
      <c r="CY28">
        <f>SUMIFS(T_Shipments[Confirmed_Qty],T_Shipments[RM_Code],$A28,T_Shipments[Effective_Week],102)</f>
        <v/>
      </c>
      <c r="CZ28">
        <f>SUMIFS(T_Shipments[Confirmed_Qty],T_Shipments[RM_Code],$A28,T_Shipments[Effective_Week],103)</f>
        <v/>
      </c>
      <c r="DA28">
        <f>SUMIFS(T_Shipments[Confirmed_Qty],T_Shipments[RM_Code],$A28,T_Shipments[Effective_Week],104)</f>
        <v/>
      </c>
    </row>
    <row r="29">
      <c r="A29" t="inlineStr">
        <is>
          <t>PP FILM</t>
        </is>
      </c>
      <c r="B29">
        <f>SUMIFS(T_Shipments[Confirmed_Qty],T_Shipments[RM_Code],$A29,T_Shipments[Effective_Week],1)</f>
        <v/>
      </c>
      <c r="C29">
        <f>SUMIFS(T_Shipments[Confirmed_Qty],T_Shipments[RM_Code],$A29,T_Shipments[Effective_Week],2)</f>
        <v/>
      </c>
      <c r="D29">
        <f>SUMIFS(T_Shipments[Confirmed_Qty],T_Shipments[RM_Code],$A29,T_Shipments[Effective_Week],3)</f>
        <v/>
      </c>
      <c r="E29">
        <f>SUMIFS(T_Shipments[Confirmed_Qty],T_Shipments[RM_Code],$A29,T_Shipments[Effective_Week],4)</f>
        <v/>
      </c>
      <c r="F29">
        <f>SUMIFS(T_Shipments[Confirmed_Qty],T_Shipments[RM_Code],$A29,T_Shipments[Effective_Week],5)</f>
        <v/>
      </c>
      <c r="G29">
        <f>SUMIFS(T_Shipments[Confirmed_Qty],T_Shipments[RM_Code],$A29,T_Shipments[Effective_Week],6)</f>
        <v/>
      </c>
      <c r="H29">
        <f>SUMIFS(T_Shipments[Confirmed_Qty],T_Shipments[RM_Code],$A29,T_Shipments[Effective_Week],7)</f>
        <v/>
      </c>
      <c r="I29">
        <f>SUMIFS(T_Shipments[Confirmed_Qty],T_Shipments[RM_Code],$A29,T_Shipments[Effective_Week],8)</f>
        <v/>
      </c>
      <c r="J29">
        <f>SUMIFS(T_Shipments[Confirmed_Qty],T_Shipments[RM_Code],$A29,T_Shipments[Effective_Week],9)</f>
        <v/>
      </c>
      <c r="K29">
        <f>SUMIFS(T_Shipments[Confirmed_Qty],T_Shipments[RM_Code],$A29,T_Shipments[Effective_Week],10)</f>
        <v/>
      </c>
      <c r="L29">
        <f>SUMIFS(T_Shipments[Confirmed_Qty],T_Shipments[RM_Code],$A29,T_Shipments[Effective_Week],11)</f>
        <v/>
      </c>
      <c r="M29">
        <f>SUMIFS(T_Shipments[Confirmed_Qty],T_Shipments[RM_Code],$A29,T_Shipments[Effective_Week],12)</f>
        <v/>
      </c>
      <c r="N29">
        <f>SUMIFS(T_Shipments[Confirmed_Qty],T_Shipments[RM_Code],$A29,T_Shipments[Effective_Week],13)</f>
        <v/>
      </c>
      <c r="O29">
        <f>SUMIFS(T_Shipments[Confirmed_Qty],T_Shipments[RM_Code],$A29,T_Shipments[Effective_Week],14)</f>
        <v/>
      </c>
      <c r="P29">
        <f>SUMIFS(T_Shipments[Confirmed_Qty],T_Shipments[RM_Code],$A29,T_Shipments[Effective_Week],15)</f>
        <v/>
      </c>
      <c r="Q29">
        <f>SUMIFS(T_Shipments[Confirmed_Qty],T_Shipments[RM_Code],$A29,T_Shipments[Effective_Week],16)</f>
        <v/>
      </c>
      <c r="R29">
        <f>SUMIFS(T_Shipments[Confirmed_Qty],T_Shipments[RM_Code],$A29,T_Shipments[Effective_Week],17)</f>
        <v/>
      </c>
      <c r="S29">
        <f>SUMIFS(T_Shipments[Confirmed_Qty],T_Shipments[RM_Code],$A29,T_Shipments[Effective_Week],18)</f>
        <v/>
      </c>
      <c r="T29">
        <f>SUMIFS(T_Shipments[Confirmed_Qty],T_Shipments[RM_Code],$A29,T_Shipments[Effective_Week],19)</f>
        <v/>
      </c>
      <c r="U29">
        <f>SUMIFS(T_Shipments[Confirmed_Qty],T_Shipments[RM_Code],$A29,T_Shipments[Effective_Week],20)</f>
        <v/>
      </c>
      <c r="V29">
        <f>SUMIFS(T_Shipments[Confirmed_Qty],T_Shipments[RM_Code],$A29,T_Shipments[Effective_Week],21)</f>
        <v/>
      </c>
      <c r="W29">
        <f>SUMIFS(T_Shipments[Confirmed_Qty],T_Shipments[RM_Code],$A29,T_Shipments[Effective_Week],22)</f>
        <v/>
      </c>
      <c r="X29">
        <f>SUMIFS(T_Shipments[Confirmed_Qty],T_Shipments[RM_Code],$A29,T_Shipments[Effective_Week],23)</f>
        <v/>
      </c>
      <c r="Y29">
        <f>SUMIFS(T_Shipments[Confirmed_Qty],T_Shipments[RM_Code],$A29,T_Shipments[Effective_Week],24)</f>
        <v/>
      </c>
      <c r="Z29">
        <f>SUMIFS(T_Shipments[Confirmed_Qty],T_Shipments[RM_Code],$A29,T_Shipments[Effective_Week],25)</f>
        <v/>
      </c>
      <c r="AA29">
        <f>SUMIFS(T_Shipments[Confirmed_Qty],T_Shipments[RM_Code],$A29,T_Shipments[Effective_Week],26)</f>
        <v/>
      </c>
      <c r="AB29">
        <f>SUMIFS(T_Shipments[Confirmed_Qty],T_Shipments[RM_Code],$A29,T_Shipments[Effective_Week],27)</f>
        <v/>
      </c>
      <c r="AC29">
        <f>SUMIFS(T_Shipments[Confirmed_Qty],T_Shipments[RM_Code],$A29,T_Shipments[Effective_Week],28)</f>
        <v/>
      </c>
      <c r="AD29">
        <f>SUMIFS(T_Shipments[Confirmed_Qty],T_Shipments[RM_Code],$A29,T_Shipments[Effective_Week],29)</f>
        <v/>
      </c>
      <c r="AE29">
        <f>SUMIFS(T_Shipments[Confirmed_Qty],T_Shipments[RM_Code],$A29,T_Shipments[Effective_Week],30)</f>
        <v/>
      </c>
      <c r="AF29">
        <f>SUMIFS(T_Shipments[Confirmed_Qty],T_Shipments[RM_Code],$A29,T_Shipments[Effective_Week],31)</f>
        <v/>
      </c>
      <c r="AG29">
        <f>SUMIFS(T_Shipments[Confirmed_Qty],T_Shipments[RM_Code],$A29,T_Shipments[Effective_Week],32)</f>
        <v/>
      </c>
      <c r="AH29">
        <f>SUMIFS(T_Shipments[Confirmed_Qty],T_Shipments[RM_Code],$A29,T_Shipments[Effective_Week],33)</f>
        <v/>
      </c>
      <c r="AI29">
        <f>SUMIFS(T_Shipments[Confirmed_Qty],T_Shipments[RM_Code],$A29,T_Shipments[Effective_Week],34)</f>
        <v/>
      </c>
      <c r="AJ29">
        <f>SUMIFS(T_Shipments[Confirmed_Qty],T_Shipments[RM_Code],$A29,T_Shipments[Effective_Week],35)</f>
        <v/>
      </c>
      <c r="AK29">
        <f>SUMIFS(T_Shipments[Confirmed_Qty],T_Shipments[RM_Code],$A29,T_Shipments[Effective_Week],36)</f>
        <v/>
      </c>
      <c r="AL29">
        <f>SUMIFS(T_Shipments[Confirmed_Qty],T_Shipments[RM_Code],$A29,T_Shipments[Effective_Week],37)</f>
        <v/>
      </c>
      <c r="AM29">
        <f>SUMIFS(T_Shipments[Confirmed_Qty],T_Shipments[RM_Code],$A29,T_Shipments[Effective_Week],38)</f>
        <v/>
      </c>
      <c r="AN29">
        <f>SUMIFS(T_Shipments[Confirmed_Qty],T_Shipments[RM_Code],$A29,T_Shipments[Effective_Week],39)</f>
        <v/>
      </c>
      <c r="AO29">
        <f>SUMIFS(T_Shipments[Confirmed_Qty],T_Shipments[RM_Code],$A29,T_Shipments[Effective_Week],40)</f>
        <v/>
      </c>
      <c r="AP29">
        <f>SUMIFS(T_Shipments[Confirmed_Qty],T_Shipments[RM_Code],$A29,T_Shipments[Effective_Week],41)</f>
        <v/>
      </c>
      <c r="AQ29">
        <f>SUMIFS(T_Shipments[Confirmed_Qty],T_Shipments[RM_Code],$A29,T_Shipments[Effective_Week],42)</f>
        <v/>
      </c>
      <c r="AR29">
        <f>SUMIFS(T_Shipments[Confirmed_Qty],T_Shipments[RM_Code],$A29,T_Shipments[Effective_Week],43)</f>
        <v/>
      </c>
      <c r="AS29">
        <f>SUMIFS(T_Shipments[Confirmed_Qty],T_Shipments[RM_Code],$A29,T_Shipments[Effective_Week],44)</f>
        <v/>
      </c>
      <c r="AT29">
        <f>SUMIFS(T_Shipments[Confirmed_Qty],T_Shipments[RM_Code],$A29,T_Shipments[Effective_Week],45)</f>
        <v/>
      </c>
      <c r="AU29">
        <f>SUMIFS(T_Shipments[Confirmed_Qty],T_Shipments[RM_Code],$A29,T_Shipments[Effective_Week],46)</f>
        <v/>
      </c>
      <c r="AV29">
        <f>SUMIFS(T_Shipments[Confirmed_Qty],T_Shipments[RM_Code],$A29,T_Shipments[Effective_Week],47)</f>
        <v/>
      </c>
      <c r="AW29">
        <f>SUMIFS(T_Shipments[Confirmed_Qty],T_Shipments[RM_Code],$A29,T_Shipments[Effective_Week],48)</f>
        <v/>
      </c>
      <c r="AX29">
        <f>SUMIFS(T_Shipments[Confirmed_Qty],T_Shipments[RM_Code],$A29,T_Shipments[Effective_Week],49)</f>
        <v/>
      </c>
      <c r="AY29">
        <f>SUMIFS(T_Shipments[Confirmed_Qty],T_Shipments[RM_Code],$A29,T_Shipments[Effective_Week],50)</f>
        <v/>
      </c>
      <c r="AZ29">
        <f>SUMIFS(T_Shipments[Confirmed_Qty],T_Shipments[RM_Code],$A29,T_Shipments[Effective_Week],51)</f>
        <v/>
      </c>
      <c r="BA29">
        <f>SUMIFS(T_Shipments[Confirmed_Qty],T_Shipments[RM_Code],$A29,T_Shipments[Effective_Week],52)</f>
        <v/>
      </c>
      <c r="BB29">
        <f>SUMIFS(T_Shipments[Confirmed_Qty],T_Shipments[RM_Code],$A29,T_Shipments[Effective_Week],53)</f>
        <v/>
      </c>
      <c r="BC29">
        <f>SUMIFS(T_Shipments[Confirmed_Qty],T_Shipments[RM_Code],$A29,T_Shipments[Effective_Week],54)</f>
        <v/>
      </c>
      <c r="BD29">
        <f>SUMIFS(T_Shipments[Confirmed_Qty],T_Shipments[RM_Code],$A29,T_Shipments[Effective_Week],55)</f>
        <v/>
      </c>
      <c r="BE29">
        <f>SUMIFS(T_Shipments[Confirmed_Qty],T_Shipments[RM_Code],$A29,T_Shipments[Effective_Week],56)</f>
        <v/>
      </c>
      <c r="BF29">
        <f>SUMIFS(T_Shipments[Confirmed_Qty],T_Shipments[RM_Code],$A29,T_Shipments[Effective_Week],57)</f>
        <v/>
      </c>
      <c r="BG29">
        <f>SUMIFS(T_Shipments[Confirmed_Qty],T_Shipments[RM_Code],$A29,T_Shipments[Effective_Week],58)</f>
        <v/>
      </c>
      <c r="BH29">
        <f>SUMIFS(T_Shipments[Confirmed_Qty],T_Shipments[RM_Code],$A29,T_Shipments[Effective_Week],59)</f>
        <v/>
      </c>
      <c r="BI29">
        <f>SUMIFS(T_Shipments[Confirmed_Qty],T_Shipments[RM_Code],$A29,T_Shipments[Effective_Week],60)</f>
        <v/>
      </c>
      <c r="BJ29">
        <f>SUMIFS(T_Shipments[Confirmed_Qty],T_Shipments[RM_Code],$A29,T_Shipments[Effective_Week],61)</f>
        <v/>
      </c>
      <c r="BK29">
        <f>SUMIFS(T_Shipments[Confirmed_Qty],T_Shipments[RM_Code],$A29,T_Shipments[Effective_Week],62)</f>
        <v/>
      </c>
      <c r="BL29">
        <f>SUMIFS(T_Shipments[Confirmed_Qty],T_Shipments[RM_Code],$A29,T_Shipments[Effective_Week],63)</f>
        <v/>
      </c>
      <c r="BM29">
        <f>SUMIFS(T_Shipments[Confirmed_Qty],T_Shipments[RM_Code],$A29,T_Shipments[Effective_Week],64)</f>
        <v/>
      </c>
      <c r="BN29">
        <f>SUMIFS(T_Shipments[Confirmed_Qty],T_Shipments[RM_Code],$A29,T_Shipments[Effective_Week],65)</f>
        <v/>
      </c>
      <c r="BO29">
        <f>SUMIFS(T_Shipments[Confirmed_Qty],T_Shipments[RM_Code],$A29,T_Shipments[Effective_Week],66)</f>
        <v/>
      </c>
      <c r="BP29">
        <f>SUMIFS(T_Shipments[Confirmed_Qty],T_Shipments[RM_Code],$A29,T_Shipments[Effective_Week],67)</f>
        <v/>
      </c>
      <c r="BQ29">
        <f>SUMIFS(T_Shipments[Confirmed_Qty],T_Shipments[RM_Code],$A29,T_Shipments[Effective_Week],68)</f>
        <v/>
      </c>
      <c r="BR29">
        <f>SUMIFS(T_Shipments[Confirmed_Qty],T_Shipments[RM_Code],$A29,T_Shipments[Effective_Week],69)</f>
        <v/>
      </c>
      <c r="BS29">
        <f>SUMIFS(T_Shipments[Confirmed_Qty],T_Shipments[RM_Code],$A29,T_Shipments[Effective_Week],70)</f>
        <v/>
      </c>
      <c r="BT29">
        <f>SUMIFS(T_Shipments[Confirmed_Qty],T_Shipments[RM_Code],$A29,T_Shipments[Effective_Week],71)</f>
        <v/>
      </c>
      <c r="BU29">
        <f>SUMIFS(T_Shipments[Confirmed_Qty],T_Shipments[RM_Code],$A29,T_Shipments[Effective_Week],72)</f>
        <v/>
      </c>
      <c r="BV29">
        <f>SUMIFS(T_Shipments[Confirmed_Qty],T_Shipments[RM_Code],$A29,T_Shipments[Effective_Week],73)</f>
        <v/>
      </c>
      <c r="BW29">
        <f>SUMIFS(T_Shipments[Confirmed_Qty],T_Shipments[RM_Code],$A29,T_Shipments[Effective_Week],74)</f>
        <v/>
      </c>
      <c r="BX29">
        <f>SUMIFS(T_Shipments[Confirmed_Qty],T_Shipments[RM_Code],$A29,T_Shipments[Effective_Week],75)</f>
        <v/>
      </c>
      <c r="BY29">
        <f>SUMIFS(T_Shipments[Confirmed_Qty],T_Shipments[RM_Code],$A29,T_Shipments[Effective_Week],76)</f>
        <v/>
      </c>
      <c r="BZ29">
        <f>SUMIFS(T_Shipments[Confirmed_Qty],T_Shipments[RM_Code],$A29,T_Shipments[Effective_Week],77)</f>
        <v/>
      </c>
      <c r="CA29">
        <f>SUMIFS(T_Shipments[Confirmed_Qty],T_Shipments[RM_Code],$A29,T_Shipments[Effective_Week],78)</f>
        <v/>
      </c>
      <c r="CB29">
        <f>SUMIFS(T_Shipments[Confirmed_Qty],T_Shipments[RM_Code],$A29,T_Shipments[Effective_Week],79)</f>
        <v/>
      </c>
      <c r="CC29">
        <f>SUMIFS(T_Shipments[Confirmed_Qty],T_Shipments[RM_Code],$A29,T_Shipments[Effective_Week],80)</f>
        <v/>
      </c>
      <c r="CD29">
        <f>SUMIFS(T_Shipments[Confirmed_Qty],T_Shipments[RM_Code],$A29,T_Shipments[Effective_Week],81)</f>
        <v/>
      </c>
      <c r="CE29">
        <f>SUMIFS(T_Shipments[Confirmed_Qty],T_Shipments[RM_Code],$A29,T_Shipments[Effective_Week],82)</f>
        <v/>
      </c>
      <c r="CF29">
        <f>SUMIFS(T_Shipments[Confirmed_Qty],T_Shipments[RM_Code],$A29,T_Shipments[Effective_Week],83)</f>
        <v/>
      </c>
      <c r="CG29">
        <f>SUMIFS(T_Shipments[Confirmed_Qty],T_Shipments[RM_Code],$A29,T_Shipments[Effective_Week],84)</f>
        <v/>
      </c>
      <c r="CH29">
        <f>SUMIFS(T_Shipments[Confirmed_Qty],T_Shipments[RM_Code],$A29,T_Shipments[Effective_Week],85)</f>
        <v/>
      </c>
      <c r="CI29">
        <f>SUMIFS(T_Shipments[Confirmed_Qty],T_Shipments[RM_Code],$A29,T_Shipments[Effective_Week],86)</f>
        <v/>
      </c>
      <c r="CJ29">
        <f>SUMIFS(T_Shipments[Confirmed_Qty],T_Shipments[RM_Code],$A29,T_Shipments[Effective_Week],87)</f>
        <v/>
      </c>
      <c r="CK29">
        <f>SUMIFS(T_Shipments[Confirmed_Qty],T_Shipments[RM_Code],$A29,T_Shipments[Effective_Week],88)</f>
        <v/>
      </c>
      <c r="CL29">
        <f>SUMIFS(T_Shipments[Confirmed_Qty],T_Shipments[RM_Code],$A29,T_Shipments[Effective_Week],89)</f>
        <v/>
      </c>
      <c r="CM29">
        <f>SUMIFS(T_Shipments[Confirmed_Qty],T_Shipments[RM_Code],$A29,T_Shipments[Effective_Week],90)</f>
        <v/>
      </c>
      <c r="CN29">
        <f>SUMIFS(T_Shipments[Confirmed_Qty],T_Shipments[RM_Code],$A29,T_Shipments[Effective_Week],91)</f>
        <v/>
      </c>
      <c r="CO29">
        <f>SUMIFS(T_Shipments[Confirmed_Qty],T_Shipments[RM_Code],$A29,T_Shipments[Effective_Week],92)</f>
        <v/>
      </c>
      <c r="CP29">
        <f>SUMIFS(T_Shipments[Confirmed_Qty],T_Shipments[RM_Code],$A29,T_Shipments[Effective_Week],93)</f>
        <v/>
      </c>
      <c r="CQ29">
        <f>SUMIFS(T_Shipments[Confirmed_Qty],T_Shipments[RM_Code],$A29,T_Shipments[Effective_Week],94)</f>
        <v/>
      </c>
      <c r="CR29">
        <f>SUMIFS(T_Shipments[Confirmed_Qty],T_Shipments[RM_Code],$A29,T_Shipments[Effective_Week],95)</f>
        <v/>
      </c>
      <c r="CS29">
        <f>SUMIFS(T_Shipments[Confirmed_Qty],T_Shipments[RM_Code],$A29,T_Shipments[Effective_Week],96)</f>
        <v/>
      </c>
      <c r="CT29">
        <f>SUMIFS(T_Shipments[Confirmed_Qty],T_Shipments[RM_Code],$A29,T_Shipments[Effective_Week],97)</f>
        <v/>
      </c>
      <c r="CU29">
        <f>SUMIFS(T_Shipments[Confirmed_Qty],T_Shipments[RM_Code],$A29,T_Shipments[Effective_Week],98)</f>
        <v/>
      </c>
      <c r="CV29">
        <f>SUMIFS(T_Shipments[Confirmed_Qty],T_Shipments[RM_Code],$A29,T_Shipments[Effective_Week],99)</f>
        <v/>
      </c>
      <c r="CW29">
        <f>SUMIFS(T_Shipments[Confirmed_Qty],T_Shipments[RM_Code],$A29,T_Shipments[Effective_Week],100)</f>
        <v/>
      </c>
      <c r="CX29">
        <f>SUMIFS(T_Shipments[Confirmed_Qty],T_Shipments[RM_Code],$A29,T_Shipments[Effective_Week],101)</f>
        <v/>
      </c>
      <c r="CY29">
        <f>SUMIFS(T_Shipments[Confirmed_Qty],T_Shipments[RM_Code],$A29,T_Shipments[Effective_Week],102)</f>
        <v/>
      </c>
      <c r="CZ29">
        <f>SUMIFS(T_Shipments[Confirmed_Qty],T_Shipments[RM_Code],$A29,T_Shipments[Effective_Week],103)</f>
        <v/>
      </c>
      <c r="DA29">
        <f>SUMIFS(T_Shipments[Confirmed_Qty],T_Shipments[RM_Code],$A29,T_Shipments[Effective_Week],104)</f>
        <v/>
      </c>
    </row>
    <row r="30">
      <c r="A30" t="inlineStr">
        <is>
          <t>CHEM-1200</t>
        </is>
      </c>
      <c r="B30">
        <f>SUMIFS(T_Shipments[Confirmed_Qty],T_Shipments[RM_Code],$A30,T_Shipments[Effective_Week],1)</f>
        <v/>
      </c>
      <c r="C30">
        <f>SUMIFS(T_Shipments[Confirmed_Qty],T_Shipments[RM_Code],$A30,T_Shipments[Effective_Week],2)</f>
        <v/>
      </c>
      <c r="D30">
        <f>SUMIFS(T_Shipments[Confirmed_Qty],T_Shipments[RM_Code],$A30,T_Shipments[Effective_Week],3)</f>
        <v/>
      </c>
      <c r="E30">
        <f>SUMIFS(T_Shipments[Confirmed_Qty],T_Shipments[RM_Code],$A30,T_Shipments[Effective_Week],4)</f>
        <v/>
      </c>
      <c r="F30">
        <f>SUMIFS(T_Shipments[Confirmed_Qty],T_Shipments[RM_Code],$A30,T_Shipments[Effective_Week],5)</f>
        <v/>
      </c>
      <c r="G30">
        <f>SUMIFS(T_Shipments[Confirmed_Qty],T_Shipments[RM_Code],$A30,T_Shipments[Effective_Week],6)</f>
        <v/>
      </c>
      <c r="H30">
        <f>SUMIFS(T_Shipments[Confirmed_Qty],T_Shipments[RM_Code],$A30,T_Shipments[Effective_Week],7)</f>
        <v/>
      </c>
      <c r="I30">
        <f>SUMIFS(T_Shipments[Confirmed_Qty],T_Shipments[RM_Code],$A30,T_Shipments[Effective_Week],8)</f>
        <v/>
      </c>
      <c r="J30">
        <f>SUMIFS(T_Shipments[Confirmed_Qty],T_Shipments[RM_Code],$A30,T_Shipments[Effective_Week],9)</f>
        <v/>
      </c>
      <c r="K30">
        <f>SUMIFS(T_Shipments[Confirmed_Qty],T_Shipments[RM_Code],$A30,T_Shipments[Effective_Week],10)</f>
        <v/>
      </c>
      <c r="L30">
        <f>SUMIFS(T_Shipments[Confirmed_Qty],T_Shipments[RM_Code],$A30,T_Shipments[Effective_Week],11)</f>
        <v/>
      </c>
      <c r="M30">
        <f>SUMIFS(T_Shipments[Confirmed_Qty],T_Shipments[RM_Code],$A30,T_Shipments[Effective_Week],12)</f>
        <v/>
      </c>
      <c r="N30">
        <f>SUMIFS(T_Shipments[Confirmed_Qty],T_Shipments[RM_Code],$A30,T_Shipments[Effective_Week],13)</f>
        <v/>
      </c>
      <c r="O30">
        <f>SUMIFS(T_Shipments[Confirmed_Qty],T_Shipments[RM_Code],$A30,T_Shipments[Effective_Week],14)</f>
        <v/>
      </c>
      <c r="P30">
        <f>SUMIFS(T_Shipments[Confirmed_Qty],T_Shipments[RM_Code],$A30,T_Shipments[Effective_Week],15)</f>
        <v/>
      </c>
      <c r="Q30">
        <f>SUMIFS(T_Shipments[Confirmed_Qty],T_Shipments[RM_Code],$A30,T_Shipments[Effective_Week],16)</f>
        <v/>
      </c>
      <c r="R30">
        <f>SUMIFS(T_Shipments[Confirmed_Qty],T_Shipments[RM_Code],$A30,T_Shipments[Effective_Week],17)</f>
        <v/>
      </c>
      <c r="S30">
        <f>SUMIFS(T_Shipments[Confirmed_Qty],T_Shipments[RM_Code],$A30,T_Shipments[Effective_Week],18)</f>
        <v/>
      </c>
      <c r="T30">
        <f>SUMIFS(T_Shipments[Confirmed_Qty],T_Shipments[RM_Code],$A30,T_Shipments[Effective_Week],19)</f>
        <v/>
      </c>
      <c r="U30">
        <f>SUMIFS(T_Shipments[Confirmed_Qty],T_Shipments[RM_Code],$A30,T_Shipments[Effective_Week],20)</f>
        <v/>
      </c>
      <c r="V30">
        <f>SUMIFS(T_Shipments[Confirmed_Qty],T_Shipments[RM_Code],$A30,T_Shipments[Effective_Week],21)</f>
        <v/>
      </c>
      <c r="W30">
        <f>SUMIFS(T_Shipments[Confirmed_Qty],T_Shipments[RM_Code],$A30,T_Shipments[Effective_Week],22)</f>
        <v/>
      </c>
      <c r="X30">
        <f>SUMIFS(T_Shipments[Confirmed_Qty],T_Shipments[RM_Code],$A30,T_Shipments[Effective_Week],23)</f>
        <v/>
      </c>
      <c r="Y30">
        <f>SUMIFS(T_Shipments[Confirmed_Qty],T_Shipments[RM_Code],$A30,T_Shipments[Effective_Week],24)</f>
        <v/>
      </c>
      <c r="Z30">
        <f>SUMIFS(T_Shipments[Confirmed_Qty],T_Shipments[RM_Code],$A30,T_Shipments[Effective_Week],25)</f>
        <v/>
      </c>
      <c r="AA30">
        <f>SUMIFS(T_Shipments[Confirmed_Qty],T_Shipments[RM_Code],$A30,T_Shipments[Effective_Week],26)</f>
        <v/>
      </c>
      <c r="AB30">
        <f>SUMIFS(T_Shipments[Confirmed_Qty],T_Shipments[RM_Code],$A30,T_Shipments[Effective_Week],27)</f>
        <v/>
      </c>
      <c r="AC30">
        <f>SUMIFS(T_Shipments[Confirmed_Qty],T_Shipments[RM_Code],$A30,T_Shipments[Effective_Week],28)</f>
        <v/>
      </c>
      <c r="AD30">
        <f>SUMIFS(T_Shipments[Confirmed_Qty],T_Shipments[RM_Code],$A30,T_Shipments[Effective_Week],29)</f>
        <v/>
      </c>
      <c r="AE30">
        <f>SUMIFS(T_Shipments[Confirmed_Qty],T_Shipments[RM_Code],$A30,T_Shipments[Effective_Week],30)</f>
        <v/>
      </c>
      <c r="AF30">
        <f>SUMIFS(T_Shipments[Confirmed_Qty],T_Shipments[RM_Code],$A30,T_Shipments[Effective_Week],31)</f>
        <v/>
      </c>
      <c r="AG30">
        <f>SUMIFS(T_Shipments[Confirmed_Qty],T_Shipments[RM_Code],$A30,T_Shipments[Effective_Week],32)</f>
        <v/>
      </c>
      <c r="AH30">
        <f>SUMIFS(T_Shipments[Confirmed_Qty],T_Shipments[RM_Code],$A30,T_Shipments[Effective_Week],33)</f>
        <v/>
      </c>
      <c r="AI30">
        <f>SUMIFS(T_Shipments[Confirmed_Qty],T_Shipments[RM_Code],$A30,T_Shipments[Effective_Week],34)</f>
        <v/>
      </c>
      <c r="AJ30">
        <f>SUMIFS(T_Shipments[Confirmed_Qty],T_Shipments[RM_Code],$A30,T_Shipments[Effective_Week],35)</f>
        <v/>
      </c>
      <c r="AK30">
        <f>SUMIFS(T_Shipments[Confirmed_Qty],T_Shipments[RM_Code],$A30,T_Shipments[Effective_Week],36)</f>
        <v/>
      </c>
      <c r="AL30">
        <f>SUMIFS(T_Shipments[Confirmed_Qty],T_Shipments[RM_Code],$A30,T_Shipments[Effective_Week],37)</f>
        <v/>
      </c>
      <c r="AM30">
        <f>SUMIFS(T_Shipments[Confirmed_Qty],T_Shipments[RM_Code],$A30,T_Shipments[Effective_Week],38)</f>
        <v/>
      </c>
      <c r="AN30">
        <f>SUMIFS(T_Shipments[Confirmed_Qty],T_Shipments[RM_Code],$A30,T_Shipments[Effective_Week],39)</f>
        <v/>
      </c>
      <c r="AO30">
        <f>SUMIFS(T_Shipments[Confirmed_Qty],T_Shipments[RM_Code],$A30,T_Shipments[Effective_Week],40)</f>
        <v/>
      </c>
      <c r="AP30">
        <f>SUMIFS(T_Shipments[Confirmed_Qty],T_Shipments[RM_Code],$A30,T_Shipments[Effective_Week],41)</f>
        <v/>
      </c>
      <c r="AQ30">
        <f>SUMIFS(T_Shipments[Confirmed_Qty],T_Shipments[RM_Code],$A30,T_Shipments[Effective_Week],42)</f>
        <v/>
      </c>
      <c r="AR30">
        <f>SUMIFS(T_Shipments[Confirmed_Qty],T_Shipments[RM_Code],$A30,T_Shipments[Effective_Week],43)</f>
        <v/>
      </c>
      <c r="AS30">
        <f>SUMIFS(T_Shipments[Confirmed_Qty],T_Shipments[RM_Code],$A30,T_Shipments[Effective_Week],44)</f>
        <v/>
      </c>
      <c r="AT30">
        <f>SUMIFS(T_Shipments[Confirmed_Qty],T_Shipments[RM_Code],$A30,T_Shipments[Effective_Week],45)</f>
        <v/>
      </c>
      <c r="AU30">
        <f>SUMIFS(T_Shipments[Confirmed_Qty],T_Shipments[RM_Code],$A30,T_Shipments[Effective_Week],46)</f>
        <v/>
      </c>
      <c r="AV30">
        <f>SUMIFS(T_Shipments[Confirmed_Qty],T_Shipments[RM_Code],$A30,T_Shipments[Effective_Week],47)</f>
        <v/>
      </c>
      <c r="AW30">
        <f>SUMIFS(T_Shipments[Confirmed_Qty],T_Shipments[RM_Code],$A30,T_Shipments[Effective_Week],48)</f>
        <v/>
      </c>
      <c r="AX30">
        <f>SUMIFS(T_Shipments[Confirmed_Qty],T_Shipments[RM_Code],$A30,T_Shipments[Effective_Week],49)</f>
        <v/>
      </c>
      <c r="AY30">
        <f>SUMIFS(T_Shipments[Confirmed_Qty],T_Shipments[RM_Code],$A30,T_Shipments[Effective_Week],50)</f>
        <v/>
      </c>
      <c r="AZ30">
        <f>SUMIFS(T_Shipments[Confirmed_Qty],T_Shipments[RM_Code],$A30,T_Shipments[Effective_Week],51)</f>
        <v/>
      </c>
      <c r="BA30">
        <f>SUMIFS(T_Shipments[Confirmed_Qty],T_Shipments[RM_Code],$A30,T_Shipments[Effective_Week],52)</f>
        <v/>
      </c>
      <c r="BB30">
        <f>SUMIFS(T_Shipments[Confirmed_Qty],T_Shipments[RM_Code],$A30,T_Shipments[Effective_Week],53)</f>
        <v/>
      </c>
      <c r="BC30">
        <f>SUMIFS(T_Shipments[Confirmed_Qty],T_Shipments[RM_Code],$A30,T_Shipments[Effective_Week],54)</f>
        <v/>
      </c>
      <c r="BD30">
        <f>SUMIFS(T_Shipments[Confirmed_Qty],T_Shipments[RM_Code],$A30,T_Shipments[Effective_Week],55)</f>
        <v/>
      </c>
      <c r="BE30">
        <f>SUMIFS(T_Shipments[Confirmed_Qty],T_Shipments[RM_Code],$A30,T_Shipments[Effective_Week],56)</f>
        <v/>
      </c>
      <c r="BF30">
        <f>SUMIFS(T_Shipments[Confirmed_Qty],T_Shipments[RM_Code],$A30,T_Shipments[Effective_Week],57)</f>
        <v/>
      </c>
      <c r="BG30">
        <f>SUMIFS(T_Shipments[Confirmed_Qty],T_Shipments[RM_Code],$A30,T_Shipments[Effective_Week],58)</f>
        <v/>
      </c>
      <c r="BH30">
        <f>SUMIFS(T_Shipments[Confirmed_Qty],T_Shipments[RM_Code],$A30,T_Shipments[Effective_Week],59)</f>
        <v/>
      </c>
      <c r="BI30">
        <f>SUMIFS(T_Shipments[Confirmed_Qty],T_Shipments[RM_Code],$A30,T_Shipments[Effective_Week],60)</f>
        <v/>
      </c>
      <c r="BJ30">
        <f>SUMIFS(T_Shipments[Confirmed_Qty],T_Shipments[RM_Code],$A30,T_Shipments[Effective_Week],61)</f>
        <v/>
      </c>
      <c r="BK30">
        <f>SUMIFS(T_Shipments[Confirmed_Qty],T_Shipments[RM_Code],$A30,T_Shipments[Effective_Week],62)</f>
        <v/>
      </c>
      <c r="BL30">
        <f>SUMIFS(T_Shipments[Confirmed_Qty],T_Shipments[RM_Code],$A30,T_Shipments[Effective_Week],63)</f>
        <v/>
      </c>
      <c r="BM30">
        <f>SUMIFS(T_Shipments[Confirmed_Qty],T_Shipments[RM_Code],$A30,T_Shipments[Effective_Week],64)</f>
        <v/>
      </c>
      <c r="BN30">
        <f>SUMIFS(T_Shipments[Confirmed_Qty],T_Shipments[RM_Code],$A30,T_Shipments[Effective_Week],65)</f>
        <v/>
      </c>
      <c r="BO30">
        <f>SUMIFS(T_Shipments[Confirmed_Qty],T_Shipments[RM_Code],$A30,T_Shipments[Effective_Week],66)</f>
        <v/>
      </c>
      <c r="BP30">
        <f>SUMIFS(T_Shipments[Confirmed_Qty],T_Shipments[RM_Code],$A30,T_Shipments[Effective_Week],67)</f>
        <v/>
      </c>
      <c r="BQ30">
        <f>SUMIFS(T_Shipments[Confirmed_Qty],T_Shipments[RM_Code],$A30,T_Shipments[Effective_Week],68)</f>
        <v/>
      </c>
      <c r="BR30">
        <f>SUMIFS(T_Shipments[Confirmed_Qty],T_Shipments[RM_Code],$A30,T_Shipments[Effective_Week],69)</f>
        <v/>
      </c>
      <c r="BS30">
        <f>SUMIFS(T_Shipments[Confirmed_Qty],T_Shipments[RM_Code],$A30,T_Shipments[Effective_Week],70)</f>
        <v/>
      </c>
      <c r="BT30">
        <f>SUMIFS(T_Shipments[Confirmed_Qty],T_Shipments[RM_Code],$A30,T_Shipments[Effective_Week],71)</f>
        <v/>
      </c>
      <c r="BU30">
        <f>SUMIFS(T_Shipments[Confirmed_Qty],T_Shipments[RM_Code],$A30,T_Shipments[Effective_Week],72)</f>
        <v/>
      </c>
      <c r="BV30">
        <f>SUMIFS(T_Shipments[Confirmed_Qty],T_Shipments[RM_Code],$A30,T_Shipments[Effective_Week],73)</f>
        <v/>
      </c>
      <c r="BW30">
        <f>SUMIFS(T_Shipments[Confirmed_Qty],T_Shipments[RM_Code],$A30,T_Shipments[Effective_Week],74)</f>
        <v/>
      </c>
      <c r="BX30">
        <f>SUMIFS(T_Shipments[Confirmed_Qty],T_Shipments[RM_Code],$A30,T_Shipments[Effective_Week],75)</f>
        <v/>
      </c>
      <c r="BY30">
        <f>SUMIFS(T_Shipments[Confirmed_Qty],T_Shipments[RM_Code],$A30,T_Shipments[Effective_Week],76)</f>
        <v/>
      </c>
      <c r="BZ30">
        <f>SUMIFS(T_Shipments[Confirmed_Qty],T_Shipments[RM_Code],$A30,T_Shipments[Effective_Week],77)</f>
        <v/>
      </c>
      <c r="CA30">
        <f>SUMIFS(T_Shipments[Confirmed_Qty],T_Shipments[RM_Code],$A30,T_Shipments[Effective_Week],78)</f>
        <v/>
      </c>
      <c r="CB30">
        <f>SUMIFS(T_Shipments[Confirmed_Qty],T_Shipments[RM_Code],$A30,T_Shipments[Effective_Week],79)</f>
        <v/>
      </c>
      <c r="CC30">
        <f>SUMIFS(T_Shipments[Confirmed_Qty],T_Shipments[RM_Code],$A30,T_Shipments[Effective_Week],80)</f>
        <v/>
      </c>
      <c r="CD30">
        <f>SUMIFS(T_Shipments[Confirmed_Qty],T_Shipments[RM_Code],$A30,T_Shipments[Effective_Week],81)</f>
        <v/>
      </c>
      <c r="CE30">
        <f>SUMIFS(T_Shipments[Confirmed_Qty],T_Shipments[RM_Code],$A30,T_Shipments[Effective_Week],82)</f>
        <v/>
      </c>
      <c r="CF30">
        <f>SUMIFS(T_Shipments[Confirmed_Qty],T_Shipments[RM_Code],$A30,T_Shipments[Effective_Week],83)</f>
        <v/>
      </c>
      <c r="CG30">
        <f>SUMIFS(T_Shipments[Confirmed_Qty],T_Shipments[RM_Code],$A30,T_Shipments[Effective_Week],84)</f>
        <v/>
      </c>
      <c r="CH30">
        <f>SUMIFS(T_Shipments[Confirmed_Qty],T_Shipments[RM_Code],$A30,T_Shipments[Effective_Week],85)</f>
        <v/>
      </c>
      <c r="CI30">
        <f>SUMIFS(T_Shipments[Confirmed_Qty],T_Shipments[RM_Code],$A30,T_Shipments[Effective_Week],86)</f>
        <v/>
      </c>
      <c r="CJ30">
        <f>SUMIFS(T_Shipments[Confirmed_Qty],T_Shipments[RM_Code],$A30,T_Shipments[Effective_Week],87)</f>
        <v/>
      </c>
      <c r="CK30">
        <f>SUMIFS(T_Shipments[Confirmed_Qty],T_Shipments[RM_Code],$A30,T_Shipments[Effective_Week],88)</f>
        <v/>
      </c>
      <c r="CL30">
        <f>SUMIFS(T_Shipments[Confirmed_Qty],T_Shipments[RM_Code],$A30,T_Shipments[Effective_Week],89)</f>
        <v/>
      </c>
      <c r="CM30">
        <f>SUMIFS(T_Shipments[Confirmed_Qty],T_Shipments[RM_Code],$A30,T_Shipments[Effective_Week],90)</f>
        <v/>
      </c>
      <c r="CN30">
        <f>SUMIFS(T_Shipments[Confirmed_Qty],T_Shipments[RM_Code],$A30,T_Shipments[Effective_Week],91)</f>
        <v/>
      </c>
      <c r="CO30">
        <f>SUMIFS(T_Shipments[Confirmed_Qty],T_Shipments[RM_Code],$A30,T_Shipments[Effective_Week],92)</f>
        <v/>
      </c>
      <c r="CP30">
        <f>SUMIFS(T_Shipments[Confirmed_Qty],T_Shipments[RM_Code],$A30,T_Shipments[Effective_Week],93)</f>
        <v/>
      </c>
      <c r="CQ30">
        <f>SUMIFS(T_Shipments[Confirmed_Qty],T_Shipments[RM_Code],$A30,T_Shipments[Effective_Week],94)</f>
        <v/>
      </c>
      <c r="CR30">
        <f>SUMIFS(T_Shipments[Confirmed_Qty],T_Shipments[RM_Code],$A30,T_Shipments[Effective_Week],95)</f>
        <v/>
      </c>
      <c r="CS30">
        <f>SUMIFS(T_Shipments[Confirmed_Qty],T_Shipments[RM_Code],$A30,T_Shipments[Effective_Week],96)</f>
        <v/>
      </c>
      <c r="CT30">
        <f>SUMIFS(T_Shipments[Confirmed_Qty],T_Shipments[RM_Code],$A30,T_Shipments[Effective_Week],97)</f>
        <v/>
      </c>
      <c r="CU30">
        <f>SUMIFS(T_Shipments[Confirmed_Qty],T_Shipments[RM_Code],$A30,T_Shipments[Effective_Week],98)</f>
        <v/>
      </c>
      <c r="CV30">
        <f>SUMIFS(T_Shipments[Confirmed_Qty],T_Shipments[RM_Code],$A30,T_Shipments[Effective_Week],99)</f>
        <v/>
      </c>
      <c r="CW30">
        <f>SUMIFS(T_Shipments[Confirmed_Qty],T_Shipments[RM_Code],$A30,T_Shipments[Effective_Week],100)</f>
        <v/>
      </c>
      <c r="CX30">
        <f>SUMIFS(T_Shipments[Confirmed_Qty],T_Shipments[RM_Code],$A30,T_Shipments[Effective_Week],101)</f>
        <v/>
      </c>
      <c r="CY30">
        <f>SUMIFS(T_Shipments[Confirmed_Qty],T_Shipments[RM_Code],$A30,T_Shipments[Effective_Week],102)</f>
        <v/>
      </c>
      <c r="CZ30">
        <f>SUMIFS(T_Shipments[Confirmed_Qty],T_Shipments[RM_Code],$A30,T_Shipments[Effective_Week],103)</f>
        <v/>
      </c>
      <c r="DA30">
        <f>SUMIFS(T_Shipments[Confirmed_Qty],T_Shipments[RM_Code],$A30,T_Shipments[Effective_Week],104)</f>
        <v/>
      </c>
    </row>
    <row r="31">
      <c r="A31" t="inlineStr">
        <is>
          <t>ABN</t>
        </is>
      </c>
      <c r="B31">
        <f>SUMIFS(T_Shipments[Confirmed_Qty],T_Shipments[RM_Code],$A31,T_Shipments[Effective_Week],1)</f>
        <v/>
      </c>
      <c r="C31">
        <f>SUMIFS(T_Shipments[Confirmed_Qty],T_Shipments[RM_Code],$A31,T_Shipments[Effective_Week],2)</f>
        <v/>
      </c>
      <c r="D31">
        <f>SUMIFS(T_Shipments[Confirmed_Qty],T_Shipments[RM_Code],$A31,T_Shipments[Effective_Week],3)</f>
        <v/>
      </c>
      <c r="E31">
        <f>SUMIFS(T_Shipments[Confirmed_Qty],T_Shipments[RM_Code],$A31,T_Shipments[Effective_Week],4)</f>
        <v/>
      </c>
      <c r="F31">
        <f>SUMIFS(T_Shipments[Confirmed_Qty],T_Shipments[RM_Code],$A31,T_Shipments[Effective_Week],5)</f>
        <v/>
      </c>
      <c r="G31">
        <f>SUMIFS(T_Shipments[Confirmed_Qty],T_Shipments[RM_Code],$A31,T_Shipments[Effective_Week],6)</f>
        <v/>
      </c>
      <c r="H31">
        <f>SUMIFS(T_Shipments[Confirmed_Qty],T_Shipments[RM_Code],$A31,T_Shipments[Effective_Week],7)</f>
        <v/>
      </c>
      <c r="I31">
        <f>SUMIFS(T_Shipments[Confirmed_Qty],T_Shipments[RM_Code],$A31,T_Shipments[Effective_Week],8)</f>
        <v/>
      </c>
      <c r="J31">
        <f>SUMIFS(T_Shipments[Confirmed_Qty],T_Shipments[RM_Code],$A31,T_Shipments[Effective_Week],9)</f>
        <v/>
      </c>
      <c r="K31">
        <f>SUMIFS(T_Shipments[Confirmed_Qty],T_Shipments[RM_Code],$A31,T_Shipments[Effective_Week],10)</f>
        <v/>
      </c>
      <c r="L31">
        <f>SUMIFS(T_Shipments[Confirmed_Qty],T_Shipments[RM_Code],$A31,T_Shipments[Effective_Week],11)</f>
        <v/>
      </c>
      <c r="M31">
        <f>SUMIFS(T_Shipments[Confirmed_Qty],T_Shipments[RM_Code],$A31,T_Shipments[Effective_Week],12)</f>
        <v/>
      </c>
      <c r="N31">
        <f>SUMIFS(T_Shipments[Confirmed_Qty],T_Shipments[RM_Code],$A31,T_Shipments[Effective_Week],13)</f>
        <v/>
      </c>
      <c r="O31">
        <f>SUMIFS(T_Shipments[Confirmed_Qty],T_Shipments[RM_Code],$A31,T_Shipments[Effective_Week],14)</f>
        <v/>
      </c>
      <c r="P31">
        <f>SUMIFS(T_Shipments[Confirmed_Qty],T_Shipments[RM_Code],$A31,T_Shipments[Effective_Week],15)</f>
        <v/>
      </c>
      <c r="Q31">
        <f>SUMIFS(T_Shipments[Confirmed_Qty],T_Shipments[RM_Code],$A31,T_Shipments[Effective_Week],16)</f>
        <v/>
      </c>
      <c r="R31">
        <f>SUMIFS(T_Shipments[Confirmed_Qty],T_Shipments[RM_Code],$A31,T_Shipments[Effective_Week],17)</f>
        <v/>
      </c>
      <c r="S31">
        <f>SUMIFS(T_Shipments[Confirmed_Qty],T_Shipments[RM_Code],$A31,T_Shipments[Effective_Week],18)</f>
        <v/>
      </c>
      <c r="T31">
        <f>SUMIFS(T_Shipments[Confirmed_Qty],T_Shipments[RM_Code],$A31,T_Shipments[Effective_Week],19)</f>
        <v/>
      </c>
      <c r="U31">
        <f>SUMIFS(T_Shipments[Confirmed_Qty],T_Shipments[RM_Code],$A31,T_Shipments[Effective_Week],20)</f>
        <v/>
      </c>
      <c r="V31">
        <f>SUMIFS(T_Shipments[Confirmed_Qty],T_Shipments[RM_Code],$A31,T_Shipments[Effective_Week],21)</f>
        <v/>
      </c>
      <c r="W31">
        <f>SUMIFS(T_Shipments[Confirmed_Qty],T_Shipments[RM_Code],$A31,T_Shipments[Effective_Week],22)</f>
        <v/>
      </c>
      <c r="X31">
        <f>SUMIFS(T_Shipments[Confirmed_Qty],T_Shipments[RM_Code],$A31,T_Shipments[Effective_Week],23)</f>
        <v/>
      </c>
      <c r="Y31">
        <f>SUMIFS(T_Shipments[Confirmed_Qty],T_Shipments[RM_Code],$A31,T_Shipments[Effective_Week],24)</f>
        <v/>
      </c>
      <c r="Z31">
        <f>SUMIFS(T_Shipments[Confirmed_Qty],T_Shipments[RM_Code],$A31,T_Shipments[Effective_Week],25)</f>
        <v/>
      </c>
      <c r="AA31">
        <f>SUMIFS(T_Shipments[Confirmed_Qty],T_Shipments[RM_Code],$A31,T_Shipments[Effective_Week],26)</f>
        <v/>
      </c>
      <c r="AB31">
        <f>SUMIFS(T_Shipments[Confirmed_Qty],T_Shipments[RM_Code],$A31,T_Shipments[Effective_Week],27)</f>
        <v/>
      </c>
      <c r="AC31">
        <f>SUMIFS(T_Shipments[Confirmed_Qty],T_Shipments[RM_Code],$A31,T_Shipments[Effective_Week],28)</f>
        <v/>
      </c>
      <c r="AD31">
        <f>SUMIFS(T_Shipments[Confirmed_Qty],T_Shipments[RM_Code],$A31,T_Shipments[Effective_Week],29)</f>
        <v/>
      </c>
      <c r="AE31">
        <f>SUMIFS(T_Shipments[Confirmed_Qty],T_Shipments[RM_Code],$A31,T_Shipments[Effective_Week],30)</f>
        <v/>
      </c>
      <c r="AF31">
        <f>SUMIFS(T_Shipments[Confirmed_Qty],T_Shipments[RM_Code],$A31,T_Shipments[Effective_Week],31)</f>
        <v/>
      </c>
      <c r="AG31">
        <f>SUMIFS(T_Shipments[Confirmed_Qty],T_Shipments[RM_Code],$A31,T_Shipments[Effective_Week],32)</f>
        <v/>
      </c>
      <c r="AH31">
        <f>SUMIFS(T_Shipments[Confirmed_Qty],T_Shipments[RM_Code],$A31,T_Shipments[Effective_Week],33)</f>
        <v/>
      </c>
      <c r="AI31">
        <f>SUMIFS(T_Shipments[Confirmed_Qty],T_Shipments[RM_Code],$A31,T_Shipments[Effective_Week],34)</f>
        <v/>
      </c>
      <c r="AJ31">
        <f>SUMIFS(T_Shipments[Confirmed_Qty],T_Shipments[RM_Code],$A31,T_Shipments[Effective_Week],35)</f>
        <v/>
      </c>
      <c r="AK31">
        <f>SUMIFS(T_Shipments[Confirmed_Qty],T_Shipments[RM_Code],$A31,T_Shipments[Effective_Week],36)</f>
        <v/>
      </c>
      <c r="AL31">
        <f>SUMIFS(T_Shipments[Confirmed_Qty],T_Shipments[RM_Code],$A31,T_Shipments[Effective_Week],37)</f>
        <v/>
      </c>
      <c r="AM31">
        <f>SUMIFS(T_Shipments[Confirmed_Qty],T_Shipments[RM_Code],$A31,T_Shipments[Effective_Week],38)</f>
        <v/>
      </c>
      <c r="AN31">
        <f>SUMIFS(T_Shipments[Confirmed_Qty],T_Shipments[RM_Code],$A31,T_Shipments[Effective_Week],39)</f>
        <v/>
      </c>
      <c r="AO31">
        <f>SUMIFS(T_Shipments[Confirmed_Qty],T_Shipments[RM_Code],$A31,T_Shipments[Effective_Week],40)</f>
        <v/>
      </c>
      <c r="AP31">
        <f>SUMIFS(T_Shipments[Confirmed_Qty],T_Shipments[RM_Code],$A31,T_Shipments[Effective_Week],41)</f>
        <v/>
      </c>
      <c r="AQ31">
        <f>SUMIFS(T_Shipments[Confirmed_Qty],T_Shipments[RM_Code],$A31,T_Shipments[Effective_Week],42)</f>
        <v/>
      </c>
      <c r="AR31">
        <f>SUMIFS(T_Shipments[Confirmed_Qty],T_Shipments[RM_Code],$A31,T_Shipments[Effective_Week],43)</f>
        <v/>
      </c>
      <c r="AS31">
        <f>SUMIFS(T_Shipments[Confirmed_Qty],T_Shipments[RM_Code],$A31,T_Shipments[Effective_Week],44)</f>
        <v/>
      </c>
      <c r="AT31">
        <f>SUMIFS(T_Shipments[Confirmed_Qty],T_Shipments[RM_Code],$A31,T_Shipments[Effective_Week],45)</f>
        <v/>
      </c>
      <c r="AU31">
        <f>SUMIFS(T_Shipments[Confirmed_Qty],T_Shipments[RM_Code],$A31,T_Shipments[Effective_Week],46)</f>
        <v/>
      </c>
      <c r="AV31">
        <f>SUMIFS(T_Shipments[Confirmed_Qty],T_Shipments[RM_Code],$A31,T_Shipments[Effective_Week],47)</f>
        <v/>
      </c>
      <c r="AW31">
        <f>SUMIFS(T_Shipments[Confirmed_Qty],T_Shipments[RM_Code],$A31,T_Shipments[Effective_Week],48)</f>
        <v/>
      </c>
      <c r="AX31">
        <f>SUMIFS(T_Shipments[Confirmed_Qty],T_Shipments[RM_Code],$A31,T_Shipments[Effective_Week],49)</f>
        <v/>
      </c>
      <c r="AY31">
        <f>SUMIFS(T_Shipments[Confirmed_Qty],T_Shipments[RM_Code],$A31,T_Shipments[Effective_Week],50)</f>
        <v/>
      </c>
      <c r="AZ31">
        <f>SUMIFS(T_Shipments[Confirmed_Qty],T_Shipments[RM_Code],$A31,T_Shipments[Effective_Week],51)</f>
        <v/>
      </c>
      <c r="BA31">
        <f>SUMIFS(T_Shipments[Confirmed_Qty],T_Shipments[RM_Code],$A31,T_Shipments[Effective_Week],52)</f>
        <v/>
      </c>
      <c r="BB31">
        <f>SUMIFS(T_Shipments[Confirmed_Qty],T_Shipments[RM_Code],$A31,T_Shipments[Effective_Week],53)</f>
        <v/>
      </c>
      <c r="BC31">
        <f>SUMIFS(T_Shipments[Confirmed_Qty],T_Shipments[RM_Code],$A31,T_Shipments[Effective_Week],54)</f>
        <v/>
      </c>
      <c r="BD31">
        <f>SUMIFS(T_Shipments[Confirmed_Qty],T_Shipments[RM_Code],$A31,T_Shipments[Effective_Week],55)</f>
        <v/>
      </c>
      <c r="BE31">
        <f>SUMIFS(T_Shipments[Confirmed_Qty],T_Shipments[RM_Code],$A31,T_Shipments[Effective_Week],56)</f>
        <v/>
      </c>
      <c r="BF31">
        <f>SUMIFS(T_Shipments[Confirmed_Qty],T_Shipments[RM_Code],$A31,T_Shipments[Effective_Week],57)</f>
        <v/>
      </c>
      <c r="BG31">
        <f>SUMIFS(T_Shipments[Confirmed_Qty],T_Shipments[RM_Code],$A31,T_Shipments[Effective_Week],58)</f>
        <v/>
      </c>
      <c r="BH31">
        <f>SUMIFS(T_Shipments[Confirmed_Qty],T_Shipments[RM_Code],$A31,T_Shipments[Effective_Week],59)</f>
        <v/>
      </c>
      <c r="BI31">
        <f>SUMIFS(T_Shipments[Confirmed_Qty],T_Shipments[RM_Code],$A31,T_Shipments[Effective_Week],60)</f>
        <v/>
      </c>
      <c r="BJ31">
        <f>SUMIFS(T_Shipments[Confirmed_Qty],T_Shipments[RM_Code],$A31,T_Shipments[Effective_Week],61)</f>
        <v/>
      </c>
      <c r="BK31">
        <f>SUMIFS(T_Shipments[Confirmed_Qty],T_Shipments[RM_Code],$A31,T_Shipments[Effective_Week],62)</f>
        <v/>
      </c>
      <c r="BL31">
        <f>SUMIFS(T_Shipments[Confirmed_Qty],T_Shipments[RM_Code],$A31,T_Shipments[Effective_Week],63)</f>
        <v/>
      </c>
      <c r="BM31">
        <f>SUMIFS(T_Shipments[Confirmed_Qty],T_Shipments[RM_Code],$A31,T_Shipments[Effective_Week],64)</f>
        <v/>
      </c>
      <c r="BN31">
        <f>SUMIFS(T_Shipments[Confirmed_Qty],T_Shipments[RM_Code],$A31,T_Shipments[Effective_Week],65)</f>
        <v/>
      </c>
      <c r="BO31">
        <f>SUMIFS(T_Shipments[Confirmed_Qty],T_Shipments[RM_Code],$A31,T_Shipments[Effective_Week],66)</f>
        <v/>
      </c>
      <c r="BP31">
        <f>SUMIFS(T_Shipments[Confirmed_Qty],T_Shipments[RM_Code],$A31,T_Shipments[Effective_Week],67)</f>
        <v/>
      </c>
      <c r="BQ31">
        <f>SUMIFS(T_Shipments[Confirmed_Qty],T_Shipments[RM_Code],$A31,T_Shipments[Effective_Week],68)</f>
        <v/>
      </c>
      <c r="BR31">
        <f>SUMIFS(T_Shipments[Confirmed_Qty],T_Shipments[RM_Code],$A31,T_Shipments[Effective_Week],69)</f>
        <v/>
      </c>
      <c r="BS31">
        <f>SUMIFS(T_Shipments[Confirmed_Qty],T_Shipments[RM_Code],$A31,T_Shipments[Effective_Week],70)</f>
        <v/>
      </c>
      <c r="BT31">
        <f>SUMIFS(T_Shipments[Confirmed_Qty],T_Shipments[RM_Code],$A31,T_Shipments[Effective_Week],71)</f>
        <v/>
      </c>
      <c r="BU31">
        <f>SUMIFS(T_Shipments[Confirmed_Qty],T_Shipments[RM_Code],$A31,T_Shipments[Effective_Week],72)</f>
        <v/>
      </c>
      <c r="BV31">
        <f>SUMIFS(T_Shipments[Confirmed_Qty],T_Shipments[RM_Code],$A31,T_Shipments[Effective_Week],73)</f>
        <v/>
      </c>
      <c r="BW31">
        <f>SUMIFS(T_Shipments[Confirmed_Qty],T_Shipments[RM_Code],$A31,T_Shipments[Effective_Week],74)</f>
        <v/>
      </c>
      <c r="BX31">
        <f>SUMIFS(T_Shipments[Confirmed_Qty],T_Shipments[RM_Code],$A31,T_Shipments[Effective_Week],75)</f>
        <v/>
      </c>
      <c r="BY31">
        <f>SUMIFS(T_Shipments[Confirmed_Qty],T_Shipments[RM_Code],$A31,T_Shipments[Effective_Week],76)</f>
        <v/>
      </c>
      <c r="BZ31">
        <f>SUMIFS(T_Shipments[Confirmed_Qty],T_Shipments[RM_Code],$A31,T_Shipments[Effective_Week],77)</f>
        <v/>
      </c>
      <c r="CA31">
        <f>SUMIFS(T_Shipments[Confirmed_Qty],T_Shipments[RM_Code],$A31,T_Shipments[Effective_Week],78)</f>
        <v/>
      </c>
      <c r="CB31">
        <f>SUMIFS(T_Shipments[Confirmed_Qty],T_Shipments[RM_Code],$A31,T_Shipments[Effective_Week],79)</f>
        <v/>
      </c>
      <c r="CC31">
        <f>SUMIFS(T_Shipments[Confirmed_Qty],T_Shipments[RM_Code],$A31,T_Shipments[Effective_Week],80)</f>
        <v/>
      </c>
      <c r="CD31">
        <f>SUMIFS(T_Shipments[Confirmed_Qty],T_Shipments[RM_Code],$A31,T_Shipments[Effective_Week],81)</f>
        <v/>
      </c>
      <c r="CE31">
        <f>SUMIFS(T_Shipments[Confirmed_Qty],T_Shipments[RM_Code],$A31,T_Shipments[Effective_Week],82)</f>
        <v/>
      </c>
      <c r="CF31">
        <f>SUMIFS(T_Shipments[Confirmed_Qty],T_Shipments[RM_Code],$A31,T_Shipments[Effective_Week],83)</f>
        <v/>
      </c>
      <c r="CG31">
        <f>SUMIFS(T_Shipments[Confirmed_Qty],T_Shipments[RM_Code],$A31,T_Shipments[Effective_Week],84)</f>
        <v/>
      </c>
      <c r="CH31">
        <f>SUMIFS(T_Shipments[Confirmed_Qty],T_Shipments[RM_Code],$A31,T_Shipments[Effective_Week],85)</f>
        <v/>
      </c>
      <c r="CI31">
        <f>SUMIFS(T_Shipments[Confirmed_Qty],T_Shipments[RM_Code],$A31,T_Shipments[Effective_Week],86)</f>
        <v/>
      </c>
      <c r="CJ31">
        <f>SUMIFS(T_Shipments[Confirmed_Qty],T_Shipments[RM_Code],$A31,T_Shipments[Effective_Week],87)</f>
        <v/>
      </c>
      <c r="CK31">
        <f>SUMIFS(T_Shipments[Confirmed_Qty],T_Shipments[RM_Code],$A31,T_Shipments[Effective_Week],88)</f>
        <v/>
      </c>
      <c r="CL31">
        <f>SUMIFS(T_Shipments[Confirmed_Qty],T_Shipments[RM_Code],$A31,T_Shipments[Effective_Week],89)</f>
        <v/>
      </c>
      <c r="CM31">
        <f>SUMIFS(T_Shipments[Confirmed_Qty],T_Shipments[RM_Code],$A31,T_Shipments[Effective_Week],90)</f>
        <v/>
      </c>
      <c r="CN31">
        <f>SUMIFS(T_Shipments[Confirmed_Qty],T_Shipments[RM_Code],$A31,T_Shipments[Effective_Week],91)</f>
        <v/>
      </c>
      <c r="CO31">
        <f>SUMIFS(T_Shipments[Confirmed_Qty],T_Shipments[RM_Code],$A31,T_Shipments[Effective_Week],92)</f>
        <v/>
      </c>
      <c r="CP31">
        <f>SUMIFS(T_Shipments[Confirmed_Qty],T_Shipments[RM_Code],$A31,T_Shipments[Effective_Week],93)</f>
        <v/>
      </c>
      <c r="CQ31">
        <f>SUMIFS(T_Shipments[Confirmed_Qty],T_Shipments[RM_Code],$A31,T_Shipments[Effective_Week],94)</f>
        <v/>
      </c>
      <c r="CR31">
        <f>SUMIFS(T_Shipments[Confirmed_Qty],T_Shipments[RM_Code],$A31,T_Shipments[Effective_Week],95)</f>
        <v/>
      </c>
      <c r="CS31">
        <f>SUMIFS(T_Shipments[Confirmed_Qty],T_Shipments[RM_Code],$A31,T_Shipments[Effective_Week],96)</f>
        <v/>
      </c>
      <c r="CT31">
        <f>SUMIFS(T_Shipments[Confirmed_Qty],T_Shipments[RM_Code],$A31,T_Shipments[Effective_Week],97)</f>
        <v/>
      </c>
      <c r="CU31">
        <f>SUMIFS(T_Shipments[Confirmed_Qty],T_Shipments[RM_Code],$A31,T_Shipments[Effective_Week],98)</f>
        <v/>
      </c>
      <c r="CV31">
        <f>SUMIFS(T_Shipments[Confirmed_Qty],T_Shipments[RM_Code],$A31,T_Shipments[Effective_Week],99)</f>
        <v/>
      </c>
      <c r="CW31">
        <f>SUMIFS(T_Shipments[Confirmed_Qty],T_Shipments[RM_Code],$A31,T_Shipments[Effective_Week],100)</f>
        <v/>
      </c>
      <c r="CX31">
        <f>SUMIFS(T_Shipments[Confirmed_Qty],T_Shipments[RM_Code],$A31,T_Shipments[Effective_Week],101)</f>
        <v/>
      </c>
      <c r="CY31">
        <f>SUMIFS(T_Shipments[Confirmed_Qty],T_Shipments[RM_Code],$A31,T_Shipments[Effective_Week],102)</f>
        <v/>
      </c>
      <c r="CZ31">
        <f>SUMIFS(T_Shipments[Confirmed_Qty],T_Shipments[RM_Code],$A31,T_Shipments[Effective_Week],103)</f>
        <v/>
      </c>
      <c r="DA31">
        <f>SUMIFS(T_Shipments[Confirmed_Qty],T_Shipments[RM_Code],$A31,T_Shipments[Effective_Week],104)</f>
        <v/>
      </c>
    </row>
    <row r="32">
      <c r="A32" t="inlineStr">
        <is>
          <t>YAN</t>
        </is>
      </c>
      <c r="B32">
        <f>SUMIFS(T_Shipments[Confirmed_Qty],T_Shipments[RM_Code],$A32,T_Shipments[Effective_Week],1)</f>
        <v/>
      </c>
      <c r="C32">
        <f>SUMIFS(T_Shipments[Confirmed_Qty],T_Shipments[RM_Code],$A32,T_Shipments[Effective_Week],2)</f>
        <v/>
      </c>
      <c r="D32">
        <f>SUMIFS(T_Shipments[Confirmed_Qty],T_Shipments[RM_Code],$A32,T_Shipments[Effective_Week],3)</f>
        <v/>
      </c>
      <c r="E32">
        <f>SUMIFS(T_Shipments[Confirmed_Qty],T_Shipments[RM_Code],$A32,T_Shipments[Effective_Week],4)</f>
        <v/>
      </c>
      <c r="F32">
        <f>SUMIFS(T_Shipments[Confirmed_Qty],T_Shipments[RM_Code],$A32,T_Shipments[Effective_Week],5)</f>
        <v/>
      </c>
      <c r="G32">
        <f>SUMIFS(T_Shipments[Confirmed_Qty],T_Shipments[RM_Code],$A32,T_Shipments[Effective_Week],6)</f>
        <v/>
      </c>
      <c r="H32">
        <f>SUMIFS(T_Shipments[Confirmed_Qty],T_Shipments[RM_Code],$A32,T_Shipments[Effective_Week],7)</f>
        <v/>
      </c>
      <c r="I32">
        <f>SUMIFS(T_Shipments[Confirmed_Qty],T_Shipments[RM_Code],$A32,T_Shipments[Effective_Week],8)</f>
        <v/>
      </c>
      <c r="J32">
        <f>SUMIFS(T_Shipments[Confirmed_Qty],T_Shipments[RM_Code],$A32,T_Shipments[Effective_Week],9)</f>
        <v/>
      </c>
      <c r="K32">
        <f>SUMIFS(T_Shipments[Confirmed_Qty],T_Shipments[RM_Code],$A32,T_Shipments[Effective_Week],10)</f>
        <v/>
      </c>
      <c r="L32">
        <f>SUMIFS(T_Shipments[Confirmed_Qty],T_Shipments[RM_Code],$A32,T_Shipments[Effective_Week],11)</f>
        <v/>
      </c>
      <c r="M32">
        <f>SUMIFS(T_Shipments[Confirmed_Qty],T_Shipments[RM_Code],$A32,T_Shipments[Effective_Week],12)</f>
        <v/>
      </c>
      <c r="N32">
        <f>SUMIFS(T_Shipments[Confirmed_Qty],T_Shipments[RM_Code],$A32,T_Shipments[Effective_Week],13)</f>
        <v/>
      </c>
      <c r="O32">
        <f>SUMIFS(T_Shipments[Confirmed_Qty],T_Shipments[RM_Code],$A32,T_Shipments[Effective_Week],14)</f>
        <v/>
      </c>
      <c r="P32">
        <f>SUMIFS(T_Shipments[Confirmed_Qty],T_Shipments[RM_Code],$A32,T_Shipments[Effective_Week],15)</f>
        <v/>
      </c>
      <c r="Q32">
        <f>SUMIFS(T_Shipments[Confirmed_Qty],T_Shipments[RM_Code],$A32,T_Shipments[Effective_Week],16)</f>
        <v/>
      </c>
      <c r="R32">
        <f>SUMIFS(T_Shipments[Confirmed_Qty],T_Shipments[RM_Code],$A32,T_Shipments[Effective_Week],17)</f>
        <v/>
      </c>
      <c r="S32">
        <f>SUMIFS(T_Shipments[Confirmed_Qty],T_Shipments[RM_Code],$A32,T_Shipments[Effective_Week],18)</f>
        <v/>
      </c>
      <c r="T32">
        <f>SUMIFS(T_Shipments[Confirmed_Qty],T_Shipments[RM_Code],$A32,T_Shipments[Effective_Week],19)</f>
        <v/>
      </c>
      <c r="U32">
        <f>SUMIFS(T_Shipments[Confirmed_Qty],T_Shipments[RM_Code],$A32,T_Shipments[Effective_Week],20)</f>
        <v/>
      </c>
      <c r="V32">
        <f>SUMIFS(T_Shipments[Confirmed_Qty],T_Shipments[RM_Code],$A32,T_Shipments[Effective_Week],21)</f>
        <v/>
      </c>
      <c r="W32">
        <f>SUMIFS(T_Shipments[Confirmed_Qty],T_Shipments[RM_Code],$A32,T_Shipments[Effective_Week],22)</f>
        <v/>
      </c>
      <c r="X32">
        <f>SUMIFS(T_Shipments[Confirmed_Qty],T_Shipments[RM_Code],$A32,T_Shipments[Effective_Week],23)</f>
        <v/>
      </c>
      <c r="Y32">
        <f>SUMIFS(T_Shipments[Confirmed_Qty],T_Shipments[RM_Code],$A32,T_Shipments[Effective_Week],24)</f>
        <v/>
      </c>
      <c r="Z32">
        <f>SUMIFS(T_Shipments[Confirmed_Qty],T_Shipments[RM_Code],$A32,T_Shipments[Effective_Week],25)</f>
        <v/>
      </c>
      <c r="AA32">
        <f>SUMIFS(T_Shipments[Confirmed_Qty],T_Shipments[RM_Code],$A32,T_Shipments[Effective_Week],26)</f>
        <v/>
      </c>
      <c r="AB32">
        <f>SUMIFS(T_Shipments[Confirmed_Qty],T_Shipments[RM_Code],$A32,T_Shipments[Effective_Week],27)</f>
        <v/>
      </c>
      <c r="AC32">
        <f>SUMIFS(T_Shipments[Confirmed_Qty],T_Shipments[RM_Code],$A32,T_Shipments[Effective_Week],28)</f>
        <v/>
      </c>
      <c r="AD32">
        <f>SUMIFS(T_Shipments[Confirmed_Qty],T_Shipments[RM_Code],$A32,T_Shipments[Effective_Week],29)</f>
        <v/>
      </c>
      <c r="AE32">
        <f>SUMIFS(T_Shipments[Confirmed_Qty],T_Shipments[RM_Code],$A32,T_Shipments[Effective_Week],30)</f>
        <v/>
      </c>
      <c r="AF32">
        <f>SUMIFS(T_Shipments[Confirmed_Qty],T_Shipments[RM_Code],$A32,T_Shipments[Effective_Week],31)</f>
        <v/>
      </c>
      <c r="AG32">
        <f>SUMIFS(T_Shipments[Confirmed_Qty],T_Shipments[RM_Code],$A32,T_Shipments[Effective_Week],32)</f>
        <v/>
      </c>
      <c r="AH32">
        <f>SUMIFS(T_Shipments[Confirmed_Qty],T_Shipments[RM_Code],$A32,T_Shipments[Effective_Week],33)</f>
        <v/>
      </c>
      <c r="AI32">
        <f>SUMIFS(T_Shipments[Confirmed_Qty],T_Shipments[RM_Code],$A32,T_Shipments[Effective_Week],34)</f>
        <v/>
      </c>
      <c r="AJ32">
        <f>SUMIFS(T_Shipments[Confirmed_Qty],T_Shipments[RM_Code],$A32,T_Shipments[Effective_Week],35)</f>
        <v/>
      </c>
      <c r="AK32">
        <f>SUMIFS(T_Shipments[Confirmed_Qty],T_Shipments[RM_Code],$A32,T_Shipments[Effective_Week],36)</f>
        <v/>
      </c>
      <c r="AL32">
        <f>SUMIFS(T_Shipments[Confirmed_Qty],T_Shipments[RM_Code],$A32,T_Shipments[Effective_Week],37)</f>
        <v/>
      </c>
      <c r="AM32">
        <f>SUMIFS(T_Shipments[Confirmed_Qty],T_Shipments[RM_Code],$A32,T_Shipments[Effective_Week],38)</f>
        <v/>
      </c>
      <c r="AN32">
        <f>SUMIFS(T_Shipments[Confirmed_Qty],T_Shipments[RM_Code],$A32,T_Shipments[Effective_Week],39)</f>
        <v/>
      </c>
      <c r="AO32">
        <f>SUMIFS(T_Shipments[Confirmed_Qty],T_Shipments[RM_Code],$A32,T_Shipments[Effective_Week],40)</f>
        <v/>
      </c>
      <c r="AP32">
        <f>SUMIFS(T_Shipments[Confirmed_Qty],T_Shipments[RM_Code],$A32,T_Shipments[Effective_Week],41)</f>
        <v/>
      </c>
      <c r="AQ32">
        <f>SUMIFS(T_Shipments[Confirmed_Qty],T_Shipments[RM_Code],$A32,T_Shipments[Effective_Week],42)</f>
        <v/>
      </c>
      <c r="AR32">
        <f>SUMIFS(T_Shipments[Confirmed_Qty],T_Shipments[RM_Code],$A32,T_Shipments[Effective_Week],43)</f>
        <v/>
      </c>
      <c r="AS32">
        <f>SUMIFS(T_Shipments[Confirmed_Qty],T_Shipments[RM_Code],$A32,T_Shipments[Effective_Week],44)</f>
        <v/>
      </c>
      <c r="AT32">
        <f>SUMIFS(T_Shipments[Confirmed_Qty],T_Shipments[RM_Code],$A32,T_Shipments[Effective_Week],45)</f>
        <v/>
      </c>
      <c r="AU32">
        <f>SUMIFS(T_Shipments[Confirmed_Qty],T_Shipments[RM_Code],$A32,T_Shipments[Effective_Week],46)</f>
        <v/>
      </c>
      <c r="AV32">
        <f>SUMIFS(T_Shipments[Confirmed_Qty],T_Shipments[RM_Code],$A32,T_Shipments[Effective_Week],47)</f>
        <v/>
      </c>
      <c r="AW32">
        <f>SUMIFS(T_Shipments[Confirmed_Qty],T_Shipments[RM_Code],$A32,T_Shipments[Effective_Week],48)</f>
        <v/>
      </c>
      <c r="AX32">
        <f>SUMIFS(T_Shipments[Confirmed_Qty],T_Shipments[RM_Code],$A32,T_Shipments[Effective_Week],49)</f>
        <v/>
      </c>
      <c r="AY32">
        <f>SUMIFS(T_Shipments[Confirmed_Qty],T_Shipments[RM_Code],$A32,T_Shipments[Effective_Week],50)</f>
        <v/>
      </c>
      <c r="AZ32">
        <f>SUMIFS(T_Shipments[Confirmed_Qty],T_Shipments[RM_Code],$A32,T_Shipments[Effective_Week],51)</f>
        <v/>
      </c>
      <c r="BA32">
        <f>SUMIFS(T_Shipments[Confirmed_Qty],T_Shipments[RM_Code],$A32,T_Shipments[Effective_Week],52)</f>
        <v/>
      </c>
      <c r="BB32">
        <f>SUMIFS(T_Shipments[Confirmed_Qty],T_Shipments[RM_Code],$A32,T_Shipments[Effective_Week],53)</f>
        <v/>
      </c>
      <c r="BC32">
        <f>SUMIFS(T_Shipments[Confirmed_Qty],T_Shipments[RM_Code],$A32,T_Shipments[Effective_Week],54)</f>
        <v/>
      </c>
      <c r="BD32">
        <f>SUMIFS(T_Shipments[Confirmed_Qty],T_Shipments[RM_Code],$A32,T_Shipments[Effective_Week],55)</f>
        <v/>
      </c>
      <c r="BE32">
        <f>SUMIFS(T_Shipments[Confirmed_Qty],T_Shipments[RM_Code],$A32,T_Shipments[Effective_Week],56)</f>
        <v/>
      </c>
      <c r="BF32">
        <f>SUMIFS(T_Shipments[Confirmed_Qty],T_Shipments[RM_Code],$A32,T_Shipments[Effective_Week],57)</f>
        <v/>
      </c>
      <c r="BG32">
        <f>SUMIFS(T_Shipments[Confirmed_Qty],T_Shipments[RM_Code],$A32,T_Shipments[Effective_Week],58)</f>
        <v/>
      </c>
      <c r="BH32">
        <f>SUMIFS(T_Shipments[Confirmed_Qty],T_Shipments[RM_Code],$A32,T_Shipments[Effective_Week],59)</f>
        <v/>
      </c>
      <c r="BI32">
        <f>SUMIFS(T_Shipments[Confirmed_Qty],T_Shipments[RM_Code],$A32,T_Shipments[Effective_Week],60)</f>
        <v/>
      </c>
      <c r="BJ32">
        <f>SUMIFS(T_Shipments[Confirmed_Qty],T_Shipments[RM_Code],$A32,T_Shipments[Effective_Week],61)</f>
        <v/>
      </c>
      <c r="BK32">
        <f>SUMIFS(T_Shipments[Confirmed_Qty],T_Shipments[RM_Code],$A32,T_Shipments[Effective_Week],62)</f>
        <v/>
      </c>
      <c r="BL32">
        <f>SUMIFS(T_Shipments[Confirmed_Qty],T_Shipments[RM_Code],$A32,T_Shipments[Effective_Week],63)</f>
        <v/>
      </c>
      <c r="BM32">
        <f>SUMIFS(T_Shipments[Confirmed_Qty],T_Shipments[RM_Code],$A32,T_Shipments[Effective_Week],64)</f>
        <v/>
      </c>
      <c r="BN32">
        <f>SUMIFS(T_Shipments[Confirmed_Qty],T_Shipments[RM_Code],$A32,T_Shipments[Effective_Week],65)</f>
        <v/>
      </c>
      <c r="BO32">
        <f>SUMIFS(T_Shipments[Confirmed_Qty],T_Shipments[RM_Code],$A32,T_Shipments[Effective_Week],66)</f>
        <v/>
      </c>
      <c r="BP32">
        <f>SUMIFS(T_Shipments[Confirmed_Qty],T_Shipments[RM_Code],$A32,T_Shipments[Effective_Week],67)</f>
        <v/>
      </c>
      <c r="BQ32">
        <f>SUMIFS(T_Shipments[Confirmed_Qty],T_Shipments[RM_Code],$A32,T_Shipments[Effective_Week],68)</f>
        <v/>
      </c>
      <c r="BR32">
        <f>SUMIFS(T_Shipments[Confirmed_Qty],T_Shipments[RM_Code],$A32,T_Shipments[Effective_Week],69)</f>
        <v/>
      </c>
      <c r="BS32">
        <f>SUMIFS(T_Shipments[Confirmed_Qty],T_Shipments[RM_Code],$A32,T_Shipments[Effective_Week],70)</f>
        <v/>
      </c>
      <c r="BT32">
        <f>SUMIFS(T_Shipments[Confirmed_Qty],T_Shipments[RM_Code],$A32,T_Shipments[Effective_Week],71)</f>
        <v/>
      </c>
      <c r="BU32">
        <f>SUMIFS(T_Shipments[Confirmed_Qty],T_Shipments[RM_Code],$A32,T_Shipments[Effective_Week],72)</f>
        <v/>
      </c>
      <c r="BV32">
        <f>SUMIFS(T_Shipments[Confirmed_Qty],T_Shipments[RM_Code],$A32,T_Shipments[Effective_Week],73)</f>
        <v/>
      </c>
      <c r="BW32">
        <f>SUMIFS(T_Shipments[Confirmed_Qty],T_Shipments[RM_Code],$A32,T_Shipments[Effective_Week],74)</f>
        <v/>
      </c>
      <c r="BX32">
        <f>SUMIFS(T_Shipments[Confirmed_Qty],T_Shipments[RM_Code],$A32,T_Shipments[Effective_Week],75)</f>
        <v/>
      </c>
      <c r="BY32">
        <f>SUMIFS(T_Shipments[Confirmed_Qty],T_Shipments[RM_Code],$A32,T_Shipments[Effective_Week],76)</f>
        <v/>
      </c>
      <c r="BZ32">
        <f>SUMIFS(T_Shipments[Confirmed_Qty],T_Shipments[RM_Code],$A32,T_Shipments[Effective_Week],77)</f>
        <v/>
      </c>
      <c r="CA32">
        <f>SUMIFS(T_Shipments[Confirmed_Qty],T_Shipments[RM_Code],$A32,T_Shipments[Effective_Week],78)</f>
        <v/>
      </c>
      <c r="CB32">
        <f>SUMIFS(T_Shipments[Confirmed_Qty],T_Shipments[RM_Code],$A32,T_Shipments[Effective_Week],79)</f>
        <v/>
      </c>
      <c r="CC32">
        <f>SUMIFS(T_Shipments[Confirmed_Qty],T_Shipments[RM_Code],$A32,T_Shipments[Effective_Week],80)</f>
        <v/>
      </c>
      <c r="CD32">
        <f>SUMIFS(T_Shipments[Confirmed_Qty],T_Shipments[RM_Code],$A32,T_Shipments[Effective_Week],81)</f>
        <v/>
      </c>
      <c r="CE32">
        <f>SUMIFS(T_Shipments[Confirmed_Qty],T_Shipments[RM_Code],$A32,T_Shipments[Effective_Week],82)</f>
        <v/>
      </c>
      <c r="CF32">
        <f>SUMIFS(T_Shipments[Confirmed_Qty],T_Shipments[RM_Code],$A32,T_Shipments[Effective_Week],83)</f>
        <v/>
      </c>
      <c r="CG32">
        <f>SUMIFS(T_Shipments[Confirmed_Qty],T_Shipments[RM_Code],$A32,T_Shipments[Effective_Week],84)</f>
        <v/>
      </c>
      <c r="CH32">
        <f>SUMIFS(T_Shipments[Confirmed_Qty],T_Shipments[RM_Code],$A32,T_Shipments[Effective_Week],85)</f>
        <v/>
      </c>
      <c r="CI32">
        <f>SUMIFS(T_Shipments[Confirmed_Qty],T_Shipments[RM_Code],$A32,T_Shipments[Effective_Week],86)</f>
        <v/>
      </c>
      <c r="CJ32">
        <f>SUMIFS(T_Shipments[Confirmed_Qty],T_Shipments[RM_Code],$A32,T_Shipments[Effective_Week],87)</f>
        <v/>
      </c>
      <c r="CK32">
        <f>SUMIFS(T_Shipments[Confirmed_Qty],T_Shipments[RM_Code],$A32,T_Shipments[Effective_Week],88)</f>
        <v/>
      </c>
      <c r="CL32">
        <f>SUMIFS(T_Shipments[Confirmed_Qty],T_Shipments[RM_Code],$A32,T_Shipments[Effective_Week],89)</f>
        <v/>
      </c>
      <c r="CM32">
        <f>SUMIFS(T_Shipments[Confirmed_Qty],T_Shipments[RM_Code],$A32,T_Shipments[Effective_Week],90)</f>
        <v/>
      </c>
      <c r="CN32">
        <f>SUMIFS(T_Shipments[Confirmed_Qty],T_Shipments[RM_Code],$A32,T_Shipments[Effective_Week],91)</f>
        <v/>
      </c>
      <c r="CO32">
        <f>SUMIFS(T_Shipments[Confirmed_Qty],T_Shipments[RM_Code],$A32,T_Shipments[Effective_Week],92)</f>
        <v/>
      </c>
      <c r="CP32">
        <f>SUMIFS(T_Shipments[Confirmed_Qty],T_Shipments[RM_Code],$A32,T_Shipments[Effective_Week],93)</f>
        <v/>
      </c>
      <c r="CQ32">
        <f>SUMIFS(T_Shipments[Confirmed_Qty],T_Shipments[RM_Code],$A32,T_Shipments[Effective_Week],94)</f>
        <v/>
      </c>
      <c r="CR32">
        <f>SUMIFS(T_Shipments[Confirmed_Qty],T_Shipments[RM_Code],$A32,T_Shipments[Effective_Week],95)</f>
        <v/>
      </c>
      <c r="CS32">
        <f>SUMIFS(T_Shipments[Confirmed_Qty],T_Shipments[RM_Code],$A32,T_Shipments[Effective_Week],96)</f>
        <v/>
      </c>
      <c r="CT32">
        <f>SUMIFS(T_Shipments[Confirmed_Qty],T_Shipments[RM_Code],$A32,T_Shipments[Effective_Week],97)</f>
        <v/>
      </c>
      <c r="CU32">
        <f>SUMIFS(T_Shipments[Confirmed_Qty],T_Shipments[RM_Code],$A32,T_Shipments[Effective_Week],98)</f>
        <v/>
      </c>
      <c r="CV32">
        <f>SUMIFS(T_Shipments[Confirmed_Qty],T_Shipments[RM_Code],$A32,T_Shipments[Effective_Week],99)</f>
        <v/>
      </c>
      <c r="CW32">
        <f>SUMIFS(T_Shipments[Confirmed_Qty],T_Shipments[RM_Code],$A32,T_Shipments[Effective_Week],100)</f>
        <v/>
      </c>
      <c r="CX32">
        <f>SUMIFS(T_Shipments[Confirmed_Qty],T_Shipments[RM_Code],$A32,T_Shipments[Effective_Week],101)</f>
        <v/>
      </c>
      <c r="CY32">
        <f>SUMIFS(T_Shipments[Confirmed_Qty],T_Shipments[RM_Code],$A32,T_Shipments[Effective_Week],102)</f>
        <v/>
      </c>
      <c r="CZ32">
        <f>SUMIFS(T_Shipments[Confirmed_Qty],T_Shipments[RM_Code],$A32,T_Shipments[Effective_Week],103)</f>
        <v/>
      </c>
      <c r="DA32">
        <f>SUMIFS(T_Shipments[Confirmed_Qty],T_Shipments[RM_Code],$A32,T_Shipments[Effective_Week],104)</f>
        <v/>
      </c>
    </row>
    <row r="33">
      <c r="A33" t="inlineStr">
        <is>
          <t>KEJ</t>
        </is>
      </c>
      <c r="B33">
        <f>SUMIFS(T_Shipments[Confirmed_Qty],T_Shipments[RM_Code],$A33,T_Shipments[Effective_Week],1)</f>
        <v/>
      </c>
      <c r="C33">
        <f>SUMIFS(T_Shipments[Confirmed_Qty],T_Shipments[RM_Code],$A33,T_Shipments[Effective_Week],2)</f>
        <v/>
      </c>
      <c r="D33">
        <f>SUMIFS(T_Shipments[Confirmed_Qty],T_Shipments[RM_Code],$A33,T_Shipments[Effective_Week],3)</f>
        <v/>
      </c>
      <c r="E33">
        <f>SUMIFS(T_Shipments[Confirmed_Qty],T_Shipments[RM_Code],$A33,T_Shipments[Effective_Week],4)</f>
        <v/>
      </c>
      <c r="F33">
        <f>SUMIFS(T_Shipments[Confirmed_Qty],T_Shipments[RM_Code],$A33,T_Shipments[Effective_Week],5)</f>
        <v/>
      </c>
      <c r="G33">
        <f>SUMIFS(T_Shipments[Confirmed_Qty],T_Shipments[RM_Code],$A33,T_Shipments[Effective_Week],6)</f>
        <v/>
      </c>
      <c r="H33">
        <f>SUMIFS(T_Shipments[Confirmed_Qty],T_Shipments[RM_Code],$A33,T_Shipments[Effective_Week],7)</f>
        <v/>
      </c>
      <c r="I33">
        <f>SUMIFS(T_Shipments[Confirmed_Qty],T_Shipments[RM_Code],$A33,T_Shipments[Effective_Week],8)</f>
        <v/>
      </c>
      <c r="J33">
        <f>SUMIFS(T_Shipments[Confirmed_Qty],T_Shipments[RM_Code],$A33,T_Shipments[Effective_Week],9)</f>
        <v/>
      </c>
      <c r="K33">
        <f>SUMIFS(T_Shipments[Confirmed_Qty],T_Shipments[RM_Code],$A33,T_Shipments[Effective_Week],10)</f>
        <v/>
      </c>
      <c r="L33">
        <f>SUMIFS(T_Shipments[Confirmed_Qty],T_Shipments[RM_Code],$A33,T_Shipments[Effective_Week],11)</f>
        <v/>
      </c>
      <c r="M33">
        <f>SUMIFS(T_Shipments[Confirmed_Qty],T_Shipments[RM_Code],$A33,T_Shipments[Effective_Week],12)</f>
        <v/>
      </c>
      <c r="N33">
        <f>SUMIFS(T_Shipments[Confirmed_Qty],T_Shipments[RM_Code],$A33,T_Shipments[Effective_Week],13)</f>
        <v/>
      </c>
      <c r="O33">
        <f>SUMIFS(T_Shipments[Confirmed_Qty],T_Shipments[RM_Code],$A33,T_Shipments[Effective_Week],14)</f>
        <v/>
      </c>
      <c r="P33">
        <f>SUMIFS(T_Shipments[Confirmed_Qty],T_Shipments[RM_Code],$A33,T_Shipments[Effective_Week],15)</f>
        <v/>
      </c>
      <c r="Q33">
        <f>SUMIFS(T_Shipments[Confirmed_Qty],T_Shipments[RM_Code],$A33,T_Shipments[Effective_Week],16)</f>
        <v/>
      </c>
      <c r="R33">
        <f>SUMIFS(T_Shipments[Confirmed_Qty],T_Shipments[RM_Code],$A33,T_Shipments[Effective_Week],17)</f>
        <v/>
      </c>
      <c r="S33">
        <f>SUMIFS(T_Shipments[Confirmed_Qty],T_Shipments[RM_Code],$A33,T_Shipments[Effective_Week],18)</f>
        <v/>
      </c>
      <c r="T33">
        <f>SUMIFS(T_Shipments[Confirmed_Qty],T_Shipments[RM_Code],$A33,T_Shipments[Effective_Week],19)</f>
        <v/>
      </c>
      <c r="U33">
        <f>SUMIFS(T_Shipments[Confirmed_Qty],T_Shipments[RM_Code],$A33,T_Shipments[Effective_Week],20)</f>
        <v/>
      </c>
      <c r="V33">
        <f>SUMIFS(T_Shipments[Confirmed_Qty],T_Shipments[RM_Code],$A33,T_Shipments[Effective_Week],21)</f>
        <v/>
      </c>
      <c r="W33">
        <f>SUMIFS(T_Shipments[Confirmed_Qty],T_Shipments[RM_Code],$A33,T_Shipments[Effective_Week],22)</f>
        <v/>
      </c>
      <c r="X33">
        <f>SUMIFS(T_Shipments[Confirmed_Qty],T_Shipments[RM_Code],$A33,T_Shipments[Effective_Week],23)</f>
        <v/>
      </c>
      <c r="Y33">
        <f>SUMIFS(T_Shipments[Confirmed_Qty],T_Shipments[RM_Code],$A33,T_Shipments[Effective_Week],24)</f>
        <v/>
      </c>
      <c r="Z33">
        <f>SUMIFS(T_Shipments[Confirmed_Qty],T_Shipments[RM_Code],$A33,T_Shipments[Effective_Week],25)</f>
        <v/>
      </c>
      <c r="AA33">
        <f>SUMIFS(T_Shipments[Confirmed_Qty],T_Shipments[RM_Code],$A33,T_Shipments[Effective_Week],26)</f>
        <v/>
      </c>
      <c r="AB33">
        <f>SUMIFS(T_Shipments[Confirmed_Qty],T_Shipments[RM_Code],$A33,T_Shipments[Effective_Week],27)</f>
        <v/>
      </c>
      <c r="AC33">
        <f>SUMIFS(T_Shipments[Confirmed_Qty],T_Shipments[RM_Code],$A33,T_Shipments[Effective_Week],28)</f>
        <v/>
      </c>
      <c r="AD33">
        <f>SUMIFS(T_Shipments[Confirmed_Qty],T_Shipments[RM_Code],$A33,T_Shipments[Effective_Week],29)</f>
        <v/>
      </c>
      <c r="AE33">
        <f>SUMIFS(T_Shipments[Confirmed_Qty],T_Shipments[RM_Code],$A33,T_Shipments[Effective_Week],30)</f>
        <v/>
      </c>
      <c r="AF33">
        <f>SUMIFS(T_Shipments[Confirmed_Qty],T_Shipments[RM_Code],$A33,T_Shipments[Effective_Week],31)</f>
        <v/>
      </c>
      <c r="AG33">
        <f>SUMIFS(T_Shipments[Confirmed_Qty],T_Shipments[RM_Code],$A33,T_Shipments[Effective_Week],32)</f>
        <v/>
      </c>
      <c r="AH33">
        <f>SUMIFS(T_Shipments[Confirmed_Qty],T_Shipments[RM_Code],$A33,T_Shipments[Effective_Week],33)</f>
        <v/>
      </c>
      <c r="AI33">
        <f>SUMIFS(T_Shipments[Confirmed_Qty],T_Shipments[RM_Code],$A33,T_Shipments[Effective_Week],34)</f>
        <v/>
      </c>
      <c r="AJ33">
        <f>SUMIFS(T_Shipments[Confirmed_Qty],T_Shipments[RM_Code],$A33,T_Shipments[Effective_Week],35)</f>
        <v/>
      </c>
      <c r="AK33">
        <f>SUMIFS(T_Shipments[Confirmed_Qty],T_Shipments[RM_Code],$A33,T_Shipments[Effective_Week],36)</f>
        <v/>
      </c>
      <c r="AL33">
        <f>SUMIFS(T_Shipments[Confirmed_Qty],T_Shipments[RM_Code],$A33,T_Shipments[Effective_Week],37)</f>
        <v/>
      </c>
      <c r="AM33">
        <f>SUMIFS(T_Shipments[Confirmed_Qty],T_Shipments[RM_Code],$A33,T_Shipments[Effective_Week],38)</f>
        <v/>
      </c>
      <c r="AN33">
        <f>SUMIFS(T_Shipments[Confirmed_Qty],T_Shipments[RM_Code],$A33,T_Shipments[Effective_Week],39)</f>
        <v/>
      </c>
      <c r="AO33">
        <f>SUMIFS(T_Shipments[Confirmed_Qty],T_Shipments[RM_Code],$A33,T_Shipments[Effective_Week],40)</f>
        <v/>
      </c>
      <c r="AP33">
        <f>SUMIFS(T_Shipments[Confirmed_Qty],T_Shipments[RM_Code],$A33,T_Shipments[Effective_Week],41)</f>
        <v/>
      </c>
      <c r="AQ33">
        <f>SUMIFS(T_Shipments[Confirmed_Qty],T_Shipments[RM_Code],$A33,T_Shipments[Effective_Week],42)</f>
        <v/>
      </c>
      <c r="AR33">
        <f>SUMIFS(T_Shipments[Confirmed_Qty],T_Shipments[RM_Code],$A33,T_Shipments[Effective_Week],43)</f>
        <v/>
      </c>
      <c r="AS33">
        <f>SUMIFS(T_Shipments[Confirmed_Qty],T_Shipments[RM_Code],$A33,T_Shipments[Effective_Week],44)</f>
        <v/>
      </c>
      <c r="AT33">
        <f>SUMIFS(T_Shipments[Confirmed_Qty],T_Shipments[RM_Code],$A33,T_Shipments[Effective_Week],45)</f>
        <v/>
      </c>
      <c r="AU33">
        <f>SUMIFS(T_Shipments[Confirmed_Qty],T_Shipments[RM_Code],$A33,T_Shipments[Effective_Week],46)</f>
        <v/>
      </c>
      <c r="AV33">
        <f>SUMIFS(T_Shipments[Confirmed_Qty],T_Shipments[RM_Code],$A33,T_Shipments[Effective_Week],47)</f>
        <v/>
      </c>
      <c r="AW33">
        <f>SUMIFS(T_Shipments[Confirmed_Qty],T_Shipments[RM_Code],$A33,T_Shipments[Effective_Week],48)</f>
        <v/>
      </c>
      <c r="AX33">
        <f>SUMIFS(T_Shipments[Confirmed_Qty],T_Shipments[RM_Code],$A33,T_Shipments[Effective_Week],49)</f>
        <v/>
      </c>
      <c r="AY33">
        <f>SUMIFS(T_Shipments[Confirmed_Qty],T_Shipments[RM_Code],$A33,T_Shipments[Effective_Week],50)</f>
        <v/>
      </c>
      <c r="AZ33">
        <f>SUMIFS(T_Shipments[Confirmed_Qty],T_Shipments[RM_Code],$A33,T_Shipments[Effective_Week],51)</f>
        <v/>
      </c>
      <c r="BA33">
        <f>SUMIFS(T_Shipments[Confirmed_Qty],T_Shipments[RM_Code],$A33,T_Shipments[Effective_Week],52)</f>
        <v/>
      </c>
      <c r="BB33">
        <f>SUMIFS(T_Shipments[Confirmed_Qty],T_Shipments[RM_Code],$A33,T_Shipments[Effective_Week],53)</f>
        <v/>
      </c>
      <c r="BC33">
        <f>SUMIFS(T_Shipments[Confirmed_Qty],T_Shipments[RM_Code],$A33,T_Shipments[Effective_Week],54)</f>
        <v/>
      </c>
      <c r="BD33">
        <f>SUMIFS(T_Shipments[Confirmed_Qty],T_Shipments[RM_Code],$A33,T_Shipments[Effective_Week],55)</f>
        <v/>
      </c>
      <c r="BE33">
        <f>SUMIFS(T_Shipments[Confirmed_Qty],T_Shipments[RM_Code],$A33,T_Shipments[Effective_Week],56)</f>
        <v/>
      </c>
      <c r="BF33">
        <f>SUMIFS(T_Shipments[Confirmed_Qty],T_Shipments[RM_Code],$A33,T_Shipments[Effective_Week],57)</f>
        <v/>
      </c>
      <c r="BG33">
        <f>SUMIFS(T_Shipments[Confirmed_Qty],T_Shipments[RM_Code],$A33,T_Shipments[Effective_Week],58)</f>
        <v/>
      </c>
      <c r="BH33">
        <f>SUMIFS(T_Shipments[Confirmed_Qty],T_Shipments[RM_Code],$A33,T_Shipments[Effective_Week],59)</f>
        <v/>
      </c>
      <c r="BI33">
        <f>SUMIFS(T_Shipments[Confirmed_Qty],T_Shipments[RM_Code],$A33,T_Shipments[Effective_Week],60)</f>
        <v/>
      </c>
      <c r="BJ33">
        <f>SUMIFS(T_Shipments[Confirmed_Qty],T_Shipments[RM_Code],$A33,T_Shipments[Effective_Week],61)</f>
        <v/>
      </c>
      <c r="BK33">
        <f>SUMIFS(T_Shipments[Confirmed_Qty],T_Shipments[RM_Code],$A33,T_Shipments[Effective_Week],62)</f>
        <v/>
      </c>
      <c r="BL33">
        <f>SUMIFS(T_Shipments[Confirmed_Qty],T_Shipments[RM_Code],$A33,T_Shipments[Effective_Week],63)</f>
        <v/>
      </c>
      <c r="BM33">
        <f>SUMIFS(T_Shipments[Confirmed_Qty],T_Shipments[RM_Code],$A33,T_Shipments[Effective_Week],64)</f>
        <v/>
      </c>
      <c r="BN33">
        <f>SUMIFS(T_Shipments[Confirmed_Qty],T_Shipments[RM_Code],$A33,T_Shipments[Effective_Week],65)</f>
        <v/>
      </c>
      <c r="BO33">
        <f>SUMIFS(T_Shipments[Confirmed_Qty],T_Shipments[RM_Code],$A33,T_Shipments[Effective_Week],66)</f>
        <v/>
      </c>
      <c r="BP33">
        <f>SUMIFS(T_Shipments[Confirmed_Qty],T_Shipments[RM_Code],$A33,T_Shipments[Effective_Week],67)</f>
        <v/>
      </c>
      <c r="BQ33">
        <f>SUMIFS(T_Shipments[Confirmed_Qty],T_Shipments[RM_Code],$A33,T_Shipments[Effective_Week],68)</f>
        <v/>
      </c>
      <c r="BR33">
        <f>SUMIFS(T_Shipments[Confirmed_Qty],T_Shipments[RM_Code],$A33,T_Shipments[Effective_Week],69)</f>
        <v/>
      </c>
      <c r="BS33">
        <f>SUMIFS(T_Shipments[Confirmed_Qty],T_Shipments[RM_Code],$A33,T_Shipments[Effective_Week],70)</f>
        <v/>
      </c>
      <c r="BT33">
        <f>SUMIFS(T_Shipments[Confirmed_Qty],T_Shipments[RM_Code],$A33,T_Shipments[Effective_Week],71)</f>
        <v/>
      </c>
      <c r="BU33">
        <f>SUMIFS(T_Shipments[Confirmed_Qty],T_Shipments[RM_Code],$A33,T_Shipments[Effective_Week],72)</f>
        <v/>
      </c>
      <c r="BV33">
        <f>SUMIFS(T_Shipments[Confirmed_Qty],T_Shipments[RM_Code],$A33,T_Shipments[Effective_Week],73)</f>
        <v/>
      </c>
      <c r="BW33">
        <f>SUMIFS(T_Shipments[Confirmed_Qty],T_Shipments[RM_Code],$A33,T_Shipments[Effective_Week],74)</f>
        <v/>
      </c>
      <c r="BX33">
        <f>SUMIFS(T_Shipments[Confirmed_Qty],T_Shipments[RM_Code],$A33,T_Shipments[Effective_Week],75)</f>
        <v/>
      </c>
      <c r="BY33">
        <f>SUMIFS(T_Shipments[Confirmed_Qty],T_Shipments[RM_Code],$A33,T_Shipments[Effective_Week],76)</f>
        <v/>
      </c>
      <c r="BZ33">
        <f>SUMIFS(T_Shipments[Confirmed_Qty],T_Shipments[RM_Code],$A33,T_Shipments[Effective_Week],77)</f>
        <v/>
      </c>
      <c r="CA33">
        <f>SUMIFS(T_Shipments[Confirmed_Qty],T_Shipments[RM_Code],$A33,T_Shipments[Effective_Week],78)</f>
        <v/>
      </c>
      <c r="CB33">
        <f>SUMIFS(T_Shipments[Confirmed_Qty],T_Shipments[RM_Code],$A33,T_Shipments[Effective_Week],79)</f>
        <v/>
      </c>
      <c r="CC33">
        <f>SUMIFS(T_Shipments[Confirmed_Qty],T_Shipments[RM_Code],$A33,T_Shipments[Effective_Week],80)</f>
        <v/>
      </c>
      <c r="CD33">
        <f>SUMIFS(T_Shipments[Confirmed_Qty],T_Shipments[RM_Code],$A33,T_Shipments[Effective_Week],81)</f>
        <v/>
      </c>
      <c r="CE33">
        <f>SUMIFS(T_Shipments[Confirmed_Qty],T_Shipments[RM_Code],$A33,T_Shipments[Effective_Week],82)</f>
        <v/>
      </c>
      <c r="CF33">
        <f>SUMIFS(T_Shipments[Confirmed_Qty],T_Shipments[RM_Code],$A33,T_Shipments[Effective_Week],83)</f>
        <v/>
      </c>
      <c r="CG33">
        <f>SUMIFS(T_Shipments[Confirmed_Qty],T_Shipments[RM_Code],$A33,T_Shipments[Effective_Week],84)</f>
        <v/>
      </c>
      <c r="CH33">
        <f>SUMIFS(T_Shipments[Confirmed_Qty],T_Shipments[RM_Code],$A33,T_Shipments[Effective_Week],85)</f>
        <v/>
      </c>
      <c r="CI33">
        <f>SUMIFS(T_Shipments[Confirmed_Qty],T_Shipments[RM_Code],$A33,T_Shipments[Effective_Week],86)</f>
        <v/>
      </c>
      <c r="CJ33">
        <f>SUMIFS(T_Shipments[Confirmed_Qty],T_Shipments[RM_Code],$A33,T_Shipments[Effective_Week],87)</f>
        <v/>
      </c>
      <c r="CK33">
        <f>SUMIFS(T_Shipments[Confirmed_Qty],T_Shipments[RM_Code],$A33,T_Shipments[Effective_Week],88)</f>
        <v/>
      </c>
      <c r="CL33">
        <f>SUMIFS(T_Shipments[Confirmed_Qty],T_Shipments[RM_Code],$A33,T_Shipments[Effective_Week],89)</f>
        <v/>
      </c>
      <c r="CM33">
        <f>SUMIFS(T_Shipments[Confirmed_Qty],T_Shipments[RM_Code],$A33,T_Shipments[Effective_Week],90)</f>
        <v/>
      </c>
      <c r="CN33">
        <f>SUMIFS(T_Shipments[Confirmed_Qty],T_Shipments[RM_Code],$A33,T_Shipments[Effective_Week],91)</f>
        <v/>
      </c>
      <c r="CO33">
        <f>SUMIFS(T_Shipments[Confirmed_Qty],T_Shipments[RM_Code],$A33,T_Shipments[Effective_Week],92)</f>
        <v/>
      </c>
      <c r="CP33">
        <f>SUMIFS(T_Shipments[Confirmed_Qty],T_Shipments[RM_Code],$A33,T_Shipments[Effective_Week],93)</f>
        <v/>
      </c>
      <c r="CQ33">
        <f>SUMIFS(T_Shipments[Confirmed_Qty],T_Shipments[RM_Code],$A33,T_Shipments[Effective_Week],94)</f>
        <v/>
      </c>
      <c r="CR33">
        <f>SUMIFS(T_Shipments[Confirmed_Qty],T_Shipments[RM_Code],$A33,T_Shipments[Effective_Week],95)</f>
        <v/>
      </c>
      <c r="CS33">
        <f>SUMIFS(T_Shipments[Confirmed_Qty],T_Shipments[RM_Code],$A33,T_Shipments[Effective_Week],96)</f>
        <v/>
      </c>
      <c r="CT33">
        <f>SUMIFS(T_Shipments[Confirmed_Qty],T_Shipments[RM_Code],$A33,T_Shipments[Effective_Week],97)</f>
        <v/>
      </c>
      <c r="CU33">
        <f>SUMIFS(T_Shipments[Confirmed_Qty],T_Shipments[RM_Code],$A33,T_Shipments[Effective_Week],98)</f>
        <v/>
      </c>
      <c r="CV33">
        <f>SUMIFS(T_Shipments[Confirmed_Qty],T_Shipments[RM_Code],$A33,T_Shipments[Effective_Week],99)</f>
        <v/>
      </c>
      <c r="CW33">
        <f>SUMIFS(T_Shipments[Confirmed_Qty],T_Shipments[RM_Code],$A33,T_Shipments[Effective_Week],100)</f>
        <v/>
      </c>
      <c r="CX33">
        <f>SUMIFS(T_Shipments[Confirmed_Qty],T_Shipments[RM_Code],$A33,T_Shipments[Effective_Week],101)</f>
        <v/>
      </c>
      <c r="CY33">
        <f>SUMIFS(T_Shipments[Confirmed_Qty],T_Shipments[RM_Code],$A33,T_Shipments[Effective_Week],102)</f>
        <v/>
      </c>
      <c r="CZ33">
        <f>SUMIFS(T_Shipments[Confirmed_Qty],T_Shipments[RM_Code],$A33,T_Shipments[Effective_Week],103)</f>
        <v/>
      </c>
      <c r="DA33">
        <f>SUMIFS(T_Shipments[Confirmed_Qty],T_Shipments[RM_Code],$A33,T_Shipments[Effective_Week],104)</f>
        <v/>
      </c>
    </row>
    <row r="34">
      <c r="A34" t="inlineStr">
        <is>
          <t>JEJ</t>
        </is>
      </c>
      <c r="B34">
        <f>SUMIFS(T_Shipments[Confirmed_Qty],T_Shipments[RM_Code],$A34,T_Shipments[Effective_Week],1)</f>
        <v/>
      </c>
      <c r="C34">
        <f>SUMIFS(T_Shipments[Confirmed_Qty],T_Shipments[RM_Code],$A34,T_Shipments[Effective_Week],2)</f>
        <v/>
      </c>
      <c r="D34">
        <f>SUMIFS(T_Shipments[Confirmed_Qty],T_Shipments[RM_Code],$A34,T_Shipments[Effective_Week],3)</f>
        <v/>
      </c>
      <c r="E34">
        <f>SUMIFS(T_Shipments[Confirmed_Qty],T_Shipments[RM_Code],$A34,T_Shipments[Effective_Week],4)</f>
        <v/>
      </c>
      <c r="F34">
        <f>SUMIFS(T_Shipments[Confirmed_Qty],T_Shipments[RM_Code],$A34,T_Shipments[Effective_Week],5)</f>
        <v/>
      </c>
      <c r="G34">
        <f>SUMIFS(T_Shipments[Confirmed_Qty],T_Shipments[RM_Code],$A34,T_Shipments[Effective_Week],6)</f>
        <v/>
      </c>
      <c r="H34">
        <f>SUMIFS(T_Shipments[Confirmed_Qty],T_Shipments[RM_Code],$A34,T_Shipments[Effective_Week],7)</f>
        <v/>
      </c>
      <c r="I34">
        <f>SUMIFS(T_Shipments[Confirmed_Qty],T_Shipments[RM_Code],$A34,T_Shipments[Effective_Week],8)</f>
        <v/>
      </c>
      <c r="J34">
        <f>SUMIFS(T_Shipments[Confirmed_Qty],T_Shipments[RM_Code],$A34,T_Shipments[Effective_Week],9)</f>
        <v/>
      </c>
      <c r="K34">
        <f>SUMIFS(T_Shipments[Confirmed_Qty],T_Shipments[RM_Code],$A34,T_Shipments[Effective_Week],10)</f>
        <v/>
      </c>
      <c r="L34">
        <f>SUMIFS(T_Shipments[Confirmed_Qty],T_Shipments[RM_Code],$A34,T_Shipments[Effective_Week],11)</f>
        <v/>
      </c>
      <c r="M34">
        <f>SUMIFS(T_Shipments[Confirmed_Qty],T_Shipments[RM_Code],$A34,T_Shipments[Effective_Week],12)</f>
        <v/>
      </c>
      <c r="N34">
        <f>SUMIFS(T_Shipments[Confirmed_Qty],T_Shipments[RM_Code],$A34,T_Shipments[Effective_Week],13)</f>
        <v/>
      </c>
      <c r="O34">
        <f>SUMIFS(T_Shipments[Confirmed_Qty],T_Shipments[RM_Code],$A34,T_Shipments[Effective_Week],14)</f>
        <v/>
      </c>
      <c r="P34">
        <f>SUMIFS(T_Shipments[Confirmed_Qty],T_Shipments[RM_Code],$A34,T_Shipments[Effective_Week],15)</f>
        <v/>
      </c>
      <c r="Q34">
        <f>SUMIFS(T_Shipments[Confirmed_Qty],T_Shipments[RM_Code],$A34,T_Shipments[Effective_Week],16)</f>
        <v/>
      </c>
      <c r="R34">
        <f>SUMIFS(T_Shipments[Confirmed_Qty],T_Shipments[RM_Code],$A34,T_Shipments[Effective_Week],17)</f>
        <v/>
      </c>
      <c r="S34">
        <f>SUMIFS(T_Shipments[Confirmed_Qty],T_Shipments[RM_Code],$A34,T_Shipments[Effective_Week],18)</f>
        <v/>
      </c>
      <c r="T34">
        <f>SUMIFS(T_Shipments[Confirmed_Qty],T_Shipments[RM_Code],$A34,T_Shipments[Effective_Week],19)</f>
        <v/>
      </c>
      <c r="U34">
        <f>SUMIFS(T_Shipments[Confirmed_Qty],T_Shipments[RM_Code],$A34,T_Shipments[Effective_Week],20)</f>
        <v/>
      </c>
      <c r="V34">
        <f>SUMIFS(T_Shipments[Confirmed_Qty],T_Shipments[RM_Code],$A34,T_Shipments[Effective_Week],21)</f>
        <v/>
      </c>
      <c r="W34">
        <f>SUMIFS(T_Shipments[Confirmed_Qty],T_Shipments[RM_Code],$A34,T_Shipments[Effective_Week],22)</f>
        <v/>
      </c>
      <c r="X34">
        <f>SUMIFS(T_Shipments[Confirmed_Qty],T_Shipments[RM_Code],$A34,T_Shipments[Effective_Week],23)</f>
        <v/>
      </c>
      <c r="Y34">
        <f>SUMIFS(T_Shipments[Confirmed_Qty],T_Shipments[RM_Code],$A34,T_Shipments[Effective_Week],24)</f>
        <v/>
      </c>
      <c r="Z34">
        <f>SUMIFS(T_Shipments[Confirmed_Qty],T_Shipments[RM_Code],$A34,T_Shipments[Effective_Week],25)</f>
        <v/>
      </c>
      <c r="AA34">
        <f>SUMIFS(T_Shipments[Confirmed_Qty],T_Shipments[RM_Code],$A34,T_Shipments[Effective_Week],26)</f>
        <v/>
      </c>
      <c r="AB34">
        <f>SUMIFS(T_Shipments[Confirmed_Qty],T_Shipments[RM_Code],$A34,T_Shipments[Effective_Week],27)</f>
        <v/>
      </c>
      <c r="AC34">
        <f>SUMIFS(T_Shipments[Confirmed_Qty],T_Shipments[RM_Code],$A34,T_Shipments[Effective_Week],28)</f>
        <v/>
      </c>
      <c r="AD34">
        <f>SUMIFS(T_Shipments[Confirmed_Qty],T_Shipments[RM_Code],$A34,T_Shipments[Effective_Week],29)</f>
        <v/>
      </c>
      <c r="AE34">
        <f>SUMIFS(T_Shipments[Confirmed_Qty],T_Shipments[RM_Code],$A34,T_Shipments[Effective_Week],30)</f>
        <v/>
      </c>
      <c r="AF34">
        <f>SUMIFS(T_Shipments[Confirmed_Qty],T_Shipments[RM_Code],$A34,T_Shipments[Effective_Week],31)</f>
        <v/>
      </c>
      <c r="AG34">
        <f>SUMIFS(T_Shipments[Confirmed_Qty],T_Shipments[RM_Code],$A34,T_Shipments[Effective_Week],32)</f>
        <v/>
      </c>
      <c r="AH34">
        <f>SUMIFS(T_Shipments[Confirmed_Qty],T_Shipments[RM_Code],$A34,T_Shipments[Effective_Week],33)</f>
        <v/>
      </c>
      <c r="AI34">
        <f>SUMIFS(T_Shipments[Confirmed_Qty],T_Shipments[RM_Code],$A34,T_Shipments[Effective_Week],34)</f>
        <v/>
      </c>
      <c r="AJ34">
        <f>SUMIFS(T_Shipments[Confirmed_Qty],T_Shipments[RM_Code],$A34,T_Shipments[Effective_Week],35)</f>
        <v/>
      </c>
      <c r="AK34">
        <f>SUMIFS(T_Shipments[Confirmed_Qty],T_Shipments[RM_Code],$A34,T_Shipments[Effective_Week],36)</f>
        <v/>
      </c>
      <c r="AL34">
        <f>SUMIFS(T_Shipments[Confirmed_Qty],T_Shipments[RM_Code],$A34,T_Shipments[Effective_Week],37)</f>
        <v/>
      </c>
      <c r="AM34">
        <f>SUMIFS(T_Shipments[Confirmed_Qty],T_Shipments[RM_Code],$A34,T_Shipments[Effective_Week],38)</f>
        <v/>
      </c>
      <c r="AN34">
        <f>SUMIFS(T_Shipments[Confirmed_Qty],T_Shipments[RM_Code],$A34,T_Shipments[Effective_Week],39)</f>
        <v/>
      </c>
      <c r="AO34">
        <f>SUMIFS(T_Shipments[Confirmed_Qty],T_Shipments[RM_Code],$A34,T_Shipments[Effective_Week],40)</f>
        <v/>
      </c>
      <c r="AP34">
        <f>SUMIFS(T_Shipments[Confirmed_Qty],T_Shipments[RM_Code],$A34,T_Shipments[Effective_Week],41)</f>
        <v/>
      </c>
      <c r="AQ34">
        <f>SUMIFS(T_Shipments[Confirmed_Qty],T_Shipments[RM_Code],$A34,T_Shipments[Effective_Week],42)</f>
        <v/>
      </c>
      <c r="AR34">
        <f>SUMIFS(T_Shipments[Confirmed_Qty],T_Shipments[RM_Code],$A34,T_Shipments[Effective_Week],43)</f>
        <v/>
      </c>
      <c r="AS34">
        <f>SUMIFS(T_Shipments[Confirmed_Qty],T_Shipments[RM_Code],$A34,T_Shipments[Effective_Week],44)</f>
        <v/>
      </c>
      <c r="AT34">
        <f>SUMIFS(T_Shipments[Confirmed_Qty],T_Shipments[RM_Code],$A34,T_Shipments[Effective_Week],45)</f>
        <v/>
      </c>
      <c r="AU34">
        <f>SUMIFS(T_Shipments[Confirmed_Qty],T_Shipments[RM_Code],$A34,T_Shipments[Effective_Week],46)</f>
        <v/>
      </c>
      <c r="AV34">
        <f>SUMIFS(T_Shipments[Confirmed_Qty],T_Shipments[RM_Code],$A34,T_Shipments[Effective_Week],47)</f>
        <v/>
      </c>
      <c r="AW34">
        <f>SUMIFS(T_Shipments[Confirmed_Qty],T_Shipments[RM_Code],$A34,T_Shipments[Effective_Week],48)</f>
        <v/>
      </c>
      <c r="AX34">
        <f>SUMIFS(T_Shipments[Confirmed_Qty],T_Shipments[RM_Code],$A34,T_Shipments[Effective_Week],49)</f>
        <v/>
      </c>
      <c r="AY34">
        <f>SUMIFS(T_Shipments[Confirmed_Qty],T_Shipments[RM_Code],$A34,T_Shipments[Effective_Week],50)</f>
        <v/>
      </c>
      <c r="AZ34">
        <f>SUMIFS(T_Shipments[Confirmed_Qty],T_Shipments[RM_Code],$A34,T_Shipments[Effective_Week],51)</f>
        <v/>
      </c>
      <c r="BA34">
        <f>SUMIFS(T_Shipments[Confirmed_Qty],T_Shipments[RM_Code],$A34,T_Shipments[Effective_Week],52)</f>
        <v/>
      </c>
      <c r="BB34">
        <f>SUMIFS(T_Shipments[Confirmed_Qty],T_Shipments[RM_Code],$A34,T_Shipments[Effective_Week],53)</f>
        <v/>
      </c>
      <c r="BC34">
        <f>SUMIFS(T_Shipments[Confirmed_Qty],T_Shipments[RM_Code],$A34,T_Shipments[Effective_Week],54)</f>
        <v/>
      </c>
      <c r="BD34">
        <f>SUMIFS(T_Shipments[Confirmed_Qty],T_Shipments[RM_Code],$A34,T_Shipments[Effective_Week],55)</f>
        <v/>
      </c>
      <c r="BE34">
        <f>SUMIFS(T_Shipments[Confirmed_Qty],T_Shipments[RM_Code],$A34,T_Shipments[Effective_Week],56)</f>
        <v/>
      </c>
      <c r="BF34">
        <f>SUMIFS(T_Shipments[Confirmed_Qty],T_Shipments[RM_Code],$A34,T_Shipments[Effective_Week],57)</f>
        <v/>
      </c>
      <c r="BG34">
        <f>SUMIFS(T_Shipments[Confirmed_Qty],T_Shipments[RM_Code],$A34,T_Shipments[Effective_Week],58)</f>
        <v/>
      </c>
      <c r="BH34">
        <f>SUMIFS(T_Shipments[Confirmed_Qty],T_Shipments[RM_Code],$A34,T_Shipments[Effective_Week],59)</f>
        <v/>
      </c>
      <c r="BI34">
        <f>SUMIFS(T_Shipments[Confirmed_Qty],T_Shipments[RM_Code],$A34,T_Shipments[Effective_Week],60)</f>
        <v/>
      </c>
      <c r="BJ34">
        <f>SUMIFS(T_Shipments[Confirmed_Qty],T_Shipments[RM_Code],$A34,T_Shipments[Effective_Week],61)</f>
        <v/>
      </c>
      <c r="BK34">
        <f>SUMIFS(T_Shipments[Confirmed_Qty],T_Shipments[RM_Code],$A34,T_Shipments[Effective_Week],62)</f>
        <v/>
      </c>
      <c r="BL34">
        <f>SUMIFS(T_Shipments[Confirmed_Qty],T_Shipments[RM_Code],$A34,T_Shipments[Effective_Week],63)</f>
        <v/>
      </c>
      <c r="BM34">
        <f>SUMIFS(T_Shipments[Confirmed_Qty],T_Shipments[RM_Code],$A34,T_Shipments[Effective_Week],64)</f>
        <v/>
      </c>
      <c r="BN34">
        <f>SUMIFS(T_Shipments[Confirmed_Qty],T_Shipments[RM_Code],$A34,T_Shipments[Effective_Week],65)</f>
        <v/>
      </c>
      <c r="BO34">
        <f>SUMIFS(T_Shipments[Confirmed_Qty],T_Shipments[RM_Code],$A34,T_Shipments[Effective_Week],66)</f>
        <v/>
      </c>
      <c r="BP34">
        <f>SUMIFS(T_Shipments[Confirmed_Qty],T_Shipments[RM_Code],$A34,T_Shipments[Effective_Week],67)</f>
        <v/>
      </c>
      <c r="BQ34">
        <f>SUMIFS(T_Shipments[Confirmed_Qty],T_Shipments[RM_Code],$A34,T_Shipments[Effective_Week],68)</f>
        <v/>
      </c>
      <c r="BR34">
        <f>SUMIFS(T_Shipments[Confirmed_Qty],T_Shipments[RM_Code],$A34,T_Shipments[Effective_Week],69)</f>
        <v/>
      </c>
      <c r="BS34">
        <f>SUMIFS(T_Shipments[Confirmed_Qty],T_Shipments[RM_Code],$A34,T_Shipments[Effective_Week],70)</f>
        <v/>
      </c>
      <c r="BT34">
        <f>SUMIFS(T_Shipments[Confirmed_Qty],T_Shipments[RM_Code],$A34,T_Shipments[Effective_Week],71)</f>
        <v/>
      </c>
      <c r="BU34">
        <f>SUMIFS(T_Shipments[Confirmed_Qty],T_Shipments[RM_Code],$A34,T_Shipments[Effective_Week],72)</f>
        <v/>
      </c>
      <c r="BV34">
        <f>SUMIFS(T_Shipments[Confirmed_Qty],T_Shipments[RM_Code],$A34,T_Shipments[Effective_Week],73)</f>
        <v/>
      </c>
      <c r="BW34">
        <f>SUMIFS(T_Shipments[Confirmed_Qty],T_Shipments[RM_Code],$A34,T_Shipments[Effective_Week],74)</f>
        <v/>
      </c>
      <c r="BX34">
        <f>SUMIFS(T_Shipments[Confirmed_Qty],T_Shipments[RM_Code],$A34,T_Shipments[Effective_Week],75)</f>
        <v/>
      </c>
      <c r="BY34">
        <f>SUMIFS(T_Shipments[Confirmed_Qty],T_Shipments[RM_Code],$A34,T_Shipments[Effective_Week],76)</f>
        <v/>
      </c>
      <c r="BZ34">
        <f>SUMIFS(T_Shipments[Confirmed_Qty],T_Shipments[RM_Code],$A34,T_Shipments[Effective_Week],77)</f>
        <v/>
      </c>
      <c r="CA34">
        <f>SUMIFS(T_Shipments[Confirmed_Qty],T_Shipments[RM_Code],$A34,T_Shipments[Effective_Week],78)</f>
        <v/>
      </c>
      <c r="CB34">
        <f>SUMIFS(T_Shipments[Confirmed_Qty],T_Shipments[RM_Code],$A34,T_Shipments[Effective_Week],79)</f>
        <v/>
      </c>
      <c r="CC34">
        <f>SUMIFS(T_Shipments[Confirmed_Qty],T_Shipments[RM_Code],$A34,T_Shipments[Effective_Week],80)</f>
        <v/>
      </c>
      <c r="CD34">
        <f>SUMIFS(T_Shipments[Confirmed_Qty],T_Shipments[RM_Code],$A34,T_Shipments[Effective_Week],81)</f>
        <v/>
      </c>
      <c r="CE34">
        <f>SUMIFS(T_Shipments[Confirmed_Qty],T_Shipments[RM_Code],$A34,T_Shipments[Effective_Week],82)</f>
        <v/>
      </c>
      <c r="CF34">
        <f>SUMIFS(T_Shipments[Confirmed_Qty],T_Shipments[RM_Code],$A34,T_Shipments[Effective_Week],83)</f>
        <v/>
      </c>
      <c r="CG34">
        <f>SUMIFS(T_Shipments[Confirmed_Qty],T_Shipments[RM_Code],$A34,T_Shipments[Effective_Week],84)</f>
        <v/>
      </c>
      <c r="CH34">
        <f>SUMIFS(T_Shipments[Confirmed_Qty],T_Shipments[RM_Code],$A34,T_Shipments[Effective_Week],85)</f>
        <v/>
      </c>
      <c r="CI34">
        <f>SUMIFS(T_Shipments[Confirmed_Qty],T_Shipments[RM_Code],$A34,T_Shipments[Effective_Week],86)</f>
        <v/>
      </c>
      <c r="CJ34">
        <f>SUMIFS(T_Shipments[Confirmed_Qty],T_Shipments[RM_Code],$A34,T_Shipments[Effective_Week],87)</f>
        <v/>
      </c>
      <c r="CK34">
        <f>SUMIFS(T_Shipments[Confirmed_Qty],T_Shipments[RM_Code],$A34,T_Shipments[Effective_Week],88)</f>
        <v/>
      </c>
      <c r="CL34">
        <f>SUMIFS(T_Shipments[Confirmed_Qty],T_Shipments[RM_Code],$A34,T_Shipments[Effective_Week],89)</f>
        <v/>
      </c>
      <c r="CM34">
        <f>SUMIFS(T_Shipments[Confirmed_Qty],T_Shipments[RM_Code],$A34,T_Shipments[Effective_Week],90)</f>
        <v/>
      </c>
      <c r="CN34">
        <f>SUMIFS(T_Shipments[Confirmed_Qty],T_Shipments[RM_Code],$A34,T_Shipments[Effective_Week],91)</f>
        <v/>
      </c>
      <c r="CO34">
        <f>SUMIFS(T_Shipments[Confirmed_Qty],T_Shipments[RM_Code],$A34,T_Shipments[Effective_Week],92)</f>
        <v/>
      </c>
      <c r="CP34">
        <f>SUMIFS(T_Shipments[Confirmed_Qty],T_Shipments[RM_Code],$A34,T_Shipments[Effective_Week],93)</f>
        <v/>
      </c>
      <c r="CQ34">
        <f>SUMIFS(T_Shipments[Confirmed_Qty],T_Shipments[RM_Code],$A34,T_Shipments[Effective_Week],94)</f>
        <v/>
      </c>
      <c r="CR34">
        <f>SUMIFS(T_Shipments[Confirmed_Qty],T_Shipments[RM_Code],$A34,T_Shipments[Effective_Week],95)</f>
        <v/>
      </c>
      <c r="CS34">
        <f>SUMIFS(T_Shipments[Confirmed_Qty],T_Shipments[RM_Code],$A34,T_Shipments[Effective_Week],96)</f>
        <v/>
      </c>
      <c r="CT34">
        <f>SUMIFS(T_Shipments[Confirmed_Qty],T_Shipments[RM_Code],$A34,T_Shipments[Effective_Week],97)</f>
        <v/>
      </c>
      <c r="CU34">
        <f>SUMIFS(T_Shipments[Confirmed_Qty],T_Shipments[RM_Code],$A34,T_Shipments[Effective_Week],98)</f>
        <v/>
      </c>
      <c r="CV34">
        <f>SUMIFS(T_Shipments[Confirmed_Qty],T_Shipments[RM_Code],$A34,T_Shipments[Effective_Week],99)</f>
        <v/>
      </c>
      <c r="CW34">
        <f>SUMIFS(T_Shipments[Confirmed_Qty],T_Shipments[RM_Code],$A34,T_Shipments[Effective_Week],100)</f>
        <v/>
      </c>
      <c r="CX34">
        <f>SUMIFS(T_Shipments[Confirmed_Qty],T_Shipments[RM_Code],$A34,T_Shipments[Effective_Week],101)</f>
        <v/>
      </c>
      <c r="CY34">
        <f>SUMIFS(T_Shipments[Confirmed_Qty],T_Shipments[RM_Code],$A34,T_Shipments[Effective_Week],102)</f>
        <v/>
      </c>
      <c r="CZ34">
        <f>SUMIFS(T_Shipments[Confirmed_Qty],T_Shipments[RM_Code],$A34,T_Shipments[Effective_Week],103)</f>
        <v/>
      </c>
      <c r="DA34">
        <f>SUMIFS(T_Shipments[Confirmed_Qty],T_Shipments[RM_Code],$A34,T_Shipments[Effective_Week],104)</f>
        <v/>
      </c>
    </row>
    <row r="35">
      <c r="A35" t="inlineStr">
        <is>
          <t>CHEM-1830</t>
        </is>
      </c>
      <c r="B35">
        <f>SUMIFS(T_Shipments[Confirmed_Qty],T_Shipments[RM_Code],$A35,T_Shipments[Effective_Week],1)</f>
        <v/>
      </c>
      <c r="C35">
        <f>SUMIFS(T_Shipments[Confirmed_Qty],T_Shipments[RM_Code],$A35,T_Shipments[Effective_Week],2)</f>
        <v/>
      </c>
      <c r="D35">
        <f>SUMIFS(T_Shipments[Confirmed_Qty],T_Shipments[RM_Code],$A35,T_Shipments[Effective_Week],3)</f>
        <v/>
      </c>
      <c r="E35">
        <f>SUMIFS(T_Shipments[Confirmed_Qty],T_Shipments[RM_Code],$A35,T_Shipments[Effective_Week],4)</f>
        <v/>
      </c>
      <c r="F35">
        <f>SUMIFS(T_Shipments[Confirmed_Qty],T_Shipments[RM_Code],$A35,T_Shipments[Effective_Week],5)</f>
        <v/>
      </c>
      <c r="G35">
        <f>SUMIFS(T_Shipments[Confirmed_Qty],T_Shipments[RM_Code],$A35,T_Shipments[Effective_Week],6)</f>
        <v/>
      </c>
      <c r="H35">
        <f>SUMIFS(T_Shipments[Confirmed_Qty],T_Shipments[RM_Code],$A35,T_Shipments[Effective_Week],7)</f>
        <v/>
      </c>
      <c r="I35">
        <f>SUMIFS(T_Shipments[Confirmed_Qty],T_Shipments[RM_Code],$A35,T_Shipments[Effective_Week],8)</f>
        <v/>
      </c>
      <c r="J35">
        <f>SUMIFS(T_Shipments[Confirmed_Qty],T_Shipments[RM_Code],$A35,T_Shipments[Effective_Week],9)</f>
        <v/>
      </c>
      <c r="K35">
        <f>SUMIFS(T_Shipments[Confirmed_Qty],T_Shipments[RM_Code],$A35,T_Shipments[Effective_Week],10)</f>
        <v/>
      </c>
      <c r="L35">
        <f>SUMIFS(T_Shipments[Confirmed_Qty],T_Shipments[RM_Code],$A35,T_Shipments[Effective_Week],11)</f>
        <v/>
      </c>
      <c r="M35">
        <f>SUMIFS(T_Shipments[Confirmed_Qty],T_Shipments[RM_Code],$A35,T_Shipments[Effective_Week],12)</f>
        <v/>
      </c>
      <c r="N35">
        <f>SUMIFS(T_Shipments[Confirmed_Qty],T_Shipments[RM_Code],$A35,T_Shipments[Effective_Week],13)</f>
        <v/>
      </c>
      <c r="O35">
        <f>SUMIFS(T_Shipments[Confirmed_Qty],T_Shipments[RM_Code],$A35,T_Shipments[Effective_Week],14)</f>
        <v/>
      </c>
      <c r="P35">
        <f>SUMIFS(T_Shipments[Confirmed_Qty],T_Shipments[RM_Code],$A35,T_Shipments[Effective_Week],15)</f>
        <v/>
      </c>
      <c r="Q35">
        <f>SUMIFS(T_Shipments[Confirmed_Qty],T_Shipments[RM_Code],$A35,T_Shipments[Effective_Week],16)</f>
        <v/>
      </c>
      <c r="R35">
        <f>SUMIFS(T_Shipments[Confirmed_Qty],T_Shipments[RM_Code],$A35,T_Shipments[Effective_Week],17)</f>
        <v/>
      </c>
      <c r="S35">
        <f>SUMIFS(T_Shipments[Confirmed_Qty],T_Shipments[RM_Code],$A35,T_Shipments[Effective_Week],18)</f>
        <v/>
      </c>
      <c r="T35">
        <f>SUMIFS(T_Shipments[Confirmed_Qty],T_Shipments[RM_Code],$A35,T_Shipments[Effective_Week],19)</f>
        <v/>
      </c>
      <c r="U35">
        <f>SUMIFS(T_Shipments[Confirmed_Qty],T_Shipments[RM_Code],$A35,T_Shipments[Effective_Week],20)</f>
        <v/>
      </c>
      <c r="V35">
        <f>SUMIFS(T_Shipments[Confirmed_Qty],T_Shipments[RM_Code],$A35,T_Shipments[Effective_Week],21)</f>
        <v/>
      </c>
      <c r="W35">
        <f>SUMIFS(T_Shipments[Confirmed_Qty],T_Shipments[RM_Code],$A35,T_Shipments[Effective_Week],22)</f>
        <v/>
      </c>
      <c r="X35">
        <f>SUMIFS(T_Shipments[Confirmed_Qty],T_Shipments[RM_Code],$A35,T_Shipments[Effective_Week],23)</f>
        <v/>
      </c>
      <c r="Y35">
        <f>SUMIFS(T_Shipments[Confirmed_Qty],T_Shipments[RM_Code],$A35,T_Shipments[Effective_Week],24)</f>
        <v/>
      </c>
      <c r="Z35">
        <f>SUMIFS(T_Shipments[Confirmed_Qty],T_Shipments[RM_Code],$A35,T_Shipments[Effective_Week],25)</f>
        <v/>
      </c>
      <c r="AA35">
        <f>SUMIFS(T_Shipments[Confirmed_Qty],T_Shipments[RM_Code],$A35,T_Shipments[Effective_Week],26)</f>
        <v/>
      </c>
      <c r="AB35">
        <f>SUMIFS(T_Shipments[Confirmed_Qty],T_Shipments[RM_Code],$A35,T_Shipments[Effective_Week],27)</f>
        <v/>
      </c>
      <c r="AC35">
        <f>SUMIFS(T_Shipments[Confirmed_Qty],T_Shipments[RM_Code],$A35,T_Shipments[Effective_Week],28)</f>
        <v/>
      </c>
      <c r="AD35">
        <f>SUMIFS(T_Shipments[Confirmed_Qty],T_Shipments[RM_Code],$A35,T_Shipments[Effective_Week],29)</f>
        <v/>
      </c>
      <c r="AE35">
        <f>SUMIFS(T_Shipments[Confirmed_Qty],T_Shipments[RM_Code],$A35,T_Shipments[Effective_Week],30)</f>
        <v/>
      </c>
      <c r="AF35">
        <f>SUMIFS(T_Shipments[Confirmed_Qty],T_Shipments[RM_Code],$A35,T_Shipments[Effective_Week],31)</f>
        <v/>
      </c>
      <c r="AG35">
        <f>SUMIFS(T_Shipments[Confirmed_Qty],T_Shipments[RM_Code],$A35,T_Shipments[Effective_Week],32)</f>
        <v/>
      </c>
      <c r="AH35">
        <f>SUMIFS(T_Shipments[Confirmed_Qty],T_Shipments[RM_Code],$A35,T_Shipments[Effective_Week],33)</f>
        <v/>
      </c>
      <c r="AI35">
        <f>SUMIFS(T_Shipments[Confirmed_Qty],T_Shipments[RM_Code],$A35,T_Shipments[Effective_Week],34)</f>
        <v/>
      </c>
      <c r="AJ35">
        <f>SUMIFS(T_Shipments[Confirmed_Qty],T_Shipments[RM_Code],$A35,T_Shipments[Effective_Week],35)</f>
        <v/>
      </c>
      <c r="AK35">
        <f>SUMIFS(T_Shipments[Confirmed_Qty],T_Shipments[RM_Code],$A35,T_Shipments[Effective_Week],36)</f>
        <v/>
      </c>
      <c r="AL35">
        <f>SUMIFS(T_Shipments[Confirmed_Qty],T_Shipments[RM_Code],$A35,T_Shipments[Effective_Week],37)</f>
        <v/>
      </c>
      <c r="AM35">
        <f>SUMIFS(T_Shipments[Confirmed_Qty],T_Shipments[RM_Code],$A35,T_Shipments[Effective_Week],38)</f>
        <v/>
      </c>
      <c r="AN35">
        <f>SUMIFS(T_Shipments[Confirmed_Qty],T_Shipments[RM_Code],$A35,T_Shipments[Effective_Week],39)</f>
        <v/>
      </c>
      <c r="AO35">
        <f>SUMIFS(T_Shipments[Confirmed_Qty],T_Shipments[RM_Code],$A35,T_Shipments[Effective_Week],40)</f>
        <v/>
      </c>
      <c r="AP35">
        <f>SUMIFS(T_Shipments[Confirmed_Qty],T_Shipments[RM_Code],$A35,T_Shipments[Effective_Week],41)</f>
        <v/>
      </c>
      <c r="AQ35">
        <f>SUMIFS(T_Shipments[Confirmed_Qty],T_Shipments[RM_Code],$A35,T_Shipments[Effective_Week],42)</f>
        <v/>
      </c>
      <c r="AR35">
        <f>SUMIFS(T_Shipments[Confirmed_Qty],T_Shipments[RM_Code],$A35,T_Shipments[Effective_Week],43)</f>
        <v/>
      </c>
      <c r="AS35">
        <f>SUMIFS(T_Shipments[Confirmed_Qty],T_Shipments[RM_Code],$A35,T_Shipments[Effective_Week],44)</f>
        <v/>
      </c>
      <c r="AT35">
        <f>SUMIFS(T_Shipments[Confirmed_Qty],T_Shipments[RM_Code],$A35,T_Shipments[Effective_Week],45)</f>
        <v/>
      </c>
      <c r="AU35">
        <f>SUMIFS(T_Shipments[Confirmed_Qty],T_Shipments[RM_Code],$A35,T_Shipments[Effective_Week],46)</f>
        <v/>
      </c>
      <c r="AV35">
        <f>SUMIFS(T_Shipments[Confirmed_Qty],T_Shipments[RM_Code],$A35,T_Shipments[Effective_Week],47)</f>
        <v/>
      </c>
      <c r="AW35">
        <f>SUMIFS(T_Shipments[Confirmed_Qty],T_Shipments[RM_Code],$A35,T_Shipments[Effective_Week],48)</f>
        <v/>
      </c>
      <c r="AX35">
        <f>SUMIFS(T_Shipments[Confirmed_Qty],T_Shipments[RM_Code],$A35,T_Shipments[Effective_Week],49)</f>
        <v/>
      </c>
      <c r="AY35">
        <f>SUMIFS(T_Shipments[Confirmed_Qty],T_Shipments[RM_Code],$A35,T_Shipments[Effective_Week],50)</f>
        <v/>
      </c>
      <c r="AZ35">
        <f>SUMIFS(T_Shipments[Confirmed_Qty],T_Shipments[RM_Code],$A35,T_Shipments[Effective_Week],51)</f>
        <v/>
      </c>
      <c r="BA35">
        <f>SUMIFS(T_Shipments[Confirmed_Qty],T_Shipments[RM_Code],$A35,T_Shipments[Effective_Week],52)</f>
        <v/>
      </c>
      <c r="BB35">
        <f>SUMIFS(T_Shipments[Confirmed_Qty],T_Shipments[RM_Code],$A35,T_Shipments[Effective_Week],53)</f>
        <v/>
      </c>
      <c r="BC35">
        <f>SUMIFS(T_Shipments[Confirmed_Qty],T_Shipments[RM_Code],$A35,T_Shipments[Effective_Week],54)</f>
        <v/>
      </c>
      <c r="BD35">
        <f>SUMIFS(T_Shipments[Confirmed_Qty],T_Shipments[RM_Code],$A35,T_Shipments[Effective_Week],55)</f>
        <v/>
      </c>
      <c r="BE35">
        <f>SUMIFS(T_Shipments[Confirmed_Qty],T_Shipments[RM_Code],$A35,T_Shipments[Effective_Week],56)</f>
        <v/>
      </c>
      <c r="BF35">
        <f>SUMIFS(T_Shipments[Confirmed_Qty],T_Shipments[RM_Code],$A35,T_Shipments[Effective_Week],57)</f>
        <v/>
      </c>
      <c r="BG35">
        <f>SUMIFS(T_Shipments[Confirmed_Qty],T_Shipments[RM_Code],$A35,T_Shipments[Effective_Week],58)</f>
        <v/>
      </c>
      <c r="BH35">
        <f>SUMIFS(T_Shipments[Confirmed_Qty],T_Shipments[RM_Code],$A35,T_Shipments[Effective_Week],59)</f>
        <v/>
      </c>
      <c r="BI35">
        <f>SUMIFS(T_Shipments[Confirmed_Qty],T_Shipments[RM_Code],$A35,T_Shipments[Effective_Week],60)</f>
        <v/>
      </c>
      <c r="BJ35">
        <f>SUMIFS(T_Shipments[Confirmed_Qty],T_Shipments[RM_Code],$A35,T_Shipments[Effective_Week],61)</f>
        <v/>
      </c>
      <c r="BK35">
        <f>SUMIFS(T_Shipments[Confirmed_Qty],T_Shipments[RM_Code],$A35,T_Shipments[Effective_Week],62)</f>
        <v/>
      </c>
      <c r="BL35">
        <f>SUMIFS(T_Shipments[Confirmed_Qty],T_Shipments[RM_Code],$A35,T_Shipments[Effective_Week],63)</f>
        <v/>
      </c>
      <c r="BM35">
        <f>SUMIFS(T_Shipments[Confirmed_Qty],T_Shipments[RM_Code],$A35,T_Shipments[Effective_Week],64)</f>
        <v/>
      </c>
      <c r="BN35">
        <f>SUMIFS(T_Shipments[Confirmed_Qty],T_Shipments[RM_Code],$A35,T_Shipments[Effective_Week],65)</f>
        <v/>
      </c>
      <c r="BO35">
        <f>SUMIFS(T_Shipments[Confirmed_Qty],T_Shipments[RM_Code],$A35,T_Shipments[Effective_Week],66)</f>
        <v/>
      </c>
      <c r="BP35">
        <f>SUMIFS(T_Shipments[Confirmed_Qty],T_Shipments[RM_Code],$A35,T_Shipments[Effective_Week],67)</f>
        <v/>
      </c>
      <c r="BQ35">
        <f>SUMIFS(T_Shipments[Confirmed_Qty],T_Shipments[RM_Code],$A35,T_Shipments[Effective_Week],68)</f>
        <v/>
      </c>
      <c r="BR35">
        <f>SUMIFS(T_Shipments[Confirmed_Qty],T_Shipments[RM_Code],$A35,T_Shipments[Effective_Week],69)</f>
        <v/>
      </c>
      <c r="BS35">
        <f>SUMIFS(T_Shipments[Confirmed_Qty],T_Shipments[RM_Code],$A35,T_Shipments[Effective_Week],70)</f>
        <v/>
      </c>
      <c r="BT35">
        <f>SUMIFS(T_Shipments[Confirmed_Qty],T_Shipments[RM_Code],$A35,T_Shipments[Effective_Week],71)</f>
        <v/>
      </c>
      <c r="BU35">
        <f>SUMIFS(T_Shipments[Confirmed_Qty],T_Shipments[RM_Code],$A35,T_Shipments[Effective_Week],72)</f>
        <v/>
      </c>
      <c r="BV35">
        <f>SUMIFS(T_Shipments[Confirmed_Qty],T_Shipments[RM_Code],$A35,T_Shipments[Effective_Week],73)</f>
        <v/>
      </c>
      <c r="BW35">
        <f>SUMIFS(T_Shipments[Confirmed_Qty],T_Shipments[RM_Code],$A35,T_Shipments[Effective_Week],74)</f>
        <v/>
      </c>
      <c r="BX35">
        <f>SUMIFS(T_Shipments[Confirmed_Qty],T_Shipments[RM_Code],$A35,T_Shipments[Effective_Week],75)</f>
        <v/>
      </c>
      <c r="BY35">
        <f>SUMIFS(T_Shipments[Confirmed_Qty],T_Shipments[RM_Code],$A35,T_Shipments[Effective_Week],76)</f>
        <v/>
      </c>
      <c r="BZ35">
        <f>SUMIFS(T_Shipments[Confirmed_Qty],T_Shipments[RM_Code],$A35,T_Shipments[Effective_Week],77)</f>
        <v/>
      </c>
      <c r="CA35">
        <f>SUMIFS(T_Shipments[Confirmed_Qty],T_Shipments[RM_Code],$A35,T_Shipments[Effective_Week],78)</f>
        <v/>
      </c>
      <c r="CB35">
        <f>SUMIFS(T_Shipments[Confirmed_Qty],T_Shipments[RM_Code],$A35,T_Shipments[Effective_Week],79)</f>
        <v/>
      </c>
      <c r="CC35">
        <f>SUMIFS(T_Shipments[Confirmed_Qty],T_Shipments[RM_Code],$A35,T_Shipments[Effective_Week],80)</f>
        <v/>
      </c>
      <c r="CD35">
        <f>SUMIFS(T_Shipments[Confirmed_Qty],T_Shipments[RM_Code],$A35,T_Shipments[Effective_Week],81)</f>
        <v/>
      </c>
      <c r="CE35">
        <f>SUMIFS(T_Shipments[Confirmed_Qty],T_Shipments[RM_Code],$A35,T_Shipments[Effective_Week],82)</f>
        <v/>
      </c>
      <c r="CF35">
        <f>SUMIFS(T_Shipments[Confirmed_Qty],T_Shipments[RM_Code],$A35,T_Shipments[Effective_Week],83)</f>
        <v/>
      </c>
      <c r="CG35">
        <f>SUMIFS(T_Shipments[Confirmed_Qty],T_Shipments[RM_Code],$A35,T_Shipments[Effective_Week],84)</f>
        <v/>
      </c>
      <c r="CH35">
        <f>SUMIFS(T_Shipments[Confirmed_Qty],T_Shipments[RM_Code],$A35,T_Shipments[Effective_Week],85)</f>
        <v/>
      </c>
      <c r="CI35">
        <f>SUMIFS(T_Shipments[Confirmed_Qty],T_Shipments[RM_Code],$A35,T_Shipments[Effective_Week],86)</f>
        <v/>
      </c>
      <c r="CJ35">
        <f>SUMIFS(T_Shipments[Confirmed_Qty],T_Shipments[RM_Code],$A35,T_Shipments[Effective_Week],87)</f>
        <v/>
      </c>
      <c r="CK35">
        <f>SUMIFS(T_Shipments[Confirmed_Qty],T_Shipments[RM_Code],$A35,T_Shipments[Effective_Week],88)</f>
        <v/>
      </c>
      <c r="CL35">
        <f>SUMIFS(T_Shipments[Confirmed_Qty],T_Shipments[RM_Code],$A35,T_Shipments[Effective_Week],89)</f>
        <v/>
      </c>
      <c r="CM35">
        <f>SUMIFS(T_Shipments[Confirmed_Qty],T_Shipments[RM_Code],$A35,T_Shipments[Effective_Week],90)</f>
        <v/>
      </c>
      <c r="CN35">
        <f>SUMIFS(T_Shipments[Confirmed_Qty],T_Shipments[RM_Code],$A35,T_Shipments[Effective_Week],91)</f>
        <v/>
      </c>
      <c r="CO35">
        <f>SUMIFS(T_Shipments[Confirmed_Qty],T_Shipments[RM_Code],$A35,T_Shipments[Effective_Week],92)</f>
        <v/>
      </c>
      <c r="CP35">
        <f>SUMIFS(T_Shipments[Confirmed_Qty],T_Shipments[RM_Code],$A35,T_Shipments[Effective_Week],93)</f>
        <v/>
      </c>
      <c r="CQ35">
        <f>SUMIFS(T_Shipments[Confirmed_Qty],T_Shipments[RM_Code],$A35,T_Shipments[Effective_Week],94)</f>
        <v/>
      </c>
      <c r="CR35">
        <f>SUMIFS(T_Shipments[Confirmed_Qty],T_Shipments[RM_Code],$A35,T_Shipments[Effective_Week],95)</f>
        <v/>
      </c>
      <c r="CS35">
        <f>SUMIFS(T_Shipments[Confirmed_Qty],T_Shipments[RM_Code],$A35,T_Shipments[Effective_Week],96)</f>
        <v/>
      </c>
      <c r="CT35">
        <f>SUMIFS(T_Shipments[Confirmed_Qty],T_Shipments[RM_Code],$A35,T_Shipments[Effective_Week],97)</f>
        <v/>
      </c>
      <c r="CU35">
        <f>SUMIFS(T_Shipments[Confirmed_Qty],T_Shipments[RM_Code],$A35,T_Shipments[Effective_Week],98)</f>
        <v/>
      </c>
      <c r="CV35">
        <f>SUMIFS(T_Shipments[Confirmed_Qty],T_Shipments[RM_Code],$A35,T_Shipments[Effective_Week],99)</f>
        <v/>
      </c>
      <c r="CW35">
        <f>SUMIFS(T_Shipments[Confirmed_Qty],T_Shipments[RM_Code],$A35,T_Shipments[Effective_Week],100)</f>
        <v/>
      </c>
      <c r="CX35">
        <f>SUMIFS(T_Shipments[Confirmed_Qty],T_Shipments[RM_Code],$A35,T_Shipments[Effective_Week],101)</f>
        <v/>
      </c>
      <c r="CY35">
        <f>SUMIFS(T_Shipments[Confirmed_Qty],T_Shipments[RM_Code],$A35,T_Shipments[Effective_Week],102)</f>
        <v/>
      </c>
      <c r="CZ35">
        <f>SUMIFS(T_Shipments[Confirmed_Qty],T_Shipments[RM_Code],$A35,T_Shipments[Effective_Week],103)</f>
        <v/>
      </c>
      <c r="DA35">
        <f>SUMIFS(T_Shipments[Confirmed_Qty],T_Shipments[RM_Code],$A35,T_Shipments[Effective_Week],104)</f>
        <v/>
      </c>
    </row>
    <row r="36">
      <c r="A36" t="inlineStr">
        <is>
          <t>CHEM-1100</t>
        </is>
      </c>
      <c r="B36">
        <f>SUMIFS(T_Shipments[Confirmed_Qty],T_Shipments[RM_Code],$A36,T_Shipments[Effective_Week],1)</f>
        <v/>
      </c>
      <c r="C36">
        <f>SUMIFS(T_Shipments[Confirmed_Qty],T_Shipments[RM_Code],$A36,T_Shipments[Effective_Week],2)</f>
        <v/>
      </c>
      <c r="D36">
        <f>SUMIFS(T_Shipments[Confirmed_Qty],T_Shipments[RM_Code],$A36,T_Shipments[Effective_Week],3)</f>
        <v/>
      </c>
      <c r="E36">
        <f>SUMIFS(T_Shipments[Confirmed_Qty],T_Shipments[RM_Code],$A36,T_Shipments[Effective_Week],4)</f>
        <v/>
      </c>
      <c r="F36">
        <f>SUMIFS(T_Shipments[Confirmed_Qty],T_Shipments[RM_Code],$A36,T_Shipments[Effective_Week],5)</f>
        <v/>
      </c>
      <c r="G36">
        <f>SUMIFS(T_Shipments[Confirmed_Qty],T_Shipments[RM_Code],$A36,T_Shipments[Effective_Week],6)</f>
        <v/>
      </c>
      <c r="H36">
        <f>SUMIFS(T_Shipments[Confirmed_Qty],T_Shipments[RM_Code],$A36,T_Shipments[Effective_Week],7)</f>
        <v/>
      </c>
      <c r="I36">
        <f>SUMIFS(T_Shipments[Confirmed_Qty],T_Shipments[RM_Code],$A36,T_Shipments[Effective_Week],8)</f>
        <v/>
      </c>
      <c r="J36">
        <f>SUMIFS(T_Shipments[Confirmed_Qty],T_Shipments[RM_Code],$A36,T_Shipments[Effective_Week],9)</f>
        <v/>
      </c>
      <c r="K36">
        <f>SUMIFS(T_Shipments[Confirmed_Qty],T_Shipments[RM_Code],$A36,T_Shipments[Effective_Week],10)</f>
        <v/>
      </c>
      <c r="L36">
        <f>SUMIFS(T_Shipments[Confirmed_Qty],T_Shipments[RM_Code],$A36,T_Shipments[Effective_Week],11)</f>
        <v/>
      </c>
      <c r="M36">
        <f>SUMIFS(T_Shipments[Confirmed_Qty],T_Shipments[RM_Code],$A36,T_Shipments[Effective_Week],12)</f>
        <v/>
      </c>
      <c r="N36">
        <f>SUMIFS(T_Shipments[Confirmed_Qty],T_Shipments[RM_Code],$A36,T_Shipments[Effective_Week],13)</f>
        <v/>
      </c>
      <c r="O36">
        <f>SUMIFS(T_Shipments[Confirmed_Qty],T_Shipments[RM_Code],$A36,T_Shipments[Effective_Week],14)</f>
        <v/>
      </c>
      <c r="P36">
        <f>SUMIFS(T_Shipments[Confirmed_Qty],T_Shipments[RM_Code],$A36,T_Shipments[Effective_Week],15)</f>
        <v/>
      </c>
      <c r="Q36">
        <f>SUMIFS(T_Shipments[Confirmed_Qty],T_Shipments[RM_Code],$A36,T_Shipments[Effective_Week],16)</f>
        <v/>
      </c>
      <c r="R36">
        <f>SUMIFS(T_Shipments[Confirmed_Qty],T_Shipments[RM_Code],$A36,T_Shipments[Effective_Week],17)</f>
        <v/>
      </c>
      <c r="S36">
        <f>SUMIFS(T_Shipments[Confirmed_Qty],T_Shipments[RM_Code],$A36,T_Shipments[Effective_Week],18)</f>
        <v/>
      </c>
      <c r="T36">
        <f>SUMIFS(T_Shipments[Confirmed_Qty],T_Shipments[RM_Code],$A36,T_Shipments[Effective_Week],19)</f>
        <v/>
      </c>
      <c r="U36">
        <f>SUMIFS(T_Shipments[Confirmed_Qty],T_Shipments[RM_Code],$A36,T_Shipments[Effective_Week],20)</f>
        <v/>
      </c>
      <c r="V36">
        <f>SUMIFS(T_Shipments[Confirmed_Qty],T_Shipments[RM_Code],$A36,T_Shipments[Effective_Week],21)</f>
        <v/>
      </c>
      <c r="W36">
        <f>SUMIFS(T_Shipments[Confirmed_Qty],T_Shipments[RM_Code],$A36,T_Shipments[Effective_Week],22)</f>
        <v/>
      </c>
      <c r="X36">
        <f>SUMIFS(T_Shipments[Confirmed_Qty],T_Shipments[RM_Code],$A36,T_Shipments[Effective_Week],23)</f>
        <v/>
      </c>
      <c r="Y36">
        <f>SUMIFS(T_Shipments[Confirmed_Qty],T_Shipments[RM_Code],$A36,T_Shipments[Effective_Week],24)</f>
        <v/>
      </c>
      <c r="Z36">
        <f>SUMIFS(T_Shipments[Confirmed_Qty],T_Shipments[RM_Code],$A36,T_Shipments[Effective_Week],25)</f>
        <v/>
      </c>
      <c r="AA36">
        <f>SUMIFS(T_Shipments[Confirmed_Qty],T_Shipments[RM_Code],$A36,T_Shipments[Effective_Week],26)</f>
        <v/>
      </c>
      <c r="AB36">
        <f>SUMIFS(T_Shipments[Confirmed_Qty],T_Shipments[RM_Code],$A36,T_Shipments[Effective_Week],27)</f>
        <v/>
      </c>
      <c r="AC36">
        <f>SUMIFS(T_Shipments[Confirmed_Qty],T_Shipments[RM_Code],$A36,T_Shipments[Effective_Week],28)</f>
        <v/>
      </c>
      <c r="AD36">
        <f>SUMIFS(T_Shipments[Confirmed_Qty],T_Shipments[RM_Code],$A36,T_Shipments[Effective_Week],29)</f>
        <v/>
      </c>
      <c r="AE36">
        <f>SUMIFS(T_Shipments[Confirmed_Qty],T_Shipments[RM_Code],$A36,T_Shipments[Effective_Week],30)</f>
        <v/>
      </c>
      <c r="AF36">
        <f>SUMIFS(T_Shipments[Confirmed_Qty],T_Shipments[RM_Code],$A36,T_Shipments[Effective_Week],31)</f>
        <v/>
      </c>
      <c r="AG36">
        <f>SUMIFS(T_Shipments[Confirmed_Qty],T_Shipments[RM_Code],$A36,T_Shipments[Effective_Week],32)</f>
        <v/>
      </c>
      <c r="AH36">
        <f>SUMIFS(T_Shipments[Confirmed_Qty],T_Shipments[RM_Code],$A36,T_Shipments[Effective_Week],33)</f>
        <v/>
      </c>
      <c r="AI36">
        <f>SUMIFS(T_Shipments[Confirmed_Qty],T_Shipments[RM_Code],$A36,T_Shipments[Effective_Week],34)</f>
        <v/>
      </c>
      <c r="AJ36">
        <f>SUMIFS(T_Shipments[Confirmed_Qty],T_Shipments[RM_Code],$A36,T_Shipments[Effective_Week],35)</f>
        <v/>
      </c>
      <c r="AK36">
        <f>SUMIFS(T_Shipments[Confirmed_Qty],T_Shipments[RM_Code],$A36,T_Shipments[Effective_Week],36)</f>
        <v/>
      </c>
      <c r="AL36">
        <f>SUMIFS(T_Shipments[Confirmed_Qty],T_Shipments[RM_Code],$A36,T_Shipments[Effective_Week],37)</f>
        <v/>
      </c>
      <c r="AM36">
        <f>SUMIFS(T_Shipments[Confirmed_Qty],T_Shipments[RM_Code],$A36,T_Shipments[Effective_Week],38)</f>
        <v/>
      </c>
      <c r="AN36">
        <f>SUMIFS(T_Shipments[Confirmed_Qty],T_Shipments[RM_Code],$A36,T_Shipments[Effective_Week],39)</f>
        <v/>
      </c>
      <c r="AO36">
        <f>SUMIFS(T_Shipments[Confirmed_Qty],T_Shipments[RM_Code],$A36,T_Shipments[Effective_Week],40)</f>
        <v/>
      </c>
      <c r="AP36">
        <f>SUMIFS(T_Shipments[Confirmed_Qty],T_Shipments[RM_Code],$A36,T_Shipments[Effective_Week],41)</f>
        <v/>
      </c>
      <c r="AQ36">
        <f>SUMIFS(T_Shipments[Confirmed_Qty],T_Shipments[RM_Code],$A36,T_Shipments[Effective_Week],42)</f>
        <v/>
      </c>
      <c r="AR36">
        <f>SUMIFS(T_Shipments[Confirmed_Qty],T_Shipments[RM_Code],$A36,T_Shipments[Effective_Week],43)</f>
        <v/>
      </c>
      <c r="AS36">
        <f>SUMIFS(T_Shipments[Confirmed_Qty],T_Shipments[RM_Code],$A36,T_Shipments[Effective_Week],44)</f>
        <v/>
      </c>
      <c r="AT36">
        <f>SUMIFS(T_Shipments[Confirmed_Qty],T_Shipments[RM_Code],$A36,T_Shipments[Effective_Week],45)</f>
        <v/>
      </c>
      <c r="AU36">
        <f>SUMIFS(T_Shipments[Confirmed_Qty],T_Shipments[RM_Code],$A36,T_Shipments[Effective_Week],46)</f>
        <v/>
      </c>
      <c r="AV36">
        <f>SUMIFS(T_Shipments[Confirmed_Qty],T_Shipments[RM_Code],$A36,T_Shipments[Effective_Week],47)</f>
        <v/>
      </c>
      <c r="AW36">
        <f>SUMIFS(T_Shipments[Confirmed_Qty],T_Shipments[RM_Code],$A36,T_Shipments[Effective_Week],48)</f>
        <v/>
      </c>
      <c r="AX36">
        <f>SUMIFS(T_Shipments[Confirmed_Qty],T_Shipments[RM_Code],$A36,T_Shipments[Effective_Week],49)</f>
        <v/>
      </c>
      <c r="AY36">
        <f>SUMIFS(T_Shipments[Confirmed_Qty],T_Shipments[RM_Code],$A36,T_Shipments[Effective_Week],50)</f>
        <v/>
      </c>
      <c r="AZ36">
        <f>SUMIFS(T_Shipments[Confirmed_Qty],T_Shipments[RM_Code],$A36,T_Shipments[Effective_Week],51)</f>
        <v/>
      </c>
      <c r="BA36">
        <f>SUMIFS(T_Shipments[Confirmed_Qty],T_Shipments[RM_Code],$A36,T_Shipments[Effective_Week],52)</f>
        <v/>
      </c>
      <c r="BB36">
        <f>SUMIFS(T_Shipments[Confirmed_Qty],T_Shipments[RM_Code],$A36,T_Shipments[Effective_Week],53)</f>
        <v/>
      </c>
      <c r="BC36">
        <f>SUMIFS(T_Shipments[Confirmed_Qty],T_Shipments[RM_Code],$A36,T_Shipments[Effective_Week],54)</f>
        <v/>
      </c>
      <c r="BD36">
        <f>SUMIFS(T_Shipments[Confirmed_Qty],T_Shipments[RM_Code],$A36,T_Shipments[Effective_Week],55)</f>
        <v/>
      </c>
      <c r="BE36">
        <f>SUMIFS(T_Shipments[Confirmed_Qty],T_Shipments[RM_Code],$A36,T_Shipments[Effective_Week],56)</f>
        <v/>
      </c>
      <c r="BF36">
        <f>SUMIFS(T_Shipments[Confirmed_Qty],T_Shipments[RM_Code],$A36,T_Shipments[Effective_Week],57)</f>
        <v/>
      </c>
      <c r="BG36">
        <f>SUMIFS(T_Shipments[Confirmed_Qty],T_Shipments[RM_Code],$A36,T_Shipments[Effective_Week],58)</f>
        <v/>
      </c>
      <c r="BH36">
        <f>SUMIFS(T_Shipments[Confirmed_Qty],T_Shipments[RM_Code],$A36,T_Shipments[Effective_Week],59)</f>
        <v/>
      </c>
      <c r="BI36">
        <f>SUMIFS(T_Shipments[Confirmed_Qty],T_Shipments[RM_Code],$A36,T_Shipments[Effective_Week],60)</f>
        <v/>
      </c>
      <c r="BJ36">
        <f>SUMIFS(T_Shipments[Confirmed_Qty],T_Shipments[RM_Code],$A36,T_Shipments[Effective_Week],61)</f>
        <v/>
      </c>
      <c r="BK36">
        <f>SUMIFS(T_Shipments[Confirmed_Qty],T_Shipments[RM_Code],$A36,T_Shipments[Effective_Week],62)</f>
        <v/>
      </c>
      <c r="BL36">
        <f>SUMIFS(T_Shipments[Confirmed_Qty],T_Shipments[RM_Code],$A36,T_Shipments[Effective_Week],63)</f>
        <v/>
      </c>
      <c r="BM36">
        <f>SUMIFS(T_Shipments[Confirmed_Qty],T_Shipments[RM_Code],$A36,T_Shipments[Effective_Week],64)</f>
        <v/>
      </c>
      <c r="BN36">
        <f>SUMIFS(T_Shipments[Confirmed_Qty],T_Shipments[RM_Code],$A36,T_Shipments[Effective_Week],65)</f>
        <v/>
      </c>
      <c r="BO36">
        <f>SUMIFS(T_Shipments[Confirmed_Qty],T_Shipments[RM_Code],$A36,T_Shipments[Effective_Week],66)</f>
        <v/>
      </c>
      <c r="BP36">
        <f>SUMIFS(T_Shipments[Confirmed_Qty],T_Shipments[RM_Code],$A36,T_Shipments[Effective_Week],67)</f>
        <v/>
      </c>
      <c r="BQ36">
        <f>SUMIFS(T_Shipments[Confirmed_Qty],T_Shipments[RM_Code],$A36,T_Shipments[Effective_Week],68)</f>
        <v/>
      </c>
      <c r="BR36">
        <f>SUMIFS(T_Shipments[Confirmed_Qty],T_Shipments[RM_Code],$A36,T_Shipments[Effective_Week],69)</f>
        <v/>
      </c>
      <c r="BS36">
        <f>SUMIFS(T_Shipments[Confirmed_Qty],T_Shipments[RM_Code],$A36,T_Shipments[Effective_Week],70)</f>
        <v/>
      </c>
      <c r="BT36">
        <f>SUMIFS(T_Shipments[Confirmed_Qty],T_Shipments[RM_Code],$A36,T_Shipments[Effective_Week],71)</f>
        <v/>
      </c>
      <c r="BU36">
        <f>SUMIFS(T_Shipments[Confirmed_Qty],T_Shipments[RM_Code],$A36,T_Shipments[Effective_Week],72)</f>
        <v/>
      </c>
      <c r="BV36">
        <f>SUMIFS(T_Shipments[Confirmed_Qty],T_Shipments[RM_Code],$A36,T_Shipments[Effective_Week],73)</f>
        <v/>
      </c>
      <c r="BW36">
        <f>SUMIFS(T_Shipments[Confirmed_Qty],T_Shipments[RM_Code],$A36,T_Shipments[Effective_Week],74)</f>
        <v/>
      </c>
      <c r="BX36">
        <f>SUMIFS(T_Shipments[Confirmed_Qty],T_Shipments[RM_Code],$A36,T_Shipments[Effective_Week],75)</f>
        <v/>
      </c>
      <c r="BY36">
        <f>SUMIFS(T_Shipments[Confirmed_Qty],T_Shipments[RM_Code],$A36,T_Shipments[Effective_Week],76)</f>
        <v/>
      </c>
      <c r="BZ36">
        <f>SUMIFS(T_Shipments[Confirmed_Qty],T_Shipments[RM_Code],$A36,T_Shipments[Effective_Week],77)</f>
        <v/>
      </c>
      <c r="CA36">
        <f>SUMIFS(T_Shipments[Confirmed_Qty],T_Shipments[RM_Code],$A36,T_Shipments[Effective_Week],78)</f>
        <v/>
      </c>
      <c r="CB36">
        <f>SUMIFS(T_Shipments[Confirmed_Qty],T_Shipments[RM_Code],$A36,T_Shipments[Effective_Week],79)</f>
        <v/>
      </c>
      <c r="CC36">
        <f>SUMIFS(T_Shipments[Confirmed_Qty],T_Shipments[RM_Code],$A36,T_Shipments[Effective_Week],80)</f>
        <v/>
      </c>
      <c r="CD36">
        <f>SUMIFS(T_Shipments[Confirmed_Qty],T_Shipments[RM_Code],$A36,T_Shipments[Effective_Week],81)</f>
        <v/>
      </c>
      <c r="CE36">
        <f>SUMIFS(T_Shipments[Confirmed_Qty],T_Shipments[RM_Code],$A36,T_Shipments[Effective_Week],82)</f>
        <v/>
      </c>
      <c r="CF36">
        <f>SUMIFS(T_Shipments[Confirmed_Qty],T_Shipments[RM_Code],$A36,T_Shipments[Effective_Week],83)</f>
        <v/>
      </c>
      <c r="CG36">
        <f>SUMIFS(T_Shipments[Confirmed_Qty],T_Shipments[RM_Code],$A36,T_Shipments[Effective_Week],84)</f>
        <v/>
      </c>
      <c r="CH36">
        <f>SUMIFS(T_Shipments[Confirmed_Qty],T_Shipments[RM_Code],$A36,T_Shipments[Effective_Week],85)</f>
        <v/>
      </c>
      <c r="CI36">
        <f>SUMIFS(T_Shipments[Confirmed_Qty],T_Shipments[RM_Code],$A36,T_Shipments[Effective_Week],86)</f>
        <v/>
      </c>
      <c r="CJ36">
        <f>SUMIFS(T_Shipments[Confirmed_Qty],T_Shipments[RM_Code],$A36,T_Shipments[Effective_Week],87)</f>
        <v/>
      </c>
      <c r="CK36">
        <f>SUMIFS(T_Shipments[Confirmed_Qty],T_Shipments[RM_Code],$A36,T_Shipments[Effective_Week],88)</f>
        <v/>
      </c>
      <c r="CL36">
        <f>SUMIFS(T_Shipments[Confirmed_Qty],T_Shipments[RM_Code],$A36,T_Shipments[Effective_Week],89)</f>
        <v/>
      </c>
      <c r="CM36">
        <f>SUMIFS(T_Shipments[Confirmed_Qty],T_Shipments[RM_Code],$A36,T_Shipments[Effective_Week],90)</f>
        <v/>
      </c>
      <c r="CN36">
        <f>SUMIFS(T_Shipments[Confirmed_Qty],T_Shipments[RM_Code],$A36,T_Shipments[Effective_Week],91)</f>
        <v/>
      </c>
      <c r="CO36">
        <f>SUMIFS(T_Shipments[Confirmed_Qty],T_Shipments[RM_Code],$A36,T_Shipments[Effective_Week],92)</f>
        <v/>
      </c>
      <c r="CP36">
        <f>SUMIFS(T_Shipments[Confirmed_Qty],T_Shipments[RM_Code],$A36,T_Shipments[Effective_Week],93)</f>
        <v/>
      </c>
      <c r="CQ36">
        <f>SUMIFS(T_Shipments[Confirmed_Qty],T_Shipments[RM_Code],$A36,T_Shipments[Effective_Week],94)</f>
        <v/>
      </c>
      <c r="CR36">
        <f>SUMIFS(T_Shipments[Confirmed_Qty],T_Shipments[RM_Code],$A36,T_Shipments[Effective_Week],95)</f>
        <v/>
      </c>
      <c r="CS36">
        <f>SUMIFS(T_Shipments[Confirmed_Qty],T_Shipments[RM_Code],$A36,T_Shipments[Effective_Week],96)</f>
        <v/>
      </c>
      <c r="CT36">
        <f>SUMIFS(T_Shipments[Confirmed_Qty],T_Shipments[RM_Code],$A36,T_Shipments[Effective_Week],97)</f>
        <v/>
      </c>
      <c r="CU36">
        <f>SUMIFS(T_Shipments[Confirmed_Qty],T_Shipments[RM_Code],$A36,T_Shipments[Effective_Week],98)</f>
        <v/>
      </c>
      <c r="CV36">
        <f>SUMIFS(T_Shipments[Confirmed_Qty],T_Shipments[RM_Code],$A36,T_Shipments[Effective_Week],99)</f>
        <v/>
      </c>
      <c r="CW36">
        <f>SUMIFS(T_Shipments[Confirmed_Qty],T_Shipments[RM_Code],$A36,T_Shipments[Effective_Week],100)</f>
        <v/>
      </c>
      <c r="CX36">
        <f>SUMIFS(T_Shipments[Confirmed_Qty],T_Shipments[RM_Code],$A36,T_Shipments[Effective_Week],101)</f>
        <v/>
      </c>
      <c r="CY36">
        <f>SUMIFS(T_Shipments[Confirmed_Qty],T_Shipments[RM_Code],$A36,T_Shipments[Effective_Week],102)</f>
        <v/>
      </c>
      <c r="CZ36">
        <f>SUMIFS(T_Shipments[Confirmed_Qty],T_Shipments[RM_Code],$A36,T_Shipments[Effective_Week],103)</f>
        <v/>
      </c>
      <c r="DA36">
        <f>SUMIFS(T_Shipments[Confirmed_Qty],T_Shipments[RM_Code],$A36,T_Shipments[Effective_Week],104)</f>
        <v/>
      </c>
    </row>
    <row r="37">
      <c r="A37" t="inlineStr">
        <is>
          <t>CHEM-1680</t>
        </is>
      </c>
      <c r="B37">
        <f>SUMIFS(T_Shipments[Confirmed_Qty],T_Shipments[RM_Code],$A37,T_Shipments[Effective_Week],1)</f>
        <v/>
      </c>
      <c r="C37">
        <f>SUMIFS(T_Shipments[Confirmed_Qty],T_Shipments[RM_Code],$A37,T_Shipments[Effective_Week],2)</f>
        <v/>
      </c>
      <c r="D37">
        <f>SUMIFS(T_Shipments[Confirmed_Qty],T_Shipments[RM_Code],$A37,T_Shipments[Effective_Week],3)</f>
        <v/>
      </c>
      <c r="E37">
        <f>SUMIFS(T_Shipments[Confirmed_Qty],T_Shipments[RM_Code],$A37,T_Shipments[Effective_Week],4)</f>
        <v/>
      </c>
      <c r="F37">
        <f>SUMIFS(T_Shipments[Confirmed_Qty],T_Shipments[RM_Code],$A37,T_Shipments[Effective_Week],5)</f>
        <v/>
      </c>
      <c r="G37">
        <f>SUMIFS(T_Shipments[Confirmed_Qty],T_Shipments[RM_Code],$A37,T_Shipments[Effective_Week],6)</f>
        <v/>
      </c>
      <c r="H37">
        <f>SUMIFS(T_Shipments[Confirmed_Qty],T_Shipments[RM_Code],$A37,T_Shipments[Effective_Week],7)</f>
        <v/>
      </c>
      <c r="I37">
        <f>SUMIFS(T_Shipments[Confirmed_Qty],T_Shipments[RM_Code],$A37,T_Shipments[Effective_Week],8)</f>
        <v/>
      </c>
      <c r="J37">
        <f>SUMIFS(T_Shipments[Confirmed_Qty],T_Shipments[RM_Code],$A37,T_Shipments[Effective_Week],9)</f>
        <v/>
      </c>
      <c r="K37">
        <f>SUMIFS(T_Shipments[Confirmed_Qty],T_Shipments[RM_Code],$A37,T_Shipments[Effective_Week],10)</f>
        <v/>
      </c>
      <c r="L37">
        <f>SUMIFS(T_Shipments[Confirmed_Qty],T_Shipments[RM_Code],$A37,T_Shipments[Effective_Week],11)</f>
        <v/>
      </c>
      <c r="M37">
        <f>SUMIFS(T_Shipments[Confirmed_Qty],T_Shipments[RM_Code],$A37,T_Shipments[Effective_Week],12)</f>
        <v/>
      </c>
      <c r="N37">
        <f>SUMIFS(T_Shipments[Confirmed_Qty],T_Shipments[RM_Code],$A37,T_Shipments[Effective_Week],13)</f>
        <v/>
      </c>
      <c r="O37">
        <f>SUMIFS(T_Shipments[Confirmed_Qty],T_Shipments[RM_Code],$A37,T_Shipments[Effective_Week],14)</f>
        <v/>
      </c>
      <c r="P37">
        <f>SUMIFS(T_Shipments[Confirmed_Qty],T_Shipments[RM_Code],$A37,T_Shipments[Effective_Week],15)</f>
        <v/>
      </c>
      <c r="Q37">
        <f>SUMIFS(T_Shipments[Confirmed_Qty],T_Shipments[RM_Code],$A37,T_Shipments[Effective_Week],16)</f>
        <v/>
      </c>
      <c r="R37">
        <f>SUMIFS(T_Shipments[Confirmed_Qty],T_Shipments[RM_Code],$A37,T_Shipments[Effective_Week],17)</f>
        <v/>
      </c>
      <c r="S37">
        <f>SUMIFS(T_Shipments[Confirmed_Qty],T_Shipments[RM_Code],$A37,T_Shipments[Effective_Week],18)</f>
        <v/>
      </c>
      <c r="T37">
        <f>SUMIFS(T_Shipments[Confirmed_Qty],T_Shipments[RM_Code],$A37,T_Shipments[Effective_Week],19)</f>
        <v/>
      </c>
      <c r="U37">
        <f>SUMIFS(T_Shipments[Confirmed_Qty],T_Shipments[RM_Code],$A37,T_Shipments[Effective_Week],20)</f>
        <v/>
      </c>
      <c r="V37">
        <f>SUMIFS(T_Shipments[Confirmed_Qty],T_Shipments[RM_Code],$A37,T_Shipments[Effective_Week],21)</f>
        <v/>
      </c>
      <c r="W37">
        <f>SUMIFS(T_Shipments[Confirmed_Qty],T_Shipments[RM_Code],$A37,T_Shipments[Effective_Week],22)</f>
        <v/>
      </c>
      <c r="X37">
        <f>SUMIFS(T_Shipments[Confirmed_Qty],T_Shipments[RM_Code],$A37,T_Shipments[Effective_Week],23)</f>
        <v/>
      </c>
      <c r="Y37">
        <f>SUMIFS(T_Shipments[Confirmed_Qty],T_Shipments[RM_Code],$A37,T_Shipments[Effective_Week],24)</f>
        <v/>
      </c>
      <c r="Z37">
        <f>SUMIFS(T_Shipments[Confirmed_Qty],T_Shipments[RM_Code],$A37,T_Shipments[Effective_Week],25)</f>
        <v/>
      </c>
      <c r="AA37">
        <f>SUMIFS(T_Shipments[Confirmed_Qty],T_Shipments[RM_Code],$A37,T_Shipments[Effective_Week],26)</f>
        <v/>
      </c>
      <c r="AB37">
        <f>SUMIFS(T_Shipments[Confirmed_Qty],T_Shipments[RM_Code],$A37,T_Shipments[Effective_Week],27)</f>
        <v/>
      </c>
      <c r="AC37">
        <f>SUMIFS(T_Shipments[Confirmed_Qty],T_Shipments[RM_Code],$A37,T_Shipments[Effective_Week],28)</f>
        <v/>
      </c>
      <c r="AD37">
        <f>SUMIFS(T_Shipments[Confirmed_Qty],T_Shipments[RM_Code],$A37,T_Shipments[Effective_Week],29)</f>
        <v/>
      </c>
      <c r="AE37">
        <f>SUMIFS(T_Shipments[Confirmed_Qty],T_Shipments[RM_Code],$A37,T_Shipments[Effective_Week],30)</f>
        <v/>
      </c>
      <c r="AF37">
        <f>SUMIFS(T_Shipments[Confirmed_Qty],T_Shipments[RM_Code],$A37,T_Shipments[Effective_Week],31)</f>
        <v/>
      </c>
      <c r="AG37">
        <f>SUMIFS(T_Shipments[Confirmed_Qty],T_Shipments[RM_Code],$A37,T_Shipments[Effective_Week],32)</f>
        <v/>
      </c>
      <c r="AH37">
        <f>SUMIFS(T_Shipments[Confirmed_Qty],T_Shipments[RM_Code],$A37,T_Shipments[Effective_Week],33)</f>
        <v/>
      </c>
      <c r="AI37">
        <f>SUMIFS(T_Shipments[Confirmed_Qty],T_Shipments[RM_Code],$A37,T_Shipments[Effective_Week],34)</f>
        <v/>
      </c>
      <c r="AJ37">
        <f>SUMIFS(T_Shipments[Confirmed_Qty],T_Shipments[RM_Code],$A37,T_Shipments[Effective_Week],35)</f>
        <v/>
      </c>
      <c r="AK37">
        <f>SUMIFS(T_Shipments[Confirmed_Qty],T_Shipments[RM_Code],$A37,T_Shipments[Effective_Week],36)</f>
        <v/>
      </c>
      <c r="AL37">
        <f>SUMIFS(T_Shipments[Confirmed_Qty],T_Shipments[RM_Code],$A37,T_Shipments[Effective_Week],37)</f>
        <v/>
      </c>
      <c r="AM37">
        <f>SUMIFS(T_Shipments[Confirmed_Qty],T_Shipments[RM_Code],$A37,T_Shipments[Effective_Week],38)</f>
        <v/>
      </c>
      <c r="AN37">
        <f>SUMIFS(T_Shipments[Confirmed_Qty],T_Shipments[RM_Code],$A37,T_Shipments[Effective_Week],39)</f>
        <v/>
      </c>
      <c r="AO37">
        <f>SUMIFS(T_Shipments[Confirmed_Qty],T_Shipments[RM_Code],$A37,T_Shipments[Effective_Week],40)</f>
        <v/>
      </c>
      <c r="AP37">
        <f>SUMIFS(T_Shipments[Confirmed_Qty],T_Shipments[RM_Code],$A37,T_Shipments[Effective_Week],41)</f>
        <v/>
      </c>
      <c r="AQ37">
        <f>SUMIFS(T_Shipments[Confirmed_Qty],T_Shipments[RM_Code],$A37,T_Shipments[Effective_Week],42)</f>
        <v/>
      </c>
      <c r="AR37">
        <f>SUMIFS(T_Shipments[Confirmed_Qty],T_Shipments[RM_Code],$A37,T_Shipments[Effective_Week],43)</f>
        <v/>
      </c>
      <c r="AS37">
        <f>SUMIFS(T_Shipments[Confirmed_Qty],T_Shipments[RM_Code],$A37,T_Shipments[Effective_Week],44)</f>
        <v/>
      </c>
      <c r="AT37">
        <f>SUMIFS(T_Shipments[Confirmed_Qty],T_Shipments[RM_Code],$A37,T_Shipments[Effective_Week],45)</f>
        <v/>
      </c>
      <c r="AU37">
        <f>SUMIFS(T_Shipments[Confirmed_Qty],T_Shipments[RM_Code],$A37,T_Shipments[Effective_Week],46)</f>
        <v/>
      </c>
      <c r="AV37">
        <f>SUMIFS(T_Shipments[Confirmed_Qty],T_Shipments[RM_Code],$A37,T_Shipments[Effective_Week],47)</f>
        <v/>
      </c>
      <c r="AW37">
        <f>SUMIFS(T_Shipments[Confirmed_Qty],T_Shipments[RM_Code],$A37,T_Shipments[Effective_Week],48)</f>
        <v/>
      </c>
      <c r="AX37">
        <f>SUMIFS(T_Shipments[Confirmed_Qty],T_Shipments[RM_Code],$A37,T_Shipments[Effective_Week],49)</f>
        <v/>
      </c>
      <c r="AY37">
        <f>SUMIFS(T_Shipments[Confirmed_Qty],T_Shipments[RM_Code],$A37,T_Shipments[Effective_Week],50)</f>
        <v/>
      </c>
      <c r="AZ37">
        <f>SUMIFS(T_Shipments[Confirmed_Qty],T_Shipments[RM_Code],$A37,T_Shipments[Effective_Week],51)</f>
        <v/>
      </c>
      <c r="BA37">
        <f>SUMIFS(T_Shipments[Confirmed_Qty],T_Shipments[RM_Code],$A37,T_Shipments[Effective_Week],52)</f>
        <v/>
      </c>
      <c r="BB37">
        <f>SUMIFS(T_Shipments[Confirmed_Qty],T_Shipments[RM_Code],$A37,T_Shipments[Effective_Week],53)</f>
        <v/>
      </c>
      <c r="BC37">
        <f>SUMIFS(T_Shipments[Confirmed_Qty],T_Shipments[RM_Code],$A37,T_Shipments[Effective_Week],54)</f>
        <v/>
      </c>
      <c r="BD37">
        <f>SUMIFS(T_Shipments[Confirmed_Qty],T_Shipments[RM_Code],$A37,T_Shipments[Effective_Week],55)</f>
        <v/>
      </c>
      <c r="BE37">
        <f>SUMIFS(T_Shipments[Confirmed_Qty],T_Shipments[RM_Code],$A37,T_Shipments[Effective_Week],56)</f>
        <v/>
      </c>
      <c r="BF37">
        <f>SUMIFS(T_Shipments[Confirmed_Qty],T_Shipments[RM_Code],$A37,T_Shipments[Effective_Week],57)</f>
        <v/>
      </c>
      <c r="BG37">
        <f>SUMIFS(T_Shipments[Confirmed_Qty],T_Shipments[RM_Code],$A37,T_Shipments[Effective_Week],58)</f>
        <v/>
      </c>
      <c r="BH37">
        <f>SUMIFS(T_Shipments[Confirmed_Qty],T_Shipments[RM_Code],$A37,T_Shipments[Effective_Week],59)</f>
        <v/>
      </c>
      <c r="BI37">
        <f>SUMIFS(T_Shipments[Confirmed_Qty],T_Shipments[RM_Code],$A37,T_Shipments[Effective_Week],60)</f>
        <v/>
      </c>
      <c r="BJ37">
        <f>SUMIFS(T_Shipments[Confirmed_Qty],T_Shipments[RM_Code],$A37,T_Shipments[Effective_Week],61)</f>
        <v/>
      </c>
      <c r="BK37">
        <f>SUMIFS(T_Shipments[Confirmed_Qty],T_Shipments[RM_Code],$A37,T_Shipments[Effective_Week],62)</f>
        <v/>
      </c>
      <c r="BL37">
        <f>SUMIFS(T_Shipments[Confirmed_Qty],T_Shipments[RM_Code],$A37,T_Shipments[Effective_Week],63)</f>
        <v/>
      </c>
      <c r="BM37">
        <f>SUMIFS(T_Shipments[Confirmed_Qty],T_Shipments[RM_Code],$A37,T_Shipments[Effective_Week],64)</f>
        <v/>
      </c>
      <c r="BN37">
        <f>SUMIFS(T_Shipments[Confirmed_Qty],T_Shipments[RM_Code],$A37,T_Shipments[Effective_Week],65)</f>
        <v/>
      </c>
      <c r="BO37">
        <f>SUMIFS(T_Shipments[Confirmed_Qty],T_Shipments[RM_Code],$A37,T_Shipments[Effective_Week],66)</f>
        <v/>
      </c>
      <c r="BP37">
        <f>SUMIFS(T_Shipments[Confirmed_Qty],T_Shipments[RM_Code],$A37,T_Shipments[Effective_Week],67)</f>
        <v/>
      </c>
      <c r="BQ37">
        <f>SUMIFS(T_Shipments[Confirmed_Qty],T_Shipments[RM_Code],$A37,T_Shipments[Effective_Week],68)</f>
        <v/>
      </c>
      <c r="BR37">
        <f>SUMIFS(T_Shipments[Confirmed_Qty],T_Shipments[RM_Code],$A37,T_Shipments[Effective_Week],69)</f>
        <v/>
      </c>
      <c r="BS37">
        <f>SUMIFS(T_Shipments[Confirmed_Qty],T_Shipments[RM_Code],$A37,T_Shipments[Effective_Week],70)</f>
        <v/>
      </c>
      <c r="BT37">
        <f>SUMIFS(T_Shipments[Confirmed_Qty],T_Shipments[RM_Code],$A37,T_Shipments[Effective_Week],71)</f>
        <v/>
      </c>
      <c r="BU37">
        <f>SUMIFS(T_Shipments[Confirmed_Qty],T_Shipments[RM_Code],$A37,T_Shipments[Effective_Week],72)</f>
        <v/>
      </c>
      <c r="BV37">
        <f>SUMIFS(T_Shipments[Confirmed_Qty],T_Shipments[RM_Code],$A37,T_Shipments[Effective_Week],73)</f>
        <v/>
      </c>
      <c r="BW37">
        <f>SUMIFS(T_Shipments[Confirmed_Qty],T_Shipments[RM_Code],$A37,T_Shipments[Effective_Week],74)</f>
        <v/>
      </c>
      <c r="BX37">
        <f>SUMIFS(T_Shipments[Confirmed_Qty],T_Shipments[RM_Code],$A37,T_Shipments[Effective_Week],75)</f>
        <v/>
      </c>
      <c r="BY37">
        <f>SUMIFS(T_Shipments[Confirmed_Qty],T_Shipments[RM_Code],$A37,T_Shipments[Effective_Week],76)</f>
        <v/>
      </c>
      <c r="BZ37">
        <f>SUMIFS(T_Shipments[Confirmed_Qty],T_Shipments[RM_Code],$A37,T_Shipments[Effective_Week],77)</f>
        <v/>
      </c>
      <c r="CA37">
        <f>SUMIFS(T_Shipments[Confirmed_Qty],T_Shipments[RM_Code],$A37,T_Shipments[Effective_Week],78)</f>
        <v/>
      </c>
      <c r="CB37">
        <f>SUMIFS(T_Shipments[Confirmed_Qty],T_Shipments[RM_Code],$A37,T_Shipments[Effective_Week],79)</f>
        <v/>
      </c>
      <c r="CC37">
        <f>SUMIFS(T_Shipments[Confirmed_Qty],T_Shipments[RM_Code],$A37,T_Shipments[Effective_Week],80)</f>
        <v/>
      </c>
      <c r="CD37">
        <f>SUMIFS(T_Shipments[Confirmed_Qty],T_Shipments[RM_Code],$A37,T_Shipments[Effective_Week],81)</f>
        <v/>
      </c>
      <c r="CE37">
        <f>SUMIFS(T_Shipments[Confirmed_Qty],T_Shipments[RM_Code],$A37,T_Shipments[Effective_Week],82)</f>
        <v/>
      </c>
      <c r="CF37">
        <f>SUMIFS(T_Shipments[Confirmed_Qty],T_Shipments[RM_Code],$A37,T_Shipments[Effective_Week],83)</f>
        <v/>
      </c>
      <c r="CG37">
        <f>SUMIFS(T_Shipments[Confirmed_Qty],T_Shipments[RM_Code],$A37,T_Shipments[Effective_Week],84)</f>
        <v/>
      </c>
      <c r="CH37">
        <f>SUMIFS(T_Shipments[Confirmed_Qty],T_Shipments[RM_Code],$A37,T_Shipments[Effective_Week],85)</f>
        <v/>
      </c>
      <c r="CI37">
        <f>SUMIFS(T_Shipments[Confirmed_Qty],T_Shipments[RM_Code],$A37,T_Shipments[Effective_Week],86)</f>
        <v/>
      </c>
      <c r="CJ37">
        <f>SUMIFS(T_Shipments[Confirmed_Qty],T_Shipments[RM_Code],$A37,T_Shipments[Effective_Week],87)</f>
        <v/>
      </c>
      <c r="CK37">
        <f>SUMIFS(T_Shipments[Confirmed_Qty],T_Shipments[RM_Code],$A37,T_Shipments[Effective_Week],88)</f>
        <v/>
      </c>
      <c r="CL37">
        <f>SUMIFS(T_Shipments[Confirmed_Qty],T_Shipments[RM_Code],$A37,T_Shipments[Effective_Week],89)</f>
        <v/>
      </c>
      <c r="CM37">
        <f>SUMIFS(T_Shipments[Confirmed_Qty],T_Shipments[RM_Code],$A37,T_Shipments[Effective_Week],90)</f>
        <v/>
      </c>
      <c r="CN37">
        <f>SUMIFS(T_Shipments[Confirmed_Qty],T_Shipments[RM_Code],$A37,T_Shipments[Effective_Week],91)</f>
        <v/>
      </c>
      <c r="CO37">
        <f>SUMIFS(T_Shipments[Confirmed_Qty],T_Shipments[RM_Code],$A37,T_Shipments[Effective_Week],92)</f>
        <v/>
      </c>
      <c r="CP37">
        <f>SUMIFS(T_Shipments[Confirmed_Qty],T_Shipments[RM_Code],$A37,T_Shipments[Effective_Week],93)</f>
        <v/>
      </c>
      <c r="CQ37">
        <f>SUMIFS(T_Shipments[Confirmed_Qty],T_Shipments[RM_Code],$A37,T_Shipments[Effective_Week],94)</f>
        <v/>
      </c>
      <c r="CR37">
        <f>SUMIFS(T_Shipments[Confirmed_Qty],T_Shipments[RM_Code],$A37,T_Shipments[Effective_Week],95)</f>
        <v/>
      </c>
      <c r="CS37">
        <f>SUMIFS(T_Shipments[Confirmed_Qty],T_Shipments[RM_Code],$A37,T_Shipments[Effective_Week],96)</f>
        <v/>
      </c>
      <c r="CT37">
        <f>SUMIFS(T_Shipments[Confirmed_Qty],T_Shipments[RM_Code],$A37,T_Shipments[Effective_Week],97)</f>
        <v/>
      </c>
      <c r="CU37">
        <f>SUMIFS(T_Shipments[Confirmed_Qty],T_Shipments[RM_Code],$A37,T_Shipments[Effective_Week],98)</f>
        <v/>
      </c>
      <c r="CV37">
        <f>SUMIFS(T_Shipments[Confirmed_Qty],T_Shipments[RM_Code],$A37,T_Shipments[Effective_Week],99)</f>
        <v/>
      </c>
      <c r="CW37">
        <f>SUMIFS(T_Shipments[Confirmed_Qty],T_Shipments[RM_Code],$A37,T_Shipments[Effective_Week],100)</f>
        <v/>
      </c>
      <c r="CX37">
        <f>SUMIFS(T_Shipments[Confirmed_Qty],T_Shipments[RM_Code],$A37,T_Shipments[Effective_Week],101)</f>
        <v/>
      </c>
      <c r="CY37">
        <f>SUMIFS(T_Shipments[Confirmed_Qty],T_Shipments[RM_Code],$A37,T_Shipments[Effective_Week],102)</f>
        <v/>
      </c>
      <c r="CZ37">
        <f>SUMIFS(T_Shipments[Confirmed_Qty],T_Shipments[RM_Code],$A37,T_Shipments[Effective_Week],103)</f>
        <v/>
      </c>
      <c r="DA37">
        <f>SUMIFS(T_Shipments[Confirmed_Qty],T_Shipments[RM_Code],$A37,T_Shipments[Effective_Week],104)</f>
        <v/>
      </c>
    </row>
    <row r="38">
      <c r="A38" t="inlineStr">
        <is>
          <t>CHEM-1820</t>
        </is>
      </c>
      <c r="B38">
        <f>SUMIFS(T_Shipments[Confirmed_Qty],T_Shipments[RM_Code],$A38,T_Shipments[Effective_Week],1)</f>
        <v/>
      </c>
      <c r="C38">
        <f>SUMIFS(T_Shipments[Confirmed_Qty],T_Shipments[RM_Code],$A38,T_Shipments[Effective_Week],2)</f>
        <v/>
      </c>
      <c r="D38">
        <f>SUMIFS(T_Shipments[Confirmed_Qty],T_Shipments[RM_Code],$A38,T_Shipments[Effective_Week],3)</f>
        <v/>
      </c>
      <c r="E38">
        <f>SUMIFS(T_Shipments[Confirmed_Qty],T_Shipments[RM_Code],$A38,T_Shipments[Effective_Week],4)</f>
        <v/>
      </c>
      <c r="F38">
        <f>SUMIFS(T_Shipments[Confirmed_Qty],T_Shipments[RM_Code],$A38,T_Shipments[Effective_Week],5)</f>
        <v/>
      </c>
      <c r="G38">
        <f>SUMIFS(T_Shipments[Confirmed_Qty],T_Shipments[RM_Code],$A38,T_Shipments[Effective_Week],6)</f>
        <v/>
      </c>
      <c r="H38">
        <f>SUMIFS(T_Shipments[Confirmed_Qty],T_Shipments[RM_Code],$A38,T_Shipments[Effective_Week],7)</f>
        <v/>
      </c>
      <c r="I38">
        <f>SUMIFS(T_Shipments[Confirmed_Qty],T_Shipments[RM_Code],$A38,T_Shipments[Effective_Week],8)</f>
        <v/>
      </c>
      <c r="J38">
        <f>SUMIFS(T_Shipments[Confirmed_Qty],T_Shipments[RM_Code],$A38,T_Shipments[Effective_Week],9)</f>
        <v/>
      </c>
      <c r="K38">
        <f>SUMIFS(T_Shipments[Confirmed_Qty],T_Shipments[RM_Code],$A38,T_Shipments[Effective_Week],10)</f>
        <v/>
      </c>
      <c r="L38">
        <f>SUMIFS(T_Shipments[Confirmed_Qty],T_Shipments[RM_Code],$A38,T_Shipments[Effective_Week],11)</f>
        <v/>
      </c>
      <c r="M38">
        <f>SUMIFS(T_Shipments[Confirmed_Qty],T_Shipments[RM_Code],$A38,T_Shipments[Effective_Week],12)</f>
        <v/>
      </c>
      <c r="N38">
        <f>SUMIFS(T_Shipments[Confirmed_Qty],T_Shipments[RM_Code],$A38,T_Shipments[Effective_Week],13)</f>
        <v/>
      </c>
      <c r="O38">
        <f>SUMIFS(T_Shipments[Confirmed_Qty],T_Shipments[RM_Code],$A38,T_Shipments[Effective_Week],14)</f>
        <v/>
      </c>
      <c r="P38">
        <f>SUMIFS(T_Shipments[Confirmed_Qty],T_Shipments[RM_Code],$A38,T_Shipments[Effective_Week],15)</f>
        <v/>
      </c>
      <c r="Q38">
        <f>SUMIFS(T_Shipments[Confirmed_Qty],T_Shipments[RM_Code],$A38,T_Shipments[Effective_Week],16)</f>
        <v/>
      </c>
      <c r="R38">
        <f>SUMIFS(T_Shipments[Confirmed_Qty],T_Shipments[RM_Code],$A38,T_Shipments[Effective_Week],17)</f>
        <v/>
      </c>
      <c r="S38">
        <f>SUMIFS(T_Shipments[Confirmed_Qty],T_Shipments[RM_Code],$A38,T_Shipments[Effective_Week],18)</f>
        <v/>
      </c>
      <c r="T38">
        <f>SUMIFS(T_Shipments[Confirmed_Qty],T_Shipments[RM_Code],$A38,T_Shipments[Effective_Week],19)</f>
        <v/>
      </c>
      <c r="U38">
        <f>SUMIFS(T_Shipments[Confirmed_Qty],T_Shipments[RM_Code],$A38,T_Shipments[Effective_Week],20)</f>
        <v/>
      </c>
      <c r="V38">
        <f>SUMIFS(T_Shipments[Confirmed_Qty],T_Shipments[RM_Code],$A38,T_Shipments[Effective_Week],21)</f>
        <v/>
      </c>
      <c r="W38">
        <f>SUMIFS(T_Shipments[Confirmed_Qty],T_Shipments[RM_Code],$A38,T_Shipments[Effective_Week],22)</f>
        <v/>
      </c>
      <c r="X38">
        <f>SUMIFS(T_Shipments[Confirmed_Qty],T_Shipments[RM_Code],$A38,T_Shipments[Effective_Week],23)</f>
        <v/>
      </c>
      <c r="Y38">
        <f>SUMIFS(T_Shipments[Confirmed_Qty],T_Shipments[RM_Code],$A38,T_Shipments[Effective_Week],24)</f>
        <v/>
      </c>
      <c r="Z38">
        <f>SUMIFS(T_Shipments[Confirmed_Qty],T_Shipments[RM_Code],$A38,T_Shipments[Effective_Week],25)</f>
        <v/>
      </c>
      <c r="AA38">
        <f>SUMIFS(T_Shipments[Confirmed_Qty],T_Shipments[RM_Code],$A38,T_Shipments[Effective_Week],26)</f>
        <v/>
      </c>
      <c r="AB38">
        <f>SUMIFS(T_Shipments[Confirmed_Qty],T_Shipments[RM_Code],$A38,T_Shipments[Effective_Week],27)</f>
        <v/>
      </c>
      <c r="AC38">
        <f>SUMIFS(T_Shipments[Confirmed_Qty],T_Shipments[RM_Code],$A38,T_Shipments[Effective_Week],28)</f>
        <v/>
      </c>
      <c r="AD38">
        <f>SUMIFS(T_Shipments[Confirmed_Qty],T_Shipments[RM_Code],$A38,T_Shipments[Effective_Week],29)</f>
        <v/>
      </c>
      <c r="AE38">
        <f>SUMIFS(T_Shipments[Confirmed_Qty],T_Shipments[RM_Code],$A38,T_Shipments[Effective_Week],30)</f>
        <v/>
      </c>
      <c r="AF38">
        <f>SUMIFS(T_Shipments[Confirmed_Qty],T_Shipments[RM_Code],$A38,T_Shipments[Effective_Week],31)</f>
        <v/>
      </c>
      <c r="AG38">
        <f>SUMIFS(T_Shipments[Confirmed_Qty],T_Shipments[RM_Code],$A38,T_Shipments[Effective_Week],32)</f>
        <v/>
      </c>
      <c r="AH38">
        <f>SUMIFS(T_Shipments[Confirmed_Qty],T_Shipments[RM_Code],$A38,T_Shipments[Effective_Week],33)</f>
        <v/>
      </c>
      <c r="AI38">
        <f>SUMIFS(T_Shipments[Confirmed_Qty],T_Shipments[RM_Code],$A38,T_Shipments[Effective_Week],34)</f>
        <v/>
      </c>
      <c r="AJ38">
        <f>SUMIFS(T_Shipments[Confirmed_Qty],T_Shipments[RM_Code],$A38,T_Shipments[Effective_Week],35)</f>
        <v/>
      </c>
      <c r="AK38">
        <f>SUMIFS(T_Shipments[Confirmed_Qty],T_Shipments[RM_Code],$A38,T_Shipments[Effective_Week],36)</f>
        <v/>
      </c>
      <c r="AL38">
        <f>SUMIFS(T_Shipments[Confirmed_Qty],T_Shipments[RM_Code],$A38,T_Shipments[Effective_Week],37)</f>
        <v/>
      </c>
      <c r="AM38">
        <f>SUMIFS(T_Shipments[Confirmed_Qty],T_Shipments[RM_Code],$A38,T_Shipments[Effective_Week],38)</f>
        <v/>
      </c>
      <c r="AN38">
        <f>SUMIFS(T_Shipments[Confirmed_Qty],T_Shipments[RM_Code],$A38,T_Shipments[Effective_Week],39)</f>
        <v/>
      </c>
      <c r="AO38">
        <f>SUMIFS(T_Shipments[Confirmed_Qty],T_Shipments[RM_Code],$A38,T_Shipments[Effective_Week],40)</f>
        <v/>
      </c>
      <c r="AP38">
        <f>SUMIFS(T_Shipments[Confirmed_Qty],T_Shipments[RM_Code],$A38,T_Shipments[Effective_Week],41)</f>
        <v/>
      </c>
      <c r="AQ38">
        <f>SUMIFS(T_Shipments[Confirmed_Qty],T_Shipments[RM_Code],$A38,T_Shipments[Effective_Week],42)</f>
        <v/>
      </c>
      <c r="AR38">
        <f>SUMIFS(T_Shipments[Confirmed_Qty],T_Shipments[RM_Code],$A38,T_Shipments[Effective_Week],43)</f>
        <v/>
      </c>
      <c r="AS38">
        <f>SUMIFS(T_Shipments[Confirmed_Qty],T_Shipments[RM_Code],$A38,T_Shipments[Effective_Week],44)</f>
        <v/>
      </c>
      <c r="AT38">
        <f>SUMIFS(T_Shipments[Confirmed_Qty],T_Shipments[RM_Code],$A38,T_Shipments[Effective_Week],45)</f>
        <v/>
      </c>
      <c r="AU38">
        <f>SUMIFS(T_Shipments[Confirmed_Qty],T_Shipments[RM_Code],$A38,T_Shipments[Effective_Week],46)</f>
        <v/>
      </c>
      <c r="AV38">
        <f>SUMIFS(T_Shipments[Confirmed_Qty],T_Shipments[RM_Code],$A38,T_Shipments[Effective_Week],47)</f>
        <v/>
      </c>
      <c r="AW38">
        <f>SUMIFS(T_Shipments[Confirmed_Qty],T_Shipments[RM_Code],$A38,T_Shipments[Effective_Week],48)</f>
        <v/>
      </c>
      <c r="AX38">
        <f>SUMIFS(T_Shipments[Confirmed_Qty],T_Shipments[RM_Code],$A38,T_Shipments[Effective_Week],49)</f>
        <v/>
      </c>
      <c r="AY38">
        <f>SUMIFS(T_Shipments[Confirmed_Qty],T_Shipments[RM_Code],$A38,T_Shipments[Effective_Week],50)</f>
        <v/>
      </c>
      <c r="AZ38">
        <f>SUMIFS(T_Shipments[Confirmed_Qty],T_Shipments[RM_Code],$A38,T_Shipments[Effective_Week],51)</f>
        <v/>
      </c>
      <c r="BA38">
        <f>SUMIFS(T_Shipments[Confirmed_Qty],T_Shipments[RM_Code],$A38,T_Shipments[Effective_Week],52)</f>
        <v/>
      </c>
      <c r="BB38">
        <f>SUMIFS(T_Shipments[Confirmed_Qty],T_Shipments[RM_Code],$A38,T_Shipments[Effective_Week],53)</f>
        <v/>
      </c>
      <c r="BC38">
        <f>SUMIFS(T_Shipments[Confirmed_Qty],T_Shipments[RM_Code],$A38,T_Shipments[Effective_Week],54)</f>
        <v/>
      </c>
      <c r="BD38">
        <f>SUMIFS(T_Shipments[Confirmed_Qty],T_Shipments[RM_Code],$A38,T_Shipments[Effective_Week],55)</f>
        <v/>
      </c>
      <c r="BE38">
        <f>SUMIFS(T_Shipments[Confirmed_Qty],T_Shipments[RM_Code],$A38,T_Shipments[Effective_Week],56)</f>
        <v/>
      </c>
      <c r="BF38">
        <f>SUMIFS(T_Shipments[Confirmed_Qty],T_Shipments[RM_Code],$A38,T_Shipments[Effective_Week],57)</f>
        <v/>
      </c>
      <c r="BG38">
        <f>SUMIFS(T_Shipments[Confirmed_Qty],T_Shipments[RM_Code],$A38,T_Shipments[Effective_Week],58)</f>
        <v/>
      </c>
      <c r="BH38">
        <f>SUMIFS(T_Shipments[Confirmed_Qty],T_Shipments[RM_Code],$A38,T_Shipments[Effective_Week],59)</f>
        <v/>
      </c>
      <c r="BI38">
        <f>SUMIFS(T_Shipments[Confirmed_Qty],T_Shipments[RM_Code],$A38,T_Shipments[Effective_Week],60)</f>
        <v/>
      </c>
      <c r="BJ38">
        <f>SUMIFS(T_Shipments[Confirmed_Qty],T_Shipments[RM_Code],$A38,T_Shipments[Effective_Week],61)</f>
        <v/>
      </c>
      <c r="BK38">
        <f>SUMIFS(T_Shipments[Confirmed_Qty],T_Shipments[RM_Code],$A38,T_Shipments[Effective_Week],62)</f>
        <v/>
      </c>
      <c r="BL38">
        <f>SUMIFS(T_Shipments[Confirmed_Qty],T_Shipments[RM_Code],$A38,T_Shipments[Effective_Week],63)</f>
        <v/>
      </c>
      <c r="BM38">
        <f>SUMIFS(T_Shipments[Confirmed_Qty],T_Shipments[RM_Code],$A38,T_Shipments[Effective_Week],64)</f>
        <v/>
      </c>
      <c r="BN38">
        <f>SUMIFS(T_Shipments[Confirmed_Qty],T_Shipments[RM_Code],$A38,T_Shipments[Effective_Week],65)</f>
        <v/>
      </c>
      <c r="BO38">
        <f>SUMIFS(T_Shipments[Confirmed_Qty],T_Shipments[RM_Code],$A38,T_Shipments[Effective_Week],66)</f>
        <v/>
      </c>
      <c r="BP38">
        <f>SUMIFS(T_Shipments[Confirmed_Qty],T_Shipments[RM_Code],$A38,T_Shipments[Effective_Week],67)</f>
        <v/>
      </c>
      <c r="BQ38">
        <f>SUMIFS(T_Shipments[Confirmed_Qty],T_Shipments[RM_Code],$A38,T_Shipments[Effective_Week],68)</f>
        <v/>
      </c>
      <c r="BR38">
        <f>SUMIFS(T_Shipments[Confirmed_Qty],T_Shipments[RM_Code],$A38,T_Shipments[Effective_Week],69)</f>
        <v/>
      </c>
      <c r="BS38">
        <f>SUMIFS(T_Shipments[Confirmed_Qty],T_Shipments[RM_Code],$A38,T_Shipments[Effective_Week],70)</f>
        <v/>
      </c>
      <c r="BT38">
        <f>SUMIFS(T_Shipments[Confirmed_Qty],T_Shipments[RM_Code],$A38,T_Shipments[Effective_Week],71)</f>
        <v/>
      </c>
      <c r="BU38">
        <f>SUMIFS(T_Shipments[Confirmed_Qty],T_Shipments[RM_Code],$A38,T_Shipments[Effective_Week],72)</f>
        <v/>
      </c>
      <c r="BV38">
        <f>SUMIFS(T_Shipments[Confirmed_Qty],T_Shipments[RM_Code],$A38,T_Shipments[Effective_Week],73)</f>
        <v/>
      </c>
      <c r="BW38">
        <f>SUMIFS(T_Shipments[Confirmed_Qty],T_Shipments[RM_Code],$A38,T_Shipments[Effective_Week],74)</f>
        <v/>
      </c>
      <c r="BX38">
        <f>SUMIFS(T_Shipments[Confirmed_Qty],T_Shipments[RM_Code],$A38,T_Shipments[Effective_Week],75)</f>
        <v/>
      </c>
      <c r="BY38">
        <f>SUMIFS(T_Shipments[Confirmed_Qty],T_Shipments[RM_Code],$A38,T_Shipments[Effective_Week],76)</f>
        <v/>
      </c>
      <c r="BZ38">
        <f>SUMIFS(T_Shipments[Confirmed_Qty],T_Shipments[RM_Code],$A38,T_Shipments[Effective_Week],77)</f>
        <v/>
      </c>
      <c r="CA38">
        <f>SUMIFS(T_Shipments[Confirmed_Qty],T_Shipments[RM_Code],$A38,T_Shipments[Effective_Week],78)</f>
        <v/>
      </c>
      <c r="CB38">
        <f>SUMIFS(T_Shipments[Confirmed_Qty],T_Shipments[RM_Code],$A38,T_Shipments[Effective_Week],79)</f>
        <v/>
      </c>
      <c r="CC38">
        <f>SUMIFS(T_Shipments[Confirmed_Qty],T_Shipments[RM_Code],$A38,T_Shipments[Effective_Week],80)</f>
        <v/>
      </c>
      <c r="CD38">
        <f>SUMIFS(T_Shipments[Confirmed_Qty],T_Shipments[RM_Code],$A38,T_Shipments[Effective_Week],81)</f>
        <v/>
      </c>
      <c r="CE38">
        <f>SUMIFS(T_Shipments[Confirmed_Qty],T_Shipments[RM_Code],$A38,T_Shipments[Effective_Week],82)</f>
        <v/>
      </c>
      <c r="CF38">
        <f>SUMIFS(T_Shipments[Confirmed_Qty],T_Shipments[RM_Code],$A38,T_Shipments[Effective_Week],83)</f>
        <v/>
      </c>
      <c r="CG38">
        <f>SUMIFS(T_Shipments[Confirmed_Qty],T_Shipments[RM_Code],$A38,T_Shipments[Effective_Week],84)</f>
        <v/>
      </c>
      <c r="CH38">
        <f>SUMIFS(T_Shipments[Confirmed_Qty],T_Shipments[RM_Code],$A38,T_Shipments[Effective_Week],85)</f>
        <v/>
      </c>
      <c r="CI38">
        <f>SUMIFS(T_Shipments[Confirmed_Qty],T_Shipments[RM_Code],$A38,T_Shipments[Effective_Week],86)</f>
        <v/>
      </c>
      <c r="CJ38">
        <f>SUMIFS(T_Shipments[Confirmed_Qty],T_Shipments[RM_Code],$A38,T_Shipments[Effective_Week],87)</f>
        <v/>
      </c>
      <c r="CK38">
        <f>SUMIFS(T_Shipments[Confirmed_Qty],T_Shipments[RM_Code],$A38,T_Shipments[Effective_Week],88)</f>
        <v/>
      </c>
      <c r="CL38">
        <f>SUMIFS(T_Shipments[Confirmed_Qty],T_Shipments[RM_Code],$A38,T_Shipments[Effective_Week],89)</f>
        <v/>
      </c>
      <c r="CM38">
        <f>SUMIFS(T_Shipments[Confirmed_Qty],T_Shipments[RM_Code],$A38,T_Shipments[Effective_Week],90)</f>
        <v/>
      </c>
      <c r="CN38">
        <f>SUMIFS(T_Shipments[Confirmed_Qty],T_Shipments[RM_Code],$A38,T_Shipments[Effective_Week],91)</f>
        <v/>
      </c>
      <c r="CO38">
        <f>SUMIFS(T_Shipments[Confirmed_Qty],T_Shipments[RM_Code],$A38,T_Shipments[Effective_Week],92)</f>
        <v/>
      </c>
      <c r="CP38">
        <f>SUMIFS(T_Shipments[Confirmed_Qty],T_Shipments[RM_Code],$A38,T_Shipments[Effective_Week],93)</f>
        <v/>
      </c>
      <c r="CQ38">
        <f>SUMIFS(T_Shipments[Confirmed_Qty],T_Shipments[RM_Code],$A38,T_Shipments[Effective_Week],94)</f>
        <v/>
      </c>
      <c r="CR38">
        <f>SUMIFS(T_Shipments[Confirmed_Qty],T_Shipments[RM_Code],$A38,T_Shipments[Effective_Week],95)</f>
        <v/>
      </c>
      <c r="CS38">
        <f>SUMIFS(T_Shipments[Confirmed_Qty],T_Shipments[RM_Code],$A38,T_Shipments[Effective_Week],96)</f>
        <v/>
      </c>
      <c r="CT38">
        <f>SUMIFS(T_Shipments[Confirmed_Qty],T_Shipments[RM_Code],$A38,T_Shipments[Effective_Week],97)</f>
        <v/>
      </c>
      <c r="CU38">
        <f>SUMIFS(T_Shipments[Confirmed_Qty],T_Shipments[RM_Code],$A38,T_Shipments[Effective_Week],98)</f>
        <v/>
      </c>
      <c r="CV38">
        <f>SUMIFS(T_Shipments[Confirmed_Qty],T_Shipments[RM_Code],$A38,T_Shipments[Effective_Week],99)</f>
        <v/>
      </c>
      <c r="CW38">
        <f>SUMIFS(T_Shipments[Confirmed_Qty],T_Shipments[RM_Code],$A38,T_Shipments[Effective_Week],100)</f>
        <v/>
      </c>
      <c r="CX38">
        <f>SUMIFS(T_Shipments[Confirmed_Qty],T_Shipments[RM_Code],$A38,T_Shipments[Effective_Week],101)</f>
        <v/>
      </c>
      <c r="CY38">
        <f>SUMIFS(T_Shipments[Confirmed_Qty],T_Shipments[RM_Code],$A38,T_Shipments[Effective_Week],102)</f>
        <v/>
      </c>
      <c r="CZ38">
        <f>SUMIFS(T_Shipments[Confirmed_Qty],T_Shipments[RM_Code],$A38,T_Shipments[Effective_Week],103)</f>
        <v/>
      </c>
      <c r="DA38">
        <f>SUMIFS(T_Shipments[Confirmed_Qty],T_Shipments[RM_Code],$A38,T_Shipments[Effective_Week],104)</f>
        <v/>
      </c>
    </row>
    <row r="39">
      <c r="A39" t="inlineStr">
        <is>
          <t>CHEM-1840</t>
        </is>
      </c>
      <c r="B39">
        <f>SUMIFS(T_Shipments[Confirmed_Qty],T_Shipments[RM_Code],$A39,T_Shipments[Effective_Week],1)</f>
        <v/>
      </c>
      <c r="C39">
        <f>SUMIFS(T_Shipments[Confirmed_Qty],T_Shipments[RM_Code],$A39,T_Shipments[Effective_Week],2)</f>
        <v/>
      </c>
      <c r="D39">
        <f>SUMIFS(T_Shipments[Confirmed_Qty],T_Shipments[RM_Code],$A39,T_Shipments[Effective_Week],3)</f>
        <v/>
      </c>
      <c r="E39">
        <f>SUMIFS(T_Shipments[Confirmed_Qty],T_Shipments[RM_Code],$A39,T_Shipments[Effective_Week],4)</f>
        <v/>
      </c>
      <c r="F39">
        <f>SUMIFS(T_Shipments[Confirmed_Qty],T_Shipments[RM_Code],$A39,T_Shipments[Effective_Week],5)</f>
        <v/>
      </c>
      <c r="G39">
        <f>SUMIFS(T_Shipments[Confirmed_Qty],T_Shipments[RM_Code],$A39,T_Shipments[Effective_Week],6)</f>
        <v/>
      </c>
      <c r="H39">
        <f>SUMIFS(T_Shipments[Confirmed_Qty],T_Shipments[RM_Code],$A39,T_Shipments[Effective_Week],7)</f>
        <v/>
      </c>
      <c r="I39">
        <f>SUMIFS(T_Shipments[Confirmed_Qty],T_Shipments[RM_Code],$A39,T_Shipments[Effective_Week],8)</f>
        <v/>
      </c>
      <c r="J39">
        <f>SUMIFS(T_Shipments[Confirmed_Qty],T_Shipments[RM_Code],$A39,T_Shipments[Effective_Week],9)</f>
        <v/>
      </c>
      <c r="K39">
        <f>SUMIFS(T_Shipments[Confirmed_Qty],T_Shipments[RM_Code],$A39,T_Shipments[Effective_Week],10)</f>
        <v/>
      </c>
      <c r="L39">
        <f>SUMIFS(T_Shipments[Confirmed_Qty],T_Shipments[RM_Code],$A39,T_Shipments[Effective_Week],11)</f>
        <v/>
      </c>
      <c r="M39">
        <f>SUMIFS(T_Shipments[Confirmed_Qty],T_Shipments[RM_Code],$A39,T_Shipments[Effective_Week],12)</f>
        <v/>
      </c>
      <c r="N39">
        <f>SUMIFS(T_Shipments[Confirmed_Qty],T_Shipments[RM_Code],$A39,T_Shipments[Effective_Week],13)</f>
        <v/>
      </c>
      <c r="O39">
        <f>SUMIFS(T_Shipments[Confirmed_Qty],T_Shipments[RM_Code],$A39,T_Shipments[Effective_Week],14)</f>
        <v/>
      </c>
      <c r="P39">
        <f>SUMIFS(T_Shipments[Confirmed_Qty],T_Shipments[RM_Code],$A39,T_Shipments[Effective_Week],15)</f>
        <v/>
      </c>
      <c r="Q39">
        <f>SUMIFS(T_Shipments[Confirmed_Qty],T_Shipments[RM_Code],$A39,T_Shipments[Effective_Week],16)</f>
        <v/>
      </c>
      <c r="R39">
        <f>SUMIFS(T_Shipments[Confirmed_Qty],T_Shipments[RM_Code],$A39,T_Shipments[Effective_Week],17)</f>
        <v/>
      </c>
      <c r="S39">
        <f>SUMIFS(T_Shipments[Confirmed_Qty],T_Shipments[RM_Code],$A39,T_Shipments[Effective_Week],18)</f>
        <v/>
      </c>
      <c r="T39">
        <f>SUMIFS(T_Shipments[Confirmed_Qty],T_Shipments[RM_Code],$A39,T_Shipments[Effective_Week],19)</f>
        <v/>
      </c>
      <c r="U39">
        <f>SUMIFS(T_Shipments[Confirmed_Qty],T_Shipments[RM_Code],$A39,T_Shipments[Effective_Week],20)</f>
        <v/>
      </c>
      <c r="V39">
        <f>SUMIFS(T_Shipments[Confirmed_Qty],T_Shipments[RM_Code],$A39,T_Shipments[Effective_Week],21)</f>
        <v/>
      </c>
      <c r="W39">
        <f>SUMIFS(T_Shipments[Confirmed_Qty],T_Shipments[RM_Code],$A39,T_Shipments[Effective_Week],22)</f>
        <v/>
      </c>
      <c r="X39">
        <f>SUMIFS(T_Shipments[Confirmed_Qty],T_Shipments[RM_Code],$A39,T_Shipments[Effective_Week],23)</f>
        <v/>
      </c>
      <c r="Y39">
        <f>SUMIFS(T_Shipments[Confirmed_Qty],T_Shipments[RM_Code],$A39,T_Shipments[Effective_Week],24)</f>
        <v/>
      </c>
      <c r="Z39">
        <f>SUMIFS(T_Shipments[Confirmed_Qty],T_Shipments[RM_Code],$A39,T_Shipments[Effective_Week],25)</f>
        <v/>
      </c>
      <c r="AA39">
        <f>SUMIFS(T_Shipments[Confirmed_Qty],T_Shipments[RM_Code],$A39,T_Shipments[Effective_Week],26)</f>
        <v/>
      </c>
      <c r="AB39">
        <f>SUMIFS(T_Shipments[Confirmed_Qty],T_Shipments[RM_Code],$A39,T_Shipments[Effective_Week],27)</f>
        <v/>
      </c>
      <c r="AC39">
        <f>SUMIFS(T_Shipments[Confirmed_Qty],T_Shipments[RM_Code],$A39,T_Shipments[Effective_Week],28)</f>
        <v/>
      </c>
      <c r="AD39">
        <f>SUMIFS(T_Shipments[Confirmed_Qty],T_Shipments[RM_Code],$A39,T_Shipments[Effective_Week],29)</f>
        <v/>
      </c>
      <c r="AE39">
        <f>SUMIFS(T_Shipments[Confirmed_Qty],T_Shipments[RM_Code],$A39,T_Shipments[Effective_Week],30)</f>
        <v/>
      </c>
      <c r="AF39">
        <f>SUMIFS(T_Shipments[Confirmed_Qty],T_Shipments[RM_Code],$A39,T_Shipments[Effective_Week],31)</f>
        <v/>
      </c>
      <c r="AG39">
        <f>SUMIFS(T_Shipments[Confirmed_Qty],T_Shipments[RM_Code],$A39,T_Shipments[Effective_Week],32)</f>
        <v/>
      </c>
      <c r="AH39">
        <f>SUMIFS(T_Shipments[Confirmed_Qty],T_Shipments[RM_Code],$A39,T_Shipments[Effective_Week],33)</f>
        <v/>
      </c>
      <c r="AI39">
        <f>SUMIFS(T_Shipments[Confirmed_Qty],T_Shipments[RM_Code],$A39,T_Shipments[Effective_Week],34)</f>
        <v/>
      </c>
      <c r="AJ39">
        <f>SUMIFS(T_Shipments[Confirmed_Qty],T_Shipments[RM_Code],$A39,T_Shipments[Effective_Week],35)</f>
        <v/>
      </c>
      <c r="AK39">
        <f>SUMIFS(T_Shipments[Confirmed_Qty],T_Shipments[RM_Code],$A39,T_Shipments[Effective_Week],36)</f>
        <v/>
      </c>
      <c r="AL39">
        <f>SUMIFS(T_Shipments[Confirmed_Qty],T_Shipments[RM_Code],$A39,T_Shipments[Effective_Week],37)</f>
        <v/>
      </c>
      <c r="AM39">
        <f>SUMIFS(T_Shipments[Confirmed_Qty],T_Shipments[RM_Code],$A39,T_Shipments[Effective_Week],38)</f>
        <v/>
      </c>
      <c r="AN39">
        <f>SUMIFS(T_Shipments[Confirmed_Qty],T_Shipments[RM_Code],$A39,T_Shipments[Effective_Week],39)</f>
        <v/>
      </c>
      <c r="AO39">
        <f>SUMIFS(T_Shipments[Confirmed_Qty],T_Shipments[RM_Code],$A39,T_Shipments[Effective_Week],40)</f>
        <v/>
      </c>
      <c r="AP39">
        <f>SUMIFS(T_Shipments[Confirmed_Qty],T_Shipments[RM_Code],$A39,T_Shipments[Effective_Week],41)</f>
        <v/>
      </c>
      <c r="AQ39">
        <f>SUMIFS(T_Shipments[Confirmed_Qty],T_Shipments[RM_Code],$A39,T_Shipments[Effective_Week],42)</f>
        <v/>
      </c>
      <c r="AR39">
        <f>SUMIFS(T_Shipments[Confirmed_Qty],T_Shipments[RM_Code],$A39,T_Shipments[Effective_Week],43)</f>
        <v/>
      </c>
      <c r="AS39">
        <f>SUMIFS(T_Shipments[Confirmed_Qty],T_Shipments[RM_Code],$A39,T_Shipments[Effective_Week],44)</f>
        <v/>
      </c>
      <c r="AT39">
        <f>SUMIFS(T_Shipments[Confirmed_Qty],T_Shipments[RM_Code],$A39,T_Shipments[Effective_Week],45)</f>
        <v/>
      </c>
      <c r="AU39">
        <f>SUMIFS(T_Shipments[Confirmed_Qty],T_Shipments[RM_Code],$A39,T_Shipments[Effective_Week],46)</f>
        <v/>
      </c>
      <c r="AV39">
        <f>SUMIFS(T_Shipments[Confirmed_Qty],T_Shipments[RM_Code],$A39,T_Shipments[Effective_Week],47)</f>
        <v/>
      </c>
      <c r="AW39">
        <f>SUMIFS(T_Shipments[Confirmed_Qty],T_Shipments[RM_Code],$A39,T_Shipments[Effective_Week],48)</f>
        <v/>
      </c>
      <c r="AX39">
        <f>SUMIFS(T_Shipments[Confirmed_Qty],T_Shipments[RM_Code],$A39,T_Shipments[Effective_Week],49)</f>
        <v/>
      </c>
      <c r="AY39">
        <f>SUMIFS(T_Shipments[Confirmed_Qty],T_Shipments[RM_Code],$A39,T_Shipments[Effective_Week],50)</f>
        <v/>
      </c>
      <c r="AZ39">
        <f>SUMIFS(T_Shipments[Confirmed_Qty],T_Shipments[RM_Code],$A39,T_Shipments[Effective_Week],51)</f>
        <v/>
      </c>
      <c r="BA39">
        <f>SUMIFS(T_Shipments[Confirmed_Qty],T_Shipments[RM_Code],$A39,T_Shipments[Effective_Week],52)</f>
        <v/>
      </c>
      <c r="BB39">
        <f>SUMIFS(T_Shipments[Confirmed_Qty],T_Shipments[RM_Code],$A39,T_Shipments[Effective_Week],53)</f>
        <v/>
      </c>
      <c r="BC39">
        <f>SUMIFS(T_Shipments[Confirmed_Qty],T_Shipments[RM_Code],$A39,T_Shipments[Effective_Week],54)</f>
        <v/>
      </c>
      <c r="BD39">
        <f>SUMIFS(T_Shipments[Confirmed_Qty],T_Shipments[RM_Code],$A39,T_Shipments[Effective_Week],55)</f>
        <v/>
      </c>
      <c r="BE39">
        <f>SUMIFS(T_Shipments[Confirmed_Qty],T_Shipments[RM_Code],$A39,T_Shipments[Effective_Week],56)</f>
        <v/>
      </c>
      <c r="BF39">
        <f>SUMIFS(T_Shipments[Confirmed_Qty],T_Shipments[RM_Code],$A39,T_Shipments[Effective_Week],57)</f>
        <v/>
      </c>
      <c r="BG39">
        <f>SUMIFS(T_Shipments[Confirmed_Qty],T_Shipments[RM_Code],$A39,T_Shipments[Effective_Week],58)</f>
        <v/>
      </c>
      <c r="BH39">
        <f>SUMIFS(T_Shipments[Confirmed_Qty],T_Shipments[RM_Code],$A39,T_Shipments[Effective_Week],59)</f>
        <v/>
      </c>
      <c r="BI39">
        <f>SUMIFS(T_Shipments[Confirmed_Qty],T_Shipments[RM_Code],$A39,T_Shipments[Effective_Week],60)</f>
        <v/>
      </c>
      <c r="BJ39">
        <f>SUMIFS(T_Shipments[Confirmed_Qty],T_Shipments[RM_Code],$A39,T_Shipments[Effective_Week],61)</f>
        <v/>
      </c>
      <c r="BK39">
        <f>SUMIFS(T_Shipments[Confirmed_Qty],T_Shipments[RM_Code],$A39,T_Shipments[Effective_Week],62)</f>
        <v/>
      </c>
      <c r="BL39">
        <f>SUMIFS(T_Shipments[Confirmed_Qty],T_Shipments[RM_Code],$A39,T_Shipments[Effective_Week],63)</f>
        <v/>
      </c>
      <c r="BM39">
        <f>SUMIFS(T_Shipments[Confirmed_Qty],T_Shipments[RM_Code],$A39,T_Shipments[Effective_Week],64)</f>
        <v/>
      </c>
      <c r="BN39">
        <f>SUMIFS(T_Shipments[Confirmed_Qty],T_Shipments[RM_Code],$A39,T_Shipments[Effective_Week],65)</f>
        <v/>
      </c>
      <c r="BO39">
        <f>SUMIFS(T_Shipments[Confirmed_Qty],T_Shipments[RM_Code],$A39,T_Shipments[Effective_Week],66)</f>
        <v/>
      </c>
      <c r="BP39">
        <f>SUMIFS(T_Shipments[Confirmed_Qty],T_Shipments[RM_Code],$A39,T_Shipments[Effective_Week],67)</f>
        <v/>
      </c>
      <c r="BQ39">
        <f>SUMIFS(T_Shipments[Confirmed_Qty],T_Shipments[RM_Code],$A39,T_Shipments[Effective_Week],68)</f>
        <v/>
      </c>
      <c r="BR39">
        <f>SUMIFS(T_Shipments[Confirmed_Qty],T_Shipments[RM_Code],$A39,T_Shipments[Effective_Week],69)</f>
        <v/>
      </c>
      <c r="BS39">
        <f>SUMIFS(T_Shipments[Confirmed_Qty],T_Shipments[RM_Code],$A39,T_Shipments[Effective_Week],70)</f>
        <v/>
      </c>
      <c r="BT39">
        <f>SUMIFS(T_Shipments[Confirmed_Qty],T_Shipments[RM_Code],$A39,T_Shipments[Effective_Week],71)</f>
        <v/>
      </c>
      <c r="BU39">
        <f>SUMIFS(T_Shipments[Confirmed_Qty],T_Shipments[RM_Code],$A39,T_Shipments[Effective_Week],72)</f>
        <v/>
      </c>
      <c r="BV39">
        <f>SUMIFS(T_Shipments[Confirmed_Qty],T_Shipments[RM_Code],$A39,T_Shipments[Effective_Week],73)</f>
        <v/>
      </c>
      <c r="BW39">
        <f>SUMIFS(T_Shipments[Confirmed_Qty],T_Shipments[RM_Code],$A39,T_Shipments[Effective_Week],74)</f>
        <v/>
      </c>
      <c r="BX39">
        <f>SUMIFS(T_Shipments[Confirmed_Qty],T_Shipments[RM_Code],$A39,T_Shipments[Effective_Week],75)</f>
        <v/>
      </c>
      <c r="BY39">
        <f>SUMIFS(T_Shipments[Confirmed_Qty],T_Shipments[RM_Code],$A39,T_Shipments[Effective_Week],76)</f>
        <v/>
      </c>
      <c r="BZ39">
        <f>SUMIFS(T_Shipments[Confirmed_Qty],T_Shipments[RM_Code],$A39,T_Shipments[Effective_Week],77)</f>
        <v/>
      </c>
      <c r="CA39">
        <f>SUMIFS(T_Shipments[Confirmed_Qty],T_Shipments[RM_Code],$A39,T_Shipments[Effective_Week],78)</f>
        <v/>
      </c>
      <c r="CB39">
        <f>SUMIFS(T_Shipments[Confirmed_Qty],T_Shipments[RM_Code],$A39,T_Shipments[Effective_Week],79)</f>
        <v/>
      </c>
      <c r="CC39">
        <f>SUMIFS(T_Shipments[Confirmed_Qty],T_Shipments[RM_Code],$A39,T_Shipments[Effective_Week],80)</f>
        <v/>
      </c>
      <c r="CD39">
        <f>SUMIFS(T_Shipments[Confirmed_Qty],T_Shipments[RM_Code],$A39,T_Shipments[Effective_Week],81)</f>
        <v/>
      </c>
      <c r="CE39">
        <f>SUMIFS(T_Shipments[Confirmed_Qty],T_Shipments[RM_Code],$A39,T_Shipments[Effective_Week],82)</f>
        <v/>
      </c>
      <c r="CF39">
        <f>SUMIFS(T_Shipments[Confirmed_Qty],T_Shipments[RM_Code],$A39,T_Shipments[Effective_Week],83)</f>
        <v/>
      </c>
      <c r="CG39">
        <f>SUMIFS(T_Shipments[Confirmed_Qty],T_Shipments[RM_Code],$A39,T_Shipments[Effective_Week],84)</f>
        <v/>
      </c>
      <c r="CH39">
        <f>SUMIFS(T_Shipments[Confirmed_Qty],T_Shipments[RM_Code],$A39,T_Shipments[Effective_Week],85)</f>
        <v/>
      </c>
      <c r="CI39">
        <f>SUMIFS(T_Shipments[Confirmed_Qty],T_Shipments[RM_Code],$A39,T_Shipments[Effective_Week],86)</f>
        <v/>
      </c>
      <c r="CJ39">
        <f>SUMIFS(T_Shipments[Confirmed_Qty],T_Shipments[RM_Code],$A39,T_Shipments[Effective_Week],87)</f>
        <v/>
      </c>
      <c r="CK39">
        <f>SUMIFS(T_Shipments[Confirmed_Qty],T_Shipments[RM_Code],$A39,T_Shipments[Effective_Week],88)</f>
        <v/>
      </c>
      <c r="CL39">
        <f>SUMIFS(T_Shipments[Confirmed_Qty],T_Shipments[RM_Code],$A39,T_Shipments[Effective_Week],89)</f>
        <v/>
      </c>
      <c r="CM39">
        <f>SUMIFS(T_Shipments[Confirmed_Qty],T_Shipments[RM_Code],$A39,T_Shipments[Effective_Week],90)</f>
        <v/>
      </c>
      <c r="CN39">
        <f>SUMIFS(T_Shipments[Confirmed_Qty],T_Shipments[RM_Code],$A39,T_Shipments[Effective_Week],91)</f>
        <v/>
      </c>
      <c r="CO39">
        <f>SUMIFS(T_Shipments[Confirmed_Qty],T_Shipments[RM_Code],$A39,T_Shipments[Effective_Week],92)</f>
        <v/>
      </c>
      <c r="CP39">
        <f>SUMIFS(T_Shipments[Confirmed_Qty],T_Shipments[RM_Code],$A39,T_Shipments[Effective_Week],93)</f>
        <v/>
      </c>
      <c r="CQ39">
        <f>SUMIFS(T_Shipments[Confirmed_Qty],T_Shipments[RM_Code],$A39,T_Shipments[Effective_Week],94)</f>
        <v/>
      </c>
      <c r="CR39">
        <f>SUMIFS(T_Shipments[Confirmed_Qty],T_Shipments[RM_Code],$A39,T_Shipments[Effective_Week],95)</f>
        <v/>
      </c>
      <c r="CS39">
        <f>SUMIFS(T_Shipments[Confirmed_Qty],T_Shipments[RM_Code],$A39,T_Shipments[Effective_Week],96)</f>
        <v/>
      </c>
      <c r="CT39">
        <f>SUMIFS(T_Shipments[Confirmed_Qty],T_Shipments[RM_Code],$A39,T_Shipments[Effective_Week],97)</f>
        <v/>
      </c>
      <c r="CU39">
        <f>SUMIFS(T_Shipments[Confirmed_Qty],T_Shipments[RM_Code],$A39,T_Shipments[Effective_Week],98)</f>
        <v/>
      </c>
      <c r="CV39">
        <f>SUMIFS(T_Shipments[Confirmed_Qty],T_Shipments[RM_Code],$A39,T_Shipments[Effective_Week],99)</f>
        <v/>
      </c>
      <c r="CW39">
        <f>SUMIFS(T_Shipments[Confirmed_Qty],T_Shipments[RM_Code],$A39,T_Shipments[Effective_Week],100)</f>
        <v/>
      </c>
      <c r="CX39">
        <f>SUMIFS(T_Shipments[Confirmed_Qty],T_Shipments[RM_Code],$A39,T_Shipments[Effective_Week],101)</f>
        <v/>
      </c>
      <c r="CY39">
        <f>SUMIFS(T_Shipments[Confirmed_Qty],T_Shipments[RM_Code],$A39,T_Shipments[Effective_Week],102)</f>
        <v/>
      </c>
      <c r="CZ39">
        <f>SUMIFS(T_Shipments[Confirmed_Qty],T_Shipments[RM_Code],$A39,T_Shipments[Effective_Week],103)</f>
        <v/>
      </c>
      <c r="DA39">
        <f>SUMIFS(T_Shipments[Confirmed_Qty],T_Shipments[RM_Code],$A39,T_Shipments[Effective_Week],104)</f>
        <v/>
      </c>
    </row>
    <row r="40">
      <c r="A40" t="inlineStr">
        <is>
          <t>TPP-1469</t>
        </is>
      </c>
      <c r="B40">
        <f>SUMIFS(T_Shipments[Confirmed_Qty],T_Shipments[RM_Code],$A40,T_Shipments[Effective_Week],1)</f>
        <v/>
      </c>
      <c r="C40">
        <f>SUMIFS(T_Shipments[Confirmed_Qty],T_Shipments[RM_Code],$A40,T_Shipments[Effective_Week],2)</f>
        <v/>
      </c>
      <c r="D40">
        <f>SUMIFS(T_Shipments[Confirmed_Qty],T_Shipments[RM_Code],$A40,T_Shipments[Effective_Week],3)</f>
        <v/>
      </c>
      <c r="E40">
        <f>SUMIFS(T_Shipments[Confirmed_Qty],T_Shipments[RM_Code],$A40,T_Shipments[Effective_Week],4)</f>
        <v/>
      </c>
      <c r="F40">
        <f>SUMIFS(T_Shipments[Confirmed_Qty],T_Shipments[RM_Code],$A40,T_Shipments[Effective_Week],5)</f>
        <v/>
      </c>
      <c r="G40">
        <f>SUMIFS(T_Shipments[Confirmed_Qty],T_Shipments[RM_Code],$A40,T_Shipments[Effective_Week],6)</f>
        <v/>
      </c>
      <c r="H40">
        <f>SUMIFS(T_Shipments[Confirmed_Qty],T_Shipments[RM_Code],$A40,T_Shipments[Effective_Week],7)</f>
        <v/>
      </c>
      <c r="I40">
        <f>SUMIFS(T_Shipments[Confirmed_Qty],T_Shipments[RM_Code],$A40,T_Shipments[Effective_Week],8)</f>
        <v/>
      </c>
      <c r="J40">
        <f>SUMIFS(T_Shipments[Confirmed_Qty],T_Shipments[RM_Code],$A40,T_Shipments[Effective_Week],9)</f>
        <v/>
      </c>
      <c r="K40">
        <f>SUMIFS(T_Shipments[Confirmed_Qty],T_Shipments[RM_Code],$A40,T_Shipments[Effective_Week],10)</f>
        <v/>
      </c>
      <c r="L40">
        <f>SUMIFS(T_Shipments[Confirmed_Qty],T_Shipments[RM_Code],$A40,T_Shipments[Effective_Week],11)</f>
        <v/>
      </c>
      <c r="M40">
        <f>SUMIFS(T_Shipments[Confirmed_Qty],T_Shipments[RM_Code],$A40,T_Shipments[Effective_Week],12)</f>
        <v/>
      </c>
      <c r="N40">
        <f>SUMIFS(T_Shipments[Confirmed_Qty],T_Shipments[RM_Code],$A40,T_Shipments[Effective_Week],13)</f>
        <v/>
      </c>
      <c r="O40">
        <f>SUMIFS(T_Shipments[Confirmed_Qty],T_Shipments[RM_Code],$A40,T_Shipments[Effective_Week],14)</f>
        <v/>
      </c>
      <c r="P40">
        <f>SUMIFS(T_Shipments[Confirmed_Qty],T_Shipments[RM_Code],$A40,T_Shipments[Effective_Week],15)</f>
        <v/>
      </c>
      <c r="Q40">
        <f>SUMIFS(T_Shipments[Confirmed_Qty],T_Shipments[RM_Code],$A40,T_Shipments[Effective_Week],16)</f>
        <v/>
      </c>
      <c r="R40">
        <f>SUMIFS(T_Shipments[Confirmed_Qty],T_Shipments[RM_Code],$A40,T_Shipments[Effective_Week],17)</f>
        <v/>
      </c>
      <c r="S40">
        <f>SUMIFS(T_Shipments[Confirmed_Qty],T_Shipments[RM_Code],$A40,T_Shipments[Effective_Week],18)</f>
        <v/>
      </c>
      <c r="T40">
        <f>SUMIFS(T_Shipments[Confirmed_Qty],T_Shipments[RM_Code],$A40,T_Shipments[Effective_Week],19)</f>
        <v/>
      </c>
      <c r="U40">
        <f>SUMIFS(T_Shipments[Confirmed_Qty],T_Shipments[RM_Code],$A40,T_Shipments[Effective_Week],20)</f>
        <v/>
      </c>
      <c r="V40">
        <f>SUMIFS(T_Shipments[Confirmed_Qty],T_Shipments[RM_Code],$A40,T_Shipments[Effective_Week],21)</f>
        <v/>
      </c>
      <c r="W40">
        <f>SUMIFS(T_Shipments[Confirmed_Qty],T_Shipments[RM_Code],$A40,T_Shipments[Effective_Week],22)</f>
        <v/>
      </c>
      <c r="X40">
        <f>SUMIFS(T_Shipments[Confirmed_Qty],T_Shipments[RM_Code],$A40,T_Shipments[Effective_Week],23)</f>
        <v/>
      </c>
      <c r="Y40">
        <f>SUMIFS(T_Shipments[Confirmed_Qty],T_Shipments[RM_Code],$A40,T_Shipments[Effective_Week],24)</f>
        <v/>
      </c>
      <c r="Z40">
        <f>SUMIFS(T_Shipments[Confirmed_Qty],T_Shipments[RM_Code],$A40,T_Shipments[Effective_Week],25)</f>
        <v/>
      </c>
      <c r="AA40">
        <f>SUMIFS(T_Shipments[Confirmed_Qty],T_Shipments[RM_Code],$A40,T_Shipments[Effective_Week],26)</f>
        <v/>
      </c>
      <c r="AB40">
        <f>SUMIFS(T_Shipments[Confirmed_Qty],T_Shipments[RM_Code],$A40,T_Shipments[Effective_Week],27)</f>
        <v/>
      </c>
      <c r="AC40">
        <f>SUMIFS(T_Shipments[Confirmed_Qty],T_Shipments[RM_Code],$A40,T_Shipments[Effective_Week],28)</f>
        <v/>
      </c>
      <c r="AD40">
        <f>SUMIFS(T_Shipments[Confirmed_Qty],T_Shipments[RM_Code],$A40,T_Shipments[Effective_Week],29)</f>
        <v/>
      </c>
      <c r="AE40">
        <f>SUMIFS(T_Shipments[Confirmed_Qty],T_Shipments[RM_Code],$A40,T_Shipments[Effective_Week],30)</f>
        <v/>
      </c>
      <c r="AF40">
        <f>SUMIFS(T_Shipments[Confirmed_Qty],T_Shipments[RM_Code],$A40,T_Shipments[Effective_Week],31)</f>
        <v/>
      </c>
      <c r="AG40">
        <f>SUMIFS(T_Shipments[Confirmed_Qty],T_Shipments[RM_Code],$A40,T_Shipments[Effective_Week],32)</f>
        <v/>
      </c>
      <c r="AH40">
        <f>SUMIFS(T_Shipments[Confirmed_Qty],T_Shipments[RM_Code],$A40,T_Shipments[Effective_Week],33)</f>
        <v/>
      </c>
      <c r="AI40">
        <f>SUMIFS(T_Shipments[Confirmed_Qty],T_Shipments[RM_Code],$A40,T_Shipments[Effective_Week],34)</f>
        <v/>
      </c>
      <c r="AJ40">
        <f>SUMIFS(T_Shipments[Confirmed_Qty],T_Shipments[RM_Code],$A40,T_Shipments[Effective_Week],35)</f>
        <v/>
      </c>
      <c r="AK40">
        <f>SUMIFS(T_Shipments[Confirmed_Qty],T_Shipments[RM_Code],$A40,T_Shipments[Effective_Week],36)</f>
        <v/>
      </c>
      <c r="AL40">
        <f>SUMIFS(T_Shipments[Confirmed_Qty],T_Shipments[RM_Code],$A40,T_Shipments[Effective_Week],37)</f>
        <v/>
      </c>
      <c r="AM40">
        <f>SUMIFS(T_Shipments[Confirmed_Qty],T_Shipments[RM_Code],$A40,T_Shipments[Effective_Week],38)</f>
        <v/>
      </c>
      <c r="AN40">
        <f>SUMIFS(T_Shipments[Confirmed_Qty],T_Shipments[RM_Code],$A40,T_Shipments[Effective_Week],39)</f>
        <v/>
      </c>
      <c r="AO40">
        <f>SUMIFS(T_Shipments[Confirmed_Qty],T_Shipments[RM_Code],$A40,T_Shipments[Effective_Week],40)</f>
        <v/>
      </c>
      <c r="AP40">
        <f>SUMIFS(T_Shipments[Confirmed_Qty],T_Shipments[RM_Code],$A40,T_Shipments[Effective_Week],41)</f>
        <v/>
      </c>
      <c r="AQ40">
        <f>SUMIFS(T_Shipments[Confirmed_Qty],T_Shipments[RM_Code],$A40,T_Shipments[Effective_Week],42)</f>
        <v/>
      </c>
      <c r="AR40">
        <f>SUMIFS(T_Shipments[Confirmed_Qty],T_Shipments[RM_Code],$A40,T_Shipments[Effective_Week],43)</f>
        <v/>
      </c>
      <c r="AS40">
        <f>SUMIFS(T_Shipments[Confirmed_Qty],T_Shipments[RM_Code],$A40,T_Shipments[Effective_Week],44)</f>
        <v/>
      </c>
      <c r="AT40">
        <f>SUMIFS(T_Shipments[Confirmed_Qty],T_Shipments[RM_Code],$A40,T_Shipments[Effective_Week],45)</f>
        <v/>
      </c>
      <c r="AU40">
        <f>SUMIFS(T_Shipments[Confirmed_Qty],T_Shipments[RM_Code],$A40,T_Shipments[Effective_Week],46)</f>
        <v/>
      </c>
      <c r="AV40">
        <f>SUMIFS(T_Shipments[Confirmed_Qty],T_Shipments[RM_Code],$A40,T_Shipments[Effective_Week],47)</f>
        <v/>
      </c>
      <c r="AW40">
        <f>SUMIFS(T_Shipments[Confirmed_Qty],T_Shipments[RM_Code],$A40,T_Shipments[Effective_Week],48)</f>
        <v/>
      </c>
      <c r="AX40">
        <f>SUMIFS(T_Shipments[Confirmed_Qty],T_Shipments[RM_Code],$A40,T_Shipments[Effective_Week],49)</f>
        <v/>
      </c>
      <c r="AY40">
        <f>SUMIFS(T_Shipments[Confirmed_Qty],T_Shipments[RM_Code],$A40,T_Shipments[Effective_Week],50)</f>
        <v/>
      </c>
      <c r="AZ40">
        <f>SUMIFS(T_Shipments[Confirmed_Qty],T_Shipments[RM_Code],$A40,T_Shipments[Effective_Week],51)</f>
        <v/>
      </c>
      <c r="BA40">
        <f>SUMIFS(T_Shipments[Confirmed_Qty],T_Shipments[RM_Code],$A40,T_Shipments[Effective_Week],52)</f>
        <v/>
      </c>
      <c r="BB40">
        <f>SUMIFS(T_Shipments[Confirmed_Qty],T_Shipments[RM_Code],$A40,T_Shipments[Effective_Week],53)</f>
        <v/>
      </c>
      <c r="BC40">
        <f>SUMIFS(T_Shipments[Confirmed_Qty],T_Shipments[RM_Code],$A40,T_Shipments[Effective_Week],54)</f>
        <v/>
      </c>
      <c r="BD40">
        <f>SUMIFS(T_Shipments[Confirmed_Qty],T_Shipments[RM_Code],$A40,T_Shipments[Effective_Week],55)</f>
        <v/>
      </c>
      <c r="BE40">
        <f>SUMIFS(T_Shipments[Confirmed_Qty],T_Shipments[RM_Code],$A40,T_Shipments[Effective_Week],56)</f>
        <v/>
      </c>
      <c r="BF40">
        <f>SUMIFS(T_Shipments[Confirmed_Qty],T_Shipments[RM_Code],$A40,T_Shipments[Effective_Week],57)</f>
        <v/>
      </c>
      <c r="BG40">
        <f>SUMIFS(T_Shipments[Confirmed_Qty],T_Shipments[RM_Code],$A40,T_Shipments[Effective_Week],58)</f>
        <v/>
      </c>
      <c r="BH40">
        <f>SUMIFS(T_Shipments[Confirmed_Qty],T_Shipments[RM_Code],$A40,T_Shipments[Effective_Week],59)</f>
        <v/>
      </c>
      <c r="BI40">
        <f>SUMIFS(T_Shipments[Confirmed_Qty],T_Shipments[RM_Code],$A40,T_Shipments[Effective_Week],60)</f>
        <v/>
      </c>
      <c r="BJ40">
        <f>SUMIFS(T_Shipments[Confirmed_Qty],T_Shipments[RM_Code],$A40,T_Shipments[Effective_Week],61)</f>
        <v/>
      </c>
      <c r="BK40">
        <f>SUMIFS(T_Shipments[Confirmed_Qty],T_Shipments[RM_Code],$A40,T_Shipments[Effective_Week],62)</f>
        <v/>
      </c>
      <c r="BL40">
        <f>SUMIFS(T_Shipments[Confirmed_Qty],T_Shipments[RM_Code],$A40,T_Shipments[Effective_Week],63)</f>
        <v/>
      </c>
      <c r="BM40">
        <f>SUMIFS(T_Shipments[Confirmed_Qty],T_Shipments[RM_Code],$A40,T_Shipments[Effective_Week],64)</f>
        <v/>
      </c>
      <c r="BN40">
        <f>SUMIFS(T_Shipments[Confirmed_Qty],T_Shipments[RM_Code],$A40,T_Shipments[Effective_Week],65)</f>
        <v/>
      </c>
      <c r="BO40">
        <f>SUMIFS(T_Shipments[Confirmed_Qty],T_Shipments[RM_Code],$A40,T_Shipments[Effective_Week],66)</f>
        <v/>
      </c>
      <c r="BP40">
        <f>SUMIFS(T_Shipments[Confirmed_Qty],T_Shipments[RM_Code],$A40,T_Shipments[Effective_Week],67)</f>
        <v/>
      </c>
      <c r="BQ40">
        <f>SUMIFS(T_Shipments[Confirmed_Qty],T_Shipments[RM_Code],$A40,T_Shipments[Effective_Week],68)</f>
        <v/>
      </c>
      <c r="BR40">
        <f>SUMIFS(T_Shipments[Confirmed_Qty],T_Shipments[RM_Code],$A40,T_Shipments[Effective_Week],69)</f>
        <v/>
      </c>
      <c r="BS40">
        <f>SUMIFS(T_Shipments[Confirmed_Qty],T_Shipments[RM_Code],$A40,T_Shipments[Effective_Week],70)</f>
        <v/>
      </c>
      <c r="BT40">
        <f>SUMIFS(T_Shipments[Confirmed_Qty],T_Shipments[RM_Code],$A40,T_Shipments[Effective_Week],71)</f>
        <v/>
      </c>
      <c r="BU40">
        <f>SUMIFS(T_Shipments[Confirmed_Qty],T_Shipments[RM_Code],$A40,T_Shipments[Effective_Week],72)</f>
        <v/>
      </c>
      <c r="BV40">
        <f>SUMIFS(T_Shipments[Confirmed_Qty],T_Shipments[RM_Code],$A40,T_Shipments[Effective_Week],73)</f>
        <v/>
      </c>
      <c r="BW40">
        <f>SUMIFS(T_Shipments[Confirmed_Qty],T_Shipments[RM_Code],$A40,T_Shipments[Effective_Week],74)</f>
        <v/>
      </c>
      <c r="BX40">
        <f>SUMIFS(T_Shipments[Confirmed_Qty],T_Shipments[RM_Code],$A40,T_Shipments[Effective_Week],75)</f>
        <v/>
      </c>
      <c r="BY40">
        <f>SUMIFS(T_Shipments[Confirmed_Qty],T_Shipments[RM_Code],$A40,T_Shipments[Effective_Week],76)</f>
        <v/>
      </c>
      <c r="BZ40">
        <f>SUMIFS(T_Shipments[Confirmed_Qty],T_Shipments[RM_Code],$A40,T_Shipments[Effective_Week],77)</f>
        <v/>
      </c>
      <c r="CA40">
        <f>SUMIFS(T_Shipments[Confirmed_Qty],T_Shipments[RM_Code],$A40,T_Shipments[Effective_Week],78)</f>
        <v/>
      </c>
      <c r="CB40">
        <f>SUMIFS(T_Shipments[Confirmed_Qty],T_Shipments[RM_Code],$A40,T_Shipments[Effective_Week],79)</f>
        <v/>
      </c>
      <c r="CC40">
        <f>SUMIFS(T_Shipments[Confirmed_Qty],T_Shipments[RM_Code],$A40,T_Shipments[Effective_Week],80)</f>
        <v/>
      </c>
      <c r="CD40">
        <f>SUMIFS(T_Shipments[Confirmed_Qty],T_Shipments[RM_Code],$A40,T_Shipments[Effective_Week],81)</f>
        <v/>
      </c>
      <c r="CE40">
        <f>SUMIFS(T_Shipments[Confirmed_Qty],T_Shipments[RM_Code],$A40,T_Shipments[Effective_Week],82)</f>
        <v/>
      </c>
      <c r="CF40">
        <f>SUMIFS(T_Shipments[Confirmed_Qty],T_Shipments[RM_Code],$A40,T_Shipments[Effective_Week],83)</f>
        <v/>
      </c>
      <c r="CG40">
        <f>SUMIFS(T_Shipments[Confirmed_Qty],T_Shipments[RM_Code],$A40,T_Shipments[Effective_Week],84)</f>
        <v/>
      </c>
      <c r="CH40">
        <f>SUMIFS(T_Shipments[Confirmed_Qty],T_Shipments[RM_Code],$A40,T_Shipments[Effective_Week],85)</f>
        <v/>
      </c>
      <c r="CI40">
        <f>SUMIFS(T_Shipments[Confirmed_Qty],T_Shipments[RM_Code],$A40,T_Shipments[Effective_Week],86)</f>
        <v/>
      </c>
      <c r="CJ40">
        <f>SUMIFS(T_Shipments[Confirmed_Qty],T_Shipments[RM_Code],$A40,T_Shipments[Effective_Week],87)</f>
        <v/>
      </c>
      <c r="CK40">
        <f>SUMIFS(T_Shipments[Confirmed_Qty],T_Shipments[RM_Code],$A40,T_Shipments[Effective_Week],88)</f>
        <v/>
      </c>
      <c r="CL40">
        <f>SUMIFS(T_Shipments[Confirmed_Qty],T_Shipments[RM_Code],$A40,T_Shipments[Effective_Week],89)</f>
        <v/>
      </c>
      <c r="CM40">
        <f>SUMIFS(T_Shipments[Confirmed_Qty],T_Shipments[RM_Code],$A40,T_Shipments[Effective_Week],90)</f>
        <v/>
      </c>
      <c r="CN40">
        <f>SUMIFS(T_Shipments[Confirmed_Qty],T_Shipments[RM_Code],$A40,T_Shipments[Effective_Week],91)</f>
        <v/>
      </c>
      <c r="CO40">
        <f>SUMIFS(T_Shipments[Confirmed_Qty],T_Shipments[RM_Code],$A40,T_Shipments[Effective_Week],92)</f>
        <v/>
      </c>
      <c r="CP40">
        <f>SUMIFS(T_Shipments[Confirmed_Qty],T_Shipments[RM_Code],$A40,T_Shipments[Effective_Week],93)</f>
        <v/>
      </c>
      <c r="CQ40">
        <f>SUMIFS(T_Shipments[Confirmed_Qty],T_Shipments[RM_Code],$A40,T_Shipments[Effective_Week],94)</f>
        <v/>
      </c>
      <c r="CR40">
        <f>SUMIFS(T_Shipments[Confirmed_Qty],T_Shipments[RM_Code],$A40,T_Shipments[Effective_Week],95)</f>
        <v/>
      </c>
      <c r="CS40">
        <f>SUMIFS(T_Shipments[Confirmed_Qty],T_Shipments[RM_Code],$A40,T_Shipments[Effective_Week],96)</f>
        <v/>
      </c>
      <c r="CT40">
        <f>SUMIFS(T_Shipments[Confirmed_Qty],T_Shipments[RM_Code],$A40,T_Shipments[Effective_Week],97)</f>
        <v/>
      </c>
      <c r="CU40">
        <f>SUMIFS(T_Shipments[Confirmed_Qty],T_Shipments[RM_Code],$A40,T_Shipments[Effective_Week],98)</f>
        <v/>
      </c>
      <c r="CV40">
        <f>SUMIFS(T_Shipments[Confirmed_Qty],T_Shipments[RM_Code],$A40,T_Shipments[Effective_Week],99)</f>
        <v/>
      </c>
      <c r="CW40">
        <f>SUMIFS(T_Shipments[Confirmed_Qty],T_Shipments[RM_Code],$A40,T_Shipments[Effective_Week],100)</f>
        <v/>
      </c>
      <c r="CX40">
        <f>SUMIFS(T_Shipments[Confirmed_Qty],T_Shipments[RM_Code],$A40,T_Shipments[Effective_Week],101)</f>
        <v/>
      </c>
      <c r="CY40">
        <f>SUMIFS(T_Shipments[Confirmed_Qty],T_Shipments[RM_Code],$A40,T_Shipments[Effective_Week],102)</f>
        <v/>
      </c>
      <c r="CZ40">
        <f>SUMIFS(T_Shipments[Confirmed_Qty],T_Shipments[RM_Code],$A40,T_Shipments[Effective_Week],103)</f>
        <v/>
      </c>
      <c r="DA40">
        <f>SUMIFS(T_Shipments[Confirmed_Qty],T_Shipments[RM_Code],$A40,T_Shipments[Effective_Week],104)</f>
        <v/>
      </c>
    </row>
    <row r="41">
      <c r="A41" t="inlineStr">
        <is>
          <t>TDJ</t>
        </is>
      </c>
      <c r="B41">
        <f>SUMIFS(T_Shipments[Confirmed_Qty],T_Shipments[RM_Code],$A41,T_Shipments[Effective_Week],1)</f>
        <v/>
      </c>
      <c r="C41">
        <f>SUMIFS(T_Shipments[Confirmed_Qty],T_Shipments[RM_Code],$A41,T_Shipments[Effective_Week],2)</f>
        <v/>
      </c>
      <c r="D41">
        <f>SUMIFS(T_Shipments[Confirmed_Qty],T_Shipments[RM_Code],$A41,T_Shipments[Effective_Week],3)</f>
        <v/>
      </c>
      <c r="E41">
        <f>SUMIFS(T_Shipments[Confirmed_Qty],T_Shipments[RM_Code],$A41,T_Shipments[Effective_Week],4)</f>
        <v/>
      </c>
      <c r="F41">
        <f>SUMIFS(T_Shipments[Confirmed_Qty],T_Shipments[RM_Code],$A41,T_Shipments[Effective_Week],5)</f>
        <v/>
      </c>
      <c r="G41">
        <f>SUMIFS(T_Shipments[Confirmed_Qty],T_Shipments[RM_Code],$A41,T_Shipments[Effective_Week],6)</f>
        <v/>
      </c>
      <c r="H41">
        <f>SUMIFS(T_Shipments[Confirmed_Qty],T_Shipments[RM_Code],$A41,T_Shipments[Effective_Week],7)</f>
        <v/>
      </c>
      <c r="I41">
        <f>SUMIFS(T_Shipments[Confirmed_Qty],T_Shipments[RM_Code],$A41,T_Shipments[Effective_Week],8)</f>
        <v/>
      </c>
      <c r="J41">
        <f>SUMIFS(T_Shipments[Confirmed_Qty],T_Shipments[RM_Code],$A41,T_Shipments[Effective_Week],9)</f>
        <v/>
      </c>
      <c r="K41">
        <f>SUMIFS(T_Shipments[Confirmed_Qty],T_Shipments[RM_Code],$A41,T_Shipments[Effective_Week],10)</f>
        <v/>
      </c>
      <c r="L41">
        <f>SUMIFS(T_Shipments[Confirmed_Qty],T_Shipments[RM_Code],$A41,T_Shipments[Effective_Week],11)</f>
        <v/>
      </c>
      <c r="M41">
        <f>SUMIFS(T_Shipments[Confirmed_Qty],T_Shipments[RM_Code],$A41,T_Shipments[Effective_Week],12)</f>
        <v/>
      </c>
      <c r="N41">
        <f>SUMIFS(T_Shipments[Confirmed_Qty],T_Shipments[RM_Code],$A41,T_Shipments[Effective_Week],13)</f>
        <v/>
      </c>
      <c r="O41">
        <f>SUMIFS(T_Shipments[Confirmed_Qty],T_Shipments[RM_Code],$A41,T_Shipments[Effective_Week],14)</f>
        <v/>
      </c>
      <c r="P41">
        <f>SUMIFS(T_Shipments[Confirmed_Qty],T_Shipments[RM_Code],$A41,T_Shipments[Effective_Week],15)</f>
        <v/>
      </c>
      <c r="Q41">
        <f>SUMIFS(T_Shipments[Confirmed_Qty],T_Shipments[RM_Code],$A41,T_Shipments[Effective_Week],16)</f>
        <v/>
      </c>
      <c r="R41">
        <f>SUMIFS(T_Shipments[Confirmed_Qty],T_Shipments[RM_Code],$A41,T_Shipments[Effective_Week],17)</f>
        <v/>
      </c>
      <c r="S41">
        <f>SUMIFS(T_Shipments[Confirmed_Qty],T_Shipments[RM_Code],$A41,T_Shipments[Effective_Week],18)</f>
        <v/>
      </c>
      <c r="T41">
        <f>SUMIFS(T_Shipments[Confirmed_Qty],T_Shipments[RM_Code],$A41,T_Shipments[Effective_Week],19)</f>
        <v/>
      </c>
      <c r="U41">
        <f>SUMIFS(T_Shipments[Confirmed_Qty],T_Shipments[RM_Code],$A41,T_Shipments[Effective_Week],20)</f>
        <v/>
      </c>
      <c r="V41">
        <f>SUMIFS(T_Shipments[Confirmed_Qty],T_Shipments[RM_Code],$A41,T_Shipments[Effective_Week],21)</f>
        <v/>
      </c>
      <c r="W41">
        <f>SUMIFS(T_Shipments[Confirmed_Qty],T_Shipments[RM_Code],$A41,T_Shipments[Effective_Week],22)</f>
        <v/>
      </c>
      <c r="X41">
        <f>SUMIFS(T_Shipments[Confirmed_Qty],T_Shipments[RM_Code],$A41,T_Shipments[Effective_Week],23)</f>
        <v/>
      </c>
      <c r="Y41">
        <f>SUMIFS(T_Shipments[Confirmed_Qty],T_Shipments[RM_Code],$A41,T_Shipments[Effective_Week],24)</f>
        <v/>
      </c>
      <c r="Z41">
        <f>SUMIFS(T_Shipments[Confirmed_Qty],T_Shipments[RM_Code],$A41,T_Shipments[Effective_Week],25)</f>
        <v/>
      </c>
      <c r="AA41">
        <f>SUMIFS(T_Shipments[Confirmed_Qty],T_Shipments[RM_Code],$A41,T_Shipments[Effective_Week],26)</f>
        <v/>
      </c>
      <c r="AB41">
        <f>SUMIFS(T_Shipments[Confirmed_Qty],T_Shipments[RM_Code],$A41,T_Shipments[Effective_Week],27)</f>
        <v/>
      </c>
      <c r="AC41">
        <f>SUMIFS(T_Shipments[Confirmed_Qty],T_Shipments[RM_Code],$A41,T_Shipments[Effective_Week],28)</f>
        <v/>
      </c>
      <c r="AD41">
        <f>SUMIFS(T_Shipments[Confirmed_Qty],T_Shipments[RM_Code],$A41,T_Shipments[Effective_Week],29)</f>
        <v/>
      </c>
      <c r="AE41">
        <f>SUMIFS(T_Shipments[Confirmed_Qty],T_Shipments[RM_Code],$A41,T_Shipments[Effective_Week],30)</f>
        <v/>
      </c>
      <c r="AF41">
        <f>SUMIFS(T_Shipments[Confirmed_Qty],T_Shipments[RM_Code],$A41,T_Shipments[Effective_Week],31)</f>
        <v/>
      </c>
      <c r="AG41">
        <f>SUMIFS(T_Shipments[Confirmed_Qty],T_Shipments[RM_Code],$A41,T_Shipments[Effective_Week],32)</f>
        <v/>
      </c>
      <c r="AH41">
        <f>SUMIFS(T_Shipments[Confirmed_Qty],T_Shipments[RM_Code],$A41,T_Shipments[Effective_Week],33)</f>
        <v/>
      </c>
      <c r="AI41">
        <f>SUMIFS(T_Shipments[Confirmed_Qty],T_Shipments[RM_Code],$A41,T_Shipments[Effective_Week],34)</f>
        <v/>
      </c>
      <c r="AJ41">
        <f>SUMIFS(T_Shipments[Confirmed_Qty],T_Shipments[RM_Code],$A41,T_Shipments[Effective_Week],35)</f>
        <v/>
      </c>
      <c r="AK41">
        <f>SUMIFS(T_Shipments[Confirmed_Qty],T_Shipments[RM_Code],$A41,T_Shipments[Effective_Week],36)</f>
        <v/>
      </c>
      <c r="AL41">
        <f>SUMIFS(T_Shipments[Confirmed_Qty],T_Shipments[RM_Code],$A41,T_Shipments[Effective_Week],37)</f>
        <v/>
      </c>
      <c r="AM41">
        <f>SUMIFS(T_Shipments[Confirmed_Qty],T_Shipments[RM_Code],$A41,T_Shipments[Effective_Week],38)</f>
        <v/>
      </c>
      <c r="AN41">
        <f>SUMIFS(T_Shipments[Confirmed_Qty],T_Shipments[RM_Code],$A41,T_Shipments[Effective_Week],39)</f>
        <v/>
      </c>
      <c r="AO41">
        <f>SUMIFS(T_Shipments[Confirmed_Qty],T_Shipments[RM_Code],$A41,T_Shipments[Effective_Week],40)</f>
        <v/>
      </c>
      <c r="AP41">
        <f>SUMIFS(T_Shipments[Confirmed_Qty],T_Shipments[RM_Code],$A41,T_Shipments[Effective_Week],41)</f>
        <v/>
      </c>
      <c r="AQ41">
        <f>SUMIFS(T_Shipments[Confirmed_Qty],T_Shipments[RM_Code],$A41,T_Shipments[Effective_Week],42)</f>
        <v/>
      </c>
      <c r="AR41">
        <f>SUMIFS(T_Shipments[Confirmed_Qty],T_Shipments[RM_Code],$A41,T_Shipments[Effective_Week],43)</f>
        <v/>
      </c>
      <c r="AS41">
        <f>SUMIFS(T_Shipments[Confirmed_Qty],T_Shipments[RM_Code],$A41,T_Shipments[Effective_Week],44)</f>
        <v/>
      </c>
      <c r="AT41">
        <f>SUMIFS(T_Shipments[Confirmed_Qty],T_Shipments[RM_Code],$A41,T_Shipments[Effective_Week],45)</f>
        <v/>
      </c>
      <c r="AU41">
        <f>SUMIFS(T_Shipments[Confirmed_Qty],T_Shipments[RM_Code],$A41,T_Shipments[Effective_Week],46)</f>
        <v/>
      </c>
      <c r="AV41">
        <f>SUMIFS(T_Shipments[Confirmed_Qty],T_Shipments[RM_Code],$A41,T_Shipments[Effective_Week],47)</f>
        <v/>
      </c>
      <c r="AW41">
        <f>SUMIFS(T_Shipments[Confirmed_Qty],T_Shipments[RM_Code],$A41,T_Shipments[Effective_Week],48)</f>
        <v/>
      </c>
      <c r="AX41">
        <f>SUMIFS(T_Shipments[Confirmed_Qty],T_Shipments[RM_Code],$A41,T_Shipments[Effective_Week],49)</f>
        <v/>
      </c>
      <c r="AY41">
        <f>SUMIFS(T_Shipments[Confirmed_Qty],T_Shipments[RM_Code],$A41,T_Shipments[Effective_Week],50)</f>
        <v/>
      </c>
      <c r="AZ41">
        <f>SUMIFS(T_Shipments[Confirmed_Qty],T_Shipments[RM_Code],$A41,T_Shipments[Effective_Week],51)</f>
        <v/>
      </c>
      <c r="BA41">
        <f>SUMIFS(T_Shipments[Confirmed_Qty],T_Shipments[RM_Code],$A41,T_Shipments[Effective_Week],52)</f>
        <v/>
      </c>
      <c r="BB41">
        <f>SUMIFS(T_Shipments[Confirmed_Qty],T_Shipments[RM_Code],$A41,T_Shipments[Effective_Week],53)</f>
        <v/>
      </c>
      <c r="BC41">
        <f>SUMIFS(T_Shipments[Confirmed_Qty],T_Shipments[RM_Code],$A41,T_Shipments[Effective_Week],54)</f>
        <v/>
      </c>
      <c r="BD41">
        <f>SUMIFS(T_Shipments[Confirmed_Qty],T_Shipments[RM_Code],$A41,T_Shipments[Effective_Week],55)</f>
        <v/>
      </c>
      <c r="BE41">
        <f>SUMIFS(T_Shipments[Confirmed_Qty],T_Shipments[RM_Code],$A41,T_Shipments[Effective_Week],56)</f>
        <v/>
      </c>
      <c r="BF41">
        <f>SUMIFS(T_Shipments[Confirmed_Qty],T_Shipments[RM_Code],$A41,T_Shipments[Effective_Week],57)</f>
        <v/>
      </c>
      <c r="BG41">
        <f>SUMIFS(T_Shipments[Confirmed_Qty],T_Shipments[RM_Code],$A41,T_Shipments[Effective_Week],58)</f>
        <v/>
      </c>
      <c r="BH41">
        <f>SUMIFS(T_Shipments[Confirmed_Qty],T_Shipments[RM_Code],$A41,T_Shipments[Effective_Week],59)</f>
        <v/>
      </c>
      <c r="BI41">
        <f>SUMIFS(T_Shipments[Confirmed_Qty],T_Shipments[RM_Code],$A41,T_Shipments[Effective_Week],60)</f>
        <v/>
      </c>
      <c r="BJ41">
        <f>SUMIFS(T_Shipments[Confirmed_Qty],T_Shipments[RM_Code],$A41,T_Shipments[Effective_Week],61)</f>
        <v/>
      </c>
      <c r="BK41">
        <f>SUMIFS(T_Shipments[Confirmed_Qty],T_Shipments[RM_Code],$A41,T_Shipments[Effective_Week],62)</f>
        <v/>
      </c>
      <c r="BL41">
        <f>SUMIFS(T_Shipments[Confirmed_Qty],T_Shipments[RM_Code],$A41,T_Shipments[Effective_Week],63)</f>
        <v/>
      </c>
      <c r="BM41">
        <f>SUMIFS(T_Shipments[Confirmed_Qty],T_Shipments[RM_Code],$A41,T_Shipments[Effective_Week],64)</f>
        <v/>
      </c>
      <c r="BN41">
        <f>SUMIFS(T_Shipments[Confirmed_Qty],T_Shipments[RM_Code],$A41,T_Shipments[Effective_Week],65)</f>
        <v/>
      </c>
      <c r="BO41">
        <f>SUMIFS(T_Shipments[Confirmed_Qty],T_Shipments[RM_Code],$A41,T_Shipments[Effective_Week],66)</f>
        <v/>
      </c>
      <c r="BP41">
        <f>SUMIFS(T_Shipments[Confirmed_Qty],T_Shipments[RM_Code],$A41,T_Shipments[Effective_Week],67)</f>
        <v/>
      </c>
      <c r="BQ41">
        <f>SUMIFS(T_Shipments[Confirmed_Qty],T_Shipments[RM_Code],$A41,T_Shipments[Effective_Week],68)</f>
        <v/>
      </c>
      <c r="BR41">
        <f>SUMIFS(T_Shipments[Confirmed_Qty],T_Shipments[RM_Code],$A41,T_Shipments[Effective_Week],69)</f>
        <v/>
      </c>
      <c r="BS41">
        <f>SUMIFS(T_Shipments[Confirmed_Qty],T_Shipments[RM_Code],$A41,T_Shipments[Effective_Week],70)</f>
        <v/>
      </c>
      <c r="BT41">
        <f>SUMIFS(T_Shipments[Confirmed_Qty],T_Shipments[RM_Code],$A41,T_Shipments[Effective_Week],71)</f>
        <v/>
      </c>
      <c r="BU41">
        <f>SUMIFS(T_Shipments[Confirmed_Qty],T_Shipments[RM_Code],$A41,T_Shipments[Effective_Week],72)</f>
        <v/>
      </c>
      <c r="BV41">
        <f>SUMIFS(T_Shipments[Confirmed_Qty],T_Shipments[RM_Code],$A41,T_Shipments[Effective_Week],73)</f>
        <v/>
      </c>
      <c r="BW41">
        <f>SUMIFS(T_Shipments[Confirmed_Qty],T_Shipments[RM_Code],$A41,T_Shipments[Effective_Week],74)</f>
        <v/>
      </c>
      <c r="BX41">
        <f>SUMIFS(T_Shipments[Confirmed_Qty],T_Shipments[RM_Code],$A41,T_Shipments[Effective_Week],75)</f>
        <v/>
      </c>
      <c r="BY41">
        <f>SUMIFS(T_Shipments[Confirmed_Qty],T_Shipments[RM_Code],$A41,T_Shipments[Effective_Week],76)</f>
        <v/>
      </c>
      <c r="BZ41">
        <f>SUMIFS(T_Shipments[Confirmed_Qty],T_Shipments[RM_Code],$A41,T_Shipments[Effective_Week],77)</f>
        <v/>
      </c>
      <c r="CA41">
        <f>SUMIFS(T_Shipments[Confirmed_Qty],T_Shipments[RM_Code],$A41,T_Shipments[Effective_Week],78)</f>
        <v/>
      </c>
      <c r="CB41">
        <f>SUMIFS(T_Shipments[Confirmed_Qty],T_Shipments[RM_Code],$A41,T_Shipments[Effective_Week],79)</f>
        <v/>
      </c>
      <c r="CC41">
        <f>SUMIFS(T_Shipments[Confirmed_Qty],T_Shipments[RM_Code],$A41,T_Shipments[Effective_Week],80)</f>
        <v/>
      </c>
      <c r="CD41">
        <f>SUMIFS(T_Shipments[Confirmed_Qty],T_Shipments[RM_Code],$A41,T_Shipments[Effective_Week],81)</f>
        <v/>
      </c>
      <c r="CE41">
        <f>SUMIFS(T_Shipments[Confirmed_Qty],T_Shipments[RM_Code],$A41,T_Shipments[Effective_Week],82)</f>
        <v/>
      </c>
      <c r="CF41">
        <f>SUMIFS(T_Shipments[Confirmed_Qty],T_Shipments[RM_Code],$A41,T_Shipments[Effective_Week],83)</f>
        <v/>
      </c>
      <c r="CG41">
        <f>SUMIFS(T_Shipments[Confirmed_Qty],T_Shipments[RM_Code],$A41,T_Shipments[Effective_Week],84)</f>
        <v/>
      </c>
      <c r="CH41">
        <f>SUMIFS(T_Shipments[Confirmed_Qty],T_Shipments[RM_Code],$A41,T_Shipments[Effective_Week],85)</f>
        <v/>
      </c>
      <c r="CI41">
        <f>SUMIFS(T_Shipments[Confirmed_Qty],T_Shipments[RM_Code],$A41,T_Shipments[Effective_Week],86)</f>
        <v/>
      </c>
      <c r="CJ41">
        <f>SUMIFS(T_Shipments[Confirmed_Qty],T_Shipments[RM_Code],$A41,T_Shipments[Effective_Week],87)</f>
        <v/>
      </c>
      <c r="CK41">
        <f>SUMIFS(T_Shipments[Confirmed_Qty],T_Shipments[RM_Code],$A41,T_Shipments[Effective_Week],88)</f>
        <v/>
      </c>
      <c r="CL41">
        <f>SUMIFS(T_Shipments[Confirmed_Qty],T_Shipments[RM_Code],$A41,T_Shipments[Effective_Week],89)</f>
        <v/>
      </c>
      <c r="CM41">
        <f>SUMIFS(T_Shipments[Confirmed_Qty],T_Shipments[RM_Code],$A41,T_Shipments[Effective_Week],90)</f>
        <v/>
      </c>
      <c r="CN41">
        <f>SUMIFS(T_Shipments[Confirmed_Qty],T_Shipments[RM_Code],$A41,T_Shipments[Effective_Week],91)</f>
        <v/>
      </c>
      <c r="CO41">
        <f>SUMIFS(T_Shipments[Confirmed_Qty],T_Shipments[RM_Code],$A41,T_Shipments[Effective_Week],92)</f>
        <v/>
      </c>
      <c r="CP41">
        <f>SUMIFS(T_Shipments[Confirmed_Qty],T_Shipments[RM_Code],$A41,T_Shipments[Effective_Week],93)</f>
        <v/>
      </c>
      <c r="CQ41">
        <f>SUMIFS(T_Shipments[Confirmed_Qty],T_Shipments[RM_Code],$A41,T_Shipments[Effective_Week],94)</f>
        <v/>
      </c>
      <c r="CR41">
        <f>SUMIFS(T_Shipments[Confirmed_Qty],T_Shipments[RM_Code],$A41,T_Shipments[Effective_Week],95)</f>
        <v/>
      </c>
      <c r="CS41">
        <f>SUMIFS(T_Shipments[Confirmed_Qty],T_Shipments[RM_Code],$A41,T_Shipments[Effective_Week],96)</f>
        <v/>
      </c>
      <c r="CT41">
        <f>SUMIFS(T_Shipments[Confirmed_Qty],T_Shipments[RM_Code],$A41,T_Shipments[Effective_Week],97)</f>
        <v/>
      </c>
      <c r="CU41">
        <f>SUMIFS(T_Shipments[Confirmed_Qty],T_Shipments[RM_Code],$A41,T_Shipments[Effective_Week],98)</f>
        <v/>
      </c>
      <c r="CV41">
        <f>SUMIFS(T_Shipments[Confirmed_Qty],T_Shipments[RM_Code],$A41,T_Shipments[Effective_Week],99)</f>
        <v/>
      </c>
      <c r="CW41">
        <f>SUMIFS(T_Shipments[Confirmed_Qty],T_Shipments[RM_Code],$A41,T_Shipments[Effective_Week],100)</f>
        <v/>
      </c>
      <c r="CX41">
        <f>SUMIFS(T_Shipments[Confirmed_Qty],T_Shipments[RM_Code],$A41,T_Shipments[Effective_Week],101)</f>
        <v/>
      </c>
      <c r="CY41">
        <f>SUMIFS(T_Shipments[Confirmed_Qty],T_Shipments[RM_Code],$A41,T_Shipments[Effective_Week],102)</f>
        <v/>
      </c>
      <c r="CZ41">
        <f>SUMIFS(T_Shipments[Confirmed_Qty],T_Shipments[RM_Code],$A41,T_Shipments[Effective_Week],103)</f>
        <v/>
      </c>
      <c r="DA41">
        <f>SUMIFS(T_Shipments[Confirmed_Qty],T_Shipments[RM_Code],$A41,T_Shipments[Effective_Week],104)</f>
        <v/>
      </c>
    </row>
    <row r="42">
      <c r="A42" t="inlineStr">
        <is>
          <t>CHEM-1730</t>
        </is>
      </c>
      <c r="B42">
        <f>SUMIFS(T_Shipments[Confirmed_Qty],T_Shipments[RM_Code],$A42,T_Shipments[Effective_Week],1)</f>
        <v/>
      </c>
      <c r="C42">
        <f>SUMIFS(T_Shipments[Confirmed_Qty],T_Shipments[RM_Code],$A42,T_Shipments[Effective_Week],2)</f>
        <v/>
      </c>
      <c r="D42">
        <f>SUMIFS(T_Shipments[Confirmed_Qty],T_Shipments[RM_Code],$A42,T_Shipments[Effective_Week],3)</f>
        <v/>
      </c>
      <c r="E42">
        <f>SUMIFS(T_Shipments[Confirmed_Qty],T_Shipments[RM_Code],$A42,T_Shipments[Effective_Week],4)</f>
        <v/>
      </c>
      <c r="F42">
        <f>SUMIFS(T_Shipments[Confirmed_Qty],T_Shipments[RM_Code],$A42,T_Shipments[Effective_Week],5)</f>
        <v/>
      </c>
      <c r="G42">
        <f>SUMIFS(T_Shipments[Confirmed_Qty],T_Shipments[RM_Code],$A42,T_Shipments[Effective_Week],6)</f>
        <v/>
      </c>
      <c r="H42">
        <f>SUMIFS(T_Shipments[Confirmed_Qty],T_Shipments[RM_Code],$A42,T_Shipments[Effective_Week],7)</f>
        <v/>
      </c>
      <c r="I42">
        <f>SUMIFS(T_Shipments[Confirmed_Qty],T_Shipments[RM_Code],$A42,T_Shipments[Effective_Week],8)</f>
        <v/>
      </c>
      <c r="J42">
        <f>SUMIFS(T_Shipments[Confirmed_Qty],T_Shipments[RM_Code],$A42,T_Shipments[Effective_Week],9)</f>
        <v/>
      </c>
      <c r="K42">
        <f>SUMIFS(T_Shipments[Confirmed_Qty],T_Shipments[RM_Code],$A42,T_Shipments[Effective_Week],10)</f>
        <v/>
      </c>
      <c r="L42">
        <f>SUMIFS(T_Shipments[Confirmed_Qty],T_Shipments[RM_Code],$A42,T_Shipments[Effective_Week],11)</f>
        <v/>
      </c>
      <c r="M42">
        <f>SUMIFS(T_Shipments[Confirmed_Qty],T_Shipments[RM_Code],$A42,T_Shipments[Effective_Week],12)</f>
        <v/>
      </c>
      <c r="N42">
        <f>SUMIFS(T_Shipments[Confirmed_Qty],T_Shipments[RM_Code],$A42,T_Shipments[Effective_Week],13)</f>
        <v/>
      </c>
      <c r="O42">
        <f>SUMIFS(T_Shipments[Confirmed_Qty],T_Shipments[RM_Code],$A42,T_Shipments[Effective_Week],14)</f>
        <v/>
      </c>
      <c r="P42">
        <f>SUMIFS(T_Shipments[Confirmed_Qty],T_Shipments[RM_Code],$A42,T_Shipments[Effective_Week],15)</f>
        <v/>
      </c>
      <c r="Q42">
        <f>SUMIFS(T_Shipments[Confirmed_Qty],T_Shipments[RM_Code],$A42,T_Shipments[Effective_Week],16)</f>
        <v/>
      </c>
      <c r="R42">
        <f>SUMIFS(T_Shipments[Confirmed_Qty],T_Shipments[RM_Code],$A42,T_Shipments[Effective_Week],17)</f>
        <v/>
      </c>
      <c r="S42">
        <f>SUMIFS(T_Shipments[Confirmed_Qty],T_Shipments[RM_Code],$A42,T_Shipments[Effective_Week],18)</f>
        <v/>
      </c>
      <c r="T42">
        <f>SUMIFS(T_Shipments[Confirmed_Qty],T_Shipments[RM_Code],$A42,T_Shipments[Effective_Week],19)</f>
        <v/>
      </c>
      <c r="U42">
        <f>SUMIFS(T_Shipments[Confirmed_Qty],T_Shipments[RM_Code],$A42,T_Shipments[Effective_Week],20)</f>
        <v/>
      </c>
      <c r="V42">
        <f>SUMIFS(T_Shipments[Confirmed_Qty],T_Shipments[RM_Code],$A42,T_Shipments[Effective_Week],21)</f>
        <v/>
      </c>
      <c r="W42">
        <f>SUMIFS(T_Shipments[Confirmed_Qty],T_Shipments[RM_Code],$A42,T_Shipments[Effective_Week],22)</f>
        <v/>
      </c>
      <c r="X42">
        <f>SUMIFS(T_Shipments[Confirmed_Qty],T_Shipments[RM_Code],$A42,T_Shipments[Effective_Week],23)</f>
        <v/>
      </c>
      <c r="Y42">
        <f>SUMIFS(T_Shipments[Confirmed_Qty],T_Shipments[RM_Code],$A42,T_Shipments[Effective_Week],24)</f>
        <v/>
      </c>
      <c r="Z42">
        <f>SUMIFS(T_Shipments[Confirmed_Qty],T_Shipments[RM_Code],$A42,T_Shipments[Effective_Week],25)</f>
        <v/>
      </c>
      <c r="AA42">
        <f>SUMIFS(T_Shipments[Confirmed_Qty],T_Shipments[RM_Code],$A42,T_Shipments[Effective_Week],26)</f>
        <v/>
      </c>
      <c r="AB42">
        <f>SUMIFS(T_Shipments[Confirmed_Qty],T_Shipments[RM_Code],$A42,T_Shipments[Effective_Week],27)</f>
        <v/>
      </c>
      <c r="AC42">
        <f>SUMIFS(T_Shipments[Confirmed_Qty],T_Shipments[RM_Code],$A42,T_Shipments[Effective_Week],28)</f>
        <v/>
      </c>
      <c r="AD42">
        <f>SUMIFS(T_Shipments[Confirmed_Qty],T_Shipments[RM_Code],$A42,T_Shipments[Effective_Week],29)</f>
        <v/>
      </c>
      <c r="AE42">
        <f>SUMIFS(T_Shipments[Confirmed_Qty],T_Shipments[RM_Code],$A42,T_Shipments[Effective_Week],30)</f>
        <v/>
      </c>
      <c r="AF42">
        <f>SUMIFS(T_Shipments[Confirmed_Qty],T_Shipments[RM_Code],$A42,T_Shipments[Effective_Week],31)</f>
        <v/>
      </c>
      <c r="AG42">
        <f>SUMIFS(T_Shipments[Confirmed_Qty],T_Shipments[RM_Code],$A42,T_Shipments[Effective_Week],32)</f>
        <v/>
      </c>
      <c r="AH42">
        <f>SUMIFS(T_Shipments[Confirmed_Qty],T_Shipments[RM_Code],$A42,T_Shipments[Effective_Week],33)</f>
        <v/>
      </c>
      <c r="AI42">
        <f>SUMIFS(T_Shipments[Confirmed_Qty],T_Shipments[RM_Code],$A42,T_Shipments[Effective_Week],34)</f>
        <v/>
      </c>
      <c r="AJ42">
        <f>SUMIFS(T_Shipments[Confirmed_Qty],T_Shipments[RM_Code],$A42,T_Shipments[Effective_Week],35)</f>
        <v/>
      </c>
      <c r="AK42">
        <f>SUMIFS(T_Shipments[Confirmed_Qty],T_Shipments[RM_Code],$A42,T_Shipments[Effective_Week],36)</f>
        <v/>
      </c>
      <c r="AL42">
        <f>SUMIFS(T_Shipments[Confirmed_Qty],T_Shipments[RM_Code],$A42,T_Shipments[Effective_Week],37)</f>
        <v/>
      </c>
      <c r="AM42">
        <f>SUMIFS(T_Shipments[Confirmed_Qty],T_Shipments[RM_Code],$A42,T_Shipments[Effective_Week],38)</f>
        <v/>
      </c>
      <c r="AN42">
        <f>SUMIFS(T_Shipments[Confirmed_Qty],T_Shipments[RM_Code],$A42,T_Shipments[Effective_Week],39)</f>
        <v/>
      </c>
      <c r="AO42">
        <f>SUMIFS(T_Shipments[Confirmed_Qty],T_Shipments[RM_Code],$A42,T_Shipments[Effective_Week],40)</f>
        <v/>
      </c>
      <c r="AP42">
        <f>SUMIFS(T_Shipments[Confirmed_Qty],T_Shipments[RM_Code],$A42,T_Shipments[Effective_Week],41)</f>
        <v/>
      </c>
      <c r="AQ42">
        <f>SUMIFS(T_Shipments[Confirmed_Qty],T_Shipments[RM_Code],$A42,T_Shipments[Effective_Week],42)</f>
        <v/>
      </c>
      <c r="AR42">
        <f>SUMIFS(T_Shipments[Confirmed_Qty],T_Shipments[RM_Code],$A42,T_Shipments[Effective_Week],43)</f>
        <v/>
      </c>
      <c r="AS42">
        <f>SUMIFS(T_Shipments[Confirmed_Qty],T_Shipments[RM_Code],$A42,T_Shipments[Effective_Week],44)</f>
        <v/>
      </c>
      <c r="AT42">
        <f>SUMIFS(T_Shipments[Confirmed_Qty],T_Shipments[RM_Code],$A42,T_Shipments[Effective_Week],45)</f>
        <v/>
      </c>
      <c r="AU42">
        <f>SUMIFS(T_Shipments[Confirmed_Qty],T_Shipments[RM_Code],$A42,T_Shipments[Effective_Week],46)</f>
        <v/>
      </c>
      <c r="AV42">
        <f>SUMIFS(T_Shipments[Confirmed_Qty],T_Shipments[RM_Code],$A42,T_Shipments[Effective_Week],47)</f>
        <v/>
      </c>
      <c r="AW42">
        <f>SUMIFS(T_Shipments[Confirmed_Qty],T_Shipments[RM_Code],$A42,T_Shipments[Effective_Week],48)</f>
        <v/>
      </c>
      <c r="AX42">
        <f>SUMIFS(T_Shipments[Confirmed_Qty],T_Shipments[RM_Code],$A42,T_Shipments[Effective_Week],49)</f>
        <v/>
      </c>
      <c r="AY42">
        <f>SUMIFS(T_Shipments[Confirmed_Qty],T_Shipments[RM_Code],$A42,T_Shipments[Effective_Week],50)</f>
        <v/>
      </c>
      <c r="AZ42">
        <f>SUMIFS(T_Shipments[Confirmed_Qty],T_Shipments[RM_Code],$A42,T_Shipments[Effective_Week],51)</f>
        <v/>
      </c>
      <c r="BA42">
        <f>SUMIFS(T_Shipments[Confirmed_Qty],T_Shipments[RM_Code],$A42,T_Shipments[Effective_Week],52)</f>
        <v/>
      </c>
      <c r="BB42">
        <f>SUMIFS(T_Shipments[Confirmed_Qty],T_Shipments[RM_Code],$A42,T_Shipments[Effective_Week],53)</f>
        <v/>
      </c>
      <c r="BC42">
        <f>SUMIFS(T_Shipments[Confirmed_Qty],T_Shipments[RM_Code],$A42,T_Shipments[Effective_Week],54)</f>
        <v/>
      </c>
      <c r="BD42">
        <f>SUMIFS(T_Shipments[Confirmed_Qty],T_Shipments[RM_Code],$A42,T_Shipments[Effective_Week],55)</f>
        <v/>
      </c>
      <c r="BE42">
        <f>SUMIFS(T_Shipments[Confirmed_Qty],T_Shipments[RM_Code],$A42,T_Shipments[Effective_Week],56)</f>
        <v/>
      </c>
      <c r="BF42">
        <f>SUMIFS(T_Shipments[Confirmed_Qty],T_Shipments[RM_Code],$A42,T_Shipments[Effective_Week],57)</f>
        <v/>
      </c>
      <c r="BG42">
        <f>SUMIFS(T_Shipments[Confirmed_Qty],T_Shipments[RM_Code],$A42,T_Shipments[Effective_Week],58)</f>
        <v/>
      </c>
      <c r="BH42">
        <f>SUMIFS(T_Shipments[Confirmed_Qty],T_Shipments[RM_Code],$A42,T_Shipments[Effective_Week],59)</f>
        <v/>
      </c>
      <c r="BI42">
        <f>SUMIFS(T_Shipments[Confirmed_Qty],T_Shipments[RM_Code],$A42,T_Shipments[Effective_Week],60)</f>
        <v/>
      </c>
      <c r="BJ42">
        <f>SUMIFS(T_Shipments[Confirmed_Qty],T_Shipments[RM_Code],$A42,T_Shipments[Effective_Week],61)</f>
        <v/>
      </c>
      <c r="BK42">
        <f>SUMIFS(T_Shipments[Confirmed_Qty],T_Shipments[RM_Code],$A42,T_Shipments[Effective_Week],62)</f>
        <v/>
      </c>
      <c r="BL42">
        <f>SUMIFS(T_Shipments[Confirmed_Qty],T_Shipments[RM_Code],$A42,T_Shipments[Effective_Week],63)</f>
        <v/>
      </c>
      <c r="BM42">
        <f>SUMIFS(T_Shipments[Confirmed_Qty],T_Shipments[RM_Code],$A42,T_Shipments[Effective_Week],64)</f>
        <v/>
      </c>
      <c r="BN42">
        <f>SUMIFS(T_Shipments[Confirmed_Qty],T_Shipments[RM_Code],$A42,T_Shipments[Effective_Week],65)</f>
        <v/>
      </c>
      <c r="BO42">
        <f>SUMIFS(T_Shipments[Confirmed_Qty],T_Shipments[RM_Code],$A42,T_Shipments[Effective_Week],66)</f>
        <v/>
      </c>
      <c r="BP42">
        <f>SUMIFS(T_Shipments[Confirmed_Qty],T_Shipments[RM_Code],$A42,T_Shipments[Effective_Week],67)</f>
        <v/>
      </c>
      <c r="BQ42">
        <f>SUMIFS(T_Shipments[Confirmed_Qty],T_Shipments[RM_Code],$A42,T_Shipments[Effective_Week],68)</f>
        <v/>
      </c>
      <c r="BR42">
        <f>SUMIFS(T_Shipments[Confirmed_Qty],T_Shipments[RM_Code],$A42,T_Shipments[Effective_Week],69)</f>
        <v/>
      </c>
      <c r="BS42">
        <f>SUMIFS(T_Shipments[Confirmed_Qty],T_Shipments[RM_Code],$A42,T_Shipments[Effective_Week],70)</f>
        <v/>
      </c>
      <c r="BT42">
        <f>SUMIFS(T_Shipments[Confirmed_Qty],T_Shipments[RM_Code],$A42,T_Shipments[Effective_Week],71)</f>
        <v/>
      </c>
      <c r="BU42">
        <f>SUMIFS(T_Shipments[Confirmed_Qty],T_Shipments[RM_Code],$A42,T_Shipments[Effective_Week],72)</f>
        <v/>
      </c>
      <c r="BV42">
        <f>SUMIFS(T_Shipments[Confirmed_Qty],T_Shipments[RM_Code],$A42,T_Shipments[Effective_Week],73)</f>
        <v/>
      </c>
      <c r="BW42">
        <f>SUMIFS(T_Shipments[Confirmed_Qty],T_Shipments[RM_Code],$A42,T_Shipments[Effective_Week],74)</f>
        <v/>
      </c>
      <c r="BX42">
        <f>SUMIFS(T_Shipments[Confirmed_Qty],T_Shipments[RM_Code],$A42,T_Shipments[Effective_Week],75)</f>
        <v/>
      </c>
      <c r="BY42">
        <f>SUMIFS(T_Shipments[Confirmed_Qty],T_Shipments[RM_Code],$A42,T_Shipments[Effective_Week],76)</f>
        <v/>
      </c>
      <c r="BZ42">
        <f>SUMIFS(T_Shipments[Confirmed_Qty],T_Shipments[RM_Code],$A42,T_Shipments[Effective_Week],77)</f>
        <v/>
      </c>
      <c r="CA42">
        <f>SUMIFS(T_Shipments[Confirmed_Qty],T_Shipments[RM_Code],$A42,T_Shipments[Effective_Week],78)</f>
        <v/>
      </c>
      <c r="CB42">
        <f>SUMIFS(T_Shipments[Confirmed_Qty],T_Shipments[RM_Code],$A42,T_Shipments[Effective_Week],79)</f>
        <v/>
      </c>
      <c r="CC42">
        <f>SUMIFS(T_Shipments[Confirmed_Qty],T_Shipments[RM_Code],$A42,T_Shipments[Effective_Week],80)</f>
        <v/>
      </c>
      <c r="CD42">
        <f>SUMIFS(T_Shipments[Confirmed_Qty],T_Shipments[RM_Code],$A42,T_Shipments[Effective_Week],81)</f>
        <v/>
      </c>
      <c r="CE42">
        <f>SUMIFS(T_Shipments[Confirmed_Qty],T_Shipments[RM_Code],$A42,T_Shipments[Effective_Week],82)</f>
        <v/>
      </c>
      <c r="CF42">
        <f>SUMIFS(T_Shipments[Confirmed_Qty],T_Shipments[RM_Code],$A42,T_Shipments[Effective_Week],83)</f>
        <v/>
      </c>
      <c r="CG42">
        <f>SUMIFS(T_Shipments[Confirmed_Qty],T_Shipments[RM_Code],$A42,T_Shipments[Effective_Week],84)</f>
        <v/>
      </c>
      <c r="CH42">
        <f>SUMIFS(T_Shipments[Confirmed_Qty],T_Shipments[RM_Code],$A42,T_Shipments[Effective_Week],85)</f>
        <v/>
      </c>
      <c r="CI42">
        <f>SUMIFS(T_Shipments[Confirmed_Qty],T_Shipments[RM_Code],$A42,T_Shipments[Effective_Week],86)</f>
        <v/>
      </c>
      <c r="CJ42">
        <f>SUMIFS(T_Shipments[Confirmed_Qty],T_Shipments[RM_Code],$A42,T_Shipments[Effective_Week],87)</f>
        <v/>
      </c>
      <c r="CK42">
        <f>SUMIFS(T_Shipments[Confirmed_Qty],T_Shipments[RM_Code],$A42,T_Shipments[Effective_Week],88)</f>
        <v/>
      </c>
      <c r="CL42">
        <f>SUMIFS(T_Shipments[Confirmed_Qty],T_Shipments[RM_Code],$A42,T_Shipments[Effective_Week],89)</f>
        <v/>
      </c>
      <c r="CM42">
        <f>SUMIFS(T_Shipments[Confirmed_Qty],T_Shipments[RM_Code],$A42,T_Shipments[Effective_Week],90)</f>
        <v/>
      </c>
      <c r="CN42">
        <f>SUMIFS(T_Shipments[Confirmed_Qty],T_Shipments[RM_Code],$A42,T_Shipments[Effective_Week],91)</f>
        <v/>
      </c>
      <c r="CO42">
        <f>SUMIFS(T_Shipments[Confirmed_Qty],T_Shipments[RM_Code],$A42,T_Shipments[Effective_Week],92)</f>
        <v/>
      </c>
      <c r="CP42">
        <f>SUMIFS(T_Shipments[Confirmed_Qty],T_Shipments[RM_Code],$A42,T_Shipments[Effective_Week],93)</f>
        <v/>
      </c>
      <c r="CQ42">
        <f>SUMIFS(T_Shipments[Confirmed_Qty],T_Shipments[RM_Code],$A42,T_Shipments[Effective_Week],94)</f>
        <v/>
      </c>
      <c r="CR42">
        <f>SUMIFS(T_Shipments[Confirmed_Qty],T_Shipments[RM_Code],$A42,T_Shipments[Effective_Week],95)</f>
        <v/>
      </c>
      <c r="CS42">
        <f>SUMIFS(T_Shipments[Confirmed_Qty],T_Shipments[RM_Code],$A42,T_Shipments[Effective_Week],96)</f>
        <v/>
      </c>
      <c r="CT42">
        <f>SUMIFS(T_Shipments[Confirmed_Qty],T_Shipments[RM_Code],$A42,T_Shipments[Effective_Week],97)</f>
        <v/>
      </c>
      <c r="CU42">
        <f>SUMIFS(T_Shipments[Confirmed_Qty],T_Shipments[RM_Code],$A42,T_Shipments[Effective_Week],98)</f>
        <v/>
      </c>
      <c r="CV42">
        <f>SUMIFS(T_Shipments[Confirmed_Qty],T_Shipments[RM_Code],$A42,T_Shipments[Effective_Week],99)</f>
        <v/>
      </c>
      <c r="CW42">
        <f>SUMIFS(T_Shipments[Confirmed_Qty],T_Shipments[RM_Code],$A42,T_Shipments[Effective_Week],100)</f>
        <v/>
      </c>
      <c r="CX42">
        <f>SUMIFS(T_Shipments[Confirmed_Qty],T_Shipments[RM_Code],$A42,T_Shipments[Effective_Week],101)</f>
        <v/>
      </c>
      <c r="CY42">
        <f>SUMIFS(T_Shipments[Confirmed_Qty],T_Shipments[RM_Code],$A42,T_Shipments[Effective_Week],102)</f>
        <v/>
      </c>
      <c r="CZ42">
        <f>SUMIFS(T_Shipments[Confirmed_Qty],T_Shipments[RM_Code],$A42,T_Shipments[Effective_Week],103)</f>
        <v/>
      </c>
      <c r="DA42">
        <f>SUMIFS(T_Shipments[Confirmed_Qty],T_Shipments[RM_Code],$A42,T_Shipments[Effective_Week],104)</f>
        <v/>
      </c>
    </row>
    <row r="43">
      <c r="A43" t="inlineStr">
        <is>
          <t>CHEM-1110</t>
        </is>
      </c>
      <c r="B43">
        <f>SUMIFS(T_Shipments[Confirmed_Qty],T_Shipments[RM_Code],$A43,T_Shipments[Effective_Week],1)</f>
        <v/>
      </c>
      <c r="C43">
        <f>SUMIFS(T_Shipments[Confirmed_Qty],T_Shipments[RM_Code],$A43,T_Shipments[Effective_Week],2)</f>
        <v/>
      </c>
      <c r="D43">
        <f>SUMIFS(T_Shipments[Confirmed_Qty],T_Shipments[RM_Code],$A43,T_Shipments[Effective_Week],3)</f>
        <v/>
      </c>
      <c r="E43">
        <f>SUMIFS(T_Shipments[Confirmed_Qty],T_Shipments[RM_Code],$A43,T_Shipments[Effective_Week],4)</f>
        <v/>
      </c>
      <c r="F43">
        <f>SUMIFS(T_Shipments[Confirmed_Qty],T_Shipments[RM_Code],$A43,T_Shipments[Effective_Week],5)</f>
        <v/>
      </c>
      <c r="G43">
        <f>SUMIFS(T_Shipments[Confirmed_Qty],T_Shipments[RM_Code],$A43,T_Shipments[Effective_Week],6)</f>
        <v/>
      </c>
      <c r="H43">
        <f>SUMIFS(T_Shipments[Confirmed_Qty],T_Shipments[RM_Code],$A43,T_Shipments[Effective_Week],7)</f>
        <v/>
      </c>
      <c r="I43">
        <f>SUMIFS(T_Shipments[Confirmed_Qty],T_Shipments[RM_Code],$A43,T_Shipments[Effective_Week],8)</f>
        <v/>
      </c>
      <c r="J43">
        <f>SUMIFS(T_Shipments[Confirmed_Qty],T_Shipments[RM_Code],$A43,T_Shipments[Effective_Week],9)</f>
        <v/>
      </c>
      <c r="K43">
        <f>SUMIFS(T_Shipments[Confirmed_Qty],T_Shipments[RM_Code],$A43,T_Shipments[Effective_Week],10)</f>
        <v/>
      </c>
      <c r="L43">
        <f>SUMIFS(T_Shipments[Confirmed_Qty],T_Shipments[RM_Code],$A43,T_Shipments[Effective_Week],11)</f>
        <v/>
      </c>
      <c r="M43">
        <f>SUMIFS(T_Shipments[Confirmed_Qty],T_Shipments[RM_Code],$A43,T_Shipments[Effective_Week],12)</f>
        <v/>
      </c>
      <c r="N43">
        <f>SUMIFS(T_Shipments[Confirmed_Qty],T_Shipments[RM_Code],$A43,T_Shipments[Effective_Week],13)</f>
        <v/>
      </c>
      <c r="O43">
        <f>SUMIFS(T_Shipments[Confirmed_Qty],T_Shipments[RM_Code],$A43,T_Shipments[Effective_Week],14)</f>
        <v/>
      </c>
      <c r="P43">
        <f>SUMIFS(T_Shipments[Confirmed_Qty],T_Shipments[RM_Code],$A43,T_Shipments[Effective_Week],15)</f>
        <v/>
      </c>
      <c r="Q43">
        <f>SUMIFS(T_Shipments[Confirmed_Qty],T_Shipments[RM_Code],$A43,T_Shipments[Effective_Week],16)</f>
        <v/>
      </c>
      <c r="R43">
        <f>SUMIFS(T_Shipments[Confirmed_Qty],T_Shipments[RM_Code],$A43,T_Shipments[Effective_Week],17)</f>
        <v/>
      </c>
      <c r="S43">
        <f>SUMIFS(T_Shipments[Confirmed_Qty],T_Shipments[RM_Code],$A43,T_Shipments[Effective_Week],18)</f>
        <v/>
      </c>
      <c r="T43">
        <f>SUMIFS(T_Shipments[Confirmed_Qty],T_Shipments[RM_Code],$A43,T_Shipments[Effective_Week],19)</f>
        <v/>
      </c>
      <c r="U43">
        <f>SUMIFS(T_Shipments[Confirmed_Qty],T_Shipments[RM_Code],$A43,T_Shipments[Effective_Week],20)</f>
        <v/>
      </c>
      <c r="V43">
        <f>SUMIFS(T_Shipments[Confirmed_Qty],T_Shipments[RM_Code],$A43,T_Shipments[Effective_Week],21)</f>
        <v/>
      </c>
      <c r="W43">
        <f>SUMIFS(T_Shipments[Confirmed_Qty],T_Shipments[RM_Code],$A43,T_Shipments[Effective_Week],22)</f>
        <v/>
      </c>
      <c r="X43">
        <f>SUMIFS(T_Shipments[Confirmed_Qty],T_Shipments[RM_Code],$A43,T_Shipments[Effective_Week],23)</f>
        <v/>
      </c>
      <c r="Y43">
        <f>SUMIFS(T_Shipments[Confirmed_Qty],T_Shipments[RM_Code],$A43,T_Shipments[Effective_Week],24)</f>
        <v/>
      </c>
      <c r="Z43">
        <f>SUMIFS(T_Shipments[Confirmed_Qty],T_Shipments[RM_Code],$A43,T_Shipments[Effective_Week],25)</f>
        <v/>
      </c>
      <c r="AA43">
        <f>SUMIFS(T_Shipments[Confirmed_Qty],T_Shipments[RM_Code],$A43,T_Shipments[Effective_Week],26)</f>
        <v/>
      </c>
      <c r="AB43">
        <f>SUMIFS(T_Shipments[Confirmed_Qty],T_Shipments[RM_Code],$A43,T_Shipments[Effective_Week],27)</f>
        <v/>
      </c>
      <c r="AC43">
        <f>SUMIFS(T_Shipments[Confirmed_Qty],T_Shipments[RM_Code],$A43,T_Shipments[Effective_Week],28)</f>
        <v/>
      </c>
      <c r="AD43">
        <f>SUMIFS(T_Shipments[Confirmed_Qty],T_Shipments[RM_Code],$A43,T_Shipments[Effective_Week],29)</f>
        <v/>
      </c>
      <c r="AE43">
        <f>SUMIFS(T_Shipments[Confirmed_Qty],T_Shipments[RM_Code],$A43,T_Shipments[Effective_Week],30)</f>
        <v/>
      </c>
      <c r="AF43">
        <f>SUMIFS(T_Shipments[Confirmed_Qty],T_Shipments[RM_Code],$A43,T_Shipments[Effective_Week],31)</f>
        <v/>
      </c>
      <c r="AG43">
        <f>SUMIFS(T_Shipments[Confirmed_Qty],T_Shipments[RM_Code],$A43,T_Shipments[Effective_Week],32)</f>
        <v/>
      </c>
      <c r="AH43">
        <f>SUMIFS(T_Shipments[Confirmed_Qty],T_Shipments[RM_Code],$A43,T_Shipments[Effective_Week],33)</f>
        <v/>
      </c>
      <c r="AI43">
        <f>SUMIFS(T_Shipments[Confirmed_Qty],T_Shipments[RM_Code],$A43,T_Shipments[Effective_Week],34)</f>
        <v/>
      </c>
      <c r="AJ43">
        <f>SUMIFS(T_Shipments[Confirmed_Qty],T_Shipments[RM_Code],$A43,T_Shipments[Effective_Week],35)</f>
        <v/>
      </c>
      <c r="AK43">
        <f>SUMIFS(T_Shipments[Confirmed_Qty],T_Shipments[RM_Code],$A43,T_Shipments[Effective_Week],36)</f>
        <v/>
      </c>
      <c r="AL43">
        <f>SUMIFS(T_Shipments[Confirmed_Qty],T_Shipments[RM_Code],$A43,T_Shipments[Effective_Week],37)</f>
        <v/>
      </c>
      <c r="AM43">
        <f>SUMIFS(T_Shipments[Confirmed_Qty],T_Shipments[RM_Code],$A43,T_Shipments[Effective_Week],38)</f>
        <v/>
      </c>
      <c r="AN43">
        <f>SUMIFS(T_Shipments[Confirmed_Qty],T_Shipments[RM_Code],$A43,T_Shipments[Effective_Week],39)</f>
        <v/>
      </c>
      <c r="AO43">
        <f>SUMIFS(T_Shipments[Confirmed_Qty],T_Shipments[RM_Code],$A43,T_Shipments[Effective_Week],40)</f>
        <v/>
      </c>
      <c r="AP43">
        <f>SUMIFS(T_Shipments[Confirmed_Qty],T_Shipments[RM_Code],$A43,T_Shipments[Effective_Week],41)</f>
        <v/>
      </c>
      <c r="AQ43">
        <f>SUMIFS(T_Shipments[Confirmed_Qty],T_Shipments[RM_Code],$A43,T_Shipments[Effective_Week],42)</f>
        <v/>
      </c>
      <c r="AR43">
        <f>SUMIFS(T_Shipments[Confirmed_Qty],T_Shipments[RM_Code],$A43,T_Shipments[Effective_Week],43)</f>
        <v/>
      </c>
      <c r="AS43">
        <f>SUMIFS(T_Shipments[Confirmed_Qty],T_Shipments[RM_Code],$A43,T_Shipments[Effective_Week],44)</f>
        <v/>
      </c>
      <c r="AT43">
        <f>SUMIFS(T_Shipments[Confirmed_Qty],T_Shipments[RM_Code],$A43,T_Shipments[Effective_Week],45)</f>
        <v/>
      </c>
      <c r="AU43">
        <f>SUMIFS(T_Shipments[Confirmed_Qty],T_Shipments[RM_Code],$A43,T_Shipments[Effective_Week],46)</f>
        <v/>
      </c>
      <c r="AV43">
        <f>SUMIFS(T_Shipments[Confirmed_Qty],T_Shipments[RM_Code],$A43,T_Shipments[Effective_Week],47)</f>
        <v/>
      </c>
      <c r="AW43">
        <f>SUMIFS(T_Shipments[Confirmed_Qty],T_Shipments[RM_Code],$A43,T_Shipments[Effective_Week],48)</f>
        <v/>
      </c>
      <c r="AX43">
        <f>SUMIFS(T_Shipments[Confirmed_Qty],T_Shipments[RM_Code],$A43,T_Shipments[Effective_Week],49)</f>
        <v/>
      </c>
      <c r="AY43">
        <f>SUMIFS(T_Shipments[Confirmed_Qty],T_Shipments[RM_Code],$A43,T_Shipments[Effective_Week],50)</f>
        <v/>
      </c>
      <c r="AZ43">
        <f>SUMIFS(T_Shipments[Confirmed_Qty],T_Shipments[RM_Code],$A43,T_Shipments[Effective_Week],51)</f>
        <v/>
      </c>
      <c r="BA43">
        <f>SUMIFS(T_Shipments[Confirmed_Qty],T_Shipments[RM_Code],$A43,T_Shipments[Effective_Week],52)</f>
        <v/>
      </c>
      <c r="BB43">
        <f>SUMIFS(T_Shipments[Confirmed_Qty],T_Shipments[RM_Code],$A43,T_Shipments[Effective_Week],53)</f>
        <v/>
      </c>
      <c r="BC43">
        <f>SUMIFS(T_Shipments[Confirmed_Qty],T_Shipments[RM_Code],$A43,T_Shipments[Effective_Week],54)</f>
        <v/>
      </c>
      <c r="BD43">
        <f>SUMIFS(T_Shipments[Confirmed_Qty],T_Shipments[RM_Code],$A43,T_Shipments[Effective_Week],55)</f>
        <v/>
      </c>
      <c r="BE43">
        <f>SUMIFS(T_Shipments[Confirmed_Qty],T_Shipments[RM_Code],$A43,T_Shipments[Effective_Week],56)</f>
        <v/>
      </c>
      <c r="BF43">
        <f>SUMIFS(T_Shipments[Confirmed_Qty],T_Shipments[RM_Code],$A43,T_Shipments[Effective_Week],57)</f>
        <v/>
      </c>
      <c r="BG43">
        <f>SUMIFS(T_Shipments[Confirmed_Qty],T_Shipments[RM_Code],$A43,T_Shipments[Effective_Week],58)</f>
        <v/>
      </c>
      <c r="BH43">
        <f>SUMIFS(T_Shipments[Confirmed_Qty],T_Shipments[RM_Code],$A43,T_Shipments[Effective_Week],59)</f>
        <v/>
      </c>
      <c r="BI43">
        <f>SUMIFS(T_Shipments[Confirmed_Qty],T_Shipments[RM_Code],$A43,T_Shipments[Effective_Week],60)</f>
        <v/>
      </c>
      <c r="BJ43">
        <f>SUMIFS(T_Shipments[Confirmed_Qty],T_Shipments[RM_Code],$A43,T_Shipments[Effective_Week],61)</f>
        <v/>
      </c>
      <c r="BK43">
        <f>SUMIFS(T_Shipments[Confirmed_Qty],T_Shipments[RM_Code],$A43,T_Shipments[Effective_Week],62)</f>
        <v/>
      </c>
      <c r="BL43">
        <f>SUMIFS(T_Shipments[Confirmed_Qty],T_Shipments[RM_Code],$A43,T_Shipments[Effective_Week],63)</f>
        <v/>
      </c>
      <c r="BM43">
        <f>SUMIFS(T_Shipments[Confirmed_Qty],T_Shipments[RM_Code],$A43,T_Shipments[Effective_Week],64)</f>
        <v/>
      </c>
      <c r="BN43">
        <f>SUMIFS(T_Shipments[Confirmed_Qty],T_Shipments[RM_Code],$A43,T_Shipments[Effective_Week],65)</f>
        <v/>
      </c>
      <c r="BO43">
        <f>SUMIFS(T_Shipments[Confirmed_Qty],T_Shipments[RM_Code],$A43,T_Shipments[Effective_Week],66)</f>
        <v/>
      </c>
      <c r="BP43">
        <f>SUMIFS(T_Shipments[Confirmed_Qty],T_Shipments[RM_Code],$A43,T_Shipments[Effective_Week],67)</f>
        <v/>
      </c>
      <c r="BQ43">
        <f>SUMIFS(T_Shipments[Confirmed_Qty],T_Shipments[RM_Code],$A43,T_Shipments[Effective_Week],68)</f>
        <v/>
      </c>
      <c r="BR43">
        <f>SUMIFS(T_Shipments[Confirmed_Qty],T_Shipments[RM_Code],$A43,T_Shipments[Effective_Week],69)</f>
        <v/>
      </c>
      <c r="BS43">
        <f>SUMIFS(T_Shipments[Confirmed_Qty],T_Shipments[RM_Code],$A43,T_Shipments[Effective_Week],70)</f>
        <v/>
      </c>
      <c r="BT43">
        <f>SUMIFS(T_Shipments[Confirmed_Qty],T_Shipments[RM_Code],$A43,T_Shipments[Effective_Week],71)</f>
        <v/>
      </c>
      <c r="BU43">
        <f>SUMIFS(T_Shipments[Confirmed_Qty],T_Shipments[RM_Code],$A43,T_Shipments[Effective_Week],72)</f>
        <v/>
      </c>
      <c r="BV43">
        <f>SUMIFS(T_Shipments[Confirmed_Qty],T_Shipments[RM_Code],$A43,T_Shipments[Effective_Week],73)</f>
        <v/>
      </c>
      <c r="BW43">
        <f>SUMIFS(T_Shipments[Confirmed_Qty],T_Shipments[RM_Code],$A43,T_Shipments[Effective_Week],74)</f>
        <v/>
      </c>
      <c r="BX43">
        <f>SUMIFS(T_Shipments[Confirmed_Qty],T_Shipments[RM_Code],$A43,T_Shipments[Effective_Week],75)</f>
        <v/>
      </c>
      <c r="BY43">
        <f>SUMIFS(T_Shipments[Confirmed_Qty],T_Shipments[RM_Code],$A43,T_Shipments[Effective_Week],76)</f>
        <v/>
      </c>
      <c r="BZ43">
        <f>SUMIFS(T_Shipments[Confirmed_Qty],T_Shipments[RM_Code],$A43,T_Shipments[Effective_Week],77)</f>
        <v/>
      </c>
      <c r="CA43">
        <f>SUMIFS(T_Shipments[Confirmed_Qty],T_Shipments[RM_Code],$A43,T_Shipments[Effective_Week],78)</f>
        <v/>
      </c>
      <c r="CB43">
        <f>SUMIFS(T_Shipments[Confirmed_Qty],T_Shipments[RM_Code],$A43,T_Shipments[Effective_Week],79)</f>
        <v/>
      </c>
      <c r="CC43">
        <f>SUMIFS(T_Shipments[Confirmed_Qty],T_Shipments[RM_Code],$A43,T_Shipments[Effective_Week],80)</f>
        <v/>
      </c>
      <c r="CD43">
        <f>SUMIFS(T_Shipments[Confirmed_Qty],T_Shipments[RM_Code],$A43,T_Shipments[Effective_Week],81)</f>
        <v/>
      </c>
      <c r="CE43">
        <f>SUMIFS(T_Shipments[Confirmed_Qty],T_Shipments[RM_Code],$A43,T_Shipments[Effective_Week],82)</f>
        <v/>
      </c>
      <c r="CF43">
        <f>SUMIFS(T_Shipments[Confirmed_Qty],T_Shipments[RM_Code],$A43,T_Shipments[Effective_Week],83)</f>
        <v/>
      </c>
      <c r="CG43">
        <f>SUMIFS(T_Shipments[Confirmed_Qty],T_Shipments[RM_Code],$A43,T_Shipments[Effective_Week],84)</f>
        <v/>
      </c>
      <c r="CH43">
        <f>SUMIFS(T_Shipments[Confirmed_Qty],T_Shipments[RM_Code],$A43,T_Shipments[Effective_Week],85)</f>
        <v/>
      </c>
      <c r="CI43">
        <f>SUMIFS(T_Shipments[Confirmed_Qty],T_Shipments[RM_Code],$A43,T_Shipments[Effective_Week],86)</f>
        <v/>
      </c>
      <c r="CJ43">
        <f>SUMIFS(T_Shipments[Confirmed_Qty],T_Shipments[RM_Code],$A43,T_Shipments[Effective_Week],87)</f>
        <v/>
      </c>
      <c r="CK43">
        <f>SUMIFS(T_Shipments[Confirmed_Qty],T_Shipments[RM_Code],$A43,T_Shipments[Effective_Week],88)</f>
        <v/>
      </c>
      <c r="CL43">
        <f>SUMIFS(T_Shipments[Confirmed_Qty],T_Shipments[RM_Code],$A43,T_Shipments[Effective_Week],89)</f>
        <v/>
      </c>
      <c r="CM43">
        <f>SUMIFS(T_Shipments[Confirmed_Qty],T_Shipments[RM_Code],$A43,T_Shipments[Effective_Week],90)</f>
        <v/>
      </c>
      <c r="CN43">
        <f>SUMIFS(T_Shipments[Confirmed_Qty],T_Shipments[RM_Code],$A43,T_Shipments[Effective_Week],91)</f>
        <v/>
      </c>
      <c r="CO43">
        <f>SUMIFS(T_Shipments[Confirmed_Qty],T_Shipments[RM_Code],$A43,T_Shipments[Effective_Week],92)</f>
        <v/>
      </c>
      <c r="CP43">
        <f>SUMIFS(T_Shipments[Confirmed_Qty],T_Shipments[RM_Code],$A43,T_Shipments[Effective_Week],93)</f>
        <v/>
      </c>
      <c r="CQ43">
        <f>SUMIFS(T_Shipments[Confirmed_Qty],T_Shipments[RM_Code],$A43,T_Shipments[Effective_Week],94)</f>
        <v/>
      </c>
      <c r="CR43">
        <f>SUMIFS(T_Shipments[Confirmed_Qty],T_Shipments[RM_Code],$A43,T_Shipments[Effective_Week],95)</f>
        <v/>
      </c>
      <c r="CS43">
        <f>SUMIFS(T_Shipments[Confirmed_Qty],T_Shipments[RM_Code],$A43,T_Shipments[Effective_Week],96)</f>
        <v/>
      </c>
      <c r="CT43">
        <f>SUMIFS(T_Shipments[Confirmed_Qty],T_Shipments[RM_Code],$A43,T_Shipments[Effective_Week],97)</f>
        <v/>
      </c>
      <c r="CU43">
        <f>SUMIFS(T_Shipments[Confirmed_Qty],T_Shipments[RM_Code],$A43,T_Shipments[Effective_Week],98)</f>
        <v/>
      </c>
      <c r="CV43">
        <f>SUMIFS(T_Shipments[Confirmed_Qty],T_Shipments[RM_Code],$A43,T_Shipments[Effective_Week],99)</f>
        <v/>
      </c>
      <c r="CW43">
        <f>SUMIFS(T_Shipments[Confirmed_Qty],T_Shipments[RM_Code],$A43,T_Shipments[Effective_Week],100)</f>
        <v/>
      </c>
      <c r="CX43">
        <f>SUMIFS(T_Shipments[Confirmed_Qty],T_Shipments[RM_Code],$A43,T_Shipments[Effective_Week],101)</f>
        <v/>
      </c>
      <c r="CY43">
        <f>SUMIFS(T_Shipments[Confirmed_Qty],T_Shipments[RM_Code],$A43,T_Shipments[Effective_Week],102)</f>
        <v/>
      </c>
      <c r="CZ43">
        <f>SUMIFS(T_Shipments[Confirmed_Qty],T_Shipments[RM_Code],$A43,T_Shipments[Effective_Week],103)</f>
        <v/>
      </c>
      <c r="DA43">
        <f>SUMIFS(T_Shipments[Confirmed_Qty],T_Shipments[RM_Code],$A43,T_Shipments[Effective_Week],104)</f>
        <v/>
      </c>
    </row>
    <row r="44">
      <c r="A44" t="inlineStr">
        <is>
          <t>CHEM-1120</t>
        </is>
      </c>
      <c r="B44">
        <f>SUMIFS(T_Shipments[Confirmed_Qty],T_Shipments[RM_Code],$A44,T_Shipments[Effective_Week],1)</f>
        <v/>
      </c>
      <c r="C44">
        <f>SUMIFS(T_Shipments[Confirmed_Qty],T_Shipments[RM_Code],$A44,T_Shipments[Effective_Week],2)</f>
        <v/>
      </c>
      <c r="D44">
        <f>SUMIFS(T_Shipments[Confirmed_Qty],T_Shipments[RM_Code],$A44,T_Shipments[Effective_Week],3)</f>
        <v/>
      </c>
      <c r="E44">
        <f>SUMIFS(T_Shipments[Confirmed_Qty],T_Shipments[RM_Code],$A44,T_Shipments[Effective_Week],4)</f>
        <v/>
      </c>
      <c r="F44">
        <f>SUMIFS(T_Shipments[Confirmed_Qty],T_Shipments[RM_Code],$A44,T_Shipments[Effective_Week],5)</f>
        <v/>
      </c>
      <c r="G44">
        <f>SUMIFS(T_Shipments[Confirmed_Qty],T_Shipments[RM_Code],$A44,T_Shipments[Effective_Week],6)</f>
        <v/>
      </c>
      <c r="H44">
        <f>SUMIFS(T_Shipments[Confirmed_Qty],T_Shipments[RM_Code],$A44,T_Shipments[Effective_Week],7)</f>
        <v/>
      </c>
      <c r="I44">
        <f>SUMIFS(T_Shipments[Confirmed_Qty],T_Shipments[RM_Code],$A44,T_Shipments[Effective_Week],8)</f>
        <v/>
      </c>
      <c r="J44">
        <f>SUMIFS(T_Shipments[Confirmed_Qty],T_Shipments[RM_Code],$A44,T_Shipments[Effective_Week],9)</f>
        <v/>
      </c>
      <c r="K44">
        <f>SUMIFS(T_Shipments[Confirmed_Qty],T_Shipments[RM_Code],$A44,T_Shipments[Effective_Week],10)</f>
        <v/>
      </c>
      <c r="L44">
        <f>SUMIFS(T_Shipments[Confirmed_Qty],T_Shipments[RM_Code],$A44,T_Shipments[Effective_Week],11)</f>
        <v/>
      </c>
      <c r="M44">
        <f>SUMIFS(T_Shipments[Confirmed_Qty],T_Shipments[RM_Code],$A44,T_Shipments[Effective_Week],12)</f>
        <v/>
      </c>
      <c r="N44">
        <f>SUMIFS(T_Shipments[Confirmed_Qty],T_Shipments[RM_Code],$A44,T_Shipments[Effective_Week],13)</f>
        <v/>
      </c>
      <c r="O44">
        <f>SUMIFS(T_Shipments[Confirmed_Qty],T_Shipments[RM_Code],$A44,T_Shipments[Effective_Week],14)</f>
        <v/>
      </c>
      <c r="P44">
        <f>SUMIFS(T_Shipments[Confirmed_Qty],T_Shipments[RM_Code],$A44,T_Shipments[Effective_Week],15)</f>
        <v/>
      </c>
      <c r="Q44">
        <f>SUMIFS(T_Shipments[Confirmed_Qty],T_Shipments[RM_Code],$A44,T_Shipments[Effective_Week],16)</f>
        <v/>
      </c>
      <c r="R44">
        <f>SUMIFS(T_Shipments[Confirmed_Qty],T_Shipments[RM_Code],$A44,T_Shipments[Effective_Week],17)</f>
        <v/>
      </c>
      <c r="S44">
        <f>SUMIFS(T_Shipments[Confirmed_Qty],T_Shipments[RM_Code],$A44,T_Shipments[Effective_Week],18)</f>
        <v/>
      </c>
      <c r="T44">
        <f>SUMIFS(T_Shipments[Confirmed_Qty],T_Shipments[RM_Code],$A44,T_Shipments[Effective_Week],19)</f>
        <v/>
      </c>
      <c r="U44">
        <f>SUMIFS(T_Shipments[Confirmed_Qty],T_Shipments[RM_Code],$A44,T_Shipments[Effective_Week],20)</f>
        <v/>
      </c>
      <c r="V44">
        <f>SUMIFS(T_Shipments[Confirmed_Qty],T_Shipments[RM_Code],$A44,T_Shipments[Effective_Week],21)</f>
        <v/>
      </c>
      <c r="W44">
        <f>SUMIFS(T_Shipments[Confirmed_Qty],T_Shipments[RM_Code],$A44,T_Shipments[Effective_Week],22)</f>
        <v/>
      </c>
      <c r="X44">
        <f>SUMIFS(T_Shipments[Confirmed_Qty],T_Shipments[RM_Code],$A44,T_Shipments[Effective_Week],23)</f>
        <v/>
      </c>
      <c r="Y44">
        <f>SUMIFS(T_Shipments[Confirmed_Qty],T_Shipments[RM_Code],$A44,T_Shipments[Effective_Week],24)</f>
        <v/>
      </c>
      <c r="Z44">
        <f>SUMIFS(T_Shipments[Confirmed_Qty],T_Shipments[RM_Code],$A44,T_Shipments[Effective_Week],25)</f>
        <v/>
      </c>
      <c r="AA44">
        <f>SUMIFS(T_Shipments[Confirmed_Qty],T_Shipments[RM_Code],$A44,T_Shipments[Effective_Week],26)</f>
        <v/>
      </c>
      <c r="AB44">
        <f>SUMIFS(T_Shipments[Confirmed_Qty],T_Shipments[RM_Code],$A44,T_Shipments[Effective_Week],27)</f>
        <v/>
      </c>
      <c r="AC44">
        <f>SUMIFS(T_Shipments[Confirmed_Qty],T_Shipments[RM_Code],$A44,T_Shipments[Effective_Week],28)</f>
        <v/>
      </c>
      <c r="AD44">
        <f>SUMIFS(T_Shipments[Confirmed_Qty],T_Shipments[RM_Code],$A44,T_Shipments[Effective_Week],29)</f>
        <v/>
      </c>
      <c r="AE44">
        <f>SUMIFS(T_Shipments[Confirmed_Qty],T_Shipments[RM_Code],$A44,T_Shipments[Effective_Week],30)</f>
        <v/>
      </c>
      <c r="AF44">
        <f>SUMIFS(T_Shipments[Confirmed_Qty],T_Shipments[RM_Code],$A44,T_Shipments[Effective_Week],31)</f>
        <v/>
      </c>
      <c r="AG44">
        <f>SUMIFS(T_Shipments[Confirmed_Qty],T_Shipments[RM_Code],$A44,T_Shipments[Effective_Week],32)</f>
        <v/>
      </c>
      <c r="AH44">
        <f>SUMIFS(T_Shipments[Confirmed_Qty],T_Shipments[RM_Code],$A44,T_Shipments[Effective_Week],33)</f>
        <v/>
      </c>
      <c r="AI44">
        <f>SUMIFS(T_Shipments[Confirmed_Qty],T_Shipments[RM_Code],$A44,T_Shipments[Effective_Week],34)</f>
        <v/>
      </c>
      <c r="AJ44">
        <f>SUMIFS(T_Shipments[Confirmed_Qty],T_Shipments[RM_Code],$A44,T_Shipments[Effective_Week],35)</f>
        <v/>
      </c>
      <c r="AK44">
        <f>SUMIFS(T_Shipments[Confirmed_Qty],T_Shipments[RM_Code],$A44,T_Shipments[Effective_Week],36)</f>
        <v/>
      </c>
      <c r="AL44">
        <f>SUMIFS(T_Shipments[Confirmed_Qty],T_Shipments[RM_Code],$A44,T_Shipments[Effective_Week],37)</f>
        <v/>
      </c>
      <c r="AM44">
        <f>SUMIFS(T_Shipments[Confirmed_Qty],T_Shipments[RM_Code],$A44,T_Shipments[Effective_Week],38)</f>
        <v/>
      </c>
      <c r="AN44">
        <f>SUMIFS(T_Shipments[Confirmed_Qty],T_Shipments[RM_Code],$A44,T_Shipments[Effective_Week],39)</f>
        <v/>
      </c>
      <c r="AO44">
        <f>SUMIFS(T_Shipments[Confirmed_Qty],T_Shipments[RM_Code],$A44,T_Shipments[Effective_Week],40)</f>
        <v/>
      </c>
      <c r="AP44">
        <f>SUMIFS(T_Shipments[Confirmed_Qty],T_Shipments[RM_Code],$A44,T_Shipments[Effective_Week],41)</f>
        <v/>
      </c>
      <c r="AQ44">
        <f>SUMIFS(T_Shipments[Confirmed_Qty],T_Shipments[RM_Code],$A44,T_Shipments[Effective_Week],42)</f>
        <v/>
      </c>
      <c r="AR44">
        <f>SUMIFS(T_Shipments[Confirmed_Qty],T_Shipments[RM_Code],$A44,T_Shipments[Effective_Week],43)</f>
        <v/>
      </c>
      <c r="AS44">
        <f>SUMIFS(T_Shipments[Confirmed_Qty],T_Shipments[RM_Code],$A44,T_Shipments[Effective_Week],44)</f>
        <v/>
      </c>
      <c r="AT44">
        <f>SUMIFS(T_Shipments[Confirmed_Qty],T_Shipments[RM_Code],$A44,T_Shipments[Effective_Week],45)</f>
        <v/>
      </c>
      <c r="AU44">
        <f>SUMIFS(T_Shipments[Confirmed_Qty],T_Shipments[RM_Code],$A44,T_Shipments[Effective_Week],46)</f>
        <v/>
      </c>
      <c r="AV44">
        <f>SUMIFS(T_Shipments[Confirmed_Qty],T_Shipments[RM_Code],$A44,T_Shipments[Effective_Week],47)</f>
        <v/>
      </c>
      <c r="AW44">
        <f>SUMIFS(T_Shipments[Confirmed_Qty],T_Shipments[RM_Code],$A44,T_Shipments[Effective_Week],48)</f>
        <v/>
      </c>
      <c r="AX44">
        <f>SUMIFS(T_Shipments[Confirmed_Qty],T_Shipments[RM_Code],$A44,T_Shipments[Effective_Week],49)</f>
        <v/>
      </c>
      <c r="AY44">
        <f>SUMIFS(T_Shipments[Confirmed_Qty],T_Shipments[RM_Code],$A44,T_Shipments[Effective_Week],50)</f>
        <v/>
      </c>
      <c r="AZ44">
        <f>SUMIFS(T_Shipments[Confirmed_Qty],T_Shipments[RM_Code],$A44,T_Shipments[Effective_Week],51)</f>
        <v/>
      </c>
      <c r="BA44">
        <f>SUMIFS(T_Shipments[Confirmed_Qty],T_Shipments[RM_Code],$A44,T_Shipments[Effective_Week],52)</f>
        <v/>
      </c>
      <c r="BB44">
        <f>SUMIFS(T_Shipments[Confirmed_Qty],T_Shipments[RM_Code],$A44,T_Shipments[Effective_Week],53)</f>
        <v/>
      </c>
      <c r="BC44">
        <f>SUMIFS(T_Shipments[Confirmed_Qty],T_Shipments[RM_Code],$A44,T_Shipments[Effective_Week],54)</f>
        <v/>
      </c>
      <c r="BD44">
        <f>SUMIFS(T_Shipments[Confirmed_Qty],T_Shipments[RM_Code],$A44,T_Shipments[Effective_Week],55)</f>
        <v/>
      </c>
      <c r="BE44">
        <f>SUMIFS(T_Shipments[Confirmed_Qty],T_Shipments[RM_Code],$A44,T_Shipments[Effective_Week],56)</f>
        <v/>
      </c>
      <c r="BF44">
        <f>SUMIFS(T_Shipments[Confirmed_Qty],T_Shipments[RM_Code],$A44,T_Shipments[Effective_Week],57)</f>
        <v/>
      </c>
      <c r="BG44">
        <f>SUMIFS(T_Shipments[Confirmed_Qty],T_Shipments[RM_Code],$A44,T_Shipments[Effective_Week],58)</f>
        <v/>
      </c>
      <c r="BH44">
        <f>SUMIFS(T_Shipments[Confirmed_Qty],T_Shipments[RM_Code],$A44,T_Shipments[Effective_Week],59)</f>
        <v/>
      </c>
      <c r="BI44">
        <f>SUMIFS(T_Shipments[Confirmed_Qty],T_Shipments[RM_Code],$A44,T_Shipments[Effective_Week],60)</f>
        <v/>
      </c>
      <c r="BJ44">
        <f>SUMIFS(T_Shipments[Confirmed_Qty],T_Shipments[RM_Code],$A44,T_Shipments[Effective_Week],61)</f>
        <v/>
      </c>
      <c r="BK44">
        <f>SUMIFS(T_Shipments[Confirmed_Qty],T_Shipments[RM_Code],$A44,T_Shipments[Effective_Week],62)</f>
        <v/>
      </c>
      <c r="BL44">
        <f>SUMIFS(T_Shipments[Confirmed_Qty],T_Shipments[RM_Code],$A44,T_Shipments[Effective_Week],63)</f>
        <v/>
      </c>
      <c r="BM44">
        <f>SUMIFS(T_Shipments[Confirmed_Qty],T_Shipments[RM_Code],$A44,T_Shipments[Effective_Week],64)</f>
        <v/>
      </c>
      <c r="BN44">
        <f>SUMIFS(T_Shipments[Confirmed_Qty],T_Shipments[RM_Code],$A44,T_Shipments[Effective_Week],65)</f>
        <v/>
      </c>
      <c r="BO44">
        <f>SUMIFS(T_Shipments[Confirmed_Qty],T_Shipments[RM_Code],$A44,T_Shipments[Effective_Week],66)</f>
        <v/>
      </c>
      <c r="BP44">
        <f>SUMIFS(T_Shipments[Confirmed_Qty],T_Shipments[RM_Code],$A44,T_Shipments[Effective_Week],67)</f>
        <v/>
      </c>
      <c r="BQ44">
        <f>SUMIFS(T_Shipments[Confirmed_Qty],T_Shipments[RM_Code],$A44,T_Shipments[Effective_Week],68)</f>
        <v/>
      </c>
      <c r="BR44">
        <f>SUMIFS(T_Shipments[Confirmed_Qty],T_Shipments[RM_Code],$A44,T_Shipments[Effective_Week],69)</f>
        <v/>
      </c>
      <c r="BS44">
        <f>SUMIFS(T_Shipments[Confirmed_Qty],T_Shipments[RM_Code],$A44,T_Shipments[Effective_Week],70)</f>
        <v/>
      </c>
      <c r="BT44">
        <f>SUMIFS(T_Shipments[Confirmed_Qty],T_Shipments[RM_Code],$A44,T_Shipments[Effective_Week],71)</f>
        <v/>
      </c>
      <c r="BU44">
        <f>SUMIFS(T_Shipments[Confirmed_Qty],T_Shipments[RM_Code],$A44,T_Shipments[Effective_Week],72)</f>
        <v/>
      </c>
      <c r="BV44">
        <f>SUMIFS(T_Shipments[Confirmed_Qty],T_Shipments[RM_Code],$A44,T_Shipments[Effective_Week],73)</f>
        <v/>
      </c>
      <c r="BW44">
        <f>SUMIFS(T_Shipments[Confirmed_Qty],T_Shipments[RM_Code],$A44,T_Shipments[Effective_Week],74)</f>
        <v/>
      </c>
      <c r="BX44">
        <f>SUMIFS(T_Shipments[Confirmed_Qty],T_Shipments[RM_Code],$A44,T_Shipments[Effective_Week],75)</f>
        <v/>
      </c>
      <c r="BY44">
        <f>SUMIFS(T_Shipments[Confirmed_Qty],T_Shipments[RM_Code],$A44,T_Shipments[Effective_Week],76)</f>
        <v/>
      </c>
      <c r="BZ44">
        <f>SUMIFS(T_Shipments[Confirmed_Qty],T_Shipments[RM_Code],$A44,T_Shipments[Effective_Week],77)</f>
        <v/>
      </c>
      <c r="CA44">
        <f>SUMIFS(T_Shipments[Confirmed_Qty],T_Shipments[RM_Code],$A44,T_Shipments[Effective_Week],78)</f>
        <v/>
      </c>
      <c r="CB44">
        <f>SUMIFS(T_Shipments[Confirmed_Qty],T_Shipments[RM_Code],$A44,T_Shipments[Effective_Week],79)</f>
        <v/>
      </c>
      <c r="CC44">
        <f>SUMIFS(T_Shipments[Confirmed_Qty],T_Shipments[RM_Code],$A44,T_Shipments[Effective_Week],80)</f>
        <v/>
      </c>
      <c r="CD44">
        <f>SUMIFS(T_Shipments[Confirmed_Qty],T_Shipments[RM_Code],$A44,T_Shipments[Effective_Week],81)</f>
        <v/>
      </c>
      <c r="CE44">
        <f>SUMIFS(T_Shipments[Confirmed_Qty],T_Shipments[RM_Code],$A44,T_Shipments[Effective_Week],82)</f>
        <v/>
      </c>
      <c r="CF44">
        <f>SUMIFS(T_Shipments[Confirmed_Qty],T_Shipments[RM_Code],$A44,T_Shipments[Effective_Week],83)</f>
        <v/>
      </c>
      <c r="CG44">
        <f>SUMIFS(T_Shipments[Confirmed_Qty],T_Shipments[RM_Code],$A44,T_Shipments[Effective_Week],84)</f>
        <v/>
      </c>
      <c r="CH44">
        <f>SUMIFS(T_Shipments[Confirmed_Qty],T_Shipments[RM_Code],$A44,T_Shipments[Effective_Week],85)</f>
        <v/>
      </c>
      <c r="CI44">
        <f>SUMIFS(T_Shipments[Confirmed_Qty],T_Shipments[RM_Code],$A44,T_Shipments[Effective_Week],86)</f>
        <v/>
      </c>
      <c r="CJ44">
        <f>SUMIFS(T_Shipments[Confirmed_Qty],T_Shipments[RM_Code],$A44,T_Shipments[Effective_Week],87)</f>
        <v/>
      </c>
      <c r="CK44">
        <f>SUMIFS(T_Shipments[Confirmed_Qty],T_Shipments[RM_Code],$A44,T_Shipments[Effective_Week],88)</f>
        <v/>
      </c>
      <c r="CL44">
        <f>SUMIFS(T_Shipments[Confirmed_Qty],T_Shipments[RM_Code],$A44,T_Shipments[Effective_Week],89)</f>
        <v/>
      </c>
      <c r="CM44">
        <f>SUMIFS(T_Shipments[Confirmed_Qty],T_Shipments[RM_Code],$A44,T_Shipments[Effective_Week],90)</f>
        <v/>
      </c>
      <c r="CN44">
        <f>SUMIFS(T_Shipments[Confirmed_Qty],T_Shipments[RM_Code],$A44,T_Shipments[Effective_Week],91)</f>
        <v/>
      </c>
      <c r="CO44">
        <f>SUMIFS(T_Shipments[Confirmed_Qty],T_Shipments[RM_Code],$A44,T_Shipments[Effective_Week],92)</f>
        <v/>
      </c>
      <c r="CP44">
        <f>SUMIFS(T_Shipments[Confirmed_Qty],T_Shipments[RM_Code],$A44,T_Shipments[Effective_Week],93)</f>
        <v/>
      </c>
      <c r="CQ44">
        <f>SUMIFS(T_Shipments[Confirmed_Qty],T_Shipments[RM_Code],$A44,T_Shipments[Effective_Week],94)</f>
        <v/>
      </c>
      <c r="CR44">
        <f>SUMIFS(T_Shipments[Confirmed_Qty],T_Shipments[RM_Code],$A44,T_Shipments[Effective_Week],95)</f>
        <v/>
      </c>
      <c r="CS44">
        <f>SUMIFS(T_Shipments[Confirmed_Qty],T_Shipments[RM_Code],$A44,T_Shipments[Effective_Week],96)</f>
        <v/>
      </c>
      <c r="CT44">
        <f>SUMIFS(T_Shipments[Confirmed_Qty],T_Shipments[RM_Code],$A44,T_Shipments[Effective_Week],97)</f>
        <v/>
      </c>
      <c r="CU44">
        <f>SUMIFS(T_Shipments[Confirmed_Qty],T_Shipments[RM_Code],$A44,T_Shipments[Effective_Week],98)</f>
        <v/>
      </c>
      <c r="CV44">
        <f>SUMIFS(T_Shipments[Confirmed_Qty],T_Shipments[RM_Code],$A44,T_Shipments[Effective_Week],99)</f>
        <v/>
      </c>
      <c r="CW44">
        <f>SUMIFS(T_Shipments[Confirmed_Qty],T_Shipments[RM_Code],$A44,T_Shipments[Effective_Week],100)</f>
        <v/>
      </c>
      <c r="CX44">
        <f>SUMIFS(T_Shipments[Confirmed_Qty],T_Shipments[RM_Code],$A44,T_Shipments[Effective_Week],101)</f>
        <v/>
      </c>
      <c r="CY44">
        <f>SUMIFS(T_Shipments[Confirmed_Qty],T_Shipments[RM_Code],$A44,T_Shipments[Effective_Week],102)</f>
        <v/>
      </c>
      <c r="CZ44">
        <f>SUMIFS(T_Shipments[Confirmed_Qty],T_Shipments[RM_Code],$A44,T_Shipments[Effective_Week],103)</f>
        <v/>
      </c>
      <c r="DA44">
        <f>SUMIFS(T_Shipments[Confirmed_Qty],T_Shipments[RM_Code],$A44,T_Shipments[Effective_Week],104)</f>
        <v/>
      </c>
    </row>
    <row r="45">
      <c r="A45" t="inlineStr">
        <is>
          <t>CHEM-1010</t>
        </is>
      </c>
      <c r="B45">
        <f>SUMIFS(T_Shipments[Confirmed_Qty],T_Shipments[RM_Code],$A45,T_Shipments[Effective_Week],1)</f>
        <v/>
      </c>
      <c r="C45">
        <f>SUMIFS(T_Shipments[Confirmed_Qty],T_Shipments[RM_Code],$A45,T_Shipments[Effective_Week],2)</f>
        <v/>
      </c>
      <c r="D45">
        <f>SUMIFS(T_Shipments[Confirmed_Qty],T_Shipments[RM_Code],$A45,T_Shipments[Effective_Week],3)</f>
        <v/>
      </c>
      <c r="E45">
        <f>SUMIFS(T_Shipments[Confirmed_Qty],T_Shipments[RM_Code],$A45,T_Shipments[Effective_Week],4)</f>
        <v/>
      </c>
      <c r="F45">
        <f>SUMIFS(T_Shipments[Confirmed_Qty],T_Shipments[RM_Code],$A45,T_Shipments[Effective_Week],5)</f>
        <v/>
      </c>
      <c r="G45">
        <f>SUMIFS(T_Shipments[Confirmed_Qty],T_Shipments[RM_Code],$A45,T_Shipments[Effective_Week],6)</f>
        <v/>
      </c>
      <c r="H45">
        <f>SUMIFS(T_Shipments[Confirmed_Qty],T_Shipments[RM_Code],$A45,T_Shipments[Effective_Week],7)</f>
        <v/>
      </c>
      <c r="I45">
        <f>SUMIFS(T_Shipments[Confirmed_Qty],T_Shipments[RM_Code],$A45,T_Shipments[Effective_Week],8)</f>
        <v/>
      </c>
      <c r="J45">
        <f>SUMIFS(T_Shipments[Confirmed_Qty],T_Shipments[RM_Code],$A45,T_Shipments[Effective_Week],9)</f>
        <v/>
      </c>
      <c r="K45">
        <f>SUMIFS(T_Shipments[Confirmed_Qty],T_Shipments[RM_Code],$A45,T_Shipments[Effective_Week],10)</f>
        <v/>
      </c>
      <c r="L45">
        <f>SUMIFS(T_Shipments[Confirmed_Qty],T_Shipments[RM_Code],$A45,T_Shipments[Effective_Week],11)</f>
        <v/>
      </c>
      <c r="M45">
        <f>SUMIFS(T_Shipments[Confirmed_Qty],T_Shipments[RM_Code],$A45,T_Shipments[Effective_Week],12)</f>
        <v/>
      </c>
      <c r="N45">
        <f>SUMIFS(T_Shipments[Confirmed_Qty],T_Shipments[RM_Code],$A45,T_Shipments[Effective_Week],13)</f>
        <v/>
      </c>
      <c r="O45">
        <f>SUMIFS(T_Shipments[Confirmed_Qty],T_Shipments[RM_Code],$A45,T_Shipments[Effective_Week],14)</f>
        <v/>
      </c>
      <c r="P45">
        <f>SUMIFS(T_Shipments[Confirmed_Qty],T_Shipments[RM_Code],$A45,T_Shipments[Effective_Week],15)</f>
        <v/>
      </c>
      <c r="Q45">
        <f>SUMIFS(T_Shipments[Confirmed_Qty],T_Shipments[RM_Code],$A45,T_Shipments[Effective_Week],16)</f>
        <v/>
      </c>
      <c r="R45">
        <f>SUMIFS(T_Shipments[Confirmed_Qty],T_Shipments[RM_Code],$A45,T_Shipments[Effective_Week],17)</f>
        <v/>
      </c>
      <c r="S45">
        <f>SUMIFS(T_Shipments[Confirmed_Qty],T_Shipments[RM_Code],$A45,T_Shipments[Effective_Week],18)</f>
        <v/>
      </c>
      <c r="T45">
        <f>SUMIFS(T_Shipments[Confirmed_Qty],T_Shipments[RM_Code],$A45,T_Shipments[Effective_Week],19)</f>
        <v/>
      </c>
      <c r="U45">
        <f>SUMIFS(T_Shipments[Confirmed_Qty],T_Shipments[RM_Code],$A45,T_Shipments[Effective_Week],20)</f>
        <v/>
      </c>
      <c r="V45">
        <f>SUMIFS(T_Shipments[Confirmed_Qty],T_Shipments[RM_Code],$A45,T_Shipments[Effective_Week],21)</f>
        <v/>
      </c>
      <c r="W45">
        <f>SUMIFS(T_Shipments[Confirmed_Qty],T_Shipments[RM_Code],$A45,T_Shipments[Effective_Week],22)</f>
        <v/>
      </c>
      <c r="X45">
        <f>SUMIFS(T_Shipments[Confirmed_Qty],T_Shipments[RM_Code],$A45,T_Shipments[Effective_Week],23)</f>
        <v/>
      </c>
      <c r="Y45">
        <f>SUMIFS(T_Shipments[Confirmed_Qty],T_Shipments[RM_Code],$A45,T_Shipments[Effective_Week],24)</f>
        <v/>
      </c>
      <c r="Z45">
        <f>SUMIFS(T_Shipments[Confirmed_Qty],T_Shipments[RM_Code],$A45,T_Shipments[Effective_Week],25)</f>
        <v/>
      </c>
      <c r="AA45">
        <f>SUMIFS(T_Shipments[Confirmed_Qty],T_Shipments[RM_Code],$A45,T_Shipments[Effective_Week],26)</f>
        <v/>
      </c>
      <c r="AB45">
        <f>SUMIFS(T_Shipments[Confirmed_Qty],T_Shipments[RM_Code],$A45,T_Shipments[Effective_Week],27)</f>
        <v/>
      </c>
      <c r="AC45">
        <f>SUMIFS(T_Shipments[Confirmed_Qty],T_Shipments[RM_Code],$A45,T_Shipments[Effective_Week],28)</f>
        <v/>
      </c>
      <c r="AD45">
        <f>SUMIFS(T_Shipments[Confirmed_Qty],T_Shipments[RM_Code],$A45,T_Shipments[Effective_Week],29)</f>
        <v/>
      </c>
      <c r="AE45">
        <f>SUMIFS(T_Shipments[Confirmed_Qty],T_Shipments[RM_Code],$A45,T_Shipments[Effective_Week],30)</f>
        <v/>
      </c>
      <c r="AF45">
        <f>SUMIFS(T_Shipments[Confirmed_Qty],T_Shipments[RM_Code],$A45,T_Shipments[Effective_Week],31)</f>
        <v/>
      </c>
      <c r="AG45">
        <f>SUMIFS(T_Shipments[Confirmed_Qty],T_Shipments[RM_Code],$A45,T_Shipments[Effective_Week],32)</f>
        <v/>
      </c>
      <c r="AH45">
        <f>SUMIFS(T_Shipments[Confirmed_Qty],T_Shipments[RM_Code],$A45,T_Shipments[Effective_Week],33)</f>
        <v/>
      </c>
      <c r="AI45">
        <f>SUMIFS(T_Shipments[Confirmed_Qty],T_Shipments[RM_Code],$A45,T_Shipments[Effective_Week],34)</f>
        <v/>
      </c>
      <c r="AJ45">
        <f>SUMIFS(T_Shipments[Confirmed_Qty],T_Shipments[RM_Code],$A45,T_Shipments[Effective_Week],35)</f>
        <v/>
      </c>
      <c r="AK45">
        <f>SUMIFS(T_Shipments[Confirmed_Qty],T_Shipments[RM_Code],$A45,T_Shipments[Effective_Week],36)</f>
        <v/>
      </c>
      <c r="AL45">
        <f>SUMIFS(T_Shipments[Confirmed_Qty],T_Shipments[RM_Code],$A45,T_Shipments[Effective_Week],37)</f>
        <v/>
      </c>
      <c r="AM45">
        <f>SUMIFS(T_Shipments[Confirmed_Qty],T_Shipments[RM_Code],$A45,T_Shipments[Effective_Week],38)</f>
        <v/>
      </c>
      <c r="AN45">
        <f>SUMIFS(T_Shipments[Confirmed_Qty],T_Shipments[RM_Code],$A45,T_Shipments[Effective_Week],39)</f>
        <v/>
      </c>
      <c r="AO45">
        <f>SUMIFS(T_Shipments[Confirmed_Qty],T_Shipments[RM_Code],$A45,T_Shipments[Effective_Week],40)</f>
        <v/>
      </c>
      <c r="AP45">
        <f>SUMIFS(T_Shipments[Confirmed_Qty],T_Shipments[RM_Code],$A45,T_Shipments[Effective_Week],41)</f>
        <v/>
      </c>
      <c r="AQ45">
        <f>SUMIFS(T_Shipments[Confirmed_Qty],T_Shipments[RM_Code],$A45,T_Shipments[Effective_Week],42)</f>
        <v/>
      </c>
      <c r="AR45">
        <f>SUMIFS(T_Shipments[Confirmed_Qty],T_Shipments[RM_Code],$A45,T_Shipments[Effective_Week],43)</f>
        <v/>
      </c>
      <c r="AS45">
        <f>SUMIFS(T_Shipments[Confirmed_Qty],T_Shipments[RM_Code],$A45,T_Shipments[Effective_Week],44)</f>
        <v/>
      </c>
      <c r="AT45">
        <f>SUMIFS(T_Shipments[Confirmed_Qty],T_Shipments[RM_Code],$A45,T_Shipments[Effective_Week],45)</f>
        <v/>
      </c>
      <c r="AU45">
        <f>SUMIFS(T_Shipments[Confirmed_Qty],T_Shipments[RM_Code],$A45,T_Shipments[Effective_Week],46)</f>
        <v/>
      </c>
      <c r="AV45">
        <f>SUMIFS(T_Shipments[Confirmed_Qty],T_Shipments[RM_Code],$A45,T_Shipments[Effective_Week],47)</f>
        <v/>
      </c>
      <c r="AW45">
        <f>SUMIFS(T_Shipments[Confirmed_Qty],T_Shipments[RM_Code],$A45,T_Shipments[Effective_Week],48)</f>
        <v/>
      </c>
      <c r="AX45">
        <f>SUMIFS(T_Shipments[Confirmed_Qty],T_Shipments[RM_Code],$A45,T_Shipments[Effective_Week],49)</f>
        <v/>
      </c>
      <c r="AY45">
        <f>SUMIFS(T_Shipments[Confirmed_Qty],T_Shipments[RM_Code],$A45,T_Shipments[Effective_Week],50)</f>
        <v/>
      </c>
      <c r="AZ45">
        <f>SUMIFS(T_Shipments[Confirmed_Qty],T_Shipments[RM_Code],$A45,T_Shipments[Effective_Week],51)</f>
        <v/>
      </c>
      <c r="BA45">
        <f>SUMIFS(T_Shipments[Confirmed_Qty],T_Shipments[RM_Code],$A45,T_Shipments[Effective_Week],52)</f>
        <v/>
      </c>
      <c r="BB45">
        <f>SUMIFS(T_Shipments[Confirmed_Qty],T_Shipments[RM_Code],$A45,T_Shipments[Effective_Week],53)</f>
        <v/>
      </c>
      <c r="BC45">
        <f>SUMIFS(T_Shipments[Confirmed_Qty],T_Shipments[RM_Code],$A45,T_Shipments[Effective_Week],54)</f>
        <v/>
      </c>
      <c r="BD45">
        <f>SUMIFS(T_Shipments[Confirmed_Qty],T_Shipments[RM_Code],$A45,T_Shipments[Effective_Week],55)</f>
        <v/>
      </c>
      <c r="BE45">
        <f>SUMIFS(T_Shipments[Confirmed_Qty],T_Shipments[RM_Code],$A45,T_Shipments[Effective_Week],56)</f>
        <v/>
      </c>
      <c r="BF45">
        <f>SUMIFS(T_Shipments[Confirmed_Qty],T_Shipments[RM_Code],$A45,T_Shipments[Effective_Week],57)</f>
        <v/>
      </c>
      <c r="BG45">
        <f>SUMIFS(T_Shipments[Confirmed_Qty],T_Shipments[RM_Code],$A45,T_Shipments[Effective_Week],58)</f>
        <v/>
      </c>
      <c r="BH45">
        <f>SUMIFS(T_Shipments[Confirmed_Qty],T_Shipments[RM_Code],$A45,T_Shipments[Effective_Week],59)</f>
        <v/>
      </c>
      <c r="BI45">
        <f>SUMIFS(T_Shipments[Confirmed_Qty],T_Shipments[RM_Code],$A45,T_Shipments[Effective_Week],60)</f>
        <v/>
      </c>
      <c r="BJ45">
        <f>SUMIFS(T_Shipments[Confirmed_Qty],T_Shipments[RM_Code],$A45,T_Shipments[Effective_Week],61)</f>
        <v/>
      </c>
      <c r="BK45">
        <f>SUMIFS(T_Shipments[Confirmed_Qty],T_Shipments[RM_Code],$A45,T_Shipments[Effective_Week],62)</f>
        <v/>
      </c>
      <c r="BL45">
        <f>SUMIFS(T_Shipments[Confirmed_Qty],T_Shipments[RM_Code],$A45,T_Shipments[Effective_Week],63)</f>
        <v/>
      </c>
      <c r="BM45">
        <f>SUMIFS(T_Shipments[Confirmed_Qty],T_Shipments[RM_Code],$A45,T_Shipments[Effective_Week],64)</f>
        <v/>
      </c>
      <c r="BN45">
        <f>SUMIFS(T_Shipments[Confirmed_Qty],T_Shipments[RM_Code],$A45,T_Shipments[Effective_Week],65)</f>
        <v/>
      </c>
      <c r="BO45">
        <f>SUMIFS(T_Shipments[Confirmed_Qty],T_Shipments[RM_Code],$A45,T_Shipments[Effective_Week],66)</f>
        <v/>
      </c>
      <c r="BP45">
        <f>SUMIFS(T_Shipments[Confirmed_Qty],T_Shipments[RM_Code],$A45,T_Shipments[Effective_Week],67)</f>
        <v/>
      </c>
      <c r="BQ45">
        <f>SUMIFS(T_Shipments[Confirmed_Qty],T_Shipments[RM_Code],$A45,T_Shipments[Effective_Week],68)</f>
        <v/>
      </c>
      <c r="BR45">
        <f>SUMIFS(T_Shipments[Confirmed_Qty],T_Shipments[RM_Code],$A45,T_Shipments[Effective_Week],69)</f>
        <v/>
      </c>
      <c r="BS45">
        <f>SUMIFS(T_Shipments[Confirmed_Qty],T_Shipments[RM_Code],$A45,T_Shipments[Effective_Week],70)</f>
        <v/>
      </c>
      <c r="BT45">
        <f>SUMIFS(T_Shipments[Confirmed_Qty],T_Shipments[RM_Code],$A45,T_Shipments[Effective_Week],71)</f>
        <v/>
      </c>
      <c r="BU45">
        <f>SUMIFS(T_Shipments[Confirmed_Qty],T_Shipments[RM_Code],$A45,T_Shipments[Effective_Week],72)</f>
        <v/>
      </c>
      <c r="BV45">
        <f>SUMIFS(T_Shipments[Confirmed_Qty],T_Shipments[RM_Code],$A45,T_Shipments[Effective_Week],73)</f>
        <v/>
      </c>
      <c r="BW45">
        <f>SUMIFS(T_Shipments[Confirmed_Qty],T_Shipments[RM_Code],$A45,T_Shipments[Effective_Week],74)</f>
        <v/>
      </c>
      <c r="BX45">
        <f>SUMIFS(T_Shipments[Confirmed_Qty],T_Shipments[RM_Code],$A45,T_Shipments[Effective_Week],75)</f>
        <v/>
      </c>
      <c r="BY45">
        <f>SUMIFS(T_Shipments[Confirmed_Qty],T_Shipments[RM_Code],$A45,T_Shipments[Effective_Week],76)</f>
        <v/>
      </c>
      <c r="BZ45">
        <f>SUMIFS(T_Shipments[Confirmed_Qty],T_Shipments[RM_Code],$A45,T_Shipments[Effective_Week],77)</f>
        <v/>
      </c>
      <c r="CA45">
        <f>SUMIFS(T_Shipments[Confirmed_Qty],T_Shipments[RM_Code],$A45,T_Shipments[Effective_Week],78)</f>
        <v/>
      </c>
      <c r="CB45">
        <f>SUMIFS(T_Shipments[Confirmed_Qty],T_Shipments[RM_Code],$A45,T_Shipments[Effective_Week],79)</f>
        <v/>
      </c>
      <c r="CC45">
        <f>SUMIFS(T_Shipments[Confirmed_Qty],T_Shipments[RM_Code],$A45,T_Shipments[Effective_Week],80)</f>
        <v/>
      </c>
      <c r="CD45">
        <f>SUMIFS(T_Shipments[Confirmed_Qty],T_Shipments[RM_Code],$A45,T_Shipments[Effective_Week],81)</f>
        <v/>
      </c>
      <c r="CE45">
        <f>SUMIFS(T_Shipments[Confirmed_Qty],T_Shipments[RM_Code],$A45,T_Shipments[Effective_Week],82)</f>
        <v/>
      </c>
      <c r="CF45">
        <f>SUMIFS(T_Shipments[Confirmed_Qty],T_Shipments[RM_Code],$A45,T_Shipments[Effective_Week],83)</f>
        <v/>
      </c>
      <c r="CG45">
        <f>SUMIFS(T_Shipments[Confirmed_Qty],T_Shipments[RM_Code],$A45,T_Shipments[Effective_Week],84)</f>
        <v/>
      </c>
      <c r="CH45">
        <f>SUMIFS(T_Shipments[Confirmed_Qty],T_Shipments[RM_Code],$A45,T_Shipments[Effective_Week],85)</f>
        <v/>
      </c>
      <c r="CI45">
        <f>SUMIFS(T_Shipments[Confirmed_Qty],T_Shipments[RM_Code],$A45,T_Shipments[Effective_Week],86)</f>
        <v/>
      </c>
      <c r="CJ45">
        <f>SUMIFS(T_Shipments[Confirmed_Qty],T_Shipments[RM_Code],$A45,T_Shipments[Effective_Week],87)</f>
        <v/>
      </c>
      <c r="CK45">
        <f>SUMIFS(T_Shipments[Confirmed_Qty],T_Shipments[RM_Code],$A45,T_Shipments[Effective_Week],88)</f>
        <v/>
      </c>
      <c r="CL45">
        <f>SUMIFS(T_Shipments[Confirmed_Qty],T_Shipments[RM_Code],$A45,T_Shipments[Effective_Week],89)</f>
        <v/>
      </c>
      <c r="CM45">
        <f>SUMIFS(T_Shipments[Confirmed_Qty],T_Shipments[RM_Code],$A45,T_Shipments[Effective_Week],90)</f>
        <v/>
      </c>
      <c r="CN45">
        <f>SUMIFS(T_Shipments[Confirmed_Qty],T_Shipments[RM_Code],$A45,T_Shipments[Effective_Week],91)</f>
        <v/>
      </c>
      <c r="CO45">
        <f>SUMIFS(T_Shipments[Confirmed_Qty],T_Shipments[RM_Code],$A45,T_Shipments[Effective_Week],92)</f>
        <v/>
      </c>
      <c r="CP45">
        <f>SUMIFS(T_Shipments[Confirmed_Qty],T_Shipments[RM_Code],$A45,T_Shipments[Effective_Week],93)</f>
        <v/>
      </c>
      <c r="CQ45">
        <f>SUMIFS(T_Shipments[Confirmed_Qty],T_Shipments[RM_Code],$A45,T_Shipments[Effective_Week],94)</f>
        <v/>
      </c>
      <c r="CR45">
        <f>SUMIFS(T_Shipments[Confirmed_Qty],T_Shipments[RM_Code],$A45,T_Shipments[Effective_Week],95)</f>
        <v/>
      </c>
      <c r="CS45">
        <f>SUMIFS(T_Shipments[Confirmed_Qty],T_Shipments[RM_Code],$A45,T_Shipments[Effective_Week],96)</f>
        <v/>
      </c>
      <c r="CT45">
        <f>SUMIFS(T_Shipments[Confirmed_Qty],T_Shipments[RM_Code],$A45,T_Shipments[Effective_Week],97)</f>
        <v/>
      </c>
      <c r="CU45">
        <f>SUMIFS(T_Shipments[Confirmed_Qty],T_Shipments[RM_Code],$A45,T_Shipments[Effective_Week],98)</f>
        <v/>
      </c>
      <c r="CV45">
        <f>SUMIFS(T_Shipments[Confirmed_Qty],T_Shipments[RM_Code],$A45,T_Shipments[Effective_Week],99)</f>
        <v/>
      </c>
      <c r="CW45">
        <f>SUMIFS(T_Shipments[Confirmed_Qty],T_Shipments[RM_Code],$A45,T_Shipments[Effective_Week],100)</f>
        <v/>
      </c>
      <c r="CX45">
        <f>SUMIFS(T_Shipments[Confirmed_Qty],T_Shipments[RM_Code],$A45,T_Shipments[Effective_Week],101)</f>
        <v/>
      </c>
      <c r="CY45">
        <f>SUMIFS(T_Shipments[Confirmed_Qty],T_Shipments[RM_Code],$A45,T_Shipments[Effective_Week],102)</f>
        <v/>
      </c>
      <c r="CZ45">
        <f>SUMIFS(T_Shipments[Confirmed_Qty],T_Shipments[RM_Code],$A45,T_Shipments[Effective_Week],103)</f>
        <v/>
      </c>
      <c r="DA45">
        <f>SUMIFS(T_Shipments[Confirmed_Qty],T_Shipments[RM_Code],$A45,T_Shipments[Effective_Week],104)</f>
        <v/>
      </c>
    </row>
    <row r="46">
      <c r="A46" t="inlineStr">
        <is>
          <t>CHEM-1410</t>
        </is>
      </c>
      <c r="B46">
        <f>SUMIFS(T_Shipments[Confirmed_Qty],T_Shipments[RM_Code],$A46,T_Shipments[Effective_Week],1)</f>
        <v/>
      </c>
      <c r="C46">
        <f>SUMIFS(T_Shipments[Confirmed_Qty],T_Shipments[RM_Code],$A46,T_Shipments[Effective_Week],2)</f>
        <v/>
      </c>
      <c r="D46">
        <f>SUMIFS(T_Shipments[Confirmed_Qty],T_Shipments[RM_Code],$A46,T_Shipments[Effective_Week],3)</f>
        <v/>
      </c>
      <c r="E46">
        <f>SUMIFS(T_Shipments[Confirmed_Qty],T_Shipments[RM_Code],$A46,T_Shipments[Effective_Week],4)</f>
        <v/>
      </c>
      <c r="F46">
        <f>SUMIFS(T_Shipments[Confirmed_Qty],T_Shipments[RM_Code],$A46,T_Shipments[Effective_Week],5)</f>
        <v/>
      </c>
      <c r="G46">
        <f>SUMIFS(T_Shipments[Confirmed_Qty],T_Shipments[RM_Code],$A46,T_Shipments[Effective_Week],6)</f>
        <v/>
      </c>
      <c r="H46">
        <f>SUMIFS(T_Shipments[Confirmed_Qty],T_Shipments[RM_Code],$A46,T_Shipments[Effective_Week],7)</f>
        <v/>
      </c>
      <c r="I46">
        <f>SUMIFS(T_Shipments[Confirmed_Qty],T_Shipments[RM_Code],$A46,T_Shipments[Effective_Week],8)</f>
        <v/>
      </c>
      <c r="J46">
        <f>SUMIFS(T_Shipments[Confirmed_Qty],T_Shipments[RM_Code],$A46,T_Shipments[Effective_Week],9)</f>
        <v/>
      </c>
      <c r="K46">
        <f>SUMIFS(T_Shipments[Confirmed_Qty],T_Shipments[RM_Code],$A46,T_Shipments[Effective_Week],10)</f>
        <v/>
      </c>
      <c r="L46">
        <f>SUMIFS(T_Shipments[Confirmed_Qty],T_Shipments[RM_Code],$A46,T_Shipments[Effective_Week],11)</f>
        <v/>
      </c>
      <c r="M46">
        <f>SUMIFS(T_Shipments[Confirmed_Qty],T_Shipments[RM_Code],$A46,T_Shipments[Effective_Week],12)</f>
        <v/>
      </c>
      <c r="N46">
        <f>SUMIFS(T_Shipments[Confirmed_Qty],T_Shipments[RM_Code],$A46,T_Shipments[Effective_Week],13)</f>
        <v/>
      </c>
      <c r="O46">
        <f>SUMIFS(T_Shipments[Confirmed_Qty],T_Shipments[RM_Code],$A46,T_Shipments[Effective_Week],14)</f>
        <v/>
      </c>
      <c r="P46">
        <f>SUMIFS(T_Shipments[Confirmed_Qty],T_Shipments[RM_Code],$A46,T_Shipments[Effective_Week],15)</f>
        <v/>
      </c>
      <c r="Q46">
        <f>SUMIFS(T_Shipments[Confirmed_Qty],T_Shipments[RM_Code],$A46,T_Shipments[Effective_Week],16)</f>
        <v/>
      </c>
      <c r="R46">
        <f>SUMIFS(T_Shipments[Confirmed_Qty],T_Shipments[RM_Code],$A46,T_Shipments[Effective_Week],17)</f>
        <v/>
      </c>
      <c r="S46">
        <f>SUMIFS(T_Shipments[Confirmed_Qty],T_Shipments[RM_Code],$A46,T_Shipments[Effective_Week],18)</f>
        <v/>
      </c>
      <c r="T46">
        <f>SUMIFS(T_Shipments[Confirmed_Qty],T_Shipments[RM_Code],$A46,T_Shipments[Effective_Week],19)</f>
        <v/>
      </c>
      <c r="U46">
        <f>SUMIFS(T_Shipments[Confirmed_Qty],T_Shipments[RM_Code],$A46,T_Shipments[Effective_Week],20)</f>
        <v/>
      </c>
      <c r="V46">
        <f>SUMIFS(T_Shipments[Confirmed_Qty],T_Shipments[RM_Code],$A46,T_Shipments[Effective_Week],21)</f>
        <v/>
      </c>
      <c r="W46">
        <f>SUMIFS(T_Shipments[Confirmed_Qty],T_Shipments[RM_Code],$A46,T_Shipments[Effective_Week],22)</f>
        <v/>
      </c>
      <c r="X46">
        <f>SUMIFS(T_Shipments[Confirmed_Qty],T_Shipments[RM_Code],$A46,T_Shipments[Effective_Week],23)</f>
        <v/>
      </c>
      <c r="Y46">
        <f>SUMIFS(T_Shipments[Confirmed_Qty],T_Shipments[RM_Code],$A46,T_Shipments[Effective_Week],24)</f>
        <v/>
      </c>
      <c r="Z46">
        <f>SUMIFS(T_Shipments[Confirmed_Qty],T_Shipments[RM_Code],$A46,T_Shipments[Effective_Week],25)</f>
        <v/>
      </c>
      <c r="AA46">
        <f>SUMIFS(T_Shipments[Confirmed_Qty],T_Shipments[RM_Code],$A46,T_Shipments[Effective_Week],26)</f>
        <v/>
      </c>
      <c r="AB46">
        <f>SUMIFS(T_Shipments[Confirmed_Qty],T_Shipments[RM_Code],$A46,T_Shipments[Effective_Week],27)</f>
        <v/>
      </c>
      <c r="AC46">
        <f>SUMIFS(T_Shipments[Confirmed_Qty],T_Shipments[RM_Code],$A46,T_Shipments[Effective_Week],28)</f>
        <v/>
      </c>
      <c r="AD46">
        <f>SUMIFS(T_Shipments[Confirmed_Qty],T_Shipments[RM_Code],$A46,T_Shipments[Effective_Week],29)</f>
        <v/>
      </c>
      <c r="AE46">
        <f>SUMIFS(T_Shipments[Confirmed_Qty],T_Shipments[RM_Code],$A46,T_Shipments[Effective_Week],30)</f>
        <v/>
      </c>
      <c r="AF46">
        <f>SUMIFS(T_Shipments[Confirmed_Qty],T_Shipments[RM_Code],$A46,T_Shipments[Effective_Week],31)</f>
        <v/>
      </c>
      <c r="AG46">
        <f>SUMIFS(T_Shipments[Confirmed_Qty],T_Shipments[RM_Code],$A46,T_Shipments[Effective_Week],32)</f>
        <v/>
      </c>
      <c r="AH46">
        <f>SUMIFS(T_Shipments[Confirmed_Qty],T_Shipments[RM_Code],$A46,T_Shipments[Effective_Week],33)</f>
        <v/>
      </c>
      <c r="AI46">
        <f>SUMIFS(T_Shipments[Confirmed_Qty],T_Shipments[RM_Code],$A46,T_Shipments[Effective_Week],34)</f>
        <v/>
      </c>
      <c r="AJ46">
        <f>SUMIFS(T_Shipments[Confirmed_Qty],T_Shipments[RM_Code],$A46,T_Shipments[Effective_Week],35)</f>
        <v/>
      </c>
      <c r="AK46">
        <f>SUMIFS(T_Shipments[Confirmed_Qty],T_Shipments[RM_Code],$A46,T_Shipments[Effective_Week],36)</f>
        <v/>
      </c>
      <c r="AL46">
        <f>SUMIFS(T_Shipments[Confirmed_Qty],T_Shipments[RM_Code],$A46,T_Shipments[Effective_Week],37)</f>
        <v/>
      </c>
      <c r="AM46">
        <f>SUMIFS(T_Shipments[Confirmed_Qty],T_Shipments[RM_Code],$A46,T_Shipments[Effective_Week],38)</f>
        <v/>
      </c>
      <c r="AN46">
        <f>SUMIFS(T_Shipments[Confirmed_Qty],T_Shipments[RM_Code],$A46,T_Shipments[Effective_Week],39)</f>
        <v/>
      </c>
      <c r="AO46">
        <f>SUMIFS(T_Shipments[Confirmed_Qty],T_Shipments[RM_Code],$A46,T_Shipments[Effective_Week],40)</f>
        <v/>
      </c>
      <c r="AP46">
        <f>SUMIFS(T_Shipments[Confirmed_Qty],T_Shipments[RM_Code],$A46,T_Shipments[Effective_Week],41)</f>
        <v/>
      </c>
      <c r="AQ46">
        <f>SUMIFS(T_Shipments[Confirmed_Qty],T_Shipments[RM_Code],$A46,T_Shipments[Effective_Week],42)</f>
        <v/>
      </c>
      <c r="AR46">
        <f>SUMIFS(T_Shipments[Confirmed_Qty],T_Shipments[RM_Code],$A46,T_Shipments[Effective_Week],43)</f>
        <v/>
      </c>
      <c r="AS46">
        <f>SUMIFS(T_Shipments[Confirmed_Qty],T_Shipments[RM_Code],$A46,T_Shipments[Effective_Week],44)</f>
        <v/>
      </c>
      <c r="AT46">
        <f>SUMIFS(T_Shipments[Confirmed_Qty],T_Shipments[RM_Code],$A46,T_Shipments[Effective_Week],45)</f>
        <v/>
      </c>
      <c r="AU46">
        <f>SUMIFS(T_Shipments[Confirmed_Qty],T_Shipments[RM_Code],$A46,T_Shipments[Effective_Week],46)</f>
        <v/>
      </c>
      <c r="AV46">
        <f>SUMIFS(T_Shipments[Confirmed_Qty],T_Shipments[RM_Code],$A46,T_Shipments[Effective_Week],47)</f>
        <v/>
      </c>
      <c r="AW46">
        <f>SUMIFS(T_Shipments[Confirmed_Qty],T_Shipments[RM_Code],$A46,T_Shipments[Effective_Week],48)</f>
        <v/>
      </c>
      <c r="AX46">
        <f>SUMIFS(T_Shipments[Confirmed_Qty],T_Shipments[RM_Code],$A46,T_Shipments[Effective_Week],49)</f>
        <v/>
      </c>
      <c r="AY46">
        <f>SUMIFS(T_Shipments[Confirmed_Qty],T_Shipments[RM_Code],$A46,T_Shipments[Effective_Week],50)</f>
        <v/>
      </c>
      <c r="AZ46">
        <f>SUMIFS(T_Shipments[Confirmed_Qty],T_Shipments[RM_Code],$A46,T_Shipments[Effective_Week],51)</f>
        <v/>
      </c>
      <c r="BA46">
        <f>SUMIFS(T_Shipments[Confirmed_Qty],T_Shipments[RM_Code],$A46,T_Shipments[Effective_Week],52)</f>
        <v/>
      </c>
      <c r="BB46">
        <f>SUMIFS(T_Shipments[Confirmed_Qty],T_Shipments[RM_Code],$A46,T_Shipments[Effective_Week],53)</f>
        <v/>
      </c>
      <c r="BC46">
        <f>SUMIFS(T_Shipments[Confirmed_Qty],T_Shipments[RM_Code],$A46,T_Shipments[Effective_Week],54)</f>
        <v/>
      </c>
      <c r="BD46">
        <f>SUMIFS(T_Shipments[Confirmed_Qty],T_Shipments[RM_Code],$A46,T_Shipments[Effective_Week],55)</f>
        <v/>
      </c>
      <c r="BE46">
        <f>SUMIFS(T_Shipments[Confirmed_Qty],T_Shipments[RM_Code],$A46,T_Shipments[Effective_Week],56)</f>
        <v/>
      </c>
      <c r="BF46">
        <f>SUMIFS(T_Shipments[Confirmed_Qty],T_Shipments[RM_Code],$A46,T_Shipments[Effective_Week],57)</f>
        <v/>
      </c>
      <c r="BG46">
        <f>SUMIFS(T_Shipments[Confirmed_Qty],T_Shipments[RM_Code],$A46,T_Shipments[Effective_Week],58)</f>
        <v/>
      </c>
      <c r="BH46">
        <f>SUMIFS(T_Shipments[Confirmed_Qty],T_Shipments[RM_Code],$A46,T_Shipments[Effective_Week],59)</f>
        <v/>
      </c>
      <c r="BI46">
        <f>SUMIFS(T_Shipments[Confirmed_Qty],T_Shipments[RM_Code],$A46,T_Shipments[Effective_Week],60)</f>
        <v/>
      </c>
      <c r="BJ46">
        <f>SUMIFS(T_Shipments[Confirmed_Qty],T_Shipments[RM_Code],$A46,T_Shipments[Effective_Week],61)</f>
        <v/>
      </c>
      <c r="BK46">
        <f>SUMIFS(T_Shipments[Confirmed_Qty],T_Shipments[RM_Code],$A46,T_Shipments[Effective_Week],62)</f>
        <v/>
      </c>
      <c r="BL46">
        <f>SUMIFS(T_Shipments[Confirmed_Qty],T_Shipments[RM_Code],$A46,T_Shipments[Effective_Week],63)</f>
        <v/>
      </c>
      <c r="BM46">
        <f>SUMIFS(T_Shipments[Confirmed_Qty],T_Shipments[RM_Code],$A46,T_Shipments[Effective_Week],64)</f>
        <v/>
      </c>
      <c r="BN46">
        <f>SUMIFS(T_Shipments[Confirmed_Qty],T_Shipments[RM_Code],$A46,T_Shipments[Effective_Week],65)</f>
        <v/>
      </c>
      <c r="BO46">
        <f>SUMIFS(T_Shipments[Confirmed_Qty],T_Shipments[RM_Code],$A46,T_Shipments[Effective_Week],66)</f>
        <v/>
      </c>
      <c r="BP46">
        <f>SUMIFS(T_Shipments[Confirmed_Qty],T_Shipments[RM_Code],$A46,T_Shipments[Effective_Week],67)</f>
        <v/>
      </c>
      <c r="BQ46">
        <f>SUMIFS(T_Shipments[Confirmed_Qty],T_Shipments[RM_Code],$A46,T_Shipments[Effective_Week],68)</f>
        <v/>
      </c>
      <c r="BR46">
        <f>SUMIFS(T_Shipments[Confirmed_Qty],T_Shipments[RM_Code],$A46,T_Shipments[Effective_Week],69)</f>
        <v/>
      </c>
      <c r="BS46">
        <f>SUMIFS(T_Shipments[Confirmed_Qty],T_Shipments[RM_Code],$A46,T_Shipments[Effective_Week],70)</f>
        <v/>
      </c>
      <c r="BT46">
        <f>SUMIFS(T_Shipments[Confirmed_Qty],T_Shipments[RM_Code],$A46,T_Shipments[Effective_Week],71)</f>
        <v/>
      </c>
      <c r="BU46">
        <f>SUMIFS(T_Shipments[Confirmed_Qty],T_Shipments[RM_Code],$A46,T_Shipments[Effective_Week],72)</f>
        <v/>
      </c>
      <c r="BV46">
        <f>SUMIFS(T_Shipments[Confirmed_Qty],T_Shipments[RM_Code],$A46,T_Shipments[Effective_Week],73)</f>
        <v/>
      </c>
      <c r="BW46">
        <f>SUMIFS(T_Shipments[Confirmed_Qty],T_Shipments[RM_Code],$A46,T_Shipments[Effective_Week],74)</f>
        <v/>
      </c>
      <c r="BX46">
        <f>SUMIFS(T_Shipments[Confirmed_Qty],T_Shipments[RM_Code],$A46,T_Shipments[Effective_Week],75)</f>
        <v/>
      </c>
      <c r="BY46">
        <f>SUMIFS(T_Shipments[Confirmed_Qty],T_Shipments[RM_Code],$A46,T_Shipments[Effective_Week],76)</f>
        <v/>
      </c>
      <c r="BZ46">
        <f>SUMIFS(T_Shipments[Confirmed_Qty],T_Shipments[RM_Code],$A46,T_Shipments[Effective_Week],77)</f>
        <v/>
      </c>
      <c r="CA46">
        <f>SUMIFS(T_Shipments[Confirmed_Qty],T_Shipments[RM_Code],$A46,T_Shipments[Effective_Week],78)</f>
        <v/>
      </c>
      <c r="CB46">
        <f>SUMIFS(T_Shipments[Confirmed_Qty],T_Shipments[RM_Code],$A46,T_Shipments[Effective_Week],79)</f>
        <v/>
      </c>
      <c r="CC46">
        <f>SUMIFS(T_Shipments[Confirmed_Qty],T_Shipments[RM_Code],$A46,T_Shipments[Effective_Week],80)</f>
        <v/>
      </c>
      <c r="CD46">
        <f>SUMIFS(T_Shipments[Confirmed_Qty],T_Shipments[RM_Code],$A46,T_Shipments[Effective_Week],81)</f>
        <v/>
      </c>
      <c r="CE46">
        <f>SUMIFS(T_Shipments[Confirmed_Qty],T_Shipments[RM_Code],$A46,T_Shipments[Effective_Week],82)</f>
        <v/>
      </c>
      <c r="CF46">
        <f>SUMIFS(T_Shipments[Confirmed_Qty],T_Shipments[RM_Code],$A46,T_Shipments[Effective_Week],83)</f>
        <v/>
      </c>
      <c r="CG46">
        <f>SUMIFS(T_Shipments[Confirmed_Qty],T_Shipments[RM_Code],$A46,T_Shipments[Effective_Week],84)</f>
        <v/>
      </c>
      <c r="CH46">
        <f>SUMIFS(T_Shipments[Confirmed_Qty],T_Shipments[RM_Code],$A46,T_Shipments[Effective_Week],85)</f>
        <v/>
      </c>
      <c r="CI46">
        <f>SUMIFS(T_Shipments[Confirmed_Qty],T_Shipments[RM_Code],$A46,T_Shipments[Effective_Week],86)</f>
        <v/>
      </c>
      <c r="CJ46">
        <f>SUMIFS(T_Shipments[Confirmed_Qty],T_Shipments[RM_Code],$A46,T_Shipments[Effective_Week],87)</f>
        <v/>
      </c>
      <c r="CK46">
        <f>SUMIFS(T_Shipments[Confirmed_Qty],T_Shipments[RM_Code],$A46,T_Shipments[Effective_Week],88)</f>
        <v/>
      </c>
      <c r="CL46">
        <f>SUMIFS(T_Shipments[Confirmed_Qty],T_Shipments[RM_Code],$A46,T_Shipments[Effective_Week],89)</f>
        <v/>
      </c>
      <c r="CM46">
        <f>SUMIFS(T_Shipments[Confirmed_Qty],T_Shipments[RM_Code],$A46,T_Shipments[Effective_Week],90)</f>
        <v/>
      </c>
      <c r="CN46">
        <f>SUMIFS(T_Shipments[Confirmed_Qty],T_Shipments[RM_Code],$A46,T_Shipments[Effective_Week],91)</f>
        <v/>
      </c>
      <c r="CO46">
        <f>SUMIFS(T_Shipments[Confirmed_Qty],T_Shipments[RM_Code],$A46,T_Shipments[Effective_Week],92)</f>
        <v/>
      </c>
      <c r="CP46">
        <f>SUMIFS(T_Shipments[Confirmed_Qty],T_Shipments[RM_Code],$A46,T_Shipments[Effective_Week],93)</f>
        <v/>
      </c>
      <c r="CQ46">
        <f>SUMIFS(T_Shipments[Confirmed_Qty],T_Shipments[RM_Code],$A46,T_Shipments[Effective_Week],94)</f>
        <v/>
      </c>
      <c r="CR46">
        <f>SUMIFS(T_Shipments[Confirmed_Qty],T_Shipments[RM_Code],$A46,T_Shipments[Effective_Week],95)</f>
        <v/>
      </c>
      <c r="CS46">
        <f>SUMIFS(T_Shipments[Confirmed_Qty],T_Shipments[RM_Code],$A46,T_Shipments[Effective_Week],96)</f>
        <v/>
      </c>
      <c r="CT46">
        <f>SUMIFS(T_Shipments[Confirmed_Qty],T_Shipments[RM_Code],$A46,T_Shipments[Effective_Week],97)</f>
        <v/>
      </c>
      <c r="CU46">
        <f>SUMIFS(T_Shipments[Confirmed_Qty],T_Shipments[RM_Code],$A46,T_Shipments[Effective_Week],98)</f>
        <v/>
      </c>
      <c r="CV46">
        <f>SUMIFS(T_Shipments[Confirmed_Qty],T_Shipments[RM_Code],$A46,T_Shipments[Effective_Week],99)</f>
        <v/>
      </c>
      <c r="CW46">
        <f>SUMIFS(T_Shipments[Confirmed_Qty],T_Shipments[RM_Code],$A46,T_Shipments[Effective_Week],100)</f>
        <v/>
      </c>
      <c r="CX46">
        <f>SUMIFS(T_Shipments[Confirmed_Qty],T_Shipments[RM_Code],$A46,T_Shipments[Effective_Week],101)</f>
        <v/>
      </c>
      <c r="CY46">
        <f>SUMIFS(T_Shipments[Confirmed_Qty],T_Shipments[RM_Code],$A46,T_Shipments[Effective_Week],102)</f>
        <v/>
      </c>
      <c r="CZ46">
        <f>SUMIFS(T_Shipments[Confirmed_Qty],T_Shipments[RM_Code],$A46,T_Shipments[Effective_Week],103)</f>
        <v/>
      </c>
      <c r="DA46">
        <f>SUMIFS(T_Shipments[Confirmed_Qty],T_Shipments[RM_Code],$A46,T_Shipments[Effective_Week],104)</f>
        <v/>
      </c>
    </row>
    <row r="47">
      <c r="A47" t="inlineStr">
        <is>
          <t>CHEM-1430</t>
        </is>
      </c>
      <c r="B47">
        <f>SUMIFS(T_Shipments[Confirmed_Qty],T_Shipments[RM_Code],$A47,T_Shipments[Effective_Week],1)</f>
        <v/>
      </c>
      <c r="C47">
        <f>SUMIFS(T_Shipments[Confirmed_Qty],T_Shipments[RM_Code],$A47,T_Shipments[Effective_Week],2)</f>
        <v/>
      </c>
      <c r="D47">
        <f>SUMIFS(T_Shipments[Confirmed_Qty],T_Shipments[RM_Code],$A47,T_Shipments[Effective_Week],3)</f>
        <v/>
      </c>
      <c r="E47">
        <f>SUMIFS(T_Shipments[Confirmed_Qty],T_Shipments[RM_Code],$A47,T_Shipments[Effective_Week],4)</f>
        <v/>
      </c>
      <c r="F47">
        <f>SUMIFS(T_Shipments[Confirmed_Qty],T_Shipments[RM_Code],$A47,T_Shipments[Effective_Week],5)</f>
        <v/>
      </c>
      <c r="G47">
        <f>SUMIFS(T_Shipments[Confirmed_Qty],T_Shipments[RM_Code],$A47,T_Shipments[Effective_Week],6)</f>
        <v/>
      </c>
      <c r="H47">
        <f>SUMIFS(T_Shipments[Confirmed_Qty],T_Shipments[RM_Code],$A47,T_Shipments[Effective_Week],7)</f>
        <v/>
      </c>
      <c r="I47">
        <f>SUMIFS(T_Shipments[Confirmed_Qty],T_Shipments[RM_Code],$A47,T_Shipments[Effective_Week],8)</f>
        <v/>
      </c>
      <c r="J47">
        <f>SUMIFS(T_Shipments[Confirmed_Qty],T_Shipments[RM_Code],$A47,T_Shipments[Effective_Week],9)</f>
        <v/>
      </c>
      <c r="K47">
        <f>SUMIFS(T_Shipments[Confirmed_Qty],T_Shipments[RM_Code],$A47,T_Shipments[Effective_Week],10)</f>
        <v/>
      </c>
      <c r="L47">
        <f>SUMIFS(T_Shipments[Confirmed_Qty],T_Shipments[RM_Code],$A47,T_Shipments[Effective_Week],11)</f>
        <v/>
      </c>
      <c r="M47">
        <f>SUMIFS(T_Shipments[Confirmed_Qty],T_Shipments[RM_Code],$A47,T_Shipments[Effective_Week],12)</f>
        <v/>
      </c>
      <c r="N47">
        <f>SUMIFS(T_Shipments[Confirmed_Qty],T_Shipments[RM_Code],$A47,T_Shipments[Effective_Week],13)</f>
        <v/>
      </c>
      <c r="O47">
        <f>SUMIFS(T_Shipments[Confirmed_Qty],T_Shipments[RM_Code],$A47,T_Shipments[Effective_Week],14)</f>
        <v/>
      </c>
      <c r="P47">
        <f>SUMIFS(T_Shipments[Confirmed_Qty],T_Shipments[RM_Code],$A47,T_Shipments[Effective_Week],15)</f>
        <v/>
      </c>
      <c r="Q47">
        <f>SUMIFS(T_Shipments[Confirmed_Qty],T_Shipments[RM_Code],$A47,T_Shipments[Effective_Week],16)</f>
        <v/>
      </c>
      <c r="R47">
        <f>SUMIFS(T_Shipments[Confirmed_Qty],T_Shipments[RM_Code],$A47,T_Shipments[Effective_Week],17)</f>
        <v/>
      </c>
      <c r="S47">
        <f>SUMIFS(T_Shipments[Confirmed_Qty],T_Shipments[RM_Code],$A47,T_Shipments[Effective_Week],18)</f>
        <v/>
      </c>
      <c r="T47">
        <f>SUMIFS(T_Shipments[Confirmed_Qty],T_Shipments[RM_Code],$A47,T_Shipments[Effective_Week],19)</f>
        <v/>
      </c>
      <c r="U47">
        <f>SUMIFS(T_Shipments[Confirmed_Qty],T_Shipments[RM_Code],$A47,T_Shipments[Effective_Week],20)</f>
        <v/>
      </c>
      <c r="V47">
        <f>SUMIFS(T_Shipments[Confirmed_Qty],T_Shipments[RM_Code],$A47,T_Shipments[Effective_Week],21)</f>
        <v/>
      </c>
      <c r="W47">
        <f>SUMIFS(T_Shipments[Confirmed_Qty],T_Shipments[RM_Code],$A47,T_Shipments[Effective_Week],22)</f>
        <v/>
      </c>
      <c r="X47">
        <f>SUMIFS(T_Shipments[Confirmed_Qty],T_Shipments[RM_Code],$A47,T_Shipments[Effective_Week],23)</f>
        <v/>
      </c>
      <c r="Y47">
        <f>SUMIFS(T_Shipments[Confirmed_Qty],T_Shipments[RM_Code],$A47,T_Shipments[Effective_Week],24)</f>
        <v/>
      </c>
      <c r="Z47">
        <f>SUMIFS(T_Shipments[Confirmed_Qty],T_Shipments[RM_Code],$A47,T_Shipments[Effective_Week],25)</f>
        <v/>
      </c>
      <c r="AA47">
        <f>SUMIFS(T_Shipments[Confirmed_Qty],T_Shipments[RM_Code],$A47,T_Shipments[Effective_Week],26)</f>
        <v/>
      </c>
      <c r="AB47">
        <f>SUMIFS(T_Shipments[Confirmed_Qty],T_Shipments[RM_Code],$A47,T_Shipments[Effective_Week],27)</f>
        <v/>
      </c>
      <c r="AC47">
        <f>SUMIFS(T_Shipments[Confirmed_Qty],T_Shipments[RM_Code],$A47,T_Shipments[Effective_Week],28)</f>
        <v/>
      </c>
      <c r="AD47">
        <f>SUMIFS(T_Shipments[Confirmed_Qty],T_Shipments[RM_Code],$A47,T_Shipments[Effective_Week],29)</f>
        <v/>
      </c>
      <c r="AE47">
        <f>SUMIFS(T_Shipments[Confirmed_Qty],T_Shipments[RM_Code],$A47,T_Shipments[Effective_Week],30)</f>
        <v/>
      </c>
      <c r="AF47">
        <f>SUMIFS(T_Shipments[Confirmed_Qty],T_Shipments[RM_Code],$A47,T_Shipments[Effective_Week],31)</f>
        <v/>
      </c>
      <c r="AG47">
        <f>SUMIFS(T_Shipments[Confirmed_Qty],T_Shipments[RM_Code],$A47,T_Shipments[Effective_Week],32)</f>
        <v/>
      </c>
      <c r="AH47">
        <f>SUMIFS(T_Shipments[Confirmed_Qty],T_Shipments[RM_Code],$A47,T_Shipments[Effective_Week],33)</f>
        <v/>
      </c>
      <c r="AI47">
        <f>SUMIFS(T_Shipments[Confirmed_Qty],T_Shipments[RM_Code],$A47,T_Shipments[Effective_Week],34)</f>
        <v/>
      </c>
      <c r="AJ47">
        <f>SUMIFS(T_Shipments[Confirmed_Qty],T_Shipments[RM_Code],$A47,T_Shipments[Effective_Week],35)</f>
        <v/>
      </c>
      <c r="AK47">
        <f>SUMIFS(T_Shipments[Confirmed_Qty],T_Shipments[RM_Code],$A47,T_Shipments[Effective_Week],36)</f>
        <v/>
      </c>
      <c r="AL47">
        <f>SUMIFS(T_Shipments[Confirmed_Qty],T_Shipments[RM_Code],$A47,T_Shipments[Effective_Week],37)</f>
        <v/>
      </c>
      <c r="AM47">
        <f>SUMIFS(T_Shipments[Confirmed_Qty],T_Shipments[RM_Code],$A47,T_Shipments[Effective_Week],38)</f>
        <v/>
      </c>
      <c r="AN47">
        <f>SUMIFS(T_Shipments[Confirmed_Qty],T_Shipments[RM_Code],$A47,T_Shipments[Effective_Week],39)</f>
        <v/>
      </c>
      <c r="AO47">
        <f>SUMIFS(T_Shipments[Confirmed_Qty],T_Shipments[RM_Code],$A47,T_Shipments[Effective_Week],40)</f>
        <v/>
      </c>
      <c r="AP47">
        <f>SUMIFS(T_Shipments[Confirmed_Qty],T_Shipments[RM_Code],$A47,T_Shipments[Effective_Week],41)</f>
        <v/>
      </c>
      <c r="AQ47">
        <f>SUMIFS(T_Shipments[Confirmed_Qty],T_Shipments[RM_Code],$A47,T_Shipments[Effective_Week],42)</f>
        <v/>
      </c>
      <c r="AR47">
        <f>SUMIFS(T_Shipments[Confirmed_Qty],T_Shipments[RM_Code],$A47,T_Shipments[Effective_Week],43)</f>
        <v/>
      </c>
      <c r="AS47">
        <f>SUMIFS(T_Shipments[Confirmed_Qty],T_Shipments[RM_Code],$A47,T_Shipments[Effective_Week],44)</f>
        <v/>
      </c>
      <c r="AT47">
        <f>SUMIFS(T_Shipments[Confirmed_Qty],T_Shipments[RM_Code],$A47,T_Shipments[Effective_Week],45)</f>
        <v/>
      </c>
      <c r="AU47">
        <f>SUMIFS(T_Shipments[Confirmed_Qty],T_Shipments[RM_Code],$A47,T_Shipments[Effective_Week],46)</f>
        <v/>
      </c>
      <c r="AV47">
        <f>SUMIFS(T_Shipments[Confirmed_Qty],T_Shipments[RM_Code],$A47,T_Shipments[Effective_Week],47)</f>
        <v/>
      </c>
      <c r="AW47">
        <f>SUMIFS(T_Shipments[Confirmed_Qty],T_Shipments[RM_Code],$A47,T_Shipments[Effective_Week],48)</f>
        <v/>
      </c>
      <c r="AX47">
        <f>SUMIFS(T_Shipments[Confirmed_Qty],T_Shipments[RM_Code],$A47,T_Shipments[Effective_Week],49)</f>
        <v/>
      </c>
      <c r="AY47">
        <f>SUMIFS(T_Shipments[Confirmed_Qty],T_Shipments[RM_Code],$A47,T_Shipments[Effective_Week],50)</f>
        <v/>
      </c>
      <c r="AZ47">
        <f>SUMIFS(T_Shipments[Confirmed_Qty],T_Shipments[RM_Code],$A47,T_Shipments[Effective_Week],51)</f>
        <v/>
      </c>
      <c r="BA47">
        <f>SUMIFS(T_Shipments[Confirmed_Qty],T_Shipments[RM_Code],$A47,T_Shipments[Effective_Week],52)</f>
        <v/>
      </c>
      <c r="BB47">
        <f>SUMIFS(T_Shipments[Confirmed_Qty],T_Shipments[RM_Code],$A47,T_Shipments[Effective_Week],53)</f>
        <v/>
      </c>
      <c r="BC47">
        <f>SUMIFS(T_Shipments[Confirmed_Qty],T_Shipments[RM_Code],$A47,T_Shipments[Effective_Week],54)</f>
        <v/>
      </c>
      <c r="BD47">
        <f>SUMIFS(T_Shipments[Confirmed_Qty],T_Shipments[RM_Code],$A47,T_Shipments[Effective_Week],55)</f>
        <v/>
      </c>
      <c r="BE47">
        <f>SUMIFS(T_Shipments[Confirmed_Qty],T_Shipments[RM_Code],$A47,T_Shipments[Effective_Week],56)</f>
        <v/>
      </c>
      <c r="BF47">
        <f>SUMIFS(T_Shipments[Confirmed_Qty],T_Shipments[RM_Code],$A47,T_Shipments[Effective_Week],57)</f>
        <v/>
      </c>
      <c r="BG47">
        <f>SUMIFS(T_Shipments[Confirmed_Qty],T_Shipments[RM_Code],$A47,T_Shipments[Effective_Week],58)</f>
        <v/>
      </c>
      <c r="BH47">
        <f>SUMIFS(T_Shipments[Confirmed_Qty],T_Shipments[RM_Code],$A47,T_Shipments[Effective_Week],59)</f>
        <v/>
      </c>
      <c r="BI47">
        <f>SUMIFS(T_Shipments[Confirmed_Qty],T_Shipments[RM_Code],$A47,T_Shipments[Effective_Week],60)</f>
        <v/>
      </c>
      <c r="BJ47">
        <f>SUMIFS(T_Shipments[Confirmed_Qty],T_Shipments[RM_Code],$A47,T_Shipments[Effective_Week],61)</f>
        <v/>
      </c>
      <c r="BK47">
        <f>SUMIFS(T_Shipments[Confirmed_Qty],T_Shipments[RM_Code],$A47,T_Shipments[Effective_Week],62)</f>
        <v/>
      </c>
      <c r="BL47">
        <f>SUMIFS(T_Shipments[Confirmed_Qty],T_Shipments[RM_Code],$A47,T_Shipments[Effective_Week],63)</f>
        <v/>
      </c>
      <c r="BM47">
        <f>SUMIFS(T_Shipments[Confirmed_Qty],T_Shipments[RM_Code],$A47,T_Shipments[Effective_Week],64)</f>
        <v/>
      </c>
      <c r="BN47">
        <f>SUMIFS(T_Shipments[Confirmed_Qty],T_Shipments[RM_Code],$A47,T_Shipments[Effective_Week],65)</f>
        <v/>
      </c>
      <c r="BO47">
        <f>SUMIFS(T_Shipments[Confirmed_Qty],T_Shipments[RM_Code],$A47,T_Shipments[Effective_Week],66)</f>
        <v/>
      </c>
      <c r="BP47">
        <f>SUMIFS(T_Shipments[Confirmed_Qty],T_Shipments[RM_Code],$A47,T_Shipments[Effective_Week],67)</f>
        <v/>
      </c>
      <c r="BQ47">
        <f>SUMIFS(T_Shipments[Confirmed_Qty],T_Shipments[RM_Code],$A47,T_Shipments[Effective_Week],68)</f>
        <v/>
      </c>
      <c r="BR47">
        <f>SUMIFS(T_Shipments[Confirmed_Qty],T_Shipments[RM_Code],$A47,T_Shipments[Effective_Week],69)</f>
        <v/>
      </c>
      <c r="BS47">
        <f>SUMIFS(T_Shipments[Confirmed_Qty],T_Shipments[RM_Code],$A47,T_Shipments[Effective_Week],70)</f>
        <v/>
      </c>
      <c r="BT47">
        <f>SUMIFS(T_Shipments[Confirmed_Qty],T_Shipments[RM_Code],$A47,T_Shipments[Effective_Week],71)</f>
        <v/>
      </c>
      <c r="BU47">
        <f>SUMIFS(T_Shipments[Confirmed_Qty],T_Shipments[RM_Code],$A47,T_Shipments[Effective_Week],72)</f>
        <v/>
      </c>
      <c r="BV47">
        <f>SUMIFS(T_Shipments[Confirmed_Qty],T_Shipments[RM_Code],$A47,T_Shipments[Effective_Week],73)</f>
        <v/>
      </c>
      <c r="BW47">
        <f>SUMIFS(T_Shipments[Confirmed_Qty],T_Shipments[RM_Code],$A47,T_Shipments[Effective_Week],74)</f>
        <v/>
      </c>
      <c r="BX47">
        <f>SUMIFS(T_Shipments[Confirmed_Qty],T_Shipments[RM_Code],$A47,T_Shipments[Effective_Week],75)</f>
        <v/>
      </c>
      <c r="BY47">
        <f>SUMIFS(T_Shipments[Confirmed_Qty],T_Shipments[RM_Code],$A47,T_Shipments[Effective_Week],76)</f>
        <v/>
      </c>
      <c r="BZ47">
        <f>SUMIFS(T_Shipments[Confirmed_Qty],T_Shipments[RM_Code],$A47,T_Shipments[Effective_Week],77)</f>
        <v/>
      </c>
      <c r="CA47">
        <f>SUMIFS(T_Shipments[Confirmed_Qty],T_Shipments[RM_Code],$A47,T_Shipments[Effective_Week],78)</f>
        <v/>
      </c>
      <c r="CB47">
        <f>SUMIFS(T_Shipments[Confirmed_Qty],T_Shipments[RM_Code],$A47,T_Shipments[Effective_Week],79)</f>
        <v/>
      </c>
      <c r="CC47">
        <f>SUMIFS(T_Shipments[Confirmed_Qty],T_Shipments[RM_Code],$A47,T_Shipments[Effective_Week],80)</f>
        <v/>
      </c>
      <c r="CD47">
        <f>SUMIFS(T_Shipments[Confirmed_Qty],T_Shipments[RM_Code],$A47,T_Shipments[Effective_Week],81)</f>
        <v/>
      </c>
      <c r="CE47">
        <f>SUMIFS(T_Shipments[Confirmed_Qty],T_Shipments[RM_Code],$A47,T_Shipments[Effective_Week],82)</f>
        <v/>
      </c>
      <c r="CF47">
        <f>SUMIFS(T_Shipments[Confirmed_Qty],T_Shipments[RM_Code],$A47,T_Shipments[Effective_Week],83)</f>
        <v/>
      </c>
      <c r="CG47">
        <f>SUMIFS(T_Shipments[Confirmed_Qty],T_Shipments[RM_Code],$A47,T_Shipments[Effective_Week],84)</f>
        <v/>
      </c>
      <c r="CH47">
        <f>SUMIFS(T_Shipments[Confirmed_Qty],T_Shipments[RM_Code],$A47,T_Shipments[Effective_Week],85)</f>
        <v/>
      </c>
      <c r="CI47">
        <f>SUMIFS(T_Shipments[Confirmed_Qty],T_Shipments[RM_Code],$A47,T_Shipments[Effective_Week],86)</f>
        <v/>
      </c>
      <c r="CJ47">
        <f>SUMIFS(T_Shipments[Confirmed_Qty],T_Shipments[RM_Code],$A47,T_Shipments[Effective_Week],87)</f>
        <v/>
      </c>
      <c r="CK47">
        <f>SUMIFS(T_Shipments[Confirmed_Qty],T_Shipments[RM_Code],$A47,T_Shipments[Effective_Week],88)</f>
        <v/>
      </c>
      <c r="CL47">
        <f>SUMIFS(T_Shipments[Confirmed_Qty],T_Shipments[RM_Code],$A47,T_Shipments[Effective_Week],89)</f>
        <v/>
      </c>
      <c r="CM47">
        <f>SUMIFS(T_Shipments[Confirmed_Qty],T_Shipments[RM_Code],$A47,T_Shipments[Effective_Week],90)</f>
        <v/>
      </c>
      <c r="CN47">
        <f>SUMIFS(T_Shipments[Confirmed_Qty],T_Shipments[RM_Code],$A47,T_Shipments[Effective_Week],91)</f>
        <v/>
      </c>
      <c r="CO47">
        <f>SUMIFS(T_Shipments[Confirmed_Qty],T_Shipments[RM_Code],$A47,T_Shipments[Effective_Week],92)</f>
        <v/>
      </c>
      <c r="CP47">
        <f>SUMIFS(T_Shipments[Confirmed_Qty],T_Shipments[RM_Code],$A47,T_Shipments[Effective_Week],93)</f>
        <v/>
      </c>
      <c r="CQ47">
        <f>SUMIFS(T_Shipments[Confirmed_Qty],T_Shipments[RM_Code],$A47,T_Shipments[Effective_Week],94)</f>
        <v/>
      </c>
      <c r="CR47">
        <f>SUMIFS(T_Shipments[Confirmed_Qty],T_Shipments[RM_Code],$A47,T_Shipments[Effective_Week],95)</f>
        <v/>
      </c>
      <c r="CS47">
        <f>SUMIFS(T_Shipments[Confirmed_Qty],T_Shipments[RM_Code],$A47,T_Shipments[Effective_Week],96)</f>
        <v/>
      </c>
      <c r="CT47">
        <f>SUMIFS(T_Shipments[Confirmed_Qty],T_Shipments[RM_Code],$A47,T_Shipments[Effective_Week],97)</f>
        <v/>
      </c>
      <c r="CU47">
        <f>SUMIFS(T_Shipments[Confirmed_Qty],T_Shipments[RM_Code],$A47,T_Shipments[Effective_Week],98)</f>
        <v/>
      </c>
      <c r="CV47">
        <f>SUMIFS(T_Shipments[Confirmed_Qty],T_Shipments[RM_Code],$A47,T_Shipments[Effective_Week],99)</f>
        <v/>
      </c>
      <c r="CW47">
        <f>SUMIFS(T_Shipments[Confirmed_Qty],T_Shipments[RM_Code],$A47,T_Shipments[Effective_Week],100)</f>
        <v/>
      </c>
      <c r="CX47">
        <f>SUMIFS(T_Shipments[Confirmed_Qty],T_Shipments[RM_Code],$A47,T_Shipments[Effective_Week],101)</f>
        <v/>
      </c>
      <c r="CY47">
        <f>SUMIFS(T_Shipments[Confirmed_Qty],T_Shipments[RM_Code],$A47,T_Shipments[Effective_Week],102)</f>
        <v/>
      </c>
      <c r="CZ47">
        <f>SUMIFS(T_Shipments[Confirmed_Qty],T_Shipments[RM_Code],$A47,T_Shipments[Effective_Week],103)</f>
        <v/>
      </c>
      <c r="DA47">
        <f>SUMIFS(T_Shipments[Confirmed_Qty],T_Shipments[RM_Code],$A47,T_Shipments[Effective_Week],104)</f>
        <v/>
      </c>
    </row>
    <row r="48">
      <c r="A48" t="inlineStr">
        <is>
          <t>CHEM-1450</t>
        </is>
      </c>
      <c r="B48">
        <f>SUMIFS(T_Shipments[Confirmed_Qty],T_Shipments[RM_Code],$A48,T_Shipments[Effective_Week],1)</f>
        <v/>
      </c>
      <c r="C48">
        <f>SUMIFS(T_Shipments[Confirmed_Qty],T_Shipments[RM_Code],$A48,T_Shipments[Effective_Week],2)</f>
        <v/>
      </c>
      <c r="D48">
        <f>SUMIFS(T_Shipments[Confirmed_Qty],T_Shipments[RM_Code],$A48,T_Shipments[Effective_Week],3)</f>
        <v/>
      </c>
      <c r="E48">
        <f>SUMIFS(T_Shipments[Confirmed_Qty],T_Shipments[RM_Code],$A48,T_Shipments[Effective_Week],4)</f>
        <v/>
      </c>
      <c r="F48">
        <f>SUMIFS(T_Shipments[Confirmed_Qty],T_Shipments[RM_Code],$A48,T_Shipments[Effective_Week],5)</f>
        <v/>
      </c>
      <c r="G48">
        <f>SUMIFS(T_Shipments[Confirmed_Qty],T_Shipments[RM_Code],$A48,T_Shipments[Effective_Week],6)</f>
        <v/>
      </c>
      <c r="H48">
        <f>SUMIFS(T_Shipments[Confirmed_Qty],T_Shipments[RM_Code],$A48,T_Shipments[Effective_Week],7)</f>
        <v/>
      </c>
      <c r="I48">
        <f>SUMIFS(T_Shipments[Confirmed_Qty],T_Shipments[RM_Code],$A48,T_Shipments[Effective_Week],8)</f>
        <v/>
      </c>
      <c r="J48">
        <f>SUMIFS(T_Shipments[Confirmed_Qty],T_Shipments[RM_Code],$A48,T_Shipments[Effective_Week],9)</f>
        <v/>
      </c>
      <c r="K48">
        <f>SUMIFS(T_Shipments[Confirmed_Qty],T_Shipments[RM_Code],$A48,T_Shipments[Effective_Week],10)</f>
        <v/>
      </c>
      <c r="L48">
        <f>SUMIFS(T_Shipments[Confirmed_Qty],T_Shipments[RM_Code],$A48,T_Shipments[Effective_Week],11)</f>
        <v/>
      </c>
      <c r="M48">
        <f>SUMIFS(T_Shipments[Confirmed_Qty],T_Shipments[RM_Code],$A48,T_Shipments[Effective_Week],12)</f>
        <v/>
      </c>
      <c r="N48">
        <f>SUMIFS(T_Shipments[Confirmed_Qty],T_Shipments[RM_Code],$A48,T_Shipments[Effective_Week],13)</f>
        <v/>
      </c>
      <c r="O48">
        <f>SUMIFS(T_Shipments[Confirmed_Qty],T_Shipments[RM_Code],$A48,T_Shipments[Effective_Week],14)</f>
        <v/>
      </c>
      <c r="P48">
        <f>SUMIFS(T_Shipments[Confirmed_Qty],T_Shipments[RM_Code],$A48,T_Shipments[Effective_Week],15)</f>
        <v/>
      </c>
      <c r="Q48">
        <f>SUMIFS(T_Shipments[Confirmed_Qty],T_Shipments[RM_Code],$A48,T_Shipments[Effective_Week],16)</f>
        <v/>
      </c>
      <c r="R48">
        <f>SUMIFS(T_Shipments[Confirmed_Qty],T_Shipments[RM_Code],$A48,T_Shipments[Effective_Week],17)</f>
        <v/>
      </c>
      <c r="S48">
        <f>SUMIFS(T_Shipments[Confirmed_Qty],T_Shipments[RM_Code],$A48,T_Shipments[Effective_Week],18)</f>
        <v/>
      </c>
      <c r="T48">
        <f>SUMIFS(T_Shipments[Confirmed_Qty],T_Shipments[RM_Code],$A48,T_Shipments[Effective_Week],19)</f>
        <v/>
      </c>
      <c r="U48">
        <f>SUMIFS(T_Shipments[Confirmed_Qty],T_Shipments[RM_Code],$A48,T_Shipments[Effective_Week],20)</f>
        <v/>
      </c>
      <c r="V48">
        <f>SUMIFS(T_Shipments[Confirmed_Qty],T_Shipments[RM_Code],$A48,T_Shipments[Effective_Week],21)</f>
        <v/>
      </c>
      <c r="W48">
        <f>SUMIFS(T_Shipments[Confirmed_Qty],T_Shipments[RM_Code],$A48,T_Shipments[Effective_Week],22)</f>
        <v/>
      </c>
      <c r="X48">
        <f>SUMIFS(T_Shipments[Confirmed_Qty],T_Shipments[RM_Code],$A48,T_Shipments[Effective_Week],23)</f>
        <v/>
      </c>
      <c r="Y48">
        <f>SUMIFS(T_Shipments[Confirmed_Qty],T_Shipments[RM_Code],$A48,T_Shipments[Effective_Week],24)</f>
        <v/>
      </c>
      <c r="Z48">
        <f>SUMIFS(T_Shipments[Confirmed_Qty],T_Shipments[RM_Code],$A48,T_Shipments[Effective_Week],25)</f>
        <v/>
      </c>
      <c r="AA48">
        <f>SUMIFS(T_Shipments[Confirmed_Qty],T_Shipments[RM_Code],$A48,T_Shipments[Effective_Week],26)</f>
        <v/>
      </c>
      <c r="AB48">
        <f>SUMIFS(T_Shipments[Confirmed_Qty],T_Shipments[RM_Code],$A48,T_Shipments[Effective_Week],27)</f>
        <v/>
      </c>
      <c r="AC48">
        <f>SUMIFS(T_Shipments[Confirmed_Qty],T_Shipments[RM_Code],$A48,T_Shipments[Effective_Week],28)</f>
        <v/>
      </c>
      <c r="AD48">
        <f>SUMIFS(T_Shipments[Confirmed_Qty],T_Shipments[RM_Code],$A48,T_Shipments[Effective_Week],29)</f>
        <v/>
      </c>
      <c r="AE48">
        <f>SUMIFS(T_Shipments[Confirmed_Qty],T_Shipments[RM_Code],$A48,T_Shipments[Effective_Week],30)</f>
        <v/>
      </c>
      <c r="AF48">
        <f>SUMIFS(T_Shipments[Confirmed_Qty],T_Shipments[RM_Code],$A48,T_Shipments[Effective_Week],31)</f>
        <v/>
      </c>
      <c r="AG48">
        <f>SUMIFS(T_Shipments[Confirmed_Qty],T_Shipments[RM_Code],$A48,T_Shipments[Effective_Week],32)</f>
        <v/>
      </c>
      <c r="AH48">
        <f>SUMIFS(T_Shipments[Confirmed_Qty],T_Shipments[RM_Code],$A48,T_Shipments[Effective_Week],33)</f>
        <v/>
      </c>
      <c r="AI48">
        <f>SUMIFS(T_Shipments[Confirmed_Qty],T_Shipments[RM_Code],$A48,T_Shipments[Effective_Week],34)</f>
        <v/>
      </c>
      <c r="AJ48">
        <f>SUMIFS(T_Shipments[Confirmed_Qty],T_Shipments[RM_Code],$A48,T_Shipments[Effective_Week],35)</f>
        <v/>
      </c>
      <c r="AK48">
        <f>SUMIFS(T_Shipments[Confirmed_Qty],T_Shipments[RM_Code],$A48,T_Shipments[Effective_Week],36)</f>
        <v/>
      </c>
      <c r="AL48">
        <f>SUMIFS(T_Shipments[Confirmed_Qty],T_Shipments[RM_Code],$A48,T_Shipments[Effective_Week],37)</f>
        <v/>
      </c>
      <c r="AM48">
        <f>SUMIFS(T_Shipments[Confirmed_Qty],T_Shipments[RM_Code],$A48,T_Shipments[Effective_Week],38)</f>
        <v/>
      </c>
      <c r="AN48">
        <f>SUMIFS(T_Shipments[Confirmed_Qty],T_Shipments[RM_Code],$A48,T_Shipments[Effective_Week],39)</f>
        <v/>
      </c>
      <c r="AO48">
        <f>SUMIFS(T_Shipments[Confirmed_Qty],T_Shipments[RM_Code],$A48,T_Shipments[Effective_Week],40)</f>
        <v/>
      </c>
      <c r="AP48">
        <f>SUMIFS(T_Shipments[Confirmed_Qty],T_Shipments[RM_Code],$A48,T_Shipments[Effective_Week],41)</f>
        <v/>
      </c>
      <c r="AQ48">
        <f>SUMIFS(T_Shipments[Confirmed_Qty],T_Shipments[RM_Code],$A48,T_Shipments[Effective_Week],42)</f>
        <v/>
      </c>
      <c r="AR48">
        <f>SUMIFS(T_Shipments[Confirmed_Qty],T_Shipments[RM_Code],$A48,T_Shipments[Effective_Week],43)</f>
        <v/>
      </c>
      <c r="AS48">
        <f>SUMIFS(T_Shipments[Confirmed_Qty],T_Shipments[RM_Code],$A48,T_Shipments[Effective_Week],44)</f>
        <v/>
      </c>
      <c r="AT48">
        <f>SUMIFS(T_Shipments[Confirmed_Qty],T_Shipments[RM_Code],$A48,T_Shipments[Effective_Week],45)</f>
        <v/>
      </c>
      <c r="AU48">
        <f>SUMIFS(T_Shipments[Confirmed_Qty],T_Shipments[RM_Code],$A48,T_Shipments[Effective_Week],46)</f>
        <v/>
      </c>
      <c r="AV48">
        <f>SUMIFS(T_Shipments[Confirmed_Qty],T_Shipments[RM_Code],$A48,T_Shipments[Effective_Week],47)</f>
        <v/>
      </c>
      <c r="AW48">
        <f>SUMIFS(T_Shipments[Confirmed_Qty],T_Shipments[RM_Code],$A48,T_Shipments[Effective_Week],48)</f>
        <v/>
      </c>
      <c r="AX48">
        <f>SUMIFS(T_Shipments[Confirmed_Qty],T_Shipments[RM_Code],$A48,T_Shipments[Effective_Week],49)</f>
        <v/>
      </c>
      <c r="AY48">
        <f>SUMIFS(T_Shipments[Confirmed_Qty],T_Shipments[RM_Code],$A48,T_Shipments[Effective_Week],50)</f>
        <v/>
      </c>
      <c r="AZ48">
        <f>SUMIFS(T_Shipments[Confirmed_Qty],T_Shipments[RM_Code],$A48,T_Shipments[Effective_Week],51)</f>
        <v/>
      </c>
      <c r="BA48">
        <f>SUMIFS(T_Shipments[Confirmed_Qty],T_Shipments[RM_Code],$A48,T_Shipments[Effective_Week],52)</f>
        <v/>
      </c>
      <c r="BB48">
        <f>SUMIFS(T_Shipments[Confirmed_Qty],T_Shipments[RM_Code],$A48,T_Shipments[Effective_Week],53)</f>
        <v/>
      </c>
      <c r="BC48">
        <f>SUMIFS(T_Shipments[Confirmed_Qty],T_Shipments[RM_Code],$A48,T_Shipments[Effective_Week],54)</f>
        <v/>
      </c>
      <c r="BD48">
        <f>SUMIFS(T_Shipments[Confirmed_Qty],T_Shipments[RM_Code],$A48,T_Shipments[Effective_Week],55)</f>
        <v/>
      </c>
      <c r="BE48">
        <f>SUMIFS(T_Shipments[Confirmed_Qty],T_Shipments[RM_Code],$A48,T_Shipments[Effective_Week],56)</f>
        <v/>
      </c>
      <c r="BF48">
        <f>SUMIFS(T_Shipments[Confirmed_Qty],T_Shipments[RM_Code],$A48,T_Shipments[Effective_Week],57)</f>
        <v/>
      </c>
      <c r="BG48">
        <f>SUMIFS(T_Shipments[Confirmed_Qty],T_Shipments[RM_Code],$A48,T_Shipments[Effective_Week],58)</f>
        <v/>
      </c>
      <c r="BH48">
        <f>SUMIFS(T_Shipments[Confirmed_Qty],T_Shipments[RM_Code],$A48,T_Shipments[Effective_Week],59)</f>
        <v/>
      </c>
      <c r="BI48">
        <f>SUMIFS(T_Shipments[Confirmed_Qty],T_Shipments[RM_Code],$A48,T_Shipments[Effective_Week],60)</f>
        <v/>
      </c>
      <c r="BJ48">
        <f>SUMIFS(T_Shipments[Confirmed_Qty],T_Shipments[RM_Code],$A48,T_Shipments[Effective_Week],61)</f>
        <v/>
      </c>
      <c r="BK48">
        <f>SUMIFS(T_Shipments[Confirmed_Qty],T_Shipments[RM_Code],$A48,T_Shipments[Effective_Week],62)</f>
        <v/>
      </c>
      <c r="BL48">
        <f>SUMIFS(T_Shipments[Confirmed_Qty],T_Shipments[RM_Code],$A48,T_Shipments[Effective_Week],63)</f>
        <v/>
      </c>
      <c r="BM48">
        <f>SUMIFS(T_Shipments[Confirmed_Qty],T_Shipments[RM_Code],$A48,T_Shipments[Effective_Week],64)</f>
        <v/>
      </c>
      <c r="BN48">
        <f>SUMIFS(T_Shipments[Confirmed_Qty],T_Shipments[RM_Code],$A48,T_Shipments[Effective_Week],65)</f>
        <v/>
      </c>
      <c r="BO48">
        <f>SUMIFS(T_Shipments[Confirmed_Qty],T_Shipments[RM_Code],$A48,T_Shipments[Effective_Week],66)</f>
        <v/>
      </c>
      <c r="BP48">
        <f>SUMIFS(T_Shipments[Confirmed_Qty],T_Shipments[RM_Code],$A48,T_Shipments[Effective_Week],67)</f>
        <v/>
      </c>
      <c r="BQ48">
        <f>SUMIFS(T_Shipments[Confirmed_Qty],T_Shipments[RM_Code],$A48,T_Shipments[Effective_Week],68)</f>
        <v/>
      </c>
      <c r="BR48">
        <f>SUMIFS(T_Shipments[Confirmed_Qty],T_Shipments[RM_Code],$A48,T_Shipments[Effective_Week],69)</f>
        <v/>
      </c>
      <c r="BS48">
        <f>SUMIFS(T_Shipments[Confirmed_Qty],T_Shipments[RM_Code],$A48,T_Shipments[Effective_Week],70)</f>
        <v/>
      </c>
      <c r="BT48">
        <f>SUMIFS(T_Shipments[Confirmed_Qty],T_Shipments[RM_Code],$A48,T_Shipments[Effective_Week],71)</f>
        <v/>
      </c>
      <c r="BU48">
        <f>SUMIFS(T_Shipments[Confirmed_Qty],T_Shipments[RM_Code],$A48,T_Shipments[Effective_Week],72)</f>
        <v/>
      </c>
      <c r="BV48">
        <f>SUMIFS(T_Shipments[Confirmed_Qty],T_Shipments[RM_Code],$A48,T_Shipments[Effective_Week],73)</f>
        <v/>
      </c>
      <c r="BW48">
        <f>SUMIFS(T_Shipments[Confirmed_Qty],T_Shipments[RM_Code],$A48,T_Shipments[Effective_Week],74)</f>
        <v/>
      </c>
      <c r="BX48">
        <f>SUMIFS(T_Shipments[Confirmed_Qty],T_Shipments[RM_Code],$A48,T_Shipments[Effective_Week],75)</f>
        <v/>
      </c>
      <c r="BY48">
        <f>SUMIFS(T_Shipments[Confirmed_Qty],T_Shipments[RM_Code],$A48,T_Shipments[Effective_Week],76)</f>
        <v/>
      </c>
      <c r="BZ48">
        <f>SUMIFS(T_Shipments[Confirmed_Qty],T_Shipments[RM_Code],$A48,T_Shipments[Effective_Week],77)</f>
        <v/>
      </c>
      <c r="CA48">
        <f>SUMIFS(T_Shipments[Confirmed_Qty],T_Shipments[RM_Code],$A48,T_Shipments[Effective_Week],78)</f>
        <v/>
      </c>
      <c r="CB48">
        <f>SUMIFS(T_Shipments[Confirmed_Qty],T_Shipments[RM_Code],$A48,T_Shipments[Effective_Week],79)</f>
        <v/>
      </c>
      <c r="CC48">
        <f>SUMIFS(T_Shipments[Confirmed_Qty],T_Shipments[RM_Code],$A48,T_Shipments[Effective_Week],80)</f>
        <v/>
      </c>
      <c r="CD48">
        <f>SUMIFS(T_Shipments[Confirmed_Qty],T_Shipments[RM_Code],$A48,T_Shipments[Effective_Week],81)</f>
        <v/>
      </c>
      <c r="CE48">
        <f>SUMIFS(T_Shipments[Confirmed_Qty],T_Shipments[RM_Code],$A48,T_Shipments[Effective_Week],82)</f>
        <v/>
      </c>
      <c r="CF48">
        <f>SUMIFS(T_Shipments[Confirmed_Qty],T_Shipments[RM_Code],$A48,T_Shipments[Effective_Week],83)</f>
        <v/>
      </c>
      <c r="CG48">
        <f>SUMIFS(T_Shipments[Confirmed_Qty],T_Shipments[RM_Code],$A48,T_Shipments[Effective_Week],84)</f>
        <v/>
      </c>
      <c r="CH48">
        <f>SUMIFS(T_Shipments[Confirmed_Qty],T_Shipments[RM_Code],$A48,T_Shipments[Effective_Week],85)</f>
        <v/>
      </c>
      <c r="CI48">
        <f>SUMIFS(T_Shipments[Confirmed_Qty],T_Shipments[RM_Code],$A48,T_Shipments[Effective_Week],86)</f>
        <v/>
      </c>
      <c r="CJ48">
        <f>SUMIFS(T_Shipments[Confirmed_Qty],T_Shipments[RM_Code],$A48,T_Shipments[Effective_Week],87)</f>
        <v/>
      </c>
      <c r="CK48">
        <f>SUMIFS(T_Shipments[Confirmed_Qty],T_Shipments[RM_Code],$A48,T_Shipments[Effective_Week],88)</f>
        <v/>
      </c>
      <c r="CL48">
        <f>SUMIFS(T_Shipments[Confirmed_Qty],T_Shipments[RM_Code],$A48,T_Shipments[Effective_Week],89)</f>
        <v/>
      </c>
      <c r="CM48">
        <f>SUMIFS(T_Shipments[Confirmed_Qty],T_Shipments[RM_Code],$A48,T_Shipments[Effective_Week],90)</f>
        <v/>
      </c>
      <c r="CN48">
        <f>SUMIFS(T_Shipments[Confirmed_Qty],T_Shipments[RM_Code],$A48,T_Shipments[Effective_Week],91)</f>
        <v/>
      </c>
      <c r="CO48">
        <f>SUMIFS(T_Shipments[Confirmed_Qty],T_Shipments[RM_Code],$A48,T_Shipments[Effective_Week],92)</f>
        <v/>
      </c>
      <c r="CP48">
        <f>SUMIFS(T_Shipments[Confirmed_Qty],T_Shipments[RM_Code],$A48,T_Shipments[Effective_Week],93)</f>
        <v/>
      </c>
      <c r="CQ48">
        <f>SUMIFS(T_Shipments[Confirmed_Qty],T_Shipments[RM_Code],$A48,T_Shipments[Effective_Week],94)</f>
        <v/>
      </c>
      <c r="CR48">
        <f>SUMIFS(T_Shipments[Confirmed_Qty],T_Shipments[RM_Code],$A48,T_Shipments[Effective_Week],95)</f>
        <v/>
      </c>
      <c r="CS48">
        <f>SUMIFS(T_Shipments[Confirmed_Qty],T_Shipments[RM_Code],$A48,T_Shipments[Effective_Week],96)</f>
        <v/>
      </c>
      <c r="CT48">
        <f>SUMIFS(T_Shipments[Confirmed_Qty],T_Shipments[RM_Code],$A48,T_Shipments[Effective_Week],97)</f>
        <v/>
      </c>
      <c r="CU48">
        <f>SUMIFS(T_Shipments[Confirmed_Qty],T_Shipments[RM_Code],$A48,T_Shipments[Effective_Week],98)</f>
        <v/>
      </c>
      <c r="CV48">
        <f>SUMIFS(T_Shipments[Confirmed_Qty],T_Shipments[RM_Code],$A48,T_Shipments[Effective_Week],99)</f>
        <v/>
      </c>
      <c r="CW48">
        <f>SUMIFS(T_Shipments[Confirmed_Qty],T_Shipments[RM_Code],$A48,T_Shipments[Effective_Week],100)</f>
        <v/>
      </c>
      <c r="CX48">
        <f>SUMIFS(T_Shipments[Confirmed_Qty],T_Shipments[RM_Code],$A48,T_Shipments[Effective_Week],101)</f>
        <v/>
      </c>
      <c r="CY48">
        <f>SUMIFS(T_Shipments[Confirmed_Qty],T_Shipments[RM_Code],$A48,T_Shipments[Effective_Week],102)</f>
        <v/>
      </c>
      <c r="CZ48">
        <f>SUMIFS(T_Shipments[Confirmed_Qty],T_Shipments[RM_Code],$A48,T_Shipments[Effective_Week],103)</f>
        <v/>
      </c>
      <c r="DA48">
        <f>SUMIFS(T_Shipments[Confirmed_Qty],T_Shipments[RM_Code],$A48,T_Shipments[Effective_Week],104)</f>
        <v/>
      </c>
    </row>
    <row r="49">
      <c r="A49" t="inlineStr">
        <is>
          <t>CHEM-1470</t>
        </is>
      </c>
      <c r="B49">
        <f>SUMIFS(T_Shipments[Confirmed_Qty],T_Shipments[RM_Code],$A49,T_Shipments[Effective_Week],1)</f>
        <v/>
      </c>
      <c r="C49">
        <f>SUMIFS(T_Shipments[Confirmed_Qty],T_Shipments[RM_Code],$A49,T_Shipments[Effective_Week],2)</f>
        <v/>
      </c>
      <c r="D49">
        <f>SUMIFS(T_Shipments[Confirmed_Qty],T_Shipments[RM_Code],$A49,T_Shipments[Effective_Week],3)</f>
        <v/>
      </c>
      <c r="E49">
        <f>SUMIFS(T_Shipments[Confirmed_Qty],T_Shipments[RM_Code],$A49,T_Shipments[Effective_Week],4)</f>
        <v/>
      </c>
      <c r="F49">
        <f>SUMIFS(T_Shipments[Confirmed_Qty],T_Shipments[RM_Code],$A49,T_Shipments[Effective_Week],5)</f>
        <v/>
      </c>
      <c r="G49">
        <f>SUMIFS(T_Shipments[Confirmed_Qty],T_Shipments[RM_Code],$A49,T_Shipments[Effective_Week],6)</f>
        <v/>
      </c>
      <c r="H49">
        <f>SUMIFS(T_Shipments[Confirmed_Qty],T_Shipments[RM_Code],$A49,T_Shipments[Effective_Week],7)</f>
        <v/>
      </c>
      <c r="I49">
        <f>SUMIFS(T_Shipments[Confirmed_Qty],T_Shipments[RM_Code],$A49,T_Shipments[Effective_Week],8)</f>
        <v/>
      </c>
      <c r="J49">
        <f>SUMIFS(T_Shipments[Confirmed_Qty],T_Shipments[RM_Code],$A49,T_Shipments[Effective_Week],9)</f>
        <v/>
      </c>
      <c r="K49">
        <f>SUMIFS(T_Shipments[Confirmed_Qty],T_Shipments[RM_Code],$A49,T_Shipments[Effective_Week],10)</f>
        <v/>
      </c>
      <c r="L49">
        <f>SUMIFS(T_Shipments[Confirmed_Qty],T_Shipments[RM_Code],$A49,T_Shipments[Effective_Week],11)</f>
        <v/>
      </c>
      <c r="M49">
        <f>SUMIFS(T_Shipments[Confirmed_Qty],T_Shipments[RM_Code],$A49,T_Shipments[Effective_Week],12)</f>
        <v/>
      </c>
      <c r="N49">
        <f>SUMIFS(T_Shipments[Confirmed_Qty],T_Shipments[RM_Code],$A49,T_Shipments[Effective_Week],13)</f>
        <v/>
      </c>
      <c r="O49">
        <f>SUMIFS(T_Shipments[Confirmed_Qty],T_Shipments[RM_Code],$A49,T_Shipments[Effective_Week],14)</f>
        <v/>
      </c>
      <c r="P49">
        <f>SUMIFS(T_Shipments[Confirmed_Qty],T_Shipments[RM_Code],$A49,T_Shipments[Effective_Week],15)</f>
        <v/>
      </c>
      <c r="Q49">
        <f>SUMIFS(T_Shipments[Confirmed_Qty],T_Shipments[RM_Code],$A49,T_Shipments[Effective_Week],16)</f>
        <v/>
      </c>
      <c r="R49">
        <f>SUMIFS(T_Shipments[Confirmed_Qty],T_Shipments[RM_Code],$A49,T_Shipments[Effective_Week],17)</f>
        <v/>
      </c>
      <c r="S49">
        <f>SUMIFS(T_Shipments[Confirmed_Qty],T_Shipments[RM_Code],$A49,T_Shipments[Effective_Week],18)</f>
        <v/>
      </c>
      <c r="T49">
        <f>SUMIFS(T_Shipments[Confirmed_Qty],T_Shipments[RM_Code],$A49,T_Shipments[Effective_Week],19)</f>
        <v/>
      </c>
      <c r="U49">
        <f>SUMIFS(T_Shipments[Confirmed_Qty],T_Shipments[RM_Code],$A49,T_Shipments[Effective_Week],20)</f>
        <v/>
      </c>
      <c r="V49">
        <f>SUMIFS(T_Shipments[Confirmed_Qty],T_Shipments[RM_Code],$A49,T_Shipments[Effective_Week],21)</f>
        <v/>
      </c>
      <c r="W49">
        <f>SUMIFS(T_Shipments[Confirmed_Qty],T_Shipments[RM_Code],$A49,T_Shipments[Effective_Week],22)</f>
        <v/>
      </c>
      <c r="X49">
        <f>SUMIFS(T_Shipments[Confirmed_Qty],T_Shipments[RM_Code],$A49,T_Shipments[Effective_Week],23)</f>
        <v/>
      </c>
      <c r="Y49">
        <f>SUMIFS(T_Shipments[Confirmed_Qty],T_Shipments[RM_Code],$A49,T_Shipments[Effective_Week],24)</f>
        <v/>
      </c>
      <c r="Z49">
        <f>SUMIFS(T_Shipments[Confirmed_Qty],T_Shipments[RM_Code],$A49,T_Shipments[Effective_Week],25)</f>
        <v/>
      </c>
      <c r="AA49">
        <f>SUMIFS(T_Shipments[Confirmed_Qty],T_Shipments[RM_Code],$A49,T_Shipments[Effective_Week],26)</f>
        <v/>
      </c>
      <c r="AB49">
        <f>SUMIFS(T_Shipments[Confirmed_Qty],T_Shipments[RM_Code],$A49,T_Shipments[Effective_Week],27)</f>
        <v/>
      </c>
      <c r="AC49">
        <f>SUMIFS(T_Shipments[Confirmed_Qty],T_Shipments[RM_Code],$A49,T_Shipments[Effective_Week],28)</f>
        <v/>
      </c>
      <c r="AD49">
        <f>SUMIFS(T_Shipments[Confirmed_Qty],T_Shipments[RM_Code],$A49,T_Shipments[Effective_Week],29)</f>
        <v/>
      </c>
      <c r="AE49">
        <f>SUMIFS(T_Shipments[Confirmed_Qty],T_Shipments[RM_Code],$A49,T_Shipments[Effective_Week],30)</f>
        <v/>
      </c>
      <c r="AF49">
        <f>SUMIFS(T_Shipments[Confirmed_Qty],T_Shipments[RM_Code],$A49,T_Shipments[Effective_Week],31)</f>
        <v/>
      </c>
      <c r="AG49">
        <f>SUMIFS(T_Shipments[Confirmed_Qty],T_Shipments[RM_Code],$A49,T_Shipments[Effective_Week],32)</f>
        <v/>
      </c>
      <c r="AH49">
        <f>SUMIFS(T_Shipments[Confirmed_Qty],T_Shipments[RM_Code],$A49,T_Shipments[Effective_Week],33)</f>
        <v/>
      </c>
      <c r="AI49">
        <f>SUMIFS(T_Shipments[Confirmed_Qty],T_Shipments[RM_Code],$A49,T_Shipments[Effective_Week],34)</f>
        <v/>
      </c>
      <c r="AJ49">
        <f>SUMIFS(T_Shipments[Confirmed_Qty],T_Shipments[RM_Code],$A49,T_Shipments[Effective_Week],35)</f>
        <v/>
      </c>
      <c r="AK49">
        <f>SUMIFS(T_Shipments[Confirmed_Qty],T_Shipments[RM_Code],$A49,T_Shipments[Effective_Week],36)</f>
        <v/>
      </c>
      <c r="AL49">
        <f>SUMIFS(T_Shipments[Confirmed_Qty],T_Shipments[RM_Code],$A49,T_Shipments[Effective_Week],37)</f>
        <v/>
      </c>
      <c r="AM49">
        <f>SUMIFS(T_Shipments[Confirmed_Qty],T_Shipments[RM_Code],$A49,T_Shipments[Effective_Week],38)</f>
        <v/>
      </c>
      <c r="AN49">
        <f>SUMIFS(T_Shipments[Confirmed_Qty],T_Shipments[RM_Code],$A49,T_Shipments[Effective_Week],39)</f>
        <v/>
      </c>
      <c r="AO49">
        <f>SUMIFS(T_Shipments[Confirmed_Qty],T_Shipments[RM_Code],$A49,T_Shipments[Effective_Week],40)</f>
        <v/>
      </c>
      <c r="AP49">
        <f>SUMIFS(T_Shipments[Confirmed_Qty],T_Shipments[RM_Code],$A49,T_Shipments[Effective_Week],41)</f>
        <v/>
      </c>
      <c r="AQ49">
        <f>SUMIFS(T_Shipments[Confirmed_Qty],T_Shipments[RM_Code],$A49,T_Shipments[Effective_Week],42)</f>
        <v/>
      </c>
      <c r="AR49">
        <f>SUMIFS(T_Shipments[Confirmed_Qty],T_Shipments[RM_Code],$A49,T_Shipments[Effective_Week],43)</f>
        <v/>
      </c>
      <c r="AS49">
        <f>SUMIFS(T_Shipments[Confirmed_Qty],T_Shipments[RM_Code],$A49,T_Shipments[Effective_Week],44)</f>
        <v/>
      </c>
      <c r="AT49">
        <f>SUMIFS(T_Shipments[Confirmed_Qty],T_Shipments[RM_Code],$A49,T_Shipments[Effective_Week],45)</f>
        <v/>
      </c>
      <c r="AU49">
        <f>SUMIFS(T_Shipments[Confirmed_Qty],T_Shipments[RM_Code],$A49,T_Shipments[Effective_Week],46)</f>
        <v/>
      </c>
      <c r="AV49">
        <f>SUMIFS(T_Shipments[Confirmed_Qty],T_Shipments[RM_Code],$A49,T_Shipments[Effective_Week],47)</f>
        <v/>
      </c>
      <c r="AW49">
        <f>SUMIFS(T_Shipments[Confirmed_Qty],T_Shipments[RM_Code],$A49,T_Shipments[Effective_Week],48)</f>
        <v/>
      </c>
      <c r="AX49">
        <f>SUMIFS(T_Shipments[Confirmed_Qty],T_Shipments[RM_Code],$A49,T_Shipments[Effective_Week],49)</f>
        <v/>
      </c>
      <c r="AY49">
        <f>SUMIFS(T_Shipments[Confirmed_Qty],T_Shipments[RM_Code],$A49,T_Shipments[Effective_Week],50)</f>
        <v/>
      </c>
      <c r="AZ49">
        <f>SUMIFS(T_Shipments[Confirmed_Qty],T_Shipments[RM_Code],$A49,T_Shipments[Effective_Week],51)</f>
        <v/>
      </c>
      <c r="BA49">
        <f>SUMIFS(T_Shipments[Confirmed_Qty],T_Shipments[RM_Code],$A49,T_Shipments[Effective_Week],52)</f>
        <v/>
      </c>
      <c r="BB49">
        <f>SUMIFS(T_Shipments[Confirmed_Qty],T_Shipments[RM_Code],$A49,T_Shipments[Effective_Week],53)</f>
        <v/>
      </c>
      <c r="BC49">
        <f>SUMIFS(T_Shipments[Confirmed_Qty],T_Shipments[RM_Code],$A49,T_Shipments[Effective_Week],54)</f>
        <v/>
      </c>
      <c r="BD49">
        <f>SUMIFS(T_Shipments[Confirmed_Qty],T_Shipments[RM_Code],$A49,T_Shipments[Effective_Week],55)</f>
        <v/>
      </c>
      <c r="BE49">
        <f>SUMIFS(T_Shipments[Confirmed_Qty],T_Shipments[RM_Code],$A49,T_Shipments[Effective_Week],56)</f>
        <v/>
      </c>
      <c r="BF49">
        <f>SUMIFS(T_Shipments[Confirmed_Qty],T_Shipments[RM_Code],$A49,T_Shipments[Effective_Week],57)</f>
        <v/>
      </c>
      <c r="BG49">
        <f>SUMIFS(T_Shipments[Confirmed_Qty],T_Shipments[RM_Code],$A49,T_Shipments[Effective_Week],58)</f>
        <v/>
      </c>
      <c r="BH49">
        <f>SUMIFS(T_Shipments[Confirmed_Qty],T_Shipments[RM_Code],$A49,T_Shipments[Effective_Week],59)</f>
        <v/>
      </c>
      <c r="BI49">
        <f>SUMIFS(T_Shipments[Confirmed_Qty],T_Shipments[RM_Code],$A49,T_Shipments[Effective_Week],60)</f>
        <v/>
      </c>
      <c r="BJ49">
        <f>SUMIFS(T_Shipments[Confirmed_Qty],T_Shipments[RM_Code],$A49,T_Shipments[Effective_Week],61)</f>
        <v/>
      </c>
      <c r="BK49">
        <f>SUMIFS(T_Shipments[Confirmed_Qty],T_Shipments[RM_Code],$A49,T_Shipments[Effective_Week],62)</f>
        <v/>
      </c>
      <c r="BL49">
        <f>SUMIFS(T_Shipments[Confirmed_Qty],T_Shipments[RM_Code],$A49,T_Shipments[Effective_Week],63)</f>
        <v/>
      </c>
      <c r="BM49">
        <f>SUMIFS(T_Shipments[Confirmed_Qty],T_Shipments[RM_Code],$A49,T_Shipments[Effective_Week],64)</f>
        <v/>
      </c>
      <c r="BN49">
        <f>SUMIFS(T_Shipments[Confirmed_Qty],T_Shipments[RM_Code],$A49,T_Shipments[Effective_Week],65)</f>
        <v/>
      </c>
      <c r="BO49">
        <f>SUMIFS(T_Shipments[Confirmed_Qty],T_Shipments[RM_Code],$A49,T_Shipments[Effective_Week],66)</f>
        <v/>
      </c>
      <c r="BP49">
        <f>SUMIFS(T_Shipments[Confirmed_Qty],T_Shipments[RM_Code],$A49,T_Shipments[Effective_Week],67)</f>
        <v/>
      </c>
      <c r="BQ49">
        <f>SUMIFS(T_Shipments[Confirmed_Qty],T_Shipments[RM_Code],$A49,T_Shipments[Effective_Week],68)</f>
        <v/>
      </c>
      <c r="BR49">
        <f>SUMIFS(T_Shipments[Confirmed_Qty],T_Shipments[RM_Code],$A49,T_Shipments[Effective_Week],69)</f>
        <v/>
      </c>
      <c r="BS49">
        <f>SUMIFS(T_Shipments[Confirmed_Qty],T_Shipments[RM_Code],$A49,T_Shipments[Effective_Week],70)</f>
        <v/>
      </c>
      <c r="BT49">
        <f>SUMIFS(T_Shipments[Confirmed_Qty],T_Shipments[RM_Code],$A49,T_Shipments[Effective_Week],71)</f>
        <v/>
      </c>
      <c r="BU49">
        <f>SUMIFS(T_Shipments[Confirmed_Qty],T_Shipments[RM_Code],$A49,T_Shipments[Effective_Week],72)</f>
        <v/>
      </c>
      <c r="BV49">
        <f>SUMIFS(T_Shipments[Confirmed_Qty],T_Shipments[RM_Code],$A49,T_Shipments[Effective_Week],73)</f>
        <v/>
      </c>
      <c r="BW49">
        <f>SUMIFS(T_Shipments[Confirmed_Qty],T_Shipments[RM_Code],$A49,T_Shipments[Effective_Week],74)</f>
        <v/>
      </c>
      <c r="BX49">
        <f>SUMIFS(T_Shipments[Confirmed_Qty],T_Shipments[RM_Code],$A49,T_Shipments[Effective_Week],75)</f>
        <v/>
      </c>
      <c r="BY49">
        <f>SUMIFS(T_Shipments[Confirmed_Qty],T_Shipments[RM_Code],$A49,T_Shipments[Effective_Week],76)</f>
        <v/>
      </c>
      <c r="BZ49">
        <f>SUMIFS(T_Shipments[Confirmed_Qty],T_Shipments[RM_Code],$A49,T_Shipments[Effective_Week],77)</f>
        <v/>
      </c>
      <c r="CA49">
        <f>SUMIFS(T_Shipments[Confirmed_Qty],T_Shipments[RM_Code],$A49,T_Shipments[Effective_Week],78)</f>
        <v/>
      </c>
      <c r="CB49">
        <f>SUMIFS(T_Shipments[Confirmed_Qty],T_Shipments[RM_Code],$A49,T_Shipments[Effective_Week],79)</f>
        <v/>
      </c>
      <c r="CC49">
        <f>SUMIFS(T_Shipments[Confirmed_Qty],T_Shipments[RM_Code],$A49,T_Shipments[Effective_Week],80)</f>
        <v/>
      </c>
      <c r="CD49">
        <f>SUMIFS(T_Shipments[Confirmed_Qty],T_Shipments[RM_Code],$A49,T_Shipments[Effective_Week],81)</f>
        <v/>
      </c>
      <c r="CE49">
        <f>SUMIFS(T_Shipments[Confirmed_Qty],T_Shipments[RM_Code],$A49,T_Shipments[Effective_Week],82)</f>
        <v/>
      </c>
      <c r="CF49">
        <f>SUMIFS(T_Shipments[Confirmed_Qty],T_Shipments[RM_Code],$A49,T_Shipments[Effective_Week],83)</f>
        <v/>
      </c>
      <c r="CG49">
        <f>SUMIFS(T_Shipments[Confirmed_Qty],T_Shipments[RM_Code],$A49,T_Shipments[Effective_Week],84)</f>
        <v/>
      </c>
      <c r="CH49">
        <f>SUMIFS(T_Shipments[Confirmed_Qty],T_Shipments[RM_Code],$A49,T_Shipments[Effective_Week],85)</f>
        <v/>
      </c>
      <c r="CI49">
        <f>SUMIFS(T_Shipments[Confirmed_Qty],T_Shipments[RM_Code],$A49,T_Shipments[Effective_Week],86)</f>
        <v/>
      </c>
      <c r="CJ49">
        <f>SUMIFS(T_Shipments[Confirmed_Qty],T_Shipments[RM_Code],$A49,T_Shipments[Effective_Week],87)</f>
        <v/>
      </c>
      <c r="CK49">
        <f>SUMIFS(T_Shipments[Confirmed_Qty],T_Shipments[RM_Code],$A49,T_Shipments[Effective_Week],88)</f>
        <v/>
      </c>
      <c r="CL49">
        <f>SUMIFS(T_Shipments[Confirmed_Qty],T_Shipments[RM_Code],$A49,T_Shipments[Effective_Week],89)</f>
        <v/>
      </c>
      <c r="CM49">
        <f>SUMIFS(T_Shipments[Confirmed_Qty],T_Shipments[RM_Code],$A49,T_Shipments[Effective_Week],90)</f>
        <v/>
      </c>
      <c r="CN49">
        <f>SUMIFS(T_Shipments[Confirmed_Qty],T_Shipments[RM_Code],$A49,T_Shipments[Effective_Week],91)</f>
        <v/>
      </c>
      <c r="CO49">
        <f>SUMIFS(T_Shipments[Confirmed_Qty],T_Shipments[RM_Code],$A49,T_Shipments[Effective_Week],92)</f>
        <v/>
      </c>
      <c r="CP49">
        <f>SUMIFS(T_Shipments[Confirmed_Qty],T_Shipments[RM_Code],$A49,T_Shipments[Effective_Week],93)</f>
        <v/>
      </c>
      <c r="CQ49">
        <f>SUMIFS(T_Shipments[Confirmed_Qty],T_Shipments[RM_Code],$A49,T_Shipments[Effective_Week],94)</f>
        <v/>
      </c>
      <c r="CR49">
        <f>SUMIFS(T_Shipments[Confirmed_Qty],T_Shipments[RM_Code],$A49,T_Shipments[Effective_Week],95)</f>
        <v/>
      </c>
      <c r="CS49">
        <f>SUMIFS(T_Shipments[Confirmed_Qty],T_Shipments[RM_Code],$A49,T_Shipments[Effective_Week],96)</f>
        <v/>
      </c>
      <c r="CT49">
        <f>SUMIFS(T_Shipments[Confirmed_Qty],T_Shipments[RM_Code],$A49,T_Shipments[Effective_Week],97)</f>
        <v/>
      </c>
      <c r="CU49">
        <f>SUMIFS(T_Shipments[Confirmed_Qty],T_Shipments[RM_Code],$A49,T_Shipments[Effective_Week],98)</f>
        <v/>
      </c>
      <c r="CV49">
        <f>SUMIFS(T_Shipments[Confirmed_Qty],T_Shipments[RM_Code],$A49,T_Shipments[Effective_Week],99)</f>
        <v/>
      </c>
      <c r="CW49">
        <f>SUMIFS(T_Shipments[Confirmed_Qty],T_Shipments[RM_Code],$A49,T_Shipments[Effective_Week],100)</f>
        <v/>
      </c>
      <c r="CX49">
        <f>SUMIFS(T_Shipments[Confirmed_Qty],T_Shipments[RM_Code],$A49,T_Shipments[Effective_Week],101)</f>
        <v/>
      </c>
      <c r="CY49">
        <f>SUMIFS(T_Shipments[Confirmed_Qty],T_Shipments[RM_Code],$A49,T_Shipments[Effective_Week],102)</f>
        <v/>
      </c>
      <c r="CZ49">
        <f>SUMIFS(T_Shipments[Confirmed_Qty],T_Shipments[RM_Code],$A49,T_Shipments[Effective_Week],103)</f>
        <v/>
      </c>
      <c r="DA49">
        <f>SUMIFS(T_Shipments[Confirmed_Qty],T_Shipments[RM_Code],$A49,T_Shipments[Effective_Week],104)</f>
        <v/>
      </c>
    </row>
    <row r="50">
      <c r="A50" t="inlineStr">
        <is>
          <t>CHEM-1480</t>
        </is>
      </c>
      <c r="B50">
        <f>SUMIFS(T_Shipments[Confirmed_Qty],T_Shipments[RM_Code],$A50,T_Shipments[Effective_Week],1)</f>
        <v/>
      </c>
      <c r="C50">
        <f>SUMIFS(T_Shipments[Confirmed_Qty],T_Shipments[RM_Code],$A50,T_Shipments[Effective_Week],2)</f>
        <v/>
      </c>
      <c r="D50">
        <f>SUMIFS(T_Shipments[Confirmed_Qty],T_Shipments[RM_Code],$A50,T_Shipments[Effective_Week],3)</f>
        <v/>
      </c>
      <c r="E50">
        <f>SUMIFS(T_Shipments[Confirmed_Qty],T_Shipments[RM_Code],$A50,T_Shipments[Effective_Week],4)</f>
        <v/>
      </c>
      <c r="F50">
        <f>SUMIFS(T_Shipments[Confirmed_Qty],T_Shipments[RM_Code],$A50,T_Shipments[Effective_Week],5)</f>
        <v/>
      </c>
      <c r="G50">
        <f>SUMIFS(T_Shipments[Confirmed_Qty],T_Shipments[RM_Code],$A50,T_Shipments[Effective_Week],6)</f>
        <v/>
      </c>
      <c r="H50">
        <f>SUMIFS(T_Shipments[Confirmed_Qty],T_Shipments[RM_Code],$A50,T_Shipments[Effective_Week],7)</f>
        <v/>
      </c>
      <c r="I50">
        <f>SUMIFS(T_Shipments[Confirmed_Qty],T_Shipments[RM_Code],$A50,T_Shipments[Effective_Week],8)</f>
        <v/>
      </c>
      <c r="J50">
        <f>SUMIFS(T_Shipments[Confirmed_Qty],T_Shipments[RM_Code],$A50,T_Shipments[Effective_Week],9)</f>
        <v/>
      </c>
      <c r="K50">
        <f>SUMIFS(T_Shipments[Confirmed_Qty],T_Shipments[RM_Code],$A50,T_Shipments[Effective_Week],10)</f>
        <v/>
      </c>
      <c r="L50">
        <f>SUMIFS(T_Shipments[Confirmed_Qty],T_Shipments[RM_Code],$A50,T_Shipments[Effective_Week],11)</f>
        <v/>
      </c>
      <c r="M50">
        <f>SUMIFS(T_Shipments[Confirmed_Qty],T_Shipments[RM_Code],$A50,T_Shipments[Effective_Week],12)</f>
        <v/>
      </c>
      <c r="N50">
        <f>SUMIFS(T_Shipments[Confirmed_Qty],T_Shipments[RM_Code],$A50,T_Shipments[Effective_Week],13)</f>
        <v/>
      </c>
      <c r="O50">
        <f>SUMIFS(T_Shipments[Confirmed_Qty],T_Shipments[RM_Code],$A50,T_Shipments[Effective_Week],14)</f>
        <v/>
      </c>
      <c r="P50">
        <f>SUMIFS(T_Shipments[Confirmed_Qty],T_Shipments[RM_Code],$A50,T_Shipments[Effective_Week],15)</f>
        <v/>
      </c>
      <c r="Q50">
        <f>SUMIFS(T_Shipments[Confirmed_Qty],T_Shipments[RM_Code],$A50,T_Shipments[Effective_Week],16)</f>
        <v/>
      </c>
      <c r="R50">
        <f>SUMIFS(T_Shipments[Confirmed_Qty],T_Shipments[RM_Code],$A50,T_Shipments[Effective_Week],17)</f>
        <v/>
      </c>
      <c r="S50">
        <f>SUMIFS(T_Shipments[Confirmed_Qty],T_Shipments[RM_Code],$A50,T_Shipments[Effective_Week],18)</f>
        <v/>
      </c>
      <c r="T50">
        <f>SUMIFS(T_Shipments[Confirmed_Qty],T_Shipments[RM_Code],$A50,T_Shipments[Effective_Week],19)</f>
        <v/>
      </c>
      <c r="U50">
        <f>SUMIFS(T_Shipments[Confirmed_Qty],T_Shipments[RM_Code],$A50,T_Shipments[Effective_Week],20)</f>
        <v/>
      </c>
      <c r="V50">
        <f>SUMIFS(T_Shipments[Confirmed_Qty],T_Shipments[RM_Code],$A50,T_Shipments[Effective_Week],21)</f>
        <v/>
      </c>
      <c r="W50">
        <f>SUMIFS(T_Shipments[Confirmed_Qty],T_Shipments[RM_Code],$A50,T_Shipments[Effective_Week],22)</f>
        <v/>
      </c>
      <c r="X50">
        <f>SUMIFS(T_Shipments[Confirmed_Qty],T_Shipments[RM_Code],$A50,T_Shipments[Effective_Week],23)</f>
        <v/>
      </c>
      <c r="Y50">
        <f>SUMIFS(T_Shipments[Confirmed_Qty],T_Shipments[RM_Code],$A50,T_Shipments[Effective_Week],24)</f>
        <v/>
      </c>
      <c r="Z50">
        <f>SUMIFS(T_Shipments[Confirmed_Qty],T_Shipments[RM_Code],$A50,T_Shipments[Effective_Week],25)</f>
        <v/>
      </c>
      <c r="AA50">
        <f>SUMIFS(T_Shipments[Confirmed_Qty],T_Shipments[RM_Code],$A50,T_Shipments[Effective_Week],26)</f>
        <v/>
      </c>
      <c r="AB50">
        <f>SUMIFS(T_Shipments[Confirmed_Qty],T_Shipments[RM_Code],$A50,T_Shipments[Effective_Week],27)</f>
        <v/>
      </c>
      <c r="AC50">
        <f>SUMIFS(T_Shipments[Confirmed_Qty],T_Shipments[RM_Code],$A50,T_Shipments[Effective_Week],28)</f>
        <v/>
      </c>
      <c r="AD50">
        <f>SUMIFS(T_Shipments[Confirmed_Qty],T_Shipments[RM_Code],$A50,T_Shipments[Effective_Week],29)</f>
        <v/>
      </c>
      <c r="AE50">
        <f>SUMIFS(T_Shipments[Confirmed_Qty],T_Shipments[RM_Code],$A50,T_Shipments[Effective_Week],30)</f>
        <v/>
      </c>
      <c r="AF50">
        <f>SUMIFS(T_Shipments[Confirmed_Qty],T_Shipments[RM_Code],$A50,T_Shipments[Effective_Week],31)</f>
        <v/>
      </c>
      <c r="AG50">
        <f>SUMIFS(T_Shipments[Confirmed_Qty],T_Shipments[RM_Code],$A50,T_Shipments[Effective_Week],32)</f>
        <v/>
      </c>
      <c r="AH50">
        <f>SUMIFS(T_Shipments[Confirmed_Qty],T_Shipments[RM_Code],$A50,T_Shipments[Effective_Week],33)</f>
        <v/>
      </c>
      <c r="AI50">
        <f>SUMIFS(T_Shipments[Confirmed_Qty],T_Shipments[RM_Code],$A50,T_Shipments[Effective_Week],34)</f>
        <v/>
      </c>
      <c r="AJ50">
        <f>SUMIFS(T_Shipments[Confirmed_Qty],T_Shipments[RM_Code],$A50,T_Shipments[Effective_Week],35)</f>
        <v/>
      </c>
      <c r="AK50">
        <f>SUMIFS(T_Shipments[Confirmed_Qty],T_Shipments[RM_Code],$A50,T_Shipments[Effective_Week],36)</f>
        <v/>
      </c>
      <c r="AL50">
        <f>SUMIFS(T_Shipments[Confirmed_Qty],T_Shipments[RM_Code],$A50,T_Shipments[Effective_Week],37)</f>
        <v/>
      </c>
      <c r="AM50">
        <f>SUMIFS(T_Shipments[Confirmed_Qty],T_Shipments[RM_Code],$A50,T_Shipments[Effective_Week],38)</f>
        <v/>
      </c>
      <c r="AN50">
        <f>SUMIFS(T_Shipments[Confirmed_Qty],T_Shipments[RM_Code],$A50,T_Shipments[Effective_Week],39)</f>
        <v/>
      </c>
      <c r="AO50">
        <f>SUMIFS(T_Shipments[Confirmed_Qty],T_Shipments[RM_Code],$A50,T_Shipments[Effective_Week],40)</f>
        <v/>
      </c>
      <c r="AP50">
        <f>SUMIFS(T_Shipments[Confirmed_Qty],T_Shipments[RM_Code],$A50,T_Shipments[Effective_Week],41)</f>
        <v/>
      </c>
      <c r="AQ50">
        <f>SUMIFS(T_Shipments[Confirmed_Qty],T_Shipments[RM_Code],$A50,T_Shipments[Effective_Week],42)</f>
        <v/>
      </c>
      <c r="AR50">
        <f>SUMIFS(T_Shipments[Confirmed_Qty],T_Shipments[RM_Code],$A50,T_Shipments[Effective_Week],43)</f>
        <v/>
      </c>
      <c r="AS50">
        <f>SUMIFS(T_Shipments[Confirmed_Qty],T_Shipments[RM_Code],$A50,T_Shipments[Effective_Week],44)</f>
        <v/>
      </c>
      <c r="AT50">
        <f>SUMIFS(T_Shipments[Confirmed_Qty],T_Shipments[RM_Code],$A50,T_Shipments[Effective_Week],45)</f>
        <v/>
      </c>
      <c r="AU50">
        <f>SUMIFS(T_Shipments[Confirmed_Qty],T_Shipments[RM_Code],$A50,T_Shipments[Effective_Week],46)</f>
        <v/>
      </c>
      <c r="AV50">
        <f>SUMIFS(T_Shipments[Confirmed_Qty],T_Shipments[RM_Code],$A50,T_Shipments[Effective_Week],47)</f>
        <v/>
      </c>
      <c r="AW50">
        <f>SUMIFS(T_Shipments[Confirmed_Qty],T_Shipments[RM_Code],$A50,T_Shipments[Effective_Week],48)</f>
        <v/>
      </c>
      <c r="AX50">
        <f>SUMIFS(T_Shipments[Confirmed_Qty],T_Shipments[RM_Code],$A50,T_Shipments[Effective_Week],49)</f>
        <v/>
      </c>
      <c r="AY50">
        <f>SUMIFS(T_Shipments[Confirmed_Qty],T_Shipments[RM_Code],$A50,T_Shipments[Effective_Week],50)</f>
        <v/>
      </c>
      <c r="AZ50">
        <f>SUMIFS(T_Shipments[Confirmed_Qty],T_Shipments[RM_Code],$A50,T_Shipments[Effective_Week],51)</f>
        <v/>
      </c>
      <c r="BA50">
        <f>SUMIFS(T_Shipments[Confirmed_Qty],T_Shipments[RM_Code],$A50,T_Shipments[Effective_Week],52)</f>
        <v/>
      </c>
      <c r="BB50">
        <f>SUMIFS(T_Shipments[Confirmed_Qty],T_Shipments[RM_Code],$A50,T_Shipments[Effective_Week],53)</f>
        <v/>
      </c>
      <c r="BC50">
        <f>SUMIFS(T_Shipments[Confirmed_Qty],T_Shipments[RM_Code],$A50,T_Shipments[Effective_Week],54)</f>
        <v/>
      </c>
      <c r="BD50">
        <f>SUMIFS(T_Shipments[Confirmed_Qty],T_Shipments[RM_Code],$A50,T_Shipments[Effective_Week],55)</f>
        <v/>
      </c>
      <c r="BE50">
        <f>SUMIFS(T_Shipments[Confirmed_Qty],T_Shipments[RM_Code],$A50,T_Shipments[Effective_Week],56)</f>
        <v/>
      </c>
      <c r="BF50">
        <f>SUMIFS(T_Shipments[Confirmed_Qty],T_Shipments[RM_Code],$A50,T_Shipments[Effective_Week],57)</f>
        <v/>
      </c>
      <c r="BG50">
        <f>SUMIFS(T_Shipments[Confirmed_Qty],T_Shipments[RM_Code],$A50,T_Shipments[Effective_Week],58)</f>
        <v/>
      </c>
      <c r="BH50">
        <f>SUMIFS(T_Shipments[Confirmed_Qty],T_Shipments[RM_Code],$A50,T_Shipments[Effective_Week],59)</f>
        <v/>
      </c>
      <c r="BI50">
        <f>SUMIFS(T_Shipments[Confirmed_Qty],T_Shipments[RM_Code],$A50,T_Shipments[Effective_Week],60)</f>
        <v/>
      </c>
      <c r="BJ50">
        <f>SUMIFS(T_Shipments[Confirmed_Qty],T_Shipments[RM_Code],$A50,T_Shipments[Effective_Week],61)</f>
        <v/>
      </c>
      <c r="BK50">
        <f>SUMIFS(T_Shipments[Confirmed_Qty],T_Shipments[RM_Code],$A50,T_Shipments[Effective_Week],62)</f>
        <v/>
      </c>
      <c r="BL50">
        <f>SUMIFS(T_Shipments[Confirmed_Qty],T_Shipments[RM_Code],$A50,T_Shipments[Effective_Week],63)</f>
        <v/>
      </c>
      <c r="BM50">
        <f>SUMIFS(T_Shipments[Confirmed_Qty],T_Shipments[RM_Code],$A50,T_Shipments[Effective_Week],64)</f>
        <v/>
      </c>
      <c r="BN50">
        <f>SUMIFS(T_Shipments[Confirmed_Qty],T_Shipments[RM_Code],$A50,T_Shipments[Effective_Week],65)</f>
        <v/>
      </c>
      <c r="BO50">
        <f>SUMIFS(T_Shipments[Confirmed_Qty],T_Shipments[RM_Code],$A50,T_Shipments[Effective_Week],66)</f>
        <v/>
      </c>
      <c r="BP50">
        <f>SUMIFS(T_Shipments[Confirmed_Qty],T_Shipments[RM_Code],$A50,T_Shipments[Effective_Week],67)</f>
        <v/>
      </c>
      <c r="BQ50">
        <f>SUMIFS(T_Shipments[Confirmed_Qty],T_Shipments[RM_Code],$A50,T_Shipments[Effective_Week],68)</f>
        <v/>
      </c>
      <c r="BR50">
        <f>SUMIFS(T_Shipments[Confirmed_Qty],T_Shipments[RM_Code],$A50,T_Shipments[Effective_Week],69)</f>
        <v/>
      </c>
      <c r="BS50">
        <f>SUMIFS(T_Shipments[Confirmed_Qty],T_Shipments[RM_Code],$A50,T_Shipments[Effective_Week],70)</f>
        <v/>
      </c>
      <c r="BT50">
        <f>SUMIFS(T_Shipments[Confirmed_Qty],T_Shipments[RM_Code],$A50,T_Shipments[Effective_Week],71)</f>
        <v/>
      </c>
      <c r="BU50">
        <f>SUMIFS(T_Shipments[Confirmed_Qty],T_Shipments[RM_Code],$A50,T_Shipments[Effective_Week],72)</f>
        <v/>
      </c>
      <c r="BV50">
        <f>SUMIFS(T_Shipments[Confirmed_Qty],T_Shipments[RM_Code],$A50,T_Shipments[Effective_Week],73)</f>
        <v/>
      </c>
      <c r="BW50">
        <f>SUMIFS(T_Shipments[Confirmed_Qty],T_Shipments[RM_Code],$A50,T_Shipments[Effective_Week],74)</f>
        <v/>
      </c>
      <c r="BX50">
        <f>SUMIFS(T_Shipments[Confirmed_Qty],T_Shipments[RM_Code],$A50,T_Shipments[Effective_Week],75)</f>
        <v/>
      </c>
      <c r="BY50">
        <f>SUMIFS(T_Shipments[Confirmed_Qty],T_Shipments[RM_Code],$A50,T_Shipments[Effective_Week],76)</f>
        <v/>
      </c>
      <c r="BZ50">
        <f>SUMIFS(T_Shipments[Confirmed_Qty],T_Shipments[RM_Code],$A50,T_Shipments[Effective_Week],77)</f>
        <v/>
      </c>
      <c r="CA50">
        <f>SUMIFS(T_Shipments[Confirmed_Qty],T_Shipments[RM_Code],$A50,T_Shipments[Effective_Week],78)</f>
        <v/>
      </c>
      <c r="CB50">
        <f>SUMIFS(T_Shipments[Confirmed_Qty],T_Shipments[RM_Code],$A50,T_Shipments[Effective_Week],79)</f>
        <v/>
      </c>
      <c r="CC50">
        <f>SUMIFS(T_Shipments[Confirmed_Qty],T_Shipments[RM_Code],$A50,T_Shipments[Effective_Week],80)</f>
        <v/>
      </c>
      <c r="CD50">
        <f>SUMIFS(T_Shipments[Confirmed_Qty],T_Shipments[RM_Code],$A50,T_Shipments[Effective_Week],81)</f>
        <v/>
      </c>
      <c r="CE50">
        <f>SUMIFS(T_Shipments[Confirmed_Qty],T_Shipments[RM_Code],$A50,T_Shipments[Effective_Week],82)</f>
        <v/>
      </c>
      <c r="CF50">
        <f>SUMIFS(T_Shipments[Confirmed_Qty],T_Shipments[RM_Code],$A50,T_Shipments[Effective_Week],83)</f>
        <v/>
      </c>
      <c r="CG50">
        <f>SUMIFS(T_Shipments[Confirmed_Qty],T_Shipments[RM_Code],$A50,T_Shipments[Effective_Week],84)</f>
        <v/>
      </c>
      <c r="CH50">
        <f>SUMIFS(T_Shipments[Confirmed_Qty],T_Shipments[RM_Code],$A50,T_Shipments[Effective_Week],85)</f>
        <v/>
      </c>
      <c r="CI50">
        <f>SUMIFS(T_Shipments[Confirmed_Qty],T_Shipments[RM_Code],$A50,T_Shipments[Effective_Week],86)</f>
        <v/>
      </c>
      <c r="CJ50">
        <f>SUMIFS(T_Shipments[Confirmed_Qty],T_Shipments[RM_Code],$A50,T_Shipments[Effective_Week],87)</f>
        <v/>
      </c>
      <c r="CK50">
        <f>SUMIFS(T_Shipments[Confirmed_Qty],T_Shipments[RM_Code],$A50,T_Shipments[Effective_Week],88)</f>
        <v/>
      </c>
      <c r="CL50">
        <f>SUMIFS(T_Shipments[Confirmed_Qty],T_Shipments[RM_Code],$A50,T_Shipments[Effective_Week],89)</f>
        <v/>
      </c>
      <c r="CM50">
        <f>SUMIFS(T_Shipments[Confirmed_Qty],T_Shipments[RM_Code],$A50,T_Shipments[Effective_Week],90)</f>
        <v/>
      </c>
      <c r="CN50">
        <f>SUMIFS(T_Shipments[Confirmed_Qty],T_Shipments[RM_Code],$A50,T_Shipments[Effective_Week],91)</f>
        <v/>
      </c>
      <c r="CO50">
        <f>SUMIFS(T_Shipments[Confirmed_Qty],T_Shipments[RM_Code],$A50,T_Shipments[Effective_Week],92)</f>
        <v/>
      </c>
      <c r="CP50">
        <f>SUMIFS(T_Shipments[Confirmed_Qty],T_Shipments[RM_Code],$A50,T_Shipments[Effective_Week],93)</f>
        <v/>
      </c>
      <c r="CQ50">
        <f>SUMIFS(T_Shipments[Confirmed_Qty],T_Shipments[RM_Code],$A50,T_Shipments[Effective_Week],94)</f>
        <v/>
      </c>
      <c r="CR50">
        <f>SUMIFS(T_Shipments[Confirmed_Qty],T_Shipments[RM_Code],$A50,T_Shipments[Effective_Week],95)</f>
        <v/>
      </c>
      <c r="CS50">
        <f>SUMIFS(T_Shipments[Confirmed_Qty],T_Shipments[RM_Code],$A50,T_Shipments[Effective_Week],96)</f>
        <v/>
      </c>
      <c r="CT50">
        <f>SUMIFS(T_Shipments[Confirmed_Qty],T_Shipments[RM_Code],$A50,T_Shipments[Effective_Week],97)</f>
        <v/>
      </c>
      <c r="CU50">
        <f>SUMIFS(T_Shipments[Confirmed_Qty],T_Shipments[RM_Code],$A50,T_Shipments[Effective_Week],98)</f>
        <v/>
      </c>
      <c r="CV50">
        <f>SUMIFS(T_Shipments[Confirmed_Qty],T_Shipments[RM_Code],$A50,T_Shipments[Effective_Week],99)</f>
        <v/>
      </c>
      <c r="CW50">
        <f>SUMIFS(T_Shipments[Confirmed_Qty],T_Shipments[RM_Code],$A50,T_Shipments[Effective_Week],100)</f>
        <v/>
      </c>
      <c r="CX50">
        <f>SUMIFS(T_Shipments[Confirmed_Qty],T_Shipments[RM_Code],$A50,T_Shipments[Effective_Week],101)</f>
        <v/>
      </c>
      <c r="CY50">
        <f>SUMIFS(T_Shipments[Confirmed_Qty],T_Shipments[RM_Code],$A50,T_Shipments[Effective_Week],102)</f>
        <v/>
      </c>
      <c r="CZ50">
        <f>SUMIFS(T_Shipments[Confirmed_Qty],T_Shipments[RM_Code],$A50,T_Shipments[Effective_Week],103)</f>
        <v/>
      </c>
      <c r="DA50">
        <f>SUMIFS(T_Shipments[Confirmed_Qty],T_Shipments[RM_Code],$A50,T_Shipments[Effective_Week],104)</f>
        <v/>
      </c>
    </row>
    <row r="51">
      <c r="A51" t="inlineStr">
        <is>
          <t>CHEM-1560</t>
        </is>
      </c>
      <c r="B51">
        <f>SUMIFS(T_Shipments[Confirmed_Qty],T_Shipments[RM_Code],$A51,T_Shipments[Effective_Week],1)</f>
        <v/>
      </c>
      <c r="C51">
        <f>SUMIFS(T_Shipments[Confirmed_Qty],T_Shipments[RM_Code],$A51,T_Shipments[Effective_Week],2)</f>
        <v/>
      </c>
      <c r="D51">
        <f>SUMIFS(T_Shipments[Confirmed_Qty],T_Shipments[RM_Code],$A51,T_Shipments[Effective_Week],3)</f>
        <v/>
      </c>
      <c r="E51">
        <f>SUMIFS(T_Shipments[Confirmed_Qty],T_Shipments[RM_Code],$A51,T_Shipments[Effective_Week],4)</f>
        <v/>
      </c>
      <c r="F51">
        <f>SUMIFS(T_Shipments[Confirmed_Qty],T_Shipments[RM_Code],$A51,T_Shipments[Effective_Week],5)</f>
        <v/>
      </c>
      <c r="G51">
        <f>SUMIFS(T_Shipments[Confirmed_Qty],T_Shipments[RM_Code],$A51,T_Shipments[Effective_Week],6)</f>
        <v/>
      </c>
      <c r="H51">
        <f>SUMIFS(T_Shipments[Confirmed_Qty],T_Shipments[RM_Code],$A51,T_Shipments[Effective_Week],7)</f>
        <v/>
      </c>
      <c r="I51">
        <f>SUMIFS(T_Shipments[Confirmed_Qty],T_Shipments[RM_Code],$A51,T_Shipments[Effective_Week],8)</f>
        <v/>
      </c>
      <c r="J51">
        <f>SUMIFS(T_Shipments[Confirmed_Qty],T_Shipments[RM_Code],$A51,T_Shipments[Effective_Week],9)</f>
        <v/>
      </c>
      <c r="K51">
        <f>SUMIFS(T_Shipments[Confirmed_Qty],T_Shipments[RM_Code],$A51,T_Shipments[Effective_Week],10)</f>
        <v/>
      </c>
      <c r="L51">
        <f>SUMIFS(T_Shipments[Confirmed_Qty],T_Shipments[RM_Code],$A51,T_Shipments[Effective_Week],11)</f>
        <v/>
      </c>
      <c r="M51">
        <f>SUMIFS(T_Shipments[Confirmed_Qty],T_Shipments[RM_Code],$A51,T_Shipments[Effective_Week],12)</f>
        <v/>
      </c>
      <c r="N51">
        <f>SUMIFS(T_Shipments[Confirmed_Qty],T_Shipments[RM_Code],$A51,T_Shipments[Effective_Week],13)</f>
        <v/>
      </c>
      <c r="O51">
        <f>SUMIFS(T_Shipments[Confirmed_Qty],T_Shipments[RM_Code],$A51,T_Shipments[Effective_Week],14)</f>
        <v/>
      </c>
      <c r="P51">
        <f>SUMIFS(T_Shipments[Confirmed_Qty],T_Shipments[RM_Code],$A51,T_Shipments[Effective_Week],15)</f>
        <v/>
      </c>
      <c r="Q51">
        <f>SUMIFS(T_Shipments[Confirmed_Qty],T_Shipments[RM_Code],$A51,T_Shipments[Effective_Week],16)</f>
        <v/>
      </c>
      <c r="R51">
        <f>SUMIFS(T_Shipments[Confirmed_Qty],T_Shipments[RM_Code],$A51,T_Shipments[Effective_Week],17)</f>
        <v/>
      </c>
      <c r="S51">
        <f>SUMIFS(T_Shipments[Confirmed_Qty],T_Shipments[RM_Code],$A51,T_Shipments[Effective_Week],18)</f>
        <v/>
      </c>
      <c r="T51">
        <f>SUMIFS(T_Shipments[Confirmed_Qty],T_Shipments[RM_Code],$A51,T_Shipments[Effective_Week],19)</f>
        <v/>
      </c>
      <c r="U51">
        <f>SUMIFS(T_Shipments[Confirmed_Qty],T_Shipments[RM_Code],$A51,T_Shipments[Effective_Week],20)</f>
        <v/>
      </c>
      <c r="V51">
        <f>SUMIFS(T_Shipments[Confirmed_Qty],T_Shipments[RM_Code],$A51,T_Shipments[Effective_Week],21)</f>
        <v/>
      </c>
      <c r="W51">
        <f>SUMIFS(T_Shipments[Confirmed_Qty],T_Shipments[RM_Code],$A51,T_Shipments[Effective_Week],22)</f>
        <v/>
      </c>
      <c r="X51">
        <f>SUMIFS(T_Shipments[Confirmed_Qty],T_Shipments[RM_Code],$A51,T_Shipments[Effective_Week],23)</f>
        <v/>
      </c>
      <c r="Y51">
        <f>SUMIFS(T_Shipments[Confirmed_Qty],T_Shipments[RM_Code],$A51,T_Shipments[Effective_Week],24)</f>
        <v/>
      </c>
      <c r="Z51">
        <f>SUMIFS(T_Shipments[Confirmed_Qty],T_Shipments[RM_Code],$A51,T_Shipments[Effective_Week],25)</f>
        <v/>
      </c>
      <c r="AA51">
        <f>SUMIFS(T_Shipments[Confirmed_Qty],T_Shipments[RM_Code],$A51,T_Shipments[Effective_Week],26)</f>
        <v/>
      </c>
      <c r="AB51">
        <f>SUMIFS(T_Shipments[Confirmed_Qty],T_Shipments[RM_Code],$A51,T_Shipments[Effective_Week],27)</f>
        <v/>
      </c>
      <c r="AC51">
        <f>SUMIFS(T_Shipments[Confirmed_Qty],T_Shipments[RM_Code],$A51,T_Shipments[Effective_Week],28)</f>
        <v/>
      </c>
      <c r="AD51">
        <f>SUMIFS(T_Shipments[Confirmed_Qty],T_Shipments[RM_Code],$A51,T_Shipments[Effective_Week],29)</f>
        <v/>
      </c>
      <c r="AE51">
        <f>SUMIFS(T_Shipments[Confirmed_Qty],T_Shipments[RM_Code],$A51,T_Shipments[Effective_Week],30)</f>
        <v/>
      </c>
      <c r="AF51">
        <f>SUMIFS(T_Shipments[Confirmed_Qty],T_Shipments[RM_Code],$A51,T_Shipments[Effective_Week],31)</f>
        <v/>
      </c>
      <c r="AG51">
        <f>SUMIFS(T_Shipments[Confirmed_Qty],T_Shipments[RM_Code],$A51,T_Shipments[Effective_Week],32)</f>
        <v/>
      </c>
      <c r="AH51">
        <f>SUMIFS(T_Shipments[Confirmed_Qty],T_Shipments[RM_Code],$A51,T_Shipments[Effective_Week],33)</f>
        <v/>
      </c>
      <c r="AI51">
        <f>SUMIFS(T_Shipments[Confirmed_Qty],T_Shipments[RM_Code],$A51,T_Shipments[Effective_Week],34)</f>
        <v/>
      </c>
      <c r="AJ51">
        <f>SUMIFS(T_Shipments[Confirmed_Qty],T_Shipments[RM_Code],$A51,T_Shipments[Effective_Week],35)</f>
        <v/>
      </c>
      <c r="AK51">
        <f>SUMIFS(T_Shipments[Confirmed_Qty],T_Shipments[RM_Code],$A51,T_Shipments[Effective_Week],36)</f>
        <v/>
      </c>
      <c r="AL51">
        <f>SUMIFS(T_Shipments[Confirmed_Qty],T_Shipments[RM_Code],$A51,T_Shipments[Effective_Week],37)</f>
        <v/>
      </c>
      <c r="AM51">
        <f>SUMIFS(T_Shipments[Confirmed_Qty],T_Shipments[RM_Code],$A51,T_Shipments[Effective_Week],38)</f>
        <v/>
      </c>
      <c r="AN51">
        <f>SUMIFS(T_Shipments[Confirmed_Qty],T_Shipments[RM_Code],$A51,T_Shipments[Effective_Week],39)</f>
        <v/>
      </c>
      <c r="AO51">
        <f>SUMIFS(T_Shipments[Confirmed_Qty],T_Shipments[RM_Code],$A51,T_Shipments[Effective_Week],40)</f>
        <v/>
      </c>
      <c r="AP51">
        <f>SUMIFS(T_Shipments[Confirmed_Qty],T_Shipments[RM_Code],$A51,T_Shipments[Effective_Week],41)</f>
        <v/>
      </c>
      <c r="AQ51">
        <f>SUMIFS(T_Shipments[Confirmed_Qty],T_Shipments[RM_Code],$A51,T_Shipments[Effective_Week],42)</f>
        <v/>
      </c>
      <c r="AR51">
        <f>SUMIFS(T_Shipments[Confirmed_Qty],T_Shipments[RM_Code],$A51,T_Shipments[Effective_Week],43)</f>
        <v/>
      </c>
      <c r="AS51">
        <f>SUMIFS(T_Shipments[Confirmed_Qty],T_Shipments[RM_Code],$A51,T_Shipments[Effective_Week],44)</f>
        <v/>
      </c>
      <c r="AT51">
        <f>SUMIFS(T_Shipments[Confirmed_Qty],T_Shipments[RM_Code],$A51,T_Shipments[Effective_Week],45)</f>
        <v/>
      </c>
      <c r="AU51">
        <f>SUMIFS(T_Shipments[Confirmed_Qty],T_Shipments[RM_Code],$A51,T_Shipments[Effective_Week],46)</f>
        <v/>
      </c>
      <c r="AV51">
        <f>SUMIFS(T_Shipments[Confirmed_Qty],T_Shipments[RM_Code],$A51,T_Shipments[Effective_Week],47)</f>
        <v/>
      </c>
      <c r="AW51">
        <f>SUMIFS(T_Shipments[Confirmed_Qty],T_Shipments[RM_Code],$A51,T_Shipments[Effective_Week],48)</f>
        <v/>
      </c>
      <c r="AX51">
        <f>SUMIFS(T_Shipments[Confirmed_Qty],T_Shipments[RM_Code],$A51,T_Shipments[Effective_Week],49)</f>
        <v/>
      </c>
      <c r="AY51">
        <f>SUMIFS(T_Shipments[Confirmed_Qty],T_Shipments[RM_Code],$A51,T_Shipments[Effective_Week],50)</f>
        <v/>
      </c>
      <c r="AZ51">
        <f>SUMIFS(T_Shipments[Confirmed_Qty],T_Shipments[RM_Code],$A51,T_Shipments[Effective_Week],51)</f>
        <v/>
      </c>
      <c r="BA51">
        <f>SUMIFS(T_Shipments[Confirmed_Qty],T_Shipments[RM_Code],$A51,T_Shipments[Effective_Week],52)</f>
        <v/>
      </c>
      <c r="BB51">
        <f>SUMIFS(T_Shipments[Confirmed_Qty],T_Shipments[RM_Code],$A51,T_Shipments[Effective_Week],53)</f>
        <v/>
      </c>
      <c r="BC51">
        <f>SUMIFS(T_Shipments[Confirmed_Qty],T_Shipments[RM_Code],$A51,T_Shipments[Effective_Week],54)</f>
        <v/>
      </c>
      <c r="BD51">
        <f>SUMIFS(T_Shipments[Confirmed_Qty],T_Shipments[RM_Code],$A51,T_Shipments[Effective_Week],55)</f>
        <v/>
      </c>
      <c r="BE51">
        <f>SUMIFS(T_Shipments[Confirmed_Qty],T_Shipments[RM_Code],$A51,T_Shipments[Effective_Week],56)</f>
        <v/>
      </c>
      <c r="BF51">
        <f>SUMIFS(T_Shipments[Confirmed_Qty],T_Shipments[RM_Code],$A51,T_Shipments[Effective_Week],57)</f>
        <v/>
      </c>
      <c r="BG51">
        <f>SUMIFS(T_Shipments[Confirmed_Qty],T_Shipments[RM_Code],$A51,T_Shipments[Effective_Week],58)</f>
        <v/>
      </c>
      <c r="BH51">
        <f>SUMIFS(T_Shipments[Confirmed_Qty],T_Shipments[RM_Code],$A51,T_Shipments[Effective_Week],59)</f>
        <v/>
      </c>
      <c r="BI51">
        <f>SUMIFS(T_Shipments[Confirmed_Qty],T_Shipments[RM_Code],$A51,T_Shipments[Effective_Week],60)</f>
        <v/>
      </c>
      <c r="BJ51">
        <f>SUMIFS(T_Shipments[Confirmed_Qty],T_Shipments[RM_Code],$A51,T_Shipments[Effective_Week],61)</f>
        <v/>
      </c>
      <c r="BK51">
        <f>SUMIFS(T_Shipments[Confirmed_Qty],T_Shipments[RM_Code],$A51,T_Shipments[Effective_Week],62)</f>
        <v/>
      </c>
      <c r="BL51">
        <f>SUMIFS(T_Shipments[Confirmed_Qty],T_Shipments[RM_Code],$A51,T_Shipments[Effective_Week],63)</f>
        <v/>
      </c>
      <c r="BM51">
        <f>SUMIFS(T_Shipments[Confirmed_Qty],T_Shipments[RM_Code],$A51,T_Shipments[Effective_Week],64)</f>
        <v/>
      </c>
      <c r="BN51">
        <f>SUMIFS(T_Shipments[Confirmed_Qty],T_Shipments[RM_Code],$A51,T_Shipments[Effective_Week],65)</f>
        <v/>
      </c>
      <c r="BO51">
        <f>SUMIFS(T_Shipments[Confirmed_Qty],T_Shipments[RM_Code],$A51,T_Shipments[Effective_Week],66)</f>
        <v/>
      </c>
      <c r="BP51">
        <f>SUMIFS(T_Shipments[Confirmed_Qty],T_Shipments[RM_Code],$A51,T_Shipments[Effective_Week],67)</f>
        <v/>
      </c>
      <c r="BQ51">
        <f>SUMIFS(T_Shipments[Confirmed_Qty],T_Shipments[RM_Code],$A51,T_Shipments[Effective_Week],68)</f>
        <v/>
      </c>
      <c r="BR51">
        <f>SUMIFS(T_Shipments[Confirmed_Qty],T_Shipments[RM_Code],$A51,T_Shipments[Effective_Week],69)</f>
        <v/>
      </c>
      <c r="BS51">
        <f>SUMIFS(T_Shipments[Confirmed_Qty],T_Shipments[RM_Code],$A51,T_Shipments[Effective_Week],70)</f>
        <v/>
      </c>
      <c r="BT51">
        <f>SUMIFS(T_Shipments[Confirmed_Qty],T_Shipments[RM_Code],$A51,T_Shipments[Effective_Week],71)</f>
        <v/>
      </c>
      <c r="BU51">
        <f>SUMIFS(T_Shipments[Confirmed_Qty],T_Shipments[RM_Code],$A51,T_Shipments[Effective_Week],72)</f>
        <v/>
      </c>
      <c r="BV51">
        <f>SUMIFS(T_Shipments[Confirmed_Qty],T_Shipments[RM_Code],$A51,T_Shipments[Effective_Week],73)</f>
        <v/>
      </c>
      <c r="BW51">
        <f>SUMIFS(T_Shipments[Confirmed_Qty],T_Shipments[RM_Code],$A51,T_Shipments[Effective_Week],74)</f>
        <v/>
      </c>
      <c r="BX51">
        <f>SUMIFS(T_Shipments[Confirmed_Qty],T_Shipments[RM_Code],$A51,T_Shipments[Effective_Week],75)</f>
        <v/>
      </c>
      <c r="BY51">
        <f>SUMIFS(T_Shipments[Confirmed_Qty],T_Shipments[RM_Code],$A51,T_Shipments[Effective_Week],76)</f>
        <v/>
      </c>
      <c r="BZ51">
        <f>SUMIFS(T_Shipments[Confirmed_Qty],T_Shipments[RM_Code],$A51,T_Shipments[Effective_Week],77)</f>
        <v/>
      </c>
      <c r="CA51">
        <f>SUMIFS(T_Shipments[Confirmed_Qty],T_Shipments[RM_Code],$A51,T_Shipments[Effective_Week],78)</f>
        <v/>
      </c>
      <c r="CB51">
        <f>SUMIFS(T_Shipments[Confirmed_Qty],T_Shipments[RM_Code],$A51,T_Shipments[Effective_Week],79)</f>
        <v/>
      </c>
      <c r="CC51">
        <f>SUMIFS(T_Shipments[Confirmed_Qty],T_Shipments[RM_Code],$A51,T_Shipments[Effective_Week],80)</f>
        <v/>
      </c>
      <c r="CD51">
        <f>SUMIFS(T_Shipments[Confirmed_Qty],T_Shipments[RM_Code],$A51,T_Shipments[Effective_Week],81)</f>
        <v/>
      </c>
      <c r="CE51">
        <f>SUMIFS(T_Shipments[Confirmed_Qty],T_Shipments[RM_Code],$A51,T_Shipments[Effective_Week],82)</f>
        <v/>
      </c>
      <c r="CF51">
        <f>SUMIFS(T_Shipments[Confirmed_Qty],T_Shipments[RM_Code],$A51,T_Shipments[Effective_Week],83)</f>
        <v/>
      </c>
      <c r="CG51">
        <f>SUMIFS(T_Shipments[Confirmed_Qty],T_Shipments[RM_Code],$A51,T_Shipments[Effective_Week],84)</f>
        <v/>
      </c>
      <c r="CH51">
        <f>SUMIFS(T_Shipments[Confirmed_Qty],T_Shipments[RM_Code],$A51,T_Shipments[Effective_Week],85)</f>
        <v/>
      </c>
      <c r="CI51">
        <f>SUMIFS(T_Shipments[Confirmed_Qty],T_Shipments[RM_Code],$A51,T_Shipments[Effective_Week],86)</f>
        <v/>
      </c>
      <c r="CJ51">
        <f>SUMIFS(T_Shipments[Confirmed_Qty],T_Shipments[RM_Code],$A51,T_Shipments[Effective_Week],87)</f>
        <v/>
      </c>
      <c r="CK51">
        <f>SUMIFS(T_Shipments[Confirmed_Qty],T_Shipments[RM_Code],$A51,T_Shipments[Effective_Week],88)</f>
        <v/>
      </c>
      <c r="CL51">
        <f>SUMIFS(T_Shipments[Confirmed_Qty],T_Shipments[RM_Code],$A51,T_Shipments[Effective_Week],89)</f>
        <v/>
      </c>
      <c r="CM51">
        <f>SUMIFS(T_Shipments[Confirmed_Qty],T_Shipments[RM_Code],$A51,T_Shipments[Effective_Week],90)</f>
        <v/>
      </c>
      <c r="CN51">
        <f>SUMIFS(T_Shipments[Confirmed_Qty],T_Shipments[RM_Code],$A51,T_Shipments[Effective_Week],91)</f>
        <v/>
      </c>
      <c r="CO51">
        <f>SUMIFS(T_Shipments[Confirmed_Qty],T_Shipments[RM_Code],$A51,T_Shipments[Effective_Week],92)</f>
        <v/>
      </c>
      <c r="CP51">
        <f>SUMIFS(T_Shipments[Confirmed_Qty],T_Shipments[RM_Code],$A51,T_Shipments[Effective_Week],93)</f>
        <v/>
      </c>
      <c r="CQ51">
        <f>SUMIFS(T_Shipments[Confirmed_Qty],T_Shipments[RM_Code],$A51,T_Shipments[Effective_Week],94)</f>
        <v/>
      </c>
      <c r="CR51">
        <f>SUMIFS(T_Shipments[Confirmed_Qty],T_Shipments[RM_Code],$A51,T_Shipments[Effective_Week],95)</f>
        <v/>
      </c>
      <c r="CS51">
        <f>SUMIFS(T_Shipments[Confirmed_Qty],T_Shipments[RM_Code],$A51,T_Shipments[Effective_Week],96)</f>
        <v/>
      </c>
      <c r="CT51">
        <f>SUMIFS(T_Shipments[Confirmed_Qty],T_Shipments[RM_Code],$A51,T_Shipments[Effective_Week],97)</f>
        <v/>
      </c>
      <c r="CU51">
        <f>SUMIFS(T_Shipments[Confirmed_Qty],T_Shipments[RM_Code],$A51,T_Shipments[Effective_Week],98)</f>
        <v/>
      </c>
      <c r="CV51">
        <f>SUMIFS(T_Shipments[Confirmed_Qty],T_Shipments[RM_Code],$A51,T_Shipments[Effective_Week],99)</f>
        <v/>
      </c>
      <c r="CW51">
        <f>SUMIFS(T_Shipments[Confirmed_Qty],T_Shipments[RM_Code],$A51,T_Shipments[Effective_Week],100)</f>
        <v/>
      </c>
      <c r="CX51">
        <f>SUMIFS(T_Shipments[Confirmed_Qty],T_Shipments[RM_Code],$A51,T_Shipments[Effective_Week],101)</f>
        <v/>
      </c>
      <c r="CY51">
        <f>SUMIFS(T_Shipments[Confirmed_Qty],T_Shipments[RM_Code],$A51,T_Shipments[Effective_Week],102)</f>
        <v/>
      </c>
      <c r="CZ51">
        <f>SUMIFS(T_Shipments[Confirmed_Qty],T_Shipments[RM_Code],$A51,T_Shipments[Effective_Week],103)</f>
        <v/>
      </c>
      <c r="DA51">
        <f>SUMIFS(T_Shipments[Confirmed_Qty],T_Shipments[RM_Code],$A51,T_Shipments[Effective_Week],104)</f>
        <v/>
      </c>
    </row>
    <row r="52">
      <c r="A52" t="inlineStr">
        <is>
          <t>CHEM-1520</t>
        </is>
      </c>
      <c r="B52">
        <f>SUMIFS(T_Shipments[Confirmed_Qty],T_Shipments[RM_Code],$A52,T_Shipments[Effective_Week],1)</f>
        <v/>
      </c>
      <c r="C52">
        <f>SUMIFS(T_Shipments[Confirmed_Qty],T_Shipments[RM_Code],$A52,T_Shipments[Effective_Week],2)</f>
        <v/>
      </c>
      <c r="D52">
        <f>SUMIFS(T_Shipments[Confirmed_Qty],T_Shipments[RM_Code],$A52,T_Shipments[Effective_Week],3)</f>
        <v/>
      </c>
      <c r="E52">
        <f>SUMIFS(T_Shipments[Confirmed_Qty],T_Shipments[RM_Code],$A52,T_Shipments[Effective_Week],4)</f>
        <v/>
      </c>
      <c r="F52">
        <f>SUMIFS(T_Shipments[Confirmed_Qty],T_Shipments[RM_Code],$A52,T_Shipments[Effective_Week],5)</f>
        <v/>
      </c>
      <c r="G52">
        <f>SUMIFS(T_Shipments[Confirmed_Qty],T_Shipments[RM_Code],$A52,T_Shipments[Effective_Week],6)</f>
        <v/>
      </c>
      <c r="H52">
        <f>SUMIFS(T_Shipments[Confirmed_Qty],T_Shipments[RM_Code],$A52,T_Shipments[Effective_Week],7)</f>
        <v/>
      </c>
      <c r="I52">
        <f>SUMIFS(T_Shipments[Confirmed_Qty],T_Shipments[RM_Code],$A52,T_Shipments[Effective_Week],8)</f>
        <v/>
      </c>
      <c r="J52">
        <f>SUMIFS(T_Shipments[Confirmed_Qty],T_Shipments[RM_Code],$A52,T_Shipments[Effective_Week],9)</f>
        <v/>
      </c>
      <c r="K52">
        <f>SUMIFS(T_Shipments[Confirmed_Qty],T_Shipments[RM_Code],$A52,T_Shipments[Effective_Week],10)</f>
        <v/>
      </c>
      <c r="L52">
        <f>SUMIFS(T_Shipments[Confirmed_Qty],T_Shipments[RM_Code],$A52,T_Shipments[Effective_Week],11)</f>
        <v/>
      </c>
      <c r="M52">
        <f>SUMIFS(T_Shipments[Confirmed_Qty],T_Shipments[RM_Code],$A52,T_Shipments[Effective_Week],12)</f>
        <v/>
      </c>
      <c r="N52">
        <f>SUMIFS(T_Shipments[Confirmed_Qty],T_Shipments[RM_Code],$A52,T_Shipments[Effective_Week],13)</f>
        <v/>
      </c>
      <c r="O52">
        <f>SUMIFS(T_Shipments[Confirmed_Qty],T_Shipments[RM_Code],$A52,T_Shipments[Effective_Week],14)</f>
        <v/>
      </c>
      <c r="P52">
        <f>SUMIFS(T_Shipments[Confirmed_Qty],T_Shipments[RM_Code],$A52,T_Shipments[Effective_Week],15)</f>
        <v/>
      </c>
      <c r="Q52">
        <f>SUMIFS(T_Shipments[Confirmed_Qty],T_Shipments[RM_Code],$A52,T_Shipments[Effective_Week],16)</f>
        <v/>
      </c>
      <c r="R52">
        <f>SUMIFS(T_Shipments[Confirmed_Qty],T_Shipments[RM_Code],$A52,T_Shipments[Effective_Week],17)</f>
        <v/>
      </c>
      <c r="S52">
        <f>SUMIFS(T_Shipments[Confirmed_Qty],T_Shipments[RM_Code],$A52,T_Shipments[Effective_Week],18)</f>
        <v/>
      </c>
      <c r="T52">
        <f>SUMIFS(T_Shipments[Confirmed_Qty],T_Shipments[RM_Code],$A52,T_Shipments[Effective_Week],19)</f>
        <v/>
      </c>
      <c r="U52">
        <f>SUMIFS(T_Shipments[Confirmed_Qty],T_Shipments[RM_Code],$A52,T_Shipments[Effective_Week],20)</f>
        <v/>
      </c>
      <c r="V52">
        <f>SUMIFS(T_Shipments[Confirmed_Qty],T_Shipments[RM_Code],$A52,T_Shipments[Effective_Week],21)</f>
        <v/>
      </c>
      <c r="W52">
        <f>SUMIFS(T_Shipments[Confirmed_Qty],T_Shipments[RM_Code],$A52,T_Shipments[Effective_Week],22)</f>
        <v/>
      </c>
      <c r="X52">
        <f>SUMIFS(T_Shipments[Confirmed_Qty],T_Shipments[RM_Code],$A52,T_Shipments[Effective_Week],23)</f>
        <v/>
      </c>
      <c r="Y52">
        <f>SUMIFS(T_Shipments[Confirmed_Qty],T_Shipments[RM_Code],$A52,T_Shipments[Effective_Week],24)</f>
        <v/>
      </c>
      <c r="Z52">
        <f>SUMIFS(T_Shipments[Confirmed_Qty],T_Shipments[RM_Code],$A52,T_Shipments[Effective_Week],25)</f>
        <v/>
      </c>
      <c r="AA52">
        <f>SUMIFS(T_Shipments[Confirmed_Qty],T_Shipments[RM_Code],$A52,T_Shipments[Effective_Week],26)</f>
        <v/>
      </c>
      <c r="AB52">
        <f>SUMIFS(T_Shipments[Confirmed_Qty],T_Shipments[RM_Code],$A52,T_Shipments[Effective_Week],27)</f>
        <v/>
      </c>
      <c r="AC52">
        <f>SUMIFS(T_Shipments[Confirmed_Qty],T_Shipments[RM_Code],$A52,T_Shipments[Effective_Week],28)</f>
        <v/>
      </c>
      <c r="AD52">
        <f>SUMIFS(T_Shipments[Confirmed_Qty],T_Shipments[RM_Code],$A52,T_Shipments[Effective_Week],29)</f>
        <v/>
      </c>
      <c r="AE52">
        <f>SUMIFS(T_Shipments[Confirmed_Qty],T_Shipments[RM_Code],$A52,T_Shipments[Effective_Week],30)</f>
        <v/>
      </c>
      <c r="AF52">
        <f>SUMIFS(T_Shipments[Confirmed_Qty],T_Shipments[RM_Code],$A52,T_Shipments[Effective_Week],31)</f>
        <v/>
      </c>
      <c r="AG52">
        <f>SUMIFS(T_Shipments[Confirmed_Qty],T_Shipments[RM_Code],$A52,T_Shipments[Effective_Week],32)</f>
        <v/>
      </c>
      <c r="AH52">
        <f>SUMIFS(T_Shipments[Confirmed_Qty],T_Shipments[RM_Code],$A52,T_Shipments[Effective_Week],33)</f>
        <v/>
      </c>
      <c r="AI52">
        <f>SUMIFS(T_Shipments[Confirmed_Qty],T_Shipments[RM_Code],$A52,T_Shipments[Effective_Week],34)</f>
        <v/>
      </c>
      <c r="AJ52">
        <f>SUMIFS(T_Shipments[Confirmed_Qty],T_Shipments[RM_Code],$A52,T_Shipments[Effective_Week],35)</f>
        <v/>
      </c>
      <c r="AK52">
        <f>SUMIFS(T_Shipments[Confirmed_Qty],T_Shipments[RM_Code],$A52,T_Shipments[Effective_Week],36)</f>
        <v/>
      </c>
      <c r="AL52">
        <f>SUMIFS(T_Shipments[Confirmed_Qty],T_Shipments[RM_Code],$A52,T_Shipments[Effective_Week],37)</f>
        <v/>
      </c>
      <c r="AM52">
        <f>SUMIFS(T_Shipments[Confirmed_Qty],T_Shipments[RM_Code],$A52,T_Shipments[Effective_Week],38)</f>
        <v/>
      </c>
      <c r="AN52">
        <f>SUMIFS(T_Shipments[Confirmed_Qty],T_Shipments[RM_Code],$A52,T_Shipments[Effective_Week],39)</f>
        <v/>
      </c>
      <c r="AO52">
        <f>SUMIFS(T_Shipments[Confirmed_Qty],T_Shipments[RM_Code],$A52,T_Shipments[Effective_Week],40)</f>
        <v/>
      </c>
      <c r="AP52">
        <f>SUMIFS(T_Shipments[Confirmed_Qty],T_Shipments[RM_Code],$A52,T_Shipments[Effective_Week],41)</f>
        <v/>
      </c>
      <c r="AQ52">
        <f>SUMIFS(T_Shipments[Confirmed_Qty],T_Shipments[RM_Code],$A52,T_Shipments[Effective_Week],42)</f>
        <v/>
      </c>
      <c r="AR52">
        <f>SUMIFS(T_Shipments[Confirmed_Qty],T_Shipments[RM_Code],$A52,T_Shipments[Effective_Week],43)</f>
        <v/>
      </c>
      <c r="AS52">
        <f>SUMIFS(T_Shipments[Confirmed_Qty],T_Shipments[RM_Code],$A52,T_Shipments[Effective_Week],44)</f>
        <v/>
      </c>
      <c r="AT52">
        <f>SUMIFS(T_Shipments[Confirmed_Qty],T_Shipments[RM_Code],$A52,T_Shipments[Effective_Week],45)</f>
        <v/>
      </c>
      <c r="AU52">
        <f>SUMIFS(T_Shipments[Confirmed_Qty],T_Shipments[RM_Code],$A52,T_Shipments[Effective_Week],46)</f>
        <v/>
      </c>
      <c r="AV52">
        <f>SUMIFS(T_Shipments[Confirmed_Qty],T_Shipments[RM_Code],$A52,T_Shipments[Effective_Week],47)</f>
        <v/>
      </c>
      <c r="AW52">
        <f>SUMIFS(T_Shipments[Confirmed_Qty],T_Shipments[RM_Code],$A52,T_Shipments[Effective_Week],48)</f>
        <v/>
      </c>
      <c r="AX52">
        <f>SUMIFS(T_Shipments[Confirmed_Qty],T_Shipments[RM_Code],$A52,T_Shipments[Effective_Week],49)</f>
        <v/>
      </c>
      <c r="AY52">
        <f>SUMIFS(T_Shipments[Confirmed_Qty],T_Shipments[RM_Code],$A52,T_Shipments[Effective_Week],50)</f>
        <v/>
      </c>
      <c r="AZ52">
        <f>SUMIFS(T_Shipments[Confirmed_Qty],T_Shipments[RM_Code],$A52,T_Shipments[Effective_Week],51)</f>
        <v/>
      </c>
      <c r="BA52">
        <f>SUMIFS(T_Shipments[Confirmed_Qty],T_Shipments[RM_Code],$A52,T_Shipments[Effective_Week],52)</f>
        <v/>
      </c>
      <c r="BB52">
        <f>SUMIFS(T_Shipments[Confirmed_Qty],T_Shipments[RM_Code],$A52,T_Shipments[Effective_Week],53)</f>
        <v/>
      </c>
      <c r="BC52">
        <f>SUMIFS(T_Shipments[Confirmed_Qty],T_Shipments[RM_Code],$A52,T_Shipments[Effective_Week],54)</f>
        <v/>
      </c>
      <c r="BD52">
        <f>SUMIFS(T_Shipments[Confirmed_Qty],T_Shipments[RM_Code],$A52,T_Shipments[Effective_Week],55)</f>
        <v/>
      </c>
      <c r="BE52">
        <f>SUMIFS(T_Shipments[Confirmed_Qty],T_Shipments[RM_Code],$A52,T_Shipments[Effective_Week],56)</f>
        <v/>
      </c>
      <c r="BF52">
        <f>SUMIFS(T_Shipments[Confirmed_Qty],T_Shipments[RM_Code],$A52,T_Shipments[Effective_Week],57)</f>
        <v/>
      </c>
      <c r="BG52">
        <f>SUMIFS(T_Shipments[Confirmed_Qty],T_Shipments[RM_Code],$A52,T_Shipments[Effective_Week],58)</f>
        <v/>
      </c>
      <c r="BH52">
        <f>SUMIFS(T_Shipments[Confirmed_Qty],T_Shipments[RM_Code],$A52,T_Shipments[Effective_Week],59)</f>
        <v/>
      </c>
      <c r="BI52">
        <f>SUMIFS(T_Shipments[Confirmed_Qty],T_Shipments[RM_Code],$A52,T_Shipments[Effective_Week],60)</f>
        <v/>
      </c>
      <c r="BJ52">
        <f>SUMIFS(T_Shipments[Confirmed_Qty],T_Shipments[RM_Code],$A52,T_Shipments[Effective_Week],61)</f>
        <v/>
      </c>
      <c r="BK52">
        <f>SUMIFS(T_Shipments[Confirmed_Qty],T_Shipments[RM_Code],$A52,T_Shipments[Effective_Week],62)</f>
        <v/>
      </c>
      <c r="BL52">
        <f>SUMIFS(T_Shipments[Confirmed_Qty],T_Shipments[RM_Code],$A52,T_Shipments[Effective_Week],63)</f>
        <v/>
      </c>
      <c r="BM52">
        <f>SUMIFS(T_Shipments[Confirmed_Qty],T_Shipments[RM_Code],$A52,T_Shipments[Effective_Week],64)</f>
        <v/>
      </c>
      <c r="BN52">
        <f>SUMIFS(T_Shipments[Confirmed_Qty],T_Shipments[RM_Code],$A52,T_Shipments[Effective_Week],65)</f>
        <v/>
      </c>
      <c r="BO52">
        <f>SUMIFS(T_Shipments[Confirmed_Qty],T_Shipments[RM_Code],$A52,T_Shipments[Effective_Week],66)</f>
        <v/>
      </c>
      <c r="BP52">
        <f>SUMIFS(T_Shipments[Confirmed_Qty],T_Shipments[RM_Code],$A52,T_Shipments[Effective_Week],67)</f>
        <v/>
      </c>
      <c r="BQ52">
        <f>SUMIFS(T_Shipments[Confirmed_Qty],T_Shipments[RM_Code],$A52,T_Shipments[Effective_Week],68)</f>
        <v/>
      </c>
      <c r="BR52">
        <f>SUMIFS(T_Shipments[Confirmed_Qty],T_Shipments[RM_Code],$A52,T_Shipments[Effective_Week],69)</f>
        <v/>
      </c>
      <c r="BS52">
        <f>SUMIFS(T_Shipments[Confirmed_Qty],T_Shipments[RM_Code],$A52,T_Shipments[Effective_Week],70)</f>
        <v/>
      </c>
      <c r="BT52">
        <f>SUMIFS(T_Shipments[Confirmed_Qty],T_Shipments[RM_Code],$A52,T_Shipments[Effective_Week],71)</f>
        <v/>
      </c>
      <c r="BU52">
        <f>SUMIFS(T_Shipments[Confirmed_Qty],T_Shipments[RM_Code],$A52,T_Shipments[Effective_Week],72)</f>
        <v/>
      </c>
      <c r="BV52">
        <f>SUMIFS(T_Shipments[Confirmed_Qty],T_Shipments[RM_Code],$A52,T_Shipments[Effective_Week],73)</f>
        <v/>
      </c>
      <c r="BW52">
        <f>SUMIFS(T_Shipments[Confirmed_Qty],T_Shipments[RM_Code],$A52,T_Shipments[Effective_Week],74)</f>
        <v/>
      </c>
      <c r="BX52">
        <f>SUMIFS(T_Shipments[Confirmed_Qty],T_Shipments[RM_Code],$A52,T_Shipments[Effective_Week],75)</f>
        <v/>
      </c>
      <c r="BY52">
        <f>SUMIFS(T_Shipments[Confirmed_Qty],T_Shipments[RM_Code],$A52,T_Shipments[Effective_Week],76)</f>
        <v/>
      </c>
      <c r="BZ52">
        <f>SUMIFS(T_Shipments[Confirmed_Qty],T_Shipments[RM_Code],$A52,T_Shipments[Effective_Week],77)</f>
        <v/>
      </c>
      <c r="CA52">
        <f>SUMIFS(T_Shipments[Confirmed_Qty],T_Shipments[RM_Code],$A52,T_Shipments[Effective_Week],78)</f>
        <v/>
      </c>
      <c r="CB52">
        <f>SUMIFS(T_Shipments[Confirmed_Qty],T_Shipments[RM_Code],$A52,T_Shipments[Effective_Week],79)</f>
        <v/>
      </c>
      <c r="CC52">
        <f>SUMIFS(T_Shipments[Confirmed_Qty],T_Shipments[RM_Code],$A52,T_Shipments[Effective_Week],80)</f>
        <v/>
      </c>
      <c r="CD52">
        <f>SUMIFS(T_Shipments[Confirmed_Qty],T_Shipments[RM_Code],$A52,T_Shipments[Effective_Week],81)</f>
        <v/>
      </c>
      <c r="CE52">
        <f>SUMIFS(T_Shipments[Confirmed_Qty],T_Shipments[RM_Code],$A52,T_Shipments[Effective_Week],82)</f>
        <v/>
      </c>
      <c r="CF52">
        <f>SUMIFS(T_Shipments[Confirmed_Qty],T_Shipments[RM_Code],$A52,T_Shipments[Effective_Week],83)</f>
        <v/>
      </c>
      <c r="CG52">
        <f>SUMIFS(T_Shipments[Confirmed_Qty],T_Shipments[RM_Code],$A52,T_Shipments[Effective_Week],84)</f>
        <v/>
      </c>
      <c r="CH52">
        <f>SUMIFS(T_Shipments[Confirmed_Qty],T_Shipments[RM_Code],$A52,T_Shipments[Effective_Week],85)</f>
        <v/>
      </c>
      <c r="CI52">
        <f>SUMIFS(T_Shipments[Confirmed_Qty],T_Shipments[RM_Code],$A52,T_Shipments[Effective_Week],86)</f>
        <v/>
      </c>
      <c r="CJ52">
        <f>SUMIFS(T_Shipments[Confirmed_Qty],T_Shipments[RM_Code],$A52,T_Shipments[Effective_Week],87)</f>
        <v/>
      </c>
      <c r="CK52">
        <f>SUMIFS(T_Shipments[Confirmed_Qty],T_Shipments[RM_Code],$A52,T_Shipments[Effective_Week],88)</f>
        <v/>
      </c>
      <c r="CL52">
        <f>SUMIFS(T_Shipments[Confirmed_Qty],T_Shipments[RM_Code],$A52,T_Shipments[Effective_Week],89)</f>
        <v/>
      </c>
      <c r="CM52">
        <f>SUMIFS(T_Shipments[Confirmed_Qty],T_Shipments[RM_Code],$A52,T_Shipments[Effective_Week],90)</f>
        <v/>
      </c>
      <c r="CN52">
        <f>SUMIFS(T_Shipments[Confirmed_Qty],T_Shipments[RM_Code],$A52,T_Shipments[Effective_Week],91)</f>
        <v/>
      </c>
      <c r="CO52">
        <f>SUMIFS(T_Shipments[Confirmed_Qty],T_Shipments[RM_Code],$A52,T_Shipments[Effective_Week],92)</f>
        <v/>
      </c>
      <c r="CP52">
        <f>SUMIFS(T_Shipments[Confirmed_Qty],T_Shipments[RM_Code],$A52,T_Shipments[Effective_Week],93)</f>
        <v/>
      </c>
      <c r="CQ52">
        <f>SUMIFS(T_Shipments[Confirmed_Qty],T_Shipments[RM_Code],$A52,T_Shipments[Effective_Week],94)</f>
        <v/>
      </c>
      <c r="CR52">
        <f>SUMIFS(T_Shipments[Confirmed_Qty],T_Shipments[RM_Code],$A52,T_Shipments[Effective_Week],95)</f>
        <v/>
      </c>
      <c r="CS52">
        <f>SUMIFS(T_Shipments[Confirmed_Qty],T_Shipments[RM_Code],$A52,T_Shipments[Effective_Week],96)</f>
        <v/>
      </c>
      <c r="CT52">
        <f>SUMIFS(T_Shipments[Confirmed_Qty],T_Shipments[RM_Code],$A52,T_Shipments[Effective_Week],97)</f>
        <v/>
      </c>
      <c r="CU52">
        <f>SUMIFS(T_Shipments[Confirmed_Qty],T_Shipments[RM_Code],$A52,T_Shipments[Effective_Week],98)</f>
        <v/>
      </c>
      <c r="CV52">
        <f>SUMIFS(T_Shipments[Confirmed_Qty],T_Shipments[RM_Code],$A52,T_Shipments[Effective_Week],99)</f>
        <v/>
      </c>
      <c r="CW52">
        <f>SUMIFS(T_Shipments[Confirmed_Qty],T_Shipments[RM_Code],$A52,T_Shipments[Effective_Week],100)</f>
        <v/>
      </c>
      <c r="CX52">
        <f>SUMIFS(T_Shipments[Confirmed_Qty],T_Shipments[RM_Code],$A52,T_Shipments[Effective_Week],101)</f>
        <v/>
      </c>
      <c r="CY52">
        <f>SUMIFS(T_Shipments[Confirmed_Qty],T_Shipments[RM_Code],$A52,T_Shipments[Effective_Week],102)</f>
        <v/>
      </c>
      <c r="CZ52">
        <f>SUMIFS(T_Shipments[Confirmed_Qty],T_Shipments[RM_Code],$A52,T_Shipments[Effective_Week],103)</f>
        <v/>
      </c>
      <c r="DA52">
        <f>SUMIFS(T_Shipments[Confirmed_Qty],T_Shipments[RM_Code],$A52,T_Shipments[Effective_Week],104)</f>
        <v/>
      </c>
    </row>
    <row r="53">
      <c r="A53" t="inlineStr">
        <is>
          <t>CHEM-1580</t>
        </is>
      </c>
      <c r="B53">
        <f>SUMIFS(T_Shipments[Confirmed_Qty],T_Shipments[RM_Code],$A53,T_Shipments[Effective_Week],1)</f>
        <v/>
      </c>
      <c r="C53">
        <f>SUMIFS(T_Shipments[Confirmed_Qty],T_Shipments[RM_Code],$A53,T_Shipments[Effective_Week],2)</f>
        <v/>
      </c>
      <c r="D53">
        <f>SUMIFS(T_Shipments[Confirmed_Qty],T_Shipments[RM_Code],$A53,T_Shipments[Effective_Week],3)</f>
        <v/>
      </c>
      <c r="E53">
        <f>SUMIFS(T_Shipments[Confirmed_Qty],T_Shipments[RM_Code],$A53,T_Shipments[Effective_Week],4)</f>
        <v/>
      </c>
      <c r="F53">
        <f>SUMIFS(T_Shipments[Confirmed_Qty],T_Shipments[RM_Code],$A53,T_Shipments[Effective_Week],5)</f>
        <v/>
      </c>
      <c r="G53">
        <f>SUMIFS(T_Shipments[Confirmed_Qty],T_Shipments[RM_Code],$A53,T_Shipments[Effective_Week],6)</f>
        <v/>
      </c>
      <c r="H53">
        <f>SUMIFS(T_Shipments[Confirmed_Qty],T_Shipments[RM_Code],$A53,T_Shipments[Effective_Week],7)</f>
        <v/>
      </c>
      <c r="I53">
        <f>SUMIFS(T_Shipments[Confirmed_Qty],T_Shipments[RM_Code],$A53,T_Shipments[Effective_Week],8)</f>
        <v/>
      </c>
      <c r="J53">
        <f>SUMIFS(T_Shipments[Confirmed_Qty],T_Shipments[RM_Code],$A53,T_Shipments[Effective_Week],9)</f>
        <v/>
      </c>
      <c r="K53">
        <f>SUMIFS(T_Shipments[Confirmed_Qty],T_Shipments[RM_Code],$A53,T_Shipments[Effective_Week],10)</f>
        <v/>
      </c>
      <c r="L53">
        <f>SUMIFS(T_Shipments[Confirmed_Qty],T_Shipments[RM_Code],$A53,T_Shipments[Effective_Week],11)</f>
        <v/>
      </c>
      <c r="M53">
        <f>SUMIFS(T_Shipments[Confirmed_Qty],T_Shipments[RM_Code],$A53,T_Shipments[Effective_Week],12)</f>
        <v/>
      </c>
      <c r="N53">
        <f>SUMIFS(T_Shipments[Confirmed_Qty],T_Shipments[RM_Code],$A53,T_Shipments[Effective_Week],13)</f>
        <v/>
      </c>
      <c r="O53">
        <f>SUMIFS(T_Shipments[Confirmed_Qty],T_Shipments[RM_Code],$A53,T_Shipments[Effective_Week],14)</f>
        <v/>
      </c>
      <c r="P53">
        <f>SUMIFS(T_Shipments[Confirmed_Qty],T_Shipments[RM_Code],$A53,T_Shipments[Effective_Week],15)</f>
        <v/>
      </c>
      <c r="Q53">
        <f>SUMIFS(T_Shipments[Confirmed_Qty],T_Shipments[RM_Code],$A53,T_Shipments[Effective_Week],16)</f>
        <v/>
      </c>
      <c r="R53">
        <f>SUMIFS(T_Shipments[Confirmed_Qty],T_Shipments[RM_Code],$A53,T_Shipments[Effective_Week],17)</f>
        <v/>
      </c>
      <c r="S53">
        <f>SUMIFS(T_Shipments[Confirmed_Qty],T_Shipments[RM_Code],$A53,T_Shipments[Effective_Week],18)</f>
        <v/>
      </c>
      <c r="T53">
        <f>SUMIFS(T_Shipments[Confirmed_Qty],T_Shipments[RM_Code],$A53,T_Shipments[Effective_Week],19)</f>
        <v/>
      </c>
      <c r="U53">
        <f>SUMIFS(T_Shipments[Confirmed_Qty],T_Shipments[RM_Code],$A53,T_Shipments[Effective_Week],20)</f>
        <v/>
      </c>
      <c r="V53">
        <f>SUMIFS(T_Shipments[Confirmed_Qty],T_Shipments[RM_Code],$A53,T_Shipments[Effective_Week],21)</f>
        <v/>
      </c>
      <c r="W53">
        <f>SUMIFS(T_Shipments[Confirmed_Qty],T_Shipments[RM_Code],$A53,T_Shipments[Effective_Week],22)</f>
        <v/>
      </c>
      <c r="X53">
        <f>SUMIFS(T_Shipments[Confirmed_Qty],T_Shipments[RM_Code],$A53,T_Shipments[Effective_Week],23)</f>
        <v/>
      </c>
      <c r="Y53">
        <f>SUMIFS(T_Shipments[Confirmed_Qty],T_Shipments[RM_Code],$A53,T_Shipments[Effective_Week],24)</f>
        <v/>
      </c>
      <c r="Z53">
        <f>SUMIFS(T_Shipments[Confirmed_Qty],T_Shipments[RM_Code],$A53,T_Shipments[Effective_Week],25)</f>
        <v/>
      </c>
      <c r="AA53">
        <f>SUMIFS(T_Shipments[Confirmed_Qty],T_Shipments[RM_Code],$A53,T_Shipments[Effective_Week],26)</f>
        <v/>
      </c>
      <c r="AB53">
        <f>SUMIFS(T_Shipments[Confirmed_Qty],T_Shipments[RM_Code],$A53,T_Shipments[Effective_Week],27)</f>
        <v/>
      </c>
      <c r="AC53">
        <f>SUMIFS(T_Shipments[Confirmed_Qty],T_Shipments[RM_Code],$A53,T_Shipments[Effective_Week],28)</f>
        <v/>
      </c>
      <c r="AD53">
        <f>SUMIFS(T_Shipments[Confirmed_Qty],T_Shipments[RM_Code],$A53,T_Shipments[Effective_Week],29)</f>
        <v/>
      </c>
      <c r="AE53">
        <f>SUMIFS(T_Shipments[Confirmed_Qty],T_Shipments[RM_Code],$A53,T_Shipments[Effective_Week],30)</f>
        <v/>
      </c>
      <c r="AF53">
        <f>SUMIFS(T_Shipments[Confirmed_Qty],T_Shipments[RM_Code],$A53,T_Shipments[Effective_Week],31)</f>
        <v/>
      </c>
      <c r="AG53">
        <f>SUMIFS(T_Shipments[Confirmed_Qty],T_Shipments[RM_Code],$A53,T_Shipments[Effective_Week],32)</f>
        <v/>
      </c>
      <c r="AH53">
        <f>SUMIFS(T_Shipments[Confirmed_Qty],T_Shipments[RM_Code],$A53,T_Shipments[Effective_Week],33)</f>
        <v/>
      </c>
      <c r="AI53">
        <f>SUMIFS(T_Shipments[Confirmed_Qty],T_Shipments[RM_Code],$A53,T_Shipments[Effective_Week],34)</f>
        <v/>
      </c>
      <c r="AJ53">
        <f>SUMIFS(T_Shipments[Confirmed_Qty],T_Shipments[RM_Code],$A53,T_Shipments[Effective_Week],35)</f>
        <v/>
      </c>
      <c r="AK53">
        <f>SUMIFS(T_Shipments[Confirmed_Qty],T_Shipments[RM_Code],$A53,T_Shipments[Effective_Week],36)</f>
        <v/>
      </c>
      <c r="AL53">
        <f>SUMIFS(T_Shipments[Confirmed_Qty],T_Shipments[RM_Code],$A53,T_Shipments[Effective_Week],37)</f>
        <v/>
      </c>
      <c r="AM53">
        <f>SUMIFS(T_Shipments[Confirmed_Qty],T_Shipments[RM_Code],$A53,T_Shipments[Effective_Week],38)</f>
        <v/>
      </c>
      <c r="AN53">
        <f>SUMIFS(T_Shipments[Confirmed_Qty],T_Shipments[RM_Code],$A53,T_Shipments[Effective_Week],39)</f>
        <v/>
      </c>
      <c r="AO53">
        <f>SUMIFS(T_Shipments[Confirmed_Qty],T_Shipments[RM_Code],$A53,T_Shipments[Effective_Week],40)</f>
        <v/>
      </c>
      <c r="AP53">
        <f>SUMIFS(T_Shipments[Confirmed_Qty],T_Shipments[RM_Code],$A53,T_Shipments[Effective_Week],41)</f>
        <v/>
      </c>
      <c r="AQ53">
        <f>SUMIFS(T_Shipments[Confirmed_Qty],T_Shipments[RM_Code],$A53,T_Shipments[Effective_Week],42)</f>
        <v/>
      </c>
      <c r="AR53">
        <f>SUMIFS(T_Shipments[Confirmed_Qty],T_Shipments[RM_Code],$A53,T_Shipments[Effective_Week],43)</f>
        <v/>
      </c>
      <c r="AS53">
        <f>SUMIFS(T_Shipments[Confirmed_Qty],T_Shipments[RM_Code],$A53,T_Shipments[Effective_Week],44)</f>
        <v/>
      </c>
      <c r="AT53">
        <f>SUMIFS(T_Shipments[Confirmed_Qty],T_Shipments[RM_Code],$A53,T_Shipments[Effective_Week],45)</f>
        <v/>
      </c>
      <c r="AU53">
        <f>SUMIFS(T_Shipments[Confirmed_Qty],T_Shipments[RM_Code],$A53,T_Shipments[Effective_Week],46)</f>
        <v/>
      </c>
      <c r="AV53">
        <f>SUMIFS(T_Shipments[Confirmed_Qty],T_Shipments[RM_Code],$A53,T_Shipments[Effective_Week],47)</f>
        <v/>
      </c>
      <c r="AW53">
        <f>SUMIFS(T_Shipments[Confirmed_Qty],T_Shipments[RM_Code],$A53,T_Shipments[Effective_Week],48)</f>
        <v/>
      </c>
      <c r="AX53">
        <f>SUMIFS(T_Shipments[Confirmed_Qty],T_Shipments[RM_Code],$A53,T_Shipments[Effective_Week],49)</f>
        <v/>
      </c>
      <c r="AY53">
        <f>SUMIFS(T_Shipments[Confirmed_Qty],T_Shipments[RM_Code],$A53,T_Shipments[Effective_Week],50)</f>
        <v/>
      </c>
      <c r="AZ53">
        <f>SUMIFS(T_Shipments[Confirmed_Qty],T_Shipments[RM_Code],$A53,T_Shipments[Effective_Week],51)</f>
        <v/>
      </c>
      <c r="BA53">
        <f>SUMIFS(T_Shipments[Confirmed_Qty],T_Shipments[RM_Code],$A53,T_Shipments[Effective_Week],52)</f>
        <v/>
      </c>
      <c r="BB53">
        <f>SUMIFS(T_Shipments[Confirmed_Qty],T_Shipments[RM_Code],$A53,T_Shipments[Effective_Week],53)</f>
        <v/>
      </c>
      <c r="BC53">
        <f>SUMIFS(T_Shipments[Confirmed_Qty],T_Shipments[RM_Code],$A53,T_Shipments[Effective_Week],54)</f>
        <v/>
      </c>
      <c r="BD53">
        <f>SUMIFS(T_Shipments[Confirmed_Qty],T_Shipments[RM_Code],$A53,T_Shipments[Effective_Week],55)</f>
        <v/>
      </c>
      <c r="BE53">
        <f>SUMIFS(T_Shipments[Confirmed_Qty],T_Shipments[RM_Code],$A53,T_Shipments[Effective_Week],56)</f>
        <v/>
      </c>
      <c r="BF53">
        <f>SUMIFS(T_Shipments[Confirmed_Qty],T_Shipments[RM_Code],$A53,T_Shipments[Effective_Week],57)</f>
        <v/>
      </c>
      <c r="BG53">
        <f>SUMIFS(T_Shipments[Confirmed_Qty],T_Shipments[RM_Code],$A53,T_Shipments[Effective_Week],58)</f>
        <v/>
      </c>
      <c r="BH53">
        <f>SUMIFS(T_Shipments[Confirmed_Qty],T_Shipments[RM_Code],$A53,T_Shipments[Effective_Week],59)</f>
        <v/>
      </c>
      <c r="BI53">
        <f>SUMIFS(T_Shipments[Confirmed_Qty],T_Shipments[RM_Code],$A53,T_Shipments[Effective_Week],60)</f>
        <v/>
      </c>
      <c r="BJ53">
        <f>SUMIFS(T_Shipments[Confirmed_Qty],T_Shipments[RM_Code],$A53,T_Shipments[Effective_Week],61)</f>
        <v/>
      </c>
      <c r="BK53">
        <f>SUMIFS(T_Shipments[Confirmed_Qty],T_Shipments[RM_Code],$A53,T_Shipments[Effective_Week],62)</f>
        <v/>
      </c>
      <c r="BL53">
        <f>SUMIFS(T_Shipments[Confirmed_Qty],T_Shipments[RM_Code],$A53,T_Shipments[Effective_Week],63)</f>
        <v/>
      </c>
      <c r="BM53">
        <f>SUMIFS(T_Shipments[Confirmed_Qty],T_Shipments[RM_Code],$A53,T_Shipments[Effective_Week],64)</f>
        <v/>
      </c>
      <c r="BN53">
        <f>SUMIFS(T_Shipments[Confirmed_Qty],T_Shipments[RM_Code],$A53,T_Shipments[Effective_Week],65)</f>
        <v/>
      </c>
      <c r="BO53">
        <f>SUMIFS(T_Shipments[Confirmed_Qty],T_Shipments[RM_Code],$A53,T_Shipments[Effective_Week],66)</f>
        <v/>
      </c>
      <c r="BP53">
        <f>SUMIFS(T_Shipments[Confirmed_Qty],T_Shipments[RM_Code],$A53,T_Shipments[Effective_Week],67)</f>
        <v/>
      </c>
      <c r="BQ53">
        <f>SUMIFS(T_Shipments[Confirmed_Qty],T_Shipments[RM_Code],$A53,T_Shipments[Effective_Week],68)</f>
        <v/>
      </c>
      <c r="BR53">
        <f>SUMIFS(T_Shipments[Confirmed_Qty],T_Shipments[RM_Code],$A53,T_Shipments[Effective_Week],69)</f>
        <v/>
      </c>
      <c r="BS53">
        <f>SUMIFS(T_Shipments[Confirmed_Qty],T_Shipments[RM_Code],$A53,T_Shipments[Effective_Week],70)</f>
        <v/>
      </c>
      <c r="BT53">
        <f>SUMIFS(T_Shipments[Confirmed_Qty],T_Shipments[RM_Code],$A53,T_Shipments[Effective_Week],71)</f>
        <v/>
      </c>
      <c r="BU53">
        <f>SUMIFS(T_Shipments[Confirmed_Qty],T_Shipments[RM_Code],$A53,T_Shipments[Effective_Week],72)</f>
        <v/>
      </c>
      <c r="BV53">
        <f>SUMIFS(T_Shipments[Confirmed_Qty],T_Shipments[RM_Code],$A53,T_Shipments[Effective_Week],73)</f>
        <v/>
      </c>
      <c r="BW53">
        <f>SUMIFS(T_Shipments[Confirmed_Qty],T_Shipments[RM_Code],$A53,T_Shipments[Effective_Week],74)</f>
        <v/>
      </c>
      <c r="BX53">
        <f>SUMIFS(T_Shipments[Confirmed_Qty],T_Shipments[RM_Code],$A53,T_Shipments[Effective_Week],75)</f>
        <v/>
      </c>
      <c r="BY53">
        <f>SUMIFS(T_Shipments[Confirmed_Qty],T_Shipments[RM_Code],$A53,T_Shipments[Effective_Week],76)</f>
        <v/>
      </c>
      <c r="BZ53">
        <f>SUMIFS(T_Shipments[Confirmed_Qty],T_Shipments[RM_Code],$A53,T_Shipments[Effective_Week],77)</f>
        <v/>
      </c>
      <c r="CA53">
        <f>SUMIFS(T_Shipments[Confirmed_Qty],T_Shipments[RM_Code],$A53,T_Shipments[Effective_Week],78)</f>
        <v/>
      </c>
      <c r="CB53">
        <f>SUMIFS(T_Shipments[Confirmed_Qty],T_Shipments[RM_Code],$A53,T_Shipments[Effective_Week],79)</f>
        <v/>
      </c>
      <c r="CC53">
        <f>SUMIFS(T_Shipments[Confirmed_Qty],T_Shipments[RM_Code],$A53,T_Shipments[Effective_Week],80)</f>
        <v/>
      </c>
      <c r="CD53">
        <f>SUMIFS(T_Shipments[Confirmed_Qty],T_Shipments[RM_Code],$A53,T_Shipments[Effective_Week],81)</f>
        <v/>
      </c>
      <c r="CE53">
        <f>SUMIFS(T_Shipments[Confirmed_Qty],T_Shipments[RM_Code],$A53,T_Shipments[Effective_Week],82)</f>
        <v/>
      </c>
      <c r="CF53">
        <f>SUMIFS(T_Shipments[Confirmed_Qty],T_Shipments[RM_Code],$A53,T_Shipments[Effective_Week],83)</f>
        <v/>
      </c>
      <c r="CG53">
        <f>SUMIFS(T_Shipments[Confirmed_Qty],T_Shipments[RM_Code],$A53,T_Shipments[Effective_Week],84)</f>
        <v/>
      </c>
      <c r="CH53">
        <f>SUMIFS(T_Shipments[Confirmed_Qty],T_Shipments[RM_Code],$A53,T_Shipments[Effective_Week],85)</f>
        <v/>
      </c>
      <c r="CI53">
        <f>SUMIFS(T_Shipments[Confirmed_Qty],T_Shipments[RM_Code],$A53,T_Shipments[Effective_Week],86)</f>
        <v/>
      </c>
      <c r="CJ53">
        <f>SUMIFS(T_Shipments[Confirmed_Qty],T_Shipments[RM_Code],$A53,T_Shipments[Effective_Week],87)</f>
        <v/>
      </c>
      <c r="CK53">
        <f>SUMIFS(T_Shipments[Confirmed_Qty],T_Shipments[RM_Code],$A53,T_Shipments[Effective_Week],88)</f>
        <v/>
      </c>
      <c r="CL53">
        <f>SUMIFS(T_Shipments[Confirmed_Qty],T_Shipments[RM_Code],$A53,T_Shipments[Effective_Week],89)</f>
        <v/>
      </c>
      <c r="CM53">
        <f>SUMIFS(T_Shipments[Confirmed_Qty],T_Shipments[RM_Code],$A53,T_Shipments[Effective_Week],90)</f>
        <v/>
      </c>
      <c r="CN53">
        <f>SUMIFS(T_Shipments[Confirmed_Qty],T_Shipments[RM_Code],$A53,T_Shipments[Effective_Week],91)</f>
        <v/>
      </c>
      <c r="CO53">
        <f>SUMIFS(T_Shipments[Confirmed_Qty],T_Shipments[RM_Code],$A53,T_Shipments[Effective_Week],92)</f>
        <v/>
      </c>
      <c r="CP53">
        <f>SUMIFS(T_Shipments[Confirmed_Qty],T_Shipments[RM_Code],$A53,T_Shipments[Effective_Week],93)</f>
        <v/>
      </c>
      <c r="CQ53">
        <f>SUMIFS(T_Shipments[Confirmed_Qty],T_Shipments[RM_Code],$A53,T_Shipments[Effective_Week],94)</f>
        <v/>
      </c>
      <c r="CR53">
        <f>SUMIFS(T_Shipments[Confirmed_Qty],T_Shipments[RM_Code],$A53,T_Shipments[Effective_Week],95)</f>
        <v/>
      </c>
      <c r="CS53">
        <f>SUMIFS(T_Shipments[Confirmed_Qty],T_Shipments[RM_Code],$A53,T_Shipments[Effective_Week],96)</f>
        <v/>
      </c>
      <c r="CT53">
        <f>SUMIFS(T_Shipments[Confirmed_Qty],T_Shipments[RM_Code],$A53,T_Shipments[Effective_Week],97)</f>
        <v/>
      </c>
      <c r="CU53">
        <f>SUMIFS(T_Shipments[Confirmed_Qty],T_Shipments[RM_Code],$A53,T_Shipments[Effective_Week],98)</f>
        <v/>
      </c>
      <c r="CV53">
        <f>SUMIFS(T_Shipments[Confirmed_Qty],T_Shipments[RM_Code],$A53,T_Shipments[Effective_Week],99)</f>
        <v/>
      </c>
      <c r="CW53">
        <f>SUMIFS(T_Shipments[Confirmed_Qty],T_Shipments[RM_Code],$A53,T_Shipments[Effective_Week],100)</f>
        <v/>
      </c>
      <c r="CX53">
        <f>SUMIFS(T_Shipments[Confirmed_Qty],T_Shipments[RM_Code],$A53,T_Shipments[Effective_Week],101)</f>
        <v/>
      </c>
      <c r="CY53">
        <f>SUMIFS(T_Shipments[Confirmed_Qty],T_Shipments[RM_Code],$A53,T_Shipments[Effective_Week],102)</f>
        <v/>
      </c>
      <c r="CZ53">
        <f>SUMIFS(T_Shipments[Confirmed_Qty],T_Shipments[RM_Code],$A53,T_Shipments[Effective_Week],103)</f>
        <v/>
      </c>
      <c r="DA53">
        <f>SUMIFS(T_Shipments[Confirmed_Qty],T_Shipments[RM_Code],$A53,T_Shipments[Effective_Week],104)</f>
        <v/>
      </c>
    </row>
    <row r="54">
      <c r="A54" t="inlineStr">
        <is>
          <t>CHEM-1550</t>
        </is>
      </c>
      <c r="B54">
        <f>SUMIFS(T_Shipments[Confirmed_Qty],T_Shipments[RM_Code],$A54,T_Shipments[Effective_Week],1)</f>
        <v/>
      </c>
      <c r="C54">
        <f>SUMIFS(T_Shipments[Confirmed_Qty],T_Shipments[RM_Code],$A54,T_Shipments[Effective_Week],2)</f>
        <v/>
      </c>
      <c r="D54">
        <f>SUMIFS(T_Shipments[Confirmed_Qty],T_Shipments[RM_Code],$A54,T_Shipments[Effective_Week],3)</f>
        <v/>
      </c>
      <c r="E54">
        <f>SUMIFS(T_Shipments[Confirmed_Qty],T_Shipments[RM_Code],$A54,T_Shipments[Effective_Week],4)</f>
        <v/>
      </c>
      <c r="F54">
        <f>SUMIFS(T_Shipments[Confirmed_Qty],T_Shipments[RM_Code],$A54,T_Shipments[Effective_Week],5)</f>
        <v/>
      </c>
      <c r="G54">
        <f>SUMIFS(T_Shipments[Confirmed_Qty],T_Shipments[RM_Code],$A54,T_Shipments[Effective_Week],6)</f>
        <v/>
      </c>
      <c r="H54">
        <f>SUMIFS(T_Shipments[Confirmed_Qty],T_Shipments[RM_Code],$A54,T_Shipments[Effective_Week],7)</f>
        <v/>
      </c>
      <c r="I54">
        <f>SUMIFS(T_Shipments[Confirmed_Qty],T_Shipments[RM_Code],$A54,T_Shipments[Effective_Week],8)</f>
        <v/>
      </c>
      <c r="J54">
        <f>SUMIFS(T_Shipments[Confirmed_Qty],T_Shipments[RM_Code],$A54,T_Shipments[Effective_Week],9)</f>
        <v/>
      </c>
      <c r="K54">
        <f>SUMIFS(T_Shipments[Confirmed_Qty],T_Shipments[RM_Code],$A54,T_Shipments[Effective_Week],10)</f>
        <v/>
      </c>
      <c r="L54">
        <f>SUMIFS(T_Shipments[Confirmed_Qty],T_Shipments[RM_Code],$A54,T_Shipments[Effective_Week],11)</f>
        <v/>
      </c>
      <c r="M54">
        <f>SUMIFS(T_Shipments[Confirmed_Qty],T_Shipments[RM_Code],$A54,T_Shipments[Effective_Week],12)</f>
        <v/>
      </c>
      <c r="N54">
        <f>SUMIFS(T_Shipments[Confirmed_Qty],T_Shipments[RM_Code],$A54,T_Shipments[Effective_Week],13)</f>
        <v/>
      </c>
      <c r="O54">
        <f>SUMIFS(T_Shipments[Confirmed_Qty],T_Shipments[RM_Code],$A54,T_Shipments[Effective_Week],14)</f>
        <v/>
      </c>
      <c r="P54">
        <f>SUMIFS(T_Shipments[Confirmed_Qty],T_Shipments[RM_Code],$A54,T_Shipments[Effective_Week],15)</f>
        <v/>
      </c>
      <c r="Q54">
        <f>SUMIFS(T_Shipments[Confirmed_Qty],T_Shipments[RM_Code],$A54,T_Shipments[Effective_Week],16)</f>
        <v/>
      </c>
      <c r="R54">
        <f>SUMIFS(T_Shipments[Confirmed_Qty],T_Shipments[RM_Code],$A54,T_Shipments[Effective_Week],17)</f>
        <v/>
      </c>
      <c r="S54">
        <f>SUMIFS(T_Shipments[Confirmed_Qty],T_Shipments[RM_Code],$A54,T_Shipments[Effective_Week],18)</f>
        <v/>
      </c>
      <c r="T54">
        <f>SUMIFS(T_Shipments[Confirmed_Qty],T_Shipments[RM_Code],$A54,T_Shipments[Effective_Week],19)</f>
        <v/>
      </c>
      <c r="U54">
        <f>SUMIFS(T_Shipments[Confirmed_Qty],T_Shipments[RM_Code],$A54,T_Shipments[Effective_Week],20)</f>
        <v/>
      </c>
      <c r="V54">
        <f>SUMIFS(T_Shipments[Confirmed_Qty],T_Shipments[RM_Code],$A54,T_Shipments[Effective_Week],21)</f>
        <v/>
      </c>
      <c r="W54">
        <f>SUMIFS(T_Shipments[Confirmed_Qty],T_Shipments[RM_Code],$A54,T_Shipments[Effective_Week],22)</f>
        <v/>
      </c>
      <c r="X54">
        <f>SUMIFS(T_Shipments[Confirmed_Qty],T_Shipments[RM_Code],$A54,T_Shipments[Effective_Week],23)</f>
        <v/>
      </c>
      <c r="Y54">
        <f>SUMIFS(T_Shipments[Confirmed_Qty],T_Shipments[RM_Code],$A54,T_Shipments[Effective_Week],24)</f>
        <v/>
      </c>
      <c r="Z54">
        <f>SUMIFS(T_Shipments[Confirmed_Qty],T_Shipments[RM_Code],$A54,T_Shipments[Effective_Week],25)</f>
        <v/>
      </c>
      <c r="AA54">
        <f>SUMIFS(T_Shipments[Confirmed_Qty],T_Shipments[RM_Code],$A54,T_Shipments[Effective_Week],26)</f>
        <v/>
      </c>
      <c r="AB54">
        <f>SUMIFS(T_Shipments[Confirmed_Qty],T_Shipments[RM_Code],$A54,T_Shipments[Effective_Week],27)</f>
        <v/>
      </c>
      <c r="AC54">
        <f>SUMIFS(T_Shipments[Confirmed_Qty],T_Shipments[RM_Code],$A54,T_Shipments[Effective_Week],28)</f>
        <v/>
      </c>
      <c r="AD54">
        <f>SUMIFS(T_Shipments[Confirmed_Qty],T_Shipments[RM_Code],$A54,T_Shipments[Effective_Week],29)</f>
        <v/>
      </c>
      <c r="AE54">
        <f>SUMIFS(T_Shipments[Confirmed_Qty],T_Shipments[RM_Code],$A54,T_Shipments[Effective_Week],30)</f>
        <v/>
      </c>
      <c r="AF54">
        <f>SUMIFS(T_Shipments[Confirmed_Qty],T_Shipments[RM_Code],$A54,T_Shipments[Effective_Week],31)</f>
        <v/>
      </c>
      <c r="AG54">
        <f>SUMIFS(T_Shipments[Confirmed_Qty],T_Shipments[RM_Code],$A54,T_Shipments[Effective_Week],32)</f>
        <v/>
      </c>
      <c r="AH54">
        <f>SUMIFS(T_Shipments[Confirmed_Qty],T_Shipments[RM_Code],$A54,T_Shipments[Effective_Week],33)</f>
        <v/>
      </c>
      <c r="AI54">
        <f>SUMIFS(T_Shipments[Confirmed_Qty],T_Shipments[RM_Code],$A54,T_Shipments[Effective_Week],34)</f>
        <v/>
      </c>
      <c r="AJ54">
        <f>SUMIFS(T_Shipments[Confirmed_Qty],T_Shipments[RM_Code],$A54,T_Shipments[Effective_Week],35)</f>
        <v/>
      </c>
      <c r="AK54">
        <f>SUMIFS(T_Shipments[Confirmed_Qty],T_Shipments[RM_Code],$A54,T_Shipments[Effective_Week],36)</f>
        <v/>
      </c>
      <c r="AL54">
        <f>SUMIFS(T_Shipments[Confirmed_Qty],T_Shipments[RM_Code],$A54,T_Shipments[Effective_Week],37)</f>
        <v/>
      </c>
      <c r="AM54">
        <f>SUMIFS(T_Shipments[Confirmed_Qty],T_Shipments[RM_Code],$A54,T_Shipments[Effective_Week],38)</f>
        <v/>
      </c>
      <c r="AN54">
        <f>SUMIFS(T_Shipments[Confirmed_Qty],T_Shipments[RM_Code],$A54,T_Shipments[Effective_Week],39)</f>
        <v/>
      </c>
      <c r="AO54">
        <f>SUMIFS(T_Shipments[Confirmed_Qty],T_Shipments[RM_Code],$A54,T_Shipments[Effective_Week],40)</f>
        <v/>
      </c>
      <c r="AP54">
        <f>SUMIFS(T_Shipments[Confirmed_Qty],T_Shipments[RM_Code],$A54,T_Shipments[Effective_Week],41)</f>
        <v/>
      </c>
      <c r="AQ54">
        <f>SUMIFS(T_Shipments[Confirmed_Qty],T_Shipments[RM_Code],$A54,T_Shipments[Effective_Week],42)</f>
        <v/>
      </c>
      <c r="AR54">
        <f>SUMIFS(T_Shipments[Confirmed_Qty],T_Shipments[RM_Code],$A54,T_Shipments[Effective_Week],43)</f>
        <v/>
      </c>
      <c r="AS54">
        <f>SUMIFS(T_Shipments[Confirmed_Qty],T_Shipments[RM_Code],$A54,T_Shipments[Effective_Week],44)</f>
        <v/>
      </c>
      <c r="AT54">
        <f>SUMIFS(T_Shipments[Confirmed_Qty],T_Shipments[RM_Code],$A54,T_Shipments[Effective_Week],45)</f>
        <v/>
      </c>
      <c r="AU54">
        <f>SUMIFS(T_Shipments[Confirmed_Qty],T_Shipments[RM_Code],$A54,T_Shipments[Effective_Week],46)</f>
        <v/>
      </c>
      <c r="AV54">
        <f>SUMIFS(T_Shipments[Confirmed_Qty],T_Shipments[RM_Code],$A54,T_Shipments[Effective_Week],47)</f>
        <v/>
      </c>
      <c r="AW54">
        <f>SUMIFS(T_Shipments[Confirmed_Qty],T_Shipments[RM_Code],$A54,T_Shipments[Effective_Week],48)</f>
        <v/>
      </c>
      <c r="AX54">
        <f>SUMIFS(T_Shipments[Confirmed_Qty],T_Shipments[RM_Code],$A54,T_Shipments[Effective_Week],49)</f>
        <v/>
      </c>
      <c r="AY54">
        <f>SUMIFS(T_Shipments[Confirmed_Qty],T_Shipments[RM_Code],$A54,T_Shipments[Effective_Week],50)</f>
        <v/>
      </c>
      <c r="AZ54">
        <f>SUMIFS(T_Shipments[Confirmed_Qty],T_Shipments[RM_Code],$A54,T_Shipments[Effective_Week],51)</f>
        <v/>
      </c>
      <c r="BA54">
        <f>SUMIFS(T_Shipments[Confirmed_Qty],T_Shipments[RM_Code],$A54,T_Shipments[Effective_Week],52)</f>
        <v/>
      </c>
      <c r="BB54">
        <f>SUMIFS(T_Shipments[Confirmed_Qty],T_Shipments[RM_Code],$A54,T_Shipments[Effective_Week],53)</f>
        <v/>
      </c>
      <c r="BC54">
        <f>SUMIFS(T_Shipments[Confirmed_Qty],T_Shipments[RM_Code],$A54,T_Shipments[Effective_Week],54)</f>
        <v/>
      </c>
      <c r="BD54">
        <f>SUMIFS(T_Shipments[Confirmed_Qty],T_Shipments[RM_Code],$A54,T_Shipments[Effective_Week],55)</f>
        <v/>
      </c>
      <c r="BE54">
        <f>SUMIFS(T_Shipments[Confirmed_Qty],T_Shipments[RM_Code],$A54,T_Shipments[Effective_Week],56)</f>
        <v/>
      </c>
      <c r="BF54">
        <f>SUMIFS(T_Shipments[Confirmed_Qty],T_Shipments[RM_Code],$A54,T_Shipments[Effective_Week],57)</f>
        <v/>
      </c>
      <c r="BG54">
        <f>SUMIFS(T_Shipments[Confirmed_Qty],T_Shipments[RM_Code],$A54,T_Shipments[Effective_Week],58)</f>
        <v/>
      </c>
      <c r="BH54">
        <f>SUMIFS(T_Shipments[Confirmed_Qty],T_Shipments[RM_Code],$A54,T_Shipments[Effective_Week],59)</f>
        <v/>
      </c>
      <c r="BI54">
        <f>SUMIFS(T_Shipments[Confirmed_Qty],T_Shipments[RM_Code],$A54,T_Shipments[Effective_Week],60)</f>
        <v/>
      </c>
      <c r="BJ54">
        <f>SUMIFS(T_Shipments[Confirmed_Qty],T_Shipments[RM_Code],$A54,T_Shipments[Effective_Week],61)</f>
        <v/>
      </c>
      <c r="BK54">
        <f>SUMIFS(T_Shipments[Confirmed_Qty],T_Shipments[RM_Code],$A54,T_Shipments[Effective_Week],62)</f>
        <v/>
      </c>
      <c r="BL54">
        <f>SUMIFS(T_Shipments[Confirmed_Qty],T_Shipments[RM_Code],$A54,T_Shipments[Effective_Week],63)</f>
        <v/>
      </c>
      <c r="BM54">
        <f>SUMIFS(T_Shipments[Confirmed_Qty],T_Shipments[RM_Code],$A54,T_Shipments[Effective_Week],64)</f>
        <v/>
      </c>
      <c r="BN54">
        <f>SUMIFS(T_Shipments[Confirmed_Qty],T_Shipments[RM_Code],$A54,T_Shipments[Effective_Week],65)</f>
        <v/>
      </c>
      <c r="BO54">
        <f>SUMIFS(T_Shipments[Confirmed_Qty],T_Shipments[RM_Code],$A54,T_Shipments[Effective_Week],66)</f>
        <v/>
      </c>
      <c r="BP54">
        <f>SUMIFS(T_Shipments[Confirmed_Qty],T_Shipments[RM_Code],$A54,T_Shipments[Effective_Week],67)</f>
        <v/>
      </c>
      <c r="BQ54">
        <f>SUMIFS(T_Shipments[Confirmed_Qty],T_Shipments[RM_Code],$A54,T_Shipments[Effective_Week],68)</f>
        <v/>
      </c>
      <c r="BR54">
        <f>SUMIFS(T_Shipments[Confirmed_Qty],T_Shipments[RM_Code],$A54,T_Shipments[Effective_Week],69)</f>
        <v/>
      </c>
      <c r="BS54">
        <f>SUMIFS(T_Shipments[Confirmed_Qty],T_Shipments[RM_Code],$A54,T_Shipments[Effective_Week],70)</f>
        <v/>
      </c>
      <c r="BT54">
        <f>SUMIFS(T_Shipments[Confirmed_Qty],T_Shipments[RM_Code],$A54,T_Shipments[Effective_Week],71)</f>
        <v/>
      </c>
      <c r="BU54">
        <f>SUMIFS(T_Shipments[Confirmed_Qty],T_Shipments[RM_Code],$A54,T_Shipments[Effective_Week],72)</f>
        <v/>
      </c>
      <c r="BV54">
        <f>SUMIFS(T_Shipments[Confirmed_Qty],T_Shipments[RM_Code],$A54,T_Shipments[Effective_Week],73)</f>
        <v/>
      </c>
      <c r="BW54">
        <f>SUMIFS(T_Shipments[Confirmed_Qty],T_Shipments[RM_Code],$A54,T_Shipments[Effective_Week],74)</f>
        <v/>
      </c>
      <c r="BX54">
        <f>SUMIFS(T_Shipments[Confirmed_Qty],T_Shipments[RM_Code],$A54,T_Shipments[Effective_Week],75)</f>
        <v/>
      </c>
      <c r="BY54">
        <f>SUMIFS(T_Shipments[Confirmed_Qty],T_Shipments[RM_Code],$A54,T_Shipments[Effective_Week],76)</f>
        <v/>
      </c>
      <c r="BZ54">
        <f>SUMIFS(T_Shipments[Confirmed_Qty],T_Shipments[RM_Code],$A54,T_Shipments[Effective_Week],77)</f>
        <v/>
      </c>
      <c r="CA54">
        <f>SUMIFS(T_Shipments[Confirmed_Qty],T_Shipments[RM_Code],$A54,T_Shipments[Effective_Week],78)</f>
        <v/>
      </c>
      <c r="CB54">
        <f>SUMIFS(T_Shipments[Confirmed_Qty],T_Shipments[RM_Code],$A54,T_Shipments[Effective_Week],79)</f>
        <v/>
      </c>
      <c r="CC54">
        <f>SUMIFS(T_Shipments[Confirmed_Qty],T_Shipments[RM_Code],$A54,T_Shipments[Effective_Week],80)</f>
        <v/>
      </c>
      <c r="CD54">
        <f>SUMIFS(T_Shipments[Confirmed_Qty],T_Shipments[RM_Code],$A54,T_Shipments[Effective_Week],81)</f>
        <v/>
      </c>
      <c r="CE54">
        <f>SUMIFS(T_Shipments[Confirmed_Qty],T_Shipments[RM_Code],$A54,T_Shipments[Effective_Week],82)</f>
        <v/>
      </c>
      <c r="CF54">
        <f>SUMIFS(T_Shipments[Confirmed_Qty],T_Shipments[RM_Code],$A54,T_Shipments[Effective_Week],83)</f>
        <v/>
      </c>
      <c r="CG54">
        <f>SUMIFS(T_Shipments[Confirmed_Qty],T_Shipments[RM_Code],$A54,T_Shipments[Effective_Week],84)</f>
        <v/>
      </c>
      <c r="CH54">
        <f>SUMIFS(T_Shipments[Confirmed_Qty],T_Shipments[RM_Code],$A54,T_Shipments[Effective_Week],85)</f>
        <v/>
      </c>
      <c r="CI54">
        <f>SUMIFS(T_Shipments[Confirmed_Qty],T_Shipments[RM_Code],$A54,T_Shipments[Effective_Week],86)</f>
        <v/>
      </c>
      <c r="CJ54">
        <f>SUMIFS(T_Shipments[Confirmed_Qty],T_Shipments[RM_Code],$A54,T_Shipments[Effective_Week],87)</f>
        <v/>
      </c>
      <c r="CK54">
        <f>SUMIFS(T_Shipments[Confirmed_Qty],T_Shipments[RM_Code],$A54,T_Shipments[Effective_Week],88)</f>
        <v/>
      </c>
      <c r="CL54">
        <f>SUMIFS(T_Shipments[Confirmed_Qty],T_Shipments[RM_Code],$A54,T_Shipments[Effective_Week],89)</f>
        <v/>
      </c>
      <c r="CM54">
        <f>SUMIFS(T_Shipments[Confirmed_Qty],T_Shipments[RM_Code],$A54,T_Shipments[Effective_Week],90)</f>
        <v/>
      </c>
      <c r="CN54">
        <f>SUMIFS(T_Shipments[Confirmed_Qty],T_Shipments[RM_Code],$A54,T_Shipments[Effective_Week],91)</f>
        <v/>
      </c>
      <c r="CO54">
        <f>SUMIFS(T_Shipments[Confirmed_Qty],T_Shipments[RM_Code],$A54,T_Shipments[Effective_Week],92)</f>
        <v/>
      </c>
      <c r="CP54">
        <f>SUMIFS(T_Shipments[Confirmed_Qty],T_Shipments[RM_Code],$A54,T_Shipments[Effective_Week],93)</f>
        <v/>
      </c>
      <c r="CQ54">
        <f>SUMIFS(T_Shipments[Confirmed_Qty],T_Shipments[RM_Code],$A54,T_Shipments[Effective_Week],94)</f>
        <v/>
      </c>
      <c r="CR54">
        <f>SUMIFS(T_Shipments[Confirmed_Qty],T_Shipments[RM_Code],$A54,T_Shipments[Effective_Week],95)</f>
        <v/>
      </c>
      <c r="CS54">
        <f>SUMIFS(T_Shipments[Confirmed_Qty],T_Shipments[RM_Code],$A54,T_Shipments[Effective_Week],96)</f>
        <v/>
      </c>
      <c r="CT54">
        <f>SUMIFS(T_Shipments[Confirmed_Qty],T_Shipments[RM_Code],$A54,T_Shipments[Effective_Week],97)</f>
        <v/>
      </c>
      <c r="CU54">
        <f>SUMIFS(T_Shipments[Confirmed_Qty],T_Shipments[RM_Code],$A54,T_Shipments[Effective_Week],98)</f>
        <v/>
      </c>
      <c r="CV54">
        <f>SUMIFS(T_Shipments[Confirmed_Qty],T_Shipments[RM_Code],$A54,T_Shipments[Effective_Week],99)</f>
        <v/>
      </c>
      <c r="CW54">
        <f>SUMIFS(T_Shipments[Confirmed_Qty],T_Shipments[RM_Code],$A54,T_Shipments[Effective_Week],100)</f>
        <v/>
      </c>
      <c r="CX54">
        <f>SUMIFS(T_Shipments[Confirmed_Qty],T_Shipments[RM_Code],$A54,T_Shipments[Effective_Week],101)</f>
        <v/>
      </c>
      <c r="CY54">
        <f>SUMIFS(T_Shipments[Confirmed_Qty],T_Shipments[RM_Code],$A54,T_Shipments[Effective_Week],102)</f>
        <v/>
      </c>
      <c r="CZ54">
        <f>SUMIFS(T_Shipments[Confirmed_Qty],T_Shipments[RM_Code],$A54,T_Shipments[Effective_Week],103)</f>
        <v/>
      </c>
      <c r="DA54">
        <f>SUMIFS(T_Shipments[Confirmed_Qty],T_Shipments[RM_Code],$A54,T_Shipments[Effective_Week],104)</f>
        <v/>
      </c>
    </row>
    <row r="55">
      <c r="A55" t="inlineStr">
        <is>
          <t>CHEM-1510</t>
        </is>
      </c>
      <c r="B55">
        <f>SUMIFS(T_Shipments[Confirmed_Qty],T_Shipments[RM_Code],$A55,T_Shipments[Effective_Week],1)</f>
        <v/>
      </c>
      <c r="C55">
        <f>SUMIFS(T_Shipments[Confirmed_Qty],T_Shipments[RM_Code],$A55,T_Shipments[Effective_Week],2)</f>
        <v/>
      </c>
      <c r="D55">
        <f>SUMIFS(T_Shipments[Confirmed_Qty],T_Shipments[RM_Code],$A55,T_Shipments[Effective_Week],3)</f>
        <v/>
      </c>
      <c r="E55">
        <f>SUMIFS(T_Shipments[Confirmed_Qty],T_Shipments[RM_Code],$A55,T_Shipments[Effective_Week],4)</f>
        <v/>
      </c>
      <c r="F55">
        <f>SUMIFS(T_Shipments[Confirmed_Qty],T_Shipments[RM_Code],$A55,T_Shipments[Effective_Week],5)</f>
        <v/>
      </c>
      <c r="G55">
        <f>SUMIFS(T_Shipments[Confirmed_Qty],T_Shipments[RM_Code],$A55,T_Shipments[Effective_Week],6)</f>
        <v/>
      </c>
      <c r="H55">
        <f>SUMIFS(T_Shipments[Confirmed_Qty],T_Shipments[RM_Code],$A55,T_Shipments[Effective_Week],7)</f>
        <v/>
      </c>
      <c r="I55">
        <f>SUMIFS(T_Shipments[Confirmed_Qty],T_Shipments[RM_Code],$A55,T_Shipments[Effective_Week],8)</f>
        <v/>
      </c>
      <c r="J55">
        <f>SUMIFS(T_Shipments[Confirmed_Qty],T_Shipments[RM_Code],$A55,T_Shipments[Effective_Week],9)</f>
        <v/>
      </c>
      <c r="K55">
        <f>SUMIFS(T_Shipments[Confirmed_Qty],T_Shipments[RM_Code],$A55,T_Shipments[Effective_Week],10)</f>
        <v/>
      </c>
      <c r="L55">
        <f>SUMIFS(T_Shipments[Confirmed_Qty],T_Shipments[RM_Code],$A55,T_Shipments[Effective_Week],11)</f>
        <v/>
      </c>
      <c r="M55">
        <f>SUMIFS(T_Shipments[Confirmed_Qty],T_Shipments[RM_Code],$A55,T_Shipments[Effective_Week],12)</f>
        <v/>
      </c>
      <c r="N55">
        <f>SUMIFS(T_Shipments[Confirmed_Qty],T_Shipments[RM_Code],$A55,T_Shipments[Effective_Week],13)</f>
        <v/>
      </c>
      <c r="O55">
        <f>SUMIFS(T_Shipments[Confirmed_Qty],T_Shipments[RM_Code],$A55,T_Shipments[Effective_Week],14)</f>
        <v/>
      </c>
      <c r="P55">
        <f>SUMIFS(T_Shipments[Confirmed_Qty],T_Shipments[RM_Code],$A55,T_Shipments[Effective_Week],15)</f>
        <v/>
      </c>
      <c r="Q55">
        <f>SUMIFS(T_Shipments[Confirmed_Qty],T_Shipments[RM_Code],$A55,T_Shipments[Effective_Week],16)</f>
        <v/>
      </c>
      <c r="R55">
        <f>SUMIFS(T_Shipments[Confirmed_Qty],T_Shipments[RM_Code],$A55,T_Shipments[Effective_Week],17)</f>
        <v/>
      </c>
      <c r="S55">
        <f>SUMIFS(T_Shipments[Confirmed_Qty],T_Shipments[RM_Code],$A55,T_Shipments[Effective_Week],18)</f>
        <v/>
      </c>
      <c r="T55">
        <f>SUMIFS(T_Shipments[Confirmed_Qty],T_Shipments[RM_Code],$A55,T_Shipments[Effective_Week],19)</f>
        <v/>
      </c>
      <c r="U55">
        <f>SUMIFS(T_Shipments[Confirmed_Qty],T_Shipments[RM_Code],$A55,T_Shipments[Effective_Week],20)</f>
        <v/>
      </c>
      <c r="V55">
        <f>SUMIFS(T_Shipments[Confirmed_Qty],T_Shipments[RM_Code],$A55,T_Shipments[Effective_Week],21)</f>
        <v/>
      </c>
      <c r="W55">
        <f>SUMIFS(T_Shipments[Confirmed_Qty],T_Shipments[RM_Code],$A55,T_Shipments[Effective_Week],22)</f>
        <v/>
      </c>
      <c r="X55">
        <f>SUMIFS(T_Shipments[Confirmed_Qty],T_Shipments[RM_Code],$A55,T_Shipments[Effective_Week],23)</f>
        <v/>
      </c>
      <c r="Y55">
        <f>SUMIFS(T_Shipments[Confirmed_Qty],T_Shipments[RM_Code],$A55,T_Shipments[Effective_Week],24)</f>
        <v/>
      </c>
      <c r="Z55">
        <f>SUMIFS(T_Shipments[Confirmed_Qty],T_Shipments[RM_Code],$A55,T_Shipments[Effective_Week],25)</f>
        <v/>
      </c>
      <c r="AA55">
        <f>SUMIFS(T_Shipments[Confirmed_Qty],T_Shipments[RM_Code],$A55,T_Shipments[Effective_Week],26)</f>
        <v/>
      </c>
      <c r="AB55">
        <f>SUMIFS(T_Shipments[Confirmed_Qty],T_Shipments[RM_Code],$A55,T_Shipments[Effective_Week],27)</f>
        <v/>
      </c>
      <c r="AC55">
        <f>SUMIFS(T_Shipments[Confirmed_Qty],T_Shipments[RM_Code],$A55,T_Shipments[Effective_Week],28)</f>
        <v/>
      </c>
      <c r="AD55">
        <f>SUMIFS(T_Shipments[Confirmed_Qty],T_Shipments[RM_Code],$A55,T_Shipments[Effective_Week],29)</f>
        <v/>
      </c>
      <c r="AE55">
        <f>SUMIFS(T_Shipments[Confirmed_Qty],T_Shipments[RM_Code],$A55,T_Shipments[Effective_Week],30)</f>
        <v/>
      </c>
      <c r="AF55">
        <f>SUMIFS(T_Shipments[Confirmed_Qty],T_Shipments[RM_Code],$A55,T_Shipments[Effective_Week],31)</f>
        <v/>
      </c>
      <c r="AG55">
        <f>SUMIFS(T_Shipments[Confirmed_Qty],T_Shipments[RM_Code],$A55,T_Shipments[Effective_Week],32)</f>
        <v/>
      </c>
      <c r="AH55">
        <f>SUMIFS(T_Shipments[Confirmed_Qty],T_Shipments[RM_Code],$A55,T_Shipments[Effective_Week],33)</f>
        <v/>
      </c>
      <c r="AI55">
        <f>SUMIFS(T_Shipments[Confirmed_Qty],T_Shipments[RM_Code],$A55,T_Shipments[Effective_Week],34)</f>
        <v/>
      </c>
      <c r="AJ55">
        <f>SUMIFS(T_Shipments[Confirmed_Qty],T_Shipments[RM_Code],$A55,T_Shipments[Effective_Week],35)</f>
        <v/>
      </c>
      <c r="AK55">
        <f>SUMIFS(T_Shipments[Confirmed_Qty],T_Shipments[RM_Code],$A55,T_Shipments[Effective_Week],36)</f>
        <v/>
      </c>
      <c r="AL55">
        <f>SUMIFS(T_Shipments[Confirmed_Qty],T_Shipments[RM_Code],$A55,T_Shipments[Effective_Week],37)</f>
        <v/>
      </c>
      <c r="AM55">
        <f>SUMIFS(T_Shipments[Confirmed_Qty],T_Shipments[RM_Code],$A55,T_Shipments[Effective_Week],38)</f>
        <v/>
      </c>
      <c r="AN55">
        <f>SUMIFS(T_Shipments[Confirmed_Qty],T_Shipments[RM_Code],$A55,T_Shipments[Effective_Week],39)</f>
        <v/>
      </c>
      <c r="AO55">
        <f>SUMIFS(T_Shipments[Confirmed_Qty],T_Shipments[RM_Code],$A55,T_Shipments[Effective_Week],40)</f>
        <v/>
      </c>
      <c r="AP55">
        <f>SUMIFS(T_Shipments[Confirmed_Qty],T_Shipments[RM_Code],$A55,T_Shipments[Effective_Week],41)</f>
        <v/>
      </c>
      <c r="AQ55">
        <f>SUMIFS(T_Shipments[Confirmed_Qty],T_Shipments[RM_Code],$A55,T_Shipments[Effective_Week],42)</f>
        <v/>
      </c>
      <c r="AR55">
        <f>SUMIFS(T_Shipments[Confirmed_Qty],T_Shipments[RM_Code],$A55,T_Shipments[Effective_Week],43)</f>
        <v/>
      </c>
      <c r="AS55">
        <f>SUMIFS(T_Shipments[Confirmed_Qty],T_Shipments[RM_Code],$A55,T_Shipments[Effective_Week],44)</f>
        <v/>
      </c>
      <c r="AT55">
        <f>SUMIFS(T_Shipments[Confirmed_Qty],T_Shipments[RM_Code],$A55,T_Shipments[Effective_Week],45)</f>
        <v/>
      </c>
      <c r="AU55">
        <f>SUMIFS(T_Shipments[Confirmed_Qty],T_Shipments[RM_Code],$A55,T_Shipments[Effective_Week],46)</f>
        <v/>
      </c>
      <c r="AV55">
        <f>SUMIFS(T_Shipments[Confirmed_Qty],T_Shipments[RM_Code],$A55,T_Shipments[Effective_Week],47)</f>
        <v/>
      </c>
      <c r="AW55">
        <f>SUMIFS(T_Shipments[Confirmed_Qty],T_Shipments[RM_Code],$A55,T_Shipments[Effective_Week],48)</f>
        <v/>
      </c>
      <c r="AX55">
        <f>SUMIFS(T_Shipments[Confirmed_Qty],T_Shipments[RM_Code],$A55,T_Shipments[Effective_Week],49)</f>
        <v/>
      </c>
      <c r="AY55">
        <f>SUMIFS(T_Shipments[Confirmed_Qty],T_Shipments[RM_Code],$A55,T_Shipments[Effective_Week],50)</f>
        <v/>
      </c>
      <c r="AZ55">
        <f>SUMIFS(T_Shipments[Confirmed_Qty],T_Shipments[RM_Code],$A55,T_Shipments[Effective_Week],51)</f>
        <v/>
      </c>
      <c r="BA55">
        <f>SUMIFS(T_Shipments[Confirmed_Qty],T_Shipments[RM_Code],$A55,T_Shipments[Effective_Week],52)</f>
        <v/>
      </c>
      <c r="BB55">
        <f>SUMIFS(T_Shipments[Confirmed_Qty],T_Shipments[RM_Code],$A55,T_Shipments[Effective_Week],53)</f>
        <v/>
      </c>
      <c r="BC55">
        <f>SUMIFS(T_Shipments[Confirmed_Qty],T_Shipments[RM_Code],$A55,T_Shipments[Effective_Week],54)</f>
        <v/>
      </c>
      <c r="BD55">
        <f>SUMIFS(T_Shipments[Confirmed_Qty],T_Shipments[RM_Code],$A55,T_Shipments[Effective_Week],55)</f>
        <v/>
      </c>
      <c r="BE55">
        <f>SUMIFS(T_Shipments[Confirmed_Qty],T_Shipments[RM_Code],$A55,T_Shipments[Effective_Week],56)</f>
        <v/>
      </c>
      <c r="BF55">
        <f>SUMIFS(T_Shipments[Confirmed_Qty],T_Shipments[RM_Code],$A55,T_Shipments[Effective_Week],57)</f>
        <v/>
      </c>
      <c r="BG55">
        <f>SUMIFS(T_Shipments[Confirmed_Qty],T_Shipments[RM_Code],$A55,T_Shipments[Effective_Week],58)</f>
        <v/>
      </c>
      <c r="BH55">
        <f>SUMIFS(T_Shipments[Confirmed_Qty],T_Shipments[RM_Code],$A55,T_Shipments[Effective_Week],59)</f>
        <v/>
      </c>
      <c r="BI55">
        <f>SUMIFS(T_Shipments[Confirmed_Qty],T_Shipments[RM_Code],$A55,T_Shipments[Effective_Week],60)</f>
        <v/>
      </c>
      <c r="BJ55">
        <f>SUMIFS(T_Shipments[Confirmed_Qty],T_Shipments[RM_Code],$A55,T_Shipments[Effective_Week],61)</f>
        <v/>
      </c>
      <c r="BK55">
        <f>SUMIFS(T_Shipments[Confirmed_Qty],T_Shipments[RM_Code],$A55,T_Shipments[Effective_Week],62)</f>
        <v/>
      </c>
      <c r="BL55">
        <f>SUMIFS(T_Shipments[Confirmed_Qty],T_Shipments[RM_Code],$A55,T_Shipments[Effective_Week],63)</f>
        <v/>
      </c>
      <c r="BM55">
        <f>SUMIFS(T_Shipments[Confirmed_Qty],T_Shipments[RM_Code],$A55,T_Shipments[Effective_Week],64)</f>
        <v/>
      </c>
      <c r="BN55">
        <f>SUMIFS(T_Shipments[Confirmed_Qty],T_Shipments[RM_Code],$A55,T_Shipments[Effective_Week],65)</f>
        <v/>
      </c>
      <c r="BO55">
        <f>SUMIFS(T_Shipments[Confirmed_Qty],T_Shipments[RM_Code],$A55,T_Shipments[Effective_Week],66)</f>
        <v/>
      </c>
      <c r="BP55">
        <f>SUMIFS(T_Shipments[Confirmed_Qty],T_Shipments[RM_Code],$A55,T_Shipments[Effective_Week],67)</f>
        <v/>
      </c>
      <c r="BQ55">
        <f>SUMIFS(T_Shipments[Confirmed_Qty],T_Shipments[RM_Code],$A55,T_Shipments[Effective_Week],68)</f>
        <v/>
      </c>
      <c r="BR55">
        <f>SUMIFS(T_Shipments[Confirmed_Qty],T_Shipments[RM_Code],$A55,T_Shipments[Effective_Week],69)</f>
        <v/>
      </c>
      <c r="BS55">
        <f>SUMIFS(T_Shipments[Confirmed_Qty],T_Shipments[RM_Code],$A55,T_Shipments[Effective_Week],70)</f>
        <v/>
      </c>
      <c r="BT55">
        <f>SUMIFS(T_Shipments[Confirmed_Qty],T_Shipments[RM_Code],$A55,T_Shipments[Effective_Week],71)</f>
        <v/>
      </c>
      <c r="BU55">
        <f>SUMIFS(T_Shipments[Confirmed_Qty],T_Shipments[RM_Code],$A55,T_Shipments[Effective_Week],72)</f>
        <v/>
      </c>
      <c r="BV55">
        <f>SUMIFS(T_Shipments[Confirmed_Qty],T_Shipments[RM_Code],$A55,T_Shipments[Effective_Week],73)</f>
        <v/>
      </c>
      <c r="BW55">
        <f>SUMIFS(T_Shipments[Confirmed_Qty],T_Shipments[RM_Code],$A55,T_Shipments[Effective_Week],74)</f>
        <v/>
      </c>
      <c r="BX55">
        <f>SUMIFS(T_Shipments[Confirmed_Qty],T_Shipments[RM_Code],$A55,T_Shipments[Effective_Week],75)</f>
        <v/>
      </c>
      <c r="BY55">
        <f>SUMIFS(T_Shipments[Confirmed_Qty],T_Shipments[RM_Code],$A55,T_Shipments[Effective_Week],76)</f>
        <v/>
      </c>
      <c r="BZ55">
        <f>SUMIFS(T_Shipments[Confirmed_Qty],T_Shipments[RM_Code],$A55,T_Shipments[Effective_Week],77)</f>
        <v/>
      </c>
      <c r="CA55">
        <f>SUMIFS(T_Shipments[Confirmed_Qty],T_Shipments[RM_Code],$A55,T_Shipments[Effective_Week],78)</f>
        <v/>
      </c>
      <c r="CB55">
        <f>SUMIFS(T_Shipments[Confirmed_Qty],T_Shipments[RM_Code],$A55,T_Shipments[Effective_Week],79)</f>
        <v/>
      </c>
      <c r="CC55">
        <f>SUMIFS(T_Shipments[Confirmed_Qty],T_Shipments[RM_Code],$A55,T_Shipments[Effective_Week],80)</f>
        <v/>
      </c>
      <c r="CD55">
        <f>SUMIFS(T_Shipments[Confirmed_Qty],T_Shipments[RM_Code],$A55,T_Shipments[Effective_Week],81)</f>
        <v/>
      </c>
      <c r="CE55">
        <f>SUMIFS(T_Shipments[Confirmed_Qty],T_Shipments[RM_Code],$A55,T_Shipments[Effective_Week],82)</f>
        <v/>
      </c>
      <c r="CF55">
        <f>SUMIFS(T_Shipments[Confirmed_Qty],T_Shipments[RM_Code],$A55,T_Shipments[Effective_Week],83)</f>
        <v/>
      </c>
      <c r="CG55">
        <f>SUMIFS(T_Shipments[Confirmed_Qty],T_Shipments[RM_Code],$A55,T_Shipments[Effective_Week],84)</f>
        <v/>
      </c>
      <c r="CH55">
        <f>SUMIFS(T_Shipments[Confirmed_Qty],T_Shipments[RM_Code],$A55,T_Shipments[Effective_Week],85)</f>
        <v/>
      </c>
      <c r="CI55">
        <f>SUMIFS(T_Shipments[Confirmed_Qty],T_Shipments[RM_Code],$A55,T_Shipments[Effective_Week],86)</f>
        <v/>
      </c>
      <c r="CJ55">
        <f>SUMIFS(T_Shipments[Confirmed_Qty],T_Shipments[RM_Code],$A55,T_Shipments[Effective_Week],87)</f>
        <v/>
      </c>
      <c r="CK55">
        <f>SUMIFS(T_Shipments[Confirmed_Qty],T_Shipments[RM_Code],$A55,T_Shipments[Effective_Week],88)</f>
        <v/>
      </c>
      <c r="CL55">
        <f>SUMIFS(T_Shipments[Confirmed_Qty],T_Shipments[RM_Code],$A55,T_Shipments[Effective_Week],89)</f>
        <v/>
      </c>
      <c r="CM55">
        <f>SUMIFS(T_Shipments[Confirmed_Qty],T_Shipments[RM_Code],$A55,T_Shipments[Effective_Week],90)</f>
        <v/>
      </c>
      <c r="CN55">
        <f>SUMIFS(T_Shipments[Confirmed_Qty],T_Shipments[RM_Code],$A55,T_Shipments[Effective_Week],91)</f>
        <v/>
      </c>
      <c r="CO55">
        <f>SUMIFS(T_Shipments[Confirmed_Qty],T_Shipments[RM_Code],$A55,T_Shipments[Effective_Week],92)</f>
        <v/>
      </c>
      <c r="CP55">
        <f>SUMIFS(T_Shipments[Confirmed_Qty],T_Shipments[RM_Code],$A55,T_Shipments[Effective_Week],93)</f>
        <v/>
      </c>
      <c r="CQ55">
        <f>SUMIFS(T_Shipments[Confirmed_Qty],T_Shipments[RM_Code],$A55,T_Shipments[Effective_Week],94)</f>
        <v/>
      </c>
      <c r="CR55">
        <f>SUMIFS(T_Shipments[Confirmed_Qty],T_Shipments[RM_Code],$A55,T_Shipments[Effective_Week],95)</f>
        <v/>
      </c>
      <c r="CS55">
        <f>SUMIFS(T_Shipments[Confirmed_Qty],T_Shipments[RM_Code],$A55,T_Shipments[Effective_Week],96)</f>
        <v/>
      </c>
      <c r="CT55">
        <f>SUMIFS(T_Shipments[Confirmed_Qty],T_Shipments[RM_Code],$A55,T_Shipments[Effective_Week],97)</f>
        <v/>
      </c>
      <c r="CU55">
        <f>SUMIFS(T_Shipments[Confirmed_Qty],T_Shipments[RM_Code],$A55,T_Shipments[Effective_Week],98)</f>
        <v/>
      </c>
      <c r="CV55">
        <f>SUMIFS(T_Shipments[Confirmed_Qty],T_Shipments[RM_Code],$A55,T_Shipments[Effective_Week],99)</f>
        <v/>
      </c>
      <c r="CW55">
        <f>SUMIFS(T_Shipments[Confirmed_Qty],T_Shipments[RM_Code],$A55,T_Shipments[Effective_Week],100)</f>
        <v/>
      </c>
      <c r="CX55">
        <f>SUMIFS(T_Shipments[Confirmed_Qty],T_Shipments[RM_Code],$A55,T_Shipments[Effective_Week],101)</f>
        <v/>
      </c>
      <c r="CY55">
        <f>SUMIFS(T_Shipments[Confirmed_Qty],T_Shipments[RM_Code],$A55,T_Shipments[Effective_Week],102)</f>
        <v/>
      </c>
      <c r="CZ55">
        <f>SUMIFS(T_Shipments[Confirmed_Qty],T_Shipments[RM_Code],$A55,T_Shipments[Effective_Week],103)</f>
        <v/>
      </c>
      <c r="DA55">
        <f>SUMIFS(T_Shipments[Confirmed_Qty],T_Shipments[RM_Code],$A55,T_Shipments[Effective_Week],104)</f>
        <v/>
      </c>
    </row>
    <row r="56">
      <c r="A56" t="inlineStr">
        <is>
          <t>CHEM-1080</t>
        </is>
      </c>
      <c r="B56">
        <f>SUMIFS(T_Shipments[Confirmed_Qty],T_Shipments[RM_Code],$A56,T_Shipments[Effective_Week],1)</f>
        <v/>
      </c>
      <c r="C56">
        <f>SUMIFS(T_Shipments[Confirmed_Qty],T_Shipments[RM_Code],$A56,T_Shipments[Effective_Week],2)</f>
        <v/>
      </c>
      <c r="D56">
        <f>SUMIFS(T_Shipments[Confirmed_Qty],T_Shipments[RM_Code],$A56,T_Shipments[Effective_Week],3)</f>
        <v/>
      </c>
      <c r="E56">
        <f>SUMIFS(T_Shipments[Confirmed_Qty],T_Shipments[RM_Code],$A56,T_Shipments[Effective_Week],4)</f>
        <v/>
      </c>
      <c r="F56">
        <f>SUMIFS(T_Shipments[Confirmed_Qty],T_Shipments[RM_Code],$A56,T_Shipments[Effective_Week],5)</f>
        <v/>
      </c>
      <c r="G56">
        <f>SUMIFS(T_Shipments[Confirmed_Qty],T_Shipments[RM_Code],$A56,T_Shipments[Effective_Week],6)</f>
        <v/>
      </c>
      <c r="H56">
        <f>SUMIFS(T_Shipments[Confirmed_Qty],T_Shipments[RM_Code],$A56,T_Shipments[Effective_Week],7)</f>
        <v/>
      </c>
      <c r="I56">
        <f>SUMIFS(T_Shipments[Confirmed_Qty],T_Shipments[RM_Code],$A56,T_Shipments[Effective_Week],8)</f>
        <v/>
      </c>
      <c r="J56">
        <f>SUMIFS(T_Shipments[Confirmed_Qty],T_Shipments[RM_Code],$A56,T_Shipments[Effective_Week],9)</f>
        <v/>
      </c>
      <c r="K56">
        <f>SUMIFS(T_Shipments[Confirmed_Qty],T_Shipments[RM_Code],$A56,T_Shipments[Effective_Week],10)</f>
        <v/>
      </c>
      <c r="L56">
        <f>SUMIFS(T_Shipments[Confirmed_Qty],T_Shipments[RM_Code],$A56,T_Shipments[Effective_Week],11)</f>
        <v/>
      </c>
      <c r="M56">
        <f>SUMIFS(T_Shipments[Confirmed_Qty],T_Shipments[RM_Code],$A56,T_Shipments[Effective_Week],12)</f>
        <v/>
      </c>
      <c r="N56">
        <f>SUMIFS(T_Shipments[Confirmed_Qty],T_Shipments[RM_Code],$A56,T_Shipments[Effective_Week],13)</f>
        <v/>
      </c>
      <c r="O56">
        <f>SUMIFS(T_Shipments[Confirmed_Qty],T_Shipments[RM_Code],$A56,T_Shipments[Effective_Week],14)</f>
        <v/>
      </c>
      <c r="P56">
        <f>SUMIFS(T_Shipments[Confirmed_Qty],T_Shipments[RM_Code],$A56,T_Shipments[Effective_Week],15)</f>
        <v/>
      </c>
      <c r="Q56">
        <f>SUMIFS(T_Shipments[Confirmed_Qty],T_Shipments[RM_Code],$A56,T_Shipments[Effective_Week],16)</f>
        <v/>
      </c>
      <c r="R56">
        <f>SUMIFS(T_Shipments[Confirmed_Qty],T_Shipments[RM_Code],$A56,T_Shipments[Effective_Week],17)</f>
        <v/>
      </c>
      <c r="S56">
        <f>SUMIFS(T_Shipments[Confirmed_Qty],T_Shipments[RM_Code],$A56,T_Shipments[Effective_Week],18)</f>
        <v/>
      </c>
      <c r="T56">
        <f>SUMIFS(T_Shipments[Confirmed_Qty],T_Shipments[RM_Code],$A56,T_Shipments[Effective_Week],19)</f>
        <v/>
      </c>
      <c r="U56">
        <f>SUMIFS(T_Shipments[Confirmed_Qty],T_Shipments[RM_Code],$A56,T_Shipments[Effective_Week],20)</f>
        <v/>
      </c>
      <c r="V56">
        <f>SUMIFS(T_Shipments[Confirmed_Qty],T_Shipments[RM_Code],$A56,T_Shipments[Effective_Week],21)</f>
        <v/>
      </c>
      <c r="W56">
        <f>SUMIFS(T_Shipments[Confirmed_Qty],T_Shipments[RM_Code],$A56,T_Shipments[Effective_Week],22)</f>
        <v/>
      </c>
      <c r="X56">
        <f>SUMIFS(T_Shipments[Confirmed_Qty],T_Shipments[RM_Code],$A56,T_Shipments[Effective_Week],23)</f>
        <v/>
      </c>
      <c r="Y56">
        <f>SUMIFS(T_Shipments[Confirmed_Qty],T_Shipments[RM_Code],$A56,T_Shipments[Effective_Week],24)</f>
        <v/>
      </c>
      <c r="Z56">
        <f>SUMIFS(T_Shipments[Confirmed_Qty],T_Shipments[RM_Code],$A56,T_Shipments[Effective_Week],25)</f>
        <v/>
      </c>
      <c r="AA56">
        <f>SUMIFS(T_Shipments[Confirmed_Qty],T_Shipments[RM_Code],$A56,T_Shipments[Effective_Week],26)</f>
        <v/>
      </c>
      <c r="AB56">
        <f>SUMIFS(T_Shipments[Confirmed_Qty],T_Shipments[RM_Code],$A56,T_Shipments[Effective_Week],27)</f>
        <v/>
      </c>
      <c r="AC56">
        <f>SUMIFS(T_Shipments[Confirmed_Qty],T_Shipments[RM_Code],$A56,T_Shipments[Effective_Week],28)</f>
        <v/>
      </c>
      <c r="AD56">
        <f>SUMIFS(T_Shipments[Confirmed_Qty],T_Shipments[RM_Code],$A56,T_Shipments[Effective_Week],29)</f>
        <v/>
      </c>
      <c r="AE56">
        <f>SUMIFS(T_Shipments[Confirmed_Qty],T_Shipments[RM_Code],$A56,T_Shipments[Effective_Week],30)</f>
        <v/>
      </c>
      <c r="AF56">
        <f>SUMIFS(T_Shipments[Confirmed_Qty],T_Shipments[RM_Code],$A56,T_Shipments[Effective_Week],31)</f>
        <v/>
      </c>
      <c r="AG56">
        <f>SUMIFS(T_Shipments[Confirmed_Qty],T_Shipments[RM_Code],$A56,T_Shipments[Effective_Week],32)</f>
        <v/>
      </c>
      <c r="AH56">
        <f>SUMIFS(T_Shipments[Confirmed_Qty],T_Shipments[RM_Code],$A56,T_Shipments[Effective_Week],33)</f>
        <v/>
      </c>
      <c r="AI56">
        <f>SUMIFS(T_Shipments[Confirmed_Qty],T_Shipments[RM_Code],$A56,T_Shipments[Effective_Week],34)</f>
        <v/>
      </c>
      <c r="AJ56">
        <f>SUMIFS(T_Shipments[Confirmed_Qty],T_Shipments[RM_Code],$A56,T_Shipments[Effective_Week],35)</f>
        <v/>
      </c>
      <c r="AK56">
        <f>SUMIFS(T_Shipments[Confirmed_Qty],T_Shipments[RM_Code],$A56,T_Shipments[Effective_Week],36)</f>
        <v/>
      </c>
      <c r="AL56">
        <f>SUMIFS(T_Shipments[Confirmed_Qty],T_Shipments[RM_Code],$A56,T_Shipments[Effective_Week],37)</f>
        <v/>
      </c>
      <c r="AM56">
        <f>SUMIFS(T_Shipments[Confirmed_Qty],T_Shipments[RM_Code],$A56,T_Shipments[Effective_Week],38)</f>
        <v/>
      </c>
      <c r="AN56">
        <f>SUMIFS(T_Shipments[Confirmed_Qty],T_Shipments[RM_Code],$A56,T_Shipments[Effective_Week],39)</f>
        <v/>
      </c>
      <c r="AO56">
        <f>SUMIFS(T_Shipments[Confirmed_Qty],T_Shipments[RM_Code],$A56,T_Shipments[Effective_Week],40)</f>
        <v/>
      </c>
      <c r="AP56">
        <f>SUMIFS(T_Shipments[Confirmed_Qty],T_Shipments[RM_Code],$A56,T_Shipments[Effective_Week],41)</f>
        <v/>
      </c>
      <c r="AQ56">
        <f>SUMIFS(T_Shipments[Confirmed_Qty],T_Shipments[RM_Code],$A56,T_Shipments[Effective_Week],42)</f>
        <v/>
      </c>
      <c r="AR56">
        <f>SUMIFS(T_Shipments[Confirmed_Qty],T_Shipments[RM_Code],$A56,T_Shipments[Effective_Week],43)</f>
        <v/>
      </c>
      <c r="AS56">
        <f>SUMIFS(T_Shipments[Confirmed_Qty],T_Shipments[RM_Code],$A56,T_Shipments[Effective_Week],44)</f>
        <v/>
      </c>
      <c r="AT56">
        <f>SUMIFS(T_Shipments[Confirmed_Qty],T_Shipments[RM_Code],$A56,T_Shipments[Effective_Week],45)</f>
        <v/>
      </c>
      <c r="AU56">
        <f>SUMIFS(T_Shipments[Confirmed_Qty],T_Shipments[RM_Code],$A56,T_Shipments[Effective_Week],46)</f>
        <v/>
      </c>
      <c r="AV56">
        <f>SUMIFS(T_Shipments[Confirmed_Qty],T_Shipments[RM_Code],$A56,T_Shipments[Effective_Week],47)</f>
        <v/>
      </c>
      <c r="AW56">
        <f>SUMIFS(T_Shipments[Confirmed_Qty],T_Shipments[RM_Code],$A56,T_Shipments[Effective_Week],48)</f>
        <v/>
      </c>
      <c r="AX56">
        <f>SUMIFS(T_Shipments[Confirmed_Qty],T_Shipments[RM_Code],$A56,T_Shipments[Effective_Week],49)</f>
        <v/>
      </c>
      <c r="AY56">
        <f>SUMIFS(T_Shipments[Confirmed_Qty],T_Shipments[RM_Code],$A56,T_Shipments[Effective_Week],50)</f>
        <v/>
      </c>
      <c r="AZ56">
        <f>SUMIFS(T_Shipments[Confirmed_Qty],T_Shipments[RM_Code],$A56,T_Shipments[Effective_Week],51)</f>
        <v/>
      </c>
      <c r="BA56">
        <f>SUMIFS(T_Shipments[Confirmed_Qty],T_Shipments[RM_Code],$A56,T_Shipments[Effective_Week],52)</f>
        <v/>
      </c>
      <c r="BB56">
        <f>SUMIFS(T_Shipments[Confirmed_Qty],T_Shipments[RM_Code],$A56,T_Shipments[Effective_Week],53)</f>
        <v/>
      </c>
      <c r="BC56">
        <f>SUMIFS(T_Shipments[Confirmed_Qty],T_Shipments[RM_Code],$A56,T_Shipments[Effective_Week],54)</f>
        <v/>
      </c>
      <c r="BD56">
        <f>SUMIFS(T_Shipments[Confirmed_Qty],T_Shipments[RM_Code],$A56,T_Shipments[Effective_Week],55)</f>
        <v/>
      </c>
      <c r="BE56">
        <f>SUMIFS(T_Shipments[Confirmed_Qty],T_Shipments[RM_Code],$A56,T_Shipments[Effective_Week],56)</f>
        <v/>
      </c>
      <c r="BF56">
        <f>SUMIFS(T_Shipments[Confirmed_Qty],T_Shipments[RM_Code],$A56,T_Shipments[Effective_Week],57)</f>
        <v/>
      </c>
      <c r="BG56">
        <f>SUMIFS(T_Shipments[Confirmed_Qty],T_Shipments[RM_Code],$A56,T_Shipments[Effective_Week],58)</f>
        <v/>
      </c>
      <c r="BH56">
        <f>SUMIFS(T_Shipments[Confirmed_Qty],T_Shipments[RM_Code],$A56,T_Shipments[Effective_Week],59)</f>
        <v/>
      </c>
      <c r="BI56">
        <f>SUMIFS(T_Shipments[Confirmed_Qty],T_Shipments[RM_Code],$A56,T_Shipments[Effective_Week],60)</f>
        <v/>
      </c>
      <c r="BJ56">
        <f>SUMIFS(T_Shipments[Confirmed_Qty],T_Shipments[RM_Code],$A56,T_Shipments[Effective_Week],61)</f>
        <v/>
      </c>
      <c r="BK56">
        <f>SUMIFS(T_Shipments[Confirmed_Qty],T_Shipments[RM_Code],$A56,T_Shipments[Effective_Week],62)</f>
        <v/>
      </c>
      <c r="BL56">
        <f>SUMIFS(T_Shipments[Confirmed_Qty],T_Shipments[RM_Code],$A56,T_Shipments[Effective_Week],63)</f>
        <v/>
      </c>
      <c r="BM56">
        <f>SUMIFS(T_Shipments[Confirmed_Qty],T_Shipments[RM_Code],$A56,T_Shipments[Effective_Week],64)</f>
        <v/>
      </c>
      <c r="BN56">
        <f>SUMIFS(T_Shipments[Confirmed_Qty],T_Shipments[RM_Code],$A56,T_Shipments[Effective_Week],65)</f>
        <v/>
      </c>
      <c r="BO56">
        <f>SUMIFS(T_Shipments[Confirmed_Qty],T_Shipments[RM_Code],$A56,T_Shipments[Effective_Week],66)</f>
        <v/>
      </c>
      <c r="BP56">
        <f>SUMIFS(T_Shipments[Confirmed_Qty],T_Shipments[RM_Code],$A56,T_Shipments[Effective_Week],67)</f>
        <v/>
      </c>
      <c r="BQ56">
        <f>SUMIFS(T_Shipments[Confirmed_Qty],T_Shipments[RM_Code],$A56,T_Shipments[Effective_Week],68)</f>
        <v/>
      </c>
      <c r="BR56">
        <f>SUMIFS(T_Shipments[Confirmed_Qty],T_Shipments[RM_Code],$A56,T_Shipments[Effective_Week],69)</f>
        <v/>
      </c>
      <c r="BS56">
        <f>SUMIFS(T_Shipments[Confirmed_Qty],T_Shipments[RM_Code],$A56,T_Shipments[Effective_Week],70)</f>
        <v/>
      </c>
      <c r="BT56">
        <f>SUMIFS(T_Shipments[Confirmed_Qty],T_Shipments[RM_Code],$A56,T_Shipments[Effective_Week],71)</f>
        <v/>
      </c>
      <c r="BU56">
        <f>SUMIFS(T_Shipments[Confirmed_Qty],T_Shipments[RM_Code],$A56,T_Shipments[Effective_Week],72)</f>
        <v/>
      </c>
      <c r="BV56">
        <f>SUMIFS(T_Shipments[Confirmed_Qty],T_Shipments[RM_Code],$A56,T_Shipments[Effective_Week],73)</f>
        <v/>
      </c>
      <c r="BW56">
        <f>SUMIFS(T_Shipments[Confirmed_Qty],T_Shipments[RM_Code],$A56,T_Shipments[Effective_Week],74)</f>
        <v/>
      </c>
      <c r="BX56">
        <f>SUMIFS(T_Shipments[Confirmed_Qty],T_Shipments[RM_Code],$A56,T_Shipments[Effective_Week],75)</f>
        <v/>
      </c>
      <c r="BY56">
        <f>SUMIFS(T_Shipments[Confirmed_Qty],T_Shipments[RM_Code],$A56,T_Shipments[Effective_Week],76)</f>
        <v/>
      </c>
      <c r="BZ56">
        <f>SUMIFS(T_Shipments[Confirmed_Qty],T_Shipments[RM_Code],$A56,T_Shipments[Effective_Week],77)</f>
        <v/>
      </c>
      <c r="CA56">
        <f>SUMIFS(T_Shipments[Confirmed_Qty],T_Shipments[RM_Code],$A56,T_Shipments[Effective_Week],78)</f>
        <v/>
      </c>
      <c r="CB56">
        <f>SUMIFS(T_Shipments[Confirmed_Qty],T_Shipments[RM_Code],$A56,T_Shipments[Effective_Week],79)</f>
        <v/>
      </c>
      <c r="CC56">
        <f>SUMIFS(T_Shipments[Confirmed_Qty],T_Shipments[RM_Code],$A56,T_Shipments[Effective_Week],80)</f>
        <v/>
      </c>
      <c r="CD56">
        <f>SUMIFS(T_Shipments[Confirmed_Qty],T_Shipments[RM_Code],$A56,T_Shipments[Effective_Week],81)</f>
        <v/>
      </c>
      <c r="CE56">
        <f>SUMIFS(T_Shipments[Confirmed_Qty],T_Shipments[RM_Code],$A56,T_Shipments[Effective_Week],82)</f>
        <v/>
      </c>
      <c r="CF56">
        <f>SUMIFS(T_Shipments[Confirmed_Qty],T_Shipments[RM_Code],$A56,T_Shipments[Effective_Week],83)</f>
        <v/>
      </c>
      <c r="CG56">
        <f>SUMIFS(T_Shipments[Confirmed_Qty],T_Shipments[RM_Code],$A56,T_Shipments[Effective_Week],84)</f>
        <v/>
      </c>
      <c r="CH56">
        <f>SUMIFS(T_Shipments[Confirmed_Qty],T_Shipments[RM_Code],$A56,T_Shipments[Effective_Week],85)</f>
        <v/>
      </c>
      <c r="CI56">
        <f>SUMIFS(T_Shipments[Confirmed_Qty],T_Shipments[RM_Code],$A56,T_Shipments[Effective_Week],86)</f>
        <v/>
      </c>
      <c r="CJ56">
        <f>SUMIFS(T_Shipments[Confirmed_Qty],T_Shipments[RM_Code],$A56,T_Shipments[Effective_Week],87)</f>
        <v/>
      </c>
      <c r="CK56">
        <f>SUMIFS(T_Shipments[Confirmed_Qty],T_Shipments[RM_Code],$A56,T_Shipments[Effective_Week],88)</f>
        <v/>
      </c>
      <c r="CL56">
        <f>SUMIFS(T_Shipments[Confirmed_Qty],T_Shipments[RM_Code],$A56,T_Shipments[Effective_Week],89)</f>
        <v/>
      </c>
      <c r="CM56">
        <f>SUMIFS(T_Shipments[Confirmed_Qty],T_Shipments[RM_Code],$A56,T_Shipments[Effective_Week],90)</f>
        <v/>
      </c>
      <c r="CN56">
        <f>SUMIFS(T_Shipments[Confirmed_Qty],T_Shipments[RM_Code],$A56,T_Shipments[Effective_Week],91)</f>
        <v/>
      </c>
      <c r="CO56">
        <f>SUMIFS(T_Shipments[Confirmed_Qty],T_Shipments[RM_Code],$A56,T_Shipments[Effective_Week],92)</f>
        <v/>
      </c>
      <c r="CP56">
        <f>SUMIFS(T_Shipments[Confirmed_Qty],T_Shipments[RM_Code],$A56,T_Shipments[Effective_Week],93)</f>
        <v/>
      </c>
      <c r="CQ56">
        <f>SUMIFS(T_Shipments[Confirmed_Qty],T_Shipments[RM_Code],$A56,T_Shipments[Effective_Week],94)</f>
        <v/>
      </c>
      <c r="CR56">
        <f>SUMIFS(T_Shipments[Confirmed_Qty],T_Shipments[RM_Code],$A56,T_Shipments[Effective_Week],95)</f>
        <v/>
      </c>
      <c r="CS56">
        <f>SUMIFS(T_Shipments[Confirmed_Qty],T_Shipments[RM_Code],$A56,T_Shipments[Effective_Week],96)</f>
        <v/>
      </c>
      <c r="CT56">
        <f>SUMIFS(T_Shipments[Confirmed_Qty],T_Shipments[RM_Code],$A56,T_Shipments[Effective_Week],97)</f>
        <v/>
      </c>
      <c r="CU56">
        <f>SUMIFS(T_Shipments[Confirmed_Qty],T_Shipments[RM_Code],$A56,T_Shipments[Effective_Week],98)</f>
        <v/>
      </c>
      <c r="CV56">
        <f>SUMIFS(T_Shipments[Confirmed_Qty],T_Shipments[RM_Code],$A56,T_Shipments[Effective_Week],99)</f>
        <v/>
      </c>
      <c r="CW56">
        <f>SUMIFS(T_Shipments[Confirmed_Qty],T_Shipments[RM_Code],$A56,T_Shipments[Effective_Week],100)</f>
        <v/>
      </c>
      <c r="CX56">
        <f>SUMIFS(T_Shipments[Confirmed_Qty],T_Shipments[RM_Code],$A56,T_Shipments[Effective_Week],101)</f>
        <v/>
      </c>
      <c r="CY56">
        <f>SUMIFS(T_Shipments[Confirmed_Qty],T_Shipments[RM_Code],$A56,T_Shipments[Effective_Week],102)</f>
        <v/>
      </c>
      <c r="CZ56">
        <f>SUMIFS(T_Shipments[Confirmed_Qty],T_Shipments[RM_Code],$A56,T_Shipments[Effective_Week],103)</f>
        <v/>
      </c>
      <c r="DA56">
        <f>SUMIFS(T_Shipments[Confirmed_Qty],T_Shipments[RM_Code],$A56,T_Shipments[Effective_Week],104)</f>
        <v/>
      </c>
    </row>
    <row r="57">
      <c r="A57" t="inlineStr">
        <is>
          <t>CHEM-1770</t>
        </is>
      </c>
      <c r="B57">
        <f>SUMIFS(T_Shipments[Confirmed_Qty],T_Shipments[RM_Code],$A57,T_Shipments[Effective_Week],1)</f>
        <v/>
      </c>
      <c r="C57">
        <f>SUMIFS(T_Shipments[Confirmed_Qty],T_Shipments[RM_Code],$A57,T_Shipments[Effective_Week],2)</f>
        <v/>
      </c>
      <c r="D57">
        <f>SUMIFS(T_Shipments[Confirmed_Qty],T_Shipments[RM_Code],$A57,T_Shipments[Effective_Week],3)</f>
        <v/>
      </c>
      <c r="E57">
        <f>SUMIFS(T_Shipments[Confirmed_Qty],T_Shipments[RM_Code],$A57,T_Shipments[Effective_Week],4)</f>
        <v/>
      </c>
      <c r="F57">
        <f>SUMIFS(T_Shipments[Confirmed_Qty],T_Shipments[RM_Code],$A57,T_Shipments[Effective_Week],5)</f>
        <v/>
      </c>
      <c r="G57">
        <f>SUMIFS(T_Shipments[Confirmed_Qty],T_Shipments[RM_Code],$A57,T_Shipments[Effective_Week],6)</f>
        <v/>
      </c>
      <c r="H57">
        <f>SUMIFS(T_Shipments[Confirmed_Qty],T_Shipments[RM_Code],$A57,T_Shipments[Effective_Week],7)</f>
        <v/>
      </c>
      <c r="I57">
        <f>SUMIFS(T_Shipments[Confirmed_Qty],T_Shipments[RM_Code],$A57,T_Shipments[Effective_Week],8)</f>
        <v/>
      </c>
      <c r="J57">
        <f>SUMIFS(T_Shipments[Confirmed_Qty],T_Shipments[RM_Code],$A57,T_Shipments[Effective_Week],9)</f>
        <v/>
      </c>
      <c r="K57">
        <f>SUMIFS(T_Shipments[Confirmed_Qty],T_Shipments[RM_Code],$A57,T_Shipments[Effective_Week],10)</f>
        <v/>
      </c>
      <c r="L57">
        <f>SUMIFS(T_Shipments[Confirmed_Qty],T_Shipments[RM_Code],$A57,T_Shipments[Effective_Week],11)</f>
        <v/>
      </c>
      <c r="M57">
        <f>SUMIFS(T_Shipments[Confirmed_Qty],T_Shipments[RM_Code],$A57,T_Shipments[Effective_Week],12)</f>
        <v/>
      </c>
      <c r="N57">
        <f>SUMIFS(T_Shipments[Confirmed_Qty],T_Shipments[RM_Code],$A57,T_Shipments[Effective_Week],13)</f>
        <v/>
      </c>
      <c r="O57">
        <f>SUMIFS(T_Shipments[Confirmed_Qty],T_Shipments[RM_Code],$A57,T_Shipments[Effective_Week],14)</f>
        <v/>
      </c>
      <c r="P57">
        <f>SUMIFS(T_Shipments[Confirmed_Qty],T_Shipments[RM_Code],$A57,T_Shipments[Effective_Week],15)</f>
        <v/>
      </c>
      <c r="Q57">
        <f>SUMIFS(T_Shipments[Confirmed_Qty],T_Shipments[RM_Code],$A57,T_Shipments[Effective_Week],16)</f>
        <v/>
      </c>
      <c r="R57">
        <f>SUMIFS(T_Shipments[Confirmed_Qty],T_Shipments[RM_Code],$A57,T_Shipments[Effective_Week],17)</f>
        <v/>
      </c>
      <c r="S57">
        <f>SUMIFS(T_Shipments[Confirmed_Qty],T_Shipments[RM_Code],$A57,T_Shipments[Effective_Week],18)</f>
        <v/>
      </c>
      <c r="T57">
        <f>SUMIFS(T_Shipments[Confirmed_Qty],T_Shipments[RM_Code],$A57,T_Shipments[Effective_Week],19)</f>
        <v/>
      </c>
      <c r="U57">
        <f>SUMIFS(T_Shipments[Confirmed_Qty],T_Shipments[RM_Code],$A57,T_Shipments[Effective_Week],20)</f>
        <v/>
      </c>
      <c r="V57">
        <f>SUMIFS(T_Shipments[Confirmed_Qty],T_Shipments[RM_Code],$A57,T_Shipments[Effective_Week],21)</f>
        <v/>
      </c>
      <c r="W57">
        <f>SUMIFS(T_Shipments[Confirmed_Qty],T_Shipments[RM_Code],$A57,T_Shipments[Effective_Week],22)</f>
        <v/>
      </c>
      <c r="X57">
        <f>SUMIFS(T_Shipments[Confirmed_Qty],T_Shipments[RM_Code],$A57,T_Shipments[Effective_Week],23)</f>
        <v/>
      </c>
      <c r="Y57">
        <f>SUMIFS(T_Shipments[Confirmed_Qty],T_Shipments[RM_Code],$A57,T_Shipments[Effective_Week],24)</f>
        <v/>
      </c>
      <c r="Z57">
        <f>SUMIFS(T_Shipments[Confirmed_Qty],T_Shipments[RM_Code],$A57,T_Shipments[Effective_Week],25)</f>
        <v/>
      </c>
      <c r="AA57">
        <f>SUMIFS(T_Shipments[Confirmed_Qty],T_Shipments[RM_Code],$A57,T_Shipments[Effective_Week],26)</f>
        <v/>
      </c>
      <c r="AB57">
        <f>SUMIFS(T_Shipments[Confirmed_Qty],T_Shipments[RM_Code],$A57,T_Shipments[Effective_Week],27)</f>
        <v/>
      </c>
      <c r="AC57">
        <f>SUMIFS(T_Shipments[Confirmed_Qty],T_Shipments[RM_Code],$A57,T_Shipments[Effective_Week],28)</f>
        <v/>
      </c>
      <c r="AD57">
        <f>SUMIFS(T_Shipments[Confirmed_Qty],T_Shipments[RM_Code],$A57,T_Shipments[Effective_Week],29)</f>
        <v/>
      </c>
      <c r="AE57">
        <f>SUMIFS(T_Shipments[Confirmed_Qty],T_Shipments[RM_Code],$A57,T_Shipments[Effective_Week],30)</f>
        <v/>
      </c>
      <c r="AF57">
        <f>SUMIFS(T_Shipments[Confirmed_Qty],T_Shipments[RM_Code],$A57,T_Shipments[Effective_Week],31)</f>
        <v/>
      </c>
      <c r="AG57">
        <f>SUMIFS(T_Shipments[Confirmed_Qty],T_Shipments[RM_Code],$A57,T_Shipments[Effective_Week],32)</f>
        <v/>
      </c>
      <c r="AH57">
        <f>SUMIFS(T_Shipments[Confirmed_Qty],T_Shipments[RM_Code],$A57,T_Shipments[Effective_Week],33)</f>
        <v/>
      </c>
      <c r="AI57">
        <f>SUMIFS(T_Shipments[Confirmed_Qty],T_Shipments[RM_Code],$A57,T_Shipments[Effective_Week],34)</f>
        <v/>
      </c>
      <c r="AJ57">
        <f>SUMIFS(T_Shipments[Confirmed_Qty],T_Shipments[RM_Code],$A57,T_Shipments[Effective_Week],35)</f>
        <v/>
      </c>
      <c r="AK57">
        <f>SUMIFS(T_Shipments[Confirmed_Qty],T_Shipments[RM_Code],$A57,T_Shipments[Effective_Week],36)</f>
        <v/>
      </c>
      <c r="AL57">
        <f>SUMIFS(T_Shipments[Confirmed_Qty],T_Shipments[RM_Code],$A57,T_Shipments[Effective_Week],37)</f>
        <v/>
      </c>
      <c r="AM57">
        <f>SUMIFS(T_Shipments[Confirmed_Qty],T_Shipments[RM_Code],$A57,T_Shipments[Effective_Week],38)</f>
        <v/>
      </c>
      <c r="AN57">
        <f>SUMIFS(T_Shipments[Confirmed_Qty],T_Shipments[RM_Code],$A57,T_Shipments[Effective_Week],39)</f>
        <v/>
      </c>
      <c r="AO57">
        <f>SUMIFS(T_Shipments[Confirmed_Qty],T_Shipments[RM_Code],$A57,T_Shipments[Effective_Week],40)</f>
        <v/>
      </c>
      <c r="AP57">
        <f>SUMIFS(T_Shipments[Confirmed_Qty],T_Shipments[RM_Code],$A57,T_Shipments[Effective_Week],41)</f>
        <v/>
      </c>
      <c r="AQ57">
        <f>SUMIFS(T_Shipments[Confirmed_Qty],T_Shipments[RM_Code],$A57,T_Shipments[Effective_Week],42)</f>
        <v/>
      </c>
      <c r="AR57">
        <f>SUMIFS(T_Shipments[Confirmed_Qty],T_Shipments[RM_Code],$A57,T_Shipments[Effective_Week],43)</f>
        <v/>
      </c>
      <c r="AS57">
        <f>SUMIFS(T_Shipments[Confirmed_Qty],T_Shipments[RM_Code],$A57,T_Shipments[Effective_Week],44)</f>
        <v/>
      </c>
      <c r="AT57">
        <f>SUMIFS(T_Shipments[Confirmed_Qty],T_Shipments[RM_Code],$A57,T_Shipments[Effective_Week],45)</f>
        <v/>
      </c>
      <c r="AU57">
        <f>SUMIFS(T_Shipments[Confirmed_Qty],T_Shipments[RM_Code],$A57,T_Shipments[Effective_Week],46)</f>
        <v/>
      </c>
      <c r="AV57">
        <f>SUMIFS(T_Shipments[Confirmed_Qty],T_Shipments[RM_Code],$A57,T_Shipments[Effective_Week],47)</f>
        <v/>
      </c>
      <c r="AW57">
        <f>SUMIFS(T_Shipments[Confirmed_Qty],T_Shipments[RM_Code],$A57,T_Shipments[Effective_Week],48)</f>
        <v/>
      </c>
      <c r="AX57">
        <f>SUMIFS(T_Shipments[Confirmed_Qty],T_Shipments[RM_Code],$A57,T_Shipments[Effective_Week],49)</f>
        <v/>
      </c>
      <c r="AY57">
        <f>SUMIFS(T_Shipments[Confirmed_Qty],T_Shipments[RM_Code],$A57,T_Shipments[Effective_Week],50)</f>
        <v/>
      </c>
      <c r="AZ57">
        <f>SUMIFS(T_Shipments[Confirmed_Qty],T_Shipments[RM_Code],$A57,T_Shipments[Effective_Week],51)</f>
        <v/>
      </c>
      <c r="BA57">
        <f>SUMIFS(T_Shipments[Confirmed_Qty],T_Shipments[RM_Code],$A57,T_Shipments[Effective_Week],52)</f>
        <v/>
      </c>
      <c r="BB57">
        <f>SUMIFS(T_Shipments[Confirmed_Qty],T_Shipments[RM_Code],$A57,T_Shipments[Effective_Week],53)</f>
        <v/>
      </c>
      <c r="BC57">
        <f>SUMIFS(T_Shipments[Confirmed_Qty],T_Shipments[RM_Code],$A57,T_Shipments[Effective_Week],54)</f>
        <v/>
      </c>
      <c r="BD57">
        <f>SUMIFS(T_Shipments[Confirmed_Qty],T_Shipments[RM_Code],$A57,T_Shipments[Effective_Week],55)</f>
        <v/>
      </c>
      <c r="BE57">
        <f>SUMIFS(T_Shipments[Confirmed_Qty],T_Shipments[RM_Code],$A57,T_Shipments[Effective_Week],56)</f>
        <v/>
      </c>
      <c r="BF57">
        <f>SUMIFS(T_Shipments[Confirmed_Qty],T_Shipments[RM_Code],$A57,T_Shipments[Effective_Week],57)</f>
        <v/>
      </c>
      <c r="BG57">
        <f>SUMIFS(T_Shipments[Confirmed_Qty],T_Shipments[RM_Code],$A57,T_Shipments[Effective_Week],58)</f>
        <v/>
      </c>
      <c r="BH57">
        <f>SUMIFS(T_Shipments[Confirmed_Qty],T_Shipments[RM_Code],$A57,T_Shipments[Effective_Week],59)</f>
        <v/>
      </c>
      <c r="BI57">
        <f>SUMIFS(T_Shipments[Confirmed_Qty],T_Shipments[RM_Code],$A57,T_Shipments[Effective_Week],60)</f>
        <v/>
      </c>
      <c r="BJ57">
        <f>SUMIFS(T_Shipments[Confirmed_Qty],T_Shipments[RM_Code],$A57,T_Shipments[Effective_Week],61)</f>
        <v/>
      </c>
      <c r="BK57">
        <f>SUMIFS(T_Shipments[Confirmed_Qty],T_Shipments[RM_Code],$A57,T_Shipments[Effective_Week],62)</f>
        <v/>
      </c>
      <c r="BL57">
        <f>SUMIFS(T_Shipments[Confirmed_Qty],T_Shipments[RM_Code],$A57,T_Shipments[Effective_Week],63)</f>
        <v/>
      </c>
      <c r="BM57">
        <f>SUMIFS(T_Shipments[Confirmed_Qty],T_Shipments[RM_Code],$A57,T_Shipments[Effective_Week],64)</f>
        <v/>
      </c>
      <c r="BN57">
        <f>SUMIFS(T_Shipments[Confirmed_Qty],T_Shipments[RM_Code],$A57,T_Shipments[Effective_Week],65)</f>
        <v/>
      </c>
      <c r="BO57">
        <f>SUMIFS(T_Shipments[Confirmed_Qty],T_Shipments[RM_Code],$A57,T_Shipments[Effective_Week],66)</f>
        <v/>
      </c>
      <c r="BP57">
        <f>SUMIFS(T_Shipments[Confirmed_Qty],T_Shipments[RM_Code],$A57,T_Shipments[Effective_Week],67)</f>
        <v/>
      </c>
      <c r="BQ57">
        <f>SUMIFS(T_Shipments[Confirmed_Qty],T_Shipments[RM_Code],$A57,T_Shipments[Effective_Week],68)</f>
        <v/>
      </c>
      <c r="BR57">
        <f>SUMIFS(T_Shipments[Confirmed_Qty],T_Shipments[RM_Code],$A57,T_Shipments[Effective_Week],69)</f>
        <v/>
      </c>
      <c r="BS57">
        <f>SUMIFS(T_Shipments[Confirmed_Qty],T_Shipments[RM_Code],$A57,T_Shipments[Effective_Week],70)</f>
        <v/>
      </c>
      <c r="BT57">
        <f>SUMIFS(T_Shipments[Confirmed_Qty],T_Shipments[RM_Code],$A57,T_Shipments[Effective_Week],71)</f>
        <v/>
      </c>
      <c r="BU57">
        <f>SUMIFS(T_Shipments[Confirmed_Qty],T_Shipments[RM_Code],$A57,T_Shipments[Effective_Week],72)</f>
        <v/>
      </c>
      <c r="BV57">
        <f>SUMIFS(T_Shipments[Confirmed_Qty],T_Shipments[RM_Code],$A57,T_Shipments[Effective_Week],73)</f>
        <v/>
      </c>
      <c r="BW57">
        <f>SUMIFS(T_Shipments[Confirmed_Qty],T_Shipments[RM_Code],$A57,T_Shipments[Effective_Week],74)</f>
        <v/>
      </c>
      <c r="BX57">
        <f>SUMIFS(T_Shipments[Confirmed_Qty],T_Shipments[RM_Code],$A57,T_Shipments[Effective_Week],75)</f>
        <v/>
      </c>
      <c r="BY57">
        <f>SUMIFS(T_Shipments[Confirmed_Qty],T_Shipments[RM_Code],$A57,T_Shipments[Effective_Week],76)</f>
        <v/>
      </c>
      <c r="BZ57">
        <f>SUMIFS(T_Shipments[Confirmed_Qty],T_Shipments[RM_Code],$A57,T_Shipments[Effective_Week],77)</f>
        <v/>
      </c>
      <c r="CA57">
        <f>SUMIFS(T_Shipments[Confirmed_Qty],T_Shipments[RM_Code],$A57,T_Shipments[Effective_Week],78)</f>
        <v/>
      </c>
      <c r="CB57">
        <f>SUMIFS(T_Shipments[Confirmed_Qty],T_Shipments[RM_Code],$A57,T_Shipments[Effective_Week],79)</f>
        <v/>
      </c>
      <c r="CC57">
        <f>SUMIFS(T_Shipments[Confirmed_Qty],T_Shipments[RM_Code],$A57,T_Shipments[Effective_Week],80)</f>
        <v/>
      </c>
      <c r="CD57">
        <f>SUMIFS(T_Shipments[Confirmed_Qty],T_Shipments[RM_Code],$A57,T_Shipments[Effective_Week],81)</f>
        <v/>
      </c>
      <c r="CE57">
        <f>SUMIFS(T_Shipments[Confirmed_Qty],T_Shipments[RM_Code],$A57,T_Shipments[Effective_Week],82)</f>
        <v/>
      </c>
      <c r="CF57">
        <f>SUMIFS(T_Shipments[Confirmed_Qty],T_Shipments[RM_Code],$A57,T_Shipments[Effective_Week],83)</f>
        <v/>
      </c>
      <c r="CG57">
        <f>SUMIFS(T_Shipments[Confirmed_Qty],T_Shipments[RM_Code],$A57,T_Shipments[Effective_Week],84)</f>
        <v/>
      </c>
      <c r="CH57">
        <f>SUMIFS(T_Shipments[Confirmed_Qty],T_Shipments[RM_Code],$A57,T_Shipments[Effective_Week],85)</f>
        <v/>
      </c>
      <c r="CI57">
        <f>SUMIFS(T_Shipments[Confirmed_Qty],T_Shipments[RM_Code],$A57,T_Shipments[Effective_Week],86)</f>
        <v/>
      </c>
      <c r="CJ57">
        <f>SUMIFS(T_Shipments[Confirmed_Qty],T_Shipments[RM_Code],$A57,T_Shipments[Effective_Week],87)</f>
        <v/>
      </c>
      <c r="CK57">
        <f>SUMIFS(T_Shipments[Confirmed_Qty],T_Shipments[RM_Code],$A57,T_Shipments[Effective_Week],88)</f>
        <v/>
      </c>
      <c r="CL57">
        <f>SUMIFS(T_Shipments[Confirmed_Qty],T_Shipments[RM_Code],$A57,T_Shipments[Effective_Week],89)</f>
        <v/>
      </c>
      <c r="CM57">
        <f>SUMIFS(T_Shipments[Confirmed_Qty],T_Shipments[RM_Code],$A57,T_Shipments[Effective_Week],90)</f>
        <v/>
      </c>
      <c r="CN57">
        <f>SUMIFS(T_Shipments[Confirmed_Qty],T_Shipments[RM_Code],$A57,T_Shipments[Effective_Week],91)</f>
        <v/>
      </c>
      <c r="CO57">
        <f>SUMIFS(T_Shipments[Confirmed_Qty],T_Shipments[RM_Code],$A57,T_Shipments[Effective_Week],92)</f>
        <v/>
      </c>
      <c r="CP57">
        <f>SUMIFS(T_Shipments[Confirmed_Qty],T_Shipments[RM_Code],$A57,T_Shipments[Effective_Week],93)</f>
        <v/>
      </c>
      <c r="CQ57">
        <f>SUMIFS(T_Shipments[Confirmed_Qty],T_Shipments[RM_Code],$A57,T_Shipments[Effective_Week],94)</f>
        <v/>
      </c>
      <c r="CR57">
        <f>SUMIFS(T_Shipments[Confirmed_Qty],T_Shipments[RM_Code],$A57,T_Shipments[Effective_Week],95)</f>
        <v/>
      </c>
      <c r="CS57">
        <f>SUMIFS(T_Shipments[Confirmed_Qty],T_Shipments[RM_Code],$A57,T_Shipments[Effective_Week],96)</f>
        <v/>
      </c>
      <c r="CT57">
        <f>SUMIFS(T_Shipments[Confirmed_Qty],T_Shipments[RM_Code],$A57,T_Shipments[Effective_Week],97)</f>
        <v/>
      </c>
      <c r="CU57">
        <f>SUMIFS(T_Shipments[Confirmed_Qty],T_Shipments[RM_Code],$A57,T_Shipments[Effective_Week],98)</f>
        <v/>
      </c>
      <c r="CV57">
        <f>SUMIFS(T_Shipments[Confirmed_Qty],T_Shipments[RM_Code],$A57,T_Shipments[Effective_Week],99)</f>
        <v/>
      </c>
      <c r="CW57">
        <f>SUMIFS(T_Shipments[Confirmed_Qty],T_Shipments[RM_Code],$A57,T_Shipments[Effective_Week],100)</f>
        <v/>
      </c>
      <c r="CX57">
        <f>SUMIFS(T_Shipments[Confirmed_Qty],T_Shipments[RM_Code],$A57,T_Shipments[Effective_Week],101)</f>
        <v/>
      </c>
      <c r="CY57">
        <f>SUMIFS(T_Shipments[Confirmed_Qty],T_Shipments[RM_Code],$A57,T_Shipments[Effective_Week],102)</f>
        <v/>
      </c>
      <c r="CZ57">
        <f>SUMIFS(T_Shipments[Confirmed_Qty],T_Shipments[RM_Code],$A57,T_Shipments[Effective_Week],103)</f>
        <v/>
      </c>
      <c r="DA57">
        <f>SUMIFS(T_Shipments[Confirmed_Qty],T_Shipments[RM_Code],$A57,T_Shipments[Effective_Week],104)</f>
        <v/>
      </c>
    </row>
    <row r="58">
      <c r="A58" t="inlineStr">
        <is>
          <t>CHEM-1850</t>
        </is>
      </c>
      <c r="B58">
        <f>SUMIFS(T_Shipments[Confirmed_Qty],T_Shipments[RM_Code],$A58,T_Shipments[Effective_Week],1)</f>
        <v/>
      </c>
      <c r="C58">
        <f>SUMIFS(T_Shipments[Confirmed_Qty],T_Shipments[RM_Code],$A58,T_Shipments[Effective_Week],2)</f>
        <v/>
      </c>
      <c r="D58">
        <f>SUMIFS(T_Shipments[Confirmed_Qty],T_Shipments[RM_Code],$A58,T_Shipments[Effective_Week],3)</f>
        <v/>
      </c>
      <c r="E58">
        <f>SUMIFS(T_Shipments[Confirmed_Qty],T_Shipments[RM_Code],$A58,T_Shipments[Effective_Week],4)</f>
        <v/>
      </c>
      <c r="F58">
        <f>SUMIFS(T_Shipments[Confirmed_Qty],T_Shipments[RM_Code],$A58,T_Shipments[Effective_Week],5)</f>
        <v/>
      </c>
      <c r="G58">
        <f>SUMIFS(T_Shipments[Confirmed_Qty],T_Shipments[RM_Code],$A58,T_Shipments[Effective_Week],6)</f>
        <v/>
      </c>
      <c r="H58">
        <f>SUMIFS(T_Shipments[Confirmed_Qty],T_Shipments[RM_Code],$A58,T_Shipments[Effective_Week],7)</f>
        <v/>
      </c>
      <c r="I58">
        <f>SUMIFS(T_Shipments[Confirmed_Qty],T_Shipments[RM_Code],$A58,T_Shipments[Effective_Week],8)</f>
        <v/>
      </c>
      <c r="J58">
        <f>SUMIFS(T_Shipments[Confirmed_Qty],T_Shipments[RM_Code],$A58,T_Shipments[Effective_Week],9)</f>
        <v/>
      </c>
      <c r="K58">
        <f>SUMIFS(T_Shipments[Confirmed_Qty],T_Shipments[RM_Code],$A58,T_Shipments[Effective_Week],10)</f>
        <v/>
      </c>
      <c r="L58">
        <f>SUMIFS(T_Shipments[Confirmed_Qty],T_Shipments[RM_Code],$A58,T_Shipments[Effective_Week],11)</f>
        <v/>
      </c>
      <c r="M58">
        <f>SUMIFS(T_Shipments[Confirmed_Qty],T_Shipments[RM_Code],$A58,T_Shipments[Effective_Week],12)</f>
        <v/>
      </c>
      <c r="N58">
        <f>SUMIFS(T_Shipments[Confirmed_Qty],T_Shipments[RM_Code],$A58,T_Shipments[Effective_Week],13)</f>
        <v/>
      </c>
      <c r="O58">
        <f>SUMIFS(T_Shipments[Confirmed_Qty],T_Shipments[RM_Code],$A58,T_Shipments[Effective_Week],14)</f>
        <v/>
      </c>
      <c r="P58">
        <f>SUMIFS(T_Shipments[Confirmed_Qty],T_Shipments[RM_Code],$A58,T_Shipments[Effective_Week],15)</f>
        <v/>
      </c>
      <c r="Q58">
        <f>SUMIFS(T_Shipments[Confirmed_Qty],T_Shipments[RM_Code],$A58,T_Shipments[Effective_Week],16)</f>
        <v/>
      </c>
      <c r="R58">
        <f>SUMIFS(T_Shipments[Confirmed_Qty],T_Shipments[RM_Code],$A58,T_Shipments[Effective_Week],17)</f>
        <v/>
      </c>
      <c r="S58">
        <f>SUMIFS(T_Shipments[Confirmed_Qty],T_Shipments[RM_Code],$A58,T_Shipments[Effective_Week],18)</f>
        <v/>
      </c>
      <c r="T58">
        <f>SUMIFS(T_Shipments[Confirmed_Qty],T_Shipments[RM_Code],$A58,T_Shipments[Effective_Week],19)</f>
        <v/>
      </c>
      <c r="U58">
        <f>SUMIFS(T_Shipments[Confirmed_Qty],T_Shipments[RM_Code],$A58,T_Shipments[Effective_Week],20)</f>
        <v/>
      </c>
      <c r="V58">
        <f>SUMIFS(T_Shipments[Confirmed_Qty],T_Shipments[RM_Code],$A58,T_Shipments[Effective_Week],21)</f>
        <v/>
      </c>
      <c r="W58">
        <f>SUMIFS(T_Shipments[Confirmed_Qty],T_Shipments[RM_Code],$A58,T_Shipments[Effective_Week],22)</f>
        <v/>
      </c>
      <c r="X58">
        <f>SUMIFS(T_Shipments[Confirmed_Qty],T_Shipments[RM_Code],$A58,T_Shipments[Effective_Week],23)</f>
        <v/>
      </c>
      <c r="Y58">
        <f>SUMIFS(T_Shipments[Confirmed_Qty],T_Shipments[RM_Code],$A58,T_Shipments[Effective_Week],24)</f>
        <v/>
      </c>
      <c r="Z58">
        <f>SUMIFS(T_Shipments[Confirmed_Qty],T_Shipments[RM_Code],$A58,T_Shipments[Effective_Week],25)</f>
        <v/>
      </c>
      <c r="AA58">
        <f>SUMIFS(T_Shipments[Confirmed_Qty],T_Shipments[RM_Code],$A58,T_Shipments[Effective_Week],26)</f>
        <v/>
      </c>
      <c r="AB58">
        <f>SUMIFS(T_Shipments[Confirmed_Qty],T_Shipments[RM_Code],$A58,T_Shipments[Effective_Week],27)</f>
        <v/>
      </c>
      <c r="AC58">
        <f>SUMIFS(T_Shipments[Confirmed_Qty],T_Shipments[RM_Code],$A58,T_Shipments[Effective_Week],28)</f>
        <v/>
      </c>
      <c r="AD58">
        <f>SUMIFS(T_Shipments[Confirmed_Qty],T_Shipments[RM_Code],$A58,T_Shipments[Effective_Week],29)</f>
        <v/>
      </c>
      <c r="AE58">
        <f>SUMIFS(T_Shipments[Confirmed_Qty],T_Shipments[RM_Code],$A58,T_Shipments[Effective_Week],30)</f>
        <v/>
      </c>
      <c r="AF58">
        <f>SUMIFS(T_Shipments[Confirmed_Qty],T_Shipments[RM_Code],$A58,T_Shipments[Effective_Week],31)</f>
        <v/>
      </c>
      <c r="AG58">
        <f>SUMIFS(T_Shipments[Confirmed_Qty],T_Shipments[RM_Code],$A58,T_Shipments[Effective_Week],32)</f>
        <v/>
      </c>
      <c r="AH58">
        <f>SUMIFS(T_Shipments[Confirmed_Qty],T_Shipments[RM_Code],$A58,T_Shipments[Effective_Week],33)</f>
        <v/>
      </c>
      <c r="AI58">
        <f>SUMIFS(T_Shipments[Confirmed_Qty],T_Shipments[RM_Code],$A58,T_Shipments[Effective_Week],34)</f>
        <v/>
      </c>
      <c r="AJ58">
        <f>SUMIFS(T_Shipments[Confirmed_Qty],T_Shipments[RM_Code],$A58,T_Shipments[Effective_Week],35)</f>
        <v/>
      </c>
      <c r="AK58">
        <f>SUMIFS(T_Shipments[Confirmed_Qty],T_Shipments[RM_Code],$A58,T_Shipments[Effective_Week],36)</f>
        <v/>
      </c>
      <c r="AL58">
        <f>SUMIFS(T_Shipments[Confirmed_Qty],T_Shipments[RM_Code],$A58,T_Shipments[Effective_Week],37)</f>
        <v/>
      </c>
      <c r="AM58">
        <f>SUMIFS(T_Shipments[Confirmed_Qty],T_Shipments[RM_Code],$A58,T_Shipments[Effective_Week],38)</f>
        <v/>
      </c>
      <c r="AN58">
        <f>SUMIFS(T_Shipments[Confirmed_Qty],T_Shipments[RM_Code],$A58,T_Shipments[Effective_Week],39)</f>
        <v/>
      </c>
      <c r="AO58">
        <f>SUMIFS(T_Shipments[Confirmed_Qty],T_Shipments[RM_Code],$A58,T_Shipments[Effective_Week],40)</f>
        <v/>
      </c>
      <c r="AP58">
        <f>SUMIFS(T_Shipments[Confirmed_Qty],T_Shipments[RM_Code],$A58,T_Shipments[Effective_Week],41)</f>
        <v/>
      </c>
      <c r="AQ58">
        <f>SUMIFS(T_Shipments[Confirmed_Qty],T_Shipments[RM_Code],$A58,T_Shipments[Effective_Week],42)</f>
        <v/>
      </c>
      <c r="AR58">
        <f>SUMIFS(T_Shipments[Confirmed_Qty],T_Shipments[RM_Code],$A58,T_Shipments[Effective_Week],43)</f>
        <v/>
      </c>
      <c r="AS58">
        <f>SUMIFS(T_Shipments[Confirmed_Qty],T_Shipments[RM_Code],$A58,T_Shipments[Effective_Week],44)</f>
        <v/>
      </c>
      <c r="AT58">
        <f>SUMIFS(T_Shipments[Confirmed_Qty],T_Shipments[RM_Code],$A58,T_Shipments[Effective_Week],45)</f>
        <v/>
      </c>
      <c r="AU58">
        <f>SUMIFS(T_Shipments[Confirmed_Qty],T_Shipments[RM_Code],$A58,T_Shipments[Effective_Week],46)</f>
        <v/>
      </c>
      <c r="AV58">
        <f>SUMIFS(T_Shipments[Confirmed_Qty],T_Shipments[RM_Code],$A58,T_Shipments[Effective_Week],47)</f>
        <v/>
      </c>
      <c r="AW58">
        <f>SUMIFS(T_Shipments[Confirmed_Qty],T_Shipments[RM_Code],$A58,T_Shipments[Effective_Week],48)</f>
        <v/>
      </c>
      <c r="AX58">
        <f>SUMIFS(T_Shipments[Confirmed_Qty],T_Shipments[RM_Code],$A58,T_Shipments[Effective_Week],49)</f>
        <v/>
      </c>
      <c r="AY58">
        <f>SUMIFS(T_Shipments[Confirmed_Qty],T_Shipments[RM_Code],$A58,T_Shipments[Effective_Week],50)</f>
        <v/>
      </c>
      <c r="AZ58">
        <f>SUMIFS(T_Shipments[Confirmed_Qty],T_Shipments[RM_Code],$A58,T_Shipments[Effective_Week],51)</f>
        <v/>
      </c>
      <c r="BA58">
        <f>SUMIFS(T_Shipments[Confirmed_Qty],T_Shipments[RM_Code],$A58,T_Shipments[Effective_Week],52)</f>
        <v/>
      </c>
      <c r="BB58">
        <f>SUMIFS(T_Shipments[Confirmed_Qty],T_Shipments[RM_Code],$A58,T_Shipments[Effective_Week],53)</f>
        <v/>
      </c>
      <c r="BC58">
        <f>SUMIFS(T_Shipments[Confirmed_Qty],T_Shipments[RM_Code],$A58,T_Shipments[Effective_Week],54)</f>
        <v/>
      </c>
      <c r="BD58">
        <f>SUMIFS(T_Shipments[Confirmed_Qty],T_Shipments[RM_Code],$A58,T_Shipments[Effective_Week],55)</f>
        <v/>
      </c>
      <c r="BE58">
        <f>SUMIFS(T_Shipments[Confirmed_Qty],T_Shipments[RM_Code],$A58,T_Shipments[Effective_Week],56)</f>
        <v/>
      </c>
      <c r="BF58">
        <f>SUMIFS(T_Shipments[Confirmed_Qty],T_Shipments[RM_Code],$A58,T_Shipments[Effective_Week],57)</f>
        <v/>
      </c>
      <c r="BG58">
        <f>SUMIFS(T_Shipments[Confirmed_Qty],T_Shipments[RM_Code],$A58,T_Shipments[Effective_Week],58)</f>
        <v/>
      </c>
      <c r="BH58">
        <f>SUMIFS(T_Shipments[Confirmed_Qty],T_Shipments[RM_Code],$A58,T_Shipments[Effective_Week],59)</f>
        <v/>
      </c>
      <c r="BI58">
        <f>SUMIFS(T_Shipments[Confirmed_Qty],T_Shipments[RM_Code],$A58,T_Shipments[Effective_Week],60)</f>
        <v/>
      </c>
      <c r="BJ58">
        <f>SUMIFS(T_Shipments[Confirmed_Qty],T_Shipments[RM_Code],$A58,T_Shipments[Effective_Week],61)</f>
        <v/>
      </c>
      <c r="BK58">
        <f>SUMIFS(T_Shipments[Confirmed_Qty],T_Shipments[RM_Code],$A58,T_Shipments[Effective_Week],62)</f>
        <v/>
      </c>
      <c r="BL58">
        <f>SUMIFS(T_Shipments[Confirmed_Qty],T_Shipments[RM_Code],$A58,T_Shipments[Effective_Week],63)</f>
        <v/>
      </c>
      <c r="BM58">
        <f>SUMIFS(T_Shipments[Confirmed_Qty],T_Shipments[RM_Code],$A58,T_Shipments[Effective_Week],64)</f>
        <v/>
      </c>
      <c r="BN58">
        <f>SUMIFS(T_Shipments[Confirmed_Qty],T_Shipments[RM_Code],$A58,T_Shipments[Effective_Week],65)</f>
        <v/>
      </c>
      <c r="BO58">
        <f>SUMIFS(T_Shipments[Confirmed_Qty],T_Shipments[RM_Code],$A58,T_Shipments[Effective_Week],66)</f>
        <v/>
      </c>
      <c r="BP58">
        <f>SUMIFS(T_Shipments[Confirmed_Qty],T_Shipments[RM_Code],$A58,T_Shipments[Effective_Week],67)</f>
        <v/>
      </c>
      <c r="BQ58">
        <f>SUMIFS(T_Shipments[Confirmed_Qty],T_Shipments[RM_Code],$A58,T_Shipments[Effective_Week],68)</f>
        <v/>
      </c>
      <c r="BR58">
        <f>SUMIFS(T_Shipments[Confirmed_Qty],T_Shipments[RM_Code],$A58,T_Shipments[Effective_Week],69)</f>
        <v/>
      </c>
      <c r="BS58">
        <f>SUMIFS(T_Shipments[Confirmed_Qty],T_Shipments[RM_Code],$A58,T_Shipments[Effective_Week],70)</f>
        <v/>
      </c>
      <c r="BT58">
        <f>SUMIFS(T_Shipments[Confirmed_Qty],T_Shipments[RM_Code],$A58,T_Shipments[Effective_Week],71)</f>
        <v/>
      </c>
      <c r="BU58">
        <f>SUMIFS(T_Shipments[Confirmed_Qty],T_Shipments[RM_Code],$A58,T_Shipments[Effective_Week],72)</f>
        <v/>
      </c>
      <c r="BV58">
        <f>SUMIFS(T_Shipments[Confirmed_Qty],T_Shipments[RM_Code],$A58,T_Shipments[Effective_Week],73)</f>
        <v/>
      </c>
      <c r="BW58">
        <f>SUMIFS(T_Shipments[Confirmed_Qty],T_Shipments[RM_Code],$A58,T_Shipments[Effective_Week],74)</f>
        <v/>
      </c>
      <c r="BX58">
        <f>SUMIFS(T_Shipments[Confirmed_Qty],T_Shipments[RM_Code],$A58,T_Shipments[Effective_Week],75)</f>
        <v/>
      </c>
      <c r="BY58">
        <f>SUMIFS(T_Shipments[Confirmed_Qty],T_Shipments[RM_Code],$A58,T_Shipments[Effective_Week],76)</f>
        <v/>
      </c>
      <c r="BZ58">
        <f>SUMIFS(T_Shipments[Confirmed_Qty],T_Shipments[RM_Code],$A58,T_Shipments[Effective_Week],77)</f>
        <v/>
      </c>
      <c r="CA58">
        <f>SUMIFS(T_Shipments[Confirmed_Qty],T_Shipments[RM_Code],$A58,T_Shipments[Effective_Week],78)</f>
        <v/>
      </c>
      <c r="CB58">
        <f>SUMIFS(T_Shipments[Confirmed_Qty],T_Shipments[RM_Code],$A58,T_Shipments[Effective_Week],79)</f>
        <v/>
      </c>
      <c r="CC58">
        <f>SUMIFS(T_Shipments[Confirmed_Qty],T_Shipments[RM_Code],$A58,T_Shipments[Effective_Week],80)</f>
        <v/>
      </c>
      <c r="CD58">
        <f>SUMIFS(T_Shipments[Confirmed_Qty],T_Shipments[RM_Code],$A58,T_Shipments[Effective_Week],81)</f>
        <v/>
      </c>
      <c r="CE58">
        <f>SUMIFS(T_Shipments[Confirmed_Qty],T_Shipments[RM_Code],$A58,T_Shipments[Effective_Week],82)</f>
        <v/>
      </c>
      <c r="CF58">
        <f>SUMIFS(T_Shipments[Confirmed_Qty],T_Shipments[RM_Code],$A58,T_Shipments[Effective_Week],83)</f>
        <v/>
      </c>
      <c r="CG58">
        <f>SUMIFS(T_Shipments[Confirmed_Qty],T_Shipments[RM_Code],$A58,T_Shipments[Effective_Week],84)</f>
        <v/>
      </c>
      <c r="CH58">
        <f>SUMIFS(T_Shipments[Confirmed_Qty],T_Shipments[RM_Code],$A58,T_Shipments[Effective_Week],85)</f>
        <v/>
      </c>
      <c r="CI58">
        <f>SUMIFS(T_Shipments[Confirmed_Qty],T_Shipments[RM_Code],$A58,T_Shipments[Effective_Week],86)</f>
        <v/>
      </c>
      <c r="CJ58">
        <f>SUMIFS(T_Shipments[Confirmed_Qty],T_Shipments[RM_Code],$A58,T_Shipments[Effective_Week],87)</f>
        <v/>
      </c>
      <c r="CK58">
        <f>SUMIFS(T_Shipments[Confirmed_Qty],T_Shipments[RM_Code],$A58,T_Shipments[Effective_Week],88)</f>
        <v/>
      </c>
      <c r="CL58">
        <f>SUMIFS(T_Shipments[Confirmed_Qty],T_Shipments[RM_Code],$A58,T_Shipments[Effective_Week],89)</f>
        <v/>
      </c>
      <c r="CM58">
        <f>SUMIFS(T_Shipments[Confirmed_Qty],T_Shipments[RM_Code],$A58,T_Shipments[Effective_Week],90)</f>
        <v/>
      </c>
      <c r="CN58">
        <f>SUMIFS(T_Shipments[Confirmed_Qty],T_Shipments[RM_Code],$A58,T_Shipments[Effective_Week],91)</f>
        <v/>
      </c>
      <c r="CO58">
        <f>SUMIFS(T_Shipments[Confirmed_Qty],T_Shipments[RM_Code],$A58,T_Shipments[Effective_Week],92)</f>
        <v/>
      </c>
      <c r="CP58">
        <f>SUMIFS(T_Shipments[Confirmed_Qty],T_Shipments[RM_Code],$A58,T_Shipments[Effective_Week],93)</f>
        <v/>
      </c>
      <c r="CQ58">
        <f>SUMIFS(T_Shipments[Confirmed_Qty],T_Shipments[RM_Code],$A58,T_Shipments[Effective_Week],94)</f>
        <v/>
      </c>
      <c r="CR58">
        <f>SUMIFS(T_Shipments[Confirmed_Qty],T_Shipments[RM_Code],$A58,T_Shipments[Effective_Week],95)</f>
        <v/>
      </c>
      <c r="CS58">
        <f>SUMIFS(T_Shipments[Confirmed_Qty],T_Shipments[RM_Code],$A58,T_Shipments[Effective_Week],96)</f>
        <v/>
      </c>
      <c r="CT58">
        <f>SUMIFS(T_Shipments[Confirmed_Qty],T_Shipments[RM_Code],$A58,T_Shipments[Effective_Week],97)</f>
        <v/>
      </c>
      <c r="CU58">
        <f>SUMIFS(T_Shipments[Confirmed_Qty],T_Shipments[RM_Code],$A58,T_Shipments[Effective_Week],98)</f>
        <v/>
      </c>
      <c r="CV58">
        <f>SUMIFS(T_Shipments[Confirmed_Qty],T_Shipments[RM_Code],$A58,T_Shipments[Effective_Week],99)</f>
        <v/>
      </c>
      <c r="CW58">
        <f>SUMIFS(T_Shipments[Confirmed_Qty],T_Shipments[RM_Code],$A58,T_Shipments[Effective_Week],100)</f>
        <v/>
      </c>
      <c r="CX58">
        <f>SUMIFS(T_Shipments[Confirmed_Qty],T_Shipments[RM_Code],$A58,T_Shipments[Effective_Week],101)</f>
        <v/>
      </c>
      <c r="CY58">
        <f>SUMIFS(T_Shipments[Confirmed_Qty],T_Shipments[RM_Code],$A58,T_Shipments[Effective_Week],102)</f>
        <v/>
      </c>
      <c r="CZ58">
        <f>SUMIFS(T_Shipments[Confirmed_Qty],T_Shipments[RM_Code],$A58,T_Shipments[Effective_Week],103)</f>
        <v/>
      </c>
      <c r="DA58">
        <f>SUMIFS(T_Shipments[Confirmed_Qty],T_Shipments[RM_Code],$A58,T_Shipments[Effective_Week],104)</f>
        <v/>
      </c>
    </row>
    <row r="59">
      <c r="A59" t="inlineStr">
        <is>
          <t>CHEM-1780</t>
        </is>
      </c>
      <c r="B59">
        <f>SUMIFS(T_Shipments[Confirmed_Qty],T_Shipments[RM_Code],$A59,T_Shipments[Effective_Week],1)</f>
        <v/>
      </c>
      <c r="C59">
        <f>SUMIFS(T_Shipments[Confirmed_Qty],T_Shipments[RM_Code],$A59,T_Shipments[Effective_Week],2)</f>
        <v/>
      </c>
      <c r="D59">
        <f>SUMIFS(T_Shipments[Confirmed_Qty],T_Shipments[RM_Code],$A59,T_Shipments[Effective_Week],3)</f>
        <v/>
      </c>
      <c r="E59">
        <f>SUMIFS(T_Shipments[Confirmed_Qty],T_Shipments[RM_Code],$A59,T_Shipments[Effective_Week],4)</f>
        <v/>
      </c>
      <c r="F59">
        <f>SUMIFS(T_Shipments[Confirmed_Qty],T_Shipments[RM_Code],$A59,T_Shipments[Effective_Week],5)</f>
        <v/>
      </c>
      <c r="G59">
        <f>SUMIFS(T_Shipments[Confirmed_Qty],T_Shipments[RM_Code],$A59,T_Shipments[Effective_Week],6)</f>
        <v/>
      </c>
      <c r="H59">
        <f>SUMIFS(T_Shipments[Confirmed_Qty],T_Shipments[RM_Code],$A59,T_Shipments[Effective_Week],7)</f>
        <v/>
      </c>
      <c r="I59">
        <f>SUMIFS(T_Shipments[Confirmed_Qty],T_Shipments[RM_Code],$A59,T_Shipments[Effective_Week],8)</f>
        <v/>
      </c>
      <c r="J59">
        <f>SUMIFS(T_Shipments[Confirmed_Qty],T_Shipments[RM_Code],$A59,T_Shipments[Effective_Week],9)</f>
        <v/>
      </c>
      <c r="K59">
        <f>SUMIFS(T_Shipments[Confirmed_Qty],T_Shipments[RM_Code],$A59,T_Shipments[Effective_Week],10)</f>
        <v/>
      </c>
      <c r="L59">
        <f>SUMIFS(T_Shipments[Confirmed_Qty],T_Shipments[RM_Code],$A59,T_Shipments[Effective_Week],11)</f>
        <v/>
      </c>
      <c r="M59">
        <f>SUMIFS(T_Shipments[Confirmed_Qty],T_Shipments[RM_Code],$A59,T_Shipments[Effective_Week],12)</f>
        <v/>
      </c>
      <c r="N59">
        <f>SUMIFS(T_Shipments[Confirmed_Qty],T_Shipments[RM_Code],$A59,T_Shipments[Effective_Week],13)</f>
        <v/>
      </c>
      <c r="O59">
        <f>SUMIFS(T_Shipments[Confirmed_Qty],T_Shipments[RM_Code],$A59,T_Shipments[Effective_Week],14)</f>
        <v/>
      </c>
      <c r="P59">
        <f>SUMIFS(T_Shipments[Confirmed_Qty],T_Shipments[RM_Code],$A59,T_Shipments[Effective_Week],15)</f>
        <v/>
      </c>
      <c r="Q59">
        <f>SUMIFS(T_Shipments[Confirmed_Qty],T_Shipments[RM_Code],$A59,T_Shipments[Effective_Week],16)</f>
        <v/>
      </c>
      <c r="R59">
        <f>SUMIFS(T_Shipments[Confirmed_Qty],T_Shipments[RM_Code],$A59,T_Shipments[Effective_Week],17)</f>
        <v/>
      </c>
      <c r="S59">
        <f>SUMIFS(T_Shipments[Confirmed_Qty],T_Shipments[RM_Code],$A59,T_Shipments[Effective_Week],18)</f>
        <v/>
      </c>
      <c r="T59">
        <f>SUMIFS(T_Shipments[Confirmed_Qty],T_Shipments[RM_Code],$A59,T_Shipments[Effective_Week],19)</f>
        <v/>
      </c>
      <c r="U59">
        <f>SUMIFS(T_Shipments[Confirmed_Qty],T_Shipments[RM_Code],$A59,T_Shipments[Effective_Week],20)</f>
        <v/>
      </c>
      <c r="V59">
        <f>SUMIFS(T_Shipments[Confirmed_Qty],T_Shipments[RM_Code],$A59,T_Shipments[Effective_Week],21)</f>
        <v/>
      </c>
      <c r="W59">
        <f>SUMIFS(T_Shipments[Confirmed_Qty],T_Shipments[RM_Code],$A59,T_Shipments[Effective_Week],22)</f>
        <v/>
      </c>
      <c r="X59">
        <f>SUMIFS(T_Shipments[Confirmed_Qty],T_Shipments[RM_Code],$A59,T_Shipments[Effective_Week],23)</f>
        <v/>
      </c>
      <c r="Y59">
        <f>SUMIFS(T_Shipments[Confirmed_Qty],T_Shipments[RM_Code],$A59,T_Shipments[Effective_Week],24)</f>
        <v/>
      </c>
      <c r="Z59">
        <f>SUMIFS(T_Shipments[Confirmed_Qty],T_Shipments[RM_Code],$A59,T_Shipments[Effective_Week],25)</f>
        <v/>
      </c>
      <c r="AA59">
        <f>SUMIFS(T_Shipments[Confirmed_Qty],T_Shipments[RM_Code],$A59,T_Shipments[Effective_Week],26)</f>
        <v/>
      </c>
      <c r="AB59">
        <f>SUMIFS(T_Shipments[Confirmed_Qty],T_Shipments[RM_Code],$A59,T_Shipments[Effective_Week],27)</f>
        <v/>
      </c>
      <c r="AC59">
        <f>SUMIFS(T_Shipments[Confirmed_Qty],T_Shipments[RM_Code],$A59,T_Shipments[Effective_Week],28)</f>
        <v/>
      </c>
      <c r="AD59">
        <f>SUMIFS(T_Shipments[Confirmed_Qty],T_Shipments[RM_Code],$A59,T_Shipments[Effective_Week],29)</f>
        <v/>
      </c>
      <c r="AE59">
        <f>SUMIFS(T_Shipments[Confirmed_Qty],T_Shipments[RM_Code],$A59,T_Shipments[Effective_Week],30)</f>
        <v/>
      </c>
      <c r="AF59">
        <f>SUMIFS(T_Shipments[Confirmed_Qty],T_Shipments[RM_Code],$A59,T_Shipments[Effective_Week],31)</f>
        <v/>
      </c>
      <c r="AG59">
        <f>SUMIFS(T_Shipments[Confirmed_Qty],T_Shipments[RM_Code],$A59,T_Shipments[Effective_Week],32)</f>
        <v/>
      </c>
      <c r="AH59">
        <f>SUMIFS(T_Shipments[Confirmed_Qty],T_Shipments[RM_Code],$A59,T_Shipments[Effective_Week],33)</f>
        <v/>
      </c>
      <c r="AI59">
        <f>SUMIFS(T_Shipments[Confirmed_Qty],T_Shipments[RM_Code],$A59,T_Shipments[Effective_Week],34)</f>
        <v/>
      </c>
      <c r="AJ59">
        <f>SUMIFS(T_Shipments[Confirmed_Qty],T_Shipments[RM_Code],$A59,T_Shipments[Effective_Week],35)</f>
        <v/>
      </c>
      <c r="AK59">
        <f>SUMIFS(T_Shipments[Confirmed_Qty],T_Shipments[RM_Code],$A59,T_Shipments[Effective_Week],36)</f>
        <v/>
      </c>
      <c r="AL59">
        <f>SUMIFS(T_Shipments[Confirmed_Qty],T_Shipments[RM_Code],$A59,T_Shipments[Effective_Week],37)</f>
        <v/>
      </c>
      <c r="AM59">
        <f>SUMIFS(T_Shipments[Confirmed_Qty],T_Shipments[RM_Code],$A59,T_Shipments[Effective_Week],38)</f>
        <v/>
      </c>
      <c r="AN59">
        <f>SUMIFS(T_Shipments[Confirmed_Qty],T_Shipments[RM_Code],$A59,T_Shipments[Effective_Week],39)</f>
        <v/>
      </c>
      <c r="AO59">
        <f>SUMIFS(T_Shipments[Confirmed_Qty],T_Shipments[RM_Code],$A59,T_Shipments[Effective_Week],40)</f>
        <v/>
      </c>
      <c r="AP59">
        <f>SUMIFS(T_Shipments[Confirmed_Qty],T_Shipments[RM_Code],$A59,T_Shipments[Effective_Week],41)</f>
        <v/>
      </c>
      <c r="AQ59">
        <f>SUMIFS(T_Shipments[Confirmed_Qty],T_Shipments[RM_Code],$A59,T_Shipments[Effective_Week],42)</f>
        <v/>
      </c>
      <c r="AR59">
        <f>SUMIFS(T_Shipments[Confirmed_Qty],T_Shipments[RM_Code],$A59,T_Shipments[Effective_Week],43)</f>
        <v/>
      </c>
      <c r="AS59">
        <f>SUMIFS(T_Shipments[Confirmed_Qty],T_Shipments[RM_Code],$A59,T_Shipments[Effective_Week],44)</f>
        <v/>
      </c>
      <c r="AT59">
        <f>SUMIFS(T_Shipments[Confirmed_Qty],T_Shipments[RM_Code],$A59,T_Shipments[Effective_Week],45)</f>
        <v/>
      </c>
      <c r="AU59">
        <f>SUMIFS(T_Shipments[Confirmed_Qty],T_Shipments[RM_Code],$A59,T_Shipments[Effective_Week],46)</f>
        <v/>
      </c>
      <c r="AV59">
        <f>SUMIFS(T_Shipments[Confirmed_Qty],T_Shipments[RM_Code],$A59,T_Shipments[Effective_Week],47)</f>
        <v/>
      </c>
      <c r="AW59">
        <f>SUMIFS(T_Shipments[Confirmed_Qty],T_Shipments[RM_Code],$A59,T_Shipments[Effective_Week],48)</f>
        <v/>
      </c>
      <c r="AX59">
        <f>SUMIFS(T_Shipments[Confirmed_Qty],T_Shipments[RM_Code],$A59,T_Shipments[Effective_Week],49)</f>
        <v/>
      </c>
      <c r="AY59">
        <f>SUMIFS(T_Shipments[Confirmed_Qty],T_Shipments[RM_Code],$A59,T_Shipments[Effective_Week],50)</f>
        <v/>
      </c>
      <c r="AZ59">
        <f>SUMIFS(T_Shipments[Confirmed_Qty],T_Shipments[RM_Code],$A59,T_Shipments[Effective_Week],51)</f>
        <v/>
      </c>
      <c r="BA59">
        <f>SUMIFS(T_Shipments[Confirmed_Qty],T_Shipments[RM_Code],$A59,T_Shipments[Effective_Week],52)</f>
        <v/>
      </c>
      <c r="BB59">
        <f>SUMIFS(T_Shipments[Confirmed_Qty],T_Shipments[RM_Code],$A59,T_Shipments[Effective_Week],53)</f>
        <v/>
      </c>
      <c r="BC59">
        <f>SUMIFS(T_Shipments[Confirmed_Qty],T_Shipments[RM_Code],$A59,T_Shipments[Effective_Week],54)</f>
        <v/>
      </c>
      <c r="BD59">
        <f>SUMIFS(T_Shipments[Confirmed_Qty],T_Shipments[RM_Code],$A59,T_Shipments[Effective_Week],55)</f>
        <v/>
      </c>
      <c r="BE59">
        <f>SUMIFS(T_Shipments[Confirmed_Qty],T_Shipments[RM_Code],$A59,T_Shipments[Effective_Week],56)</f>
        <v/>
      </c>
      <c r="BF59">
        <f>SUMIFS(T_Shipments[Confirmed_Qty],T_Shipments[RM_Code],$A59,T_Shipments[Effective_Week],57)</f>
        <v/>
      </c>
      <c r="BG59">
        <f>SUMIFS(T_Shipments[Confirmed_Qty],T_Shipments[RM_Code],$A59,T_Shipments[Effective_Week],58)</f>
        <v/>
      </c>
      <c r="BH59">
        <f>SUMIFS(T_Shipments[Confirmed_Qty],T_Shipments[RM_Code],$A59,T_Shipments[Effective_Week],59)</f>
        <v/>
      </c>
      <c r="BI59">
        <f>SUMIFS(T_Shipments[Confirmed_Qty],T_Shipments[RM_Code],$A59,T_Shipments[Effective_Week],60)</f>
        <v/>
      </c>
      <c r="BJ59">
        <f>SUMIFS(T_Shipments[Confirmed_Qty],T_Shipments[RM_Code],$A59,T_Shipments[Effective_Week],61)</f>
        <v/>
      </c>
      <c r="BK59">
        <f>SUMIFS(T_Shipments[Confirmed_Qty],T_Shipments[RM_Code],$A59,T_Shipments[Effective_Week],62)</f>
        <v/>
      </c>
      <c r="BL59">
        <f>SUMIFS(T_Shipments[Confirmed_Qty],T_Shipments[RM_Code],$A59,T_Shipments[Effective_Week],63)</f>
        <v/>
      </c>
      <c r="BM59">
        <f>SUMIFS(T_Shipments[Confirmed_Qty],T_Shipments[RM_Code],$A59,T_Shipments[Effective_Week],64)</f>
        <v/>
      </c>
      <c r="BN59">
        <f>SUMIFS(T_Shipments[Confirmed_Qty],T_Shipments[RM_Code],$A59,T_Shipments[Effective_Week],65)</f>
        <v/>
      </c>
      <c r="BO59">
        <f>SUMIFS(T_Shipments[Confirmed_Qty],T_Shipments[RM_Code],$A59,T_Shipments[Effective_Week],66)</f>
        <v/>
      </c>
      <c r="BP59">
        <f>SUMIFS(T_Shipments[Confirmed_Qty],T_Shipments[RM_Code],$A59,T_Shipments[Effective_Week],67)</f>
        <v/>
      </c>
      <c r="BQ59">
        <f>SUMIFS(T_Shipments[Confirmed_Qty],T_Shipments[RM_Code],$A59,T_Shipments[Effective_Week],68)</f>
        <v/>
      </c>
      <c r="BR59">
        <f>SUMIFS(T_Shipments[Confirmed_Qty],T_Shipments[RM_Code],$A59,T_Shipments[Effective_Week],69)</f>
        <v/>
      </c>
      <c r="BS59">
        <f>SUMIFS(T_Shipments[Confirmed_Qty],T_Shipments[RM_Code],$A59,T_Shipments[Effective_Week],70)</f>
        <v/>
      </c>
      <c r="BT59">
        <f>SUMIFS(T_Shipments[Confirmed_Qty],T_Shipments[RM_Code],$A59,T_Shipments[Effective_Week],71)</f>
        <v/>
      </c>
      <c r="BU59">
        <f>SUMIFS(T_Shipments[Confirmed_Qty],T_Shipments[RM_Code],$A59,T_Shipments[Effective_Week],72)</f>
        <v/>
      </c>
      <c r="BV59">
        <f>SUMIFS(T_Shipments[Confirmed_Qty],T_Shipments[RM_Code],$A59,T_Shipments[Effective_Week],73)</f>
        <v/>
      </c>
      <c r="BW59">
        <f>SUMIFS(T_Shipments[Confirmed_Qty],T_Shipments[RM_Code],$A59,T_Shipments[Effective_Week],74)</f>
        <v/>
      </c>
      <c r="BX59">
        <f>SUMIFS(T_Shipments[Confirmed_Qty],T_Shipments[RM_Code],$A59,T_Shipments[Effective_Week],75)</f>
        <v/>
      </c>
      <c r="BY59">
        <f>SUMIFS(T_Shipments[Confirmed_Qty],T_Shipments[RM_Code],$A59,T_Shipments[Effective_Week],76)</f>
        <v/>
      </c>
      <c r="BZ59">
        <f>SUMIFS(T_Shipments[Confirmed_Qty],T_Shipments[RM_Code],$A59,T_Shipments[Effective_Week],77)</f>
        <v/>
      </c>
      <c r="CA59">
        <f>SUMIFS(T_Shipments[Confirmed_Qty],T_Shipments[RM_Code],$A59,T_Shipments[Effective_Week],78)</f>
        <v/>
      </c>
      <c r="CB59">
        <f>SUMIFS(T_Shipments[Confirmed_Qty],T_Shipments[RM_Code],$A59,T_Shipments[Effective_Week],79)</f>
        <v/>
      </c>
      <c r="CC59">
        <f>SUMIFS(T_Shipments[Confirmed_Qty],T_Shipments[RM_Code],$A59,T_Shipments[Effective_Week],80)</f>
        <v/>
      </c>
      <c r="CD59">
        <f>SUMIFS(T_Shipments[Confirmed_Qty],T_Shipments[RM_Code],$A59,T_Shipments[Effective_Week],81)</f>
        <v/>
      </c>
      <c r="CE59">
        <f>SUMIFS(T_Shipments[Confirmed_Qty],T_Shipments[RM_Code],$A59,T_Shipments[Effective_Week],82)</f>
        <v/>
      </c>
      <c r="CF59">
        <f>SUMIFS(T_Shipments[Confirmed_Qty],T_Shipments[RM_Code],$A59,T_Shipments[Effective_Week],83)</f>
        <v/>
      </c>
      <c r="CG59">
        <f>SUMIFS(T_Shipments[Confirmed_Qty],T_Shipments[RM_Code],$A59,T_Shipments[Effective_Week],84)</f>
        <v/>
      </c>
      <c r="CH59">
        <f>SUMIFS(T_Shipments[Confirmed_Qty],T_Shipments[RM_Code],$A59,T_Shipments[Effective_Week],85)</f>
        <v/>
      </c>
      <c r="CI59">
        <f>SUMIFS(T_Shipments[Confirmed_Qty],T_Shipments[RM_Code],$A59,T_Shipments[Effective_Week],86)</f>
        <v/>
      </c>
      <c r="CJ59">
        <f>SUMIFS(T_Shipments[Confirmed_Qty],T_Shipments[RM_Code],$A59,T_Shipments[Effective_Week],87)</f>
        <v/>
      </c>
      <c r="CK59">
        <f>SUMIFS(T_Shipments[Confirmed_Qty],T_Shipments[RM_Code],$A59,T_Shipments[Effective_Week],88)</f>
        <v/>
      </c>
      <c r="CL59">
        <f>SUMIFS(T_Shipments[Confirmed_Qty],T_Shipments[RM_Code],$A59,T_Shipments[Effective_Week],89)</f>
        <v/>
      </c>
      <c r="CM59">
        <f>SUMIFS(T_Shipments[Confirmed_Qty],T_Shipments[RM_Code],$A59,T_Shipments[Effective_Week],90)</f>
        <v/>
      </c>
      <c r="CN59">
        <f>SUMIFS(T_Shipments[Confirmed_Qty],T_Shipments[RM_Code],$A59,T_Shipments[Effective_Week],91)</f>
        <v/>
      </c>
      <c r="CO59">
        <f>SUMIFS(T_Shipments[Confirmed_Qty],T_Shipments[RM_Code],$A59,T_Shipments[Effective_Week],92)</f>
        <v/>
      </c>
      <c r="CP59">
        <f>SUMIFS(T_Shipments[Confirmed_Qty],T_Shipments[RM_Code],$A59,T_Shipments[Effective_Week],93)</f>
        <v/>
      </c>
      <c r="CQ59">
        <f>SUMIFS(T_Shipments[Confirmed_Qty],T_Shipments[RM_Code],$A59,T_Shipments[Effective_Week],94)</f>
        <v/>
      </c>
      <c r="CR59">
        <f>SUMIFS(T_Shipments[Confirmed_Qty],T_Shipments[RM_Code],$A59,T_Shipments[Effective_Week],95)</f>
        <v/>
      </c>
      <c r="CS59">
        <f>SUMIFS(T_Shipments[Confirmed_Qty],T_Shipments[RM_Code],$A59,T_Shipments[Effective_Week],96)</f>
        <v/>
      </c>
      <c r="CT59">
        <f>SUMIFS(T_Shipments[Confirmed_Qty],T_Shipments[RM_Code],$A59,T_Shipments[Effective_Week],97)</f>
        <v/>
      </c>
      <c r="CU59">
        <f>SUMIFS(T_Shipments[Confirmed_Qty],T_Shipments[RM_Code],$A59,T_Shipments[Effective_Week],98)</f>
        <v/>
      </c>
      <c r="CV59">
        <f>SUMIFS(T_Shipments[Confirmed_Qty],T_Shipments[RM_Code],$A59,T_Shipments[Effective_Week],99)</f>
        <v/>
      </c>
      <c r="CW59">
        <f>SUMIFS(T_Shipments[Confirmed_Qty],T_Shipments[RM_Code],$A59,T_Shipments[Effective_Week],100)</f>
        <v/>
      </c>
      <c r="CX59">
        <f>SUMIFS(T_Shipments[Confirmed_Qty],T_Shipments[RM_Code],$A59,T_Shipments[Effective_Week],101)</f>
        <v/>
      </c>
      <c r="CY59">
        <f>SUMIFS(T_Shipments[Confirmed_Qty],T_Shipments[RM_Code],$A59,T_Shipments[Effective_Week],102)</f>
        <v/>
      </c>
      <c r="CZ59">
        <f>SUMIFS(T_Shipments[Confirmed_Qty],T_Shipments[RM_Code],$A59,T_Shipments[Effective_Week],103)</f>
        <v/>
      </c>
      <c r="DA59">
        <f>SUMIFS(T_Shipments[Confirmed_Qty],T_Shipments[RM_Code],$A59,T_Shipments[Effective_Week],104)</f>
        <v/>
      </c>
    </row>
    <row r="60">
      <c r="A60" t="inlineStr">
        <is>
          <t>CHEM-1020</t>
        </is>
      </c>
      <c r="B60">
        <f>SUMIFS(T_Shipments[Confirmed_Qty],T_Shipments[RM_Code],$A60,T_Shipments[Effective_Week],1)</f>
        <v/>
      </c>
      <c r="C60">
        <f>SUMIFS(T_Shipments[Confirmed_Qty],T_Shipments[RM_Code],$A60,T_Shipments[Effective_Week],2)</f>
        <v/>
      </c>
      <c r="D60">
        <f>SUMIFS(T_Shipments[Confirmed_Qty],T_Shipments[RM_Code],$A60,T_Shipments[Effective_Week],3)</f>
        <v/>
      </c>
      <c r="E60">
        <f>SUMIFS(T_Shipments[Confirmed_Qty],T_Shipments[RM_Code],$A60,T_Shipments[Effective_Week],4)</f>
        <v/>
      </c>
      <c r="F60">
        <f>SUMIFS(T_Shipments[Confirmed_Qty],T_Shipments[RM_Code],$A60,T_Shipments[Effective_Week],5)</f>
        <v/>
      </c>
      <c r="G60">
        <f>SUMIFS(T_Shipments[Confirmed_Qty],T_Shipments[RM_Code],$A60,T_Shipments[Effective_Week],6)</f>
        <v/>
      </c>
      <c r="H60">
        <f>SUMIFS(T_Shipments[Confirmed_Qty],T_Shipments[RM_Code],$A60,T_Shipments[Effective_Week],7)</f>
        <v/>
      </c>
      <c r="I60">
        <f>SUMIFS(T_Shipments[Confirmed_Qty],T_Shipments[RM_Code],$A60,T_Shipments[Effective_Week],8)</f>
        <v/>
      </c>
      <c r="J60">
        <f>SUMIFS(T_Shipments[Confirmed_Qty],T_Shipments[RM_Code],$A60,T_Shipments[Effective_Week],9)</f>
        <v/>
      </c>
      <c r="K60">
        <f>SUMIFS(T_Shipments[Confirmed_Qty],T_Shipments[RM_Code],$A60,T_Shipments[Effective_Week],10)</f>
        <v/>
      </c>
      <c r="L60">
        <f>SUMIFS(T_Shipments[Confirmed_Qty],T_Shipments[RM_Code],$A60,T_Shipments[Effective_Week],11)</f>
        <v/>
      </c>
      <c r="M60">
        <f>SUMIFS(T_Shipments[Confirmed_Qty],T_Shipments[RM_Code],$A60,T_Shipments[Effective_Week],12)</f>
        <v/>
      </c>
      <c r="N60">
        <f>SUMIFS(T_Shipments[Confirmed_Qty],T_Shipments[RM_Code],$A60,T_Shipments[Effective_Week],13)</f>
        <v/>
      </c>
      <c r="O60">
        <f>SUMIFS(T_Shipments[Confirmed_Qty],T_Shipments[RM_Code],$A60,T_Shipments[Effective_Week],14)</f>
        <v/>
      </c>
      <c r="P60">
        <f>SUMIFS(T_Shipments[Confirmed_Qty],T_Shipments[RM_Code],$A60,T_Shipments[Effective_Week],15)</f>
        <v/>
      </c>
      <c r="Q60">
        <f>SUMIFS(T_Shipments[Confirmed_Qty],T_Shipments[RM_Code],$A60,T_Shipments[Effective_Week],16)</f>
        <v/>
      </c>
      <c r="R60">
        <f>SUMIFS(T_Shipments[Confirmed_Qty],T_Shipments[RM_Code],$A60,T_Shipments[Effective_Week],17)</f>
        <v/>
      </c>
      <c r="S60">
        <f>SUMIFS(T_Shipments[Confirmed_Qty],T_Shipments[RM_Code],$A60,T_Shipments[Effective_Week],18)</f>
        <v/>
      </c>
      <c r="T60">
        <f>SUMIFS(T_Shipments[Confirmed_Qty],T_Shipments[RM_Code],$A60,T_Shipments[Effective_Week],19)</f>
        <v/>
      </c>
      <c r="U60">
        <f>SUMIFS(T_Shipments[Confirmed_Qty],T_Shipments[RM_Code],$A60,T_Shipments[Effective_Week],20)</f>
        <v/>
      </c>
      <c r="V60">
        <f>SUMIFS(T_Shipments[Confirmed_Qty],T_Shipments[RM_Code],$A60,T_Shipments[Effective_Week],21)</f>
        <v/>
      </c>
      <c r="W60">
        <f>SUMIFS(T_Shipments[Confirmed_Qty],T_Shipments[RM_Code],$A60,T_Shipments[Effective_Week],22)</f>
        <v/>
      </c>
      <c r="X60">
        <f>SUMIFS(T_Shipments[Confirmed_Qty],T_Shipments[RM_Code],$A60,T_Shipments[Effective_Week],23)</f>
        <v/>
      </c>
      <c r="Y60">
        <f>SUMIFS(T_Shipments[Confirmed_Qty],T_Shipments[RM_Code],$A60,T_Shipments[Effective_Week],24)</f>
        <v/>
      </c>
      <c r="Z60">
        <f>SUMIFS(T_Shipments[Confirmed_Qty],T_Shipments[RM_Code],$A60,T_Shipments[Effective_Week],25)</f>
        <v/>
      </c>
      <c r="AA60">
        <f>SUMIFS(T_Shipments[Confirmed_Qty],T_Shipments[RM_Code],$A60,T_Shipments[Effective_Week],26)</f>
        <v/>
      </c>
      <c r="AB60">
        <f>SUMIFS(T_Shipments[Confirmed_Qty],T_Shipments[RM_Code],$A60,T_Shipments[Effective_Week],27)</f>
        <v/>
      </c>
      <c r="AC60">
        <f>SUMIFS(T_Shipments[Confirmed_Qty],T_Shipments[RM_Code],$A60,T_Shipments[Effective_Week],28)</f>
        <v/>
      </c>
      <c r="AD60">
        <f>SUMIFS(T_Shipments[Confirmed_Qty],T_Shipments[RM_Code],$A60,T_Shipments[Effective_Week],29)</f>
        <v/>
      </c>
      <c r="AE60">
        <f>SUMIFS(T_Shipments[Confirmed_Qty],T_Shipments[RM_Code],$A60,T_Shipments[Effective_Week],30)</f>
        <v/>
      </c>
      <c r="AF60">
        <f>SUMIFS(T_Shipments[Confirmed_Qty],T_Shipments[RM_Code],$A60,T_Shipments[Effective_Week],31)</f>
        <v/>
      </c>
      <c r="AG60">
        <f>SUMIFS(T_Shipments[Confirmed_Qty],T_Shipments[RM_Code],$A60,T_Shipments[Effective_Week],32)</f>
        <v/>
      </c>
      <c r="AH60">
        <f>SUMIFS(T_Shipments[Confirmed_Qty],T_Shipments[RM_Code],$A60,T_Shipments[Effective_Week],33)</f>
        <v/>
      </c>
      <c r="AI60">
        <f>SUMIFS(T_Shipments[Confirmed_Qty],T_Shipments[RM_Code],$A60,T_Shipments[Effective_Week],34)</f>
        <v/>
      </c>
      <c r="AJ60">
        <f>SUMIFS(T_Shipments[Confirmed_Qty],T_Shipments[RM_Code],$A60,T_Shipments[Effective_Week],35)</f>
        <v/>
      </c>
      <c r="AK60">
        <f>SUMIFS(T_Shipments[Confirmed_Qty],T_Shipments[RM_Code],$A60,T_Shipments[Effective_Week],36)</f>
        <v/>
      </c>
      <c r="AL60">
        <f>SUMIFS(T_Shipments[Confirmed_Qty],T_Shipments[RM_Code],$A60,T_Shipments[Effective_Week],37)</f>
        <v/>
      </c>
      <c r="AM60">
        <f>SUMIFS(T_Shipments[Confirmed_Qty],T_Shipments[RM_Code],$A60,T_Shipments[Effective_Week],38)</f>
        <v/>
      </c>
      <c r="AN60">
        <f>SUMIFS(T_Shipments[Confirmed_Qty],T_Shipments[RM_Code],$A60,T_Shipments[Effective_Week],39)</f>
        <v/>
      </c>
      <c r="AO60">
        <f>SUMIFS(T_Shipments[Confirmed_Qty],T_Shipments[RM_Code],$A60,T_Shipments[Effective_Week],40)</f>
        <v/>
      </c>
      <c r="AP60">
        <f>SUMIFS(T_Shipments[Confirmed_Qty],T_Shipments[RM_Code],$A60,T_Shipments[Effective_Week],41)</f>
        <v/>
      </c>
      <c r="AQ60">
        <f>SUMIFS(T_Shipments[Confirmed_Qty],T_Shipments[RM_Code],$A60,T_Shipments[Effective_Week],42)</f>
        <v/>
      </c>
      <c r="AR60">
        <f>SUMIFS(T_Shipments[Confirmed_Qty],T_Shipments[RM_Code],$A60,T_Shipments[Effective_Week],43)</f>
        <v/>
      </c>
      <c r="AS60">
        <f>SUMIFS(T_Shipments[Confirmed_Qty],T_Shipments[RM_Code],$A60,T_Shipments[Effective_Week],44)</f>
        <v/>
      </c>
      <c r="AT60">
        <f>SUMIFS(T_Shipments[Confirmed_Qty],T_Shipments[RM_Code],$A60,T_Shipments[Effective_Week],45)</f>
        <v/>
      </c>
      <c r="AU60">
        <f>SUMIFS(T_Shipments[Confirmed_Qty],T_Shipments[RM_Code],$A60,T_Shipments[Effective_Week],46)</f>
        <v/>
      </c>
      <c r="AV60">
        <f>SUMIFS(T_Shipments[Confirmed_Qty],T_Shipments[RM_Code],$A60,T_Shipments[Effective_Week],47)</f>
        <v/>
      </c>
      <c r="AW60">
        <f>SUMIFS(T_Shipments[Confirmed_Qty],T_Shipments[RM_Code],$A60,T_Shipments[Effective_Week],48)</f>
        <v/>
      </c>
      <c r="AX60">
        <f>SUMIFS(T_Shipments[Confirmed_Qty],T_Shipments[RM_Code],$A60,T_Shipments[Effective_Week],49)</f>
        <v/>
      </c>
      <c r="AY60">
        <f>SUMIFS(T_Shipments[Confirmed_Qty],T_Shipments[RM_Code],$A60,T_Shipments[Effective_Week],50)</f>
        <v/>
      </c>
      <c r="AZ60">
        <f>SUMIFS(T_Shipments[Confirmed_Qty],T_Shipments[RM_Code],$A60,T_Shipments[Effective_Week],51)</f>
        <v/>
      </c>
      <c r="BA60">
        <f>SUMIFS(T_Shipments[Confirmed_Qty],T_Shipments[RM_Code],$A60,T_Shipments[Effective_Week],52)</f>
        <v/>
      </c>
      <c r="BB60">
        <f>SUMIFS(T_Shipments[Confirmed_Qty],T_Shipments[RM_Code],$A60,T_Shipments[Effective_Week],53)</f>
        <v/>
      </c>
      <c r="BC60">
        <f>SUMIFS(T_Shipments[Confirmed_Qty],T_Shipments[RM_Code],$A60,T_Shipments[Effective_Week],54)</f>
        <v/>
      </c>
      <c r="BD60">
        <f>SUMIFS(T_Shipments[Confirmed_Qty],T_Shipments[RM_Code],$A60,T_Shipments[Effective_Week],55)</f>
        <v/>
      </c>
      <c r="BE60">
        <f>SUMIFS(T_Shipments[Confirmed_Qty],T_Shipments[RM_Code],$A60,T_Shipments[Effective_Week],56)</f>
        <v/>
      </c>
      <c r="BF60">
        <f>SUMIFS(T_Shipments[Confirmed_Qty],T_Shipments[RM_Code],$A60,T_Shipments[Effective_Week],57)</f>
        <v/>
      </c>
      <c r="BG60">
        <f>SUMIFS(T_Shipments[Confirmed_Qty],T_Shipments[RM_Code],$A60,T_Shipments[Effective_Week],58)</f>
        <v/>
      </c>
      <c r="BH60">
        <f>SUMIFS(T_Shipments[Confirmed_Qty],T_Shipments[RM_Code],$A60,T_Shipments[Effective_Week],59)</f>
        <v/>
      </c>
      <c r="BI60">
        <f>SUMIFS(T_Shipments[Confirmed_Qty],T_Shipments[RM_Code],$A60,T_Shipments[Effective_Week],60)</f>
        <v/>
      </c>
      <c r="BJ60">
        <f>SUMIFS(T_Shipments[Confirmed_Qty],T_Shipments[RM_Code],$A60,T_Shipments[Effective_Week],61)</f>
        <v/>
      </c>
      <c r="BK60">
        <f>SUMIFS(T_Shipments[Confirmed_Qty],T_Shipments[RM_Code],$A60,T_Shipments[Effective_Week],62)</f>
        <v/>
      </c>
      <c r="BL60">
        <f>SUMIFS(T_Shipments[Confirmed_Qty],T_Shipments[RM_Code],$A60,T_Shipments[Effective_Week],63)</f>
        <v/>
      </c>
      <c r="BM60">
        <f>SUMIFS(T_Shipments[Confirmed_Qty],T_Shipments[RM_Code],$A60,T_Shipments[Effective_Week],64)</f>
        <v/>
      </c>
      <c r="BN60">
        <f>SUMIFS(T_Shipments[Confirmed_Qty],T_Shipments[RM_Code],$A60,T_Shipments[Effective_Week],65)</f>
        <v/>
      </c>
      <c r="BO60">
        <f>SUMIFS(T_Shipments[Confirmed_Qty],T_Shipments[RM_Code],$A60,T_Shipments[Effective_Week],66)</f>
        <v/>
      </c>
      <c r="BP60">
        <f>SUMIFS(T_Shipments[Confirmed_Qty],T_Shipments[RM_Code],$A60,T_Shipments[Effective_Week],67)</f>
        <v/>
      </c>
      <c r="BQ60">
        <f>SUMIFS(T_Shipments[Confirmed_Qty],T_Shipments[RM_Code],$A60,T_Shipments[Effective_Week],68)</f>
        <v/>
      </c>
      <c r="BR60">
        <f>SUMIFS(T_Shipments[Confirmed_Qty],T_Shipments[RM_Code],$A60,T_Shipments[Effective_Week],69)</f>
        <v/>
      </c>
      <c r="BS60">
        <f>SUMIFS(T_Shipments[Confirmed_Qty],T_Shipments[RM_Code],$A60,T_Shipments[Effective_Week],70)</f>
        <v/>
      </c>
      <c r="BT60">
        <f>SUMIFS(T_Shipments[Confirmed_Qty],T_Shipments[RM_Code],$A60,T_Shipments[Effective_Week],71)</f>
        <v/>
      </c>
      <c r="BU60">
        <f>SUMIFS(T_Shipments[Confirmed_Qty],T_Shipments[RM_Code],$A60,T_Shipments[Effective_Week],72)</f>
        <v/>
      </c>
      <c r="BV60">
        <f>SUMIFS(T_Shipments[Confirmed_Qty],T_Shipments[RM_Code],$A60,T_Shipments[Effective_Week],73)</f>
        <v/>
      </c>
      <c r="BW60">
        <f>SUMIFS(T_Shipments[Confirmed_Qty],T_Shipments[RM_Code],$A60,T_Shipments[Effective_Week],74)</f>
        <v/>
      </c>
      <c r="BX60">
        <f>SUMIFS(T_Shipments[Confirmed_Qty],T_Shipments[RM_Code],$A60,T_Shipments[Effective_Week],75)</f>
        <v/>
      </c>
      <c r="BY60">
        <f>SUMIFS(T_Shipments[Confirmed_Qty],T_Shipments[RM_Code],$A60,T_Shipments[Effective_Week],76)</f>
        <v/>
      </c>
      <c r="BZ60">
        <f>SUMIFS(T_Shipments[Confirmed_Qty],T_Shipments[RM_Code],$A60,T_Shipments[Effective_Week],77)</f>
        <v/>
      </c>
      <c r="CA60">
        <f>SUMIFS(T_Shipments[Confirmed_Qty],T_Shipments[RM_Code],$A60,T_Shipments[Effective_Week],78)</f>
        <v/>
      </c>
      <c r="CB60">
        <f>SUMIFS(T_Shipments[Confirmed_Qty],T_Shipments[RM_Code],$A60,T_Shipments[Effective_Week],79)</f>
        <v/>
      </c>
      <c r="CC60">
        <f>SUMIFS(T_Shipments[Confirmed_Qty],T_Shipments[RM_Code],$A60,T_Shipments[Effective_Week],80)</f>
        <v/>
      </c>
      <c r="CD60">
        <f>SUMIFS(T_Shipments[Confirmed_Qty],T_Shipments[RM_Code],$A60,T_Shipments[Effective_Week],81)</f>
        <v/>
      </c>
      <c r="CE60">
        <f>SUMIFS(T_Shipments[Confirmed_Qty],T_Shipments[RM_Code],$A60,T_Shipments[Effective_Week],82)</f>
        <v/>
      </c>
      <c r="CF60">
        <f>SUMIFS(T_Shipments[Confirmed_Qty],T_Shipments[RM_Code],$A60,T_Shipments[Effective_Week],83)</f>
        <v/>
      </c>
      <c r="CG60">
        <f>SUMIFS(T_Shipments[Confirmed_Qty],T_Shipments[RM_Code],$A60,T_Shipments[Effective_Week],84)</f>
        <v/>
      </c>
      <c r="CH60">
        <f>SUMIFS(T_Shipments[Confirmed_Qty],T_Shipments[RM_Code],$A60,T_Shipments[Effective_Week],85)</f>
        <v/>
      </c>
      <c r="CI60">
        <f>SUMIFS(T_Shipments[Confirmed_Qty],T_Shipments[RM_Code],$A60,T_Shipments[Effective_Week],86)</f>
        <v/>
      </c>
      <c r="CJ60">
        <f>SUMIFS(T_Shipments[Confirmed_Qty],T_Shipments[RM_Code],$A60,T_Shipments[Effective_Week],87)</f>
        <v/>
      </c>
      <c r="CK60">
        <f>SUMIFS(T_Shipments[Confirmed_Qty],T_Shipments[RM_Code],$A60,T_Shipments[Effective_Week],88)</f>
        <v/>
      </c>
      <c r="CL60">
        <f>SUMIFS(T_Shipments[Confirmed_Qty],T_Shipments[RM_Code],$A60,T_Shipments[Effective_Week],89)</f>
        <v/>
      </c>
      <c r="CM60">
        <f>SUMIFS(T_Shipments[Confirmed_Qty],T_Shipments[RM_Code],$A60,T_Shipments[Effective_Week],90)</f>
        <v/>
      </c>
      <c r="CN60">
        <f>SUMIFS(T_Shipments[Confirmed_Qty],T_Shipments[RM_Code],$A60,T_Shipments[Effective_Week],91)</f>
        <v/>
      </c>
      <c r="CO60">
        <f>SUMIFS(T_Shipments[Confirmed_Qty],T_Shipments[RM_Code],$A60,T_Shipments[Effective_Week],92)</f>
        <v/>
      </c>
      <c r="CP60">
        <f>SUMIFS(T_Shipments[Confirmed_Qty],T_Shipments[RM_Code],$A60,T_Shipments[Effective_Week],93)</f>
        <v/>
      </c>
      <c r="CQ60">
        <f>SUMIFS(T_Shipments[Confirmed_Qty],T_Shipments[RM_Code],$A60,T_Shipments[Effective_Week],94)</f>
        <v/>
      </c>
      <c r="CR60">
        <f>SUMIFS(T_Shipments[Confirmed_Qty],T_Shipments[RM_Code],$A60,T_Shipments[Effective_Week],95)</f>
        <v/>
      </c>
      <c r="CS60">
        <f>SUMIFS(T_Shipments[Confirmed_Qty],T_Shipments[RM_Code],$A60,T_Shipments[Effective_Week],96)</f>
        <v/>
      </c>
      <c r="CT60">
        <f>SUMIFS(T_Shipments[Confirmed_Qty],T_Shipments[RM_Code],$A60,T_Shipments[Effective_Week],97)</f>
        <v/>
      </c>
      <c r="CU60">
        <f>SUMIFS(T_Shipments[Confirmed_Qty],T_Shipments[RM_Code],$A60,T_Shipments[Effective_Week],98)</f>
        <v/>
      </c>
      <c r="CV60">
        <f>SUMIFS(T_Shipments[Confirmed_Qty],T_Shipments[RM_Code],$A60,T_Shipments[Effective_Week],99)</f>
        <v/>
      </c>
      <c r="CW60">
        <f>SUMIFS(T_Shipments[Confirmed_Qty],T_Shipments[RM_Code],$A60,T_Shipments[Effective_Week],100)</f>
        <v/>
      </c>
      <c r="CX60">
        <f>SUMIFS(T_Shipments[Confirmed_Qty],T_Shipments[RM_Code],$A60,T_Shipments[Effective_Week],101)</f>
        <v/>
      </c>
      <c r="CY60">
        <f>SUMIFS(T_Shipments[Confirmed_Qty],T_Shipments[RM_Code],$A60,T_Shipments[Effective_Week],102)</f>
        <v/>
      </c>
      <c r="CZ60">
        <f>SUMIFS(T_Shipments[Confirmed_Qty],T_Shipments[RM_Code],$A60,T_Shipments[Effective_Week],103)</f>
        <v/>
      </c>
      <c r="DA60">
        <f>SUMIFS(T_Shipments[Confirmed_Qty],T_Shipments[RM_Code],$A60,T_Shipments[Effective_Week],104)</f>
        <v/>
      </c>
    </row>
    <row r="61">
      <c r="A61" t="inlineStr">
        <is>
          <t>CSA Code</t>
        </is>
      </c>
      <c r="B61">
        <f>SUMIFS(T_Shipments[Confirmed_Qty],T_Shipments[RM_Code],$A61,T_Shipments[Effective_Week],1)</f>
        <v/>
      </c>
      <c r="C61">
        <f>SUMIFS(T_Shipments[Confirmed_Qty],T_Shipments[RM_Code],$A61,T_Shipments[Effective_Week],2)</f>
        <v/>
      </c>
      <c r="D61">
        <f>SUMIFS(T_Shipments[Confirmed_Qty],T_Shipments[RM_Code],$A61,T_Shipments[Effective_Week],3)</f>
        <v/>
      </c>
      <c r="E61">
        <f>SUMIFS(T_Shipments[Confirmed_Qty],T_Shipments[RM_Code],$A61,T_Shipments[Effective_Week],4)</f>
        <v/>
      </c>
      <c r="F61">
        <f>SUMIFS(T_Shipments[Confirmed_Qty],T_Shipments[RM_Code],$A61,T_Shipments[Effective_Week],5)</f>
        <v/>
      </c>
      <c r="G61">
        <f>SUMIFS(T_Shipments[Confirmed_Qty],T_Shipments[RM_Code],$A61,T_Shipments[Effective_Week],6)</f>
        <v/>
      </c>
      <c r="H61">
        <f>SUMIFS(T_Shipments[Confirmed_Qty],T_Shipments[RM_Code],$A61,T_Shipments[Effective_Week],7)</f>
        <v/>
      </c>
      <c r="I61">
        <f>SUMIFS(T_Shipments[Confirmed_Qty],T_Shipments[RM_Code],$A61,T_Shipments[Effective_Week],8)</f>
        <v/>
      </c>
      <c r="J61">
        <f>SUMIFS(T_Shipments[Confirmed_Qty],T_Shipments[RM_Code],$A61,T_Shipments[Effective_Week],9)</f>
        <v/>
      </c>
      <c r="K61">
        <f>SUMIFS(T_Shipments[Confirmed_Qty],T_Shipments[RM_Code],$A61,T_Shipments[Effective_Week],10)</f>
        <v/>
      </c>
      <c r="L61">
        <f>SUMIFS(T_Shipments[Confirmed_Qty],T_Shipments[RM_Code],$A61,T_Shipments[Effective_Week],11)</f>
        <v/>
      </c>
      <c r="M61">
        <f>SUMIFS(T_Shipments[Confirmed_Qty],T_Shipments[RM_Code],$A61,T_Shipments[Effective_Week],12)</f>
        <v/>
      </c>
      <c r="N61">
        <f>SUMIFS(T_Shipments[Confirmed_Qty],T_Shipments[RM_Code],$A61,T_Shipments[Effective_Week],13)</f>
        <v/>
      </c>
      <c r="O61">
        <f>SUMIFS(T_Shipments[Confirmed_Qty],T_Shipments[RM_Code],$A61,T_Shipments[Effective_Week],14)</f>
        <v/>
      </c>
      <c r="P61">
        <f>SUMIFS(T_Shipments[Confirmed_Qty],T_Shipments[RM_Code],$A61,T_Shipments[Effective_Week],15)</f>
        <v/>
      </c>
      <c r="Q61">
        <f>SUMIFS(T_Shipments[Confirmed_Qty],T_Shipments[RM_Code],$A61,T_Shipments[Effective_Week],16)</f>
        <v/>
      </c>
      <c r="R61">
        <f>SUMIFS(T_Shipments[Confirmed_Qty],T_Shipments[RM_Code],$A61,T_Shipments[Effective_Week],17)</f>
        <v/>
      </c>
      <c r="S61">
        <f>SUMIFS(T_Shipments[Confirmed_Qty],T_Shipments[RM_Code],$A61,T_Shipments[Effective_Week],18)</f>
        <v/>
      </c>
      <c r="T61">
        <f>SUMIFS(T_Shipments[Confirmed_Qty],T_Shipments[RM_Code],$A61,T_Shipments[Effective_Week],19)</f>
        <v/>
      </c>
      <c r="U61">
        <f>SUMIFS(T_Shipments[Confirmed_Qty],T_Shipments[RM_Code],$A61,T_Shipments[Effective_Week],20)</f>
        <v/>
      </c>
      <c r="V61">
        <f>SUMIFS(T_Shipments[Confirmed_Qty],T_Shipments[RM_Code],$A61,T_Shipments[Effective_Week],21)</f>
        <v/>
      </c>
      <c r="W61">
        <f>SUMIFS(T_Shipments[Confirmed_Qty],T_Shipments[RM_Code],$A61,T_Shipments[Effective_Week],22)</f>
        <v/>
      </c>
      <c r="X61">
        <f>SUMIFS(T_Shipments[Confirmed_Qty],T_Shipments[RM_Code],$A61,T_Shipments[Effective_Week],23)</f>
        <v/>
      </c>
      <c r="Y61">
        <f>SUMIFS(T_Shipments[Confirmed_Qty],T_Shipments[RM_Code],$A61,T_Shipments[Effective_Week],24)</f>
        <v/>
      </c>
      <c r="Z61">
        <f>SUMIFS(T_Shipments[Confirmed_Qty],T_Shipments[RM_Code],$A61,T_Shipments[Effective_Week],25)</f>
        <v/>
      </c>
      <c r="AA61">
        <f>SUMIFS(T_Shipments[Confirmed_Qty],T_Shipments[RM_Code],$A61,T_Shipments[Effective_Week],26)</f>
        <v/>
      </c>
      <c r="AB61">
        <f>SUMIFS(T_Shipments[Confirmed_Qty],T_Shipments[RM_Code],$A61,T_Shipments[Effective_Week],27)</f>
        <v/>
      </c>
      <c r="AC61">
        <f>SUMIFS(T_Shipments[Confirmed_Qty],T_Shipments[RM_Code],$A61,T_Shipments[Effective_Week],28)</f>
        <v/>
      </c>
      <c r="AD61">
        <f>SUMIFS(T_Shipments[Confirmed_Qty],T_Shipments[RM_Code],$A61,T_Shipments[Effective_Week],29)</f>
        <v/>
      </c>
      <c r="AE61">
        <f>SUMIFS(T_Shipments[Confirmed_Qty],T_Shipments[RM_Code],$A61,T_Shipments[Effective_Week],30)</f>
        <v/>
      </c>
      <c r="AF61">
        <f>SUMIFS(T_Shipments[Confirmed_Qty],T_Shipments[RM_Code],$A61,T_Shipments[Effective_Week],31)</f>
        <v/>
      </c>
      <c r="AG61">
        <f>SUMIFS(T_Shipments[Confirmed_Qty],T_Shipments[RM_Code],$A61,T_Shipments[Effective_Week],32)</f>
        <v/>
      </c>
      <c r="AH61">
        <f>SUMIFS(T_Shipments[Confirmed_Qty],T_Shipments[RM_Code],$A61,T_Shipments[Effective_Week],33)</f>
        <v/>
      </c>
      <c r="AI61">
        <f>SUMIFS(T_Shipments[Confirmed_Qty],T_Shipments[RM_Code],$A61,T_Shipments[Effective_Week],34)</f>
        <v/>
      </c>
      <c r="AJ61">
        <f>SUMIFS(T_Shipments[Confirmed_Qty],T_Shipments[RM_Code],$A61,T_Shipments[Effective_Week],35)</f>
        <v/>
      </c>
      <c r="AK61">
        <f>SUMIFS(T_Shipments[Confirmed_Qty],T_Shipments[RM_Code],$A61,T_Shipments[Effective_Week],36)</f>
        <v/>
      </c>
      <c r="AL61">
        <f>SUMIFS(T_Shipments[Confirmed_Qty],T_Shipments[RM_Code],$A61,T_Shipments[Effective_Week],37)</f>
        <v/>
      </c>
      <c r="AM61">
        <f>SUMIFS(T_Shipments[Confirmed_Qty],T_Shipments[RM_Code],$A61,T_Shipments[Effective_Week],38)</f>
        <v/>
      </c>
      <c r="AN61">
        <f>SUMIFS(T_Shipments[Confirmed_Qty],T_Shipments[RM_Code],$A61,T_Shipments[Effective_Week],39)</f>
        <v/>
      </c>
      <c r="AO61">
        <f>SUMIFS(T_Shipments[Confirmed_Qty],T_Shipments[RM_Code],$A61,T_Shipments[Effective_Week],40)</f>
        <v/>
      </c>
      <c r="AP61">
        <f>SUMIFS(T_Shipments[Confirmed_Qty],T_Shipments[RM_Code],$A61,T_Shipments[Effective_Week],41)</f>
        <v/>
      </c>
      <c r="AQ61">
        <f>SUMIFS(T_Shipments[Confirmed_Qty],T_Shipments[RM_Code],$A61,T_Shipments[Effective_Week],42)</f>
        <v/>
      </c>
      <c r="AR61">
        <f>SUMIFS(T_Shipments[Confirmed_Qty],T_Shipments[RM_Code],$A61,T_Shipments[Effective_Week],43)</f>
        <v/>
      </c>
      <c r="AS61">
        <f>SUMIFS(T_Shipments[Confirmed_Qty],T_Shipments[RM_Code],$A61,T_Shipments[Effective_Week],44)</f>
        <v/>
      </c>
      <c r="AT61">
        <f>SUMIFS(T_Shipments[Confirmed_Qty],T_Shipments[RM_Code],$A61,T_Shipments[Effective_Week],45)</f>
        <v/>
      </c>
      <c r="AU61">
        <f>SUMIFS(T_Shipments[Confirmed_Qty],T_Shipments[RM_Code],$A61,T_Shipments[Effective_Week],46)</f>
        <v/>
      </c>
      <c r="AV61">
        <f>SUMIFS(T_Shipments[Confirmed_Qty],T_Shipments[RM_Code],$A61,T_Shipments[Effective_Week],47)</f>
        <v/>
      </c>
      <c r="AW61">
        <f>SUMIFS(T_Shipments[Confirmed_Qty],T_Shipments[RM_Code],$A61,T_Shipments[Effective_Week],48)</f>
        <v/>
      </c>
      <c r="AX61">
        <f>SUMIFS(T_Shipments[Confirmed_Qty],T_Shipments[RM_Code],$A61,T_Shipments[Effective_Week],49)</f>
        <v/>
      </c>
      <c r="AY61">
        <f>SUMIFS(T_Shipments[Confirmed_Qty],T_Shipments[RM_Code],$A61,T_Shipments[Effective_Week],50)</f>
        <v/>
      </c>
      <c r="AZ61">
        <f>SUMIFS(T_Shipments[Confirmed_Qty],T_Shipments[RM_Code],$A61,T_Shipments[Effective_Week],51)</f>
        <v/>
      </c>
      <c r="BA61">
        <f>SUMIFS(T_Shipments[Confirmed_Qty],T_Shipments[RM_Code],$A61,T_Shipments[Effective_Week],52)</f>
        <v/>
      </c>
      <c r="BB61">
        <f>SUMIFS(T_Shipments[Confirmed_Qty],T_Shipments[RM_Code],$A61,T_Shipments[Effective_Week],53)</f>
        <v/>
      </c>
      <c r="BC61">
        <f>SUMIFS(T_Shipments[Confirmed_Qty],T_Shipments[RM_Code],$A61,T_Shipments[Effective_Week],54)</f>
        <v/>
      </c>
      <c r="BD61">
        <f>SUMIFS(T_Shipments[Confirmed_Qty],T_Shipments[RM_Code],$A61,T_Shipments[Effective_Week],55)</f>
        <v/>
      </c>
      <c r="BE61">
        <f>SUMIFS(T_Shipments[Confirmed_Qty],T_Shipments[RM_Code],$A61,T_Shipments[Effective_Week],56)</f>
        <v/>
      </c>
      <c r="BF61">
        <f>SUMIFS(T_Shipments[Confirmed_Qty],T_Shipments[RM_Code],$A61,T_Shipments[Effective_Week],57)</f>
        <v/>
      </c>
      <c r="BG61">
        <f>SUMIFS(T_Shipments[Confirmed_Qty],T_Shipments[RM_Code],$A61,T_Shipments[Effective_Week],58)</f>
        <v/>
      </c>
      <c r="BH61">
        <f>SUMIFS(T_Shipments[Confirmed_Qty],T_Shipments[RM_Code],$A61,T_Shipments[Effective_Week],59)</f>
        <v/>
      </c>
      <c r="BI61">
        <f>SUMIFS(T_Shipments[Confirmed_Qty],T_Shipments[RM_Code],$A61,T_Shipments[Effective_Week],60)</f>
        <v/>
      </c>
      <c r="BJ61">
        <f>SUMIFS(T_Shipments[Confirmed_Qty],T_Shipments[RM_Code],$A61,T_Shipments[Effective_Week],61)</f>
        <v/>
      </c>
      <c r="BK61">
        <f>SUMIFS(T_Shipments[Confirmed_Qty],T_Shipments[RM_Code],$A61,T_Shipments[Effective_Week],62)</f>
        <v/>
      </c>
      <c r="BL61">
        <f>SUMIFS(T_Shipments[Confirmed_Qty],T_Shipments[RM_Code],$A61,T_Shipments[Effective_Week],63)</f>
        <v/>
      </c>
      <c r="BM61">
        <f>SUMIFS(T_Shipments[Confirmed_Qty],T_Shipments[RM_Code],$A61,T_Shipments[Effective_Week],64)</f>
        <v/>
      </c>
      <c r="BN61">
        <f>SUMIFS(T_Shipments[Confirmed_Qty],T_Shipments[RM_Code],$A61,T_Shipments[Effective_Week],65)</f>
        <v/>
      </c>
      <c r="BO61">
        <f>SUMIFS(T_Shipments[Confirmed_Qty],T_Shipments[RM_Code],$A61,T_Shipments[Effective_Week],66)</f>
        <v/>
      </c>
      <c r="BP61">
        <f>SUMIFS(T_Shipments[Confirmed_Qty],T_Shipments[RM_Code],$A61,T_Shipments[Effective_Week],67)</f>
        <v/>
      </c>
      <c r="BQ61">
        <f>SUMIFS(T_Shipments[Confirmed_Qty],T_Shipments[RM_Code],$A61,T_Shipments[Effective_Week],68)</f>
        <v/>
      </c>
      <c r="BR61">
        <f>SUMIFS(T_Shipments[Confirmed_Qty],T_Shipments[RM_Code],$A61,T_Shipments[Effective_Week],69)</f>
        <v/>
      </c>
      <c r="BS61">
        <f>SUMIFS(T_Shipments[Confirmed_Qty],T_Shipments[RM_Code],$A61,T_Shipments[Effective_Week],70)</f>
        <v/>
      </c>
      <c r="BT61">
        <f>SUMIFS(T_Shipments[Confirmed_Qty],T_Shipments[RM_Code],$A61,T_Shipments[Effective_Week],71)</f>
        <v/>
      </c>
      <c r="BU61">
        <f>SUMIFS(T_Shipments[Confirmed_Qty],T_Shipments[RM_Code],$A61,T_Shipments[Effective_Week],72)</f>
        <v/>
      </c>
      <c r="BV61">
        <f>SUMIFS(T_Shipments[Confirmed_Qty],T_Shipments[RM_Code],$A61,T_Shipments[Effective_Week],73)</f>
        <v/>
      </c>
      <c r="BW61">
        <f>SUMIFS(T_Shipments[Confirmed_Qty],T_Shipments[RM_Code],$A61,T_Shipments[Effective_Week],74)</f>
        <v/>
      </c>
      <c r="BX61">
        <f>SUMIFS(T_Shipments[Confirmed_Qty],T_Shipments[RM_Code],$A61,T_Shipments[Effective_Week],75)</f>
        <v/>
      </c>
      <c r="BY61">
        <f>SUMIFS(T_Shipments[Confirmed_Qty],T_Shipments[RM_Code],$A61,T_Shipments[Effective_Week],76)</f>
        <v/>
      </c>
      <c r="BZ61">
        <f>SUMIFS(T_Shipments[Confirmed_Qty],T_Shipments[RM_Code],$A61,T_Shipments[Effective_Week],77)</f>
        <v/>
      </c>
      <c r="CA61">
        <f>SUMIFS(T_Shipments[Confirmed_Qty],T_Shipments[RM_Code],$A61,T_Shipments[Effective_Week],78)</f>
        <v/>
      </c>
      <c r="CB61">
        <f>SUMIFS(T_Shipments[Confirmed_Qty],T_Shipments[RM_Code],$A61,T_Shipments[Effective_Week],79)</f>
        <v/>
      </c>
      <c r="CC61">
        <f>SUMIFS(T_Shipments[Confirmed_Qty],T_Shipments[RM_Code],$A61,T_Shipments[Effective_Week],80)</f>
        <v/>
      </c>
      <c r="CD61">
        <f>SUMIFS(T_Shipments[Confirmed_Qty],T_Shipments[RM_Code],$A61,T_Shipments[Effective_Week],81)</f>
        <v/>
      </c>
      <c r="CE61">
        <f>SUMIFS(T_Shipments[Confirmed_Qty],T_Shipments[RM_Code],$A61,T_Shipments[Effective_Week],82)</f>
        <v/>
      </c>
      <c r="CF61">
        <f>SUMIFS(T_Shipments[Confirmed_Qty],T_Shipments[RM_Code],$A61,T_Shipments[Effective_Week],83)</f>
        <v/>
      </c>
      <c r="CG61">
        <f>SUMIFS(T_Shipments[Confirmed_Qty],T_Shipments[RM_Code],$A61,T_Shipments[Effective_Week],84)</f>
        <v/>
      </c>
      <c r="CH61">
        <f>SUMIFS(T_Shipments[Confirmed_Qty],T_Shipments[RM_Code],$A61,T_Shipments[Effective_Week],85)</f>
        <v/>
      </c>
      <c r="CI61">
        <f>SUMIFS(T_Shipments[Confirmed_Qty],T_Shipments[RM_Code],$A61,T_Shipments[Effective_Week],86)</f>
        <v/>
      </c>
      <c r="CJ61">
        <f>SUMIFS(T_Shipments[Confirmed_Qty],T_Shipments[RM_Code],$A61,T_Shipments[Effective_Week],87)</f>
        <v/>
      </c>
      <c r="CK61">
        <f>SUMIFS(T_Shipments[Confirmed_Qty],T_Shipments[RM_Code],$A61,T_Shipments[Effective_Week],88)</f>
        <v/>
      </c>
      <c r="CL61">
        <f>SUMIFS(T_Shipments[Confirmed_Qty],T_Shipments[RM_Code],$A61,T_Shipments[Effective_Week],89)</f>
        <v/>
      </c>
      <c r="CM61">
        <f>SUMIFS(T_Shipments[Confirmed_Qty],T_Shipments[RM_Code],$A61,T_Shipments[Effective_Week],90)</f>
        <v/>
      </c>
      <c r="CN61">
        <f>SUMIFS(T_Shipments[Confirmed_Qty],T_Shipments[RM_Code],$A61,T_Shipments[Effective_Week],91)</f>
        <v/>
      </c>
      <c r="CO61">
        <f>SUMIFS(T_Shipments[Confirmed_Qty],T_Shipments[RM_Code],$A61,T_Shipments[Effective_Week],92)</f>
        <v/>
      </c>
      <c r="CP61">
        <f>SUMIFS(T_Shipments[Confirmed_Qty],T_Shipments[RM_Code],$A61,T_Shipments[Effective_Week],93)</f>
        <v/>
      </c>
      <c r="CQ61">
        <f>SUMIFS(T_Shipments[Confirmed_Qty],T_Shipments[RM_Code],$A61,T_Shipments[Effective_Week],94)</f>
        <v/>
      </c>
      <c r="CR61">
        <f>SUMIFS(T_Shipments[Confirmed_Qty],T_Shipments[RM_Code],$A61,T_Shipments[Effective_Week],95)</f>
        <v/>
      </c>
      <c r="CS61">
        <f>SUMIFS(T_Shipments[Confirmed_Qty],T_Shipments[RM_Code],$A61,T_Shipments[Effective_Week],96)</f>
        <v/>
      </c>
      <c r="CT61">
        <f>SUMIFS(T_Shipments[Confirmed_Qty],T_Shipments[RM_Code],$A61,T_Shipments[Effective_Week],97)</f>
        <v/>
      </c>
      <c r="CU61">
        <f>SUMIFS(T_Shipments[Confirmed_Qty],T_Shipments[RM_Code],$A61,T_Shipments[Effective_Week],98)</f>
        <v/>
      </c>
      <c r="CV61">
        <f>SUMIFS(T_Shipments[Confirmed_Qty],T_Shipments[RM_Code],$A61,T_Shipments[Effective_Week],99)</f>
        <v/>
      </c>
      <c r="CW61">
        <f>SUMIFS(T_Shipments[Confirmed_Qty],T_Shipments[RM_Code],$A61,T_Shipments[Effective_Week],100)</f>
        <v/>
      </c>
      <c r="CX61">
        <f>SUMIFS(T_Shipments[Confirmed_Qty],T_Shipments[RM_Code],$A61,T_Shipments[Effective_Week],101)</f>
        <v/>
      </c>
      <c r="CY61">
        <f>SUMIFS(T_Shipments[Confirmed_Qty],T_Shipments[RM_Code],$A61,T_Shipments[Effective_Week],102)</f>
        <v/>
      </c>
      <c r="CZ61">
        <f>SUMIFS(T_Shipments[Confirmed_Qty],T_Shipments[RM_Code],$A61,T_Shipments[Effective_Week],103)</f>
        <v/>
      </c>
      <c r="DA61">
        <f>SUMIFS(T_Shipments[Confirmed_Qty],T_Shipments[RM_Code],$A61,T_Shipments[Effective_Week],104)</f>
        <v/>
      </c>
    </row>
    <row r="62">
      <c r="A62" t="inlineStr">
        <is>
          <t>Ester Film</t>
        </is>
      </c>
      <c r="B62">
        <f>SUMIFS(T_Shipments[Confirmed_Qty],T_Shipments[RM_Code],$A62,T_Shipments[Effective_Week],1)</f>
        <v/>
      </c>
      <c r="C62">
        <f>SUMIFS(T_Shipments[Confirmed_Qty],T_Shipments[RM_Code],$A62,T_Shipments[Effective_Week],2)</f>
        <v/>
      </c>
      <c r="D62">
        <f>SUMIFS(T_Shipments[Confirmed_Qty],T_Shipments[RM_Code],$A62,T_Shipments[Effective_Week],3)</f>
        <v/>
      </c>
      <c r="E62">
        <f>SUMIFS(T_Shipments[Confirmed_Qty],T_Shipments[RM_Code],$A62,T_Shipments[Effective_Week],4)</f>
        <v/>
      </c>
      <c r="F62">
        <f>SUMIFS(T_Shipments[Confirmed_Qty],T_Shipments[RM_Code],$A62,T_Shipments[Effective_Week],5)</f>
        <v/>
      </c>
      <c r="G62">
        <f>SUMIFS(T_Shipments[Confirmed_Qty],T_Shipments[RM_Code],$A62,T_Shipments[Effective_Week],6)</f>
        <v/>
      </c>
      <c r="H62">
        <f>SUMIFS(T_Shipments[Confirmed_Qty],T_Shipments[RM_Code],$A62,T_Shipments[Effective_Week],7)</f>
        <v/>
      </c>
      <c r="I62">
        <f>SUMIFS(T_Shipments[Confirmed_Qty],T_Shipments[RM_Code],$A62,T_Shipments[Effective_Week],8)</f>
        <v/>
      </c>
      <c r="J62">
        <f>SUMIFS(T_Shipments[Confirmed_Qty],T_Shipments[RM_Code],$A62,T_Shipments[Effective_Week],9)</f>
        <v/>
      </c>
      <c r="K62">
        <f>SUMIFS(T_Shipments[Confirmed_Qty],T_Shipments[RM_Code],$A62,T_Shipments[Effective_Week],10)</f>
        <v/>
      </c>
      <c r="L62">
        <f>SUMIFS(T_Shipments[Confirmed_Qty],T_Shipments[RM_Code],$A62,T_Shipments[Effective_Week],11)</f>
        <v/>
      </c>
      <c r="M62">
        <f>SUMIFS(T_Shipments[Confirmed_Qty],T_Shipments[RM_Code],$A62,T_Shipments[Effective_Week],12)</f>
        <v/>
      </c>
      <c r="N62">
        <f>SUMIFS(T_Shipments[Confirmed_Qty],T_Shipments[RM_Code],$A62,T_Shipments[Effective_Week],13)</f>
        <v/>
      </c>
      <c r="O62">
        <f>SUMIFS(T_Shipments[Confirmed_Qty],T_Shipments[RM_Code],$A62,T_Shipments[Effective_Week],14)</f>
        <v/>
      </c>
      <c r="P62">
        <f>SUMIFS(T_Shipments[Confirmed_Qty],T_Shipments[RM_Code],$A62,T_Shipments[Effective_Week],15)</f>
        <v/>
      </c>
      <c r="Q62">
        <f>SUMIFS(T_Shipments[Confirmed_Qty],T_Shipments[RM_Code],$A62,T_Shipments[Effective_Week],16)</f>
        <v/>
      </c>
      <c r="R62">
        <f>SUMIFS(T_Shipments[Confirmed_Qty],T_Shipments[RM_Code],$A62,T_Shipments[Effective_Week],17)</f>
        <v/>
      </c>
      <c r="S62">
        <f>SUMIFS(T_Shipments[Confirmed_Qty],T_Shipments[RM_Code],$A62,T_Shipments[Effective_Week],18)</f>
        <v/>
      </c>
      <c r="T62">
        <f>SUMIFS(T_Shipments[Confirmed_Qty],T_Shipments[RM_Code],$A62,T_Shipments[Effective_Week],19)</f>
        <v/>
      </c>
      <c r="U62">
        <f>SUMIFS(T_Shipments[Confirmed_Qty],T_Shipments[RM_Code],$A62,T_Shipments[Effective_Week],20)</f>
        <v/>
      </c>
      <c r="V62">
        <f>SUMIFS(T_Shipments[Confirmed_Qty],T_Shipments[RM_Code],$A62,T_Shipments[Effective_Week],21)</f>
        <v/>
      </c>
      <c r="W62">
        <f>SUMIFS(T_Shipments[Confirmed_Qty],T_Shipments[RM_Code],$A62,T_Shipments[Effective_Week],22)</f>
        <v/>
      </c>
      <c r="X62">
        <f>SUMIFS(T_Shipments[Confirmed_Qty],T_Shipments[RM_Code],$A62,T_Shipments[Effective_Week],23)</f>
        <v/>
      </c>
      <c r="Y62">
        <f>SUMIFS(T_Shipments[Confirmed_Qty],T_Shipments[RM_Code],$A62,T_Shipments[Effective_Week],24)</f>
        <v/>
      </c>
      <c r="Z62">
        <f>SUMIFS(T_Shipments[Confirmed_Qty],T_Shipments[RM_Code],$A62,T_Shipments[Effective_Week],25)</f>
        <v/>
      </c>
      <c r="AA62">
        <f>SUMIFS(T_Shipments[Confirmed_Qty],T_Shipments[RM_Code],$A62,T_Shipments[Effective_Week],26)</f>
        <v/>
      </c>
      <c r="AB62">
        <f>SUMIFS(T_Shipments[Confirmed_Qty],T_Shipments[RM_Code],$A62,T_Shipments[Effective_Week],27)</f>
        <v/>
      </c>
      <c r="AC62">
        <f>SUMIFS(T_Shipments[Confirmed_Qty],T_Shipments[RM_Code],$A62,T_Shipments[Effective_Week],28)</f>
        <v/>
      </c>
      <c r="AD62">
        <f>SUMIFS(T_Shipments[Confirmed_Qty],T_Shipments[RM_Code],$A62,T_Shipments[Effective_Week],29)</f>
        <v/>
      </c>
      <c r="AE62">
        <f>SUMIFS(T_Shipments[Confirmed_Qty],T_Shipments[RM_Code],$A62,T_Shipments[Effective_Week],30)</f>
        <v/>
      </c>
      <c r="AF62">
        <f>SUMIFS(T_Shipments[Confirmed_Qty],T_Shipments[RM_Code],$A62,T_Shipments[Effective_Week],31)</f>
        <v/>
      </c>
      <c r="AG62">
        <f>SUMIFS(T_Shipments[Confirmed_Qty],T_Shipments[RM_Code],$A62,T_Shipments[Effective_Week],32)</f>
        <v/>
      </c>
      <c r="AH62">
        <f>SUMIFS(T_Shipments[Confirmed_Qty],T_Shipments[RM_Code],$A62,T_Shipments[Effective_Week],33)</f>
        <v/>
      </c>
      <c r="AI62">
        <f>SUMIFS(T_Shipments[Confirmed_Qty],T_Shipments[RM_Code],$A62,T_Shipments[Effective_Week],34)</f>
        <v/>
      </c>
      <c r="AJ62">
        <f>SUMIFS(T_Shipments[Confirmed_Qty],T_Shipments[RM_Code],$A62,T_Shipments[Effective_Week],35)</f>
        <v/>
      </c>
      <c r="AK62">
        <f>SUMIFS(T_Shipments[Confirmed_Qty],T_Shipments[RM_Code],$A62,T_Shipments[Effective_Week],36)</f>
        <v/>
      </c>
      <c r="AL62">
        <f>SUMIFS(T_Shipments[Confirmed_Qty],T_Shipments[RM_Code],$A62,T_Shipments[Effective_Week],37)</f>
        <v/>
      </c>
      <c r="AM62">
        <f>SUMIFS(T_Shipments[Confirmed_Qty],T_Shipments[RM_Code],$A62,T_Shipments[Effective_Week],38)</f>
        <v/>
      </c>
      <c r="AN62">
        <f>SUMIFS(T_Shipments[Confirmed_Qty],T_Shipments[RM_Code],$A62,T_Shipments[Effective_Week],39)</f>
        <v/>
      </c>
      <c r="AO62">
        <f>SUMIFS(T_Shipments[Confirmed_Qty],T_Shipments[RM_Code],$A62,T_Shipments[Effective_Week],40)</f>
        <v/>
      </c>
      <c r="AP62">
        <f>SUMIFS(T_Shipments[Confirmed_Qty],T_Shipments[RM_Code],$A62,T_Shipments[Effective_Week],41)</f>
        <v/>
      </c>
      <c r="AQ62">
        <f>SUMIFS(T_Shipments[Confirmed_Qty],T_Shipments[RM_Code],$A62,T_Shipments[Effective_Week],42)</f>
        <v/>
      </c>
      <c r="AR62">
        <f>SUMIFS(T_Shipments[Confirmed_Qty],T_Shipments[RM_Code],$A62,T_Shipments[Effective_Week],43)</f>
        <v/>
      </c>
      <c r="AS62">
        <f>SUMIFS(T_Shipments[Confirmed_Qty],T_Shipments[RM_Code],$A62,T_Shipments[Effective_Week],44)</f>
        <v/>
      </c>
      <c r="AT62">
        <f>SUMIFS(T_Shipments[Confirmed_Qty],T_Shipments[RM_Code],$A62,T_Shipments[Effective_Week],45)</f>
        <v/>
      </c>
      <c r="AU62">
        <f>SUMIFS(T_Shipments[Confirmed_Qty],T_Shipments[RM_Code],$A62,T_Shipments[Effective_Week],46)</f>
        <v/>
      </c>
      <c r="AV62">
        <f>SUMIFS(T_Shipments[Confirmed_Qty],T_Shipments[RM_Code],$A62,T_Shipments[Effective_Week],47)</f>
        <v/>
      </c>
      <c r="AW62">
        <f>SUMIFS(T_Shipments[Confirmed_Qty],T_Shipments[RM_Code],$A62,T_Shipments[Effective_Week],48)</f>
        <v/>
      </c>
      <c r="AX62">
        <f>SUMIFS(T_Shipments[Confirmed_Qty],T_Shipments[RM_Code],$A62,T_Shipments[Effective_Week],49)</f>
        <v/>
      </c>
      <c r="AY62">
        <f>SUMIFS(T_Shipments[Confirmed_Qty],T_Shipments[RM_Code],$A62,T_Shipments[Effective_Week],50)</f>
        <v/>
      </c>
      <c r="AZ62">
        <f>SUMIFS(T_Shipments[Confirmed_Qty],T_Shipments[RM_Code],$A62,T_Shipments[Effective_Week],51)</f>
        <v/>
      </c>
      <c r="BA62">
        <f>SUMIFS(T_Shipments[Confirmed_Qty],T_Shipments[RM_Code],$A62,T_Shipments[Effective_Week],52)</f>
        <v/>
      </c>
      <c r="BB62">
        <f>SUMIFS(T_Shipments[Confirmed_Qty],T_Shipments[RM_Code],$A62,T_Shipments[Effective_Week],53)</f>
        <v/>
      </c>
      <c r="BC62">
        <f>SUMIFS(T_Shipments[Confirmed_Qty],T_Shipments[RM_Code],$A62,T_Shipments[Effective_Week],54)</f>
        <v/>
      </c>
      <c r="BD62">
        <f>SUMIFS(T_Shipments[Confirmed_Qty],T_Shipments[RM_Code],$A62,T_Shipments[Effective_Week],55)</f>
        <v/>
      </c>
      <c r="BE62">
        <f>SUMIFS(T_Shipments[Confirmed_Qty],T_Shipments[RM_Code],$A62,T_Shipments[Effective_Week],56)</f>
        <v/>
      </c>
      <c r="BF62">
        <f>SUMIFS(T_Shipments[Confirmed_Qty],T_Shipments[RM_Code],$A62,T_Shipments[Effective_Week],57)</f>
        <v/>
      </c>
      <c r="BG62">
        <f>SUMIFS(T_Shipments[Confirmed_Qty],T_Shipments[RM_Code],$A62,T_Shipments[Effective_Week],58)</f>
        <v/>
      </c>
      <c r="BH62">
        <f>SUMIFS(T_Shipments[Confirmed_Qty],T_Shipments[RM_Code],$A62,T_Shipments[Effective_Week],59)</f>
        <v/>
      </c>
      <c r="BI62">
        <f>SUMIFS(T_Shipments[Confirmed_Qty],T_Shipments[RM_Code],$A62,T_Shipments[Effective_Week],60)</f>
        <v/>
      </c>
      <c r="BJ62">
        <f>SUMIFS(T_Shipments[Confirmed_Qty],T_Shipments[RM_Code],$A62,T_Shipments[Effective_Week],61)</f>
        <v/>
      </c>
      <c r="BK62">
        <f>SUMIFS(T_Shipments[Confirmed_Qty],T_Shipments[RM_Code],$A62,T_Shipments[Effective_Week],62)</f>
        <v/>
      </c>
      <c r="BL62">
        <f>SUMIFS(T_Shipments[Confirmed_Qty],T_Shipments[RM_Code],$A62,T_Shipments[Effective_Week],63)</f>
        <v/>
      </c>
      <c r="BM62">
        <f>SUMIFS(T_Shipments[Confirmed_Qty],T_Shipments[RM_Code],$A62,T_Shipments[Effective_Week],64)</f>
        <v/>
      </c>
      <c r="BN62">
        <f>SUMIFS(T_Shipments[Confirmed_Qty],T_Shipments[RM_Code],$A62,T_Shipments[Effective_Week],65)</f>
        <v/>
      </c>
      <c r="BO62">
        <f>SUMIFS(T_Shipments[Confirmed_Qty],T_Shipments[RM_Code],$A62,T_Shipments[Effective_Week],66)</f>
        <v/>
      </c>
      <c r="BP62">
        <f>SUMIFS(T_Shipments[Confirmed_Qty],T_Shipments[RM_Code],$A62,T_Shipments[Effective_Week],67)</f>
        <v/>
      </c>
      <c r="BQ62">
        <f>SUMIFS(T_Shipments[Confirmed_Qty],T_Shipments[RM_Code],$A62,T_Shipments[Effective_Week],68)</f>
        <v/>
      </c>
      <c r="BR62">
        <f>SUMIFS(T_Shipments[Confirmed_Qty],T_Shipments[RM_Code],$A62,T_Shipments[Effective_Week],69)</f>
        <v/>
      </c>
      <c r="BS62">
        <f>SUMIFS(T_Shipments[Confirmed_Qty],T_Shipments[RM_Code],$A62,T_Shipments[Effective_Week],70)</f>
        <v/>
      </c>
      <c r="BT62">
        <f>SUMIFS(T_Shipments[Confirmed_Qty],T_Shipments[RM_Code],$A62,T_Shipments[Effective_Week],71)</f>
        <v/>
      </c>
      <c r="BU62">
        <f>SUMIFS(T_Shipments[Confirmed_Qty],T_Shipments[RM_Code],$A62,T_Shipments[Effective_Week],72)</f>
        <v/>
      </c>
      <c r="BV62">
        <f>SUMIFS(T_Shipments[Confirmed_Qty],T_Shipments[RM_Code],$A62,T_Shipments[Effective_Week],73)</f>
        <v/>
      </c>
      <c r="BW62">
        <f>SUMIFS(T_Shipments[Confirmed_Qty],T_Shipments[RM_Code],$A62,T_Shipments[Effective_Week],74)</f>
        <v/>
      </c>
      <c r="BX62">
        <f>SUMIFS(T_Shipments[Confirmed_Qty],T_Shipments[RM_Code],$A62,T_Shipments[Effective_Week],75)</f>
        <v/>
      </c>
      <c r="BY62">
        <f>SUMIFS(T_Shipments[Confirmed_Qty],T_Shipments[RM_Code],$A62,T_Shipments[Effective_Week],76)</f>
        <v/>
      </c>
      <c r="BZ62">
        <f>SUMIFS(T_Shipments[Confirmed_Qty],T_Shipments[RM_Code],$A62,T_Shipments[Effective_Week],77)</f>
        <v/>
      </c>
      <c r="CA62">
        <f>SUMIFS(T_Shipments[Confirmed_Qty],T_Shipments[RM_Code],$A62,T_Shipments[Effective_Week],78)</f>
        <v/>
      </c>
      <c r="CB62">
        <f>SUMIFS(T_Shipments[Confirmed_Qty],T_Shipments[RM_Code],$A62,T_Shipments[Effective_Week],79)</f>
        <v/>
      </c>
      <c r="CC62">
        <f>SUMIFS(T_Shipments[Confirmed_Qty],T_Shipments[RM_Code],$A62,T_Shipments[Effective_Week],80)</f>
        <v/>
      </c>
      <c r="CD62">
        <f>SUMIFS(T_Shipments[Confirmed_Qty],T_Shipments[RM_Code],$A62,T_Shipments[Effective_Week],81)</f>
        <v/>
      </c>
      <c r="CE62">
        <f>SUMIFS(T_Shipments[Confirmed_Qty],T_Shipments[RM_Code],$A62,T_Shipments[Effective_Week],82)</f>
        <v/>
      </c>
      <c r="CF62">
        <f>SUMIFS(T_Shipments[Confirmed_Qty],T_Shipments[RM_Code],$A62,T_Shipments[Effective_Week],83)</f>
        <v/>
      </c>
      <c r="CG62">
        <f>SUMIFS(T_Shipments[Confirmed_Qty],T_Shipments[RM_Code],$A62,T_Shipments[Effective_Week],84)</f>
        <v/>
      </c>
      <c r="CH62">
        <f>SUMIFS(T_Shipments[Confirmed_Qty],T_Shipments[RM_Code],$A62,T_Shipments[Effective_Week],85)</f>
        <v/>
      </c>
      <c r="CI62">
        <f>SUMIFS(T_Shipments[Confirmed_Qty],T_Shipments[RM_Code],$A62,T_Shipments[Effective_Week],86)</f>
        <v/>
      </c>
      <c r="CJ62">
        <f>SUMIFS(T_Shipments[Confirmed_Qty],T_Shipments[RM_Code],$A62,T_Shipments[Effective_Week],87)</f>
        <v/>
      </c>
      <c r="CK62">
        <f>SUMIFS(T_Shipments[Confirmed_Qty],T_Shipments[RM_Code],$A62,T_Shipments[Effective_Week],88)</f>
        <v/>
      </c>
      <c r="CL62">
        <f>SUMIFS(T_Shipments[Confirmed_Qty],T_Shipments[RM_Code],$A62,T_Shipments[Effective_Week],89)</f>
        <v/>
      </c>
      <c r="CM62">
        <f>SUMIFS(T_Shipments[Confirmed_Qty],T_Shipments[RM_Code],$A62,T_Shipments[Effective_Week],90)</f>
        <v/>
      </c>
      <c r="CN62">
        <f>SUMIFS(T_Shipments[Confirmed_Qty],T_Shipments[RM_Code],$A62,T_Shipments[Effective_Week],91)</f>
        <v/>
      </c>
      <c r="CO62">
        <f>SUMIFS(T_Shipments[Confirmed_Qty],T_Shipments[RM_Code],$A62,T_Shipments[Effective_Week],92)</f>
        <v/>
      </c>
      <c r="CP62">
        <f>SUMIFS(T_Shipments[Confirmed_Qty],T_Shipments[RM_Code],$A62,T_Shipments[Effective_Week],93)</f>
        <v/>
      </c>
      <c r="CQ62">
        <f>SUMIFS(T_Shipments[Confirmed_Qty],T_Shipments[RM_Code],$A62,T_Shipments[Effective_Week],94)</f>
        <v/>
      </c>
      <c r="CR62">
        <f>SUMIFS(T_Shipments[Confirmed_Qty],T_Shipments[RM_Code],$A62,T_Shipments[Effective_Week],95)</f>
        <v/>
      </c>
      <c r="CS62">
        <f>SUMIFS(T_Shipments[Confirmed_Qty],T_Shipments[RM_Code],$A62,T_Shipments[Effective_Week],96)</f>
        <v/>
      </c>
      <c r="CT62">
        <f>SUMIFS(T_Shipments[Confirmed_Qty],T_Shipments[RM_Code],$A62,T_Shipments[Effective_Week],97)</f>
        <v/>
      </c>
      <c r="CU62">
        <f>SUMIFS(T_Shipments[Confirmed_Qty],T_Shipments[RM_Code],$A62,T_Shipments[Effective_Week],98)</f>
        <v/>
      </c>
      <c r="CV62">
        <f>SUMIFS(T_Shipments[Confirmed_Qty],T_Shipments[RM_Code],$A62,T_Shipments[Effective_Week],99)</f>
        <v/>
      </c>
      <c r="CW62">
        <f>SUMIFS(T_Shipments[Confirmed_Qty],T_Shipments[RM_Code],$A62,T_Shipments[Effective_Week],100)</f>
        <v/>
      </c>
      <c r="CX62">
        <f>SUMIFS(T_Shipments[Confirmed_Qty],T_Shipments[RM_Code],$A62,T_Shipments[Effective_Week],101)</f>
        <v/>
      </c>
      <c r="CY62">
        <f>SUMIFS(T_Shipments[Confirmed_Qty],T_Shipments[RM_Code],$A62,T_Shipments[Effective_Week],102)</f>
        <v/>
      </c>
      <c r="CZ62">
        <f>SUMIFS(T_Shipments[Confirmed_Qty],T_Shipments[RM_Code],$A62,T_Shipments[Effective_Week],103)</f>
        <v/>
      </c>
      <c r="DA62">
        <f>SUMIFS(T_Shipments[Confirmed_Qty],T_Shipments[RM_Code],$A62,T_Shipments[Effective_Week],104)</f>
        <v/>
      </c>
    </row>
    <row r="63">
      <c r="A63" t="inlineStr">
        <is>
          <t>PP Film</t>
        </is>
      </c>
      <c r="B63">
        <f>SUMIFS(T_Shipments[Confirmed_Qty],T_Shipments[RM_Code],$A63,T_Shipments[Effective_Week],1)</f>
        <v/>
      </c>
      <c r="C63">
        <f>SUMIFS(T_Shipments[Confirmed_Qty],T_Shipments[RM_Code],$A63,T_Shipments[Effective_Week],2)</f>
        <v/>
      </c>
      <c r="D63">
        <f>SUMIFS(T_Shipments[Confirmed_Qty],T_Shipments[RM_Code],$A63,T_Shipments[Effective_Week],3)</f>
        <v/>
      </c>
      <c r="E63">
        <f>SUMIFS(T_Shipments[Confirmed_Qty],T_Shipments[RM_Code],$A63,T_Shipments[Effective_Week],4)</f>
        <v/>
      </c>
      <c r="F63">
        <f>SUMIFS(T_Shipments[Confirmed_Qty],T_Shipments[RM_Code],$A63,T_Shipments[Effective_Week],5)</f>
        <v/>
      </c>
      <c r="G63">
        <f>SUMIFS(T_Shipments[Confirmed_Qty],T_Shipments[RM_Code],$A63,T_Shipments[Effective_Week],6)</f>
        <v/>
      </c>
      <c r="H63">
        <f>SUMIFS(T_Shipments[Confirmed_Qty],T_Shipments[RM_Code],$A63,T_Shipments[Effective_Week],7)</f>
        <v/>
      </c>
      <c r="I63">
        <f>SUMIFS(T_Shipments[Confirmed_Qty],T_Shipments[RM_Code],$A63,T_Shipments[Effective_Week],8)</f>
        <v/>
      </c>
      <c r="J63">
        <f>SUMIFS(T_Shipments[Confirmed_Qty],T_Shipments[RM_Code],$A63,T_Shipments[Effective_Week],9)</f>
        <v/>
      </c>
      <c r="K63">
        <f>SUMIFS(T_Shipments[Confirmed_Qty],T_Shipments[RM_Code],$A63,T_Shipments[Effective_Week],10)</f>
        <v/>
      </c>
      <c r="L63">
        <f>SUMIFS(T_Shipments[Confirmed_Qty],T_Shipments[RM_Code],$A63,T_Shipments[Effective_Week],11)</f>
        <v/>
      </c>
      <c r="M63">
        <f>SUMIFS(T_Shipments[Confirmed_Qty],T_Shipments[RM_Code],$A63,T_Shipments[Effective_Week],12)</f>
        <v/>
      </c>
      <c r="N63">
        <f>SUMIFS(T_Shipments[Confirmed_Qty],T_Shipments[RM_Code],$A63,T_Shipments[Effective_Week],13)</f>
        <v/>
      </c>
      <c r="O63">
        <f>SUMIFS(T_Shipments[Confirmed_Qty],T_Shipments[RM_Code],$A63,T_Shipments[Effective_Week],14)</f>
        <v/>
      </c>
      <c r="P63">
        <f>SUMIFS(T_Shipments[Confirmed_Qty],T_Shipments[RM_Code],$A63,T_Shipments[Effective_Week],15)</f>
        <v/>
      </c>
      <c r="Q63">
        <f>SUMIFS(T_Shipments[Confirmed_Qty],T_Shipments[RM_Code],$A63,T_Shipments[Effective_Week],16)</f>
        <v/>
      </c>
      <c r="R63">
        <f>SUMIFS(T_Shipments[Confirmed_Qty],T_Shipments[RM_Code],$A63,T_Shipments[Effective_Week],17)</f>
        <v/>
      </c>
      <c r="S63">
        <f>SUMIFS(T_Shipments[Confirmed_Qty],T_Shipments[RM_Code],$A63,T_Shipments[Effective_Week],18)</f>
        <v/>
      </c>
      <c r="T63">
        <f>SUMIFS(T_Shipments[Confirmed_Qty],T_Shipments[RM_Code],$A63,T_Shipments[Effective_Week],19)</f>
        <v/>
      </c>
      <c r="U63">
        <f>SUMIFS(T_Shipments[Confirmed_Qty],T_Shipments[RM_Code],$A63,T_Shipments[Effective_Week],20)</f>
        <v/>
      </c>
      <c r="V63">
        <f>SUMIFS(T_Shipments[Confirmed_Qty],T_Shipments[RM_Code],$A63,T_Shipments[Effective_Week],21)</f>
        <v/>
      </c>
      <c r="W63">
        <f>SUMIFS(T_Shipments[Confirmed_Qty],T_Shipments[RM_Code],$A63,T_Shipments[Effective_Week],22)</f>
        <v/>
      </c>
      <c r="X63">
        <f>SUMIFS(T_Shipments[Confirmed_Qty],T_Shipments[RM_Code],$A63,T_Shipments[Effective_Week],23)</f>
        <v/>
      </c>
      <c r="Y63">
        <f>SUMIFS(T_Shipments[Confirmed_Qty],T_Shipments[RM_Code],$A63,T_Shipments[Effective_Week],24)</f>
        <v/>
      </c>
      <c r="Z63">
        <f>SUMIFS(T_Shipments[Confirmed_Qty],T_Shipments[RM_Code],$A63,T_Shipments[Effective_Week],25)</f>
        <v/>
      </c>
      <c r="AA63">
        <f>SUMIFS(T_Shipments[Confirmed_Qty],T_Shipments[RM_Code],$A63,T_Shipments[Effective_Week],26)</f>
        <v/>
      </c>
      <c r="AB63">
        <f>SUMIFS(T_Shipments[Confirmed_Qty],T_Shipments[RM_Code],$A63,T_Shipments[Effective_Week],27)</f>
        <v/>
      </c>
      <c r="AC63">
        <f>SUMIFS(T_Shipments[Confirmed_Qty],T_Shipments[RM_Code],$A63,T_Shipments[Effective_Week],28)</f>
        <v/>
      </c>
      <c r="AD63">
        <f>SUMIFS(T_Shipments[Confirmed_Qty],T_Shipments[RM_Code],$A63,T_Shipments[Effective_Week],29)</f>
        <v/>
      </c>
      <c r="AE63">
        <f>SUMIFS(T_Shipments[Confirmed_Qty],T_Shipments[RM_Code],$A63,T_Shipments[Effective_Week],30)</f>
        <v/>
      </c>
      <c r="AF63">
        <f>SUMIFS(T_Shipments[Confirmed_Qty],T_Shipments[RM_Code],$A63,T_Shipments[Effective_Week],31)</f>
        <v/>
      </c>
      <c r="AG63">
        <f>SUMIFS(T_Shipments[Confirmed_Qty],T_Shipments[RM_Code],$A63,T_Shipments[Effective_Week],32)</f>
        <v/>
      </c>
      <c r="AH63">
        <f>SUMIFS(T_Shipments[Confirmed_Qty],T_Shipments[RM_Code],$A63,T_Shipments[Effective_Week],33)</f>
        <v/>
      </c>
      <c r="AI63">
        <f>SUMIFS(T_Shipments[Confirmed_Qty],T_Shipments[RM_Code],$A63,T_Shipments[Effective_Week],34)</f>
        <v/>
      </c>
      <c r="AJ63">
        <f>SUMIFS(T_Shipments[Confirmed_Qty],T_Shipments[RM_Code],$A63,T_Shipments[Effective_Week],35)</f>
        <v/>
      </c>
      <c r="AK63">
        <f>SUMIFS(T_Shipments[Confirmed_Qty],T_Shipments[RM_Code],$A63,T_Shipments[Effective_Week],36)</f>
        <v/>
      </c>
      <c r="AL63">
        <f>SUMIFS(T_Shipments[Confirmed_Qty],T_Shipments[RM_Code],$A63,T_Shipments[Effective_Week],37)</f>
        <v/>
      </c>
      <c r="AM63">
        <f>SUMIFS(T_Shipments[Confirmed_Qty],T_Shipments[RM_Code],$A63,T_Shipments[Effective_Week],38)</f>
        <v/>
      </c>
      <c r="AN63">
        <f>SUMIFS(T_Shipments[Confirmed_Qty],T_Shipments[RM_Code],$A63,T_Shipments[Effective_Week],39)</f>
        <v/>
      </c>
      <c r="AO63">
        <f>SUMIFS(T_Shipments[Confirmed_Qty],T_Shipments[RM_Code],$A63,T_Shipments[Effective_Week],40)</f>
        <v/>
      </c>
      <c r="AP63">
        <f>SUMIFS(T_Shipments[Confirmed_Qty],T_Shipments[RM_Code],$A63,T_Shipments[Effective_Week],41)</f>
        <v/>
      </c>
      <c r="AQ63">
        <f>SUMIFS(T_Shipments[Confirmed_Qty],T_Shipments[RM_Code],$A63,T_Shipments[Effective_Week],42)</f>
        <v/>
      </c>
      <c r="AR63">
        <f>SUMIFS(T_Shipments[Confirmed_Qty],T_Shipments[RM_Code],$A63,T_Shipments[Effective_Week],43)</f>
        <v/>
      </c>
      <c r="AS63">
        <f>SUMIFS(T_Shipments[Confirmed_Qty],T_Shipments[RM_Code],$A63,T_Shipments[Effective_Week],44)</f>
        <v/>
      </c>
      <c r="AT63">
        <f>SUMIFS(T_Shipments[Confirmed_Qty],T_Shipments[RM_Code],$A63,T_Shipments[Effective_Week],45)</f>
        <v/>
      </c>
      <c r="AU63">
        <f>SUMIFS(T_Shipments[Confirmed_Qty],T_Shipments[RM_Code],$A63,T_Shipments[Effective_Week],46)</f>
        <v/>
      </c>
      <c r="AV63">
        <f>SUMIFS(T_Shipments[Confirmed_Qty],T_Shipments[RM_Code],$A63,T_Shipments[Effective_Week],47)</f>
        <v/>
      </c>
      <c r="AW63">
        <f>SUMIFS(T_Shipments[Confirmed_Qty],T_Shipments[RM_Code],$A63,T_Shipments[Effective_Week],48)</f>
        <v/>
      </c>
      <c r="AX63">
        <f>SUMIFS(T_Shipments[Confirmed_Qty],T_Shipments[RM_Code],$A63,T_Shipments[Effective_Week],49)</f>
        <v/>
      </c>
      <c r="AY63">
        <f>SUMIFS(T_Shipments[Confirmed_Qty],T_Shipments[RM_Code],$A63,T_Shipments[Effective_Week],50)</f>
        <v/>
      </c>
      <c r="AZ63">
        <f>SUMIFS(T_Shipments[Confirmed_Qty],T_Shipments[RM_Code],$A63,T_Shipments[Effective_Week],51)</f>
        <v/>
      </c>
      <c r="BA63">
        <f>SUMIFS(T_Shipments[Confirmed_Qty],T_Shipments[RM_Code],$A63,T_Shipments[Effective_Week],52)</f>
        <v/>
      </c>
      <c r="BB63">
        <f>SUMIFS(T_Shipments[Confirmed_Qty],T_Shipments[RM_Code],$A63,T_Shipments[Effective_Week],53)</f>
        <v/>
      </c>
      <c r="BC63">
        <f>SUMIFS(T_Shipments[Confirmed_Qty],T_Shipments[RM_Code],$A63,T_Shipments[Effective_Week],54)</f>
        <v/>
      </c>
      <c r="BD63">
        <f>SUMIFS(T_Shipments[Confirmed_Qty],T_Shipments[RM_Code],$A63,T_Shipments[Effective_Week],55)</f>
        <v/>
      </c>
      <c r="BE63">
        <f>SUMIFS(T_Shipments[Confirmed_Qty],T_Shipments[RM_Code],$A63,T_Shipments[Effective_Week],56)</f>
        <v/>
      </c>
      <c r="BF63">
        <f>SUMIFS(T_Shipments[Confirmed_Qty],T_Shipments[RM_Code],$A63,T_Shipments[Effective_Week],57)</f>
        <v/>
      </c>
      <c r="BG63">
        <f>SUMIFS(T_Shipments[Confirmed_Qty],T_Shipments[RM_Code],$A63,T_Shipments[Effective_Week],58)</f>
        <v/>
      </c>
      <c r="BH63">
        <f>SUMIFS(T_Shipments[Confirmed_Qty],T_Shipments[RM_Code],$A63,T_Shipments[Effective_Week],59)</f>
        <v/>
      </c>
      <c r="BI63">
        <f>SUMIFS(T_Shipments[Confirmed_Qty],T_Shipments[RM_Code],$A63,T_Shipments[Effective_Week],60)</f>
        <v/>
      </c>
      <c r="BJ63">
        <f>SUMIFS(T_Shipments[Confirmed_Qty],T_Shipments[RM_Code],$A63,T_Shipments[Effective_Week],61)</f>
        <v/>
      </c>
      <c r="BK63">
        <f>SUMIFS(T_Shipments[Confirmed_Qty],T_Shipments[RM_Code],$A63,T_Shipments[Effective_Week],62)</f>
        <v/>
      </c>
      <c r="BL63">
        <f>SUMIFS(T_Shipments[Confirmed_Qty],T_Shipments[RM_Code],$A63,T_Shipments[Effective_Week],63)</f>
        <v/>
      </c>
      <c r="BM63">
        <f>SUMIFS(T_Shipments[Confirmed_Qty],T_Shipments[RM_Code],$A63,T_Shipments[Effective_Week],64)</f>
        <v/>
      </c>
      <c r="BN63">
        <f>SUMIFS(T_Shipments[Confirmed_Qty],T_Shipments[RM_Code],$A63,T_Shipments[Effective_Week],65)</f>
        <v/>
      </c>
      <c r="BO63">
        <f>SUMIFS(T_Shipments[Confirmed_Qty],T_Shipments[RM_Code],$A63,T_Shipments[Effective_Week],66)</f>
        <v/>
      </c>
      <c r="BP63">
        <f>SUMIFS(T_Shipments[Confirmed_Qty],T_Shipments[RM_Code],$A63,T_Shipments[Effective_Week],67)</f>
        <v/>
      </c>
      <c r="BQ63">
        <f>SUMIFS(T_Shipments[Confirmed_Qty],T_Shipments[RM_Code],$A63,T_Shipments[Effective_Week],68)</f>
        <v/>
      </c>
      <c r="BR63">
        <f>SUMIFS(T_Shipments[Confirmed_Qty],T_Shipments[RM_Code],$A63,T_Shipments[Effective_Week],69)</f>
        <v/>
      </c>
      <c r="BS63">
        <f>SUMIFS(T_Shipments[Confirmed_Qty],T_Shipments[RM_Code],$A63,T_Shipments[Effective_Week],70)</f>
        <v/>
      </c>
      <c r="BT63">
        <f>SUMIFS(T_Shipments[Confirmed_Qty],T_Shipments[RM_Code],$A63,T_Shipments[Effective_Week],71)</f>
        <v/>
      </c>
      <c r="BU63">
        <f>SUMIFS(T_Shipments[Confirmed_Qty],T_Shipments[RM_Code],$A63,T_Shipments[Effective_Week],72)</f>
        <v/>
      </c>
      <c r="BV63">
        <f>SUMIFS(T_Shipments[Confirmed_Qty],T_Shipments[RM_Code],$A63,T_Shipments[Effective_Week],73)</f>
        <v/>
      </c>
      <c r="BW63">
        <f>SUMIFS(T_Shipments[Confirmed_Qty],T_Shipments[RM_Code],$A63,T_Shipments[Effective_Week],74)</f>
        <v/>
      </c>
      <c r="BX63">
        <f>SUMIFS(T_Shipments[Confirmed_Qty],T_Shipments[RM_Code],$A63,T_Shipments[Effective_Week],75)</f>
        <v/>
      </c>
      <c r="BY63">
        <f>SUMIFS(T_Shipments[Confirmed_Qty],T_Shipments[RM_Code],$A63,T_Shipments[Effective_Week],76)</f>
        <v/>
      </c>
      <c r="BZ63">
        <f>SUMIFS(T_Shipments[Confirmed_Qty],T_Shipments[RM_Code],$A63,T_Shipments[Effective_Week],77)</f>
        <v/>
      </c>
      <c r="CA63">
        <f>SUMIFS(T_Shipments[Confirmed_Qty],T_Shipments[RM_Code],$A63,T_Shipments[Effective_Week],78)</f>
        <v/>
      </c>
      <c r="CB63">
        <f>SUMIFS(T_Shipments[Confirmed_Qty],T_Shipments[RM_Code],$A63,T_Shipments[Effective_Week],79)</f>
        <v/>
      </c>
      <c r="CC63">
        <f>SUMIFS(T_Shipments[Confirmed_Qty],T_Shipments[RM_Code],$A63,T_Shipments[Effective_Week],80)</f>
        <v/>
      </c>
      <c r="CD63">
        <f>SUMIFS(T_Shipments[Confirmed_Qty],T_Shipments[RM_Code],$A63,T_Shipments[Effective_Week],81)</f>
        <v/>
      </c>
      <c r="CE63">
        <f>SUMIFS(T_Shipments[Confirmed_Qty],T_Shipments[RM_Code],$A63,T_Shipments[Effective_Week],82)</f>
        <v/>
      </c>
      <c r="CF63">
        <f>SUMIFS(T_Shipments[Confirmed_Qty],T_Shipments[RM_Code],$A63,T_Shipments[Effective_Week],83)</f>
        <v/>
      </c>
      <c r="CG63">
        <f>SUMIFS(T_Shipments[Confirmed_Qty],T_Shipments[RM_Code],$A63,T_Shipments[Effective_Week],84)</f>
        <v/>
      </c>
      <c r="CH63">
        <f>SUMIFS(T_Shipments[Confirmed_Qty],T_Shipments[RM_Code],$A63,T_Shipments[Effective_Week],85)</f>
        <v/>
      </c>
      <c r="CI63">
        <f>SUMIFS(T_Shipments[Confirmed_Qty],T_Shipments[RM_Code],$A63,T_Shipments[Effective_Week],86)</f>
        <v/>
      </c>
      <c r="CJ63">
        <f>SUMIFS(T_Shipments[Confirmed_Qty],T_Shipments[RM_Code],$A63,T_Shipments[Effective_Week],87)</f>
        <v/>
      </c>
      <c r="CK63">
        <f>SUMIFS(T_Shipments[Confirmed_Qty],T_Shipments[RM_Code],$A63,T_Shipments[Effective_Week],88)</f>
        <v/>
      </c>
      <c r="CL63">
        <f>SUMIFS(T_Shipments[Confirmed_Qty],T_Shipments[RM_Code],$A63,T_Shipments[Effective_Week],89)</f>
        <v/>
      </c>
      <c r="CM63">
        <f>SUMIFS(T_Shipments[Confirmed_Qty],T_Shipments[RM_Code],$A63,T_Shipments[Effective_Week],90)</f>
        <v/>
      </c>
      <c r="CN63">
        <f>SUMIFS(T_Shipments[Confirmed_Qty],T_Shipments[RM_Code],$A63,T_Shipments[Effective_Week],91)</f>
        <v/>
      </c>
      <c r="CO63">
        <f>SUMIFS(T_Shipments[Confirmed_Qty],T_Shipments[RM_Code],$A63,T_Shipments[Effective_Week],92)</f>
        <v/>
      </c>
      <c r="CP63">
        <f>SUMIFS(T_Shipments[Confirmed_Qty],T_Shipments[RM_Code],$A63,T_Shipments[Effective_Week],93)</f>
        <v/>
      </c>
      <c r="CQ63">
        <f>SUMIFS(T_Shipments[Confirmed_Qty],T_Shipments[RM_Code],$A63,T_Shipments[Effective_Week],94)</f>
        <v/>
      </c>
      <c r="CR63">
        <f>SUMIFS(T_Shipments[Confirmed_Qty],T_Shipments[RM_Code],$A63,T_Shipments[Effective_Week],95)</f>
        <v/>
      </c>
      <c r="CS63">
        <f>SUMIFS(T_Shipments[Confirmed_Qty],T_Shipments[RM_Code],$A63,T_Shipments[Effective_Week],96)</f>
        <v/>
      </c>
      <c r="CT63">
        <f>SUMIFS(T_Shipments[Confirmed_Qty],T_Shipments[RM_Code],$A63,T_Shipments[Effective_Week],97)</f>
        <v/>
      </c>
      <c r="CU63">
        <f>SUMIFS(T_Shipments[Confirmed_Qty],T_Shipments[RM_Code],$A63,T_Shipments[Effective_Week],98)</f>
        <v/>
      </c>
      <c r="CV63">
        <f>SUMIFS(T_Shipments[Confirmed_Qty],T_Shipments[RM_Code],$A63,T_Shipments[Effective_Week],99)</f>
        <v/>
      </c>
      <c r="CW63">
        <f>SUMIFS(T_Shipments[Confirmed_Qty],T_Shipments[RM_Code],$A63,T_Shipments[Effective_Week],100)</f>
        <v/>
      </c>
      <c r="CX63">
        <f>SUMIFS(T_Shipments[Confirmed_Qty],T_Shipments[RM_Code],$A63,T_Shipments[Effective_Week],101)</f>
        <v/>
      </c>
      <c r="CY63">
        <f>SUMIFS(T_Shipments[Confirmed_Qty],T_Shipments[RM_Code],$A63,T_Shipments[Effective_Week],102)</f>
        <v/>
      </c>
      <c r="CZ63">
        <f>SUMIFS(T_Shipments[Confirmed_Qty],T_Shipments[RM_Code],$A63,T_Shipments[Effective_Week],103)</f>
        <v/>
      </c>
      <c r="DA63">
        <f>SUMIFS(T_Shipments[Confirmed_Qty],T_Shipments[RM_Code],$A63,T_Shipments[Effective_Week],104)</f>
        <v/>
      </c>
    </row>
    <row r="64">
      <c r="A64" t="inlineStr">
        <is>
          <t>5SN</t>
        </is>
      </c>
      <c r="B64">
        <f>SUMIFS(T_Shipments[Confirmed_Qty],T_Shipments[RM_Code],$A64,T_Shipments[Effective_Week],1)</f>
        <v/>
      </c>
      <c r="C64">
        <f>SUMIFS(T_Shipments[Confirmed_Qty],T_Shipments[RM_Code],$A64,T_Shipments[Effective_Week],2)</f>
        <v/>
      </c>
      <c r="D64">
        <f>SUMIFS(T_Shipments[Confirmed_Qty],T_Shipments[RM_Code],$A64,T_Shipments[Effective_Week],3)</f>
        <v/>
      </c>
      <c r="E64">
        <f>SUMIFS(T_Shipments[Confirmed_Qty],T_Shipments[RM_Code],$A64,T_Shipments[Effective_Week],4)</f>
        <v/>
      </c>
      <c r="F64">
        <f>SUMIFS(T_Shipments[Confirmed_Qty],T_Shipments[RM_Code],$A64,T_Shipments[Effective_Week],5)</f>
        <v/>
      </c>
      <c r="G64">
        <f>SUMIFS(T_Shipments[Confirmed_Qty],T_Shipments[RM_Code],$A64,T_Shipments[Effective_Week],6)</f>
        <v/>
      </c>
      <c r="H64">
        <f>SUMIFS(T_Shipments[Confirmed_Qty],T_Shipments[RM_Code],$A64,T_Shipments[Effective_Week],7)</f>
        <v/>
      </c>
      <c r="I64">
        <f>SUMIFS(T_Shipments[Confirmed_Qty],T_Shipments[RM_Code],$A64,T_Shipments[Effective_Week],8)</f>
        <v/>
      </c>
      <c r="J64">
        <f>SUMIFS(T_Shipments[Confirmed_Qty],T_Shipments[RM_Code],$A64,T_Shipments[Effective_Week],9)</f>
        <v/>
      </c>
      <c r="K64">
        <f>SUMIFS(T_Shipments[Confirmed_Qty],T_Shipments[RM_Code],$A64,T_Shipments[Effective_Week],10)</f>
        <v/>
      </c>
      <c r="L64">
        <f>SUMIFS(T_Shipments[Confirmed_Qty],T_Shipments[RM_Code],$A64,T_Shipments[Effective_Week],11)</f>
        <v/>
      </c>
      <c r="M64">
        <f>SUMIFS(T_Shipments[Confirmed_Qty],T_Shipments[RM_Code],$A64,T_Shipments[Effective_Week],12)</f>
        <v/>
      </c>
      <c r="N64">
        <f>SUMIFS(T_Shipments[Confirmed_Qty],T_Shipments[RM_Code],$A64,T_Shipments[Effective_Week],13)</f>
        <v/>
      </c>
      <c r="O64">
        <f>SUMIFS(T_Shipments[Confirmed_Qty],T_Shipments[RM_Code],$A64,T_Shipments[Effective_Week],14)</f>
        <v/>
      </c>
      <c r="P64">
        <f>SUMIFS(T_Shipments[Confirmed_Qty],T_Shipments[RM_Code],$A64,T_Shipments[Effective_Week],15)</f>
        <v/>
      </c>
      <c r="Q64">
        <f>SUMIFS(T_Shipments[Confirmed_Qty],T_Shipments[RM_Code],$A64,T_Shipments[Effective_Week],16)</f>
        <v/>
      </c>
      <c r="R64">
        <f>SUMIFS(T_Shipments[Confirmed_Qty],T_Shipments[RM_Code],$A64,T_Shipments[Effective_Week],17)</f>
        <v/>
      </c>
      <c r="S64">
        <f>SUMIFS(T_Shipments[Confirmed_Qty],T_Shipments[RM_Code],$A64,T_Shipments[Effective_Week],18)</f>
        <v/>
      </c>
      <c r="T64">
        <f>SUMIFS(T_Shipments[Confirmed_Qty],T_Shipments[RM_Code],$A64,T_Shipments[Effective_Week],19)</f>
        <v/>
      </c>
      <c r="U64">
        <f>SUMIFS(T_Shipments[Confirmed_Qty],T_Shipments[RM_Code],$A64,T_Shipments[Effective_Week],20)</f>
        <v/>
      </c>
      <c r="V64">
        <f>SUMIFS(T_Shipments[Confirmed_Qty],T_Shipments[RM_Code],$A64,T_Shipments[Effective_Week],21)</f>
        <v/>
      </c>
      <c r="W64">
        <f>SUMIFS(T_Shipments[Confirmed_Qty],T_Shipments[RM_Code],$A64,T_Shipments[Effective_Week],22)</f>
        <v/>
      </c>
      <c r="X64">
        <f>SUMIFS(T_Shipments[Confirmed_Qty],T_Shipments[RM_Code],$A64,T_Shipments[Effective_Week],23)</f>
        <v/>
      </c>
      <c r="Y64">
        <f>SUMIFS(T_Shipments[Confirmed_Qty],T_Shipments[RM_Code],$A64,T_Shipments[Effective_Week],24)</f>
        <v/>
      </c>
      <c r="Z64">
        <f>SUMIFS(T_Shipments[Confirmed_Qty],T_Shipments[RM_Code],$A64,T_Shipments[Effective_Week],25)</f>
        <v/>
      </c>
      <c r="AA64">
        <f>SUMIFS(T_Shipments[Confirmed_Qty],T_Shipments[RM_Code],$A64,T_Shipments[Effective_Week],26)</f>
        <v/>
      </c>
      <c r="AB64">
        <f>SUMIFS(T_Shipments[Confirmed_Qty],T_Shipments[RM_Code],$A64,T_Shipments[Effective_Week],27)</f>
        <v/>
      </c>
      <c r="AC64">
        <f>SUMIFS(T_Shipments[Confirmed_Qty],T_Shipments[RM_Code],$A64,T_Shipments[Effective_Week],28)</f>
        <v/>
      </c>
      <c r="AD64">
        <f>SUMIFS(T_Shipments[Confirmed_Qty],T_Shipments[RM_Code],$A64,T_Shipments[Effective_Week],29)</f>
        <v/>
      </c>
      <c r="AE64">
        <f>SUMIFS(T_Shipments[Confirmed_Qty],T_Shipments[RM_Code],$A64,T_Shipments[Effective_Week],30)</f>
        <v/>
      </c>
      <c r="AF64">
        <f>SUMIFS(T_Shipments[Confirmed_Qty],T_Shipments[RM_Code],$A64,T_Shipments[Effective_Week],31)</f>
        <v/>
      </c>
      <c r="AG64">
        <f>SUMIFS(T_Shipments[Confirmed_Qty],T_Shipments[RM_Code],$A64,T_Shipments[Effective_Week],32)</f>
        <v/>
      </c>
      <c r="AH64">
        <f>SUMIFS(T_Shipments[Confirmed_Qty],T_Shipments[RM_Code],$A64,T_Shipments[Effective_Week],33)</f>
        <v/>
      </c>
      <c r="AI64">
        <f>SUMIFS(T_Shipments[Confirmed_Qty],T_Shipments[RM_Code],$A64,T_Shipments[Effective_Week],34)</f>
        <v/>
      </c>
      <c r="AJ64">
        <f>SUMIFS(T_Shipments[Confirmed_Qty],T_Shipments[RM_Code],$A64,T_Shipments[Effective_Week],35)</f>
        <v/>
      </c>
      <c r="AK64">
        <f>SUMIFS(T_Shipments[Confirmed_Qty],T_Shipments[RM_Code],$A64,T_Shipments[Effective_Week],36)</f>
        <v/>
      </c>
      <c r="AL64">
        <f>SUMIFS(T_Shipments[Confirmed_Qty],T_Shipments[RM_Code],$A64,T_Shipments[Effective_Week],37)</f>
        <v/>
      </c>
      <c r="AM64">
        <f>SUMIFS(T_Shipments[Confirmed_Qty],T_Shipments[RM_Code],$A64,T_Shipments[Effective_Week],38)</f>
        <v/>
      </c>
      <c r="AN64">
        <f>SUMIFS(T_Shipments[Confirmed_Qty],T_Shipments[RM_Code],$A64,T_Shipments[Effective_Week],39)</f>
        <v/>
      </c>
      <c r="AO64">
        <f>SUMIFS(T_Shipments[Confirmed_Qty],T_Shipments[RM_Code],$A64,T_Shipments[Effective_Week],40)</f>
        <v/>
      </c>
      <c r="AP64">
        <f>SUMIFS(T_Shipments[Confirmed_Qty],T_Shipments[RM_Code],$A64,T_Shipments[Effective_Week],41)</f>
        <v/>
      </c>
      <c r="AQ64">
        <f>SUMIFS(T_Shipments[Confirmed_Qty],T_Shipments[RM_Code],$A64,T_Shipments[Effective_Week],42)</f>
        <v/>
      </c>
      <c r="AR64">
        <f>SUMIFS(T_Shipments[Confirmed_Qty],T_Shipments[RM_Code],$A64,T_Shipments[Effective_Week],43)</f>
        <v/>
      </c>
      <c r="AS64">
        <f>SUMIFS(T_Shipments[Confirmed_Qty],T_Shipments[RM_Code],$A64,T_Shipments[Effective_Week],44)</f>
        <v/>
      </c>
      <c r="AT64">
        <f>SUMIFS(T_Shipments[Confirmed_Qty],T_Shipments[RM_Code],$A64,T_Shipments[Effective_Week],45)</f>
        <v/>
      </c>
      <c r="AU64">
        <f>SUMIFS(T_Shipments[Confirmed_Qty],T_Shipments[RM_Code],$A64,T_Shipments[Effective_Week],46)</f>
        <v/>
      </c>
      <c r="AV64">
        <f>SUMIFS(T_Shipments[Confirmed_Qty],T_Shipments[RM_Code],$A64,T_Shipments[Effective_Week],47)</f>
        <v/>
      </c>
      <c r="AW64">
        <f>SUMIFS(T_Shipments[Confirmed_Qty],T_Shipments[RM_Code],$A64,T_Shipments[Effective_Week],48)</f>
        <v/>
      </c>
      <c r="AX64">
        <f>SUMIFS(T_Shipments[Confirmed_Qty],T_Shipments[RM_Code],$A64,T_Shipments[Effective_Week],49)</f>
        <v/>
      </c>
      <c r="AY64">
        <f>SUMIFS(T_Shipments[Confirmed_Qty],T_Shipments[RM_Code],$A64,T_Shipments[Effective_Week],50)</f>
        <v/>
      </c>
      <c r="AZ64">
        <f>SUMIFS(T_Shipments[Confirmed_Qty],T_Shipments[RM_Code],$A64,T_Shipments[Effective_Week],51)</f>
        <v/>
      </c>
      <c r="BA64">
        <f>SUMIFS(T_Shipments[Confirmed_Qty],T_Shipments[RM_Code],$A64,T_Shipments[Effective_Week],52)</f>
        <v/>
      </c>
      <c r="BB64">
        <f>SUMIFS(T_Shipments[Confirmed_Qty],T_Shipments[RM_Code],$A64,T_Shipments[Effective_Week],53)</f>
        <v/>
      </c>
      <c r="BC64">
        <f>SUMIFS(T_Shipments[Confirmed_Qty],T_Shipments[RM_Code],$A64,T_Shipments[Effective_Week],54)</f>
        <v/>
      </c>
      <c r="BD64">
        <f>SUMIFS(T_Shipments[Confirmed_Qty],T_Shipments[RM_Code],$A64,T_Shipments[Effective_Week],55)</f>
        <v/>
      </c>
      <c r="BE64">
        <f>SUMIFS(T_Shipments[Confirmed_Qty],T_Shipments[RM_Code],$A64,T_Shipments[Effective_Week],56)</f>
        <v/>
      </c>
      <c r="BF64">
        <f>SUMIFS(T_Shipments[Confirmed_Qty],T_Shipments[RM_Code],$A64,T_Shipments[Effective_Week],57)</f>
        <v/>
      </c>
      <c r="BG64">
        <f>SUMIFS(T_Shipments[Confirmed_Qty],T_Shipments[RM_Code],$A64,T_Shipments[Effective_Week],58)</f>
        <v/>
      </c>
      <c r="BH64">
        <f>SUMIFS(T_Shipments[Confirmed_Qty],T_Shipments[RM_Code],$A64,T_Shipments[Effective_Week],59)</f>
        <v/>
      </c>
      <c r="BI64">
        <f>SUMIFS(T_Shipments[Confirmed_Qty],T_Shipments[RM_Code],$A64,T_Shipments[Effective_Week],60)</f>
        <v/>
      </c>
      <c r="BJ64">
        <f>SUMIFS(T_Shipments[Confirmed_Qty],T_Shipments[RM_Code],$A64,T_Shipments[Effective_Week],61)</f>
        <v/>
      </c>
      <c r="BK64">
        <f>SUMIFS(T_Shipments[Confirmed_Qty],T_Shipments[RM_Code],$A64,T_Shipments[Effective_Week],62)</f>
        <v/>
      </c>
      <c r="BL64">
        <f>SUMIFS(T_Shipments[Confirmed_Qty],T_Shipments[RM_Code],$A64,T_Shipments[Effective_Week],63)</f>
        <v/>
      </c>
      <c r="BM64">
        <f>SUMIFS(T_Shipments[Confirmed_Qty],T_Shipments[RM_Code],$A64,T_Shipments[Effective_Week],64)</f>
        <v/>
      </c>
      <c r="BN64">
        <f>SUMIFS(T_Shipments[Confirmed_Qty],T_Shipments[RM_Code],$A64,T_Shipments[Effective_Week],65)</f>
        <v/>
      </c>
      <c r="BO64">
        <f>SUMIFS(T_Shipments[Confirmed_Qty],T_Shipments[RM_Code],$A64,T_Shipments[Effective_Week],66)</f>
        <v/>
      </c>
      <c r="BP64">
        <f>SUMIFS(T_Shipments[Confirmed_Qty],T_Shipments[RM_Code],$A64,T_Shipments[Effective_Week],67)</f>
        <v/>
      </c>
      <c r="BQ64">
        <f>SUMIFS(T_Shipments[Confirmed_Qty],T_Shipments[RM_Code],$A64,T_Shipments[Effective_Week],68)</f>
        <v/>
      </c>
      <c r="BR64">
        <f>SUMIFS(T_Shipments[Confirmed_Qty],T_Shipments[RM_Code],$A64,T_Shipments[Effective_Week],69)</f>
        <v/>
      </c>
      <c r="BS64">
        <f>SUMIFS(T_Shipments[Confirmed_Qty],T_Shipments[RM_Code],$A64,T_Shipments[Effective_Week],70)</f>
        <v/>
      </c>
      <c r="BT64">
        <f>SUMIFS(T_Shipments[Confirmed_Qty],T_Shipments[RM_Code],$A64,T_Shipments[Effective_Week],71)</f>
        <v/>
      </c>
      <c r="BU64">
        <f>SUMIFS(T_Shipments[Confirmed_Qty],T_Shipments[RM_Code],$A64,T_Shipments[Effective_Week],72)</f>
        <v/>
      </c>
      <c r="BV64">
        <f>SUMIFS(T_Shipments[Confirmed_Qty],T_Shipments[RM_Code],$A64,T_Shipments[Effective_Week],73)</f>
        <v/>
      </c>
      <c r="BW64">
        <f>SUMIFS(T_Shipments[Confirmed_Qty],T_Shipments[RM_Code],$A64,T_Shipments[Effective_Week],74)</f>
        <v/>
      </c>
      <c r="BX64">
        <f>SUMIFS(T_Shipments[Confirmed_Qty],T_Shipments[RM_Code],$A64,T_Shipments[Effective_Week],75)</f>
        <v/>
      </c>
      <c r="BY64">
        <f>SUMIFS(T_Shipments[Confirmed_Qty],T_Shipments[RM_Code],$A64,T_Shipments[Effective_Week],76)</f>
        <v/>
      </c>
      <c r="BZ64">
        <f>SUMIFS(T_Shipments[Confirmed_Qty],T_Shipments[RM_Code],$A64,T_Shipments[Effective_Week],77)</f>
        <v/>
      </c>
      <c r="CA64">
        <f>SUMIFS(T_Shipments[Confirmed_Qty],T_Shipments[RM_Code],$A64,T_Shipments[Effective_Week],78)</f>
        <v/>
      </c>
      <c r="CB64">
        <f>SUMIFS(T_Shipments[Confirmed_Qty],T_Shipments[RM_Code],$A64,T_Shipments[Effective_Week],79)</f>
        <v/>
      </c>
      <c r="CC64">
        <f>SUMIFS(T_Shipments[Confirmed_Qty],T_Shipments[RM_Code],$A64,T_Shipments[Effective_Week],80)</f>
        <v/>
      </c>
      <c r="CD64">
        <f>SUMIFS(T_Shipments[Confirmed_Qty],T_Shipments[RM_Code],$A64,T_Shipments[Effective_Week],81)</f>
        <v/>
      </c>
      <c r="CE64">
        <f>SUMIFS(T_Shipments[Confirmed_Qty],T_Shipments[RM_Code],$A64,T_Shipments[Effective_Week],82)</f>
        <v/>
      </c>
      <c r="CF64">
        <f>SUMIFS(T_Shipments[Confirmed_Qty],T_Shipments[RM_Code],$A64,T_Shipments[Effective_Week],83)</f>
        <v/>
      </c>
      <c r="CG64">
        <f>SUMIFS(T_Shipments[Confirmed_Qty],T_Shipments[RM_Code],$A64,T_Shipments[Effective_Week],84)</f>
        <v/>
      </c>
      <c r="CH64">
        <f>SUMIFS(T_Shipments[Confirmed_Qty],T_Shipments[RM_Code],$A64,T_Shipments[Effective_Week],85)</f>
        <v/>
      </c>
      <c r="CI64">
        <f>SUMIFS(T_Shipments[Confirmed_Qty],T_Shipments[RM_Code],$A64,T_Shipments[Effective_Week],86)</f>
        <v/>
      </c>
      <c r="CJ64">
        <f>SUMIFS(T_Shipments[Confirmed_Qty],T_Shipments[RM_Code],$A64,T_Shipments[Effective_Week],87)</f>
        <v/>
      </c>
      <c r="CK64">
        <f>SUMIFS(T_Shipments[Confirmed_Qty],T_Shipments[RM_Code],$A64,T_Shipments[Effective_Week],88)</f>
        <v/>
      </c>
      <c r="CL64">
        <f>SUMIFS(T_Shipments[Confirmed_Qty],T_Shipments[RM_Code],$A64,T_Shipments[Effective_Week],89)</f>
        <v/>
      </c>
      <c r="CM64">
        <f>SUMIFS(T_Shipments[Confirmed_Qty],T_Shipments[RM_Code],$A64,T_Shipments[Effective_Week],90)</f>
        <v/>
      </c>
      <c r="CN64">
        <f>SUMIFS(T_Shipments[Confirmed_Qty],T_Shipments[RM_Code],$A64,T_Shipments[Effective_Week],91)</f>
        <v/>
      </c>
      <c r="CO64">
        <f>SUMIFS(T_Shipments[Confirmed_Qty],T_Shipments[RM_Code],$A64,T_Shipments[Effective_Week],92)</f>
        <v/>
      </c>
      <c r="CP64">
        <f>SUMIFS(T_Shipments[Confirmed_Qty],T_Shipments[RM_Code],$A64,T_Shipments[Effective_Week],93)</f>
        <v/>
      </c>
      <c r="CQ64">
        <f>SUMIFS(T_Shipments[Confirmed_Qty],T_Shipments[RM_Code],$A64,T_Shipments[Effective_Week],94)</f>
        <v/>
      </c>
      <c r="CR64">
        <f>SUMIFS(T_Shipments[Confirmed_Qty],T_Shipments[RM_Code],$A64,T_Shipments[Effective_Week],95)</f>
        <v/>
      </c>
      <c r="CS64">
        <f>SUMIFS(T_Shipments[Confirmed_Qty],T_Shipments[RM_Code],$A64,T_Shipments[Effective_Week],96)</f>
        <v/>
      </c>
      <c r="CT64">
        <f>SUMIFS(T_Shipments[Confirmed_Qty],T_Shipments[RM_Code],$A64,T_Shipments[Effective_Week],97)</f>
        <v/>
      </c>
      <c r="CU64">
        <f>SUMIFS(T_Shipments[Confirmed_Qty],T_Shipments[RM_Code],$A64,T_Shipments[Effective_Week],98)</f>
        <v/>
      </c>
      <c r="CV64">
        <f>SUMIFS(T_Shipments[Confirmed_Qty],T_Shipments[RM_Code],$A64,T_Shipments[Effective_Week],99)</f>
        <v/>
      </c>
      <c r="CW64">
        <f>SUMIFS(T_Shipments[Confirmed_Qty],T_Shipments[RM_Code],$A64,T_Shipments[Effective_Week],100)</f>
        <v/>
      </c>
      <c r="CX64">
        <f>SUMIFS(T_Shipments[Confirmed_Qty],T_Shipments[RM_Code],$A64,T_Shipments[Effective_Week],101)</f>
        <v/>
      </c>
      <c r="CY64">
        <f>SUMIFS(T_Shipments[Confirmed_Qty],T_Shipments[RM_Code],$A64,T_Shipments[Effective_Week],102)</f>
        <v/>
      </c>
      <c r="CZ64">
        <f>SUMIFS(T_Shipments[Confirmed_Qty],T_Shipments[RM_Code],$A64,T_Shipments[Effective_Week],103)</f>
        <v/>
      </c>
      <c r="DA64">
        <f>SUMIFS(T_Shipments[Confirmed_Qty],T_Shipments[RM_Code],$A64,T_Shipments[Effective_Week],104)</f>
        <v/>
      </c>
    </row>
    <row r="65">
      <c r="A65" t="inlineStr">
        <is>
          <t>1JN</t>
        </is>
      </c>
      <c r="B65">
        <f>SUMIFS(T_Shipments[Confirmed_Qty],T_Shipments[RM_Code],$A65,T_Shipments[Effective_Week],1)</f>
        <v/>
      </c>
      <c r="C65">
        <f>SUMIFS(T_Shipments[Confirmed_Qty],T_Shipments[RM_Code],$A65,T_Shipments[Effective_Week],2)</f>
        <v/>
      </c>
      <c r="D65">
        <f>SUMIFS(T_Shipments[Confirmed_Qty],T_Shipments[RM_Code],$A65,T_Shipments[Effective_Week],3)</f>
        <v/>
      </c>
      <c r="E65">
        <f>SUMIFS(T_Shipments[Confirmed_Qty],T_Shipments[RM_Code],$A65,T_Shipments[Effective_Week],4)</f>
        <v/>
      </c>
      <c r="F65">
        <f>SUMIFS(T_Shipments[Confirmed_Qty],T_Shipments[RM_Code],$A65,T_Shipments[Effective_Week],5)</f>
        <v/>
      </c>
      <c r="G65">
        <f>SUMIFS(T_Shipments[Confirmed_Qty],T_Shipments[RM_Code],$A65,T_Shipments[Effective_Week],6)</f>
        <v/>
      </c>
      <c r="H65">
        <f>SUMIFS(T_Shipments[Confirmed_Qty],T_Shipments[RM_Code],$A65,T_Shipments[Effective_Week],7)</f>
        <v/>
      </c>
      <c r="I65">
        <f>SUMIFS(T_Shipments[Confirmed_Qty],T_Shipments[RM_Code],$A65,T_Shipments[Effective_Week],8)</f>
        <v/>
      </c>
      <c r="J65">
        <f>SUMIFS(T_Shipments[Confirmed_Qty],T_Shipments[RM_Code],$A65,T_Shipments[Effective_Week],9)</f>
        <v/>
      </c>
      <c r="K65">
        <f>SUMIFS(T_Shipments[Confirmed_Qty],T_Shipments[RM_Code],$A65,T_Shipments[Effective_Week],10)</f>
        <v/>
      </c>
      <c r="L65">
        <f>SUMIFS(T_Shipments[Confirmed_Qty],T_Shipments[RM_Code],$A65,T_Shipments[Effective_Week],11)</f>
        <v/>
      </c>
      <c r="M65">
        <f>SUMIFS(T_Shipments[Confirmed_Qty],T_Shipments[RM_Code],$A65,T_Shipments[Effective_Week],12)</f>
        <v/>
      </c>
      <c r="N65">
        <f>SUMIFS(T_Shipments[Confirmed_Qty],T_Shipments[RM_Code],$A65,T_Shipments[Effective_Week],13)</f>
        <v/>
      </c>
      <c r="O65">
        <f>SUMIFS(T_Shipments[Confirmed_Qty],T_Shipments[RM_Code],$A65,T_Shipments[Effective_Week],14)</f>
        <v/>
      </c>
      <c r="P65">
        <f>SUMIFS(T_Shipments[Confirmed_Qty],T_Shipments[RM_Code],$A65,T_Shipments[Effective_Week],15)</f>
        <v/>
      </c>
      <c r="Q65">
        <f>SUMIFS(T_Shipments[Confirmed_Qty],T_Shipments[RM_Code],$A65,T_Shipments[Effective_Week],16)</f>
        <v/>
      </c>
      <c r="R65">
        <f>SUMIFS(T_Shipments[Confirmed_Qty],T_Shipments[RM_Code],$A65,T_Shipments[Effective_Week],17)</f>
        <v/>
      </c>
      <c r="S65">
        <f>SUMIFS(T_Shipments[Confirmed_Qty],T_Shipments[RM_Code],$A65,T_Shipments[Effective_Week],18)</f>
        <v/>
      </c>
      <c r="T65">
        <f>SUMIFS(T_Shipments[Confirmed_Qty],T_Shipments[RM_Code],$A65,T_Shipments[Effective_Week],19)</f>
        <v/>
      </c>
      <c r="U65">
        <f>SUMIFS(T_Shipments[Confirmed_Qty],T_Shipments[RM_Code],$A65,T_Shipments[Effective_Week],20)</f>
        <v/>
      </c>
      <c r="V65">
        <f>SUMIFS(T_Shipments[Confirmed_Qty],T_Shipments[RM_Code],$A65,T_Shipments[Effective_Week],21)</f>
        <v/>
      </c>
      <c r="W65">
        <f>SUMIFS(T_Shipments[Confirmed_Qty],T_Shipments[RM_Code],$A65,T_Shipments[Effective_Week],22)</f>
        <v/>
      </c>
      <c r="X65">
        <f>SUMIFS(T_Shipments[Confirmed_Qty],T_Shipments[RM_Code],$A65,T_Shipments[Effective_Week],23)</f>
        <v/>
      </c>
      <c r="Y65">
        <f>SUMIFS(T_Shipments[Confirmed_Qty],T_Shipments[RM_Code],$A65,T_Shipments[Effective_Week],24)</f>
        <v/>
      </c>
      <c r="Z65">
        <f>SUMIFS(T_Shipments[Confirmed_Qty],T_Shipments[RM_Code],$A65,T_Shipments[Effective_Week],25)</f>
        <v/>
      </c>
      <c r="AA65">
        <f>SUMIFS(T_Shipments[Confirmed_Qty],T_Shipments[RM_Code],$A65,T_Shipments[Effective_Week],26)</f>
        <v/>
      </c>
      <c r="AB65">
        <f>SUMIFS(T_Shipments[Confirmed_Qty],T_Shipments[RM_Code],$A65,T_Shipments[Effective_Week],27)</f>
        <v/>
      </c>
      <c r="AC65">
        <f>SUMIFS(T_Shipments[Confirmed_Qty],T_Shipments[RM_Code],$A65,T_Shipments[Effective_Week],28)</f>
        <v/>
      </c>
      <c r="AD65">
        <f>SUMIFS(T_Shipments[Confirmed_Qty],T_Shipments[RM_Code],$A65,T_Shipments[Effective_Week],29)</f>
        <v/>
      </c>
      <c r="AE65">
        <f>SUMIFS(T_Shipments[Confirmed_Qty],T_Shipments[RM_Code],$A65,T_Shipments[Effective_Week],30)</f>
        <v/>
      </c>
      <c r="AF65">
        <f>SUMIFS(T_Shipments[Confirmed_Qty],T_Shipments[RM_Code],$A65,T_Shipments[Effective_Week],31)</f>
        <v/>
      </c>
      <c r="AG65">
        <f>SUMIFS(T_Shipments[Confirmed_Qty],T_Shipments[RM_Code],$A65,T_Shipments[Effective_Week],32)</f>
        <v/>
      </c>
      <c r="AH65">
        <f>SUMIFS(T_Shipments[Confirmed_Qty],T_Shipments[RM_Code],$A65,T_Shipments[Effective_Week],33)</f>
        <v/>
      </c>
      <c r="AI65">
        <f>SUMIFS(T_Shipments[Confirmed_Qty],T_Shipments[RM_Code],$A65,T_Shipments[Effective_Week],34)</f>
        <v/>
      </c>
      <c r="AJ65">
        <f>SUMIFS(T_Shipments[Confirmed_Qty],T_Shipments[RM_Code],$A65,T_Shipments[Effective_Week],35)</f>
        <v/>
      </c>
      <c r="AK65">
        <f>SUMIFS(T_Shipments[Confirmed_Qty],T_Shipments[RM_Code],$A65,T_Shipments[Effective_Week],36)</f>
        <v/>
      </c>
      <c r="AL65">
        <f>SUMIFS(T_Shipments[Confirmed_Qty],T_Shipments[RM_Code],$A65,T_Shipments[Effective_Week],37)</f>
        <v/>
      </c>
      <c r="AM65">
        <f>SUMIFS(T_Shipments[Confirmed_Qty],T_Shipments[RM_Code],$A65,T_Shipments[Effective_Week],38)</f>
        <v/>
      </c>
      <c r="AN65">
        <f>SUMIFS(T_Shipments[Confirmed_Qty],T_Shipments[RM_Code],$A65,T_Shipments[Effective_Week],39)</f>
        <v/>
      </c>
      <c r="AO65">
        <f>SUMIFS(T_Shipments[Confirmed_Qty],T_Shipments[RM_Code],$A65,T_Shipments[Effective_Week],40)</f>
        <v/>
      </c>
      <c r="AP65">
        <f>SUMIFS(T_Shipments[Confirmed_Qty],T_Shipments[RM_Code],$A65,T_Shipments[Effective_Week],41)</f>
        <v/>
      </c>
      <c r="AQ65">
        <f>SUMIFS(T_Shipments[Confirmed_Qty],T_Shipments[RM_Code],$A65,T_Shipments[Effective_Week],42)</f>
        <v/>
      </c>
      <c r="AR65">
        <f>SUMIFS(T_Shipments[Confirmed_Qty],T_Shipments[RM_Code],$A65,T_Shipments[Effective_Week],43)</f>
        <v/>
      </c>
      <c r="AS65">
        <f>SUMIFS(T_Shipments[Confirmed_Qty],T_Shipments[RM_Code],$A65,T_Shipments[Effective_Week],44)</f>
        <v/>
      </c>
      <c r="AT65">
        <f>SUMIFS(T_Shipments[Confirmed_Qty],T_Shipments[RM_Code],$A65,T_Shipments[Effective_Week],45)</f>
        <v/>
      </c>
      <c r="AU65">
        <f>SUMIFS(T_Shipments[Confirmed_Qty],T_Shipments[RM_Code],$A65,T_Shipments[Effective_Week],46)</f>
        <v/>
      </c>
      <c r="AV65">
        <f>SUMIFS(T_Shipments[Confirmed_Qty],T_Shipments[RM_Code],$A65,T_Shipments[Effective_Week],47)</f>
        <v/>
      </c>
      <c r="AW65">
        <f>SUMIFS(T_Shipments[Confirmed_Qty],T_Shipments[RM_Code],$A65,T_Shipments[Effective_Week],48)</f>
        <v/>
      </c>
      <c r="AX65">
        <f>SUMIFS(T_Shipments[Confirmed_Qty],T_Shipments[RM_Code],$A65,T_Shipments[Effective_Week],49)</f>
        <v/>
      </c>
      <c r="AY65">
        <f>SUMIFS(T_Shipments[Confirmed_Qty],T_Shipments[RM_Code],$A65,T_Shipments[Effective_Week],50)</f>
        <v/>
      </c>
      <c r="AZ65">
        <f>SUMIFS(T_Shipments[Confirmed_Qty],T_Shipments[RM_Code],$A65,T_Shipments[Effective_Week],51)</f>
        <v/>
      </c>
      <c r="BA65">
        <f>SUMIFS(T_Shipments[Confirmed_Qty],T_Shipments[RM_Code],$A65,T_Shipments[Effective_Week],52)</f>
        <v/>
      </c>
      <c r="BB65">
        <f>SUMIFS(T_Shipments[Confirmed_Qty],T_Shipments[RM_Code],$A65,T_Shipments[Effective_Week],53)</f>
        <v/>
      </c>
      <c r="BC65">
        <f>SUMIFS(T_Shipments[Confirmed_Qty],T_Shipments[RM_Code],$A65,T_Shipments[Effective_Week],54)</f>
        <v/>
      </c>
      <c r="BD65">
        <f>SUMIFS(T_Shipments[Confirmed_Qty],T_Shipments[RM_Code],$A65,T_Shipments[Effective_Week],55)</f>
        <v/>
      </c>
      <c r="BE65">
        <f>SUMIFS(T_Shipments[Confirmed_Qty],T_Shipments[RM_Code],$A65,T_Shipments[Effective_Week],56)</f>
        <v/>
      </c>
      <c r="BF65">
        <f>SUMIFS(T_Shipments[Confirmed_Qty],T_Shipments[RM_Code],$A65,T_Shipments[Effective_Week],57)</f>
        <v/>
      </c>
      <c r="BG65">
        <f>SUMIFS(T_Shipments[Confirmed_Qty],T_Shipments[RM_Code],$A65,T_Shipments[Effective_Week],58)</f>
        <v/>
      </c>
      <c r="BH65">
        <f>SUMIFS(T_Shipments[Confirmed_Qty],T_Shipments[RM_Code],$A65,T_Shipments[Effective_Week],59)</f>
        <v/>
      </c>
      <c r="BI65">
        <f>SUMIFS(T_Shipments[Confirmed_Qty],T_Shipments[RM_Code],$A65,T_Shipments[Effective_Week],60)</f>
        <v/>
      </c>
      <c r="BJ65">
        <f>SUMIFS(T_Shipments[Confirmed_Qty],T_Shipments[RM_Code],$A65,T_Shipments[Effective_Week],61)</f>
        <v/>
      </c>
      <c r="BK65">
        <f>SUMIFS(T_Shipments[Confirmed_Qty],T_Shipments[RM_Code],$A65,T_Shipments[Effective_Week],62)</f>
        <v/>
      </c>
      <c r="BL65">
        <f>SUMIFS(T_Shipments[Confirmed_Qty],T_Shipments[RM_Code],$A65,T_Shipments[Effective_Week],63)</f>
        <v/>
      </c>
      <c r="BM65">
        <f>SUMIFS(T_Shipments[Confirmed_Qty],T_Shipments[RM_Code],$A65,T_Shipments[Effective_Week],64)</f>
        <v/>
      </c>
      <c r="BN65">
        <f>SUMIFS(T_Shipments[Confirmed_Qty],T_Shipments[RM_Code],$A65,T_Shipments[Effective_Week],65)</f>
        <v/>
      </c>
      <c r="BO65">
        <f>SUMIFS(T_Shipments[Confirmed_Qty],T_Shipments[RM_Code],$A65,T_Shipments[Effective_Week],66)</f>
        <v/>
      </c>
      <c r="BP65">
        <f>SUMIFS(T_Shipments[Confirmed_Qty],T_Shipments[RM_Code],$A65,T_Shipments[Effective_Week],67)</f>
        <v/>
      </c>
      <c r="BQ65">
        <f>SUMIFS(T_Shipments[Confirmed_Qty],T_Shipments[RM_Code],$A65,T_Shipments[Effective_Week],68)</f>
        <v/>
      </c>
      <c r="BR65">
        <f>SUMIFS(T_Shipments[Confirmed_Qty],T_Shipments[RM_Code],$A65,T_Shipments[Effective_Week],69)</f>
        <v/>
      </c>
      <c r="BS65">
        <f>SUMIFS(T_Shipments[Confirmed_Qty],T_Shipments[RM_Code],$A65,T_Shipments[Effective_Week],70)</f>
        <v/>
      </c>
      <c r="BT65">
        <f>SUMIFS(T_Shipments[Confirmed_Qty],T_Shipments[RM_Code],$A65,T_Shipments[Effective_Week],71)</f>
        <v/>
      </c>
      <c r="BU65">
        <f>SUMIFS(T_Shipments[Confirmed_Qty],T_Shipments[RM_Code],$A65,T_Shipments[Effective_Week],72)</f>
        <v/>
      </c>
      <c r="BV65">
        <f>SUMIFS(T_Shipments[Confirmed_Qty],T_Shipments[RM_Code],$A65,T_Shipments[Effective_Week],73)</f>
        <v/>
      </c>
      <c r="BW65">
        <f>SUMIFS(T_Shipments[Confirmed_Qty],T_Shipments[RM_Code],$A65,T_Shipments[Effective_Week],74)</f>
        <v/>
      </c>
      <c r="BX65">
        <f>SUMIFS(T_Shipments[Confirmed_Qty],T_Shipments[RM_Code],$A65,T_Shipments[Effective_Week],75)</f>
        <v/>
      </c>
      <c r="BY65">
        <f>SUMIFS(T_Shipments[Confirmed_Qty],T_Shipments[RM_Code],$A65,T_Shipments[Effective_Week],76)</f>
        <v/>
      </c>
      <c r="BZ65">
        <f>SUMIFS(T_Shipments[Confirmed_Qty],T_Shipments[RM_Code],$A65,T_Shipments[Effective_Week],77)</f>
        <v/>
      </c>
      <c r="CA65">
        <f>SUMIFS(T_Shipments[Confirmed_Qty],T_Shipments[RM_Code],$A65,T_Shipments[Effective_Week],78)</f>
        <v/>
      </c>
      <c r="CB65">
        <f>SUMIFS(T_Shipments[Confirmed_Qty],T_Shipments[RM_Code],$A65,T_Shipments[Effective_Week],79)</f>
        <v/>
      </c>
      <c r="CC65">
        <f>SUMIFS(T_Shipments[Confirmed_Qty],T_Shipments[RM_Code],$A65,T_Shipments[Effective_Week],80)</f>
        <v/>
      </c>
      <c r="CD65">
        <f>SUMIFS(T_Shipments[Confirmed_Qty],T_Shipments[RM_Code],$A65,T_Shipments[Effective_Week],81)</f>
        <v/>
      </c>
      <c r="CE65">
        <f>SUMIFS(T_Shipments[Confirmed_Qty],T_Shipments[RM_Code],$A65,T_Shipments[Effective_Week],82)</f>
        <v/>
      </c>
      <c r="CF65">
        <f>SUMIFS(T_Shipments[Confirmed_Qty],T_Shipments[RM_Code],$A65,T_Shipments[Effective_Week],83)</f>
        <v/>
      </c>
      <c r="CG65">
        <f>SUMIFS(T_Shipments[Confirmed_Qty],T_Shipments[RM_Code],$A65,T_Shipments[Effective_Week],84)</f>
        <v/>
      </c>
      <c r="CH65">
        <f>SUMIFS(T_Shipments[Confirmed_Qty],T_Shipments[RM_Code],$A65,T_Shipments[Effective_Week],85)</f>
        <v/>
      </c>
      <c r="CI65">
        <f>SUMIFS(T_Shipments[Confirmed_Qty],T_Shipments[RM_Code],$A65,T_Shipments[Effective_Week],86)</f>
        <v/>
      </c>
      <c r="CJ65">
        <f>SUMIFS(T_Shipments[Confirmed_Qty],T_Shipments[RM_Code],$A65,T_Shipments[Effective_Week],87)</f>
        <v/>
      </c>
      <c r="CK65">
        <f>SUMIFS(T_Shipments[Confirmed_Qty],T_Shipments[RM_Code],$A65,T_Shipments[Effective_Week],88)</f>
        <v/>
      </c>
      <c r="CL65">
        <f>SUMIFS(T_Shipments[Confirmed_Qty],T_Shipments[RM_Code],$A65,T_Shipments[Effective_Week],89)</f>
        <v/>
      </c>
      <c r="CM65">
        <f>SUMIFS(T_Shipments[Confirmed_Qty],T_Shipments[RM_Code],$A65,T_Shipments[Effective_Week],90)</f>
        <v/>
      </c>
      <c r="CN65">
        <f>SUMIFS(T_Shipments[Confirmed_Qty],T_Shipments[RM_Code],$A65,T_Shipments[Effective_Week],91)</f>
        <v/>
      </c>
      <c r="CO65">
        <f>SUMIFS(T_Shipments[Confirmed_Qty],T_Shipments[RM_Code],$A65,T_Shipments[Effective_Week],92)</f>
        <v/>
      </c>
      <c r="CP65">
        <f>SUMIFS(T_Shipments[Confirmed_Qty],T_Shipments[RM_Code],$A65,T_Shipments[Effective_Week],93)</f>
        <v/>
      </c>
      <c r="CQ65">
        <f>SUMIFS(T_Shipments[Confirmed_Qty],T_Shipments[RM_Code],$A65,T_Shipments[Effective_Week],94)</f>
        <v/>
      </c>
      <c r="CR65">
        <f>SUMIFS(T_Shipments[Confirmed_Qty],T_Shipments[RM_Code],$A65,T_Shipments[Effective_Week],95)</f>
        <v/>
      </c>
      <c r="CS65">
        <f>SUMIFS(T_Shipments[Confirmed_Qty],T_Shipments[RM_Code],$A65,T_Shipments[Effective_Week],96)</f>
        <v/>
      </c>
      <c r="CT65">
        <f>SUMIFS(T_Shipments[Confirmed_Qty],T_Shipments[RM_Code],$A65,T_Shipments[Effective_Week],97)</f>
        <v/>
      </c>
      <c r="CU65">
        <f>SUMIFS(T_Shipments[Confirmed_Qty],T_Shipments[RM_Code],$A65,T_Shipments[Effective_Week],98)</f>
        <v/>
      </c>
      <c r="CV65">
        <f>SUMIFS(T_Shipments[Confirmed_Qty],T_Shipments[RM_Code],$A65,T_Shipments[Effective_Week],99)</f>
        <v/>
      </c>
      <c r="CW65">
        <f>SUMIFS(T_Shipments[Confirmed_Qty],T_Shipments[RM_Code],$A65,T_Shipments[Effective_Week],100)</f>
        <v/>
      </c>
      <c r="CX65">
        <f>SUMIFS(T_Shipments[Confirmed_Qty],T_Shipments[RM_Code],$A65,T_Shipments[Effective_Week],101)</f>
        <v/>
      </c>
      <c r="CY65">
        <f>SUMIFS(T_Shipments[Confirmed_Qty],T_Shipments[RM_Code],$A65,T_Shipments[Effective_Week],102)</f>
        <v/>
      </c>
      <c r="CZ65">
        <f>SUMIFS(T_Shipments[Confirmed_Qty],T_Shipments[RM_Code],$A65,T_Shipments[Effective_Week],103)</f>
        <v/>
      </c>
      <c r="DA65">
        <f>SUMIFS(T_Shipments[Confirmed_Qty],T_Shipments[RM_Code],$A65,T_Shipments[Effective_Week],104)</f>
        <v/>
      </c>
    </row>
    <row r="66">
      <c r="A66" t="inlineStr">
        <is>
          <t>V03</t>
        </is>
      </c>
      <c r="B66">
        <f>SUMIFS(T_Shipments[Confirmed_Qty],T_Shipments[RM_Code],$A66,T_Shipments[Effective_Week],1)</f>
        <v/>
      </c>
      <c r="C66">
        <f>SUMIFS(T_Shipments[Confirmed_Qty],T_Shipments[RM_Code],$A66,T_Shipments[Effective_Week],2)</f>
        <v/>
      </c>
      <c r="D66">
        <f>SUMIFS(T_Shipments[Confirmed_Qty],T_Shipments[RM_Code],$A66,T_Shipments[Effective_Week],3)</f>
        <v/>
      </c>
      <c r="E66">
        <f>SUMIFS(T_Shipments[Confirmed_Qty],T_Shipments[RM_Code],$A66,T_Shipments[Effective_Week],4)</f>
        <v/>
      </c>
      <c r="F66">
        <f>SUMIFS(T_Shipments[Confirmed_Qty],T_Shipments[RM_Code],$A66,T_Shipments[Effective_Week],5)</f>
        <v/>
      </c>
      <c r="G66">
        <f>SUMIFS(T_Shipments[Confirmed_Qty],T_Shipments[RM_Code],$A66,T_Shipments[Effective_Week],6)</f>
        <v/>
      </c>
      <c r="H66">
        <f>SUMIFS(T_Shipments[Confirmed_Qty],T_Shipments[RM_Code],$A66,T_Shipments[Effective_Week],7)</f>
        <v/>
      </c>
      <c r="I66">
        <f>SUMIFS(T_Shipments[Confirmed_Qty],T_Shipments[RM_Code],$A66,T_Shipments[Effective_Week],8)</f>
        <v/>
      </c>
      <c r="J66">
        <f>SUMIFS(T_Shipments[Confirmed_Qty],T_Shipments[RM_Code],$A66,T_Shipments[Effective_Week],9)</f>
        <v/>
      </c>
      <c r="K66">
        <f>SUMIFS(T_Shipments[Confirmed_Qty],T_Shipments[RM_Code],$A66,T_Shipments[Effective_Week],10)</f>
        <v/>
      </c>
      <c r="L66">
        <f>SUMIFS(T_Shipments[Confirmed_Qty],T_Shipments[RM_Code],$A66,T_Shipments[Effective_Week],11)</f>
        <v/>
      </c>
      <c r="M66">
        <f>SUMIFS(T_Shipments[Confirmed_Qty],T_Shipments[RM_Code],$A66,T_Shipments[Effective_Week],12)</f>
        <v/>
      </c>
      <c r="N66">
        <f>SUMIFS(T_Shipments[Confirmed_Qty],T_Shipments[RM_Code],$A66,T_Shipments[Effective_Week],13)</f>
        <v/>
      </c>
      <c r="O66">
        <f>SUMIFS(T_Shipments[Confirmed_Qty],T_Shipments[RM_Code],$A66,T_Shipments[Effective_Week],14)</f>
        <v/>
      </c>
      <c r="P66">
        <f>SUMIFS(T_Shipments[Confirmed_Qty],T_Shipments[RM_Code],$A66,T_Shipments[Effective_Week],15)</f>
        <v/>
      </c>
      <c r="Q66">
        <f>SUMIFS(T_Shipments[Confirmed_Qty],T_Shipments[RM_Code],$A66,T_Shipments[Effective_Week],16)</f>
        <v/>
      </c>
      <c r="R66">
        <f>SUMIFS(T_Shipments[Confirmed_Qty],T_Shipments[RM_Code],$A66,T_Shipments[Effective_Week],17)</f>
        <v/>
      </c>
      <c r="S66">
        <f>SUMIFS(T_Shipments[Confirmed_Qty],T_Shipments[RM_Code],$A66,T_Shipments[Effective_Week],18)</f>
        <v/>
      </c>
      <c r="T66">
        <f>SUMIFS(T_Shipments[Confirmed_Qty],T_Shipments[RM_Code],$A66,T_Shipments[Effective_Week],19)</f>
        <v/>
      </c>
      <c r="U66">
        <f>SUMIFS(T_Shipments[Confirmed_Qty],T_Shipments[RM_Code],$A66,T_Shipments[Effective_Week],20)</f>
        <v/>
      </c>
      <c r="V66">
        <f>SUMIFS(T_Shipments[Confirmed_Qty],T_Shipments[RM_Code],$A66,T_Shipments[Effective_Week],21)</f>
        <v/>
      </c>
      <c r="W66">
        <f>SUMIFS(T_Shipments[Confirmed_Qty],T_Shipments[RM_Code],$A66,T_Shipments[Effective_Week],22)</f>
        <v/>
      </c>
      <c r="X66">
        <f>SUMIFS(T_Shipments[Confirmed_Qty],T_Shipments[RM_Code],$A66,T_Shipments[Effective_Week],23)</f>
        <v/>
      </c>
      <c r="Y66">
        <f>SUMIFS(T_Shipments[Confirmed_Qty],T_Shipments[RM_Code],$A66,T_Shipments[Effective_Week],24)</f>
        <v/>
      </c>
      <c r="Z66">
        <f>SUMIFS(T_Shipments[Confirmed_Qty],T_Shipments[RM_Code],$A66,T_Shipments[Effective_Week],25)</f>
        <v/>
      </c>
      <c r="AA66">
        <f>SUMIFS(T_Shipments[Confirmed_Qty],T_Shipments[RM_Code],$A66,T_Shipments[Effective_Week],26)</f>
        <v/>
      </c>
      <c r="AB66">
        <f>SUMIFS(T_Shipments[Confirmed_Qty],T_Shipments[RM_Code],$A66,T_Shipments[Effective_Week],27)</f>
        <v/>
      </c>
      <c r="AC66">
        <f>SUMIFS(T_Shipments[Confirmed_Qty],T_Shipments[RM_Code],$A66,T_Shipments[Effective_Week],28)</f>
        <v/>
      </c>
      <c r="AD66">
        <f>SUMIFS(T_Shipments[Confirmed_Qty],T_Shipments[RM_Code],$A66,T_Shipments[Effective_Week],29)</f>
        <v/>
      </c>
      <c r="AE66">
        <f>SUMIFS(T_Shipments[Confirmed_Qty],T_Shipments[RM_Code],$A66,T_Shipments[Effective_Week],30)</f>
        <v/>
      </c>
      <c r="AF66">
        <f>SUMIFS(T_Shipments[Confirmed_Qty],T_Shipments[RM_Code],$A66,T_Shipments[Effective_Week],31)</f>
        <v/>
      </c>
      <c r="AG66">
        <f>SUMIFS(T_Shipments[Confirmed_Qty],T_Shipments[RM_Code],$A66,T_Shipments[Effective_Week],32)</f>
        <v/>
      </c>
      <c r="AH66">
        <f>SUMIFS(T_Shipments[Confirmed_Qty],T_Shipments[RM_Code],$A66,T_Shipments[Effective_Week],33)</f>
        <v/>
      </c>
      <c r="AI66">
        <f>SUMIFS(T_Shipments[Confirmed_Qty],T_Shipments[RM_Code],$A66,T_Shipments[Effective_Week],34)</f>
        <v/>
      </c>
      <c r="AJ66">
        <f>SUMIFS(T_Shipments[Confirmed_Qty],T_Shipments[RM_Code],$A66,T_Shipments[Effective_Week],35)</f>
        <v/>
      </c>
      <c r="AK66">
        <f>SUMIFS(T_Shipments[Confirmed_Qty],T_Shipments[RM_Code],$A66,T_Shipments[Effective_Week],36)</f>
        <v/>
      </c>
      <c r="AL66">
        <f>SUMIFS(T_Shipments[Confirmed_Qty],T_Shipments[RM_Code],$A66,T_Shipments[Effective_Week],37)</f>
        <v/>
      </c>
      <c r="AM66">
        <f>SUMIFS(T_Shipments[Confirmed_Qty],T_Shipments[RM_Code],$A66,T_Shipments[Effective_Week],38)</f>
        <v/>
      </c>
      <c r="AN66">
        <f>SUMIFS(T_Shipments[Confirmed_Qty],T_Shipments[RM_Code],$A66,T_Shipments[Effective_Week],39)</f>
        <v/>
      </c>
      <c r="AO66">
        <f>SUMIFS(T_Shipments[Confirmed_Qty],T_Shipments[RM_Code],$A66,T_Shipments[Effective_Week],40)</f>
        <v/>
      </c>
      <c r="AP66">
        <f>SUMIFS(T_Shipments[Confirmed_Qty],T_Shipments[RM_Code],$A66,T_Shipments[Effective_Week],41)</f>
        <v/>
      </c>
      <c r="AQ66">
        <f>SUMIFS(T_Shipments[Confirmed_Qty],T_Shipments[RM_Code],$A66,T_Shipments[Effective_Week],42)</f>
        <v/>
      </c>
      <c r="AR66">
        <f>SUMIFS(T_Shipments[Confirmed_Qty],T_Shipments[RM_Code],$A66,T_Shipments[Effective_Week],43)</f>
        <v/>
      </c>
      <c r="AS66">
        <f>SUMIFS(T_Shipments[Confirmed_Qty],T_Shipments[RM_Code],$A66,T_Shipments[Effective_Week],44)</f>
        <v/>
      </c>
      <c r="AT66">
        <f>SUMIFS(T_Shipments[Confirmed_Qty],T_Shipments[RM_Code],$A66,T_Shipments[Effective_Week],45)</f>
        <v/>
      </c>
      <c r="AU66">
        <f>SUMIFS(T_Shipments[Confirmed_Qty],T_Shipments[RM_Code],$A66,T_Shipments[Effective_Week],46)</f>
        <v/>
      </c>
      <c r="AV66">
        <f>SUMIFS(T_Shipments[Confirmed_Qty],T_Shipments[RM_Code],$A66,T_Shipments[Effective_Week],47)</f>
        <v/>
      </c>
      <c r="AW66">
        <f>SUMIFS(T_Shipments[Confirmed_Qty],T_Shipments[RM_Code],$A66,T_Shipments[Effective_Week],48)</f>
        <v/>
      </c>
      <c r="AX66">
        <f>SUMIFS(T_Shipments[Confirmed_Qty],T_Shipments[RM_Code],$A66,T_Shipments[Effective_Week],49)</f>
        <v/>
      </c>
      <c r="AY66">
        <f>SUMIFS(T_Shipments[Confirmed_Qty],T_Shipments[RM_Code],$A66,T_Shipments[Effective_Week],50)</f>
        <v/>
      </c>
      <c r="AZ66">
        <f>SUMIFS(T_Shipments[Confirmed_Qty],T_Shipments[RM_Code],$A66,T_Shipments[Effective_Week],51)</f>
        <v/>
      </c>
      <c r="BA66">
        <f>SUMIFS(T_Shipments[Confirmed_Qty],T_Shipments[RM_Code],$A66,T_Shipments[Effective_Week],52)</f>
        <v/>
      </c>
      <c r="BB66">
        <f>SUMIFS(T_Shipments[Confirmed_Qty],T_Shipments[RM_Code],$A66,T_Shipments[Effective_Week],53)</f>
        <v/>
      </c>
      <c r="BC66">
        <f>SUMIFS(T_Shipments[Confirmed_Qty],T_Shipments[RM_Code],$A66,T_Shipments[Effective_Week],54)</f>
        <v/>
      </c>
      <c r="BD66">
        <f>SUMIFS(T_Shipments[Confirmed_Qty],T_Shipments[RM_Code],$A66,T_Shipments[Effective_Week],55)</f>
        <v/>
      </c>
      <c r="BE66">
        <f>SUMIFS(T_Shipments[Confirmed_Qty],T_Shipments[RM_Code],$A66,T_Shipments[Effective_Week],56)</f>
        <v/>
      </c>
      <c r="BF66">
        <f>SUMIFS(T_Shipments[Confirmed_Qty],T_Shipments[RM_Code],$A66,T_Shipments[Effective_Week],57)</f>
        <v/>
      </c>
      <c r="BG66">
        <f>SUMIFS(T_Shipments[Confirmed_Qty],T_Shipments[RM_Code],$A66,T_Shipments[Effective_Week],58)</f>
        <v/>
      </c>
      <c r="BH66">
        <f>SUMIFS(T_Shipments[Confirmed_Qty],T_Shipments[RM_Code],$A66,T_Shipments[Effective_Week],59)</f>
        <v/>
      </c>
      <c r="BI66">
        <f>SUMIFS(T_Shipments[Confirmed_Qty],T_Shipments[RM_Code],$A66,T_Shipments[Effective_Week],60)</f>
        <v/>
      </c>
      <c r="BJ66">
        <f>SUMIFS(T_Shipments[Confirmed_Qty],T_Shipments[RM_Code],$A66,T_Shipments[Effective_Week],61)</f>
        <v/>
      </c>
      <c r="BK66">
        <f>SUMIFS(T_Shipments[Confirmed_Qty],T_Shipments[RM_Code],$A66,T_Shipments[Effective_Week],62)</f>
        <v/>
      </c>
      <c r="BL66">
        <f>SUMIFS(T_Shipments[Confirmed_Qty],T_Shipments[RM_Code],$A66,T_Shipments[Effective_Week],63)</f>
        <v/>
      </c>
      <c r="BM66">
        <f>SUMIFS(T_Shipments[Confirmed_Qty],T_Shipments[RM_Code],$A66,T_Shipments[Effective_Week],64)</f>
        <v/>
      </c>
      <c r="BN66">
        <f>SUMIFS(T_Shipments[Confirmed_Qty],T_Shipments[RM_Code],$A66,T_Shipments[Effective_Week],65)</f>
        <v/>
      </c>
      <c r="BO66">
        <f>SUMIFS(T_Shipments[Confirmed_Qty],T_Shipments[RM_Code],$A66,T_Shipments[Effective_Week],66)</f>
        <v/>
      </c>
      <c r="BP66">
        <f>SUMIFS(T_Shipments[Confirmed_Qty],T_Shipments[RM_Code],$A66,T_Shipments[Effective_Week],67)</f>
        <v/>
      </c>
      <c r="BQ66">
        <f>SUMIFS(T_Shipments[Confirmed_Qty],T_Shipments[RM_Code],$A66,T_Shipments[Effective_Week],68)</f>
        <v/>
      </c>
      <c r="BR66">
        <f>SUMIFS(T_Shipments[Confirmed_Qty],T_Shipments[RM_Code],$A66,T_Shipments[Effective_Week],69)</f>
        <v/>
      </c>
      <c r="BS66">
        <f>SUMIFS(T_Shipments[Confirmed_Qty],T_Shipments[RM_Code],$A66,T_Shipments[Effective_Week],70)</f>
        <v/>
      </c>
      <c r="BT66">
        <f>SUMIFS(T_Shipments[Confirmed_Qty],T_Shipments[RM_Code],$A66,T_Shipments[Effective_Week],71)</f>
        <v/>
      </c>
      <c r="BU66">
        <f>SUMIFS(T_Shipments[Confirmed_Qty],T_Shipments[RM_Code],$A66,T_Shipments[Effective_Week],72)</f>
        <v/>
      </c>
      <c r="BV66">
        <f>SUMIFS(T_Shipments[Confirmed_Qty],T_Shipments[RM_Code],$A66,T_Shipments[Effective_Week],73)</f>
        <v/>
      </c>
      <c r="BW66">
        <f>SUMIFS(T_Shipments[Confirmed_Qty],T_Shipments[RM_Code],$A66,T_Shipments[Effective_Week],74)</f>
        <v/>
      </c>
      <c r="BX66">
        <f>SUMIFS(T_Shipments[Confirmed_Qty],T_Shipments[RM_Code],$A66,T_Shipments[Effective_Week],75)</f>
        <v/>
      </c>
      <c r="BY66">
        <f>SUMIFS(T_Shipments[Confirmed_Qty],T_Shipments[RM_Code],$A66,T_Shipments[Effective_Week],76)</f>
        <v/>
      </c>
      <c r="BZ66">
        <f>SUMIFS(T_Shipments[Confirmed_Qty],T_Shipments[RM_Code],$A66,T_Shipments[Effective_Week],77)</f>
        <v/>
      </c>
      <c r="CA66">
        <f>SUMIFS(T_Shipments[Confirmed_Qty],T_Shipments[RM_Code],$A66,T_Shipments[Effective_Week],78)</f>
        <v/>
      </c>
      <c r="CB66">
        <f>SUMIFS(T_Shipments[Confirmed_Qty],T_Shipments[RM_Code],$A66,T_Shipments[Effective_Week],79)</f>
        <v/>
      </c>
      <c r="CC66">
        <f>SUMIFS(T_Shipments[Confirmed_Qty],T_Shipments[RM_Code],$A66,T_Shipments[Effective_Week],80)</f>
        <v/>
      </c>
      <c r="CD66">
        <f>SUMIFS(T_Shipments[Confirmed_Qty],T_Shipments[RM_Code],$A66,T_Shipments[Effective_Week],81)</f>
        <v/>
      </c>
      <c r="CE66">
        <f>SUMIFS(T_Shipments[Confirmed_Qty],T_Shipments[RM_Code],$A66,T_Shipments[Effective_Week],82)</f>
        <v/>
      </c>
      <c r="CF66">
        <f>SUMIFS(T_Shipments[Confirmed_Qty],T_Shipments[RM_Code],$A66,T_Shipments[Effective_Week],83)</f>
        <v/>
      </c>
      <c r="CG66">
        <f>SUMIFS(T_Shipments[Confirmed_Qty],T_Shipments[RM_Code],$A66,T_Shipments[Effective_Week],84)</f>
        <v/>
      </c>
      <c r="CH66">
        <f>SUMIFS(T_Shipments[Confirmed_Qty],T_Shipments[RM_Code],$A66,T_Shipments[Effective_Week],85)</f>
        <v/>
      </c>
      <c r="CI66">
        <f>SUMIFS(T_Shipments[Confirmed_Qty],T_Shipments[RM_Code],$A66,T_Shipments[Effective_Week],86)</f>
        <v/>
      </c>
      <c r="CJ66">
        <f>SUMIFS(T_Shipments[Confirmed_Qty],T_Shipments[RM_Code],$A66,T_Shipments[Effective_Week],87)</f>
        <v/>
      </c>
      <c r="CK66">
        <f>SUMIFS(T_Shipments[Confirmed_Qty],T_Shipments[RM_Code],$A66,T_Shipments[Effective_Week],88)</f>
        <v/>
      </c>
      <c r="CL66">
        <f>SUMIFS(T_Shipments[Confirmed_Qty],T_Shipments[RM_Code],$A66,T_Shipments[Effective_Week],89)</f>
        <v/>
      </c>
      <c r="CM66">
        <f>SUMIFS(T_Shipments[Confirmed_Qty],T_Shipments[RM_Code],$A66,T_Shipments[Effective_Week],90)</f>
        <v/>
      </c>
      <c r="CN66">
        <f>SUMIFS(T_Shipments[Confirmed_Qty],T_Shipments[RM_Code],$A66,T_Shipments[Effective_Week],91)</f>
        <v/>
      </c>
      <c r="CO66">
        <f>SUMIFS(T_Shipments[Confirmed_Qty],T_Shipments[RM_Code],$A66,T_Shipments[Effective_Week],92)</f>
        <v/>
      </c>
      <c r="CP66">
        <f>SUMIFS(T_Shipments[Confirmed_Qty],T_Shipments[RM_Code],$A66,T_Shipments[Effective_Week],93)</f>
        <v/>
      </c>
      <c r="CQ66">
        <f>SUMIFS(T_Shipments[Confirmed_Qty],T_Shipments[RM_Code],$A66,T_Shipments[Effective_Week],94)</f>
        <v/>
      </c>
      <c r="CR66">
        <f>SUMIFS(T_Shipments[Confirmed_Qty],T_Shipments[RM_Code],$A66,T_Shipments[Effective_Week],95)</f>
        <v/>
      </c>
      <c r="CS66">
        <f>SUMIFS(T_Shipments[Confirmed_Qty],T_Shipments[RM_Code],$A66,T_Shipments[Effective_Week],96)</f>
        <v/>
      </c>
      <c r="CT66">
        <f>SUMIFS(T_Shipments[Confirmed_Qty],T_Shipments[RM_Code],$A66,T_Shipments[Effective_Week],97)</f>
        <v/>
      </c>
      <c r="CU66">
        <f>SUMIFS(T_Shipments[Confirmed_Qty],T_Shipments[RM_Code],$A66,T_Shipments[Effective_Week],98)</f>
        <v/>
      </c>
      <c r="CV66">
        <f>SUMIFS(T_Shipments[Confirmed_Qty],T_Shipments[RM_Code],$A66,T_Shipments[Effective_Week],99)</f>
        <v/>
      </c>
      <c r="CW66">
        <f>SUMIFS(T_Shipments[Confirmed_Qty],T_Shipments[RM_Code],$A66,T_Shipments[Effective_Week],100)</f>
        <v/>
      </c>
      <c r="CX66">
        <f>SUMIFS(T_Shipments[Confirmed_Qty],T_Shipments[RM_Code],$A66,T_Shipments[Effective_Week],101)</f>
        <v/>
      </c>
      <c r="CY66">
        <f>SUMIFS(T_Shipments[Confirmed_Qty],T_Shipments[RM_Code],$A66,T_Shipments[Effective_Week],102)</f>
        <v/>
      </c>
      <c r="CZ66">
        <f>SUMIFS(T_Shipments[Confirmed_Qty],T_Shipments[RM_Code],$A66,T_Shipments[Effective_Week],103)</f>
        <v/>
      </c>
      <c r="DA66">
        <f>SUMIFS(T_Shipments[Confirmed_Qty],T_Shipments[RM_Code],$A66,T_Shipments[Effective_Week],104)</f>
        <v/>
      </c>
    </row>
    <row r="67">
      <c r="A67" t="inlineStr">
        <is>
          <t>V19</t>
        </is>
      </c>
      <c r="B67">
        <f>SUMIFS(T_Shipments[Confirmed_Qty],T_Shipments[RM_Code],$A67,T_Shipments[Effective_Week],1)</f>
        <v/>
      </c>
      <c r="C67">
        <f>SUMIFS(T_Shipments[Confirmed_Qty],T_Shipments[RM_Code],$A67,T_Shipments[Effective_Week],2)</f>
        <v/>
      </c>
      <c r="D67">
        <f>SUMIFS(T_Shipments[Confirmed_Qty],T_Shipments[RM_Code],$A67,T_Shipments[Effective_Week],3)</f>
        <v/>
      </c>
      <c r="E67">
        <f>SUMIFS(T_Shipments[Confirmed_Qty],T_Shipments[RM_Code],$A67,T_Shipments[Effective_Week],4)</f>
        <v/>
      </c>
      <c r="F67">
        <f>SUMIFS(T_Shipments[Confirmed_Qty],T_Shipments[RM_Code],$A67,T_Shipments[Effective_Week],5)</f>
        <v/>
      </c>
      <c r="G67">
        <f>SUMIFS(T_Shipments[Confirmed_Qty],T_Shipments[RM_Code],$A67,T_Shipments[Effective_Week],6)</f>
        <v/>
      </c>
      <c r="H67">
        <f>SUMIFS(T_Shipments[Confirmed_Qty],T_Shipments[RM_Code],$A67,T_Shipments[Effective_Week],7)</f>
        <v/>
      </c>
      <c r="I67">
        <f>SUMIFS(T_Shipments[Confirmed_Qty],T_Shipments[RM_Code],$A67,T_Shipments[Effective_Week],8)</f>
        <v/>
      </c>
      <c r="J67">
        <f>SUMIFS(T_Shipments[Confirmed_Qty],T_Shipments[RM_Code],$A67,T_Shipments[Effective_Week],9)</f>
        <v/>
      </c>
      <c r="K67">
        <f>SUMIFS(T_Shipments[Confirmed_Qty],T_Shipments[RM_Code],$A67,T_Shipments[Effective_Week],10)</f>
        <v/>
      </c>
      <c r="L67">
        <f>SUMIFS(T_Shipments[Confirmed_Qty],T_Shipments[RM_Code],$A67,T_Shipments[Effective_Week],11)</f>
        <v/>
      </c>
      <c r="M67">
        <f>SUMIFS(T_Shipments[Confirmed_Qty],T_Shipments[RM_Code],$A67,T_Shipments[Effective_Week],12)</f>
        <v/>
      </c>
      <c r="N67">
        <f>SUMIFS(T_Shipments[Confirmed_Qty],T_Shipments[RM_Code],$A67,T_Shipments[Effective_Week],13)</f>
        <v/>
      </c>
      <c r="O67">
        <f>SUMIFS(T_Shipments[Confirmed_Qty],T_Shipments[RM_Code],$A67,T_Shipments[Effective_Week],14)</f>
        <v/>
      </c>
      <c r="P67">
        <f>SUMIFS(T_Shipments[Confirmed_Qty],T_Shipments[RM_Code],$A67,T_Shipments[Effective_Week],15)</f>
        <v/>
      </c>
      <c r="Q67">
        <f>SUMIFS(T_Shipments[Confirmed_Qty],T_Shipments[RM_Code],$A67,T_Shipments[Effective_Week],16)</f>
        <v/>
      </c>
      <c r="R67">
        <f>SUMIFS(T_Shipments[Confirmed_Qty],T_Shipments[RM_Code],$A67,T_Shipments[Effective_Week],17)</f>
        <v/>
      </c>
      <c r="S67">
        <f>SUMIFS(T_Shipments[Confirmed_Qty],T_Shipments[RM_Code],$A67,T_Shipments[Effective_Week],18)</f>
        <v/>
      </c>
      <c r="T67">
        <f>SUMIFS(T_Shipments[Confirmed_Qty],T_Shipments[RM_Code],$A67,T_Shipments[Effective_Week],19)</f>
        <v/>
      </c>
      <c r="U67">
        <f>SUMIFS(T_Shipments[Confirmed_Qty],T_Shipments[RM_Code],$A67,T_Shipments[Effective_Week],20)</f>
        <v/>
      </c>
      <c r="V67">
        <f>SUMIFS(T_Shipments[Confirmed_Qty],T_Shipments[RM_Code],$A67,T_Shipments[Effective_Week],21)</f>
        <v/>
      </c>
      <c r="W67">
        <f>SUMIFS(T_Shipments[Confirmed_Qty],T_Shipments[RM_Code],$A67,T_Shipments[Effective_Week],22)</f>
        <v/>
      </c>
      <c r="X67">
        <f>SUMIFS(T_Shipments[Confirmed_Qty],T_Shipments[RM_Code],$A67,T_Shipments[Effective_Week],23)</f>
        <v/>
      </c>
      <c r="Y67">
        <f>SUMIFS(T_Shipments[Confirmed_Qty],T_Shipments[RM_Code],$A67,T_Shipments[Effective_Week],24)</f>
        <v/>
      </c>
      <c r="Z67">
        <f>SUMIFS(T_Shipments[Confirmed_Qty],T_Shipments[RM_Code],$A67,T_Shipments[Effective_Week],25)</f>
        <v/>
      </c>
      <c r="AA67">
        <f>SUMIFS(T_Shipments[Confirmed_Qty],T_Shipments[RM_Code],$A67,T_Shipments[Effective_Week],26)</f>
        <v/>
      </c>
      <c r="AB67">
        <f>SUMIFS(T_Shipments[Confirmed_Qty],T_Shipments[RM_Code],$A67,T_Shipments[Effective_Week],27)</f>
        <v/>
      </c>
      <c r="AC67">
        <f>SUMIFS(T_Shipments[Confirmed_Qty],T_Shipments[RM_Code],$A67,T_Shipments[Effective_Week],28)</f>
        <v/>
      </c>
      <c r="AD67">
        <f>SUMIFS(T_Shipments[Confirmed_Qty],T_Shipments[RM_Code],$A67,T_Shipments[Effective_Week],29)</f>
        <v/>
      </c>
      <c r="AE67">
        <f>SUMIFS(T_Shipments[Confirmed_Qty],T_Shipments[RM_Code],$A67,T_Shipments[Effective_Week],30)</f>
        <v/>
      </c>
      <c r="AF67">
        <f>SUMIFS(T_Shipments[Confirmed_Qty],T_Shipments[RM_Code],$A67,T_Shipments[Effective_Week],31)</f>
        <v/>
      </c>
      <c r="AG67">
        <f>SUMIFS(T_Shipments[Confirmed_Qty],T_Shipments[RM_Code],$A67,T_Shipments[Effective_Week],32)</f>
        <v/>
      </c>
      <c r="AH67">
        <f>SUMIFS(T_Shipments[Confirmed_Qty],T_Shipments[RM_Code],$A67,T_Shipments[Effective_Week],33)</f>
        <v/>
      </c>
      <c r="AI67">
        <f>SUMIFS(T_Shipments[Confirmed_Qty],T_Shipments[RM_Code],$A67,T_Shipments[Effective_Week],34)</f>
        <v/>
      </c>
      <c r="AJ67">
        <f>SUMIFS(T_Shipments[Confirmed_Qty],T_Shipments[RM_Code],$A67,T_Shipments[Effective_Week],35)</f>
        <v/>
      </c>
      <c r="AK67">
        <f>SUMIFS(T_Shipments[Confirmed_Qty],T_Shipments[RM_Code],$A67,T_Shipments[Effective_Week],36)</f>
        <v/>
      </c>
      <c r="AL67">
        <f>SUMIFS(T_Shipments[Confirmed_Qty],T_Shipments[RM_Code],$A67,T_Shipments[Effective_Week],37)</f>
        <v/>
      </c>
      <c r="AM67">
        <f>SUMIFS(T_Shipments[Confirmed_Qty],T_Shipments[RM_Code],$A67,T_Shipments[Effective_Week],38)</f>
        <v/>
      </c>
      <c r="AN67">
        <f>SUMIFS(T_Shipments[Confirmed_Qty],T_Shipments[RM_Code],$A67,T_Shipments[Effective_Week],39)</f>
        <v/>
      </c>
      <c r="AO67">
        <f>SUMIFS(T_Shipments[Confirmed_Qty],T_Shipments[RM_Code],$A67,T_Shipments[Effective_Week],40)</f>
        <v/>
      </c>
      <c r="AP67">
        <f>SUMIFS(T_Shipments[Confirmed_Qty],T_Shipments[RM_Code],$A67,T_Shipments[Effective_Week],41)</f>
        <v/>
      </c>
      <c r="AQ67">
        <f>SUMIFS(T_Shipments[Confirmed_Qty],T_Shipments[RM_Code],$A67,T_Shipments[Effective_Week],42)</f>
        <v/>
      </c>
      <c r="AR67">
        <f>SUMIFS(T_Shipments[Confirmed_Qty],T_Shipments[RM_Code],$A67,T_Shipments[Effective_Week],43)</f>
        <v/>
      </c>
      <c r="AS67">
        <f>SUMIFS(T_Shipments[Confirmed_Qty],T_Shipments[RM_Code],$A67,T_Shipments[Effective_Week],44)</f>
        <v/>
      </c>
      <c r="AT67">
        <f>SUMIFS(T_Shipments[Confirmed_Qty],T_Shipments[RM_Code],$A67,T_Shipments[Effective_Week],45)</f>
        <v/>
      </c>
      <c r="AU67">
        <f>SUMIFS(T_Shipments[Confirmed_Qty],T_Shipments[RM_Code],$A67,T_Shipments[Effective_Week],46)</f>
        <v/>
      </c>
      <c r="AV67">
        <f>SUMIFS(T_Shipments[Confirmed_Qty],T_Shipments[RM_Code],$A67,T_Shipments[Effective_Week],47)</f>
        <v/>
      </c>
      <c r="AW67">
        <f>SUMIFS(T_Shipments[Confirmed_Qty],T_Shipments[RM_Code],$A67,T_Shipments[Effective_Week],48)</f>
        <v/>
      </c>
      <c r="AX67">
        <f>SUMIFS(T_Shipments[Confirmed_Qty],T_Shipments[RM_Code],$A67,T_Shipments[Effective_Week],49)</f>
        <v/>
      </c>
      <c r="AY67">
        <f>SUMIFS(T_Shipments[Confirmed_Qty],T_Shipments[RM_Code],$A67,T_Shipments[Effective_Week],50)</f>
        <v/>
      </c>
      <c r="AZ67">
        <f>SUMIFS(T_Shipments[Confirmed_Qty],T_Shipments[RM_Code],$A67,T_Shipments[Effective_Week],51)</f>
        <v/>
      </c>
      <c r="BA67">
        <f>SUMIFS(T_Shipments[Confirmed_Qty],T_Shipments[RM_Code],$A67,T_Shipments[Effective_Week],52)</f>
        <v/>
      </c>
      <c r="BB67">
        <f>SUMIFS(T_Shipments[Confirmed_Qty],T_Shipments[RM_Code],$A67,T_Shipments[Effective_Week],53)</f>
        <v/>
      </c>
      <c r="BC67">
        <f>SUMIFS(T_Shipments[Confirmed_Qty],T_Shipments[RM_Code],$A67,T_Shipments[Effective_Week],54)</f>
        <v/>
      </c>
      <c r="BD67">
        <f>SUMIFS(T_Shipments[Confirmed_Qty],T_Shipments[RM_Code],$A67,T_Shipments[Effective_Week],55)</f>
        <v/>
      </c>
      <c r="BE67">
        <f>SUMIFS(T_Shipments[Confirmed_Qty],T_Shipments[RM_Code],$A67,T_Shipments[Effective_Week],56)</f>
        <v/>
      </c>
      <c r="BF67">
        <f>SUMIFS(T_Shipments[Confirmed_Qty],T_Shipments[RM_Code],$A67,T_Shipments[Effective_Week],57)</f>
        <v/>
      </c>
      <c r="BG67">
        <f>SUMIFS(T_Shipments[Confirmed_Qty],T_Shipments[RM_Code],$A67,T_Shipments[Effective_Week],58)</f>
        <v/>
      </c>
      <c r="BH67">
        <f>SUMIFS(T_Shipments[Confirmed_Qty],T_Shipments[RM_Code],$A67,T_Shipments[Effective_Week],59)</f>
        <v/>
      </c>
      <c r="BI67">
        <f>SUMIFS(T_Shipments[Confirmed_Qty],T_Shipments[RM_Code],$A67,T_Shipments[Effective_Week],60)</f>
        <v/>
      </c>
      <c r="BJ67">
        <f>SUMIFS(T_Shipments[Confirmed_Qty],T_Shipments[RM_Code],$A67,T_Shipments[Effective_Week],61)</f>
        <v/>
      </c>
      <c r="BK67">
        <f>SUMIFS(T_Shipments[Confirmed_Qty],T_Shipments[RM_Code],$A67,T_Shipments[Effective_Week],62)</f>
        <v/>
      </c>
      <c r="BL67">
        <f>SUMIFS(T_Shipments[Confirmed_Qty],T_Shipments[RM_Code],$A67,T_Shipments[Effective_Week],63)</f>
        <v/>
      </c>
      <c r="BM67">
        <f>SUMIFS(T_Shipments[Confirmed_Qty],T_Shipments[RM_Code],$A67,T_Shipments[Effective_Week],64)</f>
        <v/>
      </c>
      <c r="BN67">
        <f>SUMIFS(T_Shipments[Confirmed_Qty],T_Shipments[RM_Code],$A67,T_Shipments[Effective_Week],65)</f>
        <v/>
      </c>
      <c r="BO67">
        <f>SUMIFS(T_Shipments[Confirmed_Qty],T_Shipments[RM_Code],$A67,T_Shipments[Effective_Week],66)</f>
        <v/>
      </c>
      <c r="BP67">
        <f>SUMIFS(T_Shipments[Confirmed_Qty],T_Shipments[RM_Code],$A67,T_Shipments[Effective_Week],67)</f>
        <v/>
      </c>
      <c r="BQ67">
        <f>SUMIFS(T_Shipments[Confirmed_Qty],T_Shipments[RM_Code],$A67,T_Shipments[Effective_Week],68)</f>
        <v/>
      </c>
      <c r="BR67">
        <f>SUMIFS(T_Shipments[Confirmed_Qty],T_Shipments[RM_Code],$A67,T_Shipments[Effective_Week],69)</f>
        <v/>
      </c>
      <c r="BS67">
        <f>SUMIFS(T_Shipments[Confirmed_Qty],T_Shipments[RM_Code],$A67,T_Shipments[Effective_Week],70)</f>
        <v/>
      </c>
      <c r="BT67">
        <f>SUMIFS(T_Shipments[Confirmed_Qty],T_Shipments[RM_Code],$A67,T_Shipments[Effective_Week],71)</f>
        <v/>
      </c>
      <c r="BU67">
        <f>SUMIFS(T_Shipments[Confirmed_Qty],T_Shipments[RM_Code],$A67,T_Shipments[Effective_Week],72)</f>
        <v/>
      </c>
      <c r="BV67">
        <f>SUMIFS(T_Shipments[Confirmed_Qty],T_Shipments[RM_Code],$A67,T_Shipments[Effective_Week],73)</f>
        <v/>
      </c>
      <c r="BW67">
        <f>SUMIFS(T_Shipments[Confirmed_Qty],T_Shipments[RM_Code],$A67,T_Shipments[Effective_Week],74)</f>
        <v/>
      </c>
      <c r="BX67">
        <f>SUMIFS(T_Shipments[Confirmed_Qty],T_Shipments[RM_Code],$A67,T_Shipments[Effective_Week],75)</f>
        <v/>
      </c>
      <c r="BY67">
        <f>SUMIFS(T_Shipments[Confirmed_Qty],T_Shipments[RM_Code],$A67,T_Shipments[Effective_Week],76)</f>
        <v/>
      </c>
      <c r="BZ67">
        <f>SUMIFS(T_Shipments[Confirmed_Qty],T_Shipments[RM_Code],$A67,T_Shipments[Effective_Week],77)</f>
        <v/>
      </c>
      <c r="CA67">
        <f>SUMIFS(T_Shipments[Confirmed_Qty],T_Shipments[RM_Code],$A67,T_Shipments[Effective_Week],78)</f>
        <v/>
      </c>
      <c r="CB67">
        <f>SUMIFS(T_Shipments[Confirmed_Qty],T_Shipments[RM_Code],$A67,T_Shipments[Effective_Week],79)</f>
        <v/>
      </c>
      <c r="CC67">
        <f>SUMIFS(T_Shipments[Confirmed_Qty],T_Shipments[RM_Code],$A67,T_Shipments[Effective_Week],80)</f>
        <v/>
      </c>
      <c r="CD67">
        <f>SUMIFS(T_Shipments[Confirmed_Qty],T_Shipments[RM_Code],$A67,T_Shipments[Effective_Week],81)</f>
        <v/>
      </c>
      <c r="CE67">
        <f>SUMIFS(T_Shipments[Confirmed_Qty],T_Shipments[RM_Code],$A67,T_Shipments[Effective_Week],82)</f>
        <v/>
      </c>
      <c r="CF67">
        <f>SUMIFS(T_Shipments[Confirmed_Qty],T_Shipments[RM_Code],$A67,T_Shipments[Effective_Week],83)</f>
        <v/>
      </c>
      <c r="CG67">
        <f>SUMIFS(T_Shipments[Confirmed_Qty],T_Shipments[RM_Code],$A67,T_Shipments[Effective_Week],84)</f>
        <v/>
      </c>
      <c r="CH67">
        <f>SUMIFS(T_Shipments[Confirmed_Qty],T_Shipments[RM_Code],$A67,T_Shipments[Effective_Week],85)</f>
        <v/>
      </c>
      <c r="CI67">
        <f>SUMIFS(T_Shipments[Confirmed_Qty],T_Shipments[RM_Code],$A67,T_Shipments[Effective_Week],86)</f>
        <v/>
      </c>
      <c r="CJ67">
        <f>SUMIFS(T_Shipments[Confirmed_Qty],T_Shipments[RM_Code],$A67,T_Shipments[Effective_Week],87)</f>
        <v/>
      </c>
      <c r="CK67">
        <f>SUMIFS(T_Shipments[Confirmed_Qty],T_Shipments[RM_Code],$A67,T_Shipments[Effective_Week],88)</f>
        <v/>
      </c>
      <c r="CL67">
        <f>SUMIFS(T_Shipments[Confirmed_Qty],T_Shipments[RM_Code],$A67,T_Shipments[Effective_Week],89)</f>
        <v/>
      </c>
      <c r="CM67">
        <f>SUMIFS(T_Shipments[Confirmed_Qty],T_Shipments[RM_Code],$A67,T_Shipments[Effective_Week],90)</f>
        <v/>
      </c>
      <c r="CN67">
        <f>SUMIFS(T_Shipments[Confirmed_Qty],T_Shipments[RM_Code],$A67,T_Shipments[Effective_Week],91)</f>
        <v/>
      </c>
      <c r="CO67">
        <f>SUMIFS(T_Shipments[Confirmed_Qty],T_Shipments[RM_Code],$A67,T_Shipments[Effective_Week],92)</f>
        <v/>
      </c>
      <c r="CP67">
        <f>SUMIFS(T_Shipments[Confirmed_Qty],T_Shipments[RM_Code],$A67,T_Shipments[Effective_Week],93)</f>
        <v/>
      </c>
      <c r="CQ67">
        <f>SUMIFS(T_Shipments[Confirmed_Qty],T_Shipments[RM_Code],$A67,T_Shipments[Effective_Week],94)</f>
        <v/>
      </c>
      <c r="CR67">
        <f>SUMIFS(T_Shipments[Confirmed_Qty],T_Shipments[RM_Code],$A67,T_Shipments[Effective_Week],95)</f>
        <v/>
      </c>
      <c r="CS67">
        <f>SUMIFS(T_Shipments[Confirmed_Qty],T_Shipments[RM_Code],$A67,T_Shipments[Effective_Week],96)</f>
        <v/>
      </c>
      <c r="CT67">
        <f>SUMIFS(T_Shipments[Confirmed_Qty],T_Shipments[RM_Code],$A67,T_Shipments[Effective_Week],97)</f>
        <v/>
      </c>
      <c r="CU67">
        <f>SUMIFS(T_Shipments[Confirmed_Qty],T_Shipments[RM_Code],$A67,T_Shipments[Effective_Week],98)</f>
        <v/>
      </c>
      <c r="CV67">
        <f>SUMIFS(T_Shipments[Confirmed_Qty],T_Shipments[RM_Code],$A67,T_Shipments[Effective_Week],99)</f>
        <v/>
      </c>
      <c r="CW67">
        <f>SUMIFS(T_Shipments[Confirmed_Qty],T_Shipments[RM_Code],$A67,T_Shipments[Effective_Week],100)</f>
        <v/>
      </c>
      <c r="CX67">
        <f>SUMIFS(T_Shipments[Confirmed_Qty],T_Shipments[RM_Code],$A67,T_Shipments[Effective_Week],101)</f>
        <v/>
      </c>
      <c r="CY67">
        <f>SUMIFS(T_Shipments[Confirmed_Qty],T_Shipments[RM_Code],$A67,T_Shipments[Effective_Week],102)</f>
        <v/>
      </c>
      <c r="CZ67">
        <f>SUMIFS(T_Shipments[Confirmed_Qty],T_Shipments[RM_Code],$A67,T_Shipments[Effective_Week],103)</f>
        <v/>
      </c>
      <c r="DA67">
        <f>SUMIFS(T_Shipments[Confirmed_Qty],T_Shipments[RM_Code],$A67,T_Shipments[Effective_Week],104)</f>
        <v/>
      </c>
    </row>
    <row r="68">
      <c r="A68" t="inlineStr">
        <is>
          <t>3TP</t>
        </is>
      </c>
      <c r="B68">
        <f>SUMIFS(T_Shipments[Confirmed_Qty],T_Shipments[RM_Code],$A68,T_Shipments[Effective_Week],1)</f>
        <v/>
      </c>
      <c r="C68">
        <f>SUMIFS(T_Shipments[Confirmed_Qty],T_Shipments[RM_Code],$A68,T_Shipments[Effective_Week],2)</f>
        <v/>
      </c>
      <c r="D68">
        <f>SUMIFS(T_Shipments[Confirmed_Qty],T_Shipments[RM_Code],$A68,T_Shipments[Effective_Week],3)</f>
        <v/>
      </c>
      <c r="E68">
        <f>SUMIFS(T_Shipments[Confirmed_Qty],T_Shipments[RM_Code],$A68,T_Shipments[Effective_Week],4)</f>
        <v/>
      </c>
      <c r="F68">
        <f>SUMIFS(T_Shipments[Confirmed_Qty],T_Shipments[RM_Code],$A68,T_Shipments[Effective_Week],5)</f>
        <v/>
      </c>
      <c r="G68">
        <f>SUMIFS(T_Shipments[Confirmed_Qty],T_Shipments[RM_Code],$A68,T_Shipments[Effective_Week],6)</f>
        <v/>
      </c>
      <c r="H68">
        <f>SUMIFS(T_Shipments[Confirmed_Qty],T_Shipments[RM_Code],$A68,T_Shipments[Effective_Week],7)</f>
        <v/>
      </c>
      <c r="I68">
        <f>SUMIFS(T_Shipments[Confirmed_Qty],T_Shipments[RM_Code],$A68,T_Shipments[Effective_Week],8)</f>
        <v/>
      </c>
      <c r="J68">
        <f>SUMIFS(T_Shipments[Confirmed_Qty],T_Shipments[RM_Code],$A68,T_Shipments[Effective_Week],9)</f>
        <v/>
      </c>
      <c r="K68">
        <f>SUMIFS(T_Shipments[Confirmed_Qty],T_Shipments[RM_Code],$A68,T_Shipments[Effective_Week],10)</f>
        <v/>
      </c>
      <c r="L68">
        <f>SUMIFS(T_Shipments[Confirmed_Qty],T_Shipments[RM_Code],$A68,T_Shipments[Effective_Week],11)</f>
        <v/>
      </c>
      <c r="M68">
        <f>SUMIFS(T_Shipments[Confirmed_Qty],T_Shipments[RM_Code],$A68,T_Shipments[Effective_Week],12)</f>
        <v/>
      </c>
      <c r="N68">
        <f>SUMIFS(T_Shipments[Confirmed_Qty],T_Shipments[RM_Code],$A68,T_Shipments[Effective_Week],13)</f>
        <v/>
      </c>
      <c r="O68">
        <f>SUMIFS(T_Shipments[Confirmed_Qty],T_Shipments[RM_Code],$A68,T_Shipments[Effective_Week],14)</f>
        <v/>
      </c>
      <c r="P68">
        <f>SUMIFS(T_Shipments[Confirmed_Qty],T_Shipments[RM_Code],$A68,T_Shipments[Effective_Week],15)</f>
        <v/>
      </c>
      <c r="Q68">
        <f>SUMIFS(T_Shipments[Confirmed_Qty],T_Shipments[RM_Code],$A68,T_Shipments[Effective_Week],16)</f>
        <v/>
      </c>
      <c r="R68">
        <f>SUMIFS(T_Shipments[Confirmed_Qty],T_Shipments[RM_Code],$A68,T_Shipments[Effective_Week],17)</f>
        <v/>
      </c>
      <c r="S68">
        <f>SUMIFS(T_Shipments[Confirmed_Qty],T_Shipments[RM_Code],$A68,T_Shipments[Effective_Week],18)</f>
        <v/>
      </c>
      <c r="T68">
        <f>SUMIFS(T_Shipments[Confirmed_Qty],T_Shipments[RM_Code],$A68,T_Shipments[Effective_Week],19)</f>
        <v/>
      </c>
      <c r="U68">
        <f>SUMIFS(T_Shipments[Confirmed_Qty],T_Shipments[RM_Code],$A68,T_Shipments[Effective_Week],20)</f>
        <v/>
      </c>
      <c r="V68">
        <f>SUMIFS(T_Shipments[Confirmed_Qty],T_Shipments[RM_Code],$A68,T_Shipments[Effective_Week],21)</f>
        <v/>
      </c>
      <c r="W68">
        <f>SUMIFS(T_Shipments[Confirmed_Qty],T_Shipments[RM_Code],$A68,T_Shipments[Effective_Week],22)</f>
        <v/>
      </c>
      <c r="X68">
        <f>SUMIFS(T_Shipments[Confirmed_Qty],T_Shipments[RM_Code],$A68,T_Shipments[Effective_Week],23)</f>
        <v/>
      </c>
      <c r="Y68">
        <f>SUMIFS(T_Shipments[Confirmed_Qty],T_Shipments[RM_Code],$A68,T_Shipments[Effective_Week],24)</f>
        <v/>
      </c>
      <c r="Z68">
        <f>SUMIFS(T_Shipments[Confirmed_Qty],T_Shipments[RM_Code],$A68,T_Shipments[Effective_Week],25)</f>
        <v/>
      </c>
      <c r="AA68">
        <f>SUMIFS(T_Shipments[Confirmed_Qty],T_Shipments[RM_Code],$A68,T_Shipments[Effective_Week],26)</f>
        <v/>
      </c>
      <c r="AB68">
        <f>SUMIFS(T_Shipments[Confirmed_Qty],T_Shipments[RM_Code],$A68,T_Shipments[Effective_Week],27)</f>
        <v/>
      </c>
      <c r="AC68">
        <f>SUMIFS(T_Shipments[Confirmed_Qty],T_Shipments[RM_Code],$A68,T_Shipments[Effective_Week],28)</f>
        <v/>
      </c>
      <c r="AD68">
        <f>SUMIFS(T_Shipments[Confirmed_Qty],T_Shipments[RM_Code],$A68,T_Shipments[Effective_Week],29)</f>
        <v/>
      </c>
      <c r="AE68">
        <f>SUMIFS(T_Shipments[Confirmed_Qty],T_Shipments[RM_Code],$A68,T_Shipments[Effective_Week],30)</f>
        <v/>
      </c>
      <c r="AF68">
        <f>SUMIFS(T_Shipments[Confirmed_Qty],T_Shipments[RM_Code],$A68,T_Shipments[Effective_Week],31)</f>
        <v/>
      </c>
      <c r="AG68">
        <f>SUMIFS(T_Shipments[Confirmed_Qty],T_Shipments[RM_Code],$A68,T_Shipments[Effective_Week],32)</f>
        <v/>
      </c>
      <c r="AH68">
        <f>SUMIFS(T_Shipments[Confirmed_Qty],T_Shipments[RM_Code],$A68,T_Shipments[Effective_Week],33)</f>
        <v/>
      </c>
      <c r="AI68">
        <f>SUMIFS(T_Shipments[Confirmed_Qty],T_Shipments[RM_Code],$A68,T_Shipments[Effective_Week],34)</f>
        <v/>
      </c>
      <c r="AJ68">
        <f>SUMIFS(T_Shipments[Confirmed_Qty],T_Shipments[RM_Code],$A68,T_Shipments[Effective_Week],35)</f>
        <v/>
      </c>
      <c r="AK68">
        <f>SUMIFS(T_Shipments[Confirmed_Qty],T_Shipments[RM_Code],$A68,T_Shipments[Effective_Week],36)</f>
        <v/>
      </c>
      <c r="AL68">
        <f>SUMIFS(T_Shipments[Confirmed_Qty],T_Shipments[RM_Code],$A68,T_Shipments[Effective_Week],37)</f>
        <v/>
      </c>
      <c r="AM68">
        <f>SUMIFS(T_Shipments[Confirmed_Qty],T_Shipments[RM_Code],$A68,T_Shipments[Effective_Week],38)</f>
        <v/>
      </c>
      <c r="AN68">
        <f>SUMIFS(T_Shipments[Confirmed_Qty],T_Shipments[RM_Code],$A68,T_Shipments[Effective_Week],39)</f>
        <v/>
      </c>
      <c r="AO68">
        <f>SUMIFS(T_Shipments[Confirmed_Qty],T_Shipments[RM_Code],$A68,T_Shipments[Effective_Week],40)</f>
        <v/>
      </c>
      <c r="AP68">
        <f>SUMIFS(T_Shipments[Confirmed_Qty],T_Shipments[RM_Code],$A68,T_Shipments[Effective_Week],41)</f>
        <v/>
      </c>
      <c r="AQ68">
        <f>SUMIFS(T_Shipments[Confirmed_Qty],T_Shipments[RM_Code],$A68,T_Shipments[Effective_Week],42)</f>
        <v/>
      </c>
      <c r="AR68">
        <f>SUMIFS(T_Shipments[Confirmed_Qty],T_Shipments[RM_Code],$A68,T_Shipments[Effective_Week],43)</f>
        <v/>
      </c>
      <c r="AS68">
        <f>SUMIFS(T_Shipments[Confirmed_Qty],T_Shipments[RM_Code],$A68,T_Shipments[Effective_Week],44)</f>
        <v/>
      </c>
      <c r="AT68">
        <f>SUMIFS(T_Shipments[Confirmed_Qty],T_Shipments[RM_Code],$A68,T_Shipments[Effective_Week],45)</f>
        <v/>
      </c>
      <c r="AU68">
        <f>SUMIFS(T_Shipments[Confirmed_Qty],T_Shipments[RM_Code],$A68,T_Shipments[Effective_Week],46)</f>
        <v/>
      </c>
      <c r="AV68">
        <f>SUMIFS(T_Shipments[Confirmed_Qty],T_Shipments[RM_Code],$A68,T_Shipments[Effective_Week],47)</f>
        <v/>
      </c>
      <c r="AW68">
        <f>SUMIFS(T_Shipments[Confirmed_Qty],T_Shipments[RM_Code],$A68,T_Shipments[Effective_Week],48)</f>
        <v/>
      </c>
      <c r="AX68">
        <f>SUMIFS(T_Shipments[Confirmed_Qty],T_Shipments[RM_Code],$A68,T_Shipments[Effective_Week],49)</f>
        <v/>
      </c>
      <c r="AY68">
        <f>SUMIFS(T_Shipments[Confirmed_Qty],T_Shipments[RM_Code],$A68,T_Shipments[Effective_Week],50)</f>
        <v/>
      </c>
      <c r="AZ68">
        <f>SUMIFS(T_Shipments[Confirmed_Qty],T_Shipments[RM_Code],$A68,T_Shipments[Effective_Week],51)</f>
        <v/>
      </c>
      <c r="BA68">
        <f>SUMIFS(T_Shipments[Confirmed_Qty],T_Shipments[RM_Code],$A68,T_Shipments[Effective_Week],52)</f>
        <v/>
      </c>
      <c r="BB68">
        <f>SUMIFS(T_Shipments[Confirmed_Qty],T_Shipments[RM_Code],$A68,T_Shipments[Effective_Week],53)</f>
        <v/>
      </c>
      <c r="BC68">
        <f>SUMIFS(T_Shipments[Confirmed_Qty],T_Shipments[RM_Code],$A68,T_Shipments[Effective_Week],54)</f>
        <v/>
      </c>
      <c r="BD68">
        <f>SUMIFS(T_Shipments[Confirmed_Qty],T_Shipments[RM_Code],$A68,T_Shipments[Effective_Week],55)</f>
        <v/>
      </c>
      <c r="BE68">
        <f>SUMIFS(T_Shipments[Confirmed_Qty],T_Shipments[RM_Code],$A68,T_Shipments[Effective_Week],56)</f>
        <v/>
      </c>
      <c r="BF68">
        <f>SUMIFS(T_Shipments[Confirmed_Qty],T_Shipments[RM_Code],$A68,T_Shipments[Effective_Week],57)</f>
        <v/>
      </c>
      <c r="BG68">
        <f>SUMIFS(T_Shipments[Confirmed_Qty],T_Shipments[RM_Code],$A68,T_Shipments[Effective_Week],58)</f>
        <v/>
      </c>
      <c r="BH68">
        <f>SUMIFS(T_Shipments[Confirmed_Qty],T_Shipments[RM_Code],$A68,T_Shipments[Effective_Week],59)</f>
        <v/>
      </c>
      <c r="BI68">
        <f>SUMIFS(T_Shipments[Confirmed_Qty],T_Shipments[RM_Code],$A68,T_Shipments[Effective_Week],60)</f>
        <v/>
      </c>
      <c r="BJ68">
        <f>SUMIFS(T_Shipments[Confirmed_Qty],T_Shipments[RM_Code],$A68,T_Shipments[Effective_Week],61)</f>
        <v/>
      </c>
      <c r="BK68">
        <f>SUMIFS(T_Shipments[Confirmed_Qty],T_Shipments[RM_Code],$A68,T_Shipments[Effective_Week],62)</f>
        <v/>
      </c>
      <c r="BL68">
        <f>SUMIFS(T_Shipments[Confirmed_Qty],T_Shipments[RM_Code],$A68,T_Shipments[Effective_Week],63)</f>
        <v/>
      </c>
      <c r="BM68">
        <f>SUMIFS(T_Shipments[Confirmed_Qty],T_Shipments[RM_Code],$A68,T_Shipments[Effective_Week],64)</f>
        <v/>
      </c>
      <c r="BN68">
        <f>SUMIFS(T_Shipments[Confirmed_Qty],T_Shipments[RM_Code],$A68,T_Shipments[Effective_Week],65)</f>
        <v/>
      </c>
      <c r="BO68">
        <f>SUMIFS(T_Shipments[Confirmed_Qty],T_Shipments[RM_Code],$A68,T_Shipments[Effective_Week],66)</f>
        <v/>
      </c>
      <c r="BP68">
        <f>SUMIFS(T_Shipments[Confirmed_Qty],T_Shipments[RM_Code],$A68,T_Shipments[Effective_Week],67)</f>
        <v/>
      </c>
      <c r="BQ68">
        <f>SUMIFS(T_Shipments[Confirmed_Qty],T_Shipments[RM_Code],$A68,T_Shipments[Effective_Week],68)</f>
        <v/>
      </c>
      <c r="BR68">
        <f>SUMIFS(T_Shipments[Confirmed_Qty],T_Shipments[RM_Code],$A68,T_Shipments[Effective_Week],69)</f>
        <v/>
      </c>
      <c r="BS68">
        <f>SUMIFS(T_Shipments[Confirmed_Qty],T_Shipments[RM_Code],$A68,T_Shipments[Effective_Week],70)</f>
        <v/>
      </c>
      <c r="BT68">
        <f>SUMIFS(T_Shipments[Confirmed_Qty],T_Shipments[RM_Code],$A68,T_Shipments[Effective_Week],71)</f>
        <v/>
      </c>
      <c r="BU68">
        <f>SUMIFS(T_Shipments[Confirmed_Qty],T_Shipments[RM_Code],$A68,T_Shipments[Effective_Week],72)</f>
        <v/>
      </c>
      <c r="BV68">
        <f>SUMIFS(T_Shipments[Confirmed_Qty],T_Shipments[RM_Code],$A68,T_Shipments[Effective_Week],73)</f>
        <v/>
      </c>
      <c r="BW68">
        <f>SUMIFS(T_Shipments[Confirmed_Qty],T_Shipments[RM_Code],$A68,T_Shipments[Effective_Week],74)</f>
        <v/>
      </c>
      <c r="BX68">
        <f>SUMIFS(T_Shipments[Confirmed_Qty],T_Shipments[RM_Code],$A68,T_Shipments[Effective_Week],75)</f>
        <v/>
      </c>
      <c r="BY68">
        <f>SUMIFS(T_Shipments[Confirmed_Qty],T_Shipments[RM_Code],$A68,T_Shipments[Effective_Week],76)</f>
        <v/>
      </c>
      <c r="BZ68">
        <f>SUMIFS(T_Shipments[Confirmed_Qty],T_Shipments[RM_Code],$A68,T_Shipments[Effective_Week],77)</f>
        <v/>
      </c>
      <c r="CA68">
        <f>SUMIFS(T_Shipments[Confirmed_Qty],T_Shipments[RM_Code],$A68,T_Shipments[Effective_Week],78)</f>
        <v/>
      </c>
      <c r="CB68">
        <f>SUMIFS(T_Shipments[Confirmed_Qty],T_Shipments[RM_Code],$A68,T_Shipments[Effective_Week],79)</f>
        <v/>
      </c>
      <c r="CC68">
        <f>SUMIFS(T_Shipments[Confirmed_Qty],T_Shipments[RM_Code],$A68,T_Shipments[Effective_Week],80)</f>
        <v/>
      </c>
      <c r="CD68">
        <f>SUMIFS(T_Shipments[Confirmed_Qty],T_Shipments[RM_Code],$A68,T_Shipments[Effective_Week],81)</f>
        <v/>
      </c>
      <c r="CE68">
        <f>SUMIFS(T_Shipments[Confirmed_Qty],T_Shipments[RM_Code],$A68,T_Shipments[Effective_Week],82)</f>
        <v/>
      </c>
      <c r="CF68">
        <f>SUMIFS(T_Shipments[Confirmed_Qty],T_Shipments[RM_Code],$A68,T_Shipments[Effective_Week],83)</f>
        <v/>
      </c>
      <c r="CG68">
        <f>SUMIFS(T_Shipments[Confirmed_Qty],T_Shipments[RM_Code],$A68,T_Shipments[Effective_Week],84)</f>
        <v/>
      </c>
      <c r="CH68">
        <f>SUMIFS(T_Shipments[Confirmed_Qty],T_Shipments[RM_Code],$A68,T_Shipments[Effective_Week],85)</f>
        <v/>
      </c>
      <c r="CI68">
        <f>SUMIFS(T_Shipments[Confirmed_Qty],T_Shipments[RM_Code],$A68,T_Shipments[Effective_Week],86)</f>
        <v/>
      </c>
      <c r="CJ68">
        <f>SUMIFS(T_Shipments[Confirmed_Qty],T_Shipments[RM_Code],$A68,T_Shipments[Effective_Week],87)</f>
        <v/>
      </c>
      <c r="CK68">
        <f>SUMIFS(T_Shipments[Confirmed_Qty],T_Shipments[RM_Code],$A68,T_Shipments[Effective_Week],88)</f>
        <v/>
      </c>
      <c r="CL68">
        <f>SUMIFS(T_Shipments[Confirmed_Qty],T_Shipments[RM_Code],$A68,T_Shipments[Effective_Week],89)</f>
        <v/>
      </c>
      <c r="CM68">
        <f>SUMIFS(T_Shipments[Confirmed_Qty],T_Shipments[RM_Code],$A68,T_Shipments[Effective_Week],90)</f>
        <v/>
      </c>
      <c r="CN68">
        <f>SUMIFS(T_Shipments[Confirmed_Qty],T_Shipments[RM_Code],$A68,T_Shipments[Effective_Week],91)</f>
        <v/>
      </c>
      <c r="CO68">
        <f>SUMIFS(T_Shipments[Confirmed_Qty],T_Shipments[RM_Code],$A68,T_Shipments[Effective_Week],92)</f>
        <v/>
      </c>
      <c r="CP68">
        <f>SUMIFS(T_Shipments[Confirmed_Qty],T_Shipments[RM_Code],$A68,T_Shipments[Effective_Week],93)</f>
        <v/>
      </c>
      <c r="CQ68">
        <f>SUMIFS(T_Shipments[Confirmed_Qty],T_Shipments[RM_Code],$A68,T_Shipments[Effective_Week],94)</f>
        <v/>
      </c>
      <c r="CR68">
        <f>SUMIFS(T_Shipments[Confirmed_Qty],T_Shipments[RM_Code],$A68,T_Shipments[Effective_Week],95)</f>
        <v/>
      </c>
      <c r="CS68">
        <f>SUMIFS(T_Shipments[Confirmed_Qty],T_Shipments[RM_Code],$A68,T_Shipments[Effective_Week],96)</f>
        <v/>
      </c>
      <c r="CT68">
        <f>SUMIFS(T_Shipments[Confirmed_Qty],T_Shipments[RM_Code],$A68,T_Shipments[Effective_Week],97)</f>
        <v/>
      </c>
      <c r="CU68">
        <f>SUMIFS(T_Shipments[Confirmed_Qty],T_Shipments[RM_Code],$A68,T_Shipments[Effective_Week],98)</f>
        <v/>
      </c>
      <c r="CV68">
        <f>SUMIFS(T_Shipments[Confirmed_Qty],T_Shipments[RM_Code],$A68,T_Shipments[Effective_Week],99)</f>
        <v/>
      </c>
      <c r="CW68">
        <f>SUMIFS(T_Shipments[Confirmed_Qty],T_Shipments[RM_Code],$A68,T_Shipments[Effective_Week],100)</f>
        <v/>
      </c>
      <c r="CX68">
        <f>SUMIFS(T_Shipments[Confirmed_Qty],T_Shipments[RM_Code],$A68,T_Shipments[Effective_Week],101)</f>
        <v/>
      </c>
      <c r="CY68">
        <f>SUMIFS(T_Shipments[Confirmed_Qty],T_Shipments[RM_Code],$A68,T_Shipments[Effective_Week],102)</f>
        <v/>
      </c>
      <c r="CZ68">
        <f>SUMIFS(T_Shipments[Confirmed_Qty],T_Shipments[RM_Code],$A68,T_Shipments[Effective_Week],103)</f>
        <v/>
      </c>
      <c r="DA68">
        <f>SUMIFS(T_Shipments[Confirmed_Qty],T_Shipments[RM_Code],$A68,T_Shipments[Effective_Week],104)</f>
        <v/>
      </c>
    </row>
    <row r="69">
      <c r="A69" t="inlineStr">
        <is>
          <t>CHEM-1740</t>
        </is>
      </c>
      <c r="B69">
        <f>SUMIFS(T_Shipments[Confirmed_Qty],T_Shipments[RM_Code],$A69,T_Shipments[Effective_Week],1)</f>
        <v/>
      </c>
      <c r="C69">
        <f>SUMIFS(T_Shipments[Confirmed_Qty],T_Shipments[RM_Code],$A69,T_Shipments[Effective_Week],2)</f>
        <v/>
      </c>
      <c r="D69">
        <f>SUMIFS(T_Shipments[Confirmed_Qty],T_Shipments[RM_Code],$A69,T_Shipments[Effective_Week],3)</f>
        <v/>
      </c>
      <c r="E69">
        <f>SUMIFS(T_Shipments[Confirmed_Qty],T_Shipments[RM_Code],$A69,T_Shipments[Effective_Week],4)</f>
        <v/>
      </c>
      <c r="F69">
        <f>SUMIFS(T_Shipments[Confirmed_Qty],T_Shipments[RM_Code],$A69,T_Shipments[Effective_Week],5)</f>
        <v/>
      </c>
      <c r="G69">
        <f>SUMIFS(T_Shipments[Confirmed_Qty],T_Shipments[RM_Code],$A69,T_Shipments[Effective_Week],6)</f>
        <v/>
      </c>
      <c r="H69">
        <f>SUMIFS(T_Shipments[Confirmed_Qty],T_Shipments[RM_Code],$A69,T_Shipments[Effective_Week],7)</f>
        <v/>
      </c>
      <c r="I69">
        <f>SUMIFS(T_Shipments[Confirmed_Qty],T_Shipments[RM_Code],$A69,T_Shipments[Effective_Week],8)</f>
        <v/>
      </c>
      <c r="J69">
        <f>SUMIFS(T_Shipments[Confirmed_Qty],T_Shipments[RM_Code],$A69,T_Shipments[Effective_Week],9)</f>
        <v/>
      </c>
      <c r="K69">
        <f>SUMIFS(T_Shipments[Confirmed_Qty],T_Shipments[RM_Code],$A69,T_Shipments[Effective_Week],10)</f>
        <v/>
      </c>
      <c r="L69">
        <f>SUMIFS(T_Shipments[Confirmed_Qty],T_Shipments[RM_Code],$A69,T_Shipments[Effective_Week],11)</f>
        <v/>
      </c>
      <c r="M69">
        <f>SUMIFS(T_Shipments[Confirmed_Qty],T_Shipments[RM_Code],$A69,T_Shipments[Effective_Week],12)</f>
        <v/>
      </c>
      <c r="N69">
        <f>SUMIFS(T_Shipments[Confirmed_Qty],T_Shipments[RM_Code],$A69,T_Shipments[Effective_Week],13)</f>
        <v/>
      </c>
      <c r="O69">
        <f>SUMIFS(T_Shipments[Confirmed_Qty],T_Shipments[RM_Code],$A69,T_Shipments[Effective_Week],14)</f>
        <v/>
      </c>
      <c r="P69">
        <f>SUMIFS(T_Shipments[Confirmed_Qty],T_Shipments[RM_Code],$A69,T_Shipments[Effective_Week],15)</f>
        <v/>
      </c>
      <c r="Q69">
        <f>SUMIFS(T_Shipments[Confirmed_Qty],T_Shipments[RM_Code],$A69,T_Shipments[Effective_Week],16)</f>
        <v/>
      </c>
      <c r="R69">
        <f>SUMIFS(T_Shipments[Confirmed_Qty],T_Shipments[RM_Code],$A69,T_Shipments[Effective_Week],17)</f>
        <v/>
      </c>
      <c r="S69">
        <f>SUMIFS(T_Shipments[Confirmed_Qty],T_Shipments[RM_Code],$A69,T_Shipments[Effective_Week],18)</f>
        <v/>
      </c>
      <c r="T69">
        <f>SUMIFS(T_Shipments[Confirmed_Qty],T_Shipments[RM_Code],$A69,T_Shipments[Effective_Week],19)</f>
        <v/>
      </c>
      <c r="U69">
        <f>SUMIFS(T_Shipments[Confirmed_Qty],T_Shipments[RM_Code],$A69,T_Shipments[Effective_Week],20)</f>
        <v/>
      </c>
      <c r="V69">
        <f>SUMIFS(T_Shipments[Confirmed_Qty],T_Shipments[RM_Code],$A69,T_Shipments[Effective_Week],21)</f>
        <v/>
      </c>
      <c r="W69">
        <f>SUMIFS(T_Shipments[Confirmed_Qty],T_Shipments[RM_Code],$A69,T_Shipments[Effective_Week],22)</f>
        <v/>
      </c>
      <c r="X69">
        <f>SUMIFS(T_Shipments[Confirmed_Qty],T_Shipments[RM_Code],$A69,T_Shipments[Effective_Week],23)</f>
        <v/>
      </c>
      <c r="Y69">
        <f>SUMIFS(T_Shipments[Confirmed_Qty],T_Shipments[RM_Code],$A69,T_Shipments[Effective_Week],24)</f>
        <v/>
      </c>
      <c r="Z69">
        <f>SUMIFS(T_Shipments[Confirmed_Qty],T_Shipments[RM_Code],$A69,T_Shipments[Effective_Week],25)</f>
        <v/>
      </c>
      <c r="AA69">
        <f>SUMIFS(T_Shipments[Confirmed_Qty],T_Shipments[RM_Code],$A69,T_Shipments[Effective_Week],26)</f>
        <v/>
      </c>
      <c r="AB69">
        <f>SUMIFS(T_Shipments[Confirmed_Qty],T_Shipments[RM_Code],$A69,T_Shipments[Effective_Week],27)</f>
        <v/>
      </c>
      <c r="AC69">
        <f>SUMIFS(T_Shipments[Confirmed_Qty],T_Shipments[RM_Code],$A69,T_Shipments[Effective_Week],28)</f>
        <v/>
      </c>
      <c r="AD69">
        <f>SUMIFS(T_Shipments[Confirmed_Qty],T_Shipments[RM_Code],$A69,T_Shipments[Effective_Week],29)</f>
        <v/>
      </c>
      <c r="AE69">
        <f>SUMIFS(T_Shipments[Confirmed_Qty],T_Shipments[RM_Code],$A69,T_Shipments[Effective_Week],30)</f>
        <v/>
      </c>
      <c r="AF69">
        <f>SUMIFS(T_Shipments[Confirmed_Qty],T_Shipments[RM_Code],$A69,T_Shipments[Effective_Week],31)</f>
        <v/>
      </c>
      <c r="AG69">
        <f>SUMIFS(T_Shipments[Confirmed_Qty],T_Shipments[RM_Code],$A69,T_Shipments[Effective_Week],32)</f>
        <v/>
      </c>
      <c r="AH69">
        <f>SUMIFS(T_Shipments[Confirmed_Qty],T_Shipments[RM_Code],$A69,T_Shipments[Effective_Week],33)</f>
        <v/>
      </c>
      <c r="AI69">
        <f>SUMIFS(T_Shipments[Confirmed_Qty],T_Shipments[RM_Code],$A69,T_Shipments[Effective_Week],34)</f>
        <v/>
      </c>
      <c r="AJ69">
        <f>SUMIFS(T_Shipments[Confirmed_Qty],T_Shipments[RM_Code],$A69,T_Shipments[Effective_Week],35)</f>
        <v/>
      </c>
      <c r="AK69">
        <f>SUMIFS(T_Shipments[Confirmed_Qty],T_Shipments[RM_Code],$A69,T_Shipments[Effective_Week],36)</f>
        <v/>
      </c>
      <c r="AL69">
        <f>SUMIFS(T_Shipments[Confirmed_Qty],T_Shipments[RM_Code],$A69,T_Shipments[Effective_Week],37)</f>
        <v/>
      </c>
      <c r="AM69">
        <f>SUMIFS(T_Shipments[Confirmed_Qty],T_Shipments[RM_Code],$A69,T_Shipments[Effective_Week],38)</f>
        <v/>
      </c>
      <c r="AN69">
        <f>SUMIFS(T_Shipments[Confirmed_Qty],T_Shipments[RM_Code],$A69,T_Shipments[Effective_Week],39)</f>
        <v/>
      </c>
      <c r="AO69">
        <f>SUMIFS(T_Shipments[Confirmed_Qty],T_Shipments[RM_Code],$A69,T_Shipments[Effective_Week],40)</f>
        <v/>
      </c>
      <c r="AP69">
        <f>SUMIFS(T_Shipments[Confirmed_Qty],T_Shipments[RM_Code],$A69,T_Shipments[Effective_Week],41)</f>
        <v/>
      </c>
      <c r="AQ69">
        <f>SUMIFS(T_Shipments[Confirmed_Qty],T_Shipments[RM_Code],$A69,T_Shipments[Effective_Week],42)</f>
        <v/>
      </c>
      <c r="AR69">
        <f>SUMIFS(T_Shipments[Confirmed_Qty],T_Shipments[RM_Code],$A69,T_Shipments[Effective_Week],43)</f>
        <v/>
      </c>
      <c r="AS69">
        <f>SUMIFS(T_Shipments[Confirmed_Qty],T_Shipments[RM_Code],$A69,T_Shipments[Effective_Week],44)</f>
        <v/>
      </c>
      <c r="AT69">
        <f>SUMIFS(T_Shipments[Confirmed_Qty],T_Shipments[RM_Code],$A69,T_Shipments[Effective_Week],45)</f>
        <v/>
      </c>
      <c r="AU69">
        <f>SUMIFS(T_Shipments[Confirmed_Qty],T_Shipments[RM_Code],$A69,T_Shipments[Effective_Week],46)</f>
        <v/>
      </c>
      <c r="AV69">
        <f>SUMIFS(T_Shipments[Confirmed_Qty],T_Shipments[RM_Code],$A69,T_Shipments[Effective_Week],47)</f>
        <v/>
      </c>
      <c r="AW69">
        <f>SUMIFS(T_Shipments[Confirmed_Qty],T_Shipments[RM_Code],$A69,T_Shipments[Effective_Week],48)</f>
        <v/>
      </c>
      <c r="AX69">
        <f>SUMIFS(T_Shipments[Confirmed_Qty],T_Shipments[RM_Code],$A69,T_Shipments[Effective_Week],49)</f>
        <v/>
      </c>
      <c r="AY69">
        <f>SUMIFS(T_Shipments[Confirmed_Qty],T_Shipments[RM_Code],$A69,T_Shipments[Effective_Week],50)</f>
        <v/>
      </c>
      <c r="AZ69">
        <f>SUMIFS(T_Shipments[Confirmed_Qty],T_Shipments[RM_Code],$A69,T_Shipments[Effective_Week],51)</f>
        <v/>
      </c>
      <c r="BA69">
        <f>SUMIFS(T_Shipments[Confirmed_Qty],T_Shipments[RM_Code],$A69,T_Shipments[Effective_Week],52)</f>
        <v/>
      </c>
      <c r="BB69">
        <f>SUMIFS(T_Shipments[Confirmed_Qty],T_Shipments[RM_Code],$A69,T_Shipments[Effective_Week],53)</f>
        <v/>
      </c>
      <c r="BC69">
        <f>SUMIFS(T_Shipments[Confirmed_Qty],T_Shipments[RM_Code],$A69,T_Shipments[Effective_Week],54)</f>
        <v/>
      </c>
      <c r="BD69">
        <f>SUMIFS(T_Shipments[Confirmed_Qty],T_Shipments[RM_Code],$A69,T_Shipments[Effective_Week],55)</f>
        <v/>
      </c>
      <c r="BE69">
        <f>SUMIFS(T_Shipments[Confirmed_Qty],T_Shipments[RM_Code],$A69,T_Shipments[Effective_Week],56)</f>
        <v/>
      </c>
      <c r="BF69">
        <f>SUMIFS(T_Shipments[Confirmed_Qty],T_Shipments[RM_Code],$A69,T_Shipments[Effective_Week],57)</f>
        <v/>
      </c>
      <c r="BG69">
        <f>SUMIFS(T_Shipments[Confirmed_Qty],T_Shipments[RM_Code],$A69,T_Shipments[Effective_Week],58)</f>
        <v/>
      </c>
      <c r="BH69">
        <f>SUMIFS(T_Shipments[Confirmed_Qty],T_Shipments[RM_Code],$A69,T_Shipments[Effective_Week],59)</f>
        <v/>
      </c>
      <c r="BI69">
        <f>SUMIFS(T_Shipments[Confirmed_Qty],T_Shipments[RM_Code],$A69,T_Shipments[Effective_Week],60)</f>
        <v/>
      </c>
      <c r="BJ69">
        <f>SUMIFS(T_Shipments[Confirmed_Qty],T_Shipments[RM_Code],$A69,T_Shipments[Effective_Week],61)</f>
        <v/>
      </c>
      <c r="BK69">
        <f>SUMIFS(T_Shipments[Confirmed_Qty],T_Shipments[RM_Code],$A69,T_Shipments[Effective_Week],62)</f>
        <v/>
      </c>
      <c r="BL69">
        <f>SUMIFS(T_Shipments[Confirmed_Qty],T_Shipments[RM_Code],$A69,T_Shipments[Effective_Week],63)</f>
        <v/>
      </c>
      <c r="BM69">
        <f>SUMIFS(T_Shipments[Confirmed_Qty],T_Shipments[RM_Code],$A69,T_Shipments[Effective_Week],64)</f>
        <v/>
      </c>
      <c r="BN69">
        <f>SUMIFS(T_Shipments[Confirmed_Qty],T_Shipments[RM_Code],$A69,T_Shipments[Effective_Week],65)</f>
        <v/>
      </c>
      <c r="BO69">
        <f>SUMIFS(T_Shipments[Confirmed_Qty],T_Shipments[RM_Code],$A69,T_Shipments[Effective_Week],66)</f>
        <v/>
      </c>
      <c r="BP69">
        <f>SUMIFS(T_Shipments[Confirmed_Qty],T_Shipments[RM_Code],$A69,T_Shipments[Effective_Week],67)</f>
        <v/>
      </c>
      <c r="BQ69">
        <f>SUMIFS(T_Shipments[Confirmed_Qty],T_Shipments[RM_Code],$A69,T_Shipments[Effective_Week],68)</f>
        <v/>
      </c>
      <c r="BR69">
        <f>SUMIFS(T_Shipments[Confirmed_Qty],T_Shipments[RM_Code],$A69,T_Shipments[Effective_Week],69)</f>
        <v/>
      </c>
      <c r="BS69">
        <f>SUMIFS(T_Shipments[Confirmed_Qty],T_Shipments[RM_Code],$A69,T_Shipments[Effective_Week],70)</f>
        <v/>
      </c>
      <c r="BT69">
        <f>SUMIFS(T_Shipments[Confirmed_Qty],T_Shipments[RM_Code],$A69,T_Shipments[Effective_Week],71)</f>
        <v/>
      </c>
      <c r="BU69">
        <f>SUMIFS(T_Shipments[Confirmed_Qty],T_Shipments[RM_Code],$A69,T_Shipments[Effective_Week],72)</f>
        <v/>
      </c>
      <c r="BV69">
        <f>SUMIFS(T_Shipments[Confirmed_Qty],T_Shipments[RM_Code],$A69,T_Shipments[Effective_Week],73)</f>
        <v/>
      </c>
      <c r="BW69">
        <f>SUMIFS(T_Shipments[Confirmed_Qty],T_Shipments[RM_Code],$A69,T_Shipments[Effective_Week],74)</f>
        <v/>
      </c>
      <c r="BX69">
        <f>SUMIFS(T_Shipments[Confirmed_Qty],T_Shipments[RM_Code],$A69,T_Shipments[Effective_Week],75)</f>
        <v/>
      </c>
      <c r="BY69">
        <f>SUMIFS(T_Shipments[Confirmed_Qty],T_Shipments[RM_Code],$A69,T_Shipments[Effective_Week],76)</f>
        <v/>
      </c>
      <c r="BZ69">
        <f>SUMIFS(T_Shipments[Confirmed_Qty],T_Shipments[RM_Code],$A69,T_Shipments[Effective_Week],77)</f>
        <v/>
      </c>
      <c r="CA69">
        <f>SUMIFS(T_Shipments[Confirmed_Qty],T_Shipments[RM_Code],$A69,T_Shipments[Effective_Week],78)</f>
        <v/>
      </c>
      <c r="CB69">
        <f>SUMIFS(T_Shipments[Confirmed_Qty],T_Shipments[RM_Code],$A69,T_Shipments[Effective_Week],79)</f>
        <v/>
      </c>
      <c r="CC69">
        <f>SUMIFS(T_Shipments[Confirmed_Qty],T_Shipments[RM_Code],$A69,T_Shipments[Effective_Week],80)</f>
        <v/>
      </c>
      <c r="CD69">
        <f>SUMIFS(T_Shipments[Confirmed_Qty],T_Shipments[RM_Code],$A69,T_Shipments[Effective_Week],81)</f>
        <v/>
      </c>
      <c r="CE69">
        <f>SUMIFS(T_Shipments[Confirmed_Qty],T_Shipments[RM_Code],$A69,T_Shipments[Effective_Week],82)</f>
        <v/>
      </c>
      <c r="CF69">
        <f>SUMIFS(T_Shipments[Confirmed_Qty],T_Shipments[RM_Code],$A69,T_Shipments[Effective_Week],83)</f>
        <v/>
      </c>
      <c r="CG69">
        <f>SUMIFS(T_Shipments[Confirmed_Qty],T_Shipments[RM_Code],$A69,T_Shipments[Effective_Week],84)</f>
        <v/>
      </c>
      <c r="CH69">
        <f>SUMIFS(T_Shipments[Confirmed_Qty],T_Shipments[RM_Code],$A69,T_Shipments[Effective_Week],85)</f>
        <v/>
      </c>
      <c r="CI69">
        <f>SUMIFS(T_Shipments[Confirmed_Qty],T_Shipments[RM_Code],$A69,T_Shipments[Effective_Week],86)</f>
        <v/>
      </c>
      <c r="CJ69">
        <f>SUMIFS(T_Shipments[Confirmed_Qty],T_Shipments[RM_Code],$A69,T_Shipments[Effective_Week],87)</f>
        <v/>
      </c>
      <c r="CK69">
        <f>SUMIFS(T_Shipments[Confirmed_Qty],T_Shipments[RM_Code],$A69,T_Shipments[Effective_Week],88)</f>
        <v/>
      </c>
      <c r="CL69">
        <f>SUMIFS(T_Shipments[Confirmed_Qty],T_Shipments[RM_Code],$A69,T_Shipments[Effective_Week],89)</f>
        <v/>
      </c>
      <c r="CM69">
        <f>SUMIFS(T_Shipments[Confirmed_Qty],T_Shipments[RM_Code],$A69,T_Shipments[Effective_Week],90)</f>
        <v/>
      </c>
      <c r="CN69">
        <f>SUMIFS(T_Shipments[Confirmed_Qty],T_Shipments[RM_Code],$A69,T_Shipments[Effective_Week],91)</f>
        <v/>
      </c>
      <c r="CO69">
        <f>SUMIFS(T_Shipments[Confirmed_Qty],T_Shipments[RM_Code],$A69,T_Shipments[Effective_Week],92)</f>
        <v/>
      </c>
      <c r="CP69">
        <f>SUMIFS(T_Shipments[Confirmed_Qty],T_Shipments[RM_Code],$A69,T_Shipments[Effective_Week],93)</f>
        <v/>
      </c>
      <c r="CQ69">
        <f>SUMIFS(T_Shipments[Confirmed_Qty],T_Shipments[RM_Code],$A69,T_Shipments[Effective_Week],94)</f>
        <v/>
      </c>
      <c r="CR69">
        <f>SUMIFS(T_Shipments[Confirmed_Qty],T_Shipments[RM_Code],$A69,T_Shipments[Effective_Week],95)</f>
        <v/>
      </c>
      <c r="CS69">
        <f>SUMIFS(T_Shipments[Confirmed_Qty],T_Shipments[RM_Code],$A69,T_Shipments[Effective_Week],96)</f>
        <v/>
      </c>
      <c r="CT69">
        <f>SUMIFS(T_Shipments[Confirmed_Qty],T_Shipments[RM_Code],$A69,T_Shipments[Effective_Week],97)</f>
        <v/>
      </c>
      <c r="CU69">
        <f>SUMIFS(T_Shipments[Confirmed_Qty],T_Shipments[RM_Code],$A69,T_Shipments[Effective_Week],98)</f>
        <v/>
      </c>
      <c r="CV69">
        <f>SUMIFS(T_Shipments[Confirmed_Qty],T_Shipments[RM_Code],$A69,T_Shipments[Effective_Week],99)</f>
        <v/>
      </c>
      <c r="CW69">
        <f>SUMIFS(T_Shipments[Confirmed_Qty],T_Shipments[RM_Code],$A69,T_Shipments[Effective_Week],100)</f>
        <v/>
      </c>
      <c r="CX69">
        <f>SUMIFS(T_Shipments[Confirmed_Qty],T_Shipments[RM_Code],$A69,T_Shipments[Effective_Week],101)</f>
        <v/>
      </c>
      <c r="CY69">
        <f>SUMIFS(T_Shipments[Confirmed_Qty],T_Shipments[RM_Code],$A69,T_Shipments[Effective_Week],102)</f>
        <v/>
      </c>
      <c r="CZ69">
        <f>SUMIFS(T_Shipments[Confirmed_Qty],T_Shipments[RM_Code],$A69,T_Shipments[Effective_Week],103)</f>
        <v/>
      </c>
      <c r="DA69">
        <f>SUMIFS(T_Shipments[Confirmed_Qty],T_Shipments[RM_Code],$A69,T_Shipments[Effective_Week],104)</f>
        <v/>
      </c>
    </row>
    <row r="70">
      <c r="A70" t="inlineStr">
        <is>
          <t>CHEM-1750</t>
        </is>
      </c>
      <c r="B70">
        <f>SUMIFS(T_Shipments[Confirmed_Qty],T_Shipments[RM_Code],$A70,T_Shipments[Effective_Week],1)</f>
        <v/>
      </c>
      <c r="C70">
        <f>SUMIFS(T_Shipments[Confirmed_Qty],T_Shipments[RM_Code],$A70,T_Shipments[Effective_Week],2)</f>
        <v/>
      </c>
      <c r="D70">
        <f>SUMIFS(T_Shipments[Confirmed_Qty],T_Shipments[RM_Code],$A70,T_Shipments[Effective_Week],3)</f>
        <v/>
      </c>
      <c r="E70">
        <f>SUMIFS(T_Shipments[Confirmed_Qty],T_Shipments[RM_Code],$A70,T_Shipments[Effective_Week],4)</f>
        <v/>
      </c>
      <c r="F70">
        <f>SUMIFS(T_Shipments[Confirmed_Qty],T_Shipments[RM_Code],$A70,T_Shipments[Effective_Week],5)</f>
        <v/>
      </c>
      <c r="G70">
        <f>SUMIFS(T_Shipments[Confirmed_Qty],T_Shipments[RM_Code],$A70,T_Shipments[Effective_Week],6)</f>
        <v/>
      </c>
      <c r="H70">
        <f>SUMIFS(T_Shipments[Confirmed_Qty],T_Shipments[RM_Code],$A70,T_Shipments[Effective_Week],7)</f>
        <v/>
      </c>
      <c r="I70">
        <f>SUMIFS(T_Shipments[Confirmed_Qty],T_Shipments[RM_Code],$A70,T_Shipments[Effective_Week],8)</f>
        <v/>
      </c>
      <c r="J70">
        <f>SUMIFS(T_Shipments[Confirmed_Qty],T_Shipments[RM_Code],$A70,T_Shipments[Effective_Week],9)</f>
        <v/>
      </c>
      <c r="K70">
        <f>SUMIFS(T_Shipments[Confirmed_Qty],T_Shipments[RM_Code],$A70,T_Shipments[Effective_Week],10)</f>
        <v/>
      </c>
      <c r="L70">
        <f>SUMIFS(T_Shipments[Confirmed_Qty],T_Shipments[RM_Code],$A70,T_Shipments[Effective_Week],11)</f>
        <v/>
      </c>
      <c r="M70">
        <f>SUMIFS(T_Shipments[Confirmed_Qty],T_Shipments[RM_Code],$A70,T_Shipments[Effective_Week],12)</f>
        <v/>
      </c>
      <c r="N70">
        <f>SUMIFS(T_Shipments[Confirmed_Qty],T_Shipments[RM_Code],$A70,T_Shipments[Effective_Week],13)</f>
        <v/>
      </c>
      <c r="O70">
        <f>SUMIFS(T_Shipments[Confirmed_Qty],T_Shipments[RM_Code],$A70,T_Shipments[Effective_Week],14)</f>
        <v/>
      </c>
      <c r="P70">
        <f>SUMIFS(T_Shipments[Confirmed_Qty],T_Shipments[RM_Code],$A70,T_Shipments[Effective_Week],15)</f>
        <v/>
      </c>
      <c r="Q70">
        <f>SUMIFS(T_Shipments[Confirmed_Qty],T_Shipments[RM_Code],$A70,T_Shipments[Effective_Week],16)</f>
        <v/>
      </c>
      <c r="R70">
        <f>SUMIFS(T_Shipments[Confirmed_Qty],T_Shipments[RM_Code],$A70,T_Shipments[Effective_Week],17)</f>
        <v/>
      </c>
      <c r="S70">
        <f>SUMIFS(T_Shipments[Confirmed_Qty],T_Shipments[RM_Code],$A70,T_Shipments[Effective_Week],18)</f>
        <v/>
      </c>
      <c r="T70">
        <f>SUMIFS(T_Shipments[Confirmed_Qty],T_Shipments[RM_Code],$A70,T_Shipments[Effective_Week],19)</f>
        <v/>
      </c>
      <c r="U70">
        <f>SUMIFS(T_Shipments[Confirmed_Qty],T_Shipments[RM_Code],$A70,T_Shipments[Effective_Week],20)</f>
        <v/>
      </c>
      <c r="V70">
        <f>SUMIFS(T_Shipments[Confirmed_Qty],T_Shipments[RM_Code],$A70,T_Shipments[Effective_Week],21)</f>
        <v/>
      </c>
      <c r="W70">
        <f>SUMIFS(T_Shipments[Confirmed_Qty],T_Shipments[RM_Code],$A70,T_Shipments[Effective_Week],22)</f>
        <v/>
      </c>
      <c r="X70">
        <f>SUMIFS(T_Shipments[Confirmed_Qty],T_Shipments[RM_Code],$A70,T_Shipments[Effective_Week],23)</f>
        <v/>
      </c>
      <c r="Y70">
        <f>SUMIFS(T_Shipments[Confirmed_Qty],T_Shipments[RM_Code],$A70,T_Shipments[Effective_Week],24)</f>
        <v/>
      </c>
      <c r="Z70">
        <f>SUMIFS(T_Shipments[Confirmed_Qty],T_Shipments[RM_Code],$A70,T_Shipments[Effective_Week],25)</f>
        <v/>
      </c>
      <c r="AA70">
        <f>SUMIFS(T_Shipments[Confirmed_Qty],T_Shipments[RM_Code],$A70,T_Shipments[Effective_Week],26)</f>
        <v/>
      </c>
      <c r="AB70">
        <f>SUMIFS(T_Shipments[Confirmed_Qty],T_Shipments[RM_Code],$A70,T_Shipments[Effective_Week],27)</f>
        <v/>
      </c>
      <c r="AC70">
        <f>SUMIFS(T_Shipments[Confirmed_Qty],T_Shipments[RM_Code],$A70,T_Shipments[Effective_Week],28)</f>
        <v/>
      </c>
      <c r="AD70">
        <f>SUMIFS(T_Shipments[Confirmed_Qty],T_Shipments[RM_Code],$A70,T_Shipments[Effective_Week],29)</f>
        <v/>
      </c>
      <c r="AE70">
        <f>SUMIFS(T_Shipments[Confirmed_Qty],T_Shipments[RM_Code],$A70,T_Shipments[Effective_Week],30)</f>
        <v/>
      </c>
      <c r="AF70">
        <f>SUMIFS(T_Shipments[Confirmed_Qty],T_Shipments[RM_Code],$A70,T_Shipments[Effective_Week],31)</f>
        <v/>
      </c>
      <c r="AG70">
        <f>SUMIFS(T_Shipments[Confirmed_Qty],T_Shipments[RM_Code],$A70,T_Shipments[Effective_Week],32)</f>
        <v/>
      </c>
      <c r="AH70">
        <f>SUMIFS(T_Shipments[Confirmed_Qty],T_Shipments[RM_Code],$A70,T_Shipments[Effective_Week],33)</f>
        <v/>
      </c>
      <c r="AI70">
        <f>SUMIFS(T_Shipments[Confirmed_Qty],T_Shipments[RM_Code],$A70,T_Shipments[Effective_Week],34)</f>
        <v/>
      </c>
      <c r="AJ70">
        <f>SUMIFS(T_Shipments[Confirmed_Qty],T_Shipments[RM_Code],$A70,T_Shipments[Effective_Week],35)</f>
        <v/>
      </c>
      <c r="AK70">
        <f>SUMIFS(T_Shipments[Confirmed_Qty],T_Shipments[RM_Code],$A70,T_Shipments[Effective_Week],36)</f>
        <v/>
      </c>
      <c r="AL70">
        <f>SUMIFS(T_Shipments[Confirmed_Qty],T_Shipments[RM_Code],$A70,T_Shipments[Effective_Week],37)</f>
        <v/>
      </c>
      <c r="AM70">
        <f>SUMIFS(T_Shipments[Confirmed_Qty],T_Shipments[RM_Code],$A70,T_Shipments[Effective_Week],38)</f>
        <v/>
      </c>
      <c r="AN70">
        <f>SUMIFS(T_Shipments[Confirmed_Qty],T_Shipments[RM_Code],$A70,T_Shipments[Effective_Week],39)</f>
        <v/>
      </c>
      <c r="AO70">
        <f>SUMIFS(T_Shipments[Confirmed_Qty],T_Shipments[RM_Code],$A70,T_Shipments[Effective_Week],40)</f>
        <v/>
      </c>
      <c r="AP70">
        <f>SUMIFS(T_Shipments[Confirmed_Qty],T_Shipments[RM_Code],$A70,T_Shipments[Effective_Week],41)</f>
        <v/>
      </c>
      <c r="AQ70">
        <f>SUMIFS(T_Shipments[Confirmed_Qty],T_Shipments[RM_Code],$A70,T_Shipments[Effective_Week],42)</f>
        <v/>
      </c>
      <c r="AR70">
        <f>SUMIFS(T_Shipments[Confirmed_Qty],T_Shipments[RM_Code],$A70,T_Shipments[Effective_Week],43)</f>
        <v/>
      </c>
      <c r="AS70">
        <f>SUMIFS(T_Shipments[Confirmed_Qty],T_Shipments[RM_Code],$A70,T_Shipments[Effective_Week],44)</f>
        <v/>
      </c>
      <c r="AT70">
        <f>SUMIFS(T_Shipments[Confirmed_Qty],T_Shipments[RM_Code],$A70,T_Shipments[Effective_Week],45)</f>
        <v/>
      </c>
      <c r="AU70">
        <f>SUMIFS(T_Shipments[Confirmed_Qty],T_Shipments[RM_Code],$A70,T_Shipments[Effective_Week],46)</f>
        <v/>
      </c>
      <c r="AV70">
        <f>SUMIFS(T_Shipments[Confirmed_Qty],T_Shipments[RM_Code],$A70,T_Shipments[Effective_Week],47)</f>
        <v/>
      </c>
      <c r="AW70">
        <f>SUMIFS(T_Shipments[Confirmed_Qty],T_Shipments[RM_Code],$A70,T_Shipments[Effective_Week],48)</f>
        <v/>
      </c>
      <c r="AX70">
        <f>SUMIFS(T_Shipments[Confirmed_Qty],T_Shipments[RM_Code],$A70,T_Shipments[Effective_Week],49)</f>
        <v/>
      </c>
      <c r="AY70">
        <f>SUMIFS(T_Shipments[Confirmed_Qty],T_Shipments[RM_Code],$A70,T_Shipments[Effective_Week],50)</f>
        <v/>
      </c>
      <c r="AZ70">
        <f>SUMIFS(T_Shipments[Confirmed_Qty],T_Shipments[RM_Code],$A70,T_Shipments[Effective_Week],51)</f>
        <v/>
      </c>
      <c r="BA70">
        <f>SUMIFS(T_Shipments[Confirmed_Qty],T_Shipments[RM_Code],$A70,T_Shipments[Effective_Week],52)</f>
        <v/>
      </c>
      <c r="BB70">
        <f>SUMIFS(T_Shipments[Confirmed_Qty],T_Shipments[RM_Code],$A70,T_Shipments[Effective_Week],53)</f>
        <v/>
      </c>
      <c r="BC70">
        <f>SUMIFS(T_Shipments[Confirmed_Qty],T_Shipments[RM_Code],$A70,T_Shipments[Effective_Week],54)</f>
        <v/>
      </c>
      <c r="BD70">
        <f>SUMIFS(T_Shipments[Confirmed_Qty],T_Shipments[RM_Code],$A70,T_Shipments[Effective_Week],55)</f>
        <v/>
      </c>
      <c r="BE70">
        <f>SUMIFS(T_Shipments[Confirmed_Qty],T_Shipments[RM_Code],$A70,T_Shipments[Effective_Week],56)</f>
        <v/>
      </c>
      <c r="BF70">
        <f>SUMIFS(T_Shipments[Confirmed_Qty],T_Shipments[RM_Code],$A70,T_Shipments[Effective_Week],57)</f>
        <v/>
      </c>
      <c r="BG70">
        <f>SUMIFS(T_Shipments[Confirmed_Qty],T_Shipments[RM_Code],$A70,T_Shipments[Effective_Week],58)</f>
        <v/>
      </c>
      <c r="BH70">
        <f>SUMIFS(T_Shipments[Confirmed_Qty],T_Shipments[RM_Code],$A70,T_Shipments[Effective_Week],59)</f>
        <v/>
      </c>
      <c r="BI70">
        <f>SUMIFS(T_Shipments[Confirmed_Qty],T_Shipments[RM_Code],$A70,T_Shipments[Effective_Week],60)</f>
        <v/>
      </c>
      <c r="BJ70">
        <f>SUMIFS(T_Shipments[Confirmed_Qty],T_Shipments[RM_Code],$A70,T_Shipments[Effective_Week],61)</f>
        <v/>
      </c>
      <c r="BK70">
        <f>SUMIFS(T_Shipments[Confirmed_Qty],T_Shipments[RM_Code],$A70,T_Shipments[Effective_Week],62)</f>
        <v/>
      </c>
      <c r="BL70">
        <f>SUMIFS(T_Shipments[Confirmed_Qty],T_Shipments[RM_Code],$A70,T_Shipments[Effective_Week],63)</f>
        <v/>
      </c>
      <c r="BM70">
        <f>SUMIFS(T_Shipments[Confirmed_Qty],T_Shipments[RM_Code],$A70,T_Shipments[Effective_Week],64)</f>
        <v/>
      </c>
      <c r="BN70">
        <f>SUMIFS(T_Shipments[Confirmed_Qty],T_Shipments[RM_Code],$A70,T_Shipments[Effective_Week],65)</f>
        <v/>
      </c>
      <c r="BO70">
        <f>SUMIFS(T_Shipments[Confirmed_Qty],T_Shipments[RM_Code],$A70,T_Shipments[Effective_Week],66)</f>
        <v/>
      </c>
      <c r="BP70">
        <f>SUMIFS(T_Shipments[Confirmed_Qty],T_Shipments[RM_Code],$A70,T_Shipments[Effective_Week],67)</f>
        <v/>
      </c>
      <c r="BQ70">
        <f>SUMIFS(T_Shipments[Confirmed_Qty],T_Shipments[RM_Code],$A70,T_Shipments[Effective_Week],68)</f>
        <v/>
      </c>
      <c r="BR70">
        <f>SUMIFS(T_Shipments[Confirmed_Qty],T_Shipments[RM_Code],$A70,T_Shipments[Effective_Week],69)</f>
        <v/>
      </c>
      <c r="BS70">
        <f>SUMIFS(T_Shipments[Confirmed_Qty],T_Shipments[RM_Code],$A70,T_Shipments[Effective_Week],70)</f>
        <v/>
      </c>
      <c r="BT70">
        <f>SUMIFS(T_Shipments[Confirmed_Qty],T_Shipments[RM_Code],$A70,T_Shipments[Effective_Week],71)</f>
        <v/>
      </c>
      <c r="BU70">
        <f>SUMIFS(T_Shipments[Confirmed_Qty],T_Shipments[RM_Code],$A70,T_Shipments[Effective_Week],72)</f>
        <v/>
      </c>
      <c r="BV70">
        <f>SUMIFS(T_Shipments[Confirmed_Qty],T_Shipments[RM_Code],$A70,T_Shipments[Effective_Week],73)</f>
        <v/>
      </c>
      <c r="BW70">
        <f>SUMIFS(T_Shipments[Confirmed_Qty],T_Shipments[RM_Code],$A70,T_Shipments[Effective_Week],74)</f>
        <v/>
      </c>
      <c r="BX70">
        <f>SUMIFS(T_Shipments[Confirmed_Qty],T_Shipments[RM_Code],$A70,T_Shipments[Effective_Week],75)</f>
        <v/>
      </c>
      <c r="BY70">
        <f>SUMIFS(T_Shipments[Confirmed_Qty],T_Shipments[RM_Code],$A70,T_Shipments[Effective_Week],76)</f>
        <v/>
      </c>
      <c r="BZ70">
        <f>SUMIFS(T_Shipments[Confirmed_Qty],T_Shipments[RM_Code],$A70,T_Shipments[Effective_Week],77)</f>
        <v/>
      </c>
      <c r="CA70">
        <f>SUMIFS(T_Shipments[Confirmed_Qty],T_Shipments[RM_Code],$A70,T_Shipments[Effective_Week],78)</f>
        <v/>
      </c>
      <c r="CB70">
        <f>SUMIFS(T_Shipments[Confirmed_Qty],T_Shipments[RM_Code],$A70,T_Shipments[Effective_Week],79)</f>
        <v/>
      </c>
      <c r="CC70">
        <f>SUMIFS(T_Shipments[Confirmed_Qty],T_Shipments[RM_Code],$A70,T_Shipments[Effective_Week],80)</f>
        <v/>
      </c>
      <c r="CD70">
        <f>SUMIFS(T_Shipments[Confirmed_Qty],T_Shipments[RM_Code],$A70,T_Shipments[Effective_Week],81)</f>
        <v/>
      </c>
      <c r="CE70">
        <f>SUMIFS(T_Shipments[Confirmed_Qty],T_Shipments[RM_Code],$A70,T_Shipments[Effective_Week],82)</f>
        <v/>
      </c>
      <c r="CF70">
        <f>SUMIFS(T_Shipments[Confirmed_Qty],T_Shipments[RM_Code],$A70,T_Shipments[Effective_Week],83)</f>
        <v/>
      </c>
      <c r="CG70">
        <f>SUMIFS(T_Shipments[Confirmed_Qty],T_Shipments[RM_Code],$A70,T_Shipments[Effective_Week],84)</f>
        <v/>
      </c>
      <c r="CH70">
        <f>SUMIFS(T_Shipments[Confirmed_Qty],T_Shipments[RM_Code],$A70,T_Shipments[Effective_Week],85)</f>
        <v/>
      </c>
      <c r="CI70">
        <f>SUMIFS(T_Shipments[Confirmed_Qty],T_Shipments[RM_Code],$A70,T_Shipments[Effective_Week],86)</f>
        <v/>
      </c>
      <c r="CJ70">
        <f>SUMIFS(T_Shipments[Confirmed_Qty],T_Shipments[RM_Code],$A70,T_Shipments[Effective_Week],87)</f>
        <v/>
      </c>
      <c r="CK70">
        <f>SUMIFS(T_Shipments[Confirmed_Qty],T_Shipments[RM_Code],$A70,T_Shipments[Effective_Week],88)</f>
        <v/>
      </c>
      <c r="CL70">
        <f>SUMIFS(T_Shipments[Confirmed_Qty],T_Shipments[RM_Code],$A70,T_Shipments[Effective_Week],89)</f>
        <v/>
      </c>
      <c r="CM70">
        <f>SUMIFS(T_Shipments[Confirmed_Qty],T_Shipments[RM_Code],$A70,T_Shipments[Effective_Week],90)</f>
        <v/>
      </c>
      <c r="CN70">
        <f>SUMIFS(T_Shipments[Confirmed_Qty],T_Shipments[RM_Code],$A70,T_Shipments[Effective_Week],91)</f>
        <v/>
      </c>
      <c r="CO70">
        <f>SUMIFS(T_Shipments[Confirmed_Qty],T_Shipments[RM_Code],$A70,T_Shipments[Effective_Week],92)</f>
        <v/>
      </c>
      <c r="CP70">
        <f>SUMIFS(T_Shipments[Confirmed_Qty],T_Shipments[RM_Code],$A70,T_Shipments[Effective_Week],93)</f>
        <v/>
      </c>
      <c r="CQ70">
        <f>SUMIFS(T_Shipments[Confirmed_Qty],T_Shipments[RM_Code],$A70,T_Shipments[Effective_Week],94)</f>
        <v/>
      </c>
      <c r="CR70">
        <f>SUMIFS(T_Shipments[Confirmed_Qty],T_Shipments[RM_Code],$A70,T_Shipments[Effective_Week],95)</f>
        <v/>
      </c>
      <c r="CS70">
        <f>SUMIFS(T_Shipments[Confirmed_Qty],T_Shipments[RM_Code],$A70,T_Shipments[Effective_Week],96)</f>
        <v/>
      </c>
      <c r="CT70">
        <f>SUMIFS(T_Shipments[Confirmed_Qty],T_Shipments[RM_Code],$A70,T_Shipments[Effective_Week],97)</f>
        <v/>
      </c>
      <c r="CU70">
        <f>SUMIFS(T_Shipments[Confirmed_Qty],T_Shipments[RM_Code],$A70,T_Shipments[Effective_Week],98)</f>
        <v/>
      </c>
      <c r="CV70">
        <f>SUMIFS(T_Shipments[Confirmed_Qty],T_Shipments[RM_Code],$A70,T_Shipments[Effective_Week],99)</f>
        <v/>
      </c>
      <c r="CW70">
        <f>SUMIFS(T_Shipments[Confirmed_Qty],T_Shipments[RM_Code],$A70,T_Shipments[Effective_Week],100)</f>
        <v/>
      </c>
      <c r="CX70">
        <f>SUMIFS(T_Shipments[Confirmed_Qty],T_Shipments[RM_Code],$A70,T_Shipments[Effective_Week],101)</f>
        <v/>
      </c>
      <c r="CY70">
        <f>SUMIFS(T_Shipments[Confirmed_Qty],T_Shipments[RM_Code],$A70,T_Shipments[Effective_Week],102)</f>
        <v/>
      </c>
      <c r="CZ70">
        <f>SUMIFS(T_Shipments[Confirmed_Qty],T_Shipments[RM_Code],$A70,T_Shipments[Effective_Week],103)</f>
        <v/>
      </c>
      <c r="DA70">
        <f>SUMIFS(T_Shipments[Confirmed_Qty],T_Shipments[RM_Code],$A70,T_Shipments[Effective_Week],104)</f>
        <v/>
      </c>
    </row>
    <row r="71">
      <c r="A71" t="inlineStr">
        <is>
          <t>848530</t>
        </is>
      </c>
      <c r="B71">
        <f>SUMIFS(T_Shipments[Confirmed_Qty],T_Shipments[RM_Code],$A71,T_Shipments[Effective_Week],1)</f>
        <v/>
      </c>
      <c r="C71">
        <f>SUMIFS(T_Shipments[Confirmed_Qty],T_Shipments[RM_Code],$A71,T_Shipments[Effective_Week],2)</f>
        <v/>
      </c>
      <c r="D71">
        <f>SUMIFS(T_Shipments[Confirmed_Qty],T_Shipments[RM_Code],$A71,T_Shipments[Effective_Week],3)</f>
        <v/>
      </c>
      <c r="E71">
        <f>SUMIFS(T_Shipments[Confirmed_Qty],T_Shipments[RM_Code],$A71,T_Shipments[Effective_Week],4)</f>
        <v/>
      </c>
      <c r="F71">
        <f>SUMIFS(T_Shipments[Confirmed_Qty],T_Shipments[RM_Code],$A71,T_Shipments[Effective_Week],5)</f>
        <v/>
      </c>
      <c r="G71">
        <f>SUMIFS(T_Shipments[Confirmed_Qty],T_Shipments[RM_Code],$A71,T_Shipments[Effective_Week],6)</f>
        <v/>
      </c>
      <c r="H71">
        <f>SUMIFS(T_Shipments[Confirmed_Qty],T_Shipments[RM_Code],$A71,T_Shipments[Effective_Week],7)</f>
        <v/>
      </c>
      <c r="I71">
        <f>SUMIFS(T_Shipments[Confirmed_Qty],T_Shipments[RM_Code],$A71,T_Shipments[Effective_Week],8)</f>
        <v/>
      </c>
      <c r="J71">
        <f>SUMIFS(T_Shipments[Confirmed_Qty],T_Shipments[RM_Code],$A71,T_Shipments[Effective_Week],9)</f>
        <v/>
      </c>
      <c r="K71">
        <f>SUMIFS(T_Shipments[Confirmed_Qty],T_Shipments[RM_Code],$A71,T_Shipments[Effective_Week],10)</f>
        <v/>
      </c>
      <c r="L71">
        <f>SUMIFS(T_Shipments[Confirmed_Qty],T_Shipments[RM_Code],$A71,T_Shipments[Effective_Week],11)</f>
        <v/>
      </c>
      <c r="M71">
        <f>SUMIFS(T_Shipments[Confirmed_Qty],T_Shipments[RM_Code],$A71,T_Shipments[Effective_Week],12)</f>
        <v/>
      </c>
      <c r="N71">
        <f>SUMIFS(T_Shipments[Confirmed_Qty],T_Shipments[RM_Code],$A71,T_Shipments[Effective_Week],13)</f>
        <v/>
      </c>
      <c r="O71">
        <f>SUMIFS(T_Shipments[Confirmed_Qty],T_Shipments[RM_Code],$A71,T_Shipments[Effective_Week],14)</f>
        <v/>
      </c>
      <c r="P71">
        <f>SUMIFS(T_Shipments[Confirmed_Qty],T_Shipments[RM_Code],$A71,T_Shipments[Effective_Week],15)</f>
        <v/>
      </c>
      <c r="Q71">
        <f>SUMIFS(T_Shipments[Confirmed_Qty],T_Shipments[RM_Code],$A71,T_Shipments[Effective_Week],16)</f>
        <v/>
      </c>
      <c r="R71">
        <f>SUMIFS(T_Shipments[Confirmed_Qty],T_Shipments[RM_Code],$A71,T_Shipments[Effective_Week],17)</f>
        <v/>
      </c>
      <c r="S71">
        <f>SUMIFS(T_Shipments[Confirmed_Qty],T_Shipments[RM_Code],$A71,T_Shipments[Effective_Week],18)</f>
        <v/>
      </c>
      <c r="T71">
        <f>SUMIFS(T_Shipments[Confirmed_Qty],T_Shipments[RM_Code],$A71,T_Shipments[Effective_Week],19)</f>
        <v/>
      </c>
      <c r="U71">
        <f>SUMIFS(T_Shipments[Confirmed_Qty],T_Shipments[RM_Code],$A71,T_Shipments[Effective_Week],20)</f>
        <v/>
      </c>
      <c r="V71">
        <f>SUMIFS(T_Shipments[Confirmed_Qty],T_Shipments[RM_Code],$A71,T_Shipments[Effective_Week],21)</f>
        <v/>
      </c>
      <c r="W71">
        <f>SUMIFS(T_Shipments[Confirmed_Qty],T_Shipments[RM_Code],$A71,T_Shipments[Effective_Week],22)</f>
        <v/>
      </c>
      <c r="X71">
        <f>SUMIFS(T_Shipments[Confirmed_Qty],T_Shipments[RM_Code],$A71,T_Shipments[Effective_Week],23)</f>
        <v/>
      </c>
      <c r="Y71">
        <f>SUMIFS(T_Shipments[Confirmed_Qty],T_Shipments[RM_Code],$A71,T_Shipments[Effective_Week],24)</f>
        <v/>
      </c>
      <c r="Z71">
        <f>SUMIFS(T_Shipments[Confirmed_Qty],T_Shipments[RM_Code],$A71,T_Shipments[Effective_Week],25)</f>
        <v/>
      </c>
      <c r="AA71">
        <f>SUMIFS(T_Shipments[Confirmed_Qty],T_Shipments[RM_Code],$A71,T_Shipments[Effective_Week],26)</f>
        <v/>
      </c>
      <c r="AB71">
        <f>SUMIFS(T_Shipments[Confirmed_Qty],T_Shipments[RM_Code],$A71,T_Shipments[Effective_Week],27)</f>
        <v/>
      </c>
      <c r="AC71">
        <f>SUMIFS(T_Shipments[Confirmed_Qty],T_Shipments[RM_Code],$A71,T_Shipments[Effective_Week],28)</f>
        <v/>
      </c>
      <c r="AD71">
        <f>SUMIFS(T_Shipments[Confirmed_Qty],T_Shipments[RM_Code],$A71,T_Shipments[Effective_Week],29)</f>
        <v/>
      </c>
      <c r="AE71">
        <f>SUMIFS(T_Shipments[Confirmed_Qty],T_Shipments[RM_Code],$A71,T_Shipments[Effective_Week],30)</f>
        <v/>
      </c>
      <c r="AF71">
        <f>SUMIFS(T_Shipments[Confirmed_Qty],T_Shipments[RM_Code],$A71,T_Shipments[Effective_Week],31)</f>
        <v/>
      </c>
      <c r="AG71">
        <f>SUMIFS(T_Shipments[Confirmed_Qty],T_Shipments[RM_Code],$A71,T_Shipments[Effective_Week],32)</f>
        <v/>
      </c>
      <c r="AH71">
        <f>SUMIFS(T_Shipments[Confirmed_Qty],T_Shipments[RM_Code],$A71,T_Shipments[Effective_Week],33)</f>
        <v/>
      </c>
      <c r="AI71">
        <f>SUMIFS(T_Shipments[Confirmed_Qty],T_Shipments[RM_Code],$A71,T_Shipments[Effective_Week],34)</f>
        <v/>
      </c>
      <c r="AJ71">
        <f>SUMIFS(T_Shipments[Confirmed_Qty],T_Shipments[RM_Code],$A71,T_Shipments[Effective_Week],35)</f>
        <v/>
      </c>
      <c r="AK71">
        <f>SUMIFS(T_Shipments[Confirmed_Qty],T_Shipments[RM_Code],$A71,T_Shipments[Effective_Week],36)</f>
        <v/>
      </c>
      <c r="AL71">
        <f>SUMIFS(T_Shipments[Confirmed_Qty],T_Shipments[RM_Code],$A71,T_Shipments[Effective_Week],37)</f>
        <v/>
      </c>
      <c r="AM71">
        <f>SUMIFS(T_Shipments[Confirmed_Qty],T_Shipments[RM_Code],$A71,T_Shipments[Effective_Week],38)</f>
        <v/>
      </c>
      <c r="AN71">
        <f>SUMIFS(T_Shipments[Confirmed_Qty],T_Shipments[RM_Code],$A71,T_Shipments[Effective_Week],39)</f>
        <v/>
      </c>
      <c r="AO71">
        <f>SUMIFS(T_Shipments[Confirmed_Qty],T_Shipments[RM_Code],$A71,T_Shipments[Effective_Week],40)</f>
        <v/>
      </c>
      <c r="AP71">
        <f>SUMIFS(T_Shipments[Confirmed_Qty],T_Shipments[RM_Code],$A71,T_Shipments[Effective_Week],41)</f>
        <v/>
      </c>
      <c r="AQ71">
        <f>SUMIFS(T_Shipments[Confirmed_Qty],T_Shipments[RM_Code],$A71,T_Shipments[Effective_Week],42)</f>
        <v/>
      </c>
      <c r="AR71">
        <f>SUMIFS(T_Shipments[Confirmed_Qty],T_Shipments[RM_Code],$A71,T_Shipments[Effective_Week],43)</f>
        <v/>
      </c>
      <c r="AS71">
        <f>SUMIFS(T_Shipments[Confirmed_Qty],T_Shipments[RM_Code],$A71,T_Shipments[Effective_Week],44)</f>
        <v/>
      </c>
      <c r="AT71">
        <f>SUMIFS(T_Shipments[Confirmed_Qty],T_Shipments[RM_Code],$A71,T_Shipments[Effective_Week],45)</f>
        <v/>
      </c>
      <c r="AU71">
        <f>SUMIFS(T_Shipments[Confirmed_Qty],T_Shipments[RM_Code],$A71,T_Shipments[Effective_Week],46)</f>
        <v/>
      </c>
      <c r="AV71">
        <f>SUMIFS(T_Shipments[Confirmed_Qty],T_Shipments[RM_Code],$A71,T_Shipments[Effective_Week],47)</f>
        <v/>
      </c>
      <c r="AW71">
        <f>SUMIFS(T_Shipments[Confirmed_Qty],T_Shipments[RM_Code],$A71,T_Shipments[Effective_Week],48)</f>
        <v/>
      </c>
      <c r="AX71">
        <f>SUMIFS(T_Shipments[Confirmed_Qty],T_Shipments[RM_Code],$A71,T_Shipments[Effective_Week],49)</f>
        <v/>
      </c>
      <c r="AY71">
        <f>SUMIFS(T_Shipments[Confirmed_Qty],T_Shipments[RM_Code],$A71,T_Shipments[Effective_Week],50)</f>
        <v/>
      </c>
      <c r="AZ71">
        <f>SUMIFS(T_Shipments[Confirmed_Qty],T_Shipments[RM_Code],$A71,T_Shipments[Effective_Week],51)</f>
        <v/>
      </c>
      <c r="BA71">
        <f>SUMIFS(T_Shipments[Confirmed_Qty],T_Shipments[RM_Code],$A71,T_Shipments[Effective_Week],52)</f>
        <v/>
      </c>
      <c r="BB71">
        <f>SUMIFS(T_Shipments[Confirmed_Qty],T_Shipments[RM_Code],$A71,T_Shipments[Effective_Week],53)</f>
        <v/>
      </c>
      <c r="BC71">
        <f>SUMIFS(T_Shipments[Confirmed_Qty],T_Shipments[RM_Code],$A71,T_Shipments[Effective_Week],54)</f>
        <v/>
      </c>
      <c r="BD71">
        <f>SUMIFS(T_Shipments[Confirmed_Qty],T_Shipments[RM_Code],$A71,T_Shipments[Effective_Week],55)</f>
        <v/>
      </c>
      <c r="BE71">
        <f>SUMIFS(T_Shipments[Confirmed_Qty],T_Shipments[RM_Code],$A71,T_Shipments[Effective_Week],56)</f>
        <v/>
      </c>
      <c r="BF71">
        <f>SUMIFS(T_Shipments[Confirmed_Qty],T_Shipments[RM_Code],$A71,T_Shipments[Effective_Week],57)</f>
        <v/>
      </c>
      <c r="BG71">
        <f>SUMIFS(T_Shipments[Confirmed_Qty],T_Shipments[RM_Code],$A71,T_Shipments[Effective_Week],58)</f>
        <v/>
      </c>
      <c r="BH71">
        <f>SUMIFS(T_Shipments[Confirmed_Qty],T_Shipments[RM_Code],$A71,T_Shipments[Effective_Week],59)</f>
        <v/>
      </c>
      <c r="BI71">
        <f>SUMIFS(T_Shipments[Confirmed_Qty],T_Shipments[RM_Code],$A71,T_Shipments[Effective_Week],60)</f>
        <v/>
      </c>
      <c r="BJ71">
        <f>SUMIFS(T_Shipments[Confirmed_Qty],T_Shipments[RM_Code],$A71,T_Shipments[Effective_Week],61)</f>
        <v/>
      </c>
      <c r="BK71">
        <f>SUMIFS(T_Shipments[Confirmed_Qty],T_Shipments[RM_Code],$A71,T_Shipments[Effective_Week],62)</f>
        <v/>
      </c>
      <c r="BL71">
        <f>SUMIFS(T_Shipments[Confirmed_Qty],T_Shipments[RM_Code],$A71,T_Shipments[Effective_Week],63)</f>
        <v/>
      </c>
      <c r="BM71">
        <f>SUMIFS(T_Shipments[Confirmed_Qty],T_Shipments[RM_Code],$A71,T_Shipments[Effective_Week],64)</f>
        <v/>
      </c>
      <c r="BN71">
        <f>SUMIFS(T_Shipments[Confirmed_Qty],T_Shipments[RM_Code],$A71,T_Shipments[Effective_Week],65)</f>
        <v/>
      </c>
      <c r="BO71">
        <f>SUMIFS(T_Shipments[Confirmed_Qty],T_Shipments[RM_Code],$A71,T_Shipments[Effective_Week],66)</f>
        <v/>
      </c>
      <c r="BP71">
        <f>SUMIFS(T_Shipments[Confirmed_Qty],T_Shipments[RM_Code],$A71,T_Shipments[Effective_Week],67)</f>
        <v/>
      </c>
      <c r="BQ71">
        <f>SUMIFS(T_Shipments[Confirmed_Qty],T_Shipments[RM_Code],$A71,T_Shipments[Effective_Week],68)</f>
        <v/>
      </c>
      <c r="BR71">
        <f>SUMIFS(T_Shipments[Confirmed_Qty],T_Shipments[RM_Code],$A71,T_Shipments[Effective_Week],69)</f>
        <v/>
      </c>
      <c r="BS71">
        <f>SUMIFS(T_Shipments[Confirmed_Qty],T_Shipments[RM_Code],$A71,T_Shipments[Effective_Week],70)</f>
        <v/>
      </c>
      <c r="BT71">
        <f>SUMIFS(T_Shipments[Confirmed_Qty],T_Shipments[RM_Code],$A71,T_Shipments[Effective_Week],71)</f>
        <v/>
      </c>
      <c r="BU71">
        <f>SUMIFS(T_Shipments[Confirmed_Qty],T_Shipments[RM_Code],$A71,T_Shipments[Effective_Week],72)</f>
        <v/>
      </c>
      <c r="BV71">
        <f>SUMIFS(T_Shipments[Confirmed_Qty],T_Shipments[RM_Code],$A71,T_Shipments[Effective_Week],73)</f>
        <v/>
      </c>
      <c r="BW71">
        <f>SUMIFS(T_Shipments[Confirmed_Qty],T_Shipments[RM_Code],$A71,T_Shipments[Effective_Week],74)</f>
        <v/>
      </c>
      <c r="BX71">
        <f>SUMIFS(T_Shipments[Confirmed_Qty],T_Shipments[RM_Code],$A71,T_Shipments[Effective_Week],75)</f>
        <v/>
      </c>
      <c r="BY71">
        <f>SUMIFS(T_Shipments[Confirmed_Qty],T_Shipments[RM_Code],$A71,T_Shipments[Effective_Week],76)</f>
        <v/>
      </c>
      <c r="BZ71">
        <f>SUMIFS(T_Shipments[Confirmed_Qty],T_Shipments[RM_Code],$A71,T_Shipments[Effective_Week],77)</f>
        <v/>
      </c>
      <c r="CA71">
        <f>SUMIFS(T_Shipments[Confirmed_Qty],T_Shipments[RM_Code],$A71,T_Shipments[Effective_Week],78)</f>
        <v/>
      </c>
      <c r="CB71">
        <f>SUMIFS(T_Shipments[Confirmed_Qty],T_Shipments[RM_Code],$A71,T_Shipments[Effective_Week],79)</f>
        <v/>
      </c>
      <c r="CC71">
        <f>SUMIFS(T_Shipments[Confirmed_Qty],T_Shipments[RM_Code],$A71,T_Shipments[Effective_Week],80)</f>
        <v/>
      </c>
      <c r="CD71">
        <f>SUMIFS(T_Shipments[Confirmed_Qty],T_Shipments[RM_Code],$A71,T_Shipments[Effective_Week],81)</f>
        <v/>
      </c>
      <c r="CE71">
        <f>SUMIFS(T_Shipments[Confirmed_Qty],T_Shipments[RM_Code],$A71,T_Shipments[Effective_Week],82)</f>
        <v/>
      </c>
      <c r="CF71">
        <f>SUMIFS(T_Shipments[Confirmed_Qty],T_Shipments[RM_Code],$A71,T_Shipments[Effective_Week],83)</f>
        <v/>
      </c>
      <c r="CG71">
        <f>SUMIFS(T_Shipments[Confirmed_Qty],T_Shipments[RM_Code],$A71,T_Shipments[Effective_Week],84)</f>
        <v/>
      </c>
      <c r="CH71">
        <f>SUMIFS(T_Shipments[Confirmed_Qty],T_Shipments[RM_Code],$A71,T_Shipments[Effective_Week],85)</f>
        <v/>
      </c>
      <c r="CI71">
        <f>SUMIFS(T_Shipments[Confirmed_Qty],T_Shipments[RM_Code],$A71,T_Shipments[Effective_Week],86)</f>
        <v/>
      </c>
      <c r="CJ71">
        <f>SUMIFS(T_Shipments[Confirmed_Qty],T_Shipments[RM_Code],$A71,T_Shipments[Effective_Week],87)</f>
        <v/>
      </c>
      <c r="CK71">
        <f>SUMIFS(T_Shipments[Confirmed_Qty],T_Shipments[RM_Code],$A71,T_Shipments[Effective_Week],88)</f>
        <v/>
      </c>
      <c r="CL71">
        <f>SUMIFS(T_Shipments[Confirmed_Qty],T_Shipments[RM_Code],$A71,T_Shipments[Effective_Week],89)</f>
        <v/>
      </c>
      <c r="CM71">
        <f>SUMIFS(T_Shipments[Confirmed_Qty],T_Shipments[RM_Code],$A71,T_Shipments[Effective_Week],90)</f>
        <v/>
      </c>
      <c r="CN71">
        <f>SUMIFS(T_Shipments[Confirmed_Qty],T_Shipments[RM_Code],$A71,T_Shipments[Effective_Week],91)</f>
        <v/>
      </c>
      <c r="CO71">
        <f>SUMIFS(T_Shipments[Confirmed_Qty],T_Shipments[RM_Code],$A71,T_Shipments[Effective_Week],92)</f>
        <v/>
      </c>
      <c r="CP71">
        <f>SUMIFS(T_Shipments[Confirmed_Qty],T_Shipments[RM_Code],$A71,T_Shipments[Effective_Week],93)</f>
        <v/>
      </c>
      <c r="CQ71">
        <f>SUMIFS(T_Shipments[Confirmed_Qty],T_Shipments[RM_Code],$A71,T_Shipments[Effective_Week],94)</f>
        <v/>
      </c>
      <c r="CR71">
        <f>SUMIFS(T_Shipments[Confirmed_Qty],T_Shipments[RM_Code],$A71,T_Shipments[Effective_Week],95)</f>
        <v/>
      </c>
      <c r="CS71">
        <f>SUMIFS(T_Shipments[Confirmed_Qty],T_Shipments[RM_Code],$A71,T_Shipments[Effective_Week],96)</f>
        <v/>
      </c>
      <c r="CT71">
        <f>SUMIFS(T_Shipments[Confirmed_Qty],T_Shipments[RM_Code],$A71,T_Shipments[Effective_Week],97)</f>
        <v/>
      </c>
      <c r="CU71">
        <f>SUMIFS(T_Shipments[Confirmed_Qty],T_Shipments[RM_Code],$A71,T_Shipments[Effective_Week],98)</f>
        <v/>
      </c>
      <c r="CV71">
        <f>SUMIFS(T_Shipments[Confirmed_Qty],T_Shipments[RM_Code],$A71,T_Shipments[Effective_Week],99)</f>
        <v/>
      </c>
      <c r="CW71">
        <f>SUMIFS(T_Shipments[Confirmed_Qty],T_Shipments[RM_Code],$A71,T_Shipments[Effective_Week],100)</f>
        <v/>
      </c>
      <c r="CX71">
        <f>SUMIFS(T_Shipments[Confirmed_Qty],T_Shipments[RM_Code],$A71,T_Shipments[Effective_Week],101)</f>
        <v/>
      </c>
      <c r="CY71">
        <f>SUMIFS(T_Shipments[Confirmed_Qty],T_Shipments[RM_Code],$A71,T_Shipments[Effective_Week],102)</f>
        <v/>
      </c>
      <c r="CZ71">
        <f>SUMIFS(T_Shipments[Confirmed_Qty],T_Shipments[RM_Code],$A71,T_Shipments[Effective_Week],103)</f>
        <v/>
      </c>
      <c r="DA71">
        <f>SUMIFS(T_Shipments[Confirmed_Qty],T_Shipments[RM_Code],$A71,T_Shipments[Effective_Week],104)</f>
        <v/>
      </c>
    </row>
    <row r="72">
      <c r="A72" t="inlineStr">
        <is>
          <t>848531</t>
        </is>
      </c>
      <c r="B72">
        <f>SUMIFS(T_Shipments[Confirmed_Qty],T_Shipments[RM_Code],$A72,T_Shipments[Effective_Week],1)</f>
        <v/>
      </c>
      <c r="C72">
        <f>SUMIFS(T_Shipments[Confirmed_Qty],T_Shipments[RM_Code],$A72,T_Shipments[Effective_Week],2)</f>
        <v/>
      </c>
      <c r="D72">
        <f>SUMIFS(T_Shipments[Confirmed_Qty],T_Shipments[RM_Code],$A72,T_Shipments[Effective_Week],3)</f>
        <v/>
      </c>
      <c r="E72">
        <f>SUMIFS(T_Shipments[Confirmed_Qty],T_Shipments[RM_Code],$A72,T_Shipments[Effective_Week],4)</f>
        <v/>
      </c>
      <c r="F72">
        <f>SUMIFS(T_Shipments[Confirmed_Qty],T_Shipments[RM_Code],$A72,T_Shipments[Effective_Week],5)</f>
        <v/>
      </c>
      <c r="G72">
        <f>SUMIFS(T_Shipments[Confirmed_Qty],T_Shipments[RM_Code],$A72,T_Shipments[Effective_Week],6)</f>
        <v/>
      </c>
      <c r="H72">
        <f>SUMIFS(T_Shipments[Confirmed_Qty],T_Shipments[RM_Code],$A72,T_Shipments[Effective_Week],7)</f>
        <v/>
      </c>
      <c r="I72">
        <f>SUMIFS(T_Shipments[Confirmed_Qty],T_Shipments[RM_Code],$A72,T_Shipments[Effective_Week],8)</f>
        <v/>
      </c>
      <c r="J72">
        <f>SUMIFS(T_Shipments[Confirmed_Qty],T_Shipments[RM_Code],$A72,T_Shipments[Effective_Week],9)</f>
        <v/>
      </c>
      <c r="K72">
        <f>SUMIFS(T_Shipments[Confirmed_Qty],T_Shipments[RM_Code],$A72,T_Shipments[Effective_Week],10)</f>
        <v/>
      </c>
      <c r="L72">
        <f>SUMIFS(T_Shipments[Confirmed_Qty],T_Shipments[RM_Code],$A72,T_Shipments[Effective_Week],11)</f>
        <v/>
      </c>
      <c r="M72">
        <f>SUMIFS(T_Shipments[Confirmed_Qty],T_Shipments[RM_Code],$A72,T_Shipments[Effective_Week],12)</f>
        <v/>
      </c>
      <c r="N72">
        <f>SUMIFS(T_Shipments[Confirmed_Qty],T_Shipments[RM_Code],$A72,T_Shipments[Effective_Week],13)</f>
        <v/>
      </c>
      <c r="O72">
        <f>SUMIFS(T_Shipments[Confirmed_Qty],T_Shipments[RM_Code],$A72,T_Shipments[Effective_Week],14)</f>
        <v/>
      </c>
      <c r="P72">
        <f>SUMIFS(T_Shipments[Confirmed_Qty],T_Shipments[RM_Code],$A72,T_Shipments[Effective_Week],15)</f>
        <v/>
      </c>
      <c r="Q72">
        <f>SUMIFS(T_Shipments[Confirmed_Qty],T_Shipments[RM_Code],$A72,T_Shipments[Effective_Week],16)</f>
        <v/>
      </c>
      <c r="R72">
        <f>SUMIFS(T_Shipments[Confirmed_Qty],T_Shipments[RM_Code],$A72,T_Shipments[Effective_Week],17)</f>
        <v/>
      </c>
      <c r="S72">
        <f>SUMIFS(T_Shipments[Confirmed_Qty],T_Shipments[RM_Code],$A72,T_Shipments[Effective_Week],18)</f>
        <v/>
      </c>
      <c r="T72">
        <f>SUMIFS(T_Shipments[Confirmed_Qty],T_Shipments[RM_Code],$A72,T_Shipments[Effective_Week],19)</f>
        <v/>
      </c>
      <c r="U72">
        <f>SUMIFS(T_Shipments[Confirmed_Qty],T_Shipments[RM_Code],$A72,T_Shipments[Effective_Week],20)</f>
        <v/>
      </c>
      <c r="V72">
        <f>SUMIFS(T_Shipments[Confirmed_Qty],T_Shipments[RM_Code],$A72,T_Shipments[Effective_Week],21)</f>
        <v/>
      </c>
      <c r="W72">
        <f>SUMIFS(T_Shipments[Confirmed_Qty],T_Shipments[RM_Code],$A72,T_Shipments[Effective_Week],22)</f>
        <v/>
      </c>
      <c r="X72">
        <f>SUMIFS(T_Shipments[Confirmed_Qty],T_Shipments[RM_Code],$A72,T_Shipments[Effective_Week],23)</f>
        <v/>
      </c>
      <c r="Y72">
        <f>SUMIFS(T_Shipments[Confirmed_Qty],T_Shipments[RM_Code],$A72,T_Shipments[Effective_Week],24)</f>
        <v/>
      </c>
      <c r="Z72">
        <f>SUMIFS(T_Shipments[Confirmed_Qty],T_Shipments[RM_Code],$A72,T_Shipments[Effective_Week],25)</f>
        <v/>
      </c>
      <c r="AA72">
        <f>SUMIFS(T_Shipments[Confirmed_Qty],T_Shipments[RM_Code],$A72,T_Shipments[Effective_Week],26)</f>
        <v/>
      </c>
      <c r="AB72">
        <f>SUMIFS(T_Shipments[Confirmed_Qty],T_Shipments[RM_Code],$A72,T_Shipments[Effective_Week],27)</f>
        <v/>
      </c>
      <c r="AC72">
        <f>SUMIFS(T_Shipments[Confirmed_Qty],T_Shipments[RM_Code],$A72,T_Shipments[Effective_Week],28)</f>
        <v/>
      </c>
      <c r="AD72">
        <f>SUMIFS(T_Shipments[Confirmed_Qty],T_Shipments[RM_Code],$A72,T_Shipments[Effective_Week],29)</f>
        <v/>
      </c>
      <c r="AE72">
        <f>SUMIFS(T_Shipments[Confirmed_Qty],T_Shipments[RM_Code],$A72,T_Shipments[Effective_Week],30)</f>
        <v/>
      </c>
      <c r="AF72">
        <f>SUMIFS(T_Shipments[Confirmed_Qty],T_Shipments[RM_Code],$A72,T_Shipments[Effective_Week],31)</f>
        <v/>
      </c>
      <c r="AG72">
        <f>SUMIFS(T_Shipments[Confirmed_Qty],T_Shipments[RM_Code],$A72,T_Shipments[Effective_Week],32)</f>
        <v/>
      </c>
      <c r="AH72">
        <f>SUMIFS(T_Shipments[Confirmed_Qty],T_Shipments[RM_Code],$A72,T_Shipments[Effective_Week],33)</f>
        <v/>
      </c>
      <c r="AI72">
        <f>SUMIFS(T_Shipments[Confirmed_Qty],T_Shipments[RM_Code],$A72,T_Shipments[Effective_Week],34)</f>
        <v/>
      </c>
      <c r="AJ72">
        <f>SUMIFS(T_Shipments[Confirmed_Qty],T_Shipments[RM_Code],$A72,T_Shipments[Effective_Week],35)</f>
        <v/>
      </c>
      <c r="AK72">
        <f>SUMIFS(T_Shipments[Confirmed_Qty],T_Shipments[RM_Code],$A72,T_Shipments[Effective_Week],36)</f>
        <v/>
      </c>
      <c r="AL72">
        <f>SUMIFS(T_Shipments[Confirmed_Qty],T_Shipments[RM_Code],$A72,T_Shipments[Effective_Week],37)</f>
        <v/>
      </c>
      <c r="AM72">
        <f>SUMIFS(T_Shipments[Confirmed_Qty],T_Shipments[RM_Code],$A72,T_Shipments[Effective_Week],38)</f>
        <v/>
      </c>
      <c r="AN72">
        <f>SUMIFS(T_Shipments[Confirmed_Qty],T_Shipments[RM_Code],$A72,T_Shipments[Effective_Week],39)</f>
        <v/>
      </c>
      <c r="AO72">
        <f>SUMIFS(T_Shipments[Confirmed_Qty],T_Shipments[RM_Code],$A72,T_Shipments[Effective_Week],40)</f>
        <v/>
      </c>
      <c r="AP72">
        <f>SUMIFS(T_Shipments[Confirmed_Qty],T_Shipments[RM_Code],$A72,T_Shipments[Effective_Week],41)</f>
        <v/>
      </c>
      <c r="AQ72">
        <f>SUMIFS(T_Shipments[Confirmed_Qty],T_Shipments[RM_Code],$A72,T_Shipments[Effective_Week],42)</f>
        <v/>
      </c>
      <c r="AR72">
        <f>SUMIFS(T_Shipments[Confirmed_Qty],T_Shipments[RM_Code],$A72,T_Shipments[Effective_Week],43)</f>
        <v/>
      </c>
      <c r="AS72">
        <f>SUMIFS(T_Shipments[Confirmed_Qty],T_Shipments[RM_Code],$A72,T_Shipments[Effective_Week],44)</f>
        <v/>
      </c>
      <c r="AT72">
        <f>SUMIFS(T_Shipments[Confirmed_Qty],T_Shipments[RM_Code],$A72,T_Shipments[Effective_Week],45)</f>
        <v/>
      </c>
      <c r="AU72">
        <f>SUMIFS(T_Shipments[Confirmed_Qty],T_Shipments[RM_Code],$A72,T_Shipments[Effective_Week],46)</f>
        <v/>
      </c>
      <c r="AV72">
        <f>SUMIFS(T_Shipments[Confirmed_Qty],T_Shipments[RM_Code],$A72,T_Shipments[Effective_Week],47)</f>
        <v/>
      </c>
      <c r="AW72">
        <f>SUMIFS(T_Shipments[Confirmed_Qty],T_Shipments[RM_Code],$A72,T_Shipments[Effective_Week],48)</f>
        <v/>
      </c>
      <c r="AX72">
        <f>SUMIFS(T_Shipments[Confirmed_Qty],T_Shipments[RM_Code],$A72,T_Shipments[Effective_Week],49)</f>
        <v/>
      </c>
      <c r="AY72">
        <f>SUMIFS(T_Shipments[Confirmed_Qty],T_Shipments[RM_Code],$A72,T_Shipments[Effective_Week],50)</f>
        <v/>
      </c>
      <c r="AZ72">
        <f>SUMIFS(T_Shipments[Confirmed_Qty],T_Shipments[RM_Code],$A72,T_Shipments[Effective_Week],51)</f>
        <v/>
      </c>
      <c r="BA72">
        <f>SUMIFS(T_Shipments[Confirmed_Qty],T_Shipments[RM_Code],$A72,T_Shipments[Effective_Week],52)</f>
        <v/>
      </c>
      <c r="BB72">
        <f>SUMIFS(T_Shipments[Confirmed_Qty],T_Shipments[RM_Code],$A72,T_Shipments[Effective_Week],53)</f>
        <v/>
      </c>
      <c r="BC72">
        <f>SUMIFS(T_Shipments[Confirmed_Qty],T_Shipments[RM_Code],$A72,T_Shipments[Effective_Week],54)</f>
        <v/>
      </c>
      <c r="BD72">
        <f>SUMIFS(T_Shipments[Confirmed_Qty],T_Shipments[RM_Code],$A72,T_Shipments[Effective_Week],55)</f>
        <v/>
      </c>
      <c r="BE72">
        <f>SUMIFS(T_Shipments[Confirmed_Qty],T_Shipments[RM_Code],$A72,T_Shipments[Effective_Week],56)</f>
        <v/>
      </c>
      <c r="BF72">
        <f>SUMIFS(T_Shipments[Confirmed_Qty],T_Shipments[RM_Code],$A72,T_Shipments[Effective_Week],57)</f>
        <v/>
      </c>
      <c r="BG72">
        <f>SUMIFS(T_Shipments[Confirmed_Qty],T_Shipments[RM_Code],$A72,T_Shipments[Effective_Week],58)</f>
        <v/>
      </c>
      <c r="BH72">
        <f>SUMIFS(T_Shipments[Confirmed_Qty],T_Shipments[RM_Code],$A72,T_Shipments[Effective_Week],59)</f>
        <v/>
      </c>
      <c r="BI72">
        <f>SUMIFS(T_Shipments[Confirmed_Qty],T_Shipments[RM_Code],$A72,T_Shipments[Effective_Week],60)</f>
        <v/>
      </c>
      <c r="BJ72">
        <f>SUMIFS(T_Shipments[Confirmed_Qty],T_Shipments[RM_Code],$A72,T_Shipments[Effective_Week],61)</f>
        <v/>
      </c>
      <c r="BK72">
        <f>SUMIFS(T_Shipments[Confirmed_Qty],T_Shipments[RM_Code],$A72,T_Shipments[Effective_Week],62)</f>
        <v/>
      </c>
      <c r="BL72">
        <f>SUMIFS(T_Shipments[Confirmed_Qty],T_Shipments[RM_Code],$A72,T_Shipments[Effective_Week],63)</f>
        <v/>
      </c>
      <c r="BM72">
        <f>SUMIFS(T_Shipments[Confirmed_Qty],T_Shipments[RM_Code],$A72,T_Shipments[Effective_Week],64)</f>
        <v/>
      </c>
      <c r="BN72">
        <f>SUMIFS(T_Shipments[Confirmed_Qty],T_Shipments[RM_Code],$A72,T_Shipments[Effective_Week],65)</f>
        <v/>
      </c>
      <c r="BO72">
        <f>SUMIFS(T_Shipments[Confirmed_Qty],T_Shipments[RM_Code],$A72,T_Shipments[Effective_Week],66)</f>
        <v/>
      </c>
      <c r="BP72">
        <f>SUMIFS(T_Shipments[Confirmed_Qty],T_Shipments[RM_Code],$A72,T_Shipments[Effective_Week],67)</f>
        <v/>
      </c>
      <c r="BQ72">
        <f>SUMIFS(T_Shipments[Confirmed_Qty],T_Shipments[RM_Code],$A72,T_Shipments[Effective_Week],68)</f>
        <v/>
      </c>
      <c r="BR72">
        <f>SUMIFS(T_Shipments[Confirmed_Qty],T_Shipments[RM_Code],$A72,T_Shipments[Effective_Week],69)</f>
        <v/>
      </c>
      <c r="BS72">
        <f>SUMIFS(T_Shipments[Confirmed_Qty],T_Shipments[RM_Code],$A72,T_Shipments[Effective_Week],70)</f>
        <v/>
      </c>
      <c r="BT72">
        <f>SUMIFS(T_Shipments[Confirmed_Qty],T_Shipments[RM_Code],$A72,T_Shipments[Effective_Week],71)</f>
        <v/>
      </c>
      <c r="BU72">
        <f>SUMIFS(T_Shipments[Confirmed_Qty],T_Shipments[RM_Code],$A72,T_Shipments[Effective_Week],72)</f>
        <v/>
      </c>
      <c r="BV72">
        <f>SUMIFS(T_Shipments[Confirmed_Qty],T_Shipments[RM_Code],$A72,T_Shipments[Effective_Week],73)</f>
        <v/>
      </c>
      <c r="BW72">
        <f>SUMIFS(T_Shipments[Confirmed_Qty],T_Shipments[RM_Code],$A72,T_Shipments[Effective_Week],74)</f>
        <v/>
      </c>
      <c r="BX72">
        <f>SUMIFS(T_Shipments[Confirmed_Qty],T_Shipments[RM_Code],$A72,T_Shipments[Effective_Week],75)</f>
        <v/>
      </c>
      <c r="BY72">
        <f>SUMIFS(T_Shipments[Confirmed_Qty],T_Shipments[RM_Code],$A72,T_Shipments[Effective_Week],76)</f>
        <v/>
      </c>
      <c r="BZ72">
        <f>SUMIFS(T_Shipments[Confirmed_Qty],T_Shipments[RM_Code],$A72,T_Shipments[Effective_Week],77)</f>
        <v/>
      </c>
      <c r="CA72">
        <f>SUMIFS(T_Shipments[Confirmed_Qty],T_Shipments[RM_Code],$A72,T_Shipments[Effective_Week],78)</f>
        <v/>
      </c>
      <c r="CB72">
        <f>SUMIFS(T_Shipments[Confirmed_Qty],T_Shipments[RM_Code],$A72,T_Shipments[Effective_Week],79)</f>
        <v/>
      </c>
      <c r="CC72">
        <f>SUMIFS(T_Shipments[Confirmed_Qty],T_Shipments[RM_Code],$A72,T_Shipments[Effective_Week],80)</f>
        <v/>
      </c>
      <c r="CD72">
        <f>SUMIFS(T_Shipments[Confirmed_Qty],T_Shipments[RM_Code],$A72,T_Shipments[Effective_Week],81)</f>
        <v/>
      </c>
      <c r="CE72">
        <f>SUMIFS(T_Shipments[Confirmed_Qty],T_Shipments[RM_Code],$A72,T_Shipments[Effective_Week],82)</f>
        <v/>
      </c>
      <c r="CF72">
        <f>SUMIFS(T_Shipments[Confirmed_Qty],T_Shipments[RM_Code],$A72,T_Shipments[Effective_Week],83)</f>
        <v/>
      </c>
      <c r="CG72">
        <f>SUMIFS(T_Shipments[Confirmed_Qty],T_Shipments[RM_Code],$A72,T_Shipments[Effective_Week],84)</f>
        <v/>
      </c>
      <c r="CH72">
        <f>SUMIFS(T_Shipments[Confirmed_Qty],T_Shipments[RM_Code],$A72,T_Shipments[Effective_Week],85)</f>
        <v/>
      </c>
      <c r="CI72">
        <f>SUMIFS(T_Shipments[Confirmed_Qty],T_Shipments[RM_Code],$A72,T_Shipments[Effective_Week],86)</f>
        <v/>
      </c>
      <c r="CJ72">
        <f>SUMIFS(T_Shipments[Confirmed_Qty],T_Shipments[RM_Code],$A72,T_Shipments[Effective_Week],87)</f>
        <v/>
      </c>
      <c r="CK72">
        <f>SUMIFS(T_Shipments[Confirmed_Qty],T_Shipments[RM_Code],$A72,T_Shipments[Effective_Week],88)</f>
        <v/>
      </c>
      <c r="CL72">
        <f>SUMIFS(T_Shipments[Confirmed_Qty],T_Shipments[RM_Code],$A72,T_Shipments[Effective_Week],89)</f>
        <v/>
      </c>
      <c r="CM72">
        <f>SUMIFS(T_Shipments[Confirmed_Qty],T_Shipments[RM_Code],$A72,T_Shipments[Effective_Week],90)</f>
        <v/>
      </c>
      <c r="CN72">
        <f>SUMIFS(T_Shipments[Confirmed_Qty],T_Shipments[RM_Code],$A72,T_Shipments[Effective_Week],91)</f>
        <v/>
      </c>
      <c r="CO72">
        <f>SUMIFS(T_Shipments[Confirmed_Qty],T_Shipments[RM_Code],$A72,T_Shipments[Effective_Week],92)</f>
        <v/>
      </c>
      <c r="CP72">
        <f>SUMIFS(T_Shipments[Confirmed_Qty],T_Shipments[RM_Code],$A72,T_Shipments[Effective_Week],93)</f>
        <v/>
      </c>
      <c r="CQ72">
        <f>SUMIFS(T_Shipments[Confirmed_Qty],T_Shipments[RM_Code],$A72,T_Shipments[Effective_Week],94)</f>
        <v/>
      </c>
      <c r="CR72">
        <f>SUMIFS(T_Shipments[Confirmed_Qty],T_Shipments[RM_Code],$A72,T_Shipments[Effective_Week],95)</f>
        <v/>
      </c>
      <c r="CS72">
        <f>SUMIFS(T_Shipments[Confirmed_Qty],T_Shipments[RM_Code],$A72,T_Shipments[Effective_Week],96)</f>
        <v/>
      </c>
      <c r="CT72">
        <f>SUMIFS(T_Shipments[Confirmed_Qty],T_Shipments[RM_Code],$A72,T_Shipments[Effective_Week],97)</f>
        <v/>
      </c>
      <c r="CU72">
        <f>SUMIFS(T_Shipments[Confirmed_Qty],T_Shipments[RM_Code],$A72,T_Shipments[Effective_Week],98)</f>
        <v/>
      </c>
      <c r="CV72">
        <f>SUMIFS(T_Shipments[Confirmed_Qty],T_Shipments[RM_Code],$A72,T_Shipments[Effective_Week],99)</f>
        <v/>
      </c>
      <c r="CW72">
        <f>SUMIFS(T_Shipments[Confirmed_Qty],T_Shipments[RM_Code],$A72,T_Shipments[Effective_Week],100)</f>
        <v/>
      </c>
      <c r="CX72">
        <f>SUMIFS(T_Shipments[Confirmed_Qty],T_Shipments[RM_Code],$A72,T_Shipments[Effective_Week],101)</f>
        <v/>
      </c>
      <c r="CY72">
        <f>SUMIFS(T_Shipments[Confirmed_Qty],T_Shipments[RM_Code],$A72,T_Shipments[Effective_Week],102)</f>
        <v/>
      </c>
      <c r="CZ72">
        <f>SUMIFS(T_Shipments[Confirmed_Qty],T_Shipments[RM_Code],$A72,T_Shipments[Effective_Week],103)</f>
        <v/>
      </c>
      <c r="DA72">
        <f>SUMIFS(T_Shipments[Confirmed_Qty],T_Shipments[RM_Code],$A72,T_Shipments[Effective_Week],104)</f>
        <v/>
      </c>
    </row>
    <row r="73">
      <c r="A73" t="inlineStr">
        <is>
          <t>846227</t>
        </is>
      </c>
      <c r="B73">
        <f>SUMIFS(T_Shipments[Confirmed_Qty],T_Shipments[RM_Code],$A73,T_Shipments[Effective_Week],1)</f>
        <v/>
      </c>
      <c r="C73">
        <f>SUMIFS(T_Shipments[Confirmed_Qty],T_Shipments[RM_Code],$A73,T_Shipments[Effective_Week],2)</f>
        <v/>
      </c>
      <c r="D73">
        <f>SUMIFS(T_Shipments[Confirmed_Qty],T_Shipments[RM_Code],$A73,T_Shipments[Effective_Week],3)</f>
        <v/>
      </c>
      <c r="E73">
        <f>SUMIFS(T_Shipments[Confirmed_Qty],T_Shipments[RM_Code],$A73,T_Shipments[Effective_Week],4)</f>
        <v/>
      </c>
      <c r="F73">
        <f>SUMIFS(T_Shipments[Confirmed_Qty],T_Shipments[RM_Code],$A73,T_Shipments[Effective_Week],5)</f>
        <v/>
      </c>
      <c r="G73">
        <f>SUMIFS(T_Shipments[Confirmed_Qty],T_Shipments[RM_Code],$A73,T_Shipments[Effective_Week],6)</f>
        <v/>
      </c>
      <c r="H73">
        <f>SUMIFS(T_Shipments[Confirmed_Qty],T_Shipments[RM_Code],$A73,T_Shipments[Effective_Week],7)</f>
        <v/>
      </c>
      <c r="I73">
        <f>SUMIFS(T_Shipments[Confirmed_Qty],T_Shipments[RM_Code],$A73,T_Shipments[Effective_Week],8)</f>
        <v/>
      </c>
      <c r="J73">
        <f>SUMIFS(T_Shipments[Confirmed_Qty],T_Shipments[RM_Code],$A73,T_Shipments[Effective_Week],9)</f>
        <v/>
      </c>
      <c r="K73">
        <f>SUMIFS(T_Shipments[Confirmed_Qty],T_Shipments[RM_Code],$A73,T_Shipments[Effective_Week],10)</f>
        <v/>
      </c>
      <c r="L73">
        <f>SUMIFS(T_Shipments[Confirmed_Qty],T_Shipments[RM_Code],$A73,T_Shipments[Effective_Week],11)</f>
        <v/>
      </c>
      <c r="M73">
        <f>SUMIFS(T_Shipments[Confirmed_Qty],T_Shipments[RM_Code],$A73,T_Shipments[Effective_Week],12)</f>
        <v/>
      </c>
      <c r="N73">
        <f>SUMIFS(T_Shipments[Confirmed_Qty],T_Shipments[RM_Code],$A73,T_Shipments[Effective_Week],13)</f>
        <v/>
      </c>
      <c r="O73">
        <f>SUMIFS(T_Shipments[Confirmed_Qty],T_Shipments[RM_Code],$A73,T_Shipments[Effective_Week],14)</f>
        <v/>
      </c>
      <c r="P73">
        <f>SUMIFS(T_Shipments[Confirmed_Qty],T_Shipments[RM_Code],$A73,T_Shipments[Effective_Week],15)</f>
        <v/>
      </c>
      <c r="Q73">
        <f>SUMIFS(T_Shipments[Confirmed_Qty],T_Shipments[RM_Code],$A73,T_Shipments[Effective_Week],16)</f>
        <v/>
      </c>
      <c r="R73">
        <f>SUMIFS(T_Shipments[Confirmed_Qty],T_Shipments[RM_Code],$A73,T_Shipments[Effective_Week],17)</f>
        <v/>
      </c>
      <c r="S73">
        <f>SUMIFS(T_Shipments[Confirmed_Qty],T_Shipments[RM_Code],$A73,T_Shipments[Effective_Week],18)</f>
        <v/>
      </c>
      <c r="T73">
        <f>SUMIFS(T_Shipments[Confirmed_Qty],T_Shipments[RM_Code],$A73,T_Shipments[Effective_Week],19)</f>
        <v/>
      </c>
      <c r="U73">
        <f>SUMIFS(T_Shipments[Confirmed_Qty],T_Shipments[RM_Code],$A73,T_Shipments[Effective_Week],20)</f>
        <v/>
      </c>
      <c r="V73">
        <f>SUMIFS(T_Shipments[Confirmed_Qty],T_Shipments[RM_Code],$A73,T_Shipments[Effective_Week],21)</f>
        <v/>
      </c>
      <c r="W73">
        <f>SUMIFS(T_Shipments[Confirmed_Qty],T_Shipments[RM_Code],$A73,T_Shipments[Effective_Week],22)</f>
        <v/>
      </c>
      <c r="X73">
        <f>SUMIFS(T_Shipments[Confirmed_Qty],T_Shipments[RM_Code],$A73,T_Shipments[Effective_Week],23)</f>
        <v/>
      </c>
      <c r="Y73">
        <f>SUMIFS(T_Shipments[Confirmed_Qty],T_Shipments[RM_Code],$A73,T_Shipments[Effective_Week],24)</f>
        <v/>
      </c>
      <c r="Z73">
        <f>SUMIFS(T_Shipments[Confirmed_Qty],T_Shipments[RM_Code],$A73,T_Shipments[Effective_Week],25)</f>
        <v/>
      </c>
      <c r="AA73">
        <f>SUMIFS(T_Shipments[Confirmed_Qty],T_Shipments[RM_Code],$A73,T_Shipments[Effective_Week],26)</f>
        <v/>
      </c>
      <c r="AB73">
        <f>SUMIFS(T_Shipments[Confirmed_Qty],T_Shipments[RM_Code],$A73,T_Shipments[Effective_Week],27)</f>
        <v/>
      </c>
      <c r="AC73">
        <f>SUMIFS(T_Shipments[Confirmed_Qty],T_Shipments[RM_Code],$A73,T_Shipments[Effective_Week],28)</f>
        <v/>
      </c>
      <c r="AD73">
        <f>SUMIFS(T_Shipments[Confirmed_Qty],T_Shipments[RM_Code],$A73,T_Shipments[Effective_Week],29)</f>
        <v/>
      </c>
      <c r="AE73">
        <f>SUMIFS(T_Shipments[Confirmed_Qty],T_Shipments[RM_Code],$A73,T_Shipments[Effective_Week],30)</f>
        <v/>
      </c>
      <c r="AF73">
        <f>SUMIFS(T_Shipments[Confirmed_Qty],T_Shipments[RM_Code],$A73,T_Shipments[Effective_Week],31)</f>
        <v/>
      </c>
      <c r="AG73">
        <f>SUMIFS(T_Shipments[Confirmed_Qty],T_Shipments[RM_Code],$A73,T_Shipments[Effective_Week],32)</f>
        <v/>
      </c>
      <c r="AH73">
        <f>SUMIFS(T_Shipments[Confirmed_Qty],T_Shipments[RM_Code],$A73,T_Shipments[Effective_Week],33)</f>
        <v/>
      </c>
      <c r="AI73">
        <f>SUMIFS(T_Shipments[Confirmed_Qty],T_Shipments[RM_Code],$A73,T_Shipments[Effective_Week],34)</f>
        <v/>
      </c>
      <c r="AJ73">
        <f>SUMIFS(T_Shipments[Confirmed_Qty],T_Shipments[RM_Code],$A73,T_Shipments[Effective_Week],35)</f>
        <v/>
      </c>
      <c r="AK73">
        <f>SUMIFS(T_Shipments[Confirmed_Qty],T_Shipments[RM_Code],$A73,T_Shipments[Effective_Week],36)</f>
        <v/>
      </c>
      <c r="AL73">
        <f>SUMIFS(T_Shipments[Confirmed_Qty],T_Shipments[RM_Code],$A73,T_Shipments[Effective_Week],37)</f>
        <v/>
      </c>
      <c r="AM73">
        <f>SUMIFS(T_Shipments[Confirmed_Qty],T_Shipments[RM_Code],$A73,T_Shipments[Effective_Week],38)</f>
        <v/>
      </c>
      <c r="AN73">
        <f>SUMIFS(T_Shipments[Confirmed_Qty],T_Shipments[RM_Code],$A73,T_Shipments[Effective_Week],39)</f>
        <v/>
      </c>
      <c r="AO73">
        <f>SUMIFS(T_Shipments[Confirmed_Qty],T_Shipments[RM_Code],$A73,T_Shipments[Effective_Week],40)</f>
        <v/>
      </c>
      <c r="AP73">
        <f>SUMIFS(T_Shipments[Confirmed_Qty],T_Shipments[RM_Code],$A73,T_Shipments[Effective_Week],41)</f>
        <v/>
      </c>
      <c r="AQ73">
        <f>SUMIFS(T_Shipments[Confirmed_Qty],T_Shipments[RM_Code],$A73,T_Shipments[Effective_Week],42)</f>
        <v/>
      </c>
      <c r="AR73">
        <f>SUMIFS(T_Shipments[Confirmed_Qty],T_Shipments[RM_Code],$A73,T_Shipments[Effective_Week],43)</f>
        <v/>
      </c>
      <c r="AS73">
        <f>SUMIFS(T_Shipments[Confirmed_Qty],T_Shipments[RM_Code],$A73,T_Shipments[Effective_Week],44)</f>
        <v/>
      </c>
      <c r="AT73">
        <f>SUMIFS(T_Shipments[Confirmed_Qty],T_Shipments[RM_Code],$A73,T_Shipments[Effective_Week],45)</f>
        <v/>
      </c>
      <c r="AU73">
        <f>SUMIFS(T_Shipments[Confirmed_Qty],T_Shipments[RM_Code],$A73,T_Shipments[Effective_Week],46)</f>
        <v/>
      </c>
      <c r="AV73">
        <f>SUMIFS(T_Shipments[Confirmed_Qty],T_Shipments[RM_Code],$A73,T_Shipments[Effective_Week],47)</f>
        <v/>
      </c>
      <c r="AW73">
        <f>SUMIFS(T_Shipments[Confirmed_Qty],T_Shipments[RM_Code],$A73,T_Shipments[Effective_Week],48)</f>
        <v/>
      </c>
      <c r="AX73">
        <f>SUMIFS(T_Shipments[Confirmed_Qty],T_Shipments[RM_Code],$A73,T_Shipments[Effective_Week],49)</f>
        <v/>
      </c>
      <c r="AY73">
        <f>SUMIFS(T_Shipments[Confirmed_Qty],T_Shipments[RM_Code],$A73,T_Shipments[Effective_Week],50)</f>
        <v/>
      </c>
      <c r="AZ73">
        <f>SUMIFS(T_Shipments[Confirmed_Qty],T_Shipments[RM_Code],$A73,T_Shipments[Effective_Week],51)</f>
        <v/>
      </c>
      <c r="BA73">
        <f>SUMIFS(T_Shipments[Confirmed_Qty],T_Shipments[RM_Code],$A73,T_Shipments[Effective_Week],52)</f>
        <v/>
      </c>
      <c r="BB73">
        <f>SUMIFS(T_Shipments[Confirmed_Qty],T_Shipments[RM_Code],$A73,T_Shipments[Effective_Week],53)</f>
        <v/>
      </c>
      <c r="BC73">
        <f>SUMIFS(T_Shipments[Confirmed_Qty],T_Shipments[RM_Code],$A73,T_Shipments[Effective_Week],54)</f>
        <v/>
      </c>
      <c r="BD73">
        <f>SUMIFS(T_Shipments[Confirmed_Qty],T_Shipments[RM_Code],$A73,T_Shipments[Effective_Week],55)</f>
        <v/>
      </c>
      <c r="BE73">
        <f>SUMIFS(T_Shipments[Confirmed_Qty],T_Shipments[RM_Code],$A73,T_Shipments[Effective_Week],56)</f>
        <v/>
      </c>
      <c r="BF73">
        <f>SUMIFS(T_Shipments[Confirmed_Qty],T_Shipments[RM_Code],$A73,T_Shipments[Effective_Week],57)</f>
        <v/>
      </c>
      <c r="BG73">
        <f>SUMIFS(T_Shipments[Confirmed_Qty],T_Shipments[RM_Code],$A73,T_Shipments[Effective_Week],58)</f>
        <v/>
      </c>
      <c r="BH73">
        <f>SUMIFS(T_Shipments[Confirmed_Qty],T_Shipments[RM_Code],$A73,T_Shipments[Effective_Week],59)</f>
        <v/>
      </c>
      <c r="BI73">
        <f>SUMIFS(T_Shipments[Confirmed_Qty],T_Shipments[RM_Code],$A73,T_Shipments[Effective_Week],60)</f>
        <v/>
      </c>
      <c r="BJ73">
        <f>SUMIFS(T_Shipments[Confirmed_Qty],T_Shipments[RM_Code],$A73,T_Shipments[Effective_Week],61)</f>
        <v/>
      </c>
      <c r="BK73">
        <f>SUMIFS(T_Shipments[Confirmed_Qty],T_Shipments[RM_Code],$A73,T_Shipments[Effective_Week],62)</f>
        <v/>
      </c>
      <c r="BL73">
        <f>SUMIFS(T_Shipments[Confirmed_Qty],T_Shipments[RM_Code],$A73,T_Shipments[Effective_Week],63)</f>
        <v/>
      </c>
      <c r="BM73">
        <f>SUMIFS(T_Shipments[Confirmed_Qty],T_Shipments[RM_Code],$A73,T_Shipments[Effective_Week],64)</f>
        <v/>
      </c>
      <c r="BN73">
        <f>SUMIFS(T_Shipments[Confirmed_Qty],T_Shipments[RM_Code],$A73,T_Shipments[Effective_Week],65)</f>
        <v/>
      </c>
      <c r="BO73">
        <f>SUMIFS(T_Shipments[Confirmed_Qty],T_Shipments[RM_Code],$A73,T_Shipments[Effective_Week],66)</f>
        <v/>
      </c>
      <c r="BP73">
        <f>SUMIFS(T_Shipments[Confirmed_Qty],T_Shipments[RM_Code],$A73,T_Shipments[Effective_Week],67)</f>
        <v/>
      </c>
      <c r="BQ73">
        <f>SUMIFS(T_Shipments[Confirmed_Qty],T_Shipments[RM_Code],$A73,T_Shipments[Effective_Week],68)</f>
        <v/>
      </c>
      <c r="BR73">
        <f>SUMIFS(T_Shipments[Confirmed_Qty],T_Shipments[RM_Code],$A73,T_Shipments[Effective_Week],69)</f>
        <v/>
      </c>
      <c r="BS73">
        <f>SUMIFS(T_Shipments[Confirmed_Qty],T_Shipments[RM_Code],$A73,T_Shipments[Effective_Week],70)</f>
        <v/>
      </c>
      <c r="BT73">
        <f>SUMIFS(T_Shipments[Confirmed_Qty],T_Shipments[RM_Code],$A73,T_Shipments[Effective_Week],71)</f>
        <v/>
      </c>
      <c r="BU73">
        <f>SUMIFS(T_Shipments[Confirmed_Qty],T_Shipments[RM_Code],$A73,T_Shipments[Effective_Week],72)</f>
        <v/>
      </c>
      <c r="BV73">
        <f>SUMIFS(T_Shipments[Confirmed_Qty],T_Shipments[RM_Code],$A73,T_Shipments[Effective_Week],73)</f>
        <v/>
      </c>
      <c r="BW73">
        <f>SUMIFS(T_Shipments[Confirmed_Qty],T_Shipments[RM_Code],$A73,T_Shipments[Effective_Week],74)</f>
        <v/>
      </c>
      <c r="BX73">
        <f>SUMIFS(T_Shipments[Confirmed_Qty],T_Shipments[RM_Code],$A73,T_Shipments[Effective_Week],75)</f>
        <v/>
      </c>
      <c r="BY73">
        <f>SUMIFS(T_Shipments[Confirmed_Qty],T_Shipments[RM_Code],$A73,T_Shipments[Effective_Week],76)</f>
        <v/>
      </c>
      <c r="BZ73">
        <f>SUMIFS(T_Shipments[Confirmed_Qty],T_Shipments[RM_Code],$A73,T_Shipments[Effective_Week],77)</f>
        <v/>
      </c>
      <c r="CA73">
        <f>SUMIFS(T_Shipments[Confirmed_Qty],T_Shipments[RM_Code],$A73,T_Shipments[Effective_Week],78)</f>
        <v/>
      </c>
      <c r="CB73">
        <f>SUMIFS(T_Shipments[Confirmed_Qty],T_Shipments[RM_Code],$A73,T_Shipments[Effective_Week],79)</f>
        <v/>
      </c>
      <c r="CC73">
        <f>SUMIFS(T_Shipments[Confirmed_Qty],T_Shipments[RM_Code],$A73,T_Shipments[Effective_Week],80)</f>
        <v/>
      </c>
      <c r="CD73">
        <f>SUMIFS(T_Shipments[Confirmed_Qty],T_Shipments[RM_Code],$A73,T_Shipments[Effective_Week],81)</f>
        <v/>
      </c>
      <c r="CE73">
        <f>SUMIFS(T_Shipments[Confirmed_Qty],T_Shipments[RM_Code],$A73,T_Shipments[Effective_Week],82)</f>
        <v/>
      </c>
      <c r="CF73">
        <f>SUMIFS(T_Shipments[Confirmed_Qty],T_Shipments[RM_Code],$A73,T_Shipments[Effective_Week],83)</f>
        <v/>
      </c>
      <c r="CG73">
        <f>SUMIFS(T_Shipments[Confirmed_Qty],T_Shipments[RM_Code],$A73,T_Shipments[Effective_Week],84)</f>
        <v/>
      </c>
      <c r="CH73">
        <f>SUMIFS(T_Shipments[Confirmed_Qty],T_Shipments[RM_Code],$A73,T_Shipments[Effective_Week],85)</f>
        <v/>
      </c>
      <c r="CI73">
        <f>SUMIFS(T_Shipments[Confirmed_Qty],T_Shipments[RM_Code],$A73,T_Shipments[Effective_Week],86)</f>
        <v/>
      </c>
      <c r="CJ73">
        <f>SUMIFS(T_Shipments[Confirmed_Qty],T_Shipments[RM_Code],$A73,T_Shipments[Effective_Week],87)</f>
        <v/>
      </c>
      <c r="CK73">
        <f>SUMIFS(T_Shipments[Confirmed_Qty],T_Shipments[RM_Code],$A73,T_Shipments[Effective_Week],88)</f>
        <v/>
      </c>
      <c r="CL73">
        <f>SUMIFS(T_Shipments[Confirmed_Qty],T_Shipments[RM_Code],$A73,T_Shipments[Effective_Week],89)</f>
        <v/>
      </c>
      <c r="CM73">
        <f>SUMIFS(T_Shipments[Confirmed_Qty],T_Shipments[RM_Code],$A73,T_Shipments[Effective_Week],90)</f>
        <v/>
      </c>
      <c r="CN73">
        <f>SUMIFS(T_Shipments[Confirmed_Qty],T_Shipments[RM_Code],$A73,T_Shipments[Effective_Week],91)</f>
        <v/>
      </c>
      <c r="CO73">
        <f>SUMIFS(T_Shipments[Confirmed_Qty],T_Shipments[RM_Code],$A73,T_Shipments[Effective_Week],92)</f>
        <v/>
      </c>
      <c r="CP73">
        <f>SUMIFS(T_Shipments[Confirmed_Qty],T_Shipments[RM_Code],$A73,T_Shipments[Effective_Week],93)</f>
        <v/>
      </c>
      <c r="CQ73">
        <f>SUMIFS(T_Shipments[Confirmed_Qty],T_Shipments[RM_Code],$A73,T_Shipments[Effective_Week],94)</f>
        <v/>
      </c>
      <c r="CR73">
        <f>SUMIFS(T_Shipments[Confirmed_Qty],T_Shipments[RM_Code],$A73,T_Shipments[Effective_Week],95)</f>
        <v/>
      </c>
      <c r="CS73">
        <f>SUMIFS(T_Shipments[Confirmed_Qty],T_Shipments[RM_Code],$A73,T_Shipments[Effective_Week],96)</f>
        <v/>
      </c>
      <c r="CT73">
        <f>SUMIFS(T_Shipments[Confirmed_Qty],T_Shipments[RM_Code],$A73,T_Shipments[Effective_Week],97)</f>
        <v/>
      </c>
      <c r="CU73">
        <f>SUMIFS(T_Shipments[Confirmed_Qty],T_Shipments[RM_Code],$A73,T_Shipments[Effective_Week],98)</f>
        <v/>
      </c>
      <c r="CV73">
        <f>SUMIFS(T_Shipments[Confirmed_Qty],T_Shipments[RM_Code],$A73,T_Shipments[Effective_Week],99)</f>
        <v/>
      </c>
      <c r="CW73">
        <f>SUMIFS(T_Shipments[Confirmed_Qty],T_Shipments[RM_Code],$A73,T_Shipments[Effective_Week],100)</f>
        <v/>
      </c>
      <c r="CX73">
        <f>SUMIFS(T_Shipments[Confirmed_Qty],T_Shipments[RM_Code],$A73,T_Shipments[Effective_Week],101)</f>
        <v/>
      </c>
      <c r="CY73">
        <f>SUMIFS(T_Shipments[Confirmed_Qty],T_Shipments[RM_Code],$A73,T_Shipments[Effective_Week],102)</f>
        <v/>
      </c>
      <c r="CZ73">
        <f>SUMIFS(T_Shipments[Confirmed_Qty],T_Shipments[RM_Code],$A73,T_Shipments[Effective_Week],103)</f>
        <v/>
      </c>
      <c r="DA73">
        <f>SUMIFS(T_Shipments[Confirmed_Qty],T_Shipments[RM_Code],$A73,T_Shipments[Effective_Week],104)</f>
        <v/>
      </c>
    </row>
    <row r="74">
      <c r="A74" t="inlineStr">
        <is>
          <t>OLJ</t>
        </is>
      </c>
      <c r="B74">
        <f>SUMIFS(T_Shipments[Confirmed_Qty],T_Shipments[RM_Code],$A74,T_Shipments[Effective_Week],1)</f>
        <v/>
      </c>
      <c r="C74">
        <f>SUMIFS(T_Shipments[Confirmed_Qty],T_Shipments[RM_Code],$A74,T_Shipments[Effective_Week],2)</f>
        <v/>
      </c>
      <c r="D74">
        <f>SUMIFS(T_Shipments[Confirmed_Qty],T_Shipments[RM_Code],$A74,T_Shipments[Effective_Week],3)</f>
        <v/>
      </c>
      <c r="E74">
        <f>SUMIFS(T_Shipments[Confirmed_Qty],T_Shipments[RM_Code],$A74,T_Shipments[Effective_Week],4)</f>
        <v/>
      </c>
      <c r="F74">
        <f>SUMIFS(T_Shipments[Confirmed_Qty],T_Shipments[RM_Code],$A74,T_Shipments[Effective_Week],5)</f>
        <v/>
      </c>
      <c r="G74">
        <f>SUMIFS(T_Shipments[Confirmed_Qty],T_Shipments[RM_Code],$A74,T_Shipments[Effective_Week],6)</f>
        <v/>
      </c>
      <c r="H74">
        <f>SUMIFS(T_Shipments[Confirmed_Qty],T_Shipments[RM_Code],$A74,T_Shipments[Effective_Week],7)</f>
        <v/>
      </c>
      <c r="I74">
        <f>SUMIFS(T_Shipments[Confirmed_Qty],T_Shipments[RM_Code],$A74,T_Shipments[Effective_Week],8)</f>
        <v/>
      </c>
      <c r="J74">
        <f>SUMIFS(T_Shipments[Confirmed_Qty],T_Shipments[RM_Code],$A74,T_Shipments[Effective_Week],9)</f>
        <v/>
      </c>
      <c r="K74">
        <f>SUMIFS(T_Shipments[Confirmed_Qty],T_Shipments[RM_Code],$A74,T_Shipments[Effective_Week],10)</f>
        <v/>
      </c>
      <c r="L74">
        <f>SUMIFS(T_Shipments[Confirmed_Qty],T_Shipments[RM_Code],$A74,T_Shipments[Effective_Week],11)</f>
        <v/>
      </c>
      <c r="M74">
        <f>SUMIFS(T_Shipments[Confirmed_Qty],T_Shipments[RM_Code],$A74,T_Shipments[Effective_Week],12)</f>
        <v/>
      </c>
      <c r="N74">
        <f>SUMIFS(T_Shipments[Confirmed_Qty],T_Shipments[RM_Code],$A74,T_Shipments[Effective_Week],13)</f>
        <v/>
      </c>
      <c r="O74">
        <f>SUMIFS(T_Shipments[Confirmed_Qty],T_Shipments[RM_Code],$A74,T_Shipments[Effective_Week],14)</f>
        <v/>
      </c>
      <c r="P74">
        <f>SUMIFS(T_Shipments[Confirmed_Qty],T_Shipments[RM_Code],$A74,T_Shipments[Effective_Week],15)</f>
        <v/>
      </c>
      <c r="Q74">
        <f>SUMIFS(T_Shipments[Confirmed_Qty],T_Shipments[RM_Code],$A74,T_Shipments[Effective_Week],16)</f>
        <v/>
      </c>
      <c r="R74">
        <f>SUMIFS(T_Shipments[Confirmed_Qty],T_Shipments[RM_Code],$A74,T_Shipments[Effective_Week],17)</f>
        <v/>
      </c>
      <c r="S74">
        <f>SUMIFS(T_Shipments[Confirmed_Qty],T_Shipments[RM_Code],$A74,T_Shipments[Effective_Week],18)</f>
        <v/>
      </c>
      <c r="T74">
        <f>SUMIFS(T_Shipments[Confirmed_Qty],T_Shipments[RM_Code],$A74,T_Shipments[Effective_Week],19)</f>
        <v/>
      </c>
      <c r="U74">
        <f>SUMIFS(T_Shipments[Confirmed_Qty],T_Shipments[RM_Code],$A74,T_Shipments[Effective_Week],20)</f>
        <v/>
      </c>
      <c r="V74">
        <f>SUMIFS(T_Shipments[Confirmed_Qty],T_Shipments[RM_Code],$A74,T_Shipments[Effective_Week],21)</f>
        <v/>
      </c>
      <c r="W74">
        <f>SUMIFS(T_Shipments[Confirmed_Qty],T_Shipments[RM_Code],$A74,T_Shipments[Effective_Week],22)</f>
        <v/>
      </c>
      <c r="X74">
        <f>SUMIFS(T_Shipments[Confirmed_Qty],T_Shipments[RM_Code],$A74,T_Shipments[Effective_Week],23)</f>
        <v/>
      </c>
      <c r="Y74">
        <f>SUMIFS(T_Shipments[Confirmed_Qty],T_Shipments[RM_Code],$A74,T_Shipments[Effective_Week],24)</f>
        <v/>
      </c>
      <c r="Z74">
        <f>SUMIFS(T_Shipments[Confirmed_Qty],T_Shipments[RM_Code],$A74,T_Shipments[Effective_Week],25)</f>
        <v/>
      </c>
      <c r="AA74">
        <f>SUMIFS(T_Shipments[Confirmed_Qty],T_Shipments[RM_Code],$A74,T_Shipments[Effective_Week],26)</f>
        <v/>
      </c>
      <c r="AB74">
        <f>SUMIFS(T_Shipments[Confirmed_Qty],T_Shipments[RM_Code],$A74,T_Shipments[Effective_Week],27)</f>
        <v/>
      </c>
      <c r="AC74">
        <f>SUMIFS(T_Shipments[Confirmed_Qty],T_Shipments[RM_Code],$A74,T_Shipments[Effective_Week],28)</f>
        <v/>
      </c>
      <c r="AD74">
        <f>SUMIFS(T_Shipments[Confirmed_Qty],T_Shipments[RM_Code],$A74,T_Shipments[Effective_Week],29)</f>
        <v/>
      </c>
      <c r="AE74">
        <f>SUMIFS(T_Shipments[Confirmed_Qty],T_Shipments[RM_Code],$A74,T_Shipments[Effective_Week],30)</f>
        <v/>
      </c>
      <c r="AF74">
        <f>SUMIFS(T_Shipments[Confirmed_Qty],T_Shipments[RM_Code],$A74,T_Shipments[Effective_Week],31)</f>
        <v/>
      </c>
      <c r="AG74">
        <f>SUMIFS(T_Shipments[Confirmed_Qty],T_Shipments[RM_Code],$A74,T_Shipments[Effective_Week],32)</f>
        <v/>
      </c>
      <c r="AH74">
        <f>SUMIFS(T_Shipments[Confirmed_Qty],T_Shipments[RM_Code],$A74,T_Shipments[Effective_Week],33)</f>
        <v/>
      </c>
      <c r="AI74">
        <f>SUMIFS(T_Shipments[Confirmed_Qty],T_Shipments[RM_Code],$A74,T_Shipments[Effective_Week],34)</f>
        <v/>
      </c>
      <c r="AJ74">
        <f>SUMIFS(T_Shipments[Confirmed_Qty],T_Shipments[RM_Code],$A74,T_Shipments[Effective_Week],35)</f>
        <v/>
      </c>
      <c r="AK74">
        <f>SUMIFS(T_Shipments[Confirmed_Qty],T_Shipments[RM_Code],$A74,T_Shipments[Effective_Week],36)</f>
        <v/>
      </c>
      <c r="AL74">
        <f>SUMIFS(T_Shipments[Confirmed_Qty],T_Shipments[RM_Code],$A74,T_Shipments[Effective_Week],37)</f>
        <v/>
      </c>
      <c r="AM74">
        <f>SUMIFS(T_Shipments[Confirmed_Qty],T_Shipments[RM_Code],$A74,T_Shipments[Effective_Week],38)</f>
        <v/>
      </c>
      <c r="AN74">
        <f>SUMIFS(T_Shipments[Confirmed_Qty],T_Shipments[RM_Code],$A74,T_Shipments[Effective_Week],39)</f>
        <v/>
      </c>
      <c r="AO74">
        <f>SUMIFS(T_Shipments[Confirmed_Qty],T_Shipments[RM_Code],$A74,T_Shipments[Effective_Week],40)</f>
        <v/>
      </c>
      <c r="AP74">
        <f>SUMIFS(T_Shipments[Confirmed_Qty],T_Shipments[RM_Code],$A74,T_Shipments[Effective_Week],41)</f>
        <v/>
      </c>
      <c r="AQ74">
        <f>SUMIFS(T_Shipments[Confirmed_Qty],T_Shipments[RM_Code],$A74,T_Shipments[Effective_Week],42)</f>
        <v/>
      </c>
      <c r="AR74">
        <f>SUMIFS(T_Shipments[Confirmed_Qty],T_Shipments[RM_Code],$A74,T_Shipments[Effective_Week],43)</f>
        <v/>
      </c>
      <c r="AS74">
        <f>SUMIFS(T_Shipments[Confirmed_Qty],T_Shipments[RM_Code],$A74,T_Shipments[Effective_Week],44)</f>
        <v/>
      </c>
      <c r="AT74">
        <f>SUMIFS(T_Shipments[Confirmed_Qty],T_Shipments[RM_Code],$A74,T_Shipments[Effective_Week],45)</f>
        <v/>
      </c>
      <c r="AU74">
        <f>SUMIFS(T_Shipments[Confirmed_Qty],T_Shipments[RM_Code],$A74,T_Shipments[Effective_Week],46)</f>
        <v/>
      </c>
      <c r="AV74">
        <f>SUMIFS(T_Shipments[Confirmed_Qty],T_Shipments[RM_Code],$A74,T_Shipments[Effective_Week],47)</f>
        <v/>
      </c>
      <c r="AW74">
        <f>SUMIFS(T_Shipments[Confirmed_Qty],T_Shipments[RM_Code],$A74,T_Shipments[Effective_Week],48)</f>
        <v/>
      </c>
      <c r="AX74">
        <f>SUMIFS(T_Shipments[Confirmed_Qty],T_Shipments[RM_Code],$A74,T_Shipments[Effective_Week],49)</f>
        <v/>
      </c>
      <c r="AY74">
        <f>SUMIFS(T_Shipments[Confirmed_Qty],T_Shipments[RM_Code],$A74,T_Shipments[Effective_Week],50)</f>
        <v/>
      </c>
      <c r="AZ74">
        <f>SUMIFS(T_Shipments[Confirmed_Qty],T_Shipments[RM_Code],$A74,T_Shipments[Effective_Week],51)</f>
        <v/>
      </c>
      <c r="BA74">
        <f>SUMIFS(T_Shipments[Confirmed_Qty],T_Shipments[RM_Code],$A74,T_Shipments[Effective_Week],52)</f>
        <v/>
      </c>
      <c r="BB74">
        <f>SUMIFS(T_Shipments[Confirmed_Qty],T_Shipments[RM_Code],$A74,T_Shipments[Effective_Week],53)</f>
        <v/>
      </c>
      <c r="BC74">
        <f>SUMIFS(T_Shipments[Confirmed_Qty],T_Shipments[RM_Code],$A74,T_Shipments[Effective_Week],54)</f>
        <v/>
      </c>
      <c r="BD74">
        <f>SUMIFS(T_Shipments[Confirmed_Qty],T_Shipments[RM_Code],$A74,T_Shipments[Effective_Week],55)</f>
        <v/>
      </c>
      <c r="BE74">
        <f>SUMIFS(T_Shipments[Confirmed_Qty],T_Shipments[RM_Code],$A74,T_Shipments[Effective_Week],56)</f>
        <v/>
      </c>
      <c r="BF74">
        <f>SUMIFS(T_Shipments[Confirmed_Qty],T_Shipments[RM_Code],$A74,T_Shipments[Effective_Week],57)</f>
        <v/>
      </c>
      <c r="BG74">
        <f>SUMIFS(T_Shipments[Confirmed_Qty],T_Shipments[RM_Code],$A74,T_Shipments[Effective_Week],58)</f>
        <v/>
      </c>
      <c r="BH74">
        <f>SUMIFS(T_Shipments[Confirmed_Qty],T_Shipments[RM_Code],$A74,T_Shipments[Effective_Week],59)</f>
        <v/>
      </c>
      <c r="BI74">
        <f>SUMIFS(T_Shipments[Confirmed_Qty],T_Shipments[RM_Code],$A74,T_Shipments[Effective_Week],60)</f>
        <v/>
      </c>
      <c r="BJ74">
        <f>SUMIFS(T_Shipments[Confirmed_Qty],T_Shipments[RM_Code],$A74,T_Shipments[Effective_Week],61)</f>
        <v/>
      </c>
      <c r="BK74">
        <f>SUMIFS(T_Shipments[Confirmed_Qty],T_Shipments[RM_Code],$A74,T_Shipments[Effective_Week],62)</f>
        <v/>
      </c>
      <c r="BL74">
        <f>SUMIFS(T_Shipments[Confirmed_Qty],T_Shipments[RM_Code],$A74,T_Shipments[Effective_Week],63)</f>
        <v/>
      </c>
      <c r="BM74">
        <f>SUMIFS(T_Shipments[Confirmed_Qty],T_Shipments[RM_Code],$A74,T_Shipments[Effective_Week],64)</f>
        <v/>
      </c>
      <c r="BN74">
        <f>SUMIFS(T_Shipments[Confirmed_Qty],T_Shipments[RM_Code],$A74,T_Shipments[Effective_Week],65)</f>
        <v/>
      </c>
      <c r="BO74">
        <f>SUMIFS(T_Shipments[Confirmed_Qty],T_Shipments[RM_Code],$A74,T_Shipments[Effective_Week],66)</f>
        <v/>
      </c>
      <c r="BP74">
        <f>SUMIFS(T_Shipments[Confirmed_Qty],T_Shipments[RM_Code],$A74,T_Shipments[Effective_Week],67)</f>
        <v/>
      </c>
      <c r="BQ74">
        <f>SUMIFS(T_Shipments[Confirmed_Qty],T_Shipments[RM_Code],$A74,T_Shipments[Effective_Week],68)</f>
        <v/>
      </c>
      <c r="BR74">
        <f>SUMIFS(T_Shipments[Confirmed_Qty],T_Shipments[RM_Code],$A74,T_Shipments[Effective_Week],69)</f>
        <v/>
      </c>
      <c r="BS74">
        <f>SUMIFS(T_Shipments[Confirmed_Qty],T_Shipments[RM_Code],$A74,T_Shipments[Effective_Week],70)</f>
        <v/>
      </c>
      <c r="BT74">
        <f>SUMIFS(T_Shipments[Confirmed_Qty],T_Shipments[RM_Code],$A74,T_Shipments[Effective_Week],71)</f>
        <v/>
      </c>
      <c r="BU74">
        <f>SUMIFS(T_Shipments[Confirmed_Qty],T_Shipments[RM_Code],$A74,T_Shipments[Effective_Week],72)</f>
        <v/>
      </c>
      <c r="BV74">
        <f>SUMIFS(T_Shipments[Confirmed_Qty],T_Shipments[RM_Code],$A74,T_Shipments[Effective_Week],73)</f>
        <v/>
      </c>
      <c r="BW74">
        <f>SUMIFS(T_Shipments[Confirmed_Qty],T_Shipments[RM_Code],$A74,T_Shipments[Effective_Week],74)</f>
        <v/>
      </c>
      <c r="BX74">
        <f>SUMIFS(T_Shipments[Confirmed_Qty],T_Shipments[RM_Code],$A74,T_Shipments[Effective_Week],75)</f>
        <v/>
      </c>
      <c r="BY74">
        <f>SUMIFS(T_Shipments[Confirmed_Qty],T_Shipments[RM_Code],$A74,T_Shipments[Effective_Week],76)</f>
        <v/>
      </c>
      <c r="BZ74">
        <f>SUMIFS(T_Shipments[Confirmed_Qty],T_Shipments[RM_Code],$A74,T_Shipments[Effective_Week],77)</f>
        <v/>
      </c>
      <c r="CA74">
        <f>SUMIFS(T_Shipments[Confirmed_Qty],T_Shipments[RM_Code],$A74,T_Shipments[Effective_Week],78)</f>
        <v/>
      </c>
      <c r="CB74">
        <f>SUMIFS(T_Shipments[Confirmed_Qty],T_Shipments[RM_Code],$A74,T_Shipments[Effective_Week],79)</f>
        <v/>
      </c>
      <c r="CC74">
        <f>SUMIFS(T_Shipments[Confirmed_Qty],T_Shipments[RM_Code],$A74,T_Shipments[Effective_Week],80)</f>
        <v/>
      </c>
      <c r="CD74">
        <f>SUMIFS(T_Shipments[Confirmed_Qty],T_Shipments[RM_Code],$A74,T_Shipments[Effective_Week],81)</f>
        <v/>
      </c>
      <c r="CE74">
        <f>SUMIFS(T_Shipments[Confirmed_Qty],T_Shipments[RM_Code],$A74,T_Shipments[Effective_Week],82)</f>
        <v/>
      </c>
      <c r="CF74">
        <f>SUMIFS(T_Shipments[Confirmed_Qty],T_Shipments[RM_Code],$A74,T_Shipments[Effective_Week],83)</f>
        <v/>
      </c>
      <c r="CG74">
        <f>SUMIFS(T_Shipments[Confirmed_Qty],T_Shipments[RM_Code],$A74,T_Shipments[Effective_Week],84)</f>
        <v/>
      </c>
      <c r="CH74">
        <f>SUMIFS(T_Shipments[Confirmed_Qty],T_Shipments[RM_Code],$A74,T_Shipments[Effective_Week],85)</f>
        <v/>
      </c>
      <c r="CI74">
        <f>SUMIFS(T_Shipments[Confirmed_Qty],T_Shipments[RM_Code],$A74,T_Shipments[Effective_Week],86)</f>
        <v/>
      </c>
      <c r="CJ74">
        <f>SUMIFS(T_Shipments[Confirmed_Qty],T_Shipments[RM_Code],$A74,T_Shipments[Effective_Week],87)</f>
        <v/>
      </c>
      <c r="CK74">
        <f>SUMIFS(T_Shipments[Confirmed_Qty],T_Shipments[RM_Code],$A74,T_Shipments[Effective_Week],88)</f>
        <v/>
      </c>
      <c r="CL74">
        <f>SUMIFS(T_Shipments[Confirmed_Qty],T_Shipments[RM_Code],$A74,T_Shipments[Effective_Week],89)</f>
        <v/>
      </c>
      <c r="CM74">
        <f>SUMIFS(T_Shipments[Confirmed_Qty],T_Shipments[RM_Code],$A74,T_Shipments[Effective_Week],90)</f>
        <v/>
      </c>
      <c r="CN74">
        <f>SUMIFS(T_Shipments[Confirmed_Qty],T_Shipments[RM_Code],$A74,T_Shipments[Effective_Week],91)</f>
        <v/>
      </c>
      <c r="CO74">
        <f>SUMIFS(T_Shipments[Confirmed_Qty],T_Shipments[RM_Code],$A74,T_Shipments[Effective_Week],92)</f>
        <v/>
      </c>
      <c r="CP74">
        <f>SUMIFS(T_Shipments[Confirmed_Qty],T_Shipments[RM_Code],$A74,T_Shipments[Effective_Week],93)</f>
        <v/>
      </c>
      <c r="CQ74">
        <f>SUMIFS(T_Shipments[Confirmed_Qty],T_Shipments[RM_Code],$A74,T_Shipments[Effective_Week],94)</f>
        <v/>
      </c>
      <c r="CR74">
        <f>SUMIFS(T_Shipments[Confirmed_Qty],T_Shipments[RM_Code],$A74,T_Shipments[Effective_Week],95)</f>
        <v/>
      </c>
      <c r="CS74">
        <f>SUMIFS(T_Shipments[Confirmed_Qty],T_Shipments[RM_Code],$A74,T_Shipments[Effective_Week],96)</f>
        <v/>
      </c>
      <c r="CT74">
        <f>SUMIFS(T_Shipments[Confirmed_Qty],T_Shipments[RM_Code],$A74,T_Shipments[Effective_Week],97)</f>
        <v/>
      </c>
      <c r="CU74">
        <f>SUMIFS(T_Shipments[Confirmed_Qty],T_Shipments[RM_Code],$A74,T_Shipments[Effective_Week],98)</f>
        <v/>
      </c>
      <c r="CV74">
        <f>SUMIFS(T_Shipments[Confirmed_Qty],T_Shipments[RM_Code],$A74,T_Shipments[Effective_Week],99)</f>
        <v/>
      </c>
      <c r="CW74">
        <f>SUMIFS(T_Shipments[Confirmed_Qty],T_Shipments[RM_Code],$A74,T_Shipments[Effective_Week],100)</f>
        <v/>
      </c>
      <c r="CX74">
        <f>SUMIFS(T_Shipments[Confirmed_Qty],T_Shipments[RM_Code],$A74,T_Shipments[Effective_Week],101)</f>
        <v/>
      </c>
      <c r="CY74">
        <f>SUMIFS(T_Shipments[Confirmed_Qty],T_Shipments[RM_Code],$A74,T_Shipments[Effective_Week],102)</f>
        <v/>
      </c>
      <c r="CZ74">
        <f>SUMIFS(T_Shipments[Confirmed_Qty],T_Shipments[RM_Code],$A74,T_Shipments[Effective_Week],103)</f>
        <v/>
      </c>
      <c r="DA74">
        <f>SUMIFS(T_Shipments[Confirmed_Qty],T_Shipments[RM_Code],$A74,T_Shipments[Effective_Week],104)</f>
        <v/>
      </c>
    </row>
    <row r="75">
      <c r="A75" t="inlineStr">
        <is>
          <t>CHEM-1500</t>
        </is>
      </c>
      <c r="B75">
        <f>SUMIFS(T_Shipments[Confirmed_Qty],T_Shipments[RM_Code],$A75,T_Shipments[Effective_Week],1)</f>
        <v/>
      </c>
      <c r="C75">
        <f>SUMIFS(T_Shipments[Confirmed_Qty],T_Shipments[RM_Code],$A75,T_Shipments[Effective_Week],2)</f>
        <v/>
      </c>
      <c r="D75">
        <f>SUMIFS(T_Shipments[Confirmed_Qty],T_Shipments[RM_Code],$A75,T_Shipments[Effective_Week],3)</f>
        <v/>
      </c>
      <c r="E75">
        <f>SUMIFS(T_Shipments[Confirmed_Qty],T_Shipments[RM_Code],$A75,T_Shipments[Effective_Week],4)</f>
        <v/>
      </c>
      <c r="F75">
        <f>SUMIFS(T_Shipments[Confirmed_Qty],T_Shipments[RM_Code],$A75,T_Shipments[Effective_Week],5)</f>
        <v/>
      </c>
      <c r="G75">
        <f>SUMIFS(T_Shipments[Confirmed_Qty],T_Shipments[RM_Code],$A75,T_Shipments[Effective_Week],6)</f>
        <v/>
      </c>
      <c r="H75">
        <f>SUMIFS(T_Shipments[Confirmed_Qty],T_Shipments[RM_Code],$A75,T_Shipments[Effective_Week],7)</f>
        <v/>
      </c>
      <c r="I75">
        <f>SUMIFS(T_Shipments[Confirmed_Qty],T_Shipments[RM_Code],$A75,T_Shipments[Effective_Week],8)</f>
        <v/>
      </c>
      <c r="J75">
        <f>SUMIFS(T_Shipments[Confirmed_Qty],T_Shipments[RM_Code],$A75,T_Shipments[Effective_Week],9)</f>
        <v/>
      </c>
      <c r="K75">
        <f>SUMIFS(T_Shipments[Confirmed_Qty],T_Shipments[RM_Code],$A75,T_Shipments[Effective_Week],10)</f>
        <v/>
      </c>
      <c r="L75">
        <f>SUMIFS(T_Shipments[Confirmed_Qty],T_Shipments[RM_Code],$A75,T_Shipments[Effective_Week],11)</f>
        <v/>
      </c>
      <c r="M75">
        <f>SUMIFS(T_Shipments[Confirmed_Qty],T_Shipments[RM_Code],$A75,T_Shipments[Effective_Week],12)</f>
        <v/>
      </c>
      <c r="N75">
        <f>SUMIFS(T_Shipments[Confirmed_Qty],T_Shipments[RM_Code],$A75,T_Shipments[Effective_Week],13)</f>
        <v/>
      </c>
      <c r="O75">
        <f>SUMIFS(T_Shipments[Confirmed_Qty],T_Shipments[RM_Code],$A75,T_Shipments[Effective_Week],14)</f>
        <v/>
      </c>
      <c r="P75">
        <f>SUMIFS(T_Shipments[Confirmed_Qty],T_Shipments[RM_Code],$A75,T_Shipments[Effective_Week],15)</f>
        <v/>
      </c>
      <c r="Q75">
        <f>SUMIFS(T_Shipments[Confirmed_Qty],T_Shipments[RM_Code],$A75,T_Shipments[Effective_Week],16)</f>
        <v/>
      </c>
      <c r="R75">
        <f>SUMIFS(T_Shipments[Confirmed_Qty],T_Shipments[RM_Code],$A75,T_Shipments[Effective_Week],17)</f>
        <v/>
      </c>
      <c r="S75">
        <f>SUMIFS(T_Shipments[Confirmed_Qty],T_Shipments[RM_Code],$A75,T_Shipments[Effective_Week],18)</f>
        <v/>
      </c>
      <c r="T75">
        <f>SUMIFS(T_Shipments[Confirmed_Qty],T_Shipments[RM_Code],$A75,T_Shipments[Effective_Week],19)</f>
        <v/>
      </c>
      <c r="U75">
        <f>SUMIFS(T_Shipments[Confirmed_Qty],T_Shipments[RM_Code],$A75,T_Shipments[Effective_Week],20)</f>
        <v/>
      </c>
      <c r="V75">
        <f>SUMIFS(T_Shipments[Confirmed_Qty],T_Shipments[RM_Code],$A75,T_Shipments[Effective_Week],21)</f>
        <v/>
      </c>
      <c r="W75">
        <f>SUMIFS(T_Shipments[Confirmed_Qty],T_Shipments[RM_Code],$A75,T_Shipments[Effective_Week],22)</f>
        <v/>
      </c>
      <c r="X75">
        <f>SUMIFS(T_Shipments[Confirmed_Qty],T_Shipments[RM_Code],$A75,T_Shipments[Effective_Week],23)</f>
        <v/>
      </c>
      <c r="Y75">
        <f>SUMIFS(T_Shipments[Confirmed_Qty],T_Shipments[RM_Code],$A75,T_Shipments[Effective_Week],24)</f>
        <v/>
      </c>
      <c r="Z75">
        <f>SUMIFS(T_Shipments[Confirmed_Qty],T_Shipments[RM_Code],$A75,T_Shipments[Effective_Week],25)</f>
        <v/>
      </c>
      <c r="AA75">
        <f>SUMIFS(T_Shipments[Confirmed_Qty],T_Shipments[RM_Code],$A75,T_Shipments[Effective_Week],26)</f>
        <v/>
      </c>
      <c r="AB75">
        <f>SUMIFS(T_Shipments[Confirmed_Qty],T_Shipments[RM_Code],$A75,T_Shipments[Effective_Week],27)</f>
        <v/>
      </c>
      <c r="AC75">
        <f>SUMIFS(T_Shipments[Confirmed_Qty],T_Shipments[RM_Code],$A75,T_Shipments[Effective_Week],28)</f>
        <v/>
      </c>
      <c r="AD75">
        <f>SUMIFS(T_Shipments[Confirmed_Qty],T_Shipments[RM_Code],$A75,T_Shipments[Effective_Week],29)</f>
        <v/>
      </c>
      <c r="AE75">
        <f>SUMIFS(T_Shipments[Confirmed_Qty],T_Shipments[RM_Code],$A75,T_Shipments[Effective_Week],30)</f>
        <v/>
      </c>
      <c r="AF75">
        <f>SUMIFS(T_Shipments[Confirmed_Qty],T_Shipments[RM_Code],$A75,T_Shipments[Effective_Week],31)</f>
        <v/>
      </c>
      <c r="AG75">
        <f>SUMIFS(T_Shipments[Confirmed_Qty],T_Shipments[RM_Code],$A75,T_Shipments[Effective_Week],32)</f>
        <v/>
      </c>
      <c r="AH75">
        <f>SUMIFS(T_Shipments[Confirmed_Qty],T_Shipments[RM_Code],$A75,T_Shipments[Effective_Week],33)</f>
        <v/>
      </c>
      <c r="AI75">
        <f>SUMIFS(T_Shipments[Confirmed_Qty],T_Shipments[RM_Code],$A75,T_Shipments[Effective_Week],34)</f>
        <v/>
      </c>
      <c r="AJ75">
        <f>SUMIFS(T_Shipments[Confirmed_Qty],T_Shipments[RM_Code],$A75,T_Shipments[Effective_Week],35)</f>
        <v/>
      </c>
      <c r="AK75">
        <f>SUMIFS(T_Shipments[Confirmed_Qty],T_Shipments[RM_Code],$A75,T_Shipments[Effective_Week],36)</f>
        <v/>
      </c>
      <c r="AL75">
        <f>SUMIFS(T_Shipments[Confirmed_Qty],T_Shipments[RM_Code],$A75,T_Shipments[Effective_Week],37)</f>
        <v/>
      </c>
      <c r="AM75">
        <f>SUMIFS(T_Shipments[Confirmed_Qty],T_Shipments[RM_Code],$A75,T_Shipments[Effective_Week],38)</f>
        <v/>
      </c>
      <c r="AN75">
        <f>SUMIFS(T_Shipments[Confirmed_Qty],T_Shipments[RM_Code],$A75,T_Shipments[Effective_Week],39)</f>
        <v/>
      </c>
      <c r="AO75">
        <f>SUMIFS(T_Shipments[Confirmed_Qty],T_Shipments[RM_Code],$A75,T_Shipments[Effective_Week],40)</f>
        <v/>
      </c>
      <c r="AP75">
        <f>SUMIFS(T_Shipments[Confirmed_Qty],T_Shipments[RM_Code],$A75,T_Shipments[Effective_Week],41)</f>
        <v/>
      </c>
      <c r="AQ75">
        <f>SUMIFS(T_Shipments[Confirmed_Qty],T_Shipments[RM_Code],$A75,T_Shipments[Effective_Week],42)</f>
        <v/>
      </c>
      <c r="AR75">
        <f>SUMIFS(T_Shipments[Confirmed_Qty],T_Shipments[RM_Code],$A75,T_Shipments[Effective_Week],43)</f>
        <v/>
      </c>
      <c r="AS75">
        <f>SUMIFS(T_Shipments[Confirmed_Qty],T_Shipments[RM_Code],$A75,T_Shipments[Effective_Week],44)</f>
        <v/>
      </c>
      <c r="AT75">
        <f>SUMIFS(T_Shipments[Confirmed_Qty],T_Shipments[RM_Code],$A75,T_Shipments[Effective_Week],45)</f>
        <v/>
      </c>
      <c r="AU75">
        <f>SUMIFS(T_Shipments[Confirmed_Qty],T_Shipments[RM_Code],$A75,T_Shipments[Effective_Week],46)</f>
        <v/>
      </c>
      <c r="AV75">
        <f>SUMIFS(T_Shipments[Confirmed_Qty],T_Shipments[RM_Code],$A75,T_Shipments[Effective_Week],47)</f>
        <v/>
      </c>
      <c r="AW75">
        <f>SUMIFS(T_Shipments[Confirmed_Qty],T_Shipments[RM_Code],$A75,T_Shipments[Effective_Week],48)</f>
        <v/>
      </c>
      <c r="AX75">
        <f>SUMIFS(T_Shipments[Confirmed_Qty],T_Shipments[RM_Code],$A75,T_Shipments[Effective_Week],49)</f>
        <v/>
      </c>
      <c r="AY75">
        <f>SUMIFS(T_Shipments[Confirmed_Qty],T_Shipments[RM_Code],$A75,T_Shipments[Effective_Week],50)</f>
        <v/>
      </c>
      <c r="AZ75">
        <f>SUMIFS(T_Shipments[Confirmed_Qty],T_Shipments[RM_Code],$A75,T_Shipments[Effective_Week],51)</f>
        <v/>
      </c>
      <c r="BA75">
        <f>SUMIFS(T_Shipments[Confirmed_Qty],T_Shipments[RM_Code],$A75,T_Shipments[Effective_Week],52)</f>
        <v/>
      </c>
      <c r="BB75">
        <f>SUMIFS(T_Shipments[Confirmed_Qty],T_Shipments[RM_Code],$A75,T_Shipments[Effective_Week],53)</f>
        <v/>
      </c>
      <c r="BC75">
        <f>SUMIFS(T_Shipments[Confirmed_Qty],T_Shipments[RM_Code],$A75,T_Shipments[Effective_Week],54)</f>
        <v/>
      </c>
      <c r="BD75">
        <f>SUMIFS(T_Shipments[Confirmed_Qty],T_Shipments[RM_Code],$A75,T_Shipments[Effective_Week],55)</f>
        <v/>
      </c>
      <c r="BE75">
        <f>SUMIFS(T_Shipments[Confirmed_Qty],T_Shipments[RM_Code],$A75,T_Shipments[Effective_Week],56)</f>
        <v/>
      </c>
      <c r="BF75">
        <f>SUMIFS(T_Shipments[Confirmed_Qty],T_Shipments[RM_Code],$A75,T_Shipments[Effective_Week],57)</f>
        <v/>
      </c>
      <c r="BG75">
        <f>SUMIFS(T_Shipments[Confirmed_Qty],T_Shipments[RM_Code],$A75,T_Shipments[Effective_Week],58)</f>
        <v/>
      </c>
      <c r="BH75">
        <f>SUMIFS(T_Shipments[Confirmed_Qty],T_Shipments[RM_Code],$A75,T_Shipments[Effective_Week],59)</f>
        <v/>
      </c>
      <c r="BI75">
        <f>SUMIFS(T_Shipments[Confirmed_Qty],T_Shipments[RM_Code],$A75,T_Shipments[Effective_Week],60)</f>
        <v/>
      </c>
      <c r="BJ75">
        <f>SUMIFS(T_Shipments[Confirmed_Qty],T_Shipments[RM_Code],$A75,T_Shipments[Effective_Week],61)</f>
        <v/>
      </c>
      <c r="BK75">
        <f>SUMIFS(T_Shipments[Confirmed_Qty],T_Shipments[RM_Code],$A75,T_Shipments[Effective_Week],62)</f>
        <v/>
      </c>
      <c r="BL75">
        <f>SUMIFS(T_Shipments[Confirmed_Qty],T_Shipments[RM_Code],$A75,T_Shipments[Effective_Week],63)</f>
        <v/>
      </c>
      <c r="BM75">
        <f>SUMIFS(T_Shipments[Confirmed_Qty],T_Shipments[RM_Code],$A75,T_Shipments[Effective_Week],64)</f>
        <v/>
      </c>
      <c r="BN75">
        <f>SUMIFS(T_Shipments[Confirmed_Qty],T_Shipments[RM_Code],$A75,T_Shipments[Effective_Week],65)</f>
        <v/>
      </c>
      <c r="BO75">
        <f>SUMIFS(T_Shipments[Confirmed_Qty],T_Shipments[RM_Code],$A75,T_Shipments[Effective_Week],66)</f>
        <v/>
      </c>
      <c r="BP75">
        <f>SUMIFS(T_Shipments[Confirmed_Qty],T_Shipments[RM_Code],$A75,T_Shipments[Effective_Week],67)</f>
        <v/>
      </c>
      <c r="BQ75">
        <f>SUMIFS(T_Shipments[Confirmed_Qty],T_Shipments[RM_Code],$A75,T_Shipments[Effective_Week],68)</f>
        <v/>
      </c>
      <c r="BR75">
        <f>SUMIFS(T_Shipments[Confirmed_Qty],T_Shipments[RM_Code],$A75,T_Shipments[Effective_Week],69)</f>
        <v/>
      </c>
      <c r="BS75">
        <f>SUMIFS(T_Shipments[Confirmed_Qty],T_Shipments[RM_Code],$A75,T_Shipments[Effective_Week],70)</f>
        <v/>
      </c>
      <c r="BT75">
        <f>SUMIFS(T_Shipments[Confirmed_Qty],T_Shipments[RM_Code],$A75,T_Shipments[Effective_Week],71)</f>
        <v/>
      </c>
      <c r="BU75">
        <f>SUMIFS(T_Shipments[Confirmed_Qty],T_Shipments[RM_Code],$A75,T_Shipments[Effective_Week],72)</f>
        <v/>
      </c>
      <c r="BV75">
        <f>SUMIFS(T_Shipments[Confirmed_Qty],T_Shipments[RM_Code],$A75,T_Shipments[Effective_Week],73)</f>
        <v/>
      </c>
      <c r="BW75">
        <f>SUMIFS(T_Shipments[Confirmed_Qty],T_Shipments[RM_Code],$A75,T_Shipments[Effective_Week],74)</f>
        <v/>
      </c>
      <c r="BX75">
        <f>SUMIFS(T_Shipments[Confirmed_Qty],T_Shipments[RM_Code],$A75,T_Shipments[Effective_Week],75)</f>
        <v/>
      </c>
      <c r="BY75">
        <f>SUMIFS(T_Shipments[Confirmed_Qty],T_Shipments[RM_Code],$A75,T_Shipments[Effective_Week],76)</f>
        <v/>
      </c>
      <c r="BZ75">
        <f>SUMIFS(T_Shipments[Confirmed_Qty],T_Shipments[RM_Code],$A75,T_Shipments[Effective_Week],77)</f>
        <v/>
      </c>
      <c r="CA75">
        <f>SUMIFS(T_Shipments[Confirmed_Qty],T_Shipments[RM_Code],$A75,T_Shipments[Effective_Week],78)</f>
        <v/>
      </c>
      <c r="CB75">
        <f>SUMIFS(T_Shipments[Confirmed_Qty],T_Shipments[RM_Code],$A75,T_Shipments[Effective_Week],79)</f>
        <v/>
      </c>
      <c r="CC75">
        <f>SUMIFS(T_Shipments[Confirmed_Qty],T_Shipments[RM_Code],$A75,T_Shipments[Effective_Week],80)</f>
        <v/>
      </c>
      <c r="CD75">
        <f>SUMIFS(T_Shipments[Confirmed_Qty],T_Shipments[RM_Code],$A75,T_Shipments[Effective_Week],81)</f>
        <v/>
      </c>
      <c r="CE75">
        <f>SUMIFS(T_Shipments[Confirmed_Qty],T_Shipments[RM_Code],$A75,T_Shipments[Effective_Week],82)</f>
        <v/>
      </c>
      <c r="CF75">
        <f>SUMIFS(T_Shipments[Confirmed_Qty],T_Shipments[RM_Code],$A75,T_Shipments[Effective_Week],83)</f>
        <v/>
      </c>
      <c r="CG75">
        <f>SUMIFS(T_Shipments[Confirmed_Qty],T_Shipments[RM_Code],$A75,T_Shipments[Effective_Week],84)</f>
        <v/>
      </c>
      <c r="CH75">
        <f>SUMIFS(T_Shipments[Confirmed_Qty],T_Shipments[RM_Code],$A75,T_Shipments[Effective_Week],85)</f>
        <v/>
      </c>
      <c r="CI75">
        <f>SUMIFS(T_Shipments[Confirmed_Qty],T_Shipments[RM_Code],$A75,T_Shipments[Effective_Week],86)</f>
        <v/>
      </c>
      <c r="CJ75">
        <f>SUMIFS(T_Shipments[Confirmed_Qty],T_Shipments[RM_Code],$A75,T_Shipments[Effective_Week],87)</f>
        <v/>
      </c>
      <c r="CK75">
        <f>SUMIFS(T_Shipments[Confirmed_Qty],T_Shipments[RM_Code],$A75,T_Shipments[Effective_Week],88)</f>
        <v/>
      </c>
      <c r="CL75">
        <f>SUMIFS(T_Shipments[Confirmed_Qty],T_Shipments[RM_Code],$A75,T_Shipments[Effective_Week],89)</f>
        <v/>
      </c>
      <c r="CM75">
        <f>SUMIFS(T_Shipments[Confirmed_Qty],T_Shipments[RM_Code],$A75,T_Shipments[Effective_Week],90)</f>
        <v/>
      </c>
      <c r="CN75">
        <f>SUMIFS(T_Shipments[Confirmed_Qty],T_Shipments[RM_Code],$A75,T_Shipments[Effective_Week],91)</f>
        <v/>
      </c>
      <c r="CO75">
        <f>SUMIFS(T_Shipments[Confirmed_Qty],T_Shipments[RM_Code],$A75,T_Shipments[Effective_Week],92)</f>
        <v/>
      </c>
      <c r="CP75">
        <f>SUMIFS(T_Shipments[Confirmed_Qty],T_Shipments[RM_Code],$A75,T_Shipments[Effective_Week],93)</f>
        <v/>
      </c>
      <c r="CQ75">
        <f>SUMIFS(T_Shipments[Confirmed_Qty],T_Shipments[RM_Code],$A75,T_Shipments[Effective_Week],94)</f>
        <v/>
      </c>
      <c r="CR75">
        <f>SUMIFS(T_Shipments[Confirmed_Qty],T_Shipments[RM_Code],$A75,T_Shipments[Effective_Week],95)</f>
        <v/>
      </c>
      <c r="CS75">
        <f>SUMIFS(T_Shipments[Confirmed_Qty],T_Shipments[RM_Code],$A75,T_Shipments[Effective_Week],96)</f>
        <v/>
      </c>
      <c r="CT75">
        <f>SUMIFS(T_Shipments[Confirmed_Qty],T_Shipments[RM_Code],$A75,T_Shipments[Effective_Week],97)</f>
        <v/>
      </c>
      <c r="CU75">
        <f>SUMIFS(T_Shipments[Confirmed_Qty],T_Shipments[RM_Code],$A75,T_Shipments[Effective_Week],98)</f>
        <v/>
      </c>
      <c r="CV75">
        <f>SUMIFS(T_Shipments[Confirmed_Qty],T_Shipments[RM_Code],$A75,T_Shipments[Effective_Week],99)</f>
        <v/>
      </c>
      <c r="CW75">
        <f>SUMIFS(T_Shipments[Confirmed_Qty],T_Shipments[RM_Code],$A75,T_Shipments[Effective_Week],100)</f>
        <v/>
      </c>
      <c r="CX75">
        <f>SUMIFS(T_Shipments[Confirmed_Qty],T_Shipments[RM_Code],$A75,T_Shipments[Effective_Week],101)</f>
        <v/>
      </c>
      <c r="CY75">
        <f>SUMIFS(T_Shipments[Confirmed_Qty],T_Shipments[RM_Code],$A75,T_Shipments[Effective_Week],102)</f>
        <v/>
      </c>
      <c r="CZ75">
        <f>SUMIFS(T_Shipments[Confirmed_Qty],T_Shipments[RM_Code],$A75,T_Shipments[Effective_Week],103)</f>
        <v/>
      </c>
      <c r="DA75">
        <f>SUMIFS(T_Shipments[Confirmed_Qty],T_Shipments[RM_Code],$A75,T_Shipments[Effective_Week],104)</f>
        <v/>
      </c>
    </row>
    <row r="76">
      <c r="A76" t="inlineStr">
        <is>
          <t>CHEM-1810</t>
        </is>
      </c>
      <c r="B76">
        <f>SUMIFS(T_Shipments[Confirmed_Qty],T_Shipments[RM_Code],$A76,T_Shipments[Effective_Week],1)</f>
        <v/>
      </c>
      <c r="C76">
        <f>SUMIFS(T_Shipments[Confirmed_Qty],T_Shipments[RM_Code],$A76,T_Shipments[Effective_Week],2)</f>
        <v/>
      </c>
      <c r="D76">
        <f>SUMIFS(T_Shipments[Confirmed_Qty],T_Shipments[RM_Code],$A76,T_Shipments[Effective_Week],3)</f>
        <v/>
      </c>
      <c r="E76">
        <f>SUMIFS(T_Shipments[Confirmed_Qty],T_Shipments[RM_Code],$A76,T_Shipments[Effective_Week],4)</f>
        <v/>
      </c>
      <c r="F76">
        <f>SUMIFS(T_Shipments[Confirmed_Qty],T_Shipments[RM_Code],$A76,T_Shipments[Effective_Week],5)</f>
        <v/>
      </c>
      <c r="G76">
        <f>SUMIFS(T_Shipments[Confirmed_Qty],T_Shipments[RM_Code],$A76,T_Shipments[Effective_Week],6)</f>
        <v/>
      </c>
      <c r="H76">
        <f>SUMIFS(T_Shipments[Confirmed_Qty],T_Shipments[RM_Code],$A76,T_Shipments[Effective_Week],7)</f>
        <v/>
      </c>
      <c r="I76">
        <f>SUMIFS(T_Shipments[Confirmed_Qty],T_Shipments[RM_Code],$A76,T_Shipments[Effective_Week],8)</f>
        <v/>
      </c>
      <c r="J76">
        <f>SUMIFS(T_Shipments[Confirmed_Qty],T_Shipments[RM_Code],$A76,T_Shipments[Effective_Week],9)</f>
        <v/>
      </c>
      <c r="K76">
        <f>SUMIFS(T_Shipments[Confirmed_Qty],T_Shipments[RM_Code],$A76,T_Shipments[Effective_Week],10)</f>
        <v/>
      </c>
      <c r="L76">
        <f>SUMIFS(T_Shipments[Confirmed_Qty],T_Shipments[RM_Code],$A76,T_Shipments[Effective_Week],11)</f>
        <v/>
      </c>
      <c r="M76">
        <f>SUMIFS(T_Shipments[Confirmed_Qty],T_Shipments[RM_Code],$A76,T_Shipments[Effective_Week],12)</f>
        <v/>
      </c>
      <c r="N76">
        <f>SUMIFS(T_Shipments[Confirmed_Qty],T_Shipments[RM_Code],$A76,T_Shipments[Effective_Week],13)</f>
        <v/>
      </c>
      <c r="O76">
        <f>SUMIFS(T_Shipments[Confirmed_Qty],T_Shipments[RM_Code],$A76,T_Shipments[Effective_Week],14)</f>
        <v/>
      </c>
      <c r="P76">
        <f>SUMIFS(T_Shipments[Confirmed_Qty],T_Shipments[RM_Code],$A76,T_Shipments[Effective_Week],15)</f>
        <v/>
      </c>
      <c r="Q76">
        <f>SUMIFS(T_Shipments[Confirmed_Qty],T_Shipments[RM_Code],$A76,T_Shipments[Effective_Week],16)</f>
        <v/>
      </c>
      <c r="R76">
        <f>SUMIFS(T_Shipments[Confirmed_Qty],T_Shipments[RM_Code],$A76,T_Shipments[Effective_Week],17)</f>
        <v/>
      </c>
      <c r="S76">
        <f>SUMIFS(T_Shipments[Confirmed_Qty],T_Shipments[RM_Code],$A76,T_Shipments[Effective_Week],18)</f>
        <v/>
      </c>
      <c r="T76">
        <f>SUMIFS(T_Shipments[Confirmed_Qty],T_Shipments[RM_Code],$A76,T_Shipments[Effective_Week],19)</f>
        <v/>
      </c>
      <c r="U76">
        <f>SUMIFS(T_Shipments[Confirmed_Qty],T_Shipments[RM_Code],$A76,T_Shipments[Effective_Week],20)</f>
        <v/>
      </c>
      <c r="V76">
        <f>SUMIFS(T_Shipments[Confirmed_Qty],T_Shipments[RM_Code],$A76,T_Shipments[Effective_Week],21)</f>
        <v/>
      </c>
      <c r="W76">
        <f>SUMIFS(T_Shipments[Confirmed_Qty],T_Shipments[RM_Code],$A76,T_Shipments[Effective_Week],22)</f>
        <v/>
      </c>
      <c r="X76">
        <f>SUMIFS(T_Shipments[Confirmed_Qty],T_Shipments[RM_Code],$A76,T_Shipments[Effective_Week],23)</f>
        <v/>
      </c>
      <c r="Y76">
        <f>SUMIFS(T_Shipments[Confirmed_Qty],T_Shipments[RM_Code],$A76,T_Shipments[Effective_Week],24)</f>
        <v/>
      </c>
      <c r="Z76">
        <f>SUMIFS(T_Shipments[Confirmed_Qty],T_Shipments[RM_Code],$A76,T_Shipments[Effective_Week],25)</f>
        <v/>
      </c>
      <c r="AA76">
        <f>SUMIFS(T_Shipments[Confirmed_Qty],T_Shipments[RM_Code],$A76,T_Shipments[Effective_Week],26)</f>
        <v/>
      </c>
      <c r="AB76">
        <f>SUMIFS(T_Shipments[Confirmed_Qty],T_Shipments[RM_Code],$A76,T_Shipments[Effective_Week],27)</f>
        <v/>
      </c>
      <c r="AC76">
        <f>SUMIFS(T_Shipments[Confirmed_Qty],T_Shipments[RM_Code],$A76,T_Shipments[Effective_Week],28)</f>
        <v/>
      </c>
      <c r="AD76">
        <f>SUMIFS(T_Shipments[Confirmed_Qty],T_Shipments[RM_Code],$A76,T_Shipments[Effective_Week],29)</f>
        <v/>
      </c>
      <c r="AE76">
        <f>SUMIFS(T_Shipments[Confirmed_Qty],T_Shipments[RM_Code],$A76,T_Shipments[Effective_Week],30)</f>
        <v/>
      </c>
      <c r="AF76">
        <f>SUMIFS(T_Shipments[Confirmed_Qty],T_Shipments[RM_Code],$A76,T_Shipments[Effective_Week],31)</f>
        <v/>
      </c>
      <c r="AG76">
        <f>SUMIFS(T_Shipments[Confirmed_Qty],T_Shipments[RM_Code],$A76,T_Shipments[Effective_Week],32)</f>
        <v/>
      </c>
      <c r="AH76">
        <f>SUMIFS(T_Shipments[Confirmed_Qty],T_Shipments[RM_Code],$A76,T_Shipments[Effective_Week],33)</f>
        <v/>
      </c>
      <c r="AI76">
        <f>SUMIFS(T_Shipments[Confirmed_Qty],T_Shipments[RM_Code],$A76,T_Shipments[Effective_Week],34)</f>
        <v/>
      </c>
      <c r="AJ76">
        <f>SUMIFS(T_Shipments[Confirmed_Qty],T_Shipments[RM_Code],$A76,T_Shipments[Effective_Week],35)</f>
        <v/>
      </c>
      <c r="AK76">
        <f>SUMIFS(T_Shipments[Confirmed_Qty],T_Shipments[RM_Code],$A76,T_Shipments[Effective_Week],36)</f>
        <v/>
      </c>
      <c r="AL76">
        <f>SUMIFS(T_Shipments[Confirmed_Qty],T_Shipments[RM_Code],$A76,T_Shipments[Effective_Week],37)</f>
        <v/>
      </c>
      <c r="AM76">
        <f>SUMIFS(T_Shipments[Confirmed_Qty],T_Shipments[RM_Code],$A76,T_Shipments[Effective_Week],38)</f>
        <v/>
      </c>
      <c r="AN76">
        <f>SUMIFS(T_Shipments[Confirmed_Qty],T_Shipments[RM_Code],$A76,T_Shipments[Effective_Week],39)</f>
        <v/>
      </c>
      <c r="AO76">
        <f>SUMIFS(T_Shipments[Confirmed_Qty],T_Shipments[RM_Code],$A76,T_Shipments[Effective_Week],40)</f>
        <v/>
      </c>
      <c r="AP76">
        <f>SUMIFS(T_Shipments[Confirmed_Qty],T_Shipments[RM_Code],$A76,T_Shipments[Effective_Week],41)</f>
        <v/>
      </c>
      <c r="AQ76">
        <f>SUMIFS(T_Shipments[Confirmed_Qty],T_Shipments[RM_Code],$A76,T_Shipments[Effective_Week],42)</f>
        <v/>
      </c>
      <c r="AR76">
        <f>SUMIFS(T_Shipments[Confirmed_Qty],T_Shipments[RM_Code],$A76,T_Shipments[Effective_Week],43)</f>
        <v/>
      </c>
      <c r="AS76">
        <f>SUMIFS(T_Shipments[Confirmed_Qty],T_Shipments[RM_Code],$A76,T_Shipments[Effective_Week],44)</f>
        <v/>
      </c>
      <c r="AT76">
        <f>SUMIFS(T_Shipments[Confirmed_Qty],T_Shipments[RM_Code],$A76,T_Shipments[Effective_Week],45)</f>
        <v/>
      </c>
      <c r="AU76">
        <f>SUMIFS(T_Shipments[Confirmed_Qty],T_Shipments[RM_Code],$A76,T_Shipments[Effective_Week],46)</f>
        <v/>
      </c>
      <c r="AV76">
        <f>SUMIFS(T_Shipments[Confirmed_Qty],T_Shipments[RM_Code],$A76,T_Shipments[Effective_Week],47)</f>
        <v/>
      </c>
      <c r="AW76">
        <f>SUMIFS(T_Shipments[Confirmed_Qty],T_Shipments[RM_Code],$A76,T_Shipments[Effective_Week],48)</f>
        <v/>
      </c>
      <c r="AX76">
        <f>SUMIFS(T_Shipments[Confirmed_Qty],T_Shipments[RM_Code],$A76,T_Shipments[Effective_Week],49)</f>
        <v/>
      </c>
      <c r="AY76">
        <f>SUMIFS(T_Shipments[Confirmed_Qty],T_Shipments[RM_Code],$A76,T_Shipments[Effective_Week],50)</f>
        <v/>
      </c>
      <c r="AZ76">
        <f>SUMIFS(T_Shipments[Confirmed_Qty],T_Shipments[RM_Code],$A76,T_Shipments[Effective_Week],51)</f>
        <v/>
      </c>
      <c r="BA76">
        <f>SUMIFS(T_Shipments[Confirmed_Qty],T_Shipments[RM_Code],$A76,T_Shipments[Effective_Week],52)</f>
        <v/>
      </c>
      <c r="BB76">
        <f>SUMIFS(T_Shipments[Confirmed_Qty],T_Shipments[RM_Code],$A76,T_Shipments[Effective_Week],53)</f>
        <v/>
      </c>
      <c r="BC76">
        <f>SUMIFS(T_Shipments[Confirmed_Qty],T_Shipments[RM_Code],$A76,T_Shipments[Effective_Week],54)</f>
        <v/>
      </c>
      <c r="BD76">
        <f>SUMIFS(T_Shipments[Confirmed_Qty],T_Shipments[RM_Code],$A76,T_Shipments[Effective_Week],55)</f>
        <v/>
      </c>
      <c r="BE76">
        <f>SUMIFS(T_Shipments[Confirmed_Qty],T_Shipments[RM_Code],$A76,T_Shipments[Effective_Week],56)</f>
        <v/>
      </c>
      <c r="BF76">
        <f>SUMIFS(T_Shipments[Confirmed_Qty],T_Shipments[RM_Code],$A76,T_Shipments[Effective_Week],57)</f>
        <v/>
      </c>
      <c r="BG76">
        <f>SUMIFS(T_Shipments[Confirmed_Qty],T_Shipments[RM_Code],$A76,T_Shipments[Effective_Week],58)</f>
        <v/>
      </c>
      <c r="BH76">
        <f>SUMIFS(T_Shipments[Confirmed_Qty],T_Shipments[RM_Code],$A76,T_Shipments[Effective_Week],59)</f>
        <v/>
      </c>
      <c r="BI76">
        <f>SUMIFS(T_Shipments[Confirmed_Qty],T_Shipments[RM_Code],$A76,T_Shipments[Effective_Week],60)</f>
        <v/>
      </c>
      <c r="BJ76">
        <f>SUMIFS(T_Shipments[Confirmed_Qty],T_Shipments[RM_Code],$A76,T_Shipments[Effective_Week],61)</f>
        <v/>
      </c>
      <c r="BK76">
        <f>SUMIFS(T_Shipments[Confirmed_Qty],T_Shipments[RM_Code],$A76,T_Shipments[Effective_Week],62)</f>
        <v/>
      </c>
      <c r="BL76">
        <f>SUMIFS(T_Shipments[Confirmed_Qty],T_Shipments[RM_Code],$A76,T_Shipments[Effective_Week],63)</f>
        <v/>
      </c>
      <c r="BM76">
        <f>SUMIFS(T_Shipments[Confirmed_Qty],T_Shipments[RM_Code],$A76,T_Shipments[Effective_Week],64)</f>
        <v/>
      </c>
      <c r="BN76">
        <f>SUMIFS(T_Shipments[Confirmed_Qty],T_Shipments[RM_Code],$A76,T_Shipments[Effective_Week],65)</f>
        <v/>
      </c>
      <c r="BO76">
        <f>SUMIFS(T_Shipments[Confirmed_Qty],T_Shipments[RM_Code],$A76,T_Shipments[Effective_Week],66)</f>
        <v/>
      </c>
      <c r="BP76">
        <f>SUMIFS(T_Shipments[Confirmed_Qty],T_Shipments[RM_Code],$A76,T_Shipments[Effective_Week],67)</f>
        <v/>
      </c>
      <c r="BQ76">
        <f>SUMIFS(T_Shipments[Confirmed_Qty],T_Shipments[RM_Code],$A76,T_Shipments[Effective_Week],68)</f>
        <v/>
      </c>
      <c r="BR76">
        <f>SUMIFS(T_Shipments[Confirmed_Qty],T_Shipments[RM_Code],$A76,T_Shipments[Effective_Week],69)</f>
        <v/>
      </c>
      <c r="BS76">
        <f>SUMIFS(T_Shipments[Confirmed_Qty],T_Shipments[RM_Code],$A76,T_Shipments[Effective_Week],70)</f>
        <v/>
      </c>
      <c r="BT76">
        <f>SUMIFS(T_Shipments[Confirmed_Qty],T_Shipments[RM_Code],$A76,T_Shipments[Effective_Week],71)</f>
        <v/>
      </c>
      <c r="BU76">
        <f>SUMIFS(T_Shipments[Confirmed_Qty],T_Shipments[RM_Code],$A76,T_Shipments[Effective_Week],72)</f>
        <v/>
      </c>
      <c r="BV76">
        <f>SUMIFS(T_Shipments[Confirmed_Qty],T_Shipments[RM_Code],$A76,T_Shipments[Effective_Week],73)</f>
        <v/>
      </c>
      <c r="BW76">
        <f>SUMIFS(T_Shipments[Confirmed_Qty],T_Shipments[RM_Code],$A76,T_Shipments[Effective_Week],74)</f>
        <v/>
      </c>
      <c r="BX76">
        <f>SUMIFS(T_Shipments[Confirmed_Qty],T_Shipments[RM_Code],$A76,T_Shipments[Effective_Week],75)</f>
        <v/>
      </c>
      <c r="BY76">
        <f>SUMIFS(T_Shipments[Confirmed_Qty],T_Shipments[RM_Code],$A76,T_Shipments[Effective_Week],76)</f>
        <v/>
      </c>
      <c r="BZ76">
        <f>SUMIFS(T_Shipments[Confirmed_Qty],T_Shipments[RM_Code],$A76,T_Shipments[Effective_Week],77)</f>
        <v/>
      </c>
      <c r="CA76">
        <f>SUMIFS(T_Shipments[Confirmed_Qty],T_Shipments[RM_Code],$A76,T_Shipments[Effective_Week],78)</f>
        <v/>
      </c>
      <c r="CB76">
        <f>SUMIFS(T_Shipments[Confirmed_Qty],T_Shipments[RM_Code],$A76,T_Shipments[Effective_Week],79)</f>
        <v/>
      </c>
      <c r="CC76">
        <f>SUMIFS(T_Shipments[Confirmed_Qty],T_Shipments[RM_Code],$A76,T_Shipments[Effective_Week],80)</f>
        <v/>
      </c>
      <c r="CD76">
        <f>SUMIFS(T_Shipments[Confirmed_Qty],T_Shipments[RM_Code],$A76,T_Shipments[Effective_Week],81)</f>
        <v/>
      </c>
      <c r="CE76">
        <f>SUMIFS(T_Shipments[Confirmed_Qty],T_Shipments[RM_Code],$A76,T_Shipments[Effective_Week],82)</f>
        <v/>
      </c>
      <c r="CF76">
        <f>SUMIFS(T_Shipments[Confirmed_Qty],T_Shipments[RM_Code],$A76,T_Shipments[Effective_Week],83)</f>
        <v/>
      </c>
      <c r="CG76">
        <f>SUMIFS(T_Shipments[Confirmed_Qty],T_Shipments[RM_Code],$A76,T_Shipments[Effective_Week],84)</f>
        <v/>
      </c>
      <c r="CH76">
        <f>SUMIFS(T_Shipments[Confirmed_Qty],T_Shipments[RM_Code],$A76,T_Shipments[Effective_Week],85)</f>
        <v/>
      </c>
      <c r="CI76">
        <f>SUMIFS(T_Shipments[Confirmed_Qty],T_Shipments[RM_Code],$A76,T_Shipments[Effective_Week],86)</f>
        <v/>
      </c>
      <c r="CJ76">
        <f>SUMIFS(T_Shipments[Confirmed_Qty],T_Shipments[RM_Code],$A76,T_Shipments[Effective_Week],87)</f>
        <v/>
      </c>
      <c r="CK76">
        <f>SUMIFS(T_Shipments[Confirmed_Qty],T_Shipments[RM_Code],$A76,T_Shipments[Effective_Week],88)</f>
        <v/>
      </c>
      <c r="CL76">
        <f>SUMIFS(T_Shipments[Confirmed_Qty],T_Shipments[RM_Code],$A76,T_Shipments[Effective_Week],89)</f>
        <v/>
      </c>
      <c r="CM76">
        <f>SUMIFS(T_Shipments[Confirmed_Qty],T_Shipments[RM_Code],$A76,T_Shipments[Effective_Week],90)</f>
        <v/>
      </c>
      <c r="CN76">
        <f>SUMIFS(T_Shipments[Confirmed_Qty],T_Shipments[RM_Code],$A76,T_Shipments[Effective_Week],91)</f>
        <v/>
      </c>
      <c r="CO76">
        <f>SUMIFS(T_Shipments[Confirmed_Qty],T_Shipments[RM_Code],$A76,T_Shipments[Effective_Week],92)</f>
        <v/>
      </c>
      <c r="CP76">
        <f>SUMIFS(T_Shipments[Confirmed_Qty],T_Shipments[RM_Code],$A76,T_Shipments[Effective_Week],93)</f>
        <v/>
      </c>
      <c r="CQ76">
        <f>SUMIFS(T_Shipments[Confirmed_Qty],T_Shipments[RM_Code],$A76,T_Shipments[Effective_Week],94)</f>
        <v/>
      </c>
      <c r="CR76">
        <f>SUMIFS(T_Shipments[Confirmed_Qty],T_Shipments[RM_Code],$A76,T_Shipments[Effective_Week],95)</f>
        <v/>
      </c>
      <c r="CS76">
        <f>SUMIFS(T_Shipments[Confirmed_Qty],T_Shipments[RM_Code],$A76,T_Shipments[Effective_Week],96)</f>
        <v/>
      </c>
      <c r="CT76">
        <f>SUMIFS(T_Shipments[Confirmed_Qty],T_Shipments[RM_Code],$A76,T_Shipments[Effective_Week],97)</f>
        <v/>
      </c>
      <c r="CU76">
        <f>SUMIFS(T_Shipments[Confirmed_Qty],T_Shipments[RM_Code],$A76,T_Shipments[Effective_Week],98)</f>
        <v/>
      </c>
      <c r="CV76">
        <f>SUMIFS(T_Shipments[Confirmed_Qty],T_Shipments[RM_Code],$A76,T_Shipments[Effective_Week],99)</f>
        <v/>
      </c>
      <c r="CW76">
        <f>SUMIFS(T_Shipments[Confirmed_Qty],T_Shipments[RM_Code],$A76,T_Shipments[Effective_Week],100)</f>
        <v/>
      </c>
      <c r="CX76">
        <f>SUMIFS(T_Shipments[Confirmed_Qty],T_Shipments[RM_Code],$A76,T_Shipments[Effective_Week],101)</f>
        <v/>
      </c>
      <c r="CY76">
        <f>SUMIFS(T_Shipments[Confirmed_Qty],T_Shipments[RM_Code],$A76,T_Shipments[Effective_Week],102)</f>
        <v/>
      </c>
      <c r="CZ76">
        <f>SUMIFS(T_Shipments[Confirmed_Qty],T_Shipments[RM_Code],$A76,T_Shipments[Effective_Week],103)</f>
        <v/>
      </c>
      <c r="DA76">
        <f>SUMIFS(T_Shipments[Confirmed_Qty],T_Shipments[RM_Code],$A76,T_Shipments[Effective_Week],104)</f>
        <v/>
      </c>
    </row>
    <row r="77">
      <c r="A77" t="inlineStr">
        <is>
          <t>Chem-1220</t>
        </is>
      </c>
      <c r="B77">
        <f>SUMIFS(T_Shipments[Confirmed_Qty],T_Shipments[RM_Code],$A77,T_Shipments[Effective_Week],1)</f>
        <v/>
      </c>
      <c r="C77">
        <f>SUMIFS(T_Shipments[Confirmed_Qty],T_Shipments[RM_Code],$A77,T_Shipments[Effective_Week],2)</f>
        <v/>
      </c>
      <c r="D77">
        <f>SUMIFS(T_Shipments[Confirmed_Qty],T_Shipments[RM_Code],$A77,T_Shipments[Effective_Week],3)</f>
        <v/>
      </c>
      <c r="E77">
        <f>SUMIFS(T_Shipments[Confirmed_Qty],T_Shipments[RM_Code],$A77,T_Shipments[Effective_Week],4)</f>
        <v/>
      </c>
      <c r="F77">
        <f>SUMIFS(T_Shipments[Confirmed_Qty],T_Shipments[RM_Code],$A77,T_Shipments[Effective_Week],5)</f>
        <v/>
      </c>
      <c r="G77">
        <f>SUMIFS(T_Shipments[Confirmed_Qty],T_Shipments[RM_Code],$A77,T_Shipments[Effective_Week],6)</f>
        <v/>
      </c>
      <c r="H77">
        <f>SUMIFS(T_Shipments[Confirmed_Qty],T_Shipments[RM_Code],$A77,T_Shipments[Effective_Week],7)</f>
        <v/>
      </c>
      <c r="I77">
        <f>SUMIFS(T_Shipments[Confirmed_Qty],T_Shipments[RM_Code],$A77,T_Shipments[Effective_Week],8)</f>
        <v/>
      </c>
      <c r="J77">
        <f>SUMIFS(T_Shipments[Confirmed_Qty],T_Shipments[RM_Code],$A77,T_Shipments[Effective_Week],9)</f>
        <v/>
      </c>
      <c r="K77">
        <f>SUMIFS(T_Shipments[Confirmed_Qty],T_Shipments[RM_Code],$A77,T_Shipments[Effective_Week],10)</f>
        <v/>
      </c>
      <c r="L77">
        <f>SUMIFS(T_Shipments[Confirmed_Qty],T_Shipments[RM_Code],$A77,T_Shipments[Effective_Week],11)</f>
        <v/>
      </c>
      <c r="M77">
        <f>SUMIFS(T_Shipments[Confirmed_Qty],T_Shipments[RM_Code],$A77,T_Shipments[Effective_Week],12)</f>
        <v/>
      </c>
      <c r="N77">
        <f>SUMIFS(T_Shipments[Confirmed_Qty],T_Shipments[RM_Code],$A77,T_Shipments[Effective_Week],13)</f>
        <v/>
      </c>
      <c r="O77">
        <f>SUMIFS(T_Shipments[Confirmed_Qty],T_Shipments[RM_Code],$A77,T_Shipments[Effective_Week],14)</f>
        <v/>
      </c>
      <c r="P77">
        <f>SUMIFS(T_Shipments[Confirmed_Qty],T_Shipments[RM_Code],$A77,T_Shipments[Effective_Week],15)</f>
        <v/>
      </c>
      <c r="Q77">
        <f>SUMIFS(T_Shipments[Confirmed_Qty],T_Shipments[RM_Code],$A77,T_Shipments[Effective_Week],16)</f>
        <v/>
      </c>
      <c r="R77">
        <f>SUMIFS(T_Shipments[Confirmed_Qty],T_Shipments[RM_Code],$A77,T_Shipments[Effective_Week],17)</f>
        <v/>
      </c>
      <c r="S77">
        <f>SUMIFS(T_Shipments[Confirmed_Qty],T_Shipments[RM_Code],$A77,T_Shipments[Effective_Week],18)</f>
        <v/>
      </c>
      <c r="T77">
        <f>SUMIFS(T_Shipments[Confirmed_Qty],T_Shipments[RM_Code],$A77,T_Shipments[Effective_Week],19)</f>
        <v/>
      </c>
      <c r="U77">
        <f>SUMIFS(T_Shipments[Confirmed_Qty],T_Shipments[RM_Code],$A77,T_Shipments[Effective_Week],20)</f>
        <v/>
      </c>
      <c r="V77">
        <f>SUMIFS(T_Shipments[Confirmed_Qty],T_Shipments[RM_Code],$A77,T_Shipments[Effective_Week],21)</f>
        <v/>
      </c>
      <c r="W77">
        <f>SUMIFS(T_Shipments[Confirmed_Qty],T_Shipments[RM_Code],$A77,T_Shipments[Effective_Week],22)</f>
        <v/>
      </c>
      <c r="X77">
        <f>SUMIFS(T_Shipments[Confirmed_Qty],T_Shipments[RM_Code],$A77,T_Shipments[Effective_Week],23)</f>
        <v/>
      </c>
      <c r="Y77">
        <f>SUMIFS(T_Shipments[Confirmed_Qty],T_Shipments[RM_Code],$A77,T_Shipments[Effective_Week],24)</f>
        <v/>
      </c>
      <c r="Z77">
        <f>SUMIFS(T_Shipments[Confirmed_Qty],T_Shipments[RM_Code],$A77,T_Shipments[Effective_Week],25)</f>
        <v/>
      </c>
      <c r="AA77">
        <f>SUMIFS(T_Shipments[Confirmed_Qty],T_Shipments[RM_Code],$A77,T_Shipments[Effective_Week],26)</f>
        <v/>
      </c>
      <c r="AB77">
        <f>SUMIFS(T_Shipments[Confirmed_Qty],T_Shipments[RM_Code],$A77,T_Shipments[Effective_Week],27)</f>
        <v/>
      </c>
      <c r="AC77">
        <f>SUMIFS(T_Shipments[Confirmed_Qty],T_Shipments[RM_Code],$A77,T_Shipments[Effective_Week],28)</f>
        <v/>
      </c>
      <c r="AD77">
        <f>SUMIFS(T_Shipments[Confirmed_Qty],T_Shipments[RM_Code],$A77,T_Shipments[Effective_Week],29)</f>
        <v/>
      </c>
      <c r="AE77">
        <f>SUMIFS(T_Shipments[Confirmed_Qty],T_Shipments[RM_Code],$A77,T_Shipments[Effective_Week],30)</f>
        <v/>
      </c>
      <c r="AF77">
        <f>SUMIFS(T_Shipments[Confirmed_Qty],T_Shipments[RM_Code],$A77,T_Shipments[Effective_Week],31)</f>
        <v/>
      </c>
      <c r="AG77">
        <f>SUMIFS(T_Shipments[Confirmed_Qty],T_Shipments[RM_Code],$A77,T_Shipments[Effective_Week],32)</f>
        <v/>
      </c>
      <c r="AH77">
        <f>SUMIFS(T_Shipments[Confirmed_Qty],T_Shipments[RM_Code],$A77,T_Shipments[Effective_Week],33)</f>
        <v/>
      </c>
      <c r="AI77">
        <f>SUMIFS(T_Shipments[Confirmed_Qty],T_Shipments[RM_Code],$A77,T_Shipments[Effective_Week],34)</f>
        <v/>
      </c>
      <c r="AJ77">
        <f>SUMIFS(T_Shipments[Confirmed_Qty],T_Shipments[RM_Code],$A77,T_Shipments[Effective_Week],35)</f>
        <v/>
      </c>
      <c r="AK77">
        <f>SUMIFS(T_Shipments[Confirmed_Qty],T_Shipments[RM_Code],$A77,T_Shipments[Effective_Week],36)</f>
        <v/>
      </c>
      <c r="AL77">
        <f>SUMIFS(T_Shipments[Confirmed_Qty],T_Shipments[RM_Code],$A77,T_Shipments[Effective_Week],37)</f>
        <v/>
      </c>
      <c r="AM77">
        <f>SUMIFS(T_Shipments[Confirmed_Qty],T_Shipments[RM_Code],$A77,T_Shipments[Effective_Week],38)</f>
        <v/>
      </c>
      <c r="AN77">
        <f>SUMIFS(T_Shipments[Confirmed_Qty],T_Shipments[RM_Code],$A77,T_Shipments[Effective_Week],39)</f>
        <v/>
      </c>
      <c r="AO77">
        <f>SUMIFS(T_Shipments[Confirmed_Qty],T_Shipments[RM_Code],$A77,T_Shipments[Effective_Week],40)</f>
        <v/>
      </c>
      <c r="AP77">
        <f>SUMIFS(T_Shipments[Confirmed_Qty],T_Shipments[RM_Code],$A77,T_Shipments[Effective_Week],41)</f>
        <v/>
      </c>
      <c r="AQ77">
        <f>SUMIFS(T_Shipments[Confirmed_Qty],T_Shipments[RM_Code],$A77,T_Shipments[Effective_Week],42)</f>
        <v/>
      </c>
      <c r="AR77">
        <f>SUMIFS(T_Shipments[Confirmed_Qty],T_Shipments[RM_Code],$A77,T_Shipments[Effective_Week],43)</f>
        <v/>
      </c>
      <c r="AS77">
        <f>SUMIFS(T_Shipments[Confirmed_Qty],T_Shipments[RM_Code],$A77,T_Shipments[Effective_Week],44)</f>
        <v/>
      </c>
      <c r="AT77">
        <f>SUMIFS(T_Shipments[Confirmed_Qty],T_Shipments[RM_Code],$A77,T_Shipments[Effective_Week],45)</f>
        <v/>
      </c>
      <c r="AU77">
        <f>SUMIFS(T_Shipments[Confirmed_Qty],T_Shipments[RM_Code],$A77,T_Shipments[Effective_Week],46)</f>
        <v/>
      </c>
      <c r="AV77">
        <f>SUMIFS(T_Shipments[Confirmed_Qty],T_Shipments[RM_Code],$A77,T_Shipments[Effective_Week],47)</f>
        <v/>
      </c>
      <c r="AW77">
        <f>SUMIFS(T_Shipments[Confirmed_Qty],T_Shipments[RM_Code],$A77,T_Shipments[Effective_Week],48)</f>
        <v/>
      </c>
      <c r="AX77">
        <f>SUMIFS(T_Shipments[Confirmed_Qty],T_Shipments[RM_Code],$A77,T_Shipments[Effective_Week],49)</f>
        <v/>
      </c>
      <c r="AY77">
        <f>SUMIFS(T_Shipments[Confirmed_Qty],T_Shipments[RM_Code],$A77,T_Shipments[Effective_Week],50)</f>
        <v/>
      </c>
      <c r="AZ77">
        <f>SUMIFS(T_Shipments[Confirmed_Qty],T_Shipments[RM_Code],$A77,T_Shipments[Effective_Week],51)</f>
        <v/>
      </c>
      <c r="BA77">
        <f>SUMIFS(T_Shipments[Confirmed_Qty],T_Shipments[RM_Code],$A77,T_Shipments[Effective_Week],52)</f>
        <v/>
      </c>
      <c r="BB77">
        <f>SUMIFS(T_Shipments[Confirmed_Qty],T_Shipments[RM_Code],$A77,T_Shipments[Effective_Week],53)</f>
        <v/>
      </c>
      <c r="BC77">
        <f>SUMIFS(T_Shipments[Confirmed_Qty],T_Shipments[RM_Code],$A77,T_Shipments[Effective_Week],54)</f>
        <v/>
      </c>
      <c r="BD77">
        <f>SUMIFS(T_Shipments[Confirmed_Qty],T_Shipments[RM_Code],$A77,T_Shipments[Effective_Week],55)</f>
        <v/>
      </c>
      <c r="BE77">
        <f>SUMIFS(T_Shipments[Confirmed_Qty],T_Shipments[RM_Code],$A77,T_Shipments[Effective_Week],56)</f>
        <v/>
      </c>
      <c r="BF77">
        <f>SUMIFS(T_Shipments[Confirmed_Qty],T_Shipments[RM_Code],$A77,T_Shipments[Effective_Week],57)</f>
        <v/>
      </c>
      <c r="BG77">
        <f>SUMIFS(T_Shipments[Confirmed_Qty],T_Shipments[RM_Code],$A77,T_Shipments[Effective_Week],58)</f>
        <v/>
      </c>
      <c r="BH77">
        <f>SUMIFS(T_Shipments[Confirmed_Qty],T_Shipments[RM_Code],$A77,T_Shipments[Effective_Week],59)</f>
        <v/>
      </c>
      <c r="BI77">
        <f>SUMIFS(T_Shipments[Confirmed_Qty],T_Shipments[RM_Code],$A77,T_Shipments[Effective_Week],60)</f>
        <v/>
      </c>
      <c r="BJ77">
        <f>SUMIFS(T_Shipments[Confirmed_Qty],T_Shipments[RM_Code],$A77,T_Shipments[Effective_Week],61)</f>
        <v/>
      </c>
      <c r="BK77">
        <f>SUMIFS(T_Shipments[Confirmed_Qty],T_Shipments[RM_Code],$A77,T_Shipments[Effective_Week],62)</f>
        <v/>
      </c>
      <c r="BL77">
        <f>SUMIFS(T_Shipments[Confirmed_Qty],T_Shipments[RM_Code],$A77,T_Shipments[Effective_Week],63)</f>
        <v/>
      </c>
      <c r="BM77">
        <f>SUMIFS(T_Shipments[Confirmed_Qty],T_Shipments[RM_Code],$A77,T_Shipments[Effective_Week],64)</f>
        <v/>
      </c>
      <c r="BN77">
        <f>SUMIFS(T_Shipments[Confirmed_Qty],T_Shipments[RM_Code],$A77,T_Shipments[Effective_Week],65)</f>
        <v/>
      </c>
      <c r="BO77">
        <f>SUMIFS(T_Shipments[Confirmed_Qty],T_Shipments[RM_Code],$A77,T_Shipments[Effective_Week],66)</f>
        <v/>
      </c>
      <c r="BP77">
        <f>SUMIFS(T_Shipments[Confirmed_Qty],T_Shipments[RM_Code],$A77,T_Shipments[Effective_Week],67)</f>
        <v/>
      </c>
      <c r="BQ77">
        <f>SUMIFS(T_Shipments[Confirmed_Qty],T_Shipments[RM_Code],$A77,T_Shipments[Effective_Week],68)</f>
        <v/>
      </c>
      <c r="BR77">
        <f>SUMIFS(T_Shipments[Confirmed_Qty],T_Shipments[RM_Code],$A77,T_Shipments[Effective_Week],69)</f>
        <v/>
      </c>
      <c r="BS77">
        <f>SUMIFS(T_Shipments[Confirmed_Qty],T_Shipments[RM_Code],$A77,T_Shipments[Effective_Week],70)</f>
        <v/>
      </c>
      <c r="BT77">
        <f>SUMIFS(T_Shipments[Confirmed_Qty],T_Shipments[RM_Code],$A77,T_Shipments[Effective_Week],71)</f>
        <v/>
      </c>
      <c r="BU77">
        <f>SUMIFS(T_Shipments[Confirmed_Qty],T_Shipments[RM_Code],$A77,T_Shipments[Effective_Week],72)</f>
        <v/>
      </c>
      <c r="BV77">
        <f>SUMIFS(T_Shipments[Confirmed_Qty],T_Shipments[RM_Code],$A77,T_Shipments[Effective_Week],73)</f>
        <v/>
      </c>
      <c r="BW77">
        <f>SUMIFS(T_Shipments[Confirmed_Qty],T_Shipments[RM_Code],$A77,T_Shipments[Effective_Week],74)</f>
        <v/>
      </c>
      <c r="BX77">
        <f>SUMIFS(T_Shipments[Confirmed_Qty],T_Shipments[RM_Code],$A77,T_Shipments[Effective_Week],75)</f>
        <v/>
      </c>
      <c r="BY77">
        <f>SUMIFS(T_Shipments[Confirmed_Qty],T_Shipments[RM_Code],$A77,T_Shipments[Effective_Week],76)</f>
        <v/>
      </c>
      <c r="BZ77">
        <f>SUMIFS(T_Shipments[Confirmed_Qty],T_Shipments[RM_Code],$A77,T_Shipments[Effective_Week],77)</f>
        <v/>
      </c>
      <c r="CA77">
        <f>SUMIFS(T_Shipments[Confirmed_Qty],T_Shipments[RM_Code],$A77,T_Shipments[Effective_Week],78)</f>
        <v/>
      </c>
      <c r="CB77">
        <f>SUMIFS(T_Shipments[Confirmed_Qty],T_Shipments[RM_Code],$A77,T_Shipments[Effective_Week],79)</f>
        <v/>
      </c>
      <c r="CC77">
        <f>SUMIFS(T_Shipments[Confirmed_Qty],T_Shipments[RM_Code],$A77,T_Shipments[Effective_Week],80)</f>
        <v/>
      </c>
      <c r="CD77">
        <f>SUMIFS(T_Shipments[Confirmed_Qty],T_Shipments[RM_Code],$A77,T_Shipments[Effective_Week],81)</f>
        <v/>
      </c>
      <c r="CE77">
        <f>SUMIFS(T_Shipments[Confirmed_Qty],T_Shipments[RM_Code],$A77,T_Shipments[Effective_Week],82)</f>
        <v/>
      </c>
      <c r="CF77">
        <f>SUMIFS(T_Shipments[Confirmed_Qty],T_Shipments[RM_Code],$A77,T_Shipments[Effective_Week],83)</f>
        <v/>
      </c>
      <c r="CG77">
        <f>SUMIFS(T_Shipments[Confirmed_Qty],T_Shipments[RM_Code],$A77,T_Shipments[Effective_Week],84)</f>
        <v/>
      </c>
      <c r="CH77">
        <f>SUMIFS(T_Shipments[Confirmed_Qty],T_Shipments[RM_Code],$A77,T_Shipments[Effective_Week],85)</f>
        <v/>
      </c>
      <c r="CI77">
        <f>SUMIFS(T_Shipments[Confirmed_Qty],T_Shipments[RM_Code],$A77,T_Shipments[Effective_Week],86)</f>
        <v/>
      </c>
      <c r="CJ77">
        <f>SUMIFS(T_Shipments[Confirmed_Qty],T_Shipments[RM_Code],$A77,T_Shipments[Effective_Week],87)</f>
        <v/>
      </c>
      <c r="CK77">
        <f>SUMIFS(T_Shipments[Confirmed_Qty],T_Shipments[RM_Code],$A77,T_Shipments[Effective_Week],88)</f>
        <v/>
      </c>
      <c r="CL77">
        <f>SUMIFS(T_Shipments[Confirmed_Qty],T_Shipments[RM_Code],$A77,T_Shipments[Effective_Week],89)</f>
        <v/>
      </c>
      <c r="CM77">
        <f>SUMIFS(T_Shipments[Confirmed_Qty],T_Shipments[RM_Code],$A77,T_Shipments[Effective_Week],90)</f>
        <v/>
      </c>
      <c r="CN77">
        <f>SUMIFS(T_Shipments[Confirmed_Qty],T_Shipments[RM_Code],$A77,T_Shipments[Effective_Week],91)</f>
        <v/>
      </c>
      <c r="CO77">
        <f>SUMIFS(T_Shipments[Confirmed_Qty],T_Shipments[RM_Code],$A77,T_Shipments[Effective_Week],92)</f>
        <v/>
      </c>
      <c r="CP77">
        <f>SUMIFS(T_Shipments[Confirmed_Qty],T_Shipments[RM_Code],$A77,T_Shipments[Effective_Week],93)</f>
        <v/>
      </c>
      <c r="CQ77">
        <f>SUMIFS(T_Shipments[Confirmed_Qty],T_Shipments[RM_Code],$A77,T_Shipments[Effective_Week],94)</f>
        <v/>
      </c>
      <c r="CR77">
        <f>SUMIFS(T_Shipments[Confirmed_Qty],T_Shipments[RM_Code],$A77,T_Shipments[Effective_Week],95)</f>
        <v/>
      </c>
      <c r="CS77">
        <f>SUMIFS(T_Shipments[Confirmed_Qty],T_Shipments[RM_Code],$A77,T_Shipments[Effective_Week],96)</f>
        <v/>
      </c>
      <c r="CT77">
        <f>SUMIFS(T_Shipments[Confirmed_Qty],T_Shipments[RM_Code],$A77,T_Shipments[Effective_Week],97)</f>
        <v/>
      </c>
      <c r="CU77">
        <f>SUMIFS(T_Shipments[Confirmed_Qty],T_Shipments[RM_Code],$A77,T_Shipments[Effective_Week],98)</f>
        <v/>
      </c>
      <c r="CV77">
        <f>SUMIFS(T_Shipments[Confirmed_Qty],T_Shipments[RM_Code],$A77,T_Shipments[Effective_Week],99)</f>
        <v/>
      </c>
      <c r="CW77">
        <f>SUMIFS(T_Shipments[Confirmed_Qty],T_Shipments[RM_Code],$A77,T_Shipments[Effective_Week],100)</f>
        <v/>
      </c>
      <c r="CX77">
        <f>SUMIFS(T_Shipments[Confirmed_Qty],T_Shipments[RM_Code],$A77,T_Shipments[Effective_Week],101)</f>
        <v/>
      </c>
      <c r="CY77">
        <f>SUMIFS(T_Shipments[Confirmed_Qty],T_Shipments[RM_Code],$A77,T_Shipments[Effective_Week],102)</f>
        <v/>
      </c>
      <c r="CZ77">
        <f>SUMIFS(T_Shipments[Confirmed_Qty],T_Shipments[RM_Code],$A77,T_Shipments[Effective_Week],103)</f>
        <v/>
      </c>
      <c r="DA77">
        <f>SUMIFS(T_Shipments[Confirmed_Qty],T_Shipments[RM_Code],$A77,T_Shipments[Effective_Week],104)</f>
        <v/>
      </c>
    </row>
    <row r="78">
      <c r="A78" t="inlineStr">
        <is>
          <t>Chem-1610</t>
        </is>
      </c>
      <c r="B78">
        <f>SUMIFS(T_Shipments[Confirmed_Qty],T_Shipments[RM_Code],$A78,T_Shipments[Effective_Week],1)</f>
        <v/>
      </c>
      <c r="C78">
        <f>SUMIFS(T_Shipments[Confirmed_Qty],T_Shipments[RM_Code],$A78,T_Shipments[Effective_Week],2)</f>
        <v/>
      </c>
      <c r="D78">
        <f>SUMIFS(T_Shipments[Confirmed_Qty],T_Shipments[RM_Code],$A78,T_Shipments[Effective_Week],3)</f>
        <v/>
      </c>
      <c r="E78">
        <f>SUMIFS(T_Shipments[Confirmed_Qty],T_Shipments[RM_Code],$A78,T_Shipments[Effective_Week],4)</f>
        <v/>
      </c>
      <c r="F78">
        <f>SUMIFS(T_Shipments[Confirmed_Qty],T_Shipments[RM_Code],$A78,T_Shipments[Effective_Week],5)</f>
        <v/>
      </c>
      <c r="G78">
        <f>SUMIFS(T_Shipments[Confirmed_Qty],T_Shipments[RM_Code],$A78,T_Shipments[Effective_Week],6)</f>
        <v/>
      </c>
      <c r="H78">
        <f>SUMIFS(T_Shipments[Confirmed_Qty],T_Shipments[RM_Code],$A78,T_Shipments[Effective_Week],7)</f>
        <v/>
      </c>
      <c r="I78">
        <f>SUMIFS(T_Shipments[Confirmed_Qty],T_Shipments[RM_Code],$A78,T_Shipments[Effective_Week],8)</f>
        <v/>
      </c>
      <c r="J78">
        <f>SUMIFS(T_Shipments[Confirmed_Qty],T_Shipments[RM_Code],$A78,T_Shipments[Effective_Week],9)</f>
        <v/>
      </c>
      <c r="K78">
        <f>SUMIFS(T_Shipments[Confirmed_Qty],T_Shipments[RM_Code],$A78,T_Shipments[Effective_Week],10)</f>
        <v/>
      </c>
      <c r="L78">
        <f>SUMIFS(T_Shipments[Confirmed_Qty],T_Shipments[RM_Code],$A78,T_Shipments[Effective_Week],11)</f>
        <v/>
      </c>
      <c r="M78">
        <f>SUMIFS(T_Shipments[Confirmed_Qty],T_Shipments[RM_Code],$A78,T_Shipments[Effective_Week],12)</f>
        <v/>
      </c>
      <c r="N78">
        <f>SUMIFS(T_Shipments[Confirmed_Qty],T_Shipments[RM_Code],$A78,T_Shipments[Effective_Week],13)</f>
        <v/>
      </c>
      <c r="O78">
        <f>SUMIFS(T_Shipments[Confirmed_Qty],T_Shipments[RM_Code],$A78,T_Shipments[Effective_Week],14)</f>
        <v/>
      </c>
      <c r="P78">
        <f>SUMIFS(T_Shipments[Confirmed_Qty],T_Shipments[RM_Code],$A78,T_Shipments[Effective_Week],15)</f>
        <v/>
      </c>
      <c r="Q78">
        <f>SUMIFS(T_Shipments[Confirmed_Qty],T_Shipments[RM_Code],$A78,T_Shipments[Effective_Week],16)</f>
        <v/>
      </c>
      <c r="R78">
        <f>SUMIFS(T_Shipments[Confirmed_Qty],T_Shipments[RM_Code],$A78,T_Shipments[Effective_Week],17)</f>
        <v/>
      </c>
      <c r="S78">
        <f>SUMIFS(T_Shipments[Confirmed_Qty],T_Shipments[RM_Code],$A78,T_Shipments[Effective_Week],18)</f>
        <v/>
      </c>
      <c r="T78">
        <f>SUMIFS(T_Shipments[Confirmed_Qty],T_Shipments[RM_Code],$A78,T_Shipments[Effective_Week],19)</f>
        <v/>
      </c>
      <c r="U78">
        <f>SUMIFS(T_Shipments[Confirmed_Qty],T_Shipments[RM_Code],$A78,T_Shipments[Effective_Week],20)</f>
        <v/>
      </c>
      <c r="V78">
        <f>SUMIFS(T_Shipments[Confirmed_Qty],T_Shipments[RM_Code],$A78,T_Shipments[Effective_Week],21)</f>
        <v/>
      </c>
      <c r="W78">
        <f>SUMIFS(T_Shipments[Confirmed_Qty],T_Shipments[RM_Code],$A78,T_Shipments[Effective_Week],22)</f>
        <v/>
      </c>
      <c r="X78">
        <f>SUMIFS(T_Shipments[Confirmed_Qty],T_Shipments[RM_Code],$A78,T_Shipments[Effective_Week],23)</f>
        <v/>
      </c>
      <c r="Y78">
        <f>SUMIFS(T_Shipments[Confirmed_Qty],T_Shipments[RM_Code],$A78,T_Shipments[Effective_Week],24)</f>
        <v/>
      </c>
      <c r="Z78">
        <f>SUMIFS(T_Shipments[Confirmed_Qty],T_Shipments[RM_Code],$A78,T_Shipments[Effective_Week],25)</f>
        <v/>
      </c>
      <c r="AA78">
        <f>SUMIFS(T_Shipments[Confirmed_Qty],T_Shipments[RM_Code],$A78,T_Shipments[Effective_Week],26)</f>
        <v/>
      </c>
      <c r="AB78">
        <f>SUMIFS(T_Shipments[Confirmed_Qty],T_Shipments[RM_Code],$A78,T_Shipments[Effective_Week],27)</f>
        <v/>
      </c>
      <c r="AC78">
        <f>SUMIFS(T_Shipments[Confirmed_Qty],T_Shipments[RM_Code],$A78,T_Shipments[Effective_Week],28)</f>
        <v/>
      </c>
      <c r="AD78">
        <f>SUMIFS(T_Shipments[Confirmed_Qty],T_Shipments[RM_Code],$A78,T_Shipments[Effective_Week],29)</f>
        <v/>
      </c>
      <c r="AE78">
        <f>SUMIFS(T_Shipments[Confirmed_Qty],T_Shipments[RM_Code],$A78,T_Shipments[Effective_Week],30)</f>
        <v/>
      </c>
      <c r="AF78">
        <f>SUMIFS(T_Shipments[Confirmed_Qty],T_Shipments[RM_Code],$A78,T_Shipments[Effective_Week],31)</f>
        <v/>
      </c>
      <c r="AG78">
        <f>SUMIFS(T_Shipments[Confirmed_Qty],T_Shipments[RM_Code],$A78,T_Shipments[Effective_Week],32)</f>
        <v/>
      </c>
      <c r="AH78">
        <f>SUMIFS(T_Shipments[Confirmed_Qty],T_Shipments[RM_Code],$A78,T_Shipments[Effective_Week],33)</f>
        <v/>
      </c>
      <c r="AI78">
        <f>SUMIFS(T_Shipments[Confirmed_Qty],T_Shipments[RM_Code],$A78,T_Shipments[Effective_Week],34)</f>
        <v/>
      </c>
      <c r="AJ78">
        <f>SUMIFS(T_Shipments[Confirmed_Qty],T_Shipments[RM_Code],$A78,T_Shipments[Effective_Week],35)</f>
        <v/>
      </c>
      <c r="AK78">
        <f>SUMIFS(T_Shipments[Confirmed_Qty],T_Shipments[RM_Code],$A78,T_Shipments[Effective_Week],36)</f>
        <v/>
      </c>
      <c r="AL78">
        <f>SUMIFS(T_Shipments[Confirmed_Qty],T_Shipments[RM_Code],$A78,T_Shipments[Effective_Week],37)</f>
        <v/>
      </c>
      <c r="AM78">
        <f>SUMIFS(T_Shipments[Confirmed_Qty],T_Shipments[RM_Code],$A78,T_Shipments[Effective_Week],38)</f>
        <v/>
      </c>
      <c r="AN78">
        <f>SUMIFS(T_Shipments[Confirmed_Qty],T_Shipments[RM_Code],$A78,T_Shipments[Effective_Week],39)</f>
        <v/>
      </c>
      <c r="AO78">
        <f>SUMIFS(T_Shipments[Confirmed_Qty],T_Shipments[RM_Code],$A78,T_Shipments[Effective_Week],40)</f>
        <v/>
      </c>
      <c r="AP78">
        <f>SUMIFS(T_Shipments[Confirmed_Qty],T_Shipments[RM_Code],$A78,T_Shipments[Effective_Week],41)</f>
        <v/>
      </c>
      <c r="AQ78">
        <f>SUMIFS(T_Shipments[Confirmed_Qty],T_Shipments[RM_Code],$A78,T_Shipments[Effective_Week],42)</f>
        <v/>
      </c>
      <c r="AR78">
        <f>SUMIFS(T_Shipments[Confirmed_Qty],T_Shipments[RM_Code],$A78,T_Shipments[Effective_Week],43)</f>
        <v/>
      </c>
      <c r="AS78">
        <f>SUMIFS(T_Shipments[Confirmed_Qty],T_Shipments[RM_Code],$A78,T_Shipments[Effective_Week],44)</f>
        <v/>
      </c>
      <c r="AT78">
        <f>SUMIFS(T_Shipments[Confirmed_Qty],T_Shipments[RM_Code],$A78,T_Shipments[Effective_Week],45)</f>
        <v/>
      </c>
      <c r="AU78">
        <f>SUMIFS(T_Shipments[Confirmed_Qty],T_Shipments[RM_Code],$A78,T_Shipments[Effective_Week],46)</f>
        <v/>
      </c>
      <c r="AV78">
        <f>SUMIFS(T_Shipments[Confirmed_Qty],T_Shipments[RM_Code],$A78,T_Shipments[Effective_Week],47)</f>
        <v/>
      </c>
      <c r="AW78">
        <f>SUMIFS(T_Shipments[Confirmed_Qty],T_Shipments[RM_Code],$A78,T_Shipments[Effective_Week],48)</f>
        <v/>
      </c>
      <c r="AX78">
        <f>SUMIFS(T_Shipments[Confirmed_Qty],T_Shipments[RM_Code],$A78,T_Shipments[Effective_Week],49)</f>
        <v/>
      </c>
      <c r="AY78">
        <f>SUMIFS(T_Shipments[Confirmed_Qty],T_Shipments[RM_Code],$A78,T_Shipments[Effective_Week],50)</f>
        <v/>
      </c>
      <c r="AZ78">
        <f>SUMIFS(T_Shipments[Confirmed_Qty],T_Shipments[RM_Code],$A78,T_Shipments[Effective_Week],51)</f>
        <v/>
      </c>
      <c r="BA78">
        <f>SUMIFS(T_Shipments[Confirmed_Qty],T_Shipments[RM_Code],$A78,T_Shipments[Effective_Week],52)</f>
        <v/>
      </c>
      <c r="BB78">
        <f>SUMIFS(T_Shipments[Confirmed_Qty],T_Shipments[RM_Code],$A78,T_Shipments[Effective_Week],53)</f>
        <v/>
      </c>
      <c r="BC78">
        <f>SUMIFS(T_Shipments[Confirmed_Qty],T_Shipments[RM_Code],$A78,T_Shipments[Effective_Week],54)</f>
        <v/>
      </c>
      <c r="BD78">
        <f>SUMIFS(T_Shipments[Confirmed_Qty],T_Shipments[RM_Code],$A78,T_Shipments[Effective_Week],55)</f>
        <v/>
      </c>
      <c r="BE78">
        <f>SUMIFS(T_Shipments[Confirmed_Qty],T_Shipments[RM_Code],$A78,T_Shipments[Effective_Week],56)</f>
        <v/>
      </c>
      <c r="BF78">
        <f>SUMIFS(T_Shipments[Confirmed_Qty],T_Shipments[RM_Code],$A78,T_Shipments[Effective_Week],57)</f>
        <v/>
      </c>
      <c r="BG78">
        <f>SUMIFS(T_Shipments[Confirmed_Qty],T_Shipments[RM_Code],$A78,T_Shipments[Effective_Week],58)</f>
        <v/>
      </c>
      <c r="BH78">
        <f>SUMIFS(T_Shipments[Confirmed_Qty],T_Shipments[RM_Code],$A78,T_Shipments[Effective_Week],59)</f>
        <v/>
      </c>
      <c r="BI78">
        <f>SUMIFS(T_Shipments[Confirmed_Qty],T_Shipments[RM_Code],$A78,T_Shipments[Effective_Week],60)</f>
        <v/>
      </c>
      <c r="BJ78">
        <f>SUMIFS(T_Shipments[Confirmed_Qty],T_Shipments[RM_Code],$A78,T_Shipments[Effective_Week],61)</f>
        <v/>
      </c>
      <c r="BK78">
        <f>SUMIFS(T_Shipments[Confirmed_Qty],T_Shipments[RM_Code],$A78,T_Shipments[Effective_Week],62)</f>
        <v/>
      </c>
      <c r="BL78">
        <f>SUMIFS(T_Shipments[Confirmed_Qty],T_Shipments[RM_Code],$A78,T_Shipments[Effective_Week],63)</f>
        <v/>
      </c>
      <c r="BM78">
        <f>SUMIFS(T_Shipments[Confirmed_Qty],T_Shipments[RM_Code],$A78,T_Shipments[Effective_Week],64)</f>
        <v/>
      </c>
      <c r="BN78">
        <f>SUMIFS(T_Shipments[Confirmed_Qty],T_Shipments[RM_Code],$A78,T_Shipments[Effective_Week],65)</f>
        <v/>
      </c>
      <c r="BO78">
        <f>SUMIFS(T_Shipments[Confirmed_Qty],T_Shipments[RM_Code],$A78,T_Shipments[Effective_Week],66)</f>
        <v/>
      </c>
      <c r="BP78">
        <f>SUMIFS(T_Shipments[Confirmed_Qty],T_Shipments[RM_Code],$A78,T_Shipments[Effective_Week],67)</f>
        <v/>
      </c>
      <c r="BQ78">
        <f>SUMIFS(T_Shipments[Confirmed_Qty],T_Shipments[RM_Code],$A78,T_Shipments[Effective_Week],68)</f>
        <v/>
      </c>
      <c r="BR78">
        <f>SUMIFS(T_Shipments[Confirmed_Qty],T_Shipments[RM_Code],$A78,T_Shipments[Effective_Week],69)</f>
        <v/>
      </c>
      <c r="BS78">
        <f>SUMIFS(T_Shipments[Confirmed_Qty],T_Shipments[RM_Code],$A78,T_Shipments[Effective_Week],70)</f>
        <v/>
      </c>
      <c r="BT78">
        <f>SUMIFS(T_Shipments[Confirmed_Qty],T_Shipments[RM_Code],$A78,T_Shipments[Effective_Week],71)</f>
        <v/>
      </c>
      <c r="BU78">
        <f>SUMIFS(T_Shipments[Confirmed_Qty],T_Shipments[RM_Code],$A78,T_Shipments[Effective_Week],72)</f>
        <v/>
      </c>
      <c r="BV78">
        <f>SUMIFS(T_Shipments[Confirmed_Qty],T_Shipments[RM_Code],$A78,T_Shipments[Effective_Week],73)</f>
        <v/>
      </c>
      <c r="BW78">
        <f>SUMIFS(T_Shipments[Confirmed_Qty],T_Shipments[RM_Code],$A78,T_Shipments[Effective_Week],74)</f>
        <v/>
      </c>
      <c r="BX78">
        <f>SUMIFS(T_Shipments[Confirmed_Qty],T_Shipments[RM_Code],$A78,T_Shipments[Effective_Week],75)</f>
        <v/>
      </c>
      <c r="BY78">
        <f>SUMIFS(T_Shipments[Confirmed_Qty],T_Shipments[RM_Code],$A78,T_Shipments[Effective_Week],76)</f>
        <v/>
      </c>
      <c r="BZ78">
        <f>SUMIFS(T_Shipments[Confirmed_Qty],T_Shipments[RM_Code],$A78,T_Shipments[Effective_Week],77)</f>
        <v/>
      </c>
      <c r="CA78">
        <f>SUMIFS(T_Shipments[Confirmed_Qty],T_Shipments[RM_Code],$A78,T_Shipments[Effective_Week],78)</f>
        <v/>
      </c>
      <c r="CB78">
        <f>SUMIFS(T_Shipments[Confirmed_Qty],T_Shipments[RM_Code],$A78,T_Shipments[Effective_Week],79)</f>
        <v/>
      </c>
      <c r="CC78">
        <f>SUMIFS(T_Shipments[Confirmed_Qty],T_Shipments[RM_Code],$A78,T_Shipments[Effective_Week],80)</f>
        <v/>
      </c>
      <c r="CD78">
        <f>SUMIFS(T_Shipments[Confirmed_Qty],T_Shipments[RM_Code],$A78,T_Shipments[Effective_Week],81)</f>
        <v/>
      </c>
      <c r="CE78">
        <f>SUMIFS(T_Shipments[Confirmed_Qty],T_Shipments[RM_Code],$A78,T_Shipments[Effective_Week],82)</f>
        <v/>
      </c>
      <c r="CF78">
        <f>SUMIFS(T_Shipments[Confirmed_Qty],T_Shipments[RM_Code],$A78,T_Shipments[Effective_Week],83)</f>
        <v/>
      </c>
      <c r="CG78">
        <f>SUMIFS(T_Shipments[Confirmed_Qty],T_Shipments[RM_Code],$A78,T_Shipments[Effective_Week],84)</f>
        <v/>
      </c>
      <c r="CH78">
        <f>SUMIFS(T_Shipments[Confirmed_Qty],T_Shipments[RM_Code],$A78,T_Shipments[Effective_Week],85)</f>
        <v/>
      </c>
      <c r="CI78">
        <f>SUMIFS(T_Shipments[Confirmed_Qty],T_Shipments[RM_Code],$A78,T_Shipments[Effective_Week],86)</f>
        <v/>
      </c>
      <c r="CJ78">
        <f>SUMIFS(T_Shipments[Confirmed_Qty],T_Shipments[RM_Code],$A78,T_Shipments[Effective_Week],87)</f>
        <v/>
      </c>
      <c r="CK78">
        <f>SUMIFS(T_Shipments[Confirmed_Qty],T_Shipments[RM_Code],$A78,T_Shipments[Effective_Week],88)</f>
        <v/>
      </c>
      <c r="CL78">
        <f>SUMIFS(T_Shipments[Confirmed_Qty],T_Shipments[RM_Code],$A78,T_Shipments[Effective_Week],89)</f>
        <v/>
      </c>
      <c r="CM78">
        <f>SUMIFS(T_Shipments[Confirmed_Qty],T_Shipments[RM_Code],$A78,T_Shipments[Effective_Week],90)</f>
        <v/>
      </c>
      <c r="CN78">
        <f>SUMIFS(T_Shipments[Confirmed_Qty],T_Shipments[RM_Code],$A78,T_Shipments[Effective_Week],91)</f>
        <v/>
      </c>
      <c r="CO78">
        <f>SUMIFS(T_Shipments[Confirmed_Qty],T_Shipments[RM_Code],$A78,T_Shipments[Effective_Week],92)</f>
        <v/>
      </c>
      <c r="CP78">
        <f>SUMIFS(T_Shipments[Confirmed_Qty],T_Shipments[RM_Code],$A78,T_Shipments[Effective_Week],93)</f>
        <v/>
      </c>
      <c r="CQ78">
        <f>SUMIFS(T_Shipments[Confirmed_Qty],T_Shipments[RM_Code],$A78,T_Shipments[Effective_Week],94)</f>
        <v/>
      </c>
      <c r="CR78">
        <f>SUMIFS(T_Shipments[Confirmed_Qty],T_Shipments[RM_Code],$A78,T_Shipments[Effective_Week],95)</f>
        <v/>
      </c>
      <c r="CS78">
        <f>SUMIFS(T_Shipments[Confirmed_Qty],T_Shipments[RM_Code],$A78,T_Shipments[Effective_Week],96)</f>
        <v/>
      </c>
      <c r="CT78">
        <f>SUMIFS(T_Shipments[Confirmed_Qty],T_Shipments[RM_Code],$A78,T_Shipments[Effective_Week],97)</f>
        <v/>
      </c>
      <c r="CU78">
        <f>SUMIFS(T_Shipments[Confirmed_Qty],T_Shipments[RM_Code],$A78,T_Shipments[Effective_Week],98)</f>
        <v/>
      </c>
      <c r="CV78">
        <f>SUMIFS(T_Shipments[Confirmed_Qty],T_Shipments[RM_Code],$A78,T_Shipments[Effective_Week],99)</f>
        <v/>
      </c>
      <c r="CW78">
        <f>SUMIFS(T_Shipments[Confirmed_Qty],T_Shipments[RM_Code],$A78,T_Shipments[Effective_Week],100)</f>
        <v/>
      </c>
      <c r="CX78">
        <f>SUMIFS(T_Shipments[Confirmed_Qty],T_Shipments[RM_Code],$A78,T_Shipments[Effective_Week],101)</f>
        <v/>
      </c>
      <c r="CY78">
        <f>SUMIFS(T_Shipments[Confirmed_Qty],T_Shipments[RM_Code],$A78,T_Shipments[Effective_Week],102)</f>
        <v/>
      </c>
      <c r="CZ78">
        <f>SUMIFS(T_Shipments[Confirmed_Qty],T_Shipments[RM_Code],$A78,T_Shipments[Effective_Week],103)</f>
        <v/>
      </c>
      <c r="DA78">
        <f>SUMIFS(T_Shipments[Confirmed_Qty],T_Shipments[RM_Code],$A78,T_Shipments[Effective_Week],104)</f>
        <v/>
      </c>
    </row>
    <row r="79">
      <c r="A79" t="inlineStr">
        <is>
          <t>Chem-1490</t>
        </is>
      </c>
      <c r="B79">
        <f>SUMIFS(T_Shipments[Confirmed_Qty],T_Shipments[RM_Code],$A79,T_Shipments[Effective_Week],1)</f>
        <v/>
      </c>
      <c r="C79">
        <f>SUMIFS(T_Shipments[Confirmed_Qty],T_Shipments[RM_Code],$A79,T_Shipments[Effective_Week],2)</f>
        <v/>
      </c>
      <c r="D79">
        <f>SUMIFS(T_Shipments[Confirmed_Qty],T_Shipments[RM_Code],$A79,T_Shipments[Effective_Week],3)</f>
        <v/>
      </c>
      <c r="E79">
        <f>SUMIFS(T_Shipments[Confirmed_Qty],T_Shipments[RM_Code],$A79,T_Shipments[Effective_Week],4)</f>
        <v/>
      </c>
      <c r="F79">
        <f>SUMIFS(T_Shipments[Confirmed_Qty],T_Shipments[RM_Code],$A79,T_Shipments[Effective_Week],5)</f>
        <v/>
      </c>
      <c r="G79">
        <f>SUMIFS(T_Shipments[Confirmed_Qty],T_Shipments[RM_Code],$A79,T_Shipments[Effective_Week],6)</f>
        <v/>
      </c>
      <c r="H79">
        <f>SUMIFS(T_Shipments[Confirmed_Qty],T_Shipments[RM_Code],$A79,T_Shipments[Effective_Week],7)</f>
        <v/>
      </c>
      <c r="I79">
        <f>SUMIFS(T_Shipments[Confirmed_Qty],T_Shipments[RM_Code],$A79,T_Shipments[Effective_Week],8)</f>
        <v/>
      </c>
      <c r="J79">
        <f>SUMIFS(T_Shipments[Confirmed_Qty],T_Shipments[RM_Code],$A79,T_Shipments[Effective_Week],9)</f>
        <v/>
      </c>
      <c r="K79">
        <f>SUMIFS(T_Shipments[Confirmed_Qty],T_Shipments[RM_Code],$A79,T_Shipments[Effective_Week],10)</f>
        <v/>
      </c>
      <c r="L79">
        <f>SUMIFS(T_Shipments[Confirmed_Qty],T_Shipments[RM_Code],$A79,T_Shipments[Effective_Week],11)</f>
        <v/>
      </c>
      <c r="M79">
        <f>SUMIFS(T_Shipments[Confirmed_Qty],T_Shipments[RM_Code],$A79,T_Shipments[Effective_Week],12)</f>
        <v/>
      </c>
      <c r="N79">
        <f>SUMIFS(T_Shipments[Confirmed_Qty],T_Shipments[RM_Code],$A79,T_Shipments[Effective_Week],13)</f>
        <v/>
      </c>
      <c r="O79">
        <f>SUMIFS(T_Shipments[Confirmed_Qty],T_Shipments[RM_Code],$A79,T_Shipments[Effective_Week],14)</f>
        <v/>
      </c>
      <c r="P79">
        <f>SUMIFS(T_Shipments[Confirmed_Qty],T_Shipments[RM_Code],$A79,T_Shipments[Effective_Week],15)</f>
        <v/>
      </c>
      <c r="Q79">
        <f>SUMIFS(T_Shipments[Confirmed_Qty],T_Shipments[RM_Code],$A79,T_Shipments[Effective_Week],16)</f>
        <v/>
      </c>
      <c r="R79">
        <f>SUMIFS(T_Shipments[Confirmed_Qty],T_Shipments[RM_Code],$A79,T_Shipments[Effective_Week],17)</f>
        <v/>
      </c>
      <c r="S79">
        <f>SUMIFS(T_Shipments[Confirmed_Qty],T_Shipments[RM_Code],$A79,T_Shipments[Effective_Week],18)</f>
        <v/>
      </c>
      <c r="T79">
        <f>SUMIFS(T_Shipments[Confirmed_Qty],T_Shipments[RM_Code],$A79,T_Shipments[Effective_Week],19)</f>
        <v/>
      </c>
      <c r="U79">
        <f>SUMIFS(T_Shipments[Confirmed_Qty],T_Shipments[RM_Code],$A79,T_Shipments[Effective_Week],20)</f>
        <v/>
      </c>
      <c r="V79">
        <f>SUMIFS(T_Shipments[Confirmed_Qty],T_Shipments[RM_Code],$A79,T_Shipments[Effective_Week],21)</f>
        <v/>
      </c>
      <c r="W79">
        <f>SUMIFS(T_Shipments[Confirmed_Qty],T_Shipments[RM_Code],$A79,T_Shipments[Effective_Week],22)</f>
        <v/>
      </c>
      <c r="X79">
        <f>SUMIFS(T_Shipments[Confirmed_Qty],T_Shipments[RM_Code],$A79,T_Shipments[Effective_Week],23)</f>
        <v/>
      </c>
      <c r="Y79">
        <f>SUMIFS(T_Shipments[Confirmed_Qty],T_Shipments[RM_Code],$A79,T_Shipments[Effective_Week],24)</f>
        <v/>
      </c>
      <c r="Z79">
        <f>SUMIFS(T_Shipments[Confirmed_Qty],T_Shipments[RM_Code],$A79,T_Shipments[Effective_Week],25)</f>
        <v/>
      </c>
      <c r="AA79">
        <f>SUMIFS(T_Shipments[Confirmed_Qty],T_Shipments[RM_Code],$A79,T_Shipments[Effective_Week],26)</f>
        <v/>
      </c>
      <c r="AB79">
        <f>SUMIFS(T_Shipments[Confirmed_Qty],T_Shipments[RM_Code],$A79,T_Shipments[Effective_Week],27)</f>
        <v/>
      </c>
      <c r="AC79">
        <f>SUMIFS(T_Shipments[Confirmed_Qty],T_Shipments[RM_Code],$A79,T_Shipments[Effective_Week],28)</f>
        <v/>
      </c>
      <c r="AD79">
        <f>SUMIFS(T_Shipments[Confirmed_Qty],T_Shipments[RM_Code],$A79,T_Shipments[Effective_Week],29)</f>
        <v/>
      </c>
      <c r="AE79">
        <f>SUMIFS(T_Shipments[Confirmed_Qty],T_Shipments[RM_Code],$A79,T_Shipments[Effective_Week],30)</f>
        <v/>
      </c>
      <c r="AF79">
        <f>SUMIFS(T_Shipments[Confirmed_Qty],T_Shipments[RM_Code],$A79,T_Shipments[Effective_Week],31)</f>
        <v/>
      </c>
      <c r="AG79">
        <f>SUMIFS(T_Shipments[Confirmed_Qty],T_Shipments[RM_Code],$A79,T_Shipments[Effective_Week],32)</f>
        <v/>
      </c>
      <c r="AH79">
        <f>SUMIFS(T_Shipments[Confirmed_Qty],T_Shipments[RM_Code],$A79,T_Shipments[Effective_Week],33)</f>
        <v/>
      </c>
      <c r="AI79">
        <f>SUMIFS(T_Shipments[Confirmed_Qty],T_Shipments[RM_Code],$A79,T_Shipments[Effective_Week],34)</f>
        <v/>
      </c>
      <c r="AJ79">
        <f>SUMIFS(T_Shipments[Confirmed_Qty],T_Shipments[RM_Code],$A79,T_Shipments[Effective_Week],35)</f>
        <v/>
      </c>
      <c r="AK79">
        <f>SUMIFS(T_Shipments[Confirmed_Qty],T_Shipments[RM_Code],$A79,T_Shipments[Effective_Week],36)</f>
        <v/>
      </c>
      <c r="AL79">
        <f>SUMIFS(T_Shipments[Confirmed_Qty],T_Shipments[RM_Code],$A79,T_Shipments[Effective_Week],37)</f>
        <v/>
      </c>
      <c r="AM79">
        <f>SUMIFS(T_Shipments[Confirmed_Qty],T_Shipments[RM_Code],$A79,T_Shipments[Effective_Week],38)</f>
        <v/>
      </c>
      <c r="AN79">
        <f>SUMIFS(T_Shipments[Confirmed_Qty],T_Shipments[RM_Code],$A79,T_Shipments[Effective_Week],39)</f>
        <v/>
      </c>
      <c r="AO79">
        <f>SUMIFS(T_Shipments[Confirmed_Qty],T_Shipments[RM_Code],$A79,T_Shipments[Effective_Week],40)</f>
        <v/>
      </c>
      <c r="AP79">
        <f>SUMIFS(T_Shipments[Confirmed_Qty],T_Shipments[RM_Code],$A79,T_Shipments[Effective_Week],41)</f>
        <v/>
      </c>
      <c r="AQ79">
        <f>SUMIFS(T_Shipments[Confirmed_Qty],T_Shipments[RM_Code],$A79,T_Shipments[Effective_Week],42)</f>
        <v/>
      </c>
      <c r="AR79">
        <f>SUMIFS(T_Shipments[Confirmed_Qty],T_Shipments[RM_Code],$A79,T_Shipments[Effective_Week],43)</f>
        <v/>
      </c>
      <c r="AS79">
        <f>SUMIFS(T_Shipments[Confirmed_Qty],T_Shipments[RM_Code],$A79,T_Shipments[Effective_Week],44)</f>
        <v/>
      </c>
      <c r="AT79">
        <f>SUMIFS(T_Shipments[Confirmed_Qty],T_Shipments[RM_Code],$A79,T_Shipments[Effective_Week],45)</f>
        <v/>
      </c>
      <c r="AU79">
        <f>SUMIFS(T_Shipments[Confirmed_Qty],T_Shipments[RM_Code],$A79,T_Shipments[Effective_Week],46)</f>
        <v/>
      </c>
      <c r="AV79">
        <f>SUMIFS(T_Shipments[Confirmed_Qty],T_Shipments[RM_Code],$A79,T_Shipments[Effective_Week],47)</f>
        <v/>
      </c>
      <c r="AW79">
        <f>SUMIFS(T_Shipments[Confirmed_Qty],T_Shipments[RM_Code],$A79,T_Shipments[Effective_Week],48)</f>
        <v/>
      </c>
      <c r="AX79">
        <f>SUMIFS(T_Shipments[Confirmed_Qty],T_Shipments[RM_Code],$A79,T_Shipments[Effective_Week],49)</f>
        <v/>
      </c>
      <c r="AY79">
        <f>SUMIFS(T_Shipments[Confirmed_Qty],T_Shipments[RM_Code],$A79,T_Shipments[Effective_Week],50)</f>
        <v/>
      </c>
      <c r="AZ79">
        <f>SUMIFS(T_Shipments[Confirmed_Qty],T_Shipments[RM_Code],$A79,T_Shipments[Effective_Week],51)</f>
        <v/>
      </c>
      <c r="BA79">
        <f>SUMIFS(T_Shipments[Confirmed_Qty],T_Shipments[RM_Code],$A79,T_Shipments[Effective_Week],52)</f>
        <v/>
      </c>
      <c r="BB79">
        <f>SUMIFS(T_Shipments[Confirmed_Qty],T_Shipments[RM_Code],$A79,T_Shipments[Effective_Week],53)</f>
        <v/>
      </c>
      <c r="BC79">
        <f>SUMIFS(T_Shipments[Confirmed_Qty],T_Shipments[RM_Code],$A79,T_Shipments[Effective_Week],54)</f>
        <v/>
      </c>
      <c r="BD79">
        <f>SUMIFS(T_Shipments[Confirmed_Qty],T_Shipments[RM_Code],$A79,T_Shipments[Effective_Week],55)</f>
        <v/>
      </c>
      <c r="BE79">
        <f>SUMIFS(T_Shipments[Confirmed_Qty],T_Shipments[RM_Code],$A79,T_Shipments[Effective_Week],56)</f>
        <v/>
      </c>
      <c r="BF79">
        <f>SUMIFS(T_Shipments[Confirmed_Qty],T_Shipments[RM_Code],$A79,T_Shipments[Effective_Week],57)</f>
        <v/>
      </c>
      <c r="BG79">
        <f>SUMIFS(T_Shipments[Confirmed_Qty],T_Shipments[RM_Code],$A79,T_Shipments[Effective_Week],58)</f>
        <v/>
      </c>
      <c r="BH79">
        <f>SUMIFS(T_Shipments[Confirmed_Qty],T_Shipments[RM_Code],$A79,T_Shipments[Effective_Week],59)</f>
        <v/>
      </c>
      <c r="BI79">
        <f>SUMIFS(T_Shipments[Confirmed_Qty],T_Shipments[RM_Code],$A79,T_Shipments[Effective_Week],60)</f>
        <v/>
      </c>
      <c r="BJ79">
        <f>SUMIFS(T_Shipments[Confirmed_Qty],T_Shipments[RM_Code],$A79,T_Shipments[Effective_Week],61)</f>
        <v/>
      </c>
      <c r="BK79">
        <f>SUMIFS(T_Shipments[Confirmed_Qty],T_Shipments[RM_Code],$A79,T_Shipments[Effective_Week],62)</f>
        <v/>
      </c>
      <c r="BL79">
        <f>SUMIFS(T_Shipments[Confirmed_Qty],T_Shipments[RM_Code],$A79,T_Shipments[Effective_Week],63)</f>
        <v/>
      </c>
      <c r="BM79">
        <f>SUMIFS(T_Shipments[Confirmed_Qty],T_Shipments[RM_Code],$A79,T_Shipments[Effective_Week],64)</f>
        <v/>
      </c>
      <c r="BN79">
        <f>SUMIFS(T_Shipments[Confirmed_Qty],T_Shipments[RM_Code],$A79,T_Shipments[Effective_Week],65)</f>
        <v/>
      </c>
      <c r="BO79">
        <f>SUMIFS(T_Shipments[Confirmed_Qty],T_Shipments[RM_Code],$A79,T_Shipments[Effective_Week],66)</f>
        <v/>
      </c>
      <c r="BP79">
        <f>SUMIFS(T_Shipments[Confirmed_Qty],T_Shipments[RM_Code],$A79,T_Shipments[Effective_Week],67)</f>
        <v/>
      </c>
      <c r="BQ79">
        <f>SUMIFS(T_Shipments[Confirmed_Qty],T_Shipments[RM_Code],$A79,T_Shipments[Effective_Week],68)</f>
        <v/>
      </c>
      <c r="BR79">
        <f>SUMIFS(T_Shipments[Confirmed_Qty],T_Shipments[RM_Code],$A79,T_Shipments[Effective_Week],69)</f>
        <v/>
      </c>
      <c r="BS79">
        <f>SUMIFS(T_Shipments[Confirmed_Qty],T_Shipments[RM_Code],$A79,T_Shipments[Effective_Week],70)</f>
        <v/>
      </c>
      <c r="BT79">
        <f>SUMIFS(T_Shipments[Confirmed_Qty],T_Shipments[RM_Code],$A79,T_Shipments[Effective_Week],71)</f>
        <v/>
      </c>
      <c r="BU79">
        <f>SUMIFS(T_Shipments[Confirmed_Qty],T_Shipments[RM_Code],$A79,T_Shipments[Effective_Week],72)</f>
        <v/>
      </c>
      <c r="BV79">
        <f>SUMIFS(T_Shipments[Confirmed_Qty],T_Shipments[RM_Code],$A79,T_Shipments[Effective_Week],73)</f>
        <v/>
      </c>
      <c r="BW79">
        <f>SUMIFS(T_Shipments[Confirmed_Qty],T_Shipments[RM_Code],$A79,T_Shipments[Effective_Week],74)</f>
        <v/>
      </c>
      <c r="BX79">
        <f>SUMIFS(T_Shipments[Confirmed_Qty],T_Shipments[RM_Code],$A79,T_Shipments[Effective_Week],75)</f>
        <v/>
      </c>
      <c r="BY79">
        <f>SUMIFS(T_Shipments[Confirmed_Qty],T_Shipments[RM_Code],$A79,T_Shipments[Effective_Week],76)</f>
        <v/>
      </c>
      <c r="BZ79">
        <f>SUMIFS(T_Shipments[Confirmed_Qty],T_Shipments[RM_Code],$A79,T_Shipments[Effective_Week],77)</f>
        <v/>
      </c>
      <c r="CA79">
        <f>SUMIFS(T_Shipments[Confirmed_Qty],T_Shipments[RM_Code],$A79,T_Shipments[Effective_Week],78)</f>
        <v/>
      </c>
      <c r="CB79">
        <f>SUMIFS(T_Shipments[Confirmed_Qty],T_Shipments[RM_Code],$A79,T_Shipments[Effective_Week],79)</f>
        <v/>
      </c>
      <c r="CC79">
        <f>SUMIFS(T_Shipments[Confirmed_Qty],T_Shipments[RM_Code],$A79,T_Shipments[Effective_Week],80)</f>
        <v/>
      </c>
      <c r="CD79">
        <f>SUMIFS(T_Shipments[Confirmed_Qty],T_Shipments[RM_Code],$A79,T_Shipments[Effective_Week],81)</f>
        <v/>
      </c>
      <c r="CE79">
        <f>SUMIFS(T_Shipments[Confirmed_Qty],T_Shipments[RM_Code],$A79,T_Shipments[Effective_Week],82)</f>
        <v/>
      </c>
      <c r="CF79">
        <f>SUMIFS(T_Shipments[Confirmed_Qty],T_Shipments[RM_Code],$A79,T_Shipments[Effective_Week],83)</f>
        <v/>
      </c>
      <c r="CG79">
        <f>SUMIFS(T_Shipments[Confirmed_Qty],T_Shipments[RM_Code],$A79,T_Shipments[Effective_Week],84)</f>
        <v/>
      </c>
      <c r="CH79">
        <f>SUMIFS(T_Shipments[Confirmed_Qty],T_Shipments[RM_Code],$A79,T_Shipments[Effective_Week],85)</f>
        <v/>
      </c>
      <c r="CI79">
        <f>SUMIFS(T_Shipments[Confirmed_Qty],T_Shipments[RM_Code],$A79,T_Shipments[Effective_Week],86)</f>
        <v/>
      </c>
      <c r="CJ79">
        <f>SUMIFS(T_Shipments[Confirmed_Qty],T_Shipments[RM_Code],$A79,T_Shipments[Effective_Week],87)</f>
        <v/>
      </c>
      <c r="CK79">
        <f>SUMIFS(T_Shipments[Confirmed_Qty],T_Shipments[RM_Code],$A79,T_Shipments[Effective_Week],88)</f>
        <v/>
      </c>
      <c r="CL79">
        <f>SUMIFS(T_Shipments[Confirmed_Qty],T_Shipments[RM_Code],$A79,T_Shipments[Effective_Week],89)</f>
        <v/>
      </c>
      <c r="CM79">
        <f>SUMIFS(T_Shipments[Confirmed_Qty],T_Shipments[RM_Code],$A79,T_Shipments[Effective_Week],90)</f>
        <v/>
      </c>
      <c r="CN79">
        <f>SUMIFS(T_Shipments[Confirmed_Qty],T_Shipments[RM_Code],$A79,T_Shipments[Effective_Week],91)</f>
        <v/>
      </c>
      <c r="CO79">
        <f>SUMIFS(T_Shipments[Confirmed_Qty],T_Shipments[RM_Code],$A79,T_Shipments[Effective_Week],92)</f>
        <v/>
      </c>
      <c r="CP79">
        <f>SUMIFS(T_Shipments[Confirmed_Qty],T_Shipments[RM_Code],$A79,T_Shipments[Effective_Week],93)</f>
        <v/>
      </c>
      <c r="CQ79">
        <f>SUMIFS(T_Shipments[Confirmed_Qty],T_Shipments[RM_Code],$A79,T_Shipments[Effective_Week],94)</f>
        <v/>
      </c>
      <c r="CR79">
        <f>SUMIFS(T_Shipments[Confirmed_Qty],T_Shipments[RM_Code],$A79,T_Shipments[Effective_Week],95)</f>
        <v/>
      </c>
      <c r="CS79">
        <f>SUMIFS(T_Shipments[Confirmed_Qty],T_Shipments[RM_Code],$A79,T_Shipments[Effective_Week],96)</f>
        <v/>
      </c>
      <c r="CT79">
        <f>SUMIFS(T_Shipments[Confirmed_Qty],T_Shipments[RM_Code],$A79,T_Shipments[Effective_Week],97)</f>
        <v/>
      </c>
      <c r="CU79">
        <f>SUMIFS(T_Shipments[Confirmed_Qty],T_Shipments[RM_Code],$A79,T_Shipments[Effective_Week],98)</f>
        <v/>
      </c>
      <c r="CV79">
        <f>SUMIFS(T_Shipments[Confirmed_Qty],T_Shipments[RM_Code],$A79,T_Shipments[Effective_Week],99)</f>
        <v/>
      </c>
      <c r="CW79">
        <f>SUMIFS(T_Shipments[Confirmed_Qty],T_Shipments[RM_Code],$A79,T_Shipments[Effective_Week],100)</f>
        <v/>
      </c>
      <c r="CX79">
        <f>SUMIFS(T_Shipments[Confirmed_Qty],T_Shipments[RM_Code],$A79,T_Shipments[Effective_Week],101)</f>
        <v/>
      </c>
      <c r="CY79">
        <f>SUMIFS(T_Shipments[Confirmed_Qty],T_Shipments[RM_Code],$A79,T_Shipments[Effective_Week],102)</f>
        <v/>
      </c>
      <c r="CZ79">
        <f>SUMIFS(T_Shipments[Confirmed_Qty],T_Shipments[RM_Code],$A79,T_Shipments[Effective_Week],103)</f>
        <v/>
      </c>
      <c r="DA79">
        <f>SUMIFS(T_Shipments[Confirmed_Qty],T_Shipments[RM_Code],$A79,T_Shipments[Effective_Week],104)</f>
        <v/>
      </c>
    </row>
    <row r="80">
      <c r="A80" t="inlineStr">
        <is>
          <t>Chem-1790</t>
        </is>
      </c>
      <c r="B80">
        <f>SUMIFS(T_Shipments[Confirmed_Qty],T_Shipments[RM_Code],$A80,T_Shipments[Effective_Week],1)</f>
        <v/>
      </c>
      <c r="C80">
        <f>SUMIFS(T_Shipments[Confirmed_Qty],T_Shipments[RM_Code],$A80,T_Shipments[Effective_Week],2)</f>
        <v/>
      </c>
      <c r="D80">
        <f>SUMIFS(T_Shipments[Confirmed_Qty],T_Shipments[RM_Code],$A80,T_Shipments[Effective_Week],3)</f>
        <v/>
      </c>
      <c r="E80">
        <f>SUMIFS(T_Shipments[Confirmed_Qty],T_Shipments[RM_Code],$A80,T_Shipments[Effective_Week],4)</f>
        <v/>
      </c>
      <c r="F80">
        <f>SUMIFS(T_Shipments[Confirmed_Qty],T_Shipments[RM_Code],$A80,T_Shipments[Effective_Week],5)</f>
        <v/>
      </c>
      <c r="G80">
        <f>SUMIFS(T_Shipments[Confirmed_Qty],T_Shipments[RM_Code],$A80,T_Shipments[Effective_Week],6)</f>
        <v/>
      </c>
      <c r="H80">
        <f>SUMIFS(T_Shipments[Confirmed_Qty],T_Shipments[RM_Code],$A80,T_Shipments[Effective_Week],7)</f>
        <v/>
      </c>
      <c r="I80">
        <f>SUMIFS(T_Shipments[Confirmed_Qty],T_Shipments[RM_Code],$A80,T_Shipments[Effective_Week],8)</f>
        <v/>
      </c>
      <c r="J80">
        <f>SUMIFS(T_Shipments[Confirmed_Qty],T_Shipments[RM_Code],$A80,T_Shipments[Effective_Week],9)</f>
        <v/>
      </c>
      <c r="K80">
        <f>SUMIFS(T_Shipments[Confirmed_Qty],T_Shipments[RM_Code],$A80,T_Shipments[Effective_Week],10)</f>
        <v/>
      </c>
      <c r="L80">
        <f>SUMIFS(T_Shipments[Confirmed_Qty],T_Shipments[RM_Code],$A80,T_Shipments[Effective_Week],11)</f>
        <v/>
      </c>
      <c r="M80">
        <f>SUMIFS(T_Shipments[Confirmed_Qty],T_Shipments[RM_Code],$A80,T_Shipments[Effective_Week],12)</f>
        <v/>
      </c>
      <c r="N80">
        <f>SUMIFS(T_Shipments[Confirmed_Qty],T_Shipments[RM_Code],$A80,T_Shipments[Effective_Week],13)</f>
        <v/>
      </c>
      <c r="O80">
        <f>SUMIFS(T_Shipments[Confirmed_Qty],T_Shipments[RM_Code],$A80,T_Shipments[Effective_Week],14)</f>
        <v/>
      </c>
      <c r="P80">
        <f>SUMIFS(T_Shipments[Confirmed_Qty],T_Shipments[RM_Code],$A80,T_Shipments[Effective_Week],15)</f>
        <v/>
      </c>
      <c r="Q80">
        <f>SUMIFS(T_Shipments[Confirmed_Qty],T_Shipments[RM_Code],$A80,T_Shipments[Effective_Week],16)</f>
        <v/>
      </c>
      <c r="R80">
        <f>SUMIFS(T_Shipments[Confirmed_Qty],T_Shipments[RM_Code],$A80,T_Shipments[Effective_Week],17)</f>
        <v/>
      </c>
      <c r="S80">
        <f>SUMIFS(T_Shipments[Confirmed_Qty],T_Shipments[RM_Code],$A80,T_Shipments[Effective_Week],18)</f>
        <v/>
      </c>
      <c r="T80">
        <f>SUMIFS(T_Shipments[Confirmed_Qty],T_Shipments[RM_Code],$A80,T_Shipments[Effective_Week],19)</f>
        <v/>
      </c>
      <c r="U80">
        <f>SUMIFS(T_Shipments[Confirmed_Qty],T_Shipments[RM_Code],$A80,T_Shipments[Effective_Week],20)</f>
        <v/>
      </c>
      <c r="V80">
        <f>SUMIFS(T_Shipments[Confirmed_Qty],T_Shipments[RM_Code],$A80,T_Shipments[Effective_Week],21)</f>
        <v/>
      </c>
      <c r="W80">
        <f>SUMIFS(T_Shipments[Confirmed_Qty],T_Shipments[RM_Code],$A80,T_Shipments[Effective_Week],22)</f>
        <v/>
      </c>
      <c r="X80">
        <f>SUMIFS(T_Shipments[Confirmed_Qty],T_Shipments[RM_Code],$A80,T_Shipments[Effective_Week],23)</f>
        <v/>
      </c>
      <c r="Y80">
        <f>SUMIFS(T_Shipments[Confirmed_Qty],T_Shipments[RM_Code],$A80,T_Shipments[Effective_Week],24)</f>
        <v/>
      </c>
      <c r="Z80">
        <f>SUMIFS(T_Shipments[Confirmed_Qty],T_Shipments[RM_Code],$A80,T_Shipments[Effective_Week],25)</f>
        <v/>
      </c>
      <c r="AA80">
        <f>SUMIFS(T_Shipments[Confirmed_Qty],T_Shipments[RM_Code],$A80,T_Shipments[Effective_Week],26)</f>
        <v/>
      </c>
      <c r="AB80">
        <f>SUMIFS(T_Shipments[Confirmed_Qty],T_Shipments[RM_Code],$A80,T_Shipments[Effective_Week],27)</f>
        <v/>
      </c>
      <c r="AC80">
        <f>SUMIFS(T_Shipments[Confirmed_Qty],T_Shipments[RM_Code],$A80,T_Shipments[Effective_Week],28)</f>
        <v/>
      </c>
      <c r="AD80">
        <f>SUMIFS(T_Shipments[Confirmed_Qty],T_Shipments[RM_Code],$A80,T_Shipments[Effective_Week],29)</f>
        <v/>
      </c>
      <c r="AE80">
        <f>SUMIFS(T_Shipments[Confirmed_Qty],T_Shipments[RM_Code],$A80,T_Shipments[Effective_Week],30)</f>
        <v/>
      </c>
      <c r="AF80">
        <f>SUMIFS(T_Shipments[Confirmed_Qty],T_Shipments[RM_Code],$A80,T_Shipments[Effective_Week],31)</f>
        <v/>
      </c>
      <c r="AG80">
        <f>SUMIFS(T_Shipments[Confirmed_Qty],T_Shipments[RM_Code],$A80,T_Shipments[Effective_Week],32)</f>
        <v/>
      </c>
      <c r="AH80">
        <f>SUMIFS(T_Shipments[Confirmed_Qty],T_Shipments[RM_Code],$A80,T_Shipments[Effective_Week],33)</f>
        <v/>
      </c>
      <c r="AI80">
        <f>SUMIFS(T_Shipments[Confirmed_Qty],T_Shipments[RM_Code],$A80,T_Shipments[Effective_Week],34)</f>
        <v/>
      </c>
      <c r="AJ80">
        <f>SUMIFS(T_Shipments[Confirmed_Qty],T_Shipments[RM_Code],$A80,T_Shipments[Effective_Week],35)</f>
        <v/>
      </c>
      <c r="AK80">
        <f>SUMIFS(T_Shipments[Confirmed_Qty],T_Shipments[RM_Code],$A80,T_Shipments[Effective_Week],36)</f>
        <v/>
      </c>
      <c r="AL80">
        <f>SUMIFS(T_Shipments[Confirmed_Qty],T_Shipments[RM_Code],$A80,T_Shipments[Effective_Week],37)</f>
        <v/>
      </c>
      <c r="AM80">
        <f>SUMIFS(T_Shipments[Confirmed_Qty],T_Shipments[RM_Code],$A80,T_Shipments[Effective_Week],38)</f>
        <v/>
      </c>
      <c r="AN80">
        <f>SUMIFS(T_Shipments[Confirmed_Qty],T_Shipments[RM_Code],$A80,T_Shipments[Effective_Week],39)</f>
        <v/>
      </c>
      <c r="AO80">
        <f>SUMIFS(T_Shipments[Confirmed_Qty],T_Shipments[RM_Code],$A80,T_Shipments[Effective_Week],40)</f>
        <v/>
      </c>
      <c r="AP80">
        <f>SUMIFS(T_Shipments[Confirmed_Qty],T_Shipments[RM_Code],$A80,T_Shipments[Effective_Week],41)</f>
        <v/>
      </c>
      <c r="AQ80">
        <f>SUMIFS(T_Shipments[Confirmed_Qty],T_Shipments[RM_Code],$A80,T_Shipments[Effective_Week],42)</f>
        <v/>
      </c>
      <c r="AR80">
        <f>SUMIFS(T_Shipments[Confirmed_Qty],T_Shipments[RM_Code],$A80,T_Shipments[Effective_Week],43)</f>
        <v/>
      </c>
      <c r="AS80">
        <f>SUMIFS(T_Shipments[Confirmed_Qty],T_Shipments[RM_Code],$A80,T_Shipments[Effective_Week],44)</f>
        <v/>
      </c>
      <c r="AT80">
        <f>SUMIFS(T_Shipments[Confirmed_Qty],T_Shipments[RM_Code],$A80,T_Shipments[Effective_Week],45)</f>
        <v/>
      </c>
      <c r="AU80">
        <f>SUMIFS(T_Shipments[Confirmed_Qty],T_Shipments[RM_Code],$A80,T_Shipments[Effective_Week],46)</f>
        <v/>
      </c>
      <c r="AV80">
        <f>SUMIFS(T_Shipments[Confirmed_Qty],T_Shipments[RM_Code],$A80,T_Shipments[Effective_Week],47)</f>
        <v/>
      </c>
      <c r="AW80">
        <f>SUMIFS(T_Shipments[Confirmed_Qty],T_Shipments[RM_Code],$A80,T_Shipments[Effective_Week],48)</f>
        <v/>
      </c>
      <c r="AX80">
        <f>SUMIFS(T_Shipments[Confirmed_Qty],T_Shipments[RM_Code],$A80,T_Shipments[Effective_Week],49)</f>
        <v/>
      </c>
      <c r="AY80">
        <f>SUMIFS(T_Shipments[Confirmed_Qty],T_Shipments[RM_Code],$A80,T_Shipments[Effective_Week],50)</f>
        <v/>
      </c>
      <c r="AZ80">
        <f>SUMIFS(T_Shipments[Confirmed_Qty],T_Shipments[RM_Code],$A80,T_Shipments[Effective_Week],51)</f>
        <v/>
      </c>
      <c r="BA80">
        <f>SUMIFS(T_Shipments[Confirmed_Qty],T_Shipments[RM_Code],$A80,T_Shipments[Effective_Week],52)</f>
        <v/>
      </c>
      <c r="BB80">
        <f>SUMIFS(T_Shipments[Confirmed_Qty],T_Shipments[RM_Code],$A80,T_Shipments[Effective_Week],53)</f>
        <v/>
      </c>
      <c r="BC80">
        <f>SUMIFS(T_Shipments[Confirmed_Qty],T_Shipments[RM_Code],$A80,T_Shipments[Effective_Week],54)</f>
        <v/>
      </c>
      <c r="BD80">
        <f>SUMIFS(T_Shipments[Confirmed_Qty],T_Shipments[RM_Code],$A80,T_Shipments[Effective_Week],55)</f>
        <v/>
      </c>
      <c r="BE80">
        <f>SUMIFS(T_Shipments[Confirmed_Qty],T_Shipments[RM_Code],$A80,T_Shipments[Effective_Week],56)</f>
        <v/>
      </c>
      <c r="BF80">
        <f>SUMIFS(T_Shipments[Confirmed_Qty],T_Shipments[RM_Code],$A80,T_Shipments[Effective_Week],57)</f>
        <v/>
      </c>
      <c r="BG80">
        <f>SUMIFS(T_Shipments[Confirmed_Qty],T_Shipments[RM_Code],$A80,T_Shipments[Effective_Week],58)</f>
        <v/>
      </c>
      <c r="BH80">
        <f>SUMIFS(T_Shipments[Confirmed_Qty],T_Shipments[RM_Code],$A80,T_Shipments[Effective_Week],59)</f>
        <v/>
      </c>
      <c r="BI80">
        <f>SUMIFS(T_Shipments[Confirmed_Qty],T_Shipments[RM_Code],$A80,T_Shipments[Effective_Week],60)</f>
        <v/>
      </c>
      <c r="BJ80">
        <f>SUMIFS(T_Shipments[Confirmed_Qty],T_Shipments[RM_Code],$A80,T_Shipments[Effective_Week],61)</f>
        <v/>
      </c>
      <c r="BK80">
        <f>SUMIFS(T_Shipments[Confirmed_Qty],T_Shipments[RM_Code],$A80,T_Shipments[Effective_Week],62)</f>
        <v/>
      </c>
      <c r="BL80">
        <f>SUMIFS(T_Shipments[Confirmed_Qty],T_Shipments[RM_Code],$A80,T_Shipments[Effective_Week],63)</f>
        <v/>
      </c>
      <c r="BM80">
        <f>SUMIFS(T_Shipments[Confirmed_Qty],T_Shipments[RM_Code],$A80,T_Shipments[Effective_Week],64)</f>
        <v/>
      </c>
      <c r="BN80">
        <f>SUMIFS(T_Shipments[Confirmed_Qty],T_Shipments[RM_Code],$A80,T_Shipments[Effective_Week],65)</f>
        <v/>
      </c>
      <c r="BO80">
        <f>SUMIFS(T_Shipments[Confirmed_Qty],T_Shipments[RM_Code],$A80,T_Shipments[Effective_Week],66)</f>
        <v/>
      </c>
      <c r="BP80">
        <f>SUMIFS(T_Shipments[Confirmed_Qty],T_Shipments[RM_Code],$A80,T_Shipments[Effective_Week],67)</f>
        <v/>
      </c>
      <c r="BQ80">
        <f>SUMIFS(T_Shipments[Confirmed_Qty],T_Shipments[RM_Code],$A80,T_Shipments[Effective_Week],68)</f>
        <v/>
      </c>
      <c r="BR80">
        <f>SUMIFS(T_Shipments[Confirmed_Qty],T_Shipments[RM_Code],$A80,T_Shipments[Effective_Week],69)</f>
        <v/>
      </c>
      <c r="BS80">
        <f>SUMIFS(T_Shipments[Confirmed_Qty],T_Shipments[RM_Code],$A80,T_Shipments[Effective_Week],70)</f>
        <v/>
      </c>
      <c r="BT80">
        <f>SUMIFS(T_Shipments[Confirmed_Qty],T_Shipments[RM_Code],$A80,T_Shipments[Effective_Week],71)</f>
        <v/>
      </c>
      <c r="BU80">
        <f>SUMIFS(T_Shipments[Confirmed_Qty],T_Shipments[RM_Code],$A80,T_Shipments[Effective_Week],72)</f>
        <v/>
      </c>
      <c r="BV80">
        <f>SUMIFS(T_Shipments[Confirmed_Qty],T_Shipments[RM_Code],$A80,T_Shipments[Effective_Week],73)</f>
        <v/>
      </c>
      <c r="BW80">
        <f>SUMIFS(T_Shipments[Confirmed_Qty],T_Shipments[RM_Code],$A80,T_Shipments[Effective_Week],74)</f>
        <v/>
      </c>
      <c r="BX80">
        <f>SUMIFS(T_Shipments[Confirmed_Qty],T_Shipments[RM_Code],$A80,T_Shipments[Effective_Week],75)</f>
        <v/>
      </c>
      <c r="BY80">
        <f>SUMIFS(T_Shipments[Confirmed_Qty],T_Shipments[RM_Code],$A80,T_Shipments[Effective_Week],76)</f>
        <v/>
      </c>
      <c r="BZ80">
        <f>SUMIFS(T_Shipments[Confirmed_Qty],T_Shipments[RM_Code],$A80,T_Shipments[Effective_Week],77)</f>
        <v/>
      </c>
      <c r="CA80">
        <f>SUMIFS(T_Shipments[Confirmed_Qty],T_Shipments[RM_Code],$A80,T_Shipments[Effective_Week],78)</f>
        <v/>
      </c>
      <c r="CB80">
        <f>SUMIFS(T_Shipments[Confirmed_Qty],T_Shipments[RM_Code],$A80,T_Shipments[Effective_Week],79)</f>
        <v/>
      </c>
      <c r="CC80">
        <f>SUMIFS(T_Shipments[Confirmed_Qty],T_Shipments[RM_Code],$A80,T_Shipments[Effective_Week],80)</f>
        <v/>
      </c>
      <c r="CD80">
        <f>SUMIFS(T_Shipments[Confirmed_Qty],T_Shipments[RM_Code],$A80,T_Shipments[Effective_Week],81)</f>
        <v/>
      </c>
      <c r="CE80">
        <f>SUMIFS(T_Shipments[Confirmed_Qty],T_Shipments[RM_Code],$A80,T_Shipments[Effective_Week],82)</f>
        <v/>
      </c>
      <c r="CF80">
        <f>SUMIFS(T_Shipments[Confirmed_Qty],T_Shipments[RM_Code],$A80,T_Shipments[Effective_Week],83)</f>
        <v/>
      </c>
      <c r="CG80">
        <f>SUMIFS(T_Shipments[Confirmed_Qty],T_Shipments[RM_Code],$A80,T_Shipments[Effective_Week],84)</f>
        <v/>
      </c>
      <c r="CH80">
        <f>SUMIFS(T_Shipments[Confirmed_Qty],T_Shipments[RM_Code],$A80,T_Shipments[Effective_Week],85)</f>
        <v/>
      </c>
      <c r="CI80">
        <f>SUMIFS(T_Shipments[Confirmed_Qty],T_Shipments[RM_Code],$A80,T_Shipments[Effective_Week],86)</f>
        <v/>
      </c>
      <c r="CJ80">
        <f>SUMIFS(T_Shipments[Confirmed_Qty],T_Shipments[RM_Code],$A80,T_Shipments[Effective_Week],87)</f>
        <v/>
      </c>
      <c r="CK80">
        <f>SUMIFS(T_Shipments[Confirmed_Qty],T_Shipments[RM_Code],$A80,T_Shipments[Effective_Week],88)</f>
        <v/>
      </c>
      <c r="CL80">
        <f>SUMIFS(T_Shipments[Confirmed_Qty],T_Shipments[RM_Code],$A80,T_Shipments[Effective_Week],89)</f>
        <v/>
      </c>
      <c r="CM80">
        <f>SUMIFS(T_Shipments[Confirmed_Qty],T_Shipments[RM_Code],$A80,T_Shipments[Effective_Week],90)</f>
        <v/>
      </c>
      <c r="CN80">
        <f>SUMIFS(T_Shipments[Confirmed_Qty],T_Shipments[RM_Code],$A80,T_Shipments[Effective_Week],91)</f>
        <v/>
      </c>
      <c r="CO80">
        <f>SUMIFS(T_Shipments[Confirmed_Qty],T_Shipments[RM_Code],$A80,T_Shipments[Effective_Week],92)</f>
        <v/>
      </c>
      <c r="CP80">
        <f>SUMIFS(T_Shipments[Confirmed_Qty],T_Shipments[RM_Code],$A80,T_Shipments[Effective_Week],93)</f>
        <v/>
      </c>
      <c r="CQ80">
        <f>SUMIFS(T_Shipments[Confirmed_Qty],T_Shipments[RM_Code],$A80,T_Shipments[Effective_Week],94)</f>
        <v/>
      </c>
      <c r="CR80">
        <f>SUMIFS(T_Shipments[Confirmed_Qty],T_Shipments[RM_Code],$A80,T_Shipments[Effective_Week],95)</f>
        <v/>
      </c>
      <c r="CS80">
        <f>SUMIFS(T_Shipments[Confirmed_Qty],T_Shipments[RM_Code],$A80,T_Shipments[Effective_Week],96)</f>
        <v/>
      </c>
      <c r="CT80">
        <f>SUMIFS(T_Shipments[Confirmed_Qty],T_Shipments[RM_Code],$A80,T_Shipments[Effective_Week],97)</f>
        <v/>
      </c>
      <c r="CU80">
        <f>SUMIFS(T_Shipments[Confirmed_Qty],T_Shipments[RM_Code],$A80,T_Shipments[Effective_Week],98)</f>
        <v/>
      </c>
      <c r="CV80">
        <f>SUMIFS(T_Shipments[Confirmed_Qty],T_Shipments[RM_Code],$A80,T_Shipments[Effective_Week],99)</f>
        <v/>
      </c>
      <c r="CW80">
        <f>SUMIFS(T_Shipments[Confirmed_Qty],T_Shipments[RM_Code],$A80,T_Shipments[Effective_Week],100)</f>
        <v/>
      </c>
      <c r="CX80">
        <f>SUMIFS(T_Shipments[Confirmed_Qty],T_Shipments[RM_Code],$A80,T_Shipments[Effective_Week],101)</f>
        <v/>
      </c>
      <c r="CY80">
        <f>SUMIFS(T_Shipments[Confirmed_Qty],T_Shipments[RM_Code],$A80,T_Shipments[Effective_Week],102)</f>
        <v/>
      </c>
      <c r="CZ80">
        <f>SUMIFS(T_Shipments[Confirmed_Qty],T_Shipments[RM_Code],$A80,T_Shipments[Effective_Week],103)</f>
        <v/>
      </c>
      <c r="DA80">
        <f>SUMIFS(T_Shipments[Confirmed_Qty],T_Shipments[RM_Code],$A80,T_Shipments[Effective_Week],104)</f>
        <v/>
      </c>
    </row>
    <row r="81">
      <c r="A81" t="inlineStr">
        <is>
          <t>Chem-1800</t>
        </is>
      </c>
      <c r="B81">
        <f>SUMIFS(T_Shipments[Confirmed_Qty],T_Shipments[RM_Code],$A81,T_Shipments[Effective_Week],1)</f>
        <v/>
      </c>
      <c r="C81">
        <f>SUMIFS(T_Shipments[Confirmed_Qty],T_Shipments[RM_Code],$A81,T_Shipments[Effective_Week],2)</f>
        <v/>
      </c>
      <c r="D81">
        <f>SUMIFS(T_Shipments[Confirmed_Qty],T_Shipments[RM_Code],$A81,T_Shipments[Effective_Week],3)</f>
        <v/>
      </c>
      <c r="E81">
        <f>SUMIFS(T_Shipments[Confirmed_Qty],T_Shipments[RM_Code],$A81,T_Shipments[Effective_Week],4)</f>
        <v/>
      </c>
      <c r="F81">
        <f>SUMIFS(T_Shipments[Confirmed_Qty],T_Shipments[RM_Code],$A81,T_Shipments[Effective_Week],5)</f>
        <v/>
      </c>
      <c r="G81">
        <f>SUMIFS(T_Shipments[Confirmed_Qty],T_Shipments[RM_Code],$A81,T_Shipments[Effective_Week],6)</f>
        <v/>
      </c>
      <c r="H81">
        <f>SUMIFS(T_Shipments[Confirmed_Qty],T_Shipments[RM_Code],$A81,T_Shipments[Effective_Week],7)</f>
        <v/>
      </c>
      <c r="I81">
        <f>SUMIFS(T_Shipments[Confirmed_Qty],T_Shipments[RM_Code],$A81,T_Shipments[Effective_Week],8)</f>
        <v/>
      </c>
      <c r="J81">
        <f>SUMIFS(T_Shipments[Confirmed_Qty],T_Shipments[RM_Code],$A81,T_Shipments[Effective_Week],9)</f>
        <v/>
      </c>
      <c r="K81">
        <f>SUMIFS(T_Shipments[Confirmed_Qty],T_Shipments[RM_Code],$A81,T_Shipments[Effective_Week],10)</f>
        <v/>
      </c>
      <c r="L81">
        <f>SUMIFS(T_Shipments[Confirmed_Qty],T_Shipments[RM_Code],$A81,T_Shipments[Effective_Week],11)</f>
        <v/>
      </c>
      <c r="M81">
        <f>SUMIFS(T_Shipments[Confirmed_Qty],T_Shipments[RM_Code],$A81,T_Shipments[Effective_Week],12)</f>
        <v/>
      </c>
      <c r="N81">
        <f>SUMIFS(T_Shipments[Confirmed_Qty],T_Shipments[RM_Code],$A81,T_Shipments[Effective_Week],13)</f>
        <v/>
      </c>
      <c r="O81">
        <f>SUMIFS(T_Shipments[Confirmed_Qty],T_Shipments[RM_Code],$A81,T_Shipments[Effective_Week],14)</f>
        <v/>
      </c>
      <c r="P81">
        <f>SUMIFS(T_Shipments[Confirmed_Qty],T_Shipments[RM_Code],$A81,T_Shipments[Effective_Week],15)</f>
        <v/>
      </c>
      <c r="Q81">
        <f>SUMIFS(T_Shipments[Confirmed_Qty],T_Shipments[RM_Code],$A81,T_Shipments[Effective_Week],16)</f>
        <v/>
      </c>
      <c r="R81">
        <f>SUMIFS(T_Shipments[Confirmed_Qty],T_Shipments[RM_Code],$A81,T_Shipments[Effective_Week],17)</f>
        <v/>
      </c>
      <c r="S81">
        <f>SUMIFS(T_Shipments[Confirmed_Qty],T_Shipments[RM_Code],$A81,T_Shipments[Effective_Week],18)</f>
        <v/>
      </c>
      <c r="T81">
        <f>SUMIFS(T_Shipments[Confirmed_Qty],T_Shipments[RM_Code],$A81,T_Shipments[Effective_Week],19)</f>
        <v/>
      </c>
      <c r="U81">
        <f>SUMIFS(T_Shipments[Confirmed_Qty],T_Shipments[RM_Code],$A81,T_Shipments[Effective_Week],20)</f>
        <v/>
      </c>
      <c r="V81">
        <f>SUMIFS(T_Shipments[Confirmed_Qty],T_Shipments[RM_Code],$A81,T_Shipments[Effective_Week],21)</f>
        <v/>
      </c>
      <c r="W81">
        <f>SUMIFS(T_Shipments[Confirmed_Qty],T_Shipments[RM_Code],$A81,T_Shipments[Effective_Week],22)</f>
        <v/>
      </c>
      <c r="X81">
        <f>SUMIFS(T_Shipments[Confirmed_Qty],T_Shipments[RM_Code],$A81,T_Shipments[Effective_Week],23)</f>
        <v/>
      </c>
      <c r="Y81">
        <f>SUMIFS(T_Shipments[Confirmed_Qty],T_Shipments[RM_Code],$A81,T_Shipments[Effective_Week],24)</f>
        <v/>
      </c>
      <c r="Z81">
        <f>SUMIFS(T_Shipments[Confirmed_Qty],T_Shipments[RM_Code],$A81,T_Shipments[Effective_Week],25)</f>
        <v/>
      </c>
      <c r="AA81">
        <f>SUMIFS(T_Shipments[Confirmed_Qty],T_Shipments[RM_Code],$A81,T_Shipments[Effective_Week],26)</f>
        <v/>
      </c>
      <c r="AB81">
        <f>SUMIFS(T_Shipments[Confirmed_Qty],T_Shipments[RM_Code],$A81,T_Shipments[Effective_Week],27)</f>
        <v/>
      </c>
      <c r="AC81">
        <f>SUMIFS(T_Shipments[Confirmed_Qty],T_Shipments[RM_Code],$A81,T_Shipments[Effective_Week],28)</f>
        <v/>
      </c>
      <c r="AD81">
        <f>SUMIFS(T_Shipments[Confirmed_Qty],T_Shipments[RM_Code],$A81,T_Shipments[Effective_Week],29)</f>
        <v/>
      </c>
      <c r="AE81">
        <f>SUMIFS(T_Shipments[Confirmed_Qty],T_Shipments[RM_Code],$A81,T_Shipments[Effective_Week],30)</f>
        <v/>
      </c>
      <c r="AF81">
        <f>SUMIFS(T_Shipments[Confirmed_Qty],T_Shipments[RM_Code],$A81,T_Shipments[Effective_Week],31)</f>
        <v/>
      </c>
      <c r="AG81">
        <f>SUMIFS(T_Shipments[Confirmed_Qty],T_Shipments[RM_Code],$A81,T_Shipments[Effective_Week],32)</f>
        <v/>
      </c>
      <c r="AH81">
        <f>SUMIFS(T_Shipments[Confirmed_Qty],T_Shipments[RM_Code],$A81,T_Shipments[Effective_Week],33)</f>
        <v/>
      </c>
      <c r="AI81">
        <f>SUMIFS(T_Shipments[Confirmed_Qty],T_Shipments[RM_Code],$A81,T_Shipments[Effective_Week],34)</f>
        <v/>
      </c>
      <c r="AJ81">
        <f>SUMIFS(T_Shipments[Confirmed_Qty],T_Shipments[RM_Code],$A81,T_Shipments[Effective_Week],35)</f>
        <v/>
      </c>
      <c r="AK81">
        <f>SUMIFS(T_Shipments[Confirmed_Qty],T_Shipments[RM_Code],$A81,T_Shipments[Effective_Week],36)</f>
        <v/>
      </c>
      <c r="AL81">
        <f>SUMIFS(T_Shipments[Confirmed_Qty],T_Shipments[RM_Code],$A81,T_Shipments[Effective_Week],37)</f>
        <v/>
      </c>
      <c r="AM81">
        <f>SUMIFS(T_Shipments[Confirmed_Qty],T_Shipments[RM_Code],$A81,T_Shipments[Effective_Week],38)</f>
        <v/>
      </c>
      <c r="AN81">
        <f>SUMIFS(T_Shipments[Confirmed_Qty],T_Shipments[RM_Code],$A81,T_Shipments[Effective_Week],39)</f>
        <v/>
      </c>
      <c r="AO81">
        <f>SUMIFS(T_Shipments[Confirmed_Qty],T_Shipments[RM_Code],$A81,T_Shipments[Effective_Week],40)</f>
        <v/>
      </c>
      <c r="AP81">
        <f>SUMIFS(T_Shipments[Confirmed_Qty],T_Shipments[RM_Code],$A81,T_Shipments[Effective_Week],41)</f>
        <v/>
      </c>
      <c r="AQ81">
        <f>SUMIFS(T_Shipments[Confirmed_Qty],T_Shipments[RM_Code],$A81,T_Shipments[Effective_Week],42)</f>
        <v/>
      </c>
      <c r="AR81">
        <f>SUMIFS(T_Shipments[Confirmed_Qty],T_Shipments[RM_Code],$A81,T_Shipments[Effective_Week],43)</f>
        <v/>
      </c>
      <c r="AS81">
        <f>SUMIFS(T_Shipments[Confirmed_Qty],T_Shipments[RM_Code],$A81,T_Shipments[Effective_Week],44)</f>
        <v/>
      </c>
      <c r="AT81">
        <f>SUMIFS(T_Shipments[Confirmed_Qty],T_Shipments[RM_Code],$A81,T_Shipments[Effective_Week],45)</f>
        <v/>
      </c>
      <c r="AU81">
        <f>SUMIFS(T_Shipments[Confirmed_Qty],T_Shipments[RM_Code],$A81,T_Shipments[Effective_Week],46)</f>
        <v/>
      </c>
      <c r="AV81">
        <f>SUMIFS(T_Shipments[Confirmed_Qty],T_Shipments[RM_Code],$A81,T_Shipments[Effective_Week],47)</f>
        <v/>
      </c>
      <c r="AW81">
        <f>SUMIFS(T_Shipments[Confirmed_Qty],T_Shipments[RM_Code],$A81,T_Shipments[Effective_Week],48)</f>
        <v/>
      </c>
      <c r="AX81">
        <f>SUMIFS(T_Shipments[Confirmed_Qty],T_Shipments[RM_Code],$A81,T_Shipments[Effective_Week],49)</f>
        <v/>
      </c>
      <c r="AY81">
        <f>SUMIFS(T_Shipments[Confirmed_Qty],T_Shipments[RM_Code],$A81,T_Shipments[Effective_Week],50)</f>
        <v/>
      </c>
      <c r="AZ81">
        <f>SUMIFS(T_Shipments[Confirmed_Qty],T_Shipments[RM_Code],$A81,T_Shipments[Effective_Week],51)</f>
        <v/>
      </c>
      <c r="BA81">
        <f>SUMIFS(T_Shipments[Confirmed_Qty],T_Shipments[RM_Code],$A81,T_Shipments[Effective_Week],52)</f>
        <v/>
      </c>
      <c r="BB81">
        <f>SUMIFS(T_Shipments[Confirmed_Qty],T_Shipments[RM_Code],$A81,T_Shipments[Effective_Week],53)</f>
        <v/>
      </c>
      <c r="BC81">
        <f>SUMIFS(T_Shipments[Confirmed_Qty],T_Shipments[RM_Code],$A81,T_Shipments[Effective_Week],54)</f>
        <v/>
      </c>
      <c r="BD81">
        <f>SUMIFS(T_Shipments[Confirmed_Qty],T_Shipments[RM_Code],$A81,T_Shipments[Effective_Week],55)</f>
        <v/>
      </c>
      <c r="BE81">
        <f>SUMIFS(T_Shipments[Confirmed_Qty],T_Shipments[RM_Code],$A81,T_Shipments[Effective_Week],56)</f>
        <v/>
      </c>
      <c r="BF81">
        <f>SUMIFS(T_Shipments[Confirmed_Qty],T_Shipments[RM_Code],$A81,T_Shipments[Effective_Week],57)</f>
        <v/>
      </c>
      <c r="BG81">
        <f>SUMIFS(T_Shipments[Confirmed_Qty],T_Shipments[RM_Code],$A81,T_Shipments[Effective_Week],58)</f>
        <v/>
      </c>
      <c r="BH81">
        <f>SUMIFS(T_Shipments[Confirmed_Qty],T_Shipments[RM_Code],$A81,T_Shipments[Effective_Week],59)</f>
        <v/>
      </c>
      <c r="BI81">
        <f>SUMIFS(T_Shipments[Confirmed_Qty],T_Shipments[RM_Code],$A81,T_Shipments[Effective_Week],60)</f>
        <v/>
      </c>
      <c r="BJ81">
        <f>SUMIFS(T_Shipments[Confirmed_Qty],T_Shipments[RM_Code],$A81,T_Shipments[Effective_Week],61)</f>
        <v/>
      </c>
      <c r="BK81">
        <f>SUMIFS(T_Shipments[Confirmed_Qty],T_Shipments[RM_Code],$A81,T_Shipments[Effective_Week],62)</f>
        <v/>
      </c>
      <c r="BL81">
        <f>SUMIFS(T_Shipments[Confirmed_Qty],T_Shipments[RM_Code],$A81,T_Shipments[Effective_Week],63)</f>
        <v/>
      </c>
      <c r="BM81">
        <f>SUMIFS(T_Shipments[Confirmed_Qty],T_Shipments[RM_Code],$A81,T_Shipments[Effective_Week],64)</f>
        <v/>
      </c>
      <c r="BN81">
        <f>SUMIFS(T_Shipments[Confirmed_Qty],T_Shipments[RM_Code],$A81,T_Shipments[Effective_Week],65)</f>
        <v/>
      </c>
      <c r="BO81">
        <f>SUMIFS(T_Shipments[Confirmed_Qty],T_Shipments[RM_Code],$A81,T_Shipments[Effective_Week],66)</f>
        <v/>
      </c>
      <c r="BP81">
        <f>SUMIFS(T_Shipments[Confirmed_Qty],T_Shipments[RM_Code],$A81,T_Shipments[Effective_Week],67)</f>
        <v/>
      </c>
      <c r="BQ81">
        <f>SUMIFS(T_Shipments[Confirmed_Qty],T_Shipments[RM_Code],$A81,T_Shipments[Effective_Week],68)</f>
        <v/>
      </c>
      <c r="BR81">
        <f>SUMIFS(T_Shipments[Confirmed_Qty],T_Shipments[RM_Code],$A81,T_Shipments[Effective_Week],69)</f>
        <v/>
      </c>
      <c r="BS81">
        <f>SUMIFS(T_Shipments[Confirmed_Qty],T_Shipments[RM_Code],$A81,T_Shipments[Effective_Week],70)</f>
        <v/>
      </c>
      <c r="BT81">
        <f>SUMIFS(T_Shipments[Confirmed_Qty],T_Shipments[RM_Code],$A81,T_Shipments[Effective_Week],71)</f>
        <v/>
      </c>
      <c r="BU81">
        <f>SUMIFS(T_Shipments[Confirmed_Qty],T_Shipments[RM_Code],$A81,T_Shipments[Effective_Week],72)</f>
        <v/>
      </c>
      <c r="BV81">
        <f>SUMIFS(T_Shipments[Confirmed_Qty],T_Shipments[RM_Code],$A81,T_Shipments[Effective_Week],73)</f>
        <v/>
      </c>
      <c r="BW81">
        <f>SUMIFS(T_Shipments[Confirmed_Qty],T_Shipments[RM_Code],$A81,T_Shipments[Effective_Week],74)</f>
        <v/>
      </c>
      <c r="BX81">
        <f>SUMIFS(T_Shipments[Confirmed_Qty],T_Shipments[RM_Code],$A81,T_Shipments[Effective_Week],75)</f>
        <v/>
      </c>
      <c r="BY81">
        <f>SUMIFS(T_Shipments[Confirmed_Qty],T_Shipments[RM_Code],$A81,T_Shipments[Effective_Week],76)</f>
        <v/>
      </c>
      <c r="BZ81">
        <f>SUMIFS(T_Shipments[Confirmed_Qty],T_Shipments[RM_Code],$A81,T_Shipments[Effective_Week],77)</f>
        <v/>
      </c>
      <c r="CA81">
        <f>SUMIFS(T_Shipments[Confirmed_Qty],T_Shipments[RM_Code],$A81,T_Shipments[Effective_Week],78)</f>
        <v/>
      </c>
      <c r="CB81">
        <f>SUMIFS(T_Shipments[Confirmed_Qty],T_Shipments[RM_Code],$A81,T_Shipments[Effective_Week],79)</f>
        <v/>
      </c>
      <c r="CC81">
        <f>SUMIFS(T_Shipments[Confirmed_Qty],T_Shipments[RM_Code],$A81,T_Shipments[Effective_Week],80)</f>
        <v/>
      </c>
      <c r="CD81">
        <f>SUMIFS(T_Shipments[Confirmed_Qty],T_Shipments[RM_Code],$A81,T_Shipments[Effective_Week],81)</f>
        <v/>
      </c>
      <c r="CE81">
        <f>SUMIFS(T_Shipments[Confirmed_Qty],T_Shipments[RM_Code],$A81,T_Shipments[Effective_Week],82)</f>
        <v/>
      </c>
      <c r="CF81">
        <f>SUMIFS(T_Shipments[Confirmed_Qty],T_Shipments[RM_Code],$A81,T_Shipments[Effective_Week],83)</f>
        <v/>
      </c>
      <c r="CG81">
        <f>SUMIFS(T_Shipments[Confirmed_Qty],T_Shipments[RM_Code],$A81,T_Shipments[Effective_Week],84)</f>
        <v/>
      </c>
      <c r="CH81">
        <f>SUMIFS(T_Shipments[Confirmed_Qty],T_Shipments[RM_Code],$A81,T_Shipments[Effective_Week],85)</f>
        <v/>
      </c>
      <c r="CI81">
        <f>SUMIFS(T_Shipments[Confirmed_Qty],T_Shipments[RM_Code],$A81,T_Shipments[Effective_Week],86)</f>
        <v/>
      </c>
      <c r="CJ81">
        <f>SUMIFS(T_Shipments[Confirmed_Qty],T_Shipments[RM_Code],$A81,T_Shipments[Effective_Week],87)</f>
        <v/>
      </c>
      <c r="CK81">
        <f>SUMIFS(T_Shipments[Confirmed_Qty],T_Shipments[RM_Code],$A81,T_Shipments[Effective_Week],88)</f>
        <v/>
      </c>
      <c r="CL81">
        <f>SUMIFS(T_Shipments[Confirmed_Qty],T_Shipments[RM_Code],$A81,T_Shipments[Effective_Week],89)</f>
        <v/>
      </c>
      <c r="CM81">
        <f>SUMIFS(T_Shipments[Confirmed_Qty],T_Shipments[RM_Code],$A81,T_Shipments[Effective_Week],90)</f>
        <v/>
      </c>
      <c r="CN81">
        <f>SUMIFS(T_Shipments[Confirmed_Qty],T_Shipments[RM_Code],$A81,T_Shipments[Effective_Week],91)</f>
        <v/>
      </c>
      <c r="CO81">
        <f>SUMIFS(T_Shipments[Confirmed_Qty],T_Shipments[RM_Code],$A81,T_Shipments[Effective_Week],92)</f>
        <v/>
      </c>
      <c r="CP81">
        <f>SUMIFS(T_Shipments[Confirmed_Qty],T_Shipments[RM_Code],$A81,T_Shipments[Effective_Week],93)</f>
        <v/>
      </c>
      <c r="CQ81">
        <f>SUMIFS(T_Shipments[Confirmed_Qty],T_Shipments[RM_Code],$A81,T_Shipments[Effective_Week],94)</f>
        <v/>
      </c>
      <c r="CR81">
        <f>SUMIFS(T_Shipments[Confirmed_Qty],T_Shipments[RM_Code],$A81,T_Shipments[Effective_Week],95)</f>
        <v/>
      </c>
      <c r="CS81">
        <f>SUMIFS(T_Shipments[Confirmed_Qty],T_Shipments[RM_Code],$A81,T_Shipments[Effective_Week],96)</f>
        <v/>
      </c>
      <c r="CT81">
        <f>SUMIFS(T_Shipments[Confirmed_Qty],T_Shipments[RM_Code],$A81,T_Shipments[Effective_Week],97)</f>
        <v/>
      </c>
      <c r="CU81">
        <f>SUMIFS(T_Shipments[Confirmed_Qty],T_Shipments[RM_Code],$A81,T_Shipments[Effective_Week],98)</f>
        <v/>
      </c>
      <c r="CV81">
        <f>SUMIFS(T_Shipments[Confirmed_Qty],T_Shipments[RM_Code],$A81,T_Shipments[Effective_Week],99)</f>
        <v/>
      </c>
      <c r="CW81">
        <f>SUMIFS(T_Shipments[Confirmed_Qty],T_Shipments[RM_Code],$A81,T_Shipments[Effective_Week],100)</f>
        <v/>
      </c>
      <c r="CX81">
        <f>SUMIFS(T_Shipments[Confirmed_Qty],T_Shipments[RM_Code],$A81,T_Shipments[Effective_Week],101)</f>
        <v/>
      </c>
      <c r="CY81">
        <f>SUMIFS(T_Shipments[Confirmed_Qty],T_Shipments[RM_Code],$A81,T_Shipments[Effective_Week],102)</f>
        <v/>
      </c>
      <c r="CZ81">
        <f>SUMIFS(T_Shipments[Confirmed_Qty],T_Shipments[RM_Code],$A81,T_Shipments[Effective_Week],103)</f>
        <v/>
      </c>
      <c r="DA81">
        <f>SUMIFS(T_Shipments[Confirmed_Qty],T_Shipments[RM_Code],$A81,T_Shipments[Effective_Week],104)</f>
        <v/>
      </c>
    </row>
    <row r="82">
      <c r="A82" t="inlineStr">
        <is>
          <t>A043</t>
        </is>
      </c>
      <c r="B82">
        <f>SUMIFS(T_Shipments[Confirmed_Qty],T_Shipments[RM_Code],$A82,T_Shipments[Effective_Week],1)</f>
        <v/>
      </c>
      <c r="C82">
        <f>SUMIFS(T_Shipments[Confirmed_Qty],T_Shipments[RM_Code],$A82,T_Shipments[Effective_Week],2)</f>
        <v/>
      </c>
      <c r="D82">
        <f>SUMIFS(T_Shipments[Confirmed_Qty],T_Shipments[RM_Code],$A82,T_Shipments[Effective_Week],3)</f>
        <v/>
      </c>
      <c r="E82">
        <f>SUMIFS(T_Shipments[Confirmed_Qty],T_Shipments[RM_Code],$A82,T_Shipments[Effective_Week],4)</f>
        <v/>
      </c>
      <c r="F82">
        <f>SUMIFS(T_Shipments[Confirmed_Qty],T_Shipments[RM_Code],$A82,T_Shipments[Effective_Week],5)</f>
        <v/>
      </c>
      <c r="G82">
        <f>SUMIFS(T_Shipments[Confirmed_Qty],T_Shipments[RM_Code],$A82,T_Shipments[Effective_Week],6)</f>
        <v/>
      </c>
      <c r="H82">
        <f>SUMIFS(T_Shipments[Confirmed_Qty],T_Shipments[RM_Code],$A82,T_Shipments[Effective_Week],7)</f>
        <v/>
      </c>
      <c r="I82">
        <f>SUMIFS(T_Shipments[Confirmed_Qty],T_Shipments[RM_Code],$A82,T_Shipments[Effective_Week],8)</f>
        <v/>
      </c>
      <c r="J82">
        <f>SUMIFS(T_Shipments[Confirmed_Qty],T_Shipments[RM_Code],$A82,T_Shipments[Effective_Week],9)</f>
        <v/>
      </c>
      <c r="K82">
        <f>SUMIFS(T_Shipments[Confirmed_Qty],T_Shipments[RM_Code],$A82,T_Shipments[Effective_Week],10)</f>
        <v/>
      </c>
      <c r="L82">
        <f>SUMIFS(T_Shipments[Confirmed_Qty],T_Shipments[RM_Code],$A82,T_Shipments[Effective_Week],11)</f>
        <v/>
      </c>
      <c r="M82">
        <f>SUMIFS(T_Shipments[Confirmed_Qty],T_Shipments[RM_Code],$A82,T_Shipments[Effective_Week],12)</f>
        <v/>
      </c>
      <c r="N82">
        <f>SUMIFS(T_Shipments[Confirmed_Qty],T_Shipments[RM_Code],$A82,T_Shipments[Effective_Week],13)</f>
        <v/>
      </c>
      <c r="O82">
        <f>SUMIFS(T_Shipments[Confirmed_Qty],T_Shipments[RM_Code],$A82,T_Shipments[Effective_Week],14)</f>
        <v/>
      </c>
      <c r="P82">
        <f>SUMIFS(T_Shipments[Confirmed_Qty],T_Shipments[RM_Code],$A82,T_Shipments[Effective_Week],15)</f>
        <v/>
      </c>
      <c r="Q82">
        <f>SUMIFS(T_Shipments[Confirmed_Qty],T_Shipments[RM_Code],$A82,T_Shipments[Effective_Week],16)</f>
        <v/>
      </c>
      <c r="R82">
        <f>SUMIFS(T_Shipments[Confirmed_Qty],T_Shipments[RM_Code],$A82,T_Shipments[Effective_Week],17)</f>
        <v/>
      </c>
      <c r="S82">
        <f>SUMIFS(T_Shipments[Confirmed_Qty],T_Shipments[RM_Code],$A82,T_Shipments[Effective_Week],18)</f>
        <v/>
      </c>
      <c r="T82">
        <f>SUMIFS(T_Shipments[Confirmed_Qty],T_Shipments[RM_Code],$A82,T_Shipments[Effective_Week],19)</f>
        <v/>
      </c>
      <c r="U82">
        <f>SUMIFS(T_Shipments[Confirmed_Qty],T_Shipments[RM_Code],$A82,T_Shipments[Effective_Week],20)</f>
        <v/>
      </c>
      <c r="V82">
        <f>SUMIFS(T_Shipments[Confirmed_Qty],T_Shipments[RM_Code],$A82,T_Shipments[Effective_Week],21)</f>
        <v/>
      </c>
      <c r="W82">
        <f>SUMIFS(T_Shipments[Confirmed_Qty],T_Shipments[RM_Code],$A82,T_Shipments[Effective_Week],22)</f>
        <v/>
      </c>
      <c r="X82">
        <f>SUMIFS(T_Shipments[Confirmed_Qty],T_Shipments[RM_Code],$A82,T_Shipments[Effective_Week],23)</f>
        <v/>
      </c>
      <c r="Y82">
        <f>SUMIFS(T_Shipments[Confirmed_Qty],T_Shipments[RM_Code],$A82,T_Shipments[Effective_Week],24)</f>
        <v/>
      </c>
      <c r="Z82">
        <f>SUMIFS(T_Shipments[Confirmed_Qty],T_Shipments[RM_Code],$A82,T_Shipments[Effective_Week],25)</f>
        <v/>
      </c>
      <c r="AA82">
        <f>SUMIFS(T_Shipments[Confirmed_Qty],T_Shipments[RM_Code],$A82,T_Shipments[Effective_Week],26)</f>
        <v/>
      </c>
      <c r="AB82">
        <f>SUMIFS(T_Shipments[Confirmed_Qty],T_Shipments[RM_Code],$A82,T_Shipments[Effective_Week],27)</f>
        <v/>
      </c>
      <c r="AC82">
        <f>SUMIFS(T_Shipments[Confirmed_Qty],T_Shipments[RM_Code],$A82,T_Shipments[Effective_Week],28)</f>
        <v/>
      </c>
      <c r="AD82">
        <f>SUMIFS(T_Shipments[Confirmed_Qty],T_Shipments[RM_Code],$A82,T_Shipments[Effective_Week],29)</f>
        <v/>
      </c>
      <c r="AE82">
        <f>SUMIFS(T_Shipments[Confirmed_Qty],T_Shipments[RM_Code],$A82,T_Shipments[Effective_Week],30)</f>
        <v/>
      </c>
      <c r="AF82">
        <f>SUMIFS(T_Shipments[Confirmed_Qty],T_Shipments[RM_Code],$A82,T_Shipments[Effective_Week],31)</f>
        <v/>
      </c>
      <c r="AG82">
        <f>SUMIFS(T_Shipments[Confirmed_Qty],T_Shipments[RM_Code],$A82,T_Shipments[Effective_Week],32)</f>
        <v/>
      </c>
      <c r="AH82">
        <f>SUMIFS(T_Shipments[Confirmed_Qty],T_Shipments[RM_Code],$A82,T_Shipments[Effective_Week],33)</f>
        <v/>
      </c>
      <c r="AI82">
        <f>SUMIFS(T_Shipments[Confirmed_Qty],T_Shipments[RM_Code],$A82,T_Shipments[Effective_Week],34)</f>
        <v/>
      </c>
      <c r="AJ82">
        <f>SUMIFS(T_Shipments[Confirmed_Qty],T_Shipments[RM_Code],$A82,T_Shipments[Effective_Week],35)</f>
        <v/>
      </c>
      <c r="AK82">
        <f>SUMIFS(T_Shipments[Confirmed_Qty],T_Shipments[RM_Code],$A82,T_Shipments[Effective_Week],36)</f>
        <v/>
      </c>
      <c r="AL82">
        <f>SUMIFS(T_Shipments[Confirmed_Qty],T_Shipments[RM_Code],$A82,T_Shipments[Effective_Week],37)</f>
        <v/>
      </c>
      <c r="AM82">
        <f>SUMIFS(T_Shipments[Confirmed_Qty],T_Shipments[RM_Code],$A82,T_Shipments[Effective_Week],38)</f>
        <v/>
      </c>
      <c r="AN82">
        <f>SUMIFS(T_Shipments[Confirmed_Qty],T_Shipments[RM_Code],$A82,T_Shipments[Effective_Week],39)</f>
        <v/>
      </c>
      <c r="AO82">
        <f>SUMIFS(T_Shipments[Confirmed_Qty],T_Shipments[RM_Code],$A82,T_Shipments[Effective_Week],40)</f>
        <v/>
      </c>
      <c r="AP82">
        <f>SUMIFS(T_Shipments[Confirmed_Qty],T_Shipments[RM_Code],$A82,T_Shipments[Effective_Week],41)</f>
        <v/>
      </c>
      <c r="AQ82">
        <f>SUMIFS(T_Shipments[Confirmed_Qty],T_Shipments[RM_Code],$A82,T_Shipments[Effective_Week],42)</f>
        <v/>
      </c>
      <c r="AR82">
        <f>SUMIFS(T_Shipments[Confirmed_Qty],T_Shipments[RM_Code],$A82,T_Shipments[Effective_Week],43)</f>
        <v/>
      </c>
      <c r="AS82">
        <f>SUMIFS(T_Shipments[Confirmed_Qty],T_Shipments[RM_Code],$A82,T_Shipments[Effective_Week],44)</f>
        <v/>
      </c>
      <c r="AT82">
        <f>SUMIFS(T_Shipments[Confirmed_Qty],T_Shipments[RM_Code],$A82,T_Shipments[Effective_Week],45)</f>
        <v/>
      </c>
      <c r="AU82">
        <f>SUMIFS(T_Shipments[Confirmed_Qty],T_Shipments[RM_Code],$A82,T_Shipments[Effective_Week],46)</f>
        <v/>
      </c>
      <c r="AV82">
        <f>SUMIFS(T_Shipments[Confirmed_Qty],T_Shipments[RM_Code],$A82,T_Shipments[Effective_Week],47)</f>
        <v/>
      </c>
      <c r="AW82">
        <f>SUMIFS(T_Shipments[Confirmed_Qty],T_Shipments[RM_Code],$A82,T_Shipments[Effective_Week],48)</f>
        <v/>
      </c>
      <c r="AX82">
        <f>SUMIFS(T_Shipments[Confirmed_Qty],T_Shipments[RM_Code],$A82,T_Shipments[Effective_Week],49)</f>
        <v/>
      </c>
      <c r="AY82">
        <f>SUMIFS(T_Shipments[Confirmed_Qty],T_Shipments[RM_Code],$A82,T_Shipments[Effective_Week],50)</f>
        <v/>
      </c>
      <c r="AZ82">
        <f>SUMIFS(T_Shipments[Confirmed_Qty],T_Shipments[RM_Code],$A82,T_Shipments[Effective_Week],51)</f>
        <v/>
      </c>
      <c r="BA82">
        <f>SUMIFS(T_Shipments[Confirmed_Qty],T_Shipments[RM_Code],$A82,T_Shipments[Effective_Week],52)</f>
        <v/>
      </c>
      <c r="BB82">
        <f>SUMIFS(T_Shipments[Confirmed_Qty],T_Shipments[RM_Code],$A82,T_Shipments[Effective_Week],53)</f>
        <v/>
      </c>
      <c r="BC82">
        <f>SUMIFS(T_Shipments[Confirmed_Qty],T_Shipments[RM_Code],$A82,T_Shipments[Effective_Week],54)</f>
        <v/>
      </c>
      <c r="BD82">
        <f>SUMIFS(T_Shipments[Confirmed_Qty],T_Shipments[RM_Code],$A82,T_Shipments[Effective_Week],55)</f>
        <v/>
      </c>
      <c r="BE82">
        <f>SUMIFS(T_Shipments[Confirmed_Qty],T_Shipments[RM_Code],$A82,T_Shipments[Effective_Week],56)</f>
        <v/>
      </c>
      <c r="BF82">
        <f>SUMIFS(T_Shipments[Confirmed_Qty],T_Shipments[RM_Code],$A82,T_Shipments[Effective_Week],57)</f>
        <v/>
      </c>
      <c r="BG82">
        <f>SUMIFS(T_Shipments[Confirmed_Qty],T_Shipments[RM_Code],$A82,T_Shipments[Effective_Week],58)</f>
        <v/>
      </c>
      <c r="BH82">
        <f>SUMIFS(T_Shipments[Confirmed_Qty],T_Shipments[RM_Code],$A82,T_Shipments[Effective_Week],59)</f>
        <v/>
      </c>
      <c r="BI82">
        <f>SUMIFS(T_Shipments[Confirmed_Qty],T_Shipments[RM_Code],$A82,T_Shipments[Effective_Week],60)</f>
        <v/>
      </c>
      <c r="BJ82">
        <f>SUMIFS(T_Shipments[Confirmed_Qty],T_Shipments[RM_Code],$A82,T_Shipments[Effective_Week],61)</f>
        <v/>
      </c>
      <c r="BK82">
        <f>SUMIFS(T_Shipments[Confirmed_Qty],T_Shipments[RM_Code],$A82,T_Shipments[Effective_Week],62)</f>
        <v/>
      </c>
      <c r="BL82">
        <f>SUMIFS(T_Shipments[Confirmed_Qty],T_Shipments[RM_Code],$A82,T_Shipments[Effective_Week],63)</f>
        <v/>
      </c>
      <c r="BM82">
        <f>SUMIFS(T_Shipments[Confirmed_Qty],T_Shipments[RM_Code],$A82,T_Shipments[Effective_Week],64)</f>
        <v/>
      </c>
      <c r="BN82">
        <f>SUMIFS(T_Shipments[Confirmed_Qty],T_Shipments[RM_Code],$A82,T_Shipments[Effective_Week],65)</f>
        <v/>
      </c>
      <c r="BO82">
        <f>SUMIFS(T_Shipments[Confirmed_Qty],T_Shipments[RM_Code],$A82,T_Shipments[Effective_Week],66)</f>
        <v/>
      </c>
      <c r="BP82">
        <f>SUMIFS(T_Shipments[Confirmed_Qty],T_Shipments[RM_Code],$A82,T_Shipments[Effective_Week],67)</f>
        <v/>
      </c>
      <c r="BQ82">
        <f>SUMIFS(T_Shipments[Confirmed_Qty],T_Shipments[RM_Code],$A82,T_Shipments[Effective_Week],68)</f>
        <v/>
      </c>
      <c r="BR82">
        <f>SUMIFS(T_Shipments[Confirmed_Qty],T_Shipments[RM_Code],$A82,T_Shipments[Effective_Week],69)</f>
        <v/>
      </c>
      <c r="BS82">
        <f>SUMIFS(T_Shipments[Confirmed_Qty],T_Shipments[RM_Code],$A82,T_Shipments[Effective_Week],70)</f>
        <v/>
      </c>
      <c r="BT82">
        <f>SUMIFS(T_Shipments[Confirmed_Qty],T_Shipments[RM_Code],$A82,T_Shipments[Effective_Week],71)</f>
        <v/>
      </c>
      <c r="BU82">
        <f>SUMIFS(T_Shipments[Confirmed_Qty],T_Shipments[RM_Code],$A82,T_Shipments[Effective_Week],72)</f>
        <v/>
      </c>
      <c r="BV82">
        <f>SUMIFS(T_Shipments[Confirmed_Qty],T_Shipments[RM_Code],$A82,T_Shipments[Effective_Week],73)</f>
        <v/>
      </c>
      <c r="BW82">
        <f>SUMIFS(T_Shipments[Confirmed_Qty],T_Shipments[RM_Code],$A82,T_Shipments[Effective_Week],74)</f>
        <v/>
      </c>
      <c r="BX82">
        <f>SUMIFS(T_Shipments[Confirmed_Qty],T_Shipments[RM_Code],$A82,T_Shipments[Effective_Week],75)</f>
        <v/>
      </c>
      <c r="BY82">
        <f>SUMIFS(T_Shipments[Confirmed_Qty],T_Shipments[RM_Code],$A82,T_Shipments[Effective_Week],76)</f>
        <v/>
      </c>
      <c r="BZ82">
        <f>SUMIFS(T_Shipments[Confirmed_Qty],T_Shipments[RM_Code],$A82,T_Shipments[Effective_Week],77)</f>
        <v/>
      </c>
      <c r="CA82">
        <f>SUMIFS(T_Shipments[Confirmed_Qty],T_Shipments[RM_Code],$A82,T_Shipments[Effective_Week],78)</f>
        <v/>
      </c>
      <c r="CB82">
        <f>SUMIFS(T_Shipments[Confirmed_Qty],T_Shipments[RM_Code],$A82,T_Shipments[Effective_Week],79)</f>
        <v/>
      </c>
      <c r="CC82">
        <f>SUMIFS(T_Shipments[Confirmed_Qty],T_Shipments[RM_Code],$A82,T_Shipments[Effective_Week],80)</f>
        <v/>
      </c>
      <c r="CD82">
        <f>SUMIFS(T_Shipments[Confirmed_Qty],T_Shipments[RM_Code],$A82,T_Shipments[Effective_Week],81)</f>
        <v/>
      </c>
      <c r="CE82">
        <f>SUMIFS(T_Shipments[Confirmed_Qty],T_Shipments[RM_Code],$A82,T_Shipments[Effective_Week],82)</f>
        <v/>
      </c>
      <c r="CF82">
        <f>SUMIFS(T_Shipments[Confirmed_Qty],T_Shipments[RM_Code],$A82,T_Shipments[Effective_Week],83)</f>
        <v/>
      </c>
      <c r="CG82">
        <f>SUMIFS(T_Shipments[Confirmed_Qty],T_Shipments[RM_Code],$A82,T_Shipments[Effective_Week],84)</f>
        <v/>
      </c>
      <c r="CH82">
        <f>SUMIFS(T_Shipments[Confirmed_Qty],T_Shipments[RM_Code],$A82,T_Shipments[Effective_Week],85)</f>
        <v/>
      </c>
      <c r="CI82">
        <f>SUMIFS(T_Shipments[Confirmed_Qty],T_Shipments[RM_Code],$A82,T_Shipments[Effective_Week],86)</f>
        <v/>
      </c>
      <c r="CJ82">
        <f>SUMIFS(T_Shipments[Confirmed_Qty],T_Shipments[RM_Code],$A82,T_Shipments[Effective_Week],87)</f>
        <v/>
      </c>
      <c r="CK82">
        <f>SUMIFS(T_Shipments[Confirmed_Qty],T_Shipments[RM_Code],$A82,T_Shipments[Effective_Week],88)</f>
        <v/>
      </c>
      <c r="CL82">
        <f>SUMIFS(T_Shipments[Confirmed_Qty],T_Shipments[RM_Code],$A82,T_Shipments[Effective_Week],89)</f>
        <v/>
      </c>
      <c r="CM82">
        <f>SUMIFS(T_Shipments[Confirmed_Qty],T_Shipments[RM_Code],$A82,T_Shipments[Effective_Week],90)</f>
        <v/>
      </c>
      <c r="CN82">
        <f>SUMIFS(T_Shipments[Confirmed_Qty],T_Shipments[RM_Code],$A82,T_Shipments[Effective_Week],91)</f>
        <v/>
      </c>
      <c r="CO82">
        <f>SUMIFS(T_Shipments[Confirmed_Qty],T_Shipments[RM_Code],$A82,T_Shipments[Effective_Week],92)</f>
        <v/>
      </c>
      <c r="CP82">
        <f>SUMIFS(T_Shipments[Confirmed_Qty],T_Shipments[RM_Code],$A82,T_Shipments[Effective_Week],93)</f>
        <v/>
      </c>
      <c r="CQ82">
        <f>SUMIFS(T_Shipments[Confirmed_Qty],T_Shipments[RM_Code],$A82,T_Shipments[Effective_Week],94)</f>
        <v/>
      </c>
      <c r="CR82">
        <f>SUMIFS(T_Shipments[Confirmed_Qty],T_Shipments[RM_Code],$A82,T_Shipments[Effective_Week],95)</f>
        <v/>
      </c>
      <c r="CS82">
        <f>SUMIFS(T_Shipments[Confirmed_Qty],T_Shipments[RM_Code],$A82,T_Shipments[Effective_Week],96)</f>
        <v/>
      </c>
      <c r="CT82">
        <f>SUMIFS(T_Shipments[Confirmed_Qty],T_Shipments[RM_Code],$A82,T_Shipments[Effective_Week],97)</f>
        <v/>
      </c>
      <c r="CU82">
        <f>SUMIFS(T_Shipments[Confirmed_Qty],T_Shipments[RM_Code],$A82,T_Shipments[Effective_Week],98)</f>
        <v/>
      </c>
      <c r="CV82">
        <f>SUMIFS(T_Shipments[Confirmed_Qty],T_Shipments[RM_Code],$A82,T_Shipments[Effective_Week],99)</f>
        <v/>
      </c>
      <c r="CW82">
        <f>SUMIFS(T_Shipments[Confirmed_Qty],T_Shipments[RM_Code],$A82,T_Shipments[Effective_Week],100)</f>
        <v/>
      </c>
      <c r="CX82">
        <f>SUMIFS(T_Shipments[Confirmed_Qty],T_Shipments[RM_Code],$A82,T_Shipments[Effective_Week],101)</f>
        <v/>
      </c>
      <c r="CY82">
        <f>SUMIFS(T_Shipments[Confirmed_Qty],T_Shipments[RM_Code],$A82,T_Shipments[Effective_Week],102)</f>
        <v/>
      </c>
      <c r="CZ82">
        <f>SUMIFS(T_Shipments[Confirmed_Qty],T_Shipments[RM_Code],$A82,T_Shipments[Effective_Week],103)</f>
        <v/>
      </c>
      <c r="DA82">
        <f>SUMIFS(T_Shipments[Confirmed_Qty],T_Shipments[RM_Code],$A82,T_Shipments[Effective_Week],104)</f>
        <v/>
      </c>
    </row>
    <row r="83">
      <c r="A83" t="inlineStr">
        <is>
          <t>CHEM-1220</t>
        </is>
      </c>
      <c r="B83">
        <f>SUMIFS(T_Shipments[Confirmed_Qty],T_Shipments[RM_Code],$A83,T_Shipments[Effective_Week],1)</f>
        <v/>
      </c>
      <c r="C83">
        <f>SUMIFS(T_Shipments[Confirmed_Qty],T_Shipments[RM_Code],$A83,T_Shipments[Effective_Week],2)</f>
        <v/>
      </c>
      <c r="D83">
        <f>SUMIFS(T_Shipments[Confirmed_Qty],T_Shipments[RM_Code],$A83,T_Shipments[Effective_Week],3)</f>
        <v/>
      </c>
      <c r="E83">
        <f>SUMIFS(T_Shipments[Confirmed_Qty],T_Shipments[RM_Code],$A83,T_Shipments[Effective_Week],4)</f>
        <v/>
      </c>
      <c r="F83">
        <f>SUMIFS(T_Shipments[Confirmed_Qty],T_Shipments[RM_Code],$A83,T_Shipments[Effective_Week],5)</f>
        <v/>
      </c>
      <c r="G83">
        <f>SUMIFS(T_Shipments[Confirmed_Qty],T_Shipments[RM_Code],$A83,T_Shipments[Effective_Week],6)</f>
        <v/>
      </c>
      <c r="H83">
        <f>SUMIFS(T_Shipments[Confirmed_Qty],T_Shipments[RM_Code],$A83,T_Shipments[Effective_Week],7)</f>
        <v/>
      </c>
      <c r="I83">
        <f>SUMIFS(T_Shipments[Confirmed_Qty],T_Shipments[RM_Code],$A83,T_Shipments[Effective_Week],8)</f>
        <v/>
      </c>
      <c r="J83">
        <f>SUMIFS(T_Shipments[Confirmed_Qty],T_Shipments[RM_Code],$A83,T_Shipments[Effective_Week],9)</f>
        <v/>
      </c>
      <c r="K83">
        <f>SUMIFS(T_Shipments[Confirmed_Qty],T_Shipments[RM_Code],$A83,T_Shipments[Effective_Week],10)</f>
        <v/>
      </c>
      <c r="L83">
        <f>SUMIFS(T_Shipments[Confirmed_Qty],T_Shipments[RM_Code],$A83,T_Shipments[Effective_Week],11)</f>
        <v/>
      </c>
      <c r="M83">
        <f>SUMIFS(T_Shipments[Confirmed_Qty],T_Shipments[RM_Code],$A83,T_Shipments[Effective_Week],12)</f>
        <v/>
      </c>
      <c r="N83">
        <f>SUMIFS(T_Shipments[Confirmed_Qty],T_Shipments[RM_Code],$A83,T_Shipments[Effective_Week],13)</f>
        <v/>
      </c>
      <c r="O83">
        <f>SUMIFS(T_Shipments[Confirmed_Qty],T_Shipments[RM_Code],$A83,T_Shipments[Effective_Week],14)</f>
        <v/>
      </c>
      <c r="P83">
        <f>SUMIFS(T_Shipments[Confirmed_Qty],T_Shipments[RM_Code],$A83,T_Shipments[Effective_Week],15)</f>
        <v/>
      </c>
      <c r="Q83">
        <f>SUMIFS(T_Shipments[Confirmed_Qty],T_Shipments[RM_Code],$A83,T_Shipments[Effective_Week],16)</f>
        <v/>
      </c>
      <c r="R83">
        <f>SUMIFS(T_Shipments[Confirmed_Qty],T_Shipments[RM_Code],$A83,T_Shipments[Effective_Week],17)</f>
        <v/>
      </c>
      <c r="S83">
        <f>SUMIFS(T_Shipments[Confirmed_Qty],T_Shipments[RM_Code],$A83,T_Shipments[Effective_Week],18)</f>
        <v/>
      </c>
      <c r="T83">
        <f>SUMIFS(T_Shipments[Confirmed_Qty],T_Shipments[RM_Code],$A83,T_Shipments[Effective_Week],19)</f>
        <v/>
      </c>
      <c r="U83">
        <f>SUMIFS(T_Shipments[Confirmed_Qty],T_Shipments[RM_Code],$A83,T_Shipments[Effective_Week],20)</f>
        <v/>
      </c>
      <c r="V83">
        <f>SUMIFS(T_Shipments[Confirmed_Qty],T_Shipments[RM_Code],$A83,T_Shipments[Effective_Week],21)</f>
        <v/>
      </c>
      <c r="W83">
        <f>SUMIFS(T_Shipments[Confirmed_Qty],T_Shipments[RM_Code],$A83,T_Shipments[Effective_Week],22)</f>
        <v/>
      </c>
      <c r="X83">
        <f>SUMIFS(T_Shipments[Confirmed_Qty],T_Shipments[RM_Code],$A83,T_Shipments[Effective_Week],23)</f>
        <v/>
      </c>
      <c r="Y83">
        <f>SUMIFS(T_Shipments[Confirmed_Qty],T_Shipments[RM_Code],$A83,T_Shipments[Effective_Week],24)</f>
        <v/>
      </c>
      <c r="Z83">
        <f>SUMIFS(T_Shipments[Confirmed_Qty],T_Shipments[RM_Code],$A83,T_Shipments[Effective_Week],25)</f>
        <v/>
      </c>
      <c r="AA83">
        <f>SUMIFS(T_Shipments[Confirmed_Qty],T_Shipments[RM_Code],$A83,T_Shipments[Effective_Week],26)</f>
        <v/>
      </c>
      <c r="AB83">
        <f>SUMIFS(T_Shipments[Confirmed_Qty],T_Shipments[RM_Code],$A83,T_Shipments[Effective_Week],27)</f>
        <v/>
      </c>
      <c r="AC83">
        <f>SUMIFS(T_Shipments[Confirmed_Qty],T_Shipments[RM_Code],$A83,T_Shipments[Effective_Week],28)</f>
        <v/>
      </c>
      <c r="AD83">
        <f>SUMIFS(T_Shipments[Confirmed_Qty],T_Shipments[RM_Code],$A83,T_Shipments[Effective_Week],29)</f>
        <v/>
      </c>
      <c r="AE83">
        <f>SUMIFS(T_Shipments[Confirmed_Qty],T_Shipments[RM_Code],$A83,T_Shipments[Effective_Week],30)</f>
        <v/>
      </c>
      <c r="AF83">
        <f>SUMIFS(T_Shipments[Confirmed_Qty],T_Shipments[RM_Code],$A83,T_Shipments[Effective_Week],31)</f>
        <v/>
      </c>
      <c r="AG83">
        <f>SUMIFS(T_Shipments[Confirmed_Qty],T_Shipments[RM_Code],$A83,T_Shipments[Effective_Week],32)</f>
        <v/>
      </c>
      <c r="AH83">
        <f>SUMIFS(T_Shipments[Confirmed_Qty],T_Shipments[RM_Code],$A83,T_Shipments[Effective_Week],33)</f>
        <v/>
      </c>
      <c r="AI83">
        <f>SUMIFS(T_Shipments[Confirmed_Qty],T_Shipments[RM_Code],$A83,T_Shipments[Effective_Week],34)</f>
        <v/>
      </c>
      <c r="AJ83">
        <f>SUMIFS(T_Shipments[Confirmed_Qty],T_Shipments[RM_Code],$A83,T_Shipments[Effective_Week],35)</f>
        <v/>
      </c>
      <c r="AK83">
        <f>SUMIFS(T_Shipments[Confirmed_Qty],T_Shipments[RM_Code],$A83,T_Shipments[Effective_Week],36)</f>
        <v/>
      </c>
      <c r="AL83">
        <f>SUMIFS(T_Shipments[Confirmed_Qty],T_Shipments[RM_Code],$A83,T_Shipments[Effective_Week],37)</f>
        <v/>
      </c>
      <c r="AM83">
        <f>SUMIFS(T_Shipments[Confirmed_Qty],T_Shipments[RM_Code],$A83,T_Shipments[Effective_Week],38)</f>
        <v/>
      </c>
      <c r="AN83">
        <f>SUMIFS(T_Shipments[Confirmed_Qty],T_Shipments[RM_Code],$A83,T_Shipments[Effective_Week],39)</f>
        <v/>
      </c>
      <c r="AO83">
        <f>SUMIFS(T_Shipments[Confirmed_Qty],T_Shipments[RM_Code],$A83,T_Shipments[Effective_Week],40)</f>
        <v/>
      </c>
      <c r="AP83">
        <f>SUMIFS(T_Shipments[Confirmed_Qty],T_Shipments[RM_Code],$A83,T_Shipments[Effective_Week],41)</f>
        <v/>
      </c>
      <c r="AQ83">
        <f>SUMIFS(T_Shipments[Confirmed_Qty],T_Shipments[RM_Code],$A83,T_Shipments[Effective_Week],42)</f>
        <v/>
      </c>
      <c r="AR83">
        <f>SUMIFS(T_Shipments[Confirmed_Qty],T_Shipments[RM_Code],$A83,T_Shipments[Effective_Week],43)</f>
        <v/>
      </c>
      <c r="AS83">
        <f>SUMIFS(T_Shipments[Confirmed_Qty],T_Shipments[RM_Code],$A83,T_Shipments[Effective_Week],44)</f>
        <v/>
      </c>
      <c r="AT83">
        <f>SUMIFS(T_Shipments[Confirmed_Qty],T_Shipments[RM_Code],$A83,T_Shipments[Effective_Week],45)</f>
        <v/>
      </c>
      <c r="AU83">
        <f>SUMIFS(T_Shipments[Confirmed_Qty],T_Shipments[RM_Code],$A83,T_Shipments[Effective_Week],46)</f>
        <v/>
      </c>
      <c r="AV83">
        <f>SUMIFS(T_Shipments[Confirmed_Qty],T_Shipments[RM_Code],$A83,T_Shipments[Effective_Week],47)</f>
        <v/>
      </c>
      <c r="AW83">
        <f>SUMIFS(T_Shipments[Confirmed_Qty],T_Shipments[RM_Code],$A83,T_Shipments[Effective_Week],48)</f>
        <v/>
      </c>
      <c r="AX83">
        <f>SUMIFS(T_Shipments[Confirmed_Qty],T_Shipments[RM_Code],$A83,T_Shipments[Effective_Week],49)</f>
        <v/>
      </c>
      <c r="AY83">
        <f>SUMIFS(T_Shipments[Confirmed_Qty],T_Shipments[RM_Code],$A83,T_Shipments[Effective_Week],50)</f>
        <v/>
      </c>
      <c r="AZ83">
        <f>SUMIFS(T_Shipments[Confirmed_Qty],T_Shipments[RM_Code],$A83,T_Shipments[Effective_Week],51)</f>
        <v/>
      </c>
      <c r="BA83">
        <f>SUMIFS(T_Shipments[Confirmed_Qty],T_Shipments[RM_Code],$A83,T_Shipments[Effective_Week],52)</f>
        <v/>
      </c>
      <c r="BB83">
        <f>SUMIFS(T_Shipments[Confirmed_Qty],T_Shipments[RM_Code],$A83,T_Shipments[Effective_Week],53)</f>
        <v/>
      </c>
      <c r="BC83">
        <f>SUMIFS(T_Shipments[Confirmed_Qty],T_Shipments[RM_Code],$A83,T_Shipments[Effective_Week],54)</f>
        <v/>
      </c>
      <c r="BD83">
        <f>SUMIFS(T_Shipments[Confirmed_Qty],T_Shipments[RM_Code],$A83,T_Shipments[Effective_Week],55)</f>
        <v/>
      </c>
      <c r="BE83">
        <f>SUMIFS(T_Shipments[Confirmed_Qty],T_Shipments[RM_Code],$A83,T_Shipments[Effective_Week],56)</f>
        <v/>
      </c>
      <c r="BF83">
        <f>SUMIFS(T_Shipments[Confirmed_Qty],T_Shipments[RM_Code],$A83,T_Shipments[Effective_Week],57)</f>
        <v/>
      </c>
      <c r="BG83">
        <f>SUMIFS(T_Shipments[Confirmed_Qty],T_Shipments[RM_Code],$A83,T_Shipments[Effective_Week],58)</f>
        <v/>
      </c>
      <c r="BH83">
        <f>SUMIFS(T_Shipments[Confirmed_Qty],T_Shipments[RM_Code],$A83,T_Shipments[Effective_Week],59)</f>
        <v/>
      </c>
      <c r="BI83">
        <f>SUMIFS(T_Shipments[Confirmed_Qty],T_Shipments[RM_Code],$A83,T_Shipments[Effective_Week],60)</f>
        <v/>
      </c>
      <c r="BJ83">
        <f>SUMIFS(T_Shipments[Confirmed_Qty],T_Shipments[RM_Code],$A83,T_Shipments[Effective_Week],61)</f>
        <v/>
      </c>
      <c r="BK83">
        <f>SUMIFS(T_Shipments[Confirmed_Qty],T_Shipments[RM_Code],$A83,T_Shipments[Effective_Week],62)</f>
        <v/>
      </c>
      <c r="BL83">
        <f>SUMIFS(T_Shipments[Confirmed_Qty],T_Shipments[RM_Code],$A83,T_Shipments[Effective_Week],63)</f>
        <v/>
      </c>
      <c r="BM83">
        <f>SUMIFS(T_Shipments[Confirmed_Qty],T_Shipments[RM_Code],$A83,T_Shipments[Effective_Week],64)</f>
        <v/>
      </c>
      <c r="BN83">
        <f>SUMIFS(T_Shipments[Confirmed_Qty],T_Shipments[RM_Code],$A83,T_Shipments[Effective_Week],65)</f>
        <v/>
      </c>
      <c r="BO83">
        <f>SUMIFS(T_Shipments[Confirmed_Qty],T_Shipments[RM_Code],$A83,T_Shipments[Effective_Week],66)</f>
        <v/>
      </c>
      <c r="BP83">
        <f>SUMIFS(T_Shipments[Confirmed_Qty],T_Shipments[RM_Code],$A83,T_Shipments[Effective_Week],67)</f>
        <v/>
      </c>
      <c r="BQ83">
        <f>SUMIFS(T_Shipments[Confirmed_Qty],T_Shipments[RM_Code],$A83,T_Shipments[Effective_Week],68)</f>
        <v/>
      </c>
      <c r="BR83">
        <f>SUMIFS(T_Shipments[Confirmed_Qty],T_Shipments[RM_Code],$A83,T_Shipments[Effective_Week],69)</f>
        <v/>
      </c>
      <c r="BS83">
        <f>SUMIFS(T_Shipments[Confirmed_Qty],T_Shipments[RM_Code],$A83,T_Shipments[Effective_Week],70)</f>
        <v/>
      </c>
      <c r="BT83">
        <f>SUMIFS(T_Shipments[Confirmed_Qty],T_Shipments[RM_Code],$A83,T_Shipments[Effective_Week],71)</f>
        <v/>
      </c>
      <c r="BU83">
        <f>SUMIFS(T_Shipments[Confirmed_Qty],T_Shipments[RM_Code],$A83,T_Shipments[Effective_Week],72)</f>
        <v/>
      </c>
      <c r="BV83">
        <f>SUMIFS(T_Shipments[Confirmed_Qty],T_Shipments[RM_Code],$A83,T_Shipments[Effective_Week],73)</f>
        <v/>
      </c>
      <c r="BW83">
        <f>SUMIFS(T_Shipments[Confirmed_Qty],T_Shipments[RM_Code],$A83,T_Shipments[Effective_Week],74)</f>
        <v/>
      </c>
      <c r="BX83">
        <f>SUMIFS(T_Shipments[Confirmed_Qty],T_Shipments[RM_Code],$A83,T_Shipments[Effective_Week],75)</f>
        <v/>
      </c>
      <c r="BY83">
        <f>SUMIFS(T_Shipments[Confirmed_Qty],T_Shipments[RM_Code],$A83,T_Shipments[Effective_Week],76)</f>
        <v/>
      </c>
      <c r="BZ83">
        <f>SUMIFS(T_Shipments[Confirmed_Qty],T_Shipments[RM_Code],$A83,T_Shipments[Effective_Week],77)</f>
        <v/>
      </c>
      <c r="CA83">
        <f>SUMIFS(T_Shipments[Confirmed_Qty],T_Shipments[RM_Code],$A83,T_Shipments[Effective_Week],78)</f>
        <v/>
      </c>
      <c r="CB83">
        <f>SUMIFS(T_Shipments[Confirmed_Qty],T_Shipments[RM_Code],$A83,T_Shipments[Effective_Week],79)</f>
        <v/>
      </c>
      <c r="CC83">
        <f>SUMIFS(T_Shipments[Confirmed_Qty],T_Shipments[RM_Code],$A83,T_Shipments[Effective_Week],80)</f>
        <v/>
      </c>
      <c r="CD83">
        <f>SUMIFS(T_Shipments[Confirmed_Qty],T_Shipments[RM_Code],$A83,T_Shipments[Effective_Week],81)</f>
        <v/>
      </c>
      <c r="CE83">
        <f>SUMIFS(T_Shipments[Confirmed_Qty],T_Shipments[RM_Code],$A83,T_Shipments[Effective_Week],82)</f>
        <v/>
      </c>
      <c r="CF83">
        <f>SUMIFS(T_Shipments[Confirmed_Qty],T_Shipments[RM_Code],$A83,T_Shipments[Effective_Week],83)</f>
        <v/>
      </c>
      <c r="CG83">
        <f>SUMIFS(T_Shipments[Confirmed_Qty],T_Shipments[RM_Code],$A83,T_Shipments[Effective_Week],84)</f>
        <v/>
      </c>
      <c r="CH83">
        <f>SUMIFS(T_Shipments[Confirmed_Qty],T_Shipments[RM_Code],$A83,T_Shipments[Effective_Week],85)</f>
        <v/>
      </c>
      <c r="CI83">
        <f>SUMIFS(T_Shipments[Confirmed_Qty],T_Shipments[RM_Code],$A83,T_Shipments[Effective_Week],86)</f>
        <v/>
      </c>
      <c r="CJ83">
        <f>SUMIFS(T_Shipments[Confirmed_Qty],T_Shipments[RM_Code],$A83,T_Shipments[Effective_Week],87)</f>
        <v/>
      </c>
      <c r="CK83">
        <f>SUMIFS(T_Shipments[Confirmed_Qty],T_Shipments[RM_Code],$A83,T_Shipments[Effective_Week],88)</f>
        <v/>
      </c>
      <c r="CL83">
        <f>SUMIFS(T_Shipments[Confirmed_Qty],T_Shipments[RM_Code],$A83,T_Shipments[Effective_Week],89)</f>
        <v/>
      </c>
      <c r="CM83">
        <f>SUMIFS(T_Shipments[Confirmed_Qty],T_Shipments[RM_Code],$A83,T_Shipments[Effective_Week],90)</f>
        <v/>
      </c>
      <c r="CN83">
        <f>SUMIFS(T_Shipments[Confirmed_Qty],T_Shipments[RM_Code],$A83,T_Shipments[Effective_Week],91)</f>
        <v/>
      </c>
      <c r="CO83">
        <f>SUMIFS(T_Shipments[Confirmed_Qty],T_Shipments[RM_Code],$A83,T_Shipments[Effective_Week],92)</f>
        <v/>
      </c>
      <c r="CP83">
        <f>SUMIFS(T_Shipments[Confirmed_Qty],T_Shipments[RM_Code],$A83,T_Shipments[Effective_Week],93)</f>
        <v/>
      </c>
      <c r="CQ83">
        <f>SUMIFS(T_Shipments[Confirmed_Qty],T_Shipments[RM_Code],$A83,T_Shipments[Effective_Week],94)</f>
        <v/>
      </c>
      <c r="CR83">
        <f>SUMIFS(T_Shipments[Confirmed_Qty],T_Shipments[RM_Code],$A83,T_Shipments[Effective_Week],95)</f>
        <v/>
      </c>
      <c r="CS83">
        <f>SUMIFS(T_Shipments[Confirmed_Qty],T_Shipments[RM_Code],$A83,T_Shipments[Effective_Week],96)</f>
        <v/>
      </c>
      <c r="CT83">
        <f>SUMIFS(T_Shipments[Confirmed_Qty],T_Shipments[RM_Code],$A83,T_Shipments[Effective_Week],97)</f>
        <v/>
      </c>
      <c r="CU83">
        <f>SUMIFS(T_Shipments[Confirmed_Qty],T_Shipments[RM_Code],$A83,T_Shipments[Effective_Week],98)</f>
        <v/>
      </c>
      <c r="CV83">
        <f>SUMIFS(T_Shipments[Confirmed_Qty],T_Shipments[RM_Code],$A83,T_Shipments[Effective_Week],99)</f>
        <v/>
      </c>
      <c r="CW83">
        <f>SUMIFS(T_Shipments[Confirmed_Qty],T_Shipments[RM_Code],$A83,T_Shipments[Effective_Week],100)</f>
        <v/>
      </c>
      <c r="CX83">
        <f>SUMIFS(T_Shipments[Confirmed_Qty],T_Shipments[RM_Code],$A83,T_Shipments[Effective_Week],101)</f>
        <v/>
      </c>
      <c r="CY83">
        <f>SUMIFS(T_Shipments[Confirmed_Qty],T_Shipments[RM_Code],$A83,T_Shipments[Effective_Week],102)</f>
        <v/>
      </c>
      <c r="CZ83">
        <f>SUMIFS(T_Shipments[Confirmed_Qty],T_Shipments[RM_Code],$A83,T_Shipments[Effective_Week],103)</f>
        <v/>
      </c>
      <c r="DA83">
        <f>SUMIFS(T_Shipments[Confirmed_Qty],T_Shipments[RM_Code],$A83,T_Shipments[Effective_Week],104)</f>
        <v/>
      </c>
    </row>
    <row r="84">
      <c r="A84" t="inlineStr">
        <is>
          <t>CHEM-1260</t>
        </is>
      </c>
      <c r="B84">
        <f>SUMIFS(T_Shipments[Confirmed_Qty],T_Shipments[RM_Code],$A84,T_Shipments[Effective_Week],1)</f>
        <v/>
      </c>
      <c r="C84">
        <f>SUMIFS(T_Shipments[Confirmed_Qty],T_Shipments[RM_Code],$A84,T_Shipments[Effective_Week],2)</f>
        <v/>
      </c>
      <c r="D84">
        <f>SUMIFS(T_Shipments[Confirmed_Qty],T_Shipments[RM_Code],$A84,T_Shipments[Effective_Week],3)</f>
        <v/>
      </c>
      <c r="E84">
        <f>SUMIFS(T_Shipments[Confirmed_Qty],T_Shipments[RM_Code],$A84,T_Shipments[Effective_Week],4)</f>
        <v/>
      </c>
      <c r="F84">
        <f>SUMIFS(T_Shipments[Confirmed_Qty],T_Shipments[RM_Code],$A84,T_Shipments[Effective_Week],5)</f>
        <v/>
      </c>
      <c r="G84">
        <f>SUMIFS(T_Shipments[Confirmed_Qty],T_Shipments[RM_Code],$A84,T_Shipments[Effective_Week],6)</f>
        <v/>
      </c>
      <c r="H84">
        <f>SUMIFS(T_Shipments[Confirmed_Qty],T_Shipments[RM_Code],$A84,T_Shipments[Effective_Week],7)</f>
        <v/>
      </c>
      <c r="I84">
        <f>SUMIFS(T_Shipments[Confirmed_Qty],T_Shipments[RM_Code],$A84,T_Shipments[Effective_Week],8)</f>
        <v/>
      </c>
      <c r="J84">
        <f>SUMIFS(T_Shipments[Confirmed_Qty],T_Shipments[RM_Code],$A84,T_Shipments[Effective_Week],9)</f>
        <v/>
      </c>
      <c r="K84">
        <f>SUMIFS(T_Shipments[Confirmed_Qty],T_Shipments[RM_Code],$A84,T_Shipments[Effective_Week],10)</f>
        <v/>
      </c>
      <c r="L84">
        <f>SUMIFS(T_Shipments[Confirmed_Qty],T_Shipments[RM_Code],$A84,T_Shipments[Effective_Week],11)</f>
        <v/>
      </c>
      <c r="M84">
        <f>SUMIFS(T_Shipments[Confirmed_Qty],T_Shipments[RM_Code],$A84,T_Shipments[Effective_Week],12)</f>
        <v/>
      </c>
      <c r="N84">
        <f>SUMIFS(T_Shipments[Confirmed_Qty],T_Shipments[RM_Code],$A84,T_Shipments[Effective_Week],13)</f>
        <v/>
      </c>
      <c r="O84">
        <f>SUMIFS(T_Shipments[Confirmed_Qty],T_Shipments[RM_Code],$A84,T_Shipments[Effective_Week],14)</f>
        <v/>
      </c>
      <c r="P84">
        <f>SUMIFS(T_Shipments[Confirmed_Qty],T_Shipments[RM_Code],$A84,T_Shipments[Effective_Week],15)</f>
        <v/>
      </c>
      <c r="Q84">
        <f>SUMIFS(T_Shipments[Confirmed_Qty],T_Shipments[RM_Code],$A84,T_Shipments[Effective_Week],16)</f>
        <v/>
      </c>
      <c r="R84">
        <f>SUMIFS(T_Shipments[Confirmed_Qty],T_Shipments[RM_Code],$A84,T_Shipments[Effective_Week],17)</f>
        <v/>
      </c>
      <c r="S84">
        <f>SUMIFS(T_Shipments[Confirmed_Qty],T_Shipments[RM_Code],$A84,T_Shipments[Effective_Week],18)</f>
        <v/>
      </c>
      <c r="T84">
        <f>SUMIFS(T_Shipments[Confirmed_Qty],T_Shipments[RM_Code],$A84,T_Shipments[Effective_Week],19)</f>
        <v/>
      </c>
      <c r="U84">
        <f>SUMIFS(T_Shipments[Confirmed_Qty],T_Shipments[RM_Code],$A84,T_Shipments[Effective_Week],20)</f>
        <v/>
      </c>
      <c r="V84">
        <f>SUMIFS(T_Shipments[Confirmed_Qty],T_Shipments[RM_Code],$A84,T_Shipments[Effective_Week],21)</f>
        <v/>
      </c>
      <c r="W84">
        <f>SUMIFS(T_Shipments[Confirmed_Qty],T_Shipments[RM_Code],$A84,T_Shipments[Effective_Week],22)</f>
        <v/>
      </c>
      <c r="X84">
        <f>SUMIFS(T_Shipments[Confirmed_Qty],T_Shipments[RM_Code],$A84,T_Shipments[Effective_Week],23)</f>
        <v/>
      </c>
      <c r="Y84">
        <f>SUMIFS(T_Shipments[Confirmed_Qty],T_Shipments[RM_Code],$A84,T_Shipments[Effective_Week],24)</f>
        <v/>
      </c>
      <c r="Z84">
        <f>SUMIFS(T_Shipments[Confirmed_Qty],T_Shipments[RM_Code],$A84,T_Shipments[Effective_Week],25)</f>
        <v/>
      </c>
      <c r="AA84">
        <f>SUMIFS(T_Shipments[Confirmed_Qty],T_Shipments[RM_Code],$A84,T_Shipments[Effective_Week],26)</f>
        <v/>
      </c>
      <c r="AB84">
        <f>SUMIFS(T_Shipments[Confirmed_Qty],T_Shipments[RM_Code],$A84,T_Shipments[Effective_Week],27)</f>
        <v/>
      </c>
      <c r="AC84">
        <f>SUMIFS(T_Shipments[Confirmed_Qty],T_Shipments[RM_Code],$A84,T_Shipments[Effective_Week],28)</f>
        <v/>
      </c>
      <c r="AD84">
        <f>SUMIFS(T_Shipments[Confirmed_Qty],T_Shipments[RM_Code],$A84,T_Shipments[Effective_Week],29)</f>
        <v/>
      </c>
      <c r="AE84">
        <f>SUMIFS(T_Shipments[Confirmed_Qty],T_Shipments[RM_Code],$A84,T_Shipments[Effective_Week],30)</f>
        <v/>
      </c>
      <c r="AF84">
        <f>SUMIFS(T_Shipments[Confirmed_Qty],T_Shipments[RM_Code],$A84,T_Shipments[Effective_Week],31)</f>
        <v/>
      </c>
      <c r="AG84">
        <f>SUMIFS(T_Shipments[Confirmed_Qty],T_Shipments[RM_Code],$A84,T_Shipments[Effective_Week],32)</f>
        <v/>
      </c>
      <c r="AH84">
        <f>SUMIFS(T_Shipments[Confirmed_Qty],T_Shipments[RM_Code],$A84,T_Shipments[Effective_Week],33)</f>
        <v/>
      </c>
      <c r="AI84">
        <f>SUMIFS(T_Shipments[Confirmed_Qty],T_Shipments[RM_Code],$A84,T_Shipments[Effective_Week],34)</f>
        <v/>
      </c>
      <c r="AJ84">
        <f>SUMIFS(T_Shipments[Confirmed_Qty],T_Shipments[RM_Code],$A84,T_Shipments[Effective_Week],35)</f>
        <v/>
      </c>
      <c r="AK84">
        <f>SUMIFS(T_Shipments[Confirmed_Qty],T_Shipments[RM_Code],$A84,T_Shipments[Effective_Week],36)</f>
        <v/>
      </c>
      <c r="AL84">
        <f>SUMIFS(T_Shipments[Confirmed_Qty],T_Shipments[RM_Code],$A84,T_Shipments[Effective_Week],37)</f>
        <v/>
      </c>
      <c r="AM84">
        <f>SUMIFS(T_Shipments[Confirmed_Qty],T_Shipments[RM_Code],$A84,T_Shipments[Effective_Week],38)</f>
        <v/>
      </c>
      <c r="AN84">
        <f>SUMIFS(T_Shipments[Confirmed_Qty],T_Shipments[RM_Code],$A84,T_Shipments[Effective_Week],39)</f>
        <v/>
      </c>
      <c r="AO84">
        <f>SUMIFS(T_Shipments[Confirmed_Qty],T_Shipments[RM_Code],$A84,T_Shipments[Effective_Week],40)</f>
        <v/>
      </c>
      <c r="AP84">
        <f>SUMIFS(T_Shipments[Confirmed_Qty],T_Shipments[RM_Code],$A84,T_Shipments[Effective_Week],41)</f>
        <v/>
      </c>
      <c r="AQ84">
        <f>SUMIFS(T_Shipments[Confirmed_Qty],T_Shipments[RM_Code],$A84,T_Shipments[Effective_Week],42)</f>
        <v/>
      </c>
      <c r="AR84">
        <f>SUMIFS(T_Shipments[Confirmed_Qty],T_Shipments[RM_Code],$A84,T_Shipments[Effective_Week],43)</f>
        <v/>
      </c>
      <c r="AS84">
        <f>SUMIFS(T_Shipments[Confirmed_Qty],T_Shipments[RM_Code],$A84,T_Shipments[Effective_Week],44)</f>
        <v/>
      </c>
      <c r="AT84">
        <f>SUMIFS(T_Shipments[Confirmed_Qty],T_Shipments[RM_Code],$A84,T_Shipments[Effective_Week],45)</f>
        <v/>
      </c>
      <c r="AU84">
        <f>SUMIFS(T_Shipments[Confirmed_Qty],T_Shipments[RM_Code],$A84,T_Shipments[Effective_Week],46)</f>
        <v/>
      </c>
      <c r="AV84">
        <f>SUMIFS(T_Shipments[Confirmed_Qty],T_Shipments[RM_Code],$A84,T_Shipments[Effective_Week],47)</f>
        <v/>
      </c>
      <c r="AW84">
        <f>SUMIFS(T_Shipments[Confirmed_Qty],T_Shipments[RM_Code],$A84,T_Shipments[Effective_Week],48)</f>
        <v/>
      </c>
      <c r="AX84">
        <f>SUMIFS(T_Shipments[Confirmed_Qty],T_Shipments[RM_Code],$A84,T_Shipments[Effective_Week],49)</f>
        <v/>
      </c>
      <c r="AY84">
        <f>SUMIFS(T_Shipments[Confirmed_Qty],T_Shipments[RM_Code],$A84,T_Shipments[Effective_Week],50)</f>
        <v/>
      </c>
      <c r="AZ84">
        <f>SUMIFS(T_Shipments[Confirmed_Qty],T_Shipments[RM_Code],$A84,T_Shipments[Effective_Week],51)</f>
        <v/>
      </c>
      <c r="BA84">
        <f>SUMIFS(T_Shipments[Confirmed_Qty],T_Shipments[RM_Code],$A84,T_Shipments[Effective_Week],52)</f>
        <v/>
      </c>
      <c r="BB84">
        <f>SUMIFS(T_Shipments[Confirmed_Qty],T_Shipments[RM_Code],$A84,T_Shipments[Effective_Week],53)</f>
        <v/>
      </c>
      <c r="BC84">
        <f>SUMIFS(T_Shipments[Confirmed_Qty],T_Shipments[RM_Code],$A84,T_Shipments[Effective_Week],54)</f>
        <v/>
      </c>
      <c r="BD84">
        <f>SUMIFS(T_Shipments[Confirmed_Qty],T_Shipments[RM_Code],$A84,T_Shipments[Effective_Week],55)</f>
        <v/>
      </c>
      <c r="BE84">
        <f>SUMIFS(T_Shipments[Confirmed_Qty],T_Shipments[RM_Code],$A84,T_Shipments[Effective_Week],56)</f>
        <v/>
      </c>
      <c r="BF84">
        <f>SUMIFS(T_Shipments[Confirmed_Qty],T_Shipments[RM_Code],$A84,T_Shipments[Effective_Week],57)</f>
        <v/>
      </c>
      <c r="BG84">
        <f>SUMIFS(T_Shipments[Confirmed_Qty],T_Shipments[RM_Code],$A84,T_Shipments[Effective_Week],58)</f>
        <v/>
      </c>
      <c r="BH84">
        <f>SUMIFS(T_Shipments[Confirmed_Qty],T_Shipments[RM_Code],$A84,T_Shipments[Effective_Week],59)</f>
        <v/>
      </c>
      <c r="BI84">
        <f>SUMIFS(T_Shipments[Confirmed_Qty],T_Shipments[RM_Code],$A84,T_Shipments[Effective_Week],60)</f>
        <v/>
      </c>
      <c r="BJ84">
        <f>SUMIFS(T_Shipments[Confirmed_Qty],T_Shipments[RM_Code],$A84,T_Shipments[Effective_Week],61)</f>
        <v/>
      </c>
      <c r="BK84">
        <f>SUMIFS(T_Shipments[Confirmed_Qty],T_Shipments[RM_Code],$A84,T_Shipments[Effective_Week],62)</f>
        <v/>
      </c>
      <c r="BL84">
        <f>SUMIFS(T_Shipments[Confirmed_Qty],T_Shipments[RM_Code],$A84,T_Shipments[Effective_Week],63)</f>
        <v/>
      </c>
      <c r="BM84">
        <f>SUMIFS(T_Shipments[Confirmed_Qty],T_Shipments[RM_Code],$A84,T_Shipments[Effective_Week],64)</f>
        <v/>
      </c>
      <c r="BN84">
        <f>SUMIFS(T_Shipments[Confirmed_Qty],T_Shipments[RM_Code],$A84,T_Shipments[Effective_Week],65)</f>
        <v/>
      </c>
      <c r="BO84">
        <f>SUMIFS(T_Shipments[Confirmed_Qty],T_Shipments[RM_Code],$A84,T_Shipments[Effective_Week],66)</f>
        <v/>
      </c>
      <c r="BP84">
        <f>SUMIFS(T_Shipments[Confirmed_Qty],T_Shipments[RM_Code],$A84,T_Shipments[Effective_Week],67)</f>
        <v/>
      </c>
      <c r="BQ84">
        <f>SUMIFS(T_Shipments[Confirmed_Qty],T_Shipments[RM_Code],$A84,T_Shipments[Effective_Week],68)</f>
        <v/>
      </c>
      <c r="BR84">
        <f>SUMIFS(T_Shipments[Confirmed_Qty],T_Shipments[RM_Code],$A84,T_Shipments[Effective_Week],69)</f>
        <v/>
      </c>
      <c r="BS84">
        <f>SUMIFS(T_Shipments[Confirmed_Qty],T_Shipments[RM_Code],$A84,T_Shipments[Effective_Week],70)</f>
        <v/>
      </c>
      <c r="BT84">
        <f>SUMIFS(T_Shipments[Confirmed_Qty],T_Shipments[RM_Code],$A84,T_Shipments[Effective_Week],71)</f>
        <v/>
      </c>
      <c r="BU84">
        <f>SUMIFS(T_Shipments[Confirmed_Qty],T_Shipments[RM_Code],$A84,T_Shipments[Effective_Week],72)</f>
        <v/>
      </c>
      <c r="BV84">
        <f>SUMIFS(T_Shipments[Confirmed_Qty],T_Shipments[RM_Code],$A84,T_Shipments[Effective_Week],73)</f>
        <v/>
      </c>
      <c r="BW84">
        <f>SUMIFS(T_Shipments[Confirmed_Qty],T_Shipments[RM_Code],$A84,T_Shipments[Effective_Week],74)</f>
        <v/>
      </c>
      <c r="BX84">
        <f>SUMIFS(T_Shipments[Confirmed_Qty],T_Shipments[RM_Code],$A84,T_Shipments[Effective_Week],75)</f>
        <v/>
      </c>
      <c r="BY84">
        <f>SUMIFS(T_Shipments[Confirmed_Qty],T_Shipments[RM_Code],$A84,T_Shipments[Effective_Week],76)</f>
        <v/>
      </c>
      <c r="BZ84">
        <f>SUMIFS(T_Shipments[Confirmed_Qty],T_Shipments[RM_Code],$A84,T_Shipments[Effective_Week],77)</f>
        <v/>
      </c>
      <c r="CA84">
        <f>SUMIFS(T_Shipments[Confirmed_Qty],T_Shipments[RM_Code],$A84,T_Shipments[Effective_Week],78)</f>
        <v/>
      </c>
      <c r="CB84">
        <f>SUMIFS(T_Shipments[Confirmed_Qty],T_Shipments[RM_Code],$A84,T_Shipments[Effective_Week],79)</f>
        <v/>
      </c>
      <c r="CC84">
        <f>SUMIFS(T_Shipments[Confirmed_Qty],T_Shipments[RM_Code],$A84,T_Shipments[Effective_Week],80)</f>
        <v/>
      </c>
      <c r="CD84">
        <f>SUMIFS(T_Shipments[Confirmed_Qty],T_Shipments[RM_Code],$A84,T_Shipments[Effective_Week],81)</f>
        <v/>
      </c>
      <c r="CE84">
        <f>SUMIFS(T_Shipments[Confirmed_Qty],T_Shipments[RM_Code],$A84,T_Shipments[Effective_Week],82)</f>
        <v/>
      </c>
      <c r="CF84">
        <f>SUMIFS(T_Shipments[Confirmed_Qty],T_Shipments[RM_Code],$A84,T_Shipments[Effective_Week],83)</f>
        <v/>
      </c>
      <c r="CG84">
        <f>SUMIFS(T_Shipments[Confirmed_Qty],T_Shipments[RM_Code],$A84,T_Shipments[Effective_Week],84)</f>
        <v/>
      </c>
      <c r="CH84">
        <f>SUMIFS(T_Shipments[Confirmed_Qty],T_Shipments[RM_Code],$A84,T_Shipments[Effective_Week],85)</f>
        <v/>
      </c>
      <c r="CI84">
        <f>SUMIFS(T_Shipments[Confirmed_Qty],T_Shipments[RM_Code],$A84,T_Shipments[Effective_Week],86)</f>
        <v/>
      </c>
      <c r="CJ84">
        <f>SUMIFS(T_Shipments[Confirmed_Qty],T_Shipments[RM_Code],$A84,T_Shipments[Effective_Week],87)</f>
        <v/>
      </c>
      <c r="CK84">
        <f>SUMIFS(T_Shipments[Confirmed_Qty],T_Shipments[RM_Code],$A84,T_Shipments[Effective_Week],88)</f>
        <v/>
      </c>
      <c r="CL84">
        <f>SUMIFS(T_Shipments[Confirmed_Qty],T_Shipments[RM_Code],$A84,T_Shipments[Effective_Week],89)</f>
        <v/>
      </c>
      <c r="CM84">
        <f>SUMIFS(T_Shipments[Confirmed_Qty],T_Shipments[RM_Code],$A84,T_Shipments[Effective_Week],90)</f>
        <v/>
      </c>
      <c r="CN84">
        <f>SUMIFS(T_Shipments[Confirmed_Qty],T_Shipments[RM_Code],$A84,T_Shipments[Effective_Week],91)</f>
        <v/>
      </c>
      <c r="CO84">
        <f>SUMIFS(T_Shipments[Confirmed_Qty],T_Shipments[RM_Code],$A84,T_Shipments[Effective_Week],92)</f>
        <v/>
      </c>
      <c r="CP84">
        <f>SUMIFS(T_Shipments[Confirmed_Qty],T_Shipments[RM_Code],$A84,T_Shipments[Effective_Week],93)</f>
        <v/>
      </c>
      <c r="CQ84">
        <f>SUMIFS(T_Shipments[Confirmed_Qty],T_Shipments[RM_Code],$A84,T_Shipments[Effective_Week],94)</f>
        <v/>
      </c>
      <c r="CR84">
        <f>SUMIFS(T_Shipments[Confirmed_Qty],T_Shipments[RM_Code],$A84,T_Shipments[Effective_Week],95)</f>
        <v/>
      </c>
      <c r="CS84">
        <f>SUMIFS(T_Shipments[Confirmed_Qty],T_Shipments[RM_Code],$A84,T_Shipments[Effective_Week],96)</f>
        <v/>
      </c>
      <c r="CT84">
        <f>SUMIFS(T_Shipments[Confirmed_Qty],T_Shipments[RM_Code],$A84,T_Shipments[Effective_Week],97)</f>
        <v/>
      </c>
      <c r="CU84">
        <f>SUMIFS(T_Shipments[Confirmed_Qty],T_Shipments[RM_Code],$A84,T_Shipments[Effective_Week],98)</f>
        <v/>
      </c>
      <c r="CV84">
        <f>SUMIFS(T_Shipments[Confirmed_Qty],T_Shipments[RM_Code],$A84,T_Shipments[Effective_Week],99)</f>
        <v/>
      </c>
      <c r="CW84">
        <f>SUMIFS(T_Shipments[Confirmed_Qty],T_Shipments[RM_Code],$A84,T_Shipments[Effective_Week],100)</f>
        <v/>
      </c>
      <c r="CX84">
        <f>SUMIFS(T_Shipments[Confirmed_Qty],T_Shipments[RM_Code],$A84,T_Shipments[Effective_Week],101)</f>
        <v/>
      </c>
      <c r="CY84">
        <f>SUMIFS(T_Shipments[Confirmed_Qty],T_Shipments[RM_Code],$A84,T_Shipments[Effective_Week],102)</f>
        <v/>
      </c>
      <c r="CZ84">
        <f>SUMIFS(T_Shipments[Confirmed_Qty],T_Shipments[RM_Code],$A84,T_Shipments[Effective_Week],103)</f>
        <v/>
      </c>
      <c r="DA84">
        <f>SUMIFS(T_Shipments[Confirmed_Qty],T_Shipments[RM_Code],$A84,T_Shipments[Effective_Week],104)</f>
        <v/>
      </c>
    </row>
    <row r="85">
      <c r="A85" t="inlineStr">
        <is>
          <t>CHEM-1790</t>
        </is>
      </c>
      <c r="B85">
        <f>SUMIFS(T_Shipments[Confirmed_Qty],T_Shipments[RM_Code],$A85,T_Shipments[Effective_Week],1)</f>
        <v/>
      </c>
      <c r="C85">
        <f>SUMIFS(T_Shipments[Confirmed_Qty],T_Shipments[RM_Code],$A85,T_Shipments[Effective_Week],2)</f>
        <v/>
      </c>
      <c r="D85">
        <f>SUMIFS(T_Shipments[Confirmed_Qty],T_Shipments[RM_Code],$A85,T_Shipments[Effective_Week],3)</f>
        <v/>
      </c>
      <c r="E85">
        <f>SUMIFS(T_Shipments[Confirmed_Qty],T_Shipments[RM_Code],$A85,T_Shipments[Effective_Week],4)</f>
        <v/>
      </c>
      <c r="F85">
        <f>SUMIFS(T_Shipments[Confirmed_Qty],T_Shipments[RM_Code],$A85,T_Shipments[Effective_Week],5)</f>
        <v/>
      </c>
      <c r="G85">
        <f>SUMIFS(T_Shipments[Confirmed_Qty],T_Shipments[RM_Code],$A85,T_Shipments[Effective_Week],6)</f>
        <v/>
      </c>
      <c r="H85">
        <f>SUMIFS(T_Shipments[Confirmed_Qty],T_Shipments[RM_Code],$A85,T_Shipments[Effective_Week],7)</f>
        <v/>
      </c>
      <c r="I85">
        <f>SUMIFS(T_Shipments[Confirmed_Qty],T_Shipments[RM_Code],$A85,T_Shipments[Effective_Week],8)</f>
        <v/>
      </c>
      <c r="J85">
        <f>SUMIFS(T_Shipments[Confirmed_Qty],T_Shipments[RM_Code],$A85,T_Shipments[Effective_Week],9)</f>
        <v/>
      </c>
      <c r="K85">
        <f>SUMIFS(T_Shipments[Confirmed_Qty],T_Shipments[RM_Code],$A85,T_Shipments[Effective_Week],10)</f>
        <v/>
      </c>
      <c r="L85">
        <f>SUMIFS(T_Shipments[Confirmed_Qty],T_Shipments[RM_Code],$A85,T_Shipments[Effective_Week],11)</f>
        <v/>
      </c>
      <c r="M85">
        <f>SUMIFS(T_Shipments[Confirmed_Qty],T_Shipments[RM_Code],$A85,T_Shipments[Effective_Week],12)</f>
        <v/>
      </c>
      <c r="N85">
        <f>SUMIFS(T_Shipments[Confirmed_Qty],T_Shipments[RM_Code],$A85,T_Shipments[Effective_Week],13)</f>
        <v/>
      </c>
      <c r="O85">
        <f>SUMIFS(T_Shipments[Confirmed_Qty],T_Shipments[RM_Code],$A85,T_Shipments[Effective_Week],14)</f>
        <v/>
      </c>
      <c r="P85">
        <f>SUMIFS(T_Shipments[Confirmed_Qty],T_Shipments[RM_Code],$A85,T_Shipments[Effective_Week],15)</f>
        <v/>
      </c>
      <c r="Q85">
        <f>SUMIFS(T_Shipments[Confirmed_Qty],T_Shipments[RM_Code],$A85,T_Shipments[Effective_Week],16)</f>
        <v/>
      </c>
      <c r="R85">
        <f>SUMIFS(T_Shipments[Confirmed_Qty],T_Shipments[RM_Code],$A85,T_Shipments[Effective_Week],17)</f>
        <v/>
      </c>
      <c r="S85">
        <f>SUMIFS(T_Shipments[Confirmed_Qty],T_Shipments[RM_Code],$A85,T_Shipments[Effective_Week],18)</f>
        <v/>
      </c>
      <c r="T85">
        <f>SUMIFS(T_Shipments[Confirmed_Qty],T_Shipments[RM_Code],$A85,T_Shipments[Effective_Week],19)</f>
        <v/>
      </c>
      <c r="U85">
        <f>SUMIFS(T_Shipments[Confirmed_Qty],T_Shipments[RM_Code],$A85,T_Shipments[Effective_Week],20)</f>
        <v/>
      </c>
      <c r="V85">
        <f>SUMIFS(T_Shipments[Confirmed_Qty],T_Shipments[RM_Code],$A85,T_Shipments[Effective_Week],21)</f>
        <v/>
      </c>
      <c r="W85">
        <f>SUMIFS(T_Shipments[Confirmed_Qty],T_Shipments[RM_Code],$A85,T_Shipments[Effective_Week],22)</f>
        <v/>
      </c>
      <c r="X85">
        <f>SUMIFS(T_Shipments[Confirmed_Qty],T_Shipments[RM_Code],$A85,T_Shipments[Effective_Week],23)</f>
        <v/>
      </c>
      <c r="Y85">
        <f>SUMIFS(T_Shipments[Confirmed_Qty],T_Shipments[RM_Code],$A85,T_Shipments[Effective_Week],24)</f>
        <v/>
      </c>
      <c r="Z85">
        <f>SUMIFS(T_Shipments[Confirmed_Qty],T_Shipments[RM_Code],$A85,T_Shipments[Effective_Week],25)</f>
        <v/>
      </c>
      <c r="AA85">
        <f>SUMIFS(T_Shipments[Confirmed_Qty],T_Shipments[RM_Code],$A85,T_Shipments[Effective_Week],26)</f>
        <v/>
      </c>
      <c r="AB85">
        <f>SUMIFS(T_Shipments[Confirmed_Qty],T_Shipments[RM_Code],$A85,T_Shipments[Effective_Week],27)</f>
        <v/>
      </c>
      <c r="AC85">
        <f>SUMIFS(T_Shipments[Confirmed_Qty],T_Shipments[RM_Code],$A85,T_Shipments[Effective_Week],28)</f>
        <v/>
      </c>
      <c r="AD85">
        <f>SUMIFS(T_Shipments[Confirmed_Qty],T_Shipments[RM_Code],$A85,T_Shipments[Effective_Week],29)</f>
        <v/>
      </c>
      <c r="AE85">
        <f>SUMIFS(T_Shipments[Confirmed_Qty],T_Shipments[RM_Code],$A85,T_Shipments[Effective_Week],30)</f>
        <v/>
      </c>
      <c r="AF85">
        <f>SUMIFS(T_Shipments[Confirmed_Qty],T_Shipments[RM_Code],$A85,T_Shipments[Effective_Week],31)</f>
        <v/>
      </c>
      <c r="AG85">
        <f>SUMIFS(T_Shipments[Confirmed_Qty],T_Shipments[RM_Code],$A85,T_Shipments[Effective_Week],32)</f>
        <v/>
      </c>
      <c r="AH85">
        <f>SUMIFS(T_Shipments[Confirmed_Qty],T_Shipments[RM_Code],$A85,T_Shipments[Effective_Week],33)</f>
        <v/>
      </c>
      <c r="AI85">
        <f>SUMIFS(T_Shipments[Confirmed_Qty],T_Shipments[RM_Code],$A85,T_Shipments[Effective_Week],34)</f>
        <v/>
      </c>
      <c r="AJ85">
        <f>SUMIFS(T_Shipments[Confirmed_Qty],T_Shipments[RM_Code],$A85,T_Shipments[Effective_Week],35)</f>
        <v/>
      </c>
      <c r="AK85">
        <f>SUMIFS(T_Shipments[Confirmed_Qty],T_Shipments[RM_Code],$A85,T_Shipments[Effective_Week],36)</f>
        <v/>
      </c>
      <c r="AL85">
        <f>SUMIFS(T_Shipments[Confirmed_Qty],T_Shipments[RM_Code],$A85,T_Shipments[Effective_Week],37)</f>
        <v/>
      </c>
      <c r="AM85">
        <f>SUMIFS(T_Shipments[Confirmed_Qty],T_Shipments[RM_Code],$A85,T_Shipments[Effective_Week],38)</f>
        <v/>
      </c>
      <c r="AN85">
        <f>SUMIFS(T_Shipments[Confirmed_Qty],T_Shipments[RM_Code],$A85,T_Shipments[Effective_Week],39)</f>
        <v/>
      </c>
      <c r="AO85">
        <f>SUMIFS(T_Shipments[Confirmed_Qty],T_Shipments[RM_Code],$A85,T_Shipments[Effective_Week],40)</f>
        <v/>
      </c>
      <c r="AP85">
        <f>SUMIFS(T_Shipments[Confirmed_Qty],T_Shipments[RM_Code],$A85,T_Shipments[Effective_Week],41)</f>
        <v/>
      </c>
      <c r="AQ85">
        <f>SUMIFS(T_Shipments[Confirmed_Qty],T_Shipments[RM_Code],$A85,T_Shipments[Effective_Week],42)</f>
        <v/>
      </c>
      <c r="AR85">
        <f>SUMIFS(T_Shipments[Confirmed_Qty],T_Shipments[RM_Code],$A85,T_Shipments[Effective_Week],43)</f>
        <v/>
      </c>
      <c r="AS85">
        <f>SUMIFS(T_Shipments[Confirmed_Qty],T_Shipments[RM_Code],$A85,T_Shipments[Effective_Week],44)</f>
        <v/>
      </c>
      <c r="AT85">
        <f>SUMIFS(T_Shipments[Confirmed_Qty],T_Shipments[RM_Code],$A85,T_Shipments[Effective_Week],45)</f>
        <v/>
      </c>
      <c r="AU85">
        <f>SUMIFS(T_Shipments[Confirmed_Qty],T_Shipments[RM_Code],$A85,T_Shipments[Effective_Week],46)</f>
        <v/>
      </c>
      <c r="AV85">
        <f>SUMIFS(T_Shipments[Confirmed_Qty],T_Shipments[RM_Code],$A85,T_Shipments[Effective_Week],47)</f>
        <v/>
      </c>
      <c r="AW85">
        <f>SUMIFS(T_Shipments[Confirmed_Qty],T_Shipments[RM_Code],$A85,T_Shipments[Effective_Week],48)</f>
        <v/>
      </c>
      <c r="AX85">
        <f>SUMIFS(T_Shipments[Confirmed_Qty],T_Shipments[RM_Code],$A85,T_Shipments[Effective_Week],49)</f>
        <v/>
      </c>
      <c r="AY85">
        <f>SUMIFS(T_Shipments[Confirmed_Qty],T_Shipments[RM_Code],$A85,T_Shipments[Effective_Week],50)</f>
        <v/>
      </c>
      <c r="AZ85">
        <f>SUMIFS(T_Shipments[Confirmed_Qty],T_Shipments[RM_Code],$A85,T_Shipments[Effective_Week],51)</f>
        <v/>
      </c>
      <c r="BA85">
        <f>SUMIFS(T_Shipments[Confirmed_Qty],T_Shipments[RM_Code],$A85,T_Shipments[Effective_Week],52)</f>
        <v/>
      </c>
      <c r="BB85">
        <f>SUMIFS(T_Shipments[Confirmed_Qty],T_Shipments[RM_Code],$A85,T_Shipments[Effective_Week],53)</f>
        <v/>
      </c>
      <c r="BC85">
        <f>SUMIFS(T_Shipments[Confirmed_Qty],T_Shipments[RM_Code],$A85,T_Shipments[Effective_Week],54)</f>
        <v/>
      </c>
      <c r="BD85">
        <f>SUMIFS(T_Shipments[Confirmed_Qty],T_Shipments[RM_Code],$A85,T_Shipments[Effective_Week],55)</f>
        <v/>
      </c>
      <c r="BE85">
        <f>SUMIFS(T_Shipments[Confirmed_Qty],T_Shipments[RM_Code],$A85,T_Shipments[Effective_Week],56)</f>
        <v/>
      </c>
      <c r="BF85">
        <f>SUMIFS(T_Shipments[Confirmed_Qty],T_Shipments[RM_Code],$A85,T_Shipments[Effective_Week],57)</f>
        <v/>
      </c>
      <c r="BG85">
        <f>SUMIFS(T_Shipments[Confirmed_Qty],T_Shipments[RM_Code],$A85,T_Shipments[Effective_Week],58)</f>
        <v/>
      </c>
      <c r="BH85">
        <f>SUMIFS(T_Shipments[Confirmed_Qty],T_Shipments[RM_Code],$A85,T_Shipments[Effective_Week],59)</f>
        <v/>
      </c>
      <c r="BI85">
        <f>SUMIFS(T_Shipments[Confirmed_Qty],T_Shipments[RM_Code],$A85,T_Shipments[Effective_Week],60)</f>
        <v/>
      </c>
      <c r="BJ85">
        <f>SUMIFS(T_Shipments[Confirmed_Qty],T_Shipments[RM_Code],$A85,T_Shipments[Effective_Week],61)</f>
        <v/>
      </c>
      <c r="BK85">
        <f>SUMIFS(T_Shipments[Confirmed_Qty],T_Shipments[RM_Code],$A85,T_Shipments[Effective_Week],62)</f>
        <v/>
      </c>
      <c r="BL85">
        <f>SUMIFS(T_Shipments[Confirmed_Qty],T_Shipments[RM_Code],$A85,T_Shipments[Effective_Week],63)</f>
        <v/>
      </c>
      <c r="BM85">
        <f>SUMIFS(T_Shipments[Confirmed_Qty],T_Shipments[RM_Code],$A85,T_Shipments[Effective_Week],64)</f>
        <v/>
      </c>
      <c r="BN85">
        <f>SUMIFS(T_Shipments[Confirmed_Qty],T_Shipments[RM_Code],$A85,T_Shipments[Effective_Week],65)</f>
        <v/>
      </c>
      <c r="BO85">
        <f>SUMIFS(T_Shipments[Confirmed_Qty],T_Shipments[RM_Code],$A85,T_Shipments[Effective_Week],66)</f>
        <v/>
      </c>
      <c r="BP85">
        <f>SUMIFS(T_Shipments[Confirmed_Qty],T_Shipments[RM_Code],$A85,T_Shipments[Effective_Week],67)</f>
        <v/>
      </c>
      <c r="BQ85">
        <f>SUMIFS(T_Shipments[Confirmed_Qty],T_Shipments[RM_Code],$A85,T_Shipments[Effective_Week],68)</f>
        <v/>
      </c>
      <c r="BR85">
        <f>SUMIFS(T_Shipments[Confirmed_Qty],T_Shipments[RM_Code],$A85,T_Shipments[Effective_Week],69)</f>
        <v/>
      </c>
      <c r="BS85">
        <f>SUMIFS(T_Shipments[Confirmed_Qty],T_Shipments[RM_Code],$A85,T_Shipments[Effective_Week],70)</f>
        <v/>
      </c>
      <c r="BT85">
        <f>SUMIFS(T_Shipments[Confirmed_Qty],T_Shipments[RM_Code],$A85,T_Shipments[Effective_Week],71)</f>
        <v/>
      </c>
      <c r="BU85">
        <f>SUMIFS(T_Shipments[Confirmed_Qty],T_Shipments[RM_Code],$A85,T_Shipments[Effective_Week],72)</f>
        <v/>
      </c>
      <c r="BV85">
        <f>SUMIFS(T_Shipments[Confirmed_Qty],T_Shipments[RM_Code],$A85,T_Shipments[Effective_Week],73)</f>
        <v/>
      </c>
      <c r="BW85">
        <f>SUMIFS(T_Shipments[Confirmed_Qty],T_Shipments[RM_Code],$A85,T_Shipments[Effective_Week],74)</f>
        <v/>
      </c>
      <c r="BX85">
        <f>SUMIFS(T_Shipments[Confirmed_Qty],T_Shipments[RM_Code],$A85,T_Shipments[Effective_Week],75)</f>
        <v/>
      </c>
      <c r="BY85">
        <f>SUMIFS(T_Shipments[Confirmed_Qty],T_Shipments[RM_Code],$A85,T_Shipments[Effective_Week],76)</f>
        <v/>
      </c>
      <c r="BZ85">
        <f>SUMIFS(T_Shipments[Confirmed_Qty],T_Shipments[RM_Code],$A85,T_Shipments[Effective_Week],77)</f>
        <v/>
      </c>
      <c r="CA85">
        <f>SUMIFS(T_Shipments[Confirmed_Qty],T_Shipments[RM_Code],$A85,T_Shipments[Effective_Week],78)</f>
        <v/>
      </c>
      <c r="CB85">
        <f>SUMIFS(T_Shipments[Confirmed_Qty],T_Shipments[RM_Code],$A85,T_Shipments[Effective_Week],79)</f>
        <v/>
      </c>
      <c r="CC85">
        <f>SUMIFS(T_Shipments[Confirmed_Qty],T_Shipments[RM_Code],$A85,T_Shipments[Effective_Week],80)</f>
        <v/>
      </c>
      <c r="CD85">
        <f>SUMIFS(T_Shipments[Confirmed_Qty],T_Shipments[RM_Code],$A85,T_Shipments[Effective_Week],81)</f>
        <v/>
      </c>
      <c r="CE85">
        <f>SUMIFS(T_Shipments[Confirmed_Qty],T_Shipments[RM_Code],$A85,T_Shipments[Effective_Week],82)</f>
        <v/>
      </c>
      <c r="CF85">
        <f>SUMIFS(T_Shipments[Confirmed_Qty],T_Shipments[RM_Code],$A85,T_Shipments[Effective_Week],83)</f>
        <v/>
      </c>
      <c r="CG85">
        <f>SUMIFS(T_Shipments[Confirmed_Qty],T_Shipments[RM_Code],$A85,T_Shipments[Effective_Week],84)</f>
        <v/>
      </c>
      <c r="CH85">
        <f>SUMIFS(T_Shipments[Confirmed_Qty],T_Shipments[RM_Code],$A85,T_Shipments[Effective_Week],85)</f>
        <v/>
      </c>
      <c r="CI85">
        <f>SUMIFS(T_Shipments[Confirmed_Qty],T_Shipments[RM_Code],$A85,T_Shipments[Effective_Week],86)</f>
        <v/>
      </c>
      <c r="CJ85">
        <f>SUMIFS(T_Shipments[Confirmed_Qty],T_Shipments[RM_Code],$A85,T_Shipments[Effective_Week],87)</f>
        <v/>
      </c>
      <c r="CK85">
        <f>SUMIFS(T_Shipments[Confirmed_Qty],T_Shipments[RM_Code],$A85,T_Shipments[Effective_Week],88)</f>
        <v/>
      </c>
      <c r="CL85">
        <f>SUMIFS(T_Shipments[Confirmed_Qty],T_Shipments[RM_Code],$A85,T_Shipments[Effective_Week],89)</f>
        <v/>
      </c>
      <c r="CM85">
        <f>SUMIFS(T_Shipments[Confirmed_Qty],T_Shipments[RM_Code],$A85,T_Shipments[Effective_Week],90)</f>
        <v/>
      </c>
      <c r="CN85">
        <f>SUMIFS(T_Shipments[Confirmed_Qty],T_Shipments[RM_Code],$A85,T_Shipments[Effective_Week],91)</f>
        <v/>
      </c>
      <c r="CO85">
        <f>SUMIFS(T_Shipments[Confirmed_Qty],T_Shipments[RM_Code],$A85,T_Shipments[Effective_Week],92)</f>
        <v/>
      </c>
      <c r="CP85">
        <f>SUMIFS(T_Shipments[Confirmed_Qty],T_Shipments[RM_Code],$A85,T_Shipments[Effective_Week],93)</f>
        <v/>
      </c>
      <c r="CQ85">
        <f>SUMIFS(T_Shipments[Confirmed_Qty],T_Shipments[RM_Code],$A85,T_Shipments[Effective_Week],94)</f>
        <v/>
      </c>
      <c r="CR85">
        <f>SUMIFS(T_Shipments[Confirmed_Qty],T_Shipments[RM_Code],$A85,T_Shipments[Effective_Week],95)</f>
        <v/>
      </c>
      <c r="CS85">
        <f>SUMIFS(T_Shipments[Confirmed_Qty],T_Shipments[RM_Code],$A85,T_Shipments[Effective_Week],96)</f>
        <v/>
      </c>
      <c r="CT85">
        <f>SUMIFS(T_Shipments[Confirmed_Qty],T_Shipments[RM_Code],$A85,T_Shipments[Effective_Week],97)</f>
        <v/>
      </c>
      <c r="CU85">
        <f>SUMIFS(T_Shipments[Confirmed_Qty],T_Shipments[RM_Code],$A85,T_Shipments[Effective_Week],98)</f>
        <v/>
      </c>
      <c r="CV85">
        <f>SUMIFS(T_Shipments[Confirmed_Qty],T_Shipments[RM_Code],$A85,T_Shipments[Effective_Week],99)</f>
        <v/>
      </c>
      <c r="CW85">
        <f>SUMIFS(T_Shipments[Confirmed_Qty],T_Shipments[RM_Code],$A85,T_Shipments[Effective_Week],100)</f>
        <v/>
      </c>
      <c r="CX85">
        <f>SUMIFS(T_Shipments[Confirmed_Qty],T_Shipments[RM_Code],$A85,T_Shipments[Effective_Week],101)</f>
        <v/>
      </c>
      <c r="CY85">
        <f>SUMIFS(T_Shipments[Confirmed_Qty],T_Shipments[RM_Code],$A85,T_Shipments[Effective_Week],102)</f>
        <v/>
      </c>
      <c r="CZ85">
        <f>SUMIFS(T_Shipments[Confirmed_Qty],T_Shipments[RM_Code],$A85,T_Shipments[Effective_Week],103)</f>
        <v/>
      </c>
      <c r="DA85">
        <f>SUMIFS(T_Shipments[Confirmed_Qty],T_Shipments[RM_Code],$A85,T_Shipments[Effective_Week],104)</f>
        <v/>
      </c>
    </row>
    <row r="86">
      <c r="A86" t="inlineStr">
        <is>
          <t>TSZ-616</t>
        </is>
      </c>
      <c r="B86">
        <f>SUMIFS(T_Shipments[Confirmed_Qty],T_Shipments[RM_Code],$A86,T_Shipments[Effective_Week],1)</f>
        <v/>
      </c>
      <c r="C86">
        <f>SUMIFS(T_Shipments[Confirmed_Qty],T_Shipments[RM_Code],$A86,T_Shipments[Effective_Week],2)</f>
        <v/>
      </c>
      <c r="D86">
        <f>SUMIFS(T_Shipments[Confirmed_Qty],T_Shipments[RM_Code],$A86,T_Shipments[Effective_Week],3)</f>
        <v/>
      </c>
      <c r="E86">
        <f>SUMIFS(T_Shipments[Confirmed_Qty],T_Shipments[RM_Code],$A86,T_Shipments[Effective_Week],4)</f>
        <v/>
      </c>
      <c r="F86">
        <f>SUMIFS(T_Shipments[Confirmed_Qty],T_Shipments[RM_Code],$A86,T_Shipments[Effective_Week],5)</f>
        <v/>
      </c>
      <c r="G86">
        <f>SUMIFS(T_Shipments[Confirmed_Qty],T_Shipments[RM_Code],$A86,T_Shipments[Effective_Week],6)</f>
        <v/>
      </c>
      <c r="H86">
        <f>SUMIFS(T_Shipments[Confirmed_Qty],T_Shipments[RM_Code],$A86,T_Shipments[Effective_Week],7)</f>
        <v/>
      </c>
      <c r="I86">
        <f>SUMIFS(T_Shipments[Confirmed_Qty],T_Shipments[RM_Code],$A86,T_Shipments[Effective_Week],8)</f>
        <v/>
      </c>
      <c r="J86">
        <f>SUMIFS(T_Shipments[Confirmed_Qty],T_Shipments[RM_Code],$A86,T_Shipments[Effective_Week],9)</f>
        <v/>
      </c>
      <c r="K86">
        <f>SUMIFS(T_Shipments[Confirmed_Qty],T_Shipments[RM_Code],$A86,T_Shipments[Effective_Week],10)</f>
        <v/>
      </c>
      <c r="L86">
        <f>SUMIFS(T_Shipments[Confirmed_Qty],T_Shipments[RM_Code],$A86,T_Shipments[Effective_Week],11)</f>
        <v/>
      </c>
      <c r="M86">
        <f>SUMIFS(T_Shipments[Confirmed_Qty],T_Shipments[RM_Code],$A86,T_Shipments[Effective_Week],12)</f>
        <v/>
      </c>
      <c r="N86">
        <f>SUMIFS(T_Shipments[Confirmed_Qty],T_Shipments[RM_Code],$A86,T_Shipments[Effective_Week],13)</f>
        <v/>
      </c>
      <c r="O86">
        <f>SUMIFS(T_Shipments[Confirmed_Qty],T_Shipments[RM_Code],$A86,T_Shipments[Effective_Week],14)</f>
        <v/>
      </c>
      <c r="P86">
        <f>SUMIFS(T_Shipments[Confirmed_Qty],T_Shipments[RM_Code],$A86,T_Shipments[Effective_Week],15)</f>
        <v/>
      </c>
      <c r="Q86">
        <f>SUMIFS(T_Shipments[Confirmed_Qty],T_Shipments[RM_Code],$A86,T_Shipments[Effective_Week],16)</f>
        <v/>
      </c>
      <c r="R86">
        <f>SUMIFS(T_Shipments[Confirmed_Qty],T_Shipments[RM_Code],$A86,T_Shipments[Effective_Week],17)</f>
        <v/>
      </c>
      <c r="S86">
        <f>SUMIFS(T_Shipments[Confirmed_Qty],T_Shipments[RM_Code],$A86,T_Shipments[Effective_Week],18)</f>
        <v/>
      </c>
      <c r="T86">
        <f>SUMIFS(T_Shipments[Confirmed_Qty],T_Shipments[RM_Code],$A86,T_Shipments[Effective_Week],19)</f>
        <v/>
      </c>
      <c r="U86">
        <f>SUMIFS(T_Shipments[Confirmed_Qty],T_Shipments[RM_Code],$A86,T_Shipments[Effective_Week],20)</f>
        <v/>
      </c>
      <c r="V86">
        <f>SUMIFS(T_Shipments[Confirmed_Qty],T_Shipments[RM_Code],$A86,T_Shipments[Effective_Week],21)</f>
        <v/>
      </c>
      <c r="W86">
        <f>SUMIFS(T_Shipments[Confirmed_Qty],T_Shipments[RM_Code],$A86,T_Shipments[Effective_Week],22)</f>
        <v/>
      </c>
      <c r="X86">
        <f>SUMIFS(T_Shipments[Confirmed_Qty],T_Shipments[RM_Code],$A86,T_Shipments[Effective_Week],23)</f>
        <v/>
      </c>
      <c r="Y86">
        <f>SUMIFS(T_Shipments[Confirmed_Qty],T_Shipments[RM_Code],$A86,T_Shipments[Effective_Week],24)</f>
        <v/>
      </c>
      <c r="Z86">
        <f>SUMIFS(T_Shipments[Confirmed_Qty],T_Shipments[RM_Code],$A86,T_Shipments[Effective_Week],25)</f>
        <v/>
      </c>
      <c r="AA86">
        <f>SUMIFS(T_Shipments[Confirmed_Qty],T_Shipments[RM_Code],$A86,T_Shipments[Effective_Week],26)</f>
        <v/>
      </c>
      <c r="AB86">
        <f>SUMIFS(T_Shipments[Confirmed_Qty],T_Shipments[RM_Code],$A86,T_Shipments[Effective_Week],27)</f>
        <v/>
      </c>
      <c r="AC86">
        <f>SUMIFS(T_Shipments[Confirmed_Qty],T_Shipments[RM_Code],$A86,T_Shipments[Effective_Week],28)</f>
        <v/>
      </c>
      <c r="AD86">
        <f>SUMIFS(T_Shipments[Confirmed_Qty],T_Shipments[RM_Code],$A86,T_Shipments[Effective_Week],29)</f>
        <v/>
      </c>
      <c r="AE86">
        <f>SUMIFS(T_Shipments[Confirmed_Qty],T_Shipments[RM_Code],$A86,T_Shipments[Effective_Week],30)</f>
        <v/>
      </c>
      <c r="AF86">
        <f>SUMIFS(T_Shipments[Confirmed_Qty],T_Shipments[RM_Code],$A86,T_Shipments[Effective_Week],31)</f>
        <v/>
      </c>
      <c r="AG86">
        <f>SUMIFS(T_Shipments[Confirmed_Qty],T_Shipments[RM_Code],$A86,T_Shipments[Effective_Week],32)</f>
        <v/>
      </c>
      <c r="AH86">
        <f>SUMIFS(T_Shipments[Confirmed_Qty],T_Shipments[RM_Code],$A86,T_Shipments[Effective_Week],33)</f>
        <v/>
      </c>
      <c r="AI86">
        <f>SUMIFS(T_Shipments[Confirmed_Qty],T_Shipments[RM_Code],$A86,T_Shipments[Effective_Week],34)</f>
        <v/>
      </c>
      <c r="AJ86">
        <f>SUMIFS(T_Shipments[Confirmed_Qty],T_Shipments[RM_Code],$A86,T_Shipments[Effective_Week],35)</f>
        <v/>
      </c>
      <c r="AK86">
        <f>SUMIFS(T_Shipments[Confirmed_Qty],T_Shipments[RM_Code],$A86,T_Shipments[Effective_Week],36)</f>
        <v/>
      </c>
      <c r="AL86">
        <f>SUMIFS(T_Shipments[Confirmed_Qty],T_Shipments[RM_Code],$A86,T_Shipments[Effective_Week],37)</f>
        <v/>
      </c>
      <c r="AM86">
        <f>SUMIFS(T_Shipments[Confirmed_Qty],T_Shipments[RM_Code],$A86,T_Shipments[Effective_Week],38)</f>
        <v/>
      </c>
      <c r="AN86">
        <f>SUMIFS(T_Shipments[Confirmed_Qty],T_Shipments[RM_Code],$A86,T_Shipments[Effective_Week],39)</f>
        <v/>
      </c>
      <c r="AO86">
        <f>SUMIFS(T_Shipments[Confirmed_Qty],T_Shipments[RM_Code],$A86,T_Shipments[Effective_Week],40)</f>
        <v/>
      </c>
      <c r="AP86">
        <f>SUMIFS(T_Shipments[Confirmed_Qty],T_Shipments[RM_Code],$A86,T_Shipments[Effective_Week],41)</f>
        <v/>
      </c>
      <c r="AQ86">
        <f>SUMIFS(T_Shipments[Confirmed_Qty],T_Shipments[RM_Code],$A86,T_Shipments[Effective_Week],42)</f>
        <v/>
      </c>
      <c r="AR86">
        <f>SUMIFS(T_Shipments[Confirmed_Qty],T_Shipments[RM_Code],$A86,T_Shipments[Effective_Week],43)</f>
        <v/>
      </c>
      <c r="AS86">
        <f>SUMIFS(T_Shipments[Confirmed_Qty],T_Shipments[RM_Code],$A86,T_Shipments[Effective_Week],44)</f>
        <v/>
      </c>
      <c r="AT86">
        <f>SUMIFS(T_Shipments[Confirmed_Qty],T_Shipments[RM_Code],$A86,T_Shipments[Effective_Week],45)</f>
        <v/>
      </c>
      <c r="AU86">
        <f>SUMIFS(T_Shipments[Confirmed_Qty],T_Shipments[RM_Code],$A86,T_Shipments[Effective_Week],46)</f>
        <v/>
      </c>
      <c r="AV86">
        <f>SUMIFS(T_Shipments[Confirmed_Qty],T_Shipments[RM_Code],$A86,T_Shipments[Effective_Week],47)</f>
        <v/>
      </c>
      <c r="AW86">
        <f>SUMIFS(T_Shipments[Confirmed_Qty],T_Shipments[RM_Code],$A86,T_Shipments[Effective_Week],48)</f>
        <v/>
      </c>
      <c r="AX86">
        <f>SUMIFS(T_Shipments[Confirmed_Qty],T_Shipments[RM_Code],$A86,T_Shipments[Effective_Week],49)</f>
        <v/>
      </c>
      <c r="AY86">
        <f>SUMIFS(T_Shipments[Confirmed_Qty],T_Shipments[RM_Code],$A86,T_Shipments[Effective_Week],50)</f>
        <v/>
      </c>
      <c r="AZ86">
        <f>SUMIFS(T_Shipments[Confirmed_Qty],T_Shipments[RM_Code],$A86,T_Shipments[Effective_Week],51)</f>
        <v/>
      </c>
      <c r="BA86">
        <f>SUMIFS(T_Shipments[Confirmed_Qty],T_Shipments[RM_Code],$A86,T_Shipments[Effective_Week],52)</f>
        <v/>
      </c>
      <c r="BB86">
        <f>SUMIFS(T_Shipments[Confirmed_Qty],T_Shipments[RM_Code],$A86,T_Shipments[Effective_Week],53)</f>
        <v/>
      </c>
      <c r="BC86">
        <f>SUMIFS(T_Shipments[Confirmed_Qty],T_Shipments[RM_Code],$A86,T_Shipments[Effective_Week],54)</f>
        <v/>
      </c>
      <c r="BD86">
        <f>SUMIFS(T_Shipments[Confirmed_Qty],T_Shipments[RM_Code],$A86,T_Shipments[Effective_Week],55)</f>
        <v/>
      </c>
      <c r="BE86">
        <f>SUMIFS(T_Shipments[Confirmed_Qty],T_Shipments[RM_Code],$A86,T_Shipments[Effective_Week],56)</f>
        <v/>
      </c>
      <c r="BF86">
        <f>SUMIFS(T_Shipments[Confirmed_Qty],T_Shipments[RM_Code],$A86,T_Shipments[Effective_Week],57)</f>
        <v/>
      </c>
      <c r="BG86">
        <f>SUMIFS(T_Shipments[Confirmed_Qty],T_Shipments[RM_Code],$A86,T_Shipments[Effective_Week],58)</f>
        <v/>
      </c>
      <c r="BH86">
        <f>SUMIFS(T_Shipments[Confirmed_Qty],T_Shipments[RM_Code],$A86,T_Shipments[Effective_Week],59)</f>
        <v/>
      </c>
      <c r="BI86">
        <f>SUMIFS(T_Shipments[Confirmed_Qty],T_Shipments[RM_Code],$A86,T_Shipments[Effective_Week],60)</f>
        <v/>
      </c>
      <c r="BJ86">
        <f>SUMIFS(T_Shipments[Confirmed_Qty],T_Shipments[RM_Code],$A86,T_Shipments[Effective_Week],61)</f>
        <v/>
      </c>
      <c r="BK86">
        <f>SUMIFS(T_Shipments[Confirmed_Qty],T_Shipments[RM_Code],$A86,T_Shipments[Effective_Week],62)</f>
        <v/>
      </c>
      <c r="BL86">
        <f>SUMIFS(T_Shipments[Confirmed_Qty],T_Shipments[RM_Code],$A86,T_Shipments[Effective_Week],63)</f>
        <v/>
      </c>
      <c r="BM86">
        <f>SUMIFS(T_Shipments[Confirmed_Qty],T_Shipments[RM_Code],$A86,T_Shipments[Effective_Week],64)</f>
        <v/>
      </c>
      <c r="BN86">
        <f>SUMIFS(T_Shipments[Confirmed_Qty],T_Shipments[RM_Code],$A86,T_Shipments[Effective_Week],65)</f>
        <v/>
      </c>
      <c r="BO86">
        <f>SUMIFS(T_Shipments[Confirmed_Qty],T_Shipments[RM_Code],$A86,T_Shipments[Effective_Week],66)</f>
        <v/>
      </c>
      <c r="BP86">
        <f>SUMIFS(T_Shipments[Confirmed_Qty],T_Shipments[RM_Code],$A86,T_Shipments[Effective_Week],67)</f>
        <v/>
      </c>
      <c r="BQ86">
        <f>SUMIFS(T_Shipments[Confirmed_Qty],T_Shipments[RM_Code],$A86,T_Shipments[Effective_Week],68)</f>
        <v/>
      </c>
      <c r="BR86">
        <f>SUMIFS(T_Shipments[Confirmed_Qty],T_Shipments[RM_Code],$A86,T_Shipments[Effective_Week],69)</f>
        <v/>
      </c>
      <c r="BS86">
        <f>SUMIFS(T_Shipments[Confirmed_Qty],T_Shipments[RM_Code],$A86,T_Shipments[Effective_Week],70)</f>
        <v/>
      </c>
      <c r="BT86">
        <f>SUMIFS(T_Shipments[Confirmed_Qty],T_Shipments[RM_Code],$A86,T_Shipments[Effective_Week],71)</f>
        <v/>
      </c>
      <c r="BU86">
        <f>SUMIFS(T_Shipments[Confirmed_Qty],T_Shipments[RM_Code],$A86,T_Shipments[Effective_Week],72)</f>
        <v/>
      </c>
      <c r="BV86">
        <f>SUMIFS(T_Shipments[Confirmed_Qty],T_Shipments[RM_Code],$A86,T_Shipments[Effective_Week],73)</f>
        <v/>
      </c>
      <c r="BW86">
        <f>SUMIFS(T_Shipments[Confirmed_Qty],T_Shipments[RM_Code],$A86,T_Shipments[Effective_Week],74)</f>
        <v/>
      </c>
      <c r="BX86">
        <f>SUMIFS(T_Shipments[Confirmed_Qty],T_Shipments[RM_Code],$A86,T_Shipments[Effective_Week],75)</f>
        <v/>
      </c>
      <c r="BY86">
        <f>SUMIFS(T_Shipments[Confirmed_Qty],T_Shipments[RM_Code],$A86,T_Shipments[Effective_Week],76)</f>
        <v/>
      </c>
      <c r="BZ86">
        <f>SUMIFS(T_Shipments[Confirmed_Qty],T_Shipments[RM_Code],$A86,T_Shipments[Effective_Week],77)</f>
        <v/>
      </c>
      <c r="CA86">
        <f>SUMIFS(T_Shipments[Confirmed_Qty],T_Shipments[RM_Code],$A86,T_Shipments[Effective_Week],78)</f>
        <v/>
      </c>
      <c r="CB86">
        <f>SUMIFS(T_Shipments[Confirmed_Qty],T_Shipments[RM_Code],$A86,T_Shipments[Effective_Week],79)</f>
        <v/>
      </c>
      <c r="CC86">
        <f>SUMIFS(T_Shipments[Confirmed_Qty],T_Shipments[RM_Code],$A86,T_Shipments[Effective_Week],80)</f>
        <v/>
      </c>
      <c r="CD86">
        <f>SUMIFS(T_Shipments[Confirmed_Qty],T_Shipments[RM_Code],$A86,T_Shipments[Effective_Week],81)</f>
        <v/>
      </c>
      <c r="CE86">
        <f>SUMIFS(T_Shipments[Confirmed_Qty],T_Shipments[RM_Code],$A86,T_Shipments[Effective_Week],82)</f>
        <v/>
      </c>
      <c r="CF86">
        <f>SUMIFS(T_Shipments[Confirmed_Qty],T_Shipments[RM_Code],$A86,T_Shipments[Effective_Week],83)</f>
        <v/>
      </c>
      <c r="CG86">
        <f>SUMIFS(T_Shipments[Confirmed_Qty],T_Shipments[RM_Code],$A86,T_Shipments[Effective_Week],84)</f>
        <v/>
      </c>
      <c r="CH86">
        <f>SUMIFS(T_Shipments[Confirmed_Qty],T_Shipments[RM_Code],$A86,T_Shipments[Effective_Week],85)</f>
        <v/>
      </c>
      <c r="CI86">
        <f>SUMIFS(T_Shipments[Confirmed_Qty],T_Shipments[RM_Code],$A86,T_Shipments[Effective_Week],86)</f>
        <v/>
      </c>
      <c r="CJ86">
        <f>SUMIFS(T_Shipments[Confirmed_Qty],T_Shipments[RM_Code],$A86,T_Shipments[Effective_Week],87)</f>
        <v/>
      </c>
      <c r="CK86">
        <f>SUMIFS(T_Shipments[Confirmed_Qty],T_Shipments[RM_Code],$A86,T_Shipments[Effective_Week],88)</f>
        <v/>
      </c>
      <c r="CL86">
        <f>SUMIFS(T_Shipments[Confirmed_Qty],T_Shipments[RM_Code],$A86,T_Shipments[Effective_Week],89)</f>
        <v/>
      </c>
      <c r="CM86">
        <f>SUMIFS(T_Shipments[Confirmed_Qty],T_Shipments[RM_Code],$A86,T_Shipments[Effective_Week],90)</f>
        <v/>
      </c>
      <c r="CN86">
        <f>SUMIFS(T_Shipments[Confirmed_Qty],T_Shipments[RM_Code],$A86,T_Shipments[Effective_Week],91)</f>
        <v/>
      </c>
      <c r="CO86">
        <f>SUMIFS(T_Shipments[Confirmed_Qty],T_Shipments[RM_Code],$A86,T_Shipments[Effective_Week],92)</f>
        <v/>
      </c>
      <c r="CP86">
        <f>SUMIFS(T_Shipments[Confirmed_Qty],T_Shipments[RM_Code],$A86,T_Shipments[Effective_Week],93)</f>
        <v/>
      </c>
      <c r="CQ86">
        <f>SUMIFS(T_Shipments[Confirmed_Qty],T_Shipments[RM_Code],$A86,T_Shipments[Effective_Week],94)</f>
        <v/>
      </c>
      <c r="CR86">
        <f>SUMIFS(T_Shipments[Confirmed_Qty],T_Shipments[RM_Code],$A86,T_Shipments[Effective_Week],95)</f>
        <v/>
      </c>
      <c r="CS86">
        <f>SUMIFS(T_Shipments[Confirmed_Qty],T_Shipments[RM_Code],$A86,T_Shipments[Effective_Week],96)</f>
        <v/>
      </c>
      <c r="CT86">
        <f>SUMIFS(T_Shipments[Confirmed_Qty],T_Shipments[RM_Code],$A86,T_Shipments[Effective_Week],97)</f>
        <v/>
      </c>
      <c r="CU86">
        <f>SUMIFS(T_Shipments[Confirmed_Qty],T_Shipments[RM_Code],$A86,T_Shipments[Effective_Week],98)</f>
        <v/>
      </c>
      <c r="CV86">
        <f>SUMIFS(T_Shipments[Confirmed_Qty],T_Shipments[RM_Code],$A86,T_Shipments[Effective_Week],99)</f>
        <v/>
      </c>
      <c r="CW86">
        <f>SUMIFS(T_Shipments[Confirmed_Qty],T_Shipments[RM_Code],$A86,T_Shipments[Effective_Week],100)</f>
        <v/>
      </c>
      <c r="CX86">
        <f>SUMIFS(T_Shipments[Confirmed_Qty],T_Shipments[RM_Code],$A86,T_Shipments[Effective_Week],101)</f>
        <v/>
      </c>
      <c r="CY86">
        <f>SUMIFS(T_Shipments[Confirmed_Qty],T_Shipments[RM_Code],$A86,T_Shipments[Effective_Week],102)</f>
        <v/>
      </c>
      <c r="CZ86">
        <f>SUMIFS(T_Shipments[Confirmed_Qty],T_Shipments[RM_Code],$A86,T_Shipments[Effective_Week],103)</f>
        <v/>
      </c>
      <c r="DA86">
        <f>SUMIFS(T_Shipments[Confirmed_Qty],T_Shipments[RM_Code],$A86,T_Shipments[Effective_Week],104)</f>
        <v/>
      </c>
    </row>
    <row r="87">
      <c r="A87" t="inlineStr">
        <is>
          <t>CHEM-1180</t>
        </is>
      </c>
      <c r="B87">
        <f>SUMIFS(T_Shipments[Confirmed_Qty],T_Shipments[RM_Code],$A87,T_Shipments[Effective_Week],1)</f>
        <v/>
      </c>
      <c r="C87">
        <f>SUMIFS(T_Shipments[Confirmed_Qty],T_Shipments[RM_Code],$A87,T_Shipments[Effective_Week],2)</f>
        <v/>
      </c>
      <c r="D87">
        <f>SUMIFS(T_Shipments[Confirmed_Qty],T_Shipments[RM_Code],$A87,T_Shipments[Effective_Week],3)</f>
        <v/>
      </c>
      <c r="E87">
        <f>SUMIFS(T_Shipments[Confirmed_Qty],T_Shipments[RM_Code],$A87,T_Shipments[Effective_Week],4)</f>
        <v/>
      </c>
      <c r="F87">
        <f>SUMIFS(T_Shipments[Confirmed_Qty],T_Shipments[RM_Code],$A87,T_Shipments[Effective_Week],5)</f>
        <v/>
      </c>
      <c r="G87">
        <f>SUMIFS(T_Shipments[Confirmed_Qty],T_Shipments[RM_Code],$A87,T_Shipments[Effective_Week],6)</f>
        <v/>
      </c>
      <c r="H87">
        <f>SUMIFS(T_Shipments[Confirmed_Qty],T_Shipments[RM_Code],$A87,T_Shipments[Effective_Week],7)</f>
        <v/>
      </c>
      <c r="I87">
        <f>SUMIFS(T_Shipments[Confirmed_Qty],T_Shipments[RM_Code],$A87,T_Shipments[Effective_Week],8)</f>
        <v/>
      </c>
      <c r="J87">
        <f>SUMIFS(T_Shipments[Confirmed_Qty],T_Shipments[RM_Code],$A87,T_Shipments[Effective_Week],9)</f>
        <v/>
      </c>
      <c r="K87">
        <f>SUMIFS(T_Shipments[Confirmed_Qty],T_Shipments[RM_Code],$A87,T_Shipments[Effective_Week],10)</f>
        <v/>
      </c>
      <c r="L87">
        <f>SUMIFS(T_Shipments[Confirmed_Qty],T_Shipments[RM_Code],$A87,T_Shipments[Effective_Week],11)</f>
        <v/>
      </c>
      <c r="M87">
        <f>SUMIFS(T_Shipments[Confirmed_Qty],T_Shipments[RM_Code],$A87,T_Shipments[Effective_Week],12)</f>
        <v/>
      </c>
      <c r="N87">
        <f>SUMIFS(T_Shipments[Confirmed_Qty],T_Shipments[RM_Code],$A87,T_Shipments[Effective_Week],13)</f>
        <v/>
      </c>
      <c r="O87">
        <f>SUMIFS(T_Shipments[Confirmed_Qty],T_Shipments[RM_Code],$A87,T_Shipments[Effective_Week],14)</f>
        <v/>
      </c>
      <c r="P87">
        <f>SUMIFS(T_Shipments[Confirmed_Qty],T_Shipments[RM_Code],$A87,T_Shipments[Effective_Week],15)</f>
        <v/>
      </c>
      <c r="Q87">
        <f>SUMIFS(T_Shipments[Confirmed_Qty],T_Shipments[RM_Code],$A87,T_Shipments[Effective_Week],16)</f>
        <v/>
      </c>
      <c r="R87">
        <f>SUMIFS(T_Shipments[Confirmed_Qty],T_Shipments[RM_Code],$A87,T_Shipments[Effective_Week],17)</f>
        <v/>
      </c>
      <c r="S87">
        <f>SUMIFS(T_Shipments[Confirmed_Qty],T_Shipments[RM_Code],$A87,T_Shipments[Effective_Week],18)</f>
        <v/>
      </c>
      <c r="T87">
        <f>SUMIFS(T_Shipments[Confirmed_Qty],T_Shipments[RM_Code],$A87,T_Shipments[Effective_Week],19)</f>
        <v/>
      </c>
      <c r="U87">
        <f>SUMIFS(T_Shipments[Confirmed_Qty],T_Shipments[RM_Code],$A87,T_Shipments[Effective_Week],20)</f>
        <v/>
      </c>
      <c r="V87">
        <f>SUMIFS(T_Shipments[Confirmed_Qty],T_Shipments[RM_Code],$A87,T_Shipments[Effective_Week],21)</f>
        <v/>
      </c>
      <c r="W87">
        <f>SUMIFS(T_Shipments[Confirmed_Qty],T_Shipments[RM_Code],$A87,T_Shipments[Effective_Week],22)</f>
        <v/>
      </c>
      <c r="X87">
        <f>SUMIFS(T_Shipments[Confirmed_Qty],T_Shipments[RM_Code],$A87,T_Shipments[Effective_Week],23)</f>
        <v/>
      </c>
      <c r="Y87">
        <f>SUMIFS(T_Shipments[Confirmed_Qty],T_Shipments[RM_Code],$A87,T_Shipments[Effective_Week],24)</f>
        <v/>
      </c>
      <c r="Z87">
        <f>SUMIFS(T_Shipments[Confirmed_Qty],T_Shipments[RM_Code],$A87,T_Shipments[Effective_Week],25)</f>
        <v/>
      </c>
      <c r="AA87">
        <f>SUMIFS(T_Shipments[Confirmed_Qty],T_Shipments[RM_Code],$A87,T_Shipments[Effective_Week],26)</f>
        <v/>
      </c>
      <c r="AB87">
        <f>SUMIFS(T_Shipments[Confirmed_Qty],T_Shipments[RM_Code],$A87,T_Shipments[Effective_Week],27)</f>
        <v/>
      </c>
      <c r="AC87">
        <f>SUMIFS(T_Shipments[Confirmed_Qty],T_Shipments[RM_Code],$A87,T_Shipments[Effective_Week],28)</f>
        <v/>
      </c>
      <c r="AD87">
        <f>SUMIFS(T_Shipments[Confirmed_Qty],T_Shipments[RM_Code],$A87,T_Shipments[Effective_Week],29)</f>
        <v/>
      </c>
      <c r="AE87">
        <f>SUMIFS(T_Shipments[Confirmed_Qty],T_Shipments[RM_Code],$A87,T_Shipments[Effective_Week],30)</f>
        <v/>
      </c>
      <c r="AF87">
        <f>SUMIFS(T_Shipments[Confirmed_Qty],T_Shipments[RM_Code],$A87,T_Shipments[Effective_Week],31)</f>
        <v/>
      </c>
      <c r="AG87">
        <f>SUMIFS(T_Shipments[Confirmed_Qty],T_Shipments[RM_Code],$A87,T_Shipments[Effective_Week],32)</f>
        <v/>
      </c>
      <c r="AH87">
        <f>SUMIFS(T_Shipments[Confirmed_Qty],T_Shipments[RM_Code],$A87,T_Shipments[Effective_Week],33)</f>
        <v/>
      </c>
      <c r="AI87">
        <f>SUMIFS(T_Shipments[Confirmed_Qty],T_Shipments[RM_Code],$A87,T_Shipments[Effective_Week],34)</f>
        <v/>
      </c>
      <c r="AJ87">
        <f>SUMIFS(T_Shipments[Confirmed_Qty],T_Shipments[RM_Code],$A87,T_Shipments[Effective_Week],35)</f>
        <v/>
      </c>
      <c r="AK87">
        <f>SUMIFS(T_Shipments[Confirmed_Qty],T_Shipments[RM_Code],$A87,T_Shipments[Effective_Week],36)</f>
        <v/>
      </c>
      <c r="AL87">
        <f>SUMIFS(T_Shipments[Confirmed_Qty],T_Shipments[RM_Code],$A87,T_Shipments[Effective_Week],37)</f>
        <v/>
      </c>
      <c r="AM87">
        <f>SUMIFS(T_Shipments[Confirmed_Qty],T_Shipments[RM_Code],$A87,T_Shipments[Effective_Week],38)</f>
        <v/>
      </c>
      <c r="AN87">
        <f>SUMIFS(T_Shipments[Confirmed_Qty],T_Shipments[RM_Code],$A87,T_Shipments[Effective_Week],39)</f>
        <v/>
      </c>
      <c r="AO87">
        <f>SUMIFS(T_Shipments[Confirmed_Qty],T_Shipments[RM_Code],$A87,T_Shipments[Effective_Week],40)</f>
        <v/>
      </c>
      <c r="AP87">
        <f>SUMIFS(T_Shipments[Confirmed_Qty],T_Shipments[RM_Code],$A87,T_Shipments[Effective_Week],41)</f>
        <v/>
      </c>
      <c r="AQ87">
        <f>SUMIFS(T_Shipments[Confirmed_Qty],T_Shipments[RM_Code],$A87,T_Shipments[Effective_Week],42)</f>
        <v/>
      </c>
      <c r="AR87">
        <f>SUMIFS(T_Shipments[Confirmed_Qty],T_Shipments[RM_Code],$A87,T_Shipments[Effective_Week],43)</f>
        <v/>
      </c>
      <c r="AS87">
        <f>SUMIFS(T_Shipments[Confirmed_Qty],T_Shipments[RM_Code],$A87,T_Shipments[Effective_Week],44)</f>
        <v/>
      </c>
      <c r="AT87">
        <f>SUMIFS(T_Shipments[Confirmed_Qty],T_Shipments[RM_Code],$A87,T_Shipments[Effective_Week],45)</f>
        <v/>
      </c>
      <c r="AU87">
        <f>SUMIFS(T_Shipments[Confirmed_Qty],T_Shipments[RM_Code],$A87,T_Shipments[Effective_Week],46)</f>
        <v/>
      </c>
      <c r="AV87">
        <f>SUMIFS(T_Shipments[Confirmed_Qty],T_Shipments[RM_Code],$A87,T_Shipments[Effective_Week],47)</f>
        <v/>
      </c>
      <c r="AW87">
        <f>SUMIFS(T_Shipments[Confirmed_Qty],T_Shipments[RM_Code],$A87,T_Shipments[Effective_Week],48)</f>
        <v/>
      </c>
      <c r="AX87">
        <f>SUMIFS(T_Shipments[Confirmed_Qty],T_Shipments[RM_Code],$A87,T_Shipments[Effective_Week],49)</f>
        <v/>
      </c>
      <c r="AY87">
        <f>SUMIFS(T_Shipments[Confirmed_Qty],T_Shipments[RM_Code],$A87,T_Shipments[Effective_Week],50)</f>
        <v/>
      </c>
      <c r="AZ87">
        <f>SUMIFS(T_Shipments[Confirmed_Qty],T_Shipments[RM_Code],$A87,T_Shipments[Effective_Week],51)</f>
        <v/>
      </c>
      <c r="BA87">
        <f>SUMIFS(T_Shipments[Confirmed_Qty],T_Shipments[RM_Code],$A87,T_Shipments[Effective_Week],52)</f>
        <v/>
      </c>
      <c r="BB87">
        <f>SUMIFS(T_Shipments[Confirmed_Qty],T_Shipments[RM_Code],$A87,T_Shipments[Effective_Week],53)</f>
        <v/>
      </c>
      <c r="BC87">
        <f>SUMIFS(T_Shipments[Confirmed_Qty],T_Shipments[RM_Code],$A87,T_Shipments[Effective_Week],54)</f>
        <v/>
      </c>
      <c r="BD87">
        <f>SUMIFS(T_Shipments[Confirmed_Qty],T_Shipments[RM_Code],$A87,T_Shipments[Effective_Week],55)</f>
        <v/>
      </c>
      <c r="BE87">
        <f>SUMIFS(T_Shipments[Confirmed_Qty],T_Shipments[RM_Code],$A87,T_Shipments[Effective_Week],56)</f>
        <v/>
      </c>
      <c r="BF87">
        <f>SUMIFS(T_Shipments[Confirmed_Qty],T_Shipments[RM_Code],$A87,T_Shipments[Effective_Week],57)</f>
        <v/>
      </c>
      <c r="BG87">
        <f>SUMIFS(T_Shipments[Confirmed_Qty],T_Shipments[RM_Code],$A87,T_Shipments[Effective_Week],58)</f>
        <v/>
      </c>
      <c r="BH87">
        <f>SUMIFS(T_Shipments[Confirmed_Qty],T_Shipments[RM_Code],$A87,T_Shipments[Effective_Week],59)</f>
        <v/>
      </c>
      <c r="BI87">
        <f>SUMIFS(T_Shipments[Confirmed_Qty],T_Shipments[RM_Code],$A87,T_Shipments[Effective_Week],60)</f>
        <v/>
      </c>
      <c r="BJ87">
        <f>SUMIFS(T_Shipments[Confirmed_Qty],T_Shipments[RM_Code],$A87,T_Shipments[Effective_Week],61)</f>
        <v/>
      </c>
      <c r="BK87">
        <f>SUMIFS(T_Shipments[Confirmed_Qty],T_Shipments[RM_Code],$A87,T_Shipments[Effective_Week],62)</f>
        <v/>
      </c>
      <c r="BL87">
        <f>SUMIFS(T_Shipments[Confirmed_Qty],T_Shipments[RM_Code],$A87,T_Shipments[Effective_Week],63)</f>
        <v/>
      </c>
      <c r="BM87">
        <f>SUMIFS(T_Shipments[Confirmed_Qty],T_Shipments[RM_Code],$A87,T_Shipments[Effective_Week],64)</f>
        <v/>
      </c>
      <c r="BN87">
        <f>SUMIFS(T_Shipments[Confirmed_Qty],T_Shipments[RM_Code],$A87,T_Shipments[Effective_Week],65)</f>
        <v/>
      </c>
      <c r="BO87">
        <f>SUMIFS(T_Shipments[Confirmed_Qty],T_Shipments[RM_Code],$A87,T_Shipments[Effective_Week],66)</f>
        <v/>
      </c>
      <c r="BP87">
        <f>SUMIFS(T_Shipments[Confirmed_Qty],T_Shipments[RM_Code],$A87,T_Shipments[Effective_Week],67)</f>
        <v/>
      </c>
      <c r="BQ87">
        <f>SUMIFS(T_Shipments[Confirmed_Qty],T_Shipments[RM_Code],$A87,T_Shipments[Effective_Week],68)</f>
        <v/>
      </c>
      <c r="BR87">
        <f>SUMIFS(T_Shipments[Confirmed_Qty],T_Shipments[RM_Code],$A87,T_Shipments[Effective_Week],69)</f>
        <v/>
      </c>
      <c r="BS87">
        <f>SUMIFS(T_Shipments[Confirmed_Qty],T_Shipments[RM_Code],$A87,T_Shipments[Effective_Week],70)</f>
        <v/>
      </c>
      <c r="BT87">
        <f>SUMIFS(T_Shipments[Confirmed_Qty],T_Shipments[RM_Code],$A87,T_Shipments[Effective_Week],71)</f>
        <v/>
      </c>
      <c r="BU87">
        <f>SUMIFS(T_Shipments[Confirmed_Qty],T_Shipments[RM_Code],$A87,T_Shipments[Effective_Week],72)</f>
        <v/>
      </c>
      <c r="BV87">
        <f>SUMIFS(T_Shipments[Confirmed_Qty],T_Shipments[RM_Code],$A87,T_Shipments[Effective_Week],73)</f>
        <v/>
      </c>
      <c r="BW87">
        <f>SUMIFS(T_Shipments[Confirmed_Qty],T_Shipments[RM_Code],$A87,T_Shipments[Effective_Week],74)</f>
        <v/>
      </c>
      <c r="BX87">
        <f>SUMIFS(T_Shipments[Confirmed_Qty],T_Shipments[RM_Code],$A87,T_Shipments[Effective_Week],75)</f>
        <v/>
      </c>
      <c r="BY87">
        <f>SUMIFS(T_Shipments[Confirmed_Qty],T_Shipments[RM_Code],$A87,T_Shipments[Effective_Week],76)</f>
        <v/>
      </c>
      <c r="BZ87">
        <f>SUMIFS(T_Shipments[Confirmed_Qty],T_Shipments[RM_Code],$A87,T_Shipments[Effective_Week],77)</f>
        <v/>
      </c>
      <c r="CA87">
        <f>SUMIFS(T_Shipments[Confirmed_Qty],T_Shipments[RM_Code],$A87,T_Shipments[Effective_Week],78)</f>
        <v/>
      </c>
      <c r="CB87">
        <f>SUMIFS(T_Shipments[Confirmed_Qty],T_Shipments[RM_Code],$A87,T_Shipments[Effective_Week],79)</f>
        <v/>
      </c>
      <c r="CC87">
        <f>SUMIFS(T_Shipments[Confirmed_Qty],T_Shipments[RM_Code],$A87,T_Shipments[Effective_Week],80)</f>
        <v/>
      </c>
      <c r="CD87">
        <f>SUMIFS(T_Shipments[Confirmed_Qty],T_Shipments[RM_Code],$A87,T_Shipments[Effective_Week],81)</f>
        <v/>
      </c>
      <c r="CE87">
        <f>SUMIFS(T_Shipments[Confirmed_Qty],T_Shipments[RM_Code],$A87,T_Shipments[Effective_Week],82)</f>
        <v/>
      </c>
      <c r="CF87">
        <f>SUMIFS(T_Shipments[Confirmed_Qty],T_Shipments[RM_Code],$A87,T_Shipments[Effective_Week],83)</f>
        <v/>
      </c>
      <c r="CG87">
        <f>SUMIFS(T_Shipments[Confirmed_Qty],T_Shipments[RM_Code],$A87,T_Shipments[Effective_Week],84)</f>
        <v/>
      </c>
      <c r="CH87">
        <f>SUMIFS(T_Shipments[Confirmed_Qty],T_Shipments[RM_Code],$A87,T_Shipments[Effective_Week],85)</f>
        <v/>
      </c>
      <c r="CI87">
        <f>SUMIFS(T_Shipments[Confirmed_Qty],T_Shipments[RM_Code],$A87,T_Shipments[Effective_Week],86)</f>
        <v/>
      </c>
      <c r="CJ87">
        <f>SUMIFS(T_Shipments[Confirmed_Qty],T_Shipments[RM_Code],$A87,T_Shipments[Effective_Week],87)</f>
        <v/>
      </c>
      <c r="CK87">
        <f>SUMIFS(T_Shipments[Confirmed_Qty],T_Shipments[RM_Code],$A87,T_Shipments[Effective_Week],88)</f>
        <v/>
      </c>
      <c r="CL87">
        <f>SUMIFS(T_Shipments[Confirmed_Qty],T_Shipments[RM_Code],$A87,T_Shipments[Effective_Week],89)</f>
        <v/>
      </c>
      <c r="CM87">
        <f>SUMIFS(T_Shipments[Confirmed_Qty],T_Shipments[RM_Code],$A87,T_Shipments[Effective_Week],90)</f>
        <v/>
      </c>
      <c r="CN87">
        <f>SUMIFS(T_Shipments[Confirmed_Qty],T_Shipments[RM_Code],$A87,T_Shipments[Effective_Week],91)</f>
        <v/>
      </c>
      <c r="CO87">
        <f>SUMIFS(T_Shipments[Confirmed_Qty],T_Shipments[RM_Code],$A87,T_Shipments[Effective_Week],92)</f>
        <v/>
      </c>
      <c r="CP87">
        <f>SUMIFS(T_Shipments[Confirmed_Qty],T_Shipments[RM_Code],$A87,T_Shipments[Effective_Week],93)</f>
        <v/>
      </c>
      <c r="CQ87">
        <f>SUMIFS(T_Shipments[Confirmed_Qty],T_Shipments[RM_Code],$A87,T_Shipments[Effective_Week],94)</f>
        <v/>
      </c>
      <c r="CR87">
        <f>SUMIFS(T_Shipments[Confirmed_Qty],T_Shipments[RM_Code],$A87,T_Shipments[Effective_Week],95)</f>
        <v/>
      </c>
      <c r="CS87">
        <f>SUMIFS(T_Shipments[Confirmed_Qty],T_Shipments[RM_Code],$A87,T_Shipments[Effective_Week],96)</f>
        <v/>
      </c>
      <c r="CT87">
        <f>SUMIFS(T_Shipments[Confirmed_Qty],T_Shipments[RM_Code],$A87,T_Shipments[Effective_Week],97)</f>
        <v/>
      </c>
      <c r="CU87">
        <f>SUMIFS(T_Shipments[Confirmed_Qty],T_Shipments[RM_Code],$A87,T_Shipments[Effective_Week],98)</f>
        <v/>
      </c>
      <c r="CV87">
        <f>SUMIFS(T_Shipments[Confirmed_Qty],T_Shipments[RM_Code],$A87,T_Shipments[Effective_Week],99)</f>
        <v/>
      </c>
      <c r="CW87">
        <f>SUMIFS(T_Shipments[Confirmed_Qty],T_Shipments[RM_Code],$A87,T_Shipments[Effective_Week],100)</f>
        <v/>
      </c>
      <c r="CX87">
        <f>SUMIFS(T_Shipments[Confirmed_Qty],T_Shipments[RM_Code],$A87,T_Shipments[Effective_Week],101)</f>
        <v/>
      </c>
      <c r="CY87">
        <f>SUMIFS(T_Shipments[Confirmed_Qty],T_Shipments[RM_Code],$A87,T_Shipments[Effective_Week],102)</f>
        <v/>
      </c>
      <c r="CZ87">
        <f>SUMIFS(T_Shipments[Confirmed_Qty],T_Shipments[RM_Code],$A87,T_Shipments[Effective_Week],103)</f>
        <v/>
      </c>
      <c r="DA87">
        <f>SUMIFS(T_Shipments[Confirmed_Qty],T_Shipments[RM_Code],$A87,T_Shipments[Effective_Week],104)</f>
        <v/>
      </c>
    </row>
    <row r="88">
      <c r="A88" t="inlineStr">
        <is>
          <t>TSZ-938</t>
        </is>
      </c>
      <c r="B88">
        <f>SUMIFS(T_Shipments[Confirmed_Qty],T_Shipments[RM_Code],$A88,T_Shipments[Effective_Week],1)</f>
        <v/>
      </c>
      <c r="C88">
        <f>SUMIFS(T_Shipments[Confirmed_Qty],T_Shipments[RM_Code],$A88,T_Shipments[Effective_Week],2)</f>
        <v/>
      </c>
      <c r="D88">
        <f>SUMIFS(T_Shipments[Confirmed_Qty],T_Shipments[RM_Code],$A88,T_Shipments[Effective_Week],3)</f>
        <v/>
      </c>
      <c r="E88">
        <f>SUMIFS(T_Shipments[Confirmed_Qty],T_Shipments[RM_Code],$A88,T_Shipments[Effective_Week],4)</f>
        <v/>
      </c>
      <c r="F88">
        <f>SUMIFS(T_Shipments[Confirmed_Qty],T_Shipments[RM_Code],$A88,T_Shipments[Effective_Week],5)</f>
        <v/>
      </c>
      <c r="G88">
        <f>SUMIFS(T_Shipments[Confirmed_Qty],T_Shipments[RM_Code],$A88,T_Shipments[Effective_Week],6)</f>
        <v/>
      </c>
      <c r="H88">
        <f>SUMIFS(T_Shipments[Confirmed_Qty],T_Shipments[RM_Code],$A88,T_Shipments[Effective_Week],7)</f>
        <v/>
      </c>
      <c r="I88">
        <f>SUMIFS(T_Shipments[Confirmed_Qty],T_Shipments[RM_Code],$A88,T_Shipments[Effective_Week],8)</f>
        <v/>
      </c>
      <c r="J88">
        <f>SUMIFS(T_Shipments[Confirmed_Qty],T_Shipments[RM_Code],$A88,T_Shipments[Effective_Week],9)</f>
        <v/>
      </c>
      <c r="K88">
        <f>SUMIFS(T_Shipments[Confirmed_Qty],T_Shipments[RM_Code],$A88,T_Shipments[Effective_Week],10)</f>
        <v/>
      </c>
      <c r="L88">
        <f>SUMIFS(T_Shipments[Confirmed_Qty],T_Shipments[RM_Code],$A88,T_Shipments[Effective_Week],11)</f>
        <v/>
      </c>
      <c r="M88">
        <f>SUMIFS(T_Shipments[Confirmed_Qty],T_Shipments[RM_Code],$A88,T_Shipments[Effective_Week],12)</f>
        <v/>
      </c>
      <c r="N88">
        <f>SUMIFS(T_Shipments[Confirmed_Qty],T_Shipments[RM_Code],$A88,T_Shipments[Effective_Week],13)</f>
        <v/>
      </c>
      <c r="O88">
        <f>SUMIFS(T_Shipments[Confirmed_Qty],T_Shipments[RM_Code],$A88,T_Shipments[Effective_Week],14)</f>
        <v/>
      </c>
      <c r="P88">
        <f>SUMIFS(T_Shipments[Confirmed_Qty],T_Shipments[RM_Code],$A88,T_Shipments[Effective_Week],15)</f>
        <v/>
      </c>
      <c r="Q88">
        <f>SUMIFS(T_Shipments[Confirmed_Qty],T_Shipments[RM_Code],$A88,T_Shipments[Effective_Week],16)</f>
        <v/>
      </c>
      <c r="R88">
        <f>SUMIFS(T_Shipments[Confirmed_Qty],T_Shipments[RM_Code],$A88,T_Shipments[Effective_Week],17)</f>
        <v/>
      </c>
      <c r="S88">
        <f>SUMIFS(T_Shipments[Confirmed_Qty],T_Shipments[RM_Code],$A88,T_Shipments[Effective_Week],18)</f>
        <v/>
      </c>
      <c r="T88">
        <f>SUMIFS(T_Shipments[Confirmed_Qty],T_Shipments[RM_Code],$A88,T_Shipments[Effective_Week],19)</f>
        <v/>
      </c>
      <c r="U88">
        <f>SUMIFS(T_Shipments[Confirmed_Qty],T_Shipments[RM_Code],$A88,T_Shipments[Effective_Week],20)</f>
        <v/>
      </c>
      <c r="V88">
        <f>SUMIFS(T_Shipments[Confirmed_Qty],T_Shipments[RM_Code],$A88,T_Shipments[Effective_Week],21)</f>
        <v/>
      </c>
      <c r="W88">
        <f>SUMIFS(T_Shipments[Confirmed_Qty],T_Shipments[RM_Code],$A88,T_Shipments[Effective_Week],22)</f>
        <v/>
      </c>
      <c r="X88">
        <f>SUMIFS(T_Shipments[Confirmed_Qty],T_Shipments[RM_Code],$A88,T_Shipments[Effective_Week],23)</f>
        <v/>
      </c>
      <c r="Y88">
        <f>SUMIFS(T_Shipments[Confirmed_Qty],T_Shipments[RM_Code],$A88,T_Shipments[Effective_Week],24)</f>
        <v/>
      </c>
      <c r="Z88">
        <f>SUMIFS(T_Shipments[Confirmed_Qty],T_Shipments[RM_Code],$A88,T_Shipments[Effective_Week],25)</f>
        <v/>
      </c>
      <c r="AA88">
        <f>SUMIFS(T_Shipments[Confirmed_Qty],T_Shipments[RM_Code],$A88,T_Shipments[Effective_Week],26)</f>
        <v/>
      </c>
      <c r="AB88">
        <f>SUMIFS(T_Shipments[Confirmed_Qty],T_Shipments[RM_Code],$A88,T_Shipments[Effective_Week],27)</f>
        <v/>
      </c>
      <c r="AC88">
        <f>SUMIFS(T_Shipments[Confirmed_Qty],T_Shipments[RM_Code],$A88,T_Shipments[Effective_Week],28)</f>
        <v/>
      </c>
      <c r="AD88">
        <f>SUMIFS(T_Shipments[Confirmed_Qty],T_Shipments[RM_Code],$A88,T_Shipments[Effective_Week],29)</f>
        <v/>
      </c>
      <c r="AE88">
        <f>SUMIFS(T_Shipments[Confirmed_Qty],T_Shipments[RM_Code],$A88,T_Shipments[Effective_Week],30)</f>
        <v/>
      </c>
      <c r="AF88">
        <f>SUMIFS(T_Shipments[Confirmed_Qty],T_Shipments[RM_Code],$A88,T_Shipments[Effective_Week],31)</f>
        <v/>
      </c>
      <c r="AG88">
        <f>SUMIFS(T_Shipments[Confirmed_Qty],T_Shipments[RM_Code],$A88,T_Shipments[Effective_Week],32)</f>
        <v/>
      </c>
      <c r="AH88">
        <f>SUMIFS(T_Shipments[Confirmed_Qty],T_Shipments[RM_Code],$A88,T_Shipments[Effective_Week],33)</f>
        <v/>
      </c>
      <c r="AI88">
        <f>SUMIFS(T_Shipments[Confirmed_Qty],T_Shipments[RM_Code],$A88,T_Shipments[Effective_Week],34)</f>
        <v/>
      </c>
      <c r="AJ88">
        <f>SUMIFS(T_Shipments[Confirmed_Qty],T_Shipments[RM_Code],$A88,T_Shipments[Effective_Week],35)</f>
        <v/>
      </c>
      <c r="AK88">
        <f>SUMIFS(T_Shipments[Confirmed_Qty],T_Shipments[RM_Code],$A88,T_Shipments[Effective_Week],36)</f>
        <v/>
      </c>
      <c r="AL88">
        <f>SUMIFS(T_Shipments[Confirmed_Qty],T_Shipments[RM_Code],$A88,T_Shipments[Effective_Week],37)</f>
        <v/>
      </c>
      <c r="AM88">
        <f>SUMIFS(T_Shipments[Confirmed_Qty],T_Shipments[RM_Code],$A88,T_Shipments[Effective_Week],38)</f>
        <v/>
      </c>
      <c r="AN88">
        <f>SUMIFS(T_Shipments[Confirmed_Qty],T_Shipments[RM_Code],$A88,T_Shipments[Effective_Week],39)</f>
        <v/>
      </c>
      <c r="AO88">
        <f>SUMIFS(T_Shipments[Confirmed_Qty],T_Shipments[RM_Code],$A88,T_Shipments[Effective_Week],40)</f>
        <v/>
      </c>
      <c r="AP88">
        <f>SUMIFS(T_Shipments[Confirmed_Qty],T_Shipments[RM_Code],$A88,T_Shipments[Effective_Week],41)</f>
        <v/>
      </c>
      <c r="AQ88">
        <f>SUMIFS(T_Shipments[Confirmed_Qty],T_Shipments[RM_Code],$A88,T_Shipments[Effective_Week],42)</f>
        <v/>
      </c>
      <c r="AR88">
        <f>SUMIFS(T_Shipments[Confirmed_Qty],T_Shipments[RM_Code],$A88,T_Shipments[Effective_Week],43)</f>
        <v/>
      </c>
      <c r="AS88">
        <f>SUMIFS(T_Shipments[Confirmed_Qty],T_Shipments[RM_Code],$A88,T_Shipments[Effective_Week],44)</f>
        <v/>
      </c>
      <c r="AT88">
        <f>SUMIFS(T_Shipments[Confirmed_Qty],T_Shipments[RM_Code],$A88,T_Shipments[Effective_Week],45)</f>
        <v/>
      </c>
      <c r="AU88">
        <f>SUMIFS(T_Shipments[Confirmed_Qty],T_Shipments[RM_Code],$A88,T_Shipments[Effective_Week],46)</f>
        <v/>
      </c>
      <c r="AV88">
        <f>SUMIFS(T_Shipments[Confirmed_Qty],T_Shipments[RM_Code],$A88,T_Shipments[Effective_Week],47)</f>
        <v/>
      </c>
      <c r="AW88">
        <f>SUMIFS(T_Shipments[Confirmed_Qty],T_Shipments[RM_Code],$A88,T_Shipments[Effective_Week],48)</f>
        <v/>
      </c>
      <c r="AX88">
        <f>SUMIFS(T_Shipments[Confirmed_Qty],T_Shipments[RM_Code],$A88,T_Shipments[Effective_Week],49)</f>
        <v/>
      </c>
      <c r="AY88">
        <f>SUMIFS(T_Shipments[Confirmed_Qty],T_Shipments[RM_Code],$A88,T_Shipments[Effective_Week],50)</f>
        <v/>
      </c>
      <c r="AZ88">
        <f>SUMIFS(T_Shipments[Confirmed_Qty],T_Shipments[RM_Code],$A88,T_Shipments[Effective_Week],51)</f>
        <v/>
      </c>
      <c r="BA88">
        <f>SUMIFS(T_Shipments[Confirmed_Qty],T_Shipments[RM_Code],$A88,T_Shipments[Effective_Week],52)</f>
        <v/>
      </c>
      <c r="BB88">
        <f>SUMIFS(T_Shipments[Confirmed_Qty],T_Shipments[RM_Code],$A88,T_Shipments[Effective_Week],53)</f>
        <v/>
      </c>
      <c r="BC88">
        <f>SUMIFS(T_Shipments[Confirmed_Qty],T_Shipments[RM_Code],$A88,T_Shipments[Effective_Week],54)</f>
        <v/>
      </c>
      <c r="BD88">
        <f>SUMIFS(T_Shipments[Confirmed_Qty],T_Shipments[RM_Code],$A88,T_Shipments[Effective_Week],55)</f>
        <v/>
      </c>
      <c r="BE88">
        <f>SUMIFS(T_Shipments[Confirmed_Qty],T_Shipments[RM_Code],$A88,T_Shipments[Effective_Week],56)</f>
        <v/>
      </c>
      <c r="BF88">
        <f>SUMIFS(T_Shipments[Confirmed_Qty],T_Shipments[RM_Code],$A88,T_Shipments[Effective_Week],57)</f>
        <v/>
      </c>
      <c r="BG88">
        <f>SUMIFS(T_Shipments[Confirmed_Qty],T_Shipments[RM_Code],$A88,T_Shipments[Effective_Week],58)</f>
        <v/>
      </c>
      <c r="BH88">
        <f>SUMIFS(T_Shipments[Confirmed_Qty],T_Shipments[RM_Code],$A88,T_Shipments[Effective_Week],59)</f>
        <v/>
      </c>
      <c r="BI88">
        <f>SUMIFS(T_Shipments[Confirmed_Qty],T_Shipments[RM_Code],$A88,T_Shipments[Effective_Week],60)</f>
        <v/>
      </c>
      <c r="BJ88">
        <f>SUMIFS(T_Shipments[Confirmed_Qty],T_Shipments[RM_Code],$A88,T_Shipments[Effective_Week],61)</f>
        <v/>
      </c>
      <c r="BK88">
        <f>SUMIFS(T_Shipments[Confirmed_Qty],T_Shipments[RM_Code],$A88,T_Shipments[Effective_Week],62)</f>
        <v/>
      </c>
      <c r="BL88">
        <f>SUMIFS(T_Shipments[Confirmed_Qty],T_Shipments[RM_Code],$A88,T_Shipments[Effective_Week],63)</f>
        <v/>
      </c>
      <c r="BM88">
        <f>SUMIFS(T_Shipments[Confirmed_Qty],T_Shipments[RM_Code],$A88,T_Shipments[Effective_Week],64)</f>
        <v/>
      </c>
      <c r="BN88">
        <f>SUMIFS(T_Shipments[Confirmed_Qty],T_Shipments[RM_Code],$A88,T_Shipments[Effective_Week],65)</f>
        <v/>
      </c>
      <c r="BO88">
        <f>SUMIFS(T_Shipments[Confirmed_Qty],T_Shipments[RM_Code],$A88,T_Shipments[Effective_Week],66)</f>
        <v/>
      </c>
      <c r="BP88">
        <f>SUMIFS(T_Shipments[Confirmed_Qty],T_Shipments[RM_Code],$A88,T_Shipments[Effective_Week],67)</f>
        <v/>
      </c>
      <c r="BQ88">
        <f>SUMIFS(T_Shipments[Confirmed_Qty],T_Shipments[RM_Code],$A88,T_Shipments[Effective_Week],68)</f>
        <v/>
      </c>
      <c r="BR88">
        <f>SUMIFS(T_Shipments[Confirmed_Qty],T_Shipments[RM_Code],$A88,T_Shipments[Effective_Week],69)</f>
        <v/>
      </c>
      <c r="BS88">
        <f>SUMIFS(T_Shipments[Confirmed_Qty],T_Shipments[RM_Code],$A88,T_Shipments[Effective_Week],70)</f>
        <v/>
      </c>
      <c r="BT88">
        <f>SUMIFS(T_Shipments[Confirmed_Qty],T_Shipments[RM_Code],$A88,T_Shipments[Effective_Week],71)</f>
        <v/>
      </c>
      <c r="BU88">
        <f>SUMIFS(T_Shipments[Confirmed_Qty],T_Shipments[RM_Code],$A88,T_Shipments[Effective_Week],72)</f>
        <v/>
      </c>
      <c r="BV88">
        <f>SUMIFS(T_Shipments[Confirmed_Qty],T_Shipments[RM_Code],$A88,T_Shipments[Effective_Week],73)</f>
        <v/>
      </c>
      <c r="BW88">
        <f>SUMIFS(T_Shipments[Confirmed_Qty],T_Shipments[RM_Code],$A88,T_Shipments[Effective_Week],74)</f>
        <v/>
      </c>
      <c r="BX88">
        <f>SUMIFS(T_Shipments[Confirmed_Qty],T_Shipments[RM_Code],$A88,T_Shipments[Effective_Week],75)</f>
        <v/>
      </c>
      <c r="BY88">
        <f>SUMIFS(T_Shipments[Confirmed_Qty],T_Shipments[RM_Code],$A88,T_Shipments[Effective_Week],76)</f>
        <v/>
      </c>
      <c r="BZ88">
        <f>SUMIFS(T_Shipments[Confirmed_Qty],T_Shipments[RM_Code],$A88,T_Shipments[Effective_Week],77)</f>
        <v/>
      </c>
      <c r="CA88">
        <f>SUMIFS(T_Shipments[Confirmed_Qty],T_Shipments[RM_Code],$A88,T_Shipments[Effective_Week],78)</f>
        <v/>
      </c>
      <c r="CB88">
        <f>SUMIFS(T_Shipments[Confirmed_Qty],T_Shipments[RM_Code],$A88,T_Shipments[Effective_Week],79)</f>
        <v/>
      </c>
      <c r="CC88">
        <f>SUMIFS(T_Shipments[Confirmed_Qty],T_Shipments[RM_Code],$A88,T_Shipments[Effective_Week],80)</f>
        <v/>
      </c>
      <c r="CD88">
        <f>SUMIFS(T_Shipments[Confirmed_Qty],T_Shipments[RM_Code],$A88,T_Shipments[Effective_Week],81)</f>
        <v/>
      </c>
      <c r="CE88">
        <f>SUMIFS(T_Shipments[Confirmed_Qty],T_Shipments[RM_Code],$A88,T_Shipments[Effective_Week],82)</f>
        <v/>
      </c>
      <c r="CF88">
        <f>SUMIFS(T_Shipments[Confirmed_Qty],T_Shipments[RM_Code],$A88,T_Shipments[Effective_Week],83)</f>
        <v/>
      </c>
      <c r="CG88">
        <f>SUMIFS(T_Shipments[Confirmed_Qty],T_Shipments[RM_Code],$A88,T_Shipments[Effective_Week],84)</f>
        <v/>
      </c>
      <c r="CH88">
        <f>SUMIFS(T_Shipments[Confirmed_Qty],T_Shipments[RM_Code],$A88,T_Shipments[Effective_Week],85)</f>
        <v/>
      </c>
      <c r="CI88">
        <f>SUMIFS(T_Shipments[Confirmed_Qty],T_Shipments[RM_Code],$A88,T_Shipments[Effective_Week],86)</f>
        <v/>
      </c>
      <c r="CJ88">
        <f>SUMIFS(T_Shipments[Confirmed_Qty],T_Shipments[RM_Code],$A88,T_Shipments[Effective_Week],87)</f>
        <v/>
      </c>
      <c r="CK88">
        <f>SUMIFS(T_Shipments[Confirmed_Qty],T_Shipments[RM_Code],$A88,T_Shipments[Effective_Week],88)</f>
        <v/>
      </c>
      <c r="CL88">
        <f>SUMIFS(T_Shipments[Confirmed_Qty],T_Shipments[RM_Code],$A88,T_Shipments[Effective_Week],89)</f>
        <v/>
      </c>
      <c r="CM88">
        <f>SUMIFS(T_Shipments[Confirmed_Qty],T_Shipments[RM_Code],$A88,T_Shipments[Effective_Week],90)</f>
        <v/>
      </c>
      <c r="CN88">
        <f>SUMIFS(T_Shipments[Confirmed_Qty],T_Shipments[RM_Code],$A88,T_Shipments[Effective_Week],91)</f>
        <v/>
      </c>
      <c r="CO88">
        <f>SUMIFS(T_Shipments[Confirmed_Qty],T_Shipments[RM_Code],$A88,T_Shipments[Effective_Week],92)</f>
        <v/>
      </c>
      <c r="CP88">
        <f>SUMIFS(T_Shipments[Confirmed_Qty],T_Shipments[RM_Code],$A88,T_Shipments[Effective_Week],93)</f>
        <v/>
      </c>
      <c r="CQ88">
        <f>SUMIFS(T_Shipments[Confirmed_Qty],T_Shipments[RM_Code],$A88,T_Shipments[Effective_Week],94)</f>
        <v/>
      </c>
      <c r="CR88">
        <f>SUMIFS(T_Shipments[Confirmed_Qty],T_Shipments[RM_Code],$A88,T_Shipments[Effective_Week],95)</f>
        <v/>
      </c>
      <c r="CS88">
        <f>SUMIFS(T_Shipments[Confirmed_Qty],T_Shipments[RM_Code],$A88,T_Shipments[Effective_Week],96)</f>
        <v/>
      </c>
      <c r="CT88">
        <f>SUMIFS(T_Shipments[Confirmed_Qty],T_Shipments[RM_Code],$A88,T_Shipments[Effective_Week],97)</f>
        <v/>
      </c>
      <c r="CU88">
        <f>SUMIFS(T_Shipments[Confirmed_Qty],T_Shipments[RM_Code],$A88,T_Shipments[Effective_Week],98)</f>
        <v/>
      </c>
      <c r="CV88">
        <f>SUMIFS(T_Shipments[Confirmed_Qty],T_Shipments[RM_Code],$A88,T_Shipments[Effective_Week],99)</f>
        <v/>
      </c>
      <c r="CW88">
        <f>SUMIFS(T_Shipments[Confirmed_Qty],T_Shipments[RM_Code],$A88,T_Shipments[Effective_Week],100)</f>
        <v/>
      </c>
      <c r="CX88">
        <f>SUMIFS(T_Shipments[Confirmed_Qty],T_Shipments[RM_Code],$A88,T_Shipments[Effective_Week],101)</f>
        <v/>
      </c>
      <c r="CY88">
        <f>SUMIFS(T_Shipments[Confirmed_Qty],T_Shipments[RM_Code],$A88,T_Shipments[Effective_Week],102)</f>
        <v/>
      </c>
      <c r="CZ88">
        <f>SUMIFS(T_Shipments[Confirmed_Qty],T_Shipments[RM_Code],$A88,T_Shipments[Effective_Week],103)</f>
        <v/>
      </c>
      <c r="DA88">
        <f>SUMIFS(T_Shipments[Confirmed_Qty],T_Shipments[RM_Code],$A88,T_Shipments[Effective_Week],104)</f>
        <v/>
      </c>
    </row>
    <row r="89">
      <c r="A89" t="inlineStr">
        <is>
          <t>CHEM-1460</t>
        </is>
      </c>
      <c r="B89">
        <f>SUMIFS(T_Shipments[Confirmed_Qty],T_Shipments[RM_Code],$A89,T_Shipments[Effective_Week],1)</f>
        <v/>
      </c>
      <c r="C89">
        <f>SUMIFS(T_Shipments[Confirmed_Qty],T_Shipments[RM_Code],$A89,T_Shipments[Effective_Week],2)</f>
        <v/>
      </c>
      <c r="D89">
        <f>SUMIFS(T_Shipments[Confirmed_Qty],T_Shipments[RM_Code],$A89,T_Shipments[Effective_Week],3)</f>
        <v/>
      </c>
      <c r="E89">
        <f>SUMIFS(T_Shipments[Confirmed_Qty],T_Shipments[RM_Code],$A89,T_Shipments[Effective_Week],4)</f>
        <v/>
      </c>
      <c r="F89">
        <f>SUMIFS(T_Shipments[Confirmed_Qty],T_Shipments[RM_Code],$A89,T_Shipments[Effective_Week],5)</f>
        <v/>
      </c>
      <c r="G89">
        <f>SUMIFS(T_Shipments[Confirmed_Qty],T_Shipments[RM_Code],$A89,T_Shipments[Effective_Week],6)</f>
        <v/>
      </c>
      <c r="H89">
        <f>SUMIFS(T_Shipments[Confirmed_Qty],T_Shipments[RM_Code],$A89,T_Shipments[Effective_Week],7)</f>
        <v/>
      </c>
      <c r="I89">
        <f>SUMIFS(T_Shipments[Confirmed_Qty],T_Shipments[RM_Code],$A89,T_Shipments[Effective_Week],8)</f>
        <v/>
      </c>
      <c r="J89">
        <f>SUMIFS(T_Shipments[Confirmed_Qty],T_Shipments[RM_Code],$A89,T_Shipments[Effective_Week],9)</f>
        <v/>
      </c>
      <c r="K89">
        <f>SUMIFS(T_Shipments[Confirmed_Qty],T_Shipments[RM_Code],$A89,T_Shipments[Effective_Week],10)</f>
        <v/>
      </c>
      <c r="L89">
        <f>SUMIFS(T_Shipments[Confirmed_Qty],T_Shipments[RM_Code],$A89,T_Shipments[Effective_Week],11)</f>
        <v/>
      </c>
      <c r="M89">
        <f>SUMIFS(T_Shipments[Confirmed_Qty],T_Shipments[RM_Code],$A89,T_Shipments[Effective_Week],12)</f>
        <v/>
      </c>
      <c r="N89">
        <f>SUMIFS(T_Shipments[Confirmed_Qty],T_Shipments[RM_Code],$A89,T_Shipments[Effective_Week],13)</f>
        <v/>
      </c>
      <c r="O89">
        <f>SUMIFS(T_Shipments[Confirmed_Qty],T_Shipments[RM_Code],$A89,T_Shipments[Effective_Week],14)</f>
        <v/>
      </c>
      <c r="P89">
        <f>SUMIFS(T_Shipments[Confirmed_Qty],T_Shipments[RM_Code],$A89,T_Shipments[Effective_Week],15)</f>
        <v/>
      </c>
      <c r="Q89">
        <f>SUMIFS(T_Shipments[Confirmed_Qty],T_Shipments[RM_Code],$A89,T_Shipments[Effective_Week],16)</f>
        <v/>
      </c>
      <c r="R89">
        <f>SUMIFS(T_Shipments[Confirmed_Qty],T_Shipments[RM_Code],$A89,T_Shipments[Effective_Week],17)</f>
        <v/>
      </c>
      <c r="S89">
        <f>SUMIFS(T_Shipments[Confirmed_Qty],T_Shipments[RM_Code],$A89,T_Shipments[Effective_Week],18)</f>
        <v/>
      </c>
      <c r="T89">
        <f>SUMIFS(T_Shipments[Confirmed_Qty],T_Shipments[RM_Code],$A89,T_Shipments[Effective_Week],19)</f>
        <v/>
      </c>
      <c r="U89">
        <f>SUMIFS(T_Shipments[Confirmed_Qty],T_Shipments[RM_Code],$A89,T_Shipments[Effective_Week],20)</f>
        <v/>
      </c>
      <c r="V89">
        <f>SUMIFS(T_Shipments[Confirmed_Qty],T_Shipments[RM_Code],$A89,T_Shipments[Effective_Week],21)</f>
        <v/>
      </c>
      <c r="W89">
        <f>SUMIFS(T_Shipments[Confirmed_Qty],T_Shipments[RM_Code],$A89,T_Shipments[Effective_Week],22)</f>
        <v/>
      </c>
      <c r="X89">
        <f>SUMIFS(T_Shipments[Confirmed_Qty],T_Shipments[RM_Code],$A89,T_Shipments[Effective_Week],23)</f>
        <v/>
      </c>
      <c r="Y89">
        <f>SUMIFS(T_Shipments[Confirmed_Qty],T_Shipments[RM_Code],$A89,T_Shipments[Effective_Week],24)</f>
        <v/>
      </c>
      <c r="Z89">
        <f>SUMIFS(T_Shipments[Confirmed_Qty],T_Shipments[RM_Code],$A89,T_Shipments[Effective_Week],25)</f>
        <v/>
      </c>
      <c r="AA89">
        <f>SUMIFS(T_Shipments[Confirmed_Qty],T_Shipments[RM_Code],$A89,T_Shipments[Effective_Week],26)</f>
        <v/>
      </c>
      <c r="AB89">
        <f>SUMIFS(T_Shipments[Confirmed_Qty],T_Shipments[RM_Code],$A89,T_Shipments[Effective_Week],27)</f>
        <v/>
      </c>
      <c r="AC89">
        <f>SUMIFS(T_Shipments[Confirmed_Qty],T_Shipments[RM_Code],$A89,T_Shipments[Effective_Week],28)</f>
        <v/>
      </c>
      <c r="AD89">
        <f>SUMIFS(T_Shipments[Confirmed_Qty],T_Shipments[RM_Code],$A89,T_Shipments[Effective_Week],29)</f>
        <v/>
      </c>
      <c r="AE89">
        <f>SUMIFS(T_Shipments[Confirmed_Qty],T_Shipments[RM_Code],$A89,T_Shipments[Effective_Week],30)</f>
        <v/>
      </c>
      <c r="AF89">
        <f>SUMIFS(T_Shipments[Confirmed_Qty],T_Shipments[RM_Code],$A89,T_Shipments[Effective_Week],31)</f>
        <v/>
      </c>
      <c r="AG89">
        <f>SUMIFS(T_Shipments[Confirmed_Qty],T_Shipments[RM_Code],$A89,T_Shipments[Effective_Week],32)</f>
        <v/>
      </c>
      <c r="AH89">
        <f>SUMIFS(T_Shipments[Confirmed_Qty],T_Shipments[RM_Code],$A89,T_Shipments[Effective_Week],33)</f>
        <v/>
      </c>
      <c r="AI89">
        <f>SUMIFS(T_Shipments[Confirmed_Qty],T_Shipments[RM_Code],$A89,T_Shipments[Effective_Week],34)</f>
        <v/>
      </c>
      <c r="AJ89">
        <f>SUMIFS(T_Shipments[Confirmed_Qty],T_Shipments[RM_Code],$A89,T_Shipments[Effective_Week],35)</f>
        <v/>
      </c>
      <c r="AK89">
        <f>SUMIFS(T_Shipments[Confirmed_Qty],T_Shipments[RM_Code],$A89,T_Shipments[Effective_Week],36)</f>
        <v/>
      </c>
      <c r="AL89">
        <f>SUMIFS(T_Shipments[Confirmed_Qty],T_Shipments[RM_Code],$A89,T_Shipments[Effective_Week],37)</f>
        <v/>
      </c>
      <c r="AM89">
        <f>SUMIFS(T_Shipments[Confirmed_Qty],T_Shipments[RM_Code],$A89,T_Shipments[Effective_Week],38)</f>
        <v/>
      </c>
      <c r="AN89">
        <f>SUMIFS(T_Shipments[Confirmed_Qty],T_Shipments[RM_Code],$A89,T_Shipments[Effective_Week],39)</f>
        <v/>
      </c>
      <c r="AO89">
        <f>SUMIFS(T_Shipments[Confirmed_Qty],T_Shipments[RM_Code],$A89,T_Shipments[Effective_Week],40)</f>
        <v/>
      </c>
      <c r="AP89">
        <f>SUMIFS(T_Shipments[Confirmed_Qty],T_Shipments[RM_Code],$A89,T_Shipments[Effective_Week],41)</f>
        <v/>
      </c>
      <c r="AQ89">
        <f>SUMIFS(T_Shipments[Confirmed_Qty],T_Shipments[RM_Code],$A89,T_Shipments[Effective_Week],42)</f>
        <v/>
      </c>
      <c r="AR89">
        <f>SUMIFS(T_Shipments[Confirmed_Qty],T_Shipments[RM_Code],$A89,T_Shipments[Effective_Week],43)</f>
        <v/>
      </c>
      <c r="AS89">
        <f>SUMIFS(T_Shipments[Confirmed_Qty],T_Shipments[RM_Code],$A89,T_Shipments[Effective_Week],44)</f>
        <v/>
      </c>
      <c r="AT89">
        <f>SUMIFS(T_Shipments[Confirmed_Qty],T_Shipments[RM_Code],$A89,T_Shipments[Effective_Week],45)</f>
        <v/>
      </c>
      <c r="AU89">
        <f>SUMIFS(T_Shipments[Confirmed_Qty],T_Shipments[RM_Code],$A89,T_Shipments[Effective_Week],46)</f>
        <v/>
      </c>
      <c r="AV89">
        <f>SUMIFS(T_Shipments[Confirmed_Qty],T_Shipments[RM_Code],$A89,T_Shipments[Effective_Week],47)</f>
        <v/>
      </c>
      <c r="AW89">
        <f>SUMIFS(T_Shipments[Confirmed_Qty],T_Shipments[RM_Code],$A89,T_Shipments[Effective_Week],48)</f>
        <v/>
      </c>
      <c r="AX89">
        <f>SUMIFS(T_Shipments[Confirmed_Qty],T_Shipments[RM_Code],$A89,T_Shipments[Effective_Week],49)</f>
        <v/>
      </c>
      <c r="AY89">
        <f>SUMIFS(T_Shipments[Confirmed_Qty],T_Shipments[RM_Code],$A89,T_Shipments[Effective_Week],50)</f>
        <v/>
      </c>
      <c r="AZ89">
        <f>SUMIFS(T_Shipments[Confirmed_Qty],T_Shipments[RM_Code],$A89,T_Shipments[Effective_Week],51)</f>
        <v/>
      </c>
      <c r="BA89">
        <f>SUMIFS(T_Shipments[Confirmed_Qty],T_Shipments[RM_Code],$A89,T_Shipments[Effective_Week],52)</f>
        <v/>
      </c>
      <c r="BB89">
        <f>SUMIFS(T_Shipments[Confirmed_Qty],T_Shipments[RM_Code],$A89,T_Shipments[Effective_Week],53)</f>
        <v/>
      </c>
      <c r="BC89">
        <f>SUMIFS(T_Shipments[Confirmed_Qty],T_Shipments[RM_Code],$A89,T_Shipments[Effective_Week],54)</f>
        <v/>
      </c>
      <c r="BD89">
        <f>SUMIFS(T_Shipments[Confirmed_Qty],T_Shipments[RM_Code],$A89,T_Shipments[Effective_Week],55)</f>
        <v/>
      </c>
      <c r="BE89">
        <f>SUMIFS(T_Shipments[Confirmed_Qty],T_Shipments[RM_Code],$A89,T_Shipments[Effective_Week],56)</f>
        <v/>
      </c>
      <c r="BF89">
        <f>SUMIFS(T_Shipments[Confirmed_Qty],T_Shipments[RM_Code],$A89,T_Shipments[Effective_Week],57)</f>
        <v/>
      </c>
      <c r="BG89">
        <f>SUMIFS(T_Shipments[Confirmed_Qty],T_Shipments[RM_Code],$A89,T_Shipments[Effective_Week],58)</f>
        <v/>
      </c>
      <c r="BH89">
        <f>SUMIFS(T_Shipments[Confirmed_Qty],T_Shipments[RM_Code],$A89,T_Shipments[Effective_Week],59)</f>
        <v/>
      </c>
      <c r="BI89">
        <f>SUMIFS(T_Shipments[Confirmed_Qty],T_Shipments[RM_Code],$A89,T_Shipments[Effective_Week],60)</f>
        <v/>
      </c>
      <c r="BJ89">
        <f>SUMIFS(T_Shipments[Confirmed_Qty],T_Shipments[RM_Code],$A89,T_Shipments[Effective_Week],61)</f>
        <v/>
      </c>
      <c r="BK89">
        <f>SUMIFS(T_Shipments[Confirmed_Qty],T_Shipments[RM_Code],$A89,T_Shipments[Effective_Week],62)</f>
        <v/>
      </c>
      <c r="BL89">
        <f>SUMIFS(T_Shipments[Confirmed_Qty],T_Shipments[RM_Code],$A89,T_Shipments[Effective_Week],63)</f>
        <v/>
      </c>
      <c r="BM89">
        <f>SUMIFS(T_Shipments[Confirmed_Qty],T_Shipments[RM_Code],$A89,T_Shipments[Effective_Week],64)</f>
        <v/>
      </c>
      <c r="BN89">
        <f>SUMIFS(T_Shipments[Confirmed_Qty],T_Shipments[RM_Code],$A89,T_Shipments[Effective_Week],65)</f>
        <v/>
      </c>
      <c r="BO89">
        <f>SUMIFS(T_Shipments[Confirmed_Qty],T_Shipments[RM_Code],$A89,T_Shipments[Effective_Week],66)</f>
        <v/>
      </c>
      <c r="BP89">
        <f>SUMIFS(T_Shipments[Confirmed_Qty],T_Shipments[RM_Code],$A89,T_Shipments[Effective_Week],67)</f>
        <v/>
      </c>
      <c r="BQ89">
        <f>SUMIFS(T_Shipments[Confirmed_Qty],T_Shipments[RM_Code],$A89,T_Shipments[Effective_Week],68)</f>
        <v/>
      </c>
      <c r="BR89">
        <f>SUMIFS(T_Shipments[Confirmed_Qty],T_Shipments[RM_Code],$A89,T_Shipments[Effective_Week],69)</f>
        <v/>
      </c>
      <c r="BS89">
        <f>SUMIFS(T_Shipments[Confirmed_Qty],T_Shipments[RM_Code],$A89,T_Shipments[Effective_Week],70)</f>
        <v/>
      </c>
      <c r="BT89">
        <f>SUMIFS(T_Shipments[Confirmed_Qty],T_Shipments[RM_Code],$A89,T_Shipments[Effective_Week],71)</f>
        <v/>
      </c>
      <c r="BU89">
        <f>SUMIFS(T_Shipments[Confirmed_Qty],T_Shipments[RM_Code],$A89,T_Shipments[Effective_Week],72)</f>
        <v/>
      </c>
      <c r="BV89">
        <f>SUMIFS(T_Shipments[Confirmed_Qty],T_Shipments[RM_Code],$A89,T_Shipments[Effective_Week],73)</f>
        <v/>
      </c>
      <c r="BW89">
        <f>SUMIFS(T_Shipments[Confirmed_Qty],T_Shipments[RM_Code],$A89,T_Shipments[Effective_Week],74)</f>
        <v/>
      </c>
      <c r="BX89">
        <f>SUMIFS(T_Shipments[Confirmed_Qty],T_Shipments[RM_Code],$A89,T_Shipments[Effective_Week],75)</f>
        <v/>
      </c>
      <c r="BY89">
        <f>SUMIFS(T_Shipments[Confirmed_Qty],T_Shipments[RM_Code],$A89,T_Shipments[Effective_Week],76)</f>
        <v/>
      </c>
      <c r="BZ89">
        <f>SUMIFS(T_Shipments[Confirmed_Qty],T_Shipments[RM_Code],$A89,T_Shipments[Effective_Week],77)</f>
        <v/>
      </c>
      <c r="CA89">
        <f>SUMIFS(T_Shipments[Confirmed_Qty],T_Shipments[RM_Code],$A89,T_Shipments[Effective_Week],78)</f>
        <v/>
      </c>
      <c r="CB89">
        <f>SUMIFS(T_Shipments[Confirmed_Qty],T_Shipments[RM_Code],$A89,T_Shipments[Effective_Week],79)</f>
        <v/>
      </c>
      <c r="CC89">
        <f>SUMIFS(T_Shipments[Confirmed_Qty],T_Shipments[RM_Code],$A89,T_Shipments[Effective_Week],80)</f>
        <v/>
      </c>
      <c r="CD89">
        <f>SUMIFS(T_Shipments[Confirmed_Qty],T_Shipments[RM_Code],$A89,T_Shipments[Effective_Week],81)</f>
        <v/>
      </c>
      <c r="CE89">
        <f>SUMIFS(T_Shipments[Confirmed_Qty],T_Shipments[RM_Code],$A89,T_Shipments[Effective_Week],82)</f>
        <v/>
      </c>
      <c r="CF89">
        <f>SUMIFS(T_Shipments[Confirmed_Qty],T_Shipments[RM_Code],$A89,T_Shipments[Effective_Week],83)</f>
        <v/>
      </c>
      <c r="CG89">
        <f>SUMIFS(T_Shipments[Confirmed_Qty],T_Shipments[RM_Code],$A89,T_Shipments[Effective_Week],84)</f>
        <v/>
      </c>
      <c r="CH89">
        <f>SUMIFS(T_Shipments[Confirmed_Qty],T_Shipments[RM_Code],$A89,T_Shipments[Effective_Week],85)</f>
        <v/>
      </c>
      <c r="CI89">
        <f>SUMIFS(T_Shipments[Confirmed_Qty],T_Shipments[RM_Code],$A89,T_Shipments[Effective_Week],86)</f>
        <v/>
      </c>
      <c r="CJ89">
        <f>SUMIFS(T_Shipments[Confirmed_Qty],T_Shipments[RM_Code],$A89,T_Shipments[Effective_Week],87)</f>
        <v/>
      </c>
      <c r="CK89">
        <f>SUMIFS(T_Shipments[Confirmed_Qty],T_Shipments[RM_Code],$A89,T_Shipments[Effective_Week],88)</f>
        <v/>
      </c>
      <c r="CL89">
        <f>SUMIFS(T_Shipments[Confirmed_Qty],T_Shipments[RM_Code],$A89,T_Shipments[Effective_Week],89)</f>
        <v/>
      </c>
      <c r="CM89">
        <f>SUMIFS(T_Shipments[Confirmed_Qty],T_Shipments[RM_Code],$A89,T_Shipments[Effective_Week],90)</f>
        <v/>
      </c>
      <c r="CN89">
        <f>SUMIFS(T_Shipments[Confirmed_Qty],T_Shipments[RM_Code],$A89,T_Shipments[Effective_Week],91)</f>
        <v/>
      </c>
      <c r="CO89">
        <f>SUMIFS(T_Shipments[Confirmed_Qty],T_Shipments[RM_Code],$A89,T_Shipments[Effective_Week],92)</f>
        <v/>
      </c>
      <c r="CP89">
        <f>SUMIFS(T_Shipments[Confirmed_Qty],T_Shipments[RM_Code],$A89,T_Shipments[Effective_Week],93)</f>
        <v/>
      </c>
      <c r="CQ89">
        <f>SUMIFS(T_Shipments[Confirmed_Qty],T_Shipments[RM_Code],$A89,T_Shipments[Effective_Week],94)</f>
        <v/>
      </c>
      <c r="CR89">
        <f>SUMIFS(T_Shipments[Confirmed_Qty],T_Shipments[RM_Code],$A89,T_Shipments[Effective_Week],95)</f>
        <v/>
      </c>
      <c r="CS89">
        <f>SUMIFS(T_Shipments[Confirmed_Qty],T_Shipments[RM_Code],$A89,T_Shipments[Effective_Week],96)</f>
        <v/>
      </c>
      <c r="CT89">
        <f>SUMIFS(T_Shipments[Confirmed_Qty],T_Shipments[RM_Code],$A89,T_Shipments[Effective_Week],97)</f>
        <v/>
      </c>
      <c r="CU89">
        <f>SUMIFS(T_Shipments[Confirmed_Qty],T_Shipments[RM_Code],$A89,T_Shipments[Effective_Week],98)</f>
        <v/>
      </c>
      <c r="CV89">
        <f>SUMIFS(T_Shipments[Confirmed_Qty],T_Shipments[RM_Code],$A89,T_Shipments[Effective_Week],99)</f>
        <v/>
      </c>
      <c r="CW89">
        <f>SUMIFS(T_Shipments[Confirmed_Qty],T_Shipments[RM_Code],$A89,T_Shipments[Effective_Week],100)</f>
        <v/>
      </c>
      <c r="CX89">
        <f>SUMIFS(T_Shipments[Confirmed_Qty],T_Shipments[RM_Code],$A89,T_Shipments[Effective_Week],101)</f>
        <v/>
      </c>
      <c r="CY89">
        <f>SUMIFS(T_Shipments[Confirmed_Qty],T_Shipments[RM_Code],$A89,T_Shipments[Effective_Week],102)</f>
        <v/>
      </c>
      <c r="CZ89">
        <f>SUMIFS(T_Shipments[Confirmed_Qty],T_Shipments[RM_Code],$A89,T_Shipments[Effective_Week],103)</f>
        <v/>
      </c>
      <c r="DA89">
        <f>SUMIFS(T_Shipments[Confirmed_Qty],T_Shipments[RM_Code],$A89,T_Shipments[Effective_Week],104)</f>
        <v/>
      </c>
    </row>
    <row r="90">
      <c r="A90" t="inlineStr">
        <is>
          <t>CHEM-1490</t>
        </is>
      </c>
      <c r="B90">
        <f>SUMIFS(T_Shipments[Confirmed_Qty],T_Shipments[RM_Code],$A90,T_Shipments[Effective_Week],1)</f>
        <v/>
      </c>
      <c r="C90">
        <f>SUMIFS(T_Shipments[Confirmed_Qty],T_Shipments[RM_Code],$A90,T_Shipments[Effective_Week],2)</f>
        <v/>
      </c>
      <c r="D90">
        <f>SUMIFS(T_Shipments[Confirmed_Qty],T_Shipments[RM_Code],$A90,T_Shipments[Effective_Week],3)</f>
        <v/>
      </c>
      <c r="E90">
        <f>SUMIFS(T_Shipments[Confirmed_Qty],T_Shipments[RM_Code],$A90,T_Shipments[Effective_Week],4)</f>
        <v/>
      </c>
      <c r="F90">
        <f>SUMIFS(T_Shipments[Confirmed_Qty],T_Shipments[RM_Code],$A90,T_Shipments[Effective_Week],5)</f>
        <v/>
      </c>
      <c r="G90">
        <f>SUMIFS(T_Shipments[Confirmed_Qty],T_Shipments[RM_Code],$A90,T_Shipments[Effective_Week],6)</f>
        <v/>
      </c>
      <c r="H90">
        <f>SUMIFS(T_Shipments[Confirmed_Qty],T_Shipments[RM_Code],$A90,T_Shipments[Effective_Week],7)</f>
        <v/>
      </c>
      <c r="I90">
        <f>SUMIFS(T_Shipments[Confirmed_Qty],T_Shipments[RM_Code],$A90,T_Shipments[Effective_Week],8)</f>
        <v/>
      </c>
      <c r="J90">
        <f>SUMIFS(T_Shipments[Confirmed_Qty],T_Shipments[RM_Code],$A90,T_Shipments[Effective_Week],9)</f>
        <v/>
      </c>
      <c r="K90">
        <f>SUMIFS(T_Shipments[Confirmed_Qty],T_Shipments[RM_Code],$A90,T_Shipments[Effective_Week],10)</f>
        <v/>
      </c>
      <c r="L90">
        <f>SUMIFS(T_Shipments[Confirmed_Qty],T_Shipments[RM_Code],$A90,T_Shipments[Effective_Week],11)</f>
        <v/>
      </c>
      <c r="M90">
        <f>SUMIFS(T_Shipments[Confirmed_Qty],T_Shipments[RM_Code],$A90,T_Shipments[Effective_Week],12)</f>
        <v/>
      </c>
      <c r="N90">
        <f>SUMIFS(T_Shipments[Confirmed_Qty],T_Shipments[RM_Code],$A90,T_Shipments[Effective_Week],13)</f>
        <v/>
      </c>
      <c r="O90">
        <f>SUMIFS(T_Shipments[Confirmed_Qty],T_Shipments[RM_Code],$A90,T_Shipments[Effective_Week],14)</f>
        <v/>
      </c>
      <c r="P90">
        <f>SUMIFS(T_Shipments[Confirmed_Qty],T_Shipments[RM_Code],$A90,T_Shipments[Effective_Week],15)</f>
        <v/>
      </c>
      <c r="Q90">
        <f>SUMIFS(T_Shipments[Confirmed_Qty],T_Shipments[RM_Code],$A90,T_Shipments[Effective_Week],16)</f>
        <v/>
      </c>
      <c r="R90">
        <f>SUMIFS(T_Shipments[Confirmed_Qty],T_Shipments[RM_Code],$A90,T_Shipments[Effective_Week],17)</f>
        <v/>
      </c>
      <c r="S90">
        <f>SUMIFS(T_Shipments[Confirmed_Qty],T_Shipments[RM_Code],$A90,T_Shipments[Effective_Week],18)</f>
        <v/>
      </c>
      <c r="T90">
        <f>SUMIFS(T_Shipments[Confirmed_Qty],T_Shipments[RM_Code],$A90,T_Shipments[Effective_Week],19)</f>
        <v/>
      </c>
      <c r="U90">
        <f>SUMIFS(T_Shipments[Confirmed_Qty],T_Shipments[RM_Code],$A90,T_Shipments[Effective_Week],20)</f>
        <v/>
      </c>
      <c r="V90">
        <f>SUMIFS(T_Shipments[Confirmed_Qty],T_Shipments[RM_Code],$A90,T_Shipments[Effective_Week],21)</f>
        <v/>
      </c>
      <c r="W90">
        <f>SUMIFS(T_Shipments[Confirmed_Qty],T_Shipments[RM_Code],$A90,T_Shipments[Effective_Week],22)</f>
        <v/>
      </c>
      <c r="X90">
        <f>SUMIFS(T_Shipments[Confirmed_Qty],T_Shipments[RM_Code],$A90,T_Shipments[Effective_Week],23)</f>
        <v/>
      </c>
      <c r="Y90">
        <f>SUMIFS(T_Shipments[Confirmed_Qty],T_Shipments[RM_Code],$A90,T_Shipments[Effective_Week],24)</f>
        <v/>
      </c>
      <c r="Z90">
        <f>SUMIFS(T_Shipments[Confirmed_Qty],T_Shipments[RM_Code],$A90,T_Shipments[Effective_Week],25)</f>
        <v/>
      </c>
      <c r="AA90">
        <f>SUMIFS(T_Shipments[Confirmed_Qty],T_Shipments[RM_Code],$A90,T_Shipments[Effective_Week],26)</f>
        <v/>
      </c>
      <c r="AB90">
        <f>SUMIFS(T_Shipments[Confirmed_Qty],T_Shipments[RM_Code],$A90,T_Shipments[Effective_Week],27)</f>
        <v/>
      </c>
      <c r="AC90">
        <f>SUMIFS(T_Shipments[Confirmed_Qty],T_Shipments[RM_Code],$A90,T_Shipments[Effective_Week],28)</f>
        <v/>
      </c>
      <c r="AD90">
        <f>SUMIFS(T_Shipments[Confirmed_Qty],T_Shipments[RM_Code],$A90,T_Shipments[Effective_Week],29)</f>
        <v/>
      </c>
      <c r="AE90">
        <f>SUMIFS(T_Shipments[Confirmed_Qty],T_Shipments[RM_Code],$A90,T_Shipments[Effective_Week],30)</f>
        <v/>
      </c>
      <c r="AF90">
        <f>SUMIFS(T_Shipments[Confirmed_Qty],T_Shipments[RM_Code],$A90,T_Shipments[Effective_Week],31)</f>
        <v/>
      </c>
      <c r="AG90">
        <f>SUMIFS(T_Shipments[Confirmed_Qty],T_Shipments[RM_Code],$A90,T_Shipments[Effective_Week],32)</f>
        <v/>
      </c>
      <c r="AH90">
        <f>SUMIFS(T_Shipments[Confirmed_Qty],T_Shipments[RM_Code],$A90,T_Shipments[Effective_Week],33)</f>
        <v/>
      </c>
      <c r="AI90">
        <f>SUMIFS(T_Shipments[Confirmed_Qty],T_Shipments[RM_Code],$A90,T_Shipments[Effective_Week],34)</f>
        <v/>
      </c>
      <c r="AJ90">
        <f>SUMIFS(T_Shipments[Confirmed_Qty],T_Shipments[RM_Code],$A90,T_Shipments[Effective_Week],35)</f>
        <v/>
      </c>
      <c r="AK90">
        <f>SUMIFS(T_Shipments[Confirmed_Qty],T_Shipments[RM_Code],$A90,T_Shipments[Effective_Week],36)</f>
        <v/>
      </c>
      <c r="AL90">
        <f>SUMIFS(T_Shipments[Confirmed_Qty],T_Shipments[RM_Code],$A90,T_Shipments[Effective_Week],37)</f>
        <v/>
      </c>
      <c r="AM90">
        <f>SUMIFS(T_Shipments[Confirmed_Qty],T_Shipments[RM_Code],$A90,T_Shipments[Effective_Week],38)</f>
        <v/>
      </c>
      <c r="AN90">
        <f>SUMIFS(T_Shipments[Confirmed_Qty],T_Shipments[RM_Code],$A90,T_Shipments[Effective_Week],39)</f>
        <v/>
      </c>
      <c r="AO90">
        <f>SUMIFS(T_Shipments[Confirmed_Qty],T_Shipments[RM_Code],$A90,T_Shipments[Effective_Week],40)</f>
        <v/>
      </c>
      <c r="AP90">
        <f>SUMIFS(T_Shipments[Confirmed_Qty],T_Shipments[RM_Code],$A90,T_Shipments[Effective_Week],41)</f>
        <v/>
      </c>
      <c r="AQ90">
        <f>SUMIFS(T_Shipments[Confirmed_Qty],T_Shipments[RM_Code],$A90,T_Shipments[Effective_Week],42)</f>
        <v/>
      </c>
      <c r="AR90">
        <f>SUMIFS(T_Shipments[Confirmed_Qty],T_Shipments[RM_Code],$A90,T_Shipments[Effective_Week],43)</f>
        <v/>
      </c>
      <c r="AS90">
        <f>SUMIFS(T_Shipments[Confirmed_Qty],T_Shipments[RM_Code],$A90,T_Shipments[Effective_Week],44)</f>
        <v/>
      </c>
      <c r="AT90">
        <f>SUMIFS(T_Shipments[Confirmed_Qty],T_Shipments[RM_Code],$A90,T_Shipments[Effective_Week],45)</f>
        <v/>
      </c>
      <c r="AU90">
        <f>SUMIFS(T_Shipments[Confirmed_Qty],T_Shipments[RM_Code],$A90,T_Shipments[Effective_Week],46)</f>
        <v/>
      </c>
      <c r="AV90">
        <f>SUMIFS(T_Shipments[Confirmed_Qty],T_Shipments[RM_Code],$A90,T_Shipments[Effective_Week],47)</f>
        <v/>
      </c>
      <c r="AW90">
        <f>SUMIFS(T_Shipments[Confirmed_Qty],T_Shipments[RM_Code],$A90,T_Shipments[Effective_Week],48)</f>
        <v/>
      </c>
      <c r="AX90">
        <f>SUMIFS(T_Shipments[Confirmed_Qty],T_Shipments[RM_Code],$A90,T_Shipments[Effective_Week],49)</f>
        <v/>
      </c>
      <c r="AY90">
        <f>SUMIFS(T_Shipments[Confirmed_Qty],T_Shipments[RM_Code],$A90,T_Shipments[Effective_Week],50)</f>
        <v/>
      </c>
      <c r="AZ90">
        <f>SUMIFS(T_Shipments[Confirmed_Qty],T_Shipments[RM_Code],$A90,T_Shipments[Effective_Week],51)</f>
        <v/>
      </c>
      <c r="BA90">
        <f>SUMIFS(T_Shipments[Confirmed_Qty],T_Shipments[RM_Code],$A90,T_Shipments[Effective_Week],52)</f>
        <v/>
      </c>
      <c r="BB90">
        <f>SUMIFS(T_Shipments[Confirmed_Qty],T_Shipments[RM_Code],$A90,T_Shipments[Effective_Week],53)</f>
        <v/>
      </c>
      <c r="BC90">
        <f>SUMIFS(T_Shipments[Confirmed_Qty],T_Shipments[RM_Code],$A90,T_Shipments[Effective_Week],54)</f>
        <v/>
      </c>
      <c r="BD90">
        <f>SUMIFS(T_Shipments[Confirmed_Qty],T_Shipments[RM_Code],$A90,T_Shipments[Effective_Week],55)</f>
        <v/>
      </c>
      <c r="BE90">
        <f>SUMIFS(T_Shipments[Confirmed_Qty],T_Shipments[RM_Code],$A90,T_Shipments[Effective_Week],56)</f>
        <v/>
      </c>
      <c r="BF90">
        <f>SUMIFS(T_Shipments[Confirmed_Qty],T_Shipments[RM_Code],$A90,T_Shipments[Effective_Week],57)</f>
        <v/>
      </c>
      <c r="BG90">
        <f>SUMIFS(T_Shipments[Confirmed_Qty],T_Shipments[RM_Code],$A90,T_Shipments[Effective_Week],58)</f>
        <v/>
      </c>
      <c r="BH90">
        <f>SUMIFS(T_Shipments[Confirmed_Qty],T_Shipments[RM_Code],$A90,T_Shipments[Effective_Week],59)</f>
        <v/>
      </c>
      <c r="BI90">
        <f>SUMIFS(T_Shipments[Confirmed_Qty],T_Shipments[RM_Code],$A90,T_Shipments[Effective_Week],60)</f>
        <v/>
      </c>
      <c r="BJ90">
        <f>SUMIFS(T_Shipments[Confirmed_Qty],T_Shipments[RM_Code],$A90,T_Shipments[Effective_Week],61)</f>
        <v/>
      </c>
      <c r="BK90">
        <f>SUMIFS(T_Shipments[Confirmed_Qty],T_Shipments[RM_Code],$A90,T_Shipments[Effective_Week],62)</f>
        <v/>
      </c>
      <c r="BL90">
        <f>SUMIFS(T_Shipments[Confirmed_Qty],T_Shipments[RM_Code],$A90,T_Shipments[Effective_Week],63)</f>
        <v/>
      </c>
      <c r="BM90">
        <f>SUMIFS(T_Shipments[Confirmed_Qty],T_Shipments[RM_Code],$A90,T_Shipments[Effective_Week],64)</f>
        <v/>
      </c>
      <c r="BN90">
        <f>SUMIFS(T_Shipments[Confirmed_Qty],T_Shipments[RM_Code],$A90,T_Shipments[Effective_Week],65)</f>
        <v/>
      </c>
      <c r="BO90">
        <f>SUMIFS(T_Shipments[Confirmed_Qty],T_Shipments[RM_Code],$A90,T_Shipments[Effective_Week],66)</f>
        <v/>
      </c>
      <c r="BP90">
        <f>SUMIFS(T_Shipments[Confirmed_Qty],T_Shipments[RM_Code],$A90,T_Shipments[Effective_Week],67)</f>
        <v/>
      </c>
      <c r="BQ90">
        <f>SUMIFS(T_Shipments[Confirmed_Qty],T_Shipments[RM_Code],$A90,T_Shipments[Effective_Week],68)</f>
        <v/>
      </c>
      <c r="BR90">
        <f>SUMIFS(T_Shipments[Confirmed_Qty],T_Shipments[RM_Code],$A90,T_Shipments[Effective_Week],69)</f>
        <v/>
      </c>
      <c r="BS90">
        <f>SUMIFS(T_Shipments[Confirmed_Qty],T_Shipments[RM_Code],$A90,T_Shipments[Effective_Week],70)</f>
        <v/>
      </c>
      <c r="BT90">
        <f>SUMIFS(T_Shipments[Confirmed_Qty],T_Shipments[RM_Code],$A90,T_Shipments[Effective_Week],71)</f>
        <v/>
      </c>
      <c r="BU90">
        <f>SUMIFS(T_Shipments[Confirmed_Qty],T_Shipments[RM_Code],$A90,T_Shipments[Effective_Week],72)</f>
        <v/>
      </c>
      <c r="BV90">
        <f>SUMIFS(T_Shipments[Confirmed_Qty],T_Shipments[RM_Code],$A90,T_Shipments[Effective_Week],73)</f>
        <v/>
      </c>
      <c r="BW90">
        <f>SUMIFS(T_Shipments[Confirmed_Qty],T_Shipments[RM_Code],$A90,T_Shipments[Effective_Week],74)</f>
        <v/>
      </c>
      <c r="BX90">
        <f>SUMIFS(T_Shipments[Confirmed_Qty],T_Shipments[RM_Code],$A90,T_Shipments[Effective_Week],75)</f>
        <v/>
      </c>
      <c r="BY90">
        <f>SUMIFS(T_Shipments[Confirmed_Qty],T_Shipments[RM_Code],$A90,T_Shipments[Effective_Week],76)</f>
        <v/>
      </c>
      <c r="BZ90">
        <f>SUMIFS(T_Shipments[Confirmed_Qty],T_Shipments[RM_Code],$A90,T_Shipments[Effective_Week],77)</f>
        <v/>
      </c>
      <c r="CA90">
        <f>SUMIFS(T_Shipments[Confirmed_Qty],T_Shipments[RM_Code],$A90,T_Shipments[Effective_Week],78)</f>
        <v/>
      </c>
      <c r="CB90">
        <f>SUMIFS(T_Shipments[Confirmed_Qty],T_Shipments[RM_Code],$A90,T_Shipments[Effective_Week],79)</f>
        <v/>
      </c>
      <c r="CC90">
        <f>SUMIFS(T_Shipments[Confirmed_Qty],T_Shipments[RM_Code],$A90,T_Shipments[Effective_Week],80)</f>
        <v/>
      </c>
      <c r="CD90">
        <f>SUMIFS(T_Shipments[Confirmed_Qty],T_Shipments[RM_Code],$A90,T_Shipments[Effective_Week],81)</f>
        <v/>
      </c>
      <c r="CE90">
        <f>SUMIFS(T_Shipments[Confirmed_Qty],T_Shipments[RM_Code],$A90,T_Shipments[Effective_Week],82)</f>
        <v/>
      </c>
      <c r="CF90">
        <f>SUMIFS(T_Shipments[Confirmed_Qty],T_Shipments[RM_Code],$A90,T_Shipments[Effective_Week],83)</f>
        <v/>
      </c>
      <c r="CG90">
        <f>SUMIFS(T_Shipments[Confirmed_Qty],T_Shipments[RM_Code],$A90,T_Shipments[Effective_Week],84)</f>
        <v/>
      </c>
      <c r="CH90">
        <f>SUMIFS(T_Shipments[Confirmed_Qty],T_Shipments[RM_Code],$A90,T_Shipments[Effective_Week],85)</f>
        <v/>
      </c>
      <c r="CI90">
        <f>SUMIFS(T_Shipments[Confirmed_Qty],T_Shipments[RM_Code],$A90,T_Shipments[Effective_Week],86)</f>
        <v/>
      </c>
      <c r="CJ90">
        <f>SUMIFS(T_Shipments[Confirmed_Qty],T_Shipments[RM_Code],$A90,T_Shipments[Effective_Week],87)</f>
        <v/>
      </c>
      <c r="CK90">
        <f>SUMIFS(T_Shipments[Confirmed_Qty],T_Shipments[RM_Code],$A90,T_Shipments[Effective_Week],88)</f>
        <v/>
      </c>
      <c r="CL90">
        <f>SUMIFS(T_Shipments[Confirmed_Qty],T_Shipments[RM_Code],$A90,T_Shipments[Effective_Week],89)</f>
        <v/>
      </c>
      <c r="CM90">
        <f>SUMIFS(T_Shipments[Confirmed_Qty],T_Shipments[RM_Code],$A90,T_Shipments[Effective_Week],90)</f>
        <v/>
      </c>
      <c r="CN90">
        <f>SUMIFS(T_Shipments[Confirmed_Qty],T_Shipments[RM_Code],$A90,T_Shipments[Effective_Week],91)</f>
        <v/>
      </c>
      <c r="CO90">
        <f>SUMIFS(T_Shipments[Confirmed_Qty],T_Shipments[RM_Code],$A90,T_Shipments[Effective_Week],92)</f>
        <v/>
      </c>
      <c r="CP90">
        <f>SUMIFS(T_Shipments[Confirmed_Qty],T_Shipments[RM_Code],$A90,T_Shipments[Effective_Week],93)</f>
        <v/>
      </c>
      <c r="CQ90">
        <f>SUMIFS(T_Shipments[Confirmed_Qty],T_Shipments[RM_Code],$A90,T_Shipments[Effective_Week],94)</f>
        <v/>
      </c>
      <c r="CR90">
        <f>SUMIFS(T_Shipments[Confirmed_Qty],T_Shipments[RM_Code],$A90,T_Shipments[Effective_Week],95)</f>
        <v/>
      </c>
      <c r="CS90">
        <f>SUMIFS(T_Shipments[Confirmed_Qty],T_Shipments[RM_Code],$A90,T_Shipments[Effective_Week],96)</f>
        <v/>
      </c>
      <c r="CT90">
        <f>SUMIFS(T_Shipments[Confirmed_Qty],T_Shipments[RM_Code],$A90,T_Shipments[Effective_Week],97)</f>
        <v/>
      </c>
      <c r="CU90">
        <f>SUMIFS(T_Shipments[Confirmed_Qty],T_Shipments[RM_Code],$A90,T_Shipments[Effective_Week],98)</f>
        <v/>
      </c>
      <c r="CV90">
        <f>SUMIFS(T_Shipments[Confirmed_Qty],T_Shipments[RM_Code],$A90,T_Shipments[Effective_Week],99)</f>
        <v/>
      </c>
      <c r="CW90">
        <f>SUMIFS(T_Shipments[Confirmed_Qty],T_Shipments[RM_Code],$A90,T_Shipments[Effective_Week],100)</f>
        <v/>
      </c>
      <c r="CX90">
        <f>SUMIFS(T_Shipments[Confirmed_Qty],T_Shipments[RM_Code],$A90,T_Shipments[Effective_Week],101)</f>
        <v/>
      </c>
      <c r="CY90">
        <f>SUMIFS(T_Shipments[Confirmed_Qty],T_Shipments[RM_Code],$A90,T_Shipments[Effective_Week],102)</f>
        <v/>
      </c>
      <c r="CZ90">
        <f>SUMIFS(T_Shipments[Confirmed_Qty],T_Shipments[RM_Code],$A90,T_Shipments[Effective_Week],103)</f>
        <v/>
      </c>
      <c r="DA90">
        <f>SUMIFS(T_Shipments[Confirmed_Qty],T_Shipments[RM_Code],$A90,T_Shipments[Effective_Week],104)</f>
        <v/>
      </c>
    </row>
    <row r="91">
      <c r="A91" t="inlineStr">
        <is>
          <t>CHEM-1610</t>
        </is>
      </c>
      <c r="B91">
        <f>SUMIFS(T_Shipments[Confirmed_Qty],T_Shipments[RM_Code],$A91,T_Shipments[Effective_Week],1)</f>
        <v/>
      </c>
      <c r="C91">
        <f>SUMIFS(T_Shipments[Confirmed_Qty],T_Shipments[RM_Code],$A91,T_Shipments[Effective_Week],2)</f>
        <v/>
      </c>
      <c r="D91">
        <f>SUMIFS(T_Shipments[Confirmed_Qty],T_Shipments[RM_Code],$A91,T_Shipments[Effective_Week],3)</f>
        <v/>
      </c>
      <c r="E91">
        <f>SUMIFS(T_Shipments[Confirmed_Qty],T_Shipments[RM_Code],$A91,T_Shipments[Effective_Week],4)</f>
        <v/>
      </c>
      <c r="F91">
        <f>SUMIFS(T_Shipments[Confirmed_Qty],T_Shipments[RM_Code],$A91,T_Shipments[Effective_Week],5)</f>
        <v/>
      </c>
      <c r="G91">
        <f>SUMIFS(T_Shipments[Confirmed_Qty],T_Shipments[RM_Code],$A91,T_Shipments[Effective_Week],6)</f>
        <v/>
      </c>
      <c r="H91">
        <f>SUMIFS(T_Shipments[Confirmed_Qty],T_Shipments[RM_Code],$A91,T_Shipments[Effective_Week],7)</f>
        <v/>
      </c>
      <c r="I91">
        <f>SUMIFS(T_Shipments[Confirmed_Qty],T_Shipments[RM_Code],$A91,T_Shipments[Effective_Week],8)</f>
        <v/>
      </c>
      <c r="J91">
        <f>SUMIFS(T_Shipments[Confirmed_Qty],T_Shipments[RM_Code],$A91,T_Shipments[Effective_Week],9)</f>
        <v/>
      </c>
      <c r="K91">
        <f>SUMIFS(T_Shipments[Confirmed_Qty],T_Shipments[RM_Code],$A91,T_Shipments[Effective_Week],10)</f>
        <v/>
      </c>
      <c r="L91">
        <f>SUMIFS(T_Shipments[Confirmed_Qty],T_Shipments[RM_Code],$A91,T_Shipments[Effective_Week],11)</f>
        <v/>
      </c>
      <c r="M91">
        <f>SUMIFS(T_Shipments[Confirmed_Qty],T_Shipments[RM_Code],$A91,T_Shipments[Effective_Week],12)</f>
        <v/>
      </c>
      <c r="N91">
        <f>SUMIFS(T_Shipments[Confirmed_Qty],T_Shipments[RM_Code],$A91,T_Shipments[Effective_Week],13)</f>
        <v/>
      </c>
      <c r="O91">
        <f>SUMIFS(T_Shipments[Confirmed_Qty],T_Shipments[RM_Code],$A91,T_Shipments[Effective_Week],14)</f>
        <v/>
      </c>
      <c r="P91">
        <f>SUMIFS(T_Shipments[Confirmed_Qty],T_Shipments[RM_Code],$A91,T_Shipments[Effective_Week],15)</f>
        <v/>
      </c>
      <c r="Q91">
        <f>SUMIFS(T_Shipments[Confirmed_Qty],T_Shipments[RM_Code],$A91,T_Shipments[Effective_Week],16)</f>
        <v/>
      </c>
      <c r="R91">
        <f>SUMIFS(T_Shipments[Confirmed_Qty],T_Shipments[RM_Code],$A91,T_Shipments[Effective_Week],17)</f>
        <v/>
      </c>
      <c r="S91">
        <f>SUMIFS(T_Shipments[Confirmed_Qty],T_Shipments[RM_Code],$A91,T_Shipments[Effective_Week],18)</f>
        <v/>
      </c>
      <c r="T91">
        <f>SUMIFS(T_Shipments[Confirmed_Qty],T_Shipments[RM_Code],$A91,T_Shipments[Effective_Week],19)</f>
        <v/>
      </c>
      <c r="U91">
        <f>SUMIFS(T_Shipments[Confirmed_Qty],T_Shipments[RM_Code],$A91,T_Shipments[Effective_Week],20)</f>
        <v/>
      </c>
      <c r="V91">
        <f>SUMIFS(T_Shipments[Confirmed_Qty],T_Shipments[RM_Code],$A91,T_Shipments[Effective_Week],21)</f>
        <v/>
      </c>
      <c r="W91">
        <f>SUMIFS(T_Shipments[Confirmed_Qty],T_Shipments[RM_Code],$A91,T_Shipments[Effective_Week],22)</f>
        <v/>
      </c>
      <c r="X91">
        <f>SUMIFS(T_Shipments[Confirmed_Qty],T_Shipments[RM_Code],$A91,T_Shipments[Effective_Week],23)</f>
        <v/>
      </c>
      <c r="Y91">
        <f>SUMIFS(T_Shipments[Confirmed_Qty],T_Shipments[RM_Code],$A91,T_Shipments[Effective_Week],24)</f>
        <v/>
      </c>
      <c r="Z91">
        <f>SUMIFS(T_Shipments[Confirmed_Qty],T_Shipments[RM_Code],$A91,T_Shipments[Effective_Week],25)</f>
        <v/>
      </c>
      <c r="AA91">
        <f>SUMIFS(T_Shipments[Confirmed_Qty],T_Shipments[RM_Code],$A91,T_Shipments[Effective_Week],26)</f>
        <v/>
      </c>
      <c r="AB91">
        <f>SUMIFS(T_Shipments[Confirmed_Qty],T_Shipments[RM_Code],$A91,T_Shipments[Effective_Week],27)</f>
        <v/>
      </c>
      <c r="AC91">
        <f>SUMIFS(T_Shipments[Confirmed_Qty],T_Shipments[RM_Code],$A91,T_Shipments[Effective_Week],28)</f>
        <v/>
      </c>
      <c r="AD91">
        <f>SUMIFS(T_Shipments[Confirmed_Qty],T_Shipments[RM_Code],$A91,T_Shipments[Effective_Week],29)</f>
        <v/>
      </c>
      <c r="AE91">
        <f>SUMIFS(T_Shipments[Confirmed_Qty],T_Shipments[RM_Code],$A91,T_Shipments[Effective_Week],30)</f>
        <v/>
      </c>
      <c r="AF91">
        <f>SUMIFS(T_Shipments[Confirmed_Qty],T_Shipments[RM_Code],$A91,T_Shipments[Effective_Week],31)</f>
        <v/>
      </c>
      <c r="AG91">
        <f>SUMIFS(T_Shipments[Confirmed_Qty],T_Shipments[RM_Code],$A91,T_Shipments[Effective_Week],32)</f>
        <v/>
      </c>
      <c r="AH91">
        <f>SUMIFS(T_Shipments[Confirmed_Qty],T_Shipments[RM_Code],$A91,T_Shipments[Effective_Week],33)</f>
        <v/>
      </c>
      <c r="AI91">
        <f>SUMIFS(T_Shipments[Confirmed_Qty],T_Shipments[RM_Code],$A91,T_Shipments[Effective_Week],34)</f>
        <v/>
      </c>
      <c r="AJ91">
        <f>SUMIFS(T_Shipments[Confirmed_Qty],T_Shipments[RM_Code],$A91,T_Shipments[Effective_Week],35)</f>
        <v/>
      </c>
      <c r="AK91">
        <f>SUMIFS(T_Shipments[Confirmed_Qty],T_Shipments[RM_Code],$A91,T_Shipments[Effective_Week],36)</f>
        <v/>
      </c>
      <c r="AL91">
        <f>SUMIFS(T_Shipments[Confirmed_Qty],T_Shipments[RM_Code],$A91,T_Shipments[Effective_Week],37)</f>
        <v/>
      </c>
      <c r="AM91">
        <f>SUMIFS(T_Shipments[Confirmed_Qty],T_Shipments[RM_Code],$A91,T_Shipments[Effective_Week],38)</f>
        <v/>
      </c>
      <c r="AN91">
        <f>SUMIFS(T_Shipments[Confirmed_Qty],T_Shipments[RM_Code],$A91,T_Shipments[Effective_Week],39)</f>
        <v/>
      </c>
      <c r="AO91">
        <f>SUMIFS(T_Shipments[Confirmed_Qty],T_Shipments[RM_Code],$A91,T_Shipments[Effective_Week],40)</f>
        <v/>
      </c>
      <c r="AP91">
        <f>SUMIFS(T_Shipments[Confirmed_Qty],T_Shipments[RM_Code],$A91,T_Shipments[Effective_Week],41)</f>
        <v/>
      </c>
      <c r="AQ91">
        <f>SUMIFS(T_Shipments[Confirmed_Qty],T_Shipments[RM_Code],$A91,T_Shipments[Effective_Week],42)</f>
        <v/>
      </c>
      <c r="AR91">
        <f>SUMIFS(T_Shipments[Confirmed_Qty],T_Shipments[RM_Code],$A91,T_Shipments[Effective_Week],43)</f>
        <v/>
      </c>
      <c r="AS91">
        <f>SUMIFS(T_Shipments[Confirmed_Qty],T_Shipments[RM_Code],$A91,T_Shipments[Effective_Week],44)</f>
        <v/>
      </c>
      <c r="AT91">
        <f>SUMIFS(T_Shipments[Confirmed_Qty],T_Shipments[RM_Code],$A91,T_Shipments[Effective_Week],45)</f>
        <v/>
      </c>
      <c r="AU91">
        <f>SUMIFS(T_Shipments[Confirmed_Qty],T_Shipments[RM_Code],$A91,T_Shipments[Effective_Week],46)</f>
        <v/>
      </c>
      <c r="AV91">
        <f>SUMIFS(T_Shipments[Confirmed_Qty],T_Shipments[RM_Code],$A91,T_Shipments[Effective_Week],47)</f>
        <v/>
      </c>
      <c r="AW91">
        <f>SUMIFS(T_Shipments[Confirmed_Qty],T_Shipments[RM_Code],$A91,T_Shipments[Effective_Week],48)</f>
        <v/>
      </c>
      <c r="AX91">
        <f>SUMIFS(T_Shipments[Confirmed_Qty],T_Shipments[RM_Code],$A91,T_Shipments[Effective_Week],49)</f>
        <v/>
      </c>
      <c r="AY91">
        <f>SUMIFS(T_Shipments[Confirmed_Qty],T_Shipments[RM_Code],$A91,T_Shipments[Effective_Week],50)</f>
        <v/>
      </c>
      <c r="AZ91">
        <f>SUMIFS(T_Shipments[Confirmed_Qty],T_Shipments[RM_Code],$A91,T_Shipments[Effective_Week],51)</f>
        <v/>
      </c>
      <c r="BA91">
        <f>SUMIFS(T_Shipments[Confirmed_Qty],T_Shipments[RM_Code],$A91,T_Shipments[Effective_Week],52)</f>
        <v/>
      </c>
      <c r="BB91">
        <f>SUMIFS(T_Shipments[Confirmed_Qty],T_Shipments[RM_Code],$A91,T_Shipments[Effective_Week],53)</f>
        <v/>
      </c>
      <c r="BC91">
        <f>SUMIFS(T_Shipments[Confirmed_Qty],T_Shipments[RM_Code],$A91,T_Shipments[Effective_Week],54)</f>
        <v/>
      </c>
      <c r="BD91">
        <f>SUMIFS(T_Shipments[Confirmed_Qty],T_Shipments[RM_Code],$A91,T_Shipments[Effective_Week],55)</f>
        <v/>
      </c>
      <c r="BE91">
        <f>SUMIFS(T_Shipments[Confirmed_Qty],T_Shipments[RM_Code],$A91,T_Shipments[Effective_Week],56)</f>
        <v/>
      </c>
      <c r="BF91">
        <f>SUMIFS(T_Shipments[Confirmed_Qty],T_Shipments[RM_Code],$A91,T_Shipments[Effective_Week],57)</f>
        <v/>
      </c>
      <c r="BG91">
        <f>SUMIFS(T_Shipments[Confirmed_Qty],T_Shipments[RM_Code],$A91,T_Shipments[Effective_Week],58)</f>
        <v/>
      </c>
      <c r="BH91">
        <f>SUMIFS(T_Shipments[Confirmed_Qty],T_Shipments[RM_Code],$A91,T_Shipments[Effective_Week],59)</f>
        <v/>
      </c>
      <c r="BI91">
        <f>SUMIFS(T_Shipments[Confirmed_Qty],T_Shipments[RM_Code],$A91,T_Shipments[Effective_Week],60)</f>
        <v/>
      </c>
      <c r="BJ91">
        <f>SUMIFS(T_Shipments[Confirmed_Qty],T_Shipments[RM_Code],$A91,T_Shipments[Effective_Week],61)</f>
        <v/>
      </c>
      <c r="BK91">
        <f>SUMIFS(T_Shipments[Confirmed_Qty],T_Shipments[RM_Code],$A91,T_Shipments[Effective_Week],62)</f>
        <v/>
      </c>
      <c r="BL91">
        <f>SUMIFS(T_Shipments[Confirmed_Qty],T_Shipments[RM_Code],$A91,T_Shipments[Effective_Week],63)</f>
        <v/>
      </c>
      <c r="BM91">
        <f>SUMIFS(T_Shipments[Confirmed_Qty],T_Shipments[RM_Code],$A91,T_Shipments[Effective_Week],64)</f>
        <v/>
      </c>
      <c r="BN91">
        <f>SUMIFS(T_Shipments[Confirmed_Qty],T_Shipments[RM_Code],$A91,T_Shipments[Effective_Week],65)</f>
        <v/>
      </c>
      <c r="BO91">
        <f>SUMIFS(T_Shipments[Confirmed_Qty],T_Shipments[RM_Code],$A91,T_Shipments[Effective_Week],66)</f>
        <v/>
      </c>
      <c r="BP91">
        <f>SUMIFS(T_Shipments[Confirmed_Qty],T_Shipments[RM_Code],$A91,T_Shipments[Effective_Week],67)</f>
        <v/>
      </c>
      <c r="BQ91">
        <f>SUMIFS(T_Shipments[Confirmed_Qty],T_Shipments[RM_Code],$A91,T_Shipments[Effective_Week],68)</f>
        <v/>
      </c>
      <c r="BR91">
        <f>SUMIFS(T_Shipments[Confirmed_Qty],T_Shipments[RM_Code],$A91,T_Shipments[Effective_Week],69)</f>
        <v/>
      </c>
      <c r="BS91">
        <f>SUMIFS(T_Shipments[Confirmed_Qty],T_Shipments[RM_Code],$A91,T_Shipments[Effective_Week],70)</f>
        <v/>
      </c>
      <c r="BT91">
        <f>SUMIFS(T_Shipments[Confirmed_Qty],T_Shipments[RM_Code],$A91,T_Shipments[Effective_Week],71)</f>
        <v/>
      </c>
      <c r="BU91">
        <f>SUMIFS(T_Shipments[Confirmed_Qty],T_Shipments[RM_Code],$A91,T_Shipments[Effective_Week],72)</f>
        <v/>
      </c>
      <c r="BV91">
        <f>SUMIFS(T_Shipments[Confirmed_Qty],T_Shipments[RM_Code],$A91,T_Shipments[Effective_Week],73)</f>
        <v/>
      </c>
      <c r="BW91">
        <f>SUMIFS(T_Shipments[Confirmed_Qty],T_Shipments[RM_Code],$A91,T_Shipments[Effective_Week],74)</f>
        <v/>
      </c>
      <c r="BX91">
        <f>SUMIFS(T_Shipments[Confirmed_Qty],T_Shipments[RM_Code],$A91,T_Shipments[Effective_Week],75)</f>
        <v/>
      </c>
      <c r="BY91">
        <f>SUMIFS(T_Shipments[Confirmed_Qty],T_Shipments[RM_Code],$A91,T_Shipments[Effective_Week],76)</f>
        <v/>
      </c>
      <c r="BZ91">
        <f>SUMIFS(T_Shipments[Confirmed_Qty],T_Shipments[RM_Code],$A91,T_Shipments[Effective_Week],77)</f>
        <v/>
      </c>
      <c r="CA91">
        <f>SUMIFS(T_Shipments[Confirmed_Qty],T_Shipments[RM_Code],$A91,T_Shipments[Effective_Week],78)</f>
        <v/>
      </c>
      <c r="CB91">
        <f>SUMIFS(T_Shipments[Confirmed_Qty],T_Shipments[RM_Code],$A91,T_Shipments[Effective_Week],79)</f>
        <v/>
      </c>
      <c r="CC91">
        <f>SUMIFS(T_Shipments[Confirmed_Qty],T_Shipments[RM_Code],$A91,T_Shipments[Effective_Week],80)</f>
        <v/>
      </c>
      <c r="CD91">
        <f>SUMIFS(T_Shipments[Confirmed_Qty],T_Shipments[RM_Code],$A91,T_Shipments[Effective_Week],81)</f>
        <v/>
      </c>
      <c r="CE91">
        <f>SUMIFS(T_Shipments[Confirmed_Qty],T_Shipments[RM_Code],$A91,T_Shipments[Effective_Week],82)</f>
        <v/>
      </c>
      <c r="CF91">
        <f>SUMIFS(T_Shipments[Confirmed_Qty],T_Shipments[RM_Code],$A91,T_Shipments[Effective_Week],83)</f>
        <v/>
      </c>
      <c r="CG91">
        <f>SUMIFS(T_Shipments[Confirmed_Qty],T_Shipments[RM_Code],$A91,T_Shipments[Effective_Week],84)</f>
        <v/>
      </c>
      <c r="CH91">
        <f>SUMIFS(T_Shipments[Confirmed_Qty],T_Shipments[RM_Code],$A91,T_Shipments[Effective_Week],85)</f>
        <v/>
      </c>
      <c r="CI91">
        <f>SUMIFS(T_Shipments[Confirmed_Qty],T_Shipments[RM_Code],$A91,T_Shipments[Effective_Week],86)</f>
        <v/>
      </c>
      <c r="CJ91">
        <f>SUMIFS(T_Shipments[Confirmed_Qty],T_Shipments[RM_Code],$A91,T_Shipments[Effective_Week],87)</f>
        <v/>
      </c>
      <c r="CK91">
        <f>SUMIFS(T_Shipments[Confirmed_Qty],T_Shipments[RM_Code],$A91,T_Shipments[Effective_Week],88)</f>
        <v/>
      </c>
      <c r="CL91">
        <f>SUMIFS(T_Shipments[Confirmed_Qty],T_Shipments[RM_Code],$A91,T_Shipments[Effective_Week],89)</f>
        <v/>
      </c>
      <c r="CM91">
        <f>SUMIFS(T_Shipments[Confirmed_Qty],T_Shipments[RM_Code],$A91,T_Shipments[Effective_Week],90)</f>
        <v/>
      </c>
      <c r="CN91">
        <f>SUMIFS(T_Shipments[Confirmed_Qty],T_Shipments[RM_Code],$A91,T_Shipments[Effective_Week],91)</f>
        <v/>
      </c>
      <c r="CO91">
        <f>SUMIFS(T_Shipments[Confirmed_Qty],T_Shipments[RM_Code],$A91,T_Shipments[Effective_Week],92)</f>
        <v/>
      </c>
      <c r="CP91">
        <f>SUMIFS(T_Shipments[Confirmed_Qty],T_Shipments[RM_Code],$A91,T_Shipments[Effective_Week],93)</f>
        <v/>
      </c>
      <c r="CQ91">
        <f>SUMIFS(T_Shipments[Confirmed_Qty],T_Shipments[RM_Code],$A91,T_Shipments[Effective_Week],94)</f>
        <v/>
      </c>
      <c r="CR91">
        <f>SUMIFS(T_Shipments[Confirmed_Qty],T_Shipments[RM_Code],$A91,T_Shipments[Effective_Week],95)</f>
        <v/>
      </c>
      <c r="CS91">
        <f>SUMIFS(T_Shipments[Confirmed_Qty],T_Shipments[RM_Code],$A91,T_Shipments[Effective_Week],96)</f>
        <v/>
      </c>
      <c r="CT91">
        <f>SUMIFS(T_Shipments[Confirmed_Qty],T_Shipments[RM_Code],$A91,T_Shipments[Effective_Week],97)</f>
        <v/>
      </c>
      <c r="CU91">
        <f>SUMIFS(T_Shipments[Confirmed_Qty],T_Shipments[RM_Code],$A91,T_Shipments[Effective_Week],98)</f>
        <v/>
      </c>
      <c r="CV91">
        <f>SUMIFS(T_Shipments[Confirmed_Qty],T_Shipments[RM_Code],$A91,T_Shipments[Effective_Week],99)</f>
        <v/>
      </c>
      <c r="CW91">
        <f>SUMIFS(T_Shipments[Confirmed_Qty],T_Shipments[RM_Code],$A91,T_Shipments[Effective_Week],100)</f>
        <v/>
      </c>
      <c r="CX91">
        <f>SUMIFS(T_Shipments[Confirmed_Qty],T_Shipments[RM_Code],$A91,T_Shipments[Effective_Week],101)</f>
        <v/>
      </c>
      <c r="CY91">
        <f>SUMIFS(T_Shipments[Confirmed_Qty],T_Shipments[RM_Code],$A91,T_Shipments[Effective_Week],102)</f>
        <v/>
      </c>
      <c r="CZ91">
        <f>SUMIFS(T_Shipments[Confirmed_Qty],T_Shipments[RM_Code],$A91,T_Shipments[Effective_Week],103)</f>
        <v/>
      </c>
      <c r="DA91">
        <f>SUMIFS(T_Shipments[Confirmed_Qty],T_Shipments[RM_Code],$A91,T_Shipments[Effective_Week],104)</f>
        <v/>
      </c>
    </row>
    <row r="92">
      <c r="A92" t="inlineStr">
        <is>
          <t>CHEM-1640</t>
        </is>
      </c>
      <c r="B92">
        <f>SUMIFS(T_Shipments[Confirmed_Qty],T_Shipments[RM_Code],$A92,T_Shipments[Effective_Week],1)</f>
        <v/>
      </c>
      <c r="C92">
        <f>SUMIFS(T_Shipments[Confirmed_Qty],T_Shipments[RM_Code],$A92,T_Shipments[Effective_Week],2)</f>
        <v/>
      </c>
      <c r="D92">
        <f>SUMIFS(T_Shipments[Confirmed_Qty],T_Shipments[RM_Code],$A92,T_Shipments[Effective_Week],3)</f>
        <v/>
      </c>
      <c r="E92">
        <f>SUMIFS(T_Shipments[Confirmed_Qty],T_Shipments[RM_Code],$A92,T_Shipments[Effective_Week],4)</f>
        <v/>
      </c>
      <c r="F92">
        <f>SUMIFS(T_Shipments[Confirmed_Qty],T_Shipments[RM_Code],$A92,T_Shipments[Effective_Week],5)</f>
        <v/>
      </c>
      <c r="G92">
        <f>SUMIFS(T_Shipments[Confirmed_Qty],T_Shipments[RM_Code],$A92,T_Shipments[Effective_Week],6)</f>
        <v/>
      </c>
      <c r="H92">
        <f>SUMIFS(T_Shipments[Confirmed_Qty],T_Shipments[RM_Code],$A92,T_Shipments[Effective_Week],7)</f>
        <v/>
      </c>
      <c r="I92">
        <f>SUMIFS(T_Shipments[Confirmed_Qty],T_Shipments[RM_Code],$A92,T_Shipments[Effective_Week],8)</f>
        <v/>
      </c>
      <c r="J92">
        <f>SUMIFS(T_Shipments[Confirmed_Qty],T_Shipments[RM_Code],$A92,T_Shipments[Effective_Week],9)</f>
        <v/>
      </c>
      <c r="K92">
        <f>SUMIFS(T_Shipments[Confirmed_Qty],T_Shipments[RM_Code],$A92,T_Shipments[Effective_Week],10)</f>
        <v/>
      </c>
      <c r="L92">
        <f>SUMIFS(T_Shipments[Confirmed_Qty],T_Shipments[RM_Code],$A92,T_Shipments[Effective_Week],11)</f>
        <v/>
      </c>
      <c r="M92">
        <f>SUMIFS(T_Shipments[Confirmed_Qty],T_Shipments[RM_Code],$A92,T_Shipments[Effective_Week],12)</f>
        <v/>
      </c>
      <c r="N92">
        <f>SUMIFS(T_Shipments[Confirmed_Qty],T_Shipments[RM_Code],$A92,T_Shipments[Effective_Week],13)</f>
        <v/>
      </c>
      <c r="O92">
        <f>SUMIFS(T_Shipments[Confirmed_Qty],T_Shipments[RM_Code],$A92,T_Shipments[Effective_Week],14)</f>
        <v/>
      </c>
      <c r="P92">
        <f>SUMIFS(T_Shipments[Confirmed_Qty],T_Shipments[RM_Code],$A92,T_Shipments[Effective_Week],15)</f>
        <v/>
      </c>
      <c r="Q92">
        <f>SUMIFS(T_Shipments[Confirmed_Qty],T_Shipments[RM_Code],$A92,T_Shipments[Effective_Week],16)</f>
        <v/>
      </c>
      <c r="R92">
        <f>SUMIFS(T_Shipments[Confirmed_Qty],T_Shipments[RM_Code],$A92,T_Shipments[Effective_Week],17)</f>
        <v/>
      </c>
      <c r="S92">
        <f>SUMIFS(T_Shipments[Confirmed_Qty],T_Shipments[RM_Code],$A92,T_Shipments[Effective_Week],18)</f>
        <v/>
      </c>
      <c r="T92">
        <f>SUMIFS(T_Shipments[Confirmed_Qty],T_Shipments[RM_Code],$A92,T_Shipments[Effective_Week],19)</f>
        <v/>
      </c>
      <c r="U92">
        <f>SUMIFS(T_Shipments[Confirmed_Qty],T_Shipments[RM_Code],$A92,T_Shipments[Effective_Week],20)</f>
        <v/>
      </c>
      <c r="V92">
        <f>SUMIFS(T_Shipments[Confirmed_Qty],T_Shipments[RM_Code],$A92,T_Shipments[Effective_Week],21)</f>
        <v/>
      </c>
      <c r="W92">
        <f>SUMIFS(T_Shipments[Confirmed_Qty],T_Shipments[RM_Code],$A92,T_Shipments[Effective_Week],22)</f>
        <v/>
      </c>
      <c r="X92">
        <f>SUMIFS(T_Shipments[Confirmed_Qty],T_Shipments[RM_Code],$A92,T_Shipments[Effective_Week],23)</f>
        <v/>
      </c>
      <c r="Y92">
        <f>SUMIFS(T_Shipments[Confirmed_Qty],T_Shipments[RM_Code],$A92,T_Shipments[Effective_Week],24)</f>
        <v/>
      </c>
      <c r="Z92">
        <f>SUMIFS(T_Shipments[Confirmed_Qty],T_Shipments[RM_Code],$A92,T_Shipments[Effective_Week],25)</f>
        <v/>
      </c>
      <c r="AA92">
        <f>SUMIFS(T_Shipments[Confirmed_Qty],T_Shipments[RM_Code],$A92,T_Shipments[Effective_Week],26)</f>
        <v/>
      </c>
      <c r="AB92">
        <f>SUMIFS(T_Shipments[Confirmed_Qty],T_Shipments[RM_Code],$A92,T_Shipments[Effective_Week],27)</f>
        <v/>
      </c>
      <c r="AC92">
        <f>SUMIFS(T_Shipments[Confirmed_Qty],T_Shipments[RM_Code],$A92,T_Shipments[Effective_Week],28)</f>
        <v/>
      </c>
      <c r="AD92">
        <f>SUMIFS(T_Shipments[Confirmed_Qty],T_Shipments[RM_Code],$A92,T_Shipments[Effective_Week],29)</f>
        <v/>
      </c>
      <c r="AE92">
        <f>SUMIFS(T_Shipments[Confirmed_Qty],T_Shipments[RM_Code],$A92,T_Shipments[Effective_Week],30)</f>
        <v/>
      </c>
      <c r="AF92">
        <f>SUMIFS(T_Shipments[Confirmed_Qty],T_Shipments[RM_Code],$A92,T_Shipments[Effective_Week],31)</f>
        <v/>
      </c>
      <c r="AG92">
        <f>SUMIFS(T_Shipments[Confirmed_Qty],T_Shipments[RM_Code],$A92,T_Shipments[Effective_Week],32)</f>
        <v/>
      </c>
      <c r="AH92">
        <f>SUMIFS(T_Shipments[Confirmed_Qty],T_Shipments[RM_Code],$A92,T_Shipments[Effective_Week],33)</f>
        <v/>
      </c>
      <c r="AI92">
        <f>SUMIFS(T_Shipments[Confirmed_Qty],T_Shipments[RM_Code],$A92,T_Shipments[Effective_Week],34)</f>
        <v/>
      </c>
      <c r="AJ92">
        <f>SUMIFS(T_Shipments[Confirmed_Qty],T_Shipments[RM_Code],$A92,T_Shipments[Effective_Week],35)</f>
        <v/>
      </c>
      <c r="AK92">
        <f>SUMIFS(T_Shipments[Confirmed_Qty],T_Shipments[RM_Code],$A92,T_Shipments[Effective_Week],36)</f>
        <v/>
      </c>
      <c r="AL92">
        <f>SUMIFS(T_Shipments[Confirmed_Qty],T_Shipments[RM_Code],$A92,T_Shipments[Effective_Week],37)</f>
        <v/>
      </c>
      <c r="AM92">
        <f>SUMIFS(T_Shipments[Confirmed_Qty],T_Shipments[RM_Code],$A92,T_Shipments[Effective_Week],38)</f>
        <v/>
      </c>
      <c r="AN92">
        <f>SUMIFS(T_Shipments[Confirmed_Qty],T_Shipments[RM_Code],$A92,T_Shipments[Effective_Week],39)</f>
        <v/>
      </c>
      <c r="AO92">
        <f>SUMIFS(T_Shipments[Confirmed_Qty],T_Shipments[RM_Code],$A92,T_Shipments[Effective_Week],40)</f>
        <v/>
      </c>
      <c r="AP92">
        <f>SUMIFS(T_Shipments[Confirmed_Qty],T_Shipments[RM_Code],$A92,T_Shipments[Effective_Week],41)</f>
        <v/>
      </c>
      <c r="AQ92">
        <f>SUMIFS(T_Shipments[Confirmed_Qty],T_Shipments[RM_Code],$A92,T_Shipments[Effective_Week],42)</f>
        <v/>
      </c>
      <c r="AR92">
        <f>SUMIFS(T_Shipments[Confirmed_Qty],T_Shipments[RM_Code],$A92,T_Shipments[Effective_Week],43)</f>
        <v/>
      </c>
      <c r="AS92">
        <f>SUMIFS(T_Shipments[Confirmed_Qty],T_Shipments[RM_Code],$A92,T_Shipments[Effective_Week],44)</f>
        <v/>
      </c>
      <c r="AT92">
        <f>SUMIFS(T_Shipments[Confirmed_Qty],T_Shipments[RM_Code],$A92,T_Shipments[Effective_Week],45)</f>
        <v/>
      </c>
      <c r="AU92">
        <f>SUMIFS(T_Shipments[Confirmed_Qty],T_Shipments[RM_Code],$A92,T_Shipments[Effective_Week],46)</f>
        <v/>
      </c>
      <c r="AV92">
        <f>SUMIFS(T_Shipments[Confirmed_Qty],T_Shipments[RM_Code],$A92,T_Shipments[Effective_Week],47)</f>
        <v/>
      </c>
      <c r="AW92">
        <f>SUMIFS(T_Shipments[Confirmed_Qty],T_Shipments[RM_Code],$A92,T_Shipments[Effective_Week],48)</f>
        <v/>
      </c>
      <c r="AX92">
        <f>SUMIFS(T_Shipments[Confirmed_Qty],T_Shipments[RM_Code],$A92,T_Shipments[Effective_Week],49)</f>
        <v/>
      </c>
      <c r="AY92">
        <f>SUMIFS(T_Shipments[Confirmed_Qty],T_Shipments[RM_Code],$A92,T_Shipments[Effective_Week],50)</f>
        <v/>
      </c>
      <c r="AZ92">
        <f>SUMIFS(T_Shipments[Confirmed_Qty],T_Shipments[RM_Code],$A92,T_Shipments[Effective_Week],51)</f>
        <v/>
      </c>
      <c r="BA92">
        <f>SUMIFS(T_Shipments[Confirmed_Qty],T_Shipments[RM_Code],$A92,T_Shipments[Effective_Week],52)</f>
        <v/>
      </c>
      <c r="BB92">
        <f>SUMIFS(T_Shipments[Confirmed_Qty],T_Shipments[RM_Code],$A92,T_Shipments[Effective_Week],53)</f>
        <v/>
      </c>
      <c r="BC92">
        <f>SUMIFS(T_Shipments[Confirmed_Qty],T_Shipments[RM_Code],$A92,T_Shipments[Effective_Week],54)</f>
        <v/>
      </c>
      <c r="BD92">
        <f>SUMIFS(T_Shipments[Confirmed_Qty],T_Shipments[RM_Code],$A92,T_Shipments[Effective_Week],55)</f>
        <v/>
      </c>
      <c r="BE92">
        <f>SUMIFS(T_Shipments[Confirmed_Qty],T_Shipments[RM_Code],$A92,T_Shipments[Effective_Week],56)</f>
        <v/>
      </c>
      <c r="BF92">
        <f>SUMIFS(T_Shipments[Confirmed_Qty],T_Shipments[RM_Code],$A92,T_Shipments[Effective_Week],57)</f>
        <v/>
      </c>
      <c r="BG92">
        <f>SUMIFS(T_Shipments[Confirmed_Qty],T_Shipments[RM_Code],$A92,T_Shipments[Effective_Week],58)</f>
        <v/>
      </c>
      <c r="BH92">
        <f>SUMIFS(T_Shipments[Confirmed_Qty],T_Shipments[RM_Code],$A92,T_Shipments[Effective_Week],59)</f>
        <v/>
      </c>
      <c r="BI92">
        <f>SUMIFS(T_Shipments[Confirmed_Qty],T_Shipments[RM_Code],$A92,T_Shipments[Effective_Week],60)</f>
        <v/>
      </c>
      <c r="BJ92">
        <f>SUMIFS(T_Shipments[Confirmed_Qty],T_Shipments[RM_Code],$A92,T_Shipments[Effective_Week],61)</f>
        <v/>
      </c>
      <c r="BK92">
        <f>SUMIFS(T_Shipments[Confirmed_Qty],T_Shipments[RM_Code],$A92,T_Shipments[Effective_Week],62)</f>
        <v/>
      </c>
      <c r="BL92">
        <f>SUMIFS(T_Shipments[Confirmed_Qty],T_Shipments[RM_Code],$A92,T_Shipments[Effective_Week],63)</f>
        <v/>
      </c>
      <c r="BM92">
        <f>SUMIFS(T_Shipments[Confirmed_Qty],T_Shipments[RM_Code],$A92,T_Shipments[Effective_Week],64)</f>
        <v/>
      </c>
      <c r="BN92">
        <f>SUMIFS(T_Shipments[Confirmed_Qty],T_Shipments[RM_Code],$A92,T_Shipments[Effective_Week],65)</f>
        <v/>
      </c>
      <c r="BO92">
        <f>SUMIFS(T_Shipments[Confirmed_Qty],T_Shipments[RM_Code],$A92,T_Shipments[Effective_Week],66)</f>
        <v/>
      </c>
      <c r="BP92">
        <f>SUMIFS(T_Shipments[Confirmed_Qty],T_Shipments[RM_Code],$A92,T_Shipments[Effective_Week],67)</f>
        <v/>
      </c>
      <c r="BQ92">
        <f>SUMIFS(T_Shipments[Confirmed_Qty],T_Shipments[RM_Code],$A92,T_Shipments[Effective_Week],68)</f>
        <v/>
      </c>
      <c r="BR92">
        <f>SUMIFS(T_Shipments[Confirmed_Qty],T_Shipments[RM_Code],$A92,T_Shipments[Effective_Week],69)</f>
        <v/>
      </c>
      <c r="BS92">
        <f>SUMIFS(T_Shipments[Confirmed_Qty],T_Shipments[RM_Code],$A92,T_Shipments[Effective_Week],70)</f>
        <v/>
      </c>
      <c r="BT92">
        <f>SUMIFS(T_Shipments[Confirmed_Qty],T_Shipments[RM_Code],$A92,T_Shipments[Effective_Week],71)</f>
        <v/>
      </c>
      <c r="BU92">
        <f>SUMIFS(T_Shipments[Confirmed_Qty],T_Shipments[RM_Code],$A92,T_Shipments[Effective_Week],72)</f>
        <v/>
      </c>
      <c r="BV92">
        <f>SUMIFS(T_Shipments[Confirmed_Qty],T_Shipments[RM_Code],$A92,T_Shipments[Effective_Week],73)</f>
        <v/>
      </c>
      <c r="BW92">
        <f>SUMIFS(T_Shipments[Confirmed_Qty],T_Shipments[RM_Code],$A92,T_Shipments[Effective_Week],74)</f>
        <v/>
      </c>
      <c r="BX92">
        <f>SUMIFS(T_Shipments[Confirmed_Qty],T_Shipments[RM_Code],$A92,T_Shipments[Effective_Week],75)</f>
        <v/>
      </c>
      <c r="BY92">
        <f>SUMIFS(T_Shipments[Confirmed_Qty],T_Shipments[RM_Code],$A92,T_Shipments[Effective_Week],76)</f>
        <v/>
      </c>
      <c r="BZ92">
        <f>SUMIFS(T_Shipments[Confirmed_Qty],T_Shipments[RM_Code],$A92,T_Shipments[Effective_Week],77)</f>
        <v/>
      </c>
      <c r="CA92">
        <f>SUMIFS(T_Shipments[Confirmed_Qty],T_Shipments[RM_Code],$A92,T_Shipments[Effective_Week],78)</f>
        <v/>
      </c>
      <c r="CB92">
        <f>SUMIFS(T_Shipments[Confirmed_Qty],T_Shipments[RM_Code],$A92,T_Shipments[Effective_Week],79)</f>
        <v/>
      </c>
      <c r="CC92">
        <f>SUMIFS(T_Shipments[Confirmed_Qty],T_Shipments[RM_Code],$A92,T_Shipments[Effective_Week],80)</f>
        <v/>
      </c>
      <c r="CD92">
        <f>SUMIFS(T_Shipments[Confirmed_Qty],T_Shipments[RM_Code],$A92,T_Shipments[Effective_Week],81)</f>
        <v/>
      </c>
      <c r="CE92">
        <f>SUMIFS(T_Shipments[Confirmed_Qty],T_Shipments[RM_Code],$A92,T_Shipments[Effective_Week],82)</f>
        <v/>
      </c>
      <c r="CF92">
        <f>SUMIFS(T_Shipments[Confirmed_Qty],T_Shipments[RM_Code],$A92,T_Shipments[Effective_Week],83)</f>
        <v/>
      </c>
      <c r="CG92">
        <f>SUMIFS(T_Shipments[Confirmed_Qty],T_Shipments[RM_Code],$A92,T_Shipments[Effective_Week],84)</f>
        <v/>
      </c>
      <c r="CH92">
        <f>SUMIFS(T_Shipments[Confirmed_Qty],T_Shipments[RM_Code],$A92,T_Shipments[Effective_Week],85)</f>
        <v/>
      </c>
      <c r="CI92">
        <f>SUMIFS(T_Shipments[Confirmed_Qty],T_Shipments[RM_Code],$A92,T_Shipments[Effective_Week],86)</f>
        <v/>
      </c>
      <c r="CJ92">
        <f>SUMIFS(T_Shipments[Confirmed_Qty],T_Shipments[RM_Code],$A92,T_Shipments[Effective_Week],87)</f>
        <v/>
      </c>
      <c r="CK92">
        <f>SUMIFS(T_Shipments[Confirmed_Qty],T_Shipments[RM_Code],$A92,T_Shipments[Effective_Week],88)</f>
        <v/>
      </c>
      <c r="CL92">
        <f>SUMIFS(T_Shipments[Confirmed_Qty],T_Shipments[RM_Code],$A92,T_Shipments[Effective_Week],89)</f>
        <v/>
      </c>
      <c r="CM92">
        <f>SUMIFS(T_Shipments[Confirmed_Qty],T_Shipments[RM_Code],$A92,T_Shipments[Effective_Week],90)</f>
        <v/>
      </c>
      <c r="CN92">
        <f>SUMIFS(T_Shipments[Confirmed_Qty],T_Shipments[RM_Code],$A92,T_Shipments[Effective_Week],91)</f>
        <v/>
      </c>
      <c r="CO92">
        <f>SUMIFS(T_Shipments[Confirmed_Qty],T_Shipments[RM_Code],$A92,T_Shipments[Effective_Week],92)</f>
        <v/>
      </c>
      <c r="CP92">
        <f>SUMIFS(T_Shipments[Confirmed_Qty],T_Shipments[RM_Code],$A92,T_Shipments[Effective_Week],93)</f>
        <v/>
      </c>
      <c r="CQ92">
        <f>SUMIFS(T_Shipments[Confirmed_Qty],T_Shipments[RM_Code],$A92,T_Shipments[Effective_Week],94)</f>
        <v/>
      </c>
      <c r="CR92">
        <f>SUMIFS(T_Shipments[Confirmed_Qty],T_Shipments[RM_Code],$A92,T_Shipments[Effective_Week],95)</f>
        <v/>
      </c>
      <c r="CS92">
        <f>SUMIFS(T_Shipments[Confirmed_Qty],T_Shipments[RM_Code],$A92,T_Shipments[Effective_Week],96)</f>
        <v/>
      </c>
      <c r="CT92">
        <f>SUMIFS(T_Shipments[Confirmed_Qty],T_Shipments[RM_Code],$A92,T_Shipments[Effective_Week],97)</f>
        <v/>
      </c>
      <c r="CU92">
        <f>SUMIFS(T_Shipments[Confirmed_Qty],T_Shipments[RM_Code],$A92,T_Shipments[Effective_Week],98)</f>
        <v/>
      </c>
      <c r="CV92">
        <f>SUMIFS(T_Shipments[Confirmed_Qty],T_Shipments[RM_Code],$A92,T_Shipments[Effective_Week],99)</f>
        <v/>
      </c>
      <c r="CW92">
        <f>SUMIFS(T_Shipments[Confirmed_Qty],T_Shipments[RM_Code],$A92,T_Shipments[Effective_Week],100)</f>
        <v/>
      </c>
      <c r="CX92">
        <f>SUMIFS(T_Shipments[Confirmed_Qty],T_Shipments[RM_Code],$A92,T_Shipments[Effective_Week],101)</f>
        <v/>
      </c>
      <c r="CY92">
        <f>SUMIFS(T_Shipments[Confirmed_Qty],T_Shipments[RM_Code],$A92,T_Shipments[Effective_Week],102)</f>
        <v/>
      </c>
      <c r="CZ92">
        <f>SUMIFS(T_Shipments[Confirmed_Qty],T_Shipments[RM_Code],$A92,T_Shipments[Effective_Week],103)</f>
        <v/>
      </c>
      <c r="DA92">
        <f>SUMIFS(T_Shipments[Confirmed_Qty],T_Shipments[RM_Code],$A92,T_Shipments[Effective_Week],104)</f>
        <v/>
      </c>
    </row>
    <row r="93">
      <c r="A93" t="inlineStr">
        <is>
          <t>CHEM-1030</t>
        </is>
      </c>
      <c r="B93">
        <f>SUMIFS(T_Shipments[Confirmed_Qty],T_Shipments[RM_Code],$A93,T_Shipments[Effective_Week],1)</f>
        <v/>
      </c>
      <c r="C93">
        <f>SUMIFS(T_Shipments[Confirmed_Qty],T_Shipments[RM_Code],$A93,T_Shipments[Effective_Week],2)</f>
        <v/>
      </c>
      <c r="D93">
        <f>SUMIFS(T_Shipments[Confirmed_Qty],T_Shipments[RM_Code],$A93,T_Shipments[Effective_Week],3)</f>
        <v/>
      </c>
      <c r="E93">
        <f>SUMIFS(T_Shipments[Confirmed_Qty],T_Shipments[RM_Code],$A93,T_Shipments[Effective_Week],4)</f>
        <v/>
      </c>
      <c r="F93">
        <f>SUMIFS(T_Shipments[Confirmed_Qty],T_Shipments[RM_Code],$A93,T_Shipments[Effective_Week],5)</f>
        <v/>
      </c>
      <c r="G93">
        <f>SUMIFS(T_Shipments[Confirmed_Qty],T_Shipments[RM_Code],$A93,T_Shipments[Effective_Week],6)</f>
        <v/>
      </c>
      <c r="H93">
        <f>SUMIFS(T_Shipments[Confirmed_Qty],T_Shipments[RM_Code],$A93,T_Shipments[Effective_Week],7)</f>
        <v/>
      </c>
      <c r="I93">
        <f>SUMIFS(T_Shipments[Confirmed_Qty],T_Shipments[RM_Code],$A93,T_Shipments[Effective_Week],8)</f>
        <v/>
      </c>
      <c r="J93">
        <f>SUMIFS(T_Shipments[Confirmed_Qty],T_Shipments[RM_Code],$A93,T_Shipments[Effective_Week],9)</f>
        <v/>
      </c>
      <c r="K93">
        <f>SUMIFS(T_Shipments[Confirmed_Qty],T_Shipments[RM_Code],$A93,T_Shipments[Effective_Week],10)</f>
        <v/>
      </c>
      <c r="L93">
        <f>SUMIFS(T_Shipments[Confirmed_Qty],T_Shipments[RM_Code],$A93,T_Shipments[Effective_Week],11)</f>
        <v/>
      </c>
      <c r="M93">
        <f>SUMIFS(T_Shipments[Confirmed_Qty],T_Shipments[RM_Code],$A93,T_Shipments[Effective_Week],12)</f>
        <v/>
      </c>
      <c r="N93">
        <f>SUMIFS(T_Shipments[Confirmed_Qty],T_Shipments[RM_Code],$A93,T_Shipments[Effective_Week],13)</f>
        <v/>
      </c>
      <c r="O93">
        <f>SUMIFS(T_Shipments[Confirmed_Qty],T_Shipments[RM_Code],$A93,T_Shipments[Effective_Week],14)</f>
        <v/>
      </c>
      <c r="P93">
        <f>SUMIFS(T_Shipments[Confirmed_Qty],T_Shipments[RM_Code],$A93,T_Shipments[Effective_Week],15)</f>
        <v/>
      </c>
      <c r="Q93">
        <f>SUMIFS(T_Shipments[Confirmed_Qty],T_Shipments[RM_Code],$A93,T_Shipments[Effective_Week],16)</f>
        <v/>
      </c>
      <c r="R93">
        <f>SUMIFS(T_Shipments[Confirmed_Qty],T_Shipments[RM_Code],$A93,T_Shipments[Effective_Week],17)</f>
        <v/>
      </c>
      <c r="S93">
        <f>SUMIFS(T_Shipments[Confirmed_Qty],T_Shipments[RM_Code],$A93,T_Shipments[Effective_Week],18)</f>
        <v/>
      </c>
      <c r="T93">
        <f>SUMIFS(T_Shipments[Confirmed_Qty],T_Shipments[RM_Code],$A93,T_Shipments[Effective_Week],19)</f>
        <v/>
      </c>
      <c r="U93">
        <f>SUMIFS(T_Shipments[Confirmed_Qty],T_Shipments[RM_Code],$A93,T_Shipments[Effective_Week],20)</f>
        <v/>
      </c>
      <c r="V93">
        <f>SUMIFS(T_Shipments[Confirmed_Qty],T_Shipments[RM_Code],$A93,T_Shipments[Effective_Week],21)</f>
        <v/>
      </c>
      <c r="W93">
        <f>SUMIFS(T_Shipments[Confirmed_Qty],T_Shipments[RM_Code],$A93,T_Shipments[Effective_Week],22)</f>
        <v/>
      </c>
      <c r="X93">
        <f>SUMIFS(T_Shipments[Confirmed_Qty],T_Shipments[RM_Code],$A93,T_Shipments[Effective_Week],23)</f>
        <v/>
      </c>
      <c r="Y93">
        <f>SUMIFS(T_Shipments[Confirmed_Qty],T_Shipments[RM_Code],$A93,T_Shipments[Effective_Week],24)</f>
        <v/>
      </c>
      <c r="Z93">
        <f>SUMIFS(T_Shipments[Confirmed_Qty],T_Shipments[RM_Code],$A93,T_Shipments[Effective_Week],25)</f>
        <v/>
      </c>
      <c r="AA93">
        <f>SUMIFS(T_Shipments[Confirmed_Qty],T_Shipments[RM_Code],$A93,T_Shipments[Effective_Week],26)</f>
        <v/>
      </c>
      <c r="AB93">
        <f>SUMIFS(T_Shipments[Confirmed_Qty],T_Shipments[RM_Code],$A93,T_Shipments[Effective_Week],27)</f>
        <v/>
      </c>
      <c r="AC93">
        <f>SUMIFS(T_Shipments[Confirmed_Qty],T_Shipments[RM_Code],$A93,T_Shipments[Effective_Week],28)</f>
        <v/>
      </c>
      <c r="AD93">
        <f>SUMIFS(T_Shipments[Confirmed_Qty],T_Shipments[RM_Code],$A93,T_Shipments[Effective_Week],29)</f>
        <v/>
      </c>
      <c r="AE93">
        <f>SUMIFS(T_Shipments[Confirmed_Qty],T_Shipments[RM_Code],$A93,T_Shipments[Effective_Week],30)</f>
        <v/>
      </c>
      <c r="AF93">
        <f>SUMIFS(T_Shipments[Confirmed_Qty],T_Shipments[RM_Code],$A93,T_Shipments[Effective_Week],31)</f>
        <v/>
      </c>
      <c r="AG93">
        <f>SUMIFS(T_Shipments[Confirmed_Qty],T_Shipments[RM_Code],$A93,T_Shipments[Effective_Week],32)</f>
        <v/>
      </c>
      <c r="AH93">
        <f>SUMIFS(T_Shipments[Confirmed_Qty],T_Shipments[RM_Code],$A93,T_Shipments[Effective_Week],33)</f>
        <v/>
      </c>
      <c r="AI93">
        <f>SUMIFS(T_Shipments[Confirmed_Qty],T_Shipments[RM_Code],$A93,T_Shipments[Effective_Week],34)</f>
        <v/>
      </c>
      <c r="AJ93">
        <f>SUMIFS(T_Shipments[Confirmed_Qty],T_Shipments[RM_Code],$A93,T_Shipments[Effective_Week],35)</f>
        <v/>
      </c>
      <c r="AK93">
        <f>SUMIFS(T_Shipments[Confirmed_Qty],T_Shipments[RM_Code],$A93,T_Shipments[Effective_Week],36)</f>
        <v/>
      </c>
      <c r="AL93">
        <f>SUMIFS(T_Shipments[Confirmed_Qty],T_Shipments[RM_Code],$A93,T_Shipments[Effective_Week],37)</f>
        <v/>
      </c>
      <c r="AM93">
        <f>SUMIFS(T_Shipments[Confirmed_Qty],T_Shipments[RM_Code],$A93,T_Shipments[Effective_Week],38)</f>
        <v/>
      </c>
      <c r="AN93">
        <f>SUMIFS(T_Shipments[Confirmed_Qty],T_Shipments[RM_Code],$A93,T_Shipments[Effective_Week],39)</f>
        <v/>
      </c>
      <c r="AO93">
        <f>SUMIFS(T_Shipments[Confirmed_Qty],T_Shipments[RM_Code],$A93,T_Shipments[Effective_Week],40)</f>
        <v/>
      </c>
      <c r="AP93">
        <f>SUMIFS(T_Shipments[Confirmed_Qty],T_Shipments[RM_Code],$A93,T_Shipments[Effective_Week],41)</f>
        <v/>
      </c>
      <c r="AQ93">
        <f>SUMIFS(T_Shipments[Confirmed_Qty],T_Shipments[RM_Code],$A93,T_Shipments[Effective_Week],42)</f>
        <v/>
      </c>
      <c r="AR93">
        <f>SUMIFS(T_Shipments[Confirmed_Qty],T_Shipments[RM_Code],$A93,T_Shipments[Effective_Week],43)</f>
        <v/>
      </c>
      <c r="AS93">
        <f>SUMIFS(T_Shipments[Confirmed_Qty],T_Shipments[RM_Code],$A93,T_Shipments[Effective_Week],44)</f>
        <v/>
      </c>
      <c r="AT93">
        <f>SUMIFS(T_Shipments[Confirmed_Qty],T_Shipments[RM_Code],$A93,T_Shipments[Effective_Week],45)</f>
        <v/>
      </c>
      <c r="AU93">
        <f>SUMIFS(T_Shipments[Confirmed_Qty],T_Shipments[RM_Code],$A93,T_Shipments[Effective_Week],46)</f>
        <v/>
      </c>
      <c r="AV93">
        <f>SUMIFS(T_Shipments[Confirmed_Qty],T_Shipments[RM_Code],$A93,T_Shipments[Effective_Week],47)</f>
        <v/>
      </c>
      <c r="AW93">
        <f>SUMIFS(T_Shipments[Confirmed_Qty],T_Shipments[RM_Code],$A93,T_Shipments[Effective_Week],48)</f>
        <v/>
      </c>
      <c r="AX93">
        <f>SUMIFS(T_Shipments[Confirmed_Qty],T_Shipments[RM_Code],$A93,T_Shipments[Effective_Week],49)</f>
        <v/>
      </c>
      <c r="AY93">
        <f>SUMIFS(T_Shipments[Confirmed_Qty],T_Shipments[RM_Code],$A93,T_Shipments[Effective_Week],50)</f>
        <v/>
      </c>
      <c r="AZ93">
        <f>SUMIFS(T_Shipments[Confirmed_Qty],T_Shipments[RM_Code],$A93,T_Shipments[Effective_Week],51)</f>
        <v/>
      </c>
      <c r="BA93">
        <f>SUMIFS(T_Shipments[Confirmed_Qty],T_Shipments[RM_Code],$A93,T_Shipments[Effective_Week],52)</f>
        <v/>
      </c>
      <c r="BB93">
        <f>SUMIFS(T_Shipments[Confirmed_Qty],T_Shipments[RM_Code],$A93,T_Shipments[Effective_Week],53)</f>
        <v/>
      </c>
      <c r="BC93">
        <f>SUMIFS(T_Shipments[Confirmed_Qty],T_Shipments[RM_Code],$A93,T_Shipments[Effective_Week],54)</f>
        <v/>
      </c>
      <c r="BD93">
        <f>SUMIFS(T_Shipments[Confirmed_Qty],T_Shipments[RM_Code],$A93,T_Shipments[Effective_Week],55)</f>
        <v/>
      </c>
      <c r="BE93">
        <f>SUMIFS(T_Shipments[Confirmed_Qty],T_Shipments[RM_Code],$A93,T_Shipments[Effective_Week],56)</f>
        <v/>
      </c>
      <c r="BF93">
        <f>SUMIFS(T_Shipments[Confirmed_Qty],T_Shipments[RM_Code],$A93,T_Shipments[Effective_Week],57)</f>
        <v/>
      </c>
      <c r="BG93">
        <f>SUMIFS(T_Shipments[Confirmed_Qty],T_Shipments[RM_Code],$A93,T_Shipments[Effective_Week],58)</f>
        <v/>
      </c>
      <c r="BH93">
        <f>SUMIFS(T_Shipments[Confirmed_Qty],T_Shipments[RM_Code],$A93,T_Shipments[Effective_Week],59)</f>
        <v/>
      </c>
      <c r="BI93">
        <f>SUMIFS(T_Shipments[Confirmed_Qty],T_Shipments[RM_Code],$A93,T_Shipments[Effective_Week],60)</f>
        <v/>
      </c>
      <c r="BJ93">
        <f>SUMIFS(T_Shipments[Confirmed_Qty],T_Shipments[RM_Code],$A93,T_Shipments[Effective_Week],61)</f>
        <v/>
      </c>
      <c r="BK93">
        <f>SUMIFS(T_Shipments[Confirmed_Qty],T_Shipments[RM_Code],$A93,T_Shipments[Effective_Week],62)</f>
        <v/>
      </c>
      <c r="BL93">
        <f>SUMIFS(T_Shipments[Confirmed_Qty],T_Shipments[RM_Code],$A93,T_Shipments[Effective_Week],63)</f>
        <v/>
      </c>
      <c r="BM93">
        <f>SUMIFS(T_Shipments[Confirmed_Qty],T_Shipments[RM_Code],$A93,T_Shipments[Effective_Week],64)</f>
        <v/>
      </c>
      <c r="BN93">
        <f>SUMIFS(T_Shipments[Confirmed_Qty],T_Shipments[RM_Code],$A93,T_Shipments[Effective_Week],65)</f>
        <v/>
      </c>
      <c r="BO93">
        <f>SUMIFS(T_Shipments[Confirmed_Qty],T_Shipments[RM_Code],$A93,T_Shipments[Effective_Week],66)</f>
        <v/>
      </c>
      <c r="BP93">
        <f>SUMIFS(T_Shipments[Confirmed_Qty],T_Shipments[RM_Code],$A93,T_Shipments[Effective_Week],67)</f>
        <v/>
      </c>
      <c r="BQ93">
        <f>SUMIFS(T_Shipments[Confirmed_Qty],T_Shipments[RM_Code],$A93,T_Shipments[Effective_Week],68)</f>
        <v/>
      </c>
      <c r="BR93">
        <f>SUMIFS(T_Shipments[Confirmed_Qty],T_Shipments[RM_Code],$A93,T_Shipments[Effective_Week],69)</f>
        <v/>
      </c>
      <c r="BS93">
        <f>SUMIFS(T_Shipments[Confirmed_Qty],T_Shipments[RM_Code],$A93,T_Shipments[Effective_Week],70)</f>
        <v/>
      </c>
      <c r="BT93">
        <f>SUMIFS(T_Shipments[Confirmed_Qty],T_Shipments[RM_Code],$A93,T_Shipments[Effective_Week],71)</f>
        <v/>
      </c>
      <c r="BU93">
        <f>SUMIFS(T_Shipments[Confirmed_Qty],T_Shipments[RM_Code],$A93,T_Shipments[Effective_Week],72)</f>
        <v/>
      </c>
      <c r="BV93">
        <f>SUMIFS(T_Shipments[Confirmed_Qty],T_Shipments[RM_Code],$A93,T_Shipments[Effective_Week],73)</f>
        <v/>
      </c>
      <c r="BW93">
        <f>SUMIFS(T_Shipments[Confirmed_Qty],T_Shipments[RM_Code],$A93,T_Shipments[Effective_Week],74)</f>
        <v/>
      </c>
      <c r="BX93">
        <f>SUMIFS(T_Shipments[Confirmed_Qty],T_Shipments[RM_Code],$A93,T_Shipments[Effective_Week],75)</f>
        <v/>
      </c>
      <c r="BY93">
        <f>SUMIFS(T_Shipments[Confirmed_Qty],T_Shipments[RM_Code],$A93,T_Shipments[Effective_Week],76)</f>
        <v/>
      </c>
      <c r="BZ93">
        <f>SUMIFS(T_Shipments[Confirmed_Qty],T_Shipments[RM_Code],$A93,T_Shipments[Effective_Week],77)</f>
        <v/>
      </c>
      <c r="CA93">
        <f>SUMIFS(T_Shipments[Confirmed_Qty],T_Shipments[RM_Code],$A93,T_Shipments[Effective_Week],78)</f>
        <v/>
      </c>
      <c r="CB93">
        <f>SUMIFS(T_Shipments[Confirmed_Qty],T_Shipments[RM_Code],$A93,T_Shipments[Effective_Week],79)</f>
        <v/>
      </c>
      <c r="CC93">
        <f>SUMIFS(T_Shipments[Confirmed_Qty],T_Shipments[RM_Code],$A93,T_Shipments[Effective_Week],80)</f>
        <v/>
      </c>
      <c r="CD93">
        <f>SUMIFS(T_Shipments[Confirmed_Qty],T_Shipments[RM_Code],$A93,T_Shipments[Effective_Week],81)</f>
        <v/>
      </c>
      <c r="CE93">
        <f>SUMIFS(T_Shipments[Confirmed_Qty],T_Shipments[RM_Code],$A93,T_Shipments[Effective_Week],82)</f>
        <v/>
      </c>
      <c r="CF93">
        <f>SUMIFS(T_Shipments[Confirmed_Qty],T_Shipments[RM_Code],$A93,T_Shipments[Effective_Week],83)</f>
        <v/>
      </c>
      <c r="CG93">
        <f>SUMIFS(T_Shipments[Confirmed_Qty],T_Shipments[RM_Code],$A93,T_Shipments[Effective_Week],84)</f>
        <v/>
      </c>
      <c r="CH93">
        <f>SUMIFS(T_Shipments[Confirmed_Qty],T_Shipments[RM_Code],$A93,T_Shipments[Effective_Week],85)</f>
        <v/>
      </c>
      <c r="CI93">
        <f>SUMIFS(T_Shipments[Confirmed_Qty],T_Shipments[RM_Code],$A93,T_Shipments[Effective_Week],86)</f>
        <v/>
      </c>
      <c r="CJ93">
        <f>SUMIFS(T_Shipments[Confirmed_Qty],T_Shipments[RM_Code],$A93,T_Shipments[Effective_Week],87)</f>
        <v/>
      </c>
      <c r="CK93">
        <f>SUMIFS(T_Shipments[Confirmed_Qty],T_Shipments[RM_Code],$A93,T_Shipments[Effective_Week],88)</f>
        <v/>
      </c>
      <c r="CL93">
        <f>SUMIFS(T_Shipments[Confirmed_Qty],T_Shipments[RM_Code],$A93,T_Shipments[Effective_Week],89)</f>
        <v/>
      </c>
      <c r="CM93">
        <f>SUMIFS(T_Shipments[Confirmed_Qty],T_Shipments[RM_Code],$A93,T_Shipments[Effective_Week],90)</f>
        <v/>
      </c>
      <c r="CN93">
        <f>SUMIFS(T_Shipments[Confirmed_Qty],T_Shipments[RM_Code],$A93,T_Shipments[Effective_Week],91)</f>
        <v/>
      </c>
      <c r="CO93">
        <f>SUMIFS(T_Shipments[Confirmed_Qty],T_Shipments[RM_Code],$A93,T_Shipments[Effective_Week],92)</f>
        <v/>
      </c>
      <c r="CP93">
        <f>SUMIFS(T_Shipments[Confirmed_Qty],T_Shipments[RM_Code],$A93,T_Shipments[Effective_Week],93)</f>
        <v/>
      </c>
      <c r="CQ93">
        <f>SUMIFS(T_Shipments[Confirmed_Qty],T_Shipments[RM_Code],$A93,T_Shipments[Effective_Week],94)</f>
        <v/>
      </c>
      <c r="CR93">
        <f>SUMIFS(T_Shipments[Confirmed_Qty],T_Shipments[RM_Code],$A93,T_Shipments[Effective_Week],95)</f>
        <v/>
      </c>
      <c r="CS93">
        <f>SUMIFS(T_Shipments[Confirmed_Qty],T_Shipments[RM_Code],$A93,T_Shipments[Effective_Week],96)</f>
        <v/>
      </c>
      <c r="CT93">
        <f>SUMIFS(T_Shipments[Confirmed_Qty],T_Shipments[RM_Code],$A93,T_Shipments[Effective_Week],97)</f>
        <v/>
      </c>
      <c r="CU93">
        <f>SUMIFS(T_Shipments[Confirmed_Qty],T_Shipments[RM_Code],$A93,T_Shipments[Effective_Week],98)</f>
        <v/>
      </c>
      <c r="CV93">
        <f>SUMIFS(T_Shipments[Confirmed_Qty],T_Shipments[RM_Code],$A93,T_Shipments[Effective_Week],99)</f>
        <v/>
      </c>
      <c r="CW93">
        <f>SUMIFS(T_Shipments[Confirmed_Qty],T_Shipments[RM_Code],$A93,T_Shipments[Effective_Week],100)</f>
        <v/>
      </c>
      <c r="CX93">
        <f>SUMIFS(T_Shipments[Confirmed_Qty],T_Shipments[RM_Code],$A93,T_Shipments[Effective_Week],101)</f>
        <v/>
      </c>
      <c r="CY93">
        <f>SUMIFS(T_Shipments[Confirmed_Qty],T_Shipments[RM_Code],$A93,T_Shipments[Effective_Week],102)</f>
        <v/>
      </c>
      <c r="CZ93">
        <f>SUMIFS(T_Shipments[Confirmed_Qty],T_Shipments[RM_Code],$A93,T_Shipments[Effective_Week],103)</f>
        <v/>
      </c>
      <c r="DA93">
        <f>SUMIFS(T_Shipments[Confirmed_Qty],T_Shipments[RM_Code],$A93,T_Shipments[Effective_Week],104)</f>
        <v/>
      </c>
    </row>
    <row r="94">
      <c r="A94" t="inlineStr">
        <is>
          <t>CHEM-1800</t>
        </is>
      </c>
      <c r="B94">
        <f>SUMIFS(T_Shipments[Confirmed_Qty],T_Shipments[RM_Code],$A94,T_Shipments[Effective_Week],1)</f>
        <v/>
      </c>
      <c r="C94">
        <f>SUMIFS(T_Shipments[Confirmed_Qty],T_Shipments[RM_Code],$A94,T_Shipments[Effective_Week],2)</f>
        <v/>
      </c>
      <c r="D94">
        <f>SUMIFS(T_Shipments[Confirmed_Qty],T_Shipments[RM_Code],$A94,T_Shipments[Effective_Week],3)</f>
        <v/>
      </c>
      <c r="E94">
        <f>SUMIFS(T_Shipments[Confirmed_Qty],T_Shipments[RM_Code],$A94,T_Shipments[Effective_Week],4)</f>
        <v/>
      </c>
      <c r="F94">
        <f>SUMIFS(T_Shipments[Confirmed_Qty],T_Shipments[RM_Code],$A94,T_Shipments[Effective_Week],5)</f>
        <v/>
      </c>
      <c r="G94">
        <f>SUMIFS(T_Shipments[Confirmed_Qty],T_Shipments[RM_Code],$A94,T_Shipments[Effective_Week],6)</f>
        <v/>
      </c>
      <c r="H94">
        <f>SUMIFS(T_Shipments[Confirmed_Qty],T_Shipments[RM_Code],$A94,T_Shipments[Effective_Week],7)</f>
        <v/>
      </c>
      <c r="I94">
        <f>SUMIFS(T_Shipments[Confirmed_Qty],T_Shipments[RM_Code],$A94,T_Shipments[Effective_Week],8)</f>
        <v/>
      </c>
      <c r="J94">
        <f>SUMIFS(T_Shipments[Confirmed_Qty],T_Shipments[RM_Code],$A94,T_Shipments[Effective_Week],9)</f>
        <v/>
      </c>
      <c r="K94">
        <f>SUMIFS(T_Shipments[Confirmed_Qty],T_Shipments[RM_Code],$A94,T_Shipments[Effective_Week],10)</f>
        <v/>
      </c>
      <c r="L94">
        <f>SUMIFS(T_Shipments[Confirmed_Qty],T_Shipments[RM_Code],$A94,T_Shipments[Effective_Week],11)</f>
        <v/>
      </c>
      <c r="M94">
        <f>SUMIFS(T_Shipments[Confirmed_Qty],T_Shipments[RM_Code],$A94,T_Shipments[Effective_Week],12)</f>
        <v/>
      </c>
      <c r="N94">
        <f>SUMIFS(T_Shipments[Confirmed_Qty],T_Shipments[RM_Code],$A94,T_Shipments[Effective_Week],13)</f>
        <v/>
      </c>
      <c r="O94">
        <f>SUMIFS(T_Shipments[Confirmed_Qty],T_Shipments[RM_Code],$A94,T_Shipments[Effective_Week],14)</f>
        <v/>
      </c>
      <c r="P94">
        <f>SUMIFS(T_Shipments[Confirmed_Qty],T_Shipments[RM_Code],$A94,T_Shipments[Effective_Week],15)</f>
        <v/>
      </c>
      <c r="Q94">
        <f>SUMIFS(T_Shipments[Confirmed_Qty],T_Shipments[RM_Code],$A94,T_Shipments[Effective_Week],16)</f>
        <v/>
      </c>
      <c r="R94">
        <f>SUMIFS(T_Shipments[Confirmed_Qty],T_Shipments[RM_Code],$A94,T_Shipments[Effective_Week],17)</f>
        <v/>
      </c>
      <c r="S94">
        <f>SUMIFS(T_Shipments[Confirmed_Qty],T_Shipments[RM_Code],$A94,T_Shipments[Effective_Week],18)</f>
        <v/>
      </c>
      <c r="T94">
        <f>SUMIFS(T_Shipments[Confirmed_Qty],T_Shipments[RM_Code],$A94,T_Shipments[Effective_Week],19)</f>
        <v/>
      </c>
      <c r="U94">
        <f>SUMIFS(T_Shipments[Confirmed_Qty],T_Shipments[RM_Code],$A94,T_Shipments[Effective_Week],20)</f>
        <v/>
      </c>
      <c r="V94">
        <f>SUMIFS(T_Shipments[Confirmed_Qty],T_Shipments[RM_Code],$A94,T_Shipments[Effective_Week],21)</f>
        <v/>
      </c>
      <c r="W94">
        <f>SUMIFS(T_Shipments[Confirmed_Qty],T_Shipments[RM_Code],$A94,T_Shipments[Effective_Week],22)</f>
        <v/>
      </c>
      <c r="X94">
        <f>SUMIFS(T_Shipments[Confirmed_Qty],T_Shipments[RM_Code],$A94,T_Shipments[Effective_Week],23)</f>
        <v/>
      </c>
      <c r="Y94">
        <f>SUMIFS(T_Shipments[Confirmed_Qty],T_Shipments[RM_Code],$A94,T_Shipments[Effective_Week],24)</f>
        <v/>
      </c>
      <c r="Z94">
        <f>SUMIFS(T_Shipments[Confirmed_Qty],T_Shipments[RM_Code],$A94,T_Shipments[Effective_Week],25)</f>
        <v/>
      </c>
      <c r="AA94">
        <f>SUMIFS(T_Shipments[Confirmed_Qty],T_Shipments[RM_Code],$A94,T_Shipments[Effective_Week],26)</f>
        <v/>
      </c>
      <c r="AB94">
        <f>SUMIFS(T_Shipments[Confirmed_Qty],T_Shipments[RM_Code],$A94,T_Shipments[Effective_Week],27)</f>
        <v/>
      </c>
      <c r="AC94">
        <f>SUMIFS(T_Shipments[Confirmed_Qty],T_Shipments[RM_Code],$A94,T_Shipments[Effective_Week],28)</f>
        <v/>
      </c>
      <c r="AD94">
        <f>SUMIFS(T_Shipments[Confirmed_Qty],T_Shipments[RM_Code],$A94,T_Shipments[Effective_Week],29)</f>
        <v/>
      </c>
      <c r="AE94">
        <f>SUMIFS(T_Shipments[Confirmed_Qty],T_Shipments[RM_Code],$A94,T_Shipments[Effective_Week],30)</f>
        <v/>
      </c>
      <c r="AF94">
        <f>SUMIFS(T_Shipments[Confirmed_Qty],T_Shipments[RM_Code],$A94,T_Shipments[Effective_Week],31)</f>
        <v/>
      </c>
      <c r="AG94">
        <f>SUMIFS(T_Shipments[Confirmed_Qty],T_Shipments[RM_Code],$A94,T_Shipments[Effective_Week],32)</f>
        <v/>
      </c>
      <c r="AH94">
        <f>SUMIFS(T_Shipments[Confirmed_Qty],T_Shipments[RM_Code],$A94,T_Shipments[Effective_Week],33)</f>
        <v/>
      </c>
      <c r="AI94">
        <f>SUMIFS(T_Shipments[Confirmed_Qty],T_Shipments[RM_Code],$A94,T_Shipments[Effective_Week],34)</f>
        <v/>
      </c>
      <c r="AJ94">
        <f>SUMIFS(T_Shipments[Confirmed_Qty],T_Shipments[RM_Code],$A94,T_Shipments[Effective_Week],35)</f>
        <v/>
      </c>
      <c r="AK94">
        <f>SUMIFS(T_Shipments[Confirmed_Qty],T_Shipments[RM_Code],$A94,T_Shipments[Effective_Week],36)</f>
        <v/>
      </c>
      <c r="AL94">
        <f>SUMIFS(T_Shipments[Confirmed_Qty],T_Shipments[RM_Code],$A94,T_Shipments[Effective_Week],37)</f>
        <v/>
      </c>
      <c r="AM94">
        <f>SUMIFS(T_Shipments[Confirmed_Qty],T_Shipments[RM_Code],$A94,T_Shipments[Effective_Week],38)</f>
        <v/>
      </c>
      <c r="AN94">
        <f>SUMIFS(T_Shipments[Confirmed_Qty],T_Shipments[RM_Code],$A94,T_Shipments[Effective_Week],39)</f>
        <v/>
      </c>
      <c r="AO94">
        <f>SUMIFS(T_Shipments[Confirmed_Qty],T_Shipments[RM_Code],$A94,T_Shipments[Effective_Week],40)</f>
        <v/>
      </c>
      <c r="AP94">
        <f>SUMIFS(T_Shipments[Confirmed_Qty],T_Shipments[RM_Code],$A94,T_Shipments[Effective_Week],41)</f>
        <v/>
      </c>
      <c r="AQ94">
        <f>SUMIFS(T_Shipments[Confirmed_Qty],T_Shipments[RM_Code],$A94,T_Shipments[Effective_Week],42)</f>
        <v/>
      </c>
      <c r="AR94">
        <f>SUMIFS(T_Shipments[Confirmed_Qty],T_Shipments[RM_Code],$A94,T_Shipments[Effective_Week],43)</f>
        <v/>
      </c>
      <c r="AS94">
        <f>SUMIFS(T_Shipments[Confirmed_Qty],T_Shipments[RM_Code],$A94,T_Shipments[Effective_Week],44)</f>
        <v/>
      </c>
      <c r="AT94">
        <f>SUMIFS(T_Shipments[Confirmed_Qty],T_Shipments[RM_Code],$A94,T_Shipments[Effective_Week],45)</f>
        <v/>
      </c>
      <c r="AU94">
        <f>SUMIFS(T_Shipments[Confirmed_Qty],T_Shipments[RM_Code],$A94,T_Shipments[Effective_Week],46)</f>
        <v/>
      </c>
      <c r="AV94">
        <f>SUMIFS(T_Shipments[Confirmed_Qty],T_Shipments[RM_Code],$A94,T_Shipments[Effective_Week],47)</f>
        <v/>
      </c>
      <c r="AW94">
        <f>SUMIFS(T_Shipments[Confirmed_Qty],T_Shipments[RM_Code],$A94,T_Shipments[Effective_Week],48)</f>
        <v/>
      </c>
      <c r="AX94">
        <f>SUMIFS(T_Shipments[Confirmed_Qty],T_Shipments[RM_Code],$A94,T_Shipments[Effective_Week],49)</f>
        <v/>
      </c>
      <c r="AY94">
        <f>SUMIFS(T_Shipments[Confirmed_Qty],T_Shipments[RM_Code],$A94,T_Shipments[Effective_Week],50)</f>
        <v/>
      </c>
      <c r="AZ94">
        <f>SUMIFS(T_Shipments[Confirmed_Qty],T_Shipments[RM_Code],$A94,T_Shipments[Effective_Week],51)</f>
        <v/>
      </c>
      <c r="BA94">
        <f>SUMIFS(T_Shipments[Confirmed_Qty],T_Shipments[RM_Code],$A94,T_Shipments[Effective_Week],52)</f>
        <v/>
      </c>
      <c r="BB94">
        <f>SUMIFS(T_Shipments[Confirmed_Qty],T_Shipments[RM_Code],$A94,T_Shipments[Effective_Week],53)</f>
        <v/>
      </c>
      <c r="BC94">
        <f>SUMIFS(T_Shipments[Confirmed_Qty],T_Shipments[RM_Code],$A94,T_Shipments[Effective_Week],54)</f>
        <v/>
      </c>
      <c r="BD94">
        <f>SUMIFS(T_Shipments[Confirmed_Qty],T_Shipments[RM_Code],$A94,T_Shipments[Effective_Week],55)</f>
        <v/>
      </c>
      <c r="BE94">
        <f>SUMIFS(T_Shipments[Confirmed_Qty],T_Shipments[RM_Code],$A94,T_Shipments[Effective_Week],56)</f>
        <v/>
      </c>
      <c r="BF94">
        <f>SUMIFS(T_Shipments[Confirmed_Qty],T_Shipments[RM_Code],$A94,T_Shipments[Effective_Week],57)</f>
        <v/>
      </c>
      <c r="BG94">
        <f>SUMIFS(T_Shipments[Confirmed_Qty],T_Shipments[RM_Code],$A94,T_Shipments[Effective_Week],58)</f>
        <v/>
      </c>
      <c r="BH94">
        <f>SUMIFS(T_Shipments[Confirmed_Qty],T_Shipments[RM_Code],$A94,T_Shipments[Effective_Week],59)</f>
        <v/>
      </c>
      <c r="BI94">
        <f>SUMIFS(T_Shipments[Confirmed_Qty],T_Shipments[RM_Code],$A94,T_Shipments[Effective_Week],60)</f>
        <v/>
      </c>
      <c r="BJ94">
        <f>SUMIFS(T_Shipments[Confirmed_Qty],T_Shipments[RM_Code],$A94,T_Shipments[Effective_Week],61)</f>
        <v/>
      </c>
      <c r="BK94">
        <f>SUMIFS(T_Shipments[Confirmed_Qty],T_Shipments[RM_Code],$A94,T_Shipments[Effective_Week],62)</f>
        <v/>
      </c>
      <c r="BL94">
        <f>SUMIFS(T_Shipments[Confirmed_Qty],T_Shipments[RM_Code],$A94,T_Shipments[Effective_Week],63)</f>
        <v/>
      </c>
      <c r="BM94">
        <f>SUMIFS(T_Shipments[Confirmed_Qty],T_Shipments[RM_Code],$A94,T_Shipments[Effective_Week],64)</f>
        <v/>
      </c>
      <c r="BN94">
        <f>SUMIFS(T_Shipments[Confirmed_Qty],T_Shipments[RM_Code],$A94,T_Shipments[Effective_Week],65)</f>
        <v/>
      </c>
      <c r="BO94">
        <f>SUMIFS(T_Shipments[Confirmed_Qty],T_Shipments[RM_Code],$A94,T_Shipments[Effective_Week],66)</f>
        <v/>
      </c>
      <c r="BP94">
        <f>SUMIFS(T_Shipments[Confirmed_Qty],T_Shipments[RM_Code],$A94,T_Shipments[Effective_Week],67)</f>
        <v/>
      </c>
      <c r="BQ94">
        <f>SUMIFS(T_Shipments[Confirmed_Qty],T_Shipments[RM_Code],$A94,T_Shipments[Effective_Week],68)</f>
        <v/>
      </c>
      <c r="BR94">
        <f>SUMIFS(T_Shipments[Confirmed_Qty],T_Shipments[RM_Code],$A94,T_Shipments[Effective_Week],69)</f>
        <v/>
      </c>
      <c r="BS94">
        <f>SUMIFS(T_Shipments[Confirmed_Qty],T_Shipments[RM_Code],$A94,T_Shipments[Effective_Week],70)</f>
        <v/>
      </c>
      <c r="BT94">
        <f>SUMIFS(T_Shipments[Confirmed_Qty],T_Shipments[RM_Code],$A94,T_Shipments[Effective_Week],71)</f>
        <v/>
      </c>
      <c r="BU94">
        <f>SUMIFS(T_Shipments[Confirmed_Qty],T_Shipments[RM_Code],$A94,T_Shipments[Effective_Week],72)</f>
        <v/>
      </c>
      <c r="BV94">
        <f>SUMIFS(T_Shipments[Confirmed_Qty],T_Shipments[RM_Code],$A94,T_Shipments[Effective_Week],73)</f>
        <v/>
      </c>
      <c r="BW94">
        <f>SUMIFS(T_Shipments[Confirmed_Qty],T_Shipments[RM_Code],$A94,T_Shipments[Effective_Week],74)</f>
        <v/>
      </c>
      <c r="BX94">
        <f>SUMIFS(T_Shipments[Confirmed_Qty],T_Shipments[RM_Code],$A94,T_Shipments[Effective_Week],75)</f>
        <v/>
      </c>
      <c r="BY94">
        <f>SUMIFS(T_Shipments[Confirmed_Qty],T_Shipments[RM_Code],$A94,T_Shipments[Effective_Week],76)</f>
        <v/>
      </c>
      <c r="BZ94">
        <f>SUMIFS(T_Shipments[Confirmed_Qty],T_Shipments[RM_Code],$A94,T_Shipments[Effective_Week],77)</f>
        <v/>
      </c>
      <c r="CA94">
        <f>SUMIFS(T_Shipments[Confirmed_Qty],T_Shipments[RM_Code],$A94,T_Shipments[Effective_Week],78)</f>
        <v/>
      </c>
      <c r="CB94">
        <f>SUMIFS(T_Shipments[Confirmed_Qty],T_Shipments[RM_Code],$A94,T_Shipments[Effective_Week],79)</f>
        <v/>
      </c>
      <c r="CC94">
        <f>SUMIFS(T_Shipments[Confirmed_Qty],T_Shipments[RM_Code],$A94,T_Shipments[Effective_Week],80)</f>
        <v/>
      </c>
      <c r="CD94">
        <f>SUMIFS(T_Shipments[Confirmed_Qty],T_Shipments[RM_Code],$A94,T_Shipments[Effective_Week],81)</f>
        <v/>
      </c>
      <c r="CE94">
        <f>SUMIFS(T_Shipments[Confirmed_Qty],T_Shipments[RM_Code],$A94,T_Shipments[Effective_Week],82)</f>
        <v/>
      </c>
      <c r="CF94">
        <f>SUMIFS(T_Shipments[Confirmed_Qty],T_Shipments[RM_Code],$A94,T_Shipments[Effective_Week],83)</f>
        <v/>
      </c>
      <c r="CG94">
        <f>SUMIFS(T_Shipments[Confirmed_Qty],T_Shipments[RM_Code],$A94,T_Shipments[Effective_Week],84)</f>
        <v/>
      </c>
      <c r="CH94">
        <f>SUMIFS(T_Shipments[Confirmed_Qty],T_Shipments[RM_Code],$A94,T_Shipments[Effective_Week],85)</f>
        <v/>
      </c>
      <c r="CI94">
        <f>SUMIFS(T_Shipments[Confirmed_Qty],T_Shipments[RM_Code],$A94,T_Shipments[Effective_Week],86)</f>
        <v/>
      </c>
      <c r="CJ94">
        <f>SUMIFS(T_Shipments[Confirmed_Qty],T_Shipments[RM_Code],$A94,T_Shipments[Effective_Week],87)</f>
        <v/>
      </c>
      <c r="CK94">
        <f>SUMIFS(T_Shipments[Confirmed_Qty],T_Shipments[RM_Code],$A94,T_Shipments[Effective_Week],88)</f>
        <v/>
      </c>
      <c r="CL94">
        <f>SUMIFS(T_Shipments[Confirmed_Qty],T_Shipments[RM_Code],$A94,T_Shipments[Effective_Week],89)</f>
        <v/>
      </c>
      <c r="CM94">
        <f>SUMIFS(T_Shipments[Confirmed_Qty],T_Shipments[RM_Code],$A94,T_Shipments[Effective_Week],90)</f>
        <v/>
      </c>
      <c r="CN94">
        <f>SUMIFS(T_Shipments[Confirmed_Qty],T_Shipments[RM_Code],$A94,T_Shipments[Effective_Week],91)</f>
        <v/>
      </c>
      <c r="CO94">
        <f>SUMIFS(T_Shipments[Confirmed_Qty],T_Shipments[RM_Code],$A94,T_Shipments[Effective_Week],92)</f>
        <v/>
      </c>
      <c r="CP94">
        <f>SUMIFS(T_Shipments[Confirmed_Qty],T_Shipments[RM_Code],$A94,T_Shipments[Effective_Week],93)</f>
        <v/>
      </c>
      <c r="CQ94">
        <f>SUMIFS(T_Shipments[Confirmed_Qty],T_Shipments[RM_Code],$A94,T_Shipments[Effective_Week],94)</f>
        <v/>
      </c>
      <c r="CR94">
        <f>SUMIFS(T_Shipments[Confirmed_Qty],T_Shipments[RM_Code],$A94,T_Shipments[Effective_Week],95)</f>
        <v/>
      </c>
      <c r="CS94">
        <f>SUMIFS(T_Shipments[Confirmed_Qty],T_Shipments[RM_Code],$A94,T_Shipments[Effective_Week],96)</f>
        <v/>
      </c>
      <c r="CT94">
        <f>SUMIFS(T_Shipments[Confirmed_Qty],T_Shipments[RM_Code],$A94,T_Shipments[Effective_Week],97)</f>
        <v/>
      </c>
      <c r="CU94">
        <f>SUMIFS(T_Shipments[Confirmed_Qty],T_Shipments[RM_Code],$A94,T_Shipments[Effective_Week],98)</f>
        <v/>
      </c>
      <c r="CV94">
        <f>SUMIFS(T_Shipments[Confirmed_Qty],T_Shipments[RM_Code],$A94,T_Shipments[Effective_Week],99)</f>
        <v/>
      </c>
      <c r="CW94">
        <f>SUMIFS(T_Shipments[Confirmed_Qty],T_Shipments[RM_Code],$A94,T_Shipments[Effective_Week],100)</f>
        <v/>
      </c>
      <c r="CX94">
        <f>SUMIFS(T_Shipments[Confirmed_Qty],T_Shipments[RM_Code],$A94,T_Shipments[Effective_Week],101)</f>
        <v/>
      </c>
      <c r="CY94">
        <f>SUMIFS(T_Shipments[Confirmed_Qty],T_Shipments[RM_Code],$A94,T_Shipments[Effective_Week],102)</f>
        <v/>
      </c>
      <c r="CZ94">
        <f>SUMIFS(T_Shipments[Confirmed_Qty],T_Shipments[RM_Code],$A94,T_Shipments[Effective_Week],103)</f>
        <v/>
      </c>
      <c r="DA94">
        <f>SUMIFS(T_Shipments[Confirmed_Qty],T_Shipments[RM_Code],$A94,T_Shipments[Effective_Week],104)</f>
        <v/>
      </c>
    </row>
    <row r="95">
      <c r="A95" t="inlineStr">
        <is>
          <t>CHEM-1710</t>
        </is>
      </c>
      <c r="B95">
        <f>SUMIFS(T_Shipments[Confirmed_Qty],T_Shipments[RM_Code],$A95,T_Shipments[Effective_Week],1)</f>
        <v/>
      </c>
      <c r="C95">
        <f>SUMIFS(T_Shipments[Confirmed_Qty],T_Shipments[RM_Code],$A95,T_Shipments[Effective_Week],2)</f>
        <v/>
      </c>
      <c r="D95">
        <f>SUMIFS(T_Shipments[Confirmed_Qty],T_Shipments[RM_Code],$A95,T_Shipments[Effective_Week],3)</f>
        <v/>
      </c>
      <c r="E95">
        <f>SUMIFS(T_Shipments[Confirmed_Qty],T_Shipments[RM_Code],$A95,T_Shipments[Effective_Week],4)</f>
        <v/>
      </c>
      <c r="F95">
        <f>SUMIFS(T_Shipments[Confirmed_Qty],T_Shipments[RM_Code],$A95,T_Shipments[Effective_Week],5)</f>
        <v/>
      </c>
      <c r="G95">
        <f>SUMIFS(T_Shipments[Confirmed_Qty],T_Shipments[RM_Code],$A95,T_Shipments[Effective_Week],6)</f>
        <v/>
      </c>
      <c r="H95">
        <f>SUMIFS(T_Shipments[Confirmed_Qty],T_Shipments[RM_Code],$A95,T_Shipments[Effective_Week],7)</f>
        <v/>
      </c>
      <c r="I95">
        <f>SUMIFS(T_Shipments[Confirmed_Qty],T_Shipments[RM_Code],$A95,T_Shipments[Effective_Week],8)</f>
        <v/>
      </c>
      <c r="J95">
        <f>SUMIFS(T_Shipments[Confirmed_Qty],T_Shipments[RM_Code],$A95,T_Shipments[Effective_Week],9)</f>
        <v/>
      </c>
      <c r="K95">
        <f>SUMIFS(T_Shipments[Confirmed_Qty],T_Shipments[RM_Code],$A95,T_Shipments[Effective_Week],10)</f>
        <v/>
      </c>
      <c r="L95">
        <f>SUMIFS(T_Shipments[Confirmed_Qty],T_Shipments[RM_Code],$A95,T_Shipments[Effective_Week],11)</f>
        <v/>
      </c>
      <c r="M95">
        <f>SUMIFS(T_Shipments[Confirmed_Qty],T_Shipments[RM_Code],$A95,T_Shipments[Effective_Week],12)</f>
        <v/>
      </c>
      <c r="N95">
        <f>SUMIFS(T_Shipments[Confirmed_Qty],T_Shipments[RM_Code],$A95,T_Shipments[Effective_Week],13)</f>
        <v/>
      </c>
      <c r="O95">
        <f>SUMIFS(T_Shipments[Confirmed_Qty],T_Shipments[RM_Code],$A95,T_Shipments[Effective_Week],14)</f>
        <v/>
      </c>
      <c r="P95">
        <f>SUMIFS(T_Shipments[Confirmed_Qty],T_Shipments[RM_Code],$A95,T_Shipments[Effective_Week],15)</f>
        <v/>
      </c>
      <c r="Q95">
        <f>SUMIFS(T_Shipments[Confirmed_Qty],T_Shipments[RM_Code],$A95,T_Shipments[Effective_Week],16)</f>
        <v/>
      </c>
      <c r="R95">
        <f>SUMIFS(T_Shipments[Confirmed_Qty],T_Shipments[RM_Code],$A95,T_Shipments[Effective_Week],17)</f>
        <v/>
      </c>
      <c r="S95">
        <f>SUMIFS(T_Shipments[Confirmed_Qty],T_Shipments[RM_Code],$A95,T_Shipments[Effective_Week],18)</f>
        <v/>
      </c>
      <c r="T95">
        <f>SUMIFS(T_Shipments[Confirmed_Qty],T_Shipments[RM_Code],$A95,T_Shipments[Effective_Week],19)</f>
        <v/>
      </c>
      <c r="U95">
        <f>SUMIFS(T_Shipments[Confirmed_Qty],T_Shipments[RM_Code],$A95,T_Shipments[Effective_Week],20)</f>
        <v/>
      </c>
      <c r="V95">
        <f>SUMIFS(T_Shipments[Confirmed_Qty],T_Shipments[RM_Code],$A95,T_Shipments[Effective_Week],21)</f>
        <v/>
      </c>
      <c r="W95">
        <f>SUMIFS(T_Shipments[Confirmed_Qty],T_Shipments[RM_Code],$A95,T_Shipments[Effective_Week],22)</f>
        <v/>
      </c>
      <c r="X95">
        <f>SUMIFS(T_Shipments[Confirmed_Qty],T_Shipments[RM_Code],$A95,T_Shipments[Effective_Week],23)</f>
        <v/>
      </c>
      <c r="Y95">
        <f>SUMIFS(T_Shipments[Confirmed_Qty],T_Shipments[RM_Code],$A95,T_Shipments[Effective_Week],24)</f>
        <v/>
      </c>
      <c r="Z95">
        <f>SUMIFS(T_Shipments[Confirmed_Qty],T_Shipments[RM_Code],$A95,T_Shipments[Effective_Week],25)</f>
        <v/>
      </c>
      <c r="AA95">
        <f>SUMIFS(T_Shipments[Confirmed_Qty],T_Shipments[RM_Code],$A95,T_Shipments[Effective_Week],26)</f>
        <v/>
      </c>
      <c r="AB95">
        <f>SUMIFS(T_Shipments[Confirmed_Qty],T_Shipments[RM_Code],$A95,T_Shipments[Effective_Week],27)</f>
        <v/>
      </c>
      <c r="AC95">
        <f>SUMIFS(T_Shipments[Confirmed_Qty],T_Shipments[RM_Code],$A95,T_Shipments[Effective_Week],28)</f>
        <v/>
      </c>
      <c r="AD95">
        <f>SUMIFS(T_Shipments[Confirmed_Qty],T_Shipments[RM_Code],$A95,T_Shipments[Effective_Week],29)</f>
        <v/>
      </c>
      <c r="AE95">
        <f>SUMIFS(T_Shipments[Confirmed_Qty],T_Shipments[RM_Code],$A95,T_Shipments[Effective_Week],30)</f>
        <v/>
      </c>
      <c r="AF95">
        <f>SUMIFS(T_Shipments[Confirmed_Qty],T_Shipments[RM_Code],$A95,T_Shipments[Effective_Week],31)</f>
        <v/>
      </c>
      <c r="AG95">
        <f>SUMIFS(T_Shipments[Confirmed_Qty],T_Shipments[RM_Code],$A95,T_Shipments[Effective_Week],32)</f>
        <v/>
      </c>
      <c r="AH95">
        <f>SUMIFS(T_Shipments[Confirmed_Qty],T_Shipments[RM_Code],$A95,T_Shipments[Effective_Week],33)</f>
        <v/>
      </c>
      <c r="AI95">
        <f>SUMIFS(T_Shipments[Confirmed_Qty],T_Shipments[RM_Code],$A95,T_Shipments[Effective_Week],34)</f>
        <v/>
      </c>
      <c r="AJ95">
        <f>SUMIFS(T_Shipments[Confirmed_Qty],T_Shipments[RM_Code],$A95,T_Shipments[Effective_Week],35)</f>
        <v/>
      </c>
      <c r="AK95">
        <f>SUMIFS(T_Shipments[Confirmed_Qty],T_Shipments[RM_Code],$A95,T_Shipments[Effective_Week],36)</f>
        <v/>
      </c>
      <c r="AL95">
        <f>SUMIFS(T_Shipments[Confirmed_Qty],T_Shipments[RM_Code],$A95,T_Shipments[Effective_Week],37)</f>
        <v/>
      </c>
      <c r="AM95">
        <f>SUMIFS(T_Shipments[Confirmed_Qty],T_Shipments[RM_Code],$A95,T_Shipments[Effective_Week],38)</f>
        <v/>
      </c>
      <c r="AN95">
        <f>SUMIFS(T_Shipments[Confirmed_Qty],T_Shipments[RM_Code],$A95,T_Shipments[Effective_Week],39)</f>
        <v/>
      </c>
      <c r="AO95">
        <f>SUMIFS(T_Shipments[Confirmed_Qty],T_Shipments[RM_Code],$A95,T_Shipments[Effective_Week],40)</f>
        <v/>
      </c>
      <c r="AP95">
        <f>SUMIFS(T_Shipments[Confirmed_Qty],T_Shipments[RM_Code],$A95,T_Shipments[Effective_Week],41)</f>
        <v/>
      </c>
      <c r="AQ95">
        <f>SUMIFS(T_Shipments[Confirmed_Qty],T_Shipments[RM_Code],$A95,T_Shipments[Effective_Week],42)</f>
        <v/>
      </c>
      <c r="AR95">
        <f>SUMIFS(T_Shipments[Confirmed_Qty],T_Shipments[RM_Code],$A95,T_Shipments[Effective_Week],43)</f>
        <v/>
      </c>
      <c r="AS95">
        <f>SUMIFS(T_Shipments[Confirmed_Qty],T_Shipments[RM_Code],$A95,T_Shipments[Effective_Week],44)</f>
        <v/>
      </c>
      <c r="AT95">
        <f>SUMIFS(T_Shipments[Confirmed_Qty],T_Shipments[RM_Code],$A95,T_Shipments[Effective_Week],45)</f>
        <v/>
      </c>
      <c r="AU95">
        <f>SUMIFS(T_Shipments[Confirmed_Qty],T_Shipments[RM_Code],$A95,T_Shipments[Effective_Week],46)</f>
        <v/>
      </c>
      <c r="AV95">
        <f>SUMIFS(T_Shipments[Confirmed_Qty],T_Shipments[RM_Code],$A95,T_Shipments[Effective_Week],47)</f>
        <v/>
      </c>
      <c r="AW95">
        <f>SUMIFS(T_Shipments[Confirmed_Qty],T_Shipments[RM_Code],$A95,T_Shipments[Effective_Week],48)</f>
        <v/>
      </c>
      <c r="AX95">
        <f>SUMIFS(T_Shipments[Confirmed_Qty],T_Shipments[RM_Code],$A95,T_Shipments[Effective_Week],49)</f>
        <v/>
      </c>
      <c r="AY95">
        <f>SUMIFS(T_Shipments[Confirmed_Qty],T_Shipments[RM_Code],$A95,T_Shipments[Effective_Week],50)</f>
        <v/>
      </c>
      <c r="AZ95">
        <f>SUMIFS(T_Shipments[Confirmed_Qty],T_Shipments[RM_Code],$A95,T_Shipments[Effective_Week],51)</f>
        <v/>
      </c>
      <c r="BA95">
        <f>SUMIFS(T_Shipments[Confirmed_Qty],T_Shipments[RM_Code],$A95,T_Shipments[Effective_Week],52)</f>
        <v/>
      </c>
      <c r="BB95">
        <f>SUMIFS(T_Shipments[Confirmed_Qty],T_Shipments[RM_Code],$A95,T_Shipments[Effective_Week],53)</f>
        <v/>
      </c>
      <c r="BC95">
        <f>SUMIFS(T_Shipments[Confirmed_Qty],T_Shipments[RM_Code],$A95,T_Shipments[Effective_Week],54)</f>
        <v/>
      </c>
      <c r="BD95">
        <f>SUMIFS(T_Shipments[Confirmed_Qty],T_Shipments[RM_Code],$A95,T_Shipments[Effective_Week],55)</f>
        <v/>
      </c>
      <c r="BE95">
        <f>SUMIFS(T_Shipments[Confirmed_Qty],T_Shipments[RM_Code],$A95,T_Shipments[Effective_Week],56)</f>
        <v/>
      </c>
      <c r="BF95">
        <f>SUMIFS(T_Shipments[Confirmed_Qty],T_Shipments[RM_Code],$A95,T_Shipments[Effective_Week],57)</f>
        <v/>
      </c>
      <c r="BG95">
        <f>SUMIFS(T_Shipments[Confirmed_Qty],T_Shipments[RM_Code],$A95,T_Shipments[Effective_Week],58)</f>
        <v/>
      </c>
      <c r="BH95">
        <f>SUMIFS(T_Shipments[Confirmed_Qty],T_Shipments[RM_Code],$A95,T_Shipments[Effective_Week],59)</f>
        <v/>
      </c>
      <c r="BI95">
        <f>SUMIFS(T_Shipments[Confirmed_Qty],T_Shipments[RM_Code],$A95,T_Shipments[Effective_Week],60)</f>
        <v/>
      </c>
      <c r="BJ95">
        <f>SUMIFS(T_Shipments[Confirmed_Qty],T_Shipments[RM_Code],$A95,T_Shipments[Effective_Week],61)</f>
        <v/>
      </c>
      <c r="BK95">
        <f>SUMIFS(T_Shipments[Confirmed_Qty],T_Shipments[RM_Code],$A95,T_Shipments[Effective_Week],62)</f>
        <v/>
      </c>
      <c r="BL95">
        <f>SUMIFS(T_Shipments[Confirmed_Qty],T_Shipments[RM_Code],$A95,T_Shipments[Effective_Week],63)</f>
        <v/>
      </c>
      <c r="BM95">
        <f>SUMIFS(T_Shipments[Confirmed_Qty],T_Shipments[RM_Code],$A95,T_Shipments[Effective_Week],64)</f>
        <v/>
      </c>
      <c r="BN95">
        <f>SUMIFS(T_Shipments[Confirmed_Qty],T_Shipments[RM_Code],$A95,T_Shipments[Effective_Week],65)</f>
        <v/>
      </c>
      <c r="BO95">
        <f>SUMIFS(T_Shipments[Confirmed_Qty],T_Shipments[RM_Code],$A95,T_Shipments[Effective_Week],66)</f>
        <v/>
      </c>
      <c r="BP95">
        <f>SUMIFS(T_Shipments[Confirmed_Qty],T_Shipments[RM_Code],$A95,T_Shipments[Effective_Week],67)</f>
        <v/>
      </c>
      <c r="BQ95">
        <f>SUMIFS(T_Shipments[Confirmed_Qty],T_Shipments[RM_Code],$A95,T_Shipments[Effective_Week],68)</f>
        <v/>
      </c>
      <c r="BR95">
        <f>SUMIFS(T_Shipments[Confirmed_Qty],T_Shipments[RM_Code],$A95,T_Shipments[Effective_Week],69)</f>
        <v/>
      </c>
      <c r="BS95">
        <f>SUMIFS(T_Shipments[Confirmed_Qty],T_Shipments[RM_Code],$A95,T_Shipments[Effective_Week],70)</f>
        <v/>
      </c>
      <c r="BT95">
        <f>SUMIFS(T_Shipments[Confirmed_Qty],T_Shipments[RM_Code],$A95,T_Shipments[Effective_Week],71)</f>
        <v/>
      </c>
      <c r="BU95">
        <f>SUMIFS(T_Shipments[Confirmed_Qty],T_Shipments[RM_Code],$A95,T_Shipments[Effective_Week],72)</f>
        <v/>
      </c>
      <c r="BV95">
        <f>SUMIFS(T_Shipments[Confirmed_Qty],T_Shipments[RM_Code],$A95,T_Shipments[Effective_Week],73)</f>
        <v/>
      </c>
      <c r="BW95">
        <f>SUMIFS(T_Shipments[Confirmed_Qty],T_Shipments[RM_Code],$A95,T_Shipments[Effective_Week],74)</f>
        <v/>
      </c>
      <c r="BX95">
        <f>SUMIFS(T_Shipments[Confirmed_Qty],T_Shipments[RM_Code],$A95,T_Shipments[Effective_Week],75)</f>
        <v/>
      </c>
      <c r="BY95">
        <f>SUMIFS(T_Shipments[Confirmed_Qty],T_Shipments[RM_Code],$A95,T_Shipments[Effective_Week],76)</f>
        <v/>
      </c>
      <c r="BZ95">
        <f>SUMIFS(T_Shipments[Confirmed_Qty],T_Shipments[RM_Code],$A95,T_Shipments[Effective_Week],77)</f>
        <v/>
      </c>
      <c r="CA95">
        <f>SUMIFS(T_Shipments[Confirmed_Qty],T_Shipments[RM_Code],$A95,T_Shipments[Effective_Week],78)</f>
        <v/>
      </c>
      <c r="CB95">
        <f>SUMIFS(T_Shipments[Confirmed_Qty],T_Shipments[RM_Code],$A95,T_Shipments[Effective_Week],79)</f>
        <v/>
      </c>
      <c r="CC95">
        <f>SUMIFS(T_Shipments[Confirmed_Qty],T_Shipments[RM_Code],$A95,T_Shipments[Effective_Week],80)</f>
        <v/>
      </c>
      <c r="CD95">
        <f>SUMIFS(T_Shipments[Confirmed_Qty],T_Shipments[RM_Code],$A95,T_Shipments[Effective_Week],81)</f>
        <v/>
      </c>
      <c r="CE95">
        <f>SUMIFS(T_Shipments[Confirmed_Qty],T_Shipments[RM_Code],$A95,T_Shipments[Effective_Week],82)</f>
        <v/>
      </c>
      <c r="CF95">
        <f>SUMIFS(T_Shipments[Confirmed_Qty],T_Shipments[RM_Code],$A95,T_Shipments[Effective_Week],83)</f>
        <v/>
      </c>
      <c r="CG95">
        <f>SUMIFS(T_Shipments[Confirmed_Qty],T_Shipments[RM_Code],$A95,T_Shipments[Effective_Week],84)</f>
        <v/>
      </c>
      <c r="CH95">
        <f>SUMIFS(T_Shipments[Confirmed_Qty],T_Shipments[RM_Code],$A95,T_Shipments[Effective_Week],85)</f>
        <v/>
      </c>
      <c r="CI95">
        <f>SUMIFS(T_Shipments[Confirmed_Qty],T_Shipments[RM_Code],$A95,T_Shipments[Effective_Week],86)</f>
        <v/>
      </c>
      <c r="CJ95">
        <f>SUMIFS(T_Shipments[Confirmed_Qty],T_Shipments[RM_Code],$A95,T_Shipments[Effective_Week],87)</f>
        <v/>
      </c>
      <c r="CK95">
        <f>SUMIFS(T_Shipments[Confirmed_Qty],T_Shipments[RM_Code],$A95,T_Shipments[Effective_Week],88)</f>
        <v/>
      </c>
      <c r="CL95">
        <f>SUMIFS(T_Shipments[Confirmed_Qty],T_Shipments[RM_Code],$A95,T_Shipments[Effective_Week],89)</f>
        <v/>
      </c>
      <c r="CM95">
        <f>SUMIFS(T_Shipments[Confirmed_Qty],T_Shipments[RM_Code],$A95,T_Shipments[Effective_Week],90)</f>
        <v/>
      </c>
      <c r="CN95">
        <f>SUMIFS(T_Shipments[Confirmed_Qty],T_Shipments[RM_Code],$A95,T_Shipments[Effective_Week],91)</f>
        <v/>
      </c>
      <c r="CO95">
        <f>SUMIFS(T_Shipments[Confirmed_Qty],T_Shipments[RM_Code],$A95,T_Shipments[Effective_Week],92)</f>
        <v/>
      </c>
      <c r="CP95">
        <f>SUMIFS(T_Shipments[Confirmed_Qty],T_Shipments[RM_Code],$A95,T_Shipments[Effective_Week],93)</f>
        <v/>
      </c>
      <c r="CQ95">
        <f>SUMIFS(T_Shipments[Confirmed_Qty],T_Shipments[RM_Code],$A95,T_Shipments[Effective_Week],94)</f>
        <v/>
      </c>
      <c r="CR95">
        <f>SUMIFS(T_Shipments[Confirmed_Qty],T_Shipments[RM_Code],$A95,T_Shipments[Effective_Week],95)</f>
        <v/>
      </c>
      <c r="CS95">
        <f>SUMIFS(T_Shipments[Confirmed_Qty],T_Shipments[RM_Code],$A95,T_Shipments[Effective_Week],96)</f>
        <v/>
      </c>
      <c r="CT95">
        <f>SUMIFS(T_Shipments[Confirmed_Qty],T_Shipments[RM_Code],$A95,T_Shipments[Effective_Week],97)</f>
        <v/>
      </c>
      <c r="CU95">
        <f>SUMIFS(T_Shipments[Confirmed_Qty],T_Shipments[RM_Code],$A95,T_Shipments[Effective_Week],98)</f>
        <v/>
      </c>
      <c r="CV95">
        <f>SUMIFS(T_Shipments[Confirmed_Qty],T_Shipments[RM_Code],$A95,T_Shipments[Effective_Week],99)</f>
        <v/>
      </c>
      <c r="CW95">
        <f>SUMIFS(T_Shipments[Confirmed_Qty],T_Shipments[RM_Code],$A95,T_Shipments[Effective_Week],100)</f>
        <v/>
      </c>
      <c r="CX95">
        <f>SUMIFS(T_Shipments[Confirmed_Qty],T_Shipments[RM_Code],$A95,T_Shipments[Effective_Week],101)</f>
        <v/>
      </c>
      <c r="CY95">
        <f>SUMIFS(T_Shipments[Confirmed_Qty],T_Shipments[RM_Code],$A95,T_Shipments[Effective_Week],102)</f>
        <v/>
      </c>
      <c r="CZ95">
        <f>SUMIFS(T_Shipments[Confirmed_Qty],T_Shipments[RM_Code],$A95,T_Shipments[Effective_Week],103)</f>
        <v/>
      </c>
      <c r="DA95">
        <f>SUMIFS(T_Shipments[Confirmed_Qty],T_Shipments[RM_Code],$A95,T_Shipments[Effective_Week],104)</f>
        <v/>
      </c>
    </row>
    <row r="96">
      <c r="A96" t="inlineStr">
        <is>
          <t>CHEM-1170</t>
        </is>
      </c>
      <c r="B96">
        <f>SUMIFS(T_Shipments[Confirmed_Qty],T_Shipments[RM_Code],$A96,T_Shipments[Effective_Week],1)</f>
        <v/>
      </c>
      <c r="C96">
        <f>SUMIFS(T_Shipments[Confirmed_Qty],T_Shipments[RM_Code],$A96,T_Shipments[Effective_Week],2)</f>
        <v/>
      </c>
      <c r="D96">
        <f>SUMIFS(T_Shipments[Confirmed_Qty],T_Shipments[RM_Code],$A96,T_Shipments[Effective_Week],3)</f>
        <v/>
      </c>
      <c r="E96">
        <f>SUMIFS(T_Shipments[Confirmed_Qty],T_Shipments[RM_Code],$A96,T_Shipments[Effective_Week],4)</f>
        <v/>
      </c>
      <c r="F96">
        <f>SUMIFS(T_Shipments[Confirmed_Qty],T_Shipments[RM_Code],$A96,T_Shipments[Effective_Week],5)</f>
        <v/>
      </c>
      <c r="G96">
        <f>SUMIFS(T_Shipments[Confirmed_Qty],T_Shipments[RM_Code],$A96,T_Shipments[Effective_Week],6)</f>
        <v/>
      </c>
      <c r="H96">
        <f>SUMIFS(T_Shipments[Confirmed_Qty],T_Shipments[RM_Code],$A96,T_Shipments[Effective_Week],7)</f>
        <v/>
      </c>
      <c r="I96">
        <f>SUMIFS(T_Shipments[Confirmed_Qty],T_Shipments[RM_Code],$A96,T_Shipments[Effective_Week],8)</f>
        <v/>
      </c>
      <c r="J96">
        <f>SUMIFS(T_Shipments[Confirmed_Qty],T_Shipments[RM_Code],$A96,T_Shipments[Effective_Week],9)</f>
        <v/>
      </c>
      <c r="K96">
        <f>SUMIFS(T_Shipments[Confirmed_Qty],T_Shipments[RM_Code],$A96,T_Shipments[Effective_Week],10)</f>
        <v/>
      </c>
      <c r="L96">
        <f>SUMIFS(T_Shipments[Confirmed_Qty],T_Shipments[RM_Code],$A96,T_Shipments[Effective_Week],11)</f>
        <v/>
      </c>
      <c r="M96">
        <f>SUMIFS(T_Shipments[Confirmed_Qty],T_Shipments[RM_Code],$A96,T_Shipments[Effective_Week],12)</f>
        <v/>
      </c>
      <c r="N96">
        <f>SUMIFS(T_Shipments[Confirmed_Qty],T_Shipments[RM_Code],$A96,T_Shipments[Effective_Week],13)</f>
        <v/>
      </c>
      <c r="O96">
        <f>SUMIFS(T_Shipments[Confirmed_Qty],T_Shipments[RM_Code],$A96,T_Shipments[Effective_Week],14)</f>
        <v/>
      </c>
      <c r="P96">
        <f>SUMIFS(T_Shipments[Confirmed_Qty],T_Shipments[RM_Code],$A96,T_Shipments[Effective_Week],15)</f>
        <v/>
      </c>
      <c r="Q96">
        <f>SUMIFS(T_Shipments[Confirmed_Qty],T_Shipments[RM_Code],$A96,T_Shipments[Effective_Week],16)</f>
        <v/>
      </c>
      <c r="R96">
        <f>SUMIFS(T_Shipments[Confirmed_Qty],T_Shipments[RM_Code],$A96,T_Shipments[Effective_Week],17)</f>
        <v/>
      </c>
      <c r="S96">
        <f>SUMIFS(T_Shipments[Confirmed_Qty],T_Shipments[RM_Code],$A96,T_Shipments[Effective_Week],18)</f>
        <v/>
      </c>
      <c r="T96">
        <f>SUMIFS(T_Shipments[Confirmed_Qty],T_Shipments[RM_Code],$A96,T_Shipments[Effective_Week],19)</f>
        <v/>
      </c>
      <c r="U96">
        <f>SUMIFS(T_Shipments[Confirmed_Qty],T_Shipments[RM_Code],$A96,T_Shipments[Effective_Week],20)</f>
        <v/>
      </c>
      <c r="V96">
        <f>SUMIFS(T_Shipments[Confirmed_Qty],T_Shipments[RM_Code],$A96,T_Shipments[Effective_Week],21)</f>
        <v/>
      </c>
      <c r="W96">
        <f>SUMIFS(T_Shipments[Confirmed_Qty],T_Shipments[RM_Code],$A96,T_Shipments[Effective_Week],22)</f>
        <v/>
      </c>
      <c r="X96">
        <f>SUMIFS(T_Shipments[Confirmed_Qty],T_Shipments[RM_Code],$A96,T_Shipments[Effective_Week],23)</f>
        <v/>
      </c>
      <c r="Y96">
        <f>SUMIFS(T_Shipments[Confirmed_Qty],T_Shipments[RM_Code],$A96,T_Shipments[Effective_Week],24)</f>
        <v/>
      </c>
      <c r="Z96">
        <f>SUMIFS(T_Shipments[Confirmed_Qty],T_Shipments[RM_Code],$A96,T_Shipments[Effective_Week],25)</f>
        <v/>
      </c>
      <c r="AA96">
        <f>SUMIFS(T_Shipments[Confirmed_Qty],T_Shipments[RM_Code],$A96,T_Shipments[Effective_Week],26)</f>
        <v/>
      </c>
      <c r="AB96">
        <f>SUMIFS(T_Shipments[Confirmed_Qty],T_Shipments[RM_Code],$A96,T_Shipments[Effective_Week],27)</f>
        <v/>
      </c>
      <c r="AC96">
        <f>SUMIFS(T_Shipments[Confirmed_Qty],T_Shipments[RM_Code],$A96,T_Shipments[Effective_Week],28)</f>
        <v/>
      </c>
      <c r="AD96">
        <f>SUMIFS(T_Shipments[Confirmed_Qty],T_Shipments[RM_Code],$A96,T_Shipments[Effective_Week],29)</f>
        <v/>
      </c>
      <c r="AE96">
        <f>SUMIFS(T_Shipments[Confirmed_Qty],T_Shipments[RM_Code],$A96,T_Shipments[Effective_Week],30)</f>
        <v/>
      </c>
      <c r="AF96">
        <f>SUMIFS(T_Shipments[Confirmed_Qty],T_Shipments[RM_Code],$A96,T_Shipments[Effective_Week],31)</f>
        <v/>
      </c>
      <c r="AG96">
        <f>SUMIFS(T_Shipments[Confirmed_Qty],T_Shipments[RM_Code],$A96,T_Shipments[Effective_Week],32)</f>
        <v/>
      </c>
      <c r="AH96">
        <f>SUMIFS(T_Shipments[Confirmed_Qty],T_Shipments[RM_Code],$A96,T_Shipments[Effective_Week],33)</f>
        <v/>
      </c>
      <c r="AI96">
        <f>SUMIFS(T_Shipments[Confirmed_Qty],T_Shipments[RM_Code],$A96,T_Shipments[Effective_Week],34)</f>
        <v/>
      </c>
      <c r="AJ96">
        <f>SUMIFS(T_Shipments[Confirmed_Qty],T_Shipments[RM_Code],$A96,T_Shipments[Effective_Week],35)</f>
        <v/>
      </c>
      <c r="AK96">
        <f>SUMIFS(T_Shipments[Confirmed_Qty],T_Shipments[RM_Code],$A96,T_Shipments[Effective_Week],36)</f>
        <v/>
      </c>
      <c r="AL96">
        <f>SUMIFS(T_Shipments[Confirmed_Qty],T_Shipments[RM_Code],$A96,T_Shipments[Effective_Week],37)</f>
        <v/>
      </c>
      <c r="AM96">
        <f>SUMIFS(T_Shipments[Confirmed_Qty],T_Shipments[RM_Code],$A96,T_Shipments[Effective_Week],38)</f>
        <v/>
      </c>
      <c r="AN96">
        <f>SUMIFS(T_Shipments[Confirmed_Qty],T_Shipments[RM_Code],$A96,T_Shipments[Effective_Week],39)</f>
        <v/>
      </c>
      <c r="AO96">
        <f>SUMIFS(T_Shipments[Confirmed_Qty],T_Shipments[RM_Code],$A96,T_Shipments[Effective_Week],40)</f>
        <v/>
      </c>
      <c r="AP96">
        <f>SUMIFS(T_Shipments[Confirmed_Qty],T_Shipments[RM_Code],$A96,T_Shipments[Effective_Week],41)</f>
        <v/>
      </c>
      <c r="AQ96">
        <f>SUMIFS(T_Shipments[Confirmed_Qty],T_Shipments[RM_Code],$A96,T_Shipments[Effective_Week],42)</f>
        <v/>
      </c>
      <c r="AR96">
        <f>SUMIFS(T_Shipments[Confirmed_Qty],T_Shipments[RM_Code],$A96,T_Shipments[Effective_Week],43)</f>
        <v/>
      </c>
      <c r="AS96">
        <f>SUMIFS(T_Shipments[Confirmed_Qty],T_Shipments[RM_Code],$A96,T_Shipments[Effective_Week],44)</f>
        <v/>
      </c>
      <c r="AT96">
        <f>SUMIFS(T_Shipments[Confirmed_Qty],T_Shipments[RM_Code],$A96,T_Shipments[Effective_Week],45)</f>
        <v/>
      </c>
      <c r="AU96">
        <f>SUMIFS(T_Shipments[Confirmed_Qty],T_Shipments[RM_Code],$A96,T_Shipments[Effective_Week],46)</f>
        <v/>
      </c>
      <c r="AV96">
        <f>SUMIFS(T_Shipments[Confirmed_Qty],T_Shipments[RM_Code],$A96,T_Shipments[Effective_Week],47)</f>
        <v/>
      </c>
      <c r="AW96">
        <f>SUMIFS(T_Shipments[Confirmed_Qty],T_Shipments[RM_Code],$A96,T_Shipments[Effective_Week],48)</f>
        <v/>
      </c>
      <c r="AX96">
        <f>SUMIFS(T_Shipments[Confirmed_Qty],T_Shipments[RM_Code],$A96,T_Shipments[Effective_Week],49)</f>
        <v/>
      </c>
      <c r="AY96">
        <f>SUMIFS(T_Shipments[Confirmed_Qty],T_Shipments[RM_Code],$A96,T_Shipments[Effective_Week],50)</f>
        <v/>
      </c>
      <c r="AZ96">
        <f>SUMIFS(T_Shipments[Confirmed_Qty],T_Shipments[RM_Code],$A96,T_Shipments[Effective_Week],51)</f>
        <v/>
      </c>
      <c r="BA96">
        <f>SUMIFS(T_Shipments[Confirmed_Qty],T_Shipments[RM_Code],$A96,T_Shipments[Effective_Week],52)</f>
        <v/>
      </c>
      <c r="BB96">
        <f>SUMIFS(T_Shipments[Confirmed_Qty],T_Shipments[RM_Code],$A96,T_Shipments[Effective_Week],53)</f>
        <v/>
      </c>
      <c r="BC96">
        <f>SUMIFS(T_Shipments[Confirmed_Qty],T_Shipments[RM_Code],$A96,T_Shipments[Effective_Week],54)</f>
        <v/>
      </c>
      <c r="BD96">
        <f>SUMIFS(T_Shipments[Confirmed_Qty],T_Shipments[RM_Code],$A96,T_Shipments[Effective_Week],55)</f>
        <v/>
      </c>
      <c r="BE96">
        <f>SUMIFS(T_Shipments[Confirmed_Qty],T_Shipments[RM_Code],$A96,T_Shipments[Effective_Week],56)</f>
        <v/>
      </c>
      <c r="BF96">
        <f>SUMIFS(T_Shipments[Confirmed_Qty],T_Shipments[RM_Code],$A96,T_Shipments[Effective_Week],57)</f>
        <v/>
      </c>
      <c r="BG96">
        <f>SUMIFS(T_Shipments[Confirmed_Qty],T_Shipments[RM_Code],$A96,T_Shipments[Effective_Week],58)</f>
        <v/>
      </c>
      <c r="BH96">
        <f>SUMIFS(T_Shipments[Confirmed_Qty],T_Shipments[RM_Code],$A96,T_Shipments[Effective_Week],59)</f>
        <v/>
      </c>
      <c r="BI96">
        <f>SUMIFS(T_Shipments[Confirmed_Qty],T_Shipments[RM_Code],$A96,T_Shipments[Effective_Week],60)</f>
        <v/>
      </c>
      <c r="BJ96">
        <f>SUMIFS(T_Shipments[Confirmed_Qty],T_Shipments[RM_Code],$A96,T_Shipments[Effective_Week],61)</f>
        <v/>
      </c>
      <c r="BK96">
        <f>SUMIFS(T_Shipments[Confirmed_Qty],T_Shipments[RM_Code],$A96,T_Shipments[Effective_Week],62)</f>
        <v/>
      </c>
      <c r="BL96">
        <f>SUMIFS(T_Shipments[Confirmed_Qty],T_Shipments[RM_Code],$A96,T_Shipments[Effective_Week],63)</f>
        <v/>
      </c>
      <c r="BM96">
        <f>SUMIFS(T_Shipments[Confirmed_Qty],T_Shipments[RM_Code],$A96,T_Shipments[Effective_Week],64)</f>
        <v/>
      </c>
      <c r="BN96">
        <f>SUMIFS(T_Shipments[Confirmed_Qty],T_Shipments[RM_Code],$A96,T_Shipments[Effective_Week],65)</f>
        <v/>
      </c>
      <c r="BO96">
        <f>SUMIFS(T_Shipments[Confirmed_Qty],T_Shipments[RM_Code],$A96,T_Shipments[Effective_Week],66)</f>
        <v/>
      </c>
      <c r="BP96">
        <f>SUMIFS(T_Shipments[Confirmed_Qty],T_Shipments[RM_Code],$A96,T_Shipments[Effective_Week],67)</f>
        <v/>
      </c>
      <c r="BQ96">
        <f>SUMIFS(T_Shipments[Confirmed_Qty],T_Shipments[RM_Code],$A96,T_Shipments[Effective_Week],68)</f>
        <v/>
      </c>
      <c r="BR96">
        <f>SUMIFS(T_Shipments[Confirmed_Qty],T_Shipments[RM_Code],$A96,T_Shipments[Effective_Week],69)</f>
        <v/>
      </c>
      <c r="BS96">
        <f>SUMIFS(T_Shipments[Confirmed_Qty],T_Shipments[RM_Code],$A96,T_Shipments[Effective_Week],70)</f>
        <v/>
      </c>
      <c r="BT96">
        <f>SUMIFS(T_Shipments[Confirmed_Qty],T_Shipments[RM_Code],$A96,T_Shipments[Effective_Week],71)</f>
        <v/>
      </c>
      <c r="BU96">
        <f>SUMIFS(T_Shipments[Confirmed_Qty],T_Shipments[RM_Code],$A96,T_Shipments[Effective_Week],72)</f>
        <v/>
      </c>
      <c r="BV96">
        <f>SUMIFS(T_Shipments[Confirmed_Qty],T_Shipments[RM_Code],$A96,T_Shipments[Effective_Week],73)</f>
        <v/>
      </c>
      <c r="BW96">
        <f>SUMIFS(T_Shipments[Confirmed_Qty],T_Shipments[RM_Code],$A96,T_Shipments[Effective_Week],74)</f>
        <v/>
      </c>
      <c r="BX96">
        <f>SUMIFS(T_Shipments[Confirmed_Qty],T_Shipments[RM_Code],$A96,T_Shipments[Effective_Week],75)</f>
        <v/>
      </c>
      <c r="BY96">
        <f>SUMIFS(T_Shipments[Confirmed_Qty],T_Shipments[RM_Code],$A96,T_Shipments[Effective_Week],76)</f>
        <v/>
      </c>
      <c r="BZ96">
        <f>SUMIFS(T_Shipments[Confirmed_Qty],T_Shipments[RM_Code],$A96,T_Shipments[Effective_Week],77)</f>
        <v/>
      </c>
      <c r="CA96">
        <f>SUMIFS(T_Shipments[Confirmed_Qty],T_Shipments[RM_Code],$A96,T_Shipments[Effective_Week],78)</f>
        <v/>
      </c>
      <c r="CB96">
        <f>SUMIFS(T_Shipments[Confirmed_Qty],T_Shipments[RM_Code],$A96,T_Shipments[Effective_Week],79)</f>
        <v/>
      </c>
      <c r="CC96">
        <f>SUMIFS(T_Shipments[Confirmed_Qty],T_Shipments[RM_Code],$A96,T_Shipments[Effective_Week],80)</f>
        <v/>
      </c>
      <c r="CD96">
        <f>SUMIFS(T_Shipments[Confirmed_Qty],T_Shipments[RM_Code],$A96,T_Shipments[Effective_Week],81)</f>
        <v/>
      </c>
      <c r="CE96">
        <f>SUMIFS(T_Shipments[Confirmed_Qty],T_Shipments[RM_Code],$A96,T_Shipments[Effective_Week],82)</f>
        <v/>
      </c>
      <c r="CF96">
        <f>SUMIFS(T_Shipments[Confirmed_Qty],T_Shipments[RM_Code],$A96,T_Shipments[Effective_Week],83)</f>
        <v/>
      </c>
      <c r="CG96">
        <f>SUMIFS(T_Shipments[Confirmed_Qty],T_Shipments[RM_Code],$A96,T_Shipments[Effective_Week],84)</f>
        <v/>
      </c>
      <c r="CH96">
        <f>SUMIFS(T_Shipments[Confirmed_Qty],T_Shipments[RM_Code],$A96,T_Shipments[Effective_Week],85)</f>
        <v/>
      </c>
      <c r="CI96">
        <f>SUMIFS(T_Shipments[Confirmed_Qty],T_Shipments[RM_Code],$A96,T_Shipments[Effective_Week],86)</f>
        <v/>
      </c>
      <c r="CJ96">
        <f>SUMIFS(T_Shipments[Confirmed_Qty],T_Shipments[RM_Code],$A96,T_Shipments[Effective_Week],87)</f>
        <v/>
      </c>
      <c r="CK96">
        <f>SUMIFS(T_Shipments[Confirmed_Qty],T_Shipments[RM_Code],$A96,T_Shipments[Effective_Week],88)</f>
        <v/>
      </c>
      <c r="CL96">
        <f>SUMIFS(T_Shipments[Confirmed_Qty],T_Shipments[RM_Code],$A96,T_Shipments[Effective_Week],89)</f>
        <v/>
      </c>
      <c r="CM96">
        <f>SUMIFS(T_Shipments[Confirmed_Qty],T_Shipments[RM_Code],$A96,T_Shipments[Effective_Week],90)</f>
        <v/>
      </c>
      <c r="CN96">
        <f>SUMIFS(T_Shipments[Confirmed_Qty],T_Shipments[RM_Code],$A96,T_Shipments[Effective_Week],91)</f>
        <v/>
      </c>
      <c r="CO96">
        <f>SUMIFS(T_Shipments[Confirmed_Qty],T_Shipments[RM_Code],$A96,T_Shipments[Effective_Week],92)</f>
        <v/>
      </c>
      <c r="CP96">
        <f>SUMIFS(T_Shipments[Confirmed_Qty],T_Shipments[RM_Code],$A96,T_Shipments[Effective_Week],93)</f>
        <v/>
      </c>
      <c r="CQ96">
        <f>SUMIFS(T_Shipments[Confirmed_Qty],T_Shipments[RM_Code],$A96,T_Shipments[Effective_Week],94)</f>
        <v/>
      </c>
      <c r="CR96">
        <f>SUMIFS(T_Shipments[Confirmed_Qty],T_Shipments[RM_Code],$A96,T_Shipments[Effective_Week],95)</f>
        <v/>
      </c>
      <c r="CS96">
        <f>SUMIFS(T_Shipments[Confirmed_Qty],T_Shipments[RM_Code],$A96,T_Shipments[Effective_Week],96)</f>
        <v/>
      </c>
      <c r="CT96">
        <f>SUMIFS(T_Shipments[Confirmed_Qty],T_Shipments[RM_Code],$A96,T_Shipments[Effective_Week],97)</f>
        <v/>
      </c>
      <c r="CU96">
        <f>SUMIFS(T_Shipments[Confirmed_Qty],T_Shipments[RM_Code],$A96,T_Shipments[Effective_Week],98)</f>
        <v/>
      </c>
      <c r="CV96">
        <f>SUMIFS(T_Shipments[Confirmed_Qty],T_Shipments[RM_Code],$A96,T_Shipments[Effective_Week],99)</f>
        <v/>
      </c>
      <c r="CW96">
        <f>SUMIFS(T_Shipments[Confirmed_Qty],T_Shipments[RM_Code],$A96,T_Shipments[Effective_Week],100)</f>
        <v/>
      </c>
      <c r="CX96">
        <f>SUMIFS(T_Shipments[Confirmed_Qty],T_Shipments[RM_Code],$A96,T_Shipments[Effective_Week],101)</f>
        <v/>
      </c>
      <c r="CY96">
        <f>SUMIFS(T_Shipments[Confirmed_Qty],T_Shipments[RM_Code],$A96,T_Shipments[Effective_Week],102)</f>
        <v/>
      </c>
      <c r="CZ96">
        <f>SUMIFS(T_Shipments[Confirmed_Qty],T_Shipments[RM_Code],$A96,T_Shipments[Effective_Week],103)</f>
        <v/>
      </c>
      <c r="DA96">
        <f>SUMIFS(T_Shipments[Confirmed_Qty],T_Shipments[RM_Code],$A96,T_Shipments[Effective_Week],104)</f>
        <v/>
      </c>
    </row>
    <row r="97">
      <c r="A97" t="inlineStr">
        <is>
          <t>CHEM-1620</t>
        </is>
      </c>
      <c r="B97">
        <f>SUMIFS(T_Shipments[Confirmed_Qty],T_Shipments[RM_Code],$A97,T_Shipments[Effective_Week],1)</f>
        <v/>
      </c>
      <c r="C97">
        <f>SUMIFS(T_Shipments[Confirmed_Qty],T_Shipments[RM_Code],$A97,T_Shipments[Effective_Week],2)</f>
        <v/>
      </c>
      <c r="D97">
        <f>SUMIFS(T_Shipments[Confirmed_Qty],T_Shipments[RM_Code],$A97,T_Shipments[Effective_Week],3)</f>
        <v/>
      </c>
      <c r="E97">
        <f>SUMIFS(T_Shipments[Confirmed_Qty],T_Shipments[RM_Code],$A97,T_Shipments[Effective_Week],4)</f>
        <v/>
      </c>
      <c r="F97">
        <f>SUMIFS(T_Shipments[Confirmed_Qty],T_Shipments[RM_Code],$A97,T_Shipments[Effective_Week],5)</f>
        <v/>
      </c>
      <c r="G97">
        <f>SUMIFS(T_Shipments[Confirmed_Qty],T_Shipments[RM_Code],$A97,T_Shipments[Effective_Week],6)</f>
        <v/>
      </c>
      <c r="H97">
        <f>SUMIFS(T_Shipments[Confirmed_Qty],T_Shipments[RM_Code],$A97,T_Shipments[Effective_Week],7)</f>
        <v/>
      </c>
      <c r="I97">
        <f>SUMIFS(T_Shipments[Confirmed_Qty],T_Shipments[RM_Code],$A97,T_Shipments[Effective_Week],8)</f>
        <v/>
      </c>
      <c r="J97">
        <f>SUMIFS(T_Shipments[Confirmed_Qty],T_Shipments[RM_Code],$A97,T_Shipments[Effective_Week],9)</f>
        <v/>
      </c>
      <c r="K97">
        <f>SUMIFS(T_Shipments[Confirmed_Qty],T_Shipments[RM_Code],$A97,T_Shipments[Effective_Week],10)</f>
        <v/>
      </c>
      <c r="L97">
        <f>SUMIFS(T_Shipments[Confirmed_Qty],T_Shipments[RM_Code],$A97,T_Shipments[Effective_Week],11)</f>
        <v/>
      </c>
      <c r="M97">
        <f>SUMIFS(T_Shipments[Confirmed_Qty],T_Shipments[RM_Code],$A97,T_Shipments[Effective_Week],12)</f>
        <v/>
      </c>
      <c r="N97">
        <f>SUMIFS(T_Shipments[Confirmed_Qty],T_Shipments[RM_Code],$A97,T_Shipments[Effective_Week],13)</f>
        <v/>
      </c>
      <c r="O97">
        <f>SUMIFS(T_Shipments[Confirmed_Qty],T_Shipments[RM_Code],$A97,T_Shipments[Effective_Week],14)</f>
        <v/>
      </c>
      <c r="P97">
        <f>SUMIFS(T_Shipments[Confirmed_Qty],T_Shipments[RM_Code],$A97,T_Shipments[Effective_Week],15)</f>
        <v/>
      </c>
      <c r="Q97">
        <f>SUMIFS(T_Shipments[Confirmed_Qty],T_Shipments[RM_Code],$A97,T_Shipments[Effective_Week],16)</f>
        <v/>
      </c>
      <c r="R97">
        <f>SUMIFS(T_Shipments[Confirmed_Qty],T_Shipments[RM_Code],$A97,T_Shipments[Effective_Week],17)</f>
        <v/>
      </c>
      <c r="S97">
        <f>SUMIFS(T_Shipments[Confirmed_Qty],T_Shipments[RM_Code],$A97,T_Shipments[Effective_Week],18)</f>
        <v/>
      </c>
      <c r="T97">
        <f>SUMIFS(T_Shipments[Confirmed_Qty],T_Shipments[RM_Code],$A97,T_Shipments[Effective_Week],19)</f>
        <v/>
      </c>
      <c r="U97">
        <f>SUMIFS(T_Shipments[Confirmed_Qty],T_Shipments[RM_Code],$A97,T_Shipments[Effective_Week],20)</f>
        <v/>
      </c>
      <c r="V97">
        <f>SUMIFS(T_Shipments[Confirmed_Qty],T_Shipments[RM_Code],$A97,T_Shipments[Effective_Week],21)</f>
        <v/>
      </c>
      <c r="W97">
        <f>SUMIFS(T_Shipments[Confirmed_Qty],T_Shipments[RM_Code],$A97,T_Shipments[Effective_Week],22)</f>
        <v/>
      </c>
      <c r="X97">
        <f>SUMIFS(T_Shipments[Confirmed_Qty],T_Shipments[RM_Code],$A97,T_Shipments[Effective_Week],23)</f>
        <v/>
      </c>
      <c r="Y97">
        <f>SUMIFS(T_Shipments[Confirmed_Qty],T_Shipments[RM_Code],$A97,T_Shipments[Effective_Week],24)</f>
        <v/>
      </c>
      <c r="Z97">
        <f>SUMIFS(T_Shipments[Confirmed_Qty],T_Shipments[RM_Code],$A97,T_Shipments[Effective_Week],25)</f>
        <v/>
      </c>
      <c r="AA97">
        <f>SUMIFS(T_Shipments[Confirmed_Qty],T_Shipments[RM_Code],$A97,T_Shipments[Effective_Week],26)</f>
        <v/>
      </c>
      <c r="AB97">
        <f>SUMIFS(T_Shipments[Confirmed_Qty],T_Shipments[RM_Code],$A97,T_Shipments[Effective_Week],27)</f>
        <v/>
      </c>
      <c r="AC97">
        <f>SUMIFS(T_Shipments[Confirmed_Qty],T_Shipments[RM_Code],$A97,T_Shipments[Effective_Week],28)</f>
        <v/>
      </c>
      <c r="AD97">
        <f>SUMIFS(T_Shipments[Confirmed_Qty],T_Shipments[RM_Code],$A97,T_Shipments[Effective_Week],29)</f>
        <v/>
      </c>
      <c r="AE97">
        <f>SUMIFS(T_Shipments[Confirmed_Qty],T_Shipments[RM_Code],$A97,T_Shipments[Effective_Week],30)</f>
        <v/>
      </c>
      <c r="AF97">
        <f>SUMIFS(T_Shipments[Confirmed_Qty],T_Shipments[RM_Code],$A97,T_Shipments[Effective_Week],31)</f>
        <v/>
      </c>
      <c r="AG97">
        <f>SUMIFS(T_Shipments[Confirmed_Qty],T_Shipments[RM_Code],$A97,T_Shipments[Effective_Week],32)</f>
        <v/>
      </c>
      <c r="AH97">
        <f>SUMIFS(T_Shipments[Confirmed_Qty],T_Shipments[RM_Code],$A97,T_Shipments[Effective_Week],33)</f>
        <v/>
      </c>
      <c r="AI97">
        <f>SUMIFS(T_Shipments[Confirmed_Qty],T_Shipments[RM_Code],$A97,T_Shipments[Effective_Week],34)</f>
        <v/>
      </c>
      <c r="AJ97">
        <f>SUMIFS(T_Shipments[Confirmed_Qty],T_Shipments[RM_Code],$A97,T_Shipments[Effective_Week],35)</f>
        <v/>
      </c>
      <c r="AK97">
        <f>SUMIFS(T_Shipments[Confirmed_Qty],T_Shipments[RM_Code],$A97,T_Shipments[Effective_Week],36)</f>
        <v/>
      </c>
      <c r="AL97">
        <f>SUMIFS(T_Shipments[Confirmed_Qty],T_Shipments[RM_Code],$A97,T_Shipments[Effective_Week],37)</f>
        <v/>
      </c>
      <c r="AM97">
        <f>SUMIFS(T_Shipments[Confirmed_Qty],T_Shipments[RM_Code],$A97,T_Shipments[Effective_Week],38)</f>
        <v/>
      </c>
      <c r="AN97">
        <f>SUMIFS(T_Shipments[Confirmed_Qty],T_Shipments[RM_Code],$A97,T_Shipments[Effective_Week],39)</f>
        <v/>
      </c>
      <c r="AO97">
        <f>SUMIFS(T_Shipments[Confirmed_Qty],T_Shipments[RM_Code],$A97,T_Shipments[Effective_Week],40)</f>
        <v/>
      </c>
      <c r="AP97">
        <f>SUMIFS(T_Shipments[Confirmed_Qty],T_Shipments[RM_Code],$A97,T_Shipments[Effective_Week],41)</f>
        <v/>
      </c>
      <c r="AQ97">
        <f>SUMIFS(T_Shipments[Confirmed_Qty],T_Shipments[RM_Code],$A97,T_Shipments[Effective_Week],42)</f>
        <v/>
      </c>
      <c r="AR97">
        <f>SUMIFS(T_Shipments[Confirmed_Qty],T_Shipments[RM_Code],$A97,T_Shipments[Effective_Week],43)</f>
        <v/>
      </c>
      <c r="AS97">
        <f>SUMIFS(T_Shipments[Confirmed_Qty],T_Shipments[RM_Code],$A97,T_Shipments[Effective_Week],44)</f>
        <v/>
      </c>
      <c r="AT97">
        <f>SUMIFS(T_Shipments[Confirmed_Qty],T_Shipments[RM_Code],$A97,T_Shipments[Effective_Week],45)</f>
        <v/>
      </c>
      <c r="AU97">
        <f>SUMIFS(T_Shipments[Confirmed_Qty],T_Shipments[RM_Code],$A97,T_Shipments[Effective_Week],46)</f>
        <v/>
      </c>
      <c r="AV97">
        <f>SUMIFS(T_Shipments[Confirmed_Qty],T_Shipments[RM_Code],$A97,T_Shipments[Effective_Week],47)</f>
        <v/>
      </c>
      <c r="AW97">
        <f>SUMIFS(T_Shipments[Confirmed_Qty],T_Shipments[RM_Code],$A97,T_Shipments[Effective_Week],48)</f>
        <v/>
      </c>
      <c r="AX97">
        <f>SUMIFS(T_Shipments[Confirmed_Qty],T_Shipments[RM_Code],$A97,T_Shipments[Effective_Week],49)</f>
        <v/>
      </c>
      <c r="AY97">
        <f>SUMIFS(T_Shipments[Confirmed_Qty],T_Shipments[RM_Code],$A97,T_Shipments[Effective_Week],50)</f>
        <v/>
      </c>
      <c r="AZ97">
        <f>SUMIFS(T_Shipments[Confirmed_Qty],T_Shipments[RM_Code],$A97,T_Shipments[Effective_Week],51)</f>
        <v/>
      </c>
      <c r="BA97">
        <f>SUMIFS(T_Shipments[Confirmed_Qty],T_Shipments[RM_Code],$A97,T_Shipments[Effective_Week],52)</f>
        <v/>
      </c>
      <c r="BB97">
        <f>SUMIFS(T_Shipments[Confirmed_Qty],T_Shipments[RM_Code],$A97,T_Shipments[Effective_Week],53)</f>
        <v/>
      </c>
      <c r="BC97">
        <f>SUMIFS(T_Shipments[Confirmed_Qty],T_Shipments[RM_Code],$A97,T_Shipments[Effective_Week],54)</f>
        <v/>
      </c>
      <c r="BD97">
        <f>SUMIFS(T_Shipments[Confirmed_Qty],T_Shipments[RM_Code],$A97,T_Shipments[Effective_Week],55)</f>
        <v/>
      </c>
      <c r="BE97">
        <f>SUMIFS(T_Shipments[Confirmed_Qty],T_Shipments[RM_Code],$A97,T_Shipments[Effective_Week],56)</f>
        <v/>
      </c>
      <c r="BF97">
        <f>SUMIFS(T_Shipments[Confirmed_Qty],T_Shipments[RM_Code],$A97,T_Shipments[Effective_Week],57)</f>
        <v/>
      </c>
      <c r="BG97">
        <f>SUMIFS(T_Shipments[Confirmed_Qty],T_Shipments[RM_Code],$A97,T_Shipments[Effective_Week],58)</f>
        <v/>
      </c>
      <c r="BH97">
        <f>SUMIFS(T_Shipments[Confirmed_Qty],T_Shipments[RM_Code],$A97,T_Shipments[Effective_Week],59)</f>
        <v/>
      </c>
      <c r="BI97">
        <f>SUMIFS(T_Shipments[Confirmed_Qty],T_Shipments[RM_Code],$A97,T_Shipments[Effective_Week],60)</f>
        <v/>
      </c>
      <c r="BJ97">
        <f>SUMIFS(T_Shipments[Confirmed_Qty],T_Shipments[RM_Code],$A97,T_Shipments[Effective_Week],61)</f>
        <v/>
      </c>
      <c r="BK97">
        <f>SUMIFS(T_Shipments[Confirmed_Qty],T_Shipments[RM_Code],$A97,T_Shipments[Effective_Week],62)</f>
        <v/>
      </c>
      <c r="BL97">
        <f>SUMIFS(T_Shipments[Confirmed_Qty],T_Shipments[RM_Code],$A97,T_Shipments[Effective_Week],63)</f>
        <v/>
      </c>
      <c r="BM97">
        <f>SUMIFS(T_Shipments[Confirmed_Qty],T_Shipments[RM_Code],$A97,T_Shipments[Effective_Week],64)</f>
        <v/>
      </c>
      <c r="BN97">
        <f>SUMIFS(T_Shipments[Confirmed_Qty],T_Shipments[RM_Code],$A97,T_Shipments[Effective_Week],65)</f>
        <v/>
      </c>
      <c r="BO97">
        <f>SUMIFS(T_Shipments[Confirmed_Qty],T_Shipments[RM_Code],$A97,T_Shipments[Effective_Week],66)</f>
        <v/>
      </c>
      <c r="BP97">
        <f>SUMIFS(T_Shipments[Confirmed_Qty],T_Shipments[RM_Code],$A97,T_Shipments[Effective_Week],67)</f>
        <v/>
      </c>
      <c r="BQ97">
        <f>SUMIFS(T_Shipments[Confirmed_Qty],T_Shipments[RM_Code],$A97,T_Shipments[Effective_Week],68)</f>
        <v/>
      </c>
      <c r="BR97">
        <f>SUMIFS(T_Shipments[Confirmed_Qty],T_Shipments[RM_Code],$A97,T_Shipments[Effective_Week],69)</f>
        <v/>
      </c>
      <c r="BS97">
        <f>SUMIFS(T_Shipments[Confirmed_Qty],T_Shipments[RM_Code],$A97,T_Shipments[Effective_Week],70)</f>
        <v/>
      </c>
      <c r="BT97">
        <f>SUMIFS(T_Shipments[Confirmed_Qty],T_Shipments[RM_Code],$A97,T_Shipments[Effective_Week],71)</f>
        <v/>
      </c>
      <c r="BU97">
        <f>SUMIFS(T_Shipments[Confirmed_Qty],T_Shipments[RM_Code],$A97,T_Shipments[Effective_Week],72)</f>
        <v/>
      </c>
      <c r="BV97">
        <f>SUMIFS(T_Shipments[Confirmed_Qty],T_Shipments[RM_Code],$A97,T_Shipments[Effective_Week],73)</f>
        <v/>
      </c>
      <c r="BW97">
        <f>SUMIFS(T_Shipments[Confirmed_Qty],T_Shipments[RM_Code],$A97,T_Shipments[Effective_Week],74)</f>
        <v/>
      </c>
      <c r="BX97">
        <f>SUMIFS(T_Shipments[Confirmed_Qty],T_Shipments[RM_Code],$A97,T_Shipments[Effective_Week],75)</f>
        <v/>
      </c>
      <c r="BY97">
        <f>SUMIFS(T_Shipments[Confirmed_Qty],T_Shipments[RM_Code],$A97,T_Shipments[Effective_Week],76)</f>
        <v/>
      </c>
      <c r="BZ97">
        <f>SUMIFS(T_Shipments[Confirmed_Qty],T_Shipments[RM_Code],$A97,T_Shipments[Effective_Week],77)</f>
        <v/>
      </c>
      <c r="CA97">
        <f>SUMIFS(T_Shipments[Confirmed_Qty],T_Shipments[RM_Code],$A97,T_Shipments[Effective_Week],78)</f>
        <v/>
      </c>
      <c r="CB97">
        <f>SUMIFS(T_Shipments[Confirmed_Qty],T_Shipments[RM_Code],$A97,T_Shipments[Effective_Week],79)</f>
        <v/>
      </c>
      <c r="CC97">
        <f>SUMIFS(T_Shipments[Confirmed_Qty],T_Shipments[RM_Code],$A97,T_Shipments[Effective_Week],80)</f>
        <v/>
      </c>
      <c r="CD97">
        <f>SUMIFS(T_Shipments[Confirmed_Qty],T_Shipments[RM_Code],$A97,T_Shipments[Effective_Week],81)</f>
        <v/>
      </c>
      <c r="CE97">
        <f>SUMIFS(T_Shipments[Confirmed_Qty],T_Shipments[RM_Code],$A97,T_Shipments[Effective_Week],82)</f>
        <v/>
      </c>
      <c r="CF97">
        <f>SUMIFS(T_Shipments[Confirmed_Qty],T_Shipments[RM_Code],$A97,T_Shipments[Effective_Week],83)</f>
        <v/>
      </c>
      <c r="CG97">
        <f>SUMIFS(T_Shipments[Confirmed_Qty],T_Shipments[RM_Code],$A97,T_Shipments[Effective_Week],84)</f>
        <v/>
      </c>
      <c r="CH97">
        <f>SUMIFS(T_Shipments[Confirmed_Qty],T_Shipments[RM_Code],$A97,T_Shipments[Effective_Week],85)</f>
        <v/>
      </c>
      <c r="CI97">
        <f>SUMIFS(T_Shipments[Confirmed_Qty],T_Shipments[RM_Code],$A97,T_Shipments[Effective_Week],86)</f>
        <v/>
      </c>
      <c r="CJ97">
        <f>SUMIFS(T_Shipments[Confirmed_Qty],T_Shipments[RM_Code],$A97,T_Shipments[Effective_Week],87)</f>
        <v/>
      </c>
      <c r="CK97">
        <f>SUMIFS(T_Shipments[Confirmed_Qty],T_Shipments[RM_Code],$A97,T_Shipments[Effective_Week],88)</f>
        <v/>
      </c>
      <c r="CL97">
        <f>SUMIFS(T_Shipments[Confirmed_Qty],T_Shipments[RM_Code],$A97,T_Shipments[Effective_Week],89)</f>
        <v/>
      </c>
      <c r="CM97">
        <f>SUMIFS(T_Shipments[Confirmed_Qty],T_Shipments[RM_Code],$A97,T_Shipments[Effective_Week],90)</f>
        <v/>
      </c>
      <c r="CN97">
        <f>SUMIFS(T_Shipments[Confirmed_Qty],T_Shipments[RM_Code],$A97,T_Shipments[Effective_Week],91)</f>
        <v/>
      </c>
      <c r="CO97">
        <f>SUMIFS(T_Shipments[Confirmed_Qty],T_Shipments[RM_Code],$A97,T_Shipments[Effective_Week],92)</f>
        <v/>
      </c>
      <c r="CP97">
        <f>SUMIFS(T_Shipments[Confirmed_Qty],T_Shipments[RM_Code],$A97,T_Shipments[Effective_Week],93)</f>
        <v/>
      </c>
      <c r="CQ97">
        <f>SUMIFS(T_Shipments[Confirmed_Qty],T_Shipments[RM_Code],$A97,T_Shipments[Effective_Week],94)</f>
        <v/>
      </c>
      <c r="CR97">
        <f>SUMIFS(T_Shipments[Confirmed_Qty],T_Shipments[RM_Code],$A97,T_Shipments[Effective_Week],95)</f>
        <v/>
      </c>
      <c r="CS97">
        <f>SUMIFS(T_Shipments[Confirmed_Qty],T_Shipments[RM_Code],$A97,T_Shipments[Effective_Week],96)</f>
        <v/>
      </c>
      <c r="CT97">
        <f>SUMIFS(T_Shipments[Confirmed_Qty],T_Shipments[RM_Code],$A97,T_Shipments[Effective_Week],97)</f>
        <v/>
      </c>
      <c r="CU97">
        <f>SUMIFS(T_Shipments[Confirmed_Qty],T_Shipments[RM_Code],$A97,T_Shipments[Effective_Week],98)</f>
        <v/>
      </c>
      <c r="CV97">
        <f>SUMIFS(T_Shipments[Confirmed_Qty],T_Shipments[RM_Code],$A97,T_Shipments[Effective_Week],99)</f>
        <v/>
      </c>
      <c r="CW97">
        <f>SUMIFS(T_Shipments[Confirmed_Qty],T_Shipments[RM_Code],$A97,T_Shipments[Effective_Week],100)</f>
        <v/>
      </c>
      <c r="CX97">
        <f>SUMIFS(T_Shipments[Confirmed_Qty],T_Shipments[RM_Code],$A97,T_Shipments[Effective_Week],101)</f>
        <v/>
      </c>
      <c r="CY97">
        <f>SUMIFS(T_Shipments[Confirmed_Qty],T_Shipments[RM_Code],$A97,T_Shipments[Effective_Week],102)</f>
        <v/>
      </c>
      <c r="CZ97">
        <f>SUMIFS(T_Shipments[Confirmed_Qty],T_Shipments[RM_Code],$A97,T_Shipments[Effective_Week],103)</f>
        <v/>
      </c>
      <c r="DA97">
        <f>SUMIFS(T_Shipments[Confirmed_Qty],T_Shipments[RM_Code],$A97,T_Shipments[Effective_Week],104)</f>
        <v/>
      </c>
    </row>
    <row r="98">
      <c r="A98" t="inlineStr">
        <is>
          <t>CHEM-1050</t>
        </is>
      </c>
      <c r="B98">
        <f>SUMIFS(T_Shipments[Confirmed_Qty],T_Shipments[RM_Code],$A98,T_Shipments[Effective_Week],1)</f>
        <v/>
      </c>
      <c r="C98">
        <f>SUMIFS(T_Shipments[Confirmed_Qty],T_Shipments[RM_Code],$A98,T_Shipments[Effective_Week],2)</f>
        <v/>
      </c>
      <c r="D98">
        <f>SUMIFS(T_Shipments[Confirmed_Qty],T_Shipments[RM_Code],$A98,T_Shipments[Effective_Week],3)</f>
        <v/>
      </c>
      <c r="E98">
        <f>SUMIFS(T_Shipments[Confirmed_Qty],T_Shipments[RM_Code],$A98,T_Shipments[Effective_Week],4)</f>
        <v/>
      </c>
      <c r="F98">
        <f>SUMIFS(T_Shipments[Confirmed_Qty],T_Shipments[RM_Code],$A98,T_Shipments[Effective_Week],5)</f>
        <v/>
      </c>
      <c r="G98">
        <f>SUMIFS(T_Shipments[Confirmed_Qty],T_Shipments[RM_Code],$A98,T_Shipments[Effective_Week],6)</f>
        <v/>
      </c>
      <c r="H98">
        <f>SUMIFS(T_Shipments[Confirmed_Qty],T_Shipments[RM_Code],$A98,T_Shipments[Effective_Week],7)</f>
        <v/>
      </c>
      <c r="I98">
        <f>SUMIFS(T_Shipments[Confirmed_Qty],T_Shipments[RM_Code],$A98,T_Shipments[Effective_Week],8)</f>
        <v/>
      </c>
      <c r="J98">
        <f>SUMIFS(T_Shipments[Confirmed_Qty],T_Shipments[RM_Code],$A98,T_Shipments[Effective_Week],9)</f>
        <v/>
      </c>
      <c r="K98">
        <f>SUMIFS(T_Shipments[Confirmed_Qty],T_Shipments[RM_Code],$A98,T_Shipments[Effective_Week],10)</f>
        <v/>
      </c>
      <c r="L98">
        <f>SUMIFS(T_Shipments[Confirmed_Qty],T_Shipments[RM_Code],$A98,T_Shipments[Effective_Week],11)</f>
        <v/>
      </c>
      <c r="M98">
        <f>SUMIFS(T_Shipments[Confirmed_Qty],T_Shipments[RM_Code],$A98,T_Shipments[Effective_Week],12)</f>
        <v/>
      </c>
      <c r="N98">
        <f>SUMIFS(T_Shipments[Confirmed_Qty],T_Shipments[RM_Code],$A98,T_Shipments[Effective_Week],13)</f>
        <v/>
      </c>
      <c r="O98">
        <f>SUMIFS(T_Shipments[Confirmed_Qty],T_Shipments[RM_Code],$A98,T_Shipments[Effective_Week],14)</f>
        <v/>
      </c>
      <c r="P98">
        <f>SUMIFS(T_Shipments[Confirmed_Qty],T_Shipments[RM_Code],$A98,T_Shipments[Effective_Week],15)</f>
        <v/>
      </c>
      <c r="Q98">
        <f>SUMIFS(T_Shipments[Confirmed_Qty],T_Shipments[RM_Code],$A98,T_Shipments[Effective_Week],16)</f>
        <v/>
      </c>
      <c r="R98">
        <f>SUMIFS(T_Shipments[Confirmed_Qty],T_Shipments[RM_Code],$A98,T_Shipments[Effective_Week],17)</f>
        <v/>
      </c>
      <c r="S98">
        <f>SUMIFS(T_Shipments[Confirmed_Qty],T_Shipments[RM_Code],$A98,T_Shipments[Effective_Week],18)</f>
        <v/>
      </c>
      <c r="T98">
        <f>SUMIFS(T_Shipments[Confirmed_Qty],T_Shipments[RM_Code],$A98,T_Shipments[Effective_Week],19)</f>
        <v/>
      </c>
      <c r="U98">
        <f>SUMIFS(T_Shipments[Confirmed_Qty],T_Shipments[RM_Code],$A98,T_Shipments[Effective_Week],20)</f>
        <v/>
      </c>
      <c r="V98">
        <f>SUMIFS(T_Shipments[Confirmed_Qty],T_Shipments[RM_Code],$A98,T_Shipments[Effective_Week],21)</f>
        <v/>
      </c>
      <c r="W98">
        <f>SUMIFS(T_Shipments[Confirmed_Qty],T_Shipments[RM_Code],$A98,T_Shipments[Effective_Week],22)</f>
        <v/>
      </c>
      <c r="X98">
        <f>SUMIFS(T_Shipments[Confirmed_Qty],T_Shipments[RM_Code],$A98,T_Shipments[Effective_Week],23)</f>
        <v/>
      </c>
      <c r="Y98">
        <f>SUMIFS(T_Shipments[Confirmed_Qty],T_Shipments[RM_Code],$A98,T_Shipments[Effective_Week],24)</f>
        <v/>
      </c>
      <c r="Z98">
        <f>SUMIFS(T_Shipments[Confirmed_Qty],T_Shipments[RM_Code],$A98,T_Shipments[Effective_Week],25)</f>
        <v/>
      </c>
      <c r="AA98">
        <f>SUMIFS(T_Shipments[Confirmed_Qty],T_Shipments[RM_Code],$A98,T_Shipments[Effective_Week],26)</f>
        <v/>
      </c>
      <c r="AB98">
        <f>SUMIFS(T_Shipments[Confirmed_Qty],T_Shipments[RM_Code],$A98,T_Shipments[Effective_Week],27)</f>
        <v/>
      </c>
      <c r="AC98">
        <f>SUMIFS(T_Shipments[Confirmed_Qty],T_Shipments[RM_Code],$A98,T_Shipments[Effective_Week],28)</f>
        <v/>
      </c>
      <c r="AD98">
        <f>SUMIFS(T_Shipments[Confirmed_Qty],T_Shipments[RM_Code],$A98,T_Shipments[Effective_Week],29)</f>
        <v/>
      </c>
      <c r="AE98">
        <f>SUMIFS(T_Shipments[Confirmed_Qty],T_Shipments[RM_Code],$A98,T_Shipments[Effective_Week],30)</f>
        <v/>
      </c>
      <c r="AF98">
        <f>SUMIFS(T_Shipments[Confirmed_Qty],T_Shipments[RM_Code],$A98,T_Shipments[Effective_Week],31)</f>
        <v/>
      </c>
      <c r="AG98">
        <f>SUMIFS(T_Shipments[Confirmed_Qty],T_Shipments[RM_Code],$A98,T_Shipments[Effective_Week],32)</f>
        <v/>
      </c>
      <c r="AH98">
        <f>SUMIFS(T_Shipments[Confirmed_Qty],T_Shipments[RM_Code],$A98,T_Shipments[Effective_Week],33)</f>
        <v/>
      </c>
      <c r="AI98">
        <f>SUMIFS(T_Shipments[Confirmed_Qty],T_Shipments[RM_Code],$A98,T_Shipments[Effective_Week],34)</f>
        <v/>
      </c>
      <c r="AJ98">
        <f>SUMIFS(T_Shipments[Confirmed_Qty],T_Shipments[RM_Code],$A98,T_Shipments[Effective_Week],35)</f>
        <v/>
      </c>
      <c r="AK98">
        <f>SUMIFS(T_Shipments[Confirmed_Qty],T_Shipments[RM_Code],$A98,T_Shipments[Effective_Week],36)</f>
        <v/>
      </c>
      <c r="AL98">
        <f>SUMIFS(T_Shipments[Confirmed_Qty],T_Shipments[RM_Code],$A98,T_Shipments[Effective_Week],37)</f>
        <v/>
      </c>
      <c r="AM98">
        <f>SUMIFS(T_Shipments[Confirmed_Qty],T_Shipments[RM_Code],$A98,T_Shipments[Effective_Week],38)</f>
        <v/>
      </c>
      <c r="AN98">
        <f>SUMIFS(T_Shipments[Confirmed_Qty],T_Shipments[RM_Code],$A98,T_Shipments[Effective_Week],39)</f>
        <v/>
      </c>
      <c r="AO98">
        <f>SUMIFS(T_Shipments[Confirmed_Qty],T_Shipments[RM_Code],$A98,T_Shipments[Effective_Week],40)</f>
        <v/>
      </c>
      <c r="AP98">
        <f>SUMIFS(T_Shipments[Confirmed_Qty],T_Shipments[RM_Code],$A98,T_Shipments[Effective_Week],41)</f>
        <v/>
      </c>
      <c r="AQ98">
        <f>SUMIFS(T_Shipments[Confirmed_Qty],T_Shipments[RM_Code],$A98,T_Shipments[Effective_Week],42)</f>
        <v/>
      </c>
      <c r="AR98">
        <f>SUMIFS(T_Shipments[Confirmed_Qty],T_Shipments[RM_Code],$A98,T_Shipments[Effective_Week],43)</f>
        <v/>
      </c>
      <c r="AS98">
        <f>SUMIFS(T_Shipments[Confirmed_Qty],T_Shipments[RM_Code],$A98,T_Shipments[Effective_Week],44)</f>
        <v/>
      </c>
      <c r="AT98">
        <f>SUMIFS(T_Shipments[Confirmed_Qty],T_Shipments[RM_Code],$A98,T_Shipments[Effective_Week],45)</f>
        <v/>
      </c>
      <c r="AU98">
        <f>SUMIFS(T_Shipments[Confirmed_Qty],T_Shipments[RM_Code],$A98,T_Shipments[Effective_Week],46)</f>
        <v/>
      </c>
      <c r="AV98">
        <f>SUMIFS(T_Shipments[Confirmed_Qty],T_Shipments[RM_Code],$A98,T_Shipments[Effective_Week],47)</f>
        <v/>
      </c>
      <c r="AW98">
        <f>SUMIFS(T_Shipments[Confirmed_Qty],T_Shipments[RM_Code],$A98,T_Shipments[Effective_Week],48)</f>
        <v/>
      </c>
      <c r="AX98">
        <f>SUMIFS(T_Shipments[Confirmed_Qty],T_Shipments[RM_Code],$A98,T_Shipments[Effective_Week],49)</f>
        <v/>
      </c>
      <c r="AY98">
        <f>SUMIFS(T_Shipments[Confirmed_Qty],T_Shipments[RM_Code],$A98,T_Shipments[Effective_Week],50)</f>
        <v/>
      </c>
      <c r="AZ98">
        <f>SUMIFS(T_Shipments[Confirmed_Qty],T_Shipments[RM_Code],$A98,T_Shipments[Effective_Week],51)</f>
        <v/>
      </c>
      <c r="BA98">
        <f>SUMIFS(T_Shipments[Confirmed_Qty],T_Shipments[RM_Code],$A98,T_Shipments[Effective_Week],52)</f>
        <v/>
      </c>
      <c r="BB98">
        <f>SUMIFS(T_Shipments[Confirmed_Qty],T_Shipments[RM_Code],$A98,T_Shipments[Effective_Week],53)</f>
        <v/>
      </c>
      <c r="BC98">
        <f>SUMIFS(T_Shipments[Confirmed_Qty],T_Shipments[RM_Code],$A98,T_Shipments[Effective_Week],54)</f>
        <v/>
      </c>
      <c r="BD98">
        <f>SUMIFS(T_Shipments[Confirmed_Qty],T_Shipments[RM_Code],$A98,T_Shipments[Effective_Week],55)</f>
        <v/>
      </c>
      <c r="BE98">
        <f>SUMIFS(T_Shipments[Confirmed_Qty],T_Shipments[RM_Code],$A98,T_Shipments[Effective_Week],56)</f>
        <v/>
      </c>
      <c r="BF98">
        <f>SUMIFS(T_Shipments[Confirmed_Qty],T_Shipments[RM_Code],$A98,T_Shipments[Effective_Week],57)</f>
        <v/>
      </c>
      <c r="BG98">
        <f>SUMIFS(T_Shipments[Confirmed_Qty],T_Shipments[RM_Code],$A98,T_Shipments[Effective_Week],58)</f>
        <v/>
      </c>
      <c r="BH98">
        <f>SUMIFS(T_Shipments[Confirmed_Qty],T_Shipments[RM_Code],$A98,T_Shipments[Effective_Week],59)</f>
        <v/>
      </c>
      <c r="BI98">
        <f>SUMIFS(T_Shipments[Confirmed_Qty],T_Shipments[RM_Code],$A98,T_Shipments[Effective_Week],60)</f>
        <v/>
      </c>
      <c r="BJ98">
        <f>SUMIFS(T_Shipments[Confirmed_Qty],T_Shipments[RM_Code],$A98,T_Shipments[Effective_Week],61)</f>
        <v/>
      </c>
      <c r="BK98">
        <f>SUMIFS(T_Shipments[Confirmed_Qty],T_Shipments[RM_Code],$A98,T_Shipments[Effective_Week],62)</f>
        <v/>
      </c>
      <c r="BL98">
        <f>SUMIFS(T_Shipments[Confirmed_Qty],T_Shipments[RM_Code],$A98,T_Shipments[Effective_Week],63)</f>
        <v/>
      </c>
      <c r="BM98">
        <f>SUMIFS(T_Shipments[Confirmed_Qty],T_Shipments[RM_Code],$A98,T_Shipments[Effective_Week],64)</f>
        <v/>
      </c>
      <c r="BN98">
        <f>SUMIFS(T_Shipments[Confirmed_Qty],T_Shipments[RM_Code],$A98,T_Shipments[Effective_Week],65)</f>
        <v/>
      </c>
      <c r="BO98">
        <f>SUMIFS(T_Shipments[Confirmed_Qty],T_Shipments[RM_Code],$A98,T_Shipments[Effective_Week],66)</f>
        <v/>
      </c>
      <c r="BP98">
        <f>SUMIFS(T_Shipments[Confirmed_Qty],T_Shipments[RM_Code],$A98,T_Shipments[Effective_Week],67)</f>
        <v/>
      </c>
      <c r="BQ98">
        <f>SUMIFS(T_Shipments[Confirmed_Qty],T_Shipments[RM_Code],$A98,T_Shipments[Effective_Week],68)</f>
        <v/>
      </c>
      <c r="BR98">
        <f>SUMIFS(T_Shipments[Confirmed_Qty],T_Shipments[RM_Code],$A98,T_Shipments[Effective_Week],69)</f>
        <v/>
      </c>
      <c r="BS98">
        <f>SUMIFS(T_Shipments[Confirmed_Qty],T_Shipments[RM_Code],$A98,T_Shipments[Effective_Week],70)</f>
        <v/>
      </c>
      <c r="BT98">
        <f>SUMIFS(T_Shipments[Confirmed_Qty],T_Shipments[RM_Code],$A98,T_Shipments[Effective_Week],71)</f>
        <v/>
      </c>
      <c r="BU98">
        <f>SUMIFS(T_Shipments[Confirmed_Qty],T_Shipments[RM_Code],$A98,T_Shipments[Effective_Week],72)</f>
        <v/>
      </c>
      <c r="BV98">
        <f>SUMIFS(T_Shipments[Confirmed_Qty],T_Shipments[RM_Code],$A98,T_Shipments[Effective_Week],73)</f>
        <v/>
      </c>
      <c r="BW98">
        <f>SUMIFS(T_Shipments[Confirmed_Qty],T_Shipments[RM_Code],$A98,T_Shipments[Effective_Week],74)</f>
        <v/>
      </c>
      <c r="BX98">
        <f>SUMIFS(T_Shipments[Confirmed_Qty],T_Shipments[RM_Code],$A98,T_Shipments[Effective_Week],75)</f>
        <v/>
      </c>
      <c r="BY98">
        <f>SUMIFS(T_Shipments[Confirmed_Qty],T_Shipments[RM_Code],$A98,T_Shipments[Effective_Week],76)</f>
        <v/>
      </c>
      <c r="BZ98">
        <f>SUMIFS(T_Shipments[Confirmed_Qty],T_Shipments[RM_Code],$A98,T_Shipments[Effective_Week],77)</f>
        <v/>
      </c>
      <c r="CA98">
        <f>SUMIFS(T_Shipments[Confirmed_Qty],T_Shipments[RM_Code],$A98,T_Shipments[Effective_Week],78)</f>
        <v/>
      </c>
      <c r="CB98">
        <f>SUMIFS(T_Shipments[Confirmed_Qty],T_Shipments[RM_Code],$A98,T_Shipments[Effective_Week],79)</f>
        <v/>
      </c>
      <c r="CC98">
        <f>SUMIFS(T_Shipments[Confirmed_Qty],T_Shipments[RM_Code],$A98,T_Shipments[Effective_Week],80)</f>
        <v/>
      </c>
      <c r="CD98">
        <f>SUMIFS(T_Shipments[Confirmed_Qty],T_Shipments[RM_Code],$A98,T_Shipments[Effective_Week],81)</f>
        <v/>
      </c>
      <c r="CE98">
        <f>SUMIFS(T_Shipments[Confirmed_Qty],T_Shipments[RM_Code],$A98,T_Shipments[Effective_Week],82)</f>
        <v/>
      </c>
      <c r="CF98">
        <f>SUMIFS(T_Shipments[Confirmed_Qty],T_Shipments[RM_Code],$A98,T_Shipments[Effective_Week],83)</f>
        <v/>
      </c>
      <c r="CG98">
        <f>SUMIFS(T_Shipments[Confirmed_Qty],T_Shipments[RM_Code],$A98,T_Shipments[Effective_Week],84)</f>
        <v/>
      </c>
      <c r="CH98">
        <f>SUMIFS(T_Shipments[Confirmed_Qty],T_Shipments[RM_Code],$A98,T_Shipments[Effective_Week],85)</f>
        <v/>
      </c>
      <c r="CI98">
        <f>SUMIFS(T_Shipments[Confirmed_Qty],T_Shipments[RM_Code],$A98,T_Shipments[Effective_Week],86)</f>
        <v/>
      </c>
      <c r="CJ98">
        <f>SUMIFS(T_Shipments[Confirmed_Qty],T_Shipments[RM_Code],$A98,T_Shipments[Effective_Week],87)</f>
        <v/>
      </c>
      <c r="CK98">
        <f>SUMIFS(T_Shipments[Confirmed_Qty],T_Shipments[RM_Code],$A98,T_Shipments[Effective_Week],88)</f>
        <v/>
      </c>
      <c r="CL98">
        <f>SUMIFS(T_Shipments[Confirmed_Qty],T_Shipments[RM_Code],$A98,T_Shipments[Effective_Week],89)</f>
        <v/>
      </c>
      <c r="CM98">
        <f>SUMIFS(T_Shipments[Confirmed_Qty],T_Shipments[RM_Code],$A98,T_Shipments[Effective_Week],90)</f>
        <v/>
      </c>
      <c r="CN98">
        <f>SUMIFS(T_Shipments[Confirmed_Qty],T_Shipments[RM_Code],$A98,T_Shipments[Effective_Week],91)</f>
        <v/>
      </c>
      <c r="CO98">
        <f>SUMIFS(T_Shipments[Confirmed_Qty],T_Shipments[RM_Code],$A98,T_Shipments[Effective_Week],92)</f>
        <v/>
      </c>
      <c r="CP98">
        <f>SUMIFS(T_Shipments[Confirmed_Qty],T_Shipments[RM_Code],$A98,T_Shipments[Effective_Week],93)</f>
        <v/>
      </c>
      <c r="CQ98">
        <f>SUMIFS(T_Shipments[Confirmed_Qty],T_Shipments[RM_Code],$A98,T_Shipments[Effective_Week],94)</f>
        <v/>
      </c>
      <c r="CR98">
        <f>SUMIFS(T_Shipments[Confirmed_Qty],T_Shipments[RM_Code],$A98,T_Shipments[Effective_Week],95)</f>
        <v/>
      </c>
      <c r="CS98">
        <f>SUMIFS(T_Shipments[Confirmed_Qty],T_Shipments[RM_Code],$A98,T_Shipments[Effective_Week],96)</f>
        <v/>
      </c>
      <c r="CT98">
        <f>SUMIFS(T_Shipments[Confirmed_Qty],T_Shipments[RM_Code],$A98,T_Shipments[Effective_Week],97)</f>
        <v/>
      </c>
      <c r="CU98">
        <f>SUMIFS(T_Shipments[Confirmed_Qty],T_Shipments[RM_Code],$A98,T_Shipments[Effective_Week],98)</f>
        <v/>
      </c>
      <c r="CV98">
        <f>SUMIFS(T_Shipments[Confirmed_Qty],T_Shipments[RM_Code],$A98,T_Shipments[Effective_Week],99)</f>
        <v/>
      </c>
      <c r="CW98">
        <f>SUMIFS(T_Shipments[Confirmed_Qty],T_Shipments[RM_Code],$A98,T_Shipments[Effective_Week],100)</f>
        <v/>
      </c>
      <c r="CX98">
        <f>SUMIFS(T_Shipments[Confirmed_Qty],T_Shipments[RM_Code],$A98,T_Shipments[Effective_Week],101)</f>
        <v/>
      </c>
      <c r="CY98">
        <f>SUMIFS(T_Shipments[Confirmed_Qty],T_Shipments[RM_Code],$A98,T_Shipments[Effective_Week],102)</f>
        <v/>
      </c>
      <c r="CZ98">
        <f>SUMIFS(T_Shipments[Confirmed_Qty],T_Shipments[RM_Code],$A98,T_Shipments[Effective_Week],103)</f>
        <v/>
      </c>
      <c r="DA98">
        <f>SUMIFS(T_Shipments[Confirmed_Qty],T_Shipments[RM_Code],$A98,T_Shipments[Effective_Week],104)</f>
        <v/>
      </c>
    </row>
    <row r="99">
      <c r="A99" t="inlineStr">
        <is>
          <t>CHEM-1190</t>
        </is>
      </c>
      <c r="B99">
        <f>SUMIFS(T_Shipments[Confirmed_Qty],T_Shipments[RM_Code],$A99,T_Shipments[Effective_Week],1)</f>
        <v/>
      </c>
      <c r="C99">
        <f>SUMIFS(T_Shipments[Confirmed_Qty],T_Shipments[RM_Code],$A99,T_Shipments[Effective_Week],2)</f>
        <v/>
      </c>
      <c r="D99">
        <f>SUMIFS(T_Shipments[Confirmed_Qty],T_Shipments[RM_Code],$A99,T_Shipments[Effective_Week],3)</f>
        <v/>
      </c>
      <c r="E99">
        <f>SUMIFS(T_Shipments[Confirmed_Qty],T_Shipments[RM_Code],$A99,T_Shipments[Effective_Week],4)</f>
        <v/>
      </c>
      <c r="F99">
        <f>SUMIFS(T_Shipments[Confirmed_Qty],T_Shipments[RM_Code],$A99,T_Shipments[Effective_Week],5)</f>
        <v/>
      </c>
      <c r="G99">
        <f>SUMIFS(T_Shipments[Confirmed_Qty],T_Shipments[RM_Code],$A99,T_Shipments[Effective_Week],6)</f>
        <v/>
      </c>
      <c r="H99">
        <f>SUMIFS(T_Shipments[Confirmed_Qty],T_Shipments[RM_Code],$A99,T_Shipments[Effective_Week],7)</f>
        <v/>
      </c>
      <c r="I99">
        <f>SUMIFS(T_Shipments[Confirmed_Qty],T_Shipments[RM_Code],$A99,T_Shipments[Effective_Week],8)</f>
        <v/>
      </c>
      <c r="J99">
        <f>SUMIFS(T_Shipments[Confirmed_Qty],T_Shipments[RM_Code],$A99,T_Shipments[Effective_Week],9)</f>
        <v/>
      </c>
      <c r="K99">
        <f>SUMIFS(T_Shipments[Confirmed_Qty],T_Shipments[RM_Code],$A99,T_Shipments[Effective_Week],10)</f>
        <v/>
      </c>
      <c r="L99">
        <f>SUMIFS(T_Shipments[Confirmed_Qty],T_Shipments[RM_Code],$A99,T_Shipments[Effective_Week],11)</f>
        <v/>
      </c>
      <c r="M99">
        <f>SUMIFS(T_Shipments[Confirmed_Qty],T_Shipments[RM_Code],$A99,T_Shipments[Effective_Week],12)</f>
        <v/>
      </c>
      <c r="N99">
        <f>SUMIFS(T_Shipments[Confirmed_Qty],T_Shipments[RM_Code],$A99,T_Shipments[Effective_Week],13)</f>
        <v/>
      </c>
      <c r="O99">
        <f>SUMIFS(T_Shipments[Confirmed_Qty],T_Shipments[RM_Code],$A99,T_Shipments[Effective_Week],14)</f>
        <v/>
      </c>
      <c r="P99">
        <f>SUMIFS(T_Shipments[Confirmed_Qty],T_Shipments[RM_Code],$A99,T_Shipments[Effective_Week],15)</f>
        <v/>
      </c>
      <c r="Q99">
        <f>SUMIFS(T_Shipments[Confirmed_Qty],T_Shipments[RM_Code],$A99,T_Shipments[Effective_Week],16)</f>
        <v/>
      </c>
      <c r="R99">
        <f>SUMIFS(T_Shipments[Confirmed_Qty],T_Shipments[RM_Code],$A99,T_Shipments[Effective_Week],17)</f>
        <v/>
      </c>
      <c r="S99">
        <f>SUMIFS(T_Shipments[Confirmed_Qty],T_Shipments[RM_Code],$A99,T_Shipments[Effective_Week],18)</f>
        <v/>
      </c>
      <c r="T99">
        <f>SUMIFS(T_Shipments[Confirmed_Qty],T_Shipments[RM_Code],$A99,T_Shipments[Effective_Week],19)</f>
        <v/>
      </c>
      <c r="U99">
        <f>SUMIFS(T_Shipments[Confirmed_Qty],T_Shipments[RM_Code],$A99,T_Shipments[Effective_Week],20)</f>
        <v/>
      </c>
      <c r="V99">
        <f>SUMIFS(T_Shipments[Confirmed_Qty],T_Shipments[RM_Code],$A99,T_Shipments[Effective_Week],21)</f>
        <v/>
      </c>
      <c r="W99">
        <f>SUMIFS(T_Shipments[Confirmed_Qty],T_Shipments[RM_Code],$A99,T_Shipments[Effective_Week],22)</f>
        <v/>
      </c>
      <c r="X99">
        <f>SUMIFS(T_Shipments[Confirmed_Qty],T_Shipments[RM_Code],$A99,T_Shipments[Effective_Week],23)</f>
        <v/>
      </c>
      <c r="Y99">
        <f>SUMIFS(T_Shipments[Confirmed_Qty],T_Shipments[RM_Code],$A99,T_Shipments[Effective_Week],24)</f>
        <v/>
      </c>
      <c r="Z99">
        <f>SUMIFS(T_Shipments[Confirmed_Qty],T_Shipments[RM_Code],$A99,T_Shipments[Effective_Week],25)</f>
        <v/>
      </c>
      <c r="AA99">
        <f>SUMIFS(T_Shipments[Confirmed_Qty],T_Shipments[RM_Code],$A99,T_Shipments[Effective_Week],26)</f>
        <v/>
      </c>
      <c r="AB99">
        <f>SUMIFS(T_Shipments[Confirmed_Qty],T_Shipments[RM_Code],$A99,T_Shipments[Effective_Week],27)</f>
        <v/>
      </c>
      <c r="AC99">
        <f>SUMIFS(T_Shipments[Confirmed_Qty],T_Shipments[RM_Code],$A99,T_Shipments[Effective_Week],28)</f>
        <v/>
      </c>
      <c r="AD99">
        <f>SUMIFS(T_Shipments[Confirmed_Qty],T_Shipments[RM_Code],$A99,T_Shipments[Effective_Week],29)</f>
        <v/>
      </c>
      <c r="AE99">
        <f>SUMIFS(T_Shipments[Confirmed_Qty],T_Shipments[RM_Code],$A99,T_Shipments[Effective_Week],30)</f>
        <v/>
      </c>
      <c r="AF99">
        <f>SUMIFS(T_Shipments[Confirmed_Qty],T_Shipments[RM_Code],$A99,T_Shipments[Effective_Week],31)</f>
        <v/>
      </c>
      <c r="AG99">
        <f>SUMIFS(T_Shipments[Confirmed_Qty],T_Shipments[RM_Code],$A99,T_Shipments[Effective_Week],32)</f>
        <v/>
      </c>
      <c r="AH99">
        <f>SUMIFS(T_Shipments[Confirmed_Qty],T_Shipments[RM_Code],$A99,T_Shipments[Effective_Week],33)</f>
        <v/>
      </c>
      <c r="AI99">
        <f>SUMIFS(T_Shipments[Confirmed_Qty],T_Shipments[RM_Code],$A99,T_Shipments[Effective_Week],34)</f>
        <v/>
      </c>
      <c r="AJ99">
        <f>SUMIFS(T_Shipments[Confirmed_Qty],T_Shipments[RM_Code],$A99,T_Shipments[Effective_Week],35)</f>
        <v/>
      </c>
      <c r="AK99">
        <f>SUMIFS(T_Shipments[Confirmed_Qty],T_Shipments[RM_Code],$A99,T_Shipments[Effective_Week],36)</f>
        <v/>
      </c>
      <c r="AL99">
        <f>SUMIFS(T_Shipments[Confirmed_Qty],T_Shipments[RM_Code],$A99,T_Shipments[Effective_Week],37)</f>
        <v/>
      </c>
      <c r="AM99">
        <f>SUMIFS(T_Shipments[Confirmed_Qty],T_Shipments[RM_Code],$A99,T_Shipments[Effective_Week],38)</f>
        <v/>
      </c>
      <c r="AN99">
        <f>SUMIFS(T_Shipments[Confirmed_Qty],T_Shipments[RM_Code],$A99,T_Shipments[Effective_Week],39)</f>
        <v/>
      </c>
      <c r="AO99">
        <f>SUMIFS(T_Shipments[Confirmed_Qty],T_Shipments[RM_Code],$A99,T_Shipments[Effective_Week],40)</f>
        <v/>
      </c>
      <c r="AP99">
        <f>SUMIFS(T_Shipments[Confirmed_Qty],T_Shipments[RM_Code],$A99,T_Shipments[Effective_Week],41)</f>
        <v/>
      </c>
      <c r="AQ99">
        <f>SUMIFS(T_Shipments[Confirmed_Qty],T_Shipments[RM_Code],$A99,T_Shipments[Effective_Week],42)</f>
        <v/>
      </c>
      <c r="AR99">
        <f>SUMIFS(T_Shipments[Confirmed_Qty],T_Shipments[RM_Code],$A99,T_Shipments[Effective_Week],43)</f>
        <v/>
      </c>
      <c r="AS99">
        <f>SUMIFS(T_Shipments[Confirmed_Qty],T_Shipments[RM_Code],$A99,T_Shipments[Effective_Week],44)</f>
        <v/>
      </c>
      <c r="AT99">
        <f>SUMIFS(T_Shipments[Confirmed_Qty],T_Shipments[RM_Code],$A99,T_Shipments[Effective_Week],45)</f>
        <v/>
      </c>
      <c r="AU99">
        <f>SUMIFS(T_Shipments[Confirmed_Qty],T_Shipments[RM_Code],$A99,T_Shipments[Effective_Week],46)</f>
        <v/>
      </c>
      <c r="AV99">
        <f>SUMIFS(T_Shipments[Confirmed_Qty],T_Shipments[RM_Code],$A99,T_Shipments[Effective_Week],47)</f>
        <v/>
      </c>
      <c r="AW99">
        <f>SUMIFS(T_Shipments[Confirmed_Qty],T_Shipments[RM_Code],$A99,T_Shipments[Effective_Week],48)</f>
        <v/>
      </c>
      <c r="AX99">
        <f>SUMIFS(T_Shipments[Confirmed_Qty],T_Shipments[RM_Code],$A99,T_Shipments[Effective_Week],49)</f>
        <v/>
      </c>
      <c r="AY99">
        <f>SUMIFS(T_Shipments[Confirmed_Qty],T_Shipments[RM_Code],$A99,T_Shipments[Effective_Week],50)</f>
        <v/>
      </c>
      <c r="AZ99">
        <f>SUMIFS(T_Shipments[Confirmed_Qty],T_Shipments[RM_Code],$A99,T_Shipments[Effective_Week],51)</f>
        <v/>
      </c>
      <c r="BA99">
        <f>SUMIFS(T_Shipments[Confirmed_Qty],T_Shipments[RM_Code],$A99,T_Shipments[Effective_Week],52)</f>
        <v/>
      </c>
      <c r="BB99">
        <f>SUMIFS(T_Shipments[Confirmed_Qty],T_Shipments[RM_Code],$A99,T_Shipments[Effective_Week],53)</f>
        <v/>
      </c>
      <c r="BC99">
        <f>SUMIFS(T_Shipments[Confirmed_Qty],T_Shipments[RM_Code],$A99,T_Shipments[Effective_Week],54)</f>
        <v/>
      </c>
      <c r="BD99">
        <f>SUMIFS(T_Shipments[Confirmed_Qty],T_Shipments[RM_Code],$A99,T_Shipments[Effective_Week],55)</f>
        <v/>
      </c>
      <c r="BE99">
        <f>SUMIFS(T_Shipments[Confirmed_Qty],T_Shipments[RM_Code],$A99,T_Shipments[Effective_Week],56)</f>
        <v/>
      </c>
      <c r="BF99">
        <f>SUMIFS(T_Shipments[Confirmed_Qty],T_Shipments[RM_Code],$A99,T_Shipments[Effective_Week],57)</f>
        <v/>
      </c>
      <c r="BG99">
        <f>SUMIFS(T_Shipments[Confirmed_Qty],T_Shipments[RM_Code],$A99,T_Shipments[Effective_Week],58)</f>
        <v/>
      </c>
      <c r="BH99">
        <f>SUMIFS(T_Shipments[Confirmed_Qty],T_Shipments[RM_Code],$A99,T_Shipments[Effective_Week],59)</f>
        <v/>
      </c>
      <c r="BI99">
        <f>SUMIFS(T_Shipments[Confirmed_Qty],T_Shipments[RM_Code],$A99,T_Shipments[Effective_Week],60)</f>
        <v/>
      </c>
      <c r="BJ99">
        <f>SUMIFS(T_Shipments[Confirmed_Qty],T_Shipments[RM_Code],$A99,T_Shipments[Effective_Week],61)</f>
        <v/>
      </c>
      <c r="BK99">
        <f>SUMIFS(T_Shipments[Confirmed_Qty],T_Shipments[RM_Code],$A99,T_Shipments[Effective_Week],62)</f>
        <v/>
      </c>
      <c r="BL99">
        <f>SUMIFS(T_Shipments[Confirmed_Qty],T_Shipments[RM_Code],$A99,T_Shipments[Effective_Week],63)</f>
        <v/>
      </c>
      <c r="BM99">
        <f>SUMIFS(T_Shipments[Confirmed_Qty],T_Shipments[RM_Code],$A99,T_Shipments[Effective_Week],64)</f>
        <v/>
      </c>
      <c r="BN99">
        <f>SUMIFS(T_Shipments[Confirmed_Qty],T_Shipments[RM_Code],$A99,T_Shipments[Effective_Week],65)</f>
        <v/>
      </c>
      <c r="BO99">
        <f>SUMIFS(T_Shipments[Confirmed_Qty],T_Shipments[RM_Code],$A99,T_Shipments[Effective_Week],66)</f>
        <v/>
      </c>
      <c r="BP99">
        <f>SUMIFS(T_Shipments[Confirmed_Qty],T_Shipments[RM_Code],$A99,T_Shipments[Effective_Week],67)</f>
        <v/>
      </c>
      <c r="BQ99">
        <f>SUMIFS(T_Shipments[Confirmed_Qty],T_Shipments[RM_Code],$A99,T_Shipments[Effective_Week],68)</f>
        <v/>
      </c>
      <c r="BR99">
        <f>SUMIFS(T_Shipments[Confirmed_Qty],T_Shipments[RM_Code],$A99,T_Shipments[Effective_Week],69)</f>
        <v/>
      </c>
      <c r="BS99">
        <f>SUMIFS(T_Shipments[Confirmed_Qty],T_Shipments[RM_Code],$A99,T_Shipments[Effective_Week],70)</f>
        <v/>
      </c>
      <c r="BT99">
        <f>SUMIFS(T_Shipments[Confirmed_Qty],T_Shipments[RM_Code],$A99,T_Shipments[Effective_Week],71)</f>
        <v/>
      </c>
      <c r="BU99">
        <f>SUMIFS(T_Shipments[Confirmed_Qty],T_Shipments[RM_Code],$A99,T_Shipments[Effective_Week],72)</f>
        <v/>
      </c>
      <c r="BV99">
        <f>SUMIFS(T_Shipments[Confirmed_Qty],T_Shipments[RM_Code],$A99,T_Shipments[Effective_Week],73)</f>
        <v/>
      </c>
      <c r="BW99">
        <f>SUMIFS(T_Shipments[Confirmed_Qty],T_Shipments[RM_Code],$A99,T_Shipments[Effective_Week],74)</f>
        <v/>
      </c>
      <c r="BX99">
        <f>SUMIFS(T_Shipments[Confirmed_Qty],T_Shipments[RM_Code],$A99,T_Shipments[Effective_Week],75)</f>
        <v/>
      </c>
      <c r="BY99">
        <f>SUMIFS(T_Shipments[Confirmed_Qty],T_Shipments[RM_Code],$A99,T_Shipments[Effective_Week],76)</f>
        <v/>
      </c>
      <c r="BZ99">
        <f>SUMIFS(T_Shipments[Confirmed_Qty],T_Shipments[RM_Code],$A99,T_Shipments[Effective_Week],77)</f>
        <v/>
      </c>
      <c r="CA99">
        <f>SUMIFS(T_Shipments[Confirmed_Qty],T_Shipments[RM_Code],$A99,T_Shipments[Effective_Week],78)</f>
        <v/>
      </c>
      <c r="CB99">
        <f>SUMIFS(T_Shipments[Confirmed_Qty],T_Shipments[RM_Code],$A99,T_Shipments[Effective_Week],79)</f>
        <v/>
      </c>
      <c r="CC99">
        <f>SUMIFS(T_Shipments[Confirmed_Qty],T_Shipments[RM_Code],$A99,T_Shipments[Effective_Week],80)</f>
        <v/>
      </c>
      <c r="CD99">
        <f>SUMIFS(T_Shipments[Confirmed_Qty],T_Shipments[RM_Code],$A99,T_Shipments[Effective_Week],81)</f>
        <v/>
      </c>
      <c r="CE99">
        <f>SUMIFS(T_Shipments[Confirmed_Qty],T_Shipments[RM_Code],$A99,T_Shipments[Effective_Week],82)</f>
        <v/>
      </c>
      <c r="CF99">
        <f>SUMIFS(T_Shipments[Confirmed_Qty],T_Shipments[RM_Code],$A99,T_Shipments[Effective_Week],83)</f>
        <v/>
      </c>
      <c r="CG99">
        <f>SUMIFS(T_Shipments[Confirmed_Qty],T_Shipments[RM_Code],$A99,T_Shipments[Effective_Week],84)</f>
        <v/>
      </c>
      <c r="CH99">
        <f>SUMIFS(T_Shipments[Confirmed_Qty],T_Shipments[RM_Code],$A99,T_Shipments[Effective_Week],85)</f>
        <v/>
      </c>
      <c r="CI99">
        <f>SUMIFS(T_Shipments[Confirmed_Qty],T_Shipments[RM_Code],$A99,T_Shipments[Effective_Week],86)</f>
        <v/>
      </c>
      <c r="CJ99">
        <f>SUMIFS(T_Shipments[Confirmed_Qty],T_Shipments[RM_Code],$A99,T_Shipments[Effective_Week],87)</f>
        <v/>
      </c>
      <c r="CK99">
        <f>SUMIFS(T_Shipments[Confirmed_Qty],T_Shipments[RM_Code],$A99,T_Shipments[Effective_Week],88)</f>
        <v/>
      </c>
      <c r="CL99">
        <f>SUMIFS(T_Shipments[Confirmed_Qty],T_Shipments[RM_Code],$A99,T_Shipments[Effective_Week],89)</f>
        <v/>
      </c>
      <c r="CM99">
        <f>SUMIFS(T_Shipments[Confirmed_Qty],T_Shipments[RM_Code],$A99,T_Shipments[Effective_Week],90)</f>
        <v/>
      </c>
      <c r="CN99">
        <f>SUMIFS(T_Shipments[Confirmed_Qty],T_Shipments[RM_Code],$A99,T_Shipments[Effective_Week],91)</f>
        <v/>
      </c>
      <c r="CO99">
        <f>SUMIFS(T_Shipments[Confirmed_Qty],T_Shipments[RM_Code],$A99,T_Shipments[Effective_Week],92)</f>
        <v/>
      </c>
      <c r="CP99">
        <f>SUMIFS(T_Shipments[Confirmed_Qty],T_Shipments[RM_Code],$A99,T_Shipments[Effective_Week],93)</f>
        <v/>
      </c>
      <c r="CQ99">
        <f>SUMIFS(T_Shipments[Confirmed_Qty],T_Shipments[RM_Code],$A99,T_Shipments[Effective_Week],94)</f>
        <v/>
      </c>
      <c r="CR99">
        <f>SUMIFS(T_Shipments[Confirmed_Qty],T_Shipments[RM_Code],$A99,T_Shipments[Effective_Week],95)</f>
        <v/>
      </c>
      <c r="CS99">
        <f>SUMIFS(T_Shipments[Confirmed_Qty],T_Shipments[RM_Code],$A99,T_Shipments[Effective_Week],96)</f>
        <v/>
      </c>
      <c r="CT99">
        <f>SUMIFS(T_Shipments[Confirmed_Qty],T_Shipments[RM_Code],$A99,T_Shipments[Effective_Week],97)</f>
        <v/>
      </c>
      <c r="CU99">
        <f>SUMIFS(T_Shipments[Confirmed_Qty],T_Shipments[RM_Code],$A99,T_Shipments[Effective_Week],98)</f>
        <v/>
      </c>
      <c r="CV99">
        <f>SUMIFS(T_Shipments[Confirmed_Qty],T_Shipments[RM_Code],$A99,T_Shipments[Effective_Week],99)</f>
        <v/>
      </c>
      <c r="CW99">
        <f>SUMIFS(T_Shipments[Confirmed_Qty],T_Shipments[RM_Code],$A99,T_Shipments[Effective_Week],100)</f>
        <v/>
      </c>
      <c r="CX99">
        <f>SUMIFS(T_Shipments[Confirmed_Qty],T_Shipments[RM_Code],$A99,T_Shipments[Effective_Week],101)</f>
        <v/>
      </c>
      <c r="CY99">
        <f>SUMIFS(T_Shipments[Confirmed_Qty],T_Shipments[RM_Code],$A99,T_Shipments[Effective_Week],102)</f>
        <v/>
      </c>
      <c r="CZ99">
        <f>SUMIFS(T_Shipments[Confirmed_Qty],T_Shipments[RM_Code],$A99,T_Shipments[Effective_Week],103)</f>
        <v/>
      </c>
      <c r="DA99">
        <f>SUMIFS(T_Shipments[Confirmed_Qty],T_Shipments[RM_Code],$A99,T_Shipments[Effective_Week],104)</f>
        <v/>
      </c>
    </row>
    <row r="100">
      <c r="A100" t="inlineStr">
        <is>
          <t>CHEM-1630</t>
        </is>
      </c>
      <c r="B100">
        <f>SUMIFS(T_Shipments[Confirmed_Qty],T_Shipments[RM_Code],$A100,T_Shipments[Effective_Week],1)</f>
        <v/>
      </c>
      <c r="C100">
        <f>SUMIFS(T_Shipments[Confirmed_Qty],T_Shipments[RM_Code],$A100,T_Shipments[Effective_Week],2)</f>
        <v/>
      </c>
      <c r="D100">
        <f>SUMIFS(T_Shipments[Confirmed_Qty],T_Shipments[RM_Code],$A100,T_Shipments[Effective_Week],3)</f>
        <v/>
      </c>
      <c r="E100">
        <f>SUMIFS(T_Shipments[Confirmed_Qty],T_Shipments[RM_Code],$A100,T_Shipments[Effective_Week],4)</f>
        <v/>
      </c>
      <c r="F100">
        <f>SUMIFS(T_Shipments[Confirmed_Qty],T_Shipments[RM_Code],$A100,T_Shipments[Effective_Week],5)</f>
        <v/>
      </c>
      <c r="G100">
        <f>SUMIFS(T_Shipments[Confirmed_Qty],T_Shipments[RM_Code],$A100,T_Shipments[Effective_Week],6)</f>
        <v/>
      </c>
      <c r="H100">
        <f>SUMIFS(T_Shipments[Confirmed_Qty],T_Shipments[RM_Code],$A100,T_Shipments[Effective_Week],7)</f>
        <v/>
      </c>
      <c r="I100">
        <f>SUMIFS(T_Shipments[Confirmed_Qty],T_Shipments[RM_Code],$A100,T_Shipments[Effective_Week],8)</f>
        <v/>
      </c>
      <c r="J100">
        <f>SUMIFS(T_Shipments[Confirmed_Qty],T_Shipments[RM_Code],$A100,T_Shipments[Effective_Week],9)</f>
        <v/>
      </c>
      <c r="K100">
        <f>SUMIFS(T_Shipments[Confirmed_Qty],T_Shipments[RM_Code],$A100,T_Shipments[Effective_Week],10)</f>
        <v/>
      </c>
      <c r="L100">
        <f>SUMIFS(T_Shipments[Confirmed_Qty],T_Shipments[RM_Code],$A100,T_Shipments[Effective_Week],11)</f>
        <v/>
      </c>
      <c r="M100">
        <f>SUMIFS(T_Shipments[Confirmed_Qty],T_Shipments[RM_Code],$A100,T_Shipments[Effective_Week],12)</f>
        <v/>
      </c>
      <c r="N100">
        <f>SUMIFS(T_Shipments[Confirmed_Qty],T_Shipments[RM_Code],$A100,T_Shipments[Effective_Week],13)</f>
        <v/>
      </c>
      <c r="O100">
        <f>SUMIFS(T_Shipments[Confirmed_Qty],T_Shipments[RM_Code],$A100,T_Shipments[Effective_Week],14)</f>
        <v/>
      </c>
      <c r="P100">
        <f>SUMIFS(T_Shipments[Confirmed_Qty],T_Shipments[RM_Code],$A100,T_Shipments[Effective_Week],15)</f>
        <v/>
      </c>
      <c r="Q100">
        <f>SUMIFS(T_Shipments[Confirmed_Qty],T_Shipments[RM_Code],$A100,T_Shipments[Effective_Week],16)</f>
        <v/>
      </c>
      <c r="R100">
        <f>SUMIFS(T_Shipments[Confirmed_Qty],T_Shipments[RM_Code],$A100,T_Shipments[Effective_Week],17)</f>
        <v/>
      </c>
      <c r="S100">
        <f>SUMIFS(T_Shipments[Confirmed_Qty],T_Shipments[RM_Code],$A100,T_Shipments[Effective_Week],18)</f>
        <v/>
      </c>
      <c r="T100">
        <f>SUMIFS(T_Shipments[Confirmed_Qty],T_Shipments[RM_Code],$A100,T_Shipments[Effective_Week],19)</f>
        <v/>
      </c>
      <c r="U100">
        <f>SUMIFS(T_Shipments[Confirmed_Qty],T_Shipments[RM_Code],$A100,T_Shipments[Effective_Week],20)</f>
        <v/>
      </c>
      <c r="V100">
        <f>SUMIFS(T_Shipments[Confirmed_Qty],T_Shipments[RM_Code],$A100,T_Shipments[Effective_Week],21)</f>
        <v/>
      </c>
      <c r="W100">
        <f>SUMIFS(T_Shipments[Confirmed_Qty],T_Shipments[RM_Code],$A100,T_Shipments[Effective_Week],22)</f>
        <v/>
      </c>
      <c r="X100">
        <f>SUMIFS(T_Shipments[Confirmed_Qty],T_Shipments[RM_Code],$A100,T_Shipments[Effective_Week],23)</f>
        <v/>
      </c>
      <c r="Y100">
        <f>SUMIFS(T_Shipments[Confirmed_Qty],T_Shipments[RM_Code],$A100,T_Shipments[Effective_Week],24)</f>
        <v/>
      </c>
      <c r="Z100">
        <f>SUMIFS(T_Shipments[Confirmed_Qty],T_Shipments[RM_Code],$A100,T_Shipments[Effective_Week],25)</f>
        <v/>
      </c>
      <c r="AA100">
        <f>SUMIFS(T_Shipments[Confirmed_Qty],T_Shipments[RM_Code],$A100,T_Shipments[Effective_Week],26)</f>
        <v/>
      </c>
      <c r="AB100">
        <f>SUMIFS(T_Shipments[Confirmed_Qty],T_Shipments[RM_Code],$A100,T_Shipments[Effective_Week],27)</f>
        <v/>
      </c>
      <c r="AC100">
        <f>SUMIFS(T_Shipments[Confirmed_Qty],T_Shipments[RM_Code],$A100,T_Shipments[Effective_Week],28)</f>
        <v/>
      </c>
      <c r="AD100">
        <f>SUMIFS(T_Shipments[Confirmed_Qty],T_Shipments[RM_Code],$A100,T_Shipments[Effective_Week],29)</f>
        <v/>
      </c>
      <c r="AE100">
        <f>SUMIFS(T_Shipments[Confirmed_Qty],T_Shipments[RM_Code],$A100,T_Shipments[Effective_Week],30)</f>
        <v/>
      </c>
      <c r="AF100">
        <f>SUMIFS(T_Shipments[Confirmed_Qty],T_Shipments[RM_Code],$A100,T_Shipments[Effective_Week],31)</f>
        <v/>
      </c>
      <c r="AG100">
        <f>SUMIFS(T_Shipments[Confirmed_Qty],T_Shipments[RM_Code],$A100,T_Shipments[Effective_Week],32)</f>
        <v/>
      </c>
      <c r="AH100">
        <f>SUMIFS(T_Shipments[Confirmed_Qty],T_Shipments[RM_Code],$A100,T_Shipments[Effective_Week],33)</f>
        <v/>
      </c>
      <c r="AI100">
        <f>SUMIFS(T_Shipments[Confirmed_Qty],T_Shipments[RM_Code],$A100,T_Shipments[Effective_Week],34)</f>
        <v/>
      </c>
      <c r="AJ100">
        <f>SUMIFS(T_Shipments[Confirmed_Qty],T_Shipments[RM_Code],$A100,T_Shipments[Effective_Week],35)</f>
        <v/>
      </c>
      <c r="AK100">
        <f>SUMIFS(T_Shipments[Confirmed_Qty],T_Shipments[RM_Code],$A100,T_Shipments[Effective_Week],36)</f>
        <v/>
      </c>
      <c r="AL100">
        <f>SUMIFS(T_Shipments[Confirmed_Qty],T_Shipments[RM_Code],$A100,T_Shipments[Effective_Week],37)</f>
        <v/>
      </c>
      <c r="AM100">
        <f>SUMIFS(T_Shipments[Confirmed_Qty],T_Shipments[RM_Code],$A100,T_Shipments[Effective_Week],38)</f>
        <v/>
      </c>
      <c r="AN100">
        <f>SUMIFS(T_Shipments[Confirmed_Qty],T_Shipments[RM_Code],$A100,T_Shipments[Effective_Week],39)</f>
        <v/>
      </c>
      <c r="AO100">
        <f>SUMIFS(T_Shipments[Confirmed_Qty],T_Shipments[RM_Code],$A100,T_Shipments[Effective_Week],40)</f>
        <v/>
      </c>
      <c r="AP100">
        <f>SUMIFS(T_Shipments[Confirmed_Qty],T_Shipments[RM_Code],$A100,T_Shipments[Effective_Week],41)</f>
        <v/>
      </c>
      <c r="AQ100">
        <f>SUMIFS(T_Shipments[Confirmed_Qty],T_Shipments[RM_Code],$A100,T_Shipments[Effective_Week],42)</f>
        <v/>
      </c>
      <c r="AR100">
        <f>SUMIFS(T_Shipments[Confirmed_Qty],T_Shipments[RM_Code],$A100,T_Shipments[Effective_Week],43)</f>
        <v/>
      </c>
      <c r="AS100">
        <f>SUMIFS(T_Shipments[Confirmed_Qty],T_Shipments[RM_Code],$A100,T_Shipments[Effective_Week],44)</f>
        <v/>
      </c>
      <c r="AT100">
        <f>SUMIFS(T_Shipments[Confirmed_Qty],T_Shipments[RM_Code],$A100,T_Shipments[Effective_Week],45)</f>
        <v/>
      </c>
      <c r="AU100">
        <f>SUMIFS(T_Shipments[Confirmed_Qty],T_Shipments[RM_Code],$A100,T_Shipments[Effective_Week],46)</f>
        <v/>
      </c>
      <c r="AV100">
        <f>SUMIFS(T_Shipments[Confirmed_Qty],T_Shipments[RM_Code],$A100,T_Shipments[Effective_Week],47)</f>
        <v/>
      </c>
      <c r="AW100">
        <f>SUMIFS(T_Shipments[Confirmed_Qty],T_Shipments[RM_Code],$A100,T_Shipments[Effective_Week],48)</f>
        <v/>
      </c>
      <c r="AX100">
        <f>SUMIFS(T_Shipments[Confirmed_Qty],T_Shipments[RM_Code],$A100,T_Shipments[Effective_Week],49)</f>
        <v/>
      </c>
      <c r="AY100">
        <f>SUMIFS(T_Shipments[Confirmed_Qty],T_Shipments[RM_Code],$A100,T_Shipments[Effective_Week],50)</f>
        <v/>
      </c>
      <c r="AZ100">
        <f>SUMIFS(T_Shipments[Confirmed_Qty],T_Shipments[RM_Code],$A100,T_Shipments[Effective_Week],51)</f>
        <v/>
      </c>
      <c r="BA100">
        <f>SUMIFS(T_Shipments[Confirmed_Qty],T_Shipments[RM_Code],$A100,T_Shipments[Effective_Week],52)</f>
        <v/>
      </c>
      <c r="BB100">
        <f>SUMIFS(T_Shipments[Confirmed_Qty],T_Shipments[RM_Code],$A100,T_Shipments[Effective_Week],53)</f>
        <v/>
      </c>
      <c r="BC100">
        <f>SUMIFS(T_Shipments[Confirmed_Qty],T_Shipments[RM_Code],$A100,T_Shipments[Effective_Week],54)</f>
        <v/>
      </c>
      <c r="BD100">
        <f>SUMIFS(T_Shipments[Confirmed_Qty],T_Shipments[RM_Code],$A100,T_Shipments[Effective_Week],55)</f>
        <v/>
      </c>
      <c r="BE100">
        <f>SUMIFS(T_Shipments[Confirmed_Qty],T_Shipments[RM_Code],$A100,T_Shipments[Effective_Week],56)</f>
        <v/>
      </c>
      <c r="BF100">
        <f>SUMIFS(T_Shipments[Confirmed_Qty],T_Shipments[RM_Code],$A100,T_Shipments[Effective_Week],57)</f>
        <v/>
      </c>
      <c r="BG100">
        <f>SUMIFS(T_Shipments[Confirmed_Qty],T_Shipments[RM_Code],$A100,T_Shipments[Effective_Week],58)</f>
        <v/>
      </c>
      <c r="BH100">
        <f>SUMIFS(T_Shipments[Confirmed_Qty],T_Shipments[RM_Code],$A100,T_Shipments[Effective_Week],59)</f>
        <v/>
      </c>
      <c r="BI100">
        <f>SUMIFS(T_Shipments[Confirmed_Qty],T_Shipments[RM_Code],$A100,T_Shipments[Effective_Week],60)</f>
        <v/>
      </c>
      <c r="BJ100">
        <f>SUMIFS(T_Shipments[Confirmed_Qty],T_Shipments[RM_Code],$A100,T_Shipments[Effective_Week],61)</f>
        <v/>
      </c>
      <c r="BK100">
        <f>SUMIFS(T_Shipments[Confirmed_Qty],T_Shipments[RM_Code],$A100,T_Shipments[Effective_Week],62)</f>
        <v/>
      </c>
      <c r="BL100">
        <f>SUMIFS(T_Shipments[Confirmed_Qty],T_Shipments[RM_Code],$A100,T_Shipments[Effective_Week],63)</f>
        <v/>
      </c>
      <c r="BM100">
        <f>SUMIFS(T_Shipments[Confirmed_Qty],T_Shipments[RM_Code],$A100,T_Shipments[Effective_Week],64)</f>
        <v/>
      </c>
      <c r="BN100">
        <f>SUMIFS(T_Shipments[Confirmed_Qty],T_Shipments[RM_Code],$A100,T_Shipments[Effective_Week],65)</f>
        <v/>
      </c>
      <c r="BO100">
        <f>SUMIFS(T_Shipments[Confirmed_Qty],T_Shipments[RM_Code],$A100,T_Shipments[Effective_Week],66)</f>
        <v/>
      </c>
      <c r="BP100">
        <f>SUMIFS(T_Shipments[Confirmed_Qty],T_Shipments[RM_Code],$A100,T_Shipments[Effective_Week],67)</f>
        <v/>
      </c>
      <c r="BQ100">
        <f>SUMIFS(T_Shipments[Confirmed_Qty],T_Shipments[RM_Code],$A100,T_Shipments[Effective_Week],68)</f>
        <v/>
      </c>
      <c r="BR100">
        <f>SUMIFS(T_Shipments[Confirmed_Qty],T_Shipments[RM_Code],$A100,T_Shipments[Effective_Week],69)</f>
        <v/>
      </c>
      <c r="BS100">
        <f>SUMIFS(T_Shipments[Confirmed_Qty],T_Shipments[RM_Code],$A100,T_Shipments[Effective_Week],70)</f>
        <v/>
      </c>
      <c r="BT100">
        <f>SUMIFS(T_Shipments[Confirmed_Qty],T_Shipments[RM_Code],$A100,T_Shipments[Effective_Week],71)</f>
        <v/>
      </c>
      <c r="BU100">
        <f>SUMIFS(T_Shipments[Confirmed_Qty],T_Shipments[RM_Code],$A100,T_Shipments[Effective_Week],72)</f>
        <v/>
      </c>
      <c r="BV100">
        <f>SUMIFS(T_Shipments[Confirmed_Qty],T_Shipments[RM_Code],$A100,T_Shipments[Effective_Week],73)</f>
        <v/>
      </c>
      <c r="BW100">
        <f>SUMIFS(T_Shipments[Confirmed_Qty],T_Shipments[RM_Code],$A100,T_Shipments[Effective_Week],74)</f>
        <v/>
      </c>
      <c r="BX100">
        <f>SUMIFS(T_Shipments[Confirmed_Qty],T_Shipments[RM_Code],$A100,T_Shipments[Effective_Week],75)</f>
        <v/>
      </c>
      <c r="BY100">
        <f>SUMIFS(T_Shipments[Confirmed_Qty],T_Shipments[RM_Code],$A100,T_Shipments[Effective_Week],76)</f>
        <v/>
      </c>
      <c r="BZ100">
        <f>SUMIFS(T_Shipments[Confirmed_Qty],T_Shipments[RM_Code],$A100,T_Shipments[Effective_Week],77)</f>
        <v/>
      </c>
      <c r="CA100">
        <f>SUMIFS(T_Shipments[Confirmed_Qty],T_Shipments[RM_Code],$A100,T_Shipments[Effective_Week],78)</f>
        <v/>
      </c>
      <c r="CB100">
        <f>SUMIFS(T_Shipments[Confirmed_Qty],T_Shipments[RM_Code],$A100,T_Shipments[Effective_Week],79)</f>
        <v/>
      </c>
      <c r="CC100">
        <f>SUMIFS(T_Shipments[Confirmed_Qty],T_Shipments[RM_Code],$A100,T_Shipments[Effective_Week],80)</f>
        <v/>
      </c>
      <c r="CD100">
        <f>SUMIFS(T_Shipments[Confirmed_Qty],T_Shipments[RM_Code],$A100,T_Shipments[Effective_Week],81)</f>
        <v/>
      </c>
      <c r="CE100">
        <f>SUMIFS(T_Shipments[Confirmed_Qty],T_Shipments[RM_Code],$A100,T_Shipments[Effective_Week],82)</f>
        <v/>
      </c>
      <c r="CF100">
        <f>SUMIFS(T_Shipments[Confirmed_Qty],T_Shipments[RM_Code],$A100,T_Shipments[Effective_Week],83)</f>
        <v/>
      </c>
      <c r="CG100">
        <f>SUMIFS(T_Shipments[Confirmed_Qty],T_Shipments[RM_Code],$A100,T_Shipments[Effective_Week],84)</f>
        <v/>
      </c>
      <c r="CH100">
        <f>SUMIFS(T_Shipments[Confirmed_Qty],T_Shipments[RM_Code],$A100,T_Shipments[Effective_Week],85)</f>
        <v/>
      </c>
      <c r="CI100">
        <f>SUMIFS(T_Shipments[Confirmed_Qty],T_Shipments[RM_Code],$A100,T_Shipments[Effective_Week],86)</f>
        <v/>
      </c>
      <c r="CJ100">
        <f>SUMIFS(T_Shipments[Confirmed_Qty],T_Shipments[RM_Code],$A100,T_Shipments[Effective_Week],87)</f>
        <v/>
      </c>
      <c r="CK100">
        <f>SUMIFS(T_Shipments[Confirmed_Qty],T_Shipments[RM_Code],$A100,T_Shipments[Effective_Week],88)</f>
        <v/>
      </c>
      <c r="CL100">
        <f>SUMIFS(T_Shipments[Confirmed_Qty],T_Shipments[RM_Code],$A100,T_Shipments[Effective_Week],89)</f>
        <v/>
      </c>
      <c r="CM100">
        <f>SUMIFS(T_Shipments[Confirmed_Qty],T_Shipments[RM_Code],$A100,T_Shipments[Effective_Week],90)</f>
        <v/>
      </c>
      <c r="CN100">
        <f>SUMIFS(T_Shipments[Confirmed_Qty],T_Shipments[RM_Code],$A100,T_Shipments[Effective_Week],91)</f>
        <v/>
      </c>
      <c r="CO100">
        <f>SUMIFS(T_Shipments[Confirmed_Qty],T_Shipments[RM_Code],$A100,T_Shipments[Effective_Week],92)</f>
        <v/>
      </c>
      <c r="CP100">
        <f>SUMIFS(T_Shipments[Confirmed_Qty],T_Shipments[RM_Code],$A100,T_Shipments[Effective_Week],93)</f>
        <v/>
      </c>
      <c r="CQ100">
        <f>SUMIFS(T_Shipments[Confirmed_Qty],T_Shipments[RM_Code],$A100,T_Shipments[Effective_Week],94)</f>
        <v/>
      </c>
      <c r="CR100">
        <f>SUMIFS(T_Shipments[Confirmed_Qty],T_Shipments[RM_Code],$A100,T_Shipments[Effective_Week],95)</f>
        <v/>
      </c>
      <c r="CS100">
        <f>SUMIFS(T_Shipments[Confirmed_Qty],T_Shipments[RM_Code],$A100,T_Shipments[Effective_Week],96)</f>
        <v/>
      </c>
      <c r="CT100">
        <f>SUMIFS(T_Shipments[Confirmed_Qty],T_Shipments[RM_Code],$A100,T_Shipments[Effective_Week],97)</f>
        <v/>
      </c>
      <c r="CU100">
        <f>SUMIFS(T_Shipments[Confirmed_Qty],T_Shipments[RM_Code],$A100,T_Shipments[Effective_Week],98)</f>
        <v/>
      </c>
      <c r="CV100">
        <f>SUMIFS(T_Shipments[Confirmed_Qty],T_Shipments[RM_Code],$A100,T_Shipments[Effective_Week],99)</f>
        <v/>
      </c>
      <c r="CW100">
        <f>SUMIFS(T_Shipments[Confirmed_Qty],T_Shipments[RM_Code],$A100,T_Shipments[Effective_Week],100)</f>
        <v/>
      </c>
      <c r="CX100">
        <f>SUMIFS(T_Shipments[Confirmed_Qty],T_Shipments[RM_Code],$A100,T_Shipments[Effective_Week],101)</f>
        <v/>
      </c>
      <c r="CY100">
        <f>SUMIFS(T_Shipments[Confirmed_Qty],T_Shipments[RM_Code],$A100,T_Shipments[Effective_Week],102)</f>
        <v/>
      </c>
      <c r="CZ100">
        <f>SUMIFS(T_Shipments[Confirmed_Qty],T_Shipments[RM_Code],$A100,T_Shipments[Effective_Week],103)</f>
        <v/>
      </c>
      <c r="DA100">
        <f>SUMIFS(T_Shipments[Confirmed_Qty],T_Shipments[RM_Code],$A100,T_Shipments[Effective_Week],104)</f>
        <v/>
      </c>
    </row>
    <row r="101">
      <c r="A101" t="inlineStr">
        <is>
          <t>CHEM-1090</t>
        </is>
      </c>
      <c r="B101">
        <f>SUMIFS(T_Shipments[Confirmed_Qty],T_Shipments[RM_Code],$A101,T_Shipments[Effective_Week],1)</f>
        <v/>
      </c>
      <c r="C101">
        <f>SUMIFS(T_Shipments[Confirmed_Qty],T_Shipments[RM_Code],$A101,T_Shipments[Effective_Week],2)</f>
        <v/>
      </c>
      <c r="D101">
        <f>SUMIFS(T_Shipments[Confirmed_Qty],T_Shipments[RM_Code],$A101,T_Shipments[Effective_Week],3)</f>
        <v/>
      </c>
      <c r="E101">
        <f>SUMIFS(T_Shipments[Confirmed_Qty],T_Shipments[RM_Code],$A101,T_Shipments[Effective_Week],4)</f>
        <v/>
      </c>
      <c r="F101">
        <f>SUMIFS(T_Shipments[Confirmed_Qty],T_Shipments[RM_Code],$A101,T_Shipments[Effective_Week],5)</f>
        <v/>
      </c>
      <c r="G101">
        <f>SUMIFS(T_Shipments[Confirmed_Qty],T_Shipments[RM_Code],$A101,T_Shipments[Effective_Week],6)</f>
        <v/>
      </c>
      <c r="H101">
        <f>SUMIFS(T_Shipments[Confirmed_Qty],T_Shipments[RM_Code],$A101,T_Shipments[Effective_Week],7)</f>
        <v/>
      </c>
      <c r="I101">
        <f>SUMIFS(T_Shipments[Confirmed_Qty],T_Shipments[RM_Code],$A101,T_Shipments[Effective_Week],8)</f>
        <v/>
      </c>
      <c r="J101">
        <f>SUMIFS(T_Shipments[Confirmed_Qty],T_Shipments[RM_Code],$A101,T_Shipments[Effective_Week],9)</f>
        <v/>
      </c>
      <c r="K101">
        <f>SUMIFS(T_Shipments[Confirmed_Qty],T_Shipments[RM_Code],$A101,T_Shipments[Effective_Week],10)</f>
        <v/>
      </c>
      <c r="L101">
        <f>SUMIFS(T_Shipments[Confirmed_Qty],T_Shipments[RM_Code],$A101,T_Shipments[Effective_Week],11)</f>
        <v/>
      </c>
      <c r="M101">
        <f>SUMIFS(T_Shipments[Confirmed_Qty],T_Shipments[RM_Code],$A101,T_Shipments[Effective_Week],12)</f>
        <v/>
      </c>
      <c r="N101">
        <f>SUMIFS(T_Shipments[Confirmed_Qty],T_Shipments[RM_Code],$A101,T_Shipments[Effective_Week],13)</f>
        <v/>
      </c>
      <c r="O101">
        <f>SUMIFS(T_Shipments[Confirmed_Qty],T_Shipments[RM_Code],$A101,T_Shipments[Effective_Week],14)</f>
        <v/>
      </c>
      <c r="P101">
        <f>SUMIFS(T_Shipments[Confirmed_Qty],T_Shipments[RM_Code],$A101,T_Shipments[Effective_Week],15)</f>
        <v/>
      </c>
      <c r="Q101">
        <f>SUMIFS(T_Shipments[Confirmed_Qty],T_Shipments[RM_Code],$A101,T_Shipments[Effective_Week],16)</f>
        <v/>
      </c>
      <c r="R101">
        <f>SUMIFS(T_Shipments[Confirmed_Qty],T_Shipments[RM_Code],$A101,T_Shipments[Effective_Week],17)</f>
        <v/>
      </c>
      <c r="S101">
        <f>SUMIFS(T_Shipments[Confirmed_Qty],T_Shipments[RM_Code],$A101,T_Shipments[Effective_Week],18)</f>
        <v/>
      </c>
      <c r="T101">
        <f>SUMIFS(T_Shipments[Confirmed_Qty],T_Shipments[RM_Code],$A101,T_Shipments[Effective_Week],19)</f>
        <v/>
      </c>
      <c r="U101">
        <f>SUMIFS(T_Shipments[Confirmed_Qty],T_Shipments[RM_Code],$A101,T_Shipments[Effective_Week],20)</f>
        <v/>
      </c>
      <c r="V101">
        <f>SUMIFS(T_Shipments[Confirmed_Qty],T_Shipments[RM_Code],$A101,T_Shipments[Effective_Week],21)</f>
        <v/>
      </c>
      <c r="W101">
        <f>SUMIFS(T_Shipments[Confirmed_Qty],T_Shipments[RM_Code],$A101,T_Shipments[Effective_Week],22)</f>
        <v/>
      </c>
      <c r="X101">
        <f>SUMIFS(T_Shipments[Confirmed_Qty],T_Shipments[RM_Code],$A101,T_Shipments[Effective_Week],23)</f>
        <v/>
      </c>
      <c r="Y101">
        <f>SUMIFS(T_Shipments[Confirmed_Qty],T_Shipments[RM_Code],$A101,T_Shipments[Effective_Week],24)</f>
        <v/>
      </c>
      <c r="Z101">
        <f>SUMIFS(T_Shipments[Confirmed_Qty],T_Shipments[RM_Code],$A101,T_Shipments[Effective_Week],25)</f>
        <v/>
      </c>
      <c r="AA101">
        <f>SUMIFS(T_Shipments[Confirmed_Qty],T_Shipments[RM_Code],$A101,T_Shipments[Effective_Week],26)</f>
        <v/>
      </c>
      <c r="AB101">
        <f>SUMIFS(T_Shipments[Confirmed_Qty],T_Shipments[RM_Code],$A101,T_Shipments[Effective_Week],27)</f>
        <v/>
      </c>
      <c r="AC101">
        <f>SUMIFS(T_Shipments[Confirmed_Qty],T_Shipments[RM_Code],$A101,T_Shipments[Effective_Week],28)</f>
        <v/>
      </c>
      <c r="AD101">
        <f>SUMIFS(T_Shipments[Confirmed_Qty],T_Shipments[RM_Code],$A101,T_Shipments[Effective_Week],29)</f>
        <v/>
      </c>
      <c r="AE101">
        <f>SUMIFS(T_Shipments[Confirmed_Qty],T_Shipments[RM_Code],$A101,T_Shipments[Effective_Week],30)</f>
        <v/>
      </c>
      <c r="AF101">
        <f>SUMIFS(T_Shipments[Confirmed_Qty],T_Shipments[RM_Code],$A101,T_Shipments[Effective_Week],31)</f>
        <v/>
      </c>
      <c r="AG101">
        <f>SUMIFS(T_Shipments[Confirmed_Qty],T_Shipments[RM_Code],$A101,T_Shipments[Effective_Week],32)</f>
        <v/>
      </c>
      <c r="AH101">
        <f>SUMIFS(T_Shipments[Confirmed_Qty],T_Shipments[RM_Code],$A101,T_Shipments[Effective_Week],33)</f>
        <v/>
      </c>
      <c r="AI101">
        <f>SUMIFS(T_Shipments[Confirmed_Qty],T_Shipments[RM_Code],$A101,T_Shipments[Effective_Week],34)</f>
        <v/>
      </c>
      <c r="AJ101">
        <f>SUMIFS(T_Shipments[Confirmed_Qty],T_Shipments[RM_Code],$A101,T_Shipments[Effective_Week],35)</f>
        <v/>
      </c>
      <c r="AK101">
        <f>SUMIFS(T_Shipments[Confirmed_Qty],T_Shipments[RM_Code],$A101,T_Shipments[Effective_Week],36)</f>
        <v/>
      </c>
      <c r="AL101">
        <f>SUMIFS(T_Shipments[Confirmed_Qty],T_Shipments[RM_Code],$A101,T_Shipments[Effective_Week],37)</f>
        <v/>
      </c>
      <c r="AM101">
        <f>SUMIFS(T_Shipments[Confirmed_Qty],T_Shipments[RM_Code],$A101,T_Shipments[Effective_Week],38)</f>
        <v/>
      </c>
      <c r="AN101">
        <f>SUMIFS(T_Shipments[Confirmed_Qty],T_Shipments[RM_Code],$A101,T_Shipments[Effective_Week],39)</f>
        <v/>
      </c>
      <c r="AO101">
        <f>SUMIFS(T_Shipments[Confirmed_Qty],T_Shipments[RM_Code],$A101,T_Shipments[Effective_Week],40)</f>
        <v/>
      </c>
      <c r="AP101">
        <f>SUMIFS(T_Shipments[Confirmed_Qty],T_Shipments[RM_Code],$A101,T_Shipments[Effective_Week],41)</f>
        <v/>
      </c>
      <c r="AQ101">
        <f>SUMIFS(T_Shipments[Confirmed_Qty],T_Shipments[RM_Code],$A101,T_Shipments[Effective_Week],42)</f>
        <v/>
      </c>
      <c r="AR101">
        <f>SUMIFS(T_Shipments[Confirmed_Qty],T_Shipments[RM_Code],$A101,T_Shipments[Effective_Week],43)</f>
        <v/>
      </c>
      <c r="AS101">
        <f>SUMIFS(T_Shipments[Confirmed_Qty],T_Shipments[RM_Code],$A101,T_Shipments[Effective_Week],44)</f>
        <v/>
      </c>
      <c r="AT101">
        <f>SUMIFS(T_Shipments[Confirmed_Qty],T_Shipments[RM_Code],$A101,T_Shipments[Effective_Week],45)</f>
        <v/>
      </c>
      <c r="AU101">
        <f>SUMIFS(T_Shipments[Confirmed_Qty],T_Shipments[RM_Code],$A101,T_Shipments[Effective_Week],46)</f>
        <v/>
      </c>
      <c r="AV101">
        <f>SUMIFS(T_Shipments[Confirmed_Qty],T_Shipments[RM_Code],$A101,T_Shipments[Effective_Week],47)</f>
        <v/>
      </c>
      <c r="AW101">
        <f>SUMIFS(T_Shipments[Confirmed_Qty],T_Shipments[RM_Code],$A101,T_Shipments[Effective_Week],48)</f>
        <v/>
      </c>
      <c r="AX101">
        <f>SUMIFS(T_Shipments[Confirmed_Qty],T_Shipments[RM_Code],$A101,T_Shipments[Effective_Week],49)</f>
        <v/>
      </c>
      <c r="AY101">
        <f>SUMIFS(T_Shipments[Confirmed_Qty],T_Shipments[RM_Code],$A101,T_Shipments[Effective_Week],50)</f>
        <v/>
      </c>
      <c r="AZ101">
        <f>SUMIFS(T_Shipments[Confirmed_Qty],T_Shipments[RM_Code],$A101,T_Shipments[Effective_Week],51)</f>
        <v/>
      </c>
      <c r="BA101">
        <f>SUMIFS(T_Shipments[Confirmed_Qty],T_Shipments[RM_Code],$A101,T_Shipments[Effective_Week],52)</f>
        <v/>
      </c>
      <c r="BB101">
        <f>SUMIFS(T_Shipments[Confirmed_Qty],T_Shipments[RM_Code],$A101,T_Shipments[Effective_Week],53)</f>
        <v/>
      </c>
      <c r="BC101">
        <f>SUMIFS(T_Shipments[Confirmed_Qty],T_Shipments[RM_Code],$A101,T_Shipments[Effective_Week],54)</f>
        <v/>
      </c>
      <c r="BD101">
        <f>SUMIFS(T_Shipments[Confirmed_Qty],T_Shipments[RM_Code],$A101,T_Shipments[Effective_Week],55)</f>
        <v/>
      </c>
      <c r="BE101">
        <f>SUMIFS(T_Shipments[Confirmed_Qty],T_Shipments[RM_Code],$A101,T_Shipments[Effective_Week],56)</f>
        <v/>
      </c>
      <c r="BF101">
        <f>SUMIFS(T_Shipments[Confirmed_Qty],T_Shipments[RM_Code],$A101,T_Shipments[Effective_Week],57)</f>
        <v/>
      </c>
      <c r="BG101">
        <f>SUMIFS(T_Shipments[Confirmed_Qty],T_Shipments[RM_Code],$A101,T_Shipments[Effective_Week],58)</f>
        <v/>
      </c>
      <c r="BH101">
        <f>SUMIFS(T_Shipments[Confirmed_Qty],T_Shipments[RM_Code],$A101,T_Shipments[Effective_Week],59)</f>
        <v/>
      </c>
      <c r="BI101">
        <f>SUMIFS(T_Shipments[Confirmed_Qty],T_Shipments[RM_Code],$A101,T_Shipments[Effective_Week],60)</f>
        <v/>
      </c>
      <c r="BJ101">
        <f>SUMIFS(T_Shipments[Confirmed_Qty],T_Shipments[RM_Code],$A101,T_Shipments[Effective_Week],61)</f>
        <v/>
      </c>
      <c r="BK101">
        <f>SUMIFS(T_Shipments[Confirmed_Qty],T_Shipments[RM_Code],$A101,T_Shipments[Effective_Week],62)</f>
        <v/>
      </c>
      <c r="BL101">
        <f>SUMIFS(T_Shipments[Confirmed_Qty],T_Shipments[RM_Code],$A101,T_Shipments[Effective_Week],63)</f>
        <v/>
      </c>
      <c r="BM101">
        <f>SUMIFS(T_Shipments[Confirmed_Qty],T_Shipments[RM_Code],$A101,T_Shipments[Effective_Week],64)</f>
        <v/>
      </c>
      <c r="BN101">
        <f>SUMIFS(T_Shipments[Confirmed_Qty],T_Shipments[RM_Code],$A101,T_Shipments[Effective_Week],65)</f>
        <v/>
      </c>
      <c r="BO101">
        <f>SUMIFS(T_Shipments[Confirmed_Qty],T_Shipments[RM_Code],$A101,T_Shipments[Effective_Week],66)</f>
        <v/>
      </c>
      <c r="BP101">
        <f>SUMIFS(T_Shipments[Confirmed_Qty],T_Shipments[RM_Code],$A101,T_Shipments[Effective_Week],67)</f>
        <v/>
      </c>
      <c r="BQ101">
        <f>SUMIFS(T_Shipments[Confirmed_Qty],T_Shipments[RM_Code],$A101,T_Shipments[Effective_Week],68)</f>
        <v/>
      </c>
      <c r="BR101">
        <f>SUMIFS(T_Shipments[Confirmed_Qty],T_Shipments[RM_Code],$A101,T_Shipments[Effective_Week],69)</f>
        <v/>
      </c>
      <c r="BS101">
        <f>SUMIFS(T_Shipments[Confirmed_Qty],T_Shipments[RM_Code],$A101,T_Shipments[Effective_Week],70)</f>
        <v/>
      </c>
      <c r="BT101">
        <f>SUMIFS(T_Shipments[Confirmed_Qty],T_Shipments[RM_Code],$A101,T_Shipments[Effective_Week],71)</f>
        <v/>
      </c>
      <c r="BU101">
        <f>SUMIFS(T_Shipments[Confirmed_Qty],T_Shipments[RM_Code],$A101,T_Shipments[Effective_Week],72)</f>
        <v/>
      </c>
      <c r="BV101">
        <f>SUMIFS(T_Shipments[Confirmed_Qty],T_Shipments[RM_Code],$A101,T_Shipments[Effective_Week],73)</f>
        <v/>
      </c>
      <c r="BW101">
        <f>SUMIFS(T_Shipments[Confirmed_Qty],T_Shipments[RM_Code],$A101,T_Shipments[Effective_Week],74)</f>
        <v/>
      </c>
      <c r="BX101">
        <f>SUMIFS(T_Shipments[Confirmed_Qty],T_Shipments[RM_Code],$A101,T_Shipments[Effective_Week],75)</f>
        <v/>
      </c>
      <c r="BY101">
        <f>SUMIFS(T_Shipments[Confirmed_Qty],T_Shipments[RM_Code],$A101,T_Shipments[Effective_Week],76)</f>
        <v/>
      </c>
      <c r="BZ101">
        <f>SUMIFS(T_Shipments[Confirmed_Qty],T_Shipments[RM_Code],$A101,T_Shipments[Effective_Week],77)</f>
        <v/>
      </c>
      <c r="CA101">
        <f>SUMIFS(T_Shipments[Confirmed_Qty],T_Shipments[RM_Code],$A101,T_Shipments[Effective_Week],78)</f>
        <v/>
      </c>
      <c r="CB101">
        <f>SUMIFS(T_Shipments[Confirmed_Qty],T_Shipments[RM_Code],$A101,T_Shipments[Effective_Week],79)</f>
        <v/>
      </c>
      <c r="CC101">
        <f>SUMIFS(T_Shipments[Confirmed_Qty],T_Shipments[RM_Code],$A101,T_Shipments[Effective_Week],80)</f>
        <v/>
      </c>
      <c r="CD101">
        <f>SUMIFS(T_Shipments[Confirmed_Qty],T_Shipments[RM_Code],$A101,T_Shipments[Effective_Week],81)</f>
        <v/>
      </c>
      <c r="CE101">
        <f>SUMIFS(T_Shipments[Confirmed_Qty],T_Shipments[RM_Code],$A101,T_Shipments[Effective_Week],82)</f>
        <v/>
      </c>
      <c r="CF101">
        <f>SUMIFS(T_Shipments[Confirmed_Qty],T_Shipments[RM_Code],$A101,T_Shipments[Effective_Week],83)</f>
        <v/>
      </c>
      <c r="CG101">
        <f>SUMIFS(T_Shipments[Confirmed_Qty],T_Shipments[RM_Code],$A101,T_Shipments[Effective_Week],84)</f>
        <v/>
      </c>
      <c r="CH101">
        <f>SUMIFS(T_Shipments[Confirmed_Qty],T_Shipments[RM_Code],$A101,T_Shipments[Effective_Week],85)</f>
        <v/>
      </c>
      <c r="CI101">
        <f>SUMIFS(T_Shipments[Confirmed_Qty],T_Shipments[RM_Code],$A101,T_Shipments[Effective_Week],86)</f>
        <v/>
      </c>
      <c r="CJ101">
        <f>SUMIFS(T_Shipments[Confirmed_Qty],T_Shipments[RM_Code],$A101,T_Shipments[Effective_Week],87)</f>
        <v/>
      </c>
      <c r="CK101">
        <f>SUMIFS(T_Shipments[Confirmed_Qty],T_Shipments[RM_Code],$A101,T_Shipments[Effective_Week],88)</f>
        <v/>
      </c>
      <c r="CL101">
        <f>SUMIFS(T_Shipments[Confirmed_Qty],T_Shipments[RM_Code],$A101,T_Shipments[Effective_Week],89)</f>
        <v/>
      </c>
      <c r="CM101">
        <f>SUMIFS(T_Shipments[Confirmed_Qty],T_Shipments[RM_Code],$A101,T_Shipments[Effective_Week],90)</f>
        <v/>
      </c>
      <c r="CN101">
        <f>SUMIFS(T_Shipments[Confirmed_Qty],T_Shipments[RM_Code],$A101,T_Shipments[Effective_Week],91)</f>
        <v/>
      </c>
      <c r="CO101">
        <f>SUMIFS(T_Shipments[Confirmed_Qty],T_Shipments[RM_Code],$A101,T_Shipments[Effective_Week],92)</f>
        <v/>
      </c>
      <c r="CP101">
        <f>SUMIFS(T_Shipments[Confirmed_Qty],T_Shipments[RM_Code],$A101,T_Shipments[Effective_Week],93)</f>
        <v/>
      </c>
      <c r="CQ101">
        <f>SUMIFS(T_Shipments[Confirmed_Qty],T_Shipments[RM_Code],$A101,T_Shipments[Effective_Week],94)</f>
        <v/>
      </c>
      <c r="CR101">
        <f>SUMIFS(T_Shipments[Confirmed_Qty],T_Shipments[RM_Code],$A101,T_Shipments[Effective_Week],95)</f>
        <v/>
      </c>
      <c r="CS101">
        <f>SUMIFS(T_Shipments[Confirmed_Qty],T_Shipments[RM_Code],$A101,T_Shipments[Effective_Week],96)</f>
        <v/>
      </c>
      <c r="CT101">
        <f>SUMIFS(T_Shipments[Confirmed_Qty],T_Shipments[RM_Code],$A101,T_Shipments[Effective_Week],97)</f>
        <v/>
      </c>
      <c r="CU101">
        <f>SUMIFS(T_Shipments[Confirmed_Qty],T_Shipments[RM_Code],$A101,T_Shipments[Effective_Week],98)</f>
        <v/>
      </c>
      <c r="CV101">
        <f>SUMIFS(T_Shipments[Confirmed_Qty],T_Shipments[RM_Code],$A101,T_Shipments[Effective_Week],99)</f>
        <v/>
      </c>
      <c r="CW101">
        <f>SUMIFS(T_Shipments[Confirmed_Qty],T_Shipments[RM_Code],$A101,T_Shipments[Effective_Week],100)</f>
        <v/>
      </c>
      <c r="CX101">
        <f>SUMIFS(T_Shipments[Confirmed_Qty],T_Shipments[RM_Code],$A101,T_Shipments[Effective_Week],101)</f>
        <v/>
      </c>
      <c r="CY101">
        <f>SUMIFS(T_Shipments[Confirmed_Qty],T_Shipments[RM_Code],$A101,T_Shipments[Effective_Week],102)</f>
        <v/>
      </c>
      <c r="CZ101">
        <f>SUMIFS(T_Shipments[Confirmed_Qty],T_Shipments[RM_Code],$A101,T_Shipments[Effective_Week],103)</f>
        <v/>
      </c>
      <c r="DA101">
        <f>SUMIFS(T_Shipments[Confirmed_Qty],T_Shipments[RM_Code],$A101,T_Shipments[Effective_Week],104)</f>
        <v/>
      </c>
    </row>
    <row r="102">
      <c r="A102" t="inlineStr">
        <is>
          <t>CHEM-1310</t>
        </is>
      </c>
      <c r="B102">
        <f>SUMIFS(T_Shipments[Confirmed_Qty],T_Shipments[RM_Code],$A102,T_Shipments[Effective_Week],1)</f>
        <v/>
      </c>
      <c r="C102">
        <f>SUMIFS(T_Shipments[Confirmed_Qty],T_Shipments[RM_Code],$A102,T_Shipments[Effective_Week],2)</f>
        <v/>
      </c>
      <c r="D102">
        <f>SUMIFS(T_Shipments[Confirmed_Qty],T_Shipments[RM_Code],$A102,T_Shipments[Effective_Week],3)</f>
        <v/>
      </c>
      <c r="E102">
        <f>SUMIFS(T_Shipments[Confirmed_Qty],T_Shipments[RM_Code],$A102,T_Shipments[Effective_Week],4)</f>
        <v/>
      </c>
      <c r="F102">
        <f>SUMIFS(T_Shipments[Confirmed_Qty],T_Shipments[RM_Code],$A102,T_Shipments[Effective_Week],5)</f>
        <v/>
      </c>
      <c r="G102">
        <f>SUMIFS(T_Shipments[Confirmed_Qty],T_Shipments[RM_Code],$A102,T_Shipments[Effective_Week],6)</f>
        <v/>
      </c>
      <c r="H102">
        <f>SUMIFS(T_Shipments[Confirmed_Qty],T_Shipments[RM_Code],$A102,T_Shipments[Effective_Week],7)</f>
        <v/>
      </c>
      <c r="I102">
        <f>SUMIFS(T_Shipments[Confirmed_Qty],T_Shipments[RM_Code],$A102,T_Shipments[Effective_Week],8)</f>
        <v/>
      </c>
      <c r="J102">
        <f>SUMIFS(T_Shipments[Confirmed_Qty],T_Shipments[RM_Code],$A102,T_Shipments[Effective_Week],9)</f>
        <v/>
      </c>
      <c r="K102">
        <f>SUMIFS(T_Shipments[Confirmed_Qty],T_Shipments[RM_Code],$A102,T_Shipments[Effective_Week],10)</f>
        <v/>
      </c>
      <c r="L102">
        <f>SUMIFS(T_Shipments[Confirmed_Qty],T_Shipments[RM_Code],$A102,T_Shipments[Effective_Week],11)</f>
        <v/>
      </c>
      <c r="M102">
        <f>SUMIFS(T_Shipments[Confirmed_Qty],T_Shipments[RM_Code],$A102,T_Shipments[Effective_Week],12)</f>
        <v/>
      </c>
      <c r="N102">
        <f>SUMIFS(T_Shipments[Confirmed_Qty],T_Shipments[RM_Code],$A102,T_Shipments[Effective_Week],13)</f>
        <v/>
      </c>
      <c r="O102">
        <f>SUMIFS(T_Shipments[Confirmed_Qty],T_Shipments[RM_Code],$A102,T_Shipments[Effective_Week],14)</f>
        <v/>
      </c>
      <c r="P102">
        <f>SUMIFS(T_Shipments[Confirmed_Qty],T_Shipments[RM_Code],$A102,T_Shipments[Effective_Week],15)</f>
        <v/>
      </c>
      <c r="Q102">
        <f>SUMIFS(T_Shipments[Confirmed_Qty],T_Shipments[RM_Code],$A102,T_Shipments[Effective_Week],16)</f>
        <v/>
      </c>
      <c r="R102">
        <f>SUMIFS(T_Shipments[Confirmed_Qty],T_Shipments[RM_Code],$A102,T_Shipments[Effective_Week],17)</f>
        <v/>
      </c>
      <c r="S102">
        <f>SUMIFS(T_Shipments[Confirmed_Qty],T_Shipments[RM_Code],$A102,T_Shipments[Effective_Week],18)</f>
        <v/>
      </c>
      <c r="T102">
        <f>SUMIFS(T_Shipments[Confirmed_Qty],T_Shipments[RM_Code],$A102,T_Shipments[Effective_Week],19)</f>
        <v/>
      </c>
      <c r="U102">
        <f>SUMIFS(T_Shipments[Confirmed_Qty],T_Shipments[RM_Code],$A102,T_Shipments[Effective_Week],20)</f>
        <v/>
      </c>
      <c r="V102">
        <f>SUMIFS(T_Shipments[Confirmed_Qty],T_Shipments[RM_Code],$A102,T_Shipments[Effective_Week],21)</f>
        <v/>
      </c>
      <c r="W102">
        <f>SUMIFS(T_Shipments[Confirmed_Qty],T_Shipments[RM_Code],$A102,T_Shipments[Effective_Week],22)</f>
        <v/>
      </c>
      <c r="X102">
        <f>SUMIFS(T_Shipments[Confirmed_Qty],T_Shipments[RM_Code],$A102,T_Shipments[Effective_Week],23)</f>
        <v/>
      </c>
      <c r="Y102">
        <f>SUMIFS(T_Shipments[Confirmed_Qty],T_Shipments[RM_Code],$A102,T_Shipments[Effective_Week],24)</f>
        <v/>
      </c>
      <c r="Z102">
        <f>SUMIFS(T_Shipments[Confirmed_Qty],T_Shipments[RM_Code],$A102,T_Shipments[Effective_Week],25)</f>
        <v/>
      </c>
      <c r="AA102">
        <f>SUMIFS(T_Shipments[Confirmed_Qty],T_Shipments[RM_Code],$A102,T_Shipments[Effective_Week],26)</f>
        <v/>
      </c>
      <c r="AB102">
        <f>SUMIFS(T_Shipments[Confirmed_Qty],T_Shipments[RM_Code],$A102,T_Shipments[Effective_Week],27)</f>
        <v/>
      </c>
      <c r="AC102">
        <f>SUMIFS(T_Shipments[Confirmed_Qty],T_Shipments[RM_Code],$A102,T_Shipments[Effective_Week],28)</f>
        <v/>
      </c>
      <c r="AD102">
        <f>SUMIFS(T_Shipments[Confirmed_Qty],T_Shipments[RM_Code],$A102,T_Shipments[Effective_Week],29)</f>
        <v/>
      </c>
      <c r="AE102">
        <f>SUMIFS(T_Shipments[Confirmed_Qty],T_Shipments[RM_Code],$A102,T_Shipments[Effective_Week],30)</f>
        <v/>
      </c>
      <c r="AF102">
        <f>SUMIFS(T_Shipments[Confirmed_Qty],T_Shipments[RM_Code],$A102,T_Shipments[Effective_Week],31)</f>
        <v/>
      </c>
      <c r="AG102">
        <f>SUMIFS(T_Shipments[Confirmed_Qty],T_Shipments[RM_Code],$A102,T_Shipments[Effective_Week],32)</f>
        <v/>
      </c>
      <c r="AH102">
        <f>SUMIFS(T_Shipments[Confirmed_Qty],T_Shipments[RM_Code],$A102,T_Shipments[Effective_Week],33)</f>
        <v/>
      </c>
      <c r="AI102">
        <f>SUMIFS(T_Shipments[Confirmed_Qty],T_Shipments[RM_Code],$A102,T_Shipments[Effective_Week],34)</f>
        <v/>
      </c>
      <c r="AJ102">
        <f>SUMIFS(T_Shipments[Confirmed_Qty],T_Shipments[RM_Code],$A102,T_Shipments[Effective_Week],35)</f>
        <v/>
      </c>
      <c r="AK102">
        <f>SUMIFS(T_Shipments[Confirmed_Qty],T_Shipments[RM_Code],$A102,T_Shipments[Effective_Week],36)</f>
        <v/>
      </c>
      <c r="AL102">
        <f>SUMIFS(T_Shipments[Confirmed_Qty],T_Shipments[RM_Code],$A102,T_Shipments[Effective_Week],37)</f>
        <v/>
      </c>
      <c r="AM102">
        <f>SUMIFS(T_Shipments[Confirmed_Qty],T_Shipments[RM_Code],$A102,T_Shipments[Effective_Week],38)</f>
        <v/>
      </c>
      <c r="AN102">
        <f>SUMIFS(T_Shipments[Confirmed_Qty],T_Shipments[RM_Code],$A102,T_Shipments[Effective_Week],39)</f>
        <v/>
      </c>
      <c r="AO102">
        <f>SUMIFS(T_Shipments[Confirmed_Qty],T_Shipments[RM_Code],$A102,T_Shipments[Effective_Week],40)</f>
        <v/>
      </c>
      <c r="AP102">
        <f>SUMIFS(T_Shipments[Confirmed_Qty],T_Shipments[RM_Code],$A102,T_Shipments[Effective_Week],41)</f>
        <v/>
      </c>
      <c r="AQ102">
        <f>SUMIFS(T_Shipments[Confirmed_Qty],T_Shipments[RM_Code],$A102,T_Shipments[Effective_Week],42)</f>
        <v/>
      </c>
      <c r="AR102">
        <f>SUMIFS(T_Shipments[Confirmed_Qty],T_Shipments[RM_Code],$A102,T_Shipments[Effective_Week],43)</f>
        <v/>
      </c>
      <c r="AS102">
        <f>SUMIFS(T_Shipments[Confirmed_Qty],T_Shipments[RM_Code],$A102,T_Shipments[Effective_Week],44)</f>
        <v/>
      </c>
      <c r="AT102">
        <f>SUMIFS(T_Shipments[Confirmed_Qty],T_Shipments[RM_Code],$A102,T_Shipments[Effective_Week],45)</f>
        <v/>
      </c>
      <c r="AU102">
        <f>SUMIFS(T_Shipments[Confirmed_Qty],T_Shipments[RM_Code],$A102,T_Shipments[Effective_Week],46)</f>
        <v/>
      </c>
      <c r="AV102">
        <f>SUMIFS(T_Shipments[Confirmed_Qty],T_Shipments[RM_Code],$A102,T_Shipments[Effective_Week],47)</f>
        <v/>
      </c>
      <c r="AW102">
        <f>SUMIFS(T_Shipments[Confirmed_Qty],T_Shipments[RM_Code],$A102,T_Shipments[Effective_Week],48)</f>
        <v/>
      </c>
      <c r="AX102">
        <f>SUMIFS(T_Shipments[Confirmed_Qty],T_Shipments[RM_Code],$A102,T_Shipments[Effective_Week],49)</f>
        <v/>
      </c>
      <c r="AY102">
        <f>SUMIFS(T_Shipments[Confirmed_Qty],T_Shipments[RM_Code],$A102,T_Shipments[Effective_Week],50)</f>
        <v/>
      </c>
      <c r="AZ102">
        <f>SUMIFS(T_Shipments[Confirmed_Qty],T_Shipments[RM_Code],$A102,T_Shipments[Effective_Week],51)</f>
        <v/>
      </c>
      <c r="BA102">
        <f>SUMIFS(T_Shipments[Confirmed_Qty],T_Shipments[RM_Code],$A102,T_Shipments[Effective_Week],52)</f>
        <v/>
      </c>
      <c r="BB102">
        <f>SUMIFS(T_Shipments[Confirmed_Qty],T_Shipments[RM_Code],$A102,T_Shipments[Effective_Week],53)</f>
        <v/>
      </c>
      <c r="BC102">
        <f>SUMIFS(T_Shipments[Confirmed_Qty],T_Shipments[RM_Code],$A102,T_Shipments[Effective_Week],54)</f>
        <v/>
      </c>
      <c r="BD102">
        <f>SUMIFS(T_Shipments[Confirmed_Qty],T_Shipments[RM_Code],$A102,T_Shipments[Effective_Week],55)</f>
        <v/>
      </c>
      <c r="BE102">
        <f>SUMIFS(T_Shipments[Confirmed_Qty],T_Shipments[RM_Code],$A102,T_Shipments[Effective_Week],56)</f>
        <v/>
      </c>
      <c r="BF102">
        <f>SUMIFS(T_Shipments[Confirmed_Qty],T_Shipments[RM_Code],$A102,T_Shipments[Effective_Week],57)</f>
        <v/>
      </c>
      <c r="BG102">
        <f>SUMIFS(T_Shipments[Confirmed_Qty],T_Shipments[RM_Code],$A102,T_Shipments[Effective_Week],58)</f>
        <v/>
      </c>
      <c r="BH102">
        <f>SUMIFS(T_Shipments[Confirmed_Qty],T_Shipments[RM_Code],$A102,T_Shipments[Effective_Week],59)</f>
        <v/>
      </c>
      <c r="BI102">
        <f>SUMIFS(T_Shipments[Confirmed_Qty],T_Shipments[RM_Code],$A102,T_Shipments[Effective_Week],60)</f>
        <v/>
      </c>
      <c r="BJ102">
        <f>SUMIFS(T_Shipments[Confirmed_Qty],T_Shipments[RM_Code],$A102,T_Shipments[Effective_Week],61)</f>
        <v/>
      </c>
      <c r="BK102">
        <f>SUMIFS(T_Shipments[Confirmed_Qty],T_Shipments[RM_Code],$A102,T_Shipments[Effective_Week],62)</f>
        <v/>
      </c>
      <c r="BL102">
        <f>SUMIFS(T_Shipments[Confirmed_Qty],T_Shipments[RM_Code],$A102,T_Shipments[Effective_Week],63)</f>
        <v/>
      </c>
      <c r="BM102">
        <f>SUMIFS(T_Shipments[Confirmed_Qty],T_Shipments[RM_Code],$A102,T_Shipments[Effective_Week],64)</f>
        <v/>
      </c>
      <c r="BN102">
        <f>SUMIFS(T_Shipments[Confirmed_Qty],T_Shipments[RM_Code],$A102,T_Shipments[Effective_Week],65)</f>
        <v/>
      </c>
      <c r="BO102">
        <f>SUMIFS(T_Shipments[Confirmed_Qty],T_Shipments[RM_Code],$A102,T_Shipments[Effective_Week],66)</f>
        <v/>
      </c>
      <c r="BP102">
        <f>SUMIFS(T_Shipments[Confirmed_Qty],T_Shipments[RM_Code],$A102,T_Shipments[Effective_Week],67)</f>
        <v/>
      </c>
      <c r="BQ102">
        <f>SUMIFS(T_Shipments[Confirmed_Qty],T_Shipments[RM_Code],$A102,T_Shipments[Effective_Week],68)</f>
        <v/>
      </c>
      <c r="BR102">
        <f>SUMIFS(T_Shipments[Confirmed_Qty],T_Shipments[RM_Code],$A102,T_Shipments[Effective_Week],69)</f>
        <v/>
      </c>
      <c r="BS102">
        <f>SUMIFS(T_Shipments[Confirmed_Qty],T_Shipments[RM_Code],$A102,T_Shipments[Effective_Week],70)</f>
        <v/>
      </c>
      <c r="BT102">
        <f>SUMIFS(T_Shipments[Confirmed_Qty],T_Shipments[RM_Code],$A102,T_Shipments[Effective_Week],71)</f>
        <v/>
      </c>
      <c r="BU102">
        <f>SUMIFS(T_Shipments[Confirmed_Qty],T_Shipments[RM_Code],$A102,T_Shipments[Effective_Week],72)</f>
        <v/>
      </c>
      <c r="BV102">
        <f>SUMIFS(T_Shipments[Confirmed_Qty],T_Shipments[RM_Code],$A102,T_Shipments[Effective_Week],73)</f>
        <v/>
      </c>
      <c r="BW102">
        <f>SUMIFS(T_Shipments[Confirmed_Qty],T_Shipments[RM_Code],$A102,T_Shipments[Effective_Week],74)</f>
        <v/>
      </c>
      <c r="BX102">
        <f>SUMIFS(T_Shipments[Confirmed_Qty],T_Shipments[RM_Code],$A102,T_Shipments[Effective_Week],75)</f>
        <v/>
      </c>
      <c r="BY102">
        <f>SUMIFS(T_Shipments[Confirmed_Qty],T_Shipments[RM_Code],$A102,T_Shipments[Effective_Week],76)</f>
        <v/>
      </c>
      <c r="BZ102">
        <f>SUMIFS(T_Shipments[Confirmed_Qty],T_Shipments[RM_Code],$A102,T_Shipments[Effective_Week],77)</f>
        <v/>
      </c>
      <c r="CA102">
        <f>SUMIFS(T_Shipments[Confirmed_Qty],T_Shipments[RM_Code],$A102,T_Shipments[Effective_Week],78)</f>
        <v/>
      </c>
      <c r="CB102">
        <f>SUMIFS(T_Shipments[Confirmed_Qty],T_Shipments[RM_Code],$A102,T_Shipments[Effective_Week],79)</f>
        <v/>
      </c>
      <c r="CC102">
        <f>SUMIFS(T_Shipments[Confirmed_Qty],T_Shipments[RM_Code],$A102,T_Shipments[Effective_Week],80)</f>
        <v/>
      </c>
      <c r="CD102">
        <f>SUMIFS(T_Shipments[Confirmed_Qty],T_Shipments[RM_Code],$A102,T_Shipments[Effective_Week],81)</f>
        <v/>
      </c>
      <c r="CE102">
        <f>SUMIFS(T_Shipments[Confirmed_Qty],T_Shipments[RM_Code],$A102,T_Shipments[Effective_Week],82)</f>
        <v/>
      </c>
      <c r="CF102">
        <f>SUMIFS(T_Shipments[Confirmed_Qty],T_Shipments[RM_Code],$A102,T_Shipments[Effective_Week],83)</f>
        <v/>
      </c>
      <c r="CG102">
        <f>SUMIFS(T_Shipments[Confirmed_Qty],T_Shipments[RM_Code],$A102,T_Shipments[Effective_Week],84)</f>
        <v/>
      </c>
      <c r="CH102">
        <f>SUMIFS(T_Shipments[Confirmed_Qty],T_Shipments[RM_Code],$A102,T_Shipments[Effective_Week],85)</f>
        <v/>
      </c>
      <c r="CI102">
        <f>SUMIFS(T_Shipments[Confirmed_Qty],T_Shipments[RM_Code],$A102,T_Shipments[Effective_Week],86)</f>
        <v/>
      </c>
      <c r="CJ102">
        <f>SUMIFS(T_Shipments[Confirmed_Qty],T_Shipments[RM_Code],$A102,T_Shipments[Effective_Week],87)</f>
        <v/>
      </c>
      <c r="CK102">
        <f>SUMIFS(T_Shipments[Confirmed_Qty],T_Shipments[RM_Code],$A102,T_Shipments[Effective_Week],88)</f>
        <v/>
      </c>
      <c r="CL102">
        <f>SUMIFS(T_Shipments[Confirmed_Qty],T_Shipments[RM_Code],$A102,T_Shipments[Effective_Week],89)</f>
        <v/>
      </c>
      <c r="CM102">
        <f>SUMIFS(T_Shipments[Confirmed_Qty],T_Shipments[RM_Code],$A102,T_Shipments[Effective_Week],90)</f>
        <v/>
      </c>
      <c r="CN102">
        <f>SUMIFS(T_Shipments[Confirmed_Qty],T_Shipments[RM_Code],$A102,T_Shipments[Effective_Week],91)</f>
        <v/>
      </c>
      <c r="CO102">
        <f>SUMIFS(T_Shipments[Confirmed_Qty],T_Shipments[RM_Code],$A102,T_Shipments[Effective_Week],92)</f>
        <v/>
      </c>
      <c r="CP102">
        <f>SUMIFS(T_Shipments[Confirmed_Qty],T_Shipments[RM_Code],$A102,T_Shipments[Effective_Week],93)</f>
        <v/>
      </c>
      <c r="CQ102">
        <f>SUMIFS(T_Shipments[Confirmed_Qty],T_Shipments[RM_Code],$A102,T_Shipments[Effective_Week],94)</f>
        <v/>
      </c>
      <c r="CR102">
        <f>SUMIFS(T_Shipments[Confirmed_Qty],T_Shipments[RM_Code],$A102,T_Shipments[Effective_Week],95)</f>
        <v/>
      </c>
      <c r="CS102">
        <f>SUMIFS(T_Shipments[Confirmed_Qty],T_Shipments[RM_Code],$A102,T_Shipments[Effective_Week],96)</f>
        <v/>
      </c>
      <c r="CT102">
        <f>SUMIFS(T_Shipments[Confirmed_Qty],T_Shipments[RM_Code],$A102,T_Shipments[Effective_Week],97)</f>
        <v/>
      </c>
      <c r="CU102">
        <f>SUMIFS(T_Shipments[Confirmed_Qty],T_Shipments[RM_Code],$A102,T_Shipments[Effective_Week],98)</f>
        <v/>
      </c>
      <c r="CV102">
        <f>SUMIFS(T_Shipments[Confirmed_Qty],T_Shipments[RM_Code],$A102,T_Shipments[Effective_Week],99)</f>
        <v/>
      </c>
      <c r="CW102">
        <f>SUMIFS(T_Shipments[Confirmed_Qty],T_Shipments[RM_Code],$A102,T_Shipments[Effective_Week],100)</f>
        <v/>
      </c>
      <c r="CX102">
        <f>SUMIFS(T_Shipments[Confirmed_Qty],T_Shipments[RM_Code],$A102,T_Shipments[Effective_Week],101)</f>
        <v/>
      </c>
      <c r="CY102">
        <f>SUMIFS(T_Shipments[Confirmed_Qty],T_Shipments[RM_Code],$A102,T_Shipments[Effective_Week],102)</f>
        <v/>
      </c>
      <c r="CZ102">
        <f>SUMIFS(T_Shipments[Confirmed_Qty],T_Shipments[RM_Code],$A102,T_Shipments[Effective_Week],103)</f>
        <v/>
      </c>
      <c r="DA102">
        <f>SUMIFS(T_Shipments[Confirmed_Qty],T_Shipments[RM_Code],$A102,T_Shipments[Effective_Week],104)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9" t="inlineStr">
        <is>
          <t>RM_Code</t>
        </is>
      </c>
      <c r="B1" s="29" t="inlineStr">
        <is>
          <t>2026-W01</t>
        </is>
      </c>
      <c r="C1" s="29" t="inlineStr">
        <is>
          <t>2026-W02</t>
        </is>
      </c>
      <c r="D1" s="29" t="inlineStr">
        <is>
          <t>2026-W03</t>
        </is>
      </c>
      <c r="E1" s="29" t="inlineStr">
        <is>
          <t>2026-W04</t>
        </is>
      </c>
      <c r="F1" s="29" t="inlineStr">
        <is>
          <t>2026-W05</t>
        </is>
      </c>
      <c r="G1" s="29" t="inlineStr">
        <is>
          <t>2026-W06</t>
        </is>
      </c>
      <c r="H1" s="29" t="inlineStr">
        <is>
          <t>2026-W07</t>
        </is>
      </c>
      <c r="I1" s="29" t="inlineStr">
        <is>
          <t>2026-W08</t>
        </is>
      </c>
      <c r="J1" s="29" t="inlineStr">
        <is>
          <t>2026-W09</t>
        </is>
      </c>
      <c r="K1" s="29" t="inlineStr">
        <is>
          <t>2026-W10</t>
        </is>
      </c>
      <c r="L1" s="29" t="inlineStr">
        <is>
          <t>2026-W11</t>
        </is>
      </c>
      <c r="M1" s="29" t="inlineStr">
        <is>
          <t>2026-W12</t>
        </is>
      </c>
      <c r="N1" s="29" t="inlineStr">
        <is>
          <t>2026-W13</t>
        </is>
      </c>
      <c r="O1" s="29" t="inlineStr">
        <is>
          <t>2026-W14</t>
        </is>
      </c>
      <c r="P1" s="29" t="inlineStr">
        <is>
          <t>2026-W15</t>
        </is>
      </c>
      <c r="Q1" s="29" t="inlineStr">
        <is>
          <t>2026-W16</t>
        </is>
      </c>
      <c r="R1" s="29" t="inlineStr">
        <is>
          <t>2026-W17</t>
        </is>
      </c>
      <c r="S1" s="29" t="inlineStr">
        <is>
          <t>2026-W18</t>
        </is>
      </c>
      <c r="T1" s="29" t="inlineStr">
        <is>
          <t>2026-W19</t>
        </is>
      </c>
      <c r="U1" s="29" t="inlineStr">
        <is>
          <t>2026-W20</t>
        </is>
      </c>
      <c r="V1" s="29" t="inlineStr">
        <is>
          <t>2026-W21</t>
        </is>
      </c>
      <c r="W1" s="29" t="inlineStr">
        <is>
          <t>2026-W22</t>
        </is>
      </c>
      <c r="X1" s="29" t="inlineStr">
        <is>
          <t>2026-W23</t>
        </is>
      </c>
      <c r="Y1" s="29" t="inlineStr">
        <is>
          <t>2026-W24</t>
        </is>
      </c>
      <c r="Z1" s="29" t="inlineStr">
        <is>
          <t>2026-W25</t>
        </is>
      </c>
      <c r="AA1" s="29" t="inlineStr">
        <is>
          <t>2026-W26</t>
        </is>
      </c>
      <c r="AB1" s="29" t="inlineStr">
        <is>
          <t>2026-W27</t>
        </is>
      </c>
      <c r="AC1" s="29" t="inlineStr">
        <is>
          <t>2026-W28</t>
        </is>
      </c>
      <c r="AD1" s="29" t="inlineStr">
        <is>
          <t>2026-W29</t>
        </is>
      </c>
      <c r="AE1" s="29" t="inlineStr">
        <is>
          <t>2026-W30</t>
        </is>
      </c>
      <c r="AF1" s="29" t="inlineStr">
        <is>
          <t>2026-W31</t>
        </is>
      </c>
      <c r="AG1" s="29" t="inlineStr">
        <is>
          <t>2026-W32</t>
        </is>
      </c>
      <c r="AH1" s="29" t="inlineStr">
        <is>
          <t>2026-W33</t>
        </is>
      </c>
      <c r="AI1" s="29" t="inlineStr">
        <is>
          <t>2026-W34</t>
        </is>
      </c>
      <c r="AJ1" s="29" t="inlineStr">
        <is>
          <t>2026-W35</t>
        </is>
      </c>
      <c r="AK1" s="29" t="inlineStr">
        <is>
          <t>2026-W36</t>
        </is>
      </c>
      <c r="AL1" s="29" t="inlineStr">
        <is>
          <t>2026-W37</t>
        </is>
      </c>
      <c r="AM1" s="29" t="inlineStr">
        <is>
          <t>2026-W38</t>
        </is>
      </c>
      <c r="AN1" s="29" t="inlineStr">
        <is>
          <t>2026-W39</t>
        </is>
      </c>
      <c r="AO1" s="29" t="inlineStr">
        <is>
          <t>2026-W40</t>
        </is>
      </c>
      <c r="AP1" s="29" t="inlineStr">
        <is>
          <t>2026-W41</t>
        </is>
      </c>
      <c r="AQ1" s="29" t="inlineStr">
        <is>
          <t>2026-W42</t>
        </is>
      </c>
      <c r="AR1" s="29" t="inlineStr">
        <is>
          <t>2026-W43</t>
        </is>
      </c>
      <c r="AS1" s="29" t="inlineStr">
        <is>
          <t>2026-W44</t>
        </is>
      </c>
      <c r="AT1" s="29" t="inlineStr">
        <is>
          <t>2026-W45</t>
        </is>
      </c>
      <c r="AU1" s="29" t="inlineStr">
        <is>
          <t>2026-W46</t>
        </is>
      </c>
      <c r="AV1" s="29" t="inlineStr">
        <is>
          <t>2026-W47</t>
        </is>
      </c>
      <c r="AW1" s="29" t="inlineStr">
        <is>
          <t>2026-W48</t>
        </is>
      </c>
      <c r="AX1" s="29" t="inlineStr">
        <is>
          <t>2026-W49</t>
        </is>
      </c>
      <c r="AY1" s="29" t="inlineStr">
        <is>
          <t>2026-W50</t>
        </is>
      </c>
      <c r="AZ1" s="29" t="inlineStr">
        <is>
          <t>2026-W51</t>
        </is>
      </c>
      <c r="BA1" s="29" t="inlineStr">
        <is>
          <t>2026-W52</t>
        </is>
      </c>
      <c r="BB1" s="29" t="inlineStr">
        <is>
          <t>2027-W01</t>
        </is>
      </c>
      <c r="BC1" s="29" t="inlineStr">
        <is>
          <t>2027-W02</t>
        </is>
      </c>
      <c r="BD1" s="29" t="inlineStr">
        <is>
          <t>2027-W03</t>
        </is>
      </c>
      <c r="BE1" s="29" t="inlineStr">
        <is>
          <t>2027-W04</t>
        </is>
      </c>
      <c r="BF1" s="29" t="inlineStr">
        <is>
          <t>2027-W05</t>
        </is>
      </c>
      <c r="BG1" s="29" t="inlineStr">
        <is>
          <t>2027-W06</t>
        </is>
      </c>
      <c r="BH1" s="29" t="inlineStr">
        <is>
          <t>2027-W07</t>
        </is>
      </c>
      <c r="BI1" s="29" t="inlineStr">
        <is>
          <t>2027-W08</t>
        </is>
      </c>
      <c r="BJ1" s="29" t="inlineStr">
        <is>
          <t>2027-W09</t>
        </is>
      </c>
      <c r="BK1" s="29" t="inlineStr">
        <is>
          <t>2027-W10</t>
        </is>
      </c>
      <c r="BL1" s="29" t="inlineStr">
        <is>
          <t>2027-W11</t>
        </is>
      </c>
      <c r="BM1" s="29" t="inlineStr">
        <is>
          <t>2027-W12</t>
        </is>
      </c>
      <c r="BN1" s="29" t="inlineStr">
        <is>
          <t>2027-W13</t>
        </is>
      </c>
      <c r="BO1" s="29" t="inlineStr">
        <is>
          <t>2027-W14</t>
        </is>
      </c>
      <c r="BP1" s="29" t="inlineStr">
        <is>
          <t>2027-W15</t>
        </is>
      </c>
      <c r="BQ1" s="29" t="inlineStr">
        <is>
          <t>2027-W16</t>
        </is>
      </c>
      <c r="BR1" s="29" t="inlineStr">
        <is>
          <t>2027-W17</t>
        </is>
      </c>
      <c r="BS1" s="29" t="inlineStr">
        <is>
          <t>2027-W18</t>
        </is>
      </c>
      <c r="BT1" s="29" t="inlineStr">
        <is>
          <t>2027-W19</t>
        </is>
      </c>
      <c r="BU1" s="29" t="inlineStr">
        <is>
          <t>2027-W20</t>
        </is>
      </c>
      <c r="BV1" s="29" t="inlineStr">
        <is>
          <t>2027-W21</t>
        </is>
      </c>
      <c r="BW1" s="29" t="inlineStr">
        <is>
          <t>2027-W22</t>
        </is>
      </c>
      <c r="BX1" s="29" t="inlineStr">
        <is>
          <t>2027-W23</t>
        </is>
      </c>
      <c r="BY1" s="29" t="inlineStr">
        <is>
          <t>2027-W24</t>
        </is>
      </c>
      <c r="BZ1" s="29" t="inlineStr">
        <is>
          <t>2027-W25</t>
        </is>
      </c>
      <c r="CA1" s="29" t="inlineStr">
        <is>
          <t>2027-W26</t>
        </is>
      </c>
      <c r="CB1" s="29" t="inlineStr">
        <is>
          <t>2027-W27</t>
        </is>
      </c>
      <c r="CC1" s="29" t="inlineStr">
        <is>
          <t>2027-W28</t>
        </is>
      </c>
      <c r="CD1" s="29" t="inlineStr">
        <is>
          <t>2027-W29</t>
        </is>
      </c>
      <c r="CE1" s="29" t="inlineStr">
        <is>
          <t>2027-W30</t>
        </is>
      </c>
      <c r="CF1" s="29" t="inlineStr">
        <is>
          <t>2027-W31</t>
        </is>
      </c>
      <c r="CG1" s="29" t="inlineStr">
        <is>
          <t>2027-W32</t>
        </is>
      </c>
      <c r="CH1" s="29" t="inlineStr">
        <is>
          <t>2027-W33</t>
        </is>
      </c>
      <c r="CI1" s="29" t="inlineStr">
        <is>
          <t>2027-W34</t>
        </is>
      </c>
      <c r="CJ1" s="29" t="inlineStr">
        <is>
          <t>2027-W35</t>
        </is>
      </c>
      <c r="CK1" s="29" t="inlineStr">
        <is>
          <t>2027-W36</t>
        </is>
      </c>
      <c r="CL1" s="29" t="inlineStr">
        <is>
          <t>2027-W37</t>
        </is>
      </c>
      <c r="CM1" s="29" t="inlineStr">
        <is>
          <t>2027-W38</t>
        </is>
      </c>
      <c r="CN1" s="29" t="inlineStr">
        <is>
          <t>2027-W39</t>
        </is>
      </c>
      <c r="CO1" s="29" t="inlineStr">
        <is>
          <t>2027-W40</t>
        </is>
      </c>
      <c r="CP1" s="29" t="inlineStr">
        <is>
          <t>2027-W41</t>
        </is>
      </c>
      <c r="CQ1" s="29" t="inlineStr">
        <is>
          <t>2027-W42</t>
        </is>
      </c>
      <c r="CR1" s="29" t="inlineStr">
        <is>
          <t>2027-W43</t>
        </is>
      </c>
      <c r="CS1" s="29" t="inlineStr">
        <is>
          <t>2027-W44</t>
        </is>
      </c>
      <c r="CT1" s="29" t="inlineStr">
        <is>
          <t>2027-W45</t>
        </is>
      </c>
      <c r="CU1" s="29" t="inlineStr">
        <is>
          <t>2027-W46</t>
        </is>
      </c>
      <c r="CV1" s="29" t="inlineStr">
        <is>
          <t>2027-W47</t>
        </is>
      </c>
      <c r="CW1" s="29" t="inlineStr">
        <is>
          <t>2027-W48</t>
        </is>
      </c>
      <c r="CX1" s="29" t="inlineStr">
        <is>
          <t>2027-W49</t>
        </is>
      </c>
      <c r="CY1" s="29" t="inlineStr">
        <is>
          <t>2027-W50</t>
        </is>
      </c>
      <c r="CZ1" s="29" t="inlineStr">
        <is>
          <t>2027-W51</t>
        </is>
      </c>
      <c r="DA1" s="29" t="inlineStr">
        <is>
          <t>2027-W52</t>
        </is>
      </c>
    </row>
    <row r="2">
      <c r="A2" t="inlineStr">
        <is>
          <t>CHEM-1250</t>
        </is>
      </c>
      <c r="B2">
        <f>IF(COUNTIFS(T_StockCount[RM_Code],$A2,T_StockCount[WeekIndex],1)&gt;0,SUMIFS(T_StockCount[CountedQty],T_StockCount[RM_Code],$A2,T_StockCount[WeekIndex],1),IF((COUNTIFS(T_SelfStock[RM_Code],$A2,T_SelfStock[WeekIndex],1)&gt;0)*(COUNTIFS(T_TTAFStock[RM_Code],$A2,T_TTAFStock[WeekIndex],1)&gt;0)&gt;0,SUMIFS(T_SelfStock[Self_Qty],T_SelfStock[RM_Code],$A2,T_SelfStock[WeekIndex],1)+SUMIFS(T_TTAFStock[TTAF_Qty],T_TTAFStock[RM_Code],$A2,T_TTAFStock[WeekIndex],1),IFERROR(INDEX(T_OpeningStock[Opening_Qty],MATCH($A2,T_OpeningStock[RM_Code],0)),0)+'Grid_Incoming'!B2-'Grid_Requirement'!B2))</f>
        <v/>
      </c>
      <c r="C2">
        <f>IF(COUNTIFS(T_StockCount[RM_Code],$A2,T_StockCount[WeekIndex],2)&gt;0,SUMIFS(T_StockCount[CountedQty],T_StockCount[RM_Code],$A2,T_StockCount[WeekIndex],2),IF((COUNTIFS(T_SelfStock[RM_Code],$A2,T_SelfStock[WeekIndex],2)&gt;0)*(COUNTIFS(T_TTAFStock[RM_Code],$A2,T_TTAFStock[WeekIndex],2)&gt;0)&gt;0,SUMIFS(T_SelfStock[Self_Qty],T_SelfStock[RM_Code],$A2,T_SelfStock[WeekIndex],2)+SUMIFS(T_TTAFStock[TTAF_Qty],T_TTAFStock[RM_Code],$A2,T_TTAFStock[WeekIndex],2),B2+'Grid_Incoming'!C2-'Grid_Requirement'!C2))</f>
        <v/>
      </c>
      <c r="D2">
        <f>IF(COUNTIFS(T_StockCount[RM_Code],$A2,T_StockCount[WeekIndex],3)&gt;0,SUMIFS(T_StockCount[CountedQty],T_StockCount[RM_Code],$A2,T_StockCount[WeekIndex],3),IF((COUNTIFS(T_SelfStock[RM_Code],$A2,T_SelfStock[WeekIndex],3)&gt;0)*(COUNTIFS(T_TTAFStock[RM_Code],$A2,T_TTAFStock[WeekIndex],3)&gt;0)&gt;0,SUMIFS(T_SelfStock[Self_Qty],T_SelfStock[RM_Code],$A2,T_SelfStock[WeekIndex],3)+SUMIFS(T_TTAFStock[TTAF_Qty],T_TTAFStock[RM_Code],$A2,T_TTAFStock[WeekIndex],3),C2+'Grid_Incoming'!D2-'Grid_Requirement'!D2))</f>
        <v/>
      </c>
      <c r="E2">
        <f>IF(COUNTIFS(T_StockCount[RM_Code],$A2,T_StockCount[WeekIndex],4)&gt;0,SUMIFS(T_StockCount[CountedQty],T_StockCount[RM_Code],$A2,T_StockCount[WeekIndex],4),IF((COUNTIFS(T_SelfStock[RM_Code],$A2,T_SelfStock[WeekIndex],4)&gt;0)*(COUNTIFS(T_TTAFStock[RM_Code],$A2,T_TTAFStock[WeekIndex],4)&gt;0)&gt;0,SUMIFS(T_SelfStock[Self_Qty],T_SelfStock[RM_Code],$A2,T_SelfStock[WeekIndex],4)+SUMIFS(T_TTAFStock[TTAF_Qty],T_TTAFStock[RM_Code],$A2,T_TTAFStock[WeekIndex],4),D2+'Grid_Incoming'!E2-'Grid_Requirement'!E2))</f>
        <v/>
      </c>
      <c r="F2">
        <f>IF(COUNTIFS(T_StockCount[RM_Code],$A2,T_StockCount[WeekIndex],5)&gt;0,SUMIFS(T_StockCount[CountedQty],T_StockCount[RM_Code],$A2,T_StockCount[WeekIndex],5),IF((COUNTIFS(T_SelfStock[RM_Code],$A2,T_SelfStock[WeekIndex],5)&gt;0)*(COUNTIFS(T_TTAFStock[RM_Code],$A2,T_TTAFStock[WeekIndex],5)&gt;0)&gt;0,SUMIFS(T_SelfStock[Self_Qty],T_SelfStock[RM_Code],$A2,T_SelfStock[WeekIndex],5)+SUMIFS(T_TTAFStock[TTAF_Qty],T_TTAFStock[RM_Code],$A2,T_TTAFStock[WeekIndex],5),E2+'Grid_Incoming'!F2-'Grid_Requirement'!F2))</f>
        <v/>
      </c>
      <c r="G2">
        <f>IF(COUNTIFS(T_StockCount[RM_Code],$A2,T_StockCount[WeekIndex],6)&gt;0,SUMIFS(T_StockCount[CountedQty],T_StockCount[RM_Code],$A2,T_StockCount[WeekIndex],6),IF((COUNTIFS(T_SelfStock[RM_Code],$A2,T_SelfStock[WeekIndex],6)&gt;0)*(COUNTIFS(T_TTAFStock[RM_Code],$A2,T_TTAFStock[WeekIndex],6)&gt;0)&gt;0,SUMIFS(T_SelfStock[Self_Qty],T_SelfStock[RM_Code],$A2,T_SelfStock[WeekIndex],6)+SUMIFS(T_TTAFStock[TTAF_Qty],T_TTAFStock[RM_Code],$A2,T_TTAFStock[WeekIndex],6),F2+'Grid_Incoming'!G2-'Grid_Requirement'!G2))</f>
        <v/>
      </c>
      <c r="H2">
        <f>IF(COUNTIFS(T_StockCount[RM_Code],$A2,T_StockCount[WeekIndex],7)&gt;0,SUMIFS(T_StockCount[CountedQty],T_StockCount[RM_Code],$A2,T_StockCount[WeekIndex],7),IF((COUNTIFS(T_SelfStock[RM_Code],$A2,T_SelfStock[WeekIndex],7)&gt;0)*(COUNTIFS(T_TTAFStock[RM_Code],$A2,T_TTAFStock[WeekIndex],7)&gt;0)&gt;0,SUMIFS(T_SelfStock[Self_Qty],T_SelfStock[RM_Code],$A2,T_SelfStock[WeekIndex],7)+SUMIFS(T_TTAFStock[TTAF_Qty],T_TTAFStock[RM_Code],$A2,T_TTAFStock[WeekIndex],7),G2+'Grid_Incoming'!H2-'Grid_Requirement'!H2))</f>
        <v/>
      </c>
      <c r="I2">
        <f>IF(COUNTIFS(T_StockCount[RM_Code],$A2,T_StockCount[WeekIndex],8)&gt;0,SUMIFS(T_StockCount[CountedQty],T_StockCount[RM_Code],$A2,T_StockCount[WeekIndex],8),IF((COUNTIFS(T_SelfStock[RM_Code],$A2,T_SelfStock[WeekIndex],8)&gt;0)*(COUNTIFS(T_TTAFStock[RM_Code],$A2,T_TTAFStock[WeekIndex],8)&gt;0)&gt;0,SUMIFS(T_SelfStock[Self_Qty],T_SelfStock[RM_Code],$A2,T_SelfStock[WeekIndex],8)+SUMIFS(T_TTAFStock[TTAF_Qty],T_TTAFStock[RM_Code],$A2,T_TTAFStock[WeekIndex],8),H2+'Grid_Incoming'!I2-'Grid_Requirement'!I2))</f>
        <v/>
      </c>
      <c r="J2">
        <f>IF(COUNTIFS(T_StockCount[RM_Code],$A2,T_StockCount[WeekIndex],9)&gt;0,SUMIFS(T_StockCount[CountedQty],T_StockCount[RM_Code],$A2,T_StockCount[WeekIndex],9),IF((COUNTIFS(T_SelfStock[RM_Code],$A2,T_SelfStock[WeekIndex],9)&gt;0)*(COUNTIFS(T_TTAFStock[RM_Code],$A2,T_TTAFStock[WeekIndex],9)&gt;0)&gt;0,SUMIFS(T_SelfStock[Self_Qty],T_SelfStock[RM_Code],$A2,T_SelfStock[WeekIndex],9)+SUMIFS(T_TTAFStock[TTAF_Qty],T_TTAFStock[RM_Code],$A2,T_TTAFStock[WeekIndex],9),I2+'Grid_Incoming'!J2-'Grid_Requirement'!J2))</f>
        <v/>
      </c>
      <c r="K2">
        <f>IF(COUNTIFS(T_StockCount[RM_Code],$A2,T_StockCount[WeekIndex],10)&gt;0,SUMIFS(T_StockCount[CountedQty],T_StockCount[RM_Code],$A2,T_StockCount[WeekIndex],10),IF((COUNTIFS(T_SelfStock[RM_Code],$A2,T_SelfStock[WeekIndex],10)&gt;0)*(COUNTIFS(T_TTAFStock[RM_Code],$A2,T_TTAFStock[WeekIndex],10)&gt;0)&gt;0,SUMIFS(T_SelfStock[Self_Qty],T_SelfStock[RM_Code],$A2,T_SelfStock[WeekIndex],10)+SUMIFS(T_TTAFStock[TTAF_Qty],T_TTAFStock[RM_Code],$A2,T_TTAFStock[WeekIndex],10),J2+'Grid_Incoming'!K2-'Grid_Requirement'!K2))</f>
        <v/>
      </c>
      <c r="L2">
        <f>IF(COUNTIFS(T_StockCount[RM_Code],$A2,T_StockCount[WeekIndex],11)&gt;0,SUMIFS(T_StockCount[CountedQty],T_StockCount[RM_Code],$A2,T_StockCount[WeekIndex],11),IF((COUNTIFS(T_SelfStock[RM_Code],$A2,T_SelfStock[WeekIndex],11)&gt;0)*(COUNTIFS(T_TTAFStock[RM_Code],$A2,T_TTAFStock[WeekIndex],11)&gt;0)&gt;0,SUMIFS(T_SelfStock[Self_Qty],T_SelfStock[RM_Code],$A2,T_SelfStock[WeekIndex],11)+SUMIFS(T_TTAFStock[TTAF_Qty],T_TTAFStock[RM_Code],$A2,T_TTAFStock[WeekIndex],11),K2+'Grid_Incoming'!L2-'Grid_Requirement'!L2))</f>
        <v/>
      </c>
      <c r="M2">
        <f>IF(COUNTIFS(T_StockCount[RM_Code],$A2,T_StockCount[WeekIndex],12)&gt;0,SUMIFS(T_StockCount[CountedQty],T_StockCount[RM_Code],$A2,T_StockCount[WeekIndex],12),IF((COUNTIFS(T_SelfStock[RM_Code],$A2,T_SelfStock[WeekIndex],12)&gt;0)*(COUNTIFS(T_TTAFStock[RM_Code],$A2,T_TTAFStock[WeekIndex],12)&gt;0)&gt;0,SUMIFS(T_SelfStock[Self_Qty],T_SelfStock[RM_Code],$A2,T_SelfStock[WeekIndex],12)+SUMIFS(T_TTAFStock[TTAF_Qty],T_TTAFStock[RM_Code],$A2,T_TTAFStock[WeekIndex],12),L2+'Grid_Incoming'!M2-'Grid_Requirement'!M2))</f>
        <v/>
      </c>
      <c r="N2">
        <f>IF(COUNTIFS(T_StockCount[RM_Code],$A2,T_StockCount[WeekIndex],13)&gt;0,SUMIFS(T_StockCount[CountedQty],T_StockCount[RM_Code],$A2,T_StockCount[WeekIndex],13),IF((COUNTIFS(T_SelfStock[RM_Code],$A2,T_SelfStock[WeekIndex],13)&gt;0)*(COUNTIFS(T_TTAFStock[RM_Code],$A2,T_TTAFStock[WeekIndex],13)&gt;0)&gt;0,SUMIFS(T_SelfStock[Self_Qty],T_SelfStock[RM_Code],$A2,T_SelfStock[WeekIndex],13)+SUMIFS(T_TTAFStock[TTAF_Qty],T_TTAFStock[RM_Code],$A2,T_TTAFStock[WeekIndex],13),M2+'Grid_Incoming'!N2-'Grid_Requirement'!N2))</f>
        <v/>
      </c>
      <c r="O2">
        <f>IF(COUNTIFS(T_StockCount[RM_Code],$A2,T_StockCount[WeekIndex],14)&gt;0,SUMIFS(T_StockCount[CountedQty],T_StockCount[RM_Code],$A2,T_StockCount[WeekIndex],14),IF((COUNTIFS(T_SelfStock[RM_Code],$A2,T_SelfStock[WeekIndex],14)&gt;0)*(COUNTIFS(T_TTAFStock[RM_Code],$A2,T_TTAFStock[WeekIndex],14)&gt;0)&gt;0,SUMIFS(T_SelfStock[Self_Qty],T_SelfStock[RM_Code],$A2,T_SelfStock[WeekIndex],14)+SUMIFS(T_TTAFStock[TTAF_Qty],T_TTAFStock[RM_Code],$A2,T_TTAFStock[WeekIndex],14),N2+'Grid_Incoming'!O2-'Grid_Requirement'!O2))</f>
        <v/>
      </c>
      <c r="P2">
        <f>IF(COUNTIFS(T_StockCount[RM_Code],$A2,T_StockCount[WeekIndex],15)&gt;0,SUMIFS(T_StockCount[CountedQty],T_StockCount[RM_Code],$A2,T_StockCount[WeekIndex],15),IF((COUNTIFS(T_SelfStock[RM_Code],$A2,T_SelfStock[WeekIndex],15)&gt;0)*(COUNTIFS(T_TTAFStock[RM_Code],$A2,T_TTAFStock[WeekIndex],15)&gt;0)&gt;0,SUMIFS(T_SelfStock[Self_Qty],T_SelfStock[RM_Code],$A2,T_SelfStock[WeekIndex],15)+SUMIFS(T_TTAFStock[TTAF_Qty],T_TTAFStock[RM_Code],$A2,T_TTAFStock[WeekIndex],15),O2+'Grid_Incoming'!P2-'Grid_Requirement'!P2))</f>
        <v/>
      </c>
      <c r="Q2">
        <f>IF(COUNTIFS(T_StockCount[RM_Code],$A2,T_StockCount[WeekIndex],16)&gt;0,SUMIFS(T_StockCount[CountedQty],T_StockCount[RM_Code],$A2,T_StockCount[WeekIndex],16),IF((COUNTIFS(T_SelfStock[RM_Code],$A2,T_SelfStock[WeekIndex],16)&gt;0)*(COUNTIFS(T_TTAFStock[RM_Code],$A2,T_TTAFStock[WeekIndex],16)&gt;0)&gt;0,SUMIFS(T_SelfStock[Self_Qty],T_SelfStock[RM_Code],$A2,T_SelfStock[WeekIndex],16)+SUMIFS(T_TTAFStock[TTAF_Qty],T_TTAFStock[RM_Code],$A2,T_TTAFStock[WeekIndex],16),P2+'Grid_Incoming'!Q2-'Grid_Requirement'!Q2))</f>
        <v/>
      </c>
      <c r="R2">
        <f>IF(COUNTIFS(T_StockCount[RM_Code],$A2,T_StockCount[WeekIndex],17)&gt;0,SUMIFS(T_StockCount[CountedQty],T_StockCount[RM_Code],$A2,T_StockCount[WeekIndex],17),IF((COUNTIFS(T_SelfStock[RM_Code],$A2,T_SelfStock[WeekIndex],17)&gt;0)*(COUNTIFS(T_TTAFStock[RM_Code],$A2,T_TTAFStock[WeekIndex],17)&gt;0)&gt;0,SUMIFS(T_SelfStock[Self_Qty],T_SelfStock[RM_Code],$A2,T_SelfStock[WeekIndex],17)+SUMIFS(T_TTAFStock[TTAF_Qty],T_TTAFStock[RM_Code],$A2,T_TTAFStock[WeekIndex],17),Q2+'Grid_Incoming'!R2-'Grid_Requirement'!R2))</f>
        <v/>
      </c>
      <c r="S2">
        <f>IF(COUNTIFS(T_StockCount[RM_Code],$A2,T_StockCount[WeekIndex],18)&gt;0,SUMIFS(T_StockCount[CountedQty],T_StockCount[RM_Code],$A2,T_StockCount[WeekIndex],18),IF((COUNTIFS(T_SelfStock[RM_Code],$A2,T_SelfStock[WeekIndex],18)&gt;0)*(COUNTIFS(T_TTAFStock[RM_Code],$A2,T_TTAFStock[WeekIndex],18)&gt;0)&gt;0,SUMIFS(T_SelfStock[Self_Qty],T_SelfStock[RM_Code],$A2,T_SelfStock[WeekIndex],18)+SUMIFS(T_TTAFStock[TTAF_Qty],T_TTAFStock[RM_Code],$A2,T_TTAFStock[WeekIndex],18),R2+'Grid_Incoming'!S2-'Grid_Requirement'!S2))</f>
        <v/>
      </c>
      <c r="T2">
        <f>IF(COUNTIFS(T_StockCount[RM_Code],$A2,T_StockCount[WeekIndex],19)&gt;0,SUMIFS(T_StockCount[CountedQty],T_StockCount[RM_Code],$A2,T_StockCount[WeekIndex],19),IF((COUNTIFS(T_SelfStock[RM_Code],$A2,T_SelfStock[WeekIndex],19)&gt;0)*(COUNTIFS(T_TTAFStock[RM_Code],$A2,T_TTAFStock[WeekIndex],19)&gt;0)&gt;0,SUMIFS(T_SelfStock[Self_Qty],T_SelfStock[RM_Code],$A2,T_SelfStock[WeekIndex],19)+SUMIFS(T_TTAFStock[TTAF_Qty],T_TTAFStock[RM_Code],$A2,T_TTAFStock[WeekIndex],19),S2+'Grid_Incoming'!T2-'Grid_Requirement'!T2))</f>
        <v/>
      </c>
      <c r="U2">
        <f>IF(COUNTIFS(T_StockCount[RM_Code],$A2,T_StockCount[WeekIndex],20)&gt;0,SUMIFS(T_StockCount[CountedQty],T_StockCount[RM_Code],$A2,T_StockCount[WeekIndex],20),IF((COUNTIFS(T_SelfStock[RM_Code],$A2,T_SelfStock[WeekIndex],20)&gt;0)*(COUNTIFS(T_TTAFStock[RM_Code],$A2,T_TTAFStock[WeekIndex],20)&gt;0)&gt;0,SUMIFS(T_SelfStock[Self_Qty],T_SelfStock[RM_Code],$A2,T_SelfStock[WeekIndex],20)+SUMIFS(T_TTAFStock[TTAF_Qty],T_TTAFStock[RM_Code],$A2,T_TTAFStock[WeekIndex],20),T2+'Grid_Incoming'!U2-'Grid_Requirement'!U2))</f>
        <v/>
      </c>
      <c r="V2">
        <f>IF(COUNTIFS(T_StockCount[RM_Code],$A2,T_StockCount[WeekIndex],21)&gt;0,SUMIFS(T_StockCount[CountedQty],T_StockCount[RM_Code],$A2,T_StockCount[WeekIndex],21),IF((COUNTIFS(T_SelfStock[RM_Code],$A2,T_SelfStock[WeekIndex],21)&gt;0)*(COUNTIFS(T_TTAFStock[RM_Code],$A2,T_TTAFStock[WeekIndex],21)&gt;0)&gt;0,SUMIFS(T_SelfStock[Self_Qty],T_SelfStock[RM_Code],$A2,T_SelfStock[WeekIndex],21)+SUMIFS(T_TTAFStock[TTAF_Qty],T_TTAFStock[RM_Code],$A2,T_TTAFStock[WeekIndex],21),U2+'Grid_Incoming'!V2-'Grid_Requirement'!V2))</f>
        <v/>
      </c>
      <c r="W2">
        <f>IF(COUNTIFS(T_StockCount[RM_Code],$A2,T_StockCount[WeekIndex],22)&gt;0,SUMIFS(T_StockCount[CountedQty],T_StockCount[RM_Code],$A2,T_StockCount[WeekIndex],22),IF((COUNTIFS(T_SelfStock[RM_Code],$A2,T_SelfStock[WeekIndex],22)&gt;0)*(COUNTIFS(T_TTAFStock[RM_Code],$A2,T_TTAFStock[WeekIndex],22)&gt;0)&gt;0,SUMIFS(T_SelfStock[Self_Qty],T_SelfStock[RM_Code],$A2,T_SelfStock[WeekIndex],22)+SUMIFS(T_TTAFStock[TTAF_Qty],T_TTAFStock[RM_Code],$A2,T_TTAFStock[WeekIndex],22),V2+'Grid_Incoming'!W2-'Grid_Requirement'!W2))</f>
        <v/>
      </c>
      <c r="X2">
        <f>IF(COUNTIFS(T_StockCount[RM_Code],$A2,T_StockCount[WeekIndex],23)&gt;0,SUMIFS(T_StockCount[CountedQty],T_StockCount[RM_Code],$A2,T_StockCount[WeekIndex],23),IF((COUNTIFS(T_SelfStock[RM_Code],$A2,T_SelfStock[WeekIndex],23)&gt;0)*(COUNTIFS(T_TTAFStock[RM_Code],$A2,T_TTAFStock[WeekIndex],23)&gt;0)&gt;0,SUMIFS(T_SelfStock[Self_Qty],T_SelfStock[RM_Code],$A2,T_SelfStock[WeekIndex],23)+SUMIFS(T_TTAFStock[TTAF_Qty],T_TTAFStock[RM_Code],$A2,T_TTAFStock[WeekIndex],23),W2+'Grid_Incoming'!X2-'Grid_Requirement'!X2))</f>
        <v/>
      </c>
      <c r="Y2">
        <f>IF(COUNTIFS(T_StockCount[RM_Code],$A2,T_StockCount[WeekIndex],24)&gt;0,SUMIFS(T_StockCount[CountedQty],T_StockCount[RM_Code],$A2,T_StockCount[WeekIndex],24),IF((COUNTIFS(T_SelfStock[RM_Code],$A2,T_SelfStock[WeekIndex],24)&gt;0)*(COUNTIFS(T_TTAFStock[RM_Code],$A2,T_TTAFStock[WeekIndex],24)&gt;0)&gt;0,SUMIFS(T_SelfStock[Self_Qty],T_SelfStock[RM_Code],$A2,T_SelfStock[WeekIndex],24)+SUMIFS(T_TTAFStock[TTAF_Qty],T_TTAFStock[RM_Code],$A2,T_TTAFStock[WeekIndex],24),X2+'Grid_Incoming'!Y2-'Grid_Requirement'!Y2))</f>
        <v/>
      </c>
      <c r="Z2">
        <f>IF(COUNTIFS(T_StockCount[RM_Code],$A2,T_StockCount[WeekIndex],25)&gt;0,SUMIFS(T_StockCount[CountedQty],T_StockCount[RM_Code],$A2,T_StockCount[WeekIndex],25),IF((COUNTIFS(T_SelfStock[RM_Code],$A2,T_SelfStock[WeekIndex],25)&gt;0)*(COUNTIFS(T_TTAFStock[RM_Code],$A2,T_TTAFStock[WeekIndex],25)&gt;0)&gt;0,SUMIFS(T_SelfStock[Self_Qty],T_SelfStock[RM_Code],$A2,T_SelfStock[WeekIndex],25)+SUMIFS(T_TTAFStock[TTAF_Qty],T_TTAFStock[RM_Code],$A2,T_TTAFStock[WeekIndex],25),Y2+'Grid_Incoming'!Z2-'Grid_Requirement'!Z2))</f>
        <v/>
      </c>
      <c r="AA2">
        <f>IF(COUNTIFS(T_StockCount[RM_Code],$A2,T_StockCount[WeekIndex],26)&gt;0,SUMIFS(T_StockCount[CountedQty],T_StockCount[RM_Code],$A2,T_StockCount[WeekIndex],26),IF((COUNTIFS(T_SelfStock[RM_Code],$A2,T_SelfStock[WeekIndex],26)&gt;0)*(COUNTIFS(T_TTAFStock[RM_Code],$A2,T_TTAFStock[WeekIndex],26)&gt;0)&gt;0,SUMIFS(T_SelfStock[Self_Qty],T_SelfStock[RM_Code],$A2,T_SelfStock[WeekIndex],26)+SUMIFS(T_TTAFStock[TTAF_Qty],T_TTAFStock[RM_Code],$A2,T_TTAFStock[WeekIndex],26),Z2+'Grid_Incoming'!AA2-'Grid_Requirement'!AA2))</f>
        <v/>
      </c>
      <c r="AB2">
        <f>IF(COUNTIFS(T_StockCount[RM_Code],$A2,T_StockCount[WeekIndex],27)&gt;0,SUMIFS(T_StockCount[CountedQty],T_StockCount[RM_Code],$A2,T_StockCount[WeekIndex],27),IF((COUNTIFS(T_SelfStock[RM_Code],$A2,T_SelfStock[WeekIndex],27)&gt;0)*(COUNTIFS(T_TTAFStock[RM_Code],$A2,T_TTAFStock[WeekIndex],27)&gt;0)&gt;0,SUMIFS(T_SelfStock[Self_Qty],T_SelfStock[RM_Code],$A2,T_SelfStock[WeekIndex],27)+SUMIFS(T_TTAFStock[TTAF_Qty],T_TTAFStock[RM_Code],$A2,T_TTAFStock[WeekIndex],27),AA2+'Grid_Incoming'!AB2-'Grid_Requirement'!AB2))</f>
        <v/>
      </c>
      <c r="AC2">
        <f>IF(COUNTIFS(T_StockCount[RM_Code],$A2,T_StockCount[WeekIndex],28)&gt;0,SUMIFS(T_StockCount[CountedQty],T_StockCount[RM_Code],$A2,T_StockCount[WeekIndex],28),IF((COUNTIFS(T_SelfStock[RM_Code],$A2,T_SelfStock[WeekIndex],28)&gt;0)*(COUNTIFS(T_TTAFStock[RM_Code],$A2,T_TTAFStock[WeekIndex],28)&gt;0)&gt;0,SUMIFS(T_SelfStock[Self_Qty],T_SelfStock[RM_Code],$A2,T_SelfStock[WeekIndex],28)+SUMIFS(T_TTAFStock[TTAF_Qty],T_TTAFStock[RM_Code],$A2,T_TTAFStock[WeekIndex],28),AB2+'Grid_Incoming'!AC2-'Grid_Requirement'!AC2))</f>
        <v/>
      </c>
      <c r="AD2">
        <f>IF(COUNTIFS(T_StockCount[RM_Code],$A2,T_StockCount[WeekIndex],29)&gt;0,SUMIFS(T_StockCount[CountedQty],T_StockCount[RM_Code],$A2,T_StockCount[WeekIndex],29),IF((COUNTIFS(T_SelfStock[RM_Code],$A2,T_SelfStock[WeekIndex],29)&gt;0)*(COUNTIFS(T_TTAFStock[RM_Code],$A2,T_TTAFStock[WeekIndex],29)&gt;0)&gt;0,SUMIFS(T_SelfStock[Self_Qty],T_SelfStock[RM_Code],$A2,T_SelfStock[WeekIndex],29)+SUMIFS(T_TTAFStock[TTAF_Qty],T_TTAFStock[RM_Code],$A2,T_TTAFStock[WeekIndex],29),AC2+'Grid_Incoming'!AD2-'Grid_Requirement'!AD2))</f>
        <v/>
      </c>
      <c r="AE2">
        <f>IF(COUNTIFS(T_StockCount[RM_Code],$A2,T_StockCount[WeekIndex],30)&gt;0,SUMIFS(T_StockCount[CountedQty],T_StockCount[RM_Code],$A2,T_StockCount[WeekIndex],30),IF((COUNTIFS(T_SelfStock[RM_Code],$A2,T_SelfStock[WeekIndex],30)&gt;0)*(COUNTIFS(T_TTAFStock[RM_Code],$A2,T_TTAFStock[WeekIndex],30)&gt;0)&gt;0,SUMIFS(T_SelfStock[Self_Qty],T_SelfStock[RM_Code],$A2,T_SelfStock[WeekIndex],30)+SUMIFS(T_TTAFStock[TTAF_Qty],T_TTAFStock[RM_Code],$A2,T_TTAFStock[WeekIndex],30),AD2+'Grid_Incoming'!AE2-'Grid_Requirement'!AE2))</f>
        <v/>
      </c>
      <c r="AF2">
        <f>IF(COUNTIFS(T_StockCount[RM_Code],$A2,T_StockCount[WeekIndex],31)&gt;0,SUMIFS(T_StockCount[CountedQty],T_StockCount[RM_Code],$A2,T_StockCount[WeekIndex],31),IF((COUNTIFS(T_SelfStock[RM_Code],$A2,T_SelfStock[WeekIndex],31)&gt;0)*(COUNTIFS(T_TTAFStock[RM_Code],$A2,T_TTAFStock[WeekIndex],31)&gt;0)&gt;0,SUMIFS(T_SelfStock[Self_Qty],T_SelfStock[RM_Code],$A2,T_SelfStock[WeekIndex],31)+SUMIFS(T_TTAFStock[TTAF_Qty],T_TTAFStock[RM_Code],$A2,T_TTAFStock[WeekIndex],31),AE2+'Grid_Incoming'!AF2-'Grid_Requirement'!AF2))</f>
        <v/>
      </c>
      <c r="AG2">
        <f>IF(COUNTIFS(T_StockCount[RM_Code],$A2,T_StockCount[WeekIndex],32)&gt;0,SUMIFS(T_StockCount[CountedQty],T_StockCount[RM_Code],$A2,T_StockCount[WeekIndex],32),IF((COUNTIFS(T_SelfStock[RM_Code],$A2,T_SelfStock[WeekIndex],32)&gt;0)*(COUNTIFS(T_TTAFStock[RM_Code],$A2,T_TTAFStock[WeekIndex],32)&gt;0)&gt;0,SUMIFS(T_SelfStock[Self_Qty],T_SelfStock[RM_Code],$A2,T_SelfStock[WeekIndex],32)+SUMIFS(T_TTAFStock[TTAF_Qty],T_TTAFStock[RM_Code],$A2,T_TTAFStock[WeekIndex],32),AF2+'Grid_Incoming'!AG2-'Grid_Requirement'!AG2))</f>
        <v/>
      </c>
      <c r="AH2">
        <f>IF(COUNTIFS(T_StockCount[RM_Code],$A2,T_StockCount[WeekIndex],33)&gt;0,SUMIFS(T_StockCount[CountedQty],T_StockCount[RM_Code],$A2,T_StockCount[WeekIndex],33),IF((COUNTIFS(T_SelfStock[RM_Code],$A2,T_SelfStock[WeekIndex],33)&gt;0)*(COUNTIFS(T_TTAFStock[RM_Code],$A2,T_TTAFStock[WeekIndex],33)&gt;0)&gt;0,SUMIFS(T_SelfStock[Self_Qty],T_SelfStock[RM_Code],$A2,T_SelfStock[WeekIndex],33)+SUMIFS(T_TTAFStock[TTAF_Qty],T_TTAFStock[RM_Code],$A2,T_TTAFStock[WeekIndex],33),AG2+'Grid_Incoming'!AH2-'Grid_Requirement'!AH2))</f>
        <v/>
      </c>
      <c r="AI2">
        <f>IF(COUNTIFS(T_StockCount[RM_Code],$A2,T_StockCount[WeekIndex],34)&gt;0,SUMIFS(T_StockCount[CountedQty],T_StockCount[RM_Code],$A2,T_StockCount[WeekIndex],34),IF((COUNTIFS(T_SelfStock[RM_Code],$A2,T_SelfStock[WeekIndex],34)&gt;0)*(COUNTIFS(T_TTAFStock[RM_Code],$A2,T_TTAFStock[WeekIndex],34)&gt;0)&gt;0,SUMIFS(T_SelfStock[Self_Qty],T_SelfStock[RM_Code],$A2,T_SelfStock[WeekIndex],34)+SUMIFS(T_TTAFStock[TTAF_Qty],T_TTAFStock[RM_Code],$A2,T_TTAFStock[WeekIndex],34),AH2+'Grid_Incoming'!AI2-'Grid_Requirement'!AI2))</f>
        <v/>
      </c>
      <c r="AJ2">
        <f>IF(COUNTIFS(T_StockCount[RM_Code],$A2,T_StockCount[WeekIndex],35)&gt;0,SUMIFS(T_StockCount[CountedQty],T_StockCount[RM_Code],$A2,T_StockCount[WeekIndex],35),IF((COUNTIFS(T_SelfStock[RM_Code],$A2,T_SelfStock[WeekIndex],35)&gt;0)*(COUNTIFS(T_TTAFStock[RM_Code],$A2,T_TTAFStock[WeekIndex],35)&gt;0)&gt;0,SUMIFS(T_SelfStock[Self_Qty],T_SelfStock[RM_Code],$A2,T_SelfStock[WeekIndex],35)+SUMIFS(T_TTAFStock[TTAF_Qty],T_TTAFStock[RM_Code],$A2,T_TTAFStock[WeekIndex],35),AI2+'Grid_Incoming'!AJ2-'Grid_Requirement'!AJ2))</f>
        <v/>
      </c>
      <c r="AK2">
        <f>IF(COUNTIFS(T_StockCount[RM_Code],$A2,T_StockCount[WeekIndex],36)&gt;0,SUMIFS(T_StockCount[CountedQty],T_StockCount[RM_Code],$A2,T_StockCount[WeekIndex],36),IF((COUNTIFS(T_SelfStock[RM_Code],$A2,T_SelfStock[WeekIndex],36)&gt;0)*(COUNTIFS(T_TTAFStock[RM_Code],$A2,T_TTAFStock[WeekIndex],36)&gt;0)&gt;0,SUMIFS(T_SelfStock[Self_Qty],T_SelfStock[RM_Code],$A2,T_SelfStock[WeekIndex],36)+SUMIFS(T_TTAFStock[TTAF_Qty],T_TTAFStock[RM_Code],$A2,T_TTAFStock[WeekIndex],36),AJ2+'Grid_Incoming'!AK2-'Grid_Requirement'!AK2))</f>
        <v/>
      </c>
      <c r="AL2">
        <f>IF(COUNTIFS(T_StockCount[RM_Code],$A2,T_StockCount[WeekIndex],37)&gt;0,SUMIFS(T_StockCount[CountedQty],T_StockCount[RM_Code],$A2,T_StockCount[WeekIndex],37),IF((COUNTIFS(T_SelfStock[RM_Code],$A2,T_SelfStock[WeekIndex],37)&gt;0)*(COUNTIFS(T_TTAFStock[RM_Code],$A2,T_TTAFStock[WeekIndex],37)&gt;0)&gt;0,SUMIFS(T_SelfStock[Self_Qty],T_SelfStock[RM_Code],$A2,T_SelfStock[WeekIndex],37)+SUMIFS(T_TTAFStock[TTAF_Qty],T_TTAFStock[RM_Code],$A2,T_TTAFStock[WeekIndex],37),AK2+'Grid_Incoming'!AL2-'Grid_Requirement'!AL2))</f>
        <v/>
      </c>
      <c r="AM2">
        <f>IF(COUNTIFS(T_StockCount[RM_Code],$A2,T_StockCount[WeekIndex],38)&gt;0,SUMIFS(T_StockCount[CountedQty],T_StockCount[RM_Code],$A2,T_StockCount[WeekIndex],38),IF((COUNTIFS(T_SelfStock[RM_Code],$A2,T_SelfStock[WeekIndex],38)&gt;0)*(COUNTIFS(T_TTAFStock[RM_Code],$A2,T_TTAFStock[WeekIndex],38)&gt;0)&gt;0,SUMIFS(T_SelfStock[Self_Qty],T_SelfStock[RM_Code],$A2,T_SelfStock[WeekIndex],38)+SUMIFS(T_TTAFStock[TTAF_Qty],T_TTAFStock[RM_Code],$A2,T_TTAFStock[WeekIndex],38),AL2+'Grid_Incoming'!AM2-'Grid_Requirement'!AM2))</f>
        <v/>
      </c>
      <c r="AN2">
        <f>IF(COUNTIFS(T_StockCount[RM_Code],$A2,T_StockCount[WeekIndex],39)&gt;0,SUMIFS(T_StockCount[CountedQty],T_StockCount[RM_Code],$A2,T_StockCount[WeekIndex],39),IF((COUNTIFS(T_SelfStock[RM_Code],$A2,T_SelfStock[WeekIndex],39)&gt;0)*(COUNTIFS(T_TTAFStock[RM_Code],$A2,T_TTAFStock[WeekIndex],39)&gt;0)&gt;0,SUMIFS(T_SelfStock[Self_Qty],T_SelfStock[RM_Code],$A2,T_SelfStock[WeekIndex],39)+SUMIFS(T_TTAFStock[TTAF_Qty],T_TTAFStock[RM_Code],$A2,T_TTAFStock[WeekIndex],39),AM2+'Grid_Incoming'!AN2-'Grid_Requirement'!AN2))</f>
        <v/>
      </c>
      <c r="AO2">
        <f>IF(COUNTIFS(T_StockCount[RM_Code],$A2,T_StockCount[WeekIndex],40)&gt;0,SUMIFS(T_StockCount[CountedQty],T_StockCount[RM_Code],$A2,T_StockCount[WeekIndex],40),IF((COUNTIFS(T_SelfStock[RM_Code],$A2,T_SelfStock[WeekIndex],40)&gt;0)*(COUNTIFS(T_TTAFStock[RM_Code],$A2,T_TTAFStock[WeekIndex],40)&gt;0)&gt;0,SUMIFS(T_SelfStock[Self_Qty],T_SelfStock[RM_Code],$A2,T_SelfStock[WeekIndex],40)+SUMIFS(T_TTAFStock[TTAF_Qty],T_TTAFStock[RM_Code],$A2,T_TTAFStock[WeekIndex],40),AN2+'Grid_Incoming'!AO2-'Grid_Requirement'!AO2))</f>
        <v/>
      </c>
      <c r="AP2">
        <f>IF(COUNTIFS(T_StockCount[RM_Code],$A2,T_StockCount[WeekIndex],41)&gt;0,SUMIFS(T_StockCount[CountedQty],T_StockCount[RM_Code],$A2,T_StockCount[WeekIndex],41),IF((COUNTIFS(T_SelfStock[RM_Code],$A2,T_SelfStock[WeekIndex],41)&gt;0)*(COUNTIFS(T_TTAFStock[RM_Code],$A2,T_TTAFStock[WeekIndex],41)&gt;0)&gt;0,SUMIFS(T_SelfStock[Self_Qty],T_SelfStock[RM_Code],$A2,T_SelfStock[WeekIndex],41)+SUMIFS(T_TTAFStock[TTAF_Qty],T_TTAFStock[RM_Code],$A2,T_TTAFStock[WeekIndex],41),AO2+'Grid_Incoming'!AP2-'Grid_Requirement'!AP2))</f>
        <v/>
      </c>
      <c r="AQ2">
        <f>IF(COUNTIFS(T_StockCount[RM_Code],$A2,T_StockCount[WeekIndex],42)&gt;0,SUMIFS(T_StockCount[CountedQty],T_StockCount[RM_Code],$A2,T_StockCount[WeekIndex],42),IF((COUNTIFS(T_SelfStock[RM_Code],$A2,T_SelfStock[WeekIndex],42)&gt;0)*(COUNTIFS(T_TTAFStock[RM_Code],$A2,T_TTAFStock[WeekIndex],42)&gt;0)&gt;0,SUMIFS(T_SelfStock[Self_Qty],T_SelfStock[RM_Code],$A2,T_SelfStock[WeekIndex],42)+SUMIFS(T_TTAFStock[TTAF_Qty],T_TTAFStock[RM_Code],$A2,T_TTAFStock[WeekIndex],42),AP2+'Grid_Incoming'!AQ2-'Grid_Requirement'!AQ2))</f>
        <v/>
      </c>
      <c r="AR2">
        <f>IF(COUNTIFS(T_StockCount[RM_Code],$A2,T_StockCount[WeekIndex],43)&gt;0,SUMIFS(T_StockCount[CountedQty],T_StockCount[RM_Code],$A2,T_StockCount[WeekIndex],43),IF((COUNTIFS(T_SelfStock[RM_Code],$A2,T_SelfStock[WeekIndex],43)&gt;0)*(COUNTIFS(T_TTAFStock[RM_Code],$A2,T_TTAFStock[WeekIndex],43)&gt;0)&gt;0,SUMIFS(T_SelfStock[Self_Qty],T_SelfStock[RM_Code],$A2,T_SelfStock[WeekIndex],43)+SUMIFS(T_TTAFStock[TTAF_Qty],T_TTAFStock[RM_Code],$A2,T_TTAFStock[WeekIndex],43),AQ2+'Grid_Incoming'!AR2-'Grid_Requirement'!AR2))</f>
        <v/>
      </c>
      <c r="AS2">
        <f>IF(COUNTIFS(T_StockCount[RM_Code],$A2,T_StockCount[WeekIndex],44)&gt;0,SUMIFS(T_StockCount[CountedQty],T_StockCount[RM_Code],$A2,T_StockCount[WeekIndex],44),IF((COUNTIFS(T_SelfStock[RM_Code],$A2,T_SelfStock[WeekIndex],44)&gt;0)*(COUNTIFS(T_TTAFStock[RM_Code],$A2,T_TTAFStock[WeekIndex],44)&gt;0)&gt;0,SUMIFS(T_SelfStock[Self_Qty],T_SelfStock[RM_Code],$A2,T_SelfStock[WeekIndex],44)+SUMIFS(T_TTAFStock[TTAF_Qty],T_TTAFStock[RM_Code],$A2,T_TTAFStock[WeekIndex],44),AR2+'Grid_Incoming'!AS2-'Grid_Requirement'!AS2))</f>
        <v/>
      </c>
      <c r="AT2">
        <f>IF(COUNTIFS(T_StockCount[RM_Code],$A2,T_StockCount[WeekIndex],45)&gt;0,SUMIFS(T_StockCount[CountedQty],T_StockCount[RM_Code],$A2,T_StockCount[WeekIndex],45),IF((COUNTIFS(T_SelfStock[RM_Code],$A2,T_SelfStock[WeekIndex],45)&gt;0)*(COUNTIFS(T_TTAFStock[RM_Code],$A2,T_TTAFStock[WeekIndex],45)&gt;0)&gt;0,SUMIFS(T_SelfStock[Self_Qty],T_SelfStock[RM_Code],$A2,T_SelfStock[WeekIndex],45)+SUMIFS(T_TTAFStock[TTAF_Qty],T_TTAFStock[RM_Code],$A2,T_TTAFStock[WeekIndex],45),AS2+'Grid_Incoming'!AT2-'Grid_Requirement'!AT2))</f>
        <v/>
      </c>
      <c r="AU2">
        <f>IF(COUNTIFS(T_StockCount[RM_Code],$A2,T_StockCount[WeekIndex],46)&gt;0,SUMIFS(T_StockCount[CountedQty],T_StockCount[RM_Code],$A2,T_StockCount[WeekIndex],46),IF((COUNTIFS(T_SelfStock[RM_Code],$A2,T_SelfStock[WeekIndex],46)&gt;0)*(COUNTIFS(T_TTAFStock[RM_Code],$A2,T_TTAFStock[WeekIndex],46)&gt;0)&gt;0,SUMIFS(T_SelfStock[Self_Qty],T_SelfStock[RM_Code],$A2,T_SelfStock[WeekIndex],46)+SUMIFS(T_TTAFStock[TTAF_Qty],T_TTAFStock[RM_Code],$A2,T_TTAFStock[WeekIndex],46),AT2+'Grid_Incoming'!AU2-'Grid_Requirement'!AU2))</f>
        <v/>
      </c>
      <c r="AV2">
        <f>IF(COUNTIFS(T_StockCount[RM_Code],$A2,T_StockCount[WeekIndex],47)&gt;0,SUMIFS(T_StockCount[CountedQty],T_StockCount[RM_Code],$A2,T_StockCount[WeekIndex],47),IF((COUNTIFS(T_SelfStock[RM_Code],$A2,T_SelfStock[WeekIndex],47)&gt;0)*(COUNTIFS(T_TTAFStock[RM_Code],$A2,T_TTAFStock[WeekIndex],47)&gt;0)&gt;0,SUMIFS(T_SelfStock[Self_Qty],T_SelfStock[RM_Code],$A2,T_SelfStock[WeekIndex],47)+SUMIFS(T_TTAFStock[TTAF_Qty],T_TTAFStock[RM_Code],$A2,T_TTAFStock[WeekIndex],47),AU2+'Grid_Incoming'!AV2-'Grid_Requirement'!AV2))</f>
        <v/>
      </c>
      <c r="AW2">
        <f>IF(COUNTIFS(T_StockCount[RM_Code],$A2,T_StockCount[WeekIndex],48)&gt;0,SUMIFS(T_StockCount[CountedQty],T_StockCount[RM_Code],$A2,T_StockCount[WeekIndex],48),IF((COUNTIFS(T_SelfStock[RM_Code],$A2,T_SelfStock[WeekIndex],48)&gt;0)*(COUNTIFS(T_TTAFStock[RM_Code],$A2,T_TTAFStock[WeekIndex],48)&gt;0)&gt;0,SUMIFS(T_SelfStock[Self_Qty],T_SelfStock[RM_Code],$A2,T_SelfStock[WeekIndex],48)+SUMIFS(T_TTAFStock[TTAF_Qty],T_TTAFStock[RM_Code],$A2,T_TTAFStock[WeekIndex],48),AV2+'Grid_Incoming'!AW2-'Grid_Requirement'!AW2))</f>
        <v/>
      </c>
      <c r="AX2">
        <f>IF(COUNTIFS(T_StockCount[RM_Code],$A2,T_StockCount[WeekIndex],49)&gt;0,SUMIFS(T_StockCount[CountedQty],T_StockCount[RM_Code],$A2,T_StockCount[WeekIndex],49),IF((COUNTIFS(T_SelfStock[RM_Code],$A2,T_SelfStock[WeekIndex],49)&gt;0)*(COUNTIFS(T_TTAFStock[RM_Code],$A2,T_TTAFStock[WeekIndex],49)&gt;0)&gt;0,SUMIFS(T_SelfStock[Self_Qty],T_SelfStock[RM_Code],$A2,T_SelfStock[WeekIndex],49)+SUMIFS(T_TTAFStock[TTAF_Qty],T_TTAFStock[RM_Code],$A2,T_TTAFStock[WeekIndex],49),AW2+'Grid_Incoming'!AX2-'Grid_Requirement'!AX2))</f>
        <v/>
      </c>
      <c r="AY2">
        <f>IF(COUNTIFS(T_StockCount[RM_Code],$A2,T_StockCount[WeekIndex],50)&gt;0,SUMIFS(T_StockCount[CountedQty],T_StockCount[RM_Code],$A2,T_StockCount[WeekIndex],50),IF((COUNTIFS(T_SelfStock[RM_Code],$A2,T_SelfStock[WeekIndex],50)&gt;0)*(COUNTIFS(T_TTAFStock[RM_Code],$A2,T_TTAFStock[WeekIndex],50)&gt;0)&gt;0,SUMIFS(T_SelfStock[Self_Qty],T_SelfStock[RM_Code],$A2,T_SelfStock[WeekIndex],50)+SUMIFS(T_TTAFStock[TTAF_Qty],T_TTAFStock[RM_Code],$A2,T_TTAFStock[WeekIndex],50),AX2+'Grid_Incoming'!AY2-'Grid_Requirement'!AY2))</f>
        <v/>
      </c>
      <c r="AZ2">
        <f>IF(COUNTIFS(T_StockCount[RM_Code],$A2,T_StockCount[WeekIndex],51)&gt;0,SUMIFS(T_StockCount[CountedQty],T_StockCount[RM_Code],$A2,T_StockCount[WeekIndex],51),IF((COUNTIFS(T_SelfStock[RM_Code],$A2,T_SelfStock[WeekIndex],51)&gt;0)*(COUNTIFS(T_TTAFStock[RM_Code],$A2,T_TTAFStock[WeekIndex],51)&gt;0)&gt;0,SUMIFS(T_SelfStock[Self_Qty],T_SelfStock[RM_Code],$A2,T_SelfStock[WeekIndex],51)+SUMIFS(T_TTAFStock[TTAF_Qty],T_TTAFStock[RM_Code],$A2,T_TTAFStock[WeekIndex],51),AY2+'Grid_Incoming'!AZ2-'Grid_Requirement'!AZ2))</f>
        <v/>
      </c>
      <c r="BA2">
        <f>IF(COUNTIFS(T_StockCount[RM_Code],$A2,T_StockCount[WeekIndex],52)&gt;0,SUMIFS(T_StockCount[CountedQty],T_StockCount[RM_Code],$A2,T_StockCount[WeekIndex],52),IF((COUNTIFS(T_SelfStock[RM_Code],$A2,T_SelfStock[WeekIndex],52)&gt;0)*(COUNTIFS(T_TTAFStock[RM_Code],$A2,T_TTAFStock[WeekIndex],52)&gt;0)&gt;0,SUMIFS(T_SelfStock[Self_Qty],T_SelfStock[RM_Code],$A2,T_SelfStock[WeekIndex],52)+SUMIFS(T_TTAFStock[TTAF_Qty],T_TTAFStock[RM_Code],$A2,T_TTAFStock[WeekIndex],52),AZ2+'Grid_Incoming'!BA2-'Grid_Requirement'!BA2))</f>
        <v/>
      </c>
      <c r="BB2">
        <f>IF(COUNTIFS(T_StockCount[RM_Code],$A2,T_StockCount[WeekIndex],53)&gt;0,SUMIFS(T_StockCount[CountedQty],T_StockCount[RM_Code],$A2,T_StockCount[WeekIndex],53),IF((COUNTIFS(T_SelfStock[RM_Code],$A2,T_SelfStock[WeekIndex],53)&gt;0)*(COUNTIFS(T_TTAFStock[RM_Code],$A2,T_TTAFStock[WeekIndex],53)&gt;0)&gt;0,SUMIFS(T_SelfStock[Self_Qty],T_SelfStock[RM_Code],$A2,T_SelfStock[WeekIndex],53)+SUMIFS(T_TTAFStock[TTAF_Qty],T_TTAFStock[RM_Code],$A2,T_TTAFStock[WeekIndex],53),BA2+'Grid_Incoming'!BB2-'Grid_Requirement'!BB2))</f>
        <v/>
      </c>
      <c r="BC2">
        <f>IF(COUNTIFS(T_StockCount[RM_Code],$A2,T_StockCount[WeekIndex],54)&gt;0,SUMIFS(T_StockCount[CountedQty],T_StockCount[RM_Code],$A2,T_StockCount[WeekIndex],54),IF((COUNTIFS(T_SelfStock[RM_Code],$A2,T_SelfStock[WeekIndex],54)&gt;0)*(COUNTIFS(T_TTAFStock[RM_Code],$A2,T_TTAFStock[WeekIndex],54)&gt;0)&gt;0,SUMIFS(T_SelfStock[Self_Qty],T_SelfStock[RM_Code],$A2,T_SelfStock[WeekIndex],54)+SUMIFS(T_TTAFStock[TTAF_Qty],T_TTAFStock[RM_Code],$A2,T_TTAFStock[WeekIndex],54),BB2+'Grid_Incoming'!BC2-'Grid_Requirement'!BC2))</f>
        <v/>
      </c>
      <c r="BD2">
        <f>IF(COUNTIFS(T_StockCount[RM_Code],$A2,T_StockCount[WeekIndex],55)&gt;0,SUMIFS(T_StockCount[CountedQty],T_StockCount[RM_Code],$A2,T_StockCount[WeekIndex],55),IF((COUNTIFS(T_SelfStock[RM_Code],$A2,T_SelfStock[WeekIndex],55)&gt;0)*(COUNTIFS(T_TTAFStock[RM_Code],$A2,T_TTAFStock[WeekIndex],55)&gt;0)&gt;0,SUMIFS(T_SelfStock[Self_Qty],T_SelfStock[RM_Code],$A2,T_SelfStock[WeekIndex],55)+SUMIFS(T_TTAFStock[TTAF_Qty],T_TTAFStock[RM_Code],$A2,T_TTAFStock[WeekIndex],55),BC2+'Grid_Incoming'!BD2-'Grid_Requirement'!BD2))</f>
        <v/>
      </c>
      <c r="BE2">
        <f>IF(COUNTIFS(T_StockCount[RM_Code],$A2,T_StockCount[WeekIndex],56)&gt;0,SUMIFS(T_StockCount[CountedQty],T_StockCount[RM_Code],$A2,T_StockCount[WeekIndex],56),IF((COUNTIFS(T_SelfStock[RM_Code],$A2,T_SelfStock[WeekIndex],56)&gt;0)*(COUNTIFS(T_TTAFStock[RM_Code],$A2,T_TTAFStock[WeekIndex],56)&gt;0)&gt;0,SUMIFS(T_SelfStock[Self_Qty],T_SelfStock[RM_Code],$A2,T_SelfStock[WeekIndex],56)+SUMIFS(T_TTAFStock[TTAF_Qty],T_TTAFStock[RM_Code],$A2,T_TTAFStock[WeekIndex],56),BD2+'Grid_Incoming'!BE2-'Grid_Requirement'!BE2))</f>
        <v/>
      </c>
      <c r="BF2">
        <f>IF(COUNTIFS(T_StockCount[RM_Code],$A2,T_StockCount[WeekIndex],57)&gt;0,SUMIFS(T_StockCount[CountedQty],T_StockCount[RM_Code],$A2,T_StockCount[WeekIndex],57),IF((COUNTIFS(T_SelfStock[RM_Code],$A2,T_SelfStock[WeekIndex],57)&gt;0)*(COUNTIFS(T_TTAFStock[RM_Code],$A2,T_TTAFStock[WeekIndex],57)&gt;0)&gt;0,SUMIFS(T_SelfStock[Self_Qty],T_SelfStock[RM_Code],$A2,T_SelfStock[WeekIndex],57)+SUMIFS(T_TTAFStock[TTAF_Qty],T_TTAFStock[RM_Code],$A2,T_TTAFStock[WeekIndex],57),BE2+'Grid_Incoming'!BF2-'Grid_Requirement'!BF2))</f>
        <v/>
      </c>
      <c r="BG2">
        <f>IF(COUNTIFS(T_StockCount[RM_Code],$A2,T_StockCount[WeekIndex],58)&gt;0,SUMIFS(T_StockCount[CountedQty],T_StockCount[RM_Code],$A2,T_StockCount[WeekIndex],58),IF((COUNTIFS(T_SelfStock[RM_Code],$A2,T_SelfStock[WeekIndex],58)&gt;0)*(COUNTIFS(T_TTAFStock[RM_Code],$A2,T_TTAFStock[WeekIndex],58)&gt;0)&gt;0,SUMIFS(T_SelfStock[Self_Qty],T_SelfStock[RM_Code],$A2,T_SelfStock[WeekIndex],58)+SUMIFS(T_TTAFStock[TTAF_Qty],T_TTAFStock[RM_Code],$A2,T_TTAFStock[WeekIndex],58),BF2+'Grid_Incoming'!BG2-'Grid_Requirement'!BG2))</f>
        <v/>
      </c>
      <c r="BH2">
        <f>IF(COUNTIFS(T_StockCount[RM_Code],$A2,T_StockCount[WeekIndex],59)&gt;0,SUMIFS(T_StockCount[CountedQty],T_StockCount[RM_Code],$A2,T_StockCount[WeekIndex],59),IF((COUNTIFS(T_SelfStock[RM_Code],$A2,T_SelfStock[WeekIndex],59)&gt;0)*(COUNTIFS(T_TTAFStock[RM_Code],$A2,T_TTAFStock[WeekIndex],59)&gt;0)&gt;0,SUMIFS(T_SelfStock[Self_Qty],T_SelfStock[RM_Code],$A2,T_SelfStock[WeekIndex],59)+SUMIFS(T_TTAFStock[TTAF_Qty],T_TTAFStock[RM_Code],$A2,T_TTAFStock[WeekIndex],59),BG2+'Grid_Incoming'!BH2-'Grid_Requirement'!BH2))</f>
        <v/>
      </c>
      <c r="BI2">
        <f>IF(COUNTIFS(T_StockCount[RM_Code],$A2,T_StockCount[WeekIndex],60)&gt;0,SUMIFS(T_StockCount[CountedQty],T_StockCount[RM_Code],$A2,T_StockCount[WeekIndex],60),IF((COUNTIFS(T_SelfStock[RM_Code],$A2,T_SelfStock[WeekIndex],60)&gt;0)*(COUNTIFS(T_TTAFStock[RM_Code],$A2,T_TTAFStock[WeekIndex],60)&gt;0)&gt;0,SUMIFS(T_SelfStock[Self_Qty],T_SelfStock[RM_Code],$A2,T_SelfStock[WeekIndex],60)+SUMIFS(T_TTAFStock[TTAF_Qty],T_TTAFStock[RM_Code],$A2,T_TTAFStock[WeekIndex],60),BH2+'Grid_Incoming'!BI2-'Grid_Requirement'!BI2))</f>
        <v/>
      </c>
      <c r="BJ2">
        <f>IF(COUNTIFS(T_StockCount[RM_Code],$A2,T_StockCount[WeekIndex],61)&gt;0,SUMIFS(T_StockCount[CountedQty],T_StockCount[RM_Code],$A2,T_StockCount[WeekIndex],61),IF((COUNTIFS(T_SelfStock[RM_Code],$A2,T_SelfStock[WeekIndex],61)&gt;0)*(COUNTIFS(T_TTAFStock[RM_Code],$A2,T_TTAFStock[WeekIndex],61)&gt;0)&gt;0,SUMIFS(T_SelfStock[Self_Qty],T_SelfStock[RM_Code],$A2,T_SelfStock[WeekIndex],61)+SUMIFS(T_TTAFStock[TTAF_Qty],T_TTAFStock[RM_Code],$A2,T_TTAFStock[WeekIndex],61),BI2+'Grid_Incoming'!BJ2-'Grid_Requirement'!BJ2))</f>
        <v/>
      </c>
      <c r="BK2">
        <f>IF(COUNTIFS(T_StockCount[RM_Code],$A2,T_StockCount[WeekIndex],62)&gt;0,SUMIFS(T_StockCount[CountedQty],T_StockCount[RM_Code],$A2,T_StockCount[WeekIndex],62),IF((COUNTIFS(T_SelfStock[RM_Code],$A2,T_SelfStock[WeekIndex],62)&gt;0)*(COUNTIFS(T_TTAFStock[RM_Code],$A2,T_TTAFStock[WeekIndex],62)&gt;0)&gt;0,SUMIFS(T_SelfStock[Self_Qty],T_SelfStock[RM_Code],$A2,T_SelfStock[WeekIndex],62)+SUMIFS(T_TTAFStock[TTAF_Qty],T_TTAFStock[RM_Code],$A2,T_TTAFStock[WeekIndex],62),BJ2+'Grid_Incoming'!BK2-'Grid_Requirement'!BK2))</f>
        <v/>
      </c>
      <c r="BL2">
        <f>IF(COUNTIFS(T_StockCount[RM_Code],$A2,T_StockCount[WeekIndex],63)&gt;0,SUMIFS(T_StockCount[CountedQty],T_StockCount[RM_Code],$A2,T_StockCount[WeekIndex],63),IF((COUNTIFS(T_SelfStock[RM_Code],$A2,T_SelfStock[WeekIndex],63)&gt;0)*(COUNTIFS(T_TTAFStock[RM_Code],$A2,T_TTAFStock[WeekIndex],63)&gt;0)&gt;0,SUMIFS(T_SelfStock[Self_Qty],T_SelfStock[RM_Code],$A2,T_SelfStock[WeekIndex],63)+SUMIFS(T_TTAFStock[TTAF_Qty],T_TTAFStock[RM_Code],$A2,T_TTAFStock[WeekIndex],63),BK2+'Grid_Incoming'!BL2-'Grid_Requirement'!BL2))</f>
        <v/>
      </c>
      <c r="BM2">
        <f>IF(COUNTIFS(T_StockCount[RM_Code],$A2,T_StockCount[WeekIndex],64)&gt;0,SUMIFS(T_StockCount[CountedQty],T_StockCount[RM_Code],$A2,T_StockCount[WeekIndex],64),IF((COUNTIFS(T_SelfStock[RM_Code],$A2,T_SelfStock[WeekIndex],64)&gt;0)*(COUNTIFS(T_TTAFStock[RM_Code],$A2,T_TTAFStock[WeekIndex],64)&gt;0)&gt;0,SUMIFS(T_SelfStock[Self_Qty],T_SelfStock[RM_Code],$A2,T_SelfStock[WeekIndex],64)+SUMIFS(T_TTAFStock[TTAF_Qty],T_TTAFStock[RM_Code],$A2,T_TTAFStock[WeekIndex],64),BL2+'Grid_Incoming'!BM2-'Grid_Requirement'!BM2))</f>
        <v/>
      </c>
      <c r="BN2">
        <f>IF(COUNTIFS(T_StockCount[RM_Code],$A2,T_StockCount[WeekIndex],65)&gt;0,SUMIFS(T_StockCount[CountedQty],T_StockCount[RM_Code],$A2,T_StockCount[WeekIndex],65),IF((COUNTIFS(T_SelfStock[RM_Code],$A2,T_SelfStock[WeekIndex],65)&gt;0)*(COUNTIFS(T_TTAFStock[RM_Code],$A2,T_TTAFStock[WeekIndex],65)&gt;0)&gt;0,SUMIFS(T_SelfStock[Self_Qty],T_SelfStock[RM_Code],$A2,T_SelfStock[WeekIndex],65)+SUMIFS(T_TTAFStock[TTAF_Qty],T_TTAFStock[RM_Code],$A2,T_TTAFStock[WeekIndex],65),BM2+'Grid_Incoming'!BN2-'Grid_Requirement'!BN2))</f>
        <v/>
      </c>
      <c r="BO2">
        <f>IF(COUNTIFS(T_StockCount[RM_Code],$A2,T_StockCount[WeekIndex],66)&gt;0,SUMIFS(T_StockCount[CountedQty],T_StockCount[RM_Code],$A2,T_StockCount[WeekIndex],66),IF((COUNTIFS(T_SelfStock[RM_Code],$A2,T_SelfStock[WeekIndex],66)&gt;0)*(COUNTIFS(T_TTAFStock[RM_Code],$A2,T_TTAFStock[WeekIndex],66)&gt;0)&gt;0,SUMIFS(T_SelfStock[Self_Qty],T_SelfStock[RM_Code],$A2,T_SelfStock[WeekIndex],66)+SUMIFS(T_TTAFStock[TTAF_Qty],T_TTAFStock[RM_Code],$A2,T_TTAFStock[WeekIndex],66),BN2+'Grid_Incoming'!BO2-'Grid_Requirement'!BO2))</f>
        <v/>
      </c>
      <c r="BP2">
        <f>IF(COUNTIFS(T_StockCount[RM_Code],$A2,T_StockCount[WeekIndex],67)&gt;0,SUMIFS(T_StockCount[CountedQty],T_StockCount[RM_Code],$A2,T_StockCount[WeekIndex],67),IF((COUNTIFS(T_SelfStock[RM_Code],$A2,T_SelfStock[WeekIndex],67)&gt;0)*(COUNTIFS(T_TTAFStock[RM_Code],$A2,T_TTAFStock[WeekIndex],67)&gt;0)&gt;0,SUMIFS(T_SelfStock[Self_Qty],T_SelfStock[RM_Code],$A2,T_SelfStock[WeekIndex],67)+SUMIFS(T_TTAFStock[TTAF_Qty],T_TTAFStock[RM_Code],$A2,T_TTAFStock[WeekIndex],67),BO2+'Grid_Incoming'!BP2-'Grid_Requirement'!BP2))</f>
        <v/>
      </c>
      <c r="BQ2">
        <f>IF(COUNTIFS(T_StockCount[RM_Code],$A2,T_StockCount[WeekIndex],68)&gt;0,SUMIFS(T_StockCount[CountedQty],T_StockCount[RM_Code],$A2,T_StockCount[WeekIndex],68),IF((COUNTIFS(T_SelfStock[RM_Code],$A2,T_SelfStock[WeekIndex],68)&gt;0)*(COUNTIFS(T_TTAFStock[RM_Code],$A2,T_TTAFStock[WeekIndex],68)&gt;0)&gt;0,SUMIFS(T_SelfStock[Self_Qty],T_SelfStock[RM_Code],$A2,T_SelfStock[WeekIndex],68)+SUMIFS(T_TTAFStock[TTAF_Qty],T_TTAFStock[RM_Code],$A2,T_TTAFStock[WeekIndex],68),BP2+'Grid_Incoming'!BQ2-'Grid_Requirement'!BQ2))</f>
        <v/>
      </c>
      <c r="BR2">
        <f>IF(COUNTIFS(T_StockCount[RM_Code],$A2,T_StockCount[WeekIndex],69)&gt;0,SUMIFS(T_StockCount[CountedQty],T_StockCount[RM_Code],$A2,T_StockCount[WeekIndex],69),IF((COUNTIFS(T_SelfStock[RM_Code],$A2,T_SelfStock[WeekIndex],69)&gt;0)*(COUNTIFS(T_TTAFStock[RM_Code],$A2,T_TTAFStock[WeekIndex],69)&gt;0)&gt;0,SUMIFS(T_SelfStock[Self_Qty],T_SelfStock[RM_Code],$A2,T_SelfStock[WeekIndex],69)+SUMIFS(T_TTAFStock[TTAF_Qty],T_TTAFStock[RM_Code],$A2,T_TTAFStock[WeekIndex],69),BQ2+'Grid_Incoming'!BR2-'Grid_Requirement'!BR2))</f>
        <v/>
      </c>
      <c r="BS2">
        <f>IF(COUNTIFS(T_StockCount[RM_Code],$A2,T_StockCount[WeekIndex],70)&gt;0,SUMIFS(T_StockCount[CountedQty],T_StockCount[RM_Code],$A2,T_StockCount[WeekIndex],70),IF((COUNTIFS(T_SelfStock[RM_Code],$A2,T_SelfStock[WeekIndex],70)&gt;0)*(COUNTIFS(T_TTAFStock[RM_Code],$A2,T_TTAFStock[WeekIndex],70)&gt;0)&gt;0,SUMIFS(T_SelfStock[Self_Qty],T_SelfStock[RM_Code],$A2,T_SelfStock[WeekIndex],70)+SUMIFS(T_TTAFStock[TTAF_Qty],T_TTAFStock[RM_Code],$A2,T_TTAFStock[WeekIndex],70),BR2+'Grid_Incoming'!BS2-'Grid_Requirement'!BS2))</f>
        <v/>
      </c>
      <c r="BT2">
        <f>IF(COUNTIFS(T_StockCount[RM_Code],$A2,T_StockCount[WeekIndex],71)&gt;0,SUMIFS(T_StockCount[CountedQty],T_StockCount[RM_Code],$A2,T_StockCount[WeekIndex],71),IF((COUNTIFS(T_SelfStock[RM_Code],$A2,T_SelfStock[WeekIndex],71)&gt;0)*(COUNTIFS(T_TTAFStock[RM_Code],$A2,T_TTAFStock[WeekIndex],71)&gt;0)&gt;0,SUMIFS(T_SelfStock[Self_Qty],T_SelfStock[RM_Code],$A2,T_SelfStock[WeekIndex],71)+SUMIFS(T_TTAFStock[TTAF_Qty],T_TTAFStock[RM_Code],$A2,T_TTAFStock[WeekIndex],71),BS2+'Grid_Incoming'!BT2-'Grid_Requirement'!BT2))</f>
        <v/>
      </c>
      <c r="BU2">
        <f>IF(COUNTIFS(T_StockCount[RM_Code],$A2,T_StockCount[WeekIndex],72)&gt;0,SUMIFS(T_StockCount[CountedQty],T_StockCount[RM_Code],$A2,T_StockCount[WeekIndex],72),IF((COUNTIFS(T_SelfStock[RM_Code],$A2,T_SelfStock[WeekIndex],72)&gt;0)*(COUNTIFS(T_TTAFStock[RM_Code],$A2,T_TTAFStock[WeekIndex],72)&gt;0)&gt;0,SUMIFS(T_SelfStock[Self_Qty],T_SelfStock[RM_Code],$A2,T_SelfStock[WeekIndex],72)+SUMIFS(T_TTAFStock[TTAF_Qty],T_TTAFStock[RM_Code],$A2,T_TTAFStock[WeekIndex],72),BT2+'Grid_Incoming'!BU2-'Grid_Requirement'!BU2))</f>
        <v/>
      </c>
      <c r="BV2">
        <f>IF(COUNTIFS(T_StockCount[RM_Code],$A2,T_StockCount[WeekIndex],73)&gt;0,SUMIFS(T_StockCount[CountedQty],T_StockCount[RM_Code],$A2,T_StockCount[WeekIndex],73),IF((COUNTIFS(T_SelfStock[RM_Code],$A2,T_SelfStock[WeekIndex],73)&gt;0)*(COUNTIFS(T_TTAFStock[RM_Code],$A2,T_TTAFStock[WeekIndex],73)&gt;0)&gt;0,SUMIFS(T_SelfStock[Self_Qty],T_SelfStock[RM_Code],$A2,T_SelfStock[WeekIndex],73)+SUMIFS(T_TTAFStock[TTAF_Qty],T_TTAFStock[RM_Code],$A2,T_TTAFStock[WeekIndex],73),BU2+'Grid_Incoming'!BV2-'Grid_Requirement'!BV2))</f>
        <v/>
      </c>
      <c r="BW2">
        <f>IF(COUNTIFS(T_StockCount[RM_Code],$A2,T_StockCount[WeekIndex],74)&gt;0,SUMIFS(T_StockCount[CountedQty],T_StockCount[RM_Code],$A2,T_StockCount[WeekIndex],74),IF((COUNTIFS(T_SelfStock[RM_Code],$A2,T_SelfStock[WeekIndex],74)&gt;0)*(COUNTIFS(T_TTAFStock[RM_Code],$A2,T_TTAFStock[WeekIndex],74)&gt;0)&gt;0,SUMIFS(T_SelfStock[Self_Qty],T_SelfStock[RM_Code],$A2,T_SelfStock[WeekIndex],74)+SUMIFS(T_TTAFStock[TTAF_Qty],T_TTAFStock[RM_Code],$A2,T_TTAFStock[WeekIndex],74),BV2+'Grid_Incoming'!BW2-'Grid_Requirement'!BW2))</f>
        <v/>
      </c>
      <c r="BX2">
        <f>IF(COUNTIFS(T_StockCount[RM_Code],$A2,T_StockCount[WeekIndex],75)&gt;0,SUMIFS(T_StockCount[CountedQty],T_StockCount[RM_Code],$A2,T_StockCount[WeekIndex],75),IF((COUNTIFS(T_SelfStock[RM_Code],$A2,T_SelfStock[WeekIndex],75)&gt;0)*(COUNTIFS(T_TTAFStock[RM_Code],$A2,T_TTAFStock[WeekIndex],75)&gt;0)&gt;0,SUMIFS(T_SelfStock[Self_Qty],T_SelfStock[RM_Code],$A2,T_SelfStock[WeekIndex],75)+SUMIFS(T_TTAFStock[TTAF_Qty],T_TTAFStock[RM_Code],$A2,T_TTAFStock[WeekIndex],75),BW2+'Grid_Incoming'!BX2-'Grid_Requirement'!BX2))</f>
        <v/>
      </c>
      <c r="BY2">
        <f>IF(COUNTIFS(T_StockCount[RM_Code],$A2,T_StockCount[WeekIndex],76)&gt;0,SUMIFS(T_StockCount[CountedQty],T_StockCount[RM_Code],$A2,T_StockCount[WeekIndex],76),IF((COUNTIFS(T_SelfStock[RM_Code],$A2,T_SelfStock[WeekIndex],76)&gt;0)*(COUNTIFS(T_TTAFStock[RM_Code],$A2,T_TTAFStock[WeekIndex],76)&gt;0)&gt;0,SUMIFS(T_SelfStock[Self_Qty],T_SelfStock[RM_Code],$A2,T_SelfStock[WeekIndex],76)+SUMIFS(T_TTAFStock[TTAF_Qty],T_TTAFStock[RM_Code],$A2,T_TTAFStock[WeekIndex],76),BX2+'Grid_Incoming'!BY2-'Grid_Requirement'!BY2))</f>
        <v/>
      </c>
      <c r="BZ2">
        <f>IF(COUNTIFS(T_StockCount[RM_Code],$A2,T_StockCount[WeekIndex],77)&gt;0,SUMIFS(T_StockCount[CountedQty],T_StockCount[RM_Code],$A2,T_StockCount[WeekIndex],77),IF((COUNTIFS(T_SelfStock[RM_Code],$A2,T_SelfStock[WeekIndex],77)&gt;0)*(COUNTIFS(T_TTAFStock[RM_Code],$A2,T_TTAFStock[WeekIndex],77)&gt;0)&gt;0,SUMIFS(T_SelfStock[Self_Qty],T_SelfStock[RM_Code],$A2,T_SelfStock[WeekIndex],77)+SUMIFS(T_TTAFStock[TTAF_Qty],T_TTAFStock[RM_Code],$A2,T_TTAFStock[WeekIndex],77),BY2+'Grid_Incoming'!BZ2-'Grid_Requirement'!BZ2))</f>
        <v/>
      </c>
      <c r="CA2">
        <f>IF(COUNTIFS(T_StockCount[RM_Code],$A2,T_StockCount[WeekIndex],78)&gt;0,SUMIFS(T_StockCount[CountedQty],T_StockCount[RM_Code],$A2,T_StockCount[WeekIndex],78),IF((COUNTIFS(T_SelfStock[RM_Code],$A2,T_SelfStock[WeekIndex],78)&gt;0)*(COUNTIFS(T_TTAFStock[RM_Code],$A2,T_TTAFStock[WeekIndex],78)&gt;0)&gt;0,SUMIFS(T_SelfStock[Self_Qty],T_SelfStock[RM_Code],$A2,T_SelfStock[WeekIndex],78)+SUMIFS(T_TTAFStock[TTAF_Qty],T_TTAFStock[RM_Code],$A2,T_TTAFStock[WeekIndex],78),BZ2+'Grid_Incoming'!CA2-'Grid_Requirement'!CA2))</f>
        <v/>
      </c>
      <c r="CB2">
        <f>IF(COUNTIFS(T_StockCount[RM_Code],$A2,T_StockCount[WeekIndex],79)&gt;0,SUMIFS(T_StockCount[CountedQty],T_StockCount[RM_Code],$A2,T_StockCount[WeekIndex],79),IF((COUNTIFS(T_SelfStock[RM_Code],$A2,T_SelfStock[WeekIndex],79)&gt;0)*(COUNTIFS(T_TTAFStock[RM_Code],$A2,T_TTAFStock[WeekIndex],79)&gt;0)&gt;0,SUMIFS(T_SelfStock[Self_Qty],T_SelfStock[RM_Code],$A2,T_SelfStock[WeekIndex],79)+SUMIFS(T_TTAFStock[TTAF_Qty],T_TTAFStock[RM_Code],$A2,T_TTAFStock[WeekIndex],79),CA2+'Grid_Incoming'!CB2-'Grid_Requirement'!CB2))</f>
        <v/>
      </c>
      <c r="CC2">
        <f>IF(COUNTIFS(T_StockCount[RM_Code],$A2,T_StockCount[WeekIndex],80)&gt;0,SUMIFS(T_StockCount[CountedQty],T_StockCount[RM_Code],$A2,T_StockCount[WeekIndex],80),IF((COUNTIFS(T_SelfStock[RM_Code],$A2,T_SelfStock[WeekIndex],80)&gt;0)*(COUNTIFS(T_TTAFStock[RM_Code],$A2,T_TTAFStock[WeekIndex],80)&gt;0)&gt;0,SUMIFS(T_SelfStock[Self_Qty],T_SelfStock[RM_Code],$A2,T_SelfStock[WeekIndex],80)+SUMIFS(T_TTAFStock[TTAF_Qty],T_TTAFStock[RM_Code],$A2,T_TTAFStock[WeekIndex],80),CB2+'Grid_Incoming'!CC2-'Grid_Requirement'!CC2))</f>
        <v/>
      </c>
      <c r="CD2">
        <f>IF(COUNTIFS(T_StockCount[RM_Code],$A2,T_StockCount[WeekIndex],81)&gt;0,SUMIFS(T_StockCount[CountedQty],T_StockCount[RM_Code],$A2,T_StockCount[WeekIndex],81),IF((COUNTIFS(T_SelfStock[RM_Code],$A2,T_SelfStock[WeekIndex],81)&gt;0)*(COUNTIFS(T_TTAFStock[RM_Code],$A2,T_TTAFStock[WeekIndex],81)&gt;0)&gt;0,SUMIFS(T_SelfStock[Self_Qty],T_SelfStock[RM_Code],$A2,T_SelfStock[WeekIndex],81)+SUMIFS(T_TTAFStock[TTAF_Qty],T_TTAFStock[RM_Code],$A2,T_TTAFStock[WeekIndex],81),CC2+'Grid_Incoming'!CD2-'Grid_Requirement'!CD2))</f>
        <v/>
      </c>
      <c r="CE2">
        <f>IF(COUNTIFS(T_StockCount[RM_Code],$A2,T_StockCount[WeekIndex],82)&gt;0,SUMIFS(T_StockCount[CountedQty],T_StockCount[RM_Code],$A2,T_StockCount[WeekIndex],82),IF((COUNTIFS(T_SelfStock[RM_Code],$A2,T_SelfStock[WeekIndex],82)&gt;0)*(COUNTIFS(T_TTAFStock[RM_Code],$A2,T_TTAFStock[WeekIndex],82)&gt;0)&gt;0,SUMIFS(T_SelfStock[Self_Qty],T_SelfStock[RM_Code],$A2,T_SelfStock[WeekIndex],82)+SUMIFS(T_TTAFStock[TTAF_Qty],T_TTAFStock[RM_Code],$A2,T_TTAFStock[WeekIndex],82),CD2+'Grid_Incoming'!CE2-'Grid_Requirement'!CE2))</f>
        <v/>
      </c>
      <c r="CF2">
        <f>IF(COUNTIFS(T_StockCount[RM_Code],$A2,T_StockCount[WeekIndex],83)&gt;0,SUMIFS(T_StockCount[CountedQty],T_StockCount[RM_Code],$A2,T_StockCount[WeekIndex],83),IF((COUNTIFS(T_SelfStock[RM_Code],$A2,T_SelfStock[WeekIndex],83)&gt;0)*(COUNTIFS(T_TTAFStock[RM_Code],$A2,T_TTAFStock[WeekIndex],83)&gt;0)&gt;0,SUMIFS(T_SelfStock[Self_Qty],T_SelfStock[RM_Code],$A2,T_SelfStock[WeekIndex],83)+SUMIFS(T_TTAFStock[TTAF_Qty],T_TTAFStock[RM_Code],$A2,T_TTAFStock[WeekIndex],83),CE2+'Grid_Incoming'!CF2-'Grid_Requirement'!CF2))</f>
        <v/>
      </c>
      <c r="CG2">
        <f>IF(COUNTIFS(T_StockCount[RM_Code],$A2,T_StockCount[WeekIndex],84)&gt;0,SUMIFS(T_StockCount[CountedQty],T_StockCount[RM_Code],$A2,T_StockCount[WeekIndex],84),IF((COUNTIFS(T_SelfStock[RM_Code],$A2,T_SelfStock[WeekIndex],84)&gt;0)*(COUNTIFS(T_TTAFStock[RM_Code],$A2,T_TTAFStock[WeekIndex],84)&gt;0)&gt;0,SUMIFS(T_SelfStock[Self_Qty],T_SelfStock[RM_Code],$A2,T_SelfStock[WeekIndex],84)+SUMIFS(T_TTAFStock[TTAF_Qty],T_TTAFStock[RM_Code],$A2,T_TTAFStock[WeekIndex],84),CF2+'Grid_Incoming'!CG2-'Grid_Requirement'!CG2))</f>
        <v/>
      </c>
      <c r="CH2">
        <f>IF(COUNTIFS(T_StockCount[RM_Code],$A2,T_StockCount[WeekIndex],85)&gt;0,SUMIFS(T_StockCount[CountedQty],T_StockCount[RM_Code],$A2,T_StockCount[WeekIndex],85),IF((COUNTIFS(T_SelfStock[RM_Code],$A2,T_SelfStock[WeekIndex],85)&gt;0)*(COUNTIFS(T_TTAFStock[RM_Code],$A2,T_TTAFStock[WeekIndex],85)&gt;0)&gt;0,SUMIFS(T_SelfStock[Self_Qty],T_SelfStock[RM_Code],$A2,T_SelfStock[WeekIndex],85)+SUMIFS(T_TTAFStock[TTAF_Qty],T_TTAFStock[RM_Code],$A2,T_TTAFStock[WeekIndex],85),CG2+'Grid_Incoming'!CH2-'Grid_Requirement'!CH2))</f>
        <v/>
      </c>
      <c r="CI2">
        <f>IF(COUNTIFS(T_StockCount[RM_Code],$A2,T_StockCount[WeekIndex],86)&gt;0,SUMIFS(T_StockCount[CountedQty],T_StockCount[RM_Code],$A2,T_StockCount[WeekIndex],86),IF((COUNTIFS(T_SelfStock[RM_Code],$A2,T_SelfStock[WeekIndex],86)&gt;0)*(COUNTIFS(T_TTAFStock[RM_Code],$A2,T_TTAFStock[WeekIndex],86)&gt;0)&gt;0,SUMIFS(T_SelfStock[Self_Qty],T_SelfStock[RM_Code],$A2,T_SelfStock[WeekIndex],86)+SUMIFS(T_TTAFStock[TTAF_Qty],T_TTAFStock[RM_Code],$A2,T_TTAFStock[WeekIndex],86),CH2+'Grid_Incoming'!CI2-'Grid_Requirement'!CI2))</f>
        <v/>
      </c>
      <c r="CJ2">
        <f>IF(COUNTIFS(T_StockCount[RM_Code],$A2,T_StockCount[WeekIndex],87)&gt;0,SUMIFS(T_StockCount[CountedQty],T_StockCount[RM_Code],$A2,T_StockCount[WeekIndex],87),IF((COUNTIFS(T_SelfStock[RM_Code],$A2,T_SelfStock[WeekIndex],87)&gt;0)*(COUNTIFS(T_TTAFStock[RM_Code],$A2,T_TTAFStock[WeekIndex],87)&gt;0)&gt;0,SUMIFS(T_SelfStock[Self_Qty],T_SelfStock[RM_Code],$A2,T_SelfStock[WeekIndex],87)+SUMIFS(T_TTAFStock[TTAF_Qty],T_TTAFStock[RM_Code],$A2,T_TTAFStock[WeekIndex],87),CI2+'Grid_Incoming'!CJ2-'Grid_Requirement'!CJ2))</f>
        <v/>
      </c>
      <c r="CK2">
        <f>IF(COUNTIFS(T_StockCount[RM_Code],$A2,T_StockCount[WeekIndex],88)&gt;0,SUMIFS(T_StockCount[CountedQty],T_StockCount[RM_Code],$A2,T_StockCount[WeekIndex],88),IF((COUNTIFS(T_SelfStock[RM_Code],$A2,T_SelfStock[WeekIndex],88)&gt;0)*(COUNTIFS(T_TTAFStock[RM_Code],$A2,T_TTAFStock[WeekIndex],88)&gt;0)&gt;0,SUMIFS(T_SelfStock[Self_Qty],T_SelfStock[RM_Code],$A2,T_SelfStock[WeekIndex],88)+SUMIFS(T_TTAFStock[TTAF_Qty],T_TTAFStock[RM_Code],$A2,T_TTAFStock[WeekIndex],88),CJ2+'Grid_Incoming'!CK2-'Grid_Requirement'!CK2))</f>
        <v/>
      </c>
      <c r="CL2">
        <f>IF(COUNTIFS(T_StockCount[RM_Code],$A2,T_StockCount[WeekIndex],89)&gt;0,SUMIFS(T_StockCount[CountedQty],T_StockCount[RM_Code],$A2,T_StockCount[WeekIndex],89),IF((COUNTIFS(T_SelfStock[RM_Code],$A2,T_SelfStock[WeekIndex],89)&gt;0)*(COUNTIFS(T_TTAFStock[RM_Code],$A2,T_TTAFStock[WeekIndex],89)&gt;0)&gt;0,SUMIFS(T_SelfStock[Self_Qty],T_SelfStock[RM_Code],$A2,T_SelfStock[WeekIndex],89)+SUMIFS(T_TTAFStock[TTAF_Qty],T_TTAFStock[RM_Code],$A2,T_TTAFStock[WeekIndex],89),CK2+'Grid_Incoming'!CL2-'Grid_Requirement'!CL2))</f>
        <v/>
      </c>
      <c r="CM2">
        <f>IF(COUNTIFS(T_StockCount[RM_Code],$A2,T_StockCount[WeekIndex],90)&gt;0,SUMIFS(T_StockCount[CountedQty],T_StockCount[RM_Code],$A2,T_StockCount[WeekIndex],90),IF((COUNTIFS(T_SelfStock[RM_Code],$A2,T_SelfStock[WeekIndex],90)&gt;0)*(COUNTIFS(T_TTAFStock[RM_Code],$A2,T_TTAFStock[WeekIndex],90)&gt;0)&gt;0,SUMIFS(T_SelfStock[Self_Qty],T_SelfStock[RM_Code],$A2,T_SelfStock[WeekIndex],90)+SUMIFS(T_TTAFStock[TTAF_Qty],T_TTAFStock[RM_Code],$A2,T_TTAFStock[WeekIndex],90),CL2+'Grid_Incoming'!CM2-'Grid_Requirement'!CM2))</f>
        <v/>
      </c>
      <c r="CN2">
        <f>IF(COUNTIFS(T_StockCount[RM_Code],$A2,T_StockCount[WeekIndex],91)&gt;0,SUMIFS(T_StockCount[CountedQty],T_StockCount[RM_Code],$A2,T_StockCount[WeekIndex],91),IF((COUNTIFS(T_SelfStock[RM_Code],$A2,T_SelfStock[WeekIndex],91)&gt;0)*(COUNTIFS(T_TTAFStock[RM_Code],$A2,T_TTAFStock[WeekIndex],91)&gt;0)&gt;0,SUMIFS(T_SelfStock[Self_Qty],T_SelfStock[RM_Code],$A2,T_SelfStock[WeekIndex],91)+SUMIFS(T_TTAFStock[TTAF_Qty],T_TTAFStock[RM_Code],$A2,T_TTAFStock[WeekIndex],91),CM2+'Grid_Incoming'!CN2-'Grid_Requirement'!CN2))</f>
        <v/>
      </c>
      <c r="CO2">
        <f>IF(COUNTIFS(T_StockCount[RM_Code],$A2,T_StockCount[WeekIndex],92)&gt;0,SUMIFS(T_StockCount[CountedQty],T_StockCount[RM_Code],$A2,T_StockCount[WeekIndex],92),IF((COUNTIFS(T_SelfStock[RM_Code],$A2,T_SelfStock[WeekIndex],92)&gt;0)*(COUNTIFS(T_TTAFStock[RM_Code],$A2,T_TTAFStock[WeekIndex],92)&gt;0)&gt;0,SUMIFS(T_SelfStock[Self_Qty],T_SelfStock[RM_Code],$A2,T_SelfStock[WeekIndex],92)+SUMIFS(T_TTAFStock[TTAF_Qty],T_TTAFStock[RM_Code],$A2,T_TTAFStock[WeekIndex],92),CN2+'Grid_Incoming'!CO2-'Grid_Requirement'!CO2))</f>
        <v/>
      </c>
      <c r="CP2">
        <f>IF(COUNTIFS(T_StockCount[RM_Code],$A2,T_StockCount[WeekIndex],93)&gt;0,SUMIFS(T_StockCount[CountedQty],T_StockCount[RM_Code],$A2,T_StockCount[WeekIndex],93),IF((COUNTIFS(T_SelfStock[RM_Code],$A2,T_SelfStock[WeekIndex],93)&gt;0)*(COUNTIFS(T_TTAFStock[RM_Code],$A2,T_TTAFStock[WeekIndex],93)&gt;0)&gt;0,SUMIFS(T_SelfStock[Self_Qty],T_SelfStock[RM_Code],$A2,T_SelfStock[WeekIndex],93)+SUMIFS(T_TTAFStock[TTAF_Qty],T_TTAFStock[RM_Code],$A2,T_TTAFStock[WeekIndex],93),CO2+'Grid_Incoming'!CP2-'Grid_Requirement'!CP2))</f>
        <v/>
      </c>
      <c r="CQ2">
        <f>IF(COUNTIFS(T_StockCount[RM_Code],$A2,T_StockCount[WeekIndex],94)&gt;0,SUMIFS(T_StockCount[CountedQty],T_StockCount[RM_Code],$A2,T_StockCount[WeekIndex],94),IF((COUNTIFS(T_SelfStock[RM_Code],$A2,T_SelfStock[WeekIndex],94)&gt;0)*(COUNTIFS(T_TTAFStock[RM_Code],$A2,T_TTAFStock[WeekIndex],94)&gt;0)&gt;0,SUMIFS(T_SelfStock[Self_Qty],T_SelfStock[RM_Code],$A2,T_SelfStock[WeekIndex],94)+SUMIFS(T_TTAFStock[TTAF_Qty],T_TTAFStock[RM_Code],$A2,T_TTAFStock[WeekIndex],94),CP2+'Grid_Incoming'!CQ2-'Grid_Requirement'!CQ2))</f>
        <v/>
      </c>
      <c r="CR2">
        <f>IF(COUNTIFS(T_StockCount[RM_Code],$A2,T_StockCount[WeekIndex],95)&gt;0,SUMIFS(T_StockCount[CountedQty],T_StockCount[RM_Code],$A2,T_StockCount[WeekIndex],95),IF((COUNTIFS(T_SelfStock[RM_Code],$A2,T_SelfStock[WeekIndex],95)&gt;0)*(COUNTIFS(T_TTAFStock[RM_Code],$A2,T_TTAFStock[WeekIndex],95)&gt;0)&gt;0,SUMIFS(T_SelfStock[Self_Qty],T_SelfStock[RM_Code],$A2,T_SelfStock[WeekIndex],95)+SUMIFS(T_TTAFStock[TTAF_Qty],T_TTAFStock[RM_Code],$A2,T_TTAFStock[WeekIndex],95),CQ2+'Grid_Incoming'!CR2-'Grid_Requirement'!CR2))</f>
        <v/>
      </c>
      <c r="CS2">
        <f>IF(COUNTIFS(T_StockCount[RM_Code],$A2,T_StockCount[WeekIndex],96)&gt;0,SUMIFS(T_StockCount[CountedQty],T_StockCount[RM_Code],$A2,T_StockCount[WeekIndex],96),IF((COUNTIFS(T_SelfStock[RM_Code],$A2,T_SelfStock[WeekIndex],96)&gt;0)*(COUNTIFS(T_TTAFStock[RM_Code],$A2,T_TTAFStock[WeekIndex],96)&gt;0)&gt;0,SUMIFS(T_SelfStock[Self_Qty],T_SelfStock[RM_Code],$A2,T_SelfStock[WeekIndex],96)+SUMIFS(T_TTAFStock[TTAF_Qty],T_TTAFStock[RM_Code],$A2,T_TTAFStock[WeekIndex],96),CR2+'Grid_Incoming'!CS2-'Grid_Requirement'!CS2))</f>
        <v/>
      </c>
      <c r="CT2">
        <f>IF(COUNTIFS(T_StockCount[RM_Code],$A2,T_StockCount[WeekIndex],97)&gt;0,SUMIFS(T_StockCount[CountedQty],T_StockCount[RM_Code],$A2,T_StockCount[WeekIndex],97),IF((COUNTIFS(T_SelfStock[RM_Code],$A2,T_SelfStock[WeekIndex],97)&gt;0)*(COUNTIFS(T_TTAFStock[RM_Code],$A2,T_TTAFStock[WeekIndex],97)&gt;0)&gt;0,SUMIFS(T_SelfStock[Self_Qty],T_SelfStock[RM_Code],$A2,T_SelfStock[WeekIndex],97)+SUMIFS(T_TTAFStock[TTAF_Qty],T_TTAFStock[RM_Code],$A2,T_TTAFStock[WeekIndex],97),CS2+'Grid_Incoming'!CT2-'Grid_Requirement'!CT2))</f>
        <v/>
      </c>
      <c r="CU2">
        <f>IF(COUNTIFS(T_StockCount[RM_Code],$A2,T_StockCount[WeekIndex],98)&gt;0,SUMIFS(T_StockCount[CountedQty],T_StockCount[RM_Code],$A2,T_StockCount[WeekIndex],98),IF((COUNTIFS(T_SelfStock[RM_Code],$A2,T_SelfStock[WeekIndex],98)&gt;0)*(COUNTIFS(T_TTAFStock[RM_Code],$A2,T_TTAFStock[WeekIndex],98)&gt;0)&gt;0,SUMIFS(T_SelfStock[Self_Qty],T_SelfStock[RM_Code],$A2,T_SelfStock[WeekIndex],98)+SUMIFS(T_TTAFStock[TTAF_Qty],T_TTAFStock[RM_Code],$A2,T_TTAFStock[WeekIndex],98),CT2+'Grid_Incoming'!CU2-'Grid_Requirement'!CU2))</f>
        <v/>
      </c>
      <c r="CV2">
        <f>IF(COUNTIFS(T_StockCount[RM_Code],$A2,T_StockCount[WeekIndex],99)&gt;0,SUMIFS(T_StockCount[CountedQty],T_StockCount[RM_Code],$A2,T_StockCount[WeekIndex],99),IF((COUNTIFS(T_SelfStock[RM_Code],$A2,T_SelfStock[WeekIndex],99)&gt;0)*(COUNTIFS(T_TTAFStock[RM_Code],$A2,T_TTAFStock[WeekIndex],99)&gt;0)&gt;0,SUMIFS(T_SelfStock[Self_Qty],T_SelfStock[RM_Code],$A2,T_SelfStock[WeekIndex],99)+SUMIFS(T_TTAFStock[TTAF_Qty],T_TTAFStock[RM_Code],$A2,T_TTAFStock[WeekIndex],99),CU2+'Grid_Incoming'!CV2-'Grid_Requirement'!CV2))</f>
        <v/>
      </c>
      <c r="CW2">
        <f>IF(COUNTIFS(T_StockCount[RM_Code],$A2,T_StockCount[WeekIndex],100)&gt;0,SUMIFS(T_StockCount[CountedQty],T_StockCount[RM_Code],$A2,T_StockCount[WeekIndex],100),IF((COUNTIFS(T_SelfStock[RM_Code],$A2,T_SelfStock[WeekIndex],100)&gt;0)*(COUNTIFS(T_TTAFStock[RM_Code],$A2,T_TTAFStock[WeekIndex],100)&gt;0)&gt;0,SUMIFS(T_SelfStock[Self_Qty],T_SelfStock[RM_Code],$A2,T_SelfStock[WeekIndex],100)+SUMIFS(T_TTAFStock[TTAF_Qty],T_TTAFStock[RM_Code],$A2,T_TTAFStock[WeekIndex],100),CV2+'Grid_Incoming'!CW2-'Grid_Requirement'!CW2))</f>
        <v/>
      </c>
      <c r="CX2">
        <f>IF(COUNTIFS(T_StockCount[RM_Code],$A2,T_StockCount[WeekIndex],101)&gt;0,SUMIFS(T_StockCount[CountedQty],T_StockCount[RM_Code],$A2,T_StockCount[WeekIndex],101),IF((COUNTIFS(T_SelfStock[RM_Code],$A2,T_SelfStock[WeekIndex],101)&gt;0)*(COUNTIFS(T_TTAFStock[RM_Code],$A2,T_TTAFStock[WeekIndex],101)&gt;0)&gt;0,SUMIFS(T_SelfStock[Self_Qty],T_SelfStock[RM_Code],$A2,T_SelfStock[WeekIndex],101)+SUMIFS(T_TTAFStock[TTAF_Qty],T_TTAFStock[RM_Code],$A2,T_TTAFStock[WeekIndex],101),CW2+'Grid_Incoming'!CX2-'Grid_Requirement'!CX2))</f>
        <v/>
      </c>
      <c r="CY2">
        <f>IF(COUNTIFS(T_StockCount[RM_Code],$A2,T_StockCount[WeekIndex],102)&gt;0,SUMIFS(T_StockCount[CountedQty],T_StockCount[RM_Code],$A2,T_StockCount[WeekIndex],102),IF((COUNTIFS(T_SelfStock[RM_Code],$A2,T_SelfStock[WeekIndex],102)&gt;0)*(COUNTIFS(T_TTAFStock[RM_Code],$A2,T_TTAFStock[WeekIndex],102)&gt;0)&gt;0,SUMIFS(T_SelfStock[Self_Qty],T_SelfStock[RM_Code],$A2,T_SelfStock[WeekIndex],102)+SUMIFS(T_TTAFStock[TTAF_Qty],T_TTAFStock[RM_Code],$A2,T_TTAFStock[WeekIndex],102),CX2+'Grid_Incoming'!CY2-'Grid_Requirement'!CY2))</f>
        <v/>
      </c>
      <c r="CZ2">
        <f>IF(COUNTIFS(T_StockCount[RM_Code],$A2,T_StockCount[WeekIndex],103)&gt;0,SUMIFS(T_StockCount[CountedQty],T_StockCount[RM_Code],$A2,T_StockCount[WeekIndex],103),IF((COUNTIFS(T_SelfStock[RM_Code],$A2,T_SelfStock[WeekIndex],103)&gt;0)*(COUNTIFS(T_TTAFStock[RM_Code],$A2,T_TTAFStock[WeekIndex],103)&gt;0)&gt;0,SUMIFS(T_SelfStock[Self_Qty],T_SelfStock[RM_Code],$A2,T_SelfStock[WeekIndex],103)+SUMIFS(T_TTAFStock[TTAF_Qty],T_TTAFStock[RM_Code],$A2,T_TTAFStock[WeekIndex],103),CY2+'Grid_Incoming'!CZ2-'Grid_Requirement'!CZ2))</f>
        <v/>
      </c>
      <c r="DA2">
        <f>IF(COUNTIFS(T_StockCount[RM_Code],$A2,T_StockCount[WeekIndex],104)&gt;0,SUMIFS(T_StockCount[CountedQty],T_StockCount[RM_Code],$A2,T_StockCount[WeekIndex],104),IF((COUNTIFS(T_SelfStock[RM_Code],$A2,T_SelfStock[WeekIndex],104)&gt;0)*(COUNTIFS(T_TTAFStock[RM_Code],$A2,T_TTAFStock[WeekIndex],104)&gt;0)&gt;0,SUMIFS(T_SelfStock[Self_Qty],T_SelfStock[RM_Code],$A2,T_SelfStock[WeekIndex],104)+SUMIFS(T_TTAFStock[TTAF_Qty],T_TTAFStock[RM_Code],$A2,T_TTAFStock[WeekIndex],104),CZ2+'Grid_Incoming'!DA2-'Grid_Requirement'!DA2))</f>
        <v/>
      </c>
    </row>
    <row r="3">
      <c r="A3" t="inlineStr">
        <is>
          <t>CHEM-1670</t>
        </is>
      </c>
      <c r="B3">
        <f>IF(COUNTIFS(T_StockCount[RM_Code],$A3,T_StockCount[WeekIndex],1)&gt;0,SUMIFS(T_StockCount[CountedQty],T_StockCount[RM_Code],$A3,T_StockCount[WeekIndex],1),IF((COUNTIFS(T_SelfStock[RM_Code],$A3,T_SelfStock[WeekIndex],1)&gt;0)*(COUNTIFS(T_TTAFStock[RM_Code],$A3,T_TTAFStock[WeekIndex],1)&gt;0)&gt;0,SUMIFS(T_SelfStock[Self_Qty],T_SelfStock[RM_Code],$A3,T_SelfStock[WeekIndex],1)+SUMIFS(T_TTAFStock[TTAF_Qty],T_TTAFStock[RM_Code],$A3,T_TTAFStock[WeekIndex],1),IFERROR(INDEX(T_OpeningStock[Opening_Qty],MATCH($A3,T_OpeningStock[RM_Code],0)),0)+'Grid_Incoming'!B3-'Grid_Requirement'!B3))</f>
        <v/>
      </c>
      <c r="C3">
        <f>IF(COUNTIFS(T_StockCount[RM_Code],$A3,T_StockCount[WeekIndex],2)&gt;0,SUMIFS(T_StockCount[CountedQty],T_StockCount[RM_Code],$A3,T_StockCount[WeekIndex],2),IF((COUNTIFS(T_SelfStock[RM_Code],$A3,T_SelfStock[WeekIndex],2)&gt;0)*(COUNTIFS(T_TTAFStock[RM_Code],$A3,T_TTAFStock[WeekIndex],2)&gt;0)&gt;0,SUMIFS(T_SelfStock[Self_Qty],T_SelfStock[RM_Code],$A3,T_SelfStock[WeekIndex],2)+SUMIFS(T_TTAFStock[TTAF_Qty],T_TTAFStock[RM_Code],$A3,T_TTAFStock[WeekIndex],2),B3+'Grid_Incoming'!C3-'Grid_Requirement'!C3))</f>
        <v/>
      </c>
      <c r="D3">
        <f>IF(COUNTIFS(T_StockCount[RM_Code],$A3,T_StockCount[WeekIndex],3)&gt;0,SUMIFS(T_StockCount[CountedQty],T_StockCount[RM_Code],$A3,T_StockCount[WeekIndex],3),IF((COUNTIFS(T_SelfStock[RM_Code],$A3,T_SelfStock[WeekIndex],3)&gt;0)*(COUNTIFS(T_TTAFStock[RM_Code],$A3,T_TTAFStock[WeekIndex],3)&gt;0)&gt;0,SUMIFS(T_SelfStock[Self_Qty],T_SelfStock[RM_Code],$A3,T_SelfStock[WeekIndex],3)+SUMIFS(T_TTAFStock[TTAF_Qty],T_TTAFStock[RM_Code],$A3,T_TTAFStock[WeekIndex],3),C3+'Grid_Incoming'!D3-'Grid_Requirement'!D3))</f>
        <v/>
      </c>
      <c r="E3">
        <f>IF(COUNTIFS(T_StockCount[RM_Code],$A3,T_StockCount[WeekIndex],4)&gt;0,SUMIFS(T_StockCount[CountedQty],T_StockCount[RM_Code],$A3,T_StockCount[WeekIndex],4),IF((COUNTIFS(T_SelfStock[RM_Code],$A3,T_SelfStock[WeekIndex],4)&gt;0)*(COUNTIFS(T_TTAFStock[RM_Code],$A3,T_TTAFStock[WeekIndex],4)&gt;0)&gt;0,SUMIFS(T_SelfStock[Self_Qty],T_SelfStock[RM_Code],$A3,T_SelfStock[WeekIndex],4)+SUMIFS(T_TTAFStock[TTAF_Qty],T_TTAFStock[RM_Code],$A3,T_TTAFStock[WeekIndex],4),D3+'Grid_Incoming'!E3-'Grid_Requirement'!E3))</f>
        <v/>
      </c>
      <c r="F3">
        <f>IF(COUNTIFS(T_StockCount[RM_Code],$A3,T_StockCount[WeekIndex],5)&gt;0,SUMIFS(T_StockCount[CountedQty],T_StockCount[RM_Code],$A3,T_StockCount[WeekIndex],5),IF((COUNTIFS(T_SelfStock[RM_Code],$A3,T_SelfStock[WeekIndex],5)&gt;0)*(COUNTIFS(T_TTAFStock[RM_Code],$A3,T_TTAFStock[WeekIndex],5)&gt;0)&gt;0,SUMIFS(T_SelfStock[Self_Qty],T_SelfStock[RM_Code],$A3,T_SelfStock[WeekIndex],5)+SUMIFS(T_TTAFStock[TTAF_Qty],T_TTAFStock[RM_Code],$A3,T_TTAFStock[WeekIndex],5),E3+'Grid_Incoming'!F3-'Grid_Requirement'!F3))</f>
        <v/>
      </c>
      <c r="G3">
        <f>IF(COUNTIFS(T_StockCount[RM_Code],$A3,T_StockCount[WeekIndex],6)&gt;0,SUMIFS(T_StockCount[CountedQty],T_StockCount[RM_Code],$A3,T_StockCount[WeekIndex],6),IF((COUNTIFS(T_SelfStock[RM_Code],$A3,T_SelfStock[WeekIndex],6)&gt;0)*(COUNTIFS(T_TTAFStock[RM_Code],$A3,T_TTAFStock[WeekIndex],6)&gt;0)&gt;0,SUMIFS(T_SelfStock[Self_Qty],T_SelfStock[RM_Code],$A3,T_SelfStock[WeekIndex],6)+SUMIFS(T_TTAFStock[TTAF_Qty],T_TTAFStock[RM_Code],$A3,T_TTAFStock[WeekIndex],6),F3+'Grid_Incoming'!G3-'Grid_Requirement'!G3))</f>
        <v/>
      </c>
      <c r="H3">
        <f>IF(COUNTIFS(T_StockCount[RM_Code],$A3,T_StockCount[WeekIndex],7)&gt;0,SUMIFS(T_StockCount[CountedQty],T_StockCount[RM_Code],$A3,T_StockCount[WeekIndex],7),IF((COUNTIFS(T_SelfStock[RM_Code],$A3,T_SelfStock[WeekIndex],7)&gt;0)*(COUNTIFS(T_TTAFStock[RM_Code],$A3,T_TTAFStock[WeekIndex],7)&gt;0)&gt;0,SUMIFS(T_SelfStock[Self_Qty],T_SelfStock[RM_Code],$A3,T_SelfStock[WeekIndex],7)+SUMIFS(T_TTAFStock[TTAF_Qty],T_TTAFStock[RM_Code],$A3,T_TTAFStock[WeekIndex],7),G3+'Grid_Incoming'!H3-'Grid_Requirement'!H3))</f>
        <v/>
      </c>
      <c r="I3">
        <f>IF(COUNTIFS(T_StockCount[RM_Code],$A3,T_StockCount[WeekIndex],8)&gt;0,SUMIFS(T_StockCount[CountedQty],T_StockCount[RM_Code],$A3,T_StockCount[WeekIndex],8),IF((COUNTIFS(T_SelfStock[RM_Code],$A3,T_SelfStock[WeekIndex],8)&gt;0)*(COUNTIFS(T_TTAFStock[RM_Code],$A3,T_TTAFStock[WeekIndex],8)&gt;0)&gt;0,SUMIFS(T_SelfStock[Self_Qty],T_SelfStock[RM_Code],$A3,T_SelfStock[WeekIndex],8)+SUMIFS(T_TTAFStock[TTAF_Qty],T_TTAFStock[RM_Code],$A3,T_TTAFStock[WeekIndex],8),H3+'Grid_Incoming'!I3-'Grid_Requirement'!I3))</f>
        <v/>
      </c>
      <c r="J3">
        <f>IF(COUNTIFS(T_StockCount[RM_Code],$A3,T_StockCount[WeekIndex],9)&gt;0,SUMIFS(T_StockCount[CountedQty],T_StockCount[RM_Code],$A3,T_StockCount[WeekIndex],9),IF((COUNTIFS(T_SelfStock[RM_Code],$A3,T_SelfStock[WeekIndex],9)&gt;0)*(COUNTIFS(T_TTAFStock[RM_Code],$A3,T_TTAFStock[WeekIndex],9)&gt;0)&gt;0,SUMIFS(T_SelfStock[Self_Qty],T_SelfStock[RM_Code],$A3,T_SelfStock[WeekIndex],9)+SUMIFS(T_TTAFStock[TTAF_Qty],T_TTAFStock[RM_Code],$A3,T_TTAFStock[WeekIndex],9),I3+'Grid_Incoming'!J3-'Grid_Requirement'!J3))</f>
        <v/>
      </c>
      <c r="K3">
        <f>IF(COUNTIFS(T_StockCount[RM_Code],$A3,T_StockCount[WeekIndex],10)&gt;0,SUMIFS(T_StockCount[CountedQty],T_StockCount[RM_Code],$A3,T_StockCount[WeekIndex],10),IF((COUNTIFS(T_SelfStock[RM_Code],$A3,T_SelfStock[WeekIndex],10)&gt;0)*(COUNTIFS(T_TTAFStock[RM_Code],$A3,T_TTAFStock[WeekIndex],10)&gt;0)&gt;0,SUMIFS(T_SelfStock[Self_Qty],T_SelfStock[RM_Code],$A3,T_SelfStock[WeekIndex],10)+SUMIFS(T_TTAFStock[TTAF_Qty],T_TTAFStock[RM_Code],$A3,T_TTAFStock[WeekIndex],10),J3+'Grid_Incoming'!K3-'Grid_Requirement'!K3))</f>
        <v/>
      </c>
      <c r="L3">
        <f>IF(COUNTIFS(T_StockCount[RM_Code],$A3,T_StockCount[WeekIndex],11)&gt;0,SUMIFS(T_StockCount[CountedQty],T_StockCount[RM_Code],$A3,T_StockCount[WeekIndex],11),IF((COUNTIFS(T_SelfStock[RM_Code],$A3,T_SelfStock[WeekIndex],11)&gt;0)*(COUNTIFS(T_TTAFStock[RM_Code],$A3,T_TTAFStock[WeekIndex],11)&gt;0)&gt;0,SUMIFS(T_SelfStock[Self_Qty],T_SelfStock[RM_Code],$A3,T_SelfStock[WeekIndex],11)+SUMIFS(T_TTAFStock[TTAF_Qty],T_TTAFStock[RM_Code],$A3,T_TTAFStock[WeekIndex],11),K3+'Grid_Incoming'!L3-'Grid_Requirement'!L3))</f>
        <v/>
      </c>
      <c r="M3">
        <f>IF(COUNTIFS(T_StockCount[RM_Code],$A3,T_StockCount[WeekIndex],12)&gt;0,SUMIFS(T_StockCount[CountedQty],T_StockCount[RM_Code],$A3,T_StockCount[WeekIndex],12),IF((COUNTIFS(T_SelfStock[RM_Code],$A3,T_SelfStock[WeekIndex],12)&gt;0)*(COUNTIFS(T_TTAFStock[RM_Code],$A3,T_TTAFStock[WeekIndex],12)&gt;0)&gt;0,SUMIFS(T_SelfStock[Self_Qty],T_SelfStock[RM_Code],$A3,T_SelfStock[WeekIndex],12)+SUMIFS(T_TTAFStock[TTAF_Qty],T_TTAFStock[RM_Code],$A3,T_TTAFStock[WeekIndex],12),L3+'Grid_Incoming'!M3-'Grid_Requirement'!M3))</f>
        <v/>
      </c>
      <c r="N3">
        <f>IF(COUNTIFS(T_StockCount[RM_Code],$A3,T_StockCount[WeekIndex],13)&gt;0,SUMIFS(T_StockCount[CountedQty],T_StockCount[RM_Code],$A3,T_StockCount[WeekIndex],13),IF((COUNTIFS(T_SelfStock[RM_Code],$A3,T_SelfStock[WeekIndex],13)&gt;0)*(COUNTIFS(T_TTAFStock[RM_Code],$A3,T_TTAFStock[WeekIndex],13)&gt;0)&gt;0,SUMIFS(T_SelfStock[Self_Qty],T_SelfStock[RM_Code],$A3,T_SelfStock[WeekIndex],13)+SUMIFS(T_TTAFStock[TTAF_Qty],T_TTAFStock[RM_Code],$A3,T_TTAFStock[WeekIndex],13),M3+'Grid_Incoming'!N3-'Grid_Requirement'!N3))</f>
        <v/>
      </c>
      <c r="O3">
        <f>IF(COUNTIFS(T_StockCount[RM_Code],$A3,T_StockCount[WeekIndex],14)&gt;0,SUMIFS(T_StockCount[CountedQty],T_StockCount[RM_Code],$A3,T_StockCount[WeekIndex],14),IF((COUNTIFS(T_SelfStock[RM_Code],$A3,T_SelfStock[WeekIndex],14)&gt;0)*(COUNTIFS(T_TTAFStock[RM_Code],$A3,T_TTAFStock[WeekIndex],14)&gt;0)&gt;0,SUMIFS(T_SelfStock[Self_Qty],T_SelfStock[RM_Code],$A3,T_SelfStock[WeekIndex],14)+SUMIFS(T_TTAFStock[TTAF_Qty],T_TTAFStock[RM_Code],$A3,T_TTAFStock[WeekIndex],14),N3+'Grid_Incoming'!O3-'Grid_Requirement'!O3))</f>
        <v/>
      </c>
      <c r="P3">
        <f>IF(COUNTIFS(T_StockCount[RM_Code],$A3,T_StockCount[WeekIndex],15)&gt;0,SUMIFS(T_StockCount[CountedQty],T_StockCount[RM_Code],$A3,T_StockCount[WeekIndex],15),IF((COUNTIFS(T_SelfStock[RM_Code],$A3,T_SelfStock[WeekIndex],15)&gt;0)*(COUNTIFS(T_TTAFStock[RM_Code],$A3,T_TTAFStock[WeekIndex],15)&gt;0)&gt;0,SUMIFS(T_SelfStock[Self_Qty],T_SelfStock[RM_Code],$A3,T_SelfStock[WeekIndex],15)+SUMIFS(T_TTAFStock[TTAF_Qty],T_TTAFStock[RM_Code],$A3,T_TTAFStock[WeekIndex],15),O3+'Grid_Incoming'!P3-'Grid_Requirement'!P3))</f>
        <v/>
      </c>
      <c r="Q3">
        <f>IF(COUNTIFS(T_StockCount[RM_Code],$A3,T_StockCount[WeekIndex],16)&gt;0,SUMIFS(T_StockCount[CountedQty],T_StockCount[RM_Code],$A3,T_StockCount[WeekIndex],16),IF((COUNTIFS(T_SelfStock[RM_Code],$A3,T_SelfStock[WeekIndex],16)&gt;0)*(COUNTIFS(T_TTAFStock[RM_Code],$A3,T_TTAFStock[WeekIndex],16)&gt;0)&gt;0,SUMIFS(T_SelfStock[Self_Qty],T_SelfStock[RM_Code],$A3,T_SelfStock[WeekIndex],16)+SUMIFS(T_TTAFStock[TTAF_Qty],T_TTAFStock[RM_Code],$A3,T_TTAFStock[WeekIndex],16),P3+'Grid_Incoming'!Q3-'Grid_Requirement'!Q3))</f>
        <v/>
      </c>
      <c r="R3">
        <f>IF(COUNTIFS(T_StockCount[RM_Code],$A3,T_StockCount[WeekIndex],17)&gt;0,SUMIFS(T_StockCount[CountedQty],T_StockCount[RM_Code],$A3,T_StockCount[WeekIndex],17),IF((COUNTIFS(T_SelfStock[RM_Code],$A3,T_SelfStock[WeekIndex],17)&gt;0)*(COUNTIFS(T_TTAFStock[RM_Code],$A3,T_TTAFStock[WeekIndex],17)&gt;0)&gt;0,SUMIFS(T_SelfStock[Self_Qty],T_SelfStock[RM_Code],$A3,T_SelfStock[WeekIndex],17)+SUMIFS(T_TTAFStock[TTAF_Qty],T_TTAFStock[RM_Code],$A3,T_TTAFStock[WeekIndex],17),Q3+'Grid_Incoming'!R3-'Grid_Requirement'!R3))</f>
        <v/>
      </c>
      <c r="S3">
        <f>IF(COUNTIFS(T_StockCount[RM_Code],$A3,T_StockCount[WeekIndex],18)&gt;0,SUMIFS(T_StockCount[CountedQty],T_StockCount[RM_Code],$A3,T_StockCount[WeekIndex],18),IF((COUNTIFS(T_SelfStock[RM_Code],$A3,T_SelfStock[WeekIndex],18)&gt;0)*(COUNTIFS(T_TTAFStock[RM_Code],$A3,T_TTAFStock[WeekIndex],18)&gt;0)&gt;0,SUMIFS(T_SelfStock[Self_Qty],T_SelfStock[RM_Code],$A3,T_SelfStock[WeekIndex],18)+SUMIFS(T_TTAFStock[TTAF_Qty],T_TTAFStock[RM_Code],$A3,T_TTAFStock[WeekIndex],18),R3+'Grid_Incoming'!S3-'Grid_Requirement'!S3))</f>
        <v/>
      </c>
      <c r="T3">
        <f>IF(COUNTIFS(T_StockCount[RM_Code],$A3,T_StockCount[WeekIndex],19)&gt;0,SUMIFS(T_StockCount[CountedQty],T_StockCount[RM_Code],$A3,T_StockCount[WeekIndex],19),IF((COUNTIFS(T_SelfStock[RM_Code],$A3,T_SelfStock[WeekIndex],19)&gt;0)*(COUNTIFS(T_TTAFStock[RM_Code],$A3,T_TTAFStock[WeekIndex],19)&gt;0)&gt;0,SUMIFS(T_SelfStock[Self_Qty],T_SelfStock[RM_Code],$A3,T_SelfStock[WeekIndex],19)+SUMIFS(T_TTAFStock[TTAF_Qty],T_TTAFStock[RM_Code],$A3,T_TTAFStock[WeekIndex],19),S3+'Grid_Incoming'!T3-'Grid_Requirement'!T3))</f>
        <v/>
      </c>
      <c r="U3">
        <f>IF(COUNTIFS(T_StockCount[RM_Code],$A3,T_StockCount[WeekIndex],20)&gt;0,SUMIFS(T_StockCount[CountedQty],T_StockCount[RM_Code],$A3,T_StockCount[WeekIndex],20),IF((COUNTIFS(T_SelfStock[RM_Code],$A3,T_SelfStock[WeekIndex],20)&gt;0)*(COUNTIFS(T_TTAFStock[RM_Code],$A3,T_TTAFStock[WeekIndex],20)&gt;0)&gt;0,SUMIFS(T_SelfStock[Self_Qty],T_SelfStock[RM_Code],$A3,T_SelfStock[WeekIndex],20)+SUMIFS(T_TTAFStock[TTAF_Qty],T_TTAFStock[RM_Code],$A3,T_TTAFStock[WeekIndex],20),T3+'Grid_Incoming'!U3-'Grid_Requirement'!U3))</f>
        <v/>
      </c>
      <c r="V3">
        <f>IF(COUNTIFS(T_StockCount[RM_Code],$A3,T_StockCount[WeekIndex],21)&gt;0,SUMIFS(T_StockCount[CountedQty],T_StockCount[RM_Code],$A3,T_StockCount[WeekIndex],21),IF((COUNTIFS(T_SelfStock[RM_Code],$A3,T_SelfStock[WeekIndex],21)&gt;0)*(COUNTIFS(T_TTAFStock[RM_Code],$A3,T_TTAFStock[WeekIndex],21)&gt;0)&gt;0,SUMIFS(T_SelfStock[Self_Qty],T_SelfStock[RM_Code],$A3,T_SelfStock[WeekIndex],21)+SUMIFS(T_TTAFStock[TTAF_Qty],T_TTAFStock[RM_Code],$A3,T_TTAFStock[WeekIndex],21),U3+'Grid_Incoming'!V3-'Grid_Requirement'!V3))</f>
        <v/>
      </c>
      <c r="W3">
        <f>IF(COUNTIFS(T_StockCount[RM_Code],$A3,T_StockCount[WeekIndex],22)&gt;0,SUMIFS(T_StockCount[CountedQty],T_StockCount[RM_Code],$A3,T_StockCount[WeekIndex],22),IF((COUNTIFS(T_SelfStock[RM_Code],$A3,T_SelfStock[WeekIndex],22)&gt;0)*(COUNTIFS(T_TTAFStock[RM_Code],$A3,T_TTAFStock[WeekIndex],22)&gt;0)&gt;0,SUMIFS(T_SelfStock[Self_Qty],T_SelfStock[RM_Code],$A3,T_SelfStock[WeekIndex],22)+SUMIFS(T_TTAFStock[TTAF_Qty],T_TTAFStock[RM_Code],$A3,T_TTAFStock[WeekIndex],22),V3+'Grid_Incoming'!W3-'Grid_Requirement'!W3))</f>
        <v/>
      </c>
      <c r="X3">
        <f>IF(COUNTIFS(T_StockCount[RM_Code],$A3,T_StockCount[WeekIndex],23)&gt;0,SUMIFS(T_StockCount[CountedQty],T_StockCount[RM_Code],$A3,T_StockCount[WeekIndex],23),IF((COUNTIFS(T_SelfStock[RM_Code],$A3,T_SelfStock[WeekIndex],23)&gt;0)*(COUNTIFS(T_TTAFStock[RM_Code],$A3,T_TTAFStock[WeekIndex],23)&gt;0)&gt;0,SUMIFS(T_SelfStock[Self_Qty],T_SelfStock[RM_Code],$A3,T_SelfStock[WeekIndex],23)+SUMIFS(T_TTAFStock[TTAF_Qty],T_TTAFStock[RM_Code],$A3,T_TTAFStock[WeekIndex],23),W3+'Grid_Incoming'!X3-'Grid_Requirement'!X3))</f>
        <v/>
      </c>
      <c r="Y3">
        <f>IF(COUNTIFS(T_StockCount[RM_Code],$A3,T_StockCount[WeekIndex],24)&gt;0,SUMIFS(T_StockCount[CountedQty],T_StockCount[RM_Code],$A3,T_StockCount[WeekIndex],24),IF((COUNTIFS(T_SelfStock[RM_Code],$A3,T_SelfStock[WeekIndex],24)&gt;0)*(COUNTIFS(T_TTAFStock[RM_Code],$A3,T_TTAFStock[WeekIndex],24)&gt;0)&gt;0,SUMIFS(T_SelfStock[Self_Qty],T_SelfStock[RM_Code],$A3,T_SelfStock[WeekIndex],24)+SUMIFS(T_TTAFStock[TTAF_Qty],T_TTAFStock[RM_Code],$A3,T_TTAFStock[WeekIndex],24),X3+'Grid_Incoming'!Y3-'Grid_Requirement'!Y3))</f>
        <v/>
      </c>
      <c r="Z3">
        <f>IF(COUNTIFS(T_StockCount[RM_Code],$A3,T_StockCount[WeekIndex],25)&gt;0,SUMIFS(T_StockCount[CountedQty],T_StockCount[RM_Code],$A3,T_StockCount[WeekIndex],25),IF((COUNTIFS(T_SelfStock[RM_Code],$A3,T_SelfStock[WeekIndex],25)&gt;0)*(COUNTIFS(T_TTAFStock[RM_Code],$A3,T_TTAFStock[WeekIndex],25)&gt;0)&gt;0,SUMIFS(T_SelfStock[Self_Qty],T_SelfStock[RM_Code],$A3,T_SelfStock[WeekIndex],25)+SUMIFS(T_TTAFStock[TTAF_Qty],T_TTAFStock[RM_Code],$A3,T_TTAFStock[WeekIndex],25),Y3+'Grid_Incoming'!Z3-'Grid_Requirement'!Z3))</f>
        <v/>
      </c>
      <c r="AA3">
        <f>IF(COUNTIFS(T_StockCount[RM_Code],$A3,T_StockCount[WeekIndex],26)&gt;0,SUMIFS(T_StockCount[CountedQty],T_StockCount[RM_Code],$A3,T_StockCount[WeekIndex],26),IF((COUNTIFS(T_SelfStock[RM_Code],$A3,T_SelfStock[WeekIndex],26)&gt;0)*(COUNTIFS(T_TTAFStock[RM_Code],$A3,T_TTAFStock[WeekIndex],26)&gt;0)&gt;0,SUMIFS(T_SelfStock[Self_Qty],T_SelfStock[RM_Code],$A3,T_SelfStock[WeekIndex],26)+SUMIFS(T_TTAFStock[TTAF_Qty],T_TTAFStock[RM_Code],$A3,T_TTAFStock[WeekIndex],26),Z3+'Grid_Incoming'!AA3-'Grid_Requirement'!AA3))</f>
        <v/>
      </c>
      <c r="AB3">
        <f>IF(COUNTIFS(T_StockCount[RM_Code],$A3,T_StockCount[WeekIndex],27)&gt;0,SUMIFS(T_StockCount[CountedQty],T_StockCount[RM_Code],$A3,T_StockCount[WeekIndex],27),IF((COUNTIFS(T_SelfStock[RM_Code],$A3,T_SelfStock[WeekIndex],27)&gt;0)*(COUNTIFS(T_TTAFStock[RM_Code],$A3,T_TTAFStock[WeekIndex],27)&gt;0)&gt;0,SUMIFS(T_SelfStock[Self_Qty],T_SelfStock[RM_Code],$A3,T_SelfStock[WeekIndex],27)+SUMIFS(T_TTAFStock[TTAF_Qty],T_TTAFStock[RM_Code],$A3,T_TTAFStock[WeekIndex],27),AA3+'Grid_Incoming'!AB3-'Grid_Requirement'!AB3))</f>
        <v/>
      </c>
      <c r="AC3">
        <f>IF(COUNTIFS(T_StockCount[RM_Code],$A3,T_StockCount[WeekIndex],28)&gt;0,SUMIFS(T_StockCount[CountedQty],T_StockCount[RM_Code],$A3,T_StockCount[WeekIndex],28),IF((COUNTIFS(T_SelfStock[RM_Code],$A3,T_SelfStock[WeekIndex],28)&gt;0)*(COUNTIFS(T_TTAFStock[RM_Code],$A3,T_TTAFStock[WeekIndex],28)&gt;0)&gt;0,SUMIFS(T_SelfStock[Self_Qty],T_SelfStock[RM_Code],$A3,T_SelfStock[WeekIndex],28)+SUMIFS(T_TTAFStock[TTAF_Qty],T_TTAFStock[RM_Code],$A3,T_TTAFStock[WeekIndex],28),AB3+'Grid_Incoming'!AC3-'Grid_Requirement'!AC3))</f>
        <v/>
      </c>
      <c r="AD3">
        <f>IF(COUNTIFS(T_StockCount[RM_Code],$A3,T_StockCount[WeekIndex],29)&gt;0,SUMIFS(T_StockCount[CountedQty],T_StockCount[RM_Code],$A3,T_StockCount[WeekIndex],29),IF((COUNTIFS(T_SelfStock[RM_Code],$A3,T_SelfStock[WeekIndex],29)&gt;0)*(COUNTIFS(T_TTAFStock[RM_Code],$A3,T_TTAFStock[WeekIndex],29)&gt;0)&gt;0,SUMIFS(T_SelfStock[Self_Qty],T_SelfStock[RM_Code],$A3,T_SelfStock[WeekIndex],29)+SUMIFS(T_TTAFStock[TTAF_Qty],T_TTAFStock[RM_Code],$A3,T_TTAFStock[WeekIndex],29),AC3+'Grid_Incoming'!AD3-'Grid_Requirement'!AD3))</f>
        <v/>
      </c>
      <c r="AE3">
        <f>IF(COUNTIFS(T_StockCount[RM_Code],$A3,T_StockCount[WeekIndex],30)&gt;0,SUMIFS(T_StockCount[CountedQty],T_StockCount[RM_Code],$A3,T_StockCount[WeekIndex],30),IF((COUNTIFS(T_SelfStock[RM_Code],$A3,T_SelfStock[WeekIndex],30)&gt;0)*(COUNTIFS(T_TTAFStock[RM_Code],$A3,T_TTAFStock[WeekIndex],30)&gt;0)&gt;0,SUMIFS(T_SelfStock[Self_Qty],T_SelfStock[RM_Code],$A3,T_SelfStock[WeekIndex],30)+SUMIFS(T_TTAFStock[TTAF_Qty],T_TTAFStock[RM_Code],$A3,T_TTAFStock[WeekIndex],30),AD3+'Grid_Incoming'!AE3-'Grid_Requirement'!AE3))</f>
        <v/>
      </c>
      <c r="AF3">
        <f>IF(COUNTIFS(T_StockCount[RM_Code],$A3,T_StockCount[WeekIndex],31)&gt;0,SUMIFS(T_StockCount[CountedQty],T_StockCount[RM_Code],$A3,T_StockCount[WeekIndex],31),IF((COUNTIFS(T_SelfStock[RM_Code],$A3,T_SelfStock[WeekIndex],31)&gt;0)*(COUNTIFS(T_TTAFStock[RM_Code],$A3,T_TTAFStock[WeekIndex],31)&gt;0)&gt;0,SUMIFS(T_SelfStock[Self_Qty],T_SelfStock[RM_Code],$A3,T_SelfStock[WeekIndex],31)+SUMIFS(T_TTAFStock[TTAF_Qty],T_TTAFStock[RM_Code],$A3,T_TTAFStock[WeekIndex],31),AE3+'Grid_Incoming'!AF3-'Grid_Requirement'!AF3))</f>
        <v/>
      </c>
      <c r="AG3">
        <f>IF(COUNTIFS(T_StockCount[RM_Code],$A3,T_StockCount[WeekIndex],32)&gt;0,SUMIFS(T_StockCount[CountedQty],T_StockCount[RM_Code],$A3,T_StockCount[WeekIndex],32),IF((COUNTIFS(T_SelfStock[RM_Code],$A3,T_SelfStock[WeekIndex],32)&gt;0)*(COUNTIFS(T_TTAFStock[RM_Code],$A3,T_TTAFStock[WeekIndex],32)&gt;0)&gt;0,SUMIFS(T_SelfStock[Self_Qty],T_SelfStock[RM_Code],$A3,T_SelfStock[WeekIndex],32)+SUMIFS(T_TTAFStock[TTAF_Qty],T_TTAFStock[RM_Code],$A3,T_TTAFStock[WeekIndex],32),AF3+'Grid_Incoming'!AG3-'Grid_Requirement'!AG3))</f>
        <v/>
      </c>
      <c r="AH3">
        <f>IF(COUNTIFS(T_StockCount[RM_Code],$A3,T_StockCount[WeekIndex],33)&gt;0,SUMIFS(T_StockCount[CountedQty],T_StockCount[RM_Code],$A3,T_StockCount[WeekIndex],33),IF((COUNTIFS(T_SelfStock[RM_Code],$A3,T_SelfStock[WeekIndex],33)&gt;0)*(COUNTIFS(T_TTAFStock[RM_Code],$A3,T_TTAFStock[WeekIndex],33)&gt;0)&gt;0,SUMIFS(T_SelfStock[Self_Qty],T_SelfStock[RM_Code],$A3,T_SelfStock[WeekIndex],33)+SUMIFS(T_TTAFStock[TTAF_Qty],T_TTAFStock[RM_Code],$A3,T_TTAFStock[WeekIndex],33),AG3+'Grid_Incoming'!AH3-'Grid_Requirement'!AH3))</f>
        <v/>
      </c>
      <c r="AI3">
        <f>IF(COUNTIFS(T_StockCount[RM_Code],$A3,T_StockCount[WeekIndex],34)&gt;0,SUMIFS(T_StockCount[CountedQty],T_StockCount[RM_Code],$A3,T_StockCount[WeekIndex],34),IF((COUNTIFS(T_SelfStock[RM_Code],$A3,T_SelfStock[WeekIndex],34)&gt;0)*(COUNTIFS(T_TTAFStock[RM_Code],$A3,T_TTAFStock[WeekIndex],34)&gt;0)&gt;0,SUMIFS(T_SelfStock[Self_Qty],T_SelfStock[RM_Code],$A3,T_SelfStock[WeekIndex],34)+SUMIFS(T_TTAFStock[TTAF_Qty],T_TTAFStock[RM_Code],$A3,T_TTAFStock[WeekIndex],34),AH3+'Grid_Incoming'!AI3-'Grid_Requirement'!AI3))</f>
        <v/>
      </c>
      <c r="AJ3">
        <f>IF(COUNTIFS(T_StockCount[RM_Code],$A3,T_StockCount[WeekIndex],35)&gt;0,SUMIFS(T_StockCount[CountedQty],T_StockCount[RM_Code],$A3,T_StockCount[WeekIndex],35),IF((COUNTIFS(T_SelfStock[RM_Code],$A3,T_SelfStock[WeekIndex],35)&gt;0)*(COUNTIFS(T_TTAFStock[RM_Code],$A3,T_TTAFStock[WeekIndex],35)&gt;0)&gt;0,SUMIFS(T_SelfStock[Self_Qty],T_SelfStock[RM_Code],$A3,T_SelfStock[WeekIndex],35)+SUMIFS(T_TTAFStock[TTAF_Qty],T_TTAFStock[RM_Code],$A3,T_TTAFStock[WeekIndex],35),AI3+'Grid_Incoming'!AJ3-'Grid_Requirement'!AJ3))</f>
        <v/>
      </c>
      <c r="AK3">
        <f>IF(COUNTIFS(T_StockCount[RM_Code],$A3,T_StockCount[WeekIndex],36)&gt;0,SUMIFS(T_StockCount[CountedQty],T_StockCount[RM_Code],$A3,T_StockCount[WeekIndex],36),IF((COUNTIFS(T_SelfStock[RM_Code],$A3,T_SelfStock[WeekIndex],36)&gt;0)*(COUNTIFS(T_TTAFStock[RM_Code],$A3,T_TTAFStock[WeekIndex],36)&gt;0)&gt;0,SUMIFS(T_SelfStock[Self_Qty],T_SelfStock[RM_Code],$A3,T_SelfStock[WeekIndex],36)+SUMIFS(T_TTAFStock[TTAF_Qty],T_TTAFStock[RM_Code],$A3,T_TTAFStock[WeekIndex],36),AJ3+'Grid_Incoming'!AK3-'Grid_Requirement'!AK3))</f>
        <v/>
      </c>
      <c r="AL3">
        <f>IF(COUNTIFS(T_StockCount[RM_Code],$A3,T_StockCount[WeekIndex],37)&gt;0,SUMIFS(T_StockCount[CountedQty],T_StockCount[RM_Code],$A3,T_StockCount[WeekIndex],37),IF((COUNTIFS(T_SelfStock[RM_Code],$A3,T_SelfStock[WeekIndex],37)&gt;0)*(COUNTIFS(T_TTAFStock[RM_Code],$A3,T_TTAFStock[WeekIndex],37)&gt;0)&gt;0,SUMIFS(T_SelfStock[Self_Qty],T_SelfStock[RM_Code],$A3,T_SelfStock[WeekIndex],37)+SUMIFS(T_TTAFStock[TTAF_Qty],T_TTAFStock[RM_Code],$A3,T_TTAFStock[WeekIndex],37),AK3+'Grid_Incoming'!AL3-'Grid_Requirement'!AL3))</f>
        <v/>
      </c>
      <c r="AM3">
        <f>IF(COUNTIFS(T_StockCount[RM_Code],$A3,T_StockCount[WeekIndex],38)&gt;0,SUMIFS(T_StockCount[CountedQty],T_StockCount[RM_Code],$A3,T_StockCount[WeekIndex],38),IF((COUNTIFS(T_SelfStock[RM_Code],$A3,T_SelfStock[WeekIndex],38)&gt;0)*(COUNTIFS(T_TTAFStock[RM_Code],$A3,T_TTAFStock[WeekIndex],38)&gt;0)&gt;0,SUMIFS(T_SelfStock[Self_Qty],T_SelfStock[RM_Code],$A3,T_SelfStock[WeekIndex],38)+SUMIFS(T_TTAFStock[TTAF_Qty],T_TTAFStock[RM_Code],$A3,T_TTAFStock[WeekIndex],38),AL3+'Grid_Incoming'!AM3-'Grid_Requirement'!AM3))</f>
        <v/>
      </c>
      <c r="AN3">
        <f>IF(COUNTIFS(T_StockCount[RM_Code],$A3,T_StockCount[WeekIndex],39)&gt;0,SUMIFS(T_StockCount[CountedQty],T_StockCount[RM_Code],$A3,T_StockCount[WeekIndex],39),IF((COUNTIFS(T_SelfStock[RM_Code],$A3,T_SelfStock[WeekIndex],39)&gt;0)*(COUNTIFS(T_TTAFStock[RM_Code],$A3,T_TTAFStock[WeekIndex],39)&gt;0)&gt;0,SUMIFS(T_SelfStock[Self_Qty],T_SelfStock[RM_Code],$A3,T_SelfStock[WeekIndex],39)+SUMIFS(T_TTAFStock[TTAF_Qty],T_TTAFStock[RM_Code],$A3,T_TTAFStock[WeekIndex],39),AM3+'Grid_Incoming'!AN3-'Grid_Requirement'!AN3))</f>
        <v/>
      </c>
      <c r="AO3">
        <f>IF(COUNTIFS(T_StockCount[RM_Code],$A3,T_StockCount[WeekIndex],40)&gt;0,SUMIFS(T_StockCount[CountedQty],T_StockCount[RM_Code],$A3,T_StockCount[WeekIndex],40),IF((COUNTIFS(T_SelfStock[RM_Code],$A3,T_SelfStock[WeekIndex],40)&gt;0)*(COUNTIFS(T_TTAFStock[RM_Code],$A3,T_TTAFStock[WeekIndex],40)&gt;0)&gt;0,SUMIFS(T_SelfStock[Self_Qty],T_SelfStock[RM_Code],$A3,T_SelfStock[WeekIndex],40)+SUMIFS(T_TTAFStock[TTAF_Qty],T_TTAFStock[RM_Code],$A3,T_TTAFStock[WeekIndex],40),AN3+'Grid_Incoming'!AO3-'Grid_Requirement'!AO3))</f>
        <v/>
      </c>
      <c r="AP3">
        <f>IF(COUNTIFS(T_StockCount[RM_Code],$A3,T_StockCount[WeekIndex],41)&gt;0,SUMIFS(T_StockCount[CountedQty],T_StockCount[RM_Code],$A3,T_StockCount[WeekIndex],41),IF((COUNTIFS(T_SelfStock[RM_Code],$A3,T_SelfStock[WeekIndex],41)&gt;0)*(COUNTIFS(T_TTAFStock[RM_Code],$A3,T_TTAFStock[WeekIndex],41)&gt;0)&gt;0,SUMIFS(T_SelfStock[Self_Qty],T_SelfStock[RM_Code],$A3,T_SelfStock[WeekIndex],41)+SUMIFS(T_TTAFStock[TTAF_Qty],T_TTAFStock[RM_Code],$A3,T_TTAFStock[WeekIndex],41),AO3+'Grid_Incoming'!AP3-'Grid_Requirement'!AP3))</f>
        <v/>
      </c>
      <c r="AQ3">
        <f>IF(COUNTIFS(T_StockCount[RM_Code],$A3,T_StockCount[WeekIndex],42)&gt;0,SUMIFS(T_StockCount[CountedQty],T_StockCount[RM_Code],$A3,T_StockCount[WeekIndex],42),IF((COUNTIFS(T_SelfStock[RM_Code],$A3,T_SelfStock[WeekIndex],42)&gt;0)*(COUNTIFS(T_TTAFStock[RM_Code],$A3,T_TTAFStock[WeekIndex],42)&gt;0)&gt;0,SUMIFS(T_SelfStock[Self_Qty],T_SelfStock[RM_Code],$A3,T_SelfStock[WeekIndex],42)+SUMIFS(T_TTAFStock[TTAF_Qty],T_TTAFStock[RM_Code],$A3,T_TTAFStock[WeekIndex],42),AP3+'Grid_Incoming'!AQ3-'Grid_Requirement'!AQ3))</f>
        <v/>
      </c>
      <c r="AR3">
        <f>IF(COUNTIFS(T_StockCount[RM_Code],$A3,T_StockCount[WeekIndex],43)&gt;0,SUMIFS(T_StockCount[CountedQty],T_StockCount[RM_Code],$A3,T_StockCount[WeekIndex],43),IF((COUNTIFS(T_SelfStock[RM_Code],$A3,T_SelfStock[WeekIndex],43)&gt;0)*(COUNTIFS(T_TTAFStock[RM_Code],$A3,T_TTAFStock[WeekIndex],43)&gt;0)&gt;0,SUMIFS(T_SelfStock[Self_Qty],T_SelfStock[RM_Code],$A3,T_SelfStock[WeekIndex],43)+SUMIFS(T_TTAFStock[TTAF_Qty],T_TTAFStock[RM_Code],$A3,T_TTAFStock[WeekIndex],43),AQ3+'Grid_Incoming'!AR3-'Grid_Requirement'!AR3))</f>
        <v/>
      </c>
      <c r="AS3">
        <f>IF(COUNTIFS(T_StockCount[RM_Code],$A3,T_StockCount[WeekIndex],44)&gt;0,SUMIFS(T_StockCount[CountedQty],T_StockCount[RM_Code],$A3,T_StockCount[WeekIndex],44),IF((COUNTIFS(T_SelfStock[RM_Code],$A3,T_SelfStock[WeekIndex],44)&gt;0)*(COUNTIFS(T_TTAFStock[RM_Code],$A3,T_TTAFStock[WeekIndex],44)&gt;0)&gt;0,SUMIFS(T_SelfStock[Self_Qty],T_SelfStock[RM_Code],$A3,T_SelfStock[WeekIndex],44)+SUMIFS(T_TTAFStock[TTAF_Qty],T_TTAFStock[RM_Code],$A3,T_TTAFStock[WeekIndex],44),AR3+'Grid_Incoming'!AS3-'Grid_Requirement'!AS3))</f>
        <v/>
      </c>
      <c r="AT3">
        <f>IF(COUNTIFS(T_StockCount[RM_Code],$A3,T_StockCount[WeekIndex],45)&gt;0,SUMIFS(T_StockCount[CountedQty],T_StockCount[RM_Code],$A3,T_StockCount[WeekIndex],45),IF((COUNTIFS(T_SelfStock[RM_Code],$A3,T_SelfStock[WeekIndex],45)&gt;0)*(COUNTIFS(T_TTAFStock[RM_Code],$A3,T_TTAFStock[WeekIndex],45)&gt;0)&gt;0,SUMIFS(T_SelfStock[Self_Qty],T_SelfStock[RM_Code],$A3,T_SelfStock[WeekIndex],45)+SUMIFS(T_TTAFStock[TTAF_Qty],T_TTAFStock[RM_Code],$A3,T_TTAFStock[WeekIndex],45),AS3+'Grid_Incoming'!AT3-'Grid_Requirement'!AT3))</f>
        <v/>
      </c>
      <c r="AU3">
        <f>IF(COUNTIFS(T_StockCount[RM_Code],$A3,T_StockCount[WeekIndex],46)&gt;0,SUMIFS(T_StockCount[CountedQty],T_StockCount[RM_Code],$A3,T_StockCount[WeekIndex],46),IF((COUNTIFS(T_SelfStock[RM_Code],$A3,T_SelfStock[WeekIndex],46)&gt;0)*(COUNTIFS(T_TTAFStock[RM_Code],$A3,T_TTAFStock[WeekIndex],46)&gt;0)&gt;0,SUMIFS(T_SelfStock[Self_Qty],T_SelfStock[RM_Code],$A3,T_SelfStock[WeekIndex],46)+SUMIFS(T_TTAFStock[TTAF_Qty],T_TTAFStock[RM_Code],$A3,T_TTAFStock[WeekIndex],46),AT3+'Grid_Incoming'!AU3-'Grid_Requirement'!AU3))</f>
        <v/>
      </c>
      <c r="AV3">
        <f>IF(COUNTIFS(T_StockCount[RM_Code],$A3,T_StockCount[WeekIndex],47)&gt;0,SUMIFS(T_StockCount[CountedQty],T_StockCount[RM_Code],$A3,T_StockCount[WeekIndex],47),IF((COUNTIFS(T_SelfStock[RM_Code],$A3,T_SelfStock[WeekIndex],47)&gt;0)*(COUNTIFS(T_TTAFStock[RM_Code],$A3,T_TTAFStock[WeekIndex],47)&gt;0)&gt;0,SUMIFS(T_SelfStock[Self_Qty],T_SelfStock[RM_Code],$A3,T_SelfStock[WeekIndex],47)+SUMIFS(T_TTAFStock[TTAF_Qty],T_TTAFStock[RM_Code],$A3,T_TTAFStock[WeekIndex],47),AU3+'Grid_Incoming'!AV3-'Grid_Requirement'!AV3))</f>
        <v/>
      </c>
      <c r="AW3">
        <f>IF(COUNTIFS(T_StockCount[RM_Code],$A3,T_StockCount[WeekIndex],48)&gt;0,SUMIFS(T_StockCount[CountedQty],T_StockCount[RM_Code],$A3,T_StockCount[WeekIndex],48),IF((COUNTIFS(T_SelfStock[RM_Code],$A3,T_SelfStock[WeekIndex],48)&gt;0)*(COUNTIFS(T_TTAFStock[RM_Code],$A3,T_TTAFStock[WeekIndex],48)&gt;0)&gt;0,SUMIFS(T_SelfStock[Self_Qty],T_SelfStock[RM_Code],$A3,T_SelfStock[WeekIndex],48)+SUMIFS(T_TTAFStock[TTAF_Qty],T_TTAFStock[RM_Code],$A3,T_TTAFStock[WeekIndex],48),AV3+'Grid_Incoming'!AW3-'Grid_Requirement'!AW3))</f>
        <v/>
      </c>
      <c r="AX3">
        <f>IF(COUNTIFS(T_StockCount[RM_Code],$A3,T_StockCount[WeekIndex],49)&gt;0,SUMIFS(T_StockCount[CountedQty],T_StockCount[RM_Code],$A3,T_StockCount[WeekIndex],49),IF((COUNTIFS(T_SelfStock[RM_Code],$A3,T_SelfStock[WeekIndex],49)&gt;0)*(COUNTIFS(T_TTAFStock[RM_Code],$A3,T_TTAFStock[WeekIndex],49)&gt;0)&gt;0,SUMIFS(T_SelfStock[Self_Qty],T_SelfStock[RM_Code],$A3,T_SelfStock[WeekIndex],49)+SUMIFS(T_TTAFStock[TTAF_Qty],T_TTAFStock[RM_Code],$A3,T_TTAFStock[WeekIndex],49),AW3+'Grid_Incoming'!AX3-'Grid_Requirement'!AX3))</f>
        <v/>
      </c>
      <c r="AY3">
        <f>IF(COUNTIFS(T_StockCount[RM_Code],$A3,T_StockCount[WeekIndex],50)&gt;0,SUMIFS(T_StockCount[CountedQty],T_StockCount[RM_Code],$A3,T_StockCount[WeekIndex],50),IF((COUNTIFS(T_SelfStock[RM_Code],$A3,T_SelfStock[WeekIndex],50)&gt;0)*(COUNTIFS(T_TTAFStock[RM_Code],$A3,T_TTAFStock[WeekIndex],50)&gt;0)&gt;0,SUMIFS(T_SelfStock[Self_Qty],T_SelfStock[RM_Code],$A3,T_SelfStock[WeekIndex],50)+SUMIFS(T_TTAFStock[TTAF_Qty],T_TTAFStock[RM_Code],$A3,T_TTAFStock[WeekIndex],50),AX3+'Grid_Incoming'!AY3-'Grid_Requirement'!AY3))</f>
        <v/>
      </c>
      <c r="AZ3">
        <f>IF(COUNTIFS(T_StockCount[RM_Code],$A3,T_StockCount[WeekIndex],51)&gt;0,SUMIFS(T_StockCount[CountedQty],T_StockCount[RM_Code],$A3,T_StockCount[WeekIndex],51),IF((COUNTIFS(T_SelfStock[RM_Code],$A3,T_SelfStock[WeekIndex],51)&gt;0)*(COUNTIFS(T_TTAFStock[RM_Code],$A3,T_TTAFStock[WeekIndex],51)&gt;0)&gt;0,SUMIFS(T_SelfStock[Self_Qty],T_SelfStock[RM_Code],$A3,T_SelfStock[WeekIndex],51)+SUMIFS(T_TTAFStock[TTAF_Qty],T_TTAFStock[RM_Code],$A3,T_TTAFStock[WeekIndex],51),AY3+'Grid_Incoming'!AZ3-'Grid_Requirement'!AZ3))</f>
        <v/>
      </c>
      <c r="BA3">
        <f>IF(COUNTIFS(T_StockCount[RM_Code],$A3,T_StockCount[WeekIndex],52)&gt;0,SUMIFS(T_StockCount[CountedQty],T_StockCount[RM_Code],$A3,T_StockCount[WeekIndex],52),IF((COUNTIFS(T_SelfStock[RM_Code],$A3,T_SelfStock[WeekIndex],52)&gt;0)*(COUNTIFS(T_TTAFStock[RM_Code],$A3,T_TTAFStock[WeekIndex],52)&gt;0)&gt;0,SUMIFS(T_SelfStock[Self_Qty],T_SelfStock[RM_Code],$A3,T_SelfStock[WeekIndex],52)+SUMIFS(T_TTAFStock[TTAF_Qty],T_TTAFStock[RM_Code],$A3,T_TTAFStock[WeekIndex],52),AZ3+'Grid_Incoming'!BA3-'Grid_Requirement'!BA3))</f>
        <v/>
      </c>
      <c r="BB3">
        <f>IF(COUNTIFS(T_StockCount[RM_Code],$A3,T_StockCount[WeekIndex],53)&gt;0,SUMIFS(T_StockCount[CountedQty],T_StockCount[RM_Code],$A3,T_StockCount[WeekIndex],53),IF((COUNTIFS(T_SelfStock[RM_Code],$A3,T_SelfStock[WeekIndex],53)&gt;0)*(COUNTIFS(T_TTAFStock[RM_Code],$A3,T_TTAFStock[WeekIndex],53)&gt;0)&gt;0,SUMIFS(T_SelfStock[Self_Qty],T_SelfStock[RM_Code],$A3,T_SelfStock[WeekIndex],53)+SUMIFS(T_TTAFStock[TTAF_Qty],T_TTAFStock[RM_Code],$A3,T_TTAFStock[WeekIndex],53),BA3+'Grid_Incoming'!BB3-'Grid_Requirement'!BB3))</f>
        <v/>
      </c>
      <c r="BC3">
        <f>IF(COUNTIFS(T_StockCount[RM_Code],$A3,T_StockCount[WeekIndex],54)&gt;0,SUMIFS(T_StockCount[CountedQty],T_StockCount[RM_Code],$A3,T_StockCount[WeekIndex],54),IF((COUNTIFS(T_SelfStock[RM_Code],$A3,T_SelfStock[WeekIndex],54)&gt;0)*(COUNTIFS(T_TTAFStock[RM_Code],$A3,T_TTAFStock[WeekIndex],54)&gt;0)&gt;0,SUMIFS(T_SelfStock[Self_Qty],T_SelfStock[RM_Code],$A3,T_SelfStock[WeekIndex],54)+SUMIFS(T_TTAFStock[TTAF_Qty],T_TTAFStock[RM_Code],$A3,T_TTAFStock[WeekIndex],54),BB3+'Grid_Incoming'!BC3-'Grid_Requirement'!BC3))</f>
        <v/>
      </c>
      <c r="BD3">
        <f>IF(COUNTIFS(T_StockCount[RM_Code],$A3,T_StockCount[WeekIndex],55)&gt;0,SUMIFS(T_StockCount[CountedQty],T_StockCount[RM_Code],$A3,T_StockCount[WeekIndex],55),IF((COUNTIFS(T_SelfStock[RM_Code],$A3,T_SelfStock[WeekIndex],55)&gt;0)*(COUNTIFS(T_TTAFStock[RM_Code],$A3,T_TTAFStock[WeekIndex],55)&gt;0)&gt;0,SUMIFS(T_SelfStock[Self_Qty],T_SelfStock[RM_Code],$A3,T_SelfStock[WeekIndex],55)+SUMIFS(T_TTAFStock[TTAF_Qty],T_TTAFStock[RM_Code],$A3,T_TTAFStock[WeekIndex],55),BC3+'Grid_Incoming'!BD3-'Grid_Requirement'!BD3))</f>
        <v/>
      </c>
      <c r="BE3">
        <f>IF(COUNTIFS(T_StockCount[RM_Code],$A3,T_StockCount[WeekIndex],56)&gt;0,SUMIFS(T_StockCount[CountedQty],T_StockCount[RM_Code],$A3,T_StockCount[WeekIndex],56),IF((COUNTIFS(T_SelfStock[RM_Code],$A3,T_SelfStock[WeekIndex],56)&gt;0)*(COUNTIFS(T_TTAFStock[RM_Code],$A3,T_TTAFStock[WeekIndex],56)&gt;0)&gt;0,SUMIFS(T_SelfStock[Self_Qty],T_SelfStock[RM_Code],$A3,T_SelfStock[WeekIndex],56)+SUMIFS(T_TTAFStock[TTAF_Qty],T_TTAFStock[RM_Code],$A3,T_TTAFStock[WeekIndex],56),BD3+'Grid_Incoming'!BE3-'Grid_Requirement'!BE3))</f>
        <v/>
      </c>
      <c r="BF3">
        <f>IF(COUNTIFS(T_StockCount[RM_Code],$A3,T_StockCount[WeekIndex],57)&gt;0,SUMIFS(T_StockCount[CountedQty],T_StockCount[RM_Code],$A3,T_StockCount[WeekIndex],57),IF((COUNTIFS(T_SelfStock[RM_Code],$A3,T_SelfStock[WeekIndex],57)&gt;0)*(COUNTIFS(T_TTAFStock[RM_Code],$A3,T_TTAFStock[WeekIndex],57)&gt;0)&gt;0,SUMIFS(T_SelfStock[Self_Qty],T_SelfStock[RM_Code],$A3,T_SelfStock[WeekIndex],57)+SUMIFS(T_TTAFStock[TTAF_Qty],T_TTAFStock[RM_Code],$A3,T_TTAFStock[WeekIndex],57),BE3+'Grid_Incoming'!BF3-'Grid_Requirement'!BF3))</f>
        <v/>
      </c>
      <c r="BG3">
        <f>IF(COUNTIFS(T_StockCount[RM_Code],$A3,T_StockCount[WeekIndex],58)&gt;0,SUMIFS(T_StockCount[CountedQty],T_StockCount[RM_Code],$A3,T_StockCount[WeekIndex],58),IF((COUNTIFS(T_SelfStock[RM_Code],$A3,T_SelfStock[WeekIndex],58)&gt;0)*(COUNTIFS(T_TTAFStock[RM_Code],$A3,T_TTAFStock[WeekIndex],58)&gt;0)&gt;0,SUMIFS(T_SelfStock[Self_Qty],T_SelfStock[RM_Code],$A3,T_SelfStock[WeekIndex],58)+SUMIFS(T_TTAFStock[TTAF_Qty],T_TTAFStock[RM_Code],$A3,T_TTAFStock[WeekIndex],58),BF3+'Grid_Incoming'!BG3-'Grid_Requirement'!BG3))</f>
        <v/>
      </c>
      <c r="BH3">
        <f>IF(COUNTIFS(T_StockCount[RM_Code],$A3,T_StockCount[WeekIndex],59)&gt;0,SUMIFS(T_StockCount[CountedQty],T_StockCount[RM_Code],$A3,T_StockCount[WeekIndex],59),IF((COUNTIFS(T_SelfStock[RM_Code],$A3,T_SelfStock[WeekIndex],59)&gt;0)*(COUNTIFS(T_TTAFStock[RM_Code],$A3,T_TTAFStock[WeekIndex],59)&gt;0)&gt;0,SUMIFS(T_SelfStock[Self_Qty],T_SelfStock[RM_Code],$A3,T_SelfStock[WeekIndex],59)+SUMIFS(T_TTAFStock[TTAF_Qty],T_TTAFStock[RM_Code],$A3,T_TTAFStock[WeekIndex],59),BG3+'Grid_Incoming'!BH3-'Grid_Requirement'!BH3))</f>
        <v/>
      </c>
      <c r="BI3">
        <f>IF(COUNTIFS(T_StockCount[RM_Code],$A3,T_StockCount[WeekIndex],60)&gt;0,SUMIFS(T_StockCount[CountedQty],T_StockCount[RM_Code],$A3,T_StockCount[WeekIndex],60),IF((COUNTIFS(T_SelfStock[RM_Code],$A3,T_SelfStock[WeekIndex],60)&gt;0)*(COUNTIFS(T_TTAFStock[RM_Code],$A3,T_TTAFStock[WeekIndex],60)&gt;0)&gt;0,SUMIFS(T_SelfStock[Self_Qty],T_SelfStock[RM_Code],$A3,T_SelfStock[WeekIndex],60)+SUMIFS(T_TTAFStock[TTAF_Qty],T_TTAFStock[RM_Code],$A3,T_TTAFStock[WeekIndex],60),BH3+'Grid_Incoming'!BI3-'Grid_Requirement'!BI3))</f>
        <v/>
      </c>
      <c r="BJ3">
        <f>IF(COUNTIFS(T_StockCount[RM_Code],$A3,T_StockCount[WeekIndex],61)&gt;0,SUMIFS(T_StockCount[CountedQty],T_StockCount[RM_Code],$A3,T_StockCount[WeekIndex],61),IF((COUNTIFS(T_SelfStock[RM_Code],$A3,T_SelfStock[WeekIndex],61)&gt;0)*(COUNTIFS(T_TTAFStock[RM_Code],$A3,T_TTAFStock[WeekIndex],61)&gt;0)&gt;0,SUMIFS(T_SelfStock[Self_Qty],T_SelfStock[RM_Code],$A3,T_SelfStock[WeekIndex],61)+SUMIFS(T_TTAFStock[TTAF_Qty],T_TTAFStock[RM_Code],$A3,T_TTAFStock[WeekIndex],61),BI3+'Grid_Incoming'!BJ3-'Grid_Requirement'!BJ3))</f>
        <v/>
      </c>
      <c r="BK3">
        <f>IF(COUNTIFS(T_StockCount[RM_Code],$A3,T_StockCount[WeekIndex],62)&gt;0,SUMIFS(T_StockCount[CountedQty],T_StockCount[RM_Code],$A3,T_StockCount[WeekIndex],62),IF((COUNTIFS(T_SelfStock[RM_Code],$A3,T_SelfStock[WeekIndex],62)&gt;0)*(COUNTIFS(T_TTAFStock[RM_Code],$A3,T_TTAFStock[WeekIndex],62)&gt;0)&gt;0,SUMIFS(T_SelfStock[Self_Qty],T_SelfStock[RM_Code],$A3,T_SelfStock[WeekIndex],62)+SUMIFS(T_TTAFStock[TTAF_Qty],T_TTAFStock[RM_Code],$A3,T_TTAFStock[WeekIndex],62),BJ3+'Grid_Incoming'!BK3-'Grid_Requirement'!BK3))</f>
        <v/>
      </c>
      <c r="BL3">
        <f>IF(COUNTIFS(T_StockCount[RM_Code],$A3,T_StockCount[WeekIndex],63)&gt;0,SUMIFS(T_StockCount[CountedQty],T_StockCount[RM_Code],$A3,T_StockCount[WeekIndex],63),IF((COUNTIFS(T_SelfStock[RM_Code],$A3,T_SelfStock[WeekIndex],63)&gt;0)*(COUNTIFS(T_TTAFStock[RM_Code],$A3,T_TTAFStock[WeekIndex],63)&gt;0)&gt;0,SUMIFS(T_SelfStock[Self_Qty],T_SelfStock[RM_Code],$A3,T_SelfStock[WeekIndex],63)+SUMIFS(T_TTAFStock[TTAF_Qty],T_TTAFStock[RM_Code],$A3,T_TTAFStock[WeekIndex],63),BK3+'Grid_Incoming'!BL3-'Grid_Requirement'!BL3))</f>
        <v/>
      </c>
      <c r="BM3">
        <f>IF(COUNTIFS(T_StockCount[RM_Code],$A3,T_StockCount[WeekIndex],64)&gt;0,SUMIFS(T_StockCount[CountedQty],T_StockCount[RM_Code],$A3,T_StockCount[WeekIndex],64),IF((COUNTIFS(T_SelfStock[RM_Code],$A3,T_SelfStock[WeekIndex],64)&gt;0)*(COUNTIFS(T_TTAFStock[RM_Code],$A3,T_TTAFStock[WeekIndex],64)&gt;0)&gt;0,SUMIFS(T_SelfStock[Self_Qty],T_SelfStock[RM_Code],$A3,T_SelfStock[WeekIndex],64)+SUMIFS(T_TTAFStock[TTAF_Qty],T_TTAFStock[RM_Code],$A3,T_TTAFStock[WeekIndex],64),BL3+'Grid_Incoming'!BM3-'Grid_Requirement'!BM3))</f>
        <v/>
      </c>
      <c r="BN3">
        <f>IF(COUNTIFS(T_StockCount[RM_Code],$A3,T_StockCount[WeekIndex],65)&gt;0,SUMIFS(T_StockCount[CountedQty],T_StockCount[RM_Code],$A3,T_StockCount[WeekIndex],65),IF((COUNTIFS(T_SelfStock[RM_Code],$A3,T_SelfStock[WeekIndex],65)&gt;0)*(COUNTIFS(T_TTAFStock[RM_Code],$A3,T_TTAFStock[WeekIndex],65)&gt;0)&gt;0,SUMIFS(T_SelfStock[Self_Qty],T_SelfStock[RM_Code],$A3,T_SelfStock[WeekIndex],65)+SUMIFS(T_TTAFStock[TTAF_Qty],T_TTAFStock[RM_Code],$A3,T_TTAFStock[WeekIndex],65),BM3+'Grid_Incoming'!BN3-'Grid_Requirement'!BN3))</f>
        <v/>
      </c>
      <c r="BO3">
        <f>IF(COUNTIFS(T_StockCount[RM_Code],$A3,T_StockCount[WeekIndex],66)&gt;0,SUMIFS(T_StockCount[CountedQty],T_StockCount[RM_Code],$A3,T_StockCount[WeekIndex],66),IF((COUNTIFS(T_SelfStock[RM_Code],$A3,T_SelfStock[WeekIndex],66)&gt;0)*(COUNTIFS(T_TTAFStock[RM_Code],$A3,T_TTAFStock[WeekIndex],66)&gt;0)&gt;0,SUMIFS(T_SelfStock[Self_Qty],T_SelfStock[RM_Code],$A3,T_SelfStock[WeekIndex],66)+SUMIFS(T_TTAFStock[TTAF_Qty],T_TTAFStock[RM_Code],$A3,T_TTAFStock[WeekIndex],66),BN3+'Grid_Incoming'!BO3-'Grid_Requirement'!BO3))</f>
        <v/>
      </c>
      <c r="BP3">
        <f>IF(COUNTIFS(T_StockCount[RM_Code],$A3,T_StockCount[WeekIndex],67)&gt;0,SUMIFS(T_StockCount[CountedQty],T_StockCount[RM_Code],$A3,T_StockCount[WeekIndex],67),IF((COUNTIFS(T_SelfStock[RM_Code],$A3,T_SelfStock[WeekIndex],67)&gt;0)*(COUNTIFS(T_TTAFStock[RM_Code],$A3,T_TTAFStock[WeekIndex],67)&gt;0)&gt;0,SUMIFS(T_SelfStock[Self_Qty],T_SelfStock[RM_Code],$A3,T_SelfStock[WeekIndex],67)+SUMIFS(T_TTAFStock[TTAF_Qty],T_TTAFStock[RM_Code],$A3,T_TTAFStock[WeekIndex],67),BO3+'Grid_Incoming'!BP3-'Grid_Requirement'!BP3))</f>
        <v/>
      </c>
      <c r="BQ3">
        <f>IF(COUNTIFS(T_StockCount[RM_Code],$A3,T_StockCount[WeekIndex],68)&gt;0,SUMIFS(T_StockCount[CountedQty],T_StockCount[RM_Code],$A3,T_StockCount[WeekIndex],68),IF((COUNTIFS(T_SelfStock[RM_Code],$A3,T_SelfStock[WeekIndex],68)&gt;0)*(COUNTIFS(T_TTAFStock[RM_Code],$A3,T_TTAFStock[WeekIndex],68)&gt;0)&gt;0,SUMIFS(T_SelfStock[Self_Qty],T_SelfStock[RM_Code],$A3,T_SelfStock[WeekIndex],68)+SUMIFS(T_TTAFStock[TTAF_Qty],T_TTAFStock[RM_Code],$A3,T_TTAFStock[WeekIndex],68),BP3+'Grid_Incoming'!BQ3-'Grid_Requirement'!BQ3))</f>
        <v/>
      </c>
      <c r="BR3">
        <f>IF(COUNTIFS(T_StockCount[RM_Code],$A3,T_StockCount[WeekIndex],69)&gt;0,SUMIFS(T_StockCount[CountedQty],T_StockCount[RM_Code],$A3,T_StockCount[WeekIndex],69),IF((COUNTIFS(T_SelfStock[RM_Code],$A3,T_SelfStock[WeekIndex],69)&gt;0)*(COUNTIFS(T_TTAFStock[RM_Code],$A3,T_TTAFStock[WeekIndex],69)&gt;0)&gt;0,SUMIFS(T_SelfStock[Self_Qty],T_SelfStock[RM_Code],$A3,T_SelfStock[WeekIndex],69)+SUMIFS(T_TTAFStock[TTAF_Qty],T_TTAFStock[RM_Code],$A3,T_TTAFStock[WeekIndex],69),BQ3+'Grid_Incoming'!BR3-'Grid_Requirement'!BR3))</f>
        <v/>
      </c>
      <c r="BS3">
        <f>IF(COUNTIFS(T_StockCount[RM_Code],$A3,T_StockCount[WeekIndex],70)&gt;0,SUMIFS(T_StockCount[CountedQty],T_StockCount[RM_Code],$A3,T_StockCount[WeekIndex],70),IF((COUNTIFS(T_SelfStock[RM_Code],$A3,T_SelfStock[WeekIndex],70)&gt;0)*(COUNTIFS(T_TTAFStock[RM_Code],$A3,T_TTAFStock[WeekIndex],70)&gt;0)&gt;0,SUMIFS(T_SelfStock[Self_Qty],T_SelfStock[RM_Code],$A3,T_SelfStock[WeekIndex],70)+SUMIFS(T_TTAFStock[TTAF_Qty],T_TTAFStock[RM_Code],$A3,T_TTAFStock[WeekIndex],70),BR3+'Grid_Incoming'!BS3-'Grid_Requirement'!BS3))</f>
        <v/>
      </c>
      <c r="BT3">
        <f>IF(COUNTIFS(T_StockCount[RM_Code],$A3,T_StockCount[WeekIndex],71)&gt;0,SUMIFS(T_StockCount[CountedQty],T_StockCount[RM_Code],$A3,T_StockCount[WeekIndex],71),IF((COUNTIFS(T_SelfStock[RM_Code],$A3,T_SelfStock[WeekIndex],71)&gt;0)*(COUNTIFS(T_TTAFStock[RM_Code],$A3,T_TTAFStock[WeekIndex],71)&gt;0)&gt;0,SUMIFS(T_SelfStock[Self_Qty],T_SelfStock[RM_Code],$A3,T_SelfStock[WeekIndex],71)+SUMIFS(T_TTAFStock[TTAF_Qty],T_TTAFStock[RM_Code],$A3,T_TTAFStock[WeekIndex],71),BS3+'Grid_Incoming'!BT3-'Grid_Requirement'!BT3))</f>
        <v/>
      </c>
      <c r="BU3">
        <f>IF(COUNTIFS(T_StockCount[RM_Code],$A3,T_StockCount[WeekIndex],72)&gt;0,SUMIFS(T_StockCount[CountedQty],T_StockCount[RM_Code],$A3,T_StockCount[WeekIndex],72),IF((COUNTIFS(T_SelfStock[RM_Code],$A3,T_SelfStock[WeekIndex],72)&gt;0)*(COUNTIFS(T_TTAFStock[RM_Code],$A3,T_TTAFStock[WeekIndex],72)&gt;0)&gt;0,SUMIFS(T_SelfStock[Self_Qty],T_SelfStock[RM_Code],$A3,T_SelfStock[WeekIndex],72)+SUMIFS(T_TTAFStock[TTAF_Qty],T_TTAFStock[RM_Code],$A3,T_TTAFStock[WeekIndex],72),BT3+'Grid_Incoming'!BU3-'Grid_Requirement'!BU3))</f>
        <v/>
      </c>
      <c r="BV3">
        <f>IF(COUNTIFS(T_StockCount[RM_Code],$A3,T_StockCount[WeekIndex],73)&gt;0,SUMIFS(T_StockCount[CountedQty],T_StockCount[RM_Code],$A3,T_StockCount[WeekIndex],73),IF((COUNTIFS(T_SelfStock[RM_Code],$A3,T_SelfStock[WeekIndex],73)&gt;0)*(COUNTIFS(T_TTAFStock[RM_Code],$A3,T_TTAFStock[WeekIndex],73)&gt;0)&gt;0,SUMIFS(T_SelfStock[Self_Qty],T_SelfStock[RM_Code],$A3,T_SelfStock[WeekIndex],73)+SUMIFS(T_TTAFStock[TTAF_Qty],T_TTAFStock[RM_Code],$A3,T_TTAFStock[WeekIndex],73),BU3+'Grid_Incoming'!BV3-'Grid_Requirement'!BV3))</f>
        <v/>
      </c>
      <c r="BW3">
        <f>IF(COUNTIFS(T_StockCount[RM_Code],$A3,T_StockCount[WeekIndex],74)&gt;0,SUMIFS(T_StockCount[CountedQty],T_StockCount[RM_Code],$A3,T_StockCount[WeekIndex],74),IF((COUNTIFS(T_SelfStock[RM_Code],$A3,T_SelfStock[WeekIndex],74)&gt;0)*(COUNTIFS(T_TTAFStock[RM_Code],$A3,T_TTAFStock[WeekIndex],74)&gt;0)&gt;0,SUMIFS(T_SelfStock[Self_Qty],T_SelfStock[RM_Code],$A3,T_SelfStock[WeekIndex],74)+SUMIFS(T_TTAFStock[TTAF_Qty],T_TTAFStock[RM_Code],$A3,T_TTAFStock[WeekIndex],74),BV3+'Grid_Incoming'!BW3-'Grid_Requirement'!BW3))</f>
        <v/>
      </c>
      <c r="BX3">
        <f>IF(COUNTIFS(T_StockCount[RM_Code],$A3,T_StockCount[WeekIndex],75)&gt;0,SUMIFS(T_StockCount[CountedQty],T_StockCount[RM_Code],$A3,T_StockCount[WeekIndex],75),IF((COUNTIFS(T_SelfStock[RM_Code],$A3,T_SelfStock[WeekIndex],75)&gt;0)*(COUNTIFS(T_TTAFStock[RM_Code],$A3,T_TTAFStock[WeekIndex],75)&gt;0)&gt;0,SUMIFS(T_SelfStock[Self_Qty],T_SelfStock[RM_Code],$A3,T_SelfStock[WeekIndex],75)+SUMIFS(T_TTAFStock[TTAF_Qty],T_TTAFStock[RM_Code],$A3,T_TTAFStock[WeekIndex],75),BW3+'Grid_Incoming'!BX3-'Grid_Requirement'!BX3))</f>
        <v/>
      </c>
      <c r="BY3">
        <f>IF(COUNTIFS(T_StockCount[RM_Code],$A3,T_StockCount[WeekIndex],76)&gt;0,SUMIFS(T_StockCount[CountedQty],T_StockCount[RM_Code],$A3,T_StockCount[WeekIndex],76),IF((COUNTIFS(T_SelfStock[RM_Code],$A3,T_SelfStock[WeekIndex],76)&gt;0)*(COUNTIFS(T_TTAFStock[RM_Code],$A3,T_TTAFStock[WeekIndex],76)&gt;0)&gt;0,SUMIFS(T_SelfStock[Self_Qty],T_SelfStock[RM_Code],$A3,T_SelfStock[WeekIndex],76)+SUMIFS(T_TTAFStock[TTAF_Qty],T_TTAFStock[RM_Code],$A3,T_TTAFStock[WeekIndex],76),BX3+'Grid_Incoming'!BY3-'Grid_Requirement'!BY3))</f>
        <v/>
      </c>
      <c r="BZ3">
        <f>IF(COUNTIFS(T_StockCount[RM_Code],$A3,T_StockCount[WeekIndex],77)&gt;0,SUMIFS(T_StockCount[CountedQty],T_StockCount[RM_Code],$A3,T_StockCount[WeekIndex],77),IF((COUNTIFS(T_SelfStock[RM_Code],$A3,T_SelfStock[WeekIndex],77)&gt;0)*(COUNTIFS(T_TTAFStock[RM_Code],$A3,T_TTAFStock[WeekIndex],77)&gt;0)&gt;0,SUMIFS(T_SelfStock[Self_Qty],T_SelfStock[RM_Code],$A3,T_SelfStock[WeekIndex],77)+SUMIFS(T_TTAFStock[TTAF_Qty],T_TTAFStock[RM_Code],$A3,T_TTAFStock[WeekIndex],77),BY3+'Grid_Incoming'!BZ3-'Grid_Requirement'!BZ3))</f>
        <v/>
      </c>
      <c r="CA3">
        <f>IF(COUNTIFS(T_StockCount[RM_Code],$A3,T_StockCount[WeekIndex],78)&gt;0,SUMIFS(T_StockCount[CountedQty],T_StockCount[RM_Code],$A3,T_StockCount[WeekIndex],78),IF((COUNTIFS(T_SelfStock[RM_Code],$A3,T_SelfStock[WeekIndex],78)&gt;0)*(COUNTIFS(T_TTAFStock[RM_Code],$A3,T_TTAFStock[WeekIndex],78)&gt;0)&gt;0,SUMIFS(T_SelfStock[Self_Qty],T_SelfStock[RM_Code],$A3,T_SelfStock[WeekIndex],78)+SUMIFS(T_TTAFStock[TTAF_Qty],T_TTAFStock[RM_Code],$A3,T_TTAFStock[WeekIndex],78),BZ3+'Grid_Incoming'!CA3-'Grid_Requirement'!CA3))</f>
        <v/>
      </c>
      <c r="CB3">
        <f>IF(COUNTIFS(T_StockCount[RM_Code],$A3,T_StockCount[WeekIndex],79)&gt;0,SUMIFS(T_StockCount[CountedQty],T_StockCount[RM_Code],$A3,T_StockCount[WeekIndex],79),IF((COUNTIFS(T_SelfStock[RM_Code],$A3,T_SelfStock[WeekIndex],79)&gt;0)*(COUNTIFS(T_TTAFStock[RM_Code],$A3,T_TTAFStock[WeekIndex],79)&gt;0)&gt;0,SUMIFS(T_SelfStock[Self_Qty],T_SelfStock[RM_Code],$A3,T_SelfStock[WeekIndex],79)+SUMIFS(T_TTAFStock[TTAF_Qty],T_TTAFStock[RM_Code],$A3,T_TTAFStock[WeekIndex],79),CA3+'Grid_Incoming'!CB3-'Grid_Requirement'!CB3))</f>
        <v/>
      </c>
      <c r="CC3">
        <f>IF(COUNTIFS(T_StockCount[RM_Code],$A3,T_StockCount[WeekIndex],80)&gt;0,SUMIFS(T_StockCount[CountedQty],T_StockCount[RM_Code],$A3,T_StockCount[WeekIndex],80),IF((COUNTIFS(T_SelfStock[RM_Code],$A3,T_SelfStock[WeekIndex],80)&gt;0)*(COUNTIFS(T_TTAFStock[RM_Code],$A3,T_TTAFStock[WeekIndex],80)&gt;0)&gt;0,SUMIFS(T_SelfStock[Self_Qty],T_SelfStock[RM_Code],$A3,T_SelfStock[WeekIndex],80)+SUMIFS(T_TTAFStock[TTAF_Qty],T_TTAFStock[RM_Code],$A3,T_TTAFStock[WeekIndex],80),CB3+'Grid_Incoming'!CC3-'Grid_Requirement'!CC3))</f>
        <v/>
      </c>
      <c r="CD3">
        <f>IF(COUNTIFS(T_StockCount[RM_Code],$A3,T_StockCount[WeekIndex],81)&gt;0,SUMIFS(T_StockCount[CountedQty],T_StockCount[RM_Code],$A3,T_StockCount[WeekIndex],81),IF((COUNTIFS(T_SelfStock[RM_Code],$A3,T_SelfStock[WeekIndex],81)&gt;0)*(COUNTIFS(T_TTAFStock[RM_Code],$A3,T_TTAFStock[WeekIndex],81)&gt;0)&gt;0,SUMIFS(T_SelfStock[Self_Qty],T_SelfStock[RM_Code],$A3,T_SelfStock[WeekIndex],81)+SUMIFS(T_TTAFStock[TTAF_Qty],T_TTAFStock[RM_Code],$A3,T_TTAFStock[WeekIndex],81),CC3+'Grid_Incoming'!CD3-'Grid_Requirement'!CD3))</f>
        <v/>
      </c>
      <c r="CE3">
        <f>IF(COUNTIFS(T_StockCount[RM_Code],$A3,T_StockCount[WeekIndex],82)&gt;0,SUMIFS(T_StockCount[CountedQty],T_StockCount[RM_Code],$A3,T_StockCount[WeekIndex],82),IF((COUNTIFS(T_SelfStock[RM_Code],$A3,T_SelfStock[WeekIndex],82)&gt;0)*(COUNTIFS(T_TTAFStock[RM_Code],$A3,T_TTAFStock[WeekIndex],82)&gt;0)&gt;0,SUMIFS(T_SelfStock[Self_Qty],T_SelfStock[RM_Code],$A3,T_SelfStock[WeekIndex],82)+SUMIFS(T_TTAFStock[TTAF_Qty],T_TTAFStock[RM_Code],$A3,T_TTAFStock[WeekIndex],82),CD3+'Grid_Incoming'!CE3-'Grid_Requirement'!CE3))</f>
        <v/>
      </c>
      <c r="CF3">
        <f>IF(COUNTIFS(T_StockCount[RM_Code],$A3,T_StockCount[WeekIndex],83)&gt;0,SUMIFS(T_StockCount[CountedQty],T_StockCount[RM_Code],$A3,T_StockCount[WeekIndex],83),IF((COUNTIFS(T_SelfStock[RM_Code],$A3,T_SelfStock[WeekIndex],83)&gt;0)*(COUNTIFS(T_TTAFStock[RM_Code],$A3,T_TTAFStock[WeekIndex],83)&gt;0)&gt;0,SUMIFS(T_SelfStock[Self_Qty],T_SelfStock[RM_Code],$A3,T_SelfStock[WeekIndex],83)+SUMIFS(T_TTAFStock[TTAF_Qty],T_TTAFStock[RM_Code],$A3,T_TTAFStock[WeekIndex],83),CE3+'Grid_Incoming'!CF3-'Grid_Requirement'!CF3))</f>
        <v/>
      </c>
      <c r="CG3">
        <f>IF(COUNTIFS(T_StockCount[RM_Code],$A3,T_StockCount[WeekIndex],84)&gt;0,SUMIFS(T_StockCount[CountedQty],T_StockCount[RM_Code],$A3,T_StockCount[WeekIndex],84),IF((COUNTIFS(T_SelfStock[RM_Code],$A3,T_SelfStock[WeekIndex],84)&gt;0)*(COUNTIFS(T_TTAFStock[RM_Code],$A3,T_TTAFStock[WeekIndex],84)&gt;0)&gt;0,SUMIFS(T_SelfStock[Self_Qty],T_SelfStock[RM_Code],$A3,T_SelfStock[WeekIndex],84)+SUMIFS(T_TTAFStock[TTAF_Qty],T_TTAFStock[RM_Code],$A3,T_TTAFStock[WeekIndex],84),CF3+'Grid_Incoming'!CG3-'Grid_Requirement'!CG3))</f>
        <v/>
      </c>
      <c r="CH3">
        <f>IF(COUNTIFS(T_StockCount[RM_Code],$A3,T_StockCount[WeekIndex],85)&gt;0,SUMIFS(T_StockCount[CountedQty],T_StockCount[RM_Code],$A3,T_StockCount[WeekIndex],85),IF((COUNTIFS(T_SelfStock[RM_Code],$A3,T_SelfStock[WeekIndex],85)&gt;0)*(COUNTIFS(T_TTAFStock[RM_Code],$A3,T_TTAFStock[WeekIndex],85)&gt;0)&gt;0,SUMIFS(T_SelfStock[Self_Qty],T_SelfStock[RM_Code],$A3,T_SelfStock[WeekIndex],85)+SUMIFS(T_TTAFStock[TTAF_Qty],T_TTAFStock[RM_Code],$A3,T_TTAFStock[WeekIndex],85),CG3+'Grid_Incoming'!CH3-'Grid_Requirement'!CH3))</f>
        <v/>
      </c>
      <c r="CI3">
        <f>IF(COUNTIFS(T_StockCount[RM_Code],$A3,T_StockCount[WeekIndex],86)&gt;0,SUMIFS(T_StockCount[CountedQty],T_StockCount[RM_Code],$A3,T_StockCount[WeekIndex],86),IF((COUNTIFS(T_SelfStock[RM_Code],$A3,T_SelfStock[WeekIndex],86)&gt;0)*(COUNTIFS(T_TTAFStock[RM_Code],$A3,T_TTAFStock[WeekIndex],86)&gt;0)&gt;0,SUMIFS(T_SelfStock[Self_Qty],T_SelfStock[RM_Code],$A3,T_SelfStock[WeekIndex],86)+SUMIFS(T_TTAFStock[TTAF_Qty],T_TTAFStock[RM_Code],$A3,T_TTAFStock[WeekIndex],86),CH3+'Grid_Incoming'!CI3-'Grid_Requirement'!CI3))</f>
        <v/>
      </c>
      <c r="CJ3">
        <f>IF(COUNTIFS(T_StockCount[RM_Code],$A3,T_StockCount[WeekIndex],87)&gt;0,SUMIFS(T_StockCount[CountedQty],T_StockCount[RM_Code],$A3,T_StockCount[WeekIndex],87),IF((COUNTIFS(T_SelfStock[RM_Code],$A3,T_SelfStock[WeekIndex],87)&gt;0)*(COUNTIFS(T_TTAFStock[RM_Code],$A3,T_TTAFStock[WeekIndex],87)&gt;0)&gt;0,SUMIFS(T_SelfStock[Self_Qty],T_SelfStock[RM_Code],$A3,T_SelfStock[WeekIndex],87)+SUMIFS(T_TTAFStock[TTAF_Qty],T_TTAFStock[RM_Code],$A3,T_TTAFStock[WeekIndex],87),CI3+'Grid_Incoming'!CJ3-'Grid_Requirement'!CJ3))</f>
        <v/>
      </c>
      <c r="CK3">
        <f>IF(COUNTIFS(T_StockCount[RM_Code],$A3,T_StockCount[WeekIndex],88)&gt;0,SUMIFS(T_StockCount[CountedQty],T_StockCount[RM_Code],$A3,T_StockCount[WeekIndex],88),IF((COUNTIFS(T_SelfStock[RM_Code],$A3,T_SelfStock[WeekIndex],88)&gt;0)*(COUNTIFS(T_TTAFStock[RM_Code],$A3,T_TTAFStock[WeekIndex],88)&gt;0)&gt;0,SUMIFS(T_SelfStock[Self_Qty],T_SelfStock[RM_Code],$A3,T_SelfStock[WeekIndex],88)+SUMIFS(T_TTAFStock[TTAF_Qty],T_TTAFStock[RM_Code],$A3,T_TTAFStock[WeekIndex],88),CJ3+'Grid_Incoming'!CK3-'Grid_Requirement'!CK3))</f>
        <v/>
      </c>
      <c r="CL3">
        <f>IF(COUNTIFS(T_StockCount[RM_Code],$A3,T_StockCount[WeekIndex],89)&gt;0,SUMIFS(T_StockCount[CountedQty],T_StockCount[RM_Code],$A3,T_StockCount[WeekIndex],89),IF((COUNTIFS(T_SelfStock[RM_Code],$A3,T_SelfStock[WeekIndex],89)&gt;0)*(COUNTIFS(T_TTAFStock[RM_Code],$A3,T_TTAFStock[WeekIndex],89)&gt;0)&gt;0,SUMIFS(T_SelfStock[Self_Qty],T_SelfStock[RM_Code],$A3,T_SelfStock[WeekIndex],89)+SUMIFS(T_TTAFStock[TTAF_Qty],T_TTAFStock[RM_Code],$A3,T_TTAFStock[WeekIndex],89),CK3+'Grid_Incoming'!CL3-'Grid_Requirement'!CL3))</f>
        <v/>
      </c>
      <c r="CM3">
        <f>IF(COUNTIFS(T_StockCount[RM_Code],$A3,T_StockCount[WeekIndex],90)&gt;0,SUMIFS(T_StockCount[CountedQty],T_StockCount[RM_Code],$A3,T_StockCount[WeekIndex],90),IF((COUNTIFS(T_SelfStock[RM_Code],$A3,T_SelfStock[WeekIndex],90)&gt;0)*(COUNTIFS(T_TTAFStock[RM_Code],$A3,T_TTAFStock[WeekIndex],90)&gt;0)&gt;0,SUMIFS(T_SelfStock[Self_Qty],T_SelfStock[RM_Code],$A3,T_SelfStock[WeekIndex],90)+SUMIFS(T_TTAFStock[TTAF_Qty],T_TTAFStock[RM_Code],$A3,T_TTAFStock[WeekIndex],90),CL3+'Grid_Incoming'!CM3-'Grid_Requirement'!CM3))</f>
        <v/>
      </c>
      <c r="CN3">
        <f>IF(COUNTIFS(T_StockCount[RM_Code],$A3,T_StockCount[WeekIndex],91)&gt;0,SUMIFS(T_StockCount[CountedQty],T_StockCount[RM_Code],$A3,T_StockCount[WeekIndex],91),IF((COUNTIFS(T_SelfStock[RM_Code],$A3,T_SelfStock[WeekIndex],91)&gt;0)*(COUNTIFS(T_TTAFStock[RM_Code],$A3,T_TTAFStock[WeekIndex],91)&gt;0)&gt;0,SUMIFS(T_SelfStock[Self_Qty],T_SelfStock[RM_Code],$A3,T_SelfStock[WeekIndex],91)+SUMIFS(T_TTAFStock[TTAF_Qty],T_TTAFStock[RM_Code],$A3,T_TTAFStock[WeekIndex],91),CM3+'Grid_Incoming'!CN3-'Grid_Requirement'!CN3))</f>
        <v/>
      </c>
      <c r="CO3">
        <f>IF(COUNTIFS(T_StockCount[RM_Code],$A3,T_StockCount[WeekIndex],92)&gt;0,SUMIFS(T_StockCount[CountedQty],T_StockCount[RM_Code],$A3,T_StockCount[WeekIndex],92),IF((COUNTIFS(T_SelfStock[RM_Code],$A3,T_SelfStock[WeekIndex],92)&gt;0)*(COUNTIFS(T_TTAFStock[RM_Code],$A3,T_TTAFStock[WeekIndex],92)&gt;0)&gt;0,SUMIFS(T_SelfStock[Self_Qty],T_SelfStock[RM_Code],$A3,T_SelfStock[WeekIndex],92)+SUMIFS(T_TTAFStock[TTAF_Qty],T_TTAFStock[RM_Code],$A3,T_TTAFStock[WeekIndex],92),CN3+'Grid_Incoming'!CO3-'Grid_Requirement'!CO3))</f>
        <v/>
      </c>
      <c r="CP3">
        <f>IF(COUNTIFS(T_StockCount[RM_Code],$A3,T_StockCount[WeekIndex],93)&gt;0,SUMIFS(T_StockCount[CountedQty],T_StockCount[RM_Code],$A3,T_StockCount[WeekIndex],93),IF((COUNTIFS(T_SelfStock[RM_Code],$A3,T_SelfStock[WeekIndex],93)&gt;0)*(COUNTIFS(T_TTAFStock[RM_Code],$A3,T_TTAFStock[WeekIndex],93)&gt;0)&gt;0,SUMIFS(T_SelfStock[Self_Qty],T_SelfStock[RM_Code],$A3,T_SelfStock[WeekIndex],93)+SUMIFS(T_TTAFStock[TTAF_Qty],T_TTAFStock[RM_Code],$A3,T_TTAFStock[WeekIndex],93),CO3+'Grid_Incoming'!CP3-'Grid_Requirement'!CP3))</f>
        <v/>
      </c>
      <c r="CQ3">
        <f>IF(COUNTIFS(T_StockCount[RM_Code],$A3,T_StockCount[WeekIndex],94)&gt;0,SUMIFS(T_StockCount[CountedQty],T_StockCount[RM_Code],$A3,T_StockCount[WeekIndex],94),IF((COUNTIFS(T_SelfStock[RM_Code],$A3,T_SelfStock[WeekIndex],94)&gt;0)*(COUNTIFS(T_TTAFStock[RM_Code],$A3,T_TTAFStock[WeekIndex],94)&gt;0)&gt;0,SUMIFS(T_SelfStock[Self_Qty],T_SelfStock[RM_Code],$A3,T_SelfStock[WeekIndex],94)+SUMIFS(T_TTAFStock[TTAF_Qty],T_TTAFStock[RM_Code],$A3,T_TTAFStock[WeekIndex],94),CP3+'Grid_Incoming'!CQ3-'Grid_Requirement'!CQ3))</f>
        <v/>
      </c>
      <c r="CR3">
        <f>IF(COUNTIFS(T_StockCount[RM_Code],$A3,T_StockCount[WeekIndex],95)&gt;0,SUMIFS(T_StockCount[CountedQty],T_StockCount[RM_Code],$A3,T_StockCount[WeekIndex],95),IF((COUNTIFS(T_SelfStock[RM_Code],$A3,T_SelfStock[WeekIndex],95)&gt;0)*(COUNTIFS(T_TTAFStock[RM_Code],$A3,T_TTAFStock[WeekIndex],95)&gt;0)&gt;0,SUMIFS(T_SelfStock[Self_Qty],T_SelfStock[RM_Code],$A3,T_SelfStock[WeekIndex],95)+SUMIFS(T_TTAFStock[TTAF_Qty],T_TTAFStock[RM_Code],$A3,T_TTAFStock[WeekIndex],95),CQ3+'Grid_Incoming'!CR3-'Grid_Requirement'!CR3))</f>
        <v/>
      </c>
      <c r="CS3">
        <f>IF(COUNTIFS(T_StockCount[RM_Code],$A3,T_StockCount[WeekIndex],96)&gt;0,SUMIFS(T_StockCount[CountedQty],T_StockCount[RM_Code],$A3,T_StockCount[WeekIndex],96),IF((COUNTIFS(T_SelfStock[RM_Code],$A3,T_SelfStock[WeekIndex],96)&gt;0)*(COUNTIFS(T_TTAFStock[RM_Code],$A3,T_TTAFStock[WeekIndex],96)&gt;0)&gt;0,SUMIFS(T_SelfStock[Self_Qty],T_SelfStock[RM_Code],$A3,T_SelfStock[WeekIndex],96)+SUMIFS(T_TTAFStock[TTAF_Qty],T_TTAFStock[RM_Code],$A3,T_TTAFStock[WeekIndex],96),CR3+'Grid_Incoming'!CS3-'Grid_Requirement'!CS3))</f>
        <v/>
      </c>
      <c r="CT3">
        <f>IF(COUNTIFS(T_StockCount[RM_Code],$A3,T_StockCount[WeekIndex],97)&gt;0,SUMIFS(T_StockCount[CountedQty],T_StockCount[RM_Code],$A3,T_StockCount[WeekIndex],97),IF((COUNTIFS(T_SelfStock[RM_Code],$A3,T_SelfStock[WeekIndex],97)&gt;0)*(COUNTIFS(T_TTAFStock[RM_Code],$A3,T_TTAFStock[WeekIndex],97)&gt;0)&gt;0,SUMIFS(T_SelfStock[Self_Qty],T_SelfStock[RM_Code],$A3,T_SelfStock[WeekIndex],97)+SUMIFS(T_TTAFStock[TTAF_Qty],T_TTAFStock[RM_Code],$A3,T_TTAFStock[WeekIndex],97),CS3+'Grid_Incoming'!CT3-'Grid_Requirement'!CT3))</f>
        <v/>
      </c>
      <c r="CU3">
        <f>IF(COUNTIFS(T_StockCount[RM_Code],$A3,T_StockCount[WeekIndex],98)&gt;0,SUMIFS(T_StockCount[CountedQty],T_StockCount[RM_Code],$A3,T_StockCount[WeekIndex],98),IF((COUNTIFS(T_SelfStock[RM_Code],$A3,T_SelfStock[WeekIndex],98)&gt;0)*(COUNTIFS(T_TTAFStock[RM_Code],$A3,T_TTAFStock[WeekIndex],98)&gt;0)&gt;0,SUMIFS(T_SelfStock[Self_Qty],T_SelfStock[RM_Code],$A3,T_SelfStock[WeekIndex],98)+SUMIFS(T_TTAFStock[TTAF_Qty],T_TTAFStock[RM_Code],$A3,T_TTAFStock[WeekIndex],98),CT3+'Grid_Incoming'!CU3-'Grid_Requirement'!CU3))</f>
        <v/>
      </c>
      <c r="CV3">
        <f>IF(COUNTIFS(T_StockCount[RM_Code],$A3,T_StockCount[WeekIndex],99)&gt;0,SUMIFS(T_StockCount[CountedQty],T_StockCount[RM_Code],$A3,T_StockCount[WeekIndex],99),IF((COUNTIFS(T_SelfStock[RM_Code],$A3,T_SelfStock[WeekIndex],99)&gt;0)*(COUNTIFS(T_TTAFStock[RM_Code],$A3,T_TTAFStock[WeekIndex],99)&gt;0)&gt;0,SUMIFS(T_SelfStock[Self_Qty],T_SelfStock[RM_Code],$A3,T_SelfStock[WeekIndex],99)+SUMIFS(T_TTAFStock[TTAF_Qty],T_TTAFStock[RM_Code],$A3,T_TTAFStock[WeekIndex],99),CU3+'Grid_Incoming'!CV3-'Grid_Requirement'!CV3))</f>
        <v/>
      </c>
      <c r="CW3">
        <f>IF(COUNTIFS(T_StockCount[RM_Code],$A3,T_StockCount[WeekIndex],100)&gt;0,SUMIFS(T_StockCount[CountedQty],T_StockCount[RM_Code],$A3,T_StockCount[WeekIndex],100),IF((COUNTIFS(T_SelfStock[RM_Code],$A3,T_SelfStock[WeekIndex],100)&gt;0)*(COUNTIFS(T_TTAFStock[RM_Code],$A3,T_TTAFStock[WeekIndex],100)&gt;0)&gt;0,SUMIFS(T_SelfStock[Self_Qty],T_SelfStock[RM_Code],$A3,T_SelfStock[WeekIndex],100)+SUMIFS(T_TTAFStock[TTAF_Qty],T_TTAFStock[RM_Code],$A3,T_TTAFStock[WeekIndex],100),CV3+'Grid_Incoming'!CW3-'Grid_Requirement'!CW3))</f>
        <v/>
      </c>
      <c r="CX3">
        <f>IF(COUNTIFS(T_StockCount[RM_Code],$A3,T_StockCount[WeekIndex],101)&gt;0,SUMIFS(T_StockCount[CountedQty],T_StockCount[RM_Code],$A3,T_StockCount[WeekIndex],101),IF((COUNTIFS(T_SelfStock[RM_Code],$A3,T_SelfStock[WeekIndex],101)&gt;0)*(COUNTIFS(T_TTAFStock[RM_Code],$A3,T_TTAFStock[WeekIndex],101)&gt;0)&gt;0,SUMIFS(T_SelfStock[Self_Qty],T_SelfStock[RM_Code],$A3,T_SelfStock[WeekIndex],101)+SUMIFS(T_TTAFStock[TTAF_Qty],T_TTAFStock[RM_Code],$A3,T_TTAFStock[WeekIndex],101),CW3+'Grid_Incoming'!CX3-'Grid_Requirement'!CX3))</f>
        <v/>
      </c>
      <c r="CY3">
        <f>IF(COUNTIFS(T_StockCount[RM_Code],$A3,T_StockCount[WeekIndex],102)&gt;0,SUMIFS(T_StockCount[CountedQty],T_StockCount[RM_Code],$A3,T_StockCount[WeekIndex],102),IF((COUNTIFS(T_SelfStock[RM_Code],$A3,T_SelfStock[WeekIndex],102)&gt;0)*(COUNTIFS(T_TTAFStock[RM_Code],$A3,T_TTAFStock[WeekIndex],102)&gt;0)&gt;0,SUMIFS(T_SelfStock[Self_Qty],T_SelfStock[RM_Code],$A3,T_SelfStock[WeekIndex],102)+SUMIFS(T_TTAFStock[TTAF_Qty],T_TTAFStock[RM_Code],$A3,T_TTAFStock[WeekIndex],102),CX3+'Grid_Incoming'!CY3-'Grid_Requirement'!CY3))</f>
        <v/>
      </c>
      <c r="CZ3">
        <f>IF(COUNTIFS(T_StockCount[RM_Code],$A3,T_StockCount[WeekIndex],103)&gt;0,SUMIFS(T_StockCount[CountedQty],T_StockCount[RM_Code],$A3,T_StockCount[WeekIndex],103),IF((COUNTIFS(T_SelfStock[RM_Code],$A3,T_SelfStock[WeekIndex],103)&gt;0)*(COUNTIFS(T_TTAFStock[RM_Code],$A3,T_TTAFStock[WeekIndex],103)&gt;0)&gt;0,SUMIFS(T_SelfStock[Self_Qty],T_SelfStock[RM_Code],$A3,T_SelfStock[WeekIndex],103)+SUMIFS(T_TTAFStock[TTAF_Qty],T_TTAFStock[RM_Code],$A3,T_TTAFStock[WeekIndex],103),CY3+'Grid_Incoming'!CZ3-'Grid_Requirement'!CZ3))</f>
        <v/>
      </c>
      <c r="DA3">
        <f>IF(COUNTIFS(T_StockCount[RM_Code],$A3,T_StockCount[WeekIndex],104)&gt;0,SUMIFS(T_StockCount[CountedQty],T_StockCount[RM_Code],$A3,T_StockCount[WeekIndex],104),IF((COUNTIFS(T_SelfStock[RM_Code],$A3,T_SelfStock[WeekIndex],104)&gt;0)*(COUNTIFS(T_TTAFStock[RM_Code],$A3,T_TTAFStock[WeekIndex],104)&gt;0)&gt;0,SUMIFS(T_SelfStock[Self_Qty],T_SelfStock[RM_Code],$A3,T_SelfStock[WeekIndex],104)+SUMIFS(T_TTAFStock[TTAF_Qty],T_TTAFStock[RM_Code],$A3,T_TTAFStock[WeekIndex],104),CZ3+'Grid_Incoming'!DA3-'Grid_Requirement'!DA3))</f>
        <v/>
      </c>
    </row>
    <row r="4">
      <c r="A4" t="inlineStr">
        <is>
          <t>CHEM-1700</t>
        </is>
      </c>
      <c r="B4">
        <f>IF(COUNTIFS(T_StockCount[RM_Code],$A4,T_StockCount[WeekIndex],1)&gt;0,SUMIFS(T_StockCount[CountedQty],T_StockCount[RM_Code],$A4,T_StockCount[WeekIndex],1),IF((COUNTIFS(T_SelfStock[RM_Code],$A4,T_SelfStock[WeekIndex],1)&gt;0)*(COUNTIFS(T_TTAFStock[RM_Code],$A4,T_TTAFStock[WeekIndex],1)&gt;0)&gt;0,SUMIFS(T_SelfStock[Self_Qty],T_SelfStock[RM_Code],$A4,T_SelfStock[WeekIndex],1)+SUMIFS(T_TTAFStock[TTAF_Qty],T_TTAFStock[RM_Code],$A4,T_TTAFStock[WeekIndex],1),IFERROR(INDEX(T_OpeningStock[Opening_Qty],MATCH($A4,T_OpeningStock[RM_Code],0)),0)+'Grid_Incoming'!B4-'Grid_Requirement'!B4))</f>
        <v/>
      </c>
      <c r="C4">
        <f>IF(COUNTIFS(T_StockCount[RM_Code],$A4,T_StockCount[WeekIndex],2)&gt;0,SUMIFS(T_StockCount[CountedQty],T_StockCount[RM_Code],$A4,T_StockCount[WeekIndex],2),IF((COUNTIFS(T_SelfStock[RM_Code],$A4,T_SelfStock[WeekIndex],2)&gt;0)*(COUNTIFS(T_TTAFStock[RM_Code],$A4,T_TTAFStock[WeekIndex],2)&gt;0)&gt;0,SUMIFS(T_SelfStock[Self_Qty],T_SelfStock[RM_Code],$A4,T_SelfStock[WeekIndex],2)+SUMIFS(T_TTAFStock[TTAF_Qty],T_TTAFStock[RM_Code],$A4,T_TTAFStock[WeekIndex],2),B4+'Grid_Incoming'!C4-'Grid_Requirement'!C4))</f>
        <v/>
      </c>
      <c r="D4">
        <f>IF(COUNTIFS(T_StockCount[RM_Code],$A4,T_StockCount[WeekIndex],3)&gt;0,SUMIFS(T_StockCount[CountedQty],T_StockCount[RM_Code],$A4,T_StockCount[WeekIndex],3),IF((COUNTIFS(T_SelfStock[RM_Code],$A4,T_SelfStock[WeekIndex],3)&gt;0)*(COUNTIFS(T_TTAFStock[RM_Code],$A4,T_TTAFStock[WeekIndex],3)&gt;0)&gt;0,SUMIFS(T_SelfStock[Self_Qty],T_SelfStock[RM_Code],$A4,T_SelfStock[WeekIndex],3)+SUMIFS(T_TTAFStock[TTAF_Qty],T_TTAFStock[RM_Code],$A4,T_TTAFStock[WeekIndex],3),C4+'Grid_Incoming'!D4-'Grid_Requirement'!D4))</f>
        <v/>
      </c>
      <c r="E4">
        <f>IF(COUNTIFS(T_StockCount[RM_Code],$A4,T_StockCount[WeekIndex],4)&gt;0,SUMIFS(T_StockCount[CountedQty],T_StockCount[RM_Code],$A4,T_StockCount[WeekIndex],4),IF((COUNTIFS(T_SelfStock[RM_Code],$A4,T_SelfStock[WeekIndex],4)&gt;0)*(COUNTIFS(T_TTAFStock[RM_Code],$A4,T_TTAFStock[WeekIndex],4)&gt;0)&gt;0,SUMIFS(T_SelfStock[Self_Qty],T_SelfStock[RM_Code],$A4,T_SelfStock[WeekIndex],4)+SUMIFS(T_TTAFStock[TTAF_Qty],T_TTAFStock[RM_Code],$A4,T_TTAFStock[WeekIndex],4),D4+'Grid_Incoming'!E4-'Grid_Requirement'!E4))</f>
        <v/>
      </c>
      <c r="F4">
        <f>IF(COUNTIFS(T_StockCount[RM_Code],$A4,T_StockCount[WeekIndex],5)&gt;0,SUMIFS(T_StockCount[CountedQty],T_StockCount[RM_Code],$A4,T_StockCount[WeekIndex],5),IF((COUNTIFS(T_SelfStock[RM_Code],$A4,T_SelfStock[WeekIndex],5)&gt;0)*(COUNTIFS(T_TTAFStock[RM_Code],$A4,T_TTAFStock[WeekIndex],5)&gt;0)&gt;0,SUMIFS(T_SelfStock[Self_Qty],T_SelfStock[RM_Code],$A4,T_SelfStock[WeekIndex],5)+SUMIFS(T_TTAFStock[TTAF_Qty],T_TTAFStock[RM_Code],$A4,T_TTAFStock[WeekIndex],5),E4+'Grid_Incoming'!F4-'Grid_Requirement'!F4))</f>
        <v/>
      </c>
      <c r="G4">
        <f>IF(COUNTIFS(T_StockCount[RM_Code],$A4,T_StockCount[WeekIndex],6)&gt;0,SUMIFS(T_StockCount[CountedQty],T_StockCount[RM_Code],$A4,T_StockCount[WeekIndex],6),IF((COUNTIFS(T_SelfStock[RM_Code],$A4,T_SelfStock[WeekIndex],6)&gt;0)*(COUNTIFS(T_TTAFStock[RM_Code],$A4,T_TTAFStock[WeekIndex],6)&gt;0)&gt;0,SUMIFS(T_SelfStock[Self_Qty],T_SelfStock[RM_Code],$A4,T_SelfStock[WeekIndex],6)+SUMIFS(T_TTAFStock[TTAF_Qty],T_TTAFStock[RM_Code],$A4,T_TTAFStock[WeekIndex],6),F4+'Grid_Incoming'!G4-'Grid_Requirement'!G4))</f>
        <v/>
      </c>
      <c r="H4">
        <f>IF(COUNTIFS(T_StockCount[RM_Code],$A4,T_StockCount[WeekIndex],7)&gt;0,SUMIFS(T_StockCount[CountedQty],T_StockCount[RM_Code],$A4,T_StockCount[WeekIndex],7),IF((COUNTIFS(T_SelfStock[RM_Code],$A4,T_SelfStock[WeekIndex],7)&gt;0)*(COUNTIFS(T_TTAFStock[RM_Code],$A4,T_TTAFStock[WeekIndex],7)&gt;0)&gt;0,SUMIFS(T_SelfStock[Self_Qty],T_SelfStock[RM_Code],$A4,T_SelfStock[WeekIndex],7)+SUMIFS(T_TTAFStock[TTAF_Qty],T_TTAFStock[RM_Code],$A4,T_TTAFStock[WeekIndex],7),G4+'Grid_Incoming'!H4-'Grid_Requirement'!H4))</f>
        <v/>
      </c>
      <c r="I4">
        <f>IF(COUNTIFS(T_StockCount[RM_Code],$A4,T_StockCount[WeekIndex],8)&gt;0,SUMIFS(T_StockCount[CountedQty],T_StockCount[RM_Code],$A4,T_StockCount[WeekIndex],8),IF((COUNTIFS(T_SelfStock[RM_Code],$A4,T_SelfStock[WeekIndex],8)&gt;0)*(COUNTIFS(T_TTAFStock[RM_Code],$A4,T_TTAFStock[WeekIndex],8)&gt;0)&gt;0,SUMIFS(T_SelfStock[Self_Qty],T_SelfStock[RM_Code],$A4,T_SelfStock[WeekIndex],8)+SUMIFS(T_TTAFStock[TTAF_Qty],T_TTAFStock[RM_Code],$A4,T_TTAFStock[WeekIndex],8),H4+'Grid_Incoming'!I4-'Grid_Requirement'!I4))</f>
        <v/>
      </c>
      <c r="J4">
        <f>IF(COUNTIFS(T_StockCount[RM_Code],$A4,T_StockCount[WeekIndex],9)&gt;0,SUMIFS(T_StockCount[CountedQty],T_StockCount[RM_Code],$A4,T_StockCount[WeekIndex],9),IF((COUNTIFS(T_SelfStock[RM_Code],$A4,T_SelfStock[WeekIndex],9)&gt;0)*(COUNTIFS(T_TTAFStock[RM_Code],$A4,T_TTAFStock[WeekIndex],9)&gt;0)&gt;0,SUMIFS(T_SelfStock[Self_Qty],T_SelfStock[RM_Code],$A4,T_SelfStock[WeekIndex],9)+SUMIFS(T_TTAFStock[TTAF_Qty],T_TTAFStock[RM_Code],$A4,T_TTAFStock[WeekIndex],9),I4+'Grid_Incoming'!J4-'Grid_Requirement'!J4))</f>
        <v/>
      </c>
      <c r="K4">
        <f>IF(COUNTIFS(T_StockCount[RM_Code],$A4,T_StockCount[WeekIndex],10)&gt;0,SUMIFS(T_StockCount[CountedQty],T_StockCount[RM_Code],$A4,T_StockCount[WeekIndex],10),IF((COUNTIFS(T_SelfStock[RM_Code],$A4,T_SelfStock[WeekIndex],10)&gt;0)*(COUNTIFS(T_TTAFStock[RM_Code],$A4,T_TTAFStock[WeekIndex],10)&gt;0)&gt;0,SUMIFS(T_SelfStock[Self_Qty],T_SelfStock[RM_Code],$A4,T_SelfStock[WeekIndex],10)+SUMIFS(T_TTAFStock[TTAF_Qty],T_TTAFStock[RM_Code],$A4,T_TTAFStock[WeekIndex],10),J4+'Grid_Incoming'!K4-'Grid_Requirement'!K4))</f>
        <v/>
      </c>
      <c r="L4">
        <f>IF(COUNTIFS(T_StockCount[RM_Code],$A4,T_StockCount[WeekIndex],11)&gt;0,SUMIFS(T_StockCount[CountedQty],T_StockCount[RM_Code],$A4,T_StockCount[WeekIndex],11),IF((COUNTIFS(T_SelfStock[RM_Code],$A4,T_SelfStock[WeekIndex],11)&gt;0)*(COUNTIFS(T_TTAFStock[RM_Code],$A4,T_TTAFStock[WeekIndex],11)&gt;0)&gt;0,SUMIFS(T_SelfStock[Self_Qty],T_SelfStock[RM_Code],$A4,T_SelfStock[WeekIndex],11)+SUMIFS(T_TTAFStock[TTAF_Qty],T_TTAFStock[RM_Code],$A4,T_TTAFStock[WeekIndex],11),K4+'Grid_Incoming'!L4-'Grid_Requirement'!L4))</f>
        <v/>
      </c>
      <c r="M4">
        <f>IF(COUNTIFS(T_StockCount[RM_Code],$A4,T_StockCount[WeekIndex],12)&gt;0,SUMIFS(T_StockCount[CountedQty],T_StockCount[RM_Code],$A4,T_StockCount[WeekIndex],12),IF((COUNTIFS(T_SelfStock[RM_Code],$A4,T_SelfStock[WeekIndex],12)&gt;0)*(COUNTIFS(T_TTAFStock[RM_Code],$A4,T_TTAFStock[WeekIndex],12)&gt;0)&gt;0,SUMIFS(T_SelfStock[Self_Qty],T_SelfStock[RM_Code],$A4,T_SelfStock[WeekIndex],12)+SUMIFS(T_TTAFStock[TTAF_Qty],T_TTAFStock[RM_Code],$A4,T_TTAFStock[WeekIndex],12),L4+'Grid_Incoming'!M4-'Grid_Requirement'!M4))</f>
        <v/>
      </c>
      <c r="N4">
        <f>IF(COUNTIFS(T_StockCount[RM_Code],$A4,T_StockCount[WeekIndex],13)&gt;0,SUMIFS(T_StockCount[CountedQty],T_StockCount[RM_Code],$A4,T_StockCount[WeekIndex],13),IF((COUNTIFS(T_SelfStock[RM_Code],$A4,T_SelfStock[WeekIndex],13)&gt;0)*(COUNTIFS(T_TTAFStock[RM_Code],$A4,T_TTAFStock[WeekIndex],13)&gt;0)&gt;0,SUMIFS(T_SelfStock[Self_Qty],T_SelfStock[RM_Code],$A4,T_SelfStock[WeekIndex],13)+SUMIFS(T_TTAFStock[TTAF_Qty],T_TTAFStock[RM_Code],$A4,T_TTAFStock[WeekIndex],13),M4+'Grid_Incoming'!N4-'Grid_Requirement'!N4))</f>
        <v/>
      </c>
      <c r="O4">
        <f>IF(COUNTIFS(T_StockCount[RM_Code],$A4,T_StockCount[WeekIndex],14)&gt;0,SUMIFS(T_StockCount[CountedQty],T_StockCount[RM_Code],$A4,T_StockCount[WeekIndex],14),IF((COUNTIFS(T_SelfStock[RM_Code],$A4,T_SelfStock[WeekIndex],14)&gt;0)*(COUNTIFS(T_TTAFStock[RM_Code],$A4,T_TTAFStock[WeekIndex],14)&gt;0)&gt;0,SUMIFS(T_SelfStock[Self_Qty],T_SelfStock[RM_Code],$A4,T_SelfStock[WeekIndex],14)+SUMIFS(T_TTAFStock[TTAF_Qty],T_TTAFStock[RM_Code],$A4,T_TTAFStock[WeekIndex],14),N4+'Grid_Incoming'!O4-'Grid_Requirement'!O4))</f>
        <v/>
      </c>
      <c r="P4">
        <f>IF(COUNTIFS(T_StockCount[RM_Code],$A4,T_StockCount[WeekIndex],15)&gt;0,SUMIFS(T_StockCount[CountedQty],T_StockCount[RM_Code],$A4,T_StockCount[WeekIndex],15),IF((COUNTIFS(T_SelfStock[RM_Code],$A4,T_SelfStock[WeekIndex],15)&gt;0)*(COUNTIFS(T_TTAFStock[RM_Code],$A4,T_TTAFStock[WeekIndex],15)&gt;0)&gt;0,SUMIFS(T_SelfStock[Self_Qty],T_SelfStock[RM_Code],$A4,T_SelfStock[WeekIndex],15)+SUMIFS(T_TTAFStock[TTAF_Qty],T_TTAFStock[RM_Code],$A4,T_TTAFStock[WeekIndex],15),O4+'Grid_Incoming'!P4-'Grid_Requirement'!P4))</f>
        <v/>
      </c>
      <c r="Q4">
        <f>IF(COUNTIFS(T_StockCount[RM_Code],$A4,T_StockCount[WeekIndex],16)&gt;0,SUMIFS(T_StockCount[CountedQty],T_StockCount[RM_Code],$A4,T_StockCount[WeekIndex],16),IF((COUNTIFS(T_SelfStock[RM_Code],$A4,T_SelfStock[WeekIndex],16)&gt;0)*(COUNTIFS(T_TTAFStock[RM_Code],$A4,T_TTAFStock[WeekIndex],16)&gt;0)&gt;0,SUMIFS(T_SelfStock[Self_Qty],T_SelfStock[RM_Code],$A4,T_SelfStock[WeekIndex],16)+SUMIFS(T_TTAFStock[TTAF_Qty],T_TTAFStock[RM_Code],$A4,T_TTAFStock[WeekIndex],16),P4+'Grid_Incoming'!Q4-'Grid_Requirement'!Q4))</f>
        <v/>
      </c>
      <c r="R4">
        <f>IF(COUNTIFS(T_StockCount[RM_Code],$A4,T_StockCount[WeekIndex],17)&gt;0,SUMIFS(T_StockCount[CountedQty],T_StockCount[RM_Code],$A4,T_StockCount[WeekIndex],17),IF((COUNTIFS(T_SelfStock[RM_Code],$A4,T_SelfStock[WeekIndex],17)&gt;0)*(COUNTIFS(T_TTAFStock[RM_Code],$A4,T_TTAFStock[WeekIndex],17)&gt;0)&gt;0,SUMIFS(T_SelfStock[Self_Qty],T_SelfStock[RM_Code],$A4,T_SelfStock[WeekIndex],17)+SUMIFS(T_TTAFStock[TTAF_Qty],T_TTAFStock[RM_Code],$A4,T_TTAFStock[WeekIndex],17),Q4+'Grid_Incoming'!R4-'Grid_Requirement'!R4))</f>
        <v/>
      </c>
      <c r="S4">
        <f>IF(COUNTIFS(T_StockCount[RM_Code],$A4,T_StockCount[WeekIndex],18)&gt;0,SUMIFS(T_StockCount[CountedQty],T_StockCount[RM_Code],$A4,T_StockCount[WeekIndex],18),IF((COUNTIFS(T_SelfStock[RM_Code],$A4,T_SelfStock[WeekIndex],18)&gt;0)*(COUNTIFS(T_TTAFStock[RM_Code],$A4,T_TTAFStock[WeekIndex],18)&gt;0)&gt;0,SUMIFS(T_SelfStock[Self_Qty],T_SelfStock[RM_Code],$A4,T_SelfStock[WeekIndex],18)+SUMIFS(T_TTAFStock[TTAF_Qty],T_TTAFStock[RM_Code],$A4,T_TTAFStock[WeekIndex],18),R4+'Grid_Incoming'!S4-'Grid_Requirement'!S4))</f>
        <v/>
      </c>
      <c r="T4">
        <f>IF(COUNTIFS(T_StockCount[RM_Code],$A4,T_StockCount[WeekIndex],19)&gt;0,SUMIFS(T_StockCount[CountedQty],T_StockCount[RM_Code],$A4,T_StockCount[WeekIndex],19),IF((COUNTIFS(T_SelfStock[RM_Code],$A4,T_SelfStock[WeekIndex],19)&gt;0)*(COUNTIFS(T_TTAFStock[RM_Code],$A4,T_TTAFStock[WeekIndex],19)&gt;0)&gt;0,SUMIFS(T_SelfStock[Self_Qty],T_SelfStock[RM_Code],$A4,T_SelfStock[WeekIndex],19)+SUMIFS(T_TTAFStock[TTAF_Qty],T_TTAFStock[RM_Code],$A4,T_TTAFStock[WeekIndex],19),S4+'Grid_Incoming'!T4-'Grid_Requirement'!T4))</f>
        <v/>
      </c>
      <c r="U4">
        <f>IF(COUNTIFS(T_StockCount[RM_Code],$A4,T_StockCount[WeekIndex],20)&gt;0,SUMIFS(T_StockCount[CountedQty],T_StockCount[RM_Code],$A4,T_StockCount[WeekIndex],20),IF((COUNTIFS(T_SelfStock[RM_Code],$A4,T_SelfStock[WeekIndex],20)&gt;0)*(COUNTIFS(T_TTAFStock[RM_Code],$A4,T_TTAFStock[WeekIndex],20)&gt;0)&gt;0,SUMIFS(T_SelfStock[Self_Qty],T_SelfStock[RM_Code],$A4,T_SelfStock[WeekIndex],20)+SUMIFS(T_TTAFStock[TTAF_Qty],T_TTAFStock[RM_Code],$A4,T_TTAFStock[WeekIndex],20),T4+'Grid_Incoming'!U4-'Grid_Requirement'!U4))</f>
        <v/>
      </c>
      <c r="V4">
        <f>IF(COUNTIFS(T_StockCount[RM_Code],$A4,T_StockCount[WeekIndex],21)&gt;0,SUMIFS(T_StockCount[CountedQty],T_StockCount[RM_Code],$A4,T_StockCount[WeekIndex],21),IF((COUNTIFS(T_SelfStock[RM_Code],$A4,T_SelfStock[WeekIndex],21)&gt;0)*(COUNTIFS(T_TTAFStock[RM_Code],$A4,T_TTAFStock[WeekIndex],21)&gt;0)&gt;0,SUMIFS(T_SelfStock[Self_Qty],T_SelfStock[RM_Code],$A4,T_SelfStock[WeekIndex],21)+SUMIFS(T_TTAFStock[TTAF_Qty],T_TTAFStock[RM_Code],$A4,T_TTAFStock[WeekIndex],21),U4+'Grid_Incoming'!V4-'Grid_Requirement'!V4))</f>
        <v/>
      </c>
      <c r="W4">
        <f>IF(COUNTIFS(T_StockCount[RM_Code],$A4,T_StockCount[WeekIndex],22)&gt;0,SUMIFS(T_StockCount[CountedQty],T_StockCount[RM_Code],$A4,T_StockCount[WeekIndex],22),IF((COUNTIFS(T_SelfStock[RM_Code],$A4,T_SelfStock[WeekIndex],22)&gt;0)*(COUNTIFS(T_TTAFStock[RM_Code],$A4,T_TTAFStock[WeekIndex],22)&gt;0)&gt;0,SUMIFS(T_SelfStock[Self_Qty],T_SelfStock[RM_Code],$A4,T_SelfStock[WeekIndex],22)+SUMIFS(T_TTAFStock[TTAF_Qty],T_TTAFStock[RM_Code],$A4,T_TTAFStock[WeekIndex],22),V4+'Grid_Incoming'!W4-'Grid_Requirement'!W4))</f>
        <v/>
      </c>
      <c r="X4">
        <f>IF(COUNTIFS(T_StockCount[RM_Code],$A4,T_StockCount[WeekIndex],23)&gt;0,SUMIFS(T_StockCount[CountedQty],T_StockCount[RM_Code],$A4,T_StockCount[WeekIndex],23),IF((COUNTIFS(T_SelfStock[RM_Code],$A4,T_SelfStock[WeekIndex],23)&gt;0)*(COUNTIFS(T_TTAFStock[RM_Code],$A4,T_TTAFStock[WeekIndex],23)&gt;0)&gt;0,SUMIFS(T_SelfStock[Self_Qty],T_SelfStock[RM_Code],$A4,T_SelfStock[WeekIndex],23)+SUMIFS(T_TTAFStock[TTAF_Qty],T_TTAFStock[RM_Code],$A4,T_TTAFStock[WeekIndex],23),W4+'Grid_Incoming'!X4-'Grid_Requirement'!X4))</f>
        <v/>
      </c>
      <c r="Y4">
        <f>IF(COUNTIFS(T_StockCount[RM_Code],$A4,T_StockCount[WeekIndex],24)&gt;0,SUMIFS(T_StockCount[CountedQty],T_StockCount[RM_Code],$A4,T_StockCount[WeekIndex],24),IF((COUNTIFS(T_SelfStock[RM_Code],$A4,T_SelfStock[WeekIndex],24)&gt;0)*(COUNTIFS(T_TTAFStock[RM_Code],$A4,T_TTAFStock[WeekIndex],24)&gt;0)&gt;0,SUMIFS(T_SelfStock[Self_Qty],T_SelfStock[RM_Code],$A4,T_SelfStock[WeekIndex],24)+SUMIFS(T_TTAFStock[TTAF_Qty],T_TTAFStock[RM_Code],$A4,T_TTAFStock[WeekIndex],24),X4+'Grid_Incoming'!Y4-'Grid_Requirement'!Y4))</f>
        <v/>
      </c>
      <c r="Z4">
        <f>IF(COUNTIFS(T_StockCount[RM_Code],$A4,T_StockCount[WeekIndex],25)&gt;0,SUMIFS(T_StockCount[CountedQty],T_StockCount[RM_Code],$A4,T_StockCount[WeekIndex],25),IF((COUNTIFS(T_SelfStock[RM_Code],$A4,T_SelfStock[WeekIndex],25)&gt;0)*(COUNTIFS(T_TTAFStock[RM_Code],$A4,T_TTAFStock[WeekIndex],25)&gt;0)&gt;0,SUMIFS(T_SelfStock[Self_Qty],T_SelfStock[RM_Code],$A4,T_SelfStock[WeekIndex],25)+SUMIFS(T_TTAFStock[TTAF_Qty],T_TTAFStock[RM_Code],$A4,T_TTAFStock[WeekIndex],25),Y4+'Grid_Incoming'!Z4-'Grid_Requirement'!Z4))</f>
        <v/>
      </c>
      <c r="AA4">
        <f>IF(COUNTIFS(T_StockCount[RM_Code],$A4,T_StockCount[WeekIndex],26)&gt;0,SUMIFS(T_StockCount[CountedQty],T_StockCount[RM_Code],$A4,T_StockCount[WeekIndex],26),IF((COUNTIFS(T_SelfStock[RM_Code],$A4,T_SelfStock[WeekIndex],26)&gt;0)*(COUNTIFS(T_TTAFStock[RM_Code],$A4,T_TTAFStock[WeekIndex],26)&gt;0)&gt;0,SUMIFS(T_SelfStock[Self_Qty],T_SelfStock[RM_Code],$A4,T_SelfStock[WeekIndex],26)+SUMIFS(T_TTAFStock[TTAF_Qty],T_TTAFStock[RM_Code],$A4,T_TTAFStock[WeekIndex],26),Z4+'Grid_Incoming'!AA4-'Grid_Requirement'!AA4))</f>
        <v/>
      </c>
      <c r="AB4">
        <f>IF(COUNTIFS(T_StockCount[RM_Code],$A4,T_StockCount[WeekIndex],27)&gt;0,SUMIFS(T_StockCount[CountedQty],T_StockCount[RM_Code],$A4,T_StockCount[WeekIndex],27),IF((COUNTIFS(T_SelfStock[RM_Code],$A4,T_SelfStock[WeekIndex],27)&gt;0)*(COUNTIFS(T_TTAFStock[RM_Code],$A4,T_TTAFStock[WeekIndex],27)&gt;0)&gt;0,SUMIFS(T_SelfStock[Self_Qty],T_SelfStock[RM_Code],$A4,T_SelfStock[WeekIndex],27)+SUMIFS(T_TTAFStock[TTAF_Qty],T_TTAFStock[RM_Code],$A4,T_TTAFStock[WeekIndex],27),AA4+'Grid_Incoming'!AB4-'Grid_Requirement'!AB4))</f>
        <v/>
      </c>
      <c r="AC4">
        <f>IF(COUNTIFS(T_StockCount[RM_Code],$A4,T_StockCount[WeekIndex],28)&gt;0,SUMIFS(T_StockCount[CountedQty],T_StockCount[RM_Code],$A4,T_StockCount[WeekIndex],28),IF((COUNTIFS(T_SelfStock[RM_Code],$A4,T_SelfStock[WeekIndex],28)&gt;0)*(COUNTIFS(T_TTAFStock[RM_Code],$A4,T_TTAFStock[WeekIndex],28)&gt;0)&gt;0,SUMIFS(T_SelfStock[Self_Qty],T_SelfStock[RM_Code],$A4,T_SelfStock[WeekIndex],28)+SUMIFS(T_TTAFStock[TTAF_Qty],T_TTAFStock[RM_Code],$A4,T_TTAFStock[WeekIndex],28),AB4+'Grid_Incoming'!AC4-'Grid_Requirement'!AC4))</f>
        <v/>
      </c>
      <c r="AD4">
        <f>IF(COUNTIFS(T_StockCount[RM_Code],$A4,T_StockCount[WeekIndex],29)&gt;0,SUMIFS(T_StockCount[CountedQty],T_StockCount[RM_Code],$A4,T_StockCount[WeekIndex],29),IF((COUNTIFS(T_SelfStock[RM_Code],$A4,T_SelfStock[WeekIndex],29)&gt;0)*(COUNTIFS(T_TTAFStock[RM_Code],$A4,T_TTAFStock[WeekIndex],29)&gt;0)&gt;0,SUMIFS(T_SelfStock[Self_Qty],T_SelfStock[RM_Code],$A4,T_SelfStock[WeekIndex],29)+SUMIFS(T_TTAFStock[TTAF_Qty],T_TTAFStock[RM_Code],$A4,T_TTAFStock[WeekIndex],29),AC4+'Grid_Incoming'!AD4-'Grid_Requirement'!AD4))</f>
        <v/>
      </c>
      <c r="AE4">
        <f>IF(COUNTIFS(T_StockCount[RM_Code],$A4,T_StockCount[WeekIndex],30)&gt;0,SUMIFS(T_StockCount[CountedQty],T_StockCount[RM_Code],$A4,T_StockCount[WeekIndex],30),IF((COUNTIFS(T_SelfStock[RM_Code],$A4,T_SelfStock[WeekIndex],30)&gt;0)*(COUNTIFS(T_TTAFStock[RM_Code],$A4,T_TTAFStock[WeekIndex],30)&gt;0)&gt;0,SUMIFS(T_SelfStock[Self_Qty],T_SelfStock[RM_Code],$A4,T_SelfStock[WeekIndex],30)+SUMIFS(T_TTAFStock[TTAF_Qty],T_TTAFStock[RM_Code],$A4,T_TTAFStock[WeekIndex],30),AD4+'Grid_Incoming'!AE4-'Grid_Requirement'!AE4))</f>
        <v/>
      </c>
      <c r="AF4">
        <f>IF(COUNTIFS(T_StockCount[RM_Code],$A4,T_StockCount[WeekIndex],31)&gt;0,SUMIFS(T_StockCount[CountedQty],T_StockCount[RM_Code],$A4,T_StockCount[WeekIndex],31),IF((COUNTIFS(T_SelfStock[RM_Code],$A4,T_SelfStock[WeekIndex],31)&gt;0)*(COUNTIFS(T_TTAFStock[RM_Code],$A4,T_TTAFStock[WeekIndex],31)&gt;0)&gt;0,SUMIFS(T_SelfStock[Self_Qty],T_SelfStock[RM_Code],$A4,T_SelfStock[WeekIndex],31)+SUMIFS(T_TTAFStock[TTAF_Qty],T_TTAFStock[RM_Code],$A4,T_TTAFStock[WeekIndex],31),AE4+'Grid_Incoming'!AF4-'Grid_Requirement'!AF4))</f>
        <v/>
      </c>
      <c r="AG4">
        <f>IF(COUNTIFS(T_StockCount[RM_Code],$A4,T_StockCount[WeekIndex],32)&gt;0,SUMIFS(T_StockCount[CountedQty],T_StockCount[RM_Code],$A4,T_StockCount[WeekIndex],32),IF((COUNTIFS(T_SelfStock[RM_Code],$A4,T_SelfStock[WeekIndex],32)&gt;0)*(COUNTIFS(T_TTAFStock[RM_Code],$A4,T_TTAFStock[WeekIndex],32)&gt;0)&gt;0,SUMIFS(T_SelfStock[Self_Qty],T_SelfStock[RM_Code],$A4,T_SelfStock[WeekIndex],32)+SUMIFS(T_TTAFStock[TTAF_Qty],T_TTAFStock[RM_Code],$A4,T_TTAFStock[WeekIndex],32),AF4+'Grid_Incoming'!AG4-'Grid_Requirement'!AG4))</f>
        <v/>
      </c>
      <c r="AH4">
        <f>IF(COUNTIFS(T_StockCount[RM_Code],$A4,T_StockCount[WeekIndex],33)&gt;0,SUMIFS(T_StockCount[CountedQty],T_StockCount[RM_Code],$A4,T_StockCount[WeekIndex],33),IF((COUNTIFS(T_SelfStock[RM_Code],$A4,T_SelfStock[WeekIndex],33)&gt;0)*(COUNTIFS(T_TTAFStock[RM_Code],$A4,T_TTAFStock[WeekIndex],33)&gt;0)&gt;0,SUMIFS(T_SelfStock[Self_Qty],T_SelfStock[RM_Code],$A4,T_SelfStock[WeekIndex],33)+SUMIFS(T_TTAFStock[TTAF_Qty],T_TTAFStock[RM_Code],$A4,T_TTAFStock[WeekIndex],33),AG4+'Grid_Incoming'!AH4-'Grid_Requirement'!AH4))</f>
        <v/>
      </c>
      <c r="AI4">
        <f>IF(COUNTIFS(T_StockCount[RM_Code],$A4,T_StockCount[WeekIndex],34)&gt;0,SUMIFS(T_StockCount[CountedQty],T_StockCount[RM_Code],$A4,T_StockCount[WeekIndex],34),IF((COUNTIFS(T_SelfStock[RM_Code],$A4,T_SelfStock[WeekIndex],34)&gt;0)*(COUNTIFS(T_TTAFStock[RM_Code],$A4,T_TTAFStock[WeekIndex],34)&gt;0)&gt;0,SUMIFS(T_SelfStock[Self_Qty],T_SelfStock[RM_Code],$A4,T_SelfStock[WeekIndex],34)+SUMIFS(T_TTAFStock[TTAF_Qty],T_TTAFStock[RM_Code],$A4,T_TTAFStock[WeekIndex],34),AH4+'Grid_Incoming'!AI4-'Grid_Requirement'!AI4))</f>
        <v/>
      </c>
      <c r="AJ4">
        <f>IF(COUNTIFS(T_StockCount[RM_Code],$A4,T_StockCount[WeekIndex],35)&gt;0,SUMIFS(T_StockCount[CountedQty],T_StockCount[RM_Code],$A4,T_StockCount[WeekIndex],35),IF((COUNTIFS(T_SelfStock[RM_Code],$A4,T_SelfStock[WeekIndex],35)&gt;0)*(COUNTIFS(T_TTAFStock[RM_Code],$A4,T_TTAFStock[WeekIndex],35)&gt;0)&gt;0,SUMIFS(T_SelfStock[Self_Qty],T_SelfStock[RM_Code],$A4,T_SelfStock[WeekIndex],35)+SUMIFS(T_TTAFStock[TTAF_Qty],T_TTAFStock[RM_Code],$A4,T_TTAFStock[WeekIndex],35),AI4+'Grid_Incoming'!AJ4-'Grid_Requirement'!AJ4))</f>
        <v/>
      </c>
      <c r="AK4">
        <f>IF(COUNTIFS(T_StockCount[RM_Code],$A4,T_StockCount[WeekIndex],36)&gt;0,SUMIFS(T_StockCount[CountedQty],T_StockCount[RM_Code],$A4,T_StockCount[WeekIndex],36),IF((COUNTIFS(T_SelfStock[RM_Code],$A4,T_SelfStock[WeekIndex],36)&gt;0)*(COUNTIFS(T_TTAFStock[RM_Code],$A4,T_TTAFStock[WeekIndex],36)&gt;0)&gt;0,SUMIFS(T_SelfStock[Self_Qty],T_SelfStock[RM_Code],$A4,T_SelfStock[WeekIndex],36)+SUMIFS(T_TTAFStock[TTAF_Qty],T_TTAFStock[RM_Code],$A4,T_TTAFStock[WeekIndex],36),AJ4+'Grid_Incoming'!AK4-'Grid_Requirement'!AK4))</f>
        <v/>
      </c>
      <c r="AL4">
        <f>IF(COUNTIFS(T_StockCount[RM_Code],$A4,T_StockCount[WeekIndex],37)&gt;0,SUMIFS(T_StockCount[CountedQty],T_StockCount[RM_Code],$A4,T_StockCount[WeekIndex],37),IF((COUNTIFS(T_SelfStock[RM_Code],$A4,T_SelfStock[WeekIndex],37)&gt;0)*(COUNTIFS(T_TTAFStock[RM_Code],$A4,T_TTAFStock[WeekIndex],37)&gt;0)&gt;0,SUMIFS(T_SelfStock[Self_Qty],T_SelfStock[RM_Code],$A4,T_SelfStock[WeekIndex],37)+SUMIFS(T_TTAFStock[TTAF_Qty],T_TTAFStock[RM_Code],$A4,T_TTAFStock[WeekIndex],37),AK4+'Grid_Incoming'!AL4-'Grid_Requirement'!AL4))</f>
        <v/>
      </c>
      <c r="AM4">
        <f>IF(COUNTIFS(T_StockCount[RM_Code],$A4,T_StockCount[WeekIndex],38)&gt;0,SUMIFS(T_StockCount[CountedQty],T_StockCount[RM_Code],$A4,T_StockCount[WeekIndex],38),IF((COUNTIFS(T_SelfStock[RM_Code],$A4,T_SelfStock[WeekIndex],38)&gt;0)*(COUNTIFS(T_TTAFStock[RM_Code],$A4,T_TTAFStock[WeekIndex],38)&gt;0)&gt;0,SUMIFS(T_SelfStock[Self_Qty],T_SelfStock[RM_Code],$A4,T_SelfStock[WeekIndex],38)+SUMIFS(T_TTAFStock[TTAF_Qty],T_TTAFStock[RM_Code],$A4,T_TTAFStock[WeekIndex],38),AL4+'Grid_Incoming'!AM4-'Grid_Requirement'!AM4))</f>
        <v/>
      </c>
      <c r="AN4">
        <f>IF(COUNTIFS(T_StockCount[RM_Code],$A4,T_StockCount[WeekIndex],39)&gt;0,SUMIFS(T_StockCount[CountedQty],T_StockCount[RM_Code],$A4,T_StockCount[WeekIndex],39),IF((COUNTIFS(T_SelfStock[RM_Code],$A4,T_SelfStock[WeekIndex],39)&gt;0)*(COUNTIFS(T_TTAFStock[RM_Code],$A4,T_TTAFStock[WeekIndex],39)&gt;0)&gt;0,SUMIFS(T_SelfStock[Self_Qty],T_SelfStock[RM_Code],$A4,T_SelfStock[WeekIndex],39)+SUMIFS(T_TTAFStock[TTAF_Qty],T_TTAFStock[RM_Code],$A4,T_TTAFStock[WeekIndex],39),AM4+'Grid_Incoming'!AN4-'Grid_Requirement'!AN4))</f>
        <v/>
      </c>
      <c r="AO4">
        <f>IF(COUNTIFS(T_StockCount[RM_Code],$A4,T_StockCount[WeekIndex],40)&gt;0,SUMIFS(T_StockCount[CountedQty],T_StockCount[RM_Code],$A4,T_StockCount[WeekIndex],40),IF((COUNTIFS(T_SelfStock[RM_Code],$A4,T_SelfStock[WeekIndex],40)&gt;0)*(COUNTIFS(T_TTAFStock[RM_Code],$A4,T_TTAFStock[WeekIndex],40)&gt;0)&gt;0,SUMIFS(T_SelfStock[Self_Qty],T_SelfStock[RM_Code],$A4,T_SelfStock[WeekIndex],40)+SUMIFS(T_TTAFStock[TTAF_Qty],T_TTAFStock[RM_Code],$A4,T_TTAFStock[WeekIndex],40),AN4+'Grid_Incoming'!AO4-'Grid_Requirement'!AO4))</f>
        <v/>
      </c>
      <c r="AP4">
        <f>IF(COUNTIFS(T_StockCount[RM_Code],$A4,T_StockCount[WeekIndex],41)&gt;0,SUMIFS(T_StockCount[CountedQty],T_StockCount[RM_Code],$A4,T_StockCount[WeekIndex],41),IF((COUNTIFS(T_SelfStock[RM_Code],$A4,T_SelfStock[WeekIndex],41)&gt;0)*(COUNTIFS(T_TTAFStock[RM_Code],$A4,T_TTAFStock[WeekIndex],41)&gt;0)&gt;0,SUMIFS(T_SelfStock[Self_Qty],T_SelfStock[RM_Code],$A4,T_SelfStock[WeekIndex],41)+SUMIFS(T_TTAFStock[TTAF_Qty],T_TTAFStock[RM_Code],$A4,T_TTAFStock[WeekIndex],41),AO4+'Grid_Incoming'!AP4-'Grid_Requirement'!AP4))</f>
        <v/>
      </c>
      <c r="AQ4">
        <f>IF(COUNTIFS(T_StockCount[RM_Code],$A4,T_StockCount[WeekIndex],42)&gt;0,SUMIFS(T_StockCount[CountedQty],T_StockCount[RM_Code],$A4,T_StockCount[WeekIndex],42),IF((COUNTIFS(T_SelfStock[RM_Code],$A4,T_SelfStock[WeekIndex],42)&gt;0)*(COUNTIFS(T_TTAFStock[RM_Code],$A4,T_TTAFStock[WeekIndex],42)&gt;0)&gt;0,SUMIFS(T_SelfStock[Self_Qty],T_SelfStock[RM_Code],$A4,T_SelfStock[WeekIndex],42)+SUMIFS(T_TTAFStock[TTAF_Qty],T_TTAFStock[RM_Code],$A4,T_TTAFStock[WeekIndex],42),AP4+'Grid_Incoming'!AQ4-'Grid_Requirement'!AQ4))</f>
        <v/>
      </c>
      <c r="AR4">
        <f>IF(COUNTIFS(T_StockCount[RM_Code],$A4,T_StockCount[WeekIndex],43)&gt;0,SUMIFS(T_StockCount[CountedQty],T_StockCount[RM_Code],$A4,T_StockCount[WeekIndex],43),IF((COUNTIFS(T_SelfStock[RM_Code],$A4,T_SelfStock[WeekIndex],43)&gt;0)*(COUNTIFS(T_TTAFStock[RM_Code],$A4,T_TTAFStock[WeekIndex],43)&gt;0)&gt;0,SUMIFS(T_SelfStock[Self_Qty],T_SelfStock[RM_Code],$A4,T_SelfStock[WeekIndex],43)+SUMIFS(T_TTAFStock[TTAF_Qty],T_TTAFStock[RM_Code],$A4,T_TTAFStock[WeekIndex],43),AQ4+'Grid_Incoming'!AR4-'Grid_Requirement'!AR4))</f>
        <v/>
      </c>
      <c r="AS4">
        <f>IF(COUNTIFS(T_StockCount[RM_Code],$A4,T_StockCount[WeekIndex],44)&gt;0,SUMIFS(T_StockCount[CountedQty],T_StockCount[RM_Code],$A4,T_StockCount[WeekIndex],44),IF((COUNTIFS(T_SelfStock[RM_Code],$A4,T_SelfStock[WeekIndex],44)&gt;0)*(COUNTIFS(T_TTAFStock[RM_Code],$A4,T_TTAFStock[WeekIndex],44)&gt;0)&gt;0,SUMIFS(T_SelfStock[Self_Qty],T_SelfStock[RM_Code],$A4,T_SelfStock[WeekIndex],44)+SUMIFS(T_TTAFStock[TTAF_Qty],T_TTAFStock[RM_Code],$A4,T_TTAFStock[WeekIndex],44),AR4+'Grid_Incoming'!AS4-'Grid_Requirement'!AS4))</f>
        <v/>
      </c>
      <c r="AT4">
        <f>IF(COUNTIFS(T_StockCount[RM_Code],$A4,T_StockCount[WeekIndex],45)&gt;0,SUMIFS(T_StockCount[CountedQty],T_StockCount[RM_Code],$A4,T_StockCount[WeekIndex],45),IF((COUNTIFS(T_SelfStock[RM_Code],$A4,T_SelfStock[WeekIndex],45)&gt;0)*(COUNTIFS(T_TTAFStock[RM_Code],$A4,T_TTAFStock[WeekIndex],45)&gt;0)&gt;0,SUMIFS(T_SelfStock[Self_Qty],T_SelfStock[RM_Code],$A4,T_SelfStock[WeekIndex],45)+SUMIFS(T_TTAFStock[TTAF_Qty],T_TTAFStock[RM_Code],$A4,T_TTAFStock[WeekIndex],45),AS4+'Grid_Incoming'!AT4-'Grid_Requirement'!AT4))</f>
        <v/>
      </c>
      <c r="AU4">
        <f>IF(COUNTIFS(T_StockCount[RM_Code],$A4,T_StockCount[WeekIndex],46)&gt;0,SUMIFS(T_StockCount[CountedQty],T_StockCount[RM_Code],$A4,T_StockCount[WeekIndex],46),IF((COUNTIFS(T_SelfStock[RM_Code],$A4,T_SelfStock[WeekIndex],46)&gt;0)*(COUNTIFS(T_TTAFStock[RM_Code],$A4,T_TTAFStock[WeekIndex],46)&gt;0)&gt;0,SUMIFS(T_SelfStock[Self_Qty],T_SelfStock[RM_Code],$A4,T_SelfStock[WeekIndex],46)+SUMIFS(T_TTAFStock[TTAF_Qty],T_TTAFStock[RM_Code],$A4,T_TTAFStock[WeekIndex],46),AT4+'Grid_Incoming'!AU4-'Grid_Requirement'!AU4))</f>
        <v/>
      </c>
      <c r="AV4">
        <f>IF(COUNTIFS(T_StockCount[RM_Code],$A4,T_StockCount[WeekIndex],47)&gt;0,SUMIFS(T_StockCount[CountedQty],T_StockCount[RM_Code],$A4,T_StockCount[WeekIndex],47),IF((COUNTIFS(T_SelfStock[RM_Code],$A4,T_SelfStock[WeekIndex],47)&gt;0)*(COUNTIFS(T_TTAFStock[RM_Code],$A4,T_TTAFStock[WeekIndex],47)&gt;0)&gt;0,SUMIFS(T_SelfStock[Self_Qty],T_SelfStock[RM_Code],$A4,T_SelfStock[WeekIndex],47)+SUMIFS(T_TTAFStock[TTAF_Qty],T_TTAFStock[RM_Code],$A4,T_TTAFStock[WeekIndex],47),AU4+'Grid_Incoming'!AV4-'Grid_Requirement'!AV4))</f>
        <v/>
      </c>
      <c r="AW4">
        <f>IF(COUNTIFS(T_StockCount[RM_Code],$A4,T_StockCount[WeekIndex],48)&gt;0,SUMIFS(T_StockCount[CountedQty],T_StockCount[RM_Code],$A4,T_StockCount[WeekIndex],48),IF((COUNTIFS(T_SelfStock[RM_Code],$A4,T_SelfStock[WeekIndex],48)&gt;0)*(COUNTIFS(T_TTAFStock[RM_Code],$A4,T_TTAFStock[WeekIndex],48)&gt;0)&gt;0,SUMIFS(T_SelfStock[Self_Qty],T_SelfStock[RM_Code],$A4,T_SelfStock[WeekIndex],48)+SUMIFS(T_TTAFStock[TTAF_Qty],T_TTAFStock[RM_Code],$A4,T_TTAFStock[WeekIndex],48),AV4+'Grid_Incoming'!AW4-'Grid_Requirement'!AW4))</f>
        <v/>
      </c>
      <c r="AX4">
        <f>IF(COUNTIFS(T_StockCount[RM_Code],$A4,T_StockCount[WeekIndex],49)&gt;0,SUMIFS(T_StockCount[CountedQty],T_StockCount[RM_Code],$A4,T_StockCount[WeekIndex],49),IF((COUNTIFS(T_SelfStock[RM_Code],$A4,T_SelfStock[WeekIndex],49)&gt;0)*(COUNTIFS(T_TTAFStock[RM_Code],$A4,T_TTAFStock[WeekIndex],49)&gt;0)&gt;0,SUMIFS(T_SelfStock[Self_Qty],T_SelfStock[RM_Code],$A4,T_SelfStock[WeekIndex],49)+SUMIFS(T_TTAFStock[TTAF_Qty],T_TTAFStock[RM_Code],$A4,T_TTAFStock[WeekIndex],49),AW4+'Grid_Incoming'!AX4-'Grid_Requirement'!AX4))</f>
        <v/>
      </c>
      <c r="AY4">
        <f>IF(COUNTIFS(T_StockCount[RM_Code],$A4,T_StockCount[WeekIndex],50)&gt;0,SUMIFS(T_StockCount[CountedQty],T_StockCount[RM_Code],$A4,T_StockCount[WeekIndex],50),IF((COUNTIFS(T_SelfStock[RM_Code],$A4,T_SelfStock[WeekIndex],50)&gt;0)*(COUNTIFS(T_TTAFStock[RM_Code],$A4,T_TTAFStock[WeekIndex],50)&gt;0)&gt;0,SUMIFS(T_SelfStock[Self_Qty],T_SelfStock[RM_Code],$A4,T_SelfStock[WeekIndex],50)+SUMIFS(T_TTAFStock[TTAF_Qty],T_TTAFStock[RM_Code],$A4,T_TTAFStock[WeekIndex],50),AX4+'Grid_Incoming'!AY4-'Grid_Requirement'!AY4))</f>
        <v/>
      </c>
      <c r="AZ4">
        <f>IF(COUNTIFS(T_StockCount[RM_Code],$A4,T_StockCount[WeekIndex],51)&gt;0,SUMIFS(T_StockCount[CountedQty],T_StockCount[RM_Code],$A4,T_StockCount[WeekIndex],51),IF((COUNTIFS(T_SelfStock[RM_Code],$A4,T_SelfStock[WeekIndex],51)&gt;0)*(COUNTIFS(T_TTAFStock[RM_Code],$A4,T_TTAFStock[WeekIndex],51)&gt;0)&gt;0,SUMIFS(T_SelfStock[Self_Qty],T_SelfStock[RM_Code],$A4,T_SelfStock[WeekIndex],51)+SUMIFS(T_TTAFStock[TTAF_Qty],T_TTAFStock[RM_Code],$A4,T_TTAFStock[WeekIndex],51),AY4+'Grid_Incoming'!AZ4-'Grid_Requirement'!AZ4))</f>
        <v/>
      </c>
      <c r="BA4">
        <f>IF(COUNTIFS(T_StockCount[RM_Code],$A4,T_StockCount[WeekIndex],52)&gt;0,SUMIFS(T_StockCount[CountedQty],T_StockCount[RM_Code],$A4,T_StockCount[WeekIndex],52),IF((COUNTIFS(T_SelfStock[RM_Code],$A4,T_SelfStock[WeekIndex],52)&gt;0)*(COUNTIFS(T_TTAFStock[RM_Code],$A4,T_TTAFStock[WeekIndex],52)&gt;0)&gt;0,SUMIFS(T_SelfStock[Self_Qty],T_SelfStock[RM_Code],$A4,T_SelfStock[WeekIndex],52)+SUMIFS(T_TTAFStock[TTAF_Qty],T_TTAFStock[RM_Code],$A4,T_TTAFStock[WeekIndex],52),AZ4+'Grid_Incoming'!BA4-'Grid_Requirement'!BA4))</f>
        <v/>
      </c>
      <c r="BB4">
        <f>IF(COUNTIFS(T_StockCount[RM_Code],$A4,T_StockCount[WeekIndex],53)&gt;0,SUMIFS(T_StockCount[CountedQty],T_StockCount[RM_Code],$A4,T_StockCount[WeekIndex],53),IF((COUNTIFS(T_SelfStock[RM_Code],$A4,T_SelfStock[WeekIndex],53)&gt;0)*(COUNTIFS(T_TTAFStock[RM_Code],$A4,T_TTAFStock[WeekIndex],53)&gt;0)&gt;0,SUMIFS(T_SelfStock[Self_Qty],T_SelfStock[RM_Code],$A4,T_SelfStock[WeekIndex],53)+SUMIFS(T_TTAFStock[TTAF_Qty],T_TTAFStock[RM_Code],$A4,T_TTAFStock[WeekIndex],53),BA4+'Grid_Incoming'!BB4-'Grid_Requirement'!BB4))</f>
        <v/>
      </c>
      <c r="BC4">
        <f>IF(COUNTIFS(T_StockCount[RM_Code],$A4,T_StockCount[WeekIndex],54)&gt;0,SUMIFS(T_StockCount[CountedQty],T_StockCount[RM_Code],$A4,T_StockCount[WeekIndex],54),IF((COUNTIFS(T_SelfStock[RM_Code],$A4,T_SelfStock[WeekIndex],54)&gt;0)*(COUNTIFS(T_TTAFStock[RM_Code],$A4,T_TTAFStock[WeekIndex],54)&gt;0)&gt;0,SUMIFS(T_SelfStock[Self_Qty],T_SelfStock[RM_Code],$A4,T_SelfStock[WeekIndex],54)+SUMIFS(T_TTAFStock[TTAF_Qty],T_TTAFStock[RM_Code],$A4,T_TTAFStock[WeekIndex],54),BB4+'Grid_Incoming'!BC4-'Grid_Requirement'!BC4))</f>
        <v/>
      </c>
      <c r="BD4">
        <f>IF(COUNTIFS(T_StockCount[RM_Code],$A4,T_StockCount[WeekIndex],55)&gt;0,SUMIFS(T_StockCount[CountedQty],T_StockCount[RM_Code],$A4,T_StockCount[WeekIndex],55),IF((COUNTIFS(T_SelfStock[RM_Code],$A4,T_SelfStock[WeekIndex],55)&gt;0)*(COUNTIFS(T_TTAFStock[RM_Code],$A4,T_TTAFStock[WeekIndex],55)&gt;0)&gt;0,SUMIFS(T_SelfStock[Self_Qty],T_SelfStock[RM_Code],$A4,T_SelfStock[WeekIndex],55)+SUMIFS(T_TTAFStock[TTAF_Qty],T_TTAFStock[RM_Code],$A4,T_TTAFStock[WeekIndex],55),BC4+'Grid_Incoming'!BD4-'Grid_Requirement'!BD4))</f>
        <v/>
      </c>
      <c r="BE4">
        <f>IF(COUNTIFS(T_StockCount[RM_Code],$A4,T_StockCount[WeekIndex],56)&gt;0,SUMIFS(T_StockCount[CountedQty],T_StockCount[RM_Code],$A4,T_StockCount[WeekIndex],56),IF((COUNTIFS(T_SelfStock[RM_Code],$A4,T_SelfStock[WeekIndex],56)&gt;0)*(COUNTIFS(T_TTAFStock[RM_Code],$A4,T_TTAFStock[WeekIndex],56)&gt;0)&gt;0,SUMIFS(T_SelfStock[Self_Qty],T_SelfStock[RM_Code],$A4,T_SelfStock[WeekIndex],56)+SUMIFS(T_TTAFStock[TTAF_Qty],T_TTAFStock[RM_Code],$A4,T_TTAFStock[WeekIndex],56),BD4+'Grid_Incoming'!BE4-'Grid_Requirement'!BE4))</f>
        <v/>
      </c>
      <c r="BF4">
        <f>IF(COUNTIFS(T_StockCount[RM_Code],$A4,T_StockCount[WeekIndex],57)&gt;0,SUMIFS(T_StockCount[CountedQty],T_StockCount[RM_Code],$A4,T_StockCount[WeekIndex],57),IF((COUNTIFS(T_SelfStock[RM_Code],$A4,T_SelfStock[WeekIndex],57)&gt;0)*(COUNTIFS(T_TTAFStock[RM_Code],$A4,T_TTAFStock[WeekIndex],57)&gt;0)&gt;0,SUMIFS(T_SelfStock[Self_Qty],T_SelfStock[RM_Code],$A4,T_SelfStock[WeekIndex],57)+SUMIFS(T_TTAFStock[TTAF_Qty],T_TTAFStock[RM_Code],$A4,T_TTAFStock[WeekIndex],57),BE4+'Grid_Incoming'!BF4-'Grid_Requirement'!BF4))</f>
        <v/>
      </c>
      <c r="BG4">
        <f>IF(COUNTIFS(T_StockCount[RM_Code],$A4,T_StockCount[WeekIndex],58)&gt;0,SUMIFS(T_StockCount[CountedQty],T_StockCount[RM_Code],$A4,T_StockCount[WeekIndex],58),IF((COUNTIFS(T_SelfStock[RM_Code],$A4,T_SelfStock[WeekIndex],58)&gt;0)*(COUNTIFS(T_TTAFStock[RM_Code],$A4,T_TTAFStock[WeekIndex],58)&gt;0)&gt;0,SUMIFS(T_SelfStock[Self_Qty],T_SelfStock[RM_Code],$A4,T_SelfStock[WeekIndex],58)+SUMIFS(T_TTAFStock[TTAF_Qty],T_TTAFStock[RM_Code],$A4,T_TTAFStock[WeekIndex],58),BF4+'Grid_Incoming'!BG4-'Grid_Requirement'!BG4))</f>
        <v/>
      </c>
      <c r="BH4">
        <f>IF(COUNTIFS(T_StockCount[RM_Code],$A4,T_StockCount[WeekIndex],59)&gt;0,SUMIFS(T_StockCount[CountedQty],T_StockCount[RM_Code],$A4,T_StockCount[WeekIndex],59),IF((COUNTIFS(T_SelfStock[RM_Code],$A4,T_SelfStock[WeekIndex],59)&gt;0)*(COUNTIFS(T_TTAFStock[RM_Code],$A4,T_TTAFStock[WeekIndex],59)&gt;0)&gt;0,SUMIFS(T_SelfStock[Self_Qty],T_SelfStock[RM_Code],$A4,T_SelfStock[WeekIndex],59)+SUMIFS(T_TTAFStock[TTAF_Qty],T_TTAFStock[RM_Code],$A4,T_TTAFStock[WeekIndex],59),BG4+'Grid_Incoming'!BH4-'Grid_Requirement'!BH4))</f>
        <v/>
      </c>
      <c r="BI4">
        <f>IF(COUNTIFS(T_StockCount[RM_Code],$A4,T_StockCount[WeekIndex],60)&gt;0,SUMIFS(T_StockCount[CountedQty],T_StockCount[RM_Code],$A4,T_StockCount[WeekIndex],60),IF((COUNTIFS(T_SelfStock[RM_Code],$A4,T_SelfStock[WeekIndex],60)&gt;0)*(COUNTIFS(T_TTAFStock[RM_Code],$A4,T_TTAFStock[WeekIndex],60)&gt;0)&gt;0,SUMIFS(T_SelfStock[Self_Qty],T_SelfStock[RM_Code],$A4,T_SelfStock[WeekIndex],60)+SUMIFS(T_TTAFStock[TTAF_Qty],T_TTAFStock[RM_Code],$A4,T_TTAFStock[WeekIndex],60),BH4+'Grid_Incoming'!BI4-'Grid_Requirement'!BI4))</f>
        <v/>
      </c>
      <c r="BJ4">
        <f>IF(COUNTIFS(T_StockCount[RM_Code],$A4,T_StockCount[WeekIndex],61)&gt;0,SUMIFS(T_StockCount[CountedQty],T_StockCount[RM_Code],$A4,T_StockCount[WeekIndex],61),IF((COUNTIFS(T_SelfStock[RM_Code],$A4,T_SelfStock[WeekIndex],61)&gt;0)*(COUNTIFS(T_TTAFStock[RM_Code],$A4,T_TTAFStock[WeekIndex],61)&gt;0)&gt;0,SUMIFS(T_SelfStock[Self_Qty],T_SelfStock[RM_Code],$A4,T_SelfStock[WeekIndex],61)+SUMIFS(T_TTAFStock[TTAF_Qty],T_TTAFStock[RM_Code],$A4,T_TTAFStock[WeekIndex],61),BI4+'Grid_Incoming'!BJ4-'Grid_Requirement'!BJ4))</f>
        <v/>
      </c>
      <c r="BK4">
        <f>IF(COUNTIFS(T_StockCount[RM_Code],$A4,T_StockCount[WeekIndex],62)&gt;0,SUMIFS(T_StockCount[CountedQty],T_StockCount[RM_Code],$A4,T_StockCount[WeekIndex],62),IF((COUNTIFS(T_SelfStock[RM_Code],$A4,T_SelfStock[WeekIndex],62)&gt;0)*(COUNTIFS(T_TTAFStock[RM_Code],$A4,T_TTAFStock[WeekIndex],62)&gt;0)&gt;0,SUMIFS(T_SelfStock[Self_Qty],T_SelfStock[RM_Code],$A4,T_SelfStock[WeekIndex],62)+SUMIFS(T_TTAFStock[TTAF_Qty],T_TTAFStock[RM_Code],$A4,T_TTAFStock[WeekIndex],62),BJ4+'Grid_Incoming'!BK4-'Grid_Requirement'!BK4))</f>
        <v/>
      </c>
      <c r="BL4">
        <f>IF(COUNTIFS(T_StockCount[RM_Code],$A4,T_StockCount[WeekIndex],63)&gt;0,SUMIFS(T_StockCount[CountedQty],T_StockCount[RM_Code],$A4,T_StockCount[WeekIndex],63),IF((COUNTIFS(T_SelfStock[RM_Code],$A4,T_SelfStock[WeekIndex],63)&gt;0)*(COUNTIFS(T_TTAFStock[RM_Code],$A4,T_TTAFStock[WeekIndex],63)&gt;0)&gt;0,SUMIFS(T_SelfStock[Self_Qty],T_SelfStock[RM_Code],$A4,T_SelfStock[WeekIndex],63)+SUMIFS(T_TTAFStock[TTAF_Qty],T_TTAFStock[RM_Code],$A4,T_TTAFStock[WeekIndex],63),BK4+'Grid_Incoming'!BL4-'Grid_Requirement'!BL4))</f>
        <v/>
      </c>
      <c r="BM4">
        <f>IF(COUNTIFS(T_StockCount[RM_Code],$A4,T_StockCount[WeekIndex],64)&gt;0,SUMIFS(T_StockCount[CountedQty],T_StockCount[RM_Code],$A4,T_StockCount[WeekIndex],64),IF((COUNTIFS(T_SelfStock[RM_Code],$A4,T_SelfStock[WeekIndex],64)&gt;0)*(COUNTIFS(T_TTAFStock[RM_Code],$A4,T_TTAFStock[WeekIndex],64)&gt;0)&gt;0,SUMIFS(T_SelfStock[Self_Qty],T_SelfStock[RM_Code],$A4,T_SelfStock[WeekIndex],64)+SUMIFS(T_TTAFStock[TTAF_Qty],T_TTAFStock[RM_Code],$A4,T_TTAFStock[WeekIndex],64),BL4+'Grid_Incoming'!BM4-'Grid_Requirement'!BM4))</f>
        <v/>
      </c>
      <c r="BN4">
        <f>IF(COUNTIFS(T_StockCount[RM_Code],$A4,T_StockCount[WeekIndex],65)&gt;0,SUMIFS(T_StockCount[CountedQty],T_StockCount[RM_Code],$A4,T_StockCount[WeekIndex],65),IF((COUNTIFS(T_SelfStock[RM_Code],$A4,T_SelfStock[WeekIndex],65)&gt;0)*(COUNTIFS(T_TTAFStock[RM_Code],$A4,T_TTAFStock[WeekIndex],65)&gt;0)&gt;0,SUMIFS(T_SelfStock[Self_Qty],T_SelfStock[RM_Code],$A4,T_SelfStock[WeekIndex],65)+SUMIFS(T_TTAFStock[TTAF_Qty],T_TTAFStock[RM_Code],$A4,T_TTAFStock[WeekIndex],65),BM4+'Grid_Incoming'!BN4-'Grid_Requirement'!BN4))</f>
        <v/>
      </c>
      <c r="BO4">
        <f>IF(COUNTIFS(T_StockCount[RM_Code],$A4,T_StockCount[WeekIndex],66)&gt;0,SUMIFS(T_StockCount[CountedQty],T_StockCount[RM_Code],$A4,T_StockCount[WeekIndex],66),IF((COUNTIFS(T_SelfStock[RM_Code],$A4,T_SelfStock[WeekIndex],66)&gt;0)*(COUNTIFS(T_TTAFStock[RM_Code],$A4,T_TTAFStock[WeekIndex],66)&gt;0)&gt;0,SUMIFS(T_SelfStock[Self_Qty],T_SelfStock[RM_Code],$A4,T_SelfStock[WeekIndex],66)+SUMIFS(T_TTAFStock[TTAF_Qty],T_TTAFStock[RM_Code],$A4,T_TTAFStock[WeekIndex],66),BN4+'Grid_Incoming'!BO4-'Grid_Requirement'!BO4))</f>
        <v/>
      </c>
      <c r="BP4">
        <f>IF(COUNTIFS(T_StockCount[RM_Code],$A4,T_StockCount[WeekIndex],67)&gt;0,SUMIFS(T_StockCount[CountedQty],T_StockCount[RM_Code],$A4,T_StockCount[WeekIndex],67),IF((COUNTIFS(T_SelfStock[RM_Code],$A4,T_SelfStock[WeekIndex],67)&gt;0)*(COUNTIFS(T_TTAFStock[RM_Code],$A4,T_TTAFStock[WeekIndex],67)&gt;0)&gt;0,SUMIFS(T_SelfStock[Self_Qty],T_SelfStock[RM_Code],$A4,T_SelfStock[WeekIndex],67)+SUMIFS(T_TTAFStock[TTAF_Qty],T_TTAFStock[RM_Code],$A4,T_TTAFStock[WeekIndex],67),BO4+'Grid_Incoming'!BP4-'Grid_Requirement'!BP4))</f>
        <v/>
      </c>
      <c r="BQ4">
        <f>IF(COUNTIFS(T_StockCount[RM_Code],$A4,T_StockCount[WeekIndex],68)&gt;0,SUMIFS(T_StockCount[CountedQty],T_StockCount[RM_Code],$A4,T_StockCount[WeekIndex],68),IF((COUNTIFS(T_SelfStock[RM_Code],$A4,T_SelfStock[WeekIndex],68)&gt;0)*(COUNTIFS(T_TTAFStock[RM_Code],$A4,T_TTAFStock[WeekIndex],68)&gt;0)&gt;0,SUMIFS(T_SelfStock[Self_Qty],T_SelfStock[RM_Code],$A4,T_SelfStock[WeekIndex],68)+SUMIFS(T_TTAFStock[TTAF_Qty],T_TTAFStock[RM_Code],$A4,T_TTAFStock[WeekIndex],68),BP4+'Grid_Incoming'!BQ4-'Grid_Requirement'!BQ4))</f>
        <v/>
      </c>
      <c r="BR4">
        <f>IF(COUNTIFS(T_StockCount[RM_Code],$A4,T_StockCount[WeekIndex],69)&gt;0,SUMIFS(T_StockCount[CountedQty],T_StockCount[RM_Code],$A4,T_StockCount[WeekIndex],69),IF((COUNTIFS(T_SelfStock[RM_Code],$A4,T_SelfStock[WeekIndex],69)&gt;0)*(COUNTIFS(T_TTAFStock[RM_Code],$A4,T_TTAFStock[WeekIndex],69)&gt;0)&gt;0,SUMIFS(T_SelfStock[Self_Qty],T_SelfStock[RM_Code],$A4,T_SelfStock[WeekIndex],69)+SUMIFS(T_TTAFStock[TTAF_Qty],T_TTAFStock[RM_Code],$A4,T_TTAFStock[WeekIndex],69),BQ4+'Grid_Incoming'!BR4-'Grid_Requirement'!BR4))</f>
        <v/>
      </c>
      <c r="BS4">
        <f>IF(COUNTIFS(T_StockCount[RM_Code],$A4,T_StockCount[WeekIndex],70)&gt;0,SUMIFS(T_StockCount[CountedQty],T_StockCount[RM_Code],$A4,T_StockCount[WeekIndex],70),IF((COUNTIFS(T_SelfStock[RM_Code],$A4,T_SelfStock[WeekIndex],70)&gt;0)*(COUNTIFS(T_TTAFStock[RM_Code],$A4,T_TTAFStock[WeekIndex],70)&gt;0)&gt;0,SUMIFS(T_SelfStock[Self_Qty],T_SelfStock[RM_Code],$A4,T_SelfStock[WeekIndex],70)+SUMIFS(T_TTAFStock[TTAF_Qty],T_TTAFStock[RM_Code],$A4,T_TTAFStock[WeekIndex],70),BR4+'Grid_Incoming'!BS4-'Grid_Requirement'!BS4))</f>
        <v/>
      </c>
      <c r="BT4">
        <f>IF(COUNTIFS(T_StockCount[RM_Code],$A4,T_StockCount[WeekIndex],71)&gt;0,SUMIFS(T_StockCount[CountedQty],T_StockCount[RM_Code],$A4,T_StockCount[WeekIndex],71),IF((COUNTIFS(T_SelfStock[RM_Code],$A4,T_SelfStock[WeekIndex],71)&gt;0)*(COUNTIFS(T_TTAFStock[RM_Code],$A4,T_TTAFStock[WeekIndex],71)&gt;0)&gt;0,SUMIFS(T_SelfStock[Self_Qty],T_SelfStock[RM_Code],$A4,T_SelfStock[WeekIndex],71)+SUMIFS(T_TTAFStock[TTAF_Qty],T_TTAFStock[RM_Code],$A4,T_TTAFStock[WeekIndex],71),BS4+'Grid_Incoming'!BT4-'Grid_Requirement'!BT4))</f>
        <v/>
      </c>
      <c r="BU4">
        <f>IF(COUNTIFS(T_StockCount[RM_Code],$A4,T_StockCount[WeekIndex],72)&gt;0,SUMIFS(T_StockCount[CountedQty],T_StockCount[RM_Code],$A4,T_StockCount[WeekIndex],72),IF((COUNTIFS(T_SelfStock[RM_Code],$A4,T_SelfStock[WeekIndex],72)&gt;0)*(COUNTIFS(T_TTAFStock[RM_Code],$A4,T_TTAFStock[WeekIndex],72)&gt;0)&gt;0,SUMIFS(T_SelfStock[Self_Qty],T_SelfStock[RM_Code],$A4,T_SelfStock[WeekIndex],72)+SUMIFS(T_TTAFStock[TTAF_Qty],T_TTAFStock[RM_Code],$A4,T_TTAFStock[WeekIndex],72),BT4+'Grid_Incoming'!BU4-'Grid_Requirement'!BU4))</f>
        <v/>
      </c>
      <c r="BV4">
        <f>IF(COUNTIFS(T_StockCount[RM_Code],$A4,T_StockCount[WeekIndex],73)&gt;0,SUMIFS(T_StockCount[CountedQty],T_StockCount[RM_Code],$A4,T_StockCount[WeekIndex],73),IF((COUNTIFS(T_SelfStock[RM_Code],$A4,T_SelfStock[WeekIndex],73)&gt;0)*(COUNTIFS(T_TTAFStock[RM_Code],$A4,T_TTAFStock[WeekIndex],73)&gt;0)&gt;0,SUMIFS(T_SelfStock[Self_Qty],T_SelfStock[RM_Code],$A4,T_SelfStock[WeekIndex],73)+SUMIFS(T_TTAFStock[TTAF_Qty],T_TTAFStock[RM_Code],$A4,T_TTAFStock[WeekIndex],73),BU4+'Grid_Incoming'!BV4-'Grid_Requirement'!BV4))</f>
        <v/>
      </c>
      <c r="BW4">
        <f>IF(COUNTIFS(T_StockCount[RM_Code],$A4,T_StockCount[WeekIndex],74)&gt;0,SUMIFS(T_StockCount[CountedQty],T_StockCount[RM_Code],$A4,T_StockCount[WeekIndex],74),IF((COUNTIFS(T_SelfStock[RM_Code],$A4,T_SelfStock[WeekIndex],74)&gt;0)*(COUNTIFS(T_TTAFStock[RM_Code],$A4,T_TTAFStock[WeekIndex],74)&gt;0)&gt;0,SUMIFS(T_SelfStock[Self_Qty],T_SelfStock[RM_Code],$A4,T_SelfStock[WeekIndex],74)+SUMIFS(T_TTAFStock[TTAF_Qty],T_TTAFStock[RM_Code],$A4,T_TTAFStock[WeekIndex],74),BV4+'Grid_Incoming'!BW4-'Grid_Requirement'!BW4))</f>
        <v/>
      </c>
      <c r="BX4">
        <f>IF(COUNTIFS(T_StockCount[RM_Code],$A4,T_StockCount[WeekIndex],75)&gt;0,SUMIFS(T_StockCount[CountedQty],T_StockCount[RM_Code],$A4,T_StockCount[WeekIndex],75),IF((COUNTIFS(T_SelfStock[RM_Code],$A4,T_SelfStock[WeekIndex],75)&gt;0)*(COUNTIFS(T_TTAFStock[RM_Code],$A4,T_TTAFStock[WeekIndex],75)&gt;0)&gt;0,SUMIFS(T_SelfStock[Self_Qty],T_SelfStock[RM_Code],$A4,T_SelfStock[WeekIndex],75)+SUMIFS(T_TTAFStock[TTAF_Qty],T_TTAFStock[RM_Code],$A4,T_TTAFStock[WeekIndex],75),BW4+'Grid_Incoming'!BX4-'Grid_Requirement'!BX4))</f>
        <v/>
      </c>
      <c r="BY4">
        <f>IF(COUNTIFS(T_StockCount[RM_Code],$A4,T_StockCount[WeekIndex],76)&gt;0,SUMIFS(T_StockCount[CountedQty],T_StockCount[RM_Code],$A4,T_StockCount[WeekIndex],76),IF((COUNTIFS(T_SelfStock[RM_Code],$A4,T_SelfStock[WeekIndex],76)&gt;0)*(COUNTIFS(T_TTAFStock[RM_Code],$A4,T_TTAFStock[WeekIndex],76)&gt;0)&gt;0,SUMIFS(T_SelfStock[Self_Qty],T_SelfStock[RM_Code],$A4,T_SelfStock[WeekIndex],76)+SUMIFS(T_TTAFStock[TTAF_Qty],T_TTAFStock[RM_Code],$A4,T_TTAFStock[WeekIndex],76),BX4+'Grid_Incoming'!BY4-'Grid_Requirement'!BY4))</f>
        <v/>
      </c>
      <c r="BZ4">
        <f>IF(COUNTIFS(T_StockCount[RM_Code],$A4,T_StockCount[WeekIndex],77)&gt;0,SUMIFS(T_StockCount[CountedQty],T_StockCount[RM_Code],$A4,T_StockCount[WeekIndex],77),IF((COUNTIFS(T_SelfStock[RM_Code],$A4,T_SelfStock[WeekIndex],77)&gt;0)*(COUNTIFS(T_TTAFStock[RM_Code],$A4,T_TTAFStock[WeekIndex],77)&gt;0)&gt;0,SUMIFS(T_SelfStock[Self_Qty],T_SelfStock[RM_Code],$A4,T_SelfStock[WeekIndex],77)+SUMIFS(T_TTAFStock[TTAF_Qty],T_TTAFStock[RM_Code],$A4,T_TTAFStock[WeekIndex],77),BY4+'Grid_Incoming'!BZ4-'Grid_Requirement'!BZ4))</f>
        <v/>
      </c>
      <c r="CA4">
        <f>IF(COUNTIFS(T_StockCount[RM_Code],$A4,T_StockCount[WeekIndex],78)&gt;0,SUMIFS(T_StockCount[CountedQty],T_StockCount[RM_Code],$A4,T_StockCount[WeekIndex],78),IF((COUNTIFS(T_SelfStock[RM_Code],$A4,T_SelfStock[WeekIndex],78)&gt;0)*(COUNTIFS(T_TTAFStock[RM_Code],$A4,T_TTAFStock[WeekIndex],78)&gt;0)&gt;0,SUMIFS(T_SelfStock[Self_Qty],T_SelfStock[RM_Code],$A4,T_SelfStock[WeekIndex],78)+SUMIFS(T_TTAFStock[TTAF_Qty],T_TTAFStock[RM_Code],$A4,T_TTAFStock[WeekIndex],78),BZ4+'Grid_Incoming'!CA4-'Grid_Requirement'!CA4))</f>
        <v/>
      </c>
      <c r="CB4">
        <f>IF(COUNTIFS(T_StockCount[RM_Code],$A4,T_StockCount[WeekIndex],79)&gt;0,SUMIFS(T_StockCount[CountedQty],T_StockCount[RM_Code],$A4,T_StockCount[WeekIndex],79),IF((COUNTIFS(T_SelfStock[RM_Code],$A4,T_SelfStock[WeekIndex],79)&gt;0)*(COUNTIFS(T_TTAFStock[RM_Code],$A4,T_TTAFStock[WeekIndex],79)&gt;0)&gt;0,SUMIFS(T_SelfStock[Self_Qty],T_SelfStock[RM_Code],$A4,T_SelfStock[WeekIndex],79)+SUMIFS(T_TTAFStock[TTAF_Qty],T_TTAFStock[RM_Code],$A4,T_TTAFStock[WeekIndex],79),CA4+'Grid_Incoming'!CB4-'Grid_Requirement'!CB4))</f>
        <v/>
      </c>
      <c r="CC4">
        <f>IF(COUNTIFS(T_StockCount[RM_Code],$A4,T_StockCount[WeekIndex],80)&gt;0,SUMIFS(T_StockCount[CountedQty],T_StockCount[RM_Code],$A4,T_StockCount[WeekIndex],80),IF((COUNTIFS(T_SelfStock[RM_Code],$A4,T_SelfStock[WeekIndex],80)&gt;0)*(COUNTIFS(T_TTAFStock[RM_Code],$A4,T_TTAFStock[WeekIndex],80)&gt;0)&gt;0,SUMIFS(T_SelfStock[Self_Qty],T_SelfStock[RM_Code],$A4,T_SelfStock[WeekIndex],80)+SUMIFS(T_TTAFStock[TTAF_Qty],T_TTAFStock[RM_Code],$A4,T_TTAFStock[WeekIndex],80),CB4+'Grid_Incoming'!CC4-'Grid_Requirement'!CC4))</f>
        <v/>
      </c>
      <c r="CD4">
        <f>IF(COUNTIFS(T_StockCount[RM_Code],$A4,T_StockCount[WeekIndex],81)&gt;0,SUMIFS(T_StockCount[CountedQty],T_StockCount[RM_Code],$A4,T_StockCount[WeekIndex],81),IF((COUNTIFS(T_SelfStock[RM_Code],$A4,T_SelfStock[WeekIndex],81)&gt;0)*(COUNTIFS(T_TTAFStock[RM_Code],$A4,T_TTAFStock[WeekIndex],81)&gt;0)&gt;0,SUMIFS(T_SelfStock[Self_Qty],T_SelfStock[RM_Code],$A4,T_SelfStock[WeekIndex],81)+SUMIFS(T_TTAFStock[TTAF_Qty],T_TTAFStock[RM_Code],$A4,T_TTAFStock[WeekIndex],81),CC4+'Grid_Incoming'!CD4-'Grid_Requirement'!CD4))</f>
        <v/>
      </c>
      <c r="CE4">
        <f>IF(COUNTIFS(T_StockCount[RM_Code],$A4,T_StockCount[WeekIndex],82)&gt;0,SUMIFS(T_StockCount[CountedQty],T_StockCount[RM_Code],$A4,T_StockCount[WeekIndex],82),IF((COUNTIFS(T_SelfStock[RM_Code],$A4,T_SelfStock[WeekIndex],82)&gt;0)*(COUNTIFS(T_TTAFStock[RM_Code],$A4,T_TTAFStock[WeekIndex],82)&gt;0)&gt;0,SUMIFS(T_SelfStock[Self_Qty],T_SelfStock[RM_Code],$A4,T_SelfStock[WeekIndex],82)+SUMIFS(T_TTAFStock[TTAF_Qty],T_TTAFStock[RM_Code],$A4,T_TTAFStock[WeekIndex],82),CD4+'Grid_Incoming'!CE4-'Grid_Requirement'!CE4))</f>
        <v/>
      </c>
      <c r="CF4">
        <f>IF(COUNTIFS(T_StockCount[RM_Code],$A4,T_StockCount[WeekIndex],83)&gt;0,SUMIFS(T_StockCount[CountedQty],T_StockCount[RM_Code],$A4,T_StockCount[WeekIndex],83),IF((COUNTIFS(T_SelfStock[RM_Code],$A4,T_SelfStock[WeekIndex],83)&gt;0)*(COUNTIFS(T_TTAFStock[RM_Code],$A4,T_TTAFStock[WeekIndex],83)&gt;0)&gt;0,SUMIFS(T_SelfStock[Self_Qty],T_SelfStock[RM_Code],$A4,T_SelfStock[WeekIndex],83)+SUMIFS(T_TTAFStock[TTAF_Qty],T_TTAFStock[RM_Code],$A4,T_TTAFStock[WeekIndex],83),CE4+'Grid_Incoming'!CF4-'Grid_Requirement'!CF4))</f>
        <v/>
      </c>
      <c r="CG4">
        <f>IF(COUNTIFS(T_StockCount[RM_Code],$A4,T_StockCount[WeekIndex],84)&gt;0,SUMIFS(T_StockCount[CountedQty],T_StockCount[RM_Code],$A4,T_StockCount[WeekIndex],84),IF((COUNTIFS(T_SelfStock[RM_Code],$A4,T_SelfStock[WeekIndex],84)&gt;0)*(COUNTIFS(T_TTAFStock[RM_Code],$A4,T_TTAFStock[WeekIndex],84)&gt;0)&gt;0,SUMIFS(T_SelfStock[Self_Qty],T_SelfStock[RM_Code],$A4,T_SelfStock[WeekIndex],84)+SUMIFS(T_TTAFStock[TTAF_Qty],T_TTAFStock[RM_Code],$A4,T_TTAFStock[WeekIndex],84),CF4+'Grid_Incoming'!CG4-'Grid_Requirement'!CG4))</f>
        <v/>
      </c>
      <c r="CH4">
        <f>IF(COUNTIFS(T_StockCount[RM_Code],$A4,T_StockCount[WeekIndex],85)&gt;0,SUMIFS(T_StockCount[CountedQty],T_StockCount[RM_Code],$A4,T_StockCount[WeekIndex],85),IF((COUNTIFS(T_SelfStock[RM_Code],$A4,T_SelfStock[WeekIndex],85)&gt;0)*(COUNTIFS(T_TTAFStock[RM_Code],$A4,T_TTAFStock[WeekIndex],85)&gt;0)&gt;0,SUMIFS(T_SelfStock[Self_Qty],T_SelfStock[RM_Code],$A4,T_SelfStock[WeekIndex],85)+SUMIFS(T_TTAFStock[TTAF_Qty],T_TTAFStock[RM_Code],$A4,T_TTAFStock[WeekIndex],85),CG4+'Grid_Incoming'!CH4-'Grid_Requirement'!CH4))</f>
        <v/>
      </c>
      <c r="CI4">
        <f>IF(COUNTIFS(T_StockCount[RM_Code],$A4,T_StockCount[WeekIndex],86)&gt;0,SUMIFS(T_StockCount[CountedQty],T_StockCount[RM_Code],$A4,T_StockCount[WeekIndex],86),IF((COUNTIFS(T_SelfStock[RM_Code],$A4,T_SelfStock[WeekIndex],86)&gt;0)*(COUNTIFS(T_TTAFStock[RM_Code],$A4,T_TTAFStock[WeekIndex],86)&gt;0)&gt;0,SUMIFS(T_SelfStock[Self_Qty],T_SelfStock[RM_Code],$A4,T_SelfStock[WeekIndex],86)+SUMIFS(T_TTAFStock[TTAF_Qty],T_TTAFStock[RM_Code],$A4,T_TTAFStock[WeekIndex],86),CH4+'Grid_Incoming'!CI4-'Grid_Requirement'!CI4))</f>
        <v/>
      </c>
      <c r="CJ4">
        <f>IF(COUNTIFS(T_StockCount[RM_Code],$A4,T_StockCount[WeekIndex],87)&gt;0,SUMIFS(T_StockCount[CountedQty],T_StockCount[RM_Code],$A4,T_StockCount[WeekIndex],87),IF((COUNTIFS(T_SelfStock[RM_Code],$A4,T_SelfStock[WeekIndex],87)&gt;0)*(COUNTIFS(T_TTAFStock[RM_Code],$A4,T_TTAFStock[WeekIndex],87)&gt;0)&gt;0,SUMIFS(T_SelfStock[Self_Qty],T_SelfStock[RM_Code],$A4,T_SelfStock[WeekIndex],87)+SUMIFS(T_TTAFStock[TTAF_Qty],T_TTAFStock[RM_Code],$A4,T_TTAFStock[WeekIndex],87),CI4+'Grid_Incoming'!CJ4-'Grid_Requirement'!CJ4))</f>
        <v/>
      </c>
      <c r="CK4">
        <f>IF(COUNTIFS(T_StockCount[RM_Code],$A4,T_StockCount[WeekIndex],88)&gt;0,SUMIFS(T_StockCount[CountedQty],T_StockCount[RM_Code],$A4,T_StockCount[WeekIndex],88),IF((COUNTIFS(T_SelfStock[RM_Code],$A4,T_SelfStock[WeekIndex],88)&gt;0)*(COUNTIFS(T_TTAFStock[RM_Code],$A4,T_TTAFStock[WeekIndex],88)&gt;0)&gt;0,SUMIFS(T_SelfStock[Self_Qty],T_SelfStock[RM_Code],$A4,T_SelfStock[WeekIndex],88)+SUMIFS(T_TTAFStock[TTAF_Qty],T_TTAFStock[RM_Code],$A4,T_TTAFStock[WeekIndex],88),CJ4+'Grid_Incoming'!CK4-'Grid_Requirement'!CK4))</f>
        <v/>
      </c>
      <c r="CL4">
        <f>IF(COUNTIFS(T_StockCount[RM_Code],$A4,T_StockCount[WeekIndex],89)&gt;0,SUMIFS(T_StockCount[CountedQty],T_StockCount[RM_Code],$A4,T_StockCount[WeekIndex],89),IF((COUNTIFS(T_SelfStock[RM_Code],$A4,T_SelfStock[WeekIndex],89)&gt;0)*(COUNTIFS(T_TTAFStock[RM_Code],$A4,T_TTAFStock[WeekIndex],89)&gt;0)&gt;0,SUMIFS(T_SelfStock[Self_Qty],T_SelfStock[RM_Code],$A4,T_SelfStock[WeekIndex],89)+SUMIFS(T_TTAFStock[TTAF_Qty],T_TTAFStock[RM_Code],$A4,T_TTAFStock[WeekIndex],89),CK4+'Grid_Incoming'!CL4-'Grid_Requirement'!CL4))</f>
        <v/>
      </c>
      <c r="CM4">
        <f>IF(COUNTIFS(T_StockCount[RM_Code],$A4,T_StockCount[WeekIndex],90)&gt;0,SUMIFS(T_StockCount[CountedQty],T_StockCount[RM_Code],$A4,T_StockCount[WeekIndex],90),IF((COUNTIFS(T_SelfStock[RM_Code],$A4,T_SelfStock[WeekIndex],90)&gt;0)*(COUNTIFS(T_TTAFStock[RM_Code],$A4,T_TTAFStock[WeekIndex],90)&gt;0)&gt;0,SUMIFS(T_SelfStock[Self_Qty],T_SelfStock[RM_Code],$A4,T_SelfStock[WeekIndex],90)+SUMIFS(T_TTAFStock[TTAF_Qty],T_TTAFStock[RM_Code],$A4,T_TTAFStock[WeekIndex],90),CL4+'Grid_Incoming'!CM4-'Grid_Requirement'!CM4))</f>
        <v/>
      </c>
      <c r="CN4">
        <f>IF(COUNTIFS(T_StockCount[RM_Code],$A4,T_StockCount[WeekIndex],91)&gt;0,SUMIFS(T_StockCount[CountedQty],T_StockCount[RM_Code],$A4,T_StockCount[WeekIndex],91),IF((COUNTIFS(T_SelfStock[RM_Code],$A4,T_SelfStock[WeekIndex],91)&gt;0)*(COUNTIFS(T_TTAFStock[RM_Code],$A4,T_TTAFStock[WeekIndex],91)&gt;0)&gt;0,SUMIFS(T_SelfStock[Self_Qty],T_SelfStock[RM_Code],$A4,T_SelfStock[WeekIndex],91)+SUMIFS(T_TTAFStock[TTAF_Qty],T_TTAFStock[RM_Code],$A4,T_TTAFStock[WeekIndex],91),CM4+'Grid_Incoming'!CN4-'Grid_Requirement'!CN4))</f>
        <v/>
      </c>
      <c r="CO4">
        <f>IF(COUNTIFS(T_StockCount[RM_Code],$A4,T_StockCount[WeekIndex],92)&gt;0,SUMIFS(T_StockCount[CountedQty],T_StockCount[RM_Code],$A4,T_StockCount[WeekIndex],92),IF((COUNTIFS(T_SelfStock[RM_Code],$A4,T_SelfStock[WeekIndex],92)&gt;0)*(COUNTIFS(T_TTAFStock[RM_Code],$A4,T_TTAFStock[WeekIndex],92)&gt;0)&gt;0,SUMIFS(T_SelfStock[Self_Qty],T_SelfStock[RM_Code],$A4,T_SelfStock[WeekIndex],92)+SUMIFS(T_TTAFStock[TTAF_Qty],T_TTAFStock[RM_Code],$A4,T_TTAFStock[WeekIndex],92),CN4+'Grid_Incoming'!CO4-'Grid_Requirement'!CO4))</f>
        <v/>
      </c>
      <c r="CP4">
        <f>IF(COUNTIFS(T_StockCount[RM_Code],$A4,T_StockCount[WeekIndex],93)&gt;0,SUMIFS(T_StockCount[CountedQty],T_StockCount[RM_Code],$A4,T_StockCount[WeekIndex],93),IF((COUNTIFS(T_SelfStock[RM_Code],$A4,T_SelfStock[WeekIndex],93)&gt;0)*(COUNTIFS(T_TTAFStock[RM_Code],$A4,T_TTAFStock[WeekIndex],93)&gt;0)&gt;0,SUMIFS(T_SelfStock[Self_Qty],T_SelfStock[RM_Code],$A4,T_SelfStock[WeekIndex],93)+SUMIFS(T_TTAFStock[TTAF_Qty],T_TTAFStock[RM_Code],$A4,T_TTAFStock[WeekIndex],93),CO4+'Grid_Incoming'!CP4-'Grid_Requirement'!CP4))</f>
        <v/>
      </c>
      <c r="CQ4">
        <f>IF(COUNTIFS(T_StockCount[RM_Code],$A4,T_StockCount[WeekIndex],94)&gt;0,SUMIFS(T_StockCount[CountedQty],T_StockCount[RM_Code],$A4,T_StockCount[WeekIndex],94),IF((COUNTIFS(T_SelfStock[RM_Code],$A4,T_SelfStock[WeekIndex],94)&gt;0)*(COUNTIFS(T_TTAFStock[RM_Code],$A4,T_TTAFStock[WeekIndex],94)&gt;0)&gt;0,SUMIFS(T_SelfStock[Self_Qty],T_SelfStock[RM_Code],$A4,T_SelfStock[WeekIndex],94)+SUMIFS(T_TTAFStock[TTAF_Qty],T_TTAFStock[RM_Code],$A4,T_TTAFStock[WeekIndex],94),CP4+'Grid_Incoming'!CQ4-'Grid_Requirement'!CQ4))</f>
        <v/>
      </c>
      <c r="CR4">
        <f>IF(COUNTIFS(T_StockCount[RM_Code],$A4,T_StockCount[WeekIndex],95)&gt;0,SUMIFS(T_StockCount[CountedQty],T_StockCount[RM_Code],$A4,T_StockCount[WeekIndex],95),IF((COUNTIFS(T_SelfStock[RM_Code],$A4,T_SelfStock[WeekIndex],95)&gt;0)*(COUNTIFS(T_TTAFStock[RM_Code],$A4,T_TTAFStock[WeekIndex],95)&gt;0)&gt;0,SUMIFS(T_SelfStock[Self_Qty],T_SelfStock[RM_Code],$A4,T_SelfStock[WeekIndex],95)+SUMIFS(T_TTAFStock[TTAF_Qty],T_TTAFStock[RM_Code],$A4,T_TTAFStock[WeekIndex],95),CQ4+'Grid_Incoming'!CR4-'Grid_Requirement'!CR4))</f>
        <v/>
      </c>
      <c r="CS4">
        <f>IF(COUNTIFS(T_StockCount[RM_Code],$A4,T_StockCount[WeekIndex],96)&gt;0,SUMIFS(T_StockCount[CountedQty],T_StockCount[RM_Code],$A4,T_StockCount[WeekIndex],96),IF((COUNTIFS(T_SelfStock[RM_Code],$A4,T_SelfStock[WeekIndex],96)&gt;0)*(COUNTIFS(T_TTAFStock[RM_Code],$A4,T_TTAFStock[WeekIndex],96)&gt;0)&gt;0,SUMIFS(T_SelfStock[Self_Qty],T_SelfStock[RM_Code],$A4,T_SelfStock[WeekIndex],96)+SUMIFS(T_TTAFStock[TTAF_Qty],T_TTAFStock[RM_Code],$A4,T_TTAFStock[WeekIndex],96),CR4+'Grid_Incoming'!CS4-'Grid_Requirement'!CS4))</f>
        <v/>
      </c>
      <c r="CT4">
        <f>IF(COUNTIFS(T_StockCount[RM_Code],$A4,T_StockCount[WeekIndex],97)&gt;0,SUMIFS(T_StockCount[CountedQty],T_StockCount[RM_Code],$A4,T_StockCount[WeekIndex],97),IF((COUNTIFS(T_SelfStock[RM_Code],$A4,T_SelfStock[WeekIndex],97)&gt;0)*(COUNTIFS(T_TTAFStock[RM_Code],$A4,T_TTAFStock[WeekIndex],97)&gt;0)&gt;0,SUMIFS(T_SelfStock[Self_Qty],T_SelfStock[RM_Code],$A4,T_SelfStock[WeekIndex],97)+SUMIFS(T_TTAFStock[TTAF_Qty],T_TTAFStock[RM_Code],$A4,T_TTAFStock[WeekIndex],97),CS4+'Grid_Incoming'!CT4-'Grid_Requirement'!CT4))</f>
        <v/>
      </c>
      <c r="CU4">
        <f>IF(COUNTIFS(T_StockCount[RM_Code],$A4,T_StockCount[WeekIndex],98)&gt;0,SUMIFS(T_StockCount[CountedQty],T_StockCount[RM_Code],$A4,T_StockCount[WeekIndex],98),IF((COUNTIFS(T_SelfStock[RM_Code],$A4,T_SelfStock[WeekIndex],98)&gt;0)*(COUNTIFS(T_TTAFStock[RM_Code],$A4,T_TTAFStock[WeekIndex],98)&gt;0)&gt;0,SUMIFS(T_SelfStock[Self_Qty],T_SelfStock[RM_Code],$A4,T_SelfStock[WeekIndex],98)+SUMIFS(T_TTAFStock[TTAF_Qty],T_TTAFStock[RM_Code],$A4,T_TTAFStock[WeekIndex],98),CT4+'Grid_Incoming'!CU4-'Grid_Requirement'!CU4))</f>
        <v/>
      </c>
      <c r="CV4">
        <f>IF(COUNTIFS(T_StockCount[RM_Code],$A4,T_StockCount[WeekIndex],99)&gt;0,SUMIFS(T_StockCount[CountedQty],T_StockCount[RM_Code],$A4,T_StockCount[WeekIndex],99),IF((COUNTIFS(T_SelfStock[RM_Code],$A4,T_SelfStock[WeekIndex],99)&gt;0)*(COUNTIFS(T_TTAFStock[RM_Code],$A4,T_TTAFStock[WeekIndex],99)&gt;0)&gt;0,SUMIFS(T_SelfStock[Self_Qty],T_SelfStock[RM_Code],$A4,T_SelfStock[WeekIndex],99)+SUMIFS(T_TTAFStock[TTAF_Qty],T_TTAFStock[RM_Code],$A4,T_TTAFStock[WeekIndex],99),CU4+'Grid_Incoming'!CV4-'Grid_Requirement'!CV4))</f>
        <v/>
      </c>
      <c r="CW4">
        <f>IF(COUNTIFS(T_StockCount[RM_Code],$A4,T_StockCount[WeekIndex],100)&gt;0,SUMIFS(T_StockCount[CountedQty],T_StockCount[RM_Code],$A4,T_StockCount[WeekIndex],100),IF((COUNTIFS(T_SelfStock[RM_Code],$A4,T_SelfStock[WeekIndex],100)&gt;0)*(COUNTIFS(T_TTAFStock[RM_Code],$A4,T_TTAFStock[WeekIndex],100)&gt;0)&gt;0,SUMIFS(T_SelfStock[Self_Qty],T_SelfStock[RM_Code],$A4,T_SelfStock[WeekIndex],100)+SUMIFS(T_TTAFStock[TTAF_Qty],T_TTAFStock[RM_Code],$A4,T_TTAFStock[WeekIndex],100),CV4+'Grid_Incoming'!CW4-'Grid_Requirement'!CW4))</f>
        <v/>
      </c>
      <c r="CX4">
        <f>IF(COUNTIFS(T_StockCount[RM_Code],$A4,T_StockCount[WeekIndex],101)&gt;0,SUMIFS(T_StockCount[CountedQty],T_StockCount[RM_Code],$A4,T_StockCount[WeekIndex],101),IF((COUNTIFS(T_SelfStock[RM_Code],$A4,T_SelfStock[WeekIndex],101)&gt;0)*(COUNTIFS(T_TTAFStock[RM_Code],$A4,T_TTAFStock[WeekIndex],101)&gt;0)&gt;0,SUMIFS(T_SelfStock[Self_Qty],T_SelfStock[RM_Code],$A4,T_SelfStock[WeekIndex],101)+SUMIFS(T_TTAFStock[TTAF_Qty],T_TTAFStock[RM_Code],$A4,T_TTAFStock[WeekIndex],101),CW4+'Grid_Incoming'!CX4-'Grid_Requirement'!CX4))</f>
        <v/>
      </c>
      <c r="CY4">
        <f>IF(COUNTIFS(T_StockCount[RM_Code],$A4,T_StockCount[WeekIndex],102)&gt;0,SUMIFS(T_StockCount[CountedQty],T_StockCount[RM_Code],$A4,T_StockCount[WeekIndex],102),IF((COUNTIFS(T_SelfStock[RM_Code],$A4,T_SelfStock[WeekIndex],102)&gt;0)*(COUNTIFS(T_TTAFStock[RM_Code],$A4,T_TTAFStock[WeekIndex],102)&gt;0)&gt;0,SUMIFS(T_SelfStock[Self_Qty],T_SelfStock[RM_Code],$A4,T_SelfStock[WeekIndex],102)+SUMIFS(T_TTAFStock[TTAF_Qty],T_TTAFStock[RM_Code],$A4,T_TTAFStock[WeekIndex],102),CX4+'Grid_Incoming'!CY4-'Grid_Requirement'!CY4))</f>
        <v/>
      </c>
      <c r="CZ4">
        <f>IF(COUNTIFS(T_StockCount[RM_Code],$A4,T_StockCount[WeekIndex],103)&gt;0,SUMIFS(T_StockCount[CountedQty],T_StockCount[RM_Code],$A4,T_StockCount[WeekIndex],103),IF((COUNTIFS(T_SelfStock[RM_Code],$A4,T_SelfStock[WeekIndex],103)&gt;0)*(COUNTIFS(T_TTAFStock[RM_Code],$A4,T_TTAFStock[WeekIndex],103)&gt;0)&gt;0,SUMIFS(T_SelfStock[Self_Qty],T_SelfStock[RM_Code],$A4,T_SelfStock[WeekIndex],103)+SUMIFS(T_TTAFStock[TTAF_Qty],T_TTAFStock[RM_Code],$A4,T_TTAFStock[WeekIndex],103),CY4+'Grid_Incoming'!CZ4-'Grid_Requirement'!CZ4))</f>
        <v/>
      </c>
      <c r="DA4">
        <f>IF(COUNTIFS(T_StockCount[RM_Code],$A4,T_StockCount[WeekIndex],104)&gt;0,SUMIFS(T_StockCount[CountedQty],T_StockCount[RM_Code],$A4,T_StockCount[WeekIndex],104),IF((COUNTIFS(T_SelfStock[RM_Code],$A4,T_SelfStock[WeekIndex],104)&gt;0)*(COUNTIFS(T_TTAFStock[RM_Code],$A4,T_TTAFStock[WeekIndex],104)&gt;0)&gt;0,SUMIFS(T_SelfStock[Self_Qty],T_SelfStock[RM_Code],$A4,T_SelfStock[WeekIndex],104)+SUMIFS(T_TTAFStock[TTAF_Qty],T_TTAFStock[RM_Code],$A4,T_TTAFStock[WeekIndex],104),CZ4+'Grid_Incoming'!DA4-'Grid_Requirement'!DA4))</f>
        <v/>
      </c>
    </row>
    <row r="5">
      <c r="A5" t="inlineStr">
        <is>
          <t>CHEM-1420</t>
        </is>
      </c>
      <c r="B5">
        <f>IF(COUNTIFS(T_StockCount[RM_Code],$A5,T_StockCount[WeekIndex],1)&gt;0,SUMIFS(T_StockCount[CountedQty],T_StockCount[RM_Code],$A5,T_StockCount[WeekIndex],1),IF((COUNTIFS(T_SelfStock[RM_Code],$A5,T_SelfStock[WeekIndex],1)&gt;0)*(COUNTIFS(T_TTAFStock[RM_Code],$A5,T_TTAFStock[WeekIndex],1)&gt;0)&gt;0,SUMIFS(T_SelfStock[Self_Qty],T_SelfStock[RM_Code],$A5,T_SelfStock[WeekIndex],1)+SUMIFS(T_TTAFStock[TTAF_Qty],T_TTAFStock[RM_Code],$A5,T_TTAFStock[WeekIndex],1),IFERROR(INDEX(T_OpeningStock[Opening_Qty],MATCH($A5,T_OpeningStock[RM_Code],0)),0)+'Grid_Incoming'!B5-'Grid_Requirement'!B5))</f>
        <v/>
      </c>
      <c r="C5">
        <f>IF(COUNTIFS(T_StockCount[RM_Code],$A5,T_StockCount[WeekIndex],2)&gt;0,SUMIFS(T_StockCount[CountedQty],T_StockCount[RM_Code],$A5,T_StockCount[WeekIndex],2),IF((COUNTIFS(T_SelfStock[RM_Code],$A5,T_SelfStock[WeekIndex],2)&gt;0)*(COUNTIFS(T_TTAFStock[RM_Code],$A5,T_TTAFStock[WeekIndex],2)&gt;0)&gt;0,SUMIFS(T_SelfStock[Self_Qty],T_SelfStock[RM_Code],$A5,T_SelfStock[WeekIndex],2)+SUMIFS(T_TTAFStock[TTAF_Qty],T_TTAFStock[RM_Code],$A5,T_TTAFStock[WeekIndex],2),B5+'Grid_Incoming'!C5-'Grid_Requirement'!C5))</f>
        <v/>
      </c>
      <c r="D5">
        <f>IF(COUNTIFS(T_StockCount[RM_Code],$A5,T_StockCount[WeekIndex],3)&gt;0,SUMIFS(T_StockCount[CountedQty],T_StockCount[RM_Code],$A5,T_StockCount[WeekIndex],3),IF((COUNTIFS(T_SelfStock[RM_Code],$A5,T_SelfStock[WeekIndex],3)&gt;0)*(COUNTIFS(T_TTAFStock[RM_Code],$A5,T_TTAFStock[WeekIndex],3)&gt;0)&gt;0,SUMIFS(T_SelfStock[Self_Qty],T_SelfStock[RM_Code],$A5,T_SelfStock[WeekIndex],3)+SUMIFS(T_TTAFStock[TTAF_Qty],T_TTAFStock[RM_Code],$A5,T_TTAFStock[WeekIndex],3),C5+'Grid_Incoming'!D5-'Grid_Requirement'!D5))</f>
        <v/>
      </c>
      <c r="E5">
        <f>IF(COUNTIFS(T_StockCount[RM_Code],$A5,T_StockCount[WeekIndex],4)&gt;0,SUMIFS(T_StockCount[CountedQty],T_StockCount[RM_Code],$A5,T_StockCount[WeekIndex],4),IF((COUNTIFS(T_SelfStock[RM_Code],$A5,T_SelfStock[WeekIndex],4)&gt;0)*(COUNTIFS(T_TTAFStock[RM_Code],$A5,T_TTAFStock[WeekIndex],4)&gt;0)&gt;0,SUMIFS(T_SelfStock[Self_Qty],T_SelfStock[RM_Code],$A5,T_SelfStock[WeekIndex],4)+SUMIFS(T_TTAFStock[TTAF_Qty],T_TTAFStock[RM_Code],$A5,T_TTAFStock[WeekIndex],4),D5+'Grid_Incoming'!E5-'Grid_Requirement'!E5))</f>
        <v/>
      </c>
      <c r="F5">
        <f>IF(COUNTIFS(T_StockCount[RM_Code],$A5,T_StockCount[WeekIndex],5)&gt;0,SUMIFS(T_StockCount[CountedQty],T_StockCount[RM_Code],$A5,T_StockCount[WeekIndex],5),IF((COUNTIFS(T_SelfStock[RM_Code],$A5,T_SelfStock[WeekIndex],5)&gt;0)*(COUNTIFS(T_TTAFStock[RM_Code],$A5,T_TTAFStock[WeekIndex],5)&gt;0)&gt;0,SUMIFS(T_SelfStock[Self_Qty],T_SelfStock[RM_Code],$A5,T_SelfStock[WeekIndex],5)+SUMIFS(T_TTAFStock[TTAF_Qty],T_TTAFStock[RM_Code],$A5,T_TTAFStock[WeekIndex],5),E5+'Grid_Incoming'!F5-'Grid_Requirement'!F5))</f>
        <v/>
      </c>
      <c r="G5">
        <f>IF(COUNTIFS(T_StockCount[RM_Code],$A5,T_StockCount[WeekIndex],6)&gt;0,SUMIFS(T_StockCount[CountedQty],T_StockCount[RM_Code],$A5,T_StockCount[WeekIndex],6),IF((COUNTIFS(T_SelfStock[RM_Code],$A5,T_SelfStock[WeekIndex],6)&gt;0)*(COUNTIFS(T_TTAFStock[RM_Code],$A5,T_TTAFStock[WeekIndex],6)&gt;0)&gt;0,SUMIFS(T_SelfStock[Self_Qty],T_SelfStock[RM_Code],$A5,T_SelfStock[WeekIndex],6)+SUMIFS(T_TTAFStock[TTAF_Qty],T_TTAFStock[RM_Code],$A5,T_TTAFStock[WeekIndex],6),F5+'Grid_Incoming'!G5-'Grid_Requirement'!G5))</f>
        <v/>
      </c>
      <c r="H5">
        <f>IF(COUNTIFS(T_StockCount[RM_Code],$A5,T_StockCount[WeekIndex],7)&gt;0,SUMIFS(T_StockCount[CountedQty],T_StockCount[RM_Code],$A5,T_StockCount[WeekIndex],7),IF((COUNTIFS(T_SelfStock[RM_Code],$A5,T_SelfStock[WeekIndex],7)&gt;0)*(COUNTIFS(T_TTAFStock[RM_Code],$A5,T_TTAFStock[WeekIndex],7)&gt;0)&gt;0,SUMIFS(T_SelfStock[Self_Qty],T_SelfStock[RM_Code],$A5,T_SelfStock[WeekIndex],7)+SUMIFS(T_TTAFStock[TTAF_Qty],T_TTAFStock[RM_Code],$A5,T_TTAFStock[WeekIndex],7),G5+'Grid_Incoming'!H5-'Grid_Requirement'!H5))</f>
        <v/>
      </c>
      <c r="I5">
        <f>IF(COUNTIFS(T_StockCount[RM_Code],$A5,T_StockCount[WeekIndex],8)&gt;0,SUMIFS(T_StockCount[CountedQty],T_StockCount[RM_Code],$A5,T_StockCount[WeekIndex],8),IF((COUNTIFS(T_SelfStock[RM_Code],$A5,T_SelfStock[WeekIndex],8)&gt;0)*(COUNTIFS(T_TTAFStock[RM_Code],$A5,T_TTAFStock[WeekIndex],8)&gt;0)&gt;0,SUMIFS(T_SelfStock[Self_Qty],T_SelfStock[RM_Code],$A5,T_SelfStock[WeekIndex],8)+SUMIFS(T_TTAFStock[TTAF_Qty],T_TTAFStock[RM_Code],$A5,T_TTAFStock[WeekIndex],8),H5+'Grid_Incoming'!I5-'Grid_Requirement'!I5))</f>
        <v/>
      </c>
      <c r="J5">
        <f>IF(COUNTIFS(T_StockCount[RM_Code],$A5,T_StockCount[WeekIndex],9)&gt;0,SUMIFS(T_StockCount[CountedQty],T_StockCount[RM_Code],$A5,T_StockCount[WeekIndex],9),IF((COUNTIFS(T_SelfStock[RM_Code],$A5,T_SelfStock[WeekIndex],9)&gt;0)*(COUNTIFS(T_TTAFStock[RM_Code],$A5,T_TTAFStock[WeekIndex],9)&gt;0)&gt;0,SUMIFS(T_SelfStock[Self_Qty],T_SelfStock[RM_Code],$A5,T_SelfStock[WeekIndex],9)+SUMIFS(T_TTAFStock[TTAF_Qty],T_TTAFStock[RM_Code],$A5,T_TTAFStock[WeekIndex],9),I5+'Grid_Incoming'!J5-'Grid_Requirement'!J5))</f>
        <v/>
      </c>
      <c r="K5">
        <f>IF(COUNTIFS(T_StockCount[RM_Code],$A5,T_StockCount[WeekIndex],10)&gt;0,SUMIFS(T_StockCount[CountedQty],T_StockCount[RM_Code],$A5,T_StockCount[WeekIndex],10),IF((COUNTIFS(T_SelfStock[RM_Code],$A5,T_SelfStock[WeekIndex],10)&gt;0)*(COUNTIFS(T_TTAFStock[RM_Code],$A5,T_TTAFStock[WeekIndex],10)&gt;0)&gt;0,SUMIFS(T_SelfStock[Self_Qty],T_SelfStock[RM_Code],$A5,T_SelfStock[WeekIndex],10)+SUMIFS(T_TTAFStock[TTAF_Qty],T_TTAFStock[RM_Code],$A5,T_TTAFStock[WeekIndex],10),J5+'Grid_Incoming'!K5-'Grid_Requirement'!K5))</f>
        <v/>
      </c>
      <c r="L5">
        <f>IF(COUNTIFS(T_StockCount[RM_Code],$A5,T_StockCount[WeekIndex],11)&gt;0,SUMIFS(T_StockCount[CountedQty],T_StockCount[RM_Code],$A5,T_StockCount[WeekIndex],11),IF((COUNTIFS(T_SelfStock[RM_Code],$A5,T_SelfStock[WeekIndex],11)&gt;0)*(COUNTIFS(T_TTAFStock[RM_Code],$A5,T_TTAFStock[WeekIndex],11)&gt;0)&gt;0,SUMIFS(T_SelfStock[Self_Qty],T_SelfStock[RM_Code],$A5,T_SelfStock[WeekIndex],11)+SUMIFS(T_TTAFStock[TTAF_Qty],T_TTAFStock[RM_Code],$A5,T_TTAFStock[WeekIndex],11),K5+'Grid_Incoming'!L5-'Grid_Requirement'!L5))</f>
        <v/>
      </c>
      <c r="M5">
        <f>IF(COUNTIFS(T_StockCount[RM_Code],$A5,T_StockCount[WeekIndex],12)&gt;0,SUMIFS(T_StockCount[CountedQty],T_StockCount[RM_Code],$A5,T_StockCount[WeekIndex],12),IF((COUNTIFS(T_SelfStock[RM_Code],$A5,T_SelfStock[WeekIndex],12)&gt;0)*(COUNTIFS(T_TTAFStock[RM_Code],$A5,T_TTAFStock[WeekIndex],12)&gt;0)&gt;0,SUMIFS(T_SelfStock[Self_Qty],T_SelfStock[RM_Code],$A5,T_SelfStock[WeekIndex],12)+SUMIFS(T_TTAFStock[TTAF_Qty],T_TTAFStock[RM_Code],$A5,T_TTAFStock[WeekIndex],12),L5+'Grid_Incoming'!M5-'Grid_Requirement'!M5))</f>
        <v/>
      </c>
      <c r="N5">
        <f>IF(COUNTIFS(T_StockCount[RM_Code],$A5,T_StockCount[WeekIndex],13)&gt;0,SUMIFS(T_StockCount[CountedQty],T_StockCount[RM_Code],$A5,T_StockCount[WeekIndex],13),IF((COUNTIFS(T_SelfStock[RM_Code],$A5,T_SelfStock[WeekIndex],13)&gt;0)*(COUNTIFS(T_TTAFStock[RM_Code],$A5,T_TTAFStock[WeekIndex],13)&gt;0)&gt;0,SUMIFS(T_SelfStock[Self_Qty],T_SelfStock[RM_Code],$A5,T_SelfStock[WeekIndex],13)+SUMIFS(T_TTAFStock[TTAF_Qty],T_TTAFStock[RM_Code],$A5,T_TTAFStock[WeekIndex],13),M5+'Grid_Incoming'!N5-'Grid_Requirement'!N5))</f>
        <v/>
      </c>
      <c r="O5">
        <f>IF(COUNTIFS(T_StockCount[RM_Code],$A5,T_StockCount[WeekIndex],14)&gt;0,SUMIFS(T_StockCount[CountedQty],T_StockCount[RM_Code],$A5,T_StockCount[WeekIndex],14),IF((COUNTIFS(T_SelfStock[RM_Code],$A5,T_SelfStock[WeekIndex],14)&gt;0)*(COUNTIFS(T_TTAFStock[RM_Code],$A5,T_TTAFStock[WeekIndex],14)&gt;0)&gt;0,SUMIFS(T_SelfStock[Self_Qty],T_SelfStock[RM_Code],$A5,T_SelfStock[WeekIndex],14)+SUMIFS(T_TTAFStock[TTAF_Qty],T_TTAFStock[RM_Code],$A5,T_TTAFStock[WeekIndex],14),N5+'Grid_Incoming'!O5-'Grid_Requirement'!O5))</f>
        <v/>
      </c>
      <c r="P5">
        <f>IF(COUNTIFS(T_StockCount[RM_Code],$A5,T_StockCount[WeekIndex],15)&gt;0,SUMIFS(T_StockCount[CountedQty],T_StockCount[RM_Code],$A5,T_StockCount[WeekIndex],15),IF((COUNTIFS(T_SelfStock[RM_Code],$A5,T_SelfStock[WeekIndex],15)&gt;0)*(COUNTIFS(T_TTAFStock[RM_Code],$A5,T_TTAFStock[WeekIndex],15)&gt;0)&gt;0,SUMIFS(T_SelfStock[Self_Qty],T_SelfStock[RM_Code],$A5,T_SelfStock[WeekIndex],15)+SUMIFS(T_TTAFStock[TTAF_Qty],T_TTAFStock[RM_Code],$A5,T_TTAFStock[WeekIndex],15),O5+'Grid_Incoming'!P5-'Grid_Requirement'!P5))</f>
        <v/>
      </c>
      <c r="Q5">
        <f>IF(COUNTIFS(T_StockCount[RM_Code],$A5,T_StockCount[WeekIndex],16)&gt;0,SUMIFS(T_StockCount[CountedQty],T_StockCount[RM_Code],$A5,T_StockCount[WeekIndex],16),IF((COUNTIFS(T_SelfStock[RM_Code],$A5,T_SelfStock[WeekIndex],16)&gt;0)*(COUNTIFS(T_TTAFStock[RM_Code],$A5,T_TTAFStock[WeekIndex],16)&gt;0)&gt;0,SUMIFS(T_SelfStock[Self_Qty],T_SelfStock[RM_Code],$A5,T_SelfStock[WeekIndex],16)+SUMIFS(T_TTAFStock[TTAF_Qty],T_TTAFStock[RM_Code],$A5,T_TTAFStock[WeekIndex],16),P5+'Grid_Incoming'!Q5-'Grid_Requirement'!Q5))</f>
        <v/>
      </c>
      <c r="R5">
        <f>IF(COUNTIFS(T_StockCount[RM_Code],$A5,T_StockCount[WeekIndex],17)&gt;0,SUMIFS(T_StockCount[CountedQty],T_StockCount[RM_Code],$A5,T_StockCount[WeekIndex],17),IF((COUNTIFS(T_SelfStock[RM_Code],$A5,T_SelfStock[WeekIndex],17)&gt;0)*(COUNTIFS(T_TTAFStock[RM_Code],$A5,T_TTAFStock[WeekIndex],17)&gt;0)&gt;0,SUMIFS(T_SelfStock[Self_Qty],T_SelfStock[RM_Code],$A5,T_SelfStock[WeekIndex],17)+SUMIFS(T_TTAFStock[TTAF_Qty],T_TTAFStock[RM_Code],$A5,T_TTAFStock[WeekIndex],17),Q5+'Grid_Incoming'!R5-'Grid_Requirement'!R5))</f>
        <v/>
      </c>
      <c r="S5">
        <f>IF(COUNTIFS(T_StockCount[RM_Code],$A5,T_StockCount[WeekIndex],18)&gt;0,SUMIFS(T_StockCount[CountedQty],T_StockCount[RM_Code],$A5,T_StockCount[WeekIndex],18),IF((COUNTIFS(T_SelfStock[RM_Code],$A5,T_SelfStock[WeekIndex],18)&gt;0)*(COUNTIFS(T_TTAFStock[RM_Code],$A5,T_TTAFStock[WeekIndex],18)&gt;0)&gt;0,SUMIFS(T_SelfStock[Self_Qty],T_SelfStock[RM_Code],$A5,T_SelfStock[WeekIndex],18)+SUMIFS(T_TTAFStock[TTAF_Qty],T_TTAFStock[RM_Code],$A5,T_TTAFStock[WeekIndex],18),R5+'Grid_Incoming'!S5-'Grid_Requirement'!S5))</f>
        <v/>
      </c>
      <c r="T5">
        <f>IF(COUNTIFS(T_StockCount[RM_Code],$A5,T_StockCount[WeekIndex],19)&gt;0,SUMIFS(T_StockCount[CountedQty],T_StockCount[RM_Code],$A5,T_StockCount[WeekIndex],19),IF((COUNTIFS(T_SelfStock[RM_Code],$A5,T_SelfStock[WeekIndex],19)&gt;0)*(COUNTIFS(T_TTAFStock[RM_Code],$A5,T_TTAFStock[WeekIndex],19)&gt;0)&gt;0,SUMIFS(T_SelfStock[Self_Qty],T_SelfStock[RM_Code],$A5,T_SelfStock[WeekIndex],19)+SUMIFS(T_TTAFStock[TTAF_Qty],T_TTAFStock[RM_Code],$A5,T_TTAFStock[WeekIndex],19),S5+'Grid_Incoming'!T5-'Grid_Requirement'!T5))</f>
        <v/>
      </c>
      <c r="U5">
        <f>IF(COUNTIFS(T_StockCount[RM_Code],$A5,T_StockCount[WeekIndex],20)&gt;0,SUMIFS(T_StockCount[CountedQty],T_StockCount[RM_Code],$A5,T_StockCount[WeekIndex],20),IF((COUNTIFS(T_SelfStock[RM_Code],$A5,T_SelfStock[WeekIndex],20)&gt;0)*(COUNTIFS(T_TTAFStock[RM_Code],$A5,T_TTAFStock[WeekIndex],20)&gt;0)&gt;0,SUMIFS(T_SelfStock[Self_Qty],T_SelfStock[RM_Code],$A5,T_SelfStock[WeekIndex],20)+SUMIFS(T_TTAFStock[TTAF_Qty],T_TTAFStock[RM_Code],$A5,T_TTAFStock[WeekIndex],20),T5+'Grid_Incoming'!U5-'Grid_Requirement'!U5))</f>
        <v/>
      </c>
      <c r="V5">
        <f>IF(COUNTIFS(T_StockCount[RM_Code],$A5,T_StockCount[WeekIndex],21)&gt;0,SUMIFS(T_StockCount[CountedQty],T_StockCount[RM_Code],$A5,T_StockCount[WeekIndex],21),IF((COUNTIFS(T_SelfStock[RM_Code],$A5,T_SelfStock[WeekIndex],21)&gt;0)*(COUNTIFS(T_TTAFStock[RM_Code],$A5,T_TTAFStock[WeekIndex],21)&gt;0)&gt;0,SUMIFS(T_SelfStock[Self_Qty],T_SelfStock[RM_Code],$A5,T_SelfStock[WeekIndex],21)+SUMIFS(T_TTAFStock[TTAF_Qty],T_TTAFStock[RM_Code],$A5,T_TTAFStock[WeekIndex],21),U5+'Grid_Incoming'!V5-'Grid_Requirement'!V5))</f>
        <v/>
      </c>
      <c r="W5">
        <f>IF(COUNTIFS(T_StockCount[RM_Code],$A5,T_StockCount[WeekIndex],22)&gt;0,SUMIFS(T_StockCount[CountedQty],T_StockCount[RM_Code],$A5,T_StockCount[WeekIndex],22),IF((COUNTIFS(T_SelfStock[RM_Code],$A5,T_SelfStock[WeekIndex],22)&gt;0)*(COUNTIFS(T_TTAFStock[RM_Code],$A5,T_TTAFStock[WeekIndex],22)&gt;0)&gt;0,SUMIFS(T_SelfStock[Self_Qty],T_SelfStock[RM_Code],$A5,T_SelfStock[WeekIndex],22)+SUMIFS(T_TTAFStock[TTAF_Qty],T_TTAFStock[RM_Code],$A5,T_TTAFStock[WeekIndex],22),V5+'Grid_Incoming'!W5-'Grid_Requirement'!W5))</f>
        <v/>
      </c>
      <c r="X5">
        <f>IF(COUNTIFS(T_StockCount[RM_Code],$A5,T_StockCount[WeekIndex],23)&gt;0,SUMIFS(T_StockCount[CountedQty],T_StockCount[RM_Code],$A5,T_StockCount[WeekIndex],23),IF((COUNTIFS(T_SelfStock[RM_Code],$A5,T_SelfStock[WeekIndex],23)&gt;0)*(COUNTIFS(T_TTAFStock[RM_Code],$A5,T_TTAFStock[WeekIndex],23)&gt;0)&gt;0,SUMIFS(T_SelfStock[Self_Qty],T_SelfStock[RM_Code],$A5,T_SelfStock[WeekIndex],23)+SUMIFS(T_TTAFStock[TTAF_Qty],T_TTAFStock[RM_Code],$A5,T_TTAFStock[WeekIndex],23),W5+'Grid_Incoming'!X5-'Grid_Requirement'!X5))</f>
        <v/>
      </c>
      <c r="Y5">
        <f>IF(COUNTIFS(T_StockCount[RM_Code],$A5,T_StockCount[WeekIndex],24)&gt;0,SUMIFS(T_StockCount[CountedQty],T_StockCount[RM_Code],$A5,T_StockCount[WeekIndex],24),IF((COUNTIFS(T_SelfStock[RM_Code],$A5,T_SelfStock[WeekIndex],24)&gt;0)*(COUNTIFS(T_TTAFStock[RM_Code],$A5,T_TTAFStock[WeekIndex],24)&gt;0)&gt;0,SUMIFS(T_SelfStock[Self_Qty],T_SelfStock[RM_Code],$A5,T_SelfStock[WeekIndex],24)+SUMIFS(T_TTAFStock[TTAF_Qty],T_TTAFStock[RM_Code],$A5,T_TTAFStock[WeekIndex],24),X5+'Grid_Incoming'!Y5-'Grid_Requirement'!Y5))</f>
        <v/>
      </c>
      <c r="Z5">
        <f>IF(COUNTIFS(T_StockCount[RM_Code],$A5,T_StockCount[WeekIndex],25)&gt;0,SUMIFS(T_StockCount[CountedQty],T_StockCount[RM_Code],$A5,T_StockCount[WeekIndex],25),IF((COUNTIFS(T_SelfStock[RM_Code],$A5,T_SelfStock[WeekIndex],25)&gt;0)*(COUNTIFS(T_TTAFStock[RM_Code],$A5,T_TTAFStock[WeekIndex],25)&gt;0)&gt;0,SUMIFS(T_SelfStock[Self_Qty],T_SelfStock[RM_Code],$A5,T_SelfStock[WeekIndex],25)+SUMIFS(T_TTAFStock[TTAF_Qty],T_TTAFStock[RM_Code],$A5,T_TTAFStock[WeekIndex],25),Y5+'Grid_Incoming'!Z5-'Grid_Requirement'!Z5))</f>
        <v/>
      </c>
      <c r="AA5">
        <f>IF(COUNTIFS(T_StockCount[RM_Code],$A5,T_StockCount[WeekIndex],26)&gt;0,SUMIFS(T_StockCount[CountedQty],T_StockCount[RM_Code],$A5,T_StockCount[WeekIndex],26),IF((COUNTIFS(T_SelfStock[RM_Code],$A5,T_SelfStock[WeekIndex],26)&gt;0)*(COUNTIFS(T_TTAFStock[RM_Code],$A5,T_TTAFStock[WeekIndex],26)&gt;0)&gt;0,SUMIFS(T_SelfStock[Self_Qty],T_SelfStock[RM_Code],$A5,T_SelfStock[WeekIndex],26)+SUMIFS(T_TTAFStock[TTAF_Qty],T_TTAFStock[RM_Code],$A5,T_TTAFStock[WeekIndex],26),Z5+'Grid_Incoming'!AA5-'Grid_Requirement'!AA5))</f>
        <v/>
      </c>
      <c r="AB5">
        <f>IF(COUNTIFS(T_StockCount[RM_Code],$A5,T_StockCount[WeekIndex],27)&gt;0,SUMIFS(T_StockCount[CountedQty],T_StockCount[RM_Code],$A5,T_StockCount[WeekIndex],27),IF((COUNTIFS(T_SelfStock[RM_Code],$A5,T_SelfStock[WeekIndex],27)&gt;0)*(COUNTIFS(T_TTAFStock[RM_Code],$A5,T_TTAFStock[WeekIndex],27)&gt;0)&gt;0,SUMIFS(T_SelfStock[Self_Qty],T_SelfStock[RM_Code],$A5,T_SelfStock[WeekIndex],27)+SUMIFS(T_TTAFStock[TTAF_Qty],T_TTAFStock[RM_Code],$A5,T_TTAFStock[WeekIndex],27),AA5+'Grid_Incoming'!AB5-'Grid_Requirement'!AB5))</f>
        <v/>
      </c>
      <c r="AC5">
        <f>IF(COUNTIFS(T_StockCount[RM_Code],$A5,T_StockCount[WeekIndex],28)&gt;0,SUMIFS(T_StockCount[CountedQty],T_StockCount[RM_Code],$A5,T_StockCount[WeekIndex],28),IF((COUNTIFS(T_SelfStock[RM_Code],$A5,T_SelfStock[WeekIndex],28)&gt;0)*(COUNTIFS(T_TTAFStock[RM_Code],$A5,T_TTAFStock[WeekIndex],28)&gt;0)&gt;0,SUMIFS(T_SelfStock[Self_Qty],T_SelfStock[RM_Code],$A5,T_SelfStock[WeekIndex],28)+SUMIFS(T_TTAFStock[TTAF_Qty],T_TTAFStock[RM_Code],$A5,T_TTAFStock[WeekIndex],28),AB5+'Grid_Incoming'!AC5-'Grid_Requirement'!AC5))</f>
        <v/>
      </c>
      <c r="AD5">
        <f>IF(COUNTIFS(T_StockCount[RM_Code],$A5,T_StockCount[WeekIndex],29)&gt;0,SUMIFS(T_StockCount[CountedQty],T_StockCount[RM_Code],$A5,T_StockCount[WeekIndex],29),IF((COUNTIFS(T_SelfStock[RM_Code],$A5,T_SelfStock[WeekIndex],29)&gt;0)*(COUNTIFS(T_TTAFStock[RM_Code],$A5,T_TTAFStock[WeekIndex],29)&gt;0)&gt;0,SUMIFS(T_SelfStock[Self_Qty],T_SelfStock[RM_Code],$A5,T_SelfStock[WeekIndex],29)+SUMIFS(T_TTAFStock[TTAF_Qty],T_TTAFStock[RM_Code],$A5,T_TTAFStock[WeekIndex],29),AC5+'Grid_Incoming'!AD5-'Grid_Requirement'!AD5))</f>
        <v/>
      </c>
      <c r="AE5">
        <f>IF(COUNTIFS(T_StockCount[RM_Code],$A5,T_StockCount[WeekIndex],30)&gt;0,SUMIFS(T_StockCount[CountedQty],T_StockCount[RM_Code],$A5,T_StockCount[WeekIndex],30),IF((COUNTIFS(T_SelfStock[RM_Code],$A5,T_SelfStock[WeekIndex],30)&gt;0)*(COUNTIFS(T_TTAFStock[RM_Code],$A5,T_TTAFStock[WeekIndex],30)&gt;0)&gt;0,SUMIFS(T_SelfStock[Self_Qty],T_SelfStock[RM_Code],$A5,T_SelfStock[WeekIndex],30)+SUMIFS(T_TTAFStock[TTAF_Qty],T_TTAFStock[RM_Code],$A5,T_TTAFStock[WeekIndex],30),AD5+'Grid_Incoming'!AE5-'Grid_Requirement'!AE5))</f>
        <v/>
      </c>
      <c r="AF5">
        <f>IF(COUNTIFS(T_StockCount[RM_Code],$A5,T_StockCount[WeekIndex],31)&gt;0,SUMIFS(T_StockCount[CountedQty],T_StockCount[RM_Code],$A5,T_StockCount[WeekIndex],31),IF((COUNTIFS(T_SelfStock[RM_Code],$A5,T_SelfStock[WeekIndex],31)&gt;0)*(COUNTIFS(T_TTAFStock[RM_Code],$A5,T_TTAFStock[WeekIndex],31)&gt;0)&gt;0,SUMIFS(T_SelfStock[Self_Qty],T_SelfStock[RM_Code],$A5,T_SelfStock[WeekIndex],31)+SUMIFS(T_TTAFStock[TTAF_Qty],T_TTAFStock[RM_Code],$A5,T_TTAFStock[WeekIndex],31),AE5+'Grid_Incoming'!AF5-'Grid_Requirement'!AF5))</f>
        <v/>
      </c>
      <c r="AG5">
        <f>IF(COUNTIFS(T_StockCount[RM_Code],$A5,T_StockCount[WeekIndex],32)&gt;0,SUMIFS(T_StockCount[CountedQty],T_StockCount[RM_Code],$A5,T_StockCount[WeekIndex],32),IF((COUNTIFS(T_SelfStock[RM_Code],$A5,T_SelfStock[WeekIndex],32)&gt;0)*(COUNTIFS(T_TTAFStock[RM_Code],$A5,T_TTAFStock[WeekIndex],32)&gt;0)&gt;0,SUMIFS(T_SelfStock[Self_Qty],T_SelfStock[RM_Code],$A5,T_SelfStock[WeekIndex],32)+SUMIFS(T_TTAFStock[TTAF_Qty],T_TTAFStock[RM_Code],$A5,T_TTAFStock[WeekIndex],32),AF5+'Grid_Incoming'!AG5-'Grid_Requirement'!AG5))</f>
        <v/>
      </c>
      <c r="AH5">
        <f>IF(COUNTIFS(T_StockCount[RM_Code],$A5,T_StockCount[WeekIndex],33)&gt;0,SUMIFS(T_StockCount[CountedQty],T_StockCount[RM_Code],$A5,T_StockCount[WeekIndex],33),IF((COUNTIFS(T_SelfStock[RM_Code],$A5,T_SelfStock[WeekIndex],33)&gt;0)*(COUNTIFS(T_TTAFStock[RM_Code],$A5,T_TTAFStock[WeekIndex],33)&gt;0)&gt;0,SUMIFS(T_SelfStock[Self_Qty],T_SelfStock[RM_Code],$A5,T_SelfStock[WeekIndex],33)+SUMIFS(T_TTAFStock[TTAF_Qty],T_TTAFStock[RM_Code],$A5,T_TTAFStock[WeekIndex],33),AG5+'Grid_Incoming'!AH5-'Grid_Requirement'!AH5))</f>
        <v/>
      </c>
      <c r="AI5">
        <f>IF(COUNTIFS(T_StockCount[RM_Code],$A5,T_StockCount[WeekIndex],34)&gt;0,SUMIFS(T_StockCount[CountedQty],T_StockCount[RM_Code],$A5,T_StockCount[WeekIndex],34),IF((COUNTIFS(T_SelfStock[RM_Code],$A5,T_SelfStock[WeekIndex],34)&gt;0)*(COUNTIFS(T_TTAFStock[RM_Code],$A5,T_TTAFStock[WeekIndex],34)&gt;0)&gt;0,SUMIFS(T_SelfStock[Self_Qty],T_SelfStock[RM_Code],$A5,T_SelfStock[WeekIndex],34)+SUMIFS(T_TTAFStock[TTAF_Qty],T_TTAFStock[RM_Code],$A5,T_TTAFStock[WeekIndex],34),AH5+'Grid_Incoming'!AI5-'Grid_Requirement'!AI5))</f>
        <v/>
      </c>
      <c r="AJ5">
        <f>IF(COUNTIFS(T_StockCount[RM_Code],$A5,T_StockCount[WeekIndex],35)&gt;0,SUMIFS(T_StockCount[CountedQty],T_StockCount[RM_Code],$A5,T_StockCount[WeekIndex],35),IF((COUNTIFS(T_SelfStock[RM_Code],$A5,T_SelfStock[WeekIndex],35)&gt;0)*(COUNTIFS(T_TTAFStock[RM_Code],$A5,T_TTAFStock[WeekIndex],35)&gt;0)&gt;0,SUMIFS(T_SelfStock[Self_Qty],T_SelfStock[RM_Code],$A5,T_SelfStock[WeekIndex],35)+SUMIFS(T_TTAFStock[TTAF_Qty],T_TTAFStock[RM_Code],$A5,T_TTAFStock[WeekIndex],35),AI5+'Grid_Incoming'!AJ5-'Grid_Requirement'!AJ5))</f>
        <v/>
      </c>
      <c r="AK5">
        <f>IF(COUNTIFS(T_StockCount[RM_Code],$A5,T_StockCount[WeekIndex],36)&gt;0,SUMIFS(T_StockCount[CountedQty],T_StockCount[RM_Code],$A5,T_StockCount[WeekIndex],36),IF((COUNTIFS(T_SelfStock[RM_Code],$A5,T_SelfStock[WeekIndex],36)&gt;0)*(COUNTIFS(T_TTAFStock[RM_Code],$A5,T_TTAFStock[WeekIndex],36)&gt;0)&gt;0,SUMIFS(T_SelfStock[Self_Qty],T_SelfStock[RM_Code],$A5,T_SelfStock[WeekIndex],36)+SUMIFS(T_TTAFStock[TTAF_Qty],T_TTAFStock[RM_Code],$A5,T_TTAFStock[WeekIndex],36),AJ5+'Grid_Incoming'!AK5-'Grid_Requirement'!AK5))</f>
        <v/>
      </c>
      <c r="AL5">
        <f>IF(COUNTIFS(T_StockCount[RM_Code],$A5,T_StockCount[WeekIndex],37)&gt;0,SUMIFS(T_StockCount[CountedQty],T_StockCount[RM_Code],$A5,T_StockCount[WeekIndex],37),IF((COUNTIFS(T_SelfStock[RM_Code],$A5,T_SelfStock[WeekIndex],37)&gt;0)*(COUNTIFS(T_TTAFStock[RM_Code],$A5,T_TTAFStock[WeekIndex],37)&gt;0)&gt;0,SUMIFS(T_SelfStock[Self_Qty],T_SelfStock[RM_Code],$A5,T_SelfStock[WeekIndex],37)+SUMIFS(T_TTAFStock[TTAF_Qty],T_TTAFStock[RM_Code],$A5,T_TTAFStock[WeekIndex],37),AK5+'Grid_Incoming'!AL5-'Grid_Requirement'!AL5))</f>
        <v/>
      </c>
      <c r="AM5">
        <f>IF(COUNTIFS(T_StockCount[RM_Code],$A5,T_StockCount[WeekIndex],38)&gt;0,SUMIFS(T_StockCount[CountedQty],T_StockCount[RM_Code],$A5,T_StockCount[WeekIndex],38),IF((COUNTIFS(T_SelfStock[RM_Code],$A5,T_SelfStock[WeekIndex],38)&gt;0)*(COUNTIFS(T_TTAFStock[RM_Code],$A5,T_TTAFStock[WeekIndex],38)&gt;0)&gt;0,SUMIFS(T_SelfStock[Self_Qty],T_SelfStock[RM_Code],$A5,T_SelfStock[WeekIndex],38)+SUMIFS(T_TTAFStock[TTAF_Qty],T_TTAFStock[RM_Code],$A5,T_TTAFStock[WeekIndex],38),AL5+'Grid_Incoming'!AM5-'Grid_Requirement'!AM5))</f>
        <v/>
      </c>
      <c r="AN5">
        <f>IF(COUNTIFS(T_StockCount[RM_Code],$A5,T_StockCount[WeekIndex],39)&gt;0,SUMIFS(T_StockCount[CountedQty],T_StockCount[RM_Code],$A5,T_StockCount[WeekIndex],39),IF((COUNTIFS(T_SelfStock[RM_Code],$A5,T_SelfStock[WeekIndex],39)&gt;0)*(COUNTIFS(T_TTAFStock[RM_Code],$A5,T_TTAFStock[WeekIndex],39)&gt;0)&gt;0,SUMIFS(T_SelfStock[Self_Qty],T_SelfStock[RM_Code],$A5,T_SelfStock[WeekIndex],39)+SUMIFS(T_TTAFStock[TTAF_Qty],T_TTAFStock[RM_Code],$A5,T_TTAFStock[WeekIndex],39),AM5+'Grid_Incoming'!AN5-'Grid_Requirement'!AN5))</f>
        <v/>
      </c>
      <c r="AO5">
        <f>IF(COUNTIFS(T_StockCount[RM_Code],$A5,T_StockCount[WeekIndex],40)&gt;0,SUMIFS(T_StockCount[CountedQty],T_StockCount[RM_Code],$A5,T_StockCount[WeekIndex],40),IF((COUNTIFS(T_SelfStock[RM_Code],$A5,T_SelfStock[WeekIndex],40)&gt;0)*(COUNTIFS(T_TTAFStock[RM_Code],$A5,T_TTAFStock[WeekIndex],40)&gt;0)&gt;0,SUMIFS(T_SelfStock[Self_Qty],T_SelfStock[RM_Code],$A5,T_SelfStock[WeekIndex],40)+SUMIFS(T_TTAFStock[TTAF_Qty],T_TTAFStock[RM_Code],$A5,T_TTAFStock[WeekIndex],40),AN5+'Grid_Incoming'!AO5-'Grid_Requirement'!AO5))</f>
        <v/>
      </c>
      <c r="AP5">
        <f>IF(COUNTIFS(T_StockCount[RM_Code],$A5,T_StockCount[WeekIndex],41)&gt;0,SUMIFS(T_StockCount[CountedQty],T_StockCount[RM_Code],$A5,T_StockCount[WeekIndex],41),IF((COUNTIFS(T_SelfStock[RM_Code],$A5,T_SelfStock[WeekIndex],41)&gt;0)*(COUNTIFS(T_TTAFStock[RM_Code],$A5,T_TTAFStock[WeekIndex],41)&gt;0)&gt;0,SUMIFS(T_SelfStock[Self_Qty],T_SelfStock[RM_Code],$A5,T_SelfStock[WeekIndex],41)+SUMIFS(T_TTAFStock[TTAF_Qty],T_TTAFStock[RM_Code],$A5,T_TTAFStock[WeekIndex],41),AO5+'Grid_Incoming'!AP5-'Grid_Requirement'!AP5))</f>
        <v/>
      </c>
      <c r="AQ5">
        <f>IF(COUNTIFS(T_StockCount[RM_Code],$A5,T_StockCount[WeekIndex],42)&gt;0,SUMIFS(T_StockCount[CountedQty],T_StockCount[RM_Code],$A5,T_StockCount[WeekIndex],42),IF((COUNTIFS(T_SelfStock[RM_Code],$A5,T_SelfStock[WeekIndex],42)&gt;0)*(COUNTIFS(T_TTAFStock[RM_Code],$A5,T_TTAFStock[WeekIndex],42)&gt;0)&gt;0,SUMIFS(T_SelfStock[Self_Qty],T_SelfStock[RM_Code],$A5,T_SelfStock[WeekIndex],42)+SUMIFS(T_TTAFStock[TTAF_Qty],T_TTAFStock[RM_Code],$A5,T_TTAFStock[WeekIndex],42),AP5+'Grid_Incoming'!AQ5-'Grid_Requirement'!AQ5))</f>
        <v/>
      </c>
      <c r="AR5">
        <f>IF(COUNTIFS(T_StockCount[RM_Code],$A5,T_StockCount[WeekIndex],43)&gt;0,SUMIFS(T_StockCount[CountedQty],T_StockCount[RM_Code],$A5,T_StockCount[WeekIndex],43),IF((COUNTIFS(T_SelfStock[RM_Code],$A5,T_SelfStock[WeekIndex],43)&gt;0)*(COUNTIFS(T_TTAFStock[RM_Code],$A5,T_TTAFStock[WeekIndex],43)&gt;0)&gt;0,SUMIFS(T_SelfStock[Self_Qty],T_SelfStock[RM_Code],$A5,T_SelfStock[WeekIndex],43)+SUMIFS(T_TTAFStock[TTAF_Qty],T_TTAFStock[RM_Code],$A5,T_TTAFStock[WeekIndex],43),AQ5+'Grid_Incoming'!AR5-'Grid_Requirement'!AR5))</f>
        <v/>
      </c>
      <c r="AS5">
        <f>IF(COUNTIFS(T_StockCount[RM_Code],$A5,T_StockCount[WeekIndex],44)&gt;0,SUMIFS(T_StockCount[CountedQty],T_StockCount[RM_Code],$A5,T_StockCount[WeekIndex],44),IF((COUNTIFS(T_SelfStock[RM_Code],$A5,T_SelfStock[WeekIndex],44)&gt;0)*(COUNTIFS(T_TTAFStock[RM_Code],$A5,T_TTAFStock[WeekIndex],44)&gt;0)&gt;0,SUMIFS(T_SelfStock[Self_Qty],T_SelfStock[RM_Code],$A5,T_SelfStock[WeekIndex],44)+SUMIFS(T_TTAFStock[TTAF_Qty],T_TTAFStock[RM_Code],$A5,T_TTAFStock[WeekIndex],44),AR5+'Grid_Incoming'!AS5-'Grid_Requirement'!AS5))</f>
        <v/>
      </c>
      <c r="AT5">
        <f>IF(COUNTIFS(T_StockCount[RM_Code],$A5,T_StockCount[WeekIndex],45)&gt;0,SUMIFS(T_StockCount[CountedQty],T_StockCount[RM_Code],$A5,T_StockCount[WeekIndex],45),IF((COUNTIFS(T_SelfStock[RM_Code],$A5,T_SelfStock[WeekIndex],45)&gt;0)*(COUNTIFS(T_TTAFStock[RM_Code],$A5,T_TTAFStock[WeekIndex],45)&gt;0)&gt;0,SUMIFS(T_SelfStock[Self_Qty],T_SelfStock[RM_Code],$A5,T_SelfStock[WeekIndex],45)+SUMIFS(T_TTAFStock[TTAF_Qty],T_TTAFStock[RM_Code],$A5,T_TTAFStock[WeekIndex],45),AS5+'Grid_Incoming'!AT5-'Grid_Requirement'!AT5))</f>
        <v/>
      </c>
      <c r="AU5">
        <f>IF(COUNTIFS(T_StockCount[RM_Code],$A5,T_StockCount[WeekIndex],46)&gt;0,SUMIFS(T_StockCount[CountedQty],T_StockCount[RM_Code],$A5,T_StockCount[WeekIndex],46),IF((COUNTIFS(T_SelfStock[RM_Code],$A5,T_SelfStock[WeekIndex],46)&gt;0)*(COUNTIFS(T_TTAFStock[RM_Code],$A5,T_TTAFStock[WeekIndex],46)&gt;0)&gt;0,SUMIFS(T_SelfStock[Self_Qty],T_SelfStock[RM_Code],$A5,T_SelfStock[WeekIndex],46)+SUMIFS(T_TTAFStock[TTAF_Qty],T_TTAFStock[RM_Code],$A5,T_TTAFStock[WeekIndex],46),AT5+'Grid_Incoming'!AU5-'Grid_Requirement'!AU5))</f>
        <v/>
      </c>
      <c r="AV5">
        <f>IF(COUNTIFS(T_StockCount[RM_Code],$A5,T_StockCount[WeekIndex],47)&gt;0,SUMIFS(T_StockCount[CountedQty],T_StockCount[RM_Code],$A5,T_StockCount[WeekIndex],47),IF((COUNTIFS(T_SelfStock[RM_Code],$A5,T_SelfStock[WeekIndex],47)&gt;0)*(COUNTIFS(T_TTAFStock[RM_Code],$A5,T_TTAFStock[WeekIndex],47)&gt;0)&gt;0,SUMIFS(T_SelfStock[Self_Qty],T_SelfStock[RM_Code],$A5,T_SelfStock[WeekIndex],47)+SUMIFS(T_TTAFStock[TTAF_Qty],T_TTAFStock[RM_Code],$A5,T_TTAFStock[WeekIndex],47),AU5+'Grid_Incoming'!AV5-'Grid_Requirement'!AV5))</f>
        <v/>
      </c>
      <c r="AW5">
        <f>IF(COUNTIFS(T_StockCount[RM_Code],$A5,T_StockCount[WeekIndex],48)&gt;0,SUMIFS(T_StockCount[CountedQty],T_StockCount[RM_Code],$A5,T_StockCount[WeekIndex],48),IF((COUNTIFS(T_SelfStock[RM_Code],$A5,T_SelfStock[WeekIndex],48)&gt;0)*(COUNTIFS(T_TTAFStock[RM_Code],$A5,T_TTAFStock[WeekIndex],48)&gt;0)&gt;0,SUMIFS(T_SelfStock[Self_Qty],T_SelfStock[RM_Code],$A5,T_SelfStock[WeekIndex],48)+SUMIFS(T_TTAFStock[TTAF_Qty],T_TTAFStock[RM_Code],$A5,T_TTAFStock[WeekIndex],48),AV5+'Grid_Incoming'!AW5-'Grid_Requirement'!AW5))</f>
        <v/>
      </c>
      <c r="AX5">
        <f>IF(COUNTIFS(T_StockCount[RM_Code],$A5,T_StockCount[WeekIndex],49)&gt;0,SUMIFS(T_StockCount[CountedQty],T_StockCount[RM_Code],$A5,T_StockCount[WeekIndex],49),IF((COUNTIFS(T_SelfStock[RM_Code],$A5,T_SelfStock[WeekIndex],49)&gt;0)*(COUNTIFS(T_TTAFStock[RM_Code],$A5,T_TTAFStock[WeekIndex],49)&gt;0)&gt;0,SUMIFS(T_SelfStock[Self_Qty],T_SelfStock[RM_Code],$A5,T_SelfStock[WeekIndex],49)+SUMIFS(T_TTAFStock[TTAF_Qty],T_TTAFStock[RM_Code],$A5,T_TTAFStock[WeekIndex],49),AW5+'Grid_Incoming'!AX5-'Grid_Requirement'!AX5))</f>
        <v/>
      </c>
      <c r="AY5">
        <f>IF(COUNTIFS(T_StockCount[RM_Code],$A5,T_StockCount[WeekIndex],50)&gt;0,SUMIFS(T_StockCount[CountedQty],T_StockCount[RM_Code],$A5,T_StockCount[WeekIndex],50),IF((COUNTIFS(T_SelfStock[RM_Code],$A5,T_SelfStock[WeekIndex],50)&gt;0)*(COUNTIFS(T_TTAFStock[RM_Code],$A5,T_TTAFStock[WeekIndex],50)&gt;0)&gt;0,SUMIFS(T_SelfStock[Self_Qty],T_SelfStock[RM_Code],$A5,T_SelfStock[WeekIndex],50)+SUMIFS(T_TTAFStock[TTAF_Qty],T_TTAFStock[RM_Code],$A5,T_TTAFStock[WeekIndex],50),AX5+'Grid_Incoming'!AY5-'Grid_Requirement'!AY5))</f>
        <v/>
      </c>
      <c r="AZ5">
        <f>IF(COUNTIFS(T_StockCount[RM_Code],$A5,T_StockCount[WeekIndex],51)&gt;0,SUMIFS(T_StockCount[CountedQty],T_StockCount[RM_Code],$A5,T_StockCount[WeekIndex],51),IF((COUNTIFS(T_SelfStock[RM_Code],$A5,T_SelfStock[WeekIndex],51)&gt;0)*(COUNTIFS(T_TTAFStock[RM_Code],$A5,T_TTAFStock[WeekIndex],51)&gt;0)&gt;0,SUMIFS(T_SelfStock[Self_Qty],T_SelfStock[RM_Code],$A5,T_SelfStock[WeekIndex],51)+SUMIFS(T_TTAFStock[TTAF_Qty],T_TTAFStock[RM_Code],$A5,T_TTAFStock[WeekIndex],51),AY5+'Grid_Incoming'!AZ5-'Grid_Requirement'!AZ5))</f>
        <v/>
      </c>
      <c r="BA5">
        <f>IF(COUNTIFS(T_StockCount[RM_Code],$A5,T_StockCount[WeekIndex],52)&gt;0,SUMIFS(T_StockCount[CountedQty],T_StockCount[RM_Code],$A5,T_StockCount[WeekIndex],52),IF((COUNTIFS(T_SelfStock[RM_Code],$A5,T_SelfStock[WeekIndex],52)&gt;0)*(COUNTIFS(T_TTAFStock[RM_Code],$A5,T_TTAFStock[WeekIndex],52)&gt;0)&gt;0,SUMIFS(T_SelfStock[Self_Qty],T_SelfStock[RM_Code],$A5,T_SelfStock[WeekIndex],52)+SUMIFS(T_TTAFStock[TTAF_Qty],T_TTAFStock[RM_Code],$A5,T_TTAFStock[WeekIndex],52),AZ5+'Grid_Incoming'!BA5-'Grid_Requirement'!BA5))</f>
        <v/>
      </c>
      <c r="BB5">
        <f>IF(COUNTIFS(T_StockCount[RM_Code],$A5,T_StockCount[WeekIndex],53)&gt;0,SUMIFS(T_StockCount[CountedQty],T_StockCount[RM_Code],$A5,T_StockCount[WeekIndex],53),IF((COUNTIFS(T_SelfStock[RM_Code],$A5,T_SelfStock[WeekIndex],53)&gt;0)*(COUNTIFS(T_TTAFStock[RM_Code],$A5,T_TTAFStock[WeekIndex],53)&gt;0)&gt;0,SUMIFS(T_SelfStock[Self_Qty],T_SelfStock[RM_Code],$A5,T_SelfStock[WeekIndex],53)+SUMIFS(T_TTAFStock[TTAF_Qty],T_TTAFStock[RM_Code],$A5,T_TTAFStock[WeekIndex],53),BA5+'Grid_Incoming'!BB5-'Grid_Requirement'!BB5))</f>
        <v/>
      </c>
      <c r="BC5">
        <f>IF(COUNTIFS(T_StockCount[RM_Code],$A5,T_StockCount[WeekIndex],54)&gt;0,SUMIFS(T_StockCount[CountedQty],T_StockCount[RM_Code],$A5,T_StockCount[WeekIndex],54),IF((COUNTIFS(T_SelfStock[RM_Code],$A5,T_SelfStock[WeekIndex],54)&gt;0)*(COUNTIFS(T_TTAFStock[RM_Code],$A5,T_TTAFStock[WeekIndex],54)&gt;0)&gt;0,SUMIFS(T_SelfStock[Self_Qty],T_SelfStock[RM_Code],$A5,T_SelfStock[WeekIndex],54)+SUMIFS(T_TTAFStock[TTAF_Qty],T_TTAFStock[RM_Code],$A5,T_TTAFStock[WeekIndex],54),BB5+'Grid_Incoming'!BC5-'Grid_Requirement'!BC5))</f>
        <v/>
      </c>
      <c r="BD5">
        <f>IF(COUNTIFS(T_StockCount[RM_Code],$A5,T_StockCount[WeekIndex],55)&gt;0,SUMIFS(T_StockCount[CountedQty],T_StockCount[RM_Code],$A5,T_StockCount[WeekIndex],55),IF((COUNTIFS(T_SelfStock[RM_Code],$A5,T_SelfStock[WeekIndex],55)&gt;0)*(COUNTIFS(T_TTAFStock[RM_Code],$A5,T_TTAFStock[WeekIndex],55)&gt;0)&gt;0,SUMIFS(T_SelfStock[Self_Qty],T_SelfStock[RM_Code],$A5,T_SelfStock[WeekIndex],55)+SUMIFS(T_TTAFStock[TTAF_Qty],T_TTAFStock[RM_Code],$A5,T_TTAFStock[WeekIndex],55),BC5+'Grid_Incoming'!BD5-'Grid_Requirement'!BD5))</f>
        <v/>
      </c>
      <c r="BE5">
        <f>IF(COUNTIFS(T_StockCount[RM_Code],$A5,T_StockCount[WeekIndex],56)&gt;0,SUMIFS(T_StockCount[CountedQty],T_StockCount[RM_Code],$A5,T_StockCount[WeekIndex],56),IF((COUNTIFS(T_SelfStock[RM_Code],$A5,T_SelfStock[WeekIndex],56)&gt;0)*(COUNTIFS(T_TTAFStock[RM_Code],$A5,T_TTAFStock[WeekIndex],56)&gt;0)&gt;0,SUMIFS(T_SelfStock[Self_Qty],T_SelfStock[RM_Code],$A5,T_SelfStock[WeekIndex],56)+SUMIFS(T_TTAFStock[TTAF_Qty],T_TTAFStock[RM_Code],$A5,T_TTAFStock[WeekIndex],56),BD5+'Grid_Incoming'!BE5-'Grid_Requirement'!BE5))</f>
        <v/>
      </c>
      <c r="BF5">
        <f>IF(COUNTIFS(T_StockCount[RM_Code],$A5,T_StockCount[WeekIndex],57)&gt;0,SUMIFS(T_StockCount[CountedQty],T_StockCount[RM_Code],$A5,T_StockCount[WeekIndex],57),IF((COUNTIFS(T_SelfStock[RM_Code],$A5,T_SelfStock[WeekIndex],57)&gt;0)*(COUNTIFS(T_TTAFStock[RM_Code],$A5,T_TTAFStock[WeekIndex],57)&gt;0)&gt;0,SUMIFS(T_SelfStock[Self_Qty],T_SelfStock[RM_Code],$A5,T_SelfStock[WeekIndex],57)+SUMIFS(T_TTAFStock[TTAF_Qty],T_TTAFStock[RM_Code],$A5,T_TTAFStock[WeekIndex],57),BE5+'Grid_Incoming'!BF5-'Grid_Requirement'!BF5))</f>
        <v/>
      </c>
      <c r="BG5">
        <f>IF(COUNTIFS(T_StockCount[RM_Code],$A5,T_StockCount[WeekIndex],58)&gt;0,SUMIFS(T_StockCount[CountedQty],T_StockCount[RM_Code],$A5,T_StockCount[WeekIndex],58),IF((COUNTIFS(T_SelfStock[RM_Code],$A5,T_SelfStock[WeekIndex],58)&gt;0)*(COUNTIFS(T_TTAFStock[RM_Code],$A5,T_TTAFStock[WeekIndex],58)&gt;0)&gt;0,SUMIFS(T_SelfStock[Self_Qty],T_SelfStock[RM_Code],$A5,T_SelfStock[WeekIndex],58)+SUMIFS(T_TTAFStock[TTAF_Qty],T_TTAFStock[RM_Code],$A5,T_TTAFStock[WeekIndex],58),BF5+'Grid_Incoming'!BG5-'Grid_Requirement'!BG5))</f>
        <v/>
      </c>
      <c r="BH5">
        <f>IF(COUNTIFS(T_StockCount[RM_Code],$A5,T_StockCount[WeekIndex],59)&gt;0,SUMIFS(T_StockCount[CountedQty],T_StockCount[RM_Code],$A5,T_StockCount[WeekIndex],59),IF((COUNTIFS(T_SelfStock[RM_Code],$A5,T_SelfStock[WeekIndex],59)&gt;0)*(COUNTIFS(T_TTAFStock[RM_Code],$A5,T_TTAFStock[WeekIndex],59)&gt;0)&gt;0,SUMIFS(T_SelfStock[Self_Qty],T_SelfStock[RM_Code],$A5,T_SelfStock[WeekIndex],59)+SUMIFS(T_TTAFStock[TTAF_Qty],T_TTAFStock[RM_Code],$A5,T_TTAFStock[WeekIndex],59),BG5+'Grid_Incoming'!BH5-'Grid_Requirement'!BH5))</f>
        <v/>
      </c>
      <c r="BI5">
        <f>IF(COUNTIFS(T_StockCount[RM_Code],$A5,T_StockCount[WeekIndex],60)&gt;0,SUMIFS(T_StockCount[CountedQty],T_StockCount[RM_Code],$A5,T_StockCount[WeekIndex],60),IF((COUNTIFS(T_SelfStock[RM_Code],$A5,T_SelfStock[WeekIndex],60)&gt;0)*(COUNTIFS(T_TTAFStock[RM_Code],$A5,T_TTAFStock[WeekIndex],60)&gt;0)&gt;0,SUMIFS(T_SelfStock[Self_Qty],T_SelfStock[RM_Code],$A5,T_SelfStock[WeekIndex],60)+SUMIFS(T_TTAFStock[TTAF_Qty],T_TTAFStock[RM_Code],$A5,T_TTAFStock[WeekIndex],60),BH5+'Grid_Incoming'!BI5-'Grid_Requirement'!BI5))</f>
        <v/>
      </c>
      <c r="BJ5">
        <f>IF(COUNTIFS(T_StockCount[RM_Code],$A5,T_StockCount[WeekIndex],61)&gt;0,SUMIFS(T_StockCount[CountedQty],T_StockCount[RM_Code],$A5,T_StockCount[WeekIndex],61),IF((COUNTIFS(T_SelfStock[RM_Code],$A5,T_SelfStock[WeekIndex],61)&gt;0)*(COUNTIFS(T_TTAFStock[RM_Code],$A5,T_TTAFStock[WeekIndex],61)&gt;0)&gt;0,SUMIFS(T_SelfStock[Self_Qty],T_SelfStock[RM_Code],$A5,T_SelfStock[WeekIndex],61)+SUMIFS(T_TTAFStock[TTAF_Qty],T_TTAFStock[RM_Code],$A5,T_TTAFStock[WeekIndex],61),BI5+'Grid_Incoming'!BJ5-'Grid_Requirement'!BJ5))</f>
        <v/>
      </c>
      <c r="BK5">
        <f>IF(COUNTIFS(T_StockCount[RM_Code],$A5,T_StockCount[WeekIndex],62)&gt;0,SUMIFS(T_StockCount[CountedQty],T_StockCount[RM_Code],$A5,T_StockCount[WeekIndex],62),IF((COUNTIFS(T_SelfStock[RM_Code],$A5,T_SelfStock[WeekIndex],62)&gt;0)*(COUNTIFS(T_TTAFStock[RM_Code],$A5,T_TTAFStock[WeekIndex],62)&gt;0)&gt;0,SUMIFS(T_SelfStock[Self_Qty],T_SelfStock[RM_Code],$A5,T_SelfStock[WeekIndex],62)+SUMIFS(T_TTAFStock[TTAF_Qty],T_TTAFStock[RM_Code],$A5,T_TTAFStock[WeekIndex],62),BJ5+'Grid_Incoming'!BK5-'Grid_Requirement'!BK5))</f>
        <v/>
      </c>
      <c r="BL5">
        <f>IF(COUNTIFS(T_StockCount[RM_Code],$A5,T_StockCount[WeekIndex],63)&gt;0,SUMIFS(T_StockCount[CountedQty],T_StockCount[RM_Code],$A5,T_StockCount[WeekIndex],63),IF((COUNTIFS(T_SelfStock[RM_Code],$A5,T_SelfStock[WeekIndex],63)&gt;0)*(COUNTIFS(T_TTAFStock[RM_Code],$A5,T_TTAFStock[WeekIndex],63)&gt;0)&gt;0,SUMIFS(T_SelfStock[Self_Qty],T_SelfStock[RM_Code],$A5,T_SelfStock[WeekIndex],63)+SUMIFS(T_TTAFStock[TTAF_Qty],T_TTAFStock[RM_Code],$A5,T_TTAFStock[WeekIndex],63),BK5+'Grid_Incoming'!BL5-'Grid_Requirement'!BL5))</f>
        <v/>
      </c>
      <c r="BM5">
        <f>IF(COUNTIFS(T_StockCount[RM_Code],$A5,T_StockCount[WeekIndex],64)&gt;0,SUMIFS(T_StockCount[CountedQty],T_StockCount[RM_Code],$A5,T_StockCount[WeekIndex],64),IF((COUNTIFS(T_SelfStock[RM_Code],$A5,T_SelfStock[WeekIndex],64)&gt;0)*(COUNTIFS(T_TTAFStock[RM_Code],$A5,T_TTAFStock[WeekIndex],64)&gt;0)&gt;0,SUMIFS(T_SelfStock[Self_Qty],T_SelfStock[RM_Code],$A5,T_SelfStock[WeekIndex],64)+SUMIFS(T_TTAFStock[TTAF_Qty],T_TTAFStock[RM_Code],$A5,T_TTAFStock[WeekIndex],64),BL5+'Grid_Incoming'!BM5-'Grid_Requirement'!BM5))</f>
        <v/>
      </c>
      <c r="BN5">
        <f>IF(COUNTIFS(T_StockCount[RM_Code],$A5,T_StockCount[WeekIndex],65)&gt;0,SUMIFS(T_StockCount[CountedQty],T_StockCount[RM_Code],$A5,T_StockCount[WeekIndex],65),IF((COUNTIFS(T_SelfStock[RM_Code],$A5,T_SelfStock[WeekIndex],65)&gt;0)*(COUNTIFS(T_TTAFStock[RM_Code],$A5,T_TTAFStock[WeekIndex],65)&gt;0)&gt;0,SUMIFS(T_SelfStock[Self_Qty],T_SelfStock[RM_Code],$A5,T_SelfStock[WeekIndex],65)+SUMIFS(T_TTAFStock[TTAF_Qty],T_TTAFStock[RM_Code],$A5,T_TTAFStock[WeekIndex],65),BM5+'Grid_Incoming'!BN5-'Grid_Requirement'!BN5))</f>
        <v/>
      </c>
      <c r="BO5">
        <f>IF(COUNTIFS(T_StockCount[RM_Code],$A5,T_StockCount[WeekIndex],66)&gt;0,SUMIFS(T_StockCount[CountedQty],T_StockCount[RM_Code],$A5,T_StockCount[WeekIndex],66),IF((COUNTIFS(T_SelfStock[RM_Code],$A5,T_SelfStock[WeekIndex],66)&gt;0)*(COUNTIFS(T_TTAFStock[RM_Code],$A5,T_TTAFStock[WeekIndex],66)&gt;0)&gt;0,SUMIFS(T_SelfStock[Self_Qty],T_SelfStock[RM_Code],$A5,T_SelfStock[WeekIndex],66)+SUMIFS(T_TTAFStock[TTAF_Qty],T_TTAFStock[RM_Code],$A5,T_TTAFStock[WeekIndex],66),BN5+'Grid_Incoming'!BO5-'Grid_Requirement'!BO5))</f>
        <v/>
      </c>
      <c r="BP5">
        <f>IF(COUNTIFS(T_StockCount[RM_Code],$A5,T_StockCount[WeekIndex],67)&gt;0,SUMIFS(T_StockCount[CountedQty],T_StockCount[RM_Code],$A5,T_StockCount[WeekIndex],67),IF((COUNTIFS(T_SelfStock[RM_Code],$A5,T_SelfStock[WeekIndex],67)&gt;0)*(COUNTIFS(T_TTAFStock[RM_Code],$A5,T_TTAFStock[WeekIndex],67)&gt;0)&gt;0,SUMIFS(T_SelfStock[Self_Qty],T_SelfStock[RM_Code],$A5,T_SelfStock[WeekIndex],67)+SUMIFS(T_TTAFStock[TTAF_Qty],T_TTAFStock[RM_Code],$A5,T_TTAFStock[WeekIndex],67),BO5+'Grid_Incoming'!BP5-'Grid_Requirement'!BP5))</f>
        <v/>
      </c>
      <c r="BQ5">
        <f>IF(COUNTIFS(T_StockCount[RM_Code],$A5,T_StockCount[WeekIndex],68)&gt;0,SUMIFS(T_StockCount[CountedQty],T_StockCount[RM_Code],$A5,T_StockCount[WeekIndex],68),IF((COUNTIFS(T_SelfStock[RM_Code],$A5,T_SelfStock[WeekIndex],68)&gt;0)*(COUNTIFS(T_TTAFStock[RM_Code],$A5,T_TTAFStock[WeekIndex],68)&gt;0)&gt;0,SUMIFS(T_SelfStock[Self_Qty],T_SelfStock[RM_Code],$A5,T_SelfStock[WeekIndex],68)+SUMIFS(T_TTAFStock[TTAF_Qty],T_TTAFStock[RM_Code],$A5,T_TTAFStock[WeekIndex],68),BP5+'Grid_Incoming'!BQ5-'Grid_Requirement'!BQ5))</f>
        <v/>
      </c>
      <c r="BR5">
        <f>IF(COUNTIFS(T_StockCount[RM_Code],$A5,T_StockCount[WeekIndex],69)&gt;0,SUMIFS(T_StockCount[CountedQty],T_StockCount[RM_Code],$A5,T_StockCount[WeekIndex],69),IF((COUNTIFS(T_SelfStock[RM_Code],$A5,T_SelfStock[WeekIndex],69)&gt;0)*(COUNTIFS(T_TTAFStock[RM_Code],$A5,T_TTAFStock[WeekIndex],69)&gt;0)&gt;0,SUMIFS(T_SelfStock[Self_Qty],T_SelfStock[RM_Code],$A5,T_SelfStock[WeekIndex],69)+SUMIFS(T_TTAFStock[TTAF_Qty],T_TTAFStock[RM_Code],$A5,T_TTAFStock[WeekIndex],69),BQ5+'Grid_Incoming'!BR5-'Grid_Requirement'!BR5))</f>
        <v/>
      </c>
      <c r="BS5">
        <f>IF(COUNTIFS(T_StockCount[RM_Code],$A5,T_StockCount[WeekIndex],70)&gt;0,SUMIFS(T_StockCount[CountedQty],T_StockCount[RM_Code],$A5,T_StockCount[WeekIndex],70),IF((COUNTIFS(T_SelfStock[RM_Code],$A5,T_SelfStock[WeekIndex],70)&gt;0)*(COUNTIFS(T_TTAFStock[RM_Code],$A5,T_TTAFStock[WeekIndex],70)&gt;0)&gt;0,SUMIFS(T_SelfStock[Self_Qty],T_SelfStock[RM_Code],$A5,T_SelfStock[WeekIndex],70)+SUMIFS(T_TTAFStock[TTAF_Qty],T_TTAFStock[RM_Code],$A5,T_TTAFStock[WeekIndex],70),BR5+'Grid_Incoming'!BS5-'Grid_Requirement'!BS5))</f>
        <v/>
      </c>
      <c r="BT5">
        <f>IF(COUNTIFS(T_StockCount[RM_Code],$A5,T_StockCount[WeekIndex],71)&gt;0,SUMIFS(T_StockCount[CountedQty],T_StockCount[RM_Code],$A5,T_StockCount[WeekIndex],71),IF((COUNTIFS(T_SelfStock[RM_Code],$A5,T_SelfStock[WeekIndex],71)&gt;0)*(COUNTIFS(T_TTAFStock[RM_Code],$A5,T_TTAFStock[WeekIndex],71)&gt;0)&gt;0,SUMIFS(T_SelfStock[Self_Qty],T_SelfStock[RM_Code],$A5,T_SelfStock[WeekIndex],71)+SUMIFS(T_TTAFStock[TTAF_Qty],T_TTAFStock[RM_Code],$A5,T_TTAFStock[WeekIndex],71),BS5+'Grid_Incoming'!BT5-'Grid_Requirement'!BT5))</f>
        <v/>
      </c>
      <c r="BU5">
        <f>IF(COUNTIFS(T_StockCount[RM_Code],$A5,T_StockCount[WeekIndex],72)&gt;0,SUMIFS(T_StockCount[CountedQty],T_StockCount[RM_Code],$A5,T_StockCount[WeekIndex],72),IF((COUNTIFS(T_SelfStock[RM_Code],$A5,T_SelfStock[WeekIndex],72)&gt;0)*(COUNTIFS(T_TTAFStock[RM_Code],$A5,T_TTAFStock[WeekIndex],72)&gt;0)&gt;0,SUMIFS(T_SelfStock[Self_Qty],T_SelfStock[RM_Code],$A5,T_SelfStock[WeekIndex],72)+SUMIFS(T_TTAFStock[TTAF_Qty],T_TTAFStock[RM_Code],$A5,T_TTAFStock[WeekIndex],72),BT5+'Grid_Incoming'!BU5-'Grid_Requirement'!BU5))</f>
        <v/>
      </c>
      <c r="BV5">
        <f>IF(COUNTIFS(T_StockCount[RM_Code],$A5,T_StockCount[WeekIndex],73)&gt;0,SUMIFS(T_StockCount[CountedQty],T_StockCount[RM_Code],$A5,T_StockCount[WeekIndex],73),IF((COUNTIFS(T_SelfStock[RM_Code],$A5,T_SelfStock[WeekIndex],73)&gt;0)*(COUNTIFS(T_TTAFStock[RM_Code],$A5,T_TTAFStock[WeekIndex],73)&gt;0)&gt;0,SUMIFS(T_SelfStock[Self_Qty],T_SelfStock[RM_Code],$A5,T_SelfStock[WeekIndex],73)+SUMIFS(T_TTAFStock[TTAF_Qty],T_TTAFStock[RM_Code],$A5,T_TTAFStock[WeekIndex],73),BU5+'Grid_Incoming'!BV5-'Grid_Requirement'!BV5))</f>
        <v/>
      </c>
      <c r="BW5">
        <f>IF(COUNTIFS(T_StockCount[RM_Code],$A5,T_StockCount[WeekIndex],74)&gt;0,SUMIFS(T_StockCount[CountedQty],T_StockCount[RM_Code],$A5,T_StockCount[WeekIndex],74),IF((COUNTIFS(T_SelfStock[RM_Code],$A5,T_SelfStock[WeekIndex],74)&gt;0)*(COUNTIFS(T_TTAFStock[RM_Code],$A5,T_TTAFStock[WeekIndex],74)&gt;0)&gt;0,SUMIFS(T_SelfStock[Self_Qty],T_SelfStock[RM_Code],$A5,T_SelfStock[WeekIndex],74)+SUMIFS(T_TTAFStock[TTAF_Qty],T_TTAFStock[RM_Code],$A5,T_TTAFStock[WeekIndex],74),BV5+'Grid_Incoming'!BW5-'Grid_Requirement'!BW5))</f>
        <v/>
      </c>
      <c r="BX5">
        <f>IF(COUNTIFS(T_StockCount[RM_Code],$A5,T_StockCount[WeekIndex],75)&gt;0,SUMIFS(T_StockCount[CountedQty],T_StockCount[RM_Code],$A5,T_StockCount[WeekIndex],75),IF((COUNTIFS(T_SelfStock[RM_Code],$A5,T_SelfStock[WeekIndex],75)&gt;0)*(COUNTIFS(T_TTAFStock[RM_Code],$A5,T_TTAFStock[WeekIndex],75)&gt;0)&gt;0,SUMIFS(T_SelfStock[Self_Qty],T_SelfStock[RM_Code],$A5,T_SelfStock[WeekIndex],75)+SUMIFS(T_TTAFStock[TTAF_Qty],T_TTAFStock[RM_Code],$A5,T_TTAFStock[WeekIndex],75),BW5+'Grid_Incoming'!BX5-'Grid_Requirement'!BX5))</f>
        <v/>
      </c>
      <c r="BY5">
        <f>IF(COUNTIFS(T_StockCount[RM_Code],$A5,T_StockCount[WeekIndex],76)&gt;0,SUMIFS(T_StockCount[CountedQty],T_StockCount[RM_Code],$A5,T_StockCount[WeekIndex],76),IF((COUNTIFS(T_SelfStock[RM_Code],$A5,T_SelfStock[WeekIndex],76)&gt;0)*(COUNTIFS(T_TTAFStock[RM_Code],$A5,T_TTAFStock[WeekIndex],76)&gt;0)&gt;0,SUMIFS(T_SelfStock[Self_Qty],T_SelfStock[RM_Code],$A5,T_SelfStock[WeekIndex],76)+SUMIFS(T_TTAFStock[TTAF_Qty],T_TTAFStock[RM_Code],$A5,T_TTAFStock[WeekIndex],76),BX5+'Grid_Incoming'!BY5-'Grid_Requirement'!BY5))</f>
        <v/>
      </c>
      <c r="BZ5">
        <f>IF(COUNTIFS(T_StockCount[RM_Code],$A5,T_StockCount[WeekIndex],77)&gt;0,SUMIFS(T_StockCount[CountedQty],T_StockCount[RM_Code],$A5,T_StockCount[WeekIndex],77),IF((COUNTIFS(T_SelfStock[RM_Code],$A5,T_SelfStock[WeekIndex],77)&gt;0)*(COUNTIFS(T_TTAFStock[RM_Code],$A5,T_TTAFStock[WeekIndex],77)&gt;0)&gt;0,SUMIFS(T_SelfStock[Self_Qty],T_SelfStock[RM_Code],$A5,T_SelfStock[WeekIndex],77)+SUMIFS(T_TTAFStock[TTAF_Qty],T_TTAFStock[RM_Code],$A5,T_TTAFStock[WeekIndex],77),BY5+'Grid_Incoming'!BZ5-'Grid_Requirement'!BZ5))</f>
        <v/>
      </c>
      <c r="CA5">
        <f>IF(COUNTIFS(T_StockCount[RM_Code],$A5,T_StockCount[WeekIndex],78)&gt;0,SUMIFS(T_StockCount[CountedQty],T_StockCount[RM_Code],$A5,T_StockCount[WeekIndex],78),IF((COUNTIFS(T_SelfStock[RM_Code],$A5,T_SelfStock[WeekIndex],78)&gt;0)*(COUNTIFS(T_TTAFStock[RM_Code],$A5,T_TTAFStock[WeekIndex],78)&gt;0)&gt;0,SUMIFS(T_SelfStock[Self_Qty],T_SelfStock[RM_Code],$A5,T_SelfStock[WeekIndex],78)+SUMIFS(T_TTAFStock[TTAF_Qty],T_TTAFStock[RM_Code],$A5,T_TTAFStock[WeekIndex],78),BZ5+'Grid_Incoming'!CA5-'Grid_Requirement'!CA5))</f>
        <v/>
      </c>
      <c r="CB5">
        <f>IF(COUNTIFS(T_StockCount[RM_Code],$A5,T_StockCount[WeekIndex],79)&gt;0,SUMIFS(T_StockCount[CountedQty],T_StockCount[RM_Code],$A5,T_StockCount[WeekIndex],79),IF((COUNTIFS(T_SelfStock[RM_Code],$A5,T_SelfStock[WeekIndex],79)&gt;0)*(COUNTIFS(T_TTAFStock[RM_Code],$A5,T_TTAFStock[WeekIndex],79)&gt;0)&gt;0,SUMIFS(T_SelfStock[Self_Qty],T_SelfStock[RM_Code],$A5,T_SelfStock[WeekIndex],79)+SUMIFS(T_TTAFStock[TTAF_Qty],T_TTAFStock[RM_Code],$A5,T_TTAFStock[WeekIndex],79),CA5+'Grid_Incoming'!CB5-'Grid_Requirement'!CB5))</f>
        <v/>
      </c>
      <c r="CC5">
        <f>IF(COUNTIFS(T_StockCount[RM_Code],$A5,T_StockCount[WeekIndex],80)&gt;0,SUMIFS(T_StockCount[CountedQty],T_StockCount[RM_Code],$A5,T_StockCount[WeekIndex],80),IF((COUNTIFS(T_SelfStock[RM_Code],$A5,T_SelfStock[WeekIndex],80)&gt;0)*(COUNTIFS(T_TTAFStock[RM_Code],$A5,T_TTAFStock[WeekIndex],80)&gt;0)&gt;0,SUMIFS(T_SelfStock[Self_Qty],T_SelfStock[RM_Code],$A5,T_SelfStock[WeekIndex],80)+SUMIFS(T_TTAFStock[TTAF_Qty],T_TTAFStock[RM_Code],$A5,T_TTAFStock[WeekIndex],80),CB5+'Grid_Incoming'!CC5-'Grid_Requirement'!CC5))</f>
        <v/>
      </c>
      <c r="CD5">
        <f>IF(COUNTIFS(T_StockCount[RM_Code],$A5,T_StockCount[WeekIndex],81)&gt;0,SUMIFS(T_StockCount[CountedQty],T_StockCount[RM_Code],$A5,T_StockCount[WeekIndex],81),IF((COUNTIFS(T_SelfStock[RM_Code],$A5,T_SelfStock[WeekIndex],81)&gt;0)*(COUNTIFS(T_TTAFStock[RM_Code],$A5,T_TTAFStock[WeekIndex],81)&gt;0)&gt;0,SUMIFS(T_SelfStock[Self_Qty],T_SelfStock[RM_Code],$A5,T_SelfStock[WeekIndex],81)+SUMIFS(T_TTAFStock[TTAF_Qty],T_TTAFStock[RM_Code],$A5,T_TTAFStock[WeekIndex],81),CC5+'Grid_Incoming'!CD5-'Grid_Requirement'!CD5))</f>
        <v/>
      </c>
      <c r="CE5">
        <f>IF(COUNTIFS(T_StockCount[RM_Code],$A5,T_StockCount[WeekIndex],82)&gt;0,SUMIFS(T_StockCount[CountedQty],T_StockCount[RM_Code],$A5,T_StockCount[WeekIndex],82),IF((COUNTIFS(T_SelfStock[RM_Code],$A5,T_SelfStock[WeekIndex],82)&gt;0)*(COUNTIFS(T_TTAFStock[RM_Code],$A5,T_TTAFStock[WeekIndex],82)&gt;0)&gt;0,SUMIFS(T_SelfStock[Self_Qty],T_SelfStock[RM_Code],$A5,T_SelfStock[WeekIndex],82)+SUMIFS(T_TTAFStock[TTAF_Qty],T_TTAFStock[RM_Code],$A5,T_TTAFStock[WeekIndex],82),CD5+'Grid_Incoming'!CE5-'Grid_Requirement'!CE5))</f>
        <v/>
      </c>
      <c r="CF5">
        <f>IF(COUNTIFS(T_StockCount[RM_Code],$A5,T_StockCount[WeekIndex],83)&gt;0,SUMIFS(T_StockCount[CountedQty],T_StockCount[RM_Code],$A5,T_StockCount[WeekIndex],83),IF((COUNTIFS(T_SelfStock[RM_Code],$A5,T_SelfStock[WeekIndex],83)&gt;0)*(COUNTIFS(T_TTAFStock[RM_Code],$A5,T_TTAFStock[WeekIndex],83)&gt;0)&gt;0,SUMIFS(T_SelfStock[Self_Qty],T_SelfStock[RM_Code],$A5,T_SelfStock[WeekIndex],83)+SUMIFS(T_TTAFStock[TTAF_Qty],T_TTAFStock[RM_Code],$A5,T_TTAFStock[WeekIndex],83),CE5+'Grid_Incoming'!CF5-'Grid_Requirement'!CF5))</f>
        <v/>
      </c>
      <c r="CG5">
        <f>IF(COUNTIFS(T_StockCount[RM_Code],$A5,T_StockCount[WeekIndex],84)&gt;0,SUMIFS(T_StockCount[CountedQty],T_StockCount[RM_Code],$A5,T_StockCount[WeekIndex],84),IF((COUNTIFS(T_SelfStock[RM_Code],$A5,T_SelfStock[WeekIndex],84)&gt;0)*(COUNTIFS(T_TTAFStock[RM_Code],$A5,T_TTAFStock[WeekIndex],84)&gt;0)&gt;0,SUMIFS(T_SelfStock[Self_Qty],T_SelfStock[RM_Code],$A5,T_SelfStock[WeekIndex],84)+SUMIFS(T_TTAFStock[TTAF_Qty],T_TTAFStock[RM_Code],$A5,T_TTAFStock[WeekIndex],84),CF5+'Grid_Incoming'!CG5-'Grid_Requirement'!CG5))</f>
        <v/>
      </c>
      <c r="CH5">
        <f>IF(COUNTIFS(T_StockCount[RM_Code],$A5,T_StockCount[WeekIndex],85)&gt;0,SUMIFS(T_StockCount[CountedQty],T_StockCount[RM_Code],$A5,T_StockCount[WeekIndex],85),IF((COUNTIFS(T_SelfStock[RM_Code],$A5,T_SelfStock[WeekIndex],85)&gt;0)*(COUNTIFS(T_TTAFStock[RM_Code],$A5,T_TTAFStock[WeekIndex],85)&gt;0)&gt;0,SUMIFS(T_SelfStock[Self_Qty],T_SelfStock[RM_Code],$A5,T_SelfStock[WeekIndex],85)+SUMIFS(T_TTAFStock[TTAF_Qty],T_TTAFStock[RM_Code],$A5,T_TTAFStock[WeekIndex],85),CG5+'Grid_Incoming'!CH5-'Grid_Requirement'!CH5))</f>
        <v/>
      </c>
      <c r="CI5">
        <f>IF(COUNTIFS(T_StockCount[RM_Code],$A5,T_StockCount[WeekIndex],86)&gt;0,SUMIFS(T_StockCount[CountedQty],T_StockCount[RM_Code],$A5,T_StockCount[WeekIndex],86),IF((COUNTIFS(T_SelfStock[RM_Code],$A5,T_SelfStock[WeekIndex],86)&gt;0)*(COUNTIFS(T_TTAFStock[RM_Code],$A5,T_TTAFStock[WeekIndex],86)&gt;0)&gt;0,SUMIFS(T_SelfStock[Self_Qty],T_SelfStock[RM_Code],$A5,T_SelfStock[WeekIndex],86)+SUMIFS(T_TTAFStock[TTAF_Qty],T_TTAFStock[RM_Code],$A5,T_TTAFStock[WeekIndex],86),CH5+'Grid_Incoming'!CI5-'Grid_Requirement'!CI5))</f>
        <v/>
      </c>
      <c r="CJ5">
        <f>IF(COUNTIFS(T_StockCount[RM_Code],$A5,T_StockCount[WeekIndex],87)&gt;0,SUMIFS(T_StockCount[CountedQty],T_StockCount[RM_Code],$A5,T_StockCount[WeekIndex],87),IF((COUNTIFS(T_SelfStock[RM_Code],$A5,T_SelfStock[WeekIndex],87)&gt;0)*(COUNTIFS(T_TTAFStock[RM_Code],$A5,T_TTAFStock[WeekIndex],87)&gt;0)&gt;0,SUMIFS(T_SelfStock[Self_Qty],T_SelfStock[RM_Code],$A5,T_SelfStock[WeekIndex],87)+SUMIFS(T_TTAFStock[TTAF_Qty],T_TTAFStock[RM_Code],$A5,T_TTAFStock[WeekIndex],87),CI5+'Grid_Incoming'!CJ5-'Grid_Requirement'!CJ5))</f>
        <v/>
      </c>
      <c r="CK5">
        <f>IF(COUNTIFS(T_StockCount[RM_Code],$A5,T_StockCount[WeekIndex],88)&gt;0,SUMIFS(T_StockCount[CountedQty],T_StockCount[RM_Code],$A5,T_StockCount[WeekIndex],88),IF((COUNTIFS(T_SelfStock[RM_Code],$A5,T_SelfStock[WeekIndex],88)&gt;0)*(COUNTIFS(T_TTAFStock[RM_Code],$A5,T_TTAFStock[WeekIndex],88)&gt;0)&gt;0,SUMIFS(T_SelfStock[Self_Qty],T_SelfStock[RM_Code],$A5,T_SelfStock[WeekIndex],88)+SUMIFS(T_TTAFStock[TTAF_Qty],T_TTAFStock[RM_Code],$A5,T_TTAFStock[WeekIndex],88),CJ5+'Grid_Incoming'!CK5-'Grid_Requirement'!CK5))</f>
        <v/>
      </c>
      <c r="CL5">
        <f>IF(COUNTIFS(T_StockCount[RM_Code],$A5,T_StockCount[WeekIndex],89)&gt;0,SUMIFS(T_StockCount[CountedQty],T_StockCount[RM_Code],$A5,T_StockCount[WeekIndex],89),IF((COUNTIFS(T_SelfStock[RM_Code],$A5,T_SelfStock[WeekIndex],89)&gt;0)*(COUNTIFS(T_TTAFStock[RM_Code],$A5,T_TTAFStock[WeekIndex],89)&gt;0)&gt;0,SUMIFS(T_SelfStock[Self_Qty],T_SelfStock[RM_Code],$A5,T_SelfStock[WeekIndex],89)+SUMIFS(T_TTAFStock[TTAF_Qty],T_TTAFStock[RM_Code],$A5,T_TTAFStock[WeekIndex],89),CK5+'Grid_Incoming'!CL5-'Grid_Requirement'!CL5))</f>
        <v/>
      </c>
      <c r="CM5">
        <f>IF(COUNTIFS(T_StockCount[RM_Code],$A5,T_StockCount[WeekIndex],90)&gt;0,SUMIFS(T_StockCount[CountedQty],T_StockCount[RM_Code],$A5,T_StockCount[WeekIndex],90),IF((COUNTIFS(T_SelfStock[RM_Code],$A5,T_SelfStock[WeekIndex],90)&gt;0)*(COUNTIFS(T_TTAFStock[RM_Code],$A5,T_TTAFStock[WeekIndex],90)&gt;0)&gt;0,SUMIFS(T_SelfStock[Self_Qty],T_SelfStock[RM_Code],$A5,T_SelfStock[WeekIndex],90)+SUMIFS(T_TTAFStock[TTAF_Qty],T_TTAFStock[RM_Code],$A5,T_TTAFStock[WeekIndex],90),CL5+'Grid_Incoming'!CM5-'Grid_Requirement'!CM5))</f>
        <v/>
      </c>
      <c r="CN5">
        <f>IF(COUNTIFS(T_StockCount[RM_Code],$A5,T_StockCount[WeekIndex],91)&gt;0,SUMIFS(T_StockCount[CountedQty],T_StockCount[RM_Code],$A5,T_StockCount[WeekIndex],91),IF((COUNTIFS(T_SelfStock[RM_Code],$A5,T_SelfStock[WeekIndex],91)&gt;0)*(COUNTIFS(T_TTAFStock[RM_Code],$A5,T_TTAFStock[WeekIndex],91)&gt;0)&gt;0,SUMIFS(T_SelfStock[Self_Qty],T_SelfStock[RM_Code],$A5,T_SelfStock[WeekIndex],91)+SUMIFS(T_TTAFStock[TTAF_Qty],T_TTAFStock[RM_Code],$A5,T_TTAFStock[WeekIndex],91),CM5+'Grid_Incoming'!CN5-'Grid_Requirement'!CN5))</f>
        <v/>
      </c>
      <c r="CO5">
        <f>IF(COUNTIFS(T_StockCount[RM_Code],$A5,T_StockCount[WeekIndex],92)&gt;0,SUMIFS(T_StockCount[CountedQty],T_StockCount[RM_Code],$A5,T_StockCount[WeekIndex],92),IF((COUNTIFS(T_SelfStock[RM_Code],$A5,T_SelfStock[WeekIndex],92)&gt;0)*(COUNTIFS(T_TTAFStock[RM_Code],$A5,T_TTAFStock[WeekIndex],92)&gt;0)&gt;0,SUMIFS(T_SelfStock[Self_Qty],T_SelfStock[RM_Code],$A5,T_SelfStock[WeekIndex],92)+SUMIFS(T_TTAFStock[TTAF_Qty],T_TTAFStock[RM_Code],$A5,T_TTAFStock[WeekIndex],92),CN5+'Grid_Incoming'!CO5-'Grid_Requirement'!CO5))</f>
        <v/>
      </c>
      <c r="CP5">
        <f>IF(COUNTIFS(T_StockCount[RM_Code],$A5,T_StockCount[WeekIndex],93)&gt;0,SUMIFS(T_StockCount[CountedQty],T_StockCount[RM_Code],$A5,T_StockCount[WeekIndex],93),IF((COUNTIFS(T_SelfStock[RM_Code],$A5,T_SelfStock[WeekIndex],93)&gt;0)*(COUNTIFS(T_TTAFStock[RM_Code],$A5,T_TTAFStock[WeekIndex],93)&gt;0)&gt;0,SUMIFS(T_SelfStock[Self_Qty],T_SelfStock[RM_Code],$A5,T_SelfStock[WeekIndex],93)+SUMIFS(T_TTAFStock[TTAF_Qty],T_TTAFStock[RM_Code],$A5,T_TTAFStock[WeekIndex],93),CO5+'Grid_Incoming'!CP5-'Grid_Requirement'!CP5))</f>
        <v/>
      </c>
      <c r="CQ5">
        <f>IF(COUNTIFS(T_StockCount[RM_Code],$A5,T_StockCount[WeekIndex],94)&gt;0,SUMIFS(T_StockCount[CountedQty],T_StockCount[RM_Code],$A5,T_StockCount[WeekIndex],94),IF((COUNTIFS(T_SelfStock[RM_Code],$A5,T_SelfStock[WeekIndex],94)&gt;0)*(COUNTIFS(T_TTAFStock[RM_Code],$A5,T_TTAFStock[WeekIndex],94)&gt;0)&gt;0,SUMIFS(T_SelfStock[Self_Qty],T_SelfStock[RM_Code],$A5,T_SelfStock[WeekIndex],94)+SUMIFS(T_TTAFStock[TTAF_Qty],T_TTAFStock[RM_Code],$A5,T_TTAFStock[WeekIndex],94),CP5+'Grid_Incoming'!CQ5-'Grid_Requirement'!CQ5))</f>
        <v/>
      </c>
      <c r="CR5">
        <f>IF(COUNTIFS(T_StockCount[RM_Code],$A5,T_StockCount[WeekIndex],95)&gt;0,SUMIFS(T_StockCount[CountedQty],T_StockCount[RM_Code],$A5,T_StockCount[WeekIndex],95),IF((COUNTIFS(T_SelfStock[RM_Code],$A5,T_SelfStock[WeekIndex],95)&gt;0)*(COUNTIFS(T_TTAFStock[RM_Code],$A5,T_TTAFStock[WeekIndex],95)&gt;0)&gt;0,SUMIFS(T_SelfStock[Self_Qty],T_SelfStock[RM_Code],$A5,T_SelfStock[WeekIndex],95)+SUMIFS(T_TTAFStock[TTAF_Qty],T_TTAFStock[RM_Code],$A5,T_TTAFStock[WeekIndex],95),CQ5+'Grid_Incoming'!CR5-'Grid_Requirement'!CR5))</f>
        <v/>
      </c>
      <c r="CS5">
        <f>IF(COUNTIFS(T_StockCount[RM_Code],$A5,T_StockCount[WeekIndex],96)&gt;0,SUMIFS(T_StockCount[CountedQty],T_StockCount[RM_Code],$A5,T_StockCount[WeekIndex],96),IF((COUNTIFS(T_SelfStock[RM_Code],$A5,T_SelfStock[WeekIndex],96)&gt;0)*(COUNTIFS(T_TTAFStock[RM_Code],$A5,T_TTAFStock[WeekIndex],96)&gt;0)&gt;0,SUMIFS(T_SelfStock[Self_Qty],T_SelfStock[RM_Code],$A5,T_SelfStock[WeekIndex],96)+SUMIFS(T_TTAFStock[TTAF_Qty],T_TTAFStock[RM_Code],$A5,T_TTAFStock[WeekIndex],96),CR5+'Grid_Incoming'!CS5-'Grid_Requirement'!CS5))</f>
        <v/>
      </c>
      <c r="CT5">
        <f>IF(COUNTIFS(T_StockCount[RM_Code],$A5,T_StockCount[WeekIndex],97)&gt;0,SUMIFS(T_StockCount[CountedQty],T_StockCount[RM_Code],$A5,T_StockCount[WeekIndex],97),IF((COUNTIFS(T_SelfStock[RM_Code],$A5,T_SelfStock[WeekIndex],97)&gt;0)*(COUNTIFS(T_TTAFStock[RM_Code],$A5,T_TTAFStock[WeekIndex],97)&gt;0)&gt;0,SUMIFS(T_SelfStock[Self_Qty],T_SelfStock[RM_Code],$A5,T_SelfStock[WeekIndex],97)+SUMIFS(T_TTAFStock[TTAF_Qty],T_TTAFStock[RM_Code],$A5,T_TTAFStock[WeekIndex],97),CS5+'Grid_Incoming'!CT5-'Grid_Requirement'!CT5))</f>
        <v/>
      </c>
      <c r="CU5">
        <f>IF(COUNTIFS(T_StockCount[RM_Code],$A5,T_StockCount[WeekIndex],98)&gt;0,SUMIFS(T_StockCount[CountedQty],T_StockCount[RM_Code],$A5,T_StockCount[WeekIndex],98),IF((COUNTIFS(T_SelfStock[RM_Code],$A5,T_SelfStock[WeekIndex],98)&gt;0)*(COUNTIFS(T_TTAFStock[RM_Code],$A5,T_TTAFStock[WeekIndex],98)&gt;0)&gt;0,SUMIFS(T_SelfStock[Self_Qty],T_SelfStock[RM_Code],$A5,T_SelfStock[WeekIndex],98)+SUMIFS(T_TTAFStock[TTAF_Qty],T_TTAFStock[RM_Code],$A5,T_TTAFStock[WeekIndex],98),CT5+'Grid_Incoming'!CU5-'Grid_Requirement'!CU5))</f>
        <v/>
      </c>
      <c r="CV5">
        <f>IF(COUNTIFS(T_StockCount[RM_Code],$A5,T_StockCount[WeekIndex],99)&gt;0,SUMIFS(T_StockCount[CountedQty],T_StockCount[RM_Code],$A5,T_StockCount[WeekIndex],99),IF((COUNTIFS(T_SelfStock[RM_Code],$A5,T_SelfStock[WeekIndex],99)&gt;0)*(COUNTIFS(T_TTAFStock[RM_Code],$A5,T_TTAFStock[WeekIndex],99)&gt;0)&gt;0,SUMIFS(T_SelfStock[Self_Qty],T_SelfStock[RM_Code],$A5,T_SelfStock[WeekIndex],99)+SUMIFS(T_TTAFStock[TTAF_Qty],T_TTAFStock[RM_Code],$A5,T_TTAFStock[WeekIndex],99),CU5+'Grid_Incoming'!CV5-'Grid_Requirement'!CV5))</f>
        <v/>
      </c>
      <c r="CW5">
        <f>IF(COUNTIFS(T_StockCount[RM_Code],$A5,T_StockCount[WeekIndex],100)&gt;0,SUMIFS(T_StockCount[CountedQty],T_StockCount[RM_Code],$A5,T_StockCount[WeekIndex],100),IF((COUNTIFS(T_SelfStock[RM_Code],$A5,T_SelfStock[WeekIndex],100)&gt;0)*(COUNTIFS(T_TTAFStock[RM_Code],$A5,T_TTAFStock[WeekIndex],100)&gt;0)&gt;0,SUMIFS(T_SelfStock[Self_Qty],T_SelfStock[RM_Code],$A5,T_SelfStock[WeekIndex],100)+SUMIFS(T_TTAFStock[TTAF_Qty],T_TTAFStock[RM_Code],$A5,T_TTAFStock[WeekIndex],100),CV5+'Grid_Incoming'!CW5-'Grid_Requirement'!CW5))</f>
        <v/>
      </c>
      <c r="CX5">
        <f>IF(COUNTIFS(T_StockCount[RM_Code],$A5,T_StockCount[WeekIndex],101)&gt;0,SUMIFS(T_StockCount[CountedQty],T_StockCount[RM_Code],$A5,T_StockCount[WeekIndex],101),IF((COUNTIFS(T_SelfStock[RM_Code],$A5,T_SelfStock[WeekIndex],101)&gt;0)*(COUNTIFS(T_TTAFStock[RM_Code],$A5,T_TTAFStock[WeekIndex],101)&gt;0)&gt;0,SUMIFS(T_SelfStock[Self_Qty],T_SelfStock[RM_Code],$A5,T_SelfStock[WeekIndex],101)+SUMIFS(T_TTAFStock[TTAF_Qty],T_TTAFStock[RM_Code],$A5,T_TTAFStock[WeekIndex],101),CW5+'Grid_Incoming'!CX5-'Grid_Requirement'!CX5))</f>
        <v/>
      </c>
      <c r="CY5">
        <f>IF(COUNTIFS(T_StockCount[RM_Code],$A5,T_StockCount[WeekIndex],102)&gt;0,SUMIFS(T_StockCount[CountedQty],T_StockCount[RM_Code],$A5,T_StockCount[WeekIndex],102),IF((COUNTIFS(T_SelfStock[RM_Code],$A5,T_SelfStock[WeekIndex],102)&gt;0)*(COUNTIFS(T_TTAFStock[RM_Code],$A5,T_TTAFStock[WeekIndex],102)&gt;0)&gt;0,SUMIFS(T_SelfStock[Self_Qty],T_SelfStock[RM_Code],$A5,T_SelfStock[WeekIndex],102)+SUMIFS(T_TTAFStock[TTAF_Qty],T_TTAFStock[RM_Code],$A5,T_TTAFStock[WeekIndex],102),CX5+'Grid_Incoming'!CY5-'Grid_Requirement'!CY5))</f>
        <v/>
      </c>
      <c r="CZ5">
        <f>IF(COUNTIFS(T_StockCount[RM_Code],$A5,T_StockCount[WeekIndex],103)&gt;0,SUMIFS(T_StockCount[CountedQty],T_StockCount[RM_Code],$A5,T_StockCount[WeekIndex],103),IF((COUNTIFS(T_SelfStock[RM_Code],$A5,T_SelfStock[WeekIndex],103)&gt;0)*(COUNTIFS(T_TTAFStock[RM_Code],$A5,T_TTAFStock[WeekIndex],103)&gt;0)&gt;0,SUMIFS(T_SelfStock[Self_Qty],T_SelfStock[RM_Code],$A5,T_SelfStock[WeekIndex],103)+SUMIFS(T_TTAFStock[TTAF_Qty],T_TTAFStock[RM_Code],$A5,T_TTAFStock[WeekIndex],103),CY5+'Grid_Incoming'!CZ5-'Grid_Requirement'!CZ5))</f>
        <v/>
      </c>
      <c r="DA5">
        <f>IF(COUNTIFS(T_StockCount[RM_Code],$A5,T_StockCount[WeekIndex],104)&gt;0,SUMIFS(T_StockCount[CountedQty],T_StockCount[RM_Code],$A5,T_StockCount[WeekIndex],104),IF((COUNTIFS(T_SelfStock[RM_Code],$A5,T_SelfStock[WeekIndex],104)&gt;0)*(COUNTIFS(T_TTAFStock[RM_Code],$A5,T_TTAFStock[WeekIndex],104)&gt;0)&gt;0,SUMIFS(T_SelfStock[Self_Qty],T_SelfStock[RM_Code],$A5,T_SelfStock[WeekIndex],104)+SUMIFS(T_TTAFStock[TTAF_Qty],T_TTAFStock[RM_Code],$A5,T_TTAFStock[WeekIndex],104),CZ5+'Grid_Incoming'!DA5-'Grid_Requirement'!DA5))</f>
        <v/>
      </c>
    </row>
    <row r="6">
      <c r="A6" t="inlineStr">
        <is>
          <t>CHEM-1530</t>
        </is>
      </c>
      <c r="B6">
        <f>IF(COUNTIFS(T_StockCount[RM_Code],$A6,T_StockCount[WeekIndex],1)&gt;0,SUMIFS(T_StockCount[CountedQty],T_StockCount[RM_Code],$A6,T_StockCount[WeekIndex],1),IF((COUNTIFS(T_SelfStock[RM_Code],$A6,T_SelfStock[WeekIndex],1)&gt;0)*(COUNTIFS(T_TTAFStock[RM_Code],$A6,T_TTAFStock[WeekIndex],1)&gt;0)&gt;0,SUMIFS(T_SelfStock[Self_Qty],T_SelfStock[RM_Code],$A6,T_SelfStock[WeekIndex],1)+SUMIFS(T_TTAFStock[TTAF_Qty],T_TTAFStock[RM_Code],$A6,T_TTAFStock[WeekIndex],1),IFERROR(INDEX(T_OpeningStock[Opening_Qty],MATCH($A6,T_OpeningStock[RM_Code],0)),0)+'Grid_Incoming'!B6-'Grid_Requirement'!B6))</f>
        <v/>
      </c>
      <c r="C6">
        <f>IF(COUNTIFS(T_StockCount[RM_Code],$A6,T_StockCount[WeekIndex],2)&gt;0,SUMIFS(T_StockCount[CountedQty],T_StockCount[RM_Code],$A6,T_StockCount[WeekIndex],2),IF((COUNTIFS(T_SelfStock[RM_Code],$A6,T_SelfStock[WeekIndex],2)&gt;0)*(COUNTIFS(T_TTAFStock[RM_Code],$A6,T_TTAFStock[WeekIndex],2)&gt;0)&gt;0,SUMIFS(T_SelfStock[Self_Qty],T_SelfStock[RM_Code],$A6,T_SelfStock[WeekIndex],2)+SUMIFS(T_TTAFStock[TTAF_Qty],T_TTAFStock[RM_Code],$A6,T_TTAFStock[WeekIndex],2),B6+'Grid_Incoming'!C6-'Grid_Requirement'!C6))</f>
        <v/>
      </c>
      <c r="D6">
        <f>IF(COUNTIFS(T_StockCount[RM_Code],$A6,T_StockCount[WeekIndex],3)&gt;0,SUMIFS(T_StockCount[CountedQty],T_StockCount[RM_Code],$A6,T_StockCount[WeekIndex],3),IF((COUNTIFS(T_SelfStock[RM_Code],$A6,T_SelfStock[WeekIndex],3)&gt;0)*(COUNTIFS(T_TTAFStock[RM_Code],$A6,T_TTAFStock[WeekIndex],3)&gt;0)&gt;0,SUMIFS(T_SelfStock[Self_Qty],T_SelfStock[RM_Code],$A6,T_SelfStock[WeekIndex],3)+SUMIFS(T_TTAFStock[TTAF_Qty],T_TTAFStock[RM_Code],$A6,T_TTAFStock[WeekIndex],3),C6+'Grid_Incoming'!D6-'Grid_Requirement'!D6))</f>
        <v/>
      </c>
      <c r="E6">
        <f>IF(COUNTIFS(T_StockCount[RM_Code],$A6,T_StockCount[WeekIndex],4)&gt;0,SUMIFS(T_StockCount[CountedQty],T_StockCount[RM_Code],$A6,T_StockCount[WeekIndex],4),IF((COUNTIFS(T_SelfStock[RM_Code],$A6,T_SelfStock[WeekIndex],4)&gt;0)*(COUNTIFS(T_TTAFStock[RM_Code],$A6,T_TTAFStock[WeekIndex],4)&gt;0)&gt;0,SUMIFS(T_SelfStock[Self_Qty],T_SelfStock[RM_Code],$A6,T_SelfStock[WeekIndex],4)+SUMIFS(T_TTAFStock[TTAF_Qty],T_TTAFStock[RM_Code],$A6,T_TTAFStock[WeekIndex],4),D6+'Grid_Incoming'!E6-'Grid_Requirement'!E6))</f>
        <v/>
      </c>
      <c r="F6">
        <f>IF(COUNTIFS(T_StockCount[RM_Code],$A6,T_StockCount[WeekIndex],5)&gt;0,SUMIFS(T_StockCount[CountedQty],T_StockCount[RM_Code],$A6,T_StockCount[WeekIndex],5),IF((COUNTIFS(T_SelfStock[RM_Code],$A6,T_SelfStock[WeekIndex],5)&gt;0)*(COUNTIFS(T_TTAFStock[RM_Code],$A6,T_TTAFStock[WeekIndex],5)&gt;0)&gt;0,SUMIFS(T_SelfStock[Self_Qty],T_SelfStock[RM_Code],$A6,T_SelfStock[WeekIndex],5)+SUMIFS(T_TTAFStock[TTAF_Qty],T_TTAFStock[RM_Code],$A6,T_TTAFStock[WeekIndex],5),E6+'Grid_Incoming'!F6-'Grid_Requirement'!F6))</f>
        <v/>
      </c>
      <c r="G6">
        <f>IF(COUNTIFS(T_StockCount[RM_Code],$A6,T_StockCount[WeekIndex],6)&gt;0,SUMIFS(T_StockCount[CountedQty],T_StockCount[RM_Code],$A6,T_StockCount[WeekIndex],6),IF((COUNTIFS(T_SelfStock[RM_Code],$A6,T_SelfStock[WeekIndex],6)&gt;0)*(COUNTIFS(T_TTAFStock[RM_Code],$A6,T_TTAFStock[WeekIndex],6)&gt;0)&gt;0,SUMIFS(T_SelfStock[Self_Qty],T_SelfStock[RM_Code],$A6,T_SelfStock[WeekIndex],6)+SUMIFS(T_TTAFStock[TTAF_Qty],T_TTAFStock[RM_Code],$A6,T_TTAFStock[WeekIndex],6),F6+'Grid_Incoming'!G6-'Grid_Requirement'!G6))</f>
        <v/>
      </c>
      <c r="H6">
        <f>IF(COUNTIFS(T_StockCount[RM_Code],$A6,T_StockCount[WeekIndex],7)&gt;0,SUMIFS(T_StockCount[CountedQty],T_StockCount[RM_Code],$A6,T_StockCount[WeekIndex],7),IF((COUNTIFS(T_SelfStock[RM_Code],$A6,T_SelfStock[WeekIndex],7)&gt;0)*(COUNTIFS(T_TTAFStock[RM_Code],$A6,T_TTAFStock[WeekIndex],7)&gt;0)&gt;0,SUMIFS(T_SelfStock[Self_Qty],T_SelfStock[RM_Code],$A6,T_SelfStock[WeekIndex],7)+SUMIFS(T_TTAFStock[TTAF_Qty],T_TTAFStock[RM_Code],$A6,T_TTAFStock[WeekIndex],7),G6+'Grid_Incoming'!H6-'Grid_Requirement'!H6))</f>
        <v/>
      </c>
      <c r="I6">
        <f>IF(COUNTIFS(T_StockCount[RM_Code],$A6,T_StockCount[WeekIndex],8)&gt;0,SUMIFS(T_StockCount[CountedQty],T_StockCount[RM_Code],$A6,T_StockCount[WeekIndex],8),IF((COUNTIFS(T_SelfStock[RM_Code],$A6,T_SelfStock[WeekIndex],8)&gt;0)*(COUNTIFS(T_TTAFStock[RM_Code],$A6,T_TTAFStock[WeekIndex],8)&gt;0)&gt;0,SUMIFS(T_SelfStock[Self_Qty],T_SelfStock[RM_Code],$A6,T_SelfStock[WeekIndex],8)+SUMIFS(T_TTAFStock[TTAF_Qty],T_TTAFStock[RM_Code],$A6,T_TTAFStock[WeekIndex],8),H6+'Grid_Incoming'!I6-'Grid_Requirement'!I6))</f>
        <v/>
      </c>
      <c r="J6">
        <f>IF(COUNTIFS(T_StockCount[RM_Code],$A6,T_StockCount[WeekIndex],9)&gt;0,SUMIFS(T_StockCount[CountedQty],T_StockCount[RM_Code],$A6,T_StockCount[WeekIndex],9),IF((COUNTIFS(T_SelfStock[RM_Code],$A6,T_SelfStock[WeekIndex],9)&gt;0)*(COUNTIFS(T_TTAFStock[RM_Code],$A6,T_TTAFStock[WeekIndex],9)&gt;0)&gt;0,SUMIFS(T_SelfStock[Self_Qty],T_SelfStock[RM_Code],$A6,T_SelfStock[WeekIndex],9)+SUMIFS(T_TTAFStock[TTAF_Qty],T_TTAFStock[RM_Code],$A6,T_TTAFStock[WeekIndex],9),I6+'Grid_Incoming'!J6-'Grid_Requirement'!J6))</f>
        <v/>
      </c>
      <c r="K6">
        <f>IF(COUNTIFS(T_StockCount[RM_Code],$A6,T_StockCount[WeekIndex],10)&gt;0,SUMIFS(T_StockCount[CountedQty],T_StockCount[RM_Code],$A6,T_StockCount[WeekIndex],10),IF((COUNTIFS(T_SelfStock[RM_Code],$A6,T_SelfStock[WeekIndex],10)&gt;0)*(COUNTIFS(T_TTAFStock[RM_Code],$A6,T_TTAFStock[WeekIndex],10)&gt;0)&gt;0,SUMIFS(T_SelfStock[Self_Qty],T_SelfStock[RM_Code],$A6,T_SelfStock[WeekIndex],10)+SUMIFS(T_TTAFStock[TTAF_Qty],T_TTAFStock[RM_Code],$A6,T_TTAFStock[WeekIndex],10),J6+'Grid_Incoming'!K6-'Grid_Requirement'!K6))</f>
        <v/>
      </c>
      <c r="L6">
        <f>IF(COUNTIFS(T_StockCount[RM_Code],$A6,T_StockCount[WeekIndex],11)&gt;0,SUMIFS(T_StockCount[CountedQty],T_StockCount[RM_Code],$A6,T_StockCount[WeekIndex],11),IF((COUNTIFS(T_SelfStock[RM_Code],$A6,T_SelfStock[WeekIndex],11)&gt;0)*(COUNTIFS(T_TTAFStock[RM_Code],$A6,T_TTAFStock[WeekIndex],11)&gt;0)&gt;0,SUMIFS(T_SelfStock[Self_Qty],T_SelfStock[RM_Code],$A6,T_SelfStock[WeekIndex],11)+SUMIFS(T_TTAFStock[TTAF_Qty],T_TTAFStock[RM_Code],$A6,T_TTAFStock[WeekIndex],11),K6+'Grid_Incoming'!L6-'Grid_Requirement'!L6))</f>
        <v/>
      </c>
      <c r="M6">
        <f>IF(COUNTIFS(T_StockCount[RM_Code],$A6,T_StockCount[WeekIndex],12)&gt;0,SUMIFS(T_StockCount[CountedQty],T_StockCount[RM_Code],$A6,T_StockCount[WeekIndex],12),IF((COUNTIFS(T_SelfStock[RM_Code],$A6,T_SelfStock[WeekIndex],12)&gt;0)*(COUNTIFS(T_TTAFStock[RM_Code],$A6,T_TTAFStock[WeekIndex],12)&gt;0)&gt;0,SUMIFS(T_SelfStock[Self_Qty],T_SelfStock[RM_Code],$A6,T_SelfStock[WeekIndex],12)+SUMIFS(T_TTAFStock[TTAF_Qty],T_TTAFStock[RM_Code],$A6,T_TTAFStock[WeekIndex],12),L6+'Grid_Incoming'!M6-'Grid_Requirement'!M6))</f>
        <v/>
      </c>
      <c r="N6">
        <f>IF(COUNTIFS(T_StockCount[RM_Code],$A6,T_StockCount[WeekIndex],13)&gt;0,SUMIFS(T_StockCount[CountedQty],T_StockCount[RM_Code],$A6,T_StockCount[WeekIndex],13),IF((COUNTIFS(T_SelfStock[RM_Code],$A6,T_SelfStock[WeekIndex],13)&gt;0)*(COUNTIFS(T_TTAFStock[RM_Code],$A6,T_TTAFStock[WeekIndex],13)&gt;0)&gt;0,SUMIFS(T_SelfStock[Self_Qty],T_SelfStock[RM_Code],$A6,T_SelfStock[WeekIndex],13)+SUMIFS(T_TTAFStock[TTAF_Qty],T_TTAFStock[RM_Code],$A6,T_TTAFStock[WeekIndex],13),M6+'Grid_Incoming'!N6-'Grid_Requirement'!N6))</f>
        <v/>
      </c>
      <c r="O6">
        <f>IF(COUNTIFS(T_StockCount[RM_Code],$A6,T_StockCount[WeekIndex],14)&gt;0,SUMIFS(T_StockCount[CountedQty],T_StockCount[RM_Code],$A6,T_StockCount[WeekIndex],14),IF((COUNTIFS(T_SelfStock[RM_Code],$A6,T_SelfStock[WeekIndex],14)&gt;0)*(COUNTIFS(T_TTAFStock[RM_Code],$A6,T_TTAFStock[WeekIndex],14)&gt;0)&gt;0,SUMIFS(T_SelfStock[Self_Qty],T_SelfStock[RM_Code],$A6,T_SelfStock[WeekIndex],14)+SUMIFS(T_TTAFStock[TTAF_Qty],T_TTAFStock[RM_Code],$A6,T_TTAFStock[WeekIndex],14),N6+'Grid_Incoming'!O6-'Grid_Requirement'!O6))</f>
        <v/>
      </c>
      <c r="P6">
        <f>IF(COUNTIFS(T_StockCount[RM_Code],$A6,T_StockCount[WeekIndex],15)&gt;0,SUMIFS(T_StockCount[CountedQty],T_StockCount[RM_Code],$A6,T_StockCount[WeekIndex],15),IF((COUNTIFS(T_SelfStock[RM_Code],$A6,T_SelfStock[WeekIndex],15)&gt;0)*(COUNTIFS(T_TTAFStock[RM_Code],$A6,T_TTAFStock[WeekIndex],15)&gt;0)&gt;0,SUMIFS(T_SelfStock[Self_Qty],T_SelfStock[RM_Code],$A6,T_SelfStock[WeekIndex],15)+SUMIFS(T_TTAFStock[TTAF_Qty],T_TTAFStock[RM_Code],$A6,T_TTAFStock[WeekIndex],15),O6+'Grid_Incoming'!P6-'Grid_Requirement'!P6))</f>
        <v/>
      </c>
      <c r="Q6">
        <f>IF(COUNTIFS(T_StockCount[RM_Code],$A6,T_StockCount[WeekIndex],16)&gt;0,SUMIFS(T_StockCount[CountedQty],T_StockCount[RM_Code],$A6,T_StockCount[WeekIndex],16),IF((COUNTIFS(T_SelfStock[RM_Code],$A6,T_SelfStock[WeekIndex],16)&gt;0)*(COUNTIFS(T_TTAFStock[RM_Code],$A6,T_TTAFStock[WeekIndex],16)&gt;0)&gt;0,SUMIFS(T_SelfStock[Self_Qty],T_SelfStock[RM_Code],$A6,T_SelfStock[WeekIndex],16)+SUMIFS(T_TTAFStock[TTAF_Qty],T_TTAFStock[RM_Code],$A6,T_TTAFStock[WeekIndex],16),P6+'Grid_Incoming'!Q6-'Grid_Requirement'!Q6))</f>
        <v/>
      </c>
      <c r="R6">
        <f>IF(COUNTIFS(T_StockCount[RM_Code],$A6,T_StockCount[WeekIndex],17)&gt;0,SUMIFS(T_StockCount[CountedQty],T_StockCount[RM_Code],$A6,T_StockCount[WeekIndex],17),IF((COUNTIFS(T_SelfStock[RM_Code],$A6,T_SelfStock[WeekIndex],17)&gt;0)*(COUNTIFS(T_TTAFStock[RM_Code],$A6,T_TTAFStock[WeekIndex],17)&gt;0)&gt;0,SUMIFS(T_SelfStock[Self_Qty],T_SelfStock[RM_Code],$A6,T_SelfStock[WeekIndex],17)+SUMIFS(T_TTAFStock[TTAF_Qty],T_TTAFStock[RM_Code],$A6,T_TTAFStock[WeekIndex],17),Q6+'Grid_Incoming'!R6-'Grid_Requirement'!R6))</f>
        <v/>
      </c>
      <c r="S6">
        <f>IF(COUNTIFS(T_StockCount[RM_Code],$A6,T_StockCount[WeekIndex],18)&gt;0,SUMIFS(T_StockCount[CountedQty],T_StockCount[RM_Code],$A6,T_StockCount[WeekIndex],18),IF((COUNTIFS(T_SelfStock[RM_Code],$A6,T_SelfStock[WeekIndex],18)&gt;0)*(COUNTIFS(T_TTAFStock[RM_Code],$A6,T_TTAFStock[WeekIndex],18)&gt;0)&gt;0,SUMIFS(T_SelfStock[Self_Qty],T_SelfStock[RM_Code],$A6,T_SelfStock[WeekIndex],18)+SUMIFS(T_TTAFStock[TTAF_Qty],T_TTAFStock[RM_Code],$A6,T_TTAFStock[WeekIndex],18),R6+'Grid_Incoming'!S6-'Grid_Requirement'!S6))</f>
        <v/>
      </c>
      <c r="T6">
        <f>IF(COUNTIFS(T_StockCount[RM_Code],$A6,T_StockCount[WeekIndex],19)&gt;0,SUMIFS(T_StockCount[CountedQty],T_StockCount[RM_Code],$A6,T_StockCount[WeekIndex],19),IF((COUNTIFS(T_SelfStock[RM_Code],$A6,T_SelfStock[WeekIndex],19)&gt;0)*(COUNTIFS(T_TTAFStock[RM_Code],$A6,T_TTAFStock[WeekIndex],19)&gt;0)&gt;0,SUMIFS(T_SelfStock[Self_Qty],T_SelfStock[RM_Code],$A6,T_SelfStock[WeekIndex],19)+SUMIFS(T_TTAFStock[TTAF_Qty],T_TTAFStock[RM_Code],$A6,T_TTAFStock[WeekIndex],19),S6+'Grid_Incoming'!T6-'Grid_Requirement'!T6))</f>
        <v/>
      </c>
      <c r="U6">
        <f>IF(COUNTIFS(T_StockCount[RM_Code],$A6,T_StockCount[WeekIndex],20)&gt;0,SUMIFS(T_StockCount[CountedQty],T_StockCount[RM_Code],$A6,T_StockCount[WeekIndex],20),IF((COUNTIFS(T_SelfStock[RM_Code],$A6,T_SelfStock[WeekIndex],20)&gt;0)*(COUNTIFS(T_TTAFStock[RM_Code],$A6,T_TTAFStock[WeekIndex],20)&gt;0)&gt;0,SUMIFS(T_SelfStock[Self_Qty],T_SelfStock[RM_Code],$A6,T_SelfStock[WeekIndex],20)+SUMIFS(T_TTAFStock[TTAF_Qty],T_TTAFStock[RM_Code],$A6,T_TTAFStock[WeekIndex],20),T6+'Grid_Incoming'!U6-'Grid_Requirement'!U6))</f>
        <v/>
      </c>
      <c r="V6">
        <f>IF(COUNTIFS(T_StockCount[RM_Code],$A6,T_StockCount[WeekIndex],21)&gt;0,SUMIFS(T_StockCount[CountedQty],T_StockCount[RM_Code],$A6,T_StockCount[WeekIndex],21),IF((COUNTIFS(T_SelfStock[RM_Code],$A6,T_SelfStock[WeekIndex],21)&gt;0)*(COUNTIFS(T_TTAFStock[RM_Code],$A6,T_TTAFStock[WeekIndex],21)&gt;0)&gt;0,SUMIFS(T_SelfStock[Self_Qty],T_SelfStock[RM_Code],$A6,T_SelfStock[WeekIndex],21)+SUMIFS(T_TTAFStock[TTAF_Qty],T_TTAFStock[RM_Code],$A6,T_TTAFStock[WeekIndex],21),U6+'Grid_Incoming'!V6-'Grid_Requirement'!V6))</f>
        <v/>
      </c>
      <c r="W6">
        <f>IF(COUNTIFS(T_StockCount[RM_Code],$A6,T_StockCount[WeekIndex],22)&gt;0,SUMIFS(T_StockCount[CountedQty],T_StockCount[RM_Code],$A6,T_StockCount[WeekIndex],22),IF((COUNTIFS(T_SelfStock[RM_Code],$A6,T_SelfStock[WeekIndex],22)&gt;0)*(COUNTIFS(T_TTAFStock[RM_Code],$A6,T_TTAFStock[WeekIndex],22)&gt;0)&gt;0,SUMIFS(T_SelfStock[Self_Qty],T_SelfStock[RM_Code],$A6,T_SelfStock[WeekIndex],22)+SUMIFS(T_TTAFStock[TTAF_Qty],T_TTAFStock[RM_Code],$A6,T_TTAFStock[WeekIndex],22),V6+'Grid_Incoming'!W6-'Grid_Requirement'!W6))</f>
        <v/>
      </c>
      <c r="X6">
        <f>IF(COUNTIFS(T_StockCount[RM_Code],$A6,T_StockCount[WeekIndex],23)&gt;0,SUMIFS(T_StockCount[CountedQty],T_StockCount[RM_Code],$A6,T_StockCount[WeekIndex],23),IF((COUNTIFS(T_SelfStock[RM_Code],$A6,T_SelfStock[WeekIndex],23)&gt;0)*(COUNTIFS(T_TTAFStock[RM_Code],$A6,T_TTAFStock[WeekIndex],23)&gt;0)&gt;0,SUMIFS(T_SelfStock[Self_Qty],T_SelfStock[RM_Code],$A6,T_SelfStock[WeekIndex],23)+SUMIFS(T_TTAFStock[TTAF_Qty],T_TTAFStock[RM_Code],$A6,T_TTAFStock[WeekIndex],23),W6+'Grid_Incoming'!X6-'Grid_Requirement'!X6))</f>
        <v/>
      </c>
      <c r="Y6">
        <f>IF(COUNTIFS(T_StockCount[RM_Code],$A6,T_StockCount[WeekIndex],24)&gt;0,SUMIFS(T_StockCount[CountedQty],T_StockCount[RM_Code],$A6,T_StockCount[WeekIndex],24),IF((COUNTIFS(T_SelfStock[RM_Code],$A6,T_SelfStock[WeekIndex],24)&gt;0)*(COUNTIFS(T_TTAFStock[RM_Code],$A6,T_TTAFStock[WeekIndex],24)&gt;0)&gt;0,SUMIFS(T_SelfStock[Self_Qty],T_SelfStock[RM_Code],$A6,T_SelfStock[WeekIndex],24)+SUMIFS(T_TTAFStock[TTAF_Qty],T_TTAFStock[RM_Code],$A6,T_TTAFStock[WeekIndex],24),X6+'Grid_Incoming'!Y6-'Grid_Requirement'!Y6))</f>
        <v/>
      </c>
      <c r="Z6">
        <f>IF(COUNTIFS(T_StockCount[RM_Code],$A6,T_StockCount[WeekIndex],25)&gt;0,SUMIFS(T_StockCount[CountedQty],T_StockCount[RM_Code],$A6,T_StockCount[WeekIndex],25),IF((COUNTIFS(T_SelfStock[RM_Code],$A6,T_SelfStock[WeekIndex],25)&gt;0)*(COUNTIFS(T_TTAFStock[RM_Code],$A6,T_TTAFStock[WeekIndex],25)&gt;0)&gt;0,SUMIFS(T_SelfStock[Self_Qty],T_SelfStock[RM_Code],$A6,T_SelfStock[WeekIndex],25)+SUMIFS(T_TTAFStock[TTAF_Qty],T_TTAFStock[RM_Code],$A6,T_TTAFStock[WeekIndex],25),Y6+'Grid_Incoming'!Z6-'Grid_Requirement'!Z6))</f>
        <v/>
      </c>
      <c r="AA6">
        <f>IF(COUNTIFS(T_StockCount[RM_Code],$A6,T_StockCount[WeekIndex],26)&gt;0,SUMIFS(T_StockCount[CountedQty],T_StockCount[RM_Code],$A6,T_StockCount[WeekIndex],26),IF((COUNTIFS(T_SelfStock[RM_Code],$A6,T_SelfStock[WeekIndex],26)&gt;0)*(COUNTIFS(T_TTAFStock[RM_Code],$A6,T_TTAFStock[WeekIndex],26)&gt;0)&gt;0,SUMIFS(T_SelfStock[Self_Qty],T_SelfStock[RM_Code],$A6,T_SelfStock[WeekIndex],26)+SUMIFS(T_TTAFStock[TTAF_Qty],T_TTAFStock[RM_Code],$A6,T_TTAFStock[WeekIndex],26),Z6+'Grid_Incoming'!AA6-'Grid_Requirement'!AA6))</f>
        <v/>
      </c>
      <c r="AB6">
        <f>IF(COUNTIFS(T_StockCount[RM_Code],$A6,T_StockCount[WeekIndex],27)&gt;0,SUMIFS(T_StockCount[CountedQty],T_StockCount[RM_Code],$A6,T_StockCount[WeekIndex],27),IF((COUNTIFS(T_SelfStock[RM_Code],$A6,T_SelfStock[WeekIndex],27)&gt;0)*(COUNTIFS(T_TTAFStock[RM_Code],$A6,T_TTAFStock[WeekIndex],27)&gt;0)&gt;0,SUMIFS(T_SelfStock[Self_Qty],T_SelfStock[RM_Code],$A6,T_SelfStock[WeekIndex],27)+SUMIFS(T_TTAFStock[TTAF_Qty],T_TTAFStock[RM_Code],$A6,T_TTAFStock[WeekIndex],27),AA6+'Grid_Incoming'!AB6-'Grid_Requirement'!AB6))</f>
        <v/>
      </c>
      <c r="AC6">
        <f>IF(COUNTIFS(T_StockCount[RM_Code],$A6,T_StockCount[WeekIndex],28)&gt;0,SUMIFS(T_StockCount[CountedQty],T_StockCount[RM_Code],$A6,T_StockCount[WeekIndex],28),IF((COUNTIFS(T_SelfStock[RM_Code],$A6,T_SelfStock[WeekIndex],28)&gt;0)*(COUNTIFS(T_TTAFStock[RM_Code],$A6,T_TTAFStock[WeekIndex],28)&gt;0)&gt;0,SUMIFS(T_SelfStock[Self_Qty],T_SelfStock[RM_Code],$A6,T_SelfStock[WeekIndex],28)+SUMIFS(T_TTAFStock[TTAF_Qty],T_TTAFStock[RM_Code],$A6,T_TTAFStock[WeekIndex],28),AB6+'Grid_Incoming'!AC6-'Grid_Requirement'!AC6))</f>
        <v/>
      </c>
      <c r="AD6">
        <f>IF(COUNTIFS(T_StockCount[RM_Code],$A6,T_StockCount[WeekIndex],29)&gt;0,SUMIFS(T_StockCount[CountedQty],T_StockCount[RM_Code],$A6,T_StockCount[WeekIndex],29),IF((COUNTIFS(T_SelfStock[RM_Code],$A6,T_SelfStock[WeekIndex],29)&gt;0)*(COUNTIFS(T_TTAFStock[RM_Code],$A6,T_TTAFStock[WeekIndex],29)&gt;0)&gt;0,SUMIFS(T_SelfStock[Self_Qty],T_SelfStock[RM_Code],$A6,T_SelfStock[WeekIndex],29)+SUMIFS(T_TTAFStock[TTAF_Qty],T_TTAFStock[RM_Code],$A6,T_TTAFStock[WeekIndex],29),AC6+'Grid_Incoming'!AD6-'Grid_Requirement'!AD6))</f>
        <v/>
      </c>
      <c r="AE6">
        <f>IF(COUNTIFS(T_StockCount[RM_Code],$A6,T_StockCount[WeekIndex],30)&gt;0,SUMIFS(T_StockCount[CountedQty],T_StockCount[RM_Code],$A6,T_StockCount[WeekIndex],30),IF((COUNTIFS(T_SelfStock[RM_Code],$A6,T_SelfStock[WeekIndex],30)&gt;0)*(COUNTIFS(T_TTAFStock[RM_Code],$A6,T_TTAFStock[WeekIndex],30)&gt;0)&gt;0,SUMIFS(T_SelfStock[Self_Qty],T_SelfStock[RM_Code],$A6,T_SelfStock[WeekIndex],30)+SUMIFS(T_TTAFStock[TTAF_Qty],T_TTAFStock[RM_Code],$A6,T_TTAFStock[WeekIndex],30),AD6+'Grid_Incoming'!AE6-'Grid_Requirement'!AE6))</f>
        <v/>
      </c>
      <c r="AF6">
        <f>IF(COUNTIFS(T_StockCount[RM_Code],$A6,T_StockCount[WeekIndex],31)&gt;0,SUMIFS(T_StockCount[CountedQty],T_StockCount[RM_Code],$A6,T_StockCount[WeekIndex],31),IF((COUNTIFS(T_SelfStock[RM_Code],$A6,T_SelfStock[WeekIndex],31)&gt;0)*(COUNTIFS(T_TTAFStock[RM_Code],$A6,T_TTAFStock[WeekIndex],31)&gt;0)&gt;0,SUMIFS(T_SelfStock[Self_Qty],T_SelfStock[RM_Code],$A6,T_SelfStock[WeekIndex],31)+SUMIFS(T_TTAFStock[TTAF_Qty],T_TTAFStock[RM_Code],$A6,T_TTAFStock[WeekIndex],31),AE6+'Grid_Incoming'!AF6-'Grid_Requirement'!AF6))</f>
        <v/>
      </c>
      <c r="AG6">
        <f>IF(COUNTIFS(T_StockCount[RM_Code],$A6,T_StockCount[WeekIndex],32)&gt;0,SUMIFS(T_StockCount[CountedQty],T_StockCount[RM_Code],$A6,T_StockCount[WeekIndex],32),IF((COUNTIFS(T_SelfStock[RM_Code],$A6,T_SelfStock[WeekIndex],32)&gt;0)*(COUNTIFS(T_TTAFStock[RM_Code],$A6,T_TTAFStock[WeekIndex],32)&gt;0)&gt;0,SUMIFS(T_SelfStock[Self_Qty],T_SelfStock[RM_Code],$A6,T_SelfStock[WeekIndex],32)+SUMIFS(T_TTAFStock[TTAF_Qty],T_TTAFStock[RM_Code],$A6,T_TTAFStock[WeekIndex],32),AF6+'Grid_Incoming'!AG6-'Grid_Requirement'!AG6))</f>
        <v/>
      </c>
      <c r="AH6">
        <f>IF(COUNTIFS(T_StockCount[RM_Code],$A6,T_StockCount[WeekIndex],33)&gt;0,SUMIFS(T_StockCount[CountedQty],T_StockCount[RM_Code],$A6,T_StockCount[WeekIndex],33),IF((COUNTIFS(T_SelfStock[RM_Code],$A6,T_SelfStock[WeekIndex],33)&gt;0)*(COUNTIFS(T_TTAFStock[RM_Code],$A6,T_TTAFStock[WeekIndex],33)&gt;0)&gt;0,SUMIFS(T_SelfStock[Self_Qty],T_SelfStock[RM_Code],$A6,T_SelfStock[WeekIndex],33)+SUMIFS(T_TTAFStock[TTAF_Qty],T_TTAFStock[RM_Code],$A6,T_TTAFStock[WeekIndex],33),AG6+'Grid_Incoming'!AH6-'Grid_Requirement'!AH6))</f>
        <v/>
      </c>
      <c r="AI6">
        <f>IF(COUNTIFS(T_StockCount[RM_Code],$A6,T_StockCount[WeekIndex],34)&gt;0,SUMIFS(T_StockCount[CountedQty],T_StockCount[RM_Code],$A6,T_StockCount[WeekIndex],34),IF((COUNTIFS(T_SelfStock[RM_Code],$A6,T_SelfStock[WeekIndex],34)&gt;0)*(COUNTIFS(T_TTAFStock[RM_Code],$A6,T_TTAFStock[WeekIndex],34)&gt;0)&gt;0,SUMIFS(T_SelfStock[Self_Qty],T_SelfStock[RM_Code],$A6,T_SelfStock[WeekIndex],34)+SUMIFS(T_TTAFStock[TTAF_Qty],T_TTAFStock[RM_Code],$A6,T_TTAFStock[WeekIndex],34),AH6+'Grid_Incoming'!AI6-'Grid_Requirement'!AI6))</f>
        <v/>
      </c>
      <c r="AJ6">
        <f>IF(COUNTIFS(T_StockCount[RM_Code],$A6,T_StockCount[WeekIndex],35)&gt;0,SUMIFS(T_StockCount[CountedQty],T_StockCount[RM_Code],$A6,T_StockCount[WeekIndex],35),IF((COUNTIFS(T_SelfStock[RM_Code],$A6,T_SelfStock[WeekIndex],35)&gt;0)*(COUNTIFS(T_TTAFStock[RM_Code],$A6,T_TTAFStock[WeekIndex],35)&gt;0)&gt;0,SUMIFS(T_SelfStock[Self_Qty],T_SelfStock[RM_Code],$A6,T_SelfStock[WeekIndex],35)+SUMIFS(T_TTAFStock[TTAF_Qty],T_TTAFStock[RM_Code],$A6,T_TTAFStock[WeekIndex],35),AI6+'Grid_Incoming'!AJ6-'Grid_Requirement'!AJ6))</f>
        <v/>
      </c>
      <c r="AK6">
        <f>IF(COUNTIFS(T_StockCount[RM_Code],$A6,T_StockCount[WeekIndex],36)&gt;0,SUMIFS(T_StockCount[CountedQty],T_StockCount[RM_Code],$A6,T_StockCount[WeekIndex],36),IF((COUNTIFS(T_SelfStock[RM_Code],$A6,T_SelfStock[WeekIndex],36)&gt;0)*(COUNTIFS(T_TTAFStock[RM_Code],$A6,T_TTAFStock[WeekIndex],36)&gt;0)&gt;0,SUMIFS(T_SelfStock[Self_Qty],T_SelfStock[RM_Code],$A6,T_SelfStock[WeekIndex],36)+SUMIFS(T_TTAFStock[TTAF_Qty],T_TTAFStock[RM_Code],$A6,T_TTAFStock[WeekIndex],36),AJ6+'Grid_Incoming'!AK6-'Grid_Requirement'!AK6))</f>
        <v/>
      </c>
      <c r="AL6">
        <f>IF(COUNTIFS(T_StockCount[RM_Code],$A6,T_StockCount[WeekIndex],37)&gt;0,SUMIFS(T_StockCount[CountedQty],T_StockCount[RM_Code],$A6,T_StockCount[WeekIndex],37),IF((COUNTIFS(T_SelfStock[RM_Code],$A6,T_SelfStock[WeekIndex],37)&gt;0)*(COUNTIFS(T_TTAFStock[RM_Code],$A6,T_TTAFStock[WeekIndex],37)&gt;0)&gt;0,SUMIFS(T_SelfStock[Self_Qty],T_SelfStock[RM_Code],$A6,T_SelfStock[WeekIndex],37)+SUMIFS(T_TTAFStock[TTAF_Qty],T_TTAFStock[RM_Code],$A6,T_TTAFStock[WeekIndex],37),AK6+'Grid_Incoming'!AL6-'Grid_Requirement'!AL6))</f>
        <v/>
      </c>
      <c r="AM6">
        <f>IF(COUNTIFS(T_StockCount[RM_Code],$A6,T_StockCount[WeekIndex],38)&gt;0,SUMIFS(T_StockCount[CountedQty],T_StockCount[RM_Code],$A6,T_StockCount[WeekIndex],38),IF((COUNTIFS(T_SelfStock[RM_Code],$A6,T_SelfStock[WeekIndex],38)&gt;0)*(COUNTIFS(T_TTAFStock[RM_Code],$A6,T_TTAFStock[WeekIndex],38)&gt;0)&gt;0,SUMIFS(T_SelfStock[Self_Qty],T_SelfStock[RM_Code],$A6,T_SelfStock[WeekIndex],38)+SUMIFS(T_TTAFStock[TTAF_Qty],T_TTAFStock[RM_Code],$A6,T_TTAFStock[WeekIndex],38),AL6+'Grid_Incoming'!AM6-'Grid_Requirement'!AM6))</f>
        <v/>
      </c>
      <c r="AN6">
        <f>IF(COUNTIFS(T_StockCount[RM_Code],$A6,T_StockCount[WeekIndex],39)&gt;0,SUMIFS(T_StockCount[CountedQty],T_StockCount[RM_Code],$A6,T_StockCount[WeekIndex],39),IF((COUNTIFS(T_SelfStock[RM_Code],$A6,T_SelfStock[WeekIndex],39)&gt;0)*(COUNTIFS(T_TTAFStock[RM_Code],$A6,T_TTAFStock[WeekIndex],39)&gt;0)&gt;0,SUMIFS(T_SelfStock[Self_Qty],T_SelfStock[RM_Code],$A6,T_SelfStock[WeekIndex],39)+SUMIFS(T_TTAFStock[TTAF_Qty],T_TTAFStock[RM_Code],$A6,T_TTAFStock[WeekIndex],39),AM6+'Grid_Incoming'!AN6-'Grid_Requirement'!AN6))</f>
        <v/>
      </c>
      <c r="AO6">
        <f>IF(COUNTIFS(T_StockCount[RM_Code],$A6,T_StockCount[WeekIndex],40)&gt;0,SUMIFS(T_StockCount[CountedQty],T_StockCount[RM_Code],$A6,T_StockCount[WeekIndex],40),IF((COUNTIFS(T_SelfStock[RM_Code],$A6,T_SelfStock[WeekIndex],40)&gt;0)*(COUNTIFS(T_TTAFStock[RM_Code],$A6,T_TTAFStock[WeekIndex],40)&gt;0)&gt;0,SUMIFS(T_SelfStock[Self_Qty],T_SelfStock[RM_Code],$A6,T_SelfStock[WeekIndex],40)+SUMIFS(T_TTAFStock[TTAF_Qty],T_TTAFStock[RM_Code],$A6,T_TTAFStock[WeekIndex],40),AN6+'Grid_Incoming'!AO6-'Grid_Requirement'!AO6))</f>
        <v/>
      </c>
      <c r="AP6">
        <f>IF(COUNTIFS(T_StockCount[RM_Code],$A6,T_StockCount[WeekIndex],41)&gt;0,SUMIFS(T_StockCount[CountedQty],T_StockCount[RM_Code],$A6,T_StockCount[WeekIndex],41),IF((COUNTIFS(T_SelfStock[RM_Code],$A6,T_SelfStock[WeekIndex],41)&gt;0)*(COUNTIFS(T_TTAFStock[RM_Code],$A6,T_TTAFStock[WeekIndex],41)&gt;0)&gt;0,SUMIFS(T_SelfStock[Self_Qty],T_SelfStock[RM_Code],$A6,T_SelfStock[WeekIndex],41)+SUMIFS(T_TTAFStock[TTAF_Qty],T_TTAFStock[RM_Code],$A6,T_TTAFStock[WeekIndex],41),AO6+'Grid_Incoming'!AP6-'Grid_Requirement'!AP6))</f>
        <v/>
      </c>
      <c r="AQ6">
        <f>IF(COUNTIFS(T_StockCount[RM_Code],$A6,T_StockCount[WeekIndex],42)&gt;0,SUMIFS(T_StockCount[CountedQty],T_StockCount[RM_Code],$A6,T_StockCount[WeekIndex],42),IF((COUNTIFS(T_SelfStock[RM_Code],$A6,T_SelfStock[WeekIndex],42)&gt;0)*(COUNTIFS(T_TTAFStock[RM_Code],$A6,T_TTAFStock[WeekIndex],42)&gt;0)&gt;0,SUMIFS(T_SelfStock[Self_Qty],T_SelfStock[RM_Code],$A6,T_SelfStock[WeekIndex],42)+SUMIFS(T_TTAFStock[TTAF_Qty],T_TTAFStock[RM_Code],$A6,T_TTAFStock[WeekIndex],42),AP6+'Grid_Incoming'!AQ6-'Grid_Requirement'!AQ6))</f>
        <v/>
      </c>
      <c r="AR6">
        <f>IF(COUNTIFS(T_StockCount[RM_Code],$A6,T_StockCount[WeekIndex],43)&gt;0,SUMIFS(T_StockCount[CountedQty],T_StockCount[RM_Code],$A6,T_StockCount[WeekIndex],43),IF((COUNTIFS(T_SelfStock[RM_Code],$A6,T_SelfStock[WeekIndex],43)&gt;0)*(COUNTIFS(T_TTAFStock[RM_Code],$A6,T_TTAFStock[WeekIndex],43)&gt;0)&gt;0,SUMIFS(T_SelfStock[Self_Qty],T_SelfStock[RM_Code],$A6,T_SelfStock[WeekIndex],43)+SUMIFS(T_TTAFStock[TTAF_Qty],T_TTAFStock[RM_Code],$A6,T_TTAFStock[WeekIndex],43),AQ6+'Grid_Incoming'!AR6-'Grid_Requirement'!AR6))</f>
        <v/>
      </c>
      <c r="AS6">
        <f>IF(COUNTIFS(T_StockCount[RM_Code],$A6,T_StockCount[WeekIndex],44)&gt;0,SUMIFS(T_StockCount[CountedQty],T_StockCount[RM_Code],$A6,T_StockCount[WeekIndex],44),IF((COUNTIFS(T_SelfStock[RM_Code],$A6,T_SelfStock[WeekIndex],44)&gt;0)*(COUNTIFS(T_TTAFStock[RM_Code],$A6,T_TTAFStock[WeekIndex],44)&gt;0)&gt;0,SUMIFS(T_SelfStock[Self_Qty],T_SelfStock[RM_Code],$A6,T_SelfStock[WeekIndex],44)+SUMIFS(T_TTAFStock[TTAF_Qty],T_TTAFStock[RM_Code],$A6,T_TTAFStock[WeekIndex],44),AR6+'Grid_Incoming'!AS6-'Grid_Requirement'!AS6))</f>
        <v/>
      </c>
      <c r="AT6">
        <f>IF(COUNTIFS(T_StockCount[RM_Code],$A6,T_StockCount[WeekIndex],45)&gt;0,SUMIFS(T_StockCount[CountedQty],T_StockCount[RM_Code],$A6,T_StockCount[WeekIndex],45),IF((COUNTIFS(T_SelfStock[RM_Code],$A6,T_SelfStock[WeekIndex],45)&gt;0)*(COUNTIFS(T_TTAFStock[RM_Code],$A6,T_TTAFStock[WeekIndex],45)&gt;0)&gt;0,SUMIFS(T_SelfStock[Self_Qty],T_SelfStock[RM_Code],$A6,T_SelfStock[WeekIndex],45)+SUMIFS(T_TTAFStock[TTAF_Qty],T_TTAFStock[RM_Code],$A6,T_TTAFStock[WeekIndex],45),AS6+'Grid_Incoming'!AT6-'Grid_Requirement'!AT6))</f>
        <v/>
      </c>
      <c r="AU6">
        <f>IF(COUNTIFS(T_StockCount[RM_Code],$A6,T_StockCount[WeekIndex],46)&gt;0,SUMIFS(T_StockCount[CountedQty],T_StockCount[RM_Code],$A6,T_StockCount[WeekIndex],46),IF((COUNTIFS(T_SelfStock[RM_Code],$A6,T_SelfStock[WeekIndex],46)&gt;0)*(COUNTIFS(T_TTAFStock[RM_Code],$A6,T_TTAFStock[WeekIndex],46)&gt;0)&gt;0,SUMIFS(T_SelfStock[Self_Qty],T_SelfStock[RM_Code],$A6,T_SelfStock[WeekIndex],46)+SUMIFS(T_TTAFStock[TTAF_Qty],T_TTAFStock[RM_Code],$A6,T_TTAFStock[WeekIndex],46),AT6+'Grid_Incoming'!AU6-'Grid_Requirement'!AU6))</f>
        <v/>
      </c>
      <c r="AV6">
        <f>IF(COUNTIFS(T_StockCount[RM_Code],$A6,T_StockCount[WeekIndex],47)&gt;0,SUMIFS(T_StockCount[CountedQty],T_StockCount[RM_Code],$A6,T_StockCount[WeekIndex],47),IF((COUNTIFS(T_SelfStock[RM_Code],$A6,T_SelfStock[WeekIndex],47)&gt;0)*(COUNTIFS(T_TTAFStock[RM_Code],$A6,T_TTAFStock[WeekIndex],47)&gt;0)&gt;0,SUMIFS(T_SelfStock[Self_Qty],T_SelfStock[RM_Code],$A6,T_SelfStock[WeekIndex],47)+SUMIFS(T_TTAFStock[TTAF_Qty],T_TTAFStock[RM_Code],$A6,T_TTAFStock[WeekIndex],47),AU6+'Grid_Incoming'!AV6-'Grid_Requirement'!AV6))</f>
        <v/>
      </c>
      <c r="AW6">
        <f>IF(COUNTIFS(T_StockCount[RM_Code],$A6,T_StockCount[WeekIndex],48)&gt;0,SUMIFS(T_StockCount[CountedQty],T_StockCount[RM_Code],$A6,T_StockCount[WeekIndex],48),IF((COUNTIFS(T_SelfStock[RM_Code],$A6,T_SelfStock[WeekIndex],48)&gt;0)*(COUNTIFS(T_TTAFStock[RM_Code],$A6,T_TTAFStock[WeekIndex],48)&gt;0)&gt;0,SUMIFS(T_SelfStock[Self_Qty],T_SelfStock[RM_Code],$A6,T_SelfStock[WeekIndex],48)+SUMIFS(T_TTAFStock[TTAF_Qty],T_TTAFStock[RM_Code],$A6,T_TTAFStock[WeekIndex],48),AV6+'Grid_Incoming'!AW6-'Grid_Requirement'!AW6))</f>
        <v/>
      </c>
      <c r="AX6">
        <f>IF(COUNTIFS(T_StockCount[RM_Code],$A6,T_StockCount[WeekIndex],49)&gt;0,SUMIFS(T_StockCount[CountedQty],T_StockCount[RM_Code],$A6,T_StockCount[WeekIndex],49),IF((COUNTIFS(T_SelfStock[RM_Code],$A6,T_SelfStock[WeekIndex],49)&gt;0)*(COUNTIFS(T_TTAFStock[RM_Code],$A6,T_TTAFStock[WeekIndex],49)&gt;0)&gt;0,SUMIFS(T_SelfStock[Self_Qty],T_SelfStock[RM_Code],$A6,T_SelfStock[WeekIndex],49)+SUMIFS(T_TTAFStock[TTAF_Qty],T_TTAFStock[RM_Code],$A6,T_TTAFStock[WeekIndex],49),AW6+'Grid_Incoming'!AX6-'Grid_Requirement'!AX6))</f>
        <v/>
      </c>
      <c r="AY6">
        <f>IF(COUNTIFS(T_StockCount[RM_Code],$A6,T_StockCount[WeekIndex],50)&gt;0,SUMIFS(T_StockCount[CountedQty],T_StockCount[RM_Code],$A6,T_StockCount[WeekIndex],50),IF((COUNTIFS(T_SelfStock[RM_Code],$A6,T_SelfStock[WeekIndex],50)&gt;0)*(COUNTIFS(T_TTAFStock[RM_Code],$A6,T_TTAFStock[WeekIndex],50)&gt;0)&gt;0,SUMIFS(T_SelfStock[Self_Qty],T_SelfStock[RM_Code],$A6,T_SelfStock[WeekIndex],50)+SUMIFS(T_TTAFStock[TTAF_Qty],T_TTAFStock[RM_Code],$A6,T_TTAFStock[WeekIndex],50),AX6+'Grid_Incoming'!AY6-'Grid_Requirement'!AY6))</f>
        <v/>
      </c>
      <c r="AZ6">
        <f>IF(COUNTIFS(T_StockCount[RM_Code],$A6,T_StockCount[WeekIndex],51)&gt;0,SUMIFS(T_StockCount[CountedQty],T_StockCount[RM_Code],$A6,T_StockCount[WeekIndex],51),IF((COUNTIFS(T_SelfStock[RM_Code],$A6,T_SelfStock[WeekIndex],51)&gt;0)*(COUNTIFS(T_TTAFStock[RM_Code],$A6,T_TTAFStock[WeekIndex],51)&gt;0)&gt;0,SUMIFS(T_SelfStock[Self_Qty],T_SelfStock[RM_Code],$A6,T_SelfStock[WeekIndex],51)+SUMIFS(T_TTAFStock[TTAF_Qty],T_TTAFStock[RM_Code],$A6,T_TTAFStock[WeekIndex],51),AY6+'Grid_Incoming'!AZ6-'Grid_Requirement'!AZ6))</f>
        <v/>
      </c>
      <c r="BA6">
        <f>IF(COUNTIFS(T_StockCount[RM_Code],$A6,T_StockCount[WeekIndex],52)&gt;0,SUMIFS(T_StockCount[CountedQty],T_StockCount[RM_Code],$A6,T_StockCount[WeekIndex],52),IF((COUNTIFS(T_SelfStock[RM_Code],$A6,T_SelfStock[WeekIndex],52)&gt;0)*(COUNTIFS(T_TTAFStock[RM_Code],$A6,T_TTAFStock[WeekIndex],52)&gt;0)&gt;0,SUMIFS(T_SelfStock[Self_Qty],T_SelfStock[RM_Code],$A6,T_SelfStock[WeekIndex],52)+SUMIFS(T_TTAFStock[TTAF_Qty],T_TTAFStock[RM_Code],$A6,T_TTAFStock[WeekIndex],52),AZ6+'Grid_Incoming'!BA6-'Grid_Requirement'!BA6))</f>
        <v/>
      </c>
      <c r="BB6">
        <f>IF(COUNTIFS(T_StockCount[RM_Code],$A6,T_StockCount[WeekIndex],53)&gt;0,SUMIFS(T_StockCount[CountedQty],T_StockCount[RM_Code],$A6,T_StockCount[WeekIndex],53),IF((COUNTIFS(T_SelfStock[RM_Code],$A6,T_SelfStock[WeekIndex],53)&gt;0)*(COUNTIFS(T_TTAFStock[RM_Code],$A6,T_TTAFStock[WeekIndex],53)&gt;0)&gt;0,SUMIFS(T_SelfStock[Self_Qty],T_SelfStock[RM_Code],$A6,T_SelfStock[WeekIndex],53)+SUMIFS(T_TTAFStock[TTAF_Qty],T_TTAFStock[RM_Code],$A6,T_TTAFStock[WeekIndex],53),BA6+'Grid_Incoming'!BB6-'Grid_Requirement'!BB6))</f>
        <v/>
      </c>
      <c r="BC6">
        <f>IF(COUNTIFS(T_StockCount[RM_Code],$A6,T_StockCount[WeekIndex],54)&gt;0,SUMIFS(T_StockCount[CountedQty],T_StockCount[RM_Code],$A6,T_StockCount[WeekIndex],54),IF((COUNTIFS(T_SelfStock[RM_Code],$A6,T_SelfStock[WeekIndex],54)&gt;0)*(COUNTIFS(T_TTAFStock[RM_Code],$A6,T_TTAFStock[WeekIndex],54)&gt;0)&gt;0,SUMIFS(T_SelfStock[Self_Qty],T_SelfStock[RM_Code],$A6,T_SelfStock[WeekIndex],54)+SUMIFS(T_TTAFStock[TTAF_Qty],T_TTAFStock[RM_Code],$A6,T_TTAFStock[WeekIndex],54),BB6+'Grid_Incoming'!BC6-'Grid_Requirement'!BC6))</f>
        <v/>
      </c>
      <c r="BD6">
        <f>IF(COUNTIFS(T_StockCount[RM_Code],$A6,T_StockCount[WeekIndex],55)&gt;0,SUMIFS(T_StockCount[CountedQty],T_StockCount[RM_Code],$A6,T_StockCount[WeekIndex],55),IF((COUNTIFS(T_SelfStock[RM_Code],$A6,T_SelfStock[WeekIndex],55)&gt;0)*(COUNTIFS(T_TTAFStock[RM_Code],$A6,T_TTAFStock[WeekIndex],55)&gt;0)&gt;0,SUMIFS(T_SelfStock[Self_Qty],T_SelfStock[RM_Code],$A6,T_SelfStock[WeekIndex],55)+SUMIFS(T_TTAFStock[TTAF_Qty],T_TTAFStock[RM_Code],$A6,T_TTAFStock[WeekIndex],55),BC6+'Grid_Incoming'!BD6-'Grid_Requirement'!BD6))</f>
        <v/>
      </c>
      <c r="BE6">
        <f>IF(COUNTIFS(T_StockCount[RM_Code],$A6,T_StockCount[WeekIndex],56)&gt;0,SUMIFS(T_StockCount[CountedQty],T_StockCount[RM_Code],$A6,T_StockCount[WeekIndex],56),IF((COUNTIFS(T_SelfStock[RM_Code],$A6,T_SelfStock[WeekIndex],56)&gt;0)*(COUNTIFS(T_TTAFStock[RM_Code],$A6,T_TTAFStock[WeekIndex],56)&gt;0)&gt;0,SUMIFS(T_SelfStock[Self_Qty],T_SelfStock[RM_Code],$A6,T_SelfStock[WeekIndex],56)+SUMIFS(T_TTAFStock[TTAF_Qty],T_TTAFStock[RM_Code],$A6,T_TTAFStock[WeekIndex],56),BD6+'Grid_Incoming'!BE6-'Grid_Requirement'!BE6))</f>
        <v/>
      </c>
      <c r="BF6">
        <f>IF(COUNTIFS(T_StockCount[RM_Code],$A6,T_StockCount[WeekIndex],57)&gt;0,SUMIFS(T_StockCount[CountedQty],T_StockCount[RM_Code],$A6,T_StockCount[WeekIndex],57),IF((COUNTIFS(T_SelfStock[RM_Code],$A6,T_SelfStock[WeekIndex],57)&gt;0)*(COUNTIFS(T_TTAFStock[RM_Code],$A6,T_TTAFStock[WeekIndex],57)&gt;0)&gt;0,SUMIFS(T_SelfStock[Self_Qty],T_SelfStock[RM_Code],$A6,T_SelfStock[WeekIndex],57)+SUMIFS(T_TTAFStock[TTAF_Qty],T_TTAFStock[RM_Code],$A6,T_TTAFStock[WeekIndex],57),BE6+'Grid_Incoming'!BF6-'Grid_Requirement'!BF6))</f>
        <v/>
      </c>
      <c r="BG6">
        <f>IF(COUNTIFS(T_StockCount[RM_Code],$A6,T_StockCount[WeekIndex],58)&gt;0,SUMIFS(T_StockCount[CountedQty],T_StockCount[RM_Code],$A6,T_StockCount[WeekIndex],58),IF((COUNTIFS(T_SelfStock[RM_Code],$A6,T_SelfStock[WeekIndex],58)&gt;0)*(COUNTIFS(T_TTAFStock[RM_Code],$A6,T_TTAFStock[WeekIndex],58)&gt;0)&gt;0,SUMIFS(T_SelfStock[Self_Qty],T_SelfStock[RM_Code],$A6,T_SelfStock[WeekIndex],58)+SUMIFS(T_TTAFStock[TTAF_Qty],T_TTAFStock[RM_Code],$A6,T_TTAFStock[WeekIndex],58),BF6+'Grid_Incoming'!BG6-'Grid_Requirement'!BG6))</f>
        <v/>
      </c>
      <c r="BH6">
        <f>IF(COUNTIFS(T_StockCount[RM_Code],$A6,T_StockCount[WeekIndex],59)&gt;0,SUMIFS(T_StockCount[CountedQty],T_StockCount[RM_Code],$A6,T_StockCount[WeekIndex],59),IF((COUNTIFS(T_SelfStock[RM_Code],$A6,T_SelfStock[WeekIndex],59)&gt;0)*(COUNTIFS(T_TTAFStock[RM_Code],$A6,T_TTAFStock[WeekIndex],59)&gt;0)&gt;0,SUMIFS(T_SelfStock[Self_Qty],T_SelfStock[RM_Code],$A6,T_SelfStock[WeekIndex],59)+SUMIFS(T_TTAFStock[TTAF_Qty],T_TTAFStock[RM_Code],$A6,T_TTAFStock[WeekIndex],59),BG6+'Grid_Incoming'!BH6-'Grid_Requirement'!BH6))</f>
        <v/>
      </c>
      <c r="BI6">
        <f>IF(COUNTIFS(T_StockCount[RM_Code],$A6,T_StockCount[WeekIndex],60)&gt;0,SUMIFS(T_StockCount[CountedQty],T_StockCount[RM_Code],$A6,T_StockCount[WeekIndex],60),IF((COUNTIFS(T_SelfStock[RM_Code],$A6,T_SelfStock[WeekIndex],60)&gt;0)*(COUNTIFS(T_TTAFStock[RM_Code],$A6,T_TTAFStock[WeekIndex],60)&gt;0)&gt;0,SUMIFS(T_SelfStock[Self_Qty],T_SelfStock[RM_Code],$A6,T_SelfStock[WeekIndex],60)+SUMIFS(T_TTAFStock[TTAF_Qty],T_TTAFStock[RM_Code],$A6,T_TTAFStock[WeekIndex],60),BH6+'Grid_Incoming'!BI6-'Grid_Requirement'!BI6))</f>
        <v/>
      </c>
      <c r="BJ6">
        <f>IF(COUNTIFS(T_StockCount[RM_Code],$A6,T_StockCount[WeekIndex],61)&gt;0,SUMIFS(T_StockCount[CountedQty],T_StockCount[RM_Code],$A6,T_StockCount[WeekIndex],61),IF((COUNTIFS(T_SelfStock[RM_Code],$A6,T_SelfStock[WeekIndex],61)&gt;0)*(COUNTIFS(T_TTAFStock[RM_Code],$A6,T_TTAFStock[WeekIndex],61)&gt;0)&gt;0,SUMIFS(T_SelfStock[Self_Qty],T_SelfStock[RM_Code],$A6,T_SelfStock[WeekIndex],61)+SUMIFS(T_TTAFStock[TTAF_Qty],T_TTAFStock[RM_Code],$A6,T_TTAFStock[WeekIndex],61),BI6+'Grid_Incoming'!BJ6-'Grid_Requirement'!BJ6))</f>
        <v/>
      </c>
      <c r="BK6">
        <f>IF(COUNTIFS(T_StockCount[RM_Code],$A6,T_StockCount[WeekIndex],62)&gt;0,SUMIFS(T_StockCount[CountedQty],T_StockCount[RM_Code],$A6,T_StockCount[WeekIndex],62),IF((COUNTIFS(T_SelfStock[RM_Code],$A6,T_SelfStock[WeekIndex],62)&gt;0)*(COUNTIFS(T_TTAFStock[RM_Code],$A6,T_TTAFStock[WeekIndex],62)&gt;0)&gt;0,SUMIFS(T_SelfStock[Self_Qty],T_SelfStock[RM_Code],$A6,T_SelfStock[WeekIndex],62)+SUMIFS(T_TTAFStock[TTAF_Qty],T_TTAFStock[RM_Code],$A6,T_TTAFStock[WeekIndex],62),BJ6+'Grid_Incoming'!BK6-'Grid_Requirement'!BK6))</f>
        <v/>
      </c>
      <c r="BL6">
        <f>IF(COUNTIFS(T_StockCount[RM_Code],$A6,T_StockCount[WeekIndex],63)&gt;0,SUMIFS(T_StockCount[CountedQty],T_StockCount[RM_Code],$A6,T_StockCount[WeekIndex],63),IF((COUNTIFS(T_SelfStock[RM_Code],$A6,T_SelfStock[WeekIndex],63)&gt;0)*(COUNTIFS(T_TTAFStock[RM_Code],$A6,T_TTAFStock[WeekIndex],63)&gt;0)&gt;0,SUMIFS(T_SelfStock[Self_Qty],T_SelfStock[RM_Code],$A6,T_SelfStock[WeekIndex],63)+SUMIFS(T_TTAFStock[TTAF_Qty],T_TTAFStock[RM_Code],$A6,T_TTAFStock[WeekIndex],63),BK6+'Grid_Incoming'!BL6-'Grid_Requirement'!BL6))</f>
        <v/>
      </c>
      <c r="BM6">
        <f>IF(COUNTIFS(T_StockCount[RM_Code],$A6,T_StockCount[WeekIndex],64)&gt;0,SUMIFS(T_StockCount[CountedQty],T_StockCount[RM_Code],$A6,T_StockCount[WeekIndex],64),IF((COUNTIFS(T_SelfStock[RM_Code],$A6,T_SelfStock[WeekIndex],64)&gt;0)*(COUNTIFS(T_TTAFStock[RM_Code],$A6,T_TTAFStock[WeekIndex],64)&gt;0)&gt;0,SUMIFS(T_SelfStock[Self_Qty],T_SelfStock[RM_Code],$A6,T_SelfStock[WeekIndex],64)+SUMIFS(T_TTAFStock[TTAF_Qty],T_TTAFStock[RM_Code],$A6,T_TTAFStock[WeekIndex],64),BL6+'Grid_Incoming'!BM6-'Grid_Requirement'!BM6))</f>
        <v/>
      </c>
      <c r="BN6">
        <f>IF(COUNTIFS(T_StockCount[RM_Code],$A6,T_StockCount[WeekIndex],65)&gt;0,SUMIFS(T_StockCount[CountedQty],T_StockCount[RM_Code],$A6,T_StockCount[WeekIndex],65),IF((COUNTIFS(T_SelfStock[RM_Code],$A6,T_SelfStock[WeekIndex],65)&gt;0)*(COUNTIFS(T_TTAFStock[RM_Code],$A6,T_TTAFStock[WeekIndex],65)&gt;0)&gt;0,SUMIFS(T_SelfStock[Self_Qty],T_SelfStock[RM_Code],$A6,T_SelfStock[WeekIndex],65)+SUMIFS(T_TTAFStock[TTAF_Qty],T_TTAFStock[RM_Code],$A6,T_TTAFStock[WeekIndex],65),BM6+'Grid_Incoming'!BN6-'Grid_Requirement'!BN6))</f>
        <v/>
      </c>
      <c r="BO6">
        <f>IF(COUNTIFS(T_StockCount[RM_Code],$A6,T_StockCount[WeekIndex],66)&gt;0,SUMIFS(T_StockCount[CountedQty],T_StockCount[RM_Code],$A6,T_StockCount[WeekIndex],66),IF((COUNTIFS(T_SelfStock[RM_Code],$A6,T_SelfStock[WeekIndex],66)&gt;0)*(COUNTIFS(T_TTAFStock[RM_Code],$A6,T_TTAFStock[WeekIndex],66)&gt;0)&gt;0,SUMIFS(T_SelfStock[Self_Qty],T_SelfStock[RM_Code],$A6,T_SelfStock[WeekIndex],66)+SUMIFS(T_TTAFStock[TTAF_Qty],T_TTAFStock[RM_Code],$A6,T_TTAFStock[WeekIndex],66),BN6+'Grid_Incoming'!BO6-'Grid_Requirement'!BO6))</f>
        <v/>
      </c>
      <c r="BP6">
        <f>IF(COUNTIFS(T_StockCount[RM_Code],$A6,T_StockCount[WeekIndex],67)&gt;0,SUMIFS(T_StockCount[CountedQty],T_StockCount[RM_Code],$A6,T_StockCount[WeekIndex],67),IF((COUNTIFS(T_SelfStock[RM_Code],$A6,T_SelfStock[WeekIndex],67)&gt;0)*(COUNTIFS(T_TTAFStock[RM_Code],$A6,T_TTAFStock[WeekIndex],67)&gt;0)&gt;0,SUMIFS(T_SelfStock[Self_Qty],T_SelfStock[RM_Code],$A6,T_SelfStock[WeekIndex],67)+SUMIFS(T_TTAFStock[TTAF_Qty],T_TTAFStock[RM_Code],$A6,T_TTAFStock[WeekIndex],67),BO6+'Grid_Incoming'!BP6-'Grid_Requirement'!BP6))</f>
        <v/>
      </c>
      <c r="BQ6">
        <f>IF(COUNTIFS(T_StockCount[RM_Code],$A6,T_StockCount[WeekIndex],68)&gt;0,SUMIFS(T_StockCount[CountedQty],T_StockCount[RM_Code],$A6,T_StockCount[WeekIndex],68),IF((COUNTIFS(T_SelfStock[RM_Code],$A6,T_SelfStock[WeekIndex],68)&gt;0)*(COUNTIFS(T_TTAFStock[RM_Code],$A6,T_TTAFStock[WeekIndex],68)&gt;0)&gt;0,SUMIFS(T_SelfStock[Self_Qty],T_SelfStock[RM_Code],$A6,T_SelfStock[WeekIndex],68)+SUMIFS(T_TTAFStock[TTAF_Qty],T_TTAFStock[RM_Code],$A6,T_TTAFStock[WeekIndex],68),BP6+'Grid_Incoming'!BQ6-'Grid_Requirement'!BQ6))</f>
        <v/>
      </c>
      <c r="BR6">
        <f>IF(COUNTIFS(T_StockCount[RM_Code],$A6,T_StockCount[WeekIndex],69)&gt;0,SUMIFS(T_StockCount[CountedQty],T_StockCount[RM_Code],$A6,T_StockCount[WeekIndex],69),IF((COUNTIFS(T_SelfStock[RM_Code],$A6,T_SelfStock[WeekIndex],69)&gt;0)*(COUNTIFS(T_TTAFStock[RM_Code],$A6,T_TTAFStock[WeekIndex],69)&gt;0)&gt;0,SUMIFS(T_SelfStock[Self_Qty],T_SelfStock[RM_Code],$A6,T_SelfStock[WeekIndex],69)+SUMIFS(T_TTAFStock[TTAF_Qty],T_TTAFStock[RM_Code],$A6,T_TTAFStock[WeekIndex],69),BQ6+'Grid_Incoming'!BR6-'Grid_Requirement'!BR6))</f>
        <v/>
      </c>
      <c r="BS6">
        <f>IF(COUNTIFS(T_StockCount[RM_Code],$A6,T_StockCount[WeekIndex],70)&gt;0,SUMIFS(T_StockCount[CountedQty],T_StockCount[RM_Code],$A6,T_StockCount[WeekIndex],70),IF((COUNTIFS(T_SelfStock[RM_Code],$A6,T_SelfStock[WeekIndex],70)&gt;0)*(COUNTIFS(T_TTAFStock[RM_Code],$A6,T_TTAFStock[WeekIndex],70)&gt;0)&gt;0,SUMIFS(T_SelfStock[Self_Qty],T_SelfStock[RM_Code],$A6,T_SelfStock[WeekIndex],70)+SUMIFS(T_TTAFStock[TTAF_Qty],T_TTAFStock[RM_Code],$A6,T_TTAFStock[WeekIndex],70),BR6+'Grid_Incoming'!BS6-'Grid_Requirement'!BS6))</f>
        <v/>
      </c>
      <c r="BT6">
        <f>IF(COUNTIFS(T_StockCount[RM_Code],$A6,T_StockCount[WeekIndex],71)&gt;0,SUMIFS(T_StockCount[CountedQty],T_StockCount[RM_Code],$A6,T_StockCount[WeekIndex],71),IF((COUNTIFS(T_SelfStock[RM_Code],$A6,T_SelfStock[WeekIndex],71)&gt;0)*(COUNTIFS(T_TTAFStock[RM_Code],$A6,T_TTAFStock[WeekIndex],71)&gt;0)&gt;0,SUMIFS(T_SelfStock[Self_Qty],T_SelfStock[RM_Code],$A6,T_SelfStock[WeekIndex],71)+SUMIFS(T_TTAFStock[TTAF_Qty],T_TTAFStock[RM_Code],$A6,T_TTAFStock[WeekIndex],71),BS6+'Grid_Incoming'!BT6-'Grid_Requirement'!BT6))</f>
        <v/>
      </c>
      <c r="BU6">
        <f>IF(COUNTIFS(T_StockCount[RM_Code],$A6,T_StockCount[WeekIndex],72)&gt;0,SUMIFS(T_StockCount[CountedQty],T_StockCount[RM_Code],$A6,T_StockCount[WeekIndex],72),IF((COUNTIFS(T_SelfStock[RM_Code],$A6,T_SelfStock[WeekIndex],72)&gt;0)*(COUNTIFS(T_TTAFStock[RM_Code],$A6,T_TTAFStock[WeekIndex],72)&gt;0)&gt;0,SUMIFS(T_SelfStock[Self_Qty],T_SelfStock[RM_Code],$A6,T_SelfStock[WeekIndex],72)+SUMIFS(T_TTAFStock[TTAF_Qty],T_TTAFStock[RM_Code],$A6,T_TTAFStock[WeekIndex],72),BT6+'Grid_Incoming'!BU6-'Grid_Requirement'!BU6))</f>
        <v/>
      </c>
      <c r="BV6">
        <f>IF(COUNTIFS(T_StockCount[RM_Code],$A6,T_StockCount[WeekIndex],73)&gt;0,SUMIFS(T_StockCount[CountedQty],T_StockCount[RM_Code],$A6,T_StockCount[WeekIndex],73),IF((COUNTIFS(T_SelfStock[RM_Code],$A6,T_SelfStock[WeekIndex],73)&gt;0)*(COUNTIFS(T_TTAFStock[RM_Code],$A6,T_TTAFStock[WeekIndex],73)&gt;0)&gt;0,SUMIFS(T_SelfStock[Self_Qty],T_SelfStock[RM_Code],$A6,T_SelfStock[WeekIndex],73)+SUMIFS(T_TTAFStock[TTAF_Qty],T_TTAFStock[RM_Code],$A6,T_TTAFStock[WeekIndex],73),BU6+'Grid_Incoming'!BV6-'Grid_Requirement'!BV6))</f>
        <v/>
      </c>
      <c r="BW6">
        <f>IF(COUNTIFS(T_StockCount[RM_Code],$A6,T_StockCount[WeekIndex],74)&gt;0,SUMIFS(T_StockCount[CountedQty],T_StockCount[RM_Code],$A6,T_StockCount[WeekIndex],74),IF((COUNTIFS(T_SelfStock[RM_Code],$A6,T_SelfStock[WeekIndex],74)&gt;0)*(COUNTIFS(T_TTAFStock[RM_Code],$A6,T_TTAFStock[WeekIndex],74)&gt;0)&gt;0,SUMIFS(T_SelfStock[Self_Qty],T_SelfStock[RM_Code],$A6,T_SelfStock[WeekIndex],74)+SUMIFS(T_TTAFStock[TTAF_Qty],T_TTAFStock[RM_Code],$A6,T_TTAFStock[WeekIndex],74),BV6+'Grid_Incoming'!BW6-'Grid_Requirement'!BW6))</f>
        <v/>
      </c>
      <c r="BX6">
        <f>IF(COUNTIFS(T_StockCount[RM_Code],$A6,T_StockCount[WeekIndex],75)&gt;0,SUMIFS(T_StockCount[CountedQty],T_StockCount[RM_Code],$A6,T_StockCount[WeekIndex],75),IF((COUNTIFS(T_SelfStock[RM_Code],$A6,T_SelfStock[WeekIndex],75)&gt;0)*(COUNTIFS(T_TTAFStock[RM_Code],$A6,T_TTAFStock[WeekIndex],75)&gt;0)&gt;0,SUMIFS(T_SelfStock[Self_Qty],T_SelfStock[RM_Code],$A6,T_SelfStock[WeekIndex],75)+SUMIFS(T_TTAFStock[TTAF_Qty],T_TTAFStock[RM_Code],$A6,T_TTAFStock[WeekIndex],75),BW6+'Grid_Incoming'!BX6-'Grid_Requirement'!BX6))</f>
        <v/>
      </c>
      <c r="BY6">
        <f>IF(COUNTIFS(T_StockCount[RM_Code],$A6,T_StockCount[WeekIndex],76)&gt;0,SUMIFS(T_StockCount[CountedQty],T_StockCount[RM_Code],$A6,T_StockCount[WeekIndex],76),IF((COUNTIFS(T_SelfStock[RM_Code],$A6,T_SelfStock[WeekIndex],76)&gt;0)*(COUNTIFS(T_TTAFStock[RM_Code],$A6,T_TTAFStock[WeekIndex],76)&gt;0)&gt;0,SUMIFS(T_SelfStock[Self_Qty],T_SelfStock[RM_Code],$A6,T_SelfStock[WeekIndex],76)+SUMIFS(T_TTAFStock[TTAF_Qty],T_TTAFStock[RM_Code],$A6,T_TTAFStock[WeekIndex],76),BX6+'Grid_Incoming'!BY6-'Grid_Requirement'!BY6))</f>
        <v/>
      </c>
      <c r="BZ6">
        <f>IF(COUNTIFS(T_StockCount[RM_Code],$A6,T_StockCount[WeekIndex],77)&gt;0,SUMIFS(T_StockCount[CountedQty],T_StockCount[RM_Code],$A6,T_StockCount[WeekIndex],77),IF((COUNTIFS(T_SelfStock[RM_Code],$A6,T_SelfStock[WeekIndex],77)&gt;0)*(COUNTIFS(T_TTAFStock[RM_Code],$A6,T_TTAFStock[WeekIndex],77)&gt;0)&gt;0,SUMIFS(T_SelfStock[Self_Qty],T_SelfStock[RM_Code],$A6,T_SelfStock[WeekIndex],77)+SUMIFS(T_TTAFStock[TTAF_Qty],T_TTAFStock[RM_Code],$A6,T_TTAFStock[WeekIndex],77),BY6+'Grid_Incoming'!BZ6-'Grid_Requirement'!BZ6))</f>
        <v/>
      </c>
      <c r="CA6">
        <f>IF(COUNTIFS(T_StockCount[RM_Code],$A6,T_StockCount[WeekIndex],78)&gt;0,SUMIFS(T_StockCount[CountedQty],T_StockCount[RM_Code],$A6,T_StockCount[WeekIndex],78),IF((COUNTIFS(T_SelfStock[RM_Code],$A6,T_SelfStock[WeekIndex],78)&gt;0)*(COUNTIFS(T_TTAFStock[RM_Code],$A6,T_TTAFStock[WeekIndex],78)&gt;0)&gt;0,SUMIFS(T_SelfStock[Self_Qty],T_SelfStock[RM_Code],$A6,T_SelfStock[WeekIndex],78)+SUMIFS(T_TTAFStock[TTAF_Qty],T_TTAFStock[RM_Code],$A6,T_TTAFStock[WeekIndex],78),BZ6+'Grid_Incoming'!CA6-'Grid_Requirement'!CA6))</f>
        <v/>
      </c>
      <c r="CB6">
        <f>IF(COUNTIFS(T_StockCount[RM_Code],$A6,T_StockCount[WeekIndex],79)&gt;0,SUMIFS(T_StockCount[CountedQty],T_StockCount[RM_Code],$A6,T_StockCount[WeekIndex],79),IF((COUNTIFS(T_SelfStock[RM_Code],$A6,T_SelfStock[WeekIndex],79)&gt;0)*(COUNTIFS(T_TTAFStock[RM_Code],$A6,T_TTAFStock[WeekIndex],79)&gt;0)&gt;0,SUMIFS(T_SelfStock[Self_Qty],T_SelfStock[RM_Code],$A6,T_SelfStock[WeekIndex],79)+SUMIFS(T_TTAFStock[TTAF_Qty],T_TTAFStock[RM_Code],$A6,T_TTAFStock[WeekIndex],79),CA6+'Grid_Incoming'!CB6-'Grid_Requirement'!CB6))</f>
        <v/>
      </c>
      <c r="CC6">
        <f>IF(COUNTIFS(T_StockCount[RM_Code],$A6,T_StockCount[WeekIndex],80)&gt;0,SUMIFS(T_StockCount[CountedQty],T_StockCount[RM_Code],$A6,T_StockCount[WeekIndex],80),IF((COUNTIFS(T_SelfStock[RM_Code],$A6,T_SelfStock[WeekIndex],80)&gt;0)*(COUNTIFS(T_TTAFStock[RM_Code],$A6,T_TTAFStock[WeekIndex],80)&gt;0)&gt;0,SUMIFS(T_SelfStock[Self_Qty],T_SelfStock[RM_Code],$A6,T_SelfStock[WeekIndex],80)+SUMIFS(T_TTAFStock[TTAF_Qty],T_TTAFStock[RM_Code],$A6,T_TTAFStock[WeekIndex],80),CB6+'Grid_Incoming'!CC6-'Grid_Requirement'!CC6))</f>
        <v/>
      </c>
      <c r="CD6">
        <f>IF(COUNTIFS(T_StockCount[RM_Code],$A6,T_StockCount[WeekIndex],81)&gt;0,SUMIFS(T_StockCount[CountedQty],T_StockCount[RM_Code],$A6,T_StockCount[WeekIndex],81),IF((COUNTIFS(T_SelfStock[RM_Code],$A6,T_SelfStock[WeekIndex],81)&gt;0)*(COUNTIFS(T_TTAFStock[RM_Code],$A6,T_TTAFStock[WeekIndex],81)&gt;0)&gt;0,SUMIFS(T_SelfStock[Self_Qty],T_SelfStock[RM_Code],$A6,T_SelfStock[WeekIndex],81)+SUMIFS(T_TTAFStock[TTAF_Qty],T_TTAFStock[RM_Code],$A6,T_TTAFStock[WeekIndex],81),CC6+'Grid_Incoming'!CD6-'Grid_Requirement'!CD6))</f>
        <v/>
      </c>
      <c r="CE6">
        <f>IF(COUNTIFS(T_StockCount[RM_Code],$A6,T_StockCount[WeekIndex],82)&gt;0,SUMIFS(T_StockCount[CountedQty],T_StockCount[RM_Code],$A6,T_StockCount[WeekIndex],82),IF((COUNTIFS(T_SelfStock[RM_Code],$A6,T_SelfStock[WeekIndex],82)&gt;0)*(COUNTIFS(T_TTAFStock[RM_Code],$A6,T_TTAFStock[WeekIndex],82)&gt;0)&gt;0,SUMIFS(T_SelfStock[Self_Qty],T_SelfStock[RM_Code],$A6,T_SelfStock[WeekIndex],82)+SUMIFS(T_TTAFStock[TTAF_Qty],T_TTAFStock[RM_Code],$A6,T_TTAFStock[WeekIndex],82),CD6+'Grid_Incoming'!CE6-'Grid_Requirement'!CE6))</f>
        <v/>
      </c>
      <c r="CF6">
        <f>IF(COUNTIFS(T_StockCount[RM_Code],$A6,T_StockCount[WeekIndex],83)&gt;0,SUMIFS(T_StockCount[CountedQty],T_StockCount[RM_Code],$A6,T_StockCount[WeekIndex],83),IF((COUNTIFS(T_SelfStock[RM_Code],$A6,T_SelfStock[WeekIndex],83)&gt;0)*(COUNTIFS(T_TTAFStock[RM_Code],$A6,T_TTAFStock[WeekIndex],83)&gt;0)&gt;0,SUMIFS(T_SelfStock[Self_Qty],T_SelfStock[RM_Code],$A6,T_SelfStock[WeekIndex],83)+SUMIFS(T_TTAFStock[TTAF_Qty],T_TTAFStock[RM_Code],$A6,T_TTAFStock[WeekIndex],83),CE6+'Grid_Incoming'!CF6-'Grid_Requirement'!CF6))</f>
        <v/>
      </c>
      <c r="CG6">
        <f>IF(COUNTIFS(T_StockCount[RM_Code],$A6,T_StockCount[WeekIndex],84)&gt;0,SUMIFS(T_StockCount[CountedQty],T_StockCount[RM_Code],$A6,T_StockCount[WeekIndex],84),IF((COUNTIFS(T_SelfStock[RM_Code],$A6,T_SelfStock[WeekIndex],84)&gt;0)*(COUNTIFS(T_TTAFStock[RM_Code],$A6,T_TTAFStock[WeekIndex],84)&gt;0)&gt;0,SUMIFS(T_SelfStock[Self_Qty],T_SelfStock[RM_Code],$A6,T_SelfStock[WeekIndex],84)+SUMIFS(T_TTAFStock[TTAF_Qty],T_TTAFStock[RM_Code],$A6,T_TTAFStock[WeekIndex],84),CF6+'Grid_Incoming'!CG6-'Grid_Requirement'!CG6))</f>
        <v/>
      </c>
      <c r="CH6">
        <f>IF(COUNTIFS(T_StockCount[RM_Code],$A6,T_StockCount[WeekIndex],85)&gt;0,SUMIFS(T_StockCount[CountedQty],T_StockCount[RM_Code],$A6,T_StockCount[WeekIndex],85),IF((COUNTIFS(T_SelfStock[RM_Code],$A6,T_SelfStock[WeekIndex],85)&gt;0)*(COUNTIFS(T_TTAFStock[RM_Code],$A6,T_TTAFStock[WeekIndex],85)&gt;0)&gt;0,SUMIFS(T_SelfStock[Self_Qty],T_SelfStock[RM_Code],$A6,T_SelfStock[WeekIndex],85)+SUMIFS(T_TTAFStock[TTAF_Qty],T_TTAFStock[RM_Code],$A6,T_TTAFStock[WeekIndex],85),CG6+'Grid_Incoming'!CH6-'Grid_Requirement'!CH6))</f>
        <v/>
      </c>
      <c r="CI6">
        <f>IF(COUNTIFS(T_StockCount[RM_Code],$A6,T_StockCount[WeekIndex],86)&gt;0,SUMIFS(T_StockCount[CountedQty],T_StockCount[RM_Code],$A6,T_StockCount[WeekIndex],86),IF((COUNTIFS(T_SelfStock[RM_Code],$A6,T_SelfStock[WeekIndex],86)&gt;0)*(COUNTIFS(T_TTAFStock[RM_Code],$A6,T_TTAFStock[WeekIndex],86)&gt;0)&gt;0,SUMIFS(T_SelfStock[Self_Qty],T_SelfStock[RM_Code],$A6,T_SelfStock[WeekIndex],86)+SUMIFS(T_TTAFStock[TTAF_Qty],T_TTAFStock[RM_Code],$A6,T_TTAFStock[WeekIndex],86),CH6+'Grid_Incoming'!CI6-'Grid_Requirement'!CI6))</f>
        <v/>
      </c>
      <c r="CJ6">
        <f>IF(COUNTIFS(T_StockCount[RM_Code],$A6,T_StockCount[WeekIndex],87)&gt;0,SUMIFS(T_StockCount[CountedQty],T_StockCount[RM_Code],$A6,T_StockCount[WeekIndex],87),IF((COUNTIFS(T_SelfStock[RM_Code],$A6,T_SelfStock[WeekIndex],87)&gt;0)*(COUNTIFS(T_TTAFStock[RM_Code],$A6,T_TTAFStock[WeekIndex],87)&gt;0)&gt;0,SUMIFS(T_SelfStock[Self_Qty],T_SelfStock[RM_Code],$A6,T_SelfStock[WeekIndex],87)+SUMIFS(T_TTAFStock[TTAF_Qty],T_TTAFStock[RM_Code],$A6,T_TTAFStock[WeekIndex],87),CI6+'Grid_Incoming'!CJ6-'Grid_Requirement'!CJ6))</f>
        <v/>
      </c>
      <c r="CK6">
        <f>IF(COUNTIFS(T_StockCount[RM_Code],$A6,T_StockCount[WeekIndex],88)&gt;0,SUMIFS(T_StockCount[CountedQty],T_StockCount[RM_Code],$A6,T_StockCount[WeekIndex],88),IF((COUNTIFS(T_SelfStock[RM_Code],$A6,T_SelfStock[WeekIndex],88)&gt;0)*(COUNTIFS(T_TTAFStock[RM_Code],$A6,T_TTAFStock[WeekIndex],88)&gt;0)&gt;0,SUMIFS(T_SelfStock[Self_Qty],T_SelfStock[RM_Code],$A6,T_SelfStock[WeekIndex],88)+SUMIFS(T_TTAFStock[TTAF_Qty],T_TTAFStock[RM_Code],$A6,T_TTAFStock[WeekIndex],88),CJ6+'Grid_Incoming'!CK6-'Grid_Requirement'!CK6))</f>
        <v/>
      </c>
      <c r="CL6">
        <f>IF(COUNTIFS(T_StockCount[RM_Code],$A6,T_StockCount[WeekIndex],89)&gt;0,SUMIFS(T_StockCount[CountedQty],T_StockCount[RM_Code],$A6,T_StockCount[WeekIndex],89),IF((COUNTIFS(T_SelfStock[RM_Code],$A6,T_SelfStock[WeekIndex],89)&gt;0)*(COUNTIFS(T_TTAFStock[RM_Code],$A6,T_TTAFStock[WeekIndex],89)&gt;0)&gt;0,SUMIFS(T_SelfStock[Self_Qty],T_SelfStock[RM_Code],$A6,T_SelfStock[WeekIndex],89)+SUMIFS(T_TTAFStock[TTAF_Qty],T_TTAFStock[RM_Code],$A6,T_TTAFStock[WeekIndex],89),CK6+'Grid_Incoming'!CL6-'Grid_Requirement'!CL6))</f>
        <v/>
      </c>
      <c r="CM6">
        <f>IF(COUNTIFS(T_StockCount[RM_Code],$A6,T_StockCount[WeekIndex],90)&gt;0,SUMIFS(T_StockCount[CountedQty],T_StockCount[RM_Code],$A6,T_StockCount[WeekIndex],90),IF((COUNTIFS(T_SelfStock[RM_Code],$A6,T_SelfStock[WeekIndex],90)&gt;0)*(COUNTIFS(T_TTAFStock[RM_Code],$A6,T_TTAFStock[WeekIndex],90)&gt;0)&gt;0,SUMIFS(T_SelfStock[Self_Qty],T_SelfStock[RM_Code],$A6,T_SelfStock[WeekIndex],90)+SUMIFS(T_TTAFStock[TTAF_Qty],T_TTAFStock[RM_Code],$A6,T_TTAFStock[WeekIndex],90),CL6+'Grid_Incoming'!CM6-'Grid_Requirement'!CM6))</f>
        <v/>
      </c>
      <c r="CN6">
        <f>IF(COUNTIFS(T_StockCount[RM_Code],$A6,T_StockCount[WeekIndex],91)&gt;0,SUMIFS(T_StockCount[CountedQty],T_StockCount[RM_Code],$A6,T_StockCount[WeekIndex],91),IF((COUNTIFS(T_SelfStock[RM_Code],$A6,T_SelfStock[WeekIndex],91)&gt;0)*(COUNTIFS(T_TTAFStock[RM_Code],$A6,T_TTAFStock[WeekIndex],91)&gt;0)&gt;0,SUMIFS(T_SelfStock[Self_Qty],T_SelfStock[RM_Code],$A6,T_SelfStock[WeekIndex],91)+SUMIFS(T_TTAFStock[TTAF_Qty],T_TTAFStock[RM_Code],$A6,T_TTAFStock[WeekIndex],91),CM6+'Grid_Incoming'!CN6-'Grid_Requirement'!CN6))</f>
        <v/>
      </c>
      <c r="CO6">
        <f>IF(COUNTIFS(T_StockCount[RM_Code],$A6,T_StockCount[WeekIndex],92)&gt;0,SUMIFS(T_StockCount[CountedQty],T_StockCount[RM_Code],$A6,T_StockCount[WeekIndex],92),IF((COUNTIFS(T_SelfStock[RM_Code],$A6,T_SelfStock[WeekIndex],92)&gt;0)*(COUNTIFS(T_TTAFStock[RM_Code],$A6,T_TTAFStock[WeekIndex],92)&gt;0)&gt;0,SUMIFS(T_SelfStock[Self_Qty],T_SelfStock[RM_Code],$A6,T_SelfStock[WeekIndex],92)+SUMIFS(T_TTAFStock[TTAF_Qty],T_TTAFStock[RM_Code],$A6,T_TTAFStock[WeekIndex],92),CN6+'Grid_Incoming'!CO6-'Grid_Requirement'!CO6))</f>
        <v/>
      </c>
      <c r="CP6">
        <f>IF(COUNTIFS(T_StockCount[RM_Code],$A6,T_StockCount[WeekIndex],93)&gt;0,SUMIFS(T_StockCount[CountedQty],T_StockCount[RM_Code],$A6,T_StockCount[WeekIndex],93),IF((COUNTIFS(T_SelfStock[RM_Code],$A6,T_SelfStock[WeekIndex],93)&gt;0)*(COUNTIFS(T_TTAFStock[RM_Code],$A6,T_TTAFStock[WeekIndex],93)&gt;0)&gt;0,SUMIFS(T_SelfStock[Self_Qty],T_SelfStock[RM_Code],$A6,T_SelfStock[WeekIndex],93)+SUMIFS(T_TTAFStock[TTAF_Qty],T_TTAFStock[RM_Code],$A6,T_TTAFStock[WeekIndex],93),CO6+'Grid_Incoming'!CP6-'Grid_Requirement'!CP6))</f>
        <v/>
      </c>
      <c r="CQ6">
        <f>IF(COUNTIFS(T_StockCount[RM_Code],$A6,T_StockCount[WeekIndex],94)&gt;0,SUMIFS(T_StockCount[CountedQty],T_StockCount[RM_Code],$A6,T_StockCount[WeekIndex],94),IF((COUNTIFS(T_SelfStock[RM_Code],$A6,T_SelfStock[WeekIndex],94)&gt;0)*(COUNTIFS(T_TTAFStock[RM_Code],$A6,T_TTAFStock[WeekIndex],94)&gt;0)&gt;0,SUMIFS(T_SelfStock[Self_Qty],T_SelfStock[RM_Code],$A6,T_SelfStock[WeekIndex],94)+SUMIFS(T_TTAFStock[TTAF_Qty],T_TTAFStock[RM_Code],$A6,T_TTAFStock[WeekIndex],94),CP6+'Grid_Incoming'!CQ6-'Grid_Requirement'!CQ6))</f>
        <v/>
      </c>
      <c r="CR6">
        <f>IF(COUNTIFS(T_StockCount[RM_Code],$A6,T_StockCount[WeekIndex],95)&gt;0,SUMIFS(T_StockCount[CountedQty],T_StockCount[RM_Code],$A6,T_StockCount[WeekIndex],95),IF((COUNTIFS(T_SelfStock[RM_Code],$A6,T_SelfStock[WeekIndex],95)&gt;0)*(COUNTIFS(T_TTAFStock[RM_Code],$A6,T_TTAFStock[WeekIndex],95)&gt;0)&gt;0,SUMIFS(T_SelfStock[Self_Qty],T_SelfStock[RM_Code],$A6,T_SelfStock[WeekIndex],95)+SUMIFS(T_TTAFStock[TTAF_Qty],T_TTAFStock[RM_Code],$A6,T_TTAFStock[WeekIndex],95),CQ6+'Grid_Incoming'!CR6-'Grid_Requirement'!CR6))</f>
        <v/>
      </c>
      <c r="CS6">
        <f>IF(COUNTIFS(T_StockCount[RM_Code],$A6,T_StockCount[WeekIndex],96)&gt;0,SUMIFS(T_StockCount[CountedQty],T_StockCount[RM_Code],$A6,T_StockCount[WeekIndex],96),IF((COUNTIFS(T_SelfStock[RM_Code],$A6,T_SelfStock[WeekIndex],96)&gt;0)*(COUNTIFS(T_TTAFStock[RM_Code],$A6,T_TTAFStock[WeekIndex],96)&gt;0)&gt;0,SUMIFS(T_SelfStock[Self_Qty],T_SelfStock[RM_Code],$A6,T_SelfStock[WeekIndex],96)+SUMIFS(T_TTAFStock[TTAF_Qty],T_TTAFStock[RM_Code],$A6,T_TTAFStock[WeekIndex],96),CR6+'Grid_Incoming'!CS6-'Grid_Requirement'!CS6))</f>
        <v/>
      </c>
      <c r="CT6">
        <f>IF(COUNTIFS(T_StockCount[RM_Code],$A6,T_StockCount[WeekIndex],97)&gt;0,SUMIFS(T_StockCount[CountedQty],T_StockCount[RM_Code],$A6,T_StockCount[WeekIndex],97),IF((COUNTIFS(T_SelfStock[RM_Code],$A6,T_SelfStock[WeekIndex],97)&gt;0)*(COUNTIFS(T_TTAFStock[RM_Code],$A6,T_TTAFStock[WeekIndex],97)&gt;0)&gt;0,SUMIFS(T_SelfStock[Self_Qty],T_SelfStock[RM_Code],$A6,T_SelfStock[WeekIndex],97)+SUMIFS(T_TTAFStock[TTAF_Qty],T_TTAFStock[RM_Code],$A6,T_TTAFStock[WeekIndex],97),CS6+'Grid_Incoming'!CT6-'Grid_Requirement'!CT6))</f>
        <v/>
      </c>
      <c r="CU6">
        <f>IF(COUNTIFS(T_StockCount[RM_Code],$A6,T_StockCount[WeekIndex],98)&gt;0,SUMIFS(T_StockCount[CountedQty],T_StockCount[RM_Code],$A6,T_StockCount[WeekIndex],98),IF((COUNTIFS(T_SelfStock[RM_Code],$A6,T_SelfStock[WeekIndex],98)&gt;0)*(COUNTIFS(T_TTAFStock[RM_Code],$A6,T_TTAFStock[WeekIndex],98)&gt;0)&gt;0,SUMIFS(T_SelfStock[Self_Qty],T_SelfStock[RM_Code],$A6,T_SelfStock[WeekIndex],98)+SUMIFS(T_TTAFStock[TTAF_Qty],T_TTAFStock[RM_Code],$A6,T_TTAFStock[WeekIndex],98),CT6+'Grid_Incoming'!CU6-'Grid_Requirement'!CU6))</f>
        <v/>
      </c>
      <c r="CV6">
        <f>IF(COUNTIFS(T_StockCount[RM_Code],$A6,T_StockCount[WeekIndex],99)&gt;0,SUMIFS(T_StockCount[CountedQty],T_StockCount[RM_Code],$A6,T_StockCount[WeekIndex],99),IF((COUNTIFS(T_SelfStock[RM_Code],$A6,T_SelfStock[WeekIndex],99)&gt;0)*(COUNTIFS(T_TTAFStock[RM_Code],$A6,T_TTAFStock[WeekIndex],99)&gt;0)&gt;0,SUMIFS(T_SelfStock[Self_Qty],T_SelfStock[RM_Code],$A6,T_SelfStock[WeekIndex],99)+SUMIFS(T_TTAFStock[TTAF_Qty],T_TTAFStock[RM_Code],$A6,T_TTAFStock[WeekIndex],99),CU6+'Grid_Incoming'!CV6-'Grid_Requirement'!CV6))</f>
        <v/>
      </c>
      <c r="CW6">
        <f>IF(COUNTIFS(T_StockCount[RM_Code],$A6,T_StockCount[WeekIndex],100)&gt;0,SUMIFS(T_StockCount[CountedQty],T_StockCount[RM_Code],$A6,T_StockCount[WeekIndex],100),IF((COUNTIFS(T_SelfStock[RM_Code],$A6,T_SelfStock[WeekIndex],100)&gt;0)*(COUNTIFS(T_TTAFStock[RM_Code],$A6,T_TTAFStock[WeekIndex],100)&gt;0)&gt;0,SUMIFS(T_SelfStock[Self_Qty],T_SelfStock[RM_Code],$A6,T_SelfStock[WeekIndex],100)+SUMIFS(T_TTAFStock[TTAF_Qty],T_TTAFStock[RM_Code],$A6,T_TTAFStock[WeekIndex],100),CV6+'Grid_Incoming'!CW6-'Grid_Requirement'!CW6))</f>
        <v/>
      </c>
      <c r="CX6">
        <f>IF(COUNTIFS(T_StockCount[RM_Code],$A6,T_StockCount[WeekIndex],101)&gt;0,SUMIFS(T_StockCount[CountedQty],T_StockCount[RM_Code],$A6,T_StockCount[WeekIndex],101),IF((COUNTIFS(T_SelfStock[RM_Code],$A6,T_SelfStock[WeekIndex],101)&gt;0)*(COUNTIFS(T_TTAFStock[RM_Code],$A6,T_TTAFStock[WeekIndex],101)&gt;0)&gt;0,SUMIFS(T_SelfStock[Self_Qty],T_SelfStock[RM_Code],$A6,T_SelfStock[WeekIndex],101)+SUMIFS(T_TTAFStock[TTAF_Qty],T_TTAFStock[RM_Code],$A6,T_TTAFStock[WeekIndex],101),CW6+'Grid_Incoming'!CX6-'Grid_Requirement'!CX6))</f>
        <v/>
      </c>
      <c r="CY6">
        <f>IF(COUNTIFS(T_StockCount[RM_Code],$A6,T_StockCount[WeekIndex],102)&gt;0,SUMIFS(T_StockCount[CountedQty],T_StockCount[RM_Code],$A6,T_StockCount[WeekIndex],102),IF((COUNTIFS(T_SelfStock[RM_Code],$A6,T_SelfStock[WeekIndex],102)&gt;0)*(COUNTIFS(T_TTAFStock[RM_Code],$A6,T_TTAFStock[WeekIndex],102)&gt;0)&gt;0,SUMIFS(T_SelfStock[Self_Qty],T_SelfStock[RM_Code],$A6,T_SelfStock[WeekIndex],102)+SUMIFS(T_TTAFStock[TTAF_Qty],T_TTAFStock[RM_Code],$A6,T_TTAFStock[WeekIndex],102),CX6+'Grid_Incoming'!CY6-'Grid_Requirement'!CY6))</f>
        <v/>
      </c>
      <c r="CZ6">
        <f>IF(COUNTIFS(T_StockCount[RM_Code],$A6,T_StockCount[WeekIndex],103)&gt;0,SUMIFS(T_StockCount[CountedQty],T_StockCount[RM_Code],$A6,T_StockCount[WeekIndex],103),IF((COUNTIFS(T_SelfStock[RM_Code],$A6,T_SelfStock[WeekIndex],103)&gt;0)*(COUNTIFS(T_TTAFStock[RM_Code],$A6,T_TTAFStock[WeekIndex],103)&gt;0)&gt;0,SUMIFS(T_SelfStock[Self_Qty],T_SelfStock[RM_Code],$A6,T_SelfStock[WeekIndex],103)+SUMIFS(T_TTAFStock[TTAF_Qty],T_TTAFStock[RM_Code],$A6,T_TTAFStock[WeekIndex],103),CY6+'Grid_Incoming'!CZ6-'Grid_Requirement'!CZ6))</f>
        <v/>
      </c>
      <c r="DA6">
        <f>IF(COUNTIFS(T_StockCount[RM_Code],$A6,T_StockCount[WeekIndex],104)&gt;0,SUMIFS(T_StockCount[CountedQty],T_StockCount[RM_Code],$A6,T_StockCount[WeekIndex],104),IF((COUNTIFS(T_SelfStock[RM_Code],$A6,T_SelfStock[WeekIndex],104)&gt;0)*(COUNTIFS(T_TTAFStock[RM_Code],$A6,T_TTAFStock[WeekIndex],104)&gt;0)&gt;0,SUMIFS(T_SelfStock[Self_Qty],T_SelfStock[RM_Code],$A6,T_SelfStock[WeekIndex],104)+SUMIFS(T_TTAFStock[TTAF_Qty],T_TTAFStock[RM_Code],$A6,T_TTAFStock[WeekIndex],104),CZ6+'Grid_Incoming'!DA6-'Grid_Requirement'!DA6))</f>
        <v/>
      </c>
    </row>
    <row r="7">
      <c r="A7" t="inlineStr">
        <is>
          <t>CHEM-1540</t>
        </is>
      </c>
      <c r="B7">
        <f>IF(COUNTIFS(T_StockCount[RM_Code],$A7,T_StockCount[WeekIndex],1)&gt;0,SUMIFS(T_StockCount[CountedQty],T_StockCount[RM_Code],$A7,T_StockCount[WeekIndex],1),IF((COUNTIFS(T_SelfStock[RM_Code],$A7,T_SelfStock[WeekIndex],1)&gt;0)*(COUNTIFS(T_TTAFStock[RM_Code],$A7,T_TTAFStock[WeekIndex],1)&gt;0)&gt;0,SUMIFS(T_SelfStock[Self_Qty],T_SelfStock[RM_Code],$A7,T_SelfStock[WeekIndex],1)+SUMIFS(T_TTAFStock[TTAF_Qty],T_TTAFStock[RM_Code],$A7,T_TTAFStock[WeekIndex],1),IFERROR(INDEX(T_OpeningStock[Opening_Qty],MATCH($A7,T_OpeningStock[RM_Code],0)),0)+'Grid_Incoming'!B7-'Grid_Requirement'!B7))</f>
        <v/>
      </c>
      <c r="C7">
        <f>IF(COUNTIFS(T_StockCount[RM_Code],$A7,T_StockCount[WeekIndex],2)&gt;0,SUMIFS(T_StockCount[CountedQty],T_StockCount[RM_Code],$A7,T_StockCount[WeekIndex],2),IF((COUNTIFS(T_SelfStock[RM_Code],$A7,T_SelfStock[WeekIndex],2)&gt;0)*(COUNTIFS(T_TTAFStock[RM_Code],$A7,T_TTAFStock[WeekIndex],2)&gt;0)&gt;0,SUMIFS(T_SelfStock[Self_Qty],T_SelfStock[RM_Code],$A7,T_SelfStock[WeekIndex],2)+SUMIFS(T_TTAFStock[TTAF_Qty],T_TTAFStock[RM_Code],$A7,T_TTAFStock[WeekIndex],2),B7+'Grid_Incoming'!C7-'Grid_Requirement'!C7))</f>
        <v/>
      </c>
      <c r="D7">
        <f>IF(COUNTIFS(T_StockCount[RM_Code],$A7,T_StockCount[WeekIndex],3)&gt;0,SUMIFS(T_StockCount[CountedQty],T_StockCount[RM_Code],$A7,T_StockCount[WeekIndex],3),IF((COUNTIFS(T_SelfStock[RM_Code],$A7,T_SelfStock[WeekIndex],3)&gt;0)*(COUNTIFS(T_TTAFStock[RM_Code],$A7,T_TTAFStock[WeekIndex],3)&gt;0)&gt;0,SUMIFS(T_SelfStock[Self_Qty],T_SelfStock[RM_Code],$A7,T_SelfStock[WeekIndex],3)+SUMIFS(T_TTAFStock[TTAF_Qty],T_TTAFStock[RM_Code],$A7,T_TTAFStock[WeekIndex],3),C7+'Grid_Incoming'!D7-'Grid_Requirement'!D7))</f>
        <v/>
      </c>
      <c r="E7">
        <f>IF(COUNTIFS(T_StockCount[RM_Code],$A7,T_StockCount[WeekIndex],4)&gt;0,SUMIFS(T_StockCount[CountedQty],T_StockCount[RM_Code],$A7,T_StockCount[WeekIndex],4),IF((COUNTIFS(T_SelfStock[RM_Code],$A7,T_SelfStock[WeekIndex],4)&gt;0)*(COUNTIFS(T_TTAFStock[RM_Code],$A7,T_TTAFStock[WeekIndex],4)&gt;0)&gt;0,SUMIFS(T_SelfStock[Self_Qty],T_SelfStock[RM_Code],$A7,T_SelfStock[WeekIndex],4)+SUMIFS(T_TTAFStock[TTAF_Qty],T_TTAFStock[RM_Code],$A7,T_TTAFStock[WeekIndex],4),D7+'Grid_Incoming'!E7-'Grid_Requirement'!E7))</f>
        <v/>
      </c>
      <c r="F7">
        <f>IF(COUNTIFS(T_StockCount[RM_Code],$A7,T_StockCount[WeekIndex],5)&gt;0,SUMIFS(T_StockCount[CountedQty],T_StockCount[RM_Code],$A7,T_StockCount[WeekIndex],5),IF((COUNTIFS(T_SelfStock[RM_Code],$A7,T_SelfStock[WeekIndex],5)&gt;0)*(COUNTIFS(T_TTAFStock[RM_Code],$A7,T_TTAFStock[WeekIndex],5)&gt;0)&gt;0,SUMIFS(T_SelfStock[Self_Qty],T_SelfStock[RM_Code],$A7,T_SelfStock[WeekIndex],5)+SUMIFS(T_TTAFStock[TTAF_Qty],T_TTAFStock[RM_Code],$A7,T_TTAFStock[WeekIndex],5),E7+'Grid_Incoming'!F7-'Grid_Requirement'!F7))</f>
        <v/>
      </c>
      <c r="G7">
        <f>IF(COUNTIFS(T_StockCount[RM_Code],$A7,T_StockCount[WeekIndex],6)&gt;0,SUMIFS(T_StockCount[CountedQty],T_StockCount[RM_Code],$A7,T_StockCount[WeekIndex],6),IF((COUNTIFS(T_SelfStock[RM_Code],$A7,T_SelfStock[WeekIndex],6)&gt;0)*(COUNTIFS(T_TTAFStock[RM_Code],$A7,T_TTAFStock[WeekIndex],6)&gt;0)&gt;0,SUMIFS(T_SelfStock[Self_Qty],T_SelfStock[RM_Code],$A7,T_SelfStock[WeekIndex],6)+SUMIFS(T_TTAFStock[TTAF_Qty],T_TTAFStock[RM_Code],$A7,T_TTAFStock[WeekIndex],6),F7+'Grid_Incoming'!G7-'Grid_Requirement'!G7))</f>
        <v/>
      </c>
      <c r="H7">
        <f>IF(COUNTIFS(T_StockCount[RM_Code],$A7,T_StockCount[WeekIndex],7)&gt;0,SUMIFS(T_StockCount[CountedQty],T_StockCount[RM_Code],$A7,T_StockCount[WeekIndex],7),IF((COUNTIFS(T_SelfStock[RM_Code],$A7,T_SelfStock[WeekIndex],7)&gt;0)*(COUNTIFS(T_TTAFStock[RM_Code],$A7,T_TTAFStock[WeekIndex],7)&gt;0)&gt;0,SUMIFS(T_SelfStock[Self_Qty],T_SelfStock[RM_Code],$A7,T_SelfStock[WeekIndex],7)+SUMIFS(T_TTAFStock[TTAF_Qty],T_TTAFStock[RM_Code],$A7,T_TTAFStock[WeekIndex],7),G7+'Grid_Incoming'!H7-'Grid_Requirement'!H7))</f>
        <v/>
      </c>
      <c r="I7">
        <f>IF(COUNTIFS(T_StockCount[RM_Code],$A7,T_StockCount[WeekIndex],8)&gt;0,SUMIFS(T_StockCount[CountedQty],T_StockCount[RM_Code],$A7,T_StockCount[WeekIndex],8),IF((COUNTIFS(T_SelfStock[RM_Code],$A7,T_SelfStock[WeekIndex],8)&gt;0)*(COUNTIFS(T_TTAFStock[RM_Code],$A7,T_TTAFStock[WeekIndex],8)&gt;0)&gt;0,SUMIFS(T_SelfStock[Self_Qty],T_SelfStock[RM_Code],$A7,T_SelfStock[WeekIndex],8)+SUMIFS(T_TTAFStock[TTAF_Qty],T_TTAFStock[RM_Code],$A7,T_TTAFStock[WeekIndex],8),H7+'Grid_Incoming'!I7-'Grid_Requirement'!I7))</f>
        <v/>
      </c>
      <c r="J7">
        <f>IF(COUNTIFS(T_StockCount[RM_Code],$A7,T_StockCount[WeekIndex],9)&gt;0,SUMIFS(T_StockCount[CountedQty],T_StockCount[RM_Code],$A7,T_StockCount[WeekIndex],9),IF((COUNTIFS(T_SelfStock[RM_Code],$A7,T_SelfStock[WeekIndex],9)&gt;0)*(COUNTIFS(T_TTAFStock[RM_Code],$A7,T_TTAFStock[WeekIndex],9)&gt;0)&gt;0,SUMIFS(T_SelfStock[Self_Qty],T_SelfStock[RM_Code],$A7,T_SelfStock[WeekIndex],9)+SUMIFS(T_TTAFStock[TTAF_Qty],T_TTAFStock[RM_Code],$A7,T_TTAFStock[WeekIndex],9),I7+'Grid_Incoming'!J7-'Grid_Requirement'!J7))</f>
        <v/>
      </c>
      <c r="K7">
        <f>IF(COUNTIFS(T_StockCount[RM_Code],$A7,T_StockCount[WeekIndex],10)&gt;0,SUMIFS(T_StockCount[CountedQty],T_StockCount[RM_Code],$A7,T_StockCount[WeekIndex],10),IF((COUNTIFS(T_SelfStock[RM_Code],$A7,T_SelfStock[WeekIndex],10)&gt;0)*(COUNTIFS(T_TTAFStock[RM_Code],$A7,T_TTAFStock[WeekIndex],10)&gt;0)&gt;0,SUMIFS(T_SelfStock[Self_Qty],T_SelfStock[RM_Code],$A7,T_SelfStock[WeekIndex],10)+SUMIFS(T_TTAFStock[TTAF_Qty],T_TTAFStock[RM_Code],$A7,T_TTAFStock[WeekIndex],10),J7+'Grid_Incoming'!K7-'Grid_Requirement'!K7))</f>
        <v/>
      </c>
      <c r="L7">
        <f>IF(COUNTIFS(T_StockCount[RM_Code],$A7,T_StockCount[WeekIndex],11)&gt;0,SUMIFS(T_StockCount[CountedQty],T_StockCount[RM_Code],$A7,T_StockCount[WeekIndex],11),IF((COUNTIFS(T_SelfStock[RM_Code],$A7,T_SelfStock[WeekIndex],11)&gt;0)*(COUNTIFS(T_TTAFStock[RM_Code],$A7,T_TTAFStock[WeekIndex],11)&gt;0)&gt;0,SUMIFS(T_SelfStock[Self_Qty],T_SelfStock[RM_Code],$A7,T_SelfStock[WeekIndex],11)+SUMIFS(T_TTAFStock[TTAF_Qty],T_TTAFStock[RM_Code],$A7,T_TTAFStock[WeekIndex],11),K7+'Grid_Incoming'!L7-'Grid_Requirement'!L7))</f>
        <v/>
      </c>
      <c r="M7">
        <f>IF(COUNTIFS(T_StockCount[RM_Code],$A7,T_StockCount[WeekIndex],12)&gt;0,SUMIFS(T_StockCount[CountedQty],T_StockCount[RM_Code],$A7,T_StockCount[WeekIndex],12),IF((COUNTIFS(T_SelfStock[RM_Code],$A7,T_SelfStock[WeekIndex],12)&gt;0)*(COUNTIFS(T_TTAFStock[RM_Code],$A7,T_TTAFStock[WeekIndex],12)&gt;0)&gt;0,SUMIFS(T_SelfStock[Self_Qty],T_SelfStock[RM_Code],$A7,T_SelfStock[WeekIndex],12)+SUMIFS(T_TTAFStock[TTAF_Qty],T_TTAFStock[RM_Code],$A7,T_TTAFStock[WeekIndex],12),L7+'Grid_Incoming'!M7-'Grid_Requirement'!M7))</f>
        <v/>
      </c>
      <c r="N7">
        <f>IF(COUNTIFS(T_StockCount[RM_Code],$A7,T_StockCount[WeekIndex],13)&gt;0,SUMIFS(T_StockCount[CountedQty],T_StockCount[RM_Code],$A7,T_StockCount[WeekIndex],13),IF((COUNTIFS(T_SelfStock[RM_Code],$A7,T_SelfStock[WeekIndex],13)&gt;0)*(COUNTIFS(T_TTAFStock[RM_Code],$A7,T_TTAFStock[WeekIndex],13)&gt;0)&gt;0,SUMIFS(T_SelfStock[Self_Qty],T_SelfStock[RM_Code],$A7,T_SelfStock[WeekIndex],13)+SUMIFS(T_TTAFStock[TTAF_Qty],T_TTAFStock[RM_Code],$A7,T_TTAFStock[WeekIndex],13),M7+'Grid_Incoming'!N7-'Grid_Requirement'!N7))</f>
        <v/>
      </c>
      <c r="O7">
        <f>IF(COUNTIFS(T_StockCount[RM_Code],$A7,T_StockCount[WeekIndex],14)&gt;0,SUMIFS(T_StockCount[CountedQty],T_StockCount[RM_Code],$A7,T_StockCount[WeekIndex],14),IF((COUNTIFS(T_SelfStock[RM_Code],$A7,T_SelfStock[WeekIndex],14)&gt;0)*(COUNTIFS(T_TTAFStock[RM_Code],$A7,T_TTAFStock[WeekIndex],14)&gt;0)&gt;0,SUMIFS(T_SelfStock[Self_Qty],T_SelfStock[RM_Code],$A7,T_SelfStock[WeekIndex],14)+SUMIFS(T_TTAFStock[TTAF_Qty],T_TTAFStock[RM_Code],$A7,T_TTAFStock[WeekIndex],14),N7+'Grid_Incoming'!O7-'Grid_Requirement'!O7))</f>
        <v/>
      </c>
      <c r="P7">
        <f>IF(COUNTIFS(T_StockCount[RM_Code],$A7,T_StockCount[WeekIndex],15)&gt;0,SUMIFS(T_StockCount[CountedQty],T_StockCount[RM_Code],$A7,T_StockCount[WeekIndex],15),IF((COUNTIFS(T_SelfStock[RM_Code],$A7,T_SelfStock[WeekIndex],15)&gt;0)*(COUNTIFS(T_TTAFStock[RM_Code],$A7,T_TTAFStock[WeekIndex],15)&gt;0)&gt;0,SUMIFS(T_SelfStock[Self_Qty],T_SelfStock[RM_Code],$A7,T_SelfStock[WeekIndex],15)+SUMIFS(T_TTAFStock[TTAF_Qty],T_TTAFStock[RM_Code],$A7,T_TTAFStock[WeekIndex],15),O7+'Grid_Incoming'!P7-'Grid_Requirement'!P7))</f>
        <v/>
      </c>
      <c r="Q7">
        <f>IF(COUNTIFS(T_StockCount[RM_Code],$A7,T_StockCount[WeekIndex],16)&gt;0,SUMIFS(T_StockCount[CountedQty],T_StockCount[RM_Code],$A7,T_StockCount[WeekIndex],16),IF((COUNTIFS(T_SelfStock[RM_Code],$A7,T_SelfStock[WeekIndex],16)&gt;0)*(COUNTIFS(T_TTAFStock[RM_Code],$A7,T_TTAFStock[WeekIndex],16)&gt;0)&gt;0,SUMIFS(T_SelfStock[Self_Qty],T_SelfStock[RM_Code],$A7,T_SelfStock[WeekIndex],16)+SUMIFS(T_TTAFStock[TTAF_Qty],T_TTAFStock[RM_Code],$A7,T_TTAFStock[WeekIndex],16),P7+'Grid_Incoming'!Q7-'Grid_Requirement'!Q7))</f>
        <v/>
      </c>
      <c r="R7">
        <f>IF(COUNTIFS(T_StockCount[RM_Code],$A7,T_StockCount[WeekIndex],17)&gt;0,SUMIFS(T_StockCount[CountedQty],T_StockCount[RM_Code],$A7,T_StockCount[WeekIndex],17),IF((COUNTIFS(T_SelfStock[RM_Code],$A7,T_SelfStock[WeekIndex],17)&gt;0)*(COUNTIFS(T_TTAFStock[RM_Code],$A7,T_TTAFStock[WeekIndex],17)&gt;0)&gt;0,SUMIFS(T_SelfStock[Self_Qty],T_SelfStock[RM_Code],$A7,T_SelfStock[WeekIndex],17)+SUMIFS(T_TTAFStock[TTAF_Qty],T_TTAFStock[RM_Code],$A7,T_TTAFStock[WeekIndex],17),Q7+'Grid_Incoming'!R7-'Grid_Requirement'!R7))</f>
        <v/>
      </c>
      <c r="S7">
        <f>IF(COUNTIFS(T_StockCount[RM_Code],$A7,T_StockCount[WeekIndex],18)&gt;0,SUMIFS(T_StockCount[CountedQty],T_StockCount[RM_Code],$A7,T_StockCount[WeekIndex],18),IF((COUNTIFS(T_SelfStock[RM_Code],$A7,T_SelfStock[WeekIndex],18)&gt;0)*(COUNTIFS(T_TTAFStock[RM_Code],$A7,T_TTAFStock[WeekIndex],18)&gt;0)&gt;0,SUMIFS(T_SelfStock[Self_Qty],T_SelfStock[RM_Code],$A7,T_SelfStock[WeekIndex],18)+SUMIFS(T_TTAFStock[TTAF_Qty],T_TTAFStock[RM_Code],$A7,T_TTAFStock[WeekIndex],18),R7+'Grid_Incoming'!S7-'Grid_Requirement'!S7))</f>
        <v/>
      </c>
      <c r="T7">
        <f>IF(COUNTIFS(T_StockCount[RM_Code],$A7,T_StockCount[WeekIndex],19)&gt;0,SUMIFS(T_StockCount[CountedQty],T_StockCount[RM_Code],$A7,T_StockCount[WeekIndex],19),IF((COUNTIFS(T_SelfStock[RM_Code],$A7,T_SelfStock[WeekIndex],19)&gt;0)*(COUNTIFS(T_TTAFStock[RM_Code],$A7,T_TTAFStock[WeekIndex],19)&gt;0)&gt;0,SUMIFS(T_SelfStock[Self_Qty],T_SelfStock[RM_Code],$A7,T_SelfStock[WeekIndex],19)+SUMIFS(T_TTAFStock[TTAF_Qty],T_TTAFStock[RM_Code],$A7,T_TTAFStock[WeekIndex],19),S7+'Grid_Incoming'!T7-'Grid_Requirement'!T7))</f>
        <v/>
      </c>
      <c r="U7">
        <f>IF(COUNTIFS(T_StockCount[RM_Code],$A7,T_StockCount[WeekIndex],20)&gt;0,SUMIFS(T_StockCount[CountedQty],T_StockCount[RM_Code],$A7,T_StockCount[WeekIndex],20),IF((COUNTIFS(T_SelfStock[RM_Code],$A7,T_SelfStock[WeekIndex],20)&gt;0)*(COUNTIFS(T_TTAFStock[RM_Code],$A7,T_TTAFStock[WeekIndex],20)&gt;0)&gt;0,SUMIFS(T_SelfStock[Self_Qty],T_SelfStock[RM_Code],$A7,T_SelfStock[WeekIndex],20)+SUMIFS(T_TTAFStock[TTAF_Qty],T_TTAFStock[RM_Code],$A7,T_TTAFStock[WeekIndex],20),T7+'Grid_Incoming'!U7-'Grid_Requirement'!U7))</f>
        <v/>
      </c>
      <c r="V7">
        <f>IF(COUNTIFS(T_StockCount[RM_Code],$A7,T_StockCount[WeekIndex],21)&gt;0,SUMIFS(T_StockCount[CountedQty],T_StockCount[RM_Code],$A7,T_StockCount[WeekIndex],21),IF((COUNTIFS(T_SelfStock[RM_Code],$A7,T_SelfStock[WeekIndex],21)&gt;0)*(COUNTIFS(T_TTAFStock[RM_Code],$A7,T_TTAFStock[WeekIndex],21)&gt;0)&gt;0,SUMIFS(T_SelfStock[Self_Qty],T_SelfStock[RM_Code],$A7,T_SelfStock[WeekIndex],21)+SUMIFS(T_TTAFStock[TTAF_Qty],T_TTAFStock[RM_Code],$A7,T_TTAFStock[WeekIndex],21),U7+'Grid_Incoming'!V7-'Grid_Requirement'!V7))</f>
        <v/>
      </c>
      <c r="W7">
        <f>IF(COUNTIFS(T_StockCount[RM_Code],$A7,T_StockCount[WeekIndex],22)&gt;0,SUMIFS(T_StockCount[CountedQty],T_StockCount[RM_Code],$A7,T_StockCount[WeekIndex],22),IF((COUNTIFS(T_SelfStock[RM_Code],$A7,T_SelfStock[WeekIndex],22)&gt;0)*(COUNTIFS(T_TTAFStock[RM_Code],$A7,T_TTAFStock[WeekIndex],22)&gt;0)&gt;0,SUMIFS(T_SelfStock[Self_Qty],T_SelfStock[RM_Code],$A7,T_SelfStock[WeekIndex],22)+SUMIFS(T_TTAFStock[TTAF_Qty],T_TTAFStock[RM_Code],$A7,T_TTAFStock[WeekIndex],22),V7+'Grid_Incoming'!W7-'Grid_Requirement'!W7))</f>
        <v/>
      </c>
      <c r="X7">
        <f>IF(COUNTIFS(T_StockCount[RM_Code],$A7,T_StockCount[WeekIndex],23)&gt;0,SUMIFS(T_StockCount[CountedQty],T_StockCount[RM_Code],$A7,T_StockCount[WeekIndex],23),IF((COUNTIFS(T_SelfStock[RM_Code],$A7,T_SelfStock[WeekIndex],23)&gt;0)*(COUNTIFS(T_TTAFStock[RM_Code],$A7,T_TTAFStock[WeekIndex],23)&gt;0)&gt;0,SUMIFS(T_SelfStock[Self_Qty],T_SelfStock[RM_Code],$A7,T_SelfStock[WeekIndex],23)+SUMIFS(T_TTAFStock[TTAF_Qty],T_TTAFStock[RM_Code],$A7,T_TTAFStock[WeekIndex],23),W7+'Grid_Incoming'!X7-'Grid_Requirement'!X7))</f>
        <v/>
      </c>
      <c r="Y7">
        <f>IF(COUNTIFS(T_StockCount[RM_Code],$A7,T_StockCount[WeekIndex],24)&gt;0,SUMIFS(T_StockCount[CountedQty],T_StockCount[RM_Code],$A7,T_StockCount[WeekIndex],24),IF((COUNTIFS(T_SelfStock[RM_Code],$A7,T_SelfStock[WeekIndex],24)&gt;0)*(COUNTIFS(T_TTAFStock[RM_Code],$A7,T_TTAFStock[WeekIndex],24)&gt;0)&gt;0,SUMIFS(T_SelfStock[Self_Qty],T_SelfStock[RM_Code],$A7,T_SelfStock[WeekIndex],24)+SUMIFS(T_TTAFStock[TTAF_Qty],T_TTAFStock[RM_Code],$A7,T_TTAFStock[WeekIndex],24),X7+'Grid_Incoming'!Y7-'Grid_Requirement'!Y7))</f>
        <v/>
      </c>
      <c r="Z7">
        <f>IF(COUNTIFS(T_StockCount[RM_Code],$A7,T_StockCount[WeekIndex],25)&gt;0,SUMIFS(T_StockCount[CountedQty],T_StockCount[RM_Code],$A7,T_StockCount[WeekIndex],25),IF((COUNTIFS(T_SelfStock[RM_Code],$A7,T_SelfStock[WeekIndex],25)&gt;0)*(COUNTIFS(T_TTAFStock[RM_Code],$A7,T_TTAFStock[WeekIndex],25)&gt;0)&gt;0,SUMIFS(T_SelfStock[Self_Qty],T_SelfStock[RM_Code],$A7,T_SelfStock[WeekIndex],25)+SUMIFS(T_TTAFStock[TTAF_Qty],T_TTAFStock[RM_Code],$A7,T_TTAFStock[WeekIndex],25),Y7+'Grid_Incoming'!Z7-'Grid_Requirement'!Z7))</f>
        <v/>
      </c>
      <c r="AA7">
        <f>IF(COUNTIFS(T_StockCount[RM_Code],$A7,T_StockCount[WeekIndex],26)&gt;0,SUMIFS(T_StockCount[CountedQty],T_StockCount[RM_Code],$A7,T_StockCount[WeekIndex],26),IF((COUNTIFS(T_SelfStock[RM_Code],$A7,T_SelfStock[WeekIndex],26)&gt;0)*(COUNTIFS(T_TTAFStock[RM_Code],$A7,T_TTAFStock[WeekIndex],26)&gt;0)&gt;0,SUMIFS(T_SelfStock[Self_Qty],T_SelfStock[RM_Code],$A7,T_SelfStock[WeekIndex],26)+SUMIFS(T_TTAFStock[TTAF_Qty],T_TTAFStock[RM_Code],$A7,T_TTAFStock[WeekIndex],26),Z7+'Grid_Incoming'!AA7-'Grid_Requirement'!AA7))</f>
        <v/>
      </c>
      <c r="AB7">
        <f>IF(COUNTIFS(T_StockCount[RM_Code],$A7,T_StockCount[WeekIndex],27)&gt;0,SUMIFS(T_StockCount[CountedQty],T_StockCount[RM_Code],$A7,T_StockCount[WeekIndex],27),IF((COUNTIFS(T_SelfStock[RM_Code],$A7,T_SelfStock[WeekIndex],27)&gt;0)*(COUNTIFS(T_TTAFStock[RM_Code],$A7,T_TTAFStock[WeekIndex],27)&gt;0)&gt;0,SUMIFS(T_SelfStock[Self_Qty],T_SelfStock[RM_Code],$A7,T_SelfStock[WeekIndex],27)+SUMIFS(T_TTAFStock[TTAF_Qty],T_TTAFStock[RM_Code],$A7,T_TTAFStock[WeekIndex],27),AA7+'Grid_Incoming'!AB7-'Grid_Requirement'!AB7))</f>
        <v/>
      </c>
      <c r="AC7">
        <f>IF(COUNTIFS(T_StockCount[RM_Code],$A7,T_StockCount[WeekIndex],28)&gt;0,SUMIFS(T_StockCount[CountedQty],T_StockCount[RM_Code],$A7,T_StockCount[WeekIndex],28),IF((COUNTIFS(T_SelfStock[RM_Code],$A7,T_SelfStock[WeekIndex],28)&gt;0)*(COUNTIFS(T_TTAFStock[RM_Code],$A7,T_TTAFStock[WeekIndex],28)&gt;0)&gt;0,SUMIFS(T_SelfStock[Self_Qty],T_SelfStock[RM_Code],$A7,T_SelfStock[WeekIndex],28)+SUMIFS(T_TTAFStock[TTAF_Qty],T_TTAFStock[RM_Code],$A7,T_TTAFStock[WeekIndex],28),AB7+'Grid_Incoming'!AC7-'Grid_Requirement'!AC7))</f>
        <v/>
      </c>
      <c r="AD7">
        <f>IF(COUNTIFS(T_StockCount[RM_Code],$A7,T_StockCount[WeekIndex],29)&gt;0,SUMIFS(T_StockCount[CountedQty],T_StockCount[RM_Code],$A7,T_StockCount[WeekIndex],29),IF((COUNTIFS(T_SelfStock[RM_Code],$A7,T_SelfStock[WeekIndex],29)&gt;0)*(COUNTIFS(T_TTAFStock[RM_Code],$A7,T_TTAFStock[WeekIndex],29)&gt;0)&gt;0,SUMIFS(T_SelfStock[Self_Qty],T_SelfStock[RM_Code],$A7,T_SelfStock[WeekIndex],29)+SUMIFS(T_TTAFStock[TTAF_Qty],T_TTAFStock[RM_Code],$A7,T_TTAFStock[WeekIndex],29),AC7+'Grid_Incoming'!AD7-'Grid_Requirement'!AD7))</f>
        <v/>
      </c>
      <c r="AE7">
        <f>IF(COUNTIFS(T_StockCount[RM_Code],$A7,T_StockCount[WeekIndex],30)&gt;0,SUMIFS(T_StockCount[CountedQty],T_StockCount[RM_Code],$A7,T_StockCount[WeekIndex],30),IF((COUNTIFS(T_SelfStock[RM_Code],$A7,T_SelfStock[WeekIndex],30)&gt;0)*(COUNTIFS(T_TTAFStock[RM_Code],$A7,T_TTAFStock[WeekIndex],30)&gt;0)&gt;0,SUMIFS(T_SelfStock[Self_Qty],T_SelfStock[RM_Code],$A7,T_SelfStock[WeekIndex],30)+SUMIFS(T_TTAFStock[TTAF_Qty],T_TTAFStock[RM_Code],$A7,T_TTAFStock[WeekIndex],30),AD7+'Grid_Incoming'!AE7-'Grid_Requirement'!AE7))</f>
        <v/>
      </c>
      <c r="AF7">
        <f>IF(COUNTIFS(T_StockCount[RM_Code],$A7,T_StockCount[WeekIndex],31)&gt;0,SUMIFS(T_StockCount[CountedQty],T_StockCount[RM_Code],$A7,T_StockCount[WeekIndex],31),IF((COUNTIFS(T_SelfStock[RM_Code],$A7,T_SelfStock[WeekIndex],31)&gt;0)*(COUNTIFS(T_TTAFStock[RM_Code],$A7,T_TTAFStock[WeekIndex],31)&gt;0)&gt;0,SUMIFS(T_SelfStock[Self_Qty],T_SelfStock[RM_Code],$A7,T_SelfStock[WeekIndex],31)+SUMIFS(T_TTAFStock[TTAF_Qty],T_TTAFStock[RM_Code],$A7,T_TTAFStock[WeekIndex],31),AE7+'Grid_Incoming'!AF7-'Grid_Requirement'!AF7))</f>
        <v/>
      </c>
      <c r="AG7">
        <f>IF(COUNTIFS(T_StockCount[RM_Code],$A7,T_StockCount[WeekIndex],32)&gt;0,SUMIFS(T_StockCount[CountedQty],T_StockCount[RM_Code],$A7,T_StockCount[WeekIndex],32),IF((COUNTIFS(T_SelfStock[RM_Code],$A7,T_SelfStock[WeekIndex],32)&gt;0)*(COUNTIFS(T_TTAFStock[RM_Code],$A7,T_TTAFStock[WeekIndex],32)&gt;0)&gt;0,SUMIFS(T_SelfStock[Self_Qty],T_SelfStock[RM_Code],$A7,T_SelfStock[WeekIndex],32)+SUMIFS(T_TTAFStock[TTAF_Qty],T_TTAFStock[RM_Code],$A7,T_TTAFStock[WeekIndex],32),AF7+'Grid_Incoming'!AG7-'Grid_Requirement'!AG7))</f>
        <v/>
      </c>
      <c r="AH7">
        <f>IF(COUNTIFS(T_StockCount[RM_Code],$A7,T_StockCount[WeekIndex],33)&gt;0,SUMIFS(T_StockCount[CountedQty],T_StockCount[RM_Code],$A7,T_StockCount[WeekIndex],33),IF((COUNTIFS(T_SelfStock[RM_Code],$A7,T_SelfStock[WeekIndex],33)&gt;0)*(COUNTIFS(T_TTAFStock[RM_Code],$A7,T_TTAFStock[WeekIndex],33)&gt;0)&gt;0,SUMIFS(T_SelfStock[Self_Qty],T_SelfStock[RM_Code],$A7,T_SelfStock[WeekIndex],33)+SUMIFS(T_TTAFStock[TTAF_Qty],T_TTAFStock[RM_Code],$A7,T_TTAFStock[WeekIndex],33),AG7+'Grid_Incoming'!AH7-'Grid_Requirement'!AH7))</f>
        <v/>
      </c>
      <c r="AI7">
        <f>IF(COUNTIFS(T_StockCount[RM_Code],$A7,T_StockCount[WeekIndex],34)&gt;0,SUMIFS(T_StockCount[CountedQty],T_StockCount[RM_Code],$A7,T_StockCount[WeekIndex],34),IF((COUNTIFS(T_SelfStock[RM_Code],$A7,T_SelfStock[WeekIndex],34)&gt;0)*(COUNTIFS(T_TTAFStock[RM_Code],$A7,T_TTAFStock[WeekIndex],34)&gt;0)&gt;0,SUMIFS(T_SelfStock[Self_Qty],T_SelfStock[RM_Code],$A7,T_SelfStock[WeekIndex],34)+SUMIFS(T_TTAFStock[TTAF_Qty],T_TTAFStock[RM_Code],$A7,T_TTAFStock[WeekIndex],34),AH7+'Grid_Incoming'!AI7-'Grid_Requirement'!AI7))</f>
        <v/>
      </c>
      <c r="AJ7">
        <f>IF(COUNTIFS(T_StockCount[RM_Code],$A7,T_StockCount[WeekIndex],35)&gt;0,SUMIFS(T_StockCount[CountedQty],T_StockCount[RM_Code],$A7,T_StockCount[WeekIndex],35),IF((COUNTIFS(T_SelfStock[RM_Code],$A7,T_SelfStock[WeekIndex],35)&gt;0)*(COUNTIFS(T_TTAFStock[RM_Code],$A7,T_TTAFStock[WeekIndex],35)&gt;0)&gt;0,SUMIFS(T_SelfStock[Self_Qty],T_SelfStock[RM_Code],$A7,T_SelfStock[WeekIndex],35)+SUMIFS(T_TTAFStock[TTAF_Qty],T_TTAFStock[RM_Code],$A7,T_TTAFStock[WeekIndex],35),AI7+'Grid_Incoming'!AJ7-'Grid_Requirement'!AJ7))</f>
        <v/>
      </c>
      <c r="AK7">
        <f>IF(COUNTIFS(T_StockCount[RM_Code],$A7,T_StockCount[WeekIndex],36)&gt;0,SUMIFS(T_StockCount[CountedQty],T_StockCount[RM_Code],$A7,T_StockCount[WeekIndex],36),IF((COUNTIFS(T_SelfStock[RM_Code],$A7,T_SelfStock[WeekIndex],36)&gt;0)*(COUNTIFS(T_TTAFStock[RM_Code],$A7,T_TTAFStock[WeekIndex],36)&gt;0)&gt;0,SUMIFS(T_SelfStock[Self_Qty],T_SelfStock[RM_Code],$A7,T_SelfStock[WeekIndex],36)+SUMIFS(T_TTAFStock[TTAF_Qty],T_TTAFStock[RM_Code],$A7,T_TTAFStock[WeekIndex],36),AJ7+'Grid_Incoming'!AK7-'Grid_Requirement'!AK7))</f>
        <v/>
      </c>
      <c r="AL7">
        <f>IF(COUNTIFS(T_StockCount[RM_Code],$A7,T_StockCount[WeekIndex],37)&gt;0,SUMIFS(T_StockCount[CountedQty],T_StockCount[RM_Code],$A7,T_StockCount[WeekIndex],37),IF((COUNTIFS(T_SelfStock[RM_Code],$A7,T_SelfStock[WeekIndex],37)&gt;0)*(COUNTIFS(T_TTAFStock[RM_Code],$A7,T_TTAFStock[WeekIndex],37)&gt;0)&gt;0,SUMIFS(T_SelfStock[Self_Qty],T_SelfStock[RM_Code],$A7,T_SelfStock[WeekIndex],37)+SUMIFS(T_TTAFStock[TTAF_Qty],T_TTAFStock[RM_Code],$A7,T_TTAFStock[WeekIndex],37),AK7+'Grid_Incoming'!AL7-'Grid_Requirement'!AL7))</f>
        <v/>
      </c>
      <c r="AM7">
        <f>IF(COUNTIFS(T_StockCount[RM_Code],$A7,T_StockCount[WeekIndex],38)&gt;0,SUMIFS(T_StockCount[CountedQty],T_StockCount[RM_Code],$A7,T_StockCount[WeekIndex],38),IF((COUNTIFS(T_SelfStock[RM_Code],$A7,T_SelfStock[WeekIndex],38)&gt;0)*(COUNTIFS(T_TTAFStock[RM_Code],$A7,T_TTAFStock[WeekIndex],38)&gt;0)&gt;0,SUMIFS(T_SelfStock[Self_Qty],T_SelfStock[RM_Code],$A7,T_SelfStock[WeekIndex],38)+SUMIFS(T_TTAFStock[TTAF_Qty],T_TTAFStock[RM_Code],$A7,T_TTAFStock[WeekIndex],38),AL7+'Grid_Incoming'!AM7-'Grid_Requirement'!AM7))</f>
        <v/>
      </c>
      <c r="AN7">
        <f>IF(COUNTIFS(T_StockCount[RM_Code],$A7,T_StockCount[WeekIndex],39)&gt;0,SUMIFS(T_StockCount[CountedQty],T_StockCount[RM_Code],$A7,T_StockCount[WeekIndex],39),IF((COUNTIFS(T_SelfStock[RM_Code],$A7,T_SelfStock[WeekIndex],39)&gt;0)*(COUNTIFS(T_TTAFStock[RM_Code],$A7,T_TTAFStock[WeekIndex],39)&gt;0)&gt;0,SUMIFS(T_SelfStock[Self_Qty],T_SelfStock[RM_Code],$A7,T_SelfStock[WeekIndex],39)+SUMIFS(T_TTAFStock[TTAF_Qty],T_TTAFStock[RM_Code],$A7,T_TTAFStock[WeekIndex],39),AM7+'Grid_Incoming'!AN7-'Grid_Requirement'!AN7))</f>
        <v/>
      </c>
      <c r="AO7">
        <f>IF(COUNTIFS(T_StockCount[RM_Code],$A7,T_StockCount[WeekIndex],40)&gt;0,SUMIFS(T_StockCount[CountedQty],T_StockCount[RM_Code],$A7,T_StockCount[WeekIndex],40),IF((COUNTIFS(T_SelfStock[RM_Code],$A7,T_SelfStock[WeekIndex],40)&gt;0)*(COUNTIFS(T_TTAFStock[RM_Code],$A7,T_TTAFStock[WeekIndex],40)&gt;0)&gt;0,SUMIFS(T_SelfStock[Self_Qty],T_SelfStock[RM_Code],$A7,T_SelfStock[WeekIndex],40)+SUMIFS(T_TTAFStock[TTAF_Qty],T_TTAFStock[RM_Code],$A7,T_TTAFStock[WeekIndex],40),AN7+'Grid_Incoming'!AO7-'Grid_Requirement'!AO7))</f>
        <v/>
      </c>
      <c r="AP7">
        <f>IF(COUNTIFS(T_StockCount[RM_Code],$A7,T_StockCount[WeekIndex],41)&gt;0,SUMIFS(T_StockCount[CountedQty],T_StockCount[RM_Code],$A7,T_StockCount[WeekIndex],41),IF((COUNTIFS(T_SelfStock[RM_Code],$A7,T_SelfStock[WeekIndex],41)&gt;0)*(COUNTIFS(T_TTAFStock[RM_Code],$A7,T_TTAFStock[WeekIndex],41)&gt;0)&gt;0,SUMIFS(T_SelfStock[Self_Qty],T_SelfStock[RM_Code],$A7,T_SelfStock[WeekIndex],41)+SUMIFS(T_TTAFStock[TTAF_Qty],T_TTAFStock[RM_Code],$A7,T_TTAFStock[WeekIndex],41),AO7+'Grid_Incoming'!AP7-'Grid_Requirement'!AP7))</f>
        <v/>
      </c>
      <c r="AQ7">
        <f>IF(COUNTIFS(T_StockCount[RM_Code],$A7,T_StockCount[WeekIndex],42)&gt;0,SUMIFS(T_StockCount[CountedQty],T_StockCount[RM_Code],$A7,T_StockCount[WeekIndex],42),IF((COUNTIFS(T_SelfStock[RM_Code],$A7,T_SelfStock[WeekIndex],42)&gt;0)*(COUNTIFS(T_TTAFStock[RM_Code],$A7,T_TTAFStock[WeekIndex],42)&gt;0)&gt;0,SUMIFS(T_SelfStock[Self_Qty],T_SelfStock[RM_Code],$A7,T_SelfStock[WeekIndex],42)+SUMIFS(T_TTAFStock[TTAF_Qty],T_TTAFStock[RM_Code],$A7,T_TTAFStock[WeekIndex],42),AP7+'Grid_Incoming'!AQ7-'Grid_Requirement'!AQ7))</f>
        <v/>
      </c>
      <c r="AR7">
        <f>IF(COUNTIFS(T_StockCount[RM_Code],$A7,T_StockCount[WeekIndex],43)&gt;0,SUMIFS(T_StockCount[CountedQty],T_StockCount[RM_Code],$A7,T_StockCount[WeekIndex],43),IF((COUNTIFS(T_SelfStock[RM_Code],$A7,T_SelfStock[WeekIndex],43)&gt;0)*(COUNTIFS(T_TTAFStock[RM_Code],$A7,T_TTAFStock[WeekIndex],43)&gt;0)&gt;0,SUMIFS(T_SelfStock[Self_Qty],T_SelfStock[RM_Code],$A7,T_SelfStock[WeekIndex],43)+SUMIFS(T_TTAFStock[TTAF_Qty],T_TTAFStock[RM_Code],$A7,T_TTAFStock[WeekIndex],43),AQ7+'Grid_Incoming'!AR7-'Grid_Requirement'!AR7))</f>
        <v/>
      </c>
      <c r="AS7">
        <f>IF(COUNTIFS(T_StockCount[RM_Code],$A7,T_StockCount[WeekIndex],44)&gt;0,SUMIFS(T_StockCount[CountedQty],T_StockCount[RM_Code],$A7,T_StockCount[WeekIndex],44),IF((COUNTIFS(T_SelfStock[RM_Code],$A7,T_SelfStock[WeekIndex],44)&gt;0)*(COUNTIFS(T_TTAFStock[RM_Code],$A7,T_TTAFStock[WeekIndex],44)&gt;0)&gt;0,SUMIFS(T_SelfStock[Self_Qty],T_SelfStock[RM_Code],$A7,T_SelfStock[WeekIndex],44)+SUMIFS(T_TTAFStock[TTAF_Qty],T_TTAFStock[RM_Code],$A7,T_TTAFStock[WeekIndex],44),AR7+'Grid_Incoming'!AS7-'Grid_Requirement'!AS7))</f>
        <v/>
      </c>
      <c r="AT7">
        <f>IF(COUNTIFS(T_StockCount[RM_Code],$A7,T_StockCount[WeekIndex],45)&gt;0,SUMIFS(T_StockCount[CountedQty],T_StockCount[RM_Code],$A7,T_StockCount[WeekIndex],45),IF((COUNTIFS(T_SelfStock[RM_Code],$A7,T_SelfStock[WeekIndex],45)&gt;0)*(COUNTIFS(T_TTAFStock[RM_Code],$A7,T_TTAFStock[WeekIndex],45)&gt;0)&gt;0,SUMIFS(T_SelfStock[Self_Qty],T_SelfStock[RM_Code],$A7,T_SelfStock[WeekIndex],45)+SUMIFS(T_TTAFStock[TTAF_Qty],T_TTAFStock[RM_Code],$A7,T_TTAFStock[WeekIndex],45),AS7+'Grid_Incoming'!AT7-'Grid_Requirement'!AT7))</f>
        <v/>
      </c>
      <c r="AU7">
        <f>IF(COUNTIFS(T_StockCount[RM_Code],$A7,T_StockCount[WeekIndex],46)&gt;0,SUMIFS(T_StockCount[CountedQty],T_StockCount[RM_Code],$A7,T_StockCount[WeekIndex],46),IF((COUNTIFS(T_SelfStock[RM_Code],$A7,T_SelfStock[WeekIndex],46)&gt;0)*(COUNTIFS(T_TTAFStock[RM_Code],$A7,T_TTAFStock[WeekIndex],46)&gt;0)&gt;0,SUMIFS(T_SelfStock[Self_Qty],T_SelfStock[RM_Code],$A7,T_SelfStock[WeekIndex],46)+SUMIFS(T_TTAFStock[TTAF_Qty],T_TTAFStock[RM_Code],$A7,T_TTAFStock[WeekIndex],46),AT7+'Grid_Incoming'!AU7-'Grid_Requirement'!AU7))</f>
        <v/>
      </c>
      <c r="AV7">
        <f>IF(COUNTIFS(T_StockCount[RM_Code],$A7,T_StockCount[WeekIndex],47)&gt;0,SUMIFS(T_StockCount[CountedQty],T_StockCount[RM_Code],$A7,T_StockCount[WeekIndex],47),IF((COUNTIFS(T_SelfStock[RM_Code],$A7,T_SelfStock[WeekIndex],47)&gt;0)*(COUNTIFS(T_TTAFStock[RM_Code],$A7,T_TTAFStock[WeekIndex],47)&gt;0)&gt;0,SUMIFS(T_SelfStock[Self_Qty],T_SelfStock[RM_Code],$A7,T_SelfStock[WeekIndex],47)+SUMIFS(T_TTAFStock[TTAF_Qty],T_TTAFStock[RM_Code],$A7,T_TTAFStock[WeekIndex],47),AU7+'Grid_Incoming'!AV7-'Grid_Requirement'!AV7))</f>
        <v/>
      </c>
      <c r="AW7">
        <f>IF(COUNTIFS(T_StockCount[RM_Code],$A7,T_StockCount[WeekIndex],48)&gt;0,SUMIFS(T_StockCount[CountedQty],T_StockCount[RM_Code],$A7,T_StockCount[WeekIndex],48),IF((COUNTIFS(T_SelfStock[RM_Code],$A7,T_SelfStock[WeekIndex],48)&gt;0)*(COUNTIFS(T_TTAFStock[RM_Code],$A7,T_TTAFStock[WeekIndex],48)&gt;0)&gt;0,SUMIFS(T_SelfStock[Self_Qty],T_SelfStock[RM_Code],$A7,T_SelfStock[WeekIndex],48)+SUMIFS(T_TTAFStock[TTAF_Qty],T_TTAFStock[RM_Code],$A7,T_TTAFStock[WeekIndex],48),AV7+'Grid_Incoming'!AW7-'Grid_Requirement'!AW7))</f>
        <v/>
      </c>
      <c r="AX7">
        <f>IF(COUNTIFS(T_StockCount[RM_Code],$A7,T_StockCount[WeekIndex],49)&gt;0,SUMIFS(T_StockCount[CountedQty],T_StockCount[RM_Code],$A7,T_StockCount[WeekIndex],49),IF((COUNTIFS(T_SelfStock[RM_Code],$A7,T_SelfStock[WeekIndex],49)&gt;0)*(COUNTIFS(T_TTAFStock[RM_Code],$A7,T_TTAFStock[WeekIndex],49)&gt;0)&gt;0,SUMIFS(T_SelfStock[Self_Qty],T_SelfStock[RM_Code],$A7,T_SelfStock[WeekIndex],49)+SUMIFS(T_TTAFStock[TTAF_Qty],T_TTAFStock[RM_Code],$A7,T_TTAFStock[WeekIndex],49),AW7+'Grid_Incoming'!AX7-'Grid_Requirement'!AX7))</f>
        <v/>
      </c>
      <c r="AY7">
        <f>IF(COUNTIFS(T_StockCount[RM_Code],$A7,T_StockCount[WeekIndex],50)&gt;0,SUMIFS(T_StockCount[CountedQty],T_StockCount[RM_Code],$A7,T_StockCount[WeekIndex],50),IF((COUNTIFS(T_SelfStock[RM_Code],$A7,T_SelfStock[WeekIndex],50)&gt;0)*(COUNTIFS(T_TTAFStock[RM_Code],$A7,T_TTAFStock[WeekIndex],50)&gt;0)&gt;0,SUMIFS(T_SelfStock[Self_Qty],T_SelfStock[RM_Code],$A7,T_SelfStock[WeekIndex],50)+SUMIFS(T_TTAFStock[TTAF_Qty],T_TTAFStock[RM_Code],$A7,T_TTAFStock[WeekIndex],50),AX7+'Grid_Incoming'!AY7-'Grid_Requirement'!AY7))</f>
        <v/>
      </c>
      <c r="AZ7">
        <f>IF(COUNTIFS(T_StockCount[RM_Code],$A7,T_StockCount[WeekIndex],51)&gt;0,SUMIFS(T_StockCount[CountedQty],T_StockCount[RM_Code],$A7,T_StockCount[WeekIndex],51),IF((COUNTIFS(T_SelfStock[RM_Code],$A7,T_SelfStock[WeekIndex],51)&gt;0)*(COUNTIFS(T_TTAFStock[RM_Code],$A7,T_TTAFStock[WeekIndex],51)&gt;0)&gt;0,SUMIFS(T_SelfStock[Self_Qty],T_SelfStock[RM_Code],$A7,T_SelfStock[WeekIndex],51)+SUMIFS(T_TTAFStock[TTAF_Qty],T_TTAFStock[RM_Code],$A7,T_TTAFStock[WeekIndex],51),AY7+'Grid_Incoming'!AZ7-'Grid_Requirement'!AZ7))</f>
        <v/>
      </c>
      <c r="BA7">
        <f>IF(COUNTIFS(T_StockCount[RM_Code],$A7,T_StockCount[WeekIndex],52)&gt;0,SUMIFS(T_StockCount[CountedQty],T_StockCount[RM_Code],$A7,T_StockCount[WeekIndex],52),IF((COUNTIFS(T_SelfStock[RM_Code],$A7,T_SelfStock[WeekIndex],52)&gt;0)*(COUNTIFS(T_TTAFStock[RM_Code],$A7,T_TTAFStock[WeekIndex],52)&gt;0)&gt;0,SUMIFS(T_SelfStock[Self_Qty],T_SelfStock[RM_Code],$A7,T_SelfStock[WeekIndex],52)+SUMIFS(T_TTAFStock[TTAF_Qty],T_TTAFStock[RM_Code],$A7,T_TTAFStock[WeekIndex],52),AZ7+'Grid_Incoming'!BA7-'Grid_Requirement'!BA7))</f>
        <v/>
      </c>
      <c r="BB7">
        <f>IF(COUNTIFS(T_StockCount[RM_Code],$A7,T_StockCount[WeekIndex],53)&gt;0,SUMIFS(T_StockCount[CountedQty],T_StockCount[RM_Code],$A7,T_StockCount[WeekIndex],53),IF((COUNTIFS(T_SelfStock[RM_Code],$A7,T_SelfStock[WeekIndex],53)&gt;0)*(COUNTIFS(T_TTAFStock[RM_Code],$A7,T_TTAFStock[WeekIndex],53)&gt;0)&gt;0,SUMIFS(T_SelfStock[Self_Qty],T_SelfStock[RM_Code],$A7,T_SelfStock[WeekIndex],53)+SUMIFS(T_TTAFStock[TTAF_Qty],T_TTAFStock[RM_Code],$A7,T_TTAFStock[WeekIndex],53),BA7+'Grid_Incoming'!BB7-'Grid_Requirement'!BB7))</f>
        <v/>
      </c>
      <c r="BC7">
        <f>IF(COUNTIFS(T_StockCount[RM_Code],$A7,T_StockCount[WeekIndex],54)&gt;0,SUMIFS(T_StockCount[CountedQty],T_StockCount[RM_Code],$A7,T_StockCount[WeekIndex],54),IF((COUNTIFS(T_SelfStock[RM_Code],$A7,T_SelfStock[WeekIndex],54)&gt;0)*(COUNTIFS(T_TTAFStock[RM_Code],$A7,T_TTAFStock[WeekIndex],54)&gt;0)&gt;0,SUMIFS(T_SelfStock[Self_Qty],T_SelfStock[RM_Code],$A7,T_SelfStock[WeekIndex],54)+SUMIFS(T_TTAFStock[TTAF_Qty],T_TTAFStock[RM_Code],$A7,T_TTAFStock[WeekIndex],54),BB7+'Grid_Incoming'!BC7-'Grid_Requirement'!BC7))</f>
        <v/>
      </c>
      <c r="BD7">
        <f>IF(COUNTIFS(T_StockCount[RM_Code],$A7,T_StockCount[WeekIndex],55)&gt;0,SUMIFS(T_StockCount[CountedQty],T_StockCount[RM_Code],$A7,T_StockCount[WeekIndex],55),IF((COUNTIFS(T_SelfStock[RM_Code],$A7,T_SelfStock[WeekIndex],55)&gt;0)*(COUNTIFS(T_TTAFStock[RM_Code],$A7,T_TTAFStock[WeekIndex],55)&gt;0)&gt;0,SUMIFS(T_SelfStock[Self_Qty],T_SelfStock[RM_Code],$A7,T_SelfStock[WeekIndex],55)+SUMIFS(T_TTAFStock[TTAF_Qty],T_TTAFStock[RM_Code],$A7,T_TTAFStock[WeekIndex],55),BC7+'Grid_Incoming'!BD7-'Grid_Requirement'!BD7))</f>
        <v/>
      </c>
      <c r="BE7">
        <f>IF(COUNTIFS(T_StockCount[RM_Code],$A7,T_StockCount[WeekIndex],56)&gt;0,SUMIFS(T_StockCount[CountedQty],T_StockCount[RM_Code],$A7,T_StockCount[WeekIndex],56),IF((COUNTIFS(T_SelfStock[RM_Code],$A7,T_SelfStock[WeekIndex],56)&gt;0)*(COUNTIFS(T_TTAFStock[RM_Code],$A7,T_TTAFStock[WeekIndex],56)&gt;0)&gt;0,SUMIFS(T_SelfStock[Self_Qty],T_SelfStock[RM_Code],$A7,T_SelfStock[WeekIndex],56)+SUMIFS(T_TTAFStock[TTAF_Qty],T_TTAFStock[RM_Code],$A7,T_TTAFStock[WeekIndex],56),BD7+'Grid_Incoming'!BE7-'Grid_Requirement'!BE7))</f>
        <v/>
      </c>
      <c r="BF7">
        <f>IF(COUNTIFS(T_StockCount[RM_Code],$A7,T_StockCount[WeekIndex],57)&gt;0,SUMIFS(T_StockCount[CountedQty],T_StockCount[RM_Code],$A7,T_StockCount[WeekIndex],57),IF((COUNTIFS(T_SelfStock[RM_Code],$A7,T_SelfStock[WeekIndex],57)&gt;0)*(COUNTIFS(T_TTAFStock[RM_Code],$A7,T_TTAFStock[WeekIndex],57)&gt;0)&gt;0,SUMIFS(T_SelfStock[Self_Qty],T_SelfStock[RM_Code],$A7,T_SelfStock[WeekIndex],57)+SUMIFS(T_TTAFStock[TTAF_Qty],T_TTAFStock[RM_Code],$A7,T_TTAFStock[WeekIndex],57),BE7+'Grid_Incoming'!BF7-'Grid_Requirement'!BF7))</f>
        <v/>
      </c>
      <c r="BG7">
        <f>IF(COUNTIFS(T_StockCount[RM_Code],$A7,T_StockCount[WeekIndex],58)&gt;0,SUMIFS(T_StockCount[CountedQty],T_StockCount[RM_Code],$A7,T_StockCount[WeekIndex],58),IF((COUNTIFS(T_SelfStock[RM_Code],$A7,T_SelfStock[WeekIndex],58)&gt;0)*(COUNTIFS(T_TTAFStock[RM_Code],$A7,T_TTAFStock[WeekIndex],58)&gt;0)&gt;0,SUMIFS(T_SelfStock[Self_Qty],T_SelfStock[RM_Code],$A7,T_SelfStock[WeekIndex],58)+SUMIFS(T_TTAFStock[TTAF_Qty],T_TTAFStock[RM_Code],$A7,T_TTAFStock[WeekIndex],58),BF7+'Grid_Incoming'!BG7-'Grid_Requirement'!BG7))</f>
        <v/>
      </c>
      <c r="BH7">
        <f>IF(COUNTIFS(T_StockCount[RM_Code],$A7,T_StockCount[WeekIndex],59)&gt;0,SUMIFS(T_StockCount[CountedQty],T_StockCount[RM_Code],$A7,T_StockCount[WeekIndex],59),IF((COUNTIFS(T_SelfStock[RM_Code],$A7,T_SelfStock[WeekIndex],59)&gt;0)*(COUNTIFS(T_TTAFStock[RM_Code],$A7,T_TTAFStock[WeekIndex],59)&gt;0)&gt;0,SUMIFS(T_SelfStock[Self_Qty],T_SelfStock[RM_Code],$A7,T_SelfStock[WeekIndex],59)+SUMIFS(T_TTAFStock[TTAF_Qty],T_TTAFStock[RM_Code],$A7,T_TTAFStock[WeekIndex],59),BG7+'Grid_Incoming'!BH7-'Grid_Requirement'!BH7))</f>
        <v/>
      </c>
      <c r="BI7">
        <f>IF(COUNTIFS(T_StockCount[RM_Code],$A7,T_StockCount[WeekIndex],60)&gt;0,SUMIFS(T_StockCount[CountedQty],T_StockCount[RM_Code],$A7,T_StockCount[WeekIndex],60),IF((COUNTIFS(T_SelfStock[RM_Code],$A7,T_SelfStock[WeekIndex],60)&gt;0)*(COUNTIFS(T_TTAFStock[RM_Code],$A7,T_TTAFStock[WeekIndex],60)&gt;0)&gt;0,SUMIFS(T_SelfStock[Self_Qty],T_SelfStock[RM_Code],$A7,T_SelfStock[WeekIndex],60)+SUMIFS(T_TTAFStock[TTAF_Qty],T_TTAFStock[RM_Code],$A7,T_TTAFStock[WeekIndex],60),BH7+'Grid_Incoming'!BI7-'Grid_Requirement'!BI7))</f>
        <v/>
      </c>
      <c r="BJ7">
        <f>IF(COUNTIFS(T_StockCount[RM_Code],$A7,T_StockCount[WeekIndex],61)&gt;0,SUMIFS(T_StockCount[CountedQty],T_StockCount[RM_Code],$A7,T_StockCount[WeekIndex],61),IF((COUNTIFS(T_SelfStock[RM_Code],$A7,T_SelfStock[WeekIndex],61)&gt;0)*(COUNTIFS(T_TTAFStock[RM_Code],$A7,T_TTAFStock[WeekIndex],61)&gt;0)&gt;0,SUMIFS(T_SelfStock[Self_Qty],T_SelfStock[RM_Code],$A7,T_SelfStock[WeekIndex],61)+SUMIFS(T_TTAFStock[TTAF_Qty],T_TTAFStock[RM_Code],$A7,T_TTAFStock[WeekIndex],61),BI7+'Grid_Incoming'!BJ7-'Grid_Requirement'!BJ7))</f>
        <v/>
      </c>
      <c r="BK7">
        <f>IF(COUNTIFS(T_StockCount[RM_Code],$A7,T_StockCount[WeekIndex],62)&gt;0,SUMIFS(T_StockCount[CountedQty],T_StockCount[RM_Code],$A7,T_StockCount[WeekIndex],62),IF((COUNTIFS(T_SelfStock[RM_Code],$A7,T_SelfStock[WeekIndex],62)&gt;0)*(COUNTIFS(T_TTAFStock[RM_Code],$A7,T_TTAFStock[WeekIndex],62)&gt;0)&gt;0,SUMIFS(T_SelfStock[Self_Qty],T_SelfStock[RM_Code],$A7,T_SelfStock[WeekIndex],62)+SUMIFS(T_TTAFStock[TTAF_Qty],T_TTAFStock[RM_Code],$A7,T_TTAFStock[WeekIndex],62),BJ7+'Grid_Incoming'!BK7-'Grid_Requirement'!BK7))</f>
        <v/>
      </c>
      <c r="BL7">
        <f>IF(COUNTIFS(T_StockCount[RM_Code],$A7,T_StockCount[WeekIndex],63)&gt;0,SUMIFS(T_StockCount[CountedQty],T_StockCount[RM_Code],$A7,T_StockCount[WeekIndex],63),IF((COUNTIFS(T_SelfStock[RM_Code],$A7,T_SelfStock[WeekIndex],63)&gt;0)*(COUNTIFS(T_TTAFStock[RM_Code],$A7,T_TTAFStock[WeekIndex],63)&gt;0)&gt;0,SUMIFS(T_SelfStock[Self_Qty],T_SelfStock[RM_Code],$A7,T_SelfStock[WeekIndex],63)+SUMIFS(T_TTAFStock[TTAF_Qty],T_TTAFStock[RM_Code],$A7,T_TTAFStock[WeekIndex],63),BK7+'Grid_Incoming'!BL7-'Grid_Requirement'!BL7))</f>
        <v/>
      </c>
      <c r="BM7">
        <f>IF(COUNTIFS(T_StockCount[RM_Code],$A7,T_StockCount[WeekIndex],64)&gt;0,SUMIFS(T_StockCount[CountedQty],T_StockCount[RM_Code],$A7,T_StockCount[WeekIndex],64),IF((COUNTIFS(T_SelfStock[RM_Code],$A7,T_SelfStock[WeekIndex],64)&gt;0)*(COUNTIFS(T_TTAFStock[RM_Code],$A7,T_TTAFStock[WeekIndex],64)&gt;0)&gt;0,SUMIFS(T_SelfStock[Self_Qty],T_SelfStock[RM_Code],$A7,T_SelfStock[WeekIndex],64)+SUMIFS(T_TTAFStock[TTAF_Qty],T_TTAFStock[RM_Code],$A7,T_TTAFStock[WeekIndex],64),BL7+'Grid_Incoming'!BM7-'Grid_Requirement'!BM7))</f>
        <v/>
      </c>
      <c r="BN7">
        <f>IF(COUNTIFS(T_StockCount[RM_Code],$A7,T_StockCount[WeekIndex],65)&gt;0,SUMIFS(T_StockCount[CountedQty],T_StockCount[RM_Code],$A7,T_StockCount[WeekIndex],65),IF((COUNTIFS(T_SelfStock[RM_Code],$A7,T_SelfStock[WeekIndex],65)&gt;0)*(COUNTIFS(T_TTAFStock[RM_Code],$A7,T_TTAFStock[WeekIndex],65)&gt;0)&gt;0,SUMIFS(T_SelfStock[Self_Qty],T_SelfStock[RM_Code],$A7,T_SelfStock[WeekIndex],65)+SUMIFS(T_TTAFStock[TTAF_Qty],T_TTAFStock[RM_Code],$A7,T_TTAFStock[WeekIndex],65),BM7+'Grid_Incoming'!BN7-'Grid_Requirement'!BN7))</f>
        <v/>
      </c>
      <c r="BO7">
        <f>IF(COUNTIFS(T_StockCount[RM_Code],$A7,T_StockCount[WeekIndex],66)&gt;0,SUMIFS(T_StockCount[CountedQty],T_StockCount[RM_Code],$A7,T_StockCount[WeekIndex],66),IF((COUNTIFS(T_SelfStock[RM_Code],$A7,T_SelfStock[WeekIndex],66)&gt;0)*(COUNTIFS(T_TTAFStock[RM_Code],$A7,T_TTAFStock[WeekIndex],66)&gt;0)&gt;0,SUMIFS(T_SelfStock[Self_Qty],T_SelfStock[RM_Code],$A7,T_SelfStock[WeekIndex],66)+SUMIFS(T_TTAFStock[TTAF_Qty],T_TTAFStock[RM_Code],$A7,T_TTAFStock[WeekIndex],66),BN7+'Grid_Incoming'!BO7-'Grid_Requirement'!BO7))</f>
        <v/>
      </c>
      <c r="BP7">
        <f>IF(COUNTIFS(T_StockCount[RM_Code],$A7,T_StockCount[WeekIndex],67)&gt;0,SUMIFS(T_StockCount[CountedQty],T_StockCount[RM_Code],$A7,T_StockCount[WeekIndex],67),IF((COUNTIFS(T_SelfStock[RM_Code],$A7,T_SelfStock[WeekIndex],67)&gt;0)*(COUNTIFS(T_TTAFStock[RM_Code],$A7,T_TTAFStock[WeekIndex],67)&gt;0)&gt;0,SUMIFS(T_SelfStock[Self_Qty],T_SelfStock[RM_Code],$A7,T_SelfStock[WeekIndex],67)+SUMIFS(T_TTAFStock[TTAF_Qty],T_TTAFStock[RM_Code],$A7,T_TTAFStock[WeekIndex],67),BO7+'Grid_Incoming'!BP7-'Grid_Requirement'!BP7))</f>
        <v/>
      </c>
      <c r="BQ7">
        <f>IF(COUNTIFS(T_StockCount[RM_Code],$A7,T_StockCount[WeekIndex],68)&gt;0,SUMIFS(T_StockCount[CountedQty],T_StockCount[RM_Code],$A7,T_StockCount[WeekIndex],68),IF((COUNTIFS(T_SelfStock[RM_Code],$A7,T_SelfStock[WeekIndex],68)&gt;0)*(COUNTIFS(T_TTAFStock[RM_Code],$A7,T_TTAFStock[WeekIndex],68)&gt;0)&gt;0,SUMIFS(T_SelfStock[Self_Qty],T_SelfStock[RM_Code],$A7,T_SelfStock[WeekIndex],68)+SUMIFS(T_TTAFStock[TTAF_Qty],T_TTAFStock[RM_Code],$A7,T_TTAFStock[WeekIndex],68),BP7+'Grid_Incoming'!BQ7-'Grid_Requirement'!BQ7))</f>
        <v/>
      </c>
      <c r="BR7">
        <f>IF(COUNTIFS(T_StockCount[RM_Code],$A7,T_StockCount[WeekIndex],69)&gt;0,SUMIFS(T_StockCount[CountedQty],T_StockCount[RM_Code],$A7,T_StockCount[WeekIndex],69),IF((COUNTIFS(T_SelfStock[RM_Code],$A7,T_SelfStock[WeekIndex],69)&gt;0)*(COUNTIFS(T_TTAFStock[RM_Code],$A7,T_TTAFStock[WeekIndex],69)&gt;0)&gt;0,SUMIFS(T_SelfStock[Self_Qty],T_SelfStock[RM_Code],$A7,T_SelfStock[WeekIndex],69)+SUMIFS(T_TTAFStock[TTAF_Qty],T_TTAFStock[RM_Code],$A7,T_TTAFStock[WeekIndex],69),BQ7+'Grid_Incoming'!BR7-'Grid_Requirement'!BR7))</f>
        <v/>
      </c>
      <c r="BS7">
        <f>IF(COUNTIFS(T_StockCount[RM_Code],$A7,T_StockCount[WeekIndex],70)&gt;0,SUMIFS(T_StockCount[CountedQty],T_StockCount[RM_Code],$A7,T_StockCount[WeekIndex],70),IF((COUNTIFS(T_SelfStock[RM_Code],$A7,T_SelfStock[WeekIndex],70)&gt;0)*(COUNTIFS(T_TTAFStock[RM_Code],$A7,T_TTAFStock[WeekIndex],70)&gt;0)&gt;0,SUMIFS(T_SelfStock[Self_Qty],T_SelfStock[RM_Code],$A7,T_SelfStock[WeekIndex],70)+SUMIFS(T_TTAFStock[TTAF_Qty],T_TTAFStock[RM_Code],$A7,T_TTAFStock[WeekIndex],70),BR7+'Grid_Incoming'!BS7-'Grid_Requirement'!BS7))</f>
        <v/>
      </c>
      <c r="BT7">
        <f>IF(COUNTIFS(T_StockCount[RM_Code],$A7,T_StockCount[WeekIndex],71)&gt;0,SUMIFS(T_StockCount[CountedQty],T_StockCount[RM_Code],$A7,T_StockCount[WeekIndex],71),IF((COUNTIFS(T_SelfStock[RM_Code],$A7,T_SelfStock[WeekIndex],71)&gt;0)*(COUNTIFS(T_TTAFStock[RM_Code],$A7,T_TTAFStock[WeekIndex],71)&gt;0)&gt;0,SUMIFS(T_SelfStock[Self_Qty],T_SelfStock[RM_Code],$A7,T_SelfStock[WeekIndex],71)+SUMIFS(T_TTAFStock[TTAF_Qty],T_TTAFStock[RM_Code],$A7,T_TTAFStock[WeekIndex],71),BS7+'Grid_Incoming'!BT7-'Grid_Requirement'!BT7))</f>
        <v/>
      </c>
      <c r="BU7">
        <f>IF(COUNTIFS(T_StockCount[RM_Code],$A7,T_StockCount[WeekIndex],72)&gt;0,SUMIFS(T_StockCount[CountedQty],T_StockCount[RM_Code],$A7,T_StockCount[WeekIndex],72),IF((COUNTIFS(T_SelfStock[RM_Code],$A7,T_SelfStock[WeekIndex],72)&gt;0)*(COUNTIFS(T_TTAFStock[RM_Code],$A7,T_TTAFStock[WeekIndex],72)&gt;0)&gt;0,SUMIFS(T_SelfStock[Self_Qty],T_SelfStock[RM_Code],$A7,T_SelfStock[WeekIndex],72)+SUMIFS(T_TTAFStock[TTAF_Qty],T_TTAFStock[RM_Code],$A7,T_TTAFStock[WeekIndex],72),BT7+'Grid_Incoming'!BU7-'Grid_Requirement'!BU7))</f>
        <v/>
      </c>
      <c r="BV7">
        <f>IF(COUNTIFS(T_StockCount[RM_Code],$A7,T_StockCount[WeekIndex],73)&gt;0,SUMIFS(T_StockCount[CountedQty],T_StockCount[RM_Code],$A7,T_StockCount[WeekIndex],73),IF((COUNTIFS(T_SelfStock[RM_Code],$A7,T_SelfStock[WeekIndex],73)&gt;0)*(COUNTIFS(T_TTAFStock[RM_Code],$A7,T_TTAFStock[WeekIndex],73)&gt;0)&gt;0,SUMIFS(T_SelfStock[Self_Qty],T_SelfStock[RM_Code],$A7,T_SelfStock[WeekIndex],73)+SUMIFS(T_TTAFStock[TTAF_Qty],T_TTAFStock[RM_Code],$A7,T_TTAFStock[WeekIndex],73),BU7+'Grid_Incoming'!BV7-'Grid_Requirement'!BV7))</f>
        <v/>
      </c>
      <c r="BW7">
        <f>IF(COUNTIFS(T_StockCount[RM_Code],$A7,T_StockCount[WeekIndex],74)&gt;0,SUMIFS(T_StockCount[CountedQty],T_StockCount[RM_Code],$A7,T_StockCount[WeekIndex],74),IF((COUNTIFS(T_SelfStock[RM_Code],$A7,T_SelfStock[WeekIndex],74)&gt;0)*(COUNTIFS(T_TTAFStock[RM_Code],$A7,T_TTAFStock[WeekIndex],74)&gt;0)&gt;0,SUMIFS(T_SelfStock[Self_Qty],T_SelfStock[RM_Code],$A7,T_SelfStock[WeekIndex],74)+SUMIFS(T_TTAFStock[TTAF_Qty],T_TTAFStock[RM_Code],$A7,T_TTAFStock[WeekIndex],74),BV7+'Grid_Incoming'!BW7-'Grid_Requirement'!BW7))</f>
        <v/>
      </c>
      <c r="BX7">
        <f>IF(COUNTIFS(T_StockCount[RM_Code],$A7,T_StockCount[WeekIndex],75)&gt;0,SUMIFS(T_StockCount[CountedQty],T_StockCount[RM_Code],$A7,T_StockCount[WeekIndex],75),IF((COUNTIFS(T_SelfStock[RM_Code],$A7,T_SelfStock[WeekIndex],75)&gt;0)*(COUNTIFS(T_TTAFStock[RM_Code],$A7,T_TTAFStock[WeekIndex],75)&gt;0)&gt;0,SUMIFS(T_SelfStock[Self_Qty],T_SelfStock[RM_Code],$A7,T_SelfStock[WeekIndex],75)+SUMIFS(T_TTAFStock[TTAF_Qty],T_TTAFStock[RM_Code],$A7,T_TTAFStock[WeekIndex],75),BW7+'Grid_Incoming'!BX7-'Grid_Requirement'!BX7))</f>
        <v/>
      </c>
      <c r="BY7">
        <f>IF(COUNTIFS(T_StockCount[RM_Code],$A7,T_StockCount[WeekIndex],76)&gt;0,SUMIFS(T_StockCount[CountedQty],T_StockCount[RM_Code],$A7,T_StockCount[WeekIndex],76),IF((COUNTIFS(T_SelfStock[RM_Code],$A7,T_SelfStock[WeekIndex],76)&gt;0)*(COUNTIFS(T_TTAFStock[RM_Code],$A7,T_TTAFStock[WeekIndex],76)&gt;0)&gt;0,SUMIFS(T_SelfStock[Self_Qty],T_SelfStock[RM_Code],$A7,T_SelfStock[WeekIndex],76)+SUMIFS(T_TTAFStock[TTAF_Qty],T_TTAFStock[RM_Code],$A7,T_TTAFStock[WeekIndex],76),BX7+'Grid_Incoming'!BY7-'Grid_Requirement'!BY7))</f>
        <v/>
      </c>
      <c r="BZ7">
        <f>IF(COUNTIFS(T_StockCount[RM_Code],$A7,T_StockCount[WeekIndex],77)&gt;0,SUMIFS(T_StockCount[CountedQty],T_StockCount[RM_Code],$A7,T_StockCount[WeekIndex],77),IF((COUNTIFS(T_SelfStock[RM_Code],$A7,T_SelfStock[WeekIndex],77)&gt;0)*(COUNTIFS(T_TTAFStock[RM_Code],$A7,T_TTAFStock[WeekIndex],77)&gt;0)&gt;0,SUMIFS(T_SelfStock[Self_Qty],T_SelfStock[RM_Code],$A7,T_SelfStock[WeekIndex],77)+SUMIFS(T_TTAFStock[TTAF_Qty],T_TTAFStock[RM_Code],$A7,T_TTAFStock[WeekIndex],77),BY7+'Grid_Incoming'!BZ7-'Grid_Requirement'!BZ7))</f>
        <v/>
      </c>
      <c r="CA7">
        <f>IF(COUNTIFS(T_StockCount[RM_Code],$A7,T_StockCount[WeekIndex],78)&gt;0,SUMIFS(T_StockCount[CountedQty],T_StockCount[RM_Code],$A7,T_StockCount[WeekIndex],78),IF((COUNTIFS(T_SelfStock[RM_Code],$A7,T_SelfStock[WeekIndex],78)&gt;0)*(COUNTIFS(T_TTAFStock[RM_Code],$A7,T_TTAFStock[WeekIndex],78)&gt;0)&gt;0,SUMIFS(T_SelfStock[Self_Qty],T_SelfStock[RM_Code],$A7,T_SelfStock[WeekIndex],78)+SUMIFS(T_TTAFStock[TTAF_Qty],T_TTAFStock[RM_Code],$A7,T_TTAFStock[WeekIndex],78),BZ7+'Grid_Incoming'!CA7-'Grid_Requirement'!CA7))</f>
        <v/>
      </c>
      <c r="CB7">
        <f>IF(COUNTIFS(T_StockCount[RM_Code],$A7,T_StockCount[WeekIndex],79)&gt;0,SUMIFS(T_StockCount[CountedQty],T_StockCount[RM_Code],$A7,T_StockCount[WeekIndex],79),IF((COUNTIFS(T_SelfStock[RM_Code],$A7,T_SelfStock[WeekIndex],79)&gt;0)*(COUNTIFS(T_TTAFStock[RM_Code],$A7,T_TTAFStock[WeekIndex],79)&gt;0)&gt;0,SUMIFS(T_SelfStock[Self_Qty],T_SelfStock[RM_Code],$A7,T_SelfStock[WeekIndex],79)+SUMIFS(T_TTAFStock[TTAF_Qty],T_TTAFStock[RM_Code],$A7,T_TTAFStock[WeekIndex],79),CA7+'Grid_Incoming'!CB7-'Grid_Requirement'!CB7))</f>
        <v/>
      </c>
      <c r="CC7">
        <f>IF(COUNTIFS(T_StockCount[RM_Code],$A7,T_StockCount[WeekIndex],80)&gt;0,SUMIFS(T_StockCount[CountedQty],T_StockCount[RM_Code],$A7,T_StockCount[WeekIndex],80),IF((COUNTIFS(T_SelfStock[RM_Code],$A7,T_SelfStock[WeekIndex],80)&gt;0)*(COUNTIFS(T_TTAFStock[RM_Code],$A7,T_TTAFStock[WeekIndex],80)&gt;0)&gt;0,SUMIFS(T_SelfStock[Self_Qty],T_SelfStock[RM_Code],$A7,T_SelfStock[WeekIndex],80)+SUMIFS(T_TTAFStock[TTAF_Qty],T_TTAFStock[RM_Code],$A7,T_TTAFStock[WeekIndex],80),CB7+'Grid_Incoming'!CC7-'Grid_Requirement'!CC7))</f>
        <v/>
      </c>
      <c r="CD7">
        <f>IF(COUNTIFS(T_StockCount[RM_Code],$A7,T_StockCount[WeekIndex],81)&gt;0,SUMIFS(T_StockCount[CountedQty],T_StockCount[RM_Code],$A7,T_StockCount[WeekIndex],81),IF((COUNTIFS(T_SelfStock[RM_Code],$A7,T_SelfStock[WeekIndex],81)&gt;0)*(COUNTIFS(T_TTAFStock[RM_Code],$A7,T_TTAFStock[WeekIndex],81)&gt;0)&gt;0,SUMIFS(T_SelfStock[Self_Qty],T_SelfStock[RM_Code],$A7,T_SelfStock[WeekIndex],81)+SUMIFS(T_TTAFStock[TTAF_Qty],T_TTAFStock[RM_Code],$A7,T_TTAFStock[WeekIndex],81),CC7+'Grid_Incoming'!CD7-'Grid_Requirement'!CD7))</f>
        <v/>
      </c>
      <c r="CE7">
        <f>IF(COUNTIFS(T_StockCount[RM_Code],$A7,T_StockCount[WeekIndex],82)&gt;0,SUMIFS(T_StockCount[CountedQty],T_StockCount[RM_Code],$A7,T_StockCount[WeekIndex],82),IF((COUNTIFS(T_SelfStock[RM_Code],$A7,T_SelfStock[WeekIndex],82)&gt;0)*(COUNTIFS(T_TTAFStock[RM_Code],$A7,T_TTAFStock[WeekIndex],82)&gt;0)&gt;0,SUMIFS(T_SelfStock[Self_Qty],T_SelfStock[RM_Code],$A7,T_SelfStock[WeekIndex],82)+SUMIFS(T_TTAFStock[TTAF_Qty],T_TTAFStock[RM_Code],$A7,T_TTAFStock[WeekIndex],82),CD7+'Grid_Incoming'!CE7-'Grid_Requirement'!CE7))</f>
        <v/>
      </c>
      <c r="CF7">
        <f>IF(COUNTIFS(T_StockCount[RM_Code],$A7,T_StockCount[WeekIndex],83)&gt;0,SUMIFS(T_StockCount[CountedQty],T_StockCount[RM_Code],$A7,T_StockCount[WeekIndex],83),IF((COUNTIFS(T_SelfStock[RM_Code],$A7,T_SelfStock[WeekIndex],83)&gt;0)*(COUNTIFS(T_TTAFStock[RM_Code],$A7,T_TTAFStock[WeekIndex],83)&gt;0)&gt;0,SUMIFS(T_SelfStock[Self_Qty],T_SelfStock[RM_Code],$A7,T_SelfStock[WeekIndex],83)+SUMIFS(T_TTAFStock[TTAF_Qty],T_TTAFStock[RM_Code],$A7,T_TTAFStock[WeekIndex],83),CE7+'Grid_Incoming'!CF7-'Grid_Requirement'!CF7))</f>
        <v/>
      </c>
      <c r="CG7">
        <f>IF(COUNTIFS(T_StockCount[RM_Code],$A7,T_StockCount[WeekIndex],84)&gt;0,SUMIFS(T_StockCount[CountedQty],T_StockCount[RM_Code],$A7,T_StockCount[WeekIndex],84),IF((COUNTIFS(T_SelfStock[RM_Code],$A7,T_SelfStock[WeekIndex],84)&gt;0)*(COUNTIFS(T_TTAFStock[RM_Code],$A7,T_TTAFStock[WeekIndex],84)&gt;0)&gt;0,SUMIFS(T_SelfStock[Self_Qty],T_SelfStock[RM_Code],$A7,T_SelfStock[WeekIndex],84)+SUMIFS(T_TTAFStock[TTAF_Qty],T_TTAFStock[RM_Code],$A7,T_TTAFStock[WeekIndex],84),CF7+'Grid_Incoming'!CG7-'Grid_Requirement'!CG7))</f>
        <v/>
      </c>
      <c r="CH7">
        <f>IF(COUNTIFS(T_StockCount[RM_Code],$A7,T_StockCount[WeekIndex],85)&gt;0,SUMIFS(T_StockCount[CountedQty],T_StockCount[RM_Code],$A7,T_StockCount[WeekIndex],85),IF((COUNTIFS(T_SelfStock[RM_Code],$A7,T_SelfStock[WeekIndex],85)&gt;0)*(COUNTIFS(T_TTAFStock[RM_Code],$A7,T_TTAFStock[WeekIndex],85)&gt;0)&gt;0,SUMIFS(T_SelfStock[Self_Qty],T_SelfStock[RM_Code],$A7,T_SelfStock[WeekIndex],85)+SUMIFS(T_TTAFStock[TTAF_Qty],T_TTAFStock[RM_Code],$A7,T_TTAFStock[WeekIndex],85),CG7+'Grid_Incoming'!CH7-'Grid_Requirement'!CH7))</f>
        <v/>
      </c>
      <c r="CI7">
        <f>IF(COUNTIFS(T_StockCount[RM_Code],$A7,T_StockCount[WeekIndex],86)&gt;0,SUMIFS(T_StockCount[CountedQty],T_StockCount[RM_Code],$A7,T_StockCount[WeekIndex],86),IF((COUNTIFS(T_SelfStock[RM_Code],$A7,T_SelfStock[WeekIndex],86)&gt;0)*(COUNTIFS(T_TTAFStock[RM_Code],$A7,T_TTAFStock[WeekIndex],86)&gt;0)&gt;0,SUMIFS(T_SelfStock[Self_Qty],T_SelfStock[RM_Code],$A7,T_SelfStock[WeekIndex],86)+SUMIFS(T_TTAFStock[TTAF_Qty],T_TTAFStock[RM_Code],$A7,T_TTAFStock[WeekIndex],86),CH7+'Grid_Incoming'!CI7-'Grid_Requirement'!CI7))</f>
        <v/>
      </c>
      <c r="CJ7">
        <f>IF(COUNTIFS(T_StockCount[RM_Code],$A7,T_StockCount[WeekIndex],87)&gt;0,SUMIFS(T_StockCount[CountedQty],T_StockCount[RM_Code],$A7,T_StockCount[WeekIndex],87),IF((COUNTIFS(T_SelfStock[RM_Code],$A7,T_SelfStock[WeekIndex],87)&gt;0)*(COUNTIFS(T_TTAFStock[RM_Code],$A7,T_TTAFStock[WeekIndex],87)&gt;0)&gt;0,SUMIFS(T_SelfStock[Self_Qty],T_SelfStock[RM_Code],$A7,T_SelfStock[WeekIndex],87)+SUMIFS(T_TTAFStock[TTAF_Qty],T_TTAFStock[RM_Code],$A7,T_TTAFStock[WeekIndex],87),CI7+'Grid_Incoming'!CJ7-'Grid_Requirement'!CJ7))</f>
        <v/>
      </c>
      <c r="CK7">
        <f>IF(COUNTIFS(T_StockCount[RM_Code],$A7,T_StockCount[WeekIndex],88)&gt;0,SUMIFS(T_StockCount[CountedQty],T_StockCount[RM_Code],$A7,T_StockCount[WeekIndex],88),IF((COUNTIFS(T_SelfStock[RM_Code],$A7,T_SelfStock[WeekIndex],88)&gt;0)*(COUNTIFS(T_TTAFStock[RM_Code],$A7,T_TTAFStock[WeekIndex],88)&gt;0)&gt;0,SUMIFS(T_SelfStock[Self_Qty],T_SelfStock[RM_Code],$A7,T_SelfStock[WeekIndex],88)+SUMIFS(T_TTAFStock[TTAF_Qty],T_TTAFStock[RM_Code],$A7,T_TTAFStock[WeekIndex],88),CJ7+'Grid_Incoming'!CK7-'Grid_Requirement'!CK7))</f>
        <v/>
      </c>
      <c r="CL7">
        <f>IF(COUNTIFS(T_StockCount[RM_Code],$A7,T_StockCount[WeekIndex],89)&gt;0,SUMIFS(T_StockCount[CountedQty],T_StockCount[RM_Code],$A7,T_StockCount[WeekIndex],89),IF((COUNTIFS(T_SelfStock[RM_Code],$A7,T_SelfStock[WeekIndex],89)&gt;0)*(COUNTIFS(T_TTAFStock[RM_Code],$A7,T_TTAFStock[WeekIndex],89)&gt;0)&gt;0,SUMIFS(T_SelfStock[Self_Qty],T_SelfStock[RM_Code],$A7,T_SelfStock[WeekIndex],89)+SUMIFS(T_TTAFStock[TTAF_Qty],T_TTAFStock[RM_Code],$A7,T_TTAFStock[WeekIndex],89),CK7+'Grid_Incoming'!CL7-'Grid_Requirement'!CL7))</f>
        <v/>
      </c>
      <c r="CM7">
        <f>IF(COUNTIFS(T_StockCount[RM_Code],$A7,T_StockCount[WeekIndex],90)&gt;0,SUMIFS(T_StockCount[CountedQty],T_StockCount[RM_Code],$A7,T_StockCount[WeekIndex],90),IF((COUNTIFS(T_SelfStock[RM_Code],$A7,T_SelfStock[WeekIndex],90)&gt;0)*(COUNTIFS(T_TTAFStock[RM_Code],$A7,T_TTAFStock[WeekIndex],90)&gt;0)&gt;0,SUMIFS(T_SelfStock[Self_Qty],T_SelfStock[RM_Code],$A7,T_SelfStock[WeekIndex],90)+SUMIFS(T_TTAFStock[TTAF_Qty],T_TTAFStock[RM_Code],$A7,T_TTAFStock[WeekIndex],90),CL7+'Grid_Incoming'!CM7-'Grid_Requirement'!CM7))</f>
        <v/>
      </c>
      <c r="CN7">
        <f>IF(COUNTIFS(T_StockCount[RM_Code],$A7,T_StockCount[WeekIndex],91)&gt;0,SUMIFS(T_StockCount[CountedQty],T_StockCount[RM_Code],$A7,T_StockCount[WeekIndex],91),IF((COUNTIFS(T_SelfStock[RM_Code],$A7,T_SelfStock[WeekIndex],91)&gt;0)*(COUNTIFS(T_TTAFStock[RM_Code],$A7,T_TTAFStock[WeekIndex],91)&gt;0)&gt;0,SUMIFS(T_SelfStock[Self_Qty],T_SelfStock[RM_Code],$A7,T_SelfStock[WeekIndex],91)+SUMIFS(T_TTAFStock[TTAF_Qty],T_TTAFStock[RM_Code],$A7,T_TTAFStock[WeekIndex],91),CM7+'Grid_Incoming'!CN7-'Grid_Requirement'!CN7))</f>
        <v/>
      </c>
      <c r="CO7">
        <f>IF(COUNTIFS(T_StockCount[RM_Code],$A7,T_StockCount[WeekIndex],92)&gt;0,SUMIFS(T_StockCount[CountedQty],T_StockCount[RM_Code],$A7,T_StockCount[WeekIndex],92),IF((COUNTIFS(T_SelfStock[RM_Code],$A7,T_SelfStock[WeekIndex],92)&gt;0)*(COUNTIFS(T_TTAFStock[RM_Code],$A7,T_TTAFStock[WeekIndex],92)&gt;0)&gt;0,SUMIFS(T_SelfStock[Self_Qty],T_SelfStock[RM_Code],$A7,T_SelfStock[WeekIndex],92)+SUMIFS(T_TTAFStock[TTAF_Qty],T_TTAFStock[RM_Code],$A7,T_TTAFStock[WeekIndex],92),CN7+'Grid_Incoming'!CO7-'Grid_Requirement'!CO7))</f>
        <v/>
      </c>
      <c r="CP7">
        <f>IF(COUNTIFS(T_StockCount[RM_Code],$A7,T_StockCount[WeekIndex],93)&gt;0,SUMIFS(T_StockCount[CountedQty],T_StockCount[RM_Code],$A7,T_StockCount[WeekIndex],93),IF((COUNTIFS(T_SelfStock[RM_Code],$A7,T_SelfStock[WeekIndex],93)&gt;0)*(COUNTIFS(T_TTAFStock[RM_Code],$A7,T_TTAFStock[WeekIndex],93)&gt;0)&gt;0,SUMIFS(T_SelfStock[Self_Qty],T_SelfStock[RM_Code],$A7,T_SelfStock[WeekIndex],93)+SUMIFS(T_TTAFStock[TTAF_Qty],T_TTAFStock[RM_Code],$A7,T_TTAFStock[WeekIndex],93),CO7+'Grid_Incoming'!CP7-'Grid_Requirement'!CP7))</f>
        <v/>
      </c>
      <c r="CQ7">
        <f>IF(COUNTIFS(T_StockCount[RM_Code],$A7,T_StockCount[WeekIndex],94)&gt;0,SUMIFS(T_StockCount[CountedQty],T_StockCount[RM_Code],$A7,T_StockCount[WeekIndex],94),IF((COUNTIFS(T_SelfStock[RM_Code],$A7,T_SelfStock[WeekIndex],94)&gt;0)*(COUNTIFS(T_TTAFStock[RM_Code],$A7,T_TTAFStock[WeekIndex],94)&gt;0)&gt;0,SUMIFS(T_SelfStock[Self_Qty],T_SelfStock[RM_Code],$A7,T_SelfStock[WeekIndex],94)+SUMIFS(T_TTAFStock[TTAF_Qty],T_TTAFStock[RM_Code],$A7,T_TTAFStock[WeekIndex],94),CP7+'Grid_Incoming'!CQ7-'Grid_Requirement'!CQ7))</f>
        <v/>
      </c>
      <c r="CR7">
        <f>IF(COUNTIFS(T_StockCount[RM_Code],$A7,T_StockCount[WeekIndex],95)&gt;0,SUMIFS(T_StockCount[CountedQty],T_StockCount[RM_Code],$A7,T_StockCount[WeekIndex],95),IF((COUNTIFS(T_SelfStock[RM_Code],$A7,T_SelfStock[WeekIndex],95)&gt;0)*(COUNTIFS(T_TTAFStock[RM_Code],$A7,T_TTAFStock[WeekIndex],95)&gt;0)&gt;0,SUMIFS(T_SelfStock[Self_Qty],T_SelfStock[RM_Code],$A7,T_SelfStock[WeekIndex],95)+SUMIFS(T_TTAFStock[TTAF_Qty],T_TTAFStock[RM_Code],$A7,T_TTAFStock[WeekIndex],95),CQ7+'Grid_Incoming'!CR7-'Grid_Requirement'!CR7))</f>
        <v/>
      </c>
      <c r="CS7">
        <f>IF(COUNTIFS(T_StockCount[RM_Code],$A7,T_StockCount[WeekIndex],96)&gt;0,SUMIFS(T_StockCount[CountedQty],T_StockCount[RM_Code],$A7,T_StockCount[WeekIndex],96),IF((COUNTIFS(T_SelfStock[RM_Code],$A7,T_SelfStock[WeekIndex],96)&gt;0)*(COUNTIFS(T_TTAFStock[RM_Code],$A7,T_TTAFStock[WeekIndex],96)&gt;0)&gt;0,SUMIFS(T_SelfStock[Self_Qty],T_SelfStock[RM_Code],$A7,T_SelfStock[WeekIndex],96)+SUMIFS(T_TTAFStock[TTAF_Qty],T_TTAFStock[RM_Code],$A7,T_TTAFStock[WeekIndex],96),CR7+'Grid_Incoming'!CS7-'Grid_Requirement'!CS7))</f>
        <v/>
      </c>
      <c r="CT7">
        <f>IF(COUNTIFS(T_StockCount[RM_Code],$A7,T_StockCount[WeekIndex],97)&gt;0,SUMIFS(T_StockCount[CountedQty],T_StockCount[RM_Code],$A7,T_StockCount[WeekIndex],97),IF((COUNTIFS(T_SelfStock[RM_Code],$A7,T_SelfStock[WeekIndex],97)&gt;0)*(COUNTIFS(T_TTAFStock[RM_Code],$A7,T_TTAFStock[WeekIndex],97)&gt;0)&gt;0,SUMIFS(T_SelfStock[Self_Qty],T_SelfStock[RM_Code],$A7,T_SelfStock[WeekIndex],97)+SUMIFS(T_TTAFStock[TTAF_Qty],T_TTAFStock[RM_Code],$A7,T_TTAFStock[WeekIndex],97),CS7+'Grid_Incoming'!CT7-'Grid_Requirement'!CT7))</f>
        <v/>
      </c>
      <c r="CU7">
        <f>IF(COUNTIFS(T_StockCount[RM_Code],$A7,T_StockCount[WeekIndex],98)&gt;0,SUMIFS(T_StockCount[CountedQty],T_StockCount[RM_Code],$A7,T_StockCount[WeekIndex],98),IF((COUNTIFS(T_SelfStock[RM_Code],$A7,T_SelfStock[WeekIndex],98)&gt;0)*(COUNTIFS(T_TTAFStock[RM_Code],$A7,T_TTAFStock[WeekIndex],98)&gt;0)&gt;0,SUMIFS(T_SelfStock[Self_Qty],T_SelfStock[RM_Code],$A7,T_SelfStock[WeekIndex],98)+SUMIFS(T_TTAFStock[TTAF_Qty],T_TTAFStock[RM_Code],$A7,T_TTAFStock[WeekIndex],98),CT7+'Grid_Incoming'!CU7-'Grid_Requirement'!CU7))</f>
        <v/>
      </c>
      <c r="CV7">
        <f>IF(COUNTIFS(T_StockCount[RM_Code],$A7,T_StockCount[WeekIndex],99)&gt;0,SUMIFS(T_StockCount[CountedQty],T_StockCount[RM_Code],$A7,T_StockCount[WeekIndex],99),IF((COUNTIFS(T_SelfStock[RM_Code],$A7,T_SelfStock[WeekIndex],99)&gt;0)*(COUNTIFS(T_TTAFStock[RM_Code],$A7,T_TTAFStock[WeekIndex],99)&gt;0)&gt;0,SUMIFS(T_SelfStock[Self_Qty],T_SelfStock[RM_Code],$A7,T_SelfStock[WeekIndex],99)+SUMIFS(T_TTAFStock[TTAF_Qty],T_TTAFStock[RM_Code],$A7,T_TTAFStock[WeekIndex],99),CU7+'Grid_Incoming'!CV7-'Grid_Requirement'!CV7))</f>
        <v/>
      </c>
      <c r="CW7">
        <f>IF(COUNTIFS(T_StockCount[RM_Code],$A7,T_StockCount[WeekIndex],100)&gt;0,SUMIFS(T_StockCount[CountedQty],T_StockCount[RM_Code],$A7,T_StockCount[WeekIndex],100),IF((COUNTIFS(T_SelfStock[RM_Code],$A7,T_SelfStock[WeekIndex],100)&gt;0)*(COUNTIFS(T_TTAFStock[RM_Code],$A7,T_TTAFStock[WeekIndex],100)&gt;0)&gt;0,SUMIFS(T_SelfStock[Self_Qty],T_SelfStock[RM_Code],$A7,T_SelfStock[WeekIndex],100)+SUMIFS(T_TTAFStock[TTAF_Qty],T_TTAFStock[RM_Code],$A7,T_TTAFStock[WeekIndex],100),CV7+'Grid_Incoming'!CW7-'Grid_Requirement'!CW7))</f>
        <v/>
      </c>
      <c r="CX7">
        <f>IF(COUNTIFS(T_StockCount[RM_Code],$A7,T_StockCount[WeekIndex],101)&gt;0,SUMIFS(T_StockCount[CountedQty],T_StockCount[RM_Code],$A7,T_StockCount[WeekIndex],101),IF((COUNTIFS(T_SelfStock[RM_Code],$A7,T_SelfStock[WeekIndex],101)&gt;0)*(COUNTIFS(T_TTAFStock[RM_Code],$A7,T_TTAFStock[WeekIndex],101)&gt;0)&gt;0,SUMIFS(T_SelfStock[Self_Qty],T_SelfStock[RM_Code],$A7,T_SelfStock[WeekIndex],101)+SUMIFS(T_TTAFStock[TTAF_Qty],T_TTAFStock[RM_Code],$A7,T_TTAFStock[WeekIndex],101),CW7+'Grid_Incoming'!CX7-'Grid_Requirement'!CX7))</f>
        <v/>
      </c>
      <c r="CY7">
        <f>IF(COUNTIFS(T_StockCount[RM_Code],$A7,T_StockCount[WeekIndex],102)&gt;0,SUMIFS(T_StockCount[CountedQty],T_StockCount[RM_Code],$A7,T_StockCount[WeekIndex],102),IF((COUNTIFS(T_SelfStock[RM_Code],$A7,T_SelfStock[WeekIndex],102)&gt;0)*(COUNTIFS(T_TTAFStock[RM_Code],$A7,T_TTAFStock[WeekIndex],102)&gt;0)&gt;0,SUMIFS(T_SelfStock[Self_Qty],T_SelfStock[RM_Code],$A7,T_SelfStock[WeekIndex],102)+SUMIFS(T_TTAFStock[TTAF_Qty],T_TTAFStock[RM_Code],$A7,T_TTAFStock[WeekIndex],102),CX7+'Grid_Incoming'!CY7-'Grid_Requirement'!CY7))</f>
        <v/>
      </c>
      <c r="CZ7">
        <f>IF(COUNTIFS(T_StockCount[RM_Code],$A7,T_StockCount[WeekIndex],103)&gt;0,SUMIFS(T_StockCount[CountedQty],T_StockCount[RM_Code],$A7,T_StockCount[WeekIndex],103),IF((COUNTIFS(T_SelfStock[RM_Code],$A7,T_SelfStock[WeekIndex],103)&gt;0)*(COUNTIFS(T_TTAFStock[RM_Code],$A7,T_TTAFStock[WeekIndex],103)&gt;0)&gt;0,SUMIFS(T_SelfStock[Self_Qty],T_SelfStock[RM_Code],$A7,T_SelfStock[WeekIndex],103)+SUMIFS(T_TTAFStock[TTAF_Qty],T_TTAFStock[RM_Code],$A7,T_TTAFStock[WeekIndex],103),CY7+'Grid_Incoming'!CZ7-'Grid_Requirement'!CZ7))</f>
        <v/>
      </c>
      <c r="DA7">
        <f>IF(COUNTIFS(T_StockCount[RM_Code],$A7,T_StockCount[WeekIndex],104)&gt;0,SUMIFS(T_StockCount[CountedQty],T_StockCount[RM_Code],$A7,T_StockCount[WeekIndex],104),IF((COUNTIFS(T_SelfStock[RM_Code],$A7,T_SelfStock[WeekIndex],104)&gt;0)*(COUNTIFS(T_TTAFStock[RM_Code],$A7,T_TTAFStock[WeekIndex],104)&gt;0)&gt;0,SUMIFS(T_SelfStock[Self_Qty],T_SelfStock[RM_Code],$A7,T_SelfStock[WeekIndex],104)+SUMIFS(T_TTAFStock[TTAF_Qty],T_TTAFStock[RM_Code],$A7,T_TTAFStock[WeekIndex],104),CZ7+'Grid_Incoming'!DA7-'Grid_Requirement'!DA7))</f>
        <v/>
      </c>
    </row>
    <row r="8">
      <c r="A8" t="inlineStr">
        <is>
          <t>CHEM-1690</t>
        </is>
      </c>
      <c r="B8">
        <f>IF(COUNTIFS(T_StockCount[RM_Code],$A8,T_StockCount[WeekIndex],1)&gt;0,SUMIFS(T_StockCount[CountedQty],T_StockCount[RM_Code],$A8,T_StockCount[WeekIndex],1),IF((COUNTIFS(T_SelfStock[RM_Code],$A8,T_SelfStock[WeekIndex],1)&gt;0)*(COUNTIFS(T_TTAFStock[RM_Code],$A8,T_TTAFStock[WeekIndex],1)&gt;0)&gt;0,SUMIFS(T_SelfStock[Self_Qty],T_SelfStock[RM_Code],$A8,T_SelfStock[WeekIndex],1)+SUMIFS(T_TTAFStock[TTAF_Qty],T_TTAFStock[RM_Code],$A8,T_TTAFStock[WeekIndex],1),IFERROR(INDEX(T_OpeningStock[Opening_Qty],MATCH($A8,T_OpeningStock[RM_Code],0)),0)+'Grid_Incoming'!B8-'Grid_Requirement'!B8))</f>
        <v/>
      </c>
      <c r="C8">
        <f>IF(COUNTIFS(T_StockCount[RM_Code],$A8,T_StockCount[WeekIndex],2)&gt;0,SUMIFS(T_StockCount[CountedQty],T_StockCount[RM_Code],$A8,T_StockCount[WeekIndex],2),IF((COUNTIFS(T_SelfStock[RM_Code],$A8,T_SelfStock[WeekIndex],2)&gt;0)*(COUNTIFS(T_TTAFStock[RM_Code],$A8,T_TTAFStock[WeekIndex],2)&gt;0)&gt;0,SUMIFS(T_SelfStock[Self_Qty],T_SelfStock[RM_Code],$A8,T_SelfStock[WeekIndex],2)+SUMIFS(T_TTAFStock[TTAF_Qty],T_TTAFStock[RM_Code],$A8,T_TTAFStock[WeekIndex],2),B8+'Grid_Incoming'!C8-'Grid_Requirement'!C8))</f>
        <v/>
      </c>
      <c r="D8">
        <f>IF(COUNTIFS(T_StockCount[RM_Code],$A8,T_StockCount[WeekIndex],3)&gt;0,SUMIFS(T_StockCount[CountedQty],T_StockCount[RM_Code],$A8,T_StockCount[WeekIndex],3),IF((COUNTIFS(T_SelfStock[RM_Code],$A8,T_SelfStock[WeekIndex],3)&gt;0)*(COUNTIFS(T_TTAFStock[RM_Code],$A8,T_TTAFStock[WeekIndex],3)&gt;0)&gt;0,SUMIFS(T_SelfStock[Self_Qty],T_SelfStock[RM_Code],$A8,T_SelfStock[WeekIndex],3)+SUMIFS(T_TTAFStock[TTAF_Qty],T_TTAFStock[RM_Code],$A8,T_TTAFStock[WeekIndex],3),C8+'Grid_Incoming'!D8-'Grid_Requirement'!D8))</f>
        <v/>
      </c>
      <c r="E8">
        <f>IF(COUNTIFS(T_StockCount[RM_Code],$A8,T_StockCount[WeekIndex],4)&gt;0,SUMIFS(T_StockCount[CountedQty],T_StockCount[RM_Code],$A8,T_StockCount[WeekIndex],4),IF((COUNTIFS(T_SelfStock[RM_Code],$A8,T_SelfStock[WeekIndex],4)&gt;0)*(COUNTIFS(T_TTAFStock[RM_Code],$A8,T_TTAFStock[WeekIndex],4)&gt;0)&gt;0,SUMIFS(T_SelfStock[Self_Qty],T_SelfStock[RM_Code],$A8,T_SelfStock[WeekIndex],4)+SUMIFS(T_TTAFStock[TTAF_Qty],T_TTAFStock[RM_Code],$A8,T_TTAFStock[WeekIndex],4),D8+'Grid_Incoming'!E8-'Grid_Requirement'!E8))</f>
        <v/>
      </c>
      <c r="F8">
        <f>IF(COUNTIFS(T_StockCount[RM_Code],$A8,T_StockCount[WeekIndex],5)&gt;0,SUMIFS(T_StockCount[CountedQty],T_StockCount[RM_Code],$A8,T_StockCount[WeekIndex],5),IF((COUNTIFS(T_SelfStock[RM_Code],$A8,T_SelfStock[WeekIndex],5)&gt;0)*(COUNTIFS(T_TTAFStock[RM_Code],$A8,T_TTAFStock[WeekIndex],5)&gt;0)&gt;0,SUMIFS(T_SelfStock[Self_Qty],T_SelfStock[RM_Code],$A8,T_SelfStock[WeekIndex],5)+SUMIFS(T_TTAFStock[TTAF_Qty],T_TTAFStock[RM_Code],$A8,T_TTAFStock[WeekIndex],5),E8+'Grid_Incoming'!F8-'Grid_Requirement'!F8))</f>
        <v/>
      </c>
      <c r="G8">
        <f>IF(COUNTIFS(T_StockCount[RM_Code],$A8,T_StockCount[WeekIndex],6)&gt;0,SUMIFS(T_StockCount[CountedQty],T_StockCount[RM_Code],$A8,T_StockCount[WeekIndex],6),IF((COUNTIFS(T_SelfStock[RM_Code],$A8,T_SelfStock[WeekIndex],6)&gt;0)*(COUNTIFS(T_TTAFStock[RM_Code],$A8,T_TTAFStock[WeekIndex],6)&gt;0)&gt;0,SUMIFS(T_SelfStock[Self_Qty],T_SelfStock[RM_Code],$A8,T_SelfStock[WeekIndex],6)+SUMIFS(T_TTAFStock[TTAF_Qty],T_TTAFStock[RM_Code],$A8,T_TTAFStock[WeekIndex],6),F8+'Grid_Incoming'!G8-'Grid_Requirement'!G8))</f>
        <v/>
      </c>
      <c r="H8">
        <f>IF(COUNTIFS(T_StockCount[RM_Code],$A8,T_StockCount[WeekIndex],7)&gt;0,SUMIFS(T_StockCount[CountedQty],T_StockCount[RM_Code],$A8,T_StockCount[WeekIndex],7),IF((COUNTIFS(T_SelfStock[RM_Code],$A8,T_SelfStock[WeekIndex],7)&gt;0)*(COUNTIFS(T_TTAFStock[RM_Code],$A8,T_TTAFStock[WeekIndex],7)&gt;0)&gt;0,SUMIFS(T_SelfStock[Self_Qty],T_SelfStock[RM_Code],$A8,T_SelfStock[WeekIndex],7)+SUMIFS(T_TTAFStock[TTAF_Qty],T_TTAFStock[RM_Code],$A8,T_TTAFStock[WeekIndex],7),G8+'Grid_Incoming'!H8-'Grid_Requirement'!H8))</f>
        <v/>
      </c>
      <c r="I8">
        <f>IF(COUNTIFS(T_StockCount[RM_Code],$A8,T_StockCount[WeekIndex],8)&gt;0,SUMIFS(T_StockCount[CountedQty],T_StockCount[RM_Code],$A8,T_StockCount[WeekIndex],8),IF((COUNTIFS(T_SelfStock[RM_Code],$A8,T_SelfStock[WeekIndex],8)&gt;0)*(COUNTIFS(T_TTAFStock[RM_Code],$A8,T_TTAFStock[WeekIndex],8)&gt;0)&gt;0,SUMIFS(T_SelfStock[Self_Qty],T_SelfStock[RM_Code],$A8,T_SelfStock[WeekIndex],8)+SUMIFS(T_TTAFStock[TTAF_Qty],T_TTAFStock[RM_Code],$A8,T_TTAFStock[WeekIndex],8),H8+'Grid_Incoming'!I8-'Grid_Requirement'!I8))</f>
        <v/>
      </c>
      <c r="J8">
        <f>IF(COUNTIFS(T_StockCount[RM_Code],$A8,T_StockCount[WeekIndex],9)&gt;0,SUMIFS(T_StockCount[CountedQty],T_StockCount[RM_Code],$A8,T_StockCount[WeekIndex],9),IF((COUNTIFS(T_SelfStock[RM_Code],$A8,T_SelfStock[WeekIndex],9)&gt;0)*(COUNTIFS(T_TTAFStock[RM_Code],$A8,T_TTAFStock[WeekIndex],9)&gt;0)&gt;0,SUMIFS(T_SelfStock[Self_Qty],T_SelfStock[RM_Code],$A8,T_SelfStock[WeekIndex],9)+SUMIFS(T_TTAFStock[TTAF_Qty],T_TTAFStock[RM_Code],$A8,T_TTAFStock[WeekIndex],9),I8+'Grid_Incoming'!J8-'Grid_Requirement'!J8))</f>
        <v/>
      </c>
      <c r="K8">
        <f>IF(COUNTIFS(T_StockCount[RM_Code],$A8,T_StockCount[WeekIndex],10)&gt;0,SUMIFS(T_StockCount[CountedQty],T_StockCount[RM_Code],$A8,T_StockCount[WeekIndex],10),IF((COUNTIFS(T_SelfStock[RM_Code],$A8,T_SelfStock[WeekIndex],10)&gt;0)*(COUNTIFS(T_TTAFStock[RM_Code],$A8,T_TTAFStock[WeekIndex],10)&gt;0)&gt;0,SUMIFS(T_SelfStock[Self_Qty],T_SelfStock[RM_Code],$A8,T_SelfStock[WeekIndex],10)+SUMIFS(T_TTAFStock[TTAF_Qty],T_TTAFStock[RM_Code],$A8,T_TTAFStock[WeekIndex],10),J8+'Grid_Incoming'!K8-'Grid_Requirement'!K8))</f>
        <v/>
      </c>
      <c r="L8">
        <f>IF(COUNTIFS(T_StockCount[RM_Code],$A8,T_StockCount[WeekIndex],11)&gt;0,SUMIFS(T_StockCount[CountedQty],T_StockCount[RM_Code],$A8,T_StockCount[WeekIndex],11),IF((COUNTIFS(T_SelfStock[RM_Code],$A8,T_SelfStock[WeekIndex],11)&gt;0)*(COUNTIFS(T_TTAFStock[RM_Code],$A8,T_TTAFStock[WeekIndex],11)&gt;0)&gt;0,SUMIFS(T_SelfStock[Self_Qty],T_SelfStock[RM_Code],$A8,T_SelfStock[WeekIndex],11)+SUMIFS(T_TTAFStock[TTAF_Qty],T_TTAFStock[RM_Code],$A8,T_TTAFStock[WeekIndex],11),K8+'Grid_Incoming'!L8-'Grid_Requirement'!L8))</f>
        <v/>
      </c>
      <c r="M8">
        <f>IF(COUNTIFS(T_StockCount[RM_Code],$A8,T_StockCount[WeekIndex],12)&gt;0,SUMIFS(T_StockCount[CountedQty],T_StockCount[RM_Code],$A8,T_StockCount[WeekIndex],12),IF((COUNTIFS(T_SelfStock[RM_Code],$A8,T_SelfStock[WeekIndex],12)&gt;0)*(COUNTIFS(T_TTAFStock[RM_Code],$A8,T_TTAFStock[WeekIndex],12)&gt;0)&gt;0,SUMIFS(T_SelfStock[Self_Qty],T_SelfStock[RM_Code],$A8,T_SelfStock[WeekIndex],12)+SUMIFS(T_TTAFStock[TTAF_Qty],T_TTAFStock[RM_Code],$A8,T_TTAFStock[WeekIndex],12),L8+'Grid_Incoming'!M8-'Grid_Requirement'!M8))</f>
        <v/>
      </c>
      <c r="N8">
        <f>IF(COUNTIFS(T_StockCount[RM_Code],$A8,T_StockCount[WeekIndex],13)&gt;0,SUMIFS(T_StockCount[CountedQty],T_StockCount[RM_Code],$A8,T_StockCount[WeekIndex],13),IF((COUNTIFS(T_SelfStock[RM_Code],$A8,T_SelfStock[WeekIndex],13)&gt;0)*(COUNTIFS(T_TTAFStock[RM_Code],$A8,T_TTAFStock[WeekIndex],13)&gt;0)&gt;0,SUMIFS(T_SelfStock[Self_Qty],T_SelfStock[RM_Code],$A8,T_SelfStock[WeekIndex],13)+SUMIFS(T_TTAFStock[TTAF_Qty],T_TTAFStock[RM_Code],$A8,T_TTAFStock[WeekIndex],13),M8+'Grid_Incoming'!N8-'Grid_Requirement'!N8))</f>
        <v/>
      </c>
      <c r="O8">
        <f>IF(COUNTIFS(T_StockCount[RM_Code],$A8,T_StockCount[WeekIndex],14)&gt;0,SUMIFS(T_StockCount[CountedQty],T_StockCount[RM_Code],$A8,T_StockCount[WeekIndex],14),IF((COUNTIFS(T_SelfStock[RM_Code],$A8,T_SelfStock[WeekIndex],14)&gt;0)*(COUNTIFS(T_TTAFStock[RM_Code],$A8,T_TTAFStock[WeekIndex],14)&gt;0)&gt;0,SUMIFS(T_SelfStock[Self_Qty],T_SelfStock[RM_Code],$A8,T_SelfStock[WeekIndex],14)+SUMIFS(T_TTAFStock[TTAF_Qty],T_TTAFStock[RM_Code],$A8,T_TTAFStock[WeekIndex],14),N8+'Grid_Incoming'!O8-'Grid_Requirement'!O8))</f>
        <v/>
      </c>
      <c r="P8">
        <f>IF(COUNTIFS(T_StockCount[RM_Code],$A8,T_StockCount[WeekIndex],15)&gt;0,SUMIFS(T_StockCount[CountedQty],T_StockCount[RM_Code],$A8,T_StockCount[WeekIndex],15),IF((COUNTIFS(T_SelfStock[RM_Code],$A8,T_SelfStock[WeekIndex],15)&gt;0)*(COUNTIFS(T_TTAFStock[RM_Code],$A8,T_TTAFStock[WeekIndex],15)&gt;0)&gt;0,SUMIFS(T_SelfStock[Self_Qty],T_SelfStock[RM_Code],$A8,T_SelfStock[WeekIndex],15)+SUMIFS(T_TTAFStock[TTAF_Qty],T_TTAFStock[RM_Code],$A8,T_TTAFStock[WeekIndex],15),O8+'Grid_Incoming'!P8-'Grid_Requirement'!P8))</f>
        <v/>
      </c>
      <c r="Q8">
        <f>IF(COUNTIFS(T_StockCount[RM_Code],$A8,T_StockCount[WeekIndex],16)&gt;0,SUMIFS(T_StockCount[CountedQty],T_StockCount[RM_Code],$A8,T_StockCount[WeekIndex],16),IF((COUNTIFS(T_SelfStock[RM_Code],$A8,T_SelfStock[WeekIndex],16)&gt;0)*(COUNTIFS(T_TTAFStock[RM_Code],$A8,T_TTAFStock[WeekIndex],16)&gt;0)&gt;0,SUMIFS(T_SelfStock[Self_Qty],T_SelfStock[RM_Code],$A8,T_SelfStock[WeekIndex],16)+SUMIFS(T_TTAFStock[TTAF_Qty],T_TTAFStock[RM_Code],$A8,T_TTAFStock[WeekIndex],16),P8+'Grid_Incoming'!Q8-'Grid_Requirement'!Q8))</f>
        <v/>
      </c>
      <c r="R8">
        <f>IF(COUNTIFS(T_StockCount[RM_Code],$A8,T_StockCount[WeekIndex],17)&gt;0,SUMIFS(T_StockCount[CountedQty],T_StockCount[RM_Code],$A8,T_StockCount[WeekIndex],17),IF((COUNTIFS(T_SelfStock[RM_Code],$A8,T_SelfStock[WeekIndex],17)&gt;0)*(COUNTIFS(T_TTAFStock[RM_Code],$A8,T_TTAFStock[WeekIndex],17)&gt;0)&gt;0,SUMIFS(T_SelfStock[Self_Qty],T_SelfStock[RM_Code],$A8,T_SelfStock[WeekIndex],17)+SUMIFS(T_TTAFStock[TTAF_Qty],T_TTAFStock[RM_Code],$A8,T_TTAFStock[WeekIndex],17),Q8+'Grid_Incoming'!R8-'Grid_Requirement'!R8))</f>
        <v/>
      </c>
      <c r="S8">
        <f>IF(COUNTIFS(T_StockCount[RM_Code],$A8,T_StockCount[WeekIndex],18)&gt;0,SUMIFS(T_StockCount[CountedQty],T_StockCount[RM_Code],$A8,T_StockCount[WeekIndex],18),IF((COUNTIFS(T_SelfStock[RM_Code],$A8,T_SelfStock[WeekIndex],18)&gt;0)*(COUNTIFS(T_TTAFStock[RM_Code],$A8,T_TTAFStock[WeekIndex],18)&gt;0)&gt;0,SUMIFS(T_SelfStock[Self_Qty],T_SelfStock[RM_Code],$A8,T_SelfStock[WeekIndex],18)+SUMIFS(T_TTAFStock[TTAF_Qty],T_TTAFStock[RM_Code],$A8,T_TTAFStock[WeekIndex],18),R8+'Grid_Incoming'!S8-'Grid_Requirement'!S8))</f>
        <v/>
      </c>
      <c r="T8">
        <f>IF(COUNTIFS(T_StockCount[RM_Code],$A8,T_StockCount[WeekIndex],19)&gt;0,SUMIFS(T_StockCount[CountedQty],T_StockCount[RM_Code],$A8,T_StockCount[WeekIndex],19),IF((COUNTIFS(T_SelfStock[RM_Code],$A8,T_SelfStock[WeekIndex],19)&gt;0)*(COUNTIFS(T_TTAFStock[RM_Code],$A8,T_TTAFStock[WeekIndex],19)&gt;0)&gt;0,SUMIFS(T_SelfStock[Self_Qty],T_SelfStock[RM_Code],$A8,T_SelfStock[WeekIndex],19)+SUMIFS(T_TTAFStock[TTAF_Qty],T_TTAFStock[RM_Code],$A8,T_TTAFStock[WeekIndex],19),S8+'Grid_Incoming'!T8-'Grid_Requirement'!T8))</f>
        <v/>
      </c>
      <c r="U8">
        <f>IF(COUNTIFS(T_StockCount[RM_Code],$A8,T_StockCount[WeekIndex],20)&gt;0,SUMIFS(T_StockCount[CountedQty],T_StockCount[RM_Code],$A8,T_StockCount[WeekIndex],20),IF((COUNTIFS(T_SelfStock[RM_Code],$A8,T_SelfStock[WeekIndex],20)&gt;0)*(COUNTIFS(T_TTAFStock[RM_Code],$A8,T_TTAFStock[WeekIndex],20)&gt;0)&gt;0,SUMIFS(T_SelfStock[Self_Qty],T_SelfStock[RM_Code],$A8,T_SelfStock[WeekIndex],20)+SUMIFS(T_TTAFStock[TTAF_Qty],T_TTAFStock[RM_Code],$A8,T_TTAFStock[WeekIndex],20),T8+'Grid_Incoming'!U8-'Grid_Requirement'!U8))</f>
        <v/>
      </c>
      <c r="V8">
        <f>IF(COUNTIFS(T_StockCount[RM_Code],$A8,T_StockCount[WeekIndex],21)&gt;0,SUMIFS(T_StockCount[CountedQty],T_StockCount[RM_Code],$A8,T_StockCount[WeekIndex],21),IF((COUNTIFS(T_SelfStock[RM_Code],$A8,T_SelfStock[WeekIndex],21)&gt;0)*(COUNTIFS(T_TTAFStock[RM_Code],$A8,T_TTAFStock[WeekIndex],21)&gt;0)&gt;0,SUMIFS(T_SelfStock[Self_Qty],T_SelfStock[RM_Code],$A8,T_SelfStock[WeekIndex],21)+SUMIFS(T_TTAFStock[TTAF_Qty],T_TTAFStock[RM_Code],$A8,T_TTAFStock[WeekIndex],21),U8+'Grid_Incoming'!V8-'Grid_Requirement'!V8))</f>
        <v/>
      </c>
      <c r="W8">
        <f>IF(COUNTIFS(T_StockCount[RM_Code],$A8,T_StockCount[WeekIndex],22)&gt;0,SUMIFS(T_StockCount[CountedQty],T_StockCount[RM_Code],$A8,T_StockCount[WeekIndex],22),IF((COUNTIFS(T_SelfStock[RM_Code],$A8,T_SelfStock[WeekIndex],22)&gt;0)*(COUNTIFS(T_TTAFStock[RM_Code],$A8,T_TTAFStock[WeekIndex],22)&gt;0)&gt;0,SUMIFS(T_SelfStock[Self_Qty],T_SelfStock[RM_Code],$A8,T_SelfStock[WeekIndex],22)+SUMIFS(T_TTAFStock[TTAF_Qty],T_TTAFStock[RM_Code],$A8,T_TTAFStock[WeekIndex],22),V8+'Grid_Incoming'!W8-'Grid_Requirement'!W8))</f>
        <v/>
      </c>
      <c r="X8">
        <f>IF(COUNTIFS(T_StockCount[RM_Code],$A8,T_StockCount[WeekIndex],23)&gt;0,SUMIFS(T_StockCount[CountedQty],T_StockCount[RM_Code],$A8,T_StockCount[WeekIndex],23),IF((COUNTIFS(T_SelfStock[RM_Code],$A8,T_SelfStock[WeekIndex],23)&gt;0)*(COUNTIFS(T_TTAFStock[RM_Code],$A8,T_TTAFStock[WeekIndex],23)&gt;0)&gt;0,SUMIFS(T_SelfStock[Self_Qty],T_SelfStock[RM_Code],$A8,T_SelfStock[WeekIndex],23)+SUMIFS(T_TTAFStock[TTAF_Qty],T_TTAFStock[RM_Code],$A8,T_TTAFStock[WeekIndex],23),W8+'Grid_Incoming'!X8-'Grid_Requirement'!X8))</f>
        <v/>
      </c>
      <c r="Y8">
        <f>IF(COUNTIFS(T_StockCount[RM_Code],$A8,T_StockCount[WeekIndex],24)&gt;0,SUMIFS(T_StockCount[CountedQty],T_StockCount[RM_Code],$A8,T_StockCount[WeekIndex],24),IF((COUNTIFS(T_SelfStock[RM_Code],$A8,T_SelfStock[WeekIndex],24)&gt;0)*(COUNTIFS(T_TTAFStock[RM_Code],$A8,T_TTAFStock[WeekIndex],24)&gt;0)&gt;0,SUMIFS(T_SelfStock[Self_Qty],T_SelfStock[RM_Code],$A8,T_SelfStock[WeekIndex],24)+SUMIFS(T_TTAFStock[TTAF_Qty],T_TTAFStock[RM_Code],$A8,T_TTAFStock[WeekIndex],24),X8+'Grid_Incoming'!Y8-'Grid_Requirement'!Y8))</f>
        <v/>
      </c>
      <c r="Z8">
        <f>IF(COUNTIFS(T_StockCount[RM_Code],$A8,T_StockCount[WeekIndex],25)&gt;0,SUMIFS(T_StockCount[CountedQty],T_StockCount[RM_Code],$A8,T_StockCount[WeekIndex],25),IF((COUNTIFS(T_SelfStock[RM_Code],$A8,T_SelfStock[WeekIndex],25)&gt;0)*(COUNTIFS(T_TTAFStock[RM_Code],$A8,T_TTAFStock[WeekIndex],25)&gt;0)&gt;0,SUMIFS(T_SelfStock[Self_Qty],T_SelfStock[RM_Code],$A8,T_SelfStock[WeekIndex],25)+SUMIFS(T_TTAFStock[TTAF_Qty],T_TTAFStock[RM_Code],$A8,T_TTAFStock[WeekIndex],25),Y8+'Grid_Incoming'!Z8-'Grid_Requirement'!Z8))</f>
        <v/>
      </c>
      <c r="AA8">
        <f>IF(COUNTIFS(T_StockCount[RM_Code],$A8,T_StockCount[WeekIndex],26)&gt;0,SUMIFS(T_StockCount[CountedQty],T_StockCount[RM_Code],$A8,T_StockCount[WeekIndex],26),IF((COUNTIFS(T_SelfStock[RM_Code],$A8,T_SelfStock[WeekIndex],26)&gt;0)*(COUNTIFS(T_TTAFStock[RM_Code],$A8,T_TTAFStock[WeekIndex],26)&gt;0)&gt;0,SUMIFS(T_SelfStock[Self_Qty],T_SelfStock[RM_Code],$A8,T_SelfStock[WeekIndex],26)+SUMIFS(T_TTAFStock[TTAF_Qty],T_TTAFStock[RM_Code],$A8,T_TTAFStock[WeekIndex],26),Z8+'Grid_Incoming'!AA8-'Grid_Requirement'!AA8))</f>
        <v/>
      </c>
      <c r="AB8">
        <f>IF(COUNTIFS(T_StockCount[RM_Code],$A8,T_StockCount[WeekIndex],27)&gt;0,SUMIFS(T_StockCount[CountedQty],T_StockCount[RM_Code],$A8,T_StockCount[WeekIndex],27),IF((COUNTIFS(T_SelfStock[RM_Code],$A8,T_SelfStock[WeekIndex],27)&gt;0)*(COUNTIFS(T_TTAFStock[RM_Code],$A8,T_TTAFStock[WeekIndex],27)&gt;0)&gt;0,SUMIFS(T_SelfStock[Self_Qty],T_SelfStock[RM_Code],$A8,T_SelfStock[WeekIndex],27)+SUMIFS(T_TTAFStock[TTAF_Qty],T_TTAFStock[RM_Code],$A8,T_TTAFStock[WeekIndex],27),AA8+'Grid_Incoming'!AB8-'Grid_Requirement'!AB8))</f>
        <v/>
      </c>
      <c r="AC8">
        <f>IF(COUNTIFS(T_StockCount[RM_Code],$A8,T_StockCount[WeekIndex],28)&gt;0,SUMIFS(T_StockCount[CountedQty],T_StockCount[RM_Code],$A8,T_StockCount[WeekIndex],28),IF((COUNTIFS(T_SelfStock[RM_Code],$A8,T_SelfStock[WeekIndex],28)&gt;0)*(COUNTIFS(T_TTAFStock[RM_Code],$A8,T_TTAFStock[WeekIndex],28)&gt;0)&gt;0,SUMIFS(T_SelfStock[Self_Qty],T_SelfStock[RM_Code],$A8,T_SelfStock[WeekIndex],28)+SUMIFS(T_TTAFStock[TTAF_Qty],T_TTAFStock[RM_Code],$A8,T_TTAFStock[WeekIndex],28),AB8+'Grid_Incoming'!AC8-'Grid_Requirement'!AC8))</f>
        <v/>
      </c>
      <c r="AD8">
        <f>IF(COUNTIFS(T_StockCount[RM_Code],$A8,T_StockCount[WeekIndex],29)&gt;0,SUMIFS(T_StockCount[CountedQty],T_StockCount[RM_Code],$A8,T_StockCount[WeekIndex],29),IF((COUNTIFS(T_SelfStock[RM_Code],$A8,T_SelfStock[WeekIndex],29)&gt;0)*(COUNTIFS(T_TTAFStock[RM_Code],$A8,T_TTAFStock[WeekIndex],29)&gt;0)&gt;0,SUMIFS(T_SelfStock[Self_Qty],T_SelfStock[RM_Code],$A8,T_SelfStock[WeekIndex],29)+SUMIFS(T_TTAFStock[TTAF_Qty],T_TTAFStock[RM_Code],$A8,T_TTAFStock[WeekIndex],29),AC8+'Grid_Incoming'!AD8-'Grid_Requirement'!AD8))</f>
        <v/>
      </c>
      <c r="AE8">
        <f>IF(COUNTIFS(T_StockCount[RM_Code],$A8,T_StockCount[WeekIndex],30)&gt;0,SUMIFS(T_StockCount[CountedQty],T_StockCount[RM_Code],$A8,T_StockCount[WeekIndex],30),IF((COUNTIFS(T_SelfStock[RM_Code],$A8,T_SelfStock[WeekIndex],30)&gt;0)*(COUNTIFS(T_TTAFStock[RM_Code],$A8,T_TTAFStock[WeekIndex],30)&gt;0)&gt;0,SUMIFS(T_SelfStock[Self_Qty],T_SelfStock[RM_Code],$A8,T_SelfStock[WeekIndex],30)+SUMIFS(T_TTAFStock[TTAF_Qty],T_TTAFStock[RM_Code],$A8,T_TTAFStock[WeekIndex],30),AD8+'Grid_Incoming'!AE8-'Grid_Requirement'!AE8))</f>
        <v/>
      </c>
      <c r="AF8">
        <f>IF(COUNTIFS(T_StockCount[RM_Code],$A8,T_StockCount[WeekIndex],31)&gt;0,SUMIFS(T_StockCount[CountedQty],T_StockCount[RM_Code],$A8,T_StockCount[WeekIndex],31),IF((COUNTIFS(T_SelfStock[RM_Code],$A8,T_SelfStock[WeekIndex],31)&gt;0)*(COUNTIFS(T_TTAFStock[RM_Code],$A8,T_TTAFStock[WeekIndex],31)&gt;0)&gt;0,SUMIFS(T_SelfStock[Self_Qty],T_SelfStock[RM_Code],$A8,T_SelfStock[WeekIndex],31)+SUMIFS(T_TTAFStock[TTAF_Qty],T_TTAFStock[RM_Code],$A8,T_TTAFStock[WeekIndex],31),AE8+'Grid_Incoming'!AF8-'Grid_Requirement'!AF8))</f>
        <v/>
      </c>
      <c r="AG8">
        <f>IF(COUNTIFS(T_StockCount[RM_Code],$A8,T_StockCount[WeekIndex],32)&gt;0,SUMIFS(T_StockCount[CountedQty],T_StockCount[RM_Code],$A8,T_StockCount[WeekIndex],32),IF((COUNTIFS(T_SelfStock[RM_Code],$A8,T_SelfStock[WeekIndex],32)&gt;0)*(COUNTIFS(T_TTAFStock[RM_Code],$A8,T_TTAFStock[WeekIndex],32)&gt;0)&gt;0,SUMIFS(T_SelfStock[Self_Qty],T_SelfStock[RM_Code],$A8,T_SelfStock[WeekIndex],32)+SUMIFS(T_TTAFStock[TTAF_Qty],T_TTAFStock[RM_Code],$A8,T_TTAFStock[WeekIndex],32),AF8+'Grid_Incoming'!AG8-'Grid_Requirement'!AG8))</f>
        <v/>
      </c>
      <c r="AH8">
        <f>IF(COUNTIFS(T_StockCount[RM_Code],$A8,T_StockCount[WeekIndex],33)&gt;0,SUMIFS(T_StockCount[CountedQty],T_StockCount[RM_Code],$A8,T_StockCount[WeekIndex],33),IF((COUNTIFS(T_SelfStock[RM_Code],$A8,T_SelfStock[WeekIndex],33)&gt;0)*(COUNTIFS(T_TTAFStock[RM_Code],$A8,T_TTAFStock[WeekIndex],33)&gt;0)&gt;0,SUMIFS(T_SelfStock[Self_Qty],T_SelfStock[RM_Code],$A8,T_SelfStock[WeekIndex],33)+SUMIFS(T_TTAFStock[TTAF_Qty],T_TTAFStock[RM_Code],$A8,T_TTAFStock[WeekIndex],33),AG8+'Grid_Incoming'!AH8-'Grid_Requirement'!AH8))</f>
        <v/>
      </c>
      <c r="AI8">
        <f>IF(COUNTIFS(T_StockCount[RM_Code],$A8,T_StockCount[WeekIndex],34)&gt;0,SUMIFS(T_StockCount[CountedQty],T_StockCount[RM_Code],$A8,T_StockCount[WeekIndex],34),IF((COUNTIFS(T_SelfStock[RM_Code],$A8,T_SelfStock[WeekIndex],34)&gt;0)*(COUNTIFS(T_TTAFStock[RM_Code],$A8,T_TTAFStock[WeekIndex],34)&gt;0)&gt;0,SUMIFS(T_SelfStock[Self_Qty],T_SelfStock[RM_Code],$A8,T_SelfStock[WeekIndex],34)+SUMIFS(T_TTAFStock[TTAF_Qty],T_TTAFStock[RM_Code],$A8,T_TTAFStock[WeekIndex],34),AH8+'Grid_Incoming'!AI8-'Grid_Requirement'!AI8))</f>
        <v/>
      </c>
      <c r="AJ8">
        <f>IF(COUNTIFS(T_StockCount[RM_Code],$A8,T_StockCount[WeekIndex],35)&gt;0,SUMIFS(T_StockCount[CountedQty],T_StockCount[RM_Code],$A8,T_StockCount[WeekIndex],35),IF((COUNTIFS(T_SelfStock[RM_Code],$A8,T_SelfStock[WeekIndex],35)&gt;0)*(COUNTIFS(T_TTAFStock[RM_Code],$A8,T_TTAFStock[WeekIndex],35)&gt;0)&gt;0,SUMIFS(T_SelfStock[Self_Qty],T_SelfStock[RM_Code],$A8,T_SelfStock[WeekIndex],35)+SUMIFS(T_TTAFStock[TTAF_Qty],T_TTAFStock[RM_Code],$A8,T_TTAFStock[WeekIndex],35),AI8+'Grid_Incoming'!AJ8-'Grid_Requirement'!AJ8))</f>
        <v/>
      </c>
      <c r="AK8">
        <f>IF(COUNTIFS(T_StockCount[RM_Code],$A8,T_StockCount[WeekIndex],36)&gt;0,SUMIFS(T_StockCount[CountedQty],T_StockCount[RM_Code],$A8,T_StockCount[WeekIndex],36),IF((COUNTIFS(T_SelfStock[RM_Code],$A8,T_SelfStock[WeekIndex],36)&gt;0)*(COUNTIFS(T_TTAFStock[RM_Code],$A8,T_TTAFStock[WeekIndex],36)&gt;0)&gt;0,SUMIFS(T_SelfStock[Self_Qty],T_SelfStock[RM_Code],$A8,T_SelfStock[WeekIndex],36)+SUMIFS(T_TTAFStock[TTAF_Qty],T_TTAFStock[RM_Code],$A8,T_TTAFStock[WeekIndex],36),AJ8+'Grid_Incoming'!AK8-'Grid_Requirement'!AK8))</f>
        <v/>
      </c>
      <c r="AL8">
        <f>IF(COUNTIFS(T_StockCount[RM_Code],$A8,T_StockCount[WeekIndex],37)&gt;0,SUMIFS(T_StockCount[CountedQty],T_StockCount[RM_Code],$A8,T_StockCount[WeekIndex],37),IF((COUNTIFS(T_SelfStock[RM_Code],$A8,T_SelfStock[WeekIndex],37)&gt;0)*(COUNTIFS(T_TTAFStock[RM_Code],$A8,T_TTAFStock[WeekIndex],37)&gt;0)&gt;0,SUMIFS(T_SelfStock[Self_Qty],T_SelfStock[RM_Code],$A8,T_SelfStock[WeekIndex],37)+SUMIFS(T_TTAFStock[TTAF_Qty],T_TTAFStock[RM_Code],$A8,T_TTAFStock[WeekIndex],37),AK8+'Grid_Incoming'!AL8-'Grid_Requirement'!AL8))</f>
        <v/>
      </c>
      <c r="AM8">
        <f>IF(COUNTIFS(T_StockCount[RM_Code],$A8,T_StockCount[WeekIndex],38)&gt;0,SUMIFS(T_StockCount[CountedQty],T_StockCount[RM_Code],$A8,T_StockCount[WeekIndex],38),IF((COUNTIFS(T_SelfStock[RM_Code],$A8,T_SelfStock[WeekIndex],38)&gt;0)*(COUNTIFS(T_TTAFStock[RM_Code],$A8,T_TTAFStock[WeekIndex],38)&gt;0)&gt;0,SUMIFS(T_SelfStock[Self_Qty],T_SelfStock[RM_Code],$A8,T_SelfStock[WeekIndex],38)+SUMIFS(T_TTAFStock[TTAF_Qty],T_TTAFStock[RM_Code],$A8,T_TTAFStock[WeekIndex],38),AL8+'Grid_Incoming'!AM8-'Grid_Requirement'!AM8))</f>
        <v/>
      </c>
      <c r="AN8">
        <f>IF(COUNTIFS(T_StockCount[RM_Code],$A8,T_StockCount[WeekIndex],39)&gt;0,SUMIFS(T_StockCount[CountedQty],T_StockCount[RM_Code],$A8,T_StockCount[WeekIndex],39),IF((COUNTIFS(T_SelfStock[RM_Code],$A8,T_SelfStock[WeekIndex],39)&gt;0)*(COUNTIFS(T_TTAFStock[RM_Code],$A8,T_TTAFStock[WeekIndex],39)&gt;0)&gt;0,SUMIFS(T_SelfStock[Self_Qty],T_SelfStock[RM_Code],$A8,T_SelfStock[WeekIndex],39)+SUMIFS(T_TTAFStock[TTAF_Qty],T_TTAFStock[RM_Code],$A8,T_TTAFStock[WeekIndex],39),AM8+'Grid_Incoming'!AN8-'Grid_Requirement'!AN8))</f>
        <v/>
      </c>
      <c r="AO8">
        <f>IF(COUNTIFS(T_StockCount[RM_Code],$A8,T_StockCount[WeekIndex],40)&gt;0,SUMIFS(T_StockCount[CountedQty],T_StockCount[RM_Code],$A8,T_StockCount[WeekIndex],40),IF((COUNTIFS(T_SelfStock[RM_Code],$A8,T_SelfStock[WeekIndex],40)&gt;0)*(COUNTIFS(T_TTAFStock[RM_Code],$A8,T_TTAFStock[WeekIndex],40)&gt;0)&gt;0,SUMIFS(T_SelfStock[Self_Qty],T_SelfStock[RM_Code],$A8,T_SelfStock[WeekIndex],40)+SUMIFS(T_TTAFStock[TTAF_Qty],T_TTAFStock[RM_Code],$A8,T_TTAFStock[WeekIndex],40),AN8+'Grid_Incoming'!AO8-'Grid_Requirement'!AO8))</f>
        <v/>
      </c>
      <c r="AP8">
        <f>IF(COUNTIFS(T_StockCount[RM_Code],$A8,T_StockCount[WeekIndex],41)&gt;0,SUMIFS(T_StockCount[CountedQty],T_StockCount[RM_Code],$A8,T_StockCount[WeekIndex],41),IF((COUNTIFS(T_SelfStock[RM_Code],$A8,T_SelfStock[WeekIndex],41)&gt;0)*(COUNTIFS(T_TTAFStock[RM_Code],$A8,T_TTAFStock[WeekIndex],41)&gt;0)&gt;0,SUMIFS(T_SelfStock[Self_Qty],T_SelfStock[RM_Code],$A8,T_SelfStock[WeekIndex],41)+SUMIFS(T_TTAFStock[TTAF_Qty],T_TTAFStock[RM_Code],$A8,T_TTAFStock[WeekIndex],41),AO8+'Grid_Incoming'!AP8-'Grid_Requirement'!AP8))</f>
        <v/>
      </c>
      <c r="AQ8">
        <f>IF(COUNTIFS(T_StockCount[RM_Code],$A8,T_StockCount[WeekIndex],42)&gt;0,SUMIFS(T_StockCount[CountedQty],T_StockCount[RM_Code],$A8,T_StockCount[WeekIndex],42),IF((COUNTIFS(T_SelfStock[RM_Code],$A8,T_SelfStock[WeekIndex],42)&gt;0)*(COUNTIFS(T_TTAFStock[RM_Code],$A8,T_TTAFStock[WeekIndex],42)&gt;0)&gt;0,SUMIFS(T_SelfStock[Self_Qty],T_SelfStock[RM_Code],$A8,T_SelfStock[WeekIndex],42)+SUMIFS(T_TTAFStock[TTAF_Qty],T_TTAFStock[RM_Code],$A8,T_TTAFStock[WeekIndex],42),AP8+'Grid_Incoming'!AQ8-'Grid_Requirement'!AQ8))</f>
        <v/>
      </c>
      <c r="AR8">
        <f>IF(COUNTIFS(T_StockCount[RM_Code],$A8,T_StockCount[WeekIndex],43)&gt;0,SUMIFS(T_StockCount[CountedQty],T_StockCount[RM_Code],$A8,T_StockCount[WeekIndex],43),IF((COUNTIFS(T_SelfStock[RM_Code],$A8,T_SelfStock[WeekIndex],43)&gt;0)*(COUNTIFS(T_TTAFStock[RM_Code],$A8,T_TTAFStock[WeekIndex],43)&gt;0)&gt;0,SUMIFS(T_SelfStock[Self_Qty],T_SelfStock[RM_Code],$A8,T_SelfStock[WeekIndex],43)+SUMIFS(T_TTAFStock[TTAF_Qty],T_TTAFStock[RM_Code],$A8,T_TTAFStock[WeekIndex],43),AQ8+'Grid_Incoming'!AR8-'Grid_Requirement'!AR8))</f>
        <v/>
      </c>
      <c r="AS8">
        <f>IF(COUNTIFS(T_StockCount[RM_Code],$A8,T_StockCount[WeekIndex],44)&gt;0,SUMIFS(T_StockCount[CountedQty],T_StockCount[RM_Code],$A8,T_StockCount[WeekIndex],44),IF((COUNTIFS(T_SelfStock[RM_Code],$A8,T_SelfStock[WeekIndex],44)&gt;0)*(COUNTIFS(T_TTAFStock[RM_Code],$A8,T_TTAFStock[WeekIndex],44)&gt;0)&gt;0,SUMIFS(T_SelfStock[Self_Qty],T_SelfStock[RM_Code],$A8,T_SelfStock[WeekIndex],44)+SUMIFS(T_TTAFStock[TTAF_Qty],T_TTAFStock[RM_Code],$A8,T_TTAFStock[WeekIndex],44),AR8+'Grid_Incoming'!AS8-'Grid_Requirement'!AS8))</f>
        <v/>
      </c>
      <c r="AT8">
        <f>IF(COUNTIFS(T_StockCount[RM_Code],$A8,T_StockCount[WeekIndex],45)&gt;0,SUMIFS(T_StockCount[CountedQty],T_StockCount[RM_Code],$A8,T_StockCount[WeekIndex],45),IF((COUNTIFS(T_SelfStock[RM_Code],$A8,T_SelfStock[WeekIndex],45)&gt;0)*(COUNTIFS(T_TTAFStock[RM_Code],$A8,T_TTAFStock[WeekIndex],45)&gt;0)&gt;0,SUMIFS(T_SelfStock[Self_Qty],T_SelfStock[RM_Code],$A8,T_SelfStock[WeekIndex],45)+SUMIFS(T_TTAFStock[TTAF_Qty],T_TTAFStock[RM_Code],$A8,T_TTAFStock[WeekIndex],45),AS8+'Grid_Incoming'!AT8-'Grid_Requirement'!AT8))</f>
        <v/>
      </c>
      <c r="AU8">
        <f>IF(COUNTIFS(T_StockCount[RM_Code],$A8,T_StockCount[WeekIndex],46)&gt;0,SUMIFS(T_StockCount[CountedQty],T_StockCount[RM_Code],$A8,T_StockCount[WeekIndex],46),IF((COUNTIFS(T_SelfStock[RM_Code],$A8,T_SelfStock[WeekIndex],46)&gt;0)*(COUNTIFS(T_TTAFStock[RM_Code],$A8,T_TTAFStock[WeekIndex],46)&gt;0)&gt;0,SUMIFS(T_SelfStock[Self_Qty],T_SelfStock[RM_Code],$A8,T_SelfStock[WeekIndex],46)+SUMIFS(T_TTAFStock[TTAF_Qty],T_TTAFStock[RM_Code],$A8,T_TTAFStock[WeekIndex],46),AT8+'Grid_Incoming'!AU8-'Grid_Requirement'!AU8))</f>
        <v/>
      </c>
      <c r="AV8">
        <f>IF(COUNTIFS(T_StockCount[RM_Code],$A8,T_StockCount[WeekIndex],47)&gt;0,SUMIFS(T_StockCount[CountedQty],T_StockCount[RM_Code],$A8,T_StockCount[WeekIndex],47),IF((COUNTIFS(T_SelfStock[RM_Code],$A8,T_SelfStock[WeekIndex],47)&gt;0)*(COUNTIFS(T_TTAFStock[RM_Code],$A8,T_TTAFStock[WeekIndex],47)&gt;0)&gt;0,SUMIFS(T_SelfStock[Self_Qty],T_SelfStock[RM_Code],$A8,T_SelfStock[WeekIndex],47)+SUMIFS(T_TTAFStock[TTAF_Qty],T_TTAFStock[RM_Code],$A8,T_TTAFStock[WeekIndex],47),AU8+'Grid_Incoming'!AV8-'Grid_Requirement'!AV8))</f>
        <v/>
      </c>
      <c r="AW8">
        <f>IF(COUNTIFS(T_StockCount[RM_Code],$A8,T_StockCount[WeekIndex],48)&gt;0,SUMIFS(T_StockCount[CountedQty],T_StockCount[RM_Code],$A8,T_StockCount[WeekIndex],48),IF((COUNTIFS(T_SelfStock[RM_Code],$A8,T_SelfStock[WeekIndex],48)&gt;0)*(COUNTIFS(T_TTAFStock[RM_Code],$A8,T_TTAFStock[WeekIndex],48)&gt;0)&gt;0,SUMIFS(T_SelfStock[Self_Qty],T_SelfStock[RM_Code],$A8,T_SelfStock[WeekIndex],48)+SUMIFS(T_TTAFStock[TTAF_Qty],T_TTAFStock[RM_Code],$A8,T_TTAFStock[WeekIndex],48),AV8+'Grid_Incoming'!AW8-'Grid_Requirement'!AW8))</f>
        <v/>
      </c>
      <c r="AX8">
        <f>IF(COUNTIFS(T_StockCount[RM_Code],$A8,T_StockCount[WeekIndex],49)&gt;0,SUMIFS(T_StockCount[CountedQty],T_StockCount[RM_Code],$A8,T_StockCount[WeekIndex],49),IF((COUNTIFS(T_SelfStock[RM_Code],$A8,T_SelfStock[WeekIndex],49)&gt;0)*(COUNTIFS(T_TTAFStock[RM_Code],$A8,T_TTAFStock[WeekIndex],49)&gt;0)&gt;0,SUMIFS(T_SelfStock[Self_Qty],T_SelfStock[RM_Code],$A8,T_SelfStock[WeekIndex],49)+SUMIFS(T_TTAFStock[TTAF_Qty],T_TTAFStock[RM_Code],$A8,T_TTAFStock[WeekIndex],49),AW8+'Grid_Incoming'!AX8-'Grid_Requirement'!AX8))</f>
        <v/>
      </c>
      <c r="AY8">
        <f>IF(COUNTIFS(T_StockCount[RM_Code],$A8,T_StockCount[WeekIndex],50)&gt;0,SUMIFS(T_StockCount[CountedQty],T_StockCount[RM_Code],$A8,T_StockCount[WeekIndex],50),IF((COUNTIFS(T_SelfStock[RM_Code],$A8,T_SelfStock[WeekIndex],50)&gt;0)*(COUNTIFS(T_TTAFStock[RM_Code],$A8,T_TTAFStock[WeekIndex],50)&gt;0)&gt;0,SUMIFS(T_SelfStock[Self_Qty],T_SelfStock[RM_Code],$A8,T_SelfStock[WeekIndex],50)+SUMIFS(T_TTAFStock[TTAF_Qty],T_TTAFStock[RM_Code],$A8,T_TTAFStock[WeekIndex],50),AX8+'Grid_Incoming'!AY8-'Grid_Requirement'!AY8))</f>
        <v/>
      </c>
      <c r="AZ8">
        <f>IF(COUNTIFS(T_StockCount[RM_Code],$A8,T_StockCount[WeekIndex],51)&gt;0,SUMIFS(T_StockCount[CountedQty],T_StockCount[RM_Code],$A8,T_StockCount[WeekIndex],51),IF((COUNTIFS(T_SelfStock[RM_Code],$A8,T_SelfStock[WeekIndex],51)&gt;0)*(COUNTIFS(T_TTAFStock[RM_Code],$A8,T_TTAFStock[WeekIndex],51)&gt;0)&gt;0,SUMIFS(T_SelfStock[Self_Qty],T_SelfStock[RM_Code],$A8,T_SelfStock[WeekIndex],51)+SUMIFS(T_TTAFStock[TTAF_Qty],T_TTAFStock[RM_Code],$A8,T_TTAFStock[WeekIndex],51),AY8+'Grid_Incoming'!AZ8-'Grid_Requirement'!AZ8))</f>
        <v/>
      </c>
      <c r="BA8">
        <f>IF(COUNTIFS(T_StockCount[RM_Code],$A8,T_StockCount[WeekIndex],52)&gt;0,SUMIFS(T_StockCount[CountedQty],T_StockCount[RM_Code],$A8,T_StockCount[WeekIndex],52),IF((COUNTIFS(T_SelfStock[RM_Code],$A8,T_SelfStock[WeekIndex],52)&gt;0)*(COUNTIFS(T_TTAFStock[RM_Code],$A8,T_TTAFStock[WeekIndex],52)&gt;0)&gt;0,SUMIFS(T_SelfStock[Self_Qty],T_SelfStock[RM_Code],$A8,T_SelfStock[WeekIndex],52)+SUMIFS(T_TTAFStock[TTAF_Qty],T_TTAFStock[RM_Code],$A8,T_TTAFStock[WeekIndex],52),AZ8+'Grid_Incoming'!BA8-'Grid_Requirement'!BA8))</f>
        <v/>
      </c>
      <c r="BB8">
        <f>IF(COUNTIFS(T_StockCount[RM_Code],$A8,T_StockCount[WeekIndex],53)&gt;0,SUMIFS(T_StockCount[CountedQty],T_StockCount[RM_Code],$A8,T_StockCount[WeekIndex],53),IF((COUNTIFS(T_SelfStock[RM_Code],$A8,T_SelfStock[WeekIndex],53)&gt;0)*(COUNTIFS(T_TTAFStock[RM_Code],$A8,T_TTAFStock[WeekIndex],53)&gt;0)&gt;0,SUMIFS(T_SelfStock[Self_Qty],T_SelfStock[RM_Code],$A8,T_SelfStock[WeekIndex],53)+SUMIFS(T_TTAFStock[TTAF_Qty],T_TTAFStock[RM_Code],$A8,T_TTAFStock[WeekIndex],53),BA8+'Grid_Incoming'!BB8-'Grid_Requirement'!BB8))</f>
        <v/>
      </c>
      <c r="BC8">
        <f>IF(COUNTIFS(T_StockCount[RM_Code],$A8,T_StockCount[WeekIndex],54)&gt;0,SUMIFS(T_StockCount[CountedQty],T_StockCount[RM_Code],$A8,T_StockCount[WeekIndex],54),IF((COUNTIFS(T_SelfStock[RM_Code],$A8,T_SelfStock[WeekIndex],54)&gt;0)*(COUNTIFS(T_TTAFStock[RM_Code],$A8,T_TTAFStock[WeekIndex],54)&gt;0)&gt;0,SUMIFS(T_SelfStock[Self_Qty],T_SelfStock[RM_Code],$A8,T_SelfStock[WeekIndex],54)+SUMIFS(T_TTAFStock[TTAF_Qty],T_TTAFStock[RM_Code],$A8,T_TTAFStock[WeekIndex],54),BB8+'Grid_Incoming'!BC8-'Grid_Requirement'!BC8))</f>
        <v/>
      </c>
      <c r="BD8">
        <f>IF(COUNTIFS(T_StockCount[RM_Code],$A8,T_StockCount[WeekIndex],55)&gt;0,SUMIFS(T_StockCount[CountedQty],T_StockCount[RM_Code],$A8,T_StockCount[WeekIndex],55),IF((COUNTIFS(T_SelfStock[RM_Code],$A8,T_SelfStock[WeekIndex],55)&gt;0)*(COUNTIFS(T_TTAFStock[RM_Code],$A8,T_TTAFStock[WeekIndex],55)&gt;0)&gt;0,SUMIFS(T_SelfStock[Self_Qty],T_SelfStock[RM_Code],$A8,T_SelfStock[WeekIndex],55)+SUMIFS(T_TTAFStock[TTAF_Qty],T_TTAFStock[RM_Code],$A8,T_TTAFStock[WeekIndex],55),BC8+'Grid_Incoming'!BD8-'Grid_Requirement'!BD8))</f>
        <v/>
      </c>
      <c r="BE8">
        <f>IF(COUNTIFS(T_StockCount[RM_Code],$A8,T_StockCount[WeekIndex],56)&gt;0,SUMIFS(T_StockCount[CountedQty],T_StockCount[RM_Code],$A8,T_StockCount[WeekIndex],56),IF((COUNTIFS(T_SelfStock[RM_Code],$A8,T_SelfStock[WeekIndex],56)&gt;0)*(COUNTIFS(T_TTAFStock[RM_Code],$A8,T_TTAFStock[WeekIndex],56)&gt;0)&gt;0,SUMIFS(T_SelfStock[Self_Qty],T_SelfStock[RM_Code],$A8,T_SelfStock[WeekIndex],56)+SUMIFS(T_TTAFStock[TTAF_Qty],T_TTAFStock[RM_Code],$A8,T_TTAFStock[WeekIndex],56),BD8+'Grid_Incoming'!BE8-'Grid_Requirement'!BE8))</f>
        <v/>
      </c>
      <c r="BF8">
        <f>IF(COUNTIFS(T_StockCount[RM_Code],$A8,T_StockCount[WeekIndex],57)&gt;0,SUMIFS(T_StockCount[CountedQty],T_StockCount[RM_Code],$A8,T_StockCount[WeekIndex],57),IF((COUNTIFS(T_SelfStock[RM_Code],$A8,T_SelfStock[WeekIndex],57)&gt;0)*(COUNTIFS(T_TTAFStock[RM_Code],$A8,T_TTAFStock[WeekIndex],57)&gt;0)&gt;0,SUMIFS(T_SelfStock[Self_Qty],T_SelfStock[RM_Code],$A8,T_SelfStock[WeekIndex],57)+SUMIFS(T_TTAFStock[TTAF_Qty],T_TTAFStock[RM_Code],$A8,T_TTAFStock[WeekIndex],57),BE8+'Grid_Incoming'!BF8-'Grid_Requirement'!BF8))</f>
        <v/>
      </c>
      <c r="BG8">
        <f>IF(COUNTIFS(T_StockCount[RM_Code],$A8,T_StockCount[WeekIndex],58)&gt;0,SUMIFS(T_StockCount[CountedQty],T_StockCount[RM_Code],$A8,T_StockCount[WeekIndex],58),IF((COUNTIFS(T_SelfStock[RM_Code],$A8,T_SelfStock[WeekIndex],58)&gt;0)*(COUNTIFS(T_TTAFStock[RM_Code],$A8,T_TTAFStock[WeekIndex],58)&gt;0)&gt;0,SUMIFS(T_SelfStock[Self_Qty],T_SelfStock[RM_Code],$A8,T_SelfStock[WeekIndex],58)+SUMIFS(T_TTAFStock[TTAF_Qty],T_TTAFStock[RM_Code],$A8,T_TTAFStock[WeekIndex],58),BF8+'Grid_Incoming'!BG8-'Grid_Requirement'!BG8))</f>
        <v/>
      </c>
      <c r="BH8">
        <f>IF(COUNTIFS(T_StockCount[RM_Code],$A8,T_StockCount[WeekIndex],59)&gt;0,SUMIFS(T_StockCount[CountedQty],T_StockCount[RM_Code],$A8,T_StockCount[WeekIndex],59),IF((COUNTIFS(T_SelfStock[RM_Code],$A8,T_SelfStock[WeekIndex],59)&gt;0)*(COUNTIFS(T_TTAFStock[RM_Code],$A8,T_TTAFStock[WeekIndex],59)&gt;0)&gt;0,SUMIFS(T_SelfStock[Self_Qty],T_SelfStock[RM_Code],$A8,T_SelfStock[WeekIndex],59)+SUMIFS(T_TTAFStock[TTAF_Qty],T_TTAFStock[RM_Code],$A8,T_TTAFStock[WeekIndex],59),BG8+'Grid_Incoming'!BH8-'Grid_Requirement'!BH8))</f>
        <v/>
      </c>
      <c r="BI8">
        <f>IF(COUNTIFS(T_StockCount[RM_Code],$A8,T_StockCount[WeekIndex],60)&gt;0,SUMIFS(T_StockCount[CountedQty],T_StockCount[RM_Code],$A8,T_StockCount[WeekIndex],60),IF((COUNTIFS(T_SelfStock[RM_Code],$A8,T_SelfStock[WeekIndex],60)&gt;0)*(COUNTIFS(T_TTAFStock[RM_Code],$A8,T_TTAFStock[WeekIndex],60)&gt;0)&gt;0,SUMIFS(T_SelfStock[Self_Qty],T_SelfStock[RM_Code],$A8,T_SelfStock[WeekIndex],60)+SUMIFS(T_TTAFStock[TTAF_Qty],T_TTAFStock[RM_Code],$A8,T_TTAFStock[WeekIndex],60),BH8+'Grid_Incoming'!BI8-'Grid_Requirement'!BI8))</f>
        <v/>
      </c>
      <c r="BJ8">
        <f>IF(COUNTIFS(T_StockCount[RM_Code],$A8,T_StockCount[WeekIndex],61)&gt;0,SUMIFS(T_StockCount[CountedQty],T_StockCount[RM_Code],$A8,T_StockCount[WeekIndex],61),IF((COUNTIFS(T_SelfStock[RM_Code],$A8,T_SelfStock[WeekIndex],61)&gt;0)*(COUNTIFS(T_TTAFStock[RM_Code],$A8,T_TTAFStock[WeekIndex],61)&gt;0)&gt;0,SUMIFS(T_SelfStock[Self_Qty],T_SelfStock[RM_Code],$A8,T_SelfStock[WeekIndex],61)+SUMIFS(T_TTAFStock[TTAF_Qty],T_TTAFStock[RM_Code],$A8,T_TTAFStock[WeekIndex],61),BI8+'Grid_Incoming'!BJ8-'Grid_Requirement'!BJ8))</f>
        <v/>
      </c>
      <c r="BK8">
        <f>IF(COUNTIFS(T_StockCount[RM_Code],$A8,T_StockCount[WeekIndex],62)&gt;0,SUMIFS(T_StockCount[CountedQty],T_StockCount[RM_Code],$A8,T_StockCount[WeekIndex],62),IF((COUNTIFS(T_SelfStock[RM_Code],$A8,T_SelfStock[WeekIndex],62)&gt;0)*(COUNTIFS(T_TTAFStock[RM_Code],$A8,T_TTAFStock[WeekIndex],62)&gt;0)&gt;0,SUMIFS(T_SelfStock[Self_Qty],T_SelfStock[RM_Code],$A8,T_SelfStock[WeekIndex],62)+SUMIFS(T_TTAFStock[TTAF_Qty],T_TTAFStock[RM_Code],$A8,T_TTAFStock[WeekIndex],62),BJ8+'Grid_Incoming'!BK8-'Grid_Requirement'!BK8))</f>
        <v/>
      </c>
      <c r="BL8">
        <f>IF(COUNTIFS(T_StockCount[RM_Code],$A8,T_StockCount[WeekIndex],63)&gt;0,SUMIFS(T_StockCount[CountedQty],T_StockCount[RM_Code],$A8,T_StockCount[WeekIndex],63),IF((COUNTIFS(T_SelfStock[RM_Code],$A8,T_SelfStock[WeekIndex],63)&gt;0)*(COUNTIFS(T_TTAFStock[RM_Code],$A8,T_TTAFStock[WeekIndex],63)&gt;0)&gt;0,SUMIFS(T_SelfStock[Self_Qty],T_SelfStock[RM_Code],$A8,T_SelfStock[WeekIndex],63)+SUMIFS(T_TTAFStock[TTAF_Qty],T_TTAFStock[RM_Code],$A8,T_TTAFStock[WeekIndex],63),BK8+'Grid_Incoming'!BL8-'Grid_Requirement'!BL8))</f>
        <v/>
      </c>
      <c r="BM8">
        <f>IF(COUNTIFS(T_StockCount[RM_Code],$A8,T_StockCount[WeekIndex],64)&gt;0,SUMIFS(T_StockCount[CountedQty],T_StockCount[RM_Code],$A8,T_StockCount[WeekIndex],64),IF((COUNTIFS(T_SelfStock[RM_Code],$A8,T_SelfStock[WeekIndex],64)&gt;0)*(COUNTIFS(T_TTAFStock[RM_Code],$A8,T_TTAFStock[WeekIndex],64)&gt;0)&gt;0,SUMIFS(T_SelfStock[Self_Qty],T_SelfStock[RM_Code],$A8,T_SelfStock[WeekIndex],64)+SUMIFS(T_TTAFStock[TTAF_Qty],T_TTAFStock[RM_Code],$A8,T_TTAFStock[WeekIndex],64),BL8+'Grid_Incoming'!BM8-'Grid_Requirement'!BM8))</f>
        <v/>
      </c>
      <c r="BN8">
        <f>IF(COUNTIFS(T_StockCount[RM_Code],$A8,T_StockCount[WeekIndex],65)&gt;0,SUMIFS(T_StockCount[CountedQty],T_StockCount[RM_Code],$A8,T_StockCount[WeekIndex],65),IF((COUNTIFS(T_SelfStock[RM_Code],$A8,T_SelfStock[WeekIndex],65)&gt;0)*(COUNTIFS(T_TTAFStock[RM_Code],$A8,T_TTAFStock[WeekIndex],65)&gt;0)&gt;0,SUMIFS(T_SelfStock[Self_Qty],T_SelfStock[RM_Code],$A8,T_SelfStock[WeekIndex],65)+SUMIFS(T_TTAFStock[TTAF_Qty],T_TTAFStock[RM_Code],$A8,T_TTAFStock[WeekIndex],65),BM8+'Grid_Incoming'!BN8-'Grid_Requirement'!BN8))</f>
        <v/>
      </c>
      <c r="BO8">
        <f>IF(COUNTIFS(T_StockCount[RM_Code],$A8,T_StockCount[WeekIndex],66)&gt;0,SUMIFS(T_StockCount[CountedQty],T_StockCount[RM_Code],$A8,T_StockCount[WeekIndex],66),IF((COUNTIFS(T_SelfStock[RM_Code],$A8,T_SelfStock[WeekIndex],66)&gt;0)*(COUNTIFS(T_TTAFStock[RM_Code],$A8,T_TTAFStock[WeekIndex],66)&gt;0)&gt;0,SUMIFS(T_SelfStock[Self_Qty],T_SelfStock[RM_Code],$A8,T_SelfStock[WeekIndex],66)+SUMIFS(T_TTAFStock[TTAF_Qty],T_TTAFStock[RM_Code],$A8,T_TTAFStock[WeekIndex],66),BN8+'Grid_Incoming'!BO8-'Grid_Requirement'!BO8))</f>
        <v/>
      </c>
      <c r="BP8">
        <f>IF(COUNTIFS(T_StockCount[RM_Code],$A8,T_StockCount[WeekIndex],67)&gt;0,SUMIFS(T_StockCount[CountedQty],T_StockCount[RM_Code],$A8,T_StockCount[WeekIndex],67),IF((COUNTIFS(T_SelfStock[RM_Code],$A8,T_SelfStock[WeekIndex],67)&gt;0)*(COUNTIFS(T_TTAFStock[RM_Code],$A8,T_TTAFStock[WeekIndex],67)&gt;0)&gt;0,SUMIFS(T_SelfStock[Self_Qty],T_SelfStock[RM_Code],$A8,T_SelfStock[WeekIndex],67)+SUMIFS(T_TTAFStock[TTAF_Qty],T_TTAFStock[RM_Code],$A8,T_TTAFStock[WeekIndex],67),BO8+'Grid_Incoming'!BP8-'Grid_Requirement'!BP8))</f>
        <v/>
      </c>
      <c r="BQ8">
        <f>IF(COUNTIFS(T_StockCount[RM_Code],$A8,T_StockCount[WeekIndex],68)&gt;0,SUMIFS(T_StockCount[CountedQty],T_StockCount[RM_Code],$A8,T_StockCount[WeekIndex],68),IF((COUNTIFS(T_SelfStock[RM_Code],$A8,T_SelfStock[WeekIndex],68)&gt;0)*(COUNTIFS(T_TTAFStock[RM_Code],$A8,T_TTAFStock[WeekIndex],68)&gt;0)&gt;0,SUMIFS(T_SelfStock[Self_Qty],T_SelfStock[RM_Code],$A8,T_SelfStock[WeekIndex],68)+SUMIFS(T_TTAFStock[TTAF_Qty],T_TTAFStock[RM_Code],$A8,T_TTAFStock[WeekIndex],68),BP8+'Grid_Incoming'!BQ8-'Grid_Requirement'!BQ8))</f>
        <v/>
      </c>
      <c r="BR8">
        <f>IF(COUNTIFS(T_StockCount[RM_Code],$A8,T_StockCount[WeekIndex],69)&gt;0,SUMIFS(T_StockCount[CountedQty],T_StockCount[RM_Code],$A8,T_StockCount[WeekIndex],69),IF((COUNTIFS(T_SelfStock[RM_Code],$A8,T_SelfStock[WeekIndex],69)&gt;0)*(COUNTIFS(T_TTAFStock[RM_Code],$A8,T_TTAFStock[WeekIndex],69)&gt;0)&gt;0,SUMIFS(T_SelfStock[Self_Qty],T_SelfStock[RM_Code],$A8,T_SelfStock[WeekIndex],69)+SUMIFS(T_TTAFStock[TTAF_Qty],T_TTAFStock[RM_Code],$A8,T_TTAFStock[WeekIndex],69),BQ8+'Grid_Incoming'!BR8-'Grid_Requirement'!BR8))</f>
        <v/>
      </c>
      <c r="BS8">
        <f>IF(COUNTIFS(T_StockCount[RM_Code],$A8,T_StockCount[WeekIndex],70)&gt;0,SUMIFS(T_StockCount[CountedQty],T_StockCount[RM_Code],$A8,T_StockCount[WeekIndex],70),IF((COUNTIFS(T_SelfStock[RM_Code],$A8,T_SelfStock[WeekIndex],70)&gt;0)*(COUNTIFS(T_TTAFStock[RM_Code],$A8,T_TTAFStock[WeekIndex],70)&gt;0)&gt;0,SUMIFS(T_SelfStock[Self_Qty],T_SelfStock[RM_Code],$A8,T_SelfStock[WeekIndex],70)+SUMIFS(T_TTAFStock[TTAF_Qty],T_TTAFStock[RM_Code],$A8,T_TTAFStock[WeekIndex],70),BR8+'Grid_Incoming'!BS8-'Grid_Requirement'!BS8))</f>
        <v/>
      </c>
      <c r="BT8">
        <f>IF(COUNTIFS(T_StockCount[RM_Code],$A8,T_StockCount[WeekIndex],71)&gt;0,SUMIFS(T_StockCount[CountedQty],T_StockCount[RM_Code],$A8,T_StockCount[WeekIndex],71),IF((COUNTIFS(T_SelfStock[RM_Code],$A8,T_SelfStock[WeekIndex],71)&gt;0)*(COUNTIFS(T_TTAFStock[RM_Code],$A8,T_TTAFStock[WeekIndex],71)&gt;0)&gt;0,SUMIFS(T_SelfStock[Self_Qty],T_SelfStock[RM_Code],$A8,T_SelfStock[WeekIndex],71)+SUMIFS(T_TTAFStock[TTAF_Qty],T_TTAFStock[RM_Code],$A8,T_TTAFStock[WeekIndex],71),BS8+'Grid_Incoming'!BT8-'Grid_Requirement'!BT8))</f>
        <v/>
      </c>
      <c r="BU8">
        <f>IF(COUNTIFS(T_StockCount[RM_Code],$A8,T_StockCount[WeekIndex],72)&gt;0,SUMIFS(T_StockCount[CountedQty],T_StockCount[RM_Code],$A8,T_StockCount[WeekIndex],72),IF((COUNTIFS(T_SelfStock[RM_Code],$A8,T_SelfStock[WeekIndex],72)&gt;0)*(COUNTIFS(T_TTAFStock[RM_Code],$A8,T_TTAFStock[WeekIndex],72)&gt;0)&gt;0,SUMIFS(T_SelfStock[Self_Qty],T_SelfStock[RM_Code],$A8,T_SelfStock[WeekIndex],72)+SUMIFS(T_TTAFStock[TTAF_Qty],T_TTAFStock[RM_Code],$A8,T_TTAFStock[WeekIndex],72),BT8+'Grid_Incoming'!BU8-'Grid_Requirement'!BU8))</f>
        <v/>
      </c>
      <c r="BV8">
        <f>IF(COUNTIFS(T_StockCount[RM_Code],$A8,T_StockCount[WeekIndex],73)&gt;0,SUMIFS(T_StockCount[CountedQty],T_StockCount[RM_Code],$A8,T_StockCount[WeekIndex],73),IF((COUNTIFS(T_SelfStock[RM_Code],$A8,T_SelfStock[WeekIndex],73)&gt;0)*(COUNTIFS(T_TTAFStock[RM_Code],$A8,T_TTAFStock[WeekIndex],73)&gt;0)&gt;0,SUMIFS(T_SelfStock[Self_Qty],T_SelfStock[RM_Code],$A8,T_SelfStock[WeekIndex],73)+SUMIFS(T_TTAFStock[TTAF_Qty],T_TTAFStock[RM_Code],$A8,T_TTAFStock[WeekIndex],73),BU8+'Grid_Incoming'!BV8-'Grid_Requirement'!BV8))</f>
        <v/>
      </c>
      <c r="BW8">
        <f>IF(COUNTIFS(T_StockCount[RM_Code],$A8,T_StockCount[WeekIndex],74)&gt;0,SUMIFS(T_StockCount[CountedQty],T_StockCount[RM_Code],$A8,T_StockCount[WeekIndex],74),IF((COUNTIFS(T_SelfStock[RM_Code],$A8,T_SelfStock[WeekIndex],74)&gt;0)*(COUNTIFS(T_TTAFStock[RM_Code],$A8,T_TTAFStock[WeekIndex],74)&gt;0)&gt;0,SUMIFS(T_SelfStock[Self_Qty],T_SelfStock[RM_Code],$A8,T_SelfStock[WeekIndex],74)+SUMIFS(T_TTAFStock[TTAF_Qty],T_TTAFStock[RM_Code],$A8,T_TTAFStock[WeekIndex],74),BV8+'Grid_Incoming'!BW8-'Grid_Requirement'!BW8))</f>
        <v/>
      </c>
      <c r="BX8">
        <f>IF(COUNTIFS(T_StockCount[RM_Code],$A8,T_StockCount[WeekIndex],75)&gt;0,SUMIFS(T_StockCount[CountedQty],T_StockCount[RM_Code],$A8,T_StockCount[WeekIndex],75),IF((COUNTIFS(T_SelfStock[RM_Code],$A8,T_SelfStock[WeekIndex],75)&gt;0)*(COUNTIFS(T_TTAFStock[RM_Code],$A8,T_TTAFStock[WeekIndex],75)&gt;0)&gt;0,SUMIFS(T_SelfStock[Self_Qty],T_SelfStock[RM_Code],$A8,T_SelfStock[WeekIndex],75)+SUMIFS(T_TTAFStock[TTAF_Qty],T_TTAFStock[RM_Code],$A8,T_TTAFStock[WeekIndex],75),BW8+'Grid_Incoming'!BX8-'Grid_Requirement'!BX8))</f>
        <v/>
      </c>
      <c r="BY8">
        <f>IF(COUNTIFS(T_StockCount[RM_Code],$A8,T_StockCount[WeekIndex],76)&gt;0,SUMIFS(T_StockCount[CountedQty],T_StockCount[RM_Code],$A8,T_StockCount[WeekIndex],76),IF((COUNTIFS(T_SelfStock[RM_Code],$A8,T_SelfStock[WeekIndex],76)&gt;0)*(COUNTIFS(T_TTAFStock[RM_Code],$A8,T_TTAFStock[WeekIndex],76)&gt;0)&gt;0,SUMIFS(T_SelfStock[Self_Qty],T_SelfStock[RM_Code],$A8,T_SelfStock[WeekIndex],76)+SUMIFS(T_TTAFStock[TTAF_Qty],T_TTAFStock[RM_Code],$A8,T_TTAFStock[WeekIndex],76),BX8+'Grid_Incoming'!BY8-'Grid_Requirement'!BY8))</f>
        <v/>
      </c>
      <c r="BZ8">
        <f>IF(COUNTIFS(T_StockCount[RM_Code],$A8,T_StockCount[WeekIndex],77)&gt;0,SUMIFS(T_StockCount[CountedQty],T_StockCount[RM_Code],$A8,T_StockCount[WeekIndex],77),IF((COUNTIFS(T_SelfStock[RM_Code],$A8,T_SelfStock[WeekIndex],77)&gt;0)*(COUNTIFS(T_TTAFStock[RM_Code],$A8,T_TTAFStock[WeekIndex],77)&gt;0)&gt;0,SUMIFS(T_SelfStock[Self_Qty],T_SelfStock[RM_Code],$A8,T_SelfStock[WeekIndex],77)+SUMIFS(T_TTAFStock[TTAF_Qty],T_TTAFStock[RM_Code],$A8,T_TTAFStock[WeekIndex],77),BY8+'Grid_Incoming'!BZ8-'Grid_Requirement'!BZ8))</f>
        <v/>
      </c>
      <c r="CA8">
        <f>IF(COUNTIFS(T_StockCount[RM_Code],$A8,T_StockCount[WeekIndex],78)&gt;0,SUMIFS(T_StockCount[CountedQty],T_StockCount[RM_Code],$A8,T_StockCount[WeekIndex],78),IF((COUNTIFS(T_SelfStock[RM_Code],$A8,T_SelfStock[WeekIndex],78)&gt;0)*(COUNTIFS(T_TTAFStock[RM_Code],$A8,T_TTAFStock[WeekIndex],78)&gt;0)&gt;0,SUMIFS(T_SelfStock[Self_Qty],T_SelfStock[RM_Code],$A8,T_SelfStock[WeekIndex],78)+SUMIFS(T_TTAFStock[TTAF_Qty],T_TTAFStock[RM_Code],$A8,T_TTAFStock[WeekIndex],78),BZ8+'Grid_Incoming'!CA8-'Grid_Requirement'!CA8))</f>
        <v/>
      </c>
      <c r="CB8">
        <f>IF(COUNTIFS(T_StockCount[RM_Code],$A8,T_StockCount[WeekIndex],79)&gt;0,SUMIFS(T_StockCount[CountedQty],T_StockCount[RM_Code],$A8,T_StockCount[WeekIndex],79),IF((COUNTIFS(T_SelfStock[RM_Code],$A8,T_SelfStock[WeekIndex],79)&gt;0)*(COUNTIFS(T_TTAFStock[RM_Code],$A8,T_TTAFStock[WeekIndex],79)&gt;0)&gt;0,SUMIFS(T_SelfStock[Self_Qty],T_SelfStock[RM_Code],$A8,T_SelfStock[WeekIndex],79)+SUMIFS(T_TTAFStock[TTAF_Qty],T_TTAFStock[RM_Code],$A8,T_TTAFStock[WeekIndex],79),CA8+'Grid_Incoming'!CB8-'Grid_Requirement'!CB8))</f>
        <v/>
      </c>
      <c r="CC8">
        <f>IF(COUNTIFS(T_StockCount[RM_Code],$A8,T_StockCount[WeekIndex],80)&gt;0,SUMIFS(T_StockCount[CountedQty],T_StockCount[RM_Code],$A8,T_StockCount[WeekIndex],80),IF((COUNTIFS(T_SelfStock[RM_Code],$A8,T_SelfStock[WeekIndex],80)&gt;0)*(COUNTIFS(T_TTAFStock[RM_Code],$A8,T_TTAFStock[WeekIndex],80)&gt;0)&gt;0,SUMIFS(T_SelfStock[Self_Qty],T_SelfStock[RM_Code],$A8,T_SelfStock[WeekIndex],80)+SUMIFS(T_TTAFStock[TTAF_Qty],T_TTAFStock[RM_Code],$A8,T_TTAFStock[WeekIndex],80),CB8+'Grid_Incoming'!CC8-'Grid_Requirement'!CC8))</f>
        <v/>
      </c>
      <c r="CD8">
        <f>IF(COUNTIFS(T_StockCount[RM_Code],$A8,T_StockCount[WeekIndex],81)&gt;0,SUMIFS(T_StockCount[CountedQty],T_StockCount[RM_Code],$A8,T_StockCount[WeekIndex],81),IF((COUNTIFS(T_SelfStock[RM_Code],$A8,T_SelfStock[WeekIndex],81)&gt;0)*(COUNTIFS(T_TTAFStock[RM_Code],$A8,T_TTAFStock[WeekIndex],81)&gt;0)&gt;0,SUMIFS(T_SelfStock[Self_Qty],T_SelfStock[RM_Code],$A8,T_SelfStock[WeekIndex],81)+SUMIFS(T_TTAFStock[TTAF_Qty],T_TTAFStock[RM_Code],$A8,T_TTAFStock[WeekIndex],81),CC8+'Grid_Incoming'!CD8-'Grid_Requirement'!CD8))</f>
        <v/>
      </c>
      <c r="CE8">
        <f>IF(COUNTIFS(T_StockCount[RM_Code],$A8,T_StockCount[WeekIndex],82)&gt;0,SUMIFS(T_StockCount[CountedQty],T_StockCount[RM_Code],$A8,T_StockCount[WeekIndex],82),IF((COUNTIFS(T_SelfStock[RM_Code],$A8,T_SelfStock[WeekIndex],82)&gt;0)*(COUNTIFS(T_TTAFStock[RM_Code],$A8,T_TTAFStock[WeekIndex],82)&gt;0)&gt;0,SUMIFS(T_SelfStock[Self_Qty],T_SelfStock[RM_Code],$A8,T_SelfStock[WeekIndex],82)+SUMIFS(T_TTAFStock[TTAF_Qty],T_TTAFStock[RM_Code],$A8,T_TTAFStock[WeekIndex],82),CD8+'Grid_Incoming'!CE8-'Grid_Requirement'!CE8))</f>
        <v/>
      </c>
      <c r="CF8">
        <f>IF(COUNTIFS(T_StockCount[RM_Code],$A8,T_StockCount[WeekIndex],83)&gt;0,SUMIFS(T_StockCount[CountedQty],T_StockCount[RM_Code],$A8,T_StockCount[WeekIndex],83),IF((COUNTIFS(T_SelfStock[RM_Code],$A8,T_SelfStock[WeekIndex],83)&gt;0)*(COUNTIFS(T_TTAFStock[RM_Code],$A8,T_TTAFStock[WeekIndex],83)&gt;0)&gt;0,SUMIFS(T_SelfStock[Self_Qty],T_SelfStock[RM_Code],$A8,T_SelfStock[WeekIndex],83)+SUMIFS(T_TTAFStock[TTAF_Qty],T_TTAFStock[RM_Code],$A8,T_TTAFStock[WeekIndex],83),CE8+'Grid_Incoming'!CF8-'Grid_Requirement'!CF8))</f>
        <v/>
      </c>
      <c r="CG8">
        <f>IF(COUNTIFS(T_StockCount[RM_Code],$A8,T_StockCount[WeekIndex],84)&gt;0,SUMIFS(T_StockCount[CountedQty],T_StockCount[RM_Code],$A8,T_StockCount[WeekIndex],84),IF((COUNTIFS(T_SelfStock[RM_Code],$A8,T_SelfStock[WeekIndex],84)&gt;0)*(COUNTIFS(T_TTAFStock[RM_Code],$A8,T_TTAFStock[WeekIndex],84)&gt;0)&gt;0,SUMIFS(T_SelfStock[Self_Qty],T_SelfStock[RM_Code],$A8,T_SelfStock[WeekIndex],84)+SUMIFS(T_TTAFStock[TTAF_Qty],T_TTAFStock[RM_Code],$A8,T_TTAFStock[WeekIndex],84),CF8+'Grid_Incoming'!CG8-'Grid_Requirement'!CG8))</f>
        <v/>
      </c>
      <c r="CH8">
        <f>IF(COUNTIFS(T_StockCount[RM_Code],$A8,T_StockCount[WeekIndex],85)&gt;0,SUMIFS(T_StockCount[CountedQty],T_StockCount[RM_Code],$A8,T_StockCount[WeekIndex],85),IF((COUNTIFS(T_SelfStock[RM_Code],$A8,T_SelfStock[WeekIndex],85)&gt;0)*(COUNTIFS(T_TTAFStock[RM_Code],$A8,T_TTAFStock[WeekIndex],85)&gt;0)&gt;0,SUMIFS(T_SelfStock[Self_Qty],T_SelfStock[RM_Code],$A8,T_SelfStock[WeekIndex],85)+SUMIFS(T_TTAFStock[TTAF_Qty],T_TTAFStock[RM_Code],$A8,T_TTAFStock[WeekIndex],85),CG8+'Grid_Incoming'!CH8-'Grid_Requirement'!CH8))</f>
        <v/>
      </c>
      <c r="CI8">
        <f>IF(COUNTIFS(T_StockCount[RM_Code],$A8,T_StockCount[WeekIndex],86)&gt;0,SUMIFS(T_StockCount[CountedQty],T_StockCount[RM_Code],$A8,T_StockCount[WeekIndex],86),IF((COUNTIFS(T_SelfStock[RM_Code],$A8,T_SelfStock[WeekIndex],86)&gt;0)*(COUNTIFS(T_TTAFStock[RM_Code],$A8,T_TTAFStock[WeekIndex],86)&gt;0)&gt;0,SUMIFS(T_SelfStock[Self_Qty],T_SelfStock[RM_Code],$A8,T_SelfStock[WeekIndex],86)+SUMIFS(T_TTAFStock[TTAF_Qty],T_TTAFStock[RM_Code],$A8,T_TTAFStock[WeekIndex],86),CH8+'Grid_Incoming'!CI8-'Grid_Requirement'!CI8))</f>
        <v/>
      </c>
      <c r="CJ8">
        <f>IF(COUNTIFS(T_StockCount[RM_Code],$A8,T_StockCount[WeekIndex],87)&gt;0,SUMIFS(T_StockCount[CountedQty],T_StockCount[RM_Code],$A8,T_StockCount[WeekIndex],87),IF((COUNTIFS(T_SelfStock[RM_Code],$A8,T_SelfStock[WeekIndex],87)&gt;0)*(COUNTIFS(T_TTAFStock[RM_Code],$A8,T_TTAFStock[WeekIndex],87)&gt;0)&gt;0,SUMIFS(T_SelfStock[Self_Qty],T_SelfStock[RM_Code],$A8,T_SelfStock[WeekIndex],87)+SUMIFS(T_TTAFStock[TTAF_Qty],T_TTAFStock[RM_Code],$A8,T_TTAFStock[WeekIndex],87),CI8+'Grid_Incoming'!CJ8-'Grid_Requirement'!CJ8))</f>
        <v/>
      </c>
      <c r="CK8">
        <f>IF(COUNTIFS(T_StockCount[RM_Code],$A8,T_StockCount[WeekIndex],88)&gt;0,SUMIFS(T_StockCount[CountedQty],T_StockCount[RM_Code],$A8,T_StockCount[WeekIndex],88),IF((COUNTIFS(T_SelfStock[RM_Code],$A8,T_SelfStock[WeekIndex],88)&gt;0)*(COUNTIFS(T_TTAFStock[RM_Code],$A8,T_TTAFStock[WeekIndex],88)&gt;0)&gt;0,SUMIFS(T_SelfStock[Self_Qty],T_SelfStock[RM_Code],$A8,T_SelfStock[WeekIndex],88)+SUMIFS(T_TTAFStock[TTAF_Qty],T_TTAFStock[RM_Code],$A8,T_TTAFStock[WeekIndex],88),CJ8+'Grid_Incoming'!CK8-'Grid_Requirement'!CK8))</f>
        <v/>
      </c>
      <c r="CL8">
        <f>IF(COUNTIFS(T_StockCount[RM_Code],$A8,T_StockCount[WeekIndex],89)&gt;0,SUMIFS(T_StockCount[CountedQty],T_StockCount[RM_Code],$A8,T_StockCount[WeekIndex],89),IF((COUNTIFS(T_SelfStock[RM_Code],$A8,T_SelfStock[WeekIndex],89)&gt;0)*(COUNTIFS(T_TTAFStock[RM_Code],$A8,T_TTAFStock[WeekIndex],89)&gt;0)&gt;0,SUMIFS(T_SelfStock[Self_Qty],T_SelfStock[RM_Code],$A8,T_SelfStock[WeekIndex],89)+SUMIFS(T_TTAFStock[TTAF_Qty],T_TTAFStock[RM_Code],$A8,T_TTAFStock[WeekIndex],89),CK8+'Grid_Incoming'!CL8-'Grid_Requirement'!CL8))</f>
        <v/>
      </c>
      <c r="CM8">
        <f>IF(COUNTIFS(T_StockCount[RM_Code],$A8,T_StockCount[WeekIndex],90)&gt;0,SUMIFS(T_StockCount[CountedQty],T_StockCount[RM_Code],$A8,T_StockCount[WeekIndex],90),IF((COUNTIFS(T_SelfStock[RM_Code],$A8,T_SelfStock[WeekIndex],90)&gt;0)*(COUNTIFS(T_TTAFStock[RM_Code],$A8,T_TTAFStock[WeekIndex],90)&gt;0)&gt;0,SUMIFS(T_SelfStock[Self_Qty],T_SelfStock[RM_Code],$A8,T_SelfStock[WeekIndex],90)+SUMIFS(T_TTAFStock[TTAF_Qty],T_TTAFStock[RM_Code],$A8,T_TTAFStock[WeekIndex],90),CL8+'Grid_Incoming'!CM8-'Grid_Requirement'!CM8))</f>
        <v/>
      </c>
      <c r="CN8">
        <f>IF(COUNTIFS(T_StockCount[RM_Code],$A8,T_StockCount[WeekIndex],91)&gt;0,SUMIFS(T_StockCount[CountedQty],T_StockCount[RM_Code],$A8,T_StockCount[WeekIndex],91),IF((COUNTIFS(T_SelfStock[RM_Code],$A8,T_SelfStock[WeekIndex],91)&gt;0)*(COUNTIFS(T_TTAFStock[RM_Code],$A8,T_TTAFStock[WeekIndex],91)&gt;0)&gt;0,SUMIFS(T_SelfStock[Self_Qty],T_SelfStock[RM_Code],$A8,T_SelfStock[WeekIndex],91)+SUMIFS(T_TTAFStock[TTAF_Qty],T_TTAFStock[RM_Code],$A8,T_TTAFStock[WeekIndex],91),CM8+'Grid_Incoming'!CN8-'Grid_Requirement'!CN8))</f>
        <v/>
      </c>
      <c r="CO8">
        <f>IF(COUNTIFS(T_StockCount[RM_Code],$A8,T_StockCount[WeekIndex],92)&gt;0,SUMIFS(T_StockCount[CountedQty],T_StockCount[RM_Code],$A8,T_StockCount[WeekIndex],92),IF((COUNTIFS(T_SelfStock[RM_Code],$A8,T_SelfStock[WeekIndex],92)&gt;0)*(COUNTIFS(T_TTAFStock[RM_Code],$A8,T_TTAFStock[WeekIndex],92)&gt;0)&gt;0,SUMIFS(T_SelfStock[Self_Qty],T_SelfStock[RM_Code],$A8,T_SelfStock[WeekIndex],92)+SUMIFS(T_TTAFStock[TTAF_Qty],T_TTAFStock[RM_Code],$A8,T_TTAFStock[WeekIndex],92),CN8+'Grid_Incoming'!CO8-'Grid_Requirement'!CO8))</f>
        <v/>
      </c>
      <c r="CP8">
        <f>IF(COUNTIFS(T_StockCount[RM_Code],$A8,T_StockCount[WeekIndex],93)&gt;0,SUMIFS(T_StockCount[CountedQty],T_StockCount[RM_Code],$A8,T_StockCount[WeekIndex],93),IF((COUNTIFS(T_SelfStock[RM_Code],$A8,T_SelfStock[WeekIndex],93)&gt;0)*(COUNTIFS(T_TTAFStock[RM_Code],$A8,T_TTAFStock[WeekIndex],93)&gt;0)&gt;0,SUMIFS(T_SelfStock[Self_Qty],T_SelfStock[RM_Code],$A8,T_SelfStock[WeekIndex],93)+SUMIFS(T_TTAFStock[TTAF_Qty],T_TTAFStock[RM_Code],$A8,T_TTAFStock[WeekIndex],93),CO8+'Grid_Incoming'!CP8-'Grid_Requirement'!CP8))</f>
        <v/>
      </c>
      <c r="CQ8">
        <f>IF(COUNTIFS(T_StockCount[RM_Code],$A8,T_StockCount[WeekIndex],94)&gt;0,SUMIFS(T_StockCount[CountedQty],T_StockCount[RM_Code],$A8,T_StockCount[WeekIndex],94),IF((COUNTIFS(T_SelfStock[RM_Code],$A8,T_SelfStock[WeekIndex],94)&gt;0)*(COUNTIFS(T_TTAFStock[RM_Code],$A8,T_TTAFStock[WeekIndex],94)&gt;0)&gt;0,SUMIFS(T_SelfStock[Self_Qty],T_SelfStock[RM_Code],$A8,T_SelfStock[WeekIndex],94)+SUMIFS(T_TTAFStock[TTAF_Qty],T_TTAFStock[RM_Code],$A8,T_TTAFStock[WeekIndex],94),CP8+'Grid_Incoming'!CQ8-'Grid_Requirement'!CQ8))</f>
        <v/>
      </c>
      <c r="CR8">
        <f>IF(COUNTIFS(T_StockCount[RM_Code],$A8,T_StockCount[WeekIndex],95)&gt;0,SUMIFS(T_StockCount[CountedQty],T_StockCount[RM_Code],$A8,T_StockCount[WeekIndex],95),IF((COUNTIFS(T_SelfStock[RM_Code],$A8,T_SelfStock[WeekIndex],95)&gt;0)*(COUNTIFS(T_TTAFStock[RM_Code],$A8,T_TTAFStock[WeekIndex],95)&gt;0)&gt;0,SUMIFS(T_SelfStock[Self_Qty],T_SelfStock[RM_Code],$A8,T_SelfStock[WeekIndex],95)+SUMIFS(T_TTAFStock[TTAF_Qty],T_TTAFStock[RM_Code],$A8,T_TTAFStock[WeekIndex],95),CQ8+'Grid_Incoming'!CR8-'Grid_Requirement'!CR8))</f>
        <v/>
      </c>
      <c r="CS8">
        <f>IF(COUNTIFS(T_StockCount[RM_Code],$A8,T_StockCount[WeekIndex],96)&gt;0,SUMIFS(T_StockCount[CountedQty],T_StockCount[RM_Code],$A8,T_StockCount[WeekIndex],96),IF((COUNTIFS(T_SelfStock[RM_Code],$A8,T_SelfStock[WeekIndex],96)&gt;0)*(COUNTIFS(T_TTAFStock[RM_Code],$A8,T_TTAFStock[WeekIndex],96)&gt;0)&gt;0,SUMIFS(T_SelfStock[Self_Qty],T_SelfStock[RM_Code],$A8,T_SelfStock[WeekIndex],96)+SUMIFS(T_TTAFStock[TTAF_Qty],T_TTAFStock[RM_Code],$A8,T_TTAFStock[WeekIndex],96),CR8+'Grid_Incoming'!CS8-'Grid_Requirement'!CS8))</f>
        <v/>
      </c>
      <c r="CT8">
        <f>IF(COUNTIFS(T_StockCount[RM_Code],$A8,T_StockCount[WeekIndex],97)&gt;0,SUMIFS(T_StockCount[CountedQty],T_StockCount[RM_Code],$A8,T_StockCount[WeekIndex],97),IF((COUNTIFS(T_SelfStock[RM_Code],$A8,T_SelfStock[WeekIndex],97)&gt;0)*(COUNTIFS(T_TTAFStock[RM_Code],$A8,T_TTAFStock[WeekIndex],97)&gt;0)&gt;0,SUMIFS(T_SelfStock[Self_Qty],T_SelfStock[RM_Code],$A8,T_SelfStock[WeekIndex],97)+SUMIFS(T_TTAFStock[TTAF_Qty],T_TTAFStock[RM_Code],$A8,T_TTAFStock[WeekIndex],97),CS8+'Grid_Incoming'!CT8-'Grid_Requirement'!CT8))</f>
        <v/>
      </c>
      <c r="CU8">
        <f>IF(COUNTIFS(T_StockCount[RM_Code],$A8,T_StockCount[WeekIndex],98)&gt;0,SUMIFS(T_StockCount[CountedQty],T_StockCount[RM_Code],$A8,T_StockCount[WeekIndex],98),IF((COUNTIFS(T_SelfStock[RM_Code],$A8,T_SelfStock[WeekIndex],98)&gt;0)*(COUNTIFS(T_TTAFStock[RM_Code],$A8,T_TTAFStock[WeekIndex],98)&gt;0)&gt;0,SUMIFS(T_SelfStock[Self_Qty],T_SelfStock[RM_Code],$A8,T_SelfStock[WeekIndex],98)+SUMIFS(T_TTAFStock[TTAF_Qty],T_TTAFStock[RM_Code],$A8,T_TTAFStock[WeekIndex],98),CT8+'Grid_Incoming'!CU8-'Grid_Requirement'!CU8))</f>
        <v/>
      </c>
      <c r="CV8">
        <f>IF(COUNTIFS(T_StockCount[RM_Code],$A8,T_StockCount[WeekIndex],99)&gt;0,SUMIFS(T_StockCount[CountedQty],T_StockCount[RM_Code],$A8,T_StockCount[WeekIndex],99),IF((COUNTIFS(T_SelfStock[RM_Code],$A8,T_SelfStock[WeekIndex],99)&gt;0)*(COUNTIFS(T_TTAFStock[RM_Code],$A8,T_TTAFStock[WeekIndex],99)&gt;0)&gt;0,SUMIFS(T_SelfStock[Self_Qty],T_SelfStock[RM_Code],$A8,T_SelfStock[WeekIndex],99)+SUMIFS(T_TTAFStock[TTAF_Qty],T_TTAFStock[RM_Code],$A8,T_TTAFStock[WeekIndex],99),CU8+'Grid_Incoming'!CV8-'Grid_Requirement'!CV8))</f>
        <v/>
      </c>
      <c r="CW8">
        <f>IF(COUNTIFS(T_StockCount[RM_Code],$A8,T_StockCount[WeekIndex],100)&gt;0,SUMIFS(T_StockCount[CountedQty],T_StockCount[RM_Code],$A8,T_StockCount[WeekIndex],100),IF((COUNTIFS(T_SelfStock[RM_Code],$A8,T_SelfStock[WeekIndex],100)&gt;0)*(COUNTIFS(T_TTAFStock[RM_Code],$A8,T_TTAFStock[WeekIndex],100)&gt;0)&gt;0,SUMIFS(T_SelfStock[Self_Qty],T_SelfStock[RM_Code],$A8,T_SelfStock[WeekIndex],100)+SUMIFS(T_TTAFStock[TTAF_Qty],T_TTAFStock[RM_Code],$A8,T_TTAFStock[WeekIndex],100),CV8+'Grid_Incoming'!CW8-'Grid_Requirement'!CW8))</f>
        <v/>
      </c>
      <c r="CX8">
        <f>IF(COUNTIFS(T_StockCount[RM_Code],$A8,T_StockCount[WeekIndex],101)&gt;0,SUMIFS(T_StockCount[CountedQty],T_StockCount[RM_Code],$A8,T_StockCount[WeekIndex],101),IF((COUNTIFS(T_SelfStock[RM_Code],$A8,T_SelfStock[WeekIndex],101)&gt;0)*(COUNTIFS(T_TTAFStock[RM_Code],$A8,T_TTAFStock[WeekIndex],101)&gt;0)&gt;0,SUMIFS(T_SelfStock[Self_Qty],T_SelfStock[RM_Code],$A8,T_SelfStock[WeekIndex],101)+SUMIFS(T_TTAFStock[TTAF_Qty],T_TTAFStock[RM_Code],$A8,T_TTAFStock[WeekIndex],101),CW8+'Grid_Incoming'!CX8-'Grid_Requirement'!CX8))</f>
        <v/>
      </c>
      <c r="CY8">
        <f>IF(COUNTIFS(T_StockCount[RM_Code],$A8,T_StockCount[WeekIndex],102)&gt;0,SUMIFS(T_StockCount[CountedQty],T_StockCount[RM_Code],$A8,T_StockCount[WeekIndex],102),IF((COUNTIFS(T_SelfStock[RM_Code],$A8,T_SelfStock[WeekIndex],102)&gt;0)*(COUNTIFS(T_TTAFStock[RM_Code],$A8,T_TTAFStock[WeekIndex],102)&gt;0)&gt;0,SUMIFS(T_SelfStock[Self_Qty],T_SelfStock[RM_Code],$A8,T_SelfStock[WeekIndex],102)+SUMIFS(T_TTAFStock[TTAF_Qty],T_TTAFStock[RM_Code],$A8,T_TTAFStock[WeekIndex],102),CX8+'Grid_Incoming'!CY8-'Grid_Requirement'!CY8))</f>
        <v/>
      </c>
      <c r="CZ8">
        <f>IF(COUNTIFS(T_StockCount[RM_Code],$A8,T_StockCount[WeekIndex],103)&gt;0,SUMIFS(T_StockCount[CountedQty],T_StockCount[RM_Code],$A8,T_StockCount[WeekIndex],103),IF((COUNTIFS(T_SelfStock[RM_Code],$A8,T_SelfStock[WeekIndex],103)&gt;0)*(COUNTIFS(T_TTAFStock[RM_Code],$A8,T_TTAFStock[WeekIndex],103)&gt;0)&gt;0,SUMIFS(T_SelfStock[Self_Qty],T_SelfStock[RM_Code],$A8,T_SelfStock[WeekIndex],103)+SUMIFS(T_TTAFStock[TTAF_Qty],T_TTAFStock[RM_Code],$A8,T_TTAFStock[WeekIndex],103),CY8+'Grid_Incoming'!CZ8-'Grid_Requirement'!CZ8))</f>
        <v/>
      </c>
      <c r="DA8">
        <f>IF(COUNTIFS(T_StockCount[RM_Code],$A8,T_StockCount[WeekIndex],104)&gt;0,SUMIFS(T_StockCount[CountedQty],T_StockCount[RM_Code],$A8,T_StockCount[WeekIndex],104),IF((COUNTIFS(T_SelfStock[RM_Code],$A8,T_SelfStock[WeekIndex],104)&gt;0)*(COUNTIFS(T_TTAFStock[RM_Code],$A8,T_TTAFStock[WeekIndex],104)&gt;0)&gt;0,SUMIFS(T_SelfStock[Self_Qty],T_SelfStock[RM_Code],$A8,T_SelfStock[WeekIndex],104)+SUMIFS(T_TTAFStock[TTAF_Qty],T_TTAFStock[RM_Code],$A8,T_TTAFStock[WeekIndex],104),CZ8+'Grid_Incoming'!DA8-'Grid_Requirement'!DA8))</f>
        <v/>
      </c>
    </row>
    <row r="9">
      <c r="A9" t="inlineStr">
        <is>
          <t>CHEM-1720</t>
        </is>
      </c>
      <c r="B9">
        <f>IF(COUNTIFS(T_StockCount[RM_Code],$A9,T_StockCount[WeekIndex],1)&gt;0,SUMIFS(T_StockCount[CountedQty],T_StockCount[RM_Code],$A9,T_StockCount[WeekIndex],1),IF((COUNTIFS(T_SelfStock[RM_Code],$A9,T_SelfStock[WeekIndex],1)&gt;0)*(COUNTIFS(T_TTAFStock[RM_Code],$A9,T_TTAFStock[WeekIndex],1)&gt;0)&gt;0,SUMIFS(T_SelfStock[Self_Qty],T_SelfStock[RM_Code],$A9,T_SelfStock[WeekIndex],1)+SUMIFS(T_TTAFStock[TTAF_Qty],T_TTAFStock[RM_Code],$A9,T_TTAFStock[WeekIndex],1),IFERROR(INDEX(T_OpeningStock[Opening_Qty],MATCH($A9,T_OpeningStock[RM_Code],0)),0)+'Grid_Incoming'!B9-'Grid_Requirement'!B9))</f>
        <v/>
      </c>
      <c r="C9">
        <f>IF(COUNTIFS(T_StockCount[RM_Code],$A9,T_StockCount[WeekIndex],2)&gt;0,SUMIFS(T_StockCount[CountedQty],T_StockCount[RM_Code],$A9,T_StockCount[WeekIndex],2),IF((COUNTIFS(T_SelfStock[RM_Code],$A9,T_SelfStock[WeekIndex],2)&gt;0)*(COUNTIFS(T_TTAFStock[RM_Code],$A9,T_TTAFStock[WeekIndex],2)&gt;0)&gt;0,SUMIFS(T_SelfStock[Self_Qty],T_SelfStock[RM_Code],$A9,T_SelfStock[WeekIndex],2)+SUMIFS(T_TTAFStock[TTAF_Qty],T_TTAFStock[RM_Code],$A9,T_TTAFStock[WeekIndex],2),B9+'Grid_Incoming'!C9-'Grid_Requirement'!C9))</f>
        <v/>
      </c>
      <c r="D9">
        <f>IF(COUNTIFS(T_StockCount[RM_Code],$A9,T_StockCount[WeekIndex],3)&gt;0,SUMIFS(T_StockCount[CountedQty],T_StockCount[RM_Code],$A9,T_StockCount[WeekIndex],3),IF((COUNTIFS(T_SelfStock[RM_Code],$A9,T_SelfStock[WeekIndex],3)&gt;0)*(COUNTIFS(T_TTAFStock[RM_Code],$A9,T_TTAFStock[WeekIndex],3)&gt;0)&gt;0,SUMIFS(T_SelfStock[Self_Qty],T_SelfStock[RM_Code],$A9,T_SelfStock[WeekIndex],3)+SUMIFS(T_TTAFStock[TTAF_Qty],T_TTAFStock[RM_Code],$A9,T_TTAFStock[WeekIndex],3),C9+'Grid_Incoming'!D9-'Grid_Requirement'!D9))</f>
        <v/>
      </c>
      <c r="E9">
        <f>IF(COUNTIFS(T_StockCount[RM_Code],$A9,T_StockCount[WeekIndex],4)&gt;0,SUMIFS(T_StockCount[CountedQty],T_StockCount[RM_Code],$A9,T_StockCount[WeekIndex],4),IF((COUNTIFS(T_SelfStock[RM_Code],$A9,T_SelfStock[WeekIndex],4)&gt;0)*(COUNTIFS(T_TTAFStock[RM_Code],$A9,T_TTAFStock[WeekIndex],4)&gt;0)&gt;0,SUMIFS(T_SelfStock[Self_Qty],T_SelfStock[RM_Code],$A9,T_SelfStock[WeekIndex],4)+SUMIFS(T_TTAFStock[TTAF_Qty],T_TTAFStock[RM_Code],$A9,T_TTAFStock[WeekIndex],4),D9+'Grid_Incoming'!E9-'Grid_Requirement'!E9))</f>
        <v/>
      </c>
      <c r="F9">
        <f>IF(COUNTIFS(T_StockCount[RM_Code],$A9,T_StockCount[WeekIndex],5)&gt;0,SUMIFS(T_StockCount[CountedQty],T_StockCount[RM_Code],$A9,T_StockCount[WeekIndex],5),IF((COUNTIFS(T_SelfStock[RM_Code],$A9,T_SelfStock[WeekIndex],5)&gt;0)*(COUNTIFS(T_TTAFStock[RM_Code],$A9,T_TTAFStock[WeekIndex],5)&gt;0)&gt;0,SUMIFS(T_SelfStock[Self_Qty],T_SelfStock[RM_Code],$A9,T_SelfStock[WeekIndex],5)+SUMIFS(T_TTAFStock[TTAF_Qty],T_TTAFStock[RM_Code],$A9,T_TTAFStock[WeekIndex],5),E9+'Grid_Incoming'!F9-'Grid_Requirement'!F9))</f>
        <v/>
      </c>
      <c r="G9">
        <f>IF(COUNTIFS(T_StockCount[RM_Code],$A9,T_StockCount[WeekIndex],6)&gt;0,SUMIFS(T_StockCount[CountedQty],T_StockCount[RM_Code],$A9,T_StockCount[WeekIndex],6),IF((COUNTIFS(T_SelfStock[RM_Code],$A9,T_SelfStock[WeekIndex],6)&gt;0)*(COUNTIFS(T_TTAFStock[RM_Code],$A9,T_TTAFStock[WeekIndex],6)&gt;0)&gt;0,SUMIFS(T_SelfStock[Self_Qty],T_SelfStock[RM_Code],$A9,T_SelfStock[WeekIndex],6)+SUMIFS(T_TTAFStock[TTAF_Qty],T_TTAFStock[RM_Code],$A9,T_TTAFStock[WeekIndex],6),F9+'Grid_Incoming'!G9-'Grid_Requirement'!G9))</f>
        <v/>
      </c>
      <c r="H9">
        <f>IF(COUNTIFS(T_StockCount[RM_Code],$A9,T_StockCount[WeekIndex],7)&gt;0,SUMIFS(T_StockCount[CountedQty],T_StockCount[RM_Code],$A9,T_StockCount[WeekIndex],7),IF((COUNTIFS(T_SelfStock[RM_Code],$A9,T_SelfStock[WeekIndex],7)&gt;0)*(COUNTIFS(T_TTAFStock[RM_Code],$A9,T_TTAFStock[WeekIndex],7)&gt;0)&gt;0,SUMIFS(T_SelfStock[Self_Qty],T_SelfStock[RM_Code],$A9,T_SelfStock[WeekIndex],7)+SUMIFS(T_TTAFStock[TTAF_Qty],T_TTAFStock[RM_Code],$A9,T_TTAFStock[WeekIndex],7),G9+'Grid_Incoming'!H9-'Grid_Requirement'!H9))</f>
        <v/>
      </c>
      <c r="I9">
        <f>IF(COUNTIFS(T_StockCount[RM_Code],$A9,T_StockCount[WeekIndex],8)&gt;0,SUMIFS(T_StockCount[CountedQty],T_StockCount[RM_Code],$A9,T_StockCount[WeekIndex],8),IF((COUNTIFS(T_SelfStock[RM_Code],$A9,T_SelfStock[WeekIndex],8)&gt;0)*(COUNTIFS(T_TTAFStock[RM_Code],$A9,T_TTAFStock[WeekIndex],8)&gt;0)&gt;0,SUMIFS(T_SelfStock[Self_Qty],T_SelfStock[RM_Code],$A9,T_SelfStock[WeekIndex],8)+SUMIFS(T_TTAFStock[TTAF_Qty],T_TTAFStock[RM_Code],$A9,T_TTAFStock[WeekIndex],8),H9+'Grid_Incoming'!I9-'Grid_Requirement'!I9))</f>
        <v/>
      </c>
      <c r="J9">
        <f>IF(COUNTIFS(T_StockCount[RM_Code],$A9,T_StockCount[WeekIndex],9)&gt;0,SUMIFS(T_StockCount[CountedQty],T_StockCount[RM_Code],$A9,T_StockCount[WeekIndex],9),IF((COUNTIFS(T_SelfStock[RM_Code],$A9,T_SelfStock[WeekIndex],9)&gt;0)*(COUNTIFS(T_TTAFStock[RM_Code],$A9,T_TTAFStock[WeekIndex],9)&gt;0)&gt;0,SUMIFS(T_SelfStock[Self_Qty],T_SelfStock[RM_Code],$A9,T_SelfStock[WeekIndex],9)+SUMIFS(T_TTAFStock[TTAF_Qty],T_TTAFStock[RM_Code],$A9,T_TTAFStock[WeekIndex],9),I9+'Grid_Incoming'!J9-'Grid_Requirement'!J9))</f>
        <v/>
      </c>
      <c r="K9">
        <f>IF(COUNTIFS(T_StockCount[RM_Code],$A9,T_StockCount[WeekIndex],10)&gt;0,SUMIFS(T_StockCount[CountedQty],T_StockCount[RM_Code],$A9,T_StockCount[WeekIndex],10),IF((COUNTIFS(T_SelfStock[RM_Code],$A9,T_SelfStock[WeekIndex],10)&gt;0)*(COUNTIFS(T_TTAFStock[RM_Code],$A9,T_TTAFStock[WeekIndex],10)&gt;0)&gt;0,SUMIFS(T_SelfStock[Self_Qty],T_SelfStock[RM_Code],$A9,T_SelfStock[WeekIndex],10)+SUMIFS(T_TTAFStock[TTAF_Qty],T_TTAFStock[RM_Code],$A9,T_TTAFStock[WeekIndex],10),J9+'Grid_Incoming'!K9-'Grid_Requirement'!K9))</f>
        <v/>
      </c>
      <c r="L9">
        <f>IF(COUNTIFS(T_StockCount[RM_Code],$A9,T_StockCount[WeekIndex],11)&gt;0,SUMIFS(T_StockCount[CountedQty],T_StockCount[RM_Code],$A9,T_StockCount[WeekIndex],11),IF((COUNTIFS(T_SelfStock[RM_Code],$A9,T_SelfStock[WeekIndex],11)&gt;0)*(COUNTIFS(T_TTAFStock[RM_Code],$A9,T_TTAFStock[WeekIndex],11)&gt;0)&gt;0,SUMIFS(T_SelfStock[Self_Qty],T_SelfStock[RM_Code],$A9,T_SelfStock[WeekIndex],11)+SUMIFS(T_TTAFStock[TTAF_Qty],T_TTAFStock[RM_Code],$A9,T_TTAFStock[WeekIndex],11),K9+'Grid_Incoming'!L9-'Grid_Requirement'!L9))</f>
        <v/>
      </c>
      <c r="M9">
        <f>IF(COUNTIFS(T_StockCount[RM_Code],$A9,T_StockCount[WeekIndex],12)&gt;0,SUMIFS(T_StockCount[CountedQty],T_StockCount[RM_Code],$A9,T_StockCount[WeekIndex],12),IF((COUNTIFS(T_SelfStock[RM_Code],$A9,T_SelfStock[WeekIndex],12)&gt;0)*(COUNTIFS(T_TTAFStock[RM_Code],$A9,T_TTAFStock[WeekIndex],12)&gt;0)&gt;0,SUMIFS(T_SelfStock[Self_Qty],T_SelfStock[RM_Code],$A9,T_SelfStock[WeekIndex],12)+SUMIFS(T_TTAFStock[TTAF_Qty],T_TTAFStock[RM_Code],$A9,T_TTAFStock[WeekIndex],12),L9+'Grid_Incoming'!M9-'Grid_Requirement'!M9))</f>
        <v/>
      </c>
      <c r="N9">
        <f>IF(COUNTIFS(T_StockCount[RM_Code],$A9,T_StockCount[WeekIndex],13)&gt;0,SUMIFS(T_StockCount[CountedQty],T_StockCount[RM_Code],$A9,T_StockCount[WeekIndex],13),IF((COUNTIFS(T_SelfStock[RM_Code],$A9,T_SelfStock[WeekIndex],13)&gt;0)*(COUNTIFS(T_TTAFStock[RM_Code],$A9,T_TTAFStock[WeekIndex],13)&gt;0)&gt;0,SUMIFS(T_SelfStock[Self_Qty],T_SelfStock[RM_Code],$A9,T_SelfStock[WeekIndex],13)+SUMIFS(T_TTAFStock[TTAF_Qty],T_TTAFStock[RM_Code],$A9,T_TTAFStock[WeekIndex],13),M9+'Grid_Incoming'!N9-'Grid_Requirement'!N9))</f>
        <v/>
      </c>
      <c r="O9">
        <f>IF(COUNTIFS(T_StockCount[RM_Code],$A9,T_StockCount[WeekIndex],14)&gt;0,SUMIFS(T_StockCount[CountedQty],T_StockCount[RM_Code],$A9,T_StockCount[WeekIndex],14),IF((COUNTIFS(T_SelfStock[RM_Code],$A9,T_SelfStock[WeekIndex],14)&gt;0)*(COUNTIFS(T_TTAFStock[RM_Code],$A9,T_TTAFStock[WeekIndex],14)&gt;0)&gt;0,SUMIFS(T_SelfStock[Self_Qty],T_SelfStock[RM_Code],$A9,T_SelfStock[WeekIndex],14)+SUMIFS(T_TTAFStock[TTAF_Qty],T_TTAFStock[RM_Code],$A9,T_TTAFStock[WeekIndex],14),N9+'Grid_Incoming'!O9-'Grid_Requirement'!O9))</f>
        <v/>
      </c>
      <c r="P9">
        <f>IF(COUNTIFS(T_StockCount[RM_Code],$A9,T_StockCount[WeekIndex],15)&gt;0,SUMIFS(T_StockCount[CountedQty],T_StockCount[RM_Code],$A9,T_StockCount[WeekIndex],15),IF((COUNTIFS(T_SelfStock[RM_Code],$A9,T_SelfStock[WeekIndex],15)&gt;0)*(COUNTIFS(T_TTAFStock[RM_Code],$A9,T_TTAFStock[WeekIndex],15)&gt;0)&gt;0,SUMIFS(T_SelfStock[Self_Qty],T_SelfStock[RM_Code],$A9,T_SelfStock[WeekIndex],15)+SUMIFS(T_TTAFStock[TTAF_Qty],T_TTAFStock[RM_Code],$A9,T_TTAFStock[WeekIndex],15),O9+'Grid_Incoming'!P9-'Grid_Requirement'!P9))</f>
        <v/>
      </c>
      <c r="Q9">
        <f>IF(COUNTIFS(T_StockCount[RM_Code],$A9,T_StockCount[WeekIndex],16)&gt;0,SUMIFS(T_StockCount[CountedQty],T_StockCount[RM_Code],$A9,T_StockCount[WeekIndex],16),IF((COUNTIFS(T_SelfStock[RM_Code],$A9,T_SelfStock[WeekIndex],16)&gt;0)*(COUNTIFS(T_TTAFStock[RM_Code],$A9,T_TTAFStock[WeekIndex],16)&gt;0)&gt;0,SUMIFS(T_SelfStock[Self_Qty],T_SelfStock[RM_Code],$A9,T_SelfStock[WeekIndex],16)+SUMIFS(T_TTAFStock[TTAF_Qty],T_TTAFStock[RM_Code],$A9,T_TTAFStock[WeekIndex],16),P9+'Grid_Incoming'!Q9-'Grid_Requirement'!Q9))</f>
        <v/>
      </c>
      <c r="R9">
        <f>IF(COUNTIFS(T_StockCount[RM_Code],$A9,T_StockCount[WeekIndex],17)&gt;0,SUMIFS(T_StockCount[CountedQty],T_StockCount[RM_Code],$A9,T_StockCount[WeekIndex],17),IF((COUNTIFS(T_SelfStock[RM_Code],$A9,T_SelfStock[WeekIndex],17)&gt;0)*(COUNTIFS(T_TTAFStock[RM_Code],$A9,T_TTAFStock[WeekIndex],17)&gt;0)&gt;0,SUMIFS(T_SelfStock[Self_Qty],T_SelfStock[RM_Code],$A9,T_SelfStock[WeekIndex],17)+SUMIFS(T_TTAFStock[TTAF_Qty],T_TTAFStock[RM_Code],$A9,T_TTAFStock[WeekIndex],17),Q9+'Grid_Incoming'!R9-'Grid_Requirement'!R9))</f>
        <v/>
      </c>
      <c r="S9">
        <f>IF(COUNTIFS(T_StockCount[RM_Code],$A9,T_StockCount[WeekIndex],18)&gt;0,SUMIFS(T_StockCount[CountedQty],T_StockCount[RM_Code],$A9,T_StockCount[WeekIndex],18),IF((COUNTIFS(T_SelfStock[RM_Code],$A9,T_SelfStock[WeekIndex],18)&gt;0)*(COUNTIFS(T_TTAFStock[RM_Code],$A9,T_TTAFStock[WeekIndex],18)&gt;0)&gt;0,SUMIFS(T_SelfStock[Self_Qty],T_SelfStock[RM_Code],$A9,T_SelfStock[WeekIndex],18)+SUMIFS(T_TTAFStock[TTAF_Qty],T_TTAFStock[RM_Code],$A9,T_TTAFStock[WeekIndex],18),R9+'Grid_Incoming'!S9-'Grid_Requirement'!S9))</f>
        <v/>
      </c>
      <c r="T9">
        <f>IF(COUNTIFS(T_StockCount[RM_Code],$A9,T_StockCount[WeekIndex],19)&gt;0,SUMIFS(T_StockCount[CountedQty],T_StockCount[RM_Code],$A9,T_StockCount[WeekIndex],19),IF((COUNTIFS(T_SelfStock[RM_Code],$A9,T_SelfStock[WeekIndex],19)&gt;0)*(COUNTIFS(T_TTAFStock[RM_Code],$A9,T_TTAFStock[WeekIndex],19)&gt;0)&gt;0,SUMIFS(T_SelfStock[Self_Qty],T_SelfStock[RM_Code],$A9,T_SelfStock[WeekIndex],19)+SUMIFS(T_TTAFStock[TTAF_Qty],T_TTAFStock[RM_Code],$A9,T_TTAFStock[WeekIndex],19),S9+'Grid_Incoming'!T9-'Grid_Requirement'!T9))</f>
        <v/>
      </c>
      <c r="U9">
        <f>IF(COUNTIFS(T_StockCount[RM_Code],$A9,T_StockCount[WeekIndex],20)&gt;0,SUMIFS(T_StockCount[CountedQty],T_StockCount[RM_Code],$A9,T_StockCount[WeekIndex],20),IF((COUNTIFS(T_SelfStock[RM_Code],$A9,T_SelfStock[WeekIndex],20)&gt;0)*(COUNTIFS(T_TTAFStock[RM_Code],$A9,T_TTAFStock[WeekIndex],20)&gt;0)&gt;0,SUMIFS(T_SelfStock[Self_Qty],T_SelfStock[RM_Code],$A9,T_SelfStock[WeekIndex],20)+SUMIFS(T_TTAFStock[TTAF_Qty],T_TTAFStock[RM_Code],$A9,T_TTAFStock[WeekIndex],20),T9+'Grid_Incoming'!U9-'Grid_Requirement'!U9))</f>
        <v/>
      </c>
      <c r="V9">
        <f>IF(COUNTIFS(T_StockCount[RM_Code],$A9,T_StockCount[WeekIndex],21)&gt;0,SUMIFS(T_StockCount[CountedQty],T_StockCount[RM_Code],$A9,T_StockCount[WeekIndex],21),IF((COUNTIFS(T_SelfStock[RM_Code],$A9,T_SelfStock[WeekIndex],21)&gt;0)*(COUNTIFS(T_TTAFStock[RM_Code],$A9,T_TTAFStock[WeekIndex],21)&gt;0)&gt;0,SUMIFS(T_SelfStock[Self_Qty],T_SelfStock[RM_Code],$A9,T_SelfStock[WeekIndex],21)+SUMIFS(T_TTAFStock[TTAF_Qty],T_TTAFStock[RM_Code],$A9,T_TTAFStock[WeekIndex],21),U9+'Grid_Incoming'!V9-'Grid_Requirement'!V9))</f>
        <v/>
      </c>
      <c r="W9">
        <f>IF(COUNTIFS(T_StockCount[RM_Code],$A9,T_StockCount[WeekIndex],22)&gt;0,SUMIFS(T_StockCount[CountedQty],T_StockCount[RM_Code],$A9,T_StockCount[WeekIndex],22),IF((COUNTIFS(T_SelfStock[RM_Code],$A9,T_SelfStock[WeekIndex],22)&gt;0)*(COUNTIFS(T_TTAFStock[RM_Code],$A9,T_TTAFStock[WeekIndex],22)&gt;0)&gt;0,SUMIFS(T_SelfStock[Self_Qty],T_SelfStock[RM_Code],$A9,T_SelfStock[WeekIndex],22)+SUMIFS(T_TTAFStock[TTAF_Qty],T_TTAFStock[RM_Code],$A9,T_TTAFStock[WeekIndex],22),V9+'Grid_Incoming'!W9-'Grid_Requirement'!W9))</f>
        <v/>
      </c>
      <c r="X9">
        <f>IF(COUNTIFS(T_StockCount[RM_Code],$A9,T_StockCount[WeekIndex],23)&gt;0,SUMIFS(T_StockCount[CountedQty],T_StockCount[RM_Code],$A9,T_StockCount[WeekIndex],23),IF((COUNTIFS(T_SelfStock[RM_Code],$A9,T_SelfStock[WeekIndex],23)&gt;0)*(COUNTIFS(T_TTAFStock[RM_Code],$A9,T_TTAFStock[WeekIndex],23)&gt;0)&gt;0,SUMIFS(T_SelfStock[Self_Qty],T_SelfStock[RM_Code],$A9,T_SelfStock[WeekIndex],23)+SUMIFS(T_TTAFStock[TTAF_Qty],T_TTAFStock[RM_Code],$A9,T_TTAFStock[WeekIndex],23),W9+'Grid_Incoming'!X9-'Grid_Requirement'!X9))</f>
        <v/>
      </c>
      <c r="Y9">
        <f>IF(COUNTIFS(T_StockCount[RM_Code],$A9,T_StockCount[WeekIndex],24)&gt;0,SUMIFS(T_StockCount[CountedQty],T_StockCount[RM_Code],$A9,T_StockCount[WeekIndex],24),IF((COUNTIFS(T_SelfStock[RM_Code],$A9,T_SelfStock[WeekIndex],24)&gt;0)*(COUNTIFS(T_TTAFStock[RM_Code],$A9,T_TTAFStock[WeekIndex],24)&gt;0)&gt;0,SUMIFS(T_SelfStock[Self_Qty],T_SelfStock[RM_Code],$A9,T_SelfStock[WeekIndex],24)+SUMIFS(T_TTAFStock[TTAF_Qty],T_TTAFStock[RM_Code],$A9,T_TTAFStock[WeekIndex],24),X9+'Grid_Incoming'!Y9-'Grid_Requirement'!Y9))</f>
        <v/>
      </c>
      <c r="Z9">
        <f>IF(COUNTIFS(T_StockCount[RM_Code],$A9,T_StockCount[WeekIndex],25)&gt;0,SUMIFS(T_StockCount[CountedQty],T_StockCount[RM_Code],$A9,T_StockCount[WeekIndex],25),IF((COUNTIFS(T_SelfStock[RM_Code],$A9,T_SelfStock[WeekIndex],25)&gt;0)*(COUNTIFS(T_TTAFStock[RM_Code],$A9,T_TTAFStock[WeekIndex],25)&gt;0)&gt;0,SUMIFS(T_SelfStock[Self_Qty],T_SelfStock[RM_Code],$A9,T_SelfStock[WeekIndex],25)+SUMIFS(T_TTAFStock[TTAF_Qty],T_TTAFStock[RM_Code],$A9,T_TTAFStock[WeekIndex],25),Y9+'Grid_Incoming'!Z9-'Grid_Requirement'!Z9))</f>
        <v/>
      </c>
      <c r="AA9">
        <f>IF(COUNTIFS(T_StockCount[RM_Code],$A9,T_StockCount[WeekIndex],26)&gt;0,SUMIFS(T_StockCount[CountedQty],T_StockCount[RM_Code],$A9,T_StockCount[WeekIndex],26),IF((COUNTIFS(T_SelfStock[RM_Code],$A9,T_SelfStock[WeekIndex],26)&gt;0)*(COUNTIFS(T_TTAFStock[RM_Code],$A9,T_TTAFStock[WeekIndex],26)&gt;0)&gt;0,SUMIFS(T_SelfStock[Self_Qty],T_SelfStock[RM_Code],$A9,T_SelfStock[WeekIndex],26)+SUMIFS(T_TTAFStock[TTAF_Qty],T_TTAFStock[RM_Code],$A9,T_TTAFStock[WeekIndex],26),Z9+'Grid_Incoming'!AA9-'Grid_Requirement'!AA9))</f>
        <v/>
      </c>
      <c r="AB9">
        <f>IF(COUNTIFS(T_StockCount[RM_Code],$A9,T_StockCount[WeekIndex],27)&gt;0,SUMIFS(T_StockCount[CountedQty],T_StockCount[RM_Code],$A9,T_StockCount[WeekIndex],27),IF((COUNTIFS(T_SelfStock[RM_Code],$A9,T_SelfStock[WeekIndex],27)&gt;0)*(COUNTIFS(T_TTAFStock[RM_Code],$A9,T_TTAFStock[WeekIndex],27)&gt;0)&gt;0,SUMIFS(T_SelfStock[Self_Qty],T_SelfStock[RM_Code],$A9,T_SelfStock[WeekIndex],27)+SUMIFS(T_TTAFStock[TTAF_Qty],T_TTAFStock[RM_Code],$A9,T_TTAFStock[WeekIndex],27),AA9+'Grid_Incoming'!AB9-'Grid_Requirement'!AB9))</f>
        <v/>
      </c>
      <c r="AC9">
        <f>IF(COUNTIFS(T_StockCount[RM_Code],$A9,T_StockCount[WeekIndex],28)&gt;0,SUMIFS(T_StockCount[CountedQty],T_StockCount[RM_Code],$A9,T_StockCount[WeekIndex],28),IF((COUNTIFS(T_SelfStock[RM_Code],$A9,T_SelfStock[WeekIndex],28)&gt;0)*(COUNTIFS(T_TTAFStock[RM_Code],$A9,T_TTAFStock[WeekIndex],28)&gt;0)&gt;0,SUMIFS(T_SelfStock[Self_Qty],T_SelfStock[RM_Code],$A9,T_SelfStock[WeekIndex],28)+SUMIFS(T_TTAFStock[TTAF_Qty],T_TTAFStock[RM_Code],$A9,T_TTAFStock[WeekIndex],28),AB9+'Grid_Incoming'!AC9-'Grid_Requirement'!AC9))</f>
        <v/>
      </c>
      <c r="AD9">
        <f>IF(COUNTIFS(T_StockCount[RM_Code],$A9,T_StockCount[WeekIndex],29)&gt;0,SUMIFS(T_StockCount[CountedQty],T_StockCount[RM_Code],$A9,T_StockCount[WeekIndex],29),IF((COUNTIFS(T_SelfStock[RM_Code],$A9,T_SelfStock[WeekIndex],29)&gt;0)*(COUNTIFS(T_TTAFStock[RM_Code],$A9,T_TTAFStock[WeekIndex],29)&gt;0)&gt;0,SUMIFS(T_SelfStock[Self_Qty],T_SelfStock[RM_Code],$A9,T_SelfStock[WeekIndex],29)+SUMIFS(T_TTAFStock[TTAF_Qty],T_TTAFStock[RM_Code],$A9,T_TTAFStock[WeekIndex],29),AC9+'Grid_Incoming'!AD9-'Grid_Requirement'!AD9))</f>
        <v/>
      </c>
      <c r="AE9">
        <f>IF(COUNTIFS(T_StockCount[RM_Code],$A9,T_StockCount[WeekIndex],30)&gt;0,SUMIFS(T_StockCount[CountedQty],T_StockCount[RM_Code],$A9,T_StockCount[WeekIndex],30),IF((COUNTIFS(T_SelfStock[RM_Code],$A9,T_SelfStock[WeekIndex],30)&gt;0)*(COUNTIFS(T_TTAFStock[RM_Code],$A9,T_TTAFStock[WeekIndex],30)&gt;0)&gt;0,SUMIFS(T_SelfStock[Self_Qty],T_SelfStock[RM_Code],$A9,T_SelfStock[WeekIndex],30)+SUMIFS(T_TTAFStock[TTAF_Qty],T_TTAFStock[RM_Code],$A9,T_TTAFStock[WeekIndex],30),AD9+'Grid_Incoming'!AE9-'Grid_Requirement'!AE9))</f>
        <v/>
      </c>
      <c r="AF9">
        <f>IF(COUNTIFS(T_StockCount[RM_Code],$A9,T_StockCount[WeekIndex],31)&gt;0,SUMIFS(T_StockCount[CountedQty],T_StockCount[RM_Code],$A9,T_StockCount[WeekIndex],31),IF((COUNTIFS(T_SelfStock[RM_Code],$A9,T_SelfStock[WeekIndex],31)&gt;0)*(COUNTIFS(T_TTAFStock[RM_Code],$A9,T_TTAFStock[WeekIndex],31)&gt;0)&gt;0,SUMIFS(T_SelfStock[Self_Qty],T_SelfStock[RM_Code],$A9,T_SelfStock[WeekIndex],31)+SUMIFS(T_TTAFStock[TTAF_Qty],T_TTAFStock[RM_Code],$A9,T_TTAFStock[WeekIndex],31),AE9+'Grid_Incoming'!AF9-'Grid_Requirement'!AF9))</f>
        <v/>
      </c>
      <c r="AG9">
        <f>IF(COUNTIFS(T_StockCount[RM_Code],$A9,T_StockCount[WeekIndex],32)&gt;0,SUMIFS(T_StockCount[CountedQty],T_StockCount[RM_Code],$A9,T_StockCount[WeekIndex],32),IF((COUNTIFS(T_SelfStock[RM_Code],$A9,T_SelfStock[WeekIndex],32)&gt;0)*(COUNTIFS(T_TTAFStock[RM_Code],$A9,T_TTAFStock[WeekIndex],32)&gt;0)&gt;0,SUMIFS(T_SelfStock[Self_Qty],T_SelfStock[RM_Code],$A9,T_SelfStock[WeekIndex],32)+SUMIFS(T_TTAFStock[TTAF_Qty],T_TTAFStock[RM_Code],$A9,T_TTAFStock[WeekIndex],32),AF9+'Grid_Incoming'!AG9-'Grid_Requirement'!AG9))</f>
        <v/>
      </c>
      <c r="AH9">
        <f>IF(COUNTIFS(T_StockCount[RM_Code],$A9,T_StockCount[WeekIndex],33)&gt;0,SUMIFS(T_StockCount[CountedQty],T_StockCount[RM_Code],$A9,T_StockCount[WeekIndex],33),IF((COUNTIFS(T_SelfStock[RM_Code],$A9,T_SelfStock[WeekIndex],33)&gt;0)*(COUNTIFS(T_TTAFStock[RM_Code],$A9,T_TTAFStock[WeekIndex],33)&gt;0)&gt;0,SUMIFS(T_SelfStock[Self_Qty],T_SelfStock[RM_Code],$A9,T_SelfStock[WeekIndex],33)+SUMIFS(T_TTAFStock[TTAF_Qty],T_TTAFStock[RM_Code],$A9,T_TTAFStock[WeekIndex],33),AG9+'Grid_Incoming'!AH9-'Grid_Requirement'!AH9))</f>
        <v/>
      </c>
      <c r="AI9">
        <f>IF(COUNTIFS(T_StockCount[RM_Code],$A9,T_StockCount[WeekIndex],34)&gt;0,SUMIFS(T_StockCount[CountedQty],T_StockCount[RM_Code],$A9,T_StockCount[WeekIndex],34),IF((COUNTIFS(T_SelfStock[RM_Code],$A9,T_SelfStock[WeekIndex],34)&gt;0)*(COUNTIFS(T_TTAFStock[RM_Code],$A9,T_TTAFStock[WeekIndex],34)&gt;0)&gt;0,SUMIFS(T_SelfStock[Self_Qty],T_SelfStock[RM_Code],$A9,T_SelfStock[WeekIndex],34)+SUMIFS(T_TTAFStock[TTAF_Qty],T_TTAFStock[RM_Code],$A9,T_TTAFStock[WeekIndex],34),AH9+'Grid_Incoming'!AI9-'Grid_Requirement'!AI9))</f>
        <v/>
      </c>
      <c r="AJ9">
        <f>IF(COUNTIFS(T_StockCount[RM_Code],$A9,T_StockCount[WeekIndex],35)&gt;0,SUMIFS(T_StockCount[CountedQty],T_StockCount[RM_Code],$A9,T_StockCount[WeekIndex],35),IF((COUNTIFS(T_SelfStock[RM_Code],$A9,T_SelfStock[WeekIndex],35)&gt;0)*(COUNTIFS(T_TTAFStock[RM_Code],$A9,T_TTAFStock[WeekIndex],35)&gt;0)&gt;0,SUMIFS(T_SelfStock[Self_Qty],T_SelfStock[RM_Code],$A9,T_SelfStock[WeekIndex],35)+SUMIFS(T_TTAFStock[TTAF_Qty],T_TTAFStock[RM_Code],$A9,T_TTAFStock[WeekIndex],35),AI9+'Grid_Incoming'!AJ9-'Grid_Requirement'!AJ9))</f>
        <v/>
      </c>
      <c r="AK9">
        <f>IF(COUNTIFS(T_StockCount[RM_Code],$A9,T_StockCount[WeekIndex],36)&gt;0,SUMIFS(T_StockCount[CountedQty],T_StockCount[RM_Code],$A9,T_StockCount[WeekIndex],36),IF((COUNTIFS(T_SelfStock[RM_Code],$A9,T_SelfStock[WeekIndex],36)&gt;0)*(COUNTIFS(T_TTAFStock[RM_Code],$A9,T_TTAFStock[WeekIndex],36)&gt;0)&gt;0,SUMIFS(T_SelfStock[Self_Qty],T_SelfStock[RM_Code],$A9,T_SelfStock[WeekIndex],36)+SUMIFS(T_TTAFStock[TTAF_Qty],T_TTAFStock[RM_Code],$A9,T_TTAFStock[WeekIndex],36),AJ9+'Grid_Incoming'!AK9-'Grid_Requirement'!AK9))</f>
        <v/>
      </c>
      <c r="AL9">
        <f>IF(COUNTIFS(T_StockCount[RM_Code],$A9,T_StockCount[WeekIndex],37)&gt;0,SUMIFS(T_StockCount[CountedQty],T_StockCount[RM_Code],$A9,T_StockCount[WeekIndex],37),IF((COUNTIFS(T_SelfStock[RM_Code],$A9,T_SelfStock[WeekIndex],37)&gt;0)*(COUNTIFS(T_TTAFStock[RM_Code],$A9,T_TTAFStock[WeekIndex],37)&gt;0)&gt;0,SUMIFS(T_SelfStock[Self_Qty],T_SelfStock[RM_Code],$A9,T_SelfStock[WeekIndex],37)+SUMIFS(T_TTAFStock[TTAF_Qty],T_TTAFStock[RM_Code],$A9,T_TTAFStock[WeekIndex],37),AK9+'Grid_Incoming'!AL9-'Grid_Requirement'!AL9))</f>
        <v/>
      </c>
      <c r="AM9">
        <f>IF(COUNTIFS(T_StockCount[RM_Code],$A9,T_StockCount[WeekIndex],38)&gt;0,SUMIFS(T_StockCount[CountedQty],T_StockCount[RM_Code],$A9,T_StockCount[WeekIndex],38),IF((COUNTIFS(T_SelfStock[RM_Code],$A9,T_SelfStock[WeekIndex],38)&gt;0)*(COUNTIFS(T_TTAFStock[RM_Code],$A9,T_TTAFStock[WeekIndex],38)&gt;0)&gt;0,SUMIFS(T_SelfStock[Self_Qty],T_SelfStock[RM_Code],$A9,T_SelfStock[WeekIndex],38)+SUMIFS(T_TTAFStock[TTAF_Qty],T_TTAFStock[RM_Code],$A9,T_TTAFStock[WeekIndex],38),AL9+'Grid_Incoming'!AM9-'Grid_Requirement'!AM9))</f>
        <v/>
      </c>
      <c r="AN9">
        <f>IF(COUNTIFS(T_StockCount[RM_Code],$A9,T_StockCount[WeekIndex],39)&gt;0,SUMIFS(T_StockCount[CountedQty],T_StockCount[RM_Code],$A9,T_StockCount[WeekIndex],39),IF((COUNTIFS(T_SelfStock[RM_Code],$A9,T_SelfStock[WeekIndex],39)&gt;0)*(COUNTIFS(T_TTAFStock[RM_Code],$A9,T_TTAFStock[WeekIndex],39)&gt;0)&gt;0,SUMIFS(T_SelfStock[Self_Qty],T_SelfStock[RM_Code],$A9,T_SelfStock[WeekIndex],39)+SUMIFS(T_TTAFStock[TTAF_Qty],T_TTAFStock[RM_Code],$A9,T_TTAFStock[WeekIndex],39),AM9+'Grid_Incoming'!AN9-'Grid_Requirement'!AN9))</f>
        <v/>
      </c>
      <c r="AO9">
        <f>IF(COUNTIFS(T_StockCount[RM_Code],$A9,T_StockCount[WeekIndex],40)&gt;0,SUMIFS(T_StockCount[CountedQty],T_StockCount[RM_Code],$A9,T_StockCount[WeekIndex],40),IF((COUNTIFS(T_SelfStock[RM_Code],$A9,T_SelfStock[WeekIndex],40)&gt;0)*(COUNTIFS(T_TTAFStock[RM_Code],$A9,T_TTAFStock[WeekIndex],40)&gt;0)&gt;0,SUMIFS(T_SelfStock[Self_Qty],T_SelfStock[RM_Code],$A9,T_SelfStock[WeekIndex],40)+SUMIFS(T_TTAFStock[TTAF_Qty],T_TTAFStock[RM_Code],$A9,T_TTAFStock[WeekIndex],40),AN9+'Grid_Incoming'!AO9-'Grid_Requirement'!AO9))</f>
        <v/>
      </c>
      <c r="AP9">
        <f>IF(COUNTIFS(T_StockCount[RM_Code],$A9,T_StockCount[WeekIndex],41)&gt;0,SUMIFS(T_StockCount[CountedQty],T_StockCount[RM_Code],$A9,T_StockCount[WeekIndex],41),IF((COUNTIFS(T_SelfStock[RM_Code],$A9,T_SelfStock[WeekIndex],41)&gt;0)*(COUNTIFS(T_TTAFStock[RM_Code],$A9,T_TTAFStock[WeekIndex],41)&gt;0)&gt;0,SUMIFS(T_SelfStock[Self_Qty],T_SelfStock[RM_Code],$A9,T_SelfStock[WeekIndex],41)+SUMIFS(T_TTAFStock[TTAF_Qty],T_TTAFStock[RM_Code],$A9,T_TTAFStock[WeekIndex],41),AO9+'Grid_Incoming'!AP9-'Grid_Requirement'!AP9))</f>
        <v/>
      </c>
      <c r="AQ9">
        <f>IF(COUNTIFS(T_StockCount[RM_Code],$A9,T_StockCount[WeekIndex],42)&gt;0,SUMIFS(T_StockCount[CountedQty],T_StockCount[RM_Code],$A9,T_StockCount[WeekIndex],42),IF((COUNTIFS(T_SelfStock[RM_Code],$A9,T_SelfStock[WeekIndex],42)&gt;0)*(COUNTIFS(T_TTAFStock[RM_Code],$A9,T_TTAFStock[WeekIndex],42)&gt;0)&gt;0,SUMIFS(T_SelfStock[Self_Qty],T_SelfStock[RM_Code],$A9,T_SelfStock[WeekIndex],42)+SUMIFS(T_TTAFStock[TTAF_Qty],T_TTAFStock[RM_Code],$A9,T_TTAFStock[WeekIndex],42),AP9+'Grid_Incoming'!AQ9-'Grid_Requirement'!AQ9))</f>
        <v/>
      </c>
      <c r="AR9">
        <f>IF(COUNTIFS(T_StockCount[RM_Code],$A9,T_StockCount[WeekIndex],43)&gt;0,SUMIFS(T_StockCount[CountedQty],T_StockCount[RM_Code],$A9,T_StockCount[WeekIndex],43),IF((COUNTIFS(T_SelfStock[RM_Code],$A9,T_SelfStock[WeekIndex],43)&gt;0)*(COUNTIFS(T_TTAFStock[RM_Code],$A9,T_TTAFStock[WeekIndex],43)&gt;0)&gt;0,SUMIFS(T_SelfStock[Self_Qty],T_SelfStock[RM_Code],$A9,T_SelfStock[WeekIndex],43)+SUMIFS(T_TTAFStock[TTAF_Qty],T_TTAFStock[RM_Code],$A9,T_TTAFStock[WeekIndex],43),AQ9+'Grid_Incoming'!AR9-'Grid_Requirement'!AR9))</f>
        <v/>
      </c>
      <c r="AS9">
        <f>IF(COUNTIFS(T_StockCount[RM_Code],$A9,T_StockCount[WeekIndex],44)&gt;0,SUMIFS(T_StockCount[CountedQty],T_StockCount[RM_Code],$A9,T_StockCount[WeekIndex],44),IF((COUNTIFS(T_SelfStock[RM_Code],$A9,T_SelfStock[WeekIndex],44)&gt;0)*(COUNTIFS(T_TTAFStock[RM_Code],$A9,T_TTAFStock[WeekIndex],44)&gt;0)&gt;0,SUMIFS(T_SelfStock[Self_Qty],T_SelfStock[RM_Code],$A9,T_SelfStock[WeekIndex],44)+SUMIFS(T_TTAFStock[TTAF_Qty],T_TTAFStock[RM_Code],$A9,T_TTAFStock[WeekIndex],44),AR9+'Grid_Incoming'!AS9-'Grid_Requirement'!AS9))</f>
        <v/>
      </c>
      <c r="AT9">
        <f>IF(COUNTIFS(T_StockCount[RM_Code],$A9,T_StockCount[WeekIndex],45)&gt;0,SUMIFS(T_StockCount[CountedQty],T_StockCount[RM_Code],$A9,T_StockCount[WeekIndex],45),IF((COUNTIFS(T_SelfStock[RM_Code],$A9,T_SelfStock[WeekIndex],45)&gt;0)*(COUNTIFS(T_TTAFStock[RM_Code],$A9,T_TTAFStock[WeekIndex],45)&gt;0)&gt;0,SUMIFS(T_SelfStock[Self_Qty],T_SelfStock[RM_Code],$A9,T_SelfStock[WeekIndex],45)+SUMIFS(T_TTAFStock[TTAF_Qty],T_TTAFStock[RM_Code],$A9,T_TTAFStock[WeekIndex],45),AS9+'Grid_Incoming'!AT9-'Grid_Requirement'!AT9))</f>
        <v/>
      </c>
      <c r="AU9">
        <f>IF(COUNTIFS(T_StockCount[RM_Code],$A9,T_StockCount[WeekIndex],46)&gt;0,SUMIFS(T_StockCount[CountedQty],T_StockCount[RM_Code],$A9,T_StockCount[WeekIndex],46),IF((COUNTIFS(T_SelfStock[RM_Code],$A9,T_SelfStock[WeekIndex],46)&gt;0)*(COUNTIFS(T_TTAFStock[RM_Code],$A9,T_TTAFStock[WeekIndex],46)&gt;0)&gt;0,SUMIFS(T_SelfStock[Self_Qty],T_SelfStock[RM_Code],$A9,T_SelfStock[WeekIndex],46)+SUMIFS(T_TTAFStock[TTAF_Qty],T_TTAFStock[RM_Code],$A9,T_TTAFStock[WeekIndex],46),AT9+'Grid_Incoming'!AU9-'Grid_Requirement'!AU9))</f>
        <v/>
      </c>
      <c r="AV9">
        <f>IF(COUNTIFS(T_StockCount[RM_Code],$A9,T_StockCount[WeekIndex],47)&gt;0,SUMIFS(T_StockCount[CountedQty],T_StockCount[RM_Code],$A9,T_StockCount[WeekIndex],47),IF((COUNTIFS(T_SelfStock[RM_Code],$A9,T_SelfStock[WeekIndex],47)&gt;0)*(COUNTIFS(T_TTAFStock[RM_Code],$A9,T_TTAFStock[WeekIndex],47)&gt;0)&gt;0,SUMIFS(T_SelfStock[Self_Qty],T_SelfStock[RM_Code],$A9,T_SelfStock[WeekIndex],47)+SUMIFS(T_TTAFStock[TTAF_Qty],T_TTAFStock[RM_Code],$A9,T_TTAFStock[WeekIndex],47),AU9+'Grid_Incoming'!AV9-'Grid_Requirement'!AV9))</f>
        <v/>
      </c>
      <c r="AW9">
        <f>IF(COUNTIFS(T_StockCount[RM_Code],$A9,T_StockCount[WeekIndex],48)&gt;0,SUMIFS(T_StockCount[CountedQty],T_StockCount[RM_Code],$A9,T_StockCount[WeekIndex],48),IF((COUNTIFS(T_SelfStock[RM_Code],$A9,T_SelfStock[WeekIndex],48)&gt;0)*(COUNTIFS(T_TTAFStock[RM_Code],$A9,T_TTAFStock[WeekIndex],48)&gt;0)&gt;0,SUMIFS(T_SelfStock[Self_Qty],T_SelfStock[RM_Code],$A9,T_SelfStock[WeekIndex],48)+SUMIFS(T_TTAFStock[TTAF_Qty],T_TTAFStock[RM_Code],$A9,T_TTAFStock[WeekIndex],48),AV9+'Grid_Incoming'!AW9-'Grid_Requirement'!AW9))</f>
        <v/>
      </c>
      <c r="AX9">
        <f>IF(COUNTIFS(T_StockCount[RM_Code],$A9,T_StockCount[WeekIndex],49)&gt;0,SUMIFS(T_StockCount[CountedQty],T_StockCount[RM_Code],$A9,T_StockCount[WeekIndex],49),IF((COUNTIFS(T_SelfStock[RM_Code],$A9,T_SelfStock[WeekIndex],49)&gt;0)*(COUNTIFS(T_TTAFStock[RM_Code],$A9,T_TTAFStock[WeekIndex],49)&gt;0)&gt;0,SUMIFS(T_SelfStock[Self_Qty],T_SelfStock[RM_Code],$A9,T_SelfStock[WeekIndex],49)+SUMIFS(T_TTAFStock[TTAF_Qty],T_TTAFStock[RM_Code],$A9,T_TTAFStock[WeekIndex],49),AW9+'Grid_Incoming'!AX9-'Grid_Requirement'!AX9))</f>
        <v/>
      </c>
      <c r="AY9">
        <f>IF(COUNTIFS(T_StockCount[RM_Code],$A9,T_StockCount[WeekIndex],50)&gt;0,SUMIFS(T_StockCount[CountedQty],T_StockCount[RM_Code],$A9,T_StockCount[WeekIndex],50),IF((COUNTIFS(T_SelfStock[RM_Code],$A9,T_SelfStock[WeekIndex],50)&gt;0)*(COUNTIFS(T_TTAFStock[RM_Code],$A9,T_TTAFStock[WeekIndex],50)&gt;0)&gt;0,SUMIFS(T_SelfStock[Self_Qty],T_SelfStock[RM_Code],$A9,T_SelfStock[WeekIndex],50)+SUMIFS(T_TTAFStock[TTAF_Qty],T_TTAFStock[RM_Code],$A9,T_TTAFStock[WeekIndex],50),AX9+'Grid_Incoming'!AY9-'Grid_Requirement'!AY9))</f>
        <v/>
      </c>
      <c r="AZ9">
        <f>IF(COUNTIFS(T_StockCount[RM_Code],$A9,T_StockCount[WeekIndex],51)&gt;0,SUMIFS(T_StockCount[CountedQty],T_StockCount[RM_Code],$A9,T_StockCount[WeekIndex],51),IF((COUNTIFS(T_SelfStock[RM_Code],$A9,T_SelfStock[WeekIndex],51)&gt;0)*(COUNTIFS(T_TTAFStock[RM_Code],$A9,T_TTAFStock[WeekIndex],51)&gt;0)&gt;0,SUMIFS(T_SelfStock[Self_Qty],T_SelfStock[RM_Code],$A9,T_SelfStock[WeekIndex],51)+SUMIFS(T_TTAFStock[TTAF_Qty],T_TTAFStock[RM_Code],$A9,T_TTAFStock[WeekIndex],51),AY9+'Grid_Incoming'!AZ9-'Grid_Requirement'!AZ9))</f>
        <v/>
      </c>
      <c r="BA9">
        <f>IF(COUNTIFS(T_StockCount[RM_Code],$A9,T_StockCount[WeekIndex],52)&gt;0,SUMIFS(T_StockCount[CountedQty],T_StockCount[RM_Code],$A9,T_StockCount[WeekIndex],52),IF((COUNTIFS(T_SelfStock[RM_Code],$A9,T_SelfStock[WeekIndex],52)&gt;0)*(COUNTIFS(T_TTAFStock[RM_Code],$A9,T_TTAFStock[WeekIndex],52)&gt;0)&gt;0,SUMIFS(T_SelfStock[Self_Qty],T_SelfStock[RM_Code],$A9,T_SelfStock[WeekIndex],52)+SUMIFS(T_TTAFStock[TTAF_Qty],T_TTAFStock[RM_Code],$A9,T_TTAFStock[WeekIndex],52),AZ9+'Grid_Incoming'!BA9-'Grid_Requirement'!BA9))</f>
        <v/>
      </c>
      <c r="BB9">
        <f>IF(COUNTIFS(T_StockCount[RM_Code],$A9,T_StockCount[WeekIndex],53)&gt;0,SUMIFS(T_StockCount[CountedQty],T_StockCount[RM_Code],$A9,T_StockCount[WeekIndex],53),IF((COUNTIFS(T_SelfStock[RM_Code],$A9,T_SelfStock[WeekIndex],53)&gt;0)*(COUNTIFS(T_TTAFStock[RM_Code],$A9,T_TTAFStock[WeekIndex],53)&gt;0)&gt;0,SUMIFS(T_SelfStock[Self_Qty],T_SelfStock[RM_Code],$A9,T_SelfStock[WeekIndex],53)+SUMIFS(T_TTAFStock[TTAF_Qty],T_TTAFStock[RM_Code],$A9,T_TTAFStock[WeekIndex],53),BA9+'Grid_Incoming'!BB9-'Grid_Requirement'!BB9))</f>
        <v/>
      </c>
      <c r="BC9">
        <f>IF(COUNTIFS(T_StockCount[RM_Code],$A9,T_StockCount[WeekIndex],54)&gt;0,SUMIFS(T_StockCount[CountedQty],T_StockCount[RM_Code],$A9,T_StockCount[WeekIndex],54),IF((COUNTIFS(T_SelfStock[RM_Code],$A9,T_SelfStock[WeekIndex],54)&gt;0)*(COUNTIFS(T_TTAFStock[RM_Code],$A9,T_TTAFStock[WeekIndex],54)&gt;0)&gt;0,SUMIFS(T_SelfStock[Self_Qty],T_SelfStock[RM_Code],$A9,T_SelfStock[WeekIndex],54)+SUMIFS(T_TTAFStock[TTAF_Qty],T_TTAFStock[RM_Code],$A9,T_TTAFStock[WeekIndex],54),BB9+'Grid_Incoming'!BC9-'Grid_Requirement'!BC9))</f>
        <v/>
      </c>
      <c r="BD9">
        <f>IF(COUNTIFS(T_StockCount[RM_Code],$A9,T_StockCount[WeekIndex],55)&gt;0,SUMIFS(T_StockCount[CountedQty],T_StockCount[RM_Code],$A9,T_StockCount[WeekIndex],55),IF((COUNTIFS(T_SelfStock[RM_Code],$A9,T_SelfStock[WeekIndex],55)&gt;0)*(COUNTIFS(T_TTAFStock[RM_Code],$A9,T_TTAFStock[WeekIndex],55)&gt;0)&gt;0,SUMIFS(T_SelfStock[Self_Qty],T_SelfStock[RM_Code],$A9,T_SelfStock[WeekIndex],55)+SUMIFS(T_TTAFStock[TTAF_Qty],T_TTAFStock[RM_Code],$A9,T_TTAFStock[WeekIndex],55),BC9+'Grid_Incoming'!BD9-'Grid_Requirement'!BD9))</f>
        <v/>
      </c>
      <c r="BE9">
        <f>IF(COUNTIFS(T_StockCount[RM_Code],$A9,T_StockCount[WeekIndex],56)&gt;0,SUMIFS(T_StockCount[CountedQty],T_StockCount[RM_Code],$A9,T_StockCount[WeekIndex],56),IF((COUNTIFS(T_SelfStock[RM_Code],$A9,T_SelfStock[WeekIndex],56)&gt;0)*(COUNTIFS(T_TTAFStock[RM_Code],$A9,T_TTAFStock[WeekIndex],56)&gt;0)&gt;0,SUMIFS(T_SelfStock[Self_Qty],T_SelfStock[RM_Code],$A9,T_SelfStock[WeekIndex],56)+SUMIFS(T_TTAFStock[TTAF_Qty],T_TTAFStock[RM_Code],$A9,T_TTAFStock[WeekIndex],56),BD9+'Grid_Incoming'!BE9-'Grid_Requirement'!BE9))</f>
        <v/>
      </c>
      <c r="BF9">
        <f>IF(COUNTIFS(T_StockCount[RM_Code],$A9,T_StockCount[WeekIndex],57)&gt;0,SUMIFS(T_StockCount[CountedQty],T_StockCount[RM_Code],$A9,T_StockCount[WeekIndex],57),IF((COUNTIFS(T_SelfStock[RM_Code],$A9,T_SelfStock[WeekIndex],57)&gt;0)*(COUNTIFS(T_TTAFStock[RM_Code],$A9,T_TTAFStock[WeekIndex],57)&gt;0)&gt;0,SUMIFS(T_SelfStock[Self_Qty],T_SelfStock[RM_Code],$A9,T_SelfStock[WeekIndex],57)+SUMIFS(T_TTAFStock[TTAF_Qty],T_TTAFStock[RM_Code],$A9,T_TTAFStock[WeekIndex],57),BE9+'Grid_Incoming'!BF9-'Grid_Requirement'!BF9))</f>
        <v/>
      </c>
      <c r="BG9">
        <f>IF(COUNTIFS(T_StockCount[RM_Code],$A9,T_StockCount[WeekIndex],58)&gt;0,SUMIFS(T_StockCount[CountedQty],T_StockCount[RM_Code],$A9,T_StockCount[WeekIndex],58),IF((COUNTIFS(T_SelfStock[RM_Code],$A9,T_SelfStock[WeekIndex],58)&gt;0)*(COUNTIFS(T_TTAFStock[RM_Code],$A9,T_TTAFStock[WeekIndex],58)&gt;0)&gt;0,SUMIFS(T_SelfStock[Self_Qty],T_SelfStock[RM_Code],$A9,T_SelfStock[WeekIndex],58)+SUMIFS(T_TTAFStock[TTAF_Qty],T_TTAFStock[RM_Code],$A9,T_TTAFStock[WeekIndex],58),BF9+'Grid_Incoming'!BG9-'Grid_Requirement'!BG9))</f>
        <v/>
      </c>
      <c r="BH9">
        <f>IF(COUNTIFS(T_StockCount[RM_Code],$A9,T_StockCount[WeekIndex],59)&gt;0,SUMIFS(T_StockCount[CountedQty],T_StockCount[RM_Code],$A9,T_StockCount[WeekIndex],59),IF((COUNTIFS(T_SelfStock[RM_Code],$A9,T_SelfStock[WeekIndex],59)&gt;0)*(COUNTIFS(T_TTAFStock[RM_Code],$A9,T_TTAFStock[WeekIndex],59)&gt;0)&gt;0,SUMIFS(T_SelfStock[Self_Qty],T_SelfStock[RM_Code],$A9,T_SelfStock[WeekIndex],59)+SUMIFS(T_TTAFStock[TTAF_Qty],T_TTAFStock[RM_Code],$A9,T_TTAFStock[WeekIndex],59),BG9+'Grid_Incoming'!BH9-'Grid_Requirement'!BH9))</f>
        <v/>
      </c>
      <c r="BI9">
        <f>IF(COUNTIFS(T_StockCount[RM_Code],$A9,T_StockCount[WeekIndex],60)&gt;0,SUMIFS(T_StockCount[CountedQty],T_StockCount[RM_Code],$A9,T_StockCount[WeekIndex],60),IF((COUNTIFS(T_SelfStock[RM_Code],$A9,T_SelfStock[WeekIndex],60)&gt;0)*(COUNTIFS(T_TTAFStock[RM_Code],$A9,T_TTAFStock[WeekIndex],60)&gt;0)&gt;0,SUMIFS(T_SelfStock[Self_Qty],T_SelfStock[RM_Code],$A9,T_SelfStock[WeekIndex],60)+SUMIFS(T_TTAFStock[TTAF_Qty],T_TTAFStock[RM_Code],$A9,T_TTAFStock[WeekIndex],60),BH9+'Grid_Incoming'!BI9-'Grid_Requirement'!BI9))</f>
        <v/>
      </c>
      <c r="BJ9">
        <f>IF(COUNTIFS(T_StockCount[RM_Code],$A9,T_StockCount[WeekIndex],61)&gt;0,SUMIFS(T_StockCount[CountedQty],T_StockCount[RM_Code],$A9,T_StockCount[WeekIndex],61),IF((COUNTIFS(T_SelfStock[RM_Code],$A9,T_SelfStock[WeekIndex],61)&gt;0)*(COUNTIFS(T_TTAFStock[RM_Code],$A9,T_TTAFStock[WeekIndex],61)&gt;0)&gt;0,SUMIFS(T_SelfStock[Self_Qty],T_SelfStock[RM_Code],$A9,T_SelfStock[WeekIndex],61)+SUMIFS(T_TTAFStock[TTAF_Qty],T_TTAFStock[RM_Code],$A9,T_TTAFStock[WeekIndex],61),BI9+'Grid_Incoming'!BJ9-'Grid_Requirement'!BJ9))</f>
        <v/>
      </c>
      <c r="BK9">
        <f>IF(COUNTIFS(T_StockCount[RM_Code],$A9,T_StockCount[WeekIndex],62)&gt;0,SUMIFS(T_StockCount[CountedQty],T_StockCount[RM_Code],$A9,T_StockCount[WeekIndex],62),IF((COUNTIFS(T_SelfStock[RM_Code],$A9,T_SelfStock[WeekIndex],62)&gt;0)*(COUNTIFS(T_TTAFStock[RM_Code],$A9,T_TTAFStock[WeekIndex],62)&gt;0)&gt;0,SUMIFS(T_SelfStock[Self_Qty],T_SelfStock[RM_Code],$A9,T_SelfStock[WeekIndex],62)+SUMIFS(T_TTAFStock[TTAF_Qty],T_TTAFStock[RM_Code],$A9,T_TTAFStock[WeekIndex],62),BJ9+'Grid_Incoming'!BK9-'Grid_Requirement'!BK9))</f>
        <v/>
      </c>
      <c r="BL9">
        <f>IF(COUNTIFS(T_StockCount[RM_Code],$A9,T_StockCount[WeekIndex],63)&gt;0,SUMIFS(T_StockCount[CountedQty],T_StockCount[RM_Code],$A9,T_StockCount[WeekIndex],63),IF((COUNTIFS(T_SelfStock[RM_Code],$A9,T_SelfStock[WeekIndex],63)&gt;0)*(COUNTIFS(T_TTAFStock[RM_Code],$A9,T_TTAFStock[WeekIndex],63)&gt;0)&gt;0,SUMIFS(T_SelfStock[Self_Qty],T_SelfStock[RM_Code],$A9,T_SelfStock[WeekIndex],63)+SUMIFS(T_TTAFStock[TTAF_Qty],T_TTAFStock[RM_Code],$A9,T_TTAFStock[WeekIndex],63),BK9+'Grid_Incoming'!BL9-'Grid_Requirement'!BL9))</f>
        <v/>
      </c>
      <c r="BM9">
        <f>IF(COUNTIFS(T_StockCount[RM_Code],$A9,T_StockCount[WeekIndex],64)&gt;0,SUMIFS(T_StockCount[CountedQty],T_StockCount[RM_Code],$A9,T_StockCount[WeekIndex],64),IF((COUNTIFS(T_SelfStock[RM_Code],$A9,T_SelfStock[WeekIndex],64)&gt;0)*(COUNTIFS(T_TTAFStock[RM_Code],$A9,T_TTAFStock[WeekIndex],64)&gt;0)&gt;0,SUMIFS(T_SelfStock[Self_Qty],T_SelfStock[RM_Code],$A9,T_SelfStock[WeekIndex],64)+SUMIFS(T_TTAFStock[TTAF_Qty],T_TTAFStock[RM_Code],$A9,T_TTAFStock[WeekIndex],64),BL9+'Grid_Incoming'!BM9-'Grid_Requirement'!BM9))</f>
        <v/>
      </c>
      <c r="BN9">
        <f>IF(COUNTIFS(T_StockCount[RM_Code],$A9,T_StockCount[WeekIndex],65)&gt;0,SUMIFS(T_StockCount[CountedQty],T_StockCount[RM_Code],$A9,T_StockCount[WeekIndex],65),IF((COUNTIFS(T_SelfStock[RM_Code],$A9,T_SelfStock[WeekIndex],65)&gt;0)*(COUNTIFS(T_TTAFStock[RM_Code],$A9,T_TTAFStock[WeekIndex],65)&gt;0)&gt;0,SUMIFS(T_SelfStock[Self_Qty],T_SelfStock[RM_Code],$A9,T_SelfStock[WeekIndex],65)+SUMIFS(T_TTAFStock[TTAF_Qty],T_TTAFStock[RM_Code],$A9,T_TTAFStock[WeekIndex],65),BM9+'Grid_Incoming'!BN9-'Grid_Requirement'!BN9))</f>
        <v/>
      </c>
      <c r="BO9">
        <f>IF(COUNTIFS(T_StockCount[RM_Code],$A9,T_StockCount[WeekIndex],66)&gt;0,SUMIFS(T_StockCount[CountedQty],T_StockCount[RM_Code],$A9,T_StockCount[WeekIndex],66),IF((COUNTIFS(T_SelfStock[RM_Code],$A9,T_SelfStock[WeekIndex],66)&gt;0)*(COUNTIFS(T_TTAFStock[RM_Code],$A9,T_TTAFStock[WeekIndex],66)&gt;0)&gt;0,SUMIFS(T_SelfStock[Self_Qty],T_SelfStock[RM_Code],$A9,T_SelfStock[WeekIndex],66)+SUMIFS(T_TTAFStock[TTAF_Qty],T_TTAFStock[RM_Code],$A9,T_TTAFStock[WeekIndex],66),BN9+'Grid_Incoming'!BO9-'Grid_Requirement'!BO9))</f>
        <v/>
      </c>
      <c r="BP9">
        <f>IF(COUNTIFS(T_StockCount[RM_Code],$A9,T_StockCount[WeekIndex],67)&gt;0,SUMIFS(T_StockCount[CountedQty],T_StockCount[RM_Code],$A9,T_StockCount[WeekIndex],67),IF((COUNTIFS(T_SelfStock[RM_Code],$A9,T_SelfStock[WeekIndex],67)&gt;0)*(COUNTIFS(T_TTAFStock[RM_Code],$A9,T_TTAFStock[WeekIndex],67)&gt;0)&gt;0,SUMIFS(T_SelfStock[Self_Qty],T_SelfStock[RM_Code],$A9,T_SelfStock[WeekIndex],67)+SUMIFS(T_TTAFStock[TTAF_Qty],T_TTAFStock[RM_Code],$A9,T_TTAFStock[WeekIndex],67),BO9+'Grid_Incoming'!BP9-'Grid_Requirement'!BP9))</f>
        <v/>
      </c>
      <c r="BQ9">
        <f>IF(COUNTIFS(T_StockCount[RM_Code],$A9,T_StockCount[WeekIndex],68)&gt;0,SUMIFS(T_StockCount[CountedQty],T_StockCount[RM_Code],$A9,T_StockCount[WeekIndex],68),IF((COUNTIFS(T_SelfStock[RM_Code],$A9,T_SelfStock[WeekIndex],68)&gt;0)*(COUNTIFS(T_TTAFStock[RM_Code],$A9,T_TTAFStock[WeekIndex],68)&gt;0)&gt;0,SUMIFS(T_SelfStock[Self_Qty],T_SelfStock[RM_Code],$A9,T_SelfStock[WeekIndex],68)+SUMIFS(T_TTAFStock[TTAF_Qty],T_TTAFStock[RM_Code],$A9,T_TTAFStock[WeekIndex],68),BP9+'Grid_Incoming'!BQ9-'Grid_Requirement'!BQ9))</f>
        <v/>
      </c>
      <c r="BR9">
        <f>IF(COUNTIFS(T_StockCount[RM_Code],$A9,T_StockCount[WeekIndex],69)&gt;0,SUMIFS(T_StockCount[CountedQty],T_StockCount[RM_Code],$A9,T_StockCount[WeekIndex],69),IF((COUNTIFS(T_SelfStock[RM_Code],$A9,T_SelfStock[WeekIndex],69)&gt;0)*(COUNTIFS(T_TTAFStock[RM_Code],$A9,T_TTAFStock[WeekIndex],69)&gt;0)&gt;0,SUMIFS(T_SelfStock[Self_Qty],T_SelfStock[RM_Code],$A9,T_SelfStock[WeekIndex],69)+SUMIFS(T_TTAFStock[TTAF_Qty],T_TTAFStock[RM_Code],$A9,T_TTAFStock[WeekIndex],69),BQ9+'Grid_Incoming'!BR9-'Grid_Requirement'!BR9))</f>
        <v/>
      </c>
      <c r="BS9">
        <f>IF(COUNTIFS(T_StockCount[RM_Code],$A9,T_StockCount[WeekIndex],70)&gt;0,SUMIFS(T_StockCount[CountedQty],T_StockCount[RM_Code],$A9,T_StockCount[WeekIndex],70),IF((COUNTIFS(T_SelfStock[RM_Code],$A9,T_SelfStock[WeekIndex],70)&gt;0)*(COUNTIFS(T_TTAFStock[RM_Code],$A9,T_TTAFStock[WeekIndex],70)&gt;0)&gt;0,SUMIFS(T_SelfStock[Self_Qty],T_SelfStock[RM_Code],$A9,T_SelfStock[WeekIndex],70)+SUMIFS(T_TTAFStock[TTAF_Qty],T_TTAFStock[RM_Code],$A9,T_TTAFStock[WeekIndex],70),BR9+'Grid_Incoming'!BS9-'Grid_Requirement'!BS9))</f>
        <v/>
      </c>
      <c r="BT9">
        <f>IF(COUNTIFS(T_StockCount[RM_Code],$A9,T_StockCount[WeekIndex],71)&gt;0,SUMIFS(T_StockCount[CountedQty],T_StockCount[RM_Code],$A9,T_StockCount[WeekIndex],71),IF((COUNTIFS(T_SelfStock[RM_Code],$A9,T_SelfStock[WeekIndex],71)&gt;0)*(COUNTIFS(T_TTAFStock[RM_Code],$A9,T_TTAFStock[WeekIndex],71)&gt;0)&gt;0,SUMIFS(T_SelfStock[Self_Qty],T_SelfStock[RM_Code],$A9,T_SelfStock[WeekIndex],71)+SUMIFS(T_TTAFStock[TTAF_Qty],T_TTAFStock[RM_Code],$A9,T_TTAFStock[WeekIndex],71),BS9+'Grid_Incoming'!BT9-'Grid_Requirement'!BT9))</f>
        <v/>
      </c>
      <c r="BU9">
        <f>IF(COUNTIFS(T_StockCount[RM_Code],$A9,T_StockCount[WeekIndex],72)&gt;0,SUMIFS(T_StockCount[CountedQty],T_StockCount[RM_Code],$A9,T_StockCount[WeekIndex],72),IF((COUNTIFS(T_SelfStock[RM_Code],$A9,T_SelfStock[WeekIndex],72)&gt;0)*(COUNTIFS(T_TTAFStock[RM_Code],$A9,T_TTAFStock[WeekIndex],72)&gt;0)&gt;0,SUMIFS(T_SelfStock[Self_Qty],T_SelfStock[RM_Code],$A9,T_SelfStock[WeekIndex],72)+SUMIFS(T_TTAFStock[TTAF_Qty],T_TTAFStock[RM_Code],$A9,T_TTAFStock[WeekIndex],72),BT9+'Grid_Incoming'!BU9-'Grid_Requirement'!BU9))</f>
        <v/>
      </c>
      <c r="BV9">
        <f>IF(COUNTIFS(T_StockCount[RM_Code],$A9,T_StockCount[WeekIndex],73)&gt;0,SUMIFS(T_StockCount[CountedQty],T_StockCount[RM_Code],$A9,T_StockCount[WeekIndex],73),IF((COUNTIFS(T_SelfStock[RM_Code],$A9,T_SelfStock[WeekIndex],73)&gt;0)*(COUNTIFS(T_TTAFStock[RM_Code],$A9,T_TTAFStock[WeekIndex],73)&gt;0)&gt;0,SUMIFS(T_SelfStock[Self_Qty],T_SelfStock[RM_Code],$A9,T_SelfStock[WeekIndex],73)+SUMIFS(T_TTAFStock[TTAF_Qty],T_TTAFStock[RM_Code],$A9,T_TTAFStock[WeekIndex],73),BU9+'Grid_Incoming'!BV9-'Grid_Requirement'!BV9))</f>
        <v/>
      </c>
      <c r="BW9">
        <f>IF(COUNTIFS(T_StockCount[RM_Code],$A9,T_StockCount[WeekIndex],74)&gt;0,SUMIFS(T_StockCount[CountedQty],T_StockCount[RM_Code],$A9,T_StockCount[WeekIndex],74),IF((COUNTIFS(T_SelfStock[RM_Code],$A9,T_SelfStock[WeekIndex],74)&gt;0)*(COUNTIFS(T_TTAFStock[RM_Code],$A9,T_TTAFStock[WeekIndex],74)&gt;0)&gt;0,SUMIFS(T_SelfStock[Self_Qty],T_SelfStock[RM_Code],$A9,T_SelfStock[WeekIndex],74)+SUMIFS(T_TTAFStock[TTAF_Qty],T_TTAFStock[RM_Code],$A9,T_TTAFStock[WeekIndex],74),BV9+'Grid_Incoming'!BW9-'Grid_Requirement'!BW9))</f>
        <v/>
      </c>
      <c r="BX9">
        <f>IF(COUNTIFS(T_StockCount[RM_Code],$A9,T_StockCount[WeekIndex],75)&gt;0,SUMIFS(T_StockCount[CountedQty],T_StockCount[RM_Code],$A9,T_StockCount[WeekIndex],75),IF((COUNTIFS(T_SelfStock[RM_Code],$A9,T_SelfStock[WeekIndex],75)&gt;0)*(COUNTIFS(T_TTAFStock[RM_Code],$A9,T_TTAFStock[WeekIndex],75)&gt;0)&gt;0,SUMIFS(T_SelfStock[Self_Qty],T_SelfStock[RM_Code],$A9,T_SelfStock[WeekIndex],75)+SUMIFS(T_TTAFStock[TTAF_Qty],T_TTAFStock[RM_Code],$A9,T_TTAFStock[WeekIndex],75),BW9+'Grid_Incoming'!BX9-'Grid_Requirement'!BX9))</f>
        <v/>
      </c>
      <c r="BY9">
        <f>IF(COUNTIFS(T_StockCount[RM_Code],$A9,T_StockCount[WeekIndex],76)&gt;0,SUMIFS(T_StockCount[CountedQty],T_StockCount[RM_Code],$A9,T_StockCount[WeekIndex],76),IF((COUNTIFS(T_SelfStock[RM_Code],$A9,T_SelfStock[WeekIndex],76)&gt;0)*(COUNTIFS(T_TTAFStock[RM_Code],$A9,T_TTAFStock[WeekIndex],76)&gt;0)&gt;0,SUMIFS(T_SelfStock[Self_Qty],T_SelfStock[RM_Code],$A9,T_SelfStock[WeekIndex],76)+SUMIFS(T_TTAFStock[TTAF_Qty],T_TTAFStock[RM_Code],$A9,T_TTAFStock[WeekIndex],76),BX9+'Grid_Incoming'!BY9-'Grid_Requirement'!BY9))</f>
        <v/>
      </c>
      <c r="BZ9">
        <f>IF(COUNTIFS(T_StockCount[RM_Code],$A9,T_StockCount[WeekIndex],77)&gt;0,SUMIFS(T_StockCount[CountedQty],T_StockCount[RM_Code],$A9,T_StockCount[WeekIndex],77),IF((COUNTIFS(T_SelfStock[RM_Code],$A9,T_SelfStock[WeekIndex],77)&gt;0)*(COUNTIFS(T_TTAFStock[RM_Code],$A9,T_TTAFStock[WeekIndex],77)&gt;0)&gt;0,SUMIFS(T_SelfStock[Self_Qty],T_SelfStock[RM_Code],$A9,T_SelfStock[WeekIndex],77)+SUMIFS(T_TTAFStock[TTAF_Qty],T_TTAFStock[RM_Code],$A9,T_TTAFStock[WeekIndex],77),BY9+'Grid_Incoming'!BZ9-'Grid_Requirement'!BZ9))</f>
        <v/>
      </c>
      <c r="CA9">
        <f>IF(COUNTIFS(T_StockCount[RM_Code],$A9,T_StockCount[WeekIndex],78)&gt;0,SUMIFS(T_StockCount[CountedQty],T_StockCount[RM_Code],$A9,T_StockCount[WeekIndex],78),IF((COUNTIFS(T_SelfStock[RM_Code],$A9,T_SelfStock[WeekIndex],78)&gt;0)*(COUNTIFS(T_TTAFStock[RM_Code],$A9,T_TTAFStock[WeekIndex],78)&gt;0)&gt;0,SUMIFS(T_SelfStock[Self_Qty],T_SelfStock[RM_Code],$A9,T_SelfStock[WeekIndex],78)+SUMIFS(T_TTAFStock[TTAF_Qty],T_TTAFStock[RM_Code],$A9,T_TTAFStock[WeekIndex],78),BZ9+'Grid_Incoming'!CA9-'Grid_Requirement'!CA9))</f>
        <v/>
      </c>
      <c r="CB9">
        <f>IF(COUNTIFS(T_StockCount[RM_Code],$A9,T_StockCount[WeekIndex],79)&gt;0,SUMIFS(T_StockCount[CountedQty],T_StockCount[RM_Code],$A9,T_StockCount[WeekIndex],79),IF((COUNTIFS(T_SelfStock[RM_Code],$A9,T_SelfStock[WeekIndex],79)&gt;0)*(COUNTIFS(T_TTAFStock[RM_Code],$A9,T_TTAFStock[WeekIndex],79)&gt;0)&gt;0,SUMIFS(T_SelfStock[Self_Qty],T_SelfStock[RM_Code],$A9,T_SelfStock[WeekIndex],79)+SUMIFS(T_TTAFStock[TTAF_Qty],T_TTAFStock[RM_Code],$A9,T_TTAFStock[WeekIndex],79),CA9+'Grid_Incoming'!CB9-'Grid_Requirement'!CB9))</f>
        <v/>
      </c>
      <c r="CC9">
        <f>IF(COUNTIFS(T_StockCount[RM_Code],$A9,T_StockCount[WeekIndex],80)&gt;0,SUMIFS(T_StockCount[CountedQty],T_StockCount[RM_Code],$A9,T_StockCount[WeekIndex],80),IF((COUNTIFS(T_SelfStock[RM_Code],$A9,T_SelfStock[WeekIndex],80)&gt;0)*(COUNTIFS(T_TTAFStock[RM_Code],$A9,T_TTAFStock[WeekIndex],80)&gt;0)&gt;0,SUMIFS(T_SelfStock[Self_Qty],T_SelfStock[RM_Code],$A9,T_SelfStock[WeekIndex],80)+SUMIFS(T_TTAFStock[TTAF_Qty],T_TTAFStock[RM_Code],$A9,T_TTAFStock[WeekIndex],80),CB9+'Grid_Incoming'!CC9-'Grid_Requirement'!CC9))</f>
        <v/>
      </c>
      <c r="CD9">
        <f>IF(COUNTIFS(T_StockCount[RM_Code],$A9,T_StockCount[WeekIndex],81)&gt;0,SUMIFS(T_StockCount[CountedQty],T_StockCount[RM_Code],$A9,T_StockCount[WeekIndex],81),IF((COUNTIFS(T_SelfStock[RM_Code],$A9,T_SelfStock[WeekIndex],81)&gt;0)*(COUNTIFS(T_TTAFStock[RM_Code],$A9,T_TTAFStock[WeekIndex],81)&gt;0)&gt;0,SUMIFS(T_SelfStock[Self_Qty],T_SelfStock[RM_Code],$A9,T_SelfStock[WeekIndex],81)+SUMIFS(T_TTAFStock[TTAF_Qty],T_TTAFStock[RM_Code],$A9,T_TTAFStock[WeekIndex],81),CC9+'Grid_Incoming'!CD9-'Grid_Requirement'!CD9))</f>
        <v/>
      </c>
      <c r="CE9">
        <f>IF(COUNTIFS(T_StockCount[RM_Code],$A9,T_StockCount[WeekIndex],82)&gt;0,SUMIFS(T_StockCount[CountedQty],T_StockCount[RM_Code],$A9,T_StockCount[WeekIndex],82),IF((COUNTIFS(T_SelfStock[RM_Code],$A9,T_SelfStock[WeekIndex],82)&gt;0)*(COUNTIFS(T_TTAFStock[RM_Code],$A9,T_TTAFStock[WeekIndex],82)&gt;0)&gt;0,SUMIFS(T_SelfStock[Self_Qty],T_SelfStock[RM_Code],$A9,T_SelfStock[WeekIndex],82)+SUMIFS(T_TTAFStock[TTAF_Qty],T_TTAFStock[RM_Code],$A9,T_TTAFStock[WeekIndex],82),CD9+'Grid_Incoming'!CE9-'Grid_Requirement'!CE9))</f>
        <v/>
      </c>
      <c r="CF9">
        <f>IF(COUNTIFS(T_StockCount[RM_Code],$A9,T_StockCount[WeekIndex],83)&gt;0,SUMIFS(T_StockCount[CountedQty],T_StockCount[RM_Code],$A9,T_StockCount[WeekIndex],83),IF((COUNTIFS(T_SelfStock[RM_Code],$A9,T_SelfStock[WeekIndex],83)&gt;0)*(COUNTIFS(T_TTAFStock[RM_Code],$A9,T_TTAFStock[WeekIndex],83)&gt;0)&gt;0,SUMIFS(T_SelfStock[Self_Qty],T_SelfStock[RM_Code],$A9,T_SelfStock[WeekIndex],83)+SUMIFS(T_TTAFStock[TTAF_Qty],T_TTAFStock[RM_Code],$A9,T_TTAFStock[WeekIndex],83),CE9+'Grid_Incoming'!CF9-'Grid_Requirement'!CF9))</f>
        <v/>
      </c>
      <c r="CG9">
        <f>IF(COUNTIFS(T_StockCount[RM_Code],$A9,T_StockCount[WeekIndex],84)&gt;0,SUMIFS(T_StockCount[CountedQty],T_StockCount[RM_Code],$A9,T_StockCount[WeekIndex],84),IF((COUNTIFS(T_SelfStock[RM_Code],$A9,T_SelfStock[WeekIndex],84)&gt;0)*(COUNTIFS(T_TTAFStock[RM_Code],$A9,T_TTAFStock[WeekIndex],84)&gt;0)&gt;0,SUMIFS(T_SelfStock[Self_Qty],T_SelfStock[RM_Code],$A9,T_SelfStock[WeekIndex],84)+SUMIFS(T_TTAFStock[TTAF_Qty],T_TTAFStock[RM_Code],$A9,T_TTAFStock[WeekIndex],84),CF9+'Grid_Incoming'!CG9-'Grid_Requirement'!CG9))</f>
        <v/>
      </c>
      <c r="CH9">
        <f>IF(COUNTIFS(T_StockCount[RM_Code],$A9,T_StockCount[WeekIndex],85)&gt;0,SUMIFS(T_StockCount[CountedQty],T_StockCount[RM_Code],$A9,T_StockCount[WeekIndex],85),IF((COUNTIFS(T_SelfStock[RM_Code],$A9,T_SelfStock[WeekIndex],85)&gt;0)*(COUNTIFS(T_TTAFStock[RM_Code],$A9,T_TTAFStock[WeekIndex],85)&gt;0)&gt;0,SUMIFS(T_SelfStock[Self_Qty],T_SelfStock[RM_Code],$A9,T_SelfStock[WeekIndex],85)+SUMIFS(T_TTAFStock[TTAF_Qty],T_TTAFStock[RM_Code],$A9,T_TTAFStock[WeekIndex],85),CG9+'Grid_Incoming'!CH9-'Grid_Requirement'!CH9))</f>
        <v/>
      </c>
      <c r="CI9">
        <f>IF(COUNTIFS(T_StockCount[RM_Code],$A9,T_StockCount[WeekIndex],86)&gt;0,SUMIFS(T_StockCount[CountedQty],T_StockCount[RM_Code],$A9,T_StockCount[WeekIndex],86),IF((COUNTIFS(T_SelfStock[RM_Code],$A9,T_SelfStock[WeekIndex],86)&gt;0)*(COUNTIFS(T_TTAFStock[RM_Code],$A9,T_TTAFStock[WeekIndex],86)&gt;0)&gt;0,SUMIFS(T_SelfStock[Self_Qty],T_SelfStock[RM_Code],$A9,T_SelfStock[WeekIndex],86)+SUMIFS(T_TTAFStock[TTAF_Qty],T_TTAFStock[RM_Code],$A9,T_TTAFStock[WeekIndex],86),CH9+'Grid_Incoming'!CI9-'Grid_Requirement'!CI9))</f>
        <v/>
      </c>
      <c r="CJ9">
        <f>IF(COUNTIFS(T_StockCount[RM_Code],$A9,T_StockCount[WeekIndex],87)&gt;0,SUMIFS(T_StockCount[CountedQty],T_StockCount[RM_Code],$A9,T_StockCount[WeekIndex],87),IF((COUNTIFS(T_SelfStock[RM_Code],$A9,T_SelfStock[WeekIndex],87)&gt;0)*(COUNTIFS(T_TTAFStock[RM_Code],$A9,T_TTAFStock[WeekIndex],87)&gt;0)&gt;0,SUMIFS(T_SelfStock[Self_Qty],T_SelfStock[RM_Code],$A9,T_SelfStock[WeekIndex],87)+SUMIFS(T_TTAFStock[TTAF_Qty],T_TTAFStock[RM_Code],$A9,T_TTAFStock[WeekIndex],87),CI9+'Grid_Incoming'!CJ9-'Grid_Requirement'!CJ9))</f>
        <v/>
      </c>
      <c r="CK9">
        <f>IF(COUNTIFS(T_StockCount[RM_Code],$A9,T_StockCount[WeekIndex],88)&gt;0,SUMIFS(T_StockCount[CountedQty],T_StockCount[RM_Code],$A9,T_StockCount[WeekIndex],88),IF((COUNTIFS(T_SelfStock[RM_Code],$A9,T_SelfStock[WeekIndex],88)&gt;0)*(COUNTIFS(T_TTAFStock[RM_Code],$A9,T_TTAFStock[WeekIndex],88)&gt;0)&gt;0,SUMIFS(T_SelfStock[Self_Qty],T_SelfStock[RM_Code],$A9,T_SelfStock[WeekIndex],88)+SUMIFS(T_TTAFStock[TTAF_Qty],T_TTAFStock[RM_Code],$A9,T_TTAFStock[WeekIndex],88),CJ9+'Grid_Incoming'!CK9-'Grid_Requirement'!CK9))</f>
        <v/>
      </c>
      <c r="CL9">
        <f>IF(COUNTIFS(T_StockCount[RM_Code],$A9,T_StockCount[WeekIndex],89)&gt;0,SUMIFS(T_StockCount[CountedQty],T_StockCount[RM_Code],$A9,T_StockCount[WeekIndex],89),IF((COUNTIFS(T_SelfStock[RM_Code],$A9,T_SelfStock[WeekIndex],89)&gt;0)*(COUNTIFS(T_TTAFStock[RM_Code],$A9,T_TTAFStock[WeekIndex],89)&gt;0)&gt;0,SUMIFS(T_SelfStock[Self_Qty],T_SelfStock[RM_Code],$A9,T_SelfStock[WeekIndex],89)+SUMIFS(T_TTAFStock[TTAF_Qty],T_TTAFStock[RM_Code],$A9,T_TTAFStock[WeekIndex],89),CK9+'Grid_Incoming'!CL9-'Grid_Requirement'!CL9))</f>
        <v/>
      </c>
      <c r="CM9">
        <f>IF(COUNTIFS(T_StockCount[RM_Code],$A9,T_StockCount[WeekIndex],90)&gt;0,SUMIFS(T_StockCount[CountedQty],T_StockCount[RM_Code],$A9,T_StockCount[WeekIndex],90),IF((COUNTIFS(T_SelfStock[RM_Code],$A9,T_SelfStock[WeekIndex],90)&gt;0)*(COUNTIFS(T_TTAFStock[RM_Code],$A9,T_TTAFStock[WeekIndex],90)&gt;0)&gt;0,SUMIFS(T_SelfStock[Self_Qty],T_SelfStock[RM_Code],$A9,T_SelfStock[WeekIndex],90)+SUMIFS(T_TTAFStock[TTAF_Qty],T_TTAFStock[RM_Code],$A9,T_TTAFStock[WeekIndex],90),CL9+'Grid_Incoming'!CM9-'Grid_Requirement'!CM9))</f>
        <v/>
      </c>
      <c r="CN9">
        <f>IF(COUNTIFS(T_StockCount[RM_Code],$A9,T_StockCount[WeekIndex],91)&gt;0,SUMIFS(T_StockCount[CountedQty],T_StockCount[RM_Code],$A9,T_StockCount[WeekIndex],91),IF((COUNTIFS(T_SelfStock[RM_Code],$A9,T_SelfStock[WeekIndex],91)&gt;0)*(COUNTIFS(T_TTAFStock[RM_Code],$A9,T_TTAFStock[WeekIndex],91)&gt;0)&gt;0,SUMIFS(T_SelfStock[Self_Qty],T_SelfStock[RM_Code],$A9,T_SelfStock[WeekIndex],91)+SUMIFS(T_TTAFStock[TTAF_Qty],T_TTAFStock[RM_Code],$A9,T_TTAFStock[WeekIndex],91),CM9+'Grid_Incoming'!CN9-'Grid_Requirement'!CN9))</f>
        <v/>
      </c>
      <c r="CO9">
        <f>IF(COUNTIFS(T_StockCount[RM_Code],$A9,T_StockCount[WeekIndex],92)&gt;0,SUMIFS(T_StockCount[CountedQty],T_StockCount[RM_Code],$A9,T_StockCount[WeekIndex],92),IF((COUNTIFS(T_SelfStock[RM_Code],$A9,T_SelfStock[WeekIndex],92)&gt;0)*(COUNTIFS(T_TTAFStock[RM_Code],$A9,T_TTAFStock[WeekIndex],92)&gt;0)&gt;0,SUMIFS(T_SelfStock[Self_Qty],T_SelfStock[RM_Code],$A9,T_SelfStock[WeekIndex],92)+SUMIFS(T_TTAFStock[TTAF_Qty],T_TTAFStock[RM_Code],$A9,T_TTAFStock[WeekIndex],92),CN9+'Grid_Incoming'!CO9-'Grid_Requirement'!CO9))</f>
        <v/>
      </c>
      <c r="CP9">
        <f>IF(COUNTIFS(T_StockCount[RM_Code],$A9,T_StockCount[WeekIndex],93)&gt;0,SUMIFS(T_StockCount[CountedQty],T_StockCount[RM_Code],$A9,T_StockCount[WeekIndex],93),IF((COUNTIFS(T_SelfStock[RM_Code],$A9,T_SelfStock[WeekIndex],93)&gt;0)*(COUNTIFS(T_TTAFStock[RM_Code],$A9,T_TTAFStock[WeekIndex],93)&gt;0)&gt;0,SUMIFS(T_SelfStock[Self_Qty],T_SelfStock[RM_Code],$A9,T_SelfStock[WeekIndex],93)+SUMIFS(T_TTAFStock[TTAF_Qty],T_TTAFStock[RM_Code],$A9,T_TTAFStock[WeekIndex],93),CO9+'Grid_Incoming'!CP9-'Grid_Requirement'!CP9))</f>
        <v/>
      </c>
      <c r="CQ9">
        <f>IF(COUNTIFS(T_StockCount[RM_Code],$A9,T_StockCount[WeekIndex],94)&gt;0,SUMIFS(T_StockCount[CountedQty],T_StockCount[RM_Code],$A9,T_StockCount[WeekIndex],94),IF((COUNTIFS(T_SelfStock[RM_Code],$A9,T_SelfStock[WeekIndex],94)&gt;0)*(COUNTIFS(T_TTAFStock[RM_Code],$A9,T_TTAFStock[WeekIndex],94)&gt;0)&gt;0,SUMIFS(T_SelfStock[Self_Qty],T_SelfStock[RM_Code],$A9,T_SelfStock[WeekIndex],94)+SUMIFS(T_TTAFStock[TTAF_Qty],T_TTAFStock[RM_Code],$A9,T_TTAFStock[WeekIndex],94),CP9+'Grid_Incoming'!CQ9-'Grid_Requirement'!CQ9))</f>
        <v/>
      </c>
      <c r="CR9">
        <f>IF(COUNTIFS(T_StockCount[RM_Code],$A9,T_StockCount[WeekIndex],95)&gt;0,SUMIFS(T_StockCount[CountedQty],T_StockCount[RM_Code],$A9,T_StockCount[WeekIndex],95),IF((COUNTIFS(T_SelfStock[RM_Code],$A9,T_SelfStock[WeekIndex],95)&gt;0)*(COUNTIFS(T_TTAFStock[RM_Code],$A9,T_TTAFStock[WeekIndex],95)&gt;0)&gt;0,SUMIFS(T_SelfStock[Self_Qty],T_SelfStock[RM_Code],$A9,T_SelfStock[WeekIndex],95)+SUMIFS(T_TTAFStock[TTAF_Qty],T_TTAFStock[RM_Code],$A9,T_TTAFStock[WeekIndex],95),CQ9+'Grid_Incoming'!CR9-'Grid_Requirement'!CR9))</f>
        <v/>
      </c>
      <c r="CS9">
        <f>IF(COUNTIFS(T_StockCount[RM_Code],$A9,T_StockCount[WeekIndex],96)&gt;0,SUMIFS(T_StockCount[CountedQty],T_StockCount[RM_Code],$A9,T_StockCount[WeekIndex],96),IF((COUNTIFS(T_SelfStock[RM_Code],$A9,T_SelfStock[WeekIndex],96)&gt;0)*(COUNTIFS(T_TTAFStock[RM_Code],$A9,T_TTAFStock[WeekIndex],96)&gt;0)&gt;0,SUMIFS(T_SelfStock[Self_Qty],T_SelfStock[RM_Code],$A9,T_SelfStock[WeekIndex],96)+SUMIFS(T_TTAFStock[TTAF_Qty],T_TTAFStock[RM_Code],$A9,T_TTAFStock[WeekIndex],96),CR9+'Grid_Incoming'!CS9-'Grid_Requirement'!CS9))</f>
        <v/>
      </c>
      <c r="CT9">
        <f>IF(COUNTIFS(T_StockCount[RM_Code],$A9,T_StockCount[WeekIndex],97)&gt;0,SUMIFS(T_StockCount[CountedQty],T_StockCount[RM_Code],$A9,T_StockCount[WeekIndex],97),IF((COUNTIFS(T_SelfStock[RM_Code],$A9,T_SelfStock[WeekIndex],97)&gt;0)*(COUNTIFS(T_TTAFStock[RM_Code],$A9,T_TTAFStock[WeekIndex],97)&gt;0)&gt;0,SUMIFS(T_SelfStock[Self_Qty],T_SelfStock[RM_Code],$A9,T_SelfStock[WeekIndex],97)+SUMIFS(T_TTAFStock[TTAF_Qty],T_TTAFStock[RM_Code],$A9,T_TTAFStock[WeekIndex],97),CS9+'Grid_Incoming'!CT9-'Grid_Requirement'!CT9))</f>
        <v/>
      </c>
      <c r="CU9">
        <f>IF(COUNTIFS(T_StockCount[RM_Code],$A9,T_StockCount[WeekIndex],98)&gt;0,SUMIFS(T_StockCount[CountedQty],T_StockCount[RM_Code],$A9,T_StockCount[WeekIndex],98),IF((COUNTIFS(T_SelfStock[RM_Code],$A9,T_SelfStock[WeekIndex],98)&gt;0)*(COUNTIFS(T_TTAFStock[RM_Code],$A9,T_TTAFStock[WeekIndex],98)&gt;0)&gt;0,SUMIFS(T_SelfStock[Self_Qty],T_SelfStock[RM_Code],$A9,T_SelfStock[WeekIndex],98)+SUMIFS(T_TTAFStock[TTAF_Qty],T_TTAFStock[RM_Code],$A9,T_TTAFStock[WeekIndex],98),CT9+'Grid_Incoming'!CU9-'Grid_Requirement'!CU9))</f>
        <v/>
      </c>
      <c r="CV9">
        <f>IF(COUNTIFS(T_StockCount[RM_Code],$A9,T_StockCount[WeekIndex],99)&gt;0,SUMIFS(T_StockCount[CountedQty],T_StockCount[RM_Code],$A9,T_StockCount[WeekIndex],99),IF((COUNTIFS(T_SelfStock[RM_Code],$A9,T_SelfStock[WeekIndex],99)&gt;0)*(COUNTIFS(T_TTAFStock[RM_Code],$A9,T_TTAFStock[WeekIndex],99)&gt;0)&gt;0,SUMIFS(T_SelfStock[Self_Qty],T_SelfStock[RM_Code],$A9,T_SelfStock[WeekIndex],99)+SUMIFS(T_TTAFStock[TTAF_Qty],T_TTAFStock[RM_Code],$A9,T_TTAFStock[WeekIndex],99),CU9+'Grid_Incoming'!CV9-'Grid_Requirement'!CV9))</f>
        <v/>
      </c>
      <c r="CW9">
        <f>IF(COUNTIFS(T_StockCount[RM_Code],$A9,T_StockCount[WeekIndex],100)&gt;0,SUMIFS(T_StockCount[CountedQty],T_StockCount[RM_Code],$A9,T_StockCount[WeekIndex],100),IF((COUNTIFS(T_SelfStock[RM_Code],$A9,T_SelfStock[WeekIndex],100)&gt;0)*(COUNTIFS(T_TTAFStock[RM_Code],$A9,T_TTAFStock[WeekIndex],100)&gt;0)&gt;0,SUMIFS(T_SelfStock[Self_Qty],T_SelfStock[RM_Code],$A9,T_SelfStock[WeekIndex],100)+SUMIFS(T_TTAFStock[TTAF_Qty],T_TTAFStock[RM_Code],$A9,T_TTAFStock[WeekIndex],100),CV9+'Grid_Incoming'!CW9-'Grid_Requirement'!CW9))</f>
        <v/>
      </c>
      <c r="CX9">
        <f>IF(COUNTIFS(T_StockCount[RM_Code],$A9,T_StockCount[WeekIndex],101)&gt;0,SUMIFS(T_StockCount[CountedQty],T_StockCount[RM_Code],$A9,T_StockCount[WeekIndex],101),IF((COUNTIFS(T_SelfStock[RM_Code],$A9,T_SelfStock[WeekIndex],101)&gt;0)*(COUNTIFS(T_TTAFStock[RM_Code],$A9,T_TTAFStock[WeekIndex],101)&gt;0)&gt;0,SUMIFS(T_SelfStock[Self_Qty],T_SelfStock[RM_Code],$A9,T_SelfStock[WeekIndex],101)+SUMIFS(T_TTAFStock[TTAF_Qty],T_TTAFStock[RM_Code],$A9,T_TTAFStock[WeekIndex],101),CW9+'Grid_Incoming'!CX9-'Grid_Requirement'!CX9))</f>
        <v/>
      </c>
      <c r="CY9">
        <f>IF(COUNTIFS(T_StockCount[RM_Code],$A9,T_StockCount[WeekIndex],102)&gt;0,SUMIFS(T_StockCount[CountedQty],T_StockCount[RM_Code],$A9,T_StockCount[WeekIndex],102),IF((COUNTIFS(T_SelfStock[RM_Code],$A9,T_SelfStock[WeekIndex],102)&gt;0)*(COUNTIFS(T_TTAFStock[RM_Code],$A9,T_TTAFStock[WeekIndex],102)&gt;0)&gt;0,SUMIFS(T_SelfStock[Self_Qty],T_SelfStock[RM_Code],$A9,T_SelfStock[WeekIndex],102)+SUMIFS(T_TTAFStock[TTAF_Qty],T_TTAFStock[RM_Code],$A9,T_TTAFStock[WeekIndex],102),CX9+'Grid_Incoming'!CY9-'Grid_Requirement'!CY9))</f>
        <v/>
      </c>
      <c r="CZ9">
        <f>IF(COUNTIFS(T_StockCount[RM_Code],$A9,T_StockCount[WeekIndex],103)&gt;0,SUMIFS(T_StockCount[CountedQty],T_StockCount[RM_Code],$A9,T_StockCount[WeekIndex],103),IF((COUNTIFS(T_SelfStock[RM_Code],$A9,T_SelfStock[WeekIndex],103)&gt;0)*(COUNTIFS(T_TTAFStock[RM_Code],$A9,T_TTAFStock[WeekIndex],103)&gt;0)&gt;0,SUMIFS(T_SelfStock[Self_Qty],T_SelfStock[RM_Code],$A9,T_SelfStock[WeekIndex],103)+SUMIFS(T_TTAFStock[TTAF_Qty],T_TTAFStock[RM_Code],$A9,T_TTAFStock[WeekIndex],103),CY9+'Grid_Incoming'!CZ9-'Grid_Requirement'!CZ9))</f>
        <v/>
      </c>
      <c r="DA9">
        <f>IF(COUNTIFS(T_StockCount[RM_Code],$A9,T_StockCount[WeekIndex],104)&gt;0,SUMIFS(T_StockCount[CountedQty],T_StockCount[RM_Code],$A9,T_StockCount[WeekIndex],104),IF((COUNTIFS(T_SelfStock[RM_Code],$A9,T_SelfStock[WeekIndex],104)&gt;0)*(COUNTIFS(T_TTAFStock[RM_Code],$A9,T_TTAFStock[WeekIndex],104)&gt;0)&gt;0,SUMIFS(T_SelfStock[Self_Qty],T_SelfStock[RM_Code],$A9,T_SelfStock[WeekIndex],104)+SUMIFS(T_TTAFStock[TTAF_Qty],T_TTAFStock[RM_Code],$A9,T_TTAFStock[WeekIndex],104),CZ9+'Grid_Incoming'!DA9-'Grid_Requirement'!DA9))</f>
        <v/>
      </c>
    </row>
    <row r="10">
      <c r="A10" t="inlineStr">
        <is>
          <t>CHEM-1440</t>
        </is>
      </c>
      <c r="B10">
        <f>IF(COUNTIFS(T_StockCount[RM_Code],$A10,T_StockCount[WeekIndex],1)&gt;0,SUMIFS(T_StockCount[CountedQty],T_StockCount[RM_Code],$A10,T_StockCount[WeekIndex],1),IF((COUNTIFS(T_SelfStock[RM_Code],$A10,T_SelfStock[WeekIndex],1)&gt;0)*(COUNTIFS(T_TTAFStock[RM_Code],$A10,T_TTAFStock[WeekIndex],1)&gt;0)&gt;0,SUMIFS(T_SelfStock[Self_Qty],T_SelfStock[RM_Code],$A10,T_SelfStock[WeekIndex],1)+SUMIFS(T_TTAFStock[TTAF_Qty],T_TTAFStock[RM_Code],$A10,T_TTAFStock[WeekIndex],1),IFERROR(INDEX(T_OpeningStock[Opening_Qty],MATCH($A10,T_OpeningStock[RM_Code],0)),0)+'Grid_Incoming'!B10-'Grid_Requirement'!B10))</f>
        <v/>
      </c>
      <c r="C10">
        <f>IF(COUNTIFS(T_StockCount[RM_Code],$A10,T_StockCount[WeekIndex],2)&gt;0,SUMIFS(T_StockCount[CountedQty],T_StockCount[RM_Code],$A10,T_StockCount[WeekIndex],2),IF((COUNTIFS(T_SelfStock[RM_Code],$A10,T_SelfStock[WeekIndex],2)&gt;0)*(COUNTIFS(T_TTAFStock[RM_Code],$A10,T_TTAFStock[WeekIndex],2)&gt;0)&gt;0,SUMIFS(T_SelfStock[Self_Qty],T_SelfStock[RM_Code],$A10,T_SelfStock[WeekIndex],2)+SUMIFS(T_TTAFStock[TTAF_Qty],T_TTAFStock[RM_Code],$A10,T_TTAFStock[WeekIndex],2),B10+'Grid_Incoming'!C10-'Grid_Requirement'!C10))</f>
        <v/>
      </c>
      <c r="D10">
        <f>IF(COUNTIFS(T_StockCount[RM_Code],$A10,T_StockCount[WeekIndex],3)&gt;0,SUMIFS(T_StockCount[CountedQty],T_StockCount[RM_Code],$A10,T_StockCount[WeekIndex],3),IF((COUNTIFS(T_SelfStock[RM_Code],$A10,T_SelfStock[WeekIndex],3)&gt;0)*(COUNTIFS(T_TTAFStock[RM_Code],$A10,T_TTAFStock[WeekIndex],3)&gt;0)&gt;0,SUMIFS(T_SelfStock[Self_Qty],T_SelfStock[RM_Code],$A10,T_SelfStock[WeekIndex],3)+SUMIFS(T_TTAFStock[TTAF_Qty],T_TTAFStock[RM_Code],$A10,T_TTAFStock[WeekIndex],3),C10+'Grid_Incoming'!D10-'Grid_Requirement'!D10))</f>
        <v/>
      </c>
      <c r="E10">
        <f>IF(COUNTIFS(T_StockCount[RM_Code],$A10,T_StockCount[WeekIndex],4)&gt;0,SUMIFS(T_StockCount[CountedQty],T_StockCount[RM_Code],$A10,T_StockCount[WeekIndex],4),IF((COUNTIFS(T_SelfStock[RM_Code],$A10,T_SelfStock[WeekIndex],4)&gt;0)*(COUNTIFS(T_TTAFStock[RM_Code],$A10,T_TTAFStock[WeekIndex],4)&gt;0)&gt;0,SUMIFS(T_SelfStock[Self_Qty],T_SelfStock[RM_Code],$A10,T_SelfStock[WeekIndex],4)+SUMIFS(T_TTAFStock[TTAF_Qty],T_TTAFStock[RM_Code],$A10,T_TTAFStock[WeekIndex],4),D10+'Grid_Incoming'!E10-'Grid_Requirement'!E10))</f>
        <v/>
      </c>
      <c r="F10">
        <f>IF(COUNTIFS(T_StockCount[RM_Code],$A10,T_StockCount[WeekIndex],5)&gt;0,SUMIFS(T_StockCount[CountedQty],T_StockCount[RM_Code],$A10,T_StockCount[WeekIndex],5),IF((COUNTIFS(T_SelfStock[RM_Code],$A10,T_SelfStock[WeekIndex],5)&gt;0)*(COUNTIFS(T_TTAFStock[RM_Code],$A10,T_TTAFStock[WeekIndex],5)&gt;0)&gt;0,SUMIFS(T_SelfStock[Self_Qty],T_SelfStock[RM_Code],$A10,T_SelfStock[WeekIndex],5)+SUMIFS(T_TTAFStock[TTAF_Qty],T_TTAFStock[RM_Code],$A10,T_TTAFStock[WeekIndex],5),E10+'Grid_Incoming'!F10-'Grid_Requirement'!F10))</f>
        <v/>
      </c>
      <c r="G10">
        <f>IF(COUNTIFS(T_StockCount[RM_Code],$A10,T_StockCount[WeekIndex],6)&gt;0,SUMIFS(T_StockCount[CountedQty],T_StockCount[RM_Code],$A10,T_StockCount[WeekIndex],6),IF((COUNTIFS(T_SelfStock[RM_Code],$A10,T_SelfStock[WeekIndex],6)&gt;0)*(COUNTIFS(T_TTAFStock[RM_Code],$A10,T_TTAFStock[WeekIndex],6)&gt;0)&gt;0,SUMIFS(T_SelfStock[Self_Qty],T_SelfStock[RM_Code],$A10,T_SelfStock[WeekIndex],6)+SUMIFS(T_TTAFStock[TTAF_Qty],T_TTAFStock[RM_Code],$A10,T_TTAFStock[WeekIndex],6),F10+'Grid_Incoming'!G10-'Grid_Requirement'!G10))</f>
        <v/>
      </c>
      <c r="H10">
        <f>IF(COUNTIFS(T_StockCount[RM_Code],$A10,T_StockCount[WeekIndex],7)&gt;0,SUMIFS(T_StockCount[CountedQty],T_StockCount[RM_Code],$A10,T_StockCount[WeekIndex],7),IF((COUNTIFS(T_SelfStock[RM_Code],$A10,T_SelfStock[WeekIndex],7)&gt;0)*(COUNTIFS(T_TTAFStock[RM_Code],$A10,T_TTAFStock[WeekIndex],7)&gt;0)&gt;0,SUMIFS(T_SelfStock[Self_Qty],T_SelfStock[RM_Code],$A10,T_SelfStock[WeekIndex],7)+SUMIFS(T_TTAFStock[TTAF_Qty],T_TTAFStock[RM_Code],$A10,T_TTAFStock[WeekIndex],7),G10+'Grid_Incoming'!H10-'Grid_Requirement'!H10))</f>
        <v/>
      </c>
      <c r="I10">
        <f>IF(COUNTIFS(T_StockCount[RM_Code],$A10,T_StockCount[WeekIndex],8)&gt;0,SUMIFS(T_StockCount[CountedQty],T_StockCount[RM_Code],$A10,T_StockCount[WeekIndex],8),IF((COUNTIFS(T_SelfStock[RM_Code],$A10,T_SelfStock[WeekIndex],8)&gt;0)*(COUNTIFS(T_TTAFStock[RM_Code],$A10,T_TTAFStock[WeekIndex],8)&gt;0)&gt;0,SUMIFS(T_SelfStock[Self_Qty],T_SelfStock[RM_Code],$A10,T_SelfStock[WeekIndex],8)+SUMIFS(T_TTAFStock[TTAF_Qty],T_TTAFStock[RM_Code],$A10,T_TTAFStock[WeekIndex],8),H10+'Grid_Incoming'!I10-'Grid_Requirement'!I10))</f>
        <v/>
      </c>
      <c r="J10">
        <f>IF(COUNTIFS(T_StockCount[RM_Code],$A10,T_StockCount[WeekIndex],9)&gt;0,SUMIFS(T_StockCount[CountedQty],T_StockCount[RM_Code],$A10,T_StockCount[WeekIndex],9),IF((COUNTIFS(T_SelfStock[RM_Code],$A10,T_SelfStock[WeekIndex],9)&gt;0)*(COUNTIFS(T_TTAFStock[RM_Code],$A10,T_TTAFStock[WeekIndex],9)&gt;0)&gt;0,SUMIFS(T_SelfStock[Self_Qty],T_SelfStock[RM_Code],$A10,T_SelfStock[WeekIndex],9)+SUMIFS(T_TTAFStock[TTAF_Qty],T_TTAFStock[RM_Code],$A10,T_TTAFStock[WeekIndex],9),I10+'Grid_Incoming'!J10-'Grid_Requirement'!J10))</f>
        <v/>
      </c>
      <c r="K10">
        <f>IF(COUNTIFS(T_StockCount[RM_Code],$A10,T_StockCount[WeekIndex],10)&gt;0,SUMIFS(T_StockCount[CountedQty],T_StockCount[RM_Code],$A10,T_StockCount[WeekIndex],10),IF((COUNTIFS(T_SelfStock[RM_Code],$A10,T_SelfStock[WeekIndex],10)&gt;0)*(COUNTIFS(T_TTAFStock[RM_Code],$A10,T_TTAFStock[WeekIndex],10)&gt;0)&gt;0,SUMIFS(T_SelfStock[Self_Qty],T_SelfStock[RM_Code],$A10,T_SelfStock[WeekIndex],10)+SUMIFS(T_TTAFStock[TTAF_Qty],T_TTAFStock[RM_Code],$A10,T_TTAFStock[WeekIndex],10),J10+'Grid_Incoming'!K10-'Grid_Requirement'!K10))</f>
        <v/>
      </c>
      <c r="L10">
        <f>IF(COUNTIFS(T_StockCount[RM_Code],$A10,T_StockCount[WeekIndex],11)&gt;0,SUMIFS(T_StockCount[CountedQty],T_StockCount[RM_Code],$A10,T_StockCount[WeekIndex],11),IF((COUNTIFS(T_SelfStock[RM_Code],$A10,T_SelfStock[WeekIndex],11)&gt;0)*(COUNTIFS(T_TTAFStock[RM_Code],$A10,T_TTAFStock[WeekIndex],11)&gt;0)&gt;0,SUMIFS(T_SelfStock[Self_Qty],T_SelfStock[RM_Code],$A10,T_SelfStock[WeekIndex],11)+SUMIFS(T_TTAFStock[TTAF_Qty],T_TTAFStock[RM_Code],$A10,T_TTAFStock[WeekIndex],11),K10+'Grid_Incoming'!L10-'Grid_Requirement'!L10))</f>
        <v/>
      </c>
      <c r="M10">
        <f>IF(COUNTIFS(T_StockCount[RM_Code],$A10,T_StockCount[WeekIndex],12)&gt;0,SUMIFS(T_StockCount[CountedQty],T_StockCount[RM_Code],$A10,T_StockCount[WeekIndex],12),IF((COUNTIFS(T_SelfStock[RM_Code],$A10,T_SelfStock[WeekIndex],12)&gt;0)*(COUNTIFS(T_TTAFStock[RM_Code],$A10,T_TTAFStock[WeekIndex],12)&gt;0)&gt;0,SUMIFS(T_SelfStock[Self_Qty],T_SelfStock[RM_Code],$A10,T_SelfStock[WeekIndex],12)+SUMIFS(T_TTAFStock[TTAF_Qty],T_TTAFStock[RM_Code],$A10,T_TTAFStock[WeekIndex],12),L10+'Grid_Incoming'!M10-'Grid_Requirement'!M10))</f>
        <v/>
      </c>
      <c r="N10">
        <f>IF(COUNTIFS(T_StockCount[RM_Code],$A10,T_StockCount[WeekIndex],13)&gt;0,SUMIFS(T_StockCount[CountedQty],T_StockCount[RM_Code],$A10,T_StockCount[WeekIndex],13),IF((COUNTIFS(T_SelfStock[RM_Code],$A10,T_SelfStock[WeekIndex],13)&gt;0)*(COUNTIFS(T_TTAFStock[RM_Code],$A10,T_TTAFStock[WeekIndex],13)&gt;0)&gt;0,SUMIFS(T_SelfStock[Self_Qty],T_SelfStock[RM_Code],$A10,T_SelfStock[WeekIndex],13)+SUMIFS(T_TTAFStock[TTAF_Qty],T_TTAFStock[RM_Code],$A10,T_TTAFStock[WeekIndex],13),M10+'Grid_Incoming'!N10-'Grid_Requirement'!N10))</f>
        <v/>
      </c>
      <c r="O10">
        <f>IF(COUNTIFS(T_StockCount[RM_Code],$A10,T_StockCount[WeekIndex],14)&gt;0,SUMIFS(T_StockCount[CountedQty],T_StockCount[RM_Code],$A10,T_StockCount[WeekIndex],14),IF((COUNTIFS(T_SelfStock[RM_Code],$A10,T_SelfStock[WeekIndex],14)&gt;0)*(COUNTIFS(T_TTAFStock[RM_Code],$A10,T_TTAFStock[WeekIndex],14)&gt;0)&gt;0,SUMIFS(T_SelfStock[Self_Qty],T_SelfStock[RM_Code],$A10,T_SelfStock[WeekIndex],14)+SUMIFS(T_TTAFStock[TTAF_Qty],T_TTAFStock[RM_Code],$A10,T_TTAFStock[WeekIndex],14),N10+'Grid_Incoming'!O10-'Grid_Requirement'!O10))</f>
        <v/>
      </c>
      <c r="P10">
        <f>IF(COUNTIFS(T_StockCount[RM_Code],$A10,T_StockCount[WeekIndex],15)&gt;0,SUMIFS(T_StockCount[CountedQty],T_StockCount[RM_Code],$A10,T_StockCount[WeekIndex],15),IF((COUNTIFS(T_SelfStock[RM_Code],$A10,T_SelfStock[WeekIndex],15)&gt;0)*(COUNTIFS(T_TTAFStock[RM_Code],$A10,T_TTAFStock[WeekIndex],15)&gt;0)&gt;0,SUMIFS(T_SelfStock[Self_Qty],T_SelfStock[RM_Code],$A10,T_SelfStock[WeekIndex],15)+SUMIFS(T_TTAFStock[TTAF_Qty],T_TTAFStock[RM_Code],$A10,T_TTAFStock[WeekIndex],15),O10+'Grid_Incoming'!P10-'Grid_Requirement'!P10))</f>
        <v/>
      </c>
      <c r="Q10">
        <f>IF(COUNTIFS(T_StockCount[RM_Code],$A10,T_StockCount[WeekIndex],16)&gt;0,SUMIFS(T_StockCount[CountedQty],T_StockCount[RM_Code],$A10,T_StockCount[WeekIndex],16),IF((COUNTIFS(T_SelfStock[RM_Code],$A10,T_SelfStock[WeekIndex],16)&gt;0)*(COUNTIFS(T_TTAFStock[RM_Code],$A10,T_TTAFStock[WeekIndex],16)&gt;0)&gt;0,SUMIFS(T_SelfStock[Self_Qty],T_SelfStock[RM_Code],$A10,T_SelfStock[WeekIndex],16)+SUMIFS(T_TTAFStock[TTAF_Qty],T_TTAFStock[RM_Code],$A10,T_TTAFStock[WeekIndex],16),P10+'Grid_Incoming'!Q10-'Grid_Requirement'!Q10))</f>
        <v/>
      </c>
      <c r="R10">
        <f>IF(COUNTIFS(T_StockCount[RM_Code],$A10,T_StockCount[WeekIndex],17)&gt;0,SUMIFS(T_StockCount[CountedQty],T_StockCount[RM_Code],$A10,T_StockCount[WeekIndex],17),IF((COUNTIFS(T_SelfStock[RM_Code],$A10,T_SelfStock[WeekIndex],17)&gt;0)*(COUNTIFS(T_TTAFStock[RM_Code],$A10,T_TTAFStock[WeekIndex],17)&gt;0)&gt;0,SUMIFS(T_SelfStock[Self_Qty],T_SelfStock[RM_Code],$A10,T_SelfStock[WeekIndex],17)+SUMIFS(T_TTAFStock[TTAF_Qty],T_TTAFStock[RM_Code],$A10,T_TTAFStock[WeekIndex],17),Q10+'Grid_Incoming'!R10-'Grid_Requirement'!R10))</f>
        <v/>
      </c>
      <c r="S10">
        <f>IF(COUNTIFS(T_StockCount[RM_Code],$A10,T_StockCount[WeekIndex],18)&gt;0,SUMIFS(T_StockCount[CountedQty],T_StockCount[RM_Code],$A10,T_StockCount[WeekIndex],18),IF((COUNTIFS(T_SelfStock[RM_Code],$A10,T_SelfStock[WeekIndex],18)&gt;0)*(COUNTIFS(T_TTAFStock[RM_Code],$A10,T_TTAFStock[WeekIndex],18)&gt;0)&gt;0,SUMIFS(T_SelfStock[Self_Qty],T_SelfStock[RM_Code],$A10,T_SelfStock[WeekIndex],18)+SUMIFS(T_TTAFStock[TTAF_Qty],T_TTAFStock[RM_Code],$A10,T_TTAFStock[WeekIndex],18),R10+'Grid_Incoming'!S10-'Grid_Requirement'!S10))</f>
        <v/>
      </c>
      <c r="T10">
        <f>IF(COUNTIFS(T_StockCount[RM_Code],$A10,T_StockCount[WeekIndex],19)&gt;0,SUMIFS(T_StockCount[CountedQty],T_StockCount[RM_Code],$A10,T_StockCount[WeekIndex],19),IF((COUNTIFS(T_SelfStock[RM_Code],$A10,T_SelfStock[WeekIndex],19)&gt;0)*(COUNTIFS(T_TTAFStock[RM_Code],$A10,T_TTAFStock[WeekIndex],19)&gt;0)&gt;0,SUMIFS(T_SelfStock[Self_Qty],T_SelfStock[RM_Code],$A10,T_SelfStock[WeekIndex],19)+SUMIFS(T_TTAFStock[TTAF_Qty],T_TTAFStock[RM_Code],$A10,T_TTAFStock[WeekIndex],19),S10+'Grid_Incoming'!T10-'Grid_Requirement'!T10))</f>
        <v/>
      </c>
      <c r="U10">
        <f>IF(COUNTIFS(T_StockCount[RM_Code],$A10,T_StockCount[WeekIndex],20)&gt;0,SUMIFS(T_StockCount[CountedQty],T_StockCount[RM_Code],$A10,T_StockCount[WeekIndex],20),IF((COUNTIFS(T_SelfStock[RM_Code],$A10,T_SelfStock[WeekIndex],20)&gt;0)*(COUNTIFS(T_TTAFStock[RM_Code],$A10,T_TTAFStock[WeekIndex],20)&gt;0)&gt;0,SUMIFS(T_SelfStock[Self_Qty],T_SelfStock[RM_Code],$A10,T_SelfStock[WeekIndex],20)+SUMIFS(T_TTAFStock[TTAF_Qty],T_TTAFStock[RM_Code],$A10,T_TTAFStock[WeekIndex],20),T10+'Grid_Incoming'!U10-'Grid_Requirement'!U10))</f>
        <v/>
      </c>
      <c r="V10">
        <f>IF(COUNTIFS(T_StockCount[RM_Code],$A10,T_StockCount[WeekIndex],21)&gt;0,SUMIFS(T_StockCount[CountedQty],T_StockCount[RM_Code],$A10,T_StockCount[WeekIndex],21),IF((COUNTIFS(T_SelfStock[RM_Code],$A10,T_SelfStock[WeekIndex],21)&gt;0)*(COUNTIFS(T_TTAFStock[RM_Code],$A10,T_TTAFStock[WeekIndex],21)&gt;0)&gt;0,SUMIFS(T_SelfStock[Self_Qty],T_SelfStock[RM_Code],$A10,T_SelfStock[WeekIndex],21)+SUMIFS(T_TTAFStock[TTAF_Qty],T_TTAFStock[RM_Code],$A10,T_TTAFStock[WeekIndex],21),U10+'Grid_Incoming'!V10-'Grid_Requirement'!V10))</f>
        <v/>
      </c>
      <c r="W10">
        <f>IF(COUNTIFS(T_StockCount[RM_Code],$A10,T_StockCount[WeekIndex],22)&gt;0,SUMIFS(T_StockCount[CountedQty],T_StockCount[RM_Code],$A10,T_StockCount[WeekIndex],22),IF((COUNTIFS(T_SelfStock[RM_Code],$A10,T_SelfStock[WeekIndex],22)&gt;0)*(COUNTIFS(T_TTAFStock[RM_Code],$A10,T_TTAFStock[WeekIndex],22)&gt;0)&gt;0,SUMIFS(T_SelfStock[Self_Qty],T_SelfStock[RM_Code],$A10,T_SelfStock[WeekIndex],22)+SUMIFS(T_TTAFStock[TTAF_Qty],T_TTAFStock[RM_Code],$A10,T_TTAFStock[WeekIndex],22),V10+'Grid_Incoming'!W10-'Grid_Requirement'!W10))</f>
        <v/>
      </c>
      <c r="X10">
        <f>IF(COUNTIFS(T_StockCount[RM_Code],$A10,T_StockCount[WeekIndex],23)&gt;0,SUMIFS(T_StockCount[CountedQty],T_StockCount[RM_Code],$A10,T_StockCount[WeekIndex],23),IF((COUNTIFS(T_SelfStock[RM_Code],$A10,T_SelfStock[WeekIndex],23)&gt;0)*(COUNTIFS(T_TTAFStock[RM_Code],$A10,T_TTAFStock[WeekIndex],23)&gt;0)&gt;0,SUMIFS(T_SelfStock[Self_Qty],T_SelfStock[RM_Code],$A10,T_SelfStock[WeekIndex],23)+SUMIFS(T_TTAFStock[TTAF_Qty],T_TTAFStock[RM_Code],$A10,T_TTAFStock[WeekIndex],23),W10+'Grid_Incoming'!X10-'Grid_Requirement'!X10))</f>
        <v/>
      </c>
      <c r="Y10">
        <f>IF(COUNTIFS(T_StockCount[RM_Code],$A10,T_StockCount[WeekIndex],24)&gt;0,SUMIFS(T_StockCount[CountedQty],T_StockCount[RM_Code],$A10,T_StockCount[WeekIndex],24),IF((COUNTIFS(T_SelfStock[RM_Code],$A10,T_SelfStock[WeekIndex],24)&gt;0)*(COUNTIFS(T_TTAFStock[RM_Code],$A10,T_TTAFStock[WeekIndex],24)&gt;0)&gt;0,SUMIFS(T_SelfStock[Self_Qty],T_SelfStock[RM_Code],$A10,T_SelfStock[WeekIndex],24)+SUMIFS(T_TTAFStock[TTAF_Qty],T_TTAFStock[RM_Code],$A10,T_TTAFStock[WeekIndex],24),X10+'Grid_Incoming'!Y10-'Grid_Requirement'!Y10))</f>
        <v/>
      </c>
      <c r="Z10">
        <f>IF(COUNTIFS(T_StockCount[RM_Code],$A10,T_StockCount[WeekIndex],25)&gt;0,SUMIFS(T_StockCount[CountedQty],T_StockCount[RM_Code],$A10,T_StockCount[WeekIndex],25),IF((COUNTIFS(T_SelfStock[RM_Code],$A10,T_SelfStock[WeekIndex],25)&gt;0)*(COUNTIFS(T_TTAFStock[RM_Code],$A10,T_TTAFStock[WeekIndex],25)&gt;0)&gt;0,SUMIFS(T_SelfStock[Self_Qty],T_SelfStock[RM_Code],$A10,T_SelfStock[WeekIndex],25)+SUMIFS(T_TTAFStock[TTAF_Qty],T_TTAFStock[RM_Code],$A10,T_TTAFStock[WeekIndex],25),Y10+'Grid_Incoming'!Z10-'Grid_Requirement'!Z10))</f>
        <v/>
      </c>
      <c r="AA10">
        <f>IF(COUNTIFS(T_StockCount[RM_Code],$A10,T_StockCount[WeekIndex],26)&gt;0,SUMIFS(T_StockCount[CountedQty],T_StockCount[RM_Code],$A10,T_StockCount[WeekIndex],26),IF((COUNTIFS(T_SelfStock[RM_Code],$A10,T_SelfStock[WeekIndex],26)&gt;0)*(COUNTIFS(T_TTAFStock[RM_Code],$A10,T_TTAFStock[WeekIndex],26)&gt;0)&gt;0,SUMIFS(T_SelfStock[Self_Qty],T_SelfStock[RM_Code],$A10,T_SelfStock[WeekIndex],26)+SUMIFS(T_TTAFStock[TTAF_Qty],T_TTAFStock[RM_Code],$A10,T_TTAFStock[WeekIndex],26),Z10+'Grid_Incoming'!AA10-'Grid_Requirement'!AA10))</f>
        <v/>
      </c>
      <c r="AB10">
        <f>IF(COUNTIFS(T_StockCount[RM_Code],$A10,T_StockCount[WeekIndex],27)&gt;0,SUMIFS(T_StockCount[CountedQty],T_StockCount[RM_Code],$A10,T_StockCount[WeekIndex],27),IF((COUNTIFS(T_SelfStock[RM_Code],$A10,T_SelfStock[WeekIndex],27)&gt;0)*(COUNTIFS(T_TTAFStock[RM_Code],$A10,T_TTAFStock[WeekIndex],27)&gt;0)&gt;0,SUMIFS(T_SelfStock[Self_Qty],T_SelfStock[RM_Code],$A10,T_SelfStock[WeekIndex],27)+SUMIFS(T_TTAFStock[TTAF_Qty],T_TTAFStock[RM_Code],$A10,T_TTAFStock[WeekIndex],27),AA10+'Grid_Incoming'!AB10-'Grid_Requirement'!AB10))</f>
        <v/>
      </c>
      <c r="AC10">
        <f>IF(COUNTIFS(T_StockCount[RM_Code],$A10,T_StockCount[WeekIndex],28)&gt;0,SUMIFS(T_StockCount[CountedQty],T_StockCount[RM_Code],$A10,T_StockCount[WeekIndex],28),IF((COUNTIFS(T_SelfStock[RM_Code],$A10,T_SelfStock[WeekIndex],28)&gt;0)*(COUNTIFS(T_TTAFStock[RM_Code],$A10,T_TTAFStock[WeekIndex],28)&gt;0)&gt;0,SUMIFS(T_SelfStock[Self_Qty],T_SelfStock[RM_Code],$A10,T_SelfStock[WeekIndex],28)+SUMIFS(T_TTAFStock[TTAF_Qty],T_TTAFStock[RM_Code],$A10,T_TTAFStock[WeekIndex],28),AB10+'Grid_Incoming'!AC10-'Grid_Requirement'!AC10))</f>
        <v/>
      </c>
      <c r="AD10">
        <f>IF(COUNTIFS(T_StockCount[RM_Code],$A10,T_StockCount[WeekIndex],29)&gt;0,SUMIFS(T_StockCount[CountedQty],T_StockCount[RM_Code],$A10,T_StockCount[WeekIndex],29),IF((COUNTIFS(T_SelfStock[RM_Code],$A10,T_SelfStock[WeekIndex],29)&gt;0)*(COUNTIFS(T_TTAFStock[RM_Code],$A10,T_TTAFStock[WeekIndex],29)&gt;0)&gt;0,SUMIFS(T_SelfStock[Self_Qty],T_SelfStock[RM_Code],$A10,T_SelfStock[WeekIndex],29)+SUMIFS(T_TTAFStock[TTAF_Qty],T_TTAFStock[RM_Code],$A10,T_TTAFStock[WeekIndex],29),AC10+'Grid_Incoming'!AD10-'Grid_Requirement'!AD10))</f>
        <v/>
      </c>
      <c r="AE10">
        <f>IF(COUNTIFS(T_StockCount[RM_Code],$A10,T_StockCount[WeekIndex],30)&gt;0,SUMIFS(T_StockCount[CountedQty],T_StockCount[RM_Code],$A10,T_StockCount[WeekIndex],30),IF((COUNTIFS(T_SelfStock[RM_Code],$A10,T_SelfStock[WeekIndex],30)&gt;0)*(COUNTIFS(T_TTAFStock[RM_Code],$A10,T_TTAFStock[WeekIndex],30)&gt;0)&gt;0,SUMIFS(T_SelfStock[Self_Qty],T_SelfStock[RM_Code],$A10,T_SelfStock[WeekIndex],30)+SUMIFS(T_TTAFStock[TTAF_Qty],T_TTAFStock[RM_Code],$A10,T_TTAFStock[WeekIndex],30),AD10+'Grid_Incoming'!AE10-'Grid_Requirement'!AE10))</f>
        <v/>
      </c>
      <c r="AF10">
        <f>IF(COUNTIFS(T_StockCount[RM_Code],$A10,T_StockCount[WeekIndex],31)&gt;0,SUMIFS(T_StockCount[CountedQty],T_StockCount[RM_Code],$A10,T_StockCount[WeekIndex],31),IF((COUNTIFS(T_SelfStock[RM_Code],$A10,T_SelfStock[WeekIndex],31)&gt;0)*(COUNTIFS(T_TTAFStock[RM_Code],$A10,T_TTAFStock[WeekIndex],31)&gt;0)&gt;0,SUMIFS(T_SelfStock[Self_Qty],T_SelfStock[RM_Code],$A10,T_SelfStock[WeekIndex],31)+SUMIFS(T_TTAFStock[TTAF_Qty],T_TTAFStock[RM_Code],$A10,T_TTAFStock[WeekIndex],31),AE10+'Grid_Incoming'!AF10-'Grid_Requirement'!AF10))</f>
        <v/>
      </c>
      <c r="AG10">
        <f>IF(COUNTIFS(T_StockCount[RM_Code],$A10,T_StockCount[WeekIndex],32)&gt;0,SUMIFS(T_StockCount[CountedQty],T_StockCount[RM_Code],$A10,T_StockCount[WeekIndex],32),IF((COUNTIFS(T_SelfStock[RM_Code],$A10,T_SelfStock[WeekIndex],32)&gt;0)*(COUNTIFS(T_TTAFStock[RM_Code],$A10,T_TTAFStock[WeekIndex],32)&gt;0)&gt;0,SUMIFS(T_SelfStock[Self_Qty],T_SelfStock[RM_Code],$A10,T_SelfStock[WeekIndex],32)+SUMIFS(T_TTAFStock[TTAF_Qty],T_TTAFStock[RM_Code],$A10,T_TTAFStock[WeekIndex],32),AF10+'Grid_Incoming'!AG10-'Grid_Requirement'!AG10))</f>
        <v/>
      </c>
      <c r="AH10">
        <f>IF(COUNTIFS(T_StockCount[RM_Code],$A10,T_StockCount[WeekIndex],33)&gt;0,SUMIFS(T_StockCount[CountedQty],T_StockCount[RM_Code],$A10,T_StockCount[WeekIndex],33),IF((COUNTIFS(T_SelfStock[RM_Code],$A10,T_SelfStock[WeekIndex],33)&gt;0)*(COUNTIFS(T_TTAFStock[RM_Code],$A10,T_TTAFStock[WeekIndex],33)&gt;0)&gt;0,SUMIFS(T_SelfStock[Self_Qty],T_SelfStock[RM_Code],$A10,T_SelfStock[WeekIndex],33)+SUMIFS(T_TTAFStock[TTAF_Qty],T_TTAFStock[RM_Code],$A10,T_TTAFStock[WeekIndex],33),AG10+'Grid_Incoming'!AH10-'Grid_Requirement'!AH10))</f>
        <v/>
      </c>
      <c r="AI10">
        <f>IF(COUNTIFS(T_StockCount[RM_Code],$A10,T_StockCount[WeekIndex],34)&gt;0,SUMIFS(T_StockCount[CountedQty],T_StockCount[RM_Code],$A10,T_StockCount[WeekIndex],34),IF((COUNTIFS(T_SelfStock[RM_Code],$A10,T_SelfStock[WeekIndex],34)&gt;0)*(COUNTIFS(T_TTAFStock[RM_Code],$A10,T_TTAFStock[WeekIndex],34)&gt;0)&gt;0,SUMIFS(T_SelfStock[Self_Qty],T_SelfStock[RM_Code],$A10,T_SelfStock[WeekIndex],34)+SUMIFS(T_TTAFStock[TTAF_Qty],T_TTAFStock[RM_Code],$A10,T_TTAFStock[WeekIndex],34),AH10+'Grid_Incoming'!AI10-'Grid_Requirement'!AI10))</f>
        <v/>
      </c>
      <c r="AJ10">
        <f>IF(COUNTIFS(T_StockCount[RM_Code],$A10,T_StockCount[WeekIndex],35)&gt;0,SUMIFS(T_StockCount[CountedQty],T_StockCount[RM_Code],$A10,T_StockCount[WeekIndex],35),IF((COUNTIFS(T_SelfStock[RM_Code],$A10,T_SelfStock[WeekIndex],35)&gt;0)*(COUNTIFS(T_TTAFStock[RM_Code],$A10,T_TTAFStock[WeekIndex],35)&gt;0)&gt;0,SUMIFS(T_SelfStock[Self_Qty],T_SelfStock[RM_Code],$A10,T_SelfStock[WeekIndex],35)+SUMIFS(T_TTAFStock[TTAF_Qty],T_TTAFStock[RM_Code],$A10,T_TTAFStock[WeekIndex],35),AI10+'Grid_Incoming'!AJ10-'Grid_Requirement'!AJ10))</f>
        <v/>
      </c>
      <c r="AK10">
        <f>IF(COUNTIFS(T_StockCount[RM_Code],$A10,T_StockCount[WeekIndex],36)&gt;0,SUMIFS(T_StockCount[CountedQty],T_StockCount[RM_Code],$A10,T_StockCount[WeekIndex],36),IF((COUNTIFS(T_SelfStock[RM_Code],$A10,T_SelfStock[WeekIndex],36)&gt;0)*(COUNTIFS(T_TTAFStock[RM_Code],$A10,T_TTAFStock[WeekIndex],36)&gt;0)&gt;0,SUMIFS(T_SelfStock[Self_Qty],T_SelfStock[RM_Code],$A10,T_SelfStock[WeekIndex],36)+SUMIFS(T_TTAFStock[TTAF_Qty],T_TTAFStock[RM_Code],$A10,T_TTAFStock[WeekIndex],36),AJ10+'Grid_Incoming'!AK10-'Grid_Requirement'!AK10))</f>
        <v/>
      </c>
      <c r="AL10">
        <f>IF(COUNTIFS(T_StockCount[RM_Code],$A10,T_StockCount[WeekIndex],37)&gt;0,SUMIFS(T_StockCount[CountedQty],T_StockCount[RM_Code],$A10,T_StockCount[WeekIndex],37),IF((COUNTIFS(T_SelfStock[RM_Code],$A10,T_SelfStock[WeekIndex],37)&gt;0)*(COUNTIFS(T_TTAFStock[RM_Code],$A10,T_TTAFStock[WeekIndex],37)&gt;0)&gt;0,SUMIFS(T_SelfStock[Self_Qty],T_SelfStock[RM_Code],$A10,T_SelfStock[WeekIndex],37)+SUMIFS(T_TTAFStock[TTAF_Qty],T_TTAFStock[RM_Code],$A10,T_TTAFStock[WeekIndex],37),AK10+'Grid_Incoming'!AL10-'Grid_Requirement'!AL10))</f>
        <v/>
      </c>
      <c r="AM10">
        <f>IF(COUNTIFS(T_StockCount[RM_Code],$A10,T_StockCount[WeekIndex],38)&gt;0,SUMIFS(T_StockCount[CountedQty],T_StockCount[RM_Code],$A10,T_StockCount[WeekIndex],38),IF((COUNTIFS(T_SelfStock[RM_Code],$A10,T_SelfStock[WeekIndex],38)&gt;0)*(COUNTIFS(T_TTAFStock[RM_Code],$A10,T_TTAFStock[WeekIndex],38)&gt;0)&gt;0,SUMIFS(T_SelfStock[Self_Qty],T_SelfStock[RM_Code],$A10,T_SelfStock[WeekIndex],38)+SUMIFS(T_TTAFStock[TTAF_Qty],T_TTAFStock[RM_Code],$A10,T_TTAFStock[WeekIndex],38),AL10+'Grid_Incoming'!AM10-'Grid_Requirement'!AM10))</f>
        <v/>
      </c>
      <c r="AN10">
        <f>IF(COUNTIFS(T_StockCount[RM_Code],$A10,T_StockCount[WeekIndex],39)&gt;0,SUMIFS(T_StockCount[CountedQty],T_StockCount[RM_Code],$A10,T_StockCount[WeekIndex],39),IF((COUNTIFS(T_SelfStock[RM_Code],$A10,T_SelfStock[WeekIndex],39)&gt;0)*(COUNTIFS(T_TTAFStock[RM_Code],$A10,T_TTAFStock[WeekIndex],39)&gt;0)&gt;0,SUMIFS(T_SelfStock[Self_Qty],T_SelfStock[RM_Code],$A10,T_SelfStock[WeekIndex],39)+SUMIFS(T_TTAFStock[TTAF_Qty],T_TTAFStock[RM_Code],$A10,T_TTAFStock[WeekIndex],39),AM10+'Grid_Incoming'!AN10-'Grid_Requirement'!AN10))</f>
        <v/>
      </c>
      <c r="AO10">
        <f>IF(COUNTIFS(T_StockCount[RM_Code],$A10,T_StockCount[WeekIndex],40)&gt;0,SUMIFS(T_StockCount[CountedQty],T_StockCount[RM_Code],$A10,T_StockCount[WeekIndex],40),IF((COUNTIFS(T_SelfStock[RM_Code],$A10,T_SelfStock[WeekIndex],40)&gt;0)*(COUNTIFS(T_TTAFStock[RM_Code],$A10,T_TTAFStock[WeekIndex],40)&gt;0)&gt;0,SUMIFS(T_SelfStock[Self_Qty],T_SelfStock[RM_Code],$A10,T_SelfStock[WeekIndex],40)+SUMIFS(T_TTAFStock[TTAF_Qty],T_TTAFStock[RM_Code],$A10,T_TTAFStock[WeekIndex],40),AN10+'Grid_Incoming'!AO10-'Grid_Requirement'!AO10))</f>
        <v/>
      </c>
      <c r="AP10">
        <f>IF(COUNTIFS(T_StockCount[RM_Code],$A10,T_StockCount[WeekIndex],41)&gt;0,SUMIFS(T_StockCount[CountedQty],T_StockCount[RM_Code],$A10,T_StockCount[WeekIndex],41),IF((COUNTIFS(T_SelfStock[RM_Code],$A10,T_SelfStock[WeekIndex],41)&gt;0)*(COUNTIFS(T_TTAFStock[RM_Code],$A10,T_TTAFStock[WeekIndex],41)&gt;0)&gt;0,SUMIFS(T_SelfStock[Self_Qty],T_SelfStock[RM_Code],$A10,T_SelfStock[WeekIndex],41)+SUMIFS(T_TTAFStock[TTAF_Qty],T_TTAFStock[RM_Code],$A10,T_TTAFStock[WeekIndex],41),AO10+'Grid_Incoming'!AP10-'Grid_Requirement'!AP10))</f>
        <v/>
      </c>
      <c r="AQ10">
        <f>IF(COUNTIFS(T_StockCount[RM_Code],$A10,T_StockCount[WeekIndex],42)&gt;0,SUMIFS(T_StockCount[CountedQty],T_StockCount[RM_Code],$A10,T_StockCount[WeekIndex],42),IF((COUNTIFS(T_SelfStock[RM_Code],$A10,T_SelfStock[WeekIndex],42)&gt;0)*(COUNTIFS(T_TTAFStock[RM_Code],$A10,T_TTAFStock[WeekIndex],42)&gt;0)&gt;0,SUMIFS(T_SelfStock[Self_Qty],T_SelfStock[RM_Code],$A10,T_SelfStock[WeekIndex],42)+SUMIFS(T_TTAFStock[TTAF_Qty],T_TTAFStock[RM_Code],$A10,T_TTAFStock[WeekIndex],42),AP10+'Grid_Incoming'!AQ10-'Grid_Requirement'!AQ10))</f>
        <v/>
      </c>
      <c r="AR10">
        <f>IF(COUNTIFS(T_StockCount[RM_Code],$A10,T_StockCount[WeekIndex],43)&gt;0,SUMIFS(T_StockCount[CountedQty],T_StockCount[RM_Code],$A10,T_StockCount[WeekIndex],43),IF((COUNTIFS(T_SelfStock[RM_Code],$A10,T_SelfStock[WeekIndex],43)&gt;0)*(COUNTIFS(T_TTAFStock[RM_Code],$A10,T_TTAFStock[WeekIndex],43)&gt;0)&gt;0,SUMIFS(T_SelfStock[Self_Qty],T_SelfStock[RM_Code],$A10,T_SelfStock[WeekIndex],43)+SUMIFS(T_TTAFStock[TTAF_Qty],T_TTAFStock[RM_Code],$A10,T_TTAFStock[WeekIndex],43),AQ10+'Grid_Incoming'!AR10-'Grid_Requirement'!AR10))</f>
        <v/>
      </c>
      <c r="AS10">
        <f>IF(COUNTIFS(T_StockCount[RM_Code],$A10,T_StockCount[WeekIndex],44)&gt;0,SUMIFS(T_StockCount[CountedQty],T_StockCount[RM_Code],$A10,T_StockCount[WeekIndex],44),IF((COUNTIFS(T_SelfStock[RM_Code],$A10,T_SelfStock[WeekIndex],44)&gt;0)*(COUNTIFS(T_TTAFStock[RM_Code],$A10,T_TTAFStock[WeekIndex],44)&gt;0)&gt;0,SUMIFS(T_SelfStock[Self_Qty],T_SelfStock[RM_Code],$A10,T_SelfStock[WeekIndex],44)+SUMIFS(T_TTAFStock[TTAF_Qty],T_TTAFStock[RM_Code],$A10,T_TTAFStock[WeekIndex],44),AR10+'Grid_Incoming'!AS10-'Grid_Requirement'!AS10))</f>
        <v/>
      </c>
      <c r="AT10">
        <f>IF(COUNTIFS(T_StockCount[RM_Code],$A10,T_StockCount[WeekIndex],45)&gt;0,SUMIFS(T_StockCount[CountedQty],T_StockCount[RM_Code],$A10,T_StockCount[WeekIndex],45),IF((COUNTIFS(T_SelfStock[RM_Code],$A10,T_SelfStock[WeekIndex],45)&gt;0)*(COUNTIFS(T_TTAFStock[RM_Code],$A10,T_TTAFStock[WeekIndex],45)&gt;0)&gt;0,SUMIFS(T_SelfStock[Self_Qty],T_SelfStock[RM_Code],$A10,T_SelfStock[WeekIndex],45)+SUMIFS(T_TTAFStock[TTAF_Qty],T_TTAFStock[RM_Code],$A10,T_TTAFStock[WeekIndex],45),AS10+'Grid_Incoming'!AT10-'Grid_Requirement'!AT10))</f>
        <v/>
      </c>
      <c r="AU10">
        <f>IF(COUNTIFS(T_StockCount[RM_Code],$A10,T_StockCount[WeekIndex],46)&gt;0,SUMIFS(T_StockCount[CountedQty],T_StockCount[RM_Code],$A10,T_StockCount[WeekIndex],46),IF((COUNTIFS(T_SelfStock[RM_Code],$A10,T_SelfStock[WeekIndex],46)&gt;0)*(COUNTIFS(T_TTAFStock[RM_Code],$A10,T_TTAFStock[WeekIndex],46)&gt;0)&gt;0,SUMIFS(T_SelfStock[Self_Qty],T_SelfStock[RM_Code],$A10,T_SelfStock[WeekIndex],46)+SUMIFS(T_TTAFStock[TTAF_Qty],T_TTAFStock[RM_Code],$A10,T_TTAFStock[WeekIndex],46),AT10+'Grid_Incoming'!AU10-'Grid_Requirement'!AU10))</f>
        <v/>
      </c>
      <c r="AV10">
        <f>IF(COUNTIFS(T_StockCount[RM_Code],$A10,T_StockCount[WeekIndex],47)&gt;0,SUMIFS(T_StockCount[CountedQty],T_StockCount[RM_Code],$A10,T_StockCount[WeekIndex],47),IF((COUNTIFS(T_SelfStock[RM_Code],$A10,T_SelfStock[WeekIndex],47)&gt;0)*(COUNTIFS(T_TTAFStock[RM_Code],$A10,T_TTAFStock[WeekIndex],47)&gt;0)&gt;0,SUMIFS(T_SelfStock[Self_Qty],T_SelfStock[RM_Code],$A10,T_SelfStock[WeekIndex],47)+SUMIFS(T_TTAFStock[TTAF_Qty],T_TTAFStock[RM_Code],$A10,T_TTAFStock[WeekIndex],47),AU10+'Grid_Incoming'!AV10-'Grid_Requirement'!AV10))</f>
        <v/>
      </c>
      <c r="AW10">
        <f>IF(COUNTIFS(T_StockCount[RM_Code],$A10,T_StockCount[WeekIndex],48)&gt;0,SUMIFS(T_StockCount[CountedQty],T_StockCount[RM_Code],$A10,T_StockCount[WeekIndex],48),IF((COUNTIFS(T_SelfStock[RM_Code],$A10,T_SelfStock[WeekIndex],48)&gt;0)*(COUNTIFS(T_TTAFStock[RM_Code],$A10,T_TTAFStock[WeekIndex],48)&gt;0)&gt;0,SUMIFS(T_SelfStock[Self_Qty],T_SelfStock[RM_Code],$A10,T_SelfStock[WeekIndex],48)+SUMIFS(T_TTAFStock[TTAF_Qty],T_TTAFStock[RM_Code],$A10,T_TTAFStock[WeekIndex],48),AV10+'Grid_Incoming'!AW10-'Grid_Requirement'!AW10))</f>
        <v/>
      </c>
      <c r="AX10">
        <f>IF(COUNTIFS(T_StockCount[RM_Code],$A10,T_StockCount[WeekIndex],49)&gt;0,SUMIFS(T_StockCount[CountedQty],T_StockCount[RM_Code],$A10,T_StockCount[WeekIndex],49),IF((COUNTIFS(T_SelfStock[RM_Code],$A10,T_SelfStock[WeekIndex],49)&gt;0)*(COUNTIFS(T_TTAFStock[RM_Code],$A10,T_TTAFStock[WeekIndex],49)&gt;0)&gt;0,SUMIFS(T_SelfStock[Self_Qty],T_SelfStock[RM_Code],$A10,T_SelfStock[WeekIndex],49)+SUMIFS(T_TTAFStock[TTAF_Qty],T_TTAFStock[RM_Code],$A10,T_TTAFStock[WeekIndex],49),AW10+'Grid_Incoming'!AX10-'Grid_Requirement'!AX10))</f>
        <v/>
      </c>
      <c r="AY10">
        <f>IF(COUNTIFS(T_StockCount[RM_Code],$A10,T_StockCount[WeekIndex],50)&gt;0,SUMIFS(T_StockCount[CountedQty],T_StockCount[RM_Code],$A10,T_StockCount[WeekIndex],50),IF((COUNTIFS(T_SelfStock[RM_Code],$A10,T_SelfStock[WeekIndex],50)&gt;0)*(COUNTIFS(T_TTAFStock[RM_Code],$A10,T_TTAFStock[WeekIndex],50)&gt;0)&gt;0,SUMIFS(T_SelfStock[Self_Qty],T_SelfStock[RM_Code],$A10,T_SelfStock[WeekIndex],50)+SUMIFS(T_TTAFStock[TTAF_Qty],T_TTAFStock[RM_Code],$A10,T_TTAFStock[WeekIndex],50),AX10+'Grid_Incoming'!AY10-'Grid_Requirement'!AY10))</f>
        <v/>
      </c>
      <c r="AZ10">
        <f>IF(COUNTIFS(T_StockCount[RM_Code],$A10,T_StockCount[WeekIndex],51)&gt;0,SUMIFS(T_StockCount[CountedQty],T_StockCount[RM_Code],$A10,T_StockCount[WeekIndex],51),IF((COUNTIFS(T_SelfStock[RM_Code],$A10,T_SelfStock[WeekIndex],51)&gt;0)*(COUNTIFS(T_TTAFStock[RM_Code],$A10,T_TTAFStock[WeekIndex],51)&gt;0)&gt;0,SUMIFS(T_SelfStock[Self_Qty],T_SelfStock[RM_Code],$A10,T_SelfStock[WeekIndex],51)+SUMIFS(T_TTAFStock[TTAF_Qty],T_TTAFStock[RM_Code],$A10,T_TTAFStock[WeekIndex],51),AY10+'Grid_Incoming'!AZ10-'Grid_Requirement'!AZ10))</f>
        <v/>
      </c>
      <c r="BA10">
        <f>IF(COUNTIFS(T_StockCount[RM_Code],$A10,T_StockCount[WeekIndex],52)&gt;0,SUMIFS(T_StockCount[CountedQty],T_StockCount[RM_Code],$A10,T_StockCount[WeekIndex],52),IF((COUNTIFS(T_SelfStock[RM_Code],$A10,T_SelfStock[WeekIndex],52)&gt;0)*(COUNTIFS(T_TTAFStock[RM_Code],$A10,T_TTAFStock[WeekIndex],52)&gt;0)&gt;0,SUMIFS(T_SelfStock[Self_Qty],T_SelfStock[RM_Code],$A10,T_SelfStock[WeekIndex],52)+SUMIFS(T_TTAFStock[TTAF_Qty],T_TTAFStock[RM_Code],$A10,T_TTAFStock[WeekIndex],52),AZ10+'Grid_Incoming'!BA10-'Grid_Requirement'!BA10))</f>
        <v/>
      </c>
      <c r="BB10">
        <f>IF(COUNTIFS(T_StockCount[RM_Code],$A10,T_StockCount[WeekIndex],53)&gt;0,SUMIFS(T_StockCount[CountedQty],T_StockCount[RM_Code],$A10,T_StockCount[WeekIndex],53),IF((COUNTIFS(T_SelfStock[RM_Code],$A10,T_SelfStock[WeekIndex],53)&gt;0)*(COUNTIFS(T_TTAFStock[RM_Code],$A10,T_TTAFStock[WeekIndex],53)&gt;0)&gt;0,SUMIFS(T_SelfStock[Self_Qty],T_SelfStock[RM_Code],$A10,T_SelfStock[WeekIndex],53)+SUMIFS(T_TTAFStock[TTAF_Qty],T_TTAFStock[RM_Code],$A10,T_TTAFStock[WeekIndex],53),BA10+'Grid_Incoming'!BB10-'Grid_Requirement'!BB10))</f>
        <v/>
      </c>
      <c r="BC10">
        <f>IF(COUNTIFS(T_StockCount[RM_Code],$A10,T_StockCount[WeekIndex],54)&gt;0,SUMIFS(T_StockCount[CountedQty],T_StockCount[RM_Code],$A10,T_StockCount[WeekIndex],54),IF((COUNTIFS(T_SelfStock[RM_Code],$A10,T_SelfStock[WeekIndex],54)&gt;0)*(COUNTIFS(T_TTAFStock[RM_Code],$A10,T_TTAFStock[WeekIndex],54)&gt;0)&gt;0,SUMIFS(T_SelfStock[Self_Qty],T_SelfStock[RM_Code],$A10,T_SelfStock[WeekIndex],54)+SUMIFS(T_TTAFStock[TTAF_Qty],T_TTAFStock[RM_Code],$A10,T_TTAFStock[WeekIndex],54),BB10+'Grid_Incoming'!BC10-'Grid_Requirement'!BC10))</f>
        <v/>
      </c>
      <c r="BD10">
        <f>IF(COUNTIFS(T_StockCount[RM_Code],$A10,T_StockCount[WeekIndex],55)&gt;0,SUMIFS(T_StockCount[CountedQty],T_StockCount[RM_Code],$A10,T_StockCount[WeekIndex],55),IF((COUNTIFS(T_SelfStock[RM_Code],$A10,T_SelfStock[WeekIndex],55)&gt;0)*(COUNTIFS(T_TTAFStock[RM_Code],$A10,T_TTAFStock[WeekIndex],55)&gt;0)&gt;0,SUMIFS(T_SelfStock[Self_Qty],T_SelfStock[RM_Code],$A10,T_SelfStock[WeekIndex],55)+SUMIFS(T_TTAFStock[TTAF_Qty],T_TTAFStock[RM_Code],$A10,T_TTAFStock[WeekIndex],55),BC10+'Grid_Incoming'!BD10-'Grid_Requirement'!BD10))</f>
        <v/>
      </c>
      <c r="BE10">
        <f>IF(COUNTIFS(T_StockCount[RM_Code],$A10,T_StockCount[WeekIndex],56)&gt;0,SUMIFS(T_StockCount[CountedQty],T_StockCount[RM_Code],$A10,T_StockCount[WeekIndex],56),IF((COUNTIFS(T_SelfStock[RM_Code],$A10,T_SelfStock[WeekIndex],56)&gt;0)*(COUNTIFS(T_TTAFStock[RM_Code],$A10,T_TTAFStock[WeekIndex],56)&gt;0)&gt;0,SUMIFS(T_SelfStock[Self_Qty],T_SelfStock[RM_Code],$A10,T_SelfStock[WeekIndex],56)+SUMIFS(T_TTAFStock[TTAF_Qty],T_TTAFStock[RM_Code],$A10,T_TTAFStock[WeekIndex],56),BD10+'Grid_Incoming'!BE10-'Grid_Requirement'!BE10))</f>
        <v/>
      </c>
      <c r="BF10">
        <f>IF(COUNTIFS(T_StockCount[RM_Code],$A10,T_StockCount[WeekIndex],57)&gt;0,SUMIFS(T_StockCount[CountedQty],T_StockCount[RM_Code],$A10,T_StockCount[WeekIndex],57),IF((COUNTIFS(T_SelfStock[RM_Code],$A10,T_SelfStock[WeekIndex],57)&gt;0)*(COUNTIFS(T_TTAFStock[RM_Code],$A10,T_TTAFStock[WeekIndex],57)&gt;0)&gt;0,SUMIFS(T_SelfStock[Self_Qty],T_SelfStock[RM_Code],$A10,T_SelfStock[WeekIndex],57)+SUMIFS(T_TTAFStock[TTAF_Qty],T_TTAFStock[RM_Code],$A10,T_TTAFStock[WeekIndex],57),BE10+'Grid_Incoming'!BF10-'Grid_Requirement'!BF10))</f>
        <v/>
      </c>
      <c r="BG10">
        <f>IF(COUNTIFS(T_StockCount[RM_Code],$A10,T_StockCount[WeekIndex],58)&gt;0,SUMIFS(T_StockCount[CountedQty],T_StockCount[RM_Code],$A10,T_StockCount[WeekIndex],58),IF((COUNTIFS(T_SelfStock[RM_Code],$A10,T_SelfStock[WeekIndex],58)&gt;0)*(COUNTIFS(T_TTAFStock[RM_Code],$A10,T_TTAFStock[WeekIndex],58)&gt;0)&gt;0,SUMIFS(T_SelfStock[Self_Qty],T_SelfStock[RM_Code],$A10,T_SelfStock[WeekIndex],58)+SUMIFS(T_TTAFStock[TTAF_Qty],T_TTAFStock[RM_Code],$A10,T_TTAFStock[WeekIndex],58),BF10+'Grid_Incoming'!BG10-'Grid_Requirement'!BG10))</f>
        <v/>
      </c>
      <c r="BH10">
        <f>IF(COUNTIFS(T_StockCount[RM_Code],$A10,T_StockCount[WeekIndex],59)&gt;0,SUMIFS(T_StockCount[CountedQty],T_StockCount[RM_Code],$A10,T_StockCount[WeekIndex],59),IF((COUNTIFS(T_SelfStock[RM_Code],$A10,T_SelfStock[WeekIndex],59)&gt;0)*(COUNTIFS(T_TTAFStock[RM_Code],$A10,T_TTAFStock[WeekIndex],59)&gt;0)&gt;0,SUMIFS(T_SelfStock[Self_Qty],T_SelfStock[RM_Code],$A10,T_SelfStock[WeekIndex],59)+SUMIFS(T_TTAFStock[TTAF_Qty],T_TTAFStock[RM_Code],$A10,T_TTAFStock[WeekIndex],59),BG10+'Grid_Incoming'!BH10-'Grid_Requirement'!BH10))</f>
        <v/>
      </c>
      <c r="BI10">
        <f>IF(COUNTIFS(T_StockCount[RM_Code],$A10,T_StockCount[WeekIndex],60)&gt;0,SUMIFS(T_StockCount[CountedQty],T_StockCount[RM_Code],$A10,T_StockCount[WeekIndex],60),IF((COUNTIFS(T_SelfStock[RM_Code],$A10,T_SelfStock[WeekIndex],60)&gt;0)*(COUNTIFS(T_TTAFStock[RM_Code],$A10,T_TTAFStock[WeekIndex],60)&gt;0)&gt;0,SUMIFS(T_SelfStock[Self_Qty],T_SelfStock[RM_Code],$A10,T_SelfStock[WeekIndex],60)+SUMIFS(T_TTAFStock[TTAF_Qty],T_TTAFStock[RM_Code],$A10,T_TTAFStock[WeekIndex],60),BH10+'Grid_Incoming'!BI10-'Grid_Requirement'!BI10))</f>
        <v/>
      </c>
      <c r="BJ10">
        <f>IF(COUNTIFS(T_StockCount[RM_Code],$A10,T_StockCount[WeekIndex],61)&gt;0,SUMIFS(T_StockCount[CountedQty],T_StockCount[RM_Code],$A10,T_StockCount[WeekIndex],61),IF((COUNTIFS(T_SelfStock[RM_Code],$A10,T_SelfStock[WeekIndex],61)&gt;0)*(COUNTIFS(T_TTAFStock[RM_Code],$A10,T_TTAFStock[WeekIndex],61)&gt;0)&gt;0,SUMIFS(T_SelfStock[Self_Qty],T_SelfStock[RM_Code],$A10,T_SelfStock[WeekIndex],61)+SUMIFS(T_TTAFStock[TTAF_Qty],T_TTAFStock[RM_Code],$A10,T_TTAFStock[WeekIndex],61),BI10+'Grid_Incoming'!BJ10-'Grid_Requirement'!BJ10))</f>
        <v/>
      </c>
      <c r="BK10">
        <f>IF(COUNTIFS(T_StockCount[RM_Code],$A10,T_StockCount[WeekIndex],62)&gt;0,SUMIFS(T_StockCount[CountedQty],T_StockCount[RM_Code],$A10,T_StockCount[WeekIndex],62),IF((COUNTIFS(T_SelfStock[RM_Code],$A10,T_SelfStock[WeekIndex],62)&gt;0)*(COUNTIFS(T_TTAFStock[RM_Code],$A10,T_TTAFStock[WeekIndex],62)&gt;0)&gt;0,SUMIFS(T_SelfStock[Self_Qty],T_SelfStock[RM_Code],$A10,T_SelfStock[WeekIndex],62)+SUMIFS(T_TTAFStock[TTAF_Qty],T_TTAFStock[RM_Code],$A10,T_TTAFStock[WeekIndex],62),BJ10+'Grid_Incoming'!BK10-'Grid_Requirement'!BK10))</f>
        <v/>
      </c>
      <c r="BL10">
        <f>IF(COUNTIFS(T_StockCount[RM_Code],$A10,T_StockCount[WeekIndex],63)&gt;0,SUMIFS(T_StockCount[CountedQty],T_StockCount[RM_Code],$A10,T_StockCount[WeekIndex],63),IF((COUNTIFS(T_SelfStock[RM_Code],$A10,T_SelfStock[WeekIndex],63)&gt;0)*(COUNTIFS(T_TTAFStock[RM_Code],$A10,T_TTAFStock[WeekIndex],63)&gt;0)&gt;0,SUMIFS(T_SelfStock[Self_Qty],T_SelfStock[RM_Code],$A10,T_SelfStock[WeekIndex],63)+SUMIFS(T_TTAFStock[TTAF_Qty],T_TTAFStock[RM_Code],$A10,T_TTAFStock[WeekIndex],63),BK10+'Grid_Incoming'!BL10-'Grid_Requirement'!BL10))</f>
        <v/>
      </c>
      <c r="BM10">
        <f>IF(COUNTIFS(T_StockCount[RM_Code],$A10,T_StockCount[WeekIndex],64)&gt;0,SUMIFS(T_StockCount[CountedQty],T_StockCount[RM_Code],$A10,T_StockCount[WeekIndex],64),IF((COUNTIFS(T_SelfStock[RM_Code],$A10,T_SelfStock[WeekIndex],64)&gt;0)*(COUNTIFS(T_TTAFStock[RM_Code],$A10,T_TTAFStock[WeekIndex],64)&gt;0)&gt;0,SUMIFS(T_SelfStock[Self_Qty],T_SelfStock[RM_Code],$A10,T_SelfStock[WeekIndex],64)+SUMIFS(T_TTAFStock[TTAF_Qty],T_TTAFStock[RM_Code],$A10,T_TTAFStock[WeekIndex],64),BL10+'Grid_Incoming'!BM10-'Grid_Requirement'!BM10))</f>
        <v/>
      </c>
      <c r="BN10">
        <f>IF(COUNTIFS(T_StockCount[RM_Code],$A10,T_StockCount[WeekIndex],65)&gt;0,SUMIFS(T_StockCount[CountedQty],T_StockCount[RM_Code],$A10,T_StockCount[WeekIndex],65),IF((COUNTIFS(T_SelfStock[RM_Code],$A10,T_SelfStock[WeekIndex],65)&gt;0)*(COUNTIFS(T_TTAFStock[RM_Code],$A10,T_TTAFStock[WeekIndex],65)&gt;0)&gt;0,SUMIFS(T_SelfStock[Self_Qty],T_SelfStock[RM_Code],$A10,T_SelfStock[WeekIndex],65)+SUMIFS(T_TTAFStock[TTAF_Qty],T_TTAFStock[RM_Code],$A10,T_TTAFStock[WeekIndex],65),BM10+'Grid_Incoming'!BN10-'Grid_Requirement'!BN10))</f>
        <v/>
      </c>
      <c r="BO10">
        <f>IF(COUNTIFS(T_StockCount[RM_Code],$A10,T_StockCount[WeekIndex],66)&gt;0,SUMIFS(T_StockCount[CountedQty],T_StockCount[RM_Code],$A10,T_StockCount[WeekIndex],66),IF((COUNTIFS(T_SelfStock[RM_Code],$A10,T_SelfStock[WeekIndex],66)&gt;0)*(COUNTIFS(T_TTAFStock[RM_Code],$A10,T_TTAFStock[WeekIndex],66)&gt;0)&gt;0,SUMIFS(T_SelfStock[Self_Qty],T_SelfStock[RM_Code],$A10,T_SelfStock[WeekIndex],66)+SUMIFS(T_TTAFStock[TTAF_Qty],T_TTAFStock[RM_Code],$A10,T_TTAFStock[WeekIndex],66),BN10+'Grid_Incoming'!BO10-'Grid_Requirement'!BO10))</f>
        <v/>
      </c>
      <c r="BP10">
        <f>IF(COUNTIFS(T_StockCount[RM_Code],$A10,T_StockCount[WeekIndex],67)&gt;0,SUMIFS(T_StockCount[CountedQty],T_StockCount[RM_Code],$A10,T_StockCount[WeekIndex],67),IF((COUNTIFS(T_SelfStock[RM_Code],$A10,T_SelfStock[WeekIndex],67)&gt;0)*(COUNTIFS(T_TTAFStock[RM_Code],$A10,T_TTAFStock[WeekIndex],67)&gt;0)&gt;0,SUMIFS(T_SelfStock[Self_Qty],T_SelfStock[RM_Code],$A10,T_SelfStock[WeekIndex],67)+SUMIFS(T_TTAFStock[TTAF_Qty],T_TTAFStock[RM_Code],$A10,T_TTAFStock[WeekIndex],67),BO10+'Grid_Incoming'!BP10-'Grid_Requirement'!BP10))</f>
        <v/>
      </c>
      <c r="BQ10">
        <f>IF(COUNTIFS(T_StockCount[RM_Code],$A10,T_StockCount[WeekIndex],68)&gt;0,SUMIFS(T_StockCount[CountedQty],T_StockCount[RM_Code],$A10,T_StockCount[WeekIndex],68),IF((COUNTIFS(T_SelfStock[RM_Code],$A10,T_SelfStock[WeekIndex],68)&gt;0)*(COUNTIFS(T_TTAFStock[RM_Code],$A10,T_TTAFStock[WeekIndex],68)&gt;0)&gt;0,SUMIFS(T_SelfStock[Self_Qty],T_SelfStock[RM_Code],$A10,T_SelfStock[WeekIndex],68)+SUMIFS(T_TTAFStock[TTAF_Qty],T_TTAFStock[RM_Code],$A10,T_TTAFStock[WeekIndex],68),BP10+'Grid_Incoming'!BQ10-'Grid_Requirement'!BQ10))</f>
        <v/>
      </c>
      <c r="BR10">
        <f>IF(COUNTIFS(T_StockCount[RM_Code],$A10,T_StockCount[WeekIndex],69)&gt;0,SUMIFS(T_StockCount[CountedQty],T_StockCount[RM_Code],$A10,T_StockCount[WeekIndex],69),IF((COUNTIFS(T_SelfStock[RM_Code],$A10,T_SelfStock[WeekIndex],69)&gt;0)*(COUNTIFS(T_TTAFStock[RM_Code],$A10,T_TTAFStock[WeekIndex],69)&gt;0)&gt;0,SUMIFS(T_SelfStock[Self_Qty],T_SelfStock[RM_Code],$A10,T_SelfStock[WeekIndex],69)+SUMIFS(T_TTAFStock[TTAF_Qty],T_TTAFStock[RM_Code],$A10,T_TTAFStock[WeekIndex],69),BQ10+'Grid_Incoming'!BR10-'Grid_Requirement'!BR10))</f>
        <v/>
      </c>
      <c r="BS10">
        <f>IF(COUNTIFS(T_StockCount[RM_Code],$A10,T_StockCount[WeekIndex],70)&gt;0,SUMIFS(T_StockCount[CountedQty],T_StockCount[RM_Code],$A10,T_StockCount[WeekIndex],70),IF((COUNTIFS(T_SelfStock[RM_Code],$A10,T_SelfStock[WeekIndex],70)&gt;0)*(COUNTIFS(T_TTAFStock[RM_Code],$A10,T_TTAFStock[WeekIndex],70)&gt;0)&gt;0,SUMIFS(T_SelfStock[Self_Qty],T_SelfStock[RM_Code],$A10,T_SelfStock[WeekIndex],70)+SUMIFS(T_TTAFStock[TTAF_Qty],T_TTAFStock[RM_Code],$A10,T_TTAFStock[WeekIndex],70),BR10+'Grid_Incoming'!BS10-'Grid_Requirement'!BS10))</f>
        <v/>
      </c>
      <c r="BT10">
        <f>IF(COUNTIFS(T_StockCount[RM_Code],$A10,T_StockCount[WeekIndex],71)&gt;0,SUMIFS(T_StockCount[CountedQty],T_StockCount[RM_Code],$A10,T_StockCount[WeekIndex],71),IF((COUNTIFS(T_SelfStock[RM_Code],$A10,T_SelfStock[WeekIndex],71)&gt;0)*(COUNTIFS(T_TTAFStock[RM_Code],$A10,T_TTAFStock[WeekIndex],71)&gt;0)&gt;0,SUMIFS(T_SelfStock[Self_Qty],T_SelfStock[RM_Code],$A10,T_SelfStock[WeekIndex],71)+SUMIFS(T_TTAFStock[TTAF_Qty],T_TTAFStock[RM_Code],$A10,T_TTAFStock[WeekIndex],71),BS10+'Grid_Incoming'!BT10-'Grid_Requirement'!BT10))</f>
        <v/>
      </c>
      <c r="BU10">
        <f>IF(COUNTIFS(T_StockCount[RM_Code],$A10,T_StockCount[WeekIndex],72)&gt;0,SUMIFS(T_StockCount[CountedQty],T_StockCount[RM_Code],$A10,T_StockCount[WeekIndex],72),IF((COUNTIFS(T_SelfStock[RM_Code],$A10,T_SelfStock[WeekIndex],72)&gt;0)*(COUNTIFS(T_TTAFStock[RM_Code],$A10,T_TTAFStock[WeekIndex],72)&gt;0)&gt;0,SUMIFS(T_SelfStock[Self_Qty],T_SelfStock[RM_Code],$A10,T_SelfStock[WeekIndex],72)+SUMIFS(T_TTAFStock[TTAF_Qty],T_TTAFStock[RM_Code],$A10,T_TTAFStock[WeekIndex],72),BT10+'Grid_Incoming'!BU10-'Grid_Requirement'!BU10))</f>
        <v/>
      </c>
      <c r="BV10">
        <f>IF(COUNTIFS(T_StockCount[RM_Code],$A10,T_StockCount[WeekIndex],73)&gt;0,SUMIFS(T_StockCount[CountedQty],T_StockCount[RM_Code],$A10,T_StockCount[WeekIndex],73),IF((COUNTIFS(T_SelfStock[RM_Code],$A10,T_SelfStock[WeekIndex],73)&gt;0)*(COUNTIFS(T_TTAFStock[RM_Code],$A10,T_TTAFStock[WeekIndex],73)&gt;0)&gt;0,SUMIFS(T_SelfStock[Self_Qty],T_SelfStock[RM_Code],$A10,T_SelfStock[WeekIndex],73)+SUMIFS(T_TTAFStock[TTAF_Qty],T_TTAFStock[RM_Code],$A10,T_TTAFStock[WeekIndex],73),BU10+'Grid_Incoming'!BV10-'Grid_Requirement'!BV10))</f>
        <v/>
      </c>
      <c r="BW10">
        <f>IF(COUNTIFS(T_StockCount[RM_Code],$A10,T_StockCount[WeekIndex],74)&gt;0,SUMIFS(T_StockCount[CountedQty],T_StockCount[RM_Code],$A10,T_StockCount[WeekIndex],74),IF((COUNTIFS(T_SelfStock[RM_Code],$A10,T_SelfStock[WeekIndex],74)&gt;0)*(COUNTIFS(T_TTAFStock[RM_Code],$A10,T_TTAFStock[WeekIndex],74)&gt;0)&gt;0,SUMIFS(T_SelfStock[Self_Qty],T_SelfStock[RM_Code],$A10,T_SelfStock[WeekIndex],74)+SUMIFS(T_TTAFStock[TTAF_Qty],T_TTAFStock[RM_Code],$A10,T_TTAFStock[WeekIndex],74),BV10+'Grid_Incoming'!BW10-'Grid_Requirement'!BW10))</f>
        <v/>
      </c>
      <c r="BX10">
        <f>IF(COUNTIFS(T_StockCount[RM_Code],$A10,T_StockCount[WeekIndex],75)&gt;0,SUMIFS(T_StockCount[CountedQty],T_StockCount[RM_Code],$A10,T_StockCount[WeekIndex],75),IF((COUNTIFS(T_SelfStock[RM_Code],$A10,T_SelfStock[WeekIndex],75)&gt;0)*(COUNTIFS(T_TTAFStock[RM_Code],$A10,T_TTAFStock[WeekIndex],75)&gt;0)&gt;0,SUMIFS(T_SelfStock[Self_Qty],T_SelfStock[RM_Code],$A10,T_SelfStock[WeekIndex],75)+SUMIFS(T_TTAFStock[TTAF_Qty],T_TTAFStock[RM_Code],$A10,T_TTAFStock[WeekIndex],75),BW10+'Grid_Incoming'!BX10-'Grid_Requirement'!BX10))</f>
        <v/>
      </c>
      <c r="BY10">
        <f>IF(COUNTIFS(T_StockCount[RM_Code],$A10,T_StockCount[WeekIndex],76)&gt;0,SUMIFS(T_StockCount[CountedQty],T_StockCount[RM_Code],$A10,T_StockCount[WeekIndex],76),IF((COUNTIFS(T_SelfStock[RM_Code],$A10,T_SelfStock[WeekIndex],76)&gt;0)*(COUNTIFS(T_TTAFStock[RM_Code],$A10,T_TTAFStock[WeekIndex],76)&gt;0)&gt;0,SUMIFS(T_SelfStock[Self_Qty],T_SelfStock[RM_Code],$A10,T_SelfStock[WeekIndex],76)+SUMIFS(T_TTAFStock[TTAF_Qty],T_TTAFStock[RM_Code],$A10,T_TTAFStock[WeekIndex],76),BX10+'Grid_Incoming'!BY10-'Grid_Requirement'!BY10))</f>
        <v/>
      </c>
      <c r="BZ10">
        <f>IF(COUNTIFS(T_StockCount[RM_Code],$A10,T_StockCount[WeekIndex],77)&gt;0,SUMIFS(T_StockCount[CountedQty],T_StockCount[RM_Code],$A10,T_StockCount[WeekIndex],77),IF((COUNTIFS(T_SelfStock[RM_Code],$A10,T_SelfStock[WeekIndex],77)&gt;0)*(COUNTIFS(T_TTAFStock[RM_Code],$A10,T_TTAFStock[WeekIndex],77)&gt;0)&gt;0,SUMIFS(T_SelfStock[Self_Qty],T_SelfStock[RM_Code],$A10,T_SelfStock[WeekIndex],77)+SUMIFS(T_TTAFStock[TTAF_Qty],T_TTAFStock[RM_Code],$A10,T_TTAFStock[WeekIndex],77),BY10+'Grid_Incoming'!BZ10-'Grid_Requirement'!BZ10))</f>
        <v/>
      </c>
      <c r="CA10">
        <f>IF(COUNTIFS(T_StockCount[RM_Code],$A10,T_StockCount[WeekIndex],78)&gt;0,SUMIFS(T_StockCount[CountedQty],T_StockCount[RM_Code],$A10,T_StockCount[WeekIndex],78),IF((COUNTIFS(T_SelfStock[RM_Code],$A10,T_SelfStock[WeekIndex],78)&gt;0)*(COUNTIFS(T_TTAFStock[RM_Code],$A10,T_TTAFStock[WeekIndex],78)&gt;0)&gt;0,SUMIFS(T_SelfStock[Self_Qty],T_SelfStock[RM_Code],$A10,T_SelfStock[WeekIndex],78)+SUMIFS(T_TTAFStock[TTAF_Qty],T_TTAFStock[RM_Code],$A10,T_TTAFStock[WeekIndex],78),BZ10+'Grid_Incoming'!CA10-'Grid_Requirement'!CA10))</f>
        <v/>
      </c>
      <c r="CB10">
        <f>IF(COUNTIFS(T_StockCount[RM_Code],$A10,T_StockCount[WeekIndex],79)&gt;0,SUMIFS(T_StockCount[CountedQty],T_StockCount[RM_Code],$A10,T_StockCount[WeekIndex],79),IF((COUNTIFS(T_SelfStock[RM_Code],$A10,T_SelfStock[WeekIndex],79)&gt;0)*(COUNTIFS(T_TTAFStock[RM_Code],$A10,T_TTAFStock[WeekIndex],79)&gt;0)&gt;0,SUMIFS(T_SelfStock[Self_Qty],T_SelfStock[RM_Code],$A10,T_SelfStock[WeekIndex],79)+SUMIFS(T_TTAFStock[TTAF_Qty],T_TTAFStock[RM_Code],$A10,T_TTAFStock[WeekIndex],79),CA10+'Grid_Incoming'!CB10-'Grid_Requirement'!CB10))</f>
        <v/>
      </c>
      <c r="CC10">
        <f>IF(COUNTIFS(T_StockCount[RM_Code],$A10,T_StockCount[WeekIndex],80)&gt;0,SUMIFS(T_StockCount[CountedQty],T_StockCount[RM_Code],$A10,T_StockCount[WeekIndex],80),IF((COUNTIFS(T_SelfStock[RM_Code],$A10,T_SelfStock[WeekIndex],80)&gt;0)*(COUNTIFS(T_TTAFStock[RM_Code],$A10,T_TTAFStock[WeekIndex],80)&gt;0)&gt;0,SUMIFS(T_SelfStock[Self_Qty],T_SelfStock[RM_Code],$A10,T_SelfStock[WeekIndex],80)+SUMIFS(T_TTAFStock[TTAF_Qty],T_TTAFStock[RM_Code],$A10,T_TTAFStock[WeekIndex],80),CB10+'Grid_Incoming'!CC10-'Grid_Requirement'!CC10))</f>
        <v/>
      </c>
      <c r="CD10">
        <f>IF(COUNTIFS(T_StockCount[RM_Code],$A10,T_StockCount[WeekIndex],81)&gt;0,SUMIFS(T_StockCount[CountedQty],T_StockCount[RM_Code],$A10,T_StockCount[WeekIndex],81),IF((COUNTIFS(T_SelfStock[RM_Code],$A10,T_SelfStock[WeekIndex],81)&gt;0)*(COUNTIFS(T_TTAFStock[RM_Code],$A10,T_TTAFStock[WeekIndex],81)&gt;0)&gt;0,SUMIFS(T_SelfStock[Self_Qty],T_SelfStock[RM_Code],$A10,T_SelfStock[WeekIndex],81)+SUMIFS(T_TTAFStock[TTAF_Qty],T_TTAFStock[RM_Code],$A10,T_TTAFStock[WeekIndex],81),CC10+'Grid_Incoming'!CD10-'Grid_Requirement'!CD10))</f>
        <v/>
      </c>
      <c r="CE10">
        <f>IF(COUNTIFS(T_StockCount[RM_Code],$A10,T_StockCount[WeekIndex],82)&gt;0,SUMIFS(T_StockCount[CountedQty],T_StockCount[RM_Code],$A10,T_StockCount[WeekIndex],82),IF((COUNTIFS(T_SelfStock[RM_Code],$A10,T_SelfStock[WeekIndex],82)&gt;0)*(COUNTIFS(T_TTAFStock[RM_Code],$A10,T_TTAFStock[WeekIndex],82)&gt;0)&gt;0,SUMIFS(T_SelfStock[Self_Qty],T_SelfStock[RM_Code],$A10,T_SelfStock[WeekIndex],82)+SUMIFS(T_TTAFStock[TTAF_Qty],T_TTAFStock[RM_Code],$A10,T_TTAFStock[WeekIndex],82),CD10+'Grid_Incoming'!CE10-'Grid_Requirement'!CE10))</f>
        <v/>
      </c>
      <c r="CF10">
        <f>IF(COUNTIFS(T_StockCount[RM_Code],$A10,T_StockCount[WeekIndex],83)&gt;0,SUMIFS(T_StockCount[CountedQty],T_StockCount[RM_Code],$A10,T_StockCount[WeekIndex],83),IF((COUNTIFS(T_SelfStock[RM_Code],$A10,T_SelfStock[WeekIndex],83)&gt;0)*(COUNTIFS(T_TTAFStock[RM_Code],$A10,T_TTAFStock[WeekIndex],83)&gt;0)&gt;0,SUMIFS(T_SelfStock[Self_Qty],T_SelfStock[RM_Code],$A10,T_SelfStock[WeekIndex],83)+SUMIFS(T_TTAFStock[TTAF_Qty],T_TTAFStock[RM_Code],$A10,T_TTAFStock[WeekIndex],83),CE10+'Grid_Incoming'!CF10-'Grid_Requirement'!CF10))</f>
        <v/>
      </c>
      <c r="CG10">
        <f>IF(COUNTIFS(T_StockCount[RM_Code],$A10,T_StockCount[WeekIndex],84)&gt;0,SUMIFS(T_StockCount[CountedQty],T_StockCount[RM_Code],$A10,T_StockCount[WeekIndex],84),IF((COUNTIFS(T_SelfStock[RM_Code],$A10,T_SelfStock[WeekIndex],84)&gt;0)*(COUNTIFS(T_TTAFStock[RM_Code],$A10,T_TTAFStock[WeekIndex],84)&gt;0)&gt;0,SUMIFS(T_SelfStock[Self_Qty],T_SelfStock[RM_Code],$A10,T_SelfStock[WeekIndex],84)+SUMIFS(T_TTAFStock[TTAF_Qty],T_TTAFStock[RM_Code],$A10,T_TTAFStock[WeekIndex],84),CF10+'Grid_Incoming'!CG10-'Grid_Requirement'!CG10))</f>
        <v/>
      </c>
      <c r="CH10">
        <f>IF(COUNTIFS(T_StockCount[RM_Code],$A10,T_StockCount[WeekIndex],85)&gt;0,SUMIFS(T_StockCount[CountedQty],T_StockCount[RM_Code],$A10,T_StockCount[WeekIndex],85),IF((COUNTIFS(T_SelfStock[RM_Code],$A10,T_SelfStock[WeekIndex],85)&gt;0)*(COUNTIFS(T_TTAFStock[RM_Code],$A10,T_TTAFStock[WeekIndex],85)&gt;0)&gt;0,SUMIFS(T_SelfStock[Self_Qty],T_SelfStock[RM_Code],$A10,T_SelfStock[WeekIndex],85)+SUMIFS(T_TTAFStock[TTAF_Qty],T_TTAFStock[RM_Code],$A10,T_TTAFStock[WeekIndex],85),CG10+'Grid_Incoming'!CH10-'Grid_Requirement'!CH10))</f>
        <v/>
      </c>
      <c r="CI10">
        <f>IF(COUNTIFS(T_StockCount[RM_Code],$A10,T_StockCount[WeekIndex],86)&gt;0,SUMIFS(T_StockCount[CountedQty],T_StockCount[RM_Code],$A10,T_StockCount[WeekIndex],86),IF((COUNTIFS(T_SelfStock[RM_Code],$A10,T_SelfStock[WeekIndex],86)&gt;0)*(COUNTIFS(T_TTAFStock[RM_Code],$A10,T_TTAFStock[WeekIndex],86)&gt;0)&gt;0,SUMIFS(T_SelfStock[Self_Qty],T_SelfStock[RM_Code],$A10,T_SelfStock[WeekIndex],86)+SUMIFS(T_TTAFStock[TTAF_Qty],T_TTAFStock[RM_Code],$A10,T_TTAFStock[WeekIndex],86),CH10+'Grid_Incoming'!CI10-'Grid_Requirement'!CI10))</f>
        <v/>
      </c>
      <c r="CJ10">
        <f>IF(COUNTIFS(T_StockCount[RM_Code],$A10,T_StockCount[WeekIndex],87)&gt;0,SUMIFS(T_StockCount[CountedQty],T_StockCount[RM_Code],$A10,T_StockCount[WeekIndex],87),IF((COUNTIFS(T_SelfStock[RM_Code],$A10,T_SelfStock[WeekIndex],87)&gt;0)*(COUNTIFS(T_TTAFStock[RM_Code],$A10,T_TTAFStock[WeekIndex],87)&gt;0)&gt;0,SUMIFS(T_SelfStock[Self_Qty],T_SelfStock[RM_Code],$A10,T_SelfStock[WeekIndex],87)+SUMIFS(T_TTAFStock[TTAF_Qty],T_TTAFStock[RM_Code],$A10,T_TTAFStock[WeekIndex],87),CI10+'Grid_Incoming'!CJ10-'Grid_Requirement'!CJ10))</f>
        <v/>
      </c>
      <c r="CK10">
        <f>IF(COUNTIFS(T_StockCount[RM_Code],$A10,T_StockCount[WeekIndex],88)&gt;0,SUMIFS(T_StockCount[CountedQty],T_StockCount[RM_Code],$A10,T_StockCount[WeekIndex],88),IF((COUNTIFS(T_SelfStock[RM_Code],$A10,T_SelfStock[WeekIndex],88)&gt;0)*(COUNTIFS(T_TTAFStock[RM_Code],$A10,T_TTAFStock[WeekIndex],88)&gt;0)&gt;0,SUMIFS(T_SelfStock[Self_Qty],T_SelfStock[RM_Code],$A10,T_SelfStock[WeekIndex],88)+SUMIFS(T_TTAFStock[TTAF_Qty],T_TTAFStock[RM_Code],$A10,T_TTAFStock[WeekIndex],88),CJ10+'Grid_Incoming'!CK10-'Grid_Requirement'!CK10))</f>
        <v/>
      </c>
      <c r="CL10">
        <f>IF(COUNTIFS(T_StockCount[RM_Code],$A10,T_StockCount[WeekIndex],89)&gt;0,SUMIFS(T_StockCount[CountedQty],T_StockCount[RM_Code],$A10,T_StockCount[WeekIndex],89),IF((COUNTIFS(T_SelfStock[RM_Code],$A10,T_SelfStock[WeekIndex],89)&gt;0)*(COUNTIFS(T_TTAFStock[RM_Code],$A10,T_TTAFStock[WeekIndex],89)&gt;0)&gt;0,SUMIFS(T_SelfStock[Self_Qty],T_SelfStock[RM_Code],$A10,T_SelfStock[WeekIndex],89)+SUMIFS(T_TTAFStock[TTAF_Qty],T_TTAFStock[RM_Code],$A10,T_TTAFStock[WeekIndex],89),CK10+'Grid_Incoming'!CL10-'Grid_Requirement'!CL10))</f>
        <v/>
      </c>
      <c r="CM10">
        <f>IF(COUNTIFS(T_StockCount[RM_Code],$A10,T_StockCount[WeekIndex],90)&gt;0,SUMIFS(T_StockCount[CountedQty],T_StockCount[RM_Code],$A10,T_StockCount[WeekIndex],90),IF((COUNTIFS(T_SelfStock[RM_Code],$A10,T_SelfStock[WeekIndex],90)&gt;0)*(COUNTIFS(T_TTAFStock[RM_Code],$A10,T_TTAFStock[WeekIndex],90)&gt;0)&gt;0,SUMIFS(T_SelfStock[Self_Qty],T_SelfStock[RM_Code],$A10,T_SelfStock[WeekIndex],90)+SUMIFS(T_TTAFStock[TTAF_Qty],T_TTAFStock[RM_Code],$A10,T_TTAFStock[WeekIndex],90),CL10+'Grid_Incoming'!CM10-'Grid_Requirement'!CM10))</f>
        <v/>
      </c>
      <c r="CN10">
        <f>IF(COUNTIFS(T_StockCount[RM_Code],$A10,T_StockCount[WeekIndex],91)&gt;0,SUMIFS(T_StockCount[CountedQty],T_StockCount[RM_Code],$A10,T_StockCount[WeekIndex],91),IF((COUNTIFS(T_SelfStock[RM_Code],$A10,T_SelfStock[WeekIndex],91)&gt;0)*(COUNTIFS(T_TTAFStock[RM_Code],$A10,T_TTAFStock[WeekIndex],91)&gt;0)&gt;0,SUMIFS(T_SelfStock[Self_Qty],T_SelfStock[RM_Code],$A10,T_SelfStock[WeekIndex],91)+SUMIFS(T_TTAFStock[TTAF_Qty],T_TTAFStock[RM_Code],$A10,T_TTAFStock[WeekIndex],91),CM10+'Grid_Incoming'!CN10-'Grid_Requirement'!CN10))</f>
        <v/>
      </c>
      <c r="CO10">
        <f>IF(COUNTIFS(T_StockCount[RM_Code],$A10,T_StockCount[WeekIndex],92)&gt;0,SUMIFS(T_StockCount[CountedQty],T_StockCount[RM_Code],$A10,T_StockCount[WeekIndex],92),IF((COUNTIFS(T_SelfStock[RM_Code],$A10,T_SelfStock[WeekIndex],92)&gt;0)*(COUNTIFS(T_TTAFStock[RM_Code],$A10,T_TTAFStock[WeekIndex],92)&gt;0)&gt;0,SUMIFS(T_SelfStock[Self_Qty],T_SelfStock[RM_Code],$A10,T_SelfStock[WeekIndex],92)+SUMIFS(T_TTAFStock[TTAF_Qty],T_TTAFStock[RM_Code],$A10,T_TTAFStock[WeekIndex],92),CN10+'Grid_Incoming'!CO10-'Grid_Requirement'!CO10))</f>
        <v/>
      </c>
      <c r="CP10">
        <f>IF(COUNTIFS(T_StockCount[RM_Code],$A10,T_StockCount[WeekIndex],93)&gt;0,SUMIFS(T_StockCount[CountedQty],T_StockCount[RM_Code],$A10,T_StockCount[WeekIndex],93),IF((COUNTIFS(T_SelfStock[RM_Code],$A10,T_SelfStock[WeekIndex],93)&gt;0)*(COUNTIFS(T_TTAFStock[RM_Code],$A10,T_TTAFStock[WeekIndex],93)&gt;0)&gt;0,SUMIFS(T_SelfStock[Self_Qty],T_SelfStock[RM_Code],$A10,T_SelfStock[WeekIndex],93)+SUMIFS(T_TTAFStock[TTAF_Qty],T_TTAFStock[RM_Code],$A10,T_TTAFStock[WeekIndex],93),CO10+'Grid_Incoming'!CP10-'Grid_Requirement'!CP10))</f>
        <v/>
      </c>
      <c r="CQ10">
        <f>IF(COUNTIFS(T_StockCount[RM_Code],$A10,T_StockCount[WeekIndex],94)&gt;0,SUMIFS(T_StockCount[CountedQty],T_StockCount[RM_Code],$A10,T_StockCount[WeekIndex],94),IF((COUNTIFS(T_SelfStock[RM_Code],$A10,T_SelfStock[WeekIndex],94)&gt;0)*(COUNTIFS(T_TTAFStock[RM_Code],$A10,T_TTAFStock[WeekIndex],94)&gt;0)&gt;0,SUMIFS(T_SelfStock[Self_Qty],T_SelfStock[RM_Code],$A10,T_SelfStock[WeekIndex],94)+SUMIFS(T_TTAFStock[TTAF_Qty],T_TTAFStock[RM_Code],$A10,T_TTAFStock[WeekIndex],94),CP10+'Grid_Incoming'!CQ10-'Grid_Requirement'!CQ10))</f>
        <v/>
      </c>
      <c r="CR10">
        <f>IF(COUNTIFS(T_StockCount[RM_Code],$A10,T_StockCount[WeekIndex],95)&gt;0,SUMIFS(T_StockCount[CountedQty],T_StockCount[RM_Code],$A10,T_StockCount[WeekIndex],95),IF((COUNTIFS(T_SelfStock[RM_Code],$A10,T_SelfStock[WeekIndex],95)&gt;0)*(COUNTIFS(T_TTAFStock[RM_Code],$A10,T_TTAFStock[WeekIndex],95)&gt;0)&gt;0,SUMIFS(T_SelfStock[Self_Qty],T_SelfStock[RM_Code],$A10,T_SelfStock[WeekIndex],95)+SUMIFS(T_TTAFStock[TTAF_Qty],T_TTAFStock[RM_Code],$A10,T_TTAFStock[WeekIndex],95),CQ10+'Grid_Incoming'!CR10-'Grid_Requirement'!CR10))</f>
        <v/>
      </c>
      <c r="CS10">
        <f>IF(COUNTIFS(T_StockCount[RM_Code],$A10,T_StockCount[WeekIndex],96)&gt;0,SUMIFS(T_StockCount[CountedQty],T_StockCount[RM_Code],$A10,T_StockCount[WeekIndex],96),IF((COUNTIFS(T_SelfStock[RM_Code],$A10,T_SelfStock[WeekIndex],96)&gt;0)*(COUNTIFS(T_TTAFStock[RM_Code],$A10,T_TTAFStock[WeekIndex],96)&gt;0)&gt;0,SUMIFS(T_SelfStock[Self_Qty],T_SelfStock[RM_Code],$A10,T_SelfStock[WeekIndex],96)+SUMIFS(T_TTAFStock[TTAF_Qty],T_TTAFStock[RM_Code],$A10,T_TTAFStock[WeekIndex],96),CR10+'Grid_Incoming'!CS10-'Grid_Requirement'!CS10))</f>
        <v/>
      </c>
      <c r="CT10">
        <f>IF(COUNTIFS(T_StockCount[RM_Code],$A10,T_StockCount[WeekIndex],97)&gt;0,SUMIFS(T_StockCount[CountedQty],T_StockCount[RM_Code],$A10,T_StockCount[WeekIndex],97),IF((COUNTIFS(T_SelfStock[RM_Code],$A10,T_SelfStock[WeekIndex],97)&gt;0)*(COUNTIFS(T_TTAFStock[RM_Code],$A10,T_TTAFStock[WeekIndex],97)&gt;0)&gt;0,SUMIFS(T_SelfStock[Self_Qty],T_SelfStock[RM_Code],$A10,T_SelfStock[WeekIndex],97)+SUMIFS(T_TTAFStock[TTAF_Qty],T_TTAFStock[RM_Code],$A10,T_TTAFStock[WeekIndex],97),CS10+'Grid_Incoming'!CT10-'Grid_Requirement'!CT10))</f>
        <v/>
      </c>
      <c r="CU10">
        <f>IF(COUNTIFS(T_StockCount[RM_Code],$A10,T_StockCount[WeekIndex],98)&gt;0,SUMIFS(T_StockCount[CountedQty],T_StockCount[RM_Code],$A10,T_StockCount[WeekIndex],98),IF((COUNTIFS(T_SelfStock[RM_Code],$A10,T_SelfStock[WeekIndex],98)&gt;0)*(COUNTIFS(T_TTAFStock[RM_Code],$A10,T_TTAFStock[WeekIndex],98)&gt;0)&gt;0,SUMIFS(T_SelfStock[Self_Qty],T_SelfStock[RM_Code],$A10,T_SelfStock[WeekIndex],98)+SUMIFS(T_TTAFStock[TTAF_Qty],T_TTAFStock[RM_Code],$A10,T_TTAFStock[WeekIndex],98),CT10+'Grid_Incoming'!CU10-'Grid_Requirement'!CU10))</f>
        <v/>
      </c>
      <c r="CV10">
        <f>IF(COUNTIFS(T_StockCount[RM_Code],$A10,T_StockCount[WeekIndex],99)&gt;0,SUMIFS(T_StockCount[CountedQty],T_StockCount[RM_Code],$A10,T_StockCount[WeekIndex],99),IF((COUNTIFS(T_SelfStock[RM_Code],$A10,T_SelfStock[WeekIndex],99)&gt;0)*(COUNTIFS(T_TTAFStock[RM_Code],$A10,T_TTAFStock[WeekIndex],99)&gt;0)&gt;0,SUMIFS(T_SelfStock[Self_Qty],T_SelfStock[RM_Code],$A10,T_SelfStock[WeekIndex],99)+SUMIFS(T_TTAFStock[TTAF_Qty],T_TTAFStock[RM_Code],$A10,T_TTAFStock[WeekIndex],99),CU10+'Grid_Incoming'!CV10-'Grid_Requirement'!CV10))</f>
        <v/>
      </c>
      <c r="CW10">
        <f>IF(COUNTIFS(T_StockCount[RM_Code],$A10,T_StockCount[WeekIndex],100)&gt;0,SUMIFS(T_StockCount[CountedQty],T_StockCount[RM_Code],$A10,T_StockCount[WeekIndex],100),IF((COUNTIFS(T_SelfStock[RM_Code],$A10,T_SelfStock[WeekIndex],100)&gt;0)*(COUNTIFS(T_TTAFStock[RM_Code],$A10,T_TTAFStock[WeekIndex],100)&gt;0)&gt;0,SUMIFS(T_SelfStock[Self_Qty],T_SelfStock[RM_Code],$A10,T_SelfStock[WeekIndex],100)+SUMIFS(T_TTAFStock[TTAF_Qty],T_TTAFStock[RM_Code],$A10,T_TTAFStock[WeekIndex],100),CV10+'Grid_Incoming'!CW10-'Grid_Requirement'!CW10))</f>
        <v/>
      </c>
      <c r="CX10">
        <f>IF(COUNTIFS(T_StockCount[RM_Code],$A10,T_StockCount[WeekIndex],101)&gt;0,SUMIFS(T_StockCount[CountedQty],T_StockCount[RM_Code],$A10,T_StockCount[WeekIndex],101),IF((COUNTIFS(T_SelfStock[RM_Code],$A10,T_SelfStock[WeekIndex],101)&gt;0)*(COUNTIFS(T_TTAFStock[RM_Code],$A10,T_TTAFStock[WeekIndex],101)&gt;0)&gt;0,SUMIFS(T_SelfStock[Self_Qty],T_SelfStock[RM_Code],$A10,T_SelfStock[WeekIndex],101)+SUMIFS(T_TTAFStock[TTAF_Qty],T_TTAFStock[RM_Code],$A10,T_TTAFStock[WeekIndex],101),CW10+'Grid_Incoming'!CX10-'Grid_Requirement'!CX10))</f>
        <v/>
      </c>
      <c r="CY10">
        <f>IF(COUNTIFS(T_StockCount[RM_Code],$A10,T_StockCount[WeekIndex],102)&gt;0,SUMIFS(T_StockCount[CountedQty],T_StockCount[RM_Code],$A10,T_StockCount[WeekIndex],102),IF((COUNTIFS(T_SelfStock[RM_Code],$A10,T_SelfStock[WeekIndex],102)&gt;0)*(COUNTIFS(T_TTAFStock[RM_Code],$A10,T_TTAFStock[WeekIndex],102)&gt;0)&gt;0,SUMIFS(T_SelfStock[Self_Qty],T_SelfStock[RM_Code],$A10,T_SelfStock[WeekIndex],102)+SUMIFS(T_TTAFStock[TTAF_Qty],T_TTAFStock[RM_Code],$A10,T_TTAFStock[WeekIndex],102),CX10+'Grid_Incoming'!CY10-'Grid_Requirement'!CY10))</f>
        <v/>
      </c>
      <c r="CZ10">
        <f>IF(COUNTIFS(T_StockCount[RM_Code],$A10,T_StockCount[WeekIndex],103)&gt;0,SUMIFS(T_StockCount[CountedQty],T_StockCount[RM_Code],$A10,T_StockCount[WeekIndex],103),IF((COUNTIFS(T_SelfStock[RM_Code],$A10,T_SelfStock[WeekIndex],103)&gt;0)*(COUNTIFS(T_TTAFStock[RM_Code],$A10,T_TTAFStock[WeekIndex],103)&gt;0)&gt;0,SUMIFS(T_SelfStock[Self_Qty],T_SelfStock[RM_Code],$A10,T_SelfStock[WeekIndex],103)+SUMIFS(T_TTAFStock[TTAF_Qty],T_TTAFStock[RM_Code],$A10,T_TTAFStock[WeekIndex],103),CY10+'Grid_Incoming'!CZ10-'Grid_Requirement'!CZ10))</f>
        <v/>
      </c>
      <c r="DA10">
        <f>IF(COUNTIFS(T_StockCount[RM_Code],$A10,T_StockCount[WeekIndex],104)&gt;0,SUMIFS(T_StockCount[CountedQty],T_StockCount[RM_Code],$A10,T_StockCount[WeekIndex],104),IF((COUNTIFS(T_SelfStock[RM_Code],$A10,T_SelfStock[WeekIndex],104)&gt;0)*(COUNTIFS(T_TTAFStock[RM_Code],$A10,T_TTAFStock[WeekIndex],104)&gt;0)&gt;0,SUMIFS(T_SelfStock[Self_Qty],T_SelfStock[RM_Code],$A10,T_SelfStock[WeekIndex],104)+SUMIFS(T_TTAFStock[TTAF_Qty],T_TTAFStock[RM_Code],$A10,T_TTAFStock[WeekIndex],104),CZ10+'Grid_Incoming'!DA10-'Grid_Requirement'!DA10))</f>
        <v/>
      </c>
    </row>
    <row r="11">
      <c r="A11" t="inlineStr">
        <is>
          <t>PET FILM(900*1000)</t>
        </is>
      </c>
      <c r="B11">
        <f>IF(COUNTIFS(T_StockCount[RM_Code],$A11,T_StockCount[WeekIndex],1)&gt;0,SUMIFS(T_StockCount[CountedQty],T_StockCount[RM_Code],$A11,T_StockCount[WeekIndex],1),IF((COUNTIFS(T_SelfStock[RM_Code],$A11,T_SelfStock[WeekIndex],1)&gt;0)*(COUNTIFS(T_TTAFStock[RM_Code],$A11,T_TTAFStock[WeekIndex],1)&gt;0)&gt;0,SUMIFS(T_SelfStock[Self_Qty],T_SelfStock[RM_Code],$A11,T_SelfStock[WeekIndex],1)+SUMIFS(T_TTAFStock[TTAF_Qty],T_TTAFStock[RM_Code],$A11,T_TTAFStock[WeekIndex],1),IFERROR(INDEX(T_OpeningStock[Opening_Qty],MATCH($A11,T_OpeningStock[RM_Code],0)),0)+'Grid_Incoming'!B11-'Grid_Requirement'!B11))</f>
        <v/>
      </c>
      <c r="C11">
        <f>IF(COUNTIFS(T_StockCount[RM_Code],$A11,T_StockCount[WeekIndex],2)&gt;0,SUMIFS(T_StockCount[CountedQty],T_StockCount[RM_Code],$A11,T_StockCount[WeekIndex],2),IF((COUNTIFS(T_SelfStock[RM_Code],$A11,T_SelfStock[WeekIndex],2)&gt;0)*(COUNTIFS(T_TTAFStock[RM_Code],$A11,T_TTAFStock[WeekIndex],2)&gt;0)&gt;0,SUMIFS(T_SelfStock[Self_Qty],T_SelfStock[RM_Code],$A11,T_SelfStock[WeekIndex],2)+SUMIFS(T_TTAFStock[TTAF_Qty],T_TTAFStock[RM_Code],$A11,T_TTAFStock[WeekIndex],2),B11+'Grid_Incoming'!C11-'Grid_Requirement'!C11))</f>
        <v/>
      </c>
      <c r="D11">
        <f>IF(COUNTIFS(T_StockCount[RM_Code],$A11,T_StockCount[WeekIndex],3)&gt;0,SUMIFS(T_StockCount[CountedQty],T_StockCount[RM_Code],$A11,T_StockCount[WeekIndex],3),IF((COUNTIFS(T_SelfStock[RM_Code],$A11,T_SelfStock[WeekIndex],3)&gt;0)*(COUNTIFS(T_TTAFStock[RM_Code],$A11,T_TTAFStock[WeekIndex],3)&gt;0)&gt;0,SUMIFS(T_SelfStock[Self_Qty],T_SelfStock[RM_Code],$A11,T_SelfStock[WeekIndex],3)+SUMIFS(T_TTAFStock[TTAF_Qty],T_TTAFStock[RM_Code],$A11,T_TTAFStock[WeekIndex],3),C11+'Grid_Incoming'!D11-'Grid_Requirement'!D11))</f>
        <v/>
      </c>
      <c r="E11">
        <f>IF(COUNTIFS(T_StockCount[RM_Code],$A11,T_StockCount[WeekIndex],4)&gt;0,SUMIFS(T_StockCount[CountedQty],T_StockCount[RM_Code],$A11,T_StockCount[WeekIndex],4),IF((COUNTIFS(T_SelfStock[RM_Code],$A11,T_SelfStock[WeekIndex],4)&gt;0)*(COUNTIFS(T_TTAFStock[RM_Code],$A11,T_TTAFStock[WeekIndex],4)&gt;0)&gt;0,SUMIFS(T_SelfStock[Self_Qty],T_SelfStock[RM_Code],$A11,T_SelfStock[WeekIndex],4)+SUMIFS(T_TTAFStock[TTAF_Qty],T_TTAFStock[RM_Code],$A11,T_TTAFStock[WeekIndex],4),D11+'Grid_Incoming'!E11-'Grid_Requirement'!E11))</f>
        <v/>
      </c>
      <c r="F11">
        <f>IF(COUNTIFS(T_StockCount[RM_Code],$A11,T_StockCount[WeekIndex],5)&gt;0,SUMIFS(T_StockCount[CountedQty],T_StockCount[RM_Code],$A11,T_StockCount[WeekIndex],5),IF((COUNTIFS(T_SelfStock[RM_Code],$A11,T_SelfStock[WeekIndex],5)&gt;0)*(COUNTIFS(T_TTAFStock[RM_Code],$A11,T_TTAFStock[WeekIndex],5)&gt;0)&gt;0,SUMIFS(T_SelfStock[Self_Qty],T_SelfStock[RM_Code],$A11,T_SelfStock[WeekIndex],5)+SUMIFS(T_TTAFStock[TTAF_Qty],T_TTAFStock[RM_Code],$A11,T_TTAFStock[WeekIndex],5),E11+'Grid_Incoming'!F11-'Grid_Requirement'!F11))</f>
        <v/>
      </c>
      <c r="G11">
        <f>IF(COUNTIFS(T_StockCount[RM_Code],$A11,T_StockCount[WeekIndex],6)&gt;0,SUMIFS(T_StockCount[CountedQty],T_StockCount[RM_Code],$A11,T_StockCount[WeekIndex],6),IF((COUNTIFS(T_SelfStock[RM_Code],$A11,T_SelfStock[WeekIndex],6)&gt;0)*(COUNTIFS(T_TTAFStock[RM_Code],$A11,T_TTAFStock[WeekIndex],6)&gt;0)&gt;0,SUMIFS(T_SelfStock[Self_Qty],T_SelfStock[RM_Code],$A11,T_SelfStock[WeekIndex],6)+SUMIFS(T_TTAFStock[TTAF_Qty],T_TTAFStock[RM_Code],$A11,T_TTAFStock[WeekIndex],6),F11+'Grid_Incoming'!G11-'Grid_Requirement'!G11))</f>
        <v/>
      </c>
      <c r="H11">
        <f>IF(COUNTIFS(T_StockCount[RM_Code],$A11,T_StockCount[WeekIndex],7)&gt;0,SUMIFS(T_StockCount[CountedQty],T_StockCount[RM_Code],$A11,T_StockCount[WeekIndex],7),IF((COUNTIFS(T_SelfStock[RM_Code],$A11,T_SelfStock[WeekIndex],7)&gt;0)*(COUNTIFS(T_TTAFStock[RM_Code],$A11,T_TTAFStock[WeekIndex],7)&gt;0)&gt;0,SUMIFS(T_SelfStock[Self_Qty],T_SelfStock[RM_Code],$A11,T_SelfStock[WeekIndex],7)+SUMIFS(T_TTAFStock[TTAF_Qty],T_TTAFStock[RM_Code],$A11,T_TTAFStock[WeekIndex],7),G11+'Grid_Incoming'!H11-'Grid_Requirement'!H11))</f>
        <v/>
      </c>
      <c r="I11">
        <f>IF(COUNTIFS(T_StockCount[RM_Code],$A11,T_StockCount[WeekIndex],8)&gt;0,SUMIFS(T_StockCount[CountedQty],T_StockCount[RM_Code],$A11,T_StockCount[WeekIndex],8),IF((COUNTIFS(T_SelfStock[RM_Code],$A11,T_SelfStock[WeekIndex],8)&gt;0)*(COUNTIFS(T_TTAFStock[RM_Code],$A11,T_TTAFStock[WeekIndex],8)&gt;0)&gt;0,SUMIFS(T_SelfStock[Self_Qty],T_SelfStock[RM_Code],$A11,T_SelfStock[WeekIndex],8)+SUMIFS(T_TTAFStock[TTAF_Qty],T_TTAFStock[RM_Code],$A11,T_TTAFStock[WeekIndex],8),H11+'Grid_Incoming'!I11-'Grid_Requirement'!I11))</f>
        <v/>
      </c>
      <c r="J11">
        <f>IF(COUNTIFS(T_StockCount[RM_Code],$A11,T_StockCount[WeekIndex],9)&gt;0,SUMIFS(T_StockCount[CountedQty],T_StockCount[RM_Code],$A11,T_StockCount[WeekIndex],9),IF((COUNTIFS(T_SelfStock[RM_Code],$A11,T_SelfStock[WeekIndex],9)&gt;0)*(COUNTIFS(T_TTAFStock[RM_Code],$A11,T_TTAFStock[WeekIndex],9)&gt;0)&gt;0,SUMIFS(T_SelfStock[Self_Qty],T_SelfStock[RM_Code],$A11,T_SelfStock[WeekIndex],9)+SUMIFS(T_TTAFStock[TTAF_Qty],T_TTAFStock[RM_Code],$A11,T_TTAFStock[WeekIndex],9),I11+'Grid_Incoming'!J11-'Grid_Requirement'!J11))</f>
        <v/>
      </c>
      <c r="K11">
        <f>IF(COUNTIFS(T_StockCount[RM_Code],$A11,T_StockCount[WeekIndex],10)&gt;0,SUMIFS(T_StockCount[CountedQty],T_StockCount[RM_Code],$A11,T_StockCount[WeekIndex],10),IF((COUNTIFS(T_SelfStock[RM_Code],$A11,T_SelfStock[WeekIndex],10)&gt;0)*(COUNTIFS(T_TTAFStock[RM_Code],$A11,T_TTAFStock[WeekIndex],10)&gt;0)&gt;0,SUMIFS(T_SelfStock[Self_Qty],T_SelfStock[RM_Code],$A11,T_SelfStock[WeekIndex],10)+SUMIFS(T_TTAFStock[TTAF_Qty],T_TTAFStock[RM_Code],$A11,T_TTAFStock[WeekIndex],10),J11+'Grid_Incoming'!K11-'Grid_Requirement'!K11))</f>
        <v/>
      </c>
      <c r="L11">
        <f>IF(COUNTIFS(T_StockCount[RM_Code],$A11,T_StockCount[WeekIndex],11)&gt;0,SUMIFS(T_StockCount[CountedQty],T_StockCount[RM_Code],$A11,T_StockCount[WeekIndex],11),IF((COUNTIFS(T_SelfStock[RM_Code],$A11,T_SelfStock[WeekIndex],11)&gt;0)*(COUNTIFS(T_TTAFStock[RM_Code],$A11,T_TTAFStock[WeekIndex],11)&gt;0)&gt;0,SUMIFS(T_SelfStock[Self_Qty],T_SelfStock[RM_Code],$A11,T_SelfStock[WeekIndex],11)+SUMIFS(T_TTAFStock[TTAF_Qty],T_TTAFStock[RM_Code],$A11,T_TTAFStock[WeekIndex],11),K11+'Grid_Incoming'!L11-'Grid_Requirement'!L11))</f>
        <v/>
      </c>
      <c r="M11">
        <f>IF(COUNTIFS(T_StockCount[RM_Code],$A11,T_StockCount[WeekIndex],12)&gt;0,SUMIFS(T_StockCount[CountedQty],T_StockCount[RM_Code],$A11,T_StockCount[WeekIndex],12),IF((COUNTIFS(T_SelfStock[RM_Code],$A11,T_SelfStock[WeekIndex],12)&gt;0)*(COUNTIFS(T_TTAFStock[RM_Code],$A11,T_TTAFStock[WeekIndex],12)&gt;0)&gt;0,SUMIFS(T_SelfStock[Self_Qty],T_SelfStock[RM_Code],$A11,T_SelfStock[WeekIndex],12)+SUMIFS(T_TTAFStock[TTAF_Qty],T_TTAFStock[RM_Code],$A11,T_TTAFStock[WeekIndex],12),L11+'Grid_Incoming'!M11-'Grid_Requirement'!M11))</f>
        <v/>
      </c>
      <c r="N11">
        <f>IF(COUNTIFS(T_StockCount[RM_Code],$A11,T_StockCount[WeekIndex],13)&gt;0,SUMIFS(T_StockCount[CountedQty],T_StockCount[RM_Code],$A11,T_StockCount[WeekIndex],13),IF((COUNTIFS(T_SelfStock[RM_Code],$A11,T_SelfStock[WeekIndex],13)&gt;0)*(COUNTIFS(T_TTAFStock[RM_Code],$A11,T_TTAFStock[WeekIndex],13)&gt;0)&gt;0,SUMIFS(T_SelfStock[Self_Qty],T_SelfStock[RM_Code],$A11,T_SelfStock[WeekIndex],13)+SUMIFS(T_TTAFStock[TTAF_Qty],T_TTAFStock[RM_Code],$A11,T_TTAFStock[WeekIndex],13),M11+'Grid_Incoming'!N11-'Grid_Requirement'!N11))</f>
        <v/>
      </c>
      <c r="O11">
        <f>IF(COUNTIFS(T_StockCount[RM_Code],$A11,T_StockCount[WeekIndex],14)&gt;0,SUMIFS(T_StockCount[CountedQty],T_StockCount[RM_Code],$A11,T_StockCount[WeekIndex],14),IF((COUNTIFS(T_SelfStock[RM_Code],$A11,T_SelfStock[WeekIndex],14)&gt;0)*(COUNTIFS(T_TTAFStock[RM_Code],$A11,T_TTAFStock[WeekIndex],14)&gt;0)&gt;0,SUMIFS(T_SelfStock[Self_Qty],T_SelfStock[RM_Code],$A11,T_SelfStock[WeekIndex],14)+SUMIFS(T_TTAFStock[TTAF_Qty],T_TTAFStock[RM_Code],$A11,T_TTAFStock[WeekIndex],14),N11+'Grid_Incoming'!O11-'Grid_Requirement'!O11))</f>
        <v/>
      </c>
      <c r="P11">
        <f>IF(COUNTIFS(T_StockCount[RM_Code],$A11,T_StockCount[WeekIndex],15)&gt;0,SUMIFS(T_StockCount[CountedQty],T_StockCount[RM_Code],$A11,T_StockCount[WeekIndex],15),IF((COUNTIFS(T_SelfStock[RM_Code],$A11,T_SelfStock[WeekIndex],15)&gt;0)*(COUNTIFS(T_TTAFStock[RM_Code],$A11,T_TTAFStock[WeekIndex],15)&gt;0)&gt;0,SUMIFS(T_SelfStock[Self_Qty],T_SelfStock[RM_Code],$A11,T_SelfStock[WeekIndex],15)+SUMIFS(T_TTAFStock[TTAF_Qty],T_TTAFStock[RM_Code],$A11,T_TTAFStock[WeekIndex],15),O11+'Grid_Incoming'!P11-'Grid_Requirement'!P11))</f>
        <v/>
      </c>
      <c r="Q11">
        <f>IF(COUNTIFS(T_StockCount[RM_Code],$A11,T_StockCount[WeekIndex],16)&gt;0,SUMIFS(T_StockCount[CountedQty],T_StockCount[RM_Code],$A11,T_StockCount[WeekIndex],16),IF((COUNTIFS(T_SelfStock[RM_Code],$A11,T_SelfStock[WeekIndex],16)&gt;0)*(COUNTIFS(T_TTAFStock[RM_Code],$A11,T_TTAFStock[WeekIndex],16)&gt;0)&gt;0,SUMIFS(T_SelfStock[Self_Qty],T_SelfStock[RM_Code],$A11,T_SelfStock[WeekIndex],16)+SUMIFS(T_TTAFStock[TTAF_Qty],T_TTAFStock[RM_Code],$A11,T_TTAFStock[WeekIndex],16),P11+'Grid_Incoming'!Q11-'Grid_Requirement'!Q11))</f>
        <v/>
      </c>
      <c r="R11">
        <f>IF(COUNTIFS(T_StockCount[RM_Code],$A11,T_StockCount[WeekIndex],17)&gt;0,SUMIFS(T_StockCount[CountedQty],T_StockCount[RM_Code],$A11,T_StockCount[WeekIndex],17),IF((COUNTIFS(T_SelfStock[RM_Code],$A11,T_SelfStock[WeekIndex],17)&gt;0)*(COUNTIFS(T_TTAFStock[RM_Code],$A11,T_TTAFStock[WeekIndex],17)&gt;0)&gt;0,SUMIFS(T_SelfStock[Self_Qty],T_SelfStock[RM_Code],$A11,T_SelfStock[WeekIndex],17)+SUMIFS(T_TTAFStock[TTAF_Qty],T_TTAFStock[RM_Code],$A11,T_TTAFStock[WeekIndex],17),Q11+'Grid_Incoming'!R11-'Grid_Requirement'!R11))</f>
        <v/>
      </c>
      <c r="S11">
        <f>IF(COUNTIFS(T_StockCount[RM_Code],$A11,T_StockCount[WeekIndex],18)&gt;0,SUMIFS(T_StockCount[CountedQty],T_StockCount[RM_Code],$A11,T_StockCount[WeekIndex],18),IF((COUNTIFS(T_SelfStock[RM_Code],$A11,T_SelfStock[WeekIndex],18)&gt;0)*(COUNTIFS(T_TTAFStock[RM_Code],$A11,T_TTAFStock[WeekIndex],18)&gt;0)&gt;0,SUMIFS(T_SelfStock[Self_Qty],T_SelfStock[RM_Code],$A11,T_SelfStock[WeekIndex],18)+SUMIFS(T_TTAFStock[TTAF_Qty],T_TTAFStock[RM_Code],$A11,T_TTAFStock[WeekIndex],18),R11+'Grid_Incoming'!S11-'Grid_Requirement'!S11))</f>
        <v/>
      </c>
      <c r="T11">
        <f>IF(COUNTIFS(T_StockCount[RM_Code],$A11,T_StockCount[WeekIndex],19)&gt;0,SUMIFS(T_StockCount[CountedQty],T_StockCount[RM_Code],$A11,T_StockCount[WeekIndex],19),IF((COUNTIFS(T_SelfStock[RM_Code],$A11,T_SelfStock[WeekIndex],19)&gt;0)*(COUNTIFS(T_TTAFStock[RM_Code],$A11,T_TTAFStock[WeekIndex],19)&gt;0)&gt;0,SUMIFS(T_SelfStock[Self_Qty],T_SelfStock[RM_Code],$A11,T_SelfStock[WeekIndex],19)+SUMIFS(T_TTAFStock[TTAF_Qty],T_TTAFStock[RM_Code],$A11,T_TTAFStock[WeekIndex],19),S11+'Grid_Incoming'!T11-'Grid_Requirement'!T11))</f>
        <v/>
      </c>
      <c r="U11">
        <f>IF(COUNTIFS(T_StockCount[RM_Code],$A11,T_StockCount[WeekIndex],20)&gt;0,SUMIFS(T_StockCount[CountedQty],T_StockCount[RM_Code],$A11,T_StockCount[WeekIndex],20),IF((COUNTIFS(T_SelfStock[RM_Code],$A11,T_SelfStock[WeekIndex],20)&gt;0)*(COUNTIFS(T_TTAFStock[RM_Code],$A11,T_TTAFStock[WeekIndex],20)&gt;0)&gt;0,SUMIFS(T_SelfStock[Self_Qty],T_SelfStock[RM_Code],$A11,T_SelfStock[WeekIndex],20)+SUMIFS(T_TTAFStock[TTAF_Qty],T_TTAFStock[RM_Code],$A11,T_TTAFStock[WeekIndex],20),T11+'Grid_Incoming'!U11-'Grid_Requirement'!U11))</f>
        <v/>
      </c>
      <c r="V11">
        <f>IF(COUNTIFS(T_StockCount[RM_Code],$A11,T_StockCount[WeekIndex],21)&gt;0,SUMIFS(T_StockCount[CountedQty],T_StockCount[RM_Code],$A11,T_StockCount[WeekIndex],21),IF((COUNTIFS(T_SelfStock[RM_Code],$A11,T_SelfStock[WeekIndex],21)&gt;0)*(COUNTIFS(T_TTAFStock[RM_Code],$A11,T_TTAFStock[WeekIndex],21)&gt;0)&gt;0,SUMIFS(T_SelfStock[Self_Qty],T_SelfStock[RM_Code],$A11,T_SelfStock[WeekIndex],21)+SUMIFS(T_TTAFStock[TTAF_Qty],T_TTAFStock[RM_Code],$A11,T_TTAFStock[WeekIndex],21),U11+'Grid_Incoming'!V11-'Grid_Requirement'!V11))</f>
        <v/>
      </c>
      <c r="W11">
        <f>IF(COUNTIFS(T_StockCount[RM_Code],$A11,T_StockCount[WeekIndex],22)&gt;0,SUMIFS(T_StockCount[CountedQty],T_StockCount[RM_Code],$A11,T_StockCount[WeekIndex],22),IF((COUNTIFS(T_SelfStock[RM_Code],$A11,T_SelfStock[WeekIndex],22)&gt;0)*(COUNTIFS(T_TTAFStock[RM_Code],$A11,T_TTAFStock[WeekIndex],22)&gt;0)&gt;0,SUMIFS(T_SelfStock[Self_Qty],T_SelfStock[RM_Code],$A11,T_SelfStock[WeekIndex],22)+SUMIFS(T_TTAFStock[TTAF_Qty],T_TTAFStock[RM_Code],$A11,T_TTAFStock[WeekIndex],22),V11+'Grid_Incoming'!W11-'Grid_Requirement'!W11))</f>
        <v/>
      </c>
      <c r="X11">
        <f>IF(COUNTIFS(T_StockCount[RM_Code],$A11,T_StockCount[WeekIndex],23)&gt;0,SUMIFS(T_StockCount[CountedQty],T_StockCount[RM_Code],$A11,T_StockCount[WeekIndex],23),IF((COUNTIFS(T_SelfStock[RM_Code],$A11,T_SelfStock[WeekIndex],23)&gt;0)*(COUNTIFS(T_TTAFStock[RM_Code],$A11,T_TTAFStock[WeekIndex],23)&gt;0)&gt;0,SUMIFS(T_SelfStock[Self_Qty],T_SelfStock[RM_Code],$A11,T_SelfStock[WeekIndex],23)+SUMIFS(T_TTAFStock[TTAF_Qty],T_TTAFStock[RM_Code],$A11,T_TTAFStock[WeekIndex],23),W11+'Grid_Incoming'!X11-'Grid_Requirement'!X11))</f>
        <v/>
      </c>
      <c r="Y11">
        <f>IF(COUNTIFS(T_StockCount[RM_Code],$A11,T_StockCount[WeekIndex],24)&gt;0,SUMIFS(T_StockCount[CountedQty],T_StockCount[RM_Code],$A11,T_StockCount[WeekIndex],24),IF((COUNTIFS(T_SelfStock[RM_Code],$A11,T_SelfStock[WeekIndex],24)&gt;0)*(COUNTIFS(T_TTAFStock[RM_Code],$A11,T_TTAFStock[WeekIndex],24)&gt;0)&gt;0,SUMIFS(T_SelfStock[Self_Qty],T_SelfStock[RM_Code],$A11,T_SelfStock[WeekIndex],24)+SUMIFS(T_TTAFStock[TTAF_Qty],T_TTAFStock[RM_Code],$A11,T_TTAFStock[WeekIndex],24),X11+'Grid_Incoming'!Y11-'Grid_Requirement'!Y11))</f>
        <v/>
      </c>
      <c r="Z11">
        <f>IF(COUNTIFS(T_StockCount[RM_Code],$A11,T_StockCount[WeekIndex],25)&gt;0,SUMIFS(T_StockCount[CountedQty],T_StockCount[RM_Code],$A11,T_StockCount[WeekIndex],25),IF((COUNTIFS(T_SelfStock[RM_Code],$A11,T_SelfStock[WeekIndex],25)&gt;0)*(COUNTIFS(T_TTAFStock[RM_Code],$A11,T_TTAFStock[WeekIndex],25)&gt;0)&gt;0,SUMIFS(T_SelfStock[Self_Qty],T_SelfStock[RM_Code],$A11,T_SelfStock[WeekIndex],25)+SUMIFS(T_TTAFStock[TTAF_Qty],T_TTAFStock[RM_Code],$A11,T_TTAFStock[WeekIndex],25),Y11+'Grid_Incoming'!Z11-'Grid_Requirement'!Z11))</f>
        <v/>
      </c>
      <c r="AA11">
        <f>IF(COUNTIFS(T_StockCount[RM_Code],$A11,T_StockCount[WeekIndex],26)&gt;0,SUMIFS(T_StockCount[CountedQty],T_StockCount[RM_Code],$A11,T_StockCount[WeekIndex],26),IF((COUNTIFS(T_SelfStock[RM_Code],$A11,T_SelfStock[WeekIndex],26)&gt;0)*(COUNTIFS(T_TTAFStock[RM_Code],$A11,T_TTAFStock[WeekIndex],26)&gt;0)&gt;0,SUMIFS(T_SelfStock[Self_Qty],T_SelfStock[RM_Code],$A11,T_SelfStock[WeekIndex],26)+SUMIFS(T_TTAFStock[TTAF_Qty],T_TTAFStock[RM_Code],$A11,T_TTAFStock[WeekIndex],26),Z11+'Grid_Incoming'!AA11-'Grid_Requirement'!AA11))</f>
        <v/>
      </c>
      <c r="AB11">
        <f>IF(COUNTIFS(T_StockCount[RM_Code],$A11,T_StockCount[WeekIndex],27)&gt;0,SUMIFS(T_StockCount[CountedQty],T_StockCount[RM_Code],$A11,T_StockCount[WeekIndex],27),IF((COUNTIFS(T_SelfStock[RM_Code],$A11,T_SelfStock[WeekIndex],27)&gt;0)*(COUNTIFS(T_TTAFStock[RM_Code],$A11,T_TTAFStock[WeekIndex],27)&gt;0)&gt;0,SUMIFS(T_SelfStock[Self_Qty],T_SelfStock[RM_Code],$A11,T_SelfStock[WeekIndex],27)+SUMIFS(T_TTAFStock[TTAF_Qty],T_TTAFStock[RM_Code],$A11,T_TTAFStock[WeekIndex],27),AA11+'Grid_Incoming'!AB11-'Grid_Requirement'!AB11))</f>
        <v/>
      </c>
      <c r="AC11">
        <f>IF(COUNTIFS(T_StockCount[RM_Code],$A11,T_StockCount[WeekIndex],28)&gt;0,SUMIFS(T_StockCount[CountedQty],T_StockCount[RM_Code],$A11,T_StockCount[WeekIndex],28),IF((COUNTIFS(T_SelfStock[RM_Code],$A11,T_SelfStock[WeekIndex],28)&gt;0)*(COUNTIFS(T_TTAFStock[RM_Code],$A11,T_TTAFStock[WeekIndex],28)&gt;0)&gt;0,SUMIFS(T_SelfStock[Self_Qty],T_SelfStock[RM_Code],$A11,T_SelfStock[WeekIndex],28)+SUMIFS(T_TTAFStock[TTAF_Qty],T_TTAFStock[RM_Code],$A11,T_TTAFStock[WeekIndex],28),AB11+'Grid_Incoming'!AC11-'Grid_Requirement'!AC11))</f>
        <v/>
      </c>
      <c r="AD11">
        <f>IF(COUNTIFS(T_StockCount[RM_Code],$A11,T_StockCount[WeekIndex],29)&gt;0,SUMIFS(T_StockCount[CountedQty],T_StockCount[RM_Code],$A11,T_StockCount[WeekIndex],29),IF((COUNTIFS(T_SelfStock[RM_Code],$A11,T_SelfStock[WeekIndex],29)&gt;0)*(COUNTIFS(T_TTAFStock[RM_Code],$A11,T_TTAFStock[WeekIndex],29)&gt;0)&gt;0,SUMIFS(T_SelfStock[Self_Qty],T_SelfStock[RM_Code],$A11,T_SelfStock[WeekIndex],29)+SUMIFS(T_TTAFStock[TTAF_Qty],T_TTAFStock[RM_Code],$A11,T_TTAFStock[WeekIndex],29),AC11+'Grid_Incoming'!AD11-'Grid_Requirement'!AD11))</f>
        <v/>
      </c>
      <c r="AE11">
        <f>IF(COUNTIFS(T_StockCount[RM_Code],$A11,T_StockCount[WeekIndex],30)&gt;0,SUMIFS(T_StockCount[CountedQty],T_StockCount[RM_Code],$A11,T_StockCount[WeekIndex],30),IF((COUNTIFS(T_SelfStock[RM_Code],$A11,T_SelfStock[WeekIndex],30)&gt;0)*(COUNTIFS(T_TTAFStock[RM_Code],$A11,T_TTAFStock[WeekIndex],30)&gt;0)&gt;0,SUMIFS(T_SelfStock[Self_Qty],T_SelfStock[RM_Code],$A11,T_SelfStock[WeekIndex],30)+SUMIFS(T_TTAFStock[TTAF_Qty],T_TTAFStock[RM_Code],$A11,T_TTAFStock[WeekIndex],30),AD11+'Grid_Incoming'!AE11-'Grid_Requirement'!AE11))</f>
        <v/>
      </c>
      <c r="AF11">
        <f>IF(COUNTIFS(T_StockCount[RM_Code],$A11,T_StockCount[WeekIndex],31)&gt;0,SUMIFS(T_StockCount[CountedQty],T_StockCount[RM_Code],$A11,T_StockCount[WeekIndex],31),IF((COUNTIFS(T_SelfStock[RM_Code],$A11,T_SelfStock[WeekIndex],31)&gt;0)*(COUNTIFS(T_TTAFStock[RM_Code],$A11,T_TTAFStock[WeekIndex],31)&gt;0)&gt;0,SUMIFS(T_SelfStock[Self_Qty],T_SelfStock[RM_Code],$A11,T_SelfStock[WeekIndex],31)+SUMIFS(T_TTAFStock[TTAF_Qty],T_TTAFStock[RM_Code],$A11,T_TTAFStock[WeekIndex],31),AE11+'Grid_Incoming'!AF11-'Grid_Requirement'!AF11))</f>
        <v/>
      </c>
      <c r="AG11">
        <f>IF(COUNTIFS(T_StockCount[RM_Code],$A11,T_StockCount[WeekIndex],32)&gt;0,SUMIFS(T_StockCount[CountedQty],T_StockCount[RM_Code],$A11,T_StockCount[WeekIndex],32),IF((COUNTIFS(T_SelfStock[RM_Code],$A11,T_SelfStock[WeekIndex],32)&gt;0)*(COUNTIFS(T_TTAFStock[RM_Code],$A11,T_TTAFStock[WeekIndex],32)&gt;0)&gt;0,SUMIFS(T_SelfStock[Self_Qty],T_SelfStock[RM_Code],$A11,T_SelfStock[WeekIndex],32)+SUMIFS(T_TTAFStock[TTAF_Qty],T_TTAFStock[RM_Code],$A11,T_TTAFStock[WeekIndex],32),AF11+'Grid_Incoming'!AG11-'Grid_Requirement'!AG11))</f>
        <v/>
      </c>
      <c r="AH11">
        <f>IF(COUNTIFS(T_StockCount[RM_Code],$A11,T_StockCount[WeekIndex],33)&gt;0,SUMIFS(T_StockCount[CountedQty],T_StockCount[RM_Code],$A11,T_StockCount[WeekIndex],33),IF((COUNTIFS(T_SelfStock[RM_Code],$A11,T_SelfStock[WeekIndex],33)&gt;0)*(COUNTIFS(T_TTAFStock[RM_Code],$A11,T_TTAFStock[WeekIndex],33)&gt;0)&gt;0,SUMIFS(T_SelfStock[Self_Qty],T_SelfStock[RM_Code],$A11,T_SelfStock[WeekIndex],33)+SUMIFS(T_TTAFStock[TTAF_Qty],T_TTAFStock[RM_Code],$A11,T_TTAFStock[WeekIndex],33),AG11+'Grid_Incoming'!AH11-'Grid_Requirement'!AH11))</f>
        <v/>
      </c>
      <c r="AI11">
        <f>IF(COUNTIFS(T_StockCount[RM_Code],$A11,T_StockCount[WeekIndex],34)&gt;0,SUMIFS(T_StockCount[CountedQty],T_StockCount[RM_Code],$A11,T_StockCount[WeekIndex],34),IF((COUNTIFS(T_SelfStock[RM_Code],$A11,T_SelfStock[WeekIndex],34)&gt;0)*(COUNTIFS(T_TTAFStock[RM_Code],$A11,T_TTAFStock[WeekIndex],34)&gt;0)&gt;0,SUMIFS(T_SelfStock[Self_Qty],T_SelfStock[RM_Code],$A11,T_SelfStock[WeekIndex],34)+SUMIFS(T_TTAFStock[TTAF_Qty],T_TTAFStock[RM_Code],$A11,T_TTAFStock[WeekIndex],34),AH11+'Grid_Incoming'!AI11-'Grid_Requirement'!AI11))</f>
        <v/>
      </c>
      <c r="AJ11">
        <f>IF(COUNTIFS(T_StockCount[RM_Code],$A11,T_StockCount[WeekIndex],35)&gt;0,SUMIFS(T_StockCount[CountedQty],T_StockCount[RM_Code],$A11,T_StockCount[WeekIndex],35),IF((COUNTIFS(T_SelfStock[RM_Code],$A11,T_SelfStock[WeekIndex],35)&gt;0)*(COUNTIFS(T_TTAFStock[RM_Code],$A11,T_TTAFStock[WeekIndex],35)&gt;0)&gt;0,SUMIFS(T_SelfStock[Self_Qty],T_SelfStock[RM_Code],$A11,T_SelfStock[WeekIndex],35)+SUMIFS(T_TTAFStock[TTAF_Qty],T_TTAFStock[RM_Code],$A11,T_TTAFStock[WeekIndex],35),AI11+'Grid_Incoming'!AJ11-'Grid_Requirement'!AJ11))</f>
        <v/>
      </c>
      <c r="AK11">
        <f>IF(COUNTIFS(T_StockCount[RM_Code],$A11,T_StockCount[WeekIndex],36)&gt;0,SUMIFS(T_StockCount[CountedQty],T_StockCount[RM_Code],$A11,T_StockCount[WeekIndex],36),IF((COUNTIFS(T_SelfStock[RM_Code],$A11,T_SelfStock[WeekIndex],36)&gt;0)*(COUNTIFS(T_TTAFStock[RM_Code],$A11,T_TTAFStock[WeekIndex],36)&gt;0)&gt;0,SUMIFS(T_SelfStock[Self_Qty],T_SelfStock[RM_Code],$A11,T_SelfStock[WeekIndex],36)+SUMIFS(T_TTAFStock[TTAF_Qty],T_TTAFStock[RM_Code],$A11,T_TTAFStock[WeekIndex],36),AJ11+'Grid_Incoming'!AK11-'Grid_Requirement'!AK11))</f>
        <v/>
      </c>
      <c r="AL11">
        <f>IF(COUNTIFS(T_StockCount[RM_Code],$A11,T_StockCount[WeekIndex],37)&gt;0,SUMIFS(T_StockCount[CountedQty],T_StockCount[RM_Code],$A11,T_StockCount[WeekIndex],37),IF((COUNTIFS(T_SelfStock[RM_Code],$A11,T_SelfStock[WeekIndex],37)&gt;0)*(COUNTIFS(T_TTAFStock[RM_Code],$A11,T_TTAFStock[WeekIndex],37)&gt;0)&gt;0,SUMIFS(T_SelfStock[Self_Qty],T_SelfStock[RM_Code],$A11,T_SelfStock[WeekIndex],37)+SUMIFS(T_TTAFStock[TTAF_Qty],T_TTAFStock[RM_Code],$A11,T_TTAFStock[WeekIndex],37),AK11+'Grid_Incoming'!AL11-'Grid_Requirement'!AL11))</f>
        <v/>
      </c>
      <c r="AM11">
        <f>IF(COUNTIFS(T_StockCount[RM_Code],$A11,T_StockCount[WeekIndex],38)&gt;0,SUMIFS(T_StockCount[CountedQty],T_StockCount[RM_Code],$A11,T_StockCount[WeekIndex],38),IF((COUNTIFS(T_SelfStock[RM_Code],$A11,T_SelfStock[WeekIndex],38)&gt;0)*(COUNTIFS(T_TTAFStock[RM_Code],$A11,T_TTAFStock[WeekIndex],38)&gt;0)&gt;0,SUMIFS(T_SelfStock[Self_Qty],T_SelfStock[RM_Code],$A11,T_SelfStock[WeekIndex],38)+SUMIFS(T_TTAFStock[TTAF_Qty],T_TTAFStock[RM_Code],$A11,T_TTAFStock[WeekIndex],38),AL11+'Grid_Incoming'!AM11-'Grid_Requirement'!AM11))</f>
        <v/>
      </c>
      <c r="AN11">
        <f>IF(COUNTIFS(T_StockCount[RM_Code],$A11,T_StockCount[WeekIndex],39)&gt;0,SUMIFS(T_StockCount[CountedQty],T_StockCount[RM_Code],$A11,T_StockCount[WeekIndex],39),IF((COUNTIFS(T_SelfStock[RM_Code],$A11,T_SelfStock[WeekIndex],39)&gt;0)*(COUNTIFS(T_TTAFStock[RM_Code],$A11,T_TTAFStock[WeekIndex],39)&gt;0)&gt;0,SUMIFS(T_SelfStock[Self_Qty],T_SelfStock[RM_Code],$A11,T_SelfStock[WeekIndex],39)+SUMIFS(T_TTAFStock[TTAF_Qty],T_TTAFStock[RM_Code],$A11,T_TTAFStock[WeekIndex],39),AM11+'Grid_Incoming'!AN11-'Grid_Requirement'!AN11))</f>
        <v/>
      </c>
      <c r="AO11">
        <f>IF(COUNTIFS(T_StockCount[RM_Code],$A11,T_StockCount[WeekIndex],40)&gt;0,SUMIFS(T_StockCount[CountedQty],T_StockCount[RM_Code],$A11,T_StockCount[WeekIndex],40),IF((COUNTIFS(T_SelfStock[RM_Code],$A11,T_SelfStock[WeekIndex],40)&gt;0)*(COUNTIFS(T_TTAFStock[RM_Code],$A11,T_TTAFStock[WeekIndex],40)&gt;0)&gt;0,SUMIFS(T_SelfStock[Self_Qty],T_SelfStock[RM_Code],$A11,T_SelfStock[WeekIndex],40)+SUMIFS(T_TTAFStock[TTAF_Qty],T_TTAFStock[RM_Code],$A11,T_TTAFStock[WeekIndex],40),AN11+'Grid_Incoming'!AO11-'Grid_Requirement'!AO11))</f>
        <v/>
      </c>
      <c r="AP11">
        <f>IF(COUNTIFS(T_StockCount[RM_Code],$A11,T_StockCount[WeekIndex],41)&gt;0,SUMIFS(T_StockCount[CountedQty],T_StockCount[RM_Code],$A11,T_StockCount[WeekIndex],41),IF((COUNTIFS(T_SelfStock[RM_Code],$A11,T_SelfStock[WeekIndex],41)&gt;0)*(COUNTIFS(T_TTAFStock[RM_Code],$A11,T_TTAFStock[WeekIndex],41)&gt;0)&gt;0,SUMIFS(T_SelfStock[Self_Qty],T_SelfStock[RM_Code],$A11,T_SelfStock[WeekIndex],41)+SUMIFS(T_TTAFStock[TTAF_Qty],T_TTAFStock[RM_Code],$A11,T_TTAFStock[WeekIndex],41),AO11+'Grid_Incoming'!AP11-'Grid_Requirement'!AP11))</f>
        <v/>
      </c>
      <c r="AQ11">
        <f>IF(COUNTIFS(T_StockCount[RM_Code],$A11,T_StockCount[WeekIndex],42)&gt;0,SUMIFS(T_StockCount[CountedQty],T_StockCount[RM_Code],$A11,T_StockCount[WeekIndex],42),IF((COUNTIFS(T_SelfStock[RM_Code],$A11,T_SelfStock[WeekIndex],42)&gt;0)*(COUNTIFS(T_TTAFStock[RM_Code],$A11,T_TTAFStock[WeekIndex],42)&gt;0)&gt;0,SUMIFS(T_SelfStock[Self_Qty],T_SelfStock[RM_Code],$A11,T_SelfStock[WeekIndex],42)+SUMIFS(T_TTAFStock[TTAF_Qty],T_TTAFStock[RM_Code],$A11,T_TTAFStock[WeekIndex],42),AP11+'Grid_Incoming'!AQ11-'Grid_Requirement'!AQ11))</f>
        <v/>
      </c>
      <c r="AR11">
        <f>IF(COUNTIFS(T_StockCount[RM_Code],$A11,T_StockCount[WeekIndex],43)&gt;0,SUMIFS(T_StockCount[CountedQty],T_StockCount[RM_Code],$A11,T_StockCount[WeekIndex],43),IF((COUNTIFS(T_SelfStock[RM_Code],$A11,T_SelfStock[WeekIndex],43)&gt;0)*(COUNTIFS(T_TTAFStock[RM_Code],$A11,T_TTAFStock[WeekIndex],43)&gt;0)&gt;0,SUMIFS(T_SelfStock[Self_Qty],T_SelfStock[RM_Code],$A11,T_SelfStock[WeekIndex],43)+SUMIFS(T_TTAFStock[TTAF_Qty],T_TTAFStock[RM_Code],$A11,T_TTAFStock[WeekIndex],43),AQ11+'Grid_Incoming'!AR11-'Grid_Requirement'!AR11))</f>
        <v/>
      </c>
      <c r="AS11">
        <f>IF(COUNTIFS(T_StockCount[RM_Code],$A11,T_StockCount[WeekIndex],44)&gt;0,SUMIFS(T_StockCount[CountedQty],T_StockCount[RM_Code],$A11,T_StockCount[WeekIndex],44),IF((COUNTIFS(T_SelfStock[RM_Code],$A11,T_SelfStock[WeekIndex],44)&gt;0)*(COUNTIFS(T_TTAFStock[RM_Code],$A11,T_TTAFStock[WeekIndex],44)&gt;0)&gt;0,SUMIFS(T_SelfStock[Self_Qty],T_SelfStock[RM_Code],$A11,T_SelfStock[WeekIndex],44)+SUMIFS(T_TTAFStock[TTAF_Qty],T_TTAFStock[RM_Code],$A11,T_TTAFStock[WeekIndex],44),AR11+'Grid_Incoming'!AS11-'Grid_Requirement'!AS11))</f>
        <v/>
      </c>
      <c r="AT11">
        <f>IF(COUNTIFS(T_StockCount[RM_Code],$A11,T_StockCount[WeekIndex],45)&gt;0,SUMIFS(T_StockCount[CountedQty],T_StockCount[RM_Code],$A11,T_StockCount[WeekIndex],45),IF((COUNTIFS(T_SelfStock[RM_Code],$A11,T_SelfStock[WeekIndex],45)&gt;0)*(COUNTIFS(T_TTAFStock[RM_Code],$A11,T_TTAFStock[WeekIndex],45)&gt;0)&gt;0,SUMIFS(T_SelfStock[Self_Qty],T_SelfStock[RM_Code],$A11,T_SelfStock[WeekIndex],45)+SUMIFS(T_TTAFStock[TTAF_Qty],T_TTAFStock[RM_Code],$A11,T_TTAFStock[WeekIndex],45),AS11+'Grid_Incoming'!AT11-'Grid_Requirement'!AT11))</f>
        <v/>
      </c>
      <c r="AU11">
        <f>IF(COUNTIFS(T_StockCount[RM_Code],$A11,T_StockCount[WeekIndex],46)&gt;0,SUMIFS(T_StockCount[CountedQty],T_StockCount[RM_Code],$A11,T_StockCount[WeekIndex],46),IF((COUNTIFS(T_SelfStock[RM_Code],$A11,T_SelfStock[WeekIndex],46)&gt;0)*(COUNTIFS(T_TTAFStock[RM_Code],$A11,T_TTAFStock[WeekIndex],46)&gt;0)&gt;0,SUMIFS(T_SelfStock[Self_Qty],T_SelfStock[RM_Code],$A11,T_SelfStock[WeekIndex],46)+SUMIFS(T_TTAFStock[TTAF_Qty],T_TTAFStock[RM_Code],$A11,T_TTAFStock[WeekIndex],46),AT11+'Grid_Incoming'!AU11-'Grid_Requirement'!AU11))</f>
        <v/>
      </c>
      <c r="AV11">
        <f>IF(COUNTIFS(T_StockCount[RM_Code],$A11,T_StockCount[WeekIndex],47)&gt;0,SUMIFS(T_StockCount[CountedQty],T_StockCount[RM_Code],$A11,T_StockCount[WeekIndex],47),IF((COUNTIFS(T_SelfStock[RM_Code],$A11,T_SelfStock[WeekIndex],47)&gt;0)*(COUNTIFS(T_TTAFStock[RM_Code],$A11,T_TTAFStock[WeekIndex],47)&gt;0)&gt;0,SUMIFS(T_SelfStock[Self_Qty],T_SelfStock[RM_Code],$A11,T_SelfStock[WeekIndex],47)+SUMIFS(T_TTAFStock[TTAF_Qty],T_TTAFStock[RM_Code],$A11,T_TTAFStock[WeekIndex],47),AU11+'Grid_Incoming'!AV11-'Grid_Requirement'!AV11))</f>
        <v/>
      </c>
      <c r="AW11">
        <f>IF(COUNTIFS(T_StockCount[RM_Code],$A11,T_StockCount[WeekIndex],48)&gt;0,SUMIFS(T_StockCount[CountedQty],T_StockCount[RM_Code],$A11,T_StockCount[WeekIndex],48),IF((COUNTIFS(T_SelfStock[RM_Code],$A11,T_SelfStock[WeekIndex],48)&gt;0)*(COUNTIFS(T_TTAFStock[RM_Code],$A11,T_TTAFStock[WeekIndex],48)&gt;0)&gt;0,SUMIFS(T_SelfStock[Self_Qty],T_SelfStock[RM_Code],$A11,T_SelfStock[WeekIndex],48)+SUMIFS(T_TTAFStock[TTAF_Qty],T_TTAFStock[RM_Code],$A11,T_TTAFStock[WeekIndex],48),AV11+'Grid_Incoming'!AW11-'Grid_Requirement'!AW11))</f>
        <v/>
      </c>
      <c r="AX11">
        <f>IF(COUNTIFS(T_StockCount[RM_Code],$A11,T_StockCount[WeekIndex],49)&gt;0,SUMIFS(T_StockCount[CountedQty],T_StockCount[RM_Code],$A11,T_StockCount[WeekIndex],49),IF((COUNTIFS(T_SelfStock[RM_Code],$A11,T_SelfStock[WeekIndex],49)&gt;0)*(COUNTIFS(T_TTAFStock[RM_Code],$A11,T_TTAFStock[WeekIndex],49)&gt;0)&gt;0,SUMIFS(T_SelfStock[Self_Qty],T_SelfStock[RM_Code],$A11,T_SelfStock[WeekIndex],49)+SUMIFS(T_TTAFStock[TTAF_Qty],T_TTAFStock[RM_Code],$A11,T_TTAFStock[WeekIndex],49),AW11+'Grid_Incoming'!AX11-'Grid_Requirement'!AX11))</f>
        <v/>
      </c>
      <c r="AY11">
        <f>IF(COUNTIFS(T_StockCount[RM_Code],$A11,T_StockCount[WeekIndex],50)&gt;0,SUMIFS(T_StockCount[CountedQty],T_StockCount[RM_Code],$A11,T_StockCount[WeekIndex],50),IF((COUNTIFS(T_SelfStock[RM_Code],$A11,T_SelfStock[WeekIndex],50)&gt;0)*(COUNTIFS(T_TTAFStock[RM_Code],$A11,T_TTAFStock[WeekIndex],50)&gt;0)&gt;0,SUMIFS(T_SelfStock[Self_Qty],T_SelfStock[RM_Code],$A11,T_SelfStock[WeekIndex],50)+SUMIFS(T_TTAFStock[TTAF_Qty],T_TTAFStock[RM_Code],$A11,T_TTAFStock[WeekIndex],50),AX11+'Grid_Incoming'!AY11-'Grid_Requirement'!AY11))</f>
        <v/>
      </c>
      <c r="AZ11">
        <f>IF(COUNTIFS(T_StockCount[RM_Code],$A11,T_StockCount[WeekIndex],51)&gt;0,SUMIFS(T_StockCount[CountedQty],T_StockCount[RM_Code],$A11,T_StockCount[WeekIndex],51),IF((COUNTIFS(T_SelfStock[RM_Code],$A11,T_SelfStock[WeekIndex],51)&gt;0)*(COUNTIFS(T_TTAFStock[RM_Code],$A11,T_TTAFStock[WeekIndex],51)&gt;0)&gt;0,SUMIFS(T_SelfStock[Self_Qty],T_SelfStock[RM_Code],$A11,T_SelfStock[WeekIndex],51)+SUMIFS(T_TTAFStock[TTAF_Qty],T_TTAFStock[RM_Code],$A11,T_TTAFStock[WeekIndex],51),AY11+'Grid_Incoming'!AZ11-'Grid_Requirement'!AZ11))</f>
        <v/>
      </c>
      <c r="BA11">
        <f>IF(COUNTIFS(T_StockCount[RM_Code],$A11,T_StockCount[WeekIndex],52)&gt;0,SUMIFS(T_StockCount[CountedQty],T_StockCount[RM_Code],$A11,T_StockCount[WeekIndex],52),IF((COUNTIFS(T_SelfStock[RM_Code],$A11,T_SelfStock[WeekIndex],52)&gt;0)*(COUNTIFS(T_TTAFStock[RM_Code],$A11,T_TTAFStock[WeekIndex],52)&gt;0)&gt;0,SUMIFS(T_SelfStock[Self_Qty],T_SelfStock[RM_Code],$A11,T_SelfStock[WeekIndex],52)+SUMIFS(T_TTAFStock[TTAF_Qty],T_TTAFStock[RM_Code],$A11,T_TTAFStock[WeekIndex],52),AZ11+'Grid_Incoming'!BA11-'Grid_Requirement'!BA11))</f>
        <v/>
      </c>
      <c r="BB11">
        <f>IF(COUNTIFS(T_StockCount[RM_Code],$A11,T_StockCount[WeekIndex],53)&gt;0,SUMIFS(T_StockCount[CountedQty],T_StockCount[RM_Code],$A11,T_StockCount[WeekIndex],53),IF((COUNTIFS(T_SelfStock[RM_Code],$A11,T_SelfStock[WeekIndex],53)&gt;0)*(COUNTIFS(T_TTAFStock[RM_Code],$A11,T_TTAFStock[WeekIndex],53)&gt;0)&gt;0,SUMIFS(T_SelfStock[Self_Qty],T_SelfStock[RM_Code],$A11,T_SelfStock[WeekIndex],53)+SUMIFS(T_TTAFStock[TTAF_Qty],T_TTAFStock[RM_Code],$A11,T_TTAFStock[WeekIndex],53),BA11+'Grid_Incoming'!BB11-'Grid_Requirement'!BB11))</f>
        <v/>
      </c>
      <c r="BC11">
        <f>IF(COUNTIFS(T_StockCount[RM_Code],$A11,T_StockCount[WeekIndex],54)&gt;0,SUMIFS(T_StockCount[CountedQty],T_StockCount[RM_Code],$A11,T_StockCount[WeekIndex],54),IF((COUNTIFS(T_SelfStock[RM_Code],$A11,T_SelfStock[WeekIndex],54)&gt;0)*(COUNTIFS(T_TTAFStock[RM_Code],$A11,T_TTAFStock[WeekIndex],54)&gt;0)&gt;0,SUMIFS(T_SelfStock[Self_Qty],T_SelfStock[RM_Code],$A11,T_SelfStock[WeekIndex],54)+SUMIFS(T_TTAFStock[TTAF_Qty],T_TTAFStock[RM_Code],$A11,T_TTAFStock[WeekIndex],54),BB11+'Grid_Incoming'!BC11-'Grid_Requirement'!BC11))</f>
        <v/>
      </c>
      <c r="BD11">
        <f>IF(COUNTIFS(T_StockCount[RM_Code],$A11,T_StockCount[WeekIndex],55)&gt;0,SUMIFS(T_StockCount[CountedQty],T_StockCount[RM_Code],$A11,T_StockCount[WeekIndex],55),IF((COUNTIFS(T_SelfStock[RM_Code],$A11,T_SelfStock[WeekIndex],55)&gt;0)*(COUNTIFS(T_TTAFStock[RM_Code],$A11,T_TTAFStock[WeekIndex],55)&gt;0)&gt;0,SUMIFS(T_SelfStock[Self_Qty],T_SelfStock[RM_Code],$A11,T_SelfStock[WeekIndex],55)+SUMIFS(T_TTAFStock[TTAF_Qty],T_TTAFStock[RM_Code],$A11,T_TTAFStock[WeekIndex],55),BC11+'Grid_Incoming'!BD11-'Grid_Requirement'!BD11))</f>
        <v/>
      </c>
      <c r="BE11">
        <f>IF(COUNTIFS(T_StockCount[RM_Code],$A11,T_StockCount[WeekIndex],56)&gt;0,SUMIFS(T_StockCount[CountedQty],T_StockCount[RM_Code],$A11,T_StockCount[WeekIndex],56),IF((COUNTIFS(T_SelfStock[RM_Code],$A11,T_SelfStock[WeekIndex],56)&gt;0)*(COUNTIFS(T_TTAFStock[RM_Code],$A11,T_TTAFStock[WeekIndex],56)&gt;0)&gt;0,SUMIFS(T_SelfStock[Self_Qty],T_SelfStock[RM_Code],$A11,T_SelfStock[WeekIndex],56)+SUMIFS(T_TTAFStock[TTAF_Qty],T_TTAFStock[RM_Code],$A11,T_TTAFStock[WeekIndex],56),BD11+'Grid_Incoming'!BE11-'Grid_Requirement'!BE11))</f>
        <v/>
      </c>
      <c r="BF11">
        <f>IF(COUNTIFS(T_StockCount[RM_Code],$A11,T_StockCount[WeekIndex],57)&gt;0,SUMIFS(T_StockCount[CountedQty],T_StockCount[RM_Code],$A11,T_StockCount[WeekIndex],57),IF((COUNTIFS(T_SelfStock[RM_Code],$A11,T_SelfStock[WeekIndex],57)&gt;0)*(COUNTIFS(T_TTAFStock[RM_Code],$A11,T_TTAFStock[WeekIndex],57)&gt;0)&gt;0,SUMIFS(T_SelfStock[Self_Qty],T_SelfStock[RM_Code],$A11,T_SelfStock[WeekIndex],57)+SUMIFS(T_TTAFStock[TTAF_Qty],T_TTAFStock[RM_Code],$A11,T_TTAFStock[WeekIndex],57),BE11+'Grid_Incoming'!BF11-'Grid_Requirement'!BF11))</f>
        <v/>
      </c>
      <c r="BG11">
        <f>IF(COUNTIFS(T_StockCount[RM_Code],$A11,T_StockCount[WeekIndex],58)&gt;0,SUMIFS(T_StockCount[CountedQty],T_StockCount[RM_Code],$A11,T_StockCount[WeekIndex],58),IF((COUNTIFS(T_SelfStock[RM_Code],$A11,T_SelfStock[WeekIndex],58)&gt;0)*(COUNTIFS(T_TTAFStock[RM_Code],$A11,T_TTAFStock[WeekIndex],58)&gt;0)&gt;0,SUMIFS(T_SelfStock[Self_Qty],T_SelfStock[RM_Code],$A11,T_SelfStock[WeekIndex],58)+SUMIFS(T_TTAFStock[TTAF_Qty],T_TTAFStock[RM_Code],$A11,T_TTAFStock[WeekIndex],58),BF11+'Grid_Incoming'!BG11-'Grid_Requirement'!BG11))</f>
        <v/>
      </c>
      <c r="BH11">
        <f>IF(COUNTIFS(T_StockCount[RM_Code],$A11,T_StockCount[WeekIndex],59)&gt;0,SUMIFS(T_StockCount[CountedQty],T_StockCount[RM_Code],$A11,T_StockCount[WeekIndex],59),IF((COUNTIFS(T_SelfStock[RM_Code],$A11,T_SelfStock[WeekIndex],59)&gt;0)*(COUNTIFS(T_TTAFStock[RM_Code],$A11,T_TTAFStock[WeekIndex],59)&gt;0)&gt;0,SUMIFS(T_SelfStock[Self_Qty],T_SelfStock[RM_Code],$A11,T_SelfStock[WeekIndex],59)+SUMIFS(T_TTAFStock[TTAF_Qty],T_TTAFStock[RM_Code],$A11,T_TTAFStock[WeekIndex],59),BG11+'Grid_Incoming'!BH11-'Grid_Requirement'!BH11))</f>
        <v/>
      </c>
      <c r="BI11">
        <f>IF(COUNTIFS(T_StockCount[RM_Code],$A11,T_StockCount[WeekIndex],60)&gt;0,SUMIFS(T_StockCount[CountedQty],T_StockCount[RM_Code],$A11,T_StockCount[WeekIndex],60),IF((COUNTIFS(T_SelfStock[RM_Code],$A11,T_SelfStock[WeekIndex],60)&gt;0)*(COUNTIFS(T_TTAFStock[RM_Code],$A11,T_TTAFStock[WeekIndex],60)&gt;0)&gt;0,SUMIFS(T_SelfStock[Self_Qty],T_SelfStock[RM_Code],$A11,T_SelfStock[WeekIndex],60)+SUMIFS(T_TTAFStock[TTAF_Qty],T_TTAFStock[RM_Code],$A11,T_TTAFStock[WeekIndex],60),BH11+'Grid_Incoming'!BI11-'Grid_Requirement'!BI11))</f>
        <v/>
      </c>
      <c r="BJ11">
        <f>IF(COUNTIFS(T_StockCount[RM_Code],$A11,T_StockCount[WeekIndex],61)&gt;0,SUMIFS(T_StockCount[CountedQty],T_StockCount[RM_Code],$A11,T_StockCount[WeekIndex],61),IF((COUNTIFS(T_SelfStock[RM_Code],$A11,T_SelfStock[WeekIndex],61)&gt;0)*(COUNTIFS(T_TTAFStock[RM_Code],$A11,T_TTAFStock[WeekIndex],61)&gt;0)&gt;0,SUMIFS(T_SelfStock[Self_Qty],T_SelfStock[RM_Code],$A11,T_SelfStock[WeekIndex],61)+SUMIFS(T_TTAFStock[TTAF_Qty],T_TTAFStock[RM_Code],$A11,T_TTAFStock[WeekIndex],61),BI11+'Grid_Incoming'!BJ11-'Grid_Requirement'!BJ11))</f>
        <v/>
      </c>
      <c r="BK11">
        <f>IF(COUNTIFS(T_StockCount[RM_Code],$A11,T_StockCount[WeekIndex],62)&gt;0,SUMIFS(T_StockCount[CountedQty],T_StockCount[RM_Code],$A11,T_StockCount[WeekIndex],62),IF((COUNTIFS(T_SelfStock[RM_Code],$A11,T_SelfStock[WeekIndex],62)&gt;0)*(COUNTIFS(T_TTAFStock[RM_Code],$A11,T_TTAFStock[WeekIndex],62)&gt;0)&gt;0,SUMIFS(T_SelfStock[Self_Qty],T_SelfStock[RM_Code],$A11,T_SelfStock[WeekIndex],62)+SUMIFS(T_TTAFStock[TTAF_Qty],T_TTAFStock[RM_Code],$A11,T_TTAFStock[WeekIndex],62),BJ11+'Grid_Incoming'!BK11-'Grid_Requirement'!BK11))</f>
        <v/>
      </c>
      <c r="BL11">
        <f>IF(COUNTIFS(T_StockCount[RM_Code],$A11,T_StockCount[WeekIndex],63)&gt;0,SUMIFS(T_StockCount[CountedQty],T_StockCount[RM_Code],$A11,T_StockCount[WeekIndex],63),IF((COUNTIFS(T_SelfStock[RM_Code],$A11,T_SelfStock[WeekIndex],63)&gt;0)*(COUNTIFS(T_TTAFStock[RM_Code],$A11,T_TTAFStock[WeekIndex],63)&gt;0)&gt;0,SUMIFS(T_SelfStock[Self_Qty],T_SelfStock[RM_Code],$A11,T_SelfStock[WeekIndex],63)+SUMIFS(T_TTAFStock[TTAF_Qty],T_TTAFStock[RM_Code],$A11,T_TTAFStock[WeekIndex],63),BK11+'Grid_Incoming'!BL11-'Grid_Requirement'!BL11))</f>
        <v/>
      </c>
      <c r="BM11">
        <f>IF(COUNTIFS(T_StockCount[RM_Code],$A11,T_StockCount[WeekIndex],64)&gt;0,SUMIFS(T_StockCount[CountedQty],T_StockCount[RM_Code],$A11,T_StockCount[WeekIndex],64),IF((COUNTIFS(T_SelfStock[RM_Code],$A11,T_SelfStock[WeekIndex],64)&gt;0)*(COUNTIFS(T_TTAFStock[RM_Code],$A11,T_TTAFStock[WeekIndex],64)&gt;0)&gt;0,SUMIFS(T_SelfStock[Self_Qty],T_SelfStock[RM_Code],$A11,T_SelfStock[WeekIndex],64)+SUMIFS(T_TTAFStock[TTAF_Qty],T_TTAFStock[RM_Code],$A11,T_TTAFStock[WeekIndex],64),BL11+'Grid_Incoming'!BM11-'Grid_Requirement'!BM11))</f>
        <v/>
      </c>
      <c r="BN11">
        <f>IF(COUNTIFS(T_StockCount[RM_Code],$A11,T_StockCount[WeekIndex],65)&gt;0,SUMIFS(T_StockCount[CountedQty],T_StockCount[RM_Code],$A11,T_StockCount[WeekIndex],65),IF((COUNTIFS(T_SelfStock[RM_Code],$A11,T_SelfStock[WeekIndex],65)&gt;0)*(COUNTIFS(T_TTAFStock[RM_Code],$A11,T_TTAFStock[WeekIndex],65)&gt;0)&gt;0,SUMIFS(T_SelfStock[Self_Qty],T_SelfStock[RM_Code],$A11,T_SelfStock[WeekIndex],65)+SUMIFS(T_TTAFStock[TTAF_Qty],T_TTAFStock[RM_Code],$A11,T_TTAFStock[WeekIndex],65),BM11+'Grid_Incoming'!BN11-'Grid_Requirement'!BN11))</f>
        <v/>
      </c>
      <c r="BO11">
        <f>IF(COUNTIFS(T_StockCount[RM_Code],$A11,T_StockCount[WeekIndex],66)&gt;0,SUMIFS(T_StockCount[CountedQty],T_StockCount[RM_Code],$A11,T_StockCount[WeekIndex],66),IF((COUNTIFS(T_SelfStock[RM_Code],$A11,T_SelfStock[WeekIndex],66)&gt;0)*(COUNTIFS(T_TTAFStock[RM_Code],$A11,T_TTAFStock[WeekIndex],66)&gt;0)&gt;0,SUMIFS(T_SelfStock[Self_Qty],T_SelfStock[RM_Code],$A11,T_SelfStock[WeekIndex],66)+SUMIFS(T_TTAFStock[TTAF_Qty],T_TTAFStock[RM_Code],$A11,T_TTAFStock[WeekIndex],66),BN11+'Grid_Incoming'!BO11-'Grid_Requirement'!BO11))</f>
        <v/>
      </c>
      <c r="BP11">
        <f>IF(COUNTIFS(T_StockCount[RM_Code],$A11,T_StockCount[WeekIndex],67)&gt;0,SUMIFS(T_StockCount[CountedQty],T_StockCount[RM_Code],$A11,T_StockCount[WeekIndex],67),IF((COUNTIFS(T_SelfStock[RM_Code],$A11,T_SelfStock[WeekIndex],67)&gt;0)*(COUNTIFS(T_TTAFStock[RM_Code],$A11,T_TTAFStock[WeekIndex],67)&gt;0)&gt;0,SUMIFS(T_SelfStock[Self_Qty],T_SelfStock[RM_Code],$A11,T_SelfStock[WeekIndex],67)+SUMIFS(T_TTAFStock[TTAF_Qty],T_TTAFStock[RM_Code],$A11,T_TTAFStock[WeekIndex],67),BO11+'Grid_Incoming'!BP11-'Grid_Requirement'!BP11))</f>
        <v/>
      </c>
      <c r="BQ11">
        <f>IF(COUNTIFS(T_StockCount[RM_Code],$A11,T_StockCount[WeekIndex],68)&gt;0,SUMIFS(T_StockCount[CountedQty],T_StockCount[RM_Code],$A11,T_StockCount[WeekIndex],68),IF((COUNTIFS(T_SelfStock[RM_Code],$A11,T_SelfStock[WeekIndex],68)&gt;0)*(COUNTIFS(T_TTAFStock[RM_Code],$A11,T_TTAFStock[WeekIndex],68)&gt;0)&gt;0,SUMIFS(T_SelfStock[Self_Qty],T_SelfStock[RM_Code],$A11,T_SelfStock[WeekIndex],68)+SUMIFS(T_TTAFStock[TTAF_Qty],T_TTAFStock[RM_Code],$A11,T_TTAFStock[WeekIndex],68),BP11+'Grid_Incoming'!BQ11-'Grid_Requirement'!BQ11))</f>
        <v/>
      </c>
      <c r="BR11">
        <f>IF(COUNTIFS(T_StockCount[RM_Code],$A11,T_StockCount[WeekIndex],69)&gt;0,SUMIFS(T_StockCount[CountedQty],T_StockCount[RM_Code],$A11,T_StockCount[WeekIndex],69),IF((COUNTIFS(T_SelfStock[RM_Code],$A11,T_SelfStock[WeekIndex],69)&gt;0)*(COUNTIFS(T_TTAFStock[RM_Code],$A11,T_TTAFStock[WeekIndex],69)&gt;0)&gt;0,SUMIFS(T_SelfStock[Self_Qty],T_SelfStock[RM_Code],$A11,T_SelfStock[WeekIndex],69)+SUMIFS(T_TTAFStock[TTAF_Qty],T_TTAFStock[RM_Code],$A11,T_TTAFStock[WeekIndex],69),BQ11+'Grid_Incoming'!BR11-'Grid_Requirement'!BR11))</f>
        <v/>
      </c>
      <c r="BS11">
        <f>IF(COUNTIFS(T_StockCount[RM_Code],$A11,T_StockCount[WeekIndex],70)&gt;0,SUMIFS(T_StockCount[CountedQty],T_StockCount[RM_Code],$A11,T_StockCount[WeekIndex],70),IF((COUNTIFS(T_SelfStock[RM_Code],$A11,T_SelfStock[WeekIndex],70)&gt;0)*(COUNTIFS(T_TTAFStock[RM_Code],$A11,T_TTAFStock[WeekIndex],70)&gt;0)&gt;0,SUMIFS(T_SelfStock[Self_Qty],T_SelfStock[RM_Code],$A11,T_SelfStock[WeekIndex],70)+SUMIFS(T_TTAFStock[TTAF_Qty],T_TTAFStock[RM_Code],$A11,T_TTAFStock[WeekIndex],70),BR11+'Grid_Incoming'!BS11-'Grid_Requirement'!BS11))</f>
        <v/>
      </c>
      <c r="BT11">
        <f>IF(COUNTIFS(T_StockCount[RM_Code],$A11,T_StockCount[WeekIndex],71)&gt;0,SUMIFS(T_StockCount[CountedQty],T_StockCount[RM_Code],$A11,T_StockCount[WeekIndex],71),IF((COUNTIFS(T_SelfStock[RM_Code],$A11,T_SelfStock[WeekIndex],71)&gt;0)*(COUNTIFS(T_TTAFStock[RM_Code],$A11,T_TTAFStock[WeekIndex],71)&gt;0)&gt;0,SUMIFS(T_SelfStock[Self_Qty],T_SelfStock[RM_Code],$A11,T_SelfStock[WeekIndex],71)+SUMIFS(T_TTAFStock[TTAF_Qty],T_TTAFStock[RM_Code],$A11,T_TTAFStock[WeekIndex],71),BS11+'Grid_Incoming'!BT11-'Grid_Requirement'!BT11))</f>
        <v/>
      </c>
      <c r="BU11">
        <f>IF(COUNTIFS(T_StockCount[RM_Code],$A11,T_StockCount[WeekIndex],72)&gt;0,SUMIFS(T_StockCount[CountedQty],T_StockCount[RM_Code],$A11,T_StockCount[WeekIndex],72),IF((COUNTIFS(T_SelfStock[RM_Code],$A11,T_SelfStock[WeekIndex],72)&gt;0)*(COUNTIFS(T_TTAFStock[RM_Code],$A11,T_TTAFStock[WeekIndex],72)&gt;0)&gt;0,SUMIFS(T_SelfStock[Self_Qty],T_SelfStock[RM_Code],$A11,T_SelfStock[WeekIndex],72)+SUMIFS(T_TTAFStock[TTAF_Qty],T_TTAFStock[RM_Code],$A11,T_TTAFStock[WeekIndex],72),BT11+'Grid_Incoming'!BU11-'Grid_Requirement'!BU11))</f>
        <v/>
      </c>
      <c r="BV11">
        <f>IF(COUNTIFS(T_StockCount[RM_Code],$A11,T_StockCount[WeekIndex],73)&gt;0,SUMIFS(T_StockCount[CountedQty],T_StockCount[RM_Code],$A11,T_StockCount[WeekIndex],73),IF((COUNTIFS(T_SelfStock[RM_Code],$A11,T_SelfStock[WeekIndex],73)&gt;0)*(COUNTIFS(T_TTAFStock[RM_Code],$A11,T_TTAFStock[WeekIndex],73)&gt;0)&gt;0,SUMIFS(T_SelfStock[Self_Qty],T_SelfStock[RM_Code],$A11,T_SelfStock[WeekIndex],73)+SUMIFS(T_TTAFStock[TTAF_Qty],T_TTAFStock[RM_Code],$A11,T_TTAFStock[WeekIndex],73),BU11+'Grid_Incoming'!BV11-'Grid_Requirement'!BV11))</f>
        <v/>
      </c>
      <c r="BW11">
        <f>IF(COUNTIFS(T_StockCount[RM_Code],$A11,T_StockCount[WeekIndex],74)&gt;0,SUMIFS(T_StockCount[CountedQty],T_StockCount[RM_Code],$A11,T_StockCount[WeekIndex],74),IF((COUNTIFS(T_SelfStock[RM_Code],$A11,T_SelfStock[WeekIndex],74)&gt;0)*(COUNTIFS(T_TTAFStock[RM_Code],$A11,T_TTAFStock[WeekIndex],74)&gt;0)&gt;0,SUMIFS(T_SelfStock[Self_Qty],T_SelfStock[RM_Code],$A11,T_SelfStock[WeekIndex],74)+SUMIFS(T_TTAFStock[TTAF_Qty],T_TTAFStock[RM_Code],$A11,T_TTAFStock[WeekIndex],74),BV11+'Grid_Incoming'!BW11-'Grid_Requirement'!BW11))</f>
        <v/>
      </c>
      <c r="BX11">
        <f>IF(COUNTIFS(T_StockCount[RM_Code],$A11,T_StockCount[WeekIndex],75)&gt;0,SUMIFS(T_StockCount[CountedQty],T_StockCount[RM_Code],$A11,T_StockCount[WeekIndex],75),IF((COUNTIFS(T_SelfStock[RM_Code],$A11,T_SelfStock[WeekIndex],75)&gt;0)*(COUNTIFS(T_TTAFStock[RM_Code],$A11,T_TTAFStock[WeekIndex],75)&gt;0)&gt;0,SUMIFS(T_SelfStock[Self_Qty],T_SelfStock[RM_Code],$A11,T_SelfStock[WeekIndex],75)+SUMIFS(T_TTAFStock[TTAF_Qty],T_TTAFStock[RM_Code],$A11,T_TTAFStock[WeekIndex],75),BW11+'Grid_Incoming'!BX11-'Grid_Requirement'!BX11))</f>
        <v/>
      </c>
      <c r="BY11">
        <f>IF(COUNTIFS(T_StockCount[RM_Code],$A11,T_StockCount[WeekIndex],76)&gt;0,SUMIFS(T_StockCount[CountedQty],T_StockCount[RM_Code],$A11,T_StockCount[WeekIndex],76),IF((COUNTIFS(T_SelfStock[RM_Code],$A11,T_SelfStock[WeekIndex],76)&gt;0)*(COUNTIFS(T_TTAFStock[RM_Code],$A11,T_TTAFStock[WeekIndex],76)&gt;0)&gt;0,SUMIFS(T_SelfStock[Self_Qty],T_SelfStock[RM_Code],$A11,T_SelfStock[WeekIndex],76)+SUMIFS(T_TTAFStock[TTAF_Qty],T_TTAFStock[RM_Code],$A11,T_TTAFStock[WeekIndex],76),BX11+'Grid_Incoming'!BY11-'Grid_Requirement'!BY11))</f>
        <v/>
      </c>
      <c r="BZ11">
        <f>IF(COUNTIFS(T_StockCount[RM_Code],$A11,T_StockCount[WeekIndex],77)&gt;0,SUMIFS(T_StockCount[CountedQty],T_StockCount[RM_Code],$A11,T_StockCount[WeekIndex],77),IF((COUNTIFS(T_SelfStock[RM_Code],$A11,T_SelfStock[WeekIndex],77)&gt;0)*(COUNTIFS(T_TTAFStock[RM_Code],$A11,T_TTAFStock[WeekIndex],77)&gt;0)&gt;0,SUMIFS(T_SelfStock[Self_Qty],T_SelfStock[RM_Code],$A11,T_SelfStock[WeekIndex],77)+SUMIFS(T_TTAFStock[TTAF_Qty],T_TTAFStock[RM_Code],$A11,T_TTAFStock[WeekIndex],77),BY11+'Grid_Incoming'!BZ11-'Grid_Requirement'!BZ11))</f>
        <v/>
      </c>
      <c r="CA11">
        <f>IF(COUNTIFS(T_StockCount[RM_Code],$A11,T_StockCount[WeekIndex],78)&gt;0,SUMIFS(T_StockCount[CountedQty],T_StockCount[RM_Code],$A11,T_StockCount[WeekIndex],78),IF((COUNTIFS(T_SelfStock[RM_Code],$A11,T_SelfStock[WeekIndex],78)&gt;0)*(COUNTIFS(T_TTAFStock[RM_Code],$A11,T_TTAFStock[WeekIndex],78)&gt;0)&gt;0,SUMIFS(T_SelfStock[Self_Qty],T_SelfStock[RM_Code],$A11,T_SelfStock[WeekIndex],78)+SUMIFS(T_TTAFStock[TTAF_Qty],T_TTAFStock[RM_Code],$A11,T_TTAFStock[WeekIndex],78),BZ11+'Grid_Incoming'!CA11-'Grid_Requirement'!CA11))</f>
        <v/>
      </c>
      <c r="CB11">
        <f>IF(COUNTIFS(T_StockCount[RM_Code],$A11,T_StockCount[WeekIndex],79)&gt;0,SUMIFS(T_StockCount[CountedQty],T_StockCount[RM_Code],$A11,T_StockCount[WeekIndex],79),IF((COUNTIFS(T_SelfStock[RM_Code],$A11,T_SelfStock[WeekIndex],79)&gt;0)*(COUNTIFS(T_TTAFStock[RM_Code],$A11,T_TTAFStock[WeekIndex],79)&gt;0)&gt;0,SUMIFS(T_SelfStock[Self_Qty],T_SelfStock[RM_Code],$A11,T_SelfStock[WeekIndex],79)+SUMIFS(T_TTAFStock[TTAF_Qty],T_TTAFStock[RM_Code],$A11,T_TTAFStock[WeekIndex],79),CA11+'Grid_Incoming'!CB11-'Grid_Requirement'!CB11))</f>
        <v/>
      </c>
      <c r="CC11">
        <f>IF(COUNTIFS(T_StockCount[RM_Code],$A11,T_StockCount[WeekIndex],80)&gt;0,SUMIFS(T_StockCount[CountedQty],T_StockCount[RM_Code],$A11,T_StockCount[WeekIndex],80),IF((COUNTIFS(T_SelfStock[RM_Code],$A11,T_SelfStock[WeekIndex],80)&gt;0)*(COUNTIFS(T_TTAFStock[RM_Code],$A11,T_TTAFStock[WeekIndex],80)&gt;0)&gt;0,SUMIFS(T_SelfStock[Self_Qty],T_SelfStock[RM_Code],$A11,T_SelfStock[WeekIndex],80)+SUMIFS(T_TTAFStock[TTAF_Qty],T_TTAFStock[RM_Code],$A11,T_TTAFStock[WeekIndex],80),CB11+'Grid_Incoming'!CC11-'Grid_Requirement'!CC11))</f>
        <v/>
      </c>
      <c r="CD11">
        <f>IF(COUNTIFS(T_StockCount[RM_Code],$A11,T_StockCount[WeekIndex],81)&gt;0,SUMIFS(T_StockCount[CountedQty],T_StockCount[RM_Code],$A11,T_StockCount[WeekIndex],81),IF((COUNTIFS(T_SelfStock[RM_Code],$A11,T_SelfStock[WeekIndex],81)&gt;0)*(COUNTIFS(T_TTAFStock[RM_Code],$A11,T_TTAFStock[WeekIndex],81)&gt;0)&gt;0,SUMIFS(T_SelfStock[Self_Qty],T_SelfStock[RM_Code],$A11,T_SelfStock[WeekIndex],81)+SUMIFS(T_TTAFStock[TTAF_Qty],T_TTAFStock[RM_Code],$A11,T_TTAFStock[WeekIndex],81),CC11+'Grid_Incoming'!CD11-'Grid_Requirement'!CD11))</f>
        <v/>
      </c>
      <c r="CE11">
        <f>IF(COUNTIFS(T_StockCount[RM_Code],$A11,T_StockCount[WeekIndex],82)&gt;0,SUMIFS(T_StockCount[CountedQty],T_StockCount[RM_Code],$A11,T_StockCount[WeekIndex],82),IF((COUNTIFS(T_SelfStock[RM_Code],$A11,T_SelfStock[WeekIndex],82)&gt;0)*(COUNTIFS(T_TTAFStock[RM_Code],$A11,T_TTAFStock[WeekIndex],82)&gt;0)&gt;0,SUMIFS(T_SelfStock[Self_Qty],T_SelfStock[RM_Code],$A11,T_SelfStock[WeekIndex],82)+SUMIFS(T_TTAFStock[TTAF_Qty],T_TTAFStock[RM_Code],$A11,T_TTAFStock[WeekIndex],82),CD11+'Grid_Incoming'!CE11-'Grid_Requirement'!CE11))</f>
        <v/>
      </c>
      <c r="CF11">
        <f>IF(COUNTIFS(T_StockCount[RM_Code],$A11,T_StockCount[WeekIndex],83)&gt;0,SUMIFS(T_StockCount[CountedQty],T_StockCount[RM_Code],$A11,T_StockCount[WeekIndex],83),IF((COUNTIFS(T_SelfStock[RM_Code],$A11,T_SelfStock[WeekIndex],83)&gt;0)*(COUNTIFS(T_TTAFStock[RM_Code],$A11,T_TTAFStock[WeekIndex],83)&gt;0)&gt;0,SUMIFS(T_SelfStock[Self_Qty],T_SelfStock[RM_Code],$A11,T_SelfStock[WeekIndex],83)+SUMIFS(T_TTAFStock[TTAF_Qty],T_TTAFStock[RM_Code],$A11,T_TTAFStock[WeekIndex],83),CE11+'Grid_Incoming'!CF11-'Grid_Requirement'!CF11))</f>
        <v/>
      </c>
      <c r="CG11">
        <f>IF(COUNTIFS(T_StockCount[RM_Code],$A11,T_StockCount[WeekIndex],84)&gt;0,SUMIFS(T_StockCount[CountedQty],T_StockCount[RM_Code],$A11,T_StockCount[WeekIndex],84),IF((COUNTIFS(T_SelfStock[RM_Code],$A11,T_SelfStock[WeekIndex],84)&gt;0)*(COUNTIFS(T_TTAFStock[RM_Code],$A11,T_TTAFStock[WeekIndex],84)&gt;0)&gt;0,SUMIFS(T_SelfStock[Self_Qty],T_SelfStock[RM_Code],$A11,T_SelfStock[WeekIndex],84)+SUMIFS(T_TTAFStock[TTAF_Qty],T_TTAFStock[RM_Code],$A11,T_TTAFStock[WeekIndex],84),CF11+'Grid_Incoming'!CG11-'Grid_Requirement'!CG11))</f>
        <v/>
      </c>
      <c r="CH11">
        <f>IF(COUNTIFS(T_StockCount[RM_Code],$A11,T_StockCount[WeekIndex],85)&gt;0,SUMIFS(T_StockCount[CountedQty],T_StockCount[RM_Code],$A11,T_StockCount[WeekIndex],85),IF((COUNTIFS(T_SelfStock[RM_Code],$A11,T_SelfStock[WeekIndex],85)&gt;0)*(COUNTIFS(T_TTAFStock[RM_Code],$A11,T_TTAFStock[WeekIndex],85)&gt;0)&gt;0,SUMIFS(T_SelfStock[Self_Qty],T_SelfStock[RM_Code],$A11,T_SelfStock[WeekIndex],85)+SUMIFS(T_TTAFStock[TTAF_Qty],T_TTAFStock[RM_Code],$A11,T_TTAFStock[WeekIndex],85),CG11+'Grid_Incoming'!CH11-'Grid_Requirement'!CH11))</f>
        <v/>
      </c>
      <c r="CI11">
        <f>IF(COUNTIFS(T_StockCount[RM_Code],$A11,T_StockCount[WeekIndex],86)&gt;0,SUMIFS(T_StockCount[CountedQty],T_StockCount[RM_Code],$A11,T_StockCount[WeekIndex],86),IF((COUNTIFS(T_SelfStock[RM_Code],$A11,T_SelfStock[WeekIndex],86)&gt;0)*(COUNTIFS(T_TTAFStock[RM_Code],$A11,T_TTAFStock[WeekIndex],86)&gt;0)&gt;0,SUMIFS(T_SelfStock[Self_Qty],T_SelfStock[RM_Code],$A11,T_SelfStock[WeekIndex],86)+SUMIFS(T_TTAFStock[TTAF_Qty],T_TTAFStock[RM_Code],$A11,T_TTAFStock[WeekIndex],86),CH11+'Grid_Incoming'!CI11-'Grid_Requirement'!CI11))</f>
        <v/>
      </c>
      <c r="CJ11">
        <f>IF(COUNTIFS(T_StockCount[RM_Code],$A11,T_StockCount[WeekIndex],87)&gt;0,SUMIFS(T_StockCount[CountedQty],T_StockCount[RM_Code],$A11,T_StockCount[WeekIndex],87),IF((COUNTIFS(T_SelfStock[RM_Code],$A11,T_SelfStock[WeekIndex],87)&gt;0)*(COUNTIFS(T_TTAFStock[RM_Code],$A11,T_TTAFStock[WeekIndex],87)&gt;0)&gt;0,SUMIFS(T_SelfStock[Self_Qty],T_SelfStock[RM_Code],$A11,T_SelfStock[WeekIndex],87)+SUMIFS(T_TTAFStock[TTAF_Qty],T_TTAFStock[RM_Code],$A11,T_TTAFStock[WeekIndex],87),CI11+'Grid_Incoming'!CJ11-'Grid_Requirement'!CJ11))</f>
        <v/>
      </c>
      <c r="CK11">
        <f>IF(COUNTIFS(T_StockCount[RM_Code],$A11,T_StockCount[WeekIndex],88)&gt;0,SUMIFS(T_StockCount[CountedQty],T_StockCount[RM_Code],$A11,T_StockCount[WeekIndex],88),IF((COUNTIFS(T_SelfStock[RM_Code],$A11,T_SelfStock[WeekIndex],88)&gt;0)*(COUNTIFS(T_TTAFStock[RM_Code],$A11,T_TTAFStock[WeekIndex],88)&gt;0)&gt;0,SUMIFS(T_SelfStock[Self_Qty],T_SelfStock[RM_Code],$A11,T_SelfStock[WeekIndex],88)+SUMIFS(T_TTAFStock[TTAF_Qty],T_TTAFStock[RM_Code],$A11,T_TTAFStock[WeekIndex],88),CJ11+'Grid_Incoming'!CK11-'Grid_Requirement'!CK11))</f>
        <v/>
      </c>
      <c r="CL11">
        <f>IF(COUNTIFS(T_StockCount[RM_Code],$A11,T_StockCount[WeekIndex],89)&gt;0,SUMIFS(T_StockCount[CountedQty],T_StockCount[RM_Code],$A11,T_StockCount[WeekIndex],89),IF((COUNTIFS(T_SelfStock[RM_Code],$A11,T_SelfStock[WeekIndex],89)&gt;0)*(COUNTIFS(T_TTAFStock[RM_Code],$A11,T_TTAFStock[WeekIndex],89)&gt;0)&gt;0,SUMIFS(T_SelfStock[Self_Qty],T_SelfStock[RM_Code],$A11,T_SelfStock[WeekIndex],89)+SUMIFS(T_TTAFStock[TTAF_Qty],T_TTAFStock[RM_Code],$A11,T_TTAFStock[WeekIndex],89),CK11+'Grid_Incoming'!CL11-'Grid_Requirement'!CL11))</f>
        <v/>
      </c>
      <c r="CM11">
        <f>IF(COUNTIFS(T_StockCount[RM_Code],$A11,T_StockCount[WeekIndex],90)&gt;0,SUMIFS(T_StockCount[CountedQty],T_StockCount[RM_Code],$A11,T_StockCount[WeekIndex],90),IF((COUNTIFS(T_SelfStock[RM_Code],$A11,T_SelfStock[WeekIndex],90)&gt;0)*(COUNTIFS(T_TTAFStock[RM_Code],$A11,T_TTAFStock[WeekIndex],90)&gt;0)&gt;0,SUMIFS(T_SelfStock[Self_Qty],T_SelfStock[RM_Code],$A11,T_SelfStock[WeekIndex],90)+SUMIFS(T_TTAFStock[TTAF_Qty],T_TTAFStock[RM_Code],$A11,T_TTAFStock[WeekIndex],90),CL11+'Grid_Incoming'!CM11-'Grid_Requirement'!CM11))</f>
        <v/>
      </c>
      <c r="CN11">
        <f>IF(COUNTIFS(T_StockCount[RM_Code],$A11,T_StockCount[WeekIndex],91)&gt;0,SUMIFS(T_StockCount[CountedQty],T_StockCount[RM_Code],$A11,T_StockCount[WeekIndex],91),IF((COUNTIFS(T_SelfStock[RM_Code],$A11,T_SelfStock[WeekIndex],91)&gt;0)*(COUNTIFS(T_TTAFStock[RM_Code],$A11,T_TTAFStock[WeekIndex],91)&gt;0)&gt;0,SUMIFS(T_SelfStock[Self_Qty],T_SelfStock[RM_Code],$A11,T_SelfStock[WeekIndex],91)+SUMIFS(T_TTAFStock[TTAF_Qty],T_TTAFStock[RM_Code],$A11,T_TTAFStock[WeekIndex],91),CM11+'Grid_Incoming'!CN11-'Grid_Requirement'!CN11))</f>
        <v/>
      </c>
      <c r="CO11">
        <f>IF(COUNTIFS(T_StockCount[RM_Code],$A11,T_StockCount[WeekIndex],92)&gt;0,SUMIFS(T_StockCount[CountedQty],T_StockCount[RM_Code],$A11,T_StockCount[WeekIndex],92),IF((COUNTIFS(T_SelfStock[RM_Code],$A11,T_SelfStock[WeekIndex],92)&gt;0)*(COUNTIFS(T_TTAFStock[RM_Code],$A11,T_TTAFStock[WeekIndex],92)&gt;0)&gt;0,SUMIFS(T_SelfStock[Self_Qty],T_SelfStock[RM_Code],$A11,T_SelfStock[WeekIndex],92)+SUMIFS(T_TTAFStock[TTAF_Qty],T_TTAFStock[RM_Code],$A11,T_TTAFStock[WeekIndex],92),CN11+'Grid_Incoming'!CO11-'Grid_Requirement'!CO11))</f>
        <v/>
      </c>
      <c r="CP11">
        <f>IF(COUNTIFS(T_StockCount[RM_Code],$A11,T_StockCount[WeekIndex],93)&gt;0,SUMIFS(T_StockCount[CountedQty],T_StockCount[RM_Code],$A11,T_StockCount[WeekIndex],93),IF((COUNTIFS(T_SelfStock[RM_Code],$A11,T_SelfStock[WeekIndex],93)&gt;0)*(COUNTIFS(T_TTAFStock[RM_Code],$A11,T_TTAFStock[WeekIndex],93)&gt;0)&gt;0,SUMIFS(T_SelfStock[Self_Qty],T_SelfStock[RM_Code],$A11,T_SelfStock[WeekIndex],93)+SUMIFS(T_TTAFStock[TTAF_Qty],T_TTAFStock[RM_Code],$A11,T_TTAFStock[WeekIndex],93),CO11+'Grid_Incoming'!CP11-'Grid_Requirement'!CP11))</f>
        <v/>
      </c>
      <c r="CQ11">
        <f>IF(COUNTIFS(T_StockCount[RM_Code],$A11,T_StockCount[WeekIndex],94)&gt;0,SUMIFS(T_StockCount[CountedQty],T_StockCount[RM_Code],$A11,T_StockCount[WeekIndex],94),IF((COUNTIFS(T_SelfStock[RM_Code],$A11,T_SelfStock[WeekIndex],94)&gt;0)*(COUNTIFS(T_TTAFStock[RM_Code],$A11,T_TTAFStock[WeekIndex],94)&gt;0)&gt;0,SUMIFS(T_SelfStock[Self_Qty],T_SelfStock[RM_Code],$A11,T_SelfStock[WeekIndex],94)+SUMIFS(T_TTAFStock[TTAF_Qty],T_TTAFStock[RM_Code],$A11,T_TTAFStock[WeekIndex],94),CP11+'Grid_Incoming'!CQ11-'Grid_Requirement'!CQ11))</f>
        <v/>
      </c>
      <c r="CR11">
        <f>IF(COUNTIFS(T_StockCount[RM_Code],$A11,T_StockCount[WeekIndex],95)&gt;0,SUMIFS(T_StockCount[CountedQty],T_StockCount[RM_Code],$A11,T_StockCount[WeekIndex],95),IF((COUNTIFS(T_SelfStock[RM_Code],$A11,T_SelfStock[WeekIndex],95)&gt;0)*(COUNTIFS(T_TTAFStock[RM_Code],$A11,T_TTAFStock[WeekIndex],95)&gt;0)&gt;0,SUMIFS(T_SelfStock[Self_Qty],T_SelfStock[RM_Code],$A11,T_SelfStock[WeekIndex],95)+SUMIFS(T_TTAFStock[TTAF_Qty],T_TTAFStock[RM_Code],$A11,T_TTAFStock[WeekIndex],95),CQ11+'Grid_Incoming'!CR11-'Grid_Requirement'!CR11))</f>
        <v/>
      </c>
      <c r="CS11">
        <f>IF(COUNTIFS(T_StockCount[RM_Code],$A11,T_StockCount[WeekIndex],96)&gt;0,SUMIFS(T_StockCount[CountedQty],T_StockCount[RM_Code],$A11,T_StockCount[WeekIndex],96),IF((COUNTIFS(T_SelfStock[RM_Code],$A11,T_SelfStock[WeekIndex],96)&gt;0)*(COUNTIFS(T_TTAFStock[RM_Code],$A11,T_TTAFStock[WeekIndex],96)&gt;0)&gt;0,SUMIFS(T_SelfStock[Self_Qty],T_SelfStock[RM_Code],$A11,T_SelfStock[WeekIndex],96)+SUMIFS(T_TTAFStock[TTAF_Qty],T_TTAFStock[RM_Code],$A11,T_TTAFStock[WeekIndex],96),CR11+'Grid_Incoming'!CS11-'Grid_Requirement'!CS11))</f>
        <v/>
      </c>
      <c r="CT11">
        <f>IF(COUNTIFS(T_StockCount[RM_Code],$A11,T_StockCount[WeekIndex],97)&gt;0,SUMIFS(T_StockCount[CountedQty],T_StockCount[RM_Code],$A11,T_StockCount[WeekIndex],97),IF((COUNTIFS(T_SelfStock[RM_Code],$A11,T_SelfStock[WeekIndex],97)&gt;0)*(COUNTIFS(T_TTAFStock[RM_Code],$A11,T_TTAFStock[WeekIndex],97)&gt;0)&gt;0,SUMIFS(T_SelfStock[Self_Qty],T_SelfStock[RM_Code],$A11,T_SelfStock[WeekIndex],97)+SUMIFS(T_TTAFStock[TTAF_Qty],T_TTAFStock[RM_Code],$A11,T_TTAFStock[WeekIndex],97),CS11+'Grid_Incoming'!CT11-'Grid_Requirement'!CT11))</f>
        <v/>
      </c>
      <c r="CU11">
        <f>IF(COUNTIFS(T_StockCount[RM_Code],$A11,T_StockCount[WeekIndex],98)&gt;0,SUMIFS(T_StockCount[CountedQty],T_StockCount[RM_Code],$A11,T_StockCount[WeekIndex],98),IF((COUNTIFS(T_SelfStock[RM_Code],$A11,T_SelfStock[WeekIndex],98)&gt;0)*(COUNTIFS(T_TTAFStock[RM_Code],$A11,T_TTAFStock[WeekIndex],98)&gt;0)&gt;0,SUMIFS(T_SelfStock[Self_Qty],T_SelfStock[RM_Code],$A11,T_SelfStock[WeekIndex],98)+SUMIFS(T_TTAFStock[TTAF_Qty],T_TTAFStock[RM_Code],$A11,T_TTAFStock[WeekIndex],98),CT11+'Grid_Incoming'!CU11-'Grid_Requirement'!CU11))</f>
        <v/>
      </c>
      <c r="CV11">
        <f>IF(COUNTIFS(T_StockCount[RM_Code],$A11,T_StockCount[WeekIndex],99)&gt;0,SUMIFS(T_StockCount[CountedQty],T_StockCount[RM_Code],$A11,T_StockCount[WeekIndex],99),IF((COUNTIFS(T_SelfStock[RM_Code],$A11,T_SelfStock[WeekIndex],99)&gt;0)*(COUNTIFS(T_TTAFStock[RM_Code],$A11,T_TTAFStock[WeekIndex],99)&gt;0)&gt;0,SUMIFS(T_SelfStock[Self_Qty],T_SelfStock[RM_Code],$A11,T_SelfStock[WeekIndex],99)+SUMIFS(T_TTAFStock[TTAF_Qty],T_TTAFStock[RM_Code],$A11,T_TTAFStock[WeekIndex],99),CU11+'Grid_Incoming'!CV11-'Grid_Requirement'!CV11))</f>
        <v/>
      </c>
      <c r="CW11">
        <f>IF(COUNTIFS(T_StockCount[RM_Code],$A11,T_StockCount[WeekIndex],100)&gt;0,SUMIFS(T_StockCount[CountedQty],T_StockCount[RM_Code],$A11,T_StockCount[WeekIndex],100),IF((COUNTIFS(T_SelfStock[RM_Code],$A11,T_SelfStock[WeekIndex],100)&gt;0)*(COUNTIFS(T_TTAFStock[RM_Code],$A11,T_TTAFStock[WeekIndex],100)&gt;0)&gt;0,SUMIFS(T_SelfStock[Self_Qty],T_SelfStock[RM_Code],$A11,T_SelfStock[WeekIndex],100)+SUMIFS(T_TTAFStock[TTAF_Qty],T_TTAFStock[RM_Code],$A11,T_TTAFStock[WeekIndex],100),CV11+'Grid_Incoming'!CW11-'Grid_Requirement'!CW11))</f>
        <v/>
      </c>
      <c r="CX11">
        <f>IF(COUNTIFS(T_StockCount[RM_Code],$A11,T_StockCount[WeekIndex],101)&gt;0,SUMIFS(T_StockCount[CountedQty],T_StockCount[RM_Code],$A11,T_StockCount[WeekIndex],101),IF((COUNTIFS(T_SelfStock[RM_Code],$A11,T_SelfStock[WeekIndex],101)&gt;0)*(COUNTIFS(T_TTAFStock[RM_Code],$A11,T_TTAFStock[WeekIndex],101)&gt;0)&gt;0,SUMIFS(T_SelfStock[Self_Qty],T_SelfStock[RM_Code],$A11,T_SelfStock[WeekIndex],101)+SUMIFS(T_TTAFStock[TTAF_Qty],T_TTAFStock[RM_Code],$A11,T_TTAFStock[WeekIndex],101),CW11+'Grid_Incoming'!CX11-'Grid_Requirement'!CX11))</f>
        <v/>
      </c>
      <c r="CY11">
        <f>IF(COUNTIFS(T_StockCount[RM_Code],$A11,T_StockCount[WeekIndex],102)&gt;0,SUMIFS(T_StockCount[CountedQty],T_StockCount[RM_Code],$A11,T_StockCount[WeekIndex],102),IF((COUNTIFS(T_SelfStock[RM_Code],$A11,T_SelfStock[WeekIndex],102)&gt;0)*(COUNTIFS(T_TTAFStock[RM_Code],$A11,T_TTAFStock[WeekIndex],102)&gt;0)&gt;0,SUMIFS(T_SelfStock[Self_Qty],T_SelfStock[RM_Code],$A11,T_SelfStock[WeekIndex],102)+SUMIFS(T_TTAFStock[TTAF_Qty],T_TTAFStock[RM_Code],$A11,T_TTAFStock[WeekIndex],102),CX11+'Grid_Incoming'!CY11-'Grid_Requirement'!CY11))</f>
        <v/>
      </c>
      <c r="CZ11">
        <f>IF(COUNTIFS(T_StockCount[RM_Code],$A11,T_StockCount[WeekIndex],103)&gt;0,SUMIFS(T_StockCount[CountedQty],T_StockCount[RM_Code],$A11,T_StockCount[WeekIndex],103),IF((COUNTIFS(T_SelfStock[RM_Code],$A11,T_SelfStock[WeekIndex],103)&gt;0)*(COUNTIFS(T_TTAFStock[RM_Code],$A11,T_TTAFStock[WeekIndex],103)&gt;0)&gt;0,SUMIFS(T_SelfStock[Self_Qty],T_SelfStock[RM_Code],$A11,T_SelfStock[WeekIndex],103)+SUMIFS(T_TTAFStock[TTAF_Qty],T_TTAFStock[RM_Code],$A11,T_TTAFStock[WeekIndex],103),CY11+'Grid_Incoming'!CZ11-'Grid_Requirement'!CZ11))</f>
        <v/>
      </c>
      <c r="DA11">
        <f>IF(COUNTIFS(T_StockCount[RM_Code],$A11,T_StockCount[WeekIndex],104)&gt;0,SUMIFS(T_StockCount[CountedQty],T_StockCount[RM_Code],$A11,T_StockCount[WeekIndex],104),IF((COUNTIFS(T_SelfStock[RM_Code],$A11,T_SelfStock[WeekIndex],104)&gt;0)*(COUNTIFS(T_TTAFStock[RM_Code],$A11,T_TTAFStock[WeekIndex],104)&gt;0)&gt;0,SUMIFS(T_SelfStock[Self_Qty],T_SelfStock[RM_Code],$A11,T_SelfStock[WeekIndex],104)+SUMIFS(T_TTAFStock[TTAF_Qty],T_TTAFStock[RM_Code],$A11,T_TTAFStock[WeekIndex],104),CZ11+'Grid_Incoming'!DA11-'Grid_Requirement'!DA11))</f>
        <v/>
      </c>
    </row>
    <row r="12">
      <c r="A12" t="inlineStr">
        <is>
          <t>4HL</t>
        </is>
      </c>
      <c r="B12">
        <f>IF(COUNTIFS(T_StockCount[RM_Code],$A12,T_StockCount[WeekIndex],1)&gt;0,SUMIFS(T_StockCount[CountedQty],T_StockCount[RM_Code],$A12,T_StockCount[WeekIndex],1),IF((COUNTIFS(T_SelfStock[RM_Code],$A12,T_SelfStock[WeekIndex],1)&gt;0)*(COUNTIFS(T_TTAFStock[RM_Code],$A12,T_TTAFStock[WeekIndex],1)&gt;0)&gt;0,SUMIFS(T_SelfStock[Self_Qty],T_SelfStock[RM_Code],$A12,T_SelfStock[WeekIndex],1)+SUMIFS(T_TTAFStock[TTAF_Qty],T_TTAFStock[RM_Code],$A12,T_TTAFStock[WeekIndex],1),IFERROR(INDEX(T_OpeningStock[Opening_Qty],MATCH($A12,T_OpeningStock[RM_Code],0)),0)+'Grid_Incoming'!B12-'Grid_Requirement'!B12))</f>
        <v/>
      </c>
      <c r="C12">
        <f>IF(COUNTIFS(T_StockCount[RM_Code],$A12,T_StockCount[WeekIndex],2)&gt;0,SUMIFS(T_StockCount[CountedQty],T_StockCount[RM_Code],$A12,T_StockCount[WeekIndex],2),IF((COUNTIFS(T_SelfStock[RM_Code],$A12,T_SelfStock[WeekIndex],2)&gt;0)*(COUNTIFS(T_TTAFStock[RM_Code],$A12,T_TTAFStock[WeekIndex],2)&gt;0)&gt;0,SUMIFS(T_SelfStock[Self_Qty],T_SelfStock[RM_Code],$A12,T_SelfStock[WeekIndex],2)+SUMIFS(T_TTAFStock[TTAF_Qty],T_TTAFStock[RM_Code],$A12,T_TTAFStock[WeekIndex],2),B12+'Grid_Incoming'!C12-'Grid_Requirement'!C12))</f>
        <v/>
      </c>
      <c r="D12">
        <f>IF(COUNTIFS(T_StockCount[RM_Code],$A12,T_StockCount[WeekIndex],3)&gt;0,SUMIFS(T_StockCount[CountedQty],T_StockCount[RM_Code],$A12,T_StockCount[WeekIndex],3),IF((COUNTIFS(T_SelfStock[RM_Code],$A12,T_SelfStock[WeekIndex],3)&gt;0)*(COUNTIFS(T_TTAFStock[RM_Code],$A12,T_TTAFStock[WeekIndex],3)&gt;0)&gt;0,SUMIFS(T_SelfStock[Self_Qty],T_SelfStock[RM_Code],$A12,T_SelfStock[WeekIndex],3)+SUMIFS(T_TTAFStock[TTAF_Qty],T_TTAFStock[RM_Code],$A12,T_TTAFStock[WeekIndex],3),C12+'Grid_Incoming'!D12-'Grid_Requirement'!D12))</f>
        <v/>
      </c>
      <c r="E12">
        <f>IF(COUNTIFS(T_StockCount[RM_Code],$A12,T_StockCount[WeekIndex],4)&gt;0,SUMIFS(T_StockCount[CountedQty],T_StockCount[RM_Code],$A12,T_StockCount[WeekIndex],4),IF((COUNTIFS(T_SelfStock[RM_Code],$A12,T_SelfStock[WeekIndex],4)&gt;0)*(COUNTIFS(T_TTAFStock[RM_Code],$A12,T_TTAFStock[WeekIndex],4)&gt;0)&gt;0,SUMIFS(T_SelfStock[Self_Qty],T_SelfStock[RM_Code],$A12,T_SelfStock[WeekIndex],4)+SUMIFS(T_TTAFStock[TTAF_Qty],T_TTAFStock[RM_Code],$A12,T_TTAFStock[WeekIndex],4),D12+'Grid_Incoming'!E12-'Grid_Requirement'!E12))</f>
        <v/>
      </c>
      <c r="F12">
        <f>IF(COUNTIFS(T_StockCount[RM_Code],$A12,T_StockCount[WeekIndex],5)&gt;0,SUMIFS(T_StockCount[CountedQty],T_StockCount[RM_Code],$A12,T_StockCount[WeekIndex],5),IF((COUNTIFS(T_SelfStock[RM_Code],$A12,T_SelfStock[WeekIndex],5)&gt;0)*(COUNTIFS(T_TTAFStock[RM_Code],$A12,T_TTAFStock[WeekIndex],5)&gt;0)&gt;0,SUMIFS(T_SelfStock[Self_Qty],T_SelfStock[RM_Code],$A12,T_SelfStock[WeekIndex],5)+SUMIFS(T_TTAFStock[TTAF_Qty],T_TTAFStock[RM_Code],$A12,T_TTAFStock[WeekIndex],5),E12+'Grid_Incoming'!F12-'Grid_Requirement'!F12))</f>
        <v/>
      </c>
      <c r="G12">
        <f>IF(COUNTIFS(T_StockCount[RM_Code],$A12,T_StockCount[WeekIndex],6)&gt;0,SUMIFS(T_StockCount[CountedQty],T_StockCount[RM_Code],$A12,T_StockCount[WeekIndex],6),IF((COUNTIFS(T_SelfStock[RM_Code],$A12,T_SelfStock[WeekIndex],6)&gt;0)*(COUNTIFS(T_TTAFStock[RM_Code],$A12,T_TTAFStock[WeekIndex],6)&gt;0)&gt;0,SUMIFS(T_SelfStock[Self_Qty],T_SelfStock[RM_Code],$A12,T_SelfStock[WeekIndex],6)+SUMIFS(T_TTAFStock[TTAF_Qty],T_TTAFStock[RM_Code],$A12,T_TTAFStock[WeekIndex],6),F12+'Grid_Incoming'!G12-'Grid_Requirement'!G12))</f>
        <v/>
      </c>
      <c r="H12">
        <f>IF(COUNTIFS(T_StockCount[RM_Code],$A12,T_StockCount[WeekIndex],7)&gt;0,SUMIFS(T_StockCount[CountedQty],T_StockCount[RM_Code],$A12,T_StockCount[WeekIndex],7),IF((COUNTIFS(T_SelfStock[RM_Code],$A12,T_SelfStock[WeekIndex],7)&gt;0)*(COUNTIFS(T_TTAFStock[RM_Code],$A12,T_TTAFStock[WeekIndex],7)&gt;0)&gt;0,SUMIFS(T_SelfStock[Self_Qty],T_SelfStock[RM_Code],$A12,T_SelfStock[WeekIndex],7)+SUMIFS(T_TTAFStock[TTAF_Qty],T_TTAFStock[RM_Code],$A12,T_TTAFStock[WeekIndex],7),G12+'Grid_Incoming'!H12-'Grid_Requirement'!H12))</f>
        <v/>
      </c>
      <c r="I12">
        <f>IF(COUNTIFS(T_StockCount[RM_Code],$A12,T_StockCount[WeekIndex],8)&gt;0,SUMIFS(T_StockCount[CountedQty],T_StockCount[RM_Code],$A12,T_StockCount[WeekIndex],8),IF((COUNTIFS(T_SelfStock[RM_Code],$A12,T_SelfStock[WeekIndex],8)&gt;0)*(COUNTIFS(T_TTAFStock[RM_Code],$A12,T_TTAFStock[WeekIndex],8)&gt;0)&gt;0,SUMIFS(T_SelfStock[Self_Qty],T_SelfStock[RM_Code],$A12,T_SelfStock[WeekIndex],8)+SUMIFS(T_TTAFStock[TTAF_Qty],T_TTAFStock[RM_Code],$A12,T_TTAFStock[WeekIndex],8),H12+'Grid_Incoming'!I12-'Grid_Requirement'!I12))</f>
        <v/>
      </c>
      <c r="J12">
        <f>IF(COUNTIFS(T_StockCount[RM_Code],$A12,T_StockCount[WeekIndex],9)&gt;0,SUMIFS(T_StockCount[CountedQty],T_StockCount[RM_Code],$A12,T_StockCount[WeekIndex],9),IF((COUNTIFS(T_SelfStock[RM_Code],$A12,T_SelfStock[WeekIndex],9)&gt;0)*(COUNTIFS(T_TTAFStock[RM_Code],$A12,T_TTAFStock[WeekIndex],9)&gt;0)&gt;0,SUMIFS(T_SelfStock[Self_Qty],T_SelfStock[RM_Code],$A12,T_SelfStock[WeekIndex],9)+SUMIFS(T_TTAFStock[TTAF_Qty],T_TTAFStock[RM_Code],$A12,T_TTAFStock[WeekIndex],9),I12+'Grid_Incoming'!J12-'Grid_Requirement'!J12))</f>
        <v/>
      </c>
      <c r="K12">
        <f>IF(COUNTIFS(T_StockCount[RM_Code],$A12,T_StockCount[WeekIndex],10)&gt;0,SUMIFS(T_StockCount[CountedQty],T_StockCount[RM_Code],$A12,T_StockCount[WeekIndex],10),IF((COUNTIFS(T_SelfStock[RM_Code],$A12,T_SelfStock[WeekIndex],10)&gt;0)*(COUNTIFS(T_TTAFStock[RM_Code],$A12,T_TTAFStock[WeekIndex],10)&gt;0)&gt;0,SUMIFS(T_SelfStock[Self_Qty],T_SelfStock[RM_Code],$A12,T_SelfStock[WeekIndex],10)+SUMIFS(T_TTAFStock[TTAF_Qty],T_TTAFStock[RM_Code],$A12,T_TTAFStock[WeekIndex],10),J12+'Grid_Incoming'!K12-'Grid_Requirement'!K12))</f>
        <v/>
      </c>
      <c r="L12">
        <f>IF(COUNTIFS(T_StockCount[RM_Code],$A12,T_StockCount[WeekIndex],11)&gt;0,SUMIFS(T_StockCount[CountedQty],T_StockCount[RM_Code],$A12,T_StockCount[WeekIndex],11),IF((COUNTIFS(T_SelfStock[RM_Code],$A12,T_SelfStock[WeekIndex],11)&gt;0)*(COUNTIFS(T_TTAFStock[RM_Code],$A12,T_TTAFStock[WeekIndex],11)&gt;0)&gt;0,SUMIFS(T_SelfStock[Self_Qty],T_SelfStock[RM_Code],$A12,T_SelfStock[WeekIndex],11)+SUMIFS(T_TTAFStock[TTAF_Qty],T_TTAFStock[RM_Code],$A12,T_TTAFStock[WeekIndex],11),K12+'Grid_Incoming'!L12-'Grid_Requirement'!L12))</f>
        <v/>
      </c>
      <c r="M12">
        <f>IF(COUNTIFS(T_StockCount[RM_Code],$A12,T_StockCount[WeekIndex],12)&gt;0,SUMIFS(T_StockCount[CountedQty],T_StockCount[RM_Code],$A12,T_StockCount[WeekIndex],12),IF((COUNTIFS(T_SelfStock[RM_Code],$A12,T_SelfStock[WeekIndex],12)&gt;0)*(COUNTIFS(T_TTAFStock[RM_Code],$A12,T_TTAFStock[WeekIndex],12)&gt;0)&gt;0,SUMIFS(T_SelfStock[Self_Qty],T_SelfStock[RM_Code],$A12,T_SelfStock[WeekIndex],12)+SUMIFS(T_TTAFStock[TTAF_Qty],T_TTAFStock[RM_Code],$A12,T_TTAFStock[WeekIndex],12),L12+'Grid_Incoming'!M12-'Grid_Requirement'!M12))</f>
        <v/>
      </c>
      <c r="N12">
        <f>IF(COUNTIFS(T_StockCount[RM_Code],$A12,T_StockCount[WeekIndex],13)&gt;0,SUMIFS(T_StockCount[CountedQty],T_StockCount[RM_Code],$A12,T_StockCount[WeekIndex],13),IF((COUNTIFS(T_SelfStock[RM_Code],$A12,T_SelfStock[WeekIndex],13)&gt;0)*(COUNTIFS(T_TTAFStock[RM_Code],$A12,T_TTAFStock[WeekIndex],13)&gt;0)&gt;0,SUMIFS(T_SelfStock[Self_Qty],T_SelfStock[RM_Code],$A12,T_SelfStock[WeekIndex],13)+SUMIFS(T_TTAFStock[TTAF_Qty],T_TTAFStock[RM_Code],$A12,T_TTAFStock[WeekIndex],13),M12+'Grid_Incoming'!N12-'Grid_Requirement'!N12))</f>
        <v/>
      </c>
      <c r="O12">
        <f>IF(COUNTIFS(T_StockCount[RM_Code],$A12,T_StockCount[WeekIndex],14)&gt;0,SUMIFS(T_StockCount[CountedQty],T_StockCount[RM_Code],$A12,T_StockCount[WeekIndex],14),IF((COUNTIFS(T_SelfStock[RM_Code],$A12,T_SelfStock[WeekIndex],14)&gt;0)*(COUNTIFS(T_TTAFStock[RM_Code],$A12,T_TTAFStock[WeekIndex],14)&gt;0)&gt;0,SUMIFS(T_SelfStock[Self_Qty],T_SelfStock[RM_Code],$A12,T_SelfStock[WeekIndex],14)+SUMIFS(T_TTAFStock[TTAF_Qty],T_TTAFStock[RM_Code],$A12,T_TTAFStock[WeekIndex],14),N12+'Grid_Incoming'!O12-'Grid_Requirement'!O12))</f>
        <v/>
      </c>
      <c r="P12">
        <f>IF(COUNTIFS(T_StockCount[RM_Code],$A12,T_StockCount[WeekIndex],15)&gt;0,SUMIFS(T_StockCount[CountedQty],T_StockCount[RM_Code],$A12,T_StockCount[WeekIndex],15),IF((COUNTIFS(T_SelfStock[RM_Code],$A12,T_SelfStock[WeekIndex],15)&gt;0)*(COUNTIFS(T_TTAFStock[RM_Code],$A12,T_TTAFStock[WeekIndex],15)&gt;0)&gt;0,SUMIFS(T_SelfStock[Self_Qty],T_SelfStock[RM_Code],$A12,T_SelfStock[WeekIndex],15)+SUMIFS(T_TTAFStock[TTAF_Qty],T_TTAFStock[RM_Code],$A12,T_TTAFStock[WeekIndex],15),O12+'Grid_Incoming'!P12-'Grid_Requirement'!P12))</f>
        <v/>
      </c>
      <c r="Q12">
        <f>IF(COUNTIFS(T_StockCount[RM_Code],$A12,T_StockCount[WeekIndex],16)&gt;0,SUMIFS(T_StockCount[CountedQty],T_StockCount[RM_Code],$A12,T_StockCount[WeekIndex],16),IF((COUNTIFS(T_SelfStock[RM_Code],$A12,T_SelfStock[WeekIndex],16)&gt;0)*(COUNTIFS(T_TTAFStock[RM_Code],$A12,T_TTAFStock[WeekIndex],16)&gt;0)&gt;0,SUMIFS(T_SelfStock[Self_Qty],T_SelfStock[RM_Code],$A12,T_SelfStock[WeekIndex],16)+SUMIFS(T_TTAFStock[TTAF_Qty],T_TTAFStock[RM_Code],$A12,T_TTAFStock[WeekIndex],16),P12+'Grid_Incoming'!Q12-'Grid_Requirement'!Q12))</f>
        <v/>
      </c>
      <c r="R12">
        <f>IF(COUNTIFS(T_StockCount[RM_Code],$A12,T_StockCount[WeekIndex],17)&gt;0,SUMIFS(T_StockCount[CountedQty],T_StockCount[RM_Code],$A12,T_StockCount[WeekIndex],17),IF((COUNTIFS(T_SelfStock[RM_Code],$A12,T_SelfStock[WeekIndex],17)&gt;0)*(COUNTIFS(T_TTAFStock[RM_Code],$A12,T_TTAFStock[WeekIndex],17)&gt;0)&gt;0,SUMIFS(T_SelfStock[Self_Qty],T_SelfStock[RM_Code],$A12,T_SelfStock[WeekIndex],17)+SUMIFS(T_TTAFStock[TTAF_Qty],T_TTAFStock[RM_Code],$A12,T_TTAFStock[WeekIndex],17),Q12+'Grid_Incoming'!R12-'Grid_Requirement'!R12))</f>
        <v/>
      </c>
      <c r="S12">
        <f>IF(COUNTIFS(T_StockCount[RM_Code],$A12,T_StockCount[WeekIndex],18)&gt;0,SUMIFS(T_StockCount[CountedQty],T_StockCount[RM_Code],$A12,T_StockCount[WeekIndex],18),IF((COUNTIFS(T_SelfStock[RM_Code],$A12,T_SelfStock[WeekIndex],18)&gt;0)*(COUNTIFS(T_TTAFStock[RM_Code],$A12,T_TTAFStock[WeekIndex],18)&gt;0)&gt;0,SUMIFS(T_SelfStock[Self_Qty],T_SelfStock[RM_Code],$A12,T_SelfStock[WeekIndex],18)+SUMIFS(T_TTAFStock[TTAF_Qty],T_TTAFStock[RM_Code],$A12,T_TTAFStock[WeekIndex],18),R12+'Grid_Incoming'!S12-'Grid_Requirement'!S12))</f>
        <v/>
      </c>
      <c r="T12">
        <f>IF(COUNTIFS(T_StockCount[RM_Code],$A12,T_StockCount[WeekIndex],19)&gt;0,SUMIFS(T_StockCount[CountedQty],T_StockCount[RM_Code],$A12,T_StockCount[WeekIndex],19),IF((COUNTIFS(T_SelfStock[RM_Code],$A12,T_SelfStock[WeekIndex],19)&gt;0)*(COUNTIFS(T_TTAFStock[RM_Code],$A12,T_TTAFStock[WeekIndex],19)&gt;0)&gt;0,SUMIFS(T_SelfStock[Self_Qty],T_SelfStock[RM_Code],$A12,T_SelfStock[WeekIndex],19)+SUMIFS(T_TTAFStock[TTAF_Qty],T_TTAFStock[RM_Code],$A12,T_TTAFStock[WeekIndex],19),S12+'Grid_Incoming'!T12-'Grid_Requirement'!T12))</f>
        <v/>
      </c>
      <c r="U12">
        <f>IF(COUNTIFS(T_StockCount[RM_Code],$A12,T_StockCount[WeekIndex],20)&gt;0,SUMIFS(T_StockCount[CountedQty],T_StockCount[RM_Code],$A12,T_StockCount[WeekIndex],20),IF((COUNTIFS(T_SelfStock[RM_Code],$A12,T_SelfStock[WeekIndex],20)&gt;0)*(COUNTIFS(T_TTAFStock[RM_Code],$A12,T_TTAFStock[WeekIndex],20)&gt;0)&gt;0,SUMIFS(T_SelfStock[Self_Qty],T_SelfStock[RM_Code],$A12,T_SelfStock[WeekIndex],20)+SUMIFS(T_TTAFStock[TTAF_Qty],T_TTAFStock[RM_Code],$A12,T_TTAFStock[WeekIndex],20),T12+'Grid_Incoming'!U12-'Grid_Requirement'!U12))</f>
        <v/>
      </c>
      <c r="V12">
        <f>IF(COUNTIFS(T_StockCount[RM_Code],$A12,T_StockCount[WeekIndex],21)&gt;0,SUMIFS(T_StockCount[CountedQty],T_StockCount[RM_Code],$A12,T_StockCount[WeekIndex],21),IF((COUNTIFS(T_SelfStock[RM_Code],$A12,T_SelfStock[WeekIndex],21)&gt;0)*(COUNTIFS(T_TTAFStock[RM_Code],$A12,T_TTAFStock[WeekIndex],21)&gt;0)&gt;0,SUMIFS(T_SelfStock[Self_Qty],T_SelfStock[RM_Code],$A12,T_SelfStock[WeekIndex],21)+SUMIFS(T_TTAFStock[TTAF_Qty],T_TTAFStock[RM_Code],$A12,T_TTAFStock[WeekIndex],21),U12+'Grid_Incoming'!V12-'Grid_Requirement'!V12))</f>
        <v/>
      </c>
      <c r="W12">
        <f>IF(COUNTIFS(T_StockCount[RM_Code],$A12,T_StockCount[WeekIndex],22)&gt;0,SUMIFS(T_StockCount[CountedQty],T_StockCount[RM_Code],$A12,T_StockCount[WeekIndex],22),IF((COUNTIFS(T_SelfStock[RM_Code],$A12,T_SelfStock[WeekIndex],22)&gt;0)*(COUNTIFS(T_TTAFStock[RM_Code],$A12,T_TTAFStock[WeekIndex],22)&gt;0)&gt;0,SUMIFS(T_SelfStock[Self_Qty],T_SelfStock[RM_Code],$A12,T_SelfStock[WeekIndex],22)+SUMIFS(T_TTAFStock[TTAF_Qty],T_TTAFStock[RM_Code],$A12,T_TTAFStock[WeekIndex],22),V12+'Grid_Incoming'!W12-'Grid_Requirement'!W12))</f>
        <v/>
      </c>
      <c r="X12">
        <f>IF(COUNTIFS(T_StockCount[RM_Code],$A12,T_StockCount[WeekIndex],23)&gt;0,SUMIFS(T_StockCount[CountedQty],T_StockCount[RM_Code],$A12,T_StockCount[WeekIndex],23),IF((COUNTIFS(T_SelfStock[RM_Code],$A12,T_SelfStock[WeekIndex],23)&gt;0)*(COUNTIFS(T_TTAFStock[RM_Code],$A12,T_TTAFStock[WeekIndex],23)&gt;0)&gt;0,SUMIFS(T_SelfStock[Self_Qty],T_SelfStock[RM_Code],$A12,T_SelfStock[WeekIndex],23)+SUMIFS(T_TTAFStock[TTAF_Qty],T_TTAFStock[RM_Code],$A12,T_TTAFStock[WeekIndex],23),W12+'Grid_Incoming'!X12-'Grid_Requirement'!X12))</f>
        <v/>
      </c>
      <c r="Y12">
        <f>IF(COUNTIFS(T_StockCount[RM_Code],$A12,T_StockCount[WeekIndex],24)&gt;0,SUMIFS(T_StockCount[CountedQty],T_StockCount[RM_Code],$A12,T_StockCount[WeekIndex],24),IF((COUNTIFS(T_SelfStock[RM_Code],$A12,T_SelfStock[WeekIndex],24)&gt;0)*(COUNTIFS(T_TTAFStock[RM_Code],$A12,T_TTAFStock[WeekIndex],24)&gt;0)&gt;0,SUMIFS(T_SelfStock[Self_Qty],T_SelfStock[RM_Code],$A12,T_SelfStock[WeekIndex],24)+SUMIFS(T_TTAFStock[TTAF_Qty],T_TTAFStock[RM_Code],$A12,T_TTAFStock[WeekIndex],24),X12+'Grid_Incoming'!Y12-'Grid_Requirement'!Y12))</f>
        <v/>
      </c>
      <c r="Z12">
        <f>IF(COUNTIFS(T_StockCount[RM_Code],$A12,T_StockCount[WeekIndex],25)&gt;0,SUMIFS(T_StockCount[CountedQty],T_StockCount[RM_Code],$A12,T_StockCount[WeekIndex],25),IF((COUNTIFS(T_SelfStock[RM_Code],$A12,T_SelfStock[WeekIndex],25)&gt;0)*(COUNTIFS(T_TTAFStock[RM_Code],$A12,T_TTAFStock[WeekIndex],25)&gt;0)&gt;0,SUMIFS(T_SelfStock[Self_Qty],T_SelfStock[RM_Code],$A12,T_SelfStock[WeekIndex],25)+SUMIFS(T_TTAFStock[TTAF_Qty],T_TTAFStock[RM_Code],$A12,T_TTAFStock[WeekIndex],25),Y12+'Grid_Incoming'!Z12-'Grid_Requirement'!Z12))</f>
        <v/>
      </c>
      <c r="AA12">
        <f>IF(COUNTIFS(T_StockCount[RM_Code],$A12,T_StockCount[WeekIndex],26)&gt;0,SUMIFS(T_StockCount[CountedQty],T_StockCount[RM_Code],$A12,T_StockCount[WeekIndex],26),IF((COUNTIFS(T_SelfStock[RM_Code],$A12,T_SelfStock[WeekIndex],26)&gt;0)*(COUNTIFS(T_TTAFStock[RM_Code],$A12,T_TTAFStock[WeekIndex],26)&gt;0)&gt;0,SUMIFS(T_SelfStock[Self_Qty],T_SelfStock[RM_Code],$A12,T_SelfStock[WeekIndex],26)+SUMIFS(T_TTAFStock[TTAF_Qty],T_TTAFStock[RM_Code],$A12,T_TTAFStock[WeekIndex],26),Z12+'Grid_Incoming'!AA12-'Grid_Requirement'!AA12))</f>
        <v/>
      </c>
      <c r="AB12">
        <f>IF(COUNTIFS(T_StockCount[RM_Code],$A12,T_StockCount[WeekIndex],27)&gt;0,SUMIFS(T_StockCount[CountedQty],T_StockCount[RM_Code],$A12,T_StockCount[WeekIndex],27),IF((COUNTIFS(T_SelfStock[RM_Code],$A12,T_SelfStock[WeekIndex],27)&gt;0)*(COUNTIFS(T_TTAFStock[RM_Code],$A12,T_TTAFStock[WeekIndex],27)&gt;0)&gt;0,SUMIFS(T_SelfStock[Self_Qty],T_SelfStock[RM_Code],$A12,T_SelfStock[WeekIndex],27)+SUMIFS(T_TTAFStock[TTAF_Qty],T_TTAFStock[RM_Code],$A12,T_TTAFStock[WeekIndex],27),AA12+'Grid_Incoming'!AB12-'Grid_Requirement'!AB12))</f>
        <v/>
      </c>
      <c r="AC12">
        <f>IF(COUNTIFS(T_StockCount[RM_Code],$A12,T_StockCount[WeekIndex],28)&gt;0,SUMIFS(T_StockCount[CountedQty],T_StockCount[RM_Code],$A12,T_StockCount[WeekIndex],28),IF((COUNTIFS(T_SelfStock[RM_Code],$A12,T_SelfStock[WeekIndex],28)&gt;0)*(COUNTIFS(T_TTAFStock[RM_Code],$A12,T_TTAFStock[WeekIndex],28)&gt;0)&gt;0,SUMIFS(T_SelfStock[Self_Qty],T_SelfStock[RM_Code],$A12,T_SelfStock[WeekIndex],28)+SUMIFS(T_TTAFStock[TTAF_Qty],T_TTAFStock[RM_Code],$A12,T_TTAFStock[WeekIndex],28),AB12+'Grid_Incoming'!AC12-'Grid_Requirement'!AC12))</f>
        <v/>
      </c>
      <c r="AD12">
        <f>IF(COUNTIFS(T_StockCount[RM_Code],$A12,T_StockCount[WeekIndex],29)&gt;0,SUMIFS(T_StockCount[CountedQty],T_StockCount[RM_Code],$A12,T_StockCount[WeekIndex],29),IF((COUNTIFS(T_SelfStock[RM_Code],$A12,T_SelfStock[WeekIndex],29)&gt;0)*(COUNTIFS(T_TTAFStock[RM_Code],$A12,T_TTAFStock[WeekIndex],29)&gt;0)&gt;0,SUMIFS(T_SelfStock[Self_Qty],T_SelfStock[RM_Code],$A12,T_SelfStock[WeekIndex],29)+SUMIFS(T_TTAFStock[TTAF_Qty],T_TTAFStock[RM_Code],$A12,T_TTAFStock[WeekIndex],29),AC12+'Grid_Incoming'!AD12-'Grid_Requirement'!AD12))</f>
        <v/>
      </c>
      <c r="AE12">
        <f>IF(COUNTIFS(T_StockCount[RM_Code],$A12,T_StockCount[WeekIndex],30)&gt;0,SUMIFS(T_StockCount[CountedQty],T_StockCount[RM_Code],$A12,T_StockCount[WeekIndex],30),IF((COUNTIFS(T_SelfStock[RM_Code],$A12,T_SelfStock[WeekIndex],30)&gt;0)*(COUNTIFS(T_TTAFStock[RM_Code],$A12,T_TTAFStock[WeekIndex],30)&gt;0)&gt;0,SUMIFS(T_SelfStock[Self_Qty],T_SelfStock[RM_Code],$A12,T_SelfStock[WeekIndex],30)+SUMIFS(T_TTAFStock[TTAF_Qty],T_TTAFStock[RM_Code],$A12,T_TTAFStock[WeekIndex],30),AD12+'Grid_Incoming'!AE12-'Grid_Requirement'!AE12))</f>
        <v/>
      </c>
      <c r="AF12">
        <f>IF(COUNTIFS(T_StockCount[RM_Code],$A12,T_StockCount[WeekIndex],31)&gt;0,SUMIFS(T_StockCount[CountedQty],T_StockCount[RM_Code],$A12,T_StockCount[WeekIndex],31),IF((COUNTIFS(T_SelfStock[RM_Code],$A12,T_SelfStock[WeekIndex],31)&gt;0)*(COUNTIFS(T_TTAFStock[RM_Code],$A12,T_TTAFStock[WeekIndex],31)&gt;0)&gt;0,SUMIFS(T_SelfStock[Self_Qty],T_SelfStock[RM_Code],$A12,T_SelfStock[WeekIndex],31)+SUMIFS(T_TTAFStock[TTAF_Qty],T_TTAFStock[RM_Code],$A12,T_TTAFStock[WeekIndex],31),AE12+'Grid_Incoming'!AF12-'Grid_Requirement'!AF12))</f>
        <v/>
      </c>
      <c r="AG12">
        <f>IF(COUNTIFS(T_StockCount[RM_Code],$A12,T_StockCount[WeekIndex],32)&gt;0,SUMIFS(T_StockCount[CountedQty],T_StockCount[RM_Code],$A12,T_StockCount[WeekIndex],32),IF((COUNTIFS(T_SelfStock[RM_Code],$A12,T_SelfStock[WeekIndex],32)&gt;0)*(COUNTIFS(T_TTAFStock[RM_Code],$A12,T_TTAFStock[WeekIndex],32)&gt;0)&gt;0,SUMIFS(T_SelfStock[Self_Qty],T_SelfStock[RM_Code],$A12,T_SelfStock[WeekIndex],32)+SUMIFS(T_TTAFStock[TTAF_Qty],T_TTAFStock[RM_Code],$A12,T_TTAFStock[WeekIndex],32),AF12+'Grid_Incoming'!AG12-'Grid_Requirement'!AG12))</f>
        <v/>
      </c>
      <c r="AH12">
        <f>IF(COUNTIFS(T_StockCount[RM_Code],$A12,T_StockCount[WeekIndex],33)&gt;0,SUMIFS(T_StockCount[CountedQty],T_StockCount[RM_Code],$A12,T_StockCount[WeekIndex],33),IF((COUNTIFS(T_SelfStock[RM_Code],$A12,T_SelfStock[WeekIndex],33)&gt;0)*(COUNTIFS(T_TTAFStock[RM_Code],$A12,T_TTAFStock[WeekIndex],33)&gt;0)&gt;0,SUMIFS(T_SelfStock[Self_Qty],T_SelfStock[RM_Code],$A12,T_SelfStock[WeekIndex],33)+SUMIFS(T_TTAFStock[TTAF_Qty],T_TTAFStock[RM_Code],$A12,T_TTAFStock[WeekIndex],33),AG12+'Grid_Incoming'!AH12-'Grid_Requirement'!AH12))</f>
        <v/>
      </c>
      <c r="AI12">
        <f>IF(COUNTIFS(T_StockCount[RM_Code],$A12,T_StockCount[WeekIndex],34)&gt;0,SUMIFS(T_StockCount[CountedQty],T_StockCount[RM_Code],$A12,T_StockCount[WeekIndex],34),IF((COUNTIFS(T_SelfStock[RM_Code],$A12,T_SelfStock[WeekIndex],34)&gt;0)*(COUNTIFS(T_TTAFStock[RM_Code],$A12,T_TTAFStock[WeekIndex],34)&gt;0)&gt;0,SUMIFS(T_SelfStock[Self_Qty],T_SelfStock[RM_Code],$A12,T_SelfStock[WeekIndex],34)+SUMIFS(T_TTAFStock[TTAF_Qty],T_TTAFStock[RM_Code],$A12,T_TTAFStock[WeekIndex],34),AH12+'Grid_Incoming'!AI12-'Grid_Requirement'!AI12))</f>
        <v/>
      </c>
      <c r="AJ12">
        <f>IF(COUNTIFS(T_StockCount[RM_Code],$A12,T_StockCount[WeekIndex],35)&gt;0,SUMIFS(T_StockCount[CountedQty],T_StockCount[RM_Code],$A12,T_StockCount[WeekIndex],35),IF((COUNTIFS(T_SelfStock[RM_Code],$A12,T_SelfStock[WeekIndex],35)&gt;0)*(COUNTIFS(T_TTAFStock[RM_Code],$A12,T_TTAFStock[WeekIndex],35)&gt;0)&gt;0,SUMIFS(T_SelfStock[Self_Qty],T_SelfStock[RM_Code],$A12,T_SelfStock[WeekIndex],35)+SUMIFS(T_TTAFStock[TTAF_Qty],T_TTAFStock[RM_Code],$A12,T_TTAFStock[WeekIndex],35),AI12+'Grid_Incoming'!AJ12-'Grid_Requirement'!AJ12))</f>
        <v/>
      </c>
      <c r="AK12">
        <f>IF(COUNTIFS(T_StockCount[RM_Code],$A12,T_StockCount[WeekIndex],36)&gt;0,SUMIFS(T_StockCount[CountedQty],T_StockCount[RM_Code],$A12,T_StockCount[WeekIndex],36),IF((COUNTIFS(T_SelfStock[RM_Code],$A12,T_SelfStock[WeekIndex],36)&gt;0)*(COUNTIFS(T_TTAFStock[RM_Code],$A12,T_TTAFStock[WeekIndex],36)&gt;0)&gt;0,SUMIFS(T_SelfStock[Self_Qty],T_SelfStock[RM_Code],$A12,T_SelfStock[WeekIndex],36)+SUMIFS(T_TTAFStock[TTAF_Qty],T_TTAFStock[RM_Code],$A12,T_TTAFStock[WeekIndex],36),AJ12+'Grid_Incoming'!AK12-'Grid_Requirement'!AK12))</f>
        <v/>
      </c>
      <c r="AL12">
        <f>IF(COUNTIFS(T_StockCount[RM_Code],$A12,T_StockCount[WeekIndex],37)&gt;0,SUMIFS(T_StockCount[CountedQty],T_StockCount[RM_Code],$A12,T_StockCount[WeekIndex],37),IF((COUNTIFS(T_SelfStock[RM_Code],$A12,T_SelfStock[WeekIndex],37)&gt;0)*(COUNTIFS(T_TTAFStock[RM_Code],$A12,T_TTAFStock[WeekIndex],37)&gt;0)&gt;0,SUMIFS(T_SelfStock[Self_Qty],T_SelfStock[RM_Code],$A12,T_SelfStock[WeekIndex],37)+SUMIFS(T_TTAFStock[TTAF_Qty],T_TTAFStock[RM_Code],$A12,T_TTAFStock[WeekIndex],37),AK12+'Grid_Incoming'!AL12-'Grid_Requirement'!AL12))</f>
        <v/>
      </c>
      <c r="AM12">
        <f>IF(COUNTIFS(T_StockCount[RM_Code],$A12,T_StockCount[WeekIndex],38)&gt;0,SUMIFS(T_StockCount[CountedQty],T_StockCount[RM_Code],$A12,T_StockCount[WeekIndex],38),IF((COUNTIFS(T_SelfStock[RM_Code],$A12,T_SelfStock[WeekIndex],38)&gt;0)*(COUNTIFS(T_TTAFStock[RM_Code],$A12,T_TTAFStock[WeekIndex],38)&gt;0)&gt;0,SUMIFS(T_SelfStock[Self_Qty],T_SelfStock[RM_Code],$A12,T_SelfStock[WeekIndex],38)+SUMIFS(T_TTAFStock[TTAF_Qty],T_TTAFStock[RM_Code],$A12,T_TTAFStock[WeekIndex],38),AL12+'Grid_Incoming'!AM12-'Grid_Requirement'!AM12))</f>
        <v/>
      </c>
      <c r="AN12">
        <f>IF(COUNTIFS(T_StockCount[RM_Code],$A12,T_StockCount[WeekIndex],39)&gt;0,SUMIFS(T_StockCount[CountedQty],T_StockCount[RM_Code],$A12,T_StockCount[WeekIndex],39),IF((COUNTIFS(T_SelfStock[RM_Code],$A12,T_SelfStock[WeekIndex],39)&gt;0)*(COUNTIFS(T_TTAFStock[RM_Code],$A12,T_TTAFStock[WeekIndex],39)&gt;0)&gt;0,SUMIFS(T_SelfStock[Self_Qty],T_SelfStock[RM_Code],$A12,T_SelfStock[WeekIndex],39)+SUMIFS(T_TTAFStock[TTAF_Qty],T_TTAFStock[RM_Code],$A12,T_TTAFStock[WeekIndex],39),AM12+'Grid_Incoming'!AN12-'Grid_Requirement'!AN12))</f>
        <v/>
      </c>
      <c r="AO12">
        <f>IF(COUNTIFS(T_StockCount[RM_Code],$A12,T_StockCount[WeekIndex],40)&gt;0,SUMIFS(T_StockCount[CountedQty],T_StockCount[RM_Code],$A12,T_StockCount[WeekIndex],40),IF((COUNTIFS(T_SelfStock[RM_Code],$A12,T_SelfStock[WeekIndex],40)&gt;0)*(COUNTIFS(T_TTAFStock[RM_Code],$A12,T_TTAFStock[WeekIndex],40)&gt;0)&gt;0,SUMIFS(T_SelfStock[Self_Qty],T_SelfStock[RM_Code],$A12,T_SelfStock[WeekIndex],40)+SUMIFS(T_TTAFStock[TTAF_Qty],T_TTAFStock[RM_Code],$A12,T_TTAFStock[WeekIndex],40),AN12+'Grid_Incoming'!AO12-'Grid_Requirement'!AO12))</f>
        <v/>
      </c>
      <c r="AP12">
        <f>IF(COUNTIFS(T_StockCount[RM_Code],$A12,T_StockCount[WeekIndex],41)&gt;0,SUMIFS(T_StockCount[CountedQty],T_StockCount[RM_Code],$A12,T_StockCount[WeekIndex],41),IF((COUNTIFS(T_SelfStock[RM_Code],$A12,T_SelfStock[WeekIndex],41)&gt;0)*(COUNTIFS(T_TTAFStock[RM_Code],$A12,T_TTAFStock[WeekIndex],41)&gt;0)&gt;0,SUMIFS(T_SelfStock[Self_Qty],T_SelfStock[RM_Code],$A12,T_SelfStock[WeekIndex],41)+SUMIFS(T_TTAFStock[TTAF_Qty],T_TTAFStock[RM_Code],$A12,T_TTAFStock[WeekIndex],41),AO12+'Grid_Incoming'!AP12-'Grid_Requirement'!AP12))</f>
        <v/>
      </c>
      <c r="AQ12">
        <f>IF(COUNTIFS(T_StockCount[RM_Code],$A12,T_StockCount[WeekIndex],42)&gt;0,SUMIFS(T_StockCount[CountedQty],T_StockCount[RM_Code],$A12,T_StockCount[WeekIndex],42),IF((COUNTIFS(T_SelfStock[RM_Code],$A12,T_SelfStock[WeekIndex],42)&gt;0)*(COUNTIFS(T_TTAFStock[RM_Code],$A12,T_TTAFStock[WeekIndex],42)&gt;0)&gt;0,SUMIFS(T_SelfStock[Self_Qty],T_SelfStock[RM_Code],$A12,T_SelfStock[WeekIndex],42)+SUMIFS(T_TTAFStock[TTAF_Qty],T_TTAFStock[RM_Code],$A12,T_TTAFStock[WeekIndex],42),AP12+'Grid_Incoming'!AQ12-'Grid_Requirement'!AQ12))</f>
        <v/>
      </c>
      <c r="AR12">
        <f>IF(COUNTIFS(T_StockCount[RM_Code],$A12,T_StockCount[WeekIndex],43)&gt;0,SUMIFS(T_StockCount[CountedQty],T_StockCount[RM_Code],$A12,T_StockCount[WeekIndex],43),IF((COUNTIFS(T_SelfStock[RM_Code],$A12,T_SelfStock[WeekIndex],43)&gt;0)*(COUNTIFS(T_TTAFStock[RM_Code],$A12,T_TTAFStock[WeekIndex],43)&gt;0)&gt;0,SUMIFS(T_SelfStock[Self_Qty],T_SelfStock[RM_Code],$A12,T_SelfStock[WeekIndex],43)+SUMIFS(T_TTAFStock[TTAF_Qty],T_TTAFStock[RM_Code],$A12,T_TTAFStock[WeekIndex],43),AQ12+'Grid_Incoming'!AR12-'Grid_Requirement'!AR12))</f>
        <v/>
      </c>
      <c r="AS12">
        <f>IF(COUNTIFS(T_StockCount[RM_Code],$A12,T_StockCount[WeekIndex],44)&gt;0,SUMIFS(T_StockCount[CountedQty],T_StockCount[RM_Code],$A12,T_StockCount[WeekIndex],44),IF((COUNTIFS(T_SelfStock[RM_Code],$A12,T_SelfStock[WeekIndex],44)&gt;0)*(COUNTIFS(T_TTAFStock[RM_Code],$A12,T_TTAFStock[WeekIndex],44)&gt;0)&gt;0,SUMIFS(T_SelfStock[Self_Qty],T_SelfStock[RM_Code],$A12,T_SelfStock[WeekIndex],44)+SUMIFS(T_TTAFStock[TTAF_Qty],T_TTAFStock[RM_Code],$A12,T_TTAFStock[WeekIndex],44),AR12+'Grid_Incoming'!AS12-'Grid_Requirement'!AS12))</f>
        <v/>
      </c>
      <c r="AT12">
        <f>IF(COUNTIFS(T_StockCount[RM_Code],$A12,T_StockCount[WeekIndex],45)&gt;0,SUMIFS(T_StockCount[CountedQty],T_StockCount[RM_Code],$A12,T_StockCount[WeekIndex],45),IF((COUNTIFS(T_SelfStock[RM_Code],$A12,T_SelfStock[WeekIndex],45)&gt;0)*(COUNTIFS(T_TTAFStock[RM_Code],$A12,T_TTAFStock[WeekIndex],45)&gt;0)&gt;0,SUMIFS(T_SelfStock[Self_Qty],T_SelfStock[RM_Code],$A12,T_SelfStock[WeekIndex],45)+SUMIFS(T_TTAFStock[TTAF_Qty],T_TTAFStock[RM_Code],$A12,T_TTAFStock[WeekIndex],45),AS12+'Grid_Incoming'!AT12-'Grid_Requirement'!AT12))</f>
        <v/>
      </c>
      <c r="AU12">
        <f>IF(COUNTIFS(T_StockCount[RM_Code],$A12,T_StockCount[WeekIndex],46)&gt;0,SUMIFS(T_StockCount[CountedQty],T_StockCount[RM_Code],$A12,T_StockCount[WeekIndex],46),IF((COUNTIFS(T_SelfStock[RM_Code],$A12,T_SelfStock[WeekIndex],46)&gt;0)*(COUNTIFS(T_TTAFStock[RM_Code],$A12,T_TTAFStock[WeekIndex],46)&gt;0)&gt;0,SUMIFS(T_SelfStock[Self_Qty],T_SelfStock[RM_Code],$A12,T_SelfStock[WeekIndex],46)+SUMIFS(T_TTAFStock[TTAF_Qty],T_TTAFStock[RM_Code],$A12,T_TTAFStock[WeekIndex],46),AT12+'Grid_Incoming'!AU12-'Grid_Requirement'!AU12))</f>
        <v/>
      </c>
      <c r="AV12">
        <f>IF(COUNTIFS(T_StockCount[RM_Code],$A12,T_StockCount[WeekIndex],47)&gt;0,SUMIFS(T_StockCount[CountedQty],T_StockCount[RM_Code],$A12,T_StockCount[WeekIndex],47),IF((COUNTIFS(T_SelfStock[RM_Code],$A12,T_SelfStock[WeekIndex],47)&gt;0)*(COUNTIFS(T_TTAFStock[RM_Code],$A12,T_TTAFStock[WeekIndex],47)&gt;0)&gt;0,SUMIFS(T_SelfStock[Self_Qty],T_SelfStock[RM_Code],$A12,T_SelfStock[WeekIndex],47)+SUMIFS(T_TTAFStock[TTAF_Qty],T_TTAFStock[RM_Code],$A12,T_TTAFStock[WeekIndex],47),AU12+'Grid_Incoming'!AV12-'Grid_Requirement'!AV12))</f>
        <v/>
      </c>
      <c r="AW12">
        <f>IF(COUNTIFS(T_StockCount[RM_Code],$A12,T_StockCount[WeekIndex],48)&gt;0,SUMIFS(T_StockCount[CountedQty],T_StockCount[RM_Code],$A12,T_StockCount[WeekIndex],48),IF((COUNTIFS(T_SelfStock[RM_Code],$A12,T_SelfStock[WeekIndex],48)&gt;0)*(COUNTIFS(T_TTAFStock[RM_Code],$A12,T_TTAFStock[WeekIndex],48)&gt;0)&gt;0,SUMIFS(T_SelfStock[Self_Qty],T_SelfStock[RM_Code],$A12,T_SelfStock[WeekIndex],48)+SUMIFS(T_TTAFStock[TTAF_Qty],T_TTAFStock[RM_Code],$A12,T_TTAFStock[WeekIndex],48),AV12+'Grid_Incoming'!AW12-'Grid_Requirement'!AW12))</f>
        <v/>
      </c>
      <c r="AX12">
        <f>IF(COUNTIFS(T_StockCount[RM_Code],$A12,T_StockCount[WeekIndex],49)&gt;0,SUMIFS(T_StockCount[CountedQty],T_StockCount[RM_Code],$A12,T_StockCount[WeekIndex],49),IF((COUNTIFS(T_SelfStock[RM_Code],$A12,T_SelfStock[WeekIndex],49)&gt;0)*(COUNTIFS(T_TTAFStock[RM_Code],$A12,T_TTAFStock[WeekIndex],49)&gt;0)&gt;0,SUMIFS(T_SelfStock[Self_Qty],T_SelfStock[RM_Code],$A12,T_SelfStock[WeekIndex],49)+SUMIFS(T_TTAFStock[TTAF_Qty],T_TTAFStock[RM_Code],$A12,T_TTAFStock[WeekIndex],49),AW12+'Grid_Incoming'!AX12-'Grid_Requirement'!AX12))</f>
        <v/>
      </c>
      <c r="AY12">
        <f>IF(COUNTIFS(T_StockCount[RM_Code],$A12,T_StockCount[WeekIndex],50)&gt;0,SUMIFS(T_StockCount[CountedQty],T_StockCount[RM_Code],$A12,T_StockCount[WeekIndex],50),IF((COUNTIFS(T_SelfStock[RM_Code],$A12,T_SelfStock[WeekIndex],50)&gt;0)*(COUNTIFS(T_TTAFStock[RM_Code],$A12,T_TTAFStock[WeekIndex],50)&gt;0)&gt;0,SUMIFS(T_SelfStock[Self_Qty],T_SelfStock[RM_Code],$A12,T_SelfStock[WeekIndex],50)+SUMIFS(T_TTAFStock[TTAF_Qty],T_TTAFStock[RM_Code],$A12,T_TTAFStock[WeekIndex],50),AX12+'Grid_Incoming'!AY12-'Grid_Requirement'!AY12))</f>
        <v/>
      </c>
      <c r="AZ12">
        <f>IF(COUNTIFS(T_StockCount[RM_Code],$A12,T_StockCount[WeekIndex],51)&gt;0,SUMIFS(T_StockCount[CountedQty],T_StockCount[RM_Code],$A12,T_StockCount[WeekIndex],51),IF((COUNTIFS(T_SelfStock[RM_Code],$A12,T_SelfStock[WeekIndex],51)&gt;0)*(COUNTIFS(T_TTAFStock[RM_Code],$A12,T_TTAFStock[WeekIndex],51)&gt;0)&gt;0,SUMIFS(T_SelfStock[Self_Qty],T_SelfStock[RM_Code],$A12,T_SelfStock[WeekIndex],51)+SUMIFS(T_TTAFStock[TTAF_Qty],T_TTAFStock[RM_Code],$A12,T_TTAFStock[WeekIndex],51),AY12+'Grid_Incoming'!AZ12-'Grid_Requirement'!AZ12))</f>
        <v/>
      </c>
      <c r="BA12">
        <f>IF(COUNTIFS(T_StockCount[RM_Code],$A12,T_StockCount[WeekIndex],52)&gt;0,SUMIFS(T_StockCount[CountedQty],T_StockCount[RM_Code],$A12,T_StockCount[WeekIndex],52),IF((COUNTIFS(T_SelfStock[RM_Code],$A12,T_SelfStock[WeekIndex],52)&gt;0)*(COUNTIFS(T_TTAFStock[RM_Code],$A12,T_TTAFStock[WeekIndex],52)&gt;0)&gt;0,SUMIFS(T_SelfStock[Self_Qty],T_SelfStock[RM_Code],$A12,T_SelfStock[WeekIndex],52)+SUMIFS(T_TTAFStock[TTAF_Qty],T_TTAFStock[RM_Code],$A12,T_TTAFStock[WeekIndex],52),AZ12+'Grid_Incoming'!BA12-'Grid_Requirement'!BA12))</f>
        <v/>
      </c>
      <c r="BB12">
        <f>IF(COUNTIFS(T_StockCount[RM_Code],$A12,T_StockCount[WeekIndex],53)&gt;0,SUMIFS(T_StockCount[CountedQty],T_StockCount[RM_Code],$A12,T_StockCount[WeekIndex],53),IF((COUNTIFS(T_SelfStock[RM_Code],$A12,T_SelfStock[WeekIndex],53)&gt;0)*(COUNTIFS(T_TTAFStock[RM_Code],$A12,T_TTAFStock[WeekIndex],53)&gt;0)&gt;0,SUMIFS(T_SelfStock[Self_Qty],T_SelfStock[RM_Code],$A12,T_SelfStock[WeekIndex],53)+SUMIFS(T_TTAFStock[TTAF_Qty],T_TTAFStock[RM_Code],$A12,T_TTAFStock[WeekIndex],53),BA12+'Grid_Incoming'!BB12-'Grid_Requirement'!BB12))</f>
        <v/>
      </c>
      <c r="BC12">
        <f>IF(COUNTIFS(T_StockCount[RM_Code],$A12,T_StockCount[WeekIndex],54)&gt;0,SUMIFS(T_StockCount[CountedQty],T_StockCount[RM_Code],$A12,T_StockCount[WeekIndex],54),IF((COUNTIFS(T_SelfStock[RM_Code],$A12,T_SelfStock[WeekIndex],54)&gt;0)*(COUNTIFS(T_TTAFStock[RM_Code],$A12,T_TTAFStock[WeekIndex],54)&gt;0)&gt;0,SUMIFS(T_SelfStock[Self_Qty],T_SelfStock[RM_Code],$A12,T_SelfStock[WeekIndex],54)+SUMIFS(T_TTAFStock[TTAF_Qty],T_TTAFStock[RM_Code],$A12,T_TTAFStock[WeekIndex],54),BB12+'Grid_Incoming'!BC12-'Grid_Requirement'!BC12))</f>
        <v/>
      </c>
      <c r="BD12">
        <f>IF(COUNTIFS(T_StockCount[RM_Code],$A12,T_StockCount[WeekIndex],55)&gt;0,SUMIFS(T_StockCount[CountedQty],T_StockCount[RM_Code],$A12,T_StockCount[WeekIndex],55),IF((COUNTIFS(T_SelfStock[RM_Code],$A12,T_SelfStock[WeekIndex],55)&gt;0)*(COUNTIFS(T_TTAFStock[RM_Code],$A12,T_TTAFStock[WeekIndex],55)&gt;0)&gt;0,SUMIFS(T_SelfStock[Self_Qty],T_SelfStock[RM_Code],$A12,T_SelfStock[WeekIndex],55)+SUMIFS(T_TTAFStock[TTAF_Qty],T_TTAFStock[RM_Code],$A12,T_TTAFStock[WeekIndex],55),BC12+'Grid_Incoming'!BD12-'Grid_Requirement'!BD12))</f>
        <v/>
      </c>
      <c r="BE12">
        <f>IF(COUNTIFS(T_StockCount[RM_Code],$A12,T_StockCount[WeekIndex],56)&gt;0,SUMIFS(T_StockCount[CountedQty],T_StockCount[RM_Code],$A12,T_StockCount[WeekIndex],56),IF((COUNTIFS(T_SelfStock[RM_Code],$A12,T_SelfStock[WeekIndex],56)&gt;0)*(COUNTIFS(T_TTAFStock[RM_Code],$A12,T_TTAFStock[WeekIndex],56)&gt;0)&gt;0,SUMIFS(T_SelfStock[Self_Qty],T_SelfStock[RM_Code],$A12,T_SelfStock[WeekIndex],56)+SUMIFS(T_TTAFStock[TTAF_Qty],T_TTAFStock[RM_Code],$A12,T_TTAFStock[WeekIndex],56),BD12+'Grid_Incoming'!BE12-'Grid_Requirement'!BE12))</f>
        <v/>
      </c>
      <c r="BF12">
        <f>IF(COUNTIFS(T_StockCount[RM_Code],$A12,T_StockCount[WeekIndex],57)&gt;0,SUMIFS(T_StockCount[CountedQty],T_StockCount[RM_Code],$A12,T_StockCount[WeekIndex],57),IF((COUNTIFS(T_SelfStock[RM_Code],$A12,T_SelfStock[WeekIndex],57)&gt;0)*(COUNTIFS(T_TTAFStock[RM_Code],$A12,T_TTAFStock[WeekIndex],57)&gt;0)&gt;0,SUMIFS(T_SelfStock[Self_Qty],T_SelfStock[RM_Code],$A12,T_SelfStock[WeekIndex],57)+SUMIFS(T_TTAFStock[TTAF_Qty],T_TTAFStock[RM_Code],$A12,T_TTAFStock[WeekIndex],57),BE12+'Grid_Incoming'!BF12-'Grid_Requirement'!BF12))</f>
        <v/>
      </c>
      <c r="BG12">
        <f>IF(COUNTIFS(T_StockCount[RM_Code],$A12,T_StockCount[WeekIndex],58)&gt;0,SUMIFS(T_StockCount[CountedQty],T_StockCount[RM_Code],$A12,T_StockCount[WeekIndex],58),IF((COUNTIFS(T_SelfStock[RM_Code],$A12,T_SelfStock[WeekIndex],58)&gt;0)*(COUNTIFS(T_TTAFStock[RM_Code],$A12,T_TTAFStock[WeekIndex],58)&gt;0)&gt;0,SUMIFS(T_SelfStock[Self_Qty],T_SelfStock[RM_Code],$A12,T_SelfStock[WeekIndex],58)+SUMIFS(T_TTAFStock[TTAF_Qty],T_TTAFStock[RM_Code],$A12,T_TTAFStock[WeekIndex],58),BF12+'Grid_Incoming'!BG12-'Grid_Requirement'!BG12))</f>
        <v/>
      </c>
      <c r="BH12">
        <f>IF(COUNTIFS(T_StockCount[RM_Code],$A12,T_StockCount[WeekIndex],59)&gt;0,SUMIFS(T_StockCount[CountedQty],T_StockCount[RM_Code],$A12,T_StockCount[WeekIndex],59),IF((COUNTIFS(T_SelfStock[RM_Code],$A12,T_SelfStock[WeekIndex],59)&gt;0)*(COUNTIFS(T_TTAFStock[RM_Code],$A12,T_TTAFStock[WeekIndex],59)&gt;0)&gt;0,SUMIFS(T_SelfStock[Self_Qty],T_SelfStock[RM_Code],$A12,T_SelfStock[WeekIndex],59)+SUMIFS(T_TTAFStock[TTAF_Qty],T_TTAFStock[RM_Code],$A12,T_TTAFStock[WeekIndex],59),BG12+'Grid_Incoming'!BH12-'Grid_Requirement'!BH12))</f>
        <v/>
      </c>
      <c r="BI12">
        <f>IF(COUNTIFS(T_StockCount[RM_Code],$A12,T_StockCount[WeekIndex],60)&gt;0,SUMIFS(T_StockCount[CountedQty],T_StockCount[RM_Code],$A12,T_StockCount[WeekIndex],60),IF((COUNTIFS(T_SelfStock[RM_Code],$A12,T_SelfStock[WeekIndex],60)&gt;0)*(COUNTIFS(T_TTAFStock[RM_Code],$A12,T_TTAFStock[WeekIndex],60)&gt;0)&gt;0,SUMIFS(T_SelfStock[Self_Qty],T_SelfStock[RM_Code],$A12,T_SelfStock[WeekIndex],60)+SUMIFS(T_TTAFStock[TTAF_Qty],T_TTAFStock[RM_Code],$A12,T_TTAFStock[WeekIndex],60),BH12+'Grid_Incoming'!BI12-'Grid_Requirement'!BI12))</f>
        <v/>
      </c>
      <c r="BJ12">
        <f>IF(COUNTIFS(T_StockCount[RM_Code],$A12,T_StockCount[WeekIndex],61)&gt;0,SUMIFS(T_StockCount[CountedQty],T_StockCount[RM_Code],$A12,T_StockCount[WeekIndex],61),IF((COUNTIFS(T_SelfStock[RM_Code],$A12,T_SelfStock[WeekIndex],61)&gt;0)*(COUNTIFS(T_TTAFStock[RM_Code],$A12,T_TTAFStock[WeekIndex],61)&gt;0)&gt;0,SUMIFS(T_SelfStock[Self_Qty],T_SelfStock[RM_Code],$A12,T_SelfStock[WeekIndex],61)+SUMIFS(T_TTAFStock[TTAF_Qty],T_TTAFStock[RM_Code],$A12,T_TTAFStock[WeekIndex],61),BI12+'Grid_Incoming'!BJ12-'Grid_Requirement'!BJ12))</f>
        <v/>
      </c>
      <c r="BK12">
        <f>IF(COUNTIFS(T_StockCount[RM_Code],$A12,T_StockCount[WeekIndex],62)&gt;0,SUMIFS(T_StockCount[CountedQty],T_StockCount[RM_Code],$A12,T_StockCount[WeekIndex],62),IF((COUNTIFS(T_SelfStock[RM_Code],$A12,T_SelfStock[WeekIndex],62)&gt;0)*(COUNTIFS(T_TTAFStock[RM_Code],$A12,T_TTAFStock[WeekIndex],62)&gt;0)&gt;0,SUMIFS(T_SelfStock[Self_Qty],T_SelfStock[RM_Code],$A12,T_SelfStock[WeekIndex],62)+SUMIFS(T_TTAFStock[TTAF_Qty],T_TTAFStock[RM_Code],$A12,T_TTAFStock[WeekIndex],62),BJ12+'Grid_Incoming'!BK12-'Grid_Requirement'!BK12))</f>
        <v/>
      </c>
      <c r="BL12">
        <f>IF(COUNTIFS(T_StockCount[RM_Code],$A12,T_StockCount[WeekIndex],63)&gt;0,SUMIFS(T_StockCount[CountedQty],T_StockCount[RM_Code],$A12,T_StockCount[WeekIndex],63),IF((COUNTIFS(T_SelfStock[RM_Code],$A12,T_SelfStock[WeekIndex],63)&gt;0)*(COUNTIFS(T_TTAFStock[RM_Code],$A12,T_TTAFStock[WeekIndex],63)&gt;0)&gt;0,SUMIFS(T_SelfStock[Self_Qty],T_SelfStock[RM_Code],$A12,T_SelfStock[WeekIndex],63)+SUMIFS(T_TTAFStock[TTAF_Qty],T_TTAFStock[RM_Code],$A12,T_TTAFStock[WeekIndex],63),BK12+'Grid_Incoming'!BL12-'Grid_Requirement'!BL12))</f>
        <v/>
      </c>
      <c r="BM12">
        <f>IF(COUNTIFS(T_StockCount[RM_Code],$A12,T_StockCount[WeekIndex],64)&gt;0,SUMIFS(T_StockCount[CountedQty],T_StockCount[RM_Code],$A12,T_StockCount[WeekIndex],64),IF((COUNTIFS(T_SelfStock[RM_Code],$A12,T_SelfStock[WeekIndex],64)&gt;0)*(COUNTIFS(T_TTAFStock[RM_Code],$A12,T_TTAFStock[WeekIndex],64)&gt;0)&gt;0,SUMIFS(T_SelfStock[Self_Qty],T_SelfStock[RM_Code],$A12,T_SelfStock[WeekIndex],64)+SUMIFS(T_TTAFStock[TTAF_Qty],T_TTAFStock[RM_Code],$A12,T_TTAFStock[WeekIndex],64),BL12+'Grid_Incoming'!BM12-'Grid_Requirement'!BM12))</f>
        <v/>
      </c>
      <c r="BN12">
        <f>IF(COUNTIFS(T_StockCount[RM_Code],$A12,T_StockCount[WeekIndex],65)&gt;0,SUMIFS(T_StockCount[CountedQty],T_StockCount[RM_Code],$A12,T_StockCount[WeekIndex],65),IF((COUNTIFS(T_SelfStock[RM_Code],$A12,T_SelfStock[WeekIndex],65)&gt;0)*(COUNTIFS(T_TTAFStock[RM_Code],$A12,T_TTAFStock[WeekIndex],65)&gt;0)&gt;0,SUMIFS(T_SelfStock[Self_Qty],T_SelfStock[RM_Code],$A12,T_SelfStock[WeekIndex],65)+SUMIFS(T_TTAFStock[TTAF_Qty],T_TTAFStock[RM_Code],$A12,T_TTAFStock[WeekIndex],65),BM12+'Grid_Incoming'!BN12-'Grid_Requirement'!BN12))</f>
        <v/>
      </c>
      <c r="BO12">
        <f>IF(COUNTIFS(T_StockCount[RM_Code],$A12,T_StockCount[WeekIndex],66)&gt;0,SUMIFS(T_StockCount[CountedQty],T_StockCount[RM_Code],$A12,T_StockCount[WeekIndex],66),IF((COUNTIFS(T_SelfStock[RM_Code],$A12,T_SelfStock[WeekIndex],66)&gt;0)*(COUNTIFS(T_TTAFStock[RM_Code],$A12,T_TTAFStock[WeekIndex],66)&gt;0)&gt;0,SUMIFS(T_SelfStock[Self_Qty],T_SelfStock[RM_Code],$A12,T_SelfStock[WeekIndex],66)+SUMIFS(T_TTAFStock[TTAF_Qty],T_TTAFStock[RM_Code],$A12,T_TTAFStock[WeekIndex],66),BN12+'Grid_Incoming'!BO12-'Grid_Requirement'!BO12))</f>
        <v/>
      </c>
      <c r="BP12">
        <f>IF(COUNTIFS(T_StockCount[RM_Code],$A12,T_StockCount[WeekIndex],67)&gt;0,SUMIFS(T_StockCount[CountedQty],T_StockCount[RM_Code],$A12,T_StockCount[WeekIndex],67),IF((COUNTIFS(T_SelfStock[RM_Code],$A12,T_SelfStock[WeekIndex],67)&gt;0)*(COUNTIFS(T_TTAFStock[RM_Code],$A12,T_TTAFStock[WeekIndex],67)&gt;0)&gt;0,SUMIFS(T_SelfStock[Self_Qty],T_SelfStock[RM_Code],$A12,T_SelfStock[WeekIndex],67)+SUMIFS(T_TTAFStock[TTAF_Qty],T_TTAFStock[RM_Code],$A12,T_TTAFStock[WeekIndex],67),BO12+'Grid_Incoming'!BP12-'Grid_Requirement'!BP12))</f>
        <v/>
      </c>
      <c r="BQ12">
        <f>IF(COUNTIFS(T_StockCount[RM_Code],$A12,T_StockCount[WeekIndex],68)&gt;0,SUMIFS(T_StockCount[CountedQty],T_StockCount[RM_Code],$A12,T_StockCount[WeekIndex],68),IF((COUNTIFS(T_SelfStock[RM_Code],$A12,T_SelfStock[WeekIndex],68)&gt;0)*(COUNTIFS(T_TTAFStock[RM_Code],$A12,T_TTAFStock[WeekIndex],68)&gt;0)&gt;0,SUMIFS(T_SelfStock[Self_Qty],T_SelfStock[RM_Code],$A12,T_SelfStock[WeekIndex],68)+SUMIFS(T_TTAFStock[TTAF_Qty],T_TTAFStock[RM_Code],$A12,T_TTAFStock[WeekIndex],68),BP12+'Grid_Incoming'!BQ12-'Grid_Requirement'!BQ12))</f>
        <v/>
      </c>
      <c r="BR12">
        <f>IF(COUNTIFS(T_StockCount[RM_Code],$A12,T_StockCount[WeekIndex],69)&gt;0,SUMIFS(T_StockCount[CountedQty],T_StockCount[RM_Code],$A12,T_StockCount[WeekIndex],69),IF((COUNTIFS(T_SelfStock[RM_Code],$A12,T_SelfStock[WeekIndex],69)&gt;0)*(COUNTIFS(T_TTAFStock[RM_Code],$A12,T_TTAFStock[WeekIndex],69)&gt;0)&gt;0,SUMIFS(T_SelfStock[Self_Qty],T_SelfStock[RM_Code],$A12,T_SelfStock[WeekIndex],69)+SUMIFS(T_TTAFStock[TTAF_Qty],T_TTAFStock[RM_Code],$A12,T_TTAFStock[WeekIndex],69),BQ12+'Grid_Incoming'!BR12-'Grid_Requirement'!BR12))</f>
        <v/>
      </c>
      <c r="BS12">
        <f>IF(COUNTIFS(T_StockCount[RM_Code],$A12,T_StockCount[WeekIndex],70)&gt;0,SUMIFS(T_StockCount[CountedQty],T_StockCount[RM_Code],$A12,T_StockCount[WeekIndex],70),IF((COUNTIFS(T_SelfStock[RM_Code],$A12,T_SelfStock[WeekIndex],70)&gt;0)*(COUNTIFS(T_TTAFStock[RM_Code],$A12,T_TTAFStock[WeekIndex],70)&gt;0)&gt;0,SUMIFS(T_SelfStock[Self_Qty],T_SelfStock[RM_Code],$A12,T_SelfStock[WeekIndex],70)+SUMIFS(T_TTAFStock[TTAF_Qty],T_TTAFStock[RM_Code],$A12,T_TTAFStock[WeekIndex],70),BR12+'Grid_Incoming'!BS12-'Grid_Requirement'!BS12))</f>
        <v/>
      </c>
      <c r="BT12">
        <f>IF(COUNTIFS(T_StockCount[RM_Code],$A12,T_StockCount[WeekIndex],71)&gt;0,SUMIFS(T_StockCount[CountedQty],T_StockCount[RM_Code],$A12,T_StockCount[WeekIndex],71),IF((COUNTIFS(T_SelfStock[RM_Code],$A12,T_SelfStock[WeekIndex],71)&gt;0)*(COUNTIFS(T_TTAFStock[RM_Code],$A12,T_TTAFStock[WeekIndex],71)&gt;0)&gt;0,SUMIFS(T_SelfStock[Self_Qty],T_SelfStock[RM_Code],$A12,T_SelfStock[WeekIndex],71)+SUMIFS(T_TTAFStock[TTAF_Qty],T_TTAFStock[RM_Code],$A12,T_TTAFStock[WeekIndex],71),BS12+'Grid_Incoming'!BT12-'Grid_Requirement'!BT12))</f>
        <v/>
      </c>
      <c r="BU12">
        <f>IF(COUNTIFS(T_StockCount[RM_Code],$A12,T_StockCount[WeekIndex],72)&gt;0,SUMIFS(T_StockCount[CountedQty],T_StockCount[RM_Code],$A12,T_StockCount[WeekIndex],72),IF((COUNTIFS(T_SelfStock[RM_Code],$A12,T_SelfStock[WeekIndex],72)&gt;0)*(COUNTIFS(T_TTAFStock[RM_Code],$A12,T_TTAFStock[WeekIndex],72)&gt;0)&gt;0,SUMIFS(T_SelfStock[Self_Qty],T_SelfStock[RM_Code],$A12,T_SelfStock[WeekIndex],72)+SUMIFS(T_TTAFStock[TTAF_Qty],T_TTAFStock[RM_Code],$A12,T_TTAFStock[WeekIndex],72),BT12+'Grid_Incoming'!BU12-'Grid_Requirement'!BU12))</f>
        <v/>
      </c>
      <c r="BV12">
        <f>IF(COUNTIFS(T_StockCount[RM_Code],$A12,T_StockCount[WeekIndex],73)&gt;0,SUMIFS(T_StockCount[CountedQty],T_StockCount[RM_Code],$A12,T_StockCount[WeekIndex],73),IF((COUNTIFS(T_SelfStock[RM_Code],$A12,T_SelfStock[WeekIndex],73)&gt;0)*(COUNTIFS(T_TTAFStock[RM_Code],$A12,T_TTAFStock[WeekIndex],73)&gt;0)&gt;0,SUMIFS(T_SelfStock[Self_Qty],T_SelfStock[RM_Code],$A12,T_SelfStock[WeekIndex],73)+SUMIFS(T_TTAFStock[TTAF_Qty],T_TTAFStock[RM_Code],$A12,T_TTAFStock[WeekIndex],73),BU12+'Grid_Incoming'!BV12-'Grid_Requirement'!BV12))</f>
        <v/>
      </c>
      <c r="BW12">
        <f>IF(COUNTIFS(T_StockCount[RM_Code],$A12,T_StockCount[WeekIndex],74)&gt;0,SUMIFS(T_StockCount[CountedQty],T_StockCount[RM_Code],$A12,T_StockCount[WeekIndex],74),IF((COUNTIFS(T_SelfStock[RM_Code],$A12,T_SelfStock[WeekIndex],74)&gt;0)*(COUNTIFS(T_TTAFStock[RM_Code],$A12,T_TTAFStock[WeekIndex],74)&gt;0)&gt;0,SUMIFS(T_SelfStock[Self_Qty],T_SelfStock[RM_Code],$A12,T_SelfStock[WeekIndex],74)+SUMIFS(T_TTAFStock[TTAF_Qty],T_TTAFStock[RM_Code],$A12,T_TTAFStock[WeekIndex],74),BV12+'Grid_Incoming'!BW12-'Grid_Requirement'!BW12))</f>
        <v/>
      </c>
      <c r="BX12">
        <f>IF(COUNTIFS(T_StockCount[RM_Code],$A12,T_StockCount[WeekIndex],75)&gt;0,SUMIFS(T_StockCount[CountedQty],T_StockCount[RM_Code],$A12,T_StockCount[WeekIndex],75),IF((COUNTIFS(T_SelfStock[RM_Code],$A12,T_SelfStock[WeekIndex],75)&gt;0)*(COUNTIFS(T_TTAFStock[RM_Code],$A12,T_TTAFStock[WeekIndex],75)&gt;0)&gt;0,SUMIFS(T_SelfStock[Self_Qty],T_SelfStock[RM_Code],$A12,T_SelfStock[WeekIndex],75)+SUMIFS(T_TTAFStock[TTAF_Qty],T_TTAFStock[RM_Code],$A12,T_TTAFStock[WeekIndex],75),BW12+'Grid_Incoming'!BX12-'Grid_Requirement'!BX12))</f>
        <v/>
      </c>
      <c r="BY12">
        <f>IF(COUNTIFS(T_StockCount[RM_Code],$A12,T_StockCount[WeekIndex],76)&gt;0,SUMIFS(T_StockCount[CountedQty],T_StockCount[RM_Code],$A12,T_StockCount[WeekIndex],76),IF((COUNTIFS(T_SelfStock[RM_Code],$A12,T_SelfStock[WeekIndex],76)&gt;0)*(COUNTIFS(T_TTAFStock[RM_Code],$A12,T_TTAFStock[WeekIndex],76)&gt;0)&gt;0,SUMIFS(T_SelfStock[Self_Qty],T_SelfStock[RM_Code],$A12,T_SelfStock[WeekIndex],76)+SUMIFS(T_TTAFStock[TTAF_Qty],T_TTAFStock[RM_Code],$A12,T_TTAFStock[WeekIndex],76),BX12+'Grid_Incoming'!BY12-'Grid_Requirement'!BY12))</f>
        <v/>
      </c>
      <c r="BZ12">
        <f>IF(COUNTIFS(T_StockCount[RM_Code],$A12,T_StockCount[WeekIndex],77)&gt;0,SUMIFS(T_StockCount[CountedQty],T_StockCount[RM_Code],$A12,T_StockCount[WeekIndex],77),IF((COUNTIFS(T_SelfStock[RM_Code],$A12,T_SelfStock[WeekIndex],77)&gt;0)*(COUNTIFS(T_TTAFStock[RM_Code],$A12,T_TTAFStock[WeekIndex],77)&gt;0)&gt;0,SUMIFS(T_SelfStock[Self_Qty],T_SelfStock[RM_Code],$A12,T_SelfStock[WeekIndex],77)+SUMIFS(T_TTAFStock[TTAF_Qty],T_TTAFStock[RM_Code],$A12,T_TTAFStock[WeekIndex],77),BY12+'Grid_Incoming'!BZ12-'Grid_Requirement'!BZ12))</f>
        <v/>
      </c>
      <c r="CA12">
        <f>IF(COUNTIFS(T_StockCount[RM_Code],$A12,T_StockCount[WeekIndex],78)&gt;0,SUMIFS(T_StockCount[CountedQty],T_StockCount[RM_Code],$A12,T_StockCount[WeekIndex],78),IF((COUNTIFS(T_SelfStock[RM_Code],$A12,T_SelfStock[WeekIndex],78)&gt;0)*(COUNTIFS(T_TTAFStock[RM_Code],$A12,T_TTAFStock[WeekIndex],78)&gt;0)&gt;0,SUMIFS(T_SelfStock[Self_Qty],T_SelfStock[RM_Code],$A12,T_SelfStock[WeekIndex],78)+SUMIFS(T_TTAFStock[TTAF_Qty],T_TTAFStock[RM_Code],$A12,T_TTAFStock[WeekIndex],78),BZ12+'Grid_Incoming'!CA12-'Grid_Requirement'!CA12))</f>
        <v/>
      </c>
      <c r="CB12">
        <f>IF(COUNTIFS(T_StockCount[RM_Code],$A12,T_StockCount[WeekIndex],79)&gt;0,SUMIFS(T_StockCount[CountedQty],T_StockCount[RM_Code],$A12,T_StockCount[WeekIndex],79),IF((COUNTIFS(T_SelfStock[RM_Code],$A12,T_SelfStock[WeekIndex],79)&gt;0)*(COUNTIFS(T_TTAFStock[RM_Code],$A12,T_TTAFStock[WeekIndex],79)&gt;0)&gt;0,SUMIFS(T_SelfStock[Self_Qty],T_SelfStock[RM_Code],$A12,T_SelfStock[WeekIndex],79)+SUMIFS(T_TTAFStock[TTAF_Qty],T_TTAFStock[RM_Code],$A12,T_TTAFStock[WeekIndex],79),CA12+'Grid_Incoming'!CB12-'Grid_Requirement'!CB12))</f>
        <v/>
      </c>
      <c r="CC12">
        <f>IF(COUNTIFS(T_StockCount[RM_Code],$A12,T_StockCount[WeekIndex],80)&gt;0,SUMIFS(T_StockCount[CountedQty],T_StockCount[RM_Code],$A12,T_StockCount[WeekIndex],80),IF((COUNTIFS(T_SelfStock[RM_Code],$A12,T_SelfStock[WeekIndex],80)&gt;0)*(COUNTIFS(T_TTAFStock[RM_Code],$A12,T_TTAFStock[WeekIndex],80)&gt;0)&gt;0,SUMIFS(T_SelfStock[Self_Qty],T_SelfStock[RM_Code],$A12,T_SelfStock[WeekIndex],80)+SUMIFS(T_TTAFStock[TTAF_Qty],T_TTAFStock[RM_Code],$A12,T_TTAFStock[WeekIndex],80),CB12+'Grid_Incoming'!CC12-'Grid_Requirement'!CC12))</f>
        <v/>
      </c>
      <c r="CD12">
        <f>IF(COUNTIFS(T_StockCount[RM_Code],$A12,T_StockCount[WeekIndex],81)&gt;0,SUMIFS(T_StockCount[CountedQty],T_StockCount[RM_Code],$A12,T_StockCount[WeekIndex],81),IF((COUNTIFS(T_SelfStock[RM_Code],$A12,T_SelfStock[WeekIndex],81)&gt;0)*(COUNTIFS(T_TTAFStock[RM_Code],$A12,T_TTAFStock[WeekIndex],81)&gt;0)&gt;0,SUMIFS(T_SelfStock[Self_Qty],T_SelfStock[RM_Code],$A12,T_SelfStock[WeekIndex],81)+SUMIFS(T_TTAFStock[TTAF_Qty],T_TTAFStock[RM_Code],$A12,T_TTAFStock[WeekIndex],81),CC12+'Grid_Incoming'!CD12-'Grid_Requirement'!CD12))</f>
        <v/>
      </c>
      <c r="CE12">
        <f>IF(COUNTIFS(T_StockCount[RM_Code],$A12,T_StockCount[WeekIndex],82)&gt;0,SUMIFS(T_StockCount[CountedQty],T_StockCount[RM_Code],$A12,T_StockCount[WeekIndex],82),IF((COUNTIFS(T_SelfStock[RM_Code],$A12,T_SelfStock[WeekIndex],82)&gt;0)*(COUNTIFS(T_TTAFStock[RM_Code],$A12,T_TTAFStock[WeekIndex],82)&gt;0)&gt;0,SUMIFS(T_SelfStock[Self_Qty],T_SelfStock[RM_Code],$A12,T_SelfStock[WeekIndex],82)+SUMIFS(T_TTAFStock[TTAF_Qty],T_TTAFStock[RM_Code],$A12,T_TTAFStock[WeekIndex],82),CD12+'Grid_Incoming'!CE12-'Grid_Requirement'!CE12))</f>
        <v/>
      </c>
      <c r="CF12">
        <f>IF(COUNTIFS(T_StockCount[RM_Code],$A12,T_StockCount[WeekIndex],83)&gt;0,SUMIFS(T_StockCount[CountedQty],T_StockCount[RM_Code],$A12,T_StockCount[WeekIndex],83),IF((COUNTIFS(T_SelfStock[RM_Code],$A12,T_SelfStock[WeekIndex],83)&gt;0)*(COUNTIFS(T_TTAFStock[RM_Code],$A12,T_TTAFStock[WeekIndex],83)&gt;0)&gt;0,SUMIFS(T_SelfStock[Self_Qty],T_SelfStock[RM_Code],$A12,T_SelfStock[WeekIndex],83)+SUMIFS(T_TTAFStock[TTAF_Qty],T_TTAFStock[RM_Code],$A12,T_TTAFStock[WeekIndex],83),CE12+'Grid_Incoming'!CF12-'Grid_Requirement'!CF12))</f>
        <v/>
      </c>
      <c r="CG12">
        <f>IF(COUNTIFS(T_StockCount[RM_Code],$A12,T_StockCount[WeekIndex],84)&gt;0,SUMIFS(T_StockCount[CountedQty],T_StockCount[RM_Code],$A12,T_StockCount[WeekIndex],84),IF((COUNTIFS(T_SelfStock[RM_Code],$A12,T_SelfStock[WeekIndex],84)&gt;0)*(COUNTIFS(T_TTAFStock[RM_Code],$A12,T_TTAFStock[WeekIndex],84)&gt;0)&gt;0,SUMIFS(T_SelfStock[Self_Qty],T_SelfStock[RM_Code],$A12,T_SelfStock[WeekIndex],84)+SUMIFS(T_TTAFStock[TTAF_Qty],T_TTAFStock[RM_Code],$A12,T_TTAFStock[WeekIndex],84),CF12+'Grid_Incoming'!CG12-'Grid_Requirement'!CG12))</f>
        <v/>
      </c>
      <c r="CH12">
        <f>IF(COUNTIFS(T_StockCount[RM_Code],$A12,T_StockCount[WeekIndex],85)&gt;0,SUMIFS(T_StockCount[CountedQty],T_StockCount[RM_Code],$A12,T_StockCount[WeekIndex],85),IF((COUNTIFS(T_SelfStock[RM_Code],$A12,T_SelfStock[WeekIndex],85)&gt;0)*(COUNTIFS(T_TTAFStock[RM_Code],$A12,T_TTAFStock[WeekIndex],85)&gt;0)&gt;0,SUMIFS(T_SelfStock[Self_Qty],T_SelfStock[RM_Code],$A12,T_SelfStock[WeekIndex],85)+SUMIFS(T_TTAFStock[TTAF_Qty],T_TTAFStock[RM_Code],$A12,T_TTAFStock[WeekIndex],85),CG12+'Grid_Incoming'!CH12-'Grid_Requirement'!CH12))</f>
        <v/>
      </c>
      <c r="CI12">
        <f>IF(COUNTIFS(T_StockCount[RM_Code],$A12,T_StockCount[WeekIndex],86)&gt;0,SUMIFS(T_StockCount[CountedQty],T_StockCount[RM_Code],$A12,T_StockCount[WeekIndex],86),IF((COUNTIFS(T_SelfStock[RM_Code],$A12,T_SelfStock[WeekIndex],86)&gt;0)*(COUNTIFS(T_TTAFStock[RM_Code],$A12,T_TTAFStock[WeekIndex],86)&gt;0)&gt;0,SUMIFS(T_SelfStock[Self_Qty],T_SelfStock[RM_Code],$A12,T_SelfStock[WeekIndex],86)+SUMIFS(T_TTAFStock[TTAF_Qty],T_TTAFStock[RM_Code],$A12,T_TTAFStock[WeekIndex],86),CH12+'Grid_Incoming'!CI12-'Grid_Requirement'!CI12))</f>
        <v/>
      </c>
      <c r="CJ12">
        <f>IF(COUNTIFS(T_StockCount[RM_Code],$A12,T_StockCount[WeekIndex],87)&gt;0,SUMIFS(T_StockCount[CountedQty],T_StockCount[RM_Code],$A12,T_StockCount[WeekIndex],87),IF((COUNTIFS(T_SelfStock[RM_Code],$A12,T_SelfStock[WeekIndex],87)&gt;0)*(COUNTIFS(T_TTAFStock[RM_Code],$A12,T_TTAFStock[WeekIndex],87)&gt;0)&gt;0,SUMIFS(T_SelfStock[Self_Qty],T_SelfStock[RM_Code],$A12,T_SelfStock[WeekIndex],87)+SUMIFS(T_TTAFStock[TTAF_Qty],T_TTAFStock[RM_Code],$A12,T_TTAFStock[WeekIndex],87),CI12+'Grid_Incoming'!CJ12-'Grid_Requirement'!CJ12))</f>
        <v/>
      </c>
      <c r="CK12">
        <f>IF(COUNTIFS(T_StockCount[RM_Code],$A12,T_StockCount[WeekIndex],88)&gt;0,SUMIFS(T_StockCount[CountedQty],T_StockCount[RM_Code],$A12,T_StockCount[WeekIndex],88),IF((COUNTIFS(T_SelfStock[RM_Code],$A12,T_SelfStock[WeekIndex],88)&gt;0)*(COUNTIFS(T_TTAFStock[RM_Code],$A12,T_TTAFStock[WeekIndex],88)&gt;0)&gt;0,SUMIFS(T_SelfStock[Self_Qty],T_SelfStock[RM_Code],$A12,T_SelfStock[WeekIndex],88)+SUMIFS(T_TTAFStock[TTAF_Qty],T_TTAFStock[RM_Code],$A12,T_TTAFStock[WeekIndex],88),CJ12+'Grid_Incoming'!CK12-'Grid_Requirement'!CK12))</f>
        <v/>
      </c>
      <c r="CL12">
        <f>IF(COUNTIFS(T_StockCount[RM_Code],$A12,T_StockCount[WeekIndex],89)&gt;0,SUMIFS(T_StockCount[CountedQty],T_StockCount[RM_Code],$A12,T_StockCount[WeekIndex],89),IF((COUNTIFS(T_SelfStock[RM_Code],$A12,T_SelfStock[WeekIndex],89)&gt;0)*(COUNTIFS(T_TTAFStock[RM_Code],$A12,T_TTAFStock[WeekIndex],89)&gt;0)&gt;0,SUMIFS(T_SelfStock[Self_Qty],T_SelfStock[RM_Code],$A12,T_SelfStock[WeekIndex],89)+SUMIFS(T_TTAFStock[TTAF_Qty],T_TTAFStock[RM_Code],$A12,T_TTAFStock[WeekIndex],89),CK12+'Grid_Incoming'!CL12-'Grid_Requirement'!CL12))</f>
        <v/>
      </c>
      <c r="CM12">
        <f>IF(COUNTIFS(T_StockCount[RM_Code],$A12,T_StockCount[WeekIndex],90)&gt;0,SUMIFS(T_StockCount[CountedQty],T_StockCount[RM_Code],$A12,T_StockCount[WeekIndex],90),IF((COUNTIFS(T_SelfStock[RM_Code],$A12,T_SelfStock[WeekIndex],90)&gt;0)*(COUNTIFS(T_TTAFStock[RM_Code],$A12,T_TTAFStock[WeekIndex],90)&gt;0)&gt;0,SUMIFS(T_SelfStock[Self_Qty],T_SelfStock[RM_Code],$A12,T_SelfStock[WeekIndex],90)+SUMIFS(T_TTAFStock[TTAF_Qty],T_TTAFStock[RM_Code],$A12,T_TTAFStock[WeekIndex],90),CL12+'Grid_Incoming'!CM12-'Grid_Requirement'!CM12))</f>
        <v/>
      </c>
      <c r="CN12">
        <f>IF(COUNTIFS(T_StockCount[RM_Code],$A12,T_StockCount[WeekIndex],91)&gt;0,SUMIFS(T_StockCount[CountedQty],T_StockCount[RM_Code],$A12,T_StockCount[WeekIndex],91),IF((COUNTIFS(T_SelfStock[RM_Code],$A12,T_SelfStock[WeekIndex],91)&gt;0)*(COUNTIFS(T_TTAFStock[RM_Code],$A12,T_TTAFStock[WeekIndex],91)&gt;0)&gt;0,SUMIFS(T_SelfStock[Self_Qty],T_SelfStock[RM_Code],$A12,T_SelfStock[WeekIndex],91)+SUMIFS(T_TTAFStock[TTAF_Qty],T_TTAFStock[RM_Code],$A12,T_TTAFStock[WeekIndex],91),CM12+'Grid_Incoming'!CN12-'Grid_Requirement'!CN12))</f>
        <v/>
      </c>
      <c r="CO12">
        <f>IF(COUNTIFS(T_StockCount[RM_Code],$A12,T_StockCount[WeekIndex],92)&gt;0,SUMIFS(T_StockCount[CountedQty],T_StockCount[RM_Code],$A12,T_StockCount[WeekIndex],92),IF((COUNTIFS(T_SelfStock[RM_Code],$A12,T_SelfStock[WeekIndex],92)&gt;0)*(COUNTIFS(T_TTAFStock[RM_Code],$A12,T_TTAFStock[WeekIndex],92)&gt;0)&gt;0,SUMIFS(T_SelfStock[Self_Qty],T_SelfStock[RM_Code],$A12,T_SelfStock[WeekIndex],92)+SUMIFS(T_TTAFStock[TTAF_Qty],T_TTAFStock[RM_Code],$A12,T_TTAFStock[WeekIndex],92),CN12+'Grid_Incoming'!CO12-'Grid_Requirement'!CO12))</f>
        <v/>
      </c>
      <c r="CP12">
        <f>IF(COUNTIFS(T_StockCount[RM_Code],$A12,T_StockCount[WeekIndex],93)&gt;0,SUMIFS(T_StockCount[CountedQty],T_StockCount[RM_Code],$A12,T_StockCount[WeekIndex],93),IF((COUNTIFS(T_SelfStock[RM_Code],$A12,T_SelfStock[WeekIndex],93)&gt;0)*(COUNTIFS(T_TTAFStock[RM_Code],$A12,T_TTAFStock[WeekIndex],93)&gt;0)&gt;0,SUMIFS(T_SelfStock[Self_Qty],T_SelfStock[RM_Code],$A12,T_SelfStock[WeekIndex],93)+SUMIFS(T_TTAFStock[TTAF_Qty],T_TTAFStock[RM_Code],$A12,T_TTAFStock[WeekIndex],93),CO12+'Grid_Incoming'!CP12-'Grid_Requirement'!CP12))</f>
        <v/>
      </c>
      <c r="CQ12">
        <f>IF(COUNTIFS(T_StockCount[RM_Code],$A12,T_StockCount[WeekIndex],94)&gt;0,SUMIFS(T_StockCount[CountedQty],T_StockCount[RM_Code],$A12,T_StockCount[WeekIndex],94),IF((COUNTIFS(T_SelfStock[RM_Code],$A12,T_SelfStock[WeekIndex],94)&gt;0)*(COUNTIFS(T_TTAFStock[RM_Code],$A12,T_TTAFStock[WeekIndex],94)&gt;0)&gt;0,SUMIFS(T_SelfStock[Self_Qty],T_SelfStock[RM_Code],$A12,T_SelfStock[WeekIndex],94)+SUMIFS(T_TTAFStock[TTAF_Qty],T_TTAFStock[RM_Code],$A12,T_TTAFStock[WeekIndex],94),CP12+'Grid_Incoming'!CQ12-'Grid_Requirement'!CQ12))</f>
        <v/>
      </c>
      <c r="CR12">
        <f>IF(COUNTIFS(T_StockCount[RM_Code],$A12,T_StockCount[WeekIndex],95)&gt;0,SUMIFS(T_StockCount[CountedQty],T_StockCount[RM_Code],$A12,T_StockCount[WeekIndex],95),IF((COUNTIFS(T_SelfStock[RM_Code],$A12,T_SelfStock[WeekIndex],95)&gt;0)*(COUNTIFS(T_TTAFStock[RM_Code],$A12,T_TTAFStock[WeekIndex],95)&gt;0)&gt;0,SUMIFS(T_SelfStock[Self_Qty],T_SelfStock[RM_Code],$A12,T_SelfStock[WeekIndex],95)+SUMIFS(T_TTAFStock[TTAF_Qty],T_TTAFStock[RM_Code],$A12,T_TTAFStock[WeekIndex],95),CQ12+'Grid_Incoming'!CR12-'Grid_Requirement'!CR12))</f>
        <v/>
      </c>
      <c r="CS12">
        <f>IF(COUNTIFS(T_StockCount[RM_Code],$A12,T_StockCount[WeekIndex],96)&gt;0,SUMIFS(T_StockCount[CountedQty],T_StockCount[RM_Code],$A12,T_StockCount[WeekIndex],96),IF((COUNTIFS(T_SelfStock[RM_Code],$A12,T_SelfStock[WeekIndex],96)&gt;0)*(COUNTIFS(T_TTAFStock[RM_Code],$A12,T_TTAFStock[WeekIndex],96)&gt;0)&gt;0,SUMIFS(T_SelfStock[Self_Qty],T_SelfStock[RM_Code],$A12,T_SelfStock[WeekIndex],96)+SUMIFS(T_TTAFStock[TTAF_Qty],T_TTAFStock[RM_Code],$A12,T_TTAFStock[WeekIndex],96),CR12+'Grid_Incoming'!CS12-'Grid_Requirement'!CS12))</f>
        <v/>
      </c>
      <c r="CT12">
        <f>IF(COUNTIFS(T_StockCount[RM_Code],$A12,T_StockCount[WeekIndex],97)&gt;0,SUMIFS(T_StockCount[CountedQty],T_StockCount[RM_Code],$A12,T_StockCount[WeekIndex],97),IF((COUNTIFS(T_SelfStock[RM_Code],$A12,T_SelfStock[WeekIndex],97)&gt;0)*(COUNTIFS(T_TTAFStock[RM_Code],$A12,T_TTAFStock[WeekIndex],97)&gt;0)&gt;0,SUMIFS(T_SelfStock[Self_Qty],T_SelfStock[RM_Code],$A12,T_SelfStock[WeekIndex],97)+SUMIFS(T_TTAFStock[TTAF_Qty],T_TTAFStock[RM_Code],$A12,T_TTAFStock[WeekIndex],97),CS12+'Grid_Incoming'!CT12-'Grid_Requirement'!CT12))</f>
        <v/>
      </c>
      <c r="CU12">
        <f>IF(COUNTIFS(T_StockCount[RM_Code],$A12,T_StockCount[WeekIndex],98)&gt;0,SUMIFS(T_StockCount[CountedQty],T_StockCount[RM_Code],$A12,T_StockCount[WeekIndex],98),IF((COUNTIFS(T_SelfStock[RM_Code],$A12,T_SelfStock[WeekIndex],98)&gt;0)*(COUNTIFS(T_TTAFStock[RM_Code],$A12,T_TTAFStock[WeekIndex],98)&gt;0)&gt;0,SUMIFS(T_SelfStock[Self_Qty],T_SelfStock[RM_Code],$A12,T_SelfStock[WeekIndex],98)+SUMIFS(T_TTAFStock[TTAF_Qty],T_TTAFStock[RM_Code],$A12,T_TTAFStock[WeekIndex],98),CT12+'Grid_Incoming'!CU12-'Grid_Requirement'!CU12))</f>
        <v/>
      </c>
      <c r="CV12">
        <f>IF(COUNTIFS(T_StockCount[RM_Code],$A12,T_StockCount[WeekIndex],99)&gt;0,SUMIFS(T_StockCount[CountedQty],T_StockCount[RM_Code],$A12,T_StockCount[WeekIndex],99),IF((COUNTIFS(T_SelfStock[RM_Code],$A12,T_SelfStock[WeekIndex],99)&gt;0)*(COUNTIFS(T_TTAFStock[RM_Code],$A12,T_TTAFStock[WeekIndex],99)&gt;0)&gt;0,SUMIFS(T_SelfStock[Self_Qty],T_SelfStock[RM_Code],$A12,T_SelfStock[WeekIndex],99)+SUMIFS(T_TTAFStock[TTAF_Qty],T_TTAFStock[RM_Code],$A12,T_TTAFStock[WeekIndex],99),CU12+'Grid_Incoming'!CV12-'Grid_Requirement'!CV12))</f>
        <v/>
      </c>
      <c r="CW12">
        <f>IF(COUNTIFS(T_StockCount[RM_Code],$A12,T_StockCount[WeekIndex],100)&gt;0,SUMIFS(T_StockCount[CountedQty],T_StockCount[RM_Code],$A12,T_StockCount[WeekIndex],100),IF((COUNTIFS(T_SelfStock[RM_Code],$A12,T_SelfStock[WeekIndex],100)&gt;0)*(COUNTIFS(T_TTAFStock[RM_Code],$A12,T_TTAFStock[WeekIndex],100)&gt;0)&gt;0,SUMIFS(T_SelfStock[Self_Qty],T_SelfStock[RM_Code],$A12,T_SelfStock[WeekIndex],100)+SUMIFS(T_TTAFStock[TTAF_Qty],T_TTAFStock[RM_Code],$A12,T_TTAFStock[WeekIndex],100),CV12+'Grid_Incoming'!CW12-'Grid_Requirement'!CW12))</f>
        <v/>
      </c>
      <c r="CX12">
        <f>IF(COUNTIFS(T_StockCount[RM_Code],$A12,T_StockCount[WeekIndex],101)&gt;0,SUMIFS(T_StockCount[CountedQty],T_StockCount[RM_Code],$A12,T_StockCount[WeekIndex],101),IF((COUNTIFS(T_SelfStock[RM_Code],$A12,T_SelfStock[WeekIndex],101)&gt;0)*(COUNTIFS(T_TTAFStock[RM_Code],$A12,T_TTAFStock[WeekIndex],101)&gt;0)&gt;0,SUMIFS(T_SelfStock[Self_Qty],T_SelfStock[RM_Code],$A12,T_SelfStock[WeekIndex],101)+SUMIFS(T_TTAFStock[TTAF_Qty],T_TTAFStock[RM_Code],$A12,T_TTAFStock[WeekIndex],101),CW12+'Grid_Incoming'!CX12-'Grid_Requirement'!CX12))</f>
        <v/>
      </c>
      <c r="CY12">
        <f>IF(COUNTIFS(T_StockCount[RM_Code],$A12,T_StockCount[WeekIndex],102)&gt;0,SUMIFS(T_StockCount[CountedQty],T_StockCount[RM_Code],$A12,T_StockCount[WeekIndex],102),IF((COUNTIFS(T_SelfStock[RM_Code],$A12,T_SelfStock[WeekIndex],102)&gt;0)*(COUNTIFS(T_TTAFStock[RM_Code],$A12,T_TTAFStock[WeekIndex],102)&gt;0)&gt;0,SUMIFS(T_SelfStock[Self_Qty],T_SelfStock[RM_Code],$A12,T_SelfStock[WeekIndex],102)+SUMIFS(T_TTAFStock[TTAF_Qty],T_TTAFStock[RM_Code],$A12,T_TTAFStock[WeekIndex],102),CX12+'Grid_Incoming'!CY12-'Grid_Requirement'!CY12))</f>
        <v/>
      </c>
      <c r="CZ12">
        <f>IF(COUNTIFS(T_StockCount[RM_Code],$A12,T_StockCount[WeekIndex],103)&gt;0,SUMIFS(T_StockCount[CountedQty],T_StockCount[RM_Code],$A12,T_StockCount[WeekIndex],103),IF((COUNTIFS(T_SelfStock[RM_Code],$A12,T_SelfStock[WeekIndex],103)&gt;0)*(COUNTIFS(T_TTAFStock[RM_Code],$A12,T_TTAFStock[WeekIndex],103)&gt;0)&gt;0,SUMIFS(T_SelfStock[Self_Qty],T_SelfStock[RM_Code],$A12,T_SelfStock[WeekIndex],103)+SUMIFS(T_TTAFStock[TTAF_Qty],T_TTAFStock[RM_Code],$A12,T_TTAFStock[WeekIndex],103),CY12+'Grid_Incoming'!CZ12-'Grid_Requirement'!CZ12))</f>
        <v/>
      </c>
      <c r="DA12">
        <f>IF(COUNTIFS(T_StockCount[RM_Code],$A12,T_StockCount[WeekIndex],104)&gt;0,SUMIFS(T_StockCount[CountedQty],T_StockCount[RM_Code],$A12,T_StockCount[WeekIndex],104),IF((COUNTIFS(T_SelfStock[RM_Code],$A12,T_SelfStock[WeekIndex],104)&gt;0)*(COUNTIFS(T_TTAFStock[RM_Code],$A12,T_TTAFStock[WeekIndex],104)&gt;0)&gt;0,SUMIFS(T_SelfStock[Self_Qty],T_SelfStock[RM_Code],$A12,T_SelfStock[WeekIndex],104)+SUMIFS(T_TTAFStock[TTAF_Qty],T_TTAFStock[RM_Code],$A12,T_TTAFStock[WeekIndex],104),CZ12+'Grid_Incoming'!DA12-'Grid_Requirement'!DA12))</f>
        <v/>
      </c>
    </row>
    <row r="13">
      <c r="A13" t="inlineStr">
        <is>
          <t>1EK</t>
        </is>
      </c>
      <c r="B13">
        <f>IF(COUNTIFS(T_StockCount[RM_Code],$A13,T_StockCount[WeekIndex],1)&gt;0,SUMIFS(T_StockCount[CountedQty],T_StockCount[RM_Code],$A13,T_StockCount[WeekIndex],1),IF((COUNTIFS(T_SelfStock[RM_Code],$A13,T_SelfStock[WeekIndex],1)&gt;0)*(COUNTIFS(T_TTAFStock[RM_Code],$A13,T_TTAFStock[WeekIndex],1)&gt;0)&gt;0,SUMIFS(T_SelfStock[Self_Qty],T_SelfStock[RM_Code],$A13,T_SelfStock[WeekIndex],1)+SUMIFS(T_TTAFStock[TTAF_Qty],T_TTAFStock[RM_Code],$A13,T_TTAFStock[WeekIndex],1),IFERROR(INDEX(T_OpeningStock[Opening_Qty],MATCH($A13,T_OpeningStock[RM_Code],0)),0)+'Grid_Incoming'!B13-'Grid_Requirement'!B13))</f>
        <v/>
      </c>
      <c r="C13">
        <f>IF(COUNTIFS(T_StockCount[RM_Code],$A13,T_StockCount[WeekIndex],2)&gt;0,SUMIFS(T_StockCount[CountedQty],T_StockCount[RM_Code],$A13,T_StockCount[WeekIndex],2),IF((COUNTIFS(T_SelfStock[RM_Code],$A13,T_SelfStock[WeekIndex],2)&gt;0)*(COUNTIFS(T_TTAFStock[RM_Code],$A13,T_TTAFStock[WeekIndex],2)&gt;0)&gt;0,SUMIFS(T_SelfStock[Self_Qty],T_SelfStock[RM_Code],$A13,T_SelfStock[WeekIndex],2)+SUMIFS(T_TTAFStock[TTAF_Qty],T_TTAFStock[RM_Code],$A13,T_TTAFStock[WeekIndex],2),B13+'Grid_Incoming'!C13-'Grid_Requirement'!C13))</f>
        <v/>
      </c>
      <c r="D13">
        <f>IF(COUNTIFS(T_StockCount[RM_Code],$A13,T_StockCount[WeekIndex],3)&gt;0,SUMIFS(T_StockCount[CountedQty],T_StockCount[RM_Code],$A13,T_StockCount[WeekIndex],3),IF((COUNTIFS(T_SelfStock[RM_Code],$A13,T_SelfStock[WeekIndex],3)&gt;0)*(COUNTIFS(T_TTAFStock[RM_Code],$A13,T_TTAFStock[WeekIndex],3)&gt;0)&gt;0,SUMIFS(T_SelfStock[Self_Qty],T_SelfStock[RM_Code],$A13,T_SelfStock[WeekIndex],3)+SUMIFS(T_TTAFStock[TTAF_Qty],T_TTAFStock[RM_Code],$A13,T_TTAFStock[WeekIndex],3),C13+'Grid_Incoming'!D13-'Grid_Requirement'!D13))</f>
        <v/>
      </c>
      <c r="E13">
        <f>IF(COUNTIFS(T_StockCount[RM_Code],$A13,T_StockCount[WeekIndex],4)&gt;0,SUMIFS(T_StockCount[CountedQty],T_StockCount[RM_Code],$A13,T_StockCount[WeekIndex],4),IF((COUNTIFS(T_SelfStock[RM_Code],$A13,T_SelfStock[WeekIndex],4)&gt;0)*(COUNTIFS(T_TTAFStock[RM_Code],$A13,T_TTAFStock[WeekIndex],4)&gt;0)&gt;0,SUMIFS(T_SelfStock[Self_Qty],T_SelfStock[RM_Code],$A13,T_SelfStock[WeekIndex],4)+SUMIFS(T_TTAFStock[TTAF_Qty],T_TTAFStock[RM_Code],$A13,T_TTAFStock[WeekIndex],4),D13+'Grid_Incoming'!E13-'Grid_Requirement'!E13))</f>
        <v/>
      </c>
      <c r="F13">
        <f>IF(COUNTIFS(T_StockCount[RM_Code],$A13,T_StockCount[WeekIndex],5)&gt;0,SUMIFS(T_StockCount[CountedQty],T_StockCount[RM_Code],$A13,T_StockCount[WeekIndex],5),IF((COUNTIFS(T_SelfStock[RM_Code],$A13,T_SelfStock[WeekIndex],5)&gt;0)*(COUNTIFS(T_TTAFStock[RM_Code],$A13,T_TTAFStock[WeekIndex],5)&gt;0)&gt;0,SUMIFS(T_SelfStock[Self_Qty],T_SelfStock[RM_Code],$A13,T_SelfStock[WeekIndex],5)+SUMIFS(T_TTAFStock[TTAF_Qty],T_TTAFStock[RM_Code],$A13,T_TTAFStock[WeekIndex],5),E13+'Grid_Incoming'!F13-'Grid_Requirement'!F13))</f>
        <v/>
      </c>
      <c r="G13">
        <f>IF(COUNTIFS(T_StockCount[RM_Code],$A13,T_StockCount[WeekIndex],6)&gt;0,SUMIFS(T_StockCount[CountedQty],T_StockCount[RM_Code],$A13,T_StockCount[WeekIndex],6),IF((COUNTIFS(T_SelfStock[RM_Code],$A13,T_SelfStock[WeekIndex],6)&gt;0)*(COUNTIFS(T_TTAFStock[RM_Code],$A13,T_TTAFStock[WeekIndex],6)&gt;0)&gt;0,SUMIFS(T_SelfStock[Self_Qty],T_SelfStock[RM_Code],$A13,T_SelfStock[WeekIndex],6)+SUMIFS(T_TTAFStock[TTAF_Qty],T_TTAFStock[RM_Code],$A13,T_TTAFStock[WeekIndex],6),F13+'Grid_Incoming'!G13-'Grid_Requirement'!G13))</f>
        <v/>
      </c>
      <c r="H13">
        <f>IF(COUNTIFS(T_StockCount[RM_Code],$A13,T_StockCount[WeekIndex],7)&gt;0,SUMIFS(T_StockCount[CountedQty],T_StockCount[RM_Code],$A13,T_StockCount[WeekIndex],7),IF((COUNTIFS(T_SelfStock[RM_Code],$A13,T_SelfStock[WeekIndex],7)&gt;0)*(COUNTIFS(T_TTAFStock[RM_Code],$A13,T_TTAFStock[WeekIndex],7)&gt;0)&gt;0,SUMIFS(T_SelfStock[Self_Qty],T_SelfStock[RM_Code],$A13,T_SelfStock[WeekIndex],7)+SUMIFS(T_TTAFStock[TTAF_Qty],T_TTAFStock[RM_Code],$A13,T_TTAFStock[WeekIndex],7),G13+'Grid_Incoming'!H13-'Grid_Requirement'!H13))</f>
        <v/>
      </c>
      <c r="I13">
        <f>IF(COUNTIFS(T_StockCount[RM_Code],$A13,T_StockCount[WeekIndex],8)&gt;0,SUMIFS(T_StockCount[CountedQty],T_StockCount[RM_Code],$A13,T_StockCount[WeekIndex],8),IF((COUNTIFS(T_SelfStock[RM_Code],$A13,T_SelfStock[WeekIndex],8)&gt;0)*(COUNTIFS(T_TTAFStock[RM_Code],$A13,T_TTAFStock[WeekIndex],8)&gt;0)&gt;0,SUMIFS(T_SelfStock[Self_Qty],T_SelfStock[RM_Code],$A13,T_SelfStock[WeekIndex],8)+SUMIFS(T_TTAFStock[TTAF_Qty],T_TTAFStock[RM_Code],$A13,T_TTAFStock[WeekIndex],8),H13+'Grid_Incoming'!I13-'Grid_Requirement'!I13))</f>
        <v/>
      </c>
      <c r="J13">
        <f>IF(COUNTIFS(T_StockCount[RM_Code],$A13,T_StockCount[WeekIndex],9)&gt;0,SUMIFS(T_StockCount[CountedQty],T_StockCount[RM_Code],$A13,T_StockCount[WeekIndex],9),IF((COUNTIFS(T_SelfStock[RM_Code],$A13,T_SelfStock[WeekIndex],9)&gt;0)*(COUNTIFS(T_TTAFStock[RM_Code],$A13,T_TTAFStock[WeekIndex],9)&gt;0)&gt;0,SUMIFS(T_SelfStock[Self_Qty],T_SelfStock[RM_Code],$A13,T_SelfStock[WeekIndex],9)+SUMIFS(T_TTAFStock[TTAF_Qty],T_TTAFStock[RM_Code],$A13,T_TTAFStock[WeekIndex],9),I13+'Grid_Incoming'!J13-'Grid_Requirement'!J13))</f>
        <v/>
      </c>
      <c r="K13">
        <f>IF(COUNTIFS(T_StockCount[RM_Code],$A13,T_StockCount[WeekIndex],10)&gt;0,SUMIFS(T_StockCount[CountedQty],T_StockCount[RM_Code],$A13,T_StockCount[WeekIndex],10),IF((COUNTIFS(T_SelfStock[RM_Code],$A13,T_SelfStock[WeekIndex],10)&gt;0)*(COUNTIFS(T_TTAFStock[RM_Code],$A13,T_TTAFStock[WeekIndex],10)&gt;0)&gt;0,SUMIFS(T_SelfStock[Self_Qty],T_SelfStock[RM_Code],$A13,T_SelfStock[WeekIndex],10)+SUMIFS(T_TTAFStock[TTAF_Qty],T_TTAFStock[RM_Code],$A13,T_TTAFStock[WeekIndex],10),J13+'Grid_Incoming'!K13-'Grid_Requirement'!K13))</f>
        <v/>
      </c>
      <c r="L13">
        <f>IF(COUNTIFS(T_StockCount[RM_Code],$A13,T_StockCount[WeekIndex],11)&gt;0,SUMIFS(T_StockCount[CountedQty],T_StockCount[RM_Code],$A13,T_StockCount[WeekIndex],11),IF((COUNTIFS(T_SelfStock[RM_Code],$A13,T_SelfStock[WeekIndex],11)&gt;0)*(COUNTIFS(T_TTAFStock[RM_Code],$A13,T_TTAFStock[WeekIndex],11)&gt;0)&gt;0,SUMIFS(T_SelfStock[Self_Qty],T_SelfStock[RM_Code],$A13,T_SelfStock[WeekIndex],11)+SUMIFS(T_TTAFStock[TTAF_Qty],T_TTAFStock[RM_Code],$A13,T_TTAFStock[WeekIndex],11),K13+'Grid_Incoming'!L13-'Grid_Requirement'!L13))</f>
        <v/>
      </c>
      <c r="M13">
        <f>IF(COUNTIFS(T_StockCount[RM_Code],$A13,T_StockCount[WeekIndex],12)&gt;0,SUMIFS(T_StockCount[CountedQty],T_StockCount[RM_Code],$A13,T_StockCount[WeekIndex],12),IF((COUNTIFS(T_SelfStock[RM_Code],$A13,T_SelfStock[WeekIndex],12)&gt;0)*(COUNTIFS(T_TTAFStock[RM_Code],$A13,T_TTAFStock[WeekIndex],12)&gt;0)&gt;0,SUMIFS(T_SelfStock[Self_Qty],T_SelfStock[RM_Code],$A13,T_SelfStock[WeekIndex],12)+SUMIFS(T_TTAFStock[TTAF_Qty],T_TTAFStock[RM_Code],$A13,T_TTAFStock[WeekIndex],12),L13+'Grid_Incoming'!M13-'Grid_Requirement'!M13))</f>
        <v/>
      </c>
      <c r="N13">
        <f>IF(COUNTIFS(T_StockCount[RM_Code],$A13,T_StockCount[WeekIndex],13)&gt;0,SUMIFS(T_StockCount[CountedQty],T_StockCount[RM_Code],$A13,T_StockCount[WeekIndex],13),IF((COUNTIFS(T_SelfStock[RM_Code],$A13,T_SelfStock[WeekIndex],13)&gt;0)*(COUNTIFS(T_TTAFStock[RM_Code],$A13,T_TTAFStock[WeekIndex],13)&gt;0)&gt;0,SUMIFS(T_SelfStock[Self_Qty],T_SelfStock[RM_Code],$A13,T_SelfStock[WeekIndex],13)+SUMIFS(T_TTAFStock[TTAF_Qty],T_TTAFStock[RM_Code],$A13,T_TTAFStock[WeekIndex],13),M13+'Grid_Incoming'!N13-'Grid_Requirement'!N13))</f>
        <v/>
      </c>
      <c r="O13">
        <f>IF(COUNTIFS(T_StockCount[RM_Code],$A13,T_StockCount[WeekIndex],14)&gt;0,SUMIFS(T_StockCount[CountedQty],T_StockCount[RM_Code],$A13,T_StockCount[WeekIndex],14),IF((COUNTIFS(T_SelfStock[RM_Code],$A13,T_SelfStock[WeekIndex],14)&gt;0)*(COUNTIFS(T_TTAFStock[RM_Code],$A13,T_TTAFStock[WeekIndex],14)&gt;0)&gt;0,SUMIFS(T_SelfStock[Self_Qty],T_SelfStock[RM_Code],$A13,T_SelfStock[WeekIndex],14)+SUMIFS(T_TTAFStock[TTAF_Qty],T_TTAFStock[RM_Code],$A13,T_TTAFStock[WeekIndex],14),N13+'Grid_Incoming'!O13-'Grid_Requirement'!O13))</f>
        <v/>
      </c>
      <c r="P13">
        <f>IF(COUNTIFS(T_StockCount[RM_Code],$A13,T_StockCount[WeekIndex],15)&gt;0,SUMIFS(T_StockCount[CountedQty],T_StockCount[RM_Code],$A13,T_StockCount[WeekIndex],15),IF((COUNTIFS(T_SelfStock[RM_Code],$A13,T_SelfStock[WeekIndex],15)&gt;0)*(COUNTIFS(T_TTAFStock[RM_Code],$A13,T_TTAFStock[WeekIndex],15)&gt;0)&gt;0,SUMIFS(T_SelfStock[Self_Qty],T_SelfStock[RM_Code],$A13,T_SelfStock[WeekIndex],15)+SUMIFS(T_TTAFStock[TTAF_Qty],T_TTAFStock[RM_Code],$A13,T_TTAFStock[WeekIndex],15),O13+'Grid_Incoming'!P13-'Grid_Requirement'!P13))</f>
        <v/>
      </c>
      <c r="Q13">
        <f>IF(COUNTIFS(T_StockCount[RM_Code],$A13,T_StockCount[WeekIndex],16)&gt;0,SUMIFS(T_StockCount[CountedQty],T_StockCount[RM_Code],$A13,T_StockCount[WeekIndex],16),IF((COUNTIFS(T_SelfStock[RM_Code],$A13,T_SelfStock[WeekIndex],16)&gt;0)*(COUNTIFS(T_TTAFStock[RM_Code],$A13,T_TTAFStock[WeekIndex],16)&gt;0)&gt;0,SUMIFS(T_SelfStock[Self_Qty],T_SelfStock[RM_Code],$A13,T_SelfStock[WeekIndex],16)+SUMIFS(T_TTAFStock[TTAF_Qty],T_TTAFStock[RM_Code],$A13,T_TTAFStock[WeekIndex],16),P13+'Grid_Incoming'!Q13-'Grid_Requirement'!Q13))</f>
        <v/>
      </c>
      <c r="R13">
        <f>IF(COUNTIFS(T_StockCount[RM_Code],$A13,T_StockCount[WeekIndex],17)&gt;0,SUMIFS(T_StockCount[CountedQty],T_StockCount[RM_Code],$A13,T_StockCount[WeekIndex],17),IF((COUNTIFS(T_SelfStock[RM_Code],$A13,T_SelfStock[WeekIndex],17)&gt;0)*(COUNTIFS(T_TTAFStock[RM_Code],$A13,T_TTAFStock[WeekIndex],17)&gt;0)&gt;0,SUMIFS(T_SelfStock[Self_Qty],T_SelfStock[RM_Code],$A13,T_SelfStock[WeekIndex],17)+SUMIFS(T_TTAFStock[TTAF_Qty],T_TTAFStock[RM_Code],$A13,T_TTAFStock[WeekIndex],17),Q13+'Grid_Incoming'!R13-'Grid_Requirement'!R13))</f>
        <v/>
      </c>
      <c r="S13">
        <f>IF(COUNTIFS(T_StockCount[RM_Code],$A13,T_StockCount[WeekIndex],18)&gt;0,SUMIFS(T_StockCount[CountedQty],T_StockCount[RM_Code],$A13,T_StockCount[WeekIndex],18),IF((COUNTIFS(T_SelfStock[RM_Code],$A13,T_SelfStock[WeekIndex],18)&gt;0)*(COUNTIFS(T_TTAFStock[RM_Code],$A13,T_TTAFStock[WeekIndex],18)&gt;0)&gt;0,SUMIFS(T_SelfStock[Self_Qty],T_SelfStock[RM_Code],$A13,T_SelfStock[WeekIndex],18)+SUMIFS(T_TTAFStock[TTAF_Qty],T_TTAFStock[RM_Code],$A13,T_TTAFStock[WeekIndex],18),R13+'Grid_Incoming'!S13-'Grid_Requirement'!S13))</f>
        <v/>
      </c>
      <c r="T13">
        <f>IF(COUNTIFS(T_StockCount[RM_Code],$A13,T_StockCount[WeekIndex],19)&gt;0,SUMIFS(T_StockCount[CountedQty],T_StockCount[RM_Code],$A13,T_StockCount[WeekIndex],19),IF((COUNTIFS(T_SelfStock[RM_Code],$A13,T_SelfStock[WeekIndex],19)&gt;0)*(COUNTIFS(T_TTAFStock[RM_Code],$A13,T_TTAFStock[WeekIndex],19)&gt;0)&gt;0,SUMIFS(T_SelfStock[Self_Qty],T_SelfStock[RM_Code],$A13,T_SelfStock[WeekIndex],19)+SUMIFS(T_TTAFStock[TTAF_Qty],T_TTAFStock[RM_Code],$A13,T_TTAFStock[WeekIndex],19),S13+'Grid_Incoming'!T13-'Grid_Requirement'!T13))</f>
        <v/>
      </c>
      <c r="U13">
        <f>IF(COUNTIFS(T_StockCount[RM_Code],$A13,T_StockCount[WeekIndex],20)&gt;0,SUMIFS(T_StockCount[CountedQty],T_StockCount[RM_Code],$A13,T_StockCount[WeekIndex],20),IF((COUNTIFS(T_SelfStock[RM_Code],$A13,T_SelfStock[WeekIndex],20)&gt;0)*(COUNTIFS(T_TTAFStock[RM_Code],$A13,T_TTAFStock[WeekIndex],20)&gt;0)&gt;0,SUMIFS(T_SelfStock[Self_Qty],T_SelfStock[RM_Code],$A13,T_SelfStock[WeekIndex],20)+SUMIFS(T_TTAFStock[TTAF_Qty],T_TTAFStock[RM_Code],$A13,T_TTAFStock[WeekIndex],20),T13+'Grid_Incoming'!U13-'Grid_Requirement'!U13))</f>
        <v/>
      </c>
      <c r="V13">
        <f>IF(COUNTIFS(T_StockCount[RM_Code],$A13,T_StockCount[WeekIndex],21)&gt;0,SUMIFS(T_StockCount[CountedQty],T_StockCount[RM_Code],$A13,T_StockCount[WeekIndex],21),IF((COUNTIFS(T_SelfStock[RM_Code],$A13,T_SelfStock[WeekIndex],21)&gt;0)*(COUNTIFS(T_TTAFStock[RM_Code],$A13,T_TTAFStock[WeekIndex],21)&gt;0)&gt;0,SUMIFS(T_SelfStock[Self_Qty],T_SelfStock[RM_Code],$A13,T_SelfStock[WeekIndex],21)+SUMIFS(T_TTAFStock[TTAF_Qty],T_TTAFStock[RM_Code],$A13,T_TTAFStock[WeekIndex],21),U13+'Grid_Incoming'!V13-'Grid_Requirement'!V13))</f>
        <v/>
      </c>
      <c r="W13">
        <f>IF(COUNTIFS(T_StockCount[RM_Code],$A13,T_StockCount[WeekIndex],22)&gt;0,SUMIFS(T_StockCount[CountedQty],T_StockCount[RM_Code],$A13,T_StockCount[WeekIndex],22),IF((COUNTIFS(T_SelfStock[RM_Code],$A13,T_SelfStock[WeekIndex],22)&gt;0)*(COUNTIFS(T_TTAFStock[RM_Code],$A13,T_TTAFStock[WeekIndex],22)&gt;0)&gt;0,SUMIFS(T_SelfStock[Self_Qty],T_SelfStock[RM_Code],$A13,T_SelfStock[WeekIndex],22)+SUMIFS(T_TTAFStock[TTAF_Qty],T_TTAFStock[RM_Code],$A13,T_TTAFStock[WeekIndex],22),V13+'Grid_Incoming'!W13-'Grid_Requirement'!W13))</f>
        <v/>
      </c>
      <c r="X13">
        <f>IF(COUNTIFS(T_StockCount[RM_Code],$A13,T_StockCount[WeekIndex],23)&gt;0,SUMIFS(T_StockCount[CountedQty],T_StockCount[RM_Code],$A13,T_StockCount[WeekIndex],23),IF((COUNTIFS(T_SelfStock[RM_Code],$A13,T_SelfStock[WeekIndex],23)&gt;0)*(COUNTIFS(T_TTAFStock[RM_Code],$A13,T_TTAFStock[WeekIndex],23)&gt;0)&gt;0,SUMIFS(T_SelfStock[Self_Qty],T_SelfStock[RM_Code],$A13,T_SelfStock[WeekIndex],23)+SUMIFS(T_TTAFStock[TTAF_Qty],T_TTAFStock[RM_Code],$A13,T_TTAFStock[WeekIndex],23),W13+'Grid_Incoming'!X13-'Grid_Requirement'!X13))</f>
        <v/>
      </c>
      <c r="Y13">
        <f>IF(COUNTIFS(T_StockCount[RM_Code],$A13,T_StockCount[WeekIndex],24)&gt;0,SUMIFS(T_StockCount[CountedQty],T_StockCount[RM_Code],$A13,T_StockCount[WeekIndex],24),IF((COUNTIFS(T_SelfStock[RM_Code],$A13,T_SelfStock[WeekIndex],24)&gt;0)*(COUNTIFS(T_TTAFStock[RM_Code],$A13,T_TTAFStock[WeekIndex],24)&gt;0)&gt;0,SUMIFS(T_SelfStock[Self_Qty],T_SelfStock[RM_Code],$A13,T_SelfStock[WeekIndex],24)+SUMIFS(T_TTAFStock[TTAF_Qty],T_TTAFStock[RM_Code],$A13,T_TTAFStock[WeekIndex],24),X13+'Grid_Incoming'!Y13-'Grid_Requirement'!Y13))</f>
        <v/>
      </c>
      <c r="Z13">
        <f>IF(COUNTIFS(T_StockCount[RM_Code],$A13,T_StockCount[WeekIndex],25)&gt;0,SUMIFS(T_StockCount[CountedQty],T_StockCount[RM_Code],$A13,T_StockCount[WeekIndex],25),IF((COUNTIFS(T_SelfStock[RM_Code],$A13,T_SelfStock[WeekIndex],25)&gt;0)*(COUNTIFS(T_TTAFStock[RM_Code],$A13,T_TTAFStock[WeekIndex],25)&gt;0)&gt;0,SUMIFS(T_SelfStock[Self_Qty],T_SelfStock[RM_Code],$A13,T_SelfStock[WeekIndex],25)+SUMIFS(T_TTAFStock[TTAF_Qty],T_TTAFStock[RM_Code],$A13,T_TTAFStock[WeekIndex],25),Y13+'Grid_Incoming'!Z13-'Grid_Requirement'!Z13))</f>
        <v/>
      </c>
      <c r="AA13">
        <f>IF(COUNTIFS(T_StockCount[RM_Code],$A13,T_StockCount[WeekIndex],26)&gt;0,SUMIFS(T_StockCount[CountedQty],T_StockCount[RM_Code],$A13,T_StockCount[WeekIndex],26),IF((COUNTIFS(T_SelfStock[RM_Code],$A13,T_SelfStock[WeekIndex],26)&gt;0)*(COUNTIFS(T_TTAFStock[RM_Code],$A13,T_TTAFStock[WeekIndex],26)&gt;0)&gt;0,SUMIFS(T_SelfStock[Self_Qty],T_SelfStock[RM_Code],$A13,T_SelfStock[WeekIndex],26)+SUMIFS(T_TTAFStock[TTAF_Qty],T_TTAFStock[RM_Code],$A13,T_TTAFStock[WeekIndex],26),Z13+'Grid_Incoming'!AA13-'Grid_Requirement'!AA13))</f>
        <v/>
      </c>
      <c r="AB13">
        <f>IF(COUNTIFS(T_StockCount[RM_Code],$A13,T_StockCount[WeekIndex],27)&gt;0,SUMIFS(T_StockCount[CountedQty],T_StockCount[RM_Code],$A13,T_StockCount[WeekIndex],27),IF((COUNTIFS(T_SelfStock[RM_Code],$A13,T_SelfStock[WeekIndex],27)&gt;0)*(COUNTIFS(T_TTAFStock[RM_Code],$A13,T_TTAFStock[WeekIndex],27)&gt;0)&gt;0,SUMIFS(T_SelfStock[Self_Qty],T_SelfStock[RM_Code],$A13,T_SelfStock[WeekIndex],27)+SUMIFS(T_TTAFStock[TTAF_Qty],T_TTAFStock[RM_Code],$A13,T_TTAFStock[WeekIndex],27),AA13+'Grid_Incoming'!AB13-'Grid_Requirement'!AB13))</f>
        <v/>
      </c>
      <c r="AC13">
        <f>IF(COUNTIFS(T_StockCount[RM_Code],$A13,T_StockCount[WeekIndex],28)&gt;0,SUMIFS(T_StockCount[CountedQty],T_StockCount[RM_Code],$A13,T_StockCount[WeekIndex],28),IF((COUNTIFS(T_SelfStock[RM_Code],$A13,T_SelfStock[WeekIndex],28)&gt;0)*(COUNTIFS(T_TTAFStock[RM_Code],$A13,T_TTAFStock[WeekIndex],28)&gt;0)&gt;0,SUMIFS(T_SelfStock[Self_Qty],T_SelfStock[RM_Code],$A13,T_SelfStock[WeekIndex],28)+SUMIFS(T_TTAFStock[TTAF_Qty],T_TTAFStock[RM_Code],$A13,T_TTAFStock[WeekIndex],28),AB13+'Grid_Incoming'!AC13-'Grid_Requirement'!AC13))</f>
        <v/>
      </c>
      <c r="AD13">
        <f>IF(COUNTIFS(T_StockCount[RM_Code],$A13,T_StockCount[WeekIndex],29)&gt;0,SUMIFS(T_StockCount[CountedQty],T_StockCount[RM_Code],$A13,T_StockCount[WeekIndex],29),IF((COUNTIFS(T_SelfStock[RM_Code],$A13,T_SelfStock[WeekIndex],29)&gt;0)*(COUNTIFS(T_TTAFStock[RM_Code],$A13,T_TTAFStock[WeekIndex],29)&gt;0)&gt;0,SUMIFS(T_SelfStock[Self_Qty],T_SelfStock[RM_Code],$A13,T_SelfStock[WeekIndex],29)+SUMIFS(T_TTAFStock[TTAF_Qty],T_TTAFStock[RM_Code],$A13,T_TTAFStock[WeekIndex],29),AC13+'Grid_Incoming'!AD13-'Grid_Requirement'!AD13))</f>
        <v/>
      </c>
      <c r="AE13">
        <f>IF(COUNTIFS(T_StockCount[RM_Code],$A13,T_StockCount[WeekIndex],30)&gt;0,SUMIFS(T_StockCount[CountedQty],T_StockCount[RM_Code],$A13,T_StockCount[WeekIndex],30),IF((COUNTIFS(T_SelfStock[RM_Code],$A13,T_SelfStock[WeekIndex],30)&gt;0)*(COUNTIFS(T_TTAFStock[RM_Code],$A13,T_TTAFStock[WeekIndex],30)&gt;0)&gt;0,SUMIFS(T_SelfStock[Self_Qty],T_SelfStock[RM_Code],$A13,T_SelfStock[WeekIndex],30)+SUMIFS(T_TTAFStock[TTAF_Qty],T_TTAFStock[RM_Code],$A13,T_TTAFStock[WeekIndex],30),AD13+'Grid_Incoming'!AE13-'Grid_Requirement'!AE13))</f>
        <v/>
      </c>
      <c r="AF13">
        <f>IF(COUNTIFS(T_StockCount[RM_Code],$A13,T_StockCount[WeekIndex],31)&gt;0,SUMIFS(T_StockCount[CountedQty],T_StockCount[RM_Code],$A13,T_StockCount[WeekIndex],31),IF((COUNTIFS(T_SelfStock[RM_Code],$A13,T_SelfStock[WeekIndex],31)&gt;0)*(COUNTIFS(T_TTAFStock[RM_Code],$A13,T_TTAFStock[WeekIndex],31)&gt;0)&gt;0,SUMIFS(T_SelfStock[Self_Qty],T_SelfStock[RM_Code],$A13,T_SelfStock[WeekIndex],31)+SUMIFS(T_TTAFStock[TTAF_Qty],T_TTAFStock[RM_Code],$A13,T_TTAFStock[WeekIndex],31),AE13+'Grid_Incoming'!AF13-'Grid_Requirement'!AF13))</f>
        <v/>
      </c>
      <c r="AG13">
        <f>IF(COUNTIFS(T_StockCount[RM_Code],$A13,T_StockCount[WeekIndex],32)&gt;0,SUMIFS(T_StockCount[CountedQty],T_StockCount[RM_Code],$A13,T_StockCount[WeekIndex],32),IF((COUNTIFS(T_SelfStock[RM_Code],$A13,T_SelfStock[WeekIndex],32)&gt;0)*(COUNTIFS(T_TTAFStock[RM_Code],$A13,T_TTAFStock[WeekIndex],32)&gt;0)&gt;0,SUMIFS(T_SelfStock[Self_Qty],T_SelfStock[RM_Code],$A13,T_SelfStock[WeekIndex],32)+SUMIFS(T_TTAFStock[TTAF_Qty],T_TTAFStock[RM_Code],$A13,T_TTAFStock[WeekIndex],32),AF13+'Grid_Incoming'!AG13-'Grid_Requirement'!AG13))</f>
        <v/>
      </c>
      <c r="AH13">
        <f>IF(COUNTIFS(T_StockCount[RM_Code],$A13,T_StockCount[WeekIndex],33)&gt;0,SUMIFS(T_StockCount[CountedQty],T_StockCount[RM_Code],$A13,T_StockCount[WeekIndex],33),IF((COUNTIFS(T_SelfStock[RM_Code],$A13,T_SelfStock[WeekIndex],33)&gt;0)*(COUNTIFS(T_TTAFStock[RM_Code],$A13,T_TTAFStock[WeekIndex],33)&gt;0)&gt;0,SUMIFS(T_SelfStock[Self_Qty],T_SelfStock[RM_Code],$A13,T_SelfStock[WeekIndex],33)+SUMIFS(T_TTAFStock[TTAF_Qty],T_TTAFStock[RM_Code],$A13,T_TTAFStock[WeekIndex],33),AG13+'Grid_Incoming'!AH13-'Grid_Requirement'!AH13))</f>
        <v/>
      </c>
      <c r="AI13">
        <f>IF(COUNTIFS(T_StockCount[RM_Code],$A13,T_StockCount[WeekIndex],34)&gt;0,SUMIFS(T_StockCount[CountedQty],T_StockCount[RM_Code],$A13,T_StockCount[WeekIndex],34),IF((COUNTIFS(T_SelfStock[RM_Code],$A13,T_SelfStock[WeekIndex],34)&gt;0)*(COUNTIFS(T_TTAFStock[RM_Code],$A13,T_TTAFStock[WeekIndex],34)&gt;0)&gt;0,SUMIFS(T_SelfStock[Self_Qty],T_SelfStock[RM_Code],$A13,T_SelfStock[WeekIndex],34)+SUMIFS(T_TTAFStock[TTAF_Qty],T_TTAFStock[RM_Code],$A13,T_TTAFStock[WeekIndex],34),AH13+'Grid_Incoming'!AI13-'Grid_Requirement'!AI13))</f>
        <v/>
      </c>
      <c r="AJ13">
        <f>IF(COUNTIFS(T_StockCount[RM_Code],$A13,T_StockCount[WeekIndex],35)&gt;0,SUMIFS(T_StockCount[CountedQty],T_StockCount[RM_Code],$A13,T_StockCount[WeekIndex],35),IF((COUNTIFS(T_SelfStock[RM_Code],$A13,T_SelfStock[WeekIndex],35)&gt;0)*(COUNTIFS(T_TTAFStock[RM_Code],$A13,T_TTAFStock[WeekIndex],35)&gt;0)&gt;0,SUMIFS(T_SelfStock[Self_Qty],T_SelfStock[RM_Code],$A13,T_SelfStock[WeekIndex],35)+SUMIFS(T_TTAFStock[TTAF_Qty],T_TTAFStock[RM_Code],$A13,T_TTAFStock[WeekIndex],35),AI13+'Grid_Incoming'!AJ13-'Grid_Requirement'!AJ13))</f>
        <v/>
      </c>
      <c r="AK13">
        <f>IF(COUNTIFS(T_StockCount[RM_Code],$A13,T_StockCount[WeekIndex],36)&gt;0,SUMIFS(T_StockCount[CountedQty],T_StockCount[RM_Code],$A13,T_StockCount[WeekIndex],36),IF((COUNTIFS(T_SelfStock[RM_Code],$A13,T_SelfStock[WeekIndex],36)&gt;0)*(COUNTIFS(T_TTAFStock[RM_Code],$A13,T_TTAFStock[WeekIndex],36)&gt;0)&gt;0,SUMIFS(T_SelfStock[Self_Qty],T_SelfStock[RM_Code],$A13,T_SelfStock[WeekIndex],36)+SUMIFS(T_TTAFStock[TTAF_Qty],T_TTAFStock[RM_Code],$A13,T_TTAFStock[WeekIndex],36),AJ13+'Grid_Incoming'!AK13-'Grid_Requirement'!AK13))</f>
        <v/>
      </c>
      <c r="AL13">
        <f>IF(COUNTIFS(T_StockCount[RM_Code],$A13,T_StockCount[WeekIndex],37)&gt;0,SUMIFS(T_StockCount[CountedQty],T_StockCount[RM_Code],$A13,T_StockCount[WeekIndex],37),IF((COUNTIFS(T_SelfStock[RM_Code],$A13,T_SelfStock[WeekIndex],37)&gt;0)*(COUNTIFS(T_TTAFStock[RM_Code],$A13,T_TTAFStock[WeekIndex],37)&gt;0)&gt;0,SUMIFS(T_SelfStock[Self_Qty],T_SelfStock[RM_Code],$A13,T_SelfStock[WeekIndex],37)+SUMIFS(T_TTAFStock[TTAF_Qty],T_TTAFStock[RM_Code],$A13,T_TTAFStock[WeekIndex],37),AK13+'Grid_Incoming'!AL13-'Grid_Requirement'!AL13))</f>
        <v/>
      </c>
      <c r="AM13">
        <f>IF(COUNTIFS(T_StockCount[RM_Code],$A13,T_StockCount[WeekIndex],38)&gt;0,SUMIFS(T_StockCount[CountedQty],T_StockCount[RM_Code],$A13,T_StockCount[WeekIndex],38),IF((COUNTIFS(T_SelfStock[RM_Code],$A13,T_SelfStock[WeekIndex],38)&gt;0)*(COUNTIFS(T_TTAFStock[RM_Code],$A13,T_TTAFStock[WeekIndex],38)&gt;0)&gt;0,SUMIFS(T_SelfStock[Self_Qty],T_SelfStock[RM_Code],$A13,T_SelfStock[WeekIndex],38)+SUMIFS(T_TTAFStock[TTAF_Qty],T_TTAFStock[RM_Code],$A13,T_TTAFStock[WeekIndex],38),AL13+'Grid_Incoming'!AM13-'Grid_Requirement'!AM13))</f>
        <v/>
      </c>
      <c r="AN13">
        <f>IF(COUNTIFS(T_StockCount[RM_Code],$A13,T_StockCount[WeekIndex],39)&gt;0,SUMIFS(T_StockCount[CountedQty],T_StockCount[RM_Code],$A13,T_StockCount[WeekIndex],39),IF((COUNTIFS(T_SelfStock[RM_Code],$A13,T_SelfStock[WeekIndex],39)&gt;0)*(COUNTIFS(T_TTAFStock[RM_Code],$A13,T_TTAFStock[WeekIndex],39)&gt;0)&gt;0,SUMIFS(T_SelfStock[Self_Qty],T_SelfStock[RM_Code],$A13,T_SelfStock[WeekIndex],39)+SUMIFS(T_TTAFStock[TTAF_Qty],T_TTAFStock[RM_Code],$A13,T_TTAFStock[WeekIndex],39),AM13+'Grid_Incoming'!AN13-'Grid_Requirement'!AN13))</f>
        <v/>
      </c>
      <c r="AO13">
        <f>IF(COUNTIFS(T_StockCount[RM_Code],$A13,T_StockCount[WeekIndex],40)&gt;0,SUMIFS(T_StockCount[CountedQty],T_StockCount[RM_Code],$A13,T_StockCount[WeekIndex],40),IF((COUNTIFS(T_SelfStock[RM_Code],$A13,T_SelfStock[WeekIndex],40)&gt;0)*(COUNTIFS(T_TTAFStock[RM_Code],$A13,T_TTAFStock[WeekIndex],40)&gt;0)&gt;0,SUMIFS(T_SelfStock[Self_Qty],T_SelfStock[RM_Code],$A13,T_SelfStock[WeekIndex],40)+SUMIFS(T_TTAFStock[TTAF_Qty],T_TTAFStock[RM_Code],$A13,T_TTAFStock[WeekIndex],40),AN13+'Grid_Incoming'!AO13-'Grid_Requirement'!AO13))</f>
        <v/>
      </c>
      <c r="AP13">
        <f>IF(COUNTIFS(T_StockCount[RM_Code],$A13,T_StockCount[WeekIndex],41)&gt;0,SUMIFS(T_StockCount[CountedQty],T_StockCount[RM_Code],$A13,T_StockCount[WeekIndex],41),IF((COUNTIFS(T_SelfStock[RM_Code],$A13,T_SelfStock[WeekIndex],41)&gt;0)*(COUNTIFS(T_TTAFStock[RM_Code],$A13,T_TTAFStock[WeekIndex],41)&gt;0)&gt;0,SUMIFS(T_SelfStock[Self_Qty],T_SelfStock[RM_Code],$A13,T_SelfStock[WeekIndex],41)+SUMIFS(T_TTAFStock[TTAF_Qty],T_TTAFStock[RM_Code],$A13,T_TTAFStock[WeekIndex],41),AO13+'Grid_Incoming'!AP13-'Grid_Requirement'!AP13))</f>
        <v/>
      </c>
      <c r="AQ13">
        <f>IF(COUNTIFS(T_StockCount[RM_Code],$A13,T_StockCount[WeekIndex],42)&gt;0,SUMIFS(T_StockCount[CountedQty],T_StockCount[RM_Code],$A13,T_StockCount[WeekIndex],42),IF((COUNTIFS(T_SelfStock[RM_Code],$A13,T_SelfStock[WeekIndex],42)&gt;0)*(COUNTIFS(T_TTAFStock[RM_Code],$A13,T_TTAFStock[WeekIndex],42)&gt;0)&gt;0,SUMIFS(T_SelfStock[Self_Qty],T_SelfStock[RM_Code],$A13,T_SelfStock[WeekIndex],42)+SUMIFS(T_TTAFStock[TTAF_Qty],T_TTAFStock[RM_Code],$A13,T_TTAFStock[WeekIndex],42),AP13+'Grid_Incoming'!AQ13-'Grid_Requirement'!AQ13))</f>
        <v/>
      </c>
      <c r="AR13">
        <f>IF(COUNTIFS(T_StockCount[RM_Code],$A13,T_StockCount[WeekIndex],43)&gt;0,SUMIFS(T_StockCount[CountedQty],T_StockCount[RM_Code],$A13,T_StockCount[WeekIndex],43),IF((COUNTIFS(T_SelfStock[RM_Code],$A13,T_SelfStock[WeekIndex],43)&gt;0)*(COUNTIFS(T_TTAFStock[RM_Code],$A13,T_TTAFStock[WeekIndex],43)&gt;0)&gt;0,SUMIFS(T_SelfStock[Self_Qty],T_SelfStock[RM_Code],$A13,T_SelfStock[WeekIndex],43)+SUMIFS(T_TTAFStock[TTAF_Qty],T_TTAFStock[RM_Code],$A13,T_TTAFStock[WeekIndex],43),AQ13+'Grid_Incoming'!AR13-'Grid_Requirement'!AR13))</f>
        <v/>
      </c>
      <c r="AS13">
        <f>IF(COUNTIFS(T_StockCount[RM_Code],$A13,T_StockCount[WeekIndex],44)&gt;0,SUMIFS(T_StockCount[CountedQty],T_StockCount[RM_Code],$A13,T_StockCount[WeekIndex],44),IF((COUNTIFS(T_SelfStock[RM_Code],$A13,T_SelfStock[WeekIndex],44)&gt;0)*(COUNTIFS(T_TTAFStock[RM_Code],$A13,T_TTAFStock[WeekIndex],44)&gt;0)&gt;0,SUMIFS(T_SelfStock[Self_Qty],T_SelfStock[RM_Code],$A13,T_SelfStock[WeekIndex],44)+SUMIFS(T_TTAFStock[TTAF_Qty],T_TTAFStock[RM_Code],$A13,T_TTAFStock[WeekIndex],44),AR13+'Grid_Incoming'!AS13-'Grid_Requirement'!AS13))</f>
        <v/>
      </c>
      <c r="AT13">
        <f>IF(COUNTIFS(T_StockCount[RM_Code],$A13,T_StockCount[WeekIndex],45)&gt;0,SUMIFS(T_StockCount[CountedQty],T_StockCount[RM_Code],$A13,T_StockCount[WeekIndex],45),IF((COUNTIFS(T_SelfStock[RM_Code],$A13,T_SelfStock[WeekIndex],45)&gt;0)*(COUNTIFS(T_TTAFStock[RM_Code],$A13,T_TTAFStock[WeekIndex],45)&gt;0)&gt;0,SUMIFS(T_SelfStock[Self_Qty],T_SelfStock[RM_Code],$A13,T_SelfStock[WeekIndex],45)+SUMIFS(T_TTAFStock[TTAF_Qty],T_TTAFStock[RM_Code],$A13,T_TTAFStock[WeekIndex],45),AS13+'Grid_Incoming'!AT13-'Grid_Requirement'!AT13))</f>
        <v/>
      </c>
      <c r="AU13">
        <f>IF(COUNTIFS(T_StockCount[RM_Code],$A13,T_StockCount[WeekIndex],46)&gt;0,SUMIFS(T_StockCount[CountedQty],T_StockCount[RM_Code],$A13,T_StockCount[WeekIndex],46),IF((COUNTIFS(T_SelfStock[RM_Code],$A13,T_SelfStock[WeekIndex],46)&gt;0)*(COUNTIFS(T_TTAFStock[RM_Code],$A13,T_TTAFStock[WeekIndex],46)&gt;0)&gt;0,SUMIFS(T_SelfStock[Self_Qty],T_SelfStock[RM_Code],$A13,T_SelfStock[WeekIndex],46)+SUMIFS(T_TTAFStock[TTAF_Qty],T_TTAFStock[RM_Code],$A13,T_TTAFStock[WeekIndex],46),AT13+'Grid_Incoming'!AU13-'Grid_Requirement'!AU13))</f>
        <v/>
      </c>
      <c r="AV13">
        <f>IF(COUNTIFS(T_StockCount[RM_Code],$A13,T_StockCount[WeekIndex],47)&gt;0,SUMIFS(T_StockCount[CountedQty],T_StockCount[RM_Code],$A13,T_StockCount[WeekIndex],47),IF((COUNTIFS(T_SelfStock[RM_Code],$A13,T_SelfStock[WeekIndex],47)&gt;0)*(COUNTIFS(T_TTAFStock[RM_Code],$A13,T_TTAFStock[WeekIndex],47)&gt;0)&gt;0,SUMIFS(T_SelfStock[Self_Qty],T_SelfStock[RM_Code],$A13,T_SelfStock[WeekIndex],47)+SUMIFS(T_TTAFStock[TTAF_Qty],T_TTAFStock[RM_Code],$A13,T_TTAFStock[WeekIndex],47),AU13+'Grid_Incoming'!AV13-'Grid_Requirement'!AV13))</f>
        <v/>
      </c>
      <c r="AW13">
        <f>IF(COUNTIFS(T_StockCount[RM_Code],$A13,T_StockCount[WeekIndex],48)&gt;0,SUMIFS(T_StockCount[CountedQty],T_StockCount[RM_Code],$A13,T_StockCount[WeekIndex],48),IF((COUNTIFS(T_SelfStock[RM_Code],$A13,T_SelfStock[WeekIndex],48)&gt;0)*(COUNTIFS(T_TTAFStock[RM_Code],$A13,T_TTAFStock[WeekIndex],48)&gt;0)&gt;0,SUMIFS(T_SelfStock[Self_Qty],T_SelfStock[RM_Code],$A13,T_SelfStock[WeekIndex],48)+SUMIFS(T_TTAFStock[TTAF_Qty],T_TTAFStock[RM_Code],$A13,T_TTAFStock[WeekIndex],48),AV13+'Grid_Incoming'!AW13-'Grid_Requirement'!AW13))</f>
        <v/>
      </c>
      <c r="AX13">
        <f>IF(COUNTIFS(T_StockCount[RM_Code],$A13,T_StockCount[WeekIndex],49)&gt;0,SUMIFS(T_StockCount[CountedQty],T_StockCount[RM_Code],$A13,T_StockCount[WeekIndex],49),IF((COUNTIFS(T_SelfStock[RM_Code],$A13,T_SelfStock[WeekIndex],49)&gt;0)*(COUNTIFS(T_TTAFStock[RM_Code],$A13,T_TTAFStock[WeekIndex],49)&gt;0)&gt;0,SUMIFS(T_SelfStock[Self_Qty],T_SelfStock[RM_Code],$A13,T_SelfStock[WeekIndex],49)+SUMIFS(T_TTAFStock[TTAF_Qty],T_TTAFStock[RM_Code],$A13,T_TTAFStock[WeekIndex],49),AW13+'Grid_Incoming'!AX13-'Grid_Requirement'!AX13))</f>
        <v/>
      </c>
      <c r="AY13">
        <f>IF(COUNTIFS(T_StockCount[RM_Code],$A13,T_StockCount[WeekIndex],50)&gt;0,SUMIFS(T_StockCount[CountedQty],T_StockCount[RM_Code],$A13,T_StockCount[WeekIndex],50),IF((COUNTIFS(T_SelfStock[RM_Code],$A13,T_SelfStock[WeekIndex],50)&gt;0)*(COUNTIFS(T_TTAFStock[RM_Code],$A13,T_TTAFStock[WeekIndex],50)&gt;0)&gt;0,SUMIFS(T_SelfStock[Self_Qty],T_SelfStock[RM_Code],$A13,T_SelfStock[WeekIndex],50)+SUMIFS(T_TTAFStock[TTAF_Qty],T_TTAFStock[RM_Code],$A13,T_TTAFStock[WeekIndex],50),AX13+'Grid_Incoming'!AY13-'Grid_Requirement'!AY13))</f>
        <v/>
      </c>
      <c r="AZ13">
        <f>IF(COUNTIFS(T_StockCount[RM_Code],$A13,T_StockCount[WeekIndex],51)&gt;0,SUMIFS(T_StockCount[CountedQty],T_StockCount[RM_Code],$A13,T_StockCount[WeekIndex],51),IF((COUNTIFS(T_SelfStock[RM_Code],$A13,T_SelfStock[WeekIndex],51)&gt;0)*(COUNTIFS(T_TTAFStock[RM_Code],$A13,T_TTAFStock[WeekIndex],51)&gt;0)&gt;0,SUMIFS(T_SelfStock[Self_Qty],T_SelfStock[RM_Code],$A13,T_SelfStock[WeekIndex],51)+SUMIFS(T_TTAFStock[TTAF_Qty],T_TTAFStock[RM_Code],$A13,T_TTAFStock[WeekIndex],51),AY13+'Grid_Incoming'!AZ13-'Grid_Requirement'!AZ13))</f>
        <v/>
      </c>
      <c r="BA13">
        <f>IF(COUNTIFS(T_StockCount[RM_Code],$A13,T_StockCount[WeekIndex],52)&gt;0,SUMIFS(T_StockCount[CountedQty],T_StockCount[RM_Code],$A13,T_StockCount[WeekIndex],52),IF((COUNTIFS(T_SelfStock[RM_Code],$A13,T_SelfStock[WeekIndex],52)&gt;0)*(COUNTIFS(T_TTAFStock[RM_Code],$A13,T_TTAFStock[WeekIndex],52)&gt;0)&gt;0,SUMIFS(T_SelfStock[Self_Qty],T_SelfStock[RM_Code],$A13,T_SelfStock[WeekIndex],52)+SUMIFS(T_TTAFStock[TTAF_Qty],T_TTAFStock[RM_Code],$A13,T_TTAFStock[WeekIndex],52),AZ13+'Grid_Incoming'!BA13-'Grid_Requirement'!BA13))</f>
        <v/>
      </c>
      <c r="BB13">
        <f>IF(COUNTIFS(T_StockCount[RM_Code],$A13,T_StockCount[WeekIndex],53)&gt;0,SUMIFS(T_StockCount[CountedQty],T_StockCount[RM_Code],$A13,T_StockCount[WeekIndex],53),IF((COUNTIFS(T_SelfStock[RM_Code],$A13,T_SelfStock[WeekIndex],53)&gt;0)*(COUNTIFS(T_TTAFStock[RM_Code],$A13,T_TTAFStock[WeekIndex],53)&gt;0)&gt;0,SUMIFS(T_SelfStock[Self_Qty],T_SelfStock[RM_Code],$A13,T_SelfStock[WeekIndex],53)+SUMIFS(T_TTAFStock[TTAF_Qty],T_TTAFStock[RM_Code],$A13,T_TTAFStock[WeekIndex],53),BA13+'Grid_Incoming'!BB13-'Grid_Requirement'!BB13))</f>
        <v/>
      </c>
      <c r="BC13">
        <f>IF(COUNTIFS(T_StockCount[RM_Code],$A13,T_StockCount[WeekIndex],54)&gt;0,SUMIFS(T_StockCount[CountedQty],T_StockCount[RM_Code],$A13,T_StockCount[WeekIndex],54),IF((COUNTIFS(T_SelfStock[RM_Code],$A13,T_SelfStock[WeekIndex],54)&gt;0)*(COUNTIFS(T_TTAFStock[RM_Code],$A13,T_TTAFStock[WeekIndex],54)&gt;0)&gt;0,SUMIFS(T_SelfStock[Self_Qty],T_SelfStock[RM_Code],$A13,T_SelfStock[WeekIndex],54)+SUMIFS(T_TTAFStock[TTAF_Qty],T_TTAFStock[RM_Code],$A13,T_TTAFStock[WeekIndex],54),BB13+'Grid_Incoming'!BC13-'Grid_Requirement'!BC13))</f>
        <v/>
      </c>
      <c r="BD13">
        <f>IF(COUNTIFS(T_StockCount[RM_Code],$A13,T_StockCount[WeekIndex],55)&gt;0,SUMIFS(T_StockCount[CountedQty],T_StockCount[RM_Code],$A13,T_StockCount[WeekIndex],55),IF((COUNTIFS(T_SelfStock[RM_Code],$A13,T_SelfStock[WeekIndex],55)&gt;0)*(COUNTIFS(T_TTAFStock[RM_Code],$A13,T_TTAFStock[WeekIndex],55)&gt;0)&gt;0,SUMIFS(T_SelfStock[Self_Qty],T_SelfStock[RM_Code],$A13,T_SelfStock[WeekIndex],55)+SUMIFS(T_TTAFStock[TTAF_Qty],T_TTAFStock[RM_Code],$A13,T_TTAFStock[WeekIndex],55),BC13+'Grid_Incoming'!BD13-'Grid_Requirement'!BD13))</f>
        <v/>
      </c>
      <c r="BE13">
        <f>IF(COUNTIFS(T_StockCount[RM_Code],$A13,T_StockCount[WeekIndex],56)&gt;0,SUMIFS(T_StockCount[CountedQty],T_StockCount[RM_Code],$A13,T_StockCount[WeekIndex],56),IF((COUNTIFS(T_SelfStock[RM_Code],$A13,T_SelfStock[WeekIndex],56)&gt;0)*(COUNTIFS(T_TTAFStock[RM_Code],$A13,T_TTAFStock[WeekIndex],56)&gt;0)&gt;0,SUMIFS(T_SelfStock[Self_Qty],T_SelfStock[RM_Code],$A13,T_SelfStock[WeekIndex],56)+SUMIFS(T_TTAFStock[TTAF_Qty],T_TTAFStock[RM_Code],$A13,T_TTAFStock[WeekIndex],56),BD13+'Grid_Incoming'!BE13-'Grid_Requirement'!BE13))</f>
        <v/>
      </c>
      <c r="BF13">
        <f>IF(COUNTIFS(T_StockCount[RM_Code],$A13,T_StockCount[WeekIndex],57)&gt;0,SUMIFS(T_StockCount[CountedQty],T_StockCount[RM_Code],$A13,T_StockCount[WeekIndex],57),IF((COUNTIFS(T_SelfStock[RM_Code],$A13,T_SelfStock[WeekIndex],57)&gt;0)*(COUNTIFS(T_TTAFStock[RM_Code],$A13,T_TTAFStock[WeekIndex],57)&gt;0)&gt;0,SUMIFS(T_SelfStock[Self_Qty],T_SelfStock[RM_Code],$A13,T_SelfStock[WeekIndex],57)+SUMIFS(T_TTAFStock[TTAF_Qty],T_TTAFStock[RM_Code],$A13,T_TTAFStock[WeekIndex],57),BE13+'Grid_Incoming'!BF13-'Grid_Requirement'!BF13))</f>
        <v/>
      </c>
      <c r="BG13">
        <f>IF(COUNTIFS(T_StockCount[RM_Code],$A13,T_StockCount[WeekIndex],58)&gt;0,SUMIFS(T_StockCount[CountedQty],T_StockCount[RM_Code],$A13,T_StockCount[WeekIndex],58),IF((COUNTIFS(T_SelfStock[RM_Code],$A13,T_SelfStock[WeekIndex],58)&gt;0)*(COUNTIFS(T_TTAFStock[RM_Code],$A13,T_TTAFStock[WeekIndex],58)&gt;0)&gt;0,SUMIFS(T_SelfStock[Self_Qty],T_SelfStock[RM_Code],$A13,T_SelfStock[WeekIndex],58)+SUMIFS(T_TTAFStock[TTAF_Qty],T_TTAFStock[RM_Code],$A13,T_TTAFStock[WeekIndex],58),BF13+'Grid_Incoming'!BG13-'Grid_Requirement'!BG13))</f>
        <v/>
      </c>
      <c r="BH13">
        <f>IF(COUNTIFS(T_StockCount[RM_Code],$A13,T_StockCount[WeekIndex],59)&gt;0,SUMIFS(T_StockCount[CountedQty],T_StockCount[RM_Code],$A13,T_StockCount[WeekIndex],59),IF((COUNTIFS(T_SelfStock[RM_Code],$A13,T_SelfStock[WeekIndex],59)&gt;0)*(COUNTIFS(T_TTAFStock[RM_Code],$A13,T_TTAFStock[WeekIndex],59)&gt;0)&gt;0,SUMIFS(T_SelfStock[Self_Qty],T_SelfStock[RM_Code],$A13,T_SelfStock[WeekIndex],59)+SUMIFS(T_TTAFStock[TTAF_Qty],T_TTAFStock[RM_Code],$A13,T_TTAFStock[WeekIndex],59),BG13+'Grid_Incoming'!BH13-'Grid_Requirement'!BH13))</f>
        <v/>
      </c>
      <c r="BI13">
        <f>IF(COUNTIFS(T_StockCount[RM_Code],$A13,T_StockCount[WeekIndex],60)&gt;0,SUMIFS(T_StockCount[CountedQty],T_StockCount[RM_Code],$A13,T_StockCount[WeekIndex],60),IF((COUNTIFS(T_SelfStock[RM_Code],$A13,T_SelfStock[WeekIndex],60)&gt;0)*(COUNTIFS(T_TTAFStock[RM_Code],$A13,T_TTAFStock[WeekIndex],60)&gt;0)&gt;0,SUMIFS(T_SelfStock[Self_Qty],T_SelfStock[RM_Code],$A13,T_SelfStock[WeekIndex],60)+SUMIFS(T_TTAFStock[TTAF_Qty],T_TTAFStock[RM_Code],$A13,T_TTAFStock[WeekIndex],60),BH13+'Grid_Incoming'!BI13-'Grid_Requirement'!BI13))</f>
        <v/>
      </c>
      <c r="BJ13">
        <f>IF(COUNTIFS(T_StockCount[RM_Code],$A13,T_StockCount[WeekIndex],61)&gt;0,SUMIFS(T_StockCount[CountedQty],T_StockCount[RM_Code],$A13,T_StockCount[WeekIndex],61),IF((COUNTIFS(T_SelfStock[RM_Code],$A13,T_SelfStock[WeekIndex],61)&gt;0)*(COUNTIFS(T_TTAFStock[RM_Code],$A13,T_TTAFStock[WeekIndex],61)&gt;0)&gt;0,SUMIFS(T_SelfStock[Self_Qty],T_SelfStock[RM_Code],$A13,T_SelfStock[WeekIndex],61)+SUMIFS(T_TTAFStock[TTAF_Qty],T_TTAFStock[RM_Code],$A13,T_TTAFStock[WeekIndex],61),BI13+'Grid_Incoming'!BJ13-'Grid_Requirement'!BJ13))</f>
        <v/>
      </c>
      <c r="BK13">
        <f>IF(COUNTIFS(T_StockCount[RM_Code],$A13,T_StockCount[WeekIndex],62)&gt;0,SUMIFS(T_StockCount[CountedQty],T_StockCount[RM_Code],$A13,T_StockCount[WeekIndex],62),IF((COUNTIFS(T_SelfStock[RM_Code],$A13,T_SelfStock[WeekIndex],62)&gt;0)*(COUNTIFS(T_TTAFStock[RM_Code],$A13,T_TTAFStock[WeekIndex],62)&gt;0)&gt;0,SUMIFS(T_SelfStock[Self_Qty],T_SelfStock[RM_Code],$A13,T_SelfStock[WeekIndex],62)+SUMIFS(T_TTAFStock[TTAF_Qty],T_TTAFStock[RM_Code],$A13,T_TTAFStock[WeekIndex],62),BJ13+'Grid_Incoming'!BK13-'Grid_Requirement'!BK13))</f>
        <v/>
      </c>
      <c r="BL13">
        <f>IF(COUNTIFS(T_StockCount[RM_Code],$A13,T_StockCount[WeekIndex],63)&gt;0,SUMIFS(T_StockCount[CountedQty],T_StockCount[RM_Code],$A13,T_StockCount[WeekIndex],63),IF((COUNTIFS(T_SelfStock[RM_Code],$A13,T_SelfStock[WeekIndex],63)&gt;0)*(COUNTIFS(T_TTAFStock[RM_Code],$A13,T_TTAFStock[WeekIndex],63)&gt;0)&gt;0,SUMIFS(T_SelfStock[Self_Qty],T_SelfStock[RM_Code],$A13,T_SelfStock[WeekIndex],63)+SUMIFS(T_TTAFStock[TTAF_Qty],T_TTAFStock[RM_Code],$A13,T_TTAFStock[WeekIndex],63),BK13+'Grid_Incoming'!BL13-'Grid_Requirement'!BL13))</f>
        <v/>
      </c>
      <c r="BM13">
        <f>IF(COUNTIFS(T_StockCount[RM_Code],$A13,T_StockCount[WeekIndex],64)&gt;0,SUMIFS(T_StockCount[CountedQty],T_StockCount[RM_Code],$A13,T_StockCount[WeekIndex],64),IF((COUNTIFS(T_SelfStock[RM_Code],$A13,T_SelfStock[WeekIndex],64)&gt;0)*(COUNTIFS(T_TTAFStock[RM_Code],$A13,T_TTAFStock[WeekIndex],64)&gt;0)&gt;0,SUMIFS(T_SelfStock[Self_Qty],T_SelfStock[RM_Code],$A13,T_SelfStock[WeekIndex],64)+SUMIFS(T_TTAFStock[TTAF_Qty],T_TTAFStock[RM_Code],$A13,T_TTAFStock[WeekIndex],64),BL13+'Grid_Incoming'!BM13-'Grid_Requirement'!BM13))</f>
        <v/>
      </c>
      <c r="BN13">
        <f>IF(COUNTIFS(T_StockCount[RM_Code],$A13,T_StockCount[WeekIndex],65)&gt;0,SUMIFS(T_StockCount[CountedQty],T_StockCount[RM_Code],$A13,T_StockCount[WeekIndex],65),IF((COUNTIFS(T_SelfStock[RM_Code],$A13,T_SelfStock[WeekIndex],65)&gt;0)*(COUNTIFS(T_TTAFStock[RM_Code],$A13,T_TTAFStock[WeekIndex],65)&gt;0)&gt;0,SUMIFS(T_SelfStock[Self_Qty],T_SelfStock[RM_Code],$A13,T_SelfStock[WeekIndex],65)+SUMIFS(T_TTAFStock[TTAF_Qty],T_TTAFStock[RM_Code],$A13,T_TTAFStock[WeekIndex],65),BM13+'Grid_Incoming'!BN13-'Grid_Requirement'!BN13))</f>
        <v/>
      </c>
      <c r="BO13">
        <f>IF(COUNTIFS(T_StockCount[RM_Code],$A13,T_StockCount[WeekIndex],66)&gt;0,SUMIFS(T_StockCount[CountedQty],T_StockCount[RM_Code],$A13,T_StockCount[WeekIndex],66),IF((COUNTIFS(T_SelfStock[RM_Code],$A13,T_SelfStock[WeekIndex],66)&gt;0)*(COUNTIFS(T_TTAFStock[RM_Code],$A13,T_TTAFStock[WeekIndex],66)&gt;0)&gt;0,SUMIFS(T_SelfStock[Self_Qty],T_SelfStock[RM_Code],$A13,T_SelfStock[WeekIndex],66)+SUMIFS(T_TTAFStock[TTAF_Qty],T_TTAFStock[RM_Code],$A13,T_TTAFStock[WeekIndex],66),BN13+'Grid_Incoming'!BO13-'Grid_Requirement'!BO13))</f>
        <v/>
      </c>
      <c r="BP13">
        <f>IF(COUNTIFS(T_StockCount[RM_Code],$A13,T_StockCount[WeekIndex],67)&gt;0,SUMIFS(T_StockCount[CountedQty],T_StockCount[RM_Code],$A13,T_StockCount[WeekIndex],67),IF((COUNTIFS(T_SelfStock[RM_Code],$A13,T_SelfStock[WeekIndex],67)&gt;0)*(COUNTIFS(T_TTAFStock[RM_Code],$A13,T_TTAFStock[WeekIndex],67)&gt;0)&gt;0,SUMIFS(T_SelfStock[Self_Qty],T_SelfStock[RM_Code],$A13,T_SelfStock[WeekIndex],67)+SUMIFS(T_TTAFStock[TTAF_Qty],T_TTAFStock[RM_Code],$A13,T_TTAFStock[WeekIndex],67),BO13+'Grid_Incoming'!BP13-'Grid_Requirement'!BP13))</f>
        <v/>
      </c>
      <c r="BQ13">
        <f>IF(COUNTIFS(T_StockCount[RM_Code],$A13,T_StockCount[WeekIndex],68)&gt;0,SUMIFS(T_StockCount[CountedQty],T_StockCount[RM_Code],$A13,T_StockCount[WeekIndex],68),IF((COUNTIFS(T_SelfStock[RM_Code],$A13,T_SelfStock[WeekIndex],68)&gt;0)*(COUNTIFS(T_TTAFStock[RM_Code],$A13,T_TTAFStock[WeekIndex],68)&gt;0)&gt;0,SUMIFS(T_SelfStock[Self_Qty],T_SelfStock[RM_Code],$A13,T_SelfStock[WeekIndex],68)+SUMIFS(T_TTAFStock[TTAF_Qty],T_TTAFStock[RM_Code],$A13,T_TTAFStock[WeekIndex],68),BP13+'Grid_Incoming'!BQ13-'Grid_Requirement'!BQ13))</f>
        <v/>
      </c>
      <c r="BR13">
        <f>IF(COUNTIFS(T_StockCount[RM_Code],$A13,T_StockCount[WeekIndex],69)&gt;0,SUMIFS(T_StockCount[CountedQty],T_StockCount[RM_Code],$A13,T_StockCount[WeekIndex],69),IF((COUNTIFS(T_SelfStock[RM_Code],$A13,T_SelfStock[WeekIndex],69)&gt;0)*(COUNTIFS(T_TTAFStock[RM_Code],$A13,T_TTAFStock[WeekIndex],69)&gt;0)&gt;0,SUMIFS(T_SelfStock[Self_Qty],T_SelfStock[RM_Code],$A13,T_SelfStock[WeekIndex],69)+SUMIFS(T_TTAFStock[TTAF_Qty],T_TTAFStock[RM_Code],$A13,T_TTAFStock[WeekIndex],69),BQ13+'Grid_Incoming'!BR13-'Grid_Requirement'!BR13))</f>
        <v/>
      </c>
      <c r="BS13">
        <f>IF(COUNTIFS(T_StockCount[RM_Code],$A13,T_StockCount[WeekIndex],70)&gt;0,SUMIFS(T_StockCount[CountedQty],T_StockCount[RM_Code],$A13,T_StockCount[WeekIndex],70),IF((COUNTIFS(T_SelfStock[RM_Code],$A13,T_SelfStock[WeekIndex],70)&gt;0)*(COUNTIFS(T_TTAFStock[RM_Code],$A13,T_TTAFStock[WeekIndex],70)&gt;0)&gt;0,SUMIFS(T_SelfStock[Self_Qty],T_SelfStock[RM_Code],$A13,T_SelfStock[WeekIndex],70)+SUMIFS(T_TTAFStock[TTAF_Qty],T_TTAFStock[RM_Code],$A13,T_TTAFStock[WeekIndex],70),BR13+'Grid_Incoming'!BS13-'Grid_Requirement'!BS13))</f>
        <v/>
      </c>
      <c r="BT13">
        <f>IF(COUNTIFS(T_StockCount[RM_Code],$A13,T_StockCount[WeekIndex],71)&gt;0,SUMIFS(T_StockCount[CountedQty],T_StockCount[RM_Code],$A13,T_StockCount[WeekIndex],71),IF((COUNTIFS(T_SelfStock[RM_Code],$A13,T_SelfStock[WeekIndex],71)&gt;0)*(COUNTIFS(T_TTAFStock[RM_Code],$A13,T_TTAFStock[WeekIndex],71)&gt;0)&gt;0,SUMIFS(T_SelfStock[Self_Qty],T_SelfStock[RM_Code],$A13,T_SelfStock[WeekIndex],71)+SUMIFS(T_TTAFStock[TTAF_Qty],T_TTAFStock[RM_Code],$A13,T_TTAFStock[WeekIndex],71),BS13+'Grid_Incoming'!BT13-'Grid_Requirement'!BT13))</f>
        <v/>
      </c>
      <c r="BU13">
        <f>IF(COUNTIFS(T_StockCount[RM_Code],$A13,T_StockCount[WeekIndex],72)&gt;0,SUMIFS(T_StockCount[CountedQty],T_StockCount[RM_Code],$A13,T_StockCount[WeekIndex],72),IF((COUNTIFS(T_SelfStock[RM_Code],$A13,T_SelfStock[WeekIndex],72)&gt;0)*(COUNTIFS(T_TTAFStock[RM_Code],$A13,T_TTAFStock[WeekIndex],72)&gt;0)&gt;0,SUMIFS(T_SelfStock[Self_Qty],T_SelfStock[RM_Code],$A13,T_SelfStock[WeekIndex],72)+SUMIFS(T_TTAFStock[TTAF_Qty],T_TTAFStock[RM_Code],$A13,T_TTAFStock[WeekIndex],72),BT13+'Grid_Incoming'!BU13-'Grid_Requirement'!BU13))</f>
        <v/>
      </c>
      <c r="BV13">
        <f>IF(COUNTIFS(T_StockCount[RM_Code],$A13,T_StockCount[WeekIndex],73)&gt;0,SUMIFS(T_StockCount[CountedQty],T_StockCount[RM_Code],$A13,T_StockCount[WeekIndex],73),IF((COUNTIFS(T_SelfStock[RM_Code],$A13,T_SelfStock[WeekIndex],73)&gt;0)*(COUNTIFS(T_TTAFStock[RM_Code],$A13,T_TTAFStock[WeekIndex],73)&gt;0)&gt;0,SUMIFS(T_SelfStock[Self_Qty],T_SelfStock[RM_Code],$A13,T_SelfStock[WeekIndex],73)+SUMIFS(T_TTAFStock[TTAF_Qty],T_TTAFStock[RM_Code],$A13,T_TTAFStock[WeekIndex],73),BU13+'Grid_Incoming'!BV13-'Grid_Requirement'!BV13))</f>
        <v/>
      </c>
      <c r="BW13">
        <f>IF(COUNTIFS(T_StockCount[RM_Code],$A13,T_StockCount[WeekIndex],74)&gt;0,SUMIFS(T_StockCount[CountedQty],T_StockCount[RM_Code],$A13,T_StockCount[WeekIndex],74),IF((COUNTIFS(T_SelfStock[RM_Code],$A13,T_SelfStock[WeekIndex],74)&gt;0)*(COUNTIFS(T_TTAFStock[RM_Code],$A13,T_TTAFStock[WeekIndex],74)&gt;0)&gt;0,SUMIFS(T_SelfStock[Self_Qty],T_SelfStock[RM_Code],$A13,T_SelfStock[WeekIndex],74)+SUMIFS(T_TTAFStock[TTAF_Qty],T_TTAFStock[RM_Code],$A13,T_TTAFStock[WeekIndex],74),BV13+'Grid_Incoming'!BW13-'Grid_Requirement'!BW13))</f>
        <v/>
      </c>
      <c r="BX13">
        <f>IF(COUNTIFS(T_StockCount[RM_Code],$A13,T_StockCount[WeekIndex],75)&gt;0,SUMIFS(T_StockCount[CountedQty],T_StockCount[RM_Code],$A13,T_StockCount[WeekIndex],75),IF((COUNTIFS(T_SelfStock[RM_Code],$A13,T_SelfStock[WeekIndex],75)&gt;0)*(COUNTIFS(T_TTAFStock[RM_Code],$A13,T_TTAFStock[WeekIndex],75)&gt;0)&gt;0,SUMIFS(T_SelfStock[Self_Qty],T_SelfStock[RM_Code],$A13,T_SelfStock[WeekIndex],75)+SUMIFS(T_TTAFStock[TTAF_Qty],T_TTAFStock[RM_Code],$A13,T_TTAFStock[WeekIndex],75),BW13+'Grid_Incoming'!BX13-'Grid_Requirement'!BX13))</f>
        <v/>
      </c>
      <c r="BY13">
        <f>IF(COUNTIFS(T_StockCount[RM_Code],$A13,T_StockCount[WeekIndex],76)&gt;0,SUMIFS(T_StockCount[CountedQty],T_StockCount[RM_Code],$A13,T_StockCount[WeekIndex],76),IF((COUNTIFS(T_SelfStock[RM_Code],$A13,T_SelfStock[WeekIndex],76)&gt;0)*(COUNTIFS(T_TTAFStock[RM_Code],$A13,T_TTAFStock[WeekIndex],76)&gt;0)&gt;0,SUMIFS(T_SelfStock[Self_Qty],T_SelfStock[RM_Code],$A13,T_SelfStock[WeekIndex],76)+SUMIFS(T_TTAFStock[TTAF_Qty],T_TTAFStock[RM_Code],$A13,T_TTAFStock[WeekIndex],76),BX13+'Grid_Incoming'!BY13-'Grid_Requirement'!BY13))</f>
        <v/>
      </c>
      <c r="BZ13">
        <f>IF(COUNTIFS(T_StockCount[RM_Code],$A13,T_StockCount[WeekIndex],77)&gt;0,SUMIFS(T_StockCount[CountedQty],T_StockCount[RM_Code],$A13,T_StockCount[WeekIndex],77),IF((COUNTIFS(T_SelfStock[RM_Code],$A13,T_SelfStock[WeekIndex],77)&gt;0)*(COUNTIFS(T_TTAFStock[RM_Code],$A13,T_TTAFStock[WeekIndex],77)&gt;0)&gt;0,SUMIFS(T_SelfStock[Self_Qty],T_SelfStock[RM_Code],$A13,T_SelfStock[WeekIndex],77)+SUMIFS(T_TTAFStock[TTAF_Qty],T_TTAFStock[RM_Code],$A13,T_TTAFStock[WeekIndex],77),BY13+'Grid_Incoming'!BZ13-'Grid_Requirement'!BZ13))</f>
        <v/>
      </c>
      <c r="CA13">
        <f>IF(COUNTIFS(T_StockCount[RM_Code],$A13,T_StockCount[WeekIndex],78)&gt;0,SUMIFS(T_StockCount[CountedQty],T_StockCount[RM_Code],$A13,T_StockCount[WeekIndex],78),IF((COUNTIFS(T_SelfStock[RM_Code],$A13,T_SelfStock[WeekIndex],78)&gt;0)*(COUNTIFS(T_TTAFStock[RM_Code],$A13,T_TTAFStock[WeekIndex],78)&gt;0)&gt;0,SUMIFS(T_SelfStock[Self_Qty],T_SelfStock[RM_Code],$A13,T_SelfStock[WeekIndex],78)+SUMIFS(T_TTAFStock[TTAF_Qty],T_TTAFStock[RM_Code],$A13,T_TTAFStock[WeekIndex],78),BZ13+'Grid_Incoming'!CA13-'Grid_Requirement'!CA13))</f>
        <v/>
      </c>
      <c r="CB13">
        <f>IF(COUNTIFS(T_StockCount[RM_Code],$A13,T_StockCount[WeekIndex],79)&gt;0,SUMIFS(T_StockCount[CountedQty],T_StockCount[RM_Code],$A13,T_StockCount[WeekIndex],79),IF((COUNTIFS(T_SelfStock[RM_Code],$A13,T_SelfStock[WeekIndex],79)&gt;0)*(COUNTIFS(T_TTAFStock[RM_Code],$A13,T_TTAFStock[WeekIndex],79)&gt;0)&gt;0,SUMIFS(T_SelfStock[Self_Qty],T_SelfStock[RM_Code],$A13,T_SelfStock[WeekIndex],79)+SUMIFS(T_TTAFStock[TTAF_Qty],T_TTAFStock[RM_Code],$A13,T_TTAFStock[WeekIndex],79),CA13+'Grid_Incoming'!CB13-'Grid_Requirement'!CB13))</f>
        <v/>
      </c>
      <c r="CC13">
        <f>IF(COUNTIFS(T_StockCount[RM_Code],$A13,T_StockCount[WeekIndex],80)&gt;0,SUMIFS(T_StockCount[CountedQty],T_StockCount[RM_Code],$A13,T_StockCount[WeekIndex],80),IF((COUNTIFS(T_SelfStock[RM_Code],$A13,T_SelfStock[WeekIndex],80)&gt;0)*(COUNTIFS(T_TTAFStock[RM_Code],$A13,T_TTAFStock[WeekIndex],80)&gt;0)&gt;0,SUMIFS(T_SelfStock[Self_Qty],T_SelfStock[RM_Code],$A13,T_SelfStock[WeekIndex],80)+SUMIFS(T_TTAFStock[TTAF_Qty],T_TTAFStock[RM_Code],$A13,T_TTAFStock[WeekIndex],80),CB13+'Grid_Incoming'!CC13-'Grid_Requirement'!CC13))</f>
        <v/>
      </c>
      <c r="CD13">
        <f>IF(COUNTIFS(T_StockCount[RM_Code],$A13,T_StockCount[WeekIndex],81)&gt;0,SUMIFS(T_StockCount[CountedQty],T_StockCount[RM_Code],$A13,T_StockCount[WeekIndex],81),IF((COUNTIFS(T_SelfStock[RM_Code],$A13,T_SelfStock[WeekIndex],81)&gt;0)*(COUNTIFS(T_TTAFStock[RM_Code],$A13,T_TTAFStock[WeekIndex],81)&gt;0)&gt;0,SUMIFS(T_SelfStock[Self_Qty],T_SelfStock[RM_Code],$A13,T_SelfStock[WeekIndex],81)+SUMIFS(T_TTAFStock[TTAF_Qty],T_TTAFStock[RM_Code],$A13,T_TTAFStock[WeekIndex],81),CC13+'Grid_Incoming'!CD13-'Grid_Requirement'!CD13))</f>
        <v/>
      </c>
      <c r="CE13">
        <f>IF(COUNTIFS(T_StockCount[RM_Code],$A13,T_StockCount[WeekIndex],82)&gt;0,SUMIFS(T_StockCount[CountedQty],T_StockCount[RM_Code],$A13,T_StockCount[WeekIndex],82),IF((COUNTIFS(T_SelfStock[RM_Code],$A13,T_SelfStock[WeekIndex],82)&gt;0)*(COUNTIFS(T_TTAFStock[RM_Code],$A13,T_TTAFStock[WeekIndex],82)&gt;0)&gt;0,SUMIFS(T_SelfStock[Self_Qty],T_SelfStock[RM_Code],$A13,T_SelfStock[WeekIndex],82)+SUMIFS(T_TTAFStock[TTAF_Qty],T_TTAFStock[RM_Code],$A13,T_TTAFStock[WeekIndex],82),CD13+'Grid_Incoming'!CE13-'Grid_Requirement'!CE13))</f>
        <v/>
      </c>
      <c r="CF13">
        <f>IF(COUNTIFS(T_StockCount[RM_Code],$A13,T_StockCount[WeekIndex],83)&gt;0,SUMIFS(T_StockCount[CountedQty],T_StockCount[RM_Code],$A13,T_StockCount[WeekIndex],83),IF((COUNTIFS(T_SelfStock[RM_Code],$A13,T_SelfStock[WeekIndex],83)&gt;0)*(COUNTIFS(T_TTAFStock[RM_Code],$A13,T_TTAFStock[WeekIndex],83)&gt;0)&gt;0,SUMIFS(T_SelfStock[Self_Qty],T_SelfStock[RM_Code],$A13,T_SelfStock[WeekIndex],83)+SUMIFS(T_TTAFStock[TTAF_Qty],T_TTAFStock[RM_Code],$A13,T_TTAFStock[WeekIndex],83),CE13+'Grid_Incoming'!CF13-'Grid_Requirement'!CF13))</f>
        <v/>
      </c>
      <c r="CG13">
        <f>IF(COUNTIFS(T_StockCount[RM_Code],$A13,T_StockCount[WeekIndex],84)&gt;0,SUMIFS(T_StockCount[CountedQty],T_StockCount[RM_Code],$A13,T_StockCount[WeekIndex],84),IF((COUNTIFS(T_SelfStock[RM_Code],$A13,T_SelfStock[WeekIndex],84)&gt;0)*(COUNTIFS(T_TTAFStock[RM_Code],$A13,T_TTAFStock[WeekIndex],84)&gt;0)&gt;0,SUMIFS(T_SelfStock[Self_Qty],T_SelfStock[RM_Code],$A13,T_SelfStock[WeekIndex],84)+SUMIFS(T_TTAFStock[TTAF_Qty],T_TTAFStock[RM_Code],$A13,T_TTAFStock[WeekIndex],84),CF13+'Grid_Incoming'!CG13-'Grid_Requirement'!CG13))</f>
        <v/>
      </c>
      <c r="CH13">
        <f>IF(COUNTIFS(T_StockCount[RM_Code],$A13,T_StockCount[WeekIndex],85)&gt;0,SUMIFS(T_StockCount[CountedQty],T_StockCount[RM_Code],$A13,T_StockCount[WeekIndex],85),IF((COUNTIFS(T_SelfStock[RM_Code],$A13,T_SelfStock[WeekIndex],85)&gt;0)*(COUNTIFS(T_TTAFStock[RM_Code],$A13,T_TTAFStock[WeekIndex],85)&gt;0)&gt;0,SUMIFS(T_SelfStock[Self_Qty],T_SelfStock[RM_Code],$A13,T_SelfStock[WeekIndex],85)+SUMIFS(T_TTAFStock[TTAF_Qty],T_TTAFStock[RM_Code],$A13,T_TTAFStock[WeekIndex],85),CG13+'Grid_Incoming'!CH13-'Grid_Requirement'!CH13))</f>
        <v/>
      </c>
      <c r="CI13">
        <f>IF(COUNTIFS(T_StockCount[RM_Code],$A13,T_StockCount[WeekIndex],86)&gt;0,SUMIFS(T_StockCount[CountedQty],T_StockCount[RM_Code],$A13,T_StockCount[WeekIndex],86),IF((COUNTIFS(T_SelfStock[RM_Code],$A13,T_SelfStock[WeekIndex],86)&gt;0)*(COUNTIFS(T_TTAFStock[RM_Code],$A13,T_TTAFStock[WeekIndex],86)&gt;0)&gt;0,SUMIFS(T_SelfStock[Self_Qty],T_SelfStock[RM_Code],$A13,T_SelfStock[WeekIndex],86)+SUMIFS(T_TTAFStock[TTAF_Qty],T_TTAFStock[RM_Code],$A13,T_TTAFStock[WeekIndex],86),CH13+'Grid_Incoming'!CI13-'Grid_Requirement'!CI13))</f>
        <v/>
      </c>
      <c r="CJ13">
        <f>IF(COUNTIFS(T_StockCount[RM_Code],$A13,T_StockCount[WeekIndex],87)&gt;0,SUMIFS(T_StockCount[CountedQty],T_StockCount[RM_Code],$A13,T_StockCount[WeekIndex],87),IF((COUNTIFS(T_SelfStock[RM_Code],$A13,T_SelfStock[WeekIndex],87)&gt;0)*(COUNTIFS(T_TTAFStock[RM_Code],$A13,T_TTAFStock[WeekIndex],87)&gt;0)&gt;0,SUMIFS(T_SelfStock[Self_Qty],T_SelfStock[RM_Code],$A13,T_SelfStock[WeekIndex],87)+SUMIFS(T_TTAFStock[TTAF_Qty],T_TTAFStock[RM_Code],$A13,T_TTAFStock[WeekIndex],87),CI13+'Grid_Incoming'!CJ13-'Grid_Requirement'!CJ13))</f>
        <v/>
      </c>
      <c r="CK13">
        <f>IF(COUNTIFS(T_StockCount[RM_Code],$A13,T_StockCount[WeekIndex],88)&gt;0,SUMIFS(T_StockCount[CountedQty],T_StockCount[RM_Code],$A13,T_StockCount[WeekIndex],88),IF((COUNTIFS(T_SelfStock[RM_Code],$A13,T_SelfStock[WeekIndex],88)&gt;0)*(COUNTIFS(T_TTAFStock[RM_Code],$A13,T_TTAFStock[WeekIndex],88)&gt;0)&gt;0,SUMIFS(T_SelfStock[Self_Qty],T_SelfStock[RM_Code],$A13,T_SelfStock[WeekIndex],88)+SUMIFS(T_TTAFStock[TTAF_Qty],T_TTAFStock[RM_Code],$A13,T_TTAFStock[WeekIndex],88),CJ13+'Grid_Incoming'!CK13-'Grid_Requirement'!CK13))</f>
        <v/>
      </c>
      <c r="CL13">
        <f>IF(COUNTIFS(T_StockCount[RM_Code],$A13,T_StockCount[WeekIndex],89)&gt;0,SUMIFS(T_StockCount[CountedQty],T_StockCount[RM_Code],$A13,T_StockCount[WeekIndex],89),IF((COUNTIFS(T_SelfStock[RM_Code],$A13,T_SelfStock[WeekIndex],89)&gt;0)*(COUNTIFS(T_TTAFStock[RM_Code],$A13,T_TTAFStock[WeekIndex],89)&gt;0)&gt;0,SUMIFS(T_SelfStock[Self_Qty],T_SelfStock[RM_Code],$A13,T_SelfStock[WeekIndex],89)+SUMIFS(T_TTAFStock[TTAF_Qty],T_TTAFStock[RM_Code],$A13,T_TTAFStock[WeekIndex],89),CK13+'Grid_Incoming'!CL13-'Grid_Requirement'!CL13))</f>
        <v/>
      </c>
      <c r="CM13">
        <f>IF(COUNTIFS(T_StockCount[RM_Code],$A13,T_StockCount[WeekIndex],90)&gt;0,SUMIFS(T_StockCount[CountedQty],T_StockCount[RM_Code],$A13,T_StockCount[WeekIndex],90),IF((COUNTIFS(T_SelfStock[RM_Code],$A13,T_SelfStock[WeekIndex],90)&gt;0)*(COUNTIFS(T_TTAFStock[RM_Code],$A13,T_TTAFStock[WeekIndex],90)&gt;0)&gt;0,SUMIFS(T_SelfStock[Self_Qty],T_SelfStock[RM_Code],$A13,T_SelfStock[WeekIndex],90)+SUMIFS(T_TTAFStock[TTAF_Qty],T_TTAFStock[RM_Code],$A13,T_TTAFStock[WeekIndex],90),CL13+'Grid_Incoming'!CM13-'Grid_Requirement'!CM13))</f>
        <v/>
      </c>
      <c r="CN13">
        <f>IF(COUNTIFS(T_StockCount[RM_Code],$A13,T_StockCount[WeekIndex],91)&gt;0,SUMIFS(T_StockCount[CountedQty],T_StockCount[RM_Code],$A13,T_StockCount[WeekIndex],91),IF((COUNTIFS(T_SelfStock[RM_Code],$A13,T_SelfStock[WeekIndex],91)&gt;0)*(COUNTIFS(T_TTAFStock[RM_Code],$A13,T_TTAFStock[WeekIndex],91)&gt;0)&gt;0,SUMIFS(T_SelfStock[Self_Qty],T_SelfStock[RM_Code],$A13,T_SelfStock[WeekIndex],91)+SUMIFS(T_TTAFStock[TTAF_Qty],T_TTAFStock[RM_Code],$A13,T_TTAFStock[WeekIndex],91),CM13+'Grid_Incoming'!CN13-'Grid_Requirement'!CN13))</f>
        <v/>
      </c>
      <c r="CO13">
        <f>IF(COUNTIFS(T_StockCount[RM_Code],$A13,T_StockCount[WeekIndex],92)&gt;0,SUMIFS(T_StockCount[CountedQty],T_StockCount[RM_Code],$A13,T_StockCount[WeekIndex],92),IF((COUNTIFS(T_SelfStock[RM_Code],$A13,T_SelfStock[WeekIndex],92)&gt;0)*(COUNTIFS(T_TTAFStock[RM_Code],$A13,T_TTAFStock[WeekIndex],92)&gt;0)&gt;0,SUMIFS(T_SelfStock[Self_Qty],T_SelfStock[RM_Code],$A13,T_SelfStock[WeekIndex],92)+SUMIFS(T_TTAFStock[TTAF_Qty],T_TTAFStock[RM_Code],$A13,T_TTAFStock[WeekIndex],92),CN13+'Grid_Incoming'!CO13-'Grid_Requirement'!CO13))</f>
        <v/>
      </c>
      <c r="CP13">
        <f>IF(COUNTIFS(T_StockCount[RM_Code],$A13,T_StockCount[WeekIndex],93)&gt;0,SUMIFS(T_StockCount[CountedQty],T_StockCount[RM_Code],$A13,T_StockCount[WeekIndex],93),IF((COUNTIFS(T_SelfStock[RM_Code],$A13,T_SelfStock[WeekIndex],93)&gt;0)*(COUNTIFS(T_TTAFStock[RM_Code],$A13,T_TTAFStock[WeekIndex],93)&gt;0)&gt;0,SUMIFS(T_SelfStock[Self_Qty],T_SelfStock[RM_Code],$A13,T_SelfStock[WeekIndex],93)+SUMIFS(T_TTAFStock[TTAF_Qty],T_TTAFStock[RM_Code],$A13,T_TTAFStock[WeekIndex],93),CO13+'Grid_Incoming'!CP13-'Grid_Requirement'!CP13))</f>
        <v/>
      </c>
      <c r="CQ13">
        <f>IF(COUNTIFS(T_StockCount[RM_Code],$A13,T_StockCount[WeekIndex],94)&gt;0,SUMIFS(T_StockCount[CountedQty],T_StockCount[RM_Code],$A13,T_StockCount[WeekIndex],94),IF((COUNTIFS(T_SelfStock[RM_Code],$A13,T_SelfStock[WeekIndex],94)&gt;0)*(COUNTIFS(T_TTAFStock[RM_Code],$A13,T_TTAFStock[WeekIndex],94)&gt;0)&gt;0,SUMIFS(T_SelfStock[Self_Qty],T_SelfStock[RM_Code],$A13,T_SelfStock[WeekIndex],94)+SUMIFS(T_TTAFStock[TTAF_Qty],T_TTAFStock[RM_Code],$A13,T_TTAFStock[WeekIndex],94),CP13+'Grid_Incoming'!CQ13-'Grid_Requirement'!CQ13))</f>
        <v/>
      </c>
      <c r="CR13">
        <f>IF(COUNTIFS(T_StockCount[RM_Code],$A13,T_StockCount[WeekIndex],95)&gt;0,SUMIFS(T_StockCount[CountedQty],T_StockCount[RM_Code],$A13,T_StockCount[WeekIndex],95),IF((COUNTIFS(T_SelfStock[RM_Code],$A13,T_SelfStock[WeekIndex],95)&gt;0)*(COUNTIFS(T_TTAFStock[RM_Code],$A13,T_TTAFStock[WeekIndex],95)&gt;0)&gt;0,SUMIFS(T_SelfStock[Self_Qty],T_SelfStock[RM_Code],$A13,T_SelfStock[WeekIndex],95)+SUMIFS(T_TTAFStock[TTAF_Qty],T_TTAFStock[RM_Code],$A13,T_TTAFStock[WeekIndex],95),CQ13+'Grid_Incoming'!CR13-'Grid_Requirement'!CR13))</f>
        <v/>
      </c>
      <c r="CS13">
        <f>IF(COUNTIFS(T_StockCount[RM_Code],$A13,T_StockCount[WeekIndex],96)&gt;0,SUMIFS(T_StockCount[CountedQty],T_StockCount[RM_Code],$A13,T_StockCount[WeekIndex],96),IF((COUNTIFS(T_SelfStock[RM_Code],$A13,T_SelfStock[WeekIndex],96)&gt;0)*(COUNTIFS(T_TTAFStock[RM_Code],$A13,T_TTAFStock[WeekIndex],96)&gt;0)&gt;0,SUMIFS(T_SelfStock[Self_Qty],T_SelfStock[RM_Code],$A13,T_SelfStock[WeekIndex],96)+SUMIFS(T_TTAFStock[TTAF_Qty],T_TTAFStock[RM_Code],$A13,T_TTAFStock[WeekIndex],96),CR13+'Grid_Incoming'!CS13-'Grid_Requirement'!CS13))</f>
        <v/>
      </c>
      <c r="CT13">
        <f>IF(COUNTIFS(T_StockCount[RM_Code],$A13,T_StockCount[WeekIndex],97)&gt;0,SUMIFS(T_StockCount[CountedQty],T_StockCount[RM_Code],$A13,T_StockCount[WeekIndex],97),IF((COUNTIFS(T_SelfStock[RM_Code],$A13,T_SelfStock[WeekIndex],97)&gt;0)*(COUNTIFS(T_TTAFStock[RM_Code],$A13,T_TTAFStock[WeekIndex],97)&gt;0)&gt;0,SUMIFS(T_SelfStock[Self_Qty],T_SelfStock[RM_Code],$A13,T_SelfStock[WeekIndex],97)+SUMIFS(T_TTAFStock[TTAF_Qty],T_TTAFStock[RM_Code],$A13,T_TTAFStock[WeekIndex],97),CS13+'Grid_Incoming'!CT13-'Grid_Requirement'!CT13))</f>
        <v/>
      </c>
      <c r="CU13">
        <f>IF(COUNTIFS(T_StockCount[RM_Code],$A13,T_StockCount[WeekIndex],98)&gt;0,SUMIFS(T_StockCount[CountedQty],T_StockCount[RM_Code],$A13,T_StockCount[WeekIndex],98),IF((COUNTIFS(T_SelfStock[RM_Code],$A13,T_SelfStock[WeekIndex],98)&gt;0)*(COUNTIFS(T_TTAFStock[RM_Code],$A13,T_TTAFStock[WeekIndex],98)&gt;0)&gt;0,SUMIFS(T_SelfStock[Self_Qty],T_SelfStock[RM_Code],$A13,T_SelfStock[WeekIndex],98)+SUMIFS(T_TTAFStock[TTAF_Qty],T_TTAFStock[RM_Code],$A13,T_TTAFStock[WeekIndex],98),CT13+'Grid_Incoming'!CU13-'Grid_Requirement'!CU13))</f>
        <v/>
      </c>
      <c r="CV13">
        <f>IF(COUNTIFS(T_StockCount[RM_Code],$A13,T_StockCount[WeekIndex],99)&gt;0,SUMIFS(T_StockCount[CountedQty],T_StockCount[RM_Code],$A13,T_StockCount[WeekIndex],99),IF((COUNTIFS(T_SelfStock[RM_Code],$A13,T_SelfStock[WeekIndex],99)&gt;0)*(COUNTIFS(T_TTAFStock[RM_Code],$A13,T_TTAFStock[WeekIndex],99)&gt;0)&gt;0,SUMIFS(T_SelfStock[Self_Qty],T_SelfStock[RM_Code],$A13,T_SelfStock[WeekIndex],99)+SUMIFS(T_TTAFStock[TTAF_Qty],T_TTAFStock[RM_Code],$A13,T_TTAFStock[WeekIndex],99),CU13+'Grid_Incoming'!CV13-'Grid_Requirement'!CV13))</f>
        <v/>
      </c>
      <c r="CW13">
        <f>IF(COUNTIFS(T_StockCount[RM_Code],$A13,T_StockCount[WeekIndex],100)&gt;0,SUMIFS(T_StockCount[CountedQty],T_StockCount[RM_Code],$A13,T_StockCount[WeekIndex],100),IF((COUNTIFS(T_SelfStock[RM_Code],$A13,T_SelfStock[WeekIndex],100)&gt;0)*(COUNTIFS(T_TTAFStock[RM_Code],$A13,T_TTAFStock[WeekIndex],100)&gt;0)&gt;0,SUMIFS(T_SelfStock[Self_Qty],T_SelfStock[RM_Code],$A13,T_SelfStock[WeekIndex],100)+SUMIFS(T_TTAFStock[TTAF_Qty],T_TTAFStock[RM_Code],$A13,T_TTAFStock[WeekIndex],100),CV13+'Grid_Incoming'!CW13-'Grid_Requirement'!CW13))</f>
        <v/>
      </c>
      <c r="CX13">
        <f>IF(COUNTIFS(T_StockCount[RM_Code],$A13,T_StockCount[WeekIndex],101)&gt;0,SUMIFS(T_StockCount[CountedQty],T_StockCount[RM_Code],$A13,T_StockCount[WeekIndex],101),IF((COUNTIFS(T_SelfStock[RM_Code],$A13,T_SelfStock[WeekIndex],101)&gt;0)*(COUNTIFS(T_TTAFStock[RM_Code],$A13,T_TTAFStock[WeekIndex],101)&gt;0)&gt;0,SUMIFS(T_SelfStock[Self_Qty],T_SelfStock[RM_Code],$A13,T_SelfStock[WeekIndex],101)+SUMIFS(T_TTAFStock[TTAF_Qty],T_TTAFStock[RM_Code],$A13,T_TTAFStock[WeekIndex],101),CW13+'Grid_Incoming'!CX13-'Grid_Requirement'!CX13))</f>
        <v/>
      </c>
      <c r="CY13">
        <f>IF(COUNTIFS(T_StockCount[RM_Code],$A13,T_StockCount[WeekIndex],102)&gt;0,SUMIFS(T_StockCount[CountedQty],T_StockCount[RM_Code],$A13,T_StockCount[WeekIndex],102),IF((COUNTIFS(T_SelfStock[RM_Code],$A13,T_SelfStock[WeekIndex],102)&gt;0)*(COUNTIFS(T_TTAFStock[RM_Code],$A13,T_TTAFStock[WeekIndex],102)&gt;0)&gt;0,SUMIFS(T_SelfStock[Self_Qty],T_SelfStock[RM_Code],$A13,T_SelfStock[WeekIndex],102)+SUMIFS(T_TTAFStock[TTAF_Qty],T_TTAFStock[RM_Code],$A13,T_TTAFStock[WeekIndex],102),CX13+'Grid_Incoming'!CY13-'Grid_Requirement'!CY13))</f>
        <v/>
      </c>
      <c r="CZ13">
        <f>IF(COUNTIFS(T_StockCount[RM_Code],$A13,T_StockCount[WeekIndex],103)&gt;0,SUMIFS(T_StockCount[CountedQty],T_StockCount[RM_Code],$A13,T_StockCount[WeekIndex],103),IF((COUNTIFS(T_SelfStock[RM_Code],$A13,T_SelfStock[WeekIndex],103)&gt;0)*(COUNTIFS(T_TTAFStock[RM_Code],$A13,T_TTAFStock[WeekIndex],103)&gt;0)&gt;0,SUMIFS(T_SelfStock[Self_Qty],T_SelfStock[RM_Code],$A13,T_SelfStock[WeekIndex],103)+SUMIFS(T_TTAFStock[TTAF_Qty],T_TTAFStock[RM_Code],$A13,T_TTAFStock[WeekIndex],103),CY13+'Grid_Incoming'!CZ13-'Grid_Requirement'!CZ13))</f>
        <v/>
      </c>
      <c r="DA13">
        <f>IF(COUNTIFS(T_StockCount[RM_Code],$A13,T_StockCount[WeekIndex],104)&gt;0,SUMIFS(T_StockCount[CountedQty],T_StockCount[RM_Code],$A13,T_StockCount[WeekIndex],104),IF((COUNTIFS(T_SelfStock[RM_Code],$A13,T_SelfStock[WeekIndex],104)&gt;0)*(COUNTIFS(T_TTAFStock[RM_Code],$A13,T_TTAFStock[WeekIndex],104)&gt;0)&gt;0,SUMIFS(T_SelfStock[Self_Qty],T_SelfStock[RM_Code],$A13,T_SelfStock[WeekIndex],104)+SUMIFS(T_TTAFStock[TTAF_Qty],T_TTAFStock[RM_Code],$A13,T_TTAFStock[WeekIndex],104),CZ13+'Grid_Incoming'!DA13-'Grid_Requirement'!DA13))</f>
        <v/>
      </c>
    </row>
    <row r="14">
      <c r="A14" t="inlineStr">
        <is>
          <t>7CL</t>
        </is>
      </c>
      <c r="B14">
        <f>IF(COUNTIFS(T_StockCount[RM_Code],$A14,T_StockCount[WeekIndex],1)&gt;0,SUMIFS(T_StockCount[CountedQty],T_StockCount[RM_Code],$A14,T_StockCount[WeekIndex],1),IF((COUNTIFS(T_SelfStock[RM_Code],$A14,T_SelfStock[WeekIndex],1)&gt;0)*(COUNTIFS(T_TTAFStock[RM_Code],$A14,T_TTAFStock[WeekIndex],1)&gt;0)&gt;0,SUMIFS(T_SelfStock[Self_Qty],T_SelfStock[RM_Code],$A14,T_SelfStock[WeekIndex],1)+SUMIFS(T_TTAFStock[TTAF_Qty],T_TTAFStock[RM_Code],$A14,T_TTAFStock[WeekIndex],1),IFERROR(INDEX(T_OpeningStock[Opening_Qty],MATCH($A14,T_OpeningStock[RM_Code],0)),0)+'Grid_Incoming'!B14-'Grid_Requirement'!B14))</f>
        <v/>
      </c>
      <c r="C14">
        <f>IF(COUNTIFS(T_StockCount[RM_Code],$A14,T_StockCount[WeekIndex],2)&gt;0,SUMIFS(T_StockCount[CountedQty],T_StockCount[RM_Code],$A14,T_StockCount[WeekIndex],2),IF((COUNTIFS(T_SelfStock[RM_Code],$A14,T_SelfStock[WeekIndex],2)&gt;0)*(COUNTIFS(T_TTAFStock[RM_Code],$A14,T_TTAFStock[WeekIndex],2)&gt;0)&gt;0,SUMIFS(T_SelfStock[Self_Qty],T_SelfStock[RM_Code],$A14,T_SelfStock[WeekIndex],2)+SUMIFS(T_TTAFStock[TTAF_Qty],T_TTAFStock[RM_Code],$A14,T_TTAFStock[WeekIndex],2),B14+'Grid_Incoming'!C14-'Grid_Requirement'!C14))</f>
        <v/>
      </c>
      <c r="D14">
        <f>IF(COUNTIFS(T_StockCount[RM_Code],$A14,T_StockCount[WeekIndex],3)&gt;0,SUMIFS(T_StockCount[CountedQty],T_StockCount[RM_Code],$A14,T_StockCount[WeekIndex],3),IF((COUNTIFS(T_SelfStock[RM_Code],$A14,T_SelfStock[WeekIndex],3)&gt;0)*(COUNTIFS(T_TTAFStock[RM_Code],$A14,T_TTAFStock[WeekIndex],3)&gt;0)&gt;0,SUMIFS(T_SelfStock[Self_Qty],T_SelfStock[RM_Code],$A14,T_SelfStock[WeekIndex],3)+SUMIFS(T_TTAFStock[TTAF_Qty],T_TTAFStock[RM_Code],$A14,T_TTAFStock[WeekIndex],3),C14+'Grid_Incoming'!D14-'Grid_Requirement'!D14))</f>
        <v/>
      </c>
      <c r="E14">
        <f>IF(COUNTIFS(T_StockCount[RM_Code],$A14,T_StockCount[WeekIndex],4)&gt;0,SUMIFS(T_StockCount[CountedQty],T_StockCount[RM_Code],$A14,T_StockCount[WeekIndex],4),IF((COUNTIFS(T_SelfStock[RM_Code],$A14,T_SelfStock[WeekIndex],4)&gt;0)*(COUNTIFS(T_TTAFStock[RM_Code],$A14,T_TTAFStock[WeekIndex],4)&gt;0)&gt;0,SUMIFS(T_SelfStock[Self_Qty],T_SelfStock[RM_Code],$A14,T_SelfStock[WeekIndex],4)+SUMIFS(T_TTAFStock[TTAF_Qty],T_TTAFStock[RM_Code],$A14,T_TTAFStock[WeekIndex],4),D14+'Grid_Incoming'!E14-'Grid_Requirement'!E14))</f>
        <v/>
      </c>
      <c r="F14">
        <f>IF(COUNTIFS(T_StockCount[RM_Code],$A14,T_StockCount[WeekIndex],5)&gt;0,SUMIFS(T_StockCount[CountedQty],T_StockCount[RM_Code],$A14,T_StockCount[WeekIndex],5),IF((COUNTIFS(T_SelfStock[RM_Code],$A14,T_SelfStock[WeekIndex],5)&gt;0)*(COUNTIFS(T_TTAFStock[RM_Code],$A14,T_TTAFStock[WeekIndex],5)&gt;0)&gt;0,SUMIFS(T_SelfStock[Self_Qty],T_SelfStock[RM_Code],$A14,T_SelfStock[WeekIndex],5)+SUMIFS(T_TTAFStock[TTAF_Qty],T_TTAFStock[RM_Code],$A14,T_TTAFStock[WeekIndex],5),E14+'Grid_Incoming'!F14-'Grid_Requirement'!F14))</f>
        <v/>
      </c>
      <c r="G14">
        <f>IF(COUNTIFS(T_StockCount[RM_Code],$A14,T_StockCount[WeekIndex],6)&gt;0,SUMIFS(T_StockCount[CountedQty],T_StockCount[RM_Code],$A14,T_StockCount[WeekIndex],6),IF((COUNTIFS(T_SelfStock[RM_Code],$A14,T_SelfStock[WeekIndex],6)&gt;0)*(COUNTIFS(T_TTAFStock[RM_Code],$A14,T_TTAFStock[WeekIndex],6)&gt;0)&gt;0,SUMIFS(T_SelfStock[Self_Qty],T_SelfStock[RM_Code],$A14,T_SelfStock[WeekIndex],6)+SUMIFS(T_TTAFStock[TTAF_Qty],T_TTAFStock[RM_Code],$A14,T_TTAFStock[WeekIndex],6),F14+'Grid_Incoming'!G14-'Grid_Requirement'!G14))</f>
        <v/>
      </c>
      <c r="H14">
        <f>IF(COUNTIFS(T_StockCount[RM_Code],$A14,T_StockCount[WeekIndex],7)&gt;0,SUMIFS(T_StockCount[CountedQty],T_StockCount[RM_Code],$A14,T_StockCount[WeekIndex],7),IF((COUNTIFS(T_SelfStock[RM_Code],$A14,T_SelfStock[WeekIndex],7)&gt;0)*(COUNTIFS(T_TTAFStock[RM_Code],$A14,T_TTAFStock[WeekIndex],7)&gt;0)&gt;0,SUMIFS(T_SelfStock[Self_Qty],T_SelfStock[RM_Code],$A14,T_SelfStock[WeekIndex],7)+SUMIFS(T_TTAFStock[TTAF_Qty],T_TTAFStock[RM_Code],$A14,T_TTAFStock[WeekIndex],7),G14+'Grid_Incoming'!H14-'Grid_Requirement'!H14))</f>
        <v/>
      </c>
      <c r="I14">
        <f>IF(COUNTIFS(T_StockCount[RM_Code],$A14,T_StockCount[WeekIndex],8)&gt;0,SUMIFS(T_StockCount[CountedQty],T_StockCount[RM_Code],$A14,T_StockCount[WeekIndex],8),IF((COUNTIFS(T_SelfStock[RM_Code],$A14,T_SelfStock[WeekIndex],8)&gt;0)*(COUNTIFS(T_TTAFStock[RM_Code],$A14,T_TTAFStock[WeekIndex],8)&gt;0)&gt;0,SUMIFS(T_SelfStock[Self_Qty],T_SelfStock[RM_Code],$A14,T_SelfStock[WeekIndex],8)+SUMIFS(T_TTAFStock[TTAF_Qty],T_TTAFStock[RM_Code],$A14,T_TTAFStock[WeekIndex],8),H14+'Grid_Incoming'!I14-'Grid_Requirement'!I14))</f>
        <v/>
      </c>
      <c r="J14">
        <f>IF(COUNTIFS(T_StockCount[RM_Code],$A14,T_StockCount[WeekIndex],9)&gt;0,SUMIFS(T_StockCount[CountedQty],T_StockCount[RM_Code],$A14,T_StockCount[WeekIndex],9),IF((COUNTIFS(T_SelfStock[RM_Code],$A14,T_SelfStock[WeekIndex],9)&gt;0)*(COUNTIFS(T_TTAFStock[RM_Code],$A14,T_TTAFStock[WeekIndex],9)&gt;0)&gt;0,SUMIFS(T_SelfStock[Self_Qty],T_SelfStock[RM_Code],$A14,T_SelfStock[WeekIndex],9)+SUMIFS(T_TTAFStock[TTAF_Qty],T_TTAFStock[RM_Code],$A14,T_TTAFStock[WeekIndex],9),I14+'Grid_Incoming'!J14-'Grid_Requirement'!J14))</f>
        <v/>
      </c>
      <c r="K14">
        <f>IF(COUNTIFS(T_StockCount[RM_Code],$A14,T_StockCount[WeekIndex],10)&gt;0,SUMIFS(T_StockCount[CountedQty],T_StockCount[RM_Code],$A14,T_StockCount[WeekIndex],10),IF((COUNTIFS(T_SelfStock[RM_Code],$A14,T_SelfStock[WeekIndex],10)&gt;0)*(COUNTIFS(T_TTAFStock[RM_Code],$A14,T_TTAFStock[WeekIndex],10)&gt;0)&gt;0,SUMIFS(T_SelfStock[Self_Qty],T_SelfStock[RM_Code],$A14,T_SelfStock[WeekIndex],10)+SUMIFS(T_TTAFStock[TTAF_Qty],T_TTAFStock[RM_Code],$A14,T_TTAFStock[WeekIndex],10),J14+'Grid_Incoming'!K14-'Grid_Requirement'!K14))</f>
        <v/>
      </c>
      <c r="L14">
        <f>IF(COUNTIFS(T_StockCount[RM_Code],$A14,T_StockCount[WeekIndex],11)&gt;0,SUMIFS(T_StockCount[CountedQty],T_StockCount[RM_Code],$A14,T_StockCount[WeekIndex],11),IF((COUNTIFS(T_SelfStock[RM_Code],$A14,T_SelfStock[WeekIndex],11)&gt;0)*(COUNTIFS(T_TTAFStock[RM_Code],$A14,T_TTAFStock[WeekIndex],11)&gt;0)&gt;0,SUMIFS(T_SelfStock[Self_Qty],T_SelfStock[RM_Code],$A14,T_SelfStock[WeekIndex],11)+SUMIFS(T_TTAFStock[TTAF_Qty],T_TTAFStock[RM_Code],$A14,T_TTAFStock[WeekIndex],11),K14+'Grid_Incoming'!L14-'Grid_Requirement'!L14))</f>
        <v/>
      </c>
      <c r="M14">
        <f>IF(COUNTIFS(T_StockCount[RM_Code],$A14,T_StockCount[WeekIndex],12)&gt;0,SUMIFS(T_StockCount[CountedQty],T_StockCount[RM_Code],$A14,T_StockCount[WeekIndex],12),IF((COUNTIFS(T_SelfStock[RM_Code],$A14,T_SelfStock[WeekIndex],12)&gt;0)*(COUNTIFS(T_TTAFStock[RM_Code],$A14,T_TTAFStock[WeekIndex],12)&gt;0)&gt;0,SUMIFS(T_SelfStock[Self_Qty],T_SelfStock[RM_Code],$A14,T_SelfStock[WeekIndex],12)+SUMIFS(T_TTAFStock[TTAF_Qty],T_TTAFStock[RM_Code],$A14,T_TTAFStock[WeekIndex],12),L14+'Grid_Incoming'!M14-'Grid_Requirement'!M14))</f>
        <v/>
      </c>
      <c r="N14">
        <f>IF(COUNTIFS(T_StockCount[RM_Code],$A14,T_StockCount[WeekIndex],13)&gt;0,SUMIFS(T_StockCount[CountedQty],T_StockCount[RM_Code],$A14,T_StockCount[WeekIndex],13),IF((COUNTIFS(T_SelfStock[RM_Code],$A14,T_SelfStock[WeekIndex],13)&gt;0)*(COUNTIFS(T_TTAFStock[RM_Code],$A14,T_TTAFStock[WeekIndex],13)&gt;0)&gt;0,SUMIFS(T_SelfStock[Self_Qty],T_SelfStock[RM_Code],$A14,T_SelfStock[WeekIndex],13)+SUMIFS(T_TTAFStock[TTAF_Qty],T_TTAFStock[RM_Code],$A14,T_TTAFStock[WeekIndex],13),M14+'Grid_Incoming'!N14-'Grid_Requirement'!N14))</f>
        <v/>
      </c>
      <c r="O14">
        <f>IF(COUNTIFS(T_StockCount[RM_Code],$A14,T_StockCount[WeekIndex],14)&gt;0,SUMIFS(T_StockCount[CountedQty],T_StockCount[RM_Code],$A14,T_StockCount[WeekIndex],14),IF((COUNTIFS(T_SelfStock[RM_Code],$A14,T_SelfStock[WeekIndex],14)&gt;0)*(COUNTIFS(T_TTAFStock[RM_Code],$A14,T_TTAFStock[WeekIndex],14)&gt;0)&gt;0,SUMIFS(T_SelfStock[Self_Qty],T_SelfStock[RM_Code],$A14,T_SelfStock[WeekIndex],14)+SUMIFS(T_TTAFStock[TTAF_Qty],T_TTAFStock[RM_Code],$A14,T_TTAFStock[WeekIndex],14),N14+'Grid_Incoming'!O14-'Grid_Requirement'!O14))</f>
        <v/>
      </c>
      <c r="P14">
        <f>IF(COUNTIFS(T_StockCount[RM_Code],$A14,T_StockCount[WeekIndex],15)&gt;0,SUMIFS(T_StockCount[CountedQty],T_StockCount[RM_Code],$A14,T_StockCount[WeekIndex],15),IF((COUNTIFS(T_SelfStock[RM_Code],$A14,T_SelfStock[WeekIndex],15)&gt;0)*(COUNTIFS(T_TTAFStock[RM_Code],$A14,T_TTAFStock[WeekIndex],15)&gt;0)&gt;0,SUMIFS(T_SelfStock[Self_Qty],T_SelfStock[RM_Code],$A14,T_SelfStock[WeekIndex],15)+SUMIFS(T_TTAFStock[TTAF_Qty],T_TTAFStock[RM_Code],$A14,T_TTAFStock[WeekIndex],15),O14+'Grid_Incoming'!P14-'Grid_Requirement'!P14))</f>
        <v/>
      </c>
      <c r="Q14">
        <f>IF(COUNTIFS(T_StockCount[RM_Code],$A14,T_StockCount[WeekIndex],16)&gt;0,SUMIFS(T_StockCount[CountedQty],T_StockCount[RM_Code],$A14,T_StockCount[WeekIndex],16),IF((COUNTIFS(T_SelfStock[RM_Code],$A14,T_SelfStock[WeekIndex],16)&gt;0)*(COUNTIFS(T_TTAFStock[RM_Code],$A14,T_TTAFStock[WeekIndex],16)&gt;0)&gt;0,SUMIFS(T_SelfStock[Self_Qty],T_SelfStock[RM_Code],$A14,T_SelfStock[WeekIndex],16)+SUMIFS(T_TTAFStock[TTAF_Qty],T_TTAFStock[RM_Code],$A14,T_TTAFStock[WeekIndex],16),P14+'Grid_Incoming'!Q14-'Grid_Requirement'!Q14))</f>
        <v/>
      </c>
      <c r="R14">
        <f>IF(COUNTIFS(T_StockCount[RM_Code],$A14,T_StockCount[WeekIndex],17)&gt;0,SUMIFS(T_StockCount[CountedQty],T_StockCount[RM_Code],$A14,T_StockCount[WeekIndex],17),IF((COUNTIFS(T_SelfStock[RM_Code],$A14,T_SelfStock[WeekIndex],17)&gt;0)*(COUNTIFS(T_TTAFStock[RM_Code],$A14,T_TTAFStock[WeekIndex],17)&gt;0)&gt;0,SUMIFS(T_SelfStock[Self_Qty],T_SelfStock[RM_Code],$A14,T_SelfStock[WeekIndex],17)+SUMIFS(T_TTAFStock[TTAF_Qty],T_TTAFStock[RM_Code],$A14,T_TTAFStock[WeekIndex],17),Q14+'Grid_Incoming'!R14-'Grid_Requirement'!R14))</f>
        <v/>
      </c>
      <c r="S14">
        <f>IF(COUNTIFS(T_StockCount[RM_Code],$A14,T_StockCount[WeekIndex],18)&gt;0,SUMIFS(T_StockCount[CountedQty],T_StockCount[RM_Code],$A14,T_StockCount[WeekIndex],18),IF((COUNTIFS(T_SelfStock[RM_Code],$A14,T_SelfStock[WeekIndex],18)&gt;0)*(COUNTIFS(T_TTAFStock[RM_Code],$A14,T_TTAFStock[WeekIndex],18)&gt;0)&gt;0,SUMIFS(T_SelfStock[Self_Qty],T_SelfStock[RM_Code],$A14,T_SelfStock[WeekIndex],18)+SUMIFS(T_TTAFStock[TTAF_Qty],T_TTAFStock[RM_Code],$A14,T_TTAFStock[WeekIndex],18),R14+'Grid_Incoming'!S14-'Grid_Requirement'!S14))</f>
        <v/>
      </c>
      <c r="T14">
        <f>IF(COUNTIFS(T_StockCount[RM_Code],$A14,T_StockCount[WeekIndex],19)&gt;0,SUMIFS(T_StockCount[CountedQty],T_StockCount[RM_Code],$A14,T_StockCount[WeekIndex],19),IF((COUNTIFS(T_SelfStock[RM_Code],$A14,T_SelfStock[WeekIndex],19)&gt;0)*(COUNTIFS(T_TTAFStock[RM_Code],$A14,T_TTAFStock[WeekIndex],19)&gt;0)&gt;0,SUMIFS(T_SelfStock[Self_Qty],T_SelfStock[RM_Code],$A14,T_SelfStock[WeekIndex],19)+SUMIFS(T_TTAFStock[TTAF_Qty],T_TTAFStock[RM_Code],$A14,T_TTAFStock[WeekIndex],19),S14+'Grid_Incoming'!T14-'Grid_Requirement'!T14))</f>
        <v/>
      </c>
      <c r="U14">
        <f>IF(COUNTIFS(T_StockCount[RM_Code],$A14,T_StockCount[WeekIndex],20)&gt;0,SUMIFS(T_StockCount[CountedQty],T_StockCount[RM_Code],$A14,T_StockCount[WeekIndex],20),IF((COUNTIFS(T_SelfStock[RM_Code],$A14,T_SelfStock[WeekIndex],20)&gt;0)*(COUNTIFS(T_TTAFStock[RM_Code],$A14,T_TTAFStock[WeekIndex],20)&gt;0)&gt;0,SUMIFS(T_SelfStock[Self_Qty],T_SelfStock[RM_Code],$A14,T_SelfStock[WeekIndex],20)+SUMIFS(T_TTAFStock[TTAF_Qty],T_TTAFStock[RM_Code],$A14,T_TTAFStock[WeekIndex],20),T14+'Grid_Incoming'!U14-'Grid_Requirement'!U14))</f>
        <v/>
      </c>
      <c r="V14">
        <f>IF(COUNTIFS(T_StockCount[RM_Code],$A14,T_StockCount[WeekIndex],21)&gt;0,SUMIFS(T_StockCount[CountedQty],T_StockCount[RM_Code],$A14,T_StockCount[WeekIndex],21),IF((COUNTIFS(T_SelfStock[RM_Code],$A14,T_SelfStock[WeekIndex],21)&gt;0)*(COUNTIFS(T_TTAFStock[RM_Code],$A14,T_TTAFStock[WeekIndex],21)&gt;0)&gt;0,SUMIFS(T_SelfStock[Self_Qty],T_SelfStock[RM_Code],$A14,T_SelfStock[WeekIndex],21)+SUMIFS(T_TTAFStock[TTAF_Qty],T_TTAFStock[RM_Code],$A14,T_TTAFStock[WeekIndex],21),U14+'Grid_Incoming'!V14-'Grid_Requirement'!V14))</f>
        <v/>
      </c>
      <c r="W14">
        <f>IF(COUNTIFS(T_StockCount[RM_Code],$A14,T_StockCount[WeekIndex],22)&gt;0,SUMIFS(T_StockCount[CountedQty],T_StockCount[RM_Code],$A14,T_StockCount[WeekIndex],22),IF((COUNTIFS(T_SelfStock[RM_Code],$A14,T_SelfStock[WeekIndex],22)&gt;0)*(COUNTIFS(T_TTAFStock[RM_Code],$A14,T_TTAFStock[WeekIndex],22)&gt;0)&gt;0,SUMIFS(T_SelfStock[Self_Qty],T_SelfStock[RM_Code],$A14,T_SelfStock[WeekIndex],22)+SUMIFS(T_TTAFStock[TTAF_Qty],T_TTAFStock[RM_Code],$A14,T_TTAFStock[WeekIndex],22),V14+'Grid_Incoming'!W14-'Grid_Requirement'!W14))</f>
        <v/>
      </c>
      <c r="X14">
        <f>IF(COUNTIFS(T_StockCount[RM_Code],$A14,T_StockCount[WeekIndex],23)&gt;0,SUMIFS(T_StockCount[CountedQty],T_StockCount[RM_Code],$A14,T_StockCount[WeekIndex],23),IF((COUNTIFS(T_SelfStock[RM_Code],$A14,T_SelfStock[WeekIndex],23)&gt;0)*(COUNTIFS(T_TTAFStock[RM_Code],$A14,T_TTAFStock[WeekIndex],23)&gt;0)&gt;0,SUMIFS(T_SelfStock[Self_Qty],T_SelfStock[RM_Code],$A14,T_SelfStock[WeekIndex],23)+SUMIFS(T_TTAFStock[TTAF_Qty],T_TTAFStock[RM_Code],$A14,T_TTAFStock[WeekIndex],23),W14+'Grid_Incoming'!X14-'Grid_Requirement'!X14))</f>
        <v/>
      </c>
      <c r="Y14">
        <f>IF(COUNTIFS(T_StockCount[RM_Code],$A14,T_StockCount[WeekIndex],24)&gt;0,SUMIFS(T_StockCount[CountedQty],T_StockCount[RM_Code],$A14,T_StockCount[WeekIndex],24),IF((COUNTIFS(T_SelfStock[RM_Code],$A14,T_SelfStock[WeekIndex],24)&gt;0)*(COUNTIFS(T_TTAFStock[RM_Code],$A14,T_TTAFStock[WeekIndex],24)&gt;0)&gt;0,SUMIFS(T_SelfStock[Self_Qty],T_SelfStock[RM_Code],$A14,T_SelfStock[WeekIndex],24)+SUMIFS(T_TTAFStock[TTAF_Qty],T_TTAFStock[RM_Code],$A14,T_TTAFStock[WeekIndex],24),X14+'Grid_Incoming'!Y14-'Grid_Requirement'!Y14))</f>
        <v/>
      </c>
      <c r="Z14">
        <f>IF(COUNTIFS(T_StockCount[RM_Code],$A14,T_StockCount[WeekIndex],25)&gt;0,SUMIFS(T_StockCount[CountedQty],T_StockCount[RM_Code],$A14,T_StockCount[WeekIndex],25),IF((COUNTIFS(T_SelfStock[RM_Code],$A14,T_SelfStock[WeekIndex],25)&gt;0)*(COUNTIFS(T_TTAFStock[RM_Code],$A14,T_TTAFStock[WeekIndex],25)&gt;0)&gt;0,SUMIFS(T_SelfStock[Self_Qty],T_SelfStock[RM_Code],$A14,T_SelfStock[WeekIndex],25)+SUMIFS(T_TTAFStock[TTAF_Qty],T_TTAFStock[RM_Code],$A14,T_TTAFStock[WeekIndex],25),Y14+'Grid_Incoming'!Z14-'Grid_Requirement'!Z14))</f>
        <v/>
      </c>
      <c r="AA14">
        <f>IF(COUNTIFS(T_StockCount[RM_Code],$A14,T_StockCount[WeekIndex],26)&gt;0,SUMIFS(T_StockCount[CountedQty],T_StockCount[RM_Code],$A14,T_StockCount[WeekIndex],26),IF((COUNTIFS(T_SelfStock[RM_Code],$A14,T_SelfStock[WeekIndex],26)&gt;0)*(COUNTIFS(T_TTAFStock[RM_Code],$A14,T_TTAFStock[WeekIndex],26)&gt;0)&gt;0,SUMIFS(T_SelfStock[Self_Qty],T_SelfStock[RM_Code],$A14,T_SelfStock[WeekIndex],26)+SUMIFS(T_TTAFStock[TTAF_Qty],T_TTAFStock[RM_Code],$A14,T_TTAFStock[WeekIndex],26),Z14+'Grid_Incoming'!AA14-'Grid_Requirement'!AA14))</f>
        <v/>
      </c>
      <c r="AB14">
        <f>IF(COUNTIFS(T_StockCount[RM_Code],$A14,T_StockCount[WeekIndex],27)&gt;0,SUMIFS(T_StockCount[CountedQty],T_StockCount[RM_Code],$A14,T_StockCount[WeekIndex],27),IF((COUNTIFS(T_SelfStock[RM_Code],$A14,T_SelfStock[WeekIndex],27)&gt;0)*(COUNTIFS(T_TTAFStock[RM_Code],$A14,T_TTAFStock[WeekIndex],27)&gt;0)&gt;0,SUMIFS(T_SelfStock[Self_Qty],T_SelfStock[RM_Code],$A14,T_SelfStock[WeekIndex],27)+SUMIFS(T_TTAFStock[TTAF_Qty],T_TTAFStock[RM_Code],$A14,T_TTAFStock[WeekIndex],27),AA14+'Grid_Incoming'!AB14-'Grid_Requirement'!AB14))</f>
        <v/>
      </c>
      <c r="AC14">
        <f>IF(COUNTIFS(T_StockCount[RM_Code],$A14,T_StockCount[WeekIndex],28)&gt;0,SUMIFS(T_StockCount[CountedQty],T_StockCount[RM_Code],$A14,T_StockCount[WeekIndex],28),IF((COUNTIFS(T_SelfStock[RM_Code],$A14,T_SelfStock[WeekIndex],28)&gt;0)*(COUNTIFS(T_TTAFStock[RM_Code],$A14,T_TTAFStock[WeekIndex],28)&gt;0)&gt;0,SUMIFS(T_SelfStock[Self_Qty],T_SelfStock[RM_Code],$A14,T_SelfStock[WeekIndex],28)+SUMIFS(T_TTAFStock[TTAF_Qty],T_TTAFStock[RM_Code],$A14,T_TTAFStock[WeekIndex],28),AB14+'Grid_Incoming'!AC14-'Grid_Requirement'!AC14))</f>
        <v/>
      </c>
      <c r="AD14">
        <f>IF(COUNTIFS(T_StockCount[RM_Code],$A14,T_StockCount[WeekIndex],29)&gt;0,SUMIFS(T_StockCount[CountedQty],T_StockCount[RM_Code],$A14,T_StockCount[WeekIndex],29),IF((COUNTIFS(T_SelfStock[RM_Code],$A14,T_SelfStock[WeekIndex],29)&gt;0)*(COUNTIFS(T_TTAFStock[RM_Code],$A14,T_TTAFStock[WeekIndex],29)&gt;0)&gt;0,SUMIFS(T_SelfStock[Self_Qty],T_SelfStock[RM_Code],$A14,T_SelfStock[WeekIndex],29)+SUMIFS(T_TTAFStock[TTAF_Qty],T_TTAFStock[RM_Code],$A14,T_TTAFStock[WeekIndex],29),AC14+'Grid_Incoming'!AD14-'Grid_Requirement'!AD14))</f>
        <v/>
      </c>
      <c r="AE14">
        <f>IF(COUNTIFS(T_StockCount[RM_Code],$A14,T_StockCount[WeekIndex],30)&gt;0,SUMIFS(T_StockCount[CountedQty],T_StockCount[RM_Code],$A14,T_StockCount[WeekIndex],30),IF((COUNTIFS(T_SelfStock[RM_Code],$A14,T_SelfStock[WeekIndex],30)&gt;0)*(COUNTIFS(T_TTAFStock[RM_Code],$A14,T_TTAFStock[WeekIndex],30)&gt;0)&gt;0,SUMIFS(T_SelfStock[Self_Qty],T_SelfStock[RM_Code],$A14,T_SelfStock[WeekIndex],30)+SUMIFS(T_TTAFStock[TTAF_Qty],T_TTAFStock[RM_Code],$A14,T_TTAFStock[WeekIndex],30),AD14+'Grid_Incoming'!AE14-'Grid_Requirement'!AE14))</f>
        <v/>
      </c>
      <c r="AF14">
        <f>IF(COUNTIFS(T_StockCount[RM_Code],$A14,T_StockCount[WeekIndex],31)&gt;0,SUMIFS(T_StockCount[CountedQty],T_StockCount[RM_Code],$A14,T_StockCount[WeekIndex],31),IF((COUNTIFS(T_SelfStock[RM_Code],$A14,T_SelfStock[WeekIndex],31)&gt;0)*(COUNTIFS(T_TTAFStock[RM_Code],$A14,T_TTAFStock[WeekIndex],31)&gt;0)&gt;0,SUMIFS(T_SelfStock[Self_Qty],T_SelfStock[RM_Code],$A14,T_SelfStock[WeekIndex],31)+SUMIFS(T_TTAFStock[TTAF_Qty],T_TTAFStock[RM_Code],$A14,T_TTAFStock[WeekIndex],31),AE14+'Grid_Incoming'!AF14-'Grid_Requirement'!AF14))</f>
        <v/>
      </c>
      <c r="AG14">
        <f>IF(COUNTIFS(T_StockCount[RM_Code],$A14,T_StockCount[WeekIndex],32)&gt;0,SUMIFS(T_StockCount[CountedQty],T_StockCount[RM_Code],$A14,T_StockCount[WeekIndex],32),IF((COUNTIFS(T_SelfStock[RM_Code],$A14,T_SelfStock[WeekIndex],32)&gt;0)*(COUNTIFS(T_TTAFStock[RM_Code],$A14,T_TTAFStock[WeekIndex],32)&gt;0)&gt;0,SUMIFS(T_SelfStock[Self_Qty],T_SelfStock[RM_Code],$A14,T_SelfStock[WeekIndex],32)+SUMIFS(T_TTAFStock[TTAF_Qty],T_TTAFStock[RM_Code],$A14,T_TTAFStock[WeekIndex],32),AF14+'Grid_Incoming'!AG14-'Grid_Requirement'!AG14))</f>
        <v/>
      </c>
      <c r="AH14">
        <f>IF(COUNTIFS(T_StockCount[RM_Code],$A14,T_StockCount[WeekIndex],33)&gt;0,SUMIFS(T_StockCount[CountedQty],T_StockCount[RM_Code],$A14,T_StockCount[WeekIndex],33),IF((COUNTIFS(T_SelfStock[RM_Code],$A14,T_SelfStock[WeekIndex],33)&gt;0)*(COUNTIFS(T_TTAFStock[RM_Code],$A14,T_TTAFStock[WeekIndex],33)&gt;0)&gt;0,SUMIFS(T_SelfStock[Self_Qty],T_SelfStock[RM_Code],$A14,T_SelfStock[WeekIndex],33)+SUMIFS(T_TTAFStock[TTAF_Qty],T_TTAFStock[RM_Code],$A14,T_TTAFStock[WeekIndex],33),AG14+'Grid_Incoming'!AH14-'Grid_Requirement'!AH14))</f>
        <v/>
      </c>
      <c r="AI14">
        <f>IF(COUNTIFS(T_StockCount[RM_Code],$A14,T_StockCount[WeekIndex],34)&gt;0,SUMIFS(T_StockCount[CountedQty],T_StockCount[RM_Code],$A14,T_StockCount[WeekIndex],34),IF((COUNTIFS(T_SelfStock[RM_Code],$A14,T_SelfStock[WeekIndex],34)&gt;0)*(COUNTIFS(T_TTAFStock[RM_Code],$A14,T_TTAFStock[WeekIndex],34)&gt;0)&gt;0,SUMIFS(T_SelfStock[Self_Qty],T_SelfStock[RM_Code],$A14,T_SelfStock[WeekIndex],34)+SUMIFS(T_TTAFStock[TTAF_Qty],T_TTAFStock[RM_Code],$A14,T_TTAFStock[WeekIndex],34),AH14+'Grid_Incoming'!AI14-'Grid_Requirement'!AI14))</f>
        <v/>
      </c>
      <c r="AJ14">
        <f>IF(COUNTIFS(T_StockCount[RM_Code],$A14,T_StockCount[WeekIndex],35)&gt;0,SUMIFS(T_StockCount[CountedQty],T_StockCount[RM_Code],$A14,T_StockCount[WeekIndex],35),IF((COUNTIFS(T_SelfStock[RM_Code],$A14,T_SelfStock[WeekIndex],35)&gt;0)*(COUNTIFS(T_TTAFStock[RM_Code],$A14,T_TTAFStock[WeekIndex],35)&gt;0)&gt;0,SUMIFS(T_SelfStock[Self_Qty],T_SelfStock[RM_Code],$A14,T_SelfStock[WeekIndex],35)+SUMIFS(T_TTAFStock[TTAF_Qty],T_TTAFStock[RM_Code],$A14,T_TTAFStock[WeekIndex],35),AI14+'Grid_Incoming'!AJ14-'Grid_Requirement'!AJ14))</f>
        <v/>
      </c>
      <c r="AK14">
        <f>IF(COUNTIFS(T_StockCount[RM_Code],$A14,T_StockCount[WeekIndex],36)&gt;0,SUMIFS(T_StockCount[CountedQty],T_StockCount[RM_Code],$A14,T_StockCount[WeekIndex],36),IF((COUNTIFS(T_SelfStock[RM_Code],$A14,T_SelfStock[WeekIndex],36)&gt;0)*(COUNTIFS(T_TTAFStock[RM_Code],$A14,T_TTAFStock[WeekIndex],36)&gt;0)&gt;0,SUMIFS(T_SelfStock[Self_Qty],T_SelfStock[RM_Code],$A14,T_SelfStock[WeekIndex],36)+SUMIFS(T_TTAFStock[TTAF_Qty],T_TTAFStock[RM_Code],$A14,T_TTAFStock[WeekIndex],36),AJ14+'Grid_Incoming'!AK14-'Grid_Requirement'!AK14))</f>
        <v/>
      </c>
      <c r="AL14">
        <f>IF(COUNTIFS(T_StockCount[RM_Code],$A14,T_StockCount[WeekIndex],37)&gt;0,SUMIFS(T_StockCount[CountedQty],T_StockCount[RM_Code],$A14,T_StockCount[WeekIndex],37),IF((COUNTIFS(T_SelfStock[RM_Code],$A14,T_SelfStock[WeekIndex],37)&gt;0)*(COUNTIFS(T_TTAFStock[RM_Code],$A14,T_TTAFStock[WeekIndex],37)&gt;0)&gt;0,SUMIFS(T_SelfStock[Self_Qty],T_SelfStock[RM_Code],$A14,T_SelfStock[WeekIndex],37)+SUMIFS(T_TTAFStock[TTAF_Qty],T_TTAFStock[RM_Code],$A14,T_TTAFStock[WeekIndex],37),AK14+'Grid_Incoming'!AL14-'Grid_Requirement'!AL14))</f>
        <v/>
      </c>
      <c r="AM14">
        <f>IF(COUNTIFS(T_StockCount[RM_Code],$A14,T_StockCount[WeekIndex],38)&gt;0,SUMIFS(T_StockCount[CountedQty],T_StockCount[RM_Code],$A14,T_StockCount[WeekIndex],38),IF((COUNTIFS(T_SelfStock[RM_Code],$A14,T_SelfStock[WeekIndex],38)&gt;0)*(COUNTIFS(T_TTAFStock[RM_Code],$A14,T_TTAFStock[WeekIndex],38)&gt;0)&gt;0,SUMIFS(T_SelfStock[Self_Qty],T_SelfStock[RM_Code],$A14,T_SelfStock[WeekIndex],38)+SUMIFS(T_TTAFStock[TTAF_Qty],T_TTAFStock[RM_Code],$A14,T_TTAFStock[WeekIndex],38),AL14+'Grid_Incoming'!AM14-'Grid_Requirement'!AM14))</f>
        <v/>
      </c>
      <c r="AN14">
        <f>IF(COUNTIFS(T_StockCount[RM_Code],$A14,T_StockCount[WeekIndex],39)&gt;0,SUMIFS(T_StockCount[CountedQty],T_StockCount[RM_Code],$A14,T_StockCount[WeekIndex],39),IF((COUNTIFS(T_SelfStock[RM_Code],$A14,T_SelfStock[WeekIndex],39)&gt;0)*(COUNTIFS(T_TTAFStock[RM_Code],$A14,T_TTAFStock[WeekIndex],39)&gt;0)&gt;0,SUMIFS(T_SelfStock[Self_Qty],T_SelfStock[RM_Code],$A14,T_SelfStock[WeekIndex],39)+SUMIFS(T_TTAFStock[TTAF_Qty],T_TTAFStock[RM_Code],$A14,T_TTAFStock[WeekIndex],39),AM14+'Grid_Incoming'!AN14-'Grid_Requirement'!AN14))</f>
        <v/>
      </c>
      <c r="AO14">
        <f>IF(COUNTIFS(T_StockCount[RM_Code],$A14,T_StockCount[WeekIndex],40)&gt;0,SUMIFS(T_StockCount[CountedQty],T_StockCount[RM_Code],$A14,T_StockCount[WeekIndex],40),IF((COUNTIFS(T_SelfStock[RM_Code],$A14,T_SelfStock[WeekIndex],40)&gt;0)*(COUNTIFS(T_TTAFStock[RM_Code],$A14,T_TTAFStock[WeekIndex],40)&gt;0)&gt;0,SUMIFS(T_SelfStock[Self_Qty],T_SelfStock[RM_Code],$A14,T_SelfStock[WeekIndex],40)+SUMIFS(T_TTAFStock[TTAF_Qty],T_TTAFStock[RM_Code],$A14,T_TTAFStock[WeekIndex],40),AN14+'Grid_Incoming'!AO14-'Grid_Requirement'!AO14))</f>
        <v/>
      </c>
      <c r="AP14">
        <f>IF(COUNTIFS(T_StockCount[RM_Code],$A14,T_StockCount[WeekIndex],41)&gt;0,SUMIFS(T_StockCount[CountedQty],T_StockCount[RM_Code],$A14,T_StockCount[WeekIndex],41),IF((COUNTIFS(T_SelfStock[RM_Code],$A14,T_SelfStock[WeekIndex],41)&gt;0)*(COUNTIFS(T_TTAFStock[RM_Code],$A14,T_TTAFStock[WeekIndex],41)&gt;0)&gt;0,SUMIFS(T_SelfStock[Self_Qty],T_SelfStock[RM_Code],$A14,T_SelfStock[WeekIndex],41)+SUMIFS(T_TTAFStock[TTAF_Qty],T_TTAFStock[RM_Code],$A14,T_TTAFStock[WeekIndex],41),AO14+'Grid_Incoming'!AP14-'Grid_Requirement'!AP14))</f>
        <v/>
      </c>
      <c r="AQ14">
        <f>IF(COUNTIFS(T_StockCount[RM_Code],$A14,T_StockCount[WeekIndex],42)&gt;0,SUMIFS(T_StockCount[CountedQty],T_StockCount[RM_Code],$A14,T_StockCount[WeekIndex],42),IF((COUNTIFS(T_SelfStock[RM_Code],$A14,T_SelfStock[WeekIndex],42)&gt;0)*(COUNTIFS(T_TTAFStock[RM_Code],$A14,T_TTAFStock[WeekIndex],42)&gt;0)&gt;0,SUMIFS(T_SelfStock[Self_Qty],T_SelfStock[RM_Code],$A14,T_SelfStock[WeekIndex],42)+SUMIFS(T_TTAFStock[TTAF_Qty],T_TTAFStock[RM_Code],$A14,T_TTAFStock[WeekIndex],42),AP14+'Grid_Incoming'!AQ14-'Grid_Requirement'!AQ14))</f>
        <v/>
      </c>
      <c r="AR14">
        <f>IF(COUNTIFS(T_StockCount[RM_Code],$A14,T_StockCount[WeekIndex],43)&gt;0,SUMIFS(T_StockCount[CountedQty],T_StockCount[RM_Code],$A14,T_StockCount[WeekIndex],43),IF((COUNTIFS(T_SelfStock[RM_Code],$A14,T_SelfStock[WeekIndex],43)&gt;0)*(COUNTIFS(T_TTAFStock[RM_Code],$A14,T_TTAFStock[WeekIndex],43)&gt;0)&gt;0,SUMIFS(T_SelfStock[Self_Qty],T_SelfStock[RM_Code],$A14,T_SelfStock[WeekIndex],43)+SUMIFS(T_TTAFStock[TTAF_Qty],T_TTAFStock[RM_Code],$A14,T_TTAFStock[WeekIndex],43),AQ14+'Grid_Incoming'!AR14-'Grid_Requirement'!AR14))</f>
        <v/>
      </c>
      <c r="AS14">
        <f>IF(COUNTIFS(T_StockCount[RM_Code],$A14,T_StockCount[WeekIndex],44)&gt;0,SUMIFS(T_StockCount[CountedQty],T_StockCount[RM_Code],$A14,T_StockCount[WeekIndex],44),IF((COUNTIFS(T_SelfStock[RM_Code],$A14,T_SelfStock[WeekIndex],44)&gt;0)*(COUNTIFS(T_TTAFStock[RM_Code],$A14,T_TTAFStock[WeekIndex],44)&gt;0)&gt;0,SUMIFS(T_SelfStock[Self_Qty],T_SelfStock[RM_Code],$A14,T_SelfStock[WeekIndex],44)+SUMIFS(T_TTAFStock[TTAF_Qty],T_TTAFStock[RM_Code],$A14,T_TTAFStock[WeekIndex],44),AR14+'Grid_Incoming'!AS14-'Grid_Requirement'!AS14))</f>
        <v/>
      </c>
      <c r="AT14">
        <f>IF(COUNTIFS(T_StockCount[RM_Code],$A14,T_StockCount[WeekIndex],45)&gt;0,SUMIFS(T_StockCount[CountedQty],T_StockCount[RM_Code],$A14,T_StockCount[WeekIndex],45),IF((COUNTIFS(T_SelfStock[RM_Code],$A14,T_SelfStock[WeekIndex],45)&gt;0)*(COUNTIFS(T_TTAFStock[RM_Code],$A14,T_TTAFStock[WeekIndex],45)&gt;0)&gt;0,SUMIFS(T_SelfStock[Self_Qty],T_SelfStock[RM_Code],$A14,T_SelfStock[WeekIndex],45)+SUMIFS(T_TTAFStock[TTAF_Qty],T_TTAFStock[RM_Code],$A14,T_TTAFStock[WeekIndex],45),AS14+'Grid_Incoming'!AT14-'Grid_Requirement'!AT14))</f>
        <v/>
      </c>
      <c r="AU14">
        <f>IF(COUNTIFS(T_StockCount[RM_Code],$A14,T_StockCount[WeekIndex],46)&gt;0,SUMIFS(T_StockCount[CountedQty],T_StockCount[RM_Code],$A14,T_StockCount[WeekIndex],46),IF((COUNTIFS(T_SelfStock[RM_Code],$A14,T_SelfStock[WeekIndex],46)&gt;0)*(COUNTIFS(T_TTAFStock[RM_Code],$A14,T_TTAFStock[WeekIndex],46)&gt;0)&gt;0,SUMIFS(T_SelfStock[Self_Qty],T_SelfStock[RM_Code],$A14,T_SelfStock[WeekIndex],46)+SUMIFS(T_TTAFStock[TTAF_Qty],T_TTAFStock[RM_Code],$A14,T_TTAFStock[WeekIndex],46),AT14+'Grid_Incoming'!AU14-'Grid_Requirement'!AU14))</f>
        <v/>
      </c>
      <c r="AV14">
        <f>IF(COUNTIFS(T_StockCount[RM_Code],$A14,T_StockCount[WeekIndex],47)&gt;0,SUMIFS(T_StockCount[CountedQty],T_StockCount[RM_Code],$A14,T_StockCount[WeekIndex],47),IF((COUNTIFS(T_SelfStock[RM_Code],$A14,T_SelfStock[WeekIndex],47)&gt;0)*(COUNTIFS(T_TTAFStock[RM_Code],$A14,T_TTAFStock[WeekIndex],47)&gt;0)&gt;0,SUMIFS(T_SelfStock[Self_Qty],T_SelfStock[RM_Code],$A14,T_SelfStock[WeekIndex],47)+SUMIFS(T_TTAFStock[TTAF_Qty],T_TTAFStock[RM_Code],$A14,T_TTAFStock[WeekIndex],47),AU14+'Grid_Incoming'!AV14-'Grid_Requirement'!AV14))</f>
        <v/>
      </c>
      <c r="AW14">
        <f>IF(COUNTIFS(T_StockCount[RM_Code],$A14,T_StockCount[WeekIndex],48)&gt;0,SUMIFS(T_StockCount[CountedQty],T_StockCount[RM_Code],$A14,T_StockCount[WeekIndex],48),IF((COUNTIFS(T_SelfStock[RM_Code],$A14,T_SelfStock[WeekIndex],48)&gt;0)*(COUNTIFS(T_TTAFStock[RM_Code],$A14,T_TTAFStock[WeekIndex],48)&gt;0)&gt;0,SUMIFS(T_SelfStock[Self_Qty],T_SelfStock[RM_Code],$A14,T_SelfStock[WeekIndex],48)+SUMIFS(T_TTAFStock[TTAF_Qty],T_TTAFStock[RM_Code],$A14,T_TTAFStock[WeekIndex],48),AV14+'Grid_Incoming'!AW14-'Grid_Requirement'!AW14))</f>
        <v/>
      </c>
      <c r="AX14">
        <f>IF(COUNTIFS(T_StockCount[RM_Code],$A14,T_StockCount[WeekIndex],49)&gt;0,SUMIFS(T_StockCount[CountedQty],T_StockCount[RM_Code],$A14,T_StockCount[WeekIndex],49),IF((COUNTIFS(T_SelfStock[RM_Code],$A14,T_SelfStock[WeekIndex],49)&gt;0)*(COUNTIFS(T_TTAFStock[RM_Code],$A14,T_TTAFStock[WeekIndex],49)&gt;0)&gt;0,SUMIFS(T_SelfStock[Self_Qty],T_SelfStock[RM_Code],$A14,T_SelfStock[WeekIndex],49)+SUMIFS(T_TTAFStock[TTAF_Qty],T_TTAFStock[RM_Code],$A14,T_TTAFStock[WeekIndex],49),AW14+'Grid_Incoming'!AX14-'Grid_Requirement'!AX14))</f>
        <v/>
      </c>
      <c r="AY14">
        <f>IF(COUNTIFS(T_StockCount[RM_Code],$A14,T_StockCount[WeekIndex],50)&gt;0,SUMIFS(T_StockCount[CountedQty],T_StockCount[RM_Code],$A14,T_StockCount[WeekIndex],50),IF((COUNTIFS(T_SelfStock[RM_Code],$A14,T_SelfStock[WeekIndex],50)&gt;0)*(COUNTIFS(T_TTAFStock[RM_Code],$A14,T_TTAFStock[WeekIndex],50)&gt;0)&gt;0,SUMIFS(T_SelfStock[Self_Qty],T_SelfStock[RM_Code],$A14,T_SelfStock[WeekIndex],50)+SUMIFS(T_TTAFStock[TTAF_Qty],T_TTAFStock[RM_Code],$A14,T_TTAFStock[WeekIndex],50),AX14+'Grid_Incoming'!AY14-'Grid_Requirement'!AY14))</f>
        <v/>
      </c>
      <c r="AZ14">
        <f>IF(COUNTIFS(T_StockCount[RM_Code],$A14,T_StockCount[WeekIndex],51)&gt;0,SUMIFS(T_StockCount[CountedQty],T_StockCount[RM_Code],$A14,T_StockCount[WeekIndex],51),IF((COUNTIFS(T_SelfStock[RM_Code],$A14,T_SelfStock[WeekIndex],51)&gt;0)*(COUNTIFS(T_TTAFStock[RM_Code],$A14,T_TTAFStock[WeekIndex],51)&gt;0)&gt;0,SUMIFS(T_SelfStock[Self_Qty],T_SelfStock[RM_Code],$A14,T_SelfStock[WeekIndex],51)+SUMIFS(T_TTAFStock[TTAF_Qty],T_TTAFStock[RM_Code],$A14,T_TTAFStock[WeekIndex],51),AY14+'Grid_Incoming'!AZ14-'Grid_Requirement'!AZ14))</f>
        <v/>
      </c>
      <c r="BA14">
        <f>IF(COUNTIFS(T_StockCount[RM_Code],$A14,T_StockCount[WeekIndex],52)&gt;0,SUMIFS(T_StockCount[CountedQty],T_StockCount[RM_Code],$A14,T_StockCount[WeekIndex],52),IF((COUNTIFS(T_SelfStock[RM_Code],$A14,T_SelfStock[WeekIndex],52)&gt;0)*(COUNTIFS(T_TTAFStock[RM_Code],$A14,T_TTAFStock[WeekIndex],52)&gt;0)&gt;0,SUMIFS(T_SelfStock[Self_Qty],T_SelfStock[RM_Code],$A14,T_SelfStock[WeekIndex],52)+SUMIFS(T_TTAFStock[TTAF_Qty],T_TTAFStock[RM_Code],$A14,T_TTAFStock[WeekIndex],52),AZ14+'Grid_Incoming'!BA14-'Grid_Requirement'!BA14))</f>
        <v/>
      </c>
      <c r="BB14">
        <f>IF(COUNTIFS(T_StockCount[RM_Code],$A14,T_StockCount[WeekIndex],53)&gt;0,SUMIFS(T_StockCount[CountedQty],T_StockCount[RM_Code],$A14,T_StockCount[WeekIndex],53),IF((COUNTIFS(T_SelfStock[RM_Code],$A14,T_SelfStock[WeekIndex],53)&gt;0)*(COUNTIFS(T_TTAFStock[RM_Code],$A14,T_TTAFStock[WeekIndex],53)&gt;0)&gt;0,SUMIFS(T_SelfStock[Self_Qty],T_SelfStock[RM_Code],$A14,T_SelfStock[WeekIndex],53)+SUMIFS(T_TTAFStock[TTAF_Qty],T_TTAFStock[RM_Code],$A14,T_TTAFStock[WeekIndex],53),BA14+'Grid_Incoming'!BB14-'Grid_Requirement'!BB14))</f>
        <v/>
      </c>
      <c r="BC14">
        <f>IF(COUNTIFS(T_StockCount[RM_Code],$A14,T_StockCount[WeekIndex],54)&gt;0,SUMIFS(T_StockCount[CountedQty],T_StockCount[RM_Code],$A14,T_StockCount[WeekIndex],54),IF((COUNTIFS(T_SelfStock[RM_Code],$A14,T_SelfStock[WeekIndex],54)&gt;0)*(COUNTIFS(T_TTAFStock[RM_Code],$A14,T_TTAFStock[WeekIndex],54)&gt;0)&gt;0,SUMIFS(T_SelfStock[Self_Qty],T_SelfStock[RM_Code],$A14,T_SelfStock[WeekIndex],54)+SUMIFS(T_TTAFStock[TTAF_Qty],T_TTAFStock[RM_Code],$A14,T_TTAFStock[WeekIndex],54),BB14+'Grid_Incoming'!BC14-'Grid_Requirement'!BC14))</f>
        <v/>
      </c>
      <c r="BD14">
        <f>IF(COUNTIFS(T_StockCount[RM_Code],$A14,T_StockCount[WeekIndex],55)&gt;0,SUMIFS(T_StockCount[CountedQty],T_StockCount[RM_Code],$A14,T_StockCount[WeekIndex],55),IF((COUNTIFS(T_SelfStock[RM_Code],$A14,T_SelfStock[WeekIndex],55)&gt;0)*(COUNTIFS(T_TTAFStock[RM_Code],$A14,T_TTAFStock[WeekIndex],55)&gt;0)&gt;0,SUMIFS(T_SelfStock[Self_Qty],T_SelfStock[RM_Code],$A14,T_SelfStock[WeekIndex],55)+SUMIFS(T_TTAFStock[TTAF_Qty],T_TTAFStock[RM_Code],$A14,T_TTAFStock[WeekIndex],55),BC14+'Grid_Incoming'!BD14-'Grid_Requirement'!BD14))</f>
        <v/>
      </c>
      <c r="BE14">
        <f>IF(COUNTIFS(T_StockCount[RM_Code],$A14,T_StockCount[WeekIndex],56)&gt;0,SUMIFS(T_StockCount[CountedQty],T_StockCount[RM_Code],$A14,T_StockCount[WeekIndex],56),IF((COUNTIFS(T_SelfStock[RM_Code],$A14,T_SelfStock[WeekIndex],56)&gt;0)*(COUNTIFS(T_TTAFStock[RM_Code],$A14,T_TTAFStock[WeekIndex],56)&gt;0)&gt;0,SUMIFS(T_SelfStock[Self_Qty],T_SelfStock[RM_Code],$A14,T_SelfStock[WeekIndex],56)+SUMIFS(T_TTAFStock[TTAF_Qty],T_TTAFStock[RM_Code],$A14,T_TTAFStock[WeekIndex],56),BD14+'Grid_Incoming'!BE14-'Grid_Requirement'!BE14))</f>
        <v/>
      </c>
      <c r="BF14">
        <f>IF(COUNTIFS(T_StockCount[RM_Code],$A14,T_StockCount[WeekIndex],57)&gt;0,SUMIFS(T_StockCount[CountedQty],T_StockCount[RM_Code],$A14,T_StockCount[WeekIndex],57),IF((COUNTIFS(T_SelfStock[RM_Code],$A14,T_SelfStock[WeekIndex],57)&gt;0)*(COUNTIFS(T_TTAFStock[RM_Code],$A14,T_TTAFStock[WeekIndex],57)&gt;0)&gt;0,SUMIFS(T_SelfStock[Self_Qty],T_SelfStock[RM_Code],$A14,T_SelfStock[WeekIndex],57)+SUMIFS(T_TTAFStock[TTAF_Qty],T_TTAFStock[RM_Code],$A14,T_TTAFStock[WeekIndex],57),BE14+'Grid_Incoming'!BF14-'Grid_Requirement'!BF14))</f>
        <v/>
      </c>
      <c r="BG14">
        <f>IF(COUNTIFS(T_StockCount[RM_Code],$A14,T_StockCount[WeekIndex],58)&gt;0,SUMIFS(T_StockCount[CountedQty],T_StockCount[RM_Code],$A14,T_StockCount[WeekIndex],58),IF((COUNTIFS(T_SelfStock[RM_Code],$A14,T_SelfStock[WeekIndex],58)&gt;0)*(COUNTIFS(T_TTAFStock[RM_Code],$A14,T_TTAFStock[WeekIndex],58)&gt;0)&gt;0,SUMIFS(T_SelfStock[Self_Qty],T_SelfStock[RM_Code],$A14,T_SelfStock[WeekIndex],58)+SUMIFS(T_TTAFStock[TTAF_Qty],T_TTAFStock[RM_Code],$A14,T_TTAFStock[WeekIndex],58),BF14+'Grid_Incoming'!BG14-'Grid_Requirement'!BG14))</f>
        <v/>
      </c>
      <c r="BH14">
        <f>IF(COUNTIFS(T_StockCount[RM_Code],$A14,T_StockCount[WeekIndex],59)&gt;0,SUMIFS(T_StockCount[CountedQty],T_StockCount[RM_Code],$A14,T_StockCount[WeekIndex],59),IF((COUNTIFS(T_SelfStock[RM_Code],$A14,T_SelfStock[WeekIndex],59)&gt;0)*(COUNTIFS(T_TTAFStock[RM_Code],$A14,T_TTAFStock[WeekIndex],59)&gt;0)&gt;0,SUMIFS(T_SelfStock[Self_Qty],T_SelfStock[RM_Code],$A14,T_SelfStock[WeekIndex],59)+SUMIFS(T_TTAFStock[TTAF_Qty],T_TTAFStock[RM_Code],$A14,T_TTAFStock[WeekIndex],59),BG14+'Grid_Incoming'!BH14-'Grid_Requirement'!BH14))</f>
        <v/>
      </c>
      <c r="BI14">
        <f>IF(COUNTIFS(T_StockCount[RM_Code],$A14,T_StockCount[WeekIndex],60)&gt;0,SUMIFS(T_StockCount[CountedQty],T_StockCount[RM_Code],$A14,T_StockCount[WeekIndex],60),IF((COUNTIFS(T_SelfStock[RM_Code],$A14,T_SelfStock[WeekIndex],60)&gt;0)*(COUNTIFS(T_TTAFStock[RM_Code],$A14,T_TTAFStock[WeekIndex],60)&gt;0)&gt;0,SUMIFS(T_SelfStock[Self_Qty],T_SelfStock[RM_Code],$A14,T_SelfStock[WeekIndex],60)+SUMIFS(T_TTAFStock[TTAF_Qty],T_TTAFStock[RM_Code],$A14,T_TTAFStock[WeekIndex],60),BH14+'Grid_Incoming'!BI14-'Grid_Requirement'!BI14))</f>
        <v/>
      </c>
      <c r="BJ14">
        <f>IF(COUNTIFS(T_StockCount[RM_Code],$A14,T_StockCount[WeekIndex],61)&gt;0,SUMIFS(T_StockCount[CountedQty],T_StockCount[RM_Code],$A14,T_StockCount[WeekIndex],61),IF((COUNTIFS(T_SelfStock[RM_Code],$A14,T_SelfStock[WeekIndex],61)&gt;0)*(COUNTIFS(T_TTAFStock[RM_Code],$A14,T_TTAFStock[WeekIndex],61)&gt;0)&gt;0,SUMIFS(T_SelfStock[Self_Qty],T_SelfStock[RM_Code],$A14,T_SelfStock[WeekIndex],61)+SUMIFS(T_TTAFStock[TTAF_Qty],T_TTAFStock[RM_Code],$A14,T_TTAFStock[WeekIndex],61),BI14+'Grid_Incoming'!BJ14-'Grid_Requirement'!BJ14))</f>
        <v/>
      </c>
      <c r="BK14">
        <f>IF(COUNTIFS(T_StockCount[RM_Code],$A14,T_StockCount[WeekIndex],62)&gt;0,SUMIFS(T_StockCount[CountedQty],T_StockCount[RM_Code],$A14,T_StockCount[WeekIndex],62),IF((COUNTIFS(T_SelfStock[RM_Code],$A14,T_SelfStock[WeekIndex],62)&gt;0)*(COUNTIFS(T_TTAFStock[RM_Code],$A14,T_TTAFStock[WeekIndex],62)&gt;0)&gt;0,SUMIFS(T_SelfStock[Self_Qty],T_SelfStock[RM_Code],$A14,T_SelfStock[WeekIndex],62)+SUMIFS(T_TTAFStock[TTAF_Qty],T_TTAFStock[RM_Code],$A14,T_TTAFStock[WeekIndex],62),BJ14+'Grid_Incoming'!BK14-'Grid_Requirement'!BK14))</f>
        <v/>
      </c>
      <c r="BL14">
        <f>IF(COUNTIFS(T_StockCount[RM_Code],$A14,T_StockCount[WeekIndex],63)&gt;0,SUMIFS(T_StockCount[CountedQty],T_StockCount[RM_Code],$A14,T_StockCount[WeekIndex],63),IF((COUNTIFS(T_SelfStock[RM_Code],$A14,T_SelfStock[WeekIndex],63)&gt;0)*(COUNTIFS(T_TTAFStock[RM_Code],$A14,T_TTAFStock[WeekIndex],63)&gt;0)&gt;0,SUMIFS(T_SelfStock[Self_Qty],T_SelfStock[RM_Code],$A14,T_SelfStock[WeekIndex],63)+SUMIFS(T_TTAFStock[TTAF_Qty],T_TTAFStock[RM_Code],$A14,T_TTAFStock[WeekIndex],63),BK14+'Grid_Incoming'!BL14-'Grid_Requirement'!BL14))</f>
        <v/>
      </c>
      <c r="BM14">
        <f>IF(COUNTIFS(T_StockCount[RM_Code],$A14,T_StockCount[WeekIndex],64)&gt;0,SUMIFS(T_StockCount[CountedQty],T_StockCount[RM_Code],$A14,T_StockCount[WeekIndex],64),IF((COUNTIFS(T_SelfStock[RM_Code],$A14,T_SelfStock[WeekIndex],64)&gt;0)*(COUNTIFS(T_TTAFStock[RM_Code],$A14,T_TTAFStock[WeekIndex],64)&gt;0)&gt;0,SUMIFS(T_SelfStock[Self_Qty],T_SelfStock[RM_Code],$A14,T_SelfStock[WeekIndex],64)+SUMIFS(T_TTAFStock[TTAF_Qty],T_TTAFStock[RM_Code],$A14,T_TTAFStock[WeekIndex],64),BL14+'Grid_Incoming'!BM14-'Grid_Requirement'!BM14))</f>
        <v/>
      </c>
      <c r="BN14">
        <f>IF(COUNTIFS(T_StockCount[RM_Code],$A14,T_StockCount[WeekIndex],65)&gt;0,SUMIFS(T_StockCount[CountedQty],T_StockCount[RM_Code],$A14,T_StockCount[WeekIndex],65),IF((COUNTIFS(T_SelfStock[RM_Code],$A14,T_SelfStock[WeekIndex],65)&gt;0)*(COUNTIFS(T_TTAFStock[RM_Code],$A14,T_TTAFStock[WeekIndex],65)&gt;0)&gt;0,SUMIFS(T_SelfStock[Self_Qty],T_SelfStock[RM_Code],$A14,T_SelfStock[WeekIndex],65)+SUMIFS(T_TTAFStock[TTAF_Qty],T_TTAFStock[RM_Code],$A14,T_TTAFStock[WeekIndex],65),BM14+'Grid_Incoming'!BN14-'Grid_Requirement'!BN14))</f>
        <v/>
      </c>
      <c r="BO14">
        <f>IF(COUNTIFS(T_StockCount[RM_Code],$A14,T_StockCount[WeekIndex],66)&gt;0,SUMIFS(T_StockCount[CountedQty],T_StockCount[RM_Code],$A14,T_StockCount[WeekIndex],66),IF((COUNTIFS(T_SelfStock[RM_Code],$A14,T_SelfStock[WeekIndex],66)&gt;0)*(COUNTIFS(T_TTAFStock[RM_Code],$A14,T_TTAFStock[WeekIndex],66)&gt;0)&gt;0,SUMIFS(T_SelfStock[Self_Qty],T_SelfStock[RM_Code],$A14,T_SelfStock[WeekIndex],66)+SUMIFS(T_TTAFStock[TTAF_Qty],T_TTAFStock[RM_Code],$A14,T_TTAFStock[WeekIndex],66),BN14+'Grid_Incoming'!BO14-'Grid_Requirement'!BO14))</f>
        <v/>
      </c>
      <c r="BP14">
        <f>IF(COUNTIFS(T_StockCount[RM_Code],$A14,T_StockCount[WeekIndex],67)&gt;0,SUMIFS(T_StockCount[CountedQty],T_StockCount[RM_Code],$A14,T_StockCount[WeekIndex],67),IF((COUNTIFS(T_SelfStock[RM_Code],$A14,T_SelfStock[WeekIndex],67)&gt;0)*(COUNTIFS(T_TTAFStock[RM_Code],$A14,T_TTAFStock[WeekIndex],67)&gt;0)&gt;0,SUMIFS(T_SelfStock[Self_Qty],T_SelfStock[RM_Code],$A14,T_SelfStock[WeekIndex],67)+SUMIFS(T_TTAFStock[TTAF_Qty],T_TTAFStock[RM_Code],$A14,T_TTAFStock[WeekIndex],67),BO14+'Grid_Incoming'!BP14-'Grid_Requirement'!BP14))</f>
        <v/>
      </c>
      <c r="BQ14">
        <f>IF(COUNTIFS(T_StockCount[RM_Code],$A14,T_StockCount[WeekIndex],68)&gt;0,SUMIFS(T_StockCount[CountedQty],T_StockCount[RM_Code],$A14,T_StockCount[WeekIndex],68),IF((COUNTIFS(T_SelfStock[RM_Code],$A14,T_SelfStock[WeekIndex],68)&gt;0)*(COUNTIFS(T_TTAFStock[RM_Code],$A14,T_TTAFStock[WeekIndex],68)&gt;0)&gt;0,SUMIFS(T_SelfStock[Self_Qty],T_SelfStock[RM_Code],$A14,T_SelfStock[WeekIndex],68)+SUMIFS(T_TTAFStock[TTAF_Qty],T_TTAFStock[RM_Code],$A14,T_TTAFStock[WeekIndex],68),BP14+'Grid_Incoming'!BQ14-'Grid_Requirement'!BQ14))</f>
        <v/>
      </c>
      <c r="BR14">
        <f>IF(COUNTIFS(T_StockCount[RM_Code],$A14,T_StockCount[WeekIndex],69)&gt;0,SUMIFS(T_StockCount[CountedQty],T_StockCount[RM_Code],$A14,T_StockCount[WeekIndex],69),IF((COUNTIFS(T_SelfStock[RM_Code],$A14,T_SelfStock[WeekIndex],69)&gt;0)*(COUNTIFS(T_TTAFStock[RM_Code],$A14,T_TTAFStock[WeekIndex],69)&gt;0)&gt;0,SUMIFS(T_SelfStock[Self_Qty],T_SelfStock[RM_Code],$A14,T_SelfStock[WeekIndex],69)+SUMIFS(T_TTAFStock[TTAF_Qty],T_TTAFStock[RM_Code],$A14,T_TTAFStock[WeekIndex],69),BQ14+'Grid_Incoming'!BR14-'Grid_Requirement'!BR14))</f>
        <v/>
      </c>
      <c r="BS14">
        <f>IF(COUNTIFS(T_StockCount[RM_Code],$A14,T_StockCount[WeekIndex],70)&gt;0,SUMIFS(T_StockCount[CountedQty],T_StockCount[RM_Code],$A14,T_StockCount[WeekIndex],70),IF((COUNTIFS(T_SelfStock[RM_Code],$A14,T_SelfStock[WeekIndex],70)&gt;0)*(COUNTIFS(T_TTAFStock[RM_Code],$A14,T_TTAFStock[WeekIndex],70)&gt;0)&gt;0,SUMIFS(T_SelfStock[Self_Qty],T_SelfStock[RM_Code],$A14,T_SelfStock[WeekIndex],70)+SUMIFS(T_TTAFStock[TTAF_Qty],T_TTAFStock[RM_Code],$A14,T_TTAFStock[WeekIndex],70),BR14+'Grid_Incoming'!BS14-'Grid_Requirement'!BS14))</f>
        <v/>
      </c>
      <c r="BT14">
        <f>IF(COUNTIFS(T_StockCount[RM_Code],$A14,T_StockCount[WeekIndex],71)&gt;0,SUMIFS(T_StockCount[CountedQty],T_StockCount[RM_Code],$A14,T_StockCount[WeekIndex],71),IF((COUNTIFS(T_SelfStock[RM_Code],$A14,T_SelfStock[WeekIndex],71)&gt;0)*(COUNTIFS(T_TTAFStock[RM_Code],$A14,T_TTAFStock[WeekIndex],71)&gt;0)&gt;0,SUMIFS(T_SelfStock[Self_Qty],T_SelfStock[RM_Code],$A14,T_SelfStock[WeekIndex],71)+SUMIFS(T_TTAFStock[TTAF_Qty],T_TTAFStock[RM_Code],$A14,T_TTAFStock[WeekIndex],71),BS14+'Grid_Incoming'!BT14-'Grid_Requirement'!BT14))</f>
        <v/>
      </c>
      <c r="BU14">
        <f>IF(COUNTIFS(T_StockCount[RM_Code],$A14,T_StockCount[WeekIndex],72)&gt;0,SUMIFS(T_StockCount[CountedQty],T_StockCount[RM_Code],$A14,T_StockCount[WeekIndex],72),IF((COUNTIFS(T_SelfStock[RM_Code],$A14,T_SelfStock[WeekIndex],72)&gt;0)*(COUNTIFS(T_TTAFStock[RM_Code],$A14,T_TTAFStock[WeekIndex],72)&gt;0)&gt;0,SUMIFS(T_SelfStock[Self_Qty],T_SelfStock[RM_Code],$A14,T_SelfStock[WeekIndex],72)+SUMIFS(T_TTAFStock[TTAF_Qty],T_TTAFStock[RM_Code],$A14,T_TTAFStock[WeekIndex],72),BT14+'Grid_Incoming'!BU14-'Grid_Requirement'!BU14))</f>
        <v/>
      </c>
      <c r="BV14">
        <f>IF(COUNTIFS(T_StockCount[RM_Code],$A14,T_StockCount[WeekIndex],73)&gt;0,SUMIFS(T_StockCount[CountedQty],T_StockCount[RM_Code],$A14,T_StockCount[WeekIndex],73),IF((COUNTIFS(T_SelfStock[RM_Code],$A14,T_SelfStock[WeekIndex],73)&gt;0)*(COUNTIFS(T_TTAFStock[RM_Code],$A14,T_TTAFStock[WeekIndex],73)&gt;0)&gt;0,SUMIFS(T_SelfStock[Self_Qty],T_SelfStock[RM_Code],$A14,T_SelfStock[WeekIndex],73)+SUMIFS(T_TTAFStock[TTAF_Qty],T_TTAFStock[RM_Code],$A14,T_TTAFStock[WeekIndex],73),BU14+'Grid_Incoming'!BV14-'Grid_Requirement'!BV14))</f>
        <v/>
      </c>
      <c r="BW14">
        <f>IF(COUNTIFS(T_StockCount[RM_Code],$A14,T_StockCount[WeekIndex],74)&gt;0,SUMIFS(T_StockCount[CountedQty],T_StockCount[RM_Code],$A14,T_StockCount[WeekIndex],74),IF((COUNTIFS(T_SelfStock[RM_Code],$A14,T_SelfStock[WeekIndex],74)&gt;0)*(COUNTIFS(T_TTAFStock[RM_Code],$A14,T_TTAFStock[WeekIndex],74)&gt;0)&gt;0,SUMIFS(T_SelfStock[Self_Qty],T_SelfStock[RM_Code],$A14,T_SelfStock[WeekIndex],74)+SUMIFS(T_TTAFStock[TTAF_Qty],T_TTAFStock[RM_Code],$A14,T_TTAFStock[WeekIndex],74),BV14+'Grid_Incoming'!BW14-'Grid_Requirement'!BW14))</f>
        <v/>
      </c>
      <c r="BX14">
        <f>IF(COUNTIFS(T_StockCount[RM_Code],$A14,T_StockCount[WeekIndex],75)&gt;0,SUMIFS(T_StockCount[CountedQty],T_StockCount[RM_Code],$A14,T_StockCount[WeekIndex],75),IF((COUNTIFS(T_SelfStock[RM_Code],$A14,T_SelfStock[WeekIndex],75)&gt;0)*(COUNTIFS(T_TTAFStock[RM_Code],$A14,T_TTAFStock[WeekIndex],75)&gt;0)&gt;0,SUMIFS(T_SelfStock[Self_Qty],T_SelfStock[RM_Code],$A14,T_SelfStock[WeekIndex],75)+SUMIFS(T_TTAFStock[TTAF_Qty],T_TTAFStock[RM_Code],$A14,T_TTAFStock[WeekIndex],75),BW14+'Grid_Incoming'!BX14-'Grid_Requirement'!BX14))</f>
        <v/>
      </c>
      <c r="BY14">
        <f>IF(COUNTIFS(T_StockCount[RM_Code],$A14,T_StockCount[WeekIndex],76)&gt;0,SUMIFS(T_StockCount[CountedQty],T_StockCount[RM_Code],$A14,T_StockCount[WeekIndex],76),IF((COUNTIFS(T_SelfStock[RM_Code],$A14,T_SelfStock[WeekIndex],76)&gt;0)*(COUNTIFS(T_TTAFStock[RM_Code],$A14,T_TTAFStock[WeekIndex],76)&gt;0)&gt;0,SUMIFS(T_SelfStock[Self_Qty],T_SelfStock[RM_Code],$A14,T_SelfStock[WeekIndex],76)+SUMIFS(T_TTAFStock[TTAF_Qty],T_TTAFStock[RM_Code],$A14,T_TTAFStock[WeekIndex],76),BX14+'Grid_Incoming'!BY14-'Grid_Requirement'!BY14))</f>
        <v/>
      </c>
      <c r="BZ14">
        <f>IF(COUNTIFS(T_StockCount[RM_Code],$A14,T_StockCount[WeekIndex],77)&gt;0,SUMIFS(T_StockCount[CountedQty],T_StockCount[RM_Code],$A14,T_StockCount[WeekIndex],77),IF((COUNTIFS(T_SelfStock[RM_Code],$A14,T_SelfStock[WeekIndex],77)&gt;0)*(COUNTIFS(T_TTAFStock[RM_Code],$A14,T_TTAFStock[WeekIndex],77)&gt;0)&gt;0,SUMIFS(T_SelfStock[Self_Qty],T_SelfStock[RM_Code],$A14,T_SelfStock[WeekIndex],77)+SUMIFS(T_TTAFStock[TTAF_Qty],T_TTAFStock[RM_Code],$A14,T_TTAFStock[WeekIndex],77),BY14+'Grid_Incoming'!BZ14-'Grid_Requirement'!BZ14))</f>
        <v/>
      </c>
      <c r="CA14">
        <f>IF(COUNTIFS(T_StockCount[RM_Code],$A14,T_StockCount[WeekIndex],78)&gt;0,SUMIFS(T_StockCount[CountedQty],T_StockCount[RM_Code],$A14,T_StockCount[WeekIndex],78),IF((COUNTIFS(T_SelfStock[RM_Code],$A14,T_SelfStock[WeekIndex],78)&gt;0)*(COUNTIFS(T_TTAFStock[RM_Code],$A14,T_TTAFStock[WeekIndex],78)&gt;0)&gt;0,SUMIFS(T_SelfStock[Self_Qty],T_SelfStock[RM_Code],$A14,T_SelfStock[WeekIndex],78)+SUMIFS(T_TTAFStock[TTAF_Qty],T_TTAFStock[RM_Code],$A14,T_TTAFStock[WeekIndex],78),BZ14+'Grid_Incoming'!CA14-'Grid_Requirement'!CA14))</f>
        <v/>
      </c>
      <c r="CB14">
        <f>IF(COUNTIFS(T_StockCount[RM_Code],$A14,T_StockCount[WeekIndex],79)&gt;0,SUMIFS(T_StockCount[CountedQty],T_StockCount[RM_Code],$A14,T_StockCount[WeekIndex],79),IF((COUNTIFS(T_SelfStock[RM_Code],$A14,T_SelfStock[WeekIndex],79)&gt;0)*(COUNTIFS(T_TTAFStock[RM_Code],$A14,T_TTAFStock[WeekIndex],79)&gt;0)&gt;0,SUMIFS(T_SelfStock[Self_Qty],T_SelfStock[RM_Code],$A14,T_SelfStock[WeekIndex],79)+SUMIFS(T_TTAFStock[TTAF_Qty],T_TTAFStock[RM_Code],$A14,T_TTAFStock[WeekIndex],79),CA14+'Grid_Incoming'!CB14-'Grid_Requirement'!CB14))</f>
        <v/>
      </c>
      <c r="CC14">
        <f>IF(COUNTIFS(T_StockCount[RM_Code],$A14,T_StockCount[WeekIndex],80)&gt;0,SUMIFS(T_StockCount[CountedQty],T_StockCount[RM_Code],$A14,T_StockCount[WeekIndex],80),IF((COUNTIFS(T_SelfStock[RM_Code],$A14,T_SelfStock[WeekIndex],80)&gt;0)*(COUNTIFS(T_TTAFStock[RM_Code],$A14,T_TTAFStock[WeekIndex],80)&gt;0)&gt;0,SUMIFS(T_SelfStock[Self_Qty],T_SelfStock[RM_Code],$A14,T_SelfStock[WeekIndex],80)+SUMIFS(T_TTAFStock[TTAF_Qty],T_TTAFStock[RM_Code],$A14,T_TTAFStock[WeekIndex],80),CB14+'Grid_Incoming'!CC14-'Grid_Requirement'!CC14))</f>
        <v/>
      </c>
      <c r="CD14">
        <f>IF(COUNTIFS(T_StockCount[RM_Code],$A14,T_StockCount[WeekIndex],81)&gt;0,SUMIFS(T_StockCount[CountedQty],T_StockCount[RM_Code],$A14,T_StockCount[WeekIndex],81),IF((COUNTIFS(T_SelfStock[RM_Code],$A14,T_SelfStock[WeekIndex],81)&gt;0)*(COUNTIFS(T_TTAFStock[RM_Code],$A14,T_TTAFStock[WeekIndex],81)&gt;0)&gt;0,SUMIFS(T_SelfStock[Self_Qty],T_SelfStock[RM_Code],$A14,T_SelfStock[WeekIndex],81)+SUMIFS(T_TTAFStock[TTAF_Qty],T_TTAFStock[RM_Code],$A14,T_TTAFStock[WeekIndex],81),CC14+'Grid_Incoming'!CD14-'Grid_Requirement'!CD14))</f>
        <v/>
      </c>
      <c r="CE14">
        <f>IF(COUNTIFS(T_StockCount[RM_Code],$A14,T_StockCount[WeekIndex],82)&gt;0,SUMIFS(T_StockCount[CountedQty],T_StockCount[RM_Code],$A14,T_StockCount[WeekIndex],82),IF((COUNTIFS(T_SelfStock[RM_Code],$A14,T_SelfStock[WeekIndex],82)&gt;0)*(COUNTIFS(T_TTAFStock[RM_Code],$A14,T_TTAFStock[WeekIndex],82)&gt;0)&gt;0,SUMIFS(T_SelfStock[Self_Qty],T_SelfStock[RM_Code],$A14,T_SelfStock[WeekIndex],82)+SUMIFS(T_TTAFStock[TTAF_Qty],T_TTAFStock[RM_Code],$A14,T_TTAFStock[WeekIndex],82),CD14+'Grid_Incoming'!CE14-'Grid_Requirement'!CE14))</f>
        <v/>
      </c>
      <c r="CF14">
        <f>IF(COUNTIFS(T_StockCount[RM_Code],$A14,T_StockCount[WeekIndex],83)&gt;0,SUMIFS(T_StockCount[CountedQty],T_StockCount[RM_Code],$A14,T_StockCount[WeekIndex],83),IF((COUNTIFS(T_SelfStock[RM_Code],$A14,T_SelfStock[WeekIndex],83)&gt;0)*(COUNTIFS(T_TTAFStock[RM_Code],$A14,T_TTAFStock[WeekIndex],83)&gt;0)&gt;0,SUMIFS(T_SelfStock[Self_Qty],T_SelfStock[RM_Code],$A14,T_SelfStock[WeekIndex],83)+SUMIFS(T_TTAFStock[TTAF_Qty],T_TTAFStock[RM_Code],$A14,T_TTAFStock[WeekIndex],83),CE14+'Grid_Incoming'!CF14-'Grid_Requirement'!CF14))</f>
        <v/>
      </c>
      <c r="CG14">
        <f>IF(COUNTIFS(T_StockCount[RM_Code],$A14,T_StockCount[WeekIndex],84)&gt;0,SUMIFS(T_StockCount[CountedQty],T_StockCount[RM_Code],$A14,T_StockCount[WeekIndex],84),IF((COUNTIFS(T_SelfStock[RM_Code],$A14,T_SelfStock[WeekIndex],84)&gt;0)*(COUNTIFS(T_TTAFStock[RM_Code],$A14,T_TTAFStock[WeekIndex],84)&gt;0)&gt;0,SUMIFS(T_SelfStock[Self_Qty],T_SelfStock[RM_Code],$A14,T_SelfStock[WeekIndex],84)+SUMIFS(T_TTAFStock[TTAF_Qty],T_TTAFStock[RM_Code],$A14,T_TTAFStock[WeekIndex],84),CF14+'Grid_Incoming'!CG14-'Grid_Requirement'!CG14))</f>
        <v/>
      </c>
      <c r="CH14">
        <f>IF(COUNTIFS(T_StockCount[RM_Code],$A14,T_StockCount[WeekIndex],85)&gt;0,SUMIFS(T_StockCount[CountedQty],T_StockCount[RM_Code],$A14,T_StockCount[WeekIndex],85),IF((COUNTIFS(T_SelfStock[RM_Code],$A14,T_SelfStock[WeekIndex],85)&gt;0)*(COUNTIFS(T_TTAFStock[RM_Code],$A14,T_TTAFStock[WeekIndex],85)&gt;0)&gt;0,SUMIFS(T_SelfStock[Self_Qty],T_SelfStock[RM_Code],$A14,T_SelfStock[WeekIndex],85)+SUMIFS(T_TTAFStock[TTAF_Qty],T_TTAFStock[RM_Code],$A14,T_TTAFStock[WeekIndex],85),CG14+'Grid_Incoming'!CH14-'Grid_Requirement'!CH14))</f>
        <v/>
      </c>
      <c r="CI14">
        <f>IF(COUNTIFS(T_StockCount[RM_Code],$A14,T_StockCount[WeekIndex],86)&gt;0,SUMIFS(T_StockCount[CountedQty],T_StockCount[RM_Code],$A14,T_StockCount[WeekIndex],86),IF((COUNTIFS(T_SelfStock[RM_Code],$A14,T_SelfStock[WeekIndex],86)&gt;0)*(COUNTIFS(T_TTAFStock[RM_Code],$A14,T_TTAFStock[WeekIndex],86)&gt;0)&gt;0,SUMIFS(T_SelfStock[Self_Qty],T_SelfStock[RM_Code],$A14,T_SelfStock[WeekIndex],86)+SUMIFS(T_TTAFStock[TTAF_Qty],T_TTAFStock[RM_Code],$A14,T_TTAFStock[WeekIndex],86),CH14+'Grid_Incoming'!CI14-'Grid_Requirement'!CI14))</f>
        <v/>
      </c>
      <c r="CJ14">
        <f>IF(COUNTIFS(T_StockCount[RM_Code],$A14,T_StockCount[WeekIndex],87)&gt;0,SUMIFS(T_StockCount[CountedQty],T_StockCount[RM_Code],$A14,T_StockCount[WeekIndex],87),IF((COUNTIFS(T_SelfStock[RM_Code],$A14,T_SelfStock[WeekIndex],87)&gt;0)*(COUNTIFS(T_TTAFStock[RM_Code],$A14,T_TTAFStock[WeekIndex],87)&gt;0)&gt;0,SUMIFS(T_SelfStock[Self_Qty],T_SelfStock[RM_Code],$A14,T_SelfStock[WeekIndex],87)+SUMIFS(T_TTAFStock[TTAF_Qty],T_TTAFStock[RM_Code],$A14,T_TTAFStock[WeekIndex],87),CI14+'Grid_Incoming'!CJ14-'Grid_Requirement'!CJ14))</f>
        <v/>
      </c>
      <c r="CK14">
        <f>IF(COUNTIFS(T_StockCount[RM_Code],$A14,T_StockCount[WeekIndex],88)&gt;0,SUMIFS(T_StockCount[CountedQty],T_StockCount[RM_Code],$A14,T_StockCount[WeekIndex],88),IF((COUNTIFS(T_SelfStock[RM_Code],$A14,T_SelfStock[WeekIndex],88)&gt;0)*(COUNTIFS(T_TTAFStock[RM_Code],$A14,T_TTAFStock[WeekIndex],88)&gt;0)&gt;0,SUMIFS(T_SelfStock[Self_Qty],T_SelfStock[RM_Code],$A14,T_SelfStock[WeekIndex],88)+SUMIFS(T_TTAFStock[TTAF_Qty],T_TTAFStock[RM_Code],$A14,T_TTAFStock[WeekIndex],88),CJ14+'Grid_Incoming'!CK14-'Grid_Requirement'!CK14))</f>
        <v/>
      </c>
      <c r="CL14">
        <f>IF(COUNTIFS(T_StockCount[RM_Code],$A14,T_StockCount[WeekIndex],89)&gt;0,SUMIFS(T_StockCount[CountedQty],T_StockCount[RM_Code],$A14,T_StockCount[WeekIndex],89),IF((COUNTIFS(T_SelfStock[RM_Code],$A14,T_SelfStock[WeekIndex],89)&gt;0)*(COUNTIFS(T_TTAFStock[RM_Code],$A14,T_TTAFStock[WeekIndex],89)&gt;0)&gt;0,SUMIFS(T_SelfStock[Self_Qty],T_SelfStock[RM_Code],$A14,T_SelfStock[WeekIndex],89)+SUMIFS(T_TTAFStock[TTAF_Qty],T_TTAFStock[RM_Code],$A14,T_TTAFStock[WeekIndex],89),CK14+'Grid_Incoming'!CL14-'Grid_Requirement'!CL14))</f>
        <v/>
      </c>
      <c r="CM14">
        <f>IF(COUNTIFS(T_StockCount[RM_Code],$A14,T_StockCount[WeekIndex],90)&gt;0,SUMIFS(T_StockCount[CountedQty],T_StockCount[RM_Code],$A14,T_StockCount[WeekIndex],90),IF((COUNTIFS(T_SelfStock[RM_Code],$A14,T_SelfStock[WeekIndex],90)&gt;0)*(COUNTIFS(T_TTAFStock[RM_Code],$A14,T_TTAFStock[WeekIndex],90)&gt;0)&gt;0,SUMIFS(T_SelfStock[Self_Qty],T_SelfStock[RM_Code],$A14,T_SelfStock[WeekIndex],90)+SUMIFS(T_TTAFStock[TTAF_Qty],T_TTAFStock[RM_Code],$A14,T_TTAFStock[WeekIndex],90),CL14+'Grid_Incoming'!CM14-'Grid_Requirement'!CM14))</f>
        <v/>
      </c>
      <c r="CN14">
        <f>IF(COUNTIFS(T_StockCount[RM_Code],$A14,T_StockCount[WeekIndex],91)&gt;0,SUMIFS(T_StockCount[CountedQty],T_StockCount[RM_Code],$A14,T_StockCount[WeekIndex],91),IF((COUNTIFS(T_SelfStock[RM_Code],$A14,T_SelfStock[WeekIndex],91)&gt;0)*(COUNTIFS(T_TTAFStock[RM_Code],$A14,T_TTAFStock[WeekIndex],91)&gt;0)&gt;0,SUMIFS(T_SelfStock[Self_Qty],T_SelfStock[RM_Code],$A14,T_SelfStock[WeekIndex],91)+SUMIFS(T_TTAFStock[TTAF_Qty],T_TTAFStock[RM_Code],$A14,T_TTAFStock[WeekIndex],91),CM14+'Grid_Incoming'!CN14-'Grid_Requirement'!CN14))</f>
        <v/>
      </c>
      <c r="CO14">
        <f>IF(COUNTIFS(T_StockCount[RM_Code],$A14,T_StockCount[WeekIndex],92)&gt;0,SUMIFS(T_StockCount[CountedQty],T_StockCount[RM_Code],$A14,T_StockCount[WeekIndex],92),IF((COUNTIFS(T_SelfStock[RM_Code],$A14,T_SelfStock[WeekIndex],92)&gt;0)*(COUNTIFS(T_TTAFStock[RM_Code],$A14,T_TTAFStock[WeekIndex],92)&gt;0)&gt;0,SUMIFS(T_SelfStock[Self_Qty],T_SelfStock[RM_Code],$A14,T_SelfStock[WeekIndex],92)+SUMIFS(T_TTAFStock[TTAF_Qty],T_TTAFStock[RM_Code],$A14,T_TTAFStock[WeekIndex],92),CN14+'Grid_Incoming'!CO14-'Grid_Requirement'!CO14))</f>
        <v/>
      </c>
      <c r="CP14">
        <f>IF(COUNTIFS(T_StockCount[RM_Code],$A14,T_StockCount[WeekIndex],93)&gt;0,SUMIFS(T_StockCount[CountedQty],T_StockCount[RM_Code],$A14,T_StockCount[WeekIndex],93),IF((COUNTIFS(T_SelfStock[RM_Code],$A14,T_SelfStock[WeekIndex],93)&gt;0)*(COUNTIFS(T_TTAFStock[RM_Code],$A14,T_TTAFStock[WeekIndex],93)&gt;0)&gt;0,SUMIFS(T_SelfStock[Self_Qty],T_SelfStock[RM_Code],$A14,T_SelfStock[WeekIndex],93)+SUMIFS(T_TTAFStock[TTAF_Qty],T_TTAFStock[RM_Code],$A14,T_TTAFStock[WeekIndex],93),CO14+'Grid_Incoming'!CP14-'Grid_Requirement'!CP14))</f>
        <v/>
      </c>
      <c r="CQ14">
        <f>IF(COUNTIFS(T_StockCount[RM_Code],$A14,T_StockCount[WeekIndex],94)&gt;0,SUMIFS(T_StockCount[CountedQty],T_StockCount[RM_Code],$A14,T_StockCount[WeekIndex],94),IF((COUNTIFS(T_SelfStock[RM_Code],$A14,T_SelfStock[WeekIndex],94)&gt;0)*(COUNTIFS(T_TTAFStock[RM_Code],$A14,T_TTAFStock[WeekIndex],94)&gt;0)&gt;0,SUMIFS(T_SelfStock[Self_Qty],T_SelfStock[RM_Code],$A14,T_SelfStock[WeekIndex],94)+SUMIFS(T_TTAFStock[TTAF_Qty],T_TTAFStock[RM_Code],$A14,T_TTAFStock[WeekIndex],94),CP14+'Grid_Incoming'!CQ14-'Grid_Requirement'!CQ14))</f>
        <v/>
      </c>
      <c r="CR14">
        <f>IF(COUNTIFS(T_StockCount[RM_Code],$A14,T_StockCount[WeekIndex],95)&gt;0,SUMIFS(T_StockCount[CountedQty],T_StockCount[RM_Code],$A14,T_StockCount[WeekIndex],95),IF((COUNTIFS(T_SelfStock[RM_Code],$A14,T_SelfStock[WeekIndex],95)&gt;0)*(COUNTIFS(T_TTAFStock[RM_Code],$A14,T_TTAFStock[WeekIndex],95)&gt;0)&gt;0,SUMIFS(T_SelfStock[Self_Qty],T_SelfStock[RM_Code],$A14,T_SelfStock[WeekIndex],95)+SUMIFS(T_TTAFStock[TTAF_Qty],T_TTAFStock[RM_Code],$A14,T_TTAFStock[WeekIndex],95),CQ14+'Grid_Incoming'!CR14-'Grid_Requirement'!CR14))</f>
        <v/>
      </c>
      <c r="CS14">
        <f>IF(COUNTIFS(T_StockCount[RM_Code],$A14,T_StockCount[WeekIndex],96)&gt;0,SUMIFS(T_StockCount[CountedQty],T_StockCount[RM_Code],$A14,T_StockCount[WeekIndex],96),IF((COUNTIFS(T_SelfStock[RM_Code],$A14,T_SelfStock[WeekIndex],96)&gt;0)*(COUNTIFS(T_TTAFStock[RM_Code],$A14,T_TTAFStock[WeekIndex],96)&gt;0)&gt;0,SUMIFS(T_SelfStock[Self_Qty],T_SelfStock[RM_Code],$A14,T_SelfStock[WeekIndex],96)+SUMIFS(T_TTAFStock[TTAF_Qty],T_TTAFStock[RM_Code],$A14,T_TTAFStock[WeekIndex],96),CR14+'Grid_Incoming'!CS14-'Grid_Requirement'!CS14))</f>
        <v/>
      </c>
      <c r="CT14">
        <f>IF(COUNTIFS(T_StockCount[RM_Code],$A14,T_StockCount[WeekIndex],97)&gt;0,SUMIFS(T_StockCount[CountedQty],T_StockCount[RM_Code],$A14,T_StockCount[WeekIndex],97),IF((COUNTIFS(T_SelfStock[RM_Code],$A14,T_SelfStock[WeekIndex],97)&gt;0)*(COUNTIFS(T_TTAFStock[RM_Code],$A14,T_TTAFStock[WeekIndex],97)&gt;0)&gt;0,SUMIFS(T_SelfStock[Self_Qty],T_SelfStock[RM_Code],$A14,T_SelfStock[WeekIndex],97)+SUMIFS(T_TTAFStock[TTAF_Qty],T_TTAFStock[RM_Code],$A14,T_TTAFStock[WeekIndex],97),CS14+'Grid_Incoming'!CT14-'Grid_Requirement'!CT14))</f>
        <v/>
      </c>
      <c r="CU14">
        <f>IF(COUNTIFS(T_StockCount[RM_Code],$A14,T_StockCount[WeekIndex],98)&gt;0,SUMIFS(T_StockCount[CountedQty],T_StockCount[RM_Code],$A14,T_StockCount[WeekIndex],98),IF((COUNTIFS(T_SelfStock[RM_Code],$A14,T_SelfStock[WeekIndex],98)&gt;0)*(COUNTIFS(T_TTAFStock[RM_Code],$A14,T_TTAFStock[WeekIndex],98)&gt;0)&gt;0,SUMIFS(T_SelfStock[Self_Qty],T_SelfStock[RM_Code],$A14,T_SelfStock[WeekIndex],98)+SUMIFS(T_TTAFStock[TTAF_Qty],T_TTAFStock[RM_Code],$A14,T_TTAFStock[WeekIndex],98),CT14+'Grid_Incoming'!CU14-'Grid_Requirement'!CU14))</f>
        <v/>
      </c>
      <c r="CV14">
        <f>IF(COUNTIFS(T_StockCount[RM_Code],$A14,T_StockCount[WeekIndex],99)&gt;0,SUMIFS(T_StockCount[CountedQty],T_StockCount[RM_Code],$A14,T_StockCount[WeekIndex],99),IF((COUNTIFS(T_SelfStock[RM_Code],$A14,T_SelfStock[WeekIndex],99)&gt;0)*(COUNTIFS(T_TTAFStock[RM_Code],$A14,T_TTAFStock[WeekIndex],99)&gt;0)&gt;0,SUMIFS(T_SelfStock[Self_Qty],T_SelfStock[RM_Code],$A14,T_SelfStock[WeekIndex],99)+SUMIFS(T_TTAFStock[TTAF_Qty],T_TTAFStock[RM_Code],$A14,T_TTAFStock[WeekIndex],99),CU14+'Grid_Incoming'!CV14-'Grid_Requirement'!CV14))</f>
        <v/>
      </c>
      <c r="CW14">
        <f>IF(COUNTIFS(T_StockCount[RM_Code],$A14,T_StockCount[WeekIndex],100)&gt;0,SUMIFS(T_StockCount[CountedQty],T_StockCount[RM_Code],$A14,T_StockCount[WeekIndex],100),IF((COUNTIFS(T_SelfStock[RM_Code],$A14,T_SelfStock[WeekIndex],100)&gt;0)*(COUNTIFS(T_TTAFStock[RM_Code],$A14,T_TTAFStock[WeekIndex],100)&gt;0)&gt;0,SUMIFS(T_SelfStock[Self_Qty],T_SelfStock[RM_Code],$A14,T_SelfStock[WeekIndex],100)+SUMIFS(T_TTAFStock[TTAF_Qty],T_TTAFStock[RM_Code],$A14,T_TTAFStock[WeekIndex],100),CV14+'Grid_Incoming'!CW14-'Grid_Requirement'!CW14))</f>
        <v/>
      </c>
      <c r="CX14">
        <f>IF(COUNTIFS(T_StockCount[RM_Code],$A14,T_StockCount[WeekIndex],101)&gt;0,SUMIFS(T_StockCount[CountedQty],T_StockCount[RM_Code],$A14,T_StockCount[WeekIndex],101),IF((COUNTIFS(T_SelfStock[RM_Code],$A14,T_SelfStock[WeekIndex],101)&gt;0)*(COUNTIFS(T_TTAFStock[RM_Code],$A14,T_TTAFStock[WeekIndex],101)&gt;0)&gt;0,SUMIFS(T_SelfStock[Self_Qty],T_SelfStock[RM_Code],$A14,T_SelfStock[WeekIndex],101)+SUMIFS(T_TTAFStock[TTAF_Qty],T_TTAFStock[RM_Code],$A14,T_TTAFStock[WeekIndex],101),CW14+'Grid_Incoming'!CX14-'Grid_Requirement'!CX14))</f>
        <v/>
      </c>
      <c r="CY14">
        <f>IF(COUNTIFS(T_StockCount[RM_Code],$A14,T_StockCount[WeekIndex],102)&gt;0,SUMIFS(T_StockCount[CountedQty],T_StockCount[RM_Code],$A14,T_StockCount[WeekIndex],102),IF((COUNTIFS(T_SelfStock[RM_Code],$A14,T_SelfStock[WeekIndex],102)&gt;0)*(COUNTIFS(T_TTAFStock[RM_Code],$A14,T_TTAFStock[WeekIndex],102)&gt;0)&gt;0,SUMIFS(T_SelfStock[Self_Qty],T_SelfStock[RM_Code],$A14,T_SelfStock[WeekIndex],102)+SUMIFS(T_TTAFStock[TTAF_Qty],T_TTAFStock[RM_Code],$A14,T_TTAFStock[WeekIndex],102),CX14+'Grid_Incoming'!CY14-'Grid_Requirement'!CY14))</f>
        <v/>
      </c>
      <c r="CZ14">
        <f>IF(COUNTIFS(T_StockCount[RM_Code],$A14,T_StockCount[WeekIndex],103)&gt;0,SUMIFS(T_StockCount[CountedQty],T_StockCount[RM_Code],$A14,T_StockCount[WeekIndex],103),IF((COUNTIFS(T_SelfStock[RM_Code],$A14,T_SelfStock[WeekIndex],103)&gt;0)*(COUNTIFS(T_TTAFStock[RM_Code],$A14,T_TTAFStock[WeekIndex],103)&gt;0)&gt;0,SUMIFS(T_SelfStock[Self_Qty],T_SelfStock[RM_Code],$A14,T_SelfStock[WeekIndex],103)+SUMIFS(T_TTAFStock[TTAF_Qty],T_TTAFStock[RM_Code],$A14,T_TTAFStock[WeekIndex],103),CY14+'Grid_Incoming'!CZ14-'Grid_Requirement'!CZ14))</f>
        <v/>
      </c>
      <c r="DA14">
        <f>IF(COUNTIFS(T_StockCount[RM_Code],$A14,T_StockCount[WeekIndex],104)&gt;0,SUMIFS(T_StockCount[CountedQty],T_StockCount[RM_Code],$A14,T_StockCount[WeekIndex],104),IF((COUNTIFS(T_SelfStock[RM_Code],$A14,T_SelfStock[WeekIndex],104)&gt;0)*(COUNTIFS(T_TTAFStock[RM_Code],$A14,T_TTAFStock[WeekIndex],104)&gt;0)&gt;0,SUMIFS(T_SelfStock[Self_Qty],T_SelfStock[RM_Code],$A14,T_SelfStock[WeekIndex],104)+SUMIFS(T_TTAFStock[TTAF_Qty],T_TTAFStock[RM_Code],$A14,T_TTAFStock[WeekIndex],104),CZ14+'Grid_Incoming'!DA14-'Grid_Requirement'!DA14))</f>
        <v/>
      </c>
    </row>
    <row r="15">
      <c r="A15" t="inlineStr">
        <is>
          <t>9RN</t>
        </is>
      </c>
      <c r="B15">
        <f>IF(COUNTIFS(T_StockCount[RM_Code],$A15,T_StockCount[WeekIndex],1)&gt;0,SUMIFS(T_StockCount[CountedQty],T_StockCount[RM_Code],$A15,T_StockCount[WeekIndex],1),IF((COUNTIFS(T_SelfStock[RM_Code],$A15,T_SelfStock[WeekIndex],1)&gt;0)*(COUNTIFS(T_TTAFStock[RM_Code],$A15,T_TTAFStock[WeekIndex],1)&gt;0)&gt;0,SUMIFS(T_SelfStock[Self_Qty],T_SelfStock[RM_Code],$A15,T_SelfStock[WeekIndex],1)+SUMIFS(T_TTAFStock[TTAF_Qty],T_TTAFStock[RM_Code],$A15,T_TTAFStock[WeekIndex],1),IFERROR(INDEX(T_OpeningStock[Opening_Qty],MATCH($A15,T_OpeningStock[RM_Code],0)),0)+'Grid_Incoming'!B15-'Grid_Requirement'!B15))</f>
        <v/>
      </c>
      <c r="C15">
        <f>IF(COUNTIFS(T_StockCount[RM_Code],$A15,T_StockCount[WeekIndex],2)&gt;0,SUMIFS(T_StockCount[CountedQty],T_StockCount[RM_Code],$A15,T_StockCount[WeekIndex],2),IF((COUNTIFS(T_SelfStock[RM_Code],$A15,T_SelfStock[WeekIndex],2)&gt;0)*(COUNTIFS(T_TTAFStock[RM_Code],$A15,T_TTAFStock[WeekIndex],2)&gt;0)&gt;0,SUMIFS(T_SelfStock[Self_Qty],T_SelfStock[RM_Code],$A15,T_SelfStock[WeekIndex],2)+SUMIFS(T_TTAFStock[TTAF_Qty],T_TTAFStock[RM_Code],$A15,T_TTAFStock[WeekIndex],2),B15+'Grid_Incoming'!C15-'Grid_Requirement'!C15))</f>
        <v/>
      </c>
      <c r="D15">
        <f>IF(COUNTIFS(T_StockCount[RM_Code],$A15,T_StockCount[WeekIndex],3)&gt;0,SUMIFS(T_StockCount[CountedQty],T_StockCount[RM_Code],$A15,T_StockCount[WeekIndex],3),IF((COUNTIFS(T_SelfStock[RM_Code],$A15,T_SelfStock[WeekIndex],3)&gt;0)*(COUNTIFS(T_TTAFStock[RM_Code],$A15,T_TTAFStock[WeekIndex],3)&gt;0)&gt;0,SUMIFS(T_SelfStock[Self_Qty],T_SelfStock[RM_Code],$A15,T_SelfStock[WeekIndex],3)+SUMIFS(T_TTAFStock[TTAF_Qty],T_TTAFStock[RM_Code],$A15,T_TTAFStock[WeekIndex],3),C15+'Grid_Incoming'!D15-'Grid_Requirement'!D15))</f>
        <v/>
      </c>
      <c r="E15">
        <f>IF(COUNTIFS(T_StockCount[RM_Code],$A15,T_StockCount[WeekIndex],4)&gt;0,SUMIFS(T_StockCount[CountedQty],T_StockCount[RM_Code],$A15,T_StockCount[WeekIndex],4),IF((COUNTIFS(T_SelfStock[RM_Code],$A15,T_SelfStock[WeekIndex],4)&gt;0)*(COUNTIFS(T_TTAFStock[RM_Code],$A15,T_TTAFStock[WeekIndex],4)&gt;0)&gt;0,SUMIFS(T_SelfStock[Self_Qty],T_SelfStock[RM_Code],$A15,T_SelfStock[WeekIndex],4)+SUMIFS(T_TTAFStock[TTAF_Qty],T_TTAFStock[RM_Code],$A15,T_TTAFStock[WeekIndex],4),D15+'Grid_Incoming'!E15-'Grid_Requirement'!E15))</f>
        <v/>
      </c>
      <c r="F15">
        <f>IF(COUNTIFS(T_StockCount[RM_Code],$A15,T_StockCount[WeekIndex],5)&gt;0,SUMIFS(T_StockCount[CountedQty],T_StockCount[RM_Code],$A15,T_StockCount[WeekIndex],5),IF((COUNTIFS(T_SelfStock[RM_Code],$A15,T_SelfStock[WeekIndex],5)&gt;0)*(COUNTIFS(T_TTAFStock[RM_Code],$A15,T_TTAFStock[WeekIndex],5)&gt;0)&gt;0,SUMIFS(T_SelfStock[Self_Qty],T_SelfStock[RM_Code],$A15,T_SelfStock[WeekIndex],5)+SUMIFS(T_TTAFStock[TTAF_Qty],T_TTAFStock[RM_Code],$A15,T_TTAFStock[WeekIndex],5),E15+'Grid_Incoming'!F15-'Grid_Requirement'!F15))</f>
        <v/>
      </c>
      <c r="G15">
        <f>IF(COUNTIFS(T_StockCount[RM_Code],$A15,T_StockCount[WeekIndex],6)&gt;0,SUMIFS(T_StockCount[CountedQty],T_StockCount[RM_Code],$A15,T_StockCount[WeekIndex],6),IF((COUNTIFS(T_SelfStock[RM_Code],$A15,T_SelfStock[WeekIndex],6)&gt;0)*(COUNTIFS(T_TTAFStock[RM_Code],$A15,T_TTAFStock[WeekIndex],6)&gt;0)&gt;0,SUMIFS(T_SelfStock[Self_Qty],T_SelfStock[RM_Code],$A15,T_SelfStock[WeekIndex],6)+SUMIFS(T_TTAFStock[TTAF_Qty],T_TTAFStock[RM_Code],$A15,T_TTAFStock[WeekIndex],6),F15+'Grid_Incoming'!G15-'Grid_Requirement'!G15))</f>
        <v/>
      </c>
      <c r="H15">
        <f>IF(COUNTIFS(T_StockCount[RM_Code],$A15,T_StockCount[WeekIndex],7)&gt;0,SUMIFS(T_StockCount[CountedQty],T_StockCount[RM_Code],$A15,T_StockCount[WeekIndex],7),IF((COUNTIFS(T_SelfStock[RM_Code],$A15,T_SelfStock[WeekIndex],7)&gt;0)*(COUNTIFS(T_TTAFStock[RM_Code],$A15,T_TTAFStock[WeekIndex],7)&gt;0)&gt;0,SUMIFS(T_SelfStock[Self_Qty],T_SelfStock[RM_Code],$A15,T_SelfStock[WeekIndex],7)+SUMIFS(T_TTAFStock[TTAF_Qty],T_TTAFStock[RM_Code],$A15,T_TTAFStock[WeekIndex],7),G15+'Grid_Incoming'!H15-'Grid_Requirement'!H15))</f>
        <v/>
      </c>
      <c r="I15">
        <f>IF(COUNTIFS(T_StockCount[RM_Code],$A15,T_StockCount[WeekIndex],8)&gt;0,SUMIFS(T_StockCount[CountedQty],T_StockCount[RM_Code],$A15,T_StockCount[WeekIndex],8),IF((COUNTIFS(T_SelfStock[RM_Code],$A15,T_SelfStock[WeekIndex],8)&gt;0)*(COUNTIFS(T_TTAFStock[RM_Code],$A15,T_TTAFStock[WeekIndex],8)&gt;0)&gt;0,SUMIFS(T_SelfStock[Self_Qty],T_SelfStock[RM_Code],$A15,T_SelfStock[WeekIndex],8)+SUMIFS(T_TTAFStock[TTAF_Qty],T_TTAFStock[RM_Code],$A15,T_TTAFStock[WeekIndex],8),H15+'Grid_Incoming'!I15-'Grid_Requirement'!I15))</f>
        <v/>
      </c>
      <c r="J15">
        <f>IF(COUNTIFS(T_StockCount[RM_Code],$A15,T_StockCount[WeekIndex],9)&gt;0,SUMIFS(T_StockCount[CountedQty],T_StockCount[RM_Code],$A15,T_StockCount[WeekIndex],9),IF((COUNTIFS(T_SelfStock[RM_Code],$A15,T_SelfStock[WeekIndex],9)&gt;0)*(COUNTIFS(T_TTAFStock[RM_Code],$A15,T_TTAFStock[WeekIndex],9)&gt;0)&gt;0,SUMIFS(T_SelfStock[Self_Qty],T_SelfStock[RM_Code],$A15,T_SelfStock[WeekIndex],9)+SUMIFS(T_TTAFStock[TTAF_Qty],T_TTAFStock[RM_Code],$A15,T_TTAFStock[WeekIndex],9),I15+'Grid_Incoming'!J15-'Grid_Requirement'!J15))</f>
        <v/>
      </c>
      <c r="K15">
        <f>IF(COUNTIFS(T_StockCount[RM_Code],$A15,T_StockCount[WeekIndex],10)&gt;0,SUMIFS(T_StockCount[CountedQty],T_StockCount[RM_Code],$A15,T_StockCount[WeekIndex],10),IF((COUNTIFS(T_SelfStock[RM_Code],$A15,T_SelfStock[WeekIndex],10)&gt;0)*(COUNTIFS(T_TTAFStock[RM_Code],$A15,T_TTAFStock[WeekIndex],10)&gt;0)&gt;0,SUMIFS(T_SelfStock[Self_Qty],T_SelfStock[RM_Code],$A15,T_SelfStock[WeekIndex],10)+SUMIFS(T_TTAFStock[TTAF_Qty],T_TTAFStock[RM_Code],$A15,T_TTAFStock[WeekIndex],10),J15+'Grid_Incoming'!K15-'Grid_Requirement'!K15))</f>
        <v/>
      </c>
      <c r="L15">
        <f>IF(COUNTIFS(T_StockCount[RM_Code],$A15,T_StockCount[WeekIndex],11)&gt;0,SUMIFS(T_StockCount[CountedQty],T_StockCount[RM_Code],$A15,T_StockCount[WeekIndex],11),IF((COUNTIFS(T_SelfStock[RM_Code],$A15,T_SelfStock[WeekIndex],11)&gt;0)*(COUNTIFS(T_TTAFStock[RM_Code],$A15,T_TTAFStock[WeekIndex],11)&gt;0)&gt;0,SUMIFS(T_SelfStock[Self_Qty],T_SelfStock[RM_Code],$A15,T_SelfStock[WeekIndex],11)+SUMIFS(T_TTAFStock[TTAF_Qty],T_TTAFStock[RM_Code],$A15,T_TTAFStock[WeekIndex],11),K15+'Grid_Incoming'!L15-'Grid_Requirement'!L15))</f>
        <v/>
      </c>
      <c r="M15">
        <f>IF(COUNTIFS(T_StockCount[RM_Code],$A15,T_StockCount[WeekIndex],12)&gt;0,SUMIFS(T_StockCount[CountedQty],T_StockCount[RM_Code],$A15,T_StockCount[WeekIndex],12),IF((COUNTIFS(T_SelfStock[RM_Code],$A15,T_SelfStock[WeekIndex],12)&gt;0)*(COUNTIFS(T_TTAFStock[RM_Code],$A15,T_TTAFStock[WeekIndex],12)&gt;0)&gt;0,SUMIFS(T_SelfStock[Self_Qty],T_SelfStock[RM_Code],$A15,T_SelfStock[WeekIndex],12)+SUMIFS(T_TTAFStock[TTAF_Qty],T_TTAFStock[RM_Code],$A15,T_TTAFStock[WeekIndex],12),L15+'Grid_Incoming'!M15-'Grid_Requirement'!M15))</f>
        <v/>
      </c>
      <c r="N15">
        <f>IF(COUNTIFS(T_StockCount[RM_Code],$A15,T_StockCount[WeekIndex],13)&gt;0,SUMIFS(T_StockCount[CountedQty],T_StockCount[RM_Code],$A15,T_StockCount[WeekIndex],13),IF((COUNTIFS(T_SelfStock[RM_Code],$A15,T_SelfStock[WeekIndex],13)&gt;0)*(COUNTIFS(T_TTAFStock[RM_Code],$A15,T_TTAFStock[WeekIndex],13)&gt;0)&gt;0,SUMIFS(T_SelfStock[Self_Qty],T_SelfStock[RM_Code],$A15,T_SelfStock[WeekIndex],13)+SUMIFS(T_TTAFStock[TTAF_Qty],T_TTAFStock[RM_Code],$A15,T_TTAFStock[WeekIndex],13),M15+'Grid_Incoming'!N15-'Grid_Requirement'!N15))</f>
        <v/>
      </c>
      <c r="O15">
        <f>IF(COUNTIFS(T_StockCount[RM_Code],$A15,T_StockCount[WeekIndex],14)&gt;0,SUMIFS(T_StockCount[CountedQty],T_StockCount[RM_Code],$A15,T_StockCount[WeekIndex],14),IF((COUNTIFS(T_SelfStock[RM_Code],$A15,T_SelfStock[WeekIndex],14)&gt;0)*(COUNTIFS(T_TTAFStock[RM_Code],$A15,T_TTAFStock[WeekIndex],14)&gt;0)&gt;0,SUMIFS(T_SelfStock[Self_Qty],T_SelfStock[RM_Code],$A15,T_SelfStock[WeekIndex],14)+SUMIFS(T_TTAFStock[TTAF_Qty],T_TTAFStock[RM_Code],$A15,T_TTAFStock[WeekIndex],14),N15+'Grid_Incoming'!O15-'Grid_Requirement'!O15))</f>
        <v/>
      </c>
      <c r="P15">
        <f>IF(COUNTIFS(T_StockCount[RM_Code],$A15,T_StockCount[WeekIndex],15)&gt;0,SUMIFS(T_StockCount[CountedQty],T_StockCount[RM_Code],$A15,T_StockCount[WeekIndex],15),IF((COUNTIFS(T_SelfStock[RM_Code],$A15,T_SelfStock[WeekIndex],15)&gt;0)*(COUNTIFS(T_TTAFStock[RM_Code],$A15,T_TTAFStock[WeekIndex],15)&gt;0)&gt;0,SUMIFS(T_SelfStock[Self_Qty],T_SelfStock[RM_Code],$A15,T_SelfStock[WeekIndex],15)+SUMIFS(T_TTAFStock[TTAF_Qty],T_TTAFStock[RM_Code],$A15,T_TTAFStock[WeekIndex],15),O15+'Grid_Incoming'!P15-'Grid_Requirement'!P15))</f>
        <v/>
      </c>
      <c r="Q15">
        <f>IF(COUNTIFS(T_StockCount[RM_Code],$A15,T_StockCount[WeekIndex],16)&gt;0,SUMIFS(T_StockCount[CountedQty],T_StockCount[RM_Code],$A15,T_StockCount[WeekIndex],16),IF((COUNTIFS(T_SelfStock[RM_Code],$A15,T_SelfStock[WeekIndex],16)&gt;0)*(COUNTIFS(T_TTAFStock[RM_Code],$A15,T_TTAFStock[WeekIndex],16)&gt;0)&gt;0,SUMIFS(T_SelfStock[Self_Qty],T_SelfStock[RM_Code],$A15,T_SelfStock[WeekIndex],16)+SUMIFS(T_TTAFStock[TTAF_Qty],T_TTAFStock[RM_Code],$A15,T_TTAFStock[WeekIndex],16),P15+'Grid_Incoming'!Q15-'Grid_Requirement'!Q15))</f>
        <v/>
      </c>
      <c r="R15">
        <f>IF(COUNTIFS(T_StockCount[RM_Code],$A15,T_StockCount[WeekIndex],17)&gt;0,SUMIFS(T_StockCount[CountedQty],T_StockCount[RM_Code],$A15,T_StockCount[WeekIndex],17),IF((COUNTIFS(T_SelfStock[RM_Code],$A15,T_SelfStock[WeekIndex],17)&gt;0)*(COUNTIFS(T_TTAFStock[RM_Code],$A15,T_TTAFStock[WeekIndex],17)&gt;0)&gt;0,SUMIFS(T_SelfStock[Self_Qty],T_SelfStock[RM_Code],$A15,T_SelfStock[WeekIndex],17)+SUMIFS(T_TTAFStock[TTAF_Qty],T_TTAFStock[RM_Code],$A15,T_TTAFStock[WeekIndex],17),Q15+'Grid_Incoming'!R15-'Grid_Requirement'!R15))</f>
        <v/>
      </c>
      <c r="S15">
        <f>IF(COUNTIFS(T_StockCount[RM_Code],$A15,T_StockCount[WeekIndex],18)&gt;0,SUMIFS(T_StockCount[CountedQty],T_StockCount[RM_Code],$A15,T_StockCount[WeekIndex],18),IF((COUNTIFS(T_SelfStock[RM_Code],$A15,T_SelfStock[WeekIndex],18)&gt;0)*(COUNTIFS(T_TTAFStock[RM_Code],$A15,T_TTAFStock[WeekIndex],18)&gt;0)&gt;0,SUMIFS(T_SelfStock[Self_Qty],T_SelfStock[RM_Code],$A15,T_SelfStock[WeekIndex],18)+SUMIFS(T_TTAFStock[TTAF_Qty],T_TTAFStock[RM_Code],$A15,T_TTAFStock[WeekIndex],18),R15+'Grid_Incoming'!S15-'Grid_Requirement'!S15))</f>
        <v/>
      </c>
      <c r="T15">
        <f>IF(COUNTIFS(T_StockCount[RM_Code],$A15,T_StockCount[WeekIndex],19)&gt;0,SUMIFS(T_StockCount[CountedQty],T_StockCount[RM_Code],$A15,T_StockCount[WeekIndex],19),IF((COUNTIFS(T_SelfStock[RM_Code],$A15,T_SelfStock[WeekIndex],19)&gt;0)*(COUNTIFS(T_TTAFStock[RM_Code],$A15,T_TTAFStock[WeekIndex],19)&gt;0)&gt;0,SUMIFS(T_SelfStock[Self_Qty],T_SelfStock[RM_Code],$A15,T_SelfStock[WeekIndex],19)+SUMIFS(T_TTAFStock[TTAF_Qty],T_TTAFStock[RM_Code],$A15,T_TTAFStock[WeekIndex],19),S15+'Grid_Incoming'!T15-'Grid_Requirement'!T15))</f>
        <v/>
      </c>
      <c r="U15">
        <f>IF(COUNTIFS(T_StockCount[RM_Code],$A15,T_StockCount[WeekIndex],20)&gt;0,SUMIFS(T_StockCount[CountedQty],T_StockCount[RM_Code],$A15,T_StockCount[WeekIndex],20),IF((COUNTIFS(T_SelfStock[RM_Code],$A15,T_SelfStock[WeekIndex],20)&gt;0)*(COUNTIFS(T_TTAFStock[RM_Code],$A15,T_TTAFStock[WeekIndex],20)&gt;0)&gt;0,SUMIFS(T_SelfStock[Self_Qty],T_SelfStock[RM_Code],$A15,T_SelfStock[WeekIndex],20)+SUMIFS(T_TTAFStock[TTAF_Qty],T_TTAFStock[RM_Code],$A15,T_TTAFStock[WeekIndex],20),T15+'Grid_Incoming'!U15-'Grid_Requirement'!U15))</f>
        <v/>
      </c>
      <c r="V15">
        <f>IF(COUNTIFS(T_StockCount[RM_Code],$A15,T_StockCount[WeekIndex],21)&gt;0,SUMIFS(T_StockCount[CountedQty],T_StockCount[RM_Code],$A15,T_StockCount[WeekIndex],21),IF((COUNTIFS(T_SelfStock[RM_Code],$A15,T_SelfStock[WeekIndex],21)&gt;0)*(COUNTIFS(T_TTAFStock[RM_Code],$A15,T_TTAFStock[WeekIndex],21)&gt;0)&gt;0,SUMIFS(T_SelfStock[Self_Qty],T_SelfStock[RM_Code],$A15,T_SelfStock[WeekIndex],21)+SUMIFS(T_TTAFStock[TTAF_Qty],T_TTAFStock[RM_Code],$A15,T_TTAFStock[WeekIndex],21),U15+'Grid_Incoming'!V15-'Grid_Requirement'!V15))</f>
        <v/>
      </c>
      <c r="W15">
        <f>IF(COUNTIFS(T_StockCount[RM_Code],$A15,T_StockCount[WeekIndex],22)&gt;0,SUMIFS(T_StockCount[CountedQty],T_StockCount[RM_Code],$A15,T_StockCount[WeekIndex],22),IF((COUNTIFS(T_SelfStock[RM_Code],$A15,T_SelfStock[WeekIndex],22)&gt;0)*(COUNTIFS(T_TTAFStock[RM_Code],$A15,T_TTAFStock[WeekIndex],22)&gt;0)&gt;0,SUMIFS(T_SelfStock[Self_Qty],T_SelfStock[RM_Code],$A15,T_SelfStock[WeekIndex],22)+SUMIFS(T_TTAFStock[TTAF_Qty],T_TTAFStock[RM_Code],$A15,T_TTAFStock[WeekIndex],22),V15+'Grid_Incoming'!W15-'Grid_Requirement'!W15))</f>
        <v/>
      </c>
      <c r="X15">
        <f>IF(COUNTIFS(T_StockCount[RM_Code],$A15,T_StockCount[WeekIndex],23)&gt;0,SUMIFS(T_StockCount[CountedQty],T_StockCount[RM_Code],$A15,T_StockCount[WeekIndex],23),IF((COUNTIFS(T_SelfStock[RM_Code],$A15,T_SelfStock[WeekIndex],23)&gt;0)*(COUNTIFS(T_TTAFStock[RM_Code],$A15,T_TTAFStock[WeekIndex],23)&gt;0)&gt;0,SUMIFS(T_SelfStock[Self_Qty],T_SelfStock[RM_Code],$A15,T_SelfStock[WeekIndex],23)+SUMIFS(T_TTAFStock[TTAF_Qty],T_TTAFStock[RM_Code],$A15,T_TTAFStock[WeekIndex],23),W15+'Grid_Incoming'!X15-'Grid_Requirement'!X15))</f>
        <v/>
      </c>
      <c r="Y15">
        <f>IF(COUNTIFS(T_StockCount[RM_Code],$A15,T_StockCount[WeekIndex],24)&gt;0,SUMIFS(T_StockCount[CountedQty],T_StockCount[RM_Code],$A15,T_StockCount[WeekIndex],24),IF((COUNTIFS(T_SelfStock[RM_Code],$A15,T_SelfStock[WeekIndex],24)&gt;0)*(COUNTIFS(T_TTAFStock[RM_Code],$A15,T_TTAFStock[WeekIndex],24)&gt;0)&gt;0,SUMIFS(T_SelfStock[Self_Qty],T_SelfStock[RM_Code],$A15,T_SelfStock[WeekIndex],24)+SUMIFS(T_TTAFStock[TTAF_Qty],T_TTAFStock[RM_Code],$A15,T_TTAFStock[WeekIndex],24),X15+'Grid_Incoming'!Y15-'Grid_Requirement'!Y15))</f>
        <v/>
      </c>
      <c r="Z15">
        <f>IF(COUNTIFS(T_StockCount[RM_Code],$A15,T_StockCount[WeekIndex],25)&gt;0,SUMIFS(T_StockCount[CountedQty],T_StockCount[RM_Code],$A15,T_StockCount[WeekIndex],25),IF((COUNTIFS(T_SelfStock[RM_Code],$A15,T_SelfStock[WeekIndex],25)&gt;0)*(COUNTIFS(T_TTAFStock[RM_Code],$A15,T_TTAFStock[WeekIndex],25)&gt;0)&gt;0,SUMIFS(T_SelfStock[Self_Qty],T_SelfStock[RM_Code],$A15,T_SelfStock[WeekIndex],25)+SUMIFS(T_TTAFStock[TTAF_Qty],T_TTAFStock[RM_Code],$A15,T_TTAFStock[WeekIndex],25),Y15+'Grid_Incoming'!Z15-'Grid_Requirement'!Z15))</f>
        <v/>
      </c>
      <c r="AA15">
        <f>IF(COUNTIFS(T_StockCount[RM_Code],$A15,T_StockCount[WeekIndex],26)&gt;0,SUMIFS(T_StockCount[CountedQty],T_StockCount[RM_Code],$A15,T_StockCount[WeekIndex],26),IF((COUNTIFS(T_SelfStock[RM_Code],$A15,T_SelfStock[WeekIndex],26)&gt;0)*(COUNTIFS(T_TTAFStock[RM_Code],$A15,T_TTAFStock[WeekIndex],26)&gt;0)&gt;0,SUMIFS(T_SelfStock[Self_Qty],T_SelfStock[RM_Code],$A15,T_SelfStock[WeekIndex],26)+SUMIFS(T_TTAFStock[TTAF_Qty],T_TTAFStock[RM_Code],$A15,T_TTAFStock[WeekIndex],26),Z15+'Grid_Incoming'!AA15-'Grid_Requirement'!AA15))</f>
        <v/>
      </c>
      <c r="AB15">
        <f>IF(COUNTIFS(T_StockCount[RM_Code],$A15,T_StockCount[WeekIndex],27)&gt;0,SUMIFS(T_StockCount[CountedQty],T_StockCount[RM_Code],$A15,T_StockCount[WeekIndex],27),IF((COUNTIFS(T_SelfStock[RM_Code],$A15,T_SelfStock[WeekIndex],27)&gt;0)*(COUNTIFS(T_TTAFStock[RM_Code],$A15,T_TTAFStock[WeekIndex],27)&gt;0)&gt;0,SUMIFS(T_SelfStock[Self_Qty],T_SelfStock[RM_Code],$A15,T_SelfStock[WeekIndex],27)+SUMIFS(T_TTAFStock[TTAF_Qty],T_TTAFStock[RM_Code],$A15,T_TTAFStock[WeekIndex],27),AA15+'Grid_Incoming'!AB15-'Grid_Requirement'!AB15))</f>
        <v/>
      </c>
      <c r="AC15">
        <f>IF(COUNTIFS(T_StockCount[RM_Code],$A15,T_StockCount[WeekIndex],28)&gt;0,SUMIFS(T_StockCount[CountedQty],T_StockCount[RM_Code],$A15,T_StockCount[WeekIndex],28),IF((COUNTIFS(T_SelfStock[RM_Code],$A15,T_SelfStock[WeekIndex],28)&gt;0)*(COUNTIFS(T_TTAFStock[RM_Code],$A15,T_TTAFStock[WeekIndex],28)&gt;0)&gt;0,SUMIFS(T_SelfStock[Self_Qty],T_SelfStock[RM_Code],$A15,T_SelfStock[WeekIndex],28)+SUMIFS(T_TTAFStock[TTAF_Qty],T_TTAFStock[RM_Code],$A15,T_TTAFStock[WeekIndex],28),AB15+'Grid_Incoming'!AC15-'Grid_Requirement'!AC15))</f>
        <v/>
      </c>
      <c r="AD15">
        <f>IF(COUNTIFS(T_StockCount[RM_Code],$A15,T_StockCount[WeekIndex],29)&gt;0,SUMIFS(T_StockCount[CountedQty],T_StockCount[RM_Code],$A15,T_StockCount[WeekIndex],29),IF((COUNTIFS(T_SelfStock[RM_Code],$A15,T_SelfStock[WeekIndex],29)&gt;0)*(COUNTIFS(T_TTAFStock[RM_Code],$A15,T_TTAFStock[WeekIndex],29)&gt;0)&gt;0,SUMIFS(T_SelfStock[Self_Qty],T_SelfStock[RM_Code],$A15,T_SelfStock[WeekIndex],29)+SUMIFS(T_TTAFStock[TTAF_Qty],T_TTAFStock[RM_Code],$A15,T_TTAFStock[WeekIndex],29),AC15+'Grid_Incoming'!AD15-'Grid_Requirement'!AD15))</f>
        <v/>
      </c>
      <c r="AE15">
        <f>IF(COUNTIFS(T_StockCount[RM_Code],$A15,T_StockCount[WeekIndex],30)&gt;0,SUMIFS(T_StockCount[CountedQty],T_StockCount[RM_Code],$A15,T_StockCount[WeekIndex],30),IF((COUNTIFS(T_SelfStock[RM_Code],$A15,T_SelfStock[WeekIndex],30)&gt;0)*(COUNTIFS(T_TTAFStock[RM_Code],$A15,T_TTAFStock[WeekIndex],30)&gt;0)&gt;0,SUMIFS(T_SelfStock[Self_Qty],T_SelfStock[RM_Code],$A15,T_SelfStock[WeekIndex],30)+SUMIFS(T_TTAFStock[TTAF_Qty],T_TTAFStock[RM_Code],$A15,T_TTAFStock[WeekIndex],30),AD15+'Grid_Incoming'!AE15-'Grid_Requirement'!AE15))</f>
        <v/>
      </c>
      <c r="AF15">
        <f>IF(COUNTIFS(T_StockCount[RM_Code],$A15,T_StockCount[WeekIndex],31)&gt;0,SUMIFS(T_StockCount[CountedQty],T_StockCount[RM_Code],$A15,T_StockCount[WeekIndex],31),IF((COUNTIFS(T_SelfStock[RM_Code],$A15,T_SelfStock[WeekIndex],31)&gt;0)*(COUNTIFS(T_TTAFStock[RM_Code],$A15,T_TTAFStock[WeekIndex],31)&gt;0)&gt;0,SUMIFS(T_SelfStock[Self_Qty],T_SelfStock[RM_Code],$A15,T_SelfStock[WeekIndex],31)+SUMIFS(T_TTAFStock[TTAF_Qty],T_TTAFStock[RM_Code],$A15,T_TTAFStock[WeekIndex],31),AE15+'Grid_Incoming'!AF15-'Grid_Requirement'!AF15))</f>
        <v/>
      </c>
      <c r="AG15">
        <f>IF(COUNTIFS(T_StockCount[RM_Code],$A15,T_StockCount[WeekIndex],32)&gt;0,SUMIFS(T_StockCount[CountedQty],T_StockCount[RM_Code],$A15,T_StockCount[WeekIndex],32),IF((COUNTIFS(T_SelfStock[RM_Code],$A15,T_SelfStock[WeekIndex],32)&gt;0)*(COUNTIFS(T_TTAFStock[RM_Code],$A15,T_TTAFStock[WeekIndex],32)&gt;0)&gt;0,SUMIFS(T_SelfStock[Self_Qty],T_SelfStock[RM_Code],$A15,T_SelfStock[WeekIndex],32)+SUMIFS(T_TTAFStock[TTAF_Qty],T_TTAFStock[RM_Code],$A15,T_TTAFStock[WeekIndex],32),AF15+'Grid_Incoming'!AG15-'Grid_Requirement'!AG15))</f>
        <v/>
      </c>
      <c r="AH15">
        <f>IF(COUNTIFS(T_StockCount[RM_Code],$A15,T_StockCount[WeekIndex],33)&gt;0,SUMIFS(T_StockCount[CountedQty],T_StockCount[RM_Code],$A15,T_StockCount[WeekIndex],33),IF((COUNTIFS(T_SelfStock[RM_Code],$A15,T_SelfStock[WeekIndex],33)&gt;0)*(COUNTIFS(T_TTAFStock[RM_Code],$A15,T_TTAFStock[WeekIndex],33)&gt;0)&gt;0,SUMIFS(T_SelfStock[Self_Qty],T_SelfStock[RM_Code],$A15,T_SelfStock[WeekIndex],33)+SUMIFS(T_TTAFStock[TTAF_Qty],T_TTAFStock[RM_Code],$A15,T_TTAFStock[WeekIndex],33),AG15+'Grid_Incoming'!AH15-'Grid_Requirement'!AH15))</f>
        <v/>
      </c>
      <c r="AI15">
        <f>IF(COUNTIFS(T_StockCount[RM_Code],$A15,T_StockCount[WeekIndex],34)&gt;0,SUMIFS(T_StockCount[CountedQty],T_StockCount[RM_Code],$A15,T_StockCount[WeekIndex],34),IF((COUNTIFS(T_SelfStock[RM_Code],$A15,T_SelfStock[WeekIndex],34)&gt;0)*(COUNTIFS(T_TTAFStock[RM_Code],$A15,T_TTAFStock[WeekIndex],34)&gt;0)&gt;0,SUMIFS(T_SelfStock[Self_Qty],T_SelfStock[RM_Code],$A15,T_SelfStock[WeekIndex],34)+SUMIFS(T_TTAFStock[TTAF_Qty],T_TTAFStock[RM_Code],$A15,T_TTAFStock[WeekIndex],34),AH15+'Grid_Incoming'!AI15-'Grid_Requirement'!AI15))</f>
        <v/>
      </c>
      <c r="AJ15">
        <f>IF(COUNTIFS(T_StockCount[RM_Code],$A15,T_StockCount[WeekIndex],35)&gt;0,SUMIFS(T_StockCount[CountedQty],T_StockCount[RM_Code],$A15,T_StockCount[WeekIndex],35),IF((COUNTIFS(T_SelfStock[RM_Code],$A15,T_SelfStock[WeekIndex],35)&gt;0)*(COUNTIFS(T_TTAFStock[RM_Code],$A15,T_TTAFStock[WeekIndex],35)&gt;0)&gt;0,SUMIFS(T_SelfStock[Self_Qty],T_SelfStock[RM_Code],$A15,T_SelfStock[WeekIndex],35)+SUMIFS(T_TTAFStock[TTAF_Qty],T_TTAFStock[RM_Code],$A15,T_TTAFStock[WeekIndex],35),AI15+'Grid_Incoming'!AJ15-'Grid_Requirement'!AJ15))</f>
        <v/>
      </c>
      <c r="AK15">
        <f>IF(COUNTIFS(T_StockCount[RM_Code],$A15,T_StockCount[WeekIndex],36)&gt;0,SUMIFS(T_StockCount[CountedQty],T_StockCount[RM_Code],$A15,T_StockCount[WeekIndex],36),IF((COUNTIFS(T_SelfStock[RM_Code],$A15,T_SelfStock[WeekIndex],36)&gt;0)*(COUNTIFS(T_TTAFStock[RM_Code],$A15,T_TTAFStock[WeekIndex],36)&gt;0)&gt;0,SUMIFS(T_SelfStock[Self_Qty],T_SelfStock[RM_Code],$A15,T_SelfStock[WeekIndex],36)+SUMIFS(T_TTAFStock[TTAF_Qty],T_TTAFStock[RM_Code],$A15,T_TTAFStock[WeekIndex],36),AJ15+'Grid_Incoming'!AK15-'Grid_Requirement'!AK15))</f>
        <v/>
      </c>
      <c r="AL15">
        <f>IF(COUNTIFS(T_StockCount[RM_Code],$A15,T_StockCount[WeekIndex],37)&gt;0,SUMIFS(T_StockCount[CountedQty],T_StockCount[RM_Code],$A15,T_StockCount[WeekIndex],37),IF((COUNTIFS(T_SelfStock[RM_Code],$A15,T_SelfStock[WeekIndex],37)&gt;0)*(COUNTIFS(T_TTAFStock[RM_Code],$A15,T_TTAFStock[WeekIndex],37)&gt;0)&gt;0,SUMIFS(T_SelfStock[Self_Qty],T_SelfStock[RM_Code],$A15,T_SelfStock[WeekIndex],37)+SUMIFS(T_TTAFStock[TTAF_Qty],T_TTAFStock[RM_Code],$A15,T_TTAFStock[WeekIndex],37),AK15+'Grid_Incoming'!AL15-'Grid_Requirement'!AL15))</f>
        <v/>
      </c>
      <c r="AM15">
        <f>IF(COUNTIFS(T_StockCount[RM_Code],$A15,T_StockCount[WeekIndex],38)&gt;0,SUMIFS(T_StockCount[CountedQty],T_StockCount[RM_Code],$A15,T_StockCount[WeekIndex],38),IF((COUNTIFS(T_SelfStock[RM_Code],$A15,T_SelfStock[WeekIndex],38)&gt;0)*(COUNTIFS(T_TTAFStock[RM_Code],$A15,T_TTAFStock[WeekIndex],38)&gt;0)&gt;0,SUMIFS(T_SelfStock[Self_Qty],T_SelfStock[RM_Code],$A15,T_SelfStock[WeekIndex],38)+SUMIFS(T_TTAFStock[TTAF_Qty],T_TTAFStock[RM_Code],$A15,T_TTAFStock[WeekIndex],38),AL15+'Grid_Incoming'!AM15-'Grid_Requirement'!AM15))</f>
        <v/>
      </c>
      <c r="AN15">
        <f>IF(COUNTIFS(T_StockCount[RM_Code],$A15,T_StockCount[WeekIndex],39)&gt;0,SUMIFS(T_StockCount[CountedQty],T_StockCount[RM_Code],$A15,T_StockCount[WeekIndex],39),IF((COUNTIFS(T_SelfStock[RM_Code],$A15,T_SelfStock[WeekIndex],39)&gt;0)*(COUNTIFS(T_TTAFStock[RM_Code],$A15,T_TTAFStock[WeekIndex],39)&gt;0)&gt;0,SUMIFS(T_SelfStock[Self_Qty],T_SelfStock[RM_Code],$A15,T_SelfStock[WeekIndex],39)+SUMIFS(T_TTAFStock[TTAF_Qty],T_TTAFStock[RM_Code],$A15,T_TTAFStock[WeekIndex],39),AM15+'Grid_Incoming'!AN15-'Grid_Requirement'!AN15))</f>
        <v/>
      </c>
      <c r="AO15">
        <f>IF(COUNTIFS(T_StockCount[RM_Code],$A15,T_StockCount[WeekIndex],40)&gt;0,SUMIFS(T_StockCount[CountedQty],T_StockCount[RM_Code],$A15,T_StockCount[WeekIndex],40),IF((COUNTIFS(T_SelfStock[RM_Code],$A15,T_SelfStock[WeekIndex],40)&gt;0)*(COUNTIFS(T_TTAFStock[RM_Code],$A15,T_TTAFStock[WeekIndex],40)&gt;0)&gt;0,SUMIFS(T_SelfStock[Self_Qty],T_SelfStock[RM_Code],$A15,T_SelfStock[WeekIndex],40)+SUMIFS(T_TTAFStock[TTAF_Qty],T_TTAFStock[RM_Code],$A15,T_TTAFStock[WeekIndex],40),AN15+'Grid_Incoming'!AO15-'Grid_Requirement'!AO15))</f>
        <v/>
      </c>
      <c r="AP15">
        <f>IF(COUNTIFS(T_StockCount[RM_Code],$A15,T_StockCount[WeekIndex],41)&gt;0,SUMIFS(T_StockCount[CountedQty],T_StockCount[RM_Code],$A15,T_StockCount[WeekIndex],41),IF((COUNTIFS(T_SelfStock[RM_Code],$A15,T_SelfStock[WeekIndex],41)&gt;0)*(COUNTIFS(T_TTAFStock[RM_Code],$A15,T_TTAFStock[WeekIndex],41)&gt;0)&gt;0,SUMIFS(T_SelfStock[Self_Qty],T_SelfStock[RM_Code],$A15,T_SelfStock[WeekIndex],41)+SUMIFS(T_TTAFStock[TTAF_Qty],T_TTAFStock[RM_Code],$A15,T_TTAFStock[WeekIndex],41),AO15+'Grid_Incoming'!AP15-'Grid_Requirement'!AP15))</f>
        <v/>
      </c>
      <c r="AQ15">
        <f>IF(COUNTIFS(T_StockCount[RM_Code],$A15,T_StockCount[WeekIndex],42)&gt;0,SUMIFS(T_StockCount[CountedQty],T_StockCount[RM_Code],$A15,T_StockCount[WeekIndex],42),IF((COUNTIFS(T_SelfStock[RM_Code],$A15,T_SelfStock[WeekIndex],42)&gt;0)*(COUNTIFS(T_TTAFStock[RM_Code],$A15,T_TTAFStock[WeekIndex],42)&gt;0)&gt;0,SUMIFS(T_SelfStock[Self_Qty],T_SelfStock[RM_Code],$A15,T_SelfStock[WeekIndex],42)+SUMIFS(T_TTAFStock[TTAF_Qty],T_TTAFStock[RM_Code],$A15,T_TTAFStock[WeekIndex],42),AP15+'Grid_Incoming'!AQ15-'Grid_Requirement'!AQ15))</f>
        <v/>
      </c>
      <c r="AR15">
        <f>IF(COUNTIFS(T_StockCount[RM_Code],$A15,T_StockCount[WeekIndex],43)&gt;0,SUMIFS(T_StockCount[CountedQty],T_StockCount[RM_Code],$A15,T_StockCount[WeekIndex],43),IF((COUNTIFS(T_SelfStock[RM_Code],$A15,T_SelfStock[WeekIndex],43)&gt;0)*(COUNTIFS(T_TTAFStock[RM_Code],$A15,T_TTAFStock[WeekIndex],43)&gt;0)&gt;0,SUMIFS(T_SelfStock[Self_Qty],T_SelfStock[RM_Code],$A15,T_SelfStock[WeekIndex],43)+SUMIFS(T_TTAFStock[TTAF_Qty],T_TTAFStock[RM_Code],$A15,T_TTAFStock[WeekIndex],43),AQ15+'Grid_Incoming'!AR15-'Grid_Requirement'!AR15))</f>
        <v/>
      </c>
      <c r="AS15">
        <f>IF(COUNTIFS(T_StockCount[RM_Code],$A15,T_StockCount[WeekIndex],44)&gt;0,SUMIFS(T_StockCount[CountedQty],T_StockCount[RM_Code],$A15,T_StockCount[WeekIndex],44),IF((COUNTIFS(T_SelfStock[RM_Code],$A15,T_SelfStock[WeekIndex],44)&gt;0)*(COUNTIFS(T_TTAFStock[RM_Code],$A15,T_TTAFStock[WeekIndex],44)&gt;0)&gt;0,SUMIFS(T_SelfStock[Self_Qty],T_SelfStock[RM_Code],$A15,T_SelfStock[WeekIndex],44)+SUMIFS(T_TTAFStock[TTAF_Qty],T_TTAFStock[RM_Code],$A15,T_TTAFStock[WeekIndex],44),AR15+'Grid_Incoming'!AS15-'Grid_Requirement'!AS15))</f>
        <v/>
      </c>
      <c r="AT15">
        <f>IF(COUNTIFS(T_StockCount[RM_Code],$A15,T_StockCount[WeekIndex],45)&gt;0,SUMIFS(T_StockCount[CountedQty],T_StockCount[RM_Code],$A15,T_StockCount[WeekIndex],45),IF((COUNTIFS(T_SelfStock[RM_Code],$A15,T_SelfStock[WeekIndex],45)&gt;0)*(COUNTIFS(T_TTAFStock[RM_Code],$A15,T_TTAFStock[WeekIndex],45)&gt;0)&gt;0,SUMIFS(T_SelfStock[Self_Qty],T_SelfStock[RM_Code],$A15,T_SelfStock[WeekIndex],45)+SUMIFS(T_TTAFStock[TTAF_Qty],T_TTAFStock[RM_Code],$A15,T_TTAFStock[WeekIndex],45),AS15+'Grid_Incoming'!AT15-'Grid_Requirement'!AT15))</f>
        <v/>
      </c>
      <c r="AU15">
        <f>IF(COUNTIFS(T_StockCount[RM_Code],$A15,T_StockCount[WeekIndex],46)&gt;0,SUMIFS(T_StockCount[CountedQty],T_StockCount[RM_Code],$A15,T_StockCount[WeekIndex],46),IF((COUNTIFS(T_SelfStock[RM_Code],$A15,T_SelfStock[WeekIndex],46)&gt;0)*(COUNTIFS(T_TTAFStock[RM_Code],$A15,T_TTAFStock[WeekIndex],46)&gt;0)&gt;0,SUMIFS(T_SelfStock[Self_Qty],T_SelfStock[RM_Code],$A15,T_SelfStock[WeekIndex],46)+SUMIFS(T_TTAFStock[TTAF_Qty],T_TTAFStock[RM_Code],$A15,T_TTAFStock[WeekIndex],46),AT15+'Grid_Incoming'!AU15-'Grid_Requirement'!AU15))</f>
        <v/>
      </c>
      <c r="AV15">
        <f>IF(COUNTIFS(T_StockCount[RM_Code],$A15,T_StockCount[WeekIndex],47)&gt;0,SUMIFS(T_StockCount[CountedQty],T_StockCount[RM_Code],$A15,T_StockCount[WeekIndex],47),IF((COUNTIFS(T_SelfStock[RM_Code],$A15,T_SelfStock[WeekIndex],47)&gt;0)*(COUNTIFS(T_TTAFStock[RM_Code],$A15,T_TTAFStock[WeekIndex],47)&gt;0)&gt;0,SUMIFS(T_SelfStock[Self_Qty],T_SelfStock[RM_Code],$A15,T_SelfStock[WeekIndex],47)+SUMIFS(T_TTAFStock[TTAF_Qty],T_TTAFStock[RM_Code],$A15,T_TTAFStock[WeekIndex],47),AU15+'Grid_Incoming'!AV15-'Grid_Requirement'!AV15))</f>
        <v/>
      </c>
      <c r="AW15">
        <f>IF(COUNTIFS(T_StockCount[RM_Code],$A15,T_StockCount[WeekIndex],48)&gt;0,SUMIFS(T_StockCount[CountedQty],T_StockCount[RM_Code],$A15,T_StockCount[WeekIndex],48),IF((COUNTIFS(T_SelfStock[RM_Code],$A15,T_SelfStock[WeekIndex],48)&gt;0)*(COUNTIFS(T_TTAFStock[RM_Code],$A15,T_TTAFStock[WeekIndex],48)&gt;0)&gt;0,SUMIFS(T_SelfStock[Self_Qty],T_SelfStock[RM_Code],$A15,T_SelfStock[WeekIndex],48)+SUMIFS(T_TTAFStock[TTAF_Qty],T_TTAFStock[RM_Code],$A15,T_TTAFStock[WeekIndex],48),AV15+'Grid_Incoming'!AW15-'Grid_Requirement'!AW15))</f>
        <v/>
      </c>
      <c r="AX15">
        <f>IF(COUNTIFS(T_StockCount[RM_Code],$A15,T_StockCount[WeekIndex],49)&gt;0,SUMIFS(T_StockCount[CountedQty],T_StockCount[RM_Code],$A15,T_StockCount[WeekIndex],49),IF((COUNTIFS(T_SelfStock[RM_Code],$A15,T_SelfStock[WeekIndex],49)&gt;0)*(COUNTIFS(T_TTAFStock[RM_Code],$A15,T_TTAFStock[WeekIndex],49)&gt;0)&gt;0,SUMIFS(T_SelfStock[Self_Qty],T_SelfStock[RM_Code],$A15,T_SelfStock[WeekIndex],49)+SUMIFS(T_TTAFStock[TTAF_Qty],T_TTAFStock[RM_Code],$A15,T_TTAFStock[WeekIndex],49),AW15+'Grid_Incoming'!AX15-'Grid_Requirement'!AX15))</f>
        <v/>
      </c>
      <c r="AY15">
        <f>IF(COUNTIFS(T_StockCount[RM_Code],$A15,T_StockCount[WeekIndex],50)&gt;0,SUMIFS(T_StockCount[CountedQty],T_StockCount[RM_Code],$A15,T_StockCount[WeekIndex],50),IF((COUNTIFS(T_SelfStock[RM_Code],$A15,T_SelfStock[WeekIndex],50)&gt;0)*(COUNTIFS(T_TTAFStock[RM_Code],$A15,T_TTAFStock[WeekIndex],50)&gt;0)&gt;0,SUMIFS(T_SelfStock[Self_Qty],T_SelfStock[RM_Code],$A15,T_SelfStock[WeekIndex],50)+SUMIFS(T_TTAFStock[TTAF_Qty],T_TTAFStock[RM_Code],$A15,T_TTAFStock[WeekIndex],50),AX15+'Grid_Incoming'!AY15-'Grid_Requirement'!AY15))</f>
        <v/>
      </c>
      <c r="AZ15">
        <f>IF(COUNTIFS(T_StockCount[RM_Code],$A15,T_StockCount[WeekIndex],51)&gt;0,SUMIFS(T_StockCount[CountedQty],T_StockCount[RM_Code],$A15,T_StockCount[WeekIndex],51),IF((COUNTIFS(T_SelfStock[RM_Code],$A15,T_SelfStock[WeekIndex],51)&gt;0)*(COUNTIFS(T_TTAFStock[RM_Code],$A15,T_TTAFStock[WeekIndex],51)&gt;0)&gt;0,SUMIFS(T_SelfStock[Self_Qty],T_SelfStock[RM_Code],$A15,T_SelfStock[WeekIndex],51)+SUMIFS(T_TTAFStock[TTAF_Qty],T_TTAFStock[RM_Code],$A15,T_TTAFStock[WeekIndex],51),AY15+'Grid_Incoming'!AZ15-'Grid_Requirement'!AZ15))</f>
        <v/>
      </c>
      <c r="BA15">
        <f>IF(COUNTIFS(T_StockCount[RM_Code],$A15,T_StockCount[WeekIndex],52)&gt;0,SUMIFS(T_StockCount[CountedQty],T_StockCount[RM_Code],$A15,T_StockCount[WeekIndex],52),IF((COUNTIFS(T_SelfStock[RM_Code],$A15,T_SelfStock[WeekIndex],52)&gt;0)*(COUNTIFS(T_TTAFStock[RM_Code],$A15,T_TTAFStock[WeekIndex],52)&gt;0)&gt;0,SUMIFS(T_SelfStock[Self_Qty],T_SelfStock[RM_Code],$A15,T_SelfStock[WeekIndex],52)+SUMIFS(T_TTAFStock[TTAF_Qty],T_TTAFStock[RM_Code],$A15,T_TTAFStock[WeekIndex],52),AZ15+'Grid_Incoming'!BA15-'Grid_Requirement'!BA15))</f>
        <v/>
      </c>
      <c r="BB15">
        <f>IF(COUNTIFS(T_StockCount[RM_Code],$A15,T_StockCount[WeekIndex],53)&gt;0,SUMIFS(T_StockCount[CountedQty],T_StockCount[RM_Code],$A15,T_StockCount[WeekIndex],53),IF((COUNTIFS(T_SelfStock[RM_Code],$A15,T_SelfStock[WeekIndex],53)&gt;0)*(COUNTIFS(T_TTAFStock[RM_Code],$A15,T_TTAFStock[WeekIndex],53)&gt;0)&gt;0,SUMIFS(T_SelfStock[Self_Qty],T_SelfStock[RM_Code],$A15,T_SelfStock[WeekIndex],53)+SUMIFS(T_TTAFStock[TTAF_Qty],T_TTAFStock[RM_Code],$A15,T_TTAFStock[WeekIndex],53),BA15+'Grid_Incoming'!BB15-'Grid_Requirement'!BB15))</f>
        <v/>
      </c>
      <c r="BC15">
        <f>IF(COUNTIFS(T_StockCount[RM_Code],$A15,T_StockCount[WeekIndex],54)&gt;0,SUMIFS(T_StockCount[CountedQty],T_StockCount[RM_Code],$A15,T_StockCount[WeekIndex],54),IF((COUNTIFS(T_SelfStock[RM_Code],$A15,T_SelfStock[WeekIndex],54)&gt;0)*(COUNTIFS(T_TTAFStock[RM_Code],$A15,T_TTAFStock[WeekIndex],54)&gt;0)&gt;0,SUMIFS(T_SelfStock[Self_Qty],T_SelfStock[RM_Code],$A15,T_SelfStock[WeekIndex],54)+SUMIFS(T_TTAFStock[TTAF_Qty],T_TTAFStock[RM_Code],$A15,T_TTAFStock[WeekIndex],54),BB15+'Grid_Incoming'!BC15-'Grid_Requirement'!BC15))</f>
        <v/>
      </c>
      <c r="BD15">
        <f>IF(COUNTIFS(T_StockCount[RM_Code],$A15,T_StockCount[WeekIndex],55)&gt;0,SUMIFS(T_StockCount[CountedQty],T_StockCount[RM_Code],$A15,T_StockCount[WeekIndex],55),IF((COUNTIFS(T_SelfStock[RM_Code],$A15,T_SelfStock[WeekIndex],55)&gt;0)*(COUNTIFS(T_TTAFStock[RM_Code],$A15,T_TTAFStock[WeekIndex],55)&gt;0)&gt;0,SUMIFS(T_SelfStock[Self_Qty],T_SelfStock[RM_Code],$A15,T_SelfStock[WeekIndex],55)+SUMIFS(T_TTAFStock[TTAF_Qty],T_TTAFStock[RM_Code],$A15,T_TTAFStock[WeekIndex],55),BC15+'Grid_Incoming'!BD15-'Grid_Requirement'!BD15))</f>
        <v/>
      </c>
      <c r="BE15">
        <f>IF(COUNTIFS(T_StockCount[RM_Code],$A15,T_StockCount[WeekIndex],56)&gt;0,SUMIFS(T_StockCount[CountedQty],T_StockCount[RM_Code],$A15,T_StockCount[WeekIndex],56),IF((COUNTIFS(T_SelfStock[RM_Code],$A15,T_SelfStock[WeekIndex],56)&gt;0)*(COUNTIFS(T_TTAFStock[RM_Code],$A15,T_TTAFStock[WeekIndex],56)&gt;0)&gt;0,SUMIFS(T_SelfStock[Self_Qty],T_SelfStock[RM_Code],$A15,T_SelfStock[WeekIndex],56)+SUMIFS(T_TTAFStock[TTAF_Qty],T_TTAFStock[RM_Code],$A15,T_TTAFStock[WeekIndex],56),BD15+'Grid_Incoming'!BE15-'Grid_Requirement'!BE15))</f>
        <v/>
      </c>
      <c r="BF15">
        <f>IF(COUNTIFS(T_StockCount[RM_Code],$A15,T_StockCount[WeekIndex],57)&gt;0,SUMIFS(T_StockCount[CountedQty],T_StockCount[RM_Code],$A15,T_StockCount[WeekIndex],57),IF((COUNTIFS(T_SelfStock[RM_Code],$A15,T_SelfStock[WeekIndex],57)&gt;0)*(COUNTIFS(T_TTAFStock[RM_Code],$A15,T_TTAFStock[WeekIndex],57)&gt;0)&gt;0,SUMIFS(T_SelfStock[Self_Qty],T_SelfStock[RM_Code],$A15,T_SelfStock[WeekIndex],57)+SUMIFS(T_TTAFStock[TTAF_Qty],T_TTAFStock[RM_Code],$A15,T_TTAFStock[WeekIndex],57),BE15+'Grid_Incoming'!BF15-'Grid_Requirement'!BF15))</f>
        <v/>
      </c>
      <c r="BG15">
        <f>IF(COUNTIFS(T_StockCount[RM_Code],$A15,T_StockCount[WeekIndex],58)&gt;0,SUMIFS(T_StockCount[CountedQty],T_StockCount[RM_Code],$A15,T_StockCount[WeekIndex],58),IF((COUNTIFS(T_SelfStock[RM_Code],$A15,T_SelfStock[WeekIndex],58)&gt;0)*(COUNTIFS(T_TTAFStock[RM_Code],$A15,T_TTAFStock[WeekIndex],58)&gt;0)&gt;0,SUMIFS(T_SelfStock[Self_Qty],T_SelfStock[RM_Code],$A15,T_SelfStock[WeekIndex],58)+SUMIFS(T_TTAFStock[TTAF_Qty],T_TTAFStock[RM_Code],$A15,T_TTAFStock[WeekIndex],58),BF15+'Grid_Incoming'!BG15-'Grid_Requirement'!BG15))</f>
        <v/>
      </c>
      <c r="BH15">
        <f>IF(COUNTIFS(T_StockCount[RM_Code],$A15,T_StockCount[WeekIndex],59)&gt;0,SUMIFS(T_StockCount[CountedQty],T_StockCount[RM_Code],$A15,T_StockCount[WeekIndex],59),IF((COUNTIFS(T_SelfStock[RM_Code],$A15,T_SelfStock[WeekIndex],59)&gt;0)*(COUNTIFS(T_TTAFStock[RM_Code],$A15,T_TTAFStock[WeekIndex],59)&gt;0)&gt;0,SUMIFS(T_SelfStock[Self_Qty],T_SelfStock[RM_Code],$A15,T_SelfStock[WeekIndex],59)+SUMIFS(T_TTAFStock[TTAF_Qty],T_TTAFStock[RM_Code],$A15,T_TTAFStock[WeekIndex],59),BG15+'Grid_Incoming'!BH15-'Grid_Requirement'!BH15))</f>
        <v/>
      </c>
      <c r="BI15">
        <f>IF(COUNTIFS(T_StockCount[RM_Code],$A15,T_StockCount[WeekIndex],60)&gt;0,SUMIFS(T_StockCount[CountedQty],T_StockCount[RM_Code],$A15,T_StockCount[WeekIndex],60),IF((COUNTIFS(T_SelfStock[RM_Code],$A15,T_SelfStock[WeekIndex],60)&gt;0)*(COUNTIFS(T_TTAFStock[RM_Code],$A15,T_TTAFStock[WeekIndex],60)&gt;0)&gt;0,SUMIFS(T_SelfStock[Self_Qty],T_SelfStock[RM_Code],$A15,T_SelfStock[WeekIndex],60)+SUMIFS(T_TTAFStock[TTAF_Qty],T_TTAFStock[RM_Code],$A15,T_TTAFStock[WeekIndex],60),BH15+'Grid_Incoming'!BI15-'Grid_Requirement'!BI15))</f>
        <v/>
      </c>
      <c r="BJ15">
        <f>IF(COUNTIFS(T_StockCount[RM_Code],$A15,T_StockCount[WeekIndex],61)&gt;0,SUMIFS(T_StockCount[CountedQty],T_StockCount[RM_Code],$A15,T_StockCount[WeekIndex],61),IF((COUNTIFS(T_SelfStock[RM_Code],$A15,T_SelfStock[WeekIndex],61)&gt;0)*(COUNTIFS(T_TTAFStock[RM_Code],$A15,T_TTAFStock[WeekIndex],61)&gt;0)&gt;0,SUMIFS(T_SelfStock[Self_Qty],T_SelfStock[RM_Code],$A15,T_SelfStock[WeekIndex],61)+SUMIFS(T_TTAFStock[TTAF_Qty],T_TTAFStock[RM_Code],$A15,T_TTAFStock[WeekIndex],61),BI15+'Grid_Incoming'!BJ15-'Grid_Requirement'!BJ15))</f>
        <v/>
      </c>
      <c r="BK15">
        <f>IF(COUNTIFS(T_StockCount[RM_Code],$A15,T_StockCount[WeekIndex],62)&gt;0,SUMIFS(T_StockCount[CountedQty],T_StockCount[RM_Code],$A15,T_StockCount[WeekIndex],62),IF((COUNTIFS(T_SelfStock[RM_Code],$A15,T_SelfStock[WeekIndex],62)&gt;0)*(COUNTIFS(T_TTAFStock[RM_Code],$A15,T_TTAFStock[WeekIndex],62)&gt;0)&gt;0,SUMIFS(T_SelfStock[Self_Qty],T_SelfStock[RM_Code],$A15,T_SelfStock[WeekIndex],62)+SUMIFS(T_TTAFStock[TTAF_Qty],T_TTAFStock[RM_Code],$A15,T_TTAFStock[WeekIndex],62),BJ15+'Grid_Incoming'!BK15-'Grid_Requirement'!BK15))</f>
        <v/>
      </c>
      <c r="BL15">
        <f>IF(COUNTIFS(T_StockCount[RM_Code],$A15,T_StockCount[WeekIndex],63)&gt;0,SUMIFS(T_StockCount[CountedQty],T_StockCount[RM_Code],$A15,T_StockCount[WeekIndex],63),IF((COUNTIFS(T_SelfStock[RM_Code],$A15,T_SelfStock[WeekIndex],63)&gt;0)*(COUNTIFS(T_TTAFStock[RM_Code],$A15,T_TTAFStock[WeekIndex],63)&gt;0)&gt;0,SUMIFS(T_SelfStock[Self_Qty],T_SelfStock[RM_Code],$A15,T_SelfStock[WeekIndex],63)+SUMIFS(T_TTAFStock[TTAF_Qty],T_TTAFStock[RM_Code],$A15,T_TTAFStock[WeekIndex],63),BK15+'Grid_Incoming'!BL15-'Grid_Requirement'!BL15))</f>
        <v/>
      </c>
      <c r="BM15">
        <f>IF(COUNTIFS(T_StockCount[RM_Code],$A15,T_StockCount[WeekIndex],64)&gt;0,SUMIFS(T_StockCount[CountedQty],T_StockCount[RM_Code],$A15,T_StockCount[WeekIndex],64),IF((COUNTIFS(T_SelfStock[RM_Code],$A15,T_SelfStock[WeekIndex],64)&gt;0)*(COUNTIFS(T_TTAFStock[RM_Code],$A15,T_TTAFStock[WeekIndex],64)&gt;0)&gt;0,SUMIFS(T_SelfStock[Self_Qty],T_SelfStock[RM_Code],$A15,T_SelfStock[WeekIndex],64)+SUMIFS(T_TTAFStock[TTAF_Qty],T_TTAFStock[RM_Code],$A15,T_TTAFStock[WeekIndex],64),BL15+'Grid_Incoming'!BM15-'Grid_Requirement'!BM15))</f>
        <v/>
      </c>
      <c r="BN15">
        <f>IF(COUNTIFS(T_StockCount[RM_Code],$A15,T_StockCount[WeekIndex],65)&gt;0,SUMIFS(T_StockCount[CountedQty],T_StockCount[RM_Code],$A15,T_StockCount[WeekIndex],65),IF((COUNTIFS(T_SelfStock[RM_Code],$A15,T_SelfStock[WeekIndex],65)&gt;0)*(COUNTIFS(T_TTAFStock[RM_Code],$A15,T_TTAFStock[WeekIndex],65)&gt;0)&gt;0,SUMIFS(T_SelfStock[Self_Qty],T_SelfStock[RM_Code],$A15,T_SelfStock[WeekIndex],65)+SUMIFS(T_TTAFStock[TTAF_Qty],T_TTAFStock[RM_Code],$A15,T_TTAFStock[WeekIndex],65),BM15+'Grid_Incoming'!BN15-'Grid_Requirement'!BN15))</f>
        <v/>
      </c>
      <c r="BO15">
        <f>IF(COUNTIFS(T_StockCount[RM_Code],$A15,T_StockCount[WeekIndex],66)&gt;0,SUMIFS(T_StockCount[CountedQty],T_StockCount[RM_Code],$A15,T_StockCount[WeekIndex],66),IF((COUNTIFS(T_SelfStock[RM_Code],$A15,T_SelfStock[WeekIndex],66)&gt;0)*(COUNTIFS(T_TTAFStock[RM_Code],$A15,T_TTAFStock[WeekIndex],66)&gt;0)&gt;0,SUMIFS(T_SelfStock[Self_Qty],T_SelfStock[RM_Code],$A15,T_SelfStock[WeekIndex],66)+SUMIFS(T_TTAFStock[TTAF_Qty],T_TTAFStock[RM_Code],$A15,T_TTAFStock[WeekIndex],66),BN15+'Grid_Incoming'!BO15-'Grid_Requirement'!BO15))</f>
        <v/>
      </c>
      <c r="BP15">
        <f>IF(COUNTIFS(T_StockCount[RM_Code],$A15,T_StockCount[WeekIndex],67)&gt;0,SUMIFS(T_StockCount[CountedQty],T_StockCount[RM_Code],$A15,T_StockCount[WeekIndex],67),IF((COUNTIFS(T_SelfStock[RM_Code],$A15,T_SelfStock[WeekIndex],67)&gt;0)*(COUNTIFS(T_TTAFStock[RM_Code],$A15,T_TTAFStock[WeekIndex],67)&gt;0)&gt;0,SUMIFS(T_SelfStock[Self_Qty],T_SelfStock[RM_Code],$A15,T_SelfStock[WeekIndex],67)+SUMIFS(T_TTAFStock[TTAF_Qty],T_TTAFStock[RM_Code],$A15,T_TTAFStock[WeekIndex],67),BO15+'Grid_Incoming'!BP15-'Grid_Requirement'!BP15))</f>
        <v/>
      </c>
      <c r="BQ15">
        <f>IF(COUNTIFS(T_StockCount[RM_Code],$A15,T_StockCount[WeekIndex],68)&gt;0,SUMIFS(T_StockCount[CountedQty],T_StockCount[RM_Code],$A15,T_StockCount[WeekIndex],68),IF((COUNTIFS(T_SelfStock[RM_Code],$A15,T_SelfStock[WeekIndex],68)&gt;0)*(COUNTIFS(T_TTAFStock[RM_Code],$A15,T_TTAFStock[WeekIndex],68)&gt;0)&gt;0,SUMIFS(T_SelfStock[Self_Qty],T_SelfStock[RM_Code],$A15,T_SelfStock[WeekIndex],68)+SUMIFS(T_TTAFStock[TTAF_Qty],T_TTAFStock[RM_Code],$A15,T_TTAFStock[WeekIndex],68),BP15+'Grid_Incoming'!BQ15-'Grid_Requirement'!BQ15))</f>
        <v/>
      </c>
      <c r="BR15">
        <f>IF(COUNTIFS(T_StockCount[RM_Code],$A15,T_StockCount[WeekIndex],69)&gt;0,SUMIFS(T_StockCount[CountedQty],T_StockCount[RM_Code],$A15,T_StockCount[WeekIndex],69),IF((COUNTIFS(T_SelfStock[RM_Code],$A15,T_SelfStock[WeekIndex],69)&gt;0)*(COUNTIFS(T_TTAFStock[RM_Code],$A15,T_TTAFStock[WeekIndex],69)&gt;0)&gt;0,SUMIFS(T_SelfStock[Self_Qty],T_SelfStock[RM_Code],$A15,T_SelfStock[WeekIndex],69)+SUMIFS(T_TTAFStock[TTAF_Qty],T_TTAFStock[RM_Code],$A15,T_TTAFStock[WeekIndex],69),BQ15+'Grid_Incoming'!BR15-'Grid_Requirement'!BR15))</f>
        <v/>
      </c>
      <c r="BS15">
        <f>IF(COUNTIFS(T_StockCount[RM_Code],$A15,T_StockCount[WeekIndex],70)&gt;0,SUMIFS(T_StockCount[CountedQty],T_StockCount[RM_Code],$A15,T_StockCount[WeekIndex],70),IF((COUNTIFS(T_SelfStock[RM_Code],$A15,T_SelfStock[WeekIndex],70)&gt;0)*(COUNTIFS(T_TTAFStock[RM_Code],$A15,T_TTAFStock[WeekIndex],70)&gt;0)&gt;0,SUMIFS(T_SelfStock[Self_Qty],T_SelfStock[RM_Code],$A15,T_SelfStock[WeekIndex],70)+SUMIFS(T_TTAFStock[TTAF_Qty],T_TTAFStock[RM_Code],$A15,T_TTAFStock[WeekIndex],70),BR15+'Grid_Incoming'!BS15-'Grid_Requirement'!BS15))</f>
        <v/>
      </c>
      <c r="BT15">
        <f>IF(COUNTIFS(T_StockCount[RM_Code],$A15,T_StockCount[WeekIndex],71)&gt;0,SUMIFS(T_StockCount[CountedQty],T_StockCount[RM_Code],$A15,T_StockCount[WeekIndex],71),IF((COUNTIFS(T_SelfStock[RM_Code],$A15,T_SelfStock[WeekIndex],71)&gt;0)*(COUNTIFS(T_TTAFStock[RM_Code],$A15,T_TTAFStock[WeekIndex],71)&gt;0)&gt;0,SUMIFS(T_SelfStock[Self_Qty],T_SelfStock[RM_Code],$A15,T_SelfStock[WeekIndex],71)+SUMIFS(T_TTAFStock[TTAF_Qty],T_TTAFStock[RM_Code],$A15,T_TTAFStock[WeekIndex],71),BS15+'Grid_Incoming'!BT15-'Grid_Requirement'!BT15))</f>
        <v/>
      </c>
      <c r="BU15">
        <f>IF(COUNTIFS(T_StockCount[RM_Code],$A15,T_StockCount[WeekIndex],72)&gt;0,SUMIFS(T_StockCount[CountedQty],T_StockCount[RM_Code],$A15,T_StockCount[WeekIndex],72),IF((COUNTIFS(T_SelfStock[RM_Code],$A15,T_SelfStock[WeekIndex],72)&gt;0)*(COUNTIFS(T_TTAFStock[RM_Code],$A15,T_TTAFStock[WeekIndex],72)&gt;0)&gt;0,SUMIFS(T_SelfStock[Self_Qty],T_SelfStock[RM_Code],$A15,T_SelfStock[WeekIndex],72)+SUMIFS(T_TTAFStock[TTAF_Qty],T_TTAFStock[RM_Code],$A15,T_TTAFStock[WeekIndex],72),BT15+'Grid_Incoming'!BU15-'Grid_Requirement'!BU15))</f>
        <v/>
      </c>
      <c r="BV15">
        <f>IF(COUNTIFS(T_StockCount[RM_Code],$A15,T_StockCount[WeekIndex],73)&gt;0,SUMIFS(T_StockCount[CountedQty],T_StockCount[RM_Code],$A15,T_StockCount[WeekIndex],73),IF((COUNTIFS(T_SelfStock[RM_Code],$A15,T_SelfStock[WeekIndex],73)&gt;0)*(COUNTIFS(T_TTAFStock[RM_Code],$A15,T_TTAFStock[WeekIndex],73)&gt;0)&gt;0,SUMIFS(T_SelfStock[Self_Qty],T_SelfStock[RM_Code],$A15,T_SelfStock[WeekIndex],73)+SUMIFS(T_TTAFStock[TTAF_Qty],T_TTAFStock[RM_Code],$A15,T_TTAFStock[WeekIndex],73),BU15+'Grid_Incoming'!BV15-'Grid_Requirement'!BV15))</f>
        <v/>
      </c>
      <c r="BW15">
        <f>IF(COUNTIFS(T_StockCount[RM_Code],$A15,T_StockCount[WeekIndex],74)&gt;0,SUMIFS(T_StockCount[CountedQty],T_StockCount[RM_Code],$A15,T_StockCount[WeekIndex],74),IF((COUNTIFS(T_SelfStock[RM_Code],$A15,T_SelfStock[WeekIndex],74)&gt;0)*(COUNTIFS(T_TTAFStock[RM_Code],$A15,T_TTAFStock[WeekIndex],74)&gt;0)&gt;0,SUMIFS(T_SelfStock[Self_Qty],T_SelfStock[RM_Code],$A15,T_SelfStock[WeekIndex],74)+SUMIFS(T_TTAFStock[TTAF_Qty],T_TTAFStock[RM_Code],$A15,T_TTAFStock[WeekIndex],74),BV15+'Grid_Incoming'!BW15-'Grid_Requirement'!BW15))</f>
        <v/>
      </c>
      <c r="BX15">
        <f>IF(COUNTIFS(T_StockCount[RM_Code],$A15,T_StockCount[WeekIndex],75)&gt;0,SUMIFS(T_StockCount[CountedQty],T_StockCount[RM_Code],$A15,T_StockCount[WeekIndex],75),IF((COUNTIFS(T_SelfStock[RM_Code],$A15,T_SelfStock[WeekIndex],75)&gt;0)*(COUNTIFS(T_TTAFStock[RM_Code],$A15,T_TTAFStock[WeekIndex],75)&gt;0)&gt;0,SUMIFS(T_SelfStock[Self_Qty],T_SelfStock[RM_Code],$A15,T_SelfStock[WeekIndex],75)+SUMIFS(T_TTAFStock[TTAF_Qty],T_TTAFStock[RM_Code],$A15,T_TTAFStock[WeekIndex],75),BW15+'Grid_Incoming'!BX15-'Grid_Requirement'!BX15))</f>
        <v/>
      </c>
      <c r="BY15">
        <f>IF(COUNTIFS(T_StockCount[RM_Code],$A15,T_StockCount[WeekIndex],76)&gt;0,SUMIFS(T_StockCount[CountedQty],T_StockCount[RM_Code],$A15,T_StockCount[WeekIndex],76),IF((COUNTIFS(T_SelfStock[RM_Code],$A15,T_SelfStock[WeekIndex],76)&gt;0)*(COUNTIFS(T_TTAFStock[RM_Code],$A15,T_TTAFStock[WeekIndex],76)&gt;0)&gt;0,SUMIFS(T_SelfStock[Self_Qty],T_SelfStock[RM_Code],$A15,T_SelfStock[WeekIndex],76)+SUMIFS(T_TTAFStock[TTAF_Qty],T_TTAFStock[RM_Code],$A15,T_TTAFStock[WeekIndex],76),BX15+'Grid_Incoming'!BY15-'Grid_Requirement'!BY15))</f>
        <v/>
      </c>
      <c r="BZ15">
        <f>IF(COUNTIFS(T_StockCount[RM_Code],$A15,T_StockCount[WeekIndex],77)&gt;0,SUMIFS(T_StockCount[CountedQty],T_StockCount[RM_Code],$A15,T_StockCount[WeekIndex],77),IF((COUNTIFS(T_SelfStock[RM_Code],$A15,T_SelfStock[WeekIndex],77)&gt;0)*(COUNTIFS(T_TTAFStock[RM_Code],$A15,T_TTAFStock[WeekIndex],77)&gt;0)&gt;0,SUMIFS(T_SelfStock[Self_Qty],T_SelfStock[RM_Code],$A15,T_SelfStock[WeekIndex],77)+SUMIFS(T_TTAFStock[TTAF_Qty],T_TTAFStock[RM_Code],$A15,T_TTAFStock[WeekIndex],77),BY15+'Grid_Incoming'!BZ15-'Grid_Requirement'!BZ15))</f>
        <v/>
      </c>
      <c r="CA15">
        <f>IF(COUNTIFS(T_StockCount[RM_Code],$A15,T_StockCount[WeekIndex],78)&gt;0,SUMIFS(T_StockCount[CountedQty],T_StockCount[RM_Code],$A15,T_StockCount[WeekIndex],78),IF((COUNTIFS(T_SelfStock[RM_Code],$A15,T_SelfStock[WeekIndex],78)&gt;0)*(COUNTIFS(T_TTAFStock[RM_Code],$A15,T_TTAFStock[WeekIndex],78)&gt;0)&gt;0,SUMIFS(T_SelfStock[Self_Qty],T_SelfStock[RM_Code],$A15,T_SelfStock[WeekIndex],78)+SUMIFS(T_TTAFStock[TTAF_Qty],T_TTAFStock[RM_Code],$A15,T_TTAFStock[WeekIndex],78),BZ15+'Grid_Incoming'!CA15-'Grid_Requirement'!CA15))</f>
        <v/>
      </c>
      <c r="CB15">
        <f>IF(COUNTIFS(T_StockCount[RM_Code],$A15,T_StockCount[WeekIndex],79)&gt;0,SUMIFS(T_StockCount[CountedQty],T_StockCount[RM_Code],$A15,T_StockCount[WeekIndex],79),IF((COUNTIFS(T_SelfStock[RM_Code],$A15,T_SelfStock[WeekIndex],79)&gt;0)*(COUNTIFS(T_TTAFStock[RM_Code],$A15,T_TTAFStock[WeekIndex],79)&gt;0)&gt;0,SUMIFS(T_SelfStock[Self_Qty],T_SelfStock[RM_Code],$A15,T_SelfStock[WeekIndex],79)+SUMIFS(T_TTAFStock[TTAF_Qty],T_TTAFStock[RM_Code],$A15,T_TTAFStock[WeekIndex],79),CA15+'Grid_Incoming'!CB15-'Grid_Requirement'!CB15))</f>
        <v/>
      </c>
      <c r="CC15">
        <f>IF(COUNTIFS(T_StockCount[RM_Code],$A15,T_StockCount[WeekIndex],80)&gt;0,SUMIFS(T_StockCount[CountedQty],T_StockCount[RM_Code],$A15,T_StockCount[WeekIndex],80),IF((COUNTIFS(T_SelfStock[RM_Code],$A15,T_SelfStock[WeekIndex],80)&gt;0)*(COUNTIFS(T_TTAFStock[RM_Code],$A15,T_TTAFStock[WeekIndex],80)&gt;0)&gt;0,SUMIFS(T_SelfStock[Self_Qty],T_SelfStock[RM_Code],$A15,T_SelfStock[WeekIndex],80)+SUMIFS(T_TTAFStock[TTAF_Qty],T_TTAFStock[RM_Code],$A15,T_TTAFStock[WeekIndex],80),CB15+'Grid_Incoming'!CC15-'Grid_Requirement'!CC15))</f>
        <v/>
      </c>
      <c r="CD15">
        <f>IF(COUNTIFS(T_StockCount[RM_Code],$A15,T_StockCount[WeekIndex],81)&gt;0,SUMIFS(T_StockCount[CountedQty],T_StockCount[RM_Code],$A15,T_StockCount[WeekIndex],81),IF((COUNTIFS(T_SelfStock[RM_Code],$A15,T_SelfStock[WeekIndex],81)&gt;0)*(COUNTIFS(T_TTAFStock[RM_Code],$A15,T_TTAFStock[WeekIndex],81)&gt;0)&gt;0,SUMIFS(T_SelfStock[Self_Qty],T_SelfStock[RM_Code],$A15,T_SelfStock[WeekIndex],81)+SUMIFS(T_TTAFStock[TTAF_Qty],T_TTAFStock[RM_Code],$A15,T_TTAFStock[WeekIndex],81),CC15+'Grid_Incoming'!CD15-'Grid_Requirement'!CD15))</f>
        <v/>
      </c>
      <c r="CE15">
        <f>IF(COUNTIFS(T_StockCount[RM_Code],$A15,T_StockCount[WeekIndex],82)&gt;0,SUMIFS(T_StockCount[CountedQty],T_StockCount[RM_Code],$A15,T_StockCount[WeekIndex],82),IF((COUNTIFS(T_SelfStock[RM_Code],$A15,T_SelfStock[WeekIndex],82)&gt;0)*(COUNTIFS(T_TTAFStock[RM_Code],$A15,T_TTAFStock[WeekIndex],82)&gt;0)&gt;0,SUMIFS(T_SelfStock[Self_Qty],T_SelfStock[RM_Code],$A15,T_SelfStock[WeekIndex],82)+SUMIFS(T_TTAFStock[TTAF_Qty],T_TTAFStock[RM_Code],$A15,T_TTAFStock[WeekIndex],82),CD15+'Grid_Incoming'!CE15-'Grid_Requirement'!CE15))</f>
        <v/>
      </c>
      <c r="CF15">
        <f>IF(COUNTIFS(T_StockCount[RM_Code],$A15,T_StockCount[WeekIndex],83)&gt;0,SUMIFS(T_StockCount[CountedQty],T_StockCount[RM_Code],$A15,T_StockCount[WeekIndex],83),IF((COUNTIFS(T_SelfStock[RM_Code],$A15,T_SelfStock[WeekIndex],83)&gt;0)*(COUNTIFS(T_TTAFStock[RM_Code],$A15,T_TTAFStock[WeekIndex],83)&gt;0)&gt;0,SUMIFS(T_SelfStock[Self_Qty],T_SelfStock[RM_Code],$A15,T_SelfStock[WeekIndex],83)+SUMIFS(T_TTAFStock[TTAF_Qty],T_TTAFStock[RM_Code],$A15,T_TTAFStock[WeekIndex],83),CE15+'Grid_Incoming'!CF15-'Grid_Requirement'!CF15))</f>
        <v/>
      </c>
      <c r="CG15">
        <f>IF(COUNTIFS(T_StockCount[RM_Code],$A15,T_StockCount[WeekIndex],84)&gt;0,SUMIFS(T_StockCount[CountedQty],T_StockCount[RM_Code],$A15,T_StockCount[WeekIndex],84),IF((COUNTIFS(T_SelfStock[RM_Code],$A15,T_SelfStock[WeekIndex],84)&gt;0)*(COUNTIFS(T_TTAFStock[RM_Code],$A15,T_TTAFStock[WeekIndex],84)&gt;0)&gt;0,SUMIFS(T_SelfStock[Self_Qty],T_SelfStock[RM_Code],$A15,T_SelfStock[WeekIndex],84)+SUMIFS(T_TTAFStock[TTAF_Qty],T_TTAFStock[RM_Code],$A15,T_TTAFStock[WeekIndex],84),CF15+'Grid_Incoming'!CG15-'Grid_Requirement'!CG15))</f>
        <v/>
      </c>
      <c r="CH15">
        <f>IF(COUNTIFS(T_StockCount[RM_Code],$A15,T_StockCount[WeekIndex],85)&gt;0,SUMIFS(T_StockCount[CountedQty],T_StockCount[RM_Code],$A15,T_StockCount[WeekIndex],85),IF((COUNTIFS(T_SelfStock[RM_Code],$A15,T_SelfStock[WeekIndex],85)&gt;0)*(COUNTIFS(T_TTAFStock[RM_Code],$A15,T_TTAFStock[WeekIndex],85)&gt;0)&gt;0,SUMIFS(T_SelfStock[Self_Qty],T_SelfStock[RM_Code],$A15,T_SelfStock[WeekIndex],85)+SUMIFS(T_TTAFStock[TTAF_Qty],T_TTAFStock[RM_Code],$A15,T_TTAFStock[WeekIndex],85),CG15+'Grid_Incoming'!CH15-'Grid_Requirement'!CH15))</f>
        <v/>
      </c>
      <c r="CI15">
        <f>IF(COUNTIFS(T_StockCount[RM_Code],$A15,T_StockCount[WeekIndex],86)&gt;0,SUMIFS(T_StockCount[CountedQty],T_StockCount[RM_Code],$A15,T_StockCount[WeekIndex],86),IF((COUNTIFS(T_SelfStock[RM_Code],$A15,T_SelfStock[WeekIndex],86)&gt;0)*(COUNTIFS(T_TTAFStock[RM_Code],$A15,T_TTAFStock[WeekIndex],86)&gt;0)&gt;0,SUMIFS(T_SelfStock[Self_Qty],T_SelfStock[RM_Code],$A15,T_SelfStock[WeekIndex],86)+SUMIFS(T_TTAFStock[TTAF_Qty],T_TTAFStock[RM_Code],$A15,T_TTAFStock[WeekIndex],86),CH15+'Grid_Incoming'!CI15-'Grid_Requirement'!CI15))</f>
        <v/>
      </c>
      <c r="CJ15">
        <f>IF(COUNTIFS(T_StockCount[RM_Code],$A15,T_StockCount[WeekIndex],87)&gt;0,SUMIFS(T_StockCount[CountedQty],T_StockCount[RM_Code],$A15,T_StockCount[WeekIndex],87),IF((COUNTIFS(T_SelfStock[RM_Code],$A15,T_SelfStock[WeekIndex],87)&gt;0)*(COUNTIFS(T_TTAFStock[RM_Code],$A15,T_TTAFStock[WeekIndex],87)&gt;0)&gt;0,SUMIFS(T_SelfStock[Self_Qty],T_SelfStock[RM_Code],$A15,T_SelfStock[WeekIndex],87)+SUMIFS(T_TTAFStock[TTAF_Qty],T_TTAFStock[RM_Code],$A15,T_TTAFStock[WeekIndex],87),CI15+'Grid_Incoming'!CJ15-'Grid_Requirement'!CJ15))</f>
        <v/>
      </c>
      <c r="CK15">
        <f>IF(COUNTIFS(T_StockCount[RM_Code],$A15,T_StockCount[WeekIndex],88)&gt;0,SUMIFS(T_StockCount[CountedQty],T_StockCount[RM_Code],$A15,T_StockCount[WeekIndex],88),IF((COUNTIFS(T_SelfStock[RM_Code],$A15,T_SelfStock[WeekIndex],88)&gt;0)*(COUNTIFS(T_TTAFStock[RM_Code],$A15,T_TTAFStock[WeekIndex],88)&gt;0)&gt;0,SUMIFS(T_SelfStock[Self_Qty],T_SelfStock[RM_Code],$A15,T_SelfStock[WeekIndex],88)+SUMIFS(T_TTAFStock[TTAF_Qty],T_TTAFStock[RM_Code],$A15,T_TTAFStock[WeekIndex],88),CJ15+'Grid_Incoming'!CK15-'Grid_Requirement'!CK15))</f>
        <v/>
      </c>
      <c r="CL15">
        <f>IF(COUNTIFS(T_StockCount[RM_Code],$A15,T_StockCount[WeekIndex],89)&gt;0,SUMIFS(T_StockCount[CountedQty],T_StockCount[RM_Code],$A15,T_StockCount[WeekIndex],89),IF((COUNTIFS(T_SelfStock[RM_Code],$A15,T_SelfStock[WeekIndex],89)&gt;0)*(COUNTIFS(T_TTAFStock[RM_Code],$A15,T_TTAFStock[WeekIndex],89)&gt;0)&gt;0,SUMIFS(T_SelfStock[Self_Qty],T_SelfStock[RM_Code],$A15,T_SelfStock[WeekIndex],89)+SUMIFS(T_TTAFStock[TTAF_Qty],T_TTAFStock[RM_Code],$A15,T_TTAFStock[WeekIndex],89),CK15+'Grid_Incoming'!CL15-'Grid_Requirement'!CL15))</f>
        <v/>
      </c>
      <c r="CM15">
        <f>IF(COUNTIFS(T_StockCount[RM_Code],$A15,T_StockCount[WeekIndex],90)&gt;0,SUMIFS(T_StockCount[CountedQty],T_StockCount[RM_Code],$A15,T_StockCount[WeekIndex],90),IF((COUNTIFS(T_SelfStock[RM_Code],$A15,T_SelfStock[WeekIndex],90)&gt;0)*(COUNTIFS(T_TTAFStock[RM_Code],$A15,T_TTAFStock[WeekIndex],90)&gt;0)&gt;0,SUMIFS(T_SelfStock[Self_Qty],T_SelfStock[RM_Code],$A15,T_SelfStock[WeekIndex],90)+SUMIFS(T_TTAFStock[TTAF_Qty],T_TTAFStock[RM_Code],$A15,T_TTAFStock[WeekIndex],90),CL15+'Grid_Incoming'!CM15-'Grid_Requirement'!CM15))</f>
        <v/>
      </c>
      <c r="CN15">
        <f>IF(COUNTIFS(T_StockCount[RM_Code],$A15,T_StockCount[WeekIndex],91)&gt;0,SUMIFS(T_StockCount[CountedQty],T_StockCount[RM_Code],$A15,T_StockCount[WeekIndex],91),IF((COUNTIFS(T_SelfStock[RM_Code],$A15,T_SelfStock[WeekIndex],91)&gt;0)*(COUNTIFS(T_TTAFStock[RM_Code],$A15,T_TTAFStock[WeekIndex],91)&gt;0)&gt;0,SUMIFS(T_SelfStock[Self_Qty],T_SelfStock[RM_Code],$A15,T_SelfStock[WeekIndex],91)+SUMIFS(T_TTAFStock[TTAF_Qty],T_TTAFStock[RM_Code],$A15,T_TTAFStock[WeekIndex],91),CM15+'Grid_Incoming'!CN15-'Grid_Requirement'!CN15))</f>
        <v/>
      </c>
      <c r="CO15">
        <f>IF(COUNTIFS(T_StockCount[RM_Code],$A15,T_StockCount[WeekIndex],92)&gt;0,SUMIFS(T_StockCount[CountedQty],T_StockCount[RM_Code],$A15,T_StockCount[WeekIndex],92),IF((COUNTIFS(T_SelfStock[RM_Code],$A15,T_SelfStock[WeekIndex],92)&gt;0)*(COUNTIFS(T_TTAFStock[RM_Code],$A15,T_TTAFStock[WeekIndex],92)&gt;0)&gt;0,SUMIFS(T_SelfStock[Self_Qty],T_SelfStock[RM_Code],$A15,T_SelfStock[WeekIndex],92)+SUMIFS(T_TTAFStock[TTAF_Qty],T_TTAFStock[RM_Code],$A15,T_TTAFStock[WeekIndex],92),CN15+'Grid_Incoming'!CO15-'Grid_Requirement'!CO15))</f>
        <v/>
      </c>
      <c r="CP15">
        <f>IF(COUNTIFS(T_StockCount[RM_Code],$A15,T_StockCount[WeekIndex],93)&gt;0,SUMIFS(T_StockCount[CountedQty],T_StockCount[RM_Code],$A15,T_StockCount[WeekIndex],93),IF((COUNTIFS(T_SelfStock[RM_Code],$A15,T_SelfStock[WeekIndex],93)&gt;0)*(COUNTIFS(T_TTAFStock[RM_Code],$A15,T_TTAFStock[WeekIndex],93)&gt;0)&gt;0,SUMIFS(T_SelfStock[Self_Qty],T_SelfStock[RM_Code],$A15,T_SelfStock[WeekIndex],93)+SUMIFS(T_TTAFStock[TTAF_Qty],T_TTAFStock[RM_Code],$A15,T_TTAFStock[WeekIndex],93),CO15+'Grid_Incoming'!CP15-'Grid_Requirement'!CP15))</f>
        <v/>
      </c>
      <c r="CQ15">
        <f>IF(COUNTIFS(T_StockCount[RM_Code],$A15,T_StockCount[WeekIndex],94)&gt;0,SUMIFS(T_StockCount[CountedQty],T_StockCount[RM_Code],$A15,T_StockCount[WeekIndex],94),IF((COUNTIFS(T_SelfStock[RM_Code],$A15,T_SelfStock[WeekIndex],94)&gt;0)*(COUNTIFS(T_TTAFStock[RM_Code],$A15,T_TTAFStock[WeekIndex],94)&gt;0)&gt;0,SUMIFS(T_SelfStock[Self_Qty],T_SelfStock[RM_Code],$A15,T_SelfStock[WeekIndex],94)+SUMIFS(T_TTAFStock[TTAF_Qty],T_TTAFStock[RM_Code],$A15,T_TTAFStock[WeekIndex],94),CP15+'Grid_Incoming'!CQ15-'Grid_Requirement'!CQ15))</f>
        <v/>
      </c>
      <c r="CR15">
        <f>IF(COUNTIFS(T_StockCount[RM_Code],$A15,T_StockCount[WeekIndex],95)&gt;0,SUMIFS(T_StockCount[CountedQty],T_StockCount[RM_Code],$A15,T_StockCount[WeekIndex],95),IF((COUNTIFS(T_SelfStock[RM_Code],$A15,T_SelfStock[WeekIndex],95)&gt;0)*(COUNTIFS(T_TTAFStock[RM_Code],$A15,T_TTAFStock[WeekIndex],95)&gt;0)&gt;0,SUMIFS(T_SelfStock[Self_Qty],T_SelfStock[RM_Code],$A15,T_SelfStock[WeekIndex],95)+SUMIFS(T_TTAFStock[TTAF_Qty],T_TTAFStock[RM_Code],$A15,T_TTAFStock[WeekIndex],95),CQ15+'Grid_Incoming'!CR15-'Grid_Requirement'!CR15))</f>
        <v/>
      </c>
      <c r="CS15">
        <f>IF(COUNTIFS(T_StockCount[RM_Code],$A15,T_StockCount[WeekIndex],96)&gt;0,SUMIFS(T_StockCount[CountedQty],T_StockCount[RM_Code],$A15,T_StockCount[WeekIndex],96),IF((COUNTIFS(T_SelfStock[RM_Code],$A15,T_SelfStock[WeekIndex],96)&gt;0)*(COUNTIFS(T_TTAFStock[RM_Code],$A15,T_TTAFStock[WeekIndex],96)&gt;0)&gt;0,SUMIFS(T_SelfStock[Self_Qty],T_SelfStock[RM_Code],$A15,T_SelfStock[WeekIndex],96)+SUMIFS(T_TTAFStock[TTAF_Qty],T_TTAFStock[RM_Code],$A15,T_TTAFStock[WeekIndex],96),CR15+'Grid_Incoming'!CS15-'Grid_Requirement'!CS15))</f>
        <v/>
      </c>
      <c r="CT15">
        <f>IF(COUNTIFS(T_StockCount[RM_Code],$A15,T_StockCount[WeekIndex],97)&gt;0,SUMIFS(T_StockCount[CountedQty],T_StockCount[RM_Code],$A15,T_StockCount[WeekIndex],97),IF((COUNTIFS(T_SelfStock[RM_Code],$A15,T_SelfStock[WeekIndex],97)&gt;0)*(COUNTIFS(T_TTAFStock[RM_Code],$A15,T_TTAFStock[WeekIndex],97)&gt;0)&gt;0,SUMIFS(T_SelfStock[Self_Qty],T_SelfStock[RM_Code],$A15,T_SelfStock[WeekIndex],97)+SUMIFS(T_TTAFStock[TTAF_Qty],T_TTAFStock[RM_Code],$A15,T_TTAFStock[WeekIndex],97),CS15+'Grid_Incoming'!CT15-'Grid_Requirement'!CT15))</f>
        <v/>
      </c>
      <c r="CU15">
        <f>IF(COUNTIFS(T_StockCount[RM_Code],$A15,T_StockCount[WeekIndex],98)&gt;0,SUMIFS(T_StockCount[CountedQty],T_StockCount[RM_Code],$A15,T_StockCount[WeekIndex],98),IF((COUNTIFS(T_SelfStock[RM_Code],$A15,T_SelfStock[WeekIndex],98)&gt;0)*(COUNTIFS(T_TTAFStock[RM_Code],$A15,T_TTAFStock[WeekIndex],98)&gt;0)&gt;0,SUMIFS(T_SelfStock[Self_Qty],T_SelfStock[RM_Code],$A15,T_SelfStock[WeekIndex],98)+SUMIFS(T_TTAFStock[TTAF_Qty],T_TTAFStock[RM_Code],$A15,T_TTAFStock[WeekIndex],98),CT15+'Grid_Incoming'!CU15-'Grid_Requirement'!CU15))</f>
        <v/>
      </c>
      <c r="CV15">
        <f>IF(COUNTIFS(T_StockCount[RM_Code],$A15,T_StockCount[WeekIndex],99)&gt;0,SUMIFS(T_StockCount[CountedQty],T_StockCount[RM_Code],$A15,T_StockCount[WeekIndex],99),IF((COUNTIFS(T_SelfStock[RM_Code],$A15,T_SelfStock[WeekIndex],99)&gt;0)*(COUNTIFS(T_TTAFStock[RM_Code],$A15,T_TTAFStock[WeekIndex],99)&gt;0)&gt;0,SUMIFS(T_SelfStock[Self_Qty],T_SelfStock[RM_Code],$A15,T_SelfStock[WeekIndex],99)+SUMIFS(T_TTAFStock[TTAF_Qty],T_TTAFStock[RM_Code],$A15,T_TTAFStock[WeekIndex],99),CU15+'Grid_Incoming'!CV15-'Grid_Requirement'!CV15))</f>
        <v/>
      </c>
      <c r="CW15">
        <f>IF(COUNTIFS(T_StockCount[RM_Code],$A15,T_StockCount[WeekIndex],100)&gt;0,SUMIFS(T_StockCount[CountedQty],T_StockCount[RM_Code],$A15,T_StockCount[WeekIndex],100),IF((COUNTIFS(T_SelfStock[RM_Code],$A15,T_SelfStock[WeekIndex],100)&gt;0)*(COUNTIFS(T_TTAFStock[RM_Code],$A15,T_TTAFStock[WeekIndex],100)&gt;0)&gt;0,SUMIFS(T_SelfStock[Self_Qty],T_SelfStock[RM_Code],$A15,T_SelfStock[WeekIndex],100)+SUMIFS(T_TTAFStock[TTAF_Qty],T_TTAFStock[RM_Code],$A15,T_TTAFStock[WeekIndex],100),CV15+'Grid_Incoming'!CW15-'Grid_Requirement'!CW15))</f>
        <v/>
      </c>
      <c r="CX15">
        <f>IF(COUNTIFS(T_StockCount[RM_Code],$A15,T_StockCount[WeekIndex],101)&gt;0,SUMIFS(T_StockCount[CountedQty],T_StockCount[RM_Code],$A15,T_StockCount[WeekIndex],101),IF((COUNTIFS(T_SelfStock[RM_Code],$A15,T_SelfStock[WeekIndex],101)&gt;0)*(COUNTIFS(T_TTAFStock[RM_Code],$A15,T_TTAFStock[WeekIndex],101)&gt;0)&gt;0,SUMIFS(T_SelfStock[Self_Qty],T_SelfStock[RM_Code],$A15,T_SelfStock[WeekIndex],101)+SUMIFS(T_TTAFStock[TTAF_Qty],T_TTAFStock[RM_Code],$A15,T_TTAFStock[WeekIndex],101),CW15+'Grid_Incoming'!CX15-'Grid_Requirement'!CX15))</f>
        <v/>
      </c>
      <c r="CY15">
        <f>IF(COUNTIFS(T_StockCount[RM_Code],$A15,T_StockCount[WeekIndex],102)&gt;0,SUMIFS(T_StockCount[CountedQty],T_StockCount[RM_Code],$A15,T_StockCount[WeekIndex],102),IF((COUNTIFS(T_SelfStock[RM_Code],$A15,T_SelfStock[WeekIndex],102)&gt;0)*(COUNTIFS(T_TTAFStock[RM_Code],$A15,T_TTAFStock[WeekIndex],102)&gt;0)&gt;0,SUMIFS(T_SelfStock[Self_Qty],T_SelfStock[RM_Code],$A15,T_SelfStock[WeekIndex],102)+SUMIFS(T_TTAFStock[TTAF_Qty],T_TTAFStock[RM_Code],$A15,T_TTAFStock[WeekIndex],102),CX15+'Grid_Incoming'!CY15-'Grid_Requirement'!CY15))</f>
        <v/>
      </c>
      <c r="CZ15">
        <f>IF(COUNTIFS(T_StockCount[RM_Code],$A15,T_StockCount[WeekIndex],103)&gt;0,SUMIFS(T_StockCount[CountedQty],T_StockCount[RM_Code],$A15,T_StockCount[WeekIndex],103),IF((COUNTIFS(T_SelfStock[RM_Code],$A15,T_SelfStock[WeekIndex],103)&gt;0)*(COUNTIFS(T_TTAFStock[RM_Code],$A15,T_TTAFStock[WeekIndex],103)&gt;0)&gt;0,SUMIFS(T_SelfStock[Self_Qty],T_SelfStock[RM_Code],$A15,T_SelfStock[WeekIndex],103)+SUMIFS(T_TTAFStock[TTAF_Qty],T_TTAFStock[RM_Code],$A15,T_TTAFStock[WeekIndex],103),CY15+'Grid_Incoming'!CZ15-'Grid_Requirement'!CZ15))</f>
        <v/>
      </c>
      <c r="DA15">
        <f>IF(COUNTIFS(T_StockCount[RM_Code],$A15,T_StockCount[WeekIndex],104)&gt;0,SUMIFS(T_StockCount[CountedQty],T_StockCount[RM_Code],$A15,T_StockCount[WeekIndex],104),IF((COUNTIFS(T_SelfStock[RM_Code],$A15,T_SelfStock[WeekIndex],104)&gt;0)*(COUNTIFS(T_TTAFStock[RM_Code],$A15,T_TTAFStock[WeekIndex],104)&gt;0)&gt;0,SUMIFS(T_SelfStock[Self_Qty],T_SelfStock[RM_Code],$A15,T_SelfStock[WeekIndex],104)+SUMIFS(T_TTAFStock[TTAF_Qty],T_TTAFStock[RM_Code],$A15,T_TTAFStock[WeekIndex],104),CZ15+'Grid_Incoming'!DA15-'Grid_Requirement'!DA15))</f>
        <v/>
      </c>
    </row>
    <row r="16">
      <c r="A16" t="inlineStr">
        <is>
          <t>7EP</t>
        </is>
      </c>
      <c r="B16">
        <f>IF(COUNTIFS(T_StockCount[RM_Code],$A16,T_StockCount[WeekIndex],1)&gt;0,SUMIFS(T_StockCount[CountedQty],T_StockCount[RM_Code],$A16,T_StockCount[WeekIndex],1),IF((COUNTIFS(T_SelfStock[RM_Code],$A16,T_SelfStock[WeekIndex],1)&gt;0)*(COUNTIFS(T_TTAFStock[RM_Code],$A16,T_TTAFStock[WeekIndex],1)&gt;0)&gt;0,SUMIFS(T_SelfStock[Self_Qty],T_SelfStock[RM_Code],$A16,T_SelfStock[WeekIndex],1)+SUMIFS(T_TTAFStock[TTAF_Qty],T_TTAFStock[RM_Code],$A16,T_TTAFStock[WeekIndex],1),IFERROR(INDEX(T_OpeningStock[Opening_Qty],MATCH($A16,T_OpeningStock[RM_Code],0)),0)+'Grid_Incoming'!B16-'Grid_Requirement'!B16))</f>
        <v/>
      </c>
      <c r="C16">
        <f>IF(COUNTIFS(T_StockCount[RM_Code],$A16,T_StockCount[WeekIndex],2)&gt;0,SUMIFS(T_StockCount[CountedQty],T_StockCount[RM_Code],$A16,T_StockCount[WeekIndex],2),IF((COUNTIFS(T_SelfStock[RM_Code],$A16,T_SelfStock[WeekIndex],2)&gt;0)*(COUNTIFS(T_TTAFStock[RM_Code],$A16,T_TTAFStock[WeekIndex],2)&gt;0)&gt;0,SUMIFS(T_SelfStock[Self_Qty],T_SelfStock[RM_Code],$A16,T_SelfStock[WeekIndex],2)+SUMIFS(T_TTAFStock[TTAF_Qty],T_TTAFStock[RM_Code],$A16,T_TTAFStock[WeekIndex],2),B16+'Grid_Incoming'!C16-'Grid_Requirement'!C16))</f>
        <v/>
      </c>
      <c r="D16">
        <f>IF(COUNTIFS(T_StockCount[RM_Code],$A16,T_StockCount[WeekIndex],3)&gt;0,SUMIFS(T_StockCount[CountedQty],T_StockCount[RM_Code],$A16,T_StockCount[WeekIndex],3),IF((COUNTIFS(T_SelfStock[RM_Code],$A16,T_SelfStock[WeekIndex],3)&gt;0)*(COUNTIFS(T_TTAFStock[RM_Code],$A16,T_TTAFStock[WeekIndex],3)&gt;0)&gt;0,SUMIFS(T_SelfStock[Self_Qty],T_SelfStock[RM_Code],$A16,T_SelfStock[WeekIndex],3)+SUMIFS(T_TTAFStock[TTAF_Qty],T_TTAFStock[RM_Code],$A16,T_TTAFStock[WeekIndex],3),C16+'Grid_Incoming'!D16-'Grid_Requirement'!D16))</f>
        <v/>
      </c>
      <c r="E16">
        <f>IF(COUNTIFS(T_StockCount[RM_Code],$A16,T_StockCount[WeekIndex],4)&gt;0,SUMIFS(T_StockCount[CountedQty],T_StockCount[RM_Code],$A16,T_StockCount[WeekIndex],4),IF((COUNTIFS(T_SelfStock[RM_Code],$A16,T_SelfStock[WeekIndex],4)&gt;0)*(COUNTIFS(T_TTAFStock[RM_Code],$A16,T_TTAFStock[WeekIndex],4)&gt;0)&gt;0,SUMIFS(T_SelfStock[Self_Qty],T_SelfStock[RM_Code],$A16,T_SelfStock[WeekIndex],4)+SUMIFS(T_TTAFStock[TTAF_Qty],T_TTAFStock[RM_Code],$A16,T_TTAFStock[WeekIndex],4),D16+'Grid_Incoming'!E16-'Grid_Requirement'!E16))</f>
        <v/>
      </c>
      <c r="F16">
        <f>IF(COUNTIFS(T_StockCount[RM_Code],$A16,T_StockCount[WeekIndex],5)&gt;0,SUMIFS(T_StockCount[CountedQty],T_StockCount[RM_Code],$A16,T_StockCount[WeekIndex],5),IF((COUNTIFS(T_SelfStock[RM_Code],$A16,T_SelfStock[WeekIndex],5)&gt;0)*(COUNTIFS(T_TTAFStock[RM_Code],$A16,T_TTAFStock[WeekIndex],5)&gt;0)&gt;0,SUMIFS(T_SelfStock[Self_Qty],T_SelfStock[RM_Code],$A16,T_SelfStock[WeekIndex],5)+SUMIFS(T_TTAFStock[TTAF_Qty],T_TTAFStock[RM_Code],$A16,T_TTAFStock[WeekIndex],5),E16+'Grid_Incoming'!F16-'Grid_Requirement'!F16))</f>
        <v/>
      </c>
      <c r="G16">
        <f>IF(COUNTIFS(T_StockCount[RM_Code],$A16,T_StockCount[WeekIndex],6)&gt;0,SUMIFS(T_StockCount[CountedQty],T_StockCount[RM_Code],$A16,T_StockCount[WeekIndex],6),IF((COUNTIFS(T_SelfStock[RM_Code],$A16,T_SelfStock[WeekIndex],6)&gt;0)*(COUNTIFS(T_TTAFStock[RM_Code],$A16,T_TTAFStock[WeekIndex],6)&gt;0)&gt;0,SUMIFS(T_SelfStock[Self_Qty],T_SelfStock[RM_Code],$A16,T_SelfStock[WeekIndex],6)+SUMIFS(T_TTAFStock[TTAF_Qty],T_TTAFStock[RM_Code],$A16,T_TTAFStock[WeekIndex],6),F16+'Grid_Incoming'!G16-'Grid_Requirement'!G16))</f>
        <v/>
      </c>
      <c r="H16">
        <f>IF(COUNTIFS(T_StockCount[RM_Code],$A16,T_StockCount[WeekIndex],7)&gt;0,SUMIFS(T_StockCount[CountedQty],T_StockCount[RM_Code],$A16,T_StockCount[WeekIndex],7),IF((COUNTIFS(T_SelfStock[RM_Code],$A16,T_SelfStock[WeekIndex],7)&gt;0)*(COUNTIFS(T_TTAFStock[RM_Code],$A16,T_TTAFStock[WeekIndex],7)&gt;0)&gt;0,SUMIFS(T_SelfStock[Self_Qty],T_SelfStock[RM_Code],$A16,T_SelfStock[WeekIndex],7)+SUMIFS(T_TTAFStock[TTAF_Qty],T_TTAFStock[RM_Code],$A16,T_TTAFStock[WeekIndex],7),G16+'Grid_Incoming'!H16-'Grid_Requirement'!H16))</f>
        <v/>
      </c>
      <c r="I16">
        <f>IF(COUNTIFS(T_StockCount[RM_Code],$A16,T_StockCount[WeekIndex],8)&gt;0,SUMIFS(T_StockCount[CountedQty],T_StockCount[RM_Code],$A16,T_StockCount[WeekIndex],8),IF((COUNTIFS(T_SelfStock[RM_Code],$A16,T_SelfStock[WeekIndex],8)&gt;0)*(COUNTIFS(T_TTAFStock[RM_Code],$A16,T_TTAFStock[WeekIndex],8)&gt;0)&gt;0,SUMIFS(T_SelfStock[Self_Qty],T_SelfStock[RM_Code],$A16,T_SelfStock[WeekIndex],8)+SUMIFS(T_TTAFStock[TTAF_Qty],T_TTAFStock[RM_Code],$A16,T_TTAFStock[WeekIndex],8),H16+'Grid_Incoming'!I16-'Grid_Requirement'!I16))</f>
        <v/>
      </c>
      <c r="J16">
        <f>IF(COUNTIFS(T_StockCount[RM_Code],$A16,T_StockCount[WeekIndex],9)&gt;0,SUMIFS(T_StockCount[CountedQty],T_StockCount[RM_Code],$A16,T_StockCount[WeekIndex],9),IF((COUNTIFS(T_SelfStock[RM_Code],$A16,T_SelfStock[WeekIndex],9)&gt;0)*(COUNTIFS(T_TTAFStock[RM_Code],$A16,T_TTAFStock[WeekIndex],9)&gt;0)&gt;0,SUMIFS(T_SelfStock[Self_Qty],T_SelfStock[RM_Code],$A16,T_SelfStock[WeekIndex],9)+SUMIFS(T_TTAFStock[TTAF_Qty],T_TTAFStock[RM_Code],$A16,T_TTAFStock[WeekIndex],9),I16+'Grid_Incoming'!J16-'Grid_Requirement'!J16))</f>
        <v/>
      </c>
      <c r="K16">
        <f>IF(COUNTIFS(T_StockCount[RM_Code],$A16,T_StockCount[WeekIndex],10)&gt;0,SUMIFS(T_StockCount[CountedQty],T_StockCount[RM_Code],$A16,T_StockCount[WeekIndex],10),IF((COUNTIFS(T_SelfStock[RM_Code],$A16,T_SelfStock[WeekIndex],10)&gt;0)*(COUNTIFS(T_TTAFStock[RM_Code],$A16,T_TTAFStock[WeekIndex],10)&gt;0)&gt;0,SUMIFS(T_SelfStock[Self_Qty],T_SelfStock[RM_Code],$A16,T_SelfStock[WeekIndex],10)+SUMIFS(T_TTAFStock[TTAF_Qty],T_TTAFStock[RM_Code],$A16,T_TTAFStock[WeekIndex],10),J16+'Grid_Incoming'!K16-'Grid_Requirement'!K16))</f>
        <v/>
      </c>
      <c r="L16">
        <f>IF(COUNTIFS(T_StockCount[RM_Code],$A16,T_StockCount[WeekIndex],11)&gt;0,SUMIFS(T_StockCount[CountedQty],T_StockCount[RM_Code],$A16,T_StockCount[WeekIndex],11),IF((COUNTIFS(T_SelfStock[RM_Code],$A16,T_SelfStock[WeekIndex],11)&gt;0)*(COUNTIFS(T_TTAFStock[RM_Code],$A16,T_TTAFStock[WeekIndex],11)&gt;0)&gt;0,SUMIFS(T_SelfStock[Self_Qty],T_SelfStock[RM_Code],$A16,T_SelfStock[WeekIndex],11)+SUMIFS(T_TTAFStock[TTAF_Qty],T_TTAFStock[RM_Code],$A16,T_TTAFStock[WeekIndex],11),K16+'Grid_Incoming'!L16-'Grid_Requirement'!L16))</f>
        <v/>
      </c>
      <c r="M16">
        <f>IF(COUNTIFS(T_StockCount[RM_Code],$A16,T_StockCount[WeekIndex],12)&gt;0,SUMIFS(T_StockCount[CountedQty],T_StockCount[RM_Code],$A16,T_StockCount[WeekIndex],12),IF((COUNTIFS(T_SelfStock[RM_Code],$A16,T_SelfStock[WeekIndex],12)&gt;0)*(COUNTIFS(T_TTAFStock[RM_Code],$A16,T_TTAFStock[WeekIndex],12)&gt;0)&gt;0,SUMIFS(T_SelfStock[Self_Qty],T_SelfStock[RM_Code],$A16,T_SelfStock[WeekIndex],12)+SUMIFS(T_TTAFStock[TTAF_Qty],T_TTAFStock[RM_Code],$A16,T_TTAFStock[WeekIndex],12),L16+'Grid_Incoming'!M16-'Grid_Requirement'!M16))</f>
        <v/>
      </c>
      <c r="N16">
        <f>IF(COUNTIFS(T_StockCount[RM_Code],$A16,T_StockCount[WeekIndex],13)&gt;0,SUMIFS(T_StockCount[CountedQty],T_StockCount[RM_Code],$A16,T_StockCount[WeekIndex],13),IF((COUNTIFS(T_SelfStock[RM_Code],$A16,T_SelfStock[WeekIndex],13)&gt;0)*(COUNTIFS(T_TTAFStock[RM_Code],$A16,T_TTAFStock[WeekIndex],13)&gt;0)&gt;0,SUMIFS(T_SelfStock[Self_Qty],T_SelfStock[RM_Code],$A16,T_SelfStock[WeekIndex],13)+SUMIFS(T_TTAFStock[TTAF_Qty],T_TTAFStock[RM_Code],$A16,T_TTAFStock[WeekIndex],13),M16+'Grid_Incoming'!N16-'Grid_Requirement'!N16))</f>
        <v/>
      </c>
      <c r="O16">
        <f>IF(COUNTIFS(T_StockCount[RM_Code],$A16,T_StockCount[WeekIndex],14)&gt;0,SUMIFS(T_StockCount[CountedQty],T_StockCount[RM_Code],$A16,T_StockCount[WeekIndex],14),IF((COUNTIFS(T_SelfStock[RM_Code],$A16,T_SelfStock[WeekIndex],14)&gt;0)*(COUNTIFS(T_TTAFStock[RM_Code],$A16,T_TTAFStock[WeekIndex],14)&gt;0)&gt;0,SUMIFS(T_SelfStock[Self_Qty],T_SelfStock[RM_Code],$A16,T_SelfStock[WeekIndex],14)+SUMIFS(T_TTAFStock[TTAF_Qty],T_TTAFStock[RM_Code],$A16,T_TTAFStock[WeekIndex],14),N16+'Grid_Incoming'!O16-'Grid_Requirement'!O16))</f>
        <v/>
      </c>
      <c r="P16">
        <f>IF(COUNTIFS(T_StockCount[RM_Code],$A16,T_StockCount[WeekIndex],15)&gt;0,SUMIFS(T_StockCount[CountedQty],T_StockCount[RM_Code],$A16,T_StockCount[WeekIndex],15),IF((COUNTIFS(T_SelfStock[RM_Code],$A16,T_SelfStock[WeekIndex],15)&gt;0)*(COUNTIFS(T_TTAFStock[RM_Code],$A16,T_TTAFStock[WeekIndex],15)&gt;0)&gt;0,SUMIFS(T_SelfStock[Self_Qty],T_SelfStock[RM_Code],$A16,T_SelfStock[WeekIndex],15)+SUMIFS(T_TTAFStock[TTAF_Qty],T_TTAFStock[RM_Code],$A16,T_TTAFStock[WeekIndex],15),O16+'Grid_Incoming'!P16-'Grid_Requirement'!P16))</f>
        <v/>
      </c>
      <c r="Q16">
        <f>IF(COUNTIFS(T_StockCount[RM_Code],$A16,T_StockCount[WeekIndex],16)&gt;0,SUMIFS(T_StockCount[CountedQty],T_StockCount[RM_Code],$A16,T_StockCount[WeekIndex],16),IF((COUNTIFS(T_SelfStock[RM_Code],$A16,T_SelfStock[WeekIndex],16)&gt;0)*(COUNTIFS(T_TTAFStock[RM_Code],$A16,T_TTAFStock[WeekIndex],16)&gt;0)&gt;0,SUMIFS(T_SelfStock[Self_Qty],T_SelfStock[RM_Code],$A16,T_SelfStock[WeekIndex],16)+SUMIFS(T_TTAFStock[TTAF_Qty],T_TTAFStock[RM_Code],$A16,T_TTAFStock[WeekIndex],16),P16+'Grid_Incoming'!Q16-'Grid_Requirement'!Q16))</f>
        <v/>
      </c>
      <c r="R16">
        <f>IF(COUNTIFS(T_StockCount[RM_Code],$A16,T_StockCount[WeekIndex],17)&gt;0,SUMIFS(T_StockCount[CountedQty],T_StockCount[RM_Code],$A16,T_StockCount[WeekIndex],17),IF((COUNTIFS(T_SelfStock[RM_Code],$A16,T_SelfStock[WeekIndex],17)&gt;0)*(COUNTIFS(T_TTAFStock[RM_Code],$A16,T_TTAFStock[WeekIndex],17)&gt;0)&gt;0,SUMIFS(T_SelfStock[Self_Qty],T_SelfStock[RM_Code],$A16,T_SelfStock[WeekIndex],17)+SUMIFS(T_TTAFStock[TTAF_Qty],T_TTAFStock[RM_Code],$A16,T_TTAFStock[WeekIndex],17),Q16+'Grid_Incoming'!R16-'Grid_Requirement'!R16))</f>
        <v/>
      </c>
      <c r="S16">
        <f>IF(COUNTIFS(T_StockCount[RM_Code],$A16,T_StockCount[WeekIndex],18)&gt;0,SUMIFS(T_StockCount[CountedQty],T_StockCount[RM_Code],$A16,T_StockCount[WeekIndex],18),IF((COUNTIFS(T_SelfStock[RM_Code],$A16,T_SelfStock[WeekIndex],18)&gt;0)*(COUNTIFS(T_TTAFStock[RM_Code],$A16,T_TTAFStock[WeekIndex],18)&gt;0)&gt;0,SUMIFS(T_SelfStock[Self_Qty],T_SelfStock[RM_Code],$A16,T_SelfStock[WeekIndex],18)+SUMIFS(T_TTAFStock[TTAF_Qty],T_TTAFStock[RM_Code],$A16,T_TTAFStock[WeekIndex],18),R16+'Grid_Incoming'!S16-'Grid_Requirement'!S16))</f>
        <v/>
      </c>
      <c r="T16">
        <f>IF(COUNTIFS(T_StockCount[RM_Code],$A16,T_StockCount[WeekIndex],19)&gt;0,SUMIFS(T_StockCount[CountedQty],T_StockCount[RM_Code],$A16,T_StockCount[WeekIndex],19),IF((COUNTIFS(T_SelfStock[RM_Code],$A16,T_SelfStock[WeekIndex],19)&gt;0)*(COUNTIFS(T_TTAFStock[RM_Code],$A16,T_TTAFStock[WeekIndex],19)&gt;0)&gt;0,SUMIFS(T_SelfStock[Self_Qty],T_SelfStock[RM_Code],$A16,T_SelfStock[WeekIndex],19)+SUMIFS(T_TTAFStock[TTAF_Qty],T_TTAFStock[RM_Code],$A16,T_TTAFStock[WeekIndex],19),S16+'Grid_Incoming'!T16-'Grid_Requirement'!T16))</f>
        <v/>
      </c>
      <c r="U16">
        <f>IF(COUNTIFS(T_StockCount[RM_Code],$A16,T_StockCount[WeekIndex],20)&gt;0,SUMIFS(T_StockCount[CountedQty],T_StockCount[RM_Code],$A16,T_StockCount[WeekIndex],20),IF((COUNTIFS(T_SelfStock[RM_Code],$A16,T_SelfStock[WeekIndex],20)&gt;0)*(COUNTIFS(T_TTAFStock[RM_Code],$A16,T_TTAFStock[WeekIndex],20)&gt;0)&gt;0,SUMIFS(T_SelfStock[Self_Qty],T_SelfStock[RM_Code],$A16,T_SelfStock[WeekIndex],20)+SUMIFS(T_TTAFStock[TTAF_Qty],T_TTAFStock[RM_Code],$A16,T_TTAFStock[WeekIndex],20),T16+'Grid_Incoming'!U16-'Grid_Requirement'!U16))</f>
        <v/>
      </c>
      <c r="V16">
        <f>IF(COUNTIFS(T_StockCount[RM_Code],$A16,T_StockCount[WeekIndex],21)&gt;0,SUMIFS(T_StockCount[CountedQty],T_StockCount[RM_Code],$A16,T_StockCount[WeekIndex],21),IF((COUNTIFS(T_SelfStock[RM_Code],$A16,T_SelfStock[WeekIndex],21)&gt;0)*(COUNTIFS(T_TTAFStock[RM_Code],$A16,T_TTAFStock[WeekIndex],21)&gt;0)&gt;0,SUMIFS(T_SelfStock[Self_Qty],T_SelfStock[RM_Code],$A16,T_SelfStock[WeekIndex],21)+SUMIFS(T_TTAFStock[TTAF_Qty],T_TTAFStock[RM_Code],$A16,T_TTAFStock[WeekIndex],21),U16+'Grid_Incoming'!V16-'Grid_Requirement'!V16))</f>
        <v/>
      </c>
      <c r="W16">
        <f>IF(COUNTIFS(T_StockCount[RM_Code],$A16,T_StockCount[WeekIndex],22)&gt;0,SUMIFS(T_StockCount[CountedQty],T_StockCount[RM_Code],$A16,T_StockCount[WeekIndex],22),IF((COUNTIFS(T_SelfStock[RM_Code],$A16,T_SelfStock[WeekIndex],22)&gt;0)*(COUNTIFS(T_TTAFStock[RM_Code],$A16,T_TTAFStock[WeekIndex],22)&gt;0)&gt;0,SUMIFS(T_SelfStock[Self_Qty],T_SelfStock[RM_Code],$A16,T_SelfStock[WeekIndex],22)+SUMIFS(T_TTAFStock[TTAF_Qty],T_TTAFStock[RM_Code],$A16,T_TTAFStock[WeekIndex],22),V16+'Grid_Incoming'!W16-'Grid_Requirement'!W16))</f>
        <v/>
      </c>
      <c r="X16">
        <f>IF(COUNTIFS(T_StockCount[RM_Code],$A16,T_StockCount[WeekIndex],23)&gt;0,SUMIFS(T_StockCount[CountedQty],T_StockCount[RM_Code],$A16,T_StockCount[WeekIndex],23),IF((COUNTIFS(T_SelfStock[RM_Code],$A16,T_SelfStock[WeekIndex],23)&gt;0)*(COUNTIFS(T_TTAFStock[RM_Code],$A16,T_TTAFStock[WeekIndex],23)&gt;0)&gt;0,SUMIFS(T_SelfStock[Self_Qty],T_SelfStock[RM_Code],$A16,T_SelfStock[WeekIndex],23)+SUMIFS(T_TTAFStock[TTAF_Qty],T_TTAFStock[RM_Code],$A16,T_TTAFStock[WeekIndex],23),W16+'Grid_Incoming'!X16-'Grid_Requirement'!X16))</f>
        <v/>
      </c>
      <c r="Y16">
        <f>IF(COUNTIFS(T_StockCount[RM_Code],$A16,T_StockCount[WeekIndex],24)&gt;0,SUMIFS(T_StockCount[CountedQty],T_StockCount[RM_Code],$A16,T_StockCount[WeekIndex],24),IF((COUNTIFS(T_SelfStock[RM_Code],$A16,T_SelfStock[WeekIndex],24)&gt;0)*(COUNTIFS(T_TTAFStock[RM_Code],$A16,T_TTAFStock[WeekIndex],24)&gt;0)&gt;0,SUMIFS(T_SelfStock[Self_Qty],T_SelfStock[RM_Code],$A16,T_SelfStock[WeekIndex],24)+SUMIFS(T_TTAFStock[TTAF_Qty],T_TTAFStock[RM_Code],$A16,T_TTAFStock[WeekIndex],24),X16+'Grid_Incoming'!Y16-'Grid_Requirement'!Y16))</f>
        <v/>
      </c>
      <c r="Z16">
        <f>IF(COUNTIFS(T_StockCount[RM_Code],$A16,T_StockCount[WeekIndex],25)&gt;0,SUMIFS(T_StockCount[CountedQty],T_StockCount[RM_Code],$A16,T_StockCount[WeekIndex],25),IF((COUNTIFS(T_SelfStock[RM_Code],$A16,T_SelfStock[WeekIndex],25)&gt;0)*(COUNTIFS(T_TTAFStock[RM_Code],$A16,T_TTAFStock[WeekIndex],25)&gt;0)&gt;0,SUMIFS(T_SelfStock[Self_Qty],T_SelfStock[RM_Code],$A16,T_SelfStock[WeekIndex],25)+SUMIFS(T_TTAFStock[TTAF_Qty],T_TTAFStock[RM_Code],$A16,T_TTAFStock[WeekIndex],25),Y16+'Grid_Incoming'!Z16-'Grid_Requirement'!Z16))</f>
        <v/>
      </c>
      <c r="AA16">
        <f>IF(COUNTIFS(T_StockCount[RM_Code],$A16,T_StockCount[WeekIndex],26)&gt;0,SUMIFS(T_StockCount[CountedQty],T_StockCount[RM_Code],$A16,T_StockCount[WeekIndex],26),IF((COUNTIFS(T_SelfStock[RM_Code],$A16,T_SelfStock[WeekIndex],26)&gt;0)*(COUNTIFS(T_TTAFStock[RM_Code],$A16,T_TTAFStock[WeekIndex],26)&gt;0)&gt;0,SUMIFS(T_SelfStock[Self_Qty],T_SelfStock[RM_Code],$A16,T_SelfStock[WeekIndex],26)+SUMIFS(T_TTAFStock[TTAF_Qty],T_TTAFStock[RM_Code],$A16,T_TTAFStock[WeekIndex],26),Z16+'Grid_Incoming'!AA16-'Grid_Requirement'!AA16))</f>
        <v/>
      </c>
      <c r="AB16">
        <f>IF(COUNTIFS(T_StockCount[RM_Code],$A16,T_StockCount[WeekIndex],27)&gt;0,SUMIFS(T_StockCount[CountedQty],T_StockCount[RM_Code],$A16,T_StockCount[WeekIndex],27),IF((COUNTIFS(T_SelfStock[RM_Code],$A16,T_SelfStock[WeekIndex],27)&gt;0)*(COUNTIFS(T_TTAFStock[RM_Code],$A16,T_TTAFStock[WeekIndex],27)&gt;0)&gt;0,SUMIFS(T_SelfStock[Self_Qty],T_SelfStock[RM_Code],$A16,T_SelfStock[WeekIndex],27)+SUMIFS(T_TTAFStock[TTAF_Qty],T_TTAFStock[RM_Code],$A16,T_TTAFStock[WeekIndex],27),AA16+'Grid_Incoming'!AB16-'Grid_Requirement'!AB16))</f>
        <v/>
      </c>
      <c r="AC16">
        <f>IF(COUNTIFS(T_StockCount[RM_Code],$A16,T_StockCount[WeekIndex],28)&gt;0,SUMIFS(T_StockCount[CountedQty],T_StockCount[RM_Code],$A16,T_StockCount[WeekIndex],28),IF((COUNTIFS(T_SelfStock[RM_Code],$A16,T_SelfStock[WeekIndex],28)&gt;0)*(COUNTIFS(T_TTAFStock[RM_Code],$A16,T_TTAFStock[WeekIndex],28)&gt;0)&gt;0,SUMIFS(T_SelfStock[Self_Qty],T_SelfStock[RM_Code],$A16,T_SelfStock[WeekIndex],28)+SUMIFS(T_TTAFStock[TTAF_Qty],T_TTAFStock[RM_Code],$A16,T_TTAFStock[WeekIndex],28),AB16+'Grid_Incoming'!AC16-'Grid_Requirement'!AC16))</f>
        <v/>
      </c>
      <c r="AD16">
        <f>IF(COUNTIFS(T_StockCount[RM_Code],$A16,T_StockCount[WeekIndex],29)&gt;0,SUMIFS(T_StockCount[CountedQty],T_StockCount[RM_Code],$A16,T_StockCount[WeekIndex],29),IF((COUNTIFS(T_SelfStock[RM_Code],$A16,T_SelfStock[WeekIndex],29)&gt;0)*(COUNTIFS(T_TTAFStock[RM_Code],$A16,T_TTAFStock[WeekIndex],29)&gt;0)&gt;0,SUMIFS(T_SelfStock[Self_Qty],T_SelfStock[RM_Code],$A16,T_SelfStock[WeekIndex],29)+SUMIFS(T_TTAFStock[TTAF_Qty],T_TTAFStock[RM_Code],$A16,T_TTAFStock[WeekIndex],29),AC16+'Grid_Incoming'!AD16-'Grid_Requirement'!AD16))</f>
        <v/>
      </c>
      <c r="AE16">
        <f>IF(COUNTIFS(T_StockCount[RM_Code],$A16,T_StockCount[WeekIndex],30)&gt;0,SUMIFS(T_StockCount[CountedQty],T_StockCount[RM_Code],$A16,T_StockCount[WeekIndex],30),IF((COUNTIFS(T_SelfStock[RM_Code],$A16,T_SelfStock[WeekIndex],30)&gt;0)*(COUNTIFS(T_TTAFStock[RM_Code],$A16,T_TTAFStock[WeekIndex],30)&gt;0)&gt;0,SUMIFS(T_SelfStock[Self_Qty],T_SelfStock[RM_Code],$A16,T_SelfStock[WeekIndex],30)+SUMIFS(T_TTAFStock[TTAF_Qty],T_TTAFStock[RM_Code],$A16,T_TTAFStock[WeekIndex],30),AD16+'Grid_Incoming'!AE16-'Grid_Requirement'!AE16))</f>
        <v/>
      </c>
      <c r="AF16">
        <f>IF(COUNTIFS(T_StockCount[RM_Code],$A16,T_StockCount[WeekIndex],31)&gt;0,SUMIFS(T_StockCount[CountedQty],T_StockCount[RM_Code],$A16,T_StockCount[WeekIndex],31),IF((COUNTIFS(T_SelfStock[RM_Code],$A16,T_SelfStock[WeekIndex],31)&gt;0)*(COUNTIFS(T_TTAFStock[RM_Code],$A16,T_TTAFStock[WeekIndex],31)&gt;0)&gt;0,SUMIFS(T_SelfStock[Self_Qty],T_SelfStock[RM_Code],$A16,T_SelfStock[WeekIndex],31)+SUMIFS(T_TTAFStock[TTAF_Qty],T_TTAFStock[RM_Code],$A16,T_TTAFStock[WeekIndex],31),AE16+'Grid_Incoming'!AF16-'Grid_Requirement'!AF16))</f>
        <v/>
      </c>
      <c r="AG16">
        <f>IF(COUNTIFS(T_StockCount[RM_Code],$A16,T_StockCount[WeekIndex],32)&gt;0,SUMIFS(T_StockCount[CountedQty],T_StockCount[RM_Code],$A16,T_StockCount[WeekIndex],32),IF((COUNTIFS(T_SelfStock[RM_Code],$A16,T_SelfStock[WeekIndex],32)&gt;0)*(COUNTIFS(T_TTAFStock[RM_Code],$A16,T_TTAFStock[WeekIndex],32)&gt;0)&gt;0,SUMIFS(T_SelfStock[Self_Qty],T_SelfStock[RM_Code],$A16,T_SelfStock[WeekIndex],32)+SUMIFS(T_TTAFStock[TTAF_Qty],T_TTAFStock[RM_Code],$A16,T_TTAFStock[WeekIndex],32),AF16+'Grid_Incoming'!AG16-'Grid_Requirement'!AG16))</f>
        <v/>
      </c>
      <c r="AH16">
        <f>IF(COUNTIFS(T_StockCount[RM_Code],$A16,T_StockCount[WeekIndex],33)&gt;0,SUMIFS(T_StockCount[CountedQty],T_StockCount[RM_Code],$A16,T_StockCount[WeekIndex],33),IF((COUNTIFS(T_SelfStock[RM_Code],$A16,T_SelfStock[WeekIndex],33)&gt;0)*(COUNTIFS(T_TTAFStock[RM_Code],$A16,T_TTAFStock[WeekIndex],33)&gt;0)&gt;0,SUMIFS(T_SelfStock[Self_Qty],T_SelfStock[RM_Code],$A16,T_SelfStock[WeekIndex],33)+SUMIFS(T_TTAFStock[TTAF_Qty],T_TTAFStock[RM_Code],$A16,T_TTAFStock[WeekIndex],33),AG16+'Grid_Incoming'!AH16-'Grid_Requirement'!AH16))</f>
        <v/>
      </c>
      <c r="AI16">
        <f>IF(COUNTIFS(T_StockCount[RM_Code],$A16,T_StockCount[WeekIndex],34)&gt;0,SUMIFS(T_StockCount[CountedQty],T_StockCount[RM_Code],$A16,T_StockCount[WeekIndex],34),IF((COUNTIFS(T_SelfStock[RM_Code],$A16,T_SelfStock[WeekIndex],34)&gt;0)*(COUNTIFS(T_TTAFStock[RM_Code],$A16,T_TTAFStock[WeekIndex],34)&gt;0)&gt;0,SUMIFS(T_SelfStock[Self_Qty],T_SelfStock[RM_Code],$A16,T_SelfStock[WeekIndex],34)+SUMIFS(T_TTAFStock[TTAF_Qty],T_TTAFStock[RM_Code],$A16,T_TTAFStock[WeekIndex],34),AH16+'Grid_Incoming'!AI16-'Grid_Requirement'!AI16))</f>
        <v/>
      </c>
      <c r="AJ16">
        <f>IF(COUNTIFS(T_StockCount[RM_Code],$A16,T_StockCount[WeekIndex],35)&gt;0,SUMIFS(T_StockCount[CountedQty],T_StockCount[RM_Code],$A16,T_StockCount[WeekIndex],35),IF((COUNTIFS(T_SelfStock[RM_Code],$A16,T_SelfStock[WeekIndex],35)&gt;0)*(COUNTIFS(T_TTAFStock[RM_Code],$A16,T_TTAFStock[WeekIndex],35)&gt;0)&gt;0,SUMIFS(T_SelfStock[Self_Qty],T_SelfStock[RM_Code],$A16,T_SelfStock[WeekIndex],35)+SUMIFS(T_TTAFStock[TTAF_Qty],T_TTAFStock[RM_Code],$A16,T_TTAFStock[WeekIndex],35),AI16+'Grid_Incoming'!AJ16-'Grid_Requirement'!AJ16))</f>
        <v/>
      </c>
      <c r="AK16">
        <f>IF(COUNTIFS(T_StockCount[RM_Code],$A16,T_StockCount[WeekIndex],36)&gt;0,SUMIFS(T_StockCount[CountedQty],T_StockCount[RM_Code],$A16,T_StockCount[WeekIndex],36),IF((COUNTIFS(T_SelfStock[RM_Code],$A16,T_SelfStock[WeekIndex],36)&gt;0)*(COUNTIFS(T_TTAFStock[RM_Code],$A16,T_TTAFStock[WeekIndex],36)&gt;0)&gt;0,SUMIFS(T_SelfStock[Self_Qty],T_SelfStock[RM_Code],$A16,T_SelfStock[WeekIndex],36)+SUMIFS(T_TTAFStock[TTAF_Qty],T_TTAFStock[RM_Code],$A16,T_TTAFStock[WeekIndex],36),AJ16+'Grid_Incoming'!AK16-'Grid_Requirement'!AK16))</f>
        <v/>
      </c>
      <c r="AL16">
        <f>IF(COUNTIFS(T_StockCount[RM_Code],$A16,T_StockCount[WeekIndex],37)&gt;0,SUMIFS(T_StockCount[CountedQty],T_StockCount[RM_Code],$A16,T_StockCount[WeekIndex],37),IF((COUNTIFS(T_SelfStock[RM_Code],$A16,T_SelfStock[WeekIndex],37)&gt;0)*(COUNTIFS(T_TTAFStock[RM_Code],$A16,T_TTAFStock[WeekIndex],37)&gt;0)&gt;0,SUMIFS(T_SelfStock[Self_Qty],T_SelfStock[RM_Code],$A16,T_SelfStock[WeekIndex],37)+SUMIFS(T_TTAFStock[TTAF_Qty],T_TTAFStock[RM_Code],$A16,T_TTAFStock[WeekIndex],37),AK16+'Grid_Incoming'!AL16-'Grid_Requirement'!AL16))</f>
        <v/>
      </c>
      <c r="AM16">
        <f>IF(COUNTIFS(T_StockCount[RM_Code],$A16,T_StockCount[WeekIndex],38)&gt;0,SUMIFS(T_StockCount[CountedQty],T_StockCount[RM_Code],$A16,T_StockCount[WeekIndex],38),IF((COUNTIFS(T_SelfStock[RM_Code],$A16,T_SelfStock[WeekIndex],38)&gt;0)*(COUNTIFS(T_TTAFStock[RM_Code],$A16,T_TTAFStock[WeekIndex],38)&gt;0)&gt;0,SUMIFS(T_SelfStock[Self_Qty],T_SelfStock[RM_Code],$A16,T_SelfStock[WeekIndex],38)+SUMIFS(T_TTAFStock[TTAF_Qty],T_TTAFStock[RM_Code],$A16,T_TTAFStock[WeekIndex],38),AL16+'Grid_Incoming'!AM16-'Grid_Requirement'!AM16))</f>
        <v/>
      </c>
      <c r="AN16">
        <f>IF(COUNTIFS(T_StockCount[RM_Code],$A16,T_StockCount[WeekIndex],39)&gt;0,SUMIFS(T_StockCount[CountedQty],T_StockCount[RM_Code],$A16,T_StockCount[WeekIndex],39),IF((COUNTIFS(T_SelfStock[RM_Code],$A16,T_SelfStock[WeekIndex],39)&gt;0)*(COUNTIFS(T_TTAFStock[RM_Code],$A16,T_TTAFStock[WeekIndex],39)&gt;0)&gt;0,SUMIFS(T_SelfStock[Self_Qty],T_SelfStock[RM_Code],$A16,T_SelfStock[WeekIndex],39)+SUMIFS(T_TTAFStock[TTAF_Qty],T_TTAFStock[RM_Code],$A16,T_TTAFStock[WeekIndex],39),AM16+'Grid_Incoming'!AN16-'Grid_Requirement'!AN16))</f>
        <v/>
      </c>
      <c r="AO16">
        <f>IF(COUNTIFS(T_StockCount[RM_Code],$A16,T_StockCount[WeekIndex],40)&gt;0,SUMIFS(T_StockCount[CountedQty],T_StockCount[RM_Code],$A16,T_StockCount[WeekIndex],40),IF((COUNTIFS(T_SelfStock[RM_Code],$A16,T_SelfStock[WeekIndex],40)&gt;0)*(COUNTIFS(T_TTAFStock[RM_Code],$A16,T_TTAFStock[WeekIndex],40)&gt;0)&gt;0,SUMIFS(T_SelfStock[Self_Qty],T_SelfStock[RM_Code],$A16,T_SelfStock[WeekIndex],40)+SUMIFS(T_TTAFStock[TTAF_Qty],T_TTAFStock[RM_Code],$A16,T_TTAFStock[WeekIndex],40),AN16+'Grid_Incoming'!AO16-'Grid_Requirement'!AO16))</f>
        <v/>
      </c>
      <c r="AP16">
        <f>IF(COUNTIFS(T_StockCount[RM_Code],$A16,T_StockCount[WeekIndex],41)&gt;0,SUMIFS(T_StockCount[CountedQty],T_StockCount[RM_Code],$A16,T_StockCount[WeekIndex],41),IF((COUNTIFS(T_SelfStock[RM_Code],$A16,T_SelfStock[WeekIndex],41)&gt;0)*(COUNTIFS(T_TTAFStock[RM_Code],$A16,T_TTAFStock[WeekIndex],41)&gt;0)&gt;0,SUMIFS(T_SelfStock[Self_Qty],T_SelfStock[RM_Code],$A16,T_SelfStock[WeekIndex],41)+SUMIFS(T_TTAFStock[TTAF_Qty],T_TTAFStock[RM_Code],$A16,T_TTAFStock[WeekIndex],41),AO16+'Grid_Incoming'!AP16-'Grid_Requirement'!AP16))</f>
        <v/>
      </c>
      <c r="AQ16">
        <f>IF(COUNTIFS(T_StockCount[RM_Code],$A16,T_StockCount[WeekIndex],42)&gt;0,SUMIFS(T_StockCount[CountedQty],T_StockCount[RM_Code],$A16,T_StockCount[WeekIndex],42),IF((COUNTIFS(T_SelfStock[RM_Code],$A16,T_SelfStock[WeekIndex],42)&gt;0)*(COUNTIFS(T_TTAFStock[RM_Code],$A16,T_TTAFStock[WeekIndex],42)&gt;0)&gt;0,SUMIFS(T_SelfStock[Self_Qty],T_SelfStock[RM_Code],$A16,T_SelfStock[WeekIndex],42)+SUMIFS(T_TTAFStock[TTAF_Qty],T_TTAFStock[RM_Code],$A16,T_TTAFStock[WeekIndex],42),AP16+'Grid_Incoming'!AQ16-'Grid_Requirement'!AQ16))</f>
        <v/>
      </c>
      <c r="AR16">
        <f>IF(COUNTIFS(T_StockCount[RM_Code],$A16,T_StockCount[WeekIndex],43)&gt;0,SUMIFS(T_StockCount[CountedQty],T_StockCount[RM_Code],$A16,T_StockCount[WeekIndex],43),IF((COUNTIFS(T_SelfStock[RM_Code],$A16,T_SelfStock[WeekIndex],43)&gt;0)*(COUNTIFS(T_TTAFStock[RM_Code],$A16,T_TTAFStock[WeekIndex],43)&gt;0)&gt;0,SUMIFS(T_SelfStock[Self_Qty],T_SelfStock[RM_Code],$A16,T_SelfStock[WeekIndex],43)+SUMIFS(T_TTAFStock[TTAF_Qty],T_TTAFStock[RM_Code],$A16,T_TTAFStock[WeekIndex],43),AQ16+'Grid_Incoming'!AR16-'Grid_Requirement'!AR16))</f>
        <v/>
      </c>
      <c r="AS16">
        <f>IF(COUNTIFS(T_StockCount[RM_Code],$A16,T_StockCount[WeekIndex],44)&gt;0,SUMIFS(T_StockCount[CountedQty],T_StockCount[RM_Code],$A16,T_StockCount[WeekIndex],44),IF((COUNTIFS(T_SelfStock[RM_Code],$A16,T_SelfStock[WeekIndex],44)&gt;0)*(COUNTIFS(T_TTAFStock[RM_Code],$A16,T_TTAFStock[WeekIndex],44)&gt;0)&gt;0,SUMIFS(T_SelfStock[Self_Qty],T_SelfStock[RM_Code],$A16,T_SelfStock[WeekIndex],44)+SUMIFS(T_TTAFStock[TTAF_Qty],T_TTAFStock[RM_Code],$A16,T_TTAFStock[WeekIndex],44),AR16+'Grid_Incoming'!AS16-'Grid_Requirement'!AS16))</f>
        <v/>
      </c>
      <c r="AT16">
        <f>IF(COUNTIFS(T_StockCount[RM_Code],$A16,T_StockCount[WeekIndex],45)&gt;0,SUMIFS(T_StockCount[CountedQty],T_StockCount[RM_Code],$A16,T_StockCount[WeekIndex],45),IF((COUNTIFS(T_SelfStock[RM_Code],$A16,T_SelfStock[WeekIndex],45)&gt;0)*(COUNTIFS(T_TTAFStock[RM_Code],$A16,T_TTAFStock[WeekIndex],45)&gt;0)&gt;0,SUMIFS(T_SelfStock[Self_Qty],T_SelfStock[RM_Code],$A16,T_SelfStock[WeekIndex],45)+SUMIFS(T_TTAFStock[TTAF_Qty],T_TTAFStock[RM_Code],$A16,T_TTAFStock[WeekIndex],45),AS16+'Grid_Incoming'!AT16-'Grid_Requirement'!AT16))</f>
        <v/>
      </c>
      <c r="AU16">
        <f>IF(COUNTIFS(T_StockCount[RM_Code],$A16,T_StockCount[WeekIndex],46)&gt;0,SUMIFS(T_StockCount[CountedQty],T_StockCount[RM_Code],$A16,T_StockCount[WeekIndex],46),IF((COUNTIFS(T_SelfStock[RM_Code],$A16,T_SelfStock[WeekIndex],46)&gt;0)*(COUNTIFS(T_TTAFStock[RM_Code],$A16,T_TTAFStock[WeekIndex],46)&gt;0)&gt;0,SUMIFS(T_SelfStock[Self_Qty],T_SelfStock[RM_Code],$A16,T_SelfStock[WeekIndex],46)+SUMIFS(T_TTAFStock[TTAF_Qty],T_TTAFStock[RM_Code],$A16,T_TTAFStock[WeekIndex],46),AT16+'Grid_Incoming'!AU16-'Grid_Requirement'!AU16))</f>
        <v/>
      </c>
      <c r="AV16">
        <f>IF(COUNTIFS(T_StockCount[RM_Code],$A16,T_StockCount[WeekIndex],47)&gt;0,SUMIFS(T_StockCount[CountedQty],T_StockCount[RM_Code],$A16,T_StockCount[WeekIndex],47),IF((COUNTIFS(T_SelfStock[RM_Code],$A16,T_SelfStock[WeekIndex],47)&gt;0)*(COUNTIFS(T_TTAFStock[RM_Code],$A16,T_TTAFStock[WeekIndex],47)&gt;0)&gt;0,SUMIFS(T_SelfStock[Self_Qty],T_SelfStock[RM_Code],$A16,T_SelfStock[WeekIndex],47)+SUMIFS(T_TTAFStock[TTAF_Qty],T_TTAFStock[RM_Code],$A16,T_TTAFStock[WeekIndex],47),AU16+'Grid_Incoming'!AV16-'Grid_Requirement'!AV16))</f>
        <v/>
      </c>
      <c r="AW16">
        <f>IF(COUNTIFS(T_StockCount[RM_Code],$A16,T_StockCount[WeekIndex],48)&gt;0,SUMIFS(T_StockCount[CountedQty],T_StockCount[RM_Code],$A16,T_StockCount[WeekIndex],48),IF((COUNTIFS(T_SelfStock[RM_Code],$A16,T_SelfStock[WeekIndex],48)&gt;0)*(COUNTIFS(T_TTAFStock[RM_Code],$A16,T_TTAFStock[WeekIndex],48)&gt;0)&gt;0,SUMIFS(T_SelfStock[Self_Qty],T_SelfStock[RM_Code],$A16,T_SelfStock[WeekIndex],48)+SUMIFS(T_TTAFStock[TTAF_Qty],T_TTAFStock[RM_Code],$A16,T_TTAFStock[WeekIndex],48),AV16+'Grid_Incoming'!AW16-'Grid_Requirement'!AW16))</f>
        <v/>
      </c>
      <c r="AX16">
        <f>IF(COUNTIFS(T_StockCount[RM_Code],$A16,T_StockCount[WeekIndex],49)&gt;0,SUMIFS(T_StockCount[CountedQty],T_StockCount[RM_Code],$A16,T_StockCount[WeekIndex],49),IF((COUNTIFS(T_SelfStock[RM_Code],$A16,T_SelfStock[WeekIndex],49)&gt;0)*(COUNTIFS(T_TTAFStock[RM_Code],$A16,T_TTAFStock[WeekIndex],49)&gt;0)&gt;0,SUMIFS(T_SelfStock[Self_Qty],T_SelfStock[RM_Code],$A16,T_SelfStock[WeekIndex],49)+SUMIFS(T_TTAFStock[TTAF_Qty],T_TTAFStock[RM_Code],$A16,T_TTAFStock[WeekIndex],49),AW16+'Grid_Incoming'!AX16-'Grid_Requirement'!AX16))</f>
        <v/>
      </c>
      <c r="AY16">
        <f>IF(COUNTIFS(T_StockCount[RM_Code],$A16,T_StockCount[WeekIndex],50)&gt;0,SUMIFS(T_StockCount[CountedQty],T_StockCount[RM_Code],$A16,T_StockCount[WeekIndex],50),IF((COUNTIFS(T_SelfStock[RM_Code],$A16,T_SelfStock[WeekIndex],50)&gt;0)*(COUNTIFS(T_TTAFStock[RM_Code],$A16,T_TTAFStock[WeekIndex],50)&gt;0)&gt;0,SUMIFS(T_SelfStock[Self_Qty],T_SelfStock[RM_Code],$A16,T_SelfStock[WeekIndex],50)+SUMIFS(T_TTAFStock[TTAF_Qty],T_TTAFStock[RM_Code],$A16,T_TTAFStock[WeekIndex],50),AX16+'Grid_Incoming'!AY16-'Grid_Requirement'!AY16))</f>
        <v/>
      </c>
      <c r="AZ16">
        <f>IF(COUNTIFS(T_StockCount[RM_Code],$A16,T_StockCount[WeekIndex],51)&gt;0,SUMIFS(T_StockCount[CountedQty],T_StockCount[RM_Code],$A16,T_StockCount[WeekIndex],51),IF((COUNTIFS(T_SelfStock[RM_Code],$A16,T_SelfStock[WeekIndex],51)&gt;0)*(COUNTIFS(T_TTAFStock[RM_Code],$A16,T_TTAFStock[WeekIndex],51)&gt;0)&gt;0,SUMIFS(T_SelfStock[Self_Qty],T_SelfStock[RM_Code],$A16,T_SelfStock[WeekIndex],51)+SUMIFS(T_TTAFStock[TTAF_Qty],T_TTAFStock[RM_Code],$A16,T_TTAFStock[WeekIndex],51),AY16+'Grid_Incoming'!AZ16-'Grid_Requirement'!AZ16))</f>
        <v/>
      </c>
      <c r="BA16">
        <f>IF(COUNTIFS(T_StockCount[RM_Code],$A16,T_StockCount[WeekIndex],52)&gt;0,SUMIFS(T_StockCount[CountedQty],T_StockCount[RM_Code],$A16,T_StockCount[WeekIndex],52),IF((COUNTIFS(T_SelfStock[RM_Code],$A16,T_SelfStock[WeekIndex],52)&gt;0)*(COUNTIFS(T_TTAFStock[RM_Code],$A16,T_TTAFStock[WeekIndex],52)&gt;0)&gt;0,SUMIFS(T_SelfStock[Self_Qty],T_SelfStock[RM_Code],$A16,T_SelfStock[WeekIndex],52)+SUMIFS(T_TTAFStock[TTAF_Qty],T_TTAFStock[RM_Code],$A16,T_TTAFStock[WeekIndex],52),AZ16+'Grid_Incoming'!BA16-'Grid_Requirement'!BA16))</f>
        <v/>
      </c>
      <c r="BB16">
        <f>IF(COUNTIFS(T_StockCount[RM_Code],$A16,T_StockCount[WeekIndex],53)&gt;0,SUMIFS(T_StockCount[CountedQty],T_StockCount[RM_Code],$A16,T_StockCount[WeekIndex],53),IF((COUNTIFS(T_SelfStock[RM_Code],$A16,T_SelfStock[WeekIndex],53)&gt;0)*(COUNTIFS(T_TTAFStock[RM_Code],$A16,T_TTAFStock[WeekIndex],53)&gt;0)&gt;0,SUMIFS(T_SelfStock[Self_Qty],T_SelfStock[RM_Code],$A16,T_SelfStock[WeekIndex],53)+SUMIFS(T_TTAFStock[TTAF_Qty],T_TTAFStock[RM_Code],$A16,T_TTAFStock[WeekIndex],53),BA16+'Grid_Incoming'!BB16-'Grid_Requirement'!BB16))</f>
        <v/>
      </c>
      <c r="BC16">
        <f>IF(COUNTIFS(T_StockCount[RM_Code],$A16,T_StockCount[WeekIndex],54)&gt;0,SUMIFS(T_StockCount[CountedQty],T_StockCount[RM_Code],$A16,T_StockCount[WeekIndex],54),IF((COUNTIFS(T_SelfStock[RM_Code],$A16,T_SelfStock[WeekIndex],54)&gt;0)*(COUNTIFS(T_TTAFStock[RM_Code],$A16,T_TTAFStock[WeekIndex],54)&gt;0)&gt;0,SUMIFS(T_SelfStock[Self_Qty],T_SelfStock[RM_Code],$A16,T_SelfStock[WeekIndex],54)+SUMIFS(T_TTAFStock[TTAF_Qty],T_TTAFStock[RM_Code],$A16,T_TTAFStock[WeekIndex],54),BB16+'Grid_Incoming'!BC16-'Grid_Requirement'!BC16))</f>
        <v/>
      </c>
      <c r="BD16">
        <f>IF(COUNTIFS(T_StockCount[RM_Code],$A16,T_StockCount[WeekIndex],55)&gt;0,SUMIFS(T_StockCount[CountedQty],T_StockCount[RM_Code],$A16,T_StockCount[WeekIndex],55),IF((COUNTIFS(T_SelfStock[RM_Code],$A16,T_SelfStock[WeekIndex],55)&gt;0)*(COUNTIFS(T_TTAFStock[RM_Code],$A16,T_TTAFStock[WeekIndex],55)&gt;0)&gt;0,SUMIFS(T_SelfStock[Self_Qty],T_SelfStock[RM_Code],$A16,T_SelfStock[WeekIndex],55)+SUMIFS(T_TTAFStock[TTAF_Qty],T_TTAFStock[RM_Code],$A16,T_TTAFStock[WeekIndex],55),BC16+'Grid_Incoming'!BD16-'Grid_Requirement'!BD16))</f>
        <v/>
      </c>
      <c r="BE16">
        <f>IF(COUNTIFS(T_StockCount[RM_Code],$A16,T_StockCount[WeekIndex],56)&gt;0,SUMIFS(T_StockCount[CountedQty],T_StockCount[RM_Code],$A16,T_StockCount[WeekIndex],56),IF((COUNTIFS(T_SelfStock[RM_Code],$A16,T_SelfStock[WeekIndex],56)&gt;0)*(COUNTIFS(T_TTAFStock[RM_Code],$A16,T_TTAFStock[WeekIndex],56)&gt;0)&gt;0,SUMIFS(T_SelfStock[Self_Qty],T_SelfStock[RM_Code],$A16,T_SelfStock[WeekIndex],56)+SUMIFS(T_TTAFStock[TTAF_Qty],T_TTAFStock[RM_Code],$A16,T_TTAFStock[WeekIndex],56),BD16+'Grid_Incoming'!BE16-'Grid_Requirement'!BE16))</f>
        <v/>
      </c>
      <c r="BF16">
        <f>IF(COUNTIFS(T_StockCount[RM_Code],$A16,T_StockCount[WeekIndex],57)&gt;0,SUMIFS(T_StockCount[CountedQty],T_StockCount[RM_Code],$A16,T_StockCount[WeekIndex],57),IF((COUNTIFS(T_SelfStock[RM_Code],$A16,T_SelfStock[WeekIndex],57)&gt;0)*(COUNTIFS(T_TTAFStock[RM_Code],$A16,T_TTAFStock[WeekIndex],57)&gt;0)&gt;0,SUMIFS(T_SelfStock[Self_Qty],T_SelfStock[RM_Code],$A16,T_SelfStock[WeekIndex],57)+SUMIFS(T_TTAFStock[TTAF_Qty],T_TTAFStock[RM_Code],$A16,T_TTAFStock[WeekIndex],57),BE16+'Grid_Incoming'!BF16-'Grid_Requirement'!BF16))</f>
        <v/>
      </c>
      <c r="BG16">
        <f>IF(COUNTIFS(T_StockCount[RM_Code],$A16,T_StockCount[WeekIndex],58)&gt;0,SUMIFS(T_StockCount[CountedQty],T_StockCount[RM_Code],$A16,T_StockCount[WeekIndex],58),IF((COUNTIFS(T_SelfStock[RM_Code],$A16,T_SelfStock[WeekIndex],58)&gt;0)*(COUNTIFS(T_TTAFStock[RM_Code],$A16,T_TTAFStock[WeekIndex],58)&gt;0)&gt;0,SUMIFS(T_SelfStock[Self_Qty],T_SelfStock[RM_Code],$A16,T_SelfStock[WeekIndex],58)+SUMIFS(T_TTAFStock[TTAF_Qty],T_TTAFStock[RM_Code],$A16,T_TTAFStock[WeekIndex],58),BF16+'Grid_Incoming'!BG16-'Grid_Requirement'!BG16))</f>
        <v/>
      </c>
      <c r="BH16">
        <f>IF(COUNTIFS(T_StockCount[RM_Code],$A16,T_StockCount[WeekIndex],59)&gt;0,SUMIFS(T_StockCount[CountedQty],T_StockCount[RM_Code],$A16,T_StockCount[WeekIndex],59),IF((COUNTIFS(T_SelfStock[RM_Code],$A16,T_SelfStock[WeekIndex],59)&gt;0)*(COUNTIFS(T_TTAFStock[RM_Code],$A16,T_TTAFStock[WeekIndex],59)&gt;0)&gt;0,SUMIFS(T_SelfStock[Self_Qty],T_SelfStock[RM_Code],$A16,T_SelfStock[WeekIndex],59)+SUMIFS(T_TTAFStock[TTAF_Qty],T_TTAFStock[RM_Code],$A16,T_TTAFStock[WeekIndex],59),BG16+'Grid_Incoming'!BH16-'Grid_Requirement'!BH16))</f>
        <v/>
      </c>
      <c r="BI16">
        <f>IF(COUNTIFS(T_StockCount[RM_Code],$A16,T_StockCount[WeekIndex],60)&gt;0,SUMIFS(T_StockCount[CountedQty],T_StockCount[RM_Code],$A16,T_StockCount[WeekIndex],60),IF((COUNTIFS(T_SelfStock[RM_Code],$A16,T_SelfStock[WeekIndex],60)&gt;0)*(COUNTIFS(T_TTAFStock[RM_Code],$A16,T_TTAFStock[WeekIndex],60)&gt;0)&gt;0,SUMIFS(T_SelfStock[Self_Qty],T_SelfStock[RM_Code],$A16,T_SelfStock[WeekIndex],60)+SUMIFS(T_TTAFStock[TTAF_Qty],T_TTAFStock[RM_Code],$A16,T_TTAFStock[WeekIndex],60),BH16+'Grid_Incoming'!BI16-'Grid_Requirement'!BI16))</f>
        <v/>
      </c>
      <c r="BJ16">
        <f>IF(COUNTIFS(T_StockCount[RM_Code],$A16,T_StockCount[WeekIndex],61)&gt;0,SUMIFS(T_StockCount[CountedQty],T_StockCount[RM_Code],$A16,T_StockCount[WeekIndex],61),IF((COUNTIFS(T_SelfStock[RM_Code],$A16,T_SelfStock[WeekIndex],61)&gt;0)*(COUNTIFS(T_TTAFStock[RM_Code],$A16,T_TTAFStock[WeekIndex],61)&gt;0)&gt;0,SUMIFS(T_SelfStock[Self_Qty],T_SelfStock[RM_Code],$A16,T_SelfStock[WeekIndex],61)+SUMIFS(T_TTAFStock[TTAF_Qty],T_TTAFStock[RM_Code],$A16,T_TTAFStock[WeekIndex],61),BI16+'Grid_Incoming'!BJ16-'Grid_Requirement'!BJ16))</f>
        <v/>
      </c>
      <c r="BK16">
        <f>IF(COUNTIFS(T_StockCount[RM_Code],$A16,T_StockCount[WeekIndex],62)&gt;0,SUMIFS(T_StockCount[CountedQty],T_StockCount[RM_Code],$A16,T_StockCount[WeekIndex],62),IF((COUNTIFS(T_SelfStock[RM_Code],$A16,T_SelfStock[WeekIndex],62)&gt;0)*(COUNTIFS(T_TTAFStock[RM_Code],$A16,T_TTAFStock[WeekIndex],62)&gt;0)&gt;0,SUMIFS(T_SelfStock[Self_Qty],T_SelfStock[RM_Code],$A16,T_SelfStock[WeekIndex],62)+SUMIFS(T_TTAFStock[TTAF_Qty],T_TTAFStock[RM_Code],$A16,T_TTAFStock[WeekIndex],62),BJ16+'Grid_Incoming'!BK16-'Grid_Requirement'!BK16))</f>
        <v/>
      </c>
      <c r="BL16">
        <f>IF(COUNTIFS(T_StockCount[RM_Code],$A16,T_StockCount[WeekIndex],63)&gt;0,SUMIFS(T_StockCount[CountedQty],T_StockCount[RM_Code],$A16,T_StockCount[WeekIndex],63),IF((COUNTIFS(T_SelfStock[RM_Code],$A16,T_SelfStock[WeekIndex],63)&gt;0)*(COUNTIFS(T_TTAFStock[RM_Code],$A16,T_TTAFStock[WeekIndex],63)&gt;0)&gt;0,SUMIFS(T_SelfStock[Self_Qty],T_SelfStock[RM_Code],$A16,T_SelfStock[WeekIndex],63)+SUMIFS(T_TTAFStock[TTAF_Qty],T_TTAFStock[RM_Code],$A16,T_TTAFStock[WeekIndex],63),BK16+'Grid_Incoming'!BL16-'Grid_Requirement'!BL16))</f>
        <v/>
      </c>
      <c r="BM16">
        <f>IF(COUNTIFS(T_StockCount[RM_Code],$A16,T_StockCount[WeekIndex],64)&gt;0,SUMIFS(T_StockCount[CountedQty],T_StockCount[RM_Code],$A16,T_StockCount[WeekIndex],64),IF((COUNTIFS(T_SelfStock[RM_Code],$A16,T_SelfStock[WeekIndex],64)&gt;0)*(COUNTIFS(T_TTAFStock[RM_Code],$A16,T_TTAFStock[WeekIndex],64)&gt;0)&gt;0,SUMIFS(T_SelfStock[Self_Qty],T_SelfStock[RM_Code],$A16,T_SelfStock[WeekIndex],64)+SUMIFS(T_TTAFStock[TTAF_Qty],T_TTAFStock[RM_Code],$A16,T_TTAFStock[WeekIndex],64),BL16+'Grid_Incoming'!BM16-'Grid_Requirement'!BM16))</f>
        <v/>
      </c>
      <c r="BN16">
        <f>IF(COUNTIFS(T_StockCount[RM_Code],$A16,T_StockCount[WeekIndex],65)&gt;0,SUMIFS(T_StockCount[CountedQty],T_StockCount[RM_Code],$A16,T_StockCount[WeekIndex],65),IF((COUNTIFS(T_SelfStock[RM_Code],$A16,T_SelfStock[WeekIndex],65)&gt;0)*(COUNTIFS(T_TTAFStock[RM_Code],$A16,T_TTAFStock[WeekIndex],65)&gt;0)&gt;0,SUMIFS(T_SelfStock[Self_Qty],T_SelfStock[RM_Code],$A16,T_SelfStock[WeekIndex],65)+SUMIFS(T_TTAFStock[TTAF_Qty],T_TTAFStock[RM_Code],$A16,T_TTAFStock[WeekIndex],65),BM16+'Grid_Incoming'!BN16-'Grid_Requirement'!BN16))</f>
        <v/>
      </c>
      <c r="BO16">
        <f>IF(COUNTIFS(T_StockCount[RM_Code],$A16,T_StockCount[WeekIndex],66)&gt;0,SUMIFS(T_StockCount[CountedQty],T_StockCount[RM_Code],$A16,T_StockCount[WeekIndex],66),IF((COUNTIFS(T_SelfStock[RM_Code],$A16,T_SelfStock[WeekIndex],66)&gt;0)*(COUNTIFS(T_TTAFStock[RM_Code],$A16,T_TTAFStock[WeekIndex],66)&gt;0)&gt;0,SUMIFS(T_SelfStock[Self_Qty],T_SelfStock[RM_Code],$A16,T_SelfStock[WeekIndex],66)+SUMIFS(T_TTAFStock[TTAF_Qty],T_TTAFStock[RM_Code],$A16,T_TTAFStock[WeekIndex],66),BN16+'Grid_Incoming'!BO16-'Grid_Requirement'!BO16))</f>
        <v/>
      </c>
      <c r="BP16">
        <f>IF(COUNTIFS(T_StockCount[RM_Code],$A16,T_StockCount[WeekIndex],67)&gt;0,SUMIFS(T_StockCount[CountedQty],T_StockCount[RM_Code],$A16,T_StockCount[WeekIndex],67),IF((COUNTIFS(T_SelfStock[RM_Code],$A16,T_SelfStock[WeekIndex],67)&gt;0)*(COUNTIFS(T_TTAFStock[RM_Code],$A16,T_TTAFStock[WeekIndex],67)&gt;0)&gt;0,SUMIFS(T_SelfStock[Self_Qty],T_SelfStock[RM_Code],$A16,T_SelfStock[WeekIndex],67)+SUMIFS(T_TTAFStock[TTAF_Qty],T_TTAFStock[RM_Code],$A16,T_TTAFStock[WeekIndex],67),BO16+'Grid_Incoming'!BP16-'Grid_Requirement'!BP16))</f>
        <v/>
      </c>
      <c r="BQ16">
        <f>IF(COUNTIFS(T_StockCount[RM_Code],$A16,T_StockCount[WeekIndex],68)&gt;0,SUMIFS(T_StockCount[CountedQty],T_StockCount[RM_Code],$A16,T_StockCount[WeekIndex],68),IF((COUNTIFS(T_SelfStock[RM_Code],$A16,T_SelfStock[WeekIndex],68)&gt;0)*(COUNTIFS(T_TTAFStock[RM_Code],$A16,T_TTAFStock[WeekIndex],68)&gt;0)&gt;0,SUMIFS(T_SelfStock[Self_Qty],T_SelfStock[RM_Code],$A16,T_SelfStock[WeekIndex],68)+SUMIFS(T_TTAFStock[TTAF_Qty],T_TTAFStock[RM_Code],$A16,T_TTAFStock[WeekIndex],68),BP16+'Grid_Incoming'!BQ16-'Grid_Requirement'!BQ16))</f>
        <v/>
      </c>
      <c r="BR16">
        <f>IF(COUNTIFS(T_StockCount[RM_Code],$A16,T_StockCount[WeekIndex],69)&gt;0,SUMIFS(T_StockCount[CountedQty],T_StockCount[RM_Code],$A16,T_StockCount[WeekIndex],69),IF((COUNTIFS(T_SelfStock[RM_Code],$A16,T_SelfStock[WeekIndex],69)&gt;0)*(COUNTIFS(T_TTAFStock[RM_Code],$A16,T_TTAFStock[WeekIndex],69)&gt;0)&gt;0,SUMIFS(T_SelfStock[Self_Qty],T_SelfStock[RM_Code],$A16,T_SelfStock[WeekIndex],69)+SUMIFS(T_TTAFStock[TTAF_Qty],T_TTAFStock[RM_Code],$A16,T_TTAFStock[WeekIndex],69),BQ16+'Grid_Incoming'!BR16-'Grid_Requirement'!BR16))</f>
        <v/>
      </c>
      <c r="BS16">
        <f>IF(COUNTIFS(T_StockCount[RM_Code],$A16,T_StockCount[WeekIndex],70)&gt;0,SUMIFS(T_StockCount[CountedQty],T_StockCount[RM_Code],$A16,T_StockCount[WeekIndex],70),IF((COUNTIFS(T_SelfStock[RM_Code],$A16,T_SelfStock[WeekIndex],70)&gt;0)*(COUNTIFS(T_TTAFStock[RM_Code],$A16,T_TTAFStock[WeekIndex],70)&gt;0)&gt;0,SUMIFS(T_SelfStock[Self_Qty],T_SelfStock[RM_Code],$A16,T_SelfStock[WeekIndex],70)+SUMIFS(T_TTAFStock[TTAF_Qty],T_TTAFStock[RM_Code],$A16,T_TTAFStock[WeekIndex],70),BR16+'Grid_Incoming'!BS16-'Grid_Requirement'!BS16))</f>
        <v/>
      </c>
      <c r="BT16">
        <f>IF(COUNTIFS(T_StockCount[RM_Code],$A16,T_StockCount[WeekIndex],71)&gt;0,SUMIFS(T_StockCount[CountedQty],T_StockCount[RM_Code],$A16,T_StockCount[WeekIndex],71),IF((COUNTIFS(T_SelfStock[RM_Code],$A16,T_SelfStock[WeekIndex],71)&gt;0)*(COUNTIFS(T_TTAFStock[RM_Code],$A16,T_TTAFStock[WeekIndex],71)&gt;0)&gt;0,SUMIFS(T_SelfStock[Self_Qty],T_SelfStock[RM_Code],$A16,T_SelfStock[WeekIndex],71)+SUMIFS(T_TTAFStock[TTAF_Qty],T_TTAFStock[RM_Code],$A16,T_TTAFStock[WeekIndex],71),BS16+'Grid_Incoming'!BT16-'Grid_Requirement'!BT16))</f>
        <v/>
      </c>
      <c r="BU16">
        <f>IF(COUNTIFS(T_StockCount[RM_Code],$A16,T_StockCount[WeekIndex],72)&gt;0,SUMIFS(T_StockCount[CountedQty],T_StockCount[RM_Code],$A16,T_StockCount[WeekIndex],72),IF((COUNTIFS(T_SelfStock[RM_Code],$A16,T_SelfStock[WeekIndex],72)&gt;0)*(COUNTIFS(T_TTAFStock[RM_Code],$A16,T_TTAFStock[WeekIndex],72)&gt;0)&gt;0,SUMIFS(T_SelfStock[Self_Qty],T_SelfStock[RM_Code],$A16,T_SelfStock[WeekIndex],72)+SUMIFS(T_TTAFStock[TTAF_Qty],T_TTAFStock[RM_Code],$A16,T_TTAFStock[WeekIndex],72),BT16+'Grid_Incoming'!BU16-'Grid_Requirement'!BU16))</f>
        <v/>
      </c>
      <c r="BV16">
        <f>IF(COUNTIFS(T_StockCount[RM_Code],$A16,T_StockCount[WeekIndex],73)&gt;0,SUMIFS(T_StockCount[CountedQty],T_StockCount[RM_Code],$A16,T_StockCount[WeekIndex],73),IF((COUNTIFS(T_SelfStock[RM_Code],$A16,T_SelfStock[WeekIndex],73)&gt;0)*(COUNTIFS(T_TTAFStock[RM_Code],$A16,T_TTAFStock[WeekIndex],73)&gt;0)&gt;0,SUMIFS(T_SelfStock[Self_Qty],T_SelfStock[RM_Code],$A16,T_SelfStock[WeekIndex],73)+SUMIFS(T_TTAFStock[TTAF_Qty],T_TTAFStock[RM_Code],$A16,T_TTAFStock[WeekIndex],73),BU16+'Grid_Incoming'!BV16-'Grid_Requirement'!BV16))</f>
        <v/>
      </c>
      <c r="BW16">
        <f>IF(COUNTIFS(T_StockCount[RM_Code],$A16,T_StockCount[WeekIndex],74)&gt;0,SUMIFS(T_StockCount[CountedQty],T_StockCount[RM_Code],$A16,T_StockCount[WeekIndex],74),IF((COUNTIFS(T_SelfStock[RM_Code],$A16,T_SelfStock[WeekIndex],74)&gt;0)*(COUNTIFS(T_TTAFStock[RM_Code],$A16,T_TTAFStock[WeekIndex],74)&gt;0)&gt;0,SUMIFS(T_SelfStock[Self_Qty],T_SelfStock[RM_Code],$A16,T_SelfStock[WeekIndex],74)+SUMIFS(T_TTAFStock[TTAF_Qty],T_TTAFStock[RM_Code],$A16,T_TTAFStock[WeekIndex],74),BV16+'Grid_Incoming'!BW16-'Grid_Requirement'!BW16))</f>
        <v/>
      </c>
      <c r="BX16">
        <f>IF(COUNTIFS(T_StockCount[RM_Code],$A16,T_StockCount[WeekIndex],75)&gt;0,SUMIFS(T_StockCount[CountedQty],T_StockCount[RM_Code],$A16,T_StockCount[WeekIndex],75),IF((COUNTIFS(T_SelfStock[RM_Code],$A16,T_SelfStock[WeekIndex],75)&gt;0)*(COUNTIFS(T_TTAFStock[RM_Code],$A16,T_TTAFStock[WeekIndex],75)&gt;0)&gt;0,SUMIFS(T_SelfStock[Self_Qty],T_SelfStock[RM_Code],$A16,T_SelfStock[WeekIndex],75)+SUMIFS(T_TTAFStock[TTAF_Qty],T_TTAFStock[RM_Code],$A16,T_TTAFStock[WeekIndex],75),BW16+'Grid_Incoming'!BX16-'Grid_Requirement'!BX16))</f>
        <v/>
      </c>
      <c r="BY16">
        <f>IF(COUNTIFS(T_StockCount[RM_Code],$A16,T_StockCount[WeekIndex],76)&gt;0,SUMIFS(T_StockCount[CountedQty],T_StockCount[RM_Code],$A16,T_StockCount[WeekIndex],76),IF((COUNTIFS(T_SelfStock[RM_Code],$A16,T_SelfStock[WeekIndex],76)&gt;0)*(COUNTIFS(T_TTAFStock[RM_Code],$A16,T_TTAFStock[WeekIndex],76)&gt;0)&gt;0,SUMIFS(T_SelfStock[Self_Qty],T_SelfStock[RM_Code],$A16,T_SelfStock[WeekIndex],76)+SUMIFS(T_TTAFStock[TTAF_Qty],T_TTAFStock[RM_Code],$A16,T_TTAFStock[WeekIndex],76),BX16+'Grid_Incoming'!BY16-'Grid_Requirement'!BY16))</f>
        <v/>
      </c>
      <c r="BZ16">
        <f>IF(COUNTIFS(T_StockCount[RM_Code],$A16,T_StockCount[WeekIndex],77)&gt;0,SUMIFS(T_StockCount[CountedQty],T_StockCount[RM_Code],$A16,T_StockCount[WeekIndex],77),IF((COUNTIFS(T_SelfStock[RM_Code],$A16,T_SelfStock[WeekIndex],77)&gt;0)*(COUNTIFS(T_TTAFStock[RM_Code],$A16,T_TTAFStock[WeekIndex],77)&gt;0)&gt;0,SUMIFS(T_SelfStock[Self_Qty],T_SelfStock[RM_Code],$A16,T_SelfStock[WeekIndex],77)+SUMIFS(T_TTAFStock[TTAF_Qty],T_TTAFStock[RM_Code],$A16,T_TTAFStock[WeekIndex],77),BY16+'Grid_Incoming'!BZ16-'Grid_Requirement'!BZ16))</f>
        <v/>
      </c>
      <c r="CA16">
        <f>IF(COUNTIFS(T_StockCount[RM_Code],$A16,T_StockCount[WeekIndex],78)&gt;0,SUMIFS(T_StockCount[CountedQty],T_StockCount[RM_Code],$A16,T_StockCount[WeekIndex],78),IF((COUNTIFS(T_SelfStock[RM_Code],$A16,T_SelfStock[WeekIndex],78)&gt;0)*(COUNTIFS(T_TTAFStock[RM_Code],$A16,T_TTAFStock[WeekIndex],78)&gt;0)&gt;0,SUMIFS(T_SelfStock[Self_Qty],T_SelfStock[RM_Code],$A16,T_SelfStock[WeekIndex],78)+SUMIFS(T_TTAFStock[TTAF_Qty],T_TTAFStock[RM_Code],$A16,T_TTAFStock[WeekIndex],78),BZ16+'Grid_Incoming'!CA16-'Grid_Requirement'!CA16))</f>
        <v/>
      </c>
      <c r="CB16">
        <f>IF(COUNTIFS(T_StockCount[RM_Code],$A16,T_StockCount[WeekIndex],79)&gt;0,SUMIFS(T_StockCount[CountedQty],T_StockCount[RM_Code],$A16,T_StockCount[WeekIndex],79),IF((COUNTIFS(T_SelfStock[RM_Code],$A16,T_SelfStock[WeekIndex],79)&gt;0)*(COUNTIFS(T_TTAFStock[RM_Code],$A16,T_TTAFStock[WeekIndex],79)&gt;0)&gt;0,SUMIFS(T_SelfStock[Self_Qty],T_SelfStock[RM_Code],$A16,T_SelfStock[WeekIndex],79)+SUMIFS(T_TTAFStock[TTAF_Qty],T_TTAFStock[RM_Code],$A16,T_TTAFStock[WeekIndex],79),CA16+'Grid_Incoming'!CB16-'Grid_Requirement'!CB16))</f>
        <v/>
      </c>
      <c r="CC16">
        <f>IF(COUNTIFS(T_StockCount[RM_Code],$A16,T_StockCount[WeekIndex],80)&gt;0,SUMIFS(T_StockCount[CountedQty],T_StockCount[RM_Code],$A16,T_StockCount[WeekIndex],80),IF((COUNTIFS(T_SelfStock[RM_Code],$A16,T_SelfStock[WeekIndex],80)&gt;0)*(COUNTIFS(T_TTAFStock[RM_Code],$A16,T_TTAFStock[WeekIndex],80)&gt;0)&gt;0,SUMIFS(T_SelfStock[Self_Qty],T_SelfStock[RM_Code],$A16,T_SelfStock[WeekIndex],80)+SUMIFS(T_TTAFStock[TTAF_Qty],T_TTAFStock[RM_Code],$A16,T_TTAFStock[WeekIndex],80),CB16+'Grid_Incoming'!CC16-'Grid_Requirement'!CC16))</f>
        <v/>
      </c>
      <c r="CD16">
        <f>IF(COUNTIFS(T_StockCount[RM_Code],$A16,T_StockCount[WeekIndex],81)&gt;0,SUMIFS(T_StockCount[CountedQty],T_StockCount[RM_Code],$A16,T_StockCount[WeekIndex],81),IF((COUNTIFS(T_SelfStock[RM_Code],$A16,T_SelfStock[WeekIndex],81)&gt;0)*(COUNTIFS(T_TTAFStock[RM_Code],$A16,T_TTAFStock[WeekIndex],81)&gt;0)&gt;0,SUMIFS(T_SelfStock[Self_Qty],T_SelfStock[RM_Code],$A16,T_SelfStock[WeekIndex],81)+SUMIFS(T_TTAFStock[TTAF_Qty],T_TTAFStock[RM_Code],$A16,T_TTAFStock[WeekIndex],81),CC16+'Grid_Incoming'!CD16-'Grid_Requirement'!CD16))</f>
        <v/>
      </c>
      <c r="CE16">
        <f>IF(COUNTIFS(T_StockCount[RM_Code],$A16,T_StockCount[WeekIndex],82)&gt;0,SUMIFS(T_StockCount[CountedQty],T_StockCount[RM_Code],$A16,T_StockCount[WeekIndex],82),IF((COUNTIFS(T_SelfStock[RM_Code],$A16,T_SelfStock[WeekIndex],82)&gt;0)*(COUNTIFS(T_TTAFStock[RM_Code],$A16,T_TTAFStock[WeekIndex],82)&gt;0)&gt;0,SUMIFS(T_SelfStock[Self_Qty],T_SelfStock[RM_Code],$A16,T_SelfStock[WeekIndex],82)+SUMIFS(T_TTAFStock[TTAF_Qty],T_TTAFStock[RM_Code],$A16,T_TTAFStock[WeekIndex],82),CD16+'Grid_Incoming'!CE16-'Grid_Requirement'!CE16))</f>
        <v/>
      </c>
      <c r="CF16">
        <f>IF(COUNTIFS(T_StockCount[RM_Code],$A16,T_StockCount[WeekIndex],83)&gt;0,SUMIFS(T_StockCount[CountedQty],T_StockCount[RM_Code],$A16,T_StockCount[WeekIndex],83),IF((COUNTIFS(T_SelfStock[RM_Code],$A16,T_SelfStock[WeekIndex],83)&gt;0)*(COUNTIFS(T_TTAFStock[RM_Code],$A16,T_TTAFStock[WeekIndex],83)&gt;0)&gt;0,SUMIFS(T_SelfStock[Self_Qty],T_SelfStock[RM_Code],$A16,T_SelfStock[WeekIndex],83)+SUMIFS(T_TTAFStock[TTAF_Qty],T_TTAFStock[RM_Code],$A16,T_TTAFStock[WeekIndex],83),CE16+'Grid_Incoming'!CF16-'Grid_Requirement'!CF16))</f>
        <v/>
      </c>
      <c r="CG16">
        <f>IF(COUNTIFS(T_StockCount[RM_Code],$A16,T_StockCount[WeekIndex],84)&gt;0,SUMIFS(T_StockCount[CountedQty],T_StockCount[RM_Code],$A16,T_StockCount[WeekIndex],84),IF((COUNTIFS(T_SelfStock[RM_Code],$A16,T_SelfStock[WeekIndex],84)&gt;0)*(COUNTIFS(T_TTAFStock[RM_Code],$A16,T_TTAFStock[WeekIndex],84)&gt;0)&gt;0,SUMIFS(T_SelfStock[Self_Qty],T_SelfStock[RM_Code],$A16,T_SelfStock[WeekIndex],84)+SUMIFS(T_TTAFStock[TTAF_Qty],T_TTAFStock[RM_Code],$A16,T_TTAFStock[WeekIndex],84),CF16+'Grid_Incoming'!CG16-'Grid_Requirement'!CG16))</f>
        <v/>
      </c>
      <c r="CH16">
        <f>IF(COUNTIFS(T_StockCount[RM_Code],$A16,T_StockCount[WeekIndex],85)&gt;0,SUMIFS(T_StockCount[CountedQty],T_StockCount[RM_Code],$A16,T_StockCount[WeekIndex],85),IF((COUNTIFS(T_SelfStock[RM_Code],$A16,T_SelfStock[WeekIndex],85)&gt;0)*(COUNTIFS(T_TTAFStock[RM_Code],$A16,T_TTAFStock[WeekIndex],85)&gt;0)&gt;0,SUMIFS(T_SelfStock[Self_Qty],T_SelfStock[RM_Code],$A16,T_SelfStock[WeekIndex],85)+SUMIFS(T_TTAFStock[TTAF_Qty],T_TTAFStock[RM_Code],$A16,T_TTAFStock[WeekIndex],85),CG16+'Grid_Incoming'!CH16-'Grid_Requirement'!CH16))</f>
        <v/>
      </c>
      <c r="CI16">
        <f>IF(COUNTIFS(T_StockCount[RM_Code],$A16,T_StockCount[WeekIndex],86)&gt;0,SUMIFS(T_StockCount[CountedQty],T_StockCount[RM_Code],$A16,T_StockCount[WeekIndex],86),IF((COUNTIFS(T_SelfStock[RM_Code],$A16,T_SelfStock[WeekIndex],86)&gt;0)*(COUNTIFS(T_TTAFStock[RM_Code],$A16,T_TTAFStock[WeekIndex],86)&gt;0)&gt;0,SUMIFS(T_SelfStock[Self_Qty],T_SelfStock[RM_Code],$A16,T_SelfStock[WeekIndex],86)+SUMIFS(T_TTAFStock[TTAF_Qty],T_TTAFStock[RM_Code],$A16,T_TTAFStock[WeekIndex],86),CH16+'Grid_Incoming'!CI16-'Grid_Requirement'!CI16))</f>
        <v/>
      </c>
      <c r="CJ16">
        <f>IF(COUNTIFS(T_StockCount[RM_Code],$A16,T_StockCount[WeekIndex],87)&gt;0,SUMIFS(T_StockCount[CountedQty],T_StockCount[RM_Code],$A16,T_StockCount[WeekIndex],87),IF((COUNTIFS(T_SelfStock[RM_Code],$A16,T_SelfStock[WeekIndex],87)&gt;0)*(COUNTIFS(T_TTAFStock[RM_Code],$A16,T_TTAFStock[WeekIndex],87)&gt;0)&gt;0,SUMIFS(T_SelfStock[Self_Qty],T_SelfStock[RM_Code],$A16,T_SelfStock[WeekIndex],87)+SUMIFS(T_TTAFStock[TTAF_Qty],T_TTAFStock[RM_Code],$A16,T_TTAFStock[WeekIndex],87),CI16+'Grid_Incoming'!CJ16-'Grid_Requirement'!CJ16))</f>
        <v/>
      </c>
      <c r="CK16">
        <f>IF(COUNTIFS(T_StockCount[RM_Code],$A16,T_StockCount[WeekIndex],88)&gt;0,SUMIFS(T_StockCount[CountedQty],T_StockCount[RM_Code],$A16,T_StockCount[WeekIndex],88),IF((COUNTIFS(T_SelfStock[RM_Code],$A16,T_SelfStock[WeekIndex],88)&gt;0)*(COUNTIFS(T_TTAFStock[RM_Code],$A16,T_TTAFStock[WeekIndex],88)&gt;0)&gt;0,SUMIFS(T_SelfStock[Self_Qty],T_SelfStock[RM_Code],$A16,T_SelfStock[WeekIndex],88)+SUMIFS(T_TTAFStock[TTAF_Qty],T_TTAFStock[RM_Code],$A16,T_TTAFStock[WeekIndex],88),CJ16+'Grid_Incoming'!CK16-'Grid_Requirement'!CK16))</f>
        <v/>
      </c>
      <c r="CL16">
        <f>IF(COUNTIFS(T_StockCount[RM_Code],$A16,T_StockCount[WeekIndex],89)&gt;0,SUMIFS(T_StockCount[CountedQty],T_StockCount[RM_Code],$A16,T_StockCount[WeekIndex],89),IF((COUNTIFS(T_SelfStock[RM_Code],$A16,T_SelfStock[WeekIndex],89)&gt;0)*(COUNTIFS(T_TTAFStock[RM_Code],$A16,T_TTAFStock[WeekIndex],89)&gt;0)&gt;0,SUMIFS(T_SelfStock[Self_Qty],T_SelfStock[RM_Code],$A16,T_SelfStock[WeekIndex],89)+SUMIFS(T_TTAFStock[TTAF_Qty],T_TTAFStock[RM_Code],$A16,T_TTAFStock[WeekIndex],89),CK16+'Grid_Incoming'!CL16-'Grid_Requirement'!CL16))</f>
        <v/>
      </c>
      <c r="CM16">
        <f>IF(COUNTIFS(T_StockCount[RM_Code],$A16,T_StockCount[WeekIndex],90)&gt;0,SUMIFS(T_StockCount[CountedQty],T_StockCount[RM_Code],$A16,T_StockCount[WeekIndex],90),IF((COUNTIFS(T_SelfStock[RM_Code],$A16,T_SelfStock[WeekIndex],90)&gt;0)*(COUNTIFS(T_TTAFStock[RM_Code],$A16,T_TTAFStock[WeekIndex],90)&gt;0)&gt;0,SUMIFS(T_SelfStock[Self_Qty],T_SelfStock[RM_Code],$A16,T_SelfStock[WeekIndex],90)+SUMIFS(T_TTAFStock[TTAF_Qty],T_TTAFStock[RM_Code],$A16,T_TTAFStock[WeekIndex],90),CL16+'Grid_Incoming'!CM16-'Grid_Requirement'!CM16))</f>
        <v/>
      </c>
      <c r="CN16">
        <f>IF(COUNTIFS(T_StockCount[RM_Code],$A16,T_StockCount[WeekIndex],91)&gt;0,SUMIFS(T_StockCount[CountedQty],T_StockCount[RM_Code],$A16,T_StockCount[WeekIndex],91),IF((COUNTIFS(T_SelfStock[RM_Code],$A16,T_SelfStock[WeekIndex],91)&gt;0)*(COUNTIFS(T_TTAFStock[RM_Code],$A16,T_TTAFStock[WeekIndex],91)&gt;0)&gt;0,SUMIFS(T_SelfStock[Self_Qty],T_SelfStock[RM_Code],$A16,T_SelfStock[WeekIndex],91)+SUMIFS(T_TTAFStock[TTAF_Qty],T_TTAFStock[RM_Code],$A16,T_TTAFStock[WeekIndex],91),CM16+'Grid_Incoming'!CN16-'Grid_Requirement'!CN16))</f>
        <v/>
      </c>
      <c r="CO16">
        <f>IF(COUNTIFS(T_StockCount[RM_Code],$A16,T_StockCount[WeekIndex],92)&gt;0,SUMIFS(T_StockCount[CountedQty],T_StockCount[RM_Code],$A16,T_StockCount[WeekIndex],92),IF((COUNTIFS(T_SelfStock[RM_Code],$A16,T_SelfStock[WeekIndex],92)&gt;0)*(COUNTIFS(T_TTAFStock[RM_Code],$A16,T_TTAFStock[WeekIndex],92)&gt;0)&gt;0,SUMIFS(T_SelfStock[Self_Qty],T_SelfStock[RM_Code],$A16,T_SelfStock[WeekIndex],92)+SUMIFS(T_TTAFStock[TTAF_Qty],T_TTAFStock[RM_Code],$A16,T_TTAFStock[WeekIndex],92),CN16+'Grid_Incoming'!CO16-'Grid_Requirement'!CO16))</f>
        <v/>
      </c>
      <c r="CP16">
        <f>IF(COUNTIFS(T_StockCount[RM_Code],$A16,T_StockCount[WeekIndex],93)&gt;0,SUMIFS(T_StockCount[CountedQty],T_StockCount[RM_Code],$A16,T_StockCount[WeekIndex],93),IF((COUNTIFS(T_SelfStock[RM_Code],$A16,T_SelfStock[WeekIndex],93)&gt;0)*(COUNTIFS(T_TTAFStock[RM_Code],$A16,T_TTAFStock[WeekIndex],93)&gt;0)&gt;0,SUMIFS(T_SelfStock[Self_Qty],T_SelfStock[RM_Code],$A16,T_SelfStock[WeekIndex],93)+SUMIFS(T_TTAFStock[TTAF_Qty],T_TTAFStock[RM_Code],$A16,T_TTAFStock[WeekIndex],93),CO16+'Grid_Incoming'!CP16-'Grid_Requirement'!CP16))</f>
        <v/>
      </c>
      <c r="CQ16">
        <f>IF(COUNTIFS(T_StockCount[RM_Code],$A16,T_StockCount[WeekIndex],94)&gt;0,SUMIFS(T_StockCount[CountedQty],T_StockCount[RM_Code],$A16,T_StockCount[WeekIndex],94),IF((COUNTIFS(T_SelfStock[RM_Code],$A16,T_SelfStock[WeekIndex],94)&gt;0)*(COUNTIFS(T_TTAFStock[RM_Code],$A16,T_TTAFStock[WeekIndex],94)&gt;0)&gt;0,SUMIFS(T_SelfStock[Self_Qty],T_SelfStock[RM_Code],$A16,T_SelfStock[WeekIndex],94)+SUMIFS(T_TTAFStock[TTAF_Qty],T_TTAFStock[RM_Code],$A16,T_TTAFStock[WeekIndex],94),CP16+'Grid_Incoming'!CQ16-'Grid_Requirement'!CQ16))</f>
        <v/>
      </c>
      <c r="CR16">
        <f>IF(COUNTIFS(T_StockCount[RM_Code],$A16,T_StockCount[WeekIndex],95)&gt;0,SUMIFS(T_StockCount[CountedQty],T_StockCount[RM_Code],$A16,T_StockCount[WeekIndex],95),IF((COUNTIFS(T_SelfStock[RM_Code],$A16,T_SelfStock[WeekIndex],95)&gt;0)*(COUNTIFS(T_TTAFStock[RM_Code],$A16,T_TTAFStock[WeekIndex],95)&gt;0)&gt;0,SUMIFS(T_SelfStock[Self_Qty],T_SelfStock[RM_Code],$A16,T_SelfStock[WeekIndex],95)+SUMIFS(T_TTAFStock[TTAF_Qty],T_TTAFStock[RM_Code],$A16,T_TTAFStock[WeekIndex],95),CQ16+'Grid_Incoming'!CR16-'Grid_Requirement'!CR16))</f>
        <v/>
      </c>
      <c r="CS16">
        <f>IF(COUNTIFS(T_StockCount[RM_Code],$A16,T_StockCount[WeekIndex],96)&gt;0,SUMIFS(T_StockCount[CountedQty],T_StockCount[RM_Code],$A16,T_StockCount[WeekIndex],96),IF((COUNTIFS(T_SelfStock[RM_Code],$A16,T_SelfStock[WeekIndex],96)&gt;0)*(COUNTIFS(T_TTAFStock[RM_Code],$A16,T_TTAFStock[WeekIndex],96)&gt;0)&gt;0,SUMIFS(T_SelfStock[Self_Qty],T_SelfStock[RM_Code],$A16,T_SelfStock[WeekIndex],96)+SUMIFS(T_TTAFStock[TTAF_Qty],T_TTAFStock[RM_Code],$A16,T_TTAFStock[WeekIndex],96),CR16+'Grid_Incoming'!CS16-'Grid_Requirement'!CS16))</f>
        <v/>
      </c>
      <c r="CT16">
        <f>IF(COUNTIFS(T_StockCount[RM_Code],$A16,T_StockCount[WeekIndex],97)&gt;0,SUMIFS(T_StockCount[CountedQty],T_StockCount[RM_Code],$A16,T_StockCount[WeekIndex],97),IF((COUNTIFS(T_SelfStock[RM_Code],$A16,T_SelfStock[WeekIndex],97)&gt;0)*(COUNTIFS(T_TTAFStock[RM_Code],$A16,T_TTAFStock[WeekIndex],97)&gt;0)&gt;0,SUMIFS(T_SelfStock[Self_Qty],T_SelfStock[RM_Code],$A16,T_SelfStock[WeekIndex],97)+SUMIFS(T_TTAFStock[TTAF_Qty],T_TTAFStock[RM_Code],$A16,T_TTAFStock[WeekIndex],97),CS16+'Grid_Incoming'!CT16-'Grid_Requirement'!CT16))</f>
        <v/>
      </c>
      <c r="CU16">
        <f>IF(COUNTIFS(T_StockCount[RM_Code],$A16,T_StockCount[WeekIndex],98)&gt;0,SUMIFS(T_StockCount[CountedQty],T_StockCount[RM_Code],$A16,T_StockCount[WeekIndex],98),IF((COUNTIFS(T_SelfStock[RM_Code],$A16,T_SelfStock[WeekIndex],98)&gt;0)*(COUNTIFS(T_TTAFStock[RM_Code],$A16,T_TTAFStock[WeekIndex],98)&gt;0)&gt;0,SUMIFS(T_SelfStock[Self_Qty],T_SelfStock[RM_Code],$A16,T_SelfStock[WeekIndex],98)+SUMIFS(T_TTAFStock[TTAF_Qty],T_TTAFStock[RM_Code],$A16,T_TTAFStock[WeekIndex],98),CT16+'Grid_Incoming'!CU16-'Grid_Requirement'!CU16))</f>
        <v/>
      </c>
      <c r="CV16">
        <f>IF(COUNTIFS(T_StockCount[RM_Code],$A16,T_StockCount[WeekIndex],99)&gt;0,SUMIFS(T_StockCount[CountedQty],T_StockCount[RM_Code],$A16,T_StockCount[WeekIndex],99),IF((COUNTIFS(T_SelfStock[RM_Code],$A16,T_SelfStock[WeekIndex],99)&gt;0)*(COUNTIFS(T_TTAFStock[RM_Code],$A16,T_TTAFStock[WeekIndex],99)&gt;0)&gt;0,SUMIFS(T_SelfStock[Self_Qty],T_SelfStock[RM_Code],$A16,T_SelfStock[WeekIndex],99)+SUMIFS(T_TTAFStock[TTAF_Qty],T_TTAFStock[RM_Code],$A16,T_TTAFStock[WeekIndex],99),CU16+'Grid_Incoming'!CV16-'Grid_Requirement'!CV16))</f>
        <v/>
      </c>
      <c r="CW16">
        <f>IF(COUNTIFS(T_StockCount[RM_Code],$A16,T_StockCount[WeekIndex],100)&gt;0,SUMIFS(T_StockCount[CountedQty],T_StockCount[RM_Code],$A16,T_StockCount[WeekIndex],100),IF((COUNTIFS(T_SelfStock[RM_Code],$A16,T_SelfStock[WeekIndex],100)&gt;0)*(COUNTIFS(T_TTAFStock[RM_Code],$A16,T_TTAFStock[WeekIndex],100)&gt;0)&gt;0,SUMIFS(T_SelfStock[Self_Qty],T_SelfStock[RM_Code],$A16,T_SelfStock[WeekIndex],100)+SUMIFS(T_TTAFStock[TTAF_Qty],T_TTAFStock[RM_Code],$A16,T_TTAFStock[WeekIndex],100),CV16+'Grid_Incoming'!CW16-'Grid_Requirement'!CW16))</f>
        <v/>
      </c>
      <c r="CX16">
        <f>IF(COUNTIFS(T_StockCount[RM_Code],$A16,T_StockCount[WeekIndex],101)&gt;0,SUMIFS(T_StockCount[CountedQty],T_StockCount[RM_Code],$A16,T_StockCount[WeekIndex],101),IF((COUNTIFS(T_SelfStock[RM_Code],$A16,T_SelfStock[WeekIndex],101)&gt;0)*(COUNTIFS(T_TTAFStock[RM_Code],$A16,T_TTAFStock[WeekIndex],101)&gt;0)&gt;0,SUMIFS(T_SelfStock[Self_Qty],T_SelfStock[RM_Code],$A16,T_SelfStock[WeekIndex],101)+SUMIFS(T_TTAFStock[TTAF_Qty],T_TTAFStock[RM_Code],$A16,T_TTAFStock[WeekIndex],101),CW16+'Grid_Incoming'!CX16-'Grid_Requirement'!CX16))</f>
        <v/>
      </c>
      <c r="CY16">
        <f>IF(COUNTIFS(T_StockCount[RM_Code],$A16,T_StockCount[WeekIndex],102)&gt;0,SUMIFS(T_StockCount[CountedQty],T_StockCount[RM_Code],$A16,T_StockCount[WeekIndex],102),IF((COUNTIFS(T_SelfStock[RM_Code],$A16,T_SelfStock[WeekIndex],102)&gt;0)*(COUNTIFS(T_TTAFStock[RM_Code],$A16,T_TTAFStock[WeekIndex],102)&gt;0)&gt;0,SUMIFS(T_SelfStock[Self_Qty],T_SelfStock[RM_Code],$A16,T_SelfStock[WeekIndex],102)+SUMIFS(T_TTAFStock[TTAF_Qty],T_TTAFStock[RM_Code],$A16,T_TTAFStock[WeekIndex],102),CX16+'Grid_Incoming'!CY16-'Grid_Requirement'!CY16))</f>
        <v/>
      </c>
      <c r="CZ16">
        <f>IF(COUNTIFS(T_StockCount[RM_Code],$A16,T_StockCount[WeekIndex],103)&gt;0,SUMIFS(T_StockCount[CountedQty],T_StockCount[RM_Code],$A16,T_StockCount[WeekIndex],103),IF((COUNTIFS(T_SelfStock[RM_Code],$A16,T_SelfStock[WeekIndex],103)&gt;0)*(COUNTIFS(T_TTAFStock[RM_Code],$A16,T_TTAFStock[WeekIndex],103)&gt;0)&gt;0,SUMIFS(T_SelfStock[Self_Qty],T_SelfStock[RM_Code],$A16,T_SelfStock[WeekIndex],103)+SUMIFS(T_TTAFStock[TTAF_Qty],T_TTAFStock[RM_Code],$A16,T_TTAFStock[WeekIndex],103),CY16+'Grid_Incoming'!CZ16-'Grid_Requirement'!CZ16))</f>
        <v/>
      </c>
      <c r="DA16">
        <f>IF(COUNTIFS(T_StockCount[RM_Code],$A16,T_StockCount[WeekIndex],104)&gt;0,SUMIFS(T_StockCount[CountedQty],T_StockCount[RM_Code],$A16,T_StockCount[WeekIndex],104),IF((COUNTIFS(T_SelfStock[RM_Code],$A16,T_SelfStock[WeekIndex],104)&gt;0)*(COUNTIFS(T_TTAFStock[RM_Code],$A16,T_TTAFStock[WeekIndex],104)&gt;0)&gt;0,SUMIFS(T_SelfStock[Self_Qty],T_SelfStock[RM_Code],$A16,T_SelfStock[WeekIndex],104)+SUMIFS(T_TTAFStock[TTAF_Qty],T_TTAFStock[RM_Code],$A16,T_TTAFStock[WeekIndex],104),CZ16+'Grid_Incoming'!DA16-'Grid_Requirement'!DA16))</f>
        <v/>
      </c>
    </row>
    <row r="17">
      <c r="A17" t="inlineStr">
        <is>
          <t>F2290</t>
        </is>
      </c>
      <c r="B17">
        <f>IF(COUNTIFS(T_StockCount[RM_Code],$A17,T_StockCount[WeekIndex],1)&gt;0,SUMIFS(T_StockCount[CountedQty],T_StockCount[RM_Code],$A17,T_StockCount[WeekIndex],1),IF((COUNTIFS(T_SelfStock[RM_Code],$A17,T_SelfStock[WeekIndex],1)&gt;0)*(COUNTIFS(T_TTAFStock[RM_Code],$A17,T_TTAFStock[WeekIndex],1)&gt;0)&gt;0,SUMIFS(T_SelfStock[Self_Qty],T_SelfStock[RM_Code],$A17,T_SelfStock[WeekIndex],1)+SUMIFS(T_TTAFStock[TTAF_Qty],T_TTAFStock[RM_Code],$A17,T_TTAFStock[WeekIndex],1),IFERROR(INDEX(T_OpeningStock[Opening_Qty],MATCH($A17,T_OpeningStock[RM_Code],0)),0)+'Grid_Incoming'!B17-'Grid_Requirement'!B17))</f>
        <v/>
      </c>
      <c r="C17">
        <f>IF(COUNTIFS(T_StockCount[RM_Code],$A17,T_StockCount[WeekIndex],2)&gt;0,SUMIFS(T_StockCount[CountedQty],T_StockCount[RM_Code],$A17,T_StockCount[WeekIndex],2),IF((COUNTIFS(T_SelfStock[RM_Code],$A17,T_SelfStock[WeekIndex],2)&gt;0)*(COUNTIFS(T_TTAFStock[RM_Code],$A17,T_TTAFStock[WeekIndex],2)&gt;0)&gt;0,SUMIFS(T_SelfStock[Self_Qty],T_SelfStock[RM_Code],$A17,T_SelfStock[WeekIndex],2)+SUMIFS(T_TTAFStock[TTAF_Qty],T_TTAFStock[RM_Code],$A17,T_TTAFStock[WeekIndex],2),B17+'Grid_Incoming'!C17-'Grid_Requirement'!C17))</f>
        <v/>
      </c>
      <c r="D17">
        <f>IF(COUNTIFS(T_StockCount[RM_Code],$A17,T_StockCount[WeekIndex],3)&gt;0,SUMIFS(T_StockCount[CountedQty],T_StockCount[RM_Code],$A17,T_StockCount[WeekIndex],3),IF((COUNTIFS(T_SelfStock[RM_Code],$A17,T_SelfStock[WeekIndex],3)&gt;0)*(COUNTIFS(T_TTAFStock[RM_Code],$A17,T_TTAFStock[WeekIndex],3)&gt;0)&gt;0,SUMIFS(T_SelfStock[Self_Qty],T_SelfStock[RM_Code],$A17,T_SelfStock[WeekIndex],3)+SUMIFS(T_TTAFStock[TTAF_Qty],T_TTAFStock[RM_Code],$A17,T_TTAFStock[WeekIndex],3),C17+'Grid_Incoming'!D17-'Grid_Requirement'!D17))</f>
        <v/>
      </c>
      <c r="E17">
        <f>IF(COUNTIFS(T_StockCount[RM_Code],$A17,T_StockCount[WeekIndex],4)&gt;0,SUMIFS(T_StockCount[CountedQty],T_StockCount[RM_Code],$A17,T_StockCount[WeekIndex],4),IF((COUNTIFS(T_SelfStock[RM_Code],$A17,T_SelfStock[WeekIndex],4)&gt;0)*(COUNTIFS(T_TTAFStock[RM_Code],$A17,T_TTAFStock[WeekIndex],4)&gt;0)&gt;0,SUMIFS(T_SelfStock[Self_Qty],T_SelfStock[RM_Code],$A17,T_SelfStock[WeekIndex],4)+SUMIFS(T_TTAFStock[TTAF_Qty],T_TTAFStock[RM_Code],$A17,T_TTAFStock[WeekIndex],4),D17+'Grid_Incoming'!E17-'Grid_Requirement'!E17))</f>
        <v/>
      </c>
      <c r="F17">
        <f>IF(COUNTIFS(T_StockCount[RM_Code],$A17,T_StockCount[WeekIndex],5)&gt;0,SUMIFS(T_StockCount[CountedQty],T_StockCount[RM_Code],$A17,T_StockCount[WeekIndex],5),IF((COUNTIFS(T_SelfStock[RM_Code],$A17,T_SelfStock[WeekIndex],5)&gt;0)*(COUNTIFS(T_TTAFStock[RM_Code],$A17,T_TTAFStock[WeekIndex],5)&gt;0)&gt;0,SUMIFS(T_SelfStock[Self_Qty],T_SelfStock[RM_Code],$A17,T_SelfStock[WeekIndex],5)+SUMIFS(T_TTAFStock[TTAF_Qty],T_TTAFStock[RM_Code],$A17,T_TTAFStock[WeekIndex],5),E17+'Grid_Incoming'!F17-'Grid_Requirement'!F17))</f>
        <v/>
      </c>
      <c r="G17">
        <f>IF(COUNTIFS(T_StockCount[RM_Code],$A17,T_StockCount[WeekIndex],6)&gt;0,SUMIFS(T_StockCount[CountedQty],T_StockCount[RM_Code],$A17,T_StockCount[WeekIndex],6),IF((COUNTIFS(T_SelfStock[RM_Code],$A17,T_SelfStock[WeekIndex],6)&gt;0)*(COUNTIFS(T_TTAFStock[RM_Code],$A17,T_TTAFStock[WeekIndex],6)&gt;0)&gt;0,SUMIFS(T_SelfStock[Self_Qty],T_SelfStock[RM_Code],$A17,T_SelfStock[WeekIndex],6)+SUMIFS(T_TTAFStock[TTAF_Qty],T_TTAFStock[RM_Code],$A17,T_TTAFStock[WeekIndex],6),F17+'Grid_Incoming'!G17-'Grid_Requirement'!G17))</f>
        <v/>
      </c>
      <c r="H17">
        <f>IF(COUNTIFS(T_StockCount[RM_Code],$A17,T_StockCount[WeekIndex],7)&gt;0,SUMIFS(T_StockCount[CountedQty],T_StockCount[RM_Code],$A17,T_StockCount[WeekIndex],7),IF((COUNTIFS(T_SelfStock[RM_Code],$A17,T_SelfStock[WeekIndex],7)&gt;0)*(COUNTIFS(T_TTAFStock[RM_Code],$A17,T_TTAFStock[WeekIndex],7)&gt;0)&gt;0,SUMIFS(T_SelfStock[Self_Qty],T_SelfStock[RM_Code],$A17,T_SelfStock[WeekIndex],7)+SUMIFS(T_TTAFStock[TTAF_Qty],T_TTAFStock[RM_Code],$A17,T_TTAFStock[WeekIndex],7),G17+'Grid_Incoming'!H17-'Grid_Requirement'!H17))</f>
        <v/>
      </c>
      <c r="I17">
        <f>IF(COUNTIFS(T_StockCount[RM_Code],$A17,T_StockCount[WeekIndex],8)&gt;0,SUMIFS(T_StockCount[CountedQty],T_StockCount[RM_Code],$A17,T_StockCount[WeekIndex],8),IF((COUNTIFS(T_SelfStock[RM_Code],$A17,T_SelfStock[WeekIndex],8)&gt;0)*(COUNTIFS(T_TTAFStock[RM_Code],$A17,T_TTAFStock[WeekIndex],8)&gt;0)&gt;0,SUMIFS(T_SelfStock[Self_Qty],T_SelfStock[RM_Code],$A17,T_SelfStock[WeekIndex],8)+SUMIFS(T_TTAFStock[TTAF_Qty],T_TTAFStock[RM_Code],$A17,T_TTAFStock[WeekIndex],8),H17+'Grid_Incoming'!I17-'Grid_Requirement'!I17))</f>
        <v/>
      </c>
      <c r="J17">
        <f>IF(COUNTIFS(T_StockCount[RM_Code],$A17,T_StockCount[WeekIndex],9)&gt;0,SUMIFS(T_StockCount[CountedQty],T_StockCount[RM_Code],$A17,T_StockCount[WeekIndex],9),IF((COUNTIFS(T_SelfStock[RM_Code],$A17,T_SelfStock[WeekIndex],9)&gt;0)*(COUNTIFS(T_TTAFStock[RM_Code],$A17,T_TTAFStock[WeekIndex],9)&gt;0)&gt;0,SUMIFS(T_SelfStock[Self_Qty],T_SelfStock[RM_Code],$A17,T_SelfStock[WeekIndex],9)+SUMIFS(T_TTAFStock[TTAF_Qty],T_TTAFStock[RM_Code],$A17,T_TTAFStock[WeekIndex],9),I17+'Grid_Incoming'!J17-'Grid_Requirement'!J17))</f>
        <v/>
      </c>
      <c r="K17">
        <f>IF(COUNTIFS(T_StockCount[RM_Code],$A17,T_StockCount[WeekIndex],10)&gt;0,SUMIFS(T_StockCount[CountedQty],T_StockCount[RM_Code],$A17,T_StockCount[WeekIndex],10),IF((COUNTIFS(T_SelfStock[RM_Code],$A17,T_SelfStock[WeekIndex],10)&gt;0)*(COUNTIFS(T_TTAFStock[RM_Code],$A17,T_TTAFStock[WeekIndex],10)&gt;0)&gt;0,SUMIFS(T_SelfStock[Self_Qty],T_SelfStock[RM_Code],$A17,T_SelfStock[WeekIndex],10)+SUMIFS(T_TTAFStock[TTAF_Qty],T_TTAFStock[RM_Code],$A17,T_TTAFStock[WeekIndex],10),J17+'Grid_Incoming'!K17-'Grid_Requirement'!K17))</f>
        <v/>
      </c>
      <c r="L17">
        <f>IF(COUNTIFS(T_StockCount[RM_Code],$A17,T_StockCount[WeekIndex],11)&gt;0,SUMIFS(T_StockCount[CountedQty],T_StockCount[RM_Code],$A17,T_StockCount[WeekIndex],11),IF((COUNTIFS(T_SelfStock[RM_Code],$A17,T_SelfStock[WeekIndex],11)&gt;0)*(COUNTIFS(T_TTAFStock[RM_Code],$A17,T_TTAFStock[WeekIndex],11)&gt;0)&gt;0,SUMIFS(T_SelfStock[Self_Qty],T_SelfStock[RM_Code],$A17,T_SelfStock[WeekIndex],11)+SUMIFS(T_TTAFStock[TTAF_Qty],T_TTAFStock[RM_Code],$A17,T_TTAFStock[WeekIndex],11),K17+'Grid_Incoming'!L17-'Grid_Requirement'!L17))</f>
        <v/>
      </c>
      <c r="M17">
        <f>IF(COUNTIFS(T_StockCount[RM_Code],$A17,T_StockCount[WeekIndex],12)&gt;0,SUMIFS(T_StockCount[CountedQty],T_StockCount[RM_Code],$A17,T_StockCount[WeekIndex],12),IF((COUNTIFS(T_SelfStock[RM_Code],$A17,T_SelfStock[WeekIndex],12)&gt;0)*(COUNTIFS(T_TTAFStock[RM_Code],$A17,T_TTAFStock[WeekIndex],12)&gt;0)&gt;0,SUMIFS(T_SelfStock[Self_Qty],T_SelfStock[RM_Code],$A17,T_SelfStock[WeekIndex],12)+SUMIFS(T_TTAFStock[TTAF_Qty],T_TTAFStock[RM_Code],$A17,T_TTAFStock[WeekIndex],12),L17+'Grid_Incoming'!M17-'Grid_Requirement'!M17))</f>
        <v/>
      </c>
      <c r="N17">
        <f>IF(COUNTIFS(T_StockCount[RM_Code],$A17,T_StockCount[WeekIndex],13)&gt;0,SUMIFS(T_StockCount[CountedQty],T_StockCount[RM_Code],$A17,T_StockCount[WeekIndex],13),IF((COUNTIFS(T_SelfStock[RM_Code],$A17,T_SelfStock[WeekIndex],13)&gt;0)*(COUNTIFS(T_TTAFStock[RM_Code],$A17,T_TTAFStock[WeekIndex],13)&gt;0)&gt;0,SUMIFS(T_SelfStock[Self_Qty],T_SelfStock[RM_Code],$A17,T_SelfStock[WeekIndex],13)+SUMIFS(T_TTAFStock[TTAF_Qty],T_TTAFStock[RM_Code],$A17,T_TTAFStock[WeekIndex],13),M17+'Grid_Incoming'!N17-'Grid_Requirement'!N17))</f>
        <v/>
      </c>
      <c r="O17">
        <f>IF(COUNTIFS(T_StockCount[RM_Code],$A17,T_StockCount[WeekIndex],14)&gt;0,SUMIFS(T_StockCount[CountedQty],T_StockCount[RM_Code],$A17,T_StockCount[WeekIndex],14),IF((COUNTIFS(T_SelfStock[RM_Code],$A17,T_SelfStock[WeekIndex],14)&gt;0)*(COUNTIFS(T_TTAFStock[RM_Code],$A17,T_TTAFStock[WeekIndex],14)&gt;0)&gt;0,SUMIFS(T_SelfStock[Self_Qty],T_SelfStock[RM_Code],$A17,T_SelfStock[WeekIndex],14)+SUMIFS(T_TTAFStock[TTAF_Qty],T_TTAFStock[RM_Code],$A17,T_TTAFStock[WeekIndex],14),N17+'Grid_Incoming'!O17-'Grid_Requirement'!O17))</f>
        <v/>
      </c>
      <c r="P17">
        <f>IF(COUNTIFS(T_StockCount[RM_Code],$A17,T_StockCount[WeekIndex],15)&gt;0,SUMIFS(T_StockCount[CountedQty],T_StockCount[RM_Code],$A17,T_StockCount[WeekIndex],15),IF((COUNTIFS(T_SelfStock[RM_Code],$A17,T_SelfStock[WeekIndex],15)&gt;0)*(COUNTIFS(T_TTAFStock[RM_Code],$A17,T_TTAFStock[WeekIndex],15)&gt;0)&gt;0,SUMIFS(T_SelfStock[Self_Qty],T_SelfStock[RM_Code],$A17,T_SelfStock[WeekIndex],15)+SUMIFS(T_TTAFStock[TTAF_Qty],T_TTAFStock[RM_Code],$A17,T_TTAFStock[WeekIndex],15),O17+'Grid_Incoming'!P17-'Grid_Requirement'!P17))</f>
        <v/>
      </c>
      <c r="Q17">
        <f>IF(COUNTIFS(T_StockCount[RM_Code],$A17,T_StockCount[WeekIndex],16)&gt;0,SUMIFS(T_StockCount[CountedQty],T_StockCount[RM_Code],$A17,T_StockCount[WeekIndex],16),IF((COUNTIFS(T_SelfStock[RM_Code],$A17,T_SelfStock[WeekIndex],16)&gt;0)*(COUNTIFS(T_TTAFStock[RM_Code],$A17,T_TTAFStock[WeekIndex],16)&gt;0)&gt;0,SUMIFS(T_SelfStock[Self_Qty],T_SelfStock[RM_Code],$A17,T_SelfStock[WeekIndex],16)+SUMIFS(T_TTAFStock[TTAF_Qty],T_TTAFStock[RM_Code],$A17,T_TTAFStock[WeekIndex],16),P17+'Grid_Incoming'!Q17-'Grid_Requirement'!Q17))</f>
        <v/>
      </c>
      <c r="R17">
        <f>IF(COUNTIFS(T_StockCount[RM_Code],$A17,T_StockCount[WeekIndex],17)&gt;0,SUMIFS(T_StockCount[CountedQty],T_StockCount[RM_Code],$A17,T_StockCount[WeekIndex],17),IF((COUNTIFS(T_SelfStock[RM_Code],$A17,T_SelfStock[WeekIndex],17)&gt;0)*(COUNTIFS(T_TTAFStock[RM_Code],$A17,T_TTAFStock[WeekIndex],17)&gt;0)&gt;0,SUMIFS(T_SelfStock[Self_Qty],T_SelfStock[RM_Code],$A17,T_SelfStock[WeekIndex],17)+SUMIFS(T_TTAFStock[TTAF_Qty],T_TTAFStock[RM_Code],$A17,T_TTAFStock[WeekIndex],17),Q17+'Grid_Incoming'!R17-'Grid_Requirement'!R17))</f>
        <v/>
      </c>
      <c r="S17">
        <f>IF(COUNTIFS(T_StockCount[RM_Code],$A17,T_StockCount[WeekIndex],18)&gt;0,SUMIFS(T_StockCount[CountedQty],T_StockCount[RM_Code],$A17,T_StockCount[WeekIndex],18),IF((COUNTIFS(T_SelfStock[RM_Code],$A17,T_SelfStock[WeekIndex],18)&gt;0)*(COUNTIFS(T_TTAFStock[RM_Code],$A17,T_TTAFStock[WeekIndex],18)&gt;0)&gt;0,SUMIFS(T_SelfStock[Self_Qty],T_SelfStock[RM_Code],$A17,T_SelfStock[WeekIndex],18)+SUMIFS(T_TTAFStock[TTAF_Qty],T_TTAFStock[RM_Code],$A17,T_TTAFStock[WeekIndex],18),R17+'Grid_Incoming'!S17-'Grid_Requirement'!S17))</f>
        <v/>
      </c>
      <c r="T17">
        <f>IF(COUNTIFS(T_StockCount[RM_Code],$A17,T_StockCount[WeekIndex],19)&gt;0,SUMIFS(T_StockCount[CountedQty],T_StockCount[RM_Code],$A17,T_StockCount[WeekIndex],19),IF((COUNTIFS(T_SelfStock[RM_Code],$A17,T_SelfStock[WeekIndex],19)&gt;0)*(COUNTIFS(T_TTAFStock[RM_Code],$A17,T_TTAFStock[WeekIndex],19)&gt;0)&gt;0,SUMIFS(T_SelfStock[Self_Qty],T_SelfStock[RM_Code],$A17,T_SelfStock[WeekIndex],19)+SUMIFS(T_TTAFStock[TTAF_Qty],T_TTAFStock[RM_Code],$A17,T_TTAFStock[WeekIndex],19),S17+'Grid_Incoming'!T17-'Grid_Requirement'!T17))</f>
        <v/>
      </c>
      <c r="U17">
        <f>IF(COUNTIFS(T_StockCount[RM_Code],$A17,T_StockCount[WeekIndex],20)&gt;0,SUMIFS(T_StockCount[CountedQty],T_StockCount[RM_Code],$A17,T_StockCount[WeekIndex],20),IF((COUNTIFS(T_SelfStock[RM_Code],$A17,T_SelfStock[WeekIndex],20)&gt;0)*(COUNTIFS(T_TTAFStock[RM_Code],$A17,T_TTAFStock[WeekIndex],20)&gt;0)&gt;0,SUMIFS(T_SelfStock[Self_Qty],T_SelfStock[RM_Code],$A17,T_SelfStock[WeekIndex],20)+SUMIFS(T_TTAFStock[TTAF_Qty],T_TTAFStock[RM_Code],$A17,T_TTAFStock[WeekIndex],20),T17+'Grid_Incoming'!U17-'Grid_Requirement'!U17))</f>
        <v/>
      </c>
      <c r="V17">
        <f>IF(COUNTIFS(T_StockCount[RM_Code],$A17,T_StockCount[WeekIndex],21)&gt;0,SUMIFS(T_StockCount[CountedQty],T_StockCount[RM_Code],$A17,T_StockCount[WeekIndex],21),IF((COUNTIFS(T_SelfStock[RM_Code],$A17,T_SelfStock[WeekIndex],21)&gt;0)*(COUNTIFS(T_TTAFStock[RM_Code],$A17,T_TTAFStock[WeekIndex],21)&gt;0)&gt;0,SUMIFS(T_SelfStock[Self_Qty],T_SelfStock[RM_Code],$A17,T_SelfStock[WeekIndex],21)+SUMIFS(T_TTAFStock[TTAF_Qty],T_TTAFStock[RM_Code],$A17,T_TTAFStock[WeekIndex],21),U17+'Grid_Incoming'!V17-'Grid_Requirement'!V17))</f>
        <v/>
      </c>
      <c r="W17">
        <f>IF(COUNTIFS(T_StockCount[RM_Code],$A17,T_StockCount[WeekIndex],22)&gt;0,SUMIFS(T_StockCount[CountedQty],T_StockCount[RM_Code],$A17,T_StockCount[WeekIndex],22),IF((COUNTIFS(T_SelfStock[RM_Code],$A17,T_SelfStock[WeekIndex],22)&gt;0)*(COUNTIFS(T_TTAFStock[RM_Code],$A17,T_TTAFStock[WeekIndex],22)&gt;0)&gt;0,SUMIFS(T_SelfStock[Self_Qty],T_SelfStock[RM_Code],$A17,T_SelfStock[WeekIndex],22)+SUMIFS(T_TTAFStock[TTAF_Qty],T_TTAFStock[RM_Code],$A17,T_TTAFStock[WeekIndex],22),V17+'Grid_Incoming'!W17-'Grid_Requirement'!W17))</f>
        <v/>
      </c>
      <c r="X17">
        <f>IF(COUNTIFS(T_StockCount[RM_Code],$A17,T_StockCount[WeekIndex],23)&gt;0,SUMIFS(T_StockCount[CountedQty],T_StockCount[RM_Code],$A17,T_StockCount[WeekIndex],23),IF((COUNTIFS(T_SelfStock[RM_Code],$A17,T_SelfStock[WeekIndex],23)&gt;0)*(COUNTIFS(T_TTAFStock[RM_Code],$A17,T_TTAFStock[WeekIndex],23)&gt;0)&gt;0,SUMIFS(T_SelfStock[Self_Qty],T_SelfStock[RM_Code],$A17,T_SelfStock[WeekIndex],23)+SUMIFS(T_TTAFStock[TTAF_Qty],T_TTAFStock[RM_Code],$A17,T_TTAFStock[WeekIndex],23),W17+'Grid_Incoming'!X17-'Grid_Requirement'!X17))</f>
        <v/>
      </c>
      <c r="Y17">
        <f>IF(COUNTIFS(T_StockCount[RM_Code],$A17,T_StockCount[WeekIndex],24)&gt;0,SUMIFS(T_StockCount[CountedQty],T_StockCount[RM_Code],$A17,T_StockCount[WeekIndex],24),IF((COUNTIFS(T_SelfStock[RM_Code],$A17,T_SelfStock[WeekIndex],24)&gt;0)*(COUNTIFS(T_TTAFStock[RM_Code],$A17,T_TTAFStock[WeekIndex],24)&gt;0)&gt;0,SUMIFS(T_SelfStock[Self_Qty],T_SelfStock[RM_Code],$A17,T_SelfStock[WeekIndex],24)+SUMIFS(T_TTAFStock[TTAF_Qty],T_TTAFStock[RM_Code],$A17,T_TTAFStock[WeekIndex],24),X17+'Grid_Incoming'!Y17-'Grid_Requirement'!Y17))</f>
        <v/>
      </c>
      <c r="Z17">
        <f>IF(COUNTIFS(T_StockCount[RM_Code],$A17,T_StockCount[WeekIndex],25)&gt;0,SUMIFS(T_StockCount[CountedQty],T_StockCount[RM_Code],$A17,T_StockCount[WeekIndex],25),IF((COUNTIFS(T_SelfStock[RM_Code],$A17,T_SelfStock[WeekIndex],25)&gt;0)*(COUNTIFS(T_TTAFStock[RM_Code],$A17,T_TTAFStock[WeekIndex],25)&gt;0)&gt;0,SUMIFS(T_SelfStock[Self_Qty],T_SelfStock[RM_Code],$A17,T_SelfStock[WeekIndex],25)+SUMIFS(T_TTAFStock[TTAF_Qty],T_TTAFStock[RM_Code],$A17,T_TTAFStock[WeekIndex],25),Y17+'Grid_Incoming'!Z17-'Grid_Requirement'!Z17))</f>
        <v/>
      </c>
      <c r="AA17">
        <f>IF(COUNTIFS(T_StockCount[RM_Code],$A17,T_StockCount[WeekIndex],26)&gt;0,SUMIFS(T_StockCount[CountedQty],T_StockCount[RM_Code],$A17,T_StockCount[WeekIndex],26),IF((COUNTIFS(T_SelfStock[RM_Code],$A17,T_SelfStock[WeekIndex],26)&gt;0)*(COUNTIFS(T_TTAFStock[RM_Code],$A17,T_TTAFStock[WeekIndex],26)&gt;0)&gt;0,SUMIFS(T_SelfStock[Self_Qty],T_SelfStock[RM_Code],$A17,T_SelfStock[WeekIndex],26)+SUMIFS(T_TTAFStock[TTAF_Qty],T_TTAFStock[RM_Code],$A17,T_TTAFStock[WeekIndex],26),Z17+'Grid_Incoming'!AA17-'Grid_Requirement'!AA17))</f>
        <v/>
      </c>
      <c r="AB17">
        <f>IF(COUNTIFS(T_StockCount[RM_Code],$A17,T_StockCount[WeekIndex],27)&gt;0,SUMIFS(T_StockCount[CountedQty],T_StockCount[RM_Code],$A17,T_StockCount[WeekIndex],27),IF((COUNTIFS(T_SelfStock[RM_Code],$A17,T_SelfStock[WeekIndex],27)&gt;0)*(COUNTIFS(T_TTAFStock[RM_Code],$A17,T_TTAFStock[WeekIndex],27)&gt;0)&gt;0,SUMIFS(T_SelfStock[Self_Qty],T_SelfStock[RM_Code],$A17,T_SelfStock[WeekIndex],27)+SUMIFS(T_TTAFStock[TTAF_Qty],T_TTAFStock[RM_Code],$A17,T_TTAFStock[WeekIndex],27),AA17+'Grid_Incoming'!AB17-'Grid_Requirement'!AB17))</f>
        <v/>
      </c>
      <c r="AC17">
        <f>IF(COUNTIFS(T_StockCount[RM_Code],$A17,T_StockCount[WeekIndex],28)&gt;0,SUMIFS(T_StockCount[CountedQty],T_StockCount[RM_Code],$A17,T_StockCount[WeekIndex],28),IF((COUNTIFS(T_SelfStock[RM_Code],$A17,T_SelfStock[WeekIndex],28)&gt;0)*(COUNTIFS(T_TTAFStock[RM_Code],$A17,T_TTAFStock[WeekIndex],28)&gt;0)&gt;0,SUMIFS(T_SelfStock[Self_Qty],T_SelfStock[RM_Code],$A17,T_SelfStock[WeekIndex],28)+SUMIFS(T_TTAFStock[TTAF_Qty],T_TTAFStock[RM_Code],$A17,T_TTAFStock[WeekIndex],28),AB17+'Grid_Incoming'!AC17-'Grid_Requirement'!AC17))</f>
        <v/>
      </c>
      <c r="AD17">
        <f>IF(COUNTIFS(T_StockCount[RM_Code],$A17,T_StockCount[WeekIndex],29)&gt;0,SUMIFS(T_StockCount[CountedQty],T_StockCount[RM_Code],$A17,T_StockCount[WeekIndex],29),IF((COUNTIFS(T_SelfStock[RM_Code],$A17,T_SelfStock[WeekIndex],29)&gt;0)*(COUNTIFS(T_TTAFStock[RM_Code],$A17,T_TTAFStock[WeekIndex],29)&gt;0)&gt;0,SUMIFS(T_SelfStock[Self_Qty],T_SelfStock[RM_Code],$A17,T_SelfStock[WeekIndex],29)+SUMIFS(T_TTAFStock[TTAF_Qty],T_TTAFStock[RM_Code],$A17,T_TTAFStock[WeekIndex],29),AC17+'Grid_Incoming'!AD17-'Grid_Requirement'!AD17))</f>
        <v/>
      </c>
      <c r="AE17">
        <f>IF(COUNTIFS(T_StockCount[RM_Code],$A17,T_StockCount[WeekIndex],30)&gt;0,SUMIFS(T_StockCount[CountedQty],T_StockCount[RM_Code],$A17,T_StockCount[WeekIndex],30),IF((COUNTIFS(T_SelfStock[RM_Code],$A17,T_SelfStock[WeekIndex],30)&gt;0)*(COUNTIFS(T_TTAFStock[RM_Code],$A17,T_TTAFStock[WeekIndex],30)&gt;0)&gt;0,SUMIFS(T_SelfStock[Self_Qty],T_SelfStock[RM_Code],$A17,T_SelfStock[WeekIndex],30)+SUMIFS(T_TTAFStock[TTAF_Qty],T_TTAFStock[RM_Code],$A17,T_TTAFStock[WeekIndex],30),AD17+'Grid_Incoming'!AE17-'Grid_Requirement'!AE17))</f>
        <v/>
      </c>
      <c r="AF17">
        <f>IF(COUNTIFS(T_StockCount[RM_Code],$A17,T_StockCount[WeekIndex],31)&gt;0,SUMIFS(T_StockCount[CountedQty],T_StockCount[RM_Code],$A17,T_StockCount[WeekIndex],31),IF((COUNTIFS(T_SelfStock[RM_Code],$A17,T_SelfStock[WeekIndex],31)&gt;0)*(COUNTIFS(T_TTAFStock[RM_Code],$A17,T_TTAFStock[WeekIndex],31)&gt;0)&gt;0,SUMIFS(T_SelfStock[Self_Qty],T_SelfStock[RM_Code],$A17,T_SelfStock[WeekIndex],31)+SUMIFS(T_TTAFStock[TTAF_Qty],T_TTAFStock[RM_Code],$A17,T_TTAFStock[WeekIndex],31),AE17+'Grid_Incoming'!AF17-'Grid_Requirement'!AF17))</f>
        <v/>
      </c>
      <c r="AG17">
        <f>IF(COUNTIFS(T_StockCount[RM_Code],$A17,T_StockCount[WeekIndex],32)&gt;0,SUMIFS(T_StockCount[CountedQty],T_StockCount[RM_Code],$A17,T_StockCount[WeekIndex],32),IF((COUNTIFS(T_SelfStock[RM_Code],$A17,T_SelfStock[WeekIndex],32)&gt;0)*(COUNTIFS(T_TTAFStock[RM_Code],$A17,T_TTAFStock[WeekIndex],32)&gt;0)&gt;0,SUMIFS(T_SelfStock[Self_Qty],T_SelfStock[RM_Code],$A17,T_SelfStock[WeekIndex],32)+SUMIFS(T_TTAFStock[TTAF_Qty],T_TTAFStock[RM_Code],$A17,T_TTAFStock[WeekIndex],32),AF17+'Grid_Incoming'!AG17-'Grid_Requirement'!AG17))</f>
        <v/>
      </c>
      <c r="AH17">
        <f>IF(COUNTIFS(T_StockCount[RM_Code],$A17,T_StockCount[WeekIndex],33)&gt;0,SUMIFS(T_StockCount[CountedQty],T_StockCount[RM_Code],$A17,T_StockCount[WeekIndex],33),IF((COUNTIFS(T_SelfStock[RM_Code],$A17,T_SelfStock[WeekIndex],33)&gt;0)*(COUNTIFS(T_TTAFStock[RM_Code],$A17,T_TTAFStock[WeekIndex],33)&gt;0)&gt;0,SUMIFS(T_SelfStock[Self_Qty],T_SelfStock[RM_Code],$A17,T_SelfStock[WeekIndex],33)+SUMIFS(T_TTAFStock[TTAF_Qty],T_TTAFStock[RM_Code],$A17,T_TTAFStock[WeekIndex],33),AG17+'Grid_Incoming'!AH17-'Grid_Requirement'!AH17))</f>
        <v/>
      </c>
      <c r="AI17">
        <f>IF(COUNTIFS(T_StockCount[RM_Code],$A17,T_StockCount[WeekIndex],34)&gt;0,SUMIFS(T_StockCount[CountedQty],T_StockCount[RM_Code],$A17,T_StockCount[WeekIndex],34),IF((COUNTIFS(T_SelfStock[RM_Code],$A17,T_SelfStock[WeekIndex],34)&gt;0)*(COUNTIFS(T_TTAFStock[RM_Code],$A17,T_TTAFStock[WeekIndex],34)&gt;0)&gt;0,SUMIFS(T_SelfStock[Self_Qty],T_SelfStock[RM_Code],$A17,T_SelfStock[WeekIndex],34)+SUMIFS(T_TTAFStock[TTAF_Qty],T_TTAFStock[RM_Code],$A17,T_TTAFStock[WeekIndex],34),AH17+'Grid_Incoming'!AI17-'Grid_Requirement'!AI17))</f>
        <v/>
      </c>
      <c r="AJ17">
        <f>IF(COUNTIFS(T_StockCount[RM_Code],$A17,T_StockCount[WeekIndex],35)&gt;0,SUMIFS(T_StockCount[CountedQty],T_StockCount[RM_Code],$A17,T_StockCount[WeekIndex],35),IF((COUNTIFS(T_SelfStock[RM_Code],$A17,T_SelfStock[WeekIndex],35)&gt;0)*(COUNTIFS(T_TTAFStock[RM_Code],$A17,T_TTAFStock[WeekIndex],35)&gt;0)&gt;0,SUMIFS(T_SelfStock[Self_Qty],T_SelfStock[RM_Code],$A17,T_SelfStock[WeekIndex],35)+SUMIFS(T_TTAFStock[TTAF_Qty],T_TTAFStock[RM_Code],$A17,T_TTAFStock[WeekIndex],35),AI17+'Grid_Incoming'!AJ17-'Grid_Requirement'!AJ17))</f>
        <v/>
      </c>
      <c r="AK17">
        <f>IF(COUNTIFS(T_StockCount[RM_Code],$A17,T_StockCount[WeekIndex],36)&gt;0,SUMIFS(T_StockCount[CountedQty],T_StockCount[RM_Code],$A17,T_StockCount[WeekIndex],36),IF((COUNTIFS(T_SelfStock[RM_Code],$A17,T_SelfStock[WeekIndex],36)&gt;0)*(COUNTIFS(T_TTAFStock[RM_Code],$A17,T_TTAFStock[WeekIndex],36)&gt;0)&gt;0,SUMIFS(T_SelfStock[Self_Qty],T_SelfStock[RM_Code],$A17,T_SelfStock[WeekIndex],36)+SUMIFS(T_TTAFStock[TTAF_Qty],T_TTAFStock[RM_Code],$A17,T_TTAFStock[WeekIndex],36),AJ17+'Grid_Incoming'!AK17-'Grid_Requirement'!AK17))</f>
        <v/>
      </c>
      <c r="AL17">
        <f>IF(COUNTIFS(T_StockCount[RM_Code],$A17,T_StockCount[WeekIndex],37)&gt;0,SUMIFS(T_StockCount[CountedQty],T_StockCount[RM_Code],$A17,T_StockCount[WeekIndex],37),IF((COUNTIFS(T_SelfStock[RM_Code],$A17,T_SelfStock[WeekIndex],37)&gt;0)*(COUNTIFS(T_TTAFStock[RM_Code],$A17,T_TTAFStock[WeekIndex],37)&gt;0)&gt;0,SUMIFS(T_SelfStock[Self_Qty],T_SelfStock[RM_Code],$A17,T_SelfStock[WeekIndex],37)+SUMIFS(T_TTAFStock[TTAF_Qty],T_TTAFStock[RM_Code],$A17,T_TTAFStock[WeekIndex],37),AK17+'Grid_Incoming'!AL17-'Grid_Requirement'!AL17))</f>
        <v/>
      </c>
      <c r="AM17">
        <f>IF(COUNTIFS(T_StockCount[RM_Code],$A17,T_StockCount[WeekIndex],38)&gt;0,SUMIFS(T_StockCount[CountedQty],T_StockCount[RM_Code],$A17,T_StockCount[WeekIndex],38),IF((COUNTIFS(T_SelfStock[RM_Code],$A17,T_SelfStock[WeekIndex],38)&gt;0)*(COUNTIFS(T_TTAFStock[RM_Code],$A17,T_TTAFStock[WeekIndex],38)&gt;0)&gt;0,SUMIFS(T_SelfStock[Self_Qty],T_SelfStock[RM_Code],$A17,T_SelfStock[WeekIndex],38)+SUMIFS(T_TTAFStock[TTAF_Qty],T_TTAFStock[RM_Code],$A17,T_TTAFStock[WeekIndex],38),AL17+'Grid_Incoming'!AM17-'Grid_Requirement'!AM17))</f>
        <v/>
      </c>
      <c r="AN17">
        <f>IF(COUNTIFS(T_StockCount[RM_Code],$A17,T_StockCount[WeekIndex],39)&gt;0,SUMIFS(T_StockCount[CountedQty],T_StockCount[RM_Code],$A17,T_StockCount[WeekIndex],39),IF((COUNTIFS(T_SelfStock[RM_Code],$A17,T_SelfStock[WeekIndex],39)&gt;0)*(COUNTIFS(T_TTAFStock[RM_Code],$A17,T_TTAFStock[WeekIndex],39)&gt;0)&gt;0,SUMIFS(T_SelfStock[Self_Qty],T_SelfStock[RM_Code],$A17,T_SelfStock[WeekIndex],39)+SUMIFS(T_TTAFStock[TTAF_Qty],T_TTAFStock[RM_Code],$A17,T_TTAFStock[WeekIndex],39),AM17+'Grid_Incoming'!AN17-'Grid_Requirement'!AN17))</f>
        <v/>
      </c>
      <c r="AO17">
        <f>IF(COUNTIFS(T_StockCount[RM_Code],$A17,T_StockCount[WeekIndex],40)&gt;0,SUMIFS(T_StockCount[CountedQty],T_StockCount[RM_Code],$A17,T_StockCount[WeekIndex],40),IF((COUNTIFS(T_SelfStock[RM_Code],$A17,T_SelfStock[WeekIndex],40)&gt;0)*(COUNTIFS(T_TTAFStock[RM_Code],$A17,T_TTAFStock[WeekIndex],40)&gt;0)&gt;0,SUMIFS(T_SelfStock[Self_Qty],T_SelfStock[RM_Code],$A17,T_SelfStock[WeekIndex],40)+SUMIFS(T_TTAFStock[TTAF_Qty],T_TTAFStock[RM_Code],$A17,T_TTAFStock[WeekIndex],40),AN17+'Grid_Incoming'!AO17-'Grid_Requirement'!AO17))</f>
        <v/>
      </c>
      <c r="AP17">
        <f>IF(COUNTIFS(T_StockCount[RM_Code],$A17,T_StockCount[WeekIndex],41)&gt;0,SUMIFS(T_StockCount[CountedQty],T_StockCount[RM_Code],$A17,T_StockCount[WeekIndex],41),IF((COUNTIFS(T_SelfStock[RM_Code],$A17,T_SelfStock[WeekIndex],41)&gt;0)*(COUNTIFS(T_TTAFStock[RM_Code],$A17,T_TTAFStock[WeekIndex],41)&gt;0)&gt;0,SUMIFS(T_SelfStock[Self_Qty],T_SelfStock[RM_Code],$A17,T_SelfStock[WeekIndex],41)+SUMIFS(T_TTAFStock[TTAF_Qty],T_TTAFStock[RM_Code],$A17,T_TTAFStock[WeekIndex],41),AO17+'Grid_Incoming'!AP17-'Grid_Requirement'!AP17))</f>
        <v/>
      </c>
      <c r="AQ17">
        <f>IF(COUNTIFS(T_StockCount[RM_Code],$A17,T_StockCount[WeekIndex],42)&gt;0,SUMIFS(T_StockCount[CountedQty],T_StockCount[RM_Code],$A17,T_StockCount[WeekIndex],42),IF((COUNTIFS(T_SelfStock[RM_Code],$A17,T_SelfStock[WeekIndex],42)&gt;0)*(COUNTIFS(T_TTAFStock[RM_Code],$A17,T_TTAFStock[WeekIndex],42)&gt;0)&gt;0,SUMIFS(T_SelfStock[Self_Qty],T_SelfStock[RM_Code],$A17,T_SelfStock[WeekIndex],42)+SUMIFS(T_TTAFStock[TTAF_Qty],T_TTAFStock[RM_Code],$A17,T_TTAFStock[WeekIndex],42),AP17+'Grid_Incoming'!AQ17-'Grid_Requirement'!AQ17))</f>
        <v/>
      </c>
      <c r="AR17">
        <f>IF(COUNTIFS(T_StockCount[RM_Code],$A17,T_StockCount[WeekIndex],43)&gt;0,SUMIFS(T_StockCount[CountedQty],T_StockCount[RM_Code],$A17,T_StockCount[WeekIndex],43),IF((COUNTIFS(T_SelfStock[RM_Code],$A17,T_SelfStock[WeekIndex],43)&gt;0)*(COUNTIFS(T_TTAFStock[RM_Code],$A17,T_TTAFStock[WeekIndex],43)&gt;0)&gt;0,SUMIFS(T_SelfStock[Self_Qty],T_SelfStock[RM_Code],$A17,T_SelfStock[WeekIndex],43)+SUMIFS(T_TTAFStock[TTAF_Qty],T_TTAFStock[RM_Code],$A17,T_TTAFStock[WeekIndex],43),AQ17+'Grid_Incoming'!AR17-'Grid_Requirement'!AR17))</f>
        <v/>
      </c>
      <c r="AS17">
        <f>IF(COUNTIFS(T_StockCount[RM_Code],$A17,T_StockCount[WeekIndex],44)&gt;0,SUMIFS(T_StockCount[CountedQty],T_StockCount[RM_Code],$A17,T_StockCount[WeekIndex],44),IF((COUNTIFS(T_SelfStock[RM_Code],$A17,T_SelfStock[WeekIndex],44)&gt;0)*(COUNTIFS(T_TTAFStock[RM_Code],$A17,T_TTAFStock[WeekIndex],44)&gt;0)&gt;0,SUMIFS(T_SelfStock[Self_Qty],T_SelfStock[RM_Code],$A17,T_SelfStock[WeekIndex],44)+SUMIFS(T_TTAFStock[TTAF_Qty],T_TTAFStock[RM_Code],$A17,T_TTAFStock[WeekIndex],44),AR17+'Grid_Incoming'!AS17-'Grid_Requirement'!AS17))</f>
        <v/>
      </c>
      <c r="AT17">
        <f>IF(COUNTIFS(T_StockCount[RM_Code],$A17,T_StockCount[WeekIndex],45)&gt;0,SUMIFS(T_StockCount[CountedQty],T_StockCount[RM_Code],$A17,T_StockCount[WeekIndex],45),IF((COUNTIFS(T_SelfStock[RM_Code],$A17,T_SelfStock[WeekIndex],45)&gt;0)*(COUNTIFS(T_TTAFStock[RM_Code],$A17,T_TTAFStock[WeekIndex],45)&gt;0)&gt;0,SUMIFS(T_SelfStock[Self_Qty],T_SelfStock[RM_Code],$A17,T_SelfStock[WeekIndex],45)+SUMIFS(T_TTAFStock[TTAF_Qty],T_TTAFStock[RM_Code],$A17,T_TTAFStock[WeekIndex],45),AS17+'Grid_Incoming'!AT17-'Grid_Requirement'!AT17))</f>
        <v/>
      </c>
      <c r="AU17">
        <f>IF(COUNTIFS(T_StockCount[RM_Code],$A17,T_StockCount[WeekIndex],46)&gt;0,SUMIFS(T_StockCount[CountedQty],T_StockCount[RM_Code],$A17,T_StockCount[WeekIndex],46),IF((COUNTIFS(T_SelfStock[RM_Code],$A17,T_SelfStock[WeekIndex],46)&gt;0)*(COUNTIFS(T_TTAFStock[RM_Code],$A17,T_TTAFStock[WeekIndex],46)&gt;0)&gt;0,SUMIFS(T_SelfStock[Self_Qty],T_SelfStock[RM_Code],$A17,T_SelfStock[WeekIndex],46)+SUMIFS(T_TTAFStock[TTAF_Qty],T_TTAFStock[RM_Code],$A17,T_TTAFStock[WeekIndex],46),AT17+'Grid_Incoming'!AU17-'Grid_Requirement'!AU17))</f>
        <v/>
      </c>
      <c r="AV17">
        <f>IF(COUNTIFS(T_StockCount[RM_Code],$A17,T_StockCount[WeekIndex],47)&gt;0,SUMIFS(T_StockCount[CountedQty],T_StockCount[RM_Code],$A17,T_StockCount[WeekIndex],47),IF((COUNTIFS(T_SelfStock[RM_Code],$A17,T_SelfStock[WeekIndex],47)&gt;0)*(COUNTIFS(T_TTAFStock[RM_Code],$A17,T_TTAFStock[WeekIndex],47)&gt;0)&gt;0,SUMIFS(T_SelfStock[Self_Qty],T_SelfStock[RM_Code],$A17,T_SelfStock[WeekIndex],47)+SUMIFS(T_TTAFStock[TTAF_Qty],T_TTAFStock[RM_Code],$A17,T_TTAFStock[WeekIndex],47),AU17+'Grid_Incoming'!AV17-'Grid_Requirement'!AV17))</f>
        <v/>
      </c>
      <c r="AW17">
        <f>IF(COUNTIFS(T_StockCount[RM_Code],$A17,T_StockCount[WeekIndex],48)&gt;0,SUMIFS(T_StockCount[CountedQty],T_StockCount[RM_Code],$A17,T_StockCount[WeekIndex],48),IF((COUNTIFS(T_SelfStock[RM_Code],$A17,T_SelfStock[WeekIndex],48)&gt;0)*(COUNTIFS(T_TTAFStock[RM_Code],$A17,T_TTAFStock[WeekIndex],48)&gt;0)&gt;0,SUMIFS(T_SelfStock[Self_Qty],T_SelfStock[RM_Code],$A17,T_SelfStock[WeekIndex],48)+SUMIFS(T_TTAFStock[TTAF_Qty],T_TTAFStock[RM_Code],$A17,T_TTAFStock[WeekIndex],48),AV17+'Grid_Incoming'!AW17-'Grid_Requirement'!AW17))</f>
        <v/>
      </c>
      <c r="AX17">
        <f>IF(COUNTIFS(T_StockCount[RM_Code],$A17,T_StockCount[WeekIndex],49)&gt;0,SUMIFS(T_StockCount[CountedQty],T_StockCount[RM_Code],$A17,T_StockCount[WeekIndex],49),IF((COUNTIFS(T_SelfStock[RM_Code],$A17,T_SelfStock[WeekIndex],49)&gt;0)*(COUNTIFS(T_TTAFStock[RM_Code],$A17,T_TTAFStock[WeekIndex],49)&gt;0)&gt;0,SUMIFS(T_SelfStock[Self_Qty],T_SelfStock[RM_Code],$A17,T_SelfStock[WeekIndex],49)+SUMIFS(T_TTAFStock[TTAF_Qty],T_TTAFStock[RM_Code],$A17,T_TTAFStock[WeekIndex],49),AW17+'Grid_Incoming'!AX17-'Grid_Requirement'!AX17))</f>
        <v/>
      </c>
      <c r="AY17">
        <f>IF(COUNTIFS(T_StockCount[RM_Code],$A17,T_StockCount[WeekIndex],50)&gt;0,SUMIFS(T_StockCount[CountedQty],T_StockCount[RM_Code],$A17,T_StockCount[WeekIndex],50),IF((COUNTIFS(T_SelfStock[RM_Code],$A17,T_SelfStock[WeekIndex],50)&gt;0)*(COUNTIFS(T_TTAFStock[RM_Code],$A17,T_TTAFStock[WeekIndex],50)&gt;0)&gt;0,SUMIFS(T_SelfStock[Self_Qty],T_SelfStock[RM_Code],$A17,T_SelfStock[WeekIndex],50)+SUMIFS(T_TTAFStock[TTAF_Qty],T_TTAFStock[RM_Code],$A17,T_TTAFStock[WeekIndex],50),AX17+'Grid_Incoming'!AY17-'Grid_Requirement'!AY17))</f>
        <v/>
      </c>
      <c r="AZ17">
        <f>IF(COUNTIFS(T_StockCount[RM_Code],$A17,T_StockCount[WeekIndex],51)&gt;0,SUMIFS(T_StockCount[CountedQty],T_StockCount[RM_Code],$A17,T_StockCount[WeekIndex],51),IF((COUNTIFS(T_SelfStock[RM_Code],$A17,T_SelfStock[WeekIndex],51)&gt;0)*(COUNTIFS(T_TTAFStock[RM_Code],$A17,T_TTAFStock[WeekIndex],51)&gt;0)&gt;0,SUMIFS(T_SelfStock[Self_Qty],T_SelfStock[RM_Code],$A17,T_SelfStock[WeekIndex],51)+SUMIFS(T_TTAFStock[TTAF_Qty],T_TTAFStock[RM_Code],$A17,T_TTAFStock[WeekIndex],51),AY17+'Grid_Incoming'!AZ17-'Grid_Requirement'!AZ17))</f>
        <v/>
      </c>
      <c r="BA17">
        <f>IF(COUNTIFS(T_StockCount[RM_Code],$A17,T_StockCount[WeekIndex],52)&gt;0,SUMIFS(T_StockCount[CountedQty],T_StockCount[RM_Code],$A17,T_StockCount[WeekIndex],52),IF((COUNTIFS(T_SelfStock[RM_Code],$A17,T_SelfStock[WeekIndex],52)&gt;0)*(COUNTIFS(T_TTAFStock[RM_Code],$A17,T_TTAFStock[WeekIndex],52)&gt;0)&gt;0,SUMIFS(T_SelfStock[Self_Qty],T_SelfStock[RM_Code],$A17,T_SelfStock[WeekIndex],52)+SUMIFS(T_TTAFStock[TTAF_Qty],T_TTAFStock[RM_Code],$A17,T_TTAFStock[WeekIndex],52),AZ17+'Grid_Incoming'!BA17-'Grid_Requirement'!BA17))</f>
        <v/>
      </c>
      <c r="BB17">
        <f>IF(COUNTIFS(T_StockCount[RM_Code],$A17,T_StockCount[WeekIndex],53)&gt;0,SUMIFS(T_StockCount[CountedQty],T_StockCount[RM_Code],$A17,T_StockCount[WeekIndex],53),IF((COUNTIFS(T_SelfStock[RM_Code],$A17,T_SelfStock[WeekIndex],53)&gt;0)*(COUNTIFS(T_TTAFStock[RM_Code],$A17,T_TTAFStock[WeekIndex],53)&gt;0)&gt;0,SUMIFS(T_SelfStock[Self_Qty],T_SelfStock[RM_Code],$A17,T_SelfStock[WeekIndex],53)+SUMIFS(T_TTAFStock[TTAF_Qty],T_TTAFStock[RM_Code],$A17,T_TTAFStock[WeekIndex],53),BA17+'Grid_Incoming'!BB17-'Grid_Requirement'!BB17))</f>
        <v/>
      </c>
      <c r="BC17">
        <f>IF(COUNTIFS(T_StockCount[RM_Code],$A17,T_StockCount[WeekIndex],54)&gt;0,SUMIFS(T_StockCount[CountedQty],T_StockCount[RM_Code],$A17,T_StockCount[WeekIndex],54),IF((COUNTIFS(T_SelfStock[RM_Code],$A17,T_SelfStock[WeekIndex],54)&gt;0)*(COUNTIFS(T_TTAFStock[RM_Code],$A17,T_TTAFStock[WeekIndex],54)&gt;0)&gt;0,SUMIFS(T_SelfStock[Self_Qty],T_SelfStock[RM_Code],$A17,T_SelfStock[WeekIndex],54)+SUMIFS(T_TTAFStock[TTAF_Qty],T_TTAFStock[RM_Code],$A17,T_TTAFStock[WeekIndex],54),BB17+'Grid_Incoming'!BC17-'Grid_Requirement'!BC17))</f>
        <v/>
      </c>
      <c r="BD17">
        <f>IF(COUNTIFS(T_StockCount[RM_Code],$A17,T_StockCount[WeekIndex],55)&gt;0,SUMIFS(T_StockCount[CountedQty],T_StockCount[RM_Code],$A17,T_StockCount[WeekIndex],55),IF((COUNTIFS(T_SelfStock[RM_Code],$A17,T_SelfStock[WeekIndex],55)&gt;0)*(COUNTIFS(T_TTAFStock[RM_Code],$A17,T_TTAFStock[WeekIndex],55)&gt;0)&gt;0,SUMIFS(T_SelfStock[Self_Qty],T_SelfStock[RM_Code],$A17,T_SelfStock[WeekIndex],55)+SUMIFS(T_TTAFStock[TTAF_Qty],T_TTAFStock[RM_Code],$A17,T_TTAFStock[WeekIndex],55),BC17+'Grid_Incoming'!BD17-'Grid_Requirement'!BD17))</f>
        <v/>
      </c>
      <c r="BE17">
        <f>IF(COUNTIFS(T_StockCount[RM_Code],$A17,T_StockCount[WeekIndex],56)&gt;0,SUMIFS(T_StockCount[CountedQty],T_StockCount[RM_Code],$A17,T_StockCount[WeekIndex],56),IF((COUNTIFS(T_SelfStock[RM_Code],$A17,T_SelfStock[WeekIndex],56)&gt;0)*(COUNTIFS(T_TTAFStock[RM_Code],$A17,T_TTAFStock[WeekIndex],56)&gt;0)&gt;0,SUMIFS(T_SelfStock[Self_Qty],T_SelfStock[RM_Code],$A17,T_SelfStock[WeekIndex],56)+SUMIFS(T_TTAFStock[TTAF_Qty],T_TTAFStock[RM_Code],$A17,T_TTAFStock[WeekIndex],56),BD17+'Grid_Incoming'!BE17-'Grid_Requirement'!BE17))</f>
        <v/>
      </c>
      <c r="BF17">
        <f>IF(COUNTIFS(T_StockCount[RM_Code],$A17,T_StockCount[WeekIndex],57)&gt;0,SUMIFS(T_StockCount[CountedQty],T_StockCount[RM_Code],$A17,T_StockCount[WeekIndex],57),IF((COUNTIFS(T_SelfStock[RM_Code],$A17,T_SelfStock[WeekIndex],57)&gt;0)*(COUNTIFS(T_TTAFStock[RM_Code],$A17,T_TTAFStock[WeekIndex],57)&gt;0)&gt;0,SUMIFS(T_SelfStock[Self_Qty],T_SelfStock[RM_Code],$A17,T_SelfStock[WeekIndex],57)+SUMIFS(T_TTAFStock[TTAF_Qty],T_TTAFStock[RM_Code],$A17,T_TTAFStock[WeekIndex],57),BE17+'Grid_Incoming'!BF17-'Grid_Requirement'!BF17))</f>
        <v/>
      </c>
      <c r="BG17">
        <f>IF(COUNTIFS(T_StockCount[RM_Code],$A17,T_StockCount[WeekIndex],58)&gt;0,SUMIFS(T_StockCount[CountedQty],T_StockCount[RM_Code],$A17,T_StockCount[WeekIndex],58),IF((COUNTIFS(T_SelfStock[RM_Code],$A17,T_SelfStock[WeekIndex],58)&gt;0)*(COUNTIFS(T_TTAFStock[RM_Code],$A17,T_TTAFStock[WeekIndex],58)&gt;0)&gt;0,SUMIFS(T_SelfStock[Self_Qty],T_SelfStock[RM_Code],$A17,T_SelfStock[WeekIndex],58)+SUMIFS(T_TTAFStock[TTAF_Qty],T_TTAFStock[RM_Code],$A17,T_TTAFStock[WeekIndex],58),BF17+'Grid_Incoming'!BG17-'Grid_Requirement'!BG17))</f>
        <v/>
      </c>
      <c r="BH17">
        <f>IF(COUNTIFS(T_StockCount[RM_Code],$A17,T_StockCount[WeekIndex],59)&gt;0,SUMIFS(T_StockCount[CountedQty],T_StockCount[RM_Code],$A17,T_StockCount[WeekIndex],59),IF((COUNTIFS(T_SelfStock[RM_Code],$A17,T_SelfStock[WeekIndex],59)&gt;0)*(COUNTIFS(T_TTAFStock[RM_Code],$A17,T_TTAFStock[WeekIndex],59)&gt;0)&gt;0,SUMIFS(T_SelfStock[Self_Qty],T_SelfStock[RM_Code],$A17,T_SelfStock[WeekIndex],59)+SUMIFS(T_TTAFStock[TTAF_Qty],T_TTAFStock[RM_Code],$A17,T_TTAFStock[WeekIndex],59),BG17+'Grid_Incoming'!BH17-'Grid_Requirement'!BH17))</f>
        <v/>
      </c>
      <c r="BI17">
        <f>IF(COUNTIFS(T_StockCount[RM_Code],$A17,T_StockCount[WeekIndex],60)&gt;0,SUMIFS(T_StockCount[CountedQty],T_StockCount[RM_Code],$A17,T_StockCount[WeekIndex],60),IF((COUNTIFS(T_SelfStock[RM_Code],$A17,T_SelfStock[WeekIndex],60)&gt;0)*(COUNTIFS(T_TTAFStock[RM_Code],$A17,T_TTAFStock[WeekIndex],60)&gt;0)&gt;0,SUMIFS(T_SelfStock[Self_Qty],T_SelfStock[RM_Code],$A17,T_SelfStock[WeekIndex],60)+SUMIFS(T_TTAFStock[TTAF_Qty],T_TTAFStock[RM_Code],$A17,T_TTAFStock[WeekIndex],60),BH17+'Grid_Incoming'!BI17-'Grid_Requirement'!BI17))</f>
        <v/>
      </c>
      <c r="BJ17">
        <f>IF(COUNTIFS(T_StockCount[RM_Code],$A17,T_StockCount[WeekIndex],61)&gt;0,SUMIFS(T_StockCount[CountedQty],T_StockCount[RM_Code],$A17,T_StockCount[WeekIndex],61),IF((COUNTIFS(T_SelfStock[RM_Code],$A17,T_SelfStock[WeekIndex],61)&gt;0)*(COUNTIFS(T_TTAFStock[RM_Code],$A17,T_TTAFStock[WeekIndex],61)&gt;0)&gt;0,SUMIFS(T_SelfStock[Self_Qty],T_SelfStock[RM_Code],$A17,T_SelfStock[WeekIndex],61)+SUMIFS(T_TTAFStock[TTAF_Qty],T_TTAFStock[RM_Code],$A17,T_TTAFStock[WeekIndex],61),BI17+'Grid_Incoming'!BJ17-'Grid_Requirement'!BJ17))</f>
        <v/>
      </c>
      <c r="BK17">
        <f>IF(COUNTIFS(T_StockCount[RM_Code],$A17,T_StockCount[WeekIndex],62)&gt;0,SUMIFS(T_StockCount[CountedQty],T_StockCount[RM_Code],$A17,T_StockCount[WeekIndex],62),IF((COUNTIFS(T_SelfStock[RM_Code],$A17,T_SelfStock[WeekIndex],62)&gt;0)*(COUNTIFS(T_TTAFStock[RM_Code],$A17,T_TTAFStock[WeekIndex],62)&gt;0)&gt;0,SUMIFS(T_SelfStock[Self_Qty],T_SelfStock[RM_Code],$A17,T_SelfStock[WeekIndex],62)+SUMIFS(T_TTAFStock[TTAF_Qty],T_TTAFStock[RM_Code],$A17,T_TTAFStock[WeekIndex],62),BJ17+'Grid_Incoming'!BK17-'Grid_Requirement'!BK17))</f>
        <v/>
      </c>
      <c r="BL17">
        <f>IF(COUNTIFS(T_StockCount[RM_Code],$A17,T_StockCount[WeekIndex],63)&gt;0,SUMIFS(T_StockCount[CountedQty],T_StockCount[RM_Code],$A17,T_StockCount[WeekIndex],63),IF((COUNTIFS(T_SelfStock[RM_Code],$A17,T_SelfStock[WeekIndex],63)&gt;0)*(COUNTIFS(T_TTAFStock[RM_Code],$A17,T_TTAFStock[WeekIndex],63)&gt;0)&gt;0,SUMIFS(T_SelfStock[Self_Qty],T_SelfStock[RM_Code],$A17,T_SelfStock[WeekIndex],63)+SUMIFS(T_TTAFStock[TTAF_Qty],T_TTAFStock[RM_Code],$A17,T_TTAFStock[WeekIndex],63),BK17+'Grid_Incoming'!BL17-'Grid_Requirement'!BL17))</f>
        <v/>
      </c>
      <c r="BM17">
        <f>IF(COUNTIFS(T_StockCount[RM_Code],$A17,T_StockCount[WeekIndex],64)&gt;0,SUMIFS(T_StockCount[CountedQty],T_StockCount[RM_Code],$A17,T_StockCount[WeekIndex],64),IF((COUNTIFS(T_SelfStock[RM_Code],$A17,T_SelfStock[WeekIndex],64)&gt;0)*(COUNTIFS(T_TTAFStock[RM_Code],$A17,T_TTAFStock[WeekIndex],64)&gt;0)&gt;0,SUMIFS(T_SelfStock[Self_Qty],T_SelfStock[RM_Code],$A17,T_SelfStock[WeekIndex],64)+SUMIFS(T_TTAFStock[TTAF_Qty],T_TTAFStock[RM_Code],$A17,T_TTAFStock[WeekIndex],64),BL17+'Grid_Incoming'!BM17-'Grid_Requirement'!BM17))</f>
        <v/>
      </c>
      <c r="BN17">
        <f>IF(COUNTIFS(T_StockCount[RM_Code],$A17,T_StockCount[WeekIndex],65)&gt;0,SUMIFS(T_StockCount[CountedQty],T_StockCount[RM_Code],$A17,T_StockCount[WeekIndex],65),IF((COUNTIFS(T_SelfStock[RM_Code],$A17,T_SelfStock[WeekIndex],65)&gt;0)*(COUNTIFS(T_TTAFStock[RM_Code],$A17,T_TTAFStock[WeekIndex],65)&gt;0)&gt;0,SUMIFS(T_SelfStock[Self_Qty],T_SelfStock[RM_Code],$A17,T_SelfStock[WeekIndex],65)+SUMIFS(T_TTAFStock[TTAF_Qty],T_TTAFStock[RM_Code],$A17,T_TTAFStock[WeekIndex],65),BM17+'Grid_Incoming'!BN17-'Grid_Requirement'!BN17))</f>
        <v/>
      </c>
      <c r="BO17">
        <f>IF(COUNTIFS(T_StockCount[RM_Code],$A17,T_StockCount[WeekIndex],66)&gt;0,SUMIFS(T_StockCount[CountedQty],T_StockCount[RM_Code],$A17,T_StockCount[WeekIndex],66),IF((COUNTIFS(T_SelfStock[RM_Code],$A17,T_SelfStock[WeekIndex],66)&gt;0)*(COUNTIFS(T_TTAFStock[RM_Code],$A17,T_TTAFStock[WeekIndex],66)&gt;0)&gt;0,SUMIFS(T_SelfStock[Self_Qty],T_SelfStock[RM_Code],$A17,T_SelfStock[WeekIndex],66)+SUMIFS(T_TTAFStock[TTAF_Qty],T_TTAFStock[RM_Code],$A17,T_TTAFStock[WeekIndex],66),BN17+'Grid_Incoming'!BO17-'Grid_Requirement'!BO17))</f>
        <v/>
      </c>
      <c r="BP17">
        <f>IF(COUNTIFS(T_StockCount[RM_Code],$A17,T_StockCount[WeekIndex],67)&gt;0,SUMIFS(T_StockCount[CountedQty],T_StockCount[RM_Code],$A17,T_StockCount[WeekIndex],67),IF((COUNTIFS(T_SelfStock[RM_Code],$A17,T_SelfStock[WeekIndex],67)&gt;0)*(COUNTIFS(T_TTAFStock[RM_Code],$A17,T_TTAFStock[WeekIndex],67)&gt;0)&gt;0,SUMIFS(T_SelfStock[Self_Qty],T_SelfStock[RM_Code],$A17,T_SelfStock[WeekIndex],67)+SUMIFS(T_TTAFStock[TTAF_Qty],T_TTAFStock[RM_Code],$A17,T_TTAFStock[WeekIndex],67),BO17+'Grid_Incoming'!BP17-'Grid_Requirement'!BP17))</f>
        <v/>
      </c>
      <c r="BQ17">
        <f>IF(COUNTIFS(T_StockCount[RM_Code],$A17,T_StockCount[WeekIndex],68)&gt;0,SUMIFS(T_StockCount[CountedQty],T_StockCount[RM_Code],$A17,T_StockCount[WeekIndex],68),IF((COUNTIFS(T_SelfStock[RM_Code],$A17,T_SelfStock[WeekIndex],68)&gt;0)*(COUNTIFS(T_TTAFStock[RM_Code],$A17,T_TTAFStock[WeekIndex],68)&gt;0)&gt;0,SUMIFS(T_SelfStock[Self_Qty],T_SelfStock[RM_Code],$A17,T_SelfStock[WeekIndex],68)+SUMIFS(T_TTAFStock[TTAF_Qty],T_TTAFStock[RM_Code],$A17,T_TTAFStock[WeekIndex],68),BP17+'Grid_Incoming'!BQ17-'Grid_Requirement'!BQ17))</f>
        <v/>
      </c>
      <c r="BR17">
        <f>IF(COUNTIFS(T_StockCount[RM_Code],$A17,T_StockCount[WeekIndex],69)&gt;0,SUMIFS(T_StockCount[CountedQty],T_StockCount[RM_Code],$A17,T_StockCount[WeekIndex],69),IF((COUNTIFS(T_SelfStock[RM_Code],$A17,T_SelfStock[WeekIndex],69)&gt;0)*(COUNTIFS(T_TTAFStock[RM_Code],$A17,T_TTAFStock[WeekIndex],69)&gt;0)&gt;0,SUMIFS(T_SelfStock[Self_Qty],T_SelfStock[RM_Code],$A17,T_SelfStock[WeekIndex],69)+SUMIFS(T_TTAFStock[TTAF_Qty],T_TTAFStock[RM_Code],$A17,T_TTAFStock[WeekIndex],69),BQ17+'Grid_Incoming'!BR17-'Grid_Requirement'!BR17))</f>
        <v/>
      </c>
      <c r="BS17">
        <f>IF(COUNTIFS(T_StockCount[RM_Code],$A17,T_StockCount[WeekIndex],70)&gt;0,SUMIFS(T_StockCount[CountedQty],T_StockCount[RM_Code],$A17,T_StockCount[WeekIndex],70),IF((COUNTIFS(T_SelfStock[RM_Code],$A17,T_SelfStock[WeekIndex],70)&gt;0)*(COUNTIFS(T_TTAFStock[RM_Code],$A17,T_TTAFStock[WeekIndex],70)&gt;0)&gt;0,SUMIFS(T_SelfStock[Self_Qty],T_SelfStock[RM_Code],$A17,T_SelfStock[WeekIndex],70)+SUMIFS(T_TTAFStock[TTAF_Qty],T_TTAFStock[RM_Code],$A17,T_TTAFStock[WeekIndex],70),BR17+'Grid_Incoming'!BS17-'Grid_Requirement'!BS17))</f>
        <v/>
      </c>
      <c r="BT17">
        <f>IF(COUNTIFS(T_StockCount[RM_Code],$A17,T_StockCount[WeekIndex],71)&gt;0,SUMIFS(T_StockCount[CountedQty],T_StockCount[RM_Code],$A17,T_StockCount[WeekIndex],71),IF((COUNTIFS(T_SelfStock[RM_Code],$A17,T_SelfStock[WeekIndex],71)&gt;0)*(COUNTIFS(T_TTAFStock[RM_Code],$A17,T_TTAFStock[WeekIndex],71)&gt;0)&gt;0,SUMIFS(T_SelfStock[Self_Qty],T_SelfStock[RM_Code],$A17,T_SelfStock[WeekIndex],71)+SUMIFS(T_TTAFStock[TTAF_Qty],T_TTAFStock[RM_Code],$A17,T_TTAFStock[WeekIndex],71),BS17+'Grid_Incoming'!BT17-'Grid_Requirement'!BT17))</f>
        <v/>
      </c>
      <c r="BU17">
        <f>IF(COUNTIFS(T_StockCount[RM_Code],$A17,T_StockCount[WeekIndex],72)&gt;0,SUMIFS(T_StockCount[CountedQty],T_StockCount[RM_Code],$A17,T_StockCount[WeekIndex],72),IF((COUNTIFS(T_SelfStock[RM_Code],$A17,T_SelfStock[WeekIndex],72)&gt;0)*(COUNTIFS(T_TTAFStock[RM_Code],$A17,T_TTAFStock[WeekIndex],72)&gt;0)&gt;0,SUMIFS(T_SelfStock[Self_Qty],T_SelfStock[RM_Code],$A17,T_SelfStock[WeekIndex],72)+SUMIFS(T_TTAFStock[TTAF_Qty],T_TTAFStock[RM_Code],$A17,T_TTAFStock[WeekIndex],72),BT17+'Grid_Incoming'!BU17-'Grid_Requirement'!BU17))</f>
        <v/>
      </c>
      <c r="BV17">
        <f>IF(COUNTIFS(T_StockCount[RM_Code],$A17,T_StockCount[WeekIndex],73)&gt;0,SUMIFS(T_StockCount[CountedQty],T_StockCount[RM_Code],$A17,T_StockCount[WeekIndex],73),IF((COUNTIFS(T_SelfStock[RM_Code],$A17,T_SelfStock[WeekIndex],73)&gt;0)*(COUNTIFS(T_TTAFStock[RM_Code],$A17,T_TTAFStock[WeekIndex],73)&gt;0)&gt;0,SUMIFS(T_SelfStock[Self_Qty],T_SelfStock[RM_Code],$A17,T_SelfStock[WeekIndex],73)+SUMIFS(T_TTAFStock[TTAF_Qty],T_TTAFStock[RM_Code],$A17,T_TTAFStock[WeekIndex],73),BU17+'Grid_Incoming'!BV17-'Grid_Requirement'!BV17))</f>
        <v/>
      </c>
      <c r="BW17">
        <f>IF(COUNTIFS(T_StockCount[RM_Code],$A17,T_StockCount[WeekIndex],74)&gt;0,SUMIFS(T_StockCount[CountedQty],T_StockCount[RM_Code],$A17,T_StockCount[WeekIndex],74),IF((COUNTIFS(T_SelfStock[RM_Code],$A17,T_SelfStock[WeekIndex],74)&gt;0)*(COUNTIFS(T_TTAFStock[RM_Code],$A17,T_TTAFStock[WeekIndex],74)&gt;0)&gt;0,SUMIFS(T_SelfStock[Self_Qty],T_SelfStock[RM_Code],$A17,T_SelfStock[WeekIndex],74)+SUMIFS(T_TTAFStock[TTAF_Qty],T_TTAFStock[RM_Code],$A17,T_TTAFStock[WeekIndex],74),BV17+'Grid_Incoming'!BW17-'Grid_Requirement'!BW17))</f>
        <v/>
      </c>
      <c r="BX17">
        <f>IF(COUNTIFS(T_StockCount[RM_Code],$A17,T_StockCount[WeekIndex],75)&gt;0,SUMIFS(T_StockCount[CountedQty],T_StockCount[RM_Code],$A17,T_StockCount[WeekIndex],75),IF((COUNTIFS(T_SelfStock[RM_Code],$A17,T_SelfStock[WeekIndex],75)&gt;0)*(COUNTIFS(T_TTAFStock[RM_Code],$A17,T_TTAFStock[WeekIndex],75)&gt;0)&gt;0,SUMIFS(T_SelfStock[Self_Qty],T_SelfStock[RM_Code],$A17,T_SelfStock[WeekIndex],75)+SUMIFS(T_TTAFStock[TTAF_Qty],T_TTAFStock[RM_Code],$A17,T_TTAFStock[WeekIndex],75),BW17+'Grid_Incoming'!BX17-'Grid_Requirement'!BX17))</f>
        <v/>
      </c>
      <c r="BY17">
        <f>IF(COUNTIFS(T_StockCount[RM_Code],$A17,T_StockCount[WeekIndex],76)&gt;0,SUMIFS(T_StockCount[CountedQty],T_StockCount[RM_Code],$A17,T_StockCount[WeekIndex],76),IF((COUNTIFS(T_SelfStock[RM_Code],$A17,T_SelfStock[WeekIndex],76)&gt;0)*(COUNTIFS(T_TTAFStock[RM_Code],$A17,T_TTAFStock[WeekIndex],76)&gt;0)&gt;0,SUMIFS(T_SelfStock[Self_Qty],T_SelfStock[RM_Code],$A17,T_SelfStock[WeekIndex],76)+SUMIFS(T_TTAFStock[TTAF_Qty],T_TTAFStock[RM_Code],$A17,T_TTAFStock[WeekIndex],76),BX17+'Grid_Incoming'!BY17-'Grid_Requirement'!BY17))</f>
        <v/>
      </c>
      <c r="BZ17">
        <f>IF(COUNTIFS(T_StockCount[RM_Code],$A17,T_StockCount[WeekIndex],77)&gt;0,SUMIFS(T_StockCount[CountedQty],T_StockCount[RM_Code],$A17,T_StockCount[WeekIndex],77),IF((COUNTIFS(T_SelfStock[RM_Code],$A17,T_SelfStock[WeekIndex],77)&gt;0)*(COUNTIFS(T_TTAFStock[RM_Code],$A17,T_TTAFStock[WeekIndex],77)&gt;0)&gt;0,SUMIFS(T_SelfStock[Self_Qty],T_SelfStock[RM_Code],$A17,T_SelfStock[WeekIndex],77)+SUMIFS(T_TTAFStock[TTAF_Qty],T_TTAFStock[RM_Code],$A17,T_TTAFStock[WeekIndex],77),BY17+'Grid_Incoming'!BZ17-'Grid_Requirement'!BZ17))</f>
        <v/>
      </c>
      <c r="CA17">
        <f>IF(COUNTIFS(T_StockCount[RM_Code],$A17,T_StockCount[WeekIndex],78)&gt;0,SUMIFS(T_StockCount[CountedQty],T_StockCount[RM_Code],$A17,T_StockCount[WeekIndex],78),IF((COUNTIFS(T_SelfStock[RM_Code],$A17,T_SelfStock[WeekIndex],78)&gt;0)*(COUNTIFS(T_TTAFStock[RM_Code],$A17,T_TTAFStock[WeekIndex],78)&gt;0)&gt;0,SUMIFS(T_SelfStock[Self_Qty],T_SelfStock[RM_Code],$A17,T_SelfStock[WeekIndex],78)+SUMIFS(T_TTAFStock[TTAF_Qty],T_TTAFStock[RM_Code],$A17,T_TTAFStock[WeekIndex],78),BZ17+'Grid_Incoming'!CA17-'Grid_Requirement'!CA17))</f>
        <v/>
      </c>
      <c r="CB17">
        <f>IF(COUNTIFS(T_StockCount[RM_Code],$A17,T_StockCount[WeekIndex],79)&gt;0,SUMIFS(T_StockCount[CountedQty],T_StockCount[RM_Code],$A17,T_StockCount[WeekIndex],79),IF((COUNTIFS(T_SelfStock[RM_Code],$A17,T_SelfStock[WeekIndex],79)&gt;0)*(COUNTIFS(T_TTAFStock[RM_Code],$A17,T_TTAFStock[WeekIndex],79)&gt;0)&gt;0,SUMIFS(T_SelfStock[Self_Qty],T_SelfStock[RM_Code],$A17,T_SelfStock[WeekIndex],79)+SUMIFS(T_TTAFStock[TTAF_Qty],T_TTAFStock[RM_Code],$A17,T_TTAFStock[WeekIndex],79),CA17+'Grid_Incoming'!CB17-'Grid_Requirement'!CB17))</f>
        <v/>
      </c>
      <c r="CC17">
        <f>IF(COUNTIFS(T_StockCount[RM_Code],$A17,T_StockCount[WeekIndex],80)&gt;0,SUMIFS(T_StockCount[CountedQty],T_StockCount[RM_Code],$A17,T_StockCount[WeekIndex],80),IF((COUNTIFS(T_SelfStock[RM_Code],$A17,T_SelfStock[WeekIndex],80)&gt;0)*(COUNTIFS(T_TTAFStock[RM_Code],$A17,T_TTAFStock[WeekIndex],80)&gt;0)&gt;0,SUMIFS(T_SelfStock[Self_Qty],T_SelfStock[RM_Code],$A17,T_SelfStock[WeekIndex],80)+SUMIFS(T_TTAFStock[TTAF_Qty],T_TTAFStock[RM_Code],$A17,T_TTAFStock[WeekIndex],80),CB17+'Grid_Incoming'!CC17-'Grid_Requirement'!CC17))</f>
        <v/>
      </c>
      <c r="CD17">
        <f>IF(COUNTIFS(T_StockCount[RM_Code],$A17,T_StockCount[WeekIndex],81)&gt;0,SUMIFS(T_StockCount[CountedQty],T_StockCount[RM_Code],$A17,T_StockCount[WeekIndex],81),IF((COUNTIFS(T_SelfStock[RM_Code],$A17,T_SelfStock[WeekIndex],81)&gt;0)*(COUNTIFS(T_TTAFStock[RM_Code],$A17,T_TTAFStock[WeekIndex],81)&gt;0)&gt;0,SUMIFS(T_SelfStock[Self_Qty],T_SelfStock[RM_Code],$A17,T_SelfStock[WeekIndex],81)+SUMIFS(T_TTAFStock[TTAF_Qty],T_TTAFStock[RM_Code],$A17,T_TTAFStock[WeekIndex],81),CC17+'Grid_Incoming'!CD17-'Grid_Requirement'!CD17))</f>
        <v/>
      </c>
      <c r="CE17">
        <f>IF(COUNTIFS(T_StockCount[RM_Code],$A17,T_StockCount[WeekIndex],82)&gt;0,SUMIFS(T_StockCount[CountedQty],T_StockCount[RM_Code],$A17,T_StockCount[WeekIndex],82),IF((COUNTIFS(T_SelfStock[RM_Code],$A17,T_SelfStock[WeekIndex],82)&gt;0)*(COUNTIFS(T_TTAFStock[RM_Code],$A17,T_TTAFStock[WeekIndex],82)&gt;0)&gt;0,SUMIFS(T_SelfStock[Self_Qty],T_SelfStock[RM_Code],$A17,T_SelfStock[WeekIndex],82)+SUMIFS(T_TTAFStock[TTAF_Qty],T_TTAFStock[RM_Code],$A17,T_TTAFStock[WeekIndex],82),CD17+'Grid_Incoming'!CE17-'Grid_Requirement'!CE17))</f>
        <v/>
      </c>
      <c r="CF17">
        <f>IF(COUNTIFS(T_StockCount[RM_Code],$A17,T_StockCount[WeekIndex],83)&gt;0,SUMIFS(T_StockCount[CountedQty],T_StockCount[RM_Code],$A17,T_StockCount[WeekIndex],83),IF((COUNTIFS(T_SelfStock[RM_Code],$A17,T_SelfStock[WeekIndex],83)&gt;0)*(COUNTIFS(T_TTAFStock[RM_Code],$A17,T_TTAFStock[WeekIndex],83)&gt;0)&gt;0,SUMIFS(T_SelfStock[Self_Qty],T_SelfStock[RM_Code],$A17,T_SelfStock[WeekIndex],83)+SUMIFS(T_TTAFStock[TTAF_Qty],T_TTAFStock[RM_Code],$A17,T_TTAFStock[WeekIndex],83),CE17+'Grid_Incoming'!CF17-'Grid_Requirement'!CF17))</f>
        <v/>
      </c>
      <c r="CG17">
        <f>IF(COUNTIFS(T_StockCount[RM_Code],$A17,T_StockCount[WeekIndex],84)&gt;0,SUMIFS(T_StockCount[CountedQty],T_StockCount[RM_Code],$A17,T_StockCount[WeekIndex],84),IF((COUNTIFS(T_SelfStock[RM_Code],$A17,T_SelfStock[WeekIndex],84)&gt;0)*(COUNTIFS(T_TTAFStock[RM_Code],$A17,T_TTAFStock[WeekIndex],84)&gt;0)&gt;0,SUMIFS(T_SelfStock[Self_Qty],T_SelfStock[RM_Code],$A17,T_SelfStock[WeekIndex],84)+SUMIFS(T_TTAFStock[TTAF_Qty],T_TTAFStock[RM_Code],$A17,T_TTAFStock[WeekIndex],84),CF17+'Grid_Incoming'!CG17-'Grid_Requirement'!CG17))</f>
        <v/>
      </c>
      <c r="CH17">
        <f>IF(COUNTIFS(T_StockCount[RM_Code],$A17,T_StockCount[WeekIndex],85)&gt;0,SUMIFS(T_StockCount[CountedQty],T_StockCount[RM_Code],$A17,T_StockCount[WeekIndex],85),IF((COUNTIFS(T_SelfStock[RM_Code],$A17,T_SelfStock[WeekIndex],85)&gt;0)*(COUNTIFS(T_TTAFStock[RM_Code],$A17,T_TTAFStock[WeekIndex],85)&gt;0)&gt;0,SUMIFS(T_SelfStock[Self_Qty],T_SelfStock[RM_Code],$A17,T_SelfStock[WeekIndex],85)+SUMIFS(T_TTAFStock[TTAF_Qty],T_TTAFStock[RM_Code],$A17,T_TTAFStock[WeekIndex],85),CG17+'Grid_Incoming'!CH17-'Grid_Requirement'!CH17))</f>
        <v/>
      </c>
      <c r="CI17">
        <f>IF(COUNTIFS(T_StockCount[RM_Code],$A17,T_StockCount[WeekIndex],86)&gt;0,SUMIFS(T_StockCount[CountedQty],T_StockCount[RM_Code],$A17,T_StockCount[WeekIndex],86),IF((COUNTIFS(T_SelfStock[RM_Code],$A17,T_SelfStock[WeekIndex],86)&gt;0)*(COUNTIFS(T_TTAFStock[RM_Code],$A17,T_TTAFStock[WeekIndex],86)&gt;0)&gt;0,SUMIFS(T_SelfStock[Self_Qty],T_SelfStock[RM_Code],$A17,T_SelfStock[WeekIndex],86)+SUMIFS(T_TTAFStock[TTAF_Qty],T_TTAFStock[RM_Code],$A17,T_TTAFStock[WeekIndex],86),CH17+'Grid_Incoming'!CI17-'Grid_Requirement'!CI17))</f>
        <v/>
      </c>
      <c r="CJ17">
        <f>IF(COUNTIFS(T_StockCount[RM_Code],$A17,T_StockCount[WeekIndex],87)&gt;0,SUMIFS(T_StockCount[CountedQty],T_StockCount[RM_Code],$A17,T_StockCount[WeekIndex],87),IF((COUNTIFS(T_SelfStock[RM_Code],$A17,T_SelfStock[WeekIndex],87)&gt;0)*(COUNTIFS(T_TTAFStock[RM_Code],$A17,T_TTAFStock[WeekIndex],87)&gt;0)&gt;0,SUMIFS(T_SelfStock[Self_Qty],T_SelfStock[RM_Code],$A17,T_SelfStock[WeekIndex],87)+SUMIFS(T_TTAFStock[TTAF_Qty],T_TTAFStock[RM_Code],$A17,T_TTAFStock[WeekIndex],87),CI17+'Grid_Incoming'!CJ17-'Grid_Requirement'!CJ17))</f>
        <v/>
      </c>
      <c r="CK17">
        <f>IF(COUNTIFS(T_StockCount[RM_Code],$A17,T_StockCount[WeekIndex],88)&gt;0,SUMIFS(T_StockCount[CountedQty],T_StockCount[RM_Code],$A17,T_StockCount[WeekIndex],88),IF((COUNTIFS(T_SelfStock[RM_Code],$A17,T_SelfStock[WeekIndex],88)&gt;0)*(COUNTIFS(T_TTAFStock[RM_Code],$A17,T_TTAFStock[WeekIndex],88)&gt;0)&gt;0,SUMIFS(T_SelfStock[Self_Qty],T_SelfStock[RM_Code],$A17,T_SelfStock[WeekIndex],88)+SUMIFS(T_TTAFStock[TTAF_Qty],T_TTAFStock[RM_Code],$A17,T_TTAFStock[WeekIndex],88),CJ17+'Grid_Incoming'!CK17-'Grid_Requirement'!CK17))</f>
        <v/>
      </c>
      <c r="CL17">
        <f>IF(COUNTIFS(T_StockCount[RM_Code],$A17,T_StockCount[WeekIndex],89)&gt;0,SUMIFS(T_StockCount[CountedQty],T_StockCount[RM_Code],$A17,T_StockCount[WeekIndex],89),IF((COUNTIFS(T_SelfStock[RM_Code],$A17,T_SelfStock[WeekIndex],89)&gt;0)*(COUNTIFS(T_TTAFStock[RM_Code],$A17,T_TTAFStock[WeekIndex],89)&gt;0)&gt;0,SUMIFS(T_SelfStock[Self_Qty],T_SelfStock[RM_Code],$A17,T_SelfStock[WeekIndex],89)+SUMIFS(T_TTAFStock[TTAF_Qty],T_TTAFStock[RM_Code],$A17,T_TTAFStock[WeekIndex],89),CK17+'Grid_Incoming'!CL17-'Grid_Requirement'!CL17))</f>
        <v/>
      </c>
      <c r="CM17">
        <f>IF(COUNTIFS(T_StockCount[RM_Code],$A17,T_StockCount[WeekIndex],90)&gt;0,SUMIFS(T_StockCount[CountedQty],T_StockCount[RM_Code],$A17,T_StockCount[WeekIndex],90),IF((COUNTIFS(T_SelfStock[RM_Code],$A17,T_SelfStock[WeekIndex],90)&gt;0)*(COUNTIFS(T_TTAFStock[RM_Code],$A17,T_TTAFStock[WeekIndex],90)&gt;0)&gt;0,SUMIFS(T_SelfStock[Self_Qty],T_SelfStock[RM_Code],$A17,T_SelfStock[WeekIndex],90)+SUMIFS(T_TTAFStock[TTAF_Qty],T_TTAFStock[RM_Code],$A17,T_TTAFStock[WeekIndex],90),CL17+'Grid_Incoming'!CM17-'Grid_Requirement'!CM17))</f>
        <v/>
      </c>
      <c r="CN17">
        <f>IF(COUNTIFS(T_StockCount[RM_Code],$A17,T_StockCount[WeekIndex],91)&gt;0,SUMIFS(T_StockCount[CountedQty],T_StockCount[RM_Code],$A17,T_StockCount[WeekIndex],91),IF((COUNTIFS(T_SelfStock[RM_Code],$A17,T_SelfStock[WeekIndex],91)&gt;0)*(COUNTIFS(T_TTAFStock[RM_Code],$A17,T_TTAFStock[WeekIndex],91)&gt;0)&gt;0,SUMIFS(T_SelfStock[Self_Qty],T_SelfStock[RM_Code],$A17,T_SelfStock[WeekIndex],91)+SUMIFS(T_TTAFStock[TTAF_Qty],T_TTAFStock[RM_Code],$A17,T_TTAFStock[WeekIndex],91),CM17+'Grid_Incoming'!CN17-'Grid_Requirement'!CN17))</f>
        <v/>
      </c>
      <c r="CO17">
        <f>IF(COUNTIFS(T_StockCount[RM_Code],$A17,T_StockCount[WeekIndex],92)&gt;0,SUMIFS(T_StockCount[CountedQty],T_StockCount[RM_Code],$A17,T_StockCount[WeekIndex],92),IF((COUNTIFS(T_SelfStock[RM_Code],$A17,T_SelfStock[WeekIndex],92)&gt;0)*(COUNTIFS(T_TTAFStock[RM_Code],$A17,T_TTAFStock[WeekIndex],92)&gt;0)&gt;0,SUMIFS(T_SelfStock[Self_Qty],T_SelfStock[RM_Code],$A17,T_SelfStock[WeekIndex],92)+SUMIFS(T_TTAFStock[TTAF_Qty],T_TTAFStock[RM_Code],$A17,T_TTAFStock[WeekIndex],92),CN17+'Grid_Incoming'!CO17-'Grid_Requirement'!CO17))</f>
        <v/>
      </c>
      <c r="CP17">
        <f>IF(COUNTIFS(T_StockCount[RM_Code],$A17,T_StockCount[WeekIndex],93)&gt;0,SUMIFS(T_StockCount[CountedQty],T_StockCount[RM_Code],$A17,T_StockCount[WeekIndex],93),IF((COUNTIFS(T_SelfStock[RM_Code],$A17,T_SelfStock[WeekIndex],93)&gt;0)*(COUNTIFS(T_TTAFStock[RM_Code],$A17,T_TTAFStock[WeekIndex],93)&gt;0)&gt;0,SUMIFS(T_SelfStock[Self_Qty],T_SelfStock[RM_Code],$A17,T_SelfStock[WeekIndex],93)+SUMIFS(T_TTAFStock[TTAF_Qty],T_TTAFStock[RM_Code],$A17,T_TTAFStock[WeekIndex],93),CO17+'Grid_Incoming'!CP17-'Grid_Requirement'!CP17))</f>
        <v/>
      </c>
      <c r="CQ17">
        <f>IF(COUNTIFS(T_StockCount[RM_Code],$A17,T_StockCount[WeekIndex],94)&gt;0,SUMIFS(T_StockCount[CountedQty],T_StockCount[RM_Code],$A17,T_StockCount[WeekIndex],94),IF((COUNTIFS(T_SelfStock[RM_Code],$A17,T_SelfStock[WeekIndex],94)&gt;0)*(COUNTIFS(T_TTAFStock[RM_Code],$A17,T_TTAFStock[WeekIndex],94)&gt;0)&gt;0,SUMIFS(T_SelfStock[Self_Qty],T_SelfStock[RM_Code],$A17,T_SelfStock[WeekIndex],94)+SUMIFS(T_TTAFStock[TTAF_Qty],T_TTAFStock[RM_Code],$A17,T_TTAFStock[WeekIndex],94),CP17+'Grid_Incoming'!CQ17-'Grid_Requirement'!CQ17))</f>
        <v/>
      </c>
      <c r="CR17">
        <f>IF(COUNTIFS(T_StockCount[RM_Code],$A17,T_StockCount[WeekIndex],95)&gt;0,SUMIFS(T_StockCount[CountedQty],T_StockCount[RM_Code],$A17,T_StockCount[WeekIndex],95),IF((COUNTIFS(T_SelfStock[RM_Code],$A17,T_SelfStock[WeekIndex],95)&gt;0)*(COUNTIFS(T_TTAFStock[RM_Code],$A17,T_TTAFStock[WeekIndex],95)&gt;0)&gt;0,SUMIFS(T_SelfStock[Self_Qty],T_SelfStock[RM_Code],$A17,T_SelfStock[WeekIndex],95)+SUMIFS(T_TTAFStock[TTAF_Qty],T_TTAFStock[RM_Code],$A17,T_TTAFStock[WeekIndex],95),CQ17+'Grid_Incoming'!CR17-'Grid_Requirement'!CR17))</f>
        <v/>
      </c>
      <c r="CS17">
        <f>IF(COUNTIFS(T_StockCount[RM_Code],$A17,T_StockCount[WeekIndex],96)&gt;0,SUMIFS(T_StockCount[CountedQty],T_StockCount[RM_Code],$A17,T_StockCount[WeekIndex],96),IF((COUNTIFS(T_SelfStock[RM_Code],$A17,T_SelfStock[WeekIndex],96)&gt;0)*(COUNTIFS(T_TTAFStock[RM_Code],$A17,T_TTAFStock[WeekIndex],96)&gt;0)&gt;0,SUMIFS(T_SelfStock[Self_Qty],T_SelfStock[RM_Code],$A17,T_SelfStock[WeekIndex],96)+SUMIFS(T_TTAFStock[TTAF_Qty],T_TTAFStock[RM_Code],$A17,T_TTAFStock[WeekIndex],96),CR17+'Grid_Incoming'!CS17-'Grid_Requirement'!CS17))</f>
        <v/>
      </c>
      <c r="CT17">
        <f>IF(COUNTIFS(T_StockCount[RM_Code],$A17,T_StockCount[WeekIndex],97)&gt;0,SUMIFS(T_StockCount[CountedQty],T_StockCount[RM_Code],$A17,T_StockCount[WeekIndex],97),IF((COUNTIFS(T_SelfStock[RM_Code],$A17,T_SelfStock[WeekIndex],97)&gt;0)*(COUNTIFS(T_TTAFStock[RM_Code],$A17,T_TTAFStock[WeekIndex],97)&gt;0)&gt;0,SUMIFS(T_SelfStock[Self_Qty],T_SelfStock[RM_Code],$A17,T_SelfStock[WeekIndex],97)+SUMIFS(T_TTAFStock[TTAF_Qty],T_TTAFStock[RM_Code],$A17,T_TTAFStock[WeekIndex],97),CS17+'Grid_Incoming'!CT17-'Grid_Requirement'!CT17))</f>
        <v/>
      </c>
      <c r="CU17">
        <f>IF(COUNTIFS(T_StockCount[RM_Code],$A17,T_StockCount[WeekIndex],98)&gt;0,SUMIFS(T_StockCount[CountedQty],T_StockCount[RM_Code],$A17,T_StockCount[WeekIndex],98),IF((COUNTIFS(T_SelfStock[RM_Code],$A17,T_SelfStock[WeekIndex],98)&gt;0)*(COUNTIFS(T_TTAFStock[RM_Code],$A17,T_TTAFStock[WeekIndex],98)&gt;0)&gt;0,SUMIFS(T_SelfStock[Self_Qty],T_SelfStock[RM_Code],$A17,T_SelfStock[WeekIndex],98)+SUMIFS(T_TTAFStock[TTAF_Qty],T_TTAFStock[RM_Code],$A17,T_TTAFStock[WeekIndex],98),CT17+'Grid_Incoming'!CU17-'Grid_Requirement'!CU17))</f>
        <v/>
      </c>
      <c r="CV17">
        <f>IF(COUNTIFS(T_StockCount[RM_Code],$A17,T_StockCount[WeekIndex],99)&gt;0,SUMIFS(T_StockCount[CountedQty],T_StockCount[RM_Code],$A17,T_StockCount[WeekIndex],99),IF((COUNTIFS(T_SelfStock[RM_Code],$A17,T_SelfStock[WeekIndex],99)&gt;0)*(COUNTIFS(T_TTAFStock[RM_Code],$A17,T_TTAFStock[WeekIndex],99)&gt;0)&gt;0,SUMIFS(T_SelfStock[Self_Qty],T_SelfStock[RM_Code],$A17,T_SelfStock[WeekIndex],99)+SUMIFS(T_TTAFStock[TTAF_Qty],T_TTAFStock[RM_Code],$A17,T_TTAFStock[WeekIndex],99),CU17+'Grid_Incoming'!CV17-'Grid_Requirement'!CV17))</f>
        <v/>
      </c>
      <c r="CW17">
        <f>IF(COUNTIFS(T_StockCount[RM_Code],$A17,T_StockCount[WeekIndex],100)&gt;0,SUMIFS(T_StockCount[CountedQty],T_StockCount[RM_Code],$A17,T_StockCount[WeekIndex],100),IF((COUNTIFS(T_SelfStock[RM_Code],$A17,T_SelfStock[WeekIndex],100)&gt;0)*(COUNTIFS(T_TTAFStock[RM_Code],$A17,T_TTAFStock[WeekIndex],100)&gt;0)&gt;0,SUMIFS(T_SelfStock[Self_Qty],T_SelfStock[RM_Code],$A17,T_SelfStock[WeekIndex],100)+SUMIFS(T_TTAFStock[TTAF_Qty],T_TTAFStock[RM_Code],$A17,T_TTAFStock[WeekIndex],100),CV17+'Grid_Incoming'!CW17-'Grid_Requirement'!CW17))</f>
        <v/>
      </c>
      <c r="CX17">
        <f>IF(COUNTIFS(T_StockCount[RM_Code],$A17,T_StockCount[WeekIndex],101)&gt;0,SUMIFS(T_StockCount[CountedQty],T_StockCount[RM_Code],$A17,T_StockCount[WeekIndex],101),IF((COUNTIFS(T_SelfStock[RM_Code],$A17,T_SelfStock[WeekIndex],101)&gt;0)*(COUNTIFS(T_TTAFStock[RM_Code],$A17,T_TTAFStock[WeekIndex],101)&gt;0)&gt;0,SUMIFS(T_SelfStock[Self_Qty],T_SelfStock[RM_Code],$A17,T_SelfStock[WeekIndex],101)+SUMIFS(T_TTAFStock[TTAF_Qty],T_TTAFStock[RM_Code],$A17,T_TTAFStock[WeekIndex],101),CW17+'Grid_Incoming'!CX17-'Grid_Requirement'!CX17))</f>
        <v/>
      </c>
      <c r="CY17">
        <f>IF(COUNTIFS(T_StockCount[RM_Code],$A17,T_StockCount[WeekIndex],102)&gt;0,SUMIFS(T_StockCount[CountedQty],T_StockCount[RM_Code],$A17,T_StockCount[WeekIndex],102),IF((COUNTIFS(T_SelfStock[RM_Code],$A17,T_SelfStock[WeekIndex],102)&gt;0)*(COUNTIFS(T_TTAFStock[RM_Code],$A17,T_TTAFStock[WeekIndex],102)&gt;0)&gt;0,SUMIFS(T_SelfStock[Self_Qty],T_SelfStock[RM_Code],$A17,T_SelfStock[WeekIndex],102)+SUMIFS(T_TTAFStock[TTAF_Qty],T_TTAFStock[RM_Code],$A17,T_TTAFStock[WeekIndex],102),CX17+'Grid_Incoming'!CY17-'Grid_Requirement'!CY17))</f>
        <v/>
      </c>
      <c r="CZ17">
        <f>IF(COUNTIFS(T_StockCount[RM_Code],$A17,T_StockCount[WeekIndex],103)&gt;0,SUMIFS(T_StockCount[CountedQty],T_StockCount[RM_Code],$A17,T_StockCount[WeekIndex],103),IF((COUNTIFS(T_SelfStock[RM_Code],$A17,T_SelfStock[WeekIndex],103)&gt;0)*(COUNTIFS(T_TTAFStock[RM_Code],$A17,T_TTAFStock[WeekIndex],103)&gt;0)&gt;0,SUMIFS(T_SelfStock[Self_Qty],T_SelfStock[RM_Code],$A17,T_SelfStock[WeekIndex],103)+SUMIFS(T_TTAFStock[TTAF_Qty],T_TTAFStock[RM_Code],$A17,T_TTAFStock[WeekIndex],103),CY17+'Grid_Incoming'!CZ17-'Grid_Requirement'!CZ17))</f>
        <v/>
      </c>
      <c r="DA17">
        <f>IF(COUNTIFS(T_StockCount[RM_Code],$A17,T_StockCount[WeekIndex],104)&gt;0,SUMIFS(T_StockCount[CountedQty],T_StockCount[RM_Code],$A17,T_StockCount[WeekIndex],104),IF((COUNTIFS(T_SelfStock[RM_Code],$A17,T_SelfStock[WeekIndex],104)&gt;0)*(COUNTIFS(T_TTAFStock[RM_Code],$A17,T_TTAFStock[WeekIndex],104)&gt;0)&gt;0,SUMIFS(T_SelfStock[Self_Qty],T_SelfStock[RM_Code],$A17,T_SelfStock[WeekIndex],104)+SUMIFS(T_TTAFStock[TTAF_Qty],T_TTAFStock[RM_Code],$A17,T_TTAFStock[WeekIndex],104),CZ17+'Grid_Incoming'!DA17-'Grid_Requirement'!DA17))</f>
        <v/>
      </c>
    </row>
    <row r="18">
      <c r="A18" t="inlineStr">
        <is>
          <t>CHEM-1400</t>
        </is>
      </c>
      <c r="B18">
        <f>IF(COUNTIFS(T_StockCount[RM_Code],$A18,T_StockCount[WeekIndex],1)&gt;0,SUMIFS(T_StockCount[CountedQty],T_StockCount[RM_Code],$A18,T_StockCount[WeekIndex],1),IF((COUNTIFS(T_SelfStock[RM_Code],$A18,T_SelfStock[WeekIndex],1)&gt;0)*(COUNTIFS(T_TTAFStock[RM_Code],$A18,T_TTAFStock[WeekIndex],1)&gt;0)&gt;0,SUMIFS(T_SelfStock[Self_Qty],T_SelfStock[RM_Code],$A18,T_SelfStock[WeekIndex],1)+SUMIFS(T_TTAFStock[TTAF_Qty],T_TTAFStock[RM_Code],$A18,T_TTAFStock[WeekIndex],1),IFERROR(INDEX(T_OpeningStock[Opening_Qty],MATCH($A18,T_OpeningStock[RM_Code],0)),0)+'Grid_Incoming'!B18-'Grid_Requirement'!B18))</f>
        <v/>
      </c>
      <c r="C18">
        <f>IF(COUNTIFS(T_StockCount[RM_Code],$A18,T_StockCount[WeekIndex],2)&gt;0,SUMIFS(T_StockCount[CountedQty],T_StockCount[RM_Code],$A18,T_StockCount[WeekIndex],2),IF((COUNTIFS(T_SelfStock[RM_Code],$A18,T_SelfStock[WeekIndex],2)&gt;0)*(COUNTIFS(T_TTAFStock[RM_Code],$A18,T_TTAFStock[WeekIndex],2)&gt;0)&gt;0,SUMIFS(T_SelfStock[Self_Qty],T_SelfStock[RM_Code],$A18,T_SelfStock[WeekIndex],2)+SUMIFS(T_TTAFStock[TTAF_Qty],T_TTAFStock[RM_Code],$A18,T_TTAFStock[WeekIndex],2),B18+'Grid_Incoming'!C18-'Grid_Requirement'!C18))</f>
        <v/>
      </c>
      <c r="D18">
        <f>IF(COUNTIFS(T_StockCount[RM_Code],$A18,T_StockCount[WeekIndex],3)&gt;0,SUMIFS(T_StockCount[CountedQty],T_StockCount[RM_Code],$A18,T_StockCount[WeekIndex],3),IF((COUNTIFS(T_SelfStock[RM_Code],$A18,T_SelfStock[WeekIndex],3)&gt;0)*(COUNTIFS(T_TTAFStock[RM_Code],$A18,T_TTAFStock[WeekIndex],3)&gt;0)&gt;0,SUMIFS(T_SelfStock[Self_Qty],T_SelfStock[RM_Code],$A18,T_SelfStock[WeekIndex],3)+SUMIFS(T_TTAFStock[TTAF_Qty],T_TTAFStock[RM_Code],$A18,T_TTAFStock[WeekIndex],3),C18+'Grid_Incoming'!D18-'Grid_Requirement'!D18))</f>
        <v/>
      </c>
      <c r="E18">
        <f>IF(COUNTIFS(T_StockCount[RM_Code],$A18,T_StockCount[WeekIndex],4)&gt;0,SUMIFS(T_StockCount[CountedQty],T_StockCount[RM_Code],$A18,T_StockCount[WeekIndex],4),IF((COUNTIFS(T_SelfStock[RM_Code],$A18,T_SelfStock[WeekIndex],4)&gt;0)*(COUNTIFS(T_TTAFStock[RM_Code],$A18,T_TTAFStock[WeekIndex],4)&gt;0)&gt;0,SUMIFS(T_SelfStock[Self_Qty],T_SelfStock[RM_Code],$A18,T_SelfStock[WeekIndex],4)+SUMIFS(T_TTAFStock[TTAF_Qty],T_TTAFStock[RM_Code],$A18,T_TTAFStock[WeekIndex],4),D18+'Grid_Incoming'!E18-'Grid_Requirement'!E18))</f>
        <v/>
      </c>
      <c r="F18">
        <f>IF(COUNTIFS(T_StockCount[RM_Code],$A18,T_StockCount[WeekIndex],5)&gt;0,SUMIFS(T_StockCount[CountedQty],T_StockCount[RM_Code],$A18,T_StockCount[WeekIndex],5),IF((COUNTIFS(T_SelfStock[RM_Code],$A18,T_SelfStock[WeekIndex],5)&gt;0)*(COUNTIFS(T_TTAFStock[RM_Code],$A18,T_TTAFStock[WeekIndex],5)&gt;0)&gt;0,SUMIFS(T_SelfStock[Self_Qty],T_SelfStock[RM_Code],$A18,T_SelfStock[WeekIndex],5)+SUMIFS(T_TTAFStock[TTAF_Qty],T_TTAFStock[RM_Code],$A18,T_TTAFStock[WeekIndex],5),E18+'Grid_Incoming'!F18-'Grid_Requirement'!F18))</f>
        <v/>
      </c>
      <c r="G18">
        <f>IF(COUNTIFS(T_StockCount[RM_Code],$A18,T_StockCount[WeekIndex],6)&gt;0,SUMIFS(T_StockCount[CountedQty],T_StockCount[RM_Code],$A18,T_StockCount[WeekIndex],6),IF((COUNTIFS(T_SelfStock[RM_Code],$A18,T_SelfStock[WeekIndex],6)&gt;0)*(COUNTIFS(T_TTAFStock[RM_Code],$A18,T_TTAFStock[WeekIndex],6)&gt;0)&gt;0,SUMIFS(T_SelfStock[Self_Qty],T_SelfStock[RM_Code],$A18,T_SelfStock[WeekIndex],6)+SUMIFS(T_TTAFStock[TTAF_Qty],T_TTAFStock[RM_Code],$A18,T_TTAFStock[WeekIndex],6),F18+'Grid_Incoming'!G18-'Grid_Requirement'!G18))</f>
        <v/>
      </c>
      <c r="H18">
        <f>IF(COUNTIFS(T_StockCount[RM_Code],$A18,T_StockCount[WeekIndex],7)&gt;0,SUMIFS(T_StockCount[CountedQty],T_StockCount[RM_Code],$A18,T_StockCount[WeekIndex],7),IF((COUNTIFS(T_SelfStock[RM_Code],$A18,T_SelfStock[WeekIndex],7)&gt;0)*(COUNTIFS(T_TTAFStock[RM_Code],$A18,T_TTAFStock[WeekIndex],7)&gt;0)&gt;0,SUMIFS(T_SelfStock[Self_Qty],T_SelfStock[RM_Code],$A18,T_SelfStock[WeekIndex],7)+SUMIFS(T_TTAFStock[TTAF_Qty],T_TTAFStock[RM_Code],$A18,T_TTAFStock[WeekIndex],7),G18+'Grid_Incoming'!H18-'Grid_Requirement'!H18))</f>
        <v/>
      </c>
      <c r="I18">
        <f>IF(COUNTIFS(T_StockCount[RM_Code],$A18,T_StockCount[WeekIndex],8)&gt;0,SUMIFS(T_StockCount[CountedQty],T_StockCount[RM_Code],$A18,T_StockCount[WeekIndex],8),IF((COUNTIFS(T_SelfStock[RM_Code],$A18,T_SelfStock[WeekIndex],8)&gt;0)*(COUNTIFS(T_TTAFStock[RM_Code],$A18,T_TTAFStock[WeekIndex],8)&gt;0)&gt;0,SUMIFS(T_SelfStock[Self_Qty],T_SelfStock[RM_Code],$A18,T_SelfStock[WeekIndex],8)+SUMIFS(T_TTAFStock[TTAF_Qty],T_TTAFStock[RM_Code],$A18,T_TTAFStock[WeekIndex],8),H18+'Grid_Incoming'!I18-'Grid_Requirement'!I18))</f>
        <v/>
      </c>
      <c r="J18">
        <f>IF(COUNTIFS(T_StockCount[RM_Code],$A18,T_StockCount[WeekIndex],9)&gt;0,SUMIFS(T_StockCount[CountedQty],T_StockCount[RM_Code],$A18,T_StockCount[WeekIndex],9),IF((COUNTIFS(T_SelfStock[RM_Code],$A18,T_SelfStock[WeekIndex],9)&gt;0)*(COUNTIFS(T_TTAFStock[RM_Code],$A18,T_TTAFStock[WeekIndex],9)&gt;0)&gt;0,SUMIFS(T_SelfStock[Self_Qty],T_SelfStock[RM_Code],$A18,T_SelfStock[WeekIndex],9)+SUMIFS(T_TTAFStock[TTAF_Qty],T_TTAFStock[RM_Code],$A18,T_TTAFStock[WeekIndex],9),I18+'Grid_Incoming'!J18-'Grid_Requirement'!J18))</f>
        <v/>
      </c>
      <c r="K18">
        <f>IF(COUNTIFS(T_StockCount[RM_Code],$A18,T_StockCount[WeekIndex],10)&gt;0,SUMIFS(T_StockCount[CountedQty],T_StockCount[RM_Code],$A18,T_StockCount[WeekIndex],10),IF((COUNTIFS(T_SelfStock[RM_Code],$A18,T_SelfStock[WeekIndex],10)&gt;0)*(COUNTIFS(T_TTAFStock[RM_Code],$A18,T_TTAFStock[WeekIndex],10)&gt;0)&gt;0,SUMIFS(T_SelfStock[Self_Qty],T_SelfStock[RM_Code],$A18,T_SelfStock[WeekIndex],10)+SUMIFS(T_TTAFStock[TTAF_Qty],T_TTAFStock[RM_Code],$A18,T_TTAFStock[WeekIndex],10),J18+'Grid_Incoming'!K18-'Grid_Requirement'!K18))</f>
        <v/>
      </c>
      <c r="L18">
        <f>IF(COUNTIFS(T_StockCount[RM_Code],$A18,T_StockCount[WeekIndex],11)&gt;0,SUMIFS(T_StockCount[CountedQty],T_StockCount[RM_Code],$A18,T_StockCount[WeekIndex],11),IF((COUNTIFS(T_SelfStock[RM_Code],$A18,T_SelfStock[WeekIndex],11)&gt;0)*(COUNTIFS(T_TTAFStock[RM_Code],$A18,T_TTAFStock[WeekIndex],11)&gt;0)&gt;0,SUMIFS(T_SelfStock[Self_Qty],T_SelfStock[RM_Code],$A18,T_SelfStock[WeekIndex],11)+SUMIFS(T_TTAFStock[TTAF_Qty],T_TTAFStock[RM_Code],$A18,T_TTAFStock[WeekIndex],11),K18+'Grid_Incoming'!L18-'Grid_Requirement'!L18))</f>
        <v/>
      </c>
      <c r="M18">
        <f>IF(COUNTIFS(T_StockCount[RM_Code],$A18,T_StockCount[WeekIndex],12)&gt;0,SUMIFS(T_StockCount[CountedQty],T_StockCount[RM_Code],$A18,T_StockCount[WeekIndex],12),IF((COUNTIFS(T_SelfStock[RM_Code],$A18,T_SelfStock[WeekIndex],12)&gt;0)*(COUNTIFS(T_TTAFStock[RM_Code],$A18,T_TTAFStock[WeekIndex],12)&gt;0)&gt;0,SUMIFS(T_SelfStock[Self_Qty],T_SelfStock[RM_Code],$A18,T_SelfStock[WeekIndex],12)+SUMIFS(T_TTAFStock[TTAF_Qty],T_TTAFStock[RM_Code],$A18,T_TTAFStock[WeekIndex],12),L18+'Grid_Incoming'!M18-'Grid_Requirement'!M18))</f>
        <v/>
      </c>
      <c r="N18">
        <f>IF(COUNTIFS(T_StockCount[RM_Code],$A18,T_StockCount[WeekIndex],13)&gt;0,SUMIFS(T_StockCount[CountedQty],T_StockCount[RM_Code],$A18,T_StockCount[WeekIndex],13),IF((COUNTIFS(T_SelfStock[RM_Code],$A18,T_SelfStock[WeekIndex],13)&gt;0)*(COUNTIFS(T_TTAFStock[RM_Code],$A18,T_TTAFStock[WeekIndex],13)&gt;0)&gt;0,SUMIFS(T_SelfStock[Self_Qty],T_SelfStock[RM_Code],$A18,T_SelfStock[WeekIndex],13)+SUMIFS(T_TTAFStock[TTAF_Qty],T_TTAFStock[RM_Code],$A18,T_TTAFStock[WeekIndex],13),M18+'Grid_Incoming'!N18-'Grid_Requirement'!N18))</f>
        <v/>
      </c>
      <c r="O18">
        <f>IF(COUNTIFS(T_StockCount[RM_Code],$A18,T_StockCount[WeekIndex],14)&gt;0,SUMIFS(T_StockCount[CountedQty],T_StockCount[RM_Code],$A18,T_StockCount[WeekIndex],14),IF((COUNTIFS(T_SelfStock[RM_Code],$A18,T_SelfStock[WeekIndex],14)&gt;0)*(COUNTIFS(T_TTAFStock[RM_Code],$A18,T_TTAFStock[WeekIndex],14)&gt;0)&gt;0,SUMIFS(T_SelfStock[Self_Qty],T_SelfStock[RM_Code],$A18,T_SelfStock[WeekIndex],14)+SUMIFS(T_TTAFStock[TTAF_Qty],T_TTAFStock[RM_Code],$A18,T_TTAFStock[WeekIndex],14),N18+'Grid_Incoming'!O18-'Grid_Requirement'!O18))</f>
        <v/>
      </c>
      <c r="P18">
        <f>IF(COUNTIFS(T_StockCount[RM_Code],$A18,T_StockCount[WeekIndex],15)&gt;0,SUMIFS(T_StockCount[CountedQty],T_StockCount[RM_Code],$A18,T_StockCount[WeekIndex],15),IF((COUNTIFS(T_SelfStock[RM_Code],$A18,T_SelfStock[WeekIndex],15)&gt;0)*(COUNTIFS(T_TTAFStock[RM_Code],$A18,T_TTAFStock[WeekIndex],15)&gt;0)&gt;0,SUMIFS(T_SelfStock[Self_Qty],T_SelfStock[RM_Code],$A18,T_SelfStock[WeekIndex],15)+SUMIFS(T_TTAFStock[TTAF_Qty],T_TTAFStock[RM_Code],$A18,T_TTAFStock[WeekIndex],15),O18+'Grid_Incoming'!P18-'Grid_Requirement'!P18))</f>
        <v/>
      </c>
      <c r="Q18">
        <f>IF(COUNTIFS(T_StockCount[RM_Code],$A18,T_StockCount[WeekIndex],16)&gt;0,SUMIFS(T_StockCount[CountedQty],T_StockCount[RM_Code],$A18,T_StockCount[WeekIndex],16),IF((COUNTIFS(T_SelfStock[RM_Code],$A18,T_SelfStock[WeekIndex],16)&gt;0)*(COUNTIFS(T_TTAFStock[RM_Code],$A18,T_TTAFStock[WeekIndex],16)&gt;0)&gt;0,SUMIFS(T_SelfStock[Self_Qty],T_SelfStock[RM_Code],$A18,T_SelfStock[WeekIndex],16)+SUMIFS(T_TTAFStock[TTAF_Qty],T_TTAFStock[RM_Code],$A18,T_TTAFStock[WeekIndex],16),P18+'Grid_Incoming'!Q18-'Grid_Requirement'!Q18))</f>
        <v/>
      </c>
      <c r="R18">
        <f>IF(COUNTIFS(T_StockCount[RM_Code],$A18,T_StockCount[WeekIndex],17)&gt;0,SUMIFS(T_StockCount[CountedQty],T_StockCount[RM_Code],$A18,T_StockCount[WeekIndex],17),IF((COUNTIFS(T_SelfStock[RM_Code],$A18,T_SelfStock[WeekIndex],17)&gt;0)*(COUNTIFS(T_TTAFStock[RM_Code],$A18,T_TTAFStock[WeekIndex],17)&gt;0)&gt;0,SUMIFS(T_SelfStock[Self_Qty],T_SelfStock[RM_Code],$A18,T_SelfStock[WeekIndex],17)+SUMIFS(T_TTAFStock[TTAF_Qty],T_TTAFStock[RM_Code],$A18,T_TTAFStock[WeekIndex],17),Q18+'Grid_Incoming'!R18-'Grid_Requirement'!R18))</f>
        <v/>
      </c>
      <c r="S18">
        <f>IF(COUNTIFS(T_StockCount[RM_Code],$A18,T_StockCount[WeekIndex],18)&gt;0,SUMIFS(T_StockCount[CountedQty],T_StockCount[RM_Code],$A18,T_StockCount[WeekIndex],18),IF((COUNTIFS(T_SelfStock[RM_Code],$A18,T_SelfStock[WeekIndex],18)&gt;0)*(COUNTIFS(T_TTAFStock[RM_Code],$A18,T_TTAFStock[WeekIndex],18)&gt;0)&gt;0,SUMIFS(T_SelfStock[Self_Qty],T_SelfStock[RM_Code],$A18,T_SelfStock[WeekIndex],18)+SUMIFS(T_TTAFStock[TTAF_Qty],T_TTAFStock[RM_Code],$A18,T_TTAFStock[WeekIndex],18),R18+'Grid_Incoming'!S18-'Grid_Requirement'!S18))</f>
        <v/>
      </c>
      <c r="T18">
        <f>IF(COUNTIFS(T_StockCount[RM_Code],$A18,T_StockCount[WeekIndex],19)&gt;0,SUMIFS(T_StockCount[CountedQty],T_StockCount[RM_Code],$A18,T_StockCount[WeekIndex],19),IF((COUNTIFS(T_SelfStock[RM_Code],$A18,T_SelfStock[WeekIndex],19)&gt;0)*(COUNTIFS(T_TTAFStock[RM_Code],$A18,T_TTAFStock[WeekIndex],19)&gt;0)&gt;0,SUMIFS(T_SelfStock[Self_Qty],T_SelfStock[RM_Code],$A18,T_SelfStock[WeekIndex],19)+SUMIFS(T_TTAFStock[TTAF_Qty],T_TTAFStock[RM_Code],$A18,T_TTAFStock[WeekIndex],19),S18+'Grid_Incoming'!T18-'Grid_Requirement'!T18))</f>
        <v/>
      </c>
      <c r="U18">
        <f>IF(COUNTIFS(T_StockCount[RM_Code],$A18,T_StockCount[WeekIndex],20)&gt;0,SUMIFS(T_StockCount[CountedQty],T_StockCount[RM_Code],$A18,T_StockCount[WeekIndex],20),IF((COUNTIFS(T_SelfStock[RM_Code],$A18,T_SelfStock[WeekIndex],20)&gt;0)*(COUNTIFS(T_TTAFStock[RM_Code],$A18,T_TTAFStock[WeekIndex],20)&gt;0)&gt;0,SUMIFS(T_SelfStock[Self_Qty],T_SelfStock[RM_Code],$A18,T_SelfStock[WeekIndex],20)+SUMIFS(T_TTAFStock[TTAF_Qty],T_TTAFStock[RM_Code],$A18,T_TTAFStock[WeekIndex],20),T18+'Grid_Incoming'!U18-'Grid_Requirement'!U18))</f>
        <v/>
      </c>
      <c r="V18">
        <f>IF(COUNTIFS(T_StockCount[RM_Code],$A18,T_StockCount[WeekIndex],21)&gt;0,SUMIFS(T_StockCount[CountedQty],T_StockCount[RM_Code],$A18,T_StockCount[WeekIndex],21),IF((COUNTIFS(T_SelfStock[RM_Code],$A18,T_SelfStock[WeekIndex],21)&gt;0)*(COUNTIFS(T_TTAFStock[RM_Code],$A18,T_TTAFStock[WeekIndex],21)&gt;0)&gt;0,SUMIFS(T_SelfStock[Self_Qty],T_SelfStock[RM_Code],$A18,T_SelfStock[WeekIndex],21)+SUMIFS(T_TTAFStock[TTAF_Qty],T_TTAFStock[RM_Code],$A18,T_TTAFStock[WeekIndex],21),U18+'Grid_Incoming'!V18-'Grid_Requirement'!V18))</f>
        <v/>
      </c>
      <c r="W18">
        <f>IF(COUNTIFS(T_StockCount[RM_Code],$A18,T_StockCount[WeekIndex],22)&gt;0,SUMIFS(T_StockCount[CountedQty],T_StockCount[RM_Code],$A18,T_StockCount[WeekIndex],22),IF((COUNTIFS(T_SelfStock[RM_Code],$A18,T_SelfStock[WeekIndex],22)&gt;0)*(COUNTIFS(T_TTAFStock[RM_Code],$A18,T_TTAFStock[WeekIndex],22)&gt;0)&gt;0,SUMIFS(T_SelfStock[Self_Qty],T_SelfStock[RM_Code],$A18,T_SelfStock[WeekIndex],22)+SUMIFS(T_TTAFStock[TTAF_Qty],T_TTAFStock[RM_Code],$A18,T_TTAFStock[WeekIndex],22),V18+'Grid_Incoming'!W18-'Grid_Requirement'!W18))</f>
        <v/>
      </c>
      <c r="X18">
        <f>IF(COUNTIFS(T_StockCount[RM_Code],$A18,T_StockCount[WeekIndex],23)&gt;0,SUMIFS(T_StockCount[CountedQty],T_StockCount[RM_Code],$A18,T_StockCount[WeekIndex],23),IF((COUNTIFS(T_SelfStock[RM_Code],$A18,T_SelfStock[WeekIndex],23)&gt;0)*(COUNTIFS(T_TTAFStock[RM_Code],$A18,T_TTAFStock[WeekIndex],23)&gt;0)&gt;0,SUMIFS(T_SelfStock[Self_Qty],T_SelfStock[RM_Code],$A18,T_SelfStock[WeekIndex],23)+SUMIFS(T_TTAFStock[TTAF_Qty],T_TTAFStock[RM_Code],$A18,T_TTAFStock[WeekIndex],23),W18+'Grid_Incoming'!X18-'Grid_Requirement'!X18))</f>
        <v/>
      </c>
      <c r="Y18">
        <f>IF(COUNTIFS(T_StockCount[RM_Code],$A18,T_StockCount[WeekIndex],24)&gt;0,SUMIFS(T_StockCount[CountedQty],T_StockCount[RM_Code],$A18,T_StockCount[WeekIndex],24),IF((COUNTIFS(T_SelfStock[RM_Code],$A18,T_SelfStock[WeekIndex],24)&gt;0)*(COUNTIFS(T_TTAFStock[RM_Code],$A18,T_TTAFStock[WeekIndex],24)&gt;0)&gt;0,SUMIFS(T_SelfStock[Self_Qty],T_SelfStock[RM_Code],$A18,T_SelfStock[WeekIndex],24)+SUMIFS(T_TTAFStock[TTAF_Qty],T_TTAFStock[RM_Code],$A18,T_TTAFStock[WeekIndex],24),X18+'Grid_Incoming'!Y18-'Grid_Requirement'!Y18))</f>
        <v/>
      </c>
      <c r="Z18">
        <f>IF(COUNTIFS(T_StockCount[RM_Code],$A18,T_StockCount[WeekIndex],25)&gt;0,SUMIFS(T_StockCount[CountedQty],T_StockCount[RM_Code],$A18,T_StockCount[WeekIndex],25),IF((COUNTIFS(T_SelfStock[RM_Code],$A18,T_SelfStock[WeekIndex],25)&gt;0)*(COUNTIFS(T_TTAFStock[RM_Code],$A18,T_TTAFStock[WeekIndex],25)&gt;0)&gt;0,SUMIFS(T_SelfStock[Self_Qty],T_SelfStock[RM_Code],$A18,T_SelfStock[WeekIndex],25)+SUMIFS(T_TTAFStock[TTAF_Qty],T_TTAFStock[RM_Code],$A18,T_TTAFStock[WeekIndex],25),Y18+'Grid_Incoming'!Z18-'Grid_Requirement'!Z18))</f>
        <v/>
      </c>
      <c r="AA18">
        <f>IF(COUNTIFS(T_StockCount[RM_Code],$A18,T_StockCount[WeekIndex],26)&gt;0,SUMIFS(T_StockCount[CountedQty],T_StockCount[RM_Code],$A18,T_StockCount[WeekIndex],26),IF((COUNTIFS(T_SelfStock[RM_Code],$A18,T_SelfStock[WeekIndex],26)&gt;0)*(COUNTIFS(T_TTAFStock[RM_Code],$A18,T_TTAFStock[WeekIndex],26)&gt;0)&gt;0,SUMIFS(T_SelfStock[Self_Qty],T_SelfStock[RM_Code],$A18,T_SelfStock[WeekIndex],26)+SUMIFS(T_TTAFStock[TTAF_Qty],T_TTAFStock[RM_Code],$A18,T_TTAFStock[WeekIndex],26),Z18+'Grid_Incoming'!AA18-'Grid_Requirement'!AA18))</f>
        <v/>
      </c>
      <c r="AB18">
        <f>IF(COUNTIFS(T_StockCount[RM_Code],$A18,T_StockCount[WeekIndex],27)&gt;0,SUMIFS(T_StockCount[CountedQty],T_StockCount[RM_Code],$A18,T_StockCount[WeekIndex],27),IF((COUNTIFS(T_SelfStock[RM_Code],$A18,T_SelfStock[WeekIndex],27)&gt;0)*(COUNTIFS(T_TTAFStock[RM_Code],$A18,T_TTAFStock[WeekIndex],27)&gt;0)&gt;0,SUMIFS(T_SelfStock[Self_Qty],T_SelfStock[RM_Code],$A18,T_SelfStock[WeekIndex],27)+SUMIFS(T_TTAFStock[TTAF_Qty],T_TTAFStock[RM_Code],$A18,T_TTAFStock[WeekIndex],27),AA18+'Grid_Incoming'!AB18-'Grid_Requirement'!AB18))</f>
        <v/>
      </c>
      <c r="AC18">
        <f>IF(COUNTIFS(T_StockCount[RM_Code],$A18,T_StockCount[WeekIndex],28)&gt;0,SUMIFS(T_StockCount[CountedQty],T_StockCount[RM_Code],$A18,T_StockCount[WeekIndex],28),IF((COUNTIFS(T_SelfStock[RM_Code],$A18,T_SelfStock[WeekIndex],28)&gt;0)*(COUNTIFS(T_TTAFStock[RM_Code],$A18,T_TTAFStock[WeekIndex],28)&gt;0)&gt;0,SUMIFS(T_SelfStock[Self_Qty],T_SelfStock[RM_Code],$A18,T_SelfStock[WeekIndex],28)+SUMIFS(T_TTAFStock[TTAF_Qty],T_TTAFStock[RM_Code],$A18,T_TTAFStock[WeekIndex],28),AB18+'Grid_Incoming'!AC18-'Grid_Requirement'!AC18))</f>
        <v/>
      </c>
      <c r="AD18">
        <f>IF(COUNTIFS(T_StockCount[RM_Code],$A18,T_StockCount[WeekIndex],29)&gt;0,SUMIFS(T_StockCount[CountedQty],T_StockCount[RM_Code],$A18,T_StockCount[WeekIndex],29),IF((COUNTIFS(T_SelfStock[RM_Code],$A18,T_SelfStock[WeekIndex],29)&gt;0)*(COUNTIFS(T_TTAFStock[RM_Code],$A18,T_TTAFStock[WeekIndex],29)&gt;0)&gt;0,SUMIFS(T_SelfStock[Self_Qty],T_SelfStock[RM_Code],$A18,T_SelfStock[WeekIndex],29)+SUMIFS(T_TTAFStock[TTAF_Qty],T_TTAFStock[RM_Code],$A18,T_TTAFStock[WeekIndex],29),AC18+'Grid_Incoming'!AD18-'Grid_Requirement'!AD18))</f>
        <v/>
      </c>
      <c r="AE18">
        <f>IF(COUNTIFS(T_StockCount[RM_Code],$A18,T_StockCount[WeekIndex],30)&gt;0,SUMIFS(T_StockCount[CountedQty],T_StockCount[RM_Code],$A18,T_StockCount[WeekIndex],30),IF((COUNTIFS(T_SelfStock[RM_Code],$A18,T_SelfStock[WeekIndex],30)&gt;0)*(COUNTIFS(T_TTAFStock[RM_Code],$A18,T_TTAFStock[WeekIndex],30)&gt;0)&gt;0,SUMIFS(T_SelfStock[Self_Qty],T_SelfStock[RM_Code],$A18,T_SelfStock[WeekIndex],30)+SUMIFS(T_TTAFStock[TTAF_Qty],T_TTAFStock[RM_Code],$A18,T_TTAFStock[WeekIndex],30),AD18+'Grid_Incoming'!AE18-'Grid_Requirement'!AE18))</f>
        <v/>
      </c>
      <c r="AF18">
        <f>IF(COUNTIFS(T_StockCount[RM_Code],$A18,T_StockCount[WeekIndex],31)&gt;0,SUMIFS(T_StockCount[CountedQty],T_StockCount[RM_Code],$A18,T_StockCount[WeekIndex],31),IF((COUNTIFS(T_SelfStock[RM_Code],$A18,T_SelfStock[WeekIndex],31)&gt;0)*(COUNTIFS(T_TTAFStock[RM_Code],$A18,T_TTAFStock[WeekIndex],31)&gt;0)&gt;0,SUMIFS(T_SelfStock[Self_Qty],T_SelfStock[RM_Code],$A18,T_SelfStock[WeekIndex],31)+SUMIFS(T_TTAFStock[TTAF_Qty],T_TTAFStock[RM_Code],$A18,T_TTAFStock[WeekIndex],31),AE18+'Grid_Incoming'!AF18-'Grid_Requirement'!AF18))</f>
        <v/>
      </c>
      <c r="AG18">
        <f>IF(COUNTIFS(T_StockCount[RM_Code],$A18,T_StockCount[WeekIndex],32)&gt;0,SUMIFS(T_StockCount[CountedQty],T_StockCount[RM_Code],$A18,T_StockCount[WeekIndex],32),IF((COUNTIFS(T_SelfStock[RM_Code],$A18,T_SelfStock[WeekIndex],32)&gt;0)*(COUNTIFS(T_TTAFStock[RM_Code],$A18,T_TTAFStock[WeekIndex],32)&gt;0)&gt;0,SUMIFS(T_SelfStock[Self_Qty],T_SelfStock[RM_Code],$A18,T_SelfStock[WeekIndex],32)+SUMIFS(T_TTAFStock[TTAF_Qty],T_TTAFStock[RM_Code],$A18,T_TTAFStock[WeekIndex],32),AF18+'Grid_Incoming'!AG18-'Grid_Requirement'!AG18))</f>
        <v/>
      </c>
      <c r="AH18">
        <f>IF(COUNTIFS(T_StockCount[RM_Code],$A18,T_StockCount[WeekIndex],33)&gt;0,SUMIFS(T_StockCount[CountedQty],T_StockCount[RM_Code],$A18,T_StockCount[WeekIndex],33),IF((COUNTIFS(T_SelfStock[RM_Code],$A18,T_SelfStock[WeekIndex],33)&gt;0)*(COUNTIFS(T_TTAFStock[RM_Code],$A18,T_TTAFStock[WeekIndex],33)&gt;0)&gt;0,SUMIFS(T_SelfStock[Self_Qty],T_SelfStock[RM_Code],$A18,T_SelfStock[WeekIndex],33)+SUMIFS(T_TTAFStock[TTAF_Qty],T_TTAFStock[RM_Code],$A18,T_TTAFStock[WeekIndex],33),AG18+'Grid_Incoming'!AH18-'Grid_Requirement'!AH18))</f>
        <v/>
      </c>
      <c r="AI18">
        <f>IF(COUNTIFS(T_StockCount[RM_Code],$A18,T_StockCount[WeekIndex],34)&gt;0,SUMIFS(T_StockCount[CountedQty],T_StockCount[RM_Code],$A18,T_StockCount[WeekIndex],34),IF((COUNTIFS(T_SelfStock[RM_Code],$A18,T_SelfStock[WeekIndex],34)&gt;0)*(COUNTIFS(T_TTAFStock[RM_Code],$A18,T_TTAFStock[WeekIndex],34)&gt;0)&gt;0,SUMIFS(T_SelfStock[Self_Qty],T_SelfStock[RM_Code],$A18,T_SelfStock[WeekIndex],34)+SUMIFS(T_TTAFStock[TTAF_Qty],T_TTAFStock[RM_Code],$A18,T_TTAFStock[WeekIndex],34),AH18+'Grid_Incoming'!AI18-'Grid_Requirement'!AI18))</f>
        <v/>
      </c>
      <c r="AJ18">
        <f>IF(COUNTIFS(T_StockCount[RM_Code],$A18,T_StockCount[WeekIndex],35)&gt;0,SUMIFS(T_StockCount[CountedQty],T_StockCount[RM_Code],$A18,T_StockCount[WeekIndex],35),IF((COUNTIFS(T_SelfStock[RM_Code],$A18,T_SelfStock[WeekIndex],35)&gt;0)*(COUNTIFS(T_TTAFStock[RM_Code],$A18,T_TTAFStock[WeekIndex],35)&gt;0)&gt;0,SUMIFS(T_SelfStock[Self_Qty],T_SelfStock[RM_Code],$A18,T_SelfStock[WeekIndex],35)+SUMIFS(T_TTAFStock[TTAF_Qty],T_TTAFStock[RM_Code],$A18,T_TTAFStock[WeekIndex],35),AI18+'Grid_Incoming'!AJ18-'Grid_Requirement'!AJ18))</f>
        <v/>
      </c>
      <c r="AK18">
        <f>IF(COUNTIFS(T_StockCount[RM_Code],$A18,T_StockCount[WeekIndex],36)&gt;0,SUMIFS(T_StockCount[CountedQty],T_StockCount[RM_Code],$A18,T_StockCount[WeekIndex],36),IF((COUNTIFS(T_SelfStock[RM_Code],$A18,T_SelfStock[WeekIndex],36)&gt;0)*(COUNTIFS(T_TTAFStock[RM_Code],$A18,T_TTAFStock[WeekIndex],36)&gt;0)&gt;0,SUMIFS(T_SelfStock[Self_Qty],T_SelfStock[RM_Code],$A18,T_SelfStock[WeekIndex],36)+SUMIFS(T_TTAFStock[TTAF_Qty],T_TTAFStock[RM_Code],$A18,T_TTAFStock[WeekIndex],36),AJ18+'Grid_Incoming'!AK18-'Grid_Requirement'!AK18))</f>
        <v/>
      </c>
      <c r="AL18">
        <f>IF(COUNTIFS(T_StockCount[RM_Code],$A18,T_StockCount[WeekIndex],37)&gt;0,SUMIFS(T_StockCount[CountedQty],T_StockCount[RM_Code],$A18,T_StockCount[WeekIndex],37),IF((COUNTIFS(T_SelfStock[RM_Code],$A18,T_SelfStock[WeekIndex],37)&gt;0)*(COUNTIFS(T_TTAFStock[RM_Code],$A18,T_TTAFStock[WeekIndex],37)&gt;0)&gt;0,SUMIFS(T_SelfStock[Self_Qty],T_SelfStock[RM_Code],$A18,T_SelfStock[WeekIndex],37)+SUMIFS(T_TTAFStock[TTAF_Qty],T_TTAFStock[RM_Code],$A18,T_TTAFStock[WeekIndex],37),AK18+'Grid_Incoming'!AL18-'Grid_Requirement'!AL18))</f>
        <v/>
      </c>
      <c r="AM18">
        <f>IF(COUNTIFS(T_StockCount[RM_Code],$A18,T_StockCount[WeekIndex],38)&gt;0,SUMIFS(T_StockCount[CountedQty],T_StockCount[RM_Code],$A18,T_StockCount[WeekIndex],38),IF((COUNTIFS(T_SelfStock[RM_Code],$A18,T_SelfStock[WeekIndex],38)&gt;0)*(COUNTIFS(T_TTAFStock[RM_Code],$A18,T_TTAFStock[WeekIndex],38)&gt;0)&gt;0,SUMIFS(T_SelfStock[Self_Qty],T_SelfStock[RM_Code],$A18,T_SelfStock[WeekIndex],38)+SUMIFS(T_TTAFStock[TTAF_Qty],T_TTAFStock[RM_Code],$A18,T_TTAFStock[WeekIndex],38),AL18+'Grid_Incoming'!AM18-'Grid_Requirement'!AM18))</f>
        <v/>
      </c>
      <c r="AN18">
        <f>IF(COUNTIFS(T_StockCount[RM_Code],$A18,T_StockCount[WeekIndex],39)&gt;0,SUMIFS(T_StockCount[CountedQty],T_StockCount[RM_Code],$A18,T_StockCount[WeekIndex],39),IF((COUNTIFS(T_SelfStock[RM_Code],$A18,T_SelfStock[WeekIndex],39)&gt;0)*(COUNTIFS(T_TTAFStock[RM_Code],$A18,T_TTAFStock[WeekIndex],39)&gt;0)&gt;0,SUMIFS(T_SelfStock[Self_Qty],T_SelfStock[RM_Code],$A18,T_SelfStock[WeekIndex],39)+SUMIFS(T_TTAFStock[TTAF_Qty],T_TTAFStock[RM_Code],$A18,T_TTAFStock[WeekIndex],39),AM18+'Grid_Incoming'!AN18-'Grid_Requirement'!AN18))</f>
        <v/>
      </c>
      <c r="AO18">
        <f>IF(COUNTIFS(T_StockCount[RM_Code],$A18,T_StockCount[WeekIndex],40)&gt;0,SUMIFS(T_StockCount[CountedQty],T_StockCount[RM_Code],$A18,T_StockCount[WeekIndex],40),IF((COUNTIFS(T_SelfStock[RM_Code],$A18,T_SelfStock[WeekIndex],40)&gt;0)*(COUNTIFS(T_TTAFStock[RM_Code],$A18,T_TTAFStock[WeekIndex],40)&gt;0)&gt;0,SUMIFS(T_SelfStock[Self_Qty],T_SelfStock[RM_Code],$A18,T_SelfStock[WeekIndex],40)+SUMIFS(T_TTAFStock[TTAF_Qty],T_TTAFStock[RM_Code],$A18,T_TTAFStock[WeekIndex],40),AN18+'Grid_Incoming'!AO18-'Grid_Requirement'!AO18))</f>
        <v/>
      </c>
      <c r="AP18">
        <f>IF(COUNTIFS(T_StockCount[RM_Code],$A18,T_StockCount[WeekIndex],41)&gt;0,SUMIFS(T_StockCount[CountedQty],T_StockCount[RM_Code],$A18,T_StockCount[WeekIndex],41),IF((COUNTIFS(T_SelfStock[RM_Code],$A18,T_SelfStock[WeekIndex],41)&gt;0)*(COUNTIFS(T_TTAFStock[RM_Code],$A18,T_TTAFStock[WeekIndex],41)&gt;0)&gt;0,SUMIFS(T_SelfStock[Self_Qty],T_SelfStock[RM_Code],$A18,T_SelfStock[WeekIndex],41)+SUMIFS(T_TTAFStock[TTAF_Qty],T_TTAFStock[RM_Code],$A18,T_TTAFStock[WeekIndex],41),AO18+'Grid_Incoming'!AP18-'Grid_Requirement'!AP18))</f>
        <v/>
      </c>
      <c r="AQ18">
        <f>IF(COUNTIFS(T_StockCount[RM_Code],$A18,T_StockCount[WeekIndex],42)&gt;0,SUMIFS(T_StockCount[CountedQty],T_StockCount[RM_Code],$A18,T_StockCount[WeekIndex],42),IF((COUNTIFS(T_SelfStock[RM_Code],$A18,T_SelfStock[WeekIndex],42)&gt;0)*(COUNTIFS(T_TTAFStock[RM_Code],$A18,T_TTAFStock[WeekIndex],42)&gt;0)&gt;0,SUMIFS(T_SelfStock[Self_Qty],T_SelfStock[RM_Code],$A18,T_SelfStock[WeekIndex],42)+SUMIFS(T_TTAFStock[TTAF_Qty],T_TTAFStock[RM_Code],$A18,T_TTAFStock[WeekIndex],42),AP18+'Grid_Incoming'!AQ18-'Grid_Requirement'!AQ18))</f>
        <v/>
      </c>
      <c r="AR18">
        <f>IF(COUNTIFS(T_StockCount[RM_Code],$A18,T_StockCount[WeekIndex],43)&gt;0,SUMIFS(T_StockCount[CountedQty],T_StockCount[RM_Code],$A18,T_StockCount[WeekIndex],43),IF((COUNTIFS(T_SelfStock[RM_Code],$A18,T_SelfStock[WeekIndex],43)&gt;0)*(COUNTIFS(T_TTAFStock[RM_Code],$A18,T_TTAFStock[WeekIndex],43)&gt;0)&gt;0,SUMIFS(T_SelfStock[Self_Qty],T_SelfStock[RM_Code],$A18,T_SelfStock[WeekIndex],43)+SUMIFS(T_TTAFStock[TTAF_Qty],T_TTAFStock[RM_Code],$A18,T_TTAFStock[WeekIndex],43),AQ18+'Grid_Incoming'!AR18-'Grid_Requirement'!AR18))</f>
        <v/>
      </c>
      <c r="AS18">
        <f>IF(COUNTIFS(T_StockCount[RM_Code],$A18,T_StockCount[WeekIndex],44)&gt;0,SUMIFS(T_StockCount[CountedQty],T_StockCount[RM_Code],$A18,T_StockCount[WeekIndex],44),IF((COUNTIFS(T_SelfStock[RM_Code],$A18,T_SelfStock[WeekIndex],44)&gt;0)*(COUNTIFS(T_TTAFStock[RM_Code],$A18,T_TTAFStock[WeekIndex],44)&gt;0)&gt;0,SUMIFS(T_SelfStock[Self_Qty],T_SelfStock[RM_Code],$A18,T_SelfStock[WeekIndex],44)+SUMIFS(T_TTAFStock[TTAF_Qty],T_TTAFStock[RM_Code],$A18,T_TTAFStock[WeekIndex],44),AR18+'Grid_Incoming'!AS18-'Grid_Requirement'!AS18))</f>
        <v/>
      </c>
      <c r="AT18">
        <f>IF(COUNTIFS(T_StockCount[RM_Code],$A18,T_StockCount[WeekIndex],45)&gt;0,SUMIFS(T_StockCount[CountedQty],T_StockCount[RM_Code],$A18,T_StockCount[WeekIndex],45),IF((COUNTIFS(T_SelfStock[RM_Code],$A18,T_SelfStock[WeekIndex],45)&gt;0)*(COUNTIFS(T_TTAFStock[RM_Code],$A18,T_TTAFStock[WeekIndex],45)&gt;0)&gt;0,SUMIFS(T_SelfStock[Self_Qty],T_SelfStock[RM_Code],$A18,T_SelfStock[WeekIndex],45)+SUMIFS(T_TTAFStock[TTAF_Qty],T_TTAFStock[RM_Code],$A18,T_TTAFStock[WeekIndex],45),AS18+'Grid_Incoming'!AT18-'Grid_Requirement'!AT18))</f>
        <v/>
      </c>
      <c r="AU18">
        <f>IF(COUNTIFS(T_StockCount[RM_Code],$A18,T_StockCount[WeekIndex],46)&gt;0,SUMIFS(T_StockCount[CountedQty],T_StockCount[RM_Code],$A18,T_StockCount[WeekIndex],46),IF((COUNTIFS(T_SelfStock[RM_Code],$A18,T_SelfStock[WeekIndex],46)&gt;0)*(COUNTIFS(T_TTAFStock[RM_Code],$A18,T_TTAFStock[WeekIndex],46)&gt;0)&gt;0,SUMIFS(T_SelfStock[Self_Qty],T_SelfStock[RM_Code],$A18,T_SelfStock[WeekIndex],46)+SUMIFS(T_TTAFStock[TTAF_Qty],T_TTAFStock[RM_Code],$A18,T_TTAFStock[WeekIndex],46),AT18+'Grid_Incoming'!AU18-'Grid_Requirement'!AU18))</f>
        <v/>
      </c>
      <c r="AV18">
        <f>IF(COUNTIFS(T_StockCount[RM_Code],$A18,T_StockCount[WeekIndex],47)&gt;0,SUMIFS(T_StockCount[CountedQty],T_StockCount[RM_Code],$A18,T_StockCount[WeekIndex],47),IF((COUNTIFS(T_SelfStock[RM_Code],$A18,T_SelfStock[WeekIndex],47)&gt;0)*(COUNTIFS(T_TTAFStock[RM_Code],$A18,T_TTAFStock[WeekIndex],47)&gt;0)&gt;0,SUMIFS(T_SelfStock[Self_Qty],T_SelfStock[RM_Code],$A18,T_SelfStock[WeekIndex],47)+SUMIFS(T_TTAFStock[TTAF_Qty],T_TTAFStock[RM_Code],$A18,T_TTAFStock[WeekIndex],47),AU18+'Grid_Incoming'!AV18-'Grid_Requirement'!AV18))</f>
        <v/>
      </c>
      <c r="AW18">
        <f>IF(COUNTIFS(T_StockCount[RM_Code],$A18,T_StockCount[WeekIndex],48)&gt;0,SUMIFS(T_StockCount[CountedQty],T_StockCount[RM_Code],$A18,T_StockCount[WeekIndex],48),IF((COUNTIFS(T_SelfStock[RM_Code],$A18,T_SelfStock[WeekIndex],48)&gt;0)*(COUNTIFS(T_TTAFStock[RM_Code],$A18,T_TTAFStock[WeekIndex],48)&gt;0)&gt;0,SUMIFS(T_SelfStock[Self_Qty],T_SelfStock[RM_Code],$A18,T_SelfStock[WeekIndex],48)+SUMIFS(T_TTAFStock[TTAF_Qty],T_TTAFStock[RM_Code],$A18,T_TTAFStock[WeekIndex],48),AV18+'Grid_Incoming'!AW18-'Grid_Requirement'!AW18))</f>
        <v/>
      </c>
      <c r="AX18">
        <f>IF(COUNTIFS(T_StockCount[RM_Code],$A18,T_StockCount[WeekIndex],49)&gt;0,SUMIFS(T_StockCount[CountedQty],T_StockCount[RM_Code],$A18,T_StockCount[WeekIndex],49),IF((COUNTIFS(T_SelfStock[RM_Code],$A18,T_SelfStock[WeekIndex],49)&gt;0)*(COUNTIFS(T_TTAFStock[RM_Code],$A18,T_TTAFStock[WeekIndex],49)&gt;0)&gt;0,SUMIFS(T_SelfStock[Self_Qty],T_SelfStock[RM_Code],$A18,T_SelfStock[WeekIndex],49)+SUMIFS(T_TTAFStock[TTAF_Qty],T_TTAFStock[RM_Code],$A18,T_TTAFStock[WeekIndex],49),AW18+'Grid_Incoming'!AX18-'Grid_Requirement'!AX18))</f>
        <v/>
      </c>
      <c r="AY18">
        <f>IF(COUNTIFS(T_StockCount[RM_Code],$A18,T_StockCount[WeekIndex],50)&gt;0,SUMIFS(T_StockCount[CountedQty],T_StockCount[RM_Code],$A18,T_StockCount[WeekIndex],50),IF((COUNTIFS(T_SelfStock[RM_Code],$A18,T_SelfStock[WeekIndex],50)&gt;0)*(COUNTIFS(T_TTAFStock[RM_Code],$A18,T_TTAFStock[WeekIndex],50)&gt;0)&gt;0,SUMIFS(T_SelfStock[Self_Qty],T_SelfStock[RM_Code],$A18,T_SelfStock[WeekIndex],50)+SUMIFS(T_TTAFStock[TTAF_Qty],T_TTAFStock[RM_Code],$A18,T_TTAFStock[WeekIndex],50),AX18+'Grid_Incoming'!AY18-'Grid_Requirement'!AY18))</f>
        <v/>
      </c>
      <c r="AZ18">
        <f>IF(COUNTIFS(T_StockCount[RM_Code],$A18,T_StockCount[WeekIndex],51)&gt;0,SUMIFS(T_StockCount[CountedQty],T_StockCount[RM_Code],$A18,T_StockCount[WeekIndex],51),IF((COUNTIFS(T_SelfStock[RM_Code],$A18,T_SelfStock[WeekIndex],51)&gt;0)*(COUNTIFS(T_TTAFStock[RM_Code],$A18,T_TTAFStock[WeekIndex],51)&gt;0)&gt;0,SUMIFS(T_SelfStock[Self_Qty],T_SelfStock[RM_Code],$A18,T_SelfStock[WeekIndex],51)+SUMIFS(T_TTAFStock[TTAF_Qty],T_TTAFStock[RM_Code],$A18,T_TTAFStock[WeekIndex],51),AY18+'Grid_Incoming'!AZ18-'Grid_Requirement'!AZ18))</f>
        <v/>
      </c>
      <c r="BA18">
        <f>IF(COUNTIFS(T_StockCount[RM_Code],$A18,T_StockCount[WeekIndex],52)&gt;0,SUMIFS(T_StockCount[CountedQty],T_StockCount[RM_Code],$A18,T_StockCount[WeekIndex],52),IF((COUNTIFS(T_SelfStock[RM_Code],$A18,T_SelfStock[WeekIndex],52)&gt;0)*(COUNTIFS(T_TTAFStock[RM_Code],$A18,T_TTAFStock[WeekIndex],52)&gt;0)&gt;0,SUMIFS(T_SelfStock[Self_Qty],T_SelfStock[RM_Code],$A18,T_SelfStock[WeekIndex],52)+SUMIFS(T_TTAFStock[TTAF_Qty],T_TTAFStock[RM_Code],$A18,T_TTAFStock[WeekIndex],52),AZ18+'Grid_Incoming'!BA18-'Grid_Requirement'!BA18))</f>
        <v/>
      </c>
      <c r="BB18">
        <f>IF(COUNTIFS(T_StockCount[RM_Code],$A18,T_StockCount[WeekIndex],53)&gt;0,SUMIFS(T_StockCount[CountedQty],T_StockCount[RM_Code],$A18,T_StockCount[WeekIndex],53),IF((COUNTIFS(T_SelfStock[RM_Code],$A18,T_SelfStock[WeekIndex],53)&gt;0)*(COUNTIFS(T_TTAFStock[RM_Code],$A18,T_TTAFStock[WeekIndex],53)&gt;0)&gt;0,SUMIFS(T_SelfStock[Self_Qty],T_SelfStock[RM_Code],$A18,T_SelfStock[WeekIndex],53)+SUMIFS(T_TTAFStock[TTAF_Qty],T_TTAFStock[RM_Code],$A18,T_TTAFStock[WeekIndex],53),BA18+'Grid_Incoming'!BB18-'Grid_Requirement'!BB18))</f>
        <v/>
      </c>
      <c r="BC18">
        <f>IF(COUNTIFS(T_StockCount[RM_Code],$A18,T_StockCount[WeekIndex],54)&gt;0,SUMIFS(T_StockCount[CountedQty],T_StockCount[RM_Code],$A18,T_StockCount[WeekIndex],54),IF((COUNTIFS(T_SelfStock[RM_Code],$A18,T_SelfStock[WeekIndex],54)&gt;0)*(COUNTIFS(T_TTAFStock[RM_Code],$A18,T_TTAFStock[WeekIndex],54)&gt;0)&gt;0,SUMIFS(T_SelfStock[Self_Qty],T_SelfStock[RM_Code],$A18,T_SelfStock[WeekIndex],54)+SUMIFS(T_TTAFStock[TTAF_Qty],T_TTAFStock[RM_Code],$A18,T_TTAFStock[WeekIndex],54),BB18+'Grid_Incoming'!BC18-'Grid_Requirement'!BC18))</f>
        <v/>
      </c>
      <c r="BD18">
        <f>IF(COUNTIFS(T_StockCount[RM_Code],$A18,T_StockCount[WeekIndex],55)&gt;0,SUMIFS(T_StockCount[CountedQty],T_StockCount[RM_Code],$A18,T_StockCount[WeekIndex],55),IF((COUNTIFS(T_SelfStock[RM_Code],$A18,T_SelfStock[WeekIndex],55)&gt;0)*(COUNTIFS(T_TTAFStock[RM_Code],$A18,T_TTAFStock[WeekIndex],55)&gt;0)&gt;0,SUMIFS(T_SelfStock[Self_Qty],T_SelfStock[RM_Code],$A18,T_SelfStock[WeekIndex],55)+SUMIFS(T_TTAFStock[TTAF_Qty],T_TTAFStock[RM_Code],$A18,T_TTAFStock[WeekIndex],55),BC18+'Grid_Incoming'!BD18-'Grid_Requirement'!BD18))</f>
        <v/>
      </c>
      <c r="BE18">
        <f>IF(COUNTIFS(T_StockCount[RM_Code],$A18,T_StockCount[WeekIndex],56)&gt;0,SUMIFS(T_StockCount[CountedQty],T_StockCount[RM_Code],$A18,T_StockCount[WeekIndex],56),IF((COUNTIFS(T_SelfStock[RM_Code],$A18,T_SelfStock[WeekIndex],56)&gt;0)*(COUNTIFS(T_TTAFStock[RM_Code],$A18,T_TTAFStock[WeekIndex],56)&gt;0)&gt;0,SUMIFS(T_SelfStock[Self_Qty],T_SelfStock[RM_Code],$A18,T_SelfStock[WeekIndex],56)+SUMIFS(T_TTAFStock[TTAF_Qty],T_TTAFStock[RM_Code],$A18,T_TTAFStock[WeekIndex],56),BD18+'Grid_Incoming'!BE18-'Grid_Requirement'!BE18))</f>
        <v/>
      </c>
      <c r="BF18">
        <f>IF(COUNTIFS(T_StockCount[RM_Code],$A18,T_StockCount[WeekIndex],57)&gt;0,SUMIFS(T_StockCount[CountedQty],T_StockCount[RM_Code],$A18,T_StockCount[WeekIndex],57),IF((COUNTIFS(T_SelfStock[RM_Code],$A18,T_SelfStock[WeekIndex],57)&gt;0)*(COUNTIFS(T_TTAFStock[RM_Code],$A18,T_TTAFStock[WeekIndex],57)&gt;0)&gt;0,SUMIFS(T_SelfStock[Self_Qty],T_SelfStock[RM_Code],$A18,T_SelfStock[WeekIndex],57)+SUMIFS(T_TTAFStock[TTAF_Qty],T_TTAFStock[RM_Code],$A18,T_TTAFStock[WeekIndex],57),BE18+'Grid_Incoming'!BF18-'Grid_Requirement'!BF18))</f>
        <v/>
      </c>
      <c r="BG18">
        <f>IF(COUNTIFS(T_StockCount[RM_Code],$A18,T_StockCount[WeekIndex],58)&gt;0,SUMIFS(T_StockCount[CountedQty],T_StockCount[RM_Code],$A18,T_StockCount[WeekIndex],58),IF((COUNTIFS(T_SelfStock[RM_Code],$A18,T_SelfStock[WeekIndex],58)&gt;0)*(COUNTIFS(T_TTAFStock[RM_Code],$A18,T_TTAFStock[WeekIndex],58)&gt;0)&gt;0,SUMIFS(T_SelfStock[Self_Qty],T_SelfStock[RM_Code],$A18,T_SelfStock[WeekIndex],58)+SUMIFS(T_TTAFStock[TTAF_Qty],T_TTAFStock[RM_Code],$A18,T_TTAFStock[WeekIndex],58),BF18+'Grid_Incoming'!BG18-'Grid_Requirement'!BG18))</f>
        <v/>
      </c>
      <c r="BH18">
        <f>IF(COUNTIFS(T_StockCount[RM_Code],$A18,T_StockCount[WeekIndex],59)&gt;0,SUMIFS(T_StockCount[CountedQty],T_StockCount[RM_Code],$A18,T_StockCount[WeekIndex],59),IF((COUNTIFS(T_SelfStock[RM_Code],$A18,T_SelfStock[WeekIndex],59)&gt;0)*(COUNTIFS(T_TTAFStock[RM_Code],$A18,T_TTAFStock[WeekIndex],59)&gt;0)&gt;0,SUMIFS(T_SelfStock[Self_Qty],T_SelfStock[RM_Code],$A18,T_SelfStock[WeekIndex],59)+SUMIFS(T_TTAFStock[TTAF_Qty],T_TTAFStock[RM_Code],$A18,T_TTAFStock[WeekIndex],59),BG18+'Grid_Incoming'!BH18-'Grid_Requirement'!BH18))</f>
        <v/>
      </c>
      <c r="BI18">
        <f>IF(COUNTIFS(T_StockCount[RM_Code],$A18,T_StockCount[WeekIndex],60)&gt;0,SUMIFS(T_StockCount[CountedQty],T_StockCount[RM_Code],$A18,T_StockCount[WeekIndex],60),IF((COUNTIFS(T_SelfStock[RM_Code],$A18,T_SelfStock[WeekIndex],60)&gt;0)*(COUNTIFS(T_TTAFStock[RM_Code],$A18,T_TTAFStock[WeekIndex],60)&gt;0)&gt;0,SUMIFS(T_SelfStock[Self_Qty],T_SelfStock[RM_Code],$A18,T_SelfStock[WeekIndex],60)+SUMIFS(T_TTAFStock[TTAF_Qty],T_TTAFStock[RM_Code],$A18,T_TTAFStock[WeekIndex],60),BH18+'Grid_Incoming'!BI18-'Grid_Requirement'!BI18))</f>
        <v/>
      </c>
      <c r="BJ18">
        <f>IF(COUNTIFS(T_StockCount[RM_Code],$A18,T_StockCount[WeekIndex],61)&gt;0,SUMIFS(T_StockCount[CountedQty],T_StockCount[RM_Code],$A18,T_StockCount[WeekIndex],61),IF((COUNTIFS(T_SelfStock[RM_Code],$A18,T_SelfStock[WeekIndex],61)&gt;0)*(COUNTIFS(T_TTAFStock[RM_Code],$A18,T_TTAFStock[WeekIndex],61)&gt;0)&gt;0,SUMIFS(T_SelfStock[Self_Qty],T_SelfStock[RM_Code],$A18,T_SelfStock[WeekIndex],61)+SUMIFS(T_TTAFStock[TTAF_Qty],T_TTAFStock[RM_Code],$A18,T_TTAFStock[WeekIndex],61),BI18+'Grid_Incoming'!BJ18-'Grid_Requirement'!BJ18))</f>
        <v/>
      </c>
      <c r="BK18">
        <f>IF(COUNTIFS(T_StockCount[RM_Code],$A18,T_StockCount[WeekIndex],62)&gt;0,SUMIFS(T_StockCount[CountedQty],T_StockCount[RM_Code],$A18,T_StockCount[WeekIndex],62),IF((COUNTIFS(T_SelfStock[RM_Code],$A18,T_SelfStock[WeekIndex],62)&gt;0)*(COUNTIFS(T_TTAFStock[RM_Code],$A18,T_TTAFStock[WeekIndex],62)&gt;0)&gt;0,SUMIFS(T_SelfStock[Self_Qty],T_SelfStock[RM_Code],$A18,T_SelfStock[WeekIndex],62)+SUMIFS(T_TTAFStock[TTAF_Qty],T_TTAFStock[RM_Code],$A18,T_TTAFStock[WeekIndex],62),BJ18+'Grid_Incoming'!BK18-'Grid_Requirement'!BK18))</f>
        <v/>
      </c>
      <c r="BL18">
        <f>IF(COUNTIFS(T_StockCount[RM_Code],$A18,T_StockCount[WeekIndex],63)&gt;0,SUMIFS(T_StockCount[CountedQty],T_StockCount[RM_Code],$A18,T_StockCount[WeekIndex],63),IF((COUNTIFS(T_SelfStock[RM_Code],$A18,T_SelfStock[WeekIndex],63)&gt;0)*(COUNTIFS(T_TTAFStock[RM_Code],$A18,T_TTAFStock[WeekIndex],63)&gt;0)&gt;0,SUMIFS(T_SelfStock[Self_Qty],T_SelfStock[RM_Code],$A18,T_SelfStock[WeekIndex],63)+SUMIFS(T_TTAFStock[TTAF_Qty],T_TTAFStock[RM_Code],$A18,T_TTAFStock[WeekIndex],63),BK18+'Grid_Incoming'!BL18-'Grid_Requirement'!BL18))</f>
        <v/>
      </c>
      <c r="BM18">
        <f>IF(COUNTIFS(T_StockCount[RM_Code],$A18,T_StockCount[WeekIndex],64)&gt;0,SUMIFS(T_StockCount[CountedQty],T_StockCount[RM_Code],$A18,T_StockCount[WeekIndex],64),IF((COUNTIFS(T_SelfStock[RM_Code],$A18,T_SelfStock[WeekIndex],64)&gt;0)*(COUNTIFS(T_TTAFStock[RM_Code],$A18,T_TTAFStock[WeekIndex],64)&gt;0)&gt;0,SUMIFS(T_SelfStock[Self_Qty],T_SelfStock[RM_Code],$A18,T_SelfStock[WeekIndex],64)+SUMIFS(T_TTAFStock[TTAF_Qty],T_TTAFStock[RM_Code],$A18,T_TTAFStock[WeekIndex],64),BL18+'Grid_Incoming'!BM18-'Grid_Requirement'!BM18))</f>
        <v/>
      </c>
      <c r="BN18">
        <f>IF(COUNTIFS(T_StockCount[RM_Code],$A18,T_StockCount[WeekIndex],65)&gt;0,SUMIFS(T_StockCount[CountedQty],T_StockCount[RM_Code],$A18,T_StockCount[WeekIndex],65),IF((COUNTIFS(T_SelfStock[RM_Code],$A18,T_SelfStock[WeekIndex],65)&gt;0)*(COUNTIFS(T_TTAFStock[RM_Code],$A18,T_TTAFStock[WeekIndex],65)&gt;0)&gt;0,SUMIFS(T_SelfStock[Self_Qty],T_SelfStock[RM_Code],$A18,T_SelfStock[WeekIndex],65)+SUMIFS(T_TTAFStock[TTAF_Qty],T_TTAFStock[RM_Code],$A18,T_TTAFStock[WeekIndex],65),BM18+'Grid_Incoming'!BN18-'Grid_Requirement'!BN18))</f>
        <v/>
      </c>
      <c r="BO18">
        <f>IF(COUNTIFS(T_StockCount[RM_Code],$A18,T_StockCount[WeekIndex],66)&gt;0,SUMIFS(T_StockCount[CountedQty],T_StockCount[RM_Code],$A18,T_StockCount[WeekIndex],66),IF((COUNTIFS(T_SelfStock[RM_Code],$A18,T_SelfStock[WeekIndex],66)&gt;0)*(COUNTIFS(T_TTAFStock[RM_Code],$A18,T_TTAFStock[WeekIndex],66)&gt;0)&gt;0,SUMIFS(T_SelfStock[Self_Qty],T_SelfStock[RM_Code],$A18,T_SelfStock[WeekIndex],66)+SUMIFS(T_TTAFStock[TTAF_Qty],T_TTAFStock[RM_Code],$A18,T_TTAFStock[WeekIndex],66),BN18+'Grid_Incoming'!BO18-'Grid_Requirement'!BO18))</f>
        <v/>
      </c>
      <c r="BP18">
        <f>IF(COUNTIFS(T_StockCount[RM_Code],$A18,T_StockCount[WeekIndex],67)&gt;0,SUMIFS(T_StockCount[CountedQty],T_StockCount[RM_Code],$A18,T_StockCount[WeekIndex],67),IF((COUNTIFS(T_SelfStock[RM_Code],$A18,T_SelfStock[WeekIndex],67)&gt;0)*(COUNTIFS(T_TTAFStock[RM_Code],$A18,T_TTAFStock[WeekIndex],67)&gt;0)&gt;0,SUMIFS(T_SelfStock[Self_Qty],T_SelfStock[RM_Code],$A18,T_SelfStock[WeekIndex],67)+SUMIFS(T_TTAFStock[TTAF_Qty],T_TTAFStock[RM_Code],$A18,T_TTAFStock[WeekIndex],67),BO18+'Grid_Incoming'!BP18-'Grid_Requirement'!BP18))</f>
        <v/>
      </c>
      <c r="BQ18">
        <f>IF(COUNTIFS(T_StockCount[RM_Code],$A18,T_StockCount[WeekIndex],68)&gt;0,SUMIFS(T_StockCount[CountedQty],T_StockCount[RM_Code],$A18,T_StockCount[WeekIndex],68),IF((COUNTIFS(T_SelfStock[RM_Code],$A18,T_SelfStock[WeekIndex],68)&gt;0)*(COUNTIFS(T_TTAFStock[RM_Code],$A18,T_TTAFStock[WeekIndex],68)&gt;0)&gt;0,SUMIFS(T_SelfStock[Self_Qty],T_SelfStock[RM_Code],$A18,T_SelfStock[WeekIndex],68)+SUMIFS(T_TTAFStock[TTAF_Qty],T_TTAFStock[RM_Code],$A18,T_TTAFStock[WeekIndex],68),BP18+'Grid_Incoming'!BQ18-'Grid_Requirement'!BQ18))</f>
        <v/>
      </c>
      <c r="BR18">
        <f>IF(COUNTIFS(T_StockCount[RM_Code],$A18,T_StockCount[WeekIndex],69)&gt;0,SUMIFS(T_StockCount[CountedQty],T_StockCount[RM_Code],$A18,T_StockCount[WeekIndex],69),IF((COUNTIFS(T_SelfStock[RM_Code],$A18,T_SelfStock[WeekIndex],69)&gt;0)*(COUNTIFS(T_TTAFStock[RM_Code],$A18,T_TTAFStock[WeekIndex],69)&gt;0)&gt;0,SUMIFS(T_SelfStock[Self_Qty],T_SelfStock[RM_Code],$A18,T_SelfStock[WeekIndex],69)+SUMIFS(T_TTAFStock[TTAF_Qty],T_TTAFStock[RM_Code],$A18,T_TTAFStock[WeekIndex],69),BQ18+'Grid_Incoming'!BR18-'Grid_Requirement'!BR18))</f>
        <v/>
      </c>
      <c r="BS18">
        <f>IF(COUNTIFS(T_StockCount[RM_Code],$A18,T_StockCount[WeekIndex],70)&gt;0,SUMIFS(T_StockCount[CountedQty],T_StockCount[RM_Code],$A18,T_StockCount[WeekIndex],70),IF((COUNTIFS(T_SelfStock[RM_Code],$A18,T_SelfStock[WeekIndex],70)&gt;0)*(COUNTIFS(T_TTAFStock[RM_Code],$A18,T_TTAFStock[WeekIndex],70)&gt;0)&gt;0,SUMIFS(T_SelfStock[Self_Qty],T_SelfStock[RM_Code],$A18,T_SelfStock[WeekIndex],70)+SUMIFS(T_TTAFStock[TTAF_Qty],T_TTAFStock[RM_Code],$A18,T_TTAFStock[WeekIndex],70),BR18+'Grid_Incoming'!BS18-'Grid_Requirement'!BS18))</f>
        <v/>
      </c>
      <c r="BT18">
        <f>IF(COUNTIFS(T_StockCount[RM_Code],$A18,T_StockCount[WeekIndex],71)&gt;0,SUMIFS(T_StockCount[CountedQty],T_StockCount[RM_Code],$A18,T_StockCount[WeekIndex],71),IF((COUNTIFS(T_SelfStock[RM_Code],$A18,T_SelfStock[WeekIndex],71)&gt;0)*(COUNTIFS(T_TTAFStock[RM_Code],$A18,T_TTAFStock[WeekIndex],71)&gt;0)&gt;0,SUMIFS(T_SelfStock[Self_Qty],T_SelfStock[RM_Code],$A18,T_SelfStock[WeekIndex],71)+SUMIFS(T_TTAFStock[TTAF_Qty],T_TTAFStock[RM_Code],$A18,T_TTAFStock[WeekIndex],71),BS18+'Grid_Incoming'!BT18-'Grid_Requirement'!BT18))</f>
        <v/>
      </c>
      <c r="BU18">
        <f>IF(COUNTIFS(T_StockCount[RM_Code],$A18,T_StockCount[WeekIndex],72)&gt;0,SUMIFS(T_StockCount[CountedQty],T_StockCount[RM_Code],$A18,T_StockCount[WeekIndex],72),IF((COUNTIFS(T_SelfStock[RM_Code],$A18,T_SelfStock[WeekIndex],72)&gt;0)*(COUNTIFS(T_TTAFStock[RM_Code],$A18,T_TTAFStock[WeekIndex],72)&gt;0)&gt;0,SUMIFS(T_SelfStock[Self_Qty],T_SelfStock[RM_Code],$A18,T_SelfStock[WeekIndex],72)+SUMIFS(T_TTAFStock[TTAF_Qty],T_TTAFStock[RM_Code],$A18,T_TTAFStock[WeekIndex],72),BT18+'Grid_Incoming'!BU18-'Grid_Requirement'!BU18))</f>
        <v/>
      </c>
      <c r="BV18">
        <f>IF(COUNTIFS(T_StockCount[RM_Code],$A18,T_StockCount[WeekIndex],73)&gt;0,SUMIFS(T_StockCount[CountedQty],T_StockCount[RM_Code],$A18,T_StockCount[WeekIndex],73),IF((COUNTIFS(T_SelfStock[RM_Code],$A18,T_SelfStock[WeekIndex],73)&gt;0)*(COUNTIFS(T_TTAFStock[RM_Code],$A18,T_TTAFStock[WeekIndex],73)&gt;0)&gt;0,SUMIFS(T_SelfStock[Self_Qty],T_SelfStock[RM_Code],$A18,T_SelfStock[WeekIndex],73)+SUMIFS(T_TTAFStock[TTAF_Qty],T_TTAFStock[RM_Code],$A18,T_TTAFStock[WeekIndex],73),BU18+'Grid_Incoming'!BV18-'Grid_Requirement'!BV18))</f>
        <v/>
      </c>
      <c r="BW18">
        <f>IF(COUNTIFS(T_StockCount[RM_Code],$A18,T_StockCount[WeekIndex],74)&gt;0,SUMIFS(T_StockCount[CountedQty],T_StockCount[RM_Code],$A18,T_StockCount[WeekIndex],74),IF((COUNTIFS(T_SelfStock[RM_Code],$A18,T_SelfStock[WeekIndex],74)&gt;0)*(COUNTIFS(T_TTAFStock[RM_Code],$A18,T_TTAFStock[WeekIndex],74)&gt;0)&gt;0,SUMIFS(T_SelfStock[Self_Qty],T_SelfStock[RM_Code],$A18,T_SelfStock[WeekIndex],74)+SUMIFS(T_TTAFStock[TTAF_Qty],T_TTAFStock[RM_Code],$A18,T_TTAFStock[WeekIndex],74),BV18+'Grid_Incoming'!BW18-'Grid_Requirement'!BW18))</f>
        <v/>
      </c>
      <c r="BX18">
        <f>IF(COUNTIFS(T_StockCount[RM_Code],$A18,T_StockCount[WeekIndex],75)&gt;0,SUMIFS(T_StockCount[CountedQty],T_StockCount[RM_Code],$A18,T_StockCount[WeekIndex],75),IF((COUNTIFS(T_SelfStock[RM_Code],$A18,T_SelfStock[WeekIndex],75)&gt;0)*(COUNTIFS(T_TTAFStock[RM_Code],$A18,T_TTAFStock[WeekIndex],75)&gt;0)&gt;0,SUMIFS(T_SelfStock[Self_Qty],T_SelfStock[RM_Code],$A18,T_SelfStock[WeekIndex],75)+SUMIFS(T_TTAFStock[TTAF_Qty],T_TTAFStock[RM_Code],$A18,T_TTAFStock[WeekIndex],75),BW18+'Grid_Incoming'!BX18-'Grid_Requirement'!BX18))</f>
        <v/>
      </c>
      <c r="BY18">
        <f>IF(COUNTIFS(T_StockCount[RM_Code],$A18,T_StockCount[WeekIndex],76)&gt;0,SUMIFS(T_StockCount[CountedQty],T_StockCount[RM_Code],$A18,T_StockCount[WeekIndex],76),IF((COUNTIFS(T_SelfStock[RM_Code],$A18,T_SelfStock[WeekIndex],76)&gt;0)*(COUNTIFS(T_TTAFStock[RM_Code],$A18,T_TTAFStock[WeekIndex],76)&gt;0)&gt;0,SUMIFS(T_SelfStock[Self_Qty],T_SelfStock[RM_Code],$A18,T_SelfStock[WeekIndex],76)+SUMIFS(T_TTAFStock[TTAF_Qty],T_TTAFStock[RM_Code],$A18,T_TTAFStock[WeekIndex],76),BX18+'Grid_Incoming'!BY18-'Grid_Requirement'!BY18))</f>
        <v/>
      </c>
      <c r="BZ18">
        <f>IF(COUNTIFS(T_StockCount[RM_Code],$A18,T_StockCount[WeekIndex],77)&gt;0,SUMIFS(T_StockCount[CountedQty],T_StockCount[RM_Code],$A18,T_StockCount[WeekIndex],77),IF((COUNTIFS(T_SelfStock[RM_Code],$A18,T_SelfStock[WeekIndex],77)&gt;0)*(COUNTIFS(T_TTAFStock[RM_Code],$A18,T_TTAFStock[WeekIndex],77)&gt;0)&gt;0,SUMIFS(T_SelfStock[Self_Qty],T_SelfStock[RM_Code],$A18,T_SelfStock[WeekIndex],77)+SUMIFS(T_TTAFStock[TTAF_Qty],T_TTAFStock[RM_Code],$A18,T_TTAFStock[WeekIndex],77),BY18+'Grid_Incoming'!BZ18-'Grid_Requirement'!BZ18))</f>
        <v/>
      </c>
      <c r="CA18">
        <f>IF(COUNTIFS(T_StockCount[RM_Code],$A18,T_StockCount[WeekIndex],78)&gt;0,SUMIFS(T_StockCount[CountedQty],T_StockCount[RM_Code],$A18,T_StockCount[WeekIndex],78),IF((COUNTIFS(T_SelfStock[RM_Code],$A18,T_SelfStock[WeekIndex],78)&gt;0)*(COUNTIFS(T_TTAFStock[RM_Code],$A18,T_TTAFStock[WeekIndex],78)&gt;0)&gt;0,SUMIFS(T_SelfStock[Self_Qty],T_SelfStock[RM_Code],$A18,T_SelfStock[WeekIndex],78)+SUMIFS(T_TTAFStock[TTAF_Qty],T_TTAFStock[RM_Code],$A18,T_TTAFStock[WeekIndex],78),BZ18+'Grid_Incoming'!CA18-'Grid_Requirement'!CA18))</f>
        <v/>
      </c>
      <c r="CB18">
        <f>IF(COUNTIFS(T_StockCount[RM_Code],$A18,T_StockCount[WeekIndex],79)&gt;0,SUMIFS(T_StockCount[CountedQty],T_StockCount[RM_Code],$A18,T_StockCount[WeekIndex],79),IF((COUNTIFS(T_SelfStock[RM_Code],$A18,T_SelfStock[WeekIndex],79)&gt;0)*(COUNTIFS(T_TTAFStock[RM_Code],$A18,T_TTAFStock[WeekIndex],79)&gt;0)&gt;0,SUMIFS(T_SelfStock[Self_Qty],T_SelfStock[RM_Code],$A18,T_SelfStock[WeekIndex],79)+SUMIFS(T_TTAFStock[TTAF_Qty],T_TTAFStock[RM_Code],$A18,T_TTAFStock[WeekIndex],79),CA18+'Grid_Incoming'!CB18-'Grid_Requirement'!CB18))</f>
        <v/>
      </c>
      <c r="CC18">
        <f>IF(COUNTIFS(T_StockCount[RM_Code],$A18,T_StockCount[WeekIndex],80)&gt;0,SUMIFS(T_StockCount[CountedQty],T_StockCount[RM_Code],$A18,T_StockCount[WeekIndex],80),IF((COUNTIFS(T_SelfStock[RM_Code],$A18,T_SelfStock[WeekIndex],80)&gt;0)*(COUNTIFS(T_TTAFStock[RM_Code],$A18,T_TTAFStock[WeekIndex],80)&gt;0)&gt;0,SUMIFS(T_SelfStock[Self_Qty],T_SelfStock[RM_Code],$A18,T_SelfStock[WeekIndex],80)+SUMIFS(T_TTAFStock[TTAF_Qty],T_TTAFStock[RM_Code],$A18,T_TTAFStock[WeekIndex],80),CB18+'Grid_Incoming'!CC18-'Grid_Requirement'!CC18))</f>
        <v/>
      </c>
      <c r="CD18">
        <f>IF(COUNTIFS(T_StockCount[RM_Code],$A18,T_StockCount[WeekIndex],81)&gt;0,SUMIFS(T_StockCount[CountedQty],T_StockCount[RM_Code],$A18,T_StockCount[WeekIndex],81),IF((COUNTIFS(T_SelfStock[RM_Code],$A18,T_SelfStock[WeekIndex],81)&gt;0)*(COUNTIFS(T_TTAFStock[RM_Code],$A18,T_TTAFStock[WeekIndex],81)&gt;0)&gt;0,SUMIFS(T_SelfStock[Self_Qty],T_SelfStock[RM_Code],$A18,T_SelfStock[WeekIndex],81)+SUMIFS(T_TTAFStock[TTAF_Qty],T_TTAFStock[RM_Code],$A18,T_TTAFStock[WeekIndex],81),CC18+'Grid_Incoming'!CD18-'Grid_Requirement'!CD18))</f>
        <v/>
      </c>
      <c r="CE18">
        <f>IF(COUNTIFS(T_StockCount[RM_Code],$A18,T_StockCount[WeekIndex],82)&gt;0,SUMIFS(T_StockCount[CountedQty],T_StockCount[RM_Code],$A18,T_StockCount[WeekIndex],82),IF((COUNTIFS(T_SelfStock[RM_Code],$A18,T_SelfStock[WeekIndex],82)&gt;0)*(COUNTIFS(T_TTAFStock[RM_Code],$A18,T_TTAFStock[WeekIndex],82)&gt;0)&gt;0,SUMIFS(T_SelfStock[Self_Qty],T_SelfStock[RM_Code],$A18,T_SelfStock[WeekIndex],82)+SUMIFS(T_TTAFStock[TTAF_Qty],T_TTAFStock[RM_Code],$A18,T_TTAFStock[WeekIndex],82),CD18+'Grid_Incoming'!CE18-'Grid_Requirement'!CE18))</f>
        <v/>
      </c>
      <c r="CF18">
        <f>IF(COUNTIFS(T_StockCount[RM_Code],$A18,T_StockCount[WeekIndex],83)&gt;0,SUMIFS(T_StockCount[CountedQty],T_StockCount[RM_Code],$A18,T_StockCount[WeekIndex],83),IF((COUNTIFS(T_SelfStock[RM_Code],$A18,T_SelfStock[WeekIndex],83)&gt;0)*(COUNTIFS(T_TTAFStock[RM_Code],$A18,T_TTAFStock[WeekIndex],83)&gt;0)&gt;0,SUMIFS(T_SelfStock[Self_Qty],T_SelfStock[RM_Code],$A18,T_SelfStock[WeekIndex],83)+SUMIFS(T_TTAFStock[TTAF_Qty],T_TTAFStock[RM_Code],$A18,T_TTAFStock[WeekIndex],83),CE18+'Grid_Incoming'!CF18-'Grid_Requirement'!CF18))</f>
        <v/>
      </c>
      <c r="CG18">
        <f>IF(COUNTIFS(T_StockCount[RM_Code],$A18,T_StockCount[WeekIndex],84)&gt;0,SUMIFS(T_StockCount[CountedQty],T_StockCount[RM_Code],$A18,T_StockCount[WeekIndex],84),IF((COUNTIFS(T_SelfStock[RM_Code],$A18,T_SelfStock[WeekIndex],84)&gt;0)*(COUNTIFS(T_TTAFStock[RM_Code],$A18,T_TTAFStock[WeekIndex],84)&gt;0)&gt;0,SUMIFS(T_SelfStock[Self_Qty],T_SelfStock[RM_Code],$A18,T_SelfStock[WeekIndex],84)+SUMIFS(T_TTAFStock[TTAF_Qty],T_TTAFStock[RM_Code],$A18,T_TTAFStock[WeekIndex],84),CF18+'Grid_Incoming'!CG18-'Grid_Requirement'!CG18))</f>
        <v/>
      </c>
      <c r="CH18">
        <f>IF(COUNTIFS(T_StockCount[RM_Code],$A18,T_StockCount[WeekIndex],85)&gt;0,SUMIFS(T_StockCount[CountedQty],T_StockCount[RM_Code],$A18,T_StockCount[WeekIndex],85),IF((COUNTIFS(T_SelfStock[RM_Code],$A18,T_SelfStock[WeekIndex],85)&gt;0)*(COUNTIFS(T_TTAFStock[RM_Code],$A18,T_TTAFStock[WeekIndex],85)&gt;0)&gt;0,SUMIFS(T_SelfStock[Self_Qty],T_SelfStock[RM_Code],$A18,T_SelfStock[WeekIndex],85)+SUMIFS(T_TTAFStock[TTAF_Qty],T_TTAFStock[RM_Code],$A18,T_TTAFStock[WeekIndex],85),CG18+'Grid_Incoming'!CH18-'Grid_Requirement'!CH18))</f>
        <v/>
      </c>
      <c r="CI18">
        <f>IF(COUNTIFS(T_StockCount[RM_Code],$A18,T_StockCount[WeekIndex],86)&gt;0,SUMIFS(T_StockCount[CountedQty],T_StockCount[RM_Code],$A18,T_StockCount[WeekIndex],86),IF((COUNTIFS(T_SelfStock[RM_Code],$A18,T_SelfStock[WeekIndex],86)&gt;0)*(COUNTIFS(T_TTAFStock[RM_Code],$A18,T_TTAFStock[WeekIndex],86)&gt;0)&gt;0,SUMIFS(T_SelfStock[Self_Qty],T_SelfStock[RM_Code],$A18,T_SelfStock[WeekIndex],86)+SUMIFS(T_TTAFStock[TTAF_Qty],T_TTAFStock[RM_Code],$A18,T_TTAFStock[WeekIndex],86),CH18+'Grid_Incoming'!CI18-'Grid_Requirement'!CI18))</f>
        <v/>
      </c>
      <c r="CJ18">
        <f>IF(COUNTIFS(T_StockCount[RM_Code],$A18,T_StockCount[WeekIndex],87)&gt;0,SUMIFS(T_StockCount[CountedQty],T_StockCount[RM_Code],$A18,T_StockCount[WeekIndex],87),IF((COUNTIFS(T_SelfStock[RM_Code],$A18,T_SelfStock[WeekIndex],87)&gt;0)*(COUNTIFS(T_TTAFStock[RM_Code],$A18,T_TTAFStock[WeekIndex],87)&gt;0)&gt;0,SUMIFS(T_SelfStock[Self_Qty],T_SelfStock[RM_Code],$A18,T_SelfStock[WeekIndex],87)+SUMIFS(T_TTAFStock[TTAF_Qty],T_TTAFStock[RM_Code],$A18,T_TTAFStock[WeekIndex],87),CI18+'Grid_Incoming'!CJ18-'Grid_Requirement'!CJ18))</f>
        <v/>
      </c>
      <c r="CK18">
        <f>IF(COUNTIFS(T_StockCount[RM_Code],$A18,T_StockCount[WeekIndex],88)&gt;0,SUMIFS(T_StockCount[CountedQty],T_StockCount[RM_Code],$A18,T_StockCount[WeekIndex],88),IF((COUNTIFS(T_SelfStock[RM_Code],$A18,T_SelfStock[WeekIndex],88)&gt;0)*(COUNTIFS(T_TTAFStock[RM_Code],$A18,T_TTAFStock[WeekIndex],88)&gt;0)&gt;0,SUMIFS(T_SelfStock[Self_Qty],T_SelfStock[RM_Code],$A18,T_SelfStock[WeekIndex],88)+SUMIFS(T_TTAFStock[TTAF_Qty],T_TTAFStock[RM_Code],$A18,T_TTAFStock[WeekIndex],88),CJ18+'Grid_Incoming'!CK18-'Grid_Requirement'!CK18))</f>
        <v/>
      </c>
      <c r="CL18">
        <f>IF(COUNTIFS(T_StockCount[RM_Code],$A18,T_StockCount[WeekIndex],89)&gt;0,SUMIFS(T_StockCount[CountedQty],T_StockCount[RM_Code],$A18,T_StockCount[WeekIndex],89),IF((COUNTIFS(T_SelfStock[RM_Code],$A18,T_SelfStock[WeekIndex],89)&gt;0)*(COUNTIFS(T_TTAFStock[RM_Code],$A18,T_TTAFStock[WeekIndex],89)&gt;0)&gt;0,SUMIFS(T_SelfStock[Self_Qty],T_SelfStock[RM_Code],$A18,T_SelfStock[WeekIndex],89)+SUMIFS(T_TTAFStock[TTAF_Qty],T_TTAFStock[RM_Code],$A18,T_TTAFStock[WeekIndex],89),CK18+'Grid_Incoming'!CL18-'Grid_Requirement'!CL18))</f>
        <v/>
      </c>
      <c r="CM18">
        <f>IF(COUNTIFS(T_StockCount[RM_Code],$A18,T_StockCount[WeekIndex],90)&gt;0,SUMIFS(T_StockCount[CountedQty],T_StockCount[RM_Code],$A18,T_StockCount[WeekIndex],90),IF((COUNTIFS(T_SelfStock[RM_Code],$A18,T_SelfStock[WeekIndex],90)&gt;0)*(COUNTIFS(T_TTAFStock[RM_Code],$A18,T_TTAFStock[WeekIndex],90)&gt;0)&gt;0,SUMIFS(T_SelfStock[Self_Qty],T_SelfStock[RM_Code],$A18,T_SelfStock[WeekIndex],90)+SUMIFS(T_TTAFStock[TTAF_Qty],T_TTAFStock[RM_Code],$A18,T_TTAFStock[WeekIndex],90),CL18+'Grid_Incoming'!CM18-'Grid_Requirement'!CM18))</f>
        <v/>
      </c>
      <c r="CN18">
        <f>IF(COUNTIFS(T_StockCount[RM_Code],$A18,T_StockCount[WeekIndex],91)&gt;0,SUMIFS(T_StockCount[CountedQty],T_StockCount[RM_Code],$A18,T_StockCount[WeekIndex],91),IF((COUNTIFS(T_SelfStock[RM_Code],$A18,T_SelfStock[WeekIndex],91)&gt;0)*(COUNTIFS(T_TTAFStock[RM_Code],$A18,T_TTAFStock[WeekIndex],91)&gt;0)&gt;0,SUMIFS(T_SelfStock[Self_Qty],T_SelfStock[RM_Code],$A18,T_SelfStock[WeekIndex],91)+SUMIFS(T_TTAFStock[TTAF_Qty],T_TTAFStock[RM_Code],$A18,T_TTAFStock[WeekIndex],91),CM18+'Grid_Incoming'!CN18-'Grid_Requirement'!CN18))</f>
        <v/>
      </c>
      <c r="CO18">
        <f>IF(COUNTIFS(T_StockCount[RM_Code],$A18,T_StockCount[WeekIndex],92)&gt;0,SUMIFS(T_StockCount[CountedQty],T_StockCount[RM_Code],$A18,T_StockCount[WeekIndex],92),IF((COUNTIFS(T_SelfStock[RM_Code],$A18,T_SelfStock[WeekIndex],92)&gt;0)*(COUNTIFS(T_TTAFStock[RM_Code],$A18,T_TTAFStock[WeekIndex],92)&gt;0)&gt;0,SUMIFS(T_SelfStock[Self_Qty],T_SelfStock[RM_Code],$A18,T_SelfStock[WeekIndex],92)+SUMIFS(T_TTAFStock[TTAF_Qty],T_TTAFStock[RM_Code],$A18,T_TTAFStock[WeekIndex],92),CN18+'Grid_Incoming'!CO18-'Grid_Requirement'!CO18))</f>
        <v/>
      </c>
      <c r="CP18">
        <f>IF(COUNTIFS(T_StockCount[RM_Code],$A18,T_StockCount[WeekIndex],93)&gt;0,SUMIFS(T_StockCount[CountedQty],T_StockCount[RM_Code],$A18,T_StockCount[WeekIndex],93),IF((COUNTIFS(T_SelfStock[RM_Code],$A18,T_SelfStock[WeekIndex],93)&gt;0)*(COUNTIFS(T_TTAFStock[RM_Code],$A18,T_TTAFStock[WeekIndex],93)&gt;0)&gt;0,SUMIFS(T_SelfStock[Self_Qty],T_SelfStock[RM_Code],$A18,T_SelfStock[WeekIndex],93)+SUMIFS(T_TTAFStock[TTAF_Qty],T_TTAFStock[RM_Code],$A18,T_TTAFStock[WeekIndex],93),CO18+'Grid_Incoming'!CP18-'Grid_Requirement'!CP18))</f>
        <v/>
      </c>
      <c r="CQ18">
        <f>IF(COUNTIFS(T_StockCount[RM_Code],$A18,T_StockCount[WeekIndex],94)&gt;0,SUMIFS(T_StockCount[CountedQty],T_StockCount[RM_Code],$A18,T_StockCount[WeekIndex],94),IF((COUNTIFS(T_SelfStock[RM_Code],$A18,T_SelfStock[WeekIndex],94)&gt;0)*(COUNTIFS(T_TTAFStock[RM_Code],$A18,T_TTAFStock[WeekIndex],94)&gt;0)&gt;0,SUMIFS(T_SelfStock[Self_Qty],T_SelfStock[RM_Code],$A18,T_SelfStock[WeekIndex],94)+SUMIFS(T_TTAFStock[TTAF_Qty],T_TTAFStock[RM_Code],$A18,T_TTAFStock[WeekIndex],94),CP18+'Grid_Incoming'!CQ18-'Grid_Requirement'!CQ18))</f>
        <v/>
      </c>
      <c r="CR18">
        <f>IF(COUNTIFS(T_StockCount[RM_Code],$A18,T_StockCount[WeekIndex],95)&gt;0,SUMIFS(T_StockCount[CountedQty],T_StockCount[RM_Code],$A18,T_StockCount[WeekIndex],95),IF((COUNTIFS(T_SelfStock[RM_Code],$A18,T_SelfStock[WeekIndex],95)&gt;0)*(COUNTIFS(T_TTAFStock[RM_Code],$A18,T_TTAFStock[WeekIndex],95)&gt;0)&gt;0,SUMIFS(T_SelfStock[Self_Qty],T_SelfStock[RM_Code],$A18,T_SelfStock[WeekIndex],95)+SUMIFS(T_TTAFStock[TTAF_Qty],T_TTAFStock[RM_Code],$A18,T_TTAFStock[WeekIndex],95),CQ18+'Grid_Incoming'!CR18-'Grid_Requirement'!CR18))</f>
        <v/>
      </c>
      <c r="CS18">
        <f>IF(COUNTIFS(T_StockCount[RM_Code],$A18,T_StockCount[WeekIndex],96)&gt;0,SUMIFS(T_StockCount[CountedQty],T_StockCount[RM_Code],$A18,T_StockCount[WeekIndex],96),IF((COUNTIFS(T_SelfStock[RM_Code],$A18,T_SelfStock[WeekIndex],96)&gt;0)*(COUNTIFS(T_TTAFStock[RM_Code],$A18,T_TTAFStock[WeekIndex],96)&gt;0)&gt;0,SUMIFS(T_SelfStock[Self_Qty],T_SelfStock[RM_Code],$A18,T_SelfStock[WeekIndex],96)+SUMIFS(T_TTAFStock[TTAF_Qty],T_TTAFStock[RM_Code],$A18,T_TTAFStock[WeekIndex],96),CR18+'Grid_Incoming'!CS18-'Grid_Requirement'!CS18))</f>
        <v/>
      </c>
      <c r="CT18">
        <f>IF(COUNTIFS(T_StockCount[RM_Code],$A18,T_StockCount[WeekIndex],97)&gt;0,SUMIFS(T_StockCount[CountedQty],T_StockCount[RM_Code],$A18,T_StockCount[WeekIndex],97),IF((COUNTIFS(T_SelfStock[RM_Code],$A18,T_SelfStock[WeekIndex],97)&gt;0)*(COUNTIFS(T_TTAFStock[RM_Code],$A18,T_TTAFStock[WeekIndex],97)&gt;0)&gt;0,SUMIFS(T_SelfStock[Self_Qty],T_SelfStock[RM_Code],$A18,T_SelfStock[WeekIndex],97)+SUMIFS(T_TTAFStock[TTAF_Qty],T_TTAFStock[RM_Code],$A18,T_TTAFStock[WeekIndex],97),CS18+'Grid_Incoming'!CT18-'Grid_Requirement'!CT18))</f>
        <v/>
      </c>
      <c r="CU18">
        <f>IF(COUNTIFS(T_StockCount[RM_Code],$A18,T_StockCount[WeekIndex],98)&gt;0,SUMIFS(T_StockCount[CountedQty],T_StockCount[RM_Code],$A18,T_StockCount[WeekIndex],98),IF((COUNTIFS(T_SelfStock[RM_Code],$A18,T_SelfStock[WeekIndex],98)&gt;0)*(COUNTIFS(T_TTAFStock[RM_Code],$A18,T_TTAFStock[WeekIndex],98)&gt;0)&gt;0,SUMIFS(T_SelfStock[Self_Qty],T_SelfStock[RM_Code],$A18,T_SelfStock[WeekIndex],98)+SUMIFS(T_TTAFStock[TTAF_Qty],T_TTAFStock[RM_Code],$A18,T_TTAFStock[WeekIndex],98),CT18+'Grid_Incoming'!CU18-'Grid_Requirement'!CU18))</f>
        <v/>
      </c>
      <c r="CV18">
        <f>IF(COUNTIFS(T_StockCount[RM_Code],$A18,T_StockCount[WeekIndex],99)&gt;0,SUMIFS(T_StockCount[CountedQty],T_StockCount[RM_Code],$A18,T_StockCount[WeekIndex],99),IF((COUNTIFS(T_SelfStock[RM_Code],$A18,T_SelfStock[WeekIndex],99)&gt;0)*(COUNTIFS(T_TTAFStock[RM_Code],$A18,T_TTAFStock[WeekIndex],99)&gt;0)&gt;0,SUMIFS(T_SelfStock[Self_Qty],T_SelfStock[RM_Code],$A18,T_SelfStock[WeekIndex],99)+SUMIFS(T_TTAFStock[TTAF_Qty],T_TTAFStock[RM_Code],$A18,T_TTAFStock[WeekIndex],99),CU18+'Grid_Incoming'!CV18-'Grid_Requirement'!CV18))</f>
        <v/>
      </c>
      <c r="CW18">
        <f>IF(COUNTIFS(T_StockCount[RM_Code],$A18,T_StockCount[WeekIndex],100)&gt;0,SUMIFS(T_StockCount[CountedQty],T_StockCount[RM_Code],$A18,T_StockCount[WeekIndex],100),IF((COUNTIFS(T_SelfStock[RM_Code],$A18,T_SelfStock[WeekIndex],100)&gt;0)*(COUNTIFS(T_TTAFStock[RM_Code],$A18,T_TTAFStock[WeekIndex],100)&gt;0)&gt;0,SUMIFS(T_SelfStock[Self_Qty],T_SelfStock[RM_Code],$A18,T_SelfStock[WeekIndex],100)+SUMIFS(T_TTAFStock[TTAF_Qty],T_TTAFStock[RM_Code],$A18,T_TTAFStock[WeekIndex],100),CV18+'Grid_Incoming'!CW18-'Grid_Requirement'!CW18))</f>
        <v/>
      </c>
      <c r="CX18">
        <f>IF(COUNTIFS(T_StockCount[RM_Code],$A18,T_StockCount[WeekIndex],101)&gt;0,SUMIFS(T_StockCount[CountedQty],T_StockCount[RM_Code],$A18,T_StockCount[WeekIndex],101),IF((COUNTIFS(T_SelfStock[RM_Code],$A18,T_SelfStock[WeekIndex],101)&gt;0)*(COUNTIFS(T_TTAFStock[RM_Code],$A18,T_TTAFStock[WeekIndex],101)&gt;0)&gt;0,SUMIFS(T_SelfStock[Self_Qty],T_SelfStock[RM_Code],$A18,T_SelfStock[WeekIndex],101)+SUMIFS(T_TTAFStock[TTAF_Qty],T_TTAFStock[RM_Code],$A18,T_TTAFStock[WeekIndex],101),CW18+'Grid_Incoming'!CX18-'Grid_Requirement'!CX18))</f>
        <v/>
      </c>
      <c r="CY18">
        <f>IF(COUNTIFS(T_StockCount[RM_Code],$A18,T_StockCount[WeekIndex],102)&gt;0,SUMIFS(T_StockCount[CountedQty],T_StockCount[RM_Code],$A18,T_StockCount[WeekIndex],102),IF((COUNTIFS(T_SelfStock[RM_Code],$A18,T_SelfStock[WeekIndex],102)&gt;0)*(COUNTIFS(T_TTAFStock[RM_Code],$A18,T_TTAFStock[WeekIndex],102)&gt;0)&gt;0,SUMIFS(T_SelfStock[Self_Qty],T_SelfStock[RM_Code],$A18,T_SelfStock[WeekIndex],102)+SUMIFS(T_TTAFStock[TTAF_Qty],T_TTAFStock[RM_Code],$A18,T_TTAFStock[WeekIndex],102),CX18+'Grid_Incoming'!CY18-'Grid_Requirement'!CY18))</f>
        <v/>
      </c>
      <c r="CZ18">
        <f>IF(COUNTIFS(T_StockCount[RM_Code],$A18,T_StockCount[WeekIndex],103)&gt;0,SUMIFS(T_StockCount[CountedQty],T_StockCount[RM_Code],$A18,T_StockCount[WeekIndex],103),IF((COUNTIFS(T_SelfStock[RM_Code],$A18,T_SelfStock[WeekIndex],103)&gt;0)*(COUNTIFS(T_TTAFStock[RM_Code],$A18,T_TTAFStock[WeekIndex],103)&gt;0)&gt;0,SUMIFS(T_SelfStock[Self_Qty],T_SelfStock[RM_Code],$A18,T_SelfStock[WeekIndex],103)+SUMIFS(T_TTAFStock[TTAF_Qty],T_TTAFStock[RM_Code],$A18,T_TTAFStock[WeekIndex],103),CY18+'Grid_Incoming'!CZ18-'Grid_Requirement'!CZ18))</f>
        <v/>
      </c>
      <c r="DA18">
        <f>IF(COUNTIFS(T_StockCount[RM_Code],$A18,T_StockCount[WeekIndex],104)&gt;0,SUMIFS(T_StockCount[CountedQty],T_StockCount[RM_Code],$A18,T_StockCount[WeekIndex],104),IF((COUNTIFS(T_SelfStock[RM_Code],$A18,T_SelfStock[WeekIndex],104)&gt;0)*(COUNTIFS(T_TTAFStock[RM_Code],$A18,T_TTAFStock[WeekIndex],104)&gt;0)&gt;0,SUMIFS(T_SelfStock[Self_Qty],T_SelfStock[RM_Code],$A18,T_SelfStock[WeekIndex],104)+SUMIFS(T_TTAFStock[TTAF_Qty],T_TTAFStock[RM_Code],$A18,T_TTAFStock[WeekIndex],104),CZ18+'Grid_Incoming'!DA18-'Grid_Requirement'!DA18))</f>
        <v/>
      </c>
    </row>
    <row r="19">
      <c r="A19" t="inlineStr">
        <is>
          <t>CHEM-1570</t>
        </is>
      </c>
      <c r="B19">
        <f>IF(COUNTIFS(T_StockCount[RM_Code],$A19,T_StockCount[WeekIndex],1)&gt;0,SUMIFS(T_StockCount[CountedQty],T_StockCount[RM_Code],$A19,T_StockCount[WeekIndex],1),IF((COUNTIFS(T_SelfStock[RM_Code],$A19,T_SelfStock[WeekIndex],1)&gt;0)*(COUNTIFS(T_TTAFStock[RM_Code],$A19,T_TTAFStock[WeekIndex],1)&gt;0)&gt;0,SUMIFS(T_SelfStock[Self_Qty],T_SelfStock[RM_Code],$A19,T_SelfStock[WeekIndex],1)+SUMIFS(T_TTAFStock[TTAF_Qty],T_TTAFStock[RM_Code],$A19,T_TTAFStock[WeekIndex],1),IFERROR(INDEX(T_OpeningStock[Opening_Qty],MATCH($A19,T_OpeningStock[RM_Code],0)),0)+'Grid_Incoming'!B19-'Grid_Requirement'!B19))</f>
        <v/>
      </c>
      <c r="C19">
        <f>IF(COUNTIFS(T_StockCount[RM_Code],$A19,T_StockCount[WeekIndex],2)&gt;0,SUMIFS(T_StockCount[CountedQty],T_StockCount[RM_Code],$A19,T_StockCount[WeekIndex],2),IF((COUNTIFS(T_SelfStock[RM_Code],$A19,T_SelfStock[WeekIndex],2)&gt;0)*(COUNTIFS(T_TTAFStock[RM_Code],$A19,T_TTAFStock[WeekIndex],2)&gt;0)&gt;0,SUMIFS(T_SelfStock[Self_Qty],T_SelfStock[RM_Code],$A19,T_SelfStock[WeekIndex],2)+SUMIFS(T_TTAFStock[TTAF_Qty],T_TTAFStock[RM_Code],$A19,T_TTAFStock[WeekIndex],2),B19+'Grid_Incoming'!C19-'Grid_Requirement'!C19))</f>
        <v/>
      </c>
      <c r="D19">
        <f>IF(COUNTIFS(T_StockCount[RM_Code],$A19,T_StockCount[WeekIndex],3)&gt;0,SUMIFS(T_StockCount[CountedQty],T_StockCount[RM_Code],$A19,T_StockCount[WeekIndex],3),IF((COUNTIFS(T_SelfStock[RM_Code],$A19,T_SelfStock[WeekIndex],3)&gt;0)*(COUNTIFS(T_TTAFStock[RM_Code],$A19,T_TTAFStock[WeekIndex],3)&gt;0)&gt;0,SUMIFS(T_SelfStock[Self_Qty],T_SelfStock[RM_Code],$A19,T_SelfStock[WeekIndex],3)+SUMIFS(T_TTAFStock[TTAF_Qty],T_TTAFStock[RM_Code],$A19,T_TTAFStock[WeekIndex],3),C19+'Grid_Incoming'!D19-'Grid_Requirement'!D19))</f>
        <v/>
      </c>
      <c r="E19">
        <f>IF(COUNTIFS(T_StockCount[RM_Code],$A19,T_StockCount[WeekIndex],4)&gt;0,SUMIFS(T_StockCount[CountedQty],T_StockCount[RM_Code],$A19,T_StockCount[WeekIndex],4),IF((COUNTIFS(T_SelfStock[RM_Code],$A19,T_SelfStock[WeekIndex],4)&gt;0)*(COUNTIFS(T_TTAFStock[RM_Code],$A19,T_TTAFStock[WeekIndex],4)&gt;0)&gt;0,SUMIFS(T_SelfStock[Self_Qty],T_SelfStock[RM_Code],$A19,T_SelfStock[WeekIndex],4)+SUMIFS(T_TTAFStock[TTAF_Qty],T_TTAFStock[RM_Code],$A19,T_TTAFStock[WeekIndex],4),D19+'Grid_Incoming'!E19-'Grid_Requirement'!E19))</f>
        <v/>
      </c>
      <c r="F19">
        <f>IF(COUNTIFS(T_StockCount[RM_Code],$A19,T_StockCount[WeekIndex],5)&gt;0,SUMIFS(T_StockCount[CountedQty],T_StockCount[RM_Code],$A19,T_StockCount[WeekIndex],5),IF((COUNTIFS(T_SelfStock[RM_Code],$A19,T_SelfStock[WeekIndex],5)&gt;0)*(COUNTIFS(T_TTAFStock[RM_Code],$A19,T_TTAFStock[WeekIndex],5)&gt;0)&gt;0,SUMIFS(T_SelfStock[Self_Qty],T_SelfStock[RM_Code],$A19,T_SelfStock[WeekIndex],5)+SUMIFS(T_TTAFStock[TTAF_Qty],T_TTAFStock[RM_Code],$A19,T_TTAFStock[WeekIndex],5),E19+'Grid_Incoming'!F19-'Grid_Requirement'!F19))</f>
        <v/>
      </c>
      <c r="G19">
        <f>IF(COUNTIFS(T_StockCount[RM_Code],$A19,T_StockCount[WeekIndex],6)&gt;0,SUMIFS(T_StockCount[CountedQty],T_StockCount[RM_Code],$A19,T_StockCount[WeekIndex],6),IF((COUNTIFS(T_SelfStock[RM_Code],$A19,T_SelfStock[WeekIndex],6)&gt;0)*(COUNTIFS(T_TTAFStock[RM_Code],$A19,T_TTAFStock[WeekIndex],6)&gt;0)&gt;0,SUMIFS(T_SelfStock[Self_Qty],T_SelfStock[RM_Code],$A19,T_SelfStock[WeekIndex],6)+SUMIFS(T_TTAFStock[TTAF_Qty],T_TTAFStock[RM_Code],$A19,T_TTAFStock[WeekIndex],6),F19+'Grid_Incoming'!G19-'Grid_Requirement'!G19))</f>
        <v/>
      </c>
      <c r="H19">
        <f>IF(COUNTIFS(T_StockCount[RM_Code],$A19,T_StockCount[WeekIndex],7)&gt;0,SUMIFS(T_StockCount[CountedQty],T_StockCount[RM_Code],$A19,T_StockCount[WeekIndex],7),IF((COUNTIFS(T_SelfStock[RM_Code],$A19,T_SelfStock[WeekIndex],7)&gt;0)*(COUNTIFS(T_TTAFStock[RM_Code],$A19,T_TTAFStock[WeekIndex],7)&gt;0)&gt;0,SUMIFS(T_SelfStock[Self_Qty],T_SelfStock[RM_Code],$A19,T_SelfStock[WeekIndex],7)+SUMIFS(T_TTAFStock[TTAF_Qty],T_TTAFStock[RM_Code],$A19,T_TTAFStock[WeekIndex],7),G19+'Grid_Incoming'!H19-'Grid_Requirement'!H19))</f>
        <v/>
      </c>
      <c r="I19">
        <f>IF(COUNTIFS(T_StockCount[RM_Code],$A19,T_StockCount[WeekIndex],8)&gt;0,SUMIFS(T_StockCount[CountedQty],T_StockCount[RM_Code],$A19,T_StockCount[WeekIndex],8),IF((COUNTIFS(T_SelfStock[RM_Code],$A19,T_SelfStock[WeekIndex],8)&gt;0)*(COUNTIFS(T_TTAFStock[RM_Code],$A19,T_TTAFStock[WeekIndex],8)&gt;0)&gt;0,SUMIFS(T_SelfStock[Self_Qty],T_SelfStock[RM_Code],$A19,T_SelfStock[WeekIndex],8)+SUMIFS(T_TTAFStock[TTAF_Qty],T_TTAFStock[RM_Code],$A19,T_TTAFStock[WeekIndex],8),H19+'Grid_Incoming'!I19-'Grid_Requirement'!I19))</f>
        <v/>
      </c>
      <c r="J19">
        <f>IF(COUNTIFS(T_StockCount[RM_Code],$A19,T_StockCount[WeekIndex],9)&gt;0,SUMIFS(T_StockCount[CountedQty],T_StockCount[RM_Code],$A19,T_StockCount[WeekIndex],9),IF((COUNTIFS(T_SelfStock[RM_Code],$A19,T_SelfStock[WeekIndex],9)&gt;0)*(COUNTIFS(T_TTAFStock[RM_Code],$A19,T_TTAFStock[WeekIndex],9)&gt;0)&gt;0,SUMIFS(T_SelfStock[Self_Qty],T_SelfStock[RM_Code],$A19,T_SelfStock[WeekIndex],9)+SUMIFS(T_TTAFStock[TTAF_Qty],T_TTAFStock[RM_Code],$A19,T_TTAFStock[WeekIndex],9),I19+'Grid_Incoming'!J19-'Grid_Requirement'!J19))</f>
        <v/>
      </c>
      <c r="K19">
        <f>IF(COUNTIFS(T_StockCount[RM_Code],$A19,T_StockCount[WeekIndex],10)&gt;0,SUMIFS(T_StockCount[CountedQty],T_StockCount[RM_Code],$A19,T_StockCount[WeekIndex],10),IF((COUNTIFS(T_SelfStock[RM_Code],$A19,T_SelfStock[WeekIndex],10)&gt;0)*(COUNTIFS(T_TTAFStock[RM_Code],$A19,T_TTAFStock[WeekIndex],10)&gt;0)&gt;0,SUMIFS(T_SelfStock[Self_Qty],T_SelfStock[RM_Code],$A19,T_SelfStock[WeekIndex],10)+SUMIFS(T_TTAFStock[TTAF_Qty],T_TTAFStock[RM_Code],$A19,T_TTAFStock[WeekIndex],10),J19+'Grid_Incoming'!K19-'Grid_Requirement'!K19))</f>
        <v/>
      </c>
      <c r="L19">
        <f>IF(COUNTIFS(T_StockCount[RM_Code],$A19,T_StockCount[WeekIndex],11)&gt;0,SUMIFS(T_StockCount[CountedQty],T_StockCount[RM_Code],$A19,T_StockCount[WeekIndex],11),IF((COUNTIFS(T_SelfStock[RM_Code],$A19,T_SelfStock[WeekIndex],11)&gt;0)*(COUNTIFS(T_TTAFStock[RM_Code],$A19,T_TTAFStock[WeekIndex],11)&gt;0)&gt;0,SUMIFS(T_SelfStock[Self_Qty],T_SelfStock[RM_Code],$A19,T_SelfStock[WeekIndex],11)+SUMIFS(T_TTAFStock[TTAF_Qty],T_TTAFStock[RM_Code],$A19,T_TTAFStock[WeekIndex],11),K19+'Grid_Incoming'!L19-'Grid_Requirement'!L19))</f>
        <v/>
      </c>
      <c r="M19">
        <f>IF(COUNTIFS(T_StockCount[RM_Code],$A19,T_StockCount[WeekIndex],12)&gt;0,SUMIFS(T_StockCount[CountedQty],T_StockCount[RM_Code],$A19,T_StockCount[WeekIndex],12),IF((COUNTIFS(T_SelfStock[RM_Code],$A19,T_SelfStock[WeekIndex],12)&gt;0)*(COUNTIFS(T_TTAFStock[RM_Code],$A19,T_TTAFStock[WeekIndex],12)&gt;0)&gt;0,SUMIFS(T_SelfStock[Self_Qty],T_SelfStock[RM_Code],$A19,T_SelfStock[WeekIndex],12)+SUMIFS(T_TTAFStock[TTAF_Qty],T_TTAFStock[RM_Code],$A19,T_TTAFStock[WeekIndex],12),L19+'Grid_Incoming'!M19-'Grid_Requirement'!M19))</f>
        <v/>
      </c>
      <c r="N19">
        <f>IF(COUNTIFS(T_StockCount[RM_Code],$A19,T_StockCount[WeekIndex],13)&gt;0,SUMIFS(T_StockCount[CountedQty],T_StockCount[RM_Code],$A19,T_StockCount[WeekIndex],13),IF((COUNTIFS(T_SelfStock[RM_Code],$A19,T_SelfStock[WeekIndex],13)&gt;0)*(COUNTIFS(T_TTAFStock[RM_Code],$A19,T_TTAFStock[WeekIndex],13)&gt;0)&gt;0,SUMIFS(T_SelfStock[Self_Qty],T_SelfStock[RM_Code],$A19,T_SelfStock[WeekIndex],13)+SUMIFS(T_TTAFStock[TTAF_Qty],T_TTAFStock[RM_Code],$A19,T_TTAFStock[WeekIndex],13),M19+'Grid_Incoming'!N19-'Grid_Requirement'!N19))</f>
        <v/>
      </c>
      <c r="O19">
        <f>IF(COUNTIFS(T_StockCount[RM_Code],$A19,T_StockCount[WeekIndex],14)&gt;0,SUMIFS(T_StockCount[CountedQty],T_StockCount[RM_Code],$A19,T_StockCount[WeekIndex],14),IF((COUNTIFS(T_SelfStock[RM_Code],$A19,T_SelfStock[WeekIndex],14)&gt;0)*(COUNTIFS(T_TTAFStock[RM_Code],$A19,T_TTAFStock[WeekIndex],14)&gt;0)&gt;0,SUMIFS(T_SelfStock[Self_Qty],T_SelfStock[RM_Code],$A19,T_SelfStock[WeekIndex],14)+SUMIFS(T_TTAFStock[TTAF_Qty],T_TTAFStock[RM_Code],$A19,T_TTAFStock[WeekIndex],14),N19+'Grid_Incoming'!O19-'Grid_Requirement'!O19))</f>
        <v/>
      </c>
      <c r="P19">
        <f>IF(COUNTIFS(T_StockCount[RM_Code],$A19,T_StockCount[WeekIndex],15)&gt;0,SUMIFS(T_StockCount[CountedQty],T_StockCount[RM_Code],$A19,T_StockCount[WeekIndex],15),IF((COUNTIFS(T_SelfStock[RM_Code],$A19,T_SelfStock[WeekIndex],15)&gt;0)*(COUNTIFS(T_TTAFStock[RM_Code],$A19,T_TTAFStock[WeekIndex],15)&gt;0)&gt;0,SUMIFS(T_SelfStock[Self_Qty],T_SelfStock[RM_Code],$A19,T_SelfStock[WeekIndex],15)+SUMIFS(T_TTAFStock[TTAF_Qty],T_TTAFStock[RM_Code],$A19,T_TTAFStock[WeekIndex],15),O19+'Grid_Incoming'!P19-'Grid_Requirement'!P19))</f>
        <v/>
      </c>
      <c r="Q19">
        <f>IF(COUNTIFS(T_StockCount[RM_Code],$A19,T_StockCount[WeekIndex],16)&gt;0,SUMIFS(T_StockCount[CountedQty],T_StockCount[RM_Code],$A19,T_StockCount[WeekIndex],16),IF((COUNTIFS(T_SelfStock[RM_Code],$A19,T_SelfStock[WeekIndex],16)&gt;0)*(COUNTIFS(T_TTAFStock[RM_Code],$A19,T_TTAFStock[WeekIndex],16)&gt;0)&gt;0,SUMIFS(T_SelfStock[Self_Qty],T_SelfStock[RM_Code],$A19,T_SelfStock[WeekIndex],16)+SUMIFS(T_TTAFStock[TTAF_Qty],T_TTAFStock[RM_Code],$A19,T_TTAFStock[WeekIndex],16),P19+'Grid_Incoming'!Q19-'Grid_Requirement'!Q19))</f>
        <v/>
      </c>
      <c r="R19">
        <f>IF(COUNTIFS(T_StockCount[RM_Code],$A19,T_StockCount[WeekIndex],17)&gt;0,SUMIFS(T_StockCount[CountedQty],T_StockCount[RM_Code],$A19,T_StockCount[WeekIndex],17),IF((COUNTIFS(T_SelfStock[RM_Code],$A19,T_SelfStock[WeekIndex],17)&gt;0)*(COUNTIFS(T_TTAFStock[RM_Code],$A19,T_TTAFStock[WeekIndex],17)&gt;0)&gt;0,SUMIFS(T_SelfStock[Self_Qty],T_SelfStock[RM_Code],$A19,T_SelfStock[WeekIndex],17)+SUMIFS(T_TTAFStock[TTAF_Qty],T_TTAFStock[RM_Code],$A19,T_TTAFStock[WeekIndex],17),Q19+'Grid_Incoming'!R19-'Grid_Requirement'!R19))</f>
        <v/>
      </c>
      <c r="S19">
        <f>IF(COUNTIFS(T_StockCount[RM_Code],$A19,T_StockCount[WeekIndex],18)&gt;0,SUMIFS(T_StockCount[CountedQty],T_StockCount[RM_Code],$A19,T_StockCount[WeekIndex],18),IF((COUNTIFS(T_SelfStock[RM_Code],$A19,T_SelfStock[WeekIndex],18)&gt;0)*(COUNTIFS(T_TTAFStock[RM_Code],$A19,T_TTAFStock[WeekIndex],18)&gt;0)&gt;0,SUMIFS(T_SelfStock[Self_Qty],T_SelfStock[RM_Code],$A19,T_SelfStock[WeekIndex],18)+SUMIFS(T_TTAFStock[TTAF_Qty],T_TTAFStock[RM_Code],$A19,T_TTAFStock[WeekIndex],18),R19+'Grid_Incoming'!S19-'Grid_Requirement'!S19))</f>
        <v/>
      </c>
      <c r="T19">
        <f>IF(COUNTIFS(T_StockCount[RM_Code],$A19,T_StockCount[WeekIndex],19)&gt;0,SUMIFS(T_StockCount[CountedQty],T_StockCount[RM_Code],$A19,T_StockCount[WeekIndex],19),IF((COUNTIFS(T_SelfStock[RM_Code],$A19,T_SelfStock[WeekIndex],19)&gt;0)*(COUNTIFS(T_TTAFStock[RM_Code],$A19,T_TTAFStock[WeekIndex],19)&gt;0)&gt;0,SUMIFS(T_SelfStock[Self_Qty],T_SelfStock[RM_Code],$A19,T_SelfStock[WeekIndex],19)+SUMIFS(T_TTAFStock[TTAF_Qty],T_TTAFStock[RM_Code],$A19,T_TTAFStock[WeekIndex],19),S19+'Grid_Incoming'!T19-'Grid_Requirement'!T19))</f>
        <v/>
      </c>
      <c r="U19">
        <f>IF(COUNTIFS(T_StockCount[RM_Code],$A19,T_StockCount[WeekIndex],20)&gt;0,SUMIFS(T_StockCount[CountedQty],T_StockCount[RM_Code],$A19,T_StockCount[WeekIndex],20),IF((COUNTIFS(T_SelfStock[RM_Code],$A19,T_SelfStock[WeekIndex],20)&gt;0)*(COUNTIFS(T_TTAFStock[RM_Code],$A19,T_TTAFStock[WeekIndex],20)&gt;0)&gt;0,SUMIFS(T_SelfStock[Self_Qty],T_SelfStock[RM_Code],$A19,T_SelfStock[WeekIndex],20)+SUMIFS(T_TTAFStock[TTAF_Qty],T_TTAFStock[RM_Code],$A19,T_TTAFStock[WeekIndex],20),T19+'Grid_Incoming'!U19-'Grid_Requirement'!U19))</f>
        <v/>
      </c>
      <c r="V19">
        <f>IF(COUNTIFS(T_StockCount[RM_Code],$A19,T_StockCount[WeekIndex],21)&gt;0,SUMIFS(T_StockCount[CountedQty],T_StockCount[RM_Code],$A19,T_StockCount[WeekIndex],21),IF((COUNTIFS(T_SelfStock[RM_Code],$A19,T_SelfStock[WeekIndex],21)&gt;0)*(COUNTIFS(T_TTAFStock[RM_Code],$A19,T_TTAFStock[WeekIndex],21)&gt;0)&gt;0,SUMIFS(T_SelfStock[Self_Qty],T_SelfStock[RM_Code],$A19,T_SelfStock[WeekIndex],21)+SUMIFS(T_TTAFStock[TTAF_Qty],T_TTAFStock[RM_Code],$A19,T_TTAFStock[WeekIndex],21),U19+'Grid_Incoming'!V19-'Grid_Requirement'!V19))</f>
        <v/>
      </c>
      <c r="W19">
        <f>IF(COUNTIFS(T_StockCount[RM_Code],$A19,T_StockCount[WeekIndex],22)&gt;0,SUMIFS(T_StockCount[CountedQty],T_StockCount[RM_Code],$A19,T_StockCount[WeekIndex],22),IF((COUNTIFS(T_SelfStock[RM_Code],$A19,T_SelfStock[WeekIndex],22)&gt;0)*(COUNTIFS(T_TTAFStock[RM_Code],$A19,T_TTAFStock[WeekIndex],22)&gt;0)&gt;0,SUMIFS(T_SelfStock[Self_Qty],T_SelfStock[RM_Code],$A19,T_SelfStock[WeekIndex],22)+SUMIFS(T_TTAFStock[TTAF_Qty],T_TTAFStock[RM_Code],$A19,T_TTAFStock[WeekIndex],22),V19+'Grid_Incoming'!W19-'Grid_Requirement'!W19))</f>
        <v/>
      </c>
      <c r="X19">
        <f>IF(COUNTIFS(T_StockCount[RM_Code],$A19,T_StockCount[WeekIndex],23)&gt;0,SUMIFS(T_StockCount[CountedQty],T_StockCount[RM_Code],$A19,T_StockCount[WeekIndex],23),IF((COUNTIFS(T_SelfStock[RM_Code],$A19,T_SelfStock[WeekIndex],23)&gt;0)*(COUNTIFS(T_TTAFStock[RM_Code],$A19,T_TTAFStock[WeekIndex],23)&gt;0)&gt;0,SUMIFS(T_SelfStock[Self_Qty],T_SelfStock[RM_Code],$A19,T_SelfStock[WeekIndex],23)+SUMIFS(T_TTAFStock[TTAF_Qty],T_TTAFStock[RM_Code],$A19,T_TTAFStock[WeekIndex],23),W19+'Grid_Incoming'!X19-'Grid_Requirement'!X19))</f>
        <v/>
      </c>
      <c r="Y19">
        <f>IF(COUNTIFS(T_StockCount[RM_Code],$A19,T_StockCount[WeekIndex],24)&gt;0,SUMIFS(T_StockCount[CountedQty],T_StockCount[RM_Code],$A19,T_StockCount[WeekIndex],24),IF((COUNTIFS(T_SelfStock[RM_Code],$A19,T_SelfStock[WeekIndex],24)&gt;0)*(COUNTIFS(T_TTAFStock[RM_Code],$A19,T_TTAFStock[WeekIndex],24)&gt;0)&gt;0,SUMIFS(T_SelfStock[Self_Qty],T_SelfStock[RM_Code],$A19,T_SelfStock[WeekIndex],24)+SUMIFS(T_TTAFStock[TTAF_Qty],T_TTAFStock[RM_Code],$A19,T_TTAFStock[WeekIndex],24),X19+'Grid_Incoming'!Y19-'Grid_Requirement'!Y19))</f>
        <v/>
      </c>
      <c r="Z19">
        <f>IF(COUNTIFS(T_StockCount[RM_Code],$A19,T_StockCount[WeekIndex],25)&gt;0,SUMIFS(T_StockCount[CountedQty],T_StockCount[RM_Code],$A19,T_StockCount[WeekIndex],25),IF((COUNTIFS(T_SelfStock[RM_Code],$A19,T_SelfStock[WeekIndex],25)&gt;0)*(COUNTIFS(T_TTAFStock[RM_Code],$A19,T_TTAFStock[WeekIndex],25)&gt;0)&gt;0,SUMIFS(T_SelfStock[Self_Qty],T_SelfStock[RM_Code],$A19,T_SelfStock[WeekIndex],25)+SUMIFS(T_TTAFStock[TTAF_Qty],T_TTAFStock[RM_Code],$A19,T_TTAFStock[WeekIndex],25),Y19+'Grid_Incoming'!Z19-'Grid_Requirement'!Z19))</f>
        <v/>
      </c>
      <c r="AA19">
        <f>IF(COUNTIFS(T_StockCount[RM_Code],$A19,T_StockCount[WeekIndex],26)&gt;0,SUMIFS(T_StockCount[CountedQty],T_StockCount[RM_Code],$A19,T_StockCount[WeekIndex],26),IF((COUNTIFS(T_SelfStock[RM_Code],$A19,T_SelfStock[WeekIndex],26)&gt;0)*(COUNTIFS(T_TTAFStock[RM_Code],$A19,T_TTAFStock[WeekIndex],26)&gt;0)&gt;0,SUMIFS(T_SelfStock[Self_Qty],T_SelfStock[RM_Code],$A19,T_SelfStock[WeekIndex],26)+SUMIFS(T_TTAFStock[TTAF_Qty],T_TTAFStock[RM_Code],$A19,T_TTAFStock[WeekIndex],26),Z19+'Grid_Incoming'!AA19-'Grid_Requirement'!AA19))</f>
        <v/>
      </c>
      <c r="AB19">
        <f>IF(COUNTIFS(T_StockCount[RM_Code],$A19,T_StockCount[WeekIndex],27)&gt;0,SUMIFS(T_StockCount[CountedQty],T_StockCount[RM_Code],$A19,T_StockCount[WeekIndex],27),IF((COUNTIFS(T_SelfStock[RM_Code],$A19,T_SelfStock[WeekIndex],27)&gt;0)*(COUNTIFS(T_TTAFStock[RM_Code],$A19,T_TTAFStock[WeekIndex],27)&gt;0)&gt;0,SUMIFS(T_SelfStock[Self_Qty],T_SelfStock[RM_Code],$A19,T_SelfStock[WeekIndex],27)+SUMIFS(T_TTAFStock[TTAF_Qty],T_TTAFStock[RM_Code],$A19,T_TTAFStock[WeekIndex],27),AA19+'Grid_Incoming'!AB19-'Grid_Requirement'!AB19))</f>
        <v/>
      </c>
      <c r="AC19">
        <f>IF(COUNTIFS(T_StockCount[RM_Code],$A19,T_StockCount[WeekIndex],28)&gt;0,SUMIFS(T_StockCount[CountedQty],T_StockCount[RM_Code],$A19,T_StockCount[WeekIndex],28),IF((COUNTIFS(T_SelfStock[RM_Code],$A19,T_SelfStock[WeekIndex],28)&gt;0)*(COUNTIFS(T_TTAFStock[RM_Code],$A19,T_TTAFStock[WeekIndex],28)&gt;0)&gt;0,SUMIFS(T_SelfStock[Self_Qty],T_SelfStock[RM_Code],$A19,T_SelfStock[WeekIndex],28)+SUMIFS(T_TTAFStock[TTAF_Qty],T_TTAFStock[RM_Code],$A19,T_TTAFStock[WeekIndex],28),AB19+'Grid_Incoming'!AC19-'Grid_Requirement'!AC19))</f>
        <v/>
      </c>
      <c r="AD19">
        <f>IF(COUNTIFS(T_StockCount[RM_Code],$A19,T_StockCount[WeekIndex],29)&gt;0,SUMIFS(T_StockCount[CountedQty],T_StockCount[RM_Code],$A19,T_StockCount[WeekIndex],29),IF((COUNTIFS(T_SelfStock[RM_Code],$A19,T_SelfStock[WeekIndex],29)&gt;0)*(COUNTIFS(T_TTAFStock[RM_Code],$A19,T_TTAFStock[WeekIndex],29)&gt;0)&gt;0,SUMIFS(T_SelfStock[Self_Qty],T_SelfStock[RM_Code],$A19,T_SelfStock[WeekIndex],29)+SUMIFS(T_TTAFStock[TTAF_Qty],T_TTAFStock[RM_Code],$A19,T_TTAFStock[WeekIndex],29),AC19+'Grid_Incoming'!AD19-'Grid_Requirement'!AD19))</f>
        <v/>
      </c>
      <c r="AE19">
        <f>IF(COUNTIFS(T_StockCount[RM_Code],$A19,T_StockCount[WeekIndex],30)&gt;0,SUMIFS(T_StockCount[CountedQty],T_StockCount[RM_Code],$A19,T_StockCount[WeekIndex],30),IF((COUNTIFS(T_SelfStock[RM_Code],$A19,T_SelfStock[WeekIndex],30)&gt;0)*(COUNTIFS(T_TTAFStock[RM_Code],$A19,T_TTAFStock[WeekIndex],30)&gt;0)&gt;0,SUMIFS(T_SelfStock[Self_Qty],T_SelfStock[RM_Code],$A19,T_SelfStock[WeekIndex],30)+SUMIFS(T_TTAFStock[TTAF_Qty],T_TTAFStock[RM_Code],$A19,T_TTAFStock[WeekIndex],30),AD19+'Grid_Incoming'!AE19-'Grid_Requirement'!AE19))</f>
        <v/>
      </c>
      <c r="AF19">
        <f>IF(COUNTIFS(T_StockCount[RM_Code],$A19,T_StockCount[WeekIndex],31)&gt;0,SUMIFS(T_StockCount[CountedQty],T_StockCount[RM_Code],$A19,T_StockCount[WeekIndex],31),IF((COUNTIFS(T_SelfStock[RM_Code],$A19,T_SelfStock[WeekIndex],31)&gt;0)*(COUNTIFS(T_TTAFStock[RM_Code],$A19,T_TTAFStock[WeekIndex],31)&gt;0)&gt;0,SUMIFS(T_SelfStock[Self_Qty],T_SelfStock[RM_Code],$A19,T_SelfStock[WeekIndex],31)+SUMIFS(T_TTAFStock[TTAF_Qty],T_TTAFStock[RM_Code],$A19,T_TTAFStock[WeekIndex],31),AE19+'Grid_Incoming'!AF19-'Grid_Requirement'!AF19))</f>
        <v/>
      </c>
      <c r="AG19">
        <f>IF(COUNTIFS(T_StockCount[RM_Code],$A19,T_StockCount[WeekIndex],32)&gt;0,SUMIFS(T_StockCount[CountedQty],T_StockCount[RM_Code],$A19,T_StockCount[WeekIndex],32),IF((COUNTIFS(T_SelfStock[RM_Code],$A19,T_SelfStock[WeekIndex],32)&gt;0)*(COUNTIFS(T_TTAFStock[RM_Code],$A19,T_TTAFStock[WeekIndex],32)&gt;0)&gt;0,SUMIFS(T_SelfStock[Self_Qty],T_SelfStock[RM_Code],$A19,T_SelfStock[WeekIndex],32)+SUMIFS(T_TTAFStock[TTAF_Qty],T_TTAFStock[RM_Code],$A19,T_TTAFStock[WeekIndex],32),AF19+'Grid_Incoming'!AG19-'Grid_Requirement'!AG19))</f>
        <v/>
      </c>
      <c r="AH19">
        <f>IF(COUNTIFS(T_StockCount[RM_Code],$A19,T_StockCount[WeekIndex],33)&gt;0,SUMIFS(T_StockCount[CountedQty],T_StockCount[RM_Code],$A19,T_StockCount[WeekIndex],33),IF((COUNTIFS(T_SelfStock[RM_Code],$A19,T_SelfStock[WeekIndex],33)&gt;0)*(COUNTIFS(T_TTAFStock[RM_Code],$A19,T_TTAFStock[WeekIndex],33)&gt;0)&gt;0,SUMIFS(T_SelfStock[Self_Qty],T_SelfStock[RM_Code],$A19,T_SelfStock[WeekIndex],33)+SUMIFS(T_TTAFStock[TTAF_Qty],T_TTAFStock[RM_Code],$A19,T_TTAFStock[WeekIndex],33),AG19+'Grid_Incoming'!AH19-'Grid_Requirement'!AH19))</f>
        <v/>
      </c>
      <c r="AI19">
        <f>IF(COUNTIFS(T_StockCount[RM_Code],$A19,T_StockCount[WeekIndex],34)&gt;0,SUMIFS(T_StockCount[CountedQty],T_StockCount[RM_Code],$A19,T_StockCount[WeekIndex],34),IF((COUNTIFS(T_SelfStock[RM_Code],$A19,T_SelfStock[WeekIndex],34)&gt;0)*(COUNTIFS(T_TTAFStock[RM_Code],$A19,T_TTAFStock[WeekIndex],34)&gt;0)&gt;0,SUMIFS(T_SelfStock[Self_Qty],T_SelfStock[RM_Code],$A19,T_SelfStock[WeekIndex],34)+SUMIFS(T_TTAFStock[TTAF_Qty],T_TTAFStock[RM_Code],$A19,T_TTAFStock[WeekIndex],34),AH19+'Grid_Incoming'!AI19-'Grid_Requirement'!AI19))</f>
        <v/>
      </c>
      <c r="AJ19">
        <f>IF(COUNTIFS(T_StockCount[RM_Code],$A19,T_StockCount[WeekIndex],35)&gt;0,SUMIFS(T_StockCount[CountedQty],T_StockCount[RM_Code],$A19,T_StockCount[WeekIndex],35),IF((COUNTIFS(T_SelfStock[RM_Code],$A19,T_SelfStock[WeekIndex],35)&gt;0)*(COUNTIFS(T_TTAFStock[RM_Code],$A19,T_TTAFStock[WeekIndex],35)&gt;0)&gt;0,SUMIFS(T_SelfStock[Self_Qty],T_SelfStock[RM_Code],$A19,T_SelfStock[WeekIndex],35)+SUMIFS(T_TTAFStock[TTAF_Qty],T_TTAFStock[RM_Code],$A19,T_TTAFStock[WeekIndex],35),AI19+'Grid_Incoming'!AJ19-'Grid_Requirement'!AJ19))</f>
        <v/>
      </c>
      <c r="AK19">
        <f>IF(COUNTIFS(T_StockCount[RM_Code],$A19,T_StockCount[WeekIndex],36)&gt;0,SUMIFS(T_StockCount[CountedQty],T_StockCount[RM_Code],$A19,T_StockCount[WeekIndex],36),IF((COUNTIFS(T_SelfStock[RM_Code],$A19,T_SelfStock[WeekIndex],36)&gt;0)*(COUNTIFS(T_TTAFStock[RM_Code],$A19,T_TTAFStock[WeekIndex],36)&gt;0)&gt;0,SUMIFS(T_SelfStock[Self_Qty],T_SelfStock[RM_Code],$A19,T_SelfStock[WeekIndex],36)+SUMIFS(T_TTAFStock[TTAF_Qty],T_TTAFStock[RM_Code],$A19,T_TTAFStock[WeekIndex],36),AJ19+'Grid_Incoming'!AK19-'Grid_Requirement'!AK19))</f>
        <v/>
      </c>
      <c r="AL19">
        <f>IF(COUNTIFS(T_StockCount[RM_Code],$A19,T_StockCount[WeekIndex],37)&gt;0,SUMIFS(T_StockCount[CountedQty],T_StockCount[RM_Code],$A19,T_StockCount[WeekIndex],37),IF((COUNTIFS(T_SelfStock[RM_Code],$A19,T_SelfStock[WeekIndex],37)&gt;0)*(COUNTIFS(T_TTAFStock[RM_Code],$A19,T_TTAFStock[WeekIndex],37)&gt;0)&gt;0,SUMIFS(T_SelfStock[Self_Qty],T_SelfStock[RM_Code],$A19,T_SelfStock[WeekIndex],37)+SUMIFS(T_TTAFStock[TTAF_Qty],T_TTAFStock[RM_Code],$A19,T_TTAFStock[WeekIndex],37),AK19+'Grid_Incoming'!AL19-'Grid_Requirement'!AL19))</f>
        <v/>
      </c>
      <c r="AM19">
        <f>IF(COUNTIFS(T_StockCount[RM_Code],$A19,T_StockCount[WeekIndex],38)&gt;0,SUMIFS(T_StockCount[CountedQty],T_StockCount[RM_Code],$A19,T_StockCount[WeekIndex],38),IF((COUNTIFS(T_SelfStock[RM_Code],$A19,T_SelfStock[WeekIndex],38)&gt;0)*(COUNTIFS(T_TTAFStock[RM_Code],$A19,T_TTAFStock[WeekIndex],38)&gt;0)&gt;0,SUMIFS(T_SelfStock[Self_Qty],T_SelfStock[RM_Code],$A19,T_SelfStock[WeekIndex],38)+SUMIFS(T_TTAFStock[TTAF_Qty],T_TTAFStock[RM_Code],$A19,T_TTAFStock[WeekIndex],38),AL19+'Grid_Incoming'!AM19-'Grid_Requirement'!AM19))</f>
        <v/>
      </c>
      <c r="AN19">
        <f>IF(COUNTIFS(T_StockCount[RM_Code],$A19,T_StockCount[WeekIndex],39)&gt;0,SUMIFS(T_StockCount[CountedQty],T_StockCount[RM_Code],$A19,T_StockCount[WeekIndex],39),IF((COUNTIFS(T_SelfStock[RM_Code],$A19,T_SelfStock[WeekIndex],39)&gt;0)*(COUNTIFS(T_TTAFStock[RM_Code],$A19,T_TTAFStock[WeekIndex],39)&gt;0)&gt;0,SUMIFS(T_SelfStock[Self_Qty],T_SelfStock[RM_Code],$A19,T_SelfStock[WeekIndex],39)+SUMIFS(T_TTAFStock[TTAF_Qty],T_TTAFStock[RM_Code],$A19,T_TTAFStock[WeekIndex],39),AM19+'Grid_Incoming'!AN19-'Grid_Requirement'!AN19))</f>
        <v/>
      </c>
      <c r="AO19">
        <f>IF(COUNTIFS(T_StockCount[RM_Code],$A19,T_StockCount[WeekIndex],40)&gt;0,SUMIFS(T_StockCount[CountedQty],T_StockCount[RM_Code],$A19,T_StockCount[WeekIndex],40),IF((COUNTIFS(T_SelfStock[RM_Code],$A19,T_SelfStock[WeekIndex],40)&gt;0)*(COUNTIFS(T_TTAFStock[RM_Code],$A19,T_TTAFStock[WeekIndex],40)&gt;0)&gt;0,SUMIFS(T_SelfStock[Self_Qty],T_SelfStock[RM_Code],$A19,T_SelfStock[WeekIndex],40)+SUMIFS(T_TTAFStock[TTAF_Qty],T_TTAFStock[RM_Code],$A19,T_TTAFStock[WeekIndex],40),AN19+'Grid_Incoming'!AO19-'Grid_Requirement'!AO19))</f>
        <v/>
      </c>
      <c r="AP19">
        <f>IF(COUNTIFS(T_StockCount[RM_Code],$A19,T_StockCount[WeekIndex],41)&gt;0,SUMIFS(T_StockCount[CountedQty],T_StockCount[RM_Code],$A19,T_StockCount[WeekIndex],41),IF((COUNTIFS(T_SelfStock[RM_Code],$A19,T_SelfStock[WeekIndex],41)&gt;0)*(COUNTIFS(T_TTAFStock[RM_Code],$A19,T_TTAFStock[WeekIndex],41)&gt;0)&gt;0,SUMIFS(T_SelfStock[Self_Qty],T_SelfStock[RM_Code],$A19,T_SelfStock[WeekIndex],41)+SUMIFS(T_TTAFStock[TTAF_Qty],T_TTAFStock[RM_Code],$A19,T_TTAFStock[WeekIndex],41),AO19+'Grid_Incoming'!AP19-'Grid_Requirement'!AP19))</f>
        <v/>
      </c>
      <c r="AQ19">
        <f>IF(COUNTIFS(T_StockCount[RM_Code],$A19,T_StockCount[WeekIndex],42)&gt;0,SUMIFS(T_StockCount[CountedQty],T_StockCount[RM_Code],$A19,T_StockCount[WeekIndex],42),IF((COUNTIFS(T_SelfStock[RM_Code],$A19,T_SelfStock[WeekIndex],42)&gt;0)*(COUNTIFS(T_TTAFStock[RM_Code],$A19,T_TTAFStock[WeekIndex],42)&gt;0)&gt;0,SUMIFS(T_SelfStock[Self_Qty],T_SelfStock[RM_Code],$A19,T_SelfStock[WeekIndex],42)+SUMIFS(T_TTAFStock[TTAF_Qty],T_TTAFStock[RM_Code],$A19,T_TTAFStock[WeekIndex],42),AP19+'Grid_Incoming'!AQ19-'Grid_Requirement'!AQ19))</f>
        <v/>
      </c>
      <c r="AR19">
        <f>IF(COUNTIFS(T_StockCount[RM_Code],$A19,T_StockCount[WeekIndex],43)&gt;0,SUMIFS(T_StockCount[CountedQty],T_StockCount[RM_Code],$A19,T_StockCount[WeekIndex],43),IF((COUNTIFS(T_SelfStock[RM_Code],$A19,T_SelfStock[WeekIndex],43)&gt;0)*(COUNTIFS(T_TTAFStock[RM_Code],$A19,T_TTAFStock[WeekIndex],43)&gt;0)&gt;0,SUMIFS(T_SelfStock[Self_Qty],T_SelfStock[RM_Code],$A19,T_SelfStock[WeekIndex],43)+SUMIFS(T_TTAFStock[TTAF_Qty],T_TTAFStock[RM_Code],$A19,T_TTAFStock[WeekIndex],43),AQ19+'Grid_Incoming'!AR19-'Grid_Requirement'!AR19))</f>
        <v/>
      </c>
      <c r="AS19">
        <f>IF(COUNTIFS(T_StockCount[RM_Code],$A19,T_StockCount[WeekIndex],44)&gt;0,SUMIFS(T_StockCount[CountedQty],T_StockCount[RM_Code],$A19,T_StockCount[WeekIndex],44),IF((COUNTIFS(T_SelfStock[RM_Code],$A19,T_SelfStock[WeekIndex],44)&gt;0)*(COUNTIFS(T_TTAFStock[RM_Code],$A19,T_TTAFStock[WeekIndex],44)&gt;0)&gt;0,SUMIFS(T_SelfStock[Self_Qty],T_SelfStock[RM_Code],$A19,T_SelfStock[WeekIndex],44)+SUMIFS(T_TTAFStock[TTAF_Qty],T_TTAFStock[RM_Code],$A19,T_TTAFStock[WeekIndex],44),AR19+'Grid_Incoming'!AS19-'Grid_Requirement'!AS19))</f>
        <v/>
      </c>
      <c r="AT19">
        <f>IF(COUNTIFS(T_StockCount[RM_Code],$A19,T_StockCount[WeekIndex],45)&gt;0,SUMIFS(T_StockCount[CountedQty],T_StockCount[RM_Code],$A19,T_StockCount[WeekIndex],45),IF((COUNTIFS(T_SelfStock[RM_Code],$A19,T_SelfStock[WeekIndex],45)&gt;0)*(COUNTIFS(T_TTAFStock[RM_Code],$A19,T_TTAFStock[WeekIndex],45)&gt;0)&gt;0,SUMIFS(T_SelfStock[Self_Qty],T_SelfStock[RM_Code],$A19,T_SelfStock[WeekIndex],45)+SUMIFS(T_TTAFStock[TTAF_Qty],T_TTAFStock[RM_Code],$A19,T_TTAFStock[WeekIndex],45),AS19+'Grid_Incoming'!AT19-'Grid_Requirement'!AT19))</f>
        <v/>
      </c>
      <c r="AU19">
        <f>IF(COUNTIFS(T_StockCount[RM_Code],$A19,T_StockCount[WeekIndex],46)&gt;0,SUMIFS(T_StockCount[CountedQty],T_StockCount[RM_Code],$A19,T_StockCount[WeekIndex],46),IF((COUNTIFS(T_SelfStock[RM_Code],$A19,T_SelfStock[WeekIndex],46)&gt;0)*(COUNTIFS(T_TTAFStock[RM_Code],$A19,T_TTAFStock[WeekIndex],46)&gt;0)&gt;0,SUMIFS(T_SelfStock[Self_Qty],T_SelfStock[RM_Code],$A19,T_SelfStock[WeekIndex],46)+SUMIFS(T_TTAFStock[TTAF_Qty],T_TTAFStock[RM_Code],$A19,T_TTAFStock[WeekIndex],46),AT19+'Grid_Incoming'!AU19-'Grid_Requirement'!AU19))</f>
        <v/>
      </c>
      <c r="AV19">
        <f>IF(COUNTIFS(T_StockCount[RM_Code],$A19,T_StockCount[WeekIndex],47)&gt;0,SUMIFS(T_StockCount[CountedQty],T_StockCount[RM_Code],$A19,T_StockCount[WeekIndex],47),IF((COUNTIFS(T_SelfStock[RM_Code],$A19,T_SelfStock[WeekIndex],47)&gt;0)*(COUNTIFS(T_TTAFStock[RM_Code],$A19,T_TTAFStock[WeekIndex],47)&gt;0)&gt;0,SUMIFS(T_SelfStock[Self_Qty],T_SelfStock[RM_Code],$A19,T_SelfStock[WeekIndex],47)+SUMIFS(T_TTAFStock[TTAF_Qty],T_TTAFStock[RM_Code],$A19,T_TTAFStock[WeekIndex],47),AU19+'Grid_Incoming'!AV19-'Grid_Requirement'!AV19))</f>
        <v/>
      </c>
      <c r="AW19">
        <f>IF(COUNTIFS(T_StockCount[RM_Code],$A19,T_StockCount[WeekIndex],48)&gt;0,SUMIFS(T_StockCount[CountedQty],T_StockCount[RM_Code],$A19,T_StockCount[WeekIndex],48),IF((COUNTIFS(T_SelfStock[RM_Code],$A19,T_SelfStock[WeekIndex],48)&gt;0)*(COUNTIFS(T_TTAFStock[RM_Code],$A19,T_TTAFStock[WeekIndex],48)&gt;0)&gt;0,SUMIFS(T_SelfStock[Self_Qty],T_SelfStock[RM_Code],$A19,T_SelfStock[WeekIndex],48)+SUMIFS(T_TTAFStock[TTAF_Qty],T_TTAFStock[RM_Code],$A19,T_TTAFStock[WeekIndex],48),AV19+'Grid_Incoming'!AW19-'Grid_Requirement'!AW19))</f>
        <v/>
      </c>
      <c r="AX19">
        <f>IF(COUNTIFS(T_StockCount[RM_Code],$A19,T_StockCount[WeekIndex],49)&gt;0,SUMIFS(T_StockCount[CountedQty],T_StockCount[RM_Code],$A19,T_StockCount[WeekIndex],49),IF((COUNTIFS(T_SelfStock[RM_Code],$A19,T_SelfStock[WeekIndex],49)&gt;0)*(COUNTIFS(T_TTAFStock[RM_Code],$A19,T_TTAFStock[WeekIndex],49)&gt;0)&gt;0,SUMIFS(T_SelfStock[Self_Qty],T_SelfStock[RM_Code],$A19,T_SelfStock[WeekIndex],49)+SUMIFS(T_TTAFStock[TTAF_Qty],T_TTAFStock[RM_Code],$A19,T_TTAFStock[WeekIndex],49),AW19+'Grid_Incoming'!AX19-'Grid_Requirement'!AX19))</f>
        <v/>
      </c>
      <c r="AY19">
        <f>IF(COUNTIFS(T_StockCount[RM_Code],$A19,T_StockCount[WeekIndex],50)&gt;0,SUMIFS(T_StockCount[CountedQty],T_StockCount[RM_Code],$A19,T_StockCount[WeekIndex],50),IF((COUNTIFS(T_SelfStock[RM_Code],$A19,T_SelfStock[WeekIndex],50)&gt;0)*(COUNTIFS(T_TTAFStock[RM_Code],$A19,T_TTAFStock[WeekIndex],50)&gt;0)&gt;0,SUMIFS(T_SelfStock[Self_Qty],T_SelfStock[RM_Code],$A19,T_SelfStock[WeekIndex],50)+SUMIFS(T_TTAFStock[TTAF_Qty],T_TTAFStock[RM_Code],$A19,T_TTAFStock[WeekIndex],50),AX19+'Grid_Incoming'!AY19-'Grid_Requirement'!AY19))</f>
        <v/>
      </c>
      <c r="AZ19">
        <f>IF(COUNTIFS(T_StockCount[RM_Code],$A19,T_StockCount[WeekIndex],51)&gt;0,SUMIFS(T_StockCount[CountedQty],T_StockCount[RM_Code],$A19,T_StockCount[WeekIndex],51),IF((COUNTIFS(T_SelfStock[RM_Code],$A19,T_SelfStock[WeekIndex],51)&gt;0)*(COUNTIFS(T_TTAFStock[RM_Code],$A19,T_TTAFStock[WeekIndex],51)&gt;0)&gt;0,SUMIFS(T_SelfStock[Self_Qty],T_SelfStock[RM_Code],$A19,T_SelfStock[WeekIndex],51)+SUMIFS(T_TTAFStock[TTAF_Qty],T_TTAFStock[RM_Code],$A19,T_TTAFStock[WeekIndex],51),AY19+'Grid_Incoming'!AZ19-'Grid_Requirement'!AZ19))</f>
        <v/>
      </c>
      <c r="BA19">
        <f>IF(COUNTIFS(T_StockCount[RM_Code],$A19,T_StockCount[WeekIndex],52)&gt;0,SUMIFS(T_StockCount[CountedQty],T_StockCount[RM_Code],$A19,T_StockCount[WeekIndex],52),IF((COUNTIFS(T_SelfStock[RM_Code],$A19,T_SelfStock[WeekIndex],52)&gt;0)*(COUNTIFS(T_TTAFStock[RM_Code],$A19,T_TTAFStock[WeekIndex],52)&gt;0)&gt;0,SUMIFS(T_SelfStock[Self_Qty],T_SelfStock[RM_Code],$A19,T_SelfStock[WeekIndex],52)+SUMIFS(T_TTAFStock[TTAF_Qty],T_TTAFStock[RM_Code],$A19,T_TTAFStock[WeekIndex],52),AZ19+'Grid_Incoming'!BA19-'Grid_Requirement'!BA19))</f>
        <v/>
      </c>
      <c r="BB19">
        <f>IF(COUNTIFS(T_StockCount[RM_Code],$A19,T_StockCount[WeekIndex],53)&gt;0,SUMIFS(T_StockCount[CountedQty],T_StockCount[RM_Code],$A19,T_StockCount[WeekIndex],53),IF((COUNTIFS(T_SelfStock[RM_Code],$A19,T_SelfStock[WeekIndex],53)&gt;0)*(COUNTIFS(T_TTAFStock[RM_Code],$A19,T_TTAFStock[WeekIndex],53)&gt;0)&gt;0,SUMIFS(T_SelfStock[Self_Qty],T_SelfStock[RM_Code],$A19,T_SelfStock[WeekIndex],53)+SUMIFS(T_TTAFStock[TTAF_Qty],T_TTAFStock[RM_Code],$A19,T_TTAFStock[WeekIndex],53),BA19+'Grid_Incoming'!BB19-'Grid_Requirement'!BB19))</f>
        <v/>
      </c>
      <c r="BC19">
        <f>IF(COUNTIFS(T_StockCount[RM_Code],$A19,T_StockCount[WeekIndex],54)&gt;0,SUMIFS(T_StockCount[CountedQty],T_StockCount[RM_Code],$A19,T_StockCount[WeekIndex],54),IF((COUNTIFS(T_SelfStock[RM_Code],$A19,T_SelfStock[WeekIndex],54)&gt;0)*(COUNTIFS(T_TTAFStock[RM_Code],$A19,T_TTAFStock[WeekIndex],54)&gt;0)&gt;0,SUMIFS(T_SelfStock[Self_Qty],T_SelfStock[RM_Code],$A19,T_SelfStock[WeekIndex],54)+SUMIFS(T_TTAFStock[TTAF_Qty],T_TTAFStock[RM_Code],$A19,T_TTAFStock[WeekIndex],54),BB19+'Grid_Incoming'!BC19-'Grid_Requirement'!BC19))</f>
        <v/>
      </c>
      <c r="BD19">
        <f>IF(COUNTIFS(T_StockCount[RM_Code],$A19,T_StockCount[WeekIndex],55)&gt;0,SUMIFS(T_StockCount[CountedQty],T_StockCount[RM_Code],$A19,T_StockCount[WeekIndex],55),IF((COUNTIFS(T_SelfStock[RM_Code],$A19,T_SelfStock[WeekIndex],55)&gt;0)*(COUNTIFS(T_TTAFStock[RM_Code],$A19,T_TTAFStock[WeekIndex],55)&gt;0)&gt;0,SUMIFS(T_SelfStock[Self_Qty],T_SelfStock[RM_Code],$A19,T_SelfStock[WeekIndex],55)+SUMIFS(T_TTAFStock[TTAF_Qty],T_TTAFStock[RM_Code],$A19,T_TTAFStock[WeekIndex],55),BC19+'Grid_Incoming'!BD19-'Grid_Requirement'!BD19))</f>
        <v/>
      </c>
      <c r="BE19">
        <f>IF(COUNTIFS(T_StockCount[RM_Code],$A19,T_StockCount[WeekIndex],56)&gt;0,SUMIFS(T_StockCount[CountedQty],T_StockCount[RM_Code],$A19,T_StockCount[WeekIndex],56),IF((COUNTIFS(T_SelfStock[RM_Code],$A19,T_SelfStock[WeekIndex],56)&gt;0)*(COUNTIFS(T_TTAFStock[RM_Code],$A19,T_TTAFStock[WeekIndex],56)&gt;0)&gt;0,SUMIFS(T_SelfStock[Self_Qty],T_SelfStock[RM_Code],$A19,T_SelfStock[WeekIndex],56)+SUMIFS(T_TTAFStock[TTAF_Qty],T_TTAFStock[RM_Code],$A19,T_TTAFStock[WeekIndex],56),BD19+'Grid_Incoming'!BE19-'Grid_Requirement'!BE19))</f>
        <v/>
      </c>
      <c r="BF19">
        <f>IF(COUNTIFS(T_StockCount[RM_Code],$A19,T_StockCount[WeekIndex],57)&gt;0,SUMIFS(T_StockCount[CountedQty],T_StockCount[RM_Code],$A19,T_StockCount[WeekIndex],57),IF((COUNTIFS(T_SelfStock[RM_Code],$A19,T_SelfStock[WeekIndex],57)&gt;0)*(COUNTIFS(T_TTAFStock[RM_Code],$A19,T_TTAFStock[WeekIndex],57)&gt;0)&gt;0,SUMIFS(T_SelfStock[Self_Qty],T_SelfStock[RM_Code],$A19,T_SelfStock[WeekIndex],57)+SUMIFS(T_TTAFStock[TTAF_Qty],T_TTAFStock[RM_Code],$A19,T_TTAFStock[WeekIndex],57),BE19+'Grid_Incoming'!BF19-'Grid_Requirement'!BF19))</f>
        <v/>
      </c>
      <c r="BG19">
        <f>IF(COUNTIFS(T_StockCount[RM_Code],$A19,T_StockCount[WeekIndex],58)&gt;0,SUMIFS(T_StockCount[CountedQty],T_StockCount[RM_Code],$A19,T_StockCount[WeekIndex],58),IF((COUNTIFS(T_SelfStock[RM_Code],$A19,T_SelfStock[WeekIndex],58)&gt;0)*(COUNTIFS(T_TTAFStock[RM_Code],$A19,T_TTAFStock[WeekIndex],58)&gt;0)&gt;0,SUMIFS(T_SelfStock[Self_Qty],T_SelfStock[RM_Code],$A19,T_SelfStock[WeekIndex],58)+SUMIFS(T_TTAFStock[TTAF_Qty],T_TTAFStock[RM_Code],$A19,T_TTAFStock[WeekIndex],58),BF19+'Grid_Incoming'!BG19-'Grid_Requirement'!BG19))</f>
        <v/>
      </c>
      <c r="BH19">
        <f>IF(COUNTIFS(T_StockCount[RM_Code],$A19,T_StockCount[WeekIndex],59)&gt;0,SUMIFS(T_StockCount[CountedQty],T_StockCount[RM_Code],$A19,T_StockCount[WeekIndex],59),IF((COUNTIFS(T_SelfStock[RM_Code],$A19,T_SelfStock[WeekIndex],59)&gt;0)*(COUNTIFS(T_TTAFStock[RM_Code],$A19,T_TTAFStock[WeekIndex],59)&gt;0)&gt;0,SUMIFS(T_SelfStock[Self_Qty],T_SelfStock[RM_Code],$A19,T_SelfStock[WeekIndex],59)+SUMIFS(T_TTAFStock[TTAF_Qty],T_TTAFStock[RM_Code],$A19,T_TTAFStock[WeekIndex],59),BG19+'Grid_Incoming'!BH19-'Grid_Requirement'!BH19))</f>
        <v/>
      </c>
      <c r="BI19">
        <f>IF(COUNTIFS(T_StockCount[RM_Code],$A19,T_StockCount[WeekIndex],60)&gt;0,SUMIFS(T_StockCount[CountedQty],T_StockCount[RM_Code],$A19,T_StockCount[WeekIndex],60),IF((COUNTIFS(T_SelfStock[RM_Code],$A19,T_SelfStock[WeekIndex],60)&gt;0)*(COUNTIFS(T_TTAFStock[RM_Code],$A19,T_TTAFStock[WeekIndex],60)&gt;0)&gt;0,SUMIFS(T_SelfStock[Self_Qty],T_SelfStock[RM_Code],$A19,T_SelfStock[WeekIndex],60)+SUMIFS(T_TTAFStock[TTAF_Qty],T_TTAFStock[RM_Code],$A19,T_TTAFStock[WeekIndex],60),BH19+'Grid_Incoming'!BI19-'Grid_Requirement'!BI19))</f>
        <v/>
      </c>
      <c r="BJ19">
        <f>IF(COUNTIFS(T_StockCount[RM_Code],$A19,T_StockCount[WeekIndex],61)&gt;0,SUMIFS(T_StockCount[CountedQty],T_StockCount[RM_Code],$A19,T_StockCount[WeekIndex],61),IF((COUNTIFS(T_SelfStock[RM_Code],$A19,T_SelfStock[WeekIndex],61)&gt;0)*(COUNTIFS(T_TTAFStock[RM_Code],$A19,T_TTAFStock[WeekIndex],61)&gt;0)&gt;0,SUMIFS(T_SelfStock[Self_Qty],T_SelfStock[RM_Code],$A19,T_SelfStock[WeekIndex],61)+SUMIFS(T_TTAFStock[TTAF_Qty],T_TTAFStock[RM_Code],$A19,T_TTAFStock[WeekIndex],61),BI19+'Grid_Incoming'!BJ19-'Grid_Requirement'!BJ19))</f>
        <v/>
      </c>
      <c r="BK19">
        <f>IF(COUNTIFS(T_StockCount[RM_Code],$A19,T_StockCount[WeekIndex],62)&gt;0,SUMIFS(T_StockCount[CountedQty],T_StockCount[RM_Code],$A19,T_StockCount[WeekIndex],62),IF((COUNTIFS(T_SelfStock[RM_Code],$A19,T_SelfStock[WeekIndex],62)&gt;0)*(COUNTIFS(T_TTAFStock[RM_Code],$A19,T_TTAFStock[WeekIndex],62)&gt;0)&gt;0,SUMIFS(T_SelfStock[Self_Qty],T_SelfStock[RM_Code],$A19,T_SelfStock[WeekIndex],62)+SUMIFS(T_TTAFStock[TTAF_Qty],T_TTAFStock[RM_Code],$A19,T_TTAFStock[WeekIndex],62),BJ19+'Grid_Incoming'!BK19-'Grid_Requirement'!BK19))</f>
        <v/>
      </c>
      <c r="BL19">
        <f>IF(COUNTIFS(T_StockCount[RM_Code],$A19,T_StockCount[WeekIndex],63)&gt;0,SUMIFS(T_StockCount[CountedQty],T_StockCount[RM_Code],$A19,T_StockCount[WeekIndex],63),IF((COUNTIFS(T_SelfStock[RM_Code],$A19,T_SelfStock[WeekIndex],63)&gt;0)*(COUNTIFS(T_TTAFStock[RM_Code],$A19,T_TTAFStock[WeekIndex],63)&gt;0)&gt;0,SUMIFS(T_SelfStock[Self_Qty],T_SelfStock[RM_Code],$A19,T_SelfStock[WeekIndex],63)+SUMIFS(T_TTAFStock[TTAF_Qty],T_TTAFStock[RM_Code],$A19,T_TTAFStock[WeekIndex],63),BK19+'Grid_Incoming'!BL19-'Grid_Requirement'!BL19))</f>
        <v/>
      </c>
      <c r="BM19">
        <f>IF(COUNTIFS(T_StockCount[RM_Code],$A19,T_StockCount[WeekIndex],64)&gt;0,SUMIFS(T_StockCount[CountedQty],T_StockCount[RM_Code],$A19,T_StockCount[WeekIndex],64),IF((COUNTIFS(T_SelfStock[RM_Code],$A19,T_SelfStock[WeekIndex],64)&gt;0)*(COUNTIFS(T_TTAFStock[RM_Code],$A19,T_TTAFStock[WeekIndex],64)&gt;0)&gt;0,SUMIFS(T_SelfStock[Self_Qty],T_SelfStock[RM_Code],$A19,T_SelfStock[WeekIndex],64)+SUMIFS(T_TTAFStock[TTAF_Qty],T_TTAFStock[RM_Code],$A19,T_TTAFStock[WeekIndex],64),BL19+'Grid_Incoming'!BM19-'Grid_Requirement'!BM19))</f>
        <v/>
      </c>
      <c r="BN19">
        <f>IF(COUNTIFS(T_StockCount[RM_Code],$A19,T_StockCount[WeekIndex],65)&gt;0,SUMIFS(T_StockCount[CountedQty],T_StockCount[RM_Code],$A19,T_StockCount[WeekIndex],65),IF((COUNTIFS(T_SelfStock[RM_Code],$A19,T_SelfStock[WeekIndex],65)&gt;0)*(COUNTIFS(T_TTAFStock[RM_Code],$A19,T_TTAFStock[WeekIndex],65)&gt;0)&gt;0,SUMIFS(T_SelfStock[Self_Qty],T_SelfStock[RM_Code],$A19,T_SelfStock[WeekIndex],65)+SUMIFS(T_TTAFStock[TTAF_Qty],T_TTAFStock[RM_Code],$A19,T_TTAFStock[WeekIndex],65),BM19+'Grid_Incoming'!BN19-'Grid_Requirement'!BN19))</f>
        <v/>
      </c>
      <c r="BO19">
        <f>IF(COUNTIFS(T_StockCount[RM_Code],$A19,T_StockCount[WeekIndex],66)&gt;0,SUMIFS(T_StockCount[CountedQty],T_StockCount[RM_Code],$A19,T_StockCount[WeekIndex],66),IF((COUNTIFS(T_SelfStock[RM_Code],$A19,T_SelfStock[WeekIndex],66)&gt;0)*(COUNTIFS(T_TTAFStock[RM_Code],$A19,T_TTAFStock[WeekIndex],66)&gt;0)&gt;0,SUMIFS(T_SelfStock[Self_Qty],T_SelfStock[RM_Code],$A19,T_SelfStock[WeekIndex],66)+SUMIFS(T_TTAFStock[TTAF_Qty],T_TTAFStock[RM_Code],$A19,T_TTAFStock[WeekIndex],66),BN19+'Grid_Incoming'!BO19-'Grid_Requirement'!BO19))</f>
        <v/>
      </c>
      <c r="BP19">
        <f>IF(COUNTIFS(T_StockCount[RM_Code],$A19,T_StockCount[WeekIndex],67)&gt;0,SUMIFS(T_StockCount[CountedQty],T_StockCount[RM_Code],$A19,T_StockCount[WeekIndex],67),IF((COUNTIFS(T_SelfStock[RM_Code],$A19,T_SelfStock[WeekIndex],67)&gt;0)*(COUNTIFS(T_TTAFStock[RM_Code],$A19,T_TTAFStock[WeekIndex],67)&gt;0)&gt;0,SUMIFS(T_SelfStock[Self_Qty],T_SelfStock[RM_Code],$A19,T_SelfStock[WeekIndex],67)+SUMIFS(T_TTAFStock[TTAF_Qty],T_TTAFStock[RM_Code],$A19,T_TTAFStock[WeekIndex],67),BO19+'Grid_Incoming'!BP19-'Grid_Requirement'!BP19))</f>
        <v/>
      </c>
      <c r="BQ19">
        <f>IF(COUNTIFS(T_StockCount[RM_Code],$A19,T_StockCount[WeekIndex],68)&gt;0,SUMIFS(T_StockCount[CountedQty],T_StockCount[RM_Code],$A19,T_StockCount[WeekIndex],68),IF((COUNTIFS(T_SelfStock[RM_Code],$A19,T_SelfStock[WeekIndex],68)&gt;0)*(COUNTIFS(T_TTAFStock[RM_Code],$A19,T_TTAFStock[WeekIndex],68)&gt;0)&gt;0,SUMIFS(T_SelfStock[Self_Qty],T_SelfStock[RM_Code],$A19,T_SelfStock[WeekIndex],68)+SUMIFS(T_TTAFStock[TTAF_Qty],T_TTAFStock[RM_Code],$A19,T_TTAFStock[WeekIndex],68),BP19+'Grid_Incoming'!BQ19-'Grid_Requirement'!BQ19))</f>
        <v/>
      </c>
      <c r="BR19">
        <f>IF(COUNTIFS(T_StockCount[RM_Code],$A19,T_StockCount[WeekIndex],69)&gt;0,SUMIFS(T_StockCount[CountedQty],T_StockCount[RM_Code],$A19,T_StockCount[WeekIndex],69),IF((COUNTIFS(T_SelfStock[RM_Code],$A19,T_SelfStock[WeekIndex],69)&gt;0)*(COUNTIFS(T_TTAFStock[RM_Code],$A19,T_TTAFStock[WeekIndex],69)&gt;0)&gt;0,SUMIFS(T_SelfStock[Self_Qty],T_SelfStock[RM_Code],$A19,T_SelfStock[WeekIndex],69)+SUMIFS(T_TTAFStock[TTAF_Qty],T_TTAFStock[RM_Code],$A19,T_TTAFStock[WeekIndex],69),BQ19+'Grid_Incoming'!BR19-'Grid_Requirement'!BR19))</f>
        <v/>
      </c>
      <c r="BS19">
        <f>IF(COUNTIFS(T_StockCount[RM_Code],$A19,T_StockCount[WeekIndex],70)&gt;0,SUMIFS(T_StockCount[CountedQty],T_StockCount[RM_Code],$A19,T_StockCount[WeekIndex],70),IF((COUNTIFS(T_SelfStock[RM_Code],$A19,T_SelfStock[WeekIndex],70)&gt;0)*(COUNTIFS(T_TTAFStock[RM_Code],$A19,T_TTAFStock[WeekIndex],70)&gt;0)&gt;0,SUMIFS(T_SelfStock[Self_Qty],T_SelfStock[RM_Code],$A19,T_SelfStock[WeekIndex],70)+SUMIFS(T_TTAFStock[TTAF_Qty],T_TTAFStock[RM_Code],$A19,T_TTAFStock[WeekIndex],70),BR19+'Grid_Incoming'!BS19-'Grid_Requirement'!BS19))</f>
        <v/>
      </c>
      <c r="BT19">
        <f>IF(COUNTIFS(T_StockCount[RM_Code],$A19,T_StockCount[WeekIndex],71)&gt;0,SUMIFS(T_StockCount[CountedQty],T_StockCount[RM_Code],$A19,T_StockCount[WeekIndex],71),IF((COUNTIFS(T_SelfStock[RM_Code],$A19,T_SelfStock[WeekIndex],71)&gt;0)*(COUNTIFS(T_TTAFStock[RM_Code],$A19,T_TTAFStock[WeekIndex],71)&gt;0)&gt;0,SUMIFS(T_SelfStock[Self_Qty],T_SelfStock[RM_Code],$A19,T_SelfStock[WeekIndex],71)+SUMIFS(T_TTAFStock[TTAF_Qty],T_TTAFStock[RM_Code],$A19,T_TTAFStock[WeekIndex],71),BS19+'Grid_Incoming'!BT19-'Grid_Requirement'!BT19))</f>
        <v/>
      </c>
      <c r="BU19">
        <f>IF(COUNTIFS(T_StockCount[RM_Code],$A19,T_StockCount[WeekIndex],72)&gt;0,SUMIFS(T_StockCount[CountedQty],T_StockCount[RM_Code],$A19,T_StockCount[WeekIndex],72),IF((COUNTIFS(T_SelfStock[RM_Code],$A19,T_SelfStock[WeekIndex],72)&gt;0)*(COUNTIFS(T_TTAFStock[RM_Code],$A19,T_TTAFStock[WeekIndex],72)&gt;0)&gt;0,SUMIFS(T_SelfStock[Self_Qty],T_SelfStock[RM_Code],$A19,T_SelfStock[WeekIndex],72)+SUMIFS(T_TTAFStock[TTAF_Qty],T_TTAFStock[RM_Code],$A19,T_TTAFStock[WeekIndex],72),BT19+'Grid_Incoming'!BU19-'Grid_Requirement'!BU19))</f>
        <v/>
      </c>
      <c r="BV19">
        <f>IF(COUNTIFS(T_StockCount[RM_Code],$A19,T_StockCount[WeekIndex],73)&gt;0,SUMIFS(T_StockCount[CountedQty],T_StockCount[RM_Code],$A19,T_StockCount[WeekIndex],73),IF((COUNTIFS(T_SelfStock[RM_Code],$A19,T_SelfStock[WeekIndex],73)&gt;0)*(COUNTIFS(T_TTAFStock[RM_Code],$A19,T_TTAFStock[WeekIndex],73)&gt;0)&gt;0,SUMIFS(T_SelfStock[Self_Qty],T_SelfStock[RM_Code],$A19,T_SelfStock[WeekIndex],73)+SUMIFS(T_TTAFStock[TTAF_Qty],T_TTAFStock[RM_Code],$A19,T_TTAFStock[WeekIndex],73),BU19+'Grid_Incoming'!BV19-'Grid_Requirement'!BV19))</f>
        <v/>
      </c>
      <c r="BW19">
        <f>IF(COUNTIFS(T_StockCount[RM_Code],$A19,T_StockCount[WeekIndex],74)&gt;0,SUMIFS(T_StockCount[CountedQty],T_StockCount[RM_Code],$A19,T_StockCount[WeekIndex],74),IF((COUNTIFS(T_SelfStock[RM_Code],$A19,T_SelfStock[WeekIndex],74)&gt;0)*(COUNTIFS(T_TTAFStock[RM_Code],$A19,T_TTAFStock[WeekIndex],74)&gt;0)&gt;0,SUMIFS(T_SelfStock[Self_Qty],T_SelfStock[RM_Code],$A19,T_SelfStock[WeekIndex],74)+SUMIFS(T_TTAFStock[TTAF_Qty],T_TTAFStock[RM_Code],$A19,T_TTAFStock[WeekIndex],74),BV19+'Grid_Incoming'!BW19-'Grid_Requirement'!BW19))</f>
        <v/>
      </c>
      <c r="BX19">
        <f>IF(COUNTIFS(T_StockCount[RM_Code],$A19,T_StockCount[WeekIndex],75)&gt;0,SUMIFS(T_StockCount[CountedQty],T_StockCount[RM_Code],$A19,T_StockCount[WeekIndex],75),IF((COUNTIFS(T_SelfStock[RM_Code],$A19,T_SelfStock[WeekIndex],75)&gt;0)*(COUNTIFS(T_TTAFStock[RM_Code],$A19,T_TTAFStock[WeekIndex],75)&gt;0)&gt;0,SUMIFS(T_SelfStock[Self_Qty],T_SelfStock[RM_Code],$A19,T_SelfStock[WeekIndex],75)+SUMIFS(T_TTAFStock[TTAF_Qty],T_TTAFStock[RM_Code],$A19,T_TTAFStock[WeekIndex],75),BW19+'Grid_Incoming'!BX19-'Grid_Requirement'!BX19))</f>
        <v/>
      </c>
      <c r="BY19">
        <f>IF(COUNTIFS(T_StockCount[RM_Code],$A19,T_StockCount[WeekIndex],76)&gt;0,SUMIFS(T_StockCount[CountedQty],T_StockCount[RM_Code],$A19,T_StockCount[WeekIndex],76),IF((COUNTIFS(T_SelfStock[RM_Code],$A19,T_SelfStock[WeekIndex],76)&gt;0)*(COUNTIFS(T_TTAFStock[RM_Code],$A19,T_TTAFStock[WeekIndex],76)&gt;0)&gt;0,SUMIFS(T_SelfStock[Self_Qty],T_SelfStock[RM_Code],$A19,T_SelfStock[WeekIndex],76)+SUMIFS(T_TTAFStock[TTAF_Qty],T_TTAFStock[RM_Code],$A19,T_TTAFStock[WeekIndex],76),BX19+'Grid_Incoming'!BY19-'Grid_Requirement'!BY19))</f>
        <v/>
      </c>
      <c r="BZ19">
        <f>IF(COUNTIFS(T_StockCount[RM_Code],$A19,T_StockCount[WeekIndex],77)&gt;0,SUMIFS(T_StockCount[CountedQty],T_StockCount[RM_Code],$A19,T_StockCount[WeekIndex],77),IF((COUNTIFS(T_SelfStock[RM_Code],$A19,T_SelfStock[WeekIndex],77)&gt;0)*(COUNTIFS(T_TTAFStock[RM_Code],$A19,T_TTAFStock[WeekIndex],77)&gt;0)&gt;0,SUMIFS(T_SelfStock[Self_Qty],T_SelfStock[RM_Code],$A19,T_SelfStock[WeekIndex],77)+SUMIFS(T_TTAFStock[TTAF_Qty],T_TTAFStock[RM_Code],$A19,T_TTAFStock[WeekIndex],77),BY19+'Grid_Incoming'!BZ19-'Grid_Requirement'!BZ19))</f>
        <v/>
      </c>
      <c r="CA19">
        <f>IF(COUNTIFS(T_StockCount[RM_Code],$A19,T_StockCount[WeekIndex],78)&gt;0,SUMIFS(T_StockCount[CountedQty],T_StockCount[RM_Code],$A19,T_StockCount[WeekIndex],78),IF((COUNTIFS(T_SelfStock[RM_Code],$A19,T_SelfStock[WeekIndex],78)&gt;0)*(COUNTIFS(T_TTAFStock[RM_Code],$A19,T_TTAFStock[WeekIndex],78)&gt;0)&gt;0,SUMIFS(T_SelfStock[Self_Qty],T_SelfStock[RM_Code],$A19,T_SelfStock[WeekIndex],78)+SUMIFS(T_TTAFStock[TTAF_Qty],T_TTAFStock[RM_Code],$A19,T_TTAFStock[WeekIndex],78),BZ19+'Grid_Incoming'!CA19-'Grid_Requirement'!CA19))</f>
        <v/>
      </c>
      <c r="CB19">
        <f>IF(COUNTIFS(T_StockCount[RM_Code],$A19,T_StockCount[WeekIndex],79)&gt;0,SUMIFS(T_StockCount[CountedQty],T_StockCount[RM_Code],$A19,T_StockCount[WeekIndex],79),IF((COUNTIFS(T_SelfStock[RM_Code],$A19,T_SelfStock[WeekIndex],79)&gt;0)*(COUNTIFS(T_TTAFStock[RM_Code],$A19,T_TTAFStock[WeekIndex],79)&gt;0)&gt;0,SUMIFS(T_SelfStock[Self_Qty],T_SelfStock[RM_Code],$A19,T_SelfStock[WeekIndex],79)+SUMIFS(T_TTAFStock[TTAF_Qty],T_TTAFStock[RM_Code],$A19,T_TTAFStock[WeekIndex],79),CA19+'Grid_Incoming'!CB19-'Grid_Requirement'!CB19))</f>
        <v/>
      </c>
      <c r="CC19">
        <f>IF(COUNTIFS(T_StockCount[RM_Code],$A19,T_StockCount[WeekIndex],80)&gt;0,SUMIFS(T_StockCount[CountedQty],T_StockCount[RM_Code],$A19,T_StockCount[WeekIndex],80),IF((COUNTIFS(T_SelfStock[RM_Code],$A19,T_SelfStock[WeekIndex],80)&gt;0)*(COUNTIFS(T_TTAFStock[RM_Code],$A19,T_TTAFStock[WeekIndex],80)&gt;0)&gt;0,SUMIFS(T_SelfStock[Self_Qty],T_SelfStock[RM_Code],$A19,T_SelfStock[WeekIndex],80)+SUMIFS(T_TTAFStock[TTAF_Qty],T_TTAFStock[RM_Code],$A19,T_TTAFStock[WeekIndex],80),CB19+'Grid_Incoming'!CC19-'Grid_Requirement'!CC19))</f>
        <v/>
      </c>
      <c r="CD19">
        <f>IF(COUNTIFS(T_StockCount[RM_Code],$A19,T_StockCount[WeekIndex],81)&gt;0,SUMIFS(T_StockCount[CountedQty],T_StockCount[RM_Code],$A19,T_StockCount[WeekIndex],81),IF((COUNTIFS(T_SelfStock[RM_Code],$A19,T_SelfStock[WeekIndex],81)&gt;0)*(COUNTIFS(T_TTAFStock[RM_Code],$A19,T_TTAFStock[WeekIndex],81)&gt;0)&gt;0,SUMIFS(T_SelfStock[Self_Qty],T_SelfStock[RM_Code],$A19,T_SelfStock[WeekIndex],81)+SUMIFS(T_TTAFStock[TTAF_Qty],T_TTAFStock[RM_Code],$A19,T_TTAFStock[WeekIndex],81),CC19+'Grid_Incoming'!CD19-'Grid_Requirement'!CD19))</f>
        <v/>
      </c>
      <c r="CE19">
        <f>IF(COUNTIFS(T_StockCount[RM_Code],$A19,T_StockCount[WeekIndex],82)&gt;0,SUMIFS(T_StockCount[CountedQty],T_StockCount[RM_Code],$A19,T_StockCount[WeekIndex],82),IF((COUNTIFS(T_SelfStock[RM_Code],$A19,T_SelfStock[WeekIndex],82)&gt;0)*(COUNTIFS(T_TTAFStock[RM_Code],$A19,T_TTAFStock[WeekIndex],82)&gt;0)&gt;0,SUMIFS(T_SelfStock[Self_Qty],T_SelfStock[RM_Code],$A19,T_SelfStock[WeekIndex],82)+SUMIFS(T_TTAFStock[TTAF_Qty],T_TTAFStock[RM_Code],$A19,T_TTAFStock[WeekIndex],82),CD19+'Grid_Incoming'!CE19-'Grid_Requirement'!CE19))</f>
        <v/>
      </c>
      <c r="CF19">
        <f>IF(COUNTIFS(T_StockCount[RM_Code],$A19,T_StockCount[WeekIndex],83)&gt;0,SUMIFS(T_StockCount[CountedQty],T_StockCount[RM_Code],$A19,T_StockCount[WeekIndex],83),IF((COUNTIFS(T_SelfStock[RM_Code],$A19,T_SelfStock[WeekIndex],83)&gt;0)*(COUNTIFS(T_TTAFStock[RM_Code],$A19,T_TTAFStock[WeekIndex],83)&gt;0)&gt;0,SUMIFS(T_SelfStock[Self_Qty],T_SelfStock[RM_Code],$A19,T_SelfStock[WeekIndex],83)+SUMIFS(T_TTAFStock[TTAF_Qty],T_TTAFStock[RM_Code],$A19,T_TTAFStock[WeekIndex],83),CE19+'Grid_Incoming'!CF19-'Grid_Requirement'!CF19))</f>
        <v/>
      </c>
      <c r="CG19">
        <f>IF(COUNTIFS(T_StockCount[RM_Code],$A19,T_StockCount[WeekIndex],84)&gt;0,SUMIFS(T_StockCount[CountedQty],T_StockCount[RM_Code],$A19,T_StockCount[WeekIndex],84),IF((COUNTIFS(T_SelfStock[RM_Code],$A19,T_SelfStock[WeekIndex],84)&gt;0)*(COUNTIFS(T_TTAFStock[RM_Code],$A19,T_TTAFStock[WeekIndex],84)&gt;0)&gt;0,SUMIFS(T_SelfStock[Self_Qty],T_SelfStock[RM_Code],$A19,T_SelfStock[WeekIndex],84)+SUMIFS(T_TTAFStock[TTAF_Qty],T_TTAFStock[RM_Code],$A19,T_TTAFStock[WeekIndex],84),CF19+'Grid_Incoming'!CG19-'Grid_Requirement'!CG19))</f>
        <v/>
      </c>
      <c r="CH19">
        <f>IF(COUNTIFS(T_StockCount[RM_Code],$A19,T_StockCount[WeekIndex],85)&gt;0,SUMIFS(T_StockCount[CountedQty],T_StockCount[RM_Code],$A19,T_StockCount[WeekIndex],85),IF((COUNTIFS(T_SelfStock[RM_Code],$A19,T_SelfStock[WeekIndex],85)&gt;0)*(COUNTIFS(T_TTAFStock[RM_Code],$A19,T_TTAFStock[WeekIndex],85)&gt;0)&gt;0,SUMIFS(T_SelfStock[Self_Qty],T_SelfStock[RM_Code],$A19,T_SelfStock[WeekIndex],85)+SUMIFS(T_TTAFStock[TTAF_Qty],T_TTAFStock[RM_Code],$A19,T_TTAFStock[WeekIndex],85),CG19+'Grid_Incoming'!CH19-'Grid_Requirement'!CH19))</f>
        <v/>
      </c>
      <c r="CI19">
        <f>IF(COUNTIFS(T_StockCount[RM_Code],$A19,T_StockCount[WeekIndex],86)&gt;0,SUMIFS(T_StockCount[CountedQty],T_StockCount[RM_Code],$A19,T_StockCount[WeekIndex],86),IF((COUNTIFS(T_SelfStock[RM_Code],$A19,T_SelfStock[WeekIndex],86)&gt;0)*(COUNTIFS(T_TTAFStock[RM_Code],$A19,T_TTAFStock[WeekIndex],86)&gt;0)&gt;0,SUMIFS(T_SelfStock[Self_Qty],T_SelfStock[RM_Code],$A19,T_SelfStock[WeekIndex],86)+SUMIFS(T_TTAFStock[TTAF_Qty],T_TTAFStock[RM_Code],$A19,T_TTAFStock[WeekIndex],86),CH19+'Grid_Incoming'!CI19-'Grid_Requirement'!CI19))</f>
        <v/>
      </c>
      <c r="CJ19">
        <f>IF(COUNTIFS(T_StockCount[RM_Code],$A19,T_StockCount[WeekIndex],87)&gt;0,SUMIFS(T_StockCount[CountedQty],T_StockCount[RM_Code],$A19,T_StockCount[WeekIndex],87),IF((COUNTIFS(T_SelfStock[RM_Code],$A19,T_SelfStock[WeekIndex],87)&gt;0)*(COUNTIFS(T_TTAFStock[RM_Code],$A19,T_TTAFStock[WeekIndex],87)&gt;0)&gt;0,SUMIFS(T_SelfStock[Self_Qty],T_SelfStock[RM_Code],$A19,T_SelfStock[WeekIndex],87)+SUMIFS(T_TTAFStock[TTAF_Qty],T_TTAFStock[RM_Code],$A19,T_TTAFStock[WeekIndex],87),CI19+'Grid_Incoming'!CJ19-'Grid_Requirement'!CJ19))</f>
        <v/>
      </c>
      <c r="CK19">
        <f>IF(COUNTIFS(T_StockCount[RM_Code],$A19,T_StockCount[WeekIndex],88)&gt;0,SUMIFS(T_StockCount[CountedQty],T_StockCount[RM_Code],$A19,T_StockCount[WeekIndex],88),IF((COUNTIFS(T_SelfStock[RM_Code],$A19,T_SelfStock[WeekIndex],88)&gt;0)*(COUNTIFS(T_TTAFStock[RM_Code],$A19,T_TTAFStock[WeekIndex],88)&gt;0)&gt;0,SUMIFS(T_SelfStock[Self_Qty],T_SelfStock[RM_Code],$A19,T_SelfStock[WeekIndex],88)+SUMIFS(T_TTAFStock[TTAF_Qty],T_TTAFStock[RM_Code],$A19,T_TTAFStock[WeekIndex],88),CJ19+'Grid_Incoming'!CK19-'Grid_Requirement'!CK19))</f>
        <v/>
      </c>
      <c r="CL19">
        <f>IF(COUNTIFS(T_StockCount[RM_Code],$A19,T_StockCount[WeekIndex],89)&gt;0,SUMIFS(T_StockCount[CountedQty],T_StockCount[RM_Code],$A19,T_StockCount[WeekIndex],89),IF((COUNTIFS(T_SelfStock[RM_Code],$A19,T_SelfStock[WeekIndex],89)&gt;0)*(COUNTIFS(T_TTAFStock[RM_Code],$A19,T_TTAFStock[WeekIndex],89)&gt;0)&gt;0,SUMIFS(T_SelfStock[Self_Qty],T_SelfStock[RM_Code],$A19,T_SelfStock[WeekIndex],89)+SUMIFS(T_TTAFStock[TTAF_Qty],T_TTAFStock[RM_Code],$A19,T_TTAFStock[WeekIndex],89),CK19+'Grid_Incoming'!CL19-'Grid_Requirement'!CL19))</f>
        <v/>
      </c>
      <c r="CM19">
        <f>IF(COUNTIFS(T_StockCount[RM_Code],$A19,T_StockCount[WeekIndex],90)&gt;0,SUMIFS(T_StockCount[CountedQty],T_StockCount[RM_Code],$A19,T_StockCount[WeekIndex],90),IF((COUNTIFS(T_SelfStock[RM_Code],$A19,T_SelfStock[WeekIndex],90)&gt;0)*(COUNTIFS(T_TTAFStock[RM_Code],$A19,T_TTAFStock[WeekIndex],90)&gt;0)&gt;0,SUMIFS(T_SelfStock[Self_Qty],T_SelfStock[RM_Code],$A19,T_SelfStock[WeekIndex],90)+SUMIFS(T_TTAFStock[TTAF_Qty],T_TTAFStock[RM_Code],$A19,T_TTAFStock[WeekIndex],90),CL19+'Grid_Incoming'!CM19-'Grid_Requirement'!CM19))</f>
        <v/>
      </c>
      <c r="CN19">
        <f>IF(COUNTIFS(T_StockCount[RM_Code],$A19,T_StockCount[WeekIndex],91)&gt;0,SUMIFS(T_StockCount[CountedQty],T_StockCount[RM_Code],$A19,T_StockCount[WeekIndex],91),IF((COUNTIFS(T_SelfStock[RM_Code],$A19,T_SelfStock[WeekIndex],91)&gt;0)*(COUNTIFS(T_TTAFStock[RM_Code],$A19,T_TTAFStock[WeekIndex],91)&gt;0)&gt;0,SUMIFS(T_SelfStock[Self_Qty],T_SelfStock[RM_Code],$A19,T_SelfStock[WeekIndex],91)+SUMIFS(T_TTAFStock[TTAF_Qty],T_TTAFStock[RM_Code],$A19,T_TTAFStock[WeekIndex],91),CM19+'Grid_Incoming'!CN19-'Grid_Requirement'!CN19))</f>
        <v/>
      </c>
      <c r="CO19">
        <f>IF(COUNTIFS(T_StockCount[RM_Code],$A19,T_StockCount[WeekIndex],92)&gt;0,SUMIFS(T_StockCount[CountedQty],T_StockCount[RM_Code],$A19,T_StockCount[WeekIndex],92),IF((COUNTIFS(T_SelfStock[RM_Code],$A19,T_SelfStock[WeekIndex],92)&gt;0)*(COUNTIFS(T_TTAFStock[RM_Code],$A19,T_TTAFStock[WeekIndex],92)&gt;0)&gt;0,SUMIFS(T_SelfStock[Self_Qty],T_SelfStock[RM_Code],$A19,T_SelfStock[WeekIndex],92)+SUMIFS(T_TTAFStock[TTAF_Qty],T_TTAFStock[RM_Code],$A19,T_TTAFStock[WeekIndex],92),CN19+'Grid_Incoming'!CO19-'Grid_Requirement'!CO19))</f>
        <v/>
      </c>
      <c r="CP19">
        <f>IF(COUNTIFS(T_StockCount[RM_Code],$A19,T_StockCount[WeekIndex],93)&gt;0,SUMIFS(T_StockCount[CountedQty],T_StockCount[RM_Code],$A19,T_StockCount[WeekIndex],93),IF((COUNTIFS(T_SelfStock[RM_Code],$A19,T_SelfStock[WeekIndex],93)&gt;0)*(COUNTIFS(T_TTAFStock[RM_Code],$A19,T_TTAFStock[WeekIndex],93)&gt;0)&gt;0,SUMIFS(T_SelfStock[Self_Qty],T_SelfStock[RM_Code],$A19,T_SelfStock[WeekIndex],93)+SUMIFS(T_TTAFStock[TTAF_Qty],T_TTAFStock[RM_Code],$A19,T_TTAFStock[WeekIndex],93),CO19+'Grid_Incoming'!CP19-'Grid_Requirement'!CP19))</f>
        <v/>
      </c>
      <c r="CQ19">
        <f>IF(COUNTIFS(T_StockCount[RM_Code],$A19,T_StockCount[WeekIndex],94)&gt;0,SUMIFS(T_StockCount[CountedQty],T_StockCount[RM_Code],$A19,T_StockCount[WeekIndex],94),IF((COUNTIFS(T_SelfStock[RM_Code],$A19,T_SelfStock[WeekIndex],94)&gt;0)*(COUNTIFS(T_TTAFStock[RM_Code],$A19,T_TTAFStock[WeekIndex],94)&gt;0)&gt;0,SUMIFS(T_SelfStock[Self_Qty],T_SelfStock[RM_Code],$A19,T_SelfStock[WeekIndex],94)+SUMIFS(T_TTAFStock[TTAF_Qty],T_TTAFStock[RM_Code],$A19,T_TTAFStock[WeekIndex],94),CP19+'Grid_Incoming'!CQ19-'Grid_Requirement'!CQ19))</f>
        <v/>
      </c>
      <c r="CR19">
        <f>IF(COUNTIFS(T_StockCount[RM_Code],$A19,T_StockCount[WeekIndex],95)&gt;0,SUMIFS(T_StockCount[CountedQty],T_StockCount[RM_Code],$A19,T_StockCount[WeekIndex],95),IF((COUNTIFS(T_SelfStock[RM_Code],$A19,T_SelfStock[WeekIndex],95)&gt;0)*(COUNTIFS(T_TTAFStock[RM_Code],$A19,T_TTAFStock[WeekIndex],95)&gt;0)&gt;0,SUMIFS(T_SelfStock[Self_Qty],T_SelfStock[RM_Code],$A19,T_SelfStock[WeekIndex],95)+SUMIFS(T_TTAFStock[TTAF_Qty],T_TTAFStock[RM_Code],$A19,T_TTAFStock[WeekIndex],95),CQ19+'Grid_Incoming'!CR19-'Grid_Requirement'!CR19))</f>
        <v/>
      </c>
      <c r="CS19">
        <f>IF(COUNTIFS(T_StockCount[RM_Code],$A19,T_StockCount[WeekIndex],96)&gt;0,SUMIFS(T_StockCount[CountedQty],T_StockCount[RM_Code],$A19,T_StockCount[WeekIndex],96),IF((COUNTIFS(T_SelfStock[RM_Code],$A19,T_SelfStock[WeekIndex],96)&gt;0)*(COUNTIFS(T_TTAFStock[RM_Code],$A19,T_TTAFStock[WeekIndex],96)&gt;0)&gt;0,SUMIFS(T_SelfStock[Self_Qty],T_SelfStock[RM_Code],$A19,T_SelfStock[WeekIndex],96)+SUMIFS(T_TTAFStock[TTAF_Qty],T_TTAFStock[RM_Code],$A19,T_TTAFStock[WeekIndex],96),CR19+'Grid_Incoming'!CS19-'Grid_Requirement'!CS19))</f>
        <v/>
      </c>
      <c r="CT19">
        <f>IF(COUNTIFS(T_StockCount[RM_Code],$A19,T_StockCount[WeekIndex],97)&gt;0,SUMIFS(T_StockCount[CountedQty],T_StockCount[RM_Code],$A19,T_StockCount[WeekIndex],97),IF((COUNTIFS(T_SelfStock[RM_Code],$A19,T_SelfStock[WeekIndex],97)&gt;0)*(COUNTIFS(T_TTAFStock[RM_Code],$A19,T_TTAFStock[WeekIndex],97)&gt;0)&gt;0,SUMIFS(T_SelfStock[Self_Qty],T_SelfStock[RM_Code],$A19,T_SelfStock[WeekIndex],97)+SUMIFS(T_TTAFStock[TTAF_Qty],T_TTAFStock[RM_Code],$A19,T_TTAFStock[WeekIndex],97),CS19+'Grid_Incoming'!CT19-'Grid_Requirement'!CT19))</f>
        <v/>
      </c>
      <c r="CU19">
        <f>IF(COUNTIFS(T_StockCount[RM_Code],$A19,T_StockCount[WeekIndex],98)&gt;0,SUMIFS(T_StockCount[CountedQty],T_StockCount[RM_Code],$A19,T_StockCount[WeekIndex],98),IF((COUNTIFS(T_SelfStock[RM_Code],$A19,T_SelfStock[WeekIndex],98)&gt;0)*(COUNTIFS(T_TTAFStock[RM_Code],$A19,T_TTAFStock[WeekIndex],98)&gt;0)&gt;0,SUMIFS(T_SelfStock[Self_Qty],T_SelfStock[RM_Code],$A19,T_SelfStock[WeekIndex],98)+SUMIFS(T_TTAFStock[TTAF_Qty],T_TTAFStock[RM_Code],$A19,T_TTAFStock[WeekIndex],98),CT19+'Grid_Incoming'!CU19-'Grid_Requirement'!CU19))</f>
        <v/>
      </c>
      <c r="CV19">
        <f>IF(COUNTIFS(T_StockCount[RM_Code],$A19,T_StockCount[WeekIndex],99)&gt;0,SUMIFS(T_StockCount[CountedQty],T_StockCount[RM_Code],$A19,T_StockCount[WeekIndex],99),IF((COUNTIFS(T_SelfStock[RM_Code],$A19,T_SelfStock[WeekIndex],99)&gt;0)*(COUNTIFS(T_TTAFStock[RM_Code],$A19,T_TTAFStock[WeekIndex],99)&gt;0)&gt;0,SUMIFS(T_SelfStock[Self_Qty],T_SelfStock[RM_Code],$A19,T_SelfStock[WeekIndex],99)+SUMIFS(T_TTAFStock[TTAF_Qty],T_TTAFStock[RM_Code],$A19,T_TTAFStock[WeekIndex],99),CU19+'Grid_Incoming'!CV19-'Grid_Requirement'!CV19))</f>
        <v/>
      </c>
      <c r="CW19">
        <f>IF(COUNTIFS(T_StockCount[RM_Code],$A19,T_StockCount[WeekIndex],100)&gt;0,SUMIFS(T_StockCount[CountedQty],T_StockCount[RM_Code],$A19,T_StockCount[WeekIndex],100),IF((COUNTIFS(T_SelfStock[RM_Code],$A19,T_SelfStock[WeekIndex],100)&gt;0)*(COUNTIFS(T_TTAFStock[RM_Code],$A19,T_TTAFStock[WeekIndex],100)&gt;0)&gt;0,SUMIFS(T_SelfStock[Self_Qty],T_SelfStock[RM_Code],$A19,T_SelfStock[WeekIndex],100)+SUMIFS(T_TTAFStock[TTAF_Qty],T_TTAFStock[RM_Code],$A19,T_TTAFStock[WeekIndex],100),CV19+'Grid_Incoming'!CW19-'Grid_Requirement'!CW19))</f>
        <v/>
      </c>
      <c r="CX19">
        <f>IF(COUNTIFS(T_StockCount[RM_Code],$A19,T_StockCount[WeekIndex],101)&gt;0,SUMIFS(T_StockCount[CountedQty],T_StockCount[RM_Code],$A19,T_StockCount[WeekIndex],101),IF((COUNTIFS(T_SelfStock[RM_Code],$A19,T_SelfStock[WeekIndex],101)&gt;0)*(COUNTIFS(T_TTAFStock[RM_Code],$A19,T_TTAFStock[WeekIndex],101)&gt;0)&gt;0,SUMIFS(T_SelfStock[Self_Qty],T_SelfStock[RM_Code],$A19,T_SelfStock[WeekIndex],101)+SUMIFS(T_TTAFStock[TTAF_Qty],T_TTAFStock[RM_Code],$A19,T_TTAFStock[WeekIndex],101),CW19+'Grid_Incoming'!CX19-'Grid_Requirement'!CX19))</f>
        <v/>
      </c>
      <c r="CY19">
        <f>IF(COUNTIFS(T_StockCount[RM_Code],$A19,T_StockCount[WeekIndex],102)&gt;0,SUMIFS(T_StockCount[CountedQty],T_StockCount[RM_Code],$A19,T_StockCount[WeekIndex],102),IF((COUNTIFS(T_SelfStock[RM_Code],$A19,T_SelfStock[WeekIndex],102)&gt;0)*(COUNTIFS(T_TTAFStock[RM_Code],$A19,T_TTAFStock[WeekIndex],102)&gt;0)&gt;0,SUMIFS(T_SelfStock[Self_Qty],T_SelfStock[RM_Code],$A19,T_SelfStock[WeekIndex],102)+SUMIFS(T_TTAFStock[TTAF_Qty],T_TTAFStock[RM_Code],$A19,T_TTAFStock[WeekIndex],102),CX19+'Grid_Incoming'!CY19-'Grid_Requirement'!CY19))</f>
        <v/>
      </c>
      <c r="CZ19">
        <f>IF(COUNTIFS(T_StockCount[RM_Code],$A19,T_StockCount[WeekIndex],103)&gt;0,SUMIFS(T_StockCount[CountedQty],T_StockCount[RM_Code],$A19,T_StockCount[WeekIndex],103),IF((COUNTIFS(T_SelfStock[RM_Code],$A19,T_SelfStock[WeekIndex],103)&gt;0)*(COUNTIFS(T_TTAFStock[RM_Code],$A19,T_TTAFStock[WeekIndex],103)&gt;0)&gt;0,SUMIFS(T_SelfStock[Self_Qty],T_SelfStock[RM_Code],$A19,T_SelfStock[WeekIndex],103)+SUMIFS(T_TTAFStock[TTAF_Qty],T_TTAFStock[RM_Code],$A19,T_TTAFStock[WeekIndex],103),CY19+'Grid_Incoming'!CZ19-'Grid_Requirement'!CZ19))</f>
        <v/>
      </c>
      <c r="DA19">
        <f>IF(COUNTIFS(T_StockCount[RM_Code],$A19,T_StockCount[WeekIndex],104)&gt;0,SUMIFS(T_StockCount[CountedQty],T_StockCount[RM_Code],$A19,T_StockCount[WeekIndex],104),IF((COUNTIFS(T_SelfStock[RM_Code],$A19,T_SelfStock[WeekIndex],104)&gt;0)*(COUNTIFS(T_TTAFStock[RM_Code],$A19,T_TTAFStock[WeekIndex],104)&gt;0)&gt;0,SUMIFS(T_SelfStock[Self_Qty],T_SelfStock[RM_Code],$A19,T_SelfStock[WeekIndex],104)+SUMIFS(T_TTAFStock[TTAF_Qty],T_TTAFStock[RM_Code],$A19,T_TTAFStock[WeekIndex],104),CZ19+'Grid_Incoming'!DA19-'Grid_Requirement'!DA19))</f>
        <v/>
      </c>
    </row>
    <row r="20">
      <c r="A20" t="inlineStr">
        <is>
          <t>CHEM-1650</t>
        </is>
      </c>
      <c r="B20">
        <f>IF(COUNTIFS(T_StockCount[RM_Code],$A20,T_StockCount[WeekIndex],1)&gt;0,SUMIFS(T_StockCount[CountedQty],T_StockCount[RM_Code],$A20,T_StockCount[WeekIndex],1),IF((COUNTIFS(T_SelfStock[RM_Code],$A20,T_SelfStock[WeekIndex],1)&gt;0)*(COUNTIFS(T_TTAFStock[RM_Code],$A20,T_TTAFStock[WeekIndex],1)&gt;0)&gt;0,SUMIFS(T_SelfStock[Self_Qty],T_SelfStock[RM_Code],$A20,T_SelfStock[WeekIndex],1)+SUMIFS(T_TTAFStock[TTAF_Qty],T_TTAFStock[RM_Code],$A20,T_TTAFStock[WeekIndex],1),IFERROR(INDEX(T_OpeningStock[Opening_Qty],MATCH($A20,T_OpeningStock[RM_Code],0)),0)+'Grid_Incoming'!B20-'Grid_Requirement'!B20))</f>
        <v/>
      </c>
      <c r="C20">
        <f>IF(COUNTIFS(T_StockCount[RM_Code],$A20,T_StockCount[WeekIndex],2)&gt;0,SUMIFS(T_StockCount[CountedQty],T_StockCount[RM_Code],$A20,T_StockCount[WeekIndex],2),IF((COUNTIFS(T_SelfStock[RM_Code],$A20,T_SelfStock[WeekIndex],2)&gt;0)*(COUNTIFS(T_TTAFStock[RM_Code],$A20,T_TTAFStock[WeekIndex],2)&gt;0)&gt;0,SUMIFS(T_SelfStock[Self_Qty],T_SelfStock[RM_Code],$A20,T_SelfStock[WeekIndex],2)+SUMIFS(T_TTAFStock[TTAF_Qty],T_TTAFStock[RM_Code],$A20,T_TTAFStock[WeekIndex],2),B20+'Grid_Incoming'!C20-'Grid_Requirement'!C20))</f>
        <v/>
      </c>
      <c r="D20">
        <f>IF(COUNTIFS(T_StockCount[RM_Code],$A20,T_StockCount[WeekIndex],3)&gt;0,SUMIFS(T_StockCount[CountedQty],T_StockCount[RM_Code],$A20,T_StockCount[WeekIndex],3),IF((COUNTIFS(T_SelfStock[RM_Code],$A20,T_SelfStock[WeekIndex],3)&gt;0)*(COUNTIFS(T_TTAFStock[RM_Code],$A20,T_TTAFStock[WeekIndex],3)&gt;0)&gt;0,SUMIFS(T_SelfStock[Self_Qty],T_SelfStock[RM_Code],$A20,T_SelfStock[WeekIndex],3)+SUMIFS(T_TTAFStock[TTAF_Qty],T_TTAFStock[RM_Code],$A20,T_TTAFStock[WeekIndex],3),C20+'Grid_Incoming'!D20-'Grid_Requirement'!D20))</f>
        <v/>
      </c>
      <c r="E20">
        <f>IF(COUNTIFS(T_StockCount[RM_Code],$A20,T_StockCount[WeekIndex],4)&gt;0,SUMIFS(T_StockCount[CountedQty],T_StockCount[RM_Code],$A20,T_StockCount[WeekIndex],4),IF((COUNTIFS(T_SelfStock[RM_Code],$A20,T_SelfStock[WeekIndex],4)&gt;0)*(COUNTIFS(T_TTAFStock[RM_Code],$A20,T_TTAFStock[WeekIndex],4)&gt;0)&gt;0,SUMIFS(T_SelfStock[Self_Qty],T_SelfStock[RM_Code],$A20,T_SelfStock[WeekIndex],4)+SUMIFS(T_TTAFStock[TTAF_Qty],T_TTAFStock[RM_Code],$A20,T_TTAFStock[WeekIndex],4),D20+'Grid_Incoming'!E20-'Grid_Requirement'!E20))</f>
        <v/>
      </c>
      <c r="F20">
        <f>IF(COUNTIFS(T_StockCount[RM_Code],$A20,T_StockCount[WeekIndex],5)&gt;0,SUMIFS(T_StockCount[CountedQty],T_StockCount[RM_Code],$A20,T_StockCount[WeekIndex],5),IF((COUNTIFS(T_SelfStock[RM_Code],$A20,T_SelfStock[WeekIndex],5)&gt;0)*(COUNTIFS(T_TTAFStock[RM_Code],$A20,T_TTAFStock[WeekIndex],5)&gt;0)&gt;0,SUMIFS(T_SelfStock[Self_Qty],T_SelfStock[RM_Code],$A20,T_SelfStock[WeekIndex],5)+SUMIFS(T_TTAFStock[TTAF_Qty],T_TTAFStock[RM_Code],$A20,T_TTAFStock[WeekIndex],5),E20+'Grid_Incoming'!F20-'Grid_Requirement'!F20))</f>
        <v/>
      </c>
      <c r="G20">
        <f>IF(COUNTIFS(T_StockCount[RM_Code],$A20,T_StockCount[WeekIndex],6)&gt;0,SUMIFS(T_StockCount[CountedQty],T_StockCount[RM_Code],$A20,T_StockCount[WeekIndex],6),IF((COUNTIFS(T_SelfStock[RM_Code],$A20,T_SelfStock[WeekIndex],6)&gt;0)*(COUNTIFS(T_TTAFStock[RM_Code],$A20,T_TTAFStock[WeekIndex],6)&gt;0)&gt;0,SUMIFS(T_SelfStock[Self_Qty],T_SelfStock[RM_Code],$A20,T_SelfStock[WeekIndex],6)+SUMIFS(T_TTAFStock[TTAF_Qty],T_TTAFStock[RM_Code],$A20,T_TTAFStock[WeekIndex],6),F20+'Grid_Incoming'!G20-'Grid_Requirement'!G20))</f>
        <v/>
      </c>
      <c r="H20">
        <f>IF(COUNTIFS(T_StockCount[RM_Code],$A20,T_StockCount[WeekIndex],7)&gt;0,SUMIFS(T_StockCount[CountedQty],T_StockCount[RM_Code],$A20,T_StockCount[WeekIndex],7),IF((COUNTIFS(T_SelfStock[RM_Code],$A20,T_SelfStock[WeekIndex],7)&gt;0)*(COUNTIFS(T_TTAFStock[RM_Code],$A20,T_TTAFStock[WeekIndex],7)&gt;0)&gt;0,SUMIFS(T_SelfStock[Self_Qty],T_SelfStock[RM_Code],$A20,T_SelfStock[WeekIndex],7)+SUMIFS(T_TTAFStock[TTAF_Qty],T_TTAFStock[RM_Code],$A20,T_TTAFStock[WeekIndex],7),G20+'Grid_Incoming'!H20-'Grid_Requirement'!H20))</f>
        <v/>
      </c>
      <c r="I20">
        <f>IF(COUNTIFS(T_StockCount[RM_Code],$A20,T_StockCount[WeekIndex],8)&gt;0,SUMIFS(T_StockCount[CountedQty],T_StockCount[RM_Code],$A20,T_StockCount[WeekIndex],8),IF((COUNTIFS(T_SelfStock[RM_Code],$A20,T_SelfStock[WeekIndex],8)&gt;0)*(COUNTIFS(T_TTAFStock[RM_Code],$A20,T_TTAFStock[WeekIndex],8)&gt;0)&gt;0,SUMIFS(T_SelfStock[Self_Qty],T_SelfStock[RM_Code],$A20,T_SelfStock[WeekIndex],8)+SUMIFS(T_TTAFStock[TTAF_Qty],T_TTAFStock[RM_Code],$A20,T_TTAFStock[WeekIndex],8),H20+'Grid_Incoming'!I20-'Grid_Requirement'!I20))</f>
        <v/>
      </c>
      <c r="J20">
        <f>IF(COUNTIFS(T_StockCount[RM_Code],$A20,T_StockCount[WeekIndex],9)&gt;0,SUMIFS(T_StockCount[CountedQty],T_StockCount[RM_Code],$A20,T_StockCount[WeekIndex],9),IF((COUNTIFS(T_SelfStock[RM_Code],$A20,T_SelfStock[WeekIndex],9)&gt;0)*(COUNTIFS(T_TTAFStock[RM_Code],$A20,T_TTAFStock[WeekIndex],9)&gt;0)&gt;0,SUMIFS(T_SelfStock[Self_Qty],T_SelfStock[RM_Code],$A20,T_SelfStock[WeekIndex],9)+SUMIFS(T_TTAFStock[TTAF_Qty],T_TTAFStock[RM_Code],$A20,T_TTAFStock[WeekIndex],9),I20+'Grid_Incoming'!J20-'Grid_Requirement'!J20))</f>
        <v/>
      </c>
      <c r="K20">
        <f>IF(COUNTIFS(T_StockCount[RM_Code],$A20,T_StockCount[WeekIndex],10)&gt;0,SUMIFS(T_StockCount[CountedQty],T_StockCount[RM_Code],$A20,T_StockCount[WeekIndex],10),IF((COUNTIFS(T_SelfStock[RM_Code],$A20,T_SelfStock[WeekIndex],10)&gt;0)*(COUNTIFS(T_TTAFStock[RM_Code],$A20,T_TTAFStock[WeekIndex],10)&gt;0)&gt;0,SUMIFS(T_SelfStock[Self_Qty],T_SelfStock[RM_Code],$A20,T_SelfStock[WeekIndex],10)+SUMIFS(T_TTAFStock[TTAF_Qty],T_TTAFStock[RM_Code],$A20,T_TTAFStock[WeekIndex],10),J20+'Grid_Incoming'!K20-'Grid_Requirement'!K20))</f>
        <v/>
      </c>
      <c r="L20">
        <f>IF(COUNTIFS(T_StockCount[RM_Code],$A20,T_StockCount[WeekIndex],11)&gt;0,SUMIFS(T_StockCount[CountedQty],T_StockCount[RM_Code],$A20,T_StockCount[WeekIndex],11),IF((COUNTIFS(T_SelfStock[RM_Code],$A20,T_SelfStock[WeekIndex],11)&gt;0)*(COUNTIFS(T_TTAFStock[RM_Code],$A20,T_TTAFStock[WeekIndex],11)&gt;0)&gt;0,SUMIFS(T_SelfStock[Self_Qty],T_SelfStock[RM_Code],$A20,T_SelfStock[WeekIndex],11)+SUMIFS(T_TTAFStock[TTAF_Qty],T_TTAFStock[RM_Code],$A20,T_TTAFStock[WeekIndex],11),K20+'Grid_Incoming'!L20-'Grid_Requirement'!L20))</f>
        <v/>
      </c>
      <c r="M20">
        <f>IF(COUNTIFS(T_StockCount[RM_Code],$A20,T_StockCount[WeekIndex],12)&gt;0,SUMIFS(T_StockCount[CountedQty],T_StockCount[RM_Code],$A20,T_StockCount[WeekIndex],12),IF((COUNTIFS(T_SelfStock[RM_Code],$A20,T_SelfStock[WeekIndex],12)&gt;0)*(COUNTIFS(T_TTAFStock[RM_Code],$A20,T_TTAFStock[WeekIndex],12)&gt;0)&gt;0,SUMIFS(T_SelfStock[Self_Qty],T_SelfStock[RM_Code],$A20,T_SelfStock[WeekIndex],12)+SUMIFS(T_TTAFStock[TTAF_Qty],T_TTAFStock[RM_Code],$A20,T_TTAFStock[WeekIndex],12),L20+'Grid_Incoming'!M20-'Grid_Requirement'!M20))</f>
        <v/>
      </c>
      <c r="N20">
        <f>IF(COUNTIFS(T_StockCount[RM_Code],$A20,T_StockCount[WeekIndex],13)&gt;0,SUMIFS(T_StockCount[CountedQty],T_StockCount[RM_Code],$A20,T_StockCount[WeekIndex],13),IF((COUNTIFS(T_SelfStock[RM_Code],$A20,T_SelfStock[WeekIndex],13)&gt;0)*(COUNTIFS(T_TTAFStock[RM_Code],$A20,T_TTAFStock[WeekIndex],13)&gt;0)&gt;0,SUMIFS(T_SelfStock[Self_Qty],T_SelfStock[RM_Code],$A20,T_SelfStock[WeekIndex],13)+SUMIFS(T_TTAFStock[TTAF_Qty],T_TTAFStock[RM_Code],$A20,T_TTAFStock[WeekIndex],13),M20+'Grid_Incoming'!N20-'Grid_Requirement'!N20))</f>
        <v/>
      </c>
      <c r="O20">
        <f>IF(COUNTIFS(T_StockCount[RM_Code],$A20,T_StockCount[WeekIndex],14)&gt;0,SUMIFS(T_StockCount[CountedQty],T_StockCount[RM_Code],$A20,T_StockCount[WeekIndex],14),IF((COUNTIFS(T_SelfStock[RM_Code],$A20,T_SelfStock[WeekIndex],14)&gt;0)*(COUNTIFS(T_TTAFStock[RM_Code],$A20,T_TTAFStock[WeekIndex],14)&gt;0)&gt;0,SUMIFS(T_SelfStock[Self_Qty],T_SelfStock[RM_Code],$A20,T_SelfStock[WeekIndex],14)+SUMIFS(T_TTAFStock[TTAF_Qty],T_TTAFStock[RM_Code],$A20,T_TTAFStock[WeekIndex],14),N20+'Grid_Incoming'!O20-'Grid_Requirement'!O20))</f>
        <v/>
      </c>
      <c r="P20">
        <f>IF(COUNTIFS(T_StockCount[RM_Code],$A20,T_StockCount[WeekIndex],15)&gt;0,SUMIFS(T_StockCount[CountedQty],T_StockCount[RM_Code],$A20,T_StockCount[WeekIndex],15),IF((COUNTIFS(T_SelfStock[RM_Code],$A20,T_SelfStock[WeekIndex],15)&gt;0)*(COUNTIFS(T_TTAFStock[RM_Code],$A20,T_TTAFStock[WeekIndex],15)&gt;0)&gt;0,SUMIFS(T_SelfStock[Self_Qty],T_SelfStock[RM_Code],$A20,T_SelfStock[WeekIndex],15)+SUMIFS(T_TTAFStock[TTAF_Qty],T_TTAFStock[RM_Code],$A20,T_TTAFStock[WeekIndex],15),O20+'Grid_Incoming'!P20-'Grid_Requirement'!P20))</f>
        <v/>
      </c>
      <c r="Q20">
        <f>IF(COUNTIFS(T_StockCount[RM_Code],$A20,T_StockCount[WeekIndex],16)&gt;0,SUMIFS(T_StockCount[CountedQty],T_StockCount[RM_Code],$A20,T_StockCount[WeekIndex],16),IF((COUNTIFS(T_SelfStock[RM_Code],$A20,T_SelfStock[WeekIndex],16)&gt;0)*(COUNTIFS(T_TTAFStock[RM_Code],$A20,T_TTAFStock[WeekIndex],16)&gt;0)&gt;0,SUMIFS(T_SelfStock[Self_Qty],T_SelfStock[RM_Code],$A20,T_SelfStock[WeekIndex],16)+SUMIFS(T_TTAFStock[TTAF_Qty],T_TTAFStock[RM_Code],$A20,T_TTAFStock[WeekIndex],16),P20+'Grid_Incoming'!Q20-'Grid_Requirement'!Q20))</f>
        <v/>
      </c>
      <c r="R20">
        <f>IF(COUNTIFS(T_StockCount[RM_Code],$A20,T_StockCount[WeekIndex],17)&gt;0,SUMIFS(T_StockCount[CountedQty],T_StockCount[RM_Code],$A20,T_StockCount[WeekIndex],17),IF((COUNTIFS(T_SelfStock[RM_Code],$A20,T_SelfStock[WeekIndex],17)&gt;0)*(COUNTIFS(T_TTAFStock[RM_Code],$A20,T_TTAFStock[WeekIndex],17)&gt;0)&gt;0,SUMIFS(T_SelfStock[Self_Qty],T_SelfStock[RM_Code],$A20,T_SelfStock[WeekIndex],17)+SUMIFS(T_TTAFStock[TTAF_Qty],T_TTAFStock[RM_Code],$A20,T_TTAFStock[WeekIndex],17),Q20+'Grid_Incoming'!R20-'Grid_Requirement'!R20))</f>
        <v/>
      </c>
      <c r="S20">
        <f>IF(COUNTIFS(T_StockCount[RM_Code],$A20,T_StockCount[WeekIndex],18)&gt;0,SUMIFS(T_StockCount[CountedQty],T_StockCount[RM_Code],$A20,T_StockCount[WeekIndex],18),IF((COUNTIFS(T_SelfStock[RM_Code],$A20,T_SelfStock[WeekIndex],18)&gt;0)*(COUNTIFS(T_TTAFStock[RM_Code],$A20,T_TTAFStock[WeekIndex],18)&gt;0)&gt;0,SUMIFS(T_SelfStock[Self_Qty],T_SelfStock[RM_Code],$A20,T_SelfStock[WeekIndex],18)+SUMIFS(T_TTAFStock[TTAF_Qty],T_TTAFStock[RM_Code],$A20,T_TTAFStock[WeekIndex],18),R20+'Grid_Incoming'!S20-'Grid_Requirement'!S20))</f>
        <v/>
      </c>
      <c r="T20">
        <f>IF(COUNTIFS(T_StockCount[RM_Code],$A20,T_StockCount[WeekIndex],19)&gt;0,SUMIFS(T_StockCount[CountedQty],T_StockCount[RM_Code],$A20,T_StockCount[WeekIndex],19),IF((COUNTIFS(T_SelfStock[RM_Code],$A20,T_SelfStock[WeekIndex],19)&gt;0)*(COUNTIFS(T_TTAFStock[RM_Code],$A20,T_TTAFStock[WeekIndex],19)&gt;0)&gt;0,SUMIFS(T_SelfStock[Self_Qty],T_SelfStock[RM_Code],$A20,T_SelfStock[WeekIndex],19)+SUMIFS(T_TTAFStock[TTAF_Qty],T_TTAFStock[RM_Code],$A20,T_TTAFStock[WeekIndex],19),S20+'Grid_Incoming'!T20-'Grid_Requirement'!T20))</f>
        <v/>
      </c>
      <c r="U20">
        <f>IF(COUNTIFS(T_StockCount[RM_Code],$A20,T_StockCount[WeekIndex],20)&gt;0,SUMIFS(T_StockCount[CountedQty],T_StockCount[RM_Code],$A20,T_StockCount[WeekIndex],20),IF((COUNTIFS(T_SelfStock[RM_Code],$A20,T_SelfStock[WeekIndex],20)&gt;0)*(COUNTIFS(T_TTAFStock[RM_Code],$A20,T_TTAFStock[WeekIndex],20)&gt;0)&gt;0,SUMIFS(T_SelfStock[Self_Qty],T_SelfStock[RM_Code],$A20,T_SelfStock[WeekIndex],20)+SUMIFS(T_TTAFStock[TTAF_Qty],T_TTAFStock[RM_Code],$A20,T_TTAFStock[WeekIndex],20),T20+'Grid_Incoming'!U20-'Grid_Requirement'!U20))</f>
        <v/>
      </c>
      <c r="V20">
        <f>IF(COUNTIFS(T_StockCount[RM_Code],$A20,T_StockCount[WeekIndex],21)&gt;0,SUMIFS(T_StockCount[CountedQty],T_StockCount[RM_Code],$A20,T_StockCount[WeekIndex],21),IF((COUNTIFS(T_SelfStock[RM_Code],$A20,T_SelfStock[WeekIndex],21)&gt;0)*(COUNTIFS(T_TTAFStock[RM_Code],$A20,T_TTAFStock[WeekIndex],21)&gt;0)&gt;0,SUMIFS(T_SelfStock[Self_Qty],T_SelfStock[RM_Code],$A20,T_SelfStock[WeekIndex],21)+SUMIFS(T_TTAFStock[TTAF_Qty],T_TTAFStock[RM_Code],$A20,T_TTAFStock[WeekIndex],21),U20+'Grid_Incoming'!V20-'Grid_Requirement'!V20))</f>
        <v/>
      </c>
      <c r="W20">
        <f>IF(COUNTIFS(T_StockCount[RM_Code],$A20,T_StockCount[WeekIndex],22)&gt;0,SUMIFS(T_StockCount[CountedQty],T_StockCount[RM_Code],$A20,T_StockCount[WeekIndex],22),IF((COUNTIFS(T_SelfStock[RM_Code],$A20,T_SelfStock[WeekIndex],22)&gt;0)*(COUNTIFS(T_TTAFStock[RM_Code],$A20,T_TTAFStock[WeekIndex],22)&gt;0)&gt;0,SUMIFS(T_SelfStock[Self_Qty],T_SelfStock[RM_Code],$A20,T_SelfStock[WeekIndex],22)+SUMIFS(T_TTAFStock[TTAF_Qty],T_TTAFStock[RM_Code],$A20,T_TTAFStock[WeekIndex],22),V20+'Grid_Incoming'!W20-'Grid_Requirement'!W20))</f>
        <v/>
      </c>
      <c r="X20">
        <f>IF(COUNTIFS(T_StockCount[RM_Code],$A20,T_StockCount[WeekIndex],23)&gt;0,SUMIFS(T_StockCount[CountedQty],T_StockCount[RM_Code],$A20,T_StockCount[WeekIndex],23),IF((COUNTIFS(T_SelfStock[RM_Code],$A20,T_SelfStock[WeekIndex],23)&gt;0)*(COUNTIFS(T_TTAFStock[RM_Code],$A20,T_TTAFStock[WeekIndex],23)&gt;0)&gt;0,SUMIFS(T_SelfStock[Self_Qty],T_SelfStock[RM_Code],$A20,T_SelfStock[WeekIndex],23)+SUMIFS(T_TTAFStock[TTAF_Qty],T_TTAFStock[RM_Code],$A20,T_TTAFStock[WeekIndex],23),W20+'Grid_Incoming'!X20-'Grid_Requirement'!X20))</f>
        <v/>
      </c>
      <c r="Y20">
        <f>IF(COUNTIFS(T_StockCount[RM_Code],$A20,T_StockCount[WeekIndex],24)&gt;0,SUMIFS(T_StockCount[CountedQty],T_StockCount[RM_Code],$A20,T_StockCount[WeekIndex],24),IF((COUNTIFS(T_SelfStock[RM_Code],$A20,T_SelfStock[WeekIndex],24)&gt;0)*(COUNTIFS(T_TTAFStock[RM_Code],$A20,T_TTAFStock[WeekIndex],24)&gt;0)&gt;0,SUMIFS(T_SelfStock[Self_Qty],T_SelfStock[RM_Code],$A20,T_SelfStock[WeekIndex],24)+SUMIFS(T_TTAFStock[TTAF_Qty],T_TTAFStock[RM_Code],$A20,T_TTAFStock[WeekIndex],24),X20+'Grid_Incoming'!Y20-'Grid_Requirement'!Y20))</f>
        <v/>
      </c>
      <c r="Z20">
        <f>IF(COUNTIFS(T_StockCount[RM_Code],$A20,T_StockCount[WeekIndex],25)&gt;0,SUMIFS(T_StockCount[CountedQty],T_StockCount[RM_Code],$A20,T_StockCount[WeekIndex],25),IF((COUNTIFS(T_SelfStock[RM_Code],$A20,T_SelfStock[WeekIndex],25)&gt;0)*(COUNTIFS(T_TTAFStock[RM_Code],$A20,T_TTAFStock[WeekIndex],25)&gt;0)&gt;0,SUMIFS(T_SelfStock[Self_Qty],T_SelfStock[RM_Code],$A20,T_SelfStock[WeekIndex],25)+SUMIFS(T_TTAFStock[TTAF_Qty],T_TTAFStock[RM_Code],$A20,T_TTAFStock[WeekIndex],25),Y20+'Grid_Incoming'!Z20-'Grid_Requirement'!Z20))</f>
        <v/>
      </c>
      <c r="AA20">
        <f>IF(COUNTIFS(T_StockCount[RM_Code],$A20,T_StockCount[WeekIndex],26)&gt;0,SUMIFS(T_StockCount[CountedQty],T_StockCount[RM_Code],$A20,T_StockCount[WeekIndex],26),IF((COUNTIFS(T_SelfStock[RM_Code],$A20,T_SelfStock[WeekIndex],26)&gt;0)*(COUNTIFS(T_TTAFStock[RM_Code],$A20,T_TTAFStock[WeekIndex],26)&gt;0)&gt;0,SUMIFS(T_SelfStock[Self_Qty],T_SelfStock[RM_Code],$A20,T_SelfStock[WeekIndex],26)+SUMIFS(T_TTAFStock[TTAF_Qty],T_TTAFStock[RM_Code],$A20,T_TTAFStock[WeekIndex],26),Z20+'Grid_Incoming'!AA20-'Grid_Requirement'!AA20))</f>
        <v/>
      </c>
      <c r="AB20">
        <f>IF(COUNTIFS(T_StockCount[RM_Code],$A20,T_StockCount[WeekIndex],27)&gt;0,SUMIFS(T_StockCount[CountedQty],T_StockCount[RM_Code],$A20,T_StockCount[WeekIndex],27),IF((COUNTIFS(T_SelfStock[RM_Code],$A20,T_SelfStock[WeekIndex],27)&gt;0)*(COUNTIFS(T_TTAFStock[RM_Code],$A20,T_TTAFStock[WeekIndex],27)&gt;0)&gt;0,SUMIFS(T_SelfStock[Self_Qty],T_SelfStock[RM_Code],$A20,T_SelfStock[WeekIndex],27)+SUMIFS(T_TTAFStock[TTAF_Qty],T_TTAFStock[RM_Code],$A20,T_TTAFStock[WeekIndex],27),AA20+'Grid_Incoming'!AB20-'Grid_Requirement'!AB20))</f>
        <v/>
      </c>
      <c r="AC20">
        <f>IF(COUNTIFS(T_StockCount[RM_Code],$A20,T_StockCount[WeekIndex],28)&gt;0,SUMIFS(T_StockCount[CountedQty],T_StockCount[RM_Code],$A20,T_StockCount[WeekIndex],28),IF((COUNTIFS(T_SelfStock[RM_Code],$A20,T_SelfStock[WeekIndex],28)&gt;0)*(COUNTIFS(T_TTAFStock[RM_Code],$A20,T_TTAFStock[WeekIndex],28)&gt;0)&gt;0,SUMIFS(T_SelfStock[Self_Qty],T_SelfStock[RM_Code],$A20,T_SelfStock[WeekIndex],28)+SUMIFS(T_TTAFStock[TTAF_Qty],T_TTAFStock[RM_Code],$A20,T_TTAFStock[WeekIndex],28),AB20+'Grid_Incoming'!AC20-'Grid_Requirement'!AC20))</f>
        <v/>
      </c>
      <c r="AD20">
        <f>IF(COUNTIFS(T_StockCount[RM_Code],$A20,T_StockCount[WeekIndex],29)&gt;0,SUMIFS(T_StockCount[CountedQty],T_StockCount[RM_Code],$A20,T_StockCount[WeekIndex],29),IF((COUNTIFS(T_SelfStock[RM_Code],$A20,T_SelfStock[WeekIndex],29)&gt;0)*(COUNTIFS(T_TTAFStock[RM_Code],$A20,T_TTAFStock[WeekIndex],29)&gt;0)&gt;0,SUMIFS(T_SelfStock[Self_Qty],T_SelfStock[RM_Code],$A20,T_SelfStock[WeekIndex],29)+SUMIFS(T_TTAFStock[TTAF_Qty],T_TTAFStock[RM_Code],$A20,T_TTAFStock[WeekIndex],29),AC20+'Grid_Incoming'!AD20-'Grid_Requirement'!AD20))</f>
        <v/>
      </c>
      <c r="AE20">
        <f>IF(COUNTIFS(T_StockCount[RM_Code],$A20,T_StockCount[WeekIndex],30)&gt;0,SUMIFS(T_StockCount[CountedQty],T_StockCount[RM_Code],$A20,T_StockCount[WeekIndex],30),IF((COUNTIFS(T_SelfStock[RM_Code],$A20,T_SelfStock[WeekIndex],30)&gt;0)*(COUNTIFS(T_TTAFStock[RM_Code],$A20,T_TTAFStock[WeekIndex],30)&gt;0)&gt;0,SUMIFS(T_SelfStock[Self_Qty],T_SelfStock[RM_Code],$A20,T_SelfStock[WeekIndex],30)+SUMIFS(T_TTAFStock[TTAF_Qty],T_TTAFStock[RM_Code],$A20,T_TTAFStock[WeekIndex],30),AD20+'Grid_Incoming'!AE20-'Grid_Requirement'!AE20))</f>
        <v/>
      </c>
      <c r="AF20">
        <f>IF(COUNTIFS(T_StockCount[RM_Code],$A20,T_StockCount[WeekIndex],31)&gt;0,SUMIFS(T_StockCount[CountedQty],T_StockCount[RM_Code],$A20,T_StockCount[WeekIndex],31),IF((COUNTIFS(T_SelfStock[RM_Code],$A20,T_SelfStock[WeekIndex],31)&gt;0)*(COUNTIFS(T_TTAFStock[RM_Code],$A20,T_TTAFStock[WeekIndex],31)&gt;0)&gt;0,SUMIFS(T_SelfStock[Self_Qty],T_SelfStock[RM_Code],$A20,T_SelfStock[WeekIndex],31)+SUMIFS(T_TTAFStock[TTAF_Qty],T_TTAFStock[RM_Code],$A20,T_TTAFStock[WeekIndex],31),AE20+'Grid_Incoming'!AF20-'Grid_Requirement'!AF20))</f>
        <v/>
      </c>
      <c r="AG20">
        <f>IF(COUNTIFS(T_StockCount[RM_Code],$A20,T_StockCount[WeekIndex],32)&gt;0,SUMIFS(T_StockCount[CountedQty],T_StockCount[RM_Code],$A20,T_StockCount[WeekIndex],32),IF((COUNTIFS(T_SelfStock[RM_Code],$A20,T_SelfStock[WeekIndex],32)&gt;0)*(COUNTIFS(T_TTAFStock[RM_Code],$A20,T_TTAFStock[WeekIndex],32)&gt;0)&gt;0,SUMIFS(T_SelfStock[Self_Qty],T_SelfStock[RM_Code],$A20,T_SelfStock[WeekIndex],32)+SUMIFS(T_TTAFStock[TTAF_Qty],T_TTAFStock[RM_Code],$A20,T_TTAFStock[WeekIndex],32),AF20+'Grid_Incoming'!AG20-'Grid_Requirement'!AG20))</f>
        <v/>
      </c>
      <c r="AH20">
        <f>IF(COUNTIFS(T_StockCount[RM_Code],$A20,T_StockCount[WeekIndex],33)&gt;0,SUMIFS(T_StockCount[CountedQty],T_StockCount[RM_Code],$A20,T_StockCount[WeekIndex],33),IF((COUNTIFS(T_SelfStock[RM_Code],$A20,T_SelfStock[WeekIndex],33)&gt;0)*(COUNTIFS(T_TTAFStock[RM_Code],$A20,T_TTAFStock[WeekIndex],33)&gt;0)&gt;0,SUMIFS(T_SelfStock[Self_Qty],T_SelfStock[RM_Code],$A20,T_SelfStock[WeekIndex],33)+SUMIFS(T_TTAFStock[TTAF_Qty],T_TTAFStock[RM_Code],$A20,T_TTAFStock[WeekIndex],33),AG20+'Grid_Incoming'!AH20-'Grid_Requirement'!AH20))</f>
        <v/>
      </c>
      <c r="AI20">
        <f>IF(COUNTIFS(T_StockCount[RM_Code],$A20,T_StockCount[WeekIndex],34)&gt;0,SUMIFS(T_StockCount[CountedQty],T_StockCount[RM_Code],$A20,T_StockCount[WeekIndex],34),IF((COUNTIFS(T_SelfStock[RM_Code],$A20,T_SelfStock[WeekIndex],34)&gt;0)*(COUNTIFS(T_TTAFStock[RM_Code],$A20,T_TTAFStock[WeekIndex],34)&gt;0)&gt;0,SUMIFS(T_SelfStock[Self_Qty],T_SelfStock[RM_Code],$A20,T_SelfStock[WeekIndex],34)+SUMIFS(T_TTAFStock[TTAF_Qty],T_TTAFStock[RM_Code],$A20,T_TTAFStock[WeekIndex],34),AH20+'Grid_Incoming'!AI20-'Grid_Requirement'!AI20))</f>
        <v/>
      </c>
      <c r="AJ20">
        <f>IF(COUNTIFS(T_StockCount[RM_Code],$A20,T_StockCount[WeekIndex],35)&gt;0,SUMIFS(T_StockCount[CountedQty],T_StockCount[RM_Code],$A20,T_StockCount[WeekIndex],35),IF((COUNTIFS(T_SelfStock[RM_Code],$A20,T_SelfStock[WeekIndex],35)&gt;0)*(COUNTIFS(T_TTAFStock[RM_Code],$A20,T_TTAFStock[WeekIndex],35)&gt;0)&gt;0,SUMIFS(T_SelfStock[Self_Qty],T_SelfStock[RM_Code],$A20,T_SelfStock[WeekIndex],35)+SUMIFS(T_TTAFStock[TTAF_Qty],T_TTAFStock[RM_Code],$A20,T_TTAFStock[WeekIndex],35),AI20+'Grid_Incoming'!AJ20-'Grid_Requirement'!AJ20))</f>
        <v/>
      </c>
      <c r="AK20">
        <f>IF(COUNTIFS(T_StockCount[RM_Code],$A20,T_StockCount[WeekIndex],36)&gt;0,SUMIFS(T_StockCount[CountedQty],T_StockCount[RM_Code],$A20,T_StockCount[WeekIndex],36),IF((COUNTIFS(T_SelfStock[RM_Code],$A20,T_SelfStock[WeekIndex],36)&gt;0)*(COUNTIFS(T_TTAFStock[RM_Code],$A20,T_TTAFStock[WeekIndex],36)&gt;0)&gt;0,SUMIFS(T_SelfStock[Self_Qty],T_SelfStock[RM_Code],$A20,T_SelfStock[WeekIndex],36)+SUMIFS(T_TTAFStock[TTAF_Qty],T_TTAFStock[RM_Code],$A20,T_TTAFStock[WeekIndex],36),AJ20+'Grid_Incoming'!AK20-'Grid_Requirement'!AK20))</f>
        <v/>
      </c>
      <c r="AL20">
        <f>IF(COUNTIFS(T_StockCount[RM_Code],$A20,T_StockCount[WeekIndex],37)&gt;0,SUMIFS(T_StockCount[CountedQty],T_StockCount[RM_Code],$A20,T_StockCount[WeekIndex],37),IF((COUNTIFS(T_SelfStock[RM_Code],$A20,T_SelfStock[WeekIndex],37)&gt;0)*(COUNTIFS(T_TTAFStock[RM_Code],$A20,T_TTAFStock[WeekIndex],37)&gt;0)&gt;0,SUMIFS(T_SelfStock[Self_Qty],T_SelfStock[RM_Code],$A20,T_SelfStock[WeekIndex],37)+SUMIFS(T_TTAFStock[TTAF_Qty],T_TTAFStock[RM_Code],$A20,T_TTAFStock[WeekIndex],37),AK20+'Grid_Incoming'!AL20-'Grid_Requirement'!AL20))</f>
        <v/>
      </c>
      <c r="AM20">
        <f>IF(COUNTIFS(T_StockCount[RM_Code],$A20,T_StockCount[WeekIndex],38)&gt;0,SUMIFS(T_StockCount[CountedQty],T_StockCount[RM_Code],$A20,T_StockCount[WeekIndex],38),IF((COUNTIFS(T_SelfStock[RM_Code],$A20,T_SelfStock[WeekIndex],38)&gt;0)*(COUNTIFS(T_TTAFStock[RM_Code],$A20,T_TTAFStock[WeekIndex],38)&gt;0)&gt;0,SUMIFS(T_SelfStock[Self_Qty],T_SelfStock[RM_Code],$A20,T_SelfStock[WeekIndex],38)+SUMIFS(T_TTAFStock[TTAF_Qty],T_TTAFStock[RM_Code],$A20,T_TTAFStock[WeekIndex],38),AL20+'Grid_Incoming'!AM20-'Grid_Requirement'!AM20))</f>
        <v/>
      </c>
      <c r="AN20">
        <f>IF(COUNTIFS(T_StockCount[RM_Code],$A20,T_StockCount[WeekIndex],39)&gt;0,SUMIFS(T_StockCount[CountedQty],T_StockCount[RM_Code],$A20,T_StockCount[WeekIndex],39),IF((COUNTIFS(T_SelfStock[RM_Code],$A20,T_SelfStock[WeekIndex],39)&gt;0)*(COUNTIFS(T_TTAFStock[RM_Code],$A20,T_TTAFStock[WeekIndex],39)&gt;0)&gt;0,SUMIFS(T_SelfStock[Self_Qty],T_SelfStock[RM_Code],$A20,T_SelfStock[WeekIndex],39)+SUMIFS(T_TTAFStock[TTAF_Qty],T_TTAFStock[RM_Code],$A20,T_TTAFStock[WeekIndex],39),AM20+'Grid_Incoming'!AN20-'Grid_Requirement'!AN20))</f>
        <v/>
      </c>
      <c r="AO20">
        <f>IF(COUNTIFS(T_StockCount[RM_Code],$A20,T_StockCount[WeekIndex],40)&gt;0,SUMIFS(T_StockCount[CountedQty],T_StockCount[RM_Code],$A20,T_StockCount[WeekIndex],40),IF((COUNTIFS(T_SelfStock[RM_Code],$A20,T_SelfStock[WeekIndex],40)&gt;0)*(COUNTIFS(T_TTAFStock[RM_Code],$A20,T_TTAFStock[WeekIndex],40)&gt;0)&gt;0,SUMIFS(T_SelfStock[Self_Qty],T_SelfStock[RM_Code],$A20,T_SelfStock[WeekIndex],40)+SUMIFS(T_TTAFStock[TTAF_Qty],T_TTAFStock[RM_Code],$A20,T_TTAFStock[WeekIndex],40),AN20+'Grid_Incoming'!AO20-'Grid_Requirement'!AO20))</f>
        <v/>
      </c>
      <c r="AP20">
        <f>IF(COUNTIFS(T_StockCount[RM_Code],$A20,T_StockCount[WeekIndex],41)&gt;0,SUMIFS(T_StockCount[CountedQty],T_StockCount[RM_Code],$A20,T_StockCount[WeekIndex],41),IF((COUNTIFS(T_SelfStock[RM_Code],$A20,T_SelfStock[WeekIndex],41)&gt;0)*(COUNTIFS(T_TTAFStock[RM_Code],$A20,T_TTAFStock[WeekIndex],41)&gt;0)&gt;0,SUMIFS(T_SelfStock[Self_Qty],T_SelfStock[RM_Code],$A20,T_SelfStock[WeekIndex],41)+SUMIFS(T_TTAFStock[TTAF_Qty],T_TTAFStock[RM_Code],$A20,T_TTAFStock[WeekIndex],41),AO20+'Grid_Incoming'!AP20-'Grid_Requirement'!AP20))</f>
        <v/>
      </c>
      <c r="AQ20">
        <f>IF(COUNTIFS(T_StockCount[RM_Code],$A20,T_StockCount[WeekIndex],42)&gt;0,SUMIFS(T_StockCount[CountedQty],T_StockCount[RM_Code],$A20,T_StockCount[WeekIndex],42),IF((COUNTIFS(T_SelfStock[RM_Code],$A20,T_SelfStock[WeekIndex],42)&gt;0)*(COUNTIFS(T_TTAFStock[RM_Code],$A20,T_TTAFStock[WeekIndex],42)&gt;0)&gt;0,SUMIFS(T_SelfStock[Self_Qty],T_SelfStock[RM_Code],$A20,T_SelfStock[WeekIndex],42)+SUMIFS(T_TTAFStock[TTAF_Qty],T_TTAFStock[RM_Code],$A20,T_TTAFStock[WeekIndex],42),AP20+'Grid_Incoming'!AQ20-'Grid_Requirement'!AQ20))</f>
        <v/>
      </c>
      <c r="AR20">
        <f>IF(COUNTIFS(T_StockCount[RM_Code],$A20,T_StockCount[WeekIndex],43)&gt;0,SUMIFS(T_StockCount[CountedQty],T_StockCount[RM_Code],$A20,T_StockCount[WeekIndex],43),IF((COUNTIFS(T_SelfStock[RM_Code],$A20,T_SelfStock[WeekIndex],43)&gt;0)*(COUNTIFS(T_TTAFStock[RM_Code],$A20,T_TTAFStock[WeekIndex],43)&gt;0)&gt;0,SUMIFS(T_SelfStock[Self_Qty],T_SelfStock[RM_Code],$A20,T_SelfStock[WeekIndex],43)+SUMIFS(T_TTAFStock[TTAF_Qty],T_TTAFStock[RM_Code],$A20,T_TTAFStock[WeekIndex],43),AQ20+'Grid_Incoming'!AR20-'Grid_Requirement'!AR20))</f>
        <v/>
      </c>
      <c r="AS20">
        <f>IF(COUNTIFS(T_StockCount[RM_Code],$A20,T_StockCount[WeekIndex],44)&gt;0,SUMIFS(T_StockCount[CountedQty],T_StockCount[RM_Code],$A20,T_StockCount[WeekIndex],44),IF((COUNTIFS(T_SelfStock[RM_Code],$A20,T_SelfStock[WeekIndex],44)&gt;0)*(COUNTIFS(T_TTAFStock[RM_Code],$A20,T_TTAFStock[WeekIndex],44)&gt;0)&gt;0,SUMIFS(T_SelfStock[Self_Qty],T_SelfStock[RM_Code],$A20,T_SelfStock[WeekIndex],44)+SUMIFS(T_TTAFStock[TTAF_Qty],T_TTAFStock[RM_Code],$A20,T_TTAFStock[WeekIndex],44),AR20+'Grid_Incoming'!AS20-'Grid_Requirement'!AS20))</f>
        <v/>
      </c>
      <c r="AT20">
        <f>IF(COUNTIFS(T_StockCount[RM_Code],$A20,T_StockCount[WeekIndex],45)&gt;0,SUMIFS(T_StockCount[CountedQty],T_StockCount[RM_Code],$A20,T_StockCount[WeekIndex],45),IF((COUNTIFS(T_SelfStock[RM_Code],$A20,T_SelfStock[WeekIndex],45)&gt;0)*(COUNTIFS(T_TTAFStock[RM_Code],$A20,T_TTAFStock[WeekIndex],45)&gt;0)&gt;0,SUMIFS(T_SelfStock[Self_Qty],T_SelfStock[RM_Code],$A20,T_SelfStock[WeekIndex],45)+SUMIFS(T_TTAFStock[TTAF_Qty],T_TTAFStock[RM_Code],$A20,T_TTAFStock[WeekIndex],45),AS20+'Grid_Incoming'!AT20-'Grid_Requirement'!AT20))</f>
        <v/>
      </c>
      <c r="AU20">
        <f>IF(COUNTIFS(T_StockCount[RM_Code],$A20,T_StockCount[WeekIndex],46)&gt;0,SUMIFS(T_StockCount[CountedQty],T_StockCount[RM_Code],$A20,T_StockCount[WeekIndex],46),IF((COUNTIFS(T_SelfStock[RM_Code],$A20,T_SelfStock[WeekIndex],46)&gt;0)*(COUNTIFS(T_TTAFStock[RM_Code],$A20,T_TTAFStock[WeekIndex],46)&gt;0)&gt;0,SUMIFS(T_SelfStock[Self_Qty],T_SelfStock[RM_Code],$A20,T_SelfStock[WeekIndex],46)+SUMIFS(T_TTAFStock[TTAF_Qty],T_TTAFStock[RM_Code],$A20,T_TTAFStock[WeekIndex],46),AT20+'Grid_Incoming'!AU20-'Grid_Requirement'!AU20))</f>
        <v/>
      </c>
      <c r="AV20">
        <f>IF(COUNTIFS(T_StockCount[RM_Code],$A20,T_StockCount[WeekIndex],47)&gt;0,SUMIFS(T_StockCount[CountedQty],T_StockCount[RM_Code],$A20,T_StockCount[WeekIndex],47),IF((COUNTIFS(T_SelfStock[RM_Code],$A20,T_SelfStock[WeekIndex],47)&gt;0)*(COUNTIFS(T_TTAFStock[RM_Code],$A20,T_TTAFStock[WeekIndex],47)&gt;0)&gt;0,SUMIFS(T_SelfStock[Self_Qty],T_SelfStock[RM_Code],$A20,T_SelfStock[WeekIndex],47)+SUMIFS(T_TTAFStock[TTAF_Qty],T_TTAFStock[RM_Code],$A20,T_TTAFStock[WeekIndex],47),AU20+'Grid_Incoming'!AV20-'Grid_Requirement'!AV20))</f>
        <v/>
      </c>
      <c r="AW20">
        <f>IF(COUNTIFS(T_StockCount[RM_Code],$A20,T_StockCount[WeekIndex],48)&gt;0,SUMIFS(T_StockCount[CountedQty],T_StockCount[RM_Code],$A20,T_StockCount[WeekIndex],48),IF((COUNTIFS(T_SelfStock[RM_Code],$A20,T_SelfStock[WeekIndex],48)&gt;0)*(COUNTIFS(T_TTAFStock[RM_Code],$A20,T_TTAFStock[WeekIndex],48)&gt;0)&gt;0,SUMIFS(T_SelfStock[Self_Qty],T_SelfStock[RM_Code],$A20,T_SelfStock[WeekIndex],48)+SUMIFS(T_TTAFStock[TTAF_Qty],T_TTAFStock[RM_Code],$A20,T_TTAFStock[WeekIndex],48),AV20+'Grid_Incoming'!AW20-'Grid_Requirement'!AW20))</f>
        <v/>
      </c>
      <c r="AX20">
        <f>IF(COUNTIFS(T_StockCount[RM_Code],$A20,T_StockCount[WeekIndex],49)&gt;0,SUMIFS(T_StockCount[CountedQty],T_StockCount[RM_Code],$A20,T_StockCount[WeekIndex],49),IF((COUNTIFS(T_SelfStock[RM_Code],$A20,T_SelfStock[WeekIndex],49)&gt;0)*(COUNTIFS(T_TTAFStock[RM_Code],$A20,T_TTAFStock[WeekIndex],49)&gt;0)&gt;0,SUMIFS(T_SelfStock[Self_Qty],T_SelfStock[RM_Code],$A20,T_SelfStock[WeekIndex],49)+SUMIFS(T_TTAFStock[TTAF_Qty],T_TTAFStock[RM_Code],$A20,T_TTAFStock[WeekIndex],49),AW20+'Grid_Incoming'!AX20-'Grid_Requirement'!AX20))</f>
        <v/>
      </c>
      <c r="AY20">
        <f>IF(COUNTIFS(T_StockCount[RM_Code],$A20,T_StockCount[WeekIndex],50)&gt;0,SUMIFS(T_StockCount[CountedQty],T_StockCount[RM_Code],$A20,T_StockCount[WeekIndex],50),IF((COUNTIFS(T_SelfStock[RM_Code],$A20,T_SelfStock[WeekIndex],50)&gt;0)*(COUNTIFS(T_TTAFStock[RM_Code],$A20,T_TTAFStock[WeekIndex],50)&gt;0)&gt;0,SUMIFS(T_SelfStock[Self_Qty],T_SelfStock[RM_Code],$A20,T_SelfStock[WeekIndex],50)+SUMIFS(T_TTAFStock[TTAF_Qty],T_TTAFStock[RM_Code],$A20,T_TTAFStock[WeekIndex],50),AX20+'Grid_Incoming'!AY20-'Grid_Requirement'!AY20))</f>
        <v/>
      </c>
      <c r="AZ20">
        <f>IF(COUNTIFS(T_StockCount[RM_Code],$A20,T_StockCount[WeekIndex],51)&gt;0,SUMIFS(T_StockCount[CountedQty],T_StockCount[RM_Code],$A20,T_StockCount[WeekIndex],51),IF((COUNTIFS(T_SelfStock[RM_Code],$A20,T_SelfStock[WeekIndex],51)&gt;0)*(COUNTIFS(T_TTAFStock[RM_Code],$A20,T_TTAFStock[WeekIndex],51)&gt;0)&gt;0,SUMIFS(T_SelfStock[Self_Qty],T_SelfStock[RM_Code],$A20,T_SelfStock[WeekIndex],51)+SUMIFS(T_TTAFStock[TTAF_Qty],T_TTAFStock[RM_Code],$A20,T_TTAFStock[WeekIndex],51),AY20+'Grid_Incoming'!AZ20-'Grid_Requirement'!AZ20))</f>
        <v/>
      </c>
      <c r="BA20">
        <f>IF(COUNTIFS(T_StockCount[RM_Code],$A20,T_StockCount[WeekIndex],52)&gt;0,SUMIFS(T_StockCount[CountedQty],T_StockCount[RM_Code],$A20,T_StockCount[WeekIndex],52),IF((COUNTIFS(T_SelfStock[RM_Code],$A20,T_SelfStock[WeekIndex],52)&gt;0)*(COUNTIFS(T_TTAFStock[RM_Code],$A20,T_TTAFStock[WeekIndex],52)&gt;0)&gt;0,SUMIFS(T_SelfStock[Self_Qty],T_SelfStock[RM_Code],$A20,T_SelfStock[WeekIndex],52)+SUMIFS(T_TTAFStock[TTAF_Qty],T_TTAFStock[RM_Code],$A20,T_TTAFStock[WeekIndex],52),AZ20+'Grid_Incoming'!BA20-'Grid_Requirement'!BA20))</f>
        <v/>
      </c>
      <c r="BB20">
        <f>IF(COUNTIFS(T_StockCount[RM_Code],$A20,T_StockCount[WeekIndex],53)&gt;0,SUMIFS(T_StockCount[CountedQty],T_StockCount[RM_Code],$A20,T_StockCount[WeekIndex],53),IF((COUNTIFS(T_SelfStock[RM_Code],$A20,T_SelfStock[WeekIndex],53)&gt;0)*(COUNTIFS(T_TTAFStock[RM_Code],$A20,T_TTAFStock[WeekIndex],53)&gt;0)&gt;0,SUMIFS(T_SelfStock[Self_Qty],T_SelfStock[RM_Code],$A20,T_SelfStock[WeekIndex],53)+SUMIFS(T_TTAFStock[TTAF_Qty],T_TTAFStock[RM_Code],$A20,T_TTAFStock[WeekIndex],53),BA20+'Grid_Incoming'!BB20-'Grid_Requirement'!BB20))</f>
        <v/>
      </c>
      <c r="BC20">
        <f>IF(COUNTIFS(T_StockCount[RM_Code],$A20,T_StockCount[WeekIndex],54)&gt;0,SUMIFS(T_StockCount[CountedQty],T_StockCount[RM_Code],$A20,T_StockCount[WeekIndex],54),IF((COUNTIFS(T_SelfStock[RM_Code],$A20,T_SelfStock[WeekIndex],54)&gt;0)*(COUNTIFS(T_TTAFStock[RM_Code],$A20,T_TTAFStock[WeekIndex],54)&gt;0)&gt;0,SUMIFS(T_SelfStock[Self_Qty],T_SelfStock[RM_Code],$A20,T_SelfStock[WeekIndex],54)+SUMIFS(T_TTAFStock[TTAF_Qty],T_TTAFStock[RM_Code],$A20,T_TTAFStock[WeekIndex],54),BB20+'Grid_Incoming'!BC20-'Grid_Requirement'!BC20))</f>
        <v/>
      </c>
      <c r="BD20">
        <f>IF(COUNTIFS(T_StockCount[RM_Code],$A20,T_StockCount[WeekIndex],55)&gt;0,SUMIFS(T_StockCount[CountedQty],T_StockCount[RM_Code],$A20,T_StockCount[WeekIndex],55),IF((COUNTIFS(T_SelfStock[RM_Code],$A20,T_SelfStock[WeekIndex],55)&gt;0)*(COUNTIFS(T_TTAFStock[RM_Code],$A20,T_TTAFStock[WeekIndex],55)&gt;0)&gt;0,SUMIFS(T_SelfStock[Self_Qty],T_SelfStock[RM_Code],$A20,T_SelfStock[WeekIndex],55)+SUMIFS(T_TTAFStock[TTAF_Qty],T_TTAFStock[RM_Code],$A20,T_TTAFStock[WeekIndex],55),BC20+'Grid_Incoming'!BD20-'Grid_Requirement'!BD20))</f>
        <v/>
      </c>
      <c r="BE20">
        <f>IF(COUNTIFS(T_StockCount[RM_Code],$A20,T_StockCount[WeekIndex],56)&gt;0,SUMIFS(T_StockCount[CountedQty],T_StockCount[RM_Code],$A20,T_StockCount[WeekIndex],56),IF((COUNTIFS(T_SelfStock[RM_Code],$A20,T_SelfStock[WeekIndex],56)&gt;0)*(COUNTIFS(T_TTAFStock[RM_Code],$A20,T_TTAFStock[WeekIndex],56)&gt;0)&gt;0,SUMIFS(T_SelfStock[Self_Qty],T_SelfStock[RM_Code],$A20,T_SelfStock[WeekIndex],56)+SUMIFS(T_TTAFStock[TTAF_Qty],T_TTAFStock[RM_Code],$A20,T_TTAFStock[WeekIndex],56),BD20+'Grid_Incoming'!BE20-'Grid_Requirement'!BE20))</f>
        <v/>
      </c>
      <c r="BF20">
        <f>IF(COUNTIFS(T_StockCount[RM_Code],$A20,T_StockCount[WeekIndex],57)&gt;0,SUMIFS(T_StockCount[CountedQty],T_StockCount[RM_Code],$A20,T_StockCount[WeekIndex],57),IF((COUNTIFS(T_SelfStock[RM_Code],$A20,T_SelfStock[WeekIndex],57)&gt;0)*(COUNTIFS(T_TTAFStock[RM_Code],$A20,T_TTAFStock[WeekIndex],57)&gt;0)&gt;0,SUMIFS(T_SelfStock[Self_Qty],T_SelfStock[RM_Code],$A20,T_SelfStock[WeekIndex],57)+SUMIFS(T_TTAFStock[TTAF_Qty],T_TTAFStock[RM_Code],$A20,T_TTAFStock[WeekIndex],57),BE20+'Grid_Incoming'!BF20-'Grid_Requirement'!BF20))</f>
        <v/>
      </c>
      <c r="BG20">
        <f>IF(COUNTIFS(T_StockCount[RM_Code],$A20,T_StockCount[WeekIndex],58)&gt;0,SUMIFS(T_StockCount[CountedQty],T_StockCount[RM_Code],$A20,T_StockCount[WeekIndex],58),IF((COUNTIFS(T_SelfStock[RM_Code],$A20,T_SelfStock[WeekIndex],58)&gt;0)*(COUNTIFS(T_TTAFStock[RM_Code],$A20,T_TTAFStock[WeekIndex],58)&gt;0)&gt;0,SUMIFS(T_SelfStock[Self_Qty],T_SelfStock[RM_Code],$A20,T_SelfStock[WeekIndex],58)+SUMIFS(T_TTAFStock[TTAF_Qty],T_TTAFStock[RM_Code],$A20,T_TTAFStock[WeekIndex],58),BF20+'Grid_Incoming'!BG20-'Grid_Requirement'!BG20))</f>
        <v/>
      </c>
      <c r="BH20">
        <f>IF(COUNTIFS(T_StockCount[RM_Code],$A20,T_StockCount[WeekIndex],59)&gt;0,SUMIFS(T_StockCount[CountedQty],T_StockCount[RM_Code],$A20,T_StockCount[WeekIndex],59),IF((COUNTIFS(T_SelfStock[RM_Code],$A20,T_SelfStock[WeekIndex],59)&gt;0)*(COUNTIFS(T_TTAFStock[RM_Code],$A20,T_TTAFStock[WeekIndex],59)&gt;0)&gt;0,SUMIFS(T_SelfStock[Self_Qty],T_SelfStock[RM_Code],$A20,T_SelfStock[WeekIndex],59)+SUMIFS(T_TTAFStock[TTAF_Qty],T_TTAFStock[RM_Code],$A20,T_TTAFStock[WeekIndex],59),BG20+'Grid_Incoming'!BH20-'Grid_Requirement'!BH20))</f>
        <v/>
      </c>
      <c r="BI20">
        <f>IF(COUNTIFS(T_StockCount[RM_Code],$A20,T_StockCount[WeekIndex],60)&gt;0,SUMIFS(T_StockCount[CountedQty],T_StockCount[RM_Code],$A20,T_StockCount[WeekIndex],60),IF((COUNTIFS(T_SelfStock[RM_Code],$A20,T_SelfStock[WeekIndex],60)&gt;0)*(COUNTIFS(T_TTAFStock[RM_Code],$A20,T_TTAFStock[WeekIndex],60)&gt;0)&gt;0,SUMIFS(T_SelfStock[Self_Qty],T_SelfStock[RM_Code],$A20,T_SelfStock[WeekIndex],60)+SUMIFS(T_TTAFStock[TTAF_Qty],T_TTAFStock[RM_Code],$A20,T_TTAFStock[WeekIndex],60),BH20+'Grid_Incoming'!BI20-'Grid_Requirement'!BI20))</f>
        <v/>
      </c>
      <c r="BJ20">
        <f>IF(COUNTIFS(T_StockCount[RM_Code],$A20,T_StockCount[WeekIndex],61)&gt;0,SUMIFS(T_StockCount[CountedQty],T_StockCount[RM_Code],$A20,T_StockCount[WeekIndex],61),IF((COUNTIFS(T_SelfStock[RM_Code],$A20,T_SelfStock[WeekIndex],61)&gt;0)*(COUNTIFS(T_TTAFStock[RM_Code],$A20,T_TTAFStock[WeekIndex],61)&gt;0)&gt;0,SUMIFS(T_SelfStock[Self_Qty],T_SelfStock[RM_Code],$A20,T_SelfStock[WeekIndex],61)+SUMIFS(T_TTAFStock[TTAF_Qty],T_TTAFStock[RM_Code],$A20,T_TTAFStock[WeekIndex],61),BI20+'Grid_Incoming'!BJ20-'Grid_Requirement'!BJ20))</f>
        <v/>
      </c>
      <c r="BK20">
        <f>IF(COUNTIFS(T_StockCount[RM_Code],$A20,T_StockCount[WeekIndex],62)&gt;0,SUMIFS(T_StockCount[CountedQty],T_StockCount[RM_Code],$A20,T_StockCount[WeekIndex],62),IF((COUNTIFS(T_SelfStock[RM_Code],$A20,T_SelfStock[WeekIndex],62)&gt;0)*(COUNTIFS(T_TTAFStock[RM_Code],$A20,T_TTAFStock[WeekIndex],62)&gt;0)&gt;0,SUMIFS(T_SelfStock[Self_Qty],T_SelfStock[RM_Code],$A20,T_SelfStock[WeekIndex],62)+SUMIFS(T_TTAFStock[TTAF_Qty],T_TTAFStock[RM_Code],$A20,T_TTAFStock[WeekIndex],62),BJ20+'Grid_Incoming'!BK20-'Grid_Requirement'!BK20))</f>
        <v/>
      </c>
      <c r="BL20">
        <f>IF(COUNTIFS(T_StockCount[RM_Code],$A20,T_StockCount[WeekIndex],63)&gt;0,SUMIFS(T_StockCount[CountedQty],T_StockCount[RM_Code],$A20,T_StockCount[WeekIndex],63),IF((COUNTIFS(T_SelfStock[RM_Code],$A20,T_SelfStock[WeekIndex],63)&gt;0)*(COUNTIFS(T_TTAFStock[RM_Code],$A20,T_TTAFStock[WeekIndex],63)&gt;0)&gt;0,SUMIFS(T_SelfStock[Self_Qty],T_SelfStock[RM_Code],$A20,T_SelfStock[WeekIndex],63)+SUMIFS(T_TTAFStock[TTAF_Qty],T_TTAFStock[RM_Code],$A20,T_TTAFStock[WeekIndex],63),BK20+'Grid_Incoming'!BL20-'Grid_Requirement'!BL20))</f>
        <v/>
      </c>
      <c r="BM20">
        <f>IF(COUNTIFS(T_StockCount[RM_Code],$A20,T_StockCount[WeekIndex],64)&gt;0,SUMIFS(T_StockCount[CountedQty],T_StockCount[RM_Code],$A20,T_StockCount[WeekIndex],64),IF((COUNTIFS(T_SelfStock[RM_Code],$A20,T_SelfStock[WeekIndex],64)&gt;0)*(COUNTIFS(T_TTAFStock[RM_Code],$A20,T_TTAFStock[WeekIndex],64)&gt;0)&gt;0,SUMIFS(T_SelfStock[Self_Qty],T_SelfStock[RM_Code],$A20,T_SelfStock[WeekIndex],64)+SUMIFS(T_TTAFStock[TTAF_Qty],T_TTAFStock[RM_Code],$A20,T_TTAFStock[WeekIndex],64),BL20+'Grid_Incoming'!BM20-'Grid_Requirement'!BM20))</f>
        <v/>
      </c>
      <c r="BN20">
        <f>IF(COUNTIFS(T_StockCount[RM_Code],$A20,T_StockCount[WeekIndex],65)&gt;0,SUMIFS(T_StockCount[CountedQty],T_StockCount[RM_Code],$A20,T_StockCount[WeekIndex],65),IF((COUNTIFS(T_SelfStock[RM_Code],$A20,T_SelfStock[WeekIndex],65)&gt;0)*(COUNTIFS(T_TTAFStock[RM_Code],$A20,T_TTAFStock[WeekIndex],65)&gt;0)&gt;0,SUMIFS(T_SelfStock[Self_Qty],T_SelfStock[RM_Code],$A20,T_SelfStock[WeekIndex],65)+SUMIFS(T_TTAFStock[TTAF_Qty],T_TTAFStock[RM_Code],$A20,T_TTAFStock[WeekIndex],65),BM20+'Grid_Incoming'!BN20-'Grid_Requirement'!BN20))</f>
        <v/>
      </c>
      <c r="BO20">
        <f>IF(COUNTIFS(T_StockCount[RM_Code],$A20,T_StockCount[WeekIndex],66)&gt;0,SUMIFS(T_StockCount[CountedQty],T_StockCount[RM_Code],$A20,T_StockCount[WeekIndex],66),IF((COUNTIFS(T_SelfStock[RM_Code],$A20,T_SelfStock[WeekIndex],66)&gt;0)*(COUNTIFS(T_TTAFStock[RM_Code],$A20,T_TTAFStock[WeekIndex],66)&gt;0)&gt;0,SUMIFS(T_SelfStock[Self_Qty],T_SelfStock[RM_Code],$A20,T_SelfStock[WeekIndex],66)+SUMIFS(T_TTAFStock[TTAF_Qty],T_TTAFStock[RM_Code],$A20,T_TTAFStock[WeekIndex],66),BN20+'Grid_Incoming'!BO20-'Grid_Requirement'!BO20))</f>
        <v/>
      </c>
      <c r="BP20">
        <f>IF(COUNTIFS(T_StockCount[RM_Code],$A20,T_StockCount[WeekIndex],67)&gt;0,SUMIFS(T_StockCount[CountedQty],T_StockCount[RM_Code],$A20,T_StockCount[WeekIndex],67),IF((COUNTIFS(T_SelfStock[RM_Code],$A20,T_SelfStock[WeekIndex],67)&gt;0)*(COUNTIFS(T_TTAFStock[RM_Code],$A20,T_TTAFStock[WeekIndex],67)&gt;0)&gt;0,SUMIFS(T_SelfStock[Self_Qty],T_SelfStock[RM_Code],$A20,T_SelfStock[WeekIndex],67)+SUMIFS(T_TTAFStock[TTAF_Qty],T_TTAFStock[RM_Code],$A20,T_TTAFStock[WeekIndex],67),BO20+'Grid_Incoming'!BP20-'Grid_Requirement'!BP20))</f>
        <v/>
      </c>
      <c r="BQ20">
        <f>IF(COUNTIFS(T_StockCount[RM_Code],$A20,T_StockCount[WeekIndex],68)&gt;0,SUMIFS(T_StockCount[CountedQty],T_StockCount[RM_Code],$A20,T_StockCount[WeekIndex],68),IF((COUNTIFS(T_SelfStock[RM_Code],$A20,T_SelfStock[WeekIndex],68)&gt;0)*(COUNTIFS(T_TTAFStock[RM_Code],$A20,T_TTAFStock[WeekIndex],68)&gt;0)&gt;0,SUMIFS(T_SelfStock[Self_Qty],T_SelfStock[RM_Code],$A20,T_SelfStock[WeekIndex],68)+SUMIFS(T_TTAFStock[TTAF_Qty],T_TTAFStock[RM_Code],$A20,T_TTAFStock[WeekIndex],68),BP20+'Grid_Incoming'!BQ20-'Grid_Requirement'!BQ20))</f>
        <v/>
      </c>
      <c r="BR20">
        <f>IF(COUNTIFS(T_StockCount[RM_Code],$A20,T_StockCount[WeekIndex],69)&gt;0,SUMIFS(T_StockCount[CountedQty],T_StockCount[RM_Code],$A20,T_StockCount[WeekIndex],69),IF((COUNTIFS(T_SelfStock[RM_Code],$A20,T_SelfStock[WeekIndex],69)&gt;0)*(COUNTIFS(T_TTAFStock[RM_Code],$A20,T_TTAFStock[WeekIndex],69)&gt;0)&gt;0,SUMIFS(T_SelfStock[Self_Qty],T_SelfStock[RM_Code],$A20,T_SelfStock[WeekIndex],69)+SUMIFS(T_TTAFStock[TTAF_Qty],T_TTAFStock[RM_Code],$A20,T_TTAFStock[WeekIndex],69),BQ20+'Grid_Incoming'!BR20-'Grid_Requirement'!BR20))</f>
        <v/>
      </c>
      <c r="BS20">
        <f>IF(COUNTIFS(T_StockCount[RM_Code],$A20,T_StockCount[WeekIndex],70)&gt;0,SUMIFS(T_StockCount[CountedQty],T_StockCount[RM_Code],$A20,T_StockCount[WeekIndex],70),IF((COUNTIFS(T_SelfStock[RM_Code],$A20,T_SelfStock[WeekIndex],70)&gt;0)*(COUNTIFS(T_TTAFStock[RM_Code],$A20,T_TTAFStock[WeekIndex],70)&gt;0)&gt;0,SUMIFS(T_SelfStock[Self_Qty],T_SelfStock[RM_Code],$A20,T_SelfStock[WeekIndex],70)+SUMIFS(T_TTAFStock[TTAF_Qty],T_TTAFStock[RM_Code],$A20,T_TTAFStock[WeekIndex],70),BR20+'Grid_Incoming'!BS20-'Grid_Requirement'!BS20))</f>
        <v/>
      </c>
      <c r="BT20">
        <f>IF(COUNTIFS(T_StockCount[RM_Code],$A20,T_StockCount[WeekIndex],71)&gt;0,SUMIFS(T_StockCount[CountedQty],T_StockCount[RM_Code],$A20,T_StockCount[WeekIndex],71),IF((COUNTIFS(T_SelfStock[RM_Code],$A20,T_SelfStock[WeekIndex],71)&gt;0)*(COUNTIFS(T_TTAFStock[RM_Code],$A20,T_TTAFStock[WeekIndex],71)&gt;0)&gt;0,SUMIFS(T_SelfStock[Self_Qty],T_SelfStock[RM_Code],$A20,T_SelfStock[WeekIndex],71)+SUMIFS(T_TTAFStock[TTAF_Qty],T_TTAFStock[RM_Code],$A20,T_TTAFStock[WeekIndex],71),BS20+'Grid_Incoming'!BT20-'Grid_Requirement'!BT20))</f>
        <v/>
      </c>
      <c r="BU20">
        <f>IF(COUNTIFS(T_StockCount[RM_Code],$A20,T_StockCount[WeekIndex],72)&gt;0,SUMIFS(T_StockCount[CountedQty],T_StockCount[RM_Code],$A20,T_StockCount[WeekIndex],72),IF((COUNTIFS(T_SelfStock[RM_Code],$A20,T_SelfStock[WeekIndex],72)&gt;0)*(COUNTIFS(T_TTAFStock[RM_Code],$A20,T_TTAFStock[WeekIndex],72)&gt;0)&gt;0,SUMIFS(T_SelfStock[Self_Qty],T_SelfStock[RM_Code],$A20,T_SelfStock[WeekIndex],72)+SUMIFS(T_TTAFStock[TTAF_Qty],T_TTAFStock[RM_Code],$A20,T_TTAFStock[WeekIndex],72),BT20+'Grid_Incoming'!BU20-'Grid_Requirement'!BU20))</f>
        <v/>
      </c>
      <c r="BV20">
        <f>IF(COUNTIFS(T_StockCount[RM_Code],$A20,T_StockCount[WeekIndex],73)&gt;0,SUMIFS(T_StockCount[CountedQty],T_StockCount[RM_Code],$A20,T_StockCount[WeekIndex],73),IF((COUNTIFS(T_SelfStock[RM_Code],$A20,T_SelfStock[WeekIndex],73)&gt;0)*(COUNTIFS(T_TTAFStock[RM_Code],$A20,T_TTAFStock[WeekIndex],73)&gt;0)&gt;0,SUMIFS(T_SelfStock[Self_Qty],T_SelfStock[RM_Code],$A20,T_SelfStock[WeekIndex],73)+SUMIFS(T_TTAFStock[TTAF_Qty],T_TTAFStock[RM_Code],$A20,T_TTAFStock[WeekIndex],73),BU20+'Grid_Incoming'!BV20-'Grid_Requirement'!BV20))</f>
        <v/>
      </c>
      <c r="BW20">
        <f>IF(COUNTIFS(T_StockCount[RM_Code],$A20,T_StockCount[WeekIndex],74)&gt;0,SUMIFS(T_StockCount[CountedQty],T_StockCount[RM_Code],$A20,T_StockCount[WeekIndex],74),IF((COUNTIFS(T_SelfStock[RM_Code],$A20,T_SelfStock[WeekIndex],74)&gt;0)*(COUNTIFS(T_TTAFStock[RM_Code],$A20,T_TTAFStock[WeekIndex],74)&gt;0)&gt;0,SUMIFS(T_SelfStock[Self_Qty],T_SelfStock[RM_Code],$A20,T_SelfStock[WeekIndex],74)+SUMIFS(T_TTAFStock[TTAF_Qty],T_TTAFStock[RM_Code],$A20,T_TTAFStock[WeekIndex],74),BV20+'Grid_Incoming'!BW20-'Grid_Requirement'!BW20))</f>
        <v/>
      </c>
      <c r="BX20">
        <f>IF(COUNTIFS(T_StockCount[RM_Code],$A20,T_StockCount[WeekIndex],75)&gt;0,SUMIFS(T_StockCount[CountedQty],T_StockCount[RM_Code],$A20,T_StockCount[WeekIndex],75),IF((COUNTIFS(T_SelfStock[RM_Code],$A20,T_SelfStock[WeekIndex],75)&gt;0)*(COUNTIFS(T_TTAFStock[RM_Code],$A20,T_TTAFStock[WeekIndex],75)&gt;0)&gt;0,SUMIFS(T_SelfStock[Self_Qty],T_SelfStock[RM_Code],$A20,T_SelfStock[WeekIndex],75)+SUMIFS(T_TTAFStock[TTAF_Qty],T_TTAFStock[RM_Code],$A20,T_TTAFStock[WeekIndex],75),BW20+'Grid_Incoming'!BX20-'Grid_Requirement'!BX20))</f>
        <v/>
      </c>
      <c r="BY20">
        <f>IF(COUNTIFS(T_StockCount[RM_Code],$A20,T_StockCount[WeekIndex],76)&gt;0,SUMIFS(T_StockCount[CountedQty],T_StockCount[RM_Code],$A20,T_StockCount[WeekIndex],76),IF((COUNTIFS(T_SelfStock[RM_Code],$A20,T_SelfStock[WeekIndex],76)&gt;0)*(COUNTIFS(T_TTAFStock[RM_Code],$A20,T_TTAFStock[WeekIndex],76)&gt;0)&gt;0,SUMIFS(T_SelfStock[Self_Qty],T_SelfStock[RM_Code],$A20,T_SelfStock[WeekIndex],76)+SUMIFS(T_TTAFStock[TTAF_Qty],T_TTAFStock[RM_Code],$A20,T_TTAFStock[WeekIndex],76),BX20+'Grid_Incoming'!BY20-'Grid_Requirement'!BY20))</f>
        <v/>
      </c>
      <c r="BZ20">
        <f>IF(COUNTIFS(T_StockCount[RM_Code],$A20,T_StockCount[WeekIndex],77)&gt;0,SUMIFS(T_StockCount[CountedQty],T_StockCount[RM_Code],$A20,T_StockCount[WeekIndex],77),IF((COUNTIFS(T_SelfStock[RM_Code],$A20,T_SelfStock[WeekIndex],77)&gt;0)*(COUNTIFS(T_TTAFStock[RM_Code],$A20,T_TTAFStock[WeekIndex],77)&gt;0)&gt;0,SUMIFS(T_SelfStock[Self_Qty],T_SelfStock[RM_Code],$A20,T_SelfStock[WeekIndex],77)+SUMIFS(T_TTAFStock[TTAF_Qty],T_TTAFStock[RM_Code],$A20,T_TTAFStock[WeekIndex],77),BY20+'Grid_Incoming'!BZ20-'Grid_Requirement'!BZ20))</f>
        <v/>
      </c>
      <c r="CA20">
        <f>IF(COUNTIFS(T_StockCount[RM_Code],$A20,T_StockCount[WeekIndex],78)&gt;0,SUMIFS(T_StockCount[CountedQty],T_StockCount[RM_Code],$A20,T_StockCount[WeekIndex],78),IF((COUNTIFS(T_SelfStock[RM_Code],$A20,T_SelfStock[WeekIndex],78)&gt;0)*(COUNTIFS(T_TTAFStock[RM_Code],$A20,T_TTAFStock[WeekIndex],78)&gt;0)&gt;0,SUMIFS(T_SelfStock[Self_Qty],T_SelfStock[RM_Code],$A20,T_SelfStock[WeekIndex],78)+SUMIFS(T_TTAFStock[TTAF_Qty],T_TTAFStock[RM_Code],$A20,T_TTAFStock[WeekIndex],78),BZ20+'Grid_Incoming'!CA20-'Grid_Requirement'!CA20))</f>
        <v/>
      </c>
      <c r="CB20">
        <f>IF(COUNTIFS(T_StockCount[RM_Code],$A20,T_StockCount[WeekIndex],79)&gt;0,SUMIFS(T_StockCount[CountedQty],T_StockCount[RM_Code],$A20,T_StockCount[WeekIndex],79),IF((COUNTIFS(T_SelfStock[RM_Code],$A20,T_SelfStock[WeekIndex],79)&gt;0)*(COUNTIFS(T_TTAFStock[RM_Code],$A20,T_TTAFStock[WeekIndex],79)&gt;0)&gt;0,SUMIFS(T_SelfStock[Self_Qty],T_SelfStock[RM_Code],$A20,T_SelfStock[WeekIndex],79)+SUMIFS(T_TTAFStock[TTAF_Qty],T_TTAFStock[RM_Code],$A20,T_TTAFStock[WeekIndex],79),CA20+'Grid_Incoming'!CB20-'Grid_Requirement'!CB20))</f>
        <v/>
      </c>
      <c r="CC20">
        <f>IF(COUNTIFS(T_StockCount[RM_Code],$A20,T_StockCount[WeekIndex],80)&gt;0,SUMIFS(T_StockCount[CountedQty],T_StockCount[RM_Code],$A20,T_StockCount[WeekIndex],80),IF((COUNTIFS(T_SelfStock[RM_Code],$A20,T_SelfStock[WeekIndex],80)&gt;0)*(COUNTIFS(T_TTAFStock[RM_Code],$A20,T_TTAFStock[WeekIndex],80)&gt;0)&gt;0,SUMIFS(T_SelfStock[Self_Qty],T_SelfStock[RM_Code],$A20,T_SelfStock[WeekIndex],80)+SUMIFS(T_TTAFStock[TTAF_Qty],T_TTAFStock[RM_Code],$A20,T_TTAFStock[WeekIndex],80),CB20+'Grid_Incoming'!CC20-'Grid_Requirement'!CC20))</f>
        <v/>
      </c>
      <c r="CD20">
        <f>IF(COUNTIFS(T_StockCount[RM_Code],$A20,T_StockCount[WeekIndex],81)&gt;0,SUMIFS(T_StockCount[CountedQty],T_StockCount[RM_Code],$A20,T_StockCount[WeekIndex],81),IF((COUNTIFS(T_SelfStock[RM_Code],$A20,T_SelfStock[WeekIndex],81)&gt;0)*(COUNTIFS(T_TTAFStock[RM_Code],$A20,T_TTAFStock[WeekIndex],81)&gt;0)&gt;0,SUMIFS(T_SelfStock[Self_Qty],T_SelfStock[RM_Code],$A20,T_SelfStock[WeekIndex],81)+SUMIFS(T_TTAFStock[TTAF_Qty],T_TTAFStock[RM_Code],$A20,T_TTAFStock[WeekIndex],81),CC20+'Grid_Incoming'!CD20-'Grid_Requirement'!CD20))</f>
        <v/>
      </c>
      <c r="CE20">
        <f>IF(COUNTIFS(T_StockCount[RM_Code],$A20,T_StockCount[WeekIndex],82)&gt;0,SUMIFS(T_StockCount[CountedQty],T_StockCount[RM_Code],$A20,T_StockCount[WeekIndex],82),IF((COUNTIFS(T_SelfStock[RM_Code],$A20,T_SelfStock[WeekIndex],82)&gt;0)*(COUNTIFS(T_TTAFStock[RM_Code],$A20,T_TTAFStock[WeekIndex],82)&gt;0)&gt;0,SUMIFS(T_SelfStock[Self_Qty],T_SelfStock[RM_Code],$A20,T_SelfStock[WeekIndex],82)+SUMIFS(T_TTAFStock[TTAF_Qty],T_TTAFStock[RM_Code],$A20,T_TTAFStock[WeekIndex],82),CD20+'Grid_Incoming'!CE20-'Grid_Requirement'!CE20))</f>
        <v/>
      </c>
      <c r="CF20">
        <f>IF(COUNTIFS(T_StockCount[RM_Code],$A20,T_StockCount[WeekIndex],83)&gt;0,SUMIFS(T_StockCount[CountedQty],T_StockCount[RM_Code],$A20,T_StockCount[WeekIndex],83),IF((COUNTIFS(T_SelfStock[RM_Code],$A20,T_SelfStock[WeekIndex],83)&gt;0)*(COUNTIFS(T_TTAFStock[RM_Code],$A20,T_TTAFStock[WeekIndex],83)&gt;0)&gt;0,SUMIFS(T_SelfStock[Self_Qty],T_SelfStock[RM_Code],$A20,T_SelfStock[WeekIndex],83)+SUMIFS(T_TTAFStock[TTAF_Qty],T_TTAFStock[RM_Code],$A20,T_TTAFStock[WeekIndex],83),CE20+'Grid_Incoming'!CF20-'Grid_Requirement'!CF20))</f>
        <v/>
      </c>
      <c r="CG20">
        <f>IF(COUNTIFS(T_StockCount[RM_Code],$A20,T_StockCount[WeekIndex],84)&gt;0,SUMIFS(T_StockCount[CountedQty],T_StockCount[RM_Code],$A20,T_StockCount[WeekIndex],84),IF((COUNTIFS(T_SelfStock[RM_Code],$A20,T_SelfStock[WeekIndex],84)&gt;0)*(COUNTIFS(T_TTAFStock[RM_Code],$A20,T_TTAFStock[WeekIndex],84)&gt;0)&gt;0,SUMIFS(T_SelfStock[Self_Qty],T_SelfStock[RM_Code],$A20,T_SelfStock[WeekIndex],84)+SUMIFS(T_TTAFStock[TTAF_Qty],T_TTAFStock[RM_Code],$A20,T_TTAFStock[WeekIndex],84),CF20+'Grid_Incoming'!CG20-'Grid_Requirement'!CG20))</f>
        <v/>
      </c>
      <c r="CH20">
        <f>IF(COUNTIFS(T_StockCount[RM_Code],$A20,T_StockCount[WeekIndex],85)&gt;0,SUMIFS(T_StockCount[CountedQty],T_StockCount[RM_Code],$A20,T_StockCount[WeekIndex],85),IF((COUNTIFS(T_SelfStock[RM_Code],$A20,T_SelfStock[WeekIndex],85)&gt;0)*(COUNTIFS(T_TTAFStock[RM_Code],$A20,T_TTAFStock[WeekIndex],85)&gt;0)&gt;0,SUMIFS(T_SelfStock[Self_Qty],T_SelfStock[RM_Code],$A20,T_SelfStock[WeekIndex],85)+SUMIFS(T_TTAFStock[TTAF_Qty],T_TTAFStock[RM_Code],$A20,T_TTAFStock[WeekIndex],85),CG20+'Grid_Incoming'!CH20-'Grid_Requirement'!CH20))</f>
        <v/>
      </c>
      <c r="CI20">
        <f>IF(COUNTIFS(T_StockCount[RM_Code],$A20,T_StockCount[WeekIndex],86)&gt;0,SUMIFS(T_StockCount[CountedQty],T_StockCount[RM_Code],$A20,T_StockCount[WeekIndex],86),IF((COUNTIFS(T_SelfStock[RM_Code],$A20,T_SelfStock[WeekIndex],86)&gt;0)*(COUNTIFS(T_TTAFStock[RM_Code],$A20,T_TTAFStock[WeekIndex],86)&gt;0)&gt;0,SUMIFS(T_SelfStock[Self_Qty],T_SelfStock[RM_Code],$A20,T_SelfStock[WeekIndex],86)+SUMIFS(T_TTAFStock[TTAF_Qty],T_TTAFStock[RM_Code],$A20,T_TTAFStock[WeekIndex],86),CH20+'Grid_Incoming'!CI20-'Grid_Requirement'!CI20))</f>
        <v/>
      </c>
      <c r="CJ20">
        <f>IF(COUNTIFS(T_StockCount[RM_Code],$A20,T_StockCount[WeekIndex],87)&gt;0,SUMIFS(T_StockCount[CountedQty],T_StockCount[RM_Code],$A20,T_StockCount[WeekIndex],87),IF((COUNTIFS(T_SelfStock[RM_Code],$A20,T_SelfStock[WeekIndex],87)&gt;0)*(COUNTIFS(T_TTAFStock[RM_Code],$A20,T_TTAFStock[WeekIndex],87)&gt;0)&gt;0,SUMIFS(T_SelfStock[Self_Qty],T_SelfStock[RM_Code],$A20,T_SelfStock[WeekIndex],87)+SUMIFS(T_TTAFStock[TTAF_Qty],T_TTAFStock[RM_Code],$A20,T_TTAFStock[WeekIndex],87),CI20+'Grid_Incoming'!CJ20-'Grid_Requirement'!CJ20))</f>
        <v/>
      </c>
      <c r="CK20">
        <f>IF(COUNTIFS(T_StockCount[RM_Code],$A20,T_StockCount[WeekIndex],88)&gt;0,SUMIFS(T_StockCount[CountedQty],T_StockCount[RM_Code],$A20,T_StockCount[WeekIndex],88),IF((COUNTIFS(T_SelfStock[RM_Code],$A20,T_SelfStock[WeekIndex],88)&gt;0)*(COUNTIFS(T_TTAFStock[RM_Code],$A20,T_TTAFStock[WeekIndex],88)&gt;0)&gt;0,SUMIFS(T_SelfStock[Self_Qty],T_SelfStock[RM_Code],$A20,T_SelfStock[WeekIndex],88)+SUMIFS(T_TTAFStock[TTAF_Qty],T_TTAFStock[RM_Code],$A20,T_TTAFStock[WeekIndex],88),CJ20+'Grid_Incoming'!CK20-'Grid_Requirement'!CK20))</f>
        <v/>
      </c>
      <c r="CL20">
        <f>IF(COUNTIFS(T_StockCount[RM_Code],$A20,T_StockCount[WeekIndex],89)&gt;0,SUMIFS(T_StockCount[CountedQty],T_StockCount[RM_Code],$A20,T_StockCount[WeekIndex],89),IF((COUNTIFS(T_SelfStock[RM_Code],$A20,T_SelfStock[WeekIndex],89)&gt;0)*(COUNTIFS(T_TTAFStock[RM_Code],$A20,T_TTAFStock[WeekIndex],89)&gt;0)&gt;0,SUMIFS(T_SelfStock[Self_Qty],T_SelfStock[RM_Code],$A20,T_SelfStock[WeekIndex],89)+SUMIFS(T_TTAFStock[TTAF_Qty],T_TTAFStock[RM_Code],$A20,T_TTAFStock[WeekIndex],89),CK20+'Grid_Incoming'!CL20-'Grid_Requirement'!CL20))</f>
        <v/>
      </c>
      <c r="CM20">
        <f>IF(COUNTIFS(T_StockCount[RM_Code],$A20,T_StockCount[WeekIndex],90)&gt;0,SUMIFS(T_StockCount[CountedQty],T_StockCount[RM_Code],$A20,T_StockCount[WeekIndex],90),IF((COUNTIFS(T_SelfStock[RM_Code],$A20,T_SelfStock[WeekIndex],90)&gt;0)*(COUNTIFS(T_TTAFStock[RM_Code],$A20,T_TTAFStock[WeekIndex],90)&gt;0)&gt;0,SUMIFS(T_SelfStock[Self_Qty],T_SelfStock[RM_Code],$A20,T_SelfStock[WeekIndex],90)+SUMIFS(T_TTAFStock[TTAF_Qty],T_TTAFStock[RM_Code],$A20,T_TTAFStock[WeekIndex],90),CL20+'Grid_Incoming'!CM20-'Grid_Requirement'!CM20))</f>
        <v/>
      </c>
      <c r="CN20">
        <f>IF(COUNTIFS(T_StockCount[RM_Code],$A20,T_StockCount[WeekIndex],91)&gt;0,SUMIFS(T_StockCount[CountedQty],T_StockCount[RM_Code],$A20,T_StockCount[WeekIndex],91),IF((COUNTIFS(T_SelfStock[RM_Code],$A20,T_SelfStock[WeekIndex],91)&gt;0)*(COUNTIFS(T_TTAFStock[RM_Code],$A20,T_TTAFStock[WeekIndex],91)&gt;0)&gt;0,SUMIFS(T_SelfStock[Self_Qty],T_SelfStock[RM_Code],$A20,T_SelfStock[WeekIndex],91)+SUMIFS(T_TTAFStock[TTAF_Qty],T_TTAFStock[RM_Code],$A20,T_TTAFStock[WeekIndex],91),CM20+'Grid_Incoming'!CN20-'Grid_Requirement'!CN20))</f>
        <v/>
      </c>
      <c r="CO20">
        <f>IF(COUNTIFS(T_StockCount[RM_Code],$A20,T_StockCount[WeekIndex],92)&gt;0,SUMIFS(T_StockCount[CountedQty],T_StockCount[RM_Code],$A20,T_StockCount[WeekIndex],92),IF((COUNTIFS(T_SelfStock[RM_Code],$A20,T_SelfStock[WeekIndex],92)&gt;0)*(COUNTIFS(T_TTAFStock[RM_Code],$A20,T_TTAFStock[WeekIndex],92)&gt;0)&gt;0,SUMIFS(T_SelfStock[Self_Qty],T_SelfStock[RM_Code],$A20,T_SelfStock[WeekIndex],92)+SUMIFS(T_TTAFStock[TTAF_Qty],T_TTAFStock[RM_Code],$A20,T_TTAFStock[WeekIndex],92),CN20+'Grid_Incoming'!CO20-'Grid_Requirement'!CO20))</f>
        <v/>
      </c>
      <c r="CP20">
        <f>IF(COUNTIFS(T_StockCount[RM_Code],$A20,T_StockCount[WeekIndex],93)&gt;0,SUMIFS(T_StockCount[CountedQty],T_StockCount[RM_Code],$A20,T_StockCount[WeekIndex],93),IF((COUNTIFS(T_SelfStock[RM_Code],$A20,T_SelfStock[WeekIndex],93)&gt;0)*(COUNTIFS(T_TTAFStock[RM_Code],$A20,T_TTAFStock[WeekIndex],93)&gt;0)&gt;0,SUMIFS(T_SelfStock[Self_Qty],T_SelfStock[RM_Code],$A20,T_SelfStock[WeekIndex],93)+SUMIFS(T_TTAFStock[TTAF_Qty],T_TTAFStock[RM_Code],$A20,T_TTAFStock[WeekIndex],93),CO20+'Grid_Incoming'!CP20-'Grid_Requirement'!CP20))</f>
        <v/>
      </c>
      <c r="CQ20">
        <f>IF(COUNTIFS(T_StockCount[RM_Code],$A20,T_StockCount[WeekIndex],94)&gt;0,SUMIFS(T_StockCount[CountedQty],T_StockCount[RM_Code],$A20,T_StockCount[WeekIndex],94),IF((COUNTIFS(T_SelfStock[RM_Code],$A20,T_SelfStock[WeekIndex],94)&gt;0)*(COUNTIFS(T_TTAFStock[RM_Code],$A20,T_TTAFStock[WeekIndex],94)&gt;0)&gt;0,SUMIFS(T_SelfStock[Self_Qty],T_SelfStock[RM_Code],$A20,T_SelfStock[WeekIndex],94)+SUMIFS(T_TTAFStock[TTAF_Qty],T_TTAFStock[RM_Code],$A20,T_TTAFStock[WeekIndex],94),CP20+'Grid_Incoming'!CQ20-'Grid_Requirement'!CQ20))</f>
        <v/>
      </c>
      <c r="CR20">
        <f>IF(COUNTIFS(T_StockCount[RM_Code],$A20,T_StockCount[WeekIndex],95)&gt;0,SUMIFS(T_StockCount[CountedQty],T_StockCount[RM_Code],$A20,T_StockCount[WeekIndex],95),IF((COUNTIFS(T_SelfStock[RM_Code],$A20,T_SelfStock[WeekIndex],95)&gt;0)*(COUNTIFS(T_TTAFStock[RM_Code],$A20,T_TTAFStock[WeekIndex],95)&gt;0)&gt;0,SUMIFS(T_SelfStock[Self_Qty],T_SelfStock[RM_Code],$A20,T_SelfStock[WeekIndex],95)+SUMIFS(T_TTAFStock[TTAF_Qty],T_TTAFStock[RM_Code],$A20,T_TTAFStock[WeekIndex],95),CQ20+'Grid_Incoming'!CR20-'Grid_Requirement'!CR20))</f>
        <v/>
      </c>
      <c r="CS20">
        <f>IF(COUNTIFS(T_StockCount[RM_Code],$A20,T_StockCount[WeekIndex],96)&gt;0,SUMIFS(T_StockCount[CountedQty],T_StockCount[RM_Code],$A20,T_StockCount[WeekIndex],96),IF((COUNTIFS(T_SelfStock[RM_Code],$A20,T_SelfStock[WeekIndex],96)&gt;0)*(COUNTIFS(T_TTAFStock[RM_Code],$A20,T_TTAFStock[WeekIndex],96)&gt;0)&gt;0,SUMIFS(T_SelfStock[Self_Qty],T_SelfStock[RM_Code],$A20,T_SelfStock[WeekIndex],96)+SUMIFS(T_TTAFStock[TTAF_Qty],T_TTAFStock[RM_Code],$A20,T_TTAFStock[WeekIndex],96),CR20+'Grid_Incoming'!CS20-'Grid_Requirement'!CS20))</f>
        <v/>
      </c>
      <c r="CT20">
        <f>IF(COUNTIFS(T_StockCount[RM_Code],$A20,T_StockCount[WeekIndex],97)&gt;0,SUMIFS(T_StockCount[CountedQty],T_StockCount[RM_Code],$A20,T_StockCount[WeekIndex],97),IF((COUNTIFS(T_SelfStock[RM_Code],$A20,T_SelfStock[WeekIndex],97)&gt;0)*(COUNTIFS(T_TTAFStock[RM_Code],$A20,T_TTAFStock[WeekIndex],97)&gt;0)&gt;0,SUMIFS(T_SelfStock[Self_Qty],T_SelfStock[RM_Code],$A20,T_SelfStock[WeekIndex],97)+SUMIFS(T_TTAFStock[TTAF_Qty],T_TTAFStock[RM_Code],$A20,T_TTAFStock[WeekIndex],97),CS20+'Grid_Incoming'!CT20-'Grid_Requirement'!CT20))</f>
        <v/>
      </c>
      <c r="CU20">
        <f>IF(COUNTIFS(T_StockCount[RM_Code],$A20,T_StockCount[WeekIndex],98)&gt;0,SUMIFS(T_StockCount[CountedQty],T_StockCount[RM_Code],$A20,T_StockCount[WeekIndex],98),IF((COUNTIFS(T_SelfStock[RM_Code],$A20,T_SelfStock[WeekIndex],98)&gt;0)*(COUNTIFS(T_TTAFStock[RM_Code],$A20,T_TTAFStock[WeekIndex],98)&gt;0)&gt;0,SUMIFS(T_SelfStock[Self_Qty],T_SelfStock[RM_Code],$A20,T_SelfStock[WeekIndex],98)+SUMIFS(T_TTAFStock[TTAF_Qty],T_TTAFStock[RM_Code],$A20,T_TTAFStock[WeekIndex],98),CT20+'Grid_Incoming'!CU20-'Grid_Requirement'!CU20))</f>
        <v/>
      </c>
      <c r="CV20">
        <f>IF(COUNTIFS(T_StockCount[RM_Code],$A20,T_StockCount[WeekIndex],99)&gt;0,SUMIFS(T_StockCount[CountedQty],T_StockCount[RM_Code],$A20,T_StockCount[WeekIndex],99),IF((COUNTIFS(T_SelfStock[RM_Code],$A20,T_SelfStock[WeekIndex],99)&gt;0)*(COUNTIFS(T_TTAFStock[RM_Code],$A20,T_TTAFStock[WeekIndex],99)&gt;0)&gt;0,SUMIFS(T_SelfStock[Self_Qty],T_SelfStock[RM_Code],$A20,T_SelfStock[WeekIndex],99)+SUMIFS(T_TTAFStock[TTAF_Qty],T_TTAFStock[RM_Code],$A20,T_TTAFStock[WeekIndex],99),CU20+'Grid_Incoming'!CV20-'Grid_Requirement'!CV20))</f>
        <v/>
      </c>
      <c r="CW20">
        <f>IF(COUNTIFS(T_StockCount[RM_Code],$A20,T_StockCount[WeekIndex],100)&gt;0,SUMIFS(T_StockCount[CountedQty],T_StockCount[RM_Code],$A20,T_StockCount[WeekIndex],100),IF((COUNTIFS(T_SelfStock[RM_Code],$A20,T_SelfStock[WeekIndex],100)&gt;0)*(COUNTIFS(T_TTAFStock[RM_Code],$A20,T_TTAFStock[WeekIndex],100)&gt;0)&gt;0,SUMIFS(T_SelfStock[Self_Qty],T_SelfStock[RM_Code],$A20,T_SelfStock[WeekIndex],100)+SUMIFS(T_TTAFStock[TTAF_Qty],T_TTAFStock[RM_Code],$A20,T_TTAFStock[WeekIndex],100),CV20+'Grid_Incoming'!CW20-'Grid_Requirement'!CW20))</f>
        <v/>
      </c>
      <c r="CX20">
        <f>IF(COUNTIFS(T_StockCount[RM_Code],$A20,T_StockCount[WeekIndex],101)&gt;0,SUMIFS(T_StockCount[CountedQty],T_StockCount[RM_Code],$A20,T_StockCount[WeekIndex],101),IF((COUNTIFS(T_SelfStock[RM_Code],$A20,T_SelfStock[WeekIndex],101)&gt;0)*(COUNTIFS(T_TTAFStock[RM_Code],$A20,T_TTAFStock[WeekIndex],101)&gt;0)&gt;0,SUMIFS(T_SelfStock[Self_Qty],T_SelfStock[RM_Code],$A20,T_SelfStock[WeekIndex],101)+SUMIFS(T_TTAFStock[TTAF_Qty],T_TTAFStock[RM_Code],$A20,T_TTAFStock[WeekIndex],101),CW20+'Grid_Incoming'!CX20-'Grid_Requirement'!CX20))</f>
        <v/>
      </c>
      <c r="CY20">
        <f>IF(COUNTIFS(T_StockCount[RM_Code],$A20,T_StockCount[WeekIndex],102)&gt;0,SUMIFS(T_StockCount[CountedQty],T_StockCount[RM_Code],$A20,T_StockCount[WeekIndex],102),IF((COUNTIFS(T_SelfStock[RM_Code],$A20,T_SelfStock[WeekIndex],102)&gt;0)*(COUNTIFS(T_TTAFStock[RM_Code],$A20,T_TTAFStock[WeekIndex],102)&gt;0)&gt;0,SUMIFS(T_SelfStock[Self_Qty],T_SelfStock[RM_Code],$A20,T_SelfStock[WeekIndex],102)+SUMIFS(T_TTAFStock[TTAF_Qty],T_TTAFStock[RM_Code],$A20,T_TTAFStock[WeekIndex],102),CX20+'Grid_Incoming'!CY20-'Grid_Requirement'!CY20))</f>
        <v/>
      </c>
      <c r="CZ20">
        <f>IF(COUNTIFS(T_StockCount[RM_Code],$A20,T_StockCount[WeekIndex],103)&gt;0,SUMIFS(T_StockCount[CountedQty],T_StockCount[RM_Code],$A20,T_StockCount[WeekIndex],103),IF((COUNTIFS(T_SelfStock[RM_Code],$A20,T_SelfStock[WeekIndex],103)&gt;0)*(COUNTIFS(T_TTAFStock[RM_Code],$A20,T_TTAFStock[WeekIndex],103)&gt;0)&gt;0,SUMIFS(T_SelfStock[Self_Qty],T_SelfStock[RM_Code],$A20,T_SelfStock[WeekIndex],103)+SUMIFS(T_TTAFStock[TTAF_Qty],T_TTAFStock[RM_Code],$A20,T_TTAFStock[WeekIndex],103),CY20+'Grid_Incoming'!CZ20-'Grid_Requirement'!CZ20))</f>
        <v/>
      </c>
      <c r="DA20">
        <f>IF(COUNTIFS(T_StockCount[RM_Code],$A20,T_StockCount[WeekIndex],104)&gt;0,SUMIFS(T_StockCount[CountedQty],T_StockCount[RM_Code],$A20,T_StockCount[WeekIndex],104),IF((COUNTIFS(T_SelfStock[RM_Code],$A20,T_SelfStock[WeekIndex],104)&gt;0)*(COUNTIFS(T_TTAFStock[RM_Code],$A20,T_TTAFStock[WeekIndex],104)&gt;0)&gt;0,SUMIFS(T_SelfStock[Self_Qty],T_SelfStock[RM_Code],$A20,T_SelfStock[WeekIndex],104)+SUMIFS(T_TTAFStock[TTAF_Qty],T_TTAFStock[RM_Code],$A20,T_TTAFStock[WeekIndex],104),CZ20+'Grid_Incoming'!DA20-'Grid_Requirement'!DA20))</f>
        <v/>
      </c>
    </row>
    <row r="21">
      <c r="A21" t="inlineStr">
        <is>
          <t>CHEM-1660</t>
        </is>
      </c>
      <c r="B21">
        <f>IF(COUNTIFS(T_StockCount[RM_Code],$A21,T_StockCount[WeekIndex],1)&gt;0,SUMIFS(T_StockCount[CountedQty],T_StockCount[RM_Code],$A21,T_StockCount[WeekIndex],1),IF((COUNTIFS(T_SelfStock[RM_Code],$A21,T_SelfStock[WeekIndex],1)&gt;0)*(COUNTIFS(T_TTAFStock[RM_Code],$A21,T_TTAFStock[WeekIndex],1)&gt;0)&gt;0,SUMIFS(T_SelfStock[Self_Qty],T_SelfStock[RM_Code],$A21,T_SelfStock[WeekIndex],1)+SUMIFS(T_TTAFStock[TTAF_Qty],T_TTAFStock[RM_Code],$A21,T_TTAFStock[WeekIndex],1),IFERROR(INDEX(T_OpeningStock[Opening_Qty],MATCH($A21,T_OpeningStock[RM_Code],0)),0)+'Grid_Incoming'!B21-'Grid_Requirement'!B21))</f>
        <v/>
      </c>
      <c r="C21">
        <f>IF(COUNTIFS(T_StockCount[RM_Code],$A21,T_StockCount[WeekIndex],2)&gt;0,SUMIFS(T_StockCount[CountedQty],T_StockCount[RM_Code],$A21,T_StockCount[WeekIndex],2),IF((COUNTIFS(T_SelfStock[RM_Code],$A21,T_SelfStock[WeekIndex],2)&gt;0)*(COUNTIFS(T_TTAFStock[RM_Code],$A21,T_TTAFStock[WeekIndex],2)&gt;0)&gt;0,SUMIFS(T_SelfStock[Self_Qty],T_SelfStock[RM_Code],$A21,T_SelfStock[WeekIndex],2)+SUMIFS(T_TTAFStock[TTAF_Qty],T_TTAFStock[RM_Code],$A21,T_TTAFStock[WeekIndex],2),B21+'Grid_Incoming'!C21-'Grid_Requirement'!C21))</f>
        <v/>
      </c>
      <c r="D21">
        <f>IF(COUNTIFS(T_StockCount[RM_Code],$A21,T_StockCount[WeekIndex],3)&gt;0,SUMIFS(T_StockCount[CountedQty],T_StockCount[RM_Code],$A21,T_StockCount[WeekIndex],3),IF((COUNTIFS(T_SelfStock[RM_Code],$A21,T_SelfStock[WeekIndex],3)&gt;0)*(COUNTIFS(T_TTAFStock[RM_Code],$A21,T_TTAFStock[WeekIndex],3)&gt;0)&gt;0,SUMIFS(T_SelfStock[Self_Qty],T_SelfStock[RM_Code],$A21,T_SelfStock[WeekIndex],3)+SUMIFS(T_TTAFStock[TTAF_Qty],T_TTAFStock[RM_Code],$A21,T_TTAFStock[WeekIndex],3),C21+'Grid_Incoming'!D21-'Grid_Requirement'!D21))</f>
        <v/>
      </c>
      <c r="E21">
        <f>IF(COUNTIFS(T_StockCount[RM_Code],$A21,T_StockCount[WeekIndex],4)&gt;0,SUMIFS(T_StockCount[CountedQty],T_StockCount[RM_Code],$A21,T_StockCount[WeekIndex],4),IF((COUNTIFS(T_SelfStock[RM_Code],$A21,T_SelfStock[WeekIndex],4)&gt;0)*(COUNTIFS(T_TTAFStock[RM_Code],$A21,T_TTAFStock[WeekIndex],4)&gt;0)&gt;0,SUMIFS(T_SelfStock[Self_Qty],T_SelfStock[RM_Code],$A21,T_SelfStock[WeekIndex],4)+SUMIFS(T_TTAFStock[TTAF_Qty],T_TTAFStock[RM_Code],$A21,T_TTAFStock[WeekIndex],4),D21+'Grid_Incoming'!E21-'Grid_Requirement'!E21))</f>
        <v/>
      </c>
      <c r="F21">
        <f>IF(COUNTIFS(T_StockCount[RM_Code],$A21,T_StockCount[WeekIndex],5)&gt;0,SUMIFS(T_StockCount[CountedQty],T_StockCount[RM_Code],$A21,T_StockCount[WeekIndex],5),IF((COUNTIFS(T_SelfStock[RM_Code],$A21,T_SelfStock[WeekIndex],5)&gt;0)*(COUNTIFS(T_TTAFStock[RM_Code],$A21,T_TTAFStock[WeekIndex],5)&gt;0)&gt;0,SUMIFS(T_SelfStock[Self_Qty],T_SelfStock[RM_Code],$A21,T_SelfStock[WeekIndex],5)+SUMIFS(T_TTAFStock[TTAF_Qty],T_TTAFStock[RM_Code],$A21,T_TTAFStock[WeekIndex],5),E21+'Grid_Incoming'!F21-'Grid_Requirement'!F21))</f>
        <v/>
      </c>
      <c r="G21">
        <f>IF(COUNTIFS(T_StockCount[RM_Code],$A21,T_StockCount[WeekIndex],6)&gt;0,SUMIFS(T_StockCount[CountedQty],T_StockCount[RM_Code],$A21,T_StockCount[WeekIndex],6),IF((COUNTIFS(T_SelfStock[RM_Code],$A21,T_SelfStock[WeekIndex],6)&gt;0)*(COUNTIFS(T_TTAFStock[RM_Code],$A21,T_TTAFStock[WeekIndex],6)&gt;0)&gt;0,SUMIFS(T_SelfStock[Self_Qty],T_SelfStock[RM_Code],$A21,T_SelfStock[WeekIndex],6)+SUMIFS(T_TTAFStock[TTAF_Qty],T_TTAFStock[RM_Code],$A21,T_TTAFStock[WeekIndex],6),F21+'Grid_Incoming'!G21-'Grid_Requirement'!G21))</f>
        <v/>
      </c>
      <c r="H21">
        <f>IF(COUNTIFS(T_StockCount[RM_Code],$A21,T_StockCount[WeekIndex],7)&gt;0,SUMIFS(T_StockCount[CountedQty],T_StockCount[RM_Code],$A21,T_StockCount[WeekIndex],7),IF((COUNTIFS(T_SelfStock[RM_Code],$A21,T_SelfStock[WeekIndex],7)&gt;0)*(COUNTIFS(T_TTAFStock[RM_Code],$A21,T_TTAFStock[WeekIndex],7)&gt;0)&gt;0,SUMIFS(T_SelfStock[Self_Qty],T_SelfStock[RM_Code],$A21,T_SelfStock[WeekIndex],7)+SUMIFS(T_TTAFStock[TTAF_Qty],T_TTAFStock[RM_Code],$A21,T_TTAFStock[WeekIndex],7),G21+'Grid_Incoming'!H21-'Grid_Requirement'!H21))</f>
        <v/>
      </c>
      <c r="I21">
        <f>IF(COUNTIFS(T_StockCount[RM_Code],$A21,T_StockCount[WeekIndex],8)&gt;0,SUMIFS(T_StockCount[CountedQty],T_StockCount[RM_Code],$A21,T_StockCount[WeekIndex],8),IF((COUNTIFS(T_SelfStock[RM_Code],$A21,T_SelfStock[WeekIndex],8)&gt;0)*(COUNTIFS(T_TTAFStock[RM_Code],$A21,T_TTAFStock[WeekIndex],8)&gt;0)&gt;0,SUMIFS(T_SelfStock[Self_Qty],T_SelfStock[RM_Code],$A21,T_SelfStock[WeekIndex],8)+SUMIFS(T_TTAFStock[TTAF_Qty],T_TTAFStock[RM_Code],$A21,T_TTAFStock[WeekIndex],8),H21+'Grid_Incoming'!I21-'Grid_Requirement'!I21))</f>
        <v/>
      </c>
      <c r="J21">
        <f>IF(COUNTIFS(T_StockCount[RM_Code],$A21,T_StockCount[WeekIndex],9)&gt;0,SUMIFS(T_StockCount[CountedQty],T_StockCount[RM_Code],$A21,T_StockCount[WeekIndex],9),IF((COUNTIFS(T_SelfStock[RM_Code],$A21,T_SelfStock[WeekIndex],9)&gt;0)*(COUNTIFS(T_TTAFStock[RM_Code],$A21,T_TTAFStock[WeekIndex],9)&gt;0)&gt;0,SUMIFS(T_SelfStock[Self_Qty],T_SelfStock[RM_Code],$A21,T_SelfStock[WeekIndex],9)+SUMIFS(T_TTAFStock[TTAF_Qty],T_TTAFStock[RM_Code],$A21,T_TTAFStock[WeekIndex],9),I21+'Grid_Incoming'!J21-'Grid_Requirement'!J21))</f>
        <v/>
      </c>
      <c r="K21">
        <f>IF(COUNTIFS(T_StockCount[RM_Code],$A21,T_StockCount[WeekIndex],10)&gt;0,SUMIFS(T_StockCount[CountedQty],T_StockCount[RM_Code],$A21,T_StockCount[WeekIndex],10),IF((COUNTIFS(T_SelfStock[RM_Code],$A21,T_SelfStock[WeekIndex],10)&gt;0)*(COUNTIFS(T_TTAFStock[RM_Code],$A21,T_TTAFStock[WeekIndex],10)&gt;0)&gt;0,SUMIFS(T_SelfStock[Self_Qty],T_SelfStock[RM_Code],$A21,T_SelfStock[WeekIndex],10)+SUMIFS(T_TTAFStock[TTAF_Qty],T_TTAFStock[RM_Code],$A21,T_TTAFStock[WeekIndex],10),J21+'Grid_Incoming'!K21-'Grid_Requirement'!K21))</f>
        <v/>
      </c>
      <c r="L21">
        <f>IF(COUNTIFS(T_StockCount[RM_Code],$A21,T_StockCount[WeekIndex],11)&gt;0,SUMIFS(T_StockCount[CountedQty],T_StockCount[RM_Code],$A21,T_StockCount[WeekIndex],11),IF((COUNTIFS(T_SelfStock[RM_Code],$A21,T_SelfStock[WeekIndex],11)&gt;0)*(COUNTIFS(T_TTAFStock[RM_Code],$A21,T_TTAFStock[WeekIndex],11)&gt;0)&gt;0,SUMIFS(T_SelfStock[Self_Qty],T_SelfStock[RM_Code],$A21,T_SelfStock[WeekIndex],11)+SUMIFS(T_TTAFStock[TTAF_Qty],T_TTAFStock[RM_Code],$A21,T_TTAFStock[WeekIndex],11),K21+'Grid_Incoming'!L21-'Grid_Requirement'!L21))</f>
        <v/>
      </c>
      <c r="M21">
        <f>IF(COUNTIFS(T_StockCount[RM_Code],$A21,T_StockCount[WeekIndex],12)&gt;0,SUMIFS(T_StockCount[CountedQty],T_StockCount[RM_Code],$A21,T_StockCount[WeekIndex],12),IF((COUNTIFS(T_SelfStock[RM_Code],$A21,T_SelfStock[WeekIndex],12)&gt;0)*(COUNTIFS(T_TTAFStock[RM_Code],$A21,T_TTAFStock[WeekIndex],12)&gt;0)&gt;0,SUMIFS(T_SelfStock[Self_Qty],T_SelfStock[RM_Code],$A21,T_SelfStock[WeekIndex],12)+SUMIFS(T_TTAFStock[TTAF_Qty],T_TTAFStock[RM_Code],$A21,T_TTAFStock[WeekIndex],12),L21+'Grid_Incoming'!M21-'Grid_Requirement'!M21))</f>
        <v/>
      </c>
      <c r="N21">
        <f>IF(COUNTIFS(T_StockCount[RM_Code],$A21,T_StockCount[WeekIndex],13)&gt;0,SUMIFS(T_StockCount[CountedQty],T_StockCount[RM_Code],$A21,T_StockCount[WeekIndex],13),IF((COUNTIFS(T_SelfStock[RM_Code],$A21,T_SelfStock[WeekIndex],13)&gt;0)*(COUNTIFS(T_TTAFStock[RM_Code],$A21,T_TTAFStock[WeekIndex],13)&gt;0)&gt;0,SUMIFS(T_SelfStock[Self_Qty],T_SelfStock[RM_Code],$A21,T_SelfStock[WeekIndex],13)+SUMIFS(T_TTAFStock[TTAF_Qty],T_TTAFStock[RM_Code],$A21,T_TTAFStock[WeekIndex],13),M21+'Grid_Incoming'!N21-'Grid_Requirement'!N21))</f>
        <v/>
      </c>
      <c r="O21">
        <f>IF(COUNTIFS(T_StockCount[RM_Code],$A21,T_StockCount[WeekIndex],14)&gt;0,SUMIFS(T_StockCount[CountedQty],T_StockCount[RM_Code],$A21,T_StockCount[WeekIndex],14),IF((COUNTIFS(T_SelfStock[RM_Code],$A21,T_SelfStock[WeekIndex],14)&gt;0)*(COUNTIFS(T_TTAFStock[RM_Code],$A21,T_TTAFStock[WeekIndex],14)&gt;0)&gt;0,SUMIFS(T_SelfStock[Self_Qty],T_SelfStock[RM_Code],$A21,T_SelfStock[WeekIndex],14)+SUMIFS(T_TTAFStock[TTAF_Qty],T_TTAFStock[RM_Code],$A21,T_TTAFStock[WeekIndex],14),N21+'Grid_Incoming'!O21-'Grid_Requirement'!O21))</f>
        <v/>
      </c>
      <c r="P21">
        <f>IF(COUNTIFS(T_StockCount[RM_Code],$A21,T_StockCount[WeekIndex],15)&gt;0,SUMIFS(T_StockCount[CountedQty],T_StockCount[RM_Code],$A21,T_StockCount[WeekIndex],15),IF((COUNTIFS(T_SelfStock[RM_Code],$A21,T_SelfStock[WeekIndex],15)&gt;0)*(COUNTIFS(T_TTAFStock[RM_Code],$A21,T_TTAFStock[WeekIndex],15)&gt;0)&gt;0,SUMIFS(T_SelfStock[Self_Qty],T_SelfStock[RM_Code],$A21,T_SelfStock[WeekIndex],15)+SUMIFS(T_TTAFStock[TTAF_Qty],T_TTAFStock[RM_Code],$A21,T_TTAFStock[WeekIndex],15),O21+'Grid_Incoming'!P21-'Grid_Requirement'!P21))</f>
        <v/>
      </c>
      <c r="Q21">
        <f>IF(COUNTIFS(T_StockCount[RM_Code],$A21,T_StockCount[WeekIndex],16)&gt;0,SUMIFS(T_StockCount[CountedQty],T_StockCount[RM_Code],$A21,T_StockCount[WeekIndex],16),IF((COUNTIFS(T_SelfStock[RM_Code],$A21,T_SelfStock[WeekIndex],16)&gt;0)*(COUNTIFS(T_TTAFStock[RM_Code],$A21,T_TTAFStock[WeekIndex],16)&gt;0)&gt;0,SUMIFS(T_SelfStock[Self_Qty],T_SelfStock[RM_Code],$A21,T_SelfStock[WeekIndex],16)+SUMIFS(T_TTAFStock[TTAF_Qty],T_TTAFStock[RM_Code],$A21,T_TTAFStock[WeekIndex],16),P21+'Grid_Incoming'!Q21-'Grid_Requirement'!Q21))</f>
        <v/>
      </c>
      <c r="R21">
        <f>IF(COUNTIFS(T_StockCount[RM_Code],$A21,T_StockCount[WeekIndex],17)&gt;0,SUMIFS(T_StockCount[CountedQty],T_StockCount[RM_Code],$A21,T_StockCount[WeekIndex],17),IF((COUNTIFS(T_SelfStock[RM_Code],$A21,T_SelfStock[WeekIndex],17)&gt;0)*(COUNTIFS(T_TTAFStock[RM_Code],$A21,T_TTAFStock[WeekIndex],17)&gt;0)&gt;0,SUMIFS(T_SelfStock[Self_Qty],T_SelfStock[RM_Code],$A21,T_SelfStock[WeekIndex],17)+SUMIFS(T_TTAFStock[TTAF_Qty],T_TTAFStock[RM_Code],$A21,T_TTAFStock[WeekIndex],17),Q21+'Grid_Incoming'!R21-'Grid_Requirement'!R21))</f>
        <v/>
      </c>
      <c r="S21">
        <f>IF(COUNTIFS(T_StockCount[RM_Code],$A21,T_StockCount[WeekIndex],18)&gt;0,SUMIFS(T_StockCount[CountedQty],T_StockCount[RM_Code],$A21,T_StockCount[WeekIndex],18),IF((COUNTIFS(T_SelfStock[RM_Code],$A21,T_SelfStock[WeekIndex],18)&gt;0)*(COUNTIFS(T_TTAFStock[RM_Code],$A21,T_TTAFStock[WeekIndex],18)&gt;0)&gt;0,SUMIFS(T_SelfStock[Self_Qty],T_SelfStock[RM_Code],$A21,T_SelfStock[WeekIndex],18)+SUMIFS(T_TTAFStock[TTAF_Qty],T_TTAFStock[RM_Code],$A21,T_TTAFStock[WeekIndex],18),R21+'Grid_Incoming'!S21-'Grid_Requirement'!S21))</f>
        <v/>
      </c>
      <c r="T21">
        <f>IF(COUNTIFS(T_StockCount[RM_Code],$A21,T_StockCount[WeekIndex],19)&gt;0,SUMIFS(T_StockCount[CountedQty],T_StockCount[RM_Code],$A21,T_StockCount[WeekIndex],19),IF((COUNTIFS(T_SelfStock[RM_Code],$A21,T_SelfStock[WeekIndex],19)&gt;0)*(COUNTIFS(T_TTAFStock[RM_Code],$A21,T_TTAFStock[WeekIndex],19)&gt;0)&gt;0,SUMIFS(T_SelfStock[Self_Qty],T_SelfStock[RM_Code],$A21,T_SelfStock[WeekIndex],19)+SUMIFS(T_TTAFStock[TTAF_Qty],T_TTAFStock[RM_Code],$A21,T_TTAFStock[WeekIndex],19),S21+'Grid_Incoming'!T21-'Grid_Requirement'!T21))</f>
        <v/>
      </c>
      <c r="U21">
        <f>IF(COUNTIFS(T_StockCount[RM_Code],$A21,T_StockCount[WeekIndex],20)&gt;0,SUMIFS(T_StockCount[CountedQty],T_StockCount[RM_Code],$A21,T_StockCount[WeekIndex],20),IF((COUNTIFS(T_SelfStock[RM_Code],$A21,T_SelfStock[WeekIndex],20)&gt;0)*(COUNTIFS(T_TTAFStock[RM_Code],$A21,T_TTAFStock[WeekIndex],20)&gt;0)&gt;0,SUMIFS(T_SelfStock[Self_Qty],T_SelfStock[RM_Code],$A21,T_SelfStock[WeekIndex],20)+SUMIFS(T_TTAFStock[TTAF_Qty],T_TTAFStock[RM_Code],$A21,T_TTAFStock[WeekIndex],20),T21+'Grid_Incoming'!U21-'Grid_Requirement'!U21))</f>
        <v/>
      </c>
      <c r="V21">
        <f>IF(COUNTIFS(T_StockCount[RM_Code],$A21,T_StockCount[WeekIndex],21)&gt;0,SUMIFS(T_StockCount[CountedQty],T_StockCount[RM_Code],$A21,T_StockCount[WeekIndex],21),IF((COUNTIFS(T_SelfStock[RM_Code],$A21,T_SelfStock[WeekIndex],21)&gt;0)*(COUNTIFS(T_TTAFStock[RM_Code],$A21,T_TTAFStock[WeekIndex],21)&gt;0)&gt;0,SUMIFS(T_SelfStock[Self_Qty],T_SelfStock[RM_Code],$A21,T_SelfStock[WeekIndex],21)+SUMIFS(T_TTAFStock[TTAF_Qty],T_TTAFStock[RM_Code],$A21,T_TTAFStock[WeekIndex],21),U21+'Grid_Incoming'!V21-'Grid_Requirement'!V21))</f>
        <v/>
      </c>
      <c r="W21">
        <f>IF(COUNTIFS(T_StockCount[RM_Code],$A21,T_StockCount[WeekIndex],22)&gt;0,SUMIFS(T_StockCount[CountedQty],T_StockCount[RM_Code],$A21,T_StockCount[WeekIndex],22),IF((COUNTIFS(T_SelfStock[RM_Code],$A21,T_SelfStock[WeekIndex],22)&gt;0)*(COUNTIFS(T_TTAFStock[RM_Code],$A21,T_TTAFStock[WeekIndex],22)&gt;0)&gt;0,SUMIFS(T_SelfStock[Self_Qty],T_SelfStock[RM_Code],$A21,T_SelfStock[WeekIndex],22)+SUMIFS(T_TTAFStock[TTAF_Qty],T_TTAFStock[RM_Code],$A21,T_TTAFStock[WeekIndex],22),V21+'Grid_Incoming'!W21-'Grid_Requirement'!W21))</f>
        <v/>
      </c>
      <c r="X21">
        <f>IF(COUNTIFS(T_StockCount[RM_Code],$A21,T_StockCount[WeekIndex],23)&gt;0,SUMIFS(T_StockCount[CountedQty],T_StockCount[RM_Code],$A21,T_StockCount[WeekIndex],23),IF((COUNTIFS(T_SelfStock[RM_Code],$A21,T_SelfStock[WeekIndex],23)&gt;0)*(COUNTIFS(T_TTAFStock[RM_Code],$A21,T_TTAFStock[WeekIndex],23)&gt;0)&gt;0,SUMIFS(T_SelfStock[Self_Qty],T_SelfStock[RM_Code],$A21,T_SelfStock[WeekIndex],23)+SUMIFS(T_TTAFStock[TTAF_Qty],T_TTAFStock[RM_Code],$A21,T_TTAFStock[WeekIndex],23),W21+'Grid_Incoming'!X21-'Grid_Requirement'!X21))</f>
        <v/>
      </c>
      <c r="Y21">
        <f>IF(COUNTIFS(T_StockCount[RM_Code],$A21,T_StockCount[WeekIndex],24)&gt;0,SUMIFS(T_StockCount[CountedQty],T_StockCount[RM_Code],$A21,T_StockCount[WeekIndex],24),IF((COUNTIFS(T_SelfStock[RM_Code],$A21,T_SelfStock[WeekIndex],24)&gt;0)*(COUNTIFS(T_TTAFStock[RM_Code],$A21,T_TTAFStock[WeekIndex],24)&gt;0)&gt;0,SUMIFS(T_SelfStock[Self_Qty],T_SelfStock[RM_Code],$A21,T_SelfStock[WeekIndex],24)+SUMIFS(T_TTAFStock[TTAF_Qty],T_TTAFStock[RM_Code],$A21,T_TTAFStock[WeekIndex],24),X21+'Grid_Incoming'!Y21-'Grid_Requirement'!Y21))</f>
        <v/>
      </c>
      <c r="Z21">
        <f>IF(COUNTIFS(T_StockCount[RM_Code],$A21,T_StockCount[WeekIndex],25)&gt;0,SUMIFS(T_StockCount[CountedQty],T_StockCount[RM_Code],$A21,T_StockCount[WeekIndex],25),IF((COUNTIFS(T_SelfStock[RM_Code],$A21,T_SelfStock[WeekIndex],25)&gt;0)*(COUNTIFS(T_TTAFStock[RM_Code],$A21,T_TTAFStock[WeekIndex],25)&gt;0)&gt;0,SUMIFS(T_SelfStock[Self_Qty],T_SelfStock[RM_Code],$A21,T_SelfStock[WeekIndex],25)+SUMIFS(T_TTAFStock[TTAF_Qty],T_TTAFStock[RM_Code],$A21,T_TTAFStock[WeekIndex],25),Y21+'Grid_Incoming'!Z21-'Grid_Requirement'!Z21))</f>
        <v/>
      </c>
      <c r="AA21">
        <f>IF(COUNTIFS(T_StockCount[RM_Code],$A21,T_StockCount[WeekIndex],26)&gt;0,SUMIFS(T_StockCount[CountedQty],T_StockCount[RM_Code],$A21,T_StockCount[WeekIndex],26),IF((COUNTIFS(T_SelfStock[RM_Code],$A21,T_SelfStock[WeekIndex],26)&gt;0)*(COUNTIFS(T_TTAFStock[RM_Code],$A21,T_TTAFStock[WeekIndex],26)&gt;0)&gt;0,SUMIFS(T_SelfStock[Self_Qty],T_SelfStock[RM_Code],$A21,T_SelfStock[WeekIndex],26)+SUMIFS(T_TTAFStock[TTAF_Qty],T_TTAFStock[RM_Code],$A21,T_TTAFStock[WeekIndex],26),Z21+'Grid_Incoming'!AA21-'Grid_Requirement'!AA21))</f>
        <v/>
      </c>
      <c r="AB21">
        <f>IF(COUNTIFS(T_StockCount[RM_Code],$A21,T_StockCount[WeekIndex],27)&gt;0,SUMIFS(T_StockCount[CountedQty],T_StockCount[RM_Code],$A21,T_StockCount[WeekIndex],27),IF((COUNTIFS(T_SelfStock[RM_Code],$A21,T_SelfStock[WeekIndex],27)&gt;0)*(COUNTIFS(T_TTAFStock[RM_Code],$A21,T_TTAFStock[WeekIndex],27)&gt;0)&gt;0,SUMIFS(T_SelfStock[Self_Qty],T_SelfStock[RM_Code],$A21,T_SelfStock[WeekIndex],27)+SUMIFS(T_TTAFStock[TTAF_Qty],T_TTAFStock[RM_Code],$A21,T_TTAFStock[WeekIndex],27),AA21+'Grid_Incoming'!AB21-'Grid_Requirement'!AB21))</f>
        <v/>
      </c>
      <c r="AC21">
        <f>IF(COUNTIFS(T_StockCount[RM_Code],$A21,T_StockCount[WeekIndex],28)&gt;0,SUMIFS(T_StockCount[CountedQty],T_StockCount[RM_Code],$A21,T_StockCount[WeekIndex],28),IF((COUNTIFS(T_SelfStock[RM_Code],$A21,T_SelfStock[WeekIndex],28)&gt;0)*(COUNTIFS(T_TTAFStock[RM_Code],$A21,T_TTAFStock[WeekIndex],28)&gt;0)&gt;0,SUMIFS(T_SelfStock[Self_Qty],T_SelfStock[RM_Code],$A21,T_SelfStock[WeekIndex],28)+SUMIFS(T_TTAFStock[TTAF_Qty],T_TTAFStock[RM_Code],$A21,T_TTAFStock[WeekIndex],28),AB21+'Grid_Incoming'!AC21-'Grid_Requirement'!AC21))</f>
        <v/>
      </c>
      <c r="AD21">
        <f>IF(COUNTIFS(T_StockCount[RM_Code],$A21,T_StockCount[WeekIndex],29)&gt;0,SUMIFS(T_StockCount[CountedQty],T_StockCount[RM_Code],$A21,T_StockCount[WeekIndex],29),IF((COUNTIFS(T_SelfStock[RM_Code],$A21,T_SelfStock[WeekIndex],29)&gt;0)*(COUNTIFS(T_TTAFStock[RM_Code],$A21,T_TTAFStock[WeekIndex],29)&gt;0)&gt;0,SUMIFS(T_SelfStock[Self_Qty],T_SelfStock[RM_Code],$A21,T_SelfStock[WeekIndex],29)+SUMIFS(T_TTAFStock[TTAF_Qty],T_TTAFStock[RM_Code],$A21,T_TTAFStock[WeekIndex],29),AC21+'Grid_Incoming'!AD21-'Grid_Requirement'!AD21))</f>
        <v/>
      </c>
      <c r="AE21">
        <f>IF(COUNTIFS(T_StockCount[RM_Code],$A21,T_StockCount[WeekIndex],30)&gt;0,SUMIFS(T_StockCount[CountedQty],T_StockCount[RM_Code],$A21,T_StockCount[WeekIndex],30),IF((COUNTIFS(T_SelfStock[RM_Code],$A21,T_SelfStock[WeekIndex],30)&gt;0)*(COUNTIFS(T_TTAFStock[RM_Code],$A21,T_TTAFStock[WeekIndex],30)&gt;0)&gt;0,SUMIFS(T_SelfStock[Self_Qty],T_SelfStock[RM_Code],$A21,T_SelfStock[WeekIndex],30)+SUMIFS(T_TTAFStock[TTAF_Qty],T_TTAFStock[RM_Code],$A21,T_TTAFStock[WeekIndex],30),AD21+'Grid_Incoming'!AE21-'Grid_Requirement'!AE21))</f>
        <v/>
      </c>
      <c r="AF21">
        <f>IF(COUNTIFS(T_StockCount[RM_Code],$A21,T_StockCount[WeekIndex],31)&gt;0,SUMIFS(T_StockCount[CountedQty],T_StockCount[RM_Code],$A21,T_StockCount[WeekIndex],31),IF((COUNTIFS(T_SelfStock[RM_Code],$A21,T_SelfStock[WeekIndex],31)&gt;0)*(COUNTIFS(T_TTAFStock[RM_Code],$A21,T_TTAFStock[WeekIndex],31)&gt;0)&gt;0,SUMIFS(T_SelfStock[Self_Qty],T_SelfStock[RM_Code],$A21,T_SelfStock[WeekIndex],31)+SUMIFS(T_TTAFStock[TTAF_Qty],T_TTAFStock[RM_Code],$A21,T_TTAFStock[WeekIndex],31),AE21+'Grid_Incoming'!AF21-'Grid_Requirement'!AF21))</f>
        <v/>
      </c>
      <c r="AG21">
        <f>IF(COUNTIFS(T_StockCount[RM_Code],$A21,T_StockCount[WeekIndex],32)&gt;0,SUMIFS(T_StockCount[CountedQty],T_StockCount[RM_Code],$A21,T_StockCount[WeekIndex],32),IF((COUNTIFS(T_SelfStock[RM_Code],$A21,T_SelfStock[WeekIndex],32)&gt;0)*(COUNTIFS(T_TTAFStock[RM_Code],$A21,T_TTAFStock[WeekIndex],32)&gt;0)&gt;0,SUMIFS(T_SelfStock[Self_Qty],T_SelfStock[RM_Code],$A21,T_SelfStock[WeekIndex],32)+SUMIFS(T_TTAFStock[TTAF_Qty],T_TTAFStock[RM_Code],$A21,T_TTAFStock[WeekIndex],32),AF21+'Grid_Incoming'!AG21-'Grid_Requirement'!AG21))</f>
        <v/>
      </c>
      <c r="AH21">
        <f>IF(COUNTIFS(T_StockCount[RM_Code],$A21,T_StockCount[WeekIndex],33)&gt;0,SUMIFS(T_StockCount[CountedQty],T_StockCount[RM_Code],$A21,T_StockCount[WeekIndex],33),IF((COUNTIFS(T_SelfStock[RM_Code],$A21,T_SelfStock[WeekIndex],33)&gt;0)*(COUNTIFS(T_TTAFStock[RM_Code],$A21,T_TTAFStock[WeekIndex],33)&gt;0)&gt;0,SUMIFS(T_SelfStock[Self_Qty],T_SelfStock[RM_Code],$A21,T_SelfStock[WeekIndex],33)+SUMIFS(T_TTAFStock[TTAF_Qty],T_TTAFStock[RM_Code],$A21,T_TTAFStock[WeekIndex],33),AG21+'Grid_Incoming'!AH21-'Grid_Requirement'!AH21))</f>
        <v/>
      </c>
      <c r="AI21">
        <f>IF(COUNTIFS(T_StockCount[RM_Code],$A21,T_StockCount[WeekIndex],34)&gt;0,SUMIFS(T_StockCount[CountedQty],T_StockCount[RM_Code],$A21,T_StockCount[WeekIndex],34),IF((COUNTIFS(T_SelfStock[RM_Code],$A21,T_SelfStock[WeekIndex],34)&gt;0)*(COUNTIFS(T_TTAFStock[RM_Code],$A21,T_TTAFStock[WeekIndex],34)&gt;0)&gt;0,SUMIFS(T_SelfStock[Self_Qty],T_SelfStock[RM_Code],$A21,T_SelfStock[WeekIndex],34)+SUMIFS(T_TTAFStock[TTAF_Qty],T_TTAFStock[RM_Code],$A21,T_TTAFStock[WeekIndex],34),AH21+'Grid_Incoming'!AI21-'Grid_Requirement'!AI21))</f>
        <v/>
      </c>
      <c r="AJ21">
        <f>IF(COUNTIFS(T_StockCount[RM_Code],$A21,T_StockCount[WeekIndex],35)&gt;0,SUMIFS(T_StockCount[CountedQty],T_StockCount[RM_Code],$A21,T_StockCount[WeekIndex],35),IF((COUNTIFS(T_SelfStock[RM_Code],$A21,T_SelfStock[WeekIndex],35)&gt;0)*(COUNTIFS(T_TTAFStock[RM_Code],$A21,T_TTAFStock[WeekIndex],35)&gt;0)&gt;0,SUMIFS(T_SelfStock[Self_Qty],T_SelfStock[RM_Code],$A21,T_SelfStock[WeekIndex],35)+SUMIFS(T_TTAFStock[TTAF_Qty],T_TTAFStock[RM_Code],$A21,T_TTAFStock[WeekIndex],35),AI21+'Grid_Incoming'!AJ21-'Grid_Requirement'!AJ21))</f>
        <v/>
      </c>
      <c r="AK21">
        <f>IF(COUNTIFS(T_StockCount[RM_Code],$A21,T_StockCount[WeekIndex],36)&gt;0,SUMIFS(T_StockCount[CountedQty],T_StockCount[RM_Code],$A21,T_StockCount[WeekIndex],36),IF((COUNTIFS(T_SelfStock[RM_Code],$A21,T_SelfStock[WeekIndex],36)&gt;0)*(COUNTIFS(T_TTAFStock[RM_Code],$A21,T_TTAFStock[WeekIndex],36)&gt;0)&gt;0,SUMIFS(T_SelfStock[Self_Qty],T_SelfStock[RM_Code],$A21,T_SelfStock[WeekIndex],36)+SUMIFS(T_TTAFStock[TTAF_Qty],T_TTAFStock[RM_Code],$A21,T_TTAFStock[WeekIndex],36),AJ21+'Grid_Incoming'!AK21-'Grid_Requirement'!AK21))</f>
        <v/>
      </c>
      <c r="AL21">
        <f>IF(COUNTIFS(T_StockCount[RM_Code],$A21,T_StockCount[WeekIndex],37)&gt;0,SUMIFS(T_StockCount[CountedQty],T_StockCount[RM_Code],$A21,T_StockCount[WeekIndex],37),IF((COUNTIFS(T_SelfStock[RM_Code],$A21,T_SelfStock[WeekIndex],37)&gt;0)*(COUNTIFS(T_TTAFStock[RM_Code],$A21,T_TTAFStock[WeekIndex],37)&gt;0)&gt;0,SUMIFS(T_SelfStock[Self_Qty],T_SelfStock[RM_Code],$A21,T_SelfStock[WeekIndex],37)+SUMIFS(T_TTAFStock[TTAF_Qty],T_TTAFStock[RM_Code],$A21,T_TTAFStock[WeekIndex],37),AK21+'Grid_Incoming'!AL21-'Grid_Requirement'!AL21))</f>
        <v/>
      </c>
      <c r="AM21">
        <f>IF(COUNTIFS(T_StockCount[RM_Code],$A21,T_StockCount[WeekIndex],38)&gt;0,SUMIFS(T_StockCount[CountedQty],T_StockCount[RM_Code],$A21,T_StockCount[WeekIndex],38),IF((COUNTIFS(T_SelfStock[RM_Code],$A21,T_SelfStock[WeekIndex],38)&gt;0)*(COUNTIFS(T_TTAFStock[RM_Code],$A21,T_TTAFStock[WeekIndex],38)&gt;0)&gt;0,SUMIFS(T_SelfStock[Self_Qty],T_SelfStock[RM_Code],$A21,T_SelfStock[WeekIndex],38)+SUMIFS(T_TTAFStock[TTAF_Qty],T_TTAFStock[RM_Code],$A21,T_TTAFStock[WeekIndex],38),AL21+'Grid_Incoming'!AM21-'Grid_Requirement'!AM21))</f>
        <v/>
      </c>
      <c r="AN21">
        <f>IF(COUNTIFS(T_StockCount[RM_Code],$A21,T_StockCount[WeekIndex],39)&gt;0,SUMIFS(T_StockCount[CountedQty],T_StockCount[RM_Code],$A21,T_StockCount[WeekIndex],39),IF((COUNTIFS(T_SelfStock[RM_Code],$A21,T_SelfStock[WeekIndex],39)&gt;0)*(COUNTIFS(T_TTAFStock[RM_Code],$A21,T_TTAFStock[WeekIndex],39)&gt;0)&gt;0,SUMIFS(T_SelfStock[Self_Qty],T_SelfStock[RM_Code],$A21,T_SelfStock[WeekIndex],39)+SUMIFS(T_TTAFStock[TTAF_Qty],T_TTAFStock[RM_Code],$A21,T_TTAFStock[WeekIndex],39),AM21+'Grid_Incoming'!AN21-'Grid_Requirement'!AN21))</f>
        <v/>
      </c>
      <c r="AO21">
        <f>IF(COUNTIFS(T_StockCount[RM_Code],$A21,T_StockCount[WeekIndex],40)&gt;0,SUMIFS(T_StockCount[CountedQty],T_StockCount[RM_Code],$A21,T_StockCount[WeekIndex],40),IF((COUNTIFS(T_SelfStock[RM_Code],$A21,T_SelfStock[WeekIndex],40)&gt;0)*(COUNTIFS(T_TTAFStock[RM_Code],$A21,T_TTAFStock[WeekIndex],40)&gt;0)&gt;0,SUMIFS(T_SelfStock[Self_Qty],T_SelfStock[RM_Code],$A21,T_SelfStock[WeekIndex],40)+SUMIFS(T_TTAFStock[TTAF_Qty],T_TTAFStock[RM_Code],$A21,T_TTAFStock[WeekIndex],40),AN21+'Grid_Incoming'!AO21-'Grid_Requirement'!AO21))</f>
        <v/>
      </c>
      <c r="AP21">
        <f>IF(COUNTIFS(T_StockCount[RM_Code],$A21,T_StockCount[WeekIndex],41)&gt;0,SUMIFS(T_StockCount[CountedQty],T_StockCount[RM_Code],$A21,T_StockCount[WeekIndex],41),IF((COUNTIFS(T_SelfStock[RM_Code],$A21,T_SelfStock[WeekIndex],41)&gt;0)*(COUNTIFS(T_TTAFStock[RM_Code],$A21,T_TTAFStock[WeekIndex],41)&gt;0)&gt;0,SUMIFS(T_SelfStock[Self_Qty],T_SelfStock[RM_Code],$A21,T_SelfStock[WeekIndex],41)+SUMIFS(T_TTAFStock[TTAF_Qty],T_TTAFStock[RM_Code],$A21,T_TTAFStock[WeekIndex],41),AO21+'Grid_Incoming'!AP21-'Grid_Requirement'!AP21))</f>
        <v/>
      </c>
      <c r="AQ21">
        <f>IF(COUNTIFS(T_StockCount[RM_Code],$A21,T_StockCount[WeekIndex],42)&gt;0,SUMIFS(T_StockCount[CountedQty],T_StockCount[RM_Code],$A21,T_StockCount[WeekIndex],42),IF((COUNTIFS(T_SelfStock[RM_Code],$A21,T_SelfStock[WeekIndex],42)&gt;0)*(COUNTIFS(T_TTAFStock[RM_Code],$A21,T_TTAFStock[WeekIndex],42)&gt;0)&gt;0,SUMIFS(T_SelfStock[Self_Qty],T_SelfStock[RM_Code],$A21,T_SelfStock[WeekIndex],42)+SUMIFS(T_TTAFStock[TTAF_Qty],T_TTAFStock[RM_Code],$A21,T_TTAFStock[WeekIndex],42),AP21+'Grid_Incoming'!AQ21-'Grid_Requirement'!AQ21))</f>
        <v/>
      </c>
      <c r="AR21">
        <f>IF(COUNTIFS(T_StockCount[RM_Code],$A21,T_StockCount[WeekIndex],43)&gt;0,SUMIFS(T_StockCount[CountedQty],T_StockCount[RM_Code],$A21,T_StockCount[WeekIndex],43),IF((COUNTIFS(T_SelfStock[RM_Code],$A21,T_SelfStock[WeekIndex],43)&gt;0)*(COUNTIFS(T_TTAFStock[RM_Code],$A21,T_TTAFStock[WeekIndex],43)&gt;0)&gt;0,SUMIFS(T_SelfStock[Self_Qty],T_SelfStock[RM_Code],$A21,T_SelfStock[WeekIndex],43)+SUMIFS(T_TTAFStock[TTAF_Qty],T_TTAFStock[RM_Code],$A21,T_TTAFStock[WeekIndex],43),AQ21+'Grid_Incoming'!AR21-'Grid_Requirement'!AR21))</f>
        <v/>
      </c>
      <c r="AS21">
        <f>IF(COUNTIFS(T_StockCount[RM_Code],$A21,T_StockCount[WeekIndex],44)&gt;0,SUMIFS(T_StockCount[CountedQty],T_StockCount[RM_Code],$A21,T_StockCount[WeekIndex],44),IF((COUNTIFS(T_SelfStock[RM_Code],$A21,T_SelfStock[WeekIndex],44)&gt;0)*(COUNTIFS(T_TTAFStock[RM_Code],$A21,T_TTAFStock[WeekIndex],44)&gt;0)&gt;0,SUMIFS(T_SelfStock[Self_Qty],T_SelfStock[RM_Code],$A21,T_SelfStock[WeekIndex],44)+SUMIFS(T_TTAFStock[TTAF_Qty],T_TTAFStock[RM_Code],$A21,T_TTAFStock[WeekIndex],44),AR21+'Grid_Incoming'!AS21-'Grid_Requirement'!AS21))</f>
        <v/>
      </c>
      <c r="AT21">
        <f>IF(COUNTIFS(T_StockCount[RM_Code],$A21,T_StockCount[WeekIndex],45)&gt;0,SUMIFS(T_StockCount[CountedQty],T_StockCount[RM_Code],$A21,T_StockCount[WeekIndex],45),IF((COUNTIFS(T_SelfStock[RM_Code],$A21,T_SelfStock[WeekIndex],45)&gt;0)*(COUNTIFS(T_TTAFStock[RM_Code],$A21,T_TTAFStock[WeekIndex],45)&gt;0)&gt;0,SUMIFS(T_SelfStock[Self_Qty],T_SelfStock[RM_Code],$A21,T_SelfStock[WeekIndex],45)+SUMIFS(T_TTAFStock[TTAF_Qty],T_TTAFStock[RM_Code],$A21,T_TTAFStock[WeekIndex],45),AS21+'Grid_Incoming'!AT21-'Grid_Requirement'!AT21))</f>
        <v/>
      </c>
      <c r="AU21">
        <f>IF(COUNTIFS(T_StockCount[RM_Code],$A21,T_StockCount[WeekIndex],46)&gt;0,SUMIFS(T_StockCount[CountedQty],T_StockCount[RM_Code],$A21,T_StockCount[WeekIndex],46),IF((COUNTIFS(T_SelfStock[RM_Code],$A21,T_SelfStock[WeekIndex],46)&gt;0)*(COUNTIFS(T_TTAFStock[RM_Code],$A21,T_TTAFStock[WeekIndex],46)&gt;0)&gt;0,SUMIFS(T_SelfStock[Self_Qty],T_SelfStock[RM_Code],$A21,T_SelfStock[WeekIndex],46)+SUMIFS(T_TTAFStock[TTAF_Qty],T_TTAFStock[RM_Code],$A21,T_TTAFStock[WeekIndex],46),AT21+'Grid_Incoming'!AU21-'Grid_Requirement'!AU21))</f>
        <v/>
      </c>
      <c r="AV21">
        <f>IF(COUNTIFS(T_StockCount[RM_Code],$A21,T_StockCount[WeekIndex],47)&gt;0,SUMIFS(T_StockCount[CountedQty],T_StockCount[RM_Code],$A21,T_StockCount[WeekIndex],47),IF((COUNTIFS(T_SelfStock[RM_Code],$A21,T_SelfStock[WeekIndex],47)&gt;0)*(COUNTIFS(T_TTAFStock[RM_Code],$A21,T_TTAFStock[WeekIndex],47)&gt;0)&gt;0,SUMIFS(T_SelfStock[Self_Qty],T_SelfStock[RM_Code],$A21,T_SelfStock[WeekIndex],47)+SUMIFS(T_TTAFStock[TTAF_Qty],T_TTAFStock[RM_Code],$A21,T_TTAFStock[WeekIndex],47),AU21+'Grid_Incoming'!AV21-'Grid_Requirement'!AV21))</f>
        <v/>
      </c>
      <c r="AW21">
        <f>IF(COUNTIFS(T_StockCount[RM_Code],$A21,T_StockCount[WeekIndex],48)&gt;0,SUMIFS(T_StockCount[CountedQty],T_StockCount[RM_Code],$A21,T_StockCount[WeekIndex],48),IF((COUNTIFS(T_SelfStock[RM_Code],$A21,T_SelfStock[WeekIndex],48)&gt;0)*(COUNTIFS(T_TTAFStock[RM_Code],$A21,T_TTAFStock[WeekIndex],48)&gt;0)&gt;0,SUMIFS(T_SelfStock[Self_Qty],T_SelfStock[RM_Code],$A21,T_SelfStock[WeekIndex],48)+SUMIFS(T_TTAFStock[TTAF_Qty],T_TTAFStock[RM_Code],$A21,T_TTAFStock[WeekIndex],48),AV21+'Grid_Incoming'!AW21-'Grid_Requirement'!AW21))</f>
        <v/>
      </c>
      <c r="AX21">
        <f>IF(COUNTIFS(T_StockCount[RM_Code],$A21,T_StockCount[WeekIndex],49)&gt;0,SUMIFS(T_StockCount[CountedQty],T_StockCount[RM_Code],$A21,T_StockCount[WeekIndex],49),IF((COUNTIFS(T_SelfStock[RM_Code],$A21,T_SelfStock[WeekIndex],49)&gt;0)*(COUNTIFS(T_TTAFStock[RM_Code],$A21,T_TTAFStock[WeekIndex],49)&gt;0)&gt;0,SUMIFS(T_SelfStock[Self_Qty],T_SelfStock[RM_Code],$A21,T_SelfStock[WeekIndex],49)+SUMIFS(T_TTAFStock[TTAF_Qty],T_TTAFStock[RM_Code],$A21,T_TTAFStock[WeekIndex],49),AW21+'Grid_Incoming'!AX21-'Grid_Requirement'!AX21))</f>
        <v/>
      </c>
      <c r="AY21">
        <f>IF(COUNTIFS(T_StockCount[RM_Code],$A21,T_StockCount[WeekIndex],50)&gt;0,SUMIFS(T_StockCount[CountedQty],T_StockCount[RM_Code],$A21,T_StockCount[WeekIndex],50),IF((COUNTIFS(T_SelfStock[RM_Code],$A21,T_SelfStock[WeekIndex],50)&gt;0)*(COUNTIFS(T_TTAFStock[RM_Code],$A21,T_TTAFStock[WeekIndex],50)&gt;0)&gt;0,SUMIFS(T_SelfStock[Self_Qty],T_SelfStock[RM_Code],$A21,T_SelfStock[WeekIndex],50)+SUMIFS(T_TTAFStock[TTAF_Qty],T_TTAFStock[RM_Code],$A21,T_TTAFStock[WeekIndex],50),AX21+'Grid_Incoming'!AY21-'Grid_Requirement'!AY21))</f>
        <v/>
      </c>
      <c r="AZ21">
        <f>IF(COUNTIFS(T_StockCount[RM_Code],$A21,T_StockCount[WeekIndex],51)&gt;0,SUMIFS(T_StockCount[CountedQty],T_StockCount[RM_Code],$A21,T_StockCount[WeekIndex],51),IF((COUNTIFS(T_SelfStock[RM_Code],$A21,T_SelfStock[WeekIndex],51)&gt;0)*(COUNTIFS(T_TTAFStock[RM_Code],$A21,T_TTAFStock[WeekIndex],51)&gt;0)&gt;0,SUMIFS(T_SelfStock[Self_Qty],T_SelfStock[RM_Code],$A21,T_SelfStock[WeekIndex],51)+SUMIFS(T_TTAFStock[TTAF_Qty],T_TTAFStock[RM_Code],$A21,T_TTAFStock[WeekIndex],51),AY21+'Grid_Incoming'!AZ21-'Grid_Requirement'!AZ21))</f>
        <v/>
      </c>
      <c r="BA21">
        <f>IF(COUNTIFS(T_StockCount[RM_Code],$A21,T_StockCount[WeekIndex],52)&gt;0,SUMIFS(T_StockCount[CountedQty],T_StockCount[RM_Code],$A21,T_StockCount[WeekIndex],52),IF((COUNTIFS(T_SelfStock[RM_Code],$A21,T_SelfStock[WeekIndex],52)&gt;0)*(COUNTIFS(T_TTAFStock[RM_Code],$A21,T_TTAFStock[WeekIndex],52)&gt;0)&gt;0,SUMIFS(T_SelfStock[Self_Qty],T_SelfStock[RM_Code],$A21,T_SelfStock[WeekIndex],52)+SUMIFS(T_TTAFStock[TTAF_Qty],T_TTAFStock[RM_Code],$A21,T_TTAFStock[WeekIndex],52),AZ21+'Grid_Incoming'!BA21-'Grid_Requirement'!BA21))</f>
        <v/>
      </c>
      <c r="BB21">
        <f>IF(COUNTIFS(T_StockCount[RM_Code],$A21,T_StockCount[WeekIndex],53)&gt;0,SUMIFS(T_StockCount[CountedQty],T_StockCount[RM_Code],$A21,T_StockCount[WeekIndex],53),IF((COUNTIFS(T_SelfStock[RM_Code],$A21,T_SelfStock[WeekIndex],53)&gt;0)*(COUNTIFS(T_TTAFStock[RM_Code],$A21,T_TTAFStock[WeekIndex],53)&gt;0)&gt;0,SUMIFS(T_SelfStock[Self_Qty],T_SelfStock[RM_Code],$A21,T_SelfStock[WeekIndex],53)+SUMIFS(T_TTAFStock[TTAF_Qty],T_TTAFStock[RM_Code],$A21,T_TTAFStock[WeekIndex],53),BA21+'Grid_Incoming'!BB21-'Grid_Requirement'!BB21))</f>
        <v/>
      </c>
      <c r="BC21">
        <f>IF(COUNTIFS(T_StockCount[RM_Code],$A21,T_StockCount[WeekIndex],54)&gt;0,SUMIFS(T_StockCount[CountedQty],T_StockCount[RM_Code],$A21,T_StockCount[WeekIndex],54),IF((COUNTIFS(T_SelfStock[RM_Code],$A21,T_SelfStock[WeekIndex],54)&gt;0)*(COUNTIFS(T_TTAFStock[RM_Code],$A21,T_TTAFStock[WeekIndex],54)&gt;0)&gt;0,SUMIFS(T_SelfStock[Self_Qty],T_SelfStock[RM_Code],$A21,T_SelfStock[WeekIndex],54)+SUMIFS(T_TTAFStock[TTAF_Qty],T_TTAFStock[RM_Code],$A21,T_TTAFStock[WeekIndex],54),BB21+'Grid_Incoming'!BC21-'Grid_Requirement'!BC21))</f>
        <v/>
      </c>
      <c r="BD21">
        <f>IF(COUNTIFS(T_StockCount[RM_Code],$A21,T_StockCount[WeekIndex],55)&gt;0,SUMIFS(T_StockCount[CountedQty],T_StockCount[RM_Code],$A21,T_StockCount[WeekIndex],55),IF((COUNTIFS(T_SelfStock[RM_Code],$A21,T_SelfStock[WeekIndex],55)&gt;0)*(COUNTIFS(T_TTAFStock[RM_Code],$A21,T_TTAFStock[WeekIndex],55)&gt;0)&gt;0,SUMIFS(T_SelfStock[Self_Qty],T_SelfStock[RM_Code],$A21,T_SelfStock[WeekIndex],55)+SUMIFS(T_TTAFStock[TTAF_Qty],T_TTAFStock[RM_Code],$A21,T_TTAFStock[WeekIndex],55),BC21+'Grid_Incoming'!BD21-'Grid_Requirement'!BD21))</f>
        <v/>
      </c>
      <c r="BE21">
        <f>IF(COUNTIFS(T_StockCount[RM_Code],$A21,T_StockCount[WeekIndex],56)&gt;0,SUMIFS(T_StockCount[CountedQty],T_StockCount[RM_Code],$A21,T_StockCount[WeekIndex],56),IF((COUNTIFS(T_SelfStock[RM_Code],$A21,T_SelfStock[WeekIndex],56)&gt;0)*(COUNTIFS(T_TTAFStock[RM_Code],$A21,T_TTAFStock[WeekIndex],56)&gt;0)&gt;0,SUMIFS(T_SelfStock[Self_Qty],T_SelfStock[RM_Code],$A21,T_SelfStock[WeekIndex],56)+SUMIFS(T_TTAFStock[TTAF_Qty],T_TTAFStock[RM_Code],$A21,T_TTAFStock[WeekIndex],56),BD21+'Grid_Incoming'!BE21-'Grid_Requirement'!BE21))</f>
        <v/>
      </c>
      <c r="BF21">
        <f>IF(COUNTIFS(T_StockCount[RM_Code],$A21,T_StockCount[WeekIndex],57)&gt;0,SUMIFS(T_StockCount[CountedQty],T_StockCount[RM_Code],$A21,T_StockCount[WeekIndex],57),IF((COUNTIFS(T_SelfStock[RM_Code],$A21,T_SelfStock[WeekIndex],57)&gt;0)*(COUNTIFS(T_TTAFStock[RM_Code],$A21,T_TTAFStock[WeekIndex],57)&gt;0)&gt;0,SUMIFS(T_SelfStock[Self_Qty],T_SelfStock[RM_Code],$A21,T_SelfStock[WeekIndex],57)+SUMIFS(T_TTAFStock[TTAF_Qty],T_TTAFStock[RM_Code],$A21,T_TTAFStock[WeekIndex],57),BE21+'Grid_Incoming'!BF21-'Grid_Requirement'!BF21))</f>
        <v/>
      </c>
      <c r="BG21">
        <f>IF(COUNTIFS(T_StockCount[RM_Code],$A21,T_StockCount[WeekIndex],58)&gt;0,SUMIFS(T_StockCount[CountedQty],T_StockCount[RM_Code],$A21,T_StockCount[WeekIndex],58),IF((COUNTIFS(T_SelfStock[RM_Code],$A21,T_SelfStock[WeekIndex],58)&gt;0)*(COUNTIFS(T_TTAFStock[RM_Code],$A21,T_TTAFStock[WeekIndex],58)&gt;0)&gt;0,SUMIFS(T_SelfStock[Self_Qty],T_SelfStock[RM_Code],$A21,T_SelfStock[WeekIndex],58)+SUMIFS(T_TTAFStock[TTAF_Qty],T_TTAFStock[RM_Code],$A21,T_TTAFStock[WeekIndex],58),BF21+'Grid_Incoming'!BG21-'Grid_Requirement'!BG21))</f>
        <v/>
      </c>
      <c r="BH21">
        <f>IF(COUNTIFS(T_StockCount[RM_Code],$A21,T_StockCount[WeekIndex],59)&gt;0,SUMIFS(T_StockCount[CountedQty],T_StockCount[RM_Code],$A21,T_StockCount[WeekIndex],59),IF((COUNTIFS(T_SelfStock[RM_Code],$A21,T_SelfStock[WeekIndex],59)&gt;0)*(COUNTIFS(T_TTAFStock[RM_Code],$A21,T_TTAFStock[WeekIndex],59)&gt;0)&gt;0,SUMIFS(T_SelfStock[Self_Qty],T_SelfStock[RM_Code],$A21,T_SelfStock[WeekIndex],59)+SUMIFS(T_TTAFStock[TTAF_Qty],T_TTAFStock[RM_Code],$A21,T_TTAFStock[WeekIndex],59),BG21+'Grid_Incoming'!BH21-'Grid_Requirement'!BH21))</f>
        <v/>
      </c>
      <c r="BI21">
        <f>IF(COUNTIFS(T_StockCount[RM_Code],$A21,T_StockCount[WeekIndex],60)&gt;0,SUMIFS(T_StockCount[CountedQty],T_StockCount[RM_Code],$A21,T_StockCount[WeekIndex],60),IF((COUNTIFS(T_SelfStock[RM_Code],$A21,T_SelfStock[WeekIndex],60)&gt;0)*(COUNTIFS(T_TTAFStock[RM_Code],$A21,T_TTAFStock[WeekIndex],60)&gt;0)&gt;0,SUMIFS(T_SelfStock[Self_Qty],T_SelfStock[RM_Code],$A21,T_SelfStock[WeekIndex],60)+SUMIFS(T_TTAFStock[TTAF_Qty],T_TTAFStock[RM_Code],$A21,T_TTAFStock[WeekIndex],60),BH21+'Grid_Incoming'!BI21-'Grid_Requirement'!BI21))</f>
        <v/>
      </c>
      <c r="BJ21">
        <f>IF(COUNTIFS(T_StockCount[RM_Code],$A21,T_StockCount[WeekIndex],61)&gt;0,SUMIFS(T_StockCount[CountedQty],T_StockCount[RM_Code],$A21,T_StockCount[WeekIndex],61),IF((COUNTIFS(T_SelfStock[RM_Code],$A21,T_SelfStock[WeekIndex],61)&gt;0)*(COUNTIFS(T_TTAFStock[RM_Code],$A21,T_TTAFStock[WeekIndex],61)&gt;0)&gt;0,SUMIFS(T_SelfStock[Self_Qty],T_SelfStock[RM_Code],$A21,T_SelfStock[WeekIndex],61)+SUMIFS(T_TTAFStock[TTAF_Qty],T_TTAFStock[RM_Code],$A21,T_TTAFStock[WeekIndex],61),BI21+'Grid_Incoming'!BJ21-'Grid_Requirement'!BJ21))</f>
        <v/>
      </c>
      <c r="BK21">
        <f>IF(COUNTIFS(T_StockCount[RM_Code],$A21,T_StockCount[WeekIndex],62)&gt;0,SUMIFS(T_StockCount[CountedQty],T_StockCount[RM_Code],$A21,T_StockCount[WeekIndex],62),IF((COUNTIFS(T_SelfStock[RM_Code],$A21,T_SelfStock[WeekIndex],62)&gt;0)*(COUNTIFS(T_TTAFStock[RM_Code],$A21,T_TTAFStock[WeekIndex],62)&gt;0)&gt;0,SUMIFS(T_SelfStock[Self_Qty],T_SelfStock[RM_Code],$A21,T_SelfStock[WeekIndex],62)+SUMIFS(T_TTAFStock[TTAF_Qty],T_TTAFStock[RM_Code],$A21,T_TTAFStock[WeekIndex],62),BJ21+'Grid_Incoming'!BK21-'Grid_Requirement'!BK21))</f>
        <v/>
      </c>
      <c r="BL21">
        <f>IF(COUNTIFS(T_StockCount[RM_Code],$A21,T_StockCount[WeekIndex],63)&gt;0,SUMIFS(T_StockCount[CountedQty],T_StockCount[RM_Code],$A21,T_StockCount[WeekIndex],63),IF((COUNTIFS(T_SelfStock[RM_Code],$A21,T_SelfStock[WeekIndex],63)&gt;0)*(COUNTIFS(T_TTAFStock[RM_Code],$A21,T_TTAFStock[WeekIndex],63)&gt;0)&gt;0,SUMIFS(T_SelfStock[Self_Qty],T_SelfStock[RM_Code],$A21,T_SelfStock[WeekIndex],63)+SUMIFS(T_TTAFStock[TTAF_Qty],T_TTAFStock[RM_Code],$A21,T_TTAFStock[WeekIndex],63),BK21+'Grid_Incoming'!BL21-'Grid_Requirement'!BL21))</f>
        <v/>
      </c>
      <c r="BM21">
        <f>IF(COUNTIFS(T_StockCount[RM_Code],$A21,T_StockCount[WeekIndex],64)&gt;0,SUMIFS(T_StockCount[CountedQty],T_StockCount[RM_Code],$A21,T_StockCount[WeekIndex],64),IF((COUNTIFS(T_SelfStock[RM_Code],$A21,T_SelfStock[WeekIndex],64)&gt;0)*(COUNTIFS(T_TTAFStock[RM_Code],$A21,T_TTAFStock[WeekIndex],64)&gt;0)&gt;0,SUMIFS(T_SelfStock[Self_Qty],T_SelfStock[RM_Code],$A21,T_SelfStock[WeekIndex],64)+SUMIFS(T_TTAFStock[TTAF_Qty],T_TTAFStock[RM_Code],$A21,T_TTAFStock[WeekIndex],64),BL21+'Grid_Incoming'!BM21-'Grid_Requirement'!BM21))</f>
        <v/>
      </c>
      <c r="BN21">
        <f>IF(COUNTIFS(T_StockCount[RM_Code],$A21,T_StockCount[WeekIndex],65)&gt;0,SUMIFS(T_StockCount[CountedQty],T_StockCount[RM_Code],$A21,T_StockCount[WeekIndex],65),IF((COUNTIFS(T_SelfStock[RM_Code],$A21,T_SelfStock[WeekIndex],65)&gt;0)*(COUNTIFS(T_TTAFStock[RM_Code],$A21,T_TTAFStock[WeekIndex],65)&gt;0)&gt;0,SUMIFS(T_SelfStock[Self_Qty],T_SelfStock[RM_Code],$A21,T_SelfStock[WeekIndex],65)+SUMIFS(T_TTAFStock[TTAF_Qty],T_TTAFStock[RM_Code],$A21,T_TTAFStock[WeekIndex],65),BM21+'Grid_Incoming'!BN21-'Grid_Requirement'!BN21))</f>
        <v/>
      </c>
      <c r="BO21">
        <f>IF(COUNTIFS(T_StockCount[RM_Code],$A21,T_StockCount[WeekIndex],66)&gt;0,SUMIFS(T_StockCount[CountedQty],T_StockCount[RM_Code],$A21,T_StockCount[WeekIndex],66),IF((COUNTIFS(T_SelfStock[RM_Code],$A21,T_SelfStock[WeekIndex],66)&gt;0)*(COUNTIFS(T_TTAFStock[RM_Code],$A21,T_TTAFStock[WeekIndex],66)&gt;0)&gt;0,SUMIFS(T_SelfStock[Self_Qty],T_SelfStock[RM_Code],$A21,T_SelfStock[WeekIndex],66)+SUMIFS(T_TTAFStock[TTAF_Qty],T_TTAFStock[RM_Code],$A21,T_TTAFStock[WeekIndex],66),BN21+'Grid_Incoming'!BO21-'Grid_Requirement'!BO21))</f>
        <v/>
      </c>
      <c r="BP21">
        <f>IF(COUNTIFS(T_StockCount[RM_Code],$A21,T_StockCount[WeekIndex],67)&gt;0,SUMIFS(T_StockCount[CountedQty],T_StockCount[RM_Code],$A21,T_StockCount[WeekIndex],67),IF((COUNTIFS(T_SelfStock[RM_Code],$A21,T_SelfStock[WeekIndex],67)&gt;0)*(COUNTIFS(T_TTAFStock[RM_Code],$A21,T_TTAFStock[WeekIndex],67)&gt;0)&gt;0,SUMIFS(T_SelfStock[Self_Qty],T_SelfStock[RM_Code],$A21,T_SelfStock[WeekIndex],67)+SUMIFS(T_TTAFStock[TTAF_Qty],T_TTAFStock[RM_Code],$A21,T_TTAFStock[WeekIndex],67),BO21+'Grid_Incoming'!BP21-'Grid_Requirement'!BP21))</f>
        <v/>
      </c>
      <c r="BQ21">
        <f>IF(COUNTIFS(T_StockCount[RM_Code],$A21,T_StockCount[WeekIndex],68)&gt;0,SUMIFS(T_StockCount[CountedQty],T_StockCount[RM_Code],$A21,T_StockCount[WeekIndex],68),IF((COUNTIFS(T_SelfStock[RM_Code],$A21,T_SelfStock[WeekIndex],68)&gt;0)*(COUNTIFS(T_TTAFStock[RM_Code],$A21,T_TTAFStock[WeekIndex],68)&gt;0)&gt;0,SUMIFS(T_SelfStock[Self_Qty],T_SelfStock[RM_Code],$A21,T_SelfStock[WeekIndex],68)+SUMIFS(T_TTAFStock[TTAF_Qty],T_TTAFStock[RM_Code],$A21,T_TTAFStock[WeekIndex],68),BP21+'Grid_Incoming'!BQ21-'Grid_Requirement'!BQ21))</f>
        <v/>
      </c>
      <c r="BR21">
        <f>IF(COUNTIFS(T_StockCount[RM_Code],$A21,T_StockCount[WeekIndex],69)&gt;0,SUMIFS(T_StockCount[CountedQty],T_StockCount[RM_Code],$A21,T_StockCount[WeekIndex],69),IF((COUNTIFS(T_SelfStock[RM_Code],$A21,T_SelfStock[WeekIndex],69)&gt;0)*(COUNTIFS(T_TTAFStock[RM_Code],$A21,T_TTAFStock[WeekIndex],69)&gt;0)&gt;0,SUMIFS(T_SelfStock[Self_Qty],T_SelfStock[RM_Code],$A21,T_SelfStock[WeekIndex],69)+SUMIFS(T_TTAFStock[TTAF_Qty],T_TTAFStock[RM_Code],$A21,T_TTAFStock[WeekIndex],69),BQ21+'Grid_Incoming'!BR21-'Grid_Requirement'!BR21))</f>
        <v/>
      </c>
      <c r="BS21">
        <f>IF(COUNTIFS(T_StockCount[RM_Code],$A21,T_StockCount[WeekIndex],70)&gt;0,SUMIFS(T_StockCount[CountedQty],T_StockCount[RM_Code],$A21,T_StockCount[WeekIndex],70),IF((COUNTIFS(T_SelfStock[RM_Code],$A21,T_SelfStock[WeekIndex],70)&gt;0)*(COUNTIFS(T_TTAFStock[RM_Code],$A21,T_TTAFStock[WeekIndex],70)&gt;0)&gt;0,SUMIFS(T_SelfStock[Self_Qty],T_SelfStock[RM_Code],$A21,T_SelfStock[WeekIndex],70)+SUMIFS(T_TTAFStock[TTAF_Qty],T_TTAFStock[RM_Code],$A21,T_TTAFStock[WeekIndex],70),BR21+'Grid_Incoming'!BS21-'Grid_Requirement'!BS21))</f>
        <v/>
      </c>
      <c r="BT21">
        <f>IF(COUNTIFS(T_StockCount[RM_Code],$A21,T_StockCount[WeekIndex],71)&gt;0,SUMIFS(T_StockCount[CountedQty],T_StockCount[RM_Code],$A21,T_StockCount[WeekIndex],71),IF((COUNTIFS(T_SelfStock[RM_Code],$A21,T_SelfStock[WeekIndex],71)&gt;0)*(COUNTIFS(T_TTAFStock[RM_Code],$A21,T_TTAFStock[WeekIndex],71)&gt;0)&gt;0,SUMIFS(T_SelfStock[Self_Qty],T_SelfStock[RM_Code],$A21,T_SelfStock[WeekIndex],71)+SUMIFS(T_TTAFStock[TTAF_Qty],T_TTAFStock[RM_Code],$A21,T_TTAFStock[WeekIndex],71),BS21+'Grid_Incoming'!BT21-'Grid_Requirement'!BT21))</f>
        <v/>
      </c>
      <c r="BU21">
        <f>IF(COUNTIFS(T_StockCount[RM_Code],$A21,T_StockCount[WeekIndex],72)&gt;0,SUMIFS(T_StockCount[CountedQty],T_StockCount[RM_Code],$A21,T_StockCount[WeekIndex],72),IF((COUNTIFS(T_SelfStock[RM_Code],$A21,T_SelfStock[WeekIndex],72)&gt;0)*(COUNTIFS(T_TTAFStock[RM_Code],$A21,T_TTAFStock[WeekIndex],72)&gt;0)&gt;0,SUMIFS(T_SelfStock[Self_Qty],T_SelfStock[RM_Code],$A21,T_SelfStock[WeekIndex],72)+SUMIFS(T_TTAFStock[TTAF_Qty],T_TTAFStock[RM_Code],$A21,T_TTAFStock[WeekIndex],72),BT21+'Grid_Incoming'!BU21-'Grid_Requirement'!BU21))</f>
        <v/>
      </c>
      <c r="BV21">
        <f>IF(COUNTIFS(T_StockCount[RM_Code],$A21,T_StockCount[WeekIndex],73)&gt;0,SUMIFS(T_StockCount[CountedQty],T_StockCount[RM_Code],$A21,T_StockCount[WeekIndex],73),IF((COUNTIFS(T_SelfStock[RM_Code],$A21,T_SelfStock[WeekIndex],73)&gt;0)*(COUNTIFS(T_TTAFStock[RM_Code],$A21,T_TTAFStock[WeekIndex],73)&gt;0)&gt;0,SUMIFS(T_SelfStock[Self_Qty],T_SelfStock[RM_Code],$A21,T_SelfStock[WeekIndex],73)+SUMIFS(T_TTAFStock[TTAF_Qty],T_TTAFStock[RM_Code],$A21,T_TTAFStock[WeekIndex],73),BU21+'Grid_Incoming'!BV21-'Grid_Requirement'!BV21))</f>
        <v/>
      </c>
      <c r="BW21">
        <f>IF(COUNTIFS(T_StockCount[RM_Code],$A21,T_StockCount[WeekIndex],74)&gt;0,SUMIFS(T_StockCount[CountedQty],T_StockCount[RM_Code],$A21,T_StockCount[WeekIndex],74),IF((COUNTIFS(T_SelfStock[RM_Code],$A21,T_SelfStock[WeekIndex],74)&gt;0)*(COUNTIFS(T_TTAFStock[RM_Code],$A21,T_TTAFStock[WeekIndex],74)&gt;0)&gt;0,SUMIFS(T_SelfStock[Self_Qty],T_SelfStock[RM_Code],$A21,T_SelfStock[WeekIndex],74)+SUMIFS(T_TTAFStock[TTAF_Qty],T_TTAFStock[RM_Code],$A21,T_TTAFStock[WeekIndex],74),BV21+'Grid_Incoming'!BW21-'Grid_Requirement'!BW21))</f>
        <v/>
      </c>
      <c r="BX21">
        <f>IF(COUNTIFS(T_StockCount[RM_Code],$A21,T_StockCount[WeekIndex],75)&gt;0,SUMIFS(T_StockCount[CountedQty],T_StockCount[RM_Code],$A21,T_StockCount[WeekIndex],75),IF((COUNTIFS(T_SelfStock[RM_Code],$A21,T_SelfStock[WeekIndex],75)&gt;0)*(COUNTIFS(T_TTAFStock[RM_Code],$A21,T_TTAFStock[WeekIndex],75)&gt;0)&gt;0,SUMIFS(T_SelfStock[Self_Qty],T_SelfStock[RM_Code],$A21,T_SelfStock[WeekIndex],75)+SUMIFS(T_TTAFStock[TTAF_Qty],T_TTAFStock[RM_Code],$A21,T_TTAFStock[WeekIndex],75),BW21+'Grid_Incoming'!BX21-'Grid_Requirement'!BX21))</f>
        <v/>
      </c>
      <c r="BY21">
        <f>IF(COUNTIFS(T_StockCount[RM_Code],$A21,T_StockCount[WeekIndex],76)&gt;0,SUMIFS(T_StockCount[CountedQty],T_StockCount[RM_Code],$A21,T_StockCount[WeekIndex],76),IF((COUNTIFS(T_SelfStock[RM_Code],$A21,T_SelfStock[WeekIndex],76)&gt;0)*(COUNTIFS(T_TTAFStock[RM_Code],$A21,T_TTAFStock[WeekIndex],76)&gt;0)&gt;0,SUMIFS(T_SelfStock[Self_Qty],T_SelfStock[RM_Code],$A21,T_SelfStock[WeekIndex],76)+SUMIFS(T_TTAFStock[TTAF_Qty],T_TTAFStock[RM_Code],$A21,T_TTAFStock[WeekIndex],76),BX21+'Grid_Incoming'!BY21-'Grid_Requirement'!BY21))</f>
        <v/>
      </c>
      <c r="BZ21">
        <f>IF(COUNTIFS(T_StockCount[RM_Code],$A21,T_StockCount[WeekIndex],77)&gt;0,SUMIFS(T_StockCount[CountedQty],T_StockCount[RM_Code],$A21,T_StockCount[WeekIndex],77),IF((COUNTIFS(T_SelfStock[RM_Code],$A21,T_SelfStock[WeekIndex],77)&gt;0)*(COUNTIFS(T_TTAFStock[RM_Code],$A21,T_TTAFStock[WeekIndex],77)&gt;0)&gt;0,SUMIFS(T_SelfStock[Self_Qty],T_SelfStock[RM_Code],$A21,T_SelfStock[WeekIndex],77)+SUMIFS(T_TTAFStock[TTAF_Qty],T_TTAFStock[RM_Code],$A21,T_TTAFStock[WeekIndex],77),BY21+'Grid_Incoming'!BZ21-'Grid_Requirement'!BZ21))</f>
        <v/>
      </c>
      <c r="CA21">
        <f>IF(COUNTIFS(T_StockCount[RM_Code],$A21,T_StockCount[WeekIndex],78)&gt;0,SUMIFS(T_StockCount[CountedQty],T_StockCount[RM_Code],$A21,T_StockCount[WeekIndex],78),IF((COUNTIFS(T_SelfStock[RM_Code],$A21,T_SelfStock[WeekIndex],78)&gt;0)*(COUNTIFS(T_TTAFStock[RM_Code],$A21,T_TTAFStock[WeekIndex],78)&gt;0)&gt;0,SUMIFS(T_SelfStock[Self_Qty],T_SelfStock[RM_Code],$A21,T_SelfStock[WeekIndex],78)+SUMIFS(T_TTAFStock[TTAF_Qty],T_TTAFStock[RM_Code],$A21,T_TTAFStock[WeekIndex],78),BZ21+'Grid_Incoming'!CA21-'Grid_Requirement'!CA21))</f>
        <v/>
      </c>
      <c r="CB21">
        <f>IF(COUNTIFS(T_StockCount[RM_Code],$A21,T_StockCount[WeekIndex],79)&gt;0,SUMIFS(T_StockCount[CountedQty],T_StockCount[RM_Code],$A21,T_StockCount[WeekIndex],79),IF((COUNTIFS(T_SelfStock[RM_Code],$A21,T_SelfStock[WeekIndex],79)&gt;0)*(COUNTIFS(T_TTAFStock[RM_Code],$A21,T_TTAFStock[WeekIndex],79)&gt;0)&gt;0,SUMIFS(T_SelfStock[Self_Qty],T_SelfStock[RM_Code],$A21,T_SelfStock[WeekIndex],79)+SUMIFS(T_TTAFStock[TTAF_Qty],T_TTAFStock[RM_Code],$A21,T_TTAFStock[WeekIndex],79),CA21+'Grid_Incoming'!CB21-'Grid_Requirement'!CB21))</f>
        <v/>
      </c>
      <c r="CC21">
        <f>IF(COUNTIFS(T_StockCount[RM_Code],$A21,T_StockCount[WeekIndex],80)&gt;0,SUMIFS(T_StockCount[CountedQty],T_StockCount[RM_Code],$A21,T_StockCount[WeekIndex],80),IF((COUNTIFS(T_SelfStock[RM_Code],$A21,T_SelfStock[WeekIndex],80)&gt;0)*(COUNTIFS(T_TTAFStock[RM_Code],$A21,T_TTAFStock[WeekIndex],80)&gt;0)&gt;0,SUMIFS(T_SelfStock[Self_Qty],T_SelfStock[RM_Code],$A21,T_SelfStock[WeekIndex],80)+SUMIFS(T_TTAFStock[TTAF_Qty],T_TTAFStock[RM_Code],$A21,T_TTAFStock[WeekIndex],80),CB21+'Grid_Incoming'!CC21-'Grid_Requirement'!CC21))</f>
        <v/>
      </c>
      <c r="CD21">
        <f>IF(COUNTIFS(T_StockCount[RM_Code],$A21,T_StockCount[WeekIndex],81)&gt;0,SUMIFS(T_StockCount[CountedQty],T_StockCount[RM_Code],$A21,T_StockCount[WeekIndex],81),IF((COUNTIFS(T_SelfStock[RM_Code],$A21,T_SelfStock[WeekIndex],81)&gt;0)*(COUNTIFS(T_TTAFStock[RM_Code],$A21,T_TTAFStock[WeekIndex],81)&gt;0)&gt;0,SUMIFS(T_SelfStock[Self_Qty],T_SelfStock[RM_Code],$A21,T_SelfStock[WeekIndex],81)+SUMIFS(T_TTAFStock[TTAF_Qty],T_TTAFStock[RM_Code],$A21,T_TTAFStock[WeekIndex],81),CC21+'Grid_Incoming'!CD21-'Grid_Requirement'!CD21))</f>
        <v/>
      </c>
      <c r="CE21">
        <f>IF(COUNTIFS(T_StockCount[RM_Code],$A21,T_StockCount[WeekIndex],82)&gt;0,SUMIFS(T_StockCount[CountedQty],T_StockCount[RM_Code],$A21,T_StockCount[WeekIndex],82),IF((COUNTIFS(T_SelfStock[RM_Code],$A21,T_SelfStock[WeekIndex],82)&gt;0)*(COUNTIFS(T_TTAFStock[RM_Code],$A21,T_TTAFStock[WeekIndex],82)&gt;0)&gt;0,SUMIFS(T_SelfStock[Self_Qty],T_SelfStock[RM_Code],$A21,T_SelfStock[WeekIndex],82)+SUMIFS(T_TTAFStock[TTAF_Qty],T_TTAFStock[RM_Code],$A21,T_TTAFStock[WeekIndex],82),CD21+'Grid_Incoming'!CE21-'Grid_Requirement'!CE21))</f>
        <v/>
      </c>
      <c r="CF21">
        <f>IF(COUNTIFS(T_StockCount[RM_Code],$A21,T_StockCount[WeekIndex],83)&gt;0,SUMIFS(T_StockCount[CountedQty],T_StockCount[RM_Code],$A21,T_StockCount[WeekIndex],83),IF((COUNTIFS(T_SelfStock[RM_Code],$A21,T_SelfStock[WeekIndex],83)&gt;0)*(COUNTIFS(T_TTAFStock[RM_Code],$A21,T_TTAFStock[WeekIndex],83)&gt;0)&gt;0,SUMIFS(T_SelfStock[Self_Qty],T_SelfStock[RM_Code],$A21,T_SelfStock[WeekIndex],83)+SUMIFS(T_TTAFStock[TTAF_Qty],T_TTAFStock[RM_Code],$A21,T_TTAFStock[WeekIndex],83),CE21+'Grid_Incoming'!CF21-'Grid_Requirement'!CF21))</f>
        <v/>
      </c>
      <c r="CG21">
        <f>IF(COUNTIFS(T_StockCount[RM_Code],$A21,T_StockCount[WeekIndex],84)&gt;0,SUMIFS(T_StockCount[CountedQty],T_StockCount[RM_Code],$A21,T_StockCount[WeekIndex],84),IF((COUNTIFS(T_SelfStock[RM_Code],$A21,T_SelfStock[WeekIndex],84)&gt;0)*(COUNTIFS(T_TTAFStock[RM_Code],$A21,T_TTAFStock[WeekIndex],84)&gt;0)&gt;0,SUMIFS(T_SelfStock[Self_Qty],T_SelfStock[RM_Code],$A21,T_SelfStock[WeekIndex],84)+SUMIFS(T_TTAFStock[TTAF_Qty],T_TTAFStock[RM_Code],$A21,T_TTAFStock[WeekIndex],84),CF21+'Grid_Incoming'!CG21-'Grid_Requirement'!CG21))</f>
        <v/>
      </c>
      <c r="CH21">
        <f>IF(COUNTIFS(T_StockCount[RM_Code],$A21,T_StockCount[WeekIndex],85)&gt;0,SUMIFS(T_StockCount[CountedQty],T_StockCount[RM_Code],$A21,T_StockCount[WeekIndex],85),IF((COUNTIFS(T_SelfStock[RM_Code],$A21,T_SelfStock[WeekIndex],85)&gt;0)*(COUNTIFS(T_TTAFStock[RM_Code],$A21,T_TTAFStock[WeekIndex],85)&gt;0)&gt;0,SUMIFS(T_SelfStock[Self_Qty],T_SelfStock[RM_Code],$A21,T_SelfStock[WeekIndex],85)+SUMIFS(T_TTAFStock[TTAF_Qty],T_TTAFStock[RM_Code],$A21,T_TTAFStock[WeekIndex],85),CG21+'Grid_Incoming'!CH21-'Grid_Requirement'!CH21))</f>
        <v/>
      </c>
      <c r="CI21">
        <f>IF(COUNTIFS(T_StockCount[RM_Code],$A21,T_StockCount[WeekIndex],86)&gt;0,SUMIFS(T_StockCount[CountedQty],T_StockCount[RM_Code],$A21,T_StockCount[WeekIndex],86),IF((COUNTIFS(T_SelfStock[RM_Code],$A21,T_SelfStock[WeekIndex],86)&gt;0)*(COUNTIFS(T_TTAFStock[RM_Code],$A21,T_TTAFStock[WeekIndex],86)&gt;0)&gt;0,SUMIFS(T_SelfStock[Self_Qty],T_SelfStock[RM_Code],$A21,T_SelfStock[WeekIndex],86)+SUMIFS(T_TTAFStock[TTAF_Qty],T_TTAFStock[RM_Code],$A21,T_TTAFStock[WeekIndex],86),CH21+'Grid_Incoming'!CI21-'Grid_Requirement'!CI21))</f>
        <v/>
      </c>
      <c r="CJ21">
        <f>IF(COUNTIFS(T_StockCount[RM_Code],$A21,T_StockCount[WeekIndex],87)&gt;0,SUMIFS(T_StockCount[CountedQty],T_StockCount[RM_Code],$A21,T_StockCount[WeekIndex],87),IF((COUNTIFS(T_SelfStock[RM_Code],$A21,T_SelfStock[WeekIndex],87)&gt;0)*(COUNTIFS(T_TTAFStock[RM_Code],$A21,T_TTAFStock[WeekIndex],87)&gt;0)&gt;0,SUMIFS(T_SelfStock[Self_Qty],T_SelfStock[RM_Code],$A21,T_SelfStock[WeekIndex],87)+SUMIFS(T_TTAFStock[TTAF_Qty],T_TTAFStock[RM_Code],$A21,T_TTAFStock[WeekIndex],87),CI21+'Grid_Incoming'!CJ21-'Grid_Requirement'!CJ21))</f>
        <v/>
      </c>
      <c r="CK21">
        <f>IF(COUNTIFS(T_StockCount[RM_Code],$A21,T_StockCount[WeekIndex],88)&gt;0,SUMIFS(T_StockCount[CountedQty],T_StockCount[RM_Code],$A21,T_StockCount[WeekIndex],88),IF((COUNTIFS(T_SelfStock[RM_Code],$A21,T_SelfStock[WeekIndex],88)&gt;0)*(COUNTIFS(T_TTAFStock[RM_Code],$A21,T_TTAFStock[WeekIndex],88)&gt;0)&gt;0,SUMIFS(T_SelfStock[Self_Qty],T_SelfStock[RM_Code],$A21,T_SelfStock[WeekIndex],88)+SUMIFS(T_TTAFStock[TTAF_Qty],T_TTAFStock[RM_Code],$A21,T_TTAFStock[WeekIndex],88),CJ21+'Grid_Incoming'!CK21-'Grid_Requirement'!CK21))</f>
        <v/>
      </c>
      <c r="CL21">
        <f>IF(COUNTIFS(T_StockCount[RM_Code],$A21,T_StockCount[WeekIndex],89)&gt;0,SUMIFS(T_StockCount[CountedQty],T_StockCount[RM_Code],$A21,T_StockCount[WeekIndex],89),IF((COUNTIFS(T_SelfStock[RM_Code],$A21,T_SelfStock[WeekIndex],89)&gt;0)*(COUNTIFS(T_TTAFStock[RM_Code],$A21,T_TTAFStock[WeekIndex],89)&gt;0)&gt;0,SUMIFS(T_SelfStock[Self_Qty],T_SelfStock[RM_Code],$A21,T_SelfStock[WeekIndex],89)+SUMIFS(T_TTAFStock[TTAF_Qty],T_TTAFStock[RM_Code],$A21,T_TTAFStock[WeekIndex],89),CK21+'Grid_Incoming'!CL21-'Grid_Requirement'!CL21))</f>
        <v/>
      </c>
      <c r="CM21">
        <f>IF(COUNTIFS(T_StockCount[RM_Code],$A21,T_StockCount[WeekIndex],90)&gt;0,SUMIFS(T_StockCount[CountedQty],T_StockCount[RM_Code],$A21,T_StockCount[WeekIndex],90),IF((COUNTIFS(T_SelfStock[RM_Code],$A21,T_SelfStock[WeekIndex],90)&gt;0)*(COUNTIFS(T_TTAFStock[RM_Code],$A21,T_TTAFStock[WeekIndex],90)&gt;0)&gt;0,SUMIFS(T_SelfStock[Self_Qty],T_SelfStock[RM_Code],$A21,T_SelfStock[WeekIndex],90)+SUMIFS(T_TTAFStock[TTAF_Qty],T_TTAFStock[RM_Code],$A21,T_TTAFStock[WeekIndex],90),CL21+'Grid_Incoming'!CM21-'Grid_Requirement'!CM21))</f>
        <v/>
      </c>
      <c r="CN21">
        <f>IF(COUNTIFS(T_StockCount[RM_Code],$A21,T_StockCount[WeekIndex],91)&gt;0,SUMIFS(T_StockCount[CountedQty],T_StockCount[RM_Code],$A21,T_StockCount[WeekIndex],91),IF((COUNTIFS(T_SelfStock[RM_Code],$A21,T_SelfStock[WeekIndex],91)&gt;0)*(COUNTIFS(T_TTAFStock[RM_Code],$A21,T_TTAFStock[WeekIndex],91)&gt;0)&gt;0,SUMIFS(T_SelfStock[Self_Qty],T_SelfStock[RM_Code],$A21,T_SelfStock[WeekIndex],91)+SUMIFS(T_TTAFStock[TTAF_Qty],T_TTAFStock[RM_Code],$A21,T_TTAFStock[WeekIndex],91),CM21+'Grid_Incoming'!CN21-'Grid_Requirement'!CN21))</f>
        <v/>
      </c>
      <c r="CO21">
        <f>IF(COUNTIFS(T_StockCount[RM_Code],$A21,T_StockCount[WeekIndex],92)&gt;0,SUMIFS(T_StockCount[CountedQty],T_StockCount[RM_Code],$A21,T_StockCount[WeekIndex],92),IF((COUNTIFS(T_SelfStock[RM_Code],$A21,T_SelfStock[WeekIndex],92)&gt;0)*(COUNTIFS(T_TTAFStock[RM_Code],$A21,T_TTAFStock[WeekIndex],92)&gt;0)&gt;0,SUMIFS(T_SelfStock[Self_Qty],T_SelfStock[RM_Code],$A21,T_SelfStock[WeekIndex],92)+SUMIFS(T_TTAFStock[TTAF_Qty],T_TTAFStock[RM_Code],$A21,T_TTAFStock[WeekIndex],92),CN21+'Grid_Incoming'!CO21-'Grid_Requirement'!CO21))</f>
        <v/>
      </c>
      <c r="CP21">
        <f>IF(COUNTIFS(T_StockCount[RM_Code],$A21,T_StockCount[WeekIndex],93)&gt;0,SUMIFS(T_StockCount[CountedQty],T_StockCount[RM_Code],$A21,T_StockCount[WeekIndex],93),IF((COUNTIFS(T_SelfStock[RM_Code],$A21,T_SelfStock[WeekIndex],93)&gt;0)*(COUNTIFS(T_TTAFStock[RM_Code],$A21,T_TTAFStock[WeekIndex],93)&gt;0)&gt;0,SUMIFS(T_SelfStock[Self_Qty],T_SelfStock[RM_Code],$A21,T_SelfStock[WeekIndex],93)+SUMIFS(T_TTAFStock[TTAF_Qty],T_TTAFStock[RM_Code],$A21,T_TTAFStock[WeekIndex],93),CO21+'Grid_Incoming'!CP21-'Grid_Requirement'!CP21))</f>
        <v/>
      </c>
      <c r="CQ21">
        <f>IF(COUNTIFS(T_StockCount[RM_Code],$A21,T_StockCount[WeekIndex],94)&gt;0,SUMIFS(T_StockCount[CountedQty],T_StockCount[RM_Code],$A21,T_StockCount[WeekIndex],94),IF((COUNTIFS(T_SelfStock[RM_Code],$A21,T_SelfStock[WeekIndex],94)&gt;0)*(COUNTIFS(T_TTAFStock[RM_Code],$A21,T_TTAFStock[WeekIndex],94)&gt;0)&gt;0,SUMIFS(T_SelfStock[Self_Qty],T_SelfStock[RM_Code],$A21,T_SelfStock[WeekIndex],94)+SUMIFS(T_TTAFStock[TTAF_Qty],T_TTAFStock[RM_Code],$A21,T_TTAFStock[WeekIndex],94),CP21+'Grid_Incoming'!CQ21-'Grid_Requirement'!CQ21))</f>
        <v/>
      </c>
      <c r="CR21">
        <f>IF(COUNTIFS(T_StockCount[RM_Code],$A21,T_StockCount[WeekIndex],95)&gt;0,SUMIFS(T_StockCount[CountedQty],T_StockCount[RM_Code],$A21,T_StockCount[WeekIndex],95),IF((COUNTIFS(T_SelfStock[RM_Code],$A21,T_SelfStock[WeekIndex],95)&gt;0)*(COUNTIFS(T_TTAFStock[RM_Code],$A21,T_TTAFStock[WeekIndex],95)&gt;0)&gt;0,SUMIFS(T_SelfStock[Self_Qty],T_SelfStock[RM_Code],$A21,T_SelfStock[WeekIndex],95)+SUMIFS(T_TTAFStock[TTAF_Qty],T_TTAFStock[RM_Code],$A21,T_TTAFStock[WeekIndex],95),CQ21+'Grid_Incoming'!CR21-'Grid_Requirement'!CR21))</f>
        <v/>
      </c>
      <c r="CS21">
        <f>IF(COUNTIFS(T_StockCount[RM_Code],$A21,T_StockCount[WeekIndex],96)&gt;0,SUMIFS(T_StockCount[CountedQty],T_StockCount[RM_Code],$A21,T_StockCount[WeekIndex],96),IF((COUNTIFS(T_SelfStock[RM_Code],$A21,T_SelfStock[WeekIndex],96)&gt;0)*(COUNTIFS(T_TTAFStock[RM_Code],$A21,T_TTAFStock[WeekIndex],96)&gt;0)&gt;0,SUMIFS(T_SelfStock[Self_Qty],T_SelfStock[RM_Code],$A21,T_SelfStock[WeekIndex],96)+SUMIFS(T_TTAFStock[TTAF_Qty],T_TTAFStock[RM_Code],$A21,T_TTAFStock[WeekIndex],96),CR21+'Grid_Incoming'!CS21-'Grid_Requirement'!CS21))</f>
        <v/>
      </c>
      <c r="CT21">
        <f>IF(COUNTIFS(T_StockCount[RM_Code],$A21,T_StockCount[WeekIndex],97)&gt;0,SUMIFS(T_StockCount[CountedQty],T_StockCount[RM_Code],$A21,T_StockCount[WeekIndex],97),IF((COUNTIFS(T_SelfStock[RM_Code],$A21,T_SelfStock[WeekIndex],97)&gt;0)*(COUNTIFS(T_TTAFStock[RM_Code],$A21,T_TTAFStock[WeekIndex],97)&gt;0)&gt;0,SUMIFS(T_SelfStock[Self_Qty],T_SelfStock[RM_Code],$A21,T_SelfStock[WeekIndex],97)+SUMIFS(T_TTAFStock[TTAF_Qty],T_TTAFStock[RM_Code],$A21,T_TTAFStock[WeekIndex],97),CS21+'Grid_Incoming'!CT21-'Grid_Requirement'!CT21))</f>
        <v/>
      </c>
      <c r="CU21">
        <f>IF(COUNTIFS(T_StockCount[RM_Code],$A21,T_StockCount[WeekIndex],98)&gt;0,SUMIFS(T_StockCount[CountedQty],T_StockCount[RM_Code],$A21,T_StockCount[WeekIndex],98),IF((COUNTIFS(T_SelfStock[RM_Code],$A21,T_SelfStock[WeekIndex],98)&gt;0)*(COUNTIFS(T_TTAFStock[RM_Code],$A21,T_TTAFStock[WeekIndex],98)&gt;0)&gt;0,SUMIFS(T_SelfStock[Self_Qty],T_SelfStock[RM_Code],$A21,T_SelfStock[WeekIndex],98)+SUMIFS(T_TTAFStock[TTAF_Qty],T_TTAFStock[RM_Code],$A21,T_TTAFStock[WeekIndex],98),CT21+'Grid_Incoming'!CU21-'Grid_Requirement'!CU21))</f>
        <v/>
      </c>
      <c r="CV21">
        <f>IF(COUNTIFS(T_StockCount[RM_Code],$A21,T_StockCount[WeekIndex],99)&gt;0,SUMIFS(T_StockCount[CountedQty],T_StockCount[RM_Code],$A21,T_StockCount[WeekIndex],99),IF((COUNTIFS(T_SelfStock[RM_Code],$A21,T_SelfStock[WeekIndex],99)&gt;0)*(COUNTIFS(T_TTAFStock[RM_Code],$A21,T_TTAFStock[WeekIndex],99)&gt;0)&gt;0,SUMIFS(T_SelfStock[Self_Qty],T_SelfStock[RM_Code],$A21,T_SelfStock[WeekIndex],99)+SUMIFS(T_TTAFStock[TTAF_Qty],T_TTAFStock[RM_Code],$A21,T_TTAFStock[WeekIndex],99),CU21+'Grid_Incoming'!CV21-'Grid_Requirement'!CV21))</f>
        <v/>
      </c>
      <c r="CW21">
        <f>IF(COUNTIFS(T_StockCount[RM_Code],$A21,T_StockCount[WeekIndex],100)&gt;0,SUMIFS(T_StockCount[CountedQty],T_StockCount[RM_Code],$A21,T_StockCount[WeekIndex],100),IF((COUNTIFS(T_SelfStock[RM_Code],$A21,T_SelfStock[WeekIndex],100)&gt;0)*(COUNTIFS(T_TTAFStock[RM_Code],$A21,T_TTAFStock[WeekIndex],100)&gt;0)&gt;0,SUMIFS(T_SelfStock[Self_Qty],T_SelfStock[RM_Code],$A21,T_SelfStock[WeekIndex],100)+SUMIFS(T_TTAFStock[TTAF_Qty],T_TTAFStock[RM_Code],$A21,T_TTAFStock[WeekIndex],100),CV21+'Grid_Incoming'!CW21-'Grid_Requirement'!CW21))</f>
        <v/>
      </c>
      <c r="CX21">
        <f>IF(COUNTIFS(T_StockCount[RM_Code],$A21,T_StockCount[WeekIndex],101)&gt;0,SUMIFS(T_StockCount[CountedQty],T_StockCount[RM_Code],$A21,T_StockCount[WeekIndex],101),IF((COUNTIFS(T_SelfStock[RM_Code],$A21,T_SelfStock[WeekIndex],101)&gt;0)*(COUNTIFS(T_TTAFStock[RM_Code],$A21,T_TTAFStock[WeekIndex],101)&gt;0)&gt;0,SUMIFS(T_SelfStock[Self_Qty],T_SelfStock[RM_Code],$A21,T_SelfStock[WeekIndex],101)+SUMIFS(T_TTAFStock[TTAF_Qty],T_TTAFStock[RM_Code],$A21,T_TTAFStock[WeekIndex],101),CW21+'Grid_Incoming'!CX21-'Grid_Requirement'!CX21))</f>
        <v/>
      </c>
      <c r="CY21">
        <f>IF(COUNTIFS(T_StockCount[RM_Code],$A21,T_StockCount[WeekIndex],102)&gt;0,SUMIFS(T_StockCount[CountedQty],T_StockCount[RM_Code],$A21,T_StockCount[WeekIndex],102),IF((COUNTIFS(T_SelfStock[RM_Code],$A21,T_SelfStock[WeekIndex],102)&gt;0)*(COUNTIFS(T_TTAFStock[RM_Code],$A21,T_TTAFStock[WeekIndex],102)&gt;0)&gt;0,SUMIFS(T_SelfStock[Self_Qty],T_SelfStock[RM_Code],$A21,T_SelfStock[WeekIndex],102)+SUMIFS(T_TTAFStock[TTAF_Qty],T_TTAFStock[RM_Code],$A21,T_TTAFStock[WeekIndex],102),CX21+'Grid_Incoming'!CY21-'Grid_Requirement'!CY21))</f>
        <v/>
      </c>
      <c r="CZ21">
        <f>IF(COUNTIFS(T_StockCount[RM_Code],$A21,T_StockCount[WeekIndex],103)&gt;0,SUMIFS(T_StockCount[CountedQty],T_StockCount[RM_Code],$A21,T_StockCount[WeekIndex],103),IF((COUNTIFS(T_SelfStock[RM_Code],$A21,T_SelfStock[WeekIndex],103)&gt;0)*(COUNTIFS(T_TTAFStock[RM_Code],$A21,T_TTAFStock[WeekIndex],103)&gt;0)&gt;0,SUMIFS(T_SelfStock[Self_Qty],T_SelfStock[RM_Code],$A21,T_SelfStock[WeekIndex],103)+SUMIFS(T_TTAFStock[TTAF_Qty],T_TTAFStock[RM_Code],$A21,T_TTAFStock[WeekIndex],103),CY21+'Grid_Incoming'!CZ21-'Grid_Requirement'!CZ21))</f>
        <v/>
      </c>
      <c r="DA21">
        <f>IF(COUNTIFS(T_StockCount[RM_Code],$A21,T_StockCount[WeekIndex],104)&gt;0,SUMIFS(T_StockCount[CountedQty],T_StockCount[RM_Code],$A21,T_StockCount[WeekIndex],104),IF((COUNTIFS(T_SelfStock[RM_Code],$A21,T_SelfStock[WeekIndex],104)&gt;0)*(COUNTIFS(T_TTAFStock[RM_Code],$A21,T_TTAFStock[WeekIndex],104)&gt;0)&gt;0,SUMIFS(T_SelfStock[Self_Qty],T_SelfStock[RM_Code],$A21,T_SelfStock[WeekIndex],104)+SUMIFS(T_TTAFStock[TTAF_Qty],T_TTAFStock[RM_Code],$A21,T_TTAFStock[WeekIndex],104),CZ21+'Grid_Incoming'!DA21-'Grid_Requirement'!DA21))</f>
        <v/>
      </c>
    </row>
    <row r="22">
      <c r="A22" t="inlineStr">
        <is>
          <t>CHEM-1600</t>
        </is>
      </c>
      <c r="B22">
        <f>IF(COUNTIFS(T_StockCount[RM_Code],$A22,T_StockCount[WeekIndex],1)&gt;0,SUMIFS(T_StockCount[CountedQty],T_StockCount[RM_Code],$A22,T_StockCount[WeekIndex],1),IF((COUNTIFS(T_SelfStock[RM_Code],$A22,T_SelfStock[WeekIndex],1)&gt;0)*(COUNTIFS(T_TTAFStock[RM_Code],$A22,T_TTAFStock[WeekIndex],1)&gt;0)&gt;0,SUMIFS(T_SelfStock[Self_Qty],T_SelfStock[RM_Code],$A22,T_SelfStock[WeekIndex],1)+SUMIFS(T_TTAFStock[TTAF_Qty],T_TTAFStock[RM_Code],$A22,T_TTAFStock[WeekIndex],1),IFERROR(INDEX(T_OpeningStock[Opening_Qty],MATCH($A22,T_OpeningStock[RM_Code],0)),0)+'Grid_Incoming'!B22-'Grid_Requirement'!B22))</f>
        <v/>
      </c>
      <c r="C22">
        <f>IF(COUNTIFS(T_StockCount[RM_Code],$A22,T_StockCount[WeekIndex],2)&gt;0,SUMIFS(T_StockCount[CountedQty],T_StockCount[RM_Code],$A22,T_StockCount[WeekIndex],2),IF((COUNTIFS(T_SelfStock[RM_Code],$A22,T_SelfStock[WeekIndex],2)&gt;0)*(COUNTIFS(T_TTAFStock[RM_Code],$A22,T_TTAFStock[WeekIndex],2)&gt;0)&gt;0,SUMIFS(T_SelfStock[Self_Qty],T_SelfStock[RM_Code],$A22,T_SelfStock[WeekIndex],2)+SUMIFS(T_TTAFStock[TTAF_Qty],T_TTAFStock[RM_Code],$A22,T_TTAFStock[WeekIndex],2),B22+'Grid_Incoming'!C22-'Grid_Requirement'!C22))</f>
        <v/>
      </c>
      <c r="D22">
        <f>IF(COUNTIFS(T_StockCount[RM_Code],$A22,T_StockCount[WeekIndex],3)&gt;0,SUMIFS(T_StockCount[CountedQty],T_StockCount[RM_Code],$A22,T_StockCount[WeekIndex],3),IF((COUNTIFS(T_SelfStock[RM_Code],$A22,T_SelfStock[WeekIndex],3)&gt;0)*(COUNTIFS(T_TTAFStock[RM_Code],$A22,T_TTAFStock[WeekIndex],3)&gt;0)&gt;0,SUMIFS(T_SelfStock[Self_Qty],T_SelfStock[RM_Code],$A22,T_SelfStock[WeekIndex],3)+SUMIFS(T_TTAFStock[TTAF_Qty],T_TTAFStock[RM_Code],$A22,T_TTAFStock[WeekIndex],3),C22+'Grid_Incoming'!D22-'Grid_Requirement'!D22))</f>
        <v/>
      </c>
      <c r="E22">
        <f>IF(COUNTIFS(T_StockCount[RM_Code],$A22,T_StockCount[WeekIndex],4)&gt;0,SUMIFS(T_StockCount[CountedQty],T_StockCount[RM_Code],$A22,T_StockCount[WeekIndex],4),IF((COUNTIFS(T_SelfStock[RM_Code],$A22,T_SelfStock[WeekIndex],4)&gt;0)*(COUNTIFS(T_TTAFStock[RM_Code],$A22,T_TTAFStock[WeekIndex],4)&gt;0)&gt;0,SUMIFS(T_SelfStock[Self_Qty],T_SelfStock[RM_Code],$A22,T_SelfStock[WeekIndex],4)+SUMIFS(T_TTAFStock[TTAF_Qty],T_TTAFStock[RM_Code],$A22,T_TTAFStock[WeekIndex],4),D22+'Grid_Incoming'!E22-'Grid_Requirement'!E22))</f>
        <v/>
      </c>
      <c r="F22">
        <f>IF(COUNTIFS(T_StockCount[RM_Code],$A22,T_StockCount[WeekIndex],5)&gt;0,SUMIFS(T_StockCount[CountedQty],T_StockCount[RM_Code],$A22,T_StockCount[WeekIndex],5),IF((COUNTIFS(T_SelfStock[RM_Code],$A22,T_SelfStock[WeekIndex],5)&gt;0)*(COUNTIFS(T_TTAFStock[RM_Code],$A22,T_TTAFStock[WeekIndex],5)&gt;0)&gt;0,SUMIFS(T_SelfStock[Self_Qty],T_SelfStock[RM_Code],$A22,T_SelfStock[WeekIndex],5)+SUMIFS(T_TTAFStock[TTAF_Qty],T_TTAFStock[RM_Code],$A22,T_TTAFStock[WeekIndex],5),E22+'Grid_Incoming'!F22-'Grid_Requirement'!F22))</f>
        <v/>
      </c>
      <c r="G22">
        <f>IF(COUNTIFS(T_StockCount[RM_Code],$A22,T_StockCount[WeekIndex],6)&gt;0,SUMIFS(T_StockCount[CountedQty],T_StockCount[RM_Code],$A22,T_StockCount[WeekIndex],6),IF((COUNTIFS(T_SelfStock[RM_Code],$A22,T_SelfStock[WeekIndex],6)&gt;0)*(COUNTIFS(T_TTAFStock[RM_Code],$A22,T_TTAFStock[WeekIndex],6)&gt;0)&gt;0,SUMIFS(T_SelfStock[Self_Qty],T_SelfStock[RM_Code],$A22,T_SelfStock[WeekIndex],6)+SUMIFS(T_TTAFStock[TTAF_Qty],T_TTAFStock[RM_Code],$A22,T_TTAFStock[WeekIndex],6),F22+'Grid_Incoming'!G22-'Grid_Requirement'!G22))</f>
        <v/>
      </c>
      <c r="H22">
        <f>IF(COUNTIFS(T_StockCount[RM_Code],$A22,T_StockCount[WeekIndex],7)&gt;0,SUMIFS(T_StockCount[CountedQty],T_StockCount[RM_Code],$A22,T_StockCount[WeekIndex],7),IF((COUNTIFS(T_SelfStock[RM_Code],$A22,T_SelfStock[WeekIndex],7)&gt;0)*(COUNTIFS(T_TTAFStock[RM_Code],$A22,T_TTAFStock[WeekIndex],7)&gt;0)&gt;0,SUMIFS(T_SelfStock[Self_Qty],T_SelfStock[RM_Code],$A22,T_SelfStock[WeekIndex],7)+SUMIFS(T_TTAFStock[TTAF_Qty],T_TTAFStock[RM_Code],$A22,T_TTAFStock[WeekIndex],7),G22+'Grid_Incoming'!H22-'Grid_Requirement'!H22))</f>
        <v/>
      </c>
      <c r="I22">
        <f>IF(COUNTIFS(T_StockCount[RM_Code],$A22,T_StockCount[WeekIndex],8)&gt;0,SUMIFS(T_StockCount[CountedQty],T_StockCount[RM_Code],$A22,T_StockCount[WeekIndex],8),IF((COUNTIFS(T_SelfStock[RM_Code],$A22,T_SelfStock[WeekIndex],8)&gt;0)*(COUNTIFS(T_TTAFStock[RM_Code],$A22,T_TTAFStock[WeekIndex],8)&gt;0)&gt;0,SUMIFS(T_SelfStock[Self_Qty],T_SelfStock[RM_Code],$A22,T_SelfStock[WeekIndex],8)+SUMIFS(T_TTAFStock[TTAF_Qty],T_TTAFStock[RM_Code],$A22,T_TTAFStock[WeekIndex],8),H22+'Grid_Incoming'!I22-'Grid_Requirement'!I22))</f>
        <v/>
      </c>
      <c r="J22">
        <f>IF(COUNTIFS(T_StockCount[RM_Code],$A22,T_StockCount[WeekIndex],9)&gt;0,SUMIFS(T_StockCount[CountedQty],T_StockCount[RM_Code],$A22,T_StockCount[WeekIndex],9),IF((COUNTIFS(T_SelfStock[RM_Code],$A22,T_SelfStock[WeekIndex],9)&gt;0)*(COUNTIFS(T_TTAFStock[RM_Code],$A22,T_TTAFStock[WeekIndex],9)&gt;0)&gt;0,SUMIFS(T_SelfStock[Self_Qty],T_SelfStock[RM_Code],$A22,T_SelfStock[WeekIndex],9)+SUMIFS(T_TTAFStock[TTAF_Qty],T_TTAFStock[RM_Code],$A22,T_TTAFStock[WeekIndex],9),I22+'Grid_Incoming'!J22-'Grid_Requirement'!J22))</f>
        <v/>
      </c>
      <c r="K22">
        <f>IF(COUNTIFS(T_StockCount[RM_Code],$A22,T_StockCount[WeekIndex],10)&gt;0,SUMIFS(T_StockCount[CountedQty],T_StockCount[RM_Code],$A22,T_StockCount[WeekIndex],10),IF((COUNTIFS(T_SelfStock[RM_Code],$A22,T_SelfStock[WeekIndex],10)&gt;0)*(COUNTIFS(T_TTAFStock[RM_Code],$A22,T_TTAFStock[WeekIndex],10)&gt;0)&gt;0,SUMIFS(T_SelfStock[Self_Qty],T_SelfStock[RM_Code],$A22,T_SelfStock[WeekIndex],10)+SUMIFS(T_TTAFStock[TTAF_Qty],T_TTAFStock[RM_Code],$A22,T_TTAFStock[WeekIndex],10),J22+'Grid_Incoming'!K22-'Grid_Requirement'!K22))</f>
        <v/>
      </c>
      <c r="L22">
        <f>IF(COUNTIFS(T_StockCount[RM_Code],$A22,T_StockCount[WeekIndex],11)&gt;0,SUMIFS(T_StockCount[CountedQty],T_StockCount[RM_Code],$A22,T_StockCount[WeekIndex],11),IF((COUNTIFS(T_SelfStock[RM_Code],$A22,T_SelfStock[WeekIndex],11)&gt;0)*(COUNTIFS(T_TTAFStock[RM_Code],$A22,T_TTAFStock[WeekIndex],11)&gt;0)&gt;0,SUMIFS(T_SelfStock[Self_Qty],T_SelfStock[RM_Code],$A22,T_SelfStock[WeekIndex],11)+SUMIFS(T_TTAFStock[TTAF_Qty],T_TTAFStock[RM_Code],$A22,T_TTAFStock[WeekIndex],11),K22+'Grid_Incoming'!L22-'Grid_Requirement'!L22))</f>
        <v/>
      </c>
      <c r="M22">
        <f>IF(COUNTIFS(T_StockCount[RM_Code],$A22,T_StockCount[WeekIndex],12)&gt;0,SUMIFS(T_StockCount[CountedQty],T_StockCount[RM_Code],$A22,T_StockCount[WeekIndex],12),IF((COUNTIFS(T_SelfStock[RM_Code],$A22,T_SelfStock[WeekIndex],12)&gt;0)*(COUNTIFS(T_TTAFStock[RM_Code],$A22,T_TTAFStock[WeekIndex],12)&gt;0)&gt;0,SUMIFS(T_SelfStock[Self_Qty],T_SelfStock[RM_Code],$A22,T_SelfStock[WeekIndex],12)+SUMIFS(T_TTAFStock[TTAF_Qty],T_TTAFStock[RM_Code],$A22,T_TTAFStock[WeekIndex],12),L22+'Grid_Incoming'!M22-'Grid_Requirement'!M22))</f>
        <v/>
      </c>
      <c r="N22">
        <f>IF(COUNTIFS(T_StockCount[RM_Code],$A22,T_StockCount[WeekIndex],13)&gt;0,SUMIFS(T_StockCount[CountedQty],T_StockCount[RM_Code],$A22,T_StockCount[WeekIndex],13),IF((COUNTIFS(T_SelfStock[RM_Code],$A22,T_SelfStock[WeekIndex],13)&gt;0)*(COUNTIFS(T_TTAFStock[RM_Code],$A22,T_TTAFStock[WeekIndex],13)&gt;0)&gt;0,SUMIFS(T_SelfStock[Self_Qty],T_SelfStock[RM_Code],$A22,T_SelfStock[WeekIndex],13)+SUMIFS(T_TTAFStock[TTAF_Qty],T_TTAFStock[RM_Code],$A22,T_TTAFStock[WeekIndex],13),M22+'Grid_Incoming'!N22-'Grid_Requirement'!N22))</f>
        <v/>
      </c>
      <c r="O22">
        <f>IF(COUNTIFS(T_StockCount[RM_Code],$A22,T_StockCount[WeekIndex],14)&gt;0,SUMIFS(T_StockCount[CountedQty],T_StockCount[RM_Code],$A22,T_StockCount[WeekIndex],14),IF((COUNTIFS(T_SelfStock[RM_Code],$A22,T_SelfStock[WeekIndex],14)&gt;0)*(COUNTIFS(T_TTAFStock[RM_Code],$A22,T_TTAFStock[WeekIndex],14)&gt;0)&gt;0,SUMIFS(T_SelfStock[Self_Qty],T_SelfStock[RM_Code],$A22,T_SelfStock[WeekIndex],14)+SUMIFS(T_TTAFStock[TTAF_Qty],T_TTAFStock[RM_Code],$A22,T_TTAFStock[WeekIndex],14),N22+'Grid_Incoming'!O22-'Grid_Requirement'!O22))</f>
        <v/>
      </c>
      <c r="P22">
        <f>IF(COUNTIFS(T_StockCount[RM_Code],$A22,T_StockCount[WeekIndex],15)&gt;0,SUMIFS(T_StockCount[CountedQty],T_StockCount[RM_Code],$A22,T_StockCount[WeekIndex],15),IF((COUNTIFS(T_SelfStock[RM_Code],$A22,T_SelfStock[WeekIndex],15)&gt;0)*(COUNTIFS(T_TTAFStock[RM_Code],$A22,T_TTAFStock[WeekIndex],15)&gt;0)&gt;0,SUMIFS(T_SelfStock[Self_Qty],T_SelfStock[RM_Code],$A22,T_SelfStock[WeekIndex],15)+SUMIFS(T_TTAFStock[TTAF_Qty],T_TTAFStock[RM_Code],$A22,T_TTAFStock[WeekIndex],15),O22+'Grid_Incoming'!P22-'Grid_Requirement'!P22))</f>
        <v/>
      </c>
      <c r="Q22">
        <f>IF(COUNTIFS(T_StockCount[RM_Code],$A22,T_StockCount[WeekIndex],16)&gt;0,SUMIFS(T_StockCount[CountedQty],T_StockCount[RM_Code],$A22,T_StockCount[WeekIndex],16),IF((COUNTIFS(T_SelfStock[RM_Code],$A22,T_SelfStock[WeekIndex],16)&gt;0)*(COUNTIFS(T_TTAFStock[RM_Code],$A22,T_TTAFStock[WeekIndex],16)&gt;0)&gt;0,SUMIFS(T_SelfStock[Self_Qty],T_SelfStock[RM_Code],$A22,T_SelfStock[WeekIndex],16)+SUMIFS(T_TTAFStock[TTAF_Qty],T_TTAFStock[RM_Code],$A22,T_TTAFStock[WeekIndex],16),P22+'Grid_Incoming'!Q22-'Grid_Requirement'!Q22))</f>
        <v/>
      </c>
      <c r="R22">
        <f>IF(COUNTIFS(T_StockCount[RM_Code],$A22,T_StockCount[WeekIndex],17)&gt;0,SUMIFS(T_StockCount[CountedQty],T_StockCount[RM_Code],$A22,T_StockCount[WeekIndex],17),IF((COUNTIFS(T_SelfStock[RM_Code],$A22,T_SelfStock[WeekIndex],17)&gt;0)*(COUNTIFS(T_TTAFStock[RM_Code],$A22,T_TTAFStock[WeekIndex],17)&gt;0)&gt;0,SUMIFS(T_SelfStock[Self_Qty],T_SelfStock[RM_Code],$A22,T_SelfStock[WeekIndex],17)+SUMIFS(T_TTAFStock[TTAF_Qty],T_TTAFStock[RM_Code],$A22,T_TTAFStock[WeekIndex],17),Q22+'Grid_Incoming'!R22-'Grid_Requirement'!R22))</f>
        <v/>
      </c>
      <c r="S22">
        <f>IF(COUNTIFS(T_StockCount[RM_Code],$A22,T_StockCount[WeekIndex],18)&gt;0,SUMIFS(T_StockCount[CountedQty],T_StockCount[RM_Code],$A22,T_StockCount[WeekIndex],18),IF((COUNTIFS(T_SelfStock[RM_Code],$A22,T_SelfStock[WeekIndex],18)&gt;0)*(COUNTIFS(T_TTAFStock[RM_Code],$A22,T_TTAFStock[WeekIndex],18)&gt;0)&gt;0,SUMIFS(T_SelfStock[Self_Qty],T_SelfStock[RM_Code],$A22,T_SelfStock[WeekIndex],18)+SUMIFS(T_TTAFStock[TTAF_Qty],T_TTAFStock[RM_Code],$A22,T_TTAFStock[WeekIndex],18),R22+'Grid_Incoming'!S22-'Grid_Requirement'!S22))</f>
        <v/>
      </c>
      <c r="T22">
        <f>IF(COUNTIFS(T_StockCount[RM_Code],$A22,T_StockCount[WeekIndex],19)&gt;0,SUMIFS(T_StockCount[CountedQty],T_StockCount[RM_Code],$A22,T_StockCount[WeekIndex],19),IF((COUNTIFS(T_SelfStock[RM_Code],$A22,T_SelfStock[WeekIndex],19)&gt;0)*(COUNTIFS(T_TTAFStock[RM_Code],$A22,T_TTAFStock[WeekIndex],19)&gt;0)&gt;0,SUMIFS(T_SelfStock[Self_Qty],T_SelfStock[RM_Code],$A22,T_SelfStock[WeekIndex],19)+SUMIFS(T_TTAFStock[TTAF_Qty],T_TTAFStock[RM_Code],$A22,T_TTAFStock[WeekIndex],19),S22+'Grid_Incoming'!T22-'Grid_Requirement'!T22))</f>
        <v/>
      </c>
      <c r="U22">
        <f>IF(COUNTIFS(T_StockCount[RM_Code],$A22,T_StockCount[WeekIndex],20)&gt;0,SUMIFS(T_StockCount[CountedQty],T_StockCount[RM_Code],$A22,T_StockCount[WeekIndex],20),IF((COUNTIFS(T_SelfStock[RM_Code],$A22,T_SelfStock[WeekIndex],20)&gt;0)*(COUNTIFS(T_TTAFStock[RM_Code],$A22,T_TTAFStock[WeekIndex],20)&gt;0)&gt;0,SUMIFS(T_SelfStock[Self_Qty],T_SelfStock[RM_Code],$A22,T_SelfStock[WeekIndex],20)+SUMIFS(T_TTAFStock[TTAF_Qty],T_TTAFStock[RM_Code],$A22,T_TTAFStock[WeekIndex],20),T22+'Grid_Incoming'!U22-'Grid_Requirement'!U22))</f>
        <v/>
      </c>
      <c r="V22">
        <f>IF(COUNTIFS(T_StockCount[RM_Code],$A22,T_StockCount[WeekIndex],21)&gt;0,SUMIFS(T_StockCount[CountedQty],T_StockCount[RM_Code],$A22,T_StockCount[WeekIndex],21),IF((COUNTIFS(T_SelfStock[RM_Code],$A22,T_SelfStock[WeekIndex],21)&gt;0)*(COUNTIFS(T_TTAFStock[RM_Code],$A22,T_TTAFStock[WeekIndex],21)&gt;0)&gt;0,SUMIFS(T_SelfStock[Self_Qty],T_SelfStock[RM_Code],$A22,T_SelfStock[WeekIndex],21)+SUMIFS(T_TTAFStock[TTAF_Qty],T_TTAFStock[RM_Code],$A22,T_TTAFStock[WeekIndex],21),U22+'Grid_Incoming'!V22-'Grid_Requirement'!V22))</f>
        <v/>
      </c>
      <c r="W22">
        <f>IF(COUNTIFS(T_StockCount[RM_Code],$A22,T_StockCount[WeekIndex],22)&gt;0,SUMIFS(T_StockCount[CountedQty],T_StockCount[RM_Code],$A22,T_StockCount[WeekIndex],22),IF((COUNTIFS(T_SelfStock[RM_Code],$A22,T_SelfStock[WeekIndex],22)&gt;0)*(COUNTIFS(T_TTAFStock[RM_Code],$A22,T_TTAFStock[WeekIndex],22)&gt;0)&gt;0,SUMIFS(T_SelfStock[Self_Qty],T_SelfStock[RM_Code],$A22,T_SelfStock[WeekIndex],22)+SUMIFS(T_TTAFStock[TTAF_Qty],T_TTAFStock[RM_Code],$A22,T_TTAFStock[WeekIndex],22),V22+'Grid_Incoming'!W22-'Grid_Requirement'!W22))</f>
        <v/>
      </c>
      <c r="X22">
        <f>IF(COUNTIFS(T_StockCount[RM_Code],$A22,T_StockCount[WeekIndex],23)&gt;0,SUMIFS(T_StockCount[CountedQty],T_StockCount[RM_Code],$A22,T_StockCount[WeekIndex],23),IF((COUNTIFS(T_SelfStock[RM_Code],$A22,T_SelfStock[WeekIndex],23)&gt;0)*(COUNTIFS(T_TTAFStock[RM_Code],$A22,T_TTAFStock[WeekIndex],23)&gt;0)&gt;0,SUMIFS(T_SelfStock[Self_Qty],T_SelfStock[RM_Code],$A22,T_SelfStock[WeekIndex],23)+SUMIFS(T_TTAFStock[TTAF_Qty],T_TTAFStock[RM_Code],$A22,T_TTAFStock[WeekIndex],23),W22+'Grid_Incoming'!X22-'Grid_Requirement'!X22))</f>
        <v/>
      </c>
      <c r="Y22">
        <f>IF(COUNTIFS(T_StockCount[RM_Code],$A22,T_StockCount[WeekIndex],24)&gt;0,SUMIFS(T_StockCount[CountedQty],T_StockCount[RM_Code],$A22,T_StockCount[WeekIndex],24),IF((COUNTIFS(T_SelfStock[RM_Code],$A22,T_SelfStock[WeekIndex],24)&gt;0)*(COUNTIFS(T_TTAFStock[RM_Code],$A22,T_TTAFStock[WeekIndex],24)&gt;0)&gt;0,SUMIFS(T_SelfStock[Self_Qty],T_SelfStock[RM_Code],$A22,T_SelfStock[WeekIndex],24)+SUMIFS(T_TTAFStock[TTAF_Qty],T_TTAFStock[RM_Code],$A22,T_TTAFStock[WeekIndex],24),X22+'Grid_Incoming'!Y22-'Grid_Requirement'!Y22))</f>
        <v/>
      </c>
      <c r="Z22">
        <f>IF(COUNTIFS(T_StockCount[RM_Code],$A22,T_StockCount[WeekIndex],25)&gt;0,SUMIFS(T_StockCount[CountedQty],T_StockCount[RM_Code],$A22,T_StockCount[WeekIndex],25),IF((COUNTIFS(T_SelfStock[RM_Code],$A22,T_SelfStock[WeekIndex],25)&gt;0)*(COUNTIFS(T_TTAFStock[RM_Code],$A22,T_TTAFStock[WeekIndex],25)&gt;0)&gt;0,SUMIFS(T_SelfStock[Self_Qty],T_SelfStock[RM_Code],$A22,T_SelfStock[WeekIndex],25)+SUMIFS(T_TTAFStock[TTAF_Qty],T_TTAFStock[RM_Code],$A22,T_TTAFStock[WeekIndex],25),Y22+'Grid_Incoming'!Z22-'Grid_Requirement'!Z22))</f>
        <v/>
      </c>
      <c r="AA22">
        <f>IF(COUNTIFS(T_StockCount[RM_Code],$A22,T_StockCount[WeekIndex],26)&gt;0,SUMIFS(T_StockCount[CountedQty],T_StockCount[RM_Code],$A22,T_StockCount[WeekIndex],26),IF((COUNTIFS(T_SelfStock[RM_Code],$A22,T_SelfStock[WeekIndex],26)&gt;0)*(COUNTIFS(T_TTAFStock[RM_Code],$A22,T_TTAFStock[WeekIndex],26)&gt;0)&gt;0,SUMIFS(T_SelfStock[Self_Qty],T_SelfStock[RM_Code],$A22,T_SelfStock[WeekIndex],26)+SUMIFS(T_TTAFStock[TTAF_Qty],T_TTAFStock[RM_Code],$A22,T_TTAFStock[WeekIndex],26),Z22+'Grid_Incoming'!AA22-'Grid_Requirement'!AA22))</f>
        <v/>
      </c>
      <c r="AB22">
        <f>IF(COUNTIFS(T_StockCount[RM_Code],$A22,T_StockCount[WeekIndex],27)&gt;0,SUMIFS(T_StockCount[CountedQty],T_StockCount[RM_Code],$A22,T_StockCount[WeekIndex],27),IF((COUNTIFS(T_SelfStock[RM_Code],$A22,T_SelfStock[WeekIndex],27)&gt;0)*(COUNTIFS(T_TTAFStock[RM_Code],$A22,T_TTAFStock[WeekIndex],27)&gt;0)&gt;0,SUMIFS(T_SelfStock[Self_Qty],T_SelfStock[RM_Code],$A22,T_SelfStock[WeekIndex],27)+SUMIFS(T_TTAFStock[TTAF_Qty],T_TTAFStock[RM_Code],$A22,T_TTAFStock[WeekIndex],27),AA22+'Grid_Incoming'!AB22-'Grid_Requirement'!AB22))</f>
        <v/>
      </c>
      <c r="AC22">
        <f>IF(COUNTIFS(T_StockCount[RM_Code],$A22,T_StockCount[WeekIndex],28)&gt;0,SUMIFS(T_StockCount[CountedQty],T_StockCount[RM_Code],$A22,T_StockCount[WeekIndex],28),IF((COUNTIFS(T_SelfStock[RM_Code],$A22,T_SelfStock[WeekIndex],28)&gt;0)*(COUNTIFS(T_TTAFStock[RM_Code],$A22,T_TTAFStock[WeekIndex],28)&gt;0)&gt;0,SUMIFS(T_SelfStock[Self_Qty],T_SelfStock[RM_Code],$A22,T_SelfStock[WeekIndex],28)+SUMIFS(T_TTAFStock[TTAF_Qty],T_TTAFStock[RM_Code],$A22,T_TTAFStock[WeekIndex],28),AB22+'Grid_Incoming'!AC22-'Grid_Requirement'!AC22))</f>
        <v/>
      </c>
      <c r="AD22">
        <f>IF(COUNTIFS(T_StockCount[RM_Code],$A22,T_StockCount[WeekIndex],29)&gt;0,SUMIFS(T_StockCount[CountedQty],T_StockCount[RM_Code],$A22,T_StockCount[WeekIndex],29),IF((COUNTIFS(T_SelfStock[RM_Code],$A22,T_SelfStock[WeekIndex],29)&gt;0)*(COUNTIFS(T_TTAFStock[RM_Code],$A22,T_TTAFStock[WeekIndex],29)&gt;0)&gt;0,SUMIFS(T_SelfStock[Self_Qty],T_SelfStock[RM_Code],$A22,T_SelfStock[WeekIndex],29)+SUMIFS(T_TTAFStock[TTAF_Qty],T_TTAFStock[RM_Code],$A22,T_TTAFStock[WeekIndex],29),AC22+'Grid_Incoming'!AD22-'Grid_Requirement'!AD22))</f>
        <v/>
      </c>
      <c r="AE22">
        <f>IF(COUNTIFS(T_StockCount[RM_Code],$A22,T_StockCount[WeekIndex],30)&gt;0,SUMIFS(T_StockCount[CountedQty],T_StockCount[RM_Code],$A22,T_StockCount[WeekIndex],30),IF((COUNTIFS(T_SelfStock[RM_Code],$A22,T_SelfStock[WeekIndex],30)&gt;0)*(COUNTIFS(T_TTAFStock[RM_Code],$A22,T_TTAFStock[WeekIndex],30)&gt;0)&gt;0,SUMIFS(T_SelfStock[Self_Qty],T_SelfStock[RM_Code],$A22,T_SelfStock[WeekIndex],30)+SUMIFS(T_TTAFStock[TTAF_Qty],T_TTAFStock[RM_Code],$A22,T_TTAFStock[WeekIndex],30),AD22+'Grid_Incoming'!AE22-'Grid_Requirement'!AE22))</f>
        <v/>
      </c>
      <c r="AF22">
        <f>IF(COUNTIFS(T_StockCount[RM_Code],$A22,T_StockCount[WeekIndex],31)&gt;0,SUMIFS(T_StockCount[CountedQty],T_StockCount[RM_Code],$A22,T_StockCount[WeekIndex],31),IF((COUNTIFS(T_SelfStock[RM_Code],$A22,T_SelfStock[WeekIndex],31)&gt;0)*(COUNTIFS(T_TTAFStock[RM_Code],$A22,T_TTAFStock[WeekIndex],31)&gt;0)&gt;0,SUMIFS(T_SelfStock[Self_Qty],T_SelfStock[RM_Code],$A22,T_SelfStock[WeekIndex],31)+SUMIFS(T_TTAFStock[TTAF_Qty],T_TTAFStock[RM_Code],$A22,T_TTAFStock[WeekIndex],31),AE22+'Grid_Incoming'!AF22-'Grid_Requirement'!AF22))</f>
        <v/>
      </c>
      <c r="AG22">
        <f>IF(COUNTIFS(T_StockCount[RM_Code],$A22,T_StockCount[WeekIndex],32)&gt;0,SUMIFS(T_StockCount[CountedQty],T_StockCount[RM_Code],$A22,T_StockCount[WeekIndex],32),IF((COUNTIFS(T_SelfStock[RM_Code],$A22,T_SelfStock[WeekIndex],32)&gt;0)*(COUNTIFS(T_TTAFStock[RM_Code],$A22,T_TTAFStock[WeekIndex],32)&gt;0)&gt;0,SUMIFS(T_SelfStock[Self_Qty],T_SelfStock[RM_Code],$A22,T_SelfStock[WeekIndex],32)+SUMIFS(T_TTAFStock[TTAF_Qty],T_TTAFStock[RM_Code],$A22,T_TTAFStock[WeekIndex],32),AF22+'Grid_Incoming'!AG22-'Grid_Requirement'!AG22))</f>
        <v/>
      </c>
      <c r="AH22">
        <f>IF(COUNTIFS(T_StockCount[RM_Code],$A22,T_StockCount[WeekIndex],33)&gt;0,SUMIFS(T_StockCount[CountedQty],T_StockCount[RM_Code],$A22,T_StockCount[WeekIndex],33),IF((COUNTIFS(T_SelfStock[RM_Code],$A22,T_SelfStock[WeekIndex],33)&gt;0)*(COUNTIFS(T_TTAFStock[RM_Code],$A22,T_TTAFStock[WeekIndex],33)&gt;0)&gt;0,SUMIFS(T_SelfStock[Self_Qty],T_SelfStock[RM_Code],$A22,T_SelfStock[WeekIndex],33)+SUMIFS(T_TTAFStock[TTAF_Qty],T_TTAFStock[RM_Code],$A22,T_TTAFStock[WeekIndex],33),AG22+'Grid_Incoming'!AH22-'Grid_Requirement'!AH22))</f>
        <v/>
      </c>
      <c r="AI22">
        <f>IF(COUNTIFS(T_StockCount[RM_Code],$A22,T_StockCount[WeekIndex],34)&gt;0,SUMIFS(T_StockCount[CountedQty],T_StockCount[RM_Code],$A22,T_StockCount[WeekIndex],34),IF((COUNTIFS(T_SelfStock[RM_Code],$A22,T_SelfStock[WeekIndex],34)&gt;0)*(COUNTIFS(T_TTAFStock[RM_Code],$A22,T_TTAFStock[WeekIndex],34)&gt;0)&gt;0,SUMIFS(T_SelfStock[Self_Qty],T_SelfStock[RM_Code],$A22,T_SelfStock[WeekIndex],34)+SUMIFS(T_TTAFStock[TTAF_Qty],T_TTAFStock[RM_Code],$A22,T_TTAFStock[WeekIndex],34),AH22+'Grid_Incoming'!AI22-'Grid_Requirement'!AI22))</f>
        <v/>
      </c>
      <c r="AJ22">
        <f>IF(COUNTIFS(T_StockCount[RM_Code],$A22,T_StockCount[WeekIndex],35)&gt;0,SUMIFS(T_StockCount[CountedQty],T_StockCount[RM_Code],$A22,T_StockCount[WeekIndex],35),IF((COUNTIFS(T_SelfStock[RM_Code],$A22,T_SelfStock[WeekIndex],35)&gt;0)*(COUNTIFS(T_TTAFStock[RM_Code],$A22,T_TTAFStock[WeekIndex],35)&gt;0)&gt;0,SUMIFS(T_SelfStock[Self_Qty],T_SelfStock[RM_Code],$A22,T_SelfStock[WeekIndex],35)+SUMIFS(T_TTAFStock[TTAF_Qty],T_TTAFStock[RM_Code],$A22,T_TTAFStock[WeekIndex],35),AI22+'Grid_Incoming'!AJ22-'Grid_Requirement'!AJ22))</f>
        <v/>
      </c>
      <c r="AK22">
        <f>IF(COUNTIFS(T_StockCount[RM_Code],$A22,T_StockCount[WeekIndex],36)&gt;0,SUMIFS(T_StockCount[CountedQty],T_StockCount[RM_Code],$A22,T_StockCount[WeekIndex],36),IF((COUNTIFS(T_SelfStock[RM_Code],$A22,T_SelfStock[WeekIndex],36)&gt;0)*(COUNTIFS(T_TTAFStock[RM_Code],$A22,T_TTAFStock[WeekIndex],36)&gt;0)&gt;0,SUMIFS(T_SelfStock[Self_Qty],T_SelfStock[RM_Code],$A22,T_SelfStock[WeekIndex],36)+SUMIFS(T_TTAFStock[TTAF_Qty],T_TTAFStock[RM_Code],$A22,T_TTAFStock[WeekIndex],36),AJ22+'Grid_Incoming'!AK22-'Grid_Requirement'!AK22))</f>
        <v/>
      </c>
      <c r="AL22">
        <f>IF(COUNTIFS(T_StockCount[RM_Code],$A22,T_StockCount[WeekIndex],37)&gt;0,SUMIFS(T_StockCount[CountedQty],T_StockCount[RM_Code],$A22,T_StockCount[WeekIndex],37),IF((COUNTIFS(T_SelfStock[RM_Code],$A22,T_SelfStock[WeekIndex],37)&gt;0)*(COUNTIFS(T_TTAFStock[RM_Code],$A22,T_TTAFStock[WeekIndex],37)&gt;0)&gt;0,SUMIFS(T_SelfStock[Self_Qty],T_SelfStock[RM_Code],$A22,T_SelfStock[WeekIndex],37)+SUMIFS(T_TTAFStock[TTAF_Qty],T_TTAFStock[RM_Code],$A22,T_TTAFStock[WeekIndex],37),AK22+'Grid_Incoming'!AL22-'Grid_Requirement'!AL22))</f>
        <v/>
      </c>
      <c r="AM22">
        <f>IF(COUNTIFS(T_StockCount[RM_Code],$A22,T_StockCount[WeekIndex],38)&gt;0,SUMIFS(T_StockCount[CountedQty],T_StockCount[RM_Code],$A22,T_StockCount[WeekIndex],38),IF((COUNTIFS(T_SelfStock[RM_Code],$A22,T_SelfStock[WeekIndex],38)&gt;0)*(COUNTIFS(T_TTAFStock[RM_Code],$A22,T_TTAFStock[WeekIndex],38)&gt;0)&gt;0,SUMIFS(T_SelfStock[Self_Qty],T_SelfStock[RM_Code],$A22,T_SelfStock[WeekIndex],38)+SUMIFS(T_TTAFStock[TTAF_Qty],T_TTAFStock[RM_Code],$A22,T_TTAFStock[WeekIndex],38),AL22+'Grid_Incoming'!AM22-'Grid_Requirement'!AM22))</f>
        <v/>
      </c>
      <c r="AN22">
        <f>IF(COUNTIFS(T_StockCount[RM_Code],$A22,T_StockCount[WeekIndex],39)&gt;0,SUMIFS(T_StockCount[CountedQty],T_StockCount[RM_Code],$A22,T_StockCount[WeekIndex],39),IF((COUNTIFS(T_SelfStock[RM_Code],$A22,T_SelfStock[WeekIndex],39)&gt;0)*(COUNTIFS(T_TTAFStock[RM_Code],$A22,T_TTAFStock[WeekIndex],39)&gt;0)&gt;0,SUMIFS(T_SelfStock[Self_Qty],T_SelfStock[RM_Code],$A22,T_SelfStock[WeekIndex],39)+SUMIFS(T_TTAFStock[TTAF_Qty],T_TTAFStock[RM_Code],$A22,T_TTAFStock[WeekIndex],39),AM22+'Grid_Incoming'!AN22-'Grid_Requirement'!AN22))</f>
        <v/>
      </c>
      <c r="AO22">
        <f>IF(COUNTIFS(T_StockCount[RM_Code],$A22,T_StockCount[WeekIndex],40)&gt;0,SUMIFS(T_StockCount[CountedQty],T_StockCount[RM_Code],$A22,T_StockCount[WeekIndex],40),IF((COUNTIFS(T_SelfStock[RM_Code],$A22,T_SelfStock[WeekIndex],40)&gt;0)*(COUNTIFS(T_TTAFStock[RM_Code],$A22,T_TTAFStock[WeekIndex],40)&gt;0)&gt;0,SUMIFS(T_SelfStock[Self_Qty],T_SelfStock[RM_Code],$A22,T_SelfStock[WeekIndex],40)+SUMIFS(T_TTAFStock[TTAF_Qty],T_TTAFStock[RM_Code],$A22,T_TTAFStock[WeekIndex],40),AN22+'Grid_Incoming'!AO22-'Grid_Requirement'!AO22))</f>
        <v/>
      </c>
      <c r="AP22">
        <f>IF(COUNTIFS(T_StockCount[RM_Code],$A22,T_StockCount[WeekIndex],41)&gt;0,SUMIFS(T_StockCount[CountedQty],T_StockCount[RM_Code],$A22,T_StockCount[WeekIndex],41),IF((COUNTIFS(T_SelfStock[RM_Code],$A22,T_SelfStock[WeekIndex],41)&gt;0)*(COUNTIFS(T_TTAFStock[RM_Code],$A22,T_TTAFStock[WeekIndex],41)&gt;0)&gt;0,SUMIFS(T_SelfStock[Self_Qty],T_SelfStock[RM_Code],$A22,T_SelfStock[WeekIndex],41)+SUMIFS(T_TTAFStock[TTAF_Qty],T_TTAFStock[RM_Code],$A22,T_TTAFStock[WeekIndex],41),AO22+'Grid_Incoming'!AP22-'Grid_Requirement'!AP22))</f>
        <v/>
      </c>
      <c r="AQ22">
        <f>IF(COUNTIFS(T_StockCount[RM_Code],$A22,T_StockCount[WeekIndex],42)&gt;0,SUMIFS(T_StockCount[CountedQty],T_StockCount[RM_Code],$A22,T_StockCount[WeekIndex],42),IF((COUNTIFS(T_SelfStock[RM_Code],$A22,T_SelfStock[WeekIndex],42)&gt;0)*(COUNTIFS(T_TTAFStock[RM_Code],$A22,T_TTAFStock[WeekIndex],42)&gt;0)&gt;0,SUMIFS(T_SelfStock[Self_Qty],T_SelfStock[RM_Code],$A22,T_SelfStock[WeekIndex],42)+SUMIFS(T_TTAFStock[TTAF_Qty],T_TTAFStock[RM_Code],$A22,T_TTAFStock[WeekIndex],42),AP22+'Grid_Incoming'!AQ22-'Grid_Requirement'!AQ22))</f>
        <v/>
      </c>
      <c r="AR22">
        <f>IF(COUNTIFS(T_StockCount[RM_Code],$A22,T_StockCount[WeekIndex],43)&gt;0,SUMIFS(T_StockCount[CountedQty],T_StockCount[RM_Code],$A22,T_StockCount[WeekIndex],43),IF((COUNTIFS(T_SelfStock[RM_Code],$A22,T_SelfStock[WeekIndex],43)&gt;0)*(COUNTIFS(T_TTAFStock[RM_Code],$A22,T_TTAFStock[WeekIndex],43)&gt;0)&gt;0,SUMIFS(T_SelfStock[Self_Qty],T_SelfStock[RM_Code],$A22,T_SelfStock[WeekIndex],43)+SUMIFS(T_TTAFStock[TTAF_Qty],T_TTAFStock[RM_Code],$A22,T_TTAFStock[WeekIndex],43),AQ22+'Grid_Incoming'!AR22-'Grid_Requirement'!AR22))</f>
        <v/>
      </c>
      <c r="AS22">
        <f>IF(COUNTIFS(T_StockCount[RM_Code],$A22,T_StockCount[WeekIndex],44)&gt;0,SUMIFS(T_StockCount[CountedQty],T_StockCount[RM_Code],$A22,T_StockCount[WeekIndex],44),IF((COUNTIFS(T_SelfStock[RM_Code],$A22,T_SelfStock[WeekIndex],44)&gt;0)*(COUNTIFS(T_TTAFStock[RM_Code],$A22,T_TTAFStock[WeekIndex],44)&gt;0)&gt;0,SUMIFS(T_SelfStock[Self_Qty],T_SelfStock[RM_Code],$A22,T_SelfStock[WeekIndex],44)+SUMIFS(T_TTAFStock[TTAF_Qty],T_TTAFStock[RM_Code],$A22,T_TTAFStock[WeekIndex],44),AR22+'Grid_Incoming'!AS22-'Grid_Requirement'!AS22))</f>
        <v/>
      </c>
      <c r="AT22">
        <f>IF(COUNTIFS(T_StockCount[RM_Code],$A22,T_StockCount[WeekIndex],45)&gt;0,SUMIFS(T_StockCount[CountedQty],T_StockCount[RM_Code],$A22,T_StockCount[WeekIndex],45),IF((COUNTIFS(T_SelfStock[RM_Code],$A22,T_SelfStock[WeekIndex],45)&gt;0)*(COUNTIFS(T_TTAFStock[RM_Code],$A22,T_TTAFStock[WeekIndex],45)&gt;0)&gt;0,SUMIFS(T_SelfStock[Self_Qty],T_SelfStock[RM_Code],$A22,T_SelfStock[WeekIndex],45)+SUMIFS(T_TTAFStock[TTAF_Qty],T_TTAFStock[RM_Code],$A22,T_TTAFStock[WeekIndex],45),AS22+'Grid_Incoming'!AT22-'Grid_Requirement'!AT22))</f>
        <v/>
      </c>
      <c r="AU22">
        <f>IF(COUNTIFS(T_StockCount[RM_Code],$A22,T_StockCount[WeekIndex],46)&gt;0,SUMIFS(T_StockCount[CountedQty],T_StockCount[RM_Code],$A22,T_StockCount[WeekIndex],46),IF((COUNTIFS(T_SelfStock[RM_Code],$A22,T_SelfStock[WeekIndex],46)&gt;0)*(COUNTIFS(T_TTAFStock[RM_Code],$A22,T_TTAFStock[WeekIndex],46)&gt;0)&gt;0,SUMIFS(T_SelfStock[Self_Qty],T_SelfStock[RM_Code],$A22,T_SelfStock[WeekIndex],46)+SUMIFS(T_TTAFStock[TTAF_Qty],T_TTAFStock[RM_Code],$A22,T_TTAFStock[WeekIndex],46),AT22+'Grid_Incoming'!AU22-'Grid_Requirement'!AU22))</f>
        <v/>
      </c>
      <c r="AV22">
        <f>IF(COUNTIFS(T_StockCount[RM_Code],$A22,T_StockCount[WeekIndex],47)&gt;0,SUMIFS(T_StockCount[CountedQty],T_StockCount[RM_Code],$A22,T_StockCount[WeekIndex],47),IF((COUNTIFS(T_SelfStock[RM_Code],$A22,T_SelfStock[WeekIndex],47)&gt;0)*(COUNTIFS(T_TTAFStock[RM_Code],$A22,T_TTAFStock[WeekIndex],47)&gt;0)&gt;0,SUMIFS(T_SelfStock[Self_Qty],T_SelfStock[RM_Code],$A22,T_SelfStock[WeekIndex],47)+SUMIFS(T_TTAFStock[TTAF_Qty],T_TTAFStock[RM_Code],$A22,T_TTAFStock[WeekIndex],47),AU22+'Grid_Incoming'!AV22-'Grid_Requirement'!AV22))</f>
        <v/>
      </c>
      <c r="AW22">
        <f>IF(COUNTIFS(T_StockCount[RM_Code],$A22,T_StockCount[WeekIndex],48)&gt;0,SUMIFS(T_StockCount[CountedQty],T_StockCount[RM_Code],$A22,T_StockCount[WeekIndex],48),IF((COUNTIFS(T_SelfStock[RM_Code],$A22,T_SelfStock[WeekIndex],48)&gt;0)*(COUNTIFS(T_TTAFStock[RM_Code],$A22,T_TTAFStock[WeekIndex],48)&gt;0)&gt;0,SUMIFS(T_SelfStock[Self_Qty],T_SelfStock[RM_Code],$A22,T_SelfStock[WeekIndex],48)+SUMIFS(T_TTAFStock[TTAF_Qty],T_TTAFStock[RM_Code],$A22,T_TTAFStock[WeekIndex],48),AV22+'Grid_Incoming'!AW22-'Grid_Requirement'!AW22))</f>
        <v/>
      </c>
      <c r="AX22">
        <f>IF(COUNTIFS(T_StockCount[RM_Code],$A22,T_StockCount[WeekIndex],49)&gt;0,SUMIFS(T_StockCount[CountedQty],T_StockCount[RM_Code],$A22,T_StockCount[WeekIndex],49),IF((COUNTIFS(T_SelfStock[RM_Code],$A22,T_SelfStock[WeekIndex],49)&gt;0)*(COUNTIFS(T_TTAFStock[RM_Code],$A22,T_TTAFStock[WeekIndex],49)&gt;0)&gt;0,SUMIFS(T_SelfStock[Self_Qty],T_SelfStock[RM_Code],$A22,T_SelfStock[WeekIndex],49)+SUMIFS(T_TTAFStock[TTAF_Qty],T_TTAFStock[RM_Code],$A22,T_TTAFStock[WeekIndex],49),AW22+'Grid_Incoming'!AX22-'Grid_Requirement'!AX22))</f>
        <v/>
      </c>
      <c r="AY22">
        <f>IF(COUNTIFS(T_StockCount[RM_Code],$A22,T_StockCount[WeekIndex],50)&gt;0,SUMIFS(T_StockCount[CountedQty],T_StockCount[RM_Code],$A22,T_StockCount[WeekIndex],50),IF((COUNTIFS(T_SelfStock[RM_Code],$A22,T_SelfStock[WeekIndex],50)&gt;0)*(COUNTIFS(T_TTAFStock[RM_Code],$A22,T_TTAFStock[WeekIndex],50)&gt;0)&gt;0,SUMIFS(T_SelfStock[Self_Qty],T_SelfStock[RM_Code],$A22,T_SelfStock[WeekIndex],50)+SUMIFS(T_TTAFStock[TTAF_Qty],T_TTAFStock[RM_Code],$A22,T_TTAFStock[WeekIndex],50),AX22+'Grid_Incoming'!AY22-'Grid_Requirement'!AY22))</f>
        <v/>
      </c>
      <c r="AZ22">
        <f>IF(COUNTIFS(T_StockCount[RM_Code],$A22,T_StockCount[WeekIndex],51)&gt;0,SUMIFS(T_StockCount[CountedQty],T_StockCount[RM_Code],$A22,T_StockCount[WeekIndex],51),IF((COUNTIFS(T_SelfStock[RM_Code],$A22,T_SelfStock[WeekIndex],51)&gt;0)*(COUNTIFS(T_TTAFStock[RM_Code],$A22,T_TTAFStock[WeekIndex],51)&gt;0)&gt;0,SUMIFS(T_SelfStock[Self_Qty],T_SelfStock[RM_Code],$A22,T_SelfStock[WeekIndex],51)+SUMIFS(T_TTAFStock[TTAF_Qty],T_TTAFStock[RM_Code],$A22,T_TTAFStock[WeekIndex],51),AY22+'Grid_Incoming'!AZ22-'Grid_Requirement'!AZ22))</f>
        <v/>
      </c>
      <c r="BA22">
        <f>IF(COUNTIFS(T_StockCount[RM_Code],$A22,T_StockCount[WeekIndex],52)&gt;0,SUMIFS(T_StockCount[CountedQty],T_StockCount[RM_Code],$A22,T_StockCount[WeekIndex],52),IF((COUNTIFS(T_SelfStock[RM_Code],$A22,T_SelfStock[WeekIndex],52)&gt;0)*(COUNTIFS(T_TTAFStock[RM_Code],$A22,T_TTAFStock[WeekIndex],52)&gt;0)&gt;0,SUMIFS(T_SelfStock[Self_Qty],T_SelfStock[RM_Code],$A22,T_SelfStock[WeekIndex],52)+SUMIFS(T_TTAFStock[TTAF_Qty],T_TTAFStock[RM_Code],$A22,T_TTAFStock[WeekIndex],52),AZ22+'Grid_Incoming'!BA22-'Grid_Requirement'!BA22))</f>
        <v/>
      </c>
      <c r="BB22">
        <f>IF(COUNTIFS(T_StockCount[RM_Code],$A22,T_StockCount[WeekIndex],53)&gt;0,SUMIFS(T_StockCount[CountedQty],T_StockCount[RM_Code],$A22,T_StockCount[WeekIndex],53),IF((COUNTIFS(T_SelfStock[RM_Code],$A22,T_SelfStock[WeekIndex],53)&gt;0)*(COUNTIFS(T_TTAFStock[RM_Code],$A22,T_TTAFStock[WeekIndex],53)&gt;0)&gt;0,SUMIFS(T_SelfStock[Self_Qty],T_SelfStock[RM_Code],$A22,T_SelfStock[WeekIndex],53)+SUMIFS(T_TTAFStock[TTAF_Qty],T_TTAFStock[RM_Code],$A22,T_TTAFStock[WeekIndex],53),BA22+'Grid_Incoming'!BB22-'Grid_Requirement'!BB22))</f>
        <v/>
      </c>
      <c r="BC22">
        <f>IF(COUNTIFS(T_StockCount[RM_Code],$A22,T_StockCount[WeekIndex],54)&gt;0,SUMIFS(T_StockCount[CountedQty],T_StockCount[RM_Code],$A22,T_StockCount[WeekIndex],54),IF((COUNTIFS(T_SelfStock[RM_Code],$A22,T_SelfStock[WeekIndex],54)&gt;0)*(COUNTIFS(T_TTAFStock[RM_Code],$A22,T_TTAFStock[WeekIndex],54)&gt;0)&gt;0,SUMIFS(T_SelfStock[Self_Qty],T_SelfStock[RM_Code],$A22,T_SelfStock[WeekIndex],54)+SUMIFS(T_TTAFStock[TTAF_Qty],T_TTAFStock[RM_Code],$A22,T_TTAFStock[WeekIndex],54),BB22+'Grid_Incoming'!BC22-'Grid_Requirement'!BC22))</f>
        <v/>
      </c>
      <c r="BD22">
        <f>IF(COUNTIFS(T_StockCount[RM_Code],$A22,T_StockCount[WeekIndex],55)&gt;0,SUMIFS(T_StockCount[CountedQty],T_StockCount[RM_Code],$A22,T_StockCount[WeekIndex],55),IF((COUNTIFS(T_SelfStock[RM_Code],$A22,T_SelfStock[WeekIndex],55)&gt;0)*(COUNTIFS(T_TTAFStock[RM_Code],$A22,T_TTAFStock[WeekIndex],55)&gt;0)&gt;0,SUMIFS(T_SelfStock[Self_Qty],T_SelfStock[RM_Code],$A22,T_SelfStock[WeekIndex],55)+SUMIFS(T_TTAFStock[TTAF_Qty],T_TTAFStock[RM_Code],$A22,T_TTAFStock[WeekIndex],55),BC22+'Grid_Incoming'!BD22-'Grid_Requirement'!BD22))</f>
        <v/>
      </c>
      <c r="BE22">
        <f>IF(COUNTIFS(T_StockCount[RM_Code],$A22,T_StockCount[WeekIndex],56)&gt;0,SUMIFS(T_StockCount[CountedQty],T_StockCount[RM_Code],$A22,T_StockCount[WeekIndex],56),IF((COUNTIFS(T_SelfStock[RM_Code],$A22,T_SelfStock[WeekIndex],56)&gt;0)*(COUNTIFS(T_TTAFStock[RM_Code],$A22,T_TTAFStock[WeekIndex],56)&gt;0)&gt;0,SUMIFS(T_SelfStock[Self_Qty],T_SelfStock[RM_Code],$A22,T_SelfStock[WeekIndex],56)+SUMIFS(T_TTAFStock[TTAF_Qty],T_TTAFStock[RM_Code],$A22,T_TTAFStock[WeekIndex],56),BD22+'Grid_Incoming'!BE22-'Grid_Requirement'!BE22))</f>
        <v/>
      </c>
      <c r="BF22">
        <f>IF(COUNTIFS(T_StockCount[RM_Code],$A22,T_StockCount[WeekIndex],57)&gt;0,SUMIFS(T_StockCount[CountedQty],T_StockCount[RM_Code],$A22,T_StockCount[WeekIndex],57),IF((COUNTIFS(T_SelfStock[RM_Code],$A22,T_SelfStock[WeekIndex],57)&gt;0)*(COUNTIFS(T_TTAFStock[RM_Code],$A22,T_TTAFStock[WeekIndex],57)&gt;0)&gt;0,SUMIFS(T_SelfStock[Self_Qty],T_SelfStock[RM_Code],$A22,T_SelfStock[WeekIndex],57)+SUMIFS(T_TTAFStock[TTAF_Qty],T_TTAFStock[RM_Code],$A22,T_TTAFStock[WeekIndex],57),BE22+'Grid_Incoming'!BF22-'Grid_Requirement'!BF22))</f>
        <v/>
      </c>
      <c r="BG22">
        <f>IF(COUNTIFS(T_StockCount[RM_Code],$A22,T_StockCount[WeekIndex],58)&gt;0,SUMIFS(T_StockCount[CountedQty],T_StockCount[RM_Code],$A22,T_StockCount[WeekIndex],58),IF((COUNTIFS(T_SelfStock[RM_Code],$A22,T_SelfStock[WeekIndex],58)&gt;0)*(COUNTIFS(T_TTAFStock[RM_Code],$A22,T_TTAFStock[WeekIndex],58)&gt;0)&gt;0,SUMIFS(T_SelfStock[Self_Qty],T_SelfStock[RM_Code],$A22,T_SelfStock[WeekIndex],58)+SUMIFS(T_TTAFStock[TTAF_Qty],T_TTAFStock[RM_Code],$A22,T_TTAFStock[WeekIndex],58),BF22+'Grid_Incoming'!BG22-'Grid_Requirement'!BG22))</f>
        <v/>
      </c>
      <c r="BH22">
        <f>IF(COUNTIFS(T_StockCount[RM_Code],$A22,T_StockCount[WeekIndex],59)&gt;0,SUMIFS(T_StockCount[CountedQty],T_StockCount[RM_Code],$A22,T_StockCount[WeekIndex],59),IF((COUNTIFS(T_SelfStock[RM_Code],$A22,T_SelfStock[WeekIndex],59)&gt;0)*(COUNTIFS(T_TTAFStock[RM_Code],$A22,T_TTAFStock[WeekIndex],59)&gt;0)&gt;0,SUMIFS(T_SelfStock[Self_Qty],T_SelfStock[RM_Code],$A22,T_SelfStock[WeekIndex],59)+SUMIFS(T_TTAFStock[TTAF_Qty],T_TTAFStock[RM_Code],$A22,T_TTAFStock[WeekIndex],59),BG22+'Grid_Incoming'!BH22-'Grid_Requirement'!BH22))</f>
        <v/>
      </c>
      <c r="BI22">
        <f>IF(COUNTIFS(T_StockCount[RM_Code],$A22,T_StockCount[WeekIndex],60)&gt;0,SUMIFS(T_StockCount[CountedQty],T_StockCount[RM_Code],$A22,T_StockCount[WeekIndex],60),IF((COUNTIFS(T_SelfStock[RM_Code],$A22,T_SelfStock[WeekIndex],60)&gt;0)*(COUNTIFS(T_TTAFStock[RM_Code],$A22,T_TTAFStock[WeekIndex],60)&gt;0)&gt;0,SUMIFS(T_SelfStock[Self_Qty],T_SelfStock[RM_Code],$A22,T_SelfStock[WeekIndex],60)+SUMIFS(T_TTAFStock[TTAF_Qty],T_TTAFStock[RM_Code],$A22,T_TTAFStock[WeekIndex],60),BH22+'Grid_Incoming'!BI22-'Grid_Requirement'!BI22))</f>
        <v/>
      </c>
      <c r="BJ22">
        <f>IF(COUNTIFS(T_StockCount[RM_Code],$A22,T_StockCount[WeekIndex],61)&gt;0,SUMIFS(T_StockCount[CountedQty],T_StockCount[RM_Code],$A22,T_StockCount[WeekIndex],61),IF((COUNTIFS(T_SelfStock[RM_Code],$A22,T_SelfStock[WeekIndex],61)&gt;0)*(COUNTIFS(T_TTAFStock[RM_Code],$A22,T_TTAFStock[WeekIndex],61)&gt;0)&gt;0,SUMIFS(T_SelfStock[Self_Qty],T_SelfStock[RM_Code],$A22,T_SelfStock[WeekIndex],61)+SUMIFS(T_TTAFStock[TTAF_Qty],T_TTAFStock[RM_Code],$A22,T_TTAFStock[WeekIndex],61),BI22+'Grid_Incoming'!BJ22-'Grid_Requirement'!BJ22))</f>
        <v/>
      </c>
      <c r="BK22">
        <f>IF(COUNTIFS(T_StockCount[RM_Code],$A22,T_StockCount[WeekIndex],62)&gt;0,SUMIFS(T_StockCount[CountedQty],T_StockCount[RM_Code],$A22,T_StockCount[WeekIndex],62),IF((COUNTIFS(T_SelfStock[RM_Code],$A22,T_SelfStock[WeekIndex],62)&gt;0)*(COUNTIFS(T_TTAFStock[RM_Code],$A22,T_TTAFStock[WeekIndex],62)&gt;0)&gt;0,SUMIFS(T_SelfStock[Self_Qty],T_SelfStock[RM_Code],$A22,T_SelfStock[WeekIndex],62)+SUMIFS(T_TTAFStock[TTAF_Qty],T_TTAFStock[RM_Code],$A22,T_TTAFStock[WeekIndex],62),BJ22+'Grid_Incoming'!BK22-'Grid_Requirement'!BK22))</f>
        <v/>
      </c>
      <c r="BL22">
        <f>IF(COUNTIFS(T_StockCount[RM_Code],$A22,T_StockCount[WeekIndex],63)&gt;0,SUMIFS(T_StockCount[CountedQty],T_StockCount[RM_Code],$A22,T_StockCount[WeekIndex],63),IF((COUNTIFS(T_SelfStock[RM_Code],$A22,T_SelfStock[WeekIndex],63)&gt;0)*(COUNTIFS(T_TTAFStock[RM_Code],$A22,T_TTAFStock[WeekIndex],63)&gt;0)&gt;0,SUMIFS(T_SelfStock[Self_Qty],T_SelfStock[RM_Code],$A22,T_SelfStock[WeekIndex],63)+SUMIFS(T_TTAFStock[TTAF_Qty],T_TTAFStock[RM_Code],$A22,T_TTAFStock[WeekIndex],63),BK22+'Grid_Incoming'!BL22-'Grid_Requirement'!BL22))</f>
        <v/>
      </c>
      <c r="BM22">
        <f>IF(COUNTIFS(T_StockCount[RM_Code],$A22,T_StockCount[WeekIndex],64)&gt;0,SUMIFS(T_StockCount[CountedQty],T_StockCount[RM_Code],$A22,T_StockCount[WeekIndex],64),IF((COUNTIFS(T_SelfStock[RM_Code],$A22,T_SelfStock[WeekIndex],64)&gt;0)*(COUNTIFS(T_TTAFStock[RM_Code],$A22,T_TTAFStock[WeekIndex],64)&gt;0)&gt;0,SUMIFS(T_SelfStock[Self_Qty],T_SelfStock[RM_Code],$A22,T_SelfStock[WeekIndex],64)+SUMIFS(T_TTAFStock[TTAF_Qty],T_TTAFStock[RM_Code],$A22,T_TTAFStock[WeekIndex],64),BL22+'Grid_Incoming'!BM22-'Grid_Requirement'!BM22))</f>
        <v/>
      </c>
      <c r="BN22">
        <f>IF(COUNTIFS(T_StockCount[RM_Code],$A22,T_StockCount[WeekIndex],65)&gt;0,SUMIFS(T_StockCount[CountedQty],T_StockCount[RM_Code],$A22,T_StockCount[WeekIndex],65),IF((COUNTIFS(T_SelfStock[RM_Code],$A22,T_SelfStock[WeekIndex],65)&gt;0)*(COUNTIFS(T_TTAFStock[RM_Code],$A22,T_TTAFStock[WeekIndex],65)&gt;0)&gt;0,SUMIFS(T_SelfStock[Self_Qty],T_SelfStock[RM_Code],$A22,T_SelfStock[WeekIndex],65)+SUMIFS(T_TTAFStock[TTAF_Qty],T_TTAFStock[RM_Code],$A22,T_TTAFStock[WeekIndex],65),BM22+'Grid_Incoming'!BN22-'Grid_Requirement'!BN22))</f>
        <v/>
      </c>
      <c r="BO22">
        <f>IF(COUNTIFS(T_StockCount[RM_Code],$A22,T_StockCount[WeekIndex],66)&gt;0,SUMIFS(T_StockCount[CountedQty],T_StockCount[RM_Code],$A22,T_StockCount[WeekIndex],66),IF((COUNTIFS(T_SelfStock[RM_Code],$A22,T_SelfStock[WeekIndex],66)&gt;0)*(COUNTIFS(T_TTAFStock[RM_Code],$A22,T_TTAFStock[WeekIndex],66)&gt;0)&gt;0,SUMIFS(T_SelfStock[Self_Qty],T_SelfStock[RM_Code],$A22,T_SelfStock[WeekIndex],66)+SUMIFS(T_TTAFStock[TTAF_Qty],T_TTAFStock[RM_Code],$A22,T_TTAFStock[WeekIndex],66),BN22+'Grid_Incoming'!BO22-'Grid_Requirement'!BO22))</f>
        <v/>
      </c>
      <c r="BP22">
        <f>IF(COUNTIFS(T_StockCount[RM_Code],$A22,T_StockCount[WeekIndex],67)&gt;0,SUMIFS(T_StockCount[CountedQty],T_StockCount[RM_Code],$A22,T_StockCount[WeekIndex],67),IF((COUNTIFS(T_SelfStock[RM_Code],$A22,T_SelfStock[WeekIndex],67)&gt;0)*(COUNTIFS(T_TTAFStock[RM_Code],$A22,T_TTAFStock[WeekIndex],67)&gt;0)&gt;0,SUMIFS(T_SelfStock[Self_Qty],T_SelfStock[RM_Code],$A22,T_SelfStock[WeekIndex],67)+SUMIFS(T_TTAFStock[TTAF_Qty],T_TTAFStock[RM_Code],$A22,T_TTAFStock[WeekIndex],67),BO22+'Grid_Incoming'!BP22-'Grid_Requirement'!BP22))</f>
        <v/>
      </c>
      <c r="BQ22">
        <f>IF(COUNTIFS(T_StockCount[RM_Code],$A22,T_StockCount[WeekIndex],68)&gt;0,SUMIFS(T_StockCount[CountedQty],T_StockCount[RM_Code],$A22,T_StockCount[WeekIndex],68),IF((COUNTIFS(T_SelfStock[RM_Code],$A22,T_SelfStock[WeekIndex],68)&gt;0)*(COUNTIFS(T_TTAFStock[RM_Code],$A22,T_TTAFStock[WeekIndex],68)&gt;0)&gt;0,SUMIFS(T_SelfStock[Self_Qty],T_SelfStock[RM_Code],$A22,T_SelfStock[WeekIndex],68)+SUMIFS(T_TTAFStock[TTAF_Qty],T_TTAFStock[RM_Code],$A22,T_TTAFStock[WeekIndex],68),BP22+'Grid_Incoming'!BQ22-'Grid_Requirement'!BQ22))</f>
        <v/>
      </c>
      <c r="BR22">
        <f>IF(COUNTIFS(T_StockCount[RM_Code],$A22,T_StockCount[WeekIndex],69)&gt;0,SUMIFS(T_StockCount[CountedQty],T_StockCount[RM_Code],$A22,T_StockCount[WeekIndex],69),IF((COUNTIFS(T_SelfStock[RM_Code],$A22,T_SelfStock[WeekIndex],69)&gt;0)*(COUNTIFS(T_TTAFStock[RM_Code],$A22,T_TTAFStock[WeekIndex],69)&gt;0)&gt;0,SUMIFS(T_SelfStock[Self_Qty],T_SelfStock[RM_Code],$A22,T_SelfStock[WeekIndex],69)+SUMIFS(T_TTAFStock[TTAF_Qty],T_TTAFStock[RM_Code],$A22,T_TTAFStock[WeekIndex],69),BQ22+'Grid_Incoming'!BR22-'Grid_Requirement'!BR22))</f>
        <v/>
      </c>
      <c r="BS22">
        <f>IF(COUNTIFS(T_StockCount[RM_Code],$A22,T_StockCount[WeekIndex],70)&gt;0,SUMIFS(T_StockCount[CountedQty],T_StockCount[RM_Code],$A22,T_StockCount[WeekIndex],70),IF((COUNTIFS(T_SelfStock[RM_Code],$A22,T_SelfStock[WeekIndex],70)&gt;0)*(COUNTIFS(T_TTAFStock[RM_Code],$A22,T_TTAFStock[WeekIndex],70)&gt;0)&gt;0,SUMIFS(T_SelfStock[Self_Qty],T_SelfStock[RM_Code],$A22,T_SelfStock[WeekIndex],70)+SUMIFS(T_TTAFStock[TTAF_Qty],T_TTAFStock[RM_Code],$A22,T_TTAFStock[WeekIndex],70),BR22+'Grid_Incoming'!BS22-'Grid_Requirement'!BS22))</f>
        <v/>
      </c>
      <c r="BT22">
        <f>IF(COUNTIFS(T_StockCount[RM_Code],$A22,T_StockCount[WeekIndex],71)&gt;0,SUMIFS(T_StockCount[CountedQty],T_StockCount[RM_Code],$A22,T_StockCount[WeekIndex],71),IF((COUNTIFS(T_SelfStock[RM_Code],$A22,T_SelfStock[WeekIndex],71)&gt;0)*(COUNTIFS(T_TTAFStock[RM_Code],$A22,T_TTAFStock[WeekIndex],71)&gt;0)&gt;0,SUMIFS(T_SelfStock[Self_Qty],T_SelfStock[RM_Code],$A22,T_SelfStock[WeekIndex],71)+SUMIFS(T_TTAFStock[TTAF_Qty],T_TTAFStock[RM_Code],$A22,T_TTAFStock[WeekIndex],71),BS22+'Grid_Incoming'!BT22-'Grid_Requirement'!BT22))</f>
        <v/>
      </c>
      <c r="BU22">
        <f>IF(COUNTIFS(T_StockCount[RM_Code],$A22,T_StockCount[WeekIndex],72)&gt;0,SUMIFS(T_StockCount[CountedQty],T_StockCount[RM_Code],$A22,T_StockCount[WeekIndex],72),IF((COUNTIFS(T_SelfStock[RM_Code],$A22,T_SelfStock[WeekIndex],72)&gt;0)*(COUNTIFS(T_TTAFStock[RM_Code],$A22,T_TTAFStock[WeekIndex],72)&gt;0)&gt;0,SUMIFS(T_SelfStock[Self_Qty],T_SelfStock[RM_Code],$A22,T_SelfStock[WeekIndex],72)+SUMIFS(T_TTAFStock[TTAF_Qty],T_TTAFStock[RM_Code],$A22,T_TTAFStock[WeekIndex],72),BT22+'Grid_Incoming'!BU22-'Grid_Requirement'!BU22))</f>
        <v/>
      </c>
      <c r="BV22">
        <f>IF(COUNTIFS(T_StockCount[RM_Code],$A22,T_StockCount[WeekIndex],73)&gt;0,SUMIFS(T_StockCount[CountedQty],T_StockCount[RM_Code],$A22,T_StockCount[WeekIndex],73),IF((COUNTIFS(T_SelfStock[RM_Code],$A22,T_SelfStock[WeekIndex],73)&gt;0)*(COUNTIFS(T_TTAFStock[RM_Code],$A22,T_TTAFStock[WeekIndex],73)&gt;0)&gt;0,SUMIFS(T_SelfStock[Self_Qty],T_SelfStock[RM_Code],$A22,T_SelfStock[WeekIndex],73)+SUMIFS(T_TTAFStock[TTAF_Qty],T_TTAFStock[RM_Code],$A22,T_TTAFStock[WeekIndex],73),BU22+'Grid_Incoming'!BV22-'Grid_Requirement'!BV22))</f>
        <v/>
      </c>
      <c r="BW22">
        <f>IF(COUNTIFS(T_StockCount[RM_Code],$A22,T_StockCount[WeekIndex],74)&gt;0,SUMIFS(T_StockCount[CountedQty],T_StockCount[RM_Code],$A22,T_StockCount[WeekIndex],74),IF((COUNTIFS(T_SelfStock[RM_Code],$A22,T_SelfStock[WeekIndex],74)&gt;0)*(COUNTIFS(T_TTAFStock[RM_Code],$A22,T_TTAFStock[WeekIndex],74)&gt;0)&gt;0,SUMIFS(T_SelfStock[Self_Qty],T_SelfStock[RM_Code],$A22,T_SelfStock[WeekIndex],74)+SUMIFS(T_TTAFStock[TTAF_Qty],T_TTAFStock[RM_Code],$A22,T_TTAFStock[WeekIndex],74),BV22+'Grid_Incoming'!BW22-'Grid_Requirement'!BW22))</f>
        <v/>
      </c>
      <c r="BX22">
        <f>IF(COUNTIFS(T_StockCount[RM_Code],$A22,T_StockCount[WeekIndex],75)&gt;0,SUMIFS(T_StockCount[CountedQty],T_StockCount[RM_Code],$A22,T_StockCount[WeekIndex],75),IF((COUNTIFS(T_SelfStock[RM_Code],$A22,T_SelfStock[WeekIndex],75)&gt;0)*(COUNTIFS(T_TTAFStock[RM_Code],$A22,T_TTAFStock[WeekIndex],75)&gt;0)&gt;0,SUMIFS(T_SelfStock[Self_Qty],T_SelfStock[RM_Code],$A22,T_SelfStock[WeekIndex],75)+SUMIFS(T_TTAFStock[TTAF_Qty],T_TTAFStock[RM_Code],$A22,T_TTAFStock[WeekIndex],75),BW22+'Grid_Incoming'!BX22-'Grid_Requirement'!BX22))</f>
        <v/>
      </c>
      <c r="BY22">
        <f>IF(COUNTIFS(T_StockCount[RM_Code],$A22,T_StockCount[WeekIndex],76)&gt;0,SUMIFS(T_StockCount[CountedQty],T_StockCount[RM_Code],$A22,T_StockCount[WeekIndex],76),IF((COUNTIFS(T_SelfStock[RM_Code],$A22,T_SelfStock[WeekIndex],76)&gt;0)*(COUNTIFS(T_TTAFStock[RM_Code],$A22,T_TTAFStock[WeekIndex],76)&gt;0)&gt;0,SUMIFS(T_SelfStock[Self_Qty],T_SelfStock[RM_Code],$A22,T_SelfStock[WeekIndex],76)+SUMIFS(T_TTAFStock[TTAF_Qty],T_TTAFStock[RM_Code],$A22,T_TTAFStock[WeekIndex],76),BX22+'Grid_Incoming'!BY22-'Grid_Requirement'!BY22))</f>
        <v/>
      </c>
      <c r="BZ22">
        <f>IF(COUNTIFS(T_StockCount[RM_Code],$A22,T_StockCount[WeekIndex],77)&gt;0,SUMIFS(T_StockCount[CountedQty],T_StockCount[RM_Code],$A22,T_StockCount[WeekIndex],77),IF((COUNTIFS(T_SelfStock[RM_Code],$A22,T_SelfStock[WeekIndex],77)&gt;0)*(COUNTIFS(T_TTAFStock[RM_Code],$A22,T_TTAFStock[WeekIndex],77)&gt;0)&gt;0,SUMIFS(T_SelfStock[Self_Qty],T_SelfStock[RM_Code],$A22,T_SelfStock[WeekIndex],77)+SUMIFS(T_TTAFStock[TTAF_Qty],T_TTAFStock[RM_Code],$A22,T_TTAFStock[WeekIndex],77),BY22+'Grid_Incoming'!BZ22-'Grid_Requirement'!BZ22))</f>
        <v/>
      </c>
      <c r="CA22">
        <f>IF(COUNTIFS(T_StockCount[RM_Code],$A22,T_StockCount[WeekIndex],78)&gt;0,SUMIFS(T_StockCount[CountedQty],T_StockCount[RM_Code],$A22,T_StockCount[WeekIndex],78),IF((COUNTIFS(T_SelfStock[RM_Code],$A22,T_SelfStock[WeekIndex],78)&gt;0)*(COUNTIFS(T_TTAFStock[RM_Code],$A22,T_TTAFStock[WeekIndex],78)&gt;0)&gt;0,SUMIFS(T_SelfStock[Self_Qty],T_SelfStock[RM_Code],$A22,T_SelfStock[WeekIndex],78)+SUMIFS(T_TTAFStock[TTAF_Qty],T_TTAFStock[RM_Code],$A22,T_TTAFStock[WeekIndex],78),BZ22+'Grid_Incoming'!CA22-'Grid_Requirement'!CA22))</f>
        <v/>
      </c>
      <c r="CB22">
        <f>IF(COUNTIFS(T_StockCount[RM_Code],$A22,T_StockCount[WeekIndex],79)&gt;0,SUMIFS(T_StockCount[CountedQty],T_StockCount[RM_Code],$A22,T_StockCount[WeekIndex],79),IF((COUNTIFS(T_SelfStock[RM_Code],$A22,T_SelfStock[WeekIndex],79)&gt;0)*(COUNTIFS(T_TTAFStock[RM_Code],$A22,T_TTAFStock[WeekIndex],79)&gt;0)&gt;0,SUMIFS(T_SelfStock[Self_Qty],T_SelfStock[RM_Code],$A22,T_SelfStock[WeekIndex],79)+SUMIFS(T_TTAFStock[TTAF_Qty],T_TTAFStock[RM_Code],$A22,T_TTAFStock[WeekIndex],79),CA22+'Grid_Incoming'!CB22-'Grid_Requirement'!CB22))</f>
        <v/>
      </c>
      <c r="CC22">
        <f>IF(COUNTIFS(T_StockCount[RM_Code],$A22,T_StockCount[WeekIndex],80)&gt;0,SUMIFS(T_StockCount[CountedQty],T_StockCount[RM_Code],$A22,T_StockCount[WeekIndex],80),IF((COUNTIFS(T_SelfStock[RM_Code],$A22,T_SelfStock[WeekIndex],80)&gt;0)*(COUNTIFS(T_TTAFStock[RM_Code],$A22,T_TTAFStock[WeekIndex],80)&gt;0)&gt;0,SUMIFS(T_SelfStock[Self_Qty],T_SelfStock[RM_Code],$A22,T_SelfStock[WeekIndex],80)+SUMIFS(T_TTAFStock[TTAF_Qty],T_TTAFStock[RM_Code],$A22,T_TTAFStock[WeekIndex],80),CB22+'Grid_Incoming'!CC22-'Grid_Requirement'!CC22))</f>
        <v/>
      </c>
      <c r="CD22">
        <f>IF(COUNTIFS(T_StockCount[RM_Code],$A22,T_StockCount[WeekIndex],81)&gt;0,SUMIFS(T_StockCount[CountedQty],T_StockCount[RM_Code],$A22,T_StockCount[WeekIndex],81),IF((COUNTIFS(T_SelfStock[RM_Code],$A22,T_SelfStock[WeekIndex],81)&gt;0)*(COUNTIFS(T_TTAFStock[RM_Code],$A22,T_TTAFStock[WeekIndex],81)&gt;0)&gt;0,SUMIFS(T_SelfStock[Self_Qty],T_SelfStock[RM_Code],$A22,T_SelfStock[WeekIndex],81)+SUMIFS(T_TTAFStock[TTAF_Qty],T_TTAFStock[RM_Code],$A22,T_TTAFStock[WeekIndex],81),CC22+'Grid_Incoming'!CD22-'Grid_Requirement'!CD22))</f>
        <v/>
      </c>
      <c r="CE22">
        <f>IF(COUNTIFS(T_StockCount[RM_Code],$A22,T_StockCount[WeekIndex],82)&gt;0,SUMIFS(T_StockCount[CountedQty],T_StockCount[RM_Code],$A22,T_StockCount[WeekIndex],82),IF((COUNTIFS(T_SelfStock[RM_Code],$A22,T_SelfStock[WeekIndex],82)&gt;0)*(COUNTIFS(T_TTAFStock[RM_Code],$A22,T_TTAFStock[WeekIndex],82)&gt;0)&gt;0,SUMIFS(T_SelfStock[Self_Qty],T_SelfStock[RM_Code],$A22,T_SelfStock[WeekIndex],82)+SUMIFS(T_TTAFStock[TTAF_Qty],T_TTAFStock[RM_Code],$A22,T_TTAFStock[WeekIndex],82),CD22+'Grid_Incoming'!CE22-'Grid_Requirement'!CE22))</f>
        <v/>
      </c>
      <c r="CF22">
        <f>IF(COUNTIFS(T_StockCount[RM_Code],$A22,T_StockCount[WeekIndex],83)&gt;0,SUMIFS(T_StockCount[CountedQty],T_StockCount[RM_Code],$A22,T_StockCount[WeekIndex],83),IF((COUNTIFS(T_SelfStock[RM_Code],$A22,T_SelfStock[WeekIndex],83)&gt;0)*(COUNTIFS(T_TTAFStock[RM_Code],$A22,T_TTAFStock[WeekIndex],83)&gt;0)&gt;0,SUMIFS(T_SelfStock[Self_Qty],T_SelfStock[RM_Code],$A22,T_SelfStock[WeekIndex],83)+SUMIFS(T_TTAFStock[TTAF_Qty],T_TTAFStock[RM_Code],$A22,T_TTAFStock[WeekIndex],83),CE22+'Grid_Incoming'!CF22-'Grid_Requirement'!CF22))</f>
        <v/>
      </c>
      <c r="CG22">
        <f>IF(COUNTIFS(T_StockCount[RM_Code],$A22,T_StockCount[WeekIndex],84)&gt;0,SUMIFS(T_StockCount[CountedQty],T_StockCount[RM_Code],$A22,T_StockCount[WeekIndex],84),IF((COUNTIFS(T_SelfStock[RM_Code],$A22,T_SelfStock[WeekIndex],84)&gt;0)*(COUNTIFS(T_TTAFStock[RM_Code],$A22,T_TTAFStock[WeekIndex],84)&gt;0)&gt;0,SUMIFS(T_SelfStock[Self_Qty],T_SelfStock[RM_Code],$A22,T_SelfStock[WeekIndex],84)+SUMIFS(T_TTAFStock[TTAF_Qty],T_TTAFStock[RM_Code],$A22,T_TTAFStock[WeekIndex],84),CF22+'Grid_Incoming'!CG22-'Grid_Requirement'!CG22))</f>
        <v/>
      </c>
      <c r="CH22">
        <f>IF(COUNTIFS(T_StockCount[RM_Code],$A22,T_StockCount[WeekIndex],85)&gt;0,SUMIFS(T_StockCount[CountedQty],T_StockCount[RM_Code],$A22,T_StockCount[WeekIndex],85),IF((COUNTIFS(T_SelfStock[RM_Code],$A22,T_SelfStock[WeekIndex],85)&gt;0)*(COUNTIFS(T_TTAFStock[RM_Code],$A22,T_TTAFStock[WeekIndex],85)&gt;0)&gt;0,SUMIFS(T_SelfStock[Self_Qty],T_SelfStock[RM_Code],$A22,T_SelfStock[WeekIndex],85)+SUMIFS(T_TTAFStock[TTAF_Qty],T_TTAFStock[RM_Code],$A22,T_TTAFStock[WeekIndex],85),CG22+'Grid_Incoming'!CH22-'Grid_Requirement'!CH22))</f>
        <v/>
      </c>
      <c r="CI22">
        <f>IF(COUNTIFS(T_StockCount[RM_Code],$A22,T_StockCount[WeekIndex],86)&gt;0,SUMIFS(T_StockCount[CountedQty],T_StockCount[RM_Code],$A22,T_StockCount[WeekIndex],86),IF((COUNTIFS(T_SelfStock[RM_Code],$A22,T_SelfStock[WeekIndex],86)&gt;0)*(COUNTIFS(T_TTAFStock[RM_Code],$A22,T_TTAFStock[WeekIndex],86)&gt;0)&gt;0,SUMIFS(T_SelfStock[Self_Qty],T_SelfStock[RM_Code],$A22,T_SelfStock[WeekIndex],86)+SUMIFS(T_TTAFStock[TTAF_Qty],T_TTAFStock[RM_Code],$A22,T_TTAFStock[WeekIndex],86),CH22+'Grid_Incoming'!CI22-'Grid_Requirement'!CI22))</f>
        <v/>
      </c>
      <c r="CJ22">
        <f>IF(COUNTIFS(T_StockCount[RM_Code],$A22,T_StockCount[WeekIndex],87)&gt;0,SUMIFS(T_StockCount[CountedQty],T_StockCount[RM_Code],$A22,T_StockCount[WeekIndex],87),IF((COUNTIFS(T_SelfStock[RM_Code],$A22,T_SelfStock[WeekIndex],87)&gt;0)*(COUNTIFS(T_TTAFStock[RM_Code],$A22,T_TTAFStock[WeekIndex],87)&gt;0)&gt;0,SUMIFS(T_SelfStock[Self_Qty],T_SelfStock[RM_Code],$A22,T_SelfStock[WeekIndex],87)+SUMIFS(T_TTAFStock[TTAF_Qty],T_TTAFStock[RM_Code],$A22,T_TTAFStock[WeekIndex],87),CI22+'Grid_Incoming'!CJ22-'Grid_Requirement'!CJ22))</f>
        <v/>
      </c>
      <c r="CK22">
        <f>IF(COUNTIFS(T_StockCount[RM_Code],$A22,T_StockCount[WeekIndex],88)&gt;0,SUMIFS(T_StockCount[CountedQty],T_StockCount[RM_Code],$A22,T_StockCount[WeekIndex],88),IF((COUNTIFS(T_SelfStock[RM_Code],$A22,T_SelfStock[WeekIndex],88)&gt;0)*(COUNTIFS(T_TTAFStock[RM_Code],$A22,T_TTAFStock[WeekIndex],88)&gt;0)&gt;0,SUMIFS(T_SelfStock[Self_Qty],T_SelfStock[RM_Code],$A22,T_SelfStock[WeekIndex],88)+SUMIFS(T_TTAFStock[TTAF_Qty],T_TTAFStock[RM_Code],$A22,T_TTAFStock[WeekIndex],88),CJ22+'Grid_Incoming'!CK22-'Grid_Requirement'!CK22))</f>
        <v/>
      </c>
      <c r="CL22">
        <f>IF(COUNTIFS(T_StockCount[RM_Code],$A22,T_StockCount[WeekIndex],89)&gt;0,SUMIFS(T_StockCount[CountedQty],T_StockCount[RM_Code],$A22,T_StockCount[WeekIndex],89),IF((COUNTIFS(T_SelfStock[RM_Code],$A22,T_SelfStock[WeekIndex],89)&gt;0)*(COUNTIFS(T_TTAFStock[RM_Code],$A22,T_TTAFStock[WeekIndex],89)&gt;0)&gt;0,SUMIFS(T_SelfStock[Self_Qty],T_SelfStock[RM_Code],$A22,T_SelfStock[WeekIndex],89)+SUMIFS(T_TTAFStock[TTAF_Qty],T_TTAFStock[RM_Code],$A22,T_TTAFStock[WeekIndex],89),CK22+'Grid_Incoming'!CL22-'Grid_Requirement'!CL22))</f>
        <v/>
      </c>
      <c r="CM22">
        <f>IF(COUNTIFS(T_StockCount[RM_Code],$A22,T_StockCount[WeekIndex],90)&gt;0,SUMIFS(T_StockCount[CountedQty],T_StockCount[RM_Code],$A22,T_StockCount[WeekIndex],90),IF((COUNTIFS(T_SelfStock[RM_Code],$A22,T_SelfStock[WeekIndex],90)&gt;0)*(COUNTIFS(T_TTAFStock[RM_Code],$A22,T_TTAFStock[WeekIndex],90)&gt;0)&gt;0,SUMIFS(T_SelfStock[Self_Qty],T_SelfStock[RM_Code],$A22,T_SelfStock[WeekIndex],90)+SUMIFS(T_TTAFStock[TTAF_Qty],T_TTAFStock[RM_Code],$A22,T_TTAFStock[WeekIndex],90),CL22+'Grid_Incoming'!CM22-'Grid_Requirement'!CM22))</f>
        <v/>
      </c>
      <c r="CN22">
        <f>IF(COUNTIFS(T_StockCount[RM_Code],$A22,T_StockCount[WeekIndex],91)&gt;0,SUMIFS(T_StockCount[CountedQty],T_StockCount[RM_Code],$A22,T_StockCount[WeekIndex],91),IF((COUNTIFS(T_SelfStock[RM_Code],$A22,T_SelfStock[WeekIndex],91)&gt;0)*(COUNTIFS(T_TTAFStock[RM_Code],$A22,T_TTAFStock[WeekIndex],91)&gt;0)&gt;0,SUMIFS(T_SelfStock[Self_Qty],T_SelfStock[RM_Code],$A22,T_SelfStock[WeekIndex],91)+SUMIFS(T_TTAFStock[TTAF_Qty],T_TTAFStock[RM_Code],$A22,T_TTAFStock[WeekIndex],91),CM22+'Grid_Incoming'!CN22-'Grid_Requirement'!CN22))</f>
        <v/>
      </c>
      <c r="CO22">
        <f>IF(COUNTIFS(T_StockCount[RM_Code],$A22,T_StockCount[WeekIndex],92)&gt;0,SUMIFS(T_StockCount[CountedQty],T_StockCount[RM_Code],$A22,T_StockCount[WeekIndex],92),IF((COUNTIFS(T_SelfStock[RM_Code],$A22,T_SelfStock[WeekIndex],92)&gt;0)*(COUNTIFS(T_TTAFStock[RM_Code],$A22,T_TTAFStock[WeekIndex],92)&gt;0)&gt;0,SUMIFS(T_SelfStock[Self_Qty],T_SelfStock[RM_Code],$A22,T_SelfStock[WeekIndex],92)+SUMIFS(T_TTAFStock[TTAF_Qty],T_TTAFStock[RM_Code],$A22,T_TTAFStock[WeekIndex],92),CN22+'Grid_Incoming'!CO22-'Grid_Requirement'!CO22))</f>
        <v/>
      </c>
      <c r="CP22">
        <f>IF(COUNTIFS(T_StockCount[RM_Code],$A22,T_StockCount[WeekIndex],93)&gt;0,SUMIFS(T_StockCount[CountedQty],T_StockCount[RM_Code],$A22,T_StockCount[WeekIndex],93),IF((COUNTIFS(T_SelfStock[RM_Code],$A22,T_SelfStock[WeekIndex],93)&gt;0)*(COUNTIFS(T_TTAFStock[RM_Code],$A22,T_TTAFStock[WeekIndex],93)&gt;0)&gt;0,SUMIFS(T_SelfStock[Self_Qty],T_SelfStock[RM_Code],$A22,T_SelfStock[WeekIndex],93)+SUMIFS(T_TTAFStock[TTAF_Qty],T_TTAFStock[RM_Code],$A22,T_TTAFStock[WeekIndex],93),CO22+'Grid_Incoming'!CP22-'Grid_Requirement'!CP22))</f>
        <v/>
      </c>
      <c r="CQ22">
        <f>IF(COUNTIFS(T_StockCount[RM_Code],$A22,T_StockCount[WeekIndex],94)&gt;0,SUMIFS(T_StockCount[CountedQty],T_StockCount[RM_Code],$A22,T_StockCount[WeekIndex],94),IF((COUNTIFS(T_SelfStock[RM_Code],$A22,T_SelfStock[WeekIndex],94)&gt;0)*(COUNTIFS(T_TTAFStock[RM_Code],$A22,T_TTAFStock[WeekIndex],94)&gt;0)&gt;0,SUMIFS(T_SelfStock[Self_Qty],T_SelfStock[RM_Code],$A22,T_SelfStock[WeekIndex],94)+SUMIFS(T_TTAFStock[TTAF_Qty],T_TTAFStock[RM_Code],$A22,T_TTAFStock[WeekIndex],94),CP22+'Grid_Incoming'!CQ22-'Grid_Requirement'!CQ22))</f>
        <v/>
      </c>
      <c r="CR22">
        <f>IF(COUNTIFS(T_StockCount[RM_Code],$A22,T_StockCount[WeekIndex],95)&gt;0,SUMIFS(T_StockCount[CountedQty],T_StockCount[RM_Code],$A22,T_StockCount[WeekIndex],95),IF((COUNTIFS(T_SelfStock[RM_Code],$A22,T_SelfStock[WeekIndex],95)&gt;0)*(COUNTIFS(T_TTAFStock[RM_Code],$A22,T_TTAFStock[WeekIndex],95)&gt;0)&gt;0,SUMIFS(T_SelfStock[Self_Qty],T_SelfStock[RM_Code],$A22,T_SelfStock[WeekIndex],95)+SUMIFS(T_TTAFStock[TTAF_Qty],T_TTAFStock[RM_Code],$A22,T_TTAFStock[WeekIndex],95),CQ22+'Grid_Incoming'!CR22-'Grid_Requirement'!CR22))</f>
        <v/>
      </c>
      <c r="CS22">
        <f>IF(COUNTIFS(T_StockCount[RM_Code],$A22,T_StockCount[WeekIndex],96)&gt;0,SUMIFS(T_StockCount[CountedQty],T_StockCount[RM_Code],$A22,T_StockCount[WeekIndex],96),IF((COUNTIFS(T_SelfStock[RM_Code],$A22,T_SelfStock[WeekIndex],96)&gt;0)*(COUNTIFS(T_TTAFStock[RM_Code],$A22,T_TTAFStock[WeekIndex],96)&gt;0)&gt;0,SUMIFS(T_SelfStock[Self_Qty],T_SelfStock[RM_Code],$A22,T_SelfStock[WeekIndex],96)+SUMIFS(T_TTAFStock[TTAF_Qty],T_TTAFStock[RM_Code],$A22,T_TTAFStock[WeekIndex],96),CR22+'Grid_Incoming'!CS22-'Grid_Requirement'!CS22))</f>
        <v/>
      </c>
      <c r="CT22">
        <f>IF(COUNTIFS(T_StockCount[RM_Code],$A22,T_StockCount[WeekIndex],97)&gt;0,SUMIFS(T_StockCount[CountedQty],T_StockCount[RM_Code],$A22,T_StockCount[WeekIndex],97),IF((COUNTIFS(T_SelfStock[RM_Code],$A22,T_SelfStock[WeekIndex],97)&gt;0)*(COUNTIFS(T_TTAFStock[RM_Code],$A22,T_TTAFStock[WeekIndex],97)&gt;0)&gt;0,SUMIFS(T_SelfStock[Self_Qty],T_SelfStock[RM_Code],$A22,T_SelfStock[WeekIndex],97)+SUMIFS(T_TTAFStock[TTAF_Qty],T_TTAFStock[RM_Code],$A22,T_TTAFStock[WeekIndex],97),CS22+'Grid_Incoming'!CT22-'Grid_Requirement'!CT22))</f>
        <v/>
      </c>
      <c r="CU22">
        <f>IF(COUNTIFS(T_StockCount[RM_Code],$A22,T_StockCount[WeekIndex],98)&gt;0,SUMIFS(T_StockCount[CountedQty],T_StockCount[RM_Code],$A22,T_StockCount[WeekIndex],98),IF((COUNTIFS(T_SelfStock[RM_Code],$A22,T_SelfStock[WeekIndex],98)&gt;0)*(COUNTIFS(T_TTAFStock[RM_Code],$A22,T_TTAFStock[WeekIndex],98)&gt;0)&gt;0,SUMIFS(T_SelfStock[Self_Qty],T_SelfStock[RM_Code],$A22,T_SelfStock[WeekIndex],98)+SUMIFS(T_TTAFStock[TTAF_Qty],T_TTAFStock[RM_Code],$A22,T_TTAFStock[WeekIndex],98),CT22+'Grid_Incoming'!CU22-'Grid_Requirement'!CU22))</f>
        <v/>
      </c>
      <c r="CV22">
        <f>IF(COUNTIFS(T_StockCount[RM_Code],$A22,T_StockCount[WeekIndex],99)&gt;0,SUMIFS(T_StockCount[CountedQty],T_StockCount[RM_Code],$A22,T_StockCount[WeekIndex],99),IF((COUNTIFS(T_SelfStock[RM_Code],$A22,T_SelfStock[WeekIndex],99)&gt;0)*(COUNTIFS(T_TTAFStock[RM_Code],$A22,T_TTAFStock[WeekIndex],99)&gt;0)&gt;0,SUMIFS(T_SelfStock[Self_Qty],T_SelfStock[RM_Code],$A22,T_SelfStock[WeekIndex],99)+SUMIFS(T_TTAFStock[TTAF_Qty],T_TTAFStock[RM_Code],$A22,T_TTAFStock[WeekIndex],99),CU22+'Grid_Incoming'!CV22-'Grid_Requirement'!CV22))</f>
        <v/>
      </c>
      <c r="CW22">
        <f>IF(COUNTIFS(T_StockCount[RM_Code],$A22,T_StockCount[WeekIndex],100)&gt;0,SUMIFS(T_StockCount[CountedQty],T_StockCount[RM_Code],$A22,T_StockCount[WeekIndex],100),IF((COUNTIFS(T_SelfStock[RM_Code],$A22,T_SelfStock[WeekIndex],100)&gt;0)*(COUNTIFS(T_TTAFStock[RM_Code],$A22,T_TTAFStock[WeekIndex],100)&gt;0)&gt;0,SUMIFS(T_SelfStock[Self_Qty],T_SelfStock[RM_Code],$A22,T_SelfStock[WeekIndex],100)+SUMIFS(T_TTAFStock[TTAF_Qty],T_TTAFStock[RM_Code],$A22,T_TTAFStock[WeekIndex],100),CV22+'Grid_Incoming'!CW22-'Grid_Requirement'!CW22))</f>
        <v/>
      </c>
      <c r="CX22">
        <f>IF(COUNTIFS(T_StockCount[RM_Code],$A22,T_StockCount[WeekIndex],101)&gt;0,SUMIFS(T_StockCount[CountedQty],T_StockCount[RM_Code],$A22,T_StockCount[WeekIndex],101),IF((COUNTIFS(T_SelfStock[RM_Code],$A22,T_SelfStock[WeekIndex],101)&gt;0)*(COUNTIFS(T_TTAFStock[RM_Code],$A22,T_TTAFStock[WeekIndex],101)&gt;0)&gt;0,SUMIFS(T_SelfStock[Self_Qty],T_SelfStock[RM_Code],$A22,T_SelfStock[WeekIndex],101)+SUMIFS(T_TTAFStock[TTAF_Qty],T_TTAFStock[RM_Code],$A22,T_TTAFStock[WeekIndex],101),CW22+'Grid_Incoming'!CX22-'Grid_Requirement'!CX22))</f>
        <v/>
      </c>
      <c r="CY22">
        <f>IF(COUNTIFS(T_StockCount[RM_Code],$A22,T_StockCount[WeekIndex],102)&gt;0,SUMIFS(T_StockCount[CountedQty],T_StockCount[RM_Code],$A22,T_StockCount[WeekIndex],102),IF((COUNTIFS(T_SelfStock[RM_Code],$A22,T_SelfStock[WeekIndex],102)&gt;0)*(COUNTIFS(T_TTAFStock[RM_Code],$A22,T_TTAFStock[WeekIndex],102)&gt;0)&gt;0,SUMIFS(T_SelfStock[Self_Qty],T_SelfStock[RM_Code],$A22,T_SelfStock[WeekIndex],102)+SUMIFS(T_TTAFStock[TTAF_Qty],T_TTAFStock[RM_Code],$A22,T_TTAFStock[WeekIndex],102),CX22+'Grid_Incoming'!CY22-'Grid_Requirement'!CY22))</f>
        <v/>
      </c>
      <c r="CZ22">
        <f>IF(COUNTIFS(T_StockCount[RM_Code],$A22,T_StockCount[WeekIndex],103)&gt;0,SUMIFS(T_StockCount[CountedQty],T_StockCount[RM_Code],$A22,T_StockCount[WeekIndex],103),IF((COUNTIFS(T_SelfStock[RM_Code],$A22,T_SelfStock[WeekIndex],103)&gt;0)*(COUNTIFS(T_TTAFStock[RM_Code],$A22,T_TTAFStock[WeekIndex],103)&gt;0)&gt;0,SUMIFS(T_SelfStock[Self_Qty],T_SelfStock[RM_Code],$A22,T_SelfStock[WeekIndex],103)+SUMIFS(T_TTAFStock[TTAF_Qty],T_TTAFStock[RM_Code],$A22,T_TTAFStock[WeekIndex],103),CY22+'Grid_Incoming'!CZ22-'Grid_Requirement'!CZ22))</f>
        <v/>
      </c>
      <c r="DA22">
        <f>IF(COUNTIFS(T_StockCount[RM_Code],$A22,T_StockCount[WeekIndex],104)&gt;0,SUMIFS(T_StockCount[CountedQty],T_StockCount[RM_Code],$A22,T_StockCount[WeekIndex],104),IF((COUNTIFS(T_SelfStock[RM_Code],$A22,T_SelfStock[WeekIndex],104)&gt;0)*(COUNTIFS(T_TTAFStock[RM_Code],$A22,T_TTAFStock[WeekIndex],104)&gt;0)&gt;0,SUMIFS(T_SelfStock[Self_Qty],T_SelfStock[RM_Code],$A22,T_SelfStock[WeekIndex],104)+SUMIFS(T_TTAFStock[TTAF_Qty],T_TTAFStock[RM_Code],$A22,T_TTAFStock[WeekIndex],104),CZ22+'Grid_Incoming'!DA22-'Grid_Requirement'!DA22))</f>
        <v/>
      </c>
    </row>
    <row r="23">
      <c r="A23" t="inlineStr">
        <is>
          <t>CHEM-1280</t>
        </is>
      </c>
      <c r="B23">
        <f>IF(COUNTIFS(T_StockCount[RM_Code],$A23,T_StockCount[WeekIndex],1)&gt;0,SUMIFS(T_StockCount[CountedQty],T_StockCount[RM_Code],$A23,T_StockCount[WeekIndex],1),IF((COUNTIFS(T_SelfStock[RM_Code],$A23,T_SelfStock[WeekIndex],1)&gt;0)*(COUNTIFS(T_TTAFStock[RM_Code],$A23,T_TTAFStock[WeekIndex],1)&gt;0)&gt;0,SUMIFS(T_SelfStock[Self_Qty],T_SelfStock[RM_Code],$A23,T_SelfStock[WeekIndex],1)+SUMIFS(T_TTAFStock[TTAF_Qty],T_TTAFStock[RM_Code],$A23,T_TTAFStock[WeekIndex],1),IFERROR(INDEX(T_OpeningStock[Opening_Qty],MATCH($A23,T_OpeningStock[RM_Code],0)),0)+'Grid_Incoming'!B23-'Grid_Requirement'!B23))</f>
        <v/>
      </c>
      <c r="C23">
        <f>IF(COUNTIFS(T_StockCount[RM_Code],$A23,T_StockCount[WeekIndex],2)&gt;0,SUMIFS(T_StockCount[CountedQty],T_StockCount[RM_Code],$A23,T_StockCount[WeekIndex],2),IF((COUNTIFS(T_SelfStock[RM_Code],$A23,T_SelfStock[WeekIndex],2)&gt;0)*(COUNTIFS(T_TTAFStock[RM_Code],$A23,T_TTAFStock[WeekIndex],2)&gt;0)&gt;0,SUMIFS(T_SelfStock[Self_Qty],T_SelfStock[RM_Code],$A23,T_SelfStock[WeekIndex],2)+SUMIFS(T_TTAFStock[TTAF_Qty],T_TTAFStock[RM_Code],$A23,T_TTAFStock[WeekIndex],2),B23+'Grid_Incoming'!C23-'Grid_Requirement'!C23))</f>
        <v/>
      </c>
      <c r="D23">
        <f>IF(COUNTIFS(T_StockCount[RM_Code],$A23,T_StockCount[WeekIndex],3)&gt;0,SUMIFS(T_StockCount[CountedQty],T_StockCount[RM_Code],$A23,T_StockCount[WeekIndex],3),IF((COUNTIFS(T_SelfStock[RM_Code],$A23,T_SelfStock[WeekIndex],3)&gt;0)*(COUNTIFS(T_TTAFStock[RM_Code],$A23,T_TTAFStock[WeekIndex],3)&gt;0)&gt;0,SUMIFS(T_SelfStock[Self_Qty],T_SelfStock[RM_Code],$A23,T_SelfStock[WeekIndex],3)+SUMIFS(T_TTAFStock[TTAF_Qty],T_TTAFStock[RM_Code],$A23,T_TTAFStock[WeekIndex],3),C23+'Grid_Incoming'!D23-'Grid_Requirement'!D23))</f>
        <v/>
      </c>
      <c r="E23">
        <f>IF(COUNTIFS(T_StockCount[RM_Code],$A23,T_StockCount[WeekIndex],4)&gt;0,SUMIFS(T_StockCount[CountedQty],T_StockCount[RM_Code],$A23,T_StockCount[WeekIndex],4),IF((COUNTIFS(T_SelfStock[RM_Code],$A23,T_SelfStock[WeekIndex],4)&gt;0)*(COUNTIFS(T_TTAFStock[RM_Code],$A23,T_TTAFStock[WeekIndex],4)&gt;0)&gt;0,SUMIFS(T_SelfStock[Self_Qty],T_SelfStock[RM_Code],$A23,T_SelfStock[WeekIndex],4)+SUMIFS(T_TTAFStock[TTAF_Qty],T_TTAFStock[RM_Code],$A23,T_TTAFStock[WeekIndex],4),D23+'Grid_Incoming'!E23-'Grid_Requirement'!E23))</f>
        <v/>
      </c>
      <c r="F23">
        <f>IF(COUNTIFS(T_StockCount[RM_Code],$A23,T_StockCount[WeekIndex],5)&gt;0,SUMIFS(T_StockCount[CountedQty],T_StockCount[RM_Code],$A23,T_StockCount[WeekIndex],5),IF((COUNTIFS(T_SelfStock[RM_Code],$A23,T_SelfStock[WeekIndex],5)&gt;0)*(COUNTIFS(T_TTAFStock[RM_Code],$A23,T_TTAFStock[WeekIndex],5)&gt;0)&gt;0,SUMIFS(T_SelfStock[Self_Qty],T_SelfStock[RM_Code],$A23,T_SelfStock[WeekIndex],5)+SUMIFS(T_TTAFStock[TTAF_Qty],T_TTAFStock[RM_Code],$A23,T_TTAFStock[WeekIndex],5),E23+'Grid_Incoming'!F23-'Grid_Requirement'!F23))</f>
        <v/>
      </c>
      <c r="G23">
        <f>IF(COUNTIFS(T_StockCount[RM_Code],$A23,T_StockCount[WeekIndex],6)&gt;0,SUMIFS(T_StockCount[CountedQty],T_StockCount[RM_Code],$A23,T_StockCount[WeekIndex],6),IF((COUNTIFS(T_SelfStock[RM_Code],$A23,T_SelfStock[WeekIndex],6)&gt;0)*(COUNTIFS(T_TTAFStock[RM_Code],$A23,T_TTAFStock[WeekIndex],6)&gt;0)&gt;0,SUMIFS(T_SelfStock[Self_Qty],T_SelfStock[RM_Code],$A23,T_SelfStock[WeekIndex],6)+SUMIFS(T_TTAFStock[TTAF_Qty],T_TTAFStock[RM_Code],$A23,T_TTAFStock[WeekIndex],6),F23+'Grid_Incoming'!G23-'Grid_Requirement'!G23))</f>
        <v/>
      </c>
      <c r="H23">
        <f>IF(COUNTIFS(T_StockCount[RM_Code],$A23,T_StockCount[WeekIndex],7)&gt;0,SUMIFS(T_StockCount[CountedQty],T_StockCount[RM_Code],$A23,T_StockCount[WeekIndex],7),IF((COUNTIFS(T_SelfStock[RM_Code],$A23,T_SelfStock[WeekIndex],7)&gt;0)*(COUNTIFS(T_TTAFStock[RM_Code],$A23,T_TTAFStock[WeekIndex],7)&gt;0)&gt;0,SUMIFS(T_SelfStock[Self_Qty],T_SelfStock[RM_Code],$A23,T_SelfStock[WeekIndex],7)+SUMIFS(T_TTAFStock[TTAF_Qty],T_TTAFStock[RM_Code],$A23,T_TTAFStock[WeekIndex],7),G23+'Grid_Incoming'!H23-'Grid_Requirement'!H23))</f>
        <v/>
      </c>
      <c r="I23">
        <f>IF(COUNTIFS(T_StockCount[RM_Code],$A23,T_StockCount[WeekIndex],8)&gt;0,SUMIFS(T_StockCount[CountedQty],T_StockCount[RM_Code],$A23,T_StockCount[WeekIndex],8),IF((COUNTIFS(T_SelfStock[RM_Code],$A23,T_SelfStock[WeekIndex],8)&gt;0)*(COUNTIFS(T_TTAFStock[RM_Code],$A23,T_TTAFStock[WeekIndex],8)&gt;0)&gt;0,SUMIFS(T_SelfStock[Self_Qty],T_SelfStock[RM_Code],$A23,T_SelfStock[WeekIndex],8)+SUMIFS(T_TTAFStock[TTAF_Qty],T_TTAFStock[RM_Code],$A23,T_TTAFStock[WeekIndex],8),H23+'Grid_Incoming'!I23-'Grid_Requirement'!I23))</f>
        <v/>
      </c>
      <c r="J23">
        <f>IF(COUNTIFS(T_StockCount[RM_Code],$A23,T_StockCount[WeekIndex],9)&gt;0,SUMIFS(T_StockCount[CountedQty],T_StockCount[RM_Code],$A23,T_StockCount[WeekIndex],9),IF((COUNTIFS(T_SelfStock[RM_Code],$A23,T_SelfStock[WeekIndex],9)&gt;0)*(COUNTIFS(T_TTAFStock[RM_Code],$A23,T_TTAFStock[WeekIndex],9)&gt;0)&gt;0,SUMIFS(T_SelfStock[Self_Qty],T_SelfStock[RM_Code],$A23,T_SelfStock[WeekIndex],9)+SUMIFS(T_TTAFStock[TTAF_Qty],T_TTAFStock[RM_Code],$A23,T_TTAFStock[WeekIndex],9),I23+'Grid_Incoming'!J23-'Grid_Requirement'!J23))</f>
        <v/>
      </c>
      <c r="K23">
        <f>IF(COUNTIFS(T_StockCount[RM_Code],$A23,T_StockCount[WeekIndex],10)&gt;0,SUMIFS(T_StockCount[CountedQty],T_StockCount[RM_Code],$A23,T_StockCount[WeekIndex],10),IF((COUNTIFS(T_SelfStock[RM_Code],$A23,T_SelfStock[WeekIndex],10)&gt;0)*(COUNTIFS(T_TTAFStock[RM_Code],$A23,T_TTAFStock[WeekIndex],10)&gt;0)&gt;0,SUMIFS(T_SelfStock[Self_Qty],T_SelfStock[RM_Code],$A23,T_SelfStock[WeekIndex],10)+SUMIFS(T_TTAFStock[TTAF_Qty],T_TTAFStock[RM_Code],$A23,T_TTAFStock[WeekIndex],10),J23+'Grid_Incoming'!K23-'Grid_Requirement'!K23))</f>
        <v/>
      </c>
      <c r="L23">
        <f>IF(COUNTIFS(T_StockCount[RM_Code],$A23,T_StockCount[WeekIndex],11)&gt;0,SUMIFS(T_StockCount[CountedQty],T_StockCount[RM_Code],$A23,T_StockCount[WeekIndex],11),IF((COUNTIFS(T_SelfStock[RM_Code],$A23,T_SelfStock[WeekIndex],11)&gt;0)*(COUNTIFS(T_TTAFStock[RM_Code],$A23,T_TTAFStock[WeekIndex],11)&gt;0)&gt;0,SUMIFS(T_SelfStock[Self_Qty],T_SelfStock[RM_Code],$A23,T_SelfStock[WeekIndex],11)+SUMIFS(T_TTAFStock[TTAF_Qty],T_TTAFStock[RM_Code],$A23,T_TTAFStock[WeekIndex],11),K23+'Grid_Incoming'!L23-'Grid_Requirement'!L23))</f>
        <v/>
      </c>
      <c r="M23">
        <f>IF(COUNTIFS(T_StockCount[RM_Code],$A23,T_StockCount[WeekIndex],12)&gt;0,SUMIFS(T_StockCount[CountedQty],T_StockCount[RM_Code],$A23,T_StockCount[WeekIndex],12),IF((COUNTIFS(T_SelfStock[RM_Code],$A23,T_SelfStock[WeekIndex],12)&gt;0)*(COUNTIFS(T_TTAFStock[RM_Code],$A23,T_TTAFStock[WeekIndex],12)&gt;0)&gt;0,SUMIFS(T_SelfStock[Self_Qty],T_SelfStock[RM_Code],$A23,T_SelfStock[WeekIndex],12)+SUMIFS(T_TTAFStock[TTAF_Qty],T_TTAFStock[RM_Code],$A23,T_TTAFStock[WeekIndex],12),L23+'Grid_Incoming'!M23-'Grid_Requirement'!M23))</f>
        <v/>
      </c>
      <c r="N23">
        <f>IF(COUNTIFS(T_StockCount[RM_Code],$A23,T_StockCount[WeekIndex],13)&gt;0,SUMIFS(T_StockCount[CountedQty],T_StockCount[RM_Code],$A23,T_StockCount[WeekIndex],13),IF((COUNTIFS(T_SelfStock[RM_Code],$A23,T_SelfStock[WeekIndex],13)&gt;0)*(COUNTIFS(T_TTAFStock[RM_Code],$A23,T_TTAFStock[WeekIndex],13)&gt;0)&gt;0,SUMIFS(T_SelfStock[Self_Qty],T_SelfStock[RM_Code],$A23,T_SelfStock[WeekIndex],13)+SUMIFS(T_TTAFStock[TTAF_Qty],T_TTAFStock[RM_Code],$A23,T_TTAFStock[WeekIndex],13),M23+'Grid_Incoming'!N23-'Grid_Requirement'!N23))</f>
        <v/>
      </c>
      <c r="O23">
        <f>IF(COUNTIFS(T_StockCount[RM_Code],$A23,T_StockCount[WeekIndex],14)&gt;0,SUMIFS(T_StockCount[CountedQty],T_StockCount[RM_Code],$A23,T_StockCount[WeekIndex],14),IF((COUNTIFS(T_SelfStock[RM_Code],$A23,T_SelfStock[WeekIndex],14)&gt;0)*(COUNTIFS(T_TTAFStock[RM_Code],$A23,T_TTAFStock[WeekIndex],14)&gt;0)&gt;0,SUMIFS(T_SelfStock[Self_Qty],T_SelfStock[RM_Code],$A23,T_SelfStock[WeekIndex],14)+SUMIFS(T_TTAFStock[TTAF_Qty],T_TTAFStock[RM_Code],$A23,T_TTAFStock[WeekIndex],14),N23+'Grid_Incoming'!O23-'Grid_Requirement'!O23))</f>
        <v/>
      </c>
      <c r="P23">
        <f>IF(COUNTIFS(T_StockCount[RM_Code],$A23,T_StockCount[WeekIndex],15)&gt;0,SUMIFS(T_StockCount[CountedQty],T_StockCount[RM_Code],$A23,T_StockCount[WeekIndex],15),IF((COUNTIFS(T_SelfStock[RM_Code],$A23,T_SelfStock[WeekIndex],15)&gt;0)*(COUNTIFS(T_TTAFStock[RM_Code],$A23,T_TTAFStock[WeekIndex],15)&gt;0)&gt;0,SUMIFS(T_SelfStock[Self_Qty],T_SelfStock[RM_Code],$A23,T_SelfStock[WeekIndex],15)+SUMIFS(T_TTAFStock[TTAF_Qty],T_TTAFStock[RM_Code],$A23,T_TTAFStock[WeekIndex],15),O23+'Grid_Incoming'!P23-'Grid_Requirement'!P23))</f>
        <v/>
      </c>
      <c r="Q23">
        <f>IF(COUNTIFS(T_StockCount[RM_Code],$A23,T_StockCount[WeekIndex],16)&gt;0,SUMIFS(T_StockCount[CountedQty],T_StockCount[RM_Code],$A23,T_StockCount[WeekIndex],16),IF((COUNTIFS(T_SelfStock[RM_Code],$A23,T_SelfStock[WeekIndex],16)&gt;0)*(COUNTIFS(T_TTAFStock[RM_Code],$A23,T_TTAFStock[WeekIndex],16)&gt;0)&gt;0,SUMIFS(T_SelfStock[Self_Qty],T_SelfStock[RM_Code],$A23,T_SelfStock[WeekIndex],16)+SUMIFS(T_TTAFStock[TTAF_Qty],T_TTAFStock[RM_Code],$A23,T_TTAFStock[WeekIndex],16),P23+'Grid_Incoming'!Q23-'Grid_Requirement'!Q23))</f>
        <v/>
      </c>
      <c r="R23">
        <f>IF(COUNTIFS(T_StockCount[RM_Code],$A23,T_StockCount[WeekIndex],17)&gt;0,SUMIFS(T_StockCount[CountedQty],T_StockCount[RM_Code],$A23,T_StockCount[WeekIndex],17),IF((COUNTIFS(T_SelfStock[RM_Code],$A23,T_SelfStock[WeekIndex],17)&gt;0)*(COUNTIFS(T_TTAFStock[RM_Code],$A23,T_TTAFStock[WeekIndex],17)&gt;0)&gt;0,SUMIFS(T_SelfStock[Self_Qty],T_SelfStock[RM_Code],$A23,T_SelfStock[WeekIndex],17)+SUMIFS(T_TTAFStock[TTAF_Qty],T_TTAFStock[RM_Code],$A23,T_TTAFStock[WeekIndex],17),Q23+'Grid_Incoming'!R23-'Grid_Requirement'!R23))</f>
        <v/>
      </c>
      <c r="S23">
        <f>IF(COUNTIFS(T_StockCount[RM_Code],$A23,T_StockCount[WeekIndex],18)&gt;0,SUMIFS(T_StockCount[CountedQty],T_StockCount[RM_Code],$A23,T_StockCount[WeekIndex],18),IF((COUNTIFS(T_SelfStock[RM_Code],$A23,T_SelfStock[WeekIndex],18)&gt;0)*(COUNTIFS(T_TTAFStock[RM_Code],$A23,T_TTAFStock[WeekIndex],18)&gt;0)&gt;0,SUMIFS(T_SelfStock[Self_Qty],T_SelfStock[RM_Code],$A23,T_SelfStock[WeekIndex],18)+SUMIFS(T_TTAFStock[TTAF_Qty],T_TTAFStock[RM_Code],$A23,T_TTAFStock[WeekIndex],18),R23+'Grid_Incoming'!S23-'Grid_Requirement'!S23))</f>
        <v/>
      </c>
      <c r="T23">
        <f>IF(COUNTIFS(T_StockCount[RM_Code],$A23,T_StockCount[WeekIndex],19)&gt;0,SUMIFS(T_StockCount[CountedQty],T_StockCount[RM_Code],$A23,T_StockCount[WeekIndex],19),IF((COUNTIFS(T_SelfStock[RM_Code],$A23,T_SelfStock[WeekIndex],19)&gt;0)*(COUNTIFS(T_TTAFStock[RM_Code],$A23,T_TTAFStock[WeekIndex],19)&gt;0)&gt;0,SUMIFS(T_SelfStock[Self_Qty],T_SelfStock[RM_Code],$A23,T_SelfStock[WeekIndex],19)+SUMIFS(T_TTAFStock[TTAF_Qty],T_TTAFStock[RM_Code],$A23,T_TTAFStock[WeekIndex],19),S23+'Grid_Incoming'!T23-'Grid_Requirement'!T23))</f>
        <v/>
      </c>
      <c r="U23">
        <f>IF(COUNTIFS(T_StockCount[RM_Code],$A23,T_StockCount[WeekIndex],20)&gt;0,SUMIFS(T_StockCount[CountedQty],T_StockCount[RM_Code],$A23,T_StockCount[WeekIndex],20),IF((COUNTIFS(T_SelfStock[RM_Code],$A23,T_SelfStock[WeekIndex],20)&gt;0)*(COUNTIFS(T_TTAFStock[RM_Code],$A23,T_TTAFStock[WeekIndex],20)&gt;0)&gt;0,SUMIFS(T_SelfStock[Self_Qty],T_SelfStock[RM_Code],$A23,T_SelfStock[WeekIndex],20)+SUMIFS(T_TTAFStock[TTAF_Qty],T_TTAFStock[RM_Code],$A23,T_TTAFStock[WeekIndex],20),T23+'Grid_Incoming'!U23-'Grid_Requirement'!U23))</f>
        <v/>
      </c>
      <c r="V23">
        <f>IF(COUNTIFS(T_StockCount[RM_Code],$A23,T_StockCount[WeekIndex],21)&gt;0,SUMIFS(T_StockCount[CountedQty],T_StockCount[RM_Code],$A23,T_StockCount[WeekIndex],21),IF((COUNTIFS(T_SelfStock[RM_Code],$A23,T_SelfStock[WeekIndex],21)&gt;0)*(COUNTIFS(T_TTAFStock[RM_Code],$A23,T_TTAFStock[WeekIndex],21)&gt;0)&gt;0,SUMIFS(T_SelfStock[Self_Qty],T_SelfStock[RM_Code],$A23,T_SelfStock[WeekIndex],21)+SUMIFS(T_TTAFStock[TTAF_Qty],T_TTAFStock[RM_Code],$A23,T_TTAFStock[WeekIndex],21),U23+'Grid_Incoming'!V23-'Grid_Requirement'!V23))</f>
        <v/>
      </c>
      <c r="W23">
        <f>IF(COUNTIFS(T_StockCount[RM_Code],$A23,T_StockCount[WeekIndex],22)&gt;0,SUMIFS(T_StockCount[CountedQty],T_StockCount[RM_Code],$A23,T_StockCount[WeekIndex],22),IF((COUNTIFS(T_SelfStock[RM_Code],$A23,T_SelfStock[WeekIndex],22)&gt;0)*(COUNTIFS(T_TTAFStock[RM_Code],$A23,T_TTAFStock[WeekIndex],22)&gt;0)&gt;0,SUMIFS(T_SelfStock[Self_Qty],T_SelfStock[RM_Code],$A23,T_SelfStock[WeekIndex],22)+SUMIFS(T_TTAFStock[TTAF_Qty],T_TTAFStock[RM_Code],$A23,T_TTAFStock[WeekIndex],22),V23+'Grid_Incoming'!W23-'Grid_Requirement'!W23))</f>
        <v/>
      </c>
      <c r="X23">
        <f>IF(COUNTIFS(T_StockCount[RM_Code],$A23,T_StockCount[WeekIndex],23)&gt;0,SUMIFS(T_StockCount[CountedQty],T_StockCount[RM_Code],$A23,T_StockCount[WeekIndex],23),IF((COUNTIFS(T_SelfStock[RM_Code],$A23,T_SelfStock[WeekIndex],23)&gt;0)*(COUNTIFS(T_TTAFStock[RM_Code],$A23,T_TTAFStock[WeekIndex],23)&gt;0)&gt;0,SUMIFS(T_SelfStock[Self_Qty],T_SelfStock[RM_Code],$A23,T_SelfStock[WeekIndex],23)+SUMIFS(T_TTAFStock[TTAF_Qty],T_TTAFStock[RM_Code],$A23,T_TTAFStock[WeekIndex],23),W23+'Grid_Incoming'!X23-'Grid_Requirement'!X23))</f>
        <v/>
      </c>
      <c r="Y23">
        <f>IF(COUNTIFS(T_StockCount[RM_Code],$A23,T_StockCount[WeekIndex],24)&gt;0,SUMIFS(T_StockCount[CountedQty],T_StockCount[RM_Code],$A23,T_StockCount[WeekIndex],24),IF((COUNTIFS(T_SelfStock[RM_Code],$A23,T_SelfStock[WeekIndex],24)&gt;0)*(COUNTIFS(T_TTAFStock[RM_Code],$A23,T_TTAFStock[WeekIndex],24)&gt;0)&gt;0,SUMIFS(T_SelfStock[Self_Qty],T_SelfStock[RM_Code],$A23,T_SelfStock[WeekIndex],24)+SUMIFS(T_TTAFStock[TTAF_Qty],T_TTAFStock[RM_Code],$A23,T_TTAFStock[WeekIndex],24),X23+'Grid_Incoming'!Y23-'Grid_Requirement'!Y23))</f>
        <v/>
      </c>
      <c r="Z23">
        <f>IF(COUNTIFS(T_StockCount[RM_Code],$A23,T_StockCount[WeekIndex],25)&gt;0,SUMIFS(T_StockCount[CountedQty],T_StockCount[RM_Code],$A23,T_StockCount[WeekIndex],25),IF((COUNTIFS(T_SelfStock[RM_Code],$A23,T_SelfStock[WeekIndex],25)&gt;0)*(COUNTIFS(T_TTAFStock[RM_Code],$A23,T_TTAFStock[WeekIndex],25)&gt;0)&gt;0,SUMIFS(T_SelfStock[Self_Qty],T_SelfStock[RM_Code],$A23,T_SelfStock[WeekIndex],25)+SUMIFS(T_TTAFStock[TTAF_Qty],T_TTAFStock[RM_Code],$A23,T_TTAFStock[WeekIndex],25),Y23+'Grid_Incoming'!Z23-'Grid_Requirement'!Z23))</f>
        <v/>
      </c>
      <c r="AA23">
        <f>IF(COUNTIFS(T_StockCount[RM_Code],$A23,T_StockCount[WeekIndex],26)&gt;0,SUMIFS(T_StockCount[CountedQty],T_StockCount[RM_Code],$A23,T_StockCount[WeekIndex],26),IF((COUNTIFS(T_SelfStock[RM_Code],$A23,T_SelfStock[WeekIndex],26)&gt;0)*(COUNTIFS(T_TTAFStock[RM_Code],$A23,T_TTAFStock[WeekIndex],26)&gt;0)&gt;0,SUMIFS(T_SelfStock[Self_Qty],T_SelfStock[RM_Code],$A23,T_SelfStock[WeekIndex],26)+SUMIFS(T_TTAFStock[TTAF_Qty],T_TTAFStock[RM_Code],$A23,T_TTAFStock[WeekIndex],26),Z23+'Grid_Incoming'!AA23-'Grid_Requirement'!AA23))</f>
        <v/>
      </c>
      <c r="AB23">
        <f>IF(COUNTIFS(T_StockCount[RM_Code],$A23,T_StockCount[WeekIndex],27)&gt;0,SUMIFS(T_StockCount[CountedQty],T_StockCount[RM_Code],$A23,T_StockCount[WeekIndex],27),IF((COUNTIFS(T_SelfStock[RM_Code],$A23,T_SelfStock[WeekIndex],27)&gt;0)*(COUNTIFS(T_TTAFStock[RM_Code],$A23,T_TTAFStock[WeekIndex],27)&gt;0)&gt;0,SUMIFS(T_SelfStock[Self_Qty],T_SelfStock[RM_Code],$A23,T_SelfStock[WeekIndex],27)+SUMIFS(T_TTAFStock[TTAF_Qty],T_TTAFStock[RM_Code],$A23,T_TTAFStock[WeekIndex],27),AA23+'Grid_Incoming'!AB23-'Grid_Requirement'!AB23))</f>
        <v/>
      </c>
      <c r="AC23">
        <f>IF(COUNTIFS(T_StockCount[RM_Code],$A23,T_StockCount[WeekIndex],28)&gt;0,SUMIFS(T_StockCount[CountedQty],T_StockCount[RM_Code],$A23,T_StockCount[WeekIndex],28),IF((COUNTIFS(T_SelfStock[RM_Code],$A23,T_SelfStock[WeekIndex],28)&gt;0)*(COUNTIFS(T_TTAFStock[RM_Code],$A23,T_TTAFStock[WeekIndex],28)&gt;0)&gt;0,SUMIFS(T_SelfStock[Self_Qty],T_SelfStock[RM_Code],$A23,T_SelfStock[WeekIndex],28)+SUMIFS(T_TTAFStock[TTAF_Qty],T_TTAFStock[RM_Code],$A23,T_TTAFStock[WeekIndex],28),AB23+'Grid_Incoming'!AC23-'Grid_Requirement'!AC23))</f>
        <v/>
      </c>
      <c r="AD23">
        <f>IF(COUNTIFS(T_StockCount[RM_Code],$A23,T_StockCount[WeekIndex],29)&gt;0,SUMIFS(T_StockCount[CountedQty],T_StockCount[RM_Code],$A23,T_StockCount[WeekIndex],29),IF((COUNTIFS(T_SelfStock[RM_Code],$A23,T_SelfStock[WeekIndex],29)&gt;0)*(COUNTIFS(T_TTAFStock[RM_Code],$A23,T_TTAFStock[WeekIndex],29)&gt;0)&gt;0,SUMIFS(T_SelfStock[Self_Qty],T_SelfStock[RM_Code],$A23,T_SelfStock[WeekIndex],29)+SUMIFS(T_TTAFStock[TTAF_Qty],T_TTAFStock[RM_Code],$A23,T_TTAFStock[WeekIndex],29),AC23+'Grid_Incoming'!AD23-'Grid_Requirement'!AD23))</f>
        <v/>
      </c>
      <c r="AE23">
        <f>IF(COUNTIFS(T_StockCount[RM_Code],$A23,T_StockCount[WeekIndex],30)&gt;0,SUMIFS(T_StockCount[CountedQty],T_StockCount[RM_Code],$A23,T_StockCount[WeekIndex],30),IF((COUNTIFS(T_SelfStock[RM_Code],$A23,T_SelfStock[WeekIndex],30)&gt;0)*(COUNTIFS(T_TTAFStock[RM_Code],$A23,T_TTAFStock[WeekIndex],30)&gt;0)&gt;0,SUMIFS(T_SelfStock[Self_Qty],T_SelfStock[RM_Code],$A23,T_SelfStock[WeekIndex],30)+SUMIFS(T_TTAFStock[TTAF_Qty],T_TTAFStock[RM_Code],$A23,T_TTAFStock[WeekIndex],30),AD23+'Grid_Incoming'!AE23-'Grid_Requirement'!AE23))</f>
        <v/>
      </c>
      <c r="AF23">
        <f>IF(COUNTIFS(T_StockCount[RM_Code],$A23,T_StockCount[WeekIndex],31)&gt;0,SUMIFS(T_StockCount[CountedQty],T_StockCount[RM_Code],$A23,T_StockCount[WeekIndex],31),IF((COUNTIFS(T_SelfStock[RM_Code],$A23,T_SelfStock[WeekIndex],31)&gt;0)*(COUNTIFS(T_TTAFStock[RM_Code],$A23,T_TTAFStock[WeekIndex],31)&gt;0)&gt;0,SUMIFS(T_SelfStock[Self_Qty],T_SelfStock[RM_Code],$A23,T_SelfStock[WeekIndex],31)+SUMIFS(T_TTAFStock[TTAF_Qty],T_TTAFStock[RM_Code],$A23,T_TTAFStock[WeekIndex],31),AE23+'Grid_Incoming'!AF23-'Grid_Requirement'!AF23))</f>
        <v/>
      </c>
      <c r="AG23">
        <f>IF(COUNTIFS(T_StockCount[RM_Code],$A23,T_StockCount[WeekIndex],32)&gt;0,SUMIFS(T_StockCount[CountedQty],T_StockCount[RM_Code],$A23,T_StockCount[WeekIndex],32),IF((COUNTIFS(T_SelfStock[RM_Code],$A23,T_SelfStock[WeekIndex],32)&gt;0)*(COUNTIFS(T_TTAFStock[RM_Code],$A23,T_TTAFStock[WeekIndex],32)&gt;0)&gt;0,SUMIFS(T_SelfStock[Self_Qty],T_SelfStock[RM_Code],$A23,T_SelfStock[WeekIndex],32)+SUMIFS(T_TTAFStock[TTAF_Qty],T_TTAFStock[RM_Code],$A23,T_TTAFStock[WeekIndex],32),AF23+'Grid_Incoming'!AG23-'Grid_Requirement'!AG23))</f>
        <v/>
      </c>
      <c r="AH23">
        <f>IF(COUNTIFS(T_StockCount[RM_Code],$A23,T_StockCount[WeekIndex],33)&gt;0,SUMIFS(T_StockCount[CountedQty],T_StockCount[RM_Code],$A23,T_StockCount[WeekIndex],33),IF((COUNTIFS(T_SelfStock[RM_Code],$A23,T_SelfStock[WeekIndex],33)&gt;0)*(COUNTIFS(T_TTAFStock[RM_Code],$A23,T_TTAFStock[WeekIndex],33)&gt;0)&gt;0,SUMIFS(T_SelfStock[Self_Qty],T_SelfStock[RM_Code],$A23,T_SelfStock[WeekIndex],33)+SUMIFS(T_TTAFStock[TTAF_Qty],T_TTAFStock[RM_Code],$A23,T_TTAFStock[WeekIndex],33),AG23+'Grid_Incoming'!AH23-'Grid_Requirement'!AH23))</f>
        <v/>
      </c>
      <c r="AI23">
        <f>IF(COUNTIFS(T_StockCount[RM_Code],$A23,T_StockCount[WeekIndex],34)&gt;0,SUMIFS(T_StockCount[CountedQty],T_StockCount[RM_Code],$A23,T_StockCount[WeekIndex],34),IF((COUNTIFS(T_SelfStock[RM_Code],$A23,T_SelfStock[WeekIndex],34)&gt;0)*(COUNTIFS(T_TTAFStock[RM_Code],$A23,T_TTAFStock[WeekIndex],34)&gt;0)&gt;0,SUMIFS(T_SelfStock[Self_Qty],T_SelfStock[RM_Code],$A23,T_SelfStock[WeekIndex],34)+SUMIFS(T_TTAFStock[TTAF_Qty],T_TTAFStock[RM_Code],$A23,T_TTAFStock[WeekIndex],34),AH23+'Grid_Incoming'!AI23-'Grid_Requirement'!AI23))</f>
        <v/>
      </c>
      <c r="AJ23">
        <f>IF(COUNTIFS(T_StockCount[RM_Code],$A23,T_StockCount[WeekIndex],35)&gt;0,SUMIFS(T_StockCount[CountedQty],T_StockCount[RM_Code],$A23,T_StockCount[WeekIndex],35),IF((COUNTIFS(T_SelfStock[RM_Code],$A23,T_SelfStock[WeekIndex],35)&gt;0)*(COUNTIFS(T_TTAFStock[RM_Code],$A23,T_TTAFStock[WeekIndex],35)&gt;0)&gt;0,SUMIFS(T_SelfStock[Self_Qty],T_SelfStock[RM_Code],$A23,T_SelfStock[WeekIndex],35)+SUMIFS(T_TTAFStock[TTAF_Qty],T_TTAFStock[RM_Code],$A23,T_TTAFStock[WeekIndex],35),AI23+'Grid_Incoming'!AJ23-'Grid_Requirement'!AJ23))</f>
        <v/>
      </c>
      <c r="AK23">
        <f>IF(COUNTIFS(T_StockCount[RM_Code],$A23,T_StockCount[WeekIndex],36)&gt;0,SUMIFS(T_StockCount[CountedQty],T_StockCount[RM_Code],$A23,T_StockCount[WeekIndex],36),IF((COUNTIFS(T_SelfStock[RM_Code],$A23,T_SelfStock[WeekIndex],36)&gt;0)*(COUNTIFS(T_TTAFStock[RM_Code],$A23,T_TTAFStock[WeekIndex],36)&gt;0)&gt;0,SUMIFS(T_SelfStock[Self_Qty],T_SelfStock[RM_Code],$A23,T_SelfStock[WeekIndex],36)+SUMIFS(T_TTAFStock[TTAF_Qty],T_TTAFStock[RM_Code],$A23,T_TTAFStock[WeekIndex],36),AJ23+'Grid_Incoming'!AK23-'Grid_Requirement'!AK23))</f>
        <v/>
      </c>
      <c r="AL23">
        <f>IF(COUNTIFS(T_StockCount[RM_Code],$A23,T_StockCount[WeekIndex],37)&gt;0,SUMIFS(T_StockCount[CountedQty],T_StockCount[RM_Code],$A23,T_StockCount[WeekIndex],37),IF((COUNTIFS(T_SelfStock[RM_Code],$A23,T_SelfStock[WeekIndex],37)&gt;0)*(COUNTIFS(T_TTAFStock[RM_Code],$A23,T_TTAFStock[WeekIndex],37)&gt;0)&gt;0,SUMIFS(T_SelfStock[Self_Qty],T_SelfStock[RM_Code],$A23,T_SelfStock[WeekIndex],37)+SUMIFS(T_TTAFStock[TTAF_Qty],T_TTAFStock[RM_Code],$A23,T_TTAFStock[WeekIndex],37),AK23+'Grid_Incoming'!AL23-'Grid_Requirement'!AL23))</f>
        <v/>
      </c>
      <c r="AM23">
        <f>IF(COUNTIFS(T_StockCount[RM_Code],$A23,T_StockCount[WeekIndex],38)&gt;0,SUMIFS(T_StockCount[CountedQty],T_StockCount[RM_Code],$A23,T_StockCount[WeekIndex],38),IF((COUNTIFS(T_SelfStock[RM_Code],$A23,T_SelfStock[WeekIndex],38)&gt;0)*(COUNTIFS(T_TTAFStock[RM_Code],$A23,T_TTAFStock[WeekIndex],38)&gt;0)&gt;0,SUMIFS(T_SelfStock[Self_Qty],T_SelfStock[RM_Code],$A23,T_SelfStock[WeekIndex],38)+SUMIFS(T_TTAFStock[TTAF_Qty],T_TTAFStock[RM_Code],$A23,T_TTAFStock[WeekIndex],38),AL23+'Grid_Incoming'!AM23-'Grid_Requirement'!AM23))</f>
        <v/>
      </c>
      <c r="AN23">
        <f>IF(COUNTIFS(T_StockCount[RM_Code],$A23,T_StockCount[WeekIndex],39)&gt;0,SUMIFS(T_StockCount[CountedQty],T_StockCount[RM_Code],$A23,T_StockCount[WeekIndex],39),IF((COUNTIFS(T_SelfStock[RM_Code],$A23,T_SelfStock[WeekIndex],39)&gt;0)*(COUNTIFS(T_TTAFStock[RM_Code],$A23,T_TTAFStock[WeekIndex],39)&gt;0)&gt;0,SUMIFS(T_SelfStock[Self_Qty],T_SelfStock[RM_Code],$A23,T_SelfStock[WeekIndex],39)+SUMIFS(T_TTAFStock[TTAF_Qty],T_TTAFStock[RM_Code],$A23,T_TTAFStock[WeekIndex],39),AM23+'Grid_Incoming'!AN23-'Grid_Requirement'!AN23))</f>
        <v/>
      </c>
      <c r="AO23">
        <f>IF(COUNTIFS(T_StockCount[RM_Code],$A23,T_StockCount[WeekIndex],40)&gt;0,SUMIFS(T_StockCount[CountedQty],T_StockCount[RM_Code],$A23,T_StockCount[WeekIndex],40),IF((COUNTIFS(T_SelfStock[RM_Code],$A23,T_SelfStock[WeekIndex],40)&gt;0)*(COUNTIFS(T_TTAFStock[RM_Code],$A23,T_TTAFStock[WeekIndex],40)&gt;0)&gt;0,SUMIFS(T_SelfStock[Self_Qty],T_SelfStock[RM_Code],$A23,T_SelfStock[WeekIndex],40)+SUMIFS(T_TTAFStock[TTAF_Qty],T_TTAFStock[RM_Code],$A23,T_TTAFStock[WeekIndex],40),AN23+'Grid_Incoming'!AO23-'Grid_Requirement'!AO23))</f>
        <v/>
      </c>
      <c r="AP23">
        <f>IF(COUNTIFS(T_StockCount[RM_Code],$A23,T_StockCount[WeekIndex],41)&gt;0,SUMIFS(T_StockCount[CountedQty],T_StockCount[RM_Code],$A23,T_StockCount[WeekIndex],41),IF((COUNTIFS(T_SelfStock[RM_Code],$A23,T_SelfStock[WeekIndex],41)&gt;0)*(COUNTIFS(T_TTAFStock[RM_Code],$A23,T_TTAFStock[WeekIndex],41)&gt;0)&gt;0,SUMIFS(T_SelfStock[Self_Qty],T_SelfStock[RM_Code],$A23,T_SelfStock[WeekIndex],41)+SUMIFS(T_TTAFStock[TTAF_Qty],T_TTAFStock[RM_Code],$A23,T_TTAFStock[WeekIndex],41),AO23+'Grid_Incoming'!AP23-'Grid_Requirement'!AP23))</f>
        <v/>
      </c>
      <c r="AQ23">
        <f>IF(COUNTIFS(T_StockCount[RM_Code],$A23,T_StockCount[WeekIndex],42)&gt;0,SUMIFS(T_StockCount[CountedQty],T_StockCount[RM_Code],$A23,T_StockCount[WeekIndex],42),IF((COUNTIFS(T_SelfStock[RM_Code],$A23,T_SelfStock[WeekIndex],42)&gt;0)*(COUNTIFS(T_TTAFStock[RM_Code],$A23,T_TTAFStock[WeekIndex],42)&gt;0)&gt;0,SUMIFS(T_SelfStock[Self_Qty],T_SelfStock[RM_Code],$A23,T_SelfStock[WeekIndex],42)+SUMIFS(T_TTAFStock[TTAF_Qty],T_TTAFStock[RM_Code],$A23,T_TTAFStock[WeekIndex],42),AP23+'Grid_Incoming'!AQ23-'Grid_Requirement'!AQ23))</f>
        <v/>
      </c>
      <c r="AR23">
        <f>IF(COUNTIFS(T_StockCount[RM_Code],$A23,T_StockCount[WeekIndex],43)&gt;0,SUMIFS(T_StockCount[CountedQty],T_StockCount[RM_Code],$A23,T_StockCount[WeekIndex],43),IF((COUNTIFS(T_SelfStock[RM_Code],$A23,T_SelfStock[WeekIndex],43)&gt;0)*(COUNTIFS(T_TTAFStock[RM_Code],$A23,T_TTAFStock[WeekIndex],43)&gt;0)&gt;0,SUMIFS(T_SelfStock[Self_Qty],T_SelfStock[RM_Code],$A23,T_SelfStock[WeekIndex],43)+SUMIFS(T_TTAFStock[TTAF_Qty],T_TTAFStock[RM_Code],$A23,T_TTAFStock[WeekIndex],43),AQ23+'Grid_Incoming'!AR23-'Grid_Requirement'!AR23))</f>
        <v/>
      </c>
      <c r="AS23">
        <f>IF(COUNTIFS(T_StockCount[RM_Code],$A23,T_StockCount[WeekIndex],44)&gt;0,SUMIFS(T_StockCount[CountedQty],T_StockCount[RM_Code],$A23,T_StockCount[WeekIndex],44),IF((COUNTIFS(T_SelfStock[RM_Code],$A23,T_SelfStock[WeekIndex],44)&gt;0)*(COUNTIFS(T_TTAFStock[RM_Code],$A23,T_TTAFStock[WeekIndex],44)&gt;0)&gt;0,SUMIFS(T_SelfStock[Self_Qty],T_SelfStock[RM_Code],$A23,T_SelfStock[WeekIndex],44)+SUMIFS(T_TTAFStock[TTAF_Qty],T_TTAFStock[RM_Code],$A23,T_TTAFStock[WeekIndex],44),AR23+'Grid_Incoming'!AS23-'Grid_Requirement'!AS23))</f>
        <v/>
      </c>
      <c r="AT23">
        <f>IF(COUNTIFS(T_StockCount[RM_Code],$A23,T_StockCount[WeekIndex],45)&gt;0,SUMIFS(T_StockCount[CountedQty],T_StockCount[RM_Code],$A23,T_StockCount[WeekIndex],45),IF((COUNTIFS(T_SelfStock[RM_Code],$A23,T_SelfStock[WeekIndex],45)&gt;0)*(COUNTIFS(T_TTAFStock[RM_Code],$A23,T_TTAFStock[WeekIndex],45)&gt;0)&gt;0,SUMIFS(T_SelfStock[Self_Qty],T_SelfStock[RM_Code],$A23,T_SelfStock[WeekIndex],45)+SUMIFS(T_TTAFStock[TTAF_Qty],T_TTAFStock[RM_Code],$A23,T_TTAFStock[WeekIndex],45),AS23+'Grid_Incoming'!AT23-'Grid_Requirement'!AT23))</f>
        <v/>
      </c>
      <c r="AU23">
        <f>IF(COUNTIFS(T_StockCount[RM_Code],$A23,T_StockCount[WeekIndex],46)&gt;0,SUMIFS(T_StockCount[CountedQty],T_StockCount[RM_Code],$A23,T_StockCount[WeekIndex],46),IF((COUNTIFS(T_SelfStock[RM_Code],$A23,T_SelfStock[WeekIndex],46)&gt;0)*(COUNTIFS(T_TTAFStock[RM_Code],$A23,T_TTAFStock[WeekIndex],46)&gt;0)&gt;0,SUMIFS(T_SelfStock[Self_Qty],T_SelfStock[RM_Code],$A23,T_SelfStock[WeekIndex],46)+SUMIFS(T_TTAFStock[TTAF_Qty],T_TTAFStock[RM_Code],$A23,T_TTAFStock[WeekIndex],46),AT23+'Grid_Incoming'!AU23-'Grid_Requirement'!AU23))</f>
        <v/>
      </c>
      <c r="AV23">
        <f>IF(COUNTIFS(T_StockCount[RM_Code],$A23,T_StockCount[WeekIndex],47)&gt;0,SUMIFS(T_StockCount[CountedQty],T_StockCount[RM_Code],$A23,T_StockCount[WeekIndex],47),IF((COUNTIFS(T_SelfStock[RM_Code],$A23,T_SelfStock[WeekIndex],47)&gt;0)*(COUNTIFS(T_TTAFStock[RM_Code],$A23,T_TTAFStock[WeekIndex],47)&gt;0)&gt;0,SUMIFS(T_SelfStock[Self_Qty],T_SelfStock[RM_Code],$A23,T_SelfStock[WeekIndex],47)+SUMIFS(T_TTAFStock[TTAF_Qty],T_TTAFStock[RM_Code],$A23,T_TTAFStock[WeekIndex],47),AU23+'Grid_Incoming'!AV23-'Grid_Requirement'!AV23))</f>
        <v/>
      </c>
      <c r="AW23">
        <f>IF(COUNTIFS(T_StockCount[RM_Code],$A23,T_StockCount[WeekIndex],48)&gt;0,SUMIFS(T_StockCount[CountedQty],T_StockCount[RM_Code],$A23,T_StockCount[WeekIndex],48),IF((COUNTIFS(T_SelfStock[RM_Code],$A23,T_SelfStock[WeekIndex],48)&gt;0)*(COUNTIFS(T_TTAFStock[RM_Code],$A23,T_TTAFStock[WeekIndex],48)&gt;0)&gt;0,SUMIFS(T_SelfStock[Self_Qty],T_SelfStock[RM_Code],$A23,T_SelfStock[WeekIndex],48)+SUMIFS(T_TTAFStock[TTAF_Qty],T_TTAFStock[RM_Code],$A23,T_TTAFStock[WeekIndex],48),AV23+'Grid_Incoming'!AW23-'Grid_Requirement'!AW23))</f>
        <v/>
      </c>
      <c r="AX23">
        <f>IF(COUNTIFS(T_StockCount[RM_Code],$A23,T_StockCount[WeekIndex],49)&gt;0,SUMIFS(T_StockCount[CountedQty],T_StockCount[RM_Code],$A23,T_StockCount[WeekIndex],49),IF((COUNTIFS(T_SelfStock[RM_Code],$A23,T_SelfStock[WeekIndex],49)&gt;0)*(COUNTIFS(T_TTAFStock[RM_Code],$A23,T_TTAFStock[WeekIndex],49)&gt;0)&gt;0,SUMIFS(T_SelfStock[Self_Qty],T_SelfStock[RM_Code],$A23,T_SelfStock[WeekIndex],49)+SUMIFS(T_TTAFStock[TTAF_Qty],T_TTAFStock[RM_Code],$A23,T_TTAFStock[WeekIndex],49),AW23+'Grid_Incoming'!AX23-'Grid_Requirement'!AX23))</f>
        <v/>
      </c>
      <c r="AY23">
        <f>IF(COUNTIFS(T_StockCount[RM_Code],$A23,T_StockCount[WeekIndex],50)&gt;0,SUMIFS(T_StockCount[CountedQty],T_StockCount[RM_Code],$A23,T_StockCount[WeekIndex],50),IF((COUNTIFS(T_SelfStock[RM_Code],$A23,T_SelfStock[WeekIndex],50)&gt;0)*(COUNTIFS(T_TTAFStock[RM_Code],$A23,T_TTAFStock[WeekIndex],50)&gt;0)&gt;0,SUMIFS(T_SelfStock[Self_Qty],T_SelfStock[RM_Code],$A23,T_SelfStock[WeekIndex],50)+SUMIFS(T_TTAFStock[TTAF_Qty],T_TTAFStock[RM_Code],$A23,T_TTAFStock[WeekIndex],50),AX23+'Grid_Incoming'!AY23-'Grid_Requirement'!AY23))</f>
        <v/>
      </c>
      <c r="AZ23">
        <f>IF(COUNTIFS(T_StockCount[RM_Code],$A23,T_StockCount[WeekIndex],51)&gt;0,SUMIFS(T_StockCount[CountedQty],T_StockCount[RM_Code],$A23,T_StockCount[WeekIndex],51),IF((COUNTIFS(T_SelfStock[RM_Code],$A23,T_SelfStock[WeekIndex],51)&gt;0)*(COUNTIFS(T_TTAFStock[RM_Code],$A23,T_TTAFStock[WeekIndex],51)&gt;0)&gt;0,SUMIFS(T_SelfStock[Self_Qty],T_SelfStock[RM_Code],$A23,T_SelfStock[WeekIndex],51)+SUMIFS(T_TTAFStock[TTAF_Qty],T_TTAFStock[RM_Code],$A23,T_TTAFStock[WeekIndex],51),AY23+'Grid_Incoming'!AZ23-'Grid_Requirement'!AZ23))</f>
        <v/>
      </c>
      <c r="BA23">
        <f>IF(COUNTIFS(T_StockCount[RM_Code],$A23,T_StockCount[WeekIndex],52)&gt;0,SUMIFS(T_StockCount[CountedQty],T_StockCount[RM_Code],$A23,T_StockCount[WeekIndex],52),IF((COUNTIFS(T_SelfStock[RM_Code],$A23,T_SelfStock[WeekIndex],52)&gt;0)*(COUNTIFS(T_TTAFStock[RM_Code],$A23,T_TTAFStock[WeekIndex],52)&gt;0)&gt;0,SUMIFS(T_SelfStock[Self_Qty],T_SelfStock[RM_Code],$A23,T_SelfStock[WeekIndex],52)+SUMIFS(T_TTAFStock[TTAF_Qty],T_TTAFStock[RM_Code],$A23,T_TTAFStock[WeekIndex],52),AZ23+'Grid_Incoming'!BA23-'Grid_Requirement'!BA23))</f>
        <v/>
      </c>
      <c r="BB23">
        <f>IF(COUNTIFS(T_StockCount[RM_Code],$A23,T_StockCount[WeekIndex],53)&gt;0,SUMIFS(T_StockCount[CountedQty],T_StockCount[RM_Code],$A23,T_StockCount[WeekIndex],53),IF((COUNTIFS(T_SelfStock[RM_Code],$A23,T_SelfStock[WeekIndex],53)&gt;0)*(COUNTIFS(T_TTAFStock[RM_Code],$A23,T_TTAFStock[WeekIndex],53)&gt;0)&gt;0,SUMIFS(T_SelfStock[Self_Qty],T_SelfStock[RM_Code],$A23,T_SelfStock[WeekIndex],53)+SUMIFS(T_TTAFStock[TTAF_Qty],T_TTAFStock[RM_Code],$A23,T_TTAFStock[WeekIndex],53),BA23+'Grid_Incoming'!BB23-'Grid_Requirement'!BB23))</f>
        <v/>
      </c>
      <c r="BC23">
        <f>IF(COUNTIFS(T_StockCount[RM_Code],$A23,T_StockCount[WeekIndex],54)&gt;0,SUMIFS(T_StockCount[CountedQty],T_StockCount[RM_Code],$A23,T_StockCount[WeekIndex],54),IF((COUNTIFS(T_SelfStock[RM_Code],$A23,T_SelfStock[WeekIndex],54)&gt;0)*(COUNTIFS(T_TTAFStock[RM_Code],$A23,T_TTAFStock[WeekIndex],54)&gt;0)&gt;0,SUMIFS(T_SelfStock[Self_Qty],T_SelfStock[RM_Code],$A23,T_SelfStock[WeekIndex],54)+SUMIFS(T_TTAFStock[TTAF_Qty],T_TTAFStock[RM_Code],$A23,T_TTAFStock[WeekIndex],54),BB23+'Grid_Incoming'!BC23-'Grid_Requirement'!BC23))</f>
        <v/>
      </c>
      <c r="BD23">
        <f>IF(COUNTIFS(T_StockCount[RM_Code],$A23,T_StockCount[WeekIndex],55)&gt;0,SUMIFS(T_StockCount[CountedQty],T_StockCount[RM_Code],$A23,T_StockCount[WeekIndex],55),IF((COUNTIFS(T_SelfStock[RM_Code],$A23,T_SelfStock[WeekIndex],55)&gt;0)*(COUNTIFS(T_TTAFStock[RM_Code],$A23,T_TTAFStock[WeekIndex],55)&gt;0)&gt;0,SUMIFS(T_SelfStock[Self_Qty],T_SelfStock[RM_Code],$A23,T_SelfStock[WeekIndex],55)+SUMIFS(T_TTAFStock[TTAF_Qty],T_TTAFStock[RM_Code],$A23,T_TTAFStock[WeekIndex],55),BC23+'Grid_Incoming'!BD23-'Grid_Requirement'!BD23))</f>
        <v/>
      </c>
      <c r="BE23">
        <f>IF(COUNTIFS(T_StockCount[RM_Code],$A23,T_StockCount[WeekIndex],56)&gt;0,SUMIFS(T_StockCount[CountedQty],T_StockCount[RM_Code],$A23,T_StockCount[WeekIndex],56),IF((COUNTIFS(T_SelfStock[RM_Code],$A23,T_SelfStock[WeekIndex],56)&gt;0)*(COUNTIFS(T_TTAFStock[RM_Code],$A23,T_TTAFStock[WeekIndex],56)&gt;0)&gt;0,SUMIFS(T_SelfStock[Self_Qty],T_SelfStock[RM_Code],$A23,T_SelfStock[WeekIndex],56)+SUMIFS(T_TTAFStock[TTAF_Qty],T_TTAFStock[RM_Code],$A23,T_TTAFStock[WeekIndex],56),BD23+'Grid_Incoming'!BE23-'Grid_Requirement'!BE23))</f>
        <v/>
      </c>
      <c r="BF23">
        <f>IF(COUNTIFS(T_StockCount[RM_Code],$A23,T_StockCount[WeekIndex],57)&gt;0,SUMIFS(T_StockCount[CountedQty],T_StockCount[RM_Code],$A23,T_StockCount[WeekIndex],57),IF((COUNTIFS(T_SelfStock[RM_Code],$A23,T_SelfStock[WeekIndex],57)&gt;0)*(COUNTIFS(T_TTAFStock[RM_Code],$A23,T_TTAFStock[WeekIndex],57)&gt;0)&gt;0,SUMIFS(T_SelfStock[Self_Qty],T_SelfStock[RM_Code],$A23,T_SelfStock[WeekIndex],57)+SUMIFS(T_TTAFStock[TTAF_Qty],T_TTAFStock[RM_Code],$A23,T_TTAFStock[WeekIndex],57),BE23+'Grid_Incoming'!BF23-'Grid_Requirement'!BF23))</f>
        <v/>
      </c>
      <c r="BG23">
        <f>IF(COUNTIFS(T_StockCount[RM_Code],$A23,T_StockCount[WeekIndex],58)&gt;0,SUMIFS(T_StockCount[CountedQty],T_StockCount[RM_Code],$A23,T_StockCount[WeekIndex],58),IF((COUNTIFS(T_SelfStock[RM_Code],$A23,T_SelfStock[WeekIndex],58)&gt;0)*(COUNTIFS(T_TTAFStock[RM_Code],$A23,T_TTAFStock[WeekIndex],58)&gt;0)&gt;0,SUMIFS(T_SelfStock[Self_Qty],T_SelfStock[RM_Code],$A23,T_SelfStock[WeekIndex],58)+SUMIFS(T_TTAFStock[TTAF_Qty],T_TTAFStock[RM_Code],$A23,T_TTAFStock[WeekIndex],58),BF23+'Grid_Incoming'!BG23-'Grid_Requirement'!BG23))</f>
        <v/>
      </c>
      <c r="BH23">
        <f>IF(COUNTIFS(T_StockCount[RM_Code],$A23,T_StockCount[WeekIndex],59)&gt;0,SUMIFS(T_StockCount[CountedQty],T_StockCount[RM_Code],$A23,T_StockCount[WeekIndex],59),IF((COUNTIFS(T_SelfStock[RM_Code],$A23,T_SelfStock[WeekIndex],59)&gt;0)*(COUNTIFS(T_TTAFStock[RM_Code],$A23,T_TTAFStock[WeekIndex],59)&gt;0)&gt;0,SUMIFS(T_SelfStock[Self_Qty],T_SelfStock[RM_Code],$A23,T_SelfStock[WeekIndex],59)+SUMIFS(T_TTAFStock[TTAF_Qty],T_TTAFStock[RM_Code],$A23,T_TTAFStock[WeekIndex],59),BG23+'Grid_Incoming'!BH23-'Grid_Requirement'!BH23))</f>
        <v/>
      </c>
      <c r="BI23">
        <f>IF(COUNTIFS(T_StockCount[RM_Code],$A23,T_StockCount[WeekIndex],60)&gt;0,SUMIFS(T_StockCount[CountedQty],T_StockCount[RM_Code],$A23,T_StockCount[WeekIndex],60),IF((COUNTIFS(T_SelfStock[RM_Code],$A23,T_SelfStock[WeekIndex],60)&gt;0)*(COUNTIFS(T_TTAFStock[RM_Code],$A23,T_TTAFStock[WeekIndex],60)&gt;0)&gt;0,SUMIFS(T_SelfStock[Self_Qty],T_SelfStock[RM_Code],$A23,T_SelfStock[WeekIndex],60)+SUMIFS(T_TTAFStock[TTAF_Qty],T_TTAFStock[RM_Code],$A23,T_TTAFStock[WeekIndex],60),BH23+'Grid_Incoming'!BI23-'Grid_Requirement'!BI23))</f>
        <v/>
      </c>
      <c r="BJ23">
        <f>IF(COUNTIFS(T_StockCount[RM_Code],$A23,T_StockCount[WeekIndex],61)&gt;0,SUMIFS(T_StockCount[CountedQty],T_StockCount[RM_Code],$A23,T_StockCount[WeekIndex],61),IF((COUNTIFS(T_SelfStock[RM_Code],$A23,T_SelfStock[WeekIndex],61)&gt;0)*(COUNTIFS(T_TTAFStock[RM_Code],$A23,T_TTAFStock[WeekIndex],61)&gt;0)&gt;0,SUMIFS(T_SelfStock[Self_Qty],T_SelfStock[RM_Code],$A23,T_SelfStock[WeekIndex],61)+SUMIFS(T_TTAFStock[TTAF_Qty],T_TTAFStock[RM_Code],$A23,T_TTAFStock[WeekIndex],61),BI23+'Grid_Incoming'!BJ23-'Grid_Requirement'!BJ23))</f>
        <v/>
      </c>
      <c r="BK23">
        <f>IF(COUNTIFS(T_StockCount[RM_Code],$A23,T_StockCount[WeekIndex],62)&gt;0,SUMIFS(T_StockCount[CountedQty],T_StockCount[RM_Code],$A23,T_StockCount[WeekIndex],62),IF((COUNTIFS(T_SelfStock[RM_Code],$A23,T_SelfStock[WeekIndex],62)&gt;0)*(COUNTIFS(T_TTAFStock[RM_Code],$A23,T_TTAFStock[WeekIndex],62)&gt;0)&gt;0,SUMIFS(T_SelfStock[Self_Qty],T_SelfStock[RM_Code],$A23,T_SelfStock[WeekIndex],62)+SUMIFS(T_TTAFStock[TTAF_Qty],T_TTAFStock[RM_Code],$A23,T_TTAFStock[WeekIndex],62),BJ23+'Grid_Incoming'!BK23-'Grid_Requirement'!BK23))</f>
        <v/>
      </c>
      <c r="BL23">
        <f>IF(COUNTIFS(T_StockCount[RM_Code],$A23,T_StockCount[WeekIndex],63)&gt;0,SUMIFS(T_StockCount[CountedQty],T_StockCount[RM_Code],$A23,T_StockCount[WeekIndex],63),IF((COUNTIFS(T_SelfStock[RM_Code],$A23,T_SelfStock[WeekIndex],63)&gt;0)*(COUNTIFS(T_TTAFStock[RM_Code],$A23,T_TTAFStock[WeekIndex],63)&gt;0)&gt;0,SUMIFS(T_SelfStock[Self_Qty],T_SelfStock[RM_Code],$A23,T_SelfStock[WeekIndex],63)+SUMIFS(T_TTAFStock[TTAF_Qty],T_TTAFStock[RM_Code],$A23,T_TTAFStock[WeekIndex],63),BK23+'Grid_Incoming'!BL23-'Grid_Requirement'!BL23))</f>
        <v/>
      </c>
      <c r="BM23">
        <f>IF(COUNTIFS(T_StockCount[RM_Code],$A23,T_StockCount[WeekIndex],64)&gt;0,SUMIFS(T_StockCount[CountedQty],T_StockCount[RM_Code],$A23,T_StockCount[WeekIndex],64),IF((COUNTIFS(T_SelfStock[RM_Code],$A23,T_SelfStock[WeekIndex],64)&gt;0)*(COUNTIFS(T_TTAFStock[RM_Code],$A23,T_TTAFStock[WeekIndex],64)&gt;0)&gt;0,SUMIFS(T_SelfStock[Self_Qty],T_SelfStock[RM_Code],$A23,T_SelfStock[WeekIndex],64)+SUMIFS(T_TTAFStock[TTAF_Qty],T_TTAFStock[RM_Code],$A23,T_TTAFStock[WeekIndex],64),BL23+'Grid_Incoming'!BM23-'Grid_Requirement'!BM23))</f>
        <v/>
      </c>
      <c r="BN23">
        <f>IF(COUNTIFS(T_StockCount[RM_Code],$A23,T_StockCount[WeekIndex],65)&gt;0,SUMIFS(T_StockCount[CountedQty],T_StockCount[RM_Code],$A23,T_StockCount[WeekIndex],65),IF((COUNTIFS(T_SelfStock[RM_Code],$A23,T_SelfStock[WeekIndex],65)&gt;0)*(COUNTIFS(T_TTAFStock[RM_Code],$A23,T_TTAFStock[WeekIndex],65)&gt;0)&gt;0,SUMIFS(T_SelfStock[Self_Qty],T_SelfStock[RM_Code],$A23,T_SelfStock[WeekIndex],65)+SUMIFS(T_TTAFStock[TTAF_Qty],T_TTAFStock[RM_Code],$A23,T_TTAFStock[WeekIndex],65),BM23+'Grid_Incoming'!BN23-'Grid_Requirement'!BN23))</f>
        <v/>
      </c>
      <c r="BO23">
        <f>IF(COUNTIFS(T_StockCount[RM_Code],$A23,T_StockCount[WeekIndex],66)&gt;0,SUMIFS(T_StockCount[CountedQty],T_StockCount[RM_Code],$A23,T_StockCount[WeekIndex],66),IF((COUNTIFS(T_SelfStock[RM_Code],$A23,T_SelfStock[WeekIndex],66)&gt;0)*(COUNTIFS(T_TTAFStock[RM_Code],$A23,T_TTAFStock[WeekIndex],66)&gt;0)&gt;0,SUMIFS(T_SelfStock[Self_Qty],T_SelfStock[RM_Code],$A23,T_SelfStock[WeekIndex],66)+SUMIFS(T_TTAFStock[TTAF_Qty],T_TTAFStock[RM_Code],$A23,T_TTAFStock[WeekIndex],66),BN23+'Grid_Incoming'!BO23-'Grid_Requirement'!BO23))</f>
        <v/>
      </c>
      <c r="BP23">
        <f>IF(COUNTIFS(T_StockCount[RM_Code],$A23,T_StockCount[WeekIndex],67)&gt;0,SUMIFS(T_StockCount[CountedQty],T_StockCount[RM_Code],$A23,T_StockCount[WeekIndex],67),IF((COUNTIFS(T_SelfStock[RM_Code],$A23,T_SelfStock[WeekIndex],67)&gt;0)*(COUNTIFS(T_TTAFStock[RM_Code],$A23,T_TTAFStock[WeekIndex],67)&gt;0)&gt;0,SUMIFS(T_SelfStock[Self_Qty],T_SelfStock[RM_Code],$A23,T_SelfStock[WeekIndex],67)+SUMIFS(T_TTAFStock[TTAF_Qty],T_TTAFStock[RM_Code],$A23,T_TTAFStock[WeekIndex],67),BO23+'Grid_Incoming'!BP23-'Grid_Requirement'!BP23))</f>
        <v/>
      </c>
      <c r="BQ23">
        <f>IF(COUNTIFS(T_StockCount[RM_Code],$A23,T_StockCount[WeekIndex],68)&gt;0,SUMIFS(T_StockCount[CountedQty],T_StockCount[RM_Code],$A23,T_StockCount[WeekIndex],68),IF((COUNTIFS(T_SelfStock[RM_Code],$A23,T_SelfStock[WeekIndex],68)&gt;0)*(COUNTIFS(T_TTAFStock[RM_Code],$A23,T_TTAFStock[WeekIndex],68)&gt;0)&gt;0,SUMIFS(T_SelfStock[Self_Qty],T_SelfStock[RM_Code],$A23,T_SelfStock[WeekIndex],68)+SUMIFS(T_TTAFStock[TTAF_Qty],T_TTAFStock[RM_Code],$A23,T_TTAFStock[WeekIndex],68),BP23+'Grid_Incoming'!BQ23-'Grid_Requirement'!BQ23))</f>
        <v/>
      </c>
      <c r="BR23">
        <f>IF(COUNTIFS(T_StockCount[RM_Code],$A23,T_StockCount[WeekIndex],69)&gt;0,SUMIFS(T_StockCount[CountedQty],T_StockCount[RM_Code],$A23,T_StockCount[WeekIndex],69),IF((COUNTIFS(T_SelfStock[RM_Code],$A23,T_SelfStock[WeekIndex],69)&gt;0)*(COUNTIFS(T_TTAFStock[RM_Code],$A23,T_TTAFStock[WeekIndex],69)&gt;0)&gt;0,SUMIFS(T_SelfStock[Self_Qty],T_SelfStock[RM_Code],$A23,T_SelfStock[WeekIndex],69)+SUMIFS(T_TTAFStock[TTAF_Qty],T_TTAFStock[RM_Code],$A23,T_TTAFStock[WeekIndex],69),BQ23+'Grid_Incoming'!BR23-'Grid_Requirement'!BR23))</f>
        <v/>
      </c>
      <c r="BS23">
        <f>IF(COUNTIFS(T_StockCount[RM_Code],$A23,T_StockCount[WeekIndex],70)&gt;0,SUMIFS(T_StockCount[CountedQty],T_StockCount[RM_Code],$A23,T_StockCount[WeekIndex],70),IF((COUNTIFS(T_SelfStock[RM_Code],$A23,T_SelfStock[WeekIndex],70)&gt;0)*(COUNTIFS(T_TTAFStock[RM_Code],$A23,T_TTAFStock[WeekIndex],70)&gt;0)&gt;0,SUMIFS(T_SelfStock[Self_Qty],T_SelfStock[RM_Code],$A23,T_SelfStock[WeekIndex],70)+SUMIFS(T_TTAFStock[TTAF_Qty],T_TTAFStock[RM_Code],$A23,T_TTAFStock[WeekIndex],70),BR23+'Grid_Incoming'!BS23-'Grid_Requirement'!BS23))</f>
        <v/>
      </c>
      <c r="BT23">
        <f>IF(COUNTIFS(T_StockCount[RM_Code],$A23,T_StockCount[WeekIndex],71)&gt;0,SUMIFS(T_StockCount[CountedQty],T_StockCount[RM_Code],$A23,T_StockCount[WeekIndex],71),IF((COUNTIFS(T_SelfStock[RM_Code],$A23,T_SelfStock[WeekIndex],71)&gt;0)*(COUNTIFS(T_TTAFStock[RM_Code],$A23,T_TTAFStock[WeekIndex],71)&gt;0)&gt;0,SUMIFS(T_SelfStock[Self_Qty],T_SelfStock[RM_Code],$A23,T_SelfStock[WeekIndex],71)+SUMIFS(T_TTAFStock[TTAF_Qty],T_TTAFStock[RM_Code],$A23,T_TTAFStock[WeekIndex],71),BS23+'Grid_Incoming'!BT23-'Grid_Requirement'!BT23))</f>
        <v/>
      </c>
      <c r="BU23">
        <f>IF(COUNTIFS(T_StockCount[RM_Code],$A23,T_StockCount[WeekIndex],72)&gt;0,SUMIFS(T_StockCount[CountedQty],T_StockCount[RM_Code],$A23,T_StockCount[WeekIndex],72),IF((COUNTIFS(T_SelfStock[RM_Code],$A23,T_SelfStock[WeekIndex],72)&gt;0)*(COUNTIFS(T_TTAFStock[RM_Code],$A23,T_TTAFStock[WeekIndex],72)&gt;0)&gt;0,SUMIFS(T_SelfStock[Self_Qty],T_SelfStock[RM_Code],$A23,T_SelfStock[WeekIndex],72)+SUMIFS(T_TTAFStock[TTAF_Qty],T_TTAFStock[RM_Code],$A23,T_TTAFStock[WeekIndex],72),BT23+'Grid_Incoming'!BU23-'Grid_Requirement'!BU23))</f>
        <v/>
      </c>
      <c r="BV23">
        <f>IF(COUNTIFS(T_StockCount[RM_Code],$A23,T_StockCount[WeekIndex],73)&gt;0,SUMIFS(T_StockCount[CountedQty],T_StockCount[RM_Code],$A23,T_StockCount[WeekIndex],73),IF((COUNTIFS(T_SelfStock[RM_Code],$A23,T_SelfStock[WeekIndex],73)&gt;0)*(COUNTIFS(T_TTAFStock[RM_Code],$A23,T_TTAFStock[WeekIndex],73)&gt;0)&gt;0,SUMIFS(T_SelfStock[Self_Qty],T_SelfStock[RM_Code],$A23,T_SelfStock[WeekIndex],73)+SUMIFS(T_TTAFStock[TTAF_Qty],T_TTAFStock[RM_Code],$A23,T_TTAFStock[WeekIndex],73),BU23+'Grid_Incoming'!BV23-'Grid_Requirement'!BV23))</f>
        <v/>
      </c>
      <c r="BW23">
        <f>IF(COUNTIFS(T_StockCount[RM_Code],$A23,T_StockCount[WeekIndex],74)&gt;0,SUMIFS(T_StockCount[CountedQty],T_StockCount[RM_Code],$A23,T_StockCount[WeekIndex],74),IF((COUNTIFS(T_SelfStock[RM_Code],$A23,T_SelfStock[WeekIndex],74)&gt;0)*(COUNTIFS(T_TTAFStock[RM_Code],$A23,T_TTAFStock[WeekIndex],74)&gt;0)&gt;0,SUMIFS(T_SelfStock[Self_Qty],T_SelfStock[RM_Code],$A23,T_SelfStock[WeekIndex],74)+SUMIFS(T_TTAFStock[TTAF_Qty],T_TTAFStock[RM_Code],$A23,T_TTAFStock[WeekIndex],74),BV23+'Grid_Incoming'!BW23-'Grid_Requirement'!BW23))</f>
        <v/>
      </c>
      <c r="BX23">
        <f>IF(COUNTIFS(T_StockCount[RM_Code],$A23,T_StockCount[WeekIndex],75)&gt;0,SUMIFS(T_StockCount[CountedQty],T_StockCount[RM_Code],$A23,T_StockCount[WeekIndex],75),IF((COUNTIFS(T_SelfStock[RM_Code],$A23,T_SelfStock[WeekIndex],75)&gt;0)*(COUNTIFS(T_TTAFStock[RM_Code],$A23,T_TTAFStock[WeekIndex],75)&gt;0)&gt;0,SUMIFS(T_SelfStock[Self_Qty],T_SelfStock[RM_Code],$A23,T_SelfStock[WeekIndex],75)+SUMIFS(T_TTAFStock[TTAF_Qty],T_TTAFStock[RM_Code],$A23,T_TTAFStock[WeekIndex],75),BW23+'Grid_Incoming'!BX23-'Grid_Requirement'!BX23))</f>
        <v/>
      </c>
      <c r="BY23">
        <f>IF(COUNTIFS(T_StockCount[RM_Code],$A23,T_StockCount[WeekIndex],76)&gt;0,SUMIFS(T_StockCount[CountedQty],T_StockCount[RM_Code],$A23,T_StockCount[WeekIndex],76),IF((COUNTIFS(T_SelfStock[RM_Code],$A23,T_SelfStock[WeekIndex],76)&gt;0)*(COUNTIFS(T_TTAFStock[RM_Code],$A23,T_TTAFStock[WeekIndex],76)&gt;0)&gt;0,SUMIFS(T_SelfStock[Self_Qty],T_SelfStock[RM_Code],$A23,T_SelfStock[WeekIndex],76)+SUMIFS(T_TTAFStock[TTAF_Qty],T_TTAFStock[RM_Code],$A23,T_TTAFStock[WeekIndex],76),BX23+'Grid_Incoming'!BY23-'Grid_Requirement'!BY23))</f>
        <v/>
      </c>
      <c r="BZ23">
        <f>IF(COUNTIFS(T_StockCount[RM_Code],$A23,T_StockCount[WeekIndex],77)&gt;0,SUMIFS(T_StockCount[CountedQty],T_StockCount[RM_Code],$A23,T_StockCount[WeekIndex],77),IF((COUNTIFS(T_SelfStock[RM_Code],$A23,T_SelfStock[WeekIndex],77)&gt;0)*(COUNTIFS(T_TTAFStock[RM_Code],$A23,T_TTAFStock[WeekIndex],77)&gt;0)&gt;0,SUMIFS(T_SelfStock[Self_Qty],T_SelfStock[RM_Code],$A23,T_SelfStock[WeekIndex],77)+SUMIFS(T_TTAFStock[TTAF_Qty],T_TTAFStock[RM_Code],$A23,T_TTAFStock[WeekIndex],77),BY23+'Grid_Incoming'!BZ23-'Grid_Requirement'!BZ23))</f>
        <v/>
      </c>
      <c r="CA23">
        <f>IF(COUNTIFS(T_StockCount[RM_Code],$A23,T_StockCount[WeekIndex],78)&gt;0,SUMIFS(T_StockCount[CountedQty],T_StockCount[RM_Code],$A23,T_StockCount[WeekIndex],78),IF((COUNTIFS(T_SelfStock[RM_Code],$A23,T_SelfStock[WeekIndex],78)&gt;0)*(COUNTIFS(T_TTAFStock[RM_Code],$A23,T_TTAFStock[WeekIndex],78)&gt;0)&gt;0,SUMIFS(T_SelfStock[Self_Qty],T_SelfStock[RM_Code],$A23,T_SelfStock[WeekIndex],78)+SUMIFS(T_TTAFStock[TTAF_Qty],T_TTAFStock[RM_Code],$A23,T_TTAFStock[WeekIndex],78),BZ23+'Grid_Incoming'!CA23-'Grid_Requirement'!CA23))</f>
        <v/>
      </c>
      <c r="CB23">
        <f>IF(COUNTIFS(T_StockCount[RM_Code],$A23,T_StockCount[WeekIndex],79)&gt;0,SUMIFS(T_StockCount[CountedQty],T_StockCount[RM_Code],$A23,T_StockCount[WeekIndex],79),IF((COUNTIFS(T_SelfStock[RM_Code],$A23,T_SelfStock[WeekIndex],79)&gt;0)*(COUNTIFS(T_TTAFStock[RM_Code],$A23,T_TTAFStock[WeekIndex],79)&gt;0)&gt;0,SUMIFS(T_SelfStock[Self_Qty],T_SelfStock[RM_Code],$A23,T_SelfStock[WeekIndex],79)+SUMIFS(T_TTAFStock[TTAF_Qty],T_TTAFStock[RM_Code],$A23,T_TTAFStock[WeekIndex],79),CA23+'Grid_Incoming'!CB23-'Grid_Requirement'!CB23))</f>
        <v/>
      </c>
      <c r="CC23">
        <f>IF(COUNTIFS(T_StockCount[RM_Code],$A23,T_StockCount[WeekIndex],80)&gt;0,SUMIFS(T_StockCount[CountedQty],T_StockCount[RM_Code],$A23,T_StockCount[WeekIndex],80),IF((COUNTIFS(T_SelfStock[RM_Code],$A23,T_SelfStock[WeekIndex],80)&gt;0)*(COUNTIFS(T_TTAFStock[RM_Code],$A23,T_TTAFStock[WeekIndex],80)&gt;0)&gt;0,SUMIFS(T_SelfStock[Self_Qty],T_SelfStock[RM_Code],$A23,T_SelfStock[WeekIndex],80)+SUMIFS(T_TTAFStock[TTAF_Qty],T_TTAFStock[RM_Code],$A23,T_TTAFStock[WeekIndex],80),CB23+'Grid_Incoming'!CC23-'Grid_Requirement'!CC23))</f>
        <v/>
      </c>
      <c r="CD23">
        <f>IF(COUNTIFS(T_StockCount[RM_Code],$A23,T_StockCount[WeekIndex],81)&gt;0,SUMIFS(T_StockCount[CountedQty],T_StockCount[RM_Code],$A23,T_StockCount[WeekIndex],81),IF((COUNTIFS(T_SelfStock[RM_Code],$A23,T_SelfStock[WeekIndex],81)&gt;0)*(COUNTIFS(T_TTAFStock[RM_Code],$A23,T_TTAFStock[WeekIndex],81)&gt;0)&gt;0,SUMIFS(T_SelfStock[Self_Qty],T_SelfStock[RM_Code],$A23,T_SelfStock[WeekIndex],81)+SUMIFS(T_TTAFStock[TTAF_Qty],T_TTAFStock[RM_Code],$A23,T_TTAFStock[WeekIndex],81),CC23+'Grid_Incoming'!CD23-'Grid_Requirement'!CD23))</f>
        <v/>
      </c>
      <c r="CE23">
        <f>IF(COUNTIFS(T_StockCount[RM_Code],$A23,T_StockCount[WeekIndex],82)&gt;0,SUMIFS(T_StockCount[CountedQty],T_StockCount[RM_Code],$A23,T_StockCount[WeekIndex],82),IF((COUNTIFS(T_SelfStock[RM_Code],$A23,T_SelfStock[WeekIndex],82)&gt;0)*(COUNTIFS(T_TTAFStock[RM_Code],$A23,T_TTAFStock[WeekIndex],82)&gt;0)&gt;0,SUMIFS(T_SelfStock[Self_Qty],T_SelfStock[RM_Code],$A23,T_SelfStock[WeekIndex],82)+SUMIFS(T_TTAFStock[TTAF_Qty],T_TTAFStock[RM_Code],$A23,T_TTAFStock[WeekIndex],82),CD23+'Grid_Incoming'!CE23-'Grid_Requirement'!CE23))</f>
        <v/>
      </c>
      <c r="CF23">
        <f>IF(COUNTIFS(T_StockCount[RM_Code],$A23,T_StockCount[WeekIndex],83)&gt;0,SUMIFS(T_StockCount[CountedQty],T_StockCount[RM_Code],$A23,T_StockCount[WeekIndex],83),IF((COUNTIFS(T_SelfStock[RM_Code],$A23,T_SelfStock[WeekIndex],83)&gt;0)*(COUNTIFS(T_TTAFStock[RM_Code],$A23,T_TTAFStock[WeekIndex],83)&gt;0)&gt;0,SUMIFS(T_SelfStock[Self_Qty],T_SelfStock[RM_Code],$A23,T_SelfStock[WeekIndex],83)+SUMIFS(T_TTAFStock[TTAF_Qty],T_TTAFStock[RM_Code],$A23,T_TTAFStock[WeekIndex],83),CE23+'Grid_Incoming'!CF23-'Grid_Requirement'!CF23))</f>
        <v/>
      </c>
      <c r="CG23">
        <f>IF(COUNTIFS(T_StockCount[RM_Code],$A23,T_StockCount[WeekIndex],84)&gt;0,SUMIFS(T_StockCount[CountedQty],T_StockCount[RM_Code],$A23,T_StockCount[WeekIndex],84),IF((COUNTIFS(T_SelfStock[RM_Code],$A23,T_SelfStock[WeekIndex],84)&gt;0)*(COUNTIFS(T_TTAFStock[RM_Code],$A23,T_TTAFStock[WeekIndex],84)&gt;0)&gt;0,SUMIFS(T_SelfStock[Self_Qty],T_SelfStock[RM_Code],$A23,T_SelfStock[WeekIndex],84)+SUMIFS(T_TTAFStock[TTAF_Qty],T_TTAFStock[RM_Code],$A23,T_TTAFStock[WeekIndex],84),CF23+'Grid_Incoming'!CG23-'Grid_Requirement'!CG23))</f>
        <v/>
      </c>
      <c r="CH23">
        <f>IF(COUNTIFS(T_StockCount[RM_Code],$A23,T_StockCount[WeekIndex],85)&gt;0,SUMIFS(T_StockCount[CountedQty],T_StockCount[RM_Code],$A23,T_StockCount[WeekIndex],85),IF((COUNTIFS(T_SelfStock[RM_Code],$A23,T_SelfStock[WeekIndex],85)&gt;0)*(COUNTIFS(T_TTAFStock[RM_Code],$A23,T_TTAFStock[WeekIndex],85)&gt;0)&gt;0,SUMIFS(T_SelfStock[Self_Qty],T_SelfStock[RM_Code],$A23,T_SelfStock[WeekIndex],85)+SUMIFS(T_TTAFStock[TTAF_Qty],T_TTAFStock[RM_Code],$A23,T_TTAFStock[WeekIndex],85),CG23+'Grid_Incoming'!CH23-'Grid_Requirement'!CH23))</f>
        <v/>
      </c>
      <c r="CI23">
        <f>IF(COUNTIFS(T_StockCount[RM_Code],$A23,T_StockCount[WeekIndex],86)&gt;0,SUMIFS(T_StockCount[CountedQty],T_StockCount[RM_Code],$A23,T_StockCount[WeekIndex],86),IF((COUNTIFS(T_SelfStock[RM_Code],$A23,T_SelfStock[WeekIndex],86)&gt;0)*(COUNTIFS(T_TTAFStock[RM_Code],$A23,T_TTAFStock[WeekIndex],86)&gt;0)&gt;0,SUMIFS(T_SelfStock[Self_Qty],T_SelfStock[RM_Code],$A23,T_SelfStock[WeekIndex],86)+SUMIFS(T_TTAFStock[TTAF_Qty],T_TTAFStock[RM_Code],$A23,T_TTAFStock[WeekIndex],86),CH23+'Grid_Incoming'!CI23-'Grid_Requirement'!CI23))</f>
        <v/>
      </c>
      <c r="CJ23">
        <f>IF(COUNTIFS(T_StockCount[RM_Code],$A23,T_StockCount[WeekIndex],87)&gt;0,SUMIFS(T_StockCount[CountedQty],T_StockCount[RM_Code],$A23,T_StockCount[WeekIndex],87),IF((COUNTIFS(T_SelfStock[RM_Code],$A23,T_SelfStock[WeekIndex],87)&gt;0)*(COUNTIFS(T_TTAFStock[RM_Code],$A23,T_TTAFStock[WeekIndex],87)&gt;0)&gt;0,SUMIFS(T_SelfStock[Self_Qty],T_SelfStock[RM_Code],$A23,T_SelfStock[WeekIndex],87)+SUMIFS(T_TTAFStock[TTAF_Qty],T_TTAFStock[RM_Code],$A23,T_TTAFStock[WeekIndex],87),CI23+'Grid_Incoming'!CJ23-'Grid_Requirement'!CJ23))</f>
        <v/>
      </c>
      <c r="CK23">
        <f>IF(COUNTIFS(T_StockCount[RM_Code],$A23,T_StockCount[WeekIndex],88)&gt;0,SUMIFS(T_StockCount[CountedQty],T_StockCount[RM_Code],$A23,T_StockCount[WeekIndex],88),IF((COUNTIFS(T_SelfStock[RM_Code],$A23,T_SelfStock[WeekIndex],88)&gt;0)*(COUNTIFS(T_TTAFStock[RM_Code],$A23,T_TTAFStock[WeekIndex],88)&gt;0)&gt;0,SUMIFS(T_SelfStock[Self_Qty],T_SelfStock[RM_Code],$A23,T_SelfStock[WeekIndex],88)+SUMIFS(T_TTAFStock[TTAF_Qty],T_TTAFStock[RM_Code],$A23,T_TTAFStock[WeekIndex],88),CJ23+'Grid_Incoming'!CK23-'Grid_Requirement'!CK23))</f>
        <v/>
      </c>
      <c r="CL23">
        <f>IF(COUNTIFS(T_StockCount[RM_Code],$A23,T_StockCount[WeekIndex],89)&gt;0,SUMIFS(T_StockCount[CountedQty],T_StockCount[RM_Code],$A23,T_StockCount[WeekIndex],89),IF((COUNTIFS(T_SelfStock[RM_Code],$A23,T_SelfStock[WeekIndex],89)&gt;0)*(COUNTIFS(T_TTAFStock[RM_Code],$A23,T_TTAFStock[WeekIndex],89)&gt;0)&gt;0,SUMIFS(T_SelfStock[Self_Qty],T_SelfStock[RM_Code],$A23,T_SelfStock[WeekIndex],89)+SUMIFS(T_TTAFStock[TTAF_Qty],T_TTAFStock[RM_Code],$A23,T_TTAFStock[WeekIndex],89),CK23+'Grid_Incoming'!CL23-'Grid_Requirement'!CL23))</f>
        <v/>
      </c>
      <c r="CM23">
        <f>IF(COUNTIFS(T_StockCount[RM_Code],$A23,T_StockCount[WeekIndex],90)&gt;0,SUMIFS(T_StockCount[CountedQty],T_StockCount[RM_Code],$A23,T_StockCount[WeekIndex],90),IF((COUNTIFS(T_SelfStock[RM_Code],$A23,T_SelfStock[WeekIndex],90)&gt;0)*(COUNTIFS(T_TTAFStock[RM_Code],$A23,T_TTAFStock[WeekIndex],90)&gt;0)&gt;0,SUMIFS(T_SelfStock[Self_Qty],T_SelfStock[RM_Code],$A23,T_SelfStock[WeekIndex],90)+SUMIFS(T_TTAFStock[TTAF_Qty],T_TTAFStock[RM_Code],$A23,T_TTAFStock[WeekIndex],90),CL23+'Grid_Incoming'!CM23-'Grid_Requirement'!CM23))</f>
        <v/>
      </c>
      <c r="CN23">
        <f>IF(COUNTIFS(T_StockCount[RM_Code],$A23,T_StockCount[WeekIndex],91)&gt;0,SUMIFS(T_StockCount[CountedQty],T_StockCount[RM_Code],$A23,T_StockCount[WeekIndex],91),IF((COUNTIFS(T_SelfStock[RM_Code],$A23,T_SelfStock[WeekIndex],91)&gt;0)*(COUNTIFS(T_TTAFStock[RM_Code],$A23,T_TTAFStock[WeekIndex],91)&gt;0)&gt;0,SUMIFS(T_SelfStock[Self_Qty],T_SelfStock[RM_Code],$A23,T_SelfStock[WeekIndex],91)+SUMIFS(T_TTAFStock[TTAF_Qty],T_TTAFStock[RM_Code],$A23,T_TTAFStock[WeekIndex],91),CM23+'Grid_Incoming'!CN23-'Grid_Requirement'!CN23))</f>
        <v/>
      </c>
      <c r="CO23">
        <f>IF(COUNTIFS(T_StockCount[RM_Code],$A23,T_StockCount[WeekIndex],92)&gt;0,SUMIFS(T_StockCount[CountedQty],T_StockCount[RM_Code],$A23,T_StockCount[WeekIndex],92),IF((COUNTIFS(T_SelfStock[RM_Code],$A23,T_SelfStock[WeekIndex],92)&gt;0)*(COUNTIFS(T_TTAFStock[RM_Code],$A23,T_TTAFStock[WeekIndex],92)&gt;0)&gt;0,SUMIFS(T_SelfStock[Self_Qty],T_SelfStock[RM_Code],$A23,T_SelfStock[WeekIndex],92)+SUMIFS(T_TTAFStock[TTAF_Qty],T_TTAFStock[RM_Code],$A23,T_TTAFStock[WeekIndex],92),CN23+'Grid_Incoming'!CO23-'Grid_Requirement'!CO23))</f>
        <v/>
      </c>
      <c r="CP23">
        <f>IF(COUNTIFS(T_StockCount[RM_Code],$A23,T_StockCount[WeekIndex],93)&gt;0,SUMIFS(T_StockCount[CountedQty],T_StockCount[RM_Code],$A23,T_StockCount[WeekIndex],93),IF((COUNTIFS(T_SelfStock[RM_Code],$A23,T_SelfStock[WeekIndex],93)&gt;0)*(COUNTIFS(T_TTAFStock[RM_Code],$A23,T_TTAFStock[WeekIndex],93)&gt;0)&gt;0,SUMIFS(T_SelfStock[Self_Qty],T_SelfStock[RM_Code],$A23,T_SelfStock[WeekIndex],93)+SUMIFS(T_TTAFStock[TTAF_Qty],T_TTAFStock[RM_Code],$A23,T_TTAFStock[WeekIndex],93),CO23+'Grid_Incoming'!CP23-'Grid_Requirement'!CP23))</f>
        <v/>
      </c>
      <c r="CQ23">
        <f>IF(COUNTIFS(T_StockCount[RM_Code],$A23,T_StockCount[WeekIndex],94)&gt;0,SUMIFS(T_StockCount[CountedQty],T_StockCount[RM_Code],$A23,T_StockCount[WeekIndex],94),IF((COUNTIFS(T_SelfStock[RM_Code],$A23,T_SelfStock[WeekIndex],94)&gt;0)*(COUNTIFS(T_TTAFStock[RM_Code],$A23,T_TTAFStock[WeekIndex],94)&gt;0)&gt;0,SUMIFS(T_SelfStock[Self_Qty],T_SelfStock[RM_Code],$A23,T_SelfStock[WeekIndex],94)+SUMIFS(T_TTAFStock[TTAF_Qty],T_TTAFStock[RM_Code],$A23,T_TTAFStock[WeekIndex],94),CP23+'Grid_Incoming'!CQ23-'Grid_Requirement'!CQ23))</f>
        <v/>
      </c>
      <c r="CR23">
        <f>IF(COUNTIFS(T_StockCount[RM_Code],$A23,T_StockCount[WeekIndex],95)&gt;0,SUMIFS(T_StockCount[CountedQty],T_StockCount[RM_Code],$A23,T_StockCount[WeekIndex],95),IF((COUNTIFS(T_SelfStock[RM_Code],$A23,T_SelfStock[WeekIndex],95)&gt;0)*(COUNTIFS(T_TTAFStock[RM_Code],$A23,T_TTAFStock[WeekIndex],95)&gt;0)&gt;0,SUMIFS(T_SelfStock[Self_Qty],T_SelfStock[RM_Code],$A23,T_SelfStock[WeekIndex],95)+SUMIFS(T_TTAFStock[TTAF_Qty],T_TTAFStock[RM_Code],$A23,T_TTAFStock[WeekIndex],95),CQ23+'Grid_Incoming'!CR23-'Grid_Requirement'!CR23))</f>
        <v/>
      </c>
      <c r="CS23">
        <f>IF(COUNTIFS(T_StockCount[RM_Code],$A23,T_StockCount[WeekIndex],96)&gt;0,SUMIFS(T_StockCount[CountedQty],T_StockCount[RM_Code],$A23,T_StockCount[WeekIndex],96),IF((COUNTIFS(T_SelfStock[RM_Code],$A23,T_SelfStock[WeekIndex],96)&gt;0)*(COUNTIFS(T_TTAFStock[RM_Code],$A23,T_TTAFStock[WeekIndex],96)&gt;0)&gt;0,SUMIFS(T_SelfStock[Self_Qty],T_SelfStock[RM_Code],$A23,T_SelfStock[WeekIndex],96)+SUMIFS(T_TTAFStock[TTAF_Qty],T_TTAFStock[RM_Code],$A23,T_TTAFStock[WeekIndex],96),CR23+'Grid_Incoming'!CS23-'Grid_Requirement'!CS23))</f>
        <v/>
      </c>
      <c r="CT23">
        <f>IF(COUNTIFS(T_StockCount[RM_Code],$A23,T_StockCount[WeekIndex],97)&gt;0,SUMIFS(T_StockCount[CountedQty],T_StockCount[RM_Code],$A23,T_StockCount[WeekIndex],97),IF((COUNTIFS(T_SelfStock[RM_Code],$A23,T_SelfStock[WeekIndex],97)&gt;0)*(COUNTIFS(T_TTAFStock[RM_Code],$A23,T_TTAFStock[WeekIndex],97)&gt;0)&gt;0,SUMIFS(T_SelfStock[Self_Qty],T_SelfStock[RM_Code],$A23,T_SelfStock[WeekIndex],97)+SUMIFS(T_TTAFStock[TTAF_Qty],T_TTAFStock[RM_Code],$A23,T_TTAFStock[WeekIndex],97),CS23+'Grid_Incoming'!CT23-'Grid_Requirement'!CT23))</f>
        <v/>
      </c>
      <c r="CU23">
        <f>IF(COUNTIFS(T_StockCount[RM_Code],$A23,T_StockCount[WeekIndex],98)&gt;0,SUMIFS(T_StockCount[CountedQty],T_StockCount[RM_Code],$A23,T_StockCount[WeekIndex],98),IF((COUNTIFS(T_SelfStock[RM_Code],$A23,T_SelfStock[WeekIndex],98)&gt;0)*(COUNTIFS(T_TTAFStock[RM_Code],$A23,T_TTAFStock[WeekIndex],98)&gt;0)&gt;0,SUMIFS(T_SelfStock[Self_Qty],T_SelfStock[RM_Code],$A23,T_SelfStock[WeekIndex],98)+SUMIFS(T_TTAFStock[TTAF_Qty],T_TTAFStock[RM_Code],$A23,T_TTAFStock[WeekIndex],98),CT23+'Grid_Incoming'!CU23-'Grid_Requirement'!CU23))</f>
        <v/>
      </c>
      <c r="CV23">
        <f>IF(COUNTIFS(T_StockCount[RM_Code],$A23,T_StockCount[WeekIndex],99)&gt;0,SUMIFS(T_StockCount[CountedQty],T_StockCount[RM_Code],$A23,T_StockCount[WeekIndex],99),IF((COUNTIFS(T_SelfStock[RM_Code],$A23,T_SelfStock[WeekIndex],99)&gt;0)*(COUNTIFS(T_TTAFStock[RM_Code],$A23,T_TTAFStock[WeekIndex],99)&gt;0)&gt;0,SUMIFS(T_SelfStock[Self_Qty],T_SelfStock[RM_Code],$A23,T_SelfStock[WeekIndex],99)+SUMIFS(T_TTAFStock[TTAF_Qty],T_TTAFStock[RM_Code],$A23,T_TTAFStock[WeekIndex],99),CU23+'Grid_Incoming'!CV23-'Grid_Requirement'!CV23))</f>
        <v/>
      </c>
      <c r="CW23">
        <f>IF(COUNTIFS(T_StockCount[RM_Code],$A23,T_StockCount[WeekIndex],100)&gt;0,SUMIFS(T_StockCount[CountedQty],T_StockCount[RM_Code],$A23,T_StockCount[WeekIndex],100),IF((COUNTIFS(T_SelfStock[RM_Code],$A23,T_SelfStock[WeekIndex],100)&gt;0)*(COUNTIFS(T_TTAFStock[RM_Code],$A23,T_TTAFStock[WeekIndex],100)&gt;0)&gt;0,SUMIFS(T_SelfStock[Self_Qty],T_SelfStock[RM_Code],$A23,T_SelfStock[WeekIndex],100)+SUMIFS(T_TTAFStock[TTAF_Qty],T_TTAFStock[RM_Code],$A23,T_TTAFStock[WeekIndex],100),CV23+'Grid_Incoming'!CW23-'Grid_Requirement'!CW23))</f>
        <v/>
      </c>
      <c r="CX23">
        <f>IF(COUNTIFS(T_StockCount[RM_Code],$A23,T_StockCount[WeekIndex],101)&gt;0,SUMIFS(T_StockCount[CountedQty],T_StockCount[RM_Code],$A23,T_StockCount[WeekIndex],101),IF((COUNTIFS(T_SelfStock[RM_Code],$A23,T_SelfStock[WeekIndex],101)&gt;0)*(COUNTIFS(T_TTAFStock[RM_Code],$A23,T_TTAFStock[WeekIndex],101)&gt;0)&gt;0,SUMIFS(T_SelfStock[Self_Qty],T_SelfStock[RM_Code],$A23,T_SelfStock[WeekIndex],101)+SUMIFS(T_TTAFStock[TTAF_Qty],T_TTAFStock[RM_Code],$A23,T_TTAFStock[WeekIndex],101),CW23+'Grid_Incoming'!CX23-'Grid_Requirement'!CX23))</f>
        <v/>
      </c>
      <c r="CY23">
        <f>IF(COUNTIFS(T_StockCount[RM_Code],$A23,T_StockCount[WeekIndex],102)&gt;0,SUMIFS(T_StockCount[CountedQty],T_StockCount[RM_Code],$A23,T_StockCount[WeekIndex],102),IF((COUNTIFS(T_SelfStock[RM_Code],$A23,T_SelfStock[WeekIndex],102)&gt;0)*(COUNTIFS(T_TTAFStock[RM_Code],$A23,T_TTAFStock[WeekIndex],102)&gt;0)&gt;0,SUMIFS(T_SelfStock[Self_Qty],T_SelfStock[RM_Code],$A23,T_SelfStock[WeekIndex],102)+SUMIFS(T_TTAFStock[TTAF_Qty],T_TTAFStock[RM_Code],$A23,T_TTAFStock[WeekIndex],102),CX23+'Grid_Incoming'!CY23-'Grid_Requirement'!CY23))</f>
        <v/>
      </c>
      <c r="CZ23">
        <f>IF(COUNTIFS(T_StockCount[RM_Code],$A23,T_StockCount[WeekIndex],103)&gt;0,SUMIFS(T_StockCount[CountedQty],T_StockCount[RM_Code],$A23,T_StockCount[WeekIndex],103),IF((COUNTIFS(T_SelfStock[RM_Code],$A23,T_SelfStock[WeekIndex],103)&gt;0)*(COUNTIFS(T_TTAFStock[RM_Code],$A23,T_TTAFStock[WeekIndex],103)&gt;0)&gt;0,SUMIFS(T_SelfStock[Self_Qty],T_SelfStock[RM_Code],$A23,T_SelfStock[WeekIndex],103)+SUMIFS(T_TTAFStock[TTAF_Qty],T_TTAFStock[RM_Code],$A23,T_TTAFStock[WeekIndex],103),CY23+'Grid_Incoming'!CZ23-'Grid_Requirement'!CZ23))</f>
        <v/>
      </c>
      <c r="DA23">
        <f>IF(COUNTIFS(T_StockCount[RM_Code],$A23,T_StockCount[WeekIndex],104)&gt;0,SUMIFS(T_StockCount[CountedQty],T_StockCount[RM_Code],$A23,T_StockCount[WeekIndex],104),IF((COUNTIFS(T_SelfStock[RM_Code],$A23,T_SelfStock[WeekIndex],104)&gt;0)*(COUNTIFS(T_TTAFStock[RM_Code],$A23,T_TTAFStock[WeekIndex],104)&gt;0)&gt;0,SUMIFS(T_SelfStock[Self_Qty],T_SelfStock[RM_Code],$A23,T_SelfStock[WeekIndex],104)+SUMIFS(T_TTAFStock[TTAF_Qty],T_TTAFStock[RM_Code],$A23,T_TTAFStock[WeekIndex],104),CZ23+'Grid_Incoming'!DA23-'Grid_Requirement'!DA23))</f>
        <v/>
      </c>
    </row>
    <row r="24">
      <c r="A24" t="inlineStr">
        <is>
          <t>CHEM-1240</t>
        </is>
      </c>
      <c r="B24">
        <f>IF(COUNTIFS(T_StockCount[RM_Code],$A24,T_StockCount[WeekIndex],1)&gt;0,SUMIFS(T_StockCount[CountedQty],T_StockCount[RM_Code],$A24,T_StockCount[WeekIndex],1),IF((COUNTIFS(T_SelfStock[RM_Code],$A24,T_SelfStock[WeekIndex],1)&gt;0)*(COUNTIFS(T_TTAFStock[RM_Code],$A24,T_TTAFStock[WeekIndex],1)&gt;0)&gt;0,SUMIFS(T_SelfStock[Self_Qty],T_SelfStock[RM_Code],$A24,T_SelfStock[WeekIndex],1)+SUMIFS(T_TTAFStock[TTAF_Qty],T_TTAFStock[RM_Code],$A24,T_TTAFStock[WeekIndex],1),IFERROR(INDEX(T_OpeningStock[Opening_Qty],MATCH($A24,T_OpeningStock[RM_Code],0)),0)+'Grid_Incoming'!B24-'Grid_Requirement'!B24))</f>
        <v/>
      </c>
      <c r="C24">
        <f>IF(COUNTIFS(T_StockCount[RM_Code],$A24,T_StockCount[WeekIndex],2)&gt;0,SUMIFS(T_StockCount[CountedQty],T_StockCount[RM_Code],$A24,T_StockCount[WeekIndex],2),IF((COUNTIFS(T_SelfStock[RM_Code],$A24,T_SelfStock[WeekIndex],2)&gt;0)*(COUNTIFS(T_TTAFStock[RM_Code],$A24,T_TTAFStock[WeekIndex],2)&gt;0)&gt;0,SUMIFS(T_SelfStock[Self_Qty],T_SelfStock[RM_Code],$A24,T_SelfStock[WeekIndex],2)+SUMIFS(T_TTAFStock[TTAF_Qty],T_TTAFStock[RM_Code],$A24,T_TTAFStock[WeekIndex],2),B24+'Grid_Incoming'!C24-'Grid_Requirement'!C24))</f>
        <v/>
      </c>
      <c r="D24">
        <f>IF(COUNTIFS(T_StockCount[RM_Code],$A24,T_StockCount[WeekIndex],3)&gt;0,SUMIFS(T_StockCount[CountedQty],T_StockCount[RM_Code],$A24,T_StockCount[WeekIndex],3),IF((COUNTIFS(T_SelfStock[RM_Code],$A24,T_SelfStock[WeekIndex],3)&gt;0)*(COUNTIFS(T_TTAFStock[RM_Code],$A24,T_TTAFStock[WeekIndex],3)&gt;0)&gt;0,SUMIFS(T_SelfStock[Self_Qty],T_SelfStock[RM_Code],$A24,T_SelfStock[WeekIndex],3)+SUMIFS(T_TTAFStock[TTAF_Qty],T_TTAFStock[RM_Code],$A24,T_TTAFStock[WeekIndex],3),C24+'Grid_Incoming'!D24-'Grid_Requirement'!D24))</f>
        <v/>
      </c>
      <c r="E24">
        <f>IF(COUNTIFS(T_StockCount[RM_Code],$A24,T_StockCount[WeekIndex],4)&gt;0,SUMIFS(T_StockCount[CountedQty],T_StockCount[RM_Code],$A24,T_StockCount[WeekIndex],4),IF((COUNTIFS(T_SelfStock[RM_Code],$A24,T_SelfStock[WeekIndex],4)&gt;0)*(COUNTIFS(T_TTAFStock[RM_Code],$A24,T_TTAFStock[WeekIndex],4)&gt;0)&gt;0,SUMIFS(T_SelfStock[Self_Qty],T_SelfStock[RM_Code],$A24,T_SelfStock[WeekIndex],4)+SUMIFS(T_TTAFStock[TTAF_Qty],T_TTAFStock[RM_Code],$A24,T_TTAFStock[WeekIndex],4),D24+'Grid_Incoming'!E24-'Grid_Requirement'!E24))</f>
        <v/>
      </c>
      <c r="F24">
        <f>IF(COUNTIFS(T_StockCount[RM_Code],$A24,T_StockCount[WeekIndex],5)&gt;0,SUMIFS(T_StockCount[CountedQty],T_StockCount[RM_Code],$A24,T_StockCount[WeekIndex],5),IF((COUNTIFS(T_SelfStock[RM_Code],$A24,T_SelfStock[WeekIndex],5)&gt;0)*(COUNTIFS(T_TTAFStock[RM_Code],$A24,T_TTAFStock[WeekIndex],5)&gt;0)&gt;0,SUMIFS(T_SelfStock[Self_Qty],T_SelfStock[RM_Code],$A24,T_SelfStock[WeekIndex],5)+SUMIFS(T_TTAFStock[TTAF_Qty],T_TTAFStock[RM_Code],$A24,T_TTAFStock[WeekIndex],5),E24+'Grid_Incoming'!F24-'Grid_Requirement'!F24))</f>
        <v/>
      </c>
      <c r="G24">
        <f>IF(COUNTIFS(T_StockCount[RM_Code],$A24,T_StockCount[WeekIndex],6)&gt;0,SUMIFS(T_StockCount[CountedQty],T_StockCount[RM_Code],$A24,T_StockCount[WeekIndex],6),IF((COUNTIFS(T_SelfStock[RM_Code],$A24,T_SelfStock[WeekIndex],6)&gt;0)*(COUNTIFS(T_TTAFStock[RM_Code],$A24,T_TTAFStock[WeekIndex],6)&gt;0)&gt;0,SUMIFS(T_SelfStock[Self_Qty],T_SelfStock[RM_Code],$A24,T_SelfStock[WeekIndex],6)+SUMIFS(T_TTAFStock[TTAF_Qty],T_TTAFStock[RM_Code],$A24,T_TTAFStock[WeekIndex],6),F24+'Grid_Incoming'!G24-'Grid_Requirement'!G24))</f>
        <v/>
      </c>
      <c r="H24">
        <f>IF(COUNTIFS(T_StockCount[RM_Code],$A24,T_StockCount[WeekIndex],7)&gt;0,SUMIFS(T_StockCount[CountedQty],T_StockCount[RM_Code],$A24,T_StockCount[WeekIndex],7),IF((COUNTIFS(T_SelfStock[RM_Code],$A24,T_SelfStock[WeekIndex],7)&gt;0)*(COUNTIFS(T_TTAFStock[RM_Code],$A24,T_TTAFStock[WeekIndex],7)&gt;0)&gt;0,SUMIFS(T_SelfStock[Self_Qty],T_SelfStock[RM_Code],$A24,T_SelfStock[WeekIndex],7)+SUMIFS(T_TTAFStock[TTAF_Qty],T_TTAFStock[RM_Code],$A24,T_TTAFStock[WeekIndex],7),G24+'Grid_Incoming'!H24-'Grid_Requirement'!H24))</f>
        <v/>
      </c>
      <c r="I24">
        <f>IF(COUNTIFS(T_StockCount[RM_Code],$A24,T_StockCount[WeekIndex],8)&gt;0,SUMIFS(T_StockCount[CountedQty],T_StockCount[RM_Code],$A24,T_StockCount[WeekIndex],8),IF((COUNTIFS(T_SelfStock[RM_Code],$A24,T_SelfStock[WeekIndex],8)&gt;0)*(COUNTIFS(T_TTAFStock[RM_Code],$A24,T_TTAFStock[WeekIndex],8)&gt;0)&gt;0,SUMIFS(T_SelfStock[Self_Qty],T_SelfStock[RM_Code],$A24,T_SelfStock[WeekIndex],8)+SUMIFS(T_TTAFStock[TTAF_Qty],T_TTAFStock[RM_Code],$A24,T_TTAFStock[WeekIndex],8),H24+'Grid_Incoming'!I24-'Grid_Requirement'!I24))</f>
        <v/>
      </c>
      <c r="J24">
        <f>IF(COUNTIFS(T_StockCount[RM_Code],$A24,T_StockCount[WeekIndex],9)&gt;0,SUMIFS(T_StockCount[CountedQty],T_StockCount[RM_Code],$A24,T_StockCount[WeekIndex],9),IF((COUNTIFS(T_SelfStock[RM_Code],$A24,T_SelfStock[WeekIndex],9)&gt;0)*(COUNTIFS(T_TTAFStock[RM_Code],$A24,T_TTAFStock[WeekIndex],9)&gt;0)&gt;0,SUMIFS(T_SelfStock[Self_Qty],T_SelfStock[RM_Code],$A24,T_SelfStock[WeekIndex],9)+SUMIFS(T_TTAFStock[TTAF_Qty],T_TTAFStock[RM_Code],$A24,T_TTAFStock[WeekIndex],9),I24+'Grid_Incoming'!J24-'Grid_Requirement'!J24))</f>
        <v/>
      </c>
      <c r="K24">
        <f>IF(COUNTIFS(T_StockCount[RM_Code],$A24,T_StockCount[WeekIndex],10)&gt;0,SUMIFS(T_StockCount[CountedQty],T_StockCount[RM_Code],$A24,T_StockCount[WeekIndex],10),IF((COUNTIFS(T_SelfStock[RM_Code],$A24,T_SelfStock[WeekIndex],10)&gt;0)*(COUNTIFS(T_TTAFStock[RM_Code],$A24,T_TTAFStock[WeekIndex],10)&gt;0)&gt;0,SUMIFS(T_SelfStock[Self_Qty],T_SelfStock[RM_Code],$A24,T_SelfStock[WeekIndex],10)+SUMIFS(T_TTAFStock[TTAF_Qty],T_TTAFStock[RM_Code],$A24,T_TTAFStock[WeekIndex],10),J24+'Grid_Incoming'!K24-'Grid_Requirement'!K24))</f>
        <v/>
      </c>
      <c r="L24">
        <f>IF(COUNTIFS(T_StockCount[RM_Code],$A24,T_StockCount[WeekIndex],11)&gt;0,SUMIFS(T_StockCount[CountedQty],T_StockCount[RM_Code],$A24,T_StockCount[WeekIndex],11),IF((COUNTIFS(T_SelfStock[RM_Code],$A24,T_SelfStock[WeekIndex],11)&gt;0)*(COUNTIFS(T_TTAFStock[RM_Code],$A24,T_TTAFStock[WeekIndex],11)&gt;0)&gt;0,SUMIFS(T_SelfStock[Self_Qty],T_SelfStock[RM_Code],$A24,T_SelfStock[WeekIndex],11)+SUMIFS(T_TTAFStock[TTAF_Qty],T_TTAFStock[RM_Code],$A24,T_TTAFStock[WeekIndex],11),K24+'Grid_Incoming'!L24-'Grid_Requirement'!L24))</f>
        <v/>
      </c>
      <c r="M24">
        <f>IF(COUNTIFS(T_StockCount[RM_Code],$A24,T_StockCount[WeekIndex],12)&gt;0,SUMIFS(T_StockCount[CountedQty],T_StockCount[RM_Code],$A24,T_StockCount[WeekIndex],12),IF((COUNTIFS(T_SelfStock[RM_Code],$A24,T_SelfStock[WeekIndex],12)&gt;0)*(COUNTIFS(T_TTAFStock[RM_Code],$A24,T_TTAFStock[WeekIndex],12)&gt;0)&gt;0,SUMIFS(T_SelfStock[Self_Qty],T_SelfStock[RM_Code],$A24,T_SelfStock[WeekIndex],12)+SUMIFS(T_TTAFStock[TTAF_Qty],T_TTAFStock[RM_Code],$A24,T_TTAFStock[WeekIndex],12),L24+'Grid_Incoming'!M24-'Grid_Requirement'!M24))</f>
        <v/>
      </c>
      <c r="N24">
        <f>IF(COUNTIFS(T_StockCount[RM_Code],$A24,T_StockCount[WeekIndex],13)&gt;0,SUMIFS(T_StockCount[CountedQty],T_StockCount[RM_Code],$A24,T_StockCount[WeekIndex],13),IF((COUNTIFS(T_SelfStock[RM_Code],$A24,T_SelfStock[WeekIndex],13)&gt;0)*(COUNTIFS(T_TTAFStock[RM_Code],$A24,T_TTAFStock[WeekIndex],13)&gt;0)&gt;0,SUMIFS(T_SelfStock[Self_Qty],T_SelfStock[RM_Code],$A24,T_SelfStock[WeekIndex],13)+SUMIFS(T_TTAFStock[TTAF_Qty],T_TTAFStock[RM_Code],$A24,T_TTAFStock[WeekIndex],13),M24+'Grid_Incoming'!N24-'Grid_Requirement'!N24))</f>
        <v/>
      </c>
      <c r="O24">
        <f>IF(COUNTIFS(T_StockCount[RM_Code],$A24,T_StockCount[WeekIndex],14)&gt;0,SUMIFS(T_StockCount[CountedQty],T_StockCount[RM_Code],$A24,T_StockCount[WeekIndex],14),IF((COUNTIFS(T_SelfStock[RM_Code],$A24,T_SelfStock[WeekIndex],14)&gt;0)*(COUNTIFS(T_TTAFStock[RM_Code],$A24,T_TTAFStock[WeekIndex],14)&gt;0)&gt;0,SUMIFS(T_SelfStock[Self_Qty],T_SelfStock[RM_Code],$A24,T_SelfStock[WeekIndex],14)+SUMIFS(T_TTAFStock[TTAF_Qty],T_TTAFStock[RM_Code],$A24,T_TTAFStock[WeekIndex],14),N24+'Grid_Incoming'!O24-'Grid_Requirement'!O24))</f>
        <v/>
      </c>
      <c r="P24">
        <f>IF(COUNTIFS(T_StockCount[RM_Code],$A24,T_StockCount[WeekIndex],15)&gt;0,SUMIFS(T_StockCount[CountedQty],T_StockCount[RM_Code],$A24,T_StockCount[WeekIndex],15),IF((COUNTIFS(T_SelfStock[RM_Code],$A24,T_SelfStock[WeekIndex],15)&gt;0)*(COUNTIFS(T_TTAFStock[RM_Code],$A24,T_TTAFStock[WeekIndex],15)&gt;0)&gt;0,SUMIFS(T_SelfStock[Self_Qty],T_SelfStock[RM_Code],$A24,T_SelfStock[WeekIndex],15)+SUMIFS(T_TTAFStock[TTAF_Qty],T_TTAFStock[RM_Code],$A24,T_TTAFStock[WeekIndex],15),O24+'Grid_Incoming'!P24-'Grid_Requirement'!P24))</f>
        <v/>
      </c>
      <c r="Q24">
        <f>IF(COUNTIFS(T_StockCount[RM_Code],$A24,T_StockCount[WeekIndex],16)&gt;0,SUMIFS(T_StockCount[CountedQty],T_StockCount[RM_Code],$A24,T_StockCount[WeekIndex],16),IF((COUNTIFS(T_SelfStock[RM_Code],$A24,T_SelfStock[WeekIndex],16)&gt;0)*(COUNTIFS(T_TTAFStock[RM_Code],$A24,T_TTAFStock[WeekIndex],16)&gt;0)&gt;0,SUMIFS(T_SelfStock[Self_Qty],T_SelfStock[RM_Code],$A24,T_SelfStock[WeekIndex],16)+SUMIFS(T_TTAFStock[TTAF_Qty],T_TTAFStock[RM_Code],$A24,T_TTAFStock[WeekIndex],16),P24+'Grid_Incoming'!Q24-'Grid_Requirement'!Q24))</f>
        <v/>
      </c>
      <c r="R24">
        <f>IF(COUNTIFS(T_StockCount[RM_Code],$A24,T_StockCount[WeekIndex],17)&gt;0,SUMIFS(T_StockCount[CountedQty],T_StockCount[RM_Code],$A24,T_StockCount[WeekIndex],17),IF((COUNTIFS(T_SelfStock[RM_Code],$A24,T_SelfStock[WeekIndex],17)&gt;0)*(COUNTIFS(T_TTAFStock[RM_Code],$A24,T_TTAFStock[WeekIndex],17)&gt;0)&gt;0,SUMIFS(T_SelfStock[Self_Qty],T_SelfStock[RM_Code],$A24,T_SelfStock[WeekIndex],17)+SUMIFS(T_TTAFStock[TTAF_Qty],T_TTAFStock[RM_Code],$A24,T_TTAFStock[WeekIndex],17),Q24+'Grid_Incoming'!R24-'Grid_Requirement'!R24))</f>
        <v/>
      </c>
      <c r="S24">
        <f>IF(COUNTIFS(T_StockCount[RM_Code],$A24,T_StockCount[WeekIndex],18)&gt;0,SUMIFS(T_StockCount[CountedQty],T_StockCount[RM_Code],$A24,T_StockCount[WeekIndex],18),IF((COUNTIFS(T_SelfStock[RM_Code],$A24,T_SelfStock[WeekIndex],18)&gt;0)*(COUNTIFS(T_TTAFStock[RM_Code],$A24,T_TTAFStock[WeekIndex],18)&gt;0)&gt;0,SUMIFS(T_SelfStock[Self_Qty],T_SelfStock[RM_Code],$A24,T_SelfStock[WeekIndex],18)+SUMIFS(T_TTAFStock[TTAF_Qty],T_TTAFStock[RM_Code],$A24,T_TTAFStock[WeekIndex],18),R24+'Grid_Incoming'!S24-'Grid_Requirement'!S24))</f>
        <v/>
      </c>
      <c r="T24">
        <f>IF(COUNTIFS(T_StockCount[RM_Code],$A24,T_StockCount[WeekIndex],19)&gt;0,SUMIFS(T_StockCount[CountedQty],T_StockCount[RM_Code],$A24,T_StockCount[WeekIndex],19),IF((COUNTIFS(T_SelfStock[RM_Code],$A24,T_SelfStock[WeekIndex],19)&gt;0)*(COUNTIFS(T_TTAFStock[RM_Code],$A24,T_TTAFStock[WeekIndex],19)&gt;0)&gt;0,SUMIFS(T_SelfStock[Self_Qty],T_SelfStock[RM_Code],$A24,T_SelfStock[WeekIndex],19)+SUMIFS(T_TTAFStock[TTAF_Qty],T_TTAFStock[RM_Code],$A24,T_TTAFStock[WeekIndex],19),S24+'Grid_Incoming'!T24-'Grid_Requirement'!T24))</f>
        <v/>
      </c>
      <c r="U24">
        <f>IF(COUNTIFS(T_StockCount[RM_Code],$A24,T_StockCount[WeekIndex],20)&gt;0,SUMIFS(T_StockCount[CountedQty],T_StockCount[RM_Code],$A24,T_StockCount[WeekIndex],20),IF((COUNTIFS(T_SelfStock[RM_Code],$A24,T_SelfStock[WeekIndex],20)&gt;0)*(COUNTIFS(T_TTAFStock[RM_Code],$A24,T_TTAFStock[WeekIndex],20)&gt;0)&gt;0,SUMIFS(T_SelfStock[Self_Qty],T_SelfStock[RM_Code],$A24,T_SelfStock[WeekIndex],20)+SUMIFS(T_TTAFStock[TTAF_Qty],T_TTAFStock[RM_Code],$A24,T_TTAFStock[WeekIndex],20),T24+'Grid_Incoming'!U24-'Grid_Requirement'!U24))</f>
        <v/>
      </c>
      <c r="V24">
        <f>IF(COUNTIFS(T_StockCount[RM_Code],$A24,T_StockCount[WeekIndex],21)&gt;0,SUMIFS(T_StockCount[CountedQty],T_StockCount[RM_Code],$A24,T_StockCount[WeekIndex],21),IF((COUNTIFS(T_SelfStock[RM_Code],$A24,T_SelfStock[WeekIndex],21)&gt;0)*(COUNTIFS(T_TTAFStock[RM_Code],$A24,T_TTAFStock[WeekIndex],21)&gt;0)&gt;0,SUMIFS(T_SelfStock[Self_Qty],T_SelfStock[RM_Code],$A24,T_SelfStock[WeekIndex],21)+SUMIFS(T_TTAFStock[TTAF_Qty],T_TTAFStock[RM_Code],$A24,T_TTAFStock[WeekIndex],21),U24+'Grid_Incoming'!V24-'Grid_Requirement'!V24))</f>
        <v/>
      </c>
      <c r="W24">
        <f>IF(COUNTIFS(T_StockCount[RM_Code],$A24,T_StockCount[WeekIndex],22)&gt;0,SUMIFS(T_StockCount[CountedQty],T_StockCount[RM_Code],$A24,T_StockCount[WeekIndex],22),IF((COUNTIFS(T_SelfStock[RM_Code],$A24,T_SelfStock[WeekIndex],22)&gt;0)*(COUNTIFS(T_TTAFStock[RM_Code],$A24,T_TTAFStock[WeekIndex],22)&gt;0)&gt;0,SUMIFS(T_SelfStock[Self_Qty],T_SelfStock[RM_Code],$A24,T_SelfStock[WeekIndex],22)+SUMIFS(T_TTAFStock[TTAF_Qty],T_TTAFStock[RM_Code],$A24,T_TTAFStock[WeekIndex],22),V24+'Grid_Incoming'!W24-'Grid_Requirement'!W24))</f>
        <v/>
      </c>
      <c r="X24">
        <f>IF(COUNTIFS(T_StockCount[RM_Code],$A24,T_StockCount[WeekIndex],23)&gt;0,SUMIFS(T_StockCount[CountedQty],T_StockCount[RM_Code],$A24,T_StockCount[WeekIndex],23),IF((COUNTIFS(T_SelfStock[RM_Code],$A24,T_SelfStock[WeekIndex],23)&gt;0)*(COUNTIFS(T_TTAFStock[RM_Code],$A24,T_TTAFStock[WeekIndex],23)&gt;0)&gt;0,SUMIFS(T_SelfStock[Self_Qty],T_SelfStock[RM_Code],$A24,T_SelfStock[WeekIndex],23)+SUMIFS(T_TTAFStock[TTAF_Qty],T_TTAFStock[RM_Code],$A24,T_TTAFStock[WeekIndex],23),W24+'Grid_Incoming'!X24-'Grid_Requirement'!X24))</f>
        <v/>
      </c>
      <c r="Y24">
        <f>IF(COUNTIFS(T_StockCount[RM_Code],$A24,T_StockCount[WeekIndex],24)&gt;0,SUMIFS(T_StockCount[CountedQty],T_StockCount[RM_Code],$A24,T_StockCount[WeekIndex],24),IF((COUNTIFS(T_SelfStock[RM_Code],$A24,T_SelfStock[WeekIndex],24)&gt;0)*(COUNTIFS(T_TTAFStock[RM_Code],$A24,T_TTAFStock[WeekIndex],24)&gt;0)&gt;0,SUMIFS(T_SelfStock[Self_Qty],T_SelfStock[RM_Code],$A24,T_SelfStock[WeekIndex],24)+SUMIFS(T_TTAFStock[TTAF_Qty],T_TTAFStock[RM_Code],$A24,T_TTAFStock[WeekIndex],24),X24+'Grid_Incoming'!Y24-'Grid_Requirement'!Y24))</f>
        <v/>
      </c>
      <c r="Z24">
        <f>IF(COUNTIFS(T_StockCount[RM_Code],$A24,T_StockCount[WeekIndex],25)&gt;0,SUMIFS(T_StockCount[CountedQty],T_StockCount[RM_Code],$A24,T_StockCount[WeekIndex],25),IF((COUNTIFS(T_SelfStock[RM_Code],$A24,T_SelfStock[WeekIndex],25)&gt;0)*(COUNTIFS(T_TTAFStock[RM_Code],$A24,T_TTAFStock[WeekIndex],25)&gt;0)&gt;0,SUMIFS(T_SelfStock[Self_Qty],T_SelfStock[RM_Code],$A24,T_SelfStock[WeekIndex],25)+SUMIFS(T_TTAFStock[TTAF_Qty],T_TTAFStock[RM_Code],$A24,T_TTAFStock[WeekIndex],25),Y24+'Grid_Incoming'!Z24-'Grid_Requirement'!Z24))</f>
        <v/>
      </c>
      <c r="AA24">
        <f>IF(COUNTIFS(T_StockCount[RM_Code],$A24,T_StockCount[WeekIndex],26)&gt;0,SUMIFS(T_StockCount[CountedQty],T_StockCount[RM_Code],$A24,T_StockCount[WeekIndex],26),IF((COUNTIFS(T_SelfStock[RM_Code],$A24,T_SelfStock[WeekIndex],26)&gt;0)*(COUNTIFS(T_TTAFStock[RM_Code],$A24,T_TTAFStock[WeekIndex],26)&gt;0)&gt;0,SUMIFS(T_SelfStock[Self_Qty],T_SelfStock[RM_Code],$A24,T_SelfStock[WeekIndex],26)+SUMIFS(T_TTAFStock[TTAF_Qty],T_TTAFStock[RM_Code],$A24,T_TTAFStock[WeekIndex],26),Z24+'Grid_Incoming'!AA24-'Grid_Requirement'!AA24))</f>
        <v/>
      </c>
      <c r="AB24">
        <f>IF(COUNTIFS(T_StockCount[RM_Code],$A24,T_StockCount[WeekIndex],27)&gt;0,SUMIFS(T_StockCount[CountedQty],T_StockCount[RM_Code],$A24,T_StockCount[WeekIndex],27),IF((COUNTIFS(T_SelfStock[RM_Code],$A24,T_SelfStock[WeekIndex],27)&gt;0)*(COUNTIFS(T_TTAFStock[RM_Code],$A24,T_TTAFStock[WeekIndex],27)&gt;0)&gt;0,SUMIFS(T_SelfStock[Self_Qty],T_SelfStock[RM_Code],$A24,T_SelfStock[WeekIndex],27)+SUMIFS(T_TTAFStock[TTAF_Qty],T_TTAFStock[RM_Code],$A24,T_TTAFStock[WeekIndex],27),AA24+'Grid_Incoming'!AB24-'Grid_Requirement'!AB24))</f>
        <v/>
      </c>
      <c r="AC24">
        <f>IF(COUNTIFS(T_StockCount[RM_Code],$A24,T_StockCount[WeekIndex],28)&gt;0,SUMIFS(T_StockCount[CountedQty],T_StockCount[RM_Code],$A24,T_StockCount[WeekIndex],28),IF((COUNTIFS(T_SelfStock[RM_Code],$A24,T_SelfStock[WeekIndex],28)&gt;0)*(COUNTIFS(T_TTAFStock[RM_Code],$A24,T_TTAFStock[WeekIndex],28)&gt;0)&gt;0,SUMIFS(T_SelfStock[Self_Qty],T_SelfStock[RM_Code],$A24,T_SelfStock[WeekIndex],28)+SUMIFS(T_TTAFStock[TTAF_Qty],T_TTAFStock[RM_Code],$A24,T_TTAFStock[WeekIndex],28),AB24+'Grid_Incoming'!AC24-'Grid_Requirement'!AC24))</f>
        <v/>
      </c>
      <c r="AD24">
        <f>IF(COUNTIFS(T_StockCount[RM_Code],$A24,T_StockCount[WeekIndex],29)&gt;0,SUMIFS(T_StockCount[CountedQty],T_StockCount[RM_Code],$A24,T_StockCount[WeekIndex],29),IF((COUNTIFS(T_SelfStock[RM_Code],$A24,T_SelfStock[WeekIndex],29)&gt;0)*(COUNTIFS(T_TTAFStock[RM_Code],$A24,T_TTAFStock[WeekIndex],29)&gt;0)&gt;0,SUMIFS(T_SelfStock[Self_Qty],T_SelfStock[RM_Code],$A24,T_SelfStock[WeekIndex],29)+SUMIFS(T_TTAFStock[TTAF_Qty],T_TTAFStock[RM_Code],$A24,T_TTAFStock[WeekIndex],29),AC24+'Grid_Incoming'!AD24-'Grid_Requirement'!AD24))</f>
        <v/>
      </c>
      <c r="AE24">
        <f>IF(COUNTIFS(T_StockCount[RM_Code],$A24,T_StockCount[WeekIndex],30)&gt;0,SUMIFS(T_StockCount[CountedQty],T_StockCount[RM_Code],$A24,T_StockCount[WeekIndex],30),IF((COUNTIFS(T_SelfStock[RM_Code],$A24,T_SelfStock[WeekIndex],30)&gt;0)*(COUNTIFS(T_TTAFStock[RM_Code],$A24,T_TTAFStock[WeekIndex],30)&gt;0)&gt;0,SUMIFS(T_SelfStock[Self_Qty],T_SelfStock[RM_Code],$A24,T_SelfStock[WeekIndex],30)+SUMIFS(T_TTAFStock[TTAF_Qty],T_TTAFStock[RM_Code],$A24,T_TTAFStock[WeekIndex],30),AD24+'Grid_Incoming'!AE24-'Grid_Requirement'!AE24))</f>
        <v/>
      </c>
      <c r="AF24">
        <f>IF(COUNTIFS(T_StockCount[RM_Code],$A24,T_StockCount[WeekIndex],31)&gt;0,SUMIFS(T_StockCount[CountedQty],T_StockCount[RM_Code],$A24,T_StockCount[WeekIndex],31),IF((COUNTIFS(T_SelfStock[RM_Code],$A24,T_SelfStock[WeekIndex],31)&gt;0)*(COUNTIFS(T_TTAFStock[RM_Code],$A24,T_TTAFStock[WeekIndex],31)&gt;0)&gt;0,SUMIFS(T_SelfStock[Self_Qty],T_SelfStock[RM_Code],$A24,T_SelfStock[WeekIndex],31)+SUMIFS(T_TTAFStock[TTAF_Qty],T_TTAFStock[RM_Code],$A24,T_TTAFStock[WeekIndex],31),AE24+'Grid_Incoming'!AF24-'Grid_Requirement'!AF24))</f>
        <v/>
      </c>
      <c r="AG24">
        <f>IF(COUNTIFS(T_StockCount[RM_Code],$A24,T_StockCount[WeekIndex],32)&gt;0,SUMIFS(T_StockCount[CountedQty],T_StockCount[RM_Code],$A24,T_StockCount[WeekIndex],32),IF((COUNTIFS(T_SelfStock[RM_Code],$A24,T_SelfStock[WeekIndex],32)&gt;0)*(COUNTIFS(T_TTAFStock[RM_Code],$A24,T_TTAFStock[WeekIndex],32)&gt;0)&gt;0,SUMIFS(T_SelfStock[Self_Qty],T_SelfStock[RM_Code],$A24,T_SelfStock[WeekIndex],32)+SUMIFS(T_TTAFStock[TTAF_Qty],T_TTAFStock[RM_Code],$A24,T_TTAFStock[WeekIndex],32),AF24+'Grid_Incoming'!AG24-'Grid_Requirement'!AG24))</f>
        <v/>
      </c>
      <c r="AH24">
        <f>IF(COUNTIFS(T_StockCount[RM_Code],$A24,T_StockCount[WeekIndex],33)&gt;0,SUMIFS(T_StockCount[CountedQty],T_StockCount[RM_Code],$A24,T_StockCount[WeekIndex],33),IF((COUNTIFS(T_SelfStock[RM_Code],$A24,T_SelfStock[WeekIndex],33)&gt;0)*(COUNTIFS(T_TTAFStock[RM_Code],$A24,T_TTAFStock[WeekIndex],33)&gt;0)&gt;0,SUMIFS(T_SelfStock[Self_Qty],T_SelfStock[RM_Code],$A24,T_SelfStock[WeekIndex],33)+SUMIFS(T_TTAFStock[TTAF_Qty],T_TTAFStock[RM_Code],$A24,T_TTAFStock[WeekIndex],33),AG24+'Grid_Incoming'!AH24-'Grid_Requirement'!AH24))</f>
        <v/>
      </c>
      <c r="AI24">
        <f>IF(COUNTIFS(T_StockCount[RM_Code],$A24,T_StockCount[WeekIndex],34)&gt;0,SUMIFS(T_StockCount[CountedQty],T_StockCount[RM_Code],$A24,T_StockCount[WeekIndex],34),IF((COUNTIFS(T_SelfStock[RM_Code],$A24,T_SelfStock[WeekIndex],34)&gt;0)*(COUNTIFS(T_TTAFStock[RM_Code],$A24,T_TTAFStock[WeekIndex],34)&gt;0)&gt;0,SUMIFS(T_SelfStock[Self_Qty],T_SelfStock[RM_Code],$A24,T_SelfStock[WeekIndex],34)+SUMIFS(T_TTAFStock[TTAF_Qty],T_TTAFStock[RM_Code],$A24,T_TTAFStock[WeekIndex],34),AH24+'Grid_Incoming'!AI24-'Grid_Requirement'!AI24))</f>
        <v/>
      </c>
      <c r="AJ24">
        <f>IF(COUNTIFS(T_StockCount[RM_Code],$A24,T_StockCount[WeekIndex],35)&gt;0,SUMIFS(T_StockCount[CountedQty],T_StockCount[RM_Code],$A24,T_StockCount[WeekIndex],35),IF((COUNTIFS(T_SelfStock[RM_Code],$A24,T_SelfStock[WeekIndex],35)&gt;0)*(COUNTIFS(T_TTAFStock[RM_Code],$A24,T_TTAFStock[WeekIndex],35)&gt;0)&gt;0,SUMIFS(T_SelfStock[Self_Qty],T_SelfStock[RM_Code],$A24,T_SelfStock[WeekIndex],35)+SUMIFS(T_TTAFStock[TTAF_Qty],T_TTAFStock[RM_Code],$A24,T_TTAFStock[WeekIndex],35),AI24+'Grid_Incoming'!AJ24-'Grid_Requirement'!AJ24))</f>
        <v/>
      </c>
      <c r="AK24">
        <f>IF(COUNTIFS(T_StockCount[RM_Code],$A24,T_StockCount[WeekIndex],36)&gt;0,SUMIFS(T_StockCount[CountedQty],T_StockCount[RM_Code],$A24,T_StockCount[WeekIndex],36),IF((COUNTIFS(T_SelfStock[RM_Code],$A24,T_SelfStock[WeekIndex],36)&gt;0)*(COUNTIFS(T_TTAFStock[RM_Code],$A24,T_TTAFStock[WeekIndex],36)&gt;0)&gt;0,SUMIFS(T_SelfStock[Self_Qty],T_SelfStock[RM_Code],$A24,T_SelfStock[WeekIndex],36)+SUMIFS(T_TTAFStock[TTAF_Qty],T_TTAFStock[RM_Code],$A24,T_TTAFStock[WeekIndex],36),AJ24+'Grid_Incoming'!AK24-'Grid_Requirement'!AK24))</f>
        <v/>
      </c>
      <c r="AL24">
        <f>IF(COUNTIFS(T_StockCount[RM_Code],$A24,T_StockCount[WeekIndex],37)&gt;0,SUMIFS(T_StockCount[CountedQty],T_StockCount[RM_Code],$A24,T_StockCount[WeekIndex],37),IF((COUNTIFS(T_SelfStock[RM_Code],$A24,T_SelfStock[WeekIndex],37)&gt;0)*(COUNTIFS(T_TTAFStock[RM_Code],$A24,T_TTAFStock[WeekIndex],37)&gt;0)&gt;0,SUMIFS(T_SelfStock[Self_Qty],T_SelfStock[RM_Code],$A24,T_SelfStock[WeekIndex],37)+SUMIFS(T_TTAFStock[TTAF_Qty],T_TTAFStock[RM_Code],$A24,T_TTAFStock[WeekIndex],37),AK24+'Grid_Incoming'!AL24-'Grid_Requirement'!AL24))</f>
        <v/>
      </c>
      <c r="AM24">
        <f>IF(COUNTIFS(T_StockCount[RM_Code],$A24,T_StockCount[WeekIndex],38)&gt;0,SUMIFS(T_StockCount[CountedQty],T_StockCount[RM_Code],$A24,T_StockCount[WeekIndex],38),IF((COUNTIFS(T_SelfStock[RM_Code],$A24,T_SelfStock[WeekIndex],38)&gt;0)*(COUNTIFS(T_TTAFStock[RM_Code],$A24,T_TTAFStock[WeekIndex],38)&gt;0)&gt;0,SUMIFS(T_SelfStock[Self_Qty],T_SelfStock[RM_Code],$A24,T_SelfStock[WeekIndex],38)+SUMIFS(T_TTAFStock[TTAF_Qty],T_TTAFStock[RM_Code],$A24,T_TTAFStock[WeekIndex],38),AL24+'Grid_Incoming'!AM24-'Grid_Requirement'!AM24))</f>
        <v/>
      </c>
      <c r="AN24">
        <f>IF(COUNTIFS(T_StockCount[RM_Code],$A24,T_StockCount[WeekIndex],39)&gt;0,SUMIFS(T_StockCount[CountedQty],T_StockCount[RM_Code],$A24,T_StockCount[WeekIndex],39),IF((COUNTIFS(T_SelfStock[RM_Code],$A24,T_SelfStock[WeekIndex],39)&gt;0)*(COUNTIFS(T_TTAFStock[RM_Code],$A24,T_TTAFStock[WeekIndex],39)&gt;0)&gt;0,SUMIFS(T_SelfStock[Self_Qty],T_SelfStock[RM_Code],$A24,T_SelfStock[WeekIndex],39)+SUMIFS(T_TTAFStock[TTAF_Qty],T_TTAFStock[RM_Code],$A24,T_TTAFStock[WeekIndex],39),AM24+'Grid_Incoming'!AN24-'Grid_Requirement'!AN24))</f>
        <v/>
      </c>
      <c r="AO24">
        <f>IF(COUNTIFS(T_StockCount[RM_Code],$A24,T_StockCount[WeekIndex],40)&gt;0,SUMIFS(T_StockCount[CountedQty],T_StockCount[RM_Code],$A24,T_StockCount[WeekIndex],40),IF((COUNTIFS(T_SelfStock[RM_Code],$A24,T_SelfStock[WeekIndex],40)&gt;0)*(COUNTIFS(T_TTAFStock[RM_Code],$A24,T_TTAFStock[WeekIndex],40)&gt;0)&gt;0,SUMIFS(T_SelfStock[Self_Qty],T_SelfStock[RM_Code],$A24,T_SelfStock[WeekIndex],40)+SUMIFS(T_TTAFStock[TTAF_Qty],T_TTAFStock[RM_Code],$A24,T_TTAFStock[WeekIndex],40),AN24+'Grid_Incoming'!AO24-'Grid_Requirement'!AO24))</f>
        <v/>
      </c>
      <c r="AP24">
        <f>IF(COUNTIFS(T_StockCount[RM_Code],$A24,T_StockCount[WeekIndex],41)&gt;0,SUMIFS(T_StockCount[CountedQty],T_StockCount[RM_Code],$A24,T_StockCount[WeekIndex],41),IF((COUNTIFS(T_SelfStock[RM_Code],$A24,T_SelfStock[WeekIndex],41)&gt;0)*(COUNTIFS(T_TTAFStock[RM_Code],$A24,T_TTAFStock[WeekIndex],41)&gt;0)&gt;0,SUMIFS(T_SelfStock[Self_Qty],T_SelfStock[RM_Code],$A24,T_SelfStock[WeekIndex],41)+SUMIFS(T_TTAFStock[TTAF_Qty],T_TTAFStock[RM_Code],$A24,T_TTAFStock[WeekIndex],41),AO24+'Grid_Incoming'!AP24-'Grid_Requirement'!AP24))</f>
        <v/>
      </c>
      <c r="AQ24">
        <f>IF(COUNTIFS(T_StockCount[RM_Code],$A24,T_StockCount[WeekIndex],42)&gt;0,SUMIFS(T_StockCount[CountedQty],T_StockCount[RM_Code],$A24,T_StockCount[WeekIndex],42),IF((COUNTIFS(T_SelfStock[RM_Code],$A24,T_SelfStock[WeekIndex],42)&gt;0)*(COUNTIFS(T_TTAFStock[RM_Code],$A24,T_TTAFStock[WeekIndex],42)&gt;0)&gt;0,SUMIFS(T_SelfStock[Self_Qty],T_SelfStock[RM_Code],$A24,T_SelfStock[WeekIndex],42)+SUMIFS(T_TTAFStock[TTAF_Qty],T_TTAFStock[RM_Code],$A24,T_TTAFStock[WeekIndex],42),AP24+'Grid_Incoming'!AQ24-'Grid_Requirement'!AQ24))</f>
        <v/>
      </c>
      <c r="AR24">
        <f>IF(COUNTIFS(T_StockCount[RM_Code],$A24,T_StockCount[WeekIndex],43)&gt;0,SUMIFS(T_StockCount[CountedQty],T_StockCount[RM_Code],$A24,T_StockCount[WeekIndex],43),IF((COUNTIFS(T_SelfStock[RM_Code],$A24,T_SelfStock[WeekIndex],43)&gt;0)*(COUNTIFS(T_TTAFStock[RM_Code],$A24,T_TTAFStock[WeekIndex],43)&gt;0)&gt;0,SUMIFS(T_SelfStock[Self_Qty],T_SelfStock[RM_Code],$A24,T_SelfStock[WeekIndex],43)+SUMIFS(T_TTAFStock[TTAF_Qty],T_TTAFStock[RM_Code],$A24,T_TTAFStock[WeekIndex],43),AQ24+'Grid_Incoming'!AR24-'Grid_Requirement'!AR24))</f>
        <v/>
      </c>
      <c r="AS24">
        <f>IF(COUNTIFS(T_StockCount[RM_Code],$A24,T_StockCount[WeekIndex],44)&gt;0,SUMIFS(T_StockCount[CountedQty],T_StockCount[RM_Code],$A24,T_StockCount[WeekIndex],44),IF((COUNTIFS(T_SelfStock[RM_Code],$A24,T_SelfStock[WeekIndex],44)&gt;0)*(COUNTIFS(T_TTAFStock[RM_Code],$A24,T_TTAFStock[WeekIndex],44)&gt;0)&gt;0,SUMIFS(T_SelfStock[Self_Qty],T_SelfStock[RM_Code],$A24,T_SelfStock[WeekIndex],44)+SUMIFS(T_TTAFStock[TTAF_Qty],T_TTAFStock[RM_Code],$A24,T_TTAFStock[WeekIndex],44),AR24+'Grid_Incoming'!AS24-'Grid_Requirement'!AS24))</f>
        <v/>
      </c>
      <c r="AT24">
        <f>IF(COUNTIFS(T_StockCount[RM_Code],$A24,T_StockCount[WeekIndex],45)&gt;0,SUMIFS(T_StockCount[CountedQty],T_StockCount[RM_Code],$A24,T_StockCount[WeekIndex],45),IF((COUNTIFS(T_SelfStock[RM_Code],$A24,T_SelfStock[WeekIndex],45)&gt;0)*(COUNTIFS(T_TTAFStock[RM_Code],$A24,T_TTAFStock[WeekIndex],45)&gt;0)&gt;0,SUMIFS(T_SelfStock[Self_Qty],T_SelfStock[RM_Code],$A24,T_SelfStock[WeekIndex],45)+SUMIFS(T_TTAFStock[TTAF_Qty],T_TTAFStock[RM_Code],$A24,T_TTAFStock[WeekIndex],45),AS24+'Grid_Incoming'!AT24-'Grid_Requirement'!AT24))</f>
        <v/>
      </c>
      <c r="AU24">
        <f>IF(COUNTIFS(T_StockCount[RM_Code],$A24,T_StockCount[WeekIndex],46)&gt;0,SUMIFS(T_StockCount[CountedQty],T_StockCount[RM_Code],$A24,T_StockCount[WeekIndex],46),IF((COUNTIFS(T_SelfStock[RM_Code],$A24,T_SelfStock[WeekIndex],46)&gt;0)*(COUNTIFS(T_TTAFStock[RM_Code],$A24,T_TTAFStock[WeekIndex],46)&gt;0)&gt;0,SUMIFS(T_SelfStock[Self_Qty],T_SelfStock[RM_Code],$A24,T_SelfStock[WeekIndex],46)+SUMIFS(T_TTAFStock[TTAF_Qty],T_TTAFStock[RM_Code],$A24,T_TTAFStock[WeekIndex],46),AT24+'Grid_Incoming'!AU24-'Grid_Requirement'!AU24))</f>
        <v/>
      </c>
      <c r="AV24">
        <f>IF(COUNTIFS(T_StockCount[RM_Code],$A24,T_StockCount[WeekIndex],47)&gt;0,SUMIFS(T_StockCount[CountedQty],T_StockCount[RM_Code],$A24,T_StockCount[WeekIndex],47),IF((COUNTIFS(T_SelfStock[RM_Code],$A24,T_SelfStock[WeekIndex],47)&gt;0)*(COUNTIFS(T_TTAFStock[RM_Code],$A24,T_TTAFStock[WeekIndex],47)&gt;0)&gt;0,SUMIFS(T_SelfStock[Self_Qty],T_SelfStock[RM_Code],$A24,T_SelfStock[WeekIndex],47)+SUMIFS(T_TTAFStock[TTAF_Qty],T_TTAFStock[RM_Code],$A24,T_TTAFStock[WeekIndex],47),AU24+'Grid_Incoming'!AV24-'Grid_Requirement'!AV24))</f>
        <v/>
      </c>
      <c r="AW24">
        <f>IF(COUNTIFS(T_StockCount[RM_Code],$A24,T_StockCount[WeekIndex],48)&gt;0,SUMIFS(T_StockCount[CountedQty],T_StockCount[RM_Code],$A24,T_StockCount[WeekIndex],48),IF((COUNTIFS(T_SelfStock[RM_Code],$A24,T_SelfStock[WeekIndex],48)&gt;0)*(COUNTIFS(T_TTAFStock[RM_Code],$A24,T_TTAFStock[WeekIndex],48)&gt;0)&gt;0,SUMIFS(T_SelfStock[Self_Qty],T_SelfStock[RM_Code],$A24,T_SelfStock[WeekIndex],48)+SUMIFS(T_TTAFStock[TTAF_Qty],T_TTAFStock[RM_Code],$A24,T_TTAFStock[WeekIndex],48),AV24+'Grid_Incoming'!AW24-'Grid_Requirement'!AW24))</f>
        <v/>
      </c>
      <c r="AX24">
        <f>IF(COUNTIFS(T_StockCount[RM_Code],$A24,T_StockCount[WeekIndex],49)&gt;0,SUMIFS(T_StockCount[CountedQty],T_StockCount[RM_Code],$A24,T_StockCount[WeekIndex],49),IF((COUNTIFS(T_SelfStock[RM_Code],$A24,T_SelfStock[WeekIndex],49)&gt;0)*(COUNTIFS(T_TTAFStock[RM_Code],$A24,T_TTAFStock[WeekIndex],49)&gt;0)&gt;0,SUMIFS(T_SelfStock[Self_Qty],T_SelfStock[RM_Code],$A24,T_SelfStock[WeekIndex],49)+SUMIFS(T_TTAFStock[TTAF_Qty],T_TTAFStock[RM_Code],$A24,T_TTAFStock[WeekIndex],49),AW24+'Grid_Incoming'!AX24-'Grid_Requirement'!AX24))</f>
        <v/>
      </c>
      <c r="AY24">
        <f>IF(COUNTIFS(T_StockCount[RM_Code],$A24,T_StockCount[WeekIndex],50)&gt;0,SUMIFS(T_StockCount[CountedQty],T_StockCount[RM_Code],$A24,T_StockCount[WeekIndex],50),IF((COUNTIFS(T_SelfStock[RM_Code],$A24,T_SelfStock[WeekIndex],50)&gt;0)*(COUNTIFS(T_TTAFStock[RM_Code],$A24,T_TTAFStock[WeekIndex],50)&gt;0)&gt;0,SUMIFS(T_SelfStock[Self_Qty],T_SelfStock[RM_Code],$A24,T_SelfStock[WeekIndex],50)+SUMIFS(T_TTAFStock[TTAF_Qty],T_TTAFStock[RM_Code],$A24,T_TTAFStock[WeekIndex],50),AX24+'Grid_Incoming'!AY24-'Grid_Requirement'!AY24))</f>
        <v/>
      </c>
      <c r="AZ24">
        <f>IF(COUNTIFS(T_StockCount[RM_Code],$A24,T_StockCount[WeekIndex],51)&gt;0,SUMIFS(T_StockCount[CountedQty],T_StockCount[RM_Code],$A24,T_StockCount[WeekIndex],51),IF((COUNTIFS(T_SelfStock[RM_Code],$A24,T_SelfStock[WeekIndex],51)&gt;0)*(COUNTIFS(T_TTAFStock[RM_Code],$A24,T_TTAFStock[WeekIndex],51)&gt;0)&gt;0,SUMIFS(T_SelfStock[Self_Qty],T_SelfStock[RM_Code],$A24,T_SelfStock[WeekIndex],51)+SUMIFS(T_TTAFStock[TTAF_Qty],T_TTAFStock[RM_Code],$A24,T_TTAFStock[WeekIndex],51),AY24+'Grid_Incoming'!AZ24-'Grid_Requirement'!AZ24))</f>
        <v/>
      </c>
      <c r="BA24">
        <f>IF(COUNTIFS(T_StockCount[RM_Code],$A24,T_StockCount[WeekIndex],52)&gt;0,SUMIFS(T_StockCount[CountedQty],T_StockCount[RM_Code],$A24,T_StockCount[WeekIndex],52),IF((COUNTIFS(T_SelfStock[RM_Code],$A24,T_SelfStock[WeekIndex],52)&gt;0)*(COUNTIFS(T_TTAFStock[RM_Code],$A24,T_TTAFStock[WeekIndex],52)&gt;0)&gt;0,SUMIFS(T_SelfStock[Self_Qty],T_SelfStock[RM_Code],$A24,T_SelfStock[WeekIndex],52)+SUMIFS(T_TTAFStock[TTAF_Qty],T_TTAFStock[RM_Code],$A24,T_TTAFStock[WeekIndex],52),AZ24+'Grid_Incoming'!BA24-'Grid_Requirement'!BA24))</f>
        <v/>
      </c>
      <c r="BB24">
        <f>IF(COUNTIFS(T_StockCount[RM_Code],$A24,T_StockCount[WeekIndex],53)&gt;0,SUMIFS(T_StockCount[CountedQty],T_StockCount[RM_Code],$A24,T_StockCount[WeekIndex],53),IF((COUNTIFS(T_SelfStock[RM_Code],$A24,T_SelfStock[WeekIndex],53)&gt;0)*(COUNTIFS(T_TTAFStock[RM_Code],$A24,T_TTAFStock[WeekIndex],53)&gt;0)&gt;0,SUMIFS(T_SelfStock[Self_Qty],T_SelfStock[RM_Code],$A24,T_SelfStock[WeekIndex],53)+SUMIFS(T_TTAFStock[TTAF_Qty],T_TTAFStock[RM_Code],$A24,T_TTAFStock[WeekIndex],53),BA24+'Grid_Incoming'!BB24-'Grid_Requirement'!BB24))</f>
        <v/>
      </c>
      <c r="BC24">
        <f>IF(COUNTIFS(T_StockCount[RM_Code],$A24,T_StockCount[WeekIndex],54)&gt;0,SUMIFS(T_StockCount[CountedQty],T_StockCount[RM_Code],$A24,T_StockCount[WeekIndex],54),IF((COUNTIFS(T_SelfStock[RM_Code],$A24,T_SelfStock[WeekIndex],54)&gt;0)*(COUNTIFS(T_TTAFStock[RM_Code],$A24,T_TTAFStock[WeekIndex],54)&gt;0)&gt;0,SUMIFS(T_SelfStock[Self_Qty],T_SelfStock[RM_Code],$A24,T_SelfStock[WeekIndex],54)+SUMIFS(T_TTAFStock[TTAF_Qty],T_TTAFStock[RM_Code],$A24,T_TTAFStock[WeekIndex],54),BB24+'Grid_Incoming'!BC24-'Grid_Requirement'!BC24))</f>
        <v/>
      </c>
      <c r="BD24">
        <f>IF(COUNTIFS(T_StockCount[RM_Code],$A24,T_StockCount[WeekIndex],55)&gt;0,SUMIFS(T_StockCount[CountedQty],T_StockCount[RM_Code],$A24,T_StockCount[WeekIndex],55),IF((COUNTIFS(T_SelfStock[RM_Code],$A24,T_SelfStock[WeekIndex],55)&gt;0)*(COUNTIFS(T_TTAFStock[RM_Code],$A24,T_TTAFStock[WeekIndex],55)&gt;0)&gt;0,SUMIFS(T_SelfStock[Self_Qty],T_SelfStock[RM_Code],$A24,T_SelfStock[WeekIndex],55)+SUMIFS(T_TTAFStock[TTAF_Qty],T_TTAFStock[RM_Code],$A24,T_TTAFStock[WeekIndex],55),BC24+'Grid_Incoming'!BD24-'Grid_Requirement'!BD24))</f>
        <v/>
      </c>
      <c r="BE24">
        <f>IF(COUNTIFS(T_StockCount[RM_Code],$A24,T_StockCount[WeekIndex],56)&gt;0,SUMIFS(T_StockCount[CountedQty],T_StockCount[RM_Code],$A24,T_StockCount[WeekIndex],56),IF((COUNTIFS(T_SelfStock[RM_Code],$A24,T_SelfStock[WeekIndex],56)&gt;0)*(COUNTIFS(T_TTAFStock[RM_Code],$A24,T_TTAFStock[WeekIndex],56)&gt;0)&gt;0,SUMIFS(T_SelfStock[Self_Qty],T_SelfStock[RM_Code],$A24,T_SelfStock[WeekIndex],56)+SUMIFS(T_TTAFStock[TTAF_Qty],T_TTAFStock[RM_Code],$A24,T_TTAFStock[WeekIndex],56),BD24+'Grid_Incoming'!BE24-'Grid_Requirement'!BE24))</f>
        <v/>
      </c>
      <c r="BF24">
        <f>IF(COUNTIFS(T_StockCount[RM_Code],$A24,T_StockCount[WeekIndex],57)&gt;0,SUMIFS(T_StockCount[CountedQty],T_StockCount[RM_Code],$A24,T_StockCount[WeekIndex],57),IF((COUNTIFS(T_SelfStock[RM_Code],$A24,T_SelfStock[WeekIndex],57)&gt;0)*(COUNTIFS(T_TTAFStock[RM_Code],$A24,T_TTAFStock[WeekIndex],57)&gt;0)&gt;0,SUMIFS(T_SelfStock[Self_Qty],T_SelfStock[RM_Code],$A24,T_SelfStock[WeekIndex],57)+SUMIFS(T_TTAFStock[TTAF_Qty],T_TTAFStock[RM_Code],$A24,T_TTAFStock[WeekIndex],57),BE24+'Grid_Incoming'!BF24-'Grid_Requirement'!BF24))</f>
        <v/>
      </c>
      <c r="BG24">
        <f>IF(COUNTIFS(T_StockCount[RM_Code],$A24,T_StockCount[WeekIndex],58)&gt;0,SUMIFS(T_StockCount[CountedQty],T_StockCount[RM_Code],$A24,T_StockCount[WeekIndex],58),IF((COUNTIFS(T_SelfStock[RM_Code],$A24,T_SelfStock[WeekIndex],58)&gt;0)*(COUNTIFS(T_TTAFStock[RM_Code],$A24,T_TTAFStock[WeekIndex],58)&gt;0)&gt;0,SUMIFS(T_SelfStock[Self_Qty],T_SelfStock[RM_Code],$A24,T_SelfStock[WeekIndex],58)+SUMIFS(T_TTAFStock[TTAF_Qty],T_TTAFStock[RM_Code],$A24,T_TTAFStock[WeekIndex],58),BF24+'Grid_Incoming'!BG24-'Grid_Requirement'!BG24))</f>
        <v/>
      </c>
      <c r="BH24">
        <f>IF(COUNTIFS(T_StockCount[RM_Code],$A24,T_StockCount[WeekIndex],59)&gt;0,SUMIFS(T_StockCount[CountedQty],T_StockCount[RM_Code],$A24,T_StockCount[WeekIndex],59),IF((COUNTIFS(T_SelfStock[RM_Code],$A24,T_SelfStock[WeekIndex],59)&gt;0)*(COUNTIFS(T_TTAFStock[RM_Code],$A24,T_TTAFStock[WeekIndex],59)&gt;0)&gt;0,SUMIFS(T_SelfStock[Self_Qty],T_SelfStock[RM_Code],$A24,T_SelfStock[WeekIndex],59)+SUMIFS(T_TTAFStock[TTAF_Qty],T_TTAFStock[RM_Code],$A24,T_TTAFStock[WeekIndex],59),BG24+'Grid_Incoming'!BH24-'Grid_Requirement'!BH24))</f>
        <v/>
      </c>
      <c r="BI24">
        <f>IF(COUNTIFS(T_StockCount[RM_Code],$A24,T_StockCount[WeekIndex],60)&gt;0,SUMIFS(T_StockCount[CountedQty],T_StockCount[RM_Code],$A24,T_StockCount[WeekIndex],60),IF((COUNTIFS(T_SelfStock[RM_Code],$A24,T_SelfStock[WeekIndex],60)&gt;0)*(COUNTIFS(T_TTAFStock[RM_Code],$A24,T_TTAFStock[WeekIndex],60)&gt;0)&gt;0,SUMIFS(T_SelfStock[Self_Qty],T_SelfStock[RM_Code],$A24,T_SelfStock[WeekIndex],60)+SUMIFS(T_TTAFStock[TTAF_Qty],T_TTAFStock[RM_Code],$A24,T_TTAFStock[WeekIndex],60),BH24+'Grid_Incoming'!BI24-'Grid_Requirement'!BI24))</f>
        <v/>
      </c>
      <c r="BJ24">
        <f>IF(COUNTIFS(T_StockCount[RM_Code],$A24,T_StockCount[WeekIndex],61)&gt;0,SUMIFS(T_StockCount[CountedQty],T_StockCount[RM_Code],$A24,T_StockCount[WeekIndex],61),IF((COUNTIFS(T_SelfStock[RM_Code],$A24,T_SelfStock[WeekIndex],61)&gt;0)*(COUNTIFS(T_TTAFStock[RM_Code],$A24,T_TTAFStock[WeekIndex],61)&gt;0)&gt;0,SUMIFS(T_SelfStock[Self_Qty],T_SelfStock[RM_Code],$A24,T_SelfStock[WeekIndex],61)+SUMIFS(T_TTAFStock[TTAF_Qty],T_TTAFStock[RM_Code],$A24,T_TTAFStock[WeekIndex],61),BI24+'Grid_Incoming'!BJ24-'Grid_Requirement'!BJ24))</f>
        <v/>
      </c>
      <c r="BK24">
        <f>IF(COUNTIFS(T_StockCount[RM_Code],$A24,T_StockCount[WeekIndex],62)&gt;0,SUMIFS(T_StockCount[CountedQty],T_StockCount[RM_Code],$A24,T_StockCount[WeekIndex],62),IF((COUNTIFS(T_SelfStock[RM_Code],$A24,T_SelfStock[WeekIndex],62)&gt;0)*(COUNTIFS(T_TTAFStock[RM_Code],$A24,T_TTAFStock[WeekIndex],62)&gt;0)&gt;0,SUMIFS(T_SelfStock[Self_Qty],T_SelfStock[RM_Code],$A24,T_SelfStock[WeekIndex],62)+SUMIFS(T_TTAFStock[TTAF_Qty],T_TTAFStock[RM_Code],$A24,T_TTAFStock[WeekIndex],62),BJ24+'Grid_Incoming'!BK24-'Grid_Requirement'!BK24))</f>
        <v/>
      </c>
      <c r="BL24">
        <f>IF(COUNTIFS(T_StockCount[RM_Code],$A24,T_StockCount[WeekIndex],63)&gt;0,SUMIFS(T_StockCount[CountedQty],T_StockCount[RM_Code],$A24,T_StockCount[WeekIndex],63),IF((COUNTIFS(T_SelfStock[RM_Code],$A24,T_SelfStock[WeekIndex],63)&gt;0)*(COUNTIFS(T_TTAFStock[RM_Code],$A24,T_TTAFStock[WeekIndex],63)&gt;0)&gt;0,SUMIFS(T_SelfStock[Self_Qty],T_SelfStock[RM_Code],$A24,T_SelfStock[WeekIndex],63)+SUMIFS(T_TTAFStock[TTAF_Qty],T_TTAFStock[RM_Code],$A24,T_TTAFStock[WeekIndex],63),BK24+'Grid_Incoming'!BL24-'Grid_Requirement'!BL24))</f>
        <v/>
      </c>
      <c r="BM24">
        <f>IF(COUNTIFS(T_StockCount[RM_Code],$A24,T_StockCount[WeekIndex],64)&gt;0,SUMIFS(T_StockCount[CountedQty],T_StockCount[RM_Code],$A24,T_StockCount[WeekIndex],64),IF((COUNTIFS(T_SelfStock[RM_Code],$A24,T_SelfStock[WeekIndex],64)&gt;0)*(COUNTIFS(T_TTAFStock[RM_Code],$A24,T_TTAFStock[WeekIndex],64)&gt;0)&gt;0,SUMIFS(T_SelfStock[Self_Qty],T_SelfStock[RM_Code],$A24,T_SelfStock[WeekIndex],64)+SUMIFS(T_TTAFStock[TTAF_Qty],T_TTAFStock[RM_Code],$A24,T_TTAFStock[WeekIndex],64),BL24+'Grid_Incoming'!BM24-'Grid_Requirement'!BM24))</f>
        <v/>
      </c>
      <c r="BN24">
        <f>IF(COUNTIFS(T_StockCount[RM_Code],$A24,T_StockCount[WeekIndex],65)&gt;0,SUMIFS(T_StockCount[CountedQty],T_StockCount[RM_Code],$A24,T_StockCount[WeekIndex],65),IF((COUNTIFS(T_SelfStock[RM_Code],$A24,T_SelfStock[WeekIndex],65)&gt;0)*(COUNTIFS(T_TTAFStock[RM_Code],$A24,T_TTAFStock[WeekIndex],65)&gt;0)&gt;0,SUMIFS(T_SelfStock[Self_Qty],T_SelfStock[RM_Code],$A24,T_SelfStock[WeekIndex],65)+SUMIFS(T_TTAFStock[TTAF_Qty],T_TTAFStock[RM_Code],$A24,T_TTAFStock[WeekIndex],65),BM24+'Grid_Incoming'!BN24-'Grid_Requirement'!BN24))</f>
        <v/>
      </c>
      <c r="BO24">
        <f>IF(COUNTIFS(T_StockCount[RM_Code],$A24,T_StockCount[WeekIndex],66)&gt;0,SUMIFS(T_StockCount[CountedQty],T_StockCount[RM_Code],$A24,T_StockCount[WeekIndex],66),IF((COUNTIFS(T_SelfStock[RM_Code],$A24,T_SelfStock[WeekIndex],66)&gt;0)*(COUNTIFS(T_TTAFStock[RM_Code],$A24,T_TTAFStock[WeekIndex],66)&gt;0)&gt;0,SUMIFS(T_SelfStock[Self_Qty],T_SelfStock[RM_Code],$A24,T_SelfStock[WeekIndex],66)+SUMIFS(T_TTAFStock[TTAF_Qty],T_TTAFStock[RM_Code],$A24,T_TTAFStock[WeekIndex],66),BN24+'Grid_Incoming'!BO24-'Grid_Requirement'!BO24))</f>
        <v/>
      </c>
      <c r="BP24">
        <f>IF(COUNTIFS(T_StockCount[RM_Code],$A24,T_StockCount[WeekIndex],67)&gt;0,SUMIFS(T_StockCount[CountedQty],T_StockCount[RM_Code],$A24,T_StockCount[WeekIndex],67),IF((COUNTIFS(T_SelfStock[RM_Code],$A24,T_SelfStock[WeekIndex],67)&gt;0)*(COUNTIFS(T_TTAFStock[RM_Code],$A24,T_TTAFStock[WeekIndex],67)&gt;0)&gt;0,SUMIFS(T_SelfStock[Self_Qty],T_SelfStock[RM_Code],$A24,T_SelfStock[WeekIndex],67)+SUMIFS(T_TTAFStock[TTAF_Qty],T_TTAFStock[RM_Code],$A24,T_TTAFStock[WeekIndex],67),BO24+'Grid_Incoming'!BP24-'Grid_Requirement'!BP24))</f>
        <v/>
      </c>
      <c r="BQ24">
        <f>IF(COUNTIFS(T_StockCount[RM_Code],$A24,T_StockCount[WeekIndex],68)&gt;0,SUMIFS(T_StockCount[CountedQty],T_StockCount[RM_Code],$A24,T_StockCount[WeekIndex],68),IF((COUNTIFS(T_SelfStock[RM_Code],$A24,T_SelfStock[WeekIndex],68)&gt;0)*(COUNTIFS(T_TTAFStock[RM_Code],$A24,T_TTAFStock[WeekIndex],68)&gt;0)&gt;0,SUMIFS(T_SelfStock[Self_Qty],T_SelfStock[RM_Code],$A24,T_SelfStock[WeekIndex],68)+SUMIFS(T_TTAFStock[TTAF_Qty],T_TTAFStock[RM_Code],$A24,T_TTAFStock[WeekIndex],68),BP24+'Grid_Incoming'!BQ24-'Grid_Requirement'!BQ24))</f>
        <v/>
      </c>
      <c r="BR24">
        <f>IF(COUNTIFS(T_StockCount[RM_Code],$A24,T_StockCount[WeekIndex],69)&gt;0,SUMIFS(T_StockCount[CountedQty],T_StockCount[RM_Code],$A24,T_StockCount[WeekIndex],69),IF((COUNTIFS(T_SelfStock[RM_Code],$A24,T_SelfStock[WeekIndex],69)&gt;0)*(COUNTIFS(T_TTAFStock[RM_Code],$A24,T_TTAFStock[WeekIndex],69)&gt;0)&gt;0,SUMIFS(T_SelfStock[Self_Qty],T_SelfStock[RM_Code],$A24,T_SelfStock[WeekIndex],69)+SUMIFS(T_TTAFStock[TTAF_Qty],T_TTAFStock[RM_Code],$A24,T_TTAFStock[WeekIndex],69),BQ24+'Grid_Incoming'!BR24-'Grid_Requirement'!BR24))</f>
        <v/>
      </c>
      <c r="BS24">
        <f>IF(COUNTIFS(T_StockCount[RM_Code],$A24,T_StockCount[WeekIndex],70)&gt;0,SUMIFS(T_StockCount[CountedQty],T_StockCount[RM_Code],$A24,T_StockCount[WeekIndex],70),IF((COUNTIFS(T_SelfStock[RM_Code],$A24,T_SelfStock[WeekIndex],70)&gt;0)*(COUNTIFS(T_TTAFStock[RM_Code],$A24,T_TTAFStock[WeekIndex],70)&gt;0)&gt;0,SUMIFS(T_SelfStock[Self_Qty],T_SelfStock[RM_Code],$A24,T_SelfStock[WeekIndex],70)+SUMIFS(T_TTAFStock[TTAF_Qty],T_TTAFStock[RM_Code],$A24,T_TTAFStock[WeekIndex],70),BR24+'Grid_Incoming'!BS24-'Grid_Requirement'!BS24))</f>
        <v/>
      </c>
      <c r="BT24">
        <f>IF(COUNTIFS(T_StockCount[RM_Code],$A24,T_StockCount[WeekIndex],71)&gt;0,SUMIFS(T_StockCount[CountedQty],T_StockCount[RM_Code],$A24,T_StockCount[WeekIndex],71),IF((COUNTIFS(T_SelfStock[RM_Code],$A24,T_SelfStock[WeekIndex],71)&gt;0)*(COUNTIFS(T_TTAFStock[RM_Code],$A24,T_TTAFStock[WeekIndex],71)&gt;0)&gt;0,SUMIFS(T_SelfStock[Self_Qty],T_SelfStock[RM_Code],$A24,T_SelfStock[WeekIndex],71)+SUMIFS(T_TTAFStock[TTAF_Qty],T_TTAFStock[RM_Code],$A24,T_TTAFStock[WeekIndex],71),BS24+'Grid_Incoming'!BT24-'Grid_Requirement'!BT24))</f>
        <v/>
      </c>
      <c r="BU24">
        <f>IF(COUNTIFS(T_StockCount[RM_Code],$A24,T_StockCount[WeekIndex],72)&gt;0,SUMIFS(T_StockCount[CountedQty],T_StockCount[RM_Code],$A24,T_StockCount[WeekIndex],72),IF((COUNTIFS(T_SelfStock[RM_Code],$A24,T_SelfStock[WeekIndex],72)&gt;0)*(COUNTIFS(T_TTAFStock[RM_Code],$A24,T_TTAFStock[WeekIndex],72)&gt;0)&gt;0,SUMIFS(T_SelfStock[Self_Qty],T_SelfStock[RM_Code],$A24,T_SelfStock[WeekIndex],72)+SUMIFS(T_TTAFStock[TTAF_Qty],T_TTAFStock[RM_Code],$A24,T_TTAFStock[WeekIndex],72),BT24+'Grid_Incoming'!BU24-'Grid_Requirement'!BU24))</f>
        <v/>
      </c>
      <c r="BV24">
        <f>IF(COUNTIFS(T_StockCount[RM_Code],$A24,T_StockCount[WeekIndex],73)&gt;0,SUMIFS(T_StockCount[CountedQty],T_StockCount[RM_Code],$A24,T_StockCount[WeekIndex],73),IF((COUNTIFS(T_SelfStock[RM_Code],$A24,T_SelfStock[WeekIndex],73)&gt;0)*(COUNTIFS(T_TTAFStock[RM_Code],$A24,T_TTAFStock[WeekIndex],73)&gt;0)&gt;0,SUMIFS(T_SelfStock[Self_Qty],T_SelfStock[RM_Code],$A24,T_SelfStock[WeekIndex],73)+SUMIFS(T_TTAFStock[TTAF_Qty],T_TTAFStock[RM_Code],$A24,T_TTAFStock[WeekIndex],73),BU24+'Grid_Incoming'!BV24-'Grid_Requirement'!BV24))</f>
        <v/>
      </c>
      <c r="BW24">
        <f>IF(COUNTIFS(T_StockCount[RM_Code],$A24,T_StockCount[WeekIndex],74)&gt;0,SUMIFS(T_StockCount[CountedQty],T_StockCount[RM_Code],$A24,T_StockCount[WeekIndex],74),IF((COUNTIFS(T_SelfStock[RM_Code],$A24,T_SelfStock[WeekIndex],74)&gt;0)*(COUNTIFS(T_TTAFStock[RM_Code],$A24,T_TTAFStock[WeekIndex],74)&gt;0)&gt;0,SUMIFS(T_SelfStock[Self_Qty],T_SelfStock[RM_Code],$A24,T_SelfStock[WeekIndex],74)+SUMIFS(T_TTAFStock[TTAF_Qty],T_TTAFStock[RM_Code],$A24,T_TTAFStock[WeekIndex],74),BV24+'Grid_Incoming'!BW24-'Grid_Requirement'!BW24))</f>
        <v/>
      </c>
      <c r="BX24">
        <f>IF(COUNTIFS(T_StockCount[RM_Code],$A24,T_StockCount[WeekIndex],75)&gt;0,SUMIFS(T_StockCount[CountedQty],T_StockCount[RM_Code],$A24,T_StockCount[WeekIndex],75),IF((COUNTIFS(T_SelfStock[RM_Code],$A24,T_SelfStock[WeekIndex],75)&gt;0)*(COUNTIFS(T_TTAFStock[RM_Code],$A24,T_TTAFStock[WeekIndex],75)&gt;0)&gt;0,SUMIFS(T_SelfStock[Self_Qty],T_SelfStock[RM_Code],$A24,T_SelfStock[WeekIndex],75)+SUMIFS(T_TTAFStock[TTAF_Qty],T_TTAFStock[RM_Code],$A24,T_TTAFStock[WeekIndex],75),BW24+'Grid_Incoming'!BX24-'Grid_Requirement'!BX24))</f>
        <v/>
      </c>
      <c r="BY24">
        <f>IF(COUNTIFS(T_StockCount[RM_Code],$A24,T_StockCount[WeekIndex],76)&gt;0,SUMIFS(T_StockCount[CountedQty],T_StockCount[RM_Code],$A24,T_StockCount[WeekIndex],76),IF((COUNTIFS(T_SelfStock[RM_Code],$A24,T_SelfStock[WeekIndex],76)&gt;0)*(COUNTIFS(T_TTAFStock[RM_Code],$A24,T_TTAFStock[WeekIndex],76)&gt;0)&gt;0,SUMIFS(T_SelfStock[Self_Qty],T_SelfStock[RM_Code],$A24,T_SelfStock[WeekIndex],76)+SUMIFS(T_TTAFStock[TTAF_Qty],T_TTAFStock[RM_Code],$A24,T_TTAFStock[WeekIndex],76),BX24+'Grid_Incoming'!BY24-'Grid_Requirement'!BY24))</f>
        <v/>
      </c>
      <c r="BZ24">
        <f>IF(COUNTIFS(T_StockCount[RM_Code],$A24,T_StockCount[WeekIndex],77)&gt;0,SUMIFS(T_StockCount[CountedQty],T_StockCount[RM_Code],$A24,T_StockCount[WeekIndex],77),IF((COUNTIFS(T_SelfStock[RM_Code],$A24,T_SelfStock[WeekIndex],77)&gt;0)*(COUNTIFS(T_TTAFStock[RM_Code],$A24,T_TTAFStock[WeekIndex],77)&gt;0)&gt;0,SUMIFS(T_SelfStock[Self_Qty],T_SelfStock[RM_Code],$A24,T_SelfStock[WeekIndex],77)+SUMIFS(T_TTAFStock[TTAF_Qty],T_TTAFStock[RM_Code],$A24,T_TTAFStock[WeekIndex],77),BY24+'Grid_Incoming'!BZ24-'Grid_Requirement'!BZ24))</f>
        <v/>
      </c>
      <c r="CA24">
        <f>IF(COUNTIFS(T_StockCount[RM_Code],$A24,T_StockCount[WeekIndex],78)&gt;0,SUMIFS(T_StockCount[CountedQty],T_StockCount[RM_Code],$A24,T_StockCount[WeekIndex],78),IF((COUNTIFS(T_SelfStock[RM_Code],$A24,T_SelfStock[WeekIndex],78)&gt;0)*(COUNTIFS(T_TTAFStock[RM_Code],$A24,T_TTAFStock[WeekIndex],78)&gt;0)&gt;0,SUMIFS(T_SelfStock[Self_Qty],T_SelfStock[RM_Code],$A24,T_SelfStock[WeekIndex],78)+SUMIFS(T_TTAFStock[TTAF_Qty],T_TTAFStock[RM_Code],$A24,T_TTAFStock[WeekIndex],78),BZ24+'Grid_Incoming'!CA24-'Grid_Requirement'!CA24))</f>
        <v/>
      </c>
      <c r="CB24">
        <f>IF(COUNTIFS(T_StockCount[RM_Code],$A24,T_StockCount[WeekIndex],79)&gt;0,SUMIFS(T_StockCount[CountedQty],T_StockCount[RM_Code],$A24,T_StockCount[WeekIndex],79),IF((COUNTIFS(T_SelfStock[RM_Code],$A24,T_SelfStock[WeekIndex],79)&gt;0)*(COUNTIFS(T_TTAFStock[RM_Code],$A24,T_TTAFStock[WeekIndex],79)&gt;0)&gt;0,SUMIFS(T_SelfStock[Self_Qty],T_SelfStock[RM_Code],$A24,T_SelfStock[WeekIndex],79)+SUMIFS(T_TTAFStock[TTAF_Qty],T_TTAFStock[RM_Code],$A24,T_TTAFStock[WeekIndex],79),CA24+'Grid_Incoming'!CB24-'Grid_Requirement'!CB24))</f>
        <v/>
      </c>
      <c r="CC24">
        <f>IF(COUNTIFS(T_StockCount[RM_Code],$A24,T_StockCount[WeekIndex],80)&gt;0,SUMIFS(T_StockCount[CountedQty],T_StockCount[RM_Code],$A24,T_StockCount[WeekIndex],80),IF((COUNTIFS(T_SelfStock[RM_Code],$A24,T_SelfStock[WeekIndex],80)&gt;0)*(COUNTIFS(T_TTAFStock[RM_Code],$A24,T_TTAFStock[WeekIndex],80)&gt;0)&gt;0,SUMIFS(T_SelfStock[Self_Qty],T_SelfStock[RM_Code],$A24,T_SelfStock[WeekIndex],80)+SUMIFS(T_TTAFStock[TTAF_Qty],T_TTAFStock[RM_Code],$A24,T_TTAFStock[WeekIndex],80),CB24+'Grid_Incoming'!CC24-'Grid_Requirement'!CC24))</f>
        <v/>
      </c>
      <c r="CD24">
        <f>IF(COUNTIFS(T_StockCount[RM_Code],$A24,T_StockCount[WeekIndex],81)&gt;0,SUMIFS(T_StockCount[CountedQty],T_StockCount[RM_Code],$A24,T_StockCount[WeekIndex],81),IF((COUNTIFS(T_SelfStock[RM_Code],$A24,T_SelfStock[WeekIndex],81)&gt;0)*(COUNTIFS(T_TTAFStock[RM_Code],$A24,T_TTAFStock[WeekIndex],81)&gt;0)&gt;0,SUMIFS(T_SelfStock[Self_Qty],T_SelfStock[RM_Code],$A24,T_SelfStock[WeekIndex],81)+SUMIFS(T_TTAFStock[TTAF_Qty],T_TTAFStock[RM_Code],$A24,T_TTAFStock[WeekIndex],81),CC24+'Grid_Incoming'!CD24-'Grid_Requirement'!CD24))</f>
        <v/>
      </c>
      <c r="CE24">
        <f>IF(COUNTIFS(T_StockCount[RM_Code],$A24,T_StockCount[WeekIndex],82)&gt;0,SUMIFS(T_StockCount[CountedQty],T_StockCount[RM_Code],$A24,T_StockCount[WeekIndex],82),IF((COUNTIFS(T_SelfStock[RM_Code],$A24,T_SelfStock[WeekIndex],82)&gt;0)*(COUNTIFS(T_TTAFStock[RM_Code],$A24,T_TTAFStock[WeekIndex],82)&gt;0)&gt;0,SUMIFS(T_SelfStock[Self_Qty],T_SelfStock[RM_Code],$A24,T_SelfStock[WeekIndex],82)+SUMIFS(T_TTAFStock[TTAF_Qty],T_TTAFStock[RM_Code],$A24,T_TTAFStock[WeekIndex],82),CD24+'Grid_Incoming'!CE24-'Grid_Requirement'!CE24))</f>
        <v/>
      </c>
      <c r="CF24">
        <f>IF(COUNTIFS(T_StockCount[RM_Code],$A24,T_StockCount[WeekIndex],83)&gt;0,SUMIFS(T_StockCount[CountedQty],T_StockCount[RM_Code],$A24,T_StockCount[WeekIndex],83),IF((COUNTIFS(T_SelfStock[RM_Code],$A24,T_SelfStock[WeekIndex],83)&gt;0)*(COUNTIFS(T_TTAFStock[RM_Code],$A24,T_TTAFStock[WeekIndex],83)&gt;0)&gt;0,SUMIFS(T_SelfStock[Self_Qty],T_SelfStock[RM_Code],$A24,T_SelfStock[WeekIndex],83)+SUMIFS(T_TTAFStock[TTAF_Qty],T_TTAFStock[RM_Code],$A24,T_TTAFStock[WeekIndex],83),CE24+'Grid_Incoming'!CF24-'Grid_Requirement'!CF24))</f>
        <v/>
      </c>
      <c r="CG24">
        <f>IF(COUNTIFS(T_StockCount[RM_Code],$A24,T_StockCount[WeekIndex],84)&gt;0,SUMIFS(T_StockCount[CountedQty],T_StockCount[RM_Code],$A24,T_StockCount[WeekIndex],84),IF((COUNTIFS(T_SelfStock[RM_Code],$A24,T_SelfStock[WeekIndex],84)&gt;0)*(COUNTIFS(T_TTAFStock[RM_Code],$A24,T_TTAFStock[WeekIndex],84)&gt;0)&gt;0,SUMIFS(T_SelfStock[Self_Qty],T_SelfStock[RM_Code],$A24,T_SelfStock[WeekIndex],84)+SUMIFS(T_TTAFStock[TTAF_Qty],T_TTAFStock[RM_Code],$A24,T_TTAFStock[WeekIndex],84),CF24+'Grid_Incoming'!CG24-'Grid_Requirement'!CG24))</f>
        <v/>
      </c>
      <c r="CH24">
        <f>IF(COUNTIFS(T_StockCount[RM_Code],$A24,T_StockCount[WeekIndex],85)&gt;0,SUMIFS(T_StockCount[CountedQty],T_StockCount[RM_Code],$A24,T_StockCount[WeekIndex],85),IF((COUNTIFS(T_SelfStock[RM_Code],$A24,T_SelfStock[WeekIndex],85)&gt;0)*(COUNTIFS(T_TTAFStock[RM_Code],$A24,T_TTAFStock[WeekIndex],85)&gt;0)&gt;0,SUMIFS(T_SelfStock[Self_Qty],T_SelfStock[RM_Code],$A24,T_SelfStock[WeekIndex],85)+SUMIFS(T_TTAFStock[TTAF_Qty],T_TTAFStock[RM_Code],$A24,T_TTAFStock[WeekIndex],85),CG24+'Grid_Incoming'!CH24-'Grid_Requirement'!CH24))</f>
        <v/>
      </c>
      <c r="CI24">
        <f>IF(COUNTIFS(T_StockCount[RM_Code],$A24,T_StockCount[WeekIndex],86)&gt;0,SUMIFS(T_StockCount[CountedQty],T_StockCount[RM_Code],$A24,T_StockCount[WeekIndex],86),IF((COUNTIFS(T_SelfStock[RM_Code],$A24,T_SelfStock[WeekIndex],86)&gt;0)*(COUNTIFS(T_TTAFStock[RM_Code],$A24,T_TTAFStock[WeekIndex],86)&gt;0)&gt;0,SUMIFS(T_SelfStock[Self_Qty],T_SelfStock[RM_Code],$A24,T_SelfStock[WeekIndex],86)+SUMIFS(T_TTAFStock[TTAF_Qty],T_TTAFStock[RM_Code],$A24,T_TTAFStock[WeekIndex],86),CH24+'Grid_Incoming'!CI24-'Grid_Requirement'!CI24))</f>
        <v/>
      </c>
      <c r="CJ24">
        <f>IF(COUNTIFS(T_StockCount[RM_Code],$A24,T_StockCount[WeekIndex],87)&gt;0,SUMIFS(T_StockCount[CountedQty],T_StockCount[RM_Code],$A24,T_StockCount[WeekIndex],87),IF((COUNTIFS(T_SelfStock[RM_Code],$A24,T_SelfStock[WeekIndex],87)&gt;0)*(COUNTIFS(T_TTAFStock[RM_Code],$A24,T_TTAFStock[WeekIndex],87)&gt;0)&gt;0,SUMIFS(T_SelfStock[Self_Qty],T_SelfStock[RM_Code],$A24,T_SelfStock[WeekIndex],87)+SUMIFS(T_TTAFStock[TTAF_Qty],T_TTAFStock[RM_Code],$A24,T_TTAFStock[WeekIndex],87),CI24+'Grid_Incoming'!CJ24-'Grid_Requirement'!CJ24))</f>
        <v/>
      </c>
      <c r="CK24">
        <f>IF(COUNTIFS(T_StockCount[RM_Code],$A24,T_StockCount[WeekIndex],88)&gt;0,SUMIFS(T_StockCount[CountedQty],T_StockCount[RM_Code],$A24,T_StockCount[WeekIndex],88),IF((COUNTIFS(T_SelfStock[RM_Code],$A24,T_SelfStock[WeekIndex],88)&gt;0)*(COUNTIFS(T_TTAFStock[RM_Code],$A24,T_TTAFStock[WeekIndex],88)&gt;0)&gt;0,SUMIFS(T_SelfStock[Self_Qty],T_SelfStock[RM_Code],$A24,T_SelfStock[WeekIndex],88)+SUMIFS(T_TTAFStock[TTAF_Qty],T_TTAFStock[RM_Code],$A24,T_TTAFStock[WeekIndex],88),CJ24+'Grid_Incoming'!CK24-'Grid_Requirement'!CK24))</f>
        <v/>
      </c>
      <c r="CL24">
        <f>IF(COUNTIFS(T_StockCount[RM_Code],$A24,T_StockCount[WeekIndex],89)&gt;0,SUMIFS(T_StockCount[CountedQty],T_StockCount[RM_Code],$A24,T_StockCount[WeekIndex],89),IF((COUNTIFS(T_SelfStock[RM_Code],$A24,T_SelfStock[WeekIndex],89)&gt;0)*(COUNTIFS(T_TTAFStock[RM_Code],$A24,T_TTAFStock[WeekIndex],89)&gt;0)&gt;0,SUMIFS(T_SelfStock[Self_Qty],T_SelfStock[RM_Code],$A24,T_SelfStock[WeekIndex],89)+SUMIFS(T_TTAFStock[TTAF_Qty],T_TTAFStock[RM_Code],$A24,T_TTAFStock[WeekIndex],89),CK24+'Grid_Incoming'!CL24-'Grid_Requirement'!CL24))</f>
        <v/>
      </c>
      <c r="CM24">
        <f>IF(COUNTIFS(T_StockCount[RM_Code],$A24,T_StockCount[WeekIndex],90)&gt;0,SUMIFS(T_StockCount[CountedQty],T_StockCount[RM_Code],$A24,T_StockCount[WeekIndex],90),IF((COUNTIFS(T_SelfStock[RM_Code],$A24,T_SelfStock[WeekIndex],90)&gt;0)*(COUNTIFS(T_TTAFStock[RM_Code],$A24,T_TTAFStock[WeekIndex],90)&gt;0)&gt;0,SUMIFS(T_SelfStock[Self_Qty],T_SelfStock[RM_Code],$A24,T_SelfStock[WeekIndex],90)+SUMIFS(T_TTAFStock[TTAF_Qty],T_TTAFStock[RM_Code],$A24,T_TTAFStock[WeekIndex],90),CL24+'Grid_Incoming'!CM24-'Grid_Requirement'!CM24))</f>
        <v/>
      </c>
      <c r="CN24">
        <f>IF(COUNTIFS(T_StockCount[RM_Code],$A24,T_StockCount[WeekIndex],91)&gt;0,SUMIFS(T_StockCount[CountedQty],T_StockCount[RM_Code],$A24,T_StockCount[WeekIndex],91),IF((COUNTIFS(T_SelfStock[RM_Code],$A24,T_SelfStock[WeekIndex],91)&gt;0)*(COUNTIFS(T_TTAFStock[RM_Code],$A24,T_TTAFStock[WeekIndex],91)&gt;0)&gt;0,SUMIFS(T_SelfStock[Self_Qty],T_SelfStock[RM_Code],$A24,T_SelfStock[WeekIndex],91)+SUMIFS(T_TTAFStock[TTAF_Qty],T_TTAFStock[RM_Code],$A24,T_TTAFStock[WeekIndex],91),CM24+'Grid_Incoming'!CN24-'Grid_Requirement'!CN24))</f>
        <v/>
      </c>
      <c r="CO24">
        <f>IF(COUNTIFS(T_StockCount[RM_Code],$A24,T_StockCount[WeekIndex],92)&gt;0,SUMIFS(T_StockCount[CountedQty],T_StockCount[RM_Code],$A24,T_StockCount[WeekIndex],92),IF((COUNTIFS(T_SelfStock[RM_Code],$A24,T_SelfStock[WeekIndex],92)&gt;0)*(COUNTIFS(T_TTAFStock[RM_Code],$A24,T_TTAFStock[WeekIndex],92)&gt;0)&gt;0,SUMIFS(T_SelfStock[Self_Qty],T_SelfStock[RM_Code],$A24,T_SelfStock[WeekIndex],92)+SUMIFS(T_TTAFStock[TTAF_Qty],T_TTAFStock[RM_Code],$A24,T_TTAFStock[WeekIndex],92),CN24+'Grid_Incoming'!CO24-'Grid_Requirement'!CO24))</f>
        <v/>
      </c>
      <c r="CP24">
        <f>IF(COUNTIFS(T_StockCount[RM_Code],$A24,T_StockCount[WeekIndex],93)&gt;0,SUMIFS(T_StockCount[CountedQty],T_StockCount[RM_Code],$A24,T_StockCount[WeekIndex],93),IF((COUNTIFS(T_SelfStock[RM_Code],$A24,T_SelfStock[WeekIndex],93)&gt;0)*(COUNTIFS(T_TTAFStock[RM_Code],$A24,T_TTAFStock[WeekIndex],93)&gt;0)&gt;0,SUMIFS(T_SelfStock[Self_Qty],T_SelfStock[RM_Code],$A24,T_SelfStock[WeekIndex],93)+SUMIFS(T_TTAFStock[TTAF_Qty],T_TTAFStock[RM_Code],$A24,T_TTAFStock[WeekIndex],93),CO24+'Grid_Incoming'!CP24-'Grid_Requirement'!CP24))</f>
        <v/>
      </c>
      <c r="CQ24">
        <f>IF(COUNTIFS(T_StockCount[RM_Code],$A24,T_StockCount[WeekIndex],94)&gt;0,SUMIFS(T_StockCount[CountedQty],T_StockCount[RM_Code],$A24,T_StockCount[WeekIndex],94),IF((COUNTIFS(T_SelfStock[RM_Code],$A24,T_SelfStock[WeekIndex],94)&gt;0)*(COUNTIFS(T_TTAFStock[RM_Code],$A24,T_TTAFStock[WeekIndex],94)&gt;0)&gt;0,SUMIFS(T_SelfStock[Self_Qty],T_SelfStock[RM_Code],$A24,T_SelfStock[WeekIndex],94)+SUMIFS(T_TTAFStock[TTAF_Qty],T_TTAFStock[RM_Code],$A24,T_TTAFStock[WeekIndex],94),CP24+'Grid_Incoming'!CQ24-'Grid_Requirement'!CQ24))</f>
        <v/>
      </c>
      <c r="CR24">
        <f>IF(COUNTIFS(T_StockCount[RM_Code],$A24,T_StockCount[WeekIndex],95)&gt;0,SUMIFS(T_StockCount[CountedQty],T_StockCount[RM_Code],$A24,T_StockCount[WeekIndex],95),IF((COUNTIFS(T_SelfStock[RM_Code],$A24,T_SelfStock[WeekIndex],95)&gt;0)*(COUNTIFS(T_TTAFStock[RM_Code],$A24,T_TTAFStock[WeekIndex],95)&gt;0)&gt;0,SUMIFS(T_SelfStock[Self_Qty],T_SelfStock[RM_Code],$A24,T_SelfStock[WeekIndex],95)+SUMIFS(T_TTAFStock[TTAF_Qty],T_TTAFStock[RM_Code],$A24,T_TTAFStock[WeekIndex],95),CQ24+'Grid_Incoming'!CR24-'Grid_Requirement'!CR24))</f>
        <v/>
      </c>
      <c r="CS24">
        <f>IF(COUNTIFS(T_StockCount[RM_Code],$A24,T_StockCount[WeekIndex],96)&gt;0,SUMIFS(T_StockCount[CountedQty],T_StockCount[RM_Code],$A24,T_StockCount[WeekIndex],96),IF((COUNTIFS(T_SelfStock[RM_Code],$A24,T_SelfStock[WeekIndex],96)&gt;0)*(COUNTIFS(T_TTAFStock[RM_Code],$A24,T_TTAFStock[WeekIndex],96)&gt;0)&gt;0,SUMIFS(T_SelfStock[Self_Qty],T_SelfStock[RM_Code],$A24,T_SelfStock[WeekIndex],96)+SUMIFS(T_TTAFStock[TTAF_Qty],T_TTAFStock[RM_Code],$A24,T_TTAFStock[WeekIndex],96),CR24+'Grid_Incoming'!CS24-'Grid_Requirement'!CS24))</f>
        <v/>
      </c>
      <c r="CT24">
        <f>IF(COUNTIFS(T_StockCount[RM_Code],$A24,T_StockCount[WeekIndex],97)&gt;0,SUMIFS(T_StockCount[CountedQty],T_StockCount[RM_Code],$A24,T_StockCount[WeekIndex],97),IF((COUNTIFS(T_SelfStock[RM_Code],$A24,T_SelfStock[WeekIndex],97)&gt;0)*(COUNTIFS(T_TTAFStock[RM_Code],$A24,T_TTAFStock[WeekIndex],97)&gt;0)&gt;0,SUMIFS(T_SelfStock[Self_Qty],T_SelfStock[RM_Code],$A24,T_SelfStock[WeekIndex],97)+SUMIFS(T_TTAFStock[TTAF_Qty],T_TTAFStock[RM_Code],$A24,T_TTAFStock[WeekIndex],97),CS24+'Grid_Incoming'!CT24-'Grid_Requirement'!CT24))</f>
        <v/>
      </c>
      <c r="CU24">
        <f>IF(COUNTIFS(T_StockCount[RM_Code],$A24,T_StockCount[WeekIndex],98)&gt;0,SUMIFS(T_StockCount[CountedQty],T_StockCount[RM_Code],$A24,T_StockCount[WeekIndex],98),IF((COUNTIFS(T_SelfStock[RM_Code],$A24,T_SelfStock[WeekIndex],98)&gt;0)*(COUNTIFS(T_TTAFStock[RM_Code],$A24,T_TTAFStock[WeekIndex],98)&gt;0)&gt;0,SUMIFS(T_SelfStock[Self_Qty],T_SelfStock[RM_Code],$A24,T_SelfStock[WeekIndex],98)+SUMIFS(T_TTAFStock[TTAF_Qty],T_TTAFStock[RM_Code],$A24,T_TTAFStock[WeekIndex],98),CT24+'Grid_Incoming'!CU24-'Grid_Requirement'!CU24))</f>
        <v/>
      </c>
      <c r="CV24">
        <f>IF(COUNTIFS(T_StockCount[RM_Code],$A24,T_StockCount[WeekIndex],99)&gt;0,SUMIFS(T_StockCount[CountedQty],T_StockCount[RM_Code],$A24,T_StockCount[WeekIndex],99),IF((COUNTIFS(T_SelfStock[RM_Code],$A24,T_SelfStock[WeekIndex],99)&gt;0)*(COUNTIFS(T_TTAFStock[RM_Code],$A24,T_TTAFStock[WeekIndex],99)&gt;0)&gt;0,SUMIFS(T_SelfStock[Self_Qty],T_SelfStock[RM_Code],$A24,T_SelfStock[WeekIndex],99)+SUMIFS(T_TTAFStock[TTAF_Qty],T_TTAFStock[RM_Code],$A24,T_TTAFStock[WeekIndex],99),CU24+'Grid_Incoming'!CV24-'Grid_Requirement'!CV24))</f>
        <v/>
      </c>
      <c r="CW24">
        <f>IF(COUNTIFS(T_StockCount[RM_Code],$A24,T_StockCount[WeekIndex],100)&gt;0,SUMIFS(T_StockCount[CountedQty],T_StockCount[RM_Code],$A24,T_StockCount[WeekIndex],100),IF((COUNTIFS(T_SelfStock[RM_Code],$A24,T_SelfStock[WeekIndex],100)&gt;0)*(COUNTIFS(T_TTAFStock[RM_Code],$A24,T_TTAFStock[WeekIndex],100)&gt;0)&gt;0,SUMIFS(T_SelfStock[Self_Qty],T_SelfStock[RM_Code],$A24,T_SelfStock[WeekIndex],100)+SUMIFS(T_TTAFStock[TTAF_Qty],T_TTAFStock[RM_Code],$A24,T_TTAFStock[WeekIndex],100),CV24+'Grid_Incoming'!CW24-'Grid_Requirement'!CW24))</f>
        <v/>
      </c>
      <c r="CX24">
        <f>IF(COUNTIFS(T_StockCount[RM_Code],$A24,T_StockCount[WeekIndex],101)&gt;0,SUMIFS(T_StockCount[CountedQty],T_StockCount[RM_Code],$A24,T_StockCount[WeekIndex],101),IF((COUNTIFS(T_SelfStock[RM_Code],$A24,T_SelfStock[WeekIndex],101)&gt;0)*(COUNTIFS(T_TTAFStock[RM_Code],$A24,T_TTAFStock[WeekIndex],101)&gt;0)&gt;0,SUMIFS(T_SelfStock[Self_Qty],T_SelfStock[RM_Code],$A24,T_SelfStock[WeekIndex],101)+SUMIFS(T_TTAFStock[TTAF_Qty],T_TTAFStock[RM_Code],$A24,T_TTAFStock[WeekIndex],101),CW24+'Grid_Incoming'!CX24-'Grid_Requirement'!CX24))</f>
        <v/>
      </c>
      <c r="CY24">
        <f>IF(COUNTIFS(T_StockCount[RM_Code],$A24,T_StockCount[WeekIndex],102)&gt;0,SUMIFS(T_StockCount[CountedQty],T_StockCount[RM_Code],$A24,T_StockCount[WeekIndex],102),IF((COUNTIFS(T_SelfStock[RM_Code],$A24,T_SelfStock[WeekIndex],102)&gt;0)*(COUNTIFS(T_TTAFStock[RM_Code],$A24,T_TTAFStock[WeekIndex],102)&gt;0)&gt;0,SUMIFS(T_SelfStock[Self_Qty],T_SelfStock[RM_Code],$A24,T_SelfStock[WeekIndex],102)+SUMIFS(T_TTAFStock[TTAF_Qty],T_TTAFStock[RM_Code],$A24,T_TTAFStock[WeekIndex],102),CX24+'Grid_Incoming'!CY24-'Grid_Requirement'!CY24))</f>
        <v/>
      </c>
      <c r="CZ24">
        <f>IF(COUNTIFS(T_StockCount[RM_Code],$A24,T_StockCount[WeekIndex],103)&gt;0,SUMIFS(T_StockCount[CountedQty],T_StockCount[RM_Code],$A24,T_StockCount[WeekIndex],103),IF((COUNTIFS(T_SelfStock[RM_Code],$A24,T_SelfStock[WeekIndex],103)&gt;0)*(COUNTIFS(T_TTAFStock[RM_Code],$A24,T_TTAFStock[WeekIndex],103)&gt;0)&gt;0,SUMIFS(T_SelfStock[Self_Qty],T_SelfStock[RM_Code],$A24,T_SelfStock[WeekIndex],103)+SUMIFS(T_TTAFStock[TTAF_Qty],T_TTAFStock[RM_Code],$A24,T_TTAFStock[WeekIndex],103),CY24+'Grid_Incoming'!CZ24-'Grid_Requirement'!CZ24))</f>
        <v/>
      </c>
      <c r="DA24">
        <f>IF(COUNTIFS(T_StockCount[RM_Code],$A24,T_StockCount[WeekIndex],104)&gt;0,SUMIFS(T_StockCount[CountedQty],T_StockCount[RM_Code],$A24,T_StockCount[WeekIndex],104),IF((COUNTIFS(T_SelfStock[RM_Code],$A24,T_SelfStock[WeekIndex],104)&gt;0)*(COUNTIFS(T_TTAFStock[RM_Code],$A24,T_TTAFStock[WeekIndex],104)&gt;0)&gt;0,SUMIFS(T_SelfStock[Self_Qty],T_SelfStock[RM_Code],$A24,T_SelfStock[WeekIndex],104)+SUMIFS(T_TTAFStock[TTAF_Qty],T_TTAFStock[RM_Code],$A24,T_TTAFStock[WeekIndex],104),CZ24+'Grid_Incoming'!DA24-'Grid_Requirement'!DA24))</f>
        <v/>
      </c>
    </row>
    <row r="25">
      <c r="A25" t="inlineStr">
        <is>
          <t>0JN</t>
        </is>
      </c>
      <c r="B25">
        <f>IF(COUNTIFS(T_StockCount[RM_Code],$A25,T_StockCount[WeekIndex],1)&gt;0,SUMIFS(T_StockCount[CountedQty],T_StockCount[RM_Code],$A25,T_StockCount[WeekIndex],1),IF((COUNTIFS(T_SelfStock[RM_Code],$A25,T_SelfStock[WeekIndex],1)&gt;0)*(COUNTIFS(T_TTAFStock[RM_Code],$A25,T_TTAFStock[WeekIndex],1)&gt;0)&gt;0,SUMIFS(T_SelfStock[Self_Qty],T_SelfStock[RM_Code],$A25,T_SelfStock[WeekIndex],1)+SUMIFS(T_TTAFStock[TTAF_Qty],T_TTAFStock[RM_Code],$A25,T_TTAFStock[WeekIndex],1),IFERROR(INDEX(T_OpeningStock[Opening_Qty],MATCH($A25,T_OpeningStock[RM_Code],0)),0)+'Grid_Incoming'!B25-'Grid_Requirement'!B25))</f>
        <v/>
      </c>
      <c r="C25">
        <f>IF(COUNTIFS(T_StockCount[RM_Code],$A25,T_StockCount[WeekIndex],2)&gt;0,SUMIFS(T_StockCount[CountedQty],T_StockCount[RM_Code],$A25,T_StockCount[WeekIndex],2),IF((COUNTIFS(T_SelfStock[RM_Code],$A25,T_SelfStock[WeekIndex],2)&gt;0)*(COUNTIFS(T_TTAFStock[RM_Code],$A25,T_TTAFStock[WeekIndex],2)&gt;0)&gt;0,SUMIFS(T_SelfStock[Self_Qty],T_SelfStock[RM_Code],$A25,T_SelfStock[WeekIndex],2)+SUMIFS(T_TTAFStock[TTAF_Qty],T_TTAFStock[RM_Code],$A25,T_TTAFStock[WeekIndex],2),B25+'Grid_Incoming'!C25-'Grid_Requirement'!C25))</f>
        <v/>
      </c>
      <c r="D25">
        <f>IF(COUNTIFS(T_StockCount[RM_Code],$A25,T_StockCount[WeekIndex],3)&gt;0,SUMIFS(T_StockCount[CountedQty],T_StockCount[RM_Code],$A25,T_StockCount[WeekIndex],3),IF((COUNTIFS(T_SelfStock[RM_Code],$A25,T_SelfStock[WeekIndex],3)&gt;0)*(COUNTIFS(T_TTAFStock[RM_Code],$A25,T_TTAFStock[WeekIndex],3)&gt;0)&gt;0,SUMIFS(T_SelfStock[Self_Qty],T_SelfStock[RM_Code],$A25,T_SelfStock[WeekIndex],3)+SUMIFS(T_TTAFStock[TTAF_Qty],T_TTAFStock[RM_Code],$A25,T_TTAFStock[WeekIndex],3),C25+'Grid_Incoming'!D25-'Grid_Requirement'!D25))</f>
        <v/>
      </c>
      <c r="E25">
        <f>IF(COUNTIFS(T_StockCount[RM_Code],$A25,T_StockCount[WeekIndex],4)&gt;0,SUMIFS(T_StockCount[CountedQty],T_StockCount[RM_Code],$A25,T_StockCount[WeekIndex],4),IF((COUNTIFS(T_SelfStock[RM_Code],$A25,T_SelfStock[WeekIndex],4)&gt;0)*(COUNTIFS(T_TTAFStock[RM_Code],$A25,T_TTAFStock[WeekIndex],4)&gt;0)&gt;0,SUMIFS(T_SelfStock[Self_Qty],T_SelfStock[RM_Code],$A25,T_SelfStock[WeekIndex],4)+SUMIFS(T_TTAFStock[TTAF_Qty],T_TTAFStock[RM_Code],$A25,T_TTAFStock[WeekIndex],4),D25+'Grid_Incoming'!E25-'Grid_Requirement'!E25))</f>
        <v/>
      </c>
      <c r="F25">
        <f>IF(COUNTIFS(T_StockCount[RM_Code],$A25,T_StockCount[WeekIndex],5)&gt;0,SUMIFS(T_StockCount[CountedQty],T_StockCount[RM_Code],$A25,T_StockCount[WeekIndex],5),IF((COUNTIFS(T_SelfStock[RM_Code],$A25,T_SelfStock[WeekIndex],5)&gt;0)*(COUNTIFS(T_TTAFStock[RM_Code],$A25,T_TTAFStock[WeekIndex],5)&gt;0)&gt;0,SUMIFS(T_SelfStock[Self_Qty],T_SelfStock[RM_Code],$A25,T_SelfStock[WeekIndex],5)+SUMIFS(T_TTAFStock[TTAF_Qty],T_TTAFStock[RM_Code],$A25,T_TTAFStock[WeekIndex],5),E25+'Grid_Incoming'!F25-'Grid_Requirement'!F25))</f>
        <v/>
      </c>
      <c r="G25">
        <f>IF(COUNTIFS(T_StockCount[RM_Code],$A25,T_StockCount[WeekIndex],6)&gt;0,SUMIFS(T_StockCount[CountedQty],T_StockCount[RM_Code],$A25,T_StockCount[WeekIndex],6),IF((COUNTIFS(T_SelfStock[RM_Code],$A25,T_SelfStock[WeekIndex],6)&gt;0)*(COUNTIFS(T_TTAFStock[RM_Code],$A25,T_TTAFStock[WeekIndex],6)&gt;0)&gt;0,SUMIFS(T_SelfStock[Self_Qty],T_SelfStock[RM_Code],$A25,T_SelfStock[WeekIndex],6)+SUMIFS(T_TTAFStock[TTAF_Qty],T_TTAFStock[RM_Code],$A25,T_TTAFStock[WeekIndex],6),F25+'Grid_Incoming'!G25-'Grid_Requirement'!G25))</f>
        <v/>
      </c>
      <c r="H25">
        <f>IF(COUNTIFS(T_StockCount[RM_Code],$A25,T_StockCount[WeekIndex],7)&gt;0,SUMIFS(T_StockCount[CountedQty],T_StockCount[RM_Code],$A25,T_StockCount[WeekIndex],7),IF((COUNTIFS(T_SelfStock[RM_Code],$A25,T_SelfStock[WeekIndex],7)&gt;0)*(COUNTIFS(T_TTAFStock[RM_Code],$A25,T_TTAFStock[WeekIndex],7)&gt;0)&gt;0,SUMIFS(T_SelfStock[Self_Qty],T_SelfStock[RM_Code],$A25,T_SelfStock[WeekIndex],7)+SUMIFS(T_TTAFStock[TTAF_Qty],T_TTAFStock[RM_Code],$A25,T_TTAFStock[WeekIndex],7),G25+'Grid_Incoming'!H25-'Grid_Requirement'!H25))</f>
        <v/>
      </c>
      <c r="I25">
        <f>IF(COUNTIFS(T_StockCount[RM_Code],$A25,T_StockCount[WeekIndex],8)&gt;0,SUMIFS(T_StockCount[CountedQty],T_StockCount[RM_Code],$A25,T_StockCount[WeekIndex],8),IF((COUNTIFS(T_SelfStock[RM_Code],$A25,T_SelfStock[WeekIndex],8)&gt;0)*(COUNTIFS(T_TTAFStock[RM_Code],$A25,T_TTAFStock[WeekIndex],8)&gt;0)&gt;0,SUMIFS(T_SelfStock[Self_Qty],T_SelfStock[RM_Code],$A25,T_SelfStock[WeekIndex],8)+SUMIFS(T_TTAFStock[TTAF_Qty],T_TTAFStock[RM_Code],$A25,T_TTAFStock[WeekIndex],8),H25+'Grid_Incoming'!I25-'Grid_Requirement'!I25))</f>
        <v/>
      </c>
      <c r="J25">
        <f>IF(COUNTIFS(T_StockCount[RM_Code],$A25,T_StockCount[WeekIndex],9)&gt;0,SUMIFS(T_StockCount[CountedQty],T_StockCount[RM_Code],$A25,T_StockCount[WeekIndex],9),IF((COUNTIFS(T_SelfStock[RM_Code],$A25,T_SelfStock[WeekIndex],9)&gt;0)*(COUNTIFS(T_TTAFStock[RM_Code],$A25,T_TTAFStock[WeekIndex],9)&gt;0)&gt;0,SUMIFS(T_SelfStock[Self_Qty],T_SelfStock[RM_Code],$A25,T_SelfStock[WeekIndex],9)+SUMIFS(T_TTAFStock[TTAF_Qty],T_TTAFStock[RM_Code],$A25,T_TTAFStock[WeekIndex],9),I25+'Grid_Incoming'!J25-'Grid_Requirement'!J25))</f>
        <v/>
      </c>
      <c r="K25">
        <f>IF(COUNTIFS(T_StockCount[RM_Code],$A25,T_StockCount[WeekIndex],10)&gt;0,SUMIFS(T_StockCount[CountedQty],T_StockCount[RM_Code],$A25,T_StockCount[WeekIndex],10),IF((COUNTIFS(T_SelfStock[RM_Code],$A25,T_SelfStock[WeekIndex],10)&gt;0)*(COUNTIFS(T_TTAFStock[RM_Code],$A25,T_TTAFStock[WeekIndex],10)&gt;0)&gt;0,SUMIFS(T_SelfStock[Self_Qty],T_SelfStock[RM_Code],$A25,T_SelfStock[WeekIndex],10)+SUMIFS(T_TTAFStock[TTAF_Qty],T_TTAFStock[RM_Code],$A25,T_TTAFStock[WeekIndex],10),J25+'Grid_Incoming'!K25-'Grid_Requirement'!K25))</f>
        <v/>
      </c>
      <c r="L25">
        <f>IF(COUNTIFS(T_StockCount[RM_Code],$A25,T_StockCount[WeekIndex],11)&gt;0,SUMIFS(T_StockCount[CountedQty],T_StockCount[RM_Code],$A25,T_StockCount[WeekIndex],11),IF((COUNTIFS(T_SelfStock[RM_Code],$A25,T_SelfStock[WeekIndex],11)&gt;0)*(COUNTIFS(T_TTAFStock[RM_Code],$A25,T_TTAFStock[WeekIndex],11)&gt;0)&gt;0,SUMIFS(T_SelfStock[Self_Qty],T_SelfStock[RM_Code],$A25,T_SelfStock[WeekIndex],11)+SUMIFS(T_TTAFStock[TTAF_Qty],T_TTAFStock[RM_Code],$A25,T_TTAFStock[WeekIndex],11),K25+'Grid_Incoming'!L25-'Grid_Requirement'!L25))</f>
        <v/>
      </c>
      <c r="M25">
        <f>IF(COUNTIFS(T_StockCount[RM_Code],$A25,T_StockCount[WeekIndex],12)&gt;0,SUMIFS(T_StockCount[CountedQty],T_StockCount[RM_Code],$A25,T_StockCount[WeekIndex],12),IF((COUNTIFS(T_SelfStock[RM_Code],$A25,T_SelfStock[WeekIndex],12)&gt;0)*(COUNTIFS(T_TTAFStock[RM_Code],$A25,T_TTAFStock[WeekIndex],12)&gt;0)&gt;0,SUMIFS(T_SelfStock[Self_Qty],T_SelfStock[RM_Code],$A25,T_SelfStock[WeekIndex],12)+SUMIFS(T_TTAFStock[TTAF_Qty],T_TTAFStock[RM_Code],$A25,T_TTAFStock[WeekIndex],12),L25+'Grid_Incoming'!M25-'Grid_Requirement'!M25))</f>
        <v/>
      </c>
      <c r="N25">
        <f>IF(COUNTIFS(T_StockCount[RM_Code],$A25,T_StockCount[WeekIndex],13)&gt;0,SUMIFS(T_StockCount[CountedQty],T_StockCount[RM_Code],$A25,T_StockCount[WeekIndex],13),IF((COUNTIFS(T_SelfStock[RM_Code],$A25,T_SelfStock[WeekIndex],13)&gt;0)*(COUNTIFS(T_TTAFStock[RM_Code],$A25,T_TTAFStock[WeekIndex],13)&gt;0)&gt;0,SUMIFS(T_SelfStock[Self_Qty],T_SelfStock[RM_Code],$A25,T_SelfStock[WeekIndex],13)+SUMIFS(T_TTAFStock[TTAF_Qty],T_TTAFStock[RM_Code],$A25,T_TTAFStock[WeekIndex],13),M25+'Grid_Incoming'!N25-'Grid_Requirement'!N25))</f>
        <v/>
      </c>
      <c r="O25">
        <f>IF(COUNTIFS(T_StockCount[RM_Code],$A25,T_StockCount[WeekIndex],14)&gt;0,SUMIFS(T_StockCount[CountedQty],T_StockCount[RM_Code],$A25,T_StockCount[WeekIndex],14),IF((COUNTIFS(T_SelfStock[RM_Code],$A25,T_SelfStock[WeekIndex],14)&gt;0)*(COUNTIFS(T_TTAFStock[RM_Code],$A25,T_TTAFStock[WeekIndex],14)&gt;0)&gt;0,SUMIFS(T_SelfStock[Self_Qty],T_SelfStock[RM_Code],$A25,T_SelfStock[WeekIndex],14)+SUMIFS(T_TTAFStock[TTAF_Qty],T_TTAFStock[RM_Code],$A25,T_TTAFStock[WeekIndex],14),N25+'Grid_Incoming'!O25-'Grid_Requirement'!O25))</f>
        <v/>
      </c>
      <c r="P25">
        <f>IF(COUNTIFS(T_StockCount[RM_Code],$A25,T_StockCount[WeekIndex],15)&gt;0,SUMIFS(T_StockCount[CountedQty],T_StockCount[RM_Code],$A25,T_StockCount[WeekIndex],15),IF((COUNTIFS(T_SelfStock[RM_Code],$A25,T_SelfStock[WeekIndex],15)&gt;0)*(COUNTIFS(T_TTAFStock[RM_Code],$A25,T_TTAFStock[WeekIndex],15)&gt;0)&gt;0,SUMIFS(T_SelfStock[Self_Qty],T_SelfStock[RM_Code],$A25,T_SelfStock[WeekIndex],15)+SUMIFS(T_TTAFStock[TTAF_Qty],T_TTAFStock[RM_Code],$A25,T_TTAFStock[WeekIndex],15),O25+'Grid_Incoming'!P25-'Grid_Requirement'!P25))</f>
        <v/>
      </c>
      <c r="Q25">
        <f>IF(COUNTIFS(T_StockCount[RM_Code],$A25,T_StockCount[WeekIndex],16)&gt;0,SUMIFS(T_StockCount[CountedQty],T_StockCount[RM_Code],$A25,T_StockCount[WeekIndex],16),IF((COUNTIFS(T_SelfStock[RM_Code],$A25,T_SelfStock[WeekIndex],16)&gt;0)*(COUNTIFS(T_TTAFStock[RM_Code],$A25,T_TTAFStock[WeekIndex],16)&gt;0)&gt;0,SUMIFS(T_SelfStock[Self_Qty],T_SelfStock[RM_Code],$A25,T_SelfStock[WeekIndex],16)+SUMIFS(T_TTAFStock[TTAF_Qty],T_TTAFStock[RM_Code],$A25,T_TTAFStock[WeekIndex],16),P25+'Grid_Incoming'!Q25-'Grid_Requirement'!Q25))</f>
        <v/>
      </c>
      <c r="R25">
        <f>IF(COUNTIFS(T_StockCount[RM_Code],$A25,T_StockCount[WeekIndex],17)&gt;0,SUMIFS(T_StockCount[CountedQty],T_StockCount[RM_Code],$A25,T_StockCount[WeekIndex],17),IF((COUNTIFS(T_SelfStock[RM_Code],$A25,T_SelfStock[WeekIndex],17)&gt;0)*(COUNTIFS(T_TTAFStock[RM_Code],$A25,T_TTAFStock[WeekIndex],17)&gt;0)&gt;0,SUMIFS(T_SelfStock[Self_Qty],T_SelfStock[RM_Code],$A25,T_SelfStock[WeekIndex],17)+SUMIFS(T_TTAFStock[TTAF_Qty],T_TTAFStock[RM_Code],$A25,T_TTAFStock[WeekIndex],17),Q25+'Grid_Incoming'!R25-'Grid_Requirement'!R25))</f>
        <v/>
      </c>
      <c r="S25">
        <f>IF(COUNTIFS(T_StockCount[RM_Code],$A25,T_StockCount[WeekIndex],18)&gt;0,SUMIFS(T_StockCount[CountedQty],T_StockCount[RM_Code],$A25,T_StockCount[WeekIndex],18),IF((COUNTIFS(T_SelfStock[RM_Code],$A25,T_SelfStock[WeekIndex],18)&gt;0)*(COUNTIFS(T_TTAFStock[RM_Code],$A25,T_TTAFStock[WeekIndex],18)&gt;0)&gt;0,SUMIFS(T_SelfStock[Self_Qty],T_SelfStock[RM_Code],$A25,T_SelfStock[WeekIndex],18)+SUMIFS(T_TTAFStock[TTAF_Qty],T_TTAFStock[RM_Code],$A25,T_TTAFStock[WeekIndex],18),R25+'Grid_Incoming'!S25-'Grid_Requirement'!S25))</f>
        <v/>
      </c>
      <c r="T25">
        <f>IF(COUNTIFS(T_StockCount[RM_Code],$A25,T_StockCount[WeekIndex],19)&gt;0,SUMIFS(T_StockCount[CountedQty],T_StockCount[RM_Code],$A25,T_StockCount[WeekIndex],19),IF((COUNTIFS(T_SelfStock[RM_Code],$A25,T_SelfStock[WeekIndex],19)&gt;0)*(COUNTIFS(T_TTAFStock[RM_Code],$A25,T_TTAFStock[WeekIndex],19)&gt;0)&gt;0,SUMIFS(T_SelfStock[Self_Qty],T_SelfStock[RM_Code],$A25,T_SelfStock[WeekIndex],19)+SUMIFS(T_TTAFStock[TTAF_Qty],T_TTAFStock[RM_Code],$A25,T_TTAFStock[WeekIndex],19),S25+'Grid_Incoming'!T25-'Grid_Requirement'!T25))</f>
        <v/>
      </c>
      <c r="U25">
        <f>IF(COUNTIFS(T_StockCount[RM_Code],$A25,T_StockCount[WeekIndex],20)&gt;0,SUMIFS(T_StockCount[CountedQty],T_StockCount[RM_Code],$A25,T_StockCount[WeekIndex],20),IF((COUNTIFS(T_SelfStock[RM_Code],$A25,T_SelfStock[WeekIndex],20)&gt;0)*(COUNTIFS(T_TTAFStock[RM_Code],$A25,T_TTAFStock[WeekIndex],20)&gt;0)&gt;0,SUMIFS(T_SelfStock[Self_Qty],T_SelfStock[RM_Code],$A25,T_SelfStock[WeekIndex],20)+SUMIFS(T_TTAFStock[TTAF_Qty],T_TTAFStock[RM_Code],$A25,T_TTAFStock[WeekIndex],20),T25+'Grid_Incoming'!U25-'Grid_Requirement'!U25))</f>
        <v/>
      </c>
      <c r="V25">
        <f>IF(COUNTIFS(T_StockCount[RM_Code],$A25,T_StockCount[WeekIndex],21)&gt;0,SUMIFS(T_StockCount[CountedQty],T_StockCount[RM_Code],$A25,T_StockCount[WeekIndex],21),IF((COUNTIFS(T_SelfStock[RM_Code],$A25,T_SelfStock[WeekIndex],21)&gt;0)*(COUNTIFS(T_TTAFStock[RM_Code],$A25,T_TTAFStock[WeekIndex],21)&gt;0)&gt;0,SUMIFS(T_SelfStock[Self_Qty],T_SelfStock[RM_Code],$A25,T_SelfStock[WeekIndex],21)+SUMIFS(T_TTAFStock[TTAF_Qty],T_TTAFStock[RM_Code],$A25,T_TTAFStock[WeekIndex],21),U25+'Grid_Incoming'!V25-'Grid_Requirement'!V25))</f>
        <v/>
      </c>
      <c r="W25">
        <f>IF(COUNTIFS(T_StockCount[RM_Code],$A25,T_StockCount[WeekIndex],22)&gt;0,SUMIFS(T_StockCount[CountedQty],T_StockCount[RM_Code],$A25,T_StockCount[WeekIndex],22),IF((COUNTIFS(T_SelfStock[RM_Code],$A25,T_SelfStock[WeekIndex],22)&gt;0)*(COUNTIFS(T_TTAFStock[RM_Code],$A25,T_TTAFStock[WeekIndex],22)&gt;0)&gt;0,SUMIFS(T_SelfStock[Self_Qty],T_SelfStock[RM_Code],$A25,T_SelfStock[WeekIndex],22)+SUMIFS(T_TTAFStock[TTAF_Qty],T_TTAFStock[RM_Code],$A25,T_TTAFStock[WeekIndex],22),V25+'Grid_Incoming'!W25-'Grid_Requirement'!W25))</f>
        <v/>
      </c>
      <c r="X25">
        <f>IF(COUNTIFS(T_StockCount[RM_Code],$A25,T_StockCount[WeekIndex],23)&gt;0,SUMIFS(T_StockCount[CountedQty],T_StockCount[RM_Code],$A25,T_StockCount[WeekIndex],23),IF((COUNTIFS(T_SelfStock[RM_Code],$A25,T_SelfStock[WeekIndex],23)&gt;0)*(COUNTIFS(T_TTAFStock[RM_Code],$A25,T_TTAFStock[WeekIndex],23)&gt;0)&gt;0,SUMIFS(T_SelfStock[Self_Qty],T_SelfStock[RM_Code],$A25,T_SelfStock[WeekIndex],23)+SUMIFS(T_TTAFStock[TTAF_Qty],T_TTAFStock[RM_Code],$A25,T_TTAFStock[WeekIndex],23),W25+'Grid_Incoming'!X25-'Grid_Requirement'!X25))</f>
        <v/>
      </c>
      <c r="Y25">
        <f>IF(COUNTIFS(T_StockCount[RM_Code],$A25,T_StockCount[WeekIndex],24)&gt;0,SUMIFS(T_StockCount[CountedQty],T_StockCount[RM_Code],$A25,T_StockCount[WeekIndex],24),IF((COUNTIFS(T_SelfStock[RM_Code],$A25,T_SelfStock[WeekIndex],24)&gt;0)*(COUNTIFS(T_TTAFStock[RM_Code],$A25,T_TTAFStock[WeekIndex],24)&gt;0)&gt;0,SUMIFS(T_SelfStock[Self_Qty],T_SelfStock[RM_Code],$A25,T_SelfStock[WeekIndex],24)+SUMIFS(T_TTAFStock[TTAF_Qty],T_TTAFStock[RM_Code],$A25,T_TTAFStock[WeekIndex],24),X25+'Grid_Incoming'!Y25-'Grid_Requirement'!Y25))</f>
        <v/>
      </c>
      <c r="Z25">
        <f>IF(COUNTIFS(T_StockCount[RM_Code],$A25,T_StockCount[WeekIndex],25)&gt;0,SUMIFS(T_StockCount[CountedQty],T_StockCount[RM_Code],$A25,T_StockCount[WeekIndex],25),IF((COUNTIFS(T_SelfStock[RM_Code],$A25,T_SelfStock[WeekIndex],25)&gt;0)*(COUNTIFS(T_TTAFStock[RM_Code],$A25,T_TTAFStock[WeekIndex],25)&gt;0)&gt;0,SUMIFS(T_SelfStock[Self_Qty],T_SelfStock[RM_Code],$A25,T_SelfStock[WeekIndex],25)+SUMIFS(T_TTAFStock[TTAF_Qty],T_TTAFStock[RM_Code],$A25,T_TTAFStock[WeekIndex],25),Y25+'Grid_Incoming'!Z25-'Grid_Requirement'!Z25))</f>
        <v/>
      </c>
      <c r="AA25">
        <f>IF(COUNTIFS(T_StockCount[RM_Code],$A25,T_StockCount[WeekIndex],26)&gt;0,SUMIFS(T_StockCount[CountedQty],T_StockCount[RM_Code],$A25,T_StockCount[WeekIndex],26),IF((COUNTIFS(T_SelfStock[RM_Code],$A25,T_SelfStock[WeekIndex],26)&gt;0)*(COUNTIFS(T_TTAFStock[RM_Code],$A25,T_TTAFStock[WeekIndex],26)&gt;0)&gt;0,SUMIFS(T_SelfStock[Self_Qty],T_SelfStock[RM_Code],$A25,T_SelfStock[WeekIndex],26)+SUMIFS(T_TTAFStock[TTAF_Qty],T_TTAFStock[RM_Code],$A25,T_TTAFStock[WeekIndex],26),Z25+'Grid_Incoming'!AA25-'Grid_Requirement'!AA25))</f>
        <v/>
      </c>
      <c r="AB25">
        <f>IF(COUNTIFS(T_StockCount[RM_Code],$A25,T_StockCount[WeekIndex],27)&gt;0,SUMIFS(T_StockCount[CountedQty],T_StockCount[RM_Code],$A25,T_StockCount[WeekIndex],27),IF((COUNTIFS(T_SelfStock[RM_Code],$A25,T_SelfStock[WeekIndex],27)&gt;0)*(COUNTIFS(T_TTAFStock[RM_Code],$A25,T_TTAFStock[WeekIndex],27)&gt;0)&gt;0,SUMIFS(T_SelfStock[Self_Qty],T_SelfStock[RM_Code],$A25,T_SelfStock[WeekIndex],27)+SUMIFS(T_TTAFStock[TTAF_Qty],T_TTAFStock[RM_Code],$A25,T_TTAFStock[WeekIndex],27),AA25+'Grid_Incoming'!AB25-'Grid_Requirement'!AB25))</f>
        <v/>
      </c>
      <c r="AC25">
        <f>IF(COUNTIFS(T_StockCount[RM_Code],$A25,T_StockCount[WeekIndex],28)&gt;0,SUMIFS(T_StockCount[CountedQty],T_StockCount[RM_Code],$A25,T_StockCount[WeekIndex],28),IF((COUNTIFS(T_SelfStock[RM_Code],$A25,T_SelfStock[WeekIndex],28)&gt;0)*(COUNTIFS(T_TTAFStock[RM_Code],$A25,T_TTAFStock[WeekIndex],28)&gt;0)&gt;0,SUMIFS(T_SelfStock[Self_Qty],T_SelfStock[RM_Code],$A25,T_SelfStock[WeekIndex],28)+SUMIFS(T_TTAFStock[TTAF_Qty],T_TTAFStock[RM_Code],$A25,T_TTAFStock[WeekIndex],28),AB25+'Grid_Incoming'!AC25-'Grid_Requirement'!AC25))</f>
        <v/>
      </c>
      <c r="AD25">
        <f>IF(COUNTIFS(T_StockCount[RM_Code],$A25,T_StockCount[WeekIndex],29)&gt;0,SUMIFS(T_StockCount[CountedQty],T_StockCount[RM_Code],$A25,T_StockCount[WeekIndex],29),IF((COUNTIFS(T_SelfStock[RM_Code],$A25,T_SelfStock[WeekIndex],29)&gt;0)*(COUNTIFS(T_TTAFStock[RM_Code],$A25,T_TTAFStock[WeekIndex],29)&gt;0)&gt;0,SUMIFS(T_SelfStock[Self_Qty],T_SelfStock[RM_Code],$A25,T_SelfStock[WeekIndex],29)+SUMIFS(T_TTAFStock[TTAF_Qty],T_TTAFStock[RM_Code],$A25,T_TTAFStock[WeekIndex],29),AC25+'Grid_Incoming'!AD25-'Grid_Requirement'!AD25))</f>
        <v/>
      </c>
      <c r="AE25">
        <f>IF(COUNTIFS(T_StockCount[RM_Code],$A25,T_StockCount[WeekIndex],30)&gt;0,SUMIFS(T_StockCount[CountedQty],T_StockCount[RM_Code],$A25,T_StockCount[WeekIndex],30),IF((COUNTIFS(T_SelfStock[RM_Code],$A25,T_SelfStock[WeekIndex],30)&gt;0)*(COUNTIFS(T_TTAFStock[RM_Code],$A25,T_TTAFStock[WeekIndex],30)&gt;0)&gt;0,SUMIFS(T_SelfStock[Self_Qty],T_SelfStock[RM_Code],$A25,T_SelfStock[WeekIndex],30)+SUMIFS(T_TTAFStock[TTAF_Qty],T_TTAFStock[RM_Code],$A25,T_TTAFStock[WeekIndex],30),AD25+'Grid_Incoming'!AE25-'Grid_Requirement'!AE25))</f>
        <v/>
      </c>
      <c r="AF25">
        <f>IF(COUNTIFS(T_StockCount[RM_Code],$A25,T_StockCount[WeekIndex],31)&gt;0,SUMIFS(T_StockCount[CountedQty],T_StockCount[RM_Code],$A25,T_StockCount[WeekIndex],31),IF((COUNTIFS(T_SelfStock[RM_Code],$A25,T_SelfStock[WeekIndex],31)&gt;0)*(COUNTIFS(T_TTAFStock[RM_Code],$A25,T_TTAFStock[WeekIndex],31)&gt;0)&gt;0,SUMIFS(T_SelfStock[Self_Qty],T_SelfStock[RM_Code],$A25,T_SelfStock[WeekIndex],31)+SUMIFS(T_TTAFStock[TTAF_Qty],T_TTAFStock[RM_Code],$A25,T_TTAFStock[WeekIndex],31),AE25+'Grid_Incoming'!AF25-'Grid_Requirement'!AF25))</f>
        <v/>
      </c>
      <c r="AG25">
        <f>IF(COUNTIFS(T_StockCount[RM_Code],$A25,T_StockCount[WeekIndex],32)&gt;0,SUMIFS(T_StockCount[CountedQty],T_StockCount[RM_Code],$A25,T_StockCount[WeekIndex],32),IF((COUNTIFS(T_SelfStock[RM_Code],$A25,T_SelfStock[WeekIndex],32)&gt;0)*(COUNTIFS(T_TTAFStock[RM_Code],$A25,T_TTAFStock[WeekIndex],32)&gt;0)&gt;0,SUMIFS(T_SelfStock[Self_Qty],T_SelfStock[RM_Code],$A25,T_SelfStock[WeekIndex],32)+SUMIFS(T_TTAFStock[TTAF_Qty],T_TTAFStock[RM_Code],$A25,T_TTAFStock[WeekIndex],32),AF25+'Grid_Incoming'!AG25-'Grid_Requirement'!AG25))</f>
        <v/>
      </c>
      <c r="AH25">
        <f>IF(COUNTIFS(T_StockCount[RM_Code],$A25,T_StockCount[WeekIndex],33)&gt;0,SUMIFS(T_StockCount[CountedQty],T_StockCount[RM_Code],$A25,T_StockCount[WeekIndex],33),IF((COUNTIFS(T_SelfStock[RM_Code],$A25,T_SelfStock[WeekIndex],33)&gt;0)*(COUNTIFS(T_TTAFStock[RM_Code],$A25,T_TTAFStock[WeekIndex],33)&gt;0)&gt;0,SUMIFS(T_SelfStock[Self_Qty],T_SelfStock[RM_Code],$A25,T_SelfStock[WeekIndex],33)+SUMIFS(T_TTAFStock[TTAF_Qty],T_TTAFStock[RM_Code],$A25,T_TTAFStock[WeekIndex],33),AG25+'Grid_Incoming'!AH25-'Grid_Requirement'!AH25))</f>
        <v/>
      </c>
      <c r="AI25">
        <f>IF(COUNTIFS(T_StockCount[RM_Code],$A25,T_StockCount[WeekIndex],34)&gt;0,SUMIFS(T_StockCount[CountedQty],T_StockCount[RM_Code],$A25,T_StockCount[WeekIndex],34),IF((COUNTIFS(T_SelfStock[RM_Code],$A25,T_SelfStock[WeekIndex],34)&gt;0)*(COUNTIFS(T_TTAFStock[RM_Code],$A25,T_TTAFStock[WeekIndex],34)&gt;0)&gt;0,SUMIFS(T_SelfStock[Self_Qty],T_SelfStock[RM_Code],$A25,T_SelfStock[WeekIndex],34)+SUMIFS(T_TTAFStock[TTAF_Qty],T_TTAFStock[RM_Code],$A25,T_TTAFStock[WeekIndex],34),AH25+'Grid_Incoming'!AI25-'Grid_Requirement'!AI25))</f>
        <v/>
      </c>
      <c r="AJ25">
        <f>IF(COUNTIFS(T_StockCount[RM_Code],$A25,T_StockCount[WeekIndex],35)&gt;0,SUMIFS(T_StockCount[CountedQty],T_StockCount[RM_Code],$A25,T_StockCount[WeekIndex],35),IF((COUNTIFS(T_SelfStock[RM_Code],$A25,T_SelfStock[WeekIndex],35)&gt;0)*(COUNTIFS(T_TTAFStock[RM_Code],$A25,T_TTAFStock[WeekIndex],35)&gt;0)&gt;0,SUMIFS(T_SelfStock[Self_Qty],T_SelfStock[RM_Code],$A25,T_SelfStock[WeekIndex],35)+SUMIFS(T_TTAFStock[TTAF_Qty],T_TTAFStock[RM_Code],$A25,T_TTAFStock[WeekIndex],35),AI25+'Grid_Incoming'!AJ25-'Grid_Requirement'!AJ25))</f>
        <v/>
      </c>
      <c r="AK25">
        <f>IF(COUNTIFS(T_StockCount[RM_Code],$A25,T_StockCount[WeekIndex],36)&gt;0,SUMIFS(T_StockCount[CountedQty],T_StockCount[RM_Code],$A25,T_StockCount[WeekIndex],36),IF((COUNTIFS(T_SelfStock[RM_Code],$A25,T_SelfStock[WeekIndex],36)&gt;0)*(COUNTIFS(T_TTAFStock[RM_Code],$A25,T_TTAFStock[WeekIndex],36)&gt;0)&gt;0,SUMIFS(T_SelfStock[Self_Qty],T_SelfStock[RM_Code],$A25,T_SelfStock[WeekIndex],36)+SUMIFS(T_TTAFStock[TTAF_Qty],T_TTAFStock[RM_Code],$A25,T_TTAFStock[WeekIndex],36),AJ25+'Grid_Incoming'!AK25-'Grid_Requirement'!AK25))</f>
        <v/>
      </c>
      <c r="AL25">
        <f>IF(COUNTIFS(T_StockCount[RM_Code],$A25,T_StockCount[WeekIndex],37)&gt;0,SUMIFS(T_StockCount[CountedQty],T_StockCount[RM_Code],$A25,T_StockCount[WeekIndex],37),IF((COUNTIFS(T_SelfStock[RM_Code],$A25,T_SelfStock[WeekIndex],37)&gt;0)*(COUNTIFS(T_TTAFStock[RM_Code],$A25,T_TTAFStock[WeekIndex],37)&gt;0)&gt;0,SUMIFS(T_SelfStock[Self_Qty],T_SelfStock[RM_Code],$A25,T_SelfStock[WeekIndex],37)+SUMIFS(T_TTAFStock[TTAF_Qty],T_TTAFStock[RM_Code],$A25,T_TTAFStock[WeekIndex],37),AK25+'Grid_Incoming'!AL25-'Grid_Requirement'!AL25))</f>
        <v/>
      </c>
      <c r="AM25">
        <f>IF(COUNTIFS(T_StockCount[RM_Code],$A25,T_StockCount[WeekIndex],38)&gt;0,SUMIFS(T_StockCount[CountedQty],T_StockCount[RM_Code],$A25,T_StockCount[WeekIndex],38),IF((COUNTIFS(T_SelfStock[RM_Code],$A25,T_SelfStock[WeekIndex],38)&gt;0)*(COUNTIFS(T_TTAFStock[RM_Code],$A25,T_TTAFStock[WeekIndex],38)&gt;0)&gt;0,SUMIFS(T_SelfStock[Self_Qty],T_SelfStock[RM_Code],$A25,T_SelfStock[WeekIndex],38)+SUMIFS(T_TTAFStock[TTAF_Qty],T_TTAFStock[RM_Code],$A25,T_TTAFStock[WeekIndex],38),AL25+'Grid_Incoming'!AM25-'Grid_Requirement'!AM25))</f>
        <v/>
      </c>
      <c r="AN25">
        <f>IF(COUNTIFS(T_StockCount[RM_Code],$A25,T_StockCount[WeekIndex],39)&gt;0,SUMIFS(T_StockCount[CountedQty],T_StockCount[RM_Code],$A25,T_StockCount[WeekIndex],39),IF((COUNTIFS(T_SelfStock[RM_Code],$A25,T_SelfStock[WeekIndex],39)&gt;0)*(COUNTIFS(T_TTAFStock[RM_Code],$A25,T_TTAFStock[WeekIndex],39)&gt;0)&gt;0,SUMIFS(T_SelfStock[Self_Qty],T_SelfStock[RM_Code],$A25,T_SelfStock[WeekIndex],39)+SUMIFS(T_TTAFStock[TTAF_Qty],T_TTAFStock[RM_Code],$A25,T_TTAFStock[WeekIndex],39),AM25+'Grid_Incoming'!AN25-'Grid_Requirement'!AN25))</f>
        <v/>
      </c>
      <c r="AO25">
        <f>IF(COUNTIFS(T_StockCount[RM_Code],$A25,T_StockCount[WeekIndex],40)&gt;0,SUMIFS(T_StockCount[CountedQty],T_StockCount[RM_Code],$A25,T_StockCount[WeekIndex],40),IF((COUNTIFS(T_SelfStock[RM_Code],$A25,T_SelfStock[WeekIndex],40)&gt;0)*(COUNTIFS(T_TTAFStock[RM_Code],$A25,T_TTAFStock[WeekIndex],40)&gt;0)&gt;0,SUMIFS(T_SelfStock[Self_Qty],T_SelfStock[RM_Code],$A25,T_SelfStock[WeekIndex],40)+SUMIFS(T_TTAFStock[TTAF_Qty],T_TTAFStock[RM_Code],$A25,T_TTAFStock[WeekIndex],40),AN25+'Grid_Incoming'!AO25-'Grid_Requirement'!AO25))</f>
        <v/>
      </c>
      <c r="AP25">
        <f>IF(COUNTIFS(T_StockCount[RM_Code],$A25,T_StockCount[WeekIndex],41)&gt;0,SUMIFS(T_StockCount[CountedQty],T_StockCount[RM_Code],$A25,T_StockCount[WeekIndex],41),IF((COUNTIFS(T_SelfStock[RM_Code],$A25,T_SelfStock[WeekIndex],41)&gt;0)*(COUNTIFS(T_TTAFStock[RM_Code],$A25,T_TTAFStock[WeekIndex],41)&gt;0)&gt;0,SUMIFS(T_SelfStock[Self_Qty],T_SelfStock[RM_Code],$A25,T_SelfStock[WeekIndex],41)+SUMIFS(T_TTAFStock[TTAF_Qty],T_TTAFStock[RM_Code],$A25,T_TTAFStock[WeekIndex],41),AO25+'Grid_Incoming'!AP25-'Grid_Requirement'!AP25))</f>
        <v/>
      </c>
      <c r="AQ25">
        <f>IF(COUNTIFS(T_StockCount[RM_Code],$A25,T_StockCount[WeekIndex],42)&gt;0,SUMIFS(T_StockCount[CountedQty],T_StockCount[RM_Code],$A25,T_StockCount[WeekIndex],42),IF((COUNTIFS(T_SelfStock[RM_Code],$A25,T_SelfStock[WeekIndex],42)&gt;0)*(COUNTIFS(T_TTAFStock[RM_Code],$A25,T_TTAFStock[WeekIndex],42)&gt;0)&gt;0,SUMIFS(T_SelfStock[Self_Qty],T_SelfStock[RM_Code],$A25,T_SelfStock[WeekIndex],42)+SUMIFS(T_TTAFStock[TTAF_Qty],T_TTAFStock[RM_Code],$A25,T_TTAFStock[WeekIndex],42),AP25+'Grid_Incoming'!AQ25-'Grid_Requirement'!AQ25))</f>
        <v/>
      </c>
      <c r="AR25">
        <f>IF(COUNTIFS(T_StockCount[RM_Code],$A25,T_StockCount[WeekIndex],43)&gt;0,SUMIFS(T_StockCount[CountedQty],T_StockCount[RM_Code],$A25,T_StockCount[WeekIndex],43),IF((COUNTIFS(T_SelfStock[RM_Code],$A25,T_SelfStock[WeekIndex],43)&gt;0)*(COUNTIFS(T_TTAFStock[RM_Code],$A25,T_TTAFStock[WeekIndex],43)&gt;0)&gt;0,SUMIFS(T_SelfStock[Self_Qty],T_SelfStock[RM_Code],$A25,T_SelfStock[WeekIndex],43)+SUMIFS(T_TTAFStock[TTAF_Qty],T_TTAFStock[RM_Code],$A25,T_TTAFStock[WeekIndex],43),AQ25+'Grid_Incoming'!AR25-'Grid_Requirement'!AR25))</f>
        <v/>
      </c>
      <c r="AS25">
        <f>IF(COUNTIFS(T_StockCount[RM_Code],$A25,T_StockCount[WeekIndex],44)&gt;0,SUMIFS(T_StockCount[CountedQty],T_StockCount[RM_Code],$A25,T_StockCount[WeekIndex],44),IF((COUNTIFS(T_SelfStock[RM_Code],$A25,T_SelfStock[WeekIndex],44)&gt;0)*(COUNTIFS(T_TTAFStock[RM_Code],$A25,T_TTAFStock[WeekIndex],44)&gt;0)&gt;0,SUMIFS(T_SelfStock[Self_Qty],T_SelfStock[RM_Code],$A25,T_SelfStock[WeekIndex],44)+SUMIFS(T_TTAFStock[TTAF_Qty],T_TTAFStock[RM_Code],$A25,T_TTAFStock[WeekIndex],44),AR25+'Grid_Incoming'!AS25-'Grid_Requirement'!AS25))</f>
        <v/>
      </c>
      <c r="AT25">
        <f>IF(COUNTIFS(T_StockCount[RM_Code],$A25,T_StockCount[WeekIndex],45)&gt;0,SUMIFS(T_StockCount[CountedQty],T_StockCount[RM_Code],$A25,T_StockCount[WeekIndex],45),IF((COUNTIFS(T_SelfStock[RM_Code],$A25,T_SelfStock[WeekIndex],45)&gt;0)*(COUNTIFS(T_TTAFStock[RM_Code],$A25,T_TTAFStock[WeekIndex],45)&gt;0)&gt;0,SUMIFS(T_SelfStock[Self_Qty],T_SelfStock[RM_Code],$A25,T_SelfStock[WeekIndex],45)+SUMIFS(T_TTAFStock[TTAF_Qty],T_TTAFStock[RM_Code],$A25,T_TTAFStock[WeekIndex],45),AS25+'Grid_Incoming'!AT25-'Grid_Requirement'!AT25))</f>
        <v/>
      </c>
      <c r="AU25">
        <f>IF(COUNTIFS(T_StockCount[RM_Code],$A25,T_StockCount[WeekIndex],46)&gt;0,SUMIFS(T_StockCount[CountedQty],T_StockCount[RM_Code],$A25,T_StockCount[WeekIndex],46),IF((COUNTIFS(T_SelfStock[RM_Code],$A25,T_SelfStock[WeekIndex],46)&gt;0)*(COUNTIFS(T_TTAFStock[RM_Code],$A25,T_TTAFStock[WeekIndex],46)&gt;0)&gt;0,SUMIFS(T_SelfStock[Self_Qty],T_SelfStock[RM_Code],$A25,T_SelfStock[WeekIndex],46)+SUMIFS(T_TTAFStock[TTAF_Qty],T_TTAFStock[RM_Code],$A25,T_TTAFStock[WeekIndex],46),AT25+'Grid_Incoming'!AU25-'Grid_Requirement'!AU25))</f>
        <v/>
      </c>
      <c r="AV25">
        <f>IF(COUNTIFS(T_StockCount[RM_Code],$A25,T_StockCount[WeekIndex],47)&gt;0,SUMIFS(T_StockCount[CountedQty],T_StockCount[RM_Code],$A25,T_StockCount[WeekIndex],47),IF((COUNTIFS(T_SelfStock[RM_Code],$A25,T_SelfStock[WeekIndex],47)&gt;0)*(COUNTIFS(T_TTAFStock[RM_Code],$A25,T_TTAFStock[WeekIndex],47)&gt;0)&gt;0,SUMIFS(T_SelfStock[Self_Qty],T_SelfStock[RM_Code],$A25,T_SelfStock[WeekIndex],47)+SUMIFS(T_TTAFStock[TTAF_Qty],T_TTAFStock[RM_Code],$A25,T_TTAFStock[WeekIndex],47),AU25+'Grid_Incoming'!AV25-'Grid_Requirement'!AV25))</f>
        <v/>
      </c>
      <c r="AW25">
        <f>IF(COUNTIFS(T_StockCount[RM_Code],$A25,T_StockCount[WeekIndex],48)&gt;0,SUMIFS(T_StockCount[CountedQty],T_StockCount[RM_Code],$A25,T_StockCount[WeekIndex],48),IF((COUNTIFS(T_SelfStock[RM_Code],$A25,T_SelfStock[WeekIndex],48)&gt;0)*(COUNTIFS(T_TTAFStock[RM_Code],$A25,T_TTAFStock[WeekIndex],48)&gt;0)&gt;0,SUMIFS(T_SelfStock[Self_Qty],T_SelfStock[RM_Code],$A25,T_SelfStock[WeekIndex],48)+SUMIFS(T_TTAFStock[TTAF_Qty],T_TTAFStock[RM_Code],$A25,T_TTAFStock[WeekIndex],48),AV25+'Grid_Incoming'!AW25-'Grid_Requirement'!AW25))</f>
        <v/>
      </c>
      <c r="AX25">
        <f>IF(COUNTIFS(T_StockCount[RM_Code],$A25,T_StockCount[WeekIndex],49)&gt;0,SUMIFS(T_StockCount[CountedQty],T_StockCount[RM_Code],$A25,T_StockCount[WeekIndex],49),IF((COUNTIFS(T_SelfStock[RM_Code],$A25,T_SelfStock[WeekIndex],49)&gt;0)*(COUNTIFS(T_TTAFStock[RM_Code],$A25,T_TTAFStock[WeekIndex],49)&gt;0)&gt;0,SUMIFS(T_SelfStock[Self_Qty],T_SelfStock[RM_Code],$A25,T_SelfStock[WeekIndex],49)+SUMIFS(T_TTAFStock[TTAF_Qty],T_TTAFStock[RM_Code],$A25,T_TTAFStock[WeekIndex],49),AW25+'Grid_Incoming'!AX25-'Grid_Requirement'!AX25))</f>
        <v/>
      </c>
      <c r="AY25">
        <f>IF(COUNTIFS(T_StockCount[RM_Code],$A25,T_StockCount[WeekIndex],50)&gt;0,SUMIFS(T_StockCount[CountedQty],T_StockCount[RM_Code],$A25,T_StockCount[WeekIndex],50),IF((COUNTIFS(T_SelfStock[RM_Code],$A25,T_SelfStock[WeekIndex],50)&gt;0)*(COUNTIFS(T_TTAFStock[RM_Code],$A25,T_TTAFStock[WeekIndex],50)&gt;0)&gt;0,SUMIFS(T_SelfStock[Self_Qty],T_SelfStock[RM_Code],$A25,T_SelfStock[WeekIndex],50)+SUMIFS(T_TTAFStock[TTAF_Qty],T_TTAFStock[RM_Code],$A25,T_TTAFStock[WeekIndex],50),AX25+'Grid_Incoming'!AY25-'Grid_Requirement'!AY25))</f>
        <v/>
      </c>
      <c r="AZ25">
        <f>IF(COUNTIFS(T_StockCount[RM_Code],$A25,T_StockCount[WeekIndex],51)&gt;0,SUMIFS(T_StockCount[CountedQty],T_StockCount[RM_Code],$A25,T_StockCount[WeekIndex],51),IF((COUNTIFS(T_SelfStock[RM_Code],$A25,T_SelfStock[WeekIndex],51)&gt;0)*(COUNTIFS(T_TTAFStock[RM_Code],$A25,T_TTAFStock[WeekIndex],51)&gt;0)&gt;0,SUMIFS(T_SelfStock[Self_Qty],T_SelfStock[RM_Code],$A25,T_SelfStock[WeekIndex],51)+SUMIFS(T_TTAFStock[TTAF_Qty],T_TTAFStock[RM_Code],$A25,T_TTAFStock[WeekIndex],51),AY25+'Grid_Incoming'!AZ25-'Grid_Requirement'!AZ25))</f>
        <v/>
      </c>
      <c r="BA25">
        <f>IF(COUNTIFS(T_StockCount[RM_Code],$A25,T_StockCount[WeekIndex],52)&gt;0,SUMIFS(T_StockCount[CountedQty],T_StockCount[RM_Code],$A25,T_StockCount[WeekIndex],52),IF((COUNTIFS(T_SelfStock[RM_Code],$A25,T_SelfStock[WeekIndex],52)&gt;0)*(COUNTIFS(T_TTAFStock[RM_Code],$A25,T_TTAFStock[WeekIndex],52)&gt;0)&gt;0,SUMIFS(T_SelfStock[Self_Qty],T_SelfStock[RM_Code],$A25,T_SelfStock[WeekIndex],52)+SUMIFS(T_TTAFStock[TTAF_Qty],T_TTAFStock[RM_Code],$A25,T_TTAFStock[WeekIndex],52),AZ25+'Grid_Incoming'!BA25-'Grid_Requirement'!BA25))</f>
        <v/>
      </c>
      <c r="BB25">
        <f>IF(COUNTIFS(T_StockCount[RM_Code],$A25,T_StockCount[WeekIndex],53)&gt;0,SUMIFS(T_StockCount[CountedQty],T_StockCount[RM_Code],$A25,T_StockCount[WeekIndex],53),IF((COUNTIFS(T_SelfStock[RM_Code],$A25,T_SelfStock[WeekIndex],53)&gt;0)*(COUNTIFS(T_TTAFStock[RM_Code],$A25,T_TTAFStock[WeekIndex],53)&gt;0)&gt;0,SUMIFS(T_SelfStock[Self_Qty],T_SelfStock[RM_Code],$A25,T_SelfStock[WeekIndex],53)+SUMIFS(T_TTAFStock[TTAF_Qty],T_TTAFStock[RM_Code],$A25,T_TTAFStock[WeekIndex],53),BA25+'Grid_Incoming'!BB25-'Grid_Requirement'!BB25))</f>
        <v/>
      </c>
      <c r="BC25">
        <f>IF(COUNTIFS(T_StockCount[RM_Code],$A25,T_StockCount[WeekIndex],54)&gt;0,SUMIFS(T_StockCount[CountedQty],T_StockCount[RM_Code],$A25,T_StockCount[WeekIndex],54),IF((COUNTIFS(T_SelfStock[RM_Code],$A25,T_SelfStock[WeekIndex],54)&gt;0)*(COUNTIFS(T_TTAFStock[RM_Code],$A25,T_TTAFStock[WeekIndex],54)&gt;0)&gt;0,SUMIFS(T_SelfStock[Self_Qty],T_SelfStock[RM_Code],$A25,T_SelfStock[WeekIndex],54)+SUMIFS(T_TTAFStock[TTAF_Qty],T_TTAFStock[RM_Code],$A25,T_TTAFStock[WeekIndex],54),BB25+'Grid_Incoming'!BC25-'Grid_Requirement'!BC25))</f>
        <v/>
      </c>
      <c r="BD25">
        <f>IF(COUNTIFS(T_StockCount[RM_Code],$A25,T_StockCount[WeekIndex],55)&gt;0,SUMIFS(T_StockCount[CountedQty],T_StockCount[RM_Code],$A25,T_StockCount[WeekIndex],55),IF((COUNTIFS(T_SelfStock[RM_Code],$A25,T_SelfStock[WeekIndex],55)&gt;0)*(COUNTIFS(T_TTAFStock[RM_Code],$A25,T_TTAFStock[WeekIndex],55)&gt;0)&gt;0,SUMIFS(T_SelfStock[Self_Qty],T_SelfStock[RM_Code],$A25,T_SelfStock[WeekIndex],55)+SUMIFS(T_TTAFStock[TTAF_Qty],T_TTAFStock[RM_Code],$A25,T_TTAFStock[WeekIndex],55),BC25+'Grid_Incoming'!BD25-'Grid_Requirement'!BD25))</f>
        <v/>
      </c>
      <c r="BE25">
        <f>IF(COUNTIFS(T_StockCount[RM_Code],$A25,T_StockCount[WeekIndex],56)&gt;0,SUMIFS(T_StockCount[CountedQty],T_StockCount[RM_Code],$A25,T_StockCount[WeekIndex],56),IF((COUNTIFS(T_SelfStock[RM_Code],$A25,T_SelfStock[WeekIndex],56)&gt;0)*(COUNTIFS(T_TTAFStock[RM_Code],$A25,T_TTAFStock[WeekIndex],56)&gt;0)&gt;0,SUMIFS(T_SelfStock[Self_Qty],T_SelfStock[RM_Code],$A25,T_SelfStock[WeekIndex],56)+SUMIFS(T_TTAFStock[TTAF_Qty],T_TTAFStock[RM_Code],$A25,T_TTAFStock[WeekIndex],56),BD25+'Grid_Incoming'!BE25-'Grid_Requirement'!BE25))</f>
        <v/>
      </c>
      <c r="BF25">
        <f>IF(COUNTIFS(T_StockCount[RM_Code],$A25,T_StockCount[WeekIndex],57)&gt;0,SUMIFS(T_StockCount[CountedQty],T_StockCount[RM_Code],$A25,T_StockCount[WeekIndex],57),IF((COUNTIFS(T_SelfStock[RM_Code],$A25,T_SelfStock[WeekIndex],57)&gt;0)*(COUNTIFS(T_TTAFStock[RM_Code],$A25,T_TTAFStock[WeekIndex],57)&gt;0)&gt;0,SUMIFS(T_SelfStock[Self_Qty],T_SelfStock[RM_Code],$A25,T_SelfStock[WeekIndex],57)+SUMIFS(T_TTAFStock[TTAF_Qty],T_TTAFStock[RM_Code],$A25,T_TTAFStock[WeekIndex],57),BE25+'Grid_Incoming'!BF25-'Grid_Requirement'!BF25))</f>
        <v/>
      </c>
      <c r="BG25">
        <f>IF(COUNTIFS(T_StockCount[RM_Code],$A25,T_StockCount[WeekIndex],58)&gt;0,SUMIFS(T_StockCount[CountedQty],T_StockCount[RM_Code],$A25,T_StockCount[WeekIndex],58),IF((COUNTIFS(T_SelfStock[RM_Code],$A25,T_SelfStock[WeekIndex],58)&gt;0)*(COUNTIFS(T_TTAFStock[RM_Code],$A25,T_TTAFStock[WeekIndex],58)&gt;0)&gt;0,SUMIFS(T_SelfStock[Self_Qty],T_SelfStock[RM_Code],$A25,T_SelfStock[WeekIndex],58)+SUMIFS(T_TTAFStock[TTAF_Qty],T_TTAFStock[RM_Code],$A25,T_TTAFStock[WeekIndex],58),BF25+'Grid_Incoming'!BG25-'Grid_Requirement'!BG25))</f>
        <v/>
      </c>
      <c r="BH25">
        <f>IF(COUNTIFS(T_StockCount[RM_Code],$A25,T_StockCount[WeekIndex],59)&gt;0,SUMIFS(T_StockCount[CountedQty],T_StockCount[RM_Code],$A25,T_StockCount[WeekIndex],59),IF((COUNTIFS(T_SelfStock[RM_Code],$A25,T_SelfStock[WeekIndex],59)&gt;0)*(COUNTIFS(T_TTAFStock[RM_Code],$A25,T_TTAFStock[WeekIndex],59)&gt;0)&gt;0,SUMIFS(T_SelfStock[Self_Qty],T_SelfStock[RM_Code],$A25,T_SelfStock[WeekIndex],59)+SUMIFS(T_TTAFStock[TTAF_Qty],T_TTAFStock[RM_Code],$A25,T_TTAFStock[WeekIndex],59),BG25+'Grid_Incoming'!BH25-'Grid_Requirement'!BH25))</f>
        <v/>
      </c>
      <c r="BI25">
        <f>IF(COUNTIFS(T_StockCount[RM_Code],$A25,T_StockCount[WeekIndex],60)&gt;0,SUMIFS(T_StockCount[CountedQty],T_StockCount[RM_Code],$A25,T_StockCount[WeekIndex],60),IF((COUNTIFS(T_SelfStock[RM_Code],$A25,T_SelfStock[WeekIndex],60)&gt;0)*(COUNTIFS(T_TTAFStock[RM_Code],$A25,T_TTAFStock[WeekIndex],60)&gt;0)&gt;0,SUMIFS(T_SelfStock[Self_Qty],T_SelfStock[RM_Code],$A25,T_SelfStock[WeekIndex],60)+SUMIFS(T_TTAFStock[TTAF_Qty],T_TTAFStock[RM_Code],$A25,T_TTAFStock[WeekIndex],60),BH25+'Grid_Incoming'!BI25-'Grid_Requirement'!BI25))</f>
        <v/>
      </c>
      <c r="BJ25">
        <f>IF(COUNTIFS(T_StockCount[RM_Code],$A25,T_StockCount[WeekIndex],61)&gt;0,SUMIFS(T_StockCount[CountedQty],T_StockCount[RM_Code],$A25,T_StockCount[WeekIndex],61),IF((COUNTIFS(T_SelfStock[RM_Code],$A25,T_SelfStock[WeekIndex],61)&gt;0)*(COUNTIFS(T_TTAFStock[RM_Code],$A25,T_TTAFStock[WeekIndex],61)&gt;0)&gt;0,SUMIFS(T_SelfStock[Self_Qty],T_SelfStock[RM_Code],$A25,T_SelfStock[WeekIndex],61)+SUMIFS(T_TTAFStock[TTAF_Qty],T_TTAFStock[RM_Code],$A25,T_TTAFStock[WeekIndex],61),BI25+'Grid_Incoming'!BJ25-'Grid_Requirement'!BJ25))</f>
        <v/>
      </c>
      <c r="BK25">
        <f>IF(COUNTIFS(T_StockCount[RM_Code],$A25,T_StockCount[WeekIndex],62)&gt;0,SUMIFS(T_StockCount[CountedQty],T_StockCount[RM_Code],$A25,T_StockCount[WeekIndex],62),IF((COUNTIFS(T_SelfStock[RM_Code],$A25,T_SelfStock[WeekIndex],62)&gt;0)*(COUNTIFS(T_TTAFStock[RM_Code],$A25,T_TTAFStock[WeekIndex],62)&gt;0)&gt;0,SUMIFS(T_SelfStock[Self_Qty],T_SelfStock[RM_Code],$A25,T_SelfStock[WeekIndex],62)+SUMIFS(T_TTAFStock[TTAF_Qty],T_TTAFStock[RM_Code],$A25,T_TTAFStock[WeekIndex],62),BJ25+'Grid_Incoming'!BK25-'Grid_Requirement'!BK25))</f>
        <v/>
      </c>
      <c r="BL25">
        <f>IF(COUNTIFS(T_StockCount[RM_Code],$A25,T_StockCount[WeekIndex],63)&gt;0,SUMIFS(T_StockCount[CountedQty],T_StockCount[RM_Code],$A25,T_StockCount[WeekIndex],63),IF((COUNTIFS(T_SelfStock[RM_Code],$A25,T_SelfStock[WeekIndex],63)&gt;0)*(COUNTIFS(T_TTAFStock[RM_Code],$A25,T_TTAFStock[WeekIndex],63)&gt;0)&gt;0,SUMIFS(T_SelfStock[Self_Qty],T_SelfStock[RM_Code],$A25,T_SelfStock[WeekIndex],63)+SUMIFS(T_TTAFStock[TTAF_Qty],T_TTAFStock[RM_Code],$A25,T_TTAFStock[WeekIndex],63),BK25+'Grid_Incoming'!BL25-'Grid_Requirement'!BL25))</f>
        <v/>
      </c>
      <c r="BM25">
        <f>IF(COUNTIFS(T_StockCount[RM_Code],$A25,T_StockCount[WeekIndex],64)&gt;0,SUMIFS(T_StockCount[CountedQty],T_StockCount[RM_Code],$A25,T_StockCount[WeekIndex],64),IF((COUNTIFS(T_SelfStock[RM_Code],$A25,T_SelfStock[WeekIndex],64)&gt;0)*(COUNTIFS(T_TTAFStock[RM_Code],$A25,T_TTAFStock[WeekIndex],64)&gt;0)&gt;0,SUMIFS(T_SelfStock[Self_Qty],T_SelfStock[RM_Code],$A25,T_SelfStock[WeekIndex],64)+SUMIFS(T_TTAFStock[TTAF_Qty],T_TTAFStock[RM_Code],$A25,T_TTAFStock[WeekIndex],64),BL25+'Grid_Incoming'!BM25-'Grid_Requirement'!BM25))</f>
        <v/>
      </c>
      <c r="BN25">
        <f>IF(COUNTIFS(T_StockCount[RM_Code],$A25,T_StockCount[WeekIndex],65)&gt;0,SUMIFS(T_StockCount[CountedQty],T_StockCount[RM_Code],$A25,T_StockCount[WeekIndex],65),IF((COUNTIFS(T_SelfStock[RM_Code],$A25,T_SelfStock[WeekIndex],65)&gt;0)*(COUNTIFS(T_TTAFStock[RM_Code],$A25,T_TTAFStock[WeekIndex],65)&gt;0)&gt;0,SUMIFS(T_SelfStock[Self_Qty],T_SelfStock[RM_Code],$A25,T_SelfStock[WeekIndex],65)+SUMIFS(T_TTAFStock[TTAF_Qty],T_TTAFStock[RM_Code],$A25,T_TTAFStock[WeekIndex],65),BM25+'Grid_Incoming'!BN25-'Grid_Requirement'!BN25))</f>
        <v/>
      </c>
      <c r="BO25">
        <f>IF(COUNTIFS(T_StockCount[RM_Code],$A25,T_StockCount[WeekIndex],66)&gt;0,SUMIFS(T_StockCount[CountedQty],T_StockCount[RM_Code],$A25,T_StockCount[WeekIndex],66),IF((COUNTIFS(T_SelfStock[RM_Code],$A25,T_SelfStock[WeekIndex],66)&gt;0)*(COUNTIFS(T_TTAFStock[RM_Code],$A25,T_TTAFStock[WeekIndex],66)&gt;0)&gt;0,SUMIFS(T_SelfStock[Self_Qty],T_SelfStock[RM_Code],$A25,T_SelfStock[WeekIndex],66)+SUMIFS(T_TTAFStock[TTAF_Qty],T_TTAFStock[RM_Code],$A25,T_TTAFStock[WeekIndex],66),BN25+'Grid_Incoming'!BO25-'Grid_Requirement'!BO25))</f>
        <v/>
      </c>
      <c r="BP25">
        <f>IF(COUNTIFS(T_StockCount[RM_Code],$A25,T_StockCount[WeekIndex],67)&gt;0,SUMIFS(T_StockCount[CountedQty],T_StockCount[RM_Code],$A25,T_StockCount[WeekIndex],67),IF((COUNTIFS(T_SelfStock[RM_Code],$A25,T_SelfStock[WeekIndex],67)&gt;0)*(COUNTIFS(T_TTAFStock[RM_Code],$A25,T_TTAFStock[WeekIndex],67)&gt;0)&gt;0,SUMIFS(T_SelfStock[Self_Qty],T_SelfStock[RM_Code],$A25,T_SelfStock[WeekIndex],67)+SUMIFS(T_TTAFStock[TTAF_Qty],T_TTAFStock[RM_Code],$A25,T_TTAFStock[WeekIndex],67),BO25+'Grid_Incoming'!BP25-'Grid_Requirement'!BP25))</f>
        <v/>
      </c>
      <c r="BQ25">
        <f>IF(COUNTIFS(T_StockCount[RM_Code],$A25,T_StockCount[WeekIndex],68)&gt;0,SUMIFS(T_StockCount[CountedQty],T_StockCount[RM_Code],$A25,T_StockCount[WeekIndex],68),IF((COUNTIFS(T_SelfStock[RM_Code],$A25,T_SelfStock[WeekIndex],68)&gt;0)*(COUNTIFS(T_TTAFStock[RM_Code],$A25,T_TTAFStock[WeekIndex],68)&gt;0)&gt;0,SUMIFS(T_SelfStock[Self_Qty],T_SelfStock[RM_Code],$A25,T_SelfStock[WeekIndex],68)+SUMIFS(T_TTAFStock[TTAF_Qty],T_TTAFStock[RM_Code],$A25,T_TTAFStock[WeekIndex],68),BP25+'Grid_Incoming'!BQ25-'Grid_Requirement'!BQ25))</f>
        <v/>
      </c>
      <c r="BR25">
        <f>IF(COUNTIFS(T_StockCount[RM_Code],$A25,T_StockCount[WeekIndex],69)&gt;0,SUMIFS(T_StockCount[CountedQty],T_StockCount[RM_Code],$A25,T_StockCount[WeekIndex],69),IF((COUNTIFS(T_SelfStock[RM_Code],$A25,T_SelfStock[WeekIndex],69)&gt;0)*(COUNTIFS(T_TTAFStock[RM_Code],$A25,T_TTAFStock[WeekIndex],69)&gt;0)&gt;0,SUMIFS(T_SelfStock[Self_Qty],T_SelfStock[RM_Code],$A25,T_SelfStock[WeekIndex],69)+SUMIFS(T_TTAFStock[TTAF_Qty],T_TTAFStock[RM_Code],$A25,T_TTAFStock[WeekIndex],69),BQ25+'Grid_Incoming'!BR25-'Grid_Requirement'!BR25))</f>
        <v/>
      </c>
      <c r="BS25">
        <f>IF(COUNTIFS(T_StockCount[RM_Code],$A25,T_StockCount[WeekIndex],70)&gt;0,SUMIFS(T_StockCount[CountedQty],T_StockCount[RM_Code],$A25,T_StockCount[WeekIndex],70),IF((COUNTIFS(T_SelfStock[RM_Code],$A25,T_SelfStock[WeekIndex],70)&gt;0)*(COUNTIFS(T_TTAFStock[RM_Code],$A25,T_TTAFStock[WeekIndex],70)&gt;0)&gt;0,SUMIFS(T_SelfStock[Self_Qty],T_SelfStock[RM_Code],$A25,T_SelfStock[WeekIndex],70)+SUMIFS(T_TTAFStock[TTAF_Qty],T_TTAFStock[RM_Code],$A25,T_TTAFStock[WeekIndex],70),BR25+'Grid_Incoming'!BS25-'Grid_Requirement'!BS25))</f>
        <v/>
      </c>
      <c r="BT25">
        <f>IF(COUNTIFS(T_StockCount[RM_Code],$A25,T_StockCount[WeekIndex],71)&gt;0,SUMIFS(T_StockCount[CountedQty],T_StockCount[RM_Code],$A25,T_StockCount[WeekIndex],71),IF((COUNTIFS(T_SelfStock[RM_Code],$A25,T_SelfStock[WeekIndex],71)&gt;0)*(COUNTIFS(T_TTAFStock[RM_Code],$A25,T_TTAFStock[WeekIndex],71)&gt;0)&gt;0,SUMIFS(T_SelfStock[Self_Qty],T_SelfStock[RM_Code],$A25,T_SelfStock[WeekIndex],71)+SUMIFS(T_TTAFStock[TTAF_Qty],T_TTAFStock[RM_Code],$A25,T_TTAFStock[WeekIndex],71),BS25+'Grid_Incoming'!BT25-'Grid_Requirement'!BT25))</f>
        <v/>
      </c>
      <c r="BU25">
        <f>IF(COUNTIFS(T_StockCount[RM_Code],$A25,T_StockCount[WeekIndex],72)&gt;0,SUMIFS(T_StockCount[CountedQty],T_StockCount[RM_Code],$A25,T_StockCount[WeekIndex],72),IF((COUNTIFS(T_SelfStock[RM_Code],$A25,T_SelfStock[WeekIndex],72)&gt;0)*(COUNTIFS(T_TTAFStock[RM_Code],$A25,T_TTAFStock[WeekIndex],72)&gt;0)&gt;0,SUMIFS(T_SelfStock[Self_Qty],T_SelfStock[RM_Code],$A25,T_SelfStock[WeekIndex],72)+SUMIFS(T_TTAFStock[TTAF_Qty],T_TTAFStock[RM_Code],$A25,T_TTAFStock[WeekIndex],72),BT25+'Grid_Incoming'!BU25-'Grid_Requirement'!BU25))</f>
        <v/>
      </c>
      <c r="BV25">
        <f>IF(COUNTIFS(T_StockCount[RM_Code],$A25,T_StockCount[WeekIndex],73)&gt;0,SUMIFS(T_StockCount[CountedQty],T_StockCount[RM_Code],$A25,T_StockCount[WeekIndex],73),IF((COUNTIFS(T_SelfStock[RM_Code],$A25,T_SelfStock[WeekIndex],73)&gt;0)*(COUNTIFS(T_TTAFStock[RM_Code],$A25,T_TTAFStock[WeekIndex],73)&gt;0)&gt;0,SUMIFS(T_SelfStock[Self_Qty],T_SelfStock[RM_Code],$A25,T_SelfStock[WeekIndex],73)+SUMIFS(T_TTAFStock[TTAF_Qty],T_TTAFStock[RM_Code],$A25,T_TTAFStock[WeekIndex],73),BU25+'Grid_Incoming'!BV25-'Grid_Requirement'!BV25))</f>
        <v/>
      </c>
      <c r="BW25">
        <f>IF(COUNTIFS(T_StockCount[RM_Code],$A25,T_StockCount[WeekIndex],74)&gt;0,SUMIFS(T_StockCount[CountedQty],T_StockCount[RM_Code],$A25,T_StockCount[WeekIndex],74),IF((COUNTIFS(T_SelfStock[RM_Code],$A25,T_SelfStock[WeekIndex],74)&gt;0)*(COUNTIFS(T_TTAFStock[RM_Code],$A25,T_TTAFStock[WeekIndex],74)&gt;0)&gt;0,SUMIFS(T_SelfStock[Self_Qty],T_SelfStock[RM_Code],$A25,T_SelfStock[WeekIndex],74)+SUMIFS(T_TTAFStock[TTAF_Qty],T_TTAFStock[RM_Code],$A25,T_TTAFStock[WeekIndex],74),BV25+'Grid_Incoming'!BW25-'Grid_Requirement'!BW25))</f>
        <v/>
      </c>
      <c r="BX25">
        <f>IF(COUNTIFS(T_StockCount[RM_Code],$A25,T_StockCount[WeekIndex],75)&gt;0,SUMIFS(T_StockCount[CountedQty],T_StockCount[RM_Code],$A25,T_StockCount[WeekIndex],75),IF((COUNTIFS(T_SelfStock[RM_Code],$A25,T_SelfStock[WeekIndex],75)&gt;0)*(COUNTIFS(T_TTAFStock[RM_Code],$A25,T_TTAFStock[WeekIndex],75)&gt;0)&gt;0,SUMIFS(T_SelfStock[Self_Qty],T_SelfStock[RM_Code],$A25,T_SelfStock[WeekIndex],75)+SUMIFS(T_TTAFStock[TTAF_Qty],T_TTAFStock[RM_Code],$A25,T_TTAFStock[WeekIndex],75),BW25+'Grid_Incoming'!BX25-'Grid_Requirement'!BX25))</f>
        <v/>
      </c>
      <c r="BY25">
        <f>IF(COUNTIFS(T_StockCount[RM_Code],$A25,T_StockCount[WeekIndex],76)&gt;0,SUMIFS(T_StockCount[CountedQty],T_StockCount[RM_Code],$A25,T_StockCount[WeekIndex],76),IF((COUNTIFS(T_SelfStock[RM_Code],$A25,T_SelfStock[WeekIndex],76)&gt;0)*(COUNTIFS(T_TTAFStock[RM_Code],$A25,T_TTAFStock[WeekIndex],76)&gt;0)&gt;0,SUMIFS(T_SelfStock[Self_Qty],T_SelfStock[RM_Code],$A25,T_SelfStock[WeekIndex],76)+SUMIFS(T_TTAFStock[TTAF_Qty],T_TTAFStock[RM_Code],$A25,T_TTAFStock[WeekIndex],76),BX25+'Grid_Incoming'!BY25-'Grid_Requirement'!BY25))</f>
        <v/>
      </c>
      <c r="BZ25">
        <f>IF(COUNTIFS(T_StockCount[RM_Code],$A25,T_StockCount[WeekIndex],77)&gt;0,SUMIFS(T_StockCount[CountedQty],T_StockCount[RM_Code],$A25,T_StockCount[WeekIndex],77),IF((COUNTIFS(T_SelfStock[RM_Code],$A25,T_SelfStock[WeekIndex],77)&gt;0)*(COUNTIFS(T_TTAFStock[RM_Code],$A25,T_TTAFStock[WeekIndex],77)&gt;0)&gt;0,SUMIFS(T_SelfStock[Self_Qty],T_SelfStock[RM_Code],$A25,T_SelfStock[WeekIndex],77)+SUMIFS(T_TTAFStock[TTAF_Qty],T_TTAFStock[RM_Code],$A25,T_TTAFStock[WeekIndex],77),BY25+'Grid_Incoming'!BZ25-'Grid_Requirement'!BZ25))</f>
        <v/>
      </c>
      <c r="CA25">
        <f>IF(COUNTIFS(T_StockCount[RM_Code],$A25,T_StockCount[WeekIndex],78)&gt;0,SUMIFS(T_StockCount[CountedQty],T_StockCount[RM_Code],$A25,T_StockCount[WeekIndex],78),IF((COUNTIFS(T_SelfStock[RM_Code],$A25,T_SelfStock[WeekIndex],78)&gt;0)*(COUNTIFS(T_TTAFStock[RM_Code],$A25,T_TTAFStock[WeekIndex],78)&gt;0)&gt;0,SUMIFS(T_SelfStock[Self_Qty],T_SelfStock[RM_Code],$A25,T_SelfStock[WeekIndex],78)+SUMIFS(T_TTAFStock[TTAF_Qty],T_TTAFStock[RM_Code],$A25,T_TTAFStock[WeekIndex],78),BZ25+'Grid_Incoming'!CA25-'Grid_Requirement'!CA25))</f>
        <v/>
      </c>
      <c r="CB25">
        <f>IF(COUNTIFS(T_StockCount[RM_Code],$A25,T_StockCount[WeekIndex],79)&gt;0,SUMIFS(T_StockCount[CountedQty],T_StockCount[RM_Code],$A25,T_StockCount[WeekIndex],79),IF((COUNTIFS(T_SelfStock[RM_Code],$A25,T_SelfStock[WeekIndex],79)&gt;0)*(COUNTIFS(T_TTAFStock[RM_Code],$A25,T_TTAFStock[WeekIndex],79)&gt;0)&gt;0,SUMIFS(T_SelfStock[Self_Qty],T_SelfStock[RM_Code],$A25,T_SelfStock[WeekIndex],79)+SUMIFS(T_TTAFStock[TTAF_Qty],T_TTAFStock[RM_Code],$A25,T_TTAFStock[WeekIndex],79),CA25+'Grid_Incoming'!CB25-'Grid_Requirement'!CB25))</f>
        <v/>
      </c>
      <c r="CC25">
        <f>IF(COUNTIFS(T_StockCount[RM_Code],$A25,T_StockCount[WeekIndex],80)&gt;0,SUMIFS(T_StockCount[CountedQty],T_StockCount[RM_Code],$A25,T_StockCount[WeekIndex],80),IF((COUNTIFS(T_SelfStock[RM_Code],$A25,T_SelfStock[WeekIndex],80)&gt;0)*(COUNTIFS(T_TTAFStock[RM_Code],$A25,T_TTAFStock[WeekIndex],80)&gt;0)&gt;0,SUMIFS(T_SelfStock[Self_Qty],T_SelfStock[RM_Code],$A25,T_SelfStock[WeekIndex],80)+SUMIFS(T_TTAFStock[TTAF_Qty],T_TTAFStock[RM_Code],$A25,T_TTAFStock[WeekIndex],80),CB25+'Grid_Incoming'!CC25-'Grid_Requirement'!CC25))</f>
        <v/>
      </c>
      <c r="CD25">
        <f>IF(COUNTIFS(T_StockCount[RM_Code],$A25,T_StockCount[WeekIndex],81)&gt;0,SUMIFS(T_StockCount[CountedQty],T_StockCount[RM_Code],$A25,T_StockCount[WeekIndex],81),IF((COUNTIFS(T_SelfStock[RM_Code],$A25,T_SelfStock[WeekIndex],81)&gt;0)*(COUNTIFS(T_TTAFStock[RM_Code],$A25,T_TTAFStock[WeekIndex],81)&gt;0)&gt;0,SUMIFS(T_SelfStock[Self_Qty],T_SelfStock[RM_Code],$A25,T_SelfStock[WeekIndex],81)+SUMIFS(T_TTAFStock[TTAF_Qty],T_TTAFStock[RM_Code],$A25,T_TTAFStock[WeekIndex],81),CC25+'Grid_Incoming'!CD25-'Grid_Requirement'!CD25))</f>
        <v/>
      </c>
      <c r="CE25">
        <f>IF(COUNTIFS(T_StockCount[RM_Code],$A25,T_StockCount[WeekIndex],82)&gt;0,SUMIFS(T_StockCount[CountedQty],T_StockCount[RM_Code],$A25,T_StockCount[WeekIndex],82),IF((COUNTIFS(T_SelfStock[RM_Code],$A25,T_SelfStock[WeekIndex],82)&gt;0)*(COUNTIFS(T_TTAFStock[RM_Code],$A25,T_TTAFStock[WeekIndex],82)&gt;0)&gt;0,SUMIFS(T_SelfStock[Self_Qty],T_SelfStock[RM_Code],$A25,T_SelfStock[WeekIndex],82)+SUMIFS(T_TTAFStock[TTAF_Qty],T_TTAFStock[RM_Code],$A25,T_TTAFStock[WeekIndex],82),CD25+'Grid_Incoming'!CE25-'Grid_Requirement'!CE25))</f>
        <v/>
      </c>
      <c r="CF25">
        <f>IF(COUNTIFS(T_StockCount[RM_Code],$A25,T_StockCount[WeekIndex],83)&gt;0,SUMIFS(T_StockCount[CountedQty],T_StockCount[RM_Code],$A25,T_StockCount[WeekIndex],83),IF((COUNTIFS(T_SelfStock[RM_Code],$A25,T_SelfStock[WeekIndex],83)&gt;0)*(COUNTIFS(T_TTAFStock[RM_Code],$A25,T_TTAFStock[WeekIndex],83)&gt;0)&gt;0,SUMIFS(T_SelfStock[Self_Qty],T_SelfStock[RM_Code],$A25,T_SelfStock[WeekIndex],83)+SUMIFS(T_TTAFStock[TTAF_Qty],T_TTAFStock[RM_Code],$A25,T_TTAFStock[WeekIndex],83),CE25+'Grid_Incoming'!CF25-'Grid_Requirement'!CF25))</f>
        <v/>
      </c>
      <c r="CG25">
        <f>IF(COUNTIFS(T_StockCount[RM_Code],$A25,T_StockCount[WeekIndex],84)&gt;0,SUMIFS(T_StockCount[CountedQty],T_StockCount[RM_Code],$A25,T_StockCount[WeekIndex],84),IF((COUNTIFS(T_SelfStock[RM_Code],$A25,T_SelfStock[WeekIndex],84)&gt;0)*(COUNTIFS(T_TTAFStock[RM_Code],$A25,T_TTAFStock[WeekIndex],84)&gt;0)&gt;0,SUMIFS(T_SelfStock[Self_Qty],T_SelfStock[RM_Code],$A25,T_SelfStock[WeekIndex],84)+SUMIFS(T_TTAFStock[TTAF_Qty],T_TTAFStock[RM_Code],$A25,T_TTAFStock[WeekIndex],84),CF25+'Grid_Incoming'!CG25-'Grid_Requirement'!CG25))</f>
        <v/>
      </c>
      <c r="CH25">
        <f>IF(COUNTIFS(T_StockCount[RM_Code],$A25,T_StockCount[WeekIndex],85)&gt;0,SUMIFS(T_StockCount[CountedQty],T_StockCount[RM_Code],$A25,T_StockCount[WeekIndex],85),IF((COUNTIFS(T_SelfStock[RM_Code],$A25,T_SelfStock[WeekIndex],85)&gt;0)*(COUNTIFS(T_TTAFStock[RM_Code],$A25,T_TTAFStock[WeekIndex],85)&gt;0)&gt;0,SUMIFS(T_SelfStock[Self_Qty],T_SelfStock[RM_Code],$A25,T_SelfStock[WeekIndex],85)+SUMIFS(T_TTAFStock[TTAF_Qty],T_TTAFStock[RM_Code],$A25,T_TTAFStock[WeekIndex],85),CG25+'Grid_Incoming'!CH25-'Grid_Requirement'!CH25))</f>
        <v/>
      </c>
      <c r="CI25">
        <f>IF(COUNTIFS(T_StockCount[RM_Code],$A25,T_StockCount[WeekIndex],86)&gt;0,SUMIFS(T_StockCount[CountedQty],T_StockCount[RM_Code],$A25,T_StockCount[WeekIndex],86),IF((COUNTIFS(T_SelfStock[RM_Code],$A25,T_SelfStock[WeekIndex],86)&gt;0)*(COUNTIFS(T_TTAFStock[RM_Code],$A25,T_TTAFStock[WeekIndex],86)&gt;0)&gt;0,SUMIFS(T_SelfStock[Self_Qty],T_SelfStock[RM_Code],$A25,T_SelfStock[WeekIndex],86)+SUMIFS(T_TTAFStock[TTAF_Qty],T_TTAFStock[RM_Code],$A25,T_TTAFStock[WeekIndex],86),CH25+'Grid_Incoming'!CI25-'Grid_Requirement'!CI25))</f>
        <v/>
      </c>
      <c r="CJ25">
        <f>IF(COUNTIFS(T_StockCount[RM_Code],$A25,T_StockCount[WeekIndex],87)&gt;0,SUMIFS(T_StockCount[CountedQty],T_StockCount[RM_Code],$A25,T_StockCount[WeekIndex],87),IF((COUNTIFS(T_SelfStock[RM_Code],$A25,T_SelfStock[WeekIndex],87)&gt;0)*(COUNTIFS(T_TTAFStock[RM_Code],$A25,T_TTAFStock[WeekIndex],87)&gt;0)&gt;0,SUMIFS(T_SelfStock[Self_Qty],T_SelfStock[RM_Code],$A25,T_SelfStock[WeekIndex],87)+SUMIFS(T_TTAFStock[TTAF_Qty],T_TTAFStock[RM_Code],$A25,T_TTAFStock[WeekIndex],87),CI25+'Grid_Incoming'!CJ25-'Grid_Requirement'!CJ25))</f>
        <v/>
      </c>
      <c r="CK25">
        <f>IF(COUNTIFS(T_StockCount[RM_Code],$A25,T_StockCount[WeekIndex],88)&gt;0,SUMIFS(T_StockCount[CountedQty],T_StockCount[RM_Code],$A25,T_StockCount[WeekIndex],88),IF((COUNTIFS(T_SelfStock[RM_Code],$A25,T_SelfStock[WeekIndex],88)&gt;0)*(COUNTIFS(T_TTAFStock[RM_Code],$A25,T_TTAFStock[WeekIndex],88)&gt;0)&gt;0,SUMIFS(T_SelfStock[Self_Qty],T_SelfStock[RM_Code],$A25,T_SelfStock[WeekIndex],88)+SUMIFS(T_TTAFStock[TTAF_Qty],T_TTAFStock[RM_Code],$A25,T_TTAFStock[WeekIndex],88),CJ25+'Grid_Incoming'!CK25-'Grid_Requirement'!CK25))</f>
        <v/>
      </c>
      <c r="CL25">
        <f>IF(COUNTIFS(T_StockCount[RM_Code],$A25,T_StockCount[WeekIndex],89)&gt;0,SUMIFS(T_StockCount[CountedQty],T_StockCount[RM_Code],$A25,T_StockCount[WeekIndex],89),IF((COUNTIFS(T_SelfStock[RM_Code],$A25,T_SelfStock[WeekIndex],89)&gt;0)*(COUNTIFS(T_TTAFStock[RM_Code],$A25,T_TTAFStock[WeekIndex],89)&gt;0)&gt;0,SUMIFS(T_SelfStock[Self_Qty],T_SelfStock[RM_Code],$A25,T_SelfStock[WeekIndex],89)+SUMIFS(T_TTAFStock[TTAF_Qty],T_TTAFStock[RM_Code],$A25,T_TTAFStock[WeekIndex],89),CK25+'Grid_Incoming'!CL25-'Grid_Requirement'!CL25))</f>
        <v/>
      </c>
      <c r="CM25">
        <f>IF(COUNTIFS(T_StockCount[RM_Code],$A25,T_StockCount[WeekIndex],90)&gt;0,SUMIFS(T_StockCount[CountedQty],T_StockCount[RM_Code],$A25,T_StockCount[WeekIndex],90),IF((COUNTIFS(T_SelfStock[RM_Code],$A25,T_SelfStock[WeekIndex],90)&gt;0)*(COUNTIFS(T_TTAFStock[RM_Code],$A25,T_TTAFStock[WeekIndex],90)&gt;0)&gt;0,SUMIFS(T_SelfStock[Self_Qty],T_SelfStock[RM_Code],$A25,T_SelfStock[WeekIndex],90)+SUMIFS(T_TTAFStock[TTAF_Qty],T_TTAFStock[RM_Code],$A25,T_TTAFStock[WeekIndex],90),CL25+'Grid_Incoming'!CM25-'Grid_Requirement'!CM25))</f>
        <v/>
      </c>
      <c r="CN25">
        <f>IF(COUNTIFS(T_StockCount[RM_Code],$A25,T_StockCount[WeekIndex],91)&gt;0,SUMIFS(T_StockCount[CountedQty],T_StockCount[RM_Code],$A25,T_StockCount[WeekIndex],91),IF((COUNTIFS(T_SelfStock[RM_Code],$A25,T_SelfStock[WeekIndex],91)&gt;0)*(COUNTIFS(T_TTAFStock[RM_Code],$A25,T_TTAFStock[WeekIndex],91)&gt;0)&gt;0,SUMIFS(T_SelfStock[Self_Qty],T_SelfStock[RM_Code],$A25,T_SelfStock[WeekIndex],91)+SUMIFS(T_TTAFStock[TTAF_Qty],T_TTAFStock[RM_Code],$A25,T_TTAFStock[WeekIndex],91),CM25+'Grid_Incoming'!CN25-'Grid_Requirement'!CN25))</f>
        <v/>
      </c>
      <c r="CO25">
        <f>IF(COUNTIFS(T_StockCount[RM_Code],$A25,T_StockCount[WeekIndex],92)&gt;0,SUMIFS(T_StockCount[CountedQty],T_StockCount[RM_Code],$A25,T_StockCount[WeekIndex],92),IF((COUNTIFS(T_SelfStock[RM_Code],$A25,T_SelfStock[WeekIndex],92)&gt;0)*(COUNTIFS(T_TTAFStock[RM_Code],$A25,T_TTAFStock[WeekIndex],92)&gt;0)&gt;0,SUMIFS(T_SelfStock[Self_Qty],T_SelfStock[RM_Code],$A25,T_SelfStock[WeekIndex],92)+SUMIFS(T_TTAFStock[TTAF_Qty],T_TTAFStock[RM_Code],$A25,T_TTAFStock[WeekIndex],92),CN25+'Grid_Incoming'!CO25-'Grid_Requirement'!CO25))</f>
        <v/>
      </c>
      <c r="CP25">
        <f>IF(COUNTIFS(T_StockCount[RM_Code],$A25,T_StockCount[WeekIndex],93)&gt;0,SUMIFS(T_StockCount[CountedQty],T_StockCount[RM_Code],$A25,T_StockCount[WeekIndex],93),IF((COUNTIFS(T_SelfStock[RM_Code],$A25,T_SelfStock[WeekIndex],93)&gt;0)*(COUNTIFS(T_TTAFStock[RM_Code],$A25,T_TTAFStock[WeekIndex],93)&gt;0)&gt;0,SUMIFS(T_SelfStock[Self_Qty],T_SelfStock[RM_Code],$A25,T_SelfStock[WeekIndex],93)+SUMIFS(T_TTAFStock[TTAF_Qty],T_TTAFStock[RM_Code],$A25,T_TTAFStock[WeekIndex],93),CO25+'Grid_Incoming'!CP25-'Grid_Requirement'!CP25))</f>
        <v/>
      </c>
      <c r="CQ25">
        <f>IF(COUNTIFS(T_StockCount[RM_Code],$A25,T_StockCount[WeekIndex],94)&gt;0,SUMIFS(T_StockCount[CountedQty],T_StockCount[RM_Code],$A25,T_StockCount[WeekIndex],94),IF((COUNTIFS(T_SelfStock[RM_Code],$A25,T_SelfStock[WeekIndex],94)&gt;0)*(COUNTIFS(T_TTAFStock[RM_Code],$A25,T_TTAFStock[WeekIndex],94)&gt;0)&gt;0,SUMIFS(T_SelfStock[Self_Qty],T_SelfStock[RM_Code],$A25,T_SelfStock[WeekIndex],94)+SUMIFS(T_TTAFStock[TTAF_Qty],T_TTAFStock[RM_Code],$A25,T_TTAFStock[WeekIndex],94),CP25+'Grid_Incoming'!CQ25-'Grid_Requirement'!CQ25))</f>
        <v/>
      </c>
      <c r="CR25">
        <f>IF(COUNTIFS(T_StockCount[RM_Code],$A25,T_StockCount[WeekIndex],95)&gt;0,SUMIFS(T_StockCount[CountedQty],T_StockCount[RM_Code],$A25,T_StockCount[WeekIndex],95),IF((COUNTIFS(T_SelfStock[RM_Code],$A25,T_SelfStock[WeekIndex],95)&gt;0)*(COUNTIFS(T_TTAFStock[RM_Code],$A25,T_TTAFStock[WeekIndex],95)&gt;0)&gt;0,SUMIFS(T_SelfStock[Self_Qty],T_SelfStock[RM_Code],$A25,T_SelfStock[WeekIndex],95)+SUMIFS(T_TTAFStock[TTAF_Qty],T_TTAFStock[RM_Code],$A25,T_TTAFStock[WeekIndex],95),CQ25+'Grid_Incoming'!CR25-'Grid_Requirement'!CR25))</f>
        <v/>
      </c>
      <c r="CS25">
        <f>IF(COUNTIFS(T_StockCount[RM_Code],$A25,T_StockCount[WeekIndex],96)&gt;0,SUMIFS(T_StockCount[CountedQty],T_StockCount[RM_Code],$A25,T_StockCount[WeekIndex],96),IF((COUNTIFS(T_SelfStock[RM_Code],$A25,T_SelfStock[WeekIndex],96)&gt;0)*(COUNTIFS(T_TTAFStock[RM_Code],$A25,T_TTAFStock[WeekIndex],96)&gt;0)&gt;0,SUMIFS(T_SelfStock[Self_Qty],T_SelfStock[RM_Code],$A25,T_SelfStock[WeekIndex],96)+SUMIFS(T_TTAFStock[TTAF_Qty],T_TTAFStock[RM_Code],$A25,T_TTAFStock[WeekIndex],96),CR25+'Grid_Incoming'!CS25-'Grid_Requirement'!CS25))</f>
        <v/>
      </c>
      <c r="CT25">
        <f>IF(COUNTIFS(T_StockCount[RM_Code],$A25,T_StockCount[WeekIndex],97)&gt;0,SUMIFS(T_StockCount[CountedQty],T_StockCount[RM_Code],$A25,T_StockCount[WeekIndex],97),IF((COUNTIFS(T_SelfStock[RM_Code],$A25,T_SelfStock[WeekIndex],97)&gt;0)*(COUNTIFS(T_TTAFStock[RM_Code],$A25,T_TTAFStock[WeekIndex],97)&gt;0)&gt;0,SUMIFS(T_SelfStock[Self_Qty],T_SelfStock[RM_Code],$A25,T_SelfStock[WeekIndex],97)+SUMIFS(T_TTAFStock[TTAF_Qty],T_TTAFStock[RM_Code],$A25,T_TTAFStock[WeekIndex],97),CS25+'Grid_Incoming'!CT25-'Grid_Requirement'!CT25))</f>
        <v/>
      </c>
      <c r="CU25">
        <f>IF(COUNTIFS(T_StockCount[RM_Code],$A25,T_StockCount[WeekIndex],98)&gt;0,SUMIFS(T_StockCount[CountedQty],T_StockCount[RM_Code],$A25,T_StockCount[WeekIndex],98),IF((COUNTIFS(T_SelfStock[RM_Code],$A25,T_SelfStock[WeekIndex],98)&gt;0)*(COUNTIFS(T_TTAFStock[RM_Code],$A25,T_TTAFStock[WeekIndex],98)&gt;0)&gt;0,SUMIFS(T_SelfStock[Self_Qty],T_SelfStock[RM_Code],$A25,T_SelfStock[WeekIndex],98)+SUMIFS(T_TTAFStock[TTAF_Qty],T_TTAFStock[RM_Code],$A25,T_TTAFStock[WeekIndex],98),CT25+'Grid_Incoming'!CU25-'Grid_Requirement'!CU25))</f>
        <v/>
      </c>
      <c r="CV25">
        <f>IF(COUNTIFS(T_StockCount[RM_Code],$A25,T_StockCount[WeekIndex],99)&gt;0,SUMIFS(T_StockCount[CountedQty],T_StockCount[RM_Code],$A25,T_StockCount[WeekIndex],99),IF((COUNTIFS(T_SelfStock[RM_Code],$A25,T_SelfStock[WeekIndex],99)&gt;0)*(COUNTIFS(T_TTAFStock[RM_Code],$A25,T_TTAFStock[WeekIndex],99)&gt;0)&gt;0,SUMIFS(T_SelfStock[Self_Qty],T_SelfStock[RM_Code],$A25,T_SelfStock[WeekIndex],99)+SUMIFS(T_TTAFStock[TTAF_Qty],T_TTAFStock[RM_Code],$A25,T_TTAFStock[WeekIndex],99),CU25+'Grid_Incoming'!CV25-'Grid_Requirement'!CV25))</f>
        <v/>
      </c>
      <c r="CW25">
        <f>IF(COUNTIFS(T_StockCount[RM_Code],$A25,T_StockCount[WeekIndex],100)&gt;0,SUMIFS(T_StockCount[CountedQty],T_StockCount[RM_Code],$A25,T_StockCount[WeekIndex],100),IF((COUNTIFS(T_SelfStock[RM_Code],$A25,T_SelfStock[WeekIndex],100)&gt;0)*(COUNTIFS(T_TTAFStock[RM_Code],$A25,T_TTAFStock[WeekIndex],100)&gt;0)&gt;0,SUMIFS(T_SelfStock[Self_Qty],T_SelfStock[RM_Code],$A25,T_SelfStock[WeekIndex],100)+SUMIFS(T_TTAFStock[TTAF_Qty],T_TTAFStock[RM_Code],$A25,T_TTAFStock[WeekIndex],100),CV25+'Grid_Incoming'!CW25-'Grid_Requirement'!CW25))</f>
        <v/>
      </c>
      <c r="CX25">
        <f>IF(COUNTIFS(T_StockCount[RM_Code],$A25,T_StockCount[WeekIndex],101)&gt;0,SUMIFS(T_StockCount[CountedQty],T_StockCount[RM_Code],$A25,T_StockCount[WeekIndex],101),IF((COUNTIFS(T_SelfStock[RM_Code],$A25,T_SelfStock[WeekIndex],101)&gt;0)*(COUNTIFS(T_TTAFStock[RM_Code],$A25,T_TTAFStock[WeekIndex],101)&gt;0)&gt;0,SUMIFS(T_SelfStock[Self_Qty],T_SelfStock[RM_Code],$A25,T_SelfStock[WeekIndex],101)+SUMIFS(T_TTAFStock[TTAF_Qty],T_TTAFStock[RM_Code],$A25,T_TTAFStock[WeekIndex],101),CW25+'Grid_Incoming'!CX25-'Grid_Requirement'!CX25))</f>
        <v/>
      </c>
      <c r="CY25">
        <f>IF(COUNTIFS(T_StockCount[RM_Code],$A25,T_StockCount[WeekIndex],102)&gt;0,SUMIFS(T_StockCount[CountedQty],T_StockCount[RM_Code],$A25,T_StockCount[WeekIndex],102),IF((COUNTIFS(T_SelfStock[RM_Code],$A25,T_SelfStock[WeekIndex],102)&gt;0)*(COUNTIFS(T_TTAFStock[RM_Code],$A25,T_TTAFStock[WeekIndex],102)&gt;0)&gt;0,SUMIFS(T_SelfStock[Self_Qty],T_SelfStock[RM_Code],$A25,T_SelfStock[WeekIndex],102)+SUMIFS(T_TTAFStock[TTAF_Qty],T_TTAFStock[RM_Code],$A25,T_TTAFStock[WeekIndex],102),CX25+'Grid_Incoming'!CY25-'Grid_Requirement'!CY25))</f>
        <v/>
      </c>
      <c r="CZ25">
        <f>IF(COUNTIFS(T_StockCount[RM_Code],$A25,T_StockCount[WeekIndex],103)&gt;0,SUMIFS(T_StockCount[CountedQty],T_StockCount[RM_Code],$A25,T_StockCount[WeekIndex],103),IF((COUNTIFS(T_SelfStock[RM_Code],$A25,T_SelfStock[WeekIndex],103)&gt;0)*(COUNTIFS(T_TTAFStock[RM_Code],$A25,T_TTAFStock[WeekIndex],103)&gt;0)&gt;0,SUMIFS(T_SelfStock[Self_Qty],T_SelfStock[RM_Code],$A25,T_SelfStock[WeekIndex],103)+SUMIFS(T_TTAFStock[TTAF_Qty],T_TTAFStock[RM_Code],$A25,T_TTAFStock[WeekIndex],103),CY25+'Grid_Incoming'!CZ25-'Grid_Requirement'!CZ25))</f>
        <v/>
      </c>
      <c r="DA25">
        <f>IF(COUNTIFS(T_StockCount[RM_Code],$A25,T_StockCount[WeekIndex],104)&gt;0,SUMIFS(T_StockCount[CountedQty],T_StockCount[RM_Code],$A25,T_StockCount[WeekIndex],104),IF((COUNTIFS(T_SelfStock[RM_Code],$A25,T_SelfStock[WeekIndex],104)&gt;0)*(COUNTIFS(T_TTAFStock[RM_Code],$A25,T_TTAFStock[WeekIndex],104)&gt;0)&gt;0,SUMIFS(T_SelfStock[Self_Qty],T_SelfStock[RM_Code],$A25,T_SelfStock[WeekIndex],104)+SUMIFS(T_TTAFStock[TTAF_Qty],T_TTAFStock[RM_Code],$A25,T_TTAFStock[WeekIndex],104),CZ25+'Grid_Incoming'!DA25-'Grid_Requirement'!DA25))</f>
        <v/>
      </c>
    </row>
    <row r="26">
      <c r="A26" t="inlineStr">
        <is>
          <t>CHEM-1760</t>
        </is>
      </c>
      <c r="B26">
        <f>IF(COUNTIFS(T_StockCount[RM_Code],$A26,T_StockCount[WeekIndex],1)&gt;0,SUMIFS(T_StockCount[CountedQty],T_StockCount[RM_Code],$A26,T_StockCount[WeekIndex],1),IF((COUNTIFS(T_SelfStock[RM_Code],$A26,T_SelfStock[WeekIndex],1)&gt;0)*(COUNTIFS(T_TTAFStock[RM_Code],$A26,T_TTAFStock[WeekIndex],1)&gt;0)&gt;0,SUMIFS(T_SelfStock[Self_Qty],T_SelfStock[RM_Code],$A26,T_SelfStock[WeekIndex],1)+SUMIFS(T_TTAFStock[TTAF_Qty],T_TTAFStock[RM_Code],$A26,T_TTAFStock[WeekIndex],1),IFERROR(INDEX(T_OpeningStock[Opening_Qty],MATCH($A26,T_OpeningStock[RM_Code],0)),0)+'Grid_Incoming'!B26-'Grid_Requirement'!B26))</f>
        <v/>
      </c>
      <c r="C26">
        <f>IF(COUNTIFS(T_StockCount[RM_Code],$A26,T_StockCount[WeekIndex],2)&gt;0,SUMIFS(T_StockCount[CountedQty],T_StockCount[RM_Code],$A26,T_StockCount[WeekIndex],2),IF((COUNTIFS(T_SelfStock[RM_Code],$A26,T_SelfStock[WeekIndex],2)&gt;0)*(COUNTIFS(T_TTAFStock[RM_Code],$A26,T_TTAFStock[WeekIndex],2)&gt;0)&gt;0,SUMIFS(T_SelfStock[Self_Qty],T_SelfStock[RM_Code],$A26,T_SelfStock[WeekIndex],2)+SUMIFS(T_TTAFStock[TTAF_Qty],T_TTAFStock[RM_Code],$A26,T_TTAFStock[WeekIndex],2),B26+'Grid_Incoming'!C26-'Grid_Requirement'!C26))</f>
        <v/>
      </c>
      <c r="D26">
        <f>IF(COUNTIFS(T_StockCount[RM_Code],$A26,T_StockCount[WeekIndex],3)&gt;0,SUMIFS(T_StockCount[CountedQty],T_StockCount[RM_Code],$A26,T_StockCount[WeekIndex],3),IF((COUNTIFS(T_SelfStock[RM_Code],$A26,T_SelfStock[WeekIndex],3)&gt;0)*(COUNTIFS(T_TTAFStock[RM_Code],$A26,T_TTAFStock[WeekIndex],3)&gt;0)&gt;0,SUMIFS(T_SelfStock[Self_Qty],T_SelfStock[RM_Code],$A26,T_SelfStock[WeekIndex],3)+SUMIFS(T_TTAFStock[TTAF_Qty],T_TTAFStock[RM_Code],$A26,T_TTAFStock[WeekIndex],3),C26+'Grid_Incoming'!D26-'Grid_Requirement'!D26))</f>
        <v/>
      </c>
      <c r="E26">
        <f>IF(COUNTIFS(T_StockCount[RM_Code],$A26,T_StockCount[WeekIndex],4)&gt;0,SUMIFS(T_StockCount[CountedQty],T_StockCount[RM_Code],$A26,T_StockCount[WeekIndex],4),IF((COUNTIFS(T_SelfStock[RM_Code],$A26,T_SelfStock[WeekIndex],4)&gt;0)*(COUNTIFS(T_TTAFStock[RM_Code],$A26,T_TTAFStock[WeekIndex],4)&gt;0)&gt;0,SUMIFS(T_SelfStock[Self_Qty],T_SelfStock[RM_Code],$A26,T_SelfStock[WeekIndex],4)+SUMIFS(T_TTAFStock[TTAF_Qty],T_TTAFStock[RM_Code],$A26,T_TTAFStock[WeekIndex],4),D26+'Grid_Incoming'!E26-'Grid_Requirement'!E26))</f>
        <v/>
      </c>
      <c r="F26">
        <f>IF(COUNTIFS(T_StockCount[RM_Code],$A26,T_StockCount[WeekIndex],5)&gt;0,SUMIFS(T_StockCount[CountedQty],T_StockCount[RM_Code],$A26,T_StockCount[WeekIndex],5),IF((COUNTIFS(T_SelfStock[RM_Code],$A26,T_SelfStock[WeekIndex],5)&gt;0)*(COUNTIFS(T_TTAFStock[RM_Code],$A26,T_TTAFStock[WeekIndex],5)&gt;0)&gt;0,SUMIFS(T_SelfStock[Self_Qty],T_SelfStock[RM_Code],$A26,T_SelfStock[WeekIndex],5)+SUMIFS(T_TTAFStock[TTAF_Qty],T_TTAFStock[RM_Code],$A26,T_TTAFStock[WeekIndex],5),E26+'Grid_Incoming'!F26-'Grid_Requirement'!F26))</f>
        <v/>
      </c>
      <c r="G26">
        <f>IF(COUNTIFS(T_StockCount[RM_Code],$A26,T_StockCount[WeekIndex],6)&gt;0,SUMIFS(T_StockCount[CountedQty],T_StockCount[RM_Code],$A26,T_StockCount[WeekIndex],6),IF((COUNTIFS(T_SelfStock[RM_Code],$A26,T_SelfStock[WeekIndex],6)&gt;0)*(COUNTIFS(T_TTAFStock[RM_Code],$A26,T_TTAFStock[WeekIndex],6)&gt;0)&gt;0,SUMIFS(T_SelfStock[Self_Qty],T_SelfStock[RM_Code],$A26,T_SelfStock[WeekIndex],6)+SUMIFS(T_TTAFStock[TTAF_Qty],T_TTAFStock[RM_Code],$A26,T_TTAFStock[WeekIndex],6),F26+'Grid_Incoming'!G26-'Grid_Requirement'!G26))</f>
        <v/>
      </c>
      <c r="H26">
        <f>IF(COUNTIFS(T_StockCount[RM_Code],$A26,T_StockCount[WeekIndex],7)&gt;0,SUMIFS(T_StockCount[CountedQty],T_StockCount[RM_Code],$A26,T_StockCount[WeekIndex],7),IF((COUNTIFS(T_SelfStock[RM_Code],$A26,T_SelfStock[WeekIndex],7)&gt;0)*(COUNTIFS(T_TTAFStock[RM_Code],$A26,T_TTAFStock[WeekIndex],7)&gt;0)&gt;0,SUMIFS(T_SelfStock[Self_Qty],T_SelfStock[RM_Code],$A26,T_SelfStock[WeekIndex],7)+SUMIFS(T_TTAFStock[TTAF_Qty],T_TTAFStock[RM_Code],$A26,T_TTAFStock[WeekIndex],7),G26+'Grid_Incoming'!H26-'Grid_Requirement'!H26))</f>
        <v/>
      </c>
      <c r="I26">
        <f>IF(COUNTIFS(T_StockCount[RM_Code],$A26,T_StockCount[WeekIndex],8)&gt;0,SUMIFS(T_StockCount[CountedQty],T_StockCount[RM_Code],$A26,T_StockCount[WeekIndex],8),IF((COUNTIFS(T_SelfStock[RM_Code],$A26,T_SelfStock[WeekIndex],8)&gt;0)*(COUNTIFS(T_TTAFStock[RM_Code],$A26,T_TTAFStock[WeekIndex],8)&gt;0)&gt;0,SUMIFS(T_SelfStock[Self_Qty],T_SelfStock[RM_Code],$A26,T_SelfStock[WeekIndex],8)+SUMIFS(T_TTAFStock[TTAF_Qty],T_TTAFStock[RM_Code],$A26,T_TTAFStock[WeekIndex],8),H26+'Grid_Incoming'!I26-'Grid_Requirement'!I26))</f>
        <v/>
      </c>
      <c r="J26">
        <f>IF(COUNTIFS(T_StockCount[RM_Code],$A26,T_StockCount[WeekIndex],9)&gt;0,SUMIFS(T_StockCount[CountedQty],T_StockCount[RM_Code],$A26,T_StockCount[WeekIndex],9),IF((COUNTIFS(T_SelfStock[RM_Code],$A26,T_SelfStock[WeekIndex],9)&gt;0)*(COUNTIFS(T_TTAFStock[RM_Code],$A26,T_TTAFStock[WeekIndex],9)&gt;0)&gt;0,SUMIFS(T_SelfStock[Self_Qty],T_SelfStock[RM_Code],$A26,T_SelfStock[WeekIndex],9)+SUMIFS(T_TTAFStock[TTAF_Qty],T_TTAFStock[RM_Code],$A26,T_TTAFStock[WeekIndex],9),I26+'Grid_Incoming'!J26-'Grid_Requirement'!J26))</f>
        <v/>
      </c>
      <c r="K26">
        <f>IF(COUNTIFS(T_StockCount[RM_Code],$A26,T_StockCount[WeekIndex],10)&gt;0,SUMIFS(T_StockCount[CountedQty],T_StockCount[RM_Code],$A26,T_StockCount[WeekIndex],10),IF((COUNTIFS(T_SelfStock[RM_Code],$A26,T_SelfStock[WeekIndex],10)&gt;0)*(COUNTIFS(T_TTAFStock[RM_Code],$A26,T_TTAFStock[WeekIndex],10)&gt;0)&gt;0,SUMIFS(T_SelfStock[Self_Qty],T_SelfStock[RM_Code],$A26,T_SelfStock[WeekIndex],10)+SUMIFS(T_TTAFStock[TTAF_Qty],T_TTAFStock[RM_Code],$A26,T_TTAFStock[WeekIndex],10),J26+'Grid_Incoming'!K26-'Grid_Requirement'!K26))</f>
        <v/>
      </c>
      <c r="L26">
        <f>IF(COUNTIFS(T_StockCount[RM_Code],$A26,T_StockCount[WeekIndex],11)&gt;0,SUMIFS(T_StockCount[CountedQty],T_StockCount[RM_Code],$A26,T_StockCount[WeekIndex],11),IF((COUNTIFS(T_SelfStock[RM_Code],$A26,T_SelfStock[WeekIndex],11)&gt;0)*(COUNTIFS(T_TTAFStock[RM_Code],$A26,T_TTAFStock[WeekIndex],11)&gt;0)&gt;0,SUMIFS(T_SelfStock[Self_Qty],T_SelfStock[RM_Code],$A26,T_SelfStock[WeekIndex],11)+SUMIFS(T_TTAFStock[TTAF_Qty],T_TTAFStock[RM_Code],$A26,T_TTAFStock[WeekIndex],11),K26+'Grid_Incoming'!L26-'Grid_Requirement'!L26))</f>
        <v/>
      </c>
      <c r="M26">
        <f>IF(COUNTIFS(T_StockCount[RM_Code],$A26,T_StockCount[WeekIndex],12)&gt;0,SUMIFS(T_StockCount[CountedQty],T_StockCount[RM_Code],$A26,T_StockCount[WeekIndex],12),IF((COUNTIFS(T_SelfStock[RM_Code],$A26,T_SelfStock[WeekIndex],12)&gt;0)*(COUNTIFS(T_TTAFStock[RM_Code],$A26,T_TTAFStock[WeekIndex],12)&gt;0)&gt;0,SUMIFS(T_SelfStock[Self_Qty],T_SelfStock[RM_Code],$A26,T_SelfStock[WeekIndex],12)+SUMIFS(T_TTAFStock[TTAF_Qty],T_TTAFStock[RM_Code],$A26,T_TTAFStock[WeekIndex],12),L26+'Grid_Incoming'!M26-'Grid_Requirement'!M26))</f>
        <v/>
      </c>
      <c r="N26">
        <f>IF(COUNTIFS(T_StockCount[RM_Code],$A26,T_StockCount[WeekIndex],13)&gt;0,SUMIFS(T_StockCount[CountedQty],T_StockCount[RM_Code],$A26,T_StockCount[WeekIndex],13),IF((COUNTIFS(T_SelfStock[RM_Code],$A26,T_SelfStock[WeekIndex],13)&gt;0)*(COUNTIFS(T_TTAFStock[RM_Code],$A26,T_TTAFStock[WeekIndex],13)&gt;0)&gt;0,SUMIFS(T_SelfStock[Self_Qty],T_SelfStock[RM_Code],$A26,T_SelfStock[WeekIndex],13)+SUMIFS(T_TTAFStock[TTAF_Qty],T_TTAFStock[RM_Code],$A26,T_TTAFStock[WeekIndex],13),M26+'Grid_Incoming'!N26-'Grid_Requirement'!N26))</f>
        <v/>
      </c>
      <c r="O26">
        <f>IF(COUNTIFS(T_StockCount[RM_Code],$A26,T_StockCount[WeekIndex],14)&gt;0,SUMIFS(T_StockCount[CountedQty],T_StockCount[RM_Code],$A26,T_StockCount[WeekIndex],14),IF((COUNTIFS(T_SelfStock[RM_Code],$A26,T_SelfStock[WeekIndex],14)&gt;0)*(COUNTIFS(T_TTAFStock[RM_Code],$A26,T_TTAFStock[WeekIndex],14)&gt;0)&gt;0,SUMIFS(T_SelfStock[Self_Qty],T_SelfStock[RM_Code],$A26,T_SelfStock[WeekIndex],14)+SUMIFS(T_TTAFStock[TTAF_Qty],T_TTAFStock[RM_Code],$A26,T_TTAFStock[WeekIndex],14),N26+'Grid_Incoming'!O26-'Grid_Requirement'!O26))</f>
        <v/>
      </c>
      <c r="P26">
        <f>IF(COUNTIFS(T_StockCount[RM_Code],$A26,T_StockCount[WeekIndex],15)&gt;0,SUMIFS(T_StockCount[CountedQty],T_StockCount[RM_Code],$A26,T_StockCount[WeekIndex],15),IF((COUNTIFS(T_SelfStock[RM_Code],$A26,T_SelfStock[WeekIndex],15)&gt;0)*(COUNTIFS(T_TTAFStock[RM_Code],$A26,T_TTAFStock[WeekIndex],15)&gt;0)&gt;0,SUMIFS(T_SelfStock[Self_Qty],T_SelfStock[RM_Code],$A26,T_SelfStock[WeekIndex],15)+SUMIFS(T_TTAFStock[TTAF_Qty],T_TTAFStock[RM_Code],$A26,T_TTAFStock[WeekIndex],15),O26+'Grid_Incoming'!P26-'Grid_Requirement'!P26))</f>
        <v/>
      </c>
      <c r="Q26">
        <f>IF(COUNTIFS(T_StockCount[RM_Code],$A26,T_StockCount[WeekIndex],16)&gt;0,SUMIFS(T_StockCount[CountedQty],T_StockCount[RM_Code],$A26,T_StockCount[WeekIndex],16),IF((COUNTIFS(T_SelfStock[RM_Code],$A26,T_SelfStock[WeekIndex],16)&gt;0)*(COUNTIFS(T_TTAFStock[RM_Code],$A26,T_TTAFStock[WeekIndex],16)&gt;0)&gt;0,SUMIFS(T_SelfStock[Self_Qty],T_SelfStock[RM_Code],$A26,T_SelfStock[WeekIndex],16)+SUMIFS(T_TTAFStock[TTAF_Qty],T_TTAFStock[RM_Code],$A26,T_TTAFStock[WeekIndex],16),P26+'Grid_Incoming'!Q26-'Grid_Requirement'!Q26))</f>
        <v/>
      </c>
      <c r="R26">
        <f>IF(COUNTIFS(T_StockCount[RM_Code],$A26,T_StockCount[WeekIndex],17)&gt;0,SUMIFS(T_StockCount[CountedQty],T_StockCount[RM_Code],$A26,T_StockCount[WeekIndex],17),IF((COUNTIFS(T_SelfStock[RM_Code],$A26,T_SelfStock[WeekIndex],17)&gt;0)*(COUNTIFS(T_TTAFStock[RM_Code],$A26,T_TTAFStock[WeekIndex],17)&gt;0)&gt;0,SUMIFS(T_SelfStock[Self_Qty],T_SelfStock[RM_Code],$A26,T_SelfStock[WeekIndex],17)+SUMIFS(T_TTAFStock[TTAF_Qty],T_TTAFStock[RM_Code],$A26,T_TTAFStock[WeekIndex],17),Q26+'Grid_Incoming'!R26-'Grid_Requirement'!R26))</f>
        <v/>
      </c>
      <c r="S26">
        <f>IF(COUNTIFS(T_StockCount[RM_Code],$A26,T_StockCount[WeekIndex],18)&gt;0,SUMIFS(T_StockCount[CountedQty],T_StockCount[RM_Code],$A26,T_StockCount[WeekIndex],18),IF((COUNTIFS(T_SelfStock[RM_Code],$A26,T_SelfStock[WeekIndex],18)&gt;0)*(COUNTIFS(T_TTAFStock[RM_Code],$A26,T_TTAFStock[WeekIndex],18)&gt;0)&gt;0,SUMIFS(T_SelfStock[Self_Qty],T_SelfStock[RM_Code],$A26,T_SelfStock[WeekIndex],18)+SUMIFS(T_TTAFStock[TTAF_Qty],T_TTAFStock[RM_Code],$A26,T_TTAFStock[WeekIndex],18),R26+'Grid_Incoming'!S26-'Grid_Requirement'!S26))</f>
        <v/>
      </c>
      <c r="T26">
        <f>IF(COUNTIFS(T_StockCount[RM_Code],$A26,T_StockCount[WeekIndex],19)&gt;0,SUMIFS(T_StockCount[CountedQty],T_StockCount[RM_Code],$A26,T_StockCount[WeekIndex],19),IF((COUNTIFS(T_SelfStock[RM_Code],$A26,T_SelfStock[WeekIndex],19)&gt;0)*(COUNTIFS(T_TTAFStock[RM_Code],$A26,T_TTAFStock[WeekIndex],19)&gt;0)&gt;0,SUMIFS(T_SelfStock[Self_Qty],T_SelfStock[RM_Code],$A26,T_SelfStock[WeekIndex],19)+SUMIFS(T_TTAFStock[TTAF_Qty],T_TTAFStock[RM_Code],$A26,T_TTAFStock[WeekIndex],19),S26+'Grid_Incoming'!T26-'Grid_Requirement'!T26))</f>
        <v/>
      </c>
      <c r="U26">
        <f>IF(COUNTIFS(T_StockCount[RM_Code],$A26,T_StockCount[WeekIndex],20)&gt;0,SUMIFS(T_StockCount[CountedQty],T_StockCount[RM_Code],$A26,T_StockCount[WeekIndex],20),IF((COUNTIFS(T_SelfStock[RM_Code],$A26,T_SelfStock[WeekIndex],20)&gt;0)*(COUNTIFS(T_TTAFStock[RM_Code],$A26,T_TTAFStock[WeekIndex],20)&gt;0)&gt;0,SUMIFS(T_SelfStock[Self_Qty],T_SelfStock[RM_Code],$A26,T_SelfStock[WeekIndex],20)+SUMIFS(T_TTAFStock[TTAF_Qty],T_TTAFStock[RM_Code],$A26,T_TTAFStock[WeekIndex],20),T26+'Grid_Incoming'!U26-'Grid_Requirement'!U26))</f>
        <v/>
      </c>
      <c r="V26">
        <f>IF(COUNTIFS(T_StockCount[RM_Code],$A26,T_StockCount[WeekIndex],21)&gt;0,SUMIFS(T_StockCount[CountedQty],T_StockCount[RM_Code],$A26,T_StockCount[WeekIndex],21),IF((COUNTIFS(T_SelfStock[RM_Code],$A26,T_SelfStock[WeekIndex],21)&gt;0)*(COUNTIFS(T_TTAFStock[RM_Code],$A26,T_TTAFStock[WeekIndex],21)&gt;0)&gt;0,SUMIFS(T_SelfStock[Self_Qty],T_SelfStock[RM_Code],$A26,T_SelfStock[WeekIndex],21)+SUMIFS(T_TTAFStock[TTAF_Qty],T_TTAFStock[RM_Code],$A26,T_TTAFStock[WeekIndex],21),U26+'Grid_Incoming'!V26-'Grid_Requirement'!V26))</f>
        <v/>
      </c>
      <c r="W26">
        <f>IF(COUNTIFS(T_StockCount[RM_Code],$A26,T_StockCount[WeekIndex],22)&gt;0,SUMIFS(T_StockCount[CountedQty],T_StockCount[RM_Code],$A26,T_StockCount[WeekIndex],22),IF((COUNTIFS(T_SelfStock[RM_Code],$A26,T_SelfStock[WeekIndex],22)&gt;0)*(COUNTIFS(T_TTAFStock[RM_Code],$A26,T_TTAFStock[WeekIndex],22)&gt;0)&gt;0,SUMIFS(T_SelfStock[Self_Qty],T_SelfStock[RM_Code],$A26,T_SelfStock[WeekIndex],22)+SUMIFS(T_TTAFStock[TTAF_Qty],T_TTAFStock[RM_Code],$A26,T_TTAFStock[WeekIndex],22),V26+'Grid_Incoming'!W26-'Grid_Requirement'!W26))</f>
        <v/>
      </c>
      <c r="X26">
        <f>IF(COUNTIFS(T_StockCount[RM_Code],$A26,T_StockCount[WeekIndex],23)&gt;0,SUMIFS(T_StockCount[CountedQty],T_StockCount[RM_Code],$A26,T_StockCount[WeekIndex],23),IF((COUNTIFS(T_SelfStock[RM_Code],$A26,T_SelfStock[WeekIndex],23)&gt;0)*(COUNTIFS(T_TTAFStock[RM_Code],$A26,T_TTAFStock[WeekIndex],23)&gt;0)&gt;0,SUMIFS(T_SelfStock[Self_Qty],T_SelfStock[RM_Code],$A26,T_SelfStock[WeekIndex],23)+SUMIFS(T_TTAFStock[TTAF_Qty],T_TTAFStock[RM_Code],$A26,T_TTAFStock[WeekIndex],23),W26+'Grid_Incoming'!X26-'Grid_Requirement'!X26))</f>
        <v/>
      </c>
      <c r="Y26">
        <f>IF(COUNTIFS(T_StockCount[RM_Code],$A26,T_StockCount[WeekIndex],24)&gt;0,SUMIFS(T_StockCount[CountedQty],T_StockCount[RM_Code],$A26,T_StockCount[WeekIndex],24),IF((COUNTIFS(T_SelfStock[RM_Code],$A26,T_SelfStock[WeekIndex],24)&gt;0)*(COUNTIFS(T_TTAFStock[RM_Code],$A26,T_TTAFStock[WeekIndex],24)&gt;0)&gt;0,SUMIFS(T_SelfStock[Self_Qty],T_SelfStock[RM_Code],$A26,T_SelfStock[WeekIndex],24)+SUMIFS(T_TTAFStock[TTAF_Qty],T_TTAFStock[RM_Code],$A26,T_TTAFStock[WeekIndex],24),X26+'Grid_Incoming'!Y26-'Grid_Requirement'!Y26))</f>
        <v/>
      </c>
      <c r="Z26">
        <f>IF(COUNTIFS(T_StockCount[RM_Code],$A26,T_StockCount[WeekIndex],25)&gt;0,SUMIFS(T_StockCount[CountedQty],T_StockCount[RM_Code],$A26,T_StockCount[WeekIndex],25),IF((COUNTIFS(T_SelfStock[RM_Code],$A26,T_SelfStock[WeekIndex],25)&gt;0)*(COUNTIFS(T_TTAFStock[RM_Code],$A26,T_TTAFStock[WeekIndex],25)&gt;0)&gt;0,SUMIFS(T_SelfStock[Self_Qty],T_SelfStock[RM_Code],$A26,T_SelfStock[WeekIndex],25)+SUMIFS(T_TTAFStock[TTAF_Qty],T_TTAFStock[RM_Code],$A26,T_TTAFStock[WeekIndex],25),Y26+'Grid_Incoming'!Z26-'Grid_Requirement'!Z26))</f>
        <v/>
      </c>
      <c r="AA26">
        <f>IF(COUNTIFS(T_StockCount[RM_Code],$A26,T_StockCount[WeekIndex],26)&gt;0,SUMIFS(T_StockCount[CountedQty],T_StockCount[RM_Code],$A26,T_StockCount[WeekIndex],26),IF((COUNTIFS(T_SelfStock[RM_Code],$A26,T_SelfStock[WeekIndex],26)&gt;0)*(COUNTIFS(T_TTAFStock[RM_Code],$A26,T_TTAFStock[WeekIndex],26)&gt;0)&gt;0,SUMIFS(T_SelfStock[Self_Qty],T_SelfStock[RM_Code],$A26,T_SelfStock[WeekIndex],26)+SUMIFS(T_TTAFStock[TTAF_Qty],T_TTAFStock[RM_Code],$A26,T_TTAFStock[WeekIndex],26),Z26+'Grid_Incoming'!AA26-'Grid_Requirement'!AA26))</f>
        <v/>
      </c>
      <c r="AB26">
        <f>IF(COUNTIFS(T_StockCount[RM_Code],$A26,T_StockCount[WeekIndex],27)&gt;0,SUMIFS(T_StockCount[CountedQty],T_StockCount[RM_Code],$A26,T_StockCount[WeekIndex],27),IF((COUNTIFS(T_SelfStock[RM_Code],$A26,T_SelfStock[WeekIndex],27)&gt;0)*(COUNTIFS(T_TTAFStock[RM_Code],$A26,T_TTAFStock[WeekIndex],27)&gt;0)&gt;0,SUMIFS(T_SelfStock[Self_Qty],T_SelfStock[RM_Code],$A26,T_SelfStock[WeekIndex],27)+SUMIFS(T_TTAFStock[TTAF_Qty],T_TTAFStock[RM_Code],$A26,T_TTAFStock[WeekIndex],27),AA26+'Grid_Incoming'!AB26-'Grid_Requirement'!AB26))</f>
        <v/>
      </c>
      <c r="AC26">
        <f>IF(COUNTIFS(T_StockCount[RM_Code],$A26,T_StockCount[WeekIndex],28)&gt;0,SUMIFS(T_StockCount[CountedQty],T_StockCount[RM_Code],$A26,T_StockCount[WeekIndex],28),IF((COUNTIFS(T_SelfStock[RM_Code],$A26,T_SelfStock[WeekIndex],28)&gt;0)*(COUNTIFS(T_TTAFStock[RM_Code],$A26,T_TTAFStock[WeekIndex],28)&gt;0)&gt;0,SUMIFS(T_SelfStock[Self_Qty],T_SelfStock[RM_Code],$A26,T_SelfStock[WeekIndex],28)+SUMIFS(T_TTAFStock[TTAF_Qty],T_TTAFStock[RM_Code],$A26,T_TTAFStock[WeekIndex],28),AB26+'Grid_Incoming'!AC26-'Grid_Requirement'!AC26))</f>
        <v/>
      </c>
      <c r="AD26">
        <f>IF(COUNTIFS(T_StockCount[RM_Code],$A26,T_StockCount[WeekIndex],29)&gt;0,SUMIFS(T_StockCount[CountedQty],T_StockCount[RM_Code],$A26,T_StockCount[WeekIndex],29),IF((COUNTIFS(T_SelfStock[RM_Code],$A26,T_SelfStock[WeekIndex],29)&gt;0)*(COUNTIFS(T_TTAFStock[RM_Code],$A26,T_TTAFStock[WeekIndex],29)&gt;0)&gt;0,SUMIFS(T_SelfStock[Self_Qty],T_SelfStock[RM_Code],$A26,T_SelfStock[WeekIndex],29)+SUMIFS(T_TTAFStock[TTAF_Qty],T_TTAFStock[RM_Code],$A26,T_TTAFStock[WeekIndex],29),AC26+'Grid_Incoming'!AD26-'Grid_Requirement'!AD26))</f>
        <v/>
      </c>
      <c r="AE26">
        <f>IF(COUNTIFS(T_StockCount[RM_Code],$A26,T_StockCount[WeekIndex],30)&gt;0,SUMIFS(T_StockCount[CountedQty],T_StockCount[RM_Code],$A26,T_StockCount[WeekIndex],30),IF((COUNTIFS(T_SelfStock[RM_Code],$A26,T_SelfStock[WeekIndex],30)&gt;0)*(COUNTIFS(T_TTAFStock[RM_Code],$A26,T_TTAFStock[WeekIndex],30)&gt;0)&gt;0,SUMIFS(T_SelfStock[Self_Qty],T_SelfStock[RM_Code],$A26,T_SelfStock[WeekIndex],30)+SUMIFS(T_TTAFStock[TTAF_Qty],T_TTAFStock[RM_Code],$A26,T_TTAFStock[WeekIndex],30),AD26+'Grid_Incoming'!AE26-'Grid_Requirement'!AE26))</f>
        <v/>
      </c>
      <c r="AF26">
        <f>IF(COUNTIFS(T_StockCount[RM_Code],$A26,T_StockCount[WeekIndex],31)&gt;0,SUMIFS(T_StockCount[CountedQty],T_StockCount[RM_Code],$A26,T_StockCount[WeekIndex],31),IF((COUNTIFS(T_SelfStock[RM_Code],$A26,T_SelfStock[WeekIndex],31)&gt;0)*(COUNTIFS(T_TTAFStock[RM_Code],$A26,T_TTAFStock[WeekIndex],31)&gt;0)&gt;0,SUMIFS(T_SelfStock[Self_Qty],T_SelfStock[RM_Code],$A26,T_SelfStock[WeekIndex],31)+SUMIFS(T_TTAFStock[TTAF_Qty],T_TTAFStock[RM_Code],$A26,T_TTAFStock[WeekIndex],31),AE26+'Grid_Incoming'!AF26-'Grid_Requirement'!AF26))</f>
        <v/>
      </c>
      <c r="AG26">
        <f>IF(COUNTIFS(T_StockCount[RM_Code],$A26,T_StockCount[WeekIndex],32)&gt;0,SUMIFS(T_StockCount[CountedQty],T_StockCount[RM_Code],$A26,T_StockCount[WeekIndex],32),IF((COUNTIFS(T_SelfStock[RM_Code],$A26,T_SelfStock[WeekIndex],32)&gt;0)*(COUNTIFS(T_TTAFStock[RM_Code],$A26,T_TTAFStock[WeekIndex],32)&gt;0)&gt;0,SUMIFS(T_SelfStock[Self_Qty],T_SelfStock[RM_Code],$A26,T_SelfStock[WeekIndex],32)+SUMIFS(T_TTAFStock[TTAF_Qty],T_TTAFStock[RM_Code],$A26,T_TTAFStock[WeekIndex],32),AF26+'Grid_Incoming'!AG26-'Grid_Requirement'!AG26))</f>
        <v/>
      </c>
      <c r="AH26">
        <f>IF(COUNTIFS(T_StockCount[RM_Code],$A26,T_StockCount[WeekIndex],33)&gt;0,SUMIFS(T_StockCount[CountedQty],T_StockCount[RM_Code],$A26,T_StockCount[WeekIndex],33),IF((COUNTIFS(T_SelfStock[RM_Code],$A26,T_SelfStock[WeekIndex],33)&gt;0)*(COUNTIFS(T_TTAFStock[RM_Code],$A26,T_TTAFStock[WeekIndex],33)&gt;0)&gt;0,SUMIFS(T_SelfStock[Self_Qty],T_SelfStock[RM_Code],$A26,T_SelfStock[WeekIndex],33)+SUMIFS(T_TTAFStock[TTAF_Qty],T_TTAFStock[RM_Code],$A26,T_TTAFStock[WeekIndex],33),AG26+'Grid_Incoming'!AH26-'Grid_Requirement'!AH26))</f>
        <v/>
      </c>
      <c r="AI26">
        <f>IF(COUNTIFS(T_StockCount[RM_Code],$A26,T_StockCount[WeekIndex],34)&gt;0,SUMIFS(T_StockCount[CountedQty],T_StockCount[RM_Code],$A26,T_StockCount[WeekIndex],34),IF((COUNTIFS(T_SelfStock[RM_Code],$A26,T_SelfStock[WeekIndex],34)&gt;0)*(COUNTIFS(T_TTAFStock[RM_Code],$A26,T_TTAFStock[WeekIndex],34)&gt;0)&gt;0,SUMIFS(T_SelfStock[Self_Qty],T_SelfStock[RM_Code],$A26,T_SelfStock[WeekIndex],34)+SUMIFS(T_TTAFStock[TTAF_Qty],T_TTAFStock[RM_Code],$A26,T_TTAFStock[WeekIndex],34),AH26+'Grid_Incoming'!AI26-'Grid_Requirement'!AI26))</f>
        <v/>
      </c>
      <c r="AJ26">
        <f>IF(COUNTIFS(T_StockCount[RM_Code],$A26,T_StockCount[WeekIndex],35)&gt;0,SUMIFS(T_StockCount[CountedQty],T_StockCount[RM_Code],$A26,T_StockCount[WeekIndex],35),IF((COUNTIFS(T_SelfStock[RM_Code],$A26,T_SelfStock[WeekIndex],35)&gt;0)*(COUNTIFS(T_TTAFStock[RM_Code],$A26,T_TTAFStock[WeekIndex],35)&gt;0)&gt;0,SUMIFS(T_SelfStock[Self_Qty],T_SelfStock[RM_Code],$A26,T_SelfStock[WeekIndex],35)+SUMIFS(T_TTAFStock[TTAF_Qty],T_TTAFStock[RM_Code],$A26,T_TTAFStock[WeekIndex],35),AI26+'Grid_Incoming'!AJ26-'Grid_Requirement'!AJ26))</f>
        <v/>
      </c>
      <c r="AK26">
        <f>IF(COUNTIFS(T_StockCount[RM_Code],$A26,T_StockCount[WeekIndex],36)&gt;0,SUMIFS(T_StockCount[CountedQty],T_StockCount[RM_Code],$A26,T_StockCount[WeekIndex],36),IF((COUNTIFS(T_SelfStock[RM_Code],$A26,T_SelfStock[WeekIndex],36)&gt;0)*(COUNTIFS(T_TTAFStock[RM_Code],$A26,T_TTAFStock[WeekIndex],36)&gt;0)&gt;0,SUMIFS(T_SelfStock[Self_Qty],T_SelfStock[RM_Code],$A26,T_SelfStock[WeekIndex],36)+SUMIFS(T_TTAFStock[TTAF_Qty],T_TTAFStock[RM_Code],$A26,T_TTAFStock[WeekIndex],36),AJ26+'Grid_Incoming'!AK26-'Grid_Requirement'!AK26))</f>
        <v/>
      </c>
      <c r="AL26">
        <f>IF(COUNTIFS(T_StockCount[RM_Code],$A26,T_StockCount[WeekIndex],37)&gt;0,SUMIFS(T_StockCount[CountedQty],T_StockCount[RM_Code],$A26,T_StockCount[WeekIndex],37),IF((COUNTIFS(T_SelfStock[RM_Code],$A26,T_SelfStock[WeekIndex],37)&gt;0)*(COUNTIFS(T_TTAFStock[RM_Code],$A26,T_TTAFStock[WeekIndex],37)&gt;0)&gt;0,SUMIFS(T_SelfStock[Self_Qty],T_SelfStock[RM_Code],$A26,T_SelfStock[WeekIndex],37)+SUMIFS(T_TTAFStock[TTAF_Qty],T_TTAFStock[RM_Code],$A26,T_TTAFStock[WeekIndex],37),AK26+'Grid_Incoming'!AL26-'Grid_Requirement'!AL26))</f>
        <v/>
      </c>
      <c r="AM26">
        <f>IF(COUNTIFS(T_StockCount[RM_Code],$A26,T_StockCount[WeekIndex],38)&gt;0,SUMIFS(T_StockCount[CountedQty],T_StockCount[RM_Code],$A26,T_StockCount[WeekIndex],38),IF((COUNTIFS(T_SelfStock[RM_Code],$A26,T_SelfStock[WeekIndex],38)&gt;0)*(COUNTIFS(T_TTAFStock[RM_Code],$A26,T_TTAFStock[WeekIndex],38)&gt;0)&gt;0,SUMIFS(T_SelfStock[Self_Qty],T_SelfStock[RM_Code],$A26,T_SelfStock[WeekIndex],38)+SUMIFS(T_TTAFStock[TTAF_Qty],T_TTAFStock[RM_Code],$A26,T_TTAFStock[WeekIndex],38),AL26+'Grid_Incoming'!AM26-'Grid_Requirement'!AM26))</f>
        <v/>
      </c>
      <c r="AN26">
        <f>IF(COUNTIFS(T_StockCount[RM_Code],$A26,T_StockCount[WeekIndex],39)&gt;0,SUMIFS(T_StockCount[CountedQty],T_StockCount[RM_Code],$A26,T_StockCount[WeekIndex],39),IF((COUNTIFS(T_SelfStock[RM_Code],$A26,T_SelfStock[WeekIndex],39)&gt;0)*(COUNTIFS(T_TTAFStock[RM_Code],$A26,T_TTAFStock[WeekIndex],39)&gt;0)&gt;0,SUMIFS(T_SelfStock[Self_Qty],T_SelfStock[RM_Code],$A26,T_SelfStock[WeekIndex],39)+SUMIFS(T_TTAFStock[TTAF_Qty],T_TTAFStock[RM_Code],$A26,T_TTAFStock[WeekIndex],39),AM26+'Grid_Incoming'!AN26-'Grid_Requirement'!AN26))</f>
        <v/>
      </c>
      <c r="AO26">
        <f>IF(COUNTIFS(T_StockCount[RM_Code],$A26,T_StockCount[WeekIndex],40)&gt;0,SUMIFS(T_StockCount[CountedQty],T_StockCount[RM_Code],$A26,T_StockCount[WeekIndex],40),IF((COUNTIFS(T_SelfStock[RM_Code],$A26,T_SelfStock[WeekIndex],40)&gt;0)*(COUNTIFS(T_TTAFStock[RM_Code],$A26,T_TTAFStock[WeekIndex],40)&gt;0)&gt;0,SUMIFS(T_SelfStock[Self_Qty],T_SelfStock[RM_Code],$A26,T_SelfStock[WeekIndex],40)+SUMIFS(T_TTAFStock[TTAF_Qty],T_TTAFStock[RM_Code],$A26,T_TTAFStock[WeekIndex],40),AN26+'Grid_Incoming'!AO26-'Grid_Requirement'!AO26))</f>
        <v/>
      </c>
      <c r="AP26">
        <f>IF(COUNTIFS(T_StockCount[RM_Code],$A26,T_StockCount[WeekIndex],41)&gt;0,SUMIFS(T_StockCount[CountedQty],T_StockCount[RM_Code],$A26,T_StockCount[WeekIndex],41),IF((COUNTIFS(T_SelfStock[RM_Code],$A26,T_SelfStock[WeekIndex],41)&gt;0)*(COUNTIFS(T_TTAFStock[RM_Code],$A26,T_TTAFStock[WeekIndex],41)&gt;0)&gt;0,SUMIFS(T_SelfStock[Self_Qty],T_SelfStock[RM_Code],$A26,T_SelfStock[WeekIndex],41)+SUMIFS(T_TTAFStock[TTAF_Qty],T_TTAFStock[RM_Code],$A26,T_TTAFStock[WeekIndex],41),AO26+'Grid_Incoming'!AP26-'Grid_Requirement'!AP26))</f>
        <v/>
      </c>
      <c r="AQ26">
        <f>IF(COUNTIFS(T_StockCount[RM_Code],$A26,T_StockCount[WeekIndex],42)&gt;0,SUMIFS(T_StockCount[CountedQty],T_StockCount[RM_Code],$A26,T_StockCount[WeekIndex],42),IF((COUNTIFS(T_SelfStock[RM_Code],$A26,T_SelfStock[WeekIndex],42)&gt;0)*(COUNTIFS(T_TTAFStock[RM_Code],$A26,T_TTAFStock[WeekIndex],42)&gt;0)&gt;0,SUMIFS(T_SelfStock[Self_Qty],T_SelfStock[RM_Code],$A26,T_SelfStock[WeekIndex],42)+SUMIFS(T_TTAFStock[TTAF_Qty],T_TTAFStock[RM_Code],$A26,T_TTAFStock[WeekIndex],42),AP26+'Grid_Incoming'!AQ26-'Grid_Requirement'!AQ26))</f>
        <v/>
      </c>
      <c r="AR26">
        <f>IF(COUNTIFS(T_StockCount[RM_Code],$A26,T_StockCount[WeekIndex],43)&gt;0,SUMIFS(T_StockCount[CountedQty],T_StockCount[RM_Code],$A26,T_StockCount[WeekIndex],43),IF((COUNTIFS(T_SelfStock[RM_Code],$A26,T_SelfStock[WeekIndex],43)&gt;0)*(COUNTIFS(T_TTAFStock[RM_Code],$A26,T_TTAFStock[WeekIndex],43)&gt;0)&gt;0,SUMIFS(T_SelfStock[Self_Qty],T_SelfStock[RM_Code],$A26,T_SelfStock[WeekIndex],43)+SUMIFS(T_TTAFStock[TTAF_Qty],T_TTAFStock[RM_Code],$A26,T_TTAFStock[WeekIndex],43),AQ26+'Grid_Incoming'!AR26-'Grid_Requirement'!AR26))</f>
        <v/>
      </c>
      <c r="AS26">
        <f>IF(COUNTIFS(T_StockCount[RM_Code],$A26,T_StockCount[WeekIndex],44)&gt;0,SUMIFS(T_StockCount[CountedQty],T_StockCount[RM_Code],$A26,T_StockCount[WeekIndex],44),IF((COUNTIFS(T_SelfStock[RM_Code],$A26,T_SelfStock[WeekIndex],44)&gt;0)*(COUNTIFS(T_TTAFStock[RM_Code],$A26,T_TTAFStock[WeekIndex],44)&gt;0)&gt;0,SUMIFS(T_SelfStock[Self_Qty],T_SelfStock[RM_Code],$A26,T_SelfStock[WeekIndex],44)+SUMIFS(T_TTAFStock[TTAF_Qty],T_TTAFStock[RM_Code],$A26,T_TTAFStock[WeekIndex],44),AR26+'Grid_Incoming'!AS26-'Grid_Requirement'!AS26))</f>
        <v/>
      </c>
      <c r="AT26">
        <f>IF(COUNTIFS(T_StockCount[RM_Code],$A26,T_StockCount[WeekIndex],45)&gt;0,SUMIFS(T_StockCount[CountedQty],T_StockCount[RM_Code],$A26,T_StockCount[WeekIndex],45),IF((COUNTIFS(T_SelfStock[RM_Code],$A26,T_SelfStock[WeekIndex],45)&gt;0)*(COUNTIFS(T_TTAFStock[RM_Code],$A26,T_TTAFStock[WeekIndex],45)&gt;0)&gt;0,SUMIFS(T_SelfStock[Self_Qty],T_SelfStock[RM_Code],$A26,T_SelfStock[WeekIndex],45)+SUMIFS(T_TTAFStock[TTAF_Qty],T_TTAFStock[RM_Code],$A26,T_TTAFStock[WeekIndex],45),AS26+'Grid_Incoming'!AT26-'Grid_Requirement'!AT26))</f>
        <v/>
      </c>
      <c r="AU26">
        <f>IF(COUNTIFS(T_StockCount[RM_Code],$A26,T_StockCount[WeekIndex],46)&gt;0,SUMIFS(T_StockCount[CountedQty],T_StockCount[RM_Code],$A26,T_StockCount[WeekIndex],46),IF((COUNTIFS(T_SelfStock[RM_Code],$A26,T_SelfStock[WeekIndex],46)&gt;0)*(COUNTIFS(T_TTAFStock[RM_Code],$A26,T_TTAFStock[WeekIndex],46)&gt;0)&gt;0,SUMIFS(T_SelfStock[Self_Qty],T_SelfStock[RM_Code],$A26,T_SelfStock[WeekIndex],46)+SUMIFS(T_TTAFStock[TTAF_Qty],T_TTAFStock[RM_Code],$A26,T_TTAFStock[WeekIndex],46),AT26+'Grid_Incoming'!AU26-'Grid_Requirement'!AU26))</f>
        <v/>
      </c>
      <c r="AV26">
        <f>IF(COUNTIFS(T_StockCount[RM_Code],$A26,T_StockCount[WeekIndex],47)&gt;0,SUMIFS(T_StockCount[CountedQty],T_StockCount[RM_Code],$A26,T_StockCount[WeekIndex],47),IF((COUNTIFS(T_SelfStock[RM_Code],$A26,T_SelfStock[WeekIndex],47)&gt;0)*(COUNTIFS(T_TTAFStock[RM_Code],$A26,T_TTAFStock[WeekIndex],47)&gt;0)&gt;0,SUMIFS(T_SelfStock[Self_Qty],T_SelfStock[RM_Code],$A26,T_SelfStock[WeekIndex],47)+SUMIFS(T_TTAFStock[TTAF_Qty],T_TTAFStock[RM_Code],$A26,T_TTAFStock[WeekIndex],47),AU26+'Grid_Incoming'!AV26-'Grid_Requirement'!AV26))</f>
        <v/>
      </c>
      <c r="AW26">
        <f>IF(COUNTIFS(T_StockCount[RM_Code],$A26,T_StockCount[WeekIndex],48)&gt;0,SUMIFS(T_StockCount[CountedQty],T_StockCount[RM_Code],$A26,T_StockCount[WeekIndex],48),IF((COUNTIFS(T_SelfStock[RM_Code],$A26,T_SelfStock[WeekIndex],48)&gt;0)*(COUNTIFS(T_TTAFStock[RM_Code],$A26,T_TTAFStock[WeekIndex],48)&gt;0)&gt;0,SUMIFS(T_SelfStock[Self_Qty],T_SelfStock[RM_Code],$A26,T_SelfStock[WeekIndex],48)+SUMIFS(T_TTAFStock[TTAF_Qty],T_TTAFStock[RM_Code],$A26,T_TTAFStock[WeekIndex],48),AV26+'Grid_Incoming'!AW26-'Grid_Requirement'!AW26))</f>
        <v/>
      </c>
      <c r="AX26">
        <f>IF(COUNTIFS(T_StockCount[RM_Code],$A26,T_StockCount[WeekIndex],49)&gt;0,SUMIFS(T_StockCount[CountedQty],T_StockCount[RM_Code],$A26,T_StockCount[WeekIndex],49),IF((COUNTIFS(T_SelfStock[RM_Code],$A26,T_SelfStock[WeekIndex],49)&gt;0)*(COUNTIFS(T_TTAFStock[RM_Code],$A26,T_TTAFStock[WeekIndex],49)&gt;0)&gt;0,SUMIFS(T_SelfStock[Self_Qty],T_SelfStock[RM_Code],$A26,T_SelfStock[WeekIndex],49)+SUMIFS(T_TTAFStock[TTAF_Qty],T_TTAFStock[RM_Code],$A26,T_TTAFStock[WeekIndex],49),AW26+'Grid_Incoming'!AX26-'Grid_Requirement'!AX26))</f>
        <v/>
      </c>
      <c r="AY26">
        <f>IF(COUNTIFS(T_StockCount[RM_Code],$A26,T_StockCount[WeekIndex],50)&gt;0,SUMIFS(T_StockCount[CountedQty],T_StockCount[RM_Code],$A26,T_StockCount[WeekIndex],50),IF((COUNTIFS(T_SelfStock[RM_Code],$A26,T_SelfStock[WeekIndex],50)&gt;0)*(COUNTIFS(T_TTAFStock[RM_Code],$A26,T_TTAFStock[WeekIndex],50)&gt;0)&gt;0,SUMIFS(T_SelfStock[Self_Qty],T_SelfStock[RM_Code],$A26,T_SelfStock[WeekIndex],50)+SUMIFS(T_TTAFStock[TTAF_Qty],T_TTAFStock[RM_Code],$A26,T_TTAFStock[WeekIndex],50),AX26+'Grid_Incoming'!AY26-'Grid_Requirement'!AY26))</f>
        <v/>
      </c>
      <c r="AZ26">
        <f>IF(COUNTIFS(T_StockCount[RM_Code],$A26,T_StockCount[WeekIndex],51)&gt;0,SUMIFS(T_StockCount[CountedQty],T_StockCount[RM_Code],$A26,T_StockCount[WeekIndex],51),IF((COUNTIFS(T_SelfStock[RM_Code],$A26,T_SelfStock[WeekIndex],51)&gt;0)*(COUNTIFS(T_TTAFStock[RM_Code],$A26,T_TTAFStock[WeekIndex],51)&gt;0)&gt;0,SUMIFS(T_SelfStock[Self_Qty],T_SelfStock[RM_Code],$A26,T_SelfStock[WeekIndex],51)+SUMIFS(T_TTAFStock[TTAF_Qty],T_TTAFStock[RM_Code],$A26,T_TTAFStock[WeekIndex],51),AY26+'Grid_Incoming'!AZ26-'Grid_Requirement'!AZ26))</f>
        <v/>
      </c>
      <c r="BA26">
        <f>IF(COUNTIFS(T_StockCount[RM_Code],$A26,T_StockCount[WeekIndex],52)&gt;0,SUMIFS(T_StockCount[CountedQty],T_StockCount[RM_Code],$A26,T_StockCount[WeekIndex],52),IF((COUNTIFS(T_SelfStock[RM_Code],$A26,T_SelfStock[WeekIndex],52)&gt;0)*(COUNTIFS(T_TTAFStock[RM_Code],$A26,T_TTAFStock[WeekIndex],52)&gt;0)&gt;0,SUMIFS(T_SelfStock[Self_Qty],T_SelfStock[RM_Code],$A26,T_SelfStock[WeekIndex],52)+SUMIFS(T_TTAFStock[TTAF_Qty],T_TTAFStock[RM_Code],$A26,T_TTAFStock[WeekIndex],52),AZ26+'Grid_Incoming'!BA26-'Grid_Requirement'!BA26))</f>
        <v/>
      </c>
      <c r="BB26">
        <f>IF(COUNTIFS(T_StockCount[RM_Code],$A26,T_StockCount[WeekIndex],53)&gt;0,SUMIFS(T_StockCount[CountedQty],T_StockCount[RM_Code],$A26,T_StockCount[WeekIndex],53),IF((COUNTIFS(T_SelfStock[RM_Code],$A26,T_SelfStock[WeekIndex],53)&gt;0)*(COUNTIFS(T_TTAFStock[RM_Code],$A26,T_TTAFStock[WeekIndex],53)&gt;0)&gt;0,SUMIFS(T_SelfStock[Self_Qty],T_SelfStock[RM_Code],$A26,T_SelfStock[WeekIndex],53)+SUMIFS(T_TTAFStock[TTAF_Qty],T_TTAFStock[RM_Code],$A26,T_TTAFStock[WeekIndex],53),BA26+'Grid_Incoming'!BB26-'Grid_Requirement'!BB26))</f>
        <v/>
      </c>
      <c r="BC26">
        <f>IF(COUNTIFS(T_StockCount[RM_Code],$A26,T_StockCount[WeekIndex],54)&gt;0,SUMIFS(T_StockCount[CountedQty],T_StockCount[RM_Code],$A26,T_StockCount[WeekIndex],54),IF((COUNTIFS(T_SelfStock[RM_Code],$A26,T_SelfStock[WeekIndex],54)&gt;0)*(COUNTIFS(T_TTAFStock[RM_Code],$A26,T_TTAFStock[WeekIndex],54)&gt;0)&gt;0,SUMIFS(T_SelfStock[Self_Qty],T_SelfStock[RM_Code],$A26,T_SelfStock[WeekIndex],54)+SUMIFS(T_TTAFStock[TTAF_Qty],T_TTAFStock[RM_Code],$A26,T_TTAFStock[WeekIndex],54),BB26+'Grid_Incoming'!BC26-'Grid_Requirement'!BC26))</f>
        <v/>
      </c>
      <c r="BD26">
        <f>IF(COUNTIFS(T_StockCount[RM_Code],$A26,T_StockCount[WeekIndex],55)&gt;0,SUMIFS(T_StockCount[CountedQty],T_StockCount[RM_Code],$A26,T_StockCount[WeekIndex],55),IF((COUNTIFS(T_SelfStock[RM_Code],$A26,T_SelfStock[WeekIndex],55)&gt;0)*(COUNTIFS(T_TTAFStock[RM_Code],$A26,T_TTAFStock[WeekIndex],55)&gt;0)&gt;0,SUMIFS(T_SelfStock[Self_Qty],T_SelfStock[RM_Code],$A26,T_SelfStock[WeekIndex],55)+SUMIFS(T_TTAFStock[TTAF_Qty],T_TTAFStock[RM_Code],$A26,T_TTAFStock[WeekIndex],55),BC26+'Grid_Incoming'!BD26-'Grid_Requirement'!BD26))</f>
        <v/>
      </c>
      <c r="BE26">
        <f>IF(COUNTIFS(T_StockCount[RM_Code],$A26,T_StockCount[WeekIndex],56)&gt;0,SUMIFS(T_StockCount[CountedQty],T_StockCount[RM_Code],$A26,T_StockCount[WeekIndex],56),IF((COUNTIFS(T_SelfStock[RM_Code],$A26,T_SelfStock[WeekIndex],56)&gt;0)*(COUNTIFS(T_TTAFStock[RM_Code],$A26,T_TTAFStock[WeekIndex],56)&gt;0)&gt;0,SUMIFS(T_SelfStock[Self_Qty],T_SelfStock[RM_Code],$A26,T_SelfStock[WeekIndex],56)+SUMIFS(T_TTAFStock[TTAF_Qty],T_TTAFStock[RM_Code],$A26,T_TTAFStock[WeekIndex],56),BD26+'Grid_Incoming'!BE26-'Grid_Requirement'!BE26))</f>
        <v/>
      </c>
      <c r="BF26">
        <f>IF(COUNTIFS(T_StockCount[RM_Code],$A26,T_StockCount[WeekIndex],57)&gt;0,SUMIFS(T_StockCount[CountedQty],T_StockCount[RM_Code],$A26,T_StockCount[WeekIndex],57),IF((COUNTIFS(T_SelfStock[RM_Code],$A26,T_SelfStock[WeekIndex],57)&gt;0)*(COUNTIFS(T_TTAFStock[RM_Code],$A26,T_TTAFStock[WeekIndex],57)&gt;0)&gt;0,SUMIFS(T_SelfStock[Self_Qty],T_SelfStock[RM_Code],$A26,T_SelfStock[WeekIndex],57)+SUMIFS(T_TTAFStock[TTAF_Qty],T_TTAFStock[RM_Code],$A26,T_TTAFStock[WeekIndex],57),BE26+'Grid_Incoming'!BF26-'Grid_Requirement'!BF26))</f>
        <v/>
      </c>
      <c r="BG26">
        <f>IF(COUNTIFS(T_StockCount[RM_Code],$A26,T_StockCount[WeekIndex],58)&gt;0,SUMIFS(T_StockCount[CountedQty],T_StockCount[RM_Code],$A26,T_StockCount[WeekIndex],58),IF((COUNTIFS(T_SelfStock[RM_Code],$A26,T_SelfStock[WeekIndex],58)&gt;0)*(COUNTIFS(T_TTAFStock[RM_Code],$A26,T_TTAFStock[WeekIndex],58)&gt;0)&gt;0,SUMIFS(T_SelfStock[Self_Qty],T_SelfStock[RM_Code],$A26,T_SelfStock[WeekIndex],58)+SUMIFS(T_TTAFStock[TTAF_Qty],T_TTAFStock[RM_Code],$A26,T_TTAFStock[WeekIndex],58),BF26+'Grid_Incoming'!BG26-'Grid_Requirement'!BG26))</f>
        <v/>
      </c>
      <c r="BH26">
        <f>IF(COUNTIFS(T_StockCount[RM_Code],$A26,T_StockCount[WeekIndex],59)&gt;0,SUMIFS(T_StockCount[CountedQty],T_StockCount[RM_Code],$A26,T_StockCount[WeekIndex],59),IF((COUNTIFS(T_SelfStock[RM_Code],$A26,T_SelfStock[WeekIndex],59)&gt;0)*(COUNTIFS(T_TTAFStock[RM_Code],$A26,T_TTAFStock[WeekIndex],59)&gt;0)&gt;0,SUMIFS(T_SelfStock[Self_Qty],T_SelfStock[RM_Code],$A26,T_SelfStock[WeekIndex],59)+SUMIFS(T_TTAFStock[TTAF_Qty],T_TTAFStock[RM_Code],$A26,T_TTAFStock[WeekIndex],59),BG26+'Grid_Incoming'!BH26-'Grid_Requirement'!BH26))</f>
        <v/>
      </c>
      <c r="BI26">
        <f>IF(COUNTIFS(T_StockCount[RM_Code],$A26,T_StockCount[WeekIndex],60)&gt;0,SUMIFS(T_StockCount[CountedQty],T_StockCount[RM_Code],$A26,T_StockCount[WeekIndex],60),IF((COUNTIFS(T_SelfStock[RM_Code],$A26,T_SelfStock[WeekIndex],60)&gt;0)*(COUNTIFS(T_TTAFStock[RM_Code],$A26,T_TTAFStock[WeekIndex],60)&gt;0)&gt;0,SUMIFS(T_SelfStock[Self_Qty],T_SelfStock[RM_Code],$A26,T_SelfStock[WeekIndex],60)+SUMIFS(T_TTAFStock[TTAF_Qty],T_TTAFStock[RM_Code],$A26,T_TTAFStock[WeekIndex],60),BH26+'Grid_Incoming'!BI26-'Grid_Requirement'!BI26))</f>
        <v/>
      </c>
      <c r="BJ26">
        <f>IF(COUNTIFS(T_StockCount[RM_Code],$A26,T_StockCount[WeekIndex],61)&gt;0,SUMIFS(T_StockCount[CountedQty],T_StockCount[RM_Code],$A26,T_StockCount[WeekIndex],61),IF((COUNTIFS(T_SelfStock[RM_Code],$A26,T_SelfStock[WeekIndex],61)&gt;0)*(COUNTIFS(T_TTAFStock[RM_Code],$A26,T_TTAFStock[WeekIndex],61)&gt;0)&gt;0,SUMIFS(T_SelfStock[Self_Qty],T_SelfStock[RM_Code],$A26,T_SelfStock[WeekIndex],61)+SUMIFS(T_TTAFStock[TTAF_Qty],T_TTAFStock[RM_Code],$A26,T_TTAFStock[WeekIndex],61),BI26+'Grid_Incoming'!BJ26-'Grid_Requirement'!BJ26))</f>
        <v/>
      </c>
      <c r="BK26">
        <f>IF(COUNTIFS(T_StockCount[RM_Code],$A26,T_StockCount[WeekIndex],62)&gt;0,SUMIFS(T_StockCount[CountedQty],T_StockCount[RM_Code],$A26,T_StockCount[WeekIndex],62),IF((COUNTIFS(T_SelfStock[RM_Code],$A26,T_SelfStock[WeekIndex],62)&gt;0)*(COUNTIFS(T_TTAFStock[RM_Code],$A26,T_TTAFStock[WeekIndex],62)&gt;0)&gt;0,SUMIFS(T_SelfStock[Self_Qty],T_SelfStock[RM_Code],$A26,T_SelfStock[WeekIndex],62)+SUMIFS(T_TTAFStock[TTAF_Qty],T_TTAFStock[RM_Code],$A26,T_TTAFStock[WeekIndex],62),BJ26+'Grid_Incoming'!BK26-'Grid_Requirement'!BK26))</f>
        <v/>
      </c>
      <c r="BL26">
        <f>IF(COUNTIFS(T_StockCount[RM_Code],$A26,T_StockCount[WeekIndex],63)&gt;0,SUMIFS(T_StockCount[CountedQty],T_StockCount[RM_Code],$A26,T_StockCount[WeekIndex],63),IF((COUNTIFS(T_SelfStock[RM_Code],$A26,T_SelfStock[WeekIndex],63)&gt;0)*(COUNTIFS(T_TTAFStock[RM_Code],$A26,T_TTAFStock[WeekIndex],63)&gt;0)&gt;0,SUMIFS(T_SelfStock[Self_Qty],T_SelfStock[RM_Code],$A26,T_SelfStock[WeekIndex],63)+SUMIFS(T_TTAFStock[TTAF_Qty],T_TTAFStock[RM_Code],$A26,T_TTAFStock[WeekIndex],63),BK26+'Grid_Incoming'!BL26-'Grid_Requirement'!BL26))</f>
        <v/>
      </c>
      <c r="BM26">
        <f>IF(COUNTIFS(T_StockCount[RM_Code],$A26,T_StockCount[WeekIndex],64)&gt;0,SUMIFS(T_StockCount[CountedQty],T_StockCount[RM_Code],$A26,T_StockCount[WeekIndex],64),IF((COUNTIFS(T_SelfStock[RM_Code],$A26,T_SelfStock[WeekIndex],64)&gt;0)*(COUNTIFS(T_TTAFStock[RM_Code],$A26,T_TTAFStock[WeekIndex],64)&gt;0)&gt;0,SUMIFS(T_SelfStock[Self_Qty],T_SelfStock[RM_Code],$A26,T_SelfStock[WeekIndex],64)+SUMIFS(T_TTAFStock[TTAF_Qty],T_TTAFStock[RM_Code],$A26,T_TTAFStock[WeekIndex],64),BL26+'Grid_Incoming'!BM26-'Grid_Requirement'!BM26))</f>
        <v/>
      </c>
      <c r="BN26">
        <f>IF(COUNTIFS(T_StockCount[RM_Code],$A26,T_StockCount[WeekIndex],65)&gt;0,SUMIFS(T_StockCount[CountedQty],T_StockCount[RM_Code],$A26,T_StockCount[WeekIndex],65),IF((COUNTIFS(T_SelfStock[RM_Code],$A26,T_SelfStock[WeekIndex],65)&gt;0)*(COUNTIFS(T_TTAFStock[RM_Code],$A26,T_TTAFStock[WeekIndex],65)&gt;0)&gt;0,SUMIFS(T_SelfStock[Self_Qty],T_SelfStock[RM_Code],$A26,T_SelfStock[WeekIndex],65)+SUMIFS(T_TTAFStock[TTAF_Qty],T_TTAFStock[RM_Code],$A26,T_TTAFStock[WeekIndex],65),BM26+'Grid_Incoming'!BN26-'Grid_Requirement'!BN26))</f>
        <v/>
      </c>
      <c r="BO26">
        <f>IF(COUNTIFS(T_StockCount[RM_Code],$A26,T_StockCount[WeekIndex],66)&gt;0,SUMIFS(T_StockCount[CountedQty],T_StockCount[RM_Code],$A26,T_StockCount[WeekIndex],66),IF((COUNTIFS(T_SelfStock[RM_Code],$A26,T_SelfStock[WeekIndex],66)&gt;0)*(COUNTIFS(T_TTAFStock[RM_Code],$A26,T_TTAFStock[WeekIndex],66)&gt;0)&gt;0,SUMIFS(T_SelfStock[Self_Qty],T_SelfStock[RM_Code],$A26,T_SelfStock[WeekIndex],66)+SUMIFS(T_TTAFStock[TTAF_Qty],T_TTAFStock[RM_Code],$A26,T_TTAFStock[WeekIndex],66),BN26+'Grid_Incoming'!BO26-'Grid_Requirement'!BO26))</f>
        <v/>
      </c>
      <c r="BP26">
        <f>IF(COUNTIFS(T_StockCount[RM_Code],$A26,T_StockCount[WeekIndex],67)&gt;0,SUMIFS(T_StockCount[CountedQty],T_StockCount[RM_Code],$A26,T_StockCount[WeekIndex],67),IF((COUNTIFS(T_SelfStock[RM_Code],$A26,T_SelfStock[WeekIndex],67)&gt;0)*(COUNTIFS(T_TTAFStock[RM_Code],$A26,T_TTAFStock[WeekIndex],67)&gt;0)&gt;0,SUMIFS(T_SelfStock[Self_Qty],T_SelfStock[RM_Code],$A26,T_SelfStock[WeekIndex],67)+SUMIFS(T_TTAFStock[TTAF_Qty],T_TTAFStock[RM_Code],$A26,T_TTAFStock[WeekIndex],67),BO26+'Grid_Incoming'!BP26-'Grid_Requirement'!BP26))</f>
        <v/>
      </c>
      <c r="BQ26">
        <f>IF(COUNTIFS(T_StockCount[RM_Code],$A26,T_StockCount[WeekIndex],68)&gt;0,SUMIFS(T_StockCount[CountedQty],T_StockCount[RM_Code],$A26,T_StockCount[WeekIndex],68),IF((COUNTIFS(T_SelfStock[RM_Code],$A26,T_SelfStock[WeekIndex],68)&gt;0)*(COUNTIFS(T_TTAFStock[RM_Code],$A26,T_TTAFStock[WeekIndex],68)&gt;0)&gt;0,SUMIFS(T_SelfStock[Self_Qty],T_SelfStock[RM_Code],$A26,T_SelfStock[WeekIndex],68)+SUMIFS(T_TTAFStock[TTAF_Qty],T_TTAFStock[RM_Code],$A26,T_TTAFStock[WeekIndex],68),BP26+'Grid_Incoming'!BQ26-'Grid_Requirement'!BQ26))</f>
        <v/>
      </c>
      <c r="BR26">
        <f>IF(COUNTIFS(T_StockCount[RM_Code],$A26,T_StockCount[WeekIndex],69)&gt;0,SUMIFS(T_StockCount[CountedQty],T_StockCount[RM_Code],$A26,T_StockCount[WeekIndex],69),IF((COUNTIFS(T_SelfStock[RM_Code],$A26,T_SelfStock[WeekIndex],69)&gt;0)*(COUNTIFS(T_TTAFStock[RM_Code],$A26,T_TTAFStock[WeekIndex],69)&gt;0)&gt;0,SUMIFS(T_SelfStock[Self_Qty],T_SelfStock[RM_Code],$A26,T_SelfStock[WeekIndex],69)+SUMIFS(T_TTAFStock[TTAF_Qty],T_TTAFStock[RM_Code],$A26,T_TTAFStock[WeekIndex],69),BQ26+'Grid_Incoming'!BR26-'Grid_Requirement'!BR26))</f>
        <v/>
      </c>
      <c r="BS26">
        <f>IF(COUNTIFS(T_StockCount[RM_Code],$A26,T_StockCount[WeekIndex],70)&gt;0,SUMIFS(T_StockCount[CountedQty],T_StockCount[RM_Code],$A26,T_StockCount[WeekIndex],70),IF((COUNTIFS(T_SelfStock[RM_Code],$A26,T_SelfStock[WeekIndex],70)&gt;0)*(COUNTIFS(T_TTAFStock[RM_Code],$A26,T_TTAFStock[WeekIndex],70)&gt;0)&gt;0,SUMIFS(T_SelfStock[Self_Qty],T_SelfStock[RM_Code],$A26,T_SelfStock[WeekIndex],70)+SUMIFS(T_TTAFStock[TTAF_Qty],T_TTAFStock[RM_Code],$A26,T_TTAFStock[WeekIndex],70),BR26+'Grid_Incoming'!BS26-'Grid_Requirement'!BS26))</f>
        <v/>
      </c>
      <c r="BT26">
        <f>IF(COUNTIFS(T_StockCount[RM_Code],$A26,T_StockCount[WeekIndex],71)&gt;0,SUMIFS(T_StockCount[CountedQty],T_StockCount[RM_Code],$A26,T_StockCount[WeekIndex],71),IF((COUNTIFS(T_SelfStock[RM_Code],$A26,T_SelfStock[WeekIndex],71)&gt;0)*(COUNTIFS(T_TTAFStock[RM_Code],$A26,T_TTAFStock[WeekIndex],71)&gt;0)&gt;0,SUMIFS(T_SelfStock[Self_Qty],T_SelfStock[RM_Code],$A26,T_SelfStock[WeekIndex],71)+SUMIFS(T_TTAFStock[TTAF_Qty],T_TTAFStock[RM_Code],$A26,T_TTAFStock[WeekIndex],71),BS26+'Grid_Incoming'!BT26-'Grid_Requirement'!BT26))</f>
        <v/>
      </c>
      <c r="BU26">
        <f>IF(COUNTIFS(T_StockCount[RM_Code],$A26,T_StockCount[WeekIndex],72)&gt;0,SUMIFS(T_StockCount[CountedQty],T_StockCount[RM_Code],$A26,T_StockCount[WeekIndex],72),IF((COUNTIFS(T_SelfStock[RM_Code],$A26,T_SelfStock[WeekIndex],72)&gt;0)*(COUNTIFS(T_TTAFStock[RM_Code],$A26,T_TTAFStock[WeekIndex],72)&gt;0)&gt;0,SUMIFS(T_SelfStock[Self_Qty],T_SelfStock[RM_Code],$A26,T_SelfStock[WeekIndex],72)+SUMIFS(T_TTAFStock[TTAF_Qty],T_TTAFStock[RM_Code],$A26,T_TTAFStock[WeekIndex],72),BT26+'Grid_Incoming'!BU26-'Grid_Requirement'!BU26))</f>
        <v/>
      </c>
      <c r="BV26">
        <f>IF(COUNTIFS(T_StockCount[RM_Code],$A26,T_StockCount[WeekIndex],73)&gt;0,SUMIFS(T_StockCount[CountedQty],T_StockCount[RM_Code],$A26,T_StockCount[WeekIndex],73),IF((COUNTIFS(T_SelfStock[RM_Code],$A26,T_SelfStock[WeekIndex],73)&gt;0)*(COUNTIFS(T_TTAFStock[RM_Code],$A26,T_TTAFStock[WeekIndex],73)&gt;0)&gt;0,SUMIFS(T_SelfStock[Self_Qty],T_SelfStock[RM_Code],$A26,T_SelfStock[WeekIndex],73)+SUMIFS(T_TTAFStock[TTAF_Qty],T_TTAFStock[RM_Code],$A26,T_TTAFStock[WeekIndex],73),BU26+'Grid_Incoming'!BV26-'Grid_Requirement'!BV26))</f>
        <v/>
      </c>
      <c r="BW26">
        <f>IF(COUNTIFS(T_StockCount[RM_Code],$A26,T_StockCount[WeekIndex],74)&gt;0,SUMIFS(T_StockCount[CountedQty],T_StockCount[RM_Code],$A26,T_StockCount[WeekIndex],74),IF((COUNTIFS(T_SelfStock[RM_Code],$A26,T_SelfStock[WeekIndex],74)&gt;0)*(COUNTIFS(T_TTAFStock[RM_Code],$A26,T_TTAFStock[WeekIndex],74)&gt;0)&gt;0,SUMIFS(T_SelfStock[Self_Qty],T_SelfStock[RM_Code],$A26,T_SelfStock[WeekIndex],74)+SUMIFS(T_TTAFStock[TTAF_Qty],T_TTAFStock[RM_Code],$A26,T_TTAFStock[WeekIndex],74),BV26+'Grid_Incoming'!BW26-'Grid_Requirement'!BW26))</f>
        <v/>
      </c>
      <c r="BX26">
        <f>IF(COUNTIFS(T_StockCount[RM_Code],$A26,T_StockCount[WeekIndex],75)&gt;0,SUMIFS(T_StockCount[CountedQty],T_StockCount[RM_Code],$A26,T_StockCount[WeekIndex],75),IF((COUNTIFS(T_SelfStock[RM_Code],$A26,T_SelfStock[WeekIndex],75)&gt;0)*(COUNTIFS(T_TTAFStock[RM_Code],$A26,T_TTAFStock[WeekIndex],75)&gt;0)&gt;0,SUMIFS(T_SelfStock[Self_Qty],T_SelfStock[RM_Code],$A26,T_SelfStock[WeekIndex],75)+SUMIFS(T_TTAFStock[TTAF_Qty],T_TTAFStock[RM_Code],$A26,T_TTAFStock[WeekIndex],75),BW26+'Grid_Incoming'!BX26-'Grid_Requirement'!BX26))</f>
        <v/>
      </c>
      <c r="BY26">
        <f>IF(COUNTIFS(T_StockCount[RM_Code],$A26,T_StockCount[WeekIndex],76)&gt;0,SUMIFS(T_StockCount[CountedQty],T_StockCount[RM_Code],$A26,T_StockCount[WeekIndex],76),IF((COUNTIFS(T_SelfStock[RM_Code],$A26,T_SelfStock[WeekIndex],76)&gt;0)*(COUNTIFS(T_TTAFStock[RM_Code],$A26,T_TTAFStock[WeekIndex],76)&gt;0)&gt;0,SUMIFS(T_SelfStock[Self_Qty],T_SelfStock[RM_Code],$A26,T_SelfStock[WeekIndex],76)+SUMIFS(T_TTAFStock[TTAF_Qty],T_TTAFStock[RM_Code],$A26,T_TTAFStock[WeekIndex],76),BX26+'Grid_Incoming'!BY26-'Grid_Requirement'!BY26))</f>
        <v/>
      </c>
      <c r="BZ26">
        <f>IF(COUNTIFS(T_StockCount[RM_Code],$A26,T_StockCount[WeekIndex],77)&gt;0,SUMIFS(T_StockCount[CountedQty],T_StockCount[RM_Code],$A26,T_StockCount[WeekIndex],77),IF((COUNTIFS(T_SelfStock[RM_Code],$A26,T_SelfStock[WeekIndex],77)&gt;0)*(COUNTIFS(T_TTAFStock[RM_Code],$A26,T_TTAFStock[WeekIndex],77)&gt;0)&gt;0,SUMIFS(T_SelfStock[Self_Qty],T_SelfStock[RM_Code],$A26,T_SelfStock[WeekIndex],77)+SUMIFS(T_TTAFStock[TTAF_Qty],T_TTAFStock[RM_Code],$A26,T_TTAFStock[WeekIndex],77),BY26+'Grid_Incoming'!BZ26-'Grid_Requirement'!BZ26))</f>
        <v/>
      </c>
      <c r="CA26">
        <f>IF(COUNTIFS(T_StockCount[RM_Code],$A26,T_StockCount[WeekIndex],78)&gt;0,SUMIFS(T_StockCount[CountedQty],T_StockCount[RM_Code],$A26,T_StockCount[WeekIndex],78),IF((COUNTIFS(T_SelfStock[RM_Code],$A26,T_SelfStock[WeekIndex],78)&gt;0)*(COUNTIFS(T_TTAFStock[RM_Code],$A26,T_TTAFStock[WeekIndex],78)&gt;0)&gt;0,SUMIFS(T_SelfStock[Self_Qty],T_SelfStock[RM_Code],$A26,T_SelfStock[WeekIndex],78)+SUMIFS(T_TTAFStock[TTAF_Qty],T_TTAFStock[RM_Code],$A26,T_TTAFStock[WeekIndex],78),BZ26+'Grid_Incoming'!CA26-'Grid_Requirement'!CA26))</f>
        <v/>
      </c>
      <c r="CB26">
        <f>IF(COUNTIFS(T_StockCount[RM_Code],$A26,T_StockCount[WeekIndex],79)&gt;0,SUMIFS(T_StockCount[CountedQty],T_StockCount[RM_Code],$A26,T_StockCount[WeekIndex],79),IF((COUNTIFS(T_SelfStock[RM_Code],$A26,T_SelfStock[WeekIndex],79)&gt;0)*(COUNTIFS(T_TTAFStock[RM_Code],$A26,T_TTAFStock[WeekIndex],79)&gt;0)&gt;0,SUMIFS(T_SelfStock[Self_Qty],T_SelfStock[RM_Code],$A26,T_SelfStock[WeekIndex],79)+SUMIFS(T_TTAFStock[TTAF_Qty],T_TTAFStock[RM_Code],$A26,T_TTAFStock[WeekIndex],79),CA26+'Grid_Incoming'!CB26-'Grid_Requirement'!CB26))</f>
        <v/>
      </c>
      <c r="CC26">
        <f>IF(COUNTIFS(T_StockCount[RM_Code],$A26,T_StockCount[WeekIndex],80)&gt;0,SUMIFS(T_StockCount[CountedQty],T_StockCount[RM_Code],$A26,T_StockCount[WeekIndex],80),IF((COUNTIFS(T_SelfStock[RM_Code],$A26,T_SelfStock[WeekIndex],80)&gt;0)*(COUNTIFS(T_TTAFStock[RM_Code],$A26,T_TTAFStock[WeekIndex],80)&gt;0)&gt;0,SUMIFS(T_SelfStock[Self_Qty],T_SelfStock[RM_Code],$A26,T_SelfStock[WeekIndex],80)+SUMIFS(T_TTAFStock[TTAF_Qty],T_TTAFStock[RM_Code],$A26,T_TTAFStock[WeekIndex],80),CB26+'Grid_Incoming'!CC26-'Grid_Requirement'!CC26))</f>
        <v/>
      </c>
      <c r="CD26">
        <f>IF(COUNTIFS(T_StockCount[RM_Code],$A26,T_StockCount[WeekIndex],81)&gt;0,SUMIFS(T_StockCount[CountedQty],T_StockCount[RM_Code],$A26,T_StockCount[WeekIndex],81),IF((COUNTIFS(T_SelfStock[RM_Code],$A26,T_SelfStock[WeekIndex],81)&gt;0)*(COUNTIFS(T_TTAFStock[RM_Code],$A26,T_TTAFStock[WeekIndex],81)&gt;0)&gt;0,SUMIFS(T_SelfStock[Self_Qty],T_SelfStock[RM_Code],$A26,T_SelfStock[WeekIndex],81)+SUMIFS(T_TTAFStock[TTAF_Qty],T_TTAFStock[RM_Code],$A26,T_TTAFStock[WeekIndex],81),CC26+'Grid_Incoming'!CD26-'Grid_Requirement'!CD26))</f>
        <v/>
      </c>
      <c r="CE26">
        <f>IF(COUNTIFS(T_StockCount[RM_Code],$A26,T_StockCount[WeekIndex],82)&gt;0,SUMIFS(T_StockCount[CountedQty],T_StockCount[RM_Code],$A26,T_StockCount[WeekIndex],82),IF((COUNTIFS(T_SelfStock[RM_Code],$A26,T_SelfStock[WeekIndex],82)&gt;0)*(COUNTIFS(T_TTAFStock[RM_Code],$A26,T_TTAFStock[WeekIndex],82)&gt;0)&gt;0,SUMIFS(T_SelfStock[Self_Qty],T_SelfStock[RM_Code],$A26,T_SelfStock[WeekIndex],82)+SUMIFS(T_TTAFStock[TTAF_Qty],T_TTAFStock[RM_Code],$A26,T_TTAFStock[WeekIndex],82),CD26+'Grid_Incoming'!CE26-'Grid_Requirement'!CE26))</f>
        <v/>
      </c>
      <c r="CF26">
        <f>IF(COUNTIFS(T_StockCount[RM_Code],$A26,T_StockCount[WeekIndex],83)&gt;0,SUMIFS(T_StockCount[CountedQty],T_StockCount[RM_Code],$A26,T_StockCount[WeekIndex],83),IF((COUNTIFS(T_SelfStock[RM_Code],$A26,T_SelfStock[WeekIndex],83)&gt;0)*(COUNTIFS(T_TTAFStock[RM_Code],$A26,T_TTAFStock[WeekIndex],83)&gt;0)&gt;0,SUMIFS(T_SelfStock[Self_Qty],T_SelfStock[RM_Code],$A26,T_SelfStock[WeekIndex],83)+SUMIFS(T_TTAFStock[TTAF_Qty],T_TTAFStock[RM_Code],$A26,T_TTAFStock[WeekIndex],83),CE26+'Grid_Incoming'!CF26-'Grid_Requirement'!CF26))</f>
        <v/>
      </c>
      <c r="CG26">
        <f>IF(COUNTIFS(T_StockCount[RM_Code],$A26,T_StockCount[WeekIndex],84)&gt;0,SUMIFS(T_StockCount[CountedQty],T_StockCount[RM_Code],$A26,T_StockCount[WeekIndex],84),IF((COUNTIFS(T_SelfStock[RM_Code],$A26,T_SelfStock[WeekIndex],84)&gt;0)*(COUNTIFS(T_TTAFStock[RM_Code],$A26,T_TTAFStock[WeekIndex],84)&gt;0)&gt;0,SUMIFS(T_SelfStock[Self_Qty],T_SelfStock[RM_Code],$A26,T_SelfStock[WeekIndex],84)+SUMIFS(T_TTAFStock[TTAF_Qty],T_TTAFStock[RM_Code],$A26,T_TTAFStock[WeekIndex],84),CF26+'Grid_Incoming'!CG26-'Grid_Requirement'!CG26))</f>
        <v/>
      </c>
      <c r="CH26">
        <f>IF(COUNTIFS(T_StockCount[RM_Code],$A26,T_StockCount[WeekIndex],85)&gt;0,SUMIFS(T_StockCount[CountedQty],T_StockCount[RM_Code],$A26,T_StockCount[WeekIndex],85),IF((COUNTIFS(T_SelfStock[RM_Code],$A26,T_SelfStock[WeekIndex],85)&gt;0)*(COUNTIFS(T_TTAFStock[RM_Code],$A26,T_TTAFStock[WeekIndex],85)&gt;0)&gt;0,SUMIFS(T_SelfStock[Self_Qty],T_SelfStock[RM_Code],$A26,T_SelfStock[WeekIndex],85)+SUMIFS(T_TTAFStock[TTAF_Qty],T_TTAFStock[RM_Code],$A26,T_TTAFStock[WeekIndex],85),CG26+'Grid_Incoming'!CH26-'Grid_Requirement'!CH26))</f>
        <v/>
      </c>
      <c r="CI26">
        <f>IF(COUNTIFS(T_StockCount[RM_Code],$A26,T_StockCount[WeekIndex],86)&gt;0,SUMIFS(T_StockCount[CountedQty],T_StockCount[RM_Code],$A26,T_StockCount[WeekIndex],86),IF((COUNTIFS(T_SelfStock[RM_Code],$A26,T_SelfStock[WeekIndex],86)&gt;0)*(COUNTIFS(T_TTAFStock[RM_Code],$A26,T_TTAFStock[WeekIndex],86)&gt;0)&gt;0,SUMIFS(T_SelfStock[Self_Qty],T_SelfStock[RM_Code],$A26,T_SelfStock[WeekIndex],86)+SUMIFS(T_TTAFStock[TTAF_Qty],T_TTAFStock[RM_Code],$A26,T_TTAFStock[WeekIndex],86),CH26+'Grid_Incoming'!CI26-'Grid_Requirement'!CI26))</f>
        <v/>
      </c>
      <c r="CJ26">
        <f>IF(COUNTIFS(T_StockCount[RM_Code],$A26,T_StockCount[WeekIndex],87)&gt;0,SUMIFS(T_StockCount[CountedQty],T_StockCount[RM_Code],$A26,T_StockCount[WeekIndex],87),IF((COUNTIFS(T_SelfStock[RM_Code],$A26,T_SelfStock[WeekIndex],87)&gt;0)*(COUNTIFS(T_TTAFStock[RM_Code],$A26,T_TTAFStock[WeekIndex],87)&gt;0)&gt;0,SUMIFS(T_SelfStock[Self_Qty],T_SelfStock[RM_Code],$A26,T_SelfStock[WeekIndex],87)+SUMIFS(T_TTAFStock[TTAF_Qty],T_TTAFStock[RM_Code],$A26,T_TTAFStock[WeekIndex],87),CI26+'Grid_Incoming'!CJ26-'Grid_Requirement'!CJ26))</f>
        <v/>
      </c>
      <c r="CK26">
        <f>IF(COUNTIFS(T_StockCount[RM_Code],$A26,T_StockCount[WeekIndex],88)&gt;0,SUMIFS(T_StockCount[CountedQty],T_StockCount[RM_Code],$A26,T_StockCount[WeekIndex],88),IF((COUNTIFS(T_SelfStock[RM_Code],$A26,T_SelfStock[WeekIndex],88)&gt;0)*(COUNTIFS(T_TTAFStock[RM_Code],$A26,T_TTAFStock[WeekIndex],88)&gt;0)&gt;0,SUMIFS(T_SelfStock[Self_Qty],T_SelfStock[RM_Code],$A26,T_SelfStock[WeekIndex],88)+SUMIFS(T_TTAFStock[TTAF_Qty],T_TTAFStock[RM_Code],$A26,T_TTAFStock[WeekIndex],88),CJ26+'Grid_Incoming'!CK26-'Grid_Requirement'!CK26))</f>
        <v/>
      </c>
      <c r="CL26">
        <f>IF(COUNTIFS(T_StockCount[RM_Code],$A26,T_StockCount[WeekIndex],89)&gt;0,SUMIFS(T_StockCount[CountedQty],T_StockCount[RM_Code],$A26,T_StockCount[WeekIndex],89),IF((COUNTIFS(T_SelfStock[RM_Code],$A26,T_SelfStock[WeekIndex],89)&gt;0)*(COUNTIFS(T_TTAFStock[RM_Code],$A26,T_TTAFStock[WeekIndex],89)&gt;0)&gt;0,SUMIFS(T_SelfStock[Self_Qty],T_SelfStock[RM_Code],$A26,T_SelfStock[WeekIndex],89)+SUMIFS(T_TTAFStock[TTAF_Qty],T_TTAFStock[RM_Code],$A26,T_TTAFStock[WeekIndex],89),CK26+'Grid_Incoming'!CL26-'Grid_Requirement'!CL26))</f>
        <v/>
      </c>
      <c r="CM26">
        <f>IF(COUNTIFS(T_StockCount[RM_Code],$A26,T_StockCount[WeekIndex],90)&gt;0,SUMIFS(T_StockCount[CountedQty],T_StockCount[RM_Code],$A26,T_StockCount[WeekIndex],90),IF((COUNTIFS(T_SelfStock[RM_Code],$A26,T_SelfStock[WeekIndex],90)&gt;0)*(COUNTIFS(T_TTAFStock[RM_Code],$A26,T_TTAFStock[WeekIndex],90)&gt;0)&gt;0,SUMIFS(T_SelfStock[Self_Qty],T_SelfStock[RM_Code],$A26,T_SelfStock[WeekIndex],90)+SUMIFS(T_TTAFStock[TTAF_Qty],T_TTAFStock[RM_Code],$A26,T_TTAFStock[WeekIndex],90),CL26+'Grid_Incoming'!CM26-'Grid_Requirement'!CM26))</f>
        <v/>
      </c>
      <c r="CN26">
        <f>IF(COUNTIFS(T_StockCount[RM_Code],$A26,T_StockCount[WeekIndex],91)&gt;0,SUMIFS(T_StockCount[CountedQty],T_StockCount[RM_Code],$A26,T_StockCount[WeekIndex],91),IF((COUNTIFS(T_SelfStock[RM_Code],$A26,T_SelfStock[WeekIndex],91)&gt;0)*(COUNTIFS(T_TTAFStock[RM_Code],$A26,T_TTAFStock[WeekIndex],91)&gt;0)&gt;0,SUMIFS(T_SelfStock[Self_Qty],T_SelfStock[RM_Code],$A26,T_SelfStock[WeekIndex],91)+SUMIFS(T_TTAFStock[TTAF_Qty],T_TTAFStock[RM_Code],$A26,T_TTAFStock[WeekIndex],91),CM26+'Grid_Incoming'!CN26-'Grid_Requirement'!CN26))</f>
        <v/>
      </c>
      <c r="CO26">
        <f>IF(COUNTIFS(T_StockCount[RM_Code],$A26,T_StockCount[WeekIndex],92)&gt;0,SUMIFS(T_StockCount[CountedQty],T_StockCount[RM_Code],$A26,T_StockCount[WeekIndex],92),IF((COUNTIFS(T_SelfStock[RM_Code],$A26,T_SelfStock[WeekIndex],92)&gt;0)*(COUNTIFS(T_TTAFStock[RM_Code],$A26,T_TTAFStock[WeekIndex],92)&gt;0)&gt;0,SUMIFS(T_SelfStock[Self_Qty],T_SelfStock[RM_Code],$A26,T_SelfStock[WeekIndex],92)+SUMIFS(T_TTAFStock[TTAF_Qty],T_TTAFStock[RM_Code],$A26,T_TTAFStock[WeekIndex],92),CN26+'Grid_Incoming'!CO26-'Grid_Requirement'!CO26))</f>
        <v/>
      </c>
      <c r="CP26">
        <f>IF(COUNTIFS(T_StockCount[RM_Code],$A26,T_StockCount[WeekIndex],93)&gt;0,SUMIFS(T_StockCount[CountedQty],T_StockCount[RM_Code],$A26,T_StockCount[WeekIndex],93),IF((COUNTIFS(T_SelfStock[RM_Code],$A26,T_SelfStock[WeekIndex],93)&gt;0)*(COUNTIFS(T_TTAFStock[RM_Code],$A26,T_TTAFStock[WeekIndex],93)&gt;0)&gt;0,SUMIFS(T_SelfStock[Self_Qty],T_SelfStock[RM_Code],$A26,T_SelfStock[WeekIndex],93)+SUMIFS(T_TTAFStock[TTAF_Qty],T_TTAFStock[RM_Code],$A26,T_TTAFStock[WeekIndex],93),CO26+'Grid_Incoming'!CP26-'Grid_Requirement'!CP26))</f>
        <v/>
      </c>
      <c r="CQ26">
        <f>IF(COUNTIFS(T_StockCount[RM_Code],$A26,T_StockCount[WeekIndex],94)&gt;0,SUMIFS(T_StockCount[CountedQty],T_StockCount[RM_Code],$A26,T_StockCount[WeekIndex],94),IF((COUNTIFS(T_SelfStock[RM_Code],$A26,T_SelfStock[WeekIndex],94)&gt;0)*(COUNTIFS(T_TTAFStock[RM_Code],$A26,T_TTAFStock[WeekIndex],94)&gt;0)&gt;0,SUMIFS(T_SelfStock[Self_Qty],T_SelfStock[RM_Code],$A26,T_SelfStock[WeekIndex],94)+SUMIFS(T_TTAFStock[TTAF_Qty],T_TTAFStock[RM_Code],$A26,T_TTAFStock[WeekIndex],94),CP26+'Grid_Incoming'!CQ26-'Grid_Requirement'!CQ26))</f>
        <v/>
      </c>
      <c r="CR26">
        <f>IF(COUNTIFS(T_StockCount[RM_Code],$A26,T_StockCount[WeekIndex],95)&gt;0,SUMIFS(T_StockCount[CountedQty],T_StockCount[RM_Code],$A26,T_StockCount[WeekIndex],95),IF((COUNTIFS(T_SelfStock[RM_Code],$A26,T_SelfStock[WeekIndex],95)&gt;0)*(COUNTIFS(T_TTAFStock[RM_Code],$A26,T_TTAFStock[WeekIndex],95)&gt;0)&gt;0,SUMIFS(T_SelfStock[Self_Qty],T_SelfStock[RM_Code],$A26,T_SelfStock[WeekIndex],95)+SUMIFS(T_TTAFStock[TTAF_Qty],T_TTAFStock[RM_Code],$A26,T_TTAFStock[WeekIndex],95),CQ26+'Grid_Incoming'!CR26-'Grid_Requirement'!CR26))</f>
        <v/>
      </c>
      <c r="CS26">
        <f>IF(COUNTIFS(T_StockCount[RM_Code],$A26,T_StockCount[WeekIndex],96)&gt;0,SUMIFS(T_StockCount[CountedQty],T_StockCount[RM_Code],$A26,T_StockCount[WeekIndex],96),IF((COUNTIFS(T_SelfStock[RM_Code],$A26,T_SelfStock[WeekIndex],96)&gt;0)*(COUNTIFS(T_TTAFStock[RM_Code],$A26,T_TTAFStock[WeekIndex],96)&gt;0)&gt;0,SUMIFS(T_SelfStock[Self_Qty],T_SelfStock[RM_Code],$A26,T_SelfStock[WeekIndex],96)+SUMIFS(T_TTAFStock[TTAF_Qty],T_TTAFStock[RM_Code],$A26,T_TTAFStock[WeekIndex],96),CR26+'Grid_Incoming'!CS26-'Grid_Requirement'!CS26))</f>
        <v/>
      </c>
      <c r="CT26">
        <f>IF(COUNTIFS(T_StockCount[RM_Code],$A26,T_StockCount[WeekIndex],97)&gt;0,SUMIFS(T_StockCount[CountedQty],T_StockCount[RM_Code],$A26,T_StockCount[WeekIndex],97),IF((COUNTIFS(T_SelfStock[RM_Code],$A26,T_SelfStock[WeekIndex],97)&gt;0)*(COUNTIFS(T_TTAFStock[RM_Code],$A26,T_TTAFStock[WeekIndex],97)&gt;0)&gt;0,SUMIFS(T_SelfStock[Self_Qty],T_SelfStock[RM_Code],$A26,T_SelfStock[WeekIndex],97)+SUMIFS(T_TTAFStock[TTAF_Qty],T_TTAFStock[RM_Code],$A26,T_TTAFStock[WeekIndex],97),CS26+'Grid_Incoming'!CT26-'Grid_Requirement'!CT26))</f>
        <v/>
      </c>
      <c r="CU26">
        <f>IF(COUNTIFS(T_StockCount[RM_Code],$A26,T_StockCount[WeekIndex],98)&gt;0,SUMIFS(T_StockCount[CountedQty],T_StockCount[RM_Code],$A26,T_StockCount[WeekIndex],98),IF((COUNTIFS(T_SelfStock[RM_Code],$A26,T_SelfStock[WeekIndex],98)&gt;0)*(COUNTIFS(T_TTAFStock[RM_Code],$A26,T_TTAFStock[WeekIndex],98)&gt;0)&gt;0,SUMIFS(T_SelfStock[Self_Qty],T_SelfStock[RM_Code],$A26,T_SelfStock[WeekIndex],98)+SUMIFS(T_TTAFStock[TTAF_Qty],T_TTAFStock[RM_Code],$A26,T_TTAFStock[WeekIndex],98),CT26+'Grid_Incoming'!CU26-'Grid_Requirement'!CU26))</f>
        <v/>
      </c>
      <c r="CV26">
        <f>IF(COUNTIFS(T_StockCount[RM_Code],$A26,T_StockCount[WeekIndex],99)&gt;0,SUMIFS(T_StockCount[CountedQty],T_StockCount[RM_Code],$A26,T_StockCount[WeekIndex],99),IF((COUNTIFS(T_SelfStock[RM_Code],$A26,T_SelfStock[WeekIndex],99)&gt;0)*(COUNTIFS(T_TTAFStock[RM_Code],$A26,T_TTAFStock[WeekIndex],99)&gt;0)&gt;0,SUMIFS(T_SelfStock[Self_Qty],T_SelfStock[RM_Code],$A26,T_SelfStock[WeekIndex],99)+SUMIFS(T_TTAFStock[TTAF_Qty],T_TTAFStock[RM_Code],$A26,T_TTAFStock[WeekIndex],99),CU26+'Grid_Incoming'!CV26-'Grid_Requirement'!CV26))</f>
        <v/>
      </c>
      <c r="CW26">
        <f>IF(COUNTIFS(T_StockCount[RM_Code],$A26,T_StockCount[WeekIndex],100)&gt;0,SUMIFS(T_StockCount[CountedQty],T_StockCount[RM_Code],$A26,T_StockCount[WeekIndex],100),IF((COUNTIFS(T_SelfStock[RM_Code],$A26,T_SelfStock[WeekIndex],100)&gt;0)*(COUNTIFS(T_TTAFStock[RM_Code],$A26,T_TTAFStock[WeekIndex],100)&gt;0)&gt;0,SUMIFS(T_SelfStock[Self_Qty],T_SelfStock[RM_Code],$A26,T_SelfStock[WeekIndex],100)+SUMIFS(T_TTAFStock[TTAF_Qty],T_TTAFStock[RM_Code],$A26,T_TTAFStock[WeekIndex],100),CV26+'Grid_Incoming'!CW26-'Grid_Requirement'!CW26))</f>
        <v/>
      </c>
      <c r="CX26">
        <f>IF(COUNTIFS(T_StockCount[RM_Code],$A26,T_StockCount[WeekIndex],101)&gt;0,SUMIFS(T_StockCount[CountedQty],T_StockCount[RM_Code],$A26,T_StockCount[WeekIndex],101),IF((COUNTIFS(T_SelfStock[RM_Code],$A26,T_SelfStock[WeekIndex],101)&gt;0)*(COUNTIFS(T_TTAFStock[RM_Code],$A26,T_TTAFStock[WeekIndex],101)&gt;0)&gt;0,SUMIFS(T_SelfStock[Self_Qty],T_SelfStock[RM_Code],$A26,T_SelfStock[WeekIndex],101)+SUMIFS(T_TTAFStock[TTAF_Qty],T_TTAFStock[RM_Code],$A26,T_TTAFStock[WeekIndex],101),CW26+'Grid_Incoming'!CX26-'Grid_Requirement'!CX26))</f>
        <v/>
      </c>
      <c r="CY26">
        <f>IF(COUNTIFS(T_StockCount[RM_Code],$A26,T_StockCount[WeekIndex],102)&gt;0,SUMIFS(T_StockCount[CountedQty],T_StockCount[RM_Code],$A26,T_StockCount[WeekIndex],102),IF((COUNTIFS(T_SelfStock[RM_Code],$A26,T_SelfStock[WeekIndex],102)&gt;0)*(COUNTIFS(T_TTAFStock[RM_Code],$A26,T_TTAFStock[WeekIndex],102)&gt;0)&gt;0,SUMIFS(T_SelfStock[Self_Qty],T_SelfStock[RM_Code],$A26,T_SelfStock[WeekIndex],102)+SUMIFS(T_TTAFStock[TTAF_Qty],T_TTAFStock[RM_Code],$A26,T_TTAFStock[WeekIndex],102),CX26+'Grid_Incoming'!CY26-'Grid_Requirement'!CY26))</f>
        <v/>
      </c>
      <c r="CZ26">
        <f>IF(COUNTIFS(T_StockCount[RM_Code],$A26,T_StockCount[WeekIndex],103)&gt;0,SUMIFS(T_StockCount[CountedQty],T_StockCount[RM_Code],$A26,T_StockCount[WeekIndex],103),IF((COUNTIFS(T_SelfStock[RM_Code],$A26,T_SelfStock[WeekIndex],103)&gt;0)*(COUNTIFS(T_TTAFStock[RM_Code],$A26,T_TTAFStock[WeekIndex],103)&gt;0)&gt;0,SUMIFS(T_SelfStock[Self_Qty],T_SelfStock[RM_Code],$A26,T_SelfStock[WeekIndex],103)+SUMIFS(T_TTAFStock[TTAF_Qty],T_TTAFStock[RM_Code],$A26,T_TTAFStock[WeekIndex],103),CY26+'Grid_Incoming'!CZ26-'Grid_Requirement'!CZ26))</f>
        <v/>
      </c>
      <c r="DA26">
        <f>IF(COUNTIFS(T_StockCount[RM_Code],$A26,T_StockCount[WeekIndex],104)&gt;0,SUMIFS(T_StockCount[CountedQty],T_StockCount[RM_Code],$A26,T_StockCount[WeekIndex],104),IF((COUNTIFS(T_SelfStock[RM_Code],$A26,T_SelfStock[WeekIndex],104)&gt;0)*(COUNTIFS(T_TTAFStock[RM_Code],$A26,T_TTAFStock[WeekIndex],104)&gt;0)&gt;0,SUMIFS(T_SelfStock[Self_Qty],T_SelfStock[RM_Code],$A26,T_SelfStock[WeekIndex],104)+SUMIFS(T_TTAFStock[TTAF_Qty],T_TTAFStock[RM_Code],$A26,T_TTAFStock[WeekIndex],104),CZ26+'Grid_Incoming'!DA26-'Grid_Requirement'!DA26))</f>
        <v/>
      </c>
    </row>
    <row r="27">
      <c r="A27" t="inlineStr">
        <is>
          <t>Original Towel</t>
        </is>
      </c>
      <c r="B27">
        <f>IF(COUNTIFS(T_StockCount[RM_Code],$A27,T_StockCount[WeekIndex],1)&gt;0,SUMIFS(T_StockCount[CountedQty],T_StockCount[RM_Code],$A27,T_StockCount[WeekIndex],1),IF((COUNTIFS(T_SelfStock[RM_Code],$A27,T_SelfStock[WeekIndex],1)&gt;0)*(COUNTIFS(T_TTAFStock[RM_Code],$A27,T_TTAFStock[WeekIndex],1)&gt;0)&gt;0,SUMIFS(T_SelfStock[Self_Qty],T_SelfStock[RM_Code],$A27,T_SelfStock[WeekIndex],1)+SUMIFS(T_TTAFStock[TTAF_Qty],T_TTAFStock[RM_Code],$A27,T_TTAFStock[WeekIndex],1),IFERROR(INDEX(T_OpeningStock[Opening_Qty],MATCH($A27,T_OpeningStock[RM_Code],0)),0)+'Grid_Incoming'!B27-'Grid_Requirement'!B27))</f>
        <v/>
      </c>
      <c r="C27">
        <f>IF(COUNTIFS(T_StockCount[RM_Code],$A27,T_StockCount[WeekIndex],2)&gt;0,SUMIFS(T_StockCount[CountedQty],T_StockCount[RM_Code],$A27,T_StockCount[WeekIndex],2),IF((COUNTIFS(T_SelfStock[RM_Code],$A27,T_SelfStock[WeekIndex],2)&gt;0)*(COUNTIFS(T_TTAFStock[RM_Code],$A27,T_TTAFStock[WeekIndex],2)&gt;0)&gt;0,SUMIFS(T_SelfStock[Self_Qty],T_SelfStock[RM_Code],$A27,T_SelfStock[WeekIndex],2)+SUMIFS(T_TTAFStock[TTAF_Qty],T_TTAFStock[RM_Code],$A27,T_TTAFStock[WeekIndex],2),B27+'Grid_Incoming'!C27-'Grid_Requirement'!C27))</f>
        <v/>
      </c>
      <c r="D27">
        <f>IF(COUNTIFS(T_StockCount[RM_Code],$A27,T_StockCount[WeekIndex],3)&gt;0,SUMIFS(T_StockCount[CountedQty],T_StockCount[RM_Code],$A27,T_StockCount[WeekIndex],3),IF((COUNTIFS(T_SelfStock[RM_Code],$A27,T_SelfStock[WeekIndex],3)&gt;0)*(COUNTIFS(T_TTAFStock[RM_Code],$A27,T_TTAFStock[WeekIndex],3)&gt;0)&gt;0,SUMIFS(T_SelfStock[Self_Qty],T_SelfStock[RM_Code],$A27,T_SelfStock[WeekIndex],3)+SUMIFS(T_TTAFStock[TTAF_Qty],T_TTAFStock[RM_Code],$A27,T_TTAFStock[WeekIndex],3),C27+'Grid_Incoming'!D27-'Grid_Requirement'!D27))</f>
        <v/>
      </c>
      <c r="E27">
        <f>IF(COUNTIFS(T_StockCount[RM_Code],$A27,T_StockCount[WeekIndex],4)&gt;0,SUMIFS(T_StockCount[CountedQty],T_StockCount[RM_Code],$A27,T_StockCount[WeekIndex],4),IF((COUNTIFS(T_SelfStock[RM_Code],$A27,T_SelfStock[WeekIndex],4)&gt;0)*(COUNTIFS(T_TTAFStock[RM_Code],$A27,T_TTAFStock[WeekIndex],4)&gt;0)&gt;0,SUMIFS(T_SelfStock[Self_Qty],T_SelfStock[RM_Code],$A27,T_SelfStock[WeekIndex],4)+SUMIFS(T_TTAFStock[TTAF_Qty],T_TTAFStock[RM_Code],$A27,T_TTAFStock[WeekIndex],4),D27+'Grid_Incoming'!E27-'Grid_Requirement'!E27))</f>
        <v/>
      </c>
      <c r="F27">
        <f>IF(COUNTIFS(T_StockCount[RM_Code],$A27,T_StockCount[WeekIndex],5)&gt;0,SUMIFS(T_StockCount[CountedQty],T_StockCount[RM_Code],$A27,T_StockCount[WeekIndex],5),IF((COUNTIFS(T_SelfStock[RM_Code],$A27,T_SelfStock[WeekIndex],5)&gt;0)*(COUNTIFS(T_TTAFStock[RM_Code],$A27,T_TTAFStock[WeekIndex],5)&gt;0)&gt;0,SUMIFS(T_SelfStock[Self_Qty],T_SelfStock[RM_Code],$A27,T_SelfStock[WeekIndex],5)+SUMIFS(T_TTAFStock[TTAF_Qty],T_TTAFStock[RM_Code],$A27,T_TTAFStock[WeekIndex],5),E27+'Grid_Incoming'!F27-'Grid_Requirement'!F27))</f>
        <v/>
      </c>
      <c r="G27">
        <f>IF(COUNTIFS(T_StockCount[RM_Code],$A27,T_StockCount[WeekIndex],6)&gt;0,SUMIFS(T_StockCount[CountedQty],T_StockCount[RM_Code],$A27,T_StockCount[WeekIndex],6),IF((COUNTIFS(T_SelfStock[RM_Code],$A27,T_SelfStock[WeekIndex],6)&gt;0)*(COUNTIFS(T_TTAFStock[RM_Code],$A27,T_TTAFStock[WeekIndex],6)&gt;0)&gt;0,SUMIFS(T_SelfStock[Self_Qty],T_SelfStock[RM_Code],$A27,T_SelfStock[WeekIndex],6)+SUMIFS(T_TTAFStock[TTAF_Qty],T_TTAFStock[RM_Code],$A27,T_TTAFStock[WeekIndex],6),F27+'Grid_Incoming'!G27-'Grid_Requirement'!G27))</f>
        <v/>
      </c>
      <c r="H27">
        <f>IF(COUNTIFS(T_StockCount[RM_Code],$A27,T_StockCount[WeekIndex],7)&gt;0,SUMIFS(T_StockCount[CountedQty],T_StockCount[RM_Code],$A27,T_StockCount[WeekIndex],7),IF((COUNTIFS(T_SelfStock[RM_Code],$A27,T_SelfStock[WeekIndex],7)&gt;0)*(COUNTIFS(T_TTAFStock[RM_Code],$A27,T_TTAFStock[WeekIndex],7)&gt;0)&gt;0,SUMIFS(T_SelfStock[Self_Qty],T_SelfStock[RM_Code],$A27,T_SelfStock[WeekIndex],7)+SUMIFS(T_TTAFStock[TTAF_Qty],T_TTAFStock[RM_Code],$A27,T_TTAFStock[WeekIndex],7),G27+'Grid_Incoming'!H27-'Grid_Requirement'!H27))</f>
        <v/>
      </c>
      <c r="I27">
        <f>IF(COUNTIFS(T_StockCount[RM_Code],$A27,T_StockCount[WeekIndex],8)&gt;0,SUMIFS(T_StockCount[CountedQty],T_StockCount[RM_Code],$A27,T_StockCount[WeekIndex],8),IF((COUNTIFS(T_SelfStock[RM_Code],$A27,T_SelfStock[WeekIndex],8)&gt;0)*(COUNTIFS(T_TTAFStock[RM_Code],$A27,T_TTAFStock[WeekIndex],8)&gt;0)&gt;0,SUMIFS(T_SelfStock[Self_Qty],T_SelfStock[RM_Code],$A27,T_SelfStock[WeekIndex],8)+SUMIFS(T_TTAFStock[TTAF_Qty],T_TTAFStock[RM_Code],$A27,T_TTAFStock[WeekIndex],8),H27+'Grid_Incoming'!I27-'Grid_Requirement'!I27))</f>
        <v/>
      </c>
      <c r="J27">
        <f>IF(COUNTIFS(T_StockCount[RM_Code],$A27,T_StockCount[WeekIndex],9)&gt;0,SUMIFS(T_StockCount[CountedQty],T_StockCount[RM_Code],$A27,T_StockCount[WeekIndex],9),IF((COUNTIFS(T_SelfStock[RM_Code],$A27,T_SelfStock[WeekIndex],9)&gt;0)*(COUNTIFS(T_TTAFStock[RM_Code],$A27,T_TTAFStock[WeekIndex],9)&gt;0)&gt;0,SUMIFS(T_SelfStock[Self_Qty],T_SelfStock[RM_Code],$A27,T_SelfStock[WeekIndex],9)+SUMIFS(T_TTAFStock[TTAF_Qty],T_TTAFStock[RM_Code],$A27,T_TTAFStock[WeekIndex],9),I27+'Grid_Incoming'!J27-'Grid_Requirement'!J27))</f>
        <v/>
      </c>
      <c r="K27">
        <f>IF(COUNTIFS(T_StockCount[RM_Code],$A27,T_StockCount[WeekIndex],10)&gt;0,SUMIFS(T_StockCount[CountedQty],T_StockCount[RM_Code],$A27,T_StockCount[WeekIndex],10),IF((COUNTIFS(T_SelfStock[RM_Code],$A27,T_SelfStock[WeekIndex],10)&gt;0)*(COUNTIFS(T_TTAFStock[RM_Code],$A27,T_TTAFStock[WeekIndex],10)&gt;0)&gt;0,SUMIFS(T_SelfStock[Self_Qty],T_SelfStock[RM_Code],$A27,T_SelfStock[WeekIndex],10)+SUMIFS(T_TTAFStock[TTAF_Qty],T_TTAFStock[RM_Code],$A27,T_TTAFStock[WeekIndex],10),J27+'Grid_Incoming'!K27-'Grid_Requirement'!K27))</f>
        <v/>
      </c>
      <c r="L27">
        <f>IF(COUNTIFS(T_StockCount[RM_Code],$A27,T_StockCount[WeekIndex],11)&gt;0,SUMIFS(T_StockCount[CountedQty],T_StockCount[RM_Code],$A27,T_StockCount[WeekIndex],11),IF((COUNTIFS(T_SelfStock[RM_Code],$A27,T_SelfStock[WeekIndex],11)&gt;0)*(COUNTIFS(T_TTAFStock[RM_Code],$A27,T_TTAFStock[WeekIndex],11)&gt;0)&gt;0,SUMIFS(T_SelfStock[Self_Qty],T_SelfStock[RM_Code],$A27,T_SelfStock[WeekIndex],11)+SUMIFS(T_TTAFStock[TTAF_Qty],T_TTAFStock[RM_Code],$A27,T_TTAFStock[WeekIndex],11),K27+'Grid_Incoming'!L27-'Grid_Requirement'!L27))</f>
        <v/>
      </c>
      <c r="M27">
        <f>IF(COUNTIFS(T_StockCount[RM_Code],$A27,T_StockCount[WeekIndex],12)&gt;0,SUMIFS(T_StockCount[CountedQty],T_StockCount[RM_Code],$A27,T_StockCount[WeekIndex],12),IF((COUNTIFS(T_SelfStock[RM_Code],$A27,T_SelfStock[WeekIndex],12)&gt;0)*(COUNTIFS(T_TTAFStock[RM_Code],$A27,T_TTAFStock[WeekIndex],12)&gt;0)&gt;0,SUMIFS(T_SelfStock[Self_Qty],T_SelfStock[RM_Code],$A27,T_SelfStock[WeekIndex],12)+SUMIFS(T_TTAFStock[TTAF_Qty],T_TTAFStock[RM_Code],$A27,T_TTAFStock[WeekIndex],12),L27+'Grid_Incoming'!M27-'Grid_Requirement'!M27))</f>
        <v/>
      </c>
      <c r="N27">
        <f>IF(COUNTIFS(T_StockCount[RM_Code],$A27,T_StockCount[WeekIndex],13)&gt;0,SUMIFS(T_StockCount[CountedQty],T_StockCount[RM_Code],$A27,T_StockCount[WeekIndex],13),IF((COUNTIFS(T_SelfStock[RM_Code],$A27,T_SelfStock[WeekIndex],13)&gt;0)*(COUNTIFS(T_TTAFStock[RM_Code],$A27,T_TTAFStock[WeekIndex],13)&gt;0)&gt;0,SUMIFS(T_SelfStock[Self_Qty],T_SelfStock[RM_Code],$A27,T_SelfStock[WeekIndex],13)+SUMIFS(T_TTAFStock[TTAF_Qty],T_TTAFStock[RM_Code],$A27,T_TTAFStock[WeekIndex],13),M27+'Grid_Incoming'!N27-'Grid_Requirement'!N27))</f>
        <v/>
      </c>
      <c r="O27">
        <f>IF(COUNTIFS(T_StockCount[RM_Code],$A27,T_StockCount[WeekIndex],14)&gt;0,SUMIFS(T_StockCount[CountedQty],T_StockCount[RM_Code],$A27,T_StockCount[WeekIndex],14),IF((COUNTIFS(T_SelfStock[RM_Code],$A27,T_SelfStock[WeekIndex],14)&gt;0)*(COUNTIFS(T_TTAFStock[RM_Code],$A27,T_TTAFStock[WeekIndex],14)&gt;0)&gt;0,SUMIFS(T_SelfStock[Self_Qty],T_SelfStock[RM_Code],$A27,T_SelfStock[WeekIndex],14)+SUMIFS(T_TTAFStock[TTAF_Qty],T_TTAFStock[RM_Code],$A27,T_TTAFStock[WeekIndex],14),N27+'Grid_Incoming'!O27-'Grid_Requirement'!O27))</f>
        <v/>
      </c>
      <c r="P27">
        <f>IF(COUNTIFS(T_StockCount[RM_Code],$A27,T_StockCount[WeekIndex],15)&gt;0,SUMIFS(T_StockCount[CountedQty],T_StockCount[RM_Code],$A27,T_StockCount[WeekIndex],15),IF((COUNTIFS(T_SelfStock[RM_Code],$A27,T_SelfStock[WeekIndex],15)&gt;0)*(COUNTIFS(T_TTAFStock[RM_Code],$A27,T_TTAFStock[WeekIndex],15)&gt;0)&gt;0,SUMIFS(T_SelfStock[Self_Qty],T_SelfStock[RM_Code],$A27,T_SelfStock[WeekIndex],15)+SUMIFS(T_TTAFStock[TTAF_Qty],T_TTAFStock[RM_Code],$A27,T_TTAFStock[WeekIndex],15),O27+'Grid_Incoming'!P27-'Grid_Requirement'!P27))</f>
        <v/>
      </c>
      <c r="Q27">
        <f>IF(COUNTIFS(T_StockCount[RM_Code],$A27,T_StockCount[WeekIndex],16)&gt;0,SUMIFS(T_StockCount[CountedQty],T_StockCount[RM_Code],$A27,T_StockCount[WeekIndex],16),IF((COUNTIFS(T_SelfStock[RM_Code],$A27,T_SelfStock[WeekIndex],16)&gt;0)*(COUNTIFS(T_TTAFStock[RM_Code],$A27,T_TTAFStock[WeekIndex],16)&gt;0)&gt;0,SUMIFS(T_SelfStock[Self_Qty],T_SelfStock[RM_Code],$A27,T_SelfStock[WeekIndex],16)+SUMIFS(T_TTAFStock[TTAF_Qty],T_TTAFStock[RM_Code],$A27,T_TTAFStock[WeekIndex],16),P27+'Grid_Incoming'!Q27-'Grid_Requirement'!Q27))</f>
        <v/>
      </c>
      <c r="R27">
        <f>IF(COUNTIFS(T_StockCount[RM_Code],$A27,T_StockCount[WeekIndex],17)&gt;0,SUMIFS(T_StockCount[CountedQty],T_StockCount[RM_Code],$A27,T_StockCount[WeekIndex],17),IF((COUNTIFS(T_SelfStock[RM_Code],$A27,T_SelfStock[WeekIndex],17)&gt;0)*(COUNTIFS(T_TTAFStock[RM_Code],$A27,T_TTAFStock[WeekIndex],17)&gt;0)&gt;0,SUMIFS(T_SelfStock[Self_Qty],T_SelfStock[RM_Code],$A27,T_SelfStock[WeekIndex],17)+SUMIFS(T_TTAFStock[TTAF_Qty],T_TTAFStock[RM_Code],$A27,T_TTAFStock[WeekIndex],17),Q27+'Grid_Incoming'!R27-'Grid_Requirement'!R27))</f>
        <v/>
      </c>
      <c r="S27">
        <f>IF(COUNTIFS(T_StockCount[RM_Code],$A27,T_StockCount[WeekIndex],18)&gt;0,SUMIFS(T_StockCount[CountedQty],T_StockCount[RM_Code],$A27,T_StockCount[WeekIndex],18),IF((COUNTIFS(T_SelfStock[RM_Code],$A27,T_SelfStock[WeekIndex],18)&gt;0)*(COUNTIFS(T_TTAFStock[RM_Code],$A27,T_TTAFStock[WeekIndex],18)&gt;0)&gt;0,SUMIFS(T_SelfStock[Self_Qty],T_SelfStock[RM_Code],$A27,T_SelfStock[WeekIndex],18)+SUMIFS(T_TTAFStock[TTAF_Qty],T_TTAFStock[RM_Code],$A27,T_TTAFStock[WeekIndex],18),R27+'Grid_Incoming'!S27-'Grid_Requirement'!S27))</f>
        <v/>
      </c>
      <c r="T27">
        <f>IF(COUNTIFS(T_StockCount[RM_Code],$A27,T_StockCount[WeekIndex],19)&gt;0,SUMIFS(T_StockCount[CountedQty],T_StockCount[RM_Code],$A27,T_StockCount[WeekIndex],19),IF((COUNTIFS(T_SelfStock[RM_Code],$A27,T_SelfStock[WeekIndex],19)&gt;0)*(COUNTIFS(T_TTAFStock[RM_Code],$A27,T_TTAFStock[WeekIndex],19)&gt;0)&gt;0,SUMIFS(T_SelfStock[Self_Qty],T_SelfStock[RM_Code],$A27,T_SelfStock[WeekIndex],19)+SUMIFS(T_TTAFStock[TTAF_Qty],T_TTAFStock[RM_Code],$A27,T_TTAFStock[WeekIndex],19),S27+'Grid_Incoming'!T27-'Grid_Requirement'!T27))</f>
        <v/>
      </c>
      <c r="U27">
        <f>IF(COUNTIFS(T_StockCount[RM_Code],$A27,T_StockCount[WeekIndex],20)&gt;0,SUMIFS(T_StockCount[CountedQty],T_StockCount[RM_Code],$A27,T_StockCount[WeekIndex],20),IF((COUNTIFS(T_SelfStock[RM_Code],$A27,T_SelfStock[WeekIndex],20)&gt;0)*(COUNTIFS(T_TTAFStock[RM_Code],$A27,T_TTAFStock[WeekIndex],20)&gt;0)&gt;0,SUMIFS(T_SelfStock[Self_Qty],T_SelfStock[RM_Code],$A27,T_SelfStock[WeekIndex],20)+SUMIFS(T_TTAFStock[TTAF_Qty],T_TTAFStock[RM_Code],$A27,T_TTAFStock[WeekIndex],20),T27+'Grid_Incoming'!U27-'Grid_Requirement'!U27))</f>
        <v/>
      </c>
      <c r="V27">
        <f>IF(COUNTIFS(T_StockCount[RM_Code],$A27,T_StockCount[WeekIndex],21)&gt;0,SUMIFS(T_StockCount[CountedQty],T_StockCount[RM_Code],$A27,T_StockCount[WeekIndex],21),IF((COUNTIFS(T_SelfStock[RM_Code],$A27,T_SelfStock[WeekIndex],21)&gt;0)*(COUNTIFS(T_TTAFStock[RM_Code],$A27,T_TTAFStock[WeekIndex],21)&gt;0)&gt;0,SUMIFS(T_SelfStock[Self_Qty],T_SelfStock[RM_Code],$A27,T_SelfStock[WeekIndex],21)+SUMIFS(T_TTAFStock[TTAF_Qty],T_TTAFStock[RM_Code],$A27,T_TTAFStock[WeekIndex],21),U27+'Grid_Incoming'!V27-'Grid_Requirement'!V27))</f>
        <v/>
      </c>
      <c r="W27">
        <f>IF(COUNTIFS(T_StockCount[RM_Code],$A27,T_StockCount[WeekIndex],22)&gt;0,SUMIFS(T_StockCount[CountedQty],T_StockCount[RM_Code],$A27,T_StockCount[WeekIndex],22),IF((COUNTIFS(T_SelfStock[RM_Code],$A27,T_SelfStock[WeekIndex],22)&gt;0)*(COUNTIFS(T_TTAFStock[RM_Code],$A27,T_TTAFStock[WeekIndex],22)&gt;0)&gt;0,SUMIFS(T_SelfStock[Self_Qty],T_SelfStock[RM_Code],$A27,T_SelfStock[WeekIndex],22)+SUMIFS(T_TTAFStock[TTAF_Qty],T_TTAFStock[RM_Code],$A27,T_TTAFStock[WeekIndex],22),V27+'Grid_Incoming'!W27-'Grid_Requirement'!W27))</f>
        <v/>
      </c>
      <c r="X27">
        <f>IF(COUNTIFS(T_StockCount[RM_Code],$A27,T_StockCount[WeekIndex],23)&gt;0,SUMIFS(T_StockCount[CountedQty],T_StockCount[RM_Code],$A27,T_StockCount[WeekIndex],23),IF((COUNTIFS(T_SelfStock[RM_Code],$A27,T_SelfStock[WeekIndex],23)&gt;0)*(COUNTIFS(T_TTAFStock[RM_Code],$A27,T_TTAFStock[WeekIndex],23)&gt;0)&gt;0,SUMIFS(T_SelfStock[Self_Qty],T_SelfStock[RM_Code],$A27,T_SelfStock[WeekIndex],23)+SUMIFS(T_TTAFStock[TTAF_Qty],T_TTAFStock[RM_Code],$A27,T_TTAFStock[WeekIndex],23),W27+'Grid_Incoming'!X27-'Grid_Requirement'!X27))</f>
        <v/>
      </c>
      <c r="Y27">
        <f>IF(COUNTIFS(T_StockCount[RM_Code],$A27,T_StockCount[WeekIndex],24)&gt;0,SUMIFS(T_StockCount[CountedQty],T_StockCount[RM_Code],$A27,T_StockCount[WeekIndex],24),IF((COUNTIFS(T_SelfStock[RM_Code],$A27,T_SelfStock[WeekIndex],24)&gt;0)*(COUNTIFS(T_TTAFStock[RM_Code],$A27,T_TTAFStock[WeekIndex],24)&gt;0)&gt;0,SUMIFS(T_SelfStock[Self_Qty],T_SelfStock[RM_Code],$A27,T_SelfStock[WeekIndex],24)+SUMIFS(T_TTAFStock[TTAF_Qty],T_TTAFStock[RM_Code],$A27,T_TTAFStock[WeekIndex],24),X27+'Grid_Incoming'!Y27-'Grid_Requirement'!Y27))</f>
        <v/>
      </c>
      <c r="Z27">
        <f>IF(COUNTIFS(T_StockCount[RM_Code],$A27,T_StockCount[WeekIndex],25)&gt;0,SUMIFS(T_StockCount[CountedQty],T_StockCount[RM_Code],$A27,T_StockCount[WeekIndex],25),IF((COUNTIFS(T_SelfStock[RM_Code],$A27,T_SelfStock[WeekIndex],25)&gt;0)*(COUNTIFS(T_TTAFStock[RM_Code],$A27,T_TTAFStock[WeekIndex],25)&gt;0)&gt;0,SUMIFS(T_SelfStock[Self_Qty],T_SelfStock[RM_Code],$A27,T_SelfStock[WeekIndex],25)+SUMIFS(T_TTAFStock[TTAF_Qty],T_TTAFStock[RM_Code],$A27,T_TTAFStock[WeekIndex],25),Y27+'Grid_Incoming'!Z27-'Grid_Requirement'!Z27))</f>
        <v/>
      </c>
      <c r="AA27">
        <f>IF(COUNTIFS(T_StockCount[RM_Code],$A27,T_StockCount[WeekIndex],26)&gt;0,SUMIFS(T_StockCount[CountedQty],T_StockCount[RM_Code],$A27,T_StockCount[WeekIndex],26),IF((COUNTIFS(T_SelfStock[RM_Code],$A27,T_SelfStock[WeekIndex],26)&gt;0)*(COUNTIFS(T_TTAFStock[RM_Code],$A27,T_TTAFStock[WeekIndex],26)&gt;0)&gt;0,SUMIFS(T_SelfStock[Self_Qty],T_SelfStock[RM_Code],$A27,T_SelfStock[WeekIndex],26)+SUMIFS(T_TTAFStock[TTAF_Qty],T_TTAFStock[RM_Code],$A27,T_TTAFStock[WeekIndex],26),Z27+'Grid_Incoming'!AA27-'Grid_Requirement'!AA27))</f>
        <v/>
      </c>
      <c r="AB27">
        <f>IF(COUNTIFS(T_StockCount[RM_Code],$A27,T_StockCount[WeekIndex],27)&gt;0,SUMIFS(T_StockCount[CountedQty],T_StockCount[RM_Code],$A27,T_StockCount[WeekIndex],27),IF((COUNTIFS(T_SelfStock[RM_Code],$A27,T_SelfStock[WeekIndex],27)&gt;0)*(COUNTIFS(T_TTAFStock[RM_Code],$A27,T_TTAFStock[WeekIndex],27)&gt;0)&gt;0,SUMIFS(T_SelfStock[Self_Qty],T_SelfStock[RM_Code],$A27,T_SelfStock[WeekIndex],27)+SUMIFS(T_TTAFStock[TTAF_Qty],T_TTAFStock[RM_Code],$A27,T_TTAFStock[WeekIndex],27),AA27+'Grid_Incoming'!AB27-'Grid_Requirement'!AB27))</f>
        <v/>
      </c>
      <c r="AC27">
        <f>IF(COUNTIFS(T_StockCount[RM_Code],$A27,T_StockCount[WeekIndex],28)&gt;0,SUMIFS(T_StockCount[CountedQty],T_StockCount[RM_Code],$A27,T_StockCount[WeekIndex],28),IF((COUNTIFS(T_SelfStock[RM_Code],$A27,T_SelfStock[WeekIndex],28)&gt;0)*(COUNTIFS(T_TTAFStock[RM_Code],$A27,T_TTAFStock[WeekIndex],28)&gt;0)&gt;0,SUMIFS(T_SelfStock[Self_Qty],T_SelfStock[RM_Code],$A27,T_SelfStock[WeekIndex],28)+SUMIFS(T_TTAFStock[TTAF_Qty],T_TTAFStock[RM_Code],$A27,T_TTAFStock[WeekIndex],28),AB27+'Grid_Incoming'!AC27-'Grid_Requirement'!AC27))</f>
        <v/>
      </c>
      <c r="AD27">
        <f>IF(COUNTIFS(T_StockCount[RM_Code],$A27,T_StockCount[WeekIndex],29)&gt;0,SUMIFS(T_StockCount[CountedQty],T_StockCount[RM_Code],$A27,T_StockCount[WeekIndex],29),IF((COUNTIFS(T_SelfStock[RM_Code],$A27,T_SelfStock[WeekIndex],29)&gt;0)*(COUNTIFS(T_TTAFStock[RM_Code],$A27,T_TTAFStock[WeekIndex],29)&gt;0)&gt;0,SUMIFS(T_SelfStock[Self_Qty],T_SelfStock[RM_Code],$A27,T_SelfStock[WeekIndex],29)+SUMIFS(T_TTAFStock[TTAF_Qty],T_TTAFStock[RM_Code],$A27,T_TTAFStock[WeekIndex],29),AC27+'Grid_Incoming'!AD27-'Grid_Requirement'!AD27))</f>
        <v/>
      </c>
      <c r="AE27">
        <f>IF(COUNTIFS(T_StockCount[RM_Code],$A27,T_StockCount[WeekIndex],30)&gt;0,SUMIFS(T_StockCount[CountedQty],T_StockCount[RM_Code],$A27,T_StockCount[WeekIndex],30),IF((COUNTIFS(T_SelfStock[RM_Code],$A27,T_SelfStock[WeekIndex],30)&gt;0)*(COUNTIFS(T_TTAFStock[RM_Code],$A27,T_TTAFStock[WeekIndex],30)&gt;0)&gt;0,SUMIFS(T_SelfStock[Self_Qty],T_SelfStock[RM_Code],$A27,T_SelfStock[WeekIndex],30)+SUMIFS(T_TTAFStock[TTAF_Qty],T_TTAFStock[RM_Code],$A27,T_TTAFStock[WeekIndex],30),AD27+'Grid_Incoming'!AE27-'Grid_Requirement'!AE27))</f>
        <v/>
      </c>
      <c r="AF27">
        <f>IF(COUNTIFS(T_StockCount[RM_Code],$A27,T_StockCount[WeekIndex],31)&gt;0,SUMIFS(T_StockCount[CountedQty],T_StockCount[RM_Code],$A27,T_StockCount[WeekIndex],31),IF((COUNTIFS(T_SelfStock[RM_Code],$A27,T_SelfStock[WeekIndex],31)&gt;0)*(COUNTIFS(T_TTAFStock[RM_Code],$A27,T_TTAFStock[WeekIndex],31)&gt;0)&gt;0,SUMIFS(T_SelfStock[Self_Qty],T_SelfStock[RM_Code],$A27,T_SelfStock[WeekIndex],31)+SUMIFS(T_TTAFStock[TTAF_Qty],T_TTAFStock[RM_Code],$A27,T_TTAFStock[WeekIndex],31),AE27+'Grid_Incoming'!AF27-'Grid_Requirement'!AF27))</f>
        <v/>
      </c>
      <c r="AG27">
        <f>IF(COUNTIFS(T_StockCount[RM_Code],$A27,T_StockCount[WeekIndex],32)&gt;0,SUMIFS(T_StockCount[CountedQty],T_StockCount[RM_Code],$A27,T_StockCount[WeekIndex],32),IF((COUNTIFS(T_SelfStock[RM_Code],$A27,T_SelfStock[WeekIndex],32)&gt;0)*(COUNTIFS(T_TTAFStock[RM_Code],$A27,T_TTAFStock[WeekIndex],32)&gt;0)&gt;0,SUMIFS(T_SelfStock[Self_Qty],T_SelfStock[RM_Code],$A27,T_SelfStock[WeekIndex],32)+SUMIFS(T_TTAFStock[TTAF_Qty],T_TTAFStock[RM_Code],$A27,T_TTAFStock[WeekIndex],32),AF27+'Grid_Incoming'!AG27-'Grid_Requirement'!AG27))</f>
        <v/>
      </c>
      <c r="AH27">
        <f>IF(COUNTIFS(T_StockCount[RM_Code],$A27,T_StockCount[WeekIndex],33)&gt;0,SUMIFS(T_StockCount[CountedQty],T_StockCount[RM_Code],$A27,T_StockCount[WeekIndex],33),IF((COUNTIFS(T_SelfStock[RM_Code],$A27,T_SelfStock[WeekIndex],33)&gt;0)*(COUNTIFS(T_TTAFStock[RM_Code],$A27,T_TTAFStock[WeekIndex],33)&gt;0)&gt;0,SUMIFS(T_SelfStock[Self_Qty],T_SelfStock[RM_Code],$A27,T_SelfStock[WeekIndex],33)+SUMIFS(T_TTAFStock[TTAF_Qty],T_TTAFStock[RM_Code],$A27,T_TTAFStock[WeekIndex],33),AG27+'Grid_Incoming'!AH27-'Grid_Requirement'!AH27))</f>
        <v/>
      </c>
      <c r="AI27">
        <f>IF(COUNTIFS(T_StockCount[RM_Code],$A27,T_StockCount[WeekIndex],34)&gt;0,SUMIFS(T_StockCount[CountedQty],T_StockCount[RM_Code],$A27,T_StockCount[WeekIndex],34),IF((COUNTIFS(T_SelfStock[RM_Code],$A27,T_SelfStock[WeekIndex],34)&gt;0)*(COUNTIFS(T_TTAFStock[RM_Code],$A27,T_TTAFStock[WeekIndex],34)&gt;0)&gt;0,SUMIFS(T_SelfStock[Self_Qty],T_SelfStock[RM_Code],$A27,T_SelfStock[WeekIndex],34)+SUMIFS(T_TTAFStock[TTAF_Qty],T_TTAFStock[RM_Code],$A27,T_TTAFStock[WeekIndex],34),AH27+'Grid_Incoming'!AI27-'Grid_Requirement'!AI27))</f>
        <v/>
      </c>
      <c r="AJ27">
        <f>IF(COUNTIFS(T_StockCount[RM_Code],$A27,T_StockCount[WeekIndex],35)&gt;0,SUMIFS(T_StockCount[CountedQty],T_StockCount[RM_Code],$A27,T_StockCount[WeekIndex],35),IF((COUNTIFS(T_SelfStock[RM_Code],$A27,T_SelfStock[WeekIndex],35)&gt;0)*(COUNTIFS(T_TTAFStock[RM_Code],$A27,T_TTAFStock[WeekIndex],35)&gt;0)&gt;0,SUMIFS(T_SelfStock[Self_Qty],T_SelfStock[RM_Code],$A27,T_SelfStock[WeekIndex],35)+SUMIFS(T_TTAFStock[TTAF_Qty],T_TTAFStock[RM_Code],$A27,T_TTAFStock[WeekIndex],35),AI27+'Grid_Incoming'!AJ27-'Grid_Requirement'!AJ27))</f>
        <v/>
      </c>
      <c r="AK27">
        <f>IF(COUNTIFS(T_StockCount[RM_Code],$A27,T_StockCount[WeekIndex],36)&gt;0,SUMIFS(T_StockCount[CountedQty],T_StockCount[RM_Code],$A27,T_StockCount[WeekIndex],36),IF((COUNTIFS(T_SelfStock[RM_Code],$A27,T_SelfStock[WeekIndex],36)&gt;0)*(COUNTIFS(T_TTAFStock[RM_Code],$A27,T_TTAFStock[WeekIndex],36)&gt;0)&gt;0,SUMIFS(T_SelfStock[Self_Qty],T_SelfStock[RM_Code],$A27,T_SelfStock[WeekIndex],36)+SUMIFS(T_TTAFStock[TTAF_Qty],T_TTAFStock[RM_Code],$A27,T_TTAFStock[WeekIndex],36),AJ27+'Grid_Incoming'!AK27-'Grid_Requirement'!AK27))</f>
        <v/>
      </c>
      <c r="AL27">
        <f>IF(COUNTIFS(T_StockCount[RM_Code],$A27,T_StockCount[WeekIndex],37)&gt;0,SUMIFS(T_StockCount[CountedQty],T_StockCount[RM_Code],$A27,T_StockCount[WeekIndex],37),IF((COUNTIFS(T_SelfStock[RM_Code],$A27,T_SelfStock[WeekIndex],37)&gt;0)*(COUNTIFS(T_TTAFStock[RM_Code],$A27,T_TTAFStock[WeekIndex],37)&gt;0)&gt;0,SUMIFS(T_SelfStock[Self_Qty],T_SelfStock[RM_Code],$A27,T_SelfStock[WeekIndex],37)+SUMIFS(T_TTAFStock[TTAF_Qty],T_TTAFStock[RM_Code],$A27,T_TTAFStock[WeekIndex],37),AK27+'Grid_Incoming'!AL27-'Grid_Requirement'!AL27))</f>
        <v/>
      </c>
      <c r="AM27">
        <f>IF(COUNTIFS(T_StockCount[RM_Code],$A27,T_StockCount[WeekIndex],38)&gt;0,SUMIFS(T_StockCount[CountedQty],T_StockCount[RM_Code],$A27,T_StockCount[WeekIndex],38),IF((COUNTIFS(T_SelfStock[RM_Code],$A27,T_SelfStock[WeekIndex],38)&gt;0)*(COUNTIFS(T_TTAFStock[RM_Code],$A27,T_TTAFStock[WeekIndex],38)&gt;0)&gt;0,SUMIFS(T_SelfStock[Self_Qty],T_SelfStock[RM_Code],$A27,T_SelfStock[WeekIndex],38)+SUMIFS(T_TTAFStock[TTAF_Qty],T_TTAFStock[RM_Code],$A27,T_TTAFStock[WeekIndex],38),AL27+'Grid_Incoming'!AM27-'Grid_Requirement'!AM27))</f>
        <v/>
      </c>
      <c r="AN27">
        <f>IF(COUNTIFS(T_StockCount[RM_Code],$A27,T_StockCount[WeekIndex],39)&gt;0,SUMIFS(T_StockCount[CountedQty],T_StockCount[RM_Code],$A27,T_StockCount[WeekIndex],39),IF((COUNTIFS(T_SelfStock[RM_Code],$A27,T_SelfStock[WeekIndex],39)&gt;0)*(COUNTIFS(T_TTAFStock[RM_Code],$A27,T_TTAFStock[WeekIndex],39)&gt;0)&gt;0,SUMIFS(T_SelfStock[Self_Qty],T_SelfStock[RM_Code],$A27,T_SelfStock[WeekIndex],39)+SUMIFS(T_TTAFStock[TTAF_Qty],T_TTAFStock[RM_Code],$A27,T_TTAFStock[WeekIndex],39),AM27+'Grid_Incoming'!AN27-'Grid_Requirement'!AN27))</f>
        <v/>
      </c>
      <c r="AO27">
        <f>IF(COUNTIFS(T_StockCount[RM_Code],$A27,T_StockCount[WeekIndex],40)&gt;0,SUMIFS(T_StockCount[CountedQty],T_StockCount[RM_Code],$A27,T_StockCount[WeekIndex],40),IF((COUNTIFS(T_SelfStock[RM_Code],$A27,T_SelfStock[WeekIndex],40)&gt;0)*(COUNTIFS(T_TTAFStock[RM_Code],$A27,T_TTAFStock[WeekIndex],40)&gt;0)&gt;0,SUMIFS(T_SelfStock[Self_Qty],T_SelfStock[RM_Code],$A27,T_SelfStock[WeekIndex],40)+SUMIFS(T_TTAFStock[TTAF_Qty],T_TTAFStock[RM_Code],$A27,T_TTAFStock[WeekIndex],40),AN27+'Grid_Incoming'!AO27-'Grid_Requirement'!AO27))</f>
        <v/>
      </c>
      <c r="AP27">
        <f>IF(COUNTIFS(T_StockCount[RM_Code],$A27,T_StockCount[WeekIndex],41)&gt;0,SUMIFS(T_StockCount[CountedQty],T_StockCount[RM_Code],$A27,T_StockCount[WeekIndex],41),IF((COUNTIFS(T_SelfStock[RM_Code],$A27,T_SelfStock[WeekIndex],41)&gt;0)*(COUNTIFS(T_TTAFStock[RM_Code],$A27,T_TTAFStock[WeekIndex],41)&gt;0)&gt;0,SUMIFS(T_SelfStock[Self_Qty],T_SelfStock[RM_Code],$A27,T_SelfStock[WeekIndex],41)+SUMIFS(T_TTAFStock[TTAF_Qty],T_TTAFStock[RM_Code],$A27,T_TTAFStock[WeekIndex],41),AO27+'Grid_Incoming'!AP27-'Grid_Requirement'!AP27))</f>
        <v/>
      </c>
      <c r="AQ27">
        <f>IF(COUNTIFS(T_StockCount[RM_Code],$A27,T_StockCount[WeekIndex],42)&gt;0,SUMIFS(T_StockCount[CountedQty],T_StockCount[RM_Code],$A27,T_StockCount[WeekIndex],42),IF((COUNTIFS(T_SelfStock[RM_Code],$A27,T_SelfStock[WeekIndex],42)&gt;0)*(COUNTIFS(T_TTAFStock[RM_Code],$A27,T_TTAFStock[WeekIndex],42)&gt;0)&gt;0,SUMIFS(T_SelfStock[Self_Qty],T_SelfStock[RM_Code],$A27,T_SelfStock[WeekIndex],42)+SUMIFS(T_TTAFStock[TTAF_Qty],T_TTAFStock[RM_Code],$A27,T_TTAFStock[WeekIndex],42),AP27+'Grid_Incoming'!AQ27-'Grid_Requirement'!AQ27))</f>
        <v/>
      </c>
      <c r="AR27">
        <f>IF(COUNTIFS(T_StockCount[RM_Code],$A27,T_StockCount[WeekIndex],43)&gt;0,SUMIFS(T_StockCount[CountedQty],T_StockCount[RM_Code],$A27,T_StockCount[WeekIndex],43),IF((COUNTIFS(T_SelfStock[RM_Code],$A27,T_SelfStock[WeekIndex],43)&gt;0)*(COUNTIFS(T_TTAFStock[RM_Code],$A27,T_TTAFStock[WeekIndex],43)&gt;0)&gt;0,SUMIFS(T_SelfStock[Self_Qty],T_SelfStock[RM_Code],$A27,T_SelfStock[WeekIndex],43)+SUMIFS(T_TTAFStock[TTAF_Qty],T_TTAFStock[RM_Code],$A27,T_TTAFStock[WeekIndex],43),AQ27+'Grid_Incoming'!AR27-'Grid_Requirement'!AR27))</f>
        <v/>
      </c>
      <c r="AS27">
        <f>IF(COUNTIFS(T_StockCount[RM_Code],$A27,T_StockCount[WeekIndex],44)&gt;0,SUMIFS(T_StockCount[CountedQty],T_StockCount[RM_Code],$A27,T_StockCount[WeekIndex],44),IF((COUNTIFS(T_SelfStock[RM_Code],$A27,T_SelfStock[WeekIndex],44)&gt;0)*(COUNTIFS(T_TTAFStock[RM_Code],$A27,T_TTAFStock[WeekIndex],44)&gt;0)&gt;0,SUMIFS(T_SelfStock[Self_Qty],T_SelfStock[RM_Code],$A27,T_SelfStock[WeekIndex],44)+SUMIFS(T_TTAFStock[TTAF_Qty],T_TTAFStock[RM_Code],$A27,T_TTAFStock[WeekIndex],44),AR27+'Grid_Incoming'!AS27-'Grid_Requirement'!AS27))</f>
        <v/>
      </c>
      <c r="AT27">
        <f>IF(COUNTIFS(T_StockCount[RM_Code],$A27,T_StockCount[WeekIndex],45)&gt;0,SUMIFS(T_StockCount[CountedQty],T_StockCount[RM_Code],$A27,T_StockCount[WeekIndex],45),IF((COUNTIFS(T_SelfStock[RM_Code],$A27,T_SelfStock[WeekIndex],45)&gt;0)*(COUNTIFS(T_TTAFStock[RM_Code],$A27,T_TTAFStock[WeekIndex],45)&gt;0)&gt;0,SUMIFS(T_SelfStock[Self_Qty],T_SelfStock[RM_Code],$A27,T_SelfStock[WeekIndex],45)+SUMIFS(T_TTAFStock[TTAF_Qty],T_TTAFStock[RM_Code],$A27,T_TTAFStock[WeekIndex],45),AS27+'Grid_Incoming'!AT27-'Grid_Requirement'!AT27))</f>
        <v/>
      </c>
      <c r="AU27">
        <f>IF(COUNTIFS(T_StockCount[RM_Code],$A27,T_StockCount[WeekIndex],46)&gt;0,SUMIFS(T_StockCount[CountedQty],T_StockCount[RM_Code],$A27,T_StockCount[WeekIndex],46),IF((COUNTIFS(T_SelfStock[RM_Code],$A27,T_SelfStock[WeekIndex],46)&gt;0)*(COUNTIFS(T_TTAFStock[RM_Code],$A27,T_TTAFStock[WeekIndex],46)&gt;0)&gt;0,SUMIFS(T_SelfStock[Self_Qty],T_SelfStock[RM_Code],$A27,T_SelfStock[WeekIndex],46)+SUMIFS(T_TTAFStock[TTAF_Qty],T_TTAFStock[RM_Code],$A27,T_TTAFStock[WeekIndex],46),AT27+'Grid_Incoming'!AU27-'Grid_Requirement'!AU27))</f>
        <v/>
      </c>
      <c r="AV27">
        <f>IF(COUNTIFS(T_StockCount[RM_Code],$A27,T_StockCount[WeekIndex],47)&gt;0,SUMIFS(T_StockCount[CountedQty],T_StockCount[RM_Code],$A27,T_StockCount[WeekIndex],47),IF((COUNTIFS(T_SelfStock[RM_Code],$A27,T_SelfStock[WeekIndex],47)&gt;0)*(COUNTIFS(T_TTAFStock[RM_Code],$A27,T_TTAFStock[WeekIndex],47)&gt;0)&gt;0,SUMIFS(T_SelfStock[Self_Qty],T_SelfStock[RM_Code],$A27,T_SelfStock[WeekIndex],47)+SUMIFS(T_TTAFStock[TTAF_Qty],T_TTAFStock[RM_Code],$A27,T_TTAFStock[WeekIndex],47),AU27+'Grid_Incoming'!AV27-'Grid_Requirement'!AV27))</f>
        <v/>
      </c>
      <c r="AW27">
        <f>IF(COUNTIFS(T_StockCount[RM_Code],$A27,T_StockCount[WeekIndex],48)&gt;0,SUMIFS(T_StockCount[CountedQty],T_StockCount[RM_Code],$A27,T_StockCount[WeekIndex],48),IF((COUNTIFS(T_SelfStock[RM_Code],$A27,T_SelfStock[WeekIndex],48)&gt;0)*(COUNTIFS(T_TTAFStock[RM_Code],$A27,T_TTAFStock[WeekIndex],48)&gt;0)&gt;0,SUMIFS(T_SelfStock[Self_Qty],T_SelfStock[RM_Code],$A27,T_SelfStock[WeekIndex],48)+SUMIFS(T_TTAFStock[TTAF_Qty],T_TTAFStock[RM_Code],$A27,T_TTAFStock[WeekIndex],48),AV27+'Grid_Incoming'!AW27-'Grid_Requirement'!AW27))</f>
        <v/>
      </c>
      <c r="AX27">
        <f>IF(COUNTIFS(T_StockCount[RM_Code],$A27,T_StockCount[WeekIndex],49)&gt;0,SUMIFS(T_StockCount[CountedQty],T_StockCount[RM_Code],$A27,T_StockCount[WeekIndex],49),IF((COUNTIFS(T_SelfStock[RM_Code],$A27,T_SelfStock[WeekIndex],49)&gt;0)*(COUNTIFS(T_TTAFStock[RM_Code],$A27,T_TTAFStock[WeekIndex],49)&gt;0)&gt;0,SUMIFS(T_SelfStock[Self_Qty],T_SelfStock[RM_Code],$A27,T_SelfStock[WeekIndex],49)+SUMIFS(T_TTAFStock[TTAF_Qty],T_TTAFStock[RM_Code],$A27,T_TTAFStock[WeekIndex],49),AW27+'Grid_Incoming'!AX27-'Grid_Requirement'!AX27))</f>
        <v/>
      </c>
      <c r="AY27">
        <f>IF(COUNTIFS(T_StockCount[RM_Code],$A27,T_StockCount[WeekIndex],50)&gt;0,SUMIFS(T_StockCount[CountedQty],T_StockCount[RM_Code],$A27,T_StockCount[WeekIndex],50),IF((COUNTIFS(T_SelfStock[RM_Code],$A27,T_SelfStock[WeekIndex],50)&gt;0)*(COUNTIFS(T_TTAFStock[RM_Code],$A27,T_TTAFStock[WeekIndex],50)&gt;0)&gt;0,SUMIFS(T_SelfStock[Self_Qty],T_SelfStock[RM_Code],$A27,T_SelfStock[WeekIndex],50)+SUMIFS(T_TTAFStock[TTAF_Qty],T_TTAFStock[RM_Code],$A27,T_TTAFStock[WeekIndex],50),AX27+'Grid_Incoming'!AY27-'Grid_Requirement'!AY27))</f>
        <v/>
      </c>
      <c r="AZ27">
        <f>IF(COUNTIFS(T_StockCount[RM_Code],$A27,T_StockCount[WeekIndex],51)&gt;0,SUMIFS(T_StockCount[CountedQty],T_StockCount[RM_Code],$A27,T_StockCount[WeekIndex],51),IF((COUNTIFS(T_SelfStock[RM_Code],$A27,T_SelfStock[WeekIndex],51)&gt;0)*(COUNTIFS(T_TTAFStock[RM_Code],$A27,T_TTAFStock[WeekIndex],51)&gt;0)&gt;0,SUMIFS(T_SelfStock[Self_Qty],T_SelfStock[RM_Code],$A27,T_SelfStock[WeekIndex],51)+SUMIFS(T_TTAFStock[TTAF_Qty],T_TTAFStock[RM_Code],$A27,T_TTAFStock[WeekIndex],51),AY27+'Grid_Incoming'!AZ27-'Grid_Requirement'!AZ27))</f>
        <v/>
      </c>
      <c r="BA27">
        <f>IF(COUNTIFS(T_StockCount[RM_Code],$A27,T_StockCount[WeekIndex],52)&gt;0,SUMIFS(T_StockCount[CountedQty],T_StockCount[RM_Code],$A27,T_StockCount[WeekIndex],52),IF((COUNTIFS(T_SelfStock[RM_Code],$A27,T_SelfStock[WeekIndex],52)&gt;0)*(COUNTIFS(T_TTAFStock[RM_Code],$A27,T_TTAFStock[WeekIndex],52)&gt;0)&gt;0,SUMIFS(T_SelfStock[Self_Qty],T_SelfStock[RM_Code],$A27,T_SelfStock[WeekIndex],52)+SUMIFS(T_TTAFStock[TTAF_Qty],T_TTAFStock[RM_Code],$A27,T_TTAFStock[WeekIndex],52),AZ27+'Grid_Incoming'!BA27-'Grid_Requirement'!BA27))</f>
        <v/>
      </c>
      <c r="BB27">
        <f>IF(COUNTIFS(T_StockCount[RM_Code],$A27,T_StockCount[WeekIndex],53)&gt;0,SUMIFS(T_StockCount[CountedQty],T_StockCount[RM_Code],$A27,T_StockCount[WeekIndex],53),IF((COUNTIFS(T_SelfStock[RM_Code],$A27,T_SelfStock[WeekIndex],53)&gt;0)*(COUNTIFS(T_TTAFStock[RM_Code],$A27,T_TTAFStock[WeekIndex],53)&gt;0)&gt;0,SUMIFS(T_SelfStock[Self_Qty],T_SelfStock[RM_Code],$A27,T_SelfStock[WeekIndex],53)+SUMIFS(T_TTAFStock[TTAF_Qty],T_TTAFStock[RM_Code],$A27,T_TTAFStock[WeekIndex],53),BA27+'Grid_Incoming'!BB27-'Grid_Requirement'!BB27))</f>
        <v/>
      </c>
      <c r="BC27">
        <f>IF(COUNTIFS(T_StockCount[RM_Code],$A27,T_StockCount[WeekIndex],54)&gt;0,SUMIFS(T_StockCount[CountedQty],T_StockCount[RM_Code],$A27,T_StockCount[WeekIndex],54),IF((COUNTIFS(T_SelfStock[RM_Code],$A27,T_SelfStock[WeekIndex],54)&gt;0)*(COUNTIFS(T_TTAFStock[RM_Code],$A27,T_TTAFStock[WeekIndex],54)&gt;0)&gt;0,SUMIFS(T_SelfStock[Self_Qty],T_SelfStock[RM_Code],$A27,T_SelfStock[WeekIndex],54)+SUMIFS(T_TTAFStock[TTAF_Qty],T_TTAFStock[RM_Code],$A27,T_TTAFStock[WeekIndex],54),BB27+'Grid_Incoming'!BC27-'Grid_Requirement'!BC27))</f>
        <v/>
      </c>
      <c r="BD27">
        <f>IF(COUNTIFS(T_StockCount[RM_Code],$A27,T_StockCount[WeekIndex],55)&gt;0,SUMIFS(T_StockCount[CountedQty],T_StockCount[RM_Code],$A27,T_StockCount[WeekIndex],55),IF((COUNTIFS(T_SelfStock[RM_Code],$A27,T_SelfStock[WeekIndex],55)&gt;0)*(COUNTIFS(T_TTAFStock[RM_Code],$A27,T_TTAFStock[WeekIndex],55)&gt;0)&gt;0,SUMIFS(T_SelfStock[Self_Qty],T_SelfStock[RM_Code],$A27,T_SelfStock[WeekIndex],55)+SUMIFS(T_TTAFStock[TTAF_Qty],T_TTAFStock[RM_Code],$A27,T_TTAFStock[WeekIndex],55),BC27+'Grid_Incoming'!BD27-'Grid_Requirement'!BD27))</f>
        <v/>
      </c>
      <c r="BE27">
        <f>IF(COUNTIFS(T_StockCount[RM_Code],$A27,T_StockCount[WeekIndex],56)&gt;0,SUMIFS(T_StockCount[CountedQty],T_StockCount[RM_Code],$A27,T_StockCount[WeekIndex],56),IF((COUNTIFS(T_SelfStock[RM_Code],$A27,T_SelfStock[WeekIndex],56)&gt;0)*(COUNTIFS(T_TTAFStock[RM_Code],$A27,T_TTAFStock[WeekIndex],56)&gt;0)&gt;0,SUMIFS(T_SelfStock[Self_Qty],T_SelfStock[RM_Code],$A27,T_SelfStock[WeekIndex],56)+SUMIFS(T_TTAFStock[TTAF_Qty],T_TTAFStock[RM_Code],$A27,T_TTAFStock[WeekIndex],56),BD27+'Grid_Incoming'!BE27-'Grid_Requirement'!BE27))</f>
        <v/>
      </c>
      <c r="BF27">
        <f>IF(COUNTIFS(T_StockCount[RM_Code],$A27,T_StockCount[WeekIndex],57)&gt;0,SUMIFS(T_StockCount[CountedQty],T_StockCount[RM_Code],$A27,T_StockCount[WeekIndex],57),IF((COUNTIFS(T_SelfStock[RM_Code],$A27,T_SelfStock[WeekIndex],57)&gt;0)*(COUNTIFS(T_TTAFStock[RM_Code],$A27,T_TTAFStock[WeekIndex],57)&gt;0)&gt;0,SUMIFS(T_SelfStock[Self_Qty],T_SelfStock[RM_Code],$A27,T_SelfStock[WeekIndex],57)+SUMIFS(T_TTAFStock[TTAF_Qty],T_TTAFStock[RM_Code],$A27,T_TTAFStock[WeekIndex],57),BE27+'Grid_Incoming'!BF27-'Grid_Requirement'!BF27))</f>
        <v/>
      </c>
      <c r="BG27">
        <f>IF(COUNTIFS(T_StockCount[RM_Code],$A27,T_StockCount[WeekIndex],58)&gt;0,SUMIFS(T_StockCount[CountedQty],T_StockCount[RM_Code],$A27,T_StockCount[WeekIndex],58),IF((COUNTIFS(T_SelfStock[RM_Code],$A27,T_SelfStock[WeekIndex],58)&gt;0)*(COUNTIFS(T_TTAFStock[RM_Code],$A27,T_TTAFStock[WeekIndex],58)&gt;0)&gt;0,SUMIFS(T_SelfStock[Self_Qty],T_SelfStock[RM_Code],$A27,T_SelfStock[WeekIndex],58)+SUMIFS(T_TTAFStock[TTAF_Qty],T_TTAFStock[RM_Code],$A27,T_TTAFStock[WeekIndex],58),BF27+'Grid_Incoming'!BG27-'Grid_Requirement'!BG27))</f>
        <v/>
      </c>
      <c r="BH27">
        <f>IF(COUNTIFS(T_StockCount[RM_Code],$A27,T_StockCount[WeekIndex],59)&gt;0,SUMIFS(T_StockCount[CountedQty],T_StockCount[RM_Code],$A27,T_StockCount[WeekIndex],59),IF((COUNTIFS(T_SelfStock[RM_Code],$A27,T_SelfStock[WeekIndex],59)&gt;0)*(COUNTIFS(T_TTAFStock[RM_Code],$A27,T_TTAFStock[WeekIndex],59)&gt;0)&gt;0,SUMIFS(T_SelfStock[Self_Qty],T_SelfStock[RM_Code],$A27,T_SelfStock[WeekIndex],59)+SUMIFS(T_TTAFStock[TTAF_Qty],T_TTAFStock[RM_Code],$A27,T_TTAFStock[WeekIndex],59),BG27+'Grid_Incoming'!BH27-'Grid_Requirement'!BH27))</f>
        <v/>
      </c>
      <c r="BI27">
        <f>IF(COUNTIFS(T_StockCount[RM_Code],$A27,T_StockCount[WeekIndex],60)&gt;0,SUMIFS(T_StockCount[CountedQty],T_StockCount[RM_Code],$A27,T_StockCount[WeekIndex],60),IF((COUNTIFS(T_SelfStock[RM_Code],$A27,T_SelfStock[WeekIndex],60)&gt;0)*(COUNTIFS(T_TTAFStock[RM_Code],$A27,T_TTAFStock[WeekIndex],60)&gt;0)&gt;0,SUMIFS(T_SelfStock[Self_Qty],T_SelfStock[RM_Code],$A27,T_SelfStock[WeekIndex],60)+SUMIFS(T_TTAFStock[TTAF_Qty],T_TTAFStock[RM_Code],$A27,T_TTAFStock[WeekIndex],60),BH27+'Grid_Incoming'!BI27-'Grid_Requirement'!BI27))</f>
        <v/>
      </c>
      <c r="BJ27">
        <f>IF(COUNTIFS(T_StockCount[RM_Code],$A27,T_StockCount[WeekIndex],61)&gt;0,SUMIFS(T_StockCount[CountedQty],T_StockCount[RM_Code],$A27,T_StockCount[WeekIndex],61),IF((COUNTIFS(T_SelfStock[RM_Code],$A27,T_SelfStock[WeekIndex],61)&gt;0)*(COUNTIFS(T_TTAFStock[RM_Code],$A27,T_TTAFStock[WeekIndex],61)&gt;0)&gt;0,SUMIFS(T_SelfStock[Self_Qty],T_SelfStock[RM_Code],$A27,T_SelfStock[WeekIndex],61)+SUMIFS(T_TTAFStock[TTAF_Qty],T_TTAFStock[RM_Code],$A27,T_TTAFStock[WeekIndex],61),BI27+'Grid_Incoming'!BJ27-'Grid_Requirement'!BJ27))</f>
        <v/>
      </c>
      <c r="BK27">
        <f>IF(COUNTIFS(T_StockCount[RM_Code],$A27,T_StockCount[WeekIndex],62)&gt;0,SUMIFS(T_StockCount[CountedQty],T_StockCount[RM_Code],$A27,T_StockCount[WeekIndex],62),IF((COUNTIFS(T_SelfStock[RM_Code],$A27,T_SelfStock[WeekIndex],62)&gt;0)*(COUNTIFS(T_TTAFStock[RM_Code],$A27,T_TTAFStock[WeekIndex],62)&gt;0)&gt;0,SUMIFS(T_SelfStock[Self_Qty],T_SelfStock[RM_Code],$A27,T_SelfStock[WeekIndex],62)+SUMIFS(T_TTAFStock[TTAF_Qty],T_TTAFStock[RM_Code],$A27,T_TTAFStock[WeekIndex],62),BJ27+'Grid_Incoming'!BK27-'Grid_Requirement'!BK27))</f>
        <v/>
      </c>
      <c r="BL27">
        <f>IF(COUNTIFS(T_StockCount[RM_Code],$A27,T_StockCount[WeekIndex],63)&gt;0,SUMIFS(T_StockCount[CountedQty],T_StockCount[RM_Code],$A27,T_StockCount[WeekIndex],63),IF((COUNTIFS(T_SelfStock[RM_Code],$A27,T_SelfStock[WeekIndex],63)&gt;0)*(COUNTIFS(T_TTAFStock[RM_Code],$A27,T_TTAFStock[WeekIndex],63)&gt;0)&gt;0,SUMIFS(T_SelfStock[Self_Qty],T_SelfStock[RM_Code],$A27,T_SelfStock[WeekIndex],63)+SUMIFS(T_TTAFStock[TTAF_Qty],T_TTAFStock[RM_Code],$A27,T_TTAFStock[WeekIndex],63),BK27+'Grid_Incoming'!BL27-'Grid_Requirement'!BL27))</f>
        <v/>
      </c>
      <c r="BM27">
        <f>IF(COUNTIFS(T_StockCount[RM_Code],$A27,T_StockCount[WeekIndex],64)&gt;0,SUMIFS(T_StockCount[CountedQty],T_StockCount[RM_Code],$A27,T_StockCount[WeekIndex],64),IF((COUNTIFS(T_SelfStock[RM_Code],$A27,T_SelfStock[WeekIndex],64)&gt;0)*(COUNTIFS(T_TTAFStock[RM_Code],$A27,T_TTAFStock[WeekIndex],64)&gt;0)&gt;0,SUMIFS(T_SelfStock[Self_Qty],T_SelfStock[RM_Code],$A27,T_SelfStock[WeekIndex],64)+SUMIFS(T_TTAFStock[TTAF_Qty],T_TTAFStock[RM_Code],$A27,T_TTAFStock[WeekIndex],64),BL27+'Grid_Incoming'!BM27-'Grid_Requirement'!BM27))</f>
        <v/>
      </c>
      <c r="BN27">
        <f>IF(COUNTIFS(T_StockCount[RM_Code],$A27,T_StockCount[WeekIndex],65)&gt;0,SUMIFS(T_StockCount[CountedQty],T_StockCount[RM_Code],$A27,T_StockCount[WeekIndex],65),IF((COUNTIFS(T_SelfStock[RM_Code],$A27,T_SelfStock[WeekIndex],65)&gt;0)*(COUNTIFS(T_TTAFStock[RM_Code],$A27,T_TTAFStock[WeekIndex],65)&gt;0)&gt;0,SUMIFS(T_SelfStock[Self_Qty],T_SelfStock[RM_Code],$A27,T_SelfStock[WeekIndex],65)+SUMIFS(T_TTAFStock[TTAF_Qty],T_TTAFStock[RM_Code],$A27,T_TTAFStock[WeekIndex],65),BM27+'Grid_Incoming'!BN27-'Grid_Requirement'!BN27))</f>
        <v/>
      </c>
      <c r="BO27">
        <f>IF(COUNTIFS(T_StockCount[RM_Code],$A27,T_StockCount[WeekIndex],66)&gt;0,SUMIFS(T_StockCount[CountedQty],T_StockCount[RM_Code],$A27,T_StockCount[WeekIndex],66),IF((COUNTIFS(T_SelfStock[RM_Code],$A27,T_SelfStock[WeekIndex],66)&gt;0)*(COUNTIFS(T_TTAFStock[RM_Code],$A27,T_TTAFStock[WeekIndex],66)&gt;0)&gt;0,SUMIFS(T_SelfStock[Self_Qty],T_SelfStock[RM_Code],$A27,T_SelfStock[WeekIndex],66)+SUMIFS(T_TTAFStock[TTAF_Qty],T_TTAFStock[RM_Code],$A27,T_TTAFStock[WeekIndex],66),BN27+'Grid_Incoming'!BO27-'Grid_Requirement'!BO27))</f>
        <v/>
      </c>
      <c r="BP27">
        <f>IF(COUNTIFS(T_StockCount[RM_Code],$A27,T_StockCount[WeekIndex],67)&gt;0,SUMIFS(T_StockCount[CountedQty],T_StockCount[RM_Code],$A27,T_StockCount[WeekIndex],67),IF((COUNTIFS(T_SelfStock[RM_Code],$A27,T_SelfStock[WeekIndex],67)&gt;0)*(COUNTIFS(T_TTAFStock[RM_Code],$A27,T_TTAFStock[WeekIndex],67)&gt;0)&gt;0,SUMIFS(T_SelfStock[Self_Qty],T_SelfStock[RM_Code],$A27,T_SelfStock[WeekIndex],67)+SUMIFS(T_TTAFStock[TTAF_Qty],T_TTAFStock[RM_Code],$A27,T_TTAFStock[WeekIndex],67),BO27+'Grid_Incoming'!BP27-'Grid_Requirement'!BP27))</f>
        <v/>
      </c>
      <c r="BQ27">
        <f>IF(COUNTIFS(T_StockCount[RM_Code],$A27,T_StockCount[WeekIndex],68)&gt;0,SUMIFS(T_StockCount[CountedQty],T_StockCount[RM_Code],$A27,T_StockCount[WeekIndex],68),IF((COUNTIFS(T_SelfStock[RM_Code],$A27,T_SelfStock[WeekIndex],68)&gt;0)*(COUNTIFS(T_TTAFStock[RM_Code],$A27,T_TTAFStock[WeekIndex],68)&gt;0)&gt;0,SUMIFS(T_SelfStock[Self_Qty],T_SelfStock[RM_Code],$A27,T_SelfStock[WeekIndex],68)+SUMIFS(T_TTAFStock[TTAF_Qty],T_TTAFStock[RM_Code],$A27,T_TTAFStock[WeekIndex],68),BP27+'Grid_Incoming'!BQ27-'Grid_Requirement'!BQ27))</f>
        <v/>
      </c>
      <c r="BR27">
        <f>IF(COUNTIFS(T_StockCount[RM_Code],$A27,T_StockCount[WeekIndex],69)&gt;0,SUMIFS(T_StockCount[CountedQty],T_StockCount[RM_Code],$A27,T_StockCount[WeekIndex],69),IF((COUNTIFS(T_SelfStock[RM_Code],$A27,T_SelfStock[WeekIndex],69)&gt;0)*(COUNTIFS(T_TTAFStock[RM_Code],$A27,T_TTAFStock[WeekIndex],69)&gt;0)&gt;0,SUMIFS(T_SelfStock[Self_Qty],T_SelfStock[RM_Code],$A27,T_SelfStock[WeekIndex],69)+SUMIFS(T_TTAFStock[TTAF_Qty],T_TTAFStock[RM_Code],$A27,T_TTAFStock[WeekIndex],69),BQ27+'Grid_Incoming'!BR27-'Grid_Requirement'!BR27))</f>
        <v/>
      </c>
      <c r="BS27">
        <f>IF(COUNTIFS(T_StockCount[RM_Code],$A27,T_StockCount[WeekIndex],70)&gt;0,SUMIFS(T_StockCount[CountedQty],T_StockCount[RM_Code],$A27,T_StockCount[WeekIndex],70),IF((COUNTIFS(T_SelfStock[RM_Code],$A27,T_SelfStock[WeekIndex],70)&gt;0)*(COUNTIFS(T_TTAFStock[RM_Code],$A27,T_TTAFStock[WeekIndex],70)&gt;0)&gt;0,SUMIFS(T_SelfStock[Self_Qty],T_SelfStock[RM_Code],$A27,T_SelfStock[WeekIndex],70)+SUMIFS(T_TTAFStock[TTAF_Qty],T_TTAFStock[RM_Code],$A27,T_TTAFStock[WeekIndex],70),BR27+'Grid_Incoming'!BS27-'Grid_Requirement'!BS27))</f>
        <v/>
      </c>
      <c r="BT27">
        <f>IF(COUNTIFS(T_StockCount[RM_Code],$A27,T_StockCount[WeekIndex],71)&gt;0,SUMIFS(T_StockCount[CountedQty],T_StockCount[RM_Code],$A27,T_StockCount[WeekIndex],71),IF((COUNTIFS(T_SelfStock[RM_Code],$A27,T_SelfStock[WeekIndex],71)&gt;0)*(COUNTIFS(T_TTAFStock[RM_Code],$A27,T_TTAFStock[WeekIndex],71)&gt;0)&gt;0,SUMIFS(T_SelfStock[Self_Qty],T_SelfStock[RM_Code],$A27,T_SelfStock[WeekIndex],71)+SUMIFS(T_TTAFStock[TTAF_Qty],T_TTAFStock[RM_Code],$A27,T_TTAFStock[WeekIndex],71),BS27+'Grid_Incoming'!BT27-'Grid_Requirement'!BT27))</f>
        <v/>
      </c>
      <c r="BU27">
        <f>IF(COUNTIFS(T_StockCount[RM_Code],$A27,T_StockCount[WeekIndex],72)&gt;0,SUMIFS(T_StockCount[CountedQty],T_StockCount[RM_Code],$A27,T_StockCount[WeekIndex],72),IF((COUNTIFS(T_SelfStock[RM_Code],$A27,T_SelfStock[WeekIndex],72)&gt;0)*(COUNTIFS(T_TTAFStock[RM_Code],$A27,T_TTAFStock[WeekIndex],72)&gt;0)&gt;0,SUMIFS(T_SelfStock[Self_Qty],T_SelfStock[RM_Code],$A27,T_SelfStock[WeekIndex],72)+SUMIFS(T_TTAFStock[TTAF_Qty],T_TTAFStock[RM_Code],$A27,T_TTAFStock[WeekIndex],72),BT27+'Grid_Incoming'!BU27-'Grid_Requirement'!BU27))</f>
        <v/>
      </c>
      <c r="BV27">
        <f>IF(COUNTIFS(T_StockCount[RM_Code],$A27,T_StockCount[WeekIndex],73)&gt;0,SUMIFS(T_StockCount[CountedQty],T_StockCount[RM_Code],$A27,T_StockCount[WeekIndex],73),IF((COUNTIFS(T_SelfStock[RM_Code],$A27,T_SelfStock[WeekIndex],73)&gt;0)*(COUNTIFS(T_TTAFStock[RM_Code],$A27,T_TTAFStock[WeekIndex],73)&gt;0)&gt;0,SUMIFS(T_SelfStock[Self_Qty],T_SelfStock[RM_Code],$A27,T_SelfStock[WeekIndex],73)+SUMIFS(T_TTAFStock[TTAF_Qty],T_TTAFStock[RM_Code],$A27,T_TTAFStock[WeekIndex],73),BU27+'Grid_Incoming'!BV27-'Grid_Requirement'!BV27))</f>
        <v/>
      </c>
      <c r="BW27">
        <f>IF(COUNTIFS(T_StockCount[RM_Code],$A27,T_StockCount[WeekIndex],74)&gt;0,SUMIFS(T_StockCount[CountedQty],T_StockCount[RM_Code],$A27,T_StockCount[WeekIndex],74),IF((COUNTIFS(T_SelfStock[RM_Code],$A27,T_SelfStock[WeekIndex],74)&gt;0)*(COUNTIFS(T_TTAFStock[RM_Code],$A27,T_TTAFStock[WeekIndex],74)&gt;0)&gt;0,SUMIFS(T_SelfStock[Self_Qty],T_SelfStock[RM_Code],$A27,T_SelfStock[WeekIndex],74)+SUMIFS(T_TTAFStock[TTAF_Qty],T_TTAFStock[RM_Code],$A27,T_TTAFStock[WeekIndex],74),BV27+'Grid_Incoming'!BW27-'Grid_Requirement'!BW27))</f>
        <v/>
      </c>
      <c r="BX27">
        <f>IF(COUNTIFS(T_StockCount[RM_Code],$A27,T_StockCount[WeekIndex],75)&gt;0,SUMIFS(T_StockCount[CountedQty],T_StockCount[RM_Code],$A27,T_StockCount[WeekIndex],75),IF((COUNTIFS(T_SelfStock[RM_Code],$A27,T_SelfStock[WeekIndex],75)&gt;0)*(COUNTIFS(T_TTAFStock[RM_Code],$A27,T_TTAFStock[WeekIndex],75)&gt;0)&gt;0,SUMIFS(T_SelfStock[Self_Qty],T_SelfStock[RM_Code],$A27,T_SelfStock[WeekIndex],75)+SUMIFS(T_TTAFStock[TTAF_Qty],T_TTAFStock[RM_Code],$A27,T_TTAFStock[WeekIndex],75),BW27+'Grid_Incoming'!BX27-'Grid_Requirement'!BX27))</f>
        <v/>
      </c>
      <c r="BY27">
        <f>IF(COUNTIFS(T_StockCount[RM_Code],$A27,T_StockCount[WeekIndex],76)&gt;0,SUMIFS(T_StockCount[CountedQty],T_StockCount[RM_Code],$A27,T_StockCount[WeekIndex],76),IF((COUNTIFS(T_SelfStock[RM_Code],$A27,T_SelfStock[WeekIndex],76)&gt;0)*(COUNTIFS(T_TTAFStock[RM_Code],$A27,T_TTAFStock[WeekIndex],76)&gt;0)&gt;0,SUMIFS(T_SelfStock[Self_Qty],T_SelfStock[RM_Code],$A27,T_SelfStock[WeekIndex],76)+SUMIFS(T_TTAFStock[TTAF_Qty],T_TTAFStock[RM_Code],$A27,T_TTAFStock[WeekIndex],76),BX27+'Grid_Incoming'!BY27-'Grid_Requirement'!BY27))</f>
        <v/>
      </c>
      <c r="BZ27">
        <f>IF(COUNTIFS(T_StockCount[RM_Code],$A27,T_StockCount[WeekIndex],77)&gt;0,SUMIFS(T_StockCount[CountedQty],T_StockCount[RM_Code],$A27,T_StockCount[WeekIndex],77),IF((COUNTIFS(T_SelfStock[RM_Code],$A27,T_SelfStock[WeekIndex],77)&gt;0)*(COUNTIFS(T_TTAFStock[RM_Code],$A27,T_TTAFStock[WeekIndex],77)&gt;0)&gt;0,SUMIFS(T_SelfStock[Self_Qty],T_SelfStock[RM_Code],$A27,T_SelfStock[WeekIndex],77)+SUMIFS(T_TTAFStock[TTAF_Qty],T_TTAFStock[RM_Code],$A27,T_TTAFStock[WeekIndex],77),BY27+'Grid_Incoming'!BZ27-'Grid_Requirement'!BZ27))</f>
        <v/>
      </c>
      <c r="CA27">
        <f>IF(COUNTIFS(T_StockCount[RM_Code],$A27,T_StockCount[WeekIndex],78)&gt;0,SUMIFS(T_StockCount[CountedQty],T_StockCount[RM_Code],$A27,T_StockCount[WeekIndex],78),IF((COUNTIFS(T_SelfStock[RM_Code],$A27,T_SelfStock[WeekIndex],78)&gt;0)*(COUNTIFS(T_TTAFStock[RM_Code],$A27,T_TTAFStock[WeekIndex],78)&gt;0)&gt;0,SUMIFS(T_SelfStock[Self_Qty],T_SelfStock[RM_Code],$A27,T_SelfStock[WeekIndex],78)+SUMIFS(T_TTAFStock[TTAF_Qty],T_TTAFStock[RM_Code],$A27,T_TTAFStock[WeekIndex],78),BZ27+'Grid_Incoming'!CA27-'Grid_Requirement'!CA27))</f>
        <v/>
      </c>
      <c r="CB27">
        <f>IF(COUNTIFS(T_StockCount[RM_Code],$A27,T_StockCount[WeekIndex],79)&gt;0,SUMIFS(T_StockCount[CountedQty],T_StockCount[RM_Code],$A27,T_StockCount[WeekIndex],79),IF((COUNTIFS(T_SelfStock[RM_Code],$A27,T_SelfStock[WeekIndex],79)&gt;0)*(COUNTIFS(T_TTAFStock[RM_Code],$A27,T_TTAFStock[WeekIndex],79)&gt;0)&gt;0,SUMIFS(T_SelfStock[Self_Qty],T_SelfStock[RM_Code],$A27,T_SelfStock[WeekIndex],79)+SUMIFS(T_TTAFStock[TTAF_Qty],T_TTAFStock[RM_Code],$A27,T_TTAFStock[WeekIndex],79),CA27+'Grid_Incoming'!CB27-'Grid_Requirement'!CB27))</f>
        <v/>
      </c>
      <c r="CC27">
        <f>IF(COUNTIFS(T_StockCount[RM_Code],$A27,T_StockCount[WeekIndex],80)&gt;0,SUMIFS(T_StockCount[CountedQty],T_StockCount[RM_Code],$A27,T_StockCount[WeekIndex],80),IF((COUNTIFS(T_SelfStock[RM_Code],$A27,T_SelfStock[WeekIndex],80)&gt;0)*(COUNTIFS(T_TTAFStock[RM_Code],$A27,T_TTAFStock[WeekIndex],80)&gt;0)&gt;0,SUMIFS(T_SelfStock[Self_Qty],T_SelfStock[RM_Code],$A27,T_SelfStock[WeekIndex],80)+SUMIFS(T_TTAFStock[TTAF_Qty],T_TTAFStock[RM_Code],$A27,T_TTAFStock[WeekIndex],80),CB27+'Grid_Incoming'!CC27-'Grid_Requirement'!CC27))</f>
        <v/>
      </c>
      <c r="CD27">
        <f>IF(COUNTIFS(T_StockCount[RM_Code],$A27,T_StockCount[WeekIndex],81)&gt;0,SUMIFS(T_StockCount[CountedQty],T_StockCount[RM_Code],$A27,T_StockCount[WeekIndex],81),IF((COUNTIFS(T_SelfStock[RM_Code],$A27,T_SelfStock[WeekIndex],81)&gt;0)*(COUNTIFS(T_TTAFStock[RM_Code],$A27,T_TTAFStock[WeekIndex],81)&gt;0)&gt;0,SUMIFS(T_SelfStock[Self_Qty],T_SelfStock[RM_Code],$A27,T_SelfStock[WeekIndex],81)+SUMIFS(T_TTAFStock[TTAF_Qty],T_TTAFStock[RM_Code],$A27,T_TTAFStock[WeekIndex],81),CC27+'Grid_Incoming'!CD27-'Grid_Requirement'!CD27))</f>
        <v/>
      </c>
      <c r="CE27">
        <f>IF(COUNTIFS(T_StockCount[RM_Code],$A27,T_StockCount[WeekIndex],82)&gt;0,SUMIFS(T_StockCount[CountedQty],T_StockCount[RM_Code],$A27,T_StockCount[WeekIndex],82),IF((COUNTIFS(T_SelfStock[RM_Code],$A27,T_SelfStock[WeekIndex],82)&gt;0)*(COUNTIFS(T_TTAFStock[RM_Code],$A27,T_TTAFStock[WeekIndex],82)&gt;0)&gt;0,SUMIFS(T_SelfStock[Self_Qty],T_SelfStock[RM_Code],$A27,T_SelfStock[WeekIndex],82)+SUMIFS(T_TTAFStock[TTAF_Qty],T_TTAFStock[RM_Code],$A27,T_TTAFStock[WeekIndex],82),CD27+'Grid_Incoming'!CE27-'Grid_Requirement'!CE27))</f>
        <v/>
      </c>
      <c r="CF27">
        <f>IF(COUNTIFS(T_StockCount[RM_Code],$A27,T_StockCount[WeekIndex],83)&gt;0,SUMIFS(T_StockCount[CountedQty],T_StockCount[RM_Code],$A27,T_StockCount[WeekIndex],83),IF((COUNTIFS(T_SelfStock[RM_Code],$A27,T_SelfStock[WeekIndex],83)&gt;0)*(COUNTIFS(T_TTAFStock[RM_Code],$A27,T_TTAFStock[WeekIndex],83)&gt;0)&gt;0,SUMIFS(T_SelfStock[Self_Qty],T_SelfStock[RM_Code],$A27,T_SelfStock[WeekIndex],83)+SUMIFS(T_TTAFStock[TTAF_Qty],T_TTAFStock[RM_Code],$A27,T_TTAFStock[WeekIndex],83),CE27+'Grid_Incoming'!CF27-'Grid_Requirement'!CF27))</f>
        <v/>
      </c>
      <c r="CG27">
        <f>IF(COUNTIFS(T_StockCount[RM_Code],$A27,T_StockCount[WeekIndex],84)&gt;0,SUMIFS(T_StockCount[CountedQty],T_StockCount[RM_Code],$A27,T_StockCount[WeekIndex],84),IF((COUNTIFS(T_SelfStock[RM_Code],$A27,T_SelfStock[WeekIndex],84)&gt;0)*(COUNTIFS(T_TTAFStock[RM_Code],$A27,T_TTAFStock[WeekIndex],84)&gt;0)&gt;0,SUMIFS(T_SelfStock[Self_Qty],T_SelfStock[RM_Code],$A27,T_SelfStock[WeekIndex],84)+SUMIFS(T_TTAFStock[TTAF_Qty],T_TTAFStock[RM_Code],$A27,T_TTAFStock[WeekIndex],84),CF27+'Grid_Incoming'!CG27-'Grid_Requirement'!CG27))</f>
        <v/>
      </c>
      <c r="CH27">
        <f>IF(COUNTIFS(T_StockCount[RM_Code],$A27,T_StockCount[WeekIndex],85)&gt;0,SUMIFS(T_StockCount[CountedQty],T_StockCount[RM_Code],$A27,T_StockCount[WeekIndex],85),IF((COUNTIFS(T_SelfStock[RM_Code],$A27,T_SelfStock[WeekIndex],85)&gt;0)*(COUNTIFS(T_TTAFStock[RM_Code],$A27,T_TTAFStock[WeekIndex],85)&gt;0)&gt;0,SUMIFS(T_SelfStock[Self_Qty],T_SelfStock[RM_Code],$A27,T_SelfStock[WeekIndex],85)+SUMIFS(T_TTAFStock[TTAF_Qty],T_TTAFStock[RM_Code],$A27,T_TTAFStock[WeekIndex],85),CG27+'Grid_Incoming'!CH27-'Grid_Requirement'!CH27))</f>
        <v/>
      </c>
      <c r="CI27">
        <f>IF(COUNTIFS(T_StockCount[RM_Code],$A27,T_StockCount[WeekIndex],86)&gt;0,SUMIFS(T_StockCount[CountedQty],T_StockCount[RM_Code],$A27,T_StockCount[WeekIndex],86),IF((COUNTIFS(T_SelfStock[RM_Code],$A27,T_SelfStock[WeekIndex],86)&gt;0)*(COUNTIFS(T_TTAFStock[RM_Code],$A27,T_TTAFStock[WeekIndex],86)&gt;0)&gt;0,SUMIFS(T_SelfStock[Self_Qty],T_SelfStock[RM_Code],$A27,T_SelfStock[WeekIndex],86)+SUMIFS(T_TTAFStock[TTAF_Qty],T_TTAFStock[RM_Code],$A27,T_TTAFStock[WeekIndex],86),CH27+'Grid_Incoming'!CI27-'Grid_Requirement'!CI27))</f>
        <v/>
      </c>
      <c r="CJ27">
        <f>IF(COUNTIFS(T_StockCount[RM_Code],$A27,T_StockCount[WeekIndex],87)&gt;0,SUMIFS(T_StockCount[CountedQty],T_StockCount[RM_Code],$A27,T_StockCount[WeekIndex],87),IF((COUNTIFS(T_SelfStock[RM_Code],$A27,T_SelfStock[WeekIndex],87)&gt;0)*(COUNTIFS(T_TTAFStock[RM_Code],$A27,T_TTAFStock[WeekIndex],87)&gt;0)&gt;0,SUMIFS(T_SelfStock[Self_Qty],T_SelfStock[RM_Code],$A27,T_SelfStock[WeekIndex],87)+SUMIFS(T_TTAFStock[TTAF_Qty],T_TTAFStock[RM_Code],$A27,T_TTAFStock[WeekIndex],87),CI27+'Grid_Incoming'!CJ27-'Grid_Requirement'!CJ27))</f>
        <v/>
      </c>
      <c r="CK27">
        <f>IF(COUNTIFS(T_StockCount[RM_Code],$A27,T_StockCount[WeekIndex],88)&gt;0,SUMIFS(T_StockCount[CountedQty],T_StockCount[RM_Code],$A27,T_StockCount[WeekIndex],88),IF((COUNTIFS(T_SelfStock[RM_Code],$A27,T_SelfStock[WeekIndex],88)&gt;0)*(COUNTIFS(T_TTAFStock[RM_Code],$A27,T_TTAFStock[WeekIndex],88)&gt;0)&gt;0,SUMIFS(T_SelfStock[Self_Qty],T_SelfStock[RM_Code],$A27,T_SelfStock[WeekIndex],88)+SUMIFS(T_TTAFStock[TTAF_Qty],T_TTAFStock[RM_Code],$A27,T_TTAFStock[WeekIndex],88),CJ27+'Grid_Incoming'!CK27-'Grid_Requirement'!CK27))</f>
        <v/>
      </c>
      <c r="CL27">
        <f>IF(COUNTIFS(T_StockCount[RM_Code],$A27,T_StockCount[WeekIndex],89)&gt;0,SUMIFS(T_StockCount[CountedQty],T_StockCount[RM_Code],$A27,T_StockCount[WeekIndex],89),IF((COUNTIFS(T_SelfStock[RM_Code],$A27,T_SelfStock[WeekIndex],89)&gt;0)*(COUNTIFS(T_TTAFStock[RM_Code],$A27,T_TTAFStock[WeekIndex],89)&gt;0)&gt;0,SUMIFS(T_SelfStock[Self_Qty],T_SelfStock[RM_Code],$A27,T_SelfStock[WeekIndex],89)+SUMIFS(T_TTAFStock[TTAF_Qty],T_TTAFStock[RM_Code],$A27,T_TTAFStock[WeekIndex],89),CK27+'Grid_Incoming'!CL27-'Grid_Requirement'!CL27))</f>
        <v/>
      </c>
      <c r="CM27">
        <f>IF(COUNTIFS(T_StockCount[RM_Code],$A27,T_StockCount[WeekIndex],90)&gt;0,SUMIFS(T_StockCount[CountedQty],T_StockCount[RM_Code],$A27,T_StockCount[WeekIndex],90),IF((COUNTIFS(T_SelfStock[RM_Code],$A27,T_SelfStock[WeekIndex],90)&gt;0)*(COUNTIFS(T_TTAFStock[RM_Code],$A27,T_TTAFStock[WeekIndex],90)&gt;0)&gt;0,SUMIFS(T_SelfStock[Self_Qty],T_SelfStock[RM_Code],$A27,T_SelfStock[WeekIndex],90)+SUMIFS(T_TTAFStock[TTAF_Qty],T_TTAFStock[RM_Code],$A27,T_TTAFStock[WeekIndex],90),CL27+'Grid_Incoming'!CM27-'Grid_Requirement'!CM27))</f>
        <v/>
      </c>
      <c r="CN27">
        <f>IF(COUNTIFS(T_StockCount[RM_Code],$A27,T_StockCount[WeekIndex],91)&gt;0,SUMIFS(T_StockCount[CountedQty],T_StockCount[RM_Code],$A27,T_StockCount[WeekIndex],91),IF((COUNTIFS(T_SelfStock[RM_Code],$A27,T_SelfStock[WeekIndex],91)&gt;0)*(COUNTIFS(T_TTAFStock[RM_Code],$A27,T_TTAFStock[WeekIndex],91)&gt;0)&gt;0,SUMIFS(T_SelfStock[Self_Qty],T_SelfStock[RM_Code],$A27,T_SelfStock[WeekIndex],91)+SUMIFS(T_TTAFStock[TTAF_Qty],T_TTAFStock[RM_Code],$A27,T_TTAFStock[WeekIndex],91),CM27+'Grid_Incoming'!CN27-'Grid_Requirement'!CN27))</f>
        <v/>
      </c>
      <c r="CO27">
        <f>IF(COUNTIFS(T_StockCount[RM_Code],$A27,T_StockCount[WeekIndex],92)&gt;0,SUMIFS(T_StockCount[CountedQty],T_StockCount[RM_Code],$A27,T_StockCount[WeekIndex],92),IF((COUNTIFS(T_SelfStock[RM_Code],$A27,T_SelfStock[WeekIndex],92)&gt;0)*(COUNTIFS(T_TTAFStock[RM_Code],$A27,T_TTAFStock[WeekIndex],92)&gt;0)&gt;0,SUMIFS(T_SelfStock[Self_Qty],T_SelfStock[RM_Code],$A27,T_SelfStock[WeekIndex],92)+SUMIFS(T_TTAFStock[TTAF_Qty],T_TTAFStock[RM_Code],$A27,T_TTAFStock[WeekIndex],92),CN27+'Grid_Incoming'!CO27-'Grid_Requirement'!CO27))</f>
        <v/>
      </c>
      <c r="CP27">
        <f>IF(COUNTIFS(T_StockCount[RM_Code],$A27,T_StockCount[WeekIndex],93)&gt;0,SUMIFS(T_StockCount[CountedQty],T_StockCount[RM_Code],$A27,T_StockCount[WeekIndex],93),IF((COUNTIFS(T_SelfStock[RM_Code],$A27,T_SelfStock[WeekIndex],93)&gt;0)*(COUNTIFS(T_TTAFStock[RM_Code],$A27,T_TTAFStock[WeekIndex],93)&gt;0)&gt;0,SUMIFS(T_SelfStock[Self_Qty],T_SelfStock[RM_Code],$A27,T_SelfStock[WeekIndex],93)+SUMIFS(T_TTAFStock[TTAF_Qty],T_TTAFStock[RM_Code],$A27,T_TTAFStock[WeekIndex],93),CO27+'Grid_Incoming'!CP27-'Grid_Requirement'!CP27))</f>
        <v/>
      </c>
      <c r="CQ27">
        <f>IF(COUNTIFS(T_StockCount[RM_Code],$A27,T_StockCount[WeekIndex],94)&gt;0,SUMIFS(T_StockCount[CountedQty],T_StockCount[RM_Code],$A27,T_StockCount[WeekIndex],94),IF((COUNTIFS(T_SelfStock[RM_Code],$A27,T_SelfStock[WeekIndex],94)&gt;0)*(COUNTIFS(T_TTAFStock[RM_Code],$A27,T_TTAFStock[WeekIndex],94)&gt;0)&gt;0,SUMIFS(T_SelfStock[Self_Qty],T_SelfStock[RM_Code],$A27,T_SelfStock[WeekIndex],94)+SUMIFS(T_TTAFStock[TTAF_Qty],T_TTAFStock[RM_Code],$A27,T_TTAFStock[WeekIndex],94),CP27+'Grid_Incoming'!CQ27-'Grid_Requirement'!CQ27))</f>
        <v/>
      </c>
      <c r="CR27">
        <f>IF(COUNTIFS(T_StockCount[RM_Code],$A27,T_StockCount[WeekIndex],95)&gt;0,SUMIFS(T_StockCount[CountedQty],T_StockCount[RM_Code],$A27,T_StockCount[WeekIndex],95),IF((COUNTIFS(T_SelfStock[RM_Code],$A27,T_SelfStock[WeekIndex],95)&gt;0)*(COUNTIFS(T_TTAFStock[RM_Code],$A27,T_TTAFStock[WeekIndex],95)&gt;0)&gt;0,SUMIFS(T_SelfStock[Self_Qty],T_SelfStock[RM_Code],$A27,T_SelfStock[WeekIndex],95)+SUMIFS(T_TTAFStock[TTAF_Qty],T_TTAFStock[RM_Code],$A27,T_TTAFStock[WeekIndex],95),CQ27+'Grid_Incoming'!CR27-'Grid_Requirement'!CR27))</f>
        <v/>
      </c>
      <c r="CS27">
        <f>IF(COUNTIFS(T_StockCount[RM_Code],$A27,T_StockCount[WeekIndex],96)&gt;0,SUMIFS(T_StockCount[CountedQty],T_StockCount[RM_Code],$A27,T_StockCount[WeekIndex],96),IF((COUNTIFS(T_SelfStock[RM_Code],$A27,T_SelfStock[WeekIndex],96)&gt;0)*(COUNTIFS(T_TTAFStock[RM_Code],$A27,T_TTAFStock[WeekIndex],96)&gt;0)&gt;0,SUMIFS(T_SelfStock[Self_Qty],T_SelfStock[RM_Code],$A27,T_SelfStock[WeekIndex],96)+SUMIFS(T_TTAFStock[TTAF_Qty],T_TTAFStock[RM_Code],$A27,T_TTAFStock[WeekIndex],96),CR27+'Grid_Incoming'!CS27-'Grid_Requirement'!CS27))</f>
        <v/>
      </c>
      <c r="CT27">
        <f>IF(COUNTIFS(T_StockCount[RM_Code],$A27,T_StockCount[WeekIndex],97)&gt;0,SUMIFS(T_StockCount[CountedQty],T_StockCount[RM_Code],$A27,T_StockCount[WeekIndex],97),IF((COUNTIFS(T_SelfStock[RM_Code],$A27,T_SelfStock[WeekIndex],97)&gt;0)*(COUNTIFS(T_TTAFStock[RM_Code],$A27,T_TTAFStock[WeekIndex],97)&gt;0)&gt;0,SUMIFS(T_SelfStock[Self_Qty],T_SelfStock[RM_Code],$A27,T_SelfStock[WeekIndex],97)+SUMIFS(T_TTAFStock[TTAF_Qty],T_TTAFStock[RM_Code],$A27,T_TTAFStock[WeekIndex],97),CS27+'Grid_Incoming'!CT27-'Grid_Requirement'!CT27))</f>
        <v/>
      </c>
      <c r="CU27">
        <f>IF(COUNTIFS(T_StockCount[RM_Code],$A27,T_StockCount[WeekIndex],98)&gt;0,SUMIFS(T_StockCount[CountedQty],T_StockCount[RM_Code],$A27,T_StockCount[WeekIndex],98),IF((COUNTIFS(T_SelfStock[RM_Code],$A27,T_SelfStock[WeekIndex],98)&gt;0)*(COUNTIFS(T_TTAFStock[RM_Code],$A27,T_TTAFStock[WeekIndex],98)&gt;0)&gt;0,SUMIFS(T_SelfStock[Self_Qty],T_SelfStock[RM_Code],$A27,T_SelfStock[WeekIndex],98)+SUMIFS(T_TTAFStock[TTAF_Qty],T_TTAFStock[RM_Code],$A27,T_TTAFStock[WeekIndex],98),CT27+'Grid_Incoming'!CU27-'Grid_Requirement'!CU27))</f>
        <v/>
      </c>
      <c r="CV27">
        <f>IF(COUNTIFS(T_StockCount[RM_Code],$A27,T_StockCount[WeekIndex],99)&gt;0,SUMIFS(T_StockCount[CountedQty],T_StockCount[RM_Code],$A27,T_StockCount[WeekIndex],99),IF((COUNTIFS(T_SelfStock[RM_Code],$A27,T_SelfStock[WeekIndex],99)&gt;0)*(COUNTIFS(T_TTAFStock[RM_Code],$A27,T_TTAFStock[WeekIndex],99)&gt;0)&gt;0,SUMIFS(T_SelfStock[Self_Qty],T_SelfStock[RM_Code],$A27,T_SelfStock[WeekIndex],99)+SUMIFS(T_TTAFStock[TTAF_Qty],T_TTAFStock[RM_Code],$A27,T_TTAFStock[WeekIndex],99),CU27+'Grid_Incoming'!CV27-'Grid_Requirement'!CV27))</f>
        <v/>
      </c>
      <c r="CW27">
        <f>IF(COUNTIFS(T_StockCount[RM_Code],$A27,T_StockCount[WeekIndex],100)&gt;0,SUMIFS(T_StockCount[CountedQty],T_StockCount[RM_Code],$A27,T_StockCount[WeekIndex],100),IF((COUNTIFS(T_SelfStock[RM_Code],$A27,T_SelfStock[WeekIndex],100)&gt;0)*(COUNTIFS(T_TTAFStock[RM_Code],$A27,T_TTAFStock[WeekIndex],100)&gt;0)&gt;0,SUMIFS(T_SelfStock[Self_Qty],T_SelfStock[RM_Code],$A27,T_SelfStock[WeekIndex],100)+SUMIFS(T_TTAFStock[TTAF_Qty],T_TTAFStock[RM_Code],$A27,T_TTAFStock[WeekIndex],100),CV27+'Grid_Incoming'!CW27-'Grid_Requirement'!CW27))</f>
        <v/>
      </c>
      <c r="CX27">
        <f>IF(COUNTIFS(T_StockCount[RM_Code],$A27,T_StockCount[WeekIndex],101)&gt;0,SUMIFS(T_StockCount[CountedQty],T_StockCount[RM_Code],$A27,T_StockCount[WeekIndex],101),IF((COUNTIFS(T_SelfStock[RM_Code],$A27,T_SelfStock[WeekIndex],101)&gt;0)*(COUNTIFS(T_TTAFStock[RM_Code],$A27,T_TTAFStock[WeekIndex],101)&gt;0)&gt;0,SUMIFS(T_SelfStock[Self_Qty],T_SelfStock[RM_Code],$A27,T_SelfStock[WeekIndex],101)+SUMIFS(T_TTAFStock[TTAF_Qty],T_TTAFStock[RM_Code],$A27,T_TTAFStock[WeekIndex],101),CW27+'Grid_Incoming'!CX27-'Grid_Requirement'!CX27))</f>
        <v/>
      </c>
      <c r="CY27">
        <f>IF(COUNTIFS(T_StockCount[RM_Code],$A27,T_StockCount[WeekIndex],102)&gt;0,SUMIFS(T_StockCount[CountedQty],T_StockCount[RM_Code],$A27,T_StockCount[WeekIndex],102),IF((COUNTIFS(T_SelfStock[RM_Code],$A27,T_SelfStock[WeekIndex],102)&gt;0)*(COUNTIFS(T_TTAFStock[RM_Code],$A27,T_TTAFStock[WeekIndex],102)&gt;0)&gt;0,SUMIFS(T_SelfStock[Self_Qty],T_SelfStock[RM_Code],$A27,T_SelfStock[WeekIndex],102)+SUMIFS(T_TTAFStock[TTAF_Qty],T_TTAFStock[RM_Code],$A27,T_TTAFStock[WeekIndex],102),CX27+'Grid_Incoming'!CY27-'Grid_Requirement'!CY27))</f>
        <v/>
      </c>
      <c r="CZ27">
        <f>IF(COUNTIFS(T_StockCount[RM_Code],$A27,T_StockCount[WeekIndex],103)&gt;0,SUMIFS(T_StockCount[CountedQty],T_StockCount[RM_Code],$A27,T_StockCount[WeekIndex],103),IF((COUNTIFS(T_SelfStock[RM_Code],$A27,T_SelfStock[WeekIndex],103)&gt;0)*(COUNTIFS(T_TTAFStock[RM_Code],$A27,T_TTAFStock[WeekIndex],103)&gt;0)&gt;0,SUMIFS(T_SelfStock[Self_Qty],T_SelfStock[RM_Code],$A27,T_SelfStock[WeekIndex],103)+SUMIFS(T_TTAFStock[TTAF_Qty],T_TTAFStock[RM_Code],$A27,T_TTAFStock[WeekIndex],103),CY27+'Grid_Incoming'!CZ27-'Grid_Requirement'!CZ27))</f>
        <v/>
      </c>
      <c r="DA27">
        <f>IF(COUNTIFS(T_StockCount[RM_Code],$A27,T_StockCount[WeekIndex],104)&gt;0,SUMIFS(T_StockCount[CountedQty],T_StockCount[RM_Code],$A27,T_StockCount[WeekIndex],104),IF((COUNTIFS(T_SelfStock[RM_Code],$A27,T_SelfStock[WeekIndex],104)&gt;0)*(COUNTIFS(T_TTAFStock[RM_Code],$A27,T_TTAFStock[WeekIndex],104)&gt;0)&gt;0,SUMIFS(T_SelfStock[Self_Qty],T_SelfStock[RM_Code],$A27,T_SelfStock[WeekIndex],104)+SUMIFS(T_TTAFStock[TTAF_Qty],T_TTAFStock[RM_Code],$A27,T_TTAFStock[WeekIndex],104),CZ27+'Grid_Incoming'!DA27-'Grid_Requirement'!DA27))</f>
        <v/>
      </c>
    </row>
    <row r="28">
      <c r="A28" t="inlineStr">
        <is>
          <t>0LJ</t>
        </is>
      </c>
      <c r="B28">
        <f>IF(COUNTIFS(T_StockCount[RM_Code],$A28,T_StockCount[WeekIndex],1)&gt;0,SUMIFS(T_StockCount[CountedQty],T_StockCount[RM_Code],$A28,T_StockCount[WeekIndex],1),IF((COUNTIFS(T_SelfStock[RM_Code],$A28,T_SelfStock[WeekIndex],1)&gt;0)*(COUNTIFS(T_TTAFStock[RM_Code],$A28,T_TTAFStock[WeekIndex],1)&gt;0)&gt;0,SUMIFS(T_SelfStock[Self_Qty],T_SelfStock[RM_Code],$A28,T_SelfStock[WeekIndex],1)+SUMIFS(T_TTAFStock[TTAF_Qty],T_TTAFStock[RM_Code],$A28,T_TTAFStock[WeekIndex],1),IFERROR(INDEX(T_OpeningStock[Opening_Qty],MATCH($A28,T_OpeningStock[RM_Code],0)),0)+'Grid_Incoming'!B28-'Grid_Requirement'!B28))</f>
        <v/>
      </c>
      <c r="C28">
        <f>IF(COUNTIFS(T_StockCount[RM_Code],$A28,T_StockCount[WeekIndex],2)&gt;0,SUMIFS(T_StockCount[CountedQty],T_StockCount[RM_Code],$A28,T_StockCount[WeekIndex],2),IF((COUNTIFS(T_SelfStock[RM_Code],$A28,T_SelfStock[WeekIndex],2)&gt;0)*(COUNTIFS(T_TTAFStock[RM_Code],$A28,T_TTAFStock[WeekIndex],2)&gt;0)&gt;0,SUMIFS(T_SelfStock[Self_Qty],T_SelfStock[RM_Code],$A28,T_SelfStock[WeekIndex],2)+SUMIFS(T_TTAFStock[TTAF_Qty],T_TTAFStock[RM_Code],$A28,T_TTAFStock[WeekIndex],2),B28+'Grid_Incoming'!C28-'Grid_Requirement'!C28))</f>
        <v/>
      </c>
      <c r="D28">
        <f>IF(COUNTIFS(T_StockCount[RM_Code],$A28,T_StockCount[WeekIndex],3)&gt;0,SUMIFS(T_StockCount[CountedQty],T_StockCount[RM_Code],$A28,T_StockCount[WeekIndex],3),IF((COUNTIFS(T_SelfStock[RM_Code],$A28,T_SelfStock[WeekIndex],3)&gt;0)*(COUNTIFS(T_TTAFStock[RM_Code],$A28,T_TTAFStock[WeekIndex],3)&gt;0)&gt;0,SUMIFS(T_SelfStock[Self_Qty],T_SelfStock[RM_Code],$A28,T_SelfStock[WeekIndex],3)+SUMIFS(T_TTAFStock[TTAF_Qty],T_TTAFStock[RM_Code],$A28,T_TTAFStock[WeekIndex],3),C28+'Grid_Incoming'!D28-'Grid_Requirement'!D28))</f>
        <v/>
      </c>
      <c r="E28">
        <f>IF(COUNTIFS(T_StockCount[RM_Code],$A28,T_StockCount[WeekIndex],4)&gt;0,SUMIFS(T_StockCount[CountedQty],T_StockCount[RM_Code],$A28,T_StockCount[WeekIndex],4),IF((COUNTIFS(T_SelfStock[RM_Code],$A28,T_SelfStock[WeekIndex],4)&gt;0)*(COUNTIFS(T_TTAFStock[RM_Code],$A28,T_TTAFStock[WeekIndex],4)&gt;0)&gt;0,SUMIFS(T_SelfStock[Self_Qty],T_SelfStock[RM_Code],$A28,T_SelfStock[WeekIndex],4)+SUMIFS(T_TTAFStock[TTAF_Qty],T_TTAFStock[RM_Code],$A28,T_TTAFStock[WeekIndex],4),D28+'Grid_Incoming'!E28-'Grid_Requirement'!E28))</f>
        <v/>
      </c>
      <c r="F28">
        <f>IF(COUNTIFS(T_StockCount[RM_Code],$A28,T_StockCount[WeekIndex],5)&gt;0,SUMIFS(T_StockCount[CountedQty],T_StockCount[RM_Code],$A28,T_StockCount[WeekIndex],5),IF((COUNTIFS(T_SelfStock[RM_Code],$A28,T_SelfStock[WeekIndex],5)&gt;0)*(COUNTIFS(T_TTAFStock[RM_Code],$A28,T_TTAFStock[WeekIndex],5)&gt;0)&gt;0,SUMIFS(T_SelfStock[Self_Qty],T_SelfStock[RM_Code],$A28,T_SelfStock[WeekIndex],5)+SUMIFS(T_TTAFStock[TTAF_Qty],T_TTAFStock[RM_Code],$A28,T_TTAFStock[WeekIndex],5),E28+'Grid_Incoming'!F28-'Grid_Requirement'!F28))</f>
        <v/>
      </c>
      <c r="G28">
        <f>IF(COUNTIFS(T_StockCount[RM_Code],$A28,T_StockCount[WeekIndex],6)&gt;0,SUMIFS(T_StockCount[CountedQty],T_StockCount[RM_Code],$A28,T_StockCount[WeekIndex],6),IF((COUNTIFS(T_SelfStock[RM_Code],$A28,T_SelfStock[WeekIndex],6)&gt;0)*(COUNTIFS(T_TTAFStock[RM_Code],$A28,T_TTAFStock[WeekIndex],6)&gt;0)&gt;0,SUMIFS(T_SelfStock[Self_Qty],T_SelfStock[RM_Code],$A28,T_SelfStock[WeekIndex],6)+SUMIFS(T_TTAFStock[TTAF_Qty],T_TTAFStock[RM_Code],$A28,T_TTAFStock[WeekIndex],6),F28+'Grid_Incoming'!G28-'Grid_Requirement'!G28))</f>
        <v/>
      </c>
      <c r="H28">
        <f>IF(COUNTIFS(T_StockCount[RM_Code],$A28,T_StockCount[WeekIndex],7)&gt;0,SUMIFS(T_StockCount[CountedQty],T_StockCount[RM_Code],$A28,T_StockCount[WeekIndex],7),IF((COUNTIFS(T_SelfStock[RM_Code],$A28,T_SelfStock[WeekIndex],7)&gt;0)*(COUNTIFS(T_TTAFStock[RM_Code],$A28,T_TTAFStock[WeekIndex],7)&gt;0)&gt;0,SUMIFS(T_SelfStock[Self_Qty],T_SelfStock[RM_Code],$A28,T_SelfStock[WeekIndex],7)+SUMIFS(T_TTAFStock[TTAF_Qty],T_TTAFStock[RM_Code],$A28,T_TTAFStock[WeekIndex],7),G28+'Grid_Incoming'!H28-'Grid_Requirement'!H28))</f>
        <v/>
      </c>
      <c r="I28">
        <f>IF(COUNTIFS(T_StockCount[RM_Code],$A28,T_StockCount[WeekIndex],8)&gt;0,SUMIFS(T_StockCount[CountedQty],T_StockCount[RM_Code],$A28,T_StockCount[WeekIndex],8),IF((COUNTIFS(T_SelfStock[RM_Code],$A28,T_SelfStock[WeekIndex],8)&gt;0)*(COUNTIFS(T_TTAFStock[RM_Code],$A28,T_TTAFStock[WeekIndex],8)&gt;0)&gt;0,SUMIFS(T_SelfStock[Self_Qty],T_SelfStock[RM_Code],$A28,T_SelfStock[WeekIndex],8)+SUMIFS(T_TTAFStock[TTAF_Qty],T_TTAFStock[RM_Code],$A28,T_TTAFStock[WeekIndex],8),H28+'Grid_Incoming'!I28-'Grid_Requirement'!I28))</f>
        <v/>
      </c>
      <c r="J28">
        <f>IF(COUNTIFS(T_StockCount[RM_Code],$A28,T_StockCount[WeekIndex],9)&gt;0,SUMIFS(T_StockCount[CountedQty],T_StockCount[RM_Code],$A28,T_StockCount[WeekIndex],9),IF((COUNTIFS(T_SelfStock[RM_Code],$A28,T_SelfStock[WeekIndex],9)&gt;0)*(COUNTIFS(T_TTAFStock[RM_Code],$A28,T_TTAFStock[WeekIndex],9)&gt;0)&gt;0,SUMIFS(T_SelfStock[Self_Qty],T_SelfStock[RM_Code],$A28,T_SelfStock[WeekIndex],9)+SUMIFS(T_TTAFStock[TTAF_Qty],T_TTAFStock[RM_Code],$A28,T_TTAFStock[WeekIndex],9),I28+'Grid_Incoming'!J28-'Grid_Requirement'!J28))</f>
        <v/>
      </c>
      <c r="K28">
        <f>IF(COUNTIFS(T_StockCount[RM_Code],$A28,T_StockCount[WeekIndex],10)&gt;0,SUMIFS(T_StockCount[CountedQty],T_StockCount[RM_Code],$A28,T_StockCount[WeekIndex],10),IF((COUNTIFS(T_SelfStock[RM_Code],$A28,T_SelfStock[WeekIndex],10)&gt;0)*(COUNTIFS(T_TTAFStock[RM_Code],$A28,T_TTAFStock[WeekIndex],10)&gt;0)&gt;0,SUMIFS(T_SelfStock[Self_Qty],T_SelfStock[RM_Code],$A28,T_SelfStock[WeekIndex],10)+SUMIFS(T_TTAFStock[TTAF_Qty],T_TTAFStock[RM_Code],$A28,T_TTAFStock[WeekIndex],10),J28+'Grid_Incoming'!K28-'Grid_Requirement'!K28))</f>
        <v/>
      </c>
      <c r="L28">
        <f>IF(COUNTIFS(T_StockCount[RM_Code],$A28,T_StockCount[WeekIndex],11)&gt;0,SUMIFS(T_StockCount[CountedQty],T_StockCount[RM_Code],$A28,T_StockCount[WeekIndex],11),IF((COUNTIFS(T_SelfStock[RM_Code],$A28,T_SelfStock[WeekIndex],11)&gt;0)*(COUNTIFS(T_TTAFStock[RM_Code],$A28,T_TTAFStock[WeekIndex],11)&gt;0)&gt;0,SUMIFS(T_SelfStock[Self_Qty],T_SelfStock[RM_Code],$A28,T_SelfStock[WeekIndex],11)+SUMIFS(T_TTAFStock[TTAF_Qty],T_TTAFStock[RM_Code],$A28,T_TTAFStock[WeekIndex],11),K28+'Grid_Incoming'!L28-'Grid_Requirement'!L28))</f>
        <v/>
      </c>
      <c r="M28">
        <f>IF(COUNTIFS(T_StockCount[RM_Code],$A28,T_StockCount[WeekIndex],12)&gt;0,SUMIFS(T_StockCount[CountedQty],T_StockCount[RM_Code],$A28,T_StockCount[WeekIndex],12),IF((COUNTIFS(T_SelfStock[RM_Code],$A28,T_SelfStock[WeekIndex],12)&gt;0)*(COUNTIFS(T_TTAFStock[RM_Code],$A28,T_TTAFStock[WeekIndex],12)&gt;0)&gt;0,SUMIFS(T_SelfStock[Self_Qty],T_SelfStock[RM_Code],$A28,T_SelfStock[WeekIndex],12)+SUMIFS(T_TTAFStock[TTAF_Qty],T_TTAFStock[RM_Code],$A28,T_TTAFStock[WeekIndex],12),L28+'Grid_Incoming'!M28-'Grid_Requirement'!M28))</f>
        <v/>
      </c>
      <c r="N28">
        <f>IF(COUNTIFS(T_StockCount[RM_Code],$A28,T_StockCount[WeekIndex],13)&gt;0,SUMIFS(T_StockCount[CountedQty],T_StockCount[RM_Code],$A28,T_StockCount[WeekIndex],13),IF((COUNTIFS(T_SelfStock[RM_Code],$A28,T_SelfStock[WeekIndex],13)&gt;0)*(COUNTIFS(T_TTAFStock[RM_Code],$A28,T_TTAFStock[WeekIndex],13)&gt;0)&gt;0,SUMIFS(T_SelfStock[Self_Qty],T_SelfStock[RM_Code],$A28,T_SelfStock[WeekIndex],13)+SUMIFS(T_TTAFStock[TTAF_Qty],T_TTAFStock[RM_Code],$A28,T_TTAFStock[WeekIndex],13),M28+'Grid_Incoming'!N28-'Grid_Requirement'!N28))</f>
        <v/>
      </c>
      <c r="O28">
        <f>IF(COUNTIFS(T_StockCount[RM_Code],$A28,T_StockCount[WeekIndex],14)&gt;0,SUMIFS(T_StockCount[CountedQty],T_StockCount[RM_Code],$A28,T_StockCount[WeekIndex],14),IF((COUNTIFS(T_SelfStock[RM_Code],$A28,T_SelfStock[WeekIndex],14)&gt;0)*(COUNTIFS(T_TTAFStock[RM_Code],$A28,T_TTAFStock[WeekIndex],14)&gt;0)&gt;0,SUMIFS(T_SelfStock[Self_Qty],T_SelfStock[RM_Code],$A28,T_SelfStock[WeekIndex],14)+SUMIFS(T_TTAFStock[TTAF_Qty],T_TTAFStock[RM_Code],$A28,T_TTAFStock[WeekIndex],14),N28+'Grid_Incoming'!O28-'Grid_Requirement'!O28))</f>
        <v/>
      </c>
      <c r="P28">
        <f>IF(COUNTIFS(T_StockCount[RM_Code],$A28,T_StockCount[WeekIndex],15)&gt;0,SUMIFS(T_StockCount[CountedQty],T_StockCount[RM_Code],$A28,T_StockCount[WeekIndex],15),IF((COUNTIFS(T_SelfStock[RM_Code],$A28,T_SelfStock[WeekIndex],15)&gt;0)*(COUNTIFS(T_TTAFStock[RM_Code],$A28,T_TTAFStock[WeekIndex],15)&gt;0)&gt;0,SUMIFS(T_SelfStock[Self_Qty],T_SelfStock[RM_Code],$A28,T_SelfStock[WeekIndex],15)+SUMIFS(T_TTAFStock[TTAF_Qty],T_TTAFStock[RM_Code],$A28,T_TTAFStock[WeekIndex],15),O28+'Grid_Incoming'!P28-'Grid_Requirement'!P28))</f>
        <v/>
      </c>
      <c r="Q28">
        <f>IF(COUNTIFS(T_StockCount[RM_Code],$A28,T_StockCount[WeekIndex],16)&gt;0,SUMIFS(T_StockCount[CountedQty],T_StockCount[RM_Code],$A28,T_StockCount[WeekIndex],16),IF((COUNTIFS(T_SelfStock[RM_Code],$A28,T_SelfStock[WeekIndex],16)&gt;0)*(COUNTIFS(T_TTAFStock[RM_Code],$A28,T_TTAFStock[WeekIndex],16)&gt;0)&gt;0,SUMIFS(T_SelfStock[Self_Qty],T_SelfStock[RM_Code],$A28,T_SelfStock[WeekIndex],16)+SUMIFS(T_TTAFStock[TTAF_Qty],T_TTAFStock[RM_Code],$A28,T_TTAFStock[WeekIndex],16),P28+'Grid_Incoming'!Q28-'Grid_Requirement'!Q28))</f>
        <v/>
      </c>
      <c r="R28">
        <f>IF(COUNTIFS(T_StockCount[RM_Code],$A28,T_StockCount[WeekIndex],17)&gt;0,SUMIFS(T_StockCount[CountedQty],T_StockCount[RM_Code],$A28,T_StockCount[WeekIndex],17),IF((COUNTIFS(T_SelfStock[RM_Code],$A28,T_SelfStock[WeekIndex],17)&gt;0)*(COUNTIFS(T_TTAFStock[RM_Code],$A28,T_TTAFStock[WeekIndex],17)&gt;0)&gt;0,SUMIFS(T_SelfStock[Self_Qty],T_SelfStock[RM_Code],$A28,T_SelfStock[WeekIndex],17)+SUMIFS(T_TTAFStock[TTAF_Qty],T_TTAFStock[RM_Code],$A28,T_TTAFStock[WeekIndex],17),Q28+'Grid_Incoming'!R28-'Grid_Requirement'!R28))</f>
        <v/>
      </c>
      <c r="S28">
        <f>IF(COUNTIFS(T_StockCount[RM_Code],$A28,T_StockCount[WeekIndex],18)&gt;0,SUMIFS(T_StockCount[CountedQty],T_StockCount[RM_Code],$A28,T_StockCount[WeekIndex],18),IF((COUNTIFS(T_SelfStock[RM_Code],$A28,T_SelfStock[WeekIndex],18)&gt;0)*(COUNTIFS(T_TTAFStock[RM_Code],$A28,T_TTAFStock[WeekIndex],18)&gt;0)&gt;0,SUMIFS(T_SelfStock[Self_Qty],T_SelfStock[RM_Code],$A28,T_SelfStock[WeekIndex],18)+SUMIFS(T_TTAFStock[TTAF_Qty],T_TTAFStock[RM_Code],$A28,T_TTAFStock[WeekIndex],18),R28+'Grid_Incoming'!S28-'Grid_Requirement'!S28))</f>
        <v/>
      </c>
      <c r="T28">
        <f>IF(COUNTIFS(T_StockCount[RM_Code],$A28,T_StockCount[WeekIndex],19)&gt;0,SUMIFS(T_StockCount[CountedQty],T_StockCount[RM_Code],$A28,T_StockCount[WeekIndex],19),IF((COUNTIFS(T_SelfStock[RM_Code],$A28,T_SelfStock[WeekIndex],19)&gt;0)*(COUNTIFS(T_TTAFStock[RM_Code],$A28,T_TTAFStock[WeekIndex],19)&gt;0)&gt;0,SUMIFS(T_SelfStock[Self_Qty],T_SelfStock[RM_Code],$A28,T_SelfStock[WeekIndex],19)+SUMIFS(T_TTAFStock[TTAF_Qty],T_TTAFStock[RM_Code],$A28,T_TTAFStock[WeekIndex],19),S28+'Grid_Incoming'!T28-'Grid_Requirement'!T28))</f>
        <v/>
      </c>
      <c r="U28">
        <f>IF(COUNTIFS(T_StockCount[RM_Code],$A28,T_StockCount[WeekIndex],20)&gt;0,SUMIFS(T_StockCount[CountedQty],T_StockCount[RM_Code],$A28,T_StockCount[WeekIndex],20),IF((COUNTIFS(T_SelfStock[RM_Code],$A28,T_SelfStock[WeekIndex],20)&gt;0)*(COUNTIFS(T_TTAFStock[RM_Code],$A28,T_TTAFStock[WeekIndex],20)&gt;0)&gt;0,SUMIFS(T_SelfStock[Self_Qty],T_SelfStock[RM_Code],$A28,T_SelfStock[WeekIndex],20)+SUMIFS(T_TTAFStock[TTAF_Qty],T_TTAFStock[RM_Code],$A28,T_TTAFStock[WeekIndex],20),T28+'Grid_Incoming'!U28-'Grid_Requirement'!U28))</f>
        <v/>
      </c>
      <c r="V28">
        <f>IF(COUNTIFS(T_StockCount[RM_Code],$A28,T_StockCount[WeekIndex],21)&gt;0,SUMIFS(T_StockCount[CountedQty],T_StockCount[RM_Code],$A28,T_StockCount[WeekIndex],21),IF((COUNTIFS(T_SelfStock[RM_Code],$A28,T_SelfStock[WeekIndex],21)&gt;0)*(COUNTIFS(T_TTAFStock[RM_Code],$A28,T_TTAFStock[WeekIndex],21)&gt;0)&gt;0,SUMIFS(T_SelfStock[Self_Qty],T_SelfStock[RM_Code],$A28,T_SelfStock[WeekIndex],21)+SUMIFS(T_TTAFStock[TTAF_Qty],T_TTAFStock[RM_Code],$A28,T_TTAFStock[WeekIndex],21),U28+'Grid_Incoming'!V28-'Grid_Requirement'!V28))</f>
        <v/>
      </c>
      <c r="W28">
        <f>IF(COUNTIFS(T_StockCount[RM_Code],$A28,T_StockCount[WeekIndex],22)&gt;0,SUMIFS(T_StockCount[CountedQty],T_StockCount[RM_Code],$A28,T_StockCount[WeekIndex],22),IF((COUNTIFS(T_SelfStock[RM_Code],$A28,T_SelfStock[WeekIndex],22)&gt;0)*(COUNTIFS(T_TTAFStock[RM_Code],$A28,T_TTAFStock[WeekIndex],22)&gt;0)&gt;0,SUMIFS(T_SelfStock[Self_Qty],T_SelfStock[RM_Code],$A28,T_SelfStock[WeekIndex],22)+SUMIFS(T_TTAFStock[TTAF_Qty],T_TTAFStock[RM_Code],$A28,T_TTAFStock[WeekIndex],22),V28+'Grid_Incoming'!W28-'Grid_Requirement'!W28))</f>
        <v/>
      </c>
      <c r="X28">
        <f>IF(COUNTIFS(T_StockCount[RM_Code],$A28,T_StockCount[WeekIndex],23)&gt;0,SUMIFS(T_StockCount[CountedQty],T_StockCount[RM_Code],$A28,T_StockCount[WeekIndex],23),IF((COUNTIFS(T_SelfStock[RM_Code],$A28,T_SelfStock[WeekIndex],23)&gt;0)*(COUNTIFS(T_TTAFStock[RM_Code],$A28,T_TTAFStock[WeekIndex],23)&gt;0)&gt;0,SUMIFS(T_SelfStock[Self_Qty],T_SelfStock[RM_Code],$A28,T_SelfStock[WeekIndex],23)+SUMIFS(T_TTAFStock[TTAF_Qty],T_TTAFStock[RM_Code],$A28,T_TTAFStock[WeekIndex],23),W28+'Grid_Incoming'!X28-'Grid_Requirement'!X28))</f>
        <v/>
      </c>
      <c r="Y28">
        <f>IF(COUNTIFS(T_StockCount[RM_Code],$A28,T_StockCount[WeekIndex],24)&gt;0,SUMIFS(T_StockCount[CountedQty],T_StockCount[RM_Code],$A28,T_StockCount[WeekIndex],24),IF((COUNTIFS(T_SelfStock[RM_Code],$A28,T_SelfStock[WeekIndex],24)&gt;0)*(COUNTIFS(T_TTAFStock[RM_Code],$A28,T_TTAFStock[WeekIndex],24)&gt;0)&gt;0,SUMIFS(T_SelfStock[Self_Qty],T_SelfStock[RM_Code],$A28,T_SelfStock[WeekIndex],24)+SUMIFS(T_TTAFStock[TTAF_Qty],T_TTAFStock[RM_Code],$A28,T_TTAFStock[WeekIndex],24),X28+'Grid_Incoming'!Y28-'Grid_Requirement'!Y28))</f>
        <v/>
      </c>
      <c r="Z28">
        <f>IF(COUNTIFS(T_StockCount[RM_Code],$A28,T_StockCount[WeekIndex],25)&gt;0,SUMIFS(T_StockCount[CountedQty],T_StockCount[RM_Code],$A28,T_StockCount[WeekIndex],25),IF((COUNTIFS(T_SelfStock[RM_Code],$A28,T_SelfStock[WeekIndex],25)&gt;0)*(COUNTIFS(T_TTAFStock[RM_Code],$A28,T_TTAFStock[WeekIndex],25)&gt;0)&gt;0,SUMIFS(T_SelfStock[Self_Qty],T_SelfStock[RM_Code],$A28,T_SelfStock[WeekIndex],25)+SUMIFS(T_TTAFStock[TTAF_Qty],T_TTAFStock[RM_Code],$A28,T_TTAFStock[WeekIndex],25),Y28+'Grid_Incoming'!Z28-'Grid_Requirement'!Z28))</f>
        <v/>
      </c>
      <c r="AA28">
        <f>IF(COUNTIFS(T_StockCount[RM_Code],$A28,T_StockCount[WeekIndex],26)&gt;0,SUMIFS(T_StockCount[CountedQty],T_StockCount[RM_Code],$A28,T_StockCount[WeekIndex],26),IF((COUNTIFS(T_SelfStock[RM_Code],$A28,T_SelfStock[WeekIndex],26)&gt;0)*(COUNTIFS(T_TTAFStock[RM_Code],$A28,T_TTAFStock[WeekIndex],26)&gt;0)&gt;0,SUMIFS(T_SelfStock[Self_Qty],T_SelfStock[RM_Code],$A28,T_SelfStock[WeekIndex],26)+SUMIFS(T_TTAFStock[TTAF_Qty],T_TTAFStock[RM_Code],$A28,T_TTAFStock[WeekIndex],26),Z28+'Grid_Incoming'!AA28-'Grid_Requirement'!AA28))</f>
        <v/>
      </c>
      <c r="AB28">
        <f>IF(COUNTIFS(T_StockCount[RM_Code],$A28,T_StockCount[WeekIndex],27)&gt;0,SUMIFS(T_StockCount[CountedQty],T_StockCount[RM_Code],$A28,T_StockCount[WeekIndex],27),IF((COUNTIFS(T_SelfStock[RM_Code],$A28,T_SelfStock[WeekIndex],27)&gt;0)*(COUNTIFS(T_TTAFStock[RM_Code],$A28,T_TTAFStock[WeekIndex],27)&gt;0)&gt;0,SUMIFS(T_SelfStock[Self_Qty],T_SelfStock[RM_Code],$A28,T_SelfStock[WeekIndex],27)+SUMIFS(T_TTAFStock[TTAF_Qty],T_TTAFStock[RM_Code],$A28,T_TTAFStock[WeekIndex],27),AA28+'Grid_Incoming'!AB28-'Grid_Requirement'!AB28))</f>
        <v/>
      </c>
      <c r="AC28">
        <f>IF(COUNTIFS(T_StockCount[RM_Code],$A28,T_StockCount[WeekIndex],28)&gt;0,SUMIFS(T_StockCount[CountedQty],T_StockCount[RM_Code],$A28,T_StockCount[WeekIndex],28),IF((COUNTIFS(T_SelfStock[RM_Code],$A28,T_SelfStock[WeekIndex],28)&gt;0)*(COUNTIFS(T_TTAFStock[RM_Code],$A28,T_TTAFStock[WeekIndex],28)&gt;0)&gt;0,SUMIFS(T_SelfStock[Self_Qty],T_SelfStock[RM_Code],$A28,T_SelfStock[WeekIndex],28)+SUMIFS(T_TTAFStock[TTAF_Qty],T_TTAFStock[RM_Code],$A28,T_TTAFStock[WeekIndex],28),AB28+'Grid_Incoming'!AC28-'Grid_Requirement'!AC28))</f>
        <v/>
      </c>
      <c r="AD28">
        <f>IF(COUNTIFS(T_StockCount[RM_Code],$A28,T_StockCount[WeekIndex],29)&gt;0,SUMIFS(T_StockCount[CountedQty],T_StockCount[RM_Code],$A28,T_StockCount[WeekIndex],29),IF((COUNTIFS(T_SelfStock[RM_Code],$A28,T_SelfStock[WeekIndex],29)&gt;0)*(COUNTIFS(T_TTAFStock[RM_Code],$A28,T_TTAFStock[WeekIndex],29)&gt;0)&gt;0,SUMIFS(T_SelfStock[Self_Qty],T_SelfStock[RM_Code],$A28,T_SelfStock[WeekIndex],29)+SUMIFS(T_TTAFStock[TTAF_Qty],T_TTAFStock[RM_Code],$A28,T_TTAFStock[WeekIndex],29),AC28+'Grid_Incoming'!AD28-'Grid_Requirement'!AD28))</f>
        <v/>
      </c>
      <c r="AE28">
        <f>IF(COUNTIFS(T_StockCount[RM_Code],$A28,T_StockCount[WeekIndex],30)&gt;0,SUMIFS(T_StockCount[CountedQty],T_StockCount[RM_Code],$A28,T_StockCount[WeekIndex],30),IF((COUNTIFS(T_SelfStock[RM_Code],$A28,T_SelfStock[WeekIndex],30)&gt;0)*(COUNTIFS(T_TTAFStock[RM_Code],$A28,T_TTAFStock[WeekIndex],30)&gt;0)&gt;0,SUMIFS(T_SelfStock[Self_Qty],T_SelfStock[RM_Code],$A28,T_SelfStock[WeekIndex],30)+SUMIFS(T_TTAFStock[TTAF_Qty],T_TTAFStock[RM_Code],$A28,T_TTAFStock[WeekIndex],30),AD28+'Grid_Incoming'!AE28-'Grid_Requirement'!AE28))</f>
        <v/>
      </c>
      <c r="AF28">
        <f>IF(COUNTIFS(T_StockCount[RM_Code],$A28,T_StockCount[WeekIndex],31)&gt;0,SUMIFS(T_StockCount[CountedQty],T_StockCount[RM_Code],$A28,T_StockCount[WeekIndex],31),IF((COUNTIFS(T_SelfStock[RM_Code],$A28,T_SelfStock[WeekIndex],31)&gt;0)*(COUNTIFS(T_TTAFStock[RM_Code],$A28,T_TTAFStock[WeekIndex],31)&gt;0)&gt;0,SUMIFS(T_SelfStock[Self_Qty],T_SelfStock[RM_Code],$A28,T_SelfStock[WeekIndex],31)+SUMIFS(T_TTAFStock[TTAF_Qty],T_TTAFStock[RM_Code],$A28,T_TTAFStock[WeekIndex],31),AE28+'Grid_Incoming'!AF28-'Grid_Requirement'!AF28))</f>
        <v/>
      </c>
      <c r="AG28">
        <f>IF(COUNTIFS(T_StockCount[RM_Code],$A28,T_StockCount[WeekIndex],32)&gt;0,SUMIFS(T_StockCount[CountedQty],T_StockCount[RM_Code],$A28,T_StockCount[WeekIndex],32),IF((COUNTIFS(T_SelfStock[RM_Code],$A28,T_SelfStock[WeekIndex],32)&gt;0)*(COUNTIFS(T_TTAFStock[RM_Code],$A28,T_TTAFStock[WeekIndex],32)&gt;0)&gt;0,SUMIFS(T_SelfStock[Self_Qty],T_SelfStock[RM_Code],$A28,T_SelfStock[WeekIndex],32)+SUMIFS(T_TTAFStock[TTAF_Qty],T_TTAFStock[RM_Code],$A28,T_TTAFStock[WeekIndex],32),AF28+'Grid_Incoming'!AG28-'Grid_Requirement'!AG28))</f>
        <v/>
      </c>
      <c r="AH28">
        <f>IF(COUNTIFS(T_StockCount[RM_Code],$A28,T_StockCount[WeekIndex],33)&gt;0,SUMIFS(T_StockCount[CountedQty],T_StockCount[RM_Code],$A28,T_StockCount[WeekIndex],33),IF((COUNTIFS(T_SelfStock[RM_Code],$A28,T_SelfStock[WeekIndex],33)&gt;0)*(COUNTIFS(T_TTAFStock[RM_Code],$A28,T_TTAFStock[WeekIndex],33)&gt;0)&gt;0,SUMIFS(T_SelfStock[Self_Qty],T_SelfStock[RM_Code],$A28,T_SelfStock[WeekIndex],33)+SUMIFS(T_TTAFStock[TTAF_Qty],T_TTAFStock[RM_Code],$A28,T_TTAFStock[WeekIndex],33),AG28+'Grid_Incoming'!AH28-'Grid_Requirement'!AH28))</f>
        <v/>
      </c>
      <c r="AI28">
        <f>IF(COUNTIFS(T_StockCount[RM_Code],$A28,T_StockCount[WeekIndex],34)&gt;0,SUMIFS(T_StockCount[CountedQty],T_StockCount[RM_Code],$A28,T_StockCount[WeekIndex],34),IF((COUNTIFS(T_SelfStock[RM_Code],$A28,T_SelfStock[WeekIndex],34)&gt;0)*(COUNTIFS(T_TTAFStock[RM_Code],$A28,T_TTAFStock[WeekIndex],34)&gt;0)&gt;0,SUMIFS(T_SelfStock[Self_Qty],T_SelfStock[RM_Code],$A28,T_SelfStock[WeekIndex],34)+SUMIFS(T_TTAFStock[TTAF_Qty],T_TTAFStock[RM_Code],$A28,T_TTAFStock[WeekIndex],34),AH28+'Grid_Incoming'!AI28-'Grid_Requirement'!AI28))</f>
        <v/>
      </c>
      <c r="AJ28">
        <f>IF(COUNTIFS(T_StockCount[RM_Code],$A28,T_StockCount[WeekIndex],35)&gt;0,SUMIFS(T_StockCount[CountedQty],T_StockCount[RM_Code],$A28,T_StockCount[WeekIndex],35),IF((COUNTIFS(T_SelfStock[RM_Code],$A28,T_SelfStock[WeekIndex],35)&gt;0)*(COUNTIFS(T_TTAFStock[RM_Code],$A28,T_TTAFStock[WeekIndex],35)&gt;0)&gt;0,SUMIFS(T_SelfStock[Self_Qty],T_SelfStock[RM_Code],$A28,T_SelfStock[WeekIndex],35)+SUMIFS(T_TTAFStock[TTAF_Qty],T_TTAFStock[RM_Code],$A28,T_TTAFStock[WeekIndex],35),AI28+'Grid_Incoming'!AJ28-'Grid_Requirement'!AJ28))</f>
        <v/>
      </c>
      <c r="AK28">
        <f>IF(COUNTIFS(T_StockCount[RM_Code],$A28,T_StockCount[WeekIndex],36)&gt;0,SUMIFS(T_StockCount[CountedQty],T_StockCount[RM_Code],$A28,T_StockCount[WeekIndex],36),IF((COUNTIFS(T_SelfStock[RM_Code],$A28,T_SelfStock[WeekIndex],36)&gt;0)*(COUNTIFS(T_TTAFStock[RM_Code],$A28,T_TTAFStock[WeekIndex],36)&gt;0)&gt;0,SUMIFS(T_SelfStock[Self_Qty],T_SelfStock[RM_Code],$A28,T_SelfStock[WeekIndex],36)+SUMIFS(T_TTAFStock[TTAF_Qty],T_TTAFStock[RM_Code],$A28,T_TTAFStock[WeekIndex],36),AJ28+'Grid_Incoming'!AK28-'Grid_Requirement'!AK28))</f>
        <v/>
      </c>
      <c r="AL28">
        <f>IF(COUNTIFS(T_StockCount[RM_Code],$A28,T_StockCount[WeekIndex],37)&gt;0,SUMIFS(T_StockCount[CountedQty],T_StockCount[RM_Code],$A28,T_StockCount[WeekIndex],37),IF((COUNTIFS(T_SelfStock[RM_Code],$A28,T_SelfStock[WeekIndex],37)&gt;0)*(COUNTIFS(T_TTAFStock[RM_Code],$A28,T_TTAFStock[WeekIndex],37)&gt;0)&gt;0,SUMIFS(T_SelfStock[Self_Qty],T_SelfStock[RM_Code],$A28,T_SelfStock[WeekIndex],37)+SUMIFS(T_TTAFStock[TTAF_Qty],T_TTAFStock[RM_Code],$A28,T_TTAFStock[WeekIndex],37),AK28+'Grid_Incoming'!AL28-'Grid_Requirement'!AL28))</f>
        <v/>
      </c>
      <c r="AM28">
        <f>IF(COUNTIFS(T_StockCount[RM_Code],$A28,T_StockCount[WeekIndex],38)&gt;0,SUMIFS(T_StockCount[CountedQty],T_StockCount[RM_Code],$A28,T_StockCount[WeekIndex],38),IF((COUNTIFS(T_SelfStock[RM_Code],$A28,T_SelfStock[WeekIndex],38)&gt;0)*(COUNTIFS(T_TTAFStock[RM_Code],$A28,T_TTAFStock[WeekIndex],38)&gt;0)&gt;0,SUMIFS(T_SelfStock[Self_Qty],T_SelfStock[RM_Code],$A28,T_SelfStock[WeekIndex],38)+SUMIFS(T_TTAFStock[TTAF_Qty],T_TTAFStock[RM_Code],$A28,T_TTAFStock[WeekIndex],38),AL28+'Grid_Incoming'!AM28-'Grid_Requirement'!AM28))</f>
        <v/>
      </c>
      <c r="AN28">
        <f>IF(COUNTIFS(T_StockCount[RM_Code],$A28,T_StockCount[WeekIndex],39)&gt;0,SUMIFS(T_StockCount[CountedQty],T_StockCount[RM_Code],$A28,T_StockCount[WeekIndex],39),IF((COUNTIFS(T_SelfStock[RM_Code],$A28,T_SelfStock[WeekIndex],39)&gt;0)*(COUNTIFS(T_TTAFStock[RM_Code],$A28,T_TTAFStock[WeekIndex],39)&gt;0)&gt;0,SUMIFS(T_SelfStock[Self_Qty],T_SelfStock[RM_Code],$A28,T_SelfStock[WeekIndex],39)+SUMIFS(T_TTAFStock[TTAF_Qty],T_TTAFStock[RM_Code],$A28,T_TTAFStock[WeekIndex],39),AM28+'Grid_Incoming'!AN28-'Grid_Requirement'!AN28))</f>
        <v/>
      </c>
      <c r="AO28">
        <f>IF(COUNTIFS(T_StockCount[RM_Code],$A28,T_StockCount[WeekIndex],40)&gt;0,SUMIFS(T_StockCount[CountedQty],T_StockCount[RM_Code],$A28,T_StockCount[WeekIndex],40),IF((COUNTIFS(T_SelfStock[RM_Code],$A28,T_SelfStock[WeekIndex],40)&gt;0)*(COUNTIFS(T_TTAFStock[RM_Code],$A28,T_TTAFStock[WeekIndex],40)&gt;0)&gt;0,SUMIFS(T_SelfStock[Self_Qty],T_SelfStock[RM_Code],$A28,T_SelfStock[WeekIndex],40)+SUMIFS(T_TTAFStock[TTAF_Qty],T_TTAFStock[RM_Code],$A28,T_TTAFStock[WeekIndex],40),AN28+'Grid_Incoming'!AO28-'Grid_Requirement'!AO28))</f>
        <v/>
      </c>
      <c r="AP28">
        <f>IF(COUNTIFS(T_StockCount[RM_Code],$A28,T_StockCount[WeekIndex],41)&gt;0,SUMIFS(T_StockCount[CountedQty],T_StockCount[RM_Code],$A28,T_StockCount[WeekIndex],41),IF((COUNTIFS(T_SelfStock[RM_Code],$A28,T_SelfStock[WeekIndex],41)&gt;0)*(COUNTIFS(T_TTAFStock[RM_Code],$A28,T_TTAFStock[WeekIndex],41)&gt;0)&gt;0,SUMIFS(T_SelfStock[Self_Qty],T_SelfStock[RM_Code],$A28,T_SelfStock[WeekIndex],41)+SUMIFS(T_TTAFStock[TTAF_Qty],T_TTAFStock[RM_Code],$A28,T_TTAFStock[WeekIndex],41),AO28+'Grid_Incoming'!AP28-'Grid_Requirement'!AP28))</f>
        <v/>
      </c>
      <c r="AQ28">
        <f>IF(COUNTIFS(T_StockCount[RM_Code],$A28,T_StockCount[WeekIndex],42)&gt;0,SUMIFS(T_StockCount[CountedQty],T_StockCount[RM_Code],$A28,T_StockCount[WeekIndex],42),IF((COUNTIFS(T_SelfStock[RM_Code],$A28,T_SelfStock[WeekIndex],42)&gt;0)*(COUNTIFS(T_TTAFStock[RM_Code],$A28,T_TTAFStock[WeekIndex],42)&gt;0)&gt;0,SUMIFS(T_SelfStock[Self_Qty],T_SelfStock[RM_Code],$A28,T_SelfStock[WeekIndex],42)+SUMIFS(T_TTAFStock[TTAF_Qty],T_TTAFStock[RM_Code],$A28,T_TTAFStock[WeekIndex],42),AP28+'Grid_Incoming'!AQ28-'Grid_Requirement'!AQ28))</f>
        <v/>
      </c>
      <c r="AR28">
        <f>IF(COUNTIFS(T_StockCount[RM_Code],$A28,T_StockCount[WeekIndex],43)&gt;0,SUMIFS(T_StockCount[CountedQty],T_StockCount[RM_Code],$A28,T_StockCount[WeekIndex],43),IF((COUNTIFS(T_SelfStock[RM_Code],$A28,T_SelfStock[WeekIndex],43)&gt;0)*(COUNTIFS(T_TTAFStock[RM_Code],$A28,T_TTAFStock[WeekIndex],43)&gt;0)&gt;0,SUMIFS(T_SelfStock[Self_Qty],T_SelfStock[RM_Code],$A28,T_SelfStock[WeekIndex],43)+SUMIFS(T_TTAFStock[TTAF_Qty],T_TTAFStock[RM_Code],$A28,T_TTAFStock[WeekIndex],43),AQ28+'Grid_Incoming'!AR28-'Grid_Requirement'!AR28))</f>
        <v/>
      </c>
      <c r="AS28">
        <f>IF(COUNTIFS(T_StockCount[RM_Code],$A28,T_StockCount[WeekIndex],44)&gt;0,SUMIFS(T_StockCount[CountedQty],T_StockCount[RM_Code],$A28,T_StockCount[WeekIndex],44),IF((COUNTIFS(T_SelfStock[RM_Code],$A28,T_SelfStock[WeekIndex],44)&gt;0)*(COUNTIFS(T_TTAFStock[RM_Code],$A28,T_TTAFStock[WeekIndex],44)&gt;0)&gt;0,SUMIFS(T_SelfStock[Self_Qty],T_SelfStock[RM_Code],$A28,T_SelfStock[WeekIndex],44)+SUMIFS(T_TTAFStock[TTAF_Qty],T_TTAFStock[RM_Code],$A28,T_TTAFStock[WeekIndex],44),AR28+'Grid_Incoming'!AS28-'Grid_Requirement'!AS28))</f>
        <v/>
      </c>
      <c r="AT28">
        <f>IF(COUNTIFS(T_StockCount[RM_Code],$A28,T_StockCount[WeekIndex],45)&gt;0,SUMIFS(T_StockCount[CountedQty],T_StockCount[RM_Code],$A28,T_StockCount[WeekIndex],45),IF((COUNTIFS(T_SelfStock[RM_Code],$A28,T_SelfStock[WeekIndex],45)&gt;0)*(COUNTIFS(T_TTAFStock[RM_Code],$A28,T_TTAFStock[WeekIndex],45)&gt;0)&gt;0,SUMIFS(T_SelfStock[Self_Qty],T_SelfStock[RM_Code],$A28,T_SelfStock[WeekIndex],45)+SUMIFS(T_TTAFStock[TTAF_Qty],T_TTAFStock[RM_Code],$A28,T_TTAFStock[WeekIndex],45),AS28+'Grid_Incoming'!AT28-'Grid_Requirement'!AT28))</f>
        <v/>
      </c>
      <c r="AU28">
        <f>IF(COUNTIFS(T_StockCount[RM_Code],$A28,T_StockCount[WeekIndex],46)&gt;0,SUMIFS(T_StockCount[CountedQty],T_StockCount[RM_Code],$A28,T_StockCount[WeekIndex],46),IF((COUNTIFS(T_SelfStock[RM_Code],$A28,T_SelfStock[WeekIndex],46)&gt;0)*(COUNTIFS(T_TTAFStock[RM_Code],$A28,T_TTAFStock[WeekIndex],46)&gt;0)&gt;0,SUMIFS(T_SelfStock[Self_Qty],T_SelfStock[RM_Code],$A28,T_SelfStock[WeekIndex],46)+SUMIFS(T_TTAFStock[TTAF_Qty],T_TTAFStock[RM_Code],$A28,T_TTAFStock[WeekIndex],46),AT28+'Grid_Incoming'!AU28-'Grid_Requirement'!AU28))</f>
        <v/>
      </c>
      <c r="AV28">
        <f>IF(COUNTIFS(T_StockCount[RM_Code],$A28,T_StockCount[WeekIndex],47)&gt;0,SUMIFS(T_StockCount[CountedQty],T_StockCount[RM_Code],$A28,T_StockCount[WeekIndex],47),IF((COUNTIFS(T_SelfStock[RM_Code],$A28,T_SelfStock[WeekIndex],47)&gt;0)*(COUNTIFS(T_TTAFStock[RM_Code],$A28,T_TTAFStock[WeekIndex],47)&gt;0)&gt;0,SUMIFS(T_SelfStock[Self_Qty],T_SelfStock[RM_Code],$A28,T_SelfStock[WeekIndex],47)+SUMIFS(T_TTAFStock[TTAF_Qty],T_TTAFStock[RM_Code],$A28,T_TTAFStock[WeekIndex],47),AU28+'Grid_Incoming'!AV28-'Grid_Requirement'!AV28))</f>
        <v/>
      </c>
      <c r="AW28">
        <f>IF(COUNTIFS(T_StockCount[RM_Code],$A28,T_StockCount[WeekIndex],48)&gt;0,SUMIFS(T_StockCount[CountedQty],T_StockCount[RM_Code],$A28,T_StockCount[WeekIndex],48),IF((COUNTIFS(T_SelfStock[RM_Code],$A28,T_SelfStock[WeekIndex],48)&gt;0)*(COUNTIFS(T_TTAFStock[RM_Code],$A28,T_TTAFStock[WeekIndex],48)&gt;0)&gt;0,SUMIFS(T_SelfStock[Self_Qty],T_SelfStock[RM_Code],$A28,T_SelfStock[WeekIndex],48)+SUMIFS(T_TTAFStock[TTAF_Qty],T_TTAFStock[RM_Code],$A28,T_TTAFStock[WeekIndex],48),AV28+'Grid_Incoming'!AW28-'Grid_Requirement'!AW28))</f>
        <v/>
      </c>
      <c r="AX28">
        <f>IF(COUNTIFS(T_StockCount[RM_Code],$A28,T_StockCount[WeekIndex],49)&gt;0,SUMIFS(T_StockCount[CountedQty],T_StockCount[RM_Code],$A28,T_StockCount[WeekIndex],49),IF((COUNTIFS(T_SelfStock[RM_Code],$A28,T_SelfStock[WeekIndex],49)&gt;0)*(COUNTIFS(T_TTAFStock[RM_Code],$A28,T_TTAFStock[WeekIndex],49)&gt;0)&gt;0,SUMIFS(T_SelfStock[Self_Qty],T_SelfStock[RM_Code],$A28,T_SelfStock[WeekIndex],49)+SUMIFS(T_TTAFStock[TTAF_Qty],T_TTAFStock[RM_Code],$A28,T_TTAFStock[WeekIndex],49),AW28+'Grid_Incoming'!AX28-'Grid_Requirement'!AX28))</f>
        <v/>
      </c>
      <c r="AY28">
        <f>IF(COUNTIFS(T_StockCount[RM_Code],$A28,T_StockCount[WeekIndex],50)&gt;0,SUMIFS(T_StockCount[CountedQty],T_StockCount[RM_Code],$A28,T_StockCount[WeekIndex],50),IF((COUNTIFS(T_SelfStock[RM_Code],$A28,T_SelfStock[WeekIndex],50)&gt;0)*(COUNTIFS(T_TTAFStock[RM_Code],$A28,T_TTAFStock[WeekIndex],50)&gt;0)&gt;0,SUMIFS(T_SelfStock[Self_Qty],T_SelfStock[RM_Code],$A28,T_SelfStock[WeekIndex],50)+SUMIFS(T_TTAFStock[TTAF_Qty],T_TTAFStock[RM_Code],$A28,T_TTAFStock[WeekIndex],50),AX28+'Grid_Incoming'!AY28-'Grid_Requirement'!AY28))</f>
        <v/>
      </c>
      <c r="AZ28">
        <f>IF(COUNTIFS(T_StockCount[RM_Code],$A28,T_StockCount[WeekIndex],51)&gt;0,SUMIFS(T_StockCount[CountedQty],T_StockCount[RM_Code],$A28,T_StockCount[WeekIndex],51),IF((COUNTIFS(T_SelfStock[RM_Code],$A28,T_SelfStock[WeekIndex],51)&gt;0)*(COUNTIFS(T_TTAFStock[RM_Code],$A28,T_TTAFStock[WeekIndex],51)&gt;0)&gt;0,SUMIFS(T_SelfStock[Self_Qty],T_SelfStock[RM_Code],$A28,T_SelfStock[WeekIndex],51)+SUMIFS(T_TTAFStock[TTAF_Qty],T_TTAFStock[RM_Code],$A28,T_TTAFStock[WeekIndex],51),AY28+'Grid_Incoming'!AZ28-'Grid_Requirement'!AZ28))</f>
        <v/>
      </c>
      <c r="BA28">
        <f>IF(COUNTIFS(T_StockCount[RM_Code],$A28,T_StockCount[WeekIndex],52)&gt;0,SUMIFS(T_StockCount[CountedQty],T_StockCount[RM_Code],$A28,T_StockCount[WeekIndex],52),IF((COUNTIFS(T_SelfStock[RM_Code],$A28,T_SelfStock[WeekIndex],52)&gt;0)*(COUNTIFS(T_TTAFStock[RM_Code],$A28,T_TTAFStock[WeekIndex],52)&gt;0)&gt;0,SUMIFS(T_SelfStock[Self_Qty],T_SelfStock[RM_Code],$A28,T_SelfStock[WeekIndex],52)+SUMIFS(T_TTAFStock[TTAF_Qty],T_TTAFStock[RM_Code],$A28,T_TTAFStock[WeekIndex],52),AZ28+'Grid_Incoming'!BA28-'Grid_Requirement'!BA28))</f>
        <v/>
      </c>
      <c r="BB28">
        <f>IF(COUNTIFS(T_StockCount[RM_Code],$A28,T_StockCount[WeekIndex],53)&gt;0,SUMIFS(T_StockCount[CountedQty],T_StockCount[RM_Code],$A28,T_StockCount[WeekIndex],53),IF((COUNTIFS(T_SelfStock[RM_Code],$A28,T_SelfStock[WeekIndex],53)&gt;0)*(COUNTIFS(T_TTAFStock[RM_Code],$A28,T_TTAFStock[WeekIndex],53)&gt;0)&gt;0,SUMIFS(T_SelfStock[Self_Qty],T_SelfStock[RM_Code],$A28,T_SelfStock[WeekIndex],53)+SUMIFS(T_TTAFStock[TTAF_Qty],T_TTAFStock[RM_Code],$A28,T_TTAFStock[WeekIndex],53),BA28+'Grid_Incoming'!BB28-'Grid_Requirement'!BB28))</f>
        <v/>
      </c>
      <c r="BC28">
        <f>IF(COUNTIFS(T_StockCount[RM_Code],$A28,T_StockCount[WeekIndex],54)&gt;0,SUMIFS(T_StockCount[CountedQty],T_StockCount[RM_Code],$A28,T_StockCount[WeekIndex],54),IF((COUNTIFS(T_SelfStock[RM_Code],$A28,T_SelfStock[WeekIndex],54)&gt;0)*(COUNTIFS(T_TTAFStock[RM_Code],$A28,T_TTAFStock[WeekIndex],54)&gt;0)&gt;0,SUMIFS(T_SelfStock[Self_Qty],T_SelfStock[RM_Code],$A28,T_SelfStock[WeekIndex],54)+SUMIFS(T_TTAFStock[TTAF_Qty],T_TTAFStock[RM_Code],$A28,T_TTAFStock[WeekIndex],54),BB28+'Grid_Incoming'!BC28-'Grid_Requirement'!BC28))</f>
        <v/>
      </c>
      <c r="BD28">
        <f>IF(COUNTIFS(T_StockCount[RM_Code],$A28,T_StockCount[WeekIndex],55)&gt;0,SUMIFS(T_StockCount[CountedQty],T_StockCount[RM_Code],$A28,T_StockCount[WeekIndex],55),IF((COUNTIFS(T_SelfStock[RM_Code],$A28,T_SelfStock[WeekIndex],55)&gt;0)*(COUNTIFS(T_TTAFStock[RM_Code],$A28,T_TTAFStock[WeekIndex],55)&gt;0)&gt;0,SUMIFS(T_SelfStock[Self_Qty],T_SelfStock[RM_Code],$A28,T_SelfStock[WeekIndex],55)+SUMIFS(T_TTAFStock[TTAF_Qty],T_TTAFStock[RM_Code],$A28,T_TTAFStock[WeekIndex],55),BC28+'Grid_Incoming'!BD28-'Grid_Requirement'!BD28))</f>
        <v/>
      </c>
      <c r="BE28">
        <f>IF(COUNTIFS(T_StockCount[RM_Code],$A28,T_StockCount[WeekIndex],56)&gt;0,SUMIFS(T_StockCount[CountedQty],T_StockCount[RM_Code],$A28,T_StockCount[WeekIndex],56),IF((COUNTIFS(T_SelfStock[RM_Code],$A28,T_SelfStock[WeekIndex],56)&gt;0)*(COUNTIFS(T_TTAFStock[RM_Code],$A28,T_TTAFStock[WeekIndex],56)&gt;0)&gt;0,SUMIFS(T_SelfStock[Self_Qty],T_SelfStock[RM_Code],$A28,T_SelfStock[WeekIndex],56)+SUMIFS(T_TTAFStock[TTAF_Qty],T_TTAFStock[RM_Code],$A28,T_TTAFStock[WeekIndex],56),BD28+'Grid_Incoming'!BE28-'Grid_Requirement'!BE28))</f>
        <v/>
      </c>
      <c r="BF28">
        <f>IF(COUNTIFS(T_StockCount[RM_Code],$A28,T_StockCount[WeekIndex],57)&gt;0,SUMIFS(T_StockCount[CountedQty],T_StockCount[RM_Code],$A28,T_StockCount[WeekIndex],57),IF((COUNTIFS(T_SelfStock[RM_Code],$A28,T_SelfStock[WeekIndex],57)&gt;0)*(COUNTIFS(T_TTAFStock[RM_Code],$A28,T_TTAFStock[WeekIndex],57)&gt;0)&gt;0,SUMIFS(T_SelfStock[Self_Qty],T_SelfStock[RM_Code],$A28,T_SelfStock[WeekIndex],57)+SUMIFS(T_TTAFStock[TTAF_Qty],T_TTAFStock[RM_Code],$A28,T_TTAFStock[WeekIndex],57),BE28+'Grid_Incoming'!BF28-'Grid_Requirement'!BF28))</f>
        <v/>
      </c>
      <c r="BG28">
        <f>IF(COUNTIFS(T_StockCount[RM_Code],$A28,T_StockCount[WeekIndex],58)&gt;0,SUMIFS(T_StockCount[CountedQty],T_StockCount[RM_Code],$A28,T_StockCount[WeekIndex],58),IF((COUNTIFS(T_SelfStock[RM_Code],$A28,T_SelfStock[WeekIndex],58)&gt;0)*(COUNTIFS(T_TTAFStock[RM_Code],$A28,T_TTAFStock[WeekIndex],58)&gt;0)&gt;0,SUMIFS(T_SelfStock[Self_Qty],T_SelfStock[RM_Code],$A28,T_SelfStock[WeekIndex],58)+SUMIFS(T_TTAFStock[TTAF_Qty],T_TTAFStock[RM_Code],$A28,T_TTAFStock[WeekIndex],58),BF28+'Grid_Incoming'!BG28-'Grid_Requirement'!BG28))</f>
        <v/>
      </c>
      <c r="BH28">
        <f>IF(COUNTIFS(T_StockCount[RM_Code],$A28,T_StockCount[WeekIndex],59)&gt;0,SUMIFS(T_StockCount[CountedQty],T_StockCount[RM_Code],$A28,T_StockCount[WeekIndex],59),IF((COUNTIFS(T_SelfStock[RM_Code],$A28,T_SelfStock[WeekIndex],59)&gt;0)*(COUNTIFS(T_TTAFStock[RM_Code],$A28,T_TTAFStock[WeekIndex],59)&gt;0)&gt;0,SUMIFS(T_SelfStock[Self_Qty],T_SelfStock[RM_Code],$A28,T_SelfStock[WeekIndex],59)+SUMIFS(T_TTAFStock[TTAF_Qty],T_TTAFStock[RM_Code],$A28,T_TTAFStock[WeekIndex],59),BG28+'Grid_Incoming'!BH28-'Grid_Requirement'!BH28))</f>
        <v/>
      </c>
      <c r="BI28">
        <f>IF(COUNTIFS(T_StockCount[RM_Code],$A28,T_StockCount[WeekIndex],60)&gt;0,SUMIFS(T_StockCount[CountedQty],T_StockCount[RM_Code],$A28,T_StockCount[WeekIndex],60),IF((COUNTIFS(T_SelfStock[RM_Code],$A28,T_SelfStock[WeekIndex],60)&gt;0)*(COUNTIFS(T_TTAFStock[RM_Code],$A28,T_TTAFStock[WeekIndex],60)&gt;0)&gt;0,SUMIFS(T_SelfStock[Self_Qty],T_SelfStock[RM_Code],$A28,T_SelfStock[WeekIndex],60)+SUMIFS(T_TTAFStock[TTAF_Qty],T_TTAFStock[RM_Code],$A28,T_TTAFStock[WeekIndex],60),BH28+'Grid_Incoming'!BI28-'Grid_Requirement'!BI28))</f>
        <v/>
      </c>
      <c r="BJ28">
        <f>IF(COUNTIFS(T_StockCount[RM_Code],$A28,T_StockCount[WeekIndex],61)&gt;0,SUMIFS(T_StockCount[CountedQty],T_StockCount[RM_Code],$A28,T_StockCount[WeekIndex],61),IF((COUNTIFS(T_SelfStock[RM_Code],$A28,T_SelfStock[WeekIndex],61)&gt;0)*(COUNTIFS(T_TTAFStock[RM_Code],$A28,T_TTAFStock[WeekIndex],61)&gt;0)&gt;0,SUMIFS(T_SelfStock[Self_Qty],T_SelfStock[RM_Code],$A28,T_SelfStock[WeekIndex],61)+SUMIFS(T_TTAFStock[TTAF_Qty],T_TTAFStock[RM_Code],$A28,T_TTAFStock[WeekIndex],61),BI28+'Grid_Incoming'!BJ28-'Grid_Requirement'!BJ28))</f>
        <v/>
      </c>
      <c r="BK28">
        <f>IF(COUNTIFS(T_StockCount[RM_Code],$A28,T_StockCount[WeekIndex],62)&gt;0,SUMIFS(T_StockCount[CountedQty],T_StockCount[RM_Code],$A28,T_StockCount[WeekIndex],62),IF((COUNTIFS(T_SelfStock[RM_Code],$A28,T_SelfStock[WeekIndex],62)&gt;0)*(COUNTIFS(T_TTAFStock[RM_Code],$A28,T_TTAFStock[WeekIndex],62)&gt;0)&gt;0,SUMIFS(T_SelfStock[Self_Qty],T_SelfStock[RM_Code],$A28,T_SelfStock[WeekIndex],62)+SUMIFS(T_TTAFStock[TTAF_Qty],T_TTAFStock[RM_Code],$A28,T_TTAFStock[WeekIndex],62),BJ28+'Grid_Incoming'!BK28-'Grid_Requirement'!BK28))</f>
        <v/>
      </c>
      <c r="BL28">
        <f>IF(COUNTIFS(T_StockCount[RM_Code],$A28,T_StockCount[WeekIndex],63)&gt;0,SUMIFS(T_StockCount[CountedQty],T_StockCount[RM_Code],$A28,T_StockCount[WeekIndex],63),IF((COUNTIFS(T_SelfStock[RM_Code],$A28,T_SelfStock[WeekIndex],63)&gt;0)*(COUNTIFS(T_TTAFStock[RM_Code],$A28,T_TTAFStock[WeekIndex],63)&gt;0)&gt;0,SUMIFS(T_SelfStock[Self_Qty],T_SelfStock[RM_Code],$A28,T_SelfStock[WeekIndex],63)+SUMIFS(T_TTAFStock[TTAF_Qty],T_TTAFStock[RM_Code],$A28,T_TTAFStock[WeekIndex],63),BK28+'Grid_Incoming'!BL28-'Grid_Requirement'!BL28))</f>
        <v/>
      </c>
      <c r="BM28">
        <f>IF(COUNTIFS(T_StockCount[RM_Code],$A28,T_StockCount[WeekIndex],64)&gt;0,SUMIFS(T_StockCount[CountedQty],T_StockCount[RM_Code],$A28,T_StockCount[WeekIndex],64),IF((COUNTIFS(T_SelfStock[RM_Code],$A28,T_SelfStock[WeekIndex],64)&gt;0)*(COUNTIFS(T_TTAFStock[RM_Code],$A28,T_TTAFStock[WeekIndex],64)&gt;0)&gt;0,SUMIFS(T_SelfStock[Self_Qty],T_SelfStock[RM_Code],$A28,T_SelfStock[WeekIndex],64)+SUMIFS(T_TTAFStock[TTAF_Qty],T_TTAFStock[RM_Code],$A28,T_TTAFStock[WeekIndex],64),BL28+'Grid_Incoming'!BM28-'Grid_Requirement'!BM28))</f>
        <v/>
      </c>
      <c r="BN28">
        <f>IF(COUNTIFS(T_StockCount[RM_Code],$A28,T_StockCount[WeekIndex],65)&gt;0,SUMIFS(T_StockCount[CountedQty],T_StockCount[RM_Code],$A28,T_StockCount[WeekIndex],65),IF((COUNTIFS(T_SelfStock[RM_Code],$A28,T_SelfStock[WeekIndex],65)&gt;0)*(COUNTIFS(T_TTAFStock[RM_Code],$A28,T_TTAFStock[WeekIndex],65)&gt;0)&gt;0,SUMIFS(T_SelfStock[Self_Qty],T_SelfStock[RM_Code],$A28,T_SelfStock[WeekIndex],65)+SUMIFS(T_TTAFStock[TTAF_Qty],T_TTAFStock[RM_Code],$A28,T_TTAFStock[WeekIndex],65),BM28+'Grid_Incoming'!BN28-'Grid_Requirement'!BN28))</f>
        <v/>
      </c>
      <c r="BO28">
        <f>IF(COUNTIFS(T_StockCount[RM_Code],$A28,T_StockCount[WeekIndex],66)&gt;0,SUMIFS(T_StockCount[CountedQty],T_StockCount[RM_Code],$A28,T_StockCount[WeekIndex],66),IF((COUNTIFS(T_SelfStock[RM_Code],$A28,T_SelfStock[WeekIndex],66)&gt;0)*(COUNTIFS(T_TTAFStock[RM_Code],$A28,T_TTAFStock[WeekIndex],66)&gt;0)&gt;0,SUMIFS(T_SelfStock[Self_Qty],T_SelfStock[RM_Code],$A28,T_SelfStock[WeekIndex],66)+SUMIFS(T_TTAFStock[TTAF_Qty],T_TTAFStock[RM_Code],$A28,T_TTAFStock[WeekIndex],66),BN28+'Grid_Incoming'!BO28-'Grid_Requirement'!BO28))</f>
        <v/>
      </c>
      <c r="BP28">
        <f>IF(COUNTIFS(T_StockCount[RM_Code],$A28,T_StockCount[WeekIndex],67)&gt;0,SUMIFS(T_StockCount[CountedQty],T_StockCount[RM_Code],$A28,T_StockCount[WeekIndex],67),IF((COUNTIFS(T_SelfStock[RM_Code],$A28,T_SelfStock[WeekIndex],67)&gt;0)*(COUNTIFS(T_TTAFStock[RM_Code],$A28,T_TTAFStock[WeekIndex],67)&gt;0)&gt;0,SUMIFS(T_SelfStock[Self_Qty],T_SelfStock[RM_Code],$A28,T_SelfStock[WeekIndex],67)+SUMIFS(T_TTAFStock[TTAF_Qty],T_TTAFStock[RM_Code],$A28,T_TTAFStock[WeekIndex],67),BO28+'Grid_Incoming'!BP28-'Grid_Requirement'!BP28))</f>
        <v/>
      </c>
      <c r="BQ28">
        <f>IF(COUNTIFS(T_StockCount[RM_Code],$A28,T_StockCount[WeekIndex],68)&gt;0,SUMIFS(T_StockCount[CountedQty],T_StockCount[RM_Code],$A28,T_StockCount[WeekIndex],68),IF((COUNTIFS(T_SelfStock[RM_Code],$A28,T_SelfStock[WeekIndex],68)&gt;0)*(COUNTIFS(T_TTAFStock[RM_Code],$A28,T_TTAFStock[WeekIndex],68)&gt;0)&gt;0,SUMIFS(T_SelfStock[Self_Qty],T_SelfStock[RM_Code],$A28,T_SelfStock[WeekIndex],68)+SUMIFS(T_TTAFStock[TTAF_Qty],T_TTAFStock[RM_Code],$A28,T_TTAFStock[WeekIndex],68),BP28+'Grid_Incoming'!BQ28-'Grid_Requirement'!BQ28))</f>
        <v/>
      </c>
      <c r="BR28">
        <f>IF(COUNTIFS(T_StockCount[RM_Code],$A28,T_StockCount[WeekIndex],69)&gt;0,SUMIFS(T_StockCount[CountedQty],T_StockCount[RM_Code],$A28,T_StockCount[WeekIndex],69),IF((COUNTIFS(T_SelfStock[RM_Code],$A28,T_SelfStock[WeekIndex],69)&gt;0)*(COUNTIFS(T_TTAFStock[RM_Code],$A28,T_TTAFStock[WeekIndex],69)&gt;0)&gt;0,SUMIFS(T_SelfStock[Self_Qty],T_SelfStock[RM_Code],$A28,T_SelfStock[WeekIndex],69)+SUMIFS(T_TTAFStock[TTAF_Qty],T_TTAFStock[RM_Code],$A28,T_TTAFStock[WeekIndex],69),BQ28+'Grid_Incoming'!BR28-'Grid_Requirement'!BR28))</f>
        <v/>
      </c>
      <c r="BS28">
        <f>IF(COUNTIFS(T_StockCount[RM_Code],$A28,T_StockCount[WeekIndex],70)&gt;0,SUMIFS(T_StockCount[CountedQty],T_StockCount[RM_Code],$A28,T_StockCount[WeekIndex],70),IF((COUNTIFS(T_SelfStock[RM_Code],$A28,T_SelfStock[WeekIndex],70)&gt;0)*(COUNTIFS(T_TTAFStock[RM_Code],$A28,T_TTAFStock[WeekIndex],70)&gt;0)&gt;0,SUMIFS(T_SelfStock[Self_Qty],T_SelfStock[RM_Code],$A28,T_SelfStock[WeekIndex],70)+SUMIFS(T_TTAFStock[TTAF_Qty],T_TTAFStock[RM_Code],$A28,T_TTAFStock[WeekIndex],70),BR28+'Grid_Incoming'!BS28-'Grid_Requirement'!BS28))</f>
        <v/>
      </c>
      <c r="BT28">
        <f>IF(COUNTIFS(T_StockCount[RM_Code],$A28,T_StockCount[WeekIndex],71)&gt;0,SUMIFS(T_StockCount[CountedQty],T_StockCount[RM_Code],$A28,T_StockCount[WeekIndex],71),IF((COUNTIFS(T_SelfStock[RM_Code],$A28,T_SelfStock[WeekIndex],71)&gt;0)*(COUNTIFS(T_TTAFStock[RM_Code],$A28,T_TTAFStock[WeekIndex],71)&gt;0)&gt;0,SUMIFS(T_SelfStock[Self_Qty],T_SelfStock[RM_Code],$A28,T_SelfStock[WeekIndex],71)+SUMIFS(T_TTAFStock[TTAF_Qty],T_TTAFStock[RM_Code],$A28,T_TTAFStock[WeekIndex],71),BS28+'Grid_Incoming'!BT28-'Grid_Requirement'!BT28))</f>
        <v/>
      </c>
      <c r="BU28">
        <f>IF(COUNTIFS(T_StockCount[RM_Code],$A28,T_StockCount[WeekIndex],72)&gt;0,SUMIFS(T_StockCount[CountedQty],T_StockCount[RM_Code],$A28,T_StockCount[WeekIndex],72),IF((COUNTIFS(T_SelfStock[RM_Code],$A28,T_SelfStock[WeekIndex],72)&gt;0)*(COUNTIFS(T_TTAFStock[RM_Code],$A28,T_TTAFStock[WeekIndex],72)&gt;0)&gt;0,SUMIFS(T_SelfStock[Self_Qty],T_SelfStock[RM_Code],$A28,T_SelfStock[WeekIndex],72)+SUMIFS(T_TTAFStock[TTAF_Qty],T_TTAFStock[RM_Code],$A28,T_TTAFStock[WeekIndex],72),BT28+'Grid_Incoming'!BU28-'Grid_Requirement'!BU28))</f>
        <v/>
      </c>
      <c r="BV28">
        <f>IF(COUNTIFS(T_StockCount[RM_Code],$A28,T_StockCount[WeekIndex],73)&gt;0,SUMIFS(T_StockCount[CountedQty],T_StockCount[RM_Code],$A28,T_StockCount[WeekIndex],73),IF((COUNTIFS(T_SelfStock[RM_Code],$A28,T_SelfStock[WeekIndex],73)&gt;0)*(COUNTIFS(T_TTAFStock[RM_Code],$A28,T_TTAFStock[WeekIndex],73)&gt;0)&gt;0,SUMIFS(T_SelfStock[Self_Qty],T_SelfStock[RM_Code],$A28,T_SelfStock[WeekIndex],73)+SUMIFS(T_TTAFStock[TTAF_Qty],T_TTAFStock[RM_Code],$A28,T_TTAFStock[WeekIndex],73),BU28+'Grid_Incoming'!BV28-'Grid_Requirement'!BV28))</f>
        <v/>
      </c>
      <c r="BW28">
        <f>IF(COUNTIFS(T_StockCount[RM_Code],$A28,T_StockCount[WeekIndex],74)&gt;0,SUMIFS(T_StockCount[CountedQty],T_StockCount[RM_Code],$A28,T_StockCount[WeekIndex],74),IF((COUNTIFS(T_SelfStock[RM_Code],$A28,T_SelfStock[WeekIndex],74)&gt;0)*(COUNTIFS(T_TTAFStock[RM_Code],$A28,T_TTAFStock[WeekIndex],74)&gt;0)&gt;0,SUMIFS(T_SelfStock[Self_Qty],T_SelfStock[RM_Code],$A28,T_SelfStock[WeekIndex],74)+SUMIFS(T_TTAFStock[TTAF_Qty],T_TTAFStock[RM_Code],$A28,T_TTAFStock[WeekIndex],74),BV28+'Grid_Incoming'!BW28-'Grid_Requirement'!BW28))</f>
        <v/>
      </c>
      <c r="BX28">
        <f>IF(COUNTIFS(T_StockCount[RM_Code],$A28,T_StockCount[WeekIndex],75)&gt;0,SUMIFS(T_StockCount[CountedQty],T_StockCount[RM_Code],$A28,T_StockCount[WeekIndex],75),IF((COUNTIFS(T_SelfStock[RM_Code],$A28,T_SelfStock[WeekIndex],75)&gt;0)*(COUNTIFS(T_TTAFStock[RM_Code],$A28,T_TTAFStock[WeekIndex],75)&gt;0)&gt;0,SUMIFS(T_SelfStock[Self_Qty],T_SelfStock[RM_Code],$A28,T_SelfStock[WeekIndex],75)+SUMIFS(T_TTAFStock[TTAF_Qty],T_TTAFStock[RM_Code],$A28,T_TTAFStock[WeekIndex],75),BW28+'Grid_Incoming'!BX28-'Grid_Requirement'!BX28))</f>
        <v/>
      </c>
      <c r="BY28">
        <f>IF(COUNTIFS(T_StockCount[RM_Code],$A28,T_StockCount[WeekIndex],76)&gt;0,SUMIFS(T_StockCount[CountedQty],T_StockCount[RM_Code],$A28,T_StockCount[WeekIndex],76),IF((COUNTIFS(T_SelfStock[RM_Code],$A28,T_SelfStock[WeekIndex],76)&gt;0)*(COUNTIFS(T_TTAFStock[RM_Code],$A28,T_TTAFStock[WeekIndex],76)&gt;0)&gt;0,SUMIFS(T_SelfStock[Self_Qty],T_SelfStock[RM_Code],$A28,T_SelfStock[WeekIndex],76)+SUMIFS(T_TTAFStock[TTAF_Qty],T_TTAFStock[RM_Code],$A28,T_TTAFStock[WeekIndex],76),BX28+'Grid_Incoming'!BY28-'Grid_Requirement'!BY28))</f>
        <v/>
      </c>
      <c r="BZ28">
        <f>IF(COUNTIFS(T_StockCount[RM_Code],$A28,T_StockCount[WeekIndex],77)&gt;0,SUMIFS(T_StockCount[CountedQty],T_StockCount[RM_Code],$A28,T_StockCount[WeekIndex],77),IF((COUNTIFS(T_SelfStock[RM_Code],$A28,T_SelfStock[WeekIndex],77)&gt;0)*(COUNTIFS(T_TTAFStock[RM_Code],$A28,T_TTAFStock[WeekIndex],77)&gt;0)&gt;0,SUMIFS(T_SelfStock[Self_Qty],T_SelfStock[RM_Code],$A28,T_SelfStock[WeekIndex],77)+SUMIFS(T_TTAFStock[TTAF_Qty],T_TTAFStock[RM_Code],$A28,T_TTAFStock[WeekIndex],77),BY28+'Grid_Incoming'!BZ28-'Grid_Requirement'!BZ28))</f>
        <v/>
      </c>
      <c r="CA28">
        <f>IF(COUNTIFS(T_StockCount[RM_Code],$A28,T_StockCount[WeekIndex],78)&gt;0,SUMIFS(T_StockCount[CountedQty],T_StockCount[RM_Code],$A28,T_StockCount[WeekIndex],78),IF((COUNTIFS(T_SelfStock[RM_Code],$A28,T_SelfStock[WeekIndex],78)&gt;0)*(COUNTIFS(T_TTAFStock[RM_Code],$A28,T_TTAFStock[WeekIndex],78)&gt;0)&gt;0,SUMIFS(T_SelfStock[Self_Qty],T_SelfStock[RM_Code],$A28,T_SelfStock[WeekIndex],78)+SUMIFS(T_TTAFStock[TTAF_Qty],T_TTAFStock[RM_Code],$A28,T_TTAFStock[WeekIndex],78),BZ28+'Grid_Incoming'!CA28-'Grid_Requirement'!CA28))</f>
        <v/>
      </c>
      <c r="CB28">
        <f>IF(COUNTIFS(T_StockCount[RM_Code],$A28,T_StockCount[WeekIndex],79)&gt;0,SUMIFS(T_StockCount[CountedQty],T_StockCount[RM_Code],$A28,T_StockCount[WeekIndex],79),IF((COUNTIFS(T_SelfStock[RM_Code],$A28,T_SelfStock[WeekIndex],79)&gt;0)*(COUNTIFS(T_TTAFStock[RM_Code],$A28,T_TTAFStock[WeekIndex],79)&gt;0)&gt;0,SUMIFS(T_SelfStock[Self_Qty],T_SelfStock[RM_Code],$A28,T_SelfStock[WeekIndex],79)+SUMIFS(T_TTAFStock[TTAF_Qty],T_TTAFStock[RM_Code],$A28,T_TTAFStock[WeekIndex],79),CA28+'Grid_Incoming'!CB28-'Grid_Requirement'!CB28))</f>
        <v/>
      </c>
      <c r="CC28">
        <f>IF(COUNTIFS(T_StockCount[RM_Code],$A28,T_StockCount[WeekIndex],80)&gt;0,SUMIFS(T_StockCount[CountedQty],T_StockCount[RM_Code],$A28,T_StockCount[WeekIndex],80),IF((COUNTIFS(T_SelfStock[RM_Code],$A28,T_SelfStock[WeekIndex],80)&gt;0)*(COUNTIFS(T_TTAFStock[RM_Code],$A28,T_TTAFStock[WeekIndex],80)&gt;0)&gt;0,SUMIFS(T_SelfStock[Self_Qty],T_SelfStock[RM_Code],$A28,T_SelfStock[WeekIndex],80)+SUMIFS(T_TTAFStock[TTAF_Qty],T_TTAFStock[RM_Code],$A28,T_TTAFStock[WeekIndex],80),CB28+'Grid_Incoming'!CC28-'Grid_Requirement'!CC28))</f>
        <v/>
      </c>
      <c r="CD28">
        <f>IF(COUNTIFS(T_StockCount[RM_Code],$A28,T_StockCount[WeekIndex],81)&gt;0,SUMIFS(T_StockCount[CountedQty],T_StockCount[RM_Code],$A28,T_StockCount[WeekIndex],81),IF((COUNTIFS(T_SelfStock[RM_Code],$A28,T_SelfStock[WeekIndex],81)&gt;0)*(COUNTIFS(T_TTAFStock[RM_Code],$A28,T_TTAFStock[WeekIndex],81)&gt;0)&gt;0,SUMIFS(T_SelfStock[Self_Qty],T_SelfStock[RM_Code],$A28,T_SelfStock[WeekIndex],81)+SUMIFS(T_TTAFStock[TTAF_Qty],T_TTAFStock[RM_Code],$A28,T_TTAFStock[WeekIndex],81),CC28+'Grid_Incoming'!CD28-'Grid_Requirement'!CD28))</f>
        <v/>
      </c>
      <c r="CE28">
        <f>IF(COUNTIFS(T_StockCount[RM_Code],$A28,T_StockCount[WeekIndex],82)&gt;0,SUMIFS(T_StockCount[CountedQty],T_StockCount[RM_Code],$A28,T_StockCount[WeekIndex],82),IF((COUNTIFS(T_SelfStock[RM_Code],$A28,T_SelfStock[WeekIndex],82)&gt;0)*(COUNTIFS(T_TTAFStock[RM_Code],$A28,T_TTAFStock[WeekIndex],82)&gt;0)&gt;0,SUMIFS(T_SelfStock[Self_Qty],T_SelfStock[RM_Code],$A28,T_SelfStock[WeekIndex],82)+SUMIFS(T_TTAFStock[TTAF_Qty],T_TTAFStock[RM_Code],$A28,T_TTAFStock[WeekIndex],82),CD28+'Grid_Incoming'!CE28-'Grid_Requirement'!CE28))</f>
        <v/>
      </c>
      <c r="CF28">
        <f>IF(COUNTIFS(T_StockCount[RM_Code],$A28,T_StockCount[WeekIndex],83)&gt;0,SUMIFS(T_StockCount[CountedQty],T_StockCount[RM_Code],$A28,T_StockCount[WeekIndex],83),IF((COUNTIFS(T_SelfStock[RM_Code],$A28,T_SelfStock[WeekIndex],83)&gt;0)*(COUNTIFS(T_TTAFStock[RM_Code],$A28,T_TTAFStock[WeekIndex],83)&gt;0)&gt;0,SUMIFS(T_SelfStock[Self_Qty],T_SelfStock[RM_Code],$A28,T_SelfStock[WeekIndex],83)+SUMIFS(T_TTAFStock[TTAF_Qty],T_TTAFStock[RM_Code],$A28,T_TTAFStock[WeekIndex],83),CE28+'Grid_Incoming'!CF28-'Grid_Requirement'!CF28))</f>
        <v/>
      </c>
      <c r="CG28">
        <f>IF(COUNTIFS(T_StockCount[RM_Code],$A28,T_StockCount[WeekIndex],84)&gt;0,SUMIFS(T_StockCount[CountedQty],T_StockCount[RM_Code],$A28,T_StockCount[WeekIndex],84),IF((COUNTIFS(T_SelfStock[RM_Code],$A28,T_SelfStock[WeekIndex],84)&gt;0)*(COUNTIFS(T_TTAFStock[RM_Code],$A28,T_TTAFStock[WeekIndex],84)&gt;0)&gt;0,SUMIFS(T_SelfStock[Self_Qty],T_SelfStock[RM_Code],$A28,T_SelfStock[WeekIndex],84)+SUMIFS(T_TTAFStock[TTAF_Qty],T_TTAFStock[RM_Code],$A28,T_TTAFStock[WeekIndex],84),CF28+'Grid_Incoming'!CG28-'Grid_Requirement'!CG28))</f>
        <v/>
      </c>
      <c r="CH28">
        <f>IF(COUNTIFS(T_StockCount[RM_Code],$A28,T_StockCount[WeekIndex],85)&gt;0,SUMIFS(T_StockCount[CountedQty],T_StockCount[RM_Code],$A28,T_StockCount[WeekIndex],85),IF((COUNTIFS(T_SelfStock[RM_Code],$A28,T_SelfStock[WeekIndex],85)&gt;0)*(COUNTIFS(T_TTAFStock[RM_Code],$A28,T_TTAFStock[WeekIndex],85)&gt;0)&gt;0,SUMIFS(T_SelfStock[Self_Qty],T_SelfStock[RM_Code],$A28,T_SelfStock[WeekIndex],85)+SUMIFS(T_TTAFStock[TTAF_Qty],T_TTAFStock[RM_Code],$A28,T_TTAFStock[WeekIndex],85),CG28+'Grid_Incoming'!CH28-'Grid_Requirement'!CH28))</f>
        <v/>
      </c>
      <c r="CI28">
        <f>IF(COUNTIFS(T_StockCount[RM_Code],$A28,T_StockCount[WeekIndex],86)&gt;0,SUMIFS(T_StockCount[CountedQty],T_StockCount[RM_Code],$A28,T_StockCount[WeekIndex],86),IF((COUNTIFS(T_SelfStock[RM_Code],$A28,T_SelfStock[WeekIndex],86)&gt;0)*(COUNTIFS(T_TTAFStock[RM_Code],$A28,T_TTAFStock[WeekIndex],86)&gt;0)&gt;0,SUMIFS(T_SelfStock[Self_Qty],T_SelfStock[RM_Code],$A28,T_SelfStock[WeekIndex],86)+SUMIFS(T_TTAFStock[TTAF_Qty],T_TTAFStock[RM_Code],$A28,T_TTAFStock[WeekIndex],86),CH28+'Grid_Incoming'!CI28-'Grid_Requirement'!CI28))</f>
        <v/>
      </c>
      <c r="CJ28">
        <f>IF(COUNTIFS(T_StockCount[RM_Code],$A28,T_StockCount[WeekIndex],87)&gt;0,SUMIFS(T_StockCount[CountedQty],T_StockCount[RM_Code],$A28,T_StockCount[WeekIndex],87),IF((COUNTIFS(T_SelfStock[RM_Code],$A28,T_SelfStock[WeekIndex],87)&gt;0)*(COUNTIFS(T_TTAFStock[RM_Code],$A28,T_TTAFStock[WeekIndex],87)&gt;0)&gt;0,SUMIFS(T_SelfStock[Self_Qty],T_SelfStock[RM_Code],$A28,T_SelfStock[WeekIndex],87)+SUMIFS(T_TTAFStock[TTAF_Qty],T_TTAFStock[RM_Code],$A28,T_TTAFStock[WeekIndex],87),CI28+'Grid_Incoming'!CJ28-'Grid_Requirement'!CJ28))</f>
        <v/>
      </c>
      <c r="CK28">
        <f>IF(COUNTIFS(T_StockCount[RM_Code],$A28,T_StockCount[WeekIndex],88)&gt;0,SUMIFS(T_StockCount[CountedQty],T_StockCount[RM_Code],$A28,T_StockCount[WeekIndex],88),IF((COUNTIFS(T_SelfStock[RM_Code],$A28,T_SelfStock[WeekIndex],88)&gt;0)*(COUNTIFS(T_TTAFStock[RM_Code],$A28,T_TTAFStock[WeekIndex],88)&gt;0)&gt;0,SUMIFS(T_SelfStock[Self_Qty],T_SelfStock[RM_Code],$A28,T_SelfStock[WeekIndex],88)+SUMIFS(T_TTAFStock[TTAF_Qty],T_TTAFStock[RM_Code],$A28,T_TTAFStock[WeekIndex],88),CJ28+'Grid_Incoming'!CK28-'Grid_Requirement'!CK28))</f>
        <v/>
      </c>
      <c r="CL28">
        <f>IF(COUNTIFS(T_StockCount[RM_Code],$A28,T_StockCount[WeekIndex],89)&gt;0,SUMIFS(T_StockCount[CountedQty],T_StockCount[RM_Code],$A28,T_StockCount[WeekIndex],89),IF((COUNTIFS(T_SelfStock[RM_Code],$A28,T_SelfStock[WeekIndex],89)&gt;0)*(COUNTIFS(T_TTAFStock[RM_Code],$A28,T_TTAFStock[WeekIndex],89)&gt;0)&gt;0,SUMIFS(T_SelfStock[Self_Qty],T_SelfStock[RM_Code],$A28,T_SelfStock[WeekIndex],89)+SUMIFS(T_TTAFStock[TTAF_Qty],T_TTAFStock[RM_Code],$A28,T_TTAFStock[WeekIndex],89),CK28+'Grid_Incoming'!CL28-'Grid_Requirement'!CL28))</f>
        <v/>
      </c>
      <c r="CM28">
        <f>IF(COUNTIFS(T_StockCount[RM_Code],$A28,T_StockCount[WeekIndex],90)&gt;0,SUMIFS(T_StockCount[CountedQty],T_StockCount[RM_Code],$A28,T_StockCount[WeekIndex],90),IF((COUNTIFS(T_SelfStock[RM_Code],$A28,T_SelfStock[WeekIndex],90)&gt;0)*(COUNTIFS(T_TTAFStock[RM_Code],$A28,T_TTAFStock[WeekIndex],90)&gt;0)&gt;0,SUMIFS(T_SelfStock[Self_Qty],T_SelfStock[RM_Code],$A28,T_SelfStock[WeekIndex],90)+SUMIFS(T_TTAFStock[TTAF_Qty],T_TTAFStock[RM_Code],$A28,T_TTAFStock[WeekIndex],90),CL28+'Grid_Incoming'!CM28-'Grid_Requirement'!CM28))</f>
        <v/>
      </c>
      <c r="CN28">
        <f>IF(COUNTIFS(T_StockCount[RM_Code],$A28,T_StockCount[WeekIndex],91)&gt;0,SUMIFS(T_StockCount[CountedQty],T_StockCount[RM_Code],$A28,T_StockCount[WeekIndex],91),IF((COUNTIFS(T_SelfStock[RM_Code],$A28,T_SelfStock[WeekIndex],91)&gt;0)*(COUNTIFS(T_TTAFStock[RM_Code],$A28,T_TTAFStock[WeekIndex],91)&gt;0)&gt;0,SUMIFS(T_SelfStock[Self_Qty],T_SelfStock[RM_Code],$A28,T_SelfStock[WeekIndex],91)+SUMIFS(T_TTAFStock[TTAF_Qty],T_TTAFStock[RM_Code],$A28,T_TTAFStock[WeekIndex],91),CM28+'Grid_Incoming'!CN28-'Grid_Requirement'!CN28))</f>
        <v/>
      </c>
      <c r="CO28">
        <f>IF(COUNTIFS(T_StockCount[RM_Code],$A28,T_StockCount[WeekIndex],92)&gt;0,SUMIFS(T_StockCount[CountedQty],T_StockCount[RM_Code],$A28,T_StockCount[WeekIndex],92),IF((COUNTIFS(T_SelfStock[RM_Code],$A28,T_SelfStock[WeekIndex],92)&gt;0)*(COUNTIFS(T_TTAFStock[RM_Code],$A28,T_TTAFStock[WeekIndex],92)&gt;0)&gt;0,SUMIFS(T_SelfStock[Self_Qty],T_SelfStock[RM_Code],$A28,T_SelfStock[WeekIndex],92)+SUMIFS(T_TTAFStock[TTAF_Qty],T_TTAFStock[RM_Code],$A28,T_TTAFStock[WeekIndex],92),CN28+'Grid_Incoming'!CO28-'Grid_Requirement'!CO28))</f>
        <v/>
      </c>
      <c r="CP28">
        <f>IF(COUNTIFS(T_StockCount[RM_Code],$A28,T_StockCount[WeekIndex],93)&gt;0,SUMIFS(T_StockCount[CountedQty],T_StockCount[RM_Code],$A28,T_StockCount[WeekIndex],93),IF((COUNTIFS(T_SelfStock[RM_Code],$A28,T_SelfStock[WeekIndex],93)&gt;0)*(COUNTIFS(T_TTAFStock[RM_Code],$A28,T_TTAFStock[WeekIndex],93)&gt;0)&gt;0,SUMIFS(T_SelfStock[Self_Qty],T_SelfStock[RM_Code],$A28,T_SelfStock[WeekIndex],93)+SUMIFS(T_TTAFStock[TTAF_Qty],T_TTAFStock[RM_Code],$A28,T_TTAFStock[WeekIndex],93),CO28+'Grid_Incoming'!CP28-'Grid_Requirement'!CP28))</f>
        <v/>
      </c>
      <c r="CQ28">
        <f>IF(COUNTIFS(T_StockCount[RM_Code],$A28,T_StockCount[WeekIndex],94)&gt;0,SUMIFS(T_StockCount[CountedQty],T_StockCount[RM_Code],$A28,T_StockCount[WeekIndex],94),IF((COUNTIFS(T_SelfStock[RM_Code],$A28,T_SelfStock[WeekIndex],94)&gt;0)*(COUNTIFS(T_TTAFStock[RM_Code],$A28,T_TTAFStock[WeekIndex],94)&gt;0)&gt;0,SUMIFS(T_SelfStock[Self_Qty],T_SelfStock[RM_Code],$A28,T_SelfStock[WeekIndex],94)+SUMIFS(T_TTAFStock[TTAF_Qty],T_TTAFStock[RM_Code],$A28,T_TTAFStock[WeekIndex],94),CP28+'Grid_Incoming'!CQ28-'Grid_Requirement'!CQ28))</f>
        <v/>
      </c>
      <c r="CR28">
        <f>IF(COUNTIFS(T_StockCount[RM_Code],$A28,T_StockCount[WeekIndex],95)&gt;0,SUMIFS(T_StockCount[CountedQty],T_StockCount[RM_Code],$A28,T_StockCount[WeekIndex],95),IF((COUNTIFS(T_SelfStock[RM_Code],$A28,T_SelfStock[WeekIndex],95)&gt;0)*(COUNTIFS(T_TTAFStock[RM_Code],$A28,T_TTAFStock[WeekIndex],95)&gt;0)&gt;0,SUMIFS(T_SelfStock[Self_Qty],T_SelfStock[RM_Code],$A28,T_SelfStock[WeekIndex],95)+SUMIFS(T_TTAFStock[TTAF_Qty],T_TTAFStock[RM_Code],$A28,T_TTAFStock[WeekIndex],95),CQ28+'Grid_Incoming'!CR28-'Grid_Requirement'!CR28))</f>
        <v/>
      </c>
      <c r="CS28">
        <f>IF(COUNTIFS(T_StockCount[RM_Code],$A28,T_StockCount[WeekIndex],96)&gt;0,SUMIFS(T_StockCount[CountedQty],T_StockCount[RM_Code],$A28,T_StockCount[WeekIndex],96),IF((COUNTIFS(T_SelfStock[RM_Code],$A28,T_SelfStock[WeekIndex],96)&gt;0)*(COUNTIFS(T_TTAFStock[RM_Code],$A28,T_TTAFStock[WeekIndex],96)&gt;0)&gt;0,SUMIFS(T_SelfStock[Self_Qty],T_SelfStock[RM_Code],$A28,T_SelfStock[WeekIndex],96)+SUMIFS(T_TTAFStock[TTAF_Qty],T_TTAFStock[RM_Code],$A28,T_TTAFStock[WeekIndex],96),CR28+'Grid_Incoming'!CS28-'Grid_Requirement'!CS28))</f>
        <v/>
      </c>
      <c r="CT28">
        <f>IF(COUNTIFS(T_StockCount[RM_Code],$A28,T_StockCount[WeekIndex],97)&gt;0,SUMIFS(T_StockCount[CountedQty],T_StockCount[RM_Code],$A28,T_StockCount[WeekIndex],97),IF((COUNTIFS(T_SelfStock[RM_Code],$A28,T_SelfStock[WeekIndex],97)&gt;0)*(COUNTIFS(T_TTAFStock[RM_Code],$A28,T_TTAFStock[WeekIndex],97)&gt;0)&gt;0,SUMIFS(T_SelfStock[Self_Qty],T_SelfStock[RM_Code],$A28,T_SelfStock[WeekIndex],97)+SUMIFS(T_TTAFStock[TTAF_Qty],T_TTAFStock[RM_Code],$A28,T_TTAFStock[WeekIndex],97),CS28+'Grid_Incoming'!CT28-'Grid_Requirement'!CT28))</f>
        <v/>
      </c>
      <c r="CU28">
        <f>IF(COUNTIFS(T_StockCount[RM_Code],$A28,T_StockCount[WeekIndex],98)&gt;0,SUMIFS(T_StockCount[CountedQty],T_StockCount[RM_Code],$A28,T_StockCount[WeekIndex],98),IF((COUNTIFS(T_SelfStock[RM_Code],$A28,T_SelfStock[WeekIndex],98)&gt;0)*(COUNTIFS(T_TTAFStock[RM_Code],$A28,T_TTAFStock[WeekIndex],98)&gt;0)&gt;0,SUMIFS(T_SelfStock[Self_Qty],T_SelfStock[RM_Code],$A28,T_SelfStock[WeekIndex],98)+SUMIFS(T_TTAFStock[TTAF_Qty],T_TTAFStock[RM_Code],$A28,T_TTAFStock[WeekIndex],98),CT28+'Grid_Incoming'!CU28-'Grid_Requirement'!CU28))</f>
        <v/>
      </c>
      <c r="CV28">
        <f>IF(COUNTIFS(T_StockCount[RM_Code],$A28,T_StockCount[WeekIndex],99)&gt;0,SUMIFS(T_StockCount[CountedQty],T_StockCount[RM_Code],$A28,T_StockCount[WeekIndex],99),IF((COUNTIFS(T_SelfStock[RM_Code],$A28,T_SelfStock[WeekIndex],99)&gt;0)*(COUNTIFS(T_TTAFStock[RM_Code],$A28,T_TTAFStock[WeekIndex],99)&gt;0)&gt;0,SUMIFS(T_SelfStock[Self_Qty],T_SelfStock[RM_Code],$A28,T_SelfStock[WeekIndex],99)+SUMIFS(T_TTAFStock[TTAF_Qty],T_TTAFStock[RM_Code],$A28,T_TTAFStock[WeekIndex],99),CU28+'Grid_Incoming'!CV28-'Grid_Requirement'!CV28))</f>
        <v/>
      </c>
      <c r="CW28">
        <f>IF(COUNTIFS(T_StockCount[RM_Code],$A28,T_StockCount[WeekIndex],100)&gt;0,SUMIFS(T_StockCount[CountedQty],T_StockCount[RM_Code],$A28,T_StockCount[WeekIndex],100),IF((COUNTIFS(T_SelfStock[RM_Code],$A28,T_SelfStock[WeekIndex],100)&gt;0)*(COUNTIFS(T_TTAFStock[RM_Code],$A28,T_TTAFStock[WeekIndex],100)&gt;0)&gt;0,SUMIFS(T_SelfStock[Self_Qty],T_SelfStock[RM_Code],$A28,T_SelfStock[WeekIndex],100)+SUMIFS(T_TTAFStock[TTAF_Qty],T_TTAFStock[RM_Code],$A28,T_TTAFStock[WeekIndex],100),CV28+'Grid_Incoming'!CW28-'Grid_Requirement'!CW28))</f>
        <v/>
      </c>
      <c r="CX28">
        <f>IF(COUNTIFS(T_StockCount[RM_Code],$A28,T_StockCount[WeekIndex],101)&gt;0,SUMIFS(T_StockCount[CountedQty],T_StockCount[RM_Code],$A28,T_StockCount[WeekIndex],101),IF((COUNTIFS(T_SelfStock[RM_Code],$A28,T_SelfStock[WeekIndex],101)&gt;0)*(COUNTIFS(T_TTAFStock[RM_Code],$A28,T_TTAFStock[WeekIndex],101)&gt;0)&gt;0,SUMIFS(T_SelfStock[Self_Qty],T_SelfStock[RM_Code],$A28,T_SelfStock[WeekIndex],101)+SUMIFS(T_TTAFStock[TTAF_Qty],T_TTAFStock[RM_Code],$A28,T_TTAFStock[WeekIndex],101),CW28+'Grid_Incoming'!CX28-'Grid_Requirement'!CX28))</f>
        <v/>
      </c>
      <c r="CY28">
        <f>IF(COUNTIFS(T_StockCount[RM_Code],$A28,T_StockCount[WeekIndex],102)&gt;0,SUMIFS(T_StockCount[CountedQty],T_StockCount[RM_Code],$A28,T_StockCount[WeekIndex],102),IF((COUNTIFS(T_SelfStock[RM_Code],$A28,T_SelfStock[WeekIndex],102)&gt;0)*(COUNTIFS(T_TTAFStock[RM_Code],$A28,T_TTAFStock[WeekIndex],102)&gt;0)&gt;0,SUMIFS(T_SelfStock[Self_Qty],T_SelfStock[RM_Code],$A28,T_SelfStock[WeekIndex],102)+SUMIFS(T_TTAFStock[TTAF_Qty],T_TTAFStock[RM_Code],$A28,T_TTAFStock[WeekIndex],102),CX28+'Grid_Incoming'!CY28-'Grid_Requirement'!CY28))</f>
        <v/>
      </c>
      <c r="CZ28">
        <f>IF(COUNTIFS(T_StockCount[RM_Code],$A28,T_StockCount[WeekIndex],103)&gt;0,SUMIFS(T_StockCount[CountedQty],T_StockCount[RM_Code],$A28,T_StockCount[WeekIndex],103),IF((COUNTIFS(T_SelfStock[RM_Code],$A28,T_SelfStock[WeekIndex],103)&gt;0)*(COUNTIFS(T_TTAFStock[RM_Code],$A28,T_TTAFStock[WeekIndex],103)&gt;0)&gt;0,SUMIFS(T_SelfStock[Self_Qty],T_SelfStock[RM_Code],$A28,T_SelfStock[WeekIndex],103)+SUMIFS(T_TTAFStock[TTAF_Qty],T_TTAFStock[RM_Code],$A28,T_TTAFStock[WeekIndex],103),CY28+'Grid_Incoming'!CZ28-'Grid_Requirement'!CZ28))</f>
        <v/>
      </c>
      <c r="DA28">
        <f>IF(COUNTIFS(T_StockCount[RM_Code],$A28,T_StockCount[WeekIndex],104)&gt;0,SUMIFS(T_StockCount[CountedQty],T_StockCount[RM_Code],$A28,T_StockCount[WeekIndex],104),IF((COUNTIFS(T_SelfStock[RM_Code],$A28,T_SelfStock[WeekIndex],104)&gt;0)*(COUNTIFS(T_TTAFStock[RM_Code],$A28,T_TTAFStock[WeekIndex],104)&gt;0)&gt;0,SUMIFS(T_SelfStock[Self_Qty],T_SelfStock[RM_Code],$A28,T_SelfStock[WeekIndex],104)+SUMIFS(T_TTAFStock[TTAF_Qty],T_TTAFStock[RM_Code],$A28,T_TTAFStock[WeekIndex],104),CZ28+'Grid_Incoming'!DA28-'Grid_Requirement'!DA28))</f>
        <v/>
      </c>
    </row>
    <row r="29">
      <c r="A29" t="inlineStr">
        <is>
          <t>PP FILM</t>
        </is>
      </c>
      <c r="B29">
        <f>IF(COUNTIFS(T_StockCount[RM_Code],$A29,T_StockCount[WeekIndex],1)&gt;0,SUMIFS(T_StockCount[CountedQty],T_StockCount[RM_Code],$A29,T_StockCount[WeekIndex],1),IF((COUNTIFS(T_SelfStock[RM_Code],$A29,T_SelfStock[WeekIndex],1)&gt;0)*(COUNTIFS(T_TTAFStock[RM_Code],$A29,T_TTAFStock[WeekIndex],1)&gt;0)&gt;0,SUMIFS(T_SelfStock[Self_Qty],T_SelfStock[RM_Code],$A29,T_SelfStock[WeekIndex],1)+SUMIFS(T_TTAFStock[TTAF_Qty],T_TTAFStock[RM_Code],$A29,T_TTAFStock[WeekIndex],1),IFERROR(INDEX(T_OpeningStock[Opening_Qty],MATCH($A29,T_OpeningStock[RM_Code],0)),0)+'Grid_Incoming'!B29-'Grid_Requirement'!B29))</f>
        <v/>
      </c>
      <c r="C29">
        <f>IF(COUNTIFS(T_StockCount[RM_Code],$A29,T_StockCount[WeekIndex],2)&gt;0,SUMIFS(T_StockCount[CountedQty],T_StockCount[RM_Code],$A29,T_StockCount[WeekIndex],2),IF((COUNTIFS(T_SelfStock[RM_Code],$A29,T_SelfStock[WeekIndex],2)&gt;0)*(COUNTIFS(T_TTAFStock[RM_Code],$A29,T_TTAFStock[WeekIndex],2)&gt;0)&gt;0,SUMIFS(T_SelfStock[Self_Qty],T_SelfStock[RM_Code],$A29,T_SelfStock[WeekIndex],2)+SUMIFS(T_TTAFStock[TTAF_Qty],T_TTAFStock[RM_Code],$A29,T_TTAFStock[WeekIndex],2),B29+'Grid_Incoming'!C29-'Grid_Requirement'!C29))</f>
        <v/>
      </c>
      <c r="D29">
        <f>IF(COUNTIFS(T_StockCount[RM_Code],$A29,T_StockCount[WeekIndex],3)&gt;0,SUMIFS(T_StockCount[CountedQty],T_StockCount[RM_Code],$A29,T_StockCount[WeekIndex],3),IF((COUNTIFS(T_SelfStock[RM_Code],$A29,T_SelfStock[WeekIndex],3)&gt;0)*(COUNTIFS(T_TTAFStock[RM_Code],$A29,T_TTAFStock[WeekIndex],3)&gt;0)&gt;0,SUMIFS(T_SelfStock[Self_Qty],T_SelfStock[RM_Code],$A29,T_SelfStock[WeekIndex],3)+SUMIFS(T_TTAFStock[TTAF_Qty],T_TTAFStock[RM_Code],$A29,T_TTAFStock[WeekIndex],3),C29+'Grid_Incoming'!D29-'Grid_Requirement'!D29))</f>
        <v/>
      </c>
      <c r="E29">
        <f>IF(COUNTIFS(T_StockCount[RM_Code],$A29,T_StockCount[WeekIndex],4)&gt;0,SUMIFS(T_StockCount[CountedQty],T_StockCount[RM_Code],$A29,T_StockCount[WeekIndex],4),IF((COUNTIFS(T_SelfStock[RM_Code],$A29,T_SelfStock[WeekIndex],4)&gt;0)*(COUNTIFS(T_TTAFStock[RM_Code],$A29,T_TTAFStock[WeekIndex],4)&gt;0)&gt;0,SUMIFS(T_SelfStock[Self_Qty],T_SelfStock[RM_Code],$A29,T_SelfStock[WeekIndex],4)+SUMIFS(T_TTAFStock[TTAF_Qty],T_TTAFStock[RM_Code],$A29,T_TTAFStock[WeekIndex],4),D29+'Grid_Incoming'!E29-'Grid_Requirement'!E29))</f>
        <v/>
      </c>
      <c r="F29">
        <f>IF(COUNTIFS(T_StockCount[RM_Code],$A29,T_StockCount[WeekIndex],5)&gt;0,SUMIFS(T_StockCount[CountedQty],T_StockCount[RM_Code],$A29,T_StockCount[WeekIndex],5),IF((COUNTIFS(T_SelfStock[RM_Code],$A29,T_SelfStock[WeekIndex],5)&gt;0)*(COUNTIFS(T_TTAFStock[RM_Code],$A29,T_TTAFStock[WeekIndex],5)&gt;0)&gt;0,SUMIFS(T_SelfStock[Self_Qty],T_SelfStock[RM_Code],$A29,T_SelfStock[WeekIndex],5)+SUMIFS(T_TTAFStock[TTAF_Qty],T_TTAFStock[RM_Code],$A29,T_TTAFStock[WeekIndex],5),E29+'Grid_Incoming'!F29-'Grid_Requirement'!F29))</f>
        <v/>
      </c>
      <c r="G29">
        <f>IF(COUNTIFS(T_StockCount[RM_Code],$A29,T_StockCount[WeekIndex],6)&gt;0,SUMIFS(T_StockCount[CountedQty],T_StockCount[RM_Code],$A29,T_StockCount[WeekIndex],6),IF((COUNTIFS(T_SelfStock[RM_Code],$A29,T_SelfStock[WeekIndex],6)&gt;0)*(COUNTIFS(T_TTAFStock[RM_Code],$A29,T_TTAFStock[WeekIndex],6)&gt;0)&gt;0,SUMIFS(T_SelfStock[Self_Qty],T_SelfStock[RM_Code],$A29,T_SelfStock[WeekIndex],6)+SUMIFS(T_TTAFStock[TTAF_Qty],T_TTAFStock[RM_Code],$A29,T_TTAFStock[WeekIndex],6),F29+'Grid_Incoming'!G29-'Grid_Requirement'!G29))</f>
        <v/>
      </c>
      <c r="H29">
        <f>IF(COUNTIFS(T_StockCount[RM_Code],$A29,T_StockCount[WeekIndex],7)&gt;0,SUMIFS(T_StockCount[CountedQty],T_StockCount[RM_Code],$A29,T_StockCount[WeekIndex],7),IF((COUNTIFS(T_SelfStock[RM_Code],$A29,T_SelfStock[WeekIndex],7)&gt;0)*(COUNTIFS(T_TTAFStock[RM_Code],$A29,T_TTAFStock[WeekIndex],7)&gt;0)&gt;0,SUMIFS(T_SelfStock[Self_Qty],T_SelfStock[RM_Code],$A29,T_SelfStock[WeekIndex],7)+SUMIFS(T_TTAFStock[TTAF_Qty],T_TTAFStock[RM_Code],$A29,T_TTAFStock[WeekIndex],7),G29+'Grid_Incoming'!H29-'Grid_Requirement'!H29))</f>
        <v/>
      </c>
      <c r="I29">
        <f>IF(COUNTIFS(T_StockCount[RM_Code],$A29,T_StockCount[WeekIndex],8)&gt;0,SUMIFS(T_StockCount[CountedQty],T_StockCount[RM_Code],$A29,T_StockCount[WeekIndex],8),IF((COUNTIFS(T_SelfStock[RM_Code],$A29,T_SelfStock[WeekIndex],8)&gt;0)*(COUNTIFS(T_TTAFStock[RM_Code],$A29,T_TTAFStock[WeekIndex],8)&gt;0)&gt;0,SUMIFS(T_SelfStock[Self_Qty],T_SelfStock[RM_Code],$A29,T_SelfStock[WeekIndex],8)+SUMIFS(T_TTAFStock[TTAF_Qty],T_TTAFStock[RM_Code],$A29,T_TTAFStock[WeekIndex],8),H29+'Grid_Incoming'!I29-'Grid_Requirement'!I29))</f>
        <v/>
      </c>
      <c r="J29">
        <f>IF(COUNTIFS(T_StockCount[RM_Code],$A29,T_StockCount[WeekIndex],9)&gt;0,SUMIFS(T_StockCount[CountedQty],T_StockCount[RM_Code],$A29,T_StockCount[WeekIndex],9),IF((COUNTIFS(T_SelfStock[RM_Code],$A29,T_SelfStock[WeekIndex],9)&gt;0)*(COUNTIFS(T_TTAFStock[RM_Code],$A29,T_TTAFStock[WeekIndex],9)&gt;0)&gt;0,SUMIFS(T_SelfStock[Self_Qty],T_SelfStock[RM_Code],$A29,T_SelfStock[WeekIndex],9)+SUMIFS(T_TTAFStock[TTAF_Qty],T_TTAFStock[RM_Code],$A29,T_TTAFStock[WeekIndex],9),I29+'Grid_Incoming'!J29-'Grid_Requirement'!J29))</f>
        <v/>
      </c>
      <c r="K29">
        <f>IF(COUNTIFS(T_StockCount[RM_Code],$A29,T_StockCount[WeekIndex],10)&gt;0,SUMIFS(T_StockCount[CountedQty],T_StockCount[RM_Code],$A29,T_StockCount[WeekIndex],10),IF((COUNTIFS(T_SelfStock[RM_Code],$A29,T_SelfStock[WeekIndex],10)&gt;0)*(COUNTIFS(T_TTAFStock[RM_Code],$A29,T_TTAFStock[WeekIndex],10)&gt;0)&gt;0,SUMIFS(T_SelfStock[Self_Qty],T_SelfStock[RM_Code],$A29,T_SelfStock[WeekIndex],10)+SUMIFS(T_TTAFStock[TTAF_Qty],T_TTAFStock[RM_Code],$A29,T_TTAFStock[WeekIndex],10),J29+'Grid_Incoming'!K29-'Grid_Requirement'!K29))</f>
        <v/>
      </c>
      <c r="L29">
        <f>IF(COUNTIFS(T_StockCount[RM_Code],$A29,T_StockCount[WeekIndex],11)&gt;0,SUMIFS(T_StockCount[CountedQty],T_StockCount[RM_Code],$A29,T_StockCount[WeekIndex],11),IF((COUNTIFS(T_SelfStock[RM_Code],$A29,T_SelfStock[WeekIndex],11)&gt;0)*(COUNTIFS(T_TTAFStock[RM_Code],$A29,T_TTAFStock[WeekIndex],11)&gt;0)&gt;0,SUMIFS(T_SelfStock[Self_Qty],T_SelfStock[RM_Code],$A29,T_SelfStock[WeekIndex],11)+SUMIFS(T_TTAFStock[TTAF_Qty],T_TTAFStock[RM_Code],$A29,T_TTAFStock[WeekIndex],11),K29+'Grid_Incoming'!L29-'Grid_Requirement'!L29))</f>
        <v/>
      </c>
      <c r="M29">
        <f>IF(COUNTIFS(T_StockCount[RM_Code],$A29,T_StockCount[WeekIndex],12)&gt;0,SUMIFS(T_StockCount[CountedQty],T_StockCount[RM_Code],$A29,T_StockCount[WeekIndex],12),IF((COUNTIFS(T_SelfStock[RM_Code],$A29,T_SelfStock[WeekIndex],12)&gt;0)*(COUNTIFS(T_TTAFStock[RM_Code],$A29,T_TTAFStock[WeekIndex],12)&gt;0)&gt;0,SUMIFS(T_SelfStock[Self_Qty],T_SelfStock[RM_Code],$A29,T_SelfStock[WeekIndex],12)+SUMIFS(T_TTAFStock[TTAF_Qty],T_TTAFStock[RM_Code],$A29,T_TTAFStock[WeekIndex],12),L29+'Grid_Incoming'!M29-'Grid_Requirement'!M29))</f>
        <v/>
      </c>
      <c r="N29">
        <f>IF(COUNTIFS(T_StockCount[RM_Code],$A29,T_StockCount[WeekIndex],13)&gt;0,SUMIFS(T_StockCount[CountedQty],T_StockCount[RM_Code],$A29,T_StockCount[WeekIndex],13),IF((COUNTIFS(T_SelfStock[RM_Code],$A29,T_SelfStock[WeekIndex],13)&gt;0)*(COUNTIFS(T_TTAFStock[RM_Code],$A29,T_TTAFStock[WeekIndex],13)&gt;0)&gt;0,SUMIFS(T_SelfStock[Self_Qty],T_SelfStock[RM_Code],$A29,T_SelfStock[WeekIndex],13)+SUMIFS(T_TTAFStock[TTAF_Qty],T_TTAFStock[RM_Code],$A29,T_TTAFStock[WeekIndex],13),M29+'Grid_Incoming'!N29-'Grid_Requirement'!N29))</f>
        <v/>
      </c>
      <c r="O29">
        <f>IF(COUNTIFS(T_StockCount[RM_Code],$A29,T_StockCount[WeekIndex],14)&gt;0,SUMIFS(T_StockCount[CountedQty],T_StockCount[RM_Code],$A29,T_StockCount[WeekIndex],14),IF((COUNTIFS(T_SelfStock[RM_Code],$A29,T_SelfStock[WeekIndex],14)&gt;0)*(COUNTIFS(T_TTAFStock[RM_Code],$A29,T_TTAFStock[WeekIndex],14)&gt;0)&gt;0,SUMIFS(T_SelfStock[Self_Qty],T_SelfStock[RM_Code],$A29,T_SelfStock[WeekIndex],14)+SUMIFS(T_TTAFStock[TTAF_Qty],T_TTAFStock[RM_Code],$A29,T_TTAFStock[WeekIndex],14),N29+'Grid_Incoming'!O29-'Grid_Requirement'!O29))</f>
        <v/>
      </c>
      <c r="P29">
        <f>IF(COUNTIFS(T_StockCount[RM_Code],$A29,T_StockCount[WeekIndex],15)&gt;0,SUMIFS(T_StockCount[CountedQty],T_StockCount[RM_Code],$A29,T_StockCount[WeekIndex],15),IF((COUNTIFS(T_SelfStock[RM_Code],$A29,T_SelfStock[WeekIndex],15)&gt;0)*(COUNTIFS(T_TTAFStock[RM_Code],$A29,T_TTAFStock[WeekIndex],15)&gt;0)&gt;0,SUMIFS(T_SelfStock[Self_Qty],T_SelfStock[RM_Code],$A29,T_SelfStock[WeekIndex],15)+SUMIFS(T_TTAFStock[TTAF_Qty],T_TTAFStock[RM_Code],$A29,T_TTAFStock[WeekIndex],15),O29+'Grid_Incoming'!P29-'Grid_Requirement'!P29))</f>
        <v/>
      </c>
      <c r="Q29">
        <f>IF(COUNTIFS(T_StockCount[RM_Code],$A29,T_StockCount[WeekIndex],16)&gt;0,SUMIFS(T_StockCount[CountedQty],T_StockCount[RM_Code],$A29,T_StockCount[WeekIndex],16),IF((COUNTIFS(T_SelfStock[RM_Code],$A29,T_SelfStock[WeekIndex],16)&gt;0)*(COUNTIFS(T_TTAFStock[RM_Code],$A29,T_TTAFStock[WeekIndex],16)&gt;0)&gt;0,SUMIFS(T_SelfStock[Self_Qty],T_SelfStock[RM_Code],$A29,T_SelfStock[WeekIndex],16)+SUMIFS(T_TTAFStock[TTAF_Qty],T_TTAFStock[RM_Code],$A29,T_TTAFStock[WeekIndex],16),P29+'Grid_Incoming'!Q29-'Grid_Requirement'!Q29))</f>
        <v/>
      </c>
      <c r="R29">
        <f>IF(COUNTIFS(T_StockCount[RM_Code],$A29,T_StockCount[WeekIndex],17)&gt;0,SUMIFS(T_StockCount[CountedQty],T_StockCount[RM_Code],$A29,T_StockCount[WeekIndex],17),IF((COUNTIFS(T_SelfStock[RM_Code],$A29,T_SelfStock[WeekIndex],17)&gt;0)*(COUNTIFS(T_TTAFStock[RM_Code],$A29,T_TTAFStock[WeekIndex],17)&gt;0)&gt;0,SUMIFS(T_SelfStock[Self_Qty],T_SelfStock[RM_Code],$A29,T_SelfStock[WeekIndex],17)+SUMIFS(T_TTAFStock[TTAF_Qty],T_TTAFStock[RM_Code],$A29,T_TTAFStock[WeekIndex],17),Q29+'Grid_Incoming'!R29-'Grid_Requirement'!R29))</f>
        <v/>
      </c>
      <c r="S29">
        <f>IF(COUNTIFS(T_StockCount[RM_Code],$A29,T_StockCount[WeekIndex],18)&gt;0,SUMIFS(T_StockCount[CountedQty],T_StockCount[RM_Code],$A29,T_StockCount[WeekIndex],18),IF((COUNTIFS(T_SelfStock[RM_Code],$A29,T_SelfStock[WeekIndex],18)&gt;0)*(COUNTIFS(T_TTAFStock[RM_Code],$A29,T_TTAFStock[WeekIndex],18)&gt;0)&gt;0,SUMIFS(T_SelfStock[Self_Qty],T_SelfStock[RM_Code],$A29,T_SelfStock[WeekIndex],18)+SUMIFS(T_TTAFStock[TTAF_Qty],T_TTAFStock[RM_Code],$A29,T_TTAFStock[WeekIndex],18),R29+'Grid_Incoming'!S29-'Grid_Requirement'!S29))</f>
        <v/>
      </c>
      <c r="T29">
        <f>IF(COUNTIFS(T_StockCount[RM_Code],$A29,T_StockCount[WeekIndex],19)&gt;0,SUMIFS(T_StockCount[CountedQty],T_StockCount[RM_Code],$A29,T_StockCount[WeekIndex],19),IF((COUNTIFS(T_SelfStock[RM_Code],$A29,T_SelfStock[WeekIndex],19)&gt;0)*(COUNTIFS(T_TTAFStock[RM_Code],$A29,T_TTAFStock[WeekIndex],19)&gt;0)&gt;0,SUMIFS(T_SelfStock[Self_Qty],T_SelfStock[RM_Code],$A29,T_SelfStock[WeekIndex],19)+SUMIFS(T_TTAFStock[TTAF_Qty],T_TTAFStock[RM_Code],$A29,T_TTAFStock[WeekIndex],19),S29+'Grid_Incoming'!T29-'Grid_Requirement'!T29))</f>
        <v/>
      </c>
      <c r="U29">
        <f>IF(COUNTIFS(T_StockCount[RM_Code],$A29,T_StockCount[WeekIndex],20)&gt;0,SUMIFS(T_StockCount[CountedQty],T_StockCount[RM_Code],$A29,T_StockCount[WeekIndex],20),IF((COUNTIFS(T_SelfStock[RM_Code],$A29,T_SelfStock[WeekIndex],20)&gt;0)*(COUNTIFS(T_TTAFStock[RM_Code],$A29,T_TTAFStock[WeekIndex],20)&gt;0)&gt;0,SUMIFS(T_SelfStock[Self_Qty],T_SelfStock[RM_Code],$A29,T_SelfStock[WeekIndex],20)+SUMIFS(T_TTAFStock[TTAF_Qty],T_TTAFStock[RM_Code],$A29,T_TTAFStock[WeekIndex],20),T29+'Grid_Incoming'!U29-'Grid_Requirement'!U29))</f>
        <v/>
      </c>
      <c r="V29">
        <f>IF(COUNTIFS(T_StockCount[RM_Code],$A29,T_StockCount[WeekIndex],21)&gt;0,SUMIFS(T_StockCount[CountedQty],T_StockCount[RM_Code],$A29,T_StockCount[WeekIndex],21),IF((COUNTIFS(T_SelfStock[RM_Code],$A29,T_SelfStock[WeekIndex],21)&gt;0)*(COUNTIFS(T_TTAFStock[RM_Code],$A29,T_TTAFStock[WeekIndex],21)&gt;0)&gt;0,SUMIFS(T_SelfStock[Self_Qty],T_SelfStock[RM_Code],$A29,T_SelfStock[WeekIndex],21)+SUMIFS(T_TTAFStock[TTAF_Qty],T_TTAFStock[RM_Code],$A29,T_TTAFStock[WeekIndex],21),U29+'Grid_Incoming'!V29-'Grid_Requirement'!V29))</f>
        <v/>
      </c>
      <c r="W29">
        <f>IF(COUNTIFS(T_StockCount[RM_Code],$A29,T_StockCount[WeekIndex],22)&gt;0,SUMIFS(T_StockCount[CountedQty],T_StockCount[RM_Code],$A29,T_StockCount[WeekIndex],22),IF((COUNTIFS(T_SelfStock[RM_Code],$A29,T_SelfStock[WeekIndex],22)&gt;0)*(COUNTIFS(T_TTAFStock[RM_Code],$A29,T_TTAFStock[WeekIndex],22)&gt;0)&gt;0,SUMIFS(T_SelfStock[Self_Qty],T_SelfStock[RM_Code],$A29,T_SelfStock[WeekIndex],22)+SUMIFS(T_TTAFStock[TTAF_Qty],T_TTAFStock[RM_Code],$A29,T_TTAFStock[WeekIndex],22),V29+'Grid_Incoming'!W29-'Grid_Requirement'!W29))</f>
        <v/>
      </c>
      <c r="X29">
        <f>IF(COUNTIFS(T_StockCount[RM_Code],$A29,T_StockCount[WeekIndex],23)&gt;0,SUMIFS(T_StockCount[CountedQty],T_StockCount[RM_Code],$A29,T_StockCount[WeekIndex],23),IF((COUNTIFS(T_SelfStock[RM_Code],$A29,T_SelfStock[WeekIndex],23)&gt;0)*(COUNTIFS(T_TTAFStock[RM_Code],$A29,T_TTAFStock[WeekIndex],23)&gt;0)&gt;0,SUMIFS(T_SelfStock[Self_Qty],T_SelfStock[RM_Code],$A29,T_SelfStock[WeekIndex],23)+SUMIFS(T_TTAFStock[TTAF_Qty],T_TTAFStock[RM_Code],$A29,T_TTAFStock[WeekIndex],23),W29+'Grid_Incoming'!X29-'Grid_Requirement'!X29))</f>
        <v/>
      </c>
      <c r="Y29">
        <f>IF(COUNTIFS(T_StockCount[RM_Code],$A29,T_StockCount[WeekIndex],24)&gt;0,SUMIFS(T_StockCount[CountedQty],T_StockCount[RM_Code],$A29,T_StockCount[WeekIndex],24),IF((COUNTIFS(T_SelfStock[RM_Code],$A29,T_SelfStock[WeekIndex],24)&gt;0)*(COUNTIFS(T_TTAFStock[RM_Code],$A29,T_TTAFStock[WeekIndex],24)&gt;0)&gt;0,SUMIFS(T_SelfStock[Self_Qty],T_SelfStock[RM_Code],$A29,T_SelfStock[WeekIndex],24)+SUMIFS(T_TTAFStock[TTAF_Qty],T_TTAFStock[RM_Code],$A29,T_TTAFStock[WeekIndex],24),X29+'Grid_Incoming'!Y29-'Grid_Requirement'!Y29))</f>
        <v/>
      </c>
      <c r="Z29">
        <f>IF(COUNTIFS(T_StockCount[RM_Code],$A29,T_StockCount[WeekIndex],25)&gt;0,SUMIFS(T_StockCount[CountedQty],T_StockCount[RM_Code],$A29,T_StockCount[WeekIndex],25),IF((COUNTIFS(T_SelfStock[RM_Code],$A29,T_SelfStock[WeekIndex],25)&gt;0)*(COUNTIFS(T_TTAFStock[RM_Code],$A29,T_TTAFStock[WeekIndex],25)&gt;0)&gt;0,SUMIFS(T_SelfStock[Self_Qty],T_SelfStock[RM_Code],$A29,T_SelfStock[WeekIndex],25)+SUMIFS(T_TTAFStock[TTAF_Qty],T_TTAFStock[RM_Code],$A29,T_TTAFStock[WeekIndex],25),Y29+'Grid_Incoming'!Z29-'Grid_Requirement'!Z29))</f>
        <v/>
      </c>
      <c r="AA29">
        <f>IF(COUNTIFS(T_StockCount[RM_Code],$A29,T_StockCount[WeekIndex],26)&gt;0,SUMIFS(T_StockCount[CountedQty],T_StockCount[RM_Code],$A29,T_StockCount[WeekIndex],26),IF((COUNTIFS(T_SelfStock[RM_Code],$A29,T_SelfStock[WeekIndex],26)&gt;0)*(COUNTIFS(T_TTAFStock[RM_Code],$A29,T_TTAFStock[WeekIndex],26)&gt;0)&gt;0,SUMIFS(T_SelfStock[Self_Qty],T_SelfStock[RM_Code],$A29,T_SelfStock[WeekIndex],26)+SUMIFS(T_TTAFStock[TTAF_Qty],T_TTAFStock[RM_Code],$A29,T_TTAFStock[WeekIndex],26),Z29+'Grid_Incoming'!AA29-'Grid_Requirement'!AA29))</f>
        <v/>
      </c>
      <c r="AB29">
        <f>IF(COUNTIFS(T_StockCount[RM_Code],$A29,T_StockCount[WeekIndex],27)&gt;0,SUMIFS(T_StockCount[CountedQty],T_StockCount[RM_Code],$A29,T_StockCount[WeekIndex],27),IF((COUNTIFS(T_SelfStock[RM_Code],$A29,T_SelfStock[WeekIndex],27)&gt;0)*(COUNTIFS(T_TTAFStock[RM_Code],$A29,T_TTAFStock[WeekIndex],27)&gt;0)&gt;0,SUMIFS(T_SelfStock[Self_Qty],T_SelfStock[RM_Code],$A29,T_SelfStock[WeekIndex],27)+SUMIFS(T_TTAFStock[TTAF_Qty],T_TTAFStock[RM_Code],$A29,T_TTAFStock[WeekIndex],27),AA29+'Grid_Incoming'!AB29-'Grid_Requirement'!AB29))</f>
        <v/>
      </c>
      <c r="AC29">
        <f>IF(COUNTIFS(T_StockCount[RM_Code],$A29,T_StockCount[WeekIndex],28)&gt;0,SUMIFS(T_StockCount[CountedQty],T_StockCount[RM_Code],$A29,T_StockCount[WeekIndex],28),IF((COUNTIFS(T_SelfStock[RM_Code],$A29,T_SelfStock[WeekIndex],28)&gt;0)*(COUNTIFS(T_TTAFStock[RM_Code],$A29,T_TTAFStock[WeekIndex],28)&gt;0)&gt;0,SUMIFS(T_SelfStock[Self_Qty],T_SelfStock[RM_Code],$A29,T_SelfStock[WeekIndex],28)+SUMIFS(T_TTAFStock[TTAF_Qty],T_TTAFStock[RM_Code],$A29,T_TTAFStock[WeekIndex],28),AB29+'Grid_Incoming'!AC29-'Grid_Requirement'!AC29))</f>
        <v/>
      </c>
      <c r="AD29">
        <f>IF(COUNTIFS(T_StockCount[RM_Code],$A29,T_StockCount[WeekIndex],29)&gt;0,SUMIFS(T_StockCount[CountedQty],T_StockCount[RM_Code],$A29,T_StockCount[WeekIndex],29),IF((COUNTIFS(T_SelfStock[RM_Code],$A29,T_SelfStock[WeekIndex],29)&gt;0)*(COUNTIFS(T_TTAFStock[RM_Code],$A29,T_TTAFStock[WeekIndex],29)&gt;0)&gt;0,SUMIFS(T_SelfStock[Self_Qty],T_SelfStock[RM_Code],$A29,T_SelfStock[WeekIndex],29)+SUMIFS(T_TTAFStock[TTAF_Qty],T_TTAFStock[RM_Code],$A29,T_TTAFStock[WeekIndex],29),AC29+'Grid_Incoming'!AD29-'Grid_Requirement'!AD29))</f>
        <v/>
      </c>
      <c r="AE29">
        <f>IF(COUNTIFS(T_StockCount[RM_Code],$A29,T_StockCount[WeekIndex],30)&gt;0,SUMIFS(T_StockCount[CountedQty],T_StockCount[RM_Code],$A29,T_StockCount[WeekIndex],30),IF((COUNTIFS(T_SelfStock[RM_Code],$A29,T_SelfStock[WeekIndex],30)&gt;0)*(COUNTIFS(T_TTAFStock[RM_Code],$A29,T_TTAFStock[WeekIndex],30)&gt;0)&gt;0,SUMIFS(T_SelfStock[Self_Qty],T_SelfStock[RM_Code],$A29,T_SelfStock[WeekIndex],30)+SUMIFS(T_TTAFStock[TTAF_Qty],T_TTAFStock[RM_Code],$A29,T_TTAFStock[WeekIndex],30),AD29+'Grid_Incoming'!AE29-'Grid_Requirement'!AE29))</f>
        <v/>
      </c>
      <c r="AF29">
        <f>IF(COUNTIFS(T_StockCount[RM_Code],$A29,T_StockCount[WeekIndex],31)&gt;0,SUMIFS(T_StockCount[CountedQty],T_StockCount[RM_Code],$A29,T_StockCount[WeekIndex],31),IF((COUNTIFS(T_SelfStock[RM_Code],$A29,T_SelfStock[WeekIndex],31)&gt;0)*(COUNTIFS(T_TTAFStock[RM_Code],$A29,T_TTAFStock[WeekIndex],31)&gt;0)&gt;0,SUMIFS(T_SelfStock[Self_Qty],T_SelfStock[RM_Code],$A29,T_SelfStock[WeekIndex],31)+SUMIFS(T_TTAFStock[TTAF_Qty],T_TTAFStock[RM_Code],$A29,T_TTAFStock[WeekIndex],31),AE29+'Grid_Incoming'!AF29-'Grid_Requirement'!AF29))</f>
        <v/>
      </c>
      <c r="AG29">
        <f>IF(COUNTIFS(T_StockCount[RM_Code],$A29,T_StockCount[WeekIndex],32)&gt;0,SUMIFS(T_StockCount[CountedQty],T_StockCount[RM_Code],$A29,T_StockCount[WeekIndex],32),IF((COUNTIFS(T_SelfStock[RM_Code],$A29,T_SelfStock[WeekIndex],32)&gt;0)*(COUNTIFS(T_TTAFStock[RM_Code],$A29,T_TTAFStock[WeekIndex],32)&gt;0)&gt;0,SUMIFS(T_SelfStock[Self_Qty],T_SelfStock[RM_Code],$A29,T_SelfStock[WeekIndex],32)+SUMIFS(T_TTAFStock[TTAF_Qty],T_TTAFStock[RM_Code],$A29,T_TTAFStock[WeekIndex],32),AF29+'Grid_Incoming'!AG29-'Grid_Requirement'!AG29))</f>
        <v/>
      </c>
      <c r="AH29">
        <f>IF(COUNTIFS(T_StockCount[RM_Code],$A29,T_StockCount[WeekIndex],33)&gt;0,SUMIFS(T_StockCount[CountedQty],T_StockCount[RM_Code],$A29,T_StockCount[WeekIndex],33),IF((COUNTIFS(T_SelfStock[RM_Code],$A29,T_SelfStock[WeekIndex],33)&gt;0)*(COUNTIFS(T_TTAFStock[RM_Code],$A29,T_TTAFStock[WeekIndex],33)&gt;0)&gt;0,SUMIFS(T_SelfStock[Self_Qty],T_SelfStock[RM_Code],$A29,T_SelfStock[WeekIndex],33)+SUMIFS(T_TTAFStock[TTAF_Qty],T_TTAFStock[RM_Code],$A29,T_TTAFStock[WeekIndex],33),AG29+'Grid_Incoming'!AH29-'Grid_Requirement'!AH29))</f>
        <v/>
      </c>
      <c r="AI29">
        <f>IF(COUNTIFS(T_StockCount[RM_Code],$A29,T_StockCount[WeekIndex],34)&gt;0,SUMIFS(T_StockCount[CountedQty],T_StockCount[RM_Code],$A29,T_StockCount[WeekIndex],34),IF((COUNTIFS(T_SelfStock[RM_Code],$A29,T_SelfStock[WeekIndex],34)&gt;0)*(COUNTIFS(T_TTAFStock[RM_Code],$A29,T_TTAFStock[WeekIndex],34)&gt;0)&gt;0,SUMIFS(T_SelfStock[Self_Qty],T_SelfStock[RM_Code],$A29,T_SelfStock[WeekIndex],34)+SUMIFS(T_TTAFStock[TTAF_Qty],T_TTAFStock[RM_Code],$A29,T_TTAFStock[WeekIndex],34),AH29+'Grid_Incoming'!AI29-'Grid_Requirement'!AI29))</f>
        <v/>
      </c>
      <c r="AJ29">
        <f>IF(COUNTIFS(T_StockCount[RM_Code],$A29,T_StockCount[WeekIndex],35)&gt;0,SUMIFS(T_StockCount[CountedQty],T_StockCount[RM_Code],$A29,T_StockCount[WeekIndex],35),IF((COUNTIFS(T_SelfStock[RM_Code],$A29,T_SelfStock[WeekIndex],35)&gt;0)*(COUNTIFS(T_TTAFStock[RM_Code],$A29,T_TTAFStock[WeekIndex],35)&gt;0)&gt;0,SUMIFS(T_SelfStock[Self_Qty],T_SelfStock[RM_Code],$A29,T_SelfStock[WeekIndex],35)+SUMIFS(T_TTAFStock[TTAF_Qty],T_TTAFStock[RM_Code],$A29,T_TTAFStock[WeekIndex],35),AI29+'Grid_Incoming'!AJ29-'Grid_Requirement'!AJ29))</f>
        <v/>
      </c>
      <c r="AK29">
        <f>IF(COUNTIFS(T_StockCount[RM_Code],$A29,T_StockCount[WeekIndex],36)&gt;0,SUMIFS(T_StockCount[CountedQty],T_StockCount[RM_Code],$A29,T_StockCount[WeekIndex],36),IF((COUNTIFS(T_SelfStock[RM_Code],$A29,T_SelfStock[WeekIndex],36)&gt;0)*(COUNTIFS(T_TTAFStock[RM_Code],$A29,T_TTAFStock[WeekIndex],36)&gt;0)&gt;0,SUMIFS(T_SelfStock[Self_Qty],T_SelfStock[RM_Code],$A29,T_SelfStock[WeekIndex],36)+SUMIFS(T_TTAFStock[TTAF_Qty],T_TTAFStock[RM_Code],$A29,T_TTAFStock[WeekIndex],36),AJ29+'Grid_Incoming'!AK29-'Grid_Requirement'!AK29))</f>
        <v/>
      </c>
      <c r="AL29">
        <f>IF(COUNTIFS(T_StockCount[RM_Code],$A29,T_StockCount[WeekIndex],37)&gt;0,SUMIFS(T_StockCount[CountedQty],T_StockCount[RM_Code],$A29,T_StockCount[WeekIndex],37),IF((COUNTIFS(T_SelfStock[RM_Code],$A29,T_SelfStock[WeekIndex],37)&gt;0)*(COUNTIFS(T_TTAFStock[RM_Code],$A29,T_TTAFStock[WeekIndex],37)&gt;0)&gt;0,SUMIFS(T_SelfStock[Self_Qty],T_SelfStock[RM_Code],$A29,T_SelfStock[WeekIndex],37)+SUMIFS(T_TTAFStock[TTAF_Qty],T_TTAFStock[RM_Code],$A29,T_TTAFStock[WeekIndex],37),AK29+'Grid_Incoming'!AL29-'Grid_Requirement'!AL29))</f>
        <v/>
      </c>
      <c r="AM29">
        <f>IF(COUNTIFS(T_StockCount[RM_Code],$A29,T_StockCount[WeekIndex],38)&gt;0,SUMIFS(T_StockCount[CountedQty],T_StockCount[RM_Code],$A29,T_StockCount[WeekIndex],38),IF((COUNTIFS(T_SelfStock[RM_Code],$A29,T_SelfStock[WeekIndex],38)&gt;0)*(COUNTIFS(T_TTAFStock[RM_Code],$A29,T_TTAFStock[WeekIndex],38)&gt;0)&gt;0,SUMIFS(T_SelfStock[Self_Qty],T_SelfStock[RM_Code],$A29,T_SelfStock[WeekIndex],38)+SUMIFS(T_TTAFStock[TTAF_Qty],T_TTAFStock[RM_Code],$A29,T_TTAFStock[WeekIndex],38),AL29+'Grid_Incoming'!AM29-'Grid_Requirement'!AM29))</f>
        <v/>
      </c>
      <c r="AN29">
        <f>IF(COUNTIFS(T_StockCount[RM_Code],$A29,T_StockCount[WeekIndex],39)&gt;0,SUMIFS(T_StockCount[CountedQty],T_StockCount[RM_Code],$A29,T_StockCount[WeekIndex],39),IF((COUNTIFS(T_SelfStock[RM_Code],$A29,T_SelfStock[WeekIndex],39)&gt;0)*(COUNTIFS(T_TTAFStock[RM_Code],$A29,T_TTAFStock[WeekIndex],39)&gt;0)&gt;0,SUMIFS(T_SelfStock[Self_Qty],T_SelfStock[RM_Code],$A29,T_SelfStock[WeekIndex],39)+SUMIFS(T_TTAFStock[TTAF_Qty],T_TTAFStock[RM_Code],$A29,T_TTAFStock[WeekIndex],39),AM29+'Grid_Incoming'!AN29-'Grid_Requirement'!AN29))</f>
        <v/>
      </c>
      <c r="AO29">
        <f>IF(COUNTIFS(T_StockCount[RM_Code],$A29,T_StockCount[WeekIndex],40)&gt;0,SUMIFS(T_StockCount[CountedQty],T_StockCount[RM_Code],$A29,T_StockCount[WeekIndex],40),IF((COUNTIFS(T_SelfStock[RM_Code],$A29,T_SelfStock[WeekIndex],40)&gt;0)*(COUNTIFS(T_TTAFStock[RM_Code],$A29,T_TTAFStock[WeekIndex],40)&gt;0)&gt;0,SUMIFS(T_SelfStock[Self_Qty],T_SelfStock[RM_Code],$A29,T_SelfStock[WeekIndex],40)+SUMIFS(T_TTAFStock[TTAF_Qty],T_TTAFStock[RM_Code],$A29,T_TTAFStock[WeekIndex],40),AN29+'Grid_Incoming'!AO29-'Grid_Requirement'!AO29))</f>
        <v/>
      </c>
      <c r="AP29">
        <f>IF(COUNTIFS(T_StockCount[RM_Code],$A29,T_StockCount[WeekIndex],41)&gt;0,SUMIFS(T_StockCount[CountedQty],T_StockCount[RM_Code],$A29,T_StockCount[WeekIndex],41),IF((COUNTIFS(T_SelfStock[RM_Code],$A29,T_SelfStock[WeekIndex],41)&gt;0)*(COUNTIFS(T_TTAFStock[RM_Code],$A29,T_TTAFStock[WeekIndex],41)&gt;0)&gt;0,SUMIFS(T_SelfStock[Self_Qty],T_SelfStock[RM_Code],$A29,T_SelfStock[WeekIndex],41)+SUMIFS(T_TTAFStock[TTAF_Qty],T_TTAFStock[RM_Code],$A29,T_TTAFStock[WeekIndex],41),AO29+'Grid_Incoming'!AP29-'Grid_Requirement'!AP29))</f>
        <v/>
      </c>
      <c r="AQ29">
        <f>IF(COUNTIFS(T_StockCount[RM_Code],$A29,T_StockCount[WeekIndex],42)&gt;0,SUMIFS(T_StockCount[CountedQty],T_StockCount[RM_Code],$A29,T_StockCount[WeekIndex],42),IF((COUNTIFS(T_SelfStock[RM_Code],$A29,T_SelfStock[WeekIndex],42)&gt;0)*(COUNTIFS(T_TTAFStock[RM_Code],$A29,T_TTAFStock[WeekIndex],42)&gt;0)&gt;0,SUMIFS(T_SelfStock[Self_Qty],T_SelfStock[RM_Code],$A29,T_SelfStock[WeekIndex],42)+SUMIFS(T_TTAFStock[TTAF_Qty],T_TTAFStock[RM_Code],$A29,T_TTAFStock[WeekIndex],42),AP29+'Grid_Incoming'!AQ29-'Grid_Requirement'!AQ29))</f>
        <v/>
      </c>
      <c r="AR29">
        <f>IF(COUNTIFS(T_StockCount[RM_Code],$A29,T_StockCount[WeekIndex],43)&gt;0,SUMIFS(T_StockCount[CountedQty],T_StockCount[RM_Code],$A29,T_StockCount[WeekIndex],43),IF((COUNTIFS(T_SelfStock[RM_Code],$A29,T_SelfStock[WeekIndex],43)&gt;0)*(COUNTIFS(T_TTAFStock[RM_Code],$A29,T_TTAFStock[WeekIndex],43)&gt;0)&gt;0,SUMIFS(T_SelfStock[Self_Qty],T_SelfStock[RM_Code],$A29,T_SelfStock[WeekIndex],43)+SUMIFS(T_TTAFStock[TTAF_Qty],T_TTAFStock[RM_Code],$A29,T_TTAFStock[WeekIndex],43),AQ29+'Grid_Incoming'!AR29-'Grid_Requirement'!AR29))</f>
        <v/>
      </c>
      <c r="AS29">
        <f>IF(COUNTIFS(T_StockCount[RM_Code],$A29,T_StockCount[WeekIndex],44)&gt;0,SUMIFS(T_StockCount[CountedQty],T_StockCount[RM_Code],$A29,T_StockCount[WeekIndex],44),IF((COUNTIFS(T_SelfStock[RM_Code],$A29,T_SelfStock[WeekIndex],44)&gt;0)*(COUNTIFS(T_TTAFStock[RM_Code],$A29,T_TTAFStock[WeekIndex],44)&gt;0)&gt;0,SUMIFS(T_SelfStock[Self_Qty],T_SelfStock[RM_Code],$A29,T_SelfStock[WeekIndex],44)+SUMIFS(T_TTAFStock[TTAF_Qty],T_TTAFStock[RM_Code],$A29,T_TTAFStock[WeekIndex],44),AR29+'Grid_Incoming'!AS29-'Grid_Requirement'!AS29))</f>
        <v/>
      </c>
      <c r="AT29">
        <f>IF(COUNTIFS(T_StockCount[RM_Code],$A29,T_StockCount[WeekIndex],45)&gt;0,SUMIFS(T_StockCount[CountedQty],T_StockCount[RM_Code],$A29,T_StockCount[WeekIndex],45),IF((COUNTIFS(T_SelfStock[RM_Code],$A29,T_SelfStock[WeekIndex],45)&gt;0)*(COUNTIFS(T_TTAFStock[RM_Code],$A29,T_TTAFStock[WeekIndex],45)&gt;0)&gt;0,SUMIFS(T_SelfStock[Self_Qty],T_SelfStock[RM_Code],$A29,T_SelfStock[WeekIndex],45)+SUMIFS(T_TTAFStock[TTAF_Qty],T_TTAFStock[RM_Code],$A29,T_TTAFStock[WeekIndex],45),AS29+'Grid_Incoming'!AT29-'Grid_Requirement'!AT29))</f>
        <v/>
      </c>
      <c r="AU29">
        <f>IF(COUNTIFS(T_StockCount[RM_Code],$A29,T_StockCount[WeekIndex],46)&gt;0,SUMIFS(T_StockCount[CountedQty],T_StockCount[RM_Code],$A29,T_StockCount[WeekIndex],46),IF((COUNTIFS(T_SelfStock[RM_Code],$A29,T_SelfStock[WeekIndex],46)&gt;0)*(COUNTIFS(T_TTAFStock[RM_Code],$A29,T_TTAFStock[WeekIndex],46)&gt;0)&gt;0,SUMIFS(T_SelfStock[Self_Qty],T_SelfStock[RM_Code],$A29,T_SelfStock[WeekIndex],46)+SUMIFS(T_TTAFStock[TTAF_Qty],T_TTAFStock[RM_Code],$A29,T_TTAFStock[WeekIndex],46),AT29+'Grid_Incoming'!AU29-'Grid_Requirement'!AU29))</f>
        <v/>
      </c>
      <c r="AV29">
        <f>IF(COUNTIFS(T_StockCount[RM_Code],$A29,T_StockCount[WeekIndex],47)&gt;0,SUMIFS(T_StockCount[CountedQty],T_StockCount[RM_Code],$A29,T_StockCount[WeekIndex],47),IF((COUNTIFS(T_SelfStock[RM_Code],$A29,T_SelfStock[WeekIndex],47)&gt;0)*(COUNTIFS(T_TTAFStock[RM_Code],$A29,T_TTAFStock[WeekIndex],47)&gt;0)&gt;0,SUMIFS(T_SelfStock[Self_Qty],T_SelfStock[RM_Code],$A29,T_SelfStock[WeekIndex],47)+SUMIFS(T_TTAFStock[TTAF_Qty],T_TTAFStock[RM_Code],$A29,T_TTAFStock[WeekIndex],47),AU29+'Grid_Incoming'!AV29-'Grid_Requirement'!AV29))</f>
        <v/>
      </c>
      <c r="AW29">
        <f>IF(COUNTIFS(T_StockCount[RM_Code],$A29,T_StockCount[WeekIndex],48)&gt;0,SUMIFS(T_StockCount[CountedQty],T_StockCount[RM_Code],$A29,T_StockCount[WeekIndex],48),IF((COUNTIFS(T_SelfStock[RM_Code],$A29,T_SelfStock[WeekIndex],48)&gt;0)*(COUNTIFS(T_TTAFStock[RM_Code],$A29,T_TTAFStock[WeekIndex],48)&gt;0)&gt;0,SUMIFS(T_SelfStock[Self_Qty],T_SelfStock[RM_Code],$A29,T_SelfStock[WeekIndex],48)+SUMIFS(T_TTAFStock[TTAF_Qty],T_TTAFStock[RM_Code],$A29,T_TTAFStock[WeekIndex],48),AV29+'Grid_Incoming'!AW29-'Grid_Requirement'!AW29))</f>
        <v/>
      </c>
      <c r="AX29">
        <f>IF(COUNTIFS(T_StockCount[RM_Code],$A29,T_StockCount[WeekIndex],49)&gt;0,SUMIFS(T_StockCount[CountedQty],T_StockCount[RM_Code],$A29,T_StockCount[WeekIndex],49),IF((COUNTIFS(T_SelfStock[RM_Code],$A29,T_SelfStock[WeekIndex],49)&gt;0)*(COUNTIFS(T_TTAFStock[RM_Code],$A29,T_TTAFStock[WeekIndex],49)&gt;0)&gt;0,SUMIFS(T_SelfStock[Self_Qty],T_SelfStock[RM_Code],$A29,T_SelfStock[WeekIndex],49)+SUMIFS(T_TTAFStock[TTAF_Qty],T_TTAFStock[RM_Code],$A29,T_TTAFStock[WeekIndex],49),AW29+'Grid_Incoming'!AX29-'Grid_Requirement'!AX29))</f>
        <v/>
      </c>
      <c r="AY29">
        <f>IF(COUNTIFS(T_StockCount[RM_Code],$A29,T_StockCount[WeekIndex],50)&gt;0,SUMIFS(T_StockCount[CountedQty],T_StockCount[RM_Code],$A29,T_StockCount[WeekIndex],50),IF((COUNTIFS(T_SelfStock[RM_Code],$A29,T_SelfStock[WeekIndex],50)&gt;0)*(COUNTIFS(T_TTAFStock[RM_Code],$A29,T_TTAFStock[WeekIndex],50)&gt;0)&gt;0,SUMIFS(T_SelfStock[Self_Qty],T_SelfStock[RM_Code],$A29,T_SelfStock[WeekIndex],50)+SUMIFS(T_TTAFStock[TTAF_Qty],T_TTAFStock[RM_Code],$A29,T_TTAFStock[WeekIndex],50),AX29+'Grid_Incoming'!AY29-'Grid_Requirement'!AY29))</f>
        <v/>
      </c>
      <c r="AZ29">
        <f>IF(COUNTIFS(T_StockCount[RM_Code],$A29,T_StockCount[WeekIndex],51)&gt;0,SUMIFS(T_StockCount[CountedQty],T_StockCount[RM_Code],$A29,T_StockCount[WeekIndex],51),IF((COUNTIFS(T_SelfStock[RM_Code],$A29,T_SelfStock[WeekIndex],51)&gt;0)*(COUNTIFS(T_TTAFStock[RM_Code],$A29,T_TTAFStock[WeekIndex],51)&gt;0)&gt;0,SUMIFS(T_SelfStock[Self_Qty],T_SelfStock[RM_Code],$A29,T_SelfStock[WeekIndex],51)+SUMIFS(T_TTAFStock[TTAF_Qty],T_TTAFStock[RM_Code],$A29,T_TTAFStock[WeekIndex],51),AY29+'Grid_Incoming'!AZ29-'Grid_Requirement'!AZ29))</f>
        <v/>
      </c>
      <c r="BA29">
        <f>IF(COUNTIFS(T_StockCount[RM_Code],$A29,T_StockCount[WeekIndex],52)&gt;0,SUMIFS(T_StockCount[CountedQty],T_StockCount[RM_Code],$A29,T_StockCount[WeekIndex],52),IF((COUNTIFS(T_SelfStock[RM_Code],$A29,T_SelfStock[WeekIndex],52)&gt;0)*(COUNTIFS(T_TTAFStock[RM_Code],$A29,T_TTAFStock[WeekIndex],52)&gt;0)&gt;0,SUMIFS(T_SelfStock[Self_Qty],T_SelfStock[RM_Code],$A29,T_SelfStock[WeekIndex],52)+SUMIFS(T_TTAFStock[TTAF_Qty],T_TTAFStock[RM_Code],$A29,T_TTAFStock[WeekIndex],52),AZ29+'Grid_Incoming'!BA29-'Grid_Requirement'!BA29))</f>
        <v/>
      </c>
      <c r="BB29">
        <f>IF(COUNTIFS(T_StockCount[RM_Code],$A29,T_StockCount[WeekIndex],53)&gt;0,SUMIFS(T_StockCount[CountedQty],T_StockCount[RM_Code],$A29,T_StockCount[WeekIndex],53),IF((COUNTIFS(T_SelfStock[RM_Code],$A29,T_SelfStock[WeekIndex],53)&gt;0)*(COUNTIFS(T_TTAFStock[RM_Code],$A29,T_TTAFStock[WeekIndex],53)&gt;0)&gt;0,SUMIFS(T_SelfStock[Self_Qty],T_SelfStock[RM_Code],$A29,T_SelfStock[WeekIndex],53)+SUMIFS(T_TTAFStock[TTAF_Qty],T_TTAFStock[RM_Code],$A29,T_TTAFStock[WeekIndex],53),BA29+'Grid_Incoming'!BB29-'Grid_Requirement'!BB29))</f>
        <v/>
      </c>
      <c r="BC29">
        <f>IF(COUNTIFS(T_StockCount[RM_Code],$A29,T_StockCount[WeekIndex],54)&gt;0,SUMIFS(T_StockCount[CountedQty],T_StockCount[RM_Code],$A29,T_StockCount[WeekIndex],54),IF((COUNTIFS(T_SelfStock[RM_Code],$A29,T_SelfStock[WeekIndex],54)&gt;0)*(COUNTIFS(T_TTAFStock[RM_Code],$A29,T_TTAFStock[WeekIndex],54)&gt;0)&gt;0,SUMIFS(T_SelfStock[Self_Qty],T_SelfStock[RM_Code],$A29,T_SelfStock[WeekIndex],54)+SUMIFS(T_TTAFStock[TTAF_Qty],T_TTAFStock[RM_Code],$A29,T_TTAFStock[WeekIndex],54),BB29+'Grid_Incoming'!BC29-'Grid_Requirement'!BC29))</f>
        <v/>
      </c>
      <c r="BD29">
        <f>IF(COUNTIFS(T_StockCount[RM_Code],$A29,T_StockCount[WeekIndex],55)&gt;0,SUMIFS(T_StockCount[CountedQty],T_StockCount[RM_Code],$A29,T_StockCount[WeekIndex],55),IF((COUNTIFS(T_SelfStock[RM_Code],$A29,T_SelfStock[WeekIndex],55)&gt;0)*(COUNTIFS(T_TTAFStock[RM_Code],$A29,T_TTAFStock[WeekIndex],55)&gt;0)&gt;0,SUMIFS(T_SelfStock[Self_Qty],T_SelfStock[RM_Code],$A29,T_SelfStock[WeekIndex],55)+SUMIFS(T_TTAFStock[TTAF_Qty],T_TTAFStock[RM_Code],$A29,T_TTAFStock[WeekIndex],55),BC29+'Grid_Incoming'!BD29-'Grid_Requirement'!BD29))</f>
        <v/>
      </c>
      <c r="BE29">
        <f>IF(COUNTIFS(T_StockCount[RM_Code],$A29,T_StockCount[WeekIndex],56)&gt;0,SUMIFS(T_StockCount[CountedQty],T_StockCount[RM_Code],$A29,T_StockCount[WeekIndex],56),IF((COUNTIFS(T_SelfStock[RM_Code],$A29,T_SelfStock[WeekIndex],56)&gt;0)*(COUNTIFS(T_TTAFStock[RM_Code],$A29,T_TTAFStock[WeekIndex],56)&gt;0)&gt;0,SUMIFS(T_SelfStock[Self_Qty],T_SelfStock[RM_Code],$A29,T_SelfStock[WeekIndex],56)+SUMIFS(T_TTAFStock[TTAF_Qty],T_TTAFStock[RM_Code],$A29,T_TTAFStock[WeekIndex],56),BD29+'Grid_Incoming'!BE29-'Grid_Requirement'!BE29))</f>
        <v/>
      </c>
      <c r="BF29">
        <f>IF(COUNTIFS(T_StockCount[RM_Code],$A29,T_StockCount[WeekIndex],57)&gt;0,SUMIFS(T_StockCount[CountedQty],T_StockCount[RM_Code],$A29,T_StockCount[WeekIndex],57),IF((COUNTIFS(T_SelfStock[RM_Code],$A29,T_SelfStock[WeekIndex],57)&gt;0)*(COUNTIFS(T_TTAFStock[RM_Code],$A29,T_TTAFStock[WeekIndex],57)&gt;0)&gt;0,SUMIFS(T_SelfStock[Self_Qty],T_SelfStock[RM_Code],$A29,T_SelfStock[WeekIndex],57)+SUMIFS(T_TTAFStock[TTAF_Qty],T_TTAFStock[RM_Code],$A29,T_TTAFStock[WeekIndex],57),BE29+'Grid_Incoming'!BF29-'Grid_Requirement'!BF29))</f>
        <v/>
      </c>
      <c r="BG29">
        <f>IF(COUNTIFS(T_StockCount[RM_Code],$A29,T_StockCount[WeekIndex],58)&gt;0,SUMIFS(T_StockCount[CountedQty],T_StockCount[RM_Code],$A29,T_StockCount[WeekIndex],58),IF((COUNTIFS(T_SelfStock[RM_Code],$A29,T_SelfStock[WeekIndex],58)&gt;0)*(COUNTIFS(T_TTAFStock[RM_Code],$A29,T_TTAFStock[WeekIndex],58)&gt;0)&gt;0,SUMIFS(T_SelfStock[Self_Qty],T_SelfStock[RM_Code],$A29,T_SelfStock[WeekIndex],58)+SUMIFS(T_TTAFStock[TTAF_Qty],T_TTAFStock[RM_Code],$A29,T_TTAFStock[WeekIndex],58),BF29+'Grid_Incoming'!BG29-'Grid_Requirement'!BG29))</f>
        <v/>
      </c>
      <c r="BH29">
        <f>IF(COUNTIFS(T_StockCount[RM_Code],$A29,T_StockCount[WeekIndex],59)&gt;0,SUMIFS(T_StockCount[CountedQty],T_StockCount[RM_Code],$A29,T_StockCount[WeekIndex],59),IF((COUNTIFS(T_SelfStock[RM_Code],$A29,T_SelfStock[WeekIndex],59)&gt;0)*(COUNTIFS(T_TTAFStock[RM_Code],$A29,T_TTAFStock[WeekIndex],59)&gt;0)&gt;0,SUMIFS(T_SelfStock[Self_Qty],T_SelfStock[RM_Code],$A29,T_SelfStock[WeekIndex],59)+SUMIFS(T_TTAFStock[TTAF_Qty],T_TTAFStock[RM_Code],$A29,T_TTAFStock[WeekIndex],59),BG29+'Grid_Incoming'!BH29-'Grid_Requirement'!BH29))</f>
        <v/>
      </c>
      <c r="BI29">
        <f>IF(COUNTIFS(T_StockCount[RM_Code],$A29,T_StockCount[WeekIndex],60)&gt;0,SUMIFS(T_StockCount[CountedQty],T_StockCount[RM_Code],$A29,T_StockCount[WeekIndex],60),IF((COUNTIFS(T_SelfStock[RM_Code],$A29,T_SelfStock[WeekIndex],60)&gt;0)*(COUNTIFS(T_TTAFStock[RM_Code],$A29,T_TTAFStock[WeekIndex],60)&gt;0)&gt;0,SUMIFS(T_SelfStock[Self_Qty],T_SelfStock[RM_Code],$A29,T_SelfStock[WeekIndex],60)+SUMIFS(T_TTAFStock[TTAF_Qty],T_TTAFStock[RM_Code],$A29,T_TTAFStock[WeekIndex],60),BH29+'Grid_Incoming'!BI29-'Grid_Requirement'!BI29))</f>
        <v/>
      </c>
      <c r="BJ29">
        <f>IF(COUNTIFS(T_StockCount[RM_Code],$A29,T_StockCount[WeekIndex],61)&gt;0,SUMIFS(T_StockCount[CountedQty],T_StockCount[RM_Code],$A29,T_StockCount[WeekIndex],61),IF((COUNTIFS(T_SelfStock[RM_Code],$A29,T_SelfStock[WeekIndex],61)&gt;0)*(COUNTIFS(T_TTAFStock[RM_Code],$A29,T_TTAFStock[WeekIndex],61)&gt;0)&gt;0,SUMIFS(T_SelfStock[Self_Qty],T_SelfStock[RM_Code],$A29,T_SelfStock[WeekIndex],61)+SUMIFS(T_TTAFStock[TTAF_Qty],T_TTAFStock[RM_Code],$A29,T_TTAFStock[WeekIndex],61),BI29+'Grid_Incoming'!BJ29-'Grid_Requirement'!BJ29))</f>
        <v/>
      </c>
      <c r="BK29">
        <f>IF(COUNTIFS(T_StockCount[RM_Code],$A29,T_StockCount[WeekIndex],62)&gt;0,SUMIFS(T_StockCount[CountedQty],T_StockCount[RM_Code],$A29,T_StockCount[WeekIndex],62),IF((COUNTIFS(T_SelfStock[RM_Code],$A29,T_SelfStock[WeekIndex],62)&gt;0)*(COUNTIFS(T_TTAFStock[RM_Code],$A29,T_TTAFStock[WeekIndex],62)&gt;0)&gt;0,SUMIFS(T_SelfStock[Self_Qty],T_SelfStock[RM_Code],$A29,T_SelfStock[WeekIndex],62)+SUMIFS(T_TTAFStock[TTAF_Qty],T_TTAFStock[RM_Code],$A29,T_TTAFStock[WeekIndex],62),BJ29+'Grid_Incoming'!BK29-'Grid_Requirement'!BK29))</f>
        <v/>
      </c>
      <c r="BL29">
        <f>IF(COUNTIFS(T_StockCount[RM_Code],$A29,T_StockCount[WeekIndex],63)&gt;0,SUMIFS(T_StockCount[CountedQty],T_StockCount[RM_Code],$A29,T_StockCount[WeekIndex],63),IF((COUNTIFS(T_SelfStock[RM_Code],$A29,T_SelfStock[WeekIndex],63)&gt;0)*(COUNTIFS(T_TTAFStock[RM_Code],$A29,T_TTAFStock[WeekIndex],63)&gt;0)&gt;0,SUMIFS(T_SelfStock[Self_Qty],T_SelfStock[RM_Code],$A29,T_SelfStock[WeekIndex],63)+SUMIFS(T_TTAFStock[TTAF_Qty],T_TTAFStock[RM_Code],$A29,T_TTAFStock[WeekIndex],63),BK29+'Grid_Incoming'!BL29-'Grid_Requirement'!BL29))</f>
        <v/>
      </c>
      <c r="BM29">
        <f>IF(COUNTIFS(T_StockCount[RM_Code],$A29,T_StockCount[WeekIndex],64)&gt;0,SUMIFS(T_StockCount[CountedQty],T_StockCount[RM_Code],$A29,T_StockCount[WeekIndex],64),IF((COUNTIFS(T_SelfStock[RM_Code],$A29,T_SelfStock[WeekIndex],64)&gt;0)*(COUNTIFS(T_TTAFStock[RM_Code],$A29,T_TTAFStock[WeekIndex],64)&gt;0)&gt;0,SUMIFS(T_SelfStock[Self_Qty],T_SelfStock[RM_Code],$A29,T_SelfStock[WeekIndex],64)+SUMIFS(T_TTAFStock[TTAF_Qty],T_TTAFStock[RM_Code],$A29,T_TTAFStock[WeekIndex],64),BL29+'Grid_Incoming'!BM29-'Grid_Requirement'!BM29))</f>
        <v/>
      </c>
      <c r="BN29">
        <f>IF(COUNTIFS(T_StockCount[RM_Code],$A29,T_StockCount[WeekIndex],65)&gt;0,SUMIFS(T_StockCount[CountedQty],T_StockCount[RM_Code],$A29,T_StockCount[WeekIndex],65),IF((COUNTIFS(T_SelfStock[RM_Code],$A29,T_SelfStock[WeekIndex],65)&gt;0)*(COUNTIFS(T_TTAFStock[RM_Code],$A29,T_TTAFStock[WeekIndex],65)&gt;0)&gt;0,SUMIFS(T_SelfStock[Self_Qty],T_SelfStock[RM_Code],$A29,T_SelfStock[WeekIndex],65)+SUMIFS(T_TTAFStock[TTAF_Qty],T_TTAFStock[RM_Code],$A29,T_TTAFStock[WeekIndex],65),BM29+'Grid_Incoming'!BN29-'Grid_Requirement'!BN29))</f>
        <v/>
      </c>
      <c r="BO29">
        <f>IF(COUNTIFS(T_StockCount[RM_Code],$A29,T_StockCount[WeekIndex],66)&gt;0,SUMIFS(T_StockCount[CountedQty],T_StockCount[RM_Code],$A29,T_StockCount[WeekIndex],66),IF((COUNTIFS(T_SelfStock[RM_Code],$A29,T_SelfStock[WeekIndex],66)&gt;0)*(COUNTIFS(T_TTAFStock[RM_Code],$A29,T_TTAFStock[WeekIndex],66)&gt;0)&gt;0,SUMIFS(T_SelfStock[Self_Qty],T_SelfStock[RM_Code],$A29,T_SelfStock[WeekIndex],66)+SUMIFS(T_TTAFStock[TTAF_Qty],T_TTAFStock[RM_Code],$A29,T_TTAFStock[WeekIndex],66),BN29+'Grid_Incoming'!BO29-'Grid_Requirement'!BO29))</f>
        <v/>
      </c>
      <c r="BP29">
        <f>IF(COUNTIFS(T_StockCount[RM_Code],$A29,T_StockCount[WeekIndex],67)&gt;0,SUMIFS(T_StockCount[CountedQty],T_StockCount[RM_Code],$A29,T_StockCount[WeekIndex],67),IF((COUNTIFS(T_SelfStock[RM_Code],$A29,T_SelfStock[WeekIndex],67)&gt;0)*(COUNTIFS(T_TTAFStock[RM_Code],$A29,T_TTAFStock[WeekIndex],67)&gt;0)&gt;0,SUMIFS(T_SelfStock[Self_Qty],T_SelfStock[RM_Code],$A29,T_SelfStock[WeekIndex],67)+SUMIFS(T_TTAFStock[TTAF_Qty],T_TTAFStock[RM_Code],$A29,T_TTAFStock[WeekIndex],67),BO29+'Grid_Incoming'!BP29-'Grid_Requirement'!BP29))</f>
        <v/>
      </c>
      <c r="BQ29">
        <f>IF(COUNTIFS(T_StockCount[RM_Code],$A29,T_StockCount[WeekIndex],68)&gt;0,SUMIFS(T_StockCount[CountedQty],T_StockCount[RM_Code],$A29,T_StockCount[WeekIndex],68),IF((COUNTIFS(T_SelfStock[RM_Code],$A29,T_SelfStock[WeekIndex],68)&gt;0)*(COUNTIFS(T_TTAFStock[RM_Code],$A29,T_TTAFStock[WeekIndex],68)&gt;0)&gt;0,SUMIFS(T_SelfStock[Self_Qty],T_SelfStock[RM_Code],$A29,T_SelfStock[WeekIndex],68)+SUMIFS(T_TTAFStock[TTAF_Qty],T_TTAFStock[RM_Code],$A29,T_TTAFStock[WeekIndex],68),BP29+'Grid_Incoming'!BQ29-'Grid_Requirement'!BQ29))</f>
        <v/>
      </c>
      <c r="BR29">
        <f>IF(COUNTIFS(T_StockCount[RM_Code],$A29,T_StockCount[WeekIndex],69)&gt;0,SUMIFS(T_StockCount[CountedQty],T_StockCount[RM_Code],$A29,T_StockCount[WeekIndex],69),IF((COUNTIFS(T_SelfStock[RM_Code],$A29,T_SelfStock[WeekIndex],69)&gt;0)*(COUNTIFS(T_TTAFStock[RM_Code],$A29,T_TTAFStock[WeekIndex],69)&gt;0)&gt;0,SUMIFS(T_SelfStock[Self_Qty],T_SelfStock[RM_Code],$A29,T_SelfStock[WeekIndex],69)+SUMIFS(T_TTAFStock[TTAF_Qty],T_TTAFStock[RM_Code],$A29,T_TTAFStock[WeekIndex],69),BQ29+'Grid_Incoming'!BR29-'Grid_Requirement'!BR29))</f>
        <v/>
      </c>
      <c r="BS29">
        <f>IF(COUNTIFS(T_StockCount[RM_Code],$A29,T_StockCount[WeekIndex],70)&gt;0,SUMIFS(T_StockCount[CountedQty],T_StockCount[RM_Code],$A29,T_StockCount[WeekIndex],70),IF((COUNTIFS(T_SelfStock[RM_Code],$A29,T_SelfStock[WeekIndex],70)&gt;0)*(COUNTIFS(T_TTAFStock[RM_Code],$A29,T_TTAFStock[WeekIndex],70)&gt;0)&gt;0,SUMIFS(T_SelfStock[Self_Qty],T_SelfStock[RM_Code],$A29,T_SelfStock[WeekIndex],70)+SUMIFS(T_TTAFStock[TTAF_Qty],T_TTAFStock[RM_Code],$A29,T_TTAFStock[WeekIndex],70),BR29+'Grid_Incoming'!BS29-'Grid_Requirement'!BS29))</f>
        <v/>
      </c>
      <c r="BT29">
        <f>IF(COUNTIFS(T_StockCount[RM_Code],$A29,T_StockCount[WeekIndex],71)&gt;0,SUMIFS(T_StockCount[CountedQty],T_StockCount[RM_Code],$A29,T_StockCount[WeekIndex],71),IF((COUNTIFS(T_SelfStock[RM_Code],$A29,T_SelfStock[WeekIndex],71)&gt;0)*(COUNTIFS(T_TTAFStock[RM_Code],$A29,T_TTAFStock[WeekIndex],71)&gt;0)&gt;0,SUMIFS(T_SelfStock[Self_Qty],T_SelfStock[RM_Code],$A29,T_SelfStock[WeekIndex],71)+SUMIFS(T_TTAFStock[TTAF_Qty],T_TTAFStock[RM_Code],$A29,T_TTAFStock[WeekIndex],71),BS29+'Grid_Incoming'!BT29-'Grid_Requirement'!BT29))</f>
        <v/>
      </c>
      <c r="BU29">
        <f>IF(COUNTIFS(T_StockCount[RM_Code],$A29,T_StockCount[WeekIndex],72)&gt;0,SUMIFS(T_StockCount[CountedQty],T_StockCount[RM_Code],$A29,T_StockCount[WeekIndex],72),IF((COUNTIFS(T_SelfStock[RM_Code],$A29,T_SelfStock[WeekIndex],72)&gt;0)*(COUNTIFS(T_TTAFStock[RM_Code],$A29,T_TTAFStock[WeekIndex],72)&gt;0)&gt;0,SUMIFS(T_SelfStock[Self_Qty],T_SelfStock[RM_Code],$A29,T_SelfStock[WeekIndex],72)+SUMIFS(T_TTAFStock[TTAF_Qty],T_TTAFStock[RM_Code],$A29,T_TTAFStock[WeekIndex],72),BT29+'Grid_Incoming'!BU29-'Grid_Requirement'!BU29))</f>
        <v/>
      </c>
      <c r="BV29">
        <f>IF(COUNTIFS(T_StockCount[RM_Code],$A29,T_StockCount[WeekIndex],73)&gt;0,SUMIFS(T_StockCount[CountedQty],T_StockCount[RM_Code],$A29,T_StockCount[WeekIndex],73),IF((COUNTIFS(T_SelfStock[RM_Code],$A29,T_SelfStock[WeekIndex],73)&gt;0)*(COUNTIFS(T_TTAFStock[RM_Code],$A29,T_TTAFStock[WeekIndex],73)&gt;0)&gt;0,SUMIFS(T_SelfStock[Self_Qty],T_SelfStock[RM_Code],$A29,T_SelfStock[WeekIndex],73)+SUMIFS(T_TTAFStock[TTAF_Qty],T_TTAFStock[RM_Code],$A29,T_TTAFStock[WeekIndex],73),BU29+'Grid_Incoming'!BV29-'Grid_Requirement'!BV29))</f>
        <v/>
      </c>
      <c r="BW29">
        <f>IF(COUNTIFS(T_StockCount[RM_Code],$A29,T_StockCount[WeekIndex],74)&gt;0,SUMIFS(T_StockCount[CountedQty],T_StockCount[RM_Code],$A29,T_StockCount[WeekIndex],74),IF((COUNTIFS(T_SelfStock[RM_Code],$A29,T_SelfStock[WeekIndex],74)&gt;0)*(COUNTIFS(T_TTAFStock[RM_Code],$A29,T_TTAFStock[WeekIndex],74)&gt;0)&gt;0,SUMIFS(T_SelfStock[Self_Qty],T_SelfStock[RM_Code],$A29,T_SelfStock[WeekIndex],74)+SUMIFS(T_TTAFStock[TTAF_Qty],T_TTAFStock[RM_Code],$A29,T_TTAFStock[WeekIndex],74),BV29+'Grid_Incoming'!BW29-'Grid_Requirement'!BW29))</f>
        <v/>
      </c>
      <c r="BX29">
        <f>IF(COUNTIFS(T_StockCount[RM_Code],$A29,T_StockCount[WeekIndex],75)&gt;0,SUMIFS(T_StockCount[CountedQty],T_StockCount[RM_Code],$A29,T_StockCount[WeekIndex],75),IF((COUNTIFS(T_SelfStock[RM_Code],$A29,T_SelfStock[WeekIndex],75)&gt;0)*(COUNTIFS(T_TTAFStock[RM_Code],$A29,T_TTAFStock[WeekIndex],75)&gt;0)&gt;0,SUMIFS(T_SelfStock[Self_Qty],T_SelfStock[RM_Code],$A29,T_SelfStock[WeekIndex],75)+SUMIFS(T_TTAFStock[TTAF_Qty],T_TTAFStock[RM_Code],$A29,T_TTAFStock[WeekIndex],75),BW29+'Grid_Incoming'!BX29-'Grid_Requirement'!BX29))</f>
        <v/>
      </c>
      <c r="BY29">
        <f>IF(COUNTIFS(T_StockCount[RM_Code],$A29,T_StockCount[WeekIndex],76)&gt;0,SUMIFS(T_StockCount[CountedQty],T_StockCount[RM_Code],$A29,T_StockCount[WeekIndex],76),IF((COUNTIFS(T_SelfStock[RM_Code],$A29,T_SelfStock[WeekIndex],76)&gt;0)*(COUNTIFS(T_TTAFStock[RM_Code],$A29,T_TTAFStock[WeekIndex],76)&gt;0)&gt;0,SUMIFS(T_SelfStock[Self_Qty],T_SelfStock[RM_Code],$A29,T_SelfStock[WeekIndex],76)+SUMIFS(T_TTAFStock[TTAF_Qty],T_TTAFStock[RM_Code],$A29,T_TTAFStock[WeekIndex],76),BX29+'Grid_Incoming'!BY29-'Grid_Requirement'!BY29))</f>
        <v/>
      </c>
      <c r="BZ29">
        <f>IF(COUNTIFS(T_StockCount[RM_Code],$A29,T_StockCount[WeekIndex],77)&gt;0,SUMIFS(T_StockCount[CountedQty],T_StockCount[RM_Code],$A29,T_StockCount[WeekIndex],77),IF((COUNTIFS(T_SelfStock[RM_Code],$A29,T_SelfStock[WeekIndex],77)&gt;0)*(COUNTIFS(T_TTAFStock[RM_Code],$A29,T_TTAFStock[WeekIndex],77)&gt;0)&gt;0,SUMIFS(T_SelfStock[Self_Qty],T_SelfStock[RM_Code],$A29,T_SelfStock[WeekIndex],77)+SUMIFS(T_TTAFStock[TTAF_Qty],T_TTAFStock[RM_Code],$A29,T_TTAFStock[WeekIndex],77),BY29+'Grid_Incoming'!BZ29-'Grid_Requirement'!BZ29))</f>
        <v/>
      </c>
      <c r="CA29">
        <f>IF(COUNTIFS(T_StockCount[RM_Code],$A29,T_StockCount[WeekIndex],78)&gt;0,SUMIFS(T_StockCount[CountedQty],T_StockCount[RM_Code],$A29,T_StockCount[WeekIndex],78),IF((COUNTIFS(T_SelfStock[RM_Code],$A29,T_SelfStock[WeekIndex],78)&gt;0)*(COUNTIFS(T_TTAFStock[RM_Code],$A29,T_TTAFStock[WeekIndex],78)&gt;0)&gt;0,SUMIFS(T_SelfStock[Self_Qty],T_SelfStock[RM_Code],$A29,T_SelfStock[WeekIndex],78)+SUMIFS(T_TTAFStock[TTAF_Qty],T_TTAFStock[RM_Code],$A29,T_TTAFStock[WeekIndex],78),BZ29+'Grid_Incoming'!CA29-'Grid_Requirement'!CA29))</f>
        <v/>
      </c>
      <c r="CB29">
        <f>IF(COUNTIFS(T_StockCount[RM_Code],$A29,T_StockCount[WeekIndex],79)&gt;0,SUMIFS(T_StockCount[CountedQty],T_StockCount[RM_Code],$A29,T_StockCount[WeekIndex],79),IF((COUNTIFS(T_SelfStock[RM_Code],$A29,T_SelfStock[WeekIndex],79)&gt;0)*(COUNTIFS(T_TTAFStock[RM_Code],$A29,T_TTAFStock[WeekIndex],79)&gt;0)&gt;0,SUMIFS(T_SelfStock[Self_Qty],T_SelfStock[RM_Code],$A29,T_SelfStock[WeekIndex],79)+SUMIFS(T_TTAFStock[TTAF_Qty],T_TTAFStock[RM_Code],$A29,T_TTAFStock[WeekIndex],79),CA29+'Grid_Incoming'!CB29-'Grid_Requirement'!CB29))</f>
        <v/>
      </c>
      <c r="CC29">
        <f>IF(COUNTIFS(T_StockCount[RM_Code],$A29,T_StockCount[WeekIndex],80)&gt;0,SUMIFS(T_StockCount[CountedQty],T_StockCount[RM_Code],$A29,T_StockCount[WeekIndex],80),IF((COUNTIFS(T_SelfStock[RM_Code],$A29,T_SelfStock[WeekIndex],80)&gt;0)*(COUNTIFS(T_TTAFStock[RM_Code],$A29,T_TTAFStock[WeekIndex],80)&gt;0)&gt;0,SUMIFS(T_SelfStock[Self_Qty],T_SelfStock[RM_Code],$A29,T_SelfStock[WeekIndex],80)+SUMIFS(T_TTAFStock[TTAF_Qty],T_TTAFStock[RM_Code],$A29,T_TTAFStock[WeekIndex],80),CB29+'Grid_Incoming'!CC29-'Grid_Requirement'!CC29))</f>
        <v/>
      </c>
      <c r="CD29">
        <f>IF(COUNTIFS(T_StockCount[RM_Code],$A29,T_StockCount[WeekIndex],81)&gt;0,SUMIFS(T_StockCount[CountedQty],T_StockCount[RM_Code],$A29,T_StockCount[WeekIndex],81),IF((COUNTIFS(T_SelfStock[RM_Code],$A29,T_SelfStock[WeekIndex],81)&gt;0)*(COUNTIFS(T_TTAFStock[RM_Code],$A29,T_TTAFStock[WeekIndex],81)&gt;0)&gt;0,SUMIFS(T_SelfStock[Self_Qty],T_SelfStock[RM_Code],$A29,T_SelfStock[WeekIndex],81)+SUMIFS(T_TTAFStock[TTAF_Qty],T_TTAFStock[RM_Code],$A29,T_TTAFStock[WeekIndex],81),CC29+'Grid_Incoming'!CD29-'Grid_Requirement'!CD29))</f>
        <v/>
      </c>
      <c r="CE29">
        <f>IF(COUNTIFS(T_StockCount[RM_Code],$A29,T_StockCount[WeekIndex],82)&gt;0,SUMIFS(T_StockCount[CountedQty],T_StockCount[RM_Code],$A29,T_StockCount[WeekIndex],82),IF((COUNTIFS(T_SelfStock[RM_Code],$A29,T_SelfStock[WeekIndex],82)&gt;0)*(COUNTIFS(T_TTAFStock[RM_Code],$A29,T_TTAFStock[WeekIndex],82)&gt;0)&gt;0,SUMIFS(T_SelfStock[Self_Qty],T_SelfStock[RM_Code],$A29,T_SelfStock[WeekIndex],82)+SUMIFS(T_TTAFStock[TTAF_Qty],T_TTAFStock[RM_Code],$A29,T_TTAFStock[WeekIndex],82),CD29+'Grid_Incoming'!CE29-'Grid_Requirement'!CE29))</f>
        <v/>
      </c>
      <c r="CF29">
        <f>IF(COUNTIFS(T_StockCount[RM_Code],$A29,T_StockCount[WeekIndex],83)&gt;0,SUMIFS(T_StockCount[CountedQty],T_StockCount[RM_Code],$A29,T_StockCount[WeekIndex],83),IF((COUNTIFS(T_SelfStock[RM_Code],$A29,T_SelfStock[WeekIndex],83)&gt;0)*(COUNTIFS(T_TTAFStock[RM_Code],$A29,T_TTAFStock[WeekIndex],83)&gt;0)&gt;0,SUMIFS(T_SelfStock[Self_Qty],T_SelfStock[RM_Code],$A29,T_SelfStock[WeekIndex],83)+SUMIFS(T_TTAFStock[TTAF_Qty],T_TTAFStock[RM_Code],$A29,T_TTAFStock[WeekIndex],83),CE29+'Grid_Incoming'!CF29-'Grid_Requirement'!CF29))</f>
        <v/>
      </c>
      <c r="CG29">
        <f>IF(COUNTIFS(T_StockCount[RM_Code],$A29,T_StockCount[WeekIndex],84)&gt;0,SUMIFS(T_StockCount[CountedQty],T_StockCount[RM_Code],$A29,T_StockCount[WeekIndex],84),IF((COUNTIFS(T_SelfStock[RM_Code],$A29,T_SelfStock[WeekIndex],84)&gt;0)*(COUNTIFS(T_TTAFStock[RM_Code],$A29,T_TTAFStock[WeekIndex],84)&gt;0)&gt;0,SUMIFS(T_SelfStock[Self_Qty],T_SelfStock[RM_Code],$A29,T_SelfStock[WeekIndex],84)+SUMIFS(T_TTAFStock[TTAF_Qty],T_TTAFStock[RM_Code],$A29,T_TTAFStock[WeekIndex],84),CF29+'Grid_Incoming'!CG29-'Grid_Requirement'!CG29))</f>
        <v/>
      </c>
      <c r="CH29">
        <f>IF(COUNTIFS(T_StockCount[RM_Code],$A29,T_StockCount[WeekIndex],85)&gt;0,SUMIFS(T_StockCount[CountedQty],T_StockCount[RM_Code],$A29,T_StockCount[WeekIndex],85),IF((COUNTIFS(T_SelfStock[RM_Code],$A29,T_SelfStock[WeekIndex],85)&gt;0)*(COUNTIFS(T_TTAFStock[RM_Code],$A29,T_TTAFStock[WeekIndex],85)&gt;0)&gt;0,SUMIFS(T_SelfStock[Self_Qty],T_SelfStock[RM_Code],$A29,T_SelfStock[WeekIndex],85)+SUMIFS(T_TTAFStock[TTAF_Qty],T_TTAFStock[RM_Code],$A29,T_TTAFStock[WeekIndex],85),CG29+'Grid_Incoming'!CH29-'Grid_Requirement'!CH29))</f>
        <v/>
      </c>
      <c r="CI29">
        <f>IF(COUNTIFS(T_StockCount[RM_Code],$A29,T_StockCount[WeekIndex],86)&gt;0,SUMIFS(T_StockCount[CountedQty],T_StockCount[RM_Code],$A29,T_StockCount[WeekIndex],86),IF((COUNTIFS(T_SelfStock[RM_Code],$A29,T_SelfStock[WeekIndex],86)&gt;0)*(COUNTIFS(T_TTAFStock[RM_Code],$A29,T_TTAFStock[WeekIndex],86)&gt;0)&gt;0,SUMIFS(T_SelfStock[Self_Qty],T_SelfStock[RM_Code],$A29,T_SelfStock[WeekIndex],86)+SUMIFS(T_TTAFStock[TTAF_Qty],T_TTAFStock[RM_Code],$A29,T_TTAFStock[WeekIndex],86),CH29+'Grid_Incoming'!CI29-'Grid_Requirement'!CI29))</f>
        <v/>
      </c>
      <c r="CJ29">
        <f>IF(COUNTIFS(T_StockCount[RM_Code],$A29,T_StockCount[WeekIndex],87)&gt;0,SUMIFS(T_StockCount[CountedQty],T_StockCount[RM_Code],$A29,T_StockCount[WeekIndex],87),IF((COUNTIFS(T_SelfStock[RM_Code],$A29,T_SelfStock[WeekIndex],87)&gt;0)*(COUNTIFS(T_TTAFStock[RM_Code],$A29,T_TTAFStock[WeekIndex],87)&gt;0)&gt;0,SUMIFS(T_SelfStock[Self_Qty],T_SelfStock[RM_Code],$A29,T_SelfStock[WeekIndex],87)+SUMIFS(T_TTAFStock[TTAF_Qty],T_TTAFStock[RM_Code],$A29,T_TTAFStock[WeekIndex],87),CI29+'Grid_Incoming'!CJ29-'Grid_Requirement'!CJ29))</f>
        <v/>
      </c>
      <c r="CK29">
        <f>IF(COUNTIFS(T_StockCount[RM_Code],$A29,T_StockCount[WeekIndex],88)&gt;0,SUMIFS(T_StockCount[CountedQty],T_StockCount[RM_Code],$A29,T_StockCount[WeekIndex],88),IF((COUNTIFS(T_SelfStock[RM_Code],$A29,T_SelfStock[WeekIndex],88)&gt;0)*(COUNTIFS(T_TTAFStock[RM_Code],$A29,T_TTAFStock[WeekIndex],88)&gt;0)&gt;0,SUMIFS(T_SelfStock[Self_Qty],T_SelfStock[RM_Code],$A29,T_SelfStock[WeekIndex],88)+SUMIFS(T_TTAFStock[TTAF_Qty],T_TTAFStock[RM_Code],$A29,T_TTAFStock[WeekIndex],88),CJ29+'Grid_Incoming'!CK29-'Grid_Requirement'!CK29))</f>
        <v/>
      </c>
      <c r="CL29">
        <f>IF(COUNTIFS(T_StockCount[RM_Code],$A29,T_StockCount[WeekIndex],89)&gt;0,SUMIFS(T_StockCount[CountedQty],T_StockCount[RM_Code],$A29,T_StockCount[WeekIndex],89),IF((COUNTIFS(T_SelfStock[RM_Code],$A29,T_SelfStock[WeekIndex],89)&gt;0)*(COUNTIFS(T_TTAFStock[RM_Code],$A29,T_TTAFStock[WeekIndex],89)&gt;0)&gt;0,SUMIFS(T_SelfStock[Self_Qty],T_SelfStock[RM_Code],$A29,T_SelfStock[WeekIndex],89)+SUMIFS(T_TTAFStock[TTAF_Qty],T_TTAFStock[RM_Code],$A29,T_TTAFStock[WeekIndex],89),CK29+'Grid_Incoming'!CL29-'Grid_Requirement'!CL29))</f>
        <v/>
      </c>
      <c r="CM29">
        <f>IF(COUNTIFS(T_StockCount[RM_Code],$A29,T_StockCount[WeekIndex],90)&gt;0,SUMIFS(T_StockCount[CountedQty],T_StockCount[RM_Code],$A29,T_StockCount[WeekIndex],90),IF((COUNTIFS(T_SelfStock[RM_Code],$A29,T_SelfStock[WeekIndex],90)&gt;0)*(COUNTIFS(T_TTAFStock[RM_Code],$A29,T_TTAFStock[WeekIndex],90)&gt;0)&gt;0,SUMIFS(T_SelfStock[Self_Qty],T_SelfStock[RM_Code],$A29,T_SelfStock[WeekIndex],90)+SUMIFS(T_TTAFStock[TTAF_Qty],T_TTAFStock[RM_Code],$A29,T_TTAFStock[WeekIndex],90),CL29+'Grid_Incoming'!CM29-'Grid_Requirement'!CM29))</f>
        <v/>
      </c>
      <c r="CN29">
        <f>IF(COUNTIFS(T_StockCount[RM_Code],$A29,T_StockCount[WeekIndex],91)&gt;0,SUMIFS(T_StockCount[CountedQty],T_StockCount[RM_Code],$A29,T_StockCount[WeekIndex],91),IF((COUNTIFS(T_SelfStock[RM_Code],$A29,T_SelfStock[WeekIndex],91)&gt;0)*(COUNTIFS(T_TTAFStock[RM_Code],$A29,T_TTAFStock[WeekIndex],91)&gt;0)&gt;0,SUMIFS(T_SelfStock[Self_Qty],T_SelfStock[RM_Code],$A29,T_SelfStock[WeekIndex],91)+SUMIFS(T_TTAFStock[TTAF_Qty],T_TTAFStock[RM_Code],$A29,T_TTAFStock[WeekIndex],91),CM29+'Grid_Incoming'!CN29-'Grid_Requirement'!CN29))</f>
        <v/>
      </c>
      <c r="CO29">
        <f>IF(COUNTIFS(T_StockCount[RM_Code],$A29,T_StockCount[WeekIndex],92)&gt;0,SUMIFS(T_StockCount[CountedQty],T_StockCount[RM_Code],$A29,T_StockCount[WeekIndex],92),IF((COUNTIFS(T_SelfStock[RM_Code],$A29,T_SelfStock[WeekIndex],92)&gt;0)*(COUNTIFS(T_TTAFStock[RM_Code],$A29,T_TTAFStock[WeekIndex],92)&gt;0)&gt;0,SUMIFS(T_SelfStock[Self_Qty],T_SelfStock[RM_Code],$A29,T_SelfStock[WeekIndex],92)+SUMIFS(T_TTAFStock[TTAF_Qty],T_TTAFStock[RM_Code],$A29,T_TTAFStock[WeekIndex],92),CN29+'Grid_Incoming'!CO29-'Grid_Requirement'!CO29))</f>
        <v/>
      </c>
      <c r="CP29">
        <f>IF(COUNTIFS(T_StockCount[RM_Code],$A29,T_StockCount[WeekIndex],93)&gt;0,SUMIFS(T_StockCount[CountedQty],T_StockCount[RM_Code],$A29,T_StockCount[WeekIndex],93),IF((COUNTIFS(T_SelfStock[RM_Code],$A29,T_SelfStock[WeekIndex],93)&gt;0)*(COUNTIFS(T_TTAFStock[RM_Code],$A29,T_TTAFStock[WeekIndex],93)&gt;0)&gt;0,SUMIFS(T_SelfStock[Self_Qty],T_SelfStock[RM_Code],$A29,T_SelfStock[WeekIndex],93)+SUMIFS(T_TTAFStock[TTAF_Qty],T_TTAFStock[RM_Code],$A29,T_TTAFStock[WeekIndex],93),CO29+'Grid_Incoming'!CP29-'Grid_Requirement'!CP29))</f>
        <v/>
      </c>
      <c r="CQ29">
        <f>IF(COUNTIFS(T_StockCount[RM_Code],$A29,T_StockCount[WeekIndex],94)&gt;0,SUMIFS(T_StockCount[CountedQty],T_StockCount[RM_Code],$A29,T_StockCount[WeekIndex],94),IF((COUNTIFS(T_SelfStock[RM_Code],$A29,T_SelfStock[WeekIndex],94)&gt;0)*(COUNTIFS(T_TTAFStock[RM_Code],$A29,T_TTAFStock[WeekIndex],94)&gt;0)&gt;0,SUMIFS(T_SelfStock[Self_Qty],T_SelfStock[RM_Code],$A29,T_SelfStock[WeekIndex],94)+SUMIFS(T_TTAFStock[TTAF_Qty],T_TTAFStock[RM_Code],$A29,T_TTAFStock[WeekIndex],94),CP29+'Grid_Incoming'!CQ29-'Grid_Requirement'!CQ29))</f>
        <v/>
      </c>
      <c r="CR29">
        <f>IF(COUNTIFS(T_StockCount[RM_Code],$A29,T_StockCount[WeekIndex],95)&gt;0,SUMIFS(T_StockCount[CountedQty],T_StockCount[RM_Code],$A29,T_StockCount[WeekIndex],95),IF((COUNTIFS(T_SelfStock[RM_Code],$A29,T_SelfStock[WeekIndex],95)&gt;0)*(COUNTIFS(T_TTAFStock[RM_Code],$A29,T_TTAFStock[WeekIndex],95)&gt;0)&gt;0,SUMIFS(T_SelfStock[Self_Qty],T_SelfStock[RM_Code],$A29,T_SelfStock[WeekIndex],95)+SUMIFS(T_TTAFStock[TTAF_Qty],T_TTAFStock[RM_Code],$A29,T_TTAFStock[WeekIndex],95),CQ29+'Grid_Incoming'!CR29-'Grid_Requirement'!CR29))</f>
        <v/>
      </c>
      <c r="CS29">
        <f>IF(COUNTIFS(T_StockCount[RM_Code],$A29,T_StockCount[WeekIndex],96)&gt;0,SUMIFS(T_StockCount[CountedQty],T_StockCount[RM_Code],$A29,T_StockCount[WeekIndex],96),IF((COUNTIFS(T_SelfStock[RM_Code],$A29,T_SelfStock[WeekIndex],96)&gt;0)*(COUNTIFS(T_TTAFStock[RM_Code],$A29,T_TTAFStock[WeekIndex],96)&gt;0)&gt;0,SUMIFS(T_SelfStock[Self_Qty],T_SelfStock[RM_Code],$A29,T_SelfStock[WeekIndex],96)+SUMIFS(T_TTAFStock[TTAF_Qty],T_TTAFStock[RM_Code],$A29,T_TTAFStock[WeekIndex],96),CR29+'Grid_Incoming'!CS29-'Grid_Requirement'!CS29))</f>
        <v/>
      </c>
      <c r="CT29">
        <f>IF(COUNTIFS(T_StockCount[RM_Code],$A29,T_StockCount[WeekIndex],97)&gt;0,SUMIFS(T_StockCount[CountedQty],T_StockCount[RM_Code],$A29,T_StockCount[WeekIndex],97),IF((COUNTIFS(T_SelfStock[RM_Code],$A29,T_SelfStock[WeekIndex],97)&gt;0)*(COUNTIFS(T_TTAFStock[RM_Code],$A29,T_TTAFStock[WeekIndex],97)&gt;0)&gt;0,SUMIFS(T_SelfStock[Self_Qty],T_SelfStock[RM_Code],$A29,T_SelfStock[WeekIndex],97)+SUMIFS(T_TTAFStock[TTAF_Qty],T_TTAFStock[RM_Code],$A29,T_TTAFStock[WeekIndex],97),CS29+'Grid_Incoming'!CT29-'Grid_Requirement'!CT29))</f>
        <v/>
      </c>
      <c r="CU29">
        <f>IF(COUNTIFS(T_StockCount[RM_Code],$A29,T_StockCount[WeekIndex],98)&gt;0,SUMIFS(T_StockCount[CountedQty],T_StockCount[RM_Code],$A29,T_StockCount[WeekIndex],98),IF((COUNTIFS(T_SelfStock[RM_Code],$A29,T_SelfStock[WeekIndex],98)&gt;0)*(COUNTIFS(T_TTAFStock[RM_Code],$A29,T_TTAFStock[WeekIndex],98)&gt;0)&gt;0,SUMIFS(T_SelfStock[Self_Qty],T_SelfStock[RM_Code],$A29,T_SelfStock[WeekIndex],98)+SUMIFS(T_TTAFStock[TTAF_Qty],T_TTAFStock[RM_Code],$A29,T_TTAFStock[WeekIndex],98),CT29+'Grid_Incoming'!CU29-'Grid_Requirement'!CU29))</f>
        <v/>
      </c>
      <c r="CV29">
        <f>IF(COUNTIFS(T_StockCount[RM_Code],$A29,T_StockCount[WeekIndex],99)&gt;0,SUMIFS(T_StockCount[CountedQty],T_StockCount[RM_Code],$A29,T_StockCount[WeekIndex],99),IF((COUNTIFS(T_SelfStock[RM_Code],$A29,T_SelfStock[WeekIndex],99)&gt;0)*(COUNTIFS(T_TTAFStock[RM_Code],$A29,T_TTAFStock[WeekIndex],99)&gt;0)&gt;0,SUMIFS(T_SelfStock[Self_Qty],T_SelfStock[RM_Code],$A29,T_SelfStock[WeekIndex],99)+SUMIFS(T_TTAFStock[TTAF_Qty],T_TTAFStock[RM_Code],$A29,T_TTAFStock[WeekIndex],99),CU29+'Grid_Incoming'!CV29-'Grid_Requirement'!CV29))</f>
        <v/>
      </c>
      <c r="CW29">
        <f>IF(COUNTIFS(T_StockCount[RM_Code],$A29,T_StockCount[WeekIndex],100)&gt;0,SUMIFS(T_StockCount[CountedQty],T_StockCount[RM_Code],$A29,T_StockCount[WeekIndex],100),IF((COUNTIFS(T_SelfStock[RM_Code],$A29,T_SelfStock[WeekIndex],100)&gt;0)*(COUNTIFS(T_TTAFStock[RM_Code],$A29,T_TTAFStock[WeekIndex],100)&gt;0)&gt;0,SUMIFS(T_SelfStock[Self_Qty],T_SelfStock[RM_Code],$A29,T_SelfStock[WeekIndex],100)+SUMIFS(T_TTAFStock[TTAF_Qty],T_TTAFStock[RM_Code],$A29,T_TTAFStock[WeekIndex],100),CV29+'Grid_Incoming'!CW29-'Grid_Requirement'!CW29))</f>
        <v/>
      </c>
      <c r="CX29">
        <f>IF(COUNTIFS(T_StockCount[RM_Code],$A29,T_StockCount[WeekIndex],101)&gt;0,SUMIFS(T_StockCount[CountedQty],T_StockCount[RM_Code],$A29,T_StockCount[WeekIndex],101),IF((COUNTIFS(T_SelfStock[RM_Code],$A29,T_SelfStock[WeekIndex],101)&gt;0)*(COUNTIFS(T_TTAFStock[RM_Code],$A29,T_TTAFStock[WeekIndex],101)&gt;0)&gt;0,SUMIFS(T_SelfStock[Self_Qty],T_SelfStock[RM_Code],$A29,T_SelfStock[WeekIndex],101)+SUMIFS(T_TTAFStock[TTAF_Qty],T_TTAFStock[RM_Code],$A29,T_TTAFStock[WeekIndex],101),CW29+'Grid_Incoming'!CX29-'Grid_Requirement'!CX29))</f>
        <v/>
      </c>
      <c r="CY29">
        <f>IF(COUNTIFS(T_StockCount[RM_Code],$A29,T_StockCount[WeekIndex],102)&gt;0,SUMIFS(T_StockCount[CountedQty],T_StockCount[RM_Code],$A29,T_StockCount[WeekIndex],102),IF((COUNTIFS(T_SelfStock[RM_Code],$A29,T_SelfStock[WeekIndex],102)&gt;0)*(COUNTIFS(T_TTAFStock[RM_Code],$A29,T_TTAFStock[WeekIndex],102)&gt;0)&gt;0,SUMIFS(T_SelfStock[Self_Qty],T_SelfStock[RM_Code],$A29,T_SelfStock[WeekIndex],102)+SUMIFS(T_TTAFStock[TTAF_Qty],T_TTAFStock[RM_Code],$A29,T_TTAFStock[WeekIndex],102),CX29+'Grid_Incoming'!CY29-'Grid_Requirement'!CY29))</f>
        <v/>
      </c>
      <c r="CZ29">
        <f>IF(COUNTIFS(T_StockCount[RM_Code],$A29,T_StockCount[WeekIndex],103)&gt;0,SUMIFS(T_StockCount[CountedQty],T_StockCount[RM_Code],$A29,T_StockCount[WeekIndex],103),IF((COUNTIFS(T_SelfStock[RM_Code],$A29,T_SelfStock[WeekIndex],103)&gt;0)*(COUNTIFS(T_TTAFStock[RM_Code],$A29,T_TTAFStock[WeekIndex],103)&gt;0)&gt;0,SUMIFS(T_SelfStock[Self_Qty],T_SelfStock[RM_Code],$A29,T_SelfStock[WeekIndex],103)+SUMIFS(T_TTAFStock[TTAF_Qty],T_TTAFStock[RM_Code],$A29,T_TTAFStock[WeekIndex],103),CY29+'Grid_Incoming'!CZ29-'Grid_Requirement'!CZ29))</f>
        <v/>
      </c>
      <c r="DA29">
        <f>IF(COUNTIFS(T_StockCount[RM_Code],$A29,T_StockCount[WeekIndex],104)&gt;0,SUMIFS(T_StockCount[CountedQty],T_StockCount[RM_Code],$A29,T_StockCount[WeekIndex],104),IF((COUNTIFS(T_SelfStock[RM_Code],$A29,T_SelfStock[WeekIndex],104)&gt;0)*(COUNTIFS(T_TTAFStock[RM_Code],$A29,T_TTAFStock[WeekIndex],104)&gt;0)&gt;0,SUMIFS(T_SelfStock[Self_Qty],T_SelfStock[RM_Code],$A29,T_SelfStock[WeekIndex],104)+SUMIFS(T_TTAFStock[TTAF_Qty],T_TTAFStock[RM_Code],$A29,T_TTAFStock[WeekIndex],104),CZ29+'Grid_Incoming'!DA29-'Grid_Requirement'!DA29))</f>
        <v/>
      </c>
    </row>
    <row r="30">
      <c r="A30" t="inlineStr">
        <is>
          <t>CHEM-1200</t>
        </is>
      </c>
      <c r="B30">
        <f>IF(COUNTIFS(T_StockCount[RM_Code],$A30,T_StockCount[WeekIndex],1)&gt;0,SUMIFS(T_StockCount[CountedQty],T_StockCount[RM_Code],$A30,T_StockCount[WeekIndex],1),IF((COUNTIFS(T_SelfStock[RM_Code],$A30,T_SelfStock[WeekIndex],1)&gt;0)*(COUNTIFS(T_TTAFStock[RM_Code],$A30,T_TTAFStock[WeekIndex],1)&gt;0)&gt;0,SUMIFS(T_SelfStock[Self_Qty],T_SelfStock[RM_Code],$A30,T_SelfStock[WeekIndex],1)+SUMIFS(T_TTAFStock[TTAF_Qty],T_TTAFStock[RM_Code],$A30,T_TTAFStock[WeekIndex],1),IFERROR(INDEX(T_OpeningStock[Opening_Qty],MATCH($A30,T_OpeningStock[RM_Code],0)),0)+'Grid_Incoming'!B30-'Grid_Requirement'!B30))</f>
        <v/>
      </c>
      <c r="C30">
        <f>IF(COUNTIFS(T_StockCount[RM_Code],$A30,T_StockCount[WeekIndex],2)&gt;0,SUMIFS(T_StockCount[CountedQty],T_StockCount[RM_Code],$A30,T_StockCount[WeekIndex],2),IF((COUNTIFS(T_SelfStock[RM_Code],$A30,T_SelfStock[WeekIndex],2)&gt;0)*(COUNTIFS(T_TTAFStock[RM_Code],$A30,T_TTAFStock[WeekIndex],2)&gt;0)&gt;0,SUMIFS(T_SelfStock[Self_Qty],T_SelfStock[RM_Code],$A30,T_SelfStock[WeekIndex],2)+SUMIFS(T_TTAFStock[TTAF_Qty],T_TTAFStock[RM_Code],$A30,T_TTAFStock[WeekIndex],2),B30+'Grid_Incoming'!C30-'Grid_Requirement'!C30))</f>
        <v/>
      </c>
      <c r="D30">
        <f>IF(COUNTIFS(T_StockCount[RM_Code],$A30,T_StockCount[WeekIndex],3)&gt;0,SUMIFS(T_StockCount[CountedQty],T_StockCount[RM_Code],$A30,T_StockCount[WeekIndex],3),IF((COUNTIFS(T_SelfStock[RM_Code],$A30,T_SelfStock[WeekIndex],3)&gt;0)*(COUNTIFS(T_TTAFStock[RM_Code],$A30,T_TTAFStock[WeekIndex],3)&gt;0)&gt;0,SUMIFS(T_SelfStock[Self_Qty],T_SelfStock[RM_Code],$A30,T_SelfStock[WeekIndex],3)+SUMIFS(T_TTAFStock[TTAF_Qty],T_TTAFStock[RM_Code],$A30,T_TTAFStock[WeekIndex],3),C30+'Grid_Incoming'!D30-'Grid_Requirement'!D30))</f>
        <v/>
      </c>
      <c r="E30">
        <f>IF(COUNTIFS(T_StockCount[RM_Code],$A30,T_StockCount[WeekIndex],4)&gt;0,SUMIFS(T_StockCount[CountedQty],T_StockCount[RM_Code],$A30,T_StockCount[WeekIndex],4),IF((COUNTIFS(T_SelfStock[RM_Code],$A30,T_SelfStock[WeekIndex],4)&gt;0)*(COUNTIFS(T_TTAFStock[RM_Code],$A30,T_TTAFStock[WeekIndex],4)&gt;0)&gt;0,SUMIFS(T_SelfStock[Self_Qty],T_SelfStock[RM_Code],$A30,T_SelfStock[WeekIndex],4)+SUMIFS(T_TTAFStock[TTAF_Qty],T_TTAFStock[RM_Code],$A30,T_TTAFStock[WeekIndex],4),D30+'Grid_Incoming'!E30-'Grid_Requirement'!E30))</f>
        <v/>
      </c>
      <c r="F30">
        <f>IF(COUNTIFS(T_StockCount[RM_Code],$A30,T_StockCount[WeekIndex],5)&gt;0,SUMIFS(T_StockCount[CountedQty],T_StockCount[RM_Code],$A30,T_StockCount[WeekIndex],5),IF((COUNTIFS(T_SelfStock[RM_Code],$A30,T_SelfStock[WeekIndex],5)&gt;0)*(COUNTIFS(T_TTAFStock[RM_Code],$A30,T_TTAFStock[WeekIndex],5)&gt;0)&gt;0,SUMIFS(T_SelfStock[Self_Qty],T_SelfStock[RM_Code],$A30,T_SelfStock[WeekIndex],5)+SUMIFS(T_TTAFStock[TTAF_Qty],T_TTAFStock[RM_Code],$A30,T_TTAFStock[WeekIndex],5),E30+'Grid_Incoming'!F30-'Grid_Requirement'!F30))</f>
        <v/>
      </c>
      <c r="G30">
        <f>IF(COUNTIFS(T_StockCount[RM_Code],$A30,T_StockCount[WeekIndex],6)&gt;0,SUMIFS(T_StockCount[CountedQty],T_StockCount[RM_Code],$A30,T_StockCount[WeekIndex],6),IF((COUNTIFS(T_SelfStock[RM_Code],$A30,T_SelfStock[WeekIndex],6)&gt;0)*(COUNTIFS(T_TTAFStock[RM_Code],$A30,T_TTAFStock[WeekIndex],6)&gt;0)&gt;0,SUMIFS(T_SelfStock[Self_Qty],T_SelfStock[RM_Code],$A30,T_SelfStock[WeekIndex],6)+SUMIFS(T_TTAFStock[TTAF_Qty],T_TTAFStock[RM_Code],$A30,T_TTAFStock[WeekIndex],6),F30+'Grid_Incoming'!G30-'Grid_Requirement'!G30))</f>
        <v/>
      </c>
      <c r="H30">
        <f>IF(COUNTIFS(T_StockCount[RM_Code],$A30,T_StockCount[WeekIndex],7)&gt;0,SUMIFS(T_StockCount[CountedQty],T_StockCount[RM_Code],$A30,T_StockCount[WeekIndex],7),IF((COUNTIFS(T_SelfStock[RM_Code],$A30,T_SelfStock[WeekIndex],7)&gt;0)*(COUNTIFS(T_TTAFStock[RM_Code],$A30,T_TTAFStock[WeekIndex],7)&gt;0)&gt;0,SUMIFS(T_SelfStock[Self_Qty],T_SelfStock[RM_Code],$A30,T_SelfStock[WeekIndex],7)+SUMIFS(T_TTAFStock[TTAF_Qty],T_TTAFStock[RM_Code],$A30,T_TTAFStock[WeekIndex],7),G30+'Grid_Incoming'!H30-'Grid_Requirement'!H30))</f>
        <v/>
      </c>
      <c r="I30">
        <f>IF(COUNTIFS(T_StockCount[RM_Code],$A30,T_StockCount[WeekIndex],8)&gt;0,SUMIFS(T_StockCount[CountedQty],T_StockCount[RM_Code],$A30,T_StockCount[WeekIndex],8),IF((COUNTIFS(T_SelfStock[RM_Code],$A30,T_SelfStock[WeekIndex],8)&gt;0)*(COUNTIFS(T_TTAFStock[RM_Code],$A30,T_TTAFStock[WeekIndex],8)&gt;0)&gt;0,SUMIFS(T_SelfStock[Self_Qty],T_SelfStock[RM_Code],$A30,T_SelfStock[WeekIndex],8)+SUMIFS(T_TTAFStock[TTAF_Qty],T_TTAFStock[RM_Code],$A30,T_TTAFStock[WeekIndex],8),H30+'Grid_Incoming'!I30-'Grid_Requirement'!I30))</f>
        <v/>
      </c>
      <c r="J30">
        <f>IF(COUNTIFS(T_StockCount[RM_Code],$A30,T_StockCount[WeekIndex],9)&gt;0,SUMIFS(T_StockCount[CountedQty],T_StockCount[RM_Code],$A30,T_StockCount[WeekIndex],9),IF((COUNTIFS(T_SelfStock[RM_Code],$A30,T_SelfStock[WeekIndex],9)&gt;0)*(COUNTIFS(T_TTAFStock[RM_Code],$A30,T_TTAFStock[WeekIndex],9)&gt;0)&gt;0,SUMIFS(T_SelfStock[Self_Qty],T_SelfStock[RM_Code],$A30,T_SelfStock[WeekIndex],9)+SUMIFS(T_TTAFStock[TTAF_Qty],T_TTAFStock[RM_Code],$A30,T_TTAFStock[WeekIndex],9),I30+'Grid_Incoming'!J30-'Grid_Requirement'!J30))</f>
        <v/>
      </c>
      <c r="K30">
        <f>IF(COUNTIFS(T_StockCount[RM_Code],$A30,T_StockCount[WeekIndex],10)&gt;0,SUMIFS(T_StockCount[CountedQty],T_StockCount[RM_Code],$A30,T_StockCount[WeekIndex],10),IF((COUNTIFS(T_SelfStock[RM_Code],$A30,T_SelfStock[WeekIndex],10)&gt;0)*(COUNTIFS(T_TTAFStock[RM_Code],$A30,T_TTAFStock[WeekIndex],10)&gt;0)&gt;0,SUMIFS(T_SelfStock[Self_Qty],T_SelfStock[RM_Code],$A30,T_SelfStock[WeekIndex],10)+SUMIFS(T_TTAFStock[TTAF_Qty],T_TTAFStock[RM_Code],$A30,T_TTAFStock[WeekIndex],10),J30+'Grid_Incoming'!K30-'Grid_Requirement'!K30))</f>
        <v/>
      </c>
      <c r="L30">
        <f>IF(COUNTIFS(T_StockCount[RM_Code],$A30,T_StockCount[WeekIndex],11)&gt;0,SUMIFS(T_StockCount[CountedQty],T_StockCount[RM_Code],$A30,T_StockCount[WeekIndex],11),IF((COUNTIFS(T_SelfStock[RM_Code],$A30,T_SelfStock[WeekIndex],11)&gt;0)*(COUNTIFS(T_TTAFStock[RM_Code],$A30,T_TTAFStock[WeekIndex],11)&gt;0)&gt;0,SUMIFS(T_SelfStock[Self_Qty],T_SelfStock[RM_Code],$A30,T_SelfStock[WeekIndex],11)+SUMIFS(T_TTAFStock[TTAF_Qty],T_TTAFStock[RM_Code],$A30,T_TTAFStock[WeekIndex],11),K30+'Grid_Incoming'!L30-'Grid_Requirement'!L30))</f>
        <v/>
      </c>
      <c r="M30">
        <f>IF(COUNTIFS(T_StockCount[RM_Code],$A30,T_StockCount[WeekIndex],12)&gt;0,SUMIFS(T_StockCount[CountedQty],T_StockCount[RM_Code],$A30,T_StockCount[WeekIndex],12),IF((COUNTIFS(T_SelfStock[RM_Code],$A30,T_SelfStock[WeekIndex],12)&gt;0)*(COUNTIFS(T_TTAFStock[RM_Code],$A30,T_TTAFStock[WeekIndex],12)&gt;0)&gt;0,SUMIFS(T_SelfStock[Self_Qty],T_SelfStock[RM_Code],$A30,T_SelfStock[WeekIndex],12)+SUMIFS(T_TTAFStock[TTAF_Qty],T_TTAFStock[RM_Code],$A30,T_TTAFStock[WeekIndex],12),L30+'Grid_Incoming'!M30-'Grid_Requirement'!M30))</f>
        <v/>
      </c>
      <c r="N30">
        <f>IF(COUNTIFS(T_StockCount[RM_Code],$A30,T_StockCount[WeekIndex],13)&gt;0,SUMIFS(T_StockCount[CountedQty],T_StockCount[RM_Code],$A30,T_StockCount[WeekIndex],13),IF((COUNTIFS(T_SelfStock[RM_Code],$A30,T_SelfStock[WeekIndex],13)&gt;0)*(COUNTIFS(T_TTAFStock[RM_Code],$A30,T_TTAFStock[WeekIndex],13)&gt;0)&gt;0,SUMIFS(T_SelfStock[Self_Qty],T_SelfStock[RM_Code],$A30,T_SelfStock[WeekIndex],13)+SUMIFS(T_TTAFStock[TTAF_Qty],T_TTAFStock[RM_Code],$A30,T_TTAFStock[WeekIndex],13),M30+'Grid_Incoming'!N30-'Grid_Requirement'!N30))</f>
        <v/>
      </c>
      <c r="O30">
        <f>IF(COUNTIFS(T_StockCount[RM_Code],$A30,T_StockCount[WeekIndex],14)&gt;0,SUMIFS(T_StockCount[CountedQty],T_StockCount[RM_Code],$A30,T_StockCount[WeekIndex],14),IF((COUNTIFS(T_SelfStock[RM_Code],$A30,T_SelfStock[WeekIndex],14)&gt;0)*(COUNTIFS(T_TTAFStock[RM_Code],$A30,T_TTAFStock[WeekIndex],14)&gt;0)&gt;0,SUMIFS(T_SelfStock[Self_Qty],T_SelfStock[RM_Code],$A30,T_SelfStock[WeekIndex],14)+SUMIFS(T_TTAFStock[TTAF_Qty],T_TTAFStock[RM_Code],$A30,T_TTAFStock[WeekIndex],14),N30+'Grid_Incoming'!O30-'Grid_Requirement'!O30))</f>
        <v/>
      </c>
      <c r="P30">
        <f>IF(COUNTIFS(T_StockCount[RM_Code],$A30,T_StockCount[WeekIndex],15)&gt;0,SUMIFS(T_StockCount[CountedQty],T_StockCount[RM_Code],$A30,T_StockCount[WeekIndex],15),IF((COUNTIFS(T_SelfStock[RM_Code],$A30,T_SelfStock[WeekIndex],15)&gt;0)*(COUNTIFS(T_TTAFStock[RM_Code],$A30,T_TTAFStock[WeekIndex],15)&gt;0)&gt;0,SUMIFS(T_SelfStock[Self_Qty],T_SelfStock[RM_Code],$A30,T_SelfStock[WeekIndex],15)+SUMIFS(T_TTAFStock[TTAF_Qty],T_TTAFStock[RM_Code],$A30,T_TTAFStock[WeekIndex],15),O30+'Grid_Incoming'!P30-'Grid_Requirement'!P30))</f>
        <v/>
      </c>
      <c r="Q30">
        <f>IF(COUNTIFS(T_StockCount[RM_Code],$A30,T_StockCount[WeekIndex],16)&gt;0,SUMIFS(T_StockCount[CountedQty],T_StockCount[RM_Code],$A30,T_StockCount[WeekIndex],16),IF((COUNTIFS(T_SelfStock[RM_Code],$A30,T_SelfStock[WeekIndex],16)&gt;0)*(COUNTIFS(T_TTAFStock[RM_Code],$A30,T_TTAFStock[WeekIndex],16)&gt;0)&gt;0,SUMIFS(T_SelfStock[Self_Qty],T_SelfStock[RM_Code],$A30,T_SelfStock[WeekIndex],16)+SUMIFS(T_TTAFStock[TTAF_Qty],T_TTAFStock[RM_Code],$A30,T_TTAFStock[WeekIndex],16),P30+'Grid_Incoming'!Q30-'Grid_Requirement'!Q30))</f>
        <v/>
      </c>
      <c r="R30">
        <f>IF(COUNTIFS(T_StockCount[RM_Code],$A30,T_StockCount[WeekIndex],17)&gt;0,SUMIFS(T_StockCount[CountedQty],T_StockCount[RM_Code],$A30,T_StockCount[WeekIndex],17),IF((COUNTIFS(T_SelfStock[RM_Code],$A30,T_SelfStock[WeekIndex],17)&gt;0)*(COUNTIFS(T_TTAFStock[RM_Code],$A30,T_TTAFStock[WeekIndex],17)&gt;0)&gt;0,SUMIFS(T_SelfStock[Self_Qty],T_SelfStock[RM_Code],$A30,T_SelfStock[WeekIndex],17)+SUMIFS(T_TTAFStock[TTAF_Qty],T_TTAFStock[RM_Code],$A30,T_TTAFStock[WeekIndex],17),Q30+'Grid_Incoming'!R30-'Grid_Requirement'!R30))</f>
        <v/>
      </c>
      <c r="S30">
        <f>IF(COUNTIFS(T_StockCount[RM_Code],$A30,T_StockCount[WeekIndex],18)&gt;0,SUMIFS(T_StockCount[CountedQty],T_StockCount[RM_Code],$A30,T_StockCount[WeekIndex],18),IF((COUNTIFS(T_SelfStock[RM_Code],$A30,T_SelfStock[WeekIndex],18)&gt;0)*(COUNTIFS(T_TTAFStock[RM_Code],$A30,T_TTAFStock[WeekIndex],18)&gt;0)&gt;0,SUMIFS(T_SelfStock[Self_Qty],T_SelfStock[RM_Code],$A30,T_SelfStock[WeekIndex],18)+SUMIFS(T_TTAFStock[TTAF_Qty],T_TTAFStock[RM_Code],$A30,T_TTAFStock[WeekIndex],18),R30+'Grid_Incoming'!S30-'Grid_Requirement'!S30))</f>
        <v/>
      </c>
      <c r="T30">
        <f>IF(COUNTIFS(T_StockCount[RM_Code],$A30,T_StockCount[WeekIndex],19)&gt;0,SUMIFS(T_StockCount[CountedQty],T_StockCount[RM_Code],$A30,T_StockCount[WeekIndex],19),IF((COUNTIFS(T_SelfStock[RM_Code],$A30,T_SelfStock[WeekIndex],19)&gt;0)*(COUNTIFS(T_TTAFStock[RM_Code],$A30,T_TTAFStock[WeekIndex],19)&gt;0)&gt;0,SUMIFS(T_SelfStock[Self_Qty],T_SelfStock[RM_Code],$A30,T_SelfStock[WeekIndex],19)+SUMIFS(T_TTAFStock[TTAF_Qty],T_TTAFStock[RM_Code],$A30,T_TTAFStock[WeekIndex],19),S30+'Grid_Incoming'!T30-'Grid_Requirement'!T30))</f>
        <v/>
      </c>
      <c r="U30">
        <f>IF(COUNTIFS(T_StockCount[RM_Code],$A30,T_StockCount[WeekIndex],20)&gt;0,SUMIFS(T_StockCount[CountedQty],T_StockCount[RM_Code],$A30,T_StockCount[WeekIndex],20),IF((COUNTIFS(T_SelfStock[RM_Code],$A30,T_SelfStock[WeekIndex],20)&gt;0)*(COUNTIFS(T_TTAFStock[RM_Code],$A30,T_TTAFStock[WeekIndex],20)&gt;0)&gt;0,SUMIFS(T_SelfStock[Self_Qty],T_SelfStock[RM_Code],$A30,T_SelfStock[WeekIndex],20)+SUMIFS(T_TTAFStock[TTAF_Qty],T_TTAFStock[RM_Code],$A30,T_TTAFStock[WeekIndex],20),T30+'Grid_Incoming'!U30-'Grid_Requirement'!U30))</f>
        <v/>
      </c>
      <c r="V30">
        <f>IF(COUNTIFS(T_StockCount[RM_Code],$A30,T_StockCount[WeekIndex],21)&gt;0,SUMIFS(T_StockCount[CountedQty],T_StockCount[RM_Code],$A30,T_StockCount[WeekIndex],21),IF((COUNTIFS(T_SelfStock[RM_Code],$A30,T_SelfStock[WeekIndex],21)&gt;0)*(COUNTIFS(T_TTAFStock[RM_Code],$A30,T_TTAFStock[WeekIndex],21)&gt;0)&gt;0,SUMIFS(T_SelfStock[Self_Qty],T_SelfStock[RM_Code],$A30,T_SelfStock[WeekIndex],21)+SUMIFS(T_TTAFStock[TTAF_Qty],T_TTAFStock[RM_Code],$A30,T_TTAFStock[WeekIndex],21),U30+'Grid_Incoming'!V30-'Grid_Requirement'!V30))</f>
        <v/>
      </c>
      <c r="W30">
        <f>IF(COUNTIFS(T_StockCount[RM_Code],$A30,T_StockCount[WeekIndex],22)&gt;0,SUMIFS(T_StockCount[CountedQty],T_StockCount[RM_Code],$A30,T_StockCount[WeekIndex],22),IF((COUNTIFS(T_SelfStock[RM_Code],$A30,T_SelfStock[WeekIndex],22)&gt;0)*(COUNTIFS(T_TTAFStock[RM_Code],$A30,T_TTAFStock[WeekIndex],22)&gt;0)&gt;0,SUMIFS(T_SelfStock[Self_Qty],T_SelfStock[RM_Code],$A30,T_SelfStock[WeekIndex],22)+SUMIFS(T_TTAFStock[TTAF_Qty],T_TTAFStock[RM_Code],$A30,T_TTAFStock[WeekIndex],22),V30+'Grid_Incoming'!W30-'Grid_Requirement'!W30))</f>
        <v/>
      </c>
      <c r="X30">
        <f>IF(COUNTIFS(T_StockCount[RM_Code],$A30,T_StockCount[WeekIndex],23)&gt;0,SUMIFS(T_StockCount[CountedQty],T_StockCount[RM_Code],$A30,T_StockCount[WeekIndex],23),IF((COUNTIFS(T_SelfStock[RM_Code],$A30,T_SelfStock[WeekIndex],23)&gt;0)*(COUNTIFS(T_TTAFStock[RM_Code],$A30,T_TTAFStock[WeekIndex],23)&gt;0)&gt;0,SUMIFS(T_SelfStock[Self_Qty],T_SelfStock[RM_Code],$A30,T_SelfStock[WeekIndex],23)+SUMIFS(T_TTAFStock[TTAF_Qty],T_TTAFStock[RM_Code],$A30,T_TTAFStock[WeekIndex],23),W30+'Grid_Incoming'!X30-'Grid_Requirement'!X30))</f>
        <v/>
      </c>
      <c r="Y30">
        <f>IF(COUNTIFS(T_StockCount[RM_Code],$A30,T_StockCount[WeekIndex],24)&gt;0,SUMIFS(T_StockCount[CountedQty],T_StockCount[RM_Code],$A30,T_StockCount[WeekIndex],24),IF((COUNTIFS(T_SelfStock[RM_Code],$A30,T_SelfStock[WeekIndex],24)&gt;0)*(COUNTIFS(T_TTAFStock[RM_Code],$A30,T_TTAFStock[WeekIndex],24)&gt;0)&gt;0,SUMIFS(T_SelfStock[Self_Qty],T_SelfStock[RM_Code],$A30,T_SelfStock[WeekIndex],24)+SUMIFS(T_TTAFStock[TTAF_Qty],T_TTAFStock[RM_Code],$A30,T_TTAFStock[WeekIndex],24),X30+'Grid_Incoming'!Y30-'Grid_Requirement'!Y30))</f>
        <v/>
      </c>
      <c r="Z30">
        <f>IF(COUNTIFS(T_StockCount[RM_Code],$A30,T_StockCount[WeekIndex],25)&gt;0,SUMIFS(T_StockCount[CountedQty],T_StockCount[RM_Code],$A30,T_StockCount[WeekIndex],25),IF((COUNTIFS(T_SelfStock[RM_Code],$A30,T_SelfStock[WeekIndex],25)&gt;0)*(COUNTIFS(T_TTAFStock[RM_Code],$A30,T_TTAFStock[WeekIndex],25)&gt;0)&gt;0,SUMIFS(T_SelfStock[Self_Qty],T_SelfStock[RM_Code],$A30,T_SelfStock[WeekIndex],25)+SUMIFS(T_TTAFStock[TTAF_Qty],T_TTAFStock[RM_Code],$A30,T_TTAFStock[WeekIndex],25),Y30+'Grid_Incoming'!Z30-'Grid_Requirement'!Z30))</f>
        <v/>
      </c>
      <c r="AA30">
        <f>IF(COUNTIFS(T_StockCount[RM_Code],$A30,T_StockCount[WeekIndex],26)&gt;0,SUMIFS(T_StockCount[CountedQty],T_StockCount[RM_Code],$A30,T_StockCount[WeekIndex],26),IF((COUNTIFS(T_SelfStock[RM_Code],$A30,T_SelfStock[WeekIndex],26)&gt;0)*(COUNTIFS(T_TTAFStock[RM_Code],$A30,T_TTAFStock[WeekIndex],26)&gt;0)&gt;0,SUMIFS(T_SelfStock[Self_Qty],T_SelfStock[RM_Code],$A30,T_SelfStock[WeekIndex],26)+SUMIFS(T_TTAFStock[TTAF_Qty],T_TTAFStock[RM_Code],$A30,T_TTAFStock[WeekIndex],26),Z30+'Grid_Incoming'!AA30-'Grid_Requirement'!AA30))</f>
        <v/>
      </c>
      <c r="AB30">
        <f>IF(COUNTIFS(T_StockCount[RM_Code],$A30,T_StockCount[WeekIndex],27)&gt;0,SUMIFS(T_StockCount[CountedQty],T_StockCount[RM_Code],$A30,T_StockCount[WeekIndex],27),IF((COUNTIFS(T_SelfStock[RM_Code],$A30,T_SelfStock[WeekIndex],27)&gt;0)*(COUNTIFS(T_TTAFStock[RM_Code],$A30,T_TTAFStock[WeekIndex],27)&gt;0)&gt;0,SUMIFS(T_SelfStock[Self_Qty],T_SelfStock[RM_Code],$A30,T_SelfStock[WeekIndex],27)+SUMIFS(T_TTAFStock[TTAF_Qty],T_TTAFStock[RM_Code],$A30,T_TTAFStock[WeekIndex],27),AA30+'Grid_Incoming'!AB30-'Grid_Requirement'!AB30))</f>
        <v/>
      </c>
      <c r="AC30">
        <f>IF(COUNTIFS(T_StockCount[RM_Code],$A30,T_StockCount[WeekIndex],28)&gt;0,SUMIFS(T_StockCount[CountedQty],T_StockCount[RM_Code],$A30,T_StockCount[WeekIndex],28),IF((COUNTIFS(T_SelfStock[RM_Code],$A30,T_SelfStock[WeekIndex],28)&gt;0)*(COUNTIFS(T_TTAFStock[RM_Code],$A30,T_TTAFStock[WeekIndex],28)&gt;0)&gt;0,SUMIFS(T_SelfStock[Self_Qty],T_SelfStock[RM_Code],$A30,T_SelfStock[WeekIndex],28)+SUMIFS(T_TTAFStock[TTAF_Qty],T_TTAFStock[RM_Code],$A30,T_TTAFStock[WeekIndex],28),AB30+'Grid_Incoming'!AC30-'Grid_Requirement'!AC30))</f>
        <v/>
      </c>
      <c r="AD30">
        <f>IF(COUNTIFS(T_StockCount[RM_Code],$A30,T_StockCount[WeekIndex],29)&gt;0,SUMIFS(T_StockCount[CountedQty],T_StockCount[RM_Code],$A30,T_StockCount[WeekIndex],29),IF((COUNTIFS(T_SelfStock[RM_Code],$A30,T_SelfStock[WeekIndex],29)&gt;0)*(COUNTIFS(T_TTAFStock[RM_Code],$A30,T_TTAFStock[WeekIndex],29)&gt;0)&gt;0,SUMIFS(T_SelfStock[Self_Qty],T_SelfStock[RM_Code],$A30,T_SelfStock[WeekIndex],29)+SUMIFS(T_TTAFStock[TTAF_Qty],T_TTAFStock[RM_Code],$A30,T_TTAFStock[WeekIndex],29),AC30+'Grid_Incoming'!AD30-'Grid_Requirement'!AD30))</f>
        <v/>
      </c>
      <c r="AE30">
        <f>IF(COUNTIFS(T_StockCount[RM_Code],$A30,T_StockCount[WeekIndex],30)&gt;0,SUMIFS(T_StockCount[CountedQty],T_StockCount[RM_Code],$A30,T_StockCount[WeekIndex],30),IF((COUNTIFS(T_SelfStock[RM_Code],$A30,T_SelfStock[WeekIndex],30)&gt;0)*(COUNTIFS(T_TTAFStock[RM_Code],$A30,T_TTAFStock[WeekIndex],30)&gt;0)&gt;0,SUMIFS(T_SelfStock[Self_Qty],T_SelfStock[RM_Code],$A30,T_SelfStock[WeekIndex],30)+SUMIFS(T_TTAFStock[TTAF_Qty],T_TTAFStock[RM_Code],$A30,T_TTAFStock[WeekIndex],30),AD30+'Grid_Incoming'!AE30-'Grid_Requirement'!AE30))</f>
        <v/>
      </c>
      <c r="AF30">
        <f>IF(COUNTIFS(T_StockCount[RM_Code],$A30,T_StockCount[WeekIndex],31)&gt;0,SUMIFS(T_StockCount[CountedQty],T_StockCount[RM_Code],$A30,T_StockCount[WeekIndex],31),IF((COUNTIFS(T_SelfStock[RM_Code],$A30,T_SelfStock[WeekIndex],31)&gt;0)*(COUNTIFS(T_TTAFStock[RM_Code],$A30,T_TTAFStock[WeekIndex],31)&gt;0)&gt;0,SUMIFS(T_SelfStock[Self_Qty],T_SelfStock[RM_Code],$A30,T_SelfStock[WeekIndex],31)+SUMIFS(T_TTAFStock[TTAF_Qty],T_TTAFStock[RM_Code],$A30,T_TTAFStock[WeekIndex],31),AE30+'Grid_Incoming'!AF30-'Grid_Requirement'!AF30))</f>
        <v/>
      </c>
      <c r="AG30">
        <f>IF(COUNTIFS(T_StockCount[RM_Code],$A30,T_StockCount[WeekIndex],32)&gt;0,SUMIFS(T_StockCount[CountedQty],T_StockCount[RM_Code],$A30,T_StockCount[WeekIndex],32),IF((COUNTIFS(T_SelfStock[RM_Code],$A30,T_SelfStock[WeekIndex],32)&gt;0)*(COUNTIFS(T_TTAFStock[RM_Code],$A30,T_TTAFStock[WeekIndex],32)&gt;0)&gt;0,SUMIFS(T_SelfStock[Self_Qty],T_SelfStock[RM_Code],$A30,T_SelfStock[WeekIndex],32)+SUMIFS(T_TTAFStock[TTAF_Qty],T_TTAFStock[RM_Code],$A30,T_TTAFStock[WeekIndex],32),AF30+'Grid_Incoming'!AG30-'Grid_Requirement'!AG30))</f>
        <v/>
      </c>
      <c r="AH30">
        <f>IF(COUNTIFS(T_StockCount[RM_Code],$A30,T_StockCount[WeekIndex],33)&gt;0,SUMIFS(T_StockCount[CountedQty],T_StockCount[RM_Code],$A30,T_StockCount[WeekIndex],33),IF((COUNTIFS(T_SelfStock[RM_Code],$A30,T_SelfStock[WeekIndex],33)&gt;0)*(COUNTIFS(T_TTAFStock[RM_Code],$A30,T_TTAFStock[WeekIndex],33)&gt;0)&gt;0,SUMIFS(T_SelfStock[Self_Qty],T_SelfStock[RM_Code],$A30,T_SelfStock[WeekIndex],33)+SUMIFS(T_TTAFStock[TTAF_Qty],T_TTAFStock[RM_Code],$A30,T_TTAFStock[WeekIndex],33),AG30+'Grid_Incoming'!AH30-'Grid_Requirement'!AH30))</f>
        <v/>
      </c>
      <c r="AI30">
        <f>IF(COUNTIFS(T_StockCount[RM_Code],$A30,T_StockCount[WeekIndex],34)&gt;0,SUMIFS(T_StockCount[CountedQty],T_StockCount[RM_Code],$A30,T_StockCount[WeekIndex],34),IF((COUNTIFS(T_SelfStock[RM_Code],$A30,T_SelfStock[WeekIndex],34)&gt;0)*(COUNTIFS(T_TTAFStock[RM_Code],$A30,T_TTAFStock[WeekIndex],34)&gt;0)&gt;0,SUMIFS(T_SelfStock[Self_Qty],T_SelfStock[RM_Code],$A30,T_SelfStock[WeekIndex],34)+SUMIFS(T_TTAFStock[TTAF_Qty],T_TTAFStock[RM_Code],$A30,T_TTAFStock[WeekIndex],34),AH30+'Grid_Incoming'!AI30-'Grid_Requirement'!AI30))</f>
        <v/>
      </c>
      <c r="AJ30">
        <f>IF(COUNTIFS(T_StockCount[RM_Code],$A30,T_StockCount[WeekIndex],35)&gt;0,SUMIFS(T_StockCount[CountedQty],T_StockCount[RM_Code],$A30,T_StockCount[WeekIndex],35),IF((COUNTIFS(T_SelfStock[RM_Code],$A30,T_SelfStock[WeekIndex],35)&gt;0)*(COUNTIFS(T_TTAFStock[RM_Code],$A30,T_TTAFStock[WeekIndex],35)&gt;0)&gt;0,SUMIFS(T_SelfStock[Self_Qty],T_SelfStock[RM_Code],$A30,T_SelfStock[WeekIndex],35)+SUMIFS(T_TTAFStock[TTAF_Qty],T_TTAFStock[RM_Code],$A30,T_TTAFStock[WeekIndex],35),AI30+'Grid_Incoming'!AJ30-'Grid_Requirement'!AJ30))</f>
        <v/>
      </c>
      <c r="AK30">
        <f>IF(COUNTIFS(T_StockCount[RM_Code],$A30,T_StockCount[WeekIndex],36)&gt;0,SUMIFS(T_StockCount[CountedQty],T_StockCount[RM_Code],$A30,T_StockCount[WeekIndex],36),IF((COUNTIFS(T_SelfStock[RM_Code],$A30,T_SelfStock[WeekIndex],36)&gt;0)*(COUNTIFS(T_TTAFStock[RM_Code],$A30,T_TTAFStock[WeekIndex],36)&gt;0)&gt;0,SUMIFS(T_SelfStock[Self_Qty],T_SelfStock[RM_Code],$A30,T_SelfStock[WeekIndex],36)+SUMIFS(T_TTAFStock[TTAF_Qty],T_TTAFStock[RM_Code],$A30,T_TTAFStock[WeekIndex],36),AJ30+'Grid_Incoming'!AK30-'Grid_Requirement'!AK30))</f>
        <v/>
      </c>
      <c r="AL30">
        <f>IF(COUNTIFS(T_StockCount[RM_Code],$A30,T_StockCount[WeekIndex],37)&gt;0,SUMIFS(T_StockCount[CountedQty],T_StockCount[RM_Code],$A30,T_StockCount[WeekIndex],37),IF((COUNTIFS(T_SelfStock[RM_Code],$A30,T_SelfStock[WeekIndex],37)&gt;0)*(COUNTIFS(T_TTAFStock[RM_Code],$A30,T_TTAFStock[WeekIndex],37)&gt;0)&gt;0,SUMIFS(T_SelfStock[Self_Qty],T_SelfStock[RM_Code],$A30,T_SelfStock[WeekIndex],37)+SUMIFS(T_TTAFStock[TTAF_Qty],T_TTAFStock[RM_Code],$A30,T_TTAFStock[WeekIndex],37),AK30+'Grid_Incoming'!AL30-'Grid_Requirement'!AL30))</f>
        <v/>
      </c>
      <c r="AM30">
        <f>IF(COUNTIFS(T_StockCount[RM_Code],$A30,T_StockCount[WeekIndex],38)&gt;0,SUMIFS(T_StockCount[CountedQty],T_StockCount[RM_Code],$A30,T_StockCount[WeekIndex],38),IF((COUNTIFS(T_SelfStock[RM_Code],$A30,T_SelfStock[WeekIndex],38)&gt;0)*(COUNTIFS(T_TTAFStock[RM_Code],$A30,T_TTAFStock[WeekIndex],38)&gt;0)&gt;0,SUMIFS(T_SelfStock[Self_Qty],T_SelfStock[RM_Code],$A30,T_SelfStock[WeekIndex],38)+SUMIFS(T_TTAFStock[TTAF_Qty],T_TTAFStock[RM_Code],$A30,T_TTAFStock[WeekIndex],38),AL30+'Grid_Incoming'!AM30-'Grid_Requirement'!AM30))</f>
        <v/>
      </c>
      <c r="AN30">
        <f>IF(COUNTIFS(T_StockCount[RM_Code],$A30,T_StockCount[WeekIndex],39)&gt;0,SUMIFS(T_StockCount[CountedQty],T_StockCount[RM_Code],$A30,T_StockCount[WeekIndex],39),IF((COUNTIFS(T_SelfStock[RM_Code],$A30,T_SelfStock[WeekIndex],39)&gt;0)*(COUNTIFS(T_TTAFStock[RM_Code],$A30,T_TTAFStock[WeekIndex],39)&gt;0)&gt;0,SUMIFS(T_SelfStock[Self_Qty],T_SelfStock[RM_Code],$A30,T_SelfStock[WeekIndex],39)+SUMIFS(T_TTAFStock[TTAF_Qty],T_TTAFStock[RM_Code],$A30,T_TTAFStock[WeekIndex],39),AM30+'Grid_Incoming'!AN30-'Grid_Requirement'!AN30))</f>
        <v/>
      </c>
      <c r="AO30">
        <f>IF(COUNTIFS(T_StockCount[RM_Code],$A30,T_StockCount[WeekIndex],40)&gt;0,SUMIFS(T_StockCount[CountedQty],T_StockCount[RM_Code],$A30,T_StockCount[WeekIndex],40),IF((COUNTIFS(T_SelfStock[RM_Code],$A30,T_SelfStock[WeekIndex],40)&gt;0)*(COUNTIFS(T_TTAFStock[RM_Code],$A30,T_TTAFStock[WeekIndex],40)&gt;0)&gt;0,SUMIFS(T_SelfStock[Self_Qty],T_SelfStock[RM_Code],$A30,T_SelfStock[WeekIndex],40)+SUMIFS(T_TTAFStock[TTAF_Qty],T_TTAFStock[RM_Code],$A30,T_TTAFStock[WeekIndex],40),AN30+'Grid_Incoming'!AO30-'Grid_Requirement'!AO30))</f>
        <v/>
      </c>
      <c r="AP30">
        <f>IF(COUNTIFS(T_StockCount[RM_Code],$A30,T_StockCount[WeekIndex],41)&gt;0,SUMIFS(T_StockCount[CountedQty],T_StockCount[RM_Code],$A30,T_StockCount[WeekIndex],41),IF((COUNTIFS(T_SelfStock[RM_Code],$A30,T_SelfStock[WeekIndex],41)&gt;0)*(COUNTIFS(T_TTAFStock[RM_Code],$A30,T_TTAFStock[WeekIndex],41)&gt;0)&gt;0,SUMIFS(T_SelfStock[Self_Qty],T_SelfStock[RM_Code],$A30,T_SelfStock[WeekIndex],41)+SUMIFS(T_TTAFStock[TTAF_Qty],T_TTAFStock[RM_Code],$A30,T_TTAFStock[WeekIndex],41),AO30+'Grid_Incoming'!AP30-'Grid_Requirement'!AP30))</f>
        <v/>
      </c>
      <c r="AQ30">
        <f>IF(COUNTIFS(T_StockCount[RM_Code],$A30,T_StockCount[WeekIndex],42)&gt;0,SUMIFS(T_StockCount[CountedQty],T_StockCount[RM_Code],$A30,T_StockCount[WeekIndex],42),IF((COUNTIFS(T_SelfStock[RM_Code],$A30,T_SelfStock[WeekIndex],42)&gt;0)*(COUNTIFS(T_TTAFStock[RM_Code],$A30,T_TTAFStock[WeekIndex],42)&gt;0)&gt;0,SUMIFS(T_SelfStock[Self_Qty],T_SelfStock[RM_Code],$A30,T_SelfStock[WeekIndex],42)+SUMIFS(T_TTAFStock[TTAF_Qty],T_TTAFStock[RM_Code],$A30,T_TTAFStock[WeekIndex],42),AP30+'Grid_Incoming'!AQ30-'Grid_Requirement'!AQ30))</f>
        <v/>
      </c>
      <c r="AR30">
        <f>IF(COUNTIFS(T_StockCount[RM_Code],$A30,T_StockCount[WeekIndex],43)&gt;0,SUMIFS(T_StockCount[CountedQty],T_StockCount[RM_Code],$A30,T_StockCount[WeekIndex],43),IF((COUNTIFS(T_SelfStock[RM_Code],$A30,T_SelfStock[WeekIndex],43)&gt;0)*(COUNTIFS(T_TTAFStock[RM_Code],$A30,T_TTAFStock[WeekIndex],43)&gt;0)&gt;0,SUMIFS(T_SelfStock[Self_Qty],T_SelfStock[RM_Code],$A30,T_SelfStock[WeekIndex],43)+SUMIFS(T_TTAFStock[TTAF_Qty],T_TTAFStock[RM_Code],$A30,T_TTAFStock[WeekIndex],43),AQ30+'Grid_Incoming'!AR30-'Grid_Requirement'!AR30))</f>
        <v/>
      </c>
      <c r="AS30">
        <f>IF(COUNTIFS(T_StockCount[RM_Code],$A30,T_StockCount[WeekIndex],44)&gt;0,SUMIFS(T_StockCount[CountedQty],T_StockCount[RM_Code],$A30,T_StockCount[WeekIndex],44),IF((COUNTIFS(T_SelfStock[RM_Code],$A30,T_SelfStock[WeekIndex],44)&gt;0)*(COUNTIFS(T_TTAFStock[RM_Code],$A30,T_TTAFStock[WeekIndex],44)&gt;0)&gt;0,SUMIFS(T_SelfStock[Self_Qty],T_SelfStock[RM_Code],$A30,T_SelfStock[WeekIndex],44)+SUMIFS(T_TTAFStock[TTAF_Qty],T_TTAFStock[RM_Code],$A30,T_TTAFStock[WeekIndex],44),AR30+'Grid_Incoming'!AS30-'Grid_Requirement'!AS30))</f>
        <v/>
      </c>
      <c r="AT30">
        <f>IF(COUNTIFS(T_StockCount[RM_Code],$A30,T_StockCount[WeekIndex],45)&gt;0,SUMIFS(T_StockCount[CountedQty],T_StockCount[RM_Code],$A30,T_StockCount[WeekIndex],45),IF((COUNTIFS(T_SelfStock[RM_Code],$A30,T_SelfStock[WeekIndex],45)&gt;0)*(COUNTIFS(T_TTAFStock[RM_Code],$A30,T_TTAFStock[WeekIndex],45)&gt;0)&gt;0,SUMIFS(T_SelfStock[Self_Qty],T_SelfStock[RM_Code],$A30,T_SelfStock[WeekIndex],45)+SUMIFS(T_TTAFStock[TTAF_Qty],T_TTAFStock[RM_Code],$A30,T_TTAFStock[WeekIndex],45),AS30+'Grid_Incoming'!AT30-'Grid_Requirement'!AT30))</f>
        <v/>
      </c>
      <c r="AU30">
        <f>IF(COUNTIFS(T_StockCount[RM_Code],$A30,T_StockCount[WeekIndex],46)&gt;0,SUMIFS(T_StockCount[CountedQty],T_StockCount[RM_Code],$A30,T_StockCount[WeekIndex],46),IF((COUNTIFS(T_SelfStock[RM_Code],$A30,T_SelfStock[WeekIndex],46)&gt;0)*(COUNTIFS(T_TTAFStock[RM_Code],$A30,T_TTAFStock[WeekIndex],46)&gt;0)&gt;0,SUMIFS(T_SelfStock[Self_Qty],T_SelfStock[RM_Code],$A30,T_SelfStock[WeekIndex],46)+SUMIFS(T_TTAFStock[TTAF_Qty],T_TTAFStock[RM_Code],$A30,T_TTAFStock[WeekIndex],46),AT30+'Grid_Incoming'!AU30-'Grid_Requirement'!AU30))</f>
        <v/>
      </c>
      <c r="AV30">
        <f>IF(COUNTIFS(T_StockCount[RM_Code],$A30,T_StockCount[WeekIndex],47)&gt;0,SUMIFS(T_StockCount[CountedQty],T_StockCount[RM_Code],$A30,T_StockCount[WeekIndex],47),IF((COUNTIFS(T_SelfStock[RM_Code],$A30,T_SelfStock[WeekIndex],47)&gt;0)*(COUNTIFS(T_TTAFStock[RM_Code],$A30,T_TTAFStock[WeekIndex],47)&gt;0)&gt;0,SUMIFS(T_SelfStock[Self_Qty],T_SelfStock[RM_Code],$A30,T_SelfStock[WeekIndex],47)+SUMIFS(T_TTAFStock[TTAF_Qty],T_TTAFStock[RM_Code],$A30,T_TTAFStock[WeekIndex],47),AU30+'Grid_Incoming'!AV30-'Grid_Requirement'!AV30))</f>
        <v/>
      </c>
      <c r="AW30">
        <f>IF(COUNTIFS(T_StockCount[RM_Code],$A30,T_StockCount[WeekIndex],48)&gt;0,SUMIFS(T_StockCount[CountedQty],T_StockCount[RM_Code],$A30,T_StockCount[WeekIndex],48),IF((COUNTIFS(T_SelfStock[RM_Code],$A30,T_SelfStock[WeekIndex],48)&gt;0)*(COUNTIFS(T_TTAFStock[RM_Code],$A30,T_TTAFStock[WeekIndex],48)&gt;0)&gt;0,SUMIFS(T_SelfStock[Self_Qty],T_SelfStock[RM_Code],$A30,T_SelfStock[WeekIndex],48)+SUMIFS(T_TTAFStock[TTAF_Qty],T_TTAFStock[RM_Code],$A30,T_TTAFStock[WeekIndex],48),AV30+'Grid_Incoming'!AW30-'Grid_Requirement'!AW30))</f>
        <v/>
      </c>
      <c r="AX30">
        <f>IF(COUNTIFS(T_StockCount[RM_Code],$A30,T_StockCount[WeekIndex],49)&gt;0,SUMIFS(T_StockCount[CountedQty],T_StockCount[RM_Code],$A30,T_StockCount[WeekIndex],49),IF((COUNTIFS(T_SelfStock[RM_Code],$A30,T_SelfStock[WeekIndex],49)&gt;0)*(COUNTIFS(T_TTAFStock[RM_Code],$A30,T_TTAFStock[WeekIndex],49)&gt;0)&gt;0,SUMIFS(T_SelfStock[Self_Qty],T_SelfStock[RM_Code],$A30,T_SelfStock[WeekIndex],49)+SUMIFS(T_TTAFStock[TTAF_Qty],T_TTAFStock[RM_Code],$A30,T_TTAFStock[WeekIndex],49),AW30+'Grid_Incoming'!AX30-'Grid_Requirement'!AX30))</f>
        <v/>
      </c>
      <c r="AY30">
        <f>IF(COUNTIFS(T_StockCount[RM_Code],$A30,T_StockCount[WeekIndex],50)&gt;0,SUMIFS(T_StockCount[CountedQty],T_StockCount[RM_Code],$A30,T_StockCount[WeekIndex],50),IF((COUNTIFS(T_SelfStock[RM_Code],$A30,T_SelfStock[WeekIndex],50)&gt;0)*(COUNTIFS(T_TTAFStock[RM_Code],$A30,T_TTAFStock[WeekIndex],50)&gt;0)&gt;0,SUMIFS(T_SelfStock[Self_Qty],T_SelfStock[RM_Code],$A30,T_SelfStock[WeekIndex],50)+SUMIFS(T_TTAFStock[TTAF_Qty],T_TTAFStock[RM_Code],$A30,T_TTAFStock[WeekIndex],50),AX30+'Grid_Incoming'!AY30-'Grid_Requirement'!AY30))</f>
        <v/>
      </c>
      <c r="AZ30">
        <f>IF(COUNTIFS(T_StockCount[RM_Code],$A30,T_StockCount[WeekIndex],51)&gt;0,SUMIFS(T_StockCount[CountedQty],T_StockCount[RM_Code],$A30,T_StockCount[WeekIndex],51),IF((COUNTIFS(T_SelfStock[RM_Code],$A30,T_SelfStock[WeekIndex],51)&gt;0)*(COUNTIFS(T_TTAFStock[RM_Code],$A30,T_TTAFStock[WeekIndex],51)&gt;0)&gt;0,SUMIFS(T_SelfStock[Self_Qty],T_SelfStock[RM_Code],$A30,T_SelfStock[WeekIndex],51)+SUMIFS(T_TTAFStock[TTAF_Qty],T_TTAFStock[RM_Code],$A30,T_TTAFStock[WeekIndex],51),AY30+'Grid_Incoming'!AZ30-'Grid_Requirement'!AZ30))</f>
        <v/>
      </c>
      <c r="BA30">
        <f>IF(COUNTIFS(T_StockCount[RM_Code],$A30,T_StockCount[WeekIndex],52)&gt;0,SUMIFS(T_StockCount[CountedQty],T_StockCount[RM_Code],$A30,T_StockCount[WeekIndex],52),IF((COUNTIFS(T_SelfStock[RM_Code],$A30,T_SelfStock[WeekIndex],52)&gt;0)*(COUNTIFS(T_TTAFStock[RM_Code],$A30,T_TTAFStock[WeekIndex],52)&gt;0)&gt;0,SUMIFS(T_SelfStock[Self_Qty],T_SelfStock[RM_Code],$A30,T_SelfStock[WeekIndex],52)+SUMIFS(T_TTAFStock[TTAF_Qty],T_TTAFStock[RM_Code],$A30,T_TTAFStock[WeekIndex],52),AZ30+'Grid_Incoming'!BA30-'Grid_Requirement'!BA30))</f>
        <v/>
      </c>
      <c r="BB30">
        <f>IF(COUNTIFS(T_StockCount[RM_Code],$A30,T_StockCount[WeekIndex],53)&gt;0,SUMIFS(T_StockCount[CountedQty],T_StockCount[RM_Code],$A30,T_StockCount[WeekIndex],53),IF((COUNTIFS(T_SelfStock[RM_Code],$A30,T_SelfStock[WeekIndex],53)&gt;0)*(COUNTIFS(T_TTAFStock[RM_Code],$A30,T_TTAFStock[WeekIndex],53)&gt;0)&gt;0,SUMIFS(T_SelfStock[Self_Qty],T_SelfStock[RM_Code],$A30,T_SelfStock[WeekIndex],53)+SUMIFS(T_TTAFStock[TTAF_Qty],T_TTAFStock[RM_Code],$A30,T_TTAFStock[WeekIndex],53),BA30+'Grid_Incoming'!BB30-'Grid_Requirement'!BB30))</f>
        <v/>
      </c>
      <c r="BC30">
        <f>IF(COUNTIFS(T_StockCount[RM_Code],$A30,T_StockCount[WeekIndex],54)&gt;0,SUMIFS(T_StockCount[CountedQty],T_StockCount[RM_Code],$A30,T_StockCount[WeekIndex],54),IF((COUNTIFS(T_SelfStock[RM_Code],$A30,T_SelfStock[WeekIndex],54)&gt;0)*(COUNTIFS(T_TTAFStock[RM_Code],$A30,T_TTAFStock[WeekIndex],54)&gt;0)&gt;0,SUMIFS(T_SelfStock[Self_Qty],T_SelfStock[RM_Code],$A30,T_SelfStock[WeekIndex],54)+SUMIFS(T_TTAFStock[TTAF_Qty],T_TTAFStock[RM_Code],$A30,T_TTAFStock[WeekIndex],54),BB30+'Grid_Incoming'!BC30-'Grid_Requirement'!BC30))</f>
        <v/>
      </c>
      <c r="BD30">
        <f>IF(COUNTIFS(T_StockCount[RM_Code],$A30,T_StockCount[WeekIndex],55)&gt;0,SUMIFS(T_StockCount[CountedQty],T_StockCount[RM_Code],$A30,T_StockCount[WeekIndex],55),IF((COUNTIFS(T_SelfStock[RM_Code],$A30,T_SelfStock[WeekIndex],55)&gt;0)*(COUNTIFS(T_TTAFStock[RM_Code],$A30,T_TTAFStock[WeekIndex],55)&gt;0)&gt;0,SUMIFS(T_SelfStock[Self_Qty],T_SelfStock[RM_Code],$A30,T_SelfStock[WeekIndex],55)+SUMIFS(T_TTAFStock[TTAF_Qty],T_TTAFStock[RM_Code],$A30,T_TTAFStock[WeekIndex],55),BC30+'Grid_Incoming'!BD30-'Grid_Requirement'!BD30))</f>
        <v/>
      </c>
      <c r="BE30">
        <f>IF(COUNTIFS(T_StockCount[RM_Code],$A30,T_StockCount[WeekIndex],56)&gt;0,SUMIFS(T_StockCount[CountedQty],T_StockCount[RM_Code],$A30,T_StockCount[WeekIndex],56),IF((COUNTIFS(T_SelfStock[RM_Code],$A30,T_SelfStock[WeekIndex],56)&gt;0)*(COUNTIFS(T_TTAFStock[RM_Code],$A30,T_TTAFStock[WeekIndex],56)&gt;0)&gt;0,SUMIFS(T_SelfStock[Self_Qty],T_SelfStock[RM_Code],$A30,T_SelfStock[WeekIndex],56)+SUMIFS(T_TTAFStock[TTAF_Qty],T_TTAFStock[RM_Code],$A30,T_TTAFStock[WeekIndex],56),BD30+'Grid_Incoming'!BE30-'Grid_Requirement'!BE30))</f>
        <v/>
      </c>
      <c r="BF30">
        <f>IF(COUNTIFS(T_StockCount[RM_Code],$A30,T_StockCount[WeekIndex],57)&gt;0,SUMIFS(T_StockCount[CountedQty],T_StockCount[RM_Code],$A30,T_StockCount[WeekIndex],57),IF((COUNTIFS(T_SelfStock[RM_Code],$A30,T_SelfStock[WeekIndex],57)&gt;0)*(COUNTIFS(T_TTAFStock[RM_Code],$A30,T_TTAFStock[WeekIndex],57)&gt;0)&gt;0,SUMIFS(T_SelfStock[Self_Qty],T_SelfStock[RM_Code],$A30,T_SelfStock[WeekIndex],57)+SUMIFS(T_TTAFStock[TTAF_Qty],T_TTAFStock[RM_Code],$A30,T_TTAFStock[WeekIndex],57),BE30+'Grid_Incoming'!BF30-'Grid_Requirement'!BF30))</f>
        <v/>
      </c>
      <c r="BG30">
        <f>IF(COUNTIFS(T_StockCount[RM_Code],$A30,T_StockCount[WeekIndex],58)&gt;0,SUMIFS(T_StockCount[CountedQty],T_StockCount[RM_Code],$A30,T_StockCount[WeekIndex],58),IF((COUNTIFS(T_SelfStock[RM_Code],$A30,T_SelfStock[WeekIndex],58)&gt;0)*(COUNTIFS(T_TTAFStock[RM_Code],$A30,T_TTAFStock[WeekIndex],58)&gt;0)&gt;0,SUMIFS(T_SelfStock[Self_Qty],T_SelfStock[RM_Code],$A30,T_SelfStock[WeekIndex],58)+SUMIFS(T_TTAFStock[TTAF_Qty],T_TTAFStock[RM_Code],$A30,T_TTAFStock[WeekIndex],58),BF30+'Grid_Incoming'!BG30-'Grid_Requirement'!BG30))</f>
        <v/>
      </c>
      <c r="BH30">
        <f>IF(COUNTIFS(T_StockCount[RM_Code],$A30,T_StockCount[WeekIndex],59)&gt;0,SUMIFS(T_StockCount[CountedQty],T_StockCount[RM_Code],$A30,T_StockCount[WeekIndex],59),IF((COUNTIFS(T_SelfStock[RM_Code],$A30,T_SelfStock[WeekIndex],59)&gt;0)*(COUNTIFS(T_TTAFStock[RM_Code],$A30,T_TTAFStock[WeekIndex],59)&gt;0)&gt;0,SUMIFS(T_SelfStock[Self_Qty],T_SelfStock[RM_Code],$A30,T_SelfStock[WeekIndex],59)+SUMIFS(T_TTAFStock[TTAF_Qty],T_TTAFStock[RM_Code],$A30,T_TTAFStock[WeekIndex],59),BG30+'Grid_Incoming'!BH30-'Grid_Requirement'!BH30))</f>
        <v/>
      </c>
      <c r="BI30">
        <f>IF(COUNTIFS(T_StockCount[RM_Code],$A30,T_StockCount[WeekIndex],60)&gt;0,SUMIFS(T_StockCount[CountedQty],T_StockCount[RM_Code],$A30,T_StockCount[WeekIndex],60),IF((COUNTIFS(T_SelfStock[RM_Code],$A30,T_SelfStock[WeekIndex],60)&gt;0)*(COUNTIFS(T_TTAFStock[RM_Code],$A30,T_TTAFStock[WeekIndex],60)&gt;0)&gt;0,SUMIFS(T_SelfStock[Self_Qty],T_SelfStock[RM_Code],$A30,T_SelfStock[WeekIndex],60)+SUMIFS(T_TTAFStock[TTAF_Qty],T_TTAFStock[RM_Code],$A30,T_TTAFStock[WeekIndex],60),BH30+'Grid_Incoming'!BI30-'Grid_Requirement'!BI30))</f>
        <v/>
      </c>
      <c r="BJ30">
        <f>IF(COUNTIFS(T_StockCount[RM_Code],$A30,T_StockCount[WeekIndex],61)&gt;0,SUMIFS(T_StockCount[CountedQty],T_StockCount[RM_Code],$A30,T_StockCount[WeekIndex],61),IF((COUNTIFS(T_SelfStock[RM_Code],$A30,T_SelfStock[WeekIndex],61)&gt;0)*(COUNTIFS(T_TTAFStock[RM_Code],$A30,T_TTAFStock[WeekIndex],61)&gt;0)&gt;0,SUMIFS(T_SelfStock[Self_Qty],T_SelfStock[RM_Code],$A30,T_SelfStock[WeekIndex],61)+SUMIFS(T_TTAFStock[TTAF_Qty],T_TTAFStock[RM_Code],$A30,T_TTAFStock[WeekIndex],61),BI30+'Grid_Incoming'!BJ30-'Grid_Requirement'!BJ30))</f>
        <v/>
      </c>
      <c r="BK30">
        <f>IF(COUNTIFS(T_StockCount[RM_Code],$A30,T_StockCount[WeekIndex],62)&gt;0,SUMIFS(T_StockCount[CountedQty],T_StockCount[RM_Code],$A30,T_StockCount[WeekIndex],62),IF((COUNTIFS(T_SelfStock[RM_Code],$A30,T_SelfStock[WeekIndex],62)&gt;0)*(COUNTIFS(T_TTAFStock[RM_Code],$A30,T_TTAFStock[WeekIndex],62)&gt;0)&gt;0,SUMIFS(T_SelfStock[Self_Qty],T_SelfStock[RM_Code],$A30,T_SelfStock[WeekIndex],62)+SUMIFS(T_TTAFStock[TTAF_Qty],T_TTAFStock[RM_Code],$A30,T_TTAFStock[WeekIndex],62),BJ30+'Grid_Incoming'!BK30-'Grid_Requirement'!BK30))</f>
        <v/>
      </c>
      <c r="BL30">
        <f>IF(COUNTIFS(T_StockCount[RM_Code],$A30,T_StockCount[WeekIndex],63)&gt;0,SUMIFS(T_StockCount[CountedQty],T_StockCount[RM_Code],$A30,T_StockCount[WeekIndex],63),IF((COUNTIFS(T_SelfStock[RM_Code],$A30,T_SelfStock[WeekIndex],63)&gt;0)*(COUNTIFS(T_TTAFStock[RM_Code],$A30,T_TTAFStock[WeekIndex],63)&gt;0)&gt;0,SUMIFS(T_SelfStock[Self_Qty],T_SelfStock[RM_Code],$A30,T_SelfStock[WeekIndex],63)+SUMIFS(T_TTAFStock[TTAF_Qty],T_TTAFStock[RM_Code],$A30,T_TTAFStock[WeekIndex],63),BK30+'Grid_Incoming'!BL30-'Grid_Requirement'!BL30))</f>
        <v/>
      </c>
      <c r="BM30">
        <f>IF(COUNTIFS(T_StockCount[RM_Code],$A30,T_StockCount[WeekIndex],64)&gt;0,SUMIFS(T_StockCount[CountedQty],T_StockCount[RM_Code],$A30,T_StockCount[WeekIndex],64),IF((COUNTIFS(T_SelfStock[RM_Code],$A30,T_SelfStock[WeekIndex],64)&gt;0)*(COUNTIFS(T_TTAFStock[RM_Code],$A30,T_TTAFStock[WeekIndex],64)&gt;0)&gt;0,SUMIFS(T_SelfStock[Self_Qty],T_SelfStock[RM_Code],$A30,T_SelfStock[WeekIndex],64)+SUMIFS(T_TTAFStock[TTAF_Qty],T_TTAFStock[RM_Code],$A30,T_TTAFStock[WeekIndex],64),BL30+'Grid_Incoming'!BM30-'Grid_Requirement'!BM30))</f>
        <v/>
      </c>
      <c r="BN30">
        <f>IF(COUNTIFS(T_StockCount[RM_Code],$A30,T_StockCount[WeekIndex],65)&gt;0,SUMIFS(T_StockCount[CountedQty],T_StockCount[RM_Code],$A30,T_StockCount[WeekIndex],65),IF((COUNTIFS(T_SelfStock[RM_Code],$A30,T_SelfStock[WeekIndex],65)&gt;0)*(COUNTIFS(T_TTAFStock[RM_Code],$A30,T_TTAFStock[WeekIndex],65)&gt;0)&gt;0,SUMIFS(T_SelfStock[Self_Qty],T_SelfStock[RM_Code],$A30,T_SelfStock[WeekIndex],65)+SUMIFS(T_TTAFStock[TTAF_Qty],T_TTAFStock[RM_Code],$A30,T_TTAFStock[WeekIndex],65),BM30+'Grid_Incoming'!BN30-'Grid_Requirement'!BN30))</f>
        <v/>
      </c>
      <c r="BO30">
        <f>IF(COUNTIFS(T_StockCount[RM_Code],$A30,T_StockCount[WeekIndex],66)&gt;0,SUMIFS(T_StockCount[CountedQty],T_StockCount[RM_Code],$A30,T_StockCount[WeekIndex],66),IF((COUNTIFS(T_SelfStock[RM_Code],$A30,T_SelfStock[WeekIndex],66)&gt;0)*(COUNTIFS(T_TTAFStock[RM_Code],$A30,T_TTAFStock[WeekIndex],66)&gt;0)&gt;0,SUMIFS(T_SelfStock[Self_Qty],T_SelfStock[RM_Code],$A30,T_SelfStock[WeekIndex],66)+SUMIFS(T_TTAFStock[TTAF_Qty],T_TTAFStock[RM_Code],$A30,T_TTAFStock[WeekIndex],66),BN30+'Grid_Incoming'!BO30-'Grid_Requirement'!BO30))</f>
        <v/>
      </c>
      <c r="BP30">
        <f>IF(COUNTIFS(T_StockCount[RM_Code],$A30,T_StockCount[WeekIndex],67)&gt;0,SUMIFS(T_StockCount[CountedQty],T_StockCount[RM_Code],$A30,T_StockCount[WeekIndex],67),IF((COUNTIFS(T_SelfStock[RM_Code],$A30,T_SelfStock[WeekIndex],67)&gt;0)*(COUNTIFS(T_TTAFStock[RM_Code],$A30,T_TTAFStock[WeekIndex],67)&gt;0)&gt;0,SUMIFS(T_SelfStock[Self_Qty],T_SelfStock[RM_Code],$A30,T_SelfStock[WeekIndex],67)+SUMIFS(T_TTAFStock[TTAF_Qty],T_TTAFStock[RM_Code],$A30,T_TTAFStock[WeekIndex],67),BO30+'Grid_Incoming'!BP30-'Grid_Requirement'!BP30))</f>
        <v/>
      </c>
      <c r="BQ30">
        <f>IF(COUNTIFS(T_StockCount[RM_Code],$A30,T_StockCount[WeekIndex],68)&gt;0,SUMIFS(T_StockCount[CountedQty],T_StockCount[RM_Code],$A30,T_StockCount[WeekIndex],68),IF((COUNTIFS(T_SelfStock[RM_Code],$A30,T_SelfStock[WeekIndex],68)&gt;0)*(COUNTIFS(T_TTAFStock[RM_Code],$A30,T_TTAFStock[WeekIndex],68)&gt;0)&gt;0,SUMIFS(T_SelfStock[Self_Qty],T_SelfStock[RM_Code],$A30,T_SelfStock[WeekIndex],68)+SUMIFS(T_TTAFStock[TTAF_Qty],T_TTAFStock[RM_Code],$A30,T_TTAFStock[WeekIndex],68),BP30+'Grid_Incoming'!BQ30-'Grid_Requirement'!BQ30))</f>
        <v/>
      </c>
      <c r="BR30">
        <f>IF(COUNTIFS(T_StockCount[RM_Code],$A30,T_StockCount[WeekIndex],69)&gt;0,SUMIFS(T_StockCount[CountedQty],T_StockCount[RM_Code],$A30,T_StockCount[WeekIndex],69),IF((COUNTIFS(T_SelfStock[RM_Code],$A30,T_SelfStock[WeekIndex],69)&gt;0)*(COUNTIFS(T_TTAFStock[RM_Code],$A30,T_TTAFStock[WeekIndex],69)&gt;0)&gt;0,SUMIFS(T_SelfStock[Self_Qty],T_SelfStock[RM_Code],$A30,T_SelfStock[WeekIndex],69)+SUMIFS(T_TTAFStock[TTAF_Qty],T_TTAFStock[RM_Code],$A30,T_TTAFStock[WeekIndex],69),BQ30+'Grid_Incoming'!BR30-'Grid_Requirement'!BR30))</f>
        <v/>
      </c>
      <c r="BS30">
        <f>IF(COUNTIFS(T_StockCount[RM_Code],$A30,T_StockCount[WeekIndex],70)&gt;0,SUMIFS(T_StockCount[CountedQty],T_StockCount[RM_Code],$A30,T_StockCount[WeekIndex],70),IF((COUNTIFS(T_SelfStock[RM_Code],$A30,T_SelfStock[WeekIndex],70)&gt;0)*(COUNTIFS(T_TTAFStock[RM_Code],$A30,T_TTAFStock[WeekIndex],70)&gt;0)&gt;0,SUMIFS(T_SelfStock[Self_Qty],T_SelfStock[RM_Code],$A30,T_SelfStock[WeekIndex],70)+SUMIFS(T_TTAFStock[TTAF_Qty],T_TTAFStock[RM_Code],$A30,T_TTAFStock[WeekIndex],70),BR30+'Grid_Incoming'!BS30-'Grid_Requirement'!BS30))</f>
        <v/>
      </c>
      <c r="BT30">
        <f>IF(COUNTIFS(T_StockCount[RM_Code],$A30,T_StockCount[WeekIndex],71)&gt;0,SUMIFS(T_StockCount[CountedQty],T_StockCount[RM_Code],$A30,T_StockCount[WeekIndex],71),IF((COUNTIFS(T_SelfStock[RM_Code],$A30,T_SelfStock[WeekIndex],71)&gt;0)*(COUNTIFS(T_TTAFStock[RM_Code],$A30,T_TTAFStock[WeekIndex],71)&gt;0)&gt;0,SUMIFS(T_SelfStock[Self_Qty],T_SelfStock[RM_Code],$A30,T_SelfStock[WeekIndex],71)+SUMIFS(T_TTAFStock[TTAF_Qty],T_TTAFStock[RM_Code],$A30,T_TTAFStock[WeekIndex],71),BS30+'Grid_Incoming'!BT30-'Grid_Requirement'!BT30))</f>
        <v/>
      </c>
      <c r="BU30">
        <f>IF(COUNTIFS(T_StockCount[RM_Code],$A30,T_StockCount[WeekIndex],72)&gt;0,SUMIFS(T_StockCount[CountedQty],T_StockCount[RM_Code],$A30,T_StockCount[WeekIndex],72),IF((COUNTIFS(T_SelfStock[RM_Code],$A30,T_SelfStock[WeekIndex],72)&gt;0)*(COUNTIFS(T_TTAFStock[RM_Code],$A30,T_TTAFStock[WeekIndex],72)&gt;0)&gt;0,SUMIFS(T_SelfStock[Self_Qty],T_SelfStock[RM_Code],$A30,T_SelfStock[WeekIndex],72)+SUMIFS(T_TTAFStock[TTAF_Qty],T_TTAFStock[RM_Code],$A30,T_TTAFStock[WeekIndex],72),BT30+'Grid_Incoming'!BU30-'Grid_Requirement'!BU30))</f>
        <v/>
      </c>
      <c r="BV30">
        <f>IF(COUNTIFS(T_StockCount[RM_Code],$A30,T_StockCount[WeekIndex],73)&gt;0,SUMIFS(T_StockCount[CountedQty],T_StockCount[RM_Code],$A30,T_StockCount[WeekIndex],73),IF((COUNTIFS(T_SelfStock[RM_Code],$A30,T_SelfStock[WeekIndex],73)&gt;0)*(COUNTIFS(T_TTAFStock[RM_Code],$A30,T_TTAFStock[WeekIndex],73)&gt;0)&gt;0,SUMIFS(T_SelfStock[Self_Qty],T_SelfStock[RM_Code],$A30,T_SelfStock[WeekIndex],73)+SUMIFS(T_TTAFStock[TTAF_Qty],T_TTAFStock[RM_Code],$A30,T_TTAFStock[WeekIndex],73),BU30+'Grid_Incoming'!BV30-'Grid_Requirement'!BV30))</f>
        <v/>
      </c>
      <c r="BW30">
        <f>IF(COUNTIFS(T_StockCount[RM_Code],$A30,T_StockCount[WeekIndex],74)&gt;0,SUMIFS(T_StockCount[CountedQty],T_StockCount[RM_Code],$A30,T_StockCount[WeekIndex],74),IF((COUNTIFS(T_SelfStock[RM_Code],$A30,T_SelfStock[WeekIndex],74)&gt;0)*(COUNTIFS(T_TTAFStock[RM_Code],$A30,T_TTAFStock[WeekIndex],74)&gt;0)&gt;0,SUMIFS(T_SelfStock[Self_Qty],T_SelfStock[RM_Code],$A30,T_SelfStock[WeekIndex],74)+SUMIFS(T_TTAFStock[TTAF_Qty],T_TTAFStock[RM_Code],$A30,T_TTAFStock[WeekIndex],74),BV30+'Grid_Incoming'!BW30-'Grid_Requirement'!BW30))</f>
        <v/>
      </c>
      <c r="BX30">
        <f>IF(COUNTIFS(T_StockCount[RM_Code],$A30,T_StockCount[WeekIndex],75)&gt;0,SUMIFS(T_StockCount[CountedQty],T_StockCount[RM_Code],$A30,T_StockCount[WeekIndex],75),IF((COUNTIFS(T_SelfStock[RM_Code],$A30,T_SelfStock[WeekIndex],75)&gt;0)*(COUNTIFS(T_TTAFStock[RM_Code],$A30,T_TTAFStock[WeekIndex],75)&gt;0)&gt;0,SUMIFS(T_SelfStock[Self_Qty],T_SelfStock[RM_Code],$A30,T_SelfStock[WeekIndex],75)+SUMIFS(T_TTAFStock[TTAF_Qty],T_TTAFStock[RM_Code],$A30,T_TTAFStock[WeekIndex],75),BW30+'Grid_Incoming'!BX30-'Grid_Requirement'!BX30))</f>
        <v/>
      </c>
      <c r="BY30">
        <f>IF(COUNTIFS(T_StockCount[RM_Code],$A30,T_StockCount[WeekIndex],76)&gt;0,SUMIFS(T_StockCount[CountedQty],T_StockCount[RM_Code],$A30,T_StockCount[WeekIndex],76),IF((COUNTIFS(T_SelfStock[RM_Code],$A30,T_SelfStock[WeekIndex],76)&gt;0)*(COUNTIFS(T_TTAFStock[RM_Code],$A30,T_TTAFStock[WeekIndex],76)&gt;0)&gt;0,SUMIFS(T_SelfStock[Self_Qty],T_SelfStock[RM_Code],$A30,T_SelfStock[WeekIndex],76)+SUMIFS(T_TTAFStock[TTAF_Qty],T_TTAFStock[RM_Code],$A30,T_TTAFStock[WeekIndex],76),BX30+'Grid_Incoming'!BY30-'Grid_Requirement'!BY30))</f>
        <v/>
      </c>
      <c r="BZ30">
        <f>IF(COUNTIFS(T_StockCount[RM_Code],$A30,T_StockCount[WeekIndex],77)&gt;0,SUMIFS(T_StockCount[CountedQty],T_StockCount[RM_Code],$A30,T_StockCount[WeekIndex],77),IF((COUNTIFS(T_SelfStock[RM_Code],$A30,T_SelfStock[WeekIndex],77)&gt;0)*(COUNTIFS(T_TTAFStock[RM_Code],$A30,T_TTAFStock[WeekIndex],77)&gt;0)&gt;0,SUMIFS(T_SelfStock[Self_Qty],T_SelfStock[RM_Code],$A30,T_SelfStock[WeekIndex],77)+SUMIFS(T_TTAFStock[TTAF_Qty],T_TTAFStock[RM_Code],$A30,T_TTAFStock[WeekIndex],77),BY30+'Grid_Incoming'!BZ30-'Grid_Requirement'!BZ30))</f>
        <v/>
      </c>
      <c r="CA30">
        <f>IF(COUNTIFS(T_StockCount[RM_Code],$A30,T_StockCount[WeekIndex],78)&gt;0,SUMIFS(T_StockCount[CountedQty],T_StockCount[RM_Code],$A30,T_StockCount[WeekIndex],78),IF((COUNTIFS(T_SelfStock[RM_Code],$A30,T_SelfStock[WeekIndex],78)&gt;0)*(COUNTIFS(T_TTAFStock[RM_Code],$A30,T_TTAFStock[WeekIndex],78)&gt;0)&gt;0,SUMIFS(T_SelfStock[Self_Qty],T_SelfStock[RM_Code],$A30,T_SelfStock[WeekIndex],78)+SUMIFS(T_TTAFStock[TTAF_Qty],T_TTAFStock[RM_Code],$A30,T_TTAFStock[WeekIndex],78),BZ30+'Grid_Incoming'!CA30-'Grid_Requirement'!CA30))</f>
        <v/>
      </c>
      <c r="CB30">
        <f>IF(COUNTIFS(T_StockCount[RM_Code],$A30,T_StockCount[WeekIndex],79)&gt;0,SUMIFS(T_StockCount[CountedQty],T_StockCount[RM_Code],$A30,T_StockCount[WeekIndex],79),IF((COUNTIFS(T_SelfStock[RM_Code],$A30,T_SelfStock[WeekIndex],79)&gt;0)*(COUNTIFS(T_TTAFStock[RM_Code],$A30,T_TTAFStock[WeekIndex],79)&gt;0)&gt;0,SUMIFS(T_SelfStock[Self_Qty],T_SelfStock[RM_Code],$A30,T_SelfStock[WeekIndex],79)+SUMIFS(T_TTAFStock[TTAF_Qty],T_TTAFStock[RM_Code],$A30,T_TTAFStock[WeekIndex],79),CA30+'Grid_Incoming'!CB30-'Grid_Requirement'!CB30))</f>
        <v/>
      </c>
      <c r="CC30">
        <f>IF(COUNTIFS(T_StockCount[RM_Code],$A30,T_StockCount[WeekIndex],80)&gt;0,SUMIFS(T_StockCount[CountedQty],T_StockCount[RM_Code],$A30,T_StockCount[WeekIndex],80),IF((COUNTIFS(T_SelfStock[RM_Code],$A30,T_SelfStock[WeekIndex],80)&gt;0)*(COUNTIFS(T_TTAFStock[RM_Code],$A30,T_TTAFStock[WeekIndex],80)&gt;0)&gt;0,SUMIFS(T_SelfStock[Self_Qty],T_SelfStock[RM_Code],$A30,T_SelfStock[WeekIndex],80)+SUMIFS(T_TTAFStock[TTAF_Qty],T_TTAFStock[RM_Code],$A30,T_TTAFStock[WeekIndex],80),CB30+'Grid_Incoming'!CC30-'Grid_Requirement'!CC30))</f>
        <v/>
      </c>
      <c r="CD30">
        <f>IF(COUNTIFS(T_StockCount[RM_Code],$A30,T_StockCount[WeekIndex],81)&gt;0,SUMIFS(T_StockCount[CountedQty],T_StockCount[RM_Code],$A30,T_StockCount[WeekIndex],81),IF((COUNTIFS(T_SelfStock[RM_Code],$A30,T_SelfStock[WeekIndex],81)&gt;0)*(COUNTIFS(T_TTAFStock[RM_Code],$A30,T_TTAFStock[WeekIndex],81)&gt;0)&gt;0,SUMIFS(T_SelfStock[Self_Qty],T_SelfStock[RM_Code],$A30,T_SelfStock[WeekIndex],81)+SUMIFS(T_TTAFStock[TTAF_Qty],T_TTAFStock[RM_Code],$A30,T_TTAFStock[WeekIndex],81),CC30+'Grid_Incoming'!CD30-'Grid_Requirement'!CD30))</f>
        <v/>
      </c>
      <c r="CE30">
        <f>IF(COUNTIFS(T_StockCount[RM_Code],$A30,T_StockCount[WeekIndex],82)&gt;0,SUMIFS(T_StockCount[CountedQty],T_StockCount[RM_Code],$A30,T_StockCount[WeekIndex],82),IF((COUNTIFS(T_SelfStock[RM_Code],$A30,T_SelfStock[WeekIndex],82)&gt;0)*(COUNTIFS(T_TTAFStock[RM_Code],$A30,T_TTAFStock[WeekIndex],82)&gt;0)&gt;0,SUMIFS(T_SelfStock[Self_Qty],T_SelfStock[RM_Code],$A30,T_SelfStock[WeekIndex],82)+SUMIFS(T_TTAFStock[TTAF_Qty],T_TTAFStock[RM_Code],$A30,T_TTAFStock[WeekIndex],82),CD30+'Grid_Incoming'!CE30-'Grid_Requirement'!CE30))</f>
        <v/>
      </c>
      <c r="CF30">
        <f>IF(COUNTIFS(T_StockCount[RM_Code],$A30,T_StockCount[WeekIndex],83)&gt;0,SUMIFS(T_StockCount[CountedQty],T_StockCount[RM_Code],$A30,T_StockCount[WeekIndex],83),IF((COUNTIFS(T_SelfStock[RM_Code],$A30,T_SelfStock[WeekIndex],83)&gt;0)*(COUNTIFS(T_TTAFStock[RM_Code],$A30,T_TTAFStock[WeekIndex],83)&gt;0)&gt;0,SUMIFS(T_SelfStock[Self_Qty],T_SelfStock[RM_Code],$A30,T_SelfStock[WeekIndex],83)+SUMIFS(T_TTAFStock[TTAF_Qty],T_TTAFStock[RM_Code],$A30,T_TTAFStock[WeekIndex],83),CE30+'Grid_Incoming'!CF30-'Grid_Requirement'!CF30))</f>
        <v/>
      </c>
      <c r="CG30">
        <f>IF(COUNTIFS(T_StockCount[RM_Code],$A30,T_StockCount[WeekIndex],84)&gt;0,SUMIFS(T_StockCount[CountedQty],T_StockCount[RM_Code],$A30,T_StockCount[WeekIndex],84),IF((COUNTIFS(T_SelfStock[RM_Code],$A30,T_SelfStock[WeekIndex],84)&gt;0)*(COUNTIFS(T_TTAFStock[RM_Code],$A30,T_TTAFStock[WeekIndex],84)&gt;0)&gt;0,SUMIFS(T_SelfStock[Self_Qty],T_SelfStock[RM_Code],$A30,T_SelfStock[WeekIndex],84)+SUMIFS(T_TTAFStock[TTAF_Qty],T_TTAFStock[RM_Code],$A30,T_TTAFStock[WeekIndex],84),CF30+'Grid_Incoming'!CG30-'Grid_Requirement'!CG30))</f>
        <v/>
      </c>
      <c r="CH30">
        <f>IF(COUNTIFS(T_StockCount[RM_Code],$A30,T_StockCount[WeekIndex],85)&gt;0,SUMIFS(T_StockCount[CountedQty],T_StockCount[RM_Code],$A30,T_StockCount[WeekIndex],85),IF((COUNTIFS(T_SelfStock[RM_Code],$A30,T_SelfStock[WeekIndex],85)&gt;0)*(COUNTIFS(T_TTAFStock[RM_Code],$A30,T_TTAFStock[WeekIndex],85)&gt;0)&gt;0,SUMIFS(T_SelfStock[Self_Qty],T_SelfStock[RM_Code],$A30,T_SelfStock[WeekIndex],85)+SUMIFS(T_TTAFStock[TTAF_Qty],T_TTAFStock[RM_Code],$A30,T_TTAFStock[WeekIndex],85),CG30+'Grid_Incoming'!CH30-'Grid_Requirement'!CH30))</f>
        <v/>
      </c>
      <c r="CI30">
        <f>IF(COUNTIFS(T_StockCount[RM_Code],$A30,T_StockCount[WeekIndex],86)&gt;0,SUMIFS(T_StockCount[CountedQty],T_StockCount[RM_Code],$A30,T_StockCount[WeekIndex],86),IF((COUNTIFS(T_SelfStock[RM_Code],$A30,T_SelfStock[WeekIndex],86)&gt;0)*(COUNTIFS(T_TTAFStock[RM_Code],$A30,T_TTAFStock[WeekIndex],86)&gt;0)&gt;0,SUMIFS(T_SelfStock[Self_Qty],T_SelfStock[RM_Code],$A30,T_SelfStock[WeekIndex],86)+SUMIFS(T_TTAFStock[TTAF_Qty],T_TTAFStock[RM_Code],$A30,T_TTAFStock[WeekIndex],86),CH30+'Grid_Incoming'!CI30-'Grid_Requirement'!CI30))</f>
        <v/>
      </c>
      <c r="CJ30">
        <f>IF(COUNTIFS(T_StockCount[RM_Code],$A30,T_StockCount[WeekIndex],87)&gt;0,SUMIFS(T_StockCount[CountedQty],T_StockCount[RM_Code],$A30,T_StockCount[WeekIndex],87),IF((COUNTIFS(T_SelfStock[RM_Code],$A30,T_SelfStock[WeekIndex],87)&gt;0)*(COUNTIFS(T_TTAFStock[RM_Code],$A30,T_TTAFStock[WeekIndex],87)&gt;0)&gt;0,SUMIFS(T_SelfStock[Self_Qty],T_SelfStock[RM_Code],$A30,T_SelfStock[WeekIndex],87)+SUMIFS(T_TTAFStock[TTAF_Qty],T_TTAFStock[RM_Code],$A30,T_TTAFStock[WeekIndex],87),CI30+'Grid_Incoming'!CJ30-'Grid_Requirement'!CJ30))</f>
        <v/>
      </c>
      <c r="CK30">
        <f>IF(COUNTIFS(T_StockCount[RM_Code],$A30,T_StockCount[WeekIndex],88)&gt;0,SUMIFS(T_StockCount[CountedQty],T_StockCount[RM_Code],$A30,T_StockCount[WeekIndex],88),IF((COUNTIFS(T_SelfStock[RM_Code],$A30,T_SelfStock[WeekIndex],88)&gt;0)*(COUNTIFS(T_TTAFStock[RM_Code],$A30,T_TTAFStock[WeekIndex],88)&gt;0)&gt;0,SUMIFS(T_SelfStock[Self_Qty],T_SelfStock[RM_Code],$A30,T_SelfStock[WeekIndex],88)+SUMIFS(T_TTAFStock[TTAF_Qty],T_TTAFStock[RM_Code],$A30,T_TTAFStock[WeekIndex],88),CJ30+'Grid_Incoming'!CK30-'Grid_Requirement'!CK30))</f>
        <v/>
      </c>
      <c r="CL30">
        <f>IF(COUNTIFS(T_StockCount[RM_Code],$A30,T_StockCount[WeekIndex],89)&gt;0,SUMIFS(T_StockCount[CountedQty],T_StockCount[RM_Code],$A30,T_StockCount[WeekIndex],89),IF((COUNTIFS(T_SelfStock[RM_Code],$A30,T_SelfStock[WeekIndex],89)&gt;0)*(COUNTIFS(T_TTAFStock[RM_Code],$A30,T_TTAFStock[WeekIndex],89)&gt;0)&gt;0,SUMIFS(T_SelfStock[Self_Qty],T_SelfStock[RM_Code],$A30,T_SelfStock[WeekIndex],89)+SUMIFS(T_TTAFStock[TTAF_Qty],T_TTAFStock[RM_Code],$A30,T_TTAFStock[WeekIndex],89),CK30+'Grid_Incoming'!CL30-'Grid_Requirement'!CL30))</f>
        <v/>
      </c>
      <c r="CM30">
        <f>IF(COUNTIFS(T_StockCount[RM_Code],$A30,T_StockCount[WeekIndex],90)&gt;0,SUMIFS(T_StockCount[CountedQty],T_StockCount[RM_Code],$A30,T_StockCount[WeekIndex],90),IF((COUNTIFS(T_SelfStock[RM_Code],$A30,T_SelfStock[WeekIndex],90)&gt;0)*(COUNTIFS(T_TTAFStock[RM_Code],$A30,T_TTAFStock[WeekIndex],90)&gt;0)&gt;0,SUMIFS(T_SelfStock[Self_Qty],T_SelfStock[RM_Code],$A30,T_SelfStock[WeekIndex],90)+SUMIFS(T_TTAFStock[TTAF_Qty],T_TTAFStock[RM_Code],$A30,T_TTAFStock[WeekIndex],90),CL30+'Grid_Incoming'!CM30-'Grid_Requirement'!CM30))</f>
        <v/>
      </c>
      <c r="CN30">
        <f>IF(COUNTIFS(T_StockCount[RM_Code],$A30,T_StockCount[WeekIndex],91)&gt;0,SUMIFS(T_StockCount[CountedQty],T_StockCount[RM_Code],$A30,T_StockCount[WeekIndex],91),IF((COUNTIFS(T_SelfStock[RM_Code],$A30,T_SelfStock[WeekIndex],91)&gt;0)*(COUNTIFS(T_TTAFStock[RM_Code],$A30,T_TTAFStock[WeekIndex],91)&gt;0)&gt;0,SUMIFS(T_SelfStock[Self_Qty],T_SelfStock[RM_Code],$A30,T_SelfStock[WeekIndex],91)+SUMIFS(T_TTAFStock[TTAF_Qty],T_TTAFStock[RM_Code],$A30,T_TTAFStock[WeekIndex],91),CM30+'Grid_Incoming'!CN30-'Grid_Requirement'!CN30))</f>
        <v/>
      </c>
      <c r="CO30">
        <f>IF(COUNTIFS(T_StockCount[RM_Code],$A30,T_StockCount[WeekIndex],92)&gt;0,SUMIFS(T_StockCount[CountedQty],T_StockCount[RM_Code],$A30,T_StockCount[WeekIndex],92),IF((COUNTIFS(T_SelfStock[RM_Code],$A30,T_SelfStock[WeekIndex],92)&gt;0)*(COUNTIFS(T_TTAFStock[RM_Code],$A30,T_TTAFStock[WeekIndex],92)&gt;0)&gt;0,SUMIFS(T_SelfStock[Self_Qty],T_SelfStock[RM_Code],$A30,T_SelfStock[WeekIndex],92)+SUMIFS(T_TTAFStock[TTAF_Qty],T_TTAFStock[RM_Code],$A30,T_TTAFStock[WeekIndex],92),CN30+'Grid_Incoming'!CO30-'Grid_Requirement'!CO30))</f>
        <v/>
      </c>
      <c r="CP30">
        <f>IF(COUNTIFS(T_StockCount[RM_Code],$A30,T_StockCount[WeekIndex],93)&gt;0,SUMIFS(T_StockCount[CountedQty],T_StockCount[RM_Code],$A30,T_StockCount[WeekIndex],93),IF((COUNTIFS(T_SelfStock[RM_Code],$A30,T_SelfStock[WeekIndex],93)&gt;0)*(COUNTIFS(T_TTAFStock[RM_Code],$A30,T_TTAFStock[WeekIndex],93)&gt;0)&gt;0,SUMIFS(T_SelfStock[Self_Qty],T_SelfStock[RM_Code],$A30,T_SelfStock[WeekIndex],93)+SUMIFS(T_TTAFStock[TTAF_Qty],T_TTAFStock[RM_Code],$A30,T_TTAFStock[WeekIndex],93),CO30+'Grid_Incoming'!CP30-'Grid_Requirement'!CP30))</f>
        <v/>
      </c>
      <c r="CQ30">
        <f>IF(COUNTIFS(T_StockCount[RM_Code],$A30,T_StockCount[WeekIndex],94)&gt;0,SUMIFS(T_StockCount[CountedQty],T_StockCount[RM_Code],$A30,T_StockCount[WeekIndex],94),IF((COUNTIFS(T_SelfStock[RM_Code],$A30,T_SelfStock[WeekIndex],94)&gt;0)*(COUNTIFS(T_TTAFStock[RM_Code],$A30,T_TTAFStock[WeekIndex],94)&gt;0)&gt;0,SUMIFS(T_SelfStock[Self_Qty],T_SelfStock[RM_Code],$A30,T_SelfStock[WeekIndex],94)+SUMIFS(T_TTAFStock[TTAF_Qty],T_TTAFStock[RM_Code],$A30,T_TTAFStock[WeekIndex],94),CP30+'Grid_Incoming'!CQ30-'Grid_Requirement'!CQ30))</f>
        <v/>
      </c>
      <c r="CR30">
        <f>IF(COUNTIFS(T_StockCount[RM_Code],$A30,T_StockCount[WeekIndex],95)&gt;0,SUMIFS(T_StockCount[CountedQty],T_StockCount[RM_Code],$A30,T_StockCount[WeekIndex],95),IF((COUNTIFS(T_SelfStock[RM_Code],$A30,T_SelfStock[WeekIndex],95)&gt;0)*(COUNTIFS(T_TTAFStock[RM_Code],$A30,T_TTAFStock[WeekIndex],95)&gt;0)&gt;0,SUMIFS(T_SelfStock[Self_Qty],T_SelfStock[RM_Code],$A30,T_SelfStock[WeekIndex],95)+SUMIFS(T_TTAFStock[TTAF_Qty],T_TTAFStock[RM_Code],$A30,T_TTAFStock[WeekIndex],95),CQ30+'Grid_Incoming'!CR30-'Grid_Requirement'!CR30))</f>
        <v/>
      </c>
      <c r="CS30">
        <f>IF(COUNTIFS(T_StockCount[RM_Code],$A30,T_StockCount[WeekIndex],96)&gt;0,SUMIFS(T_StockCount[CountedQty],T_StockCount[RM_Code],$A30,T_StockCount[WeekIndex],96),IF((COUNTIFS(T_SelfStock[RM_Code],$A30,T_SelfStock[WeekIndex],96)&gt;0)*(COUNTIFS(T_TTAFStock[RM_Code],$A30,T_TTAFStock[WeekIndex],96)&gt;0)&gt;0,SUMIFS(T_SelfStock[Self_Qty],T_SelfStock[RM_Code],$A30,T_SelfStock[WeekIndex],96)+SUMIFS(T_TTAFStock[TTAF_Qty],T_TTAFStock[RM_Code],$A30,T_TTAFStock[WeekIndex],96),CR30+'Grid_Incoming'!CS30-'Grid_Requirement'!CS30))</f>
        <v/>
      </c>
      <c r="CT30">
        <f>IF(COUNTIFS(T_StockCount[RM_Code],$A30,T_StockCount[WeekIndex],97)&gt;0,SUMIFS(T_StockCount[CountedQty],T_StockCount[RM_Code],$A30,T_StockCount[WeekIndex],97),IF((COUNTIFS(T_SelfStock[RM_Code],$A30,T_SelfStock[WeekIndex],97)&gt;0)*(COUNTIFS(T_TTAFStock[RM_Code],$A30,T_TTAFStock[WeekIndex],97)&gt;0)&gt;0,SUMIFS(T_SelfStock[Self_Qty],T_SelfStock[RM_Code],$A30,T_SelfStock[WeekIndex],97)+SUMIFS(T_TTAFStock[TTAF_Qty],T_TTAFStock[RM_Code],$A30,T_TTAFStock[WeekIndex],97),CS30+'Grid_Incoming'!CT30-'Grid_Requirement'!CT30))</f>
        <v/>
      </c>
      <c r="CU30">
        <f>IF(COUNTIFS(T_StockCount[RM_Code],$A30,T_StockCount[WeekIndex],98)&gt;0,SUMIFS(T_StockCount[CountedQty],T_StockCount[RM_Code],$A30,T_StockCount[WeekIndex],98),IF((COUNTIFS(T_SelfStock[RM_Code],$A30,T_SelfStock[WeekIndex],98)&gt;0)*(COUNTIFS(T_TTAFStock[RM_Code],$A30,T_TTAFStock[WeekIndex],98)&gt;0)&gt;0,SUMIFS(T_SelfStock[Self_Qty],T_SelfStock[RM_Code],$A30,T_SelfStock[WeekIndex],98)+SUMIFS(T_TTAFStock[TTAF_Qty],T_TTAFStock[RM_Code],$A30,T_TTAFStock[WeekIndex],98),CT30+'Grid_Incoming'!CU30-'Grid_Requirement'!CU30))</f>
        <v/>
      </c>
      <c r="CV30">
        <f>IF(COUNTIFS(T_StockCount[RM_Code],$A30,T_StockCount[WeekIndex],99)&gt;0,SUMIFS(T_StockCount[CountedQty],T_StockCount[RM_Code],$A30,T_StockCount[WeekIndex],99),IF((COUNTIFS(T_SelfStock[RM_Code],$A30,T_SelfStock[WeekIndex],99)&gt;0)*(COUNTIFS(T_TTAFStock[RM_Code],$A30,T_TTAFStock[WeekIndex],99)&gt;0)&gt;0,SUMIFS(T_SelfStock[Self_Qty],T_SelfStock[RM_Code],$A30,T_SelfStock[WeekIndex],99)+SUMIFS(T_TTAFStock[TTAF_Qty],T_TTAFStock[RM_Code],$A30,T_TTAFStock[WeekIndex],99),CU30+'Grid_Incoming'!CV30-'Grid_Requirement'!CV30))</f>
        <v/>
      </c>
      <c r="CW30">
        <f>IF(COUNTIFS(T_StockCount[RM_Code],$A30,T_StockCount[WeekIndex],100)&gt;0,SUMIFS(T_StockCount[CountedQty],T_StockCount[RM_Code],$A30,T_StockCount[WeekIndex],100),IF((COUNTIFS(T_SelfStock[RM_Code],$A30,T_SelfStock[WeekIndex],100)&gt;0)*(COUNTIFS(T_TTAFStock[RM_Code],$A30,T_TTAFStock[WeekIndex],100)&gt;0)&gt;0,SUMIFS(T_SelfStock[Self_Qty],T_SelfStock[RM_Code],$A30,T_SelfStock[WeekIndex],100)+SUMIFS(T_TTAFStock[TTAF_Qty],T_TTAFStock[RM_Code],$A30,T_TTAFStock[WeekIndex],100),CV30+'Grid_Incoming'!CW30-'Grid_Requirement'!CW30))</f>
        <v/>
      </c>
      <c r="CX30">
        <f>IF(COUNTIFS(T_StockCount[RM_Code],$A30,T_StockCount[WeekIndex],101)&gt;0,SUMIFS(T_StockCount[CountedQty],T_StockCount[RM_Code],$A30,T_StockCount[WeekIndex],101),IF((COUNTIFS(T_SelfStock[RM_Code],$A30,T_SelfStock[WeekIndex],101)&gt;0)*(COUNTIFS(T_TTAFStock[RM_Code],$A30,T_TTAFStock[WeekIndex],101)&gt;0)&gt;0,SUMIFS(T_SelfStock[Self_Qty],T_SelfStock[RM_Code],$A30,T_SelfStock[WeekIndex],101)+SUMIFS(T_TTAFStock[TTAF_Qty],T_TTAFStock[RM_Code],$A30,T_TTAFStock[WeekIndex],101),CW30+'Grid_Incoming'!CX30-'Grid_Requirement'!CX30))</f>
        <v/>
      </c>
      <c r="CY30">
        <f>IF(COUNTIFS(T_StockCount[RM_Code],$A30,T_StockCount[WeekIndex],102)&gt;0,SUMIFS(T_StockCount[CountedQty],T_StockCount[RM_Code],$A30,T_StockCount[WeekIndex],102),IF((COUNTIFS(T_SelfStock[RM_Code],$A30,T_SelfStock[WeekIndex],102)&gt;0)*(COUNTIFS(T_TTAFStock[RM_Code],$A30,T_TTAFStock[WeekIndex],102)&gt;0)&gt;0,SUMIFS(T_SelfStock[Self_Qty],T_SelfStock[RM_Code],$A30,T_SelfStock[WeekIndex],102)+SUMIFS(T_TTAFStock[TTAF_Qty],T_TTAFStock[RM_Code],$A30,T_TTAFStock[WeekIndex],102),CX30+'Grid_Incoming'!CY30-'Grid_Requirement'!CY30))</f>
        <v/>
      </c>
      <c r="CZ30">
        <f>IF(COUNTIFS(T_StockCount[RM_Code],$A30,T_StockCount[WeekIndex],103)&gt;0,SUMIFS(T_StockCount[CountedQty],T_StockCount[RM_Code],$A30,T_StockCount[WeekIndex],103),IF((COUNTIFS(T_SelfStock[RM_Code],$A30,T_SelfStock[WeekIndex],103)&gt;0)*(COUNTIFS(T_TTAFStock[RM_Code],$A30,T_TTAFStock[WeekIndex],103)&gt;0)&gt;0,SUMIFS(T_SelfStock[Self_Qty],T_SelfStock[RM_Code],$A30,T_SelfStock[WeekIndex],103)+SUMIFS(T_TTAFStock[TTAF_Qty],T_TTAFStock[RM_Code],$A30,T_TTAFStock[WeekIndex],103),CY30+'Grid_Incoming'!CZ30-'Grid_Requirement'!CZ30))</f>
        <v/>
      </c>
      <c r="DA30">
        <f>IF(COUNTIFS(T_StockCount[RM_Code],$A30,T_StockCount[WeekIndex],104)&gt;0,SUMIFS(T_StockCount[CountedQty],T_StockCount[RM_Code],$A30,T_StockCount[WeekIndex],104),IF((COUNTIFS(T_SelfStock[RM_Code],$A30,T_SelfStock[WeekIndex],104)&gt;0)*(COUNTIFS(T_TTAFStock[RM_Code],$A30,T_TTAFStock[WeekIndex],104)&gt;0)&gt;0,SUMIFS(T_SelfStock[Self_Qty],T_SelfStock[RM_Code],$A30,T_SelfStock[WeekIndex],104)+SUMIFS(T_TTAFStock[TTAF_Qty],T_TTAFStock[RM_Code],$A30,T_TTAFStock[WeekIndex],104),CZ30+'Grid_Incoming'!DA30-'Grid_Requirement'!DA30))</f>
        <v/>
      </c>
    </row>
    <row r="31">
      <c r="A31" t="inlineStr">
        <is>
          <t>ABN</t>
        </is>
      </c>
      <c r="B31">
        <f>IF(COUNTIFS(T_StockCount[RM_Code],$A31,T_StockCount[WeekIndex],1)&gt;0,SUMIFS(T_StockCount[CountedQty],T_StockCount[RM_Code],$A31,T_StockCount[WeekIndex],1),IF((COUNTIFS(T_SelfStock[RM_Code],$A31,T_SelfStock[WeekIndex],1)&gt;0)*(COUNTIFS(T_TTAFStock[RM_Code],$A31,T_TTAFStock[WeekIndex],1)&gt;0)&gt;0,SUMIFS(T_SelfStock[Self_Qty],T_SelfStock[RM_Code],$A31,T_SelfStock[WeekIndex],1)+SUMIFS(T_TTAFStock[TTAF_Qty],T_TTAFStock[RM_Code],$A31,T_TTAFStock[WeekIndex],1),IFERROR(INDEX(T_OpeningStock[Opening_Qty],MATCH($A31,T_OpeningStock[RM_Code],0)),0)+'Grid_Incoming'!B31-'Grid_Requirement'!B31))</f>
        <v/>
      </c>
      <c r="C31">
        <f>IF(COUNTIFS(T_StockCount[RM_Code],$A31,T_StockCount[WeekIndex],2)&gt;0,SUMIFS(T_StockCount[CountedQty],T_StockCount[RM_Code],$A31,T_StockCount[WeekIndex],2),IF((COUNTIFS(T_SelfStock[RM_Code],$A31,T_SelfStock[WeekIndex],2)&gt;0)*(COUNTIFS(T_TTAFStock[RM_Code],$A31,T_TTAFStock[WeekIndex],2)&gt;0)&gt;0,SUMIFS(T_SelfStock[Self_Qty],T_SelfStock[RM_Code],$A31,T_SelfStock[WeekIndex],2)+SUMIFS(T_TTAFStock[TTAF_Qty],T_TTAFStock[RM_Code],$A31,T_TTAFStock[WeekIndex],2),B31+'Grid_Incoming'!C31-'Grid_Requirement'!C31))</f>
        <v/>
      </c>
      <c r="D31">
        <f>IF(COUNTIFS(T_StockCount[RM_Code],$A31,T_StockCount[WeekIndex],3)&gt;0,SUMIFS(T_StockCount[CountedQty],T_StockCount[RM_Code],$A31,T_StockCount[WeekIndex],3),IF((COUNTIFS(T_SelfStock[RM_Code],$A31,T_SelfStock[WeekIndex],3)&gt;0)*(COUNTIFS(T_TTAFStock[RM_Code],$A31,T_TTAFStock[WeekIndex],3)&gt;0)&gt;0,SUMIFS(T_SelfStock[Self_Qty],T_SelfStock[RM_Code],$A31,T_SelfStock[WeekIndex],3)+SUMIFS(T_TTAFStock[TTAF_Qty],T_TTAFStock[RM_Code],$A31,T_TTAFStock[WeekIndex],3),C31+'Grid_Incoming'!D31-'Grid_Requirement'!D31))</f>
        <v/>
      </c>
      <c r="E31">
        <f>IF(COUNTIFS(T_StockCount[RM_Code],$A31,T_StockCount[WeekIndex],4)&gt;0,SUMIFS(T_StockCount[CountedQty],T_StockCount[RM_Code],$A31,T_StockCount[WeekIndex],4),IF((COUNTIFS(T_SelfStock[RM_Code],$A31,T_SelfStock[WeekIndex],4)&gt;0)*(COUNTIFS(T_TTAFStock[RM_Code],$A31,T_TTAFStock[WeekIndex],4)&gt;0)&gt;0,SUMIFS(T_SelfStock[Self_Qty],T_SelfStock[RM_Code],$A31,T_SelfStock[WeekIndex],4)+SUMIFS(T_TTAFStock[TTAF_Qty],T_TTAFStock[RM_Code],$A31,T_TTAFStock[WeekIndex],4),D31+'Grid_Incoming'!E31-'Grid_Requirement'!E31))</f>
        <v/>
      </c>
      <c r="F31">
        <f>IF(COUNTIFS(T_StockCount[RM_Code],$A31,T_StockCount[WeekIndex],5)&gt;0,SUMIFS(T_StockCount[CountedQty],T_StockCount[RM_Code],$A31,T_StockCount[WeekIndex],5),IF((COUNTIFS(T_SelfStock[RM_Code],$A31,T_SelfStock[WeekIndex],5)&gt;0)*(COUNTIFS(T_TTAFStock[RM_Code],$A31,T_TTAFStock[WeekIndex],5)&gt;0)&gt;0,SUMIFS(T_SelfStock[Self_Qty],T_SelfStock[RM_Code],$A31,T_SelfStock[WeekIndex],5)+SUMIFS(T_TTAFStock[TTAF_Qty],T_TTAFStock[RM_Code],$A31,T_TTAFStock[WeekIndex],5),E31+'Grid_Incoming'!F31-'Grid_Requirement'!F31))</f>
        <v/>
      </c>
      <c r="G31">
        <f>IF(COUNTIFS(T_StockCount[RM_Code],$A31,T_StockCount[WeekIndex],6)&gt;0,SUMIFS(T_StockCount[CountedQty],T_StockCount[RM_Code],$A31,T_StockCount[WeekIndex],6),IF((COUNTIFS(T_SelfStock[RM_Code],$A31,T_SelfStock[WeekIndex],6)&gt;0)*(COUNTIFS(T_TTAFStock[RM_Code],$A31,T_TTAFStock[WeekIndex],6)&gt;0)&gt;0,SUMIFS(T_SelfStock[Self_Qty],T_SelfStock[RM_Code],$A31,T_SelfStock[WeekIndex],6)+SUMIFS(T_TTAFStock[TTAF_Qty],T_TTAFStock[RM_Code],$A31,T_TTAFStock[WeekIndex],6),F31+'Grid_Incoming'!G31-'Grid_Requirement'!G31))</f>
        <v/>
      </c>
      <c r="H31">
        <f>IF(COUNTIFS(T_StockCount[RM_Code],$A31,T_StockCount[WeekIndex],7)&gt;0,SUMIFS(T_StockCount[CountedQty],T_StockCount[RM_Code],$A31,T_StockCount[WeekIndex],7),IF((COUNTIFS(T_SelfStock[RM_Code],$A31,T_SelfStock[WeekIndex],7)&gt;0)*(COUNTIFS(T_TTAFStock[RM_Code],$A31,T_TTAFStock[WeekIndex],7)&gt;0)&gt;0,SUMIFS(T_SelfStock[Self_Qty],T_SelfStock[RM_Code],$A31,T_SelfStock[WeekIndex],7)+SUMIFS(T_TTAFStock[TTAF_Qty],T_TTAFStock[RM_Code],$A31,T_TTAFStock[WeekIndex],7),G31+'Grid_Incoming'!H31-'Grid_Requirement'!H31))</f>
        <v/>
      </c>
      <c r="I31">
        <f>IF(COUNTIFS(T_StockCount[RM_Code],$A31,T_StockCount[WeekIndex],8)&gt;0,SUMIFS(T_StockCount[CountedQty],T_StockCount[RM_Code],$A31,T_StockCount[WeekIndex],8),IF((COUNTIFS(T_SelfStock[RM_Code],$A31,T_SelfStock[WeekIndex],8)&gt;0)*(COUNTIFS(T_TTAFStock[RM_Code],$A31,T_TTAFStock[WeekIndex],8)&gt;0)&gt;0,SUMIFS(T_SelfStock[Self_Qty],T_SelfStock[RM_Code],$A31,T_SelfStock[WeekIndex],8)+SUMIFS(T_TTAFStock[TTAF_Qty],T_TTAFStock[RM_Code],$A31,T_TTAFStock[WeekIndex],8),H31+'Grid_Incoming'!I31-'Grid_Requirement'!I31))</f>
        <v/>
      </c>
      <c r="J31">
        <f>IF(COUNTIFS(T_StockCount[RM_Code],$A31,T_StockCount[WeekIndex],9)&gt;0,SUMIFS(T_StockCount[CountedQty],T_StockCount[RM_Code],$A31,T_StockCount[WeekIndex],9),IF((COUNTIFS(T_SelfStock[RM_Code],$A31,T_SelfStock[WeekIndex],9)&gt;0)*(COUNTIFS(T_TTAFStock[RM_Code],$A31,T_TTAFStock[WeekIndex],9)&gt;0)&gt;0,SUMIFS(T_SelfStock[Self_Qty],T_SelfStock[RM_Code],$A31,T_SelfStock[WeekIndex],9)+SUMIFS(T_TTAFStock[TTAF_Qty],T_TTAFStock[RM_Code],$A31,T_TTAFStock[WeekIndex],9),I31+'Grid_Incoming'!J31-'Grid_Requirement'!J31))</f>
        <v/>
      </c>
      <c r="K31">
        <f>IF(COUNTIFS(T_StockCount[RM_Code],$A31,T_StockCount[WeekIndex],10)&gt;0,SUMIFS(T_StockCount[CountedQty],T_StockCount[RM_Code],$A31,T_StockCount[WeekIndex],10),IF((COUNTIFS(T_SelfStock[RM_Code],$A31,T_SelfStock[WeekIndex],10)&gt;0)*(COUNTIFS(T_TTAFStock[RM_Code],$A31,T_TTAFStock[WeekIndex],10)&gt;0)&gt;0,SUMIFS(T_SelfStock[Self_Qty],T_SelfStock[RM_Code],$A31,T_SelfStock[WeekIndex],10)+SUMIFS(T_TTAFStock[TTAF_Qty],T_TTAFStock[RM_Code],$A31,T_TTAFStock[WeekIndex],10),J31+'Grid_Incoming'!K31-'Grid_Requirement'!K31))</f>
        <v/>
      </c>
      <c r="L31">
        <f>IF(COUNTIFS(T_StockCount[RM_Code],$A31,T_StockCount[WeekIndex],11)&gt;0,SUMIFS(T_StockCount[CountedQty],T_StockCount[RM_Code],$A31,T_StockCount[WeekIndex],11),IF((COUNTIFS(T_SelfStock[RM_Code],$A31,T_SelfStock[WeekIndex],11)&gt;0)*(COUNTIFS(T_TTAFStock[RM_Code],$A31,T_TTAFStock[WeekIndex],11)&gt;0)&gt;0,SUMIFS(T_SelfStock[Self_Qty],T_SelfStock[RM_Code],$A31,T_SelfStock[WeekIndex],11)+SUMIFS(T_TTAFStock[TTAF_Qty],T_TTAFStock[RM_Code],$A31,T_TTAFStock[WeekIndex],11),K31+'Grid_Incoming'!L31-'Grid_Requirement'!L31))</f>
        <v/>
      </c>
      <c r="M31">
        <f>IF(COUNTIFS(T_StockCount[RM_Code],$A31,T_StockCount[WeekIndex],12)&gt;0,SUMIFS(T_StockCount[CountedQty],T_StockCount[RM_Code],$A31,T_StockCount[WeekIndex],12),IF((COUNTIFS(T_SelfStock[RM_Code],$A31,T_SelfStock[WeekIndex],12)&gt;0)*(COUNTIFS(T_TTAFStock[RM_Code],$A31,T_TTAFStock[WeekIndex],12)&gt;0)&gt;0,SUMIFS(T_SelfStock[Self_Qty],T_SelfStock[RM_Code],$A31,T_SelfStock[WeekIndex],12)+SUMIFS(T_TTAFStock[TTAF_Qty],T_TTAFStock[RM_Code],$A31,T_TTAFStock[WeekIndex],12),L31+'Grid_Incoming'!M31-'Grid_Requirement'!M31))</f>
        <v/>
      </c>
      <c r="N31">
        <f>IF(COUNTIFS(T_StockCount[RM_Code],$A31,T_StockCount[WeekIndex],13)&gt;0,SUMIFS(T_StockCount[CountedQty],T_StockCount[RM_Code],$A31,T_StockCount[WeekIndex],13),IF((COUNTIFS(T_SelfStock[RM_Code],$A31,T_SelfStock[WeekIndex],13)&gt;0)*(COUNTIFS(T_TTAFStock[RM_Code],$A31,T_TTAFStock[WeekIndex],13)&gt;0)&gt;0,SUMIFS(T_SelfStock[Self_Qty],T_SelfStock[RM_Code],$A31,T_SelfStock[WeekIndex],13)+SUMIFS(T_TTAFStock[TTAF_Qty],T_TTAFStock[RM_Code],$A31,T_TTAFStock[WeekIndex],13),M31+'Grid_Incoming'!N31-'Grid_Requirement'!N31))</f>
        <v/>
      </c>
      <c r="O31">
        <f>IF(COUNTIFS(T_StockCount[RM_Code],$A31,T_StockCount[WeekIndex],14)&gt;0,SUMIFS(T_StockCount[CountedQty],T_StockCount[RM_Code],$A31,T_StockCount[WeekIndex],14),IF((COUNTIFS(T_SelfStock[RM_Code],$A31,T_SelfStock[WeekIndex],14)&gt;0)*(COUNTIFS(T_TTAFStock[RM_Code],$A31,T_TTAFStock[WeekIndex],14)&gt;0)&gt;0,SUMIFS(T_SelfStock[Self_Qty],T_SelfStock[RM_Code],$A31,T_SelfStock[WeekIndex],14)+SUMIFS(T_TTAFStock[TTAF_Qty],T_TTAFStock[RM_Code],$A31,T_TTAFStock[WeekIndex],14),N31+'Grid_Incoming'!O31-'Grid_Requirement'!O31))</f>
        <v/>
      </c>
      <c r="P31">
        <f>IF(COUNTIFS(T_StockCount[RM_Code],$A31,T_StockCount[WeekIndex],15)&gt;0,SUMIFS(T_StockCount[CountedQty],T_StockCount[RM_Code],$A31,T_StockCount[WeekIndex],15),IF((COUNTIFS(T_SelfStock[RM_Code],$A31,T_SelfStock[WeekIndex],15)&gt;0)*(COUNTIFS(T_TTAFStock[RM_Code],$A31,T_TTAFStock[WeekIndex],15)&gt;0)&gt;0,SUMIFS(T_SelfStock[Self_Qty],T_SelfStock[RM_Code],$A31,T_SelfStock[WeekIndex],15)+SUMIFS(T_TTAFStock[TTAF_Qty],T_TTAFStock[RM_Code],$A31,T_TTAFStock[WeekIndex],15),O31+'Grid_Incoming'!P31-'Grid_Requirement'!P31))</f>
        <v/>
      </c>
      <c r="Q31">
        <f>IF(COUNTIFS(T_StockCount[RM_Code],$A31,T_StockCount[WeekIndex],16)&gt;0,SUMIFS(T_StockCount[CountedQty],T_StockCount[RM_Code],$A31,T_StockCount[WeekIndex],16),IF((COUNTIFS(T_SelfStock[RM_Code],$A31,T_SelfStock[WeekIndex],16)&gt;0)*(COUNTIFS(T_TTAFStock[RM_Code],$A31,T_TTAFStock[WeekIndex],16)&gt;0)&gt;0,SUMIFS(T_SelfStock[Self_Qty],T_SelfStock[RM_Code],$A31,T_SelfStock[WeekIndex],16)+SUMIFS(T_TTAFStock[TTAF_Qty],T_TTAFStock[RM_Code],$A31,T_TTAFStock[WeekIndex],16),P31+'Grid_Incoming'!Q31-'Grid_Requirement'!Q31))</f>
        <v/>
      </c>
      <c r="R31">
        <f>IF(COUNTIFS(T_StockCount[RM_Code],$A31,T_StockCount[WeekIndex],17)&gt;0,SUMIFS(T_StockCount[CountedQty],T_StockCount[RM_Code],$A31,T_StockCount[WeekIndex],17),IF((COUNTIFS(T_SelfStock[RM_Code],$A31,T_SelfStock[WeekIndex],17)&gt;0)*(COUNTIFS(T_TTAFStock[RM_Code],$A31,T_TTAFStock[WeekIndex],17)&gt;0)&gt;0,SUMIFS(T_SelfStock[Self_Qty],T_SelfStock[RM_Code],$A31,T_SelfStock[WeekIndex],17)+SUMIFS(T_TTAFStock[TTAF_Qty],T_TTAFStock[RM_Code],$A31,T_TTAFStock[WeekIndex],17),Q31+'Grid_Incoming'!R31-'Grid_Requirement'!R31))</f>
        <v/>
      </c>
      <c r="S31">
        <f>IF(COUNTIFS(T_StockCount[RM_Code],$A31,T_StockCount[WeekIndex],18)&gt;0,SUMIFS(T_StockCount[CountedQty],T_StockCount[RM_Code],$A31,T_StockCount[WeekIndex],18),IF((COUNTIFS(T_SelfStock[RM_Code],$A31,T_SelfStock[WeekIndex],18)&gt;0)*(COUNTIFS(T_TTAFStock[RM_Code],$A31,T_TTAFStock[WeekIndex],18)&gt;0)&gt;0,SUMIFS(T_SelfStock[Self_Qty],T_SelfStock[RM_Code],$A31,T_SelfStock[WeekIndex],18)+SUMIFS(T_TTAFStock[TTAF_Qty],T_TTAFStock[RM_Code],$A31,T_TTAFStock[WeekIndex],18),R31+'Grid_Incoming'!S31-'Grid_Requirement'!S31))</f>
        <v/>
      </c>
      <c r="T31">
        <f>IF(COUNTIFS(T_StockCount[RM_Code],$A31,T_StockCount[WeekIndex],19)&gt;0,SUMIFS(T_StockCount[CountedQty],T_StockCount[RM_Code],$A31,T_StockCount[WeekIndex],19),IF((COUNTIFS(T_SelfStock[RM_Code],$A31,T_SelfStock[WeekIndex],19)&gt;0)*(COUNTIFS(T_TTAFStock[RM_Code],$A31,T_TTAFStock[WeekIndex],19)&gt;0)&gt;0,SUMIFS(T_SelfStock[Self_Qty],T_SelfStock[RM_Code],$A31,T_SelfStock[WeekIndex],19)+SUMIFS(T_TTAFStock[TTAF_Qty],T_TTAFStock[RM_Code],$A31,T_TTAFStock[WeekIndex],19),S31+'Grid_Incoming'!T31-'Grid_Requirement'!T31))</f>
        <v/>
      </c>
      <c r="U31">
        <f>IF(COUNTIFS(T_StockCount[RM_Code],$A31,T_StockCount[WeekIndex],20)&gt;0,SUMIFS(T_StockCount[CountedQty],T_StockCount[RM_Code],$A31,T_StockCount[WeekIndex],20),IF((COUNTIFS(T_SelfStock[RM_Code],$A31,T_SelfStock[WeekIndex],20)&gt;0)*(COUNTIFS(T_TTAFStock[RM_Code],$A31,T_TTAFStock[WeekIndex],20)&gt;0)&gt;0,SUMIFS(T_SelfStock[Self_Qty],T_SelfStock[RM_Code],$A31,T_SelfStock[WeekIndex],20)+SUMIFS(T_TTAFStock[TTAF_Qty],T_TTAFStock[RM_Code],$A31,T_TTAFStock[WeekIndex],20),T31+'Grid_Incoming'!U31-'Grid_Requirement'!U31))</f>
        <v/>
      </c>
      <c r="V31">
        <f>IF(COUNTIFS(T_StockCount[RM_Code],$A31,T_StockCount[WeekIndex],21)&gt;0,SUMIFS(T_StockCount[CountedQty],T_StockCount[RM_Code],$A31,T_StockCount[WeekIndex],21),IF((COUNTIFS(T_SelfStock[RM_Code],$A31,T_SelfStock[WeekIndex],21)&gt;0)*(COUNTIFS(T_TTAFStock[RM_Code],$A31,T_TTAFStock[WeekIndex],21)&gt;0)&gt;0,SUMIFS(T_SelfStock[Self_Qty],T_SelfStock[RM_Code],$A31,T_SelfStock[WeekIndex],21)+SUMIFS(T_TTAFStock[TTAF_Qty],T_TTAFStock[RM_Code],$A31,T_TTAFStock[WeekIndex],21),U31+'Grid_Incoming'!V31-'Grid_Requirement'!V31))</f>
        <v/>
      </c>
      <c r="W31">
        <f>IF(COUNTIFS(T_StockCount[RM_Code],$A31,T_StockCount[WeekIndex],22)&gt;0,SUMIFS(T_StockCount[CountedQty],T_StockCount[RM_Code],$A31,T_StockCount[WeekIndex],22),IF((COUNTIFS(T_SelfStock[RM_Code],$A31,T_SelfStock[WeekIndex],22)&gt;0)*(COUNTIFS(T_TTAFStock[RM_Code],$A31,T_TTAFStock[WeekIndex],22)&gt;0)&gt;0,SUMIFS(T_SelfStock[Self_Qty],T_SelfStock[RM_Code],$A31,T_SelfStock[WeekIndex],22)+SUMIFS(T_TTAFStock[TTAF_Qty],T_TTAFStock[RM_Code],$A31,T_TTAFStock[WeekIndex],22),V31+'Grid_Incoming'!W31-'Grid_Requirement'!W31))</f>
        <v/>
      </c>
      <c r="X31">
        <f>IF(COUNTIFS(T_StockCount[RM_Code],$A31,T_StockCount[WeekIndex],23)&gt;0,SUMIFS(T_StockCount[CountedQty],T_StockCount[RM_Code],$A31,T_StockCount[WeekIndex],23),IF((COUNTIFS(T_SelfStock[RM_Code],$A31,T_SelfStock[WeekIndex],23)&gt;0)*(COUNTIFS(T_TTAFStock[RM_Code],$A31,T_TTAFStock[WeekIndex],23)&gt;0)&gt;0,SUMIFS(T_SelfStock[Self_Qty],T_SelfStock[RM_Code],$A31,T_SelfStock[WeekIndex],23)+SUMIFS(T_TTAFStock[TTAF_Qty],T_TTAFStock[RM_Code],$A31,T_TTAFStock[WeekIndex],23),W31+'Grid_Incoming'!X31-'Grid_Requirement'!X31))</f>
        <v/>
      </c>
      <c r="Y31">
        <f>IF(COUNTIFS(T_StockCount[RM_Code],$A31,T_StockCount[WeekIndex],24)&gt;0,SUMIFS(T_StockCount[CountedQty],T_StockCount[RM_Code],$A31,T_StockCount[WeekIndex],24),IF((COUNTIFS(T_SelfStock[RM_Code],$A31,T_SelfStock[WeekIndex],24)&gt;0)*(COUNTIFS(T_TTAFStock[RM_Code],$A31,T_TTAFStock[WeekIndex],24)&gt;0)&gt;0,SUMIFS(T_SelfStock[Self_Qty],T_SelfStock[RM_Code],$A31,T_SelfStock[WeekIndex],24)+SUMIFS(T_TTAFStock[TTAF_Qty],T_TTAFStock[RM_Code],$A31,T_TTAFStock[WeekIndex],24),X31+'Grid_Incoming'!Y31-'Grid_Requirement'!Y31))</f>
        <v/>
      </c>
      <c r="Z31">
        <f>IF(COUNTIFS(T_StockCount[RM_Code],$A31,T_StockCount[WeekIndex],25)&gt;0,SUMIFS(T_StockCount[CountedQty],T_StockCount[RM_Code],$A31,T_StockCount[WeekIndex],25),IF((COUNTIFS(T_SelfStock[RM_Code],$A31,T_SelfStock[WeekIndex],25)&gt;0)*(COUNTIFS(T_TTAFStock[RM_Code],$A31,T_TTAFStock[WeekIndex],25)&gt;0)&gt;0,SUMIFS(T_SelfStock[Self_Qty],T_SelfStock[RM_Code],$A31,T_SelfStock[WeekIndex],25)+SUMIFS(T_TTAFStock[TTAF_Qty],T_TTAFStock[RM_Code],$A31,T_TTAFStock[WeekIndex],25),Y31+'Grid_Incoming'!Z31-'Grid_Requirement'!Z31))</f>
        <v/>
      </c>
      <c r="AA31">
        <f>IF(COUNTIFS(T_StockCount[RM_Code],$A31,T_StockCount[WeekIndex],26)&gt;0,SUMIFS(T_StockCount[CountedQty],T_StockCount[RM_Code],$A31,T_StockCount[WeekIndex],26),IF((COUNTIFS(T_SelfStock[RM_Code],$A31,T_SelfStock[WeekIndex],26)&gt;0)*(COUNTIFS(T_TTAFStock[RM_Code],$A31,T_TTAFStock[WeekIndex],26)&gt;0)&gt;0,SUMIFS(T_SelfStock[Self_Qty],T_SelfStock[RM_Code],$A31,T_SelfStock[WeekIndex],26)+SUMIFS(T_TTAFStock[TTAF_Qty],T_TTAFStock[RM_Code],$A31,T_TTAFStock[WeekIndex],26),Z31+'Grid_Incoming'!AA31-'Grid_Requirement'!AA31))</f>
        <v/>
      </c>
      <c r="AB31">
        <f>IF(COUNTIFS(T_StockCount[RM_Code],$A31,T_StockCount[WeekIndex],27)&gt;0,SUMIFS(T_StockCount[CountedQty],T_StockCount[RM_Code],$A31,T_StockCount[WeekIndex],27),IF((COUNTIFS(T_SelfStock[RM_Code],$A31,T_SelfStock[WeekIndex],27)&gt;0)*(COUNTIFS(T_TTAFStock[RM_Code],$A31,T_TTAFStock[WeekIndex],27)&gt;0)&gt;0,SUMIFS(T_SelfStock[Self_Qty],T_SelfStock[RM_Code],$A31,T_SelfStock[WeekIndex],27)+SUMIFS(T_TTAFStock[TTAF_Qty],T_TTAFStock[RM_Code],$A31,T_TTAFStock[WeekIndex],27),AA31+'Grid_Incoming'!AB31-'Grid_Requirement'!AB31))</f>
        <v/>
      </c>
      <c r="AC31">
        <f>IF(COUNTIFS(T_StockCount[RM_Code],$A31,T_StockCount[WeekIndex],28)&gt;0,SUMIFS(T_StockCount[CountedQty],T_StockCount[RM_Code],$A31,T_StockCount[WeekIndex],28),IF((COUNTIFS(T_SelfStock[RM_Code],$A31,T_SelfStock[WeekIndex],28)&gt;0)*(COUNTIFS(T_TTAFStock[RM_Code],$A31,T_TTAFStock[WeekIndex],28)&gt;0)&gt;0,SUMIFS(T_SelfStock[Self_Qty],T_SelfStock[RM_Code],$A31,T_SelfStock[WeekIndex],28)+SUMIFS(T_TTAFStock[TTAF_Qty],T_TTAFStock[RM_Code],$A31,T_TTAFStock[WeekIndex],28),AB31+'Grid_Incoming'!AC31-'Grid_Requirement'!AC31))</f>
        <v/>
      </c>
      <c r="AD31">
        <f>IF(COUNTIFS(T_StockCount[RM_Code],$A31,T_StockCount[WeekIndex],29)&gt;0,SUMIFS(T_StockCount[CountedQty],T_StockCount[RM_Code],$A31,T_StockCount[WeekIndex],29),IF((COUNTIFS(T_SelfStock[RM_Code],$A31,T_SelfStock[WeekIndex],29)&gt;0)*(COUNTIFS(T_TTAFStock[RM_Code],$A31,T_TTAFStock[WeekIndex],29)&gt;0)&gt;0,SUMIFS(T_SelfStock[Self_Qty],T_SelfStock[RM_Code],$A31,T_SelfStock[WeekIndex],29)+SUMIFS(T_TTAFStock[TTAF_Qty],T_TTAFStock[RM_Code],$A31,T_TTAFStock[WeekIndex],29),AC31+'Grid_Incoming'!AD31-'Grid_Requirement'!AD31))</f>
        <v/>
      </c>
      <c r="AE31">
        <f>IF(COUNTIFS(T_StockCount[RM_Code],$A31,T_StockCount[WeekIndex],30)&gt;0,SUMIFS(T_StockCount[CountedQty],T_StockCount[RM_Code],$A31,T_StockCount[WeekIndex],30),IF((COUNTIFS(T_SelfStock[RM_Code],$A31,T_SelfStock[WeekIndex],30)&gt;0)*(COUNTIFS(T_TTAFStock[RM_Code],$A31,T_TTAFStock[WeekIndex],30)&gt;0)&gt;0,SUMIFS(T_SelfStock[Self_Qty],T_SelfStock[RM_Code],$A31,T_SelfStock[WeekIndex],30)+SUMIFS(T_TTAFStock[TTAF_Qty],T_TTAFStock[RM_Code],$A31,T_TTAFStock[WeekIndex],30),AD31+'Grid_Incoming'!AE31-'Grid_Requirement'!AE31))</f>
        <v/>
      </c>
      <c r="AF31">
        <f>IF(COUNTIFS(T_StockCount[RM_Code],$A31,T_StockCount[WeekIndex],31)&gt;0,SUMIFS(T_StockCount[CountedQty],T_StockCount[RM_Code],$A31,T_StockCount[WeekIndex],31),IF((COUNTIFS(T_SelfStock[RM_Code],$A31,T_SelfStock[WeekIndex],31)&gt;0)*(COUNTIFS(T_TTAFStock[RM_Code],$A31,T_TTAFStock[WeekIndex],31)&gt;0)&gt;0,SUMIFS(T_SelfStock[Self_Qty],T_SelfStock[RM_Code],$A31,T_SelfStock[WeekIndex],31)+SUMIFS(T_TTAFStock[TTAF_Qty],T_TTAFStock[RM_Code],$A31,T_TTAFStock[WeekIndex],31),AE31+'Grid_Incoming'!AF31-'Grid_Requirement'!AF31))</f>
        <v/>
      </c>
      <c r="AG31">
        <f>IF(COUNTIFS(T_StockCount[RM_Code],$A31,T_StockCount[WeekIndex],32)&gt;0,SUMIFS(T_StockCount[CountedQty],T_StockCount[RM_Code],$A31,T_StockCount[WeekIndex],32),IF((COUNTIFS(T_SelfStock[RM_Code],$A31,T_SelfStock[WeekIndex],32)&gt;0)*(COUNTIFS(T_TTAFStock[RM_Code],$A31,T_TTAFStock[WeekIndex],32)&gt;0)&gt;0,SUMIFS(T_SelfStock[Self_Qty],T_SelfStock[RM_Code],$A31,T_SelfStock[WeekIndex],32)+SUMIFS(T_TTAFStock[TTAF_Qty],T_TTAFStock[RM_Code],$A31,T_TTAFStock[WeekIndex],32),AF31+'Grid_Incoming'!AG31-'Grid_Requirement'!AG31))</f>
        <v/>
      </c>
      <c r="AH31">
        <f>IF(COUNTIFS(T_StockCount[RM_Code],$A31,T_StockCount[WeekIndex],33)&gt;0,SUMIFS(T_StockCount[CountedQty],T_StockCount[RM_Code],$A31,T_StockCount[WeekIndex],33),IF((COUNTIFS(T_SelfStock[RM_Code],$A31,T_SelfStock[WeekIndex],33)&gt;0)*(COUNTIFS(T_TTAFStock[RM_Code],$A31,T_TTAFStock[WeekIndex],33)&gt;0)&gt;0,SUMIFS(T_SelfStock[Self_Qty],T_SelfStock[RM_Code],$A31,T_SelfStock[WeekIndex],33)+SUMIFS(T_TTAFStock[TTAF_Qty],T_TTAFStock[RM_Code],$A31,T_TTAFStock[WeekIndex],33),AG31+'Grid_Incoming'!AH31-'Grid_Requirement'!AH31))</f>
        <v/>
      </c>
      <c r="AI31">
        <f>IF(COUNTIFS(T_StockCount[RM_Code],$A31,T_StockCount[WeekIndex],34)&gt;0,SUMIFS(T_StockCount[CountedQty],T_StockCount[RM_Code],$A31,T_StockCount[WeekIndex],34),IF((COUNTIFS(T_SelfStock[RM_Code],$A31,T_SelfStock[WeekIndex],34)&gt;0)*(COUNTIFS(T_TTAFStock[RM_Code],$A31,T_TTAFStock[WeekIndex],34)&gt;0)&gt;0,SUMIFS(T_SelfStock[Self_Qty],T_SelfStock[RM_Code],$A31,T_SelfStock[WeekIndex],34)+SUMIFS(T_TTAFStock[TTAF_Qty],T_TTAFStock[RM_Code],$A31,T_TTAFStock[WeekIndex],34),AH31+'Grid_Incoming'!AI31-'Grid_Requirement'!AI31))</f>
        <v/>
      </c>
      <c r="AJ31">
        <f>IF(COUNTIFS(T_StockCount[RM_Code],$A31,T_StockCount[WeekIndex],35)&gt;0,SUMIFS(T_StockCount[CountedQty],T_StockCount[RM_Code],$A31,T_StockCount[WeekIndex],35),IF((COUNTIFS(T_SelfStock[RM_Code],$A31,T_SelfStock[WeekIndex],35)&gt;0)*(COUNTIFS(T_TTAFStock[RM_Code],$A31,T_TTAFStock[WeekIndex],35)&gt;0)&gt;0,SUMIFS(T_SelfStock[Self_Qty],T_SelfStock[RM_Code],$A31,T_SelfStock[WeekIndex],35)+SUMIFS(T_TTAFStock[TTAF_Qty],T_TTAFStock[RM_Code],$A31,T_TTAFStock[WeekIndex],35),AI31+'Grid_Incoming'!AJ31-'Grid_Requirement'!AJ31))</f>
        <v/>
      </c>
      <c r="AK31">
        <f>IF(COUNTIFS(T_StockCount[RM_Code],$A31,T_StockCount[WeekIndex],36)&gt;0,SUMIFS(T_StockCount[CountedQty],T_StockCount[RM_Code],$A31,T_StockCount[WeekIndex],36),IF((COUNTIFS(T_SelfStock[RM_Code],$A31,T_SelfStock[WeekIndex],36)&gt;0)*(COUNTIFS(T_TTAFStock[RM_Code],$A31,T_TTAFStock[WeekIndex],36)&gt;0)&gt;0,SUMIFS(T_SelfStock[Self_Qty],T_SelfStock[RM_Code],$A31,T_SelfStock[WeekIndex],36)+SUMIFS(T_TTAFStock[TTAF_Qty],T_TTAFStock[RM_Code],$A31,T_TTAFStock[WeekIndex],36),AJ31+'Grid_Incoming'!AK31-'Grid_Requirement'!AK31))</f>
        <v/>
      </c>
      <c r="AL31">
        <f>IF(COUNTIFS(T_StockCount[RM_Code],$A31,T_StockCount[WeekIndex],37)&gt;0,SUMIFS(T_StockCount[CountedQty],T_StockCount[RM_Code],$A31,T_StockCount[WeekIndex],37),IF((COUNTIFS(T_SelfStock[RM_Code],$A31,T_SelfStock[WeekIndex],37)&gt;0)*(COUNTIFS(T_TTAFStock[RM_Code],$A31,T_TTAFStock[WeekIndex],37)&gt;0)&gt;0,SUMIFS(T_SelfStock[Self_Qty],T_SelfStock[RM_Code],$A31,T_SelfStock[WeekIndex],37)+SUMIFS(T_TTAFStock[TTAF_Qty],T_TTAFStock[RM_Code],$A31,T_TTAFStock[WeekIndex],37),AK31+'Grid_Incoming'!AL31-'Grid_Requirement'!AL31))</f>
        <v/>
      </c>
      <c r="AM31">
        <f>IF(COUNTIFS(T_StockCount[RM_Code],$A31,T_StockCount[WeekIndex],38)&gt;0,SUMIFS(T_StockCount[CountedQty],T_StockCount[RM_Code],$A31,T_StockCount[WeekIndex],38),IF((COUNTIFS(T_SelfStock[RM_Code],$A31,T_SelfStock[WeekIndex],38)&gt;0)*(COUNTIFS(T_TTAFStock[RM_Code],$A31,T_TTAFStock[WeekIndex],38)&gt;0)&gt;0,SUMIFS(T_SelfStock[Self_Qty],T_SelfStock[RM_Code],$A31,T_SelfStock[WeekIndex],38)+SUMIFS(T_TTAFStock[TTAF_Qty],T_TTAFStock[RM_Code],$A31,T_TTAFStock[WeekIndex],38),AL31+'Grid_Incoming'!AM31-'Grid_Requirement'!AM31))</f>
        <v/>
      </c>
      <c r="AN31">
        <f>IF(COUNTIFS(T_StockCount[RM_Code],$A31,T_StockCount[WeekIndex],39)&gt;0,SUMIFS(T_StockCount[CountedQty],T_StockCount[RM_Code],$A31,T_StockCount[WeekIndex],39),IF((COUNTIFS(T_SelfStock[RM_Code],$A31,T_SelfStock[WeekIndex],39)&gt;0)*(COUNTIFS(T_TTAFStock[RM_Code],$A31,T_TTAFStock[WeekIndex],39)&gt;0)&gt;0,SUMIFS(T_SelfStock[Self_Qty],T_SelfStock[RM_Code],$A31,T_SelfStock[WeekIndex],39)+SUMIFS(T_TTAFStock[TTAF_Qty],T_TTAFStock[RM_Code],$A31,T_TTAFStock[WeekIndex],39),AM31+'Grid_Incoming'!AN31-'Grid_Requirement'!AN31))</f>
        <v/>
      </c>
      <c r="AO31">
        <f>IF(COUNTIFS(T_StockCount[RM_Code],$A31,T_StockCount[WeekIndex],40)&gt;0,SUMIFS(T_StockCount[CountedQty],T_StockCount[RM_Code],$A31,T_StockCount[WeekIndex],40),IF((COUNTIFS(T_SelfStock[RM_Code],$A31,T_SelfStock[WeekIndex],40)&gt;0)*(COUNTIFS(T_TTAFStock[RM_Code],$A31,T_TTAFStock[WeekIndex],40)&gt;0)&gt;0,SUMIFS(T_SelfStock[Self_Qty],T_SelfStock[RM_Code],$A31,T_SelfStock[WeekIndex],40)+SUMIFS(T_TTAFStock[TTAF_Qty],T_TTAFStock[RM_Code],$A31,T_TTAFStock[WeekIndex],40),AN31+'Grid_Incoming'!AO31-'Grid_Requirement'!AO31))</f>
        <v/>
      </c>
      <c r="AP31">
        <f>IF(COUNTIFS(T_StockCount[RM_Code],$A31,T_StockCount[WeekIndex],41)&gt;0,SUMIFS(T_StockCount[CountedQty],T_StockCount[RM_Code],$A31,T_StockCount[WeekIndex],41),IF((COUNTIFS(T_SelfStock[RM_Code],$A31,T_SelfStock[WeekIndex],41)&gt;0)*(COUNTIFS(T_TTAFStock[RM_Code],$A31,T_TTAFStock[WeekIndex],41)&gt;0)&gt;0,SUMIFS(T_SelfStock[Self_Qty],T_SelfStock[RM_Code],$A31,T_SelfStock[WeekIndex],41)+SUMIFS(T_TTAFStock[TTAF_Qty],T_TTAFStock[RM_Code],$A31,T_TTAFStock[WeekIndex],41),AO31+'Grid_Incoming'!AP31-'Grid_Requirement'!AP31))</f>
        <v/>
      </c>
      <c r="AQ31">
        <f>IF(COUNTIFS(T_StockCount[RM_Code],$A31,T_StockCount[WeekIndex],42)&gt;0,SUMIFS(T_StockCount[CountedQty],T_StockCount[RM_Code],$A31,T_StockCount[WeekIndex],42),IF((COUNTIFS(T_SelfStock[RM_Code],$A31,T_SelfStock[WeekIndex],42)&gt;0)*(COUNTIFS(T_TTAFStock[RM_Code],$A31,T_TTAFStock[WeekIndex],42)&gt;0)&gt;0,SUMIFS(T_SelfStock[Self_Qty],T_SelfStock[RM_Code],$A31,T_SelfStock[WeekIndex],42)+SUMIFS(T_TTAFStock[TTAF_Qty],T_TTAFStock[RM_Code],$A31,T_TTAFStock[WeekIndex],42),AP31+'Grid_Incoming'!AQ31-'Grid_Requirement'!AQ31))</f>
        <v/>
      </c>
      <c r="AR31">
        <f>IF(COUNTIFS(T_StockCount[RM_Code],$A31,T_StockCount[WeekIndex],43)&gt;0,SUMIFS(T_StockCount[CountedQty],T_StockCount[RM_Code],$A31,T_StockCount[WeekIndex],43),IF((COUNTIFS(T_SelfStock[RM_Code],$A31,T_SelfStock[WeekIndex],43)&gt;0)*(COUNTIFS(T_TTAFStock[RM_Code],$A31,T_TTAFStock[WeekIndex],43)&gt;0)&gt;0,SUMIFS(T_SelfStock[Self_Qty],T_SelfStock[RM_Code],$A31,T_SelfStock[WeekIndex],43)+SUMIFS(T_TTAFStock[TTAF_Qty],T_TTAFStock[RM_Code],$A31,T_TTAFStock[WeekIndex],43),AQ31+'Grid_Incoming'!AR31-'Grid_Requirement'!AR31))</f>
        <v/>
      </c>
      <c r="AS31">
        <f>IF(COUNTIFS(T_StockCount[RM_Code],$A31,T_StockCount[WeekIndex],44)&gt;0,SUMIFS(T_StockCount[CountedQty],T_StockCount[RM_Code],$A31,T_StockCount[WeekIndex],44),IF((COUNTIFS(T_SelfStock[RM_Code],$A31,T_SelfStock[WeekIndex],44)&gt;0)*(COUNTIFS(T_TTAFStock[RM_Code],$A31,T_TTAFStock[WeekIndex],44)&gt;0)&gt;0,SUMIFS(T_SelfStock[Self_Qty],T_SelfStock[RM_Code],$A31,T_SelfStock[WeekIndex],44)+SUMIFS(T_TTAFStock[TTAF_Qty],T_TTAFStock[RM_Code],$A31,T_TTAFStock[WeekIndex],44),AR31+'Grid_Incoming'!AS31-'Grid_Requirement'!AS31))</f>
        <v/>
      </c>
      <c r="AT31">
        <f>IF(COUNTIFS(T_StockCount[RM_Code],$A31,T_StockCount[WeekIndex],45)&gt;0,SUMIFS(T_StockCount[CountedQty],T_StockCount[RM_Code],$A31,T_StockCount[WeekIndex],45),IF((COUNTIFS(T_SelfStock[RM_Code],$A31,T_SelfStock[WeekIndex],45)&gt;0)*(COUNTIFS(T_TTAFStock[RM_Code],$A31,T_TTAFStock[WeekIndex],45)&gt;0)&gt;0,SUMIFS(T_SelfStock[Self_Qty],T_SelfStock[RM_Code],$A31,T_SelfStock[WeekIndex],45)+SUMIFS(T_TTAFStock[TTAF_Qty],T_TTAFStock[RM_Code],$A31,T_TTAFStock[WeekIndex],45),AS31+'Grid_Incoming'!AT31-'Grid_Requirement'!AT31))</f>
        <v/>
      </c>
      <c r="AU31">
        <f>IF(COUNTIFS(T_StockCount[RM_Code],$A31,T_StockCount[WeekIndex],46)&gt;0,SUMIFS(T_StockCount[CountedQty],T_StockCount[RM_Code],$A31,T_StockCount[WeekIndex],46),IF((COUNTIFS(T_SelfStock[RM_Code],$A31,T_SelfStock[WeekIndex],46)&gt;0)*(COUNTIFS(T_TTAFStock[RM_Code],$A31,T_TTAFStock[WeekIndex],46)&gt;0)&gt;0,SUMIFS(T_SelfStock[Self_Qty],T_SelfStock[RM_Code],$A31,T_SelfStock[WeekIndex],46)+SUMIFS(T_TTAFStock[TTAF_Qty],T_TTAFStock[RM_Code],$A31,T_TTAFStock[WeekIndex],46),AT31+'Grid_Incoming'!AU31-'Grid_Requirement'!AU31))</f>
        <v/>
      </c>
      <c r="AV31">
        <f>IF(COUNTIFS(T_StockCount[RM_Code],$A31,T_StockCount[WeekIndex],47)&gt;0,SUMIFS(T_StockCount[CountedQty],T_StockCount[RM_Code],$A31,T_StockCount[WeekIndex],47),IF((COUNTIFS(T_SelfStock[RM_Code],$A31,T_SelfStock[WeekIndex],47)&gt;0)*(COUNTIFS(T_TTAFStock[RM_Code],$A31,T_TTAFStock[WeekIndex],47)&gt;0)&gt;0,SUMIFS(T_SelfStock[Self_Qty],T_SelfStock[RM_Code],$A31,T_SelfStock[WeekIndex],47)+SUMIFS(T_TTAFStock[TTAF_Qty],T_TTAFStock[RM_Code],$A31,T_TTAFStock[WeekIndex],47),AU31+'Grid_Incoming'!AV31-'Grid_Requirement'!AV31))</f>
        <v/>
      </c>
      <c r="AW31">
        <f>IF(COUNTIFS(T_StockCount[RM_Code],$A31,T_StockCount[WeekIndex],48)&gt;0,SUMIFS(T_StockCount[CountedQty],T_StockCount[RM_Code],$A31,T_StockCount[WeekIndex],48),IF((COUNTIFS(T_SelfStock[RM_Code],$A31,T_SelfStock[WeekIndex],48)&gt;0)*(COUNTIFS(T_TTAFStock[RM_Code],$A31,T_TTAFStock[WeekIndex],48)&gt;0)&gt;0,SUMIFS(T_SelfStock[Self_Qty],T_SelfStock[RM_Code],$A31,T_SelfStock[WeekIndex],48)+SUMIFS(T_TTAFStock[TTAF_Qty],T_TTAFStock[RM_Code],$A31,T_TTAFStock[WeekIndex],48),AV31+'Grid_Incoming'!AW31-'Grid_Requirement'!AW31))</f>
        <v/>
      </c>
      <c r="AX31">
        <f>IF(COUNTIFS(T_StockCount[RM_Code],$A31,T_StockCount[WeekIndex],49)&gt;0,SUMIFS(T_StockCount[CountedQty],T_StockCount[RM_Code],$A31,T_StockCount[WeekIndex],49),IF((COUNTIFS(T_SelfStock[RM_Code],$A31,T_SelfStock[WeekIndex],49)&gt;0)*(COUNTIFS(T_TTAFStock[RM_Code],$A31,T_TTAFStock[WeekIndex],49)&gt;0)&gt;0,SUMIFS(T_SelfStock[Self_Qty],T_SelfStock[RM_Code],$A31,T_SelfStock[WeekIndex],49)+SUMIFS(T_TTAFStock[TTAF_Qty],T_TTAFStock[RM_Code],$A31,T_TTAFStock[WeekIndex],49),AW31+'Grid_Incoming'!AX31-'Grid_Requirement'!AX31))</f>
        <v/>
      </c>
      <c r="AY31">
        <f>IF(COUNTIFS(T_StockCount[RM_Code],$A31,T_StockCount[WeekIndex],50)&gt;0,SUMIFS(T_StockCount[CountedQty],T_StockCount[RM_Code],$A31,T_StockCount[WeekIndex],50),IF((COUNTIFS(T_SelfStock[RM_Code],$A31,T_SelfStock[WeekIndex],50)&gt;0)*(COUNTIFS(T_TTAFStock[RM_Code],$A31,T_TTAFStock[WeekIndex],50)&gt;0)&gt;0,SUMIFS(T_SelfStock[Self_Qty],T_SelfStock[RM_Code],$A31,T_SelfStock[WeekIndex],50)+SUMIFS(T_TTAFStock[TTAF_Qty],T_TTAFStock[RM_Code],$A31,T_TTAFStock[WeekIndex],50),AX31+'Grid_Incoming'!AY31-'Grid_Requirement'!AY31))</f>
        <v/>
      </c>
      <c r="AZ31">
        <f>IF(COUNTIFS(T_StockCount[RM_Code],$A31,T_StockCount[WeekIndex],51)&gt;0,SUMIFS(T_StockCount[CountedQty],T_StockCount[RM_Code],$A31,T_StockCount[WeekIndex],51),IF((COUNTIFS(T_SelfStock[RM_Code],$A31,T_SelfStock[WeekIndex],51)&gt;0)*(COUNTIFS(T_TTAFStock[RM_Code],$A31,T_TTAFStock[WeekIndex],51)&gt;0)&gt;0,SUMIFS(T_SelfStock[Self_Qty],T_SelfStock[RM_Code],$A31,T_SelfStock[WeekIndex],51)+SUMIFS(T_TTAFStock[TTAF_Qty],T_TTAFStock[RM_Code],$A31,T_TTAFStock[WeekIndex],51),AY31+'Grid_Incoming'!AZ31-'Grid_Requirement'!AZ31))</f>
        <v/>
      </c>
      <c r="BA31">
        <f>IF(COUNTIFS(T_StockCount[RM_Code],$A31,T_StockCount[WeekIndex],52)&gt;0,SUMIFS(T_StockCount[CountedQty],T_StockCount[RM_Code],$A31,T_StockCount[WeekIndex],52),IF((COUNTIFS(T_SelfStock[RM_Code],$A31,T_SelfStock[WeekIndex],52)&gt;0)*(COUNTIFS(T_TTAFStock[RM_Code],$A31,T_TTAFStock[WeekIndex],52)&gt;0)&gt;0,SUMIFS(T_SelfStock[Self_Qty],T_SelfStock[RM_Code],$A31,T_SelfStock[WeekIndex],52)+SUMIFS(T_TTAFStock[TTAF_Qty],T_TTAFStock[RM_Code],$A31,T_TTAFStock[WeekIndex],52),AZ31+'Grid_Incoming'!BA31-'Grid_Requirement'!BA31))</f>
        <v/>
      </c>
      <c r="BB31">
        <f>IF(COUNTIFS(T_StockCount[RM_Code],$A31,T_StockCount[WeekIndex],53)&gt;0,SUMIFS(T_StockCount[CountedQty],T_StockCount[RM_Code],$A31,T_StockCount[WeekIndex],53),IF((COUNTIFS(T_SelfStock[RM_Code],$A31,T_SelfStock[WeekIndex],53)&gt;0)*(COUNTIFS(T_TTAFStock[RM_Code],$A31,T_TTAFStock[WeekIndex],53)&gt;0)&gt;0,SUMIFS(T_SelfStock[Self_Qty],T_SelfStock[RM_Code],$A31,T_SelfStock[WeekIndex],53)+SUMIFS(T_TTAFStock[TTAF_Qty],T_TTAFStock[RM_Code],$A31,T_TTAFStock[WeekIndex],53),BA31+'Grid_Incoming'!BB31-'Grid_Requirement'!BB31))</f>
        <v/>
      </c>
      <c r="BC31">
        <f>IF(COUNTIFS(T_StockCount[RM_Code],$A31,T_StockCount[WeekIndex],54)&gt;0,SUMIFS(T_StockCount[CountedQty],T_StockCount[RM_Code],$A31,T_StockCount[WeekIndex],54),IF((COUNTIFS(T_SelfStock[RM_Code],$A31,T_SelfStock[WeekIndex],54)&gt;0)*(COUNTIFS(T_TTAFStock[RM_Code],$A31,T_TTAFStock[WeekIndex],54)&gt;0)&gt;0,SUMIFS(T_SelfStock[Self_Qty],T_SelfStock[RM_Code],$A31,T_SelfStock[WeekIndex],54)+SUMIFS(T_TTAFStock[TTAF_Qty],T_TTAFStock[RM_Code],$A31,T_TTAFStock[WeekIndex],54),BB31+'Grid_Incoming'!BC31-'Grid_Requirement'!BC31))</f>
        <v/>
      </c>
      <c r="BD31">
        <f>IF(COUNTIFS(T_StockCount[RM_Code],$A31,T_StockCount[WeekIndex],55)&gt;0,SUMIFS(T_StockCount[CountedQty],T_StockCount[RM_Code],$A31,T_StockCount[WeekIndex],55),IF((COUNTIFS(T_SelfStock[RM_Code],$A31,T_SelfStock[WeekIndex],55)&gt;0)*(COUNTIFS(T_TTAFStock[RM_Code],$A31,T_TTAFStock[WeekIndex],55)&gt;0)&gt;0,SUMIFS(T_SelfStock[Self_Qty],T_SelfStock[RM_Code],$A31,T_SelfStock[WeekIndex],55)+SUMIFS(T_TTAFStock[TTAF_Qty],T_TTAFStock[RM_Code],$A31,T_TTAFStock[WeekIndex],55),BC31+'Grid_Incoming'!BD31-'Grid_Requirement'!BD31))</f>
        <v/>
      </c>
      <c r="BE31">
        <f>IF(COUNTIFS(T_StockCount[RM_Code],$A31,T_StockCount[WeekIndex],56)&gt;0,SUMIFS(T_StockCount[CountedQty],T_StockCount[RM_Code],$A31,T_StockCount[WeekIndex],56),IF((COUNTIFS(T_SelfStock[RM_Code],$A31,T_SelfStock[WeekIndex],56)&gt;0)*(COUNTIFS(T_TTAFStock[RM_Code],$A31,T_TTAFStock[WeekIndex],56)&gt;0)&gt;0,SUMIFS(T_SelfStock[Self_Qty],T_SelfStock[RM_Code],$A31,T_SelfStock[WeekIndex],56)+SUMIFS(T_TTAFStock[TTAF_Qty],T_TTAFStock[RM_Code],$A31,T_TTAFStock[WeekIndex],56),BD31+'Grid_Incoming'!BE31-'Grid_Requirement'!BE31))</f>
        <v/>
      </c>
      <c r="BF31">
        <f>IF(COUNTIFS(T_StockCount[RM_Code],$A31,T_StockCount[WeekIndex],57)&gt;0,SUMIFS(T_StockCount[CountedQty],T_StockCount[RM_Code],$A31,T_StockCount[WeekIndex],57),IF((COUNTIFS(T_SelfStock[RM_Code],$A31,T_SelfStock[WeekIndex],57)&gt;0)*(COUNTIFS(T_TTAFStock[RM_Code],$A31,T_TTAFStock[WeekIndex],57)&gt;0)&gt;0,SUMIFS(T_SelfStock[Self_Qty],T_SelfStock[RM_Code],$A31,T_SelfStock[WeekIndex],57)+SUMIFS(T_TTAFStock[TTAF_Qty],T_TTAFStock[RM_Code],$A31,T_TTAFStock[WeekIndex],57),BE31+'Grid_Incoming'!BF31-'Grid_Requirement'!BF31))</f>
        <v/>
      </c>
      <c r="BG31">
        <f>IF(COUNTIFS(T_StockCount[RM_Code],$A31,T_StockCount[WeekIndex],58)&gt;0,SUMIFS(T_StockCount[CountedQty],T_StockCount[RM_Code],$A31,T_StockCount[WeekIndex],58),IF((COUNTIFS(T_SelfStock[RM_Code],$A31,T_SelfStock[WeekIndex],58)&gt;0)*(COUNTIFS(T_TTAFStock[RM_Code],$A31,T_TTAFStock[WeekIndex],58)&gt;0)&gt;0,SUMIFS(T_SelfStock[Self_Qty],T_SelfStock[RM_Code],$A31,T_SelfStock[WeekIndex],58)+SUMIFS(T_TTAFStock[TTAF_Qty],T_TTAFStock[RM_Code],$A31,T_TTAFStock[WeekIndex],58),BF31+'Grid_Incoming'!BG31-'Grid_Requirement'!BG31))</f>
        <v/>
      </c>
      <c r="BH31">
        <f>IF(COUNTIFS(T_StockCount[RM_Code],$A31,T_StockCount[WeekIndex],59)&gt;0,SUMIFS(T_StockCount[CountedQty],T_StockCount[RM_Code],$A31,T_StockCount[WeekIndex],59),IF((COUNTIFS(T_SelfStock[RM_Code],$A31,T_SelfStock[WeekIndex],59)&gt;0)*(COUNTIFS(T_TTAFStock[RM_Code],$A31,T_TTAFStock[WeekIndex],59)&gt;0)&gt;0,SUMIFS(T_SelfStock[Self_Qty],T_SelfStock[RM_Code],$A31,T_SelfStock[WeekIndex],59)+SUMIFS(T_TTAFStock[TTAF_Qty],T_TTAFStock[RM_Code],$A31,T_TTAFStock[WeekIndex],59),BG31+'Grid_Incoming'!BH31-'Grid_Requirement'!BH31))</f>
        <v/>
      </c>
      <c r="BI31">
        <f>IF(COUNTIFS(T_StockCount[RM_Code],$A31,T_StockCount[WeekIndex],60)&gt;0,SUMIFS(T_StockCount[CountedQty],T_StockCount[RM_Code],$A31,T_StockCount[WeekIndex],60),IF((COUNTIFS(T_SelfStock[RM_Code],$A31,T_SelfStock[WeekIndex],60)&gt;0)*(COUNTIFS(T_TTAFStock[RM_Code],$A31,T_TTAFStock[WeekIndex],60)&gt;0)&gt;0,SUMIFS(T_SelfStock[Self_Qty],T_SelfStock[RM_Code],$A31,T_SelfStock[WeekIndex],60)+SUMIFS(T_TTAFStock[TTAF_Qty],T_TTAFStock[RM_Code],$A31,T_TTAFStock[WeekIndex],60),BH31+'Grid_Incoming'!BI31-'Grid_Requirement'!BI31))</f>
        <v/>
      </c>
      <c r="BJ31">
        <f>IF(COUNTIFS(T_StockCount[RM_Code],$A31,T_StockCount[WeekIndex],61)&gt;0,SUMIFS(T_StockCount[CountedQty],T_StockCount[RM_Code],$A31,T_StockCount[WeekIndex],61),IF((COUNTIFS(T_SelfStock[RM_Code],$A31,T_SelfStock[WeekIndex],61)&gt;0)*(COUNTIFS(T_TTAFStock[RM_Code],$A31,T_TTAFStock[WeekIndex],61)&gt;0)&gt;0,SUMIFS(T_SelfStock[Self_Qty],T_SelfStock[RM_Code],$A31,T_SelfStock[WeekIndex],61)+SUMIFS(T_TTAFStock[TTAF_Qty],T_TTAFStock[RM_Code],$A31,T_TTAFStock[WeekIndex],61),BI31+'Grid_Incoming'!BJ31-'Grid_Requirement'!BJ31))</f>
        <v/>
      </c>
      <c r="BK31">
        <f>IF(COUNTIFS(T_StockCount[RM_Code],$A31,T_StockCount[WeekIndex],62)&gt;0,SUMIFS(T_StockCount[CountedQty],T_StockCount[RM_Code],$A31,T_StockCount[WeekIndex],62),IF((COUNTIFS(T_SelfStock[RM_Code],$A31,T_SelfStock[WeekIndex],62)&gt;0)*(COUNTIFS(T_TTAFStock[RM_Code],$A31,T_TTAFStock[WeekIndex],62)&gt;0)&gt;0,SUMIFS(T_SelfStock[Self_Qty],T_SelfStock[RM_Code],$A31,T_SelfStock[WeekIndex],62)+SUMIFS(T_TTAFStock[TTAF_Qty],T_TTAFStock[RM_Code],$A31,T_TTAFStock[WeekIndex],62),BJ31+'Grid_Incoming'!BK31-'Grid_Requirement'!BK31))</f>
        <v/>
      </c>
      <c r="BL31">
        <f>IF(COUNTIFS(T_StockCount[RM_Code],$A31,T_StockCount[WeekIndex],63)&gt;0,SUMIFS(T_StockCount[CountedQty],T_StockCount[RM_Code],$A31,T_StockCount[WeekIndex],63),IF((COUNTIFS(T_SelfStock[RM_Code],$A31,T_SelfStock[WeekIndex],63)&gt;0)*(COUNTIFS(T_TTAFStock[RM_Code],$A31,T_TTAFStock[WeekIndex],63)&gt;0)&gt;0,SUMIFS(T_SelfStock[Self_Qty],T_SelfStock[RM_Code],$A31,T_SelfStock[WeekIndex],63)+SUMIFS(T_TTAFStock[TTAF_Qty],T_TTAFStock[RM_Code],$A31,T_TTAFStock[WeekIndex],63),BK31+'Grid_Incoming'!BL31-'Grid_Requirement'!BL31))</f>
        <v/>
      </c>
      <c r="BM31">
        <f>IF(COUNTIFS(T_StockCount[RM_Code],$A31,T_StockCount[WeekIndex],64)&gt;0,SUMIFS(T_StockCount[CountedQty],T_StockCount[RM_Code],$A31,T_StockCount[WeekIndex],64),IF((COUNTIFS(T_SelfStock[RM_Code],$A31,T_SelfStock[WeekIndex],64)&gt;0)*(COUNTIFS(T_TTAFStock[RM_Code],$A31,T_TTAFStock[WeekIndex],64)&gt;0)&gt;0,SUMIFS(T_SelfStock[Self_Qty],T_SelfStock[RM_Code],$A31,T_SelfStock[WeekIndex],64)+SUMIFS(T_TTAFStock[TTAF_Qty],T_TTAFStock[RM_Code],$A31,T_TTAFStock[WeekIndex],64),BL31+'Grid_Incoming'!BM31-'Grid_Requirement'!BM31))</f>
        <v/>
      </c>
      <c r="BN31">
        <f>IF(COUNTIFS(T_StockCount[RM_Code],$A31,T_StockCount[WeekIndex],65)&gt;0,SUMIFS(T_StockCount[CountedQty],T_StockCount[RM_Code],$A31,T_StockCount[WeekIndex],65),IF((COUNTIFS(T_SelfStock[RM_Code],$A31,T_SelfStock[WeekIndex],65)&gt;0)*(COUNTIFS(T_TTAFStock[RM_Code],$A31,T_TTAFStock[WeekIndex],65)&gt;0)&gt;0,SUMIFS(T_SelfStock[Self_Qty],T_SelfStock[RM_Code],$A31,T_SelfStock[WeekIndex],65)+SUMIFS(T_TTAFStock[TTAF_Qty],T_TTAFStock[RM_Code],$A31,T_TTAFStock[WeekIndex],65),BM31+'Grid_Incoming'!BN31-'Grid_Requirement'!BN31))</f>
        <v/>
      </c>
      <c r="BO31">
        <f>IF(COUNTIFS(T_StockCount[RM_Code],$A31,T_StockCount[WeekIndex],66)&gt;0,SUMIFS(T_StockCount[CountedQty],T_StockCount[RM_Code],$A31,T_StockCount[WeekIndex],66),IF((COUNTIFS(T_SelfStock[RM_Code],$A31,T_SelfStock[WeekIndex],66)&gt;0)*(COUNTIFS(T_TTAFStock[RM_Code],$A31,T_TTAFStock[WeekIndex],66)&gt;0)&gt;0,SUMIFS(T_SelfStock[Self_Qty],T_SelfStock[RM_Code],$A31,T_SelfStock[WeekIndex],66)+SUMIFS(T_TTAFStock[TTAF_Qty],T_TTAFStock[RM_Code],$A31,T_TTAFStock[WeekIndex],66),BN31+'Grid_Incoming'!BO31-'Grid_Requirement'!BO31))</f>
        <v/>
      </c>
      <c r="BP31">
        <f>IF(COUNTIFS(T_StockCount[RM_Code],$A31,T_StockCount[WeekIndex],67)&gt;0,SUMIFS(T_StockCount[CountedQty],T_StockCount[RM_Code],$A31,T_StockCount[WeekIndex],67),IF((COUNTIFS(T_SelfStock[RM_Code],$A31,T_SelfStock[WeekIndex],67)&gt;0)*(COUNTIFS(T_TTAFStock[RM_Code],$A31,T_TTAFStock[WeekIndex],67)&gt;0)&gt;0,SUMIFS(T_SelfStock[Self_Qty],T_SelfStock[RM_Code],$A31,T_SelfStock[WeekIndex],67)+SUMIFS(T_TTAFStock[TTAF_Qty],T_TTAFStock[RM_Code],$A31,T_TTAFStock[WeekIndex],67),BO31+'Grid_Incoming'!BP31-'Grid_Requirement'!BP31))</f>
        <v/>
      </c>
      <c r="BQ31">
        <f>IF(COUNTIFS(T_StockCount[RM_Code],$A31,T_StockCount[WeekIndex],68)&gt;0,SUMIFS(T_StockCount[CountedQty],T_StockCount[RM_Code],$A31,T_StockCount[WeekIndex],68),IF((COUNTIFS(T_SelfStock[RM_Code],$A31,T_SelfStock[WeekIndex],68)&gt;0)*(COUNTIFS(T_TTAFStock[RM_Code],$A31,T_TTAFStock[WeekIndex],68)&gt;0)&gt;0,SUMIFS(T_SelfStock[Self_Qty],T_SelfStock[RM_Code],$A31,T_SelfStock[WeekIndex],68)+SUMIFS(T_TTAFStock[TTAF_Qty],T_TTAFStock[RM_Code],$A31,T_TTAFStock[WeekIndex],68),BP31+'Grid_Incoming'!BQ31-'Grid_Requirement'!BQ31))</f>
        <v/>
      </c>
      <c r="BR31">
        <f>IF(COUNTIFS(T_StockCount[RM_Code],$A31,T_StockCount[WeekIndex],69)&gt;0,SUMIFS(T_StockCount[CountedQty],T_StockCount[RM_Code],$A31,T_StockCount[WeekIndex],69),IF((COUNTIFS(T_SelfStock[RM_Code],$A31,T_SelfStock[WeekIndex],69)&gt;0)*(COUNTIFS(T_TTAFStock[RM_Code],$A31,T_TTAFStock[WeekIndex],69)&gt;0)&gt;0,SUMIFS(T_SelfStock[Self_Qty],T_SelfStock[RM_Code],$A31,T_SelfStock[WeekIndex],69)+SUMIFS(T_TTAFStock[TTAF_Qty],T_TTAFStock[RM_Code],$A31,T_TTAFStock[WeekIndex],69),BQ31+'Grid_Incoming'!BR31-'Grid_Requirement'!BR31))</f>
        <v/>
      </c>
      <c r="BS31">
        <f>IF(COUNTIFS(T_StockCount[RM_Code],$A31,T_StockCount[WeekIndex],70)&gt;0,SUMIFS(T_StockCount[CountedQty],T_StockCount[RM_Code],$A31,T_StockCount[WeekIndex],70),IF((COUNTIFS(T_SelfStock[RM_Code],$A31,T_SelfStock[WeekIndex],70)&gt;0)*(COUNTIFS(T_TTAFStock[RM_Code],$A31,T_TTAFStock[WeekIndex],70)&gt;0)&gt;0,SUMIFS(T_SelfStock[Self_Qty],T_SelfStock[RM_Code],$A31,T_SelfStock[WeekIndex],70)+SUMIFS(T_TTAFStock[TTAF_Qty],T_TTAFStock[RM_Code],$A31,T_TTAFStock[WeekIndex],70),BR31+'Grid_Incoming'!BS31-'Grid_Requirement'!BS31))</f>
        <v/>
      </c>
      <c r="BT31">
        <f>IF(COUNTIFS(T_StockCount[RM_Code],$A31,T_StockCount[WeekIndex],71)&gt;0,SUMIFS(T_StockCount[CountedQty],T_StockCount[RM_Code],$A31,T_StockCount[WeekIndex],71),IF((COUNTIFS(T_SelfStock[RM_Code],$A31,T_SelfStock[WeekIndex],71)&gt;0)*(COUNTIFS(T_TTAFStock[RM_Code],$A31,T_TTAFStock[WeekIndex],71)&gt;0)&gt;0,SUMIFS(T_SelfStock[Self_Qty],T_SelfStock[RM_Code],$A31,T_SelfStock[WeekIndex],71)+SUMIFS(T_TTAFStock[TTAF_Qty],T_TTAFStock[RM_Code],$A31,T_TTAFStock[WeekIndex],71),BS31+'Grid_Incoming'!BT31-'Grid_Requirement'!BT31))</f>
        <v/>
      </c>
      <c r="BU31">
        <f>IF(COUNTIFS(T_StockCount[RM_Code],$A31,T_StockCount[WeekIndex],72)&gt;0,SUMIFS(T_StockCount[CountedQty],T_StockCount[RM_Code],$A31,T_StockCount[WeekIndex],72),IF((COUNTIFS(T_SelfStock[RM_Code],$A31,T_SelfStock[WeekIndex],72)&gt;0)*(COUNTIFS(T_TTAFStock[RM_Code],$A31,T_TTAFStock[WeekIndex],72)&gt;0)&gt;0,SUMIFS(T_SelfStock[Self_Qty],T_SelfStock[RM_Code],$A31,T_SelfStock[WeekIndex],72)+SUMIFS(T_TTAFStock[TTAF_Qty],T_TTAFStock[RM_Code],$A31,T_TTAFStock[WeekIndex],72),BT31+'Grid_Incoming'!BU31-'Grid_Requirement'!BU31))</f>
        <v/>
      </c>
      <c r="BV31">
        <f>IF(COUNTIFS(T_StockCount[RM_Code],$A31,T_StockCount[WeekIndex],73)&gt;0,SUMIFS(T_StockCount[CountedQty],T_StockCount[RM_Code],$A31,T_StockCount[WeekIndex],73),IF((COUNTIFS(T_SelfStock[RM_Code],$A31,T_SelfStock[WeekIndex],73)&gt;0)*(COUNTIFS(T_TTAFStock[RM_Code],$A31,T_TTAFStock[WeekIndex],73)&gt;0)&gt;0,SUMIFS(T_SelfStock[Self_Qty],T_SelfStock[RM_Code],$A31,T_SelfStock[WeekIndex],73)+SUMIFS(T_TTAFStock[TTAF_Qty],T_TTAFStock[RM_Code],$A31,T_TTAFStock[WeekIndex],73),BU31+'Grid_Incoming'!BV31-'Grid_Requirement'!BV31))</f>
        <v/>
      </c>
      <c r="BW31">
        <f>IF(COUNTIFS(T_StockCount[RM_Code],$A31,T_StockCount[WeekIndex],74)&gt;0,SUMIFS(T_StockCount[CountedQty],T_StockCount[RM_Code],$A31,T_StockCount[WeekIndex],74),IF((COUNTIFS(T_SelfStock[RM_Code],$A31,T_SelfStock[WeekIndex],74)&gt;0)*(COUNTIFS(T_TTAFStock[RM_Code],$A31,T_TTAFStock[WeekIndex],74)&gt;0)&gt;0,SUMIFS(T_SelfStock[Self_Qty],T_SelfStock[RM_Code],$A31,T_SelfStock[WeekIndex],74)+SUMIFS(T_TTAFStock[TTAF_Qty],T_TTAFStock[RM_Code],$A31,T_TTAFStock[WeekIndex],74),BV31+'Grid_Incoming'!BW31-'Grid_Requirement'!BW31))</f>
        <v/>
      </c>
      <c r="BX31">
        <f>IF(COUNTIFS(T_StockCount[RM_Code],$A31,T_StockCount[WeekIndex],75)&gt;0,SUMIFS(T_StockCount[CountedQty],T_StockCount[RM_Code],$A31,T_StockCount[WeekIndex],75),IF((COUNTIFS(T_SelfStock[RM_Code],$A31,T_SelfStock[WeekIndex],75)&gt;0)*(COUNTIFS(T_TTAFStock[RM_Code],$A31,T_TTAFStock[WeekIndex],75)&gt;0)&gt;0,SUMIFS(T_SelfStock[Self_Qty],T_SelfStock[RM_Code],$A31,T_SelfStock[WeekIndex],75)+SUMIFS(T_TTAFStock[TTAF_Qty],T_TTAFStock[RM_Code],$A31,T_TTAFStock[WeekIndex],75),BW31+'Grid_Incoming'!BX31-'Grid_Requirement'!BX31))</f>
        <v/>
      </c>
      <c r="BY31">
        <f>IF(COUNTIFS(T_StockCount[RM_Code],$A31,T_StockCount[WeekIndex],76)&gt;0,SUMIFS(T_StockCount[CountedQty],T_StockCount[RM_Code],$A31,T_StockCount[WeekIndex],76),IF((COUNTIFS(T_SelfStock[RM_Code],$A31,T_SelfStock[WeekIndex],76)&gt;0)*(COUNTIFS(T_TTAFStock[RM_Code],$A31,T_TTAFStock[WeekIndex],76)&gt;0)&gt;0,SUMIFS(T_SelfStock[Self_Qty],T_SelfStock[RM_Code],$A31,T_SelfStock[WeekIndex],76)+SUMIFS(T_TTAFStock[TTAF_Qty],T_TTAFStock[RM_Code],$A31,T_TTAFStock[WeekIndex],76),BX31+'Grid_Incoming'!BY31-'Grid_Requirement'!BY31))</f>
        <v/>
      </c>
      <c r="BZ31">
        <f>IF(COUNTIFS(T_StockCount[RM_Code],$A31,T_StockCount[WeekIndex],77)&gt;0,SUMIFS(T_StockCount[CountedQty],T_StockCount[RM_Code],$A31,T_StockCount[WeekIndex],77),IF((COUNTIFS(T_SelfStock[RM_Code],$A31,T_SelfStock[WeekIndex],77)&gt;0)*(COUNTIFS(T_TTAFStock[RM_Code],$A31,T_TTAFStock[WeekIndex],77)&gt;0)&gt;0,SUMIFS(T_SelfStock[Self_Qty],T_SelfStock[RM_Code],$A31,T_SelfStock[WeekIndex],77)+SUMIFS(T_TTAFStock[TTAF_Qty],T_TTAFStock[RM_Code],$A31,T_TTAFStock[WeekIndex],77),BY31+'Grid_Incoming'!BZ31-'Grid_Requirement'!BZ31))</f>
        <v/>
      </c>
      <c r="CA31">
        <f>IF(COUNTIFS(T_StockCount[RM_Code],$A31,T_StockCount[WeekIndex],78)&gt;0,SUMIFS(T_StockCount[CountedQty],T_StockCount[RM_Code],$A31,T_StockCount[WeekIndex],78),IF((COUNTIFS(T_SelfStock[RM_Code],$A31,T_SelfStock[WeekIndex],78)&gt;0)*(COUNTIFS(T_TTAFStock[RM_Code],$A31,T_TTAFStock[WeekIndex],78)&gt;0)&gt;0,SUMIFS(T_SelfStock[Self_Qty],T_SelfStock[RM_Code],$A31,T_SelfStock[WeekIndex],78)+SUMIFS(T_TTAFStock[TTAF_Qty],T_TTAFStock[RM_Code],$A31,T_TTAFStock[WeekIndex],78),BZ31+'Grid_Incoming'!CA31-'Grid_Requirement'!CA31))</f>
        <v/>
      </c>
      <c r="CB31">
        <f>IF(COUNTIFS(T_StockCount[RM_Code],$A31,T_StockCount[WeekIndex],79)&gt;0,SUMIFS(T_StockCount[CountedQty],T_StockCount[RM_Code],$A31,T_StockCount[WeekIndex],79),IF((COUNTIFS(T_SelfStock[RM_Code],$A31,T_SelfStock[WeekIndex],79)&gt;0)*(COUNTIFS(T_TTAFStock[RM_Code],$A31,T_TTAFStock[WeekIndex],79)&gt;0)&gt;0,SUMIFS(T_SelfStock[Self_Qty],T_SelfStock[RM_Code],$A31,T_SelfStock[WeekIndex],79)+SUMIFS(T_TTAFStock[TTAF_Qty],T_TTAFStock[RM_Code],$A31,T_TTAFStock[WeekIndex],79),CA31+'Grid_Incoming'!CB31-'Grid_Requirement'!CB31))</f>
        <v/>
      </c>
      <c r="CC31">
        <f>IF(COUNTIFS(T_StockCount[RM_Code],$A31,T_StockCount[WeekIndex],80)&gt;0,SUMIFS(T_StockCount[CountedQty],T_StockCount[RM_Code],$A31,T_StockCount[WeekIndex],80),IF((COUNTIFS(T_SelfStock[RM_Code],$A31,T_SelfStock[WeekIndex],80)&gt;0)*(COUNTIFS(T_TTAFStock[RM_Code],$A31,T_TTAFStock[WeekIndex],80)&gt;0)&gt;0,SUMIFS(T_SelfStock[Self_Qty],T_SelfStock[RM_Code],$A31,T_SelfStock[WeekIndex],80)+SUMIFS(T_TTAFStock[TTAF_Qty],T_TTAFStock[RM_Code],$A31,T_TTAFStock[WeekIndex],80),CB31+'Grid_Incoming'!CC31-'Grid_Requirement'!CC31))</f>
        <v/>
      </c>
      <c r="CD31">
        <f>IF(COUNTIFS(T_StockCount[RM_Code],$A31,T_StockCount[WeekIndex],81)&gt;0,SUMIFS(T_StockCount[CountedQty],T_StockCount[RM_Code],$A31,T_StockCount[WeekIndex],81),IF((COUNTIFS(T_SelfStock[RM_Code],$A31,T_SelfStock[WeekIndex],81)&gt;0)*(COUNTIFS(T_TTAFStock[RM_Code],$A31,T_TTAFStock[WeekIndex],81)&gt;0)&gt;0,SUMIFS(T_SelfStock[Self_Qty],T_SelfStock[RM_Code],$A31,T_SelfStock[WeekIndex],81)+SUMIFS(T_TTAFStock[TTAF_Qty],T_TTAFStock[RM_Code],$A31,T_TTAFStock[WeekIndex],81),CC31+'Grid_Incoming'!CD31-'Grid_Requirement'!CD31))</f>
        <v/>
      </c>
      <c r="CE31">
        <f>IF(COUNTIFS(T_StockCount[RM_Code],$A31,T_StockCount[WeekIndex],82)&gt;0,SUMIFS(T_StockCount[CountedQty],T_StockCount[RM_Code],$A31,T_StockCount[WeekIndex],82),IF((COUNTIFS(T_SelfStock[RM_Code],$A31,T_SelfStock[WeekIndex],82)&gt;0)*(COUNTIFS(T_TTAFStock[RM_Code],$A31,T_TTAFStock[WeekIndex],82)&gt;0)&gt;0,SUMIFS(T_SelfStock[Self_Qty],T_SelfStock[RM_Code],$A31,T_SelfStock[WeekIndex],82)+SUMIFS(T_TTAFStock[TTAF_Qty],T_TTAFStock[RM_Code],$A31,T_TTAFStock[WeekIndex],82),CD31+'Grid_Incoming'!CE31-'Grid_Requirement'!CE31))</f>
        <v/>
      </c>
      <c r="CF31">
        <f>IF(COUNTIFS(T_StockCount[RM_Code],$A31,T_StockCount[WeekIndex],83)&gt;0,SUMIFS(T_StockCount[CountedQty],T_StockCount[RM_Code],$A31,T_StockCount[WeekIndex],83),IF((COUNTIFS(T_SelfStock[RM_Code],$A31,T_SelfStock[WeekIndex],83)&gt;0)*(COUNTIFS(T_TTAFStock[RM_Code],$A31,T_TTAFStock[WeekIndex],83)&gt;0)&gt;0,SUMIFS(T_SelfStock[Self_Qty],T_SelfStock[RM_Code],$A31,T_SelfStock[WeekIndex],83)+SUMIFS(T_TTAFStock[TTAF_Qty],T_TTAFStock[RM_Code],$A31,T_TTAFStock[WeekIndex],83),CE31+'Grid_Incoming'!CF31-'Grid_Requirement'!CF31))</f>
        <v/>
      </c>
      <c r="CG31">
        <f>IF(COUNTIFS(T_StockCount[RM_Code],$A31,T_StockCount[WeekIndex],84)&gt;0,SUMIFS(T_StockCount[CountedQty],T_StockCount[RM_Code],$A31,T_StockCount[WeekIndex],84),IF((COUNTIFS(T_SelfStock[RM_Code],$A31,T_SelfStock[WeekIndex],84)&gt;0)*(COUNTIFS(T_TTAFStock[RM_Code],$A31,T_TTAFStock[WeekIndex],84)&gt;0)&gt;0,SUMIFS(T_SelfStock[Self_Qty],T_SelfStock[RM_Code],$A31,T_SelfStock[WeekIndex],84)+SUMIFS(T_TTAFStock[TTAF_Qty],T_TTAFStock[RM_Code],$A31,T_TTAFStock[WeekIndex],84),CF31+'Grid_Incoming'!CG31-'Grid_Requirement'!CG31))</f>
        <v/>
      </c>
      <c r="CH31">
        <f>IF(COUNTIFS(T_StockCount[RM_Code],$A31,T_StockCount[WeekIndex],85)&gt;0,SUMIFS(T_StockCount[CountedQty],T_StockCount[RM_Code],$A31,T_StockCount[WeekIndex],85),IF((COUNTIFS(T_SelfStock[RM_Code],$A31,T_SelfStock[WeekIndex],85)&gt;0)*(COUNTIFS(T_TTAFStock[RM_Code],$A31,T_TTAFStock[WeekIndex],85)&gt;0)&gt;0,SUMIFS(T_SelfStock[Self_Qty],T_SelfStock[RM_Code],$A31,T_SelfStock[WeekIndex],85)+SUMIFS(T_TTAFStock[TTAF_Qty],T_TTAFStock[RM_Code],$A31,T_TTAFStock[WeekIndex],85),CG31+'Grid_Incoming'!CH31-'Grid_Requirement'!CH31))</f>
        <v/>
      </c>
      <c r="CI31">
        <f>IF(COUNTIFS(T_StockCount[RM_Code],$A31,T_StockCount[WeekIndex],86)&gt;0,SUMIFS(T_StockCount[CountedQty],T_StockCount[RM_Code],$A31,T_StockCount[WeekIndex],86),IF((COUNTIFS(T_SelfStock[RM_Code],$A31,T_SelfStock[WeekIndex],86)&gt;0)*(COUNTIFS(T_TTAFStock[RM_Code],$A31,T_TTAFStock[WeekIndex],86)&gt;0)&gt;0,SUMIFS(T_SelfStock[Self_Qty],T_SelfStock[RM_Code],$A31,T_SelfStock[WeekIndex],86)+SUMIFS(T_TTAFStock[TTAF_Qty],T_TTAFStock[RM_Code],$A31,T_TTAFStock[WeekIndex],86),CH31+'Grid_Incoming'!CI31-'Grid_Requirement'!CI31))</f>
        <v/>
      </c>
      <c r="CJ31">
        <f>IF(COUNTIFS(T_StockCount[RM_Code],$A31,T_StockCount[WeekIndex],87)&gt;0,SUMIFS(T_StockCount[CountedQty],T_StockCount[RM_Code],$A31,T_StockCount[WeekIndex],87),IF((COUNTIFS(T_SelfStock[RM_Code],$A31,T_SelfStock[WeekIndex],87)&gt;0)*(COUNTIFS(T_TTAFStock[RM_Code],$A31,T_TTAFStock[WeekIndex],87)&gt;0)&gt;0,SUMIFS(T_SelfStock[Self_Qty],T_SelfStock[RM_Code],$A31,T_SelfStock[WeekIndex],87)+SUMIFS(T_TTAFStock[TTAF_Qty],T_TTAFStock[RM_Code],$A31,T_TTAFStock[WeekIndex],87),CI31+'Grid_Incoming'!CJ31-'Grid_Requirement'!CJ31))</f>
        <v/>
      </c>
      <c r="CK31">
        <f>IF(COUNTIFS(T_StockCount[RM_Code],$A31,T_StockCount[WeekIndex],88)&gt;0,SUMIFS(T_StockCount[CountedQty],T_StockCount[RM_Code],$A31,T_StockCount[WeekIndex],88),IF((COUNTIFS(T_SelfStock[RM_Code],$A31,T_SelfStock[WeekIndex],88)&gt;0)*(COUNTIFS(T_TTAFStock[RM_Code],$A31,T_TTAFStock[WeekIndex],88)&gt;0)&gt;0,SUMIFS(T_SelfStock[Self_Qty],T_SelfStock[RM_Code],$A31,T_SelfStock[WeekIndex],88)+SUMIFS(T_TTAFStock[TTAF_Qty],T_TTAFStock[RM_Code],$A31,T_TTAFStock[WeekIndex],88),CJ31+'Grid_Incoming'!CK31-'Grid_Requirement'!CK31))</f>
        <v/>
      </c>
      <c r="CL31">
        <f>IF(COUNTIFS(T_StockCount[RM_Code],$A31,T_StockCount[WeekIndex],89)&gt;0,SUMIFS(T_StockCount[CountedQty],T_StockCount[RM_Code],$A31,T_StockCount[WeekIndex],89),IF((COUNTIFS(T_SelfStock[RM_Code],$A31,T_SelfStock[WeekIndex],89)&gt;0)*(COUNTIFS(T_TTAFStock[RM_Code],$A31,T_TTAFStock[WeekIndex],89)&gt;0)&gt;0,SUMIFS(T_SelfStock[Self_Qty],T_SelfStock[RM_Code],$A31,T_SelfStock[WeekIndex],89)+SUMIFS(T_TTAFStock[TTAF_Qty],T_TTAFStock[RM_Code],$A31,T_TTAFStock[WeekIndex],89),CK31+'Grid_Incoming'!CL31-'Grid_Requirement'!CL31))</f>
        <v/>
      </c>
      <c r="CM31">
        <f>IF(COUNTIFS(T_StockCount[RM_Code],$A31,T_StockCount[WeekIndex],90)&gt;0,SUMIFS(T_StockCount[CountedQty],T_StockCount[RM_Code],$A31,T_StockCount[WeekIndex],90),IF((COUNTIFS(T_SelfStock[RM_Code],$A31,T_SelfStock[WeekIndex],90)&gt;0)*(COUNTIFS(T_TTAFStock[RM_Code],$A31,T_TTAFStock[WeekIndex],90)&gt;0)&gt;0,SUMIFS(T_SelfStock[Self_Qty],T_SelfStock[RM_Code],$A31,T_SelfStock[WeekIndex],90)+SUMIFS(T_TTAFStock[TTAF_Qty],T_TTAFStock[RM_Code],$A31,T_TTAFStock[WeekIndex],90),CL31+'Grid_Incoming'!CM31-'Grid_Requirement'!CM31))</f>
        <v/>
      </c>
      <c r="CN31">
        <f>IF(COUNTIFS(T_StockCount[RM_Code],$A31,T_StockCount[WeekIndex],91)&gt;0,SUMIFS(T_StockCount[CountedQty],T_StockCount[RM_Code],$A31,T_StockCount[WeekIndex],91),IF((COUNTIFS(T_SelfStock[RM_Code],$A31,T_SelfStock[WeekIndex],91)&gt;0)*(COUNTIFS(T_TTAFStock[RM_Code],$A31,T_TTAFStock[WeekIndex],91)&gt;0)&gt;0,SUMIFS(T_SelfStock[Self_Qty],T_SelfStock[RM_Code],$A31,T_SelfStock[WeekIndex],91)+SUMIFS(T_TTAFStock[TTAF_Qty],T_TTAFStock[RM_Code],$A31,T_TTAFStock[WeekIndex],91),CM31+'Grid_Incoming'!CN31-'Grid_Requirement'!CN31))</f>
        <v/>
      </c>
      <c r="CO31">
        <f>IF(COUNTIFS(T_StockCount[RM_Code],$A31,T_StockCount[WeekIndex],92)&gt;0,SUMIFS(T_StockCount[CountedQty],T_StockCount[RM_Code],$A31,T_StockCount[WeekIndex],92),IF((COUNTIFS(T_SelfStock[RM_Code],$A31,T_SelfStock[WeekIndex],92)&gt;0)*(COUNTIFS(T_TTAFStock[RM_Code],$A31,T_TTAFStock[WeekIndex],92)&gt;0)&gt;0,SUMIFS(T_SelfStock[Self_Qty],T_SelfStock[RM_Code],$A31,T_SelfStock[WeekIndex],92)+SUMIFS(T_TTAFStock[TTAF_Qty],T_TTAFStock[RM_Code],$A31,T_TTAFStock[WeekIndex],92),CN31+'Grid_Incoming'!CO31-'Grid_Requirement'!CO31))</f>
        <v/>
      </c>
      <c r="CP31">
        <f>IF(COUNTIFS(T_StockCount[RM_Code],$A31,T_StockCount[WeekIndex],93)&gt;0,SUMIFS(T_StockCount[CountedQty],T_StockCount[RM_Code],$A31,T_StockCount[WeekIndex],93),IF((COUNTIFS(T_SelfStock[RM_Code],$A31,T_SelfStock[WeekIndex],93)&gt;0)*(COUNTIFS(T_TTAFStock[RM_Code],$A31,T_TTAFStock[WeekIndex],93)&gt;0)&gt;0,SUMIFS(T_SelfStock[Self_Qty],T_SelfStock[RM_Code],$A31,T_SelfStock[WeekIndex],93)+SUMIFS(T_TTAFStock[TTAF_Qty],T_TTAFStock[RM_Code],$A31,T_TTAFStock[WeekIndex],93),CO31+'Grid_Incoming'!CP31-'Grid_Requirement'!CP31))</f>
        <v/>
      </c>
      <c r="CQ31">
        <f>IF(COUNTIFS(T_StockCount[RM_Code],$A31,T_StockCount[WeekIndex],94)&gt;0,SUMIFS(T_StockCount[CountedQty],T_StockCount[RM_Code],$A31,T_StockCount[WeekIndex],94),IF((COUNTIFS(T_SelfStock[RM_Code],$A31,T_SelfStock[WeekIndex],94)&gt;0)*(COUNTIFS(T_TTAFStock[RM_Code],$A31,T_TTAFStock[WeekIndex],94)&gt;0)&gt;0,SUMIFS(T_SelfStock[Self_Qty],T_SelfStock[RM_Code],$A31,T_SelfStock[WeekIndex],94)+SUMIFS(T_TTAFStock[TTAF_Qty],T_TTAFStock[RM_Code],$A31,T_TTAFStock[WeekIndex],94),CP31+'Grid_Incoming'!CQ31-'Grid_Requirement'!CQ31))</f>
        <v/>
      </c>
      <c r="CR31">
        <f>IF(COUNTIFS(T_StockCount[RM_Code],$A31,T_StockCount[WeekIndex],95)&gt;0,SUMIFS(T_StockCount[CountedQty],T_StockCount[RM_Code],$A31,T_StockCount[WeekIndex],95),IF((COUNTIFS(T_SelfStock[RM_Code],$A31,T_SelfStock[WeekIndex],95)&gt;0)*(COUNTIFS(T_TTAFStock[RM_Code],$A31,T_TTAFStock[WeekIndex],95)&gt;0)&gt;0,SUMIFS(T_SelfStock[Self_Qty],T_SelfStock[RM_Code],$A31,T_SelfStock[WeekIndex],95)+SUMIFS(T_TTAFStock[TTAF_Qty],T_TTAFStock[RM_Code],$A31,T_TTAFStock[WeekIndex],95),CQ31+'Grid_Incoming'!CR31-'Grid_Requirement'!CR31))</f>
        <v/>
      </c>
      <c r="CS31">
        <f>IF(COUNTIFS(T_StockCount[RM_Code],$A31,T_StockCount[WeekIndex],96)&gt;0,SUMIFS(T_StockCount[CountedQty],T_StockCount[RM_Code],$A31,T_StockCount[WeekIndex],96),IF((COUNTIFS(T_SelfStock[RM_Code],$A31,T_SelfStock[WeekIndex],96)&gt;0)*(COUNTIFS(T_TTAFStock[RM_Code],$A31,T_TTAFStock[WeekIndex],96)&gt;0)&gt;0,SUMIFS(T_SelfStock[Self_Qty],T_SelfStock[RM_Code],$A31,T_SelfStock[WeekIndex],96)+SUMIFS(T_TTAFStock[TTAF_Qty],T_TTAFStock[RM_Code],$A31,T_TTAFStock[WeekIndex],96),CR31+'Grid_Incoming'!CS31-'Grid_Requirement'!CS31))</f>
        <v/>
      </c>
      <c r="CT31">
        <f>IF(COUNTIFS(T_StockCount[RM_Code],$A31,T_StockCount[WeekIndex],97)&gt;0,SUMIFS(T_StockCount[CountedQty],T_StockCount[RM_Code],$A31,T_StockCount[WeekIndex],97),IF((COUNTIFS(T_SelfStock[RM_Code],$A31,T_SelfStock[WeekIndex],97)&gt;0)*(COUNTIFS(T_TTAFStock[RM_Code],$A31,T_TTAFStock[WeekIndex],97)&gt;0)&gt;0,SUMIFS(T_SelfStock[Self_Qty],T_SelfStock[RM_Code],$A31,T_SelfStock[WeekIndex],97)+SUMIFS(T_TTAFStock[TTAF_Qty],T_TTAFStock[RM_Code],$A31,T_TTAFStock[WeekIndex],97),CS31+'Grid_Incoming'!CT31-'Grid_Requirement'!CT31))</f>
        <v/>
      </c>
      <c r="CU31">
        <f>IF(COUNTIFS(T_StockCount[RM_Code],$A31,T_StockCount[WeekIndex],98)&gt;0,SUMIFS(T_StockCount[CountedQty],T_StockCount[RM_Code],$A31,T_StockCount[WeekIndex],98),IF((COUNTIFS(T_SelfStock[RM_Code],$A31,T_SelfStock[WeekIndex],98)&gt;0)*(COUNTIFS(T_TTAFStock[RM_Code],$A31,T_TTAFStock[WeekIndex],98)&gt;0)&gt;0,SUMIFS(T_SelfStock[Self_Qty],T_SelfStock[RM_Code],$A31,T_SelfStock[WeekIndex],98)+SUMIFS(T_TTAFStock[TTAF_Qty],T_TTAFStock[RM_Code],$A31,T_TTAFStock[WeekIndex],98),CT31+'Grid_Incoming'!CU31-'Grid_Requirement'!CU31))</f>
        <v/>
      </c>
      <c r="CV31">
        <f>IF(COUNTIFS(T_StockCount[RM_Code],$A31,T_StockCount[WeekIndex],99)&gt;0,SUMIFS(T_StockCount[CountedQty],T_StockCount[RM_Code],$A31,T_StockCount[WeekIndex],99),IF((COUNTIFS(T_SelfStock[RM_Code],$A31,T_SelfStock[WeekIndex],99)&gt;0)*(COUNTIFS(T_TTAFStock[RM_Code],$A31,T_TTAFStock[WeekIndex],99)&gt;0)&gt;0,SUMIFS(T_SelfStock[Self_Qty],T_SelfStock[RM_Code],$A31,T_SelfStock[WeekIndex],99)+SUMIFS(T_TTAFStock[TTAF_Qty],T_TTAFStock[RM_Code],$A31,T_TTAFStock[WeekIndex],99),CU31+'Grid_Incoming'!CV31-'Grid_Requirement'!CV31))</f>
        <v/>
      </c>
      <c r="CW31">
        <f>IF(COUNTIFS(T_StockCount[RM_Code],$A31,T_StockCount[WeekIndex],100)&gt;0,SUMIFS(T_StockCount[CountedQty],T_StockCount[RM_Code],$A31,T_StockCount[WeekIndex],100),IF((COUNTIFS(T_SelfStock[RM_Code],$A31,T_SelfStock[WeekIndex],100)&gt;0)*(COUNTIFS(T_TTAFStock[RM_Code],$A31,T_TTAFStock[WeekIndex],100)&gt;0)&gt;0,SUMIFS(T_SelfStock[Self_Qty],T_SelfStock[RM_Code],$A31,T_SelfStock[WeekIndex],100)+SUMIFS(T_TTAFStock[TTAF_Qty],T_TTAFStock[RM_Code],$A31,T_TTAFStock[WeekIndex],100),CV31+'Grid_Incoming'!CW31-'Grid_Requirement'!CW31))</f>
        <v/>
      </c>
      <c r="CX31">
        <f>IF(COUNTIFS(T_StockCount[RM_Code],$A31,T_StockCount[WeekIndex],101)&gt;0,SUMIFS(T_StockCount[CountedQty],T_StockCount[RM_Code],$A31,T_StockCount[WeekIndex],101),IF((COUNTIFS(T_SelfStock[RM_Code],$A31,T_SelfStock[WeekIndex],101)&gt;0)*(COUNTIFS(T_TTAFStock[RM_Code],$A31,T_TTAFStock[WeekIndex],101)&gt;0)&gt;0,SUMIFS(T_SelfStock[Self_Qty],T_SelfStock[RM_Code],$A31,T_SelfStock[WeekIndex],101)+SUMIFS(T_TTAFStock[TTAF_Qty],T_TTAFStock[RM_Code],$A31,T_TTAFStock[WeekIndex],101),CW31+'Grid_Incoming'!CX31-'Grid_Requirement'!CX31))</f>
        <v/>
      </c>
      <c r="CY31">
        <f>IF(COUNTIFS(T_StockCount[RM_Code],$A31,T_StockCount[WeekIndex],102)&gt;0,SUMIFS(T_StockCount[CountedQty],T_StockCount[RM_Code],$A31,T_StockCount[WeekIndex],102),IF((COUNTIFS(T_SelfStock[RM_Code],$A31,T_SelfStock[WeekIndex],102)&gt;0)*(COUNTIFS(T_TTAFStock[RM_Code],$A31,T_TTAFStock[WeekIndex],102)&gt;0)&gt;0,SUMIFS(T_SelfStock[Self_Qty],T_SelfStock[RM_Code],$A31,T_SelfStock[WeekIndex],102)+SUMIFS(T_TTAFStock[TTAF_Qty],T_TTAFStock[RM_Code],$A31,T_TTAFStock[WeekIndex],102),CX31+'Grid_Incoming'!CY31-'Grid_Requirement'!CY31))</f>
        <v/>
      </c>
      <c r="CZ31">
        <f>IF(COUNTIFS(T_StockCount[RM_Code],$A31,T_StockCount[WeekIndex],103)&gt;0,SUMIFS(T_StockCount[CountedQty],T_StockCount[RM_Code],$A31,T_StockCount[WeekIndex],103),IF((COUNTIFS(T_SelfStock[RM_Code],$A31,T_SelfStock[WeekIndex],103)&gt;0)*(COUNTIFS(T_TTAFStock[RM_Code],$A31,T_TTAFStock[WeekIndex],103)&gt;0)&gt;0,SUMIFS(T_SelfStock[Self_Qty],T_SelfStock[RM_Code],$A31,T_SelfStock[WeekIndex],103)+SUMIFS(T_TTAFStock[TTAF_Qty],T_TTAFStock[RM_Code],$A31,T_TTAFStock[WeekIndex],103),CY31+'Grid_Incoming'!CZ31-'Grid_Requirement'!CZ31))</f>
        <v/>
      </c>
      <c r="DA31">
        <f>IF(COUNTIFS(T_StockCount[RM_Code],$A31,T_StockCount[WeekIndex],104)&gt;0,SUMIFS(T_StockCount[CountedQty],T_StockCount[RM_Code],$A31,T_StockCount[WeekIndex],104),IF((COUNTIFS(T_SelfStock[RM_Code],$A31,T_SelfStock[WeekIndex],104)&gt;0)*(COUNTIFS(T_TTAFStock[RM_Code],$A31,T_TTAFStock[WeekIndex],104)&gt;0)&gt;0,SUMIFS(T_SelfStock[Self_Qty],T_SelfStock[RM_Code],$A31,T_SelfStock[WeekIndex],104)+SUMIFS(T_TTAFStock[TTAF_Qty],T_TTAFStock[RM_Code],$A31,T_TTAFStock[WeekIndex],104),CZ31+'Grid_Incoming'!DA31-'Grid_Requirement'!DA31))</f>
        <v/>
      </c>
    </row>
    <row r="32">
      <c r="A32" t="inlineStr">
        <is>
          <t>YAN</t>
        </is>
      </c>
      <c r="B32">
        <f>IF(COUNTIFS(T_StockCount[RM_Code],$A32,T_StockCount[WeekIndex],1)&gt;0,SUMIFS(T_StockCount[CountedQty],T_StockCount[RM_Code],$A32,T_StockCount[WeekIndex],1),IF((COUNTIFS(T_SelfStock[RM_Code],$A32,T_SelfStock[WeekIndex],1)&gt;0)*(COUNTIFS(T_TTAFStock[RM_Code],$A32,T_TTAFStock[WeekIndex],1)&gt;0)&gt;0,SUMIFS(T_SelfStock[Self_Qty],T_SelfStock[RM_Code],$A32,T_SelfStock[WeekIndex],1)+SUMIFS(T_TTAFStock[TTAF_Qty],T_TTAFStock[RM_Code],$A32,T_TTAFStock[WeekIndex],1),IFERROR(INDEX(T_OpeningStock[Opening_Qty],MATCH($A32,T_OpeningStock[RM_Code],0)),0)+'Grid_Incoming'!B32-'Grid_Requirement'!B32))</f>
        <v/>
      </c>
      <c r="C32">
        <f>IF(COUNTIFS(T_StockCount[RM_Code],$A32,T_StockCount[WeekIndex],2)&gt;0,SUMIFS(T_StockCount[CountedQty],T_StockCount[RM_Code],$A32,T_StockCount[WeekIndex],2),IF((COUNTIFS(T_SelfStock[RM_Code],$A32,T_SelfStock[WeekIndex],2)&gt;0)*(COUNTIFS(T_TTAFStock[RM_Code],$A32,T_TTAFStock[WeekIndex],2)&gt;0)&gt;0,SUMIFS(T_SelfStock[Self_Qty],T_SelfStock[RM_Code],$A32,T_SelfStock[WeekIndex],2)+SUMIFS(T_TTAFStock[TTAF_Qty],T_TTAFStock[RM_Code],$A32,T_TTAFStock[WeekIndex],2),B32+'Grid_Incoming'!C32-'Grid_Requirement'!C32))</f>
        <v/>
      </c>
      <c r="D32">
        <f>IF(COUNTIFS(T_StockCount[RM_Code],$A32,T_StockCount[WeekIndex],3)&gt;0,SUMIFS(T_StockCount[CountedQty],T_StockCount[RM_Code],$A32,T_StockCount[WeekIndex],3),IF((COUNTIFS(T_SelfStock[RM_Code],$A32,T_SelfStock[WeekIndex],3)&gt;0)*(COUNTIFS(T_TTAFStock[RM_Code],$A32,T_TTAFStock[WeekIndex],3)&gt;0)&gt;0,SUMIFS(T_SelfStock[Self_Qty],T_SelfStock[RM_Code],$A32,T_SelfStock[WeekIndex],3)+SUMIFS(T_TTAFStock[TTAF_Qty],T_TTAFStock[RM_Code],$A32,T_TTAFStock[WeekIndex],3),C32+'Grid_Incoming'!D32-'Grid_Requirement'!D32))</f>
        <v/>
      </c>
      <c r="E32">
        <f>IF(COUNTIFS(T_StockCount[RM_Code],$A32,T_StockCount[WeekIndex],4)&gt;0,SUMIFS(T_StockCount[CountedQty],T_StockCount[RM_Code],$A32,T_StockCount[WeekIndex],4),IF((COUNTIFS(T_SelfStock[RM_Code],$A32,T_SelfStock[WeekIndex],4)&gt;0)*(COUNTIFS(T_TTAFStock[RM_Code],$A32,T_TTAFStock[WeekIndex],4)&gt;0)&gt;0,SUMIFS(T_SelfStock[Self_Qty],T_SelfStock[RM_Code],$A32,T_SelfStock[WeekIndex],4)+SUMIFS(T_TTAFStock[TTAF_Qty],T_TTAFStock[RM_Code],$A32,T_TTAFStock[WeekIndex],4),D32+'Grid_Incoming'!E32-'Grid_Requirement'!E32))</f>
        <v/>
      </c>
      <c r="F32">
        <f>IF(COUNTIFS(T_StockCount[RM_Code],$A32,T_StockCount[WeekIndex],5)&gt;0,SUMIFS(T_StockCount[CountedQty],T_StockCount[RM_Code],$A32,T_StockCount[WeekIndex],5),IF((COUNTIFS(T_SelfStock[RM_Code],$A32,T_SelfStock[WeekIndex],5)&gt;0)*(COUNTIFS(T_TTAFStock[RM_Code],$A32,T_TTAFStock[WeekIndex],5)&gt;0)&gt;0,SUMIFS(T_SelfStock[Self_Qty],T_SelfStock[RM_Code],$A32,T_SelfStock[WeekIndex],5)+SUMIFS(T_TTAFStock[TTAF_Qty],T_TTAFStock[RM_Code],$A32,T_TTAFStock[WeekIndex],5),E32+'Grid_Incoming'!F32-'Grid_Requirement'!F32))</f>
        <v/>
      </c>
      <c r="G32">
        <f>IF(COUNTIFS(T_StockCount[RM_Code],$A32,T_StockCount[WeekIndex],6)&gt;0,SUMIFS(T_StockCount[CountedQty],T_StockCount[RM_Code],$A32,T_StockCount[WeekIndex],6),IF((COUNTIFS(T_SelfStock[RM_Code],$A32,T_SelfStock[WeekIndex],6)&gt;0)*(COUNTIFS(T_TTAFStock[RM_Code],$A32,T_TTAFStock[WeekIndex],6)&gt;0)&gt;0,SUMIFS(T_SelfStock[Self_Qty],T_SelfStock[RM_Code],$A32,T_SelfStock[WeekIndex],6)+SUMIFS(T_TTAFStock[TTAF_Qty],T_TTAFStock[RM_Code],$A32,T_TTAFStock[WeekIndex],6),F32+'Grid_Incoming'!G32-'Grid_Requirement'!G32))</f>
        <v/>
      </c>
      <c r="H32">
        <f>IF(COUNTIFS(T_StockCount[RM_Code],$A32,T_StockCount[WeekIndex],7)&gt;0,SUMIFS(T_StockCount[CountedQty],T_StockCount[RM_Code],$A32,T_StockCount[WeekIndex],7),IF((COUNTIFS(T_SelfStock[RM_Code],$A32,T_SelfStock[WeekIndex],7)&gt;0)*(COUNTIFS(T_TTAFStock[RM_Code],$A32,T_TTAFStock[WeekIndex],7)&gt;0)&gt;0,SUMIFS(T_SelfStock[Self_Qty],T_SelfStock[RM_Code],$A32,T_SelfStock[WeekIndex],7)+SUMIFS(T_TTAFStock[TTAF_Qty],T_TTAFStock[RM_Code],$A32,T_TTAFStock[WeekIndex],7),G32+'Grid_Incoming'!H32-'Grid_Requirement'!H32))</f>
        <v/>
      </c>
      <c r="I32">
        <f>IF(COUNTIFS(T_StockCount[RM_Code],$A32,T_StockCount[WeekIndex],8)&gt;0,SUMIFS(T_StockCount[CountedQty],T_StockCount[RM_Code],$A32,T_StockCount[WeekIndex],8),IF((COUNTIFS(T_SelfStock[RM_Code],$A32,T_SelfStock[WeekIndex],8)&gt;0)*(COUNTIFS(T_TTAFStock[RM_Code],$A32,T_TTAFStock[WeekIndex],8)&gt;0)&gt;0,SUMIFS(T_SelfStock[Self_Qty],T_SelfStock[RM_Code],$A32,T_SelfStock[WeekIndex],8)+SUMIFS(T_TTAFStock[TTAF_Qty],T_TTAFStock[RM_Code],$A32,T_TTAFStock[WeekIndex],8),H32+'Grid_Incoming'!I32-'Grid_Requirement'!I32))</f>
        <v/>
      </c>
      <c r="J32">
        <f>IF(COUNTIFS(T_StockCount[RM_Code],$A32,T_StockCount[WeekIndex],9)&gt;0,SUMIFS(T_StockCount[CountedQty],T_StockCount[RM_Code],$A32,T_StockCount[WeekIndex],9),IF((COUNTIFS(T_SelfStock[RM_Code],$A32,T_SelfStock[WeekIndex],9)&gt;0)*(COUNTIFS(T_TTAFStock[RM_Code],$A32,T_TTAFStock[WeekIndex],9)&gt;0)&gt;0,SUMIFS(T_SelfStock[Self_Qty],T_SelfStock[RM_Code],$A32,T_SelfStock[WeekIndex],9)+SUMIFS(T_TTAFStock[TTAF_Qty],T_TTAFStock[RM_Code],$A32,T_TTAFStock[WeekIndex],9),I32+'Grid_Incoming'!J32-'Grid_Requirement'!J32))</f>
        <v/>
      </c>
      <c r="K32">
        <f>IF(COUNTIFS(T_StockCount[RM_Code],$A32,T_StockCount[WeekIndex],10)&gt;0,SUMIFS(T_StockCount[CountedQty],T_StockCount[RM_Code],$A32,T_StockCount[WeekIndex],10),IF((COUNTIFS(T_SelfStock[RM_Code],$A32,T_SelfStock[WeekIndex],10)&gt;0)*(COUNTIFS(T_TTAFStock[RM_Code],$A32,T_TTAFStock[WeekIndex],10)&gt;0)&gt;0,SUMIFS(T_SelfStock[Self_Qty],T_SelfStock[RM_Code],$A32,T_SelfStock[WeekIndex],10)+SUMIFS(T_TTAFStock[TTAF_Qty],T_TTAFStock[RM_Code],$A32,T_TTAFStock[WeekIndex],10),J32+'Grid_Incoming'!K32-'Grid_Requirement'!K32))</f>
        <v/>
      </c>
      <c r="L32">
        <f>IF(COUNTIFS(T_StockCount[RM_Code],$A32,T_StockCount[WeekIndex],11)&gt;0,SUMIFS(T_StockCount[CountedQty],T_StockCount[RM_Code],$A32,T_StockCount[WeekIndex],11),IF((COUNTIFS(T_SelfStock[RM_Code],$A32,T_SelfStock[WeekIndex],11)&gt;0)*(COUNTIFS(T_TTAFStock[RM_Code],$A32,T_TTAFStock[WeekIndex],11)&gt;0)&gt;0,SUMIFS(T_SelfStock[Self_Qty],T_SelfStock[RM_Code],$A32,T_SelfStock[WeekIndex],11)+SUMIFS(T_TTAFStock[TTAF_Qty],T_TTAFStock[RM_Code],$A32,T_TTAFStock[WeekIndex],11),K32+'Grid_Incoming'!L32-'Grid_Requirement'!L32))</f>
        <v/>
      </c>
      <c r="M32">
        <f>IF(COUNTIFS(T_StockCount[RM_Code],$A32,T_StockCount[WeekIndex],12)&gt;0,SUMIFS(T_StockCount[CountedQty],T_StockCount[RM_Code],$A32,T_StockCount[WeekIndex],12),IF((COUNTIFS(T_SelfStock[RM_Code],$A32,T_SelfStock[WeekIndex],12)&gt;0)*(COUNTIFS(T_TTAFStock[RM_Code],$A32,T_TTAFStock[WeekIndex],12)&gt;0)&gt;0,SUMIFS(T_SelfStock[Self_Qty],T_SelfStock[RM_Code],$A32,T_SelfStock[WeekIndex],12)+SUMIFS(T_TTAFStock[TTAF_Qty],T_TTAFStock[RM_Code],$A32,T_TTAFStock[WeekIndex],12),L32+'Grid_Incoming'!M32-'Grid_Requirement'!M32))</f>
        <v/>
      </c>
      <c r="N32">
        <f>IF(COUNTIFS(T_StockCount[RM_Code],$A32,T_StockCount[WeekIndex],13)&gt;0,SUMIFS(T_StockCount[CountedQty],T_StockCount[RM_Code],$A32,T_StockCount[WeekIndex],13),IF((COUNTIFS(T_SelfStock[RM_Code],$A32,T_SelfStock[WeekIndex],13)&gt;0)*(COUNTIFS(T_TTAFStock[RM_Code],$A32,T_TTAFStock[WeekIndex],13)&gt;0)&gt;0,SUMIFS(T_SelfStock[Self_Qty],T_SelfStock[RM_Code],$A32,T_SelfStock[WeekIndex],13)+SUMIFS(T_TTAFStock[TTAF_Qty],T_TTAFStock[RM_Code],$A32,T_TTAFStock[WeekIndex],13),M32+'Grid_Incoming'!N32-'Grid_Requirement'!N32))</f>
        <v/>
      </c>
      <c r="O32">
        <f>IF(COUNTIFS(T_StockCount[RM_Code],$A32,T_StockCount[WeekIndex],14)&gt;0,SUMIFS(T_StockCount[CountedQty],T_StockCount[RM_Code],$A32,T_StockCount[WeekIndex],14),IF((COUNTIFS(T_SelfStock[RM_Code],$A32,T_SelfStock[WeekIndex],14)&gt;0)*(COUNTIFS(T_TTAFStock[RM_Code],$A32,T_TTAFStock[WeekIndex],14)&gt;0)&gt;0,SUMIFS(T_SelfStock[Self_Qty],T_SelfStock[RM_Code],$A32,T_SelfStock[WeekIndex],14)+SUMIFS(T_TTAFStock[TTAF_Qty],T_TTAFStock[RM_Code],$A32,T_TTAFStock[WeekIndex],14),N32+'Grid_Incoming'!O32-'Grid_Requirement'!O32))</f>
        <v/>
      </c>
      <c r="P32">
        <f>IF(COUNTIFS(T_StockCount[RM_Code],$A32,T_StockCount[WeekIndex],15)&gt;0,SUMIFS(T_StockCount[CountedQty],T_StockCount[RM_Code],$A32,T_StockCount[WeekIndex],15),IF((COUNTIFS(T_SelfStock[RM_Code],$A32,T_SelfStock[WeekIndex],15)&gt;0)*(COUNTIFS(T_TTAFStock[RM_Code],$A32,T_TTAFStock[WeekIndex],15)&gt;0)&gt;0,SUMIFS(T_SelfStock[Self_Qty],T_SelfStock[RM_Code],$A32,T_SelfStock[WeekIndex],15)+SUMIFS(T_TTAFStock[TTAF_Qty],T_TTAFStock[RM_Code],$A32,T_TTAFStock[WeekIndex],15),O32+'Grid_Incoming'!P32-'Grid_Requirement'!P32))</f>
        <v/>
      </c>
      <c r="Q32">
        <f>IF(COUNTIFS(T_StockCount[RM_Code],$A32,T_StockCount[WeekIndex],16)&gt;0,SUMIFS(T_StockCount[CountedQty],T_StockCount[RM_Code],$A32,T_StockCount[WeekIndex],16),IF((COUNTIFS(T_SelfStock[RM_Code],$A32,T_SelfStock[WeekIndex],16)&gt;0)*(COUNTIFS(T_TTAFStock[RM_Code],$A32,T_TTAFStock[WeekIndex],16)&gt;0)&gt;0,SUMIFS(T_SelfStock[Self_Qty],T_SelfStock[RM_Code],$A32,T_SelfStock[WeekIndex],16)+SUMIFS(T_TTAFStock[TTAF_Qty],T_TTAFStock[RM_Code],$A32,T_TTAFStock[WeekIndex],16),P32+'Grid_Incoming'!Q32-'Grid_Requirement'!Q32))</f>
        <v/>
      </c>
      <c r="R32">
        <f>IF(COUNTIFS(T_StockCount[RM_Code],$A32,T_StockCount[WeekIndex],17)&gt;0,SUMIFS(T_StockCount[CountedQty],T_StockCount[RM_Code],$A32,T_StockCount[WeekIndex],17),IF((COUNTIFS(T_SelfStock[RM_Code],$A32,T_SelfStock[WeekIndex],17)&gt;0)*(COUNTIFS(T_TTAFStock[RM_Code],$A32,T_TTAFStock[WeekIndex],17)&gt;0)&gt;0,SUMIFS(T_SelfStock[Self_Qty],T_SelfStock[RM_Code],$A32,T_SelfStock[WeekIndex],17)+SUMIFS(T_TTAFStock[TTAF_Qty],T_TTAFStock[RM_Code],$A32,T_TTAFStock[WeekIndex],17),Q32+'Grid_Incoming'!R32-'Grid_Requirement'!R32))</f>
        <v/>
      </c>
      <c r="S32">
        <f>IF(COUNTIFS(T_StockCount[RM_Code],$A32,T_StockCount[WeekIndex],18)&gt;0,SUMIFS(T_StockCount[CountedQty],T_StockCount[RM_Code],$A32,T_StockCount[WeekIndex],18),IF((COUNTIFS(T_SelfStock[RM_Code],$A32,T_SelfStock[WeekIndex],18)&gt;0)*(COUNTIFS(T_TTAFStock[RM_Code],$A32,T_TTAFStock[WeekIndex],18)&gt;0)&gt;0,SUMIFS(T_SelfStock[Self_Qty],T_SelfStock[RM_Code],$A32,T_SelfStock[WeekIndex],18)+SUMIFS(T_TTAFStock[TTAF_Qty],T_TTAFStock[RM_Code],$A32,T_TTAFStock[WeekIndex],18),R32+'Grid_Incoming'!S32-'Grid_Requirement'!S32))</f>
        <v/>
      </c>
      <c r="T32">
        <f>IF(COUNTIFS(T_StockCount[RM_Code],$A32,T_StockCount[WeekIndex],19)&gt;0,SUMIFS(T_StockCount[CountedQty],T_StockCount[RM_Code],$A32,T_StockCount[WeekIndex],19),IF((COUNTIFS(T_SelfStock[RM_Code],$A32,T_SelfStock[WeekIndex],19)&gt;0)*(COUNTIFS(T_TTAFStock[RM_Code],$A32,T_TTAFStock[WeekIndex],19)&gt;0)&gt;0,SUMIFS(T_SelfStock[Self_Qty],T_SelfStock[RM_Code],$A32,T_SelfStock[WeekIndex],19)+SUMIFS(T_TTAFStock[TTAF_Qty],T_TTAFStock[RM_Code],$A32,T_TTAFStock[WeekIndex],19),S32+'Grid_Incoming'!T32-'Grid_Requirement'!T32))</f>
        <v/>
      </c>
      <c r="U32">
        <f>IF(COUNTIFS(T_StockCount[RM_Code],$A32,T_StockCount[WeekIndex],20)&gt;0,SUMIFS(T_StockCount[CountedQty],T_StockCount[RM_Code],$A32,T_StockCount[WeekIndex],20),IF((COUNTIFS(T_SelfStock[RM_Code],$A32,T_SelfStock[WeekIndex],20)&gt;0)*(COUNTIFS(T_TTAFStock[RM_Code],$A32,T_TTAFStock[WeekIndex],20)&gt;0)&gt;0,SUMIFS(T_SelfStock[Self_Qty],T_SelfStock[RM_Code],$A32,T_SelfStock[WeekIndex],20)+SUMIFS(T_TTAFStock[TTAF_Qty],T_TTAFStock[RM_Code],$A32,T_TTAFStock[WeekIndex],20),T32+'Grid_Incoming'!U32-'Grid_Requirement'!U32))</f>
        <v/>
      </c>
      <c r="V32">
        <f>IF(COUNTIFS(T_StockCount[RM_Code],$A32,T_StockCount[WeekIndex],21)&gt;0,SUMIFS(T_StockCount[CountedQty],T_StockCount[RM_Code],$A32,T_StockCount[WeekIndex],21),IF((COUNTIFS(T_SelfStock[RM_Code],$A32,T_SelfStock[WeekIndex],21)&gt;0)*(COUNTIFS(T_TTAFStock[RM_Code],$A32,T_TTAFStock[WeekIndex],21)&gt;0)&gt;0,SUMIFS(T_SelfStock[Self_Qty],T_SelfStock[RM_Code],$A32,T_SelfStock[WeekIndex],21)+SUMIFS(T_TTAFStock[TTAF_Qty],T_TTAFStock[RM_Code],$A32,T_TTAFStock[WeekIndex],21),U32+'Grid_Incoming'!V32-'Grid_Requirement'!V32))</f>
        <v/>
      </c>
      <c r="W32">
        <f>IF(COUNTIFS(T_StockCount[RM_Code],$A32,T_StockCount[WeekIndex],22)&gt;0,SUMIFS(T_StockCount[CountedQty],T_StockCount[RM_Code],$A32,T_StockCount[WeekIndex],22),IF((COUNTIFS(T_SelfStock[RM_Code],$A32,T_SelfStock[WeekIndex],22)&gt;0)*(COUNTIFS(T_TTAFStock[RM_Code],$A32,T_TTAFStock[WeekIndex],22)&gt;0)&gt;0,SUMIFS(T_SelfStock[Self_Qty],T_SelfStock[RM_Code],$A32,T_SelfStock[WeekIndex],22)+SUMIFS(T_TTAFStock[TTAF_Qty],T_TTAFStock[RM_Code],$A32,T_TTAFStock[WeekIndex],22),V32+'Grid_Incoming'!W32-'Grid_Requirement'!W32))</f>
        <v/>
      </c>
      <c r="X32">
        <f>IF(COUNTIFS(T_StockCount[RM_Code],$A32,T_StockCount[WeekIndex],23)&gt;0,SUMIFS(T_StockCount[CountedQty],T_StockCount[RM_Code],$A32,T_StockCount[WeekIndex],23),IF((COUNTIFS(T_SelfStock[RM_Code],$A32,T_SelfStock[WeekIndex],23)&gt;0)*(COUNTIFS(T_TTAFStock[RM_Code],$A32,T_TTAFStock[WeekIndex],23)&gt;0)&gt;0,SUMIFS(T_SelfStock[Self_Qty],T_SelfStock[RM_Code],$A32,T_SelfStock[WeekIndex],23)+SUMIFS(T_TTAFStock[TTAF_Qty],T_TTAFStock[RM_Code],$A32,T_TTAFStock[WeekIndex],23),W32+'Grid_Incoming'!X32-'Grid_Requirement'!X32))</f>
        <v/>
      </c>
      <c r="Y32">
        <f>IF(COUNTIFS(T_StockCount[RM_Code],$A32,T_StockCount[WeekIndex],24)&gt;0,SUMIFS(T_StockCount[CountedQty],T_StockCount[RM_Code],$A32,T_StockCount[WeekIndex],24),IF((COUNTIFS(T_SelfStock[RM_Code],$A32,T_SelfStock[WeekIndex],24)&gt;0)*(COUNTIFS(T_TTAFStock[RM_Code],$A32,T_TTAFStock[WeekIndex],24)&gt;0)&gt;0,SUMIFS(T_SelfStock[Self_Qty],T_SelfStock[RM_Code],$A32,T_SelfStock[WeekIndex],24)+SUMIFS(T_TTAFStock[TTAF_Qty],T_TTAFStock[RM_Code],$A32,T_TTAFStock[WeekIndex],24),X32+'Grid_Incoming'!Y32-'Grid_Requirement'!Y32))</f>
        <v/>
      </c>
      <c r="Z32">
        <f>IF(COUNTIFS(T_StockCount[RM_Code],$A32,T_StockCount[WeekIndex],25)&gt;0,SUMIFS(T_StockCount[CountedQty],T_StockCount[RM_Code],$A32,T_StockCount[WeekIndex],25),IF((COUNTIFS(T_SelfStock[RM_Code],$A32,T_SelfStock[WeekIndex],25)&gt;0)*(COUNTIFS(T_TTAFStock[RM_Code],$A32,T_TTAFStock[WeekIndex],25)&gt;0)&gt;0,SUMIFS(T_SelfStock[Self_Qty],T_SelfStock[RM_Code],$A32,T_SelfStock[WeekIndex],25)+SUMIFS(T_TTAFStock[TTAF_Qty],T_TTAFStock[RM_Code],$A32,T_TTAFStock[WeekIndex],25),Y32+'Grid_Incoming'!Z32-'Grid_Requirement'!Z32))</f>
        <v/>
      </c>
      <c r="AA32">
        <f>IF(COUNTIFS(T_StockCount[RM_Code],$A32,T_StockCount[WeekIndex],26)&gt;0,SUMIFS(T_StockCount[CountedQty],T_StockCount[RM_Code],$A32,T_StockCount[WeekIndex],26),IF((COUNTIFS(T_SelfStock[RM_Code],$A32,T_SelfStock[WeekIndex],26)&gt;0)*(COUNTIFS(T_TTAFStock[RM_Code],$A32,T_TTAFStock[WeekIndex],26)&gt;0)&gt;0,SUMIFS(T_SelfStock[Self_Qty],T_SelfStock[RM_Code],$A32,T_SelfStock[WeekIndex],26)+SUMIFS(T_TTAFStock[TTAF_Qty],T_TTAFStock[RM_Code],$A32,T_TTAFStock[WeekIndex],26),Z32+'Grid_Incoming'!AA32-'Grid_Requirement'!AA32))</f>
        <v/>
      </c>
      <c r="AB32">
        <f>IF(COUNTIFS(T_StockCount[RM_Code],$A32,T_StockCount[WeekIndex],27)&gt;0,SUMIFS(T_StockCount[CountedQty],T_StockCount[RM_Code],$A32,T_StockCount[WeekIndex],27),IF((COUNTIFS(T_SelfStock[RM_Code],$A32,T_SelfStock[WeekIndex],27)&gt;0)*(COUNTIFS(T_TTAFStock[RM_Code],$A32,T_TTAFStock[WeekIndex],27)&gt;0)&gt;0,SUMIFS(T_SelfStock[Self_Qty],T_SelfStock[RM_Code],$A32,T_SelfStock[WeekIndex],27)+SUMIFS(T_TTAFStock[TTAF_Qty],T_TTAFStock[RM_Code],$A32,T_TTAFStock[WeekIndex],27),AA32+'Grid_Incoming'!AB32-'Grid_Requirement'!AB32))</f>
        <v/>
      </c>
      <c r="AC32">
        <f>IF(COUNTIFS(T_StockCount[RM_Code],$A32,T_StockCount[WeekIndex],28)&gt;0,SUMIFS(T_StockCount[CountedQty],T_StockCount[RM_Code],$A32,T_StockCount[WeekIndex],28),IF((COUNTIFS(T_SelfStock[RM_Code],$A32,T_SelfStock[WeekIndex],28)&gt;0)*(COUNTIFS(T_TTAFStock[RM_Code],$A32,T_TTAFStock[WeekIndex],28)&gt;0)&gt;0,SUMIFS(T_SelfStock[Self_Qty],T_SelfStock[RM_Code],$A32,T_SelfStock[WeekIndex],28)+SUMIFS(T_TTAFStock[TTAF_Qty],T_TTAFStock[RM_Code],$A32,T_TTAFStock[WeekIndex],28),AB32+'Grid_Incoming'!AC32-'Grid_Requirement'!AC32))</f>
        <v/>
      </c>
      <c r="AD32">
        <f>IF(COUNTIFS(T_StockCount[RM_Code],$A32,T_StockCount[WeekIndex],29)&gt;0,SUMIFS(T_StockCount[CountedQty],T_StockCount[RM_Code],$A32,T_StockCount[WeekIndex],29),IF((COUNTIFS(T_SelfStock[RM_Code],$A32,T_SelfStock[WeekIndex],29)&gt;0)*(COUNTIFS(T_TTAFStock[RM_Code],$A32,T_TTAFStock[WeekIndex],29)&gt;0)&gt;0,SUMIFS(T_SelfStock[Self_Qty],T_SelfStock[RM_Code],$A32,T_SelfStock[WeekIndex],29)+SUMIFS(T_TTAFStock[TTAF_Qty],T_TTAFStock[RM_Code],$A32,T_TTAFStock[WeekIndex],29),AC32+'Grid_Incoming'!AD32-'Grid_Requirement'!AD32))</f>
        <v/>
      </c>
      <c r="AE32">
        <f>IF(COUNTIFS(T_StockCount[RM_Code],$A32,T_StockCount[WeekIndex],30)&gt;0,SUMIFS(T_StockCount[CountedQty],T_StockCount[RM_Code],$A32,T_StockCount[WeekIndex],30),IF((COUNTIFS(T_SelfStock[RM_Code],$A32,T_SelfStock[WeekIndex],30)&gt;0)*(COUNTIFS(T_TTAFStock[RM_Code],$A32,T_TTAFStock[WeekIndex],30)&gt;0)&gt;0,SUMIFS(T_SelfStock[Self_Qty],T_SelfStock[RM_Code],$A32,T_SelfStock[WeekIndex],30)+SUMIFS(T_TTAFStock[TTAF_Qty],T_TTAFStock[RM_Code],$A32,T_TTAFStock[WeekIndex],30),AD32+'Grid_Incoming'!AE32-'Grid_Requirement'!AE32))</f>
        <v/>
      </c>
      <c r="AF32">
        <f>IF(COUNTIFS(T_StockCount[RM_Code],$A32,T_StockCount[WeekIndex],31)&gt;0,SUMIFS(T_StockCount[CountedQty],T_StockCount[RM_Code],$A32,T_StockCount[WeekIndex],31),IF((COUNTIFS(T_SelfStock[RM_Code],$A32,T_SelfStock[WeekIndex],31)&gt;0)*(COUNTIFS(T_TTAFStock[RM_Code],$A32,T_TTAFStock[WeekIndex],31)&gt;0)&gt;0,SUMIFS(T_SelfStock[Self_Qty],T_SelfStock[RM_Code],$A32,T_SelfStock[WeekIndex],31)+SUMIFS(T_TTAFStock[TTAF_Qty],T_TTAFStock[RM_Code],$A32,T_TTAFStock[WeekIndex],31),AE32+'Grid_Incoming'!AF32-'Grid_Requirement'!AF32))</f>
        <v/>
      </c>
      <c r="AG32">
        <f>IF(COUNTIFS(T_StockCount[RM_Code],$A32,T_StockCount[WeekIndex],32)&gt;0,SUMIFS(T_StockCount[CountedQty],T_StockCount[RM_Code],$A32,T_StockCount[WeekIndex],32),IF((COUNTIFS(T_SelfStock[RM_Code],$A32,T_SelfStock[WeekIndex],32)&gt;0)*(COUNTIFS(T_TTAFStock[RM_Code],$A32,T_TTAFStock[WeekIndex],32)&gt;0)&gt;0,SUMIFS(T_SelfStock[Self_Qty],T_SelfStock[RM_Code],$A32,T_SelfStock[WeekIndex],32)+SUMIFS(T_TTAFStock[TTAF_Qty],T_TTAFStock[RM_Code],$A32,T_TTAFStock[WeekIndex],32),AF32+'Grid_Incoming'!AG32-'Grid_Requirement'!AG32))</f>
        <v/>
      </c>
      <c r="AH32">
        <f>IF(COUNTIFS(T_StockCount[RM_Code],$A32,T_StockCount[WeekIndex],33)&gt;0,SUMIFS(T_StockCount[CountedQty],T_StockCount[RM_Code],$A32,T_StockCount[WeekIndex],33),IF((COUNTIFS(T_SelfStock[RM_Code],$A32,T_SelfStock[WeekIndex],33)&gt;0)*(COUNTIFS(T_TTAFStock[RM_Code],$A32,T_TTAFStock[WeekIndex],33)&gt;0)&gt;0,SUMIFS(T_SelfStock[Self_Qty],T_SelfStock[RM_Code],$A32,T_SelfStock[WeekIndex],33)+SUMIFS(T_TTAFStock[TTAF_Qty],T_TTAFStock[RM_Code],$A32,T_TTAFStock[WeekIndex],33),AG32+'Grid_Incoming'!AH32-'Grid_Requirement'!AH32))</f>
        <v/>
      </c>
      <c r="AI32">
        <f>IF(COUNTIFS(T_StockCount[RM_Code],$A32,T_StockCount[WeekIndex],34)&gt;0,SUMIFS(T_StockCount[CountedQty],T_StockCount[RM_Code],$A32,T_StockCount[WeekIndex],34),IF((COUNTIFS(T_SelfStock[RM_Code],$A32,T_SelfStock[WeekIndex],34)&gt;0)*(COUNTIFS(T_TTAFStock[RM_Code],$A32,T_TTAFStock[WeekIndex],34)&gt;0)&gt;0,SUMIFS(T_SelfStock[Self_Qty],T_SelfStock[RM_Code],$A32,T_SelfStock[WeekIndex],34)+SUMIFS(T_TTAFStock[TTAF_Qty],T_TTAFStock[RM_Code],$A32,T_TTAFStock[WeekIndex],34),AH32+'Grid_Incoming'!AI32-'Grid_Requirement'!AI32))</f>
        <v/>
      </c>
      <c r="AJ32">
        <f>IF(COUNTIFS(T_StockCount[RM_Code],$A32,T_StockCount[WeekIndex],35)&gt;0,SUMIFS(T_StockCount[CountedQty],T_StockCount[RM_Code],$A32,T_StockCount[WeekIndex],35),IF((COUNTIFS(T_SelfStock[RM_Code],$A32,T_SelfStock[WeekIndex],35)&gt;0)*(COUNTIFS(T_TTAFStock[RM_Code],$A32,T_TTAFStock[WeekIndex],35)&gt;0)&gt;0,SUMIFS(T_SelfStock[Self_Qty],T_SelfStock[RM_Code],$A32,T_SelfStock[WeekIndex],35)+SUMIFS(T_TTAFStock[TTAF_Qty],T_TTAFStock[RM_Code],$A32,T_TTAFStock[WeekIndex],35),AI32+'Grid_Incoming'!AJ32-'Grid_Requirement'!AJ32))</f>
        <v/>
      </c>
      <c r="AK32">
        <f>IF(COUNTIFS(T_StockCount[RM_Code],$A32,T_StockCount[WeekIndex],36)&gt;0,SUMIFS(T_StockCount[CountedQty],T_StockCount[RM_Code],$A32,T_StockCount[WeekIndex],36),IF((COUNTIFS(T_SelfStock[RM_Code],$A32,T_SelfStock[WeekIndex],36)&gt;0)*(COUNTIFS(T_TTAFStock[RM_Code],$A32,T_TTAFStock[WeekIndex],36)&gt;0)&gt;0,SUMIFS(T_SelfStock[Self_Qty],T_SelfStock[RM_Code],$A32,T_SelfStock[WeekIndex],36)+SUMIFS(T_TTAFStock[TTAF_Qty],T_TTAFStock[RM_Code],$A32,T_TTAFStock[WeekIndex],36),AJ32+'Grid_Incoming'!AK32-'Grid_Requirement'!AK32))</f>
        <v/>
      </c>
      <c r="AL32">
        <f>IF(COUNTIFS(T_StockCount[RM_Code],$A32,T_StockCount[WeekIndex],37)&gt;0,SUMIFS(T_StockCount[CountedQty],T_StockCount[RM_Code],$A32,T_StockCount[WeekIndex],37),IF((COUNTIFS(T_SelfStock[RM_Code],$A32,T_SelfStock[WeekIndex],37)&gt;0)*(COUNTIFS(T_TTAFStock[RM_Code],$A32,T_TTAFStock[WeekIndex],37)&gt;0)&gt;0,SUMIFS(T_SelfStock[Self_Qty],T_SelfStock[RM_Code],$A32,T_SelfStock[WeekIndex],37)+SUMIFS(T_TTAFStock[TTAF_Qty],T_TTAFStock[RM_Code],$A32,T_TTAFStock[WeekIndex],37),AK32+'Grid_Incoming'!AL32-'Grid_Requirement'!AL32))</f>
        <v/>
      </c>
      <c r="AM32">
        <f>IF(COUNTIFS(T_StockCount[RM_Code],$A32,T_StockCount[WeekIndex],38)&gt;0,SUMIFS(T_StockCount[CountedQty],T_StockCount[RM_Code],$A32,T_StockCount[WeekIndex],38),IF((COUNTIFS(T_SelfStock[RM_Code],$A32,T_SelfStock[WeekIndex],38)&gt;0)*(COUNTIFS(T_TTAFStock[RM_Code],$A32,T_TTAFStock[WeekIndex],38)&gt;0)&gt;0,SUMIFS(T_SelfStock[Self_Qty],T_SelfStock[RM_Code],$A32,T_SelfStock[WeekIndex],38)+SUMIFS(T_TTAFStock[TTAF_Qty],T_TTAFStock[RM_Code],$A32,T_TTAFStock[WeekIndex],38),AL32+'Grid_Incoming'!AM32-'Grid_Requirement'!AM32))</f>
        <v/>
      </c>
      <c r="AN32">
        <f>IF(COUNTIFS(T_StockCount[RM_Code],$A32,T_StockCount[WeekIndex],39)&gt;0,SUMIFS(T_StockCount[CountedQty],T_StockCount[RM_Code],$A32,T_StockCount[WeekIndex],39),IF((COUNTIFS(T_SelfStock[RM_Code],$A32,T_SelfStock[WeekIndex],39)&gt;0)*(COUNTIFS(T_TTAFStock[RM_Code],$A32,T_TTAFStock[WeekIndex],39)&gt;0)&gt;0,SUMIFS(T_SelfStock[Self_Qty],T_SelfStock[RM_Code],$A32,T_SelfStock[WeekIndex],39)+SUMIFS(T_TTAFStock[TTAF_Qty],T_TTAFStock[RM_Code],$A32,T_TTAFStock[WeekIndex],39),AM32+'Grid_Incoming'!AN32-'Grid_Requirement'!AN32))</f>
        <v/>
      </c>
      <c r="AO32">
        <f>IF(COUNTIFS(T_StockCount[RM_Code],$A32,T_StockCount[WeekIndex],40)&gt;0,SUMIFS(T_StockCount[CountedQty],T_StockCount[RM_Code],$A32,T_StockCount[WeekIndex],40),IF((COUNTIFS(T_SelfStock[RM_Code],$A32,T_SelfStock[WeekIndex],40)&gt;0)*(COUNTIFS(T_TTAFStock[RM_Code],$A32,T_TTAFStock[WeekIndex],40)&gt;0)&gt;0,SUMIFS(T_SelfStock[Self_Qty],T_SelfStock[RM_Code],$A32,T_SelfStock[WeekIndex],40)+SUMIFS(T_TTAFStock[TTAF_Qty],T_TTAFStock[RM_Code],$A32,T_TTAFStock[WeekIndex],40),AN32+'Grid_Incoming'!AO32-'Grid_Requirement'!AO32))</f>
        <v/>
      </c>
      <c r="AP32">
        <f>IF(COUNTIFS(T_StockCount[RM_Code],$A32,T_StockCount[WeekIndex],41)&gt;0,SUMIFS(T_StockCount[CountedQty],T_StockCount[RM_Code],$A32,T_StockCount[WeekIndex],41),IF((COUNTIFS(T_SelfStock[RM_Code],$A32,T_SelfStock[WeekIndex],41)&gt;0)*(COUNTIFS(T_TTAFStock[RM_Code],$A32,T_TTAFStock[WeekIndex],41)&gt;0)&gt;0,SUMIFS(T_SelfStock[Self_Qty],T_SelfStock[RM_Code],$A32,T_SelfStock[WeekIndex],41)+SUMIFS(T_TTAFStock[TTAF_Qty],T_TTAFStock[RM_Code],$A32,T_TTAFStock[WeekIndex],41),AO32+'Grid_Incoming'!AP32-'Grid_Requirement'!AP32))</f>
        <v/>
      </c>
      <c r="AQ32">
        <f>IF(COUNTIFS(T_StockCount[RM_Code],$A32,T_StockCount[WeekIndex],42)&gt;0,SUMIFS(T_StockCount[CountedQty],T_StockCount[RM_Code],$A32,T_StockCount[WeekIndex],42),IF((COUNTIFS(T_SelfStock[RM_Code],$A32,T_SelfStock[WeekIndex],42)&gt;0)*(COUNTIFS(T_TTAFStock[RM_Code],$A32,T_TTAFStock[WeekIndex],42)&gt;0)&gt;0,SUMIFS(T_SelfStock[Self_Qty],T_SelfStock[RM_Code],$A32,T_SelfStock[WeekIndex],42)+SUMIFS(T_TTAFStock[TTAF_Qty],T_TTAFStock[RM_Code],$A32,T_TTAFStock[WeekIndex],42),AP32+'Grid_Incoming'!AQ32-'Grid_Requirement'!AQ32))</f>
        <v/>
      </c>
      <c r="AR32">
        <f>IF(COUNTIFS(T_StockCount[RM_Code],$A32,T_StockCount[WeekIndex],43)&gt;0,SUMIFS(T_StockCount[CountedQty],T_StockCount[RM_Code],$A32,T_StockCount[WeekIndex],43),IF((COUNTIFS(T_SelfStock[RM_Code],$A32,T_SelfStock[WeekIndex],43)&gt;0)*(COUNTIFS(T_TTAFStock[RM_Code],$A32,T_TTAFStock[WeekIndex],43)&gt;0)&gt;0,SUMIFS(T_SelfStock[Self_Qty],T_SelfStock[RM_Code],$A32,T_SelfStock[WeekIndex],43)+SUMIFS(T_TTAFStock[TTAF_Qty],T_TTAFStock[RM_Code],$A32,T_TTAFStock[WeekIndex],43),AQ32+'Grid_Incoming'!AR32-'Grid_Requirement'!AR32))</f>
        <v/>
      </c>
      <c r="AS32">
        <f>IF(COUNTIFS(T_StockCount[RM_Code],$A32,T_StockCount[WeekIndex],44)&gt;0,SUMIFS(T_StockCount[CountedQty],T_StockCount[RM_Code],$A32,T_StockCount[WeekIndex],44),IF((COUNTIFS(T_SelfStock[RM_Code],$A32,T_SelfStock[WeekIndex],44)&gt;0)*(COUNTIFS(T_TTAFStock[RM_Code],$A32,T_TTAFStock[WeekIndex],44)&gt;0)&gt;0,SUMIFS(T_SelfStock[Self_Qty],T_SelfStock[RM_Code],$A32,T_SelfStock[WeekIndex],44)+SUMIFS(T_TTAFStock[TTAF_Qty],T_TTAFStock[RM_Code],$A32,T_TTAFStock[WeekIndex],44),AR32+'Grid_Incoming'!AS32-'Grid_Requirement'!AS32))</f>
        <v/>
      </c>
      <c r="AT32">
        <f>IF(COUNTIFS(T_StockCount[RM_Code],$A32,T_StockCount[WeekIndex],45)&gt;0,SUMIFS(T_StockCount[CountedQty],T_StockCount[RM_Code],$A32,T_StockCount[WeekIndex],45),IF((COUNTIFS(T_SelfStock[RM_Code],$A32,T_SelfStock[WeekIndex],45)&gt;0)*(COUNTIFS(T_TTAFStock[RM_Code],$A32,T_TTAFStock[WeekIndex],45)&gt;0)&gt;0,SUMIFS(T_SelfStock[Self_Qty],T_SelfStock[RM_Code],$A32,T_SelfStock[WeekIndex],45)+SUMIFS(T_TTAFStock[TTAF_Qty],T_TTAFStock[RM_Code],$A32,T_TTAFStock[WeekIndex],45),AS32+'Grid_Incoming'!AT32-'Grid_Requirement'!AT32))</f>
        <v/>
      </c>
      <c r="AU32">
        <f>IF(COUNTIFS(T_StockCount[RM_Code],$A32,T_StockCount[WeekIndex],46)&gt;0,SUMIFS(T_StockCount[CountedQty],T_StockCount[RM_Code],$A32,T_StockCount[WeekIndex],46),IF((COUNTIFS(T_SelfStock[RM_Code],$A32,T_SelfStock[WeekIndex],46)&gt;0)*(COUNTIFS(T_TTAFStock[RM_Code],$A32,T_TTAFStock[WeekIndex],46)&gt;0)&gt;0,SUMIFS(T_SelfStock[Self_Qty],T_SelfStock[RM_Code],$A32,T_SelfStock[WeekIndex],46)+SUMIFS(T_TTAFStock[TTAF_Qty],T_TTAFStock[RM_Code],$A32,T_TTAFStock[WeekIndex],46),AT32+'Grid_Incoming'!AU32-'Grid_Requirement'!AU32))</f>
        <v/>
      </c>
      <c r="AV32">
        <f>IF(COUNTIFS(T_StockCount[RM_Code],$A32,T_StockCount[WeekIndex],47)&gt;0,SUMIFS(T_StockCount[CountedQty],T_StockCount[RM_Code],$A32,T_StockCount[WeekIndex],47),IF((COUNTIFS(T_SelfStock[RM_Code],$A32,T_SelfStock[WeekIndex],47)&gt;0)*(COUNTIFS(T_TTAFStock[RM_Code],$A32,T_TTAFStock[WeekIndex],47)&gt;0)&gt;0,SUMIFS(T_SelfStock[Self_Qty],T_SelfStock[RM_Code],$A32,T_SelfStock[WeekIndex],47)+SUMIFS(T_TTAFStock[TTAF_Qty],T_TTAFStock[RM_Code],$A32,T_TTAFStock[WeekIndex],47),AU32+'Grid_Incoming'!AV32-'Grid_Requirement'!AV32))</f>
        <v/>
      </c>
      <c r="AW32">
        <f>IF(COUNTIFS(T_StockCount[RM_Code],$A32,T_StockCount[WeekIndex],48)&gt;0,SUMIFS(T_StockCount[CountedQty],T_StockCount[RM_Code],$A32,T_StockCount[WeekIndex],48),IF((COUNTIFS(T_SelfStock[RM_Code],$A32,T_SelfStock[WeekIndex],48)&gt;0)*(COUNTIFS(T_TTAFStock[RM_Code],$A32,T_TTAFStock[WeekIndex],48)&gt;0)&gt;0,SUMIFS(T_SelfStock[Self_Qty],T_SelfStock[RM_Code],$A32,T_SelfStock[WeekIndex],48)+SUMIFS(T_TTAFStock[TTAF_Qty],T_TTAFStock[RM_Code],$A32,T_TTAFStock[WeekIndex],48),AV32+'Grid_Incoming'!AW32-'Grid_Requirement'!AW32))</f>
        <v/>
      </c>
      <c r="AX32">
        <f>IF(COUNTIFS(T_StockCount[RM_Code],$A32,T_StockCount[WeekIndex],49)&gt;0,SUMIFS(T_StockCount[CountedQty],T_StockCount[RM_Code],$A32,T_StockCount[WeekIndex],49),IF((COUNTIFS(T_SelfStock[RM_Code],$A32,T_SelfStock[WeekIndex],49)&gt;0)*(COUNTIFS(T_TTAFStock[RM_Code],$A32,T_TTAFStock[WeekIndex],49)&gt;0)&gt;0,SUMIFS(T_SelfStock[Self_Qty],T_SelfStock[RM_Code],$A32,T_SelfStock[WeekIndex],49)+SUMIFS(T_TTAFStock[TTAF_Qty],T_TTAFStock[RM_Code],$A32,T_TTAFStock[WeekIndex],49),AW32+'Grid_Incoming'!AX32-'Grid_Requirement'!AX32))</f>
        <v/>
      </c>
      <c r="AY32">
        <f>IF(COUNTIFS(T_StockCount[RM_Code],$A32,T_StockCount[WeekIndex],50)&gt;0,SUMIFS(T_StockCount[CountedQty],T_StockCount[RM_Code],$A32,T_StockCount[WeekIndex],50),IF((COUNTIFS(T_SelfStock[RM_Code],$A32,T_SelfStock[WeekIndex],50)&gt;0)*(COUNTIFS(T_TTAFStock[RM_Code],$A32,T_TTAFStock[WeekIndex],50)&gt;0)&gt;0,SUMIFS(T_SelfStock[Self_Qty],T_SelfStock[RM_Code],$A32,T_SelfStock[WeekIndex],50)+SUMIFS(T_TTAFStock[TTAF_Qty],T_TTAFStock[RM_Code],$A32,T_TTAFStock[WeekIndex],50),AX32+'Grid_Incoming'!AY32-'Grid_Requirement'!AY32))</f>
        <v/>
      </c>
      <c r="AZ32">
        <f>IF(COUNTIFS(T_StockCount[RM_Code],$A32,T_StockCount[WeekIndex],51)&gt;0,SUMIFS(T_StockCount[CountedQty],T_StockCount[RM_Code],$A32,T_StockCount[WeekIndex],51),IF((COUNTIFS(T_SelfStock[RM_Code],$A32,T_SelfStock[WeekIndex],51)&gt;0)*(COUNTIFS(T_TTAFStock[RM_Code],$A32,T_TTAFStock[WeekIndex],51)&gt;0)&gt;0,SUMIFS(T_SelfStock[Self_Qty],T_SelfStock[RM_Code],$A32,T_SelfStock[WeekIndex],51)+SUMIFS(T_TTAFStock[TTAF_Qty],T_TTAFStock[RM_Code],$A32,T_TTAFStock[WeekIndex],51),AY32+'Grid_Incoming'!AZ32-'Grid_Requirement'!AZ32))</f>
        <v/>
      </c>
      <c r="BA32">
        <f>IF(COUNTIFS(T_StockCount[RM_Code],$A32,T_StockCount[WeekIndex],52)&gt;0,SUMIFS(T_StockCount[CountedQty],T_StockCount[RM_Code],$A32,T_StockCount[WeekIndex],52),IF((COUNTIFS(T_SelfStock[RM_Code],$A32,T_SelfStock[WeekIndex],52)&gt;0)*(COUNTIFS(T_TTAFStock[RM_Code],$A32,T_TTAFStock[WeekIndex],52)&gt;0)&gt;0,SUMIFS(T_SelfStock[Self_Qty],T_SelfStock[RM_Code],$A32,T_SelfStock[WeekIndex],52)+SUMIFS(T_TTAFStock[TTAF_Qty],T_TTAFStock[RM_Code],$A32,T_TTAFStock[WeekIndex],52),AZ32+'Grid_Incoming'!BA32-'Grid_Requirement'!BA32))</f>
        <v/>
      </c>
      <c r="BB32">
        <f>IF(COUNTIFS(T_StockCount[RM_Code],$A32,T_StockCount[WeekIndex],53)&gt;0,SUMIFS(T_StockCount[CountedQty],T_StockCount[RM_Code],$A32,T_StockCount[WeekIndex],53),IF((COUNTIFS(T_SelfStock[RM_Code],$A32,T_SelfStock[WeekIndex],53)&gt;0)*(COUNTIFS(T_TTAFStock[RM_Code],$A32,T_TTAFStock[WeekIndex],53)&gt;0)&gt;0,SUMIFS(T_SelfStock[Self_Qty],T_SelfStock[RM_Code],$A32,T_SelfStock[WeekIndex],53)+SUMIFS(T_TTAFStock[TTAF_Qty],T_TTAFStock[RM_Code],$A32,T_TTAFStock[WeekIndex],53),BA32+'Grid_Incoming'!BB32-'Grid_Requirement'!BB32))</f>
        <v/>
      </c>
      <c r="BC32">
        <f>IF(COUNTIFS(T_StockCount[RM_Code],$A32,T_StockCount[WeekIndex],54)&gt;0,SUMIFS(T_StockCount[CountedQty],T_StockCount[RM_Code],$A32,T_StockCount[WeekIndex],54),IF((COUNTIFS(T_SelfStock[RM_Code],$A32,T_SelfStock[WeekIndex],54)&gt;0)*(COUNTIFS(T_TTAFStock[RM_Code],$A32,T_TTAFStock[WeekIndex],54)&gt;0)&gt;0,SUMIFS(T_SelfStock[Self_Qty],T_SelfStock[RM_Code],$A32,T_SelfStock[WeekIndex],54)+SUMIFS(T_TTAFStock[TTAF_Qty],T_TTAFStock[RM_Code],$A32,T_TTAFStock[WeekIndex],54),BB32+'Grid_Incoming'!BC32-'Grid_Requirement'!BC32))</f>
        <v/>
      </c>
      <c r="BD32">
        <f>IF(COUNTIFS(T_StockCount[RM_Code],$A32,T_StockCount[WeekIndex],55)&gt;0,SUMIFS(T_StockCount[CountedQty],T_StockCount[RM_Code],$A32,T_StockCount[WeekIndex],55),IF((COUNTIFS(T_SelfStock[RM_Code],$A32,T_SelfStock[WeekIndex],55)&gt;0)*(COUNTIFS(T_TTAFStock[RM_Code],$A32,T_TTAFStock[WeekIndex],55)&gt;0)&gt;0,SUMIFS(T_SelfStock[Self_Qty],T_SelfStock[RM_Code],$A32,T_SelfStock[WeekIndex],55)+SUMIFS(T_TTAFStock[TTAF_Qty],T_TTAFStock[RM_Code],$A32,T_TTAFStock[WeekIndex],55),BC32+'Grid_Incoming'!BD32-'Grid_Requirement'!BD32))</f>
        <v/>
      </c>
      <c r="BE32">
        <f>IF(COUNTIFS(T_StockCount[RM_Code],$A32,T_StockCount[WeekIndex],56)&gt;0,SUMIFS(T_StockCount[CountedQty],T_StockCount[RM_Code],$A32,T_StockCount[WeekIndex],56),IF((COUNTIFS(T_SelfStock[RM_Code],$A32,T_SelfStock[WeekIndex],56)&gt;0)*(COUNTIFS(T_TTAFStock[RM_Code],$A32,T_TTAFStock[WeekIndex],56)&gt;0)&gt;0,SUMIFS(T_SelfStock[Self_Qty],T_SelfStock[RM_Code],$A32,T_SelfStock[WeekIndex],56)+SUMIFS(T_TTAFStock[TTAF_Qty],T_TTAFStock[RM_Code],$A32,T_TTAFStock[WeekIndex],56),BD32+'Grid_Incoming'!BE32-'Grid_Requirement'!BE32))</f>
        <v/>
      </c>
      <c r="BF32">
        <f>IF(COUNTIFS(T_StockCount[RM_Code],$A32,T_StockCount[WeekIndex],57)&gt;0,SUMIFS(T_StockCount[CountedQty],T_StockCount[RM_Code],$A32,T_StockCount[WeekIndex],57),IF((COUNTIFS(T_SelfStock[RM_Code],$A32,T_SelfStock[WeekIndex],57)&gt;0)*(COUNTIFS(T_TTAFStock[RM_Code],$A32,T_TTAFStock[WeekIndex],57)&gt;0)&gt;0,SUMIFS(T_SelfStock[Self_Qty],T_SelfStock[RM_Code],$A32,T_SelfStock[WeekIndex],57)+SUMIFS(T_TTAFStock[TTAF_Qty],T_TTAFStock[RM_Code],$A32,T_TTAFStock[WeekIndex],57),BE32+'Grid_Incoming'!BF32-'Grid_Requirement'!BF32))</f>
        <v/>
      </c>
      <c r="BG32">
        <f>IF(COUNTIFS(T_StockCount[RM_Code],$A32,T_StockCount[WeekIndex],58)&gt;0,SUMIFS(T_StockCount[CountedQty],T_StockCount[RM_Code],$A32,T_StockCount[WeekIndex],58),IF((COUNTIFS(T_SelfStock[RM_Code],$A32,T_SelfStock[WeekIndex],58)&gt;0)*(COUNTIFS(T_TTAFStock[RM_Code],$A32,T_TTAFStock[WeekIndex],58)&gt;0)&gt;0,SUMIFS(T_SelfStock[Self_Qty],T_SelfStock[RM_Code],$A32,T_SelfStock[WeekIndex],58)+SUMIFS(T_TTAFStock[TTAF_Qty],T_TTAFStock[RM_Code],$A32,T_TTAFStock[WeekIndex],58),BF32+'Grid_Incoming'!BG32-'Grid_Requirement'!BG32))</f>
        <v/>
      </c>
      <c r="BH32">
        <f>IF(COUNTIFS(T_StockCount[RM_Code],$A32,T_StockCount[WeekIndex],59)&gt;0,SUMIFS(T_StockCount[CountedQty],T_StockCount[RM_Code],$A32,T_StockCount[WeekIndex],59),IF((COUNTIFS(T_SelfStock[RM_Code],$A32,T_SelfStock[WeekIndex],59)&gt;0)*(COUNTIFS(T_TTAFStock[RM_Code],$A32,T_TTAFStock[WeekIndex],59)&gt;0)&gt;0,SUMIFS(T_SelfStock[Self_Qty],T_SelfStock[RM_Code],$A32,T_SelfStock[WeekIndex],59)+SUMIFS(T_TTAFStock[TTAF_Qty],T_TTAFStock[RM_Code],$A32,T_TTAFStock[WeekIndex],59),BG32+'Grid_Incoming'!BH32-'Grid_Requirement'!BH32))</f>
        <v/>
      </c>
      <c r="BI32">
        <f>IF(COUNTIFS(T_StockCount[RM_Code],$A32,T_StockCount[WeekIndex],60)&gt;0,SUMIFS(T_StockCount[CountedQty],T_StockCount[RM_Code],$A32,T_StockCount[WeekIndex],60),IF((COUNTIFS(T_SelfStock[RM_Code],$A32,T_SelfStock[WeekIndex],60)&gt;0)*(COUNTIFS(T_TTAFStock[RM_Code],$A32,T_TTAFStock[WeekIndex],60)&gt;0)&gt;0,SUMIFS(T_SelfStock[Self_Qty],T_SelfStock[RM_Code],$A32,T_SelfStock[WeekIndex],60)+SUMIFS(T_TTAFStock[TTAF_Qty],T_TTAFStock[RM_Code],$A32,T_TTAFStock[WeekIndex],60),BH32+'Grid_Incoming'!BI32-'Grid_Requirement'!BI32))</f>
        <v/>
      </c>
      <c r="BJ32">
        <f>IF(COUNTIFS(T_StockCount[RM_Code],$A32,T_StockCount[WeekIndex],61)&gt;0,SUMIFS(T_StockCount[CountedQty],T_StockCount[RM_Code],$A32,T_StockCount[WeekIndex],61),IF((COUNTIFS(T_SelfStock[RM_Code],$A32,T_SelfStock[WeekIndex],61)&gt;0)*(COUNTIFS(T_TTAFStock[RM_Code],$A32,T_TTAFStock[WeekIndex],61)&gt;0)&gt;0,SUMIFS(T_SelfStock[Self_Qty],T_SelfStock[RM_Code],$A32,T_SelfStock[WeekIndex],61)+SUMIFS(T_TTAFStock[TTAF_Qty],T_TTAFStock[RM_Code],$A32,T_TTAFStock[WeekIndex],61),BI32+'Grid_Incoming'!BJ32-'Grid_Requirement'!BJ32))</f>
        <v/>
      </c>
      <c r="BK32">
        <f>IF(COUNTIFS(T_StockCount[RM_Code],$A32,T_StockCount[WeekIndex],62)&gt;0,SUMIFS(T_StockCount[CountedQty],T_StockCount[RM_Code],$A32,T_StockCount[WeekIndex],62),IF((COUNTIFS(T_SelfStock[RM_Code],$A32,T_SelfStock[WeekIndex],62)&gt;0)*(COUNTIFS(T_TTAFStock[RM_Code],$A32,T_TTAFStock[WeekIndex],62)&gt;0)&gt;0,SUMIFS(T_SelfStock[Self_Qty],T_SelfStock[RM_Code],$A32,T_SelfStock[WeekIndex],62)+SUMIFS(T_TTAFStock[TTAF_Qty],T_TTAFStock[RM_Code],$A32,T_TTAFStock[WeekIndex],62),BJ32+'Grid_Incoming'!BK32-'Grid_Requirement'!BK32))</f>
        <v/>
      </c>
      <c r="BL32">
        <f>IF(COUNTIFS(T_StockCount[RM_Code],$A32,T_StockCount[WeekIndex],63)&gt;0,SUMIFS(T_StockCount[CountedQty],T_StockCount[RM_Code],$A32,T_StockCount[WeekIndex],63),IF((COUNTIFS(T_SelfStock[RM_Code],$A32,T_SelfStock[WeekIndex],63)&gt;0)*(COUNTIFS(T_TTAFStock[RM_Code],$A32,T_TTAFStock[WeekIndex],63)&gt;0)&gt;0,SUMIFS(T_SelfStock[Self_Qty],T_SelfStock[RM_Code],$A32,T_SelfStock[WeekIndex],63)+SUMIFS(T_TTAFStock[TTAF_Qty],T_TTAFStock[RM_Code],$A32,T_TTAFStock[WeekIndex],63),BK32+'Grid_Incoming'!BL32-'Grid_Requirement'!BL32))</f>
        <v/>
      </c>
      <c r="BM32">
        <f>IF(COUNTIFS(T_StockCount[RM_Code],$A32,T_StockCount[WeekIndex],64)&gt;0,SUMIFS(T_StockCount[CountedQty],T_StockCount[RM_Code],$A32,T_StockCount[WeekIndex],64),IF((COUNTIFS(T_SelfStock[RM_Code],$A32,T_SelfStock[WeekIndex],64)&gt;0)*(COUNTIFS(T_TTAFStock[RM_Code],$A32,T_TTAFStock[WeekIndex],64)&gt;0)&gt;0,SUMIFS(T_SelfStock[Self_Qty],T_SelfStock[RM_Code],$A32,T_SelfStock[WeekIndex],64)+SUMIFS(T_TTAFStock[TTAF_Qty],T_TTAFStock[RM_Code],$A32,T_TTAFStock[WeekIndex],64),BL32+'Grid_Incoming'!BM32-'Grid_Requirement'!BM32))</f>
        <v/>
      </c>
      <c r="BN32">
        <f>IF(COUNTIFS(T_StockCount[RM_Code],$A32,T_StockCount[WeekIndex],65)&gt;0,SUMIFS(T_StockCount[CountedQty],T_StockCount[RM_Code],$A32,T_StockCount[WeekIndex],65),IF((COUNTIFS(T_SelfStock[RM_Code],$A32,T_SelfStock[WeekIndex],65)&gt;0)*(COUNTIFS(T_TTAFStock[RM_Code],$A32,T_TTAFStock[WeekIndex],65)&gt;0)&gt;0,SUMIFS(T_SelfStock[Self_Qty],T_SelfStock[RM_Code],$A32,T_SelfStock[WeekIndex],65)+SUMIFS(T_TTAFStock[TTAF_Qty],T_TTAFStock[RM_Code],$A32,T_TTAFStock[WeekIndex],65),BM32+'Grid_Incoming'!BN32-'Grid_Requirement'!BN32))</f>
        <v/>
      </c>
      <c r="BO32">
        <f>IF(COUNTIFS(T_StockCount[RM_Code],$A32,T_StockCount[WeekIndex],66)&gt;0,SUMIFS(T_StockCount[CountedQty],T_StockCount[RM_Code],$A32,T_StockCount[WeekIndex],66),IF((COUNTIFS(T_SelfStock[RM_Code],$A32,T_SelfStock[WeekIndex],66)&gt;0)*(COUNTIFS(T_TTAFStock[RM_Code],$A32,T_TTAFStock[WeekIndex],66)&gt;0)&gt;0,SUMIFS(T_SelfStock[Self_Qty],T_SelfStock[RM_Code],$A32,T_SelfStock[WeekIndex],66)+SUMIFS(T_TTAFStock[TTAF_Qty],T_TTAFStock[RM_Code],$A32,T_TTAFStock[WeekIndex],66),BN32+'Grid_Incoming'!BO32-'Grid_Requirement'!BO32))</f>
        <v/>
      </c>
      <c r="BP32">
        <f>IF(COUNTIFS(T_StockCount[RM_Code],$A32,T_StockCount[WeekIndex],67)&gt;0,SUMIFS(T_StockCount[CountedQty],T_StockCount[RM_Code],$A32,T_StockCount[WeekIndex],67),IF((COUNTIFS(T_SelfStock[RM_Code],$A32,T_SelfStock[WeekIndex],67)&gt;0)*(COUNTIFS(T_TTAFStock[RM_Code],$A32,T_TTAFStock[WeekIndex],67)&gt;0)&gt;0,SUMIFS(T_SelfStock[Self_Qty],T_SelfStock[RM_Code],$A32,T_SelfStock[WeekIndex],67)+SUMIFS(T_TTAFStock[TTAF_Qty],T_TTAFStock[RM_Code],$A32,T_TTAFStock[WeekIndex],67),BO32+'Grid_Incoming'!BP32-'Grid_Requirement'!BP32))</f>
        <v/>
      </c>
      <c r="BQ32">
        <f>IF(COUNTIFS(T_StockCount[RM_Code],$A32,T_StockCount[WeekIndex],68)&gt;0,SUMIFS(T_StockCount[CountedQty],T_StockCount[RM_Code],$A32,T_StockCount[WeekIndex],68),IF((COUNTIFS(T_SelfStock[RM_Code],$A32,T_SelfStock[WeekIndex],68)&gt;0)*(COUNTIFS(T_TTAFStock[RM_Code],$A32,T_TTAFStock[WeekIndex],68)&gt;0)&gt;0,SUMIFS(T_SelfStock[Self_Qty],T_SelfStock[RM_Code],$A32,T_SelfStock[WeekIndex],68)+SUMIFS(T_TTAFStock[TTAF_Qty],T_TTAFStock[RM_Code],$A32,T_TTAFStock[WeekIndex],68),BP32+'Grid_Incoming'!BQ32-'Grid_Requirement'!BQ32))</f>
        <v/>
      </c>
      <c r="BR32">
        <f>IF(COUNTIFS(T_StockCount[RM_Code],$A32,T_StockCount[WeekIndex],69)&gt;0,SUMIFS(T_StockCount[CountedQty],T_StockCount[RM_Code],$A32,T_StockCount[WeekIndex],69),IF((COUNTIFS(T_SelfStock[RM_Code],$A32,T_SelfStock[WeekIndex],69)&gt;0)*(COUNTIFS(T_TTAFStock[RM_Code],$A32,T_TTAFStock[WeekIndex],69)&gt;0)&gt;0,SUMIFS(T_SelfStock[Self_Qty],T_SelfStock[RM_Code],$A32,T_SelfStock[WeekIndex],69)+SUMIFS(T_TTAFStock[TTAF_Qty],T_TTAFStock[RM_Code],$A32,T_TTAFStock[WeekIndex],69),BQ32+'Grid_Incoming'!BR32-'Grid_Requirement'!BR32))</f>
        <v/>
      </c>
      <c r="BS32">
        <f>IF(COUNTIFS(T_StockCount[RM_Code],$A32,T_StockCount[WeekIndex],70)&gt;0,SUMIFS(T_StockCount[CountedQty],T_StockCount[RM_Code],$A32,T_StockCount[WeekIndex],70),IF((COUNTIFS(T_SelfStock[RM_Code],$A32,T_SelfStock[WeekIndex],70)&gt;0)*(COUNTIFS(T_TTAFStock[RM_Code],$A32,T_TTAFStock[WeekIndex],70)&gt;0)&gt;0,SUMIFS(T_SelfStock[Self_Qty],T_SelfStock[RM_Code],$A32,T_SelfStock[WeekIndex],70)+SUMIFS(T_TTAFStock[TTAF_Qty],T_TTAFStock[RM_Code],$A32,T_TTAFStock[WeekIndex],70),BR32+'Grid_Incoming'!BS32-'Grid_Requirement'!BS32))</f>
        <v/>
      </c>
      <c r="BT32">
        <f>IF(COUNTIFS(T_StockCount[RM_Code],$A32,T_StockCount[WeekIndex],71)&gt;0,SUMIFS(T_StockCount[CountedQty],T_StockCount[RM_Code],$A32,T_StockCount[WeekIndex],71),IF((COUNTIFS(T_SelfStock[RM_Code],$A32,T_SelfStock[WeekIndex],71)&gt;0)*(COUNTIFS(T_TTAFStock[RM_Code],$A32,T_TTAFStock[WeekIndex],71)&gt;0)&gt;0,SUMIFS(T_SelfStock[Self_Qty],T_SelfStock[RM_Code],$A32,T_SelfStock[WeekIndex],71)+SUMIFS(T_TTAFStock[TTAF_Qty],T_TTAFStock[RM_Code],$A32,T_TTAFStock[WeekIndex],71),BS32+'Grid_Incoming'!BT32-'Grid_Requirement'!BT32))</f>
        <v/>
      </c>
      <c r="BU32">
        <f>IF(COUNTIFS(T_StockCount[RM_Code],$A32,T_StockCount[WeekIndex],72)&gt;0,SUMIFS(T_StockCount[CountedQty],T_StockCount[RM_Code],$A32,T_StockCount[WeekIndex],72),IF((COUNTIFS(T_SelfStock[RM_Code],$A32,T_SelfStock[WeekIndex],72)&gt;0)*(COUNTIFS(T_TTAFStock[RM_Code],$A32,T_TTAFStock[WeekIndex],72)&gt;0)&gt;0,SUMIFS(T_SelfStock[Self_Qty],T_SelfStock[RM_Code],$A32,T_SelfStock[WeekIndex],72)+SUMIFS(T_TTAFStock[TTAF_Qty],T_TTAFStock[RM_Code],$A32,T_TTAFStock[WeekIndex],72),BT32+'Grid_Incoming'!BU32-'Grid_Requirement'!BU32))</f>
        <v/>
      </c>
      <c r="BV32">
        <f>IF(COUNTIFS(T_StockCount[RM_Code],$A32,T_StockCount[WeekIndex],73)&gt;0,SUMIFS(T_StockCount[CountedQty],T_StockCount[RM_Code],$A32,T_StockCount[WeekIndex],73),IF((COUNTIFS(T_SelfStock[RM_Code],$A32,T_SelfStock[WeekIndex],73)&gt;0)*(COUNTIFS(T_TTAFStock[RM_Code],$A32,T_TTAFStock[WeekIndex],73)&gt;0)&gt;0,SUMIFS(T_SelfStock[Self_Qty],T_SelfStock[RM_Code],$A32,T_SelfStock[WeekIndex],73)+SUMIFS(T_TTAFStock[TTAF_Qty],T_TTAFStock[RM_Code],$A32,T_TTAFStock[WeekIndex],73),BU32+'Grid_Incoming'!BV32-'Grid_Requirement'!BV32))</f>
        <v/>
      </c>
      <c r="BW32">
        <f>IF(COUNTIFS(T_StockCount[RM_Code],$A32,T_StockCount[WeekIndex],74)&gt;0,SUMIFS(T_StockCount[CountedQty],T_StockCount[RM_Code],$A32,T_StockCount[WeekIndex],74),IF((COUNTIFS(T_SelfStock[RM_Code],$A32,T_SelfStock[WeekIndex],74)&gt;0)*(COUNTIFS(T_TTAFStock[RM_Code],$A32,T_TTAFStock[WeekIndex],74)&gt;0)&gt;0,SUMIFS(T_SelfStock[Self_Qty],T_SelfStock[RM_Code],$A32,T_SelfStock[WeekIndex],74)+SUMIFS(T_TTAFStock[TTAF_Qty],T_TTAFStock[RM_Code],$A32,T_TTAFStock[WeekIndex],74),BV32+'Grid_Incoming'!BW32-'Grid_Requirement'!BW32))</f>
        <v/>
      </c>
      <c r="BX32">
        <f>IF(COUNTIFS(T_StockCount[RM_Code],$A32,T_StockCount[WeekIndex],75)&gt;0,SUMIFS(T_StockCount[CountedQty],T_StockCount[RM_Code],$A32,T_StockCount[WeekIndex],75),IF((COUNTIFS(T_SelfStock[RM_Code],$A32,T_SelfStock[WeekIndex],75)&gt;0)*(COUNTIFS(T_TTAFStock[RM_Code],$A32,T_TTAFStock[WeekIndex],75)&gt;0)&gt;0,SUMIFS(T_SelfStock[Self_Qty],T_SelfStock[RM_Code],$A32,T_SelfStock[WeekIndex],75)+SUMIFS(T_TTAFStock[TTAF_Qty],T_TTAFStock[RM_Code],$A32,T_TTAFStock[WeekIndex],75),BW32+'Grid_Incoming'!BX32-'Grid_Requirement'!BX32))</f>
        <v/>
      </c>
      <c r="BY32">
        <f>IF(COUNTIFS(T_StockCount[RM_Code],$A32,T_StockCount[WeekIndex],76)&gt;0,SUMIFS(T_StockCount[CountedQty],T_StockCount[RM_Code],$A32,T_StockCount[WeekIndex],76),IF((COUNTIFS(T_SelfStock[RM_Code],$A32,T_SelfStock[WeekIndex],76)&gt;0)*(COUNTIFS(T_TTAFStock[RM_Code],$A32,T_TTAFStock[WeekIndex],76)&gt;0)&gt;0,SUMIFS(T_SelfStock[Self_Qty],T_SelfStock[RM_Code],$A32,T_SelfStock[WeekIndex],76)+SUMIFS(T_TTAFStock[TTAF_Qty],T_TTAFStock[RM_Code],$A32,T_TTAFStock[WeekIndex],76),BX32+'Grid_Incoming'!BY32-'Grid_Requirement'!BY32))</f>
        <v/>
      </c>
      <c r="BZ32">
        <f>IF(COUNTIFS(T_StockCount[RM_Code],$A32,T_StockCount[WeekIndex],77)&gt;0,SUMIFS(T_StockCount[CountedQty],T_StockCount[RM_Code],$A32,T_StockCount[WeekIndex],77),IF((COUNTIFS(T_SelfStock[RM_Code],$A32,T_SelfStock[WeekIndex],77)&gt;0)*(COUNTIFS(T_TTAFStock[RM_Code],$A32,T_TTAFStock[WeekIndex],77)&gt;0)&gt;0,SUMIFS(T_SelfStock[Self_Qty],T_SelfStock[RM_Code],$A32,T_SelfStock[WeekIndex],77)+SUMIFS(T_TTAFStock[TTAF_Qty],T_TTAFStock[RM_Code],$A32,T_TTAFStock[WeekIndex],77),BY32+'Grid_Incoming'!BZ32-'Grid_Requirement'!BZ32))</f>
        <v/>
      </c>
      <c r="CA32">
        <f>IF(COUNTIFS(T_StockCount[RM_Code],$A32,T_StockCount[WeekIndex],78)&gt;0,SUMIFS(T_StockCount[CountedQty],T_StockCount[RM_Code],$A32,T_StockCount[WeekIndex],78),IF((COUNTIFS(T_SelfStock[RM_Code],$A32,T_SelfStock[WeekIndex],78)&gt;0)*(COUNTIFS(T_TTAFStock[RM_Code],$A32,T_TTAFStock[WeekIndex],78)&gt;0)&gt;0,SUMIFS(T_SelfStock[Self_Qty],T_SelfStock[RM_Code],$A32,T_SelfStock[WeekIndex],78)+SUMIFS(T_TTAFStock[TTAF_Qty],T_TTAFStock[RM_Code],$A32,T_TTAFStock[WeekIndex],78),BZ32+'Grid_Incoming'!CA32-'Grid_Requirement'!CA32))</f>
        <v/>
      </c>
      <c r="CB32">
        <f>IF(COUNTIFS(T_StockCount[RM_Code],$A32,T_StockCount[WeekIndex],79)&gt;0,SUMIFS(T_StockCount[CountedQty],T_StockCount[RM_Code],$A32,T_StockCount[WeekIndex],79),IF((COUNTIFS(T_SelfStock[RM_Code],$A32,T_SelfStock[WeekIndex],79)&gt;0)*(COUNTIFS(T_TTAFStock[RM_Code],$A32,T_TTAFStock[WeekIndex],79)&gt;0)&gt;0,SUMIFS(T_SelfStock[Self_Qty],T_SelfStock[RM_Code],$A32,T_SelfStock[WeekIndex],79)+SUMIFS(T_TTAFStock[TTAF_Qty],T_TTAFStock[RM_Code],$A32,T_TTAFStock[WeekIndex],79),CA32+'Grid_Incoming'!CB32-'Grid_Requirement'!CB32))</f>
        <v/>
      </c>
      <c r="CC32">
        <f>IF(COUNTIFS(T_StockCount[RM_Code],$A32,T_StockCount[WeekIndex],80)&gt;0,SUMIFS(T_StockCount[CountedQty],T_StockCount[RM_Code],$A32,T_StockCount[WeekIndex],80),IF((COUNTIFS(T_SelfStock[RM_Code],$A32,T_SelfStock[WeekIndex],80)&gt;0)*(COUNTIFS(T_TTAFStock[RM_Code],$A32,T_TTAFStock[WeekIndex],80)&gt;0)&gt;0,SUMIFS(T_SelfStock[Self_Qty],T_SelfStock[RM_Code],$A32,T_SelfStock[WeekIndex],80)+SUMIFS(T_TTAFStock[TTAF_Qty],T_TTAFStock[RM_Code],$A32,T_TTAFStock[WeekIndex],80),CB32+'Grid_Incoming'!CC32-'Grid_Requirement'!CC32))</f>
        <v/>
      </c>
      <c r="CD32">
        <f>IF(COUNTIFS(T_StockCount[RM_Code],$A32,T_StockCount[WeekIndex],81)&gt;0,SUMIFS(T_StockCount[CountedQty],T_StockCount[RM_Code],$A32,T_StockCount[WeekIndex],81),IF((COUNTIFS(T_SelfStock[RM_Code],$A32,T_SelfStock[WeekIndex],81)&gt;0)*(COUNTIFS(T_TTAFStock[RM_Code],$A32,T_TTAFStock[WeekIndex],81)&gt;0)&gt;0,SUMIFS(T_SelfStock[Self_Qty],T_SelfStock[RM_Code],$A32,T_SelfStock[WeekIndex],81)+SUMIFS(T_TTAFStock[TTAF_Qty],T_TTAFStock[RM_Code],$A32,T_TTAFStock[WeekIndex],81),CC32+'Grid_Incoming'!CD32-'Grid_Requirement'!CD32))</f>
        <v/>
      </c>
      <c r="CE32">
        <f>IF(COUNTIFS(T_StockCount[RM_Code],$A32,T_StockCount[WeekIndex],82)&gt;0,SUMIFS(T_StockCount[CountedQty],T_StockCount[RM_Code],$A32,T_StockCount[WeekIndex],82),IF((COUNTIFS(T_SelfStock[RM_Code],$A32,T_SelfStock[WeekIndex],82)&gt;0)*(COUNTIFS(T_TTAFStock[RM_Code],$A32,T_TTAFStock[WeekIndex],82)&gt;0)&gt;0,SUMIFS(T_SelfStock[Self_Qty],T_SelfStock[RM_Code],$A32,T_SelfStock[WeekIndex],82)+SUMIFS(T_TTAFStock[TTAF_Qty],T_TTAFStock[RM_Code],$A32,T_TTAFStock[WeekIndex],82),CD32+'Grid_Incoming'!CE32-'Grid_Requirement'!CE32))</f>
        <v/>
      </c>
      <c r="CF32">
        <f>IF(COUNTIFS(T_StockCount[RM_Code],$A32,T_StockCount[WeekIndex],83)&gt;0,SUMIFS(T_StockCount[CountedQty],T_StockCount[RM_Code],$A32,T_StockCount[WeekIndex],83),IF((COUNTIFS(T_SelfStock[RM_Code],$A32,T_SelfStock[WeekIndex],83)&gt;0)*(COUNTIFS(T_TTAFStock[RM_Code],$A32,T_TTAFStock[WeekIndex],83)&gt;0)&gt;0,SUMIFS(T_SelfStock[Self_Qty],T_SelfStock[RM_Code],$A32,T_SelfStock[WeekIndex],83)+SUMIFS(T_TTAFStock[TTAF_Qty],T_TTAFStock[RM_Code],$A32,T_TTAFStock[WeekIndex],83),CE32+'Grid_Incoming'!CF32-'Grid_Requirement'!CF32))</f>
        <v/>
      </c>
      <c r="CG32">
        <f>IF(COUNTIFS(T_StockCount[RM_Code],$A32,T_StockCount[WeekIndex],84)&gt;0,SUMIFS(T_StockCount[CountedQty],T_StockCount[RM_Code],$A32,T_StockCount[WeekIndex],84),IF((COUNTIFS(T_SelfStock[RM_Code],$A32,T_SelfStock[WeekIndex],84)&gt;0)*(COUNTIFS(T_TTAFStock[RM_Code],$A32,T_TTAFStock[WeekIndex],84)&gt;0)&gt;0,SUMIFS(T_SelfStock[Self_Qty],T_SelfStock[RM_Code],$A32,T_SelfStock[WeekIndex],84)+SUMIFS(T_TTAFStock[TTAF_Qty],T_TTAFStock[RM_Code],$A32,T_TTAFStock[WeekIndex],84),CF32+'Grid_Incoming'!CG32-'Grid_Requirement'!CG32))</f>
        <v/>
      </c>
      <c r="CH32">
        <f>IF(COUNTIFS(T_StockCount[RM_Code],$A32,T_StockCount[WeekIndex],85)&gt;0,SUMIFS(T_StockCount[CountedQty],T_StockCount[RM_Code],$A32,T_StockCount[WeekIndex],85),IF((COUNTIFS(T_SelfStock[RM_Code],$A32,T_SelfStock[WeekIndex],85)&gt;0)*(COUNTIFS(T_TTAFStock[RM_Code],$A32,T_TTAFStock[WeekIndex],85)&gt;0)&gt;0,SUMIFS(T_SelfStock[Self_Qty],T_SelfStock[RM_Code],$A32,T_SelfStock[WeekIndex],85)+SUMIFS(T_TTAFStock[TTAF_Qty],T_TTAFStock[RM_Code],$A32,T_TTAFStock[WeekIndex],85),CG32+'Grid_Incoming'!CH32-'Grid_Requirement'!CH32))</f>
        <v/>
      </c>
      <c r="CI32">
        <f>IF(COUNTIFS(T_StockCount[RM_Code],$A32,T_StockCount[WeekIndex],86)&gt;0,SUMIFS(T_StockCount[CountedQty],T_StockCount[RM_Code],$A32,T_StockCount[WeekIndex],86),IF((COUNTIFS(T_SelfStock[RM_Code],$A32,T_SelfStock[WeekIndex],86)&gt;0)*(COUNTIFS(T_TTAFStock[RM_Code],$A32,T_TTAFStock[WeekIndex],86)&gt;0)&gt;0,SUMIFS(T_SelfStock[Self_Qty],T_SelfStock[RM_Code],$A32,T_SelfStock[WeekIndex],86)+SUMIFS(T_TTAFStock[TTAF_Qty],T_TTAFStock[RM_Code],$A32,T_TTAFStock[WeekIndex],86),CH32+'Grid_Incoming'!CI32-'Grid_Requirement'!CI32))</f>
        <v/>
      </c>
      <c r="CJ32">
        <f>IF(COUNTIFS(T_StockCount[RM_Code],$A32,T_StockCount[WeekIndex],87)&gt;0,SUMIFS(T_StockCount[CountedQty],T_StockCount[RM_Code],$A32,T_StockCount[WeekIndex],87),IF((COUNTIFS(T_SelfStock[RM_Code],$A32,T_SelfStock[WeekIndex],87)&gt;0)*(COUNTIFS(T_TTAFStock[RM_Code],$A32,T_TTAFStock[WeekIndex],87)&gt;0)&gt;0,SUMIFS(T_SelfStock[Self_Qty],T_SelfStock[RM_Code],$A32,T_SelfStock[WeekIndex],87)+SUMIFS(T_TTAFStock[TTAF_Qty],T_TTAFStock[RM_Code],$A32,T_TTAFStock[WeekIndex],87),CI32+'Grid_Incoming'!CJ32-'Grid_Requirement'!CJ32))</f>
        <v/>
      </c>
      <c r="CK32">
        <f>IF(COUNTIFS(T_StockCount[RM_Code],$A32,T_StockCount[WeekIndex],88)&gt;0,SUMIFS(T_StockCount[CountedQty],T_StockCount[RM_Code],$A32,T_StockCount[WeekIndex],88),IF((COUNTIFS(T_SelfStock[RM_Code],$A32,T_SelfStock[WeekIndex],88)&gt;0)*(COUNTIFS(T_TTAFStock[RM_Code],$A32,T_TTAFStock[WeekIndex],88)&gt;0)&gt;0,SUMIFS(T_SelfStock[Self_Qty],T_SelfStock[RM_Code],$A32,T_SelfStock[WeekIndex],88)+SUMIFS(T_TTAFStock[TTAF_Qty],T_TTAFStock[RM_Code],$A32,T_TTAFStock[WeekIndex],88),CJ32+'Grid_Incoming'!CK32-'Grid_Requirement'!CK32))</f>
        <v/>
      </c>
      <c r="CL32">
        <f>IF(COUNTIFS(T_StockCount[RM_Code],$A32,T_StockCount[WeekIndex],89)&gt;0,SUMIFS(T_StockCount[CountedQty],T_StockCount[RM_Code],$A32,T_StockCount[WeekIndex],89),IF((COUNTIFS(T_SelfStock[RM_Code],$A32,T_SelfStock[WeekIndex],89)&gt;0)*(COUNTIFS(T_TTAFStock[RM_Code],$A32,T_TTAFStock[WeekIndex],89)&gt;0)&gt;0,SUMIFS(T_SelfStock[Self_Qty],T_SelfStock[RM_Code],$A32,T_SelfStock[WeekIndex],89)+SUMIFS(T_TTAFStock[TTAF_Qty],T_TTAFStock[RM_Code],$A32,T_TTAFStock[WeekIndex],89),CK32+'Grid_Incoming'!CL32-'Grid_Requirement'!CL32))</f>
        <v/>
      </c>
      <c r="CM32">
        <f>IF(COUNTIFS(T_StockCount[RM_Code],$A32,T_StockCount[WeekIndex],90)&gt;0,SUMIFS(T_StockCount[CountedQty],T_StockCount[RM_Code],$A32,T_StockCount[WeekIndex],90),IF((COUNTIFS(T_SelfStock[RM_Code],$A32,T_SelfStock[WeekIndex],90)&gt;0)*(COUNTIFS(T_TTAFStock[RM_Code],$A32,T_TTAFStock[WeekIndex],90)&gt;0)&gt;0,SUMIFS(T_SelfStock[Self_Qty],T_SelfStock[RM_Code],$A32,T_SelfStock[WeekIndex],90)+SUMIFS(T_TTAFStock[TTAF_Qty],T_TTAFStock[RM_Code],$A32,T_TTAFStock[WeekIndex],90),CL32+'Grid_Incoming'!CM32-'Grid_Requirement'!CM32))</f>
        <v/>
      </c>
      <c r="CN32">
        <f>IF(COUNTIFS(T_StockCount[RM_Code],$A32,T_StockCount[WeekIndex],91)&gt;0,SUMIFS(T_StockCount[CountedQty],T_StockCount[RM_Code],$A32,T_StockCount[WeekIndex],91),IF((COUNTIFS(T_SelfStock[RM_Code],$A32,T_SelfStock[WeekIndex],91)&gt;0)*(COUNTIFS(T_TTAFStock[RM_Code],$A32,T_TTAFStock[WeekIndex],91)&gt;0)&gt;0,SUMIFS(T_SelfStock[Self_Qty],T_SelfStock[RM_Code],$A32,T_SelfStock[WeekIndex],91)+SUMIFS(T_TTAFStock[TTAF_Qty],T_TTAFStock[RM_Code],$A32,T_TTAFStock[WeekIndex],91),CM32+'Grid_Incoming'!CN32-'Grid_Requirement'!CN32))</f>
        <v/>
      </c>
      <c r="CO32">
        <f>IF(COUNTIFS(T_StockCount[RM_Code],$A32,T_StockCount[WeekIndex],92)&gt;0,SUMIFS(T_StockCount[CountedQty],T_StockCount[RM_Code],$A32,T_StockCount[WeekIndex],92),IF((COUNTIFS(T_SelfStock[RM_Code],$A32,T_SelfStock[WeekIndex],92)&gt;0)*(COUNTIFS(T_TTAFStock[RM_Code],$A32,T_TTAFStock[WeekIndex],92)&gt;0)&gt;0,SUMIFS(T_SelfStock[Self_Qty],T_SelfStock[RM_Code],$A32,T_SelfStock[WeekIndex],92)+SUMIFS(T_TTAFStock[TTAF_Qty],T_TTAFStock[RM_Code],$A32,T_TTAFStock[WeekIndex],92),CN32+'Grid_Incoming'!CO32-'Grid_Requirement'!CO32))</f>
        <v/>
      </c>
      <c r="CP32">
        <f>IF(COUNTIFS(T_StockCount[RM_Code],$A32,T_StockCount[WeekIndex],93)&gt;0,SUMIFS(T_StockCount[CountedQty],T_StockCount[RM_Code],$A32,T_StockCount[WeekIndex],93),IF((COUNTIFS(T_SelfStock[RM_Code],$A32,T_SelfStock[WeekIndex],93)&gt;0)*(COUNTIFS(T_TTAFStock[RM_Code],$A32,T_TTAFStock[WeekIndex],93)&gt;0)&gt;0,SUMIFS(T_SelfStock[Self_Qty],T_SelfStock[RM_Code],$A32,T_SelfStock[WeekIndex],93)+SUMIFS(T_TTAFStock[TTAF_Qty],T_TTAFStock[RM_Code],$A32,T_TTAFStock[WeekIndex],93),CO32+'Grid_Incoming'!CP32-'Grid_Requirement'!CP32))</f>
        <v/>
      </c>
      <c r="CQ32">
        <f>IF(COUNTIFS(T_StockCount[RM_Code],$A32,T_StockCount[WeekIndex],94)&gt;0,SUMIFS(T_StockCount[CountedQty],T_StockCount[RM_Code],$A32,T_StockCount[WeekIndex],94),IF((COUNTIFS(T_SelfStock[RM_Code],$A32,T_SelfStock[WeekIndex],94)&gt;0)*(COUNTIFS(T_TTAFStock[RM_Code],$A32,T_TTAFStock[WeekIndex],94)&gt;0)&gt;0,SUMIFS(T_SelfStock[Self_Qty],T_SelfStock[RM_Code],$A32,T_SelfStock[WeekIndex],94)+SUMIFS(T_TTAFStock[TTAF_Qty],T_TTAFStock[RM_Code],$A32,T_TTAFStock[WeekIndex],94),CP32+'Grid_Incoming'!CQ32-'Grid_Requirement'!CQ32))</f>
        <v/>
      </c>
      <c r="CR32">
        <f>IF(COUNTIFS(T_StockCount[RM_Code],$A32,T_StockCount[WeekIndex],95)&gt;0,SUMIFS(T_StockCount[CountedQty],T_StockCount[RM_Code],$A32,T_StockCount[WeekIndex],95),IF((COUNTIFS(T_SelfStock[RM_Code],$A32,T_SelfStock[WeekIndex],95)&gt;0)*(COUNTIFS(T_TTAFStock[RM_Code],$A32,T_TTAFStock[WeekIndex],95)&gt;0)&gt;0,SUMIFS(T_SelfStock[Self_Qty],T_SelfStock[RM_Code],$A32,T_SelfStock[WeekIndex],95)+SUMIFS(T_TTAFStock[TTAF_Qty],T_TTAFStock[RM_Code],$A32,T_TTAFStock[WeekIndex],95),CQ32+'Grid_Incoming'!CR32-'Grid_Requirement'!CR32))</f>
        <v/>
      </c>
      <c r="CS32">
        <f>IF(COUNTIFS(T_StockCount[RM_Code],$A32,T_StockCount[WeekIndex],96)&gt;0,SUMIFS(T_StockCount[CountedQty],T_StockCount[RM_Code],$A32,T_StockCount[WeekIndex],96),IF((COUNTIFS(T_SelfStock[RM_Code],$A32,T_SelfStock[WeekIndex],96)&gt;0)*(COUNTIFS(T_TTAFStock[RM_Code],$A32,T_TTAFStock[WeekIndex],96)&gt;0)&gt;0,SUMIFS(T_SelfStock[Self_Qty],T_SelfStock[RM_Code],$A32,T_SelfStock[WeekIndex],96)+SUMIFS(T_TTAFStock[TTAF_Qty],T_TTAFStock[RM_Code],$A32,T_TTAFStock[WeekIndex],96),CR32+'Grid_Incoming'!CS32-'Grid_Requirement'!CS32))</f>
        <v/>
      </c>
      <c r="CT32">
        <f>IF(COUNTIFS(T_StockCount[RM_Code],$A32,T_StockCount[WeekIndex],97)&gt;0,SUMIFS(T_StockCount[CountedQty],T_StockCount[RM_Code],$A32,T_StockCount[WeekIndex],97),IF((COUNTIFS(T_SelfStock[RM_Code],$A32,T_SelfStock[WeekIndex],97)&gt;0)*(COUNTIFS(T_TTAFStock[RM_Code],$A32,T_TTAFStock[WeekIndex],97)&gt;0)&gt;0,SUMIFS(T_SelfStock[Self_Qty],T_SelfStock[RM_Code],$A32,T_SelfStock[WeekIndex],97)+SUMIFS(T_TTAFStock[TTAF_Qty],T_TTAFStock[RM_Code],$A32,T_TTAFStock[WeekIndex],97),CS32+'Grid_Incoming'!CT32-'Grid_Requirement'!CT32))</f>
        <v/>
      </c>
      <c r="CU32">
        <f>IF(COUNTIFS(T_StockCount[RM_Code],$A32,T_StockCount[WeekIndex],98)&gt;0,SUMIFS(T_StockCount[CountedQty],T_StockCount[RM_Code],$A32,T_StockCount[WeekIndex],98),IF((COUNTIFS(T_SelfStock[RM_Code],$A32,T_SelfStock[WeekIndex],98)&gt;0)*(COUNTIFS(T_TTAFStock[RM_Code],$A32,T_TTAFStock[WeekIndex],98)&gt;0)&gt;0,SUMIFS(T_SelfStock[Self_Qty],T_SelfStock[RM_Code],$A32,T_SelfStock[WeekIndex],98)+SUMIFS(T_TTAFStock[TTAF_Qty],T_TTAFStock[RM_Code],$A32,T_TTAFStock[WeekIndex],98),CT32+'Grid_Incoming'!CU32-'Grid_Requirement'!CU32))</f>
        <v/>
      </c>
      <c r="CV32">
        <f>IF(COUNTIFS(T_StockCount[RM_Code],$A32,T_StockCount[WeekIndex],99)&gt;0,SUMIFS(T_StockCount[CountedQty],T_StockCount[RM_Code],$A32,T_StockCount[WeekIndex],99),IF((COUNTIFS(T_SelfStock[RM_Code],$A32,T_SelfStock[WeekIndex],99)&gt;0)*(COUNTIFS(T_TTAFStock[RM_Code],$A32,T_TTAFStock[WeekIndex],99)&gt;0)&gt;0,SUMIFS(T_SelfStock[Self_Qty],T_SelfStock[RM_Code],$A32,T_SelfStock[WeekIndex],99)+SUMIFS(T_TTAFStock[TTAF_Qty],T_TTAFStock[RM_Code],$A32,T_TTAFStock[WeekIndex],99),CU32+'Grid_Incoming'!CV32-'Grid_Requirement'!CV32))</f>
        <v/>
      </c>
      <c r="CW32">
        <f>IF(COUNTIFS(T_StockCount[RM_Code],$A32,T_StockCount[WeekIndex],100)&gt;0,SUMIFS(T_StockCount[CountedQty],T_StockCount[RM_Code],$A32,T_StockCount[WeekIndex],100),IF((COUNTIFS(T_SelfStock[RM_Code],$A32,T_SelfStock[WeekIndex],100)&gt;0)*(COUNTIFS(T_TTAFStock[RM_Code],$A32,T_TTAFStock[WeekIndex],100)&gt;0)&gt;0,SUMIFS(T_SelfStock[Self_Qty],T_SelfStock[RM_Code],$A32,T_SelfStock[WeekIndex],100)+SUMIFS(T_TTAFStock[TTAF_Qty],T_TTAFStock[RM_Code],$A32,T_TTAFStock[WeekIndex],100),CV32+'Grid_Incoming'!CW32-'Grid_Requirement'!CW32))</f>
        <v/>
      </c>
      <c r="CX32">
        <f>IF(COUNTIFS(T_StockCount[RM_Code],$A32,T_StockCount[WeekIndex],101)&gt;0,SUMIFS(T_StockCount[CountedQty],T_StockCount[RM_Code],$A32,T_StockCount[WeekIndex],101),IF((COUNTIFS(T_SelfStock[RM_Code],$A32,T_SelfStock[WeekIndex],101)&gt;0)*(COUNTIFS(T_TTAFStock[RM_Code],$A32,T_TTAFStock[WeekIndex],101)&gt;0)&gt;0,SUMIFS(T_SelfStock[Self_Qty],T_SelfStock[RM_Code],$A32,T_SelfStock[WeekIndex],101)+SUMIFS(T_TTAFStock[TTAF_Qty],T_TTAFStock[RM_Code],$A32,T_TTAFStock[WeekIndex],101),CW32+'Grid_Incoming'!CX32-'Grid_Requirement'!CX32))</f>
        <v/>
      </c>
      <c r="CY32">
        <f>IF(COUNTIFS(T_StockCount[RM_Code],$A32,T_StockCount[WeekIndex],102)&gt;0,SUMIFS(T_StockCount[CountedQty],T_StockCount[RM_Code],$A32,T_StockCount[WeekIndex],102),IF((COUNTIFS(T_SelfStock[RM_Code],$A32,T_SelfStock[WeekIndex],102)&gt;0)*(COUNTIFS(T_TTAFStock[RM_Code],$A32,T_TTAFStock[WeekIndex],102)&gt;0)&gt;0,SUMIFS(T_SelfStock[Self_Qty],T_SelfStock[RM_Code],$A32,T_SelfStock[WeekIndex],102)+SUMIFS(T_TTAFStock[TTAF_Qty],T_TTAFStock[RM_Code],$A32,T_TTAFStock[WeekIndex],102),CX32+'Grid_Incoming'!CY32-'Grid_Requirement'!CY32))</f>
        <v/>
      </c>
      <c r="CZ32">
        <f>IF(COUNTIFS(T_StockCount[RM_Code],$A32,T_StockCount[WeekIndex],103)&gt;0,SUMIFS(T_StockCount[CountedQty],T_StockCount[RM_Code],$A32,T_StockCount[WeekIndex],103),IF((COUNTIFS(T_SelfStock[RM_Code],$A32,T_SelfStock[WeekIndex],103)&gt;0)*(COUNTIFS(T_TTAFStock[RM_Code],$A32,T_TTAFStock[WeekIndex],103)&gt;0)&gt;0,SUMIFS(T_SelfStock[Self_Qty],T_SelfStock[RM_Code],$A32,T_SelfStock[WeekIndex],103)+SUMIFS(T_TTAFStock[TTAF_Qty],T_TTAFStock[RM_Code],$A32,T_TTAFStock[WeekIndex],103),CY32+'Grid_Incoming'!CZ32-'Grid_Requirement'!CZ32))</f>
        <v/>
      </c>
      <c r="DA32">
        <f>IF(COUNTIFS(T_StockCount[RM_Code],$A32,T_StockCount[WeekIndex],104)&gt;0,SUMIFS(T_StockCount[CountedQty],T_StockCount[RM_Code],$A32,T_StockCount[WeekIndex],104),IF((COUNTIFS(T_SelfStock[RM_Code],$A32,T_SelfStock[WeekIndex],104)&gt;0)*(COUNTIFS(T_TTAFStock[RM_Code],$A32,T_TTAFStock[WeekIndex],104)&gt;0)&gt;0,SUMIFS(T_SelfStock[Self_Qty],T_SelfStock[RM_Code],$A32,T_SelfStock[WeekIndex],104)+SUMIFS(T_TTAFStock[TTAF_Qty],T_TTAFStock[RM_Code],$A32,T_TTAFStock[WeekIndex],104),CZ32+'Grid_Incoming'!DA32-'Grid_Requirement'!DA32))</f>
        <v/>
      </c>
    </row>
    <row r="33">
      <c r="A33" t="inlineStr">
        <is>
          <t>KEJ</t>
        </is>
      </c>
      <c r="B33">
        <f>IF(COUNTIFS(T_StockCount[RM_Code],$A33,T_StockCount[WeekIndex],1)&gt;0,SUMIFS(T_StockCount[CountedQty],T_StockCount[RM_Code],$A33,T_StockCount[WeekIndex],1),IF((COUNTIFS(T_SelfStock[RM_Code],$A33,T_SelfStock[WeekIndex],1)&gt;0)*(COUNTIFS(T_TTAFStock[RM_Code],$A33,T_TTAFStock[WeekIndex],1)&gt;0)&gt;0,SUMIFS(T_SelfStock[Self_Qty],T_SelfStock[RM_Code],$A33,T_SelfStock[WeekIndex],1)+SUMIFS(T_TTAFStock[TTAF_Qty],T_TTAFStock[RM_Code],$A33,T_TTAFStock[WeekIndex],1),IFERROR(INDEX(T_OpeningStock[Opening_Qty],MATCH($A33,T_OpeningStock[RM_Code],0)),0)+'Grid_Incoming'!B33-'Grid_Requirement'!B33))</f>
        <v/>
      </c>
      <c r="C33">
        <f>IF(COUNTIFS(T_StockCount[RM_Code],$A33,T_StockCount[WeekIndex],2)&gt;0,SUMIFS(T_StockCount[CountedQty],T_StockCount[RM_Code],$A33,T_StockCount[WeekIndex],2),IF((COUNTIFS(T_SelfStock[RM_Code],$A33,T_SelfStock[WeekIndex],2)&gt;0)*(COUNTIFS(T_TTAFStock[RM_Code],$A33,T_TTAFStock[WeekIndex],2)&gt;0)&gt;0,SUMIFS(T_SelfStock[Self_Qty],T_SelfStock[RM_Code],$A33,T_SelfStock[WeekIndex],2)+SUMIFS(T_TTAFStock[TTAF_Qty],T_TTAFStock[RM_Code],$A33,T_TTAFStock[WeekIndex],2),B33+'Grid_Incoming'!C33-'Grid_Requirement'!C33))</f>
        <v/>
      </c>
      <c r="D33">
        <f>IF(COUNTIFS(T_StockCount[RM_Code],$A33,T_StockCount[WeekIndex],3)&gt;0,SUMIFS(T_StockCount[CountedQty],T_StockCount[RM_Code],$A33,T_StockCount[WeekIndex],3),IF((COUNTIFS(T_SelfStock[RM_Code],$A33,T_SelfStock[WeekIndex],3)&gt;0)*(COUNTIFS(T_TTAFStock[RM_Code],$A33,T_TTAFStock[WeekIndex],3)&gt;0)&gt;0,SUMIFS(T_SelfStock[Self_Qty],T_SelfStock[RM_Code],$A33,T_SelfStock[WeekIndex],3)+SUMIFS(T_TTAFStock[TTAF_Qty],T_TTAFStock[RM_Code],$A33,T_TTAFStock[WeekIndex],3),C33+'Grid_Incoming'!D33-'Grid_Requirement'!D33))</f>
        <v/>
      </c>
      <c r="E33">
        <f>IF(COUNTIFS(T_StockCount[RM_Code],$A33,T_StockCount[WeekIndex],4)&gt;0,SUMIFS(T_StockCount[CountedQty],T_StockCount[RM_Code],$A33,T_StockCount[WeekIndex],4),IF((COUNTIFS(T_SelfStock[RM_Code],$A33,T_SelfStock[WeekIndex],4)&gt;0)*(COUNTIFS(T_TTAFStock[RM_Code],$A33,T_TTAFStock[WeekIndex],4)&gt;0)&gt;0,SUMIFS(T_SelfStock[Self_Qty],T_SelfStock[RM_Code],$A33,T_SelfStock[WeekIndex],4)+SUMIFS(T_TTAFStock[TTAF_Qty],T_TTAFStock[RM_Code],$A33,T_TTAFStock[WeekIndex],4),D33+'Grid_Incoming'!E33-'Grid_Requirement'!E33))</f>
        <v/>
      </c>
      <c r="F33">
        <f>IF(COUNTIFS(T_StockCount[RM_Code],$A33,T_StockCount[WeekIndex],5)&gt;0,SUMIFS(T_StockCount[CountedQty],T_StockCount[RM_Code],$A33,T_StockCount[WeekIndex],5),IF((COUNTIFS(T_SelfStock[RM_Code],$A33,T_SelfStock[WeekIndex],5)&gt;0)*(COUNTIFS(T_TTAFStock[RM_Code],$A33,T_TTAFStock[WeekIndex],5)&gt;0)&gt;0,SUMIFS(T_SelfStock[Self_Qty],T_SelfStock[RM_Code],$A33,T_SelfStock[WeekIndex],5)+SUMIFS(T_TTAFStock[TTAF_Qty],T_TTAFStock[RM_Code],$A33,T_TTAFStock[WeekIndex],5),E33+'Grid_Incoming'!F33-'Grid_Requirement'!F33))</f>
        <v/>
      </c>
      <c r="G33">
        <f>IF(COUNTIFS(T_StockCount[RM_Code],$A33,T_StockCount[WeekIndex],6)&gt;0,SUMIFS(T_StockCount[CountedQty],T_StockCount[RM_Code],$A33,T_StockCount[WeekIndex],6),IF((COUNTIFS(T_SelfStock[RM_Code],$A33,T_SelfStock[WeekIndex],6)&gt;0)*(COUNTIFS(T_TTAFStock[RM_Code],$A33,T_TTAFStock[WeekIndex],6)&gt;0)&gt;0,SUMIFS(T_SelfStock[Self_Qty],T_SelfStock[RM_Code],$A33,T_SelfStock[WeekIndex],6)+SUMIFS(T_TTAFStock[TTAF_Qty],T_TTAFStock[RM_Code],$A33,T_TTAFStock[WeekIndex],6),F33+'Grid_Incoming'!G33-'Grid_Requirement'!G33))</f>
        <v/>
      </c>
      <c r="H33">
        <f>IF(COUNTIFS(T_StockCount[RM_Code],$A33,T_StockCount[WeekIndex],7)&gt;0,SUMIFS(T_StockCount[CountedQty],T_StockCount[RM_Code],$A33,T_StockCount[WeekIndex],7),IF((COUNTIFS(T_SelfStock[RM_Code],$A33,T_SelfStock[WeekIndex],7)&gt;0)*(COUNTIFS(T_TTAFStock[RM_Code],$A33,T_TTAFStock[WeekIndex],7)&gt;0)&gt;0,SUMIFS(T_SelfStock[Self_Qty],T_SelfStock[RM_Code],$A33,T_SelfStock[WeekIndex],7)+SUMIFS(T_TTAFStock[TTAF_Qty],T_TTAFStock[RM_Code],$A33,T_TTAFStock[WeekIndex],7),G33+'Grid_Incoming'!H33-'Grid_Requirement'!H33))</f>
        <v/>
      </c>
      <c r="I33">
        <f>IF(COUNTIFS(T_StockCount[RM_Code],$A33,T_StockCount[WeekIndex],8)&gt;0,SUMIFS(T_StockCount[CountedQty],T_StockCount[RM_Code],$A33,T_StockCount[WeekIndex],8),IF((COUNTIFS(T_SelfStock[RM_Code],$A33,T_SelfStock[WeekIndex],8)&gt;0)*(COUNTIFS(T_TTAFStock[RM_Code],$A33,T_TTAFStock[WeekIndex],8)&gt;0)&gt;0,SUMIFS(T_SelfStock[Self_Qty],T_SelfStock[RM_Code],$A33,T_SelfStock[WeekIndex],8)+SUMIFS(T_TTAFStock[TTAF_Qty],T_TTAFStock[RM_Code],$A33,T_TTAFStock[WeekIndex],8),H33+'Grid_Incoming'!I33-'Grid_Requirement'!I33))</f>
        <v/>
      </c>
      <c r="J33">
        <f>IF(COUNTIFS(T_StockCount[RM_Code],$A33,T_StockCount[WeekIndex],9)&gt;0,SUMIFS(T_StockCount[CountedQty],T_StockCount[RM_Code],$A33,T_StockCount[WeekIndex],9),IF((COUNTIFS(T_SelfStock[RM_Code],$A33,T_SelfStock[WeekIndex],9)&gt;0)*(COUNTIFS(T_TTAFStock[RM_Code],$A33,T_TTAFStock[WeekIndex],9)&gt;0)&gt;0,SUMIFS(T_SelfStock[Self_Qty],T_SelfStock[RM_Code],$A33,T_SelfStock[WeekIndex],9)+SUMIFS(T_TTAFStock[TTAF_Qty],T_TTAFStock[RM_Code],$A33,T_TTAFStock[WeekIndex],9),I33+'Grid_Incoming'!J33-'Grid_Requirement'!J33))</f>
        <v/>
      </c>
      <c r="K33">
        <f>IF(COUNTIFS(T_StockCount[RM_Code],$A33,T_StockCount[WeekIndex],10)&gt;0,SUMIFS(T_StockCount[CountedQty],T_StockCount[RM_Code],$A33,T_StockCount[WeekIndex],10),IF((COUNTIFS(T_SelfStock[RM_Code],$A33,T_SelfStock[WeekIndex],10)&gt;0)*(COUNTIFS(T_TTAFStock[RM_Code],$A33,T_TTAFStock[WeekIndex],10)&gt;0)&gt;0,SUMIFS(T_SelfStock[Self_Qty],T_SelfStock[RM_Code],$A33,T_SelfStock[WeekIndex],10)+SUMIFS(T_TTAFStock[TTAF_Qty],T_TTAFStock[RM_Code],$A33,T_TTAFStock[WeekIndex],10),J33+'Grid_Incoming'!K33-'Grid_Requirement'!K33))</f>
        <v/>
      </c>
      <c r="L33">
        <f>IF(COUNTIFS(T_StockCount[RM_Code],$A33,T_StockCount[WeekIndex],11)&gt;0,SUMIFS(T_StockCount[CountedQty],T_StockCount[RM_Code],$A33,T_StockCount[WeekIndex],11),IF((COUNTIFS(T_SelfStock[RM_Code],$A33,T_SelfStock[WeekIndex],11)&gt;0)*(COUNTIFS(T_TTAFStock[RM_Code],$A33,T_TTAFStock[WeekIndex],11)&gt;0)&gt;0,SUMIFS(T_SelfStock[Self_Qty],T_SelfStock[RM_Code],$A33,T_SelfStock[WeekIndex],11)+SUMIFS(T_TTAFStock[TTAF_Qty],T_TTAFStock[RM_Code],$A33,T_TTAFStock[WeekIndex],11),K33+'Grid_Incoming'!L33-'Grid_Requirement'!L33))</f>
        <v/>
      </c>
      <c r="M33">
        <f>IF(COUNTIFS(T_StockCount[RM_Code],$A33,T_StockCount[WeekIndex],12)&gt;0,SUMIFS(T_StockCount[CountedQty],T_StockCount[RM_Code],$A33,T_StockCount[WeekIndex],12),IF((COUNTIFS(T_SelfStock[RM_Code],$A33,T_SelfStock[WeekIndex],12)&gt;0)*(COUNTIFS(T_TTAFStock[RM_Code],$A33,T_TTAFStock[WeekIndex],12)&gt;0)&gt;0,SUMIFS(T_SelfStock[Self_Qty],T_SelfStock[RM_Code],$A33,T_SelfStock[WeekIndex],12)+SUMIFS(T_TTAFStock[TTAF_Qty],T_TTAFStock[RM_Code],$A33,T_TTAFStock[WeekIndex],12),L33+'Grid_Incoming'!M33-'Grid_Requirement'!M33))</f>
        <v/>
      </c>
      <c r="N33">
        <f>IF(COUNTIFS(T_StockCount[RM_Code],$A33,T_StockCount[WeekIndex],13)&gt;0,SUMIFS(T_StockCount[CountedQty],T_StockCount[RM_Code],$A33,T_StockCount[WeekIndex],13),IF((COUNTIFS(T_SelfStock[RM_Code],$A33,T_SelfStock[WeekIndex],13)&gt;0)*(COUNTIFS(T_TTAFStock[RM_Code],$A33,T_TTAFStock[WeekIndex],13)&gt;0)&gt;0,SUMIFS(T_SelfStock[Self_Qty],T_SelfStock[RM_Code],$A33,T_SelfStock[WeekIndex],13)+SUMIFS(T_TTAFStock[TTAF_Qty],T_TTAFStock[RM_Code],$A33,T_TTAFStock[WeekIndex],13),M33+'Grid_Incoming'!N33-'Grid_Requirement'!N33))</f>
        <v/>
      </c>
      <c r="O33">
        <f>IF(COUNTIFS(T_StockCount[RM_Code],$A33,T_StockCount[WeekIndex],14)&gt;0,SUMIFS(T_StockCount[CountedQty],T_StockCount[RM_Code],$A33,T_StockCount[WeekIndex],14),IF((COUNTIFS(T_SelfStock[RM_Code],$A33,T_SelfStock[WeekIndex],14)&gt;0)*(COUNTIFS(T_TTAFStock[RM_Code],$A33,T_TTAFStock[WeekIndex],14)&gt;0)&gt;0,SUMIFS(T_SelfStock[Self_Qty],T_SelfStock[RM_Code],$A33,T_SelfStock[WeekIndex],14)+SUMIFS(T_TTAFStock[TTAF_Qty],T_TTAFStock[RM_Code],$A33,T_TTAFStock[WeekIndex],14),N33+'Grid_Incoming'!O33-'Grid_Requirement'!O33))</f>
        <v/>
      </c>
      <c r="P33">
        <f>IF(COUNTIFS(T_StockCount[RM_Code],$A33,T_StockCount[WeekIndex],15)&gt;0,SUMIFS(T_StockCount[CountedQty],T_StockCount[RM_Code],$A33,T_StockCount[WeekIndex],15),IF((COUNTIFS(T_SelfStock[RM_Code],$A33,T_SelfStock[WeekIndex],15)&gt;0)*(COUNTIFS(T_TTAFStock[RM_Code],$A33,T_TTAFStock[WeekIndex],15)&gt;0)&gt;0,SUMIFS(T_SelfStock[Self_Qty],T_SelfStock[RM_Code],$A33,T_SelfStock[WeekIndex],15)+SUMIFS(T_TTAFStock[TTAF_Qty],T_TTAFStock[RM_Code],$A33,T_TTAFStock[WeekIndex],15),O33+'Grid_Incoming'!P33-'Grid_Requirement'!P33))</f>
        <v/>
      </c>
      <c r="Q33">
        <f>IF(COUNTIFS(T_StockCount[RM_Code],$A33,T_StockCount[WeekIndex],16)&gt;0,SUMIFS(T_StockCount[CountedQty],T_StockCount[RM_Code],$A33,T_StockCount[WeekIndex],16),IF((COUNTIFS(T_SelfStock[RM_Code],$A33,T_SelfStock[WeekIndex],16)&gt;0)*(COUNTIFS(T_TTAFStock[RM_Code],$A33,T_TTAFStock[WeekIndex],16)&gt;0)&gt;0,SUMIFS(T_SelfStock[Self_Qty],T_SelfStock[RM_Code],$A33,T_SelfStock[WeekIndex],16)+SUMIFS(T_TTAFStock[TTAF_Qty],T_TTAFStock[RM_Code],$A33,T_TTAFStock[WeekIndex],16),P33+'Grid_Incoming'!Q33-'Grid_Requirement'!Q33))</f>
        <v/>
      </c>
      <c r="R33">
        <f>IF(COUNTIFS(T_StockCount[RM_Code],$A33,T_StockCount[WeekIndex],17)&gt;0,SUMIFS(T_StockCount[CountedQty],T_StockCount[RM_Code],$A33,T_StockCount[WeekIndex],17),IF((COUNTIFS(T_SelfStock[RM_Code],$A33,T_SelfStock[WeekIndex],17)&gt;0)*(COUNTIFS(T_TTAFStock[RM_Code],$A33,T_TTAFStock[WeekIndex],17)&gt;0)&gt;0,SUMIFS(T_SelfStock[Self_Qty],T_SelfStock[RM_Code],$A33,T_SelfStock[WeekIndex],17)+SUMIFS(T_TTAFStock[TTAF_Qty],T_TTAFStock[RM_Code],$A33,T_TTAFStock[WeekIndex],17),Q33+'Grid_Incoming'!R33-'Grid_Requirement'!R33))</f>
        <v/>
      </c>
      <c r="S33">
        <f>IF(COUNTIFS(T_StockCount[RM_Code],$A33,T_StockCount[WeekIndex],18)&gt;0,SUMIFS(T_StockCount[CountedQty],T_StockCount[RM_Code],$A33,T_StockCount[WeekIndex],18),IF((COUNTIFS(T_SelfStock[RM_Code],$A33,T_SelfStock[WeekIndex],18)&gt;0)*(COUNTIFS(T_TTAFStock[RM_Code],$A33,T_TTAFStock[WeekIndex],18)&gt;0)&gt;0,SUMIFS(T_SelfStock[Self_Qty],T_SelfStock[RM_Code],$A33,T_SelfStock[WeekIndex],18)+SUMIFS(T_TTAFStock[TTAF_Qty],T_TTAFStock[RM_Code],$A33,T_TTAFStock[WeekIndex],18),R33+'Grid_Incoming'!S33-'Grid_Requirement'!S33))</f>
        <v/>
      </c>
      <c r="T33">
        <f>IF(COUNTIFS(T_StockCount[RM_Code],$A33,T_StockCount[WeekIndex],19)&gt;0,SUMIFS(T_StockCount[CountedQty],T_StockCount[RM_Code],$A33,T_StockCount[WeekIndex],19),IF((COUNTIFS(T_SelfStock[RM_Code],$A33,T_SelfStock[WeekIndex],19)&gt;0)*(COUNTIFS(T_TTAFStock[RM_Code],$A33,T_TTAFStock[WeekIndex],19)&gt;0)&gt;0,SUMIFS(T_SelfStock[Self_Qty],T_SelfStock[RM_Code],$A33,T_SelfStock[WeekIndex],19)+SUMIFS(T_TTAFStock[TTAF_Qty],T_TTAFStock[RM_Code],$A33,T_TTAFStock[WeekIndex],19),S33+'Grid_Incoming'!T33-'Grid_Requirement'!T33))</f>
        <v/>
      </c>
      <c r="U33">
        <f>IF(COUNTIFS(T_StockCount[RM_Code],$A33,T_StockCount[WeekIndex],20)&gt;0,SUMIFS(T_StockCount[CountedQty],T_StockCount[RM_Code],$A33,T_StockCount[WeekIndex],20),IF((COUNTIFS(T_SelfStock[RM_Code],$A33,T_SelfStock[WeekIndex],20)&gt;0)*(COUNTIFS(T_TTAFStock[RM_Code],$A33,T_TTAFStock[WeekIndex],20)&gt;0)&gt;0,SUMIFS(T_SelfStock[Self_Qty],T_SelfStock[RM_Code],$A33,T_SelfStock[WeekIndex],20)+SUMIFS(T_TTAFStock[TTAF_Qty],T_TTAFStock[RM_Code],$A33,T_TTAFStock[WeekIndex],20),T33+'Grid_Incoming'!U33-'Grid_Requirement'!U33))</f>
        <v/>
      </c>
      <c r="V33">
        <f>IF(COUNTIFS(T_StockCount[RM_Code],$A33,T_StockCount[WeekIndex],21)&gt;0,SUMIFS(T_StockCount[CountedQty],T_StockCount[RM_Code],$A33,T_StockCount[WeekIndex],21),IF((COUNTIFS(T_SelfStock[RM_Code],$A33,T_SelfStock[WeekIndex],21)&gt;0)*(COUNTIFS(T_TTAFStock[RM_Code],$A33,T_TTAFStock[WeekIndex],21)&gt;0)&gt;0,SUMIFS(T_SelfStock[Self_Qty],T_SelfStock[RM_Code],$A33,T_SelfStock[WeekIndex],21)+SUMIFS(T_TTAFStock[TTAF_Qty],T_TTAFStock[RM_Code],$A33,T_TTAFStock[WeekIndex],21),U33+'Grid_Incoming'!V33-'Grid_Requirement'!V33))</f>
        <v/>
      </c>
      <c r="W33">
        <f>IF(COUNTIFS(T_StockCount[RM_Code],$A33,T_StockCount[WeekIndex],22)&gt;0,SUMIFS(T_StockCount[CountedQty],T_StockCount[RM_Code],$A33,T_StockCount[WeekIndex],22),IF((COUNTIFS(T_SelfStock[RM_Code],$A33,T_SelfStock[WeekIndex],22)&gt;0)*(COUNTIFS(T_TTAFStock[RM_Code],$A33,T_TTAFStock[WeekIndex],22)&gt;0)&gt;0,SUMIFS(T_SelfStock[Self_Qty],T_SelfStock[RM_Code],$A33,T_SelfStock[WeekIndex],22)+SUMIFS(T_TTAFStock[TTAF_Qty],T_TTAFStock[RM_Code],$A33,T_TTAFStock[WeekIndex],22),V33+'Grid_Incoming'!W33-'Grid_Requirement'!W33))</f>
        <v/>
      </c>
      <c r="X33">
        <f>IF(COUNTIFS(T_StockCount[RM_Code],$A33,T_StockCount[WeekIndex],23)&gt;0,SUMIFS(T_StockCount[CountedQty],T_StockCount[RM_Code],$A33,T_StockCount[WeekIndex],23),IF((COUNTIFS(T_SelfStock[RM_Code],$A33,T_SelfStock[WeekIndex],23)&gt;0)*(COUNTIFS(T_TTAFStock[RM_Code],$A33,T_TTAFStock[WeekIndex],23)&gt;0)&gt;0,SUMIFS(T_SelfStock[Self_Qty],T_SelfStock[RM_Code],$A33,T_SelfStock[WeekIndex],23)+SUMIFS(T_TTAFStock[TTAF_Qty],T_TTAFStock[RM_Code],$A33,T_TTAFStock[WeekIndex],23),W33+'Grid_Incoming'!X33-'Grid_Requirement'!X33))</f>
        <v/>
      </c>
      <c r="Y33">
        <f>IF(COUNTIFS(T_StockCount[RM_Code],$A33,T_StockCount[WeekIndex],24)&gt;0,SUMIFS(T_StockCount[CountedQty],T_StockCount[RM_Code],$A33,T_StockCount[WeekIndex],24),IF((COUNTIFS(T_SelfStock[RM_Code],$A33,T_SelfStock[WeekIndex],24)&gt;0)*(COUNTIFS(T_TTAFStock[RM_Code],$A33,T_TTAFStock[WeekIndex],24)&gt;0)&gt;0,SUMIFS(T_SelfStock[Self_Qty],T_SelfStock[RM_Code],$A33,T_SelfStock[WeekIndex],24)+SUMIFS(T_TTAFStock[TTAF_Qty],T_TTAFStock[RM_Code],$A33,T_TTAFStock[WeekIndex],24),X33+'Grid_Incoming'!Y33-'Grid_Requirement'!Y33))</f>
        <v/>
      </c>
      <c r="Z33">
        <f>IF(COUNTIFS(T_StockCount[RM_Code],$A33,T_StockCount[WeekIndex],25)&gt;0,SUMIFS(T_StockCount[CountedQty],T_StockCount[RM_Code],$A33,T_StockCount[WeekIndex],25),IF((COUNTIFS(T_SelfStock[RM_Code],$A33,T_SelfStock[WeekIndex],25)&gt;0)*(COUNTIFS(T_TTAFStock[RM_Code],$A33,T_TTAFStock[WeekIndex],25)&gt;0)&gt;0,SUMIFS(T_SelfStock[Self_Qty],T_SelfStock[RM_Code],$A33,T_SelfStock[WeekIndex],25)+SUMIFS(T_TTAFStock[TTAF_Qty],T_TTAFStock[RM_Code],$A33,T_TTAFStock[WeekIndex],25),Y33+'Grid_Incoming'!Z33-'Grid_Requirement'!Z33))</f>
        <v/>
      </c>
      <c r="AA33">
        <f>IF(COUNTIFS(T_StockCount[RM_Code],$A33,T_StockCount[WeekIndex],26)&gt;0,SUMIFS(T_StockCount[CountedQty],T_StockCount[RM_Code],$A33,T_StockCount[WeekIndex],26),IF((COUNTIFS(T_SelfStock[RM_Code],$A33,T_SelfStock[WeekIndex],26)&gt;0)*(COUNTIFS(T_TTAFStock[RM_Code],$A33,T_TTAFStock[WeekIndex],26)&gt;0)&gt;0,SUMIFS(T_SelfStock[Self_Qty],T_SelfStock[RM_Code],$A33,T_SelfStock[WeekIndex],26)+SUMIFS(T_TTAFStock[TTAF_Qty],T_TTAFStock[RM_Code],$A33,T_TTAFStock[WeekIndex],26),Z33+'Grid_Incoming'!AA33-'Grid_Requirement'!AA33))</f>
        <v/>
      </c>
      <c r="AB33">
        <f>IF(COUNTIFS(T_StockCount[RM_Code],$A33,T_StockCount[WeekIndex],27)&gt;0,SUMIFS(T_StockCount[CountedQty],T_StockCount[RM_Code],$A33,T_StockCount[WeekIndex],27),IF((COUNTIFS(T_SelfStock[RM_Code],$A33,T_SelfStock[WeekIndex],27)&gt;0)*(COUNTIFS(T_TTAFStock[RM_Code],$A33,T_TTAFStock[WeekIndex],27)&gt;0)&gt;0,SUMIFS(T_SelfStock[Self_Qty],T_SelfStock[RM_Code],$A33,T_SelfStock[WeekIndex],27)+SUMIFS(T_TTAFStock[TTAF_Qty],T_TTAFStock[RM_Code],$A33,T_TTAFStock[WeekIndex],27),AA33+'Grid_Incoming'!AB33-'Grid_Requirement'!AB33))</f>
        <v/>
      </c>
      <c r="AC33">
        <f>IF(COUNTIFS(T_StockCount[RM_Code],$A33,T_StockCount[WeekIndex],28)&gt;0,SUMIFS(T_StockCount[CountedQty],T_StockCount[RM_Code],$A33,T_StockCount[WeekIndex],28),IF((COUNTIFS(T_SelfStock[RM_Code],$A33,T_SelfStock[WeekIndex],28)&gt;0)*(COUNTIFS(T_TTAFStock[RM_Code],$A33,T_TTAFStock[WeekIndex],28)&gt;0)&gt;0,SUMIFS(T_SelfStock[Self_Qty],T_SelfStock[RM_Code],$A33,T_SelfStock[WeekIndex],28)+SUMIFS(T_TTAFStock[TTAF_Qty],T_TTAFStock[RM_Code],$A33,T_TTAFStock[WeekIndex],28),AB33+'Grid_Incoming'!AC33-'Grid_Requirement'!AC33))</f>
        <v/>
      </c>
      <c r="AD33">
        <f>IF(COUNTIFS(T_StockCount[RM_Code],$A33,T_StockCount[WeekIndex],29)&gt;0,SUMIFS(T_StockCount[CountedQty],T_StockCount[RM_Code],$A33,T_StockCount[WeekIndex],29),IF((COUNTIFS(T_SelfStock[RM_Code],$A33,T_SelfStock[WeekIndex],29)&gt;0)*(COUNTIFS(T_TTAFStock[RM_Code],$A33,T_TTAFStock[WeekIndex],29)&gt;0)&gt;0,SUMIFS(T_SelfStock[Self_Qty],T_SelfStock[RM_Code],$A33,T_SelfStock[WeekIndex],29)+SUMIFS(T_TTAFStock[TTAF_Qty],T_TTAFStock[RM_Code],$A33,T_TTAFStock[WeekIndex],29),AC33+'Grid_Incoming'!AD33-'Grid_Requirement'!AD33))</f>
        <v/>
      </c>
      <c r="AE33">
        <f>IF(COUNTIFS(T_StockCount[RM_Code],$A33,T_StockCount[WeekIndex],30)&gt;0,SUMIFS(T_StockCount[CountedQty],T_StockCount[RM_Code],$A33,T_StockCount[WeekIndex],30),IF((COUNTIFS(T_SelfStock[RM_Code],$A33,T_SelfStock[WeekIndex],30)&gt;0)*(COUNTIFS(T_TTAFStock[RM_Code],$A33,T_TTAFStock[WeekIndex],30)&gt;0)&gt;0,SUMIFS(T_SelfStock[Self_Qty],T_SelfStock[RM_Code],$A33,T_SelfStock[WeekIndex],30)+SUMIFS(T_TTAFStock[TTAF_Qty],T_TTAFStock[RM_Code],$A33,T_TTAFStock[WeekIndex],30),AD33+'Grid_Incoming'!AE33-'Grid_Requirement'!AE33))</f>
        <v/>
      </c>
      <c r="AF33">
        <f>IF(COUNTIFS(T_StockCount[RM_Code],$A33,T_StockCount[WeekIndex],31)&gt;0,SUMIFS(T_StockCount[CountedQty],T_StockCount[RM_Code],$A33,T_StockCount[WeekIndex],31),IF((COUNTIFS(T_SelfStock[RM_Code],$A33,T_SelfStock[WeekIndex],31)&gt;0)*(COUNTIFS(T_TTAFStock[RM_Code],$A33,T_TTAFStock[WeekIndex],31)&gt;0)&gt;0,SUMIFS(T_SelfStock[Self_Qty],T_SelfStock[RM_Code],$A33,T_SelfStock[WeekIndex],31)+SUMIFS(T_TTAFStock[TTAF_Qty],T_TTAFStock[RM_Code],$A33,T_TTAFStock[WeekIndex],31),AE33+'Grid_Incoming'!AF33-'Grid_Requirement'!AF33))</f>
        <v/>
      </c>
      <c r="AG33">
        <f>IF(COUNTIFS(T_StockCount[RM_Code],$A33,T_StockCount[WeekIndex],32)&gt;0,SUMIFS(T_StockCount[CountedQty],T_StockCount[RM_Code],$A33,T_StockCount[WeekIndex],32),IF((COUNTIFS(T_SelfStock[RM_Code],$A33,T_SelfStock[WeekIndex],32)&gt;0)*(COUNTIFS(T_TTAFStock[RM_Code],$A33,T_TTAFStock[WeekIndex],32)&gt;0)&gt;0,SUMIFS(T_SelfStock[Self_Qty],T_SelfStock[RM_Code],$A33,T_SelfStock[WeekIndex],32)+SUMIFS(T_TTAFStock[TTAF_Qty],T_TTAFStock[RM_Code],$A33,T_TTAFStock[WeekIndex],32),AF33+'Grid_Incoming'!AG33-'Grid_Requirement'!AG33))</f>
        <v/>
      </c>
      <c r="AH33">
        <f>IF(COUNTIFS(T_StockCount[RM_Code],$A33,T_StockCount[WeekIndex],33)&gt;0,SUMIFS(T_StockCount[CountedQty],T_StockCount[RM_Code],$A33,T_StockCount[WeekIndex],33),IF((COUNTIFS(T_SelfStock[RM_Code],$A33,T_SelfStock[WeekIndex],33)&gt;0)*(COUNTIFS(T_TTAFStock[RM_Code],$A33,T_TTAFStock[WeekIndex],33)&gt;0)&gt;0,SUMIFS(T_SelfStock[Self_Qty],T_SelfStock[RM_Code],$A33,T_SelfStock[WeekIndex],33)+SUMIFS(T_TTAFStock[TTAF_Qty],T_TTAFStock[RM_Code],$A33,T_TTAFStock[WeekIndex],33),AG33+'Grid_Incoming'!AH33-'Grid_Requirement'!AH33))</f>
        <v/>
      </c>
      <c r="AI33">
        <f>IF(COUNTIFS(T_StockCount[RM_Code],$A33,T_StockCount[WeekIndex],34)&gt;0,SUMIFS(T_StockCount[CountedQty],T_StockCount[RM_Code],$A33,T_StockCount[WeekIndex],34),IF((COUNTIFS(T_SelfStock[RM_Code],$A33,T_SelfStock[WeekIndex],34)&gt;0)*(COUNTIFS(T_TTAFStock[RM_Code],$A33,T_TTAFStock[WeekIndex],34)&gt;0)&gt;0,SUMIFS(T_SelfStock[Self_Qty],T_SelfStock[RM_Code],$A33,T_SelfStock[WeekIndex],34)+SUMIFS(T_TTAFStock[TTAF_Qty],T_TTAFStock[RM_Code],$A33,T_TTAFStock[WeekIndex],34),AH33+'Grid_Incoming'!AI33-'Grid_Requirement'!AI33))</f>
        <v/>
      </c>
      <c r="AJ33">
        <f>IF(COUNTIFS(T_StockCount[RM_Code],$A33,T_StockCount[WeekIndex],35)&gt;0,SUMIFS(T_StockCount[CountedQty],T_StockCount[RM_Code],$A33,T_StockCount[WeekIndex],35),IF((COUNTIFS(T_SelfStock[RM_Code],$A33,T_SelfStock[WeekIndex],35)&gt;0)*(COUNTIFS(T_TTAFStock[RM_Code],$A33,T_TTAFStock[WeekIndex],35)&gt;0)&gt;0,SUMIFS(T_SelfStock[Self_Qty],T_SelfStock[RM_Code],$A33,T_SelfStock[WeekIndex],35)+SUMIFS(T_TTAFStock[TTAF_Qty],T_TTAFStock[RM_Code],$A33,T_TTAFStock[WeekIndex],35),AI33+'Grid_Incoming'!AJ33-'Grid_Requirement'!AJ33))</f>
        <v/>
      </c>
      <c r="AK33">
        <f>IF(COUNTIFS(T_StockCount[RM_Code],$A33,T_StockCount[WeekIndex],36)&gt;0,SUMIFS(T_StockCount[CountedQty],T_StockCount[RM_Code],$A33,T_StockCount[WeekIndex],36),IF((COUNTIFS(T_SelfStock[RM_Code],$A33,T_SelfStock[WeekIndex],36)&gt;0)*(COUNTIFS(T_TTAFStock[RM_Code],$A33,T_TTAFStock[WeekIndex],36)&gt;0)&gt;0,SUMIFS(T_SelfStock[Self_Qty],T_SelfStock[RM_Code],$A33,T_SelfStock[WeekIndex],36)+SUMIFS(T_TTAFStock[TTAF_Qty],T_TTAFStock[RM_Code],$A33,T_TTAFStock[WeekIndex],36),AJ33+'Grid_Incoming'!AK33-'Grid_Requirement'!AK33))</f>
        <v/>
      </c>
      <c r="AL33">
        <f>IF(COUNTIFS(T_StockCount[RM_Code],$A33,T_StockCount[WeekIndex],37)&gt;0,SUMIFS(T_StockCount[CountedQty],T_StockCount[RM_Code],$A33,T_StockCount[WeekIndex],37),IF((COUNTIFS(T_SelfStock[RM_Code],$A33,T_SelfStock[WeekIndex],37)&gt;0)*(COUNTIFS(T_TTAFStock[RM_Code],$A33,T_TTAFStock[WeekIndex],37)&gt;0)&gt;0,SUMIFS(T_SelfStock[Self_Qty],T_SelfStock[RM_Code],$A33,T_SelfStock[WeekIndex],37)+SUMIFS(T_TTAFStock[TTAF_Qty],T_TTAFStock[RM_Code],$A33,T_TTAFStock[WeekIndex],37),AK33+'Grid_Incoming'!AL33-'Grid_Requirement'!AL33))</f>
        <v/>
      </c>
      <c r="AM33">
        <f>IF(COUNTIFS(T_StockCount[RM_Code],$A33,T_StockCount[WeekIndex],38)&gt;0,SUMIFS(T_StockCount[CountedQty],T_StockCount[RM_Code],$A33,T_StockCount[WeekIndex],38),IF((COUNTIFS(T_SelfStock[RM_Code],$A33,T_SelfStock[WeekIndex],38)&gt;0)*(COUNTIFS(T_TTAFStock[RM_Code],$A33,T_TTAFStock[WeekIndex],38)&gt;0)&gt;0,SUMIFS(T_SelfStock[Self_Qty],T_SelfStock[RM_Code],$A33,T_SelfStock[WeekIndex],38)+SUMIFS(T_TTAFStock[TTAF_Qty],T_TTAFStock[RM_Code],$A33,T_TTAFStock[WeekIndex],38),AL33+'Grid_Incoming'!AM33-'Grid_Requirement'!AM33))</f>
        <v/>
      </c>
      <c r="AN33">
        <f>IF(COUNTIFS(T_StockCount[RM_Code],$A33,T_StockCount[WeekIndex],39)&gt;0,SUMIFS(T_StockCount[CountedQty],T_StockCount[RM_Code],$A33,T_StockCount[WeekIndex],39),IF((COUNTIFS(T_SelfStock[RM_Code],$A33,T_SelfStock[WeekIndex],39)&gt;0)*(COUNTIFS(T_TTAFStock[RM_Code],$A33,T_TTAFStock[WeekIndex],39)&gt;0)&gt;0,SUMIFS(T_SelfStock[Self_Qty],T_SelfStock[RM_Code],$A33,T_SelfStock[WeekIndex],39)+SUMIFS(T_TTAFStock[TTAF_Qty],T_TTAFStock[RM_Code],$A33,T_TTAFStock[WeekIndex],39),AM33+'Grid_Incoming'!AN33-'Grid_Requirement'!AN33))</f>
        <v/>
      </c>
      <c r="AO33">
        <f>IF(COUNTIFS(T_StockCount[RM_Code],$A33,T_StockCount[WeekIndex],40)&gt;0,SUMIFS(T_StockCount[CountedQty],T_StockCount[RM_Code],$A33,T_StockCount[WeekIndex],40),IF((COUNTIFS(T_SelfStock[RM_Code],$A33,T_SelfStock[WeekIndex],40)&gt;0)*(COUNTIFS(T_TTAFStock[RM_Code],$A33,T_TTAFStock[WeekIndex],40)&gt;0)&gt;0,SUMIFS(T_SelfStock[Self_Qty],T_SelfStock[RM_Code],$A33,T_SelfStock[WeekIndex],40)+SUMIFS(T_TTAFStock[TTAF_Qty],T_TTAFStock[RM_Code],$A33,T_TTAFStock[WeekIndex],40),AN33+'Grid_Incoming'!AO33-'Grid_Requirement'!AO33))</f>
        <v/>
      </c>
      <c r="AP33">
        <f>IF(COUNTIFS(T_StockCount[RM_Code],$A33,T_StockCount[WeekIndex],41)&gt;0,SUMIFS(T_StockCount[CountedQty],T_StockCount[RM_Code],$A33,T_StockCount[WeekIndex],41),IF((COUNTIFS(T_SelfStock[RM_Code],$A33,T_SelfStock[WeekIndex],41)&gt;0)*(COUNTIFS(T_TTAFStock[RM_Code],$A33,T_TTAFStock[WeekIndex],41)&gt;0)&gt;0,SUMIFS(T_SelfStock[Self_Qty],T_SelfStock[RM_Code],$A33,T_SelfStock[WeekIndex],41)+SUMIFS(T_TTAFStock[TTAF_Qty],T_TTAFStock[RM_Code],$A33,T_TTAFStock[WeekIndex],41),AO33+'Grid_Incoming'!AP33-'Grid_Requirement'!AP33))</f>
        <v/>
      </c>
      <c r="AQ33">
        <f>IF(COUNTIFS(T_StockCount[RM_Code],$A33,T_StockCount[WeekIndex],42)&gt;0,SUMIFS(T_StockCount[CountedQty],T_StockCount[RM_Code],$A33,T_StockCount[WeekIndex],42),IF((COUNTIFS(T_SelfStock[RM_Code],$A33,T_SelfStock[WeekIndex],42)&gt;0)*(COUNTIFS(T_TTAFStock[RM_Code],$A33,T_TTAFStock[WeekIndex],42)&gt;0)&gt;0,SUMIFS(T_SelfStock[Self_Qty],T_SelfStock[RM_Code],$A33,T_SelfStock[WeekIndex],42)+SUMIFS(T_TTAFStock[TTAF_Qty],T_TTAFStock[RM_Code],$A33,T_TTAFStock[WeekIndex],42),AP33+'Grid_Incoming'!AQ33-'Grid_Requirement'!AQ33))</f>
        <v/>
      </c>
      <c r="AR33">
        <f>IF(COUNTIFS(T_StockCount[RM_Code],$A33,T_StockCount[WeekIndex],43)&gt;0,SUMIFS(T_StockCount[CountedQty],T_StockCount[RM_Code],$A33,T_StockCount[WeekIndex],43),IF((COUNTIFS(T_SelfStock[RM_Code],$A33,T_SelfStock[WeekIndex],43)&gt;0)*(COUNTIFS(T_TTAFStock[RM_Code],$A33,T_TTAFStock[WeekIndex],43)&gt;0)&gt;0,SUMIFS(T_SelfStock[Self_Qty],T_SelfStock[RM_Code],$A33,T_SelfStock[WeekIndex],43)+SUMIFS(T_TTAFStock[TTAF_Qty],T_TTAFStock[RM_Code],$A33,T_TTAFStock[WeekIndex],43),AQ33+'Grid_Incoming'!AR33-'Grid_Requirement'!AR33))</f>
        <v/>
      </c>
      <c r="AS33">
        <f>IF(COUNTIFS(T_StockCount[RM_Code],$A33,T_StockCount[WeekIndex],44)&gt;0,SUMIFS(T_StockCount[CountedQty],T_StockCount[RM_Code],$A33,T_StockCount[WeekIndex],44),IF((COUNTIFS(T_SelfStock[RM_Code],$A33,T_SelfStock[WeekIndex],44)&gt;0)*(COUNTIFS(T_TTAFStock[RM_Code],$A33,T_TTAFStock[WeekIndex],44)&gt;0)&gt;0,SUMIFS(T_SelfStock[Self_Qty],T_SelfStock[RM_Code],$A33,T_SelfStock[WeekIndex],44)+SUMIFS(T_TTAFStock[TTAF_Qty],T_TTAFStock[RM_Code],$A33,T_TTAFStock[WeekIndex],44),AR33+'Grid_Incoming'!AS33-'Grid_Requirement'!AS33))</f>
        <v/>
      </c>
      <c r="AT33">
        <f>IF(COUNTIFS(T_StockCount[RM_Code],$A33,T_StockCount[WeekIndex],45)&gt;0,SUMIFS(T_StockCount[CountedQty],T_StockCount[RM_Code],$A33,T_StockCount[WeekIndex],45),IF((COUNTIFS(T_SelfStock[RM_Code],$A33,T_SelfStock[WeekIndex],45)&gt;0)*(COUNTIFS(T_TTAFStock[RM_Code],$A33,T_TTAFStock[WeekIndex],45)&gt;0)&gt;0,SUMIFS(T_SelfStock[Self_Qty],T_SelfStock[RM_Code],$A33,T_SelfStock[WeekIndex],45)+SUMIFS(T_TTAFStock[TTAF_Qty],T_TTAFStock[RM_Code],$A33,T_TTAFStock[WeekIndex],45),AS33+'Grid_Incoming'!AT33-'Grid_Requirement'!AT33))</f>
        <v/>
      </c>
      <c r="AU33">
        <f>IF(COUNTIFS(T_StockCount[RM_Code],$A33,T_StockCount[WeekIndex],46)&gt;0,SUMIFS(T_StockCount[CountedQty],T_StockCount[RM_Code],$A33,T_StockCount[WeekIndex],46),IF((COUNTIFS(T_SelfStock[RM_Code],$A33,T_SelfStock[WeekIndex],46)&gt;0)*(COUNTIFS(T_TTAFStock[RM_Code],$A33,T_TTAFStock[WeekIndex],46)&gt;0)&gt;0,SUMIFS(T_SelfStock[Self_Qty],T_SelfStock[RM_Code],$A33,T_SelfStock[WeekIndex],46)+SUMIFS(T_TTAFStock[TTAF_Qty],T_TTAFStock[RM_Code],$A33,T_TTAFStock[WeekIndex],46),AT33+'Grid_Incoming'!AU33-'Grid_Requirement'!AU33))</f>
        <v/>
      </c>
      <c r="AV33">
        <f>IF(COUNTIFS(T_StockCount[RM_Code],$A33,T_StockCount[WeekIndex],47)&gt;0,SUMIFS(T_StockCount[CountedQty],T_StockCount[RM_Code],$A33,T_StockCount[WeekIndex],47),IF((COUNTIFS(T_SelfStock[RM_Code],$A33,T_SelfStock[WeekIndex],47)&gt;0)*(COUNTIFS(T_TTAFStock[RM_Code],$A33,T_TTAFStock[WeekIndex],47)&gt;0)&gt;0,SUMIFS(T_SelfStock[Self_Qty],T_SelfStock[RM_Code],$A33,T_SelfStock[WeekIndex],47)+SUMIFS(T_TTAFStock[TTAF_Qty],T_TTAFStock[RM_Code],$A33,T_TTAFStock[WeekIndex],47),AU33+'Grid_Incoming'!AV33-'Grid_Requirement'!AV33))</f>
        <v/>
      </c>
      <c r="AW33">
        <f>IF(COUNTIFS(T_StockCount[RM_Code],$A33,T_StockCount[WeekIndex],48)&gt;0,SUMIFS(T_StockCount[CountedQty],T_StockCount[RM_Code],$A33,T_StockCount[WeekIndex],48),IF((COUNTIFS(T_SelfStock[RM_Code],$A33,T_SelfStock[WeekIndex],48)&gt;0)*(COUNTIFS(T_TTAFStock[RM_Code],$A33,T_TTAFStock[WeekIndex],48)&gt;0)&gt;0,SUMIFS(T_SelfStock[Self_Qty],T_SelfStock[RM_Code],$A33,T_SelfStock[WeekIndex],48)+SUMIFS(T_TTAFStock[TTAF_Qty],T_TTAFStock[RM_Code],$A33,T_TTAFStock[WeekIndex],48),AV33+'Grid_Incoming'!AW33-'Grid_Requirement'!AW33))</f>
        <v/>
      </c>
      <c r="AX33">
        <f>IF(COUNTIFS(T_StockCount[RM_Code],$A33,T_StockCount[WeekIndex],49)&gt;0,SUMIFS(T_StockCount[CountedQty],T_StockCount[RM_Code],$A33,T_StockCount[WeekIndex],49),IF((COUNTIFS(T_SelfStock[RM_Code],$A33,T_SelfStock[WeekIndex],49)&gt;0)*(COUNTIFS(T_TTAFStock[RM_Code],$A33,T_TTAFStock[WeekIndex],49)&gt;0)&gt;0,SUMIFS(T_SelfStock[Self_Qty],T_SelfStock[RM_Code],$A33,T_SelfStock[WeekIndex],49)+SUMIFS(T_TTAFStock[TTAF_Qty],T_TTAFStock[RM_Code],$A33,T_TTAFStock[WeekIndex],49),AW33+'Grid_Incoming'!AX33-'Grid_Requirement'!AX33))</f>
        <v/>
      </c>
      <c r="AY33">
        <f>IF(COUNTIFS(T_StockCount[RM_Code],$A33,T_StockCount[WeekIndex],50)&gt;0,SUMIFS(T_StockCount[CountedQty],T_StockCount[RM_Code],$A33,T_StockCount[WeekIndex],50),IF((COUNTIFS(T_SelfStock[RM_Code],$A33,T_SelfStock[WeekIndex],50)&gt;0)*(COUNTIFS(T_TTAFStock[RM_Code],$A33,T_TTAFStock[WeekIndex],50)&gt;0)&gt;0,SUMIFS(T_SelfStock[Self_Qty],T_SelfStock[RM_Code],$A33,T_SelfStock[WeekIndex],50)+SUMIFS(T_TTAFStock[TTAF_Qty],T_TTAFStock[RM_Code],$A33,T_TTAFStock[WeekIndex],50),AX33+'Grid_Incoming'!AY33-'Grid_Requirement'!AY33))</f>
        <v/>
      </c>
      <c r="AZ33">
        <f>IF(COUNTIFS(T_StockCount[RM_Code],$A33,T_StockCount[WeekIndex],51)&gt;0,SUMIFS(T_StockCount[CountedQty],T_StockCount[RM_Code],$A33,T_StockCount[WeekIndex],51),IF((COUNTIFS(T_SelfStock[RM_Code],$A33,T_SelfStock[WeekIndex],51)&gt;0)*(COUNTIFS(T_TTAFStock[RM_Code],$A33,T_TTAFStock[WeekIndex],51)&gt;0)&gt;0,SUMIFS(T_SelfStock[Self_Qty],T_SelfStock[RM_Code],$A33,T_SelfStock[WeekIndex],51)+SUMIFS(T_TTAFStock[TTAF_Qty],T_TTAFStock[RM_Code],$A33,T_TTAFStock[WeekIndex],51),AY33+'Grid_Incoming'!AZ33-'Grid_Requirement'!AZ33))</f>
        <v/>
      </c>
      <c r="BA33">
        <f>IF(COUNTIFS(T_StockCount[RM_Code],$A33,T_StockCount[WeekIndex],52)&gt;0,SUMIFS(T_StockCount[CountedQty],T_StockCount[RM_Code],$A33,T_StockCount[WeekIndex],52),IF((COUNTIFS(T_SelfStock[RM_Code],$A33,T_SelfStock[WeekIndex],52)&gt;0)*(COUNTIFS(T_TTAFStock[RM_Code],$A33,T_TTAFStock[WeekIndex],52)&gt;0)&gt;0,SUMIFS(T_SelfStock[Self_Qty],T_SelfStock[RM_Code],$A33,T_SelfStock[WeekIndex],52)+SUMIFS(T_TTAFStock[TTAF_Qty],T_TTAFStock[RM_Code],$A33,T_TTAFStock[WeekIndex],52),AZ33+'Grid_Incoming'!BA33-'Grid_Requirement'!BA33))</f>
        <v/>
      </c>
      <c r="BB33">
        <f>IF(COUNTIFS(T_StockCount[RM_Code],$A33,T_StockCount[WeekIndex],53)&gt;0,SUMIFS(T_StockCount[CountedQty],T_StockCount[RM_Code],$A33,T_StockCount[WeekIndex],53),IF((COUNTIFS(T_SelfStock[RM_Code],$A33,T_SelfStock[WeekIndex],53)&gt;0)*(COUNTIFS(T_TTAFStock[RM_Code],$A33,T_TTAFStock[WeekIndex],53)&gt;0)&gt;0,SUMIFS(T_SelfStock[Self_Qty],T_SelfStock[RM_Code],$A33,T_SelfStock[WeekIndex],53)+SUMIFS(T_TTAFStock[TTAF_Qty],T_TTAFStock[RM_Code],$A33,T_TTAFStock[WeekIndex],53),BA33+'Grid_Incoming'!BB33-'Grid_Requirement'!BB33))</f>
        <v/>
      </c>
      <c r="BC33">
        <f>IF(COUNTIFS(T_StockCount[RM_Code],$A33,T_StockCount[WeekIndex],54)&gt;0,SUMIFS(T_StockCount[CountedQty],T_StockCount[RM_Code],$A33,T_StockCount[WeekIndex],54),IF((COUNTIFS(T_SelfStock[RM_Code],$A33,T_SelfStock[WeekIndex],54)&gt;0)*(COUNTIFS(T_TTAFStock[RM_Code],$A33,T_TTAFStock[WeekIndex],54)&gt;0)&gt;0,SUMIFS(T_SelfStock[Self_Qty],T_SelfStock[RM_Code],$A33,T_SelfStock[WeekIndex],54)+SUMIFS(T_TTAFStock[TTAF_Qty],T_TTAFStock[RM_Code],$A33,T_TTAFStock[WeekIndex],54),BB33+'Grid_Incoming'!BC33-'Grid_Requirement'!BC33))</f>
        <v/>
      </c>
      <c r="BD33">
        <f>IF(COUNTIFS(T_StockCount[RM_Code],$A33,T_StockCount[WeekIndex],55)&gt;0,SUMIFS(T_StockCount[CountedQty],T_StockCount[RM_Code],$A33,T_StockCount[WeekIndex],55),IF((COUNTIFS(T_SelfStock[RM_Code],$A33,T_SelfStock[WeekIndex],55)&gt;0)*(COUNTIFS(T_TTAFStock[RM_Code],$A33,T_TTAFStock[WeekIndex],55)&gt;0)&gt;0,SUMIFS(T_SelfStock[Self_Qty],T_SelfStock[RM_Code],$A33,T_SelfStock[WeekIndex],55)+SUMIFS(T_TTAFStock[TTAF_Qty],T_TTAFStock[RM_Code],$A33,T_TTAFStock[WeekIndex],55),BC33+'Grid_Incoming'!BD33-'Grid_Requirement'!BD33))</f>
        <v/>
      </c>
      <c r="BE33">
        <f>IF(COUNTIFS(T_StockCount[RM_Code],$A33,T_StockCount[WeekIndex],56)&gt;0,SUMIFS(T_StockCount[CountedQty],T_StockCount[RM_Code],$A33,T_StockCount[WeekIndex],56),IF((COUNTIFS(T_SelfStock[RM_Code],$A33,T_SelfStock[WeekIndex],56)&gt;0)*(COUNTIFS(T_TTAFStock[RM_Code],$A33,T_TTAFStock[WeekIndex],56)&gt;0)&gt;0,SUMIFS(T_SelfStock[Self_Qty],T_SelfStock[RM_Code],$A33,T_SelfStock[WeekIndex],56)+SUMIFS(T_TTAFStock[TTAF_Qty],T_TTAFStock[RM_Code],$A33,T_TTAFStock[WeekIndex],56),BD33+'Grid_Incoming'!BE33-'Grid_Requirement'!BE33))</f>
        <v/>
      </c>
      <c r="BF33">
        <f>IF(COUNTIFS(T_StockCount[RM_Code],$A33,T_StockCount[WeekIndex],57)&gt;0,SUMIFS(T_StockCount[CountedQty],T_StockCount[RM_Code],$A33,T_StockCount[WeekIndex],57),IF((COUNTIFS(T_SelfStock[RM_Code],$A33,T_SelfStock[WeekIndex],57)&gt;0)*(COUNTIFS(T_TTAFStock[RM_Code],$A33,T_TTAFStock[WeekIndex],57)&gt;0)&gt;0,SUMIFS(T_SelfStock[Self_Qty],T_SelfStock[RM_Code],$A33,T_SelfStock[WeekIndex],57)+SUMIFS(T_TTAFStock[TTAF_Qty],T_TTAFStock[RM_Code],$A33,T_TTAFStock[WeekIndex],57),BE33+'Grid_Incoming'!BF33-'Grid_Requirement'!BF33))</f>
        <v/>
      </c>
      <c r="BG33">
        <f>IF(COUNTIFS(T_StockCount[RM_Code],$A33,T_StockCount[WeekIndex],58)&gt;0,SUMIFS(T_StockCount[CountedQty],T_StockCount[RM_Code],$A33,T_StockCount[WeekIndex],58),IF((COUNTIFS(T_SelfStock[RM_Code],$A33,T_SelfStock[WeekIndex],58)&gt;0)*(COUNTIFS(T_TTAFStock[RM_Code],$A33,T_TTAFStock[WeekIndex],58)&gt;0)&gt;0,SUMIFS(T_SelfStock[Self_Qty],T_SelfStock[RM_Code],$A33,T_SelfStock[WeekIndex],58)+SUMIFS(T_TTAFStock[TTAF_Qty],T_TTAFStock[RM_Code],$A33,T_TTAFStock[WeekIndex],58),BF33+'Grid_Incoming'!BG33-'Grid_Requirement'!BG33))</f>
        <v/>
      </c>
      <c r="BH33">
        <f>IF(COUNTIFS(T_StockCount[RM_Code],$A33,T_StockCount[WeekIndex],59)&gt;0,SUMIFS(T_StockCount[CountedQty],T_StockCount[RM_Code],$A33,T_StockCount[WeekIndex],59),IF((COUNTIFS(T_SelfStock[RM_Code],$A33,T_SelfStock[WeekIndex],59)&gt;0)*(COUNTIFS(T_TTAFStock[RM_Code],$A33,T_TTAFStock[WeekIndex],59)&gt;0)&gt;0,SUMIFS(T_SelfStock[Self_Qty],T_SelfStock[RM_Code],$A33,T_SelfStock[WeekIndex],59)+SUMIFS(T_TTAFStock[TTAF_Qty],T_TTAFStock[RM_Code],$A33,T_TTAFStock[WeekIndex],59),BG33+'Grid_Incoming'!BH33-'Grid_Requirement'!BH33))</f>
        <v/>
      </c>
      <c r="BI33">
        <f>IF(COUNTIFS(T_StockCount[RM_Code],$A33,T_StockCount[WeekIndex],60)&gt;0,SUMIFS(T_StockCount[CountedQty],T_StockCount[RM_Code],$A33,T_StockCount[WeekIndex],60),IF((COUNTIFS(T_SelfStock[RM_Code],$A33,T_SelfStock[WeekIndex],60)&gt;0)*(COUNTIFS(T_TTAFStock[RM_Code],$A33,T_TTAFStock[WeekIndex],60)&gt;0)&gt;0,SUMIFS(T_SelfStock[Self_Qty],T_SelfStock[RM_Code],$A33,T_SelfStock[WeekIndex],60)+SUMIFS(T_TTAFStock[TTAF_Qty],T_TTAFStock[RM_Code],$A33,T_TTAFStock[WeekIndex],60),BH33+'Grid_Incoming'!BI33-'Grid_Requirement'!BI33))</f>
        <v/>
      </c>
      <c r="BJ33">
        <f>IF(COUNTIFS(T_StockCount[RM_Code],$A33,T_StockCount[WeekIndex],61)&gt;0,SUMIFS(T_StockCount[CountedQty],T_StockCount[RM_Code],$A33,T_StockCount[WeekIndex],61),IF((COUNTIFS(T_SelfStock[RM_Code],$A33,T_SelfStock[WeekIndex],61)&gt;0)*(COUNTIFS(T_TTAFStock[RM_Code],$A33,T_TTAFStock[WeekIndex],61)&gt;0)&gt;0,SUMIFS(T_SelfStock[Self_Qty],T_SelfStock[RM_Code],$A33,T_SelfStock[WeekIndex],61)+SUMIFS(T_TTAFStock[TTAF_Qty],T_TTAFStock[RM_Code],$A33,T_TTAFStock[WeekIndex],61),BI33+'Grid_Incoming'!BJ33-'Grid_Requirement'!BJ33))</f>
        <v/>
      </c>
      <c r="BK33">
        <f>IF(COUNTIFS(T_StockCount[RM_Code],$A33,T_StockCount[WeekIndex],62)&gt;0,SUMIFS(T_StockCount[CountedQty],T_StockCount[RM_Code],$A33,T_StockCount[WeekIndex],62),IF((COUNTIFS(T_SelfStock[RM_Code],$A33,T_SelfStock[WeekIndex],62)&gt;0)*(COUNTIFS(T_TTAFStock[RM_Code],$A33,T_TTAFStock[WeekIndex],62)&gt;0)&gt;0,SUMIFS(T_SelfStock[Self_Qty],T_SelfStock[RM_Code],$A33,T_SelfStock[WeekIndex],62)+SUMIFS(T_TTAFStock[TTAF_Qty],T_TTAFStock[RM_Code],$A33,T_TTAFStock[WeekIndex],62),BJ33+'Grid_Incoming'!BK33-'Grid_Requirement'!BK33))</f>
        <v/>
      </c>
      <c r="BL33">
        <f>IF(COUNTIFS(T_StockCount[RM_Code],$A33,T_StockCount[WeekIndex],63)&gt;0,SUMIFS(T_StockCount[CountedQty],T_StockCount[RM_Code],$A33,T_StockCount[WeekIndex],63),IF((COUNTIFS(T_SelfStock[RM_Code],$A33,T_SelfStock[WeekIndex],63)&gt;0)*(COUNTIFS(T_TTAFStock[RM_Code],$A33,T_TTAFStock[WeekIndex],63)&gt;0)&gt;0,SUMIFS(T_SelfStock[Self_Qty],T_SelfStock[RM_Code],$A33,T_SelfStock[WeekIndex],63)+SUMIFS(T_TTAFStock[TTAF_Qty],T_TTAFStock[RM_Code],$A33,T_TTAFStock[WeekIndex],63),BK33+'Grid_Incoming'!BL33-'Grid_Requirement'!BL33))</f>
        <v/>
      </c>
      <c r="BM33">
        <f>IF(COUNTIFS(T_StockCount[RM_Code],$A33,T_StockCount[WeekIndex],64)&gt;0,SUMIFS(T_StockCount[CountedQty],T_StockCount[RM_Code],$A33,T_StockCount[WeekIndex],64),IF((COUNTIFS(T_SelfStock[RM_Code],$A33,T_SelfStock[WeekIndex],64)&gt;0)*(COUNTIFS(T_TTAFStock[RM_Code],$A33,T_TTAFStock[WeekIndex],64)&gt;0)&gt;0,SUMIFS(T_SelfStock[Self_Qty],T_SelfStock[RM_Code],$A33,T_SelfStock[WeekIndex],64)+SUMIFS(T_TTAFStock[TTAF_Qty],T_TTAFStock[RM_Code],$A33,T_TTAFStock[WeekIndex],64),BL33+'Grid_Incoming'!BM33-'Grid_Requirement'!BM33))</f>
        <v/>
      </c>
      <c r="BN33">
        <f>IF(COUNTIFS(T_StockCount[RM_Code],$A33,T_StockCount[WeekIndex],65)&gt;0,SUMIFS(T_StockCount[CountedQty],T_StockCount[RM_Code],$A33,T_StockCount[WeekIndex],65),IF((COUNTIFS(T_SelfStock[RM_Code],$A33,T_SelfStock[WeekIndex],65)&gt;0)*(COUNTIFS(T_TTAFStock[RM_Code],$A33,T_TTAFStock[WeekIndex],65)&gt;0)&gt;0,SUMIFS(T_SelfStock[Self_Qty],T_SelfStock[RM_Code],$A33,T_SelfStock[WeekIndex],65)+SUMIFS(T_TTAFStock[TTAF_Qty],T_TTAFStock[RM_Code],$A33,T_TTAFStock[WeekIndex],65),BM33+'Grid_Incoming'!BN33-'Grid_Requirement'!BN33))</f>
        <v/>
      </c>
      <c r="BO33">
        <f>IF(COUNTIFS(T_StockCount[RM_Code],$A33,T_StockCount[WeekIndex],66)&gt;0,SUMIFS(T_StockCount[CountedQty],T_StockCount[RM_Code],$A33,T_StockCount[WeekIndex],66),IF((COUNTIFS(T_SelfStock[RM_Code],$A33,T_SelfStock[WeekIndex],66)&gt;0)*(COUNTIFS(T_TTAFStock[RM_Code],$A33,T_TTAFStock[WeekIndex],66)&gt;0)&gt;0,SUMIFS(T_SelfStock[Self_Qty],T_SelfStock[RM_Code],$A33,T_SelfStock[WeekIndex],66)+SUMIFS(T_TTAFStock[TTAF_Qty],T_TTAFStock[RM_Code],$A33,T_TTAFStock[WeekIndex],66),BN33+'Grid_Incoming'!BO33-'Grid_Requirement'!BO33))</f>
        <v/>
      </c>
      <c r="BP33">
        <f>IF(COUNTIFS(T_StockCount[RM_Code],$A33,T_StockCount[WeekIndex],67)&gt;0,SUMIFS(T_StockCount[CountedQty],T_StockCount[RM_Code],$A33,T_StockCount[WeekIndex],67),IF((COUNTIFS(T_SelfStock[RM_Code],$A33,T_SelfStock[WeekIndex],67)&gt;0)*(COUNTIFS(T_TTAFStock[RM_Code],$A33,T_TTAFStock[WeekIndex],67)&gt;0)&gt;0,SUMIFS(T_SelfStock[Self_Qty],T_SelfStock[RM_Code],$A33,T_SelfStock[WeekIndex],67)+SUMIFS(T_TTAFStock[TTAF_Qty],T_TTAFStock[RM_Code],$A33,T_TTAFStock[WeekIndex],67),BO33+'Grid_Incoming'!BP33-'Grid_Requirement'!BP33))</f>
        <v/>
      </c>
      <c r="BQ33">
        <f>IF(COUNTIFS(T_StockCount[RM_Code],$A33,T_StockCount[WeekIndex],68)&gt;0,SUMIFS(T_StockCount[CountedQty],T_StockCount[RM_Code],$A33,T_StockCount[WeekIndex],68),IF((COUNTIFS(T_SelfStock[RM_Code],$A33,T_SelfStock[WeekIndex],68)&gt;0)*(COUNTIFS(T_TTAFStock[RM_Code],$A33,T_TTAFStock[WeekIndex],68)&gt;0)&gt;0,SUMIFS(T_SelfStock[Self_Qty],T_SelfStock[RM_Code],$A33,T_SelfStock[WeekIndex],68)+SUMIFS(T_TTAFStock[TTAF_Qty],T_TTAFStock[RM_Code],$A33,T_TTAFStock[WeekIndex],68),BP33+'Grid_Incoming'!BQ33-'Grid_Requirement'!BQ33))</f>
        <v/>
      </c>
      <c r="BR33">
        <f>IF(COUNTIFS(T_StockCount[RM_Code],$A33,T_StockCount[WeekIndex],69)&gt;0,SUMIFS(T_StockCount[CountedQty],T_StockCount[RM_Code],$A33,T_StockCount[WeekIndex],69),IF((COUNTIFS(T_SelfStock[RM_Code],$A33,T_SelfStock[WeekIndex],69)&gt;0)*(COUNTIFS(T_TTAFStock[RM_Code],$A33,T_TTAFStock[WeekIndex],69)&gt;0)&gt;0,SUMIFS(T_SelfStock[Self_Qty],T_SelfStock[RM_Code],$A33,T_SelfStock[WeekIndex],69)+SUMIFS(T_TTAFStock[TTAF_Qty],T_TTAFStock[RM_Code],$A33,T_TTAFStock[WeekIndex],69),BQ33+'Grid_Incoming'!BR33-'Grid_Requirement'!BR33))</f>
        <v/>
      </c>
      <c r="BS33">
        <f>IF(COUNTIFS(T_StockCount[RM_Code],$A33,T_StockCount[WeekIndex],70)&gt;0,SUMIFS(T_StockCount[CountedQty],T_StockCount[RM_Code],$A33,T_StockCount[WeekIndex],70),IF((COUNTIFS(T_SelfStock[RM_Code],$A33,T_SelfStock[WeekIndex],70)&gt;0)*(COUNTIFS(T_TTAFStock[RM_Code],$A33,T_TTAFStock[WeekIndex],70)&gt;0)&gt;0,SUMIFS(T_SelfStock[Self_Qty],T_SelfStock[RM_Code],$A33,T_SelfStock[WeekIndex],70)+SUMIFS(T_TTAFStock[TTAF_Qty],T_TTAFStock[RM_Code],$A33,T_TTAFStock[WeekIndex],70),BR33+'Grid_Incoming'!BS33-'Grid_Requirement'!BS33))</f>
        <v/>
      </c>
      <c r="BT33">
        <f>IF(COUNTIFS(T_StockCount[RM_Code],$A33,T_StockCount[WeekIndex],71)&gt;0,SUMIFS(T_StockCount[CountedQty],T_StockCount[RM_Code],$A33,T_StockCount[WeekIndex],71),IF((COUNTIFS(T_SelfStock[RM_Code],$A33,T_SelfStock[WeekIndex],71)&gt;0)*(COUNTIFS(T_TTAFStock[RM_Code],$A33,T_TTAFStock[WeekIndex],71)&gt;0)&gt;0,SUMIFS(T_SelfStock[Self_Qty],T_SelfStock[RM_Code],$A33,T_SelfStock[WeekIndex],71)+SUMIFS(T_TTAFStock[TTAF_Qty],T_TTAFStock[RM_Code],$A33,T_TTAFStock[WeekIndex],71),BS33+'Grid_Incoming'!BT33-'Grid_Requirement'!BT33))</f>
        <v/>
      </c>
      <c r="BU33">
        <f>IF(COUNTIFS(T_StockCount[RM_Code],$A33,T_StockCount[WeekIndex],72)&gt;0,SUMIFS(T_StockCount[CountedQty],T_StockCount[RM_Code],$A33,T_StockCount[WeekIndex],72),IF((COUNTIFS(T_SelfStock[RM_Code],$A33,T_SelfStock[WeekIndex],72)&gt;0)*(COUNTIFS(T_TTAFStock[RM_Code],$A33,T_TTAFStock[WeekIndex],72)&gt;0)&gt;0,SUMIFS(T_SelfStock[Self_Qty],T_SelfStock[RM_Code],$A33,T_SelfStock[WeekIndex],72)+SUMIFS(T_TTAFStock[TTAF_Qty],T_TTAFStock[RM_Code],$A33,T_TTAFStock[WeekIndex],72),BT33+'Grid_Incoming'!BU33-'Grid_Requirement'!BU33))</f>
        <v/>
      </c>
      <c r="BV33">
        <f>IF(COUNTIFS(T_StockCount[RM_Code],$A33,T_StockCount[WeekIndex],73)&gt;0,SUMIFS(T_StockCount[CountedQty],T_StockCount[RM_Code],$A33,T_StockCount[WeekIndex],73),IF((COUNTIFS(T_SelfStock[RM_Code],$A33,T_SelfStock[WeekIndex],73)&gt;0)*(COUNTIFS(T_TTAFStock[RM_Code],$A33,T_TTAFStock[WeekIndex],73)&gt;0)&gt;0,SUMIFS(T_SelfStock[Self_Qty],T_SelfStock[RM_Code],$A33,T_SelfStock[WeekIndex],73)+SUMIFS(T_TTAFStock[TTAF_Qty],T_TTAFStock[RM_Code],$A33,T_TTAFStock[WeekIndex],73),BU33+'Grid_Incoming'!BV33-'Grid_Requirement'!BV33))</f>
        <v/>
      </c>
      <c r="BW33">
        <f>IF(COUNTIFS(T_StockCount[RM_Code],$A33,T_StockCount[WeekIndex],74)&gt;0,SUMIFS(T_StockCount[CountedQty],T_StockCount[RM_Code],$A33,T_StockCount[WeekIndex],74),IF((COUNTIFS(T_SelfStock[RM_Code],$A33,T_SelfStock[WeekIndex],74)&gt;0)*(COUNTIFS(T_TTAFStock[RM_Code],$A33,T_TTAFStock[WeekIndex],74)&gt;0)&gt;0,SUMIFS(T_SelfStock[Self_Qty],T_SelfStock[RM_Code],$A33,T_SelfStock[WeekIndex],74)+SUMIFS(T_TTAFStock[TTAF_Qty],T_TTAFStock[RM_Code],$A33,T_TTAFStock[WeekIndex],74),BV33+'Grid_Incoming'!BW33-'Grid_Requirement'!BW33))</f>
        <v/>
      </c>
      <c r="BX33">
        <f>IF(COUNTIFS(T_StockCount[RM_Code],$A33,T_StockCount[WeekIndex],75)&gt;0,SUMIFS(T_StockCount[CountedQty],T_StockCount[RM_Code],$A33,T_StockCount[WeekIndex],75),IF((COUNTIFS(T_SelfStock[RM_Code],$A33,T_SelfStock[WeekIndex],75)&gt;0)*(COUNTIFS(T_TTAFStock[RM_Code],$A33,T_TTAFStock[WeekIndex],75)&gt;0)&gt;0,SUMIFS(T_SelfStock[Self_Qty],T_SelfStock[RM_Code],$A33,T_SelfStock[WeekIndex],75)+SUMIFS(T_TTAFStock[TTAF_Qty],T_TTAFStock[RM_Code],$A33,T_TTAFStock[WeekIndex],75),BW33+'Grid_Incoming'!BX33-'Grid_Requirement'!BX33))</f>
        <v/>
      </c>
      <c r="BY33">
        <f>IF(COUNTIFS(T_StockCount[RM_Code],$A33,T_StockCount[WeekIndex],76)&gt;0,SUMIFS(T_StockCount[CountedQty],T_StockCount[RM_Code],$A33,T_StockCount[WeekIndex],76),IF((COUNTIFS(T_SelfStock[RM_Code],$A33,T_SelfStock[WeekIndex],76)&gt;0)*(COUNTIFS(T_TTAFStock[RM_Code],$A33,T_TTAFStock[WeekIndex],76)&gt;0)&gt;0,SUMIFS(T_SelfStock[Self_Qty],T_SelfStock[RM_Code],$A33,T_SelfStock[WeekIndex],76)+SUMIFS(T_TTAFStock[TTAF_Qty],T_TTAFStock[RM_Code],$A33,T_TTAFStock[WeekIndex],76),BX33+'Grid_Incoming'!BY33-'Grid_Requirement'!BY33))</f>
        <v/>
      </c>
      <c r="BZ33">
        <f>IF(COUNTIFS(T_StockCount[RM_Code],$A33,T_StockCount[WeekIndex],77)&gt;0,SUMIFS(T_StockCount[CountedQty],T_StockCount[RM_Code],$A33,T_StockCount[WeekIndex],77),IF((COUNTIFS(T_SelfStock[RM_Code],$A33,T_SelfStock[WeekIndex],77)&gt;0)*(COUNTIFS(T_TTAFStock[RM_Code],$A33,T_TTAFStock[WeekIndex],77)&gt;0)&gt;0,SUMIFS(T_SelfStock[Self_Qty],T_SelfStock[RM_Code],$A33,T_SelfStock[WeekIndex],77)+SUMIFS(T_TTAFStock[TTAF_Qty],T_TTAFStock[RM_Code],$A33,T_TTAFStock[WeekIndex],77),BY33+'Grid_Incoming'!BZ33-'Grid_Requirement'!BZ33))</f>
        <v/>
      </c>
      <c r="CA33">
        <f>IF(COUNTIFS(T_StockCount[RM_Code],$A33,T_StockCount[WeekIndex],78)&gt;0,SUMIFS(T_StockCount[CountedQty],T_StockCount[RM_Code],$A33,T_StockCount[WeekIndex],78),IF((COUNTIFS(T_SelfStock[RM_Code],$A33,T_SelfStock[WeekIndex],78)&gt;0)*(COUNTIFS(T_TTAFStock[RM_Code],$A33,T_TTAFStock[WeekIndex],78)&gt;0)&gt;0,SUMIFS(T_SelfStock[Self_Qty],T_SelfStock[RM_Code],$A33,T_SelfStock[WeekIndex],78)+SUMIFS(T_TTAFStock[TTAF_Qty],T_TTAFStock[RM_Code],$A33,T_TTAFStock[WeekIndex],78),BZ33+'Grid_Incoming'!CA33-'Grid_Requirement'!CA33))</f>
        <v/>
      </c>
      <c r="CB33">
        <f>IF(COUNTIFS(T_StockCount[RM_Code],$A33,T_StockCount[WeekIndex],79)&gt;0,SUMIFS(T_StockCount[CountedQty],T_StockCount[RM_Code],$A33,T_StockCount[WeekIndex],79),IF((COUNTIFS(T_SelfStock[RM_Code],$A33,T_SelfStock[WeekIndex],79)&gt;0)*(COUNTIFS(T_TTAFStock[RM_Code],$A33,T_TTAFStock[WeekIndex],79)&gt;0)&gt;0,SUMIFS(T_SelfStock[Self_Qty],T_SelfStock[RM_Code],$A33,T_SelfStock[WeekIndex],79)+SUMIFS(T_TTAFStock[TTAF_Qty],T_TTAFStock[RM_Code],$A33,T_TTAFStock[WeekIndex],79),CA33+'Grid_Incoming'!CB33-'Grid_Requirement'!CB33))</f>
        <v/>
      </c>
      <c r="CC33">
        <f>IF(COUNTIFS(T_StockCount[RM_Code],$A33,T_StockCount[WeekIndex],80)&gt;0,SUMIFS(T_StockCount[CountedQty],T_StockCount[RM_Code],$A33,T_StockCount[WeekIndex],80),IF((COUNTIFS(T_SelfStock[RM_Code],$A33,T_SelfStock[WeekIndex],80)&gt;0)*(COUNTIFS(T_TTAFStock[RM_Code],$A33,T_TTAFStock[WeekIndex],80)&gt;0)&gt;0,SUMIFS(T_SelfStock[Self_Qty],T_SelfStock[RM_Code],$A33,T_SelfStock[WeekIndex],80)+SUMIFS(T_TTAFStock[TTAF_Qty],T_TTAFStock[RM_Code],$A33,T_TTAFStock[WeekIndex],80),CB33+'Grid_Incoming'!CC33-'Grid_Requirement'!CC33))</f>
        <v/>
      </c>
      <c r="CD33">
        <f>IF(COUNTIFS(T_StockCount[RM_Code],$A33,T_StockCount[WeekIndex],81)&gt;0,SUMIFS(T_StockCount[CountedQty],T_StockCount[RM_Code],$A33,T_StockCount[WeekIndex],81),IF((COUNTIFS(T_SelfStock[RM_Code],$A33,T_SelfStock[WeekIndex],81)&gt;0)*(COUNTIFS(T_TTAFStock[RM_Code],$A33,T_TTAFStock[WeekIndex],81)&gt;0)&gt;0,SUMIFS(T_SelfStock[Self_Qty],T_SelfStock[RM_Code],$A33,T_SelfStock[WeekIndex],81)+SUMIFS(T_TTAFStock[TTAF_Qty],T_TTAFStock[RM_Code],$A33,T_TTAFStock[WeekIndex],81),CC33+'Grid_Incoming'!CD33-'Grid_Requirement'!CD33))</f>
        <v/>
      </c>
      <c r="CE33">
        <f>IF(COUNTIFS(T_StockCount[RM_Code],$A33,T_StockCount[WeekIndex],82)&gt;0,SUMIFS(T_StockCount[CountedQty],T_StockCount[RM_Code],$A33,T_StockCount[WeekIndex],82),IF((COUNTIFS(T_SelfStock[RM_Code],$A33,T_SelfStock[WeekIndex],82)&gt;0)*(COUNTIFS(T_TTAFStock[RM_Code],$A33,T_TTAFStock[WeekIndex],82)&gt;0)&gt;0,SUMIFS(T_SelfStock[Self_Qty],T_SelfStock[RM_Code],$A33,T_SelfStock[WeekIndex],82)+SUMIFS(T_TTAFStock[TTAF_Qty],T_TTAFStock[RM_Code],$A33,T_TTAFStock[WeekIndex],82),CD33+'Grid_Incoming'!CE33-'Grid_Requirement'!CE33))</f>
        <v/>
      </c>
      <c r="CF33">
        <f>IF(COUNTIFS(T_StockCount[RM_Code],$A33,T_StockCount[WeekIndex],83)&gt;0,SUMIFS(T_StockCount[CountedQty],T_StockCount[RM_Code],$A33,T_StockCount[WeekIndex],83),IF((COUNTIFS(T_SelfStock[RM_Code],$A33,T_SelfStock[WeekIndex],83)&gt;0)*(COUNTIFS(T_TTAFStock[RM_Code],$A33,T_TTAFStock[WeekIndex],83)&gt;0)&gt;0,SUMIFS(T_SelfStock[Self_Qty],T_SelfStock[RM_Code],$A33,T_SelfStock[WeekIndex],83)+SUMIFS(T_TTAFStock[TTAF_Qty],T_TTAFStock[RM_Code],$A33,T_TTAFStock[WeekIndex],83),CE33+'Grid_Incoming'!CF33-'Grid_Requirement'!CF33))</f>
        <v/>
      </c>
      <c r="CG33">
        <f>IF(COUNTIFS(T_StockCount[RM_Code],$A33,T_StockCount[WeekIndex],84)&gt;0,SUMIFS(T_StockCount[CountedQty],T_StockCount[RM_Code],$A33,T_StockCount[WeekIndex],84),IF((COUNTIFS(T_SelfStock[RM_Code],$A33,T_SelfStock[WeekIndex],84)&gt;0)*(COUNTIFS(T_TTAFStock[RM_Code],$A33,T_TTAFStock[WeekIndex],84)&gt;0)&gt;0,SUMIFS(T_SelfStock[Self_Qty],T_SelfStock[RM_Code],$A33,T_SelfStock[WeekIndex],84)+SUMIFS(T_TTAFStock[TTAF_Qty],T_TTAFStock[RM_Code],$A33,T_TTAFStock[WeekIndex],84),CF33+'Grid_Incoming'!CG33-'Grid_Requirement'!CG33))</f>
        <v/>
      </c>
      <c r="CH33">
        <f>IF(COUNTIFS(T_StockCount[RM_Code],$A33,T_StockCount[WeekIndex],85)&gt;0,SUMIFS(T_StockCount[CountedQty],T_StockCount[RM_Code],$A33,T_StockCount[WeekIndex],85),IF((COUNTIFS(T_SelfStock[RM_Code],$A33,T_SelfStock[WeekIndex],85)&gt;0)*(COUNTIFS(T_TTAFStock[RM_Code],$A33,T_TTAFStock[WeekIndex],85)&gt;0)&gt;0,SUMIFS(T_SelfStock[Self_Qty],T_SelfStock[RM_Code],$A33,T_SelfStock[WeekIndex],85)+SUMIFS(T_TTAFStock[TTAF_Qty],T_TTAFStock[RM_Code],$A33,T_TTAFStock[WeekIndex],85),CG33+'Grid_Incoming'!CH33-'Grid_Requirement'!CH33))</f>
        <v/>
      </c>
      <c r="CI33">
        <f>IF(COUNTIFS(T_StockCount[RM_Code],$A33,T_StockCount[WeekIndex],86)&gt;0,SUMIFS(T_StockCount[CountedQty],T_StockCount[RM_Code],$A33,T_StockCount[WeekIndex],86),IF((COUNTIFS(T_SelfStock[RM_Code],$A33,T_SelfStock[WeekIndex],86)&gt;0)*(COUNTIFS(T_TTAFStock[RM_Code],$A33,T_TTAFStock[WeekIndex],86)&gt;0)&gt;0,SUMIFS(T_SelfStock[Self_Qty],T_SelfStock[RM_Code],$A33,T_SelfStock[WeekIndex],86)+SUMIFS(T_TTAFStock[TTAF_Qty],T_TTAFStock[RM_Code],$A33,T_TTAFStock[WeekIndex],86),CH33+'Grid_Incoming'!CI33-'Grid_Requirement'!CI33))</f>
        <v/>
      </c>
      <c r="CJ33">
        <f>IF(COUNTIFS(T_StockCount[RM_Code],$A33,T_StockCount[WeekIndex],87)&gt;0,SUMIFS(T_StockCount[CountedQty],T_StockCount[RM_Code],$A33,T_StockCount[WeekIndex],87),IF((COUNTIFS(T_SelfStock[RM_Code],$A33,T_SelfStock[WeekIndex],87)&gt;0)*(COUNTIFS(T_TTAFStock[RM_Code],$A33,T_TTAFStock[WeekIndex],87)&gt;0)&gt;0,SUMIFS(T_SelfStock[Self_Qty],T_SelfStock[RM_Code],$A33,T_SelfStock[WeekIndex],87)+SUMIFS(T_TTAFStock[TTAF_Qty],T_TTAFStock[RM_Code],$A33,T_TTAFStock[WeekIndex],87),CI33+'Grid_Incoming'!CJ33-'Grid_Requirement'!CJ33))</f>
        <v/>
      </c>
      <c r="CK33">
        <f>IF(COUNTIFS(T_StockCount[RM_Code],$A33,T_StockCount[WeekIndex],88)&gt;0,SUMIFS(T_StockCount[CountedQty],T_StockCount[RM_Code],$A33,T_StockCount[WeekIndex],88),IF((COUNTIFS(T_SelfStock[RM_Code],$A33,T_SelfStock[WeekIndex],88)&gt;0)*(COUNTIFS(T_TTAFStock[RM_Code],$A33,T_TTAFStock[WeekIndex],88)&gt;0)&gt;0,SUMIFS(T_SelfStock[Self_Qty],T_SelfStock[RM_Code],$A33,T_SelfStock[WeekIndex],88)+SUMIFS(T_TTAFStock[TTAF_Qty],T_TTAFStock[RM_Code],$A33,T_TTAFStock[WeekIndex],88),CJ33+'Grid_Incoming'!CK33-'Grid_Requirement'!CK33))</f>
        <v/>
      </c>
      <c r="CL33">
        <f>IF(COUNTIFS(T_StockCount[RM_Code],$A33,T_StockCount[WeekIndex],89)&gt;0,SUMIFS(T_StockCount[CountedQty],T_StockCount[RM_Code],$A33,T_StockCount[WeekIndex],89),IF((COUNTIFS(T_SelfStock[RM_Code],$A33,T_SelfStock[WeekIndex],89)&gt;0)*(COUNTIFS(T_TTAFStock[RM_Code],$A33,T_TTAFStock[WeekIndex],89)&gt;0)&gt;0,SUMIFS(T_SelfStock[Self_Qty],T_SelfStock[RM_Code],$A33,T_SelfStock[WeekIndex],89)+SUMIFS(T_TTAFStock[TTAF_Qty],T_TTAFStock[RM_Code],$A33,T_TTAFStock[WeekIndex],89),CK33+'Grid_Incoming'!CL33-'Grid_Requirement'!CL33))</f>
        <v/>
      </c>
      <c r="CM33">
        <f>IF(COUNTIFS(T_StockCount[RM_Code],$A33,T_StockCount[WeekIndex],90)&gt;0,SUMIFS(T_StockCount[CountedQty],T_StockCount[RM_Code],$A33,T_StockCount[WeekIndex],90),IF((COUNTIFS(T_SelfStock[RM_Code],$A33,T_SelfStock[WeekIndex],90)&gt;0)*(COUNTIFS(T_TTAFStock[RM_Code],$A33,T_TTAFStock[WeekIndex],90)&gt;0)&gt;0,SUMIFS(T_SelfStock[Self_Qty],T_SelfStock[RM_Code],$A33,T_SelfStock[WeekIndex],90)+SUMIFS(T_TTAFStock[TTAF_Qty],T_TTAFStock[RM_Code],$A33,T_TTAFStock[WeekIndex],90),CL33+'Grid_Incoming'!CM33-'Grid_Requirement'!CM33))</f>
        <v/>
      </c>
      <c r="CN33">
        <f>IF(COUNTIFS(T_StockCount[RM_Code],$A33,T_StockCount[WeekIndex],91)&gt;0,SUMIFS(T_StockCount[CountedQty],T_StockCount[RM_Code],$A33,T_StockCount[WeekIndex],91),IF((COUNTIFS(T_SelfStock[RM_Code],$A33,T_SelfStock[WeekIndex],91)&gt;0)*(COUNTIFS(T_TTAFStock[RM_Code],$A33,T_TTAFStock[WeekIndex],91)&gt;0)&gt;0,SUMIFS(T_SelfStock[Self_Qty],T_SelfStock[RM_Code],$A33,T_SelfStock[WeekIndex],91)+SUMIFS(T_TTAFStock[TTAF_Qty],T_TTAFStock[RM_Code],$A33,T_TTAFStock[WeekIndex],91),CM33+'Grid_Incoming'!CN33-'Grid_Requirement'!CN33))</f>
        <v/>
      </c>
      <c r="CO33">
        <f>IF(COUNTIFS(T_StockCount[RM_Code],$A33,T_StockCount[WeekIndex],92)&gt;0,SUMIFS(T_StockCount[CountedQty],T_StockCount[RM_Code],$A33,T_StockCount[WeekIndex],92),IF((COUNTIFS(T_SelfStock[RM_Code],$A33,T_SelfStock[WeekIndex],92)&gt;0)*(COUNTIFS(T_TTAFStock[RM_Code],$A33,T_TTAFStock[WeekIndex],92)&gt;0)&gt;0,SUMIFS(T_SelfStock[Self_Qty],T_SelfStock[RM_Code],$A33,T_SelfStock[WeekIndex],92)+SUMIFS(T_TTAFStock[TTAF_Qty],T_TTAFStock[RM_Code],$A33,T_TTAFStock[WeekIndex],92),CN33+'Grid_Incoming'!CO33-'Grid_Requirement'!CO33))</f>
        <v/>
      </c>
      <c r="CP33">
        <f>IF(COUNTIFS(T_StockCount[RM_Code],$A33,T_StockCount[WeekIndex],93)&gt;0,SUMIFS(T_StockCount[CountedQty],T_StockCount[RM_Code],$A33,T_StockCount[WeekIndex],93),IF((COUNTIFS(T_SelfStock[RM_Code],$A33,T_SelfStock[WeekIndex],93)&gt;0)*(COUNTIFS(T_TTAFStock[RM_Code],$A33,T_TTAFStock[WeekIndex],93)&gt;0)&gt;0,SUMIFS(T_SelfStock[Self_Qty],T_SelfStock[RM_Code],$A33,T_SelfStock[WeekIndex],93)+SUMIFS(T_TTAFStock[TTAF_Qty],T_TTAFStock[RM_Code],$A33,T_TTAFStock[WeekIndex],93),CO33+'Grid_Incoming'!CP33-'Grid_Requirement'!CP33))</f>
        <v/>
      </c>
      <c r="CQ33">
        <f>IF(COUNTIFS(T_StockCount[RM_Code],$A33,T_StockCount[WeekIndex],94)&gt;0,SUMIFS(T_StockCount[CountedQty],T_StockCount[RM_Code],$A33,T_StockCount[WeekIndex],94),IF((COUNTIFS(T_SelfStock[RM_Code],$A33,T_SelfStock[WeekIndex],94)&gt;0)*(COUNTIFS(T_TTAFStock[RM_Code],$A33,T_TTAFStock[WeekIndex],94)&gt;0)&gt;0,SUMIFS(T_SelfStock[Self_Qty],T_SelfStock[RM_Code],$A33,T_SelfStock[WeekIndex],94)+SUMIFS(T_TTAFStock[TTAF_Qty],T_TTAFStock[RM_Code],$A33,T_TTAFStock[WeekIndex],94),CP33+'Grid_Incoming'!CQ33-'Grid_Requirement'!CQ33))</f>
        <v/>
      </c>
      <c r="CR33">
        <f>IF(COUNTIFS(T_StockCount[RM_Code],$A33,T_StockCount[WeekIndex],95)&gt;0,SUMIFS(T_StockCount[CountedQty],T_StockCount[RM_Code],$A33,T_StockCount[WeekIndex],95),IF((COUNTIFS(T_SelfStock[RM_Code],$A33,T_SelfStock[WeekIndex],95)&gt;0)*(COUNTIFS(T_TTAFStock[RM_Code],$A33,T_TTAFStock[WeekIndex],95)&gt;0)&gt;0,SUMIFS(T_SelfStock[Self_Qty],T_SelfStock[RM_Code],$A33,T_SelfStock[WeekIndex],95)+SUMIFS(T_TTAFStock[TTAF_Qty],T_TTAFStock[RM_Code],$A33,T_TTAFStock[WeekIndex],95),CQ33+'Grid_Incoming'!CR33-'Grid_Requirement'!CR33))</f>
        <v/>
      </c>
      <c r="CS33">
        <f>IF(COUNTIFS(T_StockCount[RM_Code],$A33,T_StockCount[WeekIndex],96)&gt;0,SUMIFS(T_StockCount[CountedQty],T_StockCount[RM_Code],$A33,T_StockCount[WeekIndex],96),IF((COUNTIFS(T_SelfStock[RM_Code],$A33,T_SelfStock[WeekIndex],96)&gt;0)*(COUNTIFS(T_TTAFStock[RM_Code],$A33,T_TTAFStock[WeekIndex],96)&gt;0)&gt;0,SUMIFS(T_SelfStock[Self_Qty],T_SelfStock[RM_Code],$A33,T_SelfStock[WeekIndex],96)+SUMIFS(T_TTAFStock[TTAF_Qty],T_TTAFStock[RM_Code],$A33,T_TTAFStock[WeekIndex],96),CR33+'Grid_Incoming'!CS33-'Grid_Requirement'!CS33))</f>
        <v/>
      </c>
      <c r="CT33">
        <f>IF(COUNTIFS(T_StockCount[RM_Code],$A33,T_StockCount[WeekIndex],97)&gt;0,SUMIFS(T_StockCount[CountedQty],T_StockCount[RM_Code],$A33,T_StockCount[WeekIndex],97),IF((COUNTIFS(T_SelfStock[RM_Code],$A33,T_SelfStock[WeekIndex],97)&gt;0)*(COUNTIFS(T_TTAFStock[RM_Code],$A33,T_TTAFStock[WeekIndex],97)&gt;0)&gt;0,SUMIFS(T_SelfStock[Self_Qty],T_SelfStock[RM_Code],$A33,T_SelfStock[WeekIndex],97)+SUMIFS(T_TTAFStock[TTAF_Qty],T_TTAFStock[RM_Code],$A33,T_TTAFStock[WeekIndex],97),CS33+'Grid_Incoming'!CT33-'Grid_Requirement'!CT33))</f>
        <v/>
      </c>
      <c r="CU33">
        <f>IF(COUNTIFS(T_StockCount[RM_Code],$A33,T_StockCount[WeekIndex],98)&gt;0,SUMIFS(T_StockCount[CountedQty],T_StockCount[RM_Code],$A33,T_StockCount[WeekIndex],98),IF((COUNTIFS(T_SelfStock[RM_Code],$A33,T_SelfStock[WeekIndex],98)&gt;0)*(COUNTIFS(T_TTAFStock[RM_Code],$A33,T_TTAFStock[WeekIndex],98)&gt;0)&gt;0,SUMIFS(T_SelfStock[Self_Qty],T_SelfStock[RM_Code],$A33,T_SelfStock[WeekIndex],98)+SUMIFS(T_TTAFStock[TTAF_Qty],T_TTAFStock[RM_Code],$A33,T_TTAFStock[WeekIndex],98),CT33+'Grid_Incoming'!CU33-'Grid_Requirement'!CU33))</f>
        <v/>
      </c>
      <c r="CV33">
        <f>IF(COUNTIFS(T_StockCount[RM_Code],$A33,T_StockCount[WeekIndex],99)&gt;0,SUMIFS(T_StockCount[CountedQty],T_StockCount[RM_Code],$A33,T_StockCount[WeekIndex],99),IF((COUNTIFS(T_SelfStock[RM_Code],$A33,T_SelfStock[WeekIndex],99)&gt;0)*(COUNTIFS(T_TTAFStock[RM_Code],$A33,T_TTAFStock[WeekIndex],99)&gt;0)&gt;0,SUMIFS(T_SelfStock[Self_Qty],T_SelfStock[RM_Code],$A33,T_SelfStock[WeekIndex],99)+SUMIFS(T_TTAFStock[TTAF_Qty],T_TTAFStock[RM_Code],$A33,T_TTAFStock[WeekIndex],99),CU33+'Grid_Incoming'!CV33-'Grid_Requirement'!CV33))</f>
        <v/>
      </c>
      <c r="CW33">
        <f>IF(COUNTIFS(T_StockCount[RM_Code],$A33,T_StockCount[WeekIndex],100)&gt;0,SUMIFS(T_StockCount[CountedQty],T_StockCount[RM_Code],$A33,T_StockCount[WeekIndex],100),IF((COUNTIFS(T_SelfStock[RM_Code],$A33,T_SelfStock[WeekIndex],100)&gt;0)*(COUNTIFS(T_TTAFStock[RM_Code],$A33,T_TTAFStock[WeekIndex],100)&gt;0)&gt;0,SUMIFS(T_SelfStock[Self_Qty],T_SelfStock[RM_Code],$A33,T_SelfStock[WeekIndex],100)+SUMIFS(T_TTAFStock[TTAF_Qty],T_TTAFStock[RM_Code],$A33,T_TTAFStock[WeekIndex],100),CV33+'Grid_Incoming'!CW33-'Grid_Requirement'!CW33))</f>
        <v/>
      </c>
      <c r="CX33">
        <f>IF(COUNTIFS(T_StockCount[RM_Code],$A33,T_StockCount[WeekIndex],101)&gt;0,SUMIFS(T_StockCount[CountedQty],T_StockCount[RM_Code],$A33,T_StockCount[WeekIndex],101),IF((COUNTIFS(T_SelfStock[RM_Code],$A33,T_SelfStock[WeekIndex],101)&gt;0)*(COUNTIFS(T_TTAFStock[RM_Code],$A33,T_TTAFStock[WeekIndex],101)&gt;0)&gt;0,SUMIFS(T_SelfStock[Self_Qty],T_SelfStock[RM_Code],$A33,T_SelfStock[WeekIndex],101)+SUMIFS(T_TTAFStock[TTAF_Qty],T_TTAFStock[RM_Code],$A33,T_TTAFStock[WeekIndex],101),CW33+'Grid_Incoming'!CX33-'Grid_Requirement'!CX33))</f>
        <v/>
      </c>
      <c r="CY33">
        <f>IF(COUNTIFS(T_StockCount[RM_Code],$A33,T_StockCount[WeekIndex],102)&gt;0,SUMIFS(T_StockCount[CountedQty],T_StockCount[RM_Code],$A33,T_StockCount[WeekIndex],102),IF((COUNTIFS(T_SelfStock[RM_Code],$A33,T_SelfStock[WeekIndex],102)&gt;0)*(COUNTIFS(T_TTAFStock[RM_Code],$A33,T_TTAFStock[WeekIndex],102)&gt;0)&gt;0,SUMIFS(T_SelfStock[Self_Qty],T_SelfStock[RM_Code],$A33,T_SelfStock[WeekIndex],102)+SUMIFS(T_TTAFStock[TTAF_Qty],T_TTAFStock[RM_Code],$A33,T_TTAFStock[WeekIndex],102),CX33+'Grid_Incoming'!CY33-'Grid_Requirement'!CY33))</f>
        <v/>
      </c>
      <c r="CZ33">
        <f>IF(COUNTIFS(T_StockCount[RM_Code],$A33,T_StockCount[WeekIndex],103)&gt;0,SUMIFS(T_StockCount[CountedQty],T_StockCount[RM_Code],$A33,T_StockCount[WeekIndex],103),IF((COUNTIFS(T_SelfStock[RM_Code],$A33,T_SelfStock[WeekIndex],103)&gt;0)*(COUNTIFS(T_TTAFStock[RM_Code],$A33,T_TTAFStock[WeekIndex],103)&gt;0)&gt;0,SUMIFS(T_SelfStock[Self_Qty],T_SelfStock[RM_Code],$A33,T_SelfStock[WeekIndex],103)+SUMIFS(T_TTAFStock[TTAF_Qty],T_TTAFStock[RM_Code],$A33,T_TTAFStock[WeekIndex],103),CY33+'Grid_Incoming'!CZ33-'Grid_Requirement'!CZ33))</f>
        <v/>
      </c>
      <c r="DA33">
        <f>IF(COUNTIFS(T_StockCount[RM_Code],$A33,T_StockCount[WeekIndex],104)&gt;0,SUMIFS(T_StockCount[CountedQty],T_StockCount[RM_Code],$A33,T_StockCount[WeekIndex],104),IF((COUNTIFS(T_SelfStock[RM_Code],$A33,T_SelfStock[WeekIndex],104)&gt;0)*(COUNTIFS(T_TTAFStock[RM_Code],$A33,T_TTAFStock[WeekIndex],104)&gt;0)&gt;0,SUMIFS(T_SelfStock[Self_Qty],T_SelfStock[RM_Code],$A33,T_SelfStock[WeekIndex],104)+SUMIFS(T_TTAFStock[TTAF_Qty],T_TTAFStock[RM_Code],$A33,T_TTAFStock[WeekIndex],104),CZ33+'Grid_Incoming'!DA33-'Grid_Requirement'!DA33))</f>
        <v/>
      </c>
    </row>
    <row r="34">
      <c r="A34" t="inlineStr">
        <is>
          <t>JEJ</t>
        </is>
      </c>
      <c r="B34">
        <f>IF(COUNTIFS(T_StockCount[RM_Code],$A34,T_StockCount[WeekIndex],1)&gt;0,SUMIFS(T_StockCount[CountedQty],T_StockCount[RM_Code],$A34,T_StockCount[WeekIndex],1),IF((COUNTIFS(T_SelfStock[RM_Code],$A34,T_SelfStock[WeekIndex],1)&gt;0)*(COUNTIFS(T_TTAFStock[RM_Code],$A34,T_TTAFStock[WeekIndex],1)&gt;0)&gt;0,SUMIFS(T_SelfStock[Self_Qty],T_SelfStock[RM_Code],$A34,T_SelfStock[WeekIndex],1)+SUMIFS(T_TTAFStock[TTAF_Qty],T_TTAFStock[RM_Code],$A34,T_TTAFStock[WeekIndex],1),IFERROR(INDEX(T_OpeningStock[Opening_Qty],MATCH($A34,T_OpeningStock[RM_Code],0)),0)+'Grid_Incoming'!B34-'Grid_Requirement'!B34))</f>
        <v/>
      </c>
      <c r="C34">
        <f>IF(COUNTIFS(T_StockCount[RM_Code],$A34,T_StockCount[WeekIndex],2)&gt;0,SUMIFS(T_StockCount[CountedQty],T_StockCount[RM_Code],$A34,T_StockCount[WeekIndex],2),IF((COUNTIFS(T_SelfStock[RM_Code],$A34,T_SelfStock[WeekIndex],2)&gt;0)*(COUNTIFS(T_TTAFStock[RM_Code],$A34,T_TTAFStock[WeekIndex],2)&gt;0)&gt;0,SUMIFS(T_SelfStock[Self_Qty],T_SelfStock[RM_Code],$A34,T_SelfStock[WeekIndex],2)+SUMIFS(T_TTAFStock[TTAF_Qty],T_TTAFStock[RM_Code],$A34,T_TTAFStock[WeekIndex],2),B34+'Grid_Incoming'!C34-'Grid_Requirement'!C34))</f>
        <v/>
      </c>
      <c r="D34">
        <f>IF(COUNTIFS(T_StockCount[RM_Code],$A34,T_StockCount[WeekIndex],3)&gt;0,SUMIFS(T_StockCount[CountedQty],T_StockCount[RM_Code],$A34,T_StockCount[WeekIndex],3),IF((COUNTIFS(T_SelfStock[RM_Code],$A34,T_SelfStock[WeekIndex],3)&gt;0)*(COUNTIFS(T_TTAFStock[RM_Code],$A34,T_TTAFStock[WeekIndex],3)&gt;0)&gt;0,SUMIFS(T_SelfStock[Self_Qty],T_SelfStock[RM_Code],$A34,T_SelfStock[WeekIndex],3)+SUMIFS(T_TTAFStock[TTAF_Qty],T_TTAFStock[RM_Code],$A34,T_TTAFStock[WeekIndex],3),C34+'Grid_Incoming'!D34-'Grid_Requirement'!D34))</f>
        <v/>
      </c>
      <c r="E34">
        <f>IF(COUNTIFS(T_StockCount[RM_Code],$A34,T_StockCount[WeekIndex],4)&gt;0,SUMIFS(T_StockCount[CountedQty],T_StockCount[RM_Code],$A34,T_StockCount[WeekIndex],4),IF((COUNTIFS(T_SelfStock[RM_Code],$A34,T_SelfStock[WeekIndex],4)&gt;0)*(COUNTIFS(T_TTAFStock[RM_Code],$A34,T_TTAFStock[WeekIndex],4)&gt;0)&gt;0,SUMIFS(T_SelfStock[Self_Qty],T_SelfStock[RM_Code],$A34,T_SelfStock[WeekIndex],4)+SUMIFS(T_TTAFStock[TTAF_Qty],T_TTAFStock[RM_Code],$A34,T_TTAFStock[WeekIndex],4),D34+'Grid_Incoming'!E34-'Grid_Requirement'!E34))</f>
        <v/>
      </c>
      <c r="F34">
        <f>IF(COUNTIFS(T_StockCount[RM_Code],$A34,T_StockCount[WeekIndex],5)&gt;0,SUMIFS(T_StockCount[CountedQty],T_StockCount[RM_Code],$A34,T_StockCount[WeekIndex],5),IF((COUNTIFS(T_SelfStock[RM_Code],$A34,T_SelfStock[WeekIndex],5)&gt;0)*(COUNTIFS(T_TTAFStock[RM_Code],$A34,T_TTAFStock[WeekIndex],5)&gt;0)&gt;0,SUMIFS(T_SelfStock[Self_Qty],T_SelfStock[RM_Code],$A34,T_SelfStock[WeekIndex],5)+SUMIFS(T_TTAFStock[TTAF_Qty],T_TTAFStock[RM_Code],$A34,T_TTAFStock[WeekIndex],5),E34+'Grid_Incoming'!F34-'Grid_Requirement'!F34))</f>
        <v/>
      </c>
      <c r="G34">
        <f>IF(COUNTIFS(T_StockCount[RM_Code],$A34,T_StockCount[WeekIndex],6)&gt;0,SUMIFS(T_StockCount[CountedQty],T_StockCount[RM_Code],$A34,T_StockCount[WeekIndex],6),IF((COUNTIFS(T_SelfStock[RM_Code],$A34,T_SelfStock[WeekIndex],6)&gt;0)*(COUNTIFS(T_TTAFStock[RM_Code],$A34,T_TTAFStock[WeekIndex],6)&gt;0)&gt;0,SUMIFS(T_SelfStock[Self_Qty],T_SelfStock[RM_Code],$A34,T_SelfStock[WeekIndex],6)+SUMIFS(T_TTAFStock[TTAF_Qty],T_TTAFStock[RM_Code],$A34,T_TTAFStock[WeekIndex],6),F34+'Grid_Incoming'!G34-'Grid_Requirement'!G34))</f>
        <v/>
      </c>
      <c r="H34">
        <f>IF(COUNTIFS(T_StockCount[RM_Code],$A34,T_StockCount[WeekIndex],7)&gt;0,SUMIFS(T_StockCount[CountedQty],T_StockCount[RM_Code],$A34,T_StockCount[WeekIndex],7),IF((COUNTIFS(T_SelfStock[RM_Code],$A34,T_SelfStock[WeekIndex],7)&gt;0)*(COUNTIFS(T_TTAFStock[RM_Code],$A34,T_TTAFStock[WeekIndex],7)&gt;0)&gt;0,SUMIFS(T_SelfStock[Self_Qty],T_SelfStock[RM_Code],$A34,T_SelfStock[WeekIndex],7)+SUMIFS(T_TTAFStock[TTAF_Qty],T_TTAFStock[RM_Code],$A34,T_TTAFStock[WeekIndex],7),G34+'Grid_Incoming'!H34-'Grid_Requirement'!H34))</f>
        <v/>
      </c>
      <c r="I34">
        <f>IF(COUNTIFS(T_StockCount[RM_Code],$A34,T_StockCount[WeekIndex],8)&gt;0,SUMIFS(T_StockCount[CountedQty],T_StockCount[RM_Code],$A34,T_StockCount[WeekIndex],8),IF((COUNTIFS(T_SelfStock[RM_Code],$A34,T_SelfStock[WeekIndex],8)&gt;0)*(COUNTIFS(T_TTAFStock[RM_Code],$A34,T_TTAFStock[WeekIndex],8)&gt;0)&gt;0,SUMIFS(T_SelfStock[Self_Qty],T_SelfStock[RM_Code],$A34,T_SelfStock[WeekIndex],8)+SUMIFS(T_TTAFStock[TTAF_Qty],T_TTAFStock[RM_Code],$A34,T_TTAFStock[WeekIndex],8),H34+'Grid_Incoming'!I34-'Grid_Requirement'!I34))</f>
        <v/>
      </c>
      <c r="J34">
        <f>IF(COUNTIFS(T_StockCount[RM_Code],$A34,T_StockCount[WeekIndex],9)&gt;0,SUMIFS(T_StockCount[CountedQty],T_StockCount[RM_Code],$A34,T_StockCount[WeekIndex],9),IF((COUNTIFS(T_SelfStock[RM_Code],$A34,T_SelfStock[WeekIndex],9)&gt;0)*(COUNTIFS(T_TTAFStock[RM_Code],$A34,T_TTAFStock[WeekIndex],9)&gt;0)&gt;0,SUMIFS(T_SelfStock[Self_Qty],T_SelfStock[RM_Code],$A34,T_SelfStock[WeekIndex],9)+SUMIFS(T_TTAFStock[TTAF_Qty],T_TTAFStock[RM_Code],$A34,T_TTAFStock[WeekIndex],9),I34+'Grid_Incoming'!J34-'Grid_Requirement'!J34))</f>
        <v/>
      </c>
      <c r="K34">
        <f>IF(COUNTIFS(T_StockCount[RM_Code],$A34,T_StockCount[WeekIndex],10)&gt;0,SUMIFS(T_StockCount[CountedQty],T_StockCount[RM_Code],$A34,T_StockCount[WeekIndex],10),IF((COUNTIFS(T_SelfStock[RM_Code],$A34,T_SelfStock[WeekIndex],10)&gt;0)*(COUNTIFS(T_TTAFStock[RM_Code],$A34,T_TTAFStock[WeekIndex],10)&gt;0)&gt;0,SUMIFS(T_SelfStock[Self_Qty],T_SelfStock[RM_Code],$A34,T_SelfStock[WeekIndex],10)+SUMIFS(T_TTAFStock[TTAF_Qty],T_TTAFStock[RM_Code],$A34,T_TTAFStock[WeekIndex],10),J34+'Grid_Incoming'!K34-'Grid_Requirement'!K34))</f>
        <v/>
      </c>
      <c r="L34">
        <f>IF(COUNTIFS(T_StockCount[RM_Code],$A34,T_StockCount[WeekIndex],11)&gt;0,SUMIFS(T_StockCount[CountedQty],T_StockCount[RM_Code],$A34,T_StockCount[WeekIndex],11),IF((COUNTIFS(T_SelfStock[RM_Code],$A34,T_SelfStock[WeekIndex],11)&gt;0)*(COUNTIFS(T_TTAFStock[RM_Code],$A34,T_TTAFStock[WeekIndex],11)&gt;0)&gt;0,SUMIFS(T_SelfStock[Self_Qty],T_SelfStock[RM_Code],$A34,T_SelfStock[WeekIndex],11)+SUMIFS(T_TTAFStock[TTAF_Qty],T_TTAFStock[RM_Code],$A34,T_TTAFStock[WeekIndex],11),K34+'Grid_Incoming'!L34-'Grid_Requirement'!L34))</f>
        <v/>
      </c>
      <c r="M34">
        <f>IF(COUNTIFS(T_StockCount[RM_Code],$A34,T_StockCount[WeekIndex],12)&gt;0,SUMIFS(T_StockCount[CountedQty],T_StockCount[RM_Code],$A34,T_StockCount[WeekIndex],12),IF((COUNTIFS(T_SelfStock[RM_Code],$A34,T_SelfStock[WeekIndex],12)&gt;0)*(COUNTIFS(T_TTAFStock[RM_Code],$A34,T_TTAFStock[WeekIndex],12)&gt;0)&gt;0,SUMIFS(T_SelfStock[Self_Qty],T_SelfStock[RM_Code],$A34,T_SelfStock[WeekIndex],12)+SUMIFS(T_TTAFStock[TTAF_Qty],T_TTAFStock[RM_Code],$A34,T_TTAFStock[WeekIndex],12),L34+'Grid_Incoming'!M34-'Grid_Requirement'!M34))</f>
        <v/>
      </c>
      <c r="N34">
        <f>IF(COUNTIFS(T_StockCount[RM_Code],$A34,T_StockCount[WeekIndex],13)&gt;0,SUMIFS(T_StockCount[CountedQty],T_StockCount[RM_Code],$A34,T_StockCount[WeekIndex],13),IF((COUNTIFS(T_SelfStock[RM_Code],$A34,T_SelfStock[WeekIndex],13)&gt;0)*(COUNTIFS(T_TTAFStock[RM_Code],$A34,T_TTAFStock[WeekIndex],13)&gt;0)&gt;0,SUMIFS(T_SelfStock[Self_Qty],T_SelfStock[RM_Code],$A34,T_SelfStock[WeekIndex],13)+SUMIFS(T_TTAFStock[TTAF_Qty],T_TTAFStock[RM_Code],$A34,T_TTAFStock[WeekIndex],13),M34+'Grid_Incoming'!N34-'Grid_Requirement'!N34))</f>
        <v/>
      </c>
      <c r="O34">
        <f>IF(COUNTIFS(T_StockCount[RM_Code],$A34,T_StockCount[WeekIndex],14)&gt;0,SUMIFS(T_StockCount[CountedQty],T_StockCount[RM_Code],$A34,T_StockCount[WeekIndex],14),IF((COUNTIFS(T_SelfStock[RM_Code],$A34,T_SelfStock[WeekIndex],14)&gt;0)*(COUNTIFS(T_TTAFStock[RM_Code],$A34,T_TTAFStock[WeekIndex],14)&gt;0)&gt;0,SUMIFS(T_SelfStock[Self_Qty],T_SelfStock[RM_Code],$A34,T_SelfStock[WeekIndex],14)+SUMIFS(T_TTAFStock[TTAF_Qty],T_TTAFStock[RM_Code],$A34,T_TTAFStock[WeekIndex],14),N34+'Grid_Incoming'!O34-'Grid_Requirement'!O34))</f>
        <v/>
      </c>
      <c r="P34">
        <f>IF(COUNTIFS(T_StockCount[RM_Code],$A34,T_StockCount[WeekIndex],15)&gt;0,SUMIFS(T_StockCount[CountedQty],T_StockCount[RM_Code],$A34,T_StockCount[WeekIndex],15),IF((COUNTIFS(T_SelfStock[RM_Code],$A34,T_SelfStock[WeekIndex],15)&gt;0)*(COUNTIFS(T_TTAFStock[RM_Code],$A34,T_TTAFStock[WeekIndex],15)&gt;0)&gt;0,SUMIFS(T_SelfStock[Self_Qty],T_SelfStock[RM_Code],$A34,T_SelfStock[WeekIndex],15)+SUMIFS(T_TTAFStock[TTAF_Qty],T_TTAFStock[RM_Code],$A34,T_TTAFStock[WeekIndex],15),O34+'Grid_Incoming'!P34-'Grid_Requirement'!P34))</f>
        <v/>
      </c>
      <c r="Q34">
        <f>IF(COUNTIFS(T_StockCount[RM_Code],$A34,T_StockCount[WeekIndex],16)&gt;0,SUMIFS(T_StockCount[CountedQty],T_StockCount[RM_Code],$A34,T_StockCount[WeekIndex],16),IF((COUNTIFS(T_SelfStock[RM_Code],$A34,T_SelfStock[WeekIndex],16)&gt;0)*(COUNTIFS(T_TTAFStock[RM_Code],$A34,T_TTAFStock[WeekIndex],16)&gt;0)&gt;0,SUMIFS(T_SelfStock[Self_Qty],T_SelfStock[RM_Code],$A34,T_SelfStock[WeekIndex],16)+SUMIFS(T_TTAFStock[TTAF_Qty],T_TTAFStock[RM_Code],$A34,T_TTAFStock[WeekIndex],16),P34+'Grid_Incoming'!Q34-'Grid_Requirement'!Q34))</f>
        <v/>
      </c>
      <c r="R34">
        <f>IF(COUNTIFS(T_StockCount[RM_Code],$A34,T_StockCount[WeekIndex],17)&gt;0,SUMIFS(T_StockCount[CountedQty],T_StockCount[RM_Code],$A34,T_StockCount[WeekIndex],17),IF((COUNTIFS(T_SelfStock[RM_Code],$A34,T_SelfStock[WeekIndex],17)&gt;0)*(COUNTIFS(T_TTAFStock[RM_Code],$A34,T_TTAFStock[WeekIndex],17)&gt;0)&gt;0,SUMIFS(T_SelfStock[Self_Qty],T_SelfStock[RM_Code],$A34,T_SelfStock[WeekIndex],17)+SUMIFS(T_TTAFStock[TTAF_Qty],T_TTAFStock[RM_Code],$A34,T_TTAFStock[WeekIndex],17),Q34+'Grid_Incoming'!R34-'Grid_Requirement'!R34))</f>
        <v/>
      </c>
      <c r="S34">
        <f>IF(COUNTIFS(T_StockCount[RM_Code],$A34,T_StockCount[WeekIndex],18)&gt;0,SUMIFS(T_StockCount[CountedQty],T_StockCount[RM_Code],$A34,T_StockCount[WeekIndex],18),IF((COUNTIFS(T_SelfStock[RM_Code],$A34,T_SelfStock[WeekIndex],18)&gt;0)*(COUNTIFS(T_TTAFStock[RM_Code],$A34,T_TTAFStock[WeekIndex],18)&gt;0)&gt;0,SUMIFS(T_SelfStock[Self_Qty],T_SelfStock[RM_Code],$A34,T_SelfStock[WeekIndex],18)+SUMIFS(T_TTAFStock[TTAF_Qty],T_TTAFStock[RM_Code],$A34,T_TTAFStock[WeekIndex],18),R34+'Grid_Incoming'!S34-'Grid_Requirement'!S34))</f>
        <v/>
      </c>
      <c r="T34">
        <f>IF(COUNTIFS(T_StockCount[RM_Code],$A34,T_StockCount[WeekIndex],19)&gt;0,SUMIFS(T_StockCount[CountedQty],T_StockCount[RM_Code],$A34,T_StockCount[WeekIndex],19),IF((COUNTIFS(T_SelfStock[RM_Code],$A34,T_SelfStock[WeekIndex],19)&gt;0)*(COUNTIFS(T_TTAFStock[RM_Code],$A34,T_TTAFStock[WeekIndex],19)&gt;0)&gt;0,SUMIFS(T_SelfStock[Self_Qty],T_SelfStock[RM_Code],$A34,T_SelfStock[WeekIndex],19)+SUMIFS(T_TTAFStock[TTAF_Qty],T_TTAFStock[RM_Code],$A34,T_TTAFStock[WeekIndex],19),S34+'Grid_Incoming'!T34-'Grid_Requirement'!T34))</f>
        <v/>
      </c>
      <c r="U34">
        <f>IF(COUNTIFS(T_StockCount[RM_Code],$A34,T_StockCount[WeekIndex],20)&gt;0,SUMIFS(T_StockCount[CountedQty],T_StockCount[RM_Code],$A34,T_StockCount[WeekIndex],20),IF((COUNTIFS(T_SelfStock[RM_Code],$A34,T_SelfStock[WeekIndex],20)&gt;0)*(COUNTIFS(T_TTAFStock[RM_Code],$A34,T_TTAFStock[WeekIndex],20)&gt;0)&gt;0,SUMIFS(T_SelfStock[Self_Qty],T_SelfStock[RM_Code],$A34,T_SelfStock[WeekIndex],20)+SUMIFS(T_TTAFStock[TTAF_Qty],T_TTAFStock[RM_Code],$A34,T_TTAFStock[WeekIndex],20),T34+'Grid_Incoming'!U34-'Grid_Requirement'!U34))</f>
        <v/>
      </c>
      <c r="V34">
        <f>IF(COUNTIFS(T_StockCount[RM_Code],$A34,T_StockCount[WeekIndex],21)&gt;0,SUMIFS(T_StockCount[CountedQty],T_StockCount[RM_Code],$A34,T_StockCount[WeekIndex],21),IF((COUNTIFS(T_SelfStock[RM_Code],$A34,T_SelfStock[WeekIndex],21)&gt;0)*(COUNTIFS(T_TTAFStock[RM_Code],$A34,T_TTAFStock[WeekIndex],21)&gt;0)&gt;0,SUMIFS(T_SelfStock[Self_Qty],T_SelfStock[RM_Code],$A34,T_SelfStock[WeekIndex],21)+SUMIFS(T_TTAFStock[TTAF_Qty],T_TTAFStock[RM_Code],$A34,T_TTAFStock[WeekIndex],21),U34+'Grid_Incoming'!V34-'Grid_Requirement'!V34))</f>
        <v/>
      </c>
      <c r="W34">
        <f>IF(COUNTIFS(T_StockCount[RM_Code],$A34,T_StockCount[WeekIndex],22)&gt;0,SUMIFS(T_StockCount[CountedQty],T_StockCount[RM_Code],$A34,T_StockCount[WeekIndex],22),IF((COUNTIFS(T_SelfStock[RM_Code],$A34,T_SelfStock[WeekIndex],22)&gt;0)*(COUNTIFS(T_TTAFStock[RM_Code],$A34,T_TTAFStock[WeekIndex],22)&gt;0)&gt;0,SUMIFS(T_SelfStock[Self_Qty],T_SelfStock[RM_Code],$A34,T_SelfStock[WeekIndex],22)+SUMIFS(T_TTAFStock[TTAF_Qty],T_TTAFStock[RM_Code],$A34,T_TTAFStock[WeekIndex],22),V34+'Grid_Incoming'!W34-'Grid_Requirement'!W34))</f>
        <v/>
      </c>
      <c r="X34">
        <f>IF(COUNTIFS(T_StockCount[RM_Code],$A34,T_StockCount[WeekIndex],23)&gt;0,SUMIFS(T_StockCount[CountedQty],T_StockCount[RM_Code],$A34,T_StockCount[WeekIndex],23),IF((COUNTIFS(T_SelfStock[RM_Code],$A34,T_SelfStock[WeekIndex],23)&gt;0)*(COUNTIFS(T_TTAFStock[RM_Code],$A34,T_TTAFStock[WeekIndex],23)&gt;0)&gt;0,SUMIFS(T_SelfStock[Self_Qty],T_SelfStock[RM_Code],$A34,T_SelfStock[WeekIndex],23)+SUMIFS(T_TTAFStock[TTAF_Qty],T_TTAFStock[RM_Code],$A34,T_TTAFStock[WeekIndex],23),W34+'Grid_Incoming'!X34-'Grid_Requirement'!X34))</f>
        <v/>
      </c>
      <c r="Y34">
        <f>IF(COUNTIFS(T_StockCount[RM_Code],$A34,T_StockCount[WeekIndex],24)&gt;0,SUMIFS(T_StockCount[CountedQty],T_StockCount[RM_Code],$A34,T_StockCount[WeekIndex],24),IF((COUNTIFS(T_SelfStock[RM_Code],$A34,T_SelfStock[WeekIndex],24)&gt;0)*(COUNTIFS(T_TTAFStock[RM_Code],$A34,T_TTAFStock[WeekIndex],24)&gt;0)&gt;0,SUMIFS(T_SelfStock[Self_Qty],T_SelfStock[RM_Code],$A34,T_SelfStock[WeekIndex],24)+SUMIFS(T_TTAFStock[TTAF_Qty],T_TTAFStock[RM_Code],$A34,T_TTAFStock[WeekIndex],24),X34+'Grid_Incoming'!Y34-'Grid_Requirement'!Y34))</f>
        <v/>
      </c>
      <c r="Z34">
        <f>IF(COUNTIFS(T_StockCount[RM_Code],$A34,T_StockCount[WeekIndex],25)&gt;0,SUMIFS(T_StockCount[CountedQty],T_StockCount[RM_Code],$A34,T_StockCount[WeekIndex],25),IF((COUNTIFS(T_SelfStock[RM_Code],$A34,T_SelfStock[WeekIndex],25)&gt;0)*(COUNTIFS(T_TTAFStock[RM_Code],$A34,T_TTAFStock[WeekIndex],25)&gt;0)&gt;0,SUMIFS(T_SelfStock[Self_Qty],T_SelfStock[RM_Code],$A34,T_SelfStock[WeekIndex],25)+SUMIFS(T_TTAFStock[TTAF_Qty],T_TTAFStock[RM_Code],$A34,T_TTAFStock[WeekIndex],25),Y34+'Grid_Incoming'!Z34-'Grid_Requirement'!Z34))</f>
        <v/>
      </c>
      <c r="AA34">
        <f>IF(COUNTIFS(T_StockCount[RM_Code],$A34,T_StockCount[WeekIndex],26)&gt;0,SUMIFS(T_StockCount[CountedQty],T_StockCount[RM_Code],$A34,T_StockCount[WeekIndex],26),IF((COUNTIFS(T_SelfStock[RM_Code],$A34,T_SelfStock[WeekIndex],26)&gt;0)*(COUNTIFS(T_TTAFStock[RM_Code],$A34,T_TTAFStock[WeekIndex],26)&gt;0)&gt;0,SUMIFS(T_SelfStock[Self_Qty],T_SelfStock[RM_Code],$A34,T_SelfStock[WeekIndex],26)+SUMIFS(T_TTAFStock[TTAF_Qty],T_TTAFStock[RM_Code],$A34,T_TTAFStock[WeekIndex],26),Z34+'Grid_Incoming'!AA34-'Grid_Requirement'!AA34))</f>
        <v/>
      </c>
      <c r="AB34">
        <f>IF(COUNTIFS(T_StockCount[RM_Code],$A34,T_StockCount[WeekIndex],27)&gt;0,SUMIFS(T_StockCount[CountedQty],T_StockCount[RM_Code],$A34,T_StockCount[WeekIndex],27),IF((COUNTIFS(T_SelfStock[RM_Code],$A34,T_SelfStock[WeekIndex],27)&gt;0)*(COUNTIFS(T_TTAFStock[RM_Code],$A34,T_TTAFStock[WeekIndex],27)&gt;0)&gt;0,SUMIFS(T_SelfStock[Self_Qty],T_SelfStock[RM_Code],$A34,T_SelfStock[WeekIndex],27)+SUMIFS(T_TTAFStock[TTAF_Qty],T_TTAFStock[RM_Code],$A34,T_TTAFStock[WeekIndex],27),AA34+'Grid_Incoming'!AB34-'Grid_Requirement'!AB34))</f>
        <v/>
      </c>
      <c r="AC34">
        <f>IF(COUNTIFS(T_StockCount[RM_Code],$A34,T_StockCount[WeekIndex],28)&gt;0,SUMIFS(T_StockCount[CountedQty],T_StockCount[RM_Code],$A34,T_StockCount[WeekIndex],28),IF((COUNTIFS(T_SelfStock[RM_Code],$A34,T_SelfStock[WeekIndex],28)&gt;0)*(COUNTIFS(T_TTAFStock[RM_Code],$A34,T_TTAFStock[WeekIndex],28)&gt;0)&gt;0,SUMIFS(T_SelfStock[Self_Qty],T_SelfStock[RM_Code],$A34,T_SelfStock[WeekIndex],28)+SUMIFS(T_TTAFStock[TTAF_Qty],T_TTAFStock[RM_Code],$A34,T_TTAFStock[WeekIndex],28),AB34+'Grid_Incoming'!AC34-'Grid_Requirement'!AC34))</f>
        <v/>
      </c>
      <c r="AD34">
        <f>IF(COUNTIFS(T_StockCount[RM_Code],$A34,T_StockCount[WeekIndex],29)&gt;0,SUMIFS(T_StockCount[CountedQty],T_StockCount[RM_Code],$A34,T_StockCount[WeekIndex],29),IF((COUNTIFS(T_SelfStock[RM_Code],$A34,T_SelfStock[WeekIndex],29)&gt;0)*(COUNTIFS(T_TTAFStock[RM_Code],$A34,T_TTAFStock[WeekIndex],29)&gt;0)&gt;0,SUMIFS(T_SelfStock[Self_Qty],T_SelfStock[RM_Code],$A34,T_SelfStock[WeekIndex],29)+SUMIFS(T_TTAFStock[TTAF_Qty],T_TTAFStock[RM_Code],$A34,T_TTAFStock[WeekIndex],29),AC34+'Grid_Incoming'!AD34-'Grid_Requirement'!AD34))</f>
        <v/>
      </c>
      <c r="AE34">
        <f>IF(COUNTIFS(T_StockCount[RM_Code],$A34,T_StockCount[WeekIndex],30)&gt;0,SUMIFS(T_StockCount[CountedQty],T_StockCount[RM_Code],$A34,T_StockCount[WeekIndex],30),IF((COUNTIFS(T_SelfStock[RM_Code],$A34,T_SelfStock[WeekIndex],30)&gt;0)*(COUNTIFS(T_TTAFStock[RM_Code],$A34,T_TTAFStock[WeekIndex],30)&gt;0)&gt;0,SUMIFS(T_SelfStock[Self_Qty],T_SelfStock[RM_Code],$A34,T_SelfStock[WeekIndex],30)+SUMIFS(T_TTAFStock[TTAF_Qty],T_TTAFStock[RM_Code],$A34,T_TTAFStock[WeekIndex],30),AD34+'Grid_Incoming'!AE34-'Grid_Requirement'!AE34))</f>
        <v/>
      </c>
      <c r="AF34">
        <f>IF(COUNTIFS(T_StockCount[RM_Code],$A34,T_StockCount[WeekIndex],31)&gt;0,SUMIFS(T_StockCount[CountedQty],T_StockCount[RM_Code],$A34,T_StockCount[WeekIndex],31),IF((COUNTIFS(T_SelfStock[RM_Code],$A34,T_SelfStock[WeekIndex],31)&gt;0)*(COUNTIFS(T_TTAFStock[RM_Code],$A34,T_TTAFStock[WeekIndex],31)&gt;0)&gt;0,SUMIFS(T_SelfStock[Self_Qty],T_SelfStock[RM_Code],$A34,T_SelfStock[WeekIndex],31)+SUMIFS(T_TTAFStock[TTAF_Qty],T_TTAFStock[RM_Code],$A34,T_TTAFStock[WeekIndex],31),AE34+'Grid_Incoming'!AF34-'Grid_Requirement'!AF34))</f>
        <v/>
      </c>
      <c r="AG34">
        <f>IF(COUNTIFS(T_StockCount[RM_Code],$A34,T_StockCount[WeekIndex],32)&gt;0,SUMIFS(T_StockCount[CountedQty],T_StockCount[RM_Code],$A34,T_StockCount[WeekIndex],32),IF((COUNTIFS(T_SelfStock[RM_Code],$A34,T_SelfStock[WeekIndex],32)&gt;0)*(COUNTIFS(T_TTAFStock[RM_Code],$A34,T_TTAFStock[WeekIndex],32)&gt;0)&gt;0,SUMIFS(T_SelfStock[Self_Qty],T_SelfStock[RM_Code],$A34,T_SelfStock[WeekIndex],32)+SUMIFS(T_TTAFStock[TTAF_Qty],T_TTAFStock[RM_Code],$A34,T_TTAFStock[WeekIndex],32),AF34+'Grid_Incoming'!AG34-'Grid_Requirement'!AG34))</f>
        <v/>
      </c>
      <c r="AH34">
        <f>IF(COUNTIFS(T_StockCount[RM_Code],$A34,T_StockCount[WeekIndex],33)&gt;0,SUMIFS(T_StockCount[CountedQty],T_StockCount[RM_Code],$A34,T_StockCount[WeekIndex],33),IF((COUNTIFS(T_SelfStock[RM_Code],$A34,T_SelfStock[WeekIndex],33)&gt;0)*(COUNTIFS(T_TTAFStock[RM_Code],$A34,T_TTAFStock[WeekIndex],33)&gt;0)&gt;0,SUMIFS(T_SelfStock[Self_Qty],T_SelfStock[RM_Code],$A34,T_SelfStock[WeekIndex],33)+SUMIFS(T_TTAFStock[TTAF_Qty],T_TTAFStock[RM_Code],$A34,T_TTAFStock[WeekIndex],33),AG34+'Grid_Incoming'!AH34-'Grid_Requirement'!AH34))</f>
        <v/>
      </c>
      <c r="AI34">
        <f>IF(COUNTIFS(T_StockCount[RM_Code],$A34,T_StockCount[WeekIndex],34)&gt;0,SUMIFS(T_StockCount[CountedQty],T_StockCount[RM_Code],$A34,T_StockCount[WeekIndex],34),IF((COUNTIFS(T_SelfStock[RM_Code],$A34,T_SelfStock[WeekIndex],34)&gt;0)*(COUNTIFS(T_TTAFStock[RM_Code],$A34,T_TTAFStock[WeekIndex],34)&gt;0)&gt;0,SUMIFS(T_SelfStock[Self_Qty],T_SelfStock[RM_Code],$A34,T_SelfStock[WeekIndex],34)+SUMIFS(T_TTAFStock[TTAF_Qty],T_TTAFStock[RM_Code],$A34,T_TTAFStock[WeekIndex],34),AH34+'Grid_Incoming'!AI34-'Grid_Requirement'!AI34))</f>
        <v/>
      </c>
      <c r="AJ34">
        <f>IF(COUNTIFS(T_StockCount[RM_Code],$A34,T_StockCount[WeekIndex],35)&gt;0,SUMIFS(T_StockCount[CountedQty],T_StockCount[RM_Code],$A34,T_StockCount[WeekIndex],35),IF((COUNTIFS(T_SelfStock[RM_Code],$A34,T_SelfStock[WeekIndex],35)&gt;0)*(COUNTIFS(T_TTAFStock[RM_Code],$A34,T_TTAFStock[WeekIndex],35)&gt;0)&gt;0,SUMIFS(T_SelfStock[Self_Qty],T_SelfStock[RM_Code],$A34,T_SelfStock[WeekIndex],35)+SUMIFS(T_TTAFStock[TTAF_Qty],T_TTAFStock[RM_Code],$A34,T_TTAFStock[WeekIndex],35),AI34+'Grid_Incoming'!AJ34-'Grid_Requirement'!AJ34))</f>
        <v/>
      </c>
      <c r="AK34">
        <f>IF(COUNTIFS(T_StockCount[RM_Code],$A34,T_StockCount[WeekIndex],36)&gt;0,SUMIFS(T_StockCount[CountedQty],T_StockCount[RM_Code],$A34,T_StockCount[WeekIndex],36),IF((COUNTIFS(T_SelfStock[RM_Code],$A34,T_SelfStock[WeekIndex],36)&gt;0)*(COUNTIFS(T_TTAFStock[RM_Code],$A34,T_TTAFStock[WeekIndex],36)&gt;0)&gt;0,SUMIFS(T_SelfStock[Self_Qty],T_SelfStock[RM_Code],$A34,T_SelfStock[WeekIndex],36)+SUMIFS(T_TTAFStock[TTAF_Qty],T_TTAFStock[RM_Code],$A34,T_TTAFStock[WeekIndex],36),AJ34+'Grid_Incoming'!AK34-'Grid_Requirement'!AK34))</f>
        <v/>
      </c>
      <c r="AL34">
        <f>IF(COUNTIFS(T_StockCount[RM_Code],$A34,T_StockCount[WeekIndex],37)&gt;0,SUMIFS(T_StockCount[CountedQty],T_StockCount[RM_Code],$A34,T_StockCount[WeekIndex],37),IF((COUNTIFS(T_SelfStock[RM_Code],$A34,T_SelfStock[WeekIndex],37)&gt;0)*(COUNTIFS(T_TTAFStock[RM_Code],$A34,T_TTAFStock[WeekIndex],37)&gt;0)&gt;0,SUMIFS(T_SelfStock[Self_Qty],T_SelfStock[RM_Code],$A34,T_SelfStock[WeekIndex],37)+SUMIFS(T_TTAFStock[TTAF_Qty],T_TTAFStock[RM_Code],$A34,T_TTAFStock[WeekIndex],37),AK34+'Grid_Incoming'!AL34-'Grid_Requirement'!AL34))</f>
        <v/>
      </c>
      <c r="AM34">
        <f>IF(COUNTIFS(T_StockCount[RM_Code],$A34,T_StockCount[WeekIndex],38)&gt;0,SUMIFS(T_StockCount[CountedQty],T_StockCount[RM_Code],$A34,T_StockCount[WeekIndex],38),IF((COUNTIFS(T_SelfStock[RM_Code],$A34,T_SelfStock[WeekIndex],38)&gt;0)*(COUNTIFS(T_TTAFStock[RM_Code],$A34,T_TTAFStock[WeekIndex],38)&gt;0)&gt;0,SUMIFS(T_SelfStock[Self_Qty],T_SelfStock[RM_Code],$A34,T_SelfStock[WeekIndex],38)+SUMIFS(T_TTAFStock[TTAF_Qty],T_TTAFStock[RM_Code],$A34,T_TTAFStock[WeekIndex],38),AL34+'Grid_Incoming'!AM34-'Grid_Requirement'!AM34))</f>
        <v/>
      </c>
      <c r="AN34">
        <f>IF(COUNTIFS(T_StockCount[RM_Code],$A34,T_StockCount[WeekIndex],39)&gt;0,SUMIFS(T_StockCount[CountedQty],T_StockCount[RM_Code],$A34,T_StockCount[WeekIndex],39),IF((COUNTIFS(T_SelfStock[RM_Code],$A34,T_SelfStock[WeekIndex],39)&gt;0)*(COUNTIFS(T_TTAFStock[RM_Code],$A34,T_TTAFStock[WeekIndex],39)&gt;0)&gt;0,SUMIFS(T_SelfStock[Self_Qty],T_SelfStock[RM_Code],$A34,T_SelfStock[WeekIndex],39)+SUMIFS(T_TTAFStock[TTAF_Qty],T_TTAFStock[RM_Code],$A34,T_TTAFStock[WeekIndex],39),AM34+'Grid_Incoming'!AN34-'Grid_Requirement'!AN34))</f>
        <v/>
      </c>
      <c r="AO34">
        <f>IF(COUNTIFS(T_StockCount[RM_Code],$A34,T_StockCount[WeekIndex],40)&gt;0,SUMIFS(T_StockCount[CountedQty],T_StockCount[RM_Code],$A34,T_StockCount[WeekIndex],40),IF((COUNTIFS(T_SelfStock[RM_Code],$A34,T_SelfStock[WeekIndex],40)&gt;0)*(COUNTIFS(T_TTAFStock[RM_Code],$A34,T_TTAFStock[WeekIndex],40)&gt;0)&gt;0,SUMIFS(T_SelfStock[Self_Qty],T_SelfStock[RM_Code],$A34,T_SelfStock[WeekIndex],40)+SUMIFS(T_TTAFStock[TTAF_Qty],T_TTAFStock[RM_Code],$A34,T_TTAFStock[WeekIndex],40),AN34+'Grid_Incoming'!AO34-'Grid_Requirement'!AO34))</f>
        <v/>
      </c>
      <c r="AP34">
        <f>IF(COUNTIFS(T_StockCount[RM_Code],$A34,T_StockCount[WeekIndex],41)&gt;0,SUMIFS(T_StockCount[CountedQty],T_StockCount[RM_Code],$A34,T_StockCount[WeekIndex],41),IF((COUNTIFS(T_SelfStock[RM_Code],$A34,T_SelfStock[WeekIndex],41)&gt;0)*(COUNTIFS(T_TTAFStock[RM_Code],$A34,T_TTAFStock[WeekIndex],41)&gt;0)&gt;0,SUMIFS(T_SelfStock[Self_Qty],T_SelfStock[RM_Code],$A34,T_SelfStock[WeekIndex],41)+SUMIFS(T_TTAFStock[TTAF_Qty],T_TTAFStock[RM_Code],$A34,T_TTAFStock[WeekIndex],41),AO34+'Grid_Incoming'!AP34-'Grid_Requirement'!AP34))</f>
        <v/>
      </c>
      <c r="AQ34">
        <f>IF(COUNTIFS(T_StockCount[RM_Code],$A34,T_StockCount[WeekIndex],42)&gt;0,SUMIFS(T_StockCount[CountedQty],T_StockCount[RM_Code],$A34,T_StockCount[WeekIndex],42),IF((COUNTIFS(T_SelfStock[RM_Code],$A34,T_SelfStock[WeekIndex],42)&gt;0)*(COUNTIFS(T_TTAFStock[RM_Code],$A34,T_TTAFStock[WeekIndex],42)&gt;0)&gt;0,SUMIFS(T_SelfStock[Self_Qty],T_SelfStock[RM_Code],$A34,T_SelfStock[WeekIndex],42)+SUMIFS(T_TTAFStock[TTAF_Qty],T_TTAFStock[RM_Code],$A34,T_TTAFStock[WeekIndex],42),AP34+'Grid_Incoming'!AQ34-'Grid_Requirement'!AQ34))</f>
        <v/>
      </c>
      <c r="AR34">
        <f>IF(COUNTIFS(T_StockCount[RM_Code],$A34,T_StockCount[WeekIndex],43)&gt;0,SUMIFS(T_StockCount[CountedQty],T_StockCount[RM_Code],$A34,T_StockCount[WeekIndex],43),IF((COUNTIFS(T_SelfStock[RM_Code],$A34,T_SelfStock[WeekIndex],43)&gt;0)*(COUNTIFS(T_TTAFStock[RM_Code],$A34,T_TTAFStock[WeekIndex],43)&gt;0)&gt;0,SUMIFS(T_SelfStock[Self_Qty],T_SelfStock[RM_Code],$A34,T_SelfStock[WeekIndex],43)+SUMIFS(T_TTAFStock[TTAF_Qty],T_TTAFStock[RM_Code],$A34,T_TTAFStock[WeekIndex],43),AQ34+'Grid_Incoming'!AR34-'Grid_Requirement'!AR34))</f>
        <v/>
      </c>
      <c r="AS34">
        <f>IF(COUNTIFS(T_StockCount[RM_Code],$A34,T_StockCount[WeekIndex],44)&gt;0,SUMIFS(T_StockCount[CountedQty],T_StockCount[RM_Code],$A34,T_StockCount[WeekIndex],44),IF((COUNTIFS(T_SelfStock[RM_Code],$A34,T_SelfStock[WeekIndex],44)&gt;0)*(COUNTIFS(T_TTAFStock[RM_Code],$A34,T_TTAFStock[WeekIndex],44)&gt;0)&gt;0,SUMIFS(T_SelfStock[Self_Qty],T_SelfStock[RM_Code],$A34,T_SelfStock[WeekIndex],44)+SUMIFS(T_TTAFStock[TTAF_Qty],T_TTAFStock[RM_Code],$A34,T_TTAFStock[WeekIndex],44),AR34+'Grid_Incoming'!AS34-'Grid_Requirement'!AS34))</f>
        <v/>
      </c>
      <c r="AT34">
        <f>IF(COUNTIFS(T_StockCount[RM_Code],$A34,T_StockCount[WeekIndex],45)&gt;0,SUMIFS(T_StockCount[CountedQty],T_StockCount[RM_Code],$A34,T_StockCount[WeekIndex],45),IF((COUNTIFS(T_SelfStock[RM_Code],$A34,T_SelfStock[WeekIndex],45)&gt;0)*(COUNTIFS(T_TTAFStock[RM_Code],$A34,T_TTAFStock[WeekIndex],45)&gt;0)&gt;0,SUMIFS(T_SelfStock[Self_Qty],T_SelfStock[RM_Code],$A34,T_SelfStock[WeekIndex],45)+SUMIFS(T_TTAFStock[TTAF_Qty],T_TTAFStock[RM_Code],$A34,T_TTAFStock[WeekIndex],45),AS34+'Grid_Incoming'!AT34-'Grid_Requirement'!AT34))</f>
        <v/>
      </c>
      <c r="AU34">
        <f>IF(COUNTIFS(T_StockCount[RM_Code],$A34,T_StockCount[WeekIndex],46)&gt;0,SUMIFS(T_StockCount[CountedQty],T_StockCount[RM_Code],$A34,T_StockCount[WeekIndex],46),IF((COUNTIFS(T_SelfStock[RM_Code],$A34,T_SelfStock[WeekIndex],46)&gt;0)*(COUNTIFS(T_TTAFStock[RM_Code],$A34,T_TTAFStock[WeekIndex],46)&gt;0)&gt;0,SUMIFS(T_SelfStock[Self_Qty],T_SelfStock[RM_Code],$A34,T_SelfStock[WeekIndex],46)+SUMIFS(T_TTAFStock[TTAF_Qty],T_TTAFStock[RM_Code],$A34,T_TTAFStock[WeekIndex],46),AT34+'Grid_Incoming'!AU34-'Grid_Requirement'!AU34))</f>
        <v/>
      </c>
      <c r="AV34">
        <f>IF(COUNTIFS(T_StockCount[RM_Code],$A34,T_StockCount[WeekIndex],47)&gt;0,SUMIFS(T_StockCount[CountedQty],T_StockCount[RM_Code],$A34,T_StockCount[WeekIndex],47),IF((COUNTIFS(T_SelfStock[RM_Code],$A34,T_SelfStock[WeekIndex],47)&gt;0)*(COUNTIFS(T_TTAFStock[RM_Code],$A34,T_TTAFStock[WeekIndex],47)&gt;0)&gt;0,SUMIFS(T_SelfStock[Self_Qty],T_SelfStock[RM_Code],$A34,T_SelfStock[WeekIndex],47)+SUMIFS(T_TTAFStock[TTAF_Qty],T_TTAFStock[RM_Code],$A34,T_TTAFStock[WeekIndex],47),AU34+'Grid_Incoming'!AV34-'Grid_Requirement'!AV34))</f>
        <v/>
      </c>
      <c r="AW34">
        <f>IF(COUNTIFS(T_StockCount[RM_Code],$A34,T_StockCount[WeekIndex],48)&gt;0,SUMIFS(T_StockCount[CountedQty],T_StockCount[RM_Code],$A34,T_StockCount[WeekIndex],48),IF((COUNTIFS(T_SelfStock[RM_Code],$A34,T_SelfStock[WeekIndex],48)&gt;0)*(COUNTIFS(T_TTAFStock[RM_Code],$A34,T_TTAFStock[WeekIndex],48)&gt;0)&gt;0,SUMIFS(T_SelfStock[Self_Qty],T_SelfStock[RM_Code],$A34,T_SelfStock[WeekIndex],48)+SUMIFS(T_TTAFStock[TTAF_Qty],T_TTAFStock[RM_Code],$A34,T_TTAFStock[WeekIndex],48),AV34+'Grid_Incoming'!AW34-'Grid_Requirement'!AW34))</f>
        <v/>
      </c>
      <c r="AX34">
        <f>IF(COUNTIFS(T_StockCount[RM_Code],$A34,T_StockCount[WeekIndex],49)&gt;0,SUMIFS(T_StockCount[CountedQty],T_StockCount[RM_Code],$A34,T_StockCount[WeekIndex],49),IF((COUNTIFS(T_SelfStock[RM_Code],$A34,T_SelfStock[WeekIndex],49)&gt;0)*(COUNTIFS(T_TTAFStock[RM_Code],$A34,T_TTAFStock[WeekIndex],49)&gt;0)&gt;0,SUMIFS(T_SelfStock[Self_Qty],T_SelfStock[RM_Code],$A34,T_SelfStock[WeekIndex],49)+SUMIFS(T_TTAFStock[TTAF_Qty],T_TTAFStock[RM_Code],$A34,T_TTAFStock[WeekIndex],49),AW34+'Grid_Incoming'!AX34-'Grid_Requirement'!AX34))</f>
        <v/>
      </c>
      <c r="AY34">
        <f>IF(COUNTIFS(T_StockCount[RM_Code],$A34,T_StockCount[WeekIndex],50)&gt;0,SUMIFS(T_StockCount[CountedQty],T_StockCount[RM_Code],$A34,T_StockCount[WeekIndex],50),IF((COUNTIFS(T_SelfStock[RM_Code],$A34,T_SelfStock[WeekIndex],50)&gt;0)*(COUNTIFS(T_TTAFStock[RM_Code],$A34,T_TTAFStock[WeekIndex],50)&gt;0)&gt;0,SUMIFS(T_SelfStock[Self_Qty],T_SelfStock[RM_Code],$A34,T_SelfStock[WeekIndex],50)+SUMIFS(T_TTAFStock[TTAF_Qty],T_TTAFStock[RM_Code],$A34,T_TTAFStock[WeekIndex],50),AX34+'Grid_Incoming'!AY34-'Grid_Requirement'!AY34))</f>
        <v/>
      </c>
      <c r="AZ34">
        <f>IF(COUNTIFS(T_StockCount[RM_Code],$A34,T_StockCount[WeekIndex],51)&gt;0,SUMIFS(T_StockCount[CountedQty],T_StockCount[RM_Code],$A34,T_StockCount[WeekIndex],51),IF((COUNTIFS(T_SelfStock[RM_Code],$A34,T_SelfStock[WeekIndex],51)&gt;0)*(COUNTIFS(T_TTAFStock[RM_Code],$A34,T_TTAFStock[WeekIndex],51)&gt;0)&gt;0,SUMIFS(T_SelfStock[Self_Qty],T_SelfStock[RM_Code],$A34,T_SelfStock[WeekIndex],51)+SUMIFS(T_TTAFStock[TTAF_Qty],T_TTAFStock[RM_Code],$A34,T_TTAFStock[WeekIndex],51),AY34+'Grid_Incoming'!AZ34-'Grid_Requirement'!AZ34))</f>
        <v/>
      </c>
      <c r="BA34">
        <f>IF(COUNTIFS(T_StockCount[RM_Code],$A34,T_StockCount[WeekIndex],52)&gt;0,SUMIFS(T_StockCount[CountedQty],T_StockCount[RM_Code],$A34,T_StockCount[WeekIndex],52),IF((COUNTIFS(T_SelfStock[RM_Code],$A34,T_SelfStock[WeekIndex],52)&gt;0)*(COUNTIFS(T_TTAFStock[RM_Code],$A34,T_TTAFStock[WeekIndex],52)&gt;0)&gt;0,SUMIFS(T_SelfStock[Self_Qty],T_SelfStock[RM_Code],$A34,T_SelfStock[WeekIndex],52)+SUMIFS(T_TTAFStock[TTAF_Qty],T_TTAFStock[RM_Code],$A34,T_TTAFStock[WeekIndex],52),AZ34+'Grid_Incoming'!BA34-'Grid_Requirement'!BA34))</f>
        <v/>
      </c>
      <c r="BB34">
        <f>IF(COUNTIFS(T_StockCount[RM_Code],$A34,T_StockCount[WeekIndex],53)&gt;0,SUMIFS(T_StockCount[CountedQty],T_StockCount[RM_Code],$A34,T_StockCount[WeekIndex],53),IF((COUNTIFS(T_SelfStock[RM_Code],$A34,T_SelfStock[WeekIndex],53)&gt;0)*(COUNTIFS(T_TTAFStock[RM_Code],$A34,T_TTAFStock[WeekIndex],53)&gt;0)&gt;0,SUMIFS(T_SelfStock[Self_Qty],T_SelfStock[RM_Code],$A34,T_SelfStock[WeekIndex],53)+SUMIFS(T_TTAFStock[TTAF_Qty],T_TTAFStock[RM_Code],$A34,T_TTAFStock[WeekIndex],53),BA34+'Grid_Incoming'!BB34-'Grid_Requirement'!BB34))</f>
        <v/>
      </c>
      <c r="BC34">
        <f>IF(COUNTIFS(T_StockCount[RM_Code],$A34,T_StockCount[WeekIndex],54)&gt;0,SUMIFS(T_StockCount[CountedQty],T_StockCount[RM_Code],$A34,T_StockCount[WeekIndex],54),IF((COUNTIFS(T_SelfStock[RM_Code],$A34,T_SelfStock[WeekIndex],54)&gt;0)*(COUNTIFS(T_TTAFStock[RM_Code],$A34,T_TTAFStock[WeekIndex],54)&gt;0)&gt;0,SUMIFS(T_SelfStock[Self_Qty],T_SelfStock[RM_Code],$A34,T_SelfStock[WeekIndex],54)+SUMIFS(T_TTAFStock[TTAF_Qty],T_TTAFStock[RM_Code],$A34,T_TTAFStock[WeekIndex],54),BB34+'Grid_Incoming'!BC34-'Grid_Requirement'!BC34))</f>
        <v/>
      </c>
      <c r="BD34">
        <f>IF(COUNTIFS(T_StockCount[RM_Code],$A34,T_StockCount[WeekIndex],55)&gt;0,SUMIFS(T_StockCount[CountedQty],T_StockCount[RM_Code],$A34,T_StockCount[WeekIndex],55),IF((COUNTIFS(T_SelfStock[RM_Code],$A34,T_SelfStock[WeekIndex],55)&gt;0)*(COUNTIFS(T_TTAFStock[RM_Code],$A34,T_TTAFStock[WeekIndex],55)&gt;0)&gt;0,SUMIFS(T_SelfStock[Self_Qty],T_SelfStock[RM_Code],$A34,T_SelfStock[WeekIndex],55)+SUMIFS(T_TTAFStock[TTAF_Qty],T_TTAFStock[RM_Code],$A34,T_TTAFStock[WeekIndex],55),BC34+'Grid_Incoming'!BD34-'Grid_Requirement'!BD34))</f>
        <v/>
      </c>
      <c r="BE34">
        <f>IF(COUNTIFS(T_StockCount[RM_Code],$A34,T_StockCount[WeekIndex],56)&gt;0,SUMIFS(T_StockCount[CountedQty],T_StockCount[RM_Code],$A34,T_StockCount[WeekIndex],56),IF((COUNTIFS(T_SelfStock[RM_Code],$A34,T_SelfStock[WeekIndex],56)&gt;0)*(COUNTIFS(T_TTAFStock[RM_Code],$A34,T_TTAFStock[WeekIndex],56)&gt;0)&gt;0,SUMIFS(T_SelfStock[Self_Qty],T_SelfStock[RM_Code],$A34,T_SelfStock[WeekIndex],56)+SUMIFS(T_TTAFStock[TTAF_Qty],T_TTAFStock[RM_Code],$A34,T_TTAFStock[WeekIndex],56),BD34+'Grid_Incoming'!BE34-'Grid_Requirement'!BE34))</f>
        <v/>
      </c>
      <c r="BF34">
        <f>IF(COUNTIFS(T_StockCount[RM_Code],$A34,T_StockCount[WeekIndex],57)&gt;0,SUMIFS(T_StockCount[CountedQty],T_StockCount[RM_Code],$A34,T_StockCount[WeekIndex],57),IF((COUNTIFS(T_SelfStock[RM_Code],$A34,T_SelfStock[WeekIndex],57)&gt;0)*(COUNTIFS(T_TTAFStock[RM_Code],$A34,T_TTAFStock[WeekIndex],57)&gt;0)&gt;0,SUMIFS(T_SelfStock[Self_Qty],T_SelfStock[RM_Code],$A34,T_SelfStock[WeekIndex],57)+SUMIFS(T_TTAFStock[TTAF_Qty],T_TTAFStock[RM_Code],$A34,T_TTAFStock[WeekIndex],57),BE34+'Grid_Incoming'!BF34-'Grid_Requirement'!BF34))</f>
        <v/>
      </c>
      <c r="BG34">
        <f>IF(COUNTIFS(T_StockCount[RM_Code],$A34,T_StockCount[WeekIndex],58)&gt;0,SUMIFS(T_StockCount[CountedQty],T_StockCount[RM_Code],$A34,T_StockCount[WeekIndex],58),IF((COUNTIFS(T_SelfStock[RM_Code],$A34,T_SelfStock[WeekIndex],58)&gt;0)*(COUNTIFS(T_TTAFStock[RM_Code],$A34,T_TTAFStock[WeekIndex],58)&gt;0)&gt;0,SUMIFS(T_SelfStock[Self_Qty],T_SelfStock[RM_Code],$A34,T_SelfStock[WeekIndex],58)+SUMIFS(T_TTAFStock[TTAF_Qty],T_TTAFStock[RM_Code],$A34,T_TTAFStock[WeekIndex],58),BF34+'Grid_Incoming'!BG34-'Grid_Requirement'!BG34))</f>
        <v/>
      </c>
      <c r="BH34">
        <f>IF(COUNTIFS(T_StockCount[RM_Code],$A34,T_StockCount[WeekIndex],59)&gt;0,SUMIFS(T_StockCount[CountedQty],T_StockCount[RM_Code],$A34,T_StockCount[WeekIndex],59),IF((COUNTIFS(T_SelfStock[RM_Code],$A34,T_SelfStock[WeekIndex],59)&gt;0)*(COUNTIFS(T_TTAFStock[RM_Code],$A34,T_TTAFStock[WeekIndex],59)&gt;0)&gt;0,SUMIFS(T_SelfStock[Self_Qty],T_SelfStock[RM_Code],$A34,T_SelfStock[WeekIndex],59)+SUMIFS(T_TTAFStock[TTAF_Qty],T_TTAFStock[RM_Code],$A34,T_TTAFStock[WeekIndex],59),BG34+'Grid_Incoming'!BH34-'Grid_Requirement'!BH34))</f>
        <v/>
      </c>
      <c r="BI34">
        <f>IF(COUNTIFS(T_StockCount[RM_Code],$A34,T_StockCount[WeekIndex],60)&gt;0,SUMIFS(T_StockCount[CountedQty],T_StockCount[RM_Code],$A34,T_StockCount[WeekIndex],60),IF((COUNTIFS(T_SelfStock[RM_Code],$A34,T_SelfStock[WeekIndex],60)&gt;0)*(COUNTIFS(T_TTAFStock[RM_Code],$A34,T_TTAFStock[WeekIndex],60)&gt;0)&gt;0,SUMIFS(T_SelfStock[Self_Qty],T_SelfStock[RM_Code],$A34,T_SelfStock[WeekIndex],60)+SUMIFS(T_TTAFStock[TTAF_Qty],T_TTAFStock[RM_Code],$A34,T_TTAFStock[WeekIndex],60),BH34+'Grid_Incoming'!BI34-'Grid_Requirement'!BI34))</f>
        <v/>
      </c>
      <c r="BJ34">
        <f>IF(COUNTIFS(T_StockCount[RM_Code],$A34,T_StockCount[WeekIndex],61)&gt;0,SUMIFS(T_StockCount[CountedQty],T_StockCount[RM_Code],$A34,T_StockCount[WeekIndex],61),IF((COUNTIFS(T_SelfStock[RM_Code],$A34,T_SelfStock[WeekIndex],61)&gt;0)*(COUNTIFS(T_TTAFStock[RM_Code],$A34,T_TTAFStock[WeekIndex],61)&gt;0)&gt;0,SUMIFS(T_SelfStock[Self_Qty],T_SelfStock[RM_Code],$A34,T_SelfStock[WeekIndex],61)+SUMIFS(T_TTAFStock[TTAF_Qty],T_TTAFStock[RM_Code],$A34,T_TTAFStock[WeekIndex],61),BI34+'Grid_Incoming'!BJ34-'Grid_Requirement'!BJ34))</f>
        <v/>
      </c>
      <c r="BK34">
        <f>IF(COUNTIFS(T_StockCount[RM_Code],$A34,T_StockCount[WeekIndex],62)&gt;0,SUMIFS(T_StockCount[CountedQty],T_StockCount[RM_Code],$A34,T_StockCount[WeekIndex],62),IF((COUNTIFS(T_SelfStock[RM_Code],$A34,T_SelfStock[WeekIndex],62)&gt;0)*(COUNTIFS(T_TTAFStock[RM_Code],$A34,T_TTAFStock[WeekIndex],62)&gt;0)&gt;0,SUMIFS(T_SelfStock[Self_Qty],T_SelfStock[RM_Code],$A34,T_SelfStock[WeekIndex],62)+SUMIFS(T_TTAFStock[TTAF_Qty],T_TTAFStock[RM_Code],$A34,T_TTAFStock[WeekIndex],62),BJ34+'Grid_Incoming'!BK34-'Grid_Requirement'!BK34))</f>
        <v/>
      </c>
      <c r="BL34">
        <f>IF(COUNTIFS(T_StockCount[RM_Code],$A34,T_StockCount[WeekIndex],63)&gt;0,SUMIFS(T_StockCount[CountedQty],T_StockCount[RM_Code],$A34,T_StockCount[WeekIndex],63),IF((COUNTIFS(T_SelfStock[RM_Code],$A34,T_SelfStock[WeekIndex],63)&gt;0)*(COUNTIFS(T_TTAFStock[RM_Code],$A34,T_TTAFStock[WeekIndex],63)&gt;0)&gt;0,SUMIFS(T_SelfStock[Self_Qty],T_SelfStock[RM_Code],$A34,T_SelfStock[WeekIndex],63)+SUMIFS(T_TTAFStock[TTAF_Qty],T_TTAFStock[RM_Code],$A34,T_TTAFStock[WeekIndex],63),BK34+'Grid_Incoming'!BL34-'Grid_Requirement'!BL34))</f>
        <v/>
      </c>
      <c r="BM34">
        <f>IF(COUNTIFS(T_StockCount[RM_Code],$A34,T_StockCount[WeekIndex],64)&gt;0,SUMIFS(T_StockCount[CountedQty],T_StockCount[RM_Code],$A34,T_StockCount[WeekIndex],64),IF((COUNTIFS(T_SelfStock[RM_Code],$A34,T_SelfStock[WeekIndex],64)&gt;0)*(COUNTIFS(T_TTAFStock[RM_Code],$A34,T_TTAFStock[WeekIndex],64)&gt;0)&gt;0,SUMIFS(T_SelfStock[Self_Qty],T_SelfStock[RM_Code],$A34,T_SelfStock[WeekIndex],64)+SUMIFS(T_TTAFStock[TTAF_Qty],T_TTAFStock[RM_Code],$A34,T_TTAFStock[WeekIndex],64),BL34+'Grid_Incoming'!BM34-'Grid_Requirement'!BM34))</f>
        <v/>
      </c>
      <c r="BN34">
        <f>IF(COUNTIFS(T_StockCount[RM_Code],$A34,T_StockCount[WeekIndex],65)&gt;0,SUMIFS(T_StockCount[CountedQty],T_StockCount[RM_Code],$A34,T_StockCount[WeekIndex],65),IF((COUNTIFS(T_SelfStock[RM_Code],$A34,T_SelfStock[WeekIndex],65)&gt;0)*(COUNTIFS(T_TTAFStock[RM_Code],$A34,T_TTAFStock[WeekIndex],65)&gt;0)&gt;0,SUMIFS(T_SelfStock[Self_Qty],T_SelfStock[RM_Code],$A34,T_SelfStock[WeekIndex],65)+SUMIFS(T_TTAFStock[TTAF_Qty],T_TTAFStock[RM_Code],$A34,T_TTAFStock[WeekIndex],65),BM34+'Grid_Incoming'!BN34-'Grid_Requirement'!BN34))</f>
        <v/>
      </c>
      <c r="BO34">
        <f>IF(COUNTIFS(T_StockCount[RM_Code],$A34,T_StockCount[WeekIndex],66)&gt;0,SUMIFS(T_StockCount[CountedQty],T_StockCount[RM_Code],$A34,T_StockCount[WeekIndex],66),IF((COUNTIFS(T_SelfStock[RM_Code],$A34,T_SelfStock[WeekIndex],66)&gt;0)*(COUNTIFS(T_TTAFStock[RM_Code],$A34,T_TTAFStock[WeekIndex],66)&gt;0)&gt;0,SUMIFS(T_SelfStock[Self_Qty],T_SelfStock[RM_Code],$A34,T_SelfStock[WeekIndex],66)+SUMIFS(T_TTAFStock[TTAF_Qty],T_TTAFStock[RM_Code],$A34,T_TTAFStock[WeekIndex],66),BN34+'Grid_Incoming'!BO34-'Grid_Requirement'!BO34))</f>
        <v/>
      </c>
      <c r="BP34">
        <f>IF(COUNTIFS(T_StockCount[RM_Code],$A34,T_StockCount[WeekIndex],67)&gt;0,SUMIFS(T_StockCount[CountedQty],T_StockCount[RM_Code],$A34,T_StockCount[WeekIndex],67),IF((COUNTIFS(T_SelfStock[RM_Code],$A34,T_SelfStock[WeekIndex],67)&gt;0)*(COUNTIFS(T_TTAFStock[RM_Code],$A34,T_TTAFStock[WeekIndex],67)&gt;0)&gt;0,SUMIFS(T_SelfStock[Self_Qty],T_SelfStock[RM_Code],$A34,T_SelfStock[WeekIndex],67)+SUMIFS(T_TTAFStock[TTAF_Qty],T_TTAFStock[RM_Code],$A34,T_TTAFStock[WeekIndex],67),BO34+'Grid_Incoming'!BP34-'Grid_Requirement'!BP34))</f>
        <v/>
      </c>
      <c r="BQ34">
        <f>IF(COUNTIFS(T_StockCount[RM_Code],$A34,T_StockCount[WeekIndex],68)&gt;0,SUMIFS(T_StockCount[CountedQty],T_StockCount[RM_Code],$A34,T_StockCount[WeekIndex],68),IF((COUNTIFS(T_SelfStock[RM_Code],$A34,T_SelfStock[WeekIndex],68)&gt;0)*(COUNTIFS(T_TTAFStock[RM_Code],$A34,T_TTAFStock[WeekIndex],68)&gt;0)&gt;0,SUMIFS(T_SelfStock[Self_Qty],T_SelfStock[RM_Code],$A34,T_SelfStock[WeekIndex],68)+SUMIFS(T_TTAFStock[TTAF_Qty],T_TTAFStock[RM_Code],$A34,T_TTAFStock[WeekIndex],68),BP34+'Grid_Incoming'!BQ34-'Grid_Requirement'!BQ34))</f>
        <v/>
      </c>
      <c r="BR34">
        <f>IF(COUNTIFS(T_StockCount[RM_Code],$A34,T_StockCount[WeekIndex],69)&gt;0,SUMIFS(T_StockCount[CountedQty],T_StockCount[RM_Code],$A34,T_StockCount[WeekIndex],69),IF((COUNTIFS(T_SelfStock[RM_Code],$A34,T_SelfStock[WeekIndex],69)&gt;0)*(COUNTIFS(T_TTAFStock[RM_Code],$A34,T_TTAFStock[WeekIndex],69)&gt;0)&gt;0,SUMIFS(T_SelfStock[Self_Qty],T_SelfStock[RM_Code],$A34,T_SelfStock[WeekIndex],69)+SUMIFS(T_TTAFStock[TTAF_Qty],T_TTAFStock[RM_Code],$A34,T_TTAFStock[WeekIndex],69),BQ34+'Grid_Incoming'!BR34-'Grid_Requirement'!BR34))</f>
        <v/>
      </c>
      <c r="BS34">
        <f>IF(COUNTIFS(T_StockCount[RM_Code],$A34,T_StockCount[WeekIndex],70)&gt;0,SUMIFS(T_StockCount[CountedQty],T_StockCount[RM_Code],$A34,T_StockCount[WeekIndex],70),IF((COUNTIFS(T_SelfStock[RM_Code],$A34,T_SelfStock[WeekIndex],70)&gt;0)*(COUNTIFS(T_TTAFStock[RM_Code],$A34,T_TTAFStock[WeekIndex],70)&gt;0)&gt;0,SUMIFS(T_SelfStock[Self_Qty],T_SelfStock[RM_Code],$A34,T_SelfStock[WeekIndex],70)+SUMIFS(T_TTAFStock[TTAF_Qty],T_TTAFStock[RM_Code],$A34,T_TTAFStock[WeekIndex],70),BR34+'Grid_Incoming'!BS34-'Grid_Requirement'!BS34))</f>
        <v/>
      </c>
      <c r="BT34">
        <f>IF(COUNTIFS(T_StockCount[RM_Code],$A34,T_StockCount[WeekIndex],71)&gt;0,SUMIFS(T_StockCount[CountedQty],T_StockCount[RM_Code],$A34,T_StockCount[WeekIndex],71),IF((COUNTIFS(T_SelfStock[RM_Code],$A34,T_SelfStock[WeekIndex],71)&gt;0)*(COUNTIFS(T_TTAFStock[RM_Code],$A34,T_TTAFStock[WeekIndex],71)&gt;0)&gt;0,SUMIFS(T_SelfStock[Self_Qty],T_SelfStock[RM_Code],$A34,T_SelfStock[WeekIndex],71)+SUMIFS(T_TTAFStock[TTAF_Qty],T_TTAFStock[RM_Code],$A34,T_TTAFStock[WeekIndex],71),BS34+'Grid_Incoming'!BT34-'Grid_Requirement'!BT34))</f>
        <v/>
      </c>
      <c r="BU34">
        <f>IF(COUNTIFS(T_StockCount[RM_Code],$A34,T_StockCount[WeekIndex],72)&gt;0,SUMIFS(T_StockCount[CountedQty],T_StockCount[RM_Code],$A34,T_StockCount[WeekIndex],72),IF((COUNTIFS(T_SelfStock[RM_Code],$A34,T_SelfStock[WeekIndex],72)&gt;0)*(COUNTIFS(T_TTAFStock[RM_Code],$A34,T_TTAFStock[WeekIndex],72)&gt;0)&gt;0,SUMIFS(T_SelfStock[Self_Qty],T_SelfStock[RM_Code],$A34,T_SelfStock[WeekIndex],72)+SUMIFS(T_TTAFStock[TTAF_Qty],T_TTAFStock[RM_Code],$A34,T_TTAFStock[WeekIndex],72),BT34+'Grid_Incoming'!BU34-'Grid_Requirement'!BU34))</f>
        <v/>
      </c>
      <c r="BV34">
        <f>IF(COUNTIFS(T_StockCount[RM_Code],$A34,T_StockCount[WeekIndex],73)&gt;0,SUMIFS(T_StockCount[CountedQty],T_StockCount[RM_Code],$A34,T_StockCount[WeekIndex],73),IF((COUNTIFS(T_SelfStock[RM_Code],$A34,T_SelfStock[WeekIndex],73)&gt;0)*(COUNTIFS(T_TTAFStock[RM_Code],$A34,T_TTAFStock[WeekIndex],73)&gt;0)&gt;0,SUMIFS(T_SelfStock[Self_Qty],T_SelfStock[RM_Code],$A34,T_SelfStock[WeekIndex],73)+SUMIFS(T_TTAFStock[TTAF_Qty],T_TTAFStock[RM_Code],$A34,T_TTAFStock[WeekIndex],73),BU34+'Grid_Incoming'!BV34-'Grid_Requirement'!BV34))</f>
        <v/>
      </c>
      <c r="BW34">
        <f>IF(COUNTIFS(T_StockCount[RM_Code],$A34,T_StockCount[WeekIndex],74)&gt;0,SUMIFS(T_StockCount[CountedQty],T_StockCount[RM_Code],$A34,T_StockCount[WeekIndex],74),IF((COUNTIFS(T_SelfStock[RM_Code],$A34,T_SelfStock[WeekIndex],74)&gt;0)*(COUNTIFS(T_TTAFStock[RM_Code],$A34,T_TTAFStock[WeekIndex],74)&gt;0)&gt;0,SUMIFS(T_SelfStock[Self_Qty],T_SelfStock[RM_Code],$A34,T_SelfStock[WeekIndex],74)+SUMIFS(T_TTAFStock[TTAF_Qty],T_TTAFStock[RM_Code],$A34,T_TTAFStock[WeekIndex],74),BV34+'Grid_Incoming'!BW34-'Grid_Requirement'!BW34))</f>
        <v/>
      </c>
      <c r="BX34">
        <f>IF(COUNTIFS(T_StockCount[RM_Code],$A34,T_StockCount[WeekIndex],75)&gt;0,SUMIFS(T_StockCount[CountedQty],T_StockCount[RM_Code],$A34,T_StockCount[WeekIndex],75),IF((COUNTIFS(T_SelfStock[RM_Code],$A34,T_SelfStock[WeekIndex],75)&gt;0)*(COUNTIFS(T_TTAFStock[RM_Code],$A34,T_TTAFStock[WeekIndex],75)&gt;0)&gt;0,SUMIFS(T_SelfStock[Self_Qty],T_SelfStock[RM_Code],$A34,T_SelfStock[WeekIndex],75)+SUMIFS(T_TTAFStock[TTAF_Qty],T_TTAFStock[RM_Code],$A34,T_TTAFStock[WeekIndex],75),BW34+'Grid_Incoming'!BX34-'Grid_Requirement'!BX34))</f>
        <v/>
      </c>
      <c r="BY34">
        <f>IF(COUNTIFS(T_StockCount[RM_Code],$A34,T_StockCount[WeekIndex],76)&gt;0,SUMIFS(T_StockCount[CountedQty],T_StockCount[RM_Code],$A34,T_StockCount[WeekIndex],76),IF((COUNTIFS(T_SelfStock[RM_Code],$A34,T_SelfStock[WeekIndex],76)&gt;0)*(COUNTIFS(T_TTAFStock[RM_Code],$A34,T_TTAFStock[WeekIndex],76)&gt;0)&gt;0,SUMIFS(T_SelfStock[Self_Qty],T_SelfStock[RM_Code],$A34,T_SelfStock[WeekIndex],76)+SUMIFS(T_TTAFStock[TTAF_Qty],T_TTAFStock[RM_Code],$A34,T_TTAFStock[WeekIndex],76),BX34+'Grid_Incoming'!BY34-'Grid_Requirement'!BY34))</f>
        <v/>
      </c>
      <c r="BZ34">
        <f>IF(COUNTIFS(T_StockCount[RM_Code],$A34,T_StockCount[WeekIndex],77)&gt;0,SUMIFS(T_StockCount[CountedQty],T_StockCount[RM_Code],$A34,T_StockCount[WeekIndex],77),IF((COUNTIFS(T_SelfStock[RM_Code],$A34,T_SelfStock[WeekIndex],77)&gt;0)*(COUNTIFS(T_TTAFStock[RM_Code],$A34,T_TTAFStock[WeekIndex],77)&gt;0)&gt;0,SUMIFS(T_SelfStock[Self_Qty],T_SelfStock[RM_Code],$A34,T_SelfStock[WeekIndex],77)+SUMIFS(T_TTAFStock[TTAF_Qty],T_TTAFStock[RM_Code],$A34,T_TTAFStock[WeekIndex],77),BY34+'Grid_Incoming'!BZ34-'Grid_Requirement'!BZ34))</f>
        <v/>
      </c>
      <c r="CA34">
        <f>IF(COUNTIFS(T_StockCount[RM_Code],$A34,T_StockCount[WeekIndex],78)&gt;0,SUMIFS(T_StockCount[CountedQty],T_StockCount[RM_Code],$A34,T_StockCount[WeekIndex],78),IF((COUNTIFS(T_SelfStock[RM_Code],$A34,T_SelfStock[WeekIndex],78)&gt;0)*(COUNTIFS(T_TTAFStock[RM_Code],$A34,T_TTAFStock[WeekIndex],78)&gt;0)&gt;0,SUMIFS(T_SelfStock[Self_Qty],T_SelfStock[RM_Code],$A34,T_SelfStock[WeekIndex],78)+SUMIFS(T_TTAFStock[TTAF_Qty],T_TTAFStock[RM_Code],$A34,T_TTAFStock[WeekIndex],78),BZ34+'Grid_Incoming'!CA34-'Grid_Requirement'!CA34))</f>
        <v/>
      </c>
      <c r="CB34">
        <f>IF(COUNTIFS(T_StockCount[RM_Code],$A34,T_StockCount[WeekIndex],79)&gt;0,SUMIFS(T_StockCount[CountedQty],T_StockCount[RM_Code],$A34,T_StockCount[WeekIndex],79),IF((COUNTIFS(T_SelfStock[RM_Code],$A34,T_SelfStock[WeekIndex],79)&gt;0)*(COUNTIFS(T_TTAFStock[RM_Code],$A34,T_TTAFStock[WeekIndex],79)&gt;0)&gt;0,SUMIFS(T_SelfStock[Self_Qty],T_SelfStock[RM_Code],$A34,T_SelfStock[WeekIndex],79)+SUMIFS(T_TTAFStock[TTAF_Qty],T_TTAFStock[RM_Code],$A34,T_TTAFStock[WeekIndex],79),CA34+'Grid_Incoming'!CB34-'Grid_Requirement'!CB34))</f>
        <v/>
      </c>
      <c r="CC34">
        <f>IF(COUNTIFS(T_StockCount[RM_Code],$A34,T_StockCount[WeekIndex],80)&gt;0,SUMIFS(T_StockCount[CountedQty],T_StockCount[RM_Code],$A34,T_StockCount[WeekIndex],80),IF((COUNTIFS(T_SelfStock[RM_Code],$A34,T_SelfStock[WeekIndex],80)&gt;0)*(COUNTIFS(T_TTAFStock[RM_Code],$A34,T_TTAFStock[WeekIndex],80)&gt;0)&gt;0,SUMIFS(T_SelfStock[Self_Qty],T_SelfStock[RM_Code],$A34,T_SelfStock[WeekIndex],80)+SUMIFS(T_TTAFStock[TTAF_Qty],T_TTAFStock[RM_Code],$A34,T_TTAFStock[WeekIndex],80),CB34+'Grid_Incoming'!CC34-'Grid_Requirement'!CC34))</f>
        <v/>
      </c>
      <c r="CD34">
        <f>IF(COUNTIFS(T_StockCount[RM_Code],$A34,T_StockCount[WeekIndex],81)&gt;0,SUMIFS(T_StockCount[CountedQty],T_StockCount[RM_Code],$A34,T_StockCount[WeekIndex],81),IF((COUNTIFS(T_SelfStock[RM_Code],$A34,T_SelfStock[WeekIndex],81)&gt;0)*(COUNTIFS(T_TTAFStock[RM_Code],$A34,T_TTAFStock[WeekIndex],81)&gt;0)&gt;0,SUMIFS(T_SelfStock[Self_Qty],T_SelfStock[RM_Code],$A34,T_SelfStock[WeekIndex],81)+SUMIFS(T_TTAFStock[TTAF_Qty],T_TTAFStock[RM_Code],$A34,T_TTAFStock[WeekIndex],81),CC34+'Grid_Incoming'!CD34-'Grid_Requirement'!CD34))</f>
        <v/>
      </c>
      <c r="CE34">
        <f>IF(COUNTIFS(T_StockCount[RM_Code],$A34,T_StockCount[WeekIndex],82)&gt;0,SUMIFS(T_StockCount[CountedQty],T_StockCount[RM_Code],$A34,T_StockCount[WeekIndex],82),IF((COUNTIFS(T_SelfStock[RM_Code],$A34,T_SelfStock[WeekIndex],82)&gt;0)*(COUNTIFS(T_TTAFStock[RM_Code],$A34,T_TTAFStock[WeekIndex],82)&gt;0)&gt;0,SUMIFS(T_SelfStock[Self_Qty],T_SelfStock[RM_Code],$A34,T_SelfStock[WeekIndex],82)+SUMIFS(T_TTAFStock[TTAF_Qty],T_TTAFStock[RM_Code],$A34,T_TTAFStock[WeekIndex],82),CD34+'Grid_Incoming'!CE34-'Grid_Requirement'!CE34))</f>
        <v/>
      </c>
      <c r="CF34">
        <f>IF(COUNTIFS(T_StockCount[RM_Code],$A34,T_StockCount[WeekIndex],83)&gt;0,SUMIFS(T_StockCount[CountedQty],T_StockCount[RM_Code],$A34,T_StockCount[WeekIndex],83),IF((COUNTIFS(T_SelfStock[RM_Code],$A34,T_SelfStock[WeekIndex],83)&gt;0)*(COUNTIFS(T_TTAFStock[RM_Code],$A34,T_TTAFStock[WeekIndex],83)&gt;0)&gt;0,SUMIFS(T_SelfStock[Self_Qty],T_SelfStock[RM_Code],$A34,T_SelfStock[WeekIndex],83)+SUMIFS(T_TTAFStock[TTAF_Qty],T_TTAFStock[RM_Code],$A34,T_TTAFStock[WeekIndex],83),CE34+'Grid_Incoming'!CF34-'Grid_Requirement'!CF34))</f>
        <v/>
      </c>
      <c r="CG34">
        <f>IF(COUNTIFS(T_StockCount[RM_Code],$A34,T_StockCount[WeekIndex],84)&gt;0,SUMIFS(T_StockCount[CountedQty],T_StockCount[RM_Code],$A34,T_StockCount[WeekIndex],84),IF((COUNTIFS(T_SelfStock[RM_Code],$A34,T_SelfStock[WeekIndex],84)&gt;0)*(COUNTIFS(T_TTAFStock[RM_Code],$A34,T_TTAFStock[WeekIndex],84)&gt;0)&gt;0,SUMIFS(T_SelfStock[Self_Qty],T_SelfStock[RM_Code],$A34,T_SelfStock[WeekIndex],84)+SUMIFS(T_TTAFStock[TTAF_Qty],T_TTAFStock[RM_Code],$A34,T_TTAFStock[WeekIndex],84),CF34+'Grid_Incoming'!CG34-'Grid_Requirement'!CG34))</f>
        <v/>
      </c>
      <c r="CH34">
        <f>IF(COUNTIFS(T_StockCount[RM_Code],$A34,T_StockCount[WeekIndex],85)&gt;0,SUMIFS(T_StockCount[CountedQty],T_StockCount[RM_Code],$A34,T_StockCount[WeekIndex],85),IF((COUNTIFS(T_SelfStock[RM_Code],$A34,T_SelfStock[WeekIndex],85)&gt;0)*(COUNTIFS(T_TTAFStock[RM_Code],$A34,T_TTAFStock[WeekIndex],85)&gt;0)&gt;0,SUMIFS(T_SelfStock[Self_Qty],T_SelfStock[RM_Code],$A34,T_SelfStock[WeekIndex],85)+SUMIFS(T_TTAFStock[TTAF_Qty],T_TTAFStock[RM_Code],$A34,T_TTAFStock[WeekIndex],85),CG34+'Grid_Incoming'!CH34-'Grid_Requirement'!CH34))</f>
        <v/>
      </c>
      <c r="CI34">
        <f>IF(COUNTIFS(T_StockCount[RM_Code],$A34,T_StockCount[WeekIndex],86)&gt;0,SUMIFS(T_StockCount[CountedQty],T_StockCount[RM_Code],$A34,T_StockCount[WeekIndex],86),IF((COUNTIFS(T_SelfStock[RM_Code],$A34,T_SelfStock[WeekIndex],86)&gt;0)*(COUNTIFS(T_TTAFStock[RM_Code],$A34,T_TTAFStock[WeekIndex],86)&gt;0)&gt;0,SUMIFS(T_SelfStock[Self_Qty],T_SelfStock[RM_Code],$A34,T_SelfStock[WeekIndex],86)+SUMIFS(T_TTAFStock[TTAF_Qty],T_TTAFStock[RM_Code],$A34,T_TTAFStock[WeekIndex],86),CH34+'Grid_Incoming'!CI34-'Grid_Requirement'!CI34))</f>
        <v/>
      </c>
      <c r="CJ34">
        <f>IF(COUNTIFS(T_StockCount[RM_Code],$A34,T_StockCount[WeekIndex],87)&gt;0,SUMIFS(T_StockCount[CountedQty],T_StockCount[RM_Code],$A34,T_StockCount[WeekIndex],87),IF((COUNTIFS(T_SelfStock[RM_Code],$A34,T_SelfStock[WeekIndex],87)&gt;0)*(COUNTIFS(T_TTAFStock[RM_Code],$A34,T_TTAFStock[WeekIndex],87)&gt;0)&gt;0,SUMIFS(T_SelfStock[Self_Qty],T_SelfStock[RM_Code],$A34,T_SelfStock[WeekIndex],87)+SUMIFS(T_TTAFStock[TTAF_Qty],T_TTAFStock[RM_Code],$A34,T_TTAFStock[WeekIndex],87),CI34+'Grid_Incoming'!CJ34-'Grid_Requirement'!CJ34))</f>
        <v/>
      </c>
      <c r="CK34">
        <f>IF(COUNTIFS(T_StockCount[RM_Code],$A34,T_StockCount[WeekIndex],88)&gt;0,SUMIFS(T_StockCount[CountedQty],T_StockCount[RM_Code],$A34,T_StockCount[WeekIndex],88),IF((COUNTIFS(T_SelfStock[RM_Code],$A34,T_SelfStock[WeekIndex],88)&gt;0)*(COUNTIFS(T_TTAFStock[RM_Code],$A34,T_TTAFStock[WeekIndex],88)&gt;0)&gt;0,SUMIFS(T_SelfStock[Self_Qty],T_SelfStock[RM_Code],$A34,T_SelfStock[WeekIndex],88)+SUMIFS(T_TTAFStock[TTAF_Qty],T_TTAFStock[RM_Code],$A34,T_TTAFStock[WeekIndex],88),CJ34+'Grid_Incoming'!CK34-'Grid_Requirement'!CK34))</f>
        <v/>
      </c>
      <c r="CL34">
        <f>IF(COUNTIFS(T_StockCount[RM_Code],$A34,T_StockCount[WeekIndex],89)&gt;0,SUMIFS(T_StockCount[CountedQty],T_StockCount[RM_Code],$A34,T_StockCount[WeekIndex],89),IF((COUNTIFS(T_SelfStock[RM_Code],$A34,T_SelfStock[WeekIndex],89)&gt;0)*(COUNTIFS(T_TTAFStock[RM_Code],$A34,T_TTAFStock[WeekIndex],89)&gt;0)&gt;0,SUMIFS(T_SelfStock[Self_Qty],T_SelfStock[RM_Code],$A34,T_SelfStock[WeekIndex],89)+SUMIFS(T_TTAFStock[TTAF_Qty],T_TTAFStock[RM_Code],$A34,T_TTAFStock[WeekIndex],89),CK34+'Grid_Incoming'!CL34-'Grid_Requirement'!CL34))</f>
        <v/>
      </c>
      <c r="CM34">
        <f>IF(COUNTIFS(T_StockCount[RM_Code],$A34,T_StockCount[WeekIndex],90)&gt;0,SUMIFS(T_StockCount[CountedQty],T_StockCount[RM_Code],$A34,T_StockCount[WeekIndex],90),IF((COUNTIFS(T_SelfStock[RM_Code],$A34,T_SelfStock[WeekIndex],90)&gt;0)*(COUNTIFS(T_TTAFStock[RM_Code],$A34,T_TTAFStock[WeekIndex],90)&gt;0)&gt;0,SUMIFS(T_SelfStock[Self_Qty],T_SelfStock[RM_Code],$A34,T_SelfStock[WeekIndex],90)+SUMIFS(T_TTAFStock[TTAF_Qty],T_TTAFStock[RM_Code],$A34,T_TTAFStock[WeekIndex],90),CL34+'Grid_Incoming'!CM34-'Grid_Requirement'!CM34))</f>
        <v/>
      </c>
      <c r="CN34">
        <f>IF(COUNTIFS(T_StockCount[RM_Code],$A34,T_StockCount[WeekIndex],91)&gt;0,SUMIFS(T_StockCount[CountedQty],T_StockCount[RM_Code],$A34,T_StockCount[WeekIndex],91),IF((COUNTIFS(T_SelfStock[RM_Code],$A34,T_SelfStock[WeekIndex],91)&gt;0)*(COUNTIFS(T_TTAFStock[RM_Code],$A34,T_TTAFStock[WeekIndex],91)&gt;0)&gt;0,SUMIFS(T_SelfStock[Self_Qty],T_SelfStock[RM_Code],$A34,T_SelfStock[WeekIndex],91)+SUMIFS(T_TTAFStock[TTAF_Qty],T_TTAFStock[RM_Code],$A34,T_TTAFStock[WeekIndex],91),CM34+'Grid_Incoming'!CN34-'Grid_Requirement'!CN34))</f>
        <v/>
      </c>
      <c r="CO34">
        <f>IF(COUNTIFS(T_StockCount[RM_Code],$A34,T_StockCount[WeekIndex],92)&gt;0,SUMIFS(T_StockCount[CountedQty],T_StockCount[RM_Code],$A34,T_StockCount[WeekIndex],92),IF((COUNTIFS(T_SelfStock[RM_Code],$A34,T_SelfStock[WeekIndex],92)&gt;0)*(COUNTIFS(T_TTAFStock[RM_Code],$A34,T_TTAFStock[WeekIndex],92)&gt;0)&gt;0,SUMIFS(T_SelfStock[Self_Qty],T_SelfStock[RM_Code],$A34,T_SelfStock[WeekIndex],92)+SUMIFS(T_TTAFStock[TTAF_Qty],T_TTAFStock[RM_Code],$A34,T_TTAFStock[WeekIndex],92),CN34+'Grid_Incoming'!CO34-'Grid_Requirement'!CO34))</f>
        <v/>
      </c>
      <c r="CP34">
        <f>IF(COUNTIFS(T_StockCount[RM_Code],$A34,T_StockCount[WeekIndex],93)&gt;0,SUMIFS(T_StockCount[CountedQty],T_StockCount[RM_Code],$A34,T_StockCount[WeekIndex],93),IF((COUNTIFS(T_SelfStock[RM_Code],$A34,T_SelfStock[WeekIndex],93)&gt;0)*(COUNTIFS(T_TTAFStock[RM_Code],$A34,T_TTAFStock[WeekIndex],93)&gt;0)&gt;0,SUMIFS(T_SelfStock[Self_Qty],T_SelfStock[RM_Code],$A34,T_SelfStock[WeekIndex],93)+SUMIFS(T_TTAFStock[TTAF_Qty],T_TTAFStock[RM_Code],$A34,T_TTAFStock[WeekIndex],93),CO34+'Grid_Incoming'!CP34-'Grid_Requirement'!CP34))</f>
        <v/>
      </c>
      <c r="CQ34">
        <f>IF(COUNTIFS(T_StockCount[RM_Code],$A34,T_StockCount[WeekIndex],94)&gt;0,SUMIFS(T_StockCount[CountedQty],T_StockCount[RM_Code],$A34,T_StockCount[WeekIndex],94),IF((COUNTIFS(T_SelfStock[RM_Code],$A34,T_SelfStock[WeekIndex],94)&gt;0)*(COUNTIFS(T_TTAFStock[RM_Code],$A34,T_TTAFStock[WeekIndex],94)&gt;0)&gt;0,SUMIFS(T_SelfStock[Self_Qty],T_SelfStock[RM_Code],$A34,T_SelfStock[WeekIndex],94)+SUMIFS(T_TTAFStock[TTAF_Qty],T_TTAFStock[RM_Code],$A34,T_TTAFStock[WeekIndex],94),CP34+'Grid_Incoming'!CQ34-'Grid_Requirement'!CQ34))</f>
        <v/>
      </c>
      <c r="CR34">
        <f>IF(COUNTIFS(T_StockCount[RM_Code],$A34,T_StockCount[WeekIndex],95)&gt;0,SUMIFS(T_StockCount[CountedQty],T_StockCount[RM_Code],$A34,T_StockCount[WeekIndex],95),IF((COUNTIFS(T_SelfStock[RM_Code],$A34,T_SelfStock[WeekIndex],95)&gt;0)*(COUNTIFS(T_TTAFStock[RM_Code],$A34,T_TTAFStock[WeekIndex],95)&gt;0)&gt;0,SUMIFS(T_SelfStock[Self_Qty],T_SelfStock[RM_Code],$A34,T_SelfStock[WeekIndex],95)+SUMIFS(T_TTAFStock[TTAF_Qty],T_TTAFStock[RM_Code],$A34,T_TTAFStock[WeekIndex],95),CQ34+'Grid_Incoming'!CR34-'Grid_Requirement'!CR34))</f>
        <v/>
      </c>
      <c r="CS34">
        <f>IF(COUNTIFS(T_StockCount[RM_Code],$A34,T_StockCount[WeekIndex],96)&gt;0,SUMIFS(T_StockCount[CountedQty],T_StockCount[RM_Code],$A34,T_StockCount[WeekIndex],96),IF((COUNTIFS(T_SelfStock[RM_Code],$A34,T_SelfStock[WeekIndex],96)&gt;0)*(COUNTIFS(T_TTAFStock[RM_Code],$A34,T_TTAFStock[WeekIndex],96)&gt;0)&gt;0,SUMIFS(T_SelfStock[Self_Qty],T_SelfStock[RM_Code],$A34,T_SelfStock[WeekIndex],96)+SUMIFS(T_TTAFStock[TTAF_Qty],T_TTAFStock[RM_Code],$A34,T_TTAFStock[WeekIndex],96),CR34+'Grid_Incoming'!CS34-'Grid_Requirement'!CS34))</f>
        <v/>
      </c>
      <c r="CT34">
        <f>IF(COUNTIFS(T_StockCount[RM_Code],$A34,T_StockCount[WeekIndex],97)&gt;0,SUMIFS(T_StockCount[CountedQty],T_StockCount[RM_Code],$A34,T_StockCount[WeekIndex],97),IF((COUNTIFS(T_SelfStock[RM_Code],$A34,T_SelfStock[WeekIndex],97)&gt;0)*(COUNTIFS(T_TTAFStock[RM_Code],$A34,T_TTAFStock[WeekIndex],97)&gt;0)&gt;0,SUMIFS(T_SelfStock[Self_Qty],T_SelfStock[RM_Code],$A34,T_SelfStock[WeekIndex],97)+SUMIFS(T_TTAFStock[TTAF_Qty],T_TTAFStock[RM_Code],$A34,T_TTAFStock[WeekIndex],97),CS34+'Grid_Incoming'!CT34-'Grid_Requirement'!CT34))</f>
        <v/>
      </c>
      <c r="CU34">
        <f>IF(COUNTIFS(T_StockCount[RM_Code],$A34,T_StockCount[WeekIndex],98)&gt;0,SUMIFS(T_StockCount[CountedQty],T_StockCount[RM_Code],$A34,T_StockCount[WeekIndex],98),IF((COUNTIFS(T_SelfStock[RM_Code],$A34,T_SelfStock[WeekIndex],98)&gt;0)*(COUNTIFS(T_TTAFStock[RM_Code],$A34,T_TTAFStock[WeekIndex],98)&gt;0)&gt;0,SUMIFS(T_SelfStock[Self_Qty],T_SelfStock[RM_Code],$A34,T_SelfStock[WeekIndex],98)+SUMIFS(T_TTAFStock[TTAF_Qty],T_TTAFStock[RM_Code],$A34,T_TTAFStock[WeekIndex],98),CT34+'Grid_Incoming'!CU34-'Grid_Requirement'!CU34))</f>
        <v/>
      </c>
      <c r="CV34">
        <f>IF(COUNTIFS(T_StockCount[RM_Code],$A34,T_StockCount[WeekIndex],99)&gt;0,SUMIFS(T_StockCount[CountedQty],T_StockCount[RM_Code],$A34,T_StockCount[WeekIndex],99),IF((COUNTIFS(T_SelfStock[RM_Code],$A34,T_SelfStock[WeekIndex],99)&gt;0)*(COUNTIFS(T_TTAFStock[RM_Code],$A34,T_TTAFStock[WeekIndex],99)&gt;0)&gt;0,SUMIFS(T_SelfStock[Self_Qty],T_SelfStock[RM_Code],$A34,T_SelfStock[WeekIndex],99)+SUMIFS(T_TTAFStock[TTAF_Qty],T_TTAFStock[RM_Code],$A34,T_TTAFStock[WeekIndex],99),CU34+'Grid_Incoming'!CV34-'Grid_Requirement'!CV34))</f>
        <v/>
      </c>
      <c r="CW34">
        <f>IF(COUNTIFS(T_StockCount[RM_Code],$A34,T_StockCount[WeekIndex],100)&gt;0,SUMIFS(T_StockCount[CountedQty],T_StockCount[RM_Code],$A34,T_StockCount[WeekIndex],100),IF((COUNTIFS(T_SelfStock[RM_Code],$A34,T_SelfStock[WeekIndex],100)&gt;0)*(COUNTIFS(T_TTAFStock[RM_Code],$A34,T_TTAFStock[WeekIndex],100)&gt;0)&gt;0,SUMIFS(T_SelfStock[Self_Qty],T_SelfStock[RM_Code],$A34,T_SelfStock[WeekIndex],100)+SUMIFS(T_TTAFStock[TTAF_Qty],T_TTAFStock[RM_Code],$A34,T_TTAFStock[WeekIndex],100),CV34+'Grid_Incoming'!CW34-'Grid_Requirement'!CW34))</f>
        <v/>
      </c>
      <c r="CX34">
        <f>IF(COUNTIFS(T_StockCount[RM_Code],$A34,T_StockCount[WeekIndex],101)&gt;0,SUMIFS(T_StockCount[CountedQty],T_StockCount[RM_Code],$A34,T_StockCount[WeekIndex],101),IF((COUNTIFS(T_SelfStock[RM_Code],$A34,T_SelfStock[WeekIndex],101)&gt;0)*(COUNTIFS(T_TTAFStock[RM_Code],$A34,T_TTAFStock[WeekIndex],101)&gt;0)&gt;0,SUMIFS(T_SelfStock[Self_Qty],T_SelfStock[RM_Code],$A34,T_SelfStock[WeekIndex],101)+SUMIFS(T_TTAFStock[TTAF_Qty],T_TTAFStock[RM_Code],$A34,T_TTAFStock[WeekIndex],101),CW34+'Grid_Incoming'!CX34-'Grid_Requirement'!CX34))</f>
        <v/>
      </c>
      <c r="CY34">
        <f>IF(COUNTIFS(T_StockCount[RM_Code],$A34,T_StockCount[WeekIndex],102)&gt;0,SUMIFS(T_StockCount[CountedQty],T_StockCount[RM_Code],$A34,T_StockCount[WeekIndex],102),IF((COUNTIFS(T_SelfStock[RM_Code],$A34,T_SelfStock[WeekIndex],102)&gt;0)*(COUNTIFS(T_TTAFStock[RM_Code],$A34,T_TTAFStock[WeekIndex],102)&gt;0)&gt;0,SUMIFS(T_SelfStock[Self_Qty],T_SelfStock[RM_Code],$A34,T_SelfStock[WeekIndex],102)+SUMIFS(T_TTAFStock[TTAF_Qty],T_TTAFStock[RM_Code],$A34,T_TTAFStock[WeekIndex],102),CX34+'Grid_Incoming'!CY34-'Grid_Requirement'!CY34))</f>
        <v/>
      </c>
      <c r="CZ34">
        <f>IF(COUNTIFS(T_StockCount[RM_Code],$A34,T_StockCount[WeekIndex],103)&gt;0,SUMIFS(T_StockCount[CountedQty],T_StockCount[RM_Code],$A34,T_StockCount[WeekIndex],103),IF((COUNTIFS(T_SelfStock[RM_Code],$A34,T_SelfStock[WeekIndex],103)&gt;0)*(COUNTIFS(T_TTAFStock[RM_Code],$A34,T_TTAFStock[WeekIndex],103)&gt;0)&gt;0,SUMIFS(T_SelfStock[Self_Qty],T_SelfStock[RM_Code],$A34,T_SelfStock[WeekIndex],103)+SUMIFS(T_TTAFStock[TTAF_Qty],T_TTAFStock[RM_Code],$A34,T_TTAFStock[WeekIndex],103),CY34+'Grid_Incoming'!CZ34-'Grid_Requirement'!CZ34))</f>
        <v/>
      </c>
      <c r="DA34">
        <f>IF(COUNTIFS(T_StockCount[RM_Code],$A34,T_StockCount[WeekIndex],104)&gt;0,SUMIFS(T_StockCount[CountedQty],T_StockCount[RM_Code],$A34,T_StockCount[WeekIndex],104),IF((COUNTIFS(T_SelfStock[RM_Code],$A34,T_SelfStock[WeekIndex],104)&gt;0)*(COUNTIFS(T_TTAFStock[RM_Code],$A34,T_TTAFStock[WeekIndex],104)&gt;0)&gt;0,SUMIFS(T_SelfStock[Self_Qty],T_SelfStock[RM_Code],$A34,T_SelfStock[WeekIndex],104)+SUMIFS(T_TTAFStock[TTAF_Qty],T_TTAFStock[RM_Code],$A34,T_TTAFStock[WeekIndex],104),CZ34+'Grid_Incoming'!DA34-'Grid_Requirement'!DA34))</f>
        <v/>
      </c>
    </row>
    <row r="35">
      <c r="A35" t="inlineStr">
        <is>
          <t>CHEM-1830</t>
        </is>
      </c>
      <c r="B35">
        <f>IF(COUNTIFS(T_StockCount[RM_Code],$A35,T_StockCount[WeekIndex],1)&gt;0,SUMIFS(T_StockCount[CountedQty],T_StockCount[RM_Code],$A35,T_StockCount[WeekIndex],1),IF((COUNTIFS(T_SelfStock[RM_Code],$A35,T_SelfStock[WeekIndex],1)&gt;0)*(COUNTIFS(T_TTAFStock[RM_Code],$A35,T_TTAFStock[WeekIndex],1)&gt;0)&gt;0,SUMIFS(T_SelfStock[Self_Qty],T_SelfStock[RM_Code],$A35,T_SelfStock[WeekIndex],1)+SUMIFS(T_TTAFStock[TTAF_Qty],T_TTAFStock[RM_Code],$A35,T_TTAFStock[WeekIndex],1),IFERROR(INDEX(T_OpeningStock[Opening_Qty],MATCH($A35,T_OpeningStock[RM_Code],0)),0)+'Grid_Incoming'!B35-'Grid_Requirement'!B35))</f>
        <v/>
      </c>
      <c r="C35">
        <f>IF(COUNTIFS(T_StockCount[RM_Code],$A35,T_StockCount[WeekIndex],2)&gt;0,SUMIFS(T_StockCount[CountedQty],T_StockCount[RM_Code],$A35,T_StockCount[WeekIndex],2),IF((COUNTIFS(T_SelfStock[RM_Code],$A35,T_SelfStock[WeekIndex],2)&gt;0)*(COUNTIFS(T_TTAFStock[RM_Code],$A35,T_TTAFStock[WeekIndex],2)&gt;0)&gt;0,SUMIFS(T_SelfStock[Self_Qty],T_SelfStock[RM_Code],$A35,T_SelfStock[WeekIndex],2)+SUMIFS(T_TTAFStock[TTAF_Qty],T_TTAFStock[RM_Code],$A35,T_TTAFStock[WeekIndex],2),B35+'Grid_Incoming'!C35-'Grid_Requirement'!C35))</f>
        <v/>
      </c>
      <c r="D35">
        <f>IF(COUNTIFS(T_StockCount[RM_Code],$A35,T_StockCount[WeekIndex],3)&gt;0,SUMIFS(T_StockCount[CountedQty],T_StockCount[RM_Code],$A35,T_StockCount[WeekIndex],3),IF((COUNTIFS(T_SelfStock[RM_Code],$A35,T_SelfStock[WeekIndex],3)&gt;0)*(COUNTIFS(T_TTAFStock[RM_Code],$A35,T_TTAFStock[WeekIndex],3)&gt;0)&gt;0,SUMIFS(T_SelfStock[Self_Qty],T_SelfStock[RM_Code],$A35,T_SelfStock[WeekIndex],3)+SUMIFS(T_TTAFStock[TTAF_Qty],T_TTAFStock[RM_Code],$A35,T_TTAFStock[WeekIndex],3),C35+'Grid_Incoming'!D35-'Grid_Requirement'!D35))</f>
        <v/>
      </c>
      <c r="E35">
        <f>IF(COUNTIFS(T_StockCount[RM_Code],$A35,T_StockCount[WeekIndex],4)&gt;0,SUMIFS(T_StockCount[CountedQty],T_StockCount[RM_Code],$A35,T_StockCount[WeekIndex],4),IF((COUNTIFS(T_SelfStock[RM_Code],$A35,T_SelfStock[WeekIndex],4)&gt;0)*(COUNTIFS(T_TTAFStock[RM_Code],$A35,T_TTAFStock[WeekIndex],4)&gt;0)&gt;0,SUMIFS(T_SelfStock[Self_Qty],T_SelfStock[RM_Code],$A35,T_SelfStock[WeekIndex],4)+SUMIFS(T_TTAFStock[TTAF_Qty],T_TTAFStock[RM_Code],$A35,T_TTAFStock[WeekIndex],4),D35+'Grid_Incoming'!E35-'Grid_Requirement'!E35))</f>
        <v/>
      </c>
      <c r="F35">
        <f>IF(COUNTIFS(T_StockCount[RM_Code],$A35,T_StockCount[WeekIndex],5)&gt;0,SUMIFS(T_StockCount[CountedQty],T_StockCount[RM_Code],$A35,T_StockCount[WeekIndex],5),IF((COUNTIFS(T_SelfStock[RM_Code],$A35,T_SelfStock[WeekIndex],5)&gt;0)*(COUNTIFS(T_TTAFStock[RM_Code],$A35,T_TTAFStock[WeekIndex],5)&gt;0)&gt;0,SUMIFS(T_SelfStock[Self_Qty],T_SelfStock[RM_Code],$A35,T_SelfStock[WeekIndex],5)+SUMIFS(T_TTAFStock[TTAF_Qty],T_TTAFStock[RM_Code],$A35,T_TTAFStock[WeekIndex],5),E35+'Grid_Incoming'!F35-'Grid_Requirement'!F35))</f>
        <v/>
      </c>
      <c r="G35">
        <f>IF(COUNTIFS(T_StockCount[RM_Code],$A35,T_StockCount[WeekIndex],6)&gt;0,SUMIFS(T_StockCount[CountedQty],T_StockCount[RM_Code],$A35,T_StockCount[WeekIndex],6),IF((COUNTIFS(T_SelfStock[RM_Code],$A35,T_SelfStock[WeekIndex],6)&gt;0)*(COUNTIFS(T_TTAFStock[RM_Code],$A35,T_TTAFStock[WeekIndex],6)&gt;0)&gt;0,SUMIFS(T_SelfStock[Self_Qty],T_SelfStock[RM_Code],$A35,T_SelfStock[WeekIndex],6)+SUMIFS(T_TTAFStock[TTAF_Qty],T_TTAFStock[RM_Code],$A35,T_TTAFStock[WeekIndex],6),F35+'Grid_Incoming'!G35-'Grid_Requirement'!G35))</f>
        <v/>
      </c>
      <c r="H35">
        <f>IF(COUNTIFS(T_StockCount[RM_Code],$A35,T_StockCount[WeekIndex],7)&gt;0,SUMIFS(T_StockCount[CountedQty],T_StockCount[RM_Code],$A35,T_StockCount[WeekIndex],7),IF((COUNTIFS(T_SelfStock[RM_Code],$A35,T_SelfStock[WeekIndex],7)&gt;0)*(COUNTIFS(T_TTAFStock[RM_Code],$A35,T_TTAFStock[WeekIndex],7)&gt;0)&gt;0,SUMIFS(T_SelfStock[Self_Qty],T_SelfStock[RM_Code],$A35,T_SelfStock[WeekIndex],7)+SUMIFS(T_TTAFStock[TTAF_Qty],T_TTAFStock[RM_Code],$A35,T_TTAFStock[WeekIndex],7),G35+'Grid_Incoming'!H35-'Grid_Requirement'!H35))</f>
        <v/>
      </c>
      <c r="I35">
        <f>IF(COUNTIFS(T_StockCount[RM_Code],$A35,T_StockCount[WeekIndex],8)&gt;0,SUMIFS(T_StockCount[CountedQty],T_StockCount[RM_Code],$A35,T_StockCount[WeekIndex],8),IF((COUNTIFS(T_SelfStock[RM_Code],$A35,T_SelfStock[WeekIndex],8)&gt;0)*(COUNTIFS(T_TTAFStock[RM_Code],$A35,T_TTAFStock[WeekIndex],8)&gt;0)&gt;0,SUMIFS(T_SelfStock[Self_Qty],T_SelfStock[RM_Code],$A35,T_SelfStock[WeekIndex],8)+SUMIFS(T_TTAFStock[TTAF_Qty],T_TTAFStock[RM_Code],$A35,T_TTAFStock[WeekIndex],8),H35+'Grid_Incoming'!I35-'Grid_Requirement'!I35))</f>
        <v/>
      </c>
      <c r="J35">
        <f>IF(COUNTIFS(T_StockCount[RM_Code],$A35,T_StockCount[WeekIndex],9)&gt;0,SUMIFS(T_StockCount[CountedQty],T_StockCount[RM_Code],$A35,T_StockCount[WeekIndex],9),IF((COUNTIFS(T_SelfStock[RM_Code],$A35,T_SelfStock[WeekIndex],9)&gt;0)*(COUNTIFS(T_TTAFStock[RM_Code],$A35,T_TTAFStock[WeekIndex],9)&gt;0)&gt;0,SUMIFS(T_SelfStock[Self_Qty],T_SelfStock[RM_Code],$A35,T_SelfStock[WeekIndex],9)+SUMIFS(T_TTAFStock[TTAF_Qty],T_TTAFStock[RM_Code],$A35,T_TTAFStock[WeekIndex],9),I35+'Grid_Incoming'!J35-'Grid_Requirement'!J35))</f>
        <v/>
      </c>
      <c r="K35">
        <f>IF(COUNTIFS(T_StockCount[RM_Code],$A35,T_StockCount[WeekIndex],10)&gt;0,SUMIFS(T_StockCount[CountedQty],T_StockCount[RM_Code],$A35,T_StockCount[WeekIndex],10),IF((COUNTIFS(T_SelfStock[RM_Code],$A35,T_SelfStock[WeekIndex],10)&gt;0)*(COUNTIFS(T_TTAFStock[RM_Code],$A35,T_TTAFStock[WeekIndex],10)&gt;0)&gt;0,SUMIFS(T_SelfStock[Self_Qty],T_SelfStock[RM_Code],$A35,T_SelfStock[WeekIndex],10)+SUMIFS(T_TTAFStock[TTAF_Qty],T_TTAFStock[RM_Code],$A35,T_TTAFStock[WeekIndex],10),J35+'Grid_Incoming'!K35-'Grid_Requirement'!K35))</f>
        <v/>
      </c>
      <c r="L35">
        <f>IF(COUNTIFS(T_StockCount[RM_Code],$A35,T_StockCount[WeekIndex],11)&gt;0,SUMIFS(T_StockCount[CountedQty],T_StockCount[RM_Code],$A35,T_StockCount[WeekIndex],11),IF((COUNTIFS(T_SelfStock[RM_Code],$A35,T_SelfStock[WeekIndex],11)&gt;0)*(COUNTIFS(T_TTAFStock[RM_Code],$A35,T_TTAFStock[WeekIndex],11)&gt;0)&gt;0,SUMIFS(T_SelfStock[Self_Qty],T_SelfStock[RM_Code],$A35,T_SelfStock[WeekIndex],11)+SUMIFS(T_TTAFStock[TTAF_Qty],T_TTAFStock[RM_Code],$A35,T_TTAFStock[WeekIndex],11),K35+'Grid_Incoming'!L35-'Grid_Requirement'!L35))</f>
        <v/>
      </c>
      <c r="M35">
        <f>IF(COUNTIFS(T_StockCount[RM_Code],$A35,T_StockCount[WeekIndex],12)&gt;0,SUMIFS(T_StockCount[CountedQty],T_StockCount[RM_Code],$A35,T_StockCount[WeekIndex],12),IF((COUNTIFS(T_SelfStock[RM_Code],$A35,T_SelfStock[WeekIndex],12)&gt;0)*(COUNTIFS(T_TTAFStock[RM_Code],$A35,T_TTAFStock[WeekIndex],12)&gt;0)&gt;0,SUMIFS(T_SelfStock[Self_Qty],T_SelfStock[RM_Code],$A35,T_SelfStock[WeekIndex],12)+SUMIFS(T_TTAFStock[TTAF_Qty],T_TTAFStock[RM_Code],$A35,T_TTAFStock[WeekIndex],12),L35+'Grid_Incoming'!M35-'Grid_Requirement'!M35))</f>
        <v/>
      </c>
      <c r="N35">
        <f>IF(COUNTIFS(T_StockCount[RM_Code],$A35,T_StockCount[WeekIndex],13)&gt;0,SUMIFS(T_StockCount[CountedQty],T_StockCount[RM_Code],$A35,T_StockCount[WeekIndex],13),IF((COUNTIFS(T_SelfStock[RM_Code],$A35,T_SelfStock[WeekIndex],13)&gt;0)*(COUNTIFS(T_TTAFStock[RM_Code],$A35,T_TTAFStock[WeekIndex],13)&gt;0)&gt;0,SUMIFS(T_SelfStock[Self_Qty],T_SelfStock[RM_Code],$A35,T_SelfStock[WeekIndex],13)+SUMIFS(T_TTAFStock[TTAF_Qty],T_TTAFStock[RM_Code],$A35,T_TTAFStock[WeekIndex],13),M35+'Grid_Incoming'!N35-'Grid_Requirement'!N35))</f>
        <v/>
      </c>
      <c r="O35">
        <f>IF(COUNTIFS(T_StockCount[RM_Code],$A35,T_StockCount[WeekIndex],14)&gt;0,SUMIFS(T_StockCount[CountedQty],T_StockCount[RM_Code],$A35,T_StockCount[WeekIndex],14),IF((COUNTIFS(T_SelfStock[RM_Code],$A35,T_SelfStock[WeekIndex],14)&gt;0)*(COUNTIFS(T_TTAFStock[RM_Code],$A35,T_TTAFStock[WeekIndex],14)&gt;0)&gt;0,SUMIFS(T_SelfStock[Self_Qty],T_SelfStock[RM_Code],$A35,T_SelfStock[WeekIndex],14)+SUMIFS(T_TTAFStock[TTAF_Qty],T_TTAFStock[RM_Code],$A35,T_TTAFStock[WeekIndex],14),N35+'Grid_Incoming'!O35-'Grid_Requirement'!O35))</f>
        <v/>
      </c>
      <c r="P35">
        <f>IF(COUNTIFS(T_StockCount[RM_Code],$A35,T_StockCount[WeekIndex],15)&gt;0,SUMIFS(T_StockCount[CountedQty],T_StockCount[RM_Code],$A35,T_StockCount[WeekIndex],15),IF((COUNTIFS(T_SelfStock[RM_Code],$A35,T_SelfStock[WeekIndex],15)&gt;0)*(COUNTIFS(T_TTAFStock[RM_Code],$A35,T_TTAFStock[WeekIndex],15)&gt;0)&gt;0,SUMIFS(T_SelfStock[Self_Qty],T_SelfStock[RM_Code],$A35,T_SelfStock[WeekIndex],15)+SUMIFS(T_TTAFStock[TTAF_Qty],T_TTAFStock[RM_Code],$A35,T_TTAFStock[WeekIndex],15),O35+'Grid_Incoming'!P35-'Grid_Requirement'!P35))</f>
        <v/>
      </c>
      <c r="Q35">
        <f>IF(COUNTIFS(T_StockCount[RM_Code],$A35,T_StockCount[WeekIndex],16)&gt;0,SUMIFS(T_StockCount[CountedQty],T_StockCount[RM_Code],$A35,T_StockCount[WeekIndex],16),IF((COUNTIFS(T_SelfStock[RM_Code],$A35,T_SelfStock[WeekIndex],16)&gt;0)*(COUNTIFS(T_TTAFStock[RM_Code],$A35,T_TTAFStock[WeekIndex],16)&gt;0)&gt;0,SUMIFS(T_SelfStock[Self_Qty],T_SelfStock[RM_Code],$A35,T_SelfStock[WeekIndex],16)+SUMIFS(T_TTAFStock[TTAF_Qty],T_TTAFStock[RM_Code],$A35,T_TTAFStock[WeekIndex],16),P35+'Grid_Incoming'!Q35-'Grid_Requirement'!Q35))</f>
        <v/>
      </c>
      <c r="R35">
        <f>IF(COUNTIFS(T_StockCount[RM_Code],$A35,T_StockCount[WeekIndex],17)&gt;0,SUMIFS(T_StockCount[CountedQty],T_StockCount[RM_Code],$A35,T_StockCount[WeekIndex],17),IF((COUNTIFS(T_SelfStock[RM_Code],$A35,T_SelfStock[WeekIndex],17)&gt;0)*(COUNTIFS(T_TTAFStock[RM_Code],$A35,T_TTAFStock[WeekIndex],17)&gt;0)&gt;0,SUMIFS(T_SelfStock[Self_Qty],T_SelfStock[RM_Code],$A35,T_SelfStock[WeekIndex],17)+SUMIFS(T_TTAFStock[TTAF_Qty],T_TTAFStock[RM_Code],$A35,T_TTAFStock[WeekIndex],17),Q35+'Grid_Incoming'!R35-'Grid_Requirement'!R35))</f>
        <v/>
      </c>
      <c r="S35">
        <f>IF(COUNTIFS(T_StockCount[RM_Code],$A35,T_StockCount[WeekIndex],18)&gt;0,SUMIFS(T_StockCount[CountedQty],T_StockCount[RM_Code],$A35,T_StockCount[WeekIndex],18),IF((COUNTIFS(T_SelfStock[RM_Code],$A35,T_SelfStock[WeekIndex],18)&gt;0)*(COUNTIFS(T_TTAFStock[RM_Code],$A35,T_TTAFStock[WeekIndex],18)&gt;0)&gt;0,SUMIFS(T_SelfStock[Self_Qty],T_SelfStock[RM_Code],$A35,T_SelfStock[WeekIndex],18)+SUMIFS(T_TTAFStock[TTAF_Qty],T_TTAFStock[RM_Code],$A35,T_TTAFStock[WeekIndex],18),R35+'Grid_Incoming'!S35-'Grid_Requirement'!S35))</f>
        <v/>
      </c>
      <c r="T35">
        <f>IF(COUNTIFS(T_StockCount[RM_Code],$A35,T_StockCount[WeekIndex],19)&gt;0,SUMIFS(T_StockCount[CountedQty],T_StockCount[RM_Code],$A35,T_StockCount[WeekIndex],19),IF((COUNTIFS(T_SelfStock[RM_Code],$A35,T_SelfStock[WeekIndex],19)&gt;0)*(COUNTIFS(T_TTAFStock[RM_Code],$A35,T_TTAFStock[WeekIndex],19)&gt;0)&gt;0,SUMIFS(T_SelfStock[Self_Qty],T_SelfStock[RM_Code],$A35,T_SelfStock[WeekIndex],19)+SUMIFS(T_TTAFStock[TTAF_Qty],T_TTAFStock[RM_Code],$A35,T_TTAFStock[WeekIndex],19),S35+'Grid_Incoming'!T35-'Grid_Requirement'!T35))</f>
        <v/>
      </c>
      <c r="U35">
        <f>IF(COUNTIFS(T_StockCount[RM_Code],$A35,T_StockCount[WeekIndex],20)&gt;0,SUMIFS(T_StockCount[CountedQty],T_StockCount[RM_Code],$A35,T_StockCount[WeekIndex],20),IF((COUNTIFS(T_SelfStock[RM_Code],$A35,T_SelfStock[WeekIndex],20)&gt;0)*(COUNTIFS(T_TTAFStock[RM_Code],$A35,T_TTAFStock[WeekIndex],20)&gt;0)&gt;0,SUMIFS(T_SelfStock[Self_Qty],T_SelfStock[RM_Code],$A35,T_SelfStock[WeekIndex],20)+SUMIFS(T_TTAFStock[TTAF_Qty],T_TTAFStock[RM_Code],$A35,T_TTAFStock[WeekIndex],20),T35+'Grid_Incoming'!U35-'Grid_Requirement'!U35))</f>
        <v/>
      </c>
      <c r="V35">
        <f>IF(COUNTIFS(T_StockCount[RM_Code],$A35,T_StockCount[WeekIndex],21)&gt;0,SUMIFS(T_StockCount[CountedQty],T_StockCount[RM_Code],$A35,T_StockCount[WeekIndex],21),IF((COUNTIFS(T_SelfStock[RM_Code],$A35,T_SelfStock[WeekIndex],21)&gt;0)*(COUNTIFS(T_TTAFStock[RM_Code],$A35,T_TTAFStock[WeekIndex],21)&gt;0)&gt;0,SUMIFS(T_SelfStock[Self_Qty],T_SelfStock[RM_Code],$A35,T_SelfStock[WeekIndex],21)+SUMIFS(T_TTAFStock[TTAF_Qty],T_TTAFStock[RM_Code],$A35,T_TTAFStock[WeekIndex],21),U35+'Grid_Incoming'!V35-'Grid_Requirement'!V35))</f>
        <v/>
      </c>
      <c r="W35">
        <f>IF(COUNTIFS(T_StockCount[RM_Code],$A35,T_StockCount[WeekIndex],22)&gt;0,SUMIFS(T_StockCount[CountedQty],T_StockCount[RM_Code],$A35,T_StockCount[WeekIndex],22),IF((COUNTIFS(T_SelfStock[RM_Code],$A35,T_SelfStock[WeekIndex],22)&gt;0)*(COUNTIFS(T_TTAFStock[RM_Code],$A35,T_TTAFStock[WeekIndex],22)&gt;0)&gt;0,SUMIFS(T_SelfStock[Self_Qty],T_SelfStock[RM_Code],$A35,T_SelfStock[WeekIndex],22)+SUMIFS(T_TTAFStock[TTAF_Qty],T_TTAFStock[RM_Code],$A35,T_TTAFStock[WeekIndex],22),V35+'Grid_Incoming'!W35-'Grid_Requirement'!W35))</f>
        <v/>
      </c>
      <c r="X35">
        <f>IF(COUNTIFS(T_StockCount[RM_Code],$A35,T_StockCount[WeekIndex],23)&gt;0,SUMIFS(T_StockCount[CountedQty],T_StockCount[RM_Code],$A35,T_StockCount[WeekIndex],23),IF((COUNTIFS(T_SelfStock[RM_Code],$A35,T_SelfStock[WeekIndex],23)&gt;0)*(COUNTIFS(T_TTAFStock[RM_Code],$A35,T_TTAFStock[WeekIndex],23)&gt;0)&gt;0,SUMIFS(T_SelfStock[Self_Qty],T_SelfStock[RM_Code],$A35,T_SelfStock[WeekIndex],23)+SUMIFS(T_TTAFStock[TTAF_Qty],T_TTAFStock[RM_Code],$A35,T_TTAFStock[WeekIndex],23),W35+'Grid_Incoming'!X35-'Grid_Requirement'!X35))</f>
        <v/>
      </c>
      <c r="Y35">
        <f>IF(COUNTIFS(T_StockCount[RM_Code],$A35,T_StockCount[WeekIndex],24)&gt;0,SUMIFS(T_StockCount[CountedQty],T_StockCount[RM_Code],$A35,T_StockCount[WeekIndex],24),IF((COUNTIFS(T_SelfStock[RM_Code],$A35,T_SelfStock[WeekIndex],24)&gt;0)*(COUNTIFS(T_TTAFStock[RM_Code],$A35,T_TTAFStock[WeekIndex],24)&gt;0)&gt;0,SUMIFS(T_SelfStock[Self_Qty],T_SelfStock[RM_Code],$A35,T_SelfStock[WeekIndex],24)+SUMIFS(T_TTAFStock[TTAF_Qty],T_TTAFStock[RM_Code],$A35,T_TTAFStock[WeekIndex],24),X35+'Grid_Incoming'!Y35-'Grid_Requirement'!Y35))</f>
        <v/>
      </c>
      <c r="Z35">
        <f>IF(COUNTIFS(T_StockCount[RM_Code],$A35,T_StockCount[WeekIndex],25)&gt;0,SUMIFS(T_StockCount[CountedQty],T_StockCount[RM_Code],$A35,T_StockCount[WeekIndex],25),IF((COUNTIFS(T_SelfStock[RM_Code],$A35,T_SelfStock[WeekIndex],25)&gt;0)*(COUNTIFS(T_TTAFStock[RM_Code],$A35,T_TTAFStock[WeekIndex],25)&gt;0)&gt;0,SUMIFS(T_SelfStock[Self_Qty],T_SelfStock[RM_Code],$A35,T_SelfStock[WeekIndex],25)+SUMIFS(T_TTAFStock[TTAF_Qty],T_TTAFStock[RM_Code],$A35,T_TTAFStock[WeekIndex],25),Y35+'Grid_Incoming'!Z35-'Grid_Requirement'!Z35))</f>
        <v/>
      </c>
      <c r="AA35">
        <f>IF(COUNTIFS(T_StockCount[RM_Code],$A35,T_StockCount[WeekIndex],26)&gt;0,SUMIFS(T_StockCount[CountedQty],T_StockCount[RM_Code],$A35,T_StockCount[WeekIndex],26),IF((COUNTIFS(T_SelfStock[RM_Code],$A35,T_SelfStock[WeekIndex],26)&gt;0)*(COUNTIFS(T_TTAFStock[RM_Code],$A35,T_TTAFStock[WeekIndex],26)&gt;0)&gt;0,SUMIFS(T_SelfStock[Self_Qty],T_SelfStock[RM_Code],$A35,T_SelfStock[WeekIndex],26)+SUMIFS(T_TTAFStock[TTAF_Qty],T_TTAFStock[RM_Code],$A35,T_TTAFStock[WeekIndex],26),Z35+'Grid_Incoming'!AA35-'Grid_Requirement'!AA35))</f>
        <v/>
      </c>
      <c r="AB35">
        <f>IF(COUNTIFS(T_StockCount[RM_Code],$A35,T_StockCount[WeekIndex],27)&gt;0,SUMIFS(T_StockCount[CountedQty],T_StockCount[RM_Code],$A35,T_StockCount[WeekIndex],27),IF((COUNTIFS(T_SelfStock[RM_Code],$A35,T_SelfStock[WeekIndex],27)&gt;0)*(COUNTIFS(T_TTAFStock[RM_Code],$A35,T_TTAFStock[WeekIndex],27)&gt;0)&gt;0,SUMIFS(T_SelfStock[Self_Qty],T_SelfStock[RM_Code],$A35,T_SelfStock[WeekIndex],27)+SUMIFS(T_TTAFStock[TTAF_Qty],T_TTAFStock[RM_Code],$A35,T_TTAFStock[WeekIndex],27),AA35+'Grid_Incoming'!AB35-'Grid_Requirement'!AB35))</f>
        <v/>
      </c>
      <c r="AC35">
        <f>IF(COUNTIFS(T_StockCount[RM_Code],$A35,T_StockCount[WeekIndex],28)&gt;0,SUMIFS(T_StockCount[CountedQty],T_StockCount[RM_Code],$A35,T_StockCount[WeekIndex],28),IF((COUNTIFS(T_SelfStock[RM_Code],$A35,T_SelfStock[WeekIndex],28)&gt;0)*(COUNTIFS(T_TTAFStock[RM_Code],$A35,T_TTAFStock[WeekIndex],28)&gt;0)&gt;0,SUMIFS(T_SelfStock[Self_Qty],T_SelfStock[RM_Code],$A35,T_SelfStock[WeekIndex],28)+SUMIFS(T_TTAFStock[TTAF_Qty],T_TTAFStock[RM_Code],$A35,T_TTAFStock[WeekIndex],28),AB35+'Grid_Incoming'!AC35-'Grid_Requirement'!AC35))</f>
        <v/>
      </c>
      <c r="AD35">
        <f>IF(COUNTIFS(T_StockCount[RM_Code],$A35,T_StockCount[WeekIndex],29)&gt;0,SUMIFS(T_StockCount[CountedQty],T_StockCount[RM_Code],$A35,T_StockCount[WeekIndex],29),IF((COUNTIFS(T_SelfStock[RM_Code],$A35,T_SelfStock[WeekIndex],29)&gt;0)*(COUNTIFS(T_TTAFStock[RM_Code],$A35,T_TTAFStock[WeekIndex],29)&gt;0)&gt;0,SUMIFS(T_SelfStock[Self_Qty],T_SelfStock[RM_Code],$A35,T_SelfStock[WeekIndex],29)+SUMIFS(T_TTAFStock[TTAF_Qty],T_TTAFStock[RM_Code],$A35,T_TTAFStock[WeekIndex],29),AC35+'Grid_Incoming'!AD35-'Grid_Requirement'!AD35))</f>
        <v/>
      </c>
      <c r="AE35">
        <f>IF(COUNTIFS(T_StockCount[RM_Code],$A35,T_StockCount[WeekIndex],30)&gt;0,SUMIFS(T_StockCount[CountedQty],T_StockCount[RM_Code],$A35,T_StockCount[WeekIndex],30),IF((COUNTIFS(T_SelfStock[RM_Code],$A35,T_SelfStock[WeekIndex],30)&gt;0)*(COUNTIFS(T_TTAFStock[RM_Code],$A35,T_TTAFStock[WeekIndex],30)&gt;0)&gt;0,SUMIFS(T_SelfStock[Self_Qty],T_SelfStock[RM_Code],$A35,T_SelfStock[WeekIndex],30)+SUMIFS(T_TTAFStock[TTAF_Qty],T_TTAFStock[RM_Code],$A35,T_TTAFStock[WeekIndex],30),AD35+'Grid_Incoming'!AE35-'Grid_Requirement'!AE35))</f>
        <v/>
      </c>
      <c r="AF35">
        <f>IF(COUNTIFS(T_StockCount[RM_Code],$A35,T_StockCount[WeekIndex],31)&gt;0,SUMIFS(T_StockCount[CountedQty],T_StockCount[RM_Code],$A35,T_StockCount[WeekIndex],31),IF((COUNTIFS(T_SelfStock[RM_Code],$A35,T_SelfStock[WeekIndex],31)&gt;0)*(COUNTIFS(T_TTAFStock[RM_Code],$A35,T_TTAFStock[WeekIndex],31)&gt;0)&gt;0,SUMIFS(T_SelfStock[Self_Qty],T_SelfStock[RM_Code],$A35,T_SelfStock[WeekIndex],31)+SUMIFS(T_TTAFStock[TTAF_Qty],T_TTAFStock[RM_Code],$A35,T_TTAFStock[WeekIndex],31),AE35+'Grid_Incoming'!AF35-'Grid_Requirement'!AF35))</f>
        <v/>
      </c>
      <c r="AG35">
        <f>IF(COUNTIFS(T_StockCount[RM_Code],$A35,T_StockCount[WeekIndex],32)&gt;0,SUMIFS(T_StockCount[CountedQty],T_StockCount[RM_Code],$A35,T_StockCount[WeekIndex],32),IF((COUNTIFS(T_SelfStock[RM_Code],$A35,T_SelfStock[WeekIndex],32)&gt;0)*(COUNTIFS(T_TTAFStock[RM_Code],$A35,T_TTAFStock[WeekIndex],32)&gt;0)&gt;0,SUMIFS(T_SelfStock[Self_Qty],T_SelfStock[RM_Code],$A35,T_SelfStock[WeekIndex],32)+SUMIFS(T_TTAFStock[TTAF_Qty],T_TTAFStock[RM_Code],$A35,T_TTAFStock[WeekIndex],32),AF35+'Grid_Incoming'!AG35-'Grid_Requirement'!AG35))</f>
        <v/>
      </c>
      <c r="AH35">
        <f>IF(COUNTIFS(T_StockCount[RM_Code],$A35,T_StockCount[WeekIndex],33)&gt;0,SUMIFS(T_StockCount[CountedQty],T_StockCount[RM_Code],$A35,T_StockCount[WeekIndex],33),IF((COUNTIFS(T_SelfStock[RM_Code],$A35,T_SelfStock[WeekIndex],33)&gt;0)*(COUNTIFS(T_TTAFStock[RM_Code],$A35,T_TTAFStock[WeekIndex],33)&gt;0)&gt;0,SUMIFS(T_SelfStock[Self_Qty],T_SelfStock[RM_Code],$A35,T_SelfStock[WeekIndex],33)+SUMIFS(T_TTAFStock[TTAF_Qty],T_TTAFStock[RM_Code],$A35,T_TTAFStock[WeekIndex],33),AG35+'Grid_Incoming'!AH35-'Grid_Requirement'!AH35))</f>
        <v/>
      </c>
      <c r="AI35">
        <f>IF(COUNTIFS(T_StockCount[RM_Code],$A35,T_StockCount[WeekIndex],34)&gt;0,SUMIFS(T_StockCount[CountedQty],T_StockCount[RM_Code],$A35,T_StockCount[WeekIndex],34),IF((COUNTIFS(T_SelfStock[RM_Code],$A35,T_SelfStock[WeekIndex],34)&gt;0)*(COUNTIFS(T_TTAFStock[RM_Code],$A35,T_TTAFStock[WeekIndex],34)&gt;0)&gt;0,SUMIFS(T_SelfStock[Self_Qty],T_SelfStock[RM_Code],$A35,T_SelfStock[WeekIndex],34)+SUMIFS(T_TTAFStock[TTAF_Qty],T_TTAFStock[RM_Code],$A35,T_TTAFStock[WeekIndex],34),AH35+'Grid_Incoming'!AI35-'Grid_Requirement'!AI35))</f>
        <v/>
      </c>
      <c r="AJ35">
        <f>IF(COUNTIFS(T_StockCount[RM_Code],$A35,T_StockCount[WeekIndex],35)&gt;0,SUMIFS(T_StockCount[CountedQty],T_StockCount[RM_Code],$A35,T_StockCount[WeekIndex],35),IF((COUNTIFS(T_SelfStock[RM_Code],$A35,T_SelfStock[WeekIndex],35)&gt;0)*(COUNTIFS(T_TTAFStock[RM_Code],$A35,T_TTAFStock[WeekIndex],35)&gt;0)&gt;0,SUMIFS(T_SelfStock[Self_Qty],T_SelfStock[RM_Code],$A35,T_SelfStock[WeekIndex],35)+SUMIFS(T_TTAFStock[TTAF_Qty],T_TTAFStock[RM_Code],$A35,T_TTAFStock[WeekIndex],35),AI35+'Grid_Incoming'!AJ35-'Grid_Requirement'!AJ35))</f>
        <v/>
      </c>
      <c r="AK35">
        <f>IF(COUNTIFS(T_StockCount[RM_Code],$A35,T_StockCount[WeekIndex],36)&gt;0,SUMIFS(T_StockCount[CountedQty],T_StockCount[RM_Code],$A35,T_StockCount[WeekIndex],36),IF((COUNTIFS(T_SelfStock[RM_Code],$A35,T_SelfStock[WeekIndex],36)&gt;0)*(COUNTIFS(T_TTAFStock[RM_Code],$A35,T_TTAFStock[WeekIndex],36)&gt;0)&gt;0,SUMIFS(T_SelfStock[Self_Qty],T_SelfStock[RM_Code],$A35,T_SelfStock[WeekIndex],36)+SUMIFS(T_TTAFStock[TTAF_Qty],T_TTAFStock[RM_Code],$A35,T_TTAFStock[WeekIndex],36),AJ35+'Grid_Incoming'!AK35-'Grid_Requirement'!AK35))</f>
        <v/>
      </c>
      <c r="AL35">
        <f>IF(COUNTIFS(T_StockCount[RM_Code],$A35,T_StockCount[WeekIndex],37)&gt;0,SUMIFS(T_StockCount[CountedQty],T_StockCount[RM_Code],$A35,T_StockCount[WeekIndex],37),IF((COUNTIFS(T_SelfStock[RM_Code],$A35,T_SelfStock[WeekIndex],37)&gt;0)*(COUNTIFS(T_TTAFStock[RM_Code],$A35,T_TTAFStock[WeekIndex],37)&gt;0)&gt;0,SUMIFS(T_SelfStock[Self_Qty],T_SelfStock[RM_Code],$A35,T_SelfStock[WeekIndex],37)+SUMIFS(T_TTAFStock[TTAF_Qty],T_TTAFStock[RM_Code],$A35,T_TTAFStock[WeekIndex],37),AK35+'Grid_Incoming'!AL35-'Grid_Requirement'!AL35))</f>
        <v/>
      </c>
      <c r="AM35">
        <f>IF(COUNTIFS(T_StockCount[RM_Code],$A35,T_StockCount[WeekIndex],38)&gt;0,SUMIFS(T_StockCount[CountedQty],T_StockCount[RM_Code],$A35,T_StockCount[WeekIndex],38),IF((COUNTIFS(T_SelfStock[RM_Code],$A35,T_SelfStock[WeekIndex],38)&gt;0)*(COUNTIFS(T_TTAFStock[RM_Code],$A35,T_TTAFStock[WeekIndex],38)&gt;0)&gt;0,SUMIFS(T_SelfStock[Self_Qty],T_SelfStock[RM_Code],$A35,T_SelfStock[WeekIndex],38)+SUMIFS(T_TTAFStock[TTAF_Qty],T_TTAFStock[RM_Code],$A35,T_TTAFStock[WeekIndex],38),AL35+'Grid_Incoming'!AM35-'Grid_Requirement'!AM35))</f>
        <v/>
      </c>
      <c r="AN35">
        <f>IF(COUNTIFS(T_StockCount[RM_Code],$A35,T_StockCount[WeekIndex],39)&gt;0,SUMIFS(T_StockCount[CountedQty],T_StockCount[RM_Code],$A35,T_StockCount[WeekIndex],39),IF((COUNTIFS(T_SelfStock[RM_Code],$A35,T_SelfStock[WeekIndex],39)&gt;0)*(COUNTIFS(T_TTAFStock[RM_Code],$A35,T_TTAFStock[WeekIndex],39)&gt;0)&gt;0,SUMIFS(T_SelfStock[Self_Qty],T_SelfStock[RM_Code],$A35,T_SelfStock[WeekIndex],39)+SUMIFS(T_TTAFStock[TTAF_Qty],T_TTAFStock[RM_Code],$A35,T_TTAFStock[WeekIndex],39),AM35+'Grid_Incoming'!AN35-'Grid_Requirement'!AN35))</f>
        <v/>
      </c>
      <c r="AO35">
        <f>IF(COUNTIFS(T_StockCount[RM_Code],$A35,T_StockCount[WeekIndex],40)&gt;0,SUMIFS(T_StockCount[CountedQty],T_StockCount[RM_Code],$A35,T_StockCount[WeekIndex],40),IF((COUNTIFS(T_SelfStock[RM_Code],$A35,T_SelfStock[WeekIndex],40)&gt;0)*(COUNTIFS(T_TTAFStock[RM_Code],$A35,T_TTAFStock[WeekIndex],40)&gt;0)&gt;0,SUMIFS(T_SelfStock[Self_Qty],T_SelfStock[RM_Code],$A35,T_SelfStock[WeekIndex],40)+SUMIFS(T_TTAFStock[TTAF_Qty],T_TTAFStock[RM_Code],$A35,T_TTAFStock[WeekIndex],40),AN35+'Grid_Incoming'!AO35-'Grid_Requirement'!AO35))</f>
        <v/>
      </c>
      <c r="AP35">
        <f>IF(COUNTIFS(T_StockCount[RM_Code],$A35,T_StockCount[WeekIndex],41)&gt;0,SUMIFS(T_StockCount[CountedQty],T_StockCount[RM_Code],$A35,T_StockCount[WeekIndex],41),IF((COUNTIFS(T_SelfStock[RM_Code],$A35,T_SelfStock[WeekIndex],41)&gt;0)*(COUNTIFS(T_TTAFStock[RM_Code],$A35,T_TTAFStock[WeekIndex],41)&gt;0)&gt;0,SUMIFS(T_SelfStock[Self_Qty],T_SelfStock[RM_Code],$A35,T_SelfStock[WeekIndex],41)+SUMIFS(T_TTAFStock[TTAF_Qty],T_TTAFStock[RM_Code],$A35,T_TTAFStock[WeekIndex],41),AO35+'Grid_Incoming'!AP35-'Grid_Requirement'!AP35))</f>
        <v/>
      </c>
      <c r="AQ35">
        <f>IF(COUNTIFS(T_StockCount[RM_Code],$A35,T_StockCount[WeekIndex],42)&gt;0,SUMIFS(T_StockCount[CountedQty],T_StockCount[RM_Code],$A35,T_StockCount[WeekIndex],42),IF((COUNTIFS(T_SelfStock[RM_Code],$A35,T_SelfStock[WeekIndex],42)&gt;0)*(COUNTIFS(T_TTAFStock[RM_Code],$A35,T_TTAFStock[WeekIndex],42)&gt;0)&gt;0,SUMIFS(T_SelfStock[Self_Qty],T_SelfStock[RM_Code],$A35,T_SelfStock[WeekIndex],42)+SUMIFS(T_TTAFStock[TTAF_Qty],T_TTAFStock[RM_Code],$A35,T_TTAFStock[WeekIndex],42),AP35+'Grid_Incoming'!AQ35-'Grid_Requirement'!AQ35))</f>
        <v/>
      </c>
      <c r="AR35">
        <f>IF(COUNTIFS(T_StockCount[RM_Code],$A35,T_StockCount[WeekIndex],43)&gt;0,SUMIFS(T_StockCount[CountedQty],T_StockCount[RM_Code],$A35,T_StockCount[WeekIndex],43),IF((COUNTIFS(T_SelfStock[RM_Code],$A35,T_SelfStock[WeekIndex],43)&gt;0)*(COUNTIFS(T_TTAFStock[RM_Code],$A35,T_TTAFStock[WeekIndex],43)&gt;0)&gt;0,SUMIFS(T_SelfStock[Self_Qty],T_SelfStock[RM_Code],$A35,T_SelfStock[WeekIndex],43)+SUMIFS(T_TTAFStock[TTAF_Qty],T_TTAFStock[RM_Code],$A35,T_TTAFStock[WeekIndex],43),AQ35+'Grid_Incoming'!AR35-'Grid_Requirement'!AR35))</f>
        <v/>
      </c>
      <c r="AS35">
        <f>IF(COUNTIFS(T_StockCount[RM_Code],$A35,T_StockCount[WeekIndex],44)&gt;0,SUMIFS(T_StockCount[CountedQty],T_StockCount[RM_Code],$A35,T_StockCount[WeekIndex],44),IF((COUNTIFS(T_SelfStock[RM_Code],$A35,T_SelfStock[WeekIndex],44)&gt;0)*(COUNTIFS(T_TTAFStock[RM_Code],$A35,T_TTAFStock[WeekIndex],44)&gt;0)&gt;0,SUMIFS(T_SelfStock[Self_Qty],T_SelfStock[RM_Code],$A35,T_SelfStock[WeekIndex],44)+SUMIFS(T_TTAFStock[TTAF_Qty],T_TTAFStock[RM_Code],$A35,T_TTAFStock[WeekIndex],44),AR35+'Grid_Incoming'!AS35-'Grid_Requirement'!AS35))</f>
        <v/>
      </c>
      <c r="AT35">
        <f>IF(COUNTIFS(T_StockCount[RM_Code],$A35,T_StockCount[WeekIndex],45)&gt;0,SUMIFS(T_StockCount[CountedQty],T_StockCount[RM_Code],$A35,T_StockCount[WeekIndex],45),IF((COUNTIFS(T_SelfStock[RM_Code],$A35,T_SelfStock[WeekIndex],45)&gt;0)*(COUNTIFS(T_TTAFStock[RM_Code],$A35,T_TTAFStock[WeekIndex],45)&gt;0)&gt;0,SUMIFS(T_SelfStock[Self_Qty],T_SelfStock[RM_Code],$A35,T_SelfStock[WeekIndex],45)+SUMIFS(T_TTAFStock[TTAF_Qty],T_TTAFStock[RM_Code],$A35,T_TTAFStock[WeekIndex],45),AS35+'Grid_Incoming'!AT35-'Grid_Requirement'!AT35))</f>
        <v/>
      </c>
      <c r="AU35">
        <f>IF(COUNTIFS(T_StockCount[RM_Code],$A35,T_StockCount[WeekIndex],46)&gt;0,SUMIFS(T_StockCount[CountedQty],T_StockCount[RM_Code],$A35,T_StockCount[WeekIndex],46),IF((COUNTIFS(T_SelfStock[RM_Code],$A35,T_SelfStock[WeekIndex],46)&gt;0)*(COUNTIFS(T_TTAFStock[RM_Code],$A35,T_TTAFStock[WeekIndex],46)&gt;0)&gt;0,SUMIFS(T_SelfStock[Self_Qty],T_SelfStock[RM_Code],$A35,T_SelfStock[WeekIndex],46)+SUMIFS(T_TTAFStock[TTAF_Qty],T_TTAFStock[RM_Code],$A35,T_TTAFStock[WeekIndex],46),AT35+'Grid_Incoming'!AU35-'Grid_Requirement'!AU35))</f>
        <v/>
      </c>
      <c r="AV35">
        <f>IF(COUNTIFS(T_StockCount[RM_Code],$A35,T_StockCount[WeekIndex],47)&gt;0,SUMIFS(T_StockCount[CountedQty],T_StockCount[RM_Code],$A35,T_StockCount[WeekIndex],47),IF((COUNTIFS(T_SelfStock[RM_Code],$A35,T_SelfStock[WeekIndex],47)&gt;0)*(COUNTIFS(T_TTAFStock[RM_Code],$A35,T_TTAFStock[WeekIndex],47)&gt;0)&gt;0,SUMIFS(T_SelfStock[Self_Qty],T_SelfStock[RM_Code],$A35,T_SelfStock[WeekIndex],47)+SUMIFS(T_TTAFStock[TTAF_Qty],T_TTAFStock[RM_Code],$A35,T_TTAFStock[WeekIndex],47),AU35+'Grid_Incoming'!AV35-'Grid_Requirement'!AV35))</f>
        <v/>
      </c>
      <c r="AW35">
        <f>IF(COUNTIFS(T_StockCount[RM_Code],$A35,T_StockCount[WeekIndex],48)&gt;0,SUMIFS(T_StockCount[CountedQty],T_StockCount[RM_Code],$A35,T_StockCount[WeekIndex],48),IF((COUNTIFS(T_SelfStock[RM_Code],$A35,T_SelfStock[WeekIndex],48)&gt;0)*(COUNTIFS(T_TTAFStock[RM_Code],$A35,T_TTAFStock[WeekIndex],48)&gt;0)&gt;0,SUMIFS(T_SelfStock[Self_Qty],T_SelfStock[RM_Code],$A35,T_SelfStock[WeekIndex],48)+SUMIFS(T_TTAFStock[TTAF_Qty],T_TTAFStock[RM_Code],$A35,T_TTAFStock[WeekIndex],48),AV35+'Grid_Incoming'!AW35-'Grid_Requirement'!AW35))</f>
        <v/>
      </c>
      <c r="AX35">
        <f>IF(COUNTIFS(T_StockCount[RM_Code],$A35,T_StockCount[WeekIndex],49)&gt;0,SUMIFS(T_StockCount[CountedQty],T_StockCount[RM_Code],$A35,T_StockCount[WeekIndex],49),IF((COUNTIFS(T_SelfStock[RM_Code],$A35,T_SelfStock[WeekIndex],49)&gt;0)*(COUNTIFS(T_TTAFStock[RM_Code],$A35,T_TTAFStock[WeekIndex],49)&gt;0)&gt;0,SUMIFS(T_SelfStock[Self_Qty],T_SelfStock[RM_Code],$A35,T_SelfStock[WeekIndex],49)+SUMIFS(T_TTAFStock[TTAF_Qty],T_TTAFStock[RM_Code],$A35,T_TTAFStock[WeekIndex],49),AW35+'Grid_Incoming'!AX35-'Grid_Requirement'!AX35))</f>
        <v/>
      </c>
      <c r="AY35">
        <f>IF(COUNTIFS(T_StockCount[RM_Code],$A35,T_StockCount[WeekIndex],50)&gt;0,SUMIFS(T_StockCount[CountedQty],T_StockCount[RM_Code],$A35,T_StockCount[WeekIndex],50),IF((COUNTIFS(T_SelfStock[RM_Code],$A35,T_SelfStock[WeekIndex],50)&gt;0)*(COUNTIFS(T_TTAFStock[RM_Code],$A35,T_TTAFStock[WeekIndex],50)&gt;0)&gt;0,SUMIFS(T_SelfStock[Self_Qty],T_SelfStock[RM_Code],$A35,T_SelfStock[WeekIndex],50)+SUMIFS(T_TTAFStock[TTAF_Qty],T_TTAFStock[RM_Code],$A35,T_TTAFStock[WeekIndex],50),AX35+'Grid_Incoming'!AY35-'Grid_Requirement'!AY35))</f>
        <v/>
      </c>
      <c r="AZ35">
        <f>IF(COUNTIFS(T_StockCount[RM_Code],$A35,T_StockCount[WeekIndex],51)&gt;0,SUMIFS(T_StockCount[CountedQty],T_StockCount[RM_Code],$A35,T_StockCount[WeekIndex],51),IF((COUNTIFS(T_SelfStock[RM_Code],$A35,T_SelfStock[WeekIndex],51)&gt;0)*(COUNTIFS(T_TTAFStock[RM_Code],$A35,T_TTAFStock[WeekIndex],51)&gt;0)&gt;0,SUMIFS(T_SelfStock[Self_Qty],T_SelfStock[RM_Code],$A35,T_SelfStock[WeekIndex],51)+SUMIFS(T_TTAFStock[TTAF_Qty],T_TTAFStock[RM_Code],$A35,T_TTAFStock[WeekIndex],51),AY35+'Grid_Incoming'!AZ35-'Grid_Requirement'!AZ35))</f>
        <v/>
      </c>
      <c r="BA35">
        <f>IF(COUNTIFS(T_StockCount[RM_Code],$A35,T_StockCount[WeekIndex],52)&gt;0,SUMIFS(T_StockCount[CountedQty],T_StockCount[RM_Code],$A35,T_StockCount[WeekIndex],52),IF((COUNTIFS(T_SelfStock[RM_Code],$A35,T_SelfStock[WeekIndex],52)&gt;0)*(COUNTIFS(T_TTAFStock[RM_Code],$A35,T_TTAFStock[WeekIndex],52)&gt;0)&gt;0,SUMIFS(T_SelfStock[Self_Qty],T_SelfStock[RM_Code],$A35,T_SelfStock[WeekIndex],52)+SUMIFS(T_TTAFStock[TTAF_Qty],T_TTAFStock[RM_Code],$A35,T_TTAFStock[WeekIndex],52),AZ35+'Grid_Incoming'!BA35-'Grid_Requirement'!BA35))</f>
        <v/>
      </c>
      <c r="BB35">
        <f>IF(COUNTIFS(T_StockCount[RM_Code],$A35,T_StockCount[WeekIndex],53)&gt;0,SUMIFS(T_StockCount[CountedQty],T_StockCount[RM_Code],$A35,T_StockCount[WeekIndex],53),IF((COUNTIFS(T_SelfStock[RM_Code],$A35,T_SelfStock[WeekIndex],53)&gt;0)*(COUNTIFS(T_TTAFStock[RM_Code],$A35,T_TTAFStock[WeekIndex],53)&gt;0)&gt;0,SUMIFS(T_SelfStock[Self_Qty],T_SelfStock[RM_Code],$A35,T_SelfStock[WeekIndex],53)+SUMIFS(T_TTAFStock[TTAF_Qty],T_TTAFStock[RM_Code],$A35,T_TTAFStock[WeekIndex],53),BA35+'Grid_Incoming'!BB35-'Grid_Requirement'!BB35))</f>
        <v/>
      </c>
      <c r="BC35">
        <f>IF(COUNTIFS(T_StockCount[RM_Code],$A35,T_StockCount[WeekIndex],54)&gt;0,SUMIFS(T_StockCount[CountedQty],T_StockCount[RM_Code],$A35,T_StockCount[WeekIndex],54),IF((COUNTIFS(T_SelfStock[RM_Code],$A35,T_SelfStock[WeekIndex],54)&gt;0)*(COUNTIFS(T_TTAFStock[RM_Code],$A35,T_TTAFStock[WeekIndex],54)&gt;0)&gt;0,SUMIFS(T_SelfStock[Self_Qty],T_SelfStock[RM_Code],$A35,T_SelfStock[WeekIndex],54)+SUMIFS(T_TTAFStock[TTAF_Qty],T_TTAFStock[RM_Code],$A35,T_TTAFStock[WeekIndex],54),BB35+'Grid_Incoming'!BC35-'Grid_Requirement'!BC35))</f>
        <v/>
      </c>
      <c r="BD35">
        <f>IF(COUNTIFS(T_StockCount[RM_Code],$A35,T_StockCount[WeekIndex],55)&gt;0,SUMIFS(T_StockCount[CountedQty],T_StockCount[RM_Code],$A35,T_StockCount[WeekIndex],55),IF((COUNTIFS(T_SelfStock[RM_Code],$A35,T_SelfStock[WeekIndex],55)&gt;0)*(COUNTIFS(T_TTAFStock[RM_Code],$A35,T_TTAFStock[WeekIndex],55)&gt;0)&gt;0,SUMIFS(T_SelfStock[Self_Qty],T_SelfStock[RM_Code],$A35,T_SelfStock[WeekIndex],55)+SUMIFS(T_TTAFStock[TTAF_Qty],T_TTAFStock[RM_Code],$A35,T_TTAFStock[WeekIndex],55),BC35+'Grid_Incoming'!BD35-'Grid_Requirement'!BD35))</f>
        <v/>
      </c>
      <c r="BE35">
        <f>IF(COUNTIFS(T_StockCount[RM_Code],$A35,T_StockCount[WeekIndex],56)&gt;0,SUMIFS(T_StockCount[CountedQty],T_StockCount[RM_Code],$A35,T_StockCount[WeekIndex],56),IF((COUNTIFS(T_SelfStock[RM_Code],$A35,T_SelfStock[WeekIndex],56)&gt;0)*(COUNTIFS(T_TTAFStock[RM_Code],$A35,T_TTAFStock[WeekIndex],56)&gt;0)&gt;0,SUMIFS(T_SelfStock[Self_Qty],T_SelfStock[RM_Code],$A35,T_SelfStock[WeekIndex],56)+SUMIFS(T_TTAFStock[TTAF_Qty],T_TTAFStock[RM_Code],$A35,T_TTAFStock[WeekIndex],56),BD35+'Grid_Incoming'!BE35-'Grid_Requirement'!BE35))</f>
        <v/>
      </c>
      <c r="BF35">
        <f>IF(COUNTIFS(T_StockCount[RM_Code],$A35,T_StockCount[WeekIndex],57)&gt;0,SUMIFS(T_StockCount[CountedQty],T_StockCount[RM_Code],$A35,T_StockCount[WeekIndex],57),IF((COUNTIFS(T_SelfStock[RM_Code],$A35,T_SelfStock[WeekIndex],57)&gt;0)*(COUNTIFS(T_TTAFStock[RM_Code],$A35,T_TTAFStock[WeekIndex],57)&gt;0)&gt;0,SUMIFS(T_SelfStock[Self_Qty],T_SelfStock[RM_Code],$A35,T_SelfStock[WeekIndex],57)+SUMIFS(T_TTAFStock[TTAF_Qty],T_TTAFStock[RM_Code],$A35,T_TTAFStock[WeekIndex],57),BE35+'Grid_Incoming'!BF35-'Grid_Requirement'!BF35))</f>
        <v/>
      </c>
      <c r="BG35">
        <f>IF(COUNTIFS(T_StockCount[RM_Code],$A35,T_StockCount[WeekIndex],58)&gt;0,SUMIFS(T_StockCount[CountedQty],T_StockCount[RM_Code],$A35,T_StockCount[WeekIndex],58),IF((COUNTIFS(T_SelfStock[RM_Code],$A35,T_SelfStock[WeekIndex],58)&gt;0)*(COUNTIFS(T_TTAFStock[RM_Code],$A35,T_TTAFStock[WeekIndex],58)&gt;0)&gt;0,SUMIFS(T_SelfStock[Self_Qty],T_SelfStock[RM_Code],$A35,T_SelfStock[WeekIndex],58)+SUMIFS(T_TTAFStock[TTAF_Qty],T_TTAFStock[RM_Code],$A35,T_TTAFStock[WeekIndex],58),BF35+'Grid_Incoming'!BG35-'Grid_Requirement'!BG35))</f>
        <v/>
      </c>
      <c r="BH35">
        <f>IF(COUNTIFS(T_StockCount[RM_Code],$A35,T_StockCount[WeekIndex],59)&gt;0,SUMIFS(T_StockCount[CountedQty],T_StockCount[RM_Code],$A35,T_StockCount[WeekIndex],59),IF((COUNTIFS(T_SelfStock[RM_Code],$A35,T_SelfStock[WeekIndex],59)&gt;0)*(COUNTIFS(T_TTAFStock[RM_Code],$A35,T_TTAFStock[WeekIndex],59)&gt;0)&gt;0,SUMIFS(T_SelfStock[Self_Qty],T_SelfStock[RM_Code],$A35,T_SelfStock[WeekIndex],59)+SUMIFS(T_TTAFStock[TTAF_Qty],T_TTAFStock[RM_Code],$A35,T_TTAFStock[WeekIndex],59),BG35+'Grid_Incoming'!BH35-'Grid_Requirement'!BH35))</f>
        <v/>
      </c>
      <c r="BI35">
        <f>IF(COUNTIFS(T_StockCount[RM_Code],$A35,T_StockCount[WeekIndex],60)&gt;0,SUMIFS(T_StockCount[CountedQty],T_StockCount[RM_Code],$A35,T_StockCount[WeekIndex],60),IF((COUNTIFS(T_SelfStock[RM_Code],$A35,T_SelfStock[WeekIndex],60)&gt;0)*(COUNTIFS(T_TTAFStock[RM_Code],$A35,T_TTAFStock[WeekIndex],60)&gt;0)&gt;0,SUMIFS(T_SelfStock[Self_Qty],T_SelfStock[RM_Code],$A35,T_SelfStock[WeekIndex],60)+SUMIFS(T_TTAFStock[TTAF_Qty],T_TTAFStock[RM_Code],$A35,T_TTAFStock[WeekIndex],60),BH35+'Grid_Incoming'!BI35-'Grid_Requirement'!BI35))</f>
        <v/>
      </c>
      <c r="BJ35">
        <f>IF(COUNTIFS(T_StockCount[RM_Code],$A35,T_StockCount[WeekIndex],61)&gt;0,SUMIFS(T_StockCount[CountedQty],T_StockCount[RM_Code],$A35,T_StockCount[WeekIndex],61),IF((COUNTIFS(T_SelfStock[RM_Code],$A35,T_SelfStock[WeekIndex],61)&gt;0)*(COUNTIFS(T_TTAFStock[RM_Code],$A35,T_TTAFStock[WeekIndex],61)&gt;0)&gt;0,SUMIFS(T_SelfStock[Self_Qty],T_SelfStock[RM_Code],$A35,T_SelfStock[WeekIndex],61)+SUMIFS(T_TTAFStock[TTAF_Qty],T_TTAFStock[RM_Code],$A35,T_TTAFStock[WeekIndex],61),BI35+'Grid_Incoming'!BJ35-'Grid_Requirement'!BJ35))</f>
        <v/>
      </c>
      <c r="BK35">
        <f>IF(COUNTIFS(T_StockCount[RM_Code],$A35,T_StockCount[WeekIndex],62)&gt;0,SUMIFS(T_StockCount[CountedQty],T_StockCount[RM_Code],$A35,T_StockCount[WeekIndex],62),IF((COUNTIFS(T_SelfStock[RM_Code],$A35,T_SelfStock[WeekIndex],62)&gt;0)*(COUNTIFS(T_TTAFStock[RM_Code],$A35,T_TTAFStock[WeekIndex],62)&gt;0)&gt;0,SUMIFS(T_SelfStock[Self_Qty],T_SelfStock[RM_Code],$A35,T_SelfStock[WeekIndex],62)+SUMIFS(T_TTAFStock[TTAF_Qty],T_TTAFStock[RM_Code],$A35,T_TTAFStock[WeekIndex],62),BJ35+'Grid_Incoming'!BK35-'Grid_Requirement'!BK35))</f>
        <v/>
      </c>
      <c r="BL35">
        <f>IF(COUNTIFS(T_StockCount[RM_Code],$A35,T_StockCount[WeekIndex],63)&gt;0,SUMIFS(T_StockCount[CountedQty],T_StockCount[RM_Code],$A35,T_StockCount[WeekIndex],63),IF((COUNTIFS(T_SelfStock[RM_Code],$A35,T_SelfStock[WeekIndex],63)&gt;0)*(COUNTIFS(T_TTAFStock[RM_Code],$A35,T_TTAFStock[WeekIndex],63)&gt;0)&gt;0,SUMIFS(T_SelfStock[Self_Qty],T_SelfStock[RM_Code],$A35,T_SelfStock[WeekIndex],63)+SUMIFS(T_TTAFStock[TTAF_Qty],T_TTAFStock[RM_Code],$A35,T_TTAFStock[WeekIndex],63),BK35+'Grid_Incoming'!BL35-'Grid_Requirement'!BL35))</f>
        <v/>
      </c>
      <c r="BM35">
        <f>IF(COUNTIFS(T_StockCount[RM_Code],$A35,T_StockCount[WeekIndex],64)&gt;0,SUMIFS(T_StockCount[CountedQty],T_StockCount[RM_Code],$A35,T_StockCount[WeekIndex],64),IF((COUNTIFS(T_SelfStock[RM_Code],$A35,T_SelfStock[WeekIndex],64)&gt;0)*(COUNTIFS(T_TTAFStock[RM_Code],$A35,T_TTAFStock[WeekIndex],64)&gt;0)&gt;0,SUMIFS(T_SelfStock[Self_Qty],T_SelfStock[RM_Code],$A35,T_SelfStock[WeekIndex],64)+SUMIFS(T_TTAFStock[TTAF_Qty],T_TTAFStock[RM_Code],$A35,T_TTAFStock[WeekIndex],64),BL35+'Grid_Incoming'!BM35-'Grid_Requirement'!BM35))</f>
        <v/>
      </c>
      <c r="BN35">
        <f>IF(COUNTIFS(T_StockCount[RM_Code],$A35,T_StockCount[WeekIndex],65)&gt;0,SUMIFS(T_StockCount[CountedQty],T_StockCount[RM_Code],$A35,T_StockCount[WeekIndex],65),IF((COUNTIFS(T_SelfStock[RM_Code],$A35,T_SelfStock[WeekIndex],65)&gt;0)*(COUNTIFS(T_TTAFStock[RM_Code],$A35,T_TTAFStock[WeekIndex],65)&gt;0)&gt;0,SUMIFS(T_SelfStock[Self_Qty],T_SelfStock[RM_Code],$A35,T_SelfStock[WeekIndex],65)+SUMIFS(T_TTAFStock[TTAF_Qty],T_TTAFStock[RM_Code],$A35,T_TTAFStock[WeekIndex],65),BM35+'Grid_Incoming'!BN35-'Grid_Requirement'!BN35))</f>
        <v/>
      </c>
      <c r="BO35">
        <f>IF(COUNTIFS(T_StockCount[RM_Code],$A35,T_StockCount[WeekIndex],66)&gt;0,SUMIFS(T_StockCount[CountedQty],T_StockCount[RM_Code],$A35,T_StockCount[WeekIndex],66),IF((COUNTIFS(T_SelfStock[RM_Code],$A35,T_SelfStock[WeekIndex],66)&gt;0)*(COUNTIFS(T_TTAFStock[RM_Code],$A35,T_TTAFStock[WeekIndex],66)&gt;0)&gt;0,SUMIFS(T_SelfStock[Self_Qty],T_SelfStock[RM_Code],$A35,T_SelfStock[WeekIndex],66)+SUMIFS(T_TTAFStock[TTAF_Qty],T_TTAFStock[RM_Code],$A35,T_TTAFStock[WeekIndex],66),BN35+'Grid_Incoming'!BO35-'Grid_Requirement'!BO35))</f>
        <v/>
      </c>
      <c r="BP35">
        <f>IF(COUNTIFS(T_StockCount[RM_Code],$A35,T_StockCount[WeekIndex],67)&gt;0,SUMIFS(T_StockCount[CountedQty],T_StockCount[RM_Code],$A35,T_StockCount[WeekIndex],67),IF((COUNTIFS(T_SelfStock[RM_Code],$A35,T_SelfStock[WeekIndex],67)&gt;0)*(COUNTIFS(T_TTAFStock[RM_Code],$A35,T_TTAFStock[WeekIndex],67)&gt;0)&gt;0,SUMIFS(T_SelfStock[Self_Qty],T_SelfStock[RM_Code],$A35,T_SelfStock[WeekIndex],67)+SUMIFS(T_TTAFStock[TTAF_Qty],T_TTAFStock[RM_Code],$A35,T_TTAFStock[WeekIndex],67),BO35+'Grid_Incoming'!BP35-'Grid_Requirement'!BP35))</f>
        <v/>
      </c>
      <c r="BQ35">
        <f>IF(COUNTIFS(T_StockCount[RM_Code],$A35,T_StockCount[WeekIndex],68)&gt;0,SUMIFS(T_StockCount[CountedQty],T_StockCount[RM_Code],$A35,T_StockCount[WeekIndex],68),IF((COUNTIFS(T_SelfStock[RM_Code],$A35,T_SelfStock[WeekIndex],68)&gt;0)*(COUNTIFS(T_TTAFStock[RM_Code],$A35,T_TTAFStock[WeekIndex],68)&gt;0)&gt;0,SUMIFS(T_SelfStock[Self_Qty],T_SelfStock[RM_Code],$A35,T_SelfStock[WeekIndex],68)+SUMIFS(T_TTAFStock[TTAF_Qty],T_TTAFStock[RM_Code],$A35,T_TTAFStock[WeekIndex],68),BP35+'Grid_Incoming'!BQ35-'Grid_Requirement'!BQ35))</f>
        <v/>
      </c>
      <c r="BR35">
        <f>IF(COUNTIFS(T_StockCount[RM_Code],$A35,T_StockCount[WeekIndex],69)&gt;0,SUMIFS(T_StockCount[CountedQty],T_StockCount[RM_Code],$A35,T_StockCount[WeekIndex],69),IF((COUNTIFS(T_SelfStock[RM_Code],$A35,T_SelfStock[WeekIndex],69)&gt;0)*(COUNTIFS(T_TTAFStock[RM_Code],$A35,T_TTAFStock[WeekIndex],69)&gt;0)&gt;0,SUMIFS(T_SelfStock[Self_Qty],T_SelfStock[RM_Code],$A35,T_SelfStock[WeekIndex],69)+SUMIFS(T_TTAFStock[TTAF_Qty],T_TTAFStock[RM_Code],$A35,T_TTAFStock[WeekIndex],69),BQ35+'Grid_Incoming'!BR35-'Grid_Requirement'!BR35))</f>
        <v/>
      </c>
      <c r="BS35">
        <f>IF(COUNTIFS(T_StockCount[RM_Code],$A35,T_StockCount[WeekIndex],70)&gt;0,SUMIFS(T_StockCount[CountedQty],T_StockCount[RM_Code],$A35,T_StockCount[WeekIndex],70),IF((COUNTIFS(T_SelfStock[RM_Code],$A35,T_SelfStock[WeekIndex],70)&gt;0)*(COUNTIFS(T_TTAFStock[RM_Code],$A35,T_TTAFStock[WeekIndex],70)&gt;0)&gt;0,SUMIFS(T_SelfStock[Self_Qty],T_SelfStock[RM_Code],$A35,T_SelfStock[WeekIndex],70)+SUMIFS(T_TTAFStock[TTAF_Qty],T_TTAFStock[RM_Code],$A35,T_TTAFStock[WeekIndex],70),BR35+'Grid_Incoming'!BS35-'Grid_Requirement'!BS35))</f>
        <v/>
      </c>
      <c r="BT35">
        <f>IF(COUNTIFS(T_StockCount[RM_Code],$A35,T_StockCount[WeekIndex],71)&gt;0,SUMIFS(T_StockCount[CountedQty],T_StockCount[RM_Code],$A35,T_StockCount[WeekIndex],71),IF((COUNTIFS(T_SelfStock[RM_Code],$A35,T_SelfStock[WeekIndex],71)&gt;0)*(COUNTIFS(T_TTAFStock[RM_Code],$A35,T_TTAFStock[WeekIndex],71)&gt;0)&gt;0,SUMIFS(T_SelfStock[Self_Qty],T_SelfStock[RM_Code],$A35,T_SelfStock[WeekIndex],71)+SUMIFS(T_TTAFStock[TTAF_Qty],T_TTAFStock[RM_Code],$A35,T_TTAFStock[WeekIndex],71),BS35+'Grid_Incoming'!BT35-'Grid_Requirement'!BT35))</f>
        <v/>
      </c>
      <c r="BU35">
        <f>IF(COUNTIFS(T_StockCount[RM_Code],$A35,T_StockCount[WeekIndex],72)&gt;0,SUMIFS(T_StockCount[CountedQty],T_StockCount[RM_Code],$A35,T_StockCount[WeekIndex],72),IF((COUNTIFS(T_SelfStock[RM_Code],$A35,T_SelfStock[WeekIndex],72)&gt;0)*(COUNTIFS(T_TTAFStock[RM_Code],$A35,T_TTAFStock[WeekIndex],72)&gt;0)&gt;0,SUMIFS(T_SelfStock[Self_Qty],T_SelfStock[RM_Code],$A35,T_SelfStock[WeekIndex],72)+SUMIFS(T_TTAFStock[TTAF_Qty],T_TTAFStock[RM_Code],$A35,T_TTAFStock[WeekIndex],72),BT35+'Grid_Incoming'!BU35-'Grid_Requirement'!BU35))</f>
        <v/>
      </c>
      <c r="BV35">
        <f>IF(COUNTIFS(T_StockCount[RM_Code],$A35,T_StockCount[WeekIndex],73)&gt;0,SUMIFS(T_StockCount[CountedQty],T_StockCount[RM_Code],$A35,T_StockCount[WeekIndex],73),IF((COUNTIFS(T_SelfStock[RM_Code],$A35,T_SelfStock[WeekIndex],73)&gt;0)*(COUNTIFS(T_TTAFStock[RM_Code],$A35,T_TTAFStock[WeekIndex],73)&gt;0)&gt;0,SUMIFS(T_SelfStock[Self_Qty],T_SelfStock[RM_Code],$A35,T_SelfStock[WeekIndex],73)+SUMIFS(T_TTAFStock[TTAF_Qty],T_TTAFStock[RM_Code],$A35,T_TTAFStock[WeekIndex],73),BU35+'Grid_Incoming'!BV35-'Grid_Requirement'!BV35))</f>
        <v/>
      </c>
      <c r="BW35">
        <f>IF(COUNTIFS(T_StockCount[RM_Code],$A35,T_StockCount[WeekIndex],74)&gt;0,SUMIFS(T_StockCount[CountedQty],T_StockCount[RM_Code],$A35,T_StockCount[WeekIndex],74),IF((COUNTIFS(T_SelfStock[RM_Code],$A35,T_SelfStock[WeekIndex],74)&gt;0)*(COUNTIFS(T_TTAFStock[RM_Code],$A35,T_TTAFStock[WeekIndex],74)&gt;0)&gt;0,SUMIFS(T_SelfStock[Self_Qty],T_SelfStock[RM_Code],$A35,T_SelfStock[WeekIndex],74)+SUMIFS(T_TTAFStock[TTAF_Qty],T_TTAFStock[RM_Code],$A35,T_TTAFStock[WeekIndex],74),BV35+'Grid_Incoming'!BW35-'Grid_Requirement'!BW35))</f>
        <v/>
      </c>
      <c r="BX35">
        <f>IF(COUNTIFS(T_StockCount[RM_Code],$A35,T_StockCount[WeekIndex],75)&gt;0,SUMIFS(T_StockCount[CountedQty],T_StockCount[RM_Code],$A35,T_StockCount[WeekIndex],75),IF((COUNTIFS(T_SelfStock[RM_Code],$A35,T_SelfStock[WeekIndex],75)&gt;0)*(COUNTIFS(T_TTAFStock[RM_Code],$A35,T_TTAFStock[WeekIndex],75)&gt;0)&gt;0,SUMIFS(T_SelfStock[Self_Qty],T_SelfStock[RM_Code],$A35,T_SelfStock[WeekIndex],75)+SUMIFS(T_TTAFStock[TTAF_Qty],T_TTAFStock[RM_Code],$A35,T_TTAFStock[WeekIndex],75),BW35+'Grid_Incoming'!BX35-'Grid_Requirement'!BX35))</f>
        <v/>
      </c>
      <c r="BY35">
        <f>IF(COUNTIFS(T_StockCount[RM_Code],$A35,T_StockCount[WeekIndex],76)&gt;0,SUMIFS(T_StockCount[CountedQty],T_StockCount[RM_Code],$A35,T_StockCount[WeekIndex],76),IF((COUNTIFS(T_SelfStock[RM_Code],$A35,T_SelfStock[WeekIndex],76)&gt;0)*(COUNTIFS(T_TTAFStock[RM_Code],$A35,T_TTAFStock[WeekIndex],76)&gt;0)&gt;0,SUMIFS(T_SelfStock[Self_Qty],T_SelfStock[RM_Code],$A35,T_SelfStock[WeekIndex],76)+SUMIFS(T_TTAFStock[TTAF_Qty],T_TTAFStock[RM_Code],$A35,T_TTAFStock[WeekIndex],76),BX35+'Grid_Incoming'!BY35-'Grid_Requirement'!BY35))</f>
        <v/>
      </c>
      <c r="BZ35">
        <f>IF(COUNTIFS(T_StockCount[RM_Code],$A35,T_StockCount[WeekIndex],77)&gt;0,SUMIFS(T_StockCount[CountedQty],T_StockCount[RM_Code],$A35,T_StockCount[WeekIndex],77),IF((COUNTIFS(T_SelfStock[RM_Code],$A35,T_SelfStock[WeekIndex],77)&gt;0)*(COUNTIFS(T_TTAFStock[RM_Code],$A35,T_TTAFStock[WeekIndex],77)&gt;0)&gt;0,SUMIFS(T_SelfStock[Self_Qty],T_SelfStock[RM_Code],$A35,T_SelfStock[WeekIndex],77)+SUMIFS(T_TTAFStock[TTAF_Qty],T_TTAFStock[RM_Code],$A35,T_TTAFStock[WeekIndex],77),BY35+'Grid_Incoming'!BZ35-'Grid_Requirement'!BZ35))</f>
        <v/>
      </c>
      <c r="CA35">
        <f>IF(COUNTIFS(T_StockCount[RM_Code],$A35,T_StockCount[WeekIndex],78)&gt;0,SUMIFS(T_StockCount[CountedQty],T_StockCount[RM_Code],$A35,T_StockCount[WeekIndex],78),IF((COUNTIFS(T_SelfStock[RM_Code],$A35,T_SelfStock[WeekIndex],78)&gt;0)*(COUNTIFS(T_TTAFStock[RM_Code],$A35,T_TTAFStock[WeekIndex],78)&gt;0)&gt;0,SUMIFS(T_SelfStock[Self_Qty],T_SelfStock[RM_Code],$A35,T_SelfStock[WeekIndex],78)+SUMIFS(T_TTAFStock[TTAF_Qty],T_TTAFStock[RM_Code],$A35,T_TTAFStock[WeekIndex],78),BZ35+'Grid_Incoming'!CA35-'Grid_Requirement'!CA35))</f>
        <v/>
      </c>
      <c r="CB35">
        <f>IF(COUNTIFS(T_StockCount[RM_Code],$A35,T_StockCount[WeekIndex],79)&gt;0,SUMIFS(T_StockCount[CountedQty],T_StockCount[RM_Code],$A35,T_StockCount[WeekIndex],79),IF((COUNTIFS(T_SelfStock[RM_Code],$A35,T_SelfStock[WeekIndex],79)&gt;0)*(COUNTIFS(T_TTAFStock[RM_Code],$A35,T_TTAFStock[WeekIndex],79)&gt;0)&gt;0,SUMIFS(T_SelfStock[Self_Qty],T_SelfStock[RM_Code],$A35,T_SelfStock[WeekIndex],79)+SUMIFS(T_TTAFStock[TTAF_Qty],T_TTAFStock[RM_Code],$A35,T_TTAFStock[WeekIndex],79),CA35+'Grid_Incoming'!CB35-'Grid_Requirement'!CB35))</f>
        <v/>
      </c>
      <c r="CC35">
        <f>IF(COUNTIFS(T_StockCount[RM_Code],$A35,T_StockCount[WeekIndex],80)&gt;0,SUMIFS(T_StockCount[CountedQty],T_StockCount[RM_Code],$A35,T_StockCount[WeekIndex],80),IF((COUNTIFS(T_SelfStock[RM_Code],$A35,T_SelfStock[WeekIndex],80)&gt;0)*(COUNTIFS(T_TTAFStock[RM_Code],$A35,T_TTAFStock[WeekIndex],80)&gt;0)&gt;0,SUMIFS(T_SelfStock[Self_Qty],T_SelfStock[RM_Code],$A35,T_SelfStock[WeekIndex],80)+SUMIFS(T_TTAFStock[TTAF_Qty],T_TTAFStock[RM_Code],$A35,T_TTAFStock[WeekIndex],80),CB35+'Grid_Incoming'!CC35-'Grid_Requirement'!CC35))</f>
        <v/>
      </c>
      <c r="CD35">
        <f>IF(COUNTIFS(T_StockCount[RM_Code],$A35,T_StockCount[WeekIndex],81)&gt;0,SUMIFS(T_StockCount[CountedQty],T_StockCount[RM_Code],$A35,T_StockCount[WeekIndex],81),IF((COUNTIFS(T_SelfStock[RM_Code],$A35,T_SelfStock[WeekIndex],81)&gt;0)*(COUNTIFS(T_TTAFStock[RM_Code],$A35,T_TTAFStock[WeekIndex],81)&gt;0)&gt;0,SUMIFS(T_SelfStock[Self_Qty],T_SelfStock[RM_Code],$A35,T_SelfStock[WeekIndex],81)+SUMIFS(T_TTAFStock[TTAF_Qty],T_TTAFStock[RM_Code],$A35,T_TTAFStock[WeekIndex],81),CC35+'Grid_Incoming'!CD35-'Grid_Requirement'!CD35))</f>
        <v/>
      </c>
      <c r="CE35">
        <f>IF(COUNTIFS(T_StockCount[RM_Code],$A35,T_StockCount[WeekIndex],82)&gt;0,SUMIFS(T_StockCount[CountedQty],T_StockCount[RM_Code],$A35,T_StockCount[WeekIndex],82),IF((COUNTIFS(T_SelfStock[RM_Code],$A35,T_SelfStock[WeekIndex],82)&gt;0)*(COUNTIFS(T_TTAFStock[RM_Code],$A35,T_TTAFStock[WeekIndex],82)&gt;0)&gt;0,SUMIFS(T_SelfStock[Self_Qty],T_SelfStock[RM_Code],$A35,T_SelfStock[WeekIndex],82)+SUMIFS(T_TTAFStock[TTAF_Qty],T_TTAFStock[RM_Code],$A35,T_TTAFStock[WeekIndex],82),CD35+'Grid_Incoming'!CE35-'Grid_Requirement'!CE35))</f>
        <v/>
      </c>
      <c r="CF35">
        <f>IF(COUNTIFS(T_StockCount[RM_Code],$A35,T_StockCount[WeekIndex],83)&gt;0,SUMIFS(T_StockCount[CountedQty],T_StockCount[RM_Code],$A35,T_StockCount[WeekIndex],83),IF((COUNTIFS(T_SelfStock[RM_Code],$A35,T_SelfStock[WeekIndex],83)&gt;0)*(COUNTIFS(T_TTAFStock[RM_Code],$A35,T_TTAFStock[WeekIndex],83)&gt;0)&gt;0,SUMIFS(T_SelfStock[Self_Qty],T_SelfStock[RM_Code],$A35,T_SelfStock[WeekIndex],83)+SUMIFS(T_TTAFStock[TTAF_Qty],T_TTAFStock[RM_Code],$A35,T_TTAFStock[WeekIndex],83),CE35+'Grid_Incoming'!CF35-'Grid_Requirement'!CF35))</f>
        <v/>
      </c>
      <c r="CG35">
        <f>IF(COUNTIFS(T_StockCount[RM_Code],$A35,T_StockCount[WeekIndex],84)&gt;0,SUMIFS(T_StockCount[CountedQty],T_StockCount[RM_Code],$A35,T_StockCount[WeekIndex],84),IF((COUNTIFS(T_SelfStock[RM_Code],$A35,T_SelfStock[WeekIndex],84)&gt;0)*(COUNTIFS(T_TTAFStock[RM_Code],$A35,T_TTAFStock[WeekIndex],84)&gt;0)&gt;0,SUMIFS(T_SelfStock[Self_Qty],T_SelfStock[RM_Code],$A35,T_SelfStock[WeekIndex],84)+SUMIFS(T_TTAFStock[TTAF_Qty],T_TTAFStock[RM_Code],$A35,T_TTAFStock[WeekIndex],84),CF35+'Grid_Incoming'!CG35-'Grid_Requirement'!CG35))</f>
        <v/>
      </c>
      <c r="CH35">
        <f>IF(COUNTIFS(T_StockCount[RM_Code],$A35,T_StockCount[WeekIndex],85)&gt;0,SUMIFS(T_StockCount[CountedQty],T_StockCount[RM_Code],$A35,T_StockCount[WeekIndex],85),IF((COUNTIFS(T_SelfStock[RM_Code],$A35,T_SelfStock[WeekIndex],85)&gt;0)*(COUNTIFS(T_TTAFStock[RM_Code],$A35,T_TTAFStock[WeekIndex],85)&gt;0)&gt;0,SUMIFS(T_SelfStock[Self_Qty],T_SelfStock[RM_Code],$A35,T_SelfStock[WeekIndex],85)+SUMIFS(T_TTAFStock[TTAF_Qty],T_TTAFStock[RM_Code],$A35,T_TTAFStock[WeekIndex],85),CG35+'Grid_Incoming'!CH35-'Grid_Requirement'!CH35))</f>
        <v/>
      </c>
      <c r="CI35">
        <f>IF(COUNTIFS(T_StockCount[RM_Code],$A35,T_StockCount[WeekIndex],86)&gt;0,SUMIFS(T_StockCount[CountedQty],T_StockCount[RM_Code],$A35,T_StockCount[WeekIndex],86),IF((COUNTIFS(T_SelfStock[RM_Code],$A35,T_SelfStock[WeekIndex],86)&gt;0)*(COUNTIFS(T_TTAFStock[RM_Code],$A35,T_TTAFStock[WeekIndex],86)&gt;0)&gt;0,SUMIFS(T_SelfStock[Self_Qty],T_SelfStock[RM_Code],$A35,T_SelfStock[WeekIndex],86)+SUMIFS(T_TTAFStock[TTAF_Qty],T_TTAFStock[RM_Code],$A35,T_TTAFStock[WeekIndex],86),CH35+'Grid_Incoming'!CI35-'Grid_Requirement'!CI35))</f>
        <v/>
      </c>
      <c r="CJ35">
        <f>IF(COUNTIFS(T_StockCount[RM_Code],$A35,T_StockCount[WeekIndex],87)&gt;0,SUMIFS(T_StockCount[CountedQty],T_StockCount[RM_Code],$A35,T_StockCount[WeekIndex],87),IF((COUNTIFS(T_SelfStock[RM_Code],$A35,T_SelfStock[WeekIndex],87)&gt;0)*(COUNTIFS(T_TTAFStock[RM_Code],$A35,T_TTAFStock[WeekIndex],87)&gt;0)&gt;0,SUMIFS(T_SelfStock[Self_Qty],T_SelfStock[RM_Code],$A35,T_SelfStock[WeekIndex],87)+SUMIFS(T_TTAFStock[TTAF_Qty],T_TTAFStock[RM_Code],$A35,T_TTAFStock[WeekIndex],87),CI35+'Grid_Incoming'!CJ35-'Grid_Requirement'!CJ35))</f>
        <v/>
      </c>
      <c r="CK35">
        <f>IF(COUNTIFS(T_StockCount[RM_Code],$A35,T_StockCount[WeekIndex],88)&gt;0,SUMIFS(T_StockCount[CountedQty],T_StockCount[RM_Code],$A35,T_StockCount[WeekIndex],88),IF((COUNTIFS(T_SelfStock[RM_Code],$A35,T_SelfStock[WeekIndex],88)&gt;0)*(COUNTIFS(T_TTAFStock[RM_Code],$A35,T_TTAFStock[WeekIndex],88)&gt;0)&gt;0,SUMIFS(T_SelfStock[Self_Qty],T_SelfStock[RM_Code],$A35,T_SelfStock[WeekIndex],88)+SUMIFS(T_TTAFStock[TTAF_Qty],T_TTAFStock[RM_Code],$A35,T_TTAFStock[WeekIndex],88),CJ35+'Grid_Incoming'!CK35-'Grid_Requirement'!CK35))</f>
        <v/>
      </c>
      <c r="CL35">
        <f>IF(COUNTIFS(T_StockCount[RM_Code],$A35,T_StockCount[WeekIndex],89)&gt;0,SUMIFS(T_StockCount[CountedQty],T_StockCount[RM_Code],$A35,T_StockCount[WeekIndex],89),IF((COUNTIFS(T_SelfStock[RM_Code],$A35,T_SelfStock[WeekIndex],89)&gt;0)*(COUNTIFS(T_TTAFStock[RM_Code],$A35,T_TTAFStock[WeekIndex],89)&gt;0)&gt;0,SUMIFS(T_SelfStock[Self_Qty],T_SelfStock[RM_Code],$A35,T_SelfStock[WeekIndex],89)+SUMIFS(T_TTAFStock[TTAF_Qty],T_TTAFStock[RM_Code],$A35,T_TTAFStock[WeekIndex],89),CK35+'Grid_Incoming'!CL35-'Grid_Requirement'!CL35))</f>
        <v/>
      </c>
      <c r="CM35">
        <f>IF(COUNTIFS(T_StockCount[RM_Code],$A35,T_StockCount[WeekIndex],90)&gt;0,SUMIFS(T_StockCount[CountedQty],T_StockCount[RM_Code],$A35,T_StockCount[WeekIndex],90),IF((COUNTIFS(T_SelfStock[RM_Code],$A35,T_SelfStock[WeekIndex],90)&gt;0)*(COUNTIFS(T_TTAFStock[RM_Code],$A35,T_TTAFStock[WeekIndex],90)&gt;0)&gt;0,SUMIFS(T_SelfStock[Self_Qty],T_SelfStock[RM_Code],$A35,T_SelfStock[WeekIndex],90)+SUMIFS(T_TTAFStock[TTAF_Qty],T_TTAFStock[RM_Code],$A35,T_TTAFStock[WeekIndex],90),CL35+'Grid_Incoming'!CM35-'Grid_Requirement'!CM35))</f>
        <v/>
      </c>
      <c r="CN35">
        <f>IF(COUNTIFS(T_StockCount[RM_Code],$A35,T_StockCount[WeekIndex],91)&gt;0,SUMIFS(T_StockCount[CountedQty],T_StockCount[RM_Code],$A35,T_StockCount[WeekIndex],91),IF((COUNTIFS(T_SelfStock[RM_Code],$A35,T_SelfStock[WeekIndex],91)&gt;0)*(COUNTIFS(T_TTAFStock[RM_Code],$A35,T_TTAFStock[WeekIndex],91)&gt;0)&gt;0,SUMIFS(T_SelfStock[Self_Qty],T_SelfStock[RM_Code],$A35,T_SelfStock[WeekIndex],91)+SUMIFS(T_TTAFStock[TTAF_Qty],T_TTAFStock[RM_Code],$A35,T_TTAFStock[WeekIndex],91),CM35+'Grid_Incoming'!CN35-'Grid_Requirement'!CN35))</f>
        <v/>
      </c>
      <c r="CO35">
        <f>IF(COUNTIFS(T_StockCount[RM_Code],$A35,T_StockCount[WeekIndex],92)&gt;0,SUMIFS(T_StockCount[CountedQty],T_StockCount[RM_Code],$A35,T_StockCount[WeekIndex],92),IF((COUNTIFS(T_SelfStock[RM_Code],$A35,T_SelfStock[WeekIndex],92)&gt;0)*(COUNTIFS(T_TTAFStock[RM_Code],$A35,T_TTAFStock[WeekIndex],92)&gt;0)&gt;0,SUMIFS(T_SelfStock[Self_Qty],T_SelfStock[RM_Code],$A35,T_SelfStock[WeekIndex],92)+SUMIFS(T_TTAFStock[TTAF_Qty],T_TTAFStock[RM_Code],$A35,T_TTAFStock[WeekIndex],92),CN35+'Grid_Incoming'!CO35-'Grid_Requirement'!CO35))</f>
        <v/>
      </c>
      <c r="CP35">
        <f>IF(COUNTIFS(T_StockCount[RM_Code],$A35,T_StockCount[WeekIndex],93)&gt;0,SUMIFS(T_StockCount[CountedQty],T_StockCount[RM_Code],$A35,T_StockCount[WeekIndex],93),IF((COUNTIFS(T_SelfStock[RM_Code],$A35,T_SelfStock[WeekIndex],93)&gt;0)*(COUNTIFS(T_TTAFStock[RM_Code],$A35,T_TTAFStock[WeekIndex],93)&gt;0)&gt;0,SUMIFS(T_SelfStock[Self_Qty],T_SelfStock[RM_Code],$A35,T_SelfStock[WeekIndex],93)+SUMIFS(T_TTAFStock[TTAF_Qty],T_TTAFStock[RM_Code],$A35,T_TTAFStock[WeekIndex],93),CO35+'Grid_Incoming'!CP35-'Grid_Requirement'!CP35))</f>
        <v/>
      </c>
      <c r="CQ35">
        <f>IF(COUNTIFS(T_StockCount[RM_Code],$A35,T_StockCount[WeekIndex],94)&gt;0,SUMIFS(T_StockCount[CountedQty],T_StockCount[RM_Code],$A35,T_StockCount[WeekIndex],94),IF((COUNTIFS(T_SelfStock[RM_Code],$A35,T_SelfStock[WeekIndex],94)&gt;0)*(COUNTIFS(T_TTAFStock[RM_Code],$A35,T_TTAFStock[WeekIndex],94)&gt;0)&gt;0,SUMIFS(T_SelfStock[Self_Qty],T_SelfStock[RM_Code],$A35,T_SelfStock[WeekIndex],94)+SUMIFS(T_TTAFStock[TTAF_Qty],T_TTAFStock[RM_Code],$A35,T_TTAFStock[WeekIndex],94),CP35+'Grid_Incoming'!CQ35-'Grid_Requirement'!CQ35))</f>
        <v/>
      </c>
      <c r="CR35">
        <f>IF(COUNTIFS(T_StockCount[RM_Code],$A35,T_StockCount[WeekIndex],95)&gt;0,SUMIFS(T_StockCount[CountedQty],T_StockCount[RM_Code],$A35,T_StockCount[WeekIndex],95),IF((COUNTIFS(T_SelfStock[RM_Code],$A35,T_SelfStock[WeekIndex],95)&gt;0)*(COUNTIFS(T_TTAFStock[RM_Code],$A35,T_TTAFStock[WeekIndex],95)&gt;0)&gt;0,SUMIFS(T_SelfStock[Self_Qty],T_SelfStock[RM_Code],$A35,T_SelfStock[WeekIndex],95)+SUMIFS(T_TTAFStock[TTAF_Qty],T_TTAFStock[RM_Code],$A35,T_TTAFStock[WeekIndex],95),CQ35+'Grid_Incoming'!CR35-'Grid_Requirement'!CR35))</f>
        <v/>
      </c>
      <c r="CS35">
        <f>IF(COUNTIFS(T_StockCount[RM_Code],$A35,T_StockCount[WeekIndex],96)&gt;0,SUMIFS(T_StockCount[CountedQty],T_StockCount[RM_Code],$A35,T_StockCount[WeekIndex],96),IF((COUNTIFS(T_SelfStock[RM_Code],$A35,T_SelfStock[WeekIndex],96)&gt;0)*(COUNTIFS(T_TTAFStock[RM_Code],$A35,T_TTAFStock[WeekIndex],96)&gt;0)&gt;0,SUMIFS(T_SelfStock[Self_Qty],T_SelfStock[RM_Code],$A35,T_SelfStock[WeekIndex],96)+SUMIFS(T_TTAFStock[TTAF_Qty],T_TTAFStock[RM_Code],$A35,T_TTAFStock[WeekIndex],96),CR35+'Grid_Incoming'!CS35-'Grid_Requirement'!CS35))</f>
        <v/>
      </c>
      <c r="CT35">
        <f>IF(COUNTIFS(T_StockCount[RM_Code],$A35,T_StockCount[WeekIndex],97)&gt;0,SUMIFS(T_StockCount[CountedQty],T_StockCount[RM_Code],$A35,T_StockCount[WeekIndex],97),IF((COUNTIFS(T_SelfStock[RM_Code],$A35,T_SelfStock[WeekIndex],97)&gt;0)*(COUNTIFS(T_TTAFStock[RM_Code],$A35,T_TTAFStock[WeekIndex],97)&gt;0)&gt;0,SUMIFS(T_SelfStock[Self_Qty],T_SelfStock[RM_Code],$A35,T_SelfStock[WeekIndex],97)+SUMIFS(T_TTAFStock[TTAF_Qty],T_TTAFStock[RM_Code],$A35,T_TTAFStock[WeekIndex],97),CS35+'Grid_Incoming'!CT35-'Grid_Requirement'!CT35))</f>
        <v/>
      </c>
      <c r="CU35">
        <f>IF(COUNTIFS(T_StockCount[RM_Code],$A35,T_StockCount[WeekIndex],98)&gt;0,SUMIFS(T_StockCount[CountedQty],T_StockCount[RM_Code],$A35,T_StockCount[WeekIndex],98),IF((COUNTIFS(T_SelfStock[RM_Code],$A35,T_SelfStock[WeekIndex],98)&gt;0)*(COUNTIFS(T_TTAFStock[RM_Code],$A35,T_TTAFStock[WeekIndex],98)&gt;0)&gt;0,SUMIFS(T_SelfStock[Self_Qty],T_SelfStock[RM_Code],$A35,T_SelfStock[WeekIndex],98)+SUMIFS(T_TTAFStock[TTAF_Qty],T_TTAFStock[RM_Code],$A35,T_TTAFStock[WeekIndex],98),CT35+'Grid_Incoming'!CU35-'Grid_Requirement'!CU35))</f>
        <v/>
      </c>
      <c r="CV35">
        <f>IF(COUNTIFS(T_StockCount[RM_Code],$A35,T_StockCount[WeekIndex],99)&gt;0,SUMIFS(T_StockCount[CountedQty],T_StockCount[RM_Code],$A35,T_StockCount[WeekIndex],99),IF((COUNTIFS(T_SelfStock[RM_Code],$A35,T_SelfStock[WeekIndex],99)&gt;0)*(COUNTIFS(T_TTAFStock[RM_Code],$A35,T_TTAFStock[WeekIndex],99)&gt;0)&gt;0,SUMIFS(T_SelfStock[Self_Qty],T_SelfStock[RM_Code],$A35,T_SelfStock[WeekIndex],99)+SUMIFS(T_TTAFStock[TTAF_Qty],T_TTAFStock[RM_Code],$A35,T_TTAFStock[WeekIndex],99),CU35+'Grid_Incoming'!CV35-'Grid_Requirement'!CV35))</f>
        <v/>
      </c>
      <c r="CW35">
        <f>IF(COUNTIFS(T_StockCount[RM_Code],$A35,T_StockCount[WeekIndex],100)&gt;0,SUMIFS(T_StockCount[CountedQty],T_StockCount[RM_Code],$A35,T_StockCount[WeekIndex],100),IF((COUNTIFS(T_SelfStock[RM_Code],$A35,T_SelfStock[WeekIndex],100)&gt;0)*(COUNTIFS(T_TTAFStock[RM_Code],$A35,T_TTAFStock[WeekIndex],100)&gt;0)&gt;0,SUMIFS(T_SelfStock[Self_Qty],T_SelfStock[RM_Code],$A35,T_SelfStock[WeekIndex],100)+SUMIFS(T_TTAFStock[TTAF_Qty],T_TTAFStock[RM_Code],$A35,T_TTAFStock[WeekIndex],100),CV35+'Grid_Incoming'!CW35-'Grid_Requirement'!CW35))</f>
        <v/>
      </c>
      <c r="CX35">
        <f>IF(COUNTIFS(T_StockCount[RM_Code],$A35,T_StockCount[WeekIndex],101)&gt;0,SUMIFS(T_StockCount[CountedQty],T_StockCount[RM_Code],$A35,T_StockCount[WeekIndex],101),IF((COUNTIFS(T_SelfStock[RM_Code],$A35,T_SelfStock[WeekIndex],101)&gt;0)*(COUNTIFS(T_TTAFStock[RM_Code],$A35,T_TTAFStock[WeekIndex],101)&gt;0)&gt;0,SUMIFS(T_SelfStock[Self_Qty],T_SelfStock[RM_Code],$A35,T_SelfStock[WeekIndex],101)+SUMIFS(T_TTAFStock[TTAF_Qty],T_TTAFStock[RM_Code],$A35,T_TTAFStock[WeekIndex],101),CW35+'Grid_Incoming'!CX35-'Grid_Requirement'!CX35))</f>
        <v/>
      </c>
      <c r="CY35">
        <f>IF(COUNTIFS(T_StockCount[RM_Code],$A35,T_StockCount[WeekIndex],102)&gt;0,SUMIFS(T_StockCount[CountedQty],T_StockCount[RM_Code],$A35,T_StockCount[WeekIndex],102),IF((COUNTIFS(T_SelfStock[RM_Code],$A35,T_SelfStock[WeekIndex],102)&gt;0)*(COUNTIFS(T_TTAFStock[RM_Code],$A35,T_TTAFStock[WeekIndex],102)&gt;0)&gt;0,SUMIFS(T_SelfStock[Self_Qty],T_SelfStock[RM_Code],$A35,T_SelfStock[WeekIndex],102)+SUMIFS(T_TTAFStock[TTAF_Qty],T_TTAFStock[RM_Code],$A35,T_TTAFStock[WeekIndex],102),CX35+'Grid_Incoming'!CY35-'Grid_Requirement'!CY35))</f>
        <v/>
      </c>
      <c r="CZ35">
        <f>IF(COUNTIFS(T_StockCount[RM_Code],$A35,T_StockCount[WeekIndex],103)&gt;0,SUMIFS(T_StockCount[CountedQty],T_StockCount[RM_Code],$A35,T_StockCount[WeekIndex],103),IF((COUNTIFS(T_SelfStock[RM_Code],$A35,T_SelfStock[WeekIndex],103)&gt;0)*(COUNTIFS(T_TTAFStock[RM_Code],$A35,T_TTAFStock[WeekIndex],103)&gt;0)&gt;0,SUMIFS(T_SelfStock[Self_Qty],T_SelfStock[RM_Code],$A35,T_SelfStock[WeekIndex],103)+SUMIFS(T_TTAFStock[TTAF_Qty],T_TTAFStock[RM_Code],$A35,T_TTAFStock[WeekIndex],103),CY35+'Grid_Incoming'!CZ35-'Grid_Requirement'!CZ35))</f>
        <v/>
      </c>
      <c r="DA35">
        <f>IF(COUNTIFS(T_StockCount[RM_Code],$A35,T_StockCount[WeekIndex],104)&gt;0,SUMIFS(T_StockCount[CountedQty],T_StockCount[RM_Code],$A35,T_StockCount[WeekIndex],104),IF((COUNTIFS(T_SelfStock[RM_Code],$A35,T_SelfStock[WeekIndex],104)&gt;0)*(COUNTIFS(T_TTAFStock[RM_Code],$A35,T_TTAFStock[WeekIndex],104)&gt;0)&gt;0,SUMIFS(T_SelfStock[Self_Qty],T_SelfStock[RM_Code],$A35,T_SelfStock[WeekIndex],104)+SUMIFS(T_TTAFStock[TTAF_Qty],T_TTAFStock[RM_Code],$A35,T_TTAFStock[WeekIndex],104),CZ35+'Grid_Incoming'!DA35-'Grid_Requirement'!DA35))</f>
        <v/>
      </c>
    </row>
    <row r="36">
      <c r="A36" t="inlineStr">
        <is>
          <t>CHEM-1100</t>
        </is>
      </c>
      <c r="B36">
        <f>IF(COUNTIFS(T_StockCount[RM_Code],$A36,T_StockCount[WeekIndex],1)&gt;0,SUMIFS(T_StockCount[CountedQty],T_StockCount[RM_Code],$A36,T_StockCount[WeekIndex],1),IF((COUNTIFS(T_SelfStock[RM_Code],$A36,T_SelfStock[WeekIndex],1)&gt;0)*(COUNTIFS(T_TTAFStock[RM_Code],$A36,T_TTAFStock[WeekIndex],1)&gt;0)&gt;0,SUMIFS(T_SelfStock[Self_Qty],T_SelfStock[RM_Code],$A36,T_SelfStock[WeekIndex],1)+SUMIFS(T_TTAFStock[TTAF_Qty],T_TTAFStock[RM_Code],$A36,T_TTAFStock[WeekIndex],1),IFERROR(INDEX(T_OpeningStock[Opening_Qty],MATCH($A36,T_OpeningStock[RM_Code],0)),0)+'Grid_Incoming'!B36-'Grid_Requirement'!B36))</f>
        <v/>
      </c>
      <c r="C36">
        <f>IF(COUNTIFS(T_StockCount[RM_Code],$A36,T_StockCount[WeekIndex],2)&gt;0,SUMIFS(T_StockCount[CountedQty],T_StockCount[RM_Code],$A36,T_StockCount[WeekIndex],2),IF((COUNTIFS(T_SelfStock[RM_Code],$A36,T_SelfStock[WeekIndex],2)&gt;0)*(COUNTIFS(T_TTAFStock[RM_Code],$A36,T_TTAFStock[WeekIndex],2)&gt;0)&gt;0,SUMIFS(T_SelfStock[Self_Qty],T_SelfStock[RM_Code],$A36,T_SelfStock[WeekIndex],2)+SUMIFS(T_TTAFStock[TTAF_Qty],T_TTAFStock[RM_Code],$A36,T_TTAFStock[WeekIndex],2),B36+'Grid_Incoming'!C36-'Grid_Requirement'!C36))</f>
        <v/>
      </c>
      <c r="D36">
        <f>IF(COUNTIFS(T_StockCount[RM_Code],$A36,T_StockCount[WeekIndex],3)&gt;0,SUMIFS(T_StockCount[CountedQty],T_StockCount[RM_Code],$A36,T_StockCount[WeekIndex],3),IF((COUNTIFS(T_SelfStock[RM_Code],$A36,T_SelfStock[WeekIndex],3)&gt;0)*(COUNTIFS(T_TTAFStock[RM_Code],$A36,T_TTAFStock[WeekIndex],3)&gt;0)&gt;0,SUMIFS(T_SelfStock[Self_Qty],T_SelfStock[RM_Code],$A36,T_SelfStock[WeekIndex],3)+SUMIFS(T_TTAFStock[TTAF_Qty],T_TTAFStock[RM_Code],$A36,T_TTAFStock[WeekIndex],3),C36+'Grid_Incoming'!D36-'Grid_Requirement'!D36))</f>
        <v/>
      </c>
      <c r="E36">
        <f>IF(COUNTIFS(T_StockCount[RM_Code],$A36,T_StockCount[WeekIndex],4)&gt;0,SUMIFS(T_StockCount[CountedQty],T_StockCount[RM_Code],$A36,T_StockCount[WeekIndex],4),IF((COUNTIFS(T_SelfStock[RM_Code],$A36,T_SelfStock[WeekIndex],4)&gt;0)*(COUNTIFS(T_TTAFStock[RM_Code],$A36,T_TTAFStock[WeekIndex],4)&gt;0)&gt;0,SUMIFS(T_SelfStock[Self_Qty],T_SelfStock[RM_Code],$A36,T_SelfStock[WeekIndex],4)+SUMIFS(T_TTAFStock[TTAF_Qty],T_TTAFStock[RM_Code],$A36,T_TTAFStock[WeekIndex],4),D36+'Grid_Incoming'!E36-'Grid_Requirement'!E36))</f>
        <v/>
      </c>
      <c r="F36">
        <f>IF(COUNTIFS(T_StockCount[RM_Code],$A36,T_StockCount[WeekIndex],5)&gt;0,SUMIFS(T_StockCount[CountedQty],T_StockCount[RM_Code],$A36,T_StockCount[WeekIndex],5),IF((COUNTIFS(T_SelfStock[RM_Code],$A36,T_SelfStock[WeekIndex],5)&gt;0)*(COUNTIFS(T_TTAFStock[RM_Code],$A36,T_TTAFStock[WeekIndex],5)&gt;0)&gt;0,SUMIFS(T_SelfStock[Self_Qty],T_SelfStock[RM_Code],$A36,T_SelfStock[WeekIndex],5)+SUMIFS(T_TTAFStock[TTAF_Qty],T_TTAFStock[RM_Code],$A36,T_TTAFStock[WeekIndex],5),E36+'Grid_Incoming'!F36-'Grid_Requirement'!F36))</f>
        <v/>
      </c>
      <c r="G36">
        <f>IF(COUNTIFS(T_StockCount[RM_Code],$A36,T_StockCount[WeekIndex],6)&gt;0,SUMIFS(T_StockCount[CountedQty],T_StockCount[RM_Code],$A36,T_StockCount[WeekIndex],6),IF((COUNTIFS(T_SelfStock[RM_Code],$A36,T_SelfStock[WeekIndex],6)&gt;0)*(COUNTIFS(T_TTAFStock[RM_Code],$A36,T_TTAFStock[WeekIndex],6)&gt;0)&gt;0,SUMIFS(T_SelfStock[Self_Qty],T_SelfStock[RM_Code],$A36,T_SelfStock[WeekIndex],6)+SUMIFS(T_TTAFStock[TTAF_Qty],T_TTAFStock[RM_Code],$A36,T_TTAFStock[WeekIndex],6),F36+'Grid_Incoming'!G36-'Grid_Requirement'!G36))</f>
        <v/>
      </c>
      <c r="H36">
        <f>IF(COUNTIFS(T_StockCount[RM_Code],$A36,T_StockCount[WeekIndex],7)&gt;0,SUMIFS(T_StockCount[CountedQty],T_StockCount[RM_Code],$A36,T_StockCount[WeekIndex],7),IF((COUNTIFS(T_SelfStock[RM_Code],$A36,T_SelfStock[WeekIndex],7)&gt;0)*(COUNTIFS(T_TTAFStock[RM_Code],$A36,T_TTAFStock[WeekIndex],7)&gt;0)&gt;0,SUMIFS(T_SelfStock[Self_Qty],T_SelfStock[RM_Code],$A36,T_SelfStock[WeekIndex],7)+SUMIFS(T_TTAFStock[TTAF_Qty],T_TTAFStock[RM_Code],$A36,T_TTAFStock[WeekIndex],7),G36+'Grid_Incoming'!H36-'Grid_Requirement'!H36))</f>
        <v/>
      </c>
      <c r="I36">
        <f>IF(COUNTIFS(T_StockCount[RM_Code],$A36,T_StockCount[WeekIndex],8)&gt;0,SUMIFS(T_StockCount[CountedQty],T_StockCount[RM_Code],$A36,T_StockCount[WeekIndex],8),IF((COUNTIFS(T_SelfStock[RM_Code],$A36,T_SelfStock[WeekIndex],8)&gt;0)*(COUNTIFS(T_TTAFStock[RM_Code],$A36,T_TTAFStock[WeekIndex],8)&gt;0)&gt;0,SUMIFS(T_SelfStock[Self_Qty],T_SelfStock[RM_Code],$A36,T_SelfStock[WeekIndex],8)+SUMIFS(T_TTAFStock[TTAF_Qty],T_TTAFStock[RM_Code],$A36,T_TTAFStock[WeekIndex],8),H36+'Grid_Incoming'!I36-'Grid_Requirement'!I36))</f>
        <v/>
      </c>
      <c r="J36">
        <f>IF(COUNTIFS(T_StockCount[RM_Code],$A36,T_StockCount[WeekIndex],9)&gt;0,SUMIFS(T_StockCount[CountedQty],T_StockCount[RM_Code],$A36,T_StockCount[WeekIndex],9),IF((COUNTIFS(T_SelfStock[RM_Code],$A36,T_SelfStock[WeekIndex],9)&gt;0)*(COUNTIFS(T_TTAFStock[RM_Code],$A36,T_TTAFStock[WeekIndex],9)&gt;0)&gt;0,SUMIFS(T_SelfStock[Self_Qty],T_SelfStock[RM_Code],$A36,T_SelfStock[WeekIndex],9)+SUMIFS(T_TTAFStock[TTAF_Qty],T_TTAFStock[RM_Code],$A36,T_TTAFStock[WeekIndex],9),I36+'Grid_Incoming'!J36-'Grid_Requirement'!J36))</f>
        <v/>
      </c>
      <c r="K36">
        <f>IF(COUNTIFS(T_StockCount[RM_Code],$A36,T_StockCount[WeekIndex],10)&gt;0,SUMIFS(T_StockCount[CountedQty],T_StockCount[RM_Code],$A36,T_StockCount[WeekIndex],10),IF((COUNTIFS(T_SelfStock[RM_Code],$A36,T_SelfStock[WeekIndex],10)&gt;0)*(COUNTIFS(T_TTAFStock[RM_Code],$A36,T_TTAFStock[WeekIndex],10)&gt;0)&gt;0,SUMIFS(T_SelfStock[Self_Qty],T_SelfStock[RM_Code],$A36,T_SelfStock[WeekIndex],10)+SUMIFS(T_TTAFStock[TTAF_Qty],T_TTAFStock[RM_Code],$A36,T_TTAFStock[WeekIndex],10),J36+'Grid_Incoming'!K36-'Grid_Requirement'!K36))</f>
        <v/>
      </c>
      <c r="L36">
        <f>IF(COUNTIFS(T_StockCount[RM_Code],$A36,T_StockCount[WeekIndex],11)&gt;0,SUMIFS(T_StockCount[CountedQty],T_StockCount[RM_Code],$A36,T_StockCount[WeekIndex],11),IF((COUNTIFS(T_SelfStock[RM_Code],$A36,T_SelfStock[WeekIndex],11)&gt;0)*(COUNTIFS(T_TTAFStock[RM_Code],$A36,T_TTAFStock[WeekIndex],11)&gt;0)&gt;0,SUMIFS(T_SelfStock[Self_Qty],T_SelfStock[RM_Code],$A36,T_SelfStock[WeekIndex],11)+SUMIFS(T_TTAFStock[TTAF_Qty],T_TTAFStock[RM_Code],$A36,T_TTAFStock[WeekIndex],11),K36+'Grid_Incoming'!L36-'Grid_Requirement'!L36))</f>
        <v/>
      </c>
      <c r="M36">
        <f>IF(COUNTIFS(T_StockCount[RM_Code],$A36,T_StockCount[WeekIndex],12)&gt;0,SUMIFS(T_StockCount[CountedQty],T_StockCount[RM_Code],$A36,T_StockCount[WeekIndex],12),IF((COUNTIFS(T_SelfStock[RM_Code],$A36,T_SelfStock[WeekIndex],12)&gt;0)*(COUNTIFS(T_TTAFStock[RM_Code],$A36,T_TTAFStock[WeekIndex],12)&gt;0)&gt;0,SUMIFS(T_SelfStock[Self_Qty],T_SelfStock[RM_Code],$A36,T_SelfStock[WeekIndex],12)+SUMIFS(T_TTAFStock[TTAF_Qty],T_TTAFStock[RM_Code],$A36,T_TTAFStock[WeekIndex],12),L36+'Grid_Incoming'!M36-'Grid_Requirement'!M36))</f>
        <v/>
      </c>
      <c r="N36">
        <f>IF(COUNTIFS(T_StockCount[RM_Code],$A36,T_StockCount[WeekIndex],13)&gt;0,SUMIFS(T_StockCount[CountedQty],T_StockCount[RM_Code],$A36,T_StockCount[WeekIndex],13),IF((COUNTIFS(T_SelfStock[RM_Code],$A36,T_SelfStock[WeekIndex],13)&gt;0)*(COUNTIFS(T_TTAFStock[RM_Code],$A36,T_TTAFStock[WeekIndex],13)&gt;0)&gt;0,SUMIFS(T_SelfStock[Self_Qty],T_SelfStock[RM_Code],$A36,T_SelfStock[WeekIndex],13)+SUMIFS(T_TTAFStock[TTAF_Qty],T_TTAFStock[RM_Code],$A36,T_TTAFStock[WeekIndex],13),M36+'Grid_Incoming'!N36-'Grid_Requirement'!N36))</f>
        <v/>
      </c>
      <c r="O36">
        <f>IF(COUNTIFS(T_StockCount[RM_Code],$A36,T_StockCount[WeekIndex],14)&gt;0,SUMIFS(T_StockCount[CountedQty],T_StockCount[RM_Code],$A36,T_StockCount[WeekIndex],14),IF((COUNTIFS(T_SelfStock[RM_Code],$A36,T_SelfStock[WeekIndex],14)&gt;0)*(COUNTIFS(T_TTAFStock[RM_Code],$A36,T_TTAFStock[WeekIndex],14)&gt;0)&gt;0,SUMIFS(T_SelfStock[Self_Qty],T_SelfStock[RM_Code],$A36,T_SelfStock[WeekIndex],14)+SUMIFS(T_TTAFStock[TTAF_Qty],T_TTAFStock[RM_Code],$A36,T_TTAFStock[WeekIndex],14),N36+'Grid_Incoming'!O36-'Grid_Requirement'!O36))</f>
        <v/>
      </c>
      <c r="P36">
        <f>IF(COUNTIFS(T_StockCount[RM_Code],$A36,T_StockCount[WeekIndex],15)&gt;0,SUMIFS(T_StockCount[CountedQty],T_StockCount[RM_Code],$A36,T_StockCount[WeekIndex],15),IF((COUNTIFS(T_SelfStock[RM_Code],$A36,T_SelfStock[WeekIndex],15)&gt;0)*(COUNTIFS(T_TTAFStock[RM_Code],$A36,T_TTAFStock[WeekIndex],15)&gt;0)&gt;0,SUMIFS(T_SelfStock[Self_Qty],T_SelfStock[RM_Code],$A36,T_SelfStock[WeekIndex],15)+SUMIFS(T_TTAFStock[TTAF_Qty],T_TTAFStock[RM_Code],$A36,T_TTAFStock[WeekIndex],15),O36+'Grid_Incoming'!P36-'Grid_Requirement'!P36))</f>
        <v/>
      </c>
      <c r="Q36">
        <f>IF(COUNTIFS(T_StockCount[RM_Code],$A36,T_StockCount[WeekIndex],16)&gt;0,SUMIFS(T_StockCount[CountedQty],T_StockCount[RM_Code],$A36,T_StockCount[WeekIndex],16),IF((COUNTIFS(T_SelfStock[RM_Code],$A36,T_SelfStock[WeekIndex],16)&gt;0)*(COUNTIFS(T_TTAFStock[RM_Code],$A36,T_TTAFStock[WeekIndex],16)&gt;0)&gt;0,SUMIFS(T_SelfStock[Self_Qty],T_SelfStock[RM_Code],$A36,T_SelfStock[WeekIndex],16)+SUMIFS(T_TTAFStock[TTAF_Qty],T_TTAFStock[RM_Code],$A36,T_TTAFStock[WeekIndex],16),P36+'Grid_Incoming'!Q36-'Grid_Requirement'!Q36))</f>
        <v/>
      </c>
      <c r="R36">
        <f>IF(COUNTIFS(T_StockCount[RM_Code],$A36,T_StockCount[WeekIndex],17)&gt;0,SUMIFS(T_StockCount[CountedQty],T_StockCount[RM_Code],$A36,T_StockCount[WeekIndex],17),IF((COUNTIFS(T_SelfStock[RM_Code],$A36,T_SelfStock[WeekIndex],17)&gt;0)*(COUNTIFS(T_TTAFStock[RM_Code],$A36,T_TTAFStock[WeekIndex],17)&gt;0)&gt;0,SUMIFS(T_SelfStock[Self_Qty],T_SelfStock[RM_Code],$A36,T_SelfStock[WeekIndex],17)+SUMIFS(T_TTAFStock[TTAF_Qty],T_TTAFStock[RM_Code],$A36,T_TTAFStock[WeekIndex],17),Q36+'Grid_Incoming'!R36-'Grid_Requirement'!R36))</f>
        <v/>
      </c>
      <c r="S36">
        <f>IF(COUNTIFS(T_StockCount[RM_Code],$A36,T_StockCount[WeekIndex],18)&gt;0,SUMIFS(T_StockCount[CountedQty],T_StockCount[RM_Code],$A36,T_StockCount[WeekIndex],18),IF((COUNTIFS(T_SelfStock[RM_Code],$A36,T_SelfStock[WeekIndex],18)&gt;0)*(COUNTIFS(T_TTAFStock[RM_Code],$A36,T_TTAFStock[WeekIndex],18)&gt;0)&gt;0,SUMIFS(T_SelfStock[Self_Qty],T_SelfStock[RM_Code],$A36,T_SelfStock[WeekIndex],18)+SUMIFS(T_TTAFStock[TTAF_Qty],T_TTAFStock[RM_Code],$A36,T_TTAFStock[WeekIndex],18),R36+'Grid_Incoming'!S36-'Grid_Requirement'!S36))</f>
        <v/>
      </c>
      <c r="T36">
        <f>IF(COUNTIFS(T_StockCount[RM_Code],$A36,T_StockCount[WeekIndex],19)&gt;0,SUMIFS(T_StockCount[CountedQty],T_StockCount[RM_Code],$A36,T_StockCount[WeekIndex],19),IF((COUNTIFS(T_SelfStock[RM_Code],$A36,T_SelfStock[WeekIndex],19)&gt;0)*(COUNTIFS(T_TTAFStock[RM_Code],$A36,T_TTAFStock[WeekIndex],19)&gt;0)&gt;0,SUMIFS(T_SelfStock[Self_Qty],T_SelfStock[RM_Code],$A36,T_SelfStock[WeekIndex],19)+SUMIFS(T_TTAFStock[TTAF_Qty],T_TTAFStock[RM_Code],$A36,T_TTAFStock[WeekIndex],19),S36+'Grid_Incoming'!T36-'Grid_Requirement'!T36))</f>
        <v/>
      </c>
      <c r="U36">
        <f>IF(COUNTIFS(T_StockCount[RM_Code],$A36,T_StockCount[WeekIndex],20)&gt;0,SUMIFS(T_StockCount[CountedQty],T_StockCount[RM_Code],$A36,T_StockCount[WeekIndex],20),IF((COUNTIFS(T_SelfStock[RM_Code],$A36,T_SelfStock[WeekIndex],20)&gt;0)*(COUNTIFS(T_TTAFStock[RM_Code],$A36,T_TTAFStock[WeekIndex],20)&gt;0)&gt;0,SUMIFS(T_SelfStock[Self_Qty],T_SelfStock[RM_Code],$A36,T_SelfStock[WeekIndex],20)+SUMIFS(T_TTAFStock[TTAF_Qty],T_TTAFStock[RM_Code],$A36,T_TTAFStock[WeekIndex],20),T36+'Grid_Incoming'!U36-'Grid_Requirement'!U36))</f>
        <v/>
      </c>
      <c r="V36">
        <f>IF(COUNTIFS(T_StockCount[RM_Code],$A36,T_StockCount[WeekIndex],21)&gt;0,SUMIFS(T_StockCount[CountedQty],T_StockCount[RM_Code],$A36,T_StockCount[WeekIndex],21),IF((COUNTIFS(T_SelfStock[RM_Code],$A36,T_SelfStock[WeekIndex],21)&gt;0)*(COUNTIFS(T_TTAFStock[RM_Code],$A36,T_TTAFStock[WeekIndex],21)&gt;0)&gt;0,SUMIFS(T_SelfStock[Self_Qty],T_SelfStock[RM_Code],$A36,T_SelfStock[WeekIndex],21)+SUMIFS(T_TTAFStock[TTAF_Qty],T_TTAFStock[RM_Code],$A36,T_TTAFStock[WeekIndex],21),U36+'Grid_Incoming'!V36-'Grid_Requirement'!V36))</f>
        <v/>
      </c>
      <c r="W36">
        <f>IF(COUNTIFS(T_StockCount[RM_Code],$A36,T_StockCount[WeekIndex],22)&gt;0,SUMIFS(T_StockCount[CountedQty],T_StockCount[RM_Code],$A36,T_StockCount[WeekIndex],22),IF((COUNTIFS(T_SelfStock[RM_Code],$A36,T_SelfStock[WeekIndex],22)&gt;0)*(COUNTIFS(T_TTAFStock[RM_Code],$A36,T_TTAFStock[WeekIndex],22)&gt;0)&gt;0,SUMIFS(T_SelfStock[Self_Qty],T_SelfStock[RM_Code],$A36,T_SelfStock[WeekIndex],22)+SUMIFS(T_TTAFStock[TTAF_Qty],T_TTAFStock[RM_Code],$A36,T_TTAFStock[WeekIndex],22),V36+'Grid_Incoming'!W36-'Grid_Requirement'!W36))</f>
        <v/>
      </c>
      <c r="X36">
        <f>IF(COUNTIFS(T_StockCount[RM_Code],$A36,T_StockCount[WeekIndex],23)&gt;0,SUMIFS(T_StockCount[CountedQty],T_StockCount[RM_Code],$A36,T_StockCount[WeekIndex],23),IF((COUNTIFS(T_SelfStock[RM_Code],$A36,T_SelfStock[WeekIndex],23)&gt;0)*(COUNTIFS(T_TTAFStock[RM_Code],$A36,T_TTAFStock[WeekIndex],23)&gt;0)&gt;0,SUMIFS(T_SelfStock[Self_Qty],T_SelfStock[RM_Code],$A36,T_SelfStock[WeekIndex],23)+SUMIFS(T_TTAFStock[TTAF_Qty],T_TTAFStock[RM_Code],$A36,T_TTAFStock[WeekIndex],23),W36+'Grid_Incoming'!X36-'Grid_Requirement'!X36))</f>
        <v/>
      </c>
      <c r="Y36">
        <f>IF(COUNTIFS(T_StockCount[RM_Code],$A36,T_StockCount[WeekIndex],24)&gt;0,SUMIFS(T_StockCount[CountedQty],T_StockCount[RM_Code],$A36,T_StockCount[WeekIndex],24),IF((COUNTIFS(T_SelfStock[RM_Code],$A36,T_SelfStock[WeekIndex],24)&gt;0)*(COUNTIFS(T_TTAFStock[RM_Code],$A36,T_TTAFStock[WeekIndex],24)&gt;0)&gt;0,SUMIFS(T_SelfStock[Self_Qty],T_SelfStock[RM_Code],$A36,T_SelfStock[WeekIndex],24)+SUMIFS(T_TTAFStock[TTAF_Qty],T_TTAFStock[RM_Code],$A36,T_TTAFStock[WeekIndex],24),X36+'Grid_Incoming'!Y36-'Grid_Requirement'!Y36))</f>
        <v/>
      </c>
      <c r="Z36">
        <f>IF(COUNTIFS(T_StockCount[RM_Code],$A36,T_StockCount[WeekIndex],25)&gt;0,SUMIFS(T_StockCount[CountedQty],T_StockCount[RM_Code],$A36,T_StockCount[WeekIndex],25),IF((COUNTIFS(T_SelfStock[RM_Code],$A36,T_SelfStock[WeekIndex],25)&gt;0)*(COUNTIFS(T_TTAFStock[RM_Code],$A36,T_TTAFStock[WeekIndex],25)&gt;0)&gt;0,SUMIFS(T_SelfStock[Self_Qty],T_SelfStock[RM_Code],$A36,T_SelfStock[WeekIndex],25)+SUMIFS(T_TTAFStock[TTAF_Qty],T_TTAFStock[RM_Code],$A36,T_TTAFStock[WeekIndex],25),Y36+'Grid_Incoming'!Z36-'Grid_Requirement'!Z36))</f>
        <v/>
      </c>
      <c r="AA36">
        <f>IF(COUNTIFS(T_StockCount[RM_Code],$A36,T_StockCount[WeekIndex],26)&gt;0,SUMIFS(T_StockCount[CountedQty],T_StockCount[RM_Code],$A36,T_StockCount[WeekIndex],26),IF((COUNTIFS(T_SelfStock[RM_Code],$A36,T_SelfStock[WeekIndex],26)&gt;0)*(COUNTIFS(T_TTAFStock[RM_Code],$A36,T_TTAFStock[WeekIndex],26)&gt;0)&gt;0,SUMIFS(T_SelfStock[Self_Qty],T_SelfStock[RM_Code],$A36,T_SelfStock[WeekIndex],26)+SUMIFS(T_TTAFStock[TTAF_Qty],T_TTAFStock[RM_Code],$A36,T_TTAFStock[WeekIndex],26),Z36+'Grid_Incoming'!AA36-'Grid_Requirement'!AA36))</f>
        <v/>
      </c>
      <c r="AB36">
        <f>IF(COUNTIFS(T_StockCount[RM_Code],$A36,T_StockCount[WeekIndex],27)&gt;0,SUMIFS(T_StockCount[CountedQty],T_StockCount[RM_Code],$A36,T_StockCount[WeekIndex],27),IF((COUNTIFS(T_SelfStock[RM_Code],$A36,T_SelfStock[WeekIndex],27)&gt;0)*(COUNTIFS(T_TTAFStock[RM_Code],$A36,T_TTAFStock[WeekIndex],27)&gt;0)&gt;0,SUMIFS(T_SelfStock[Self_Qty],T_SelfStock[RM_Code],$A36,T_SelfStock[WeekIndex],27)+SUMIFS(T_TTAFStock[TTAF_Qty],T_TTAFStock[RM_Code],$A36,T_TTAFStock[WeekIndex],27),AA36+'Grid_Incoming'!AB36-'Grid_Requirement'!AB36))</f>
        <v/>
      </c>
      <c r="AC36">
        <f>IF(COUNTIFS(T_StockCount[RM_Code],$A36,T_StockCount[WeekIndex],28)&gt;0,SUMIFS(T_StockCount[CountedQty],T_StockCount[RM_Code],$A36,T_StockCount[WeekIndex],28),IF((COUNTIFS(T_SelfStock[RM_Code],$A36,T_SelfStock[WeekIndex],28)&gt;0)*(COUNTIFS(T_TTAFStock[RM_Code],$A36,T_TTAFStock[WeekIndex],28)&gt;0)&gt;0,SUMIFS(T_SelfStock[Self_Qty],T_SelfStock[RM_Code],$A36,T_SelfStock[WeekIndex],28)+SUMIFS(T_TTAFStock[TTAF_Qty],T_TTAFStock[RM_Code],$A36,T_TTAFStock[WeekIndex],28),AB36+'Grid_Incoming'!AC36-'Grid_Requirement'!AC36))</f>
        <v/>
      </c>
      <c r="AD36">
        <f>IF(COUNTIFS(T_StockCount[RM_Code],$A36,T_StockCount[WeekIndex],29)&gt;0,SUMIFS(T_StockCount[CountedQty],T_StockCount[RM_Code],$A36,T_StockCount[WeekIndex],29),IF((COUNTIFS(T_SelfStock[RM_Code],$A36,T_SelfStock[WeekIndex],29)&gt;0)*(COUNTIFS(T_TTAFStock[RM_Code],$A36,T_TTAFStock[WeekIndex],29)&gt;0)&gt;0,SUMIFS(T_SelfStock[Self_Qty],T_SelfStock[RM_Code],$A36,T_SelfStock[WeekIndex],29)+SUMIFS(T_TTAFStock[TTAF_Qty],T_TTAFStock[RM_Code],$A36,T_TTAFStock[WeekIndex],29),AC36+'Grid_Incoming'!AD36-'Grid_Requirement'!AD36))</f>
        <v/>
      </c>
      <c r="AE36">
        <f>IF(COUNTIFS(T_StockCount[RM_Code],$A36,T_StockCount[WeekIndex],30)&gt;0,SUMIFS(T_StockCount[CountedQty],T_StockCount[RM_Code],$A36,T_StockCount[WeekIndex],30),IF((COUNTIFS(T_SelfStock[RM_Code],$A36,T_SelfStock[WeekIndex],30)&gt;0)*(COUNTIFS(T_TTAFStock[RM_Code],$A36,T_TTAFStock[WeekIndex],30)&gt;0)&gt;0,SUMIFS(T_SelfStock[Self_Qty],T_SelfStock[RM_Code],$A36,T_SelfStock[WeekIndex],30)+SUMIFS(T_TTAFStock[TTAF_Qty],T_TTAFStock[RM_Code],$A36,T_TTAFStock[WeekIndex],30),AD36+'Grid_Incoming'!AE36-'Grid_Requirement'!AE36))</f>
        <v/>
      </c>
      <c r="AF36">
        <f>IF(COUNTIFS(T_StockCount[RM_Code],$A36,T_StockCount[WeekIndex],31)&gt;0,SUMIFS(T_StockCount[CountedQty],T_StockCount[RM_Code],$A36,T_StockCount[WeekIndex],31),IF((COUNTIFS(T_SelfStock[RM_Code],$A36,T_SelfStock[WeekIndex],31)&gt;0)*(COUNTIFS(T_TTAFStock[RM_Code],$A36,T_TTAFStock[WeekIndex],31)&gt;0)&gt;0,SUMIFS(T_SelfStock[Self_Qty],T_SelfStock[RM_Code],$A36,T_SelfStock[WeekIndex],31)+SUMIFS(T_TTAFStock[TTAF_Qty],T_TTAFStock[RM_Code],$A36,T_TTAFStock[WeekIndex],31),AE36+'Grid_Incoming'!AF36-'Grid_Requirement'!AF36))</f>
        <v/>
      </c>
      <c r="AG36">
        <f>IF(COUNTIFS(T_StockCount[RM_Code],$A36,T_StockCount[WeekIndex],32)&gt;0,SUMIFS(T_StockCount[CountedQty],T_StockCount[RM_Code],$A36,T_StockCount[WeekIndex],32),IF((COUNTIFS(T_SelfStock[RM_Code],$A36,T_SelfStock[WeekIndex],32)&gt;0)*(COUNTIFS(T_TTAFStock[RM_Code],$A36,T_TTAFStock[WeekIndex],32)&gt;0)&gt;0,SUMIFS(T_SelfStock[Self_Qty],T_SelfStock[RM_Code],$A36,T_SelfStock[WeekIndex],32)+SUMIFS(T_TTAFStock[TTAF_Qty],T_TTAFStock[RM_Code],$A36,T_TTAFStock[WeekIndex],32),AF36+'Grid_Incoming'!AG36-'Grid_Requirement'!AG36))</f>
        <v/>
      </c>
      <c r="AH36">
        <f>IF(COUNTIFS(T_StockCount[RM_Code],$A36,T_StockCount[WeekIndex],33)&gt;0,SUMIFS(T_StockCount[CountedQty],T_StockCount[RM_Code],$A36,T_StockCount[WeekIndex],33),IF((COUNTIFS(T_SelfStock[RM_Code],$A36,T_SelfStock[WeekIndex],33)&gt;0)*(COUNTIFS(T_TTAFStock[RM_Code],$A36,T_TTAFStock[WeekIndex],33)&gt;0)&gt;0,SUMIFS(T_SelfStock[Self_Qty],T_SelfStock[RM_Code],$A36,T_SelfStock[WeekIndex],33)+SUMIFS(T_TTAFStock[TTAF_Qty],T_TTAFStock[RM_Code],$A36,T_TTAFStock[WeekIndex],33),AG36+'Grid_Incoming'!AH36-'Grid_Requirement'!AH36))</f>
        <v/>
      </c>
      <c r="AI36">
        <f>IF(COUNTIFS(T_StockCount[RM_Code],$A36,T_StockCount[WeekIndex],34)&gt;0,SUMIFS(T_StockCount[CountedQty],T_StockCount[RM_Code],$A36,T_StockCount[WeekIndex],34),IF((COUNTIFS(T_SelfStock[RM_Code],$A36,T_SelfStock[WeekIndex],34)&gt;0)*(COUNTIFS(T_TTAFStock[RM_Code],$A36,T_TTAFStock[WeekIndex],34)&gt;0)&gt;0,SUMIFS(T_SelfStock[Self_Qty],T_SelfStock[RM_Code],$A36,T_SelfStock[WeekIndex],34)+SUMIFS(T_TTAFStock[TTAF_Qty],T_TTAFStock[RM_Code],$A36,T_TTAFStock[WeekIndex],34),AH36+'Grid_Incoming'!AI36-'Grid_Requirement'!AI36))</f>
        <v/>
      </c>
      <c r="AJ36">
        <f>IF(COUNTIFS(T_StockCount[RM_Code],$A36,T_StockCount[WeekIndex],35)&gt;0,SUMIFS(T_StockCount[CountedQty],T_StockCount[RM_Code],$A36,T_StockCount[WeekIndex],35),IF((COUNTIFS(T_SelfStock[RM_Code],$A36,T_SelfStock[WeekIndex],35)&gt;0)*(COUNTIFS(T_TTAFStock[RM_Code],$A36,T_TTAFStock[WeekIndex],35)&gt;0)&gt;0,SUMIFS(T_SelfStock[Self_Qty],T_SelfStock[RM_Code],$A36,T_SelfStock[WeekIndex],35)+SUMIFS(T_TTAFStock[TTAF_Qty],T_TTAFStock[RM_Code],$A36,T_TTAFStock[WeekIndex],35),AI36+'Grid_Incoming'!AJ36-'Grid_Requirement'!AJ36))</f>
        <v/>
      </c>
      <c r="AK36">
        <f>IF(COUNTIFS(T_StockCount[RM_Code],$A36,T_StockCount[WeekIndex],36)&gt;0,SUMIFS(T_StockCount[CountedQty],T_StockCount[RM_Code],$A36,T_StockCount[WeekIndex],36),IF((COUNTIFS(T_SelfStock[RM_Code],$A36,T_SelfStock[WeekIndex],36)&gt;0)*(COUNTIFS(T_TTAFStock[RM_Code],$A36,T_TTAFStock[WeekIndex],36)&gt;0)&gt;0,SUMIFS(T_SelfStock[Self_Qty],T_SelfStock[RM_Code],$A36,T_SelfStock[WeekIndex],36)+SUMIFS(T_TTAFStock[TTAF_Qty],T_TTAFStock[RM_Code],$A36,T_TTAFStock[WeekIndex],36),AJ36+'Grid_Incoming'!AK36-'Grid_Requirement'!AK36))</f>
        <v/>
      </c>
      <c r="AL36">
        <f>IF(COUNTIFS(T_StockCount[RM_Code],$A36,T_StockCount[WeekIndex],37)&gt;0,SUMIFS(T_StockCount[CountedQty],T_StockCount[RM_Code],$A36,T_StockCount[WeekIndex],37),IF((COUNTIFS(T_SelfStock[RM_Code],$A36,T_SelfStock[WeekIndex],37)&gt;0)*(COUNTIFS(T_TTAFStock[RM_Code],$A36,T_TTAFStock[WeekIndex],37)&gt;0)&gt;0,SUMIFS(T_SelfStock[Self_Qty],T_SelfStock[RM_Code],$A36,T_SelfStock[WeekIndex],37)+SUMIFS(T_TTAFStock[TTAF_Qty],T_TTAFStock[RM_Code],$A36,T_TTAFStock[WeekIndex],37),AK36+'Grid_Incoming'!AL36-'Grid_Requirement'!AL36))</f>
        <v/>
      </c>
      <c r="AM36">
        <f>IF(COUNTIFS(T_StockCount[RM_Code],$A36,T_StockCount[WeekIndex],38)&gt;0,SUMIFS(T_StockCount[CountedQty],T_StockCount[RM_Code],$A36,T_StockCount[WeekIndex],38),IF((COUNTIFS(T_SelfStock[RM_Code],$A36,T_SelfStock[WeekIndex],38)&gt;0)*(COUNTIFS(T_TTAFStock[RM_Code],$A36,T_TTAFStock[WeekIndex],38)&gt;0)&gt;0,SUMIFS(T_SelfStock[Self_Qty],T_SelfStock[RM_Code],$A36,T_SelfStock[WeekIndex],38)+SUMIFS(T_TTAFStock[TTAF_Qty],T_TTAFStock[RM_Code],$A36,T_TTAFStock[WeekIndex],38),AL36+'Grid_Incoming'!AM36-'Grid_Requirement'!AM36))</f>
        <v/>
      </c>
      <c r="AN36">
        <f>IF(COUNTIFS(T_StockCount[RM_Code],$A36,T_StockCount[WeekIndex],39)&gt;0,SUMIFS(T_StockCount[CountedQty],T_StockCount[RM_Code],$A36,T_StockCount[WeekIndex],39),IF((COUNTIFS(T_SelfStock[RM_Code],$A36,T_SelfStock[WeekIndex],39)&gt;0)*(COUNTIFS(T_TTAFStock[RM_Code],$A36,T_TTAFStock[WeekIndex],39)&gt;0)&gt;0,SUMIFS(T_SelfStock[Self_Qty],T_SelfStock[RM_Code],$A36,T_SelfStock[WeekIndex],39)+SUMIFS(T_TTAFStock[TTAF_Qty],T_TTAFStock[RM_Code],$A36,T_TTAFStock[WeekIndex],39),AM36+'Grid_Incoming'!AN36-'Grid_Requirement'!AN36))</f>
        <v/>
      </c>
      <c r="AO36">
        <f>IF(COUNTIFS(T_StockCount[RM_Code],$A36,T_StockCount[WeekIndex],40)&gt;0,SUMIFS(T_StockCount[CountedQty],T_StockCount[RM_Code],$A36,T_StockCount[WeekIndex],40),IF((COUNTIFS(T_SelfStock[RM_Code],$A36,T_SelfStock[WeekIndex],40)&gt;0)*(COUNTIFS(T_TTAFStock[RM_Code],$A36,T_TTAFStock[WeekIndex],40)&gt;0)&gt;0,SUMIFS(T_SelfStock[Self_Qty],T_SelfStock[RM_Code],$A36,T_SelfStock[WeekIndex],40)+SUMIFS(T_TTAFStock[TTAF_Qty],T_TTAFStock[RM_Code],$A36,T_TTAFStock[WeekIndex],40),AN36+'Grid_Incoming'!AO36-'Grid_Requirement'!AO36))</f>
        <v/>
      </c>
      <c r="AP36">
        <f>IF(COUNTIFS(T_StockCount[RM_Code],$A36,T_StockCount[WeekIndex],41)&gt;0,SUMIFS(T_StockCount[CountedQty],T_StockCount[RM_Code],$A36,T_StockCount[WeekIndex],41),IF((COUNTIFS(T_SelfStock[RM_Code],$A36,T_SelfStock[WeekIndex],41)&gt;0)*(COUNTIFS(T_TTAFStock[RM_Code],$A36,T_TTAFStock[WeekIndex],41)&gt;0)&gt;0,SUMIFS(T_SelfStock[Self_Qty],T_SelfStock[RM_Code],$A36,T_SelfStock[WeekIndex],41)+SUMIFS(T_TTAFStock[TTAF_Qty],T_TTAFStock[RM_Code],$A36,T_TTAFStock[WeekIndex],41),AO36+'Grid_Incoming'!AP36-'Grid_Requirement'!AP36))</f>
        <v/>
      </c>
      <c r="AQ36">
        <f>IF(COUNTIFS(T_StockCount[RM_Code],$A36,T_StockCount[WeekIndex],42)&gt;0,SUMIFS(T_StockCount[CountedQty],T_StockCount[RM_Code],$A36,T_StockCount[WeekIndex],42),IF((COUNTIFS(T_SelfStock[RM_Code],$A36,T_SelfStock[WeekIndex],42)&gt;0)*(COUNTIFS(T_TTAFStock[RM_Code],$A36,T_TTAFStock[WeekIndex],42)&gt;0)&gt;0,SUMIFS(T_SelfStock[Self_Qty],T_SelfStock[RM_Code],$A36,T_SelfStock[WeekIndex],42)+SUMIFS(T_TTAFStock[TTAF_Qty],T_TTAFStock[RM_Code],$A36,T_TTAFStock[WeekIndex],42),AP36+'Grid_Incoming'!AQ36-'Grid_Requirement'!AQ36))</f>
        <v/>
      </c>
      <c r="AR36">
        <f>IF(COUNTIFS(T_StockCount[RM_Code],$A36,T_StockCount[WeekIndex],43)&gt;0,SUMIFS(T_StockCount[CountedQty],T_StockCount[RM_Code],$A36,T_StockCount[WeekIndex],43),IF((COUNTIFS(T_SelfStock[RM_Code],$A36,T_SelfStock[WeekIndex],43)&gt;0)*(COUNTIFS(T_TTAFStock[RM_Code],$A36,T_TTAFStock[WeekIndex],43)&gt;0)&gt;0,SUMIFS(T_SelfStock[Self_Qty],T_SelfStock[RM_Code],$A36,T_SelfStock[WeekIndex],43)+SUMIFS(T_TTAFStock[TTAF_Qty],T_TTAFStock[RM_Code],$A36,T_TTAFStock[WeekIndex],43),AQ36+'Grid_Incoming'!AR36-'Grid_Requirement'!AR36))</f>
        <v/>
      </c>
      <c r="AS36">
        <f>IF(COUNTIFS(T_StockCount[RM_Code],$A36,T_StockCount[WeekIndex],44)&gt;0,SUMIFS(T_StockCount[CountedQty],T_StockCount[RM_Code],$A36,T_StockCount[WeekIndex],44),IF((COUNTIFS(T_SelfStock[RM_Code],$A36,T_SelfStock[WeekIndex],44)&gt;0)*(COUNTIFS(T_TTAFStock[RM_Code],$A36,T_TTAFStock[WeekIndex],44)&gt;0)&gt;0,SUMIFS(T_SelfStock[Self_Qty],T_SelfStock[RM_Code],$A36,T_SelfStock[WeekIndex],44)+SUMIFS(T_TTAFStock[TTAF_Qty],T_TTAFStock[RM_Code],$A36,T_TTAFStock[WeekIndex],44),AR36+'Grid_Incoming'!AS36-'Grid_Requirement'!AS36))</f>
        <v/>
      </c>
      <c r="AT36">
        <f>IF(COUNTIFS(T_StockCount[RM_Code],$A36,T_StockCount[WeekIndex],45)&gt;0,SUMIFS(T_StockCount[CountedQty],T_StockCount[RM_Code],$A36,T_StockCount[WeekIndex],45),IF((COUNTIFS(T_SelfStock[RM_Code],$A36,T_SelfStock[WeekIndex],45)&gt;0)*(COUNTIFS(T_TTAFStock[RM_Code],$A36,T_TTAFStock[WeekIndex],45)&gt;0)&gt;0,SUMIFS(T_SelfStock[Self_Qty],T_SelfStock[RM_Code],$A36,T_SelfStock[WeekIndex],45)+SUMIFS(T_TTAFStock[TTAF_Qty],T_TTAFStock[RM_Code],$A36,T_TTAFStock[WeekIndex],45),AS36+'Grid_Incoming'!AT36-'Grid_Requirement'!AT36))</f>
        <v/>
      </c>
      <c r="AU36">
        <f>IF(COUNTIFS(T_StockCount[RM_Code],$A36,T_StockCount[WeekIndex],46)&gt;0,SUMIFS(T_StockCount[CountedQty],T_StockCount[RM_Code],$A36,T_StockCount[WeekIndex],46),IF((COUNTIFS(T_SelfStock[RM_Code],$A36,T_SelfStock[WeekIndex],46)&gt;0)*(COUNTIFS(T_TTAFStock[RM_Code],$A36,T_TTAFStock[WeekIndex],46)&gt;0)&gt;0,SUMIFS(T_SelfStock[Self_Qty],T_SelfStock[RM_Code],$A36,T_SelfStock[WeekIndex],46)+SUMIFS(T_TTAFStock[TTAF_Qty],T_TTAFStock[RM_Code],$A36,T_TTAFStock[WeekIndex],46),AT36+'Grid_Incoming'!AU36-'Grid_Requirement'!AU36))</f>
        <v/>
      </c>
      <c r="AV36">
        <f>IF(COUNTIFS(T_StockCount[RM_Code],$A36,T_StockCount[WeekIndex],47)&gt;0,SUMIFS(T_StockCount[CountedQty],T_StockCount[RM_Code],$A36,T_StockCount[WeekIndex],47),IF((COUNTIFS(T_SelfStock[RM_Code],$A36,T_SelfStock[WeekIndex],47)&gt;0)*(COUNTIFS(T_TTAFStock[RM_Code],$A36,T_TTAFStock[WeekIndex],47)&gt;0)&gt;0,SUMIFS(T_SelfStock[Self_Qty],T_SelfStock[RM_Code],$A36,T_SelfStock[WeekIndex],47)+SUMIFS(T_TTAFStock[TTAF_Qty],T_TTAFStock[RM_Code],$A36,T_TTAFStock[WeekIndex],47),AU36+'Grid_Incoming'!AV36-'Grid_Requirement'!AV36))</f>
        <v/>
      </c>
      <c r="AW36">
        <f>IF(COUNTIFS(T_StockCount[RM_Code],$A36,T_StockCount[WeekIndex],48)&gt;0,SUMIFS(T_StockCount[CountedQty],T_StockCount[RM_Code],$A36,T_StockCount[WeekIndex],48),IF((COUNTIFS(T_SelfStock[RM_Code],$A36,T_SelfStock[WeekIndex],48)&gt;0)*(COUNTIFS(T_TTAFStock[RM_Code],$A36,T_TTAFStock[WeekIndex],48)&gt;0)&gt;0,SUMIFS(T_SelfStock[Self_Qty],T_SelfStock[RM_Code],$A36,T_SelfStock[WeekIndex],48)+SUMIFS(T_TTAFStock[TTAF_Qty],T_TTAFStock[RM_Code],$A36,T_TTAFStock[WeekIndex],48),AV36+'Grid_Incoming'!AW36-'Grid_Requirement'!AW36))</f>
        <v/>
      </c>
      <c r="AX36">
        <f>IF(COUNTIFS(T_StockCount[RM_Code],$A36,T_StockCount[WeekIndex],49)&gt;0,SUMIFS(T_StockCount[CountedQty],T_StockCount[RM_Code],$A36,T_StockCount[WeekIndex],49),IF((COUNTIFS(T_SelfStock[RM_Code],$A36,T_SelfStock[WeekIndex],49)&gt;0)*(COUNTIFS(T_TTAFStock[RM_Code],$A36,T_TTAFStock[WeekIndex],49)&gt;0)&gt;0,SUMIFS(T_SelfStock[Self_Qty],T_SelfStock[RM_Code],$A36,T_SelfStock[WeekIndex],49)+SUMIFS(T_TTAFStock[TTAF_Qty],T_TTAFStock[RM_Code],$A36,T_TTAFStock[WeekIndex],49),AW36+'Grid_Incoming'!AX36-'Grid_Requirement'!AX36))</f>
        <v/>
      </c>
      <c r="AY36">
        <f>IF(COUNTIFS(T_StockCount[RM_Code],$A36,T_StockCount[WeekIndex],50)&gt;0,SUMIFS(T_StockCount[CountedQty],T_StockCount[RM_Code],$A36,T_StockCount[WeekIndex],50),IF((COUNTIFS(T_SelfStock[RM_Code],$A36,T_SelfStock[WeekIndex],50)&gt;0)*(COUNTIFS(T_TTAFStock[RM_Code],$A36,T_TTAFStock[WeekIndex],50)&gt;0)&gt;0,SUMIFS(T_SelfStock[Self_Qty],T_SelfStock[RM_Code],$A36,T_SelfStock[WeekIndex],50)+SUMIFS(T_TTAFStock[TTAF_Qty],T_TTAFStock[RM_Code],$A36,T_TTAFStock[WeekIndex],50),AX36+'Grid_Incoming'!AY36-'Grid_Requirement'!AY36))</f>
        <v/>
      </c>
      <c r="AZ36">
        <f>IF(COUNTIFS(T_StockCount[RM_Code],$A36,T_StockCount[WeekIndex],51)&gt;0,SUMIFS(T_StockCount[CountedQty],T_StockCount[RM_Code],$A36,T_StockCount[WeekIndex],51),IF((COUNTIFS(T_SelfStock[RM_Code],$A36,T_SelfStock[WeekIndex],51)&gt;0)*(COUNTIFS(T_TTAFStock[RM_Code],$A36,T_TTAFStock[WeekIndex],51)&gt;0)&gt;0,SUMIFS(T_SelfStock[Self_Qty],T_SelfStock[RM_Code],$A36,T_SelfStock[WeekIndex],51)+SUMIFS(T_TTAFStock[TTAF_Qty],T_TTAFStock[RM_Code],$A36,T_TTAFStock[WeekIndex],51),AY36+'Grid_Incoming'!AZ36-'Grid_Requirement'!AZ36))</f>
        <v/>
      </c>
      <c r="BA36">
        <f>IF(COUNTIFS(T_StockCount[RM_Code],$A36,T_StockCount[WeekIndex],52)&gt;0,SUMIFS(T_StockCount[CountedQty],T_StockCount[RM_Code],$A36,T_StockCount[WeekIndex],52),IF((COUNTIFS(T_SelfStock[RM_Code],$A36,T_SelfStock[WeekIndex],52)&gt;0)*(COUNTIFS(T_TTAFStock[RM_Code],$A36,T_TTAFStock[WeekIndex],52)&gt;0)&gt;0,SUMIFS(T_SelfStock[Self_Qty],T_SelfStock[RM_Code],$A36,T_SelfStock[WeekIndex],52)+SUMIFS(T_TTAFStock[TTAF_Qty],T_TTAFStock[RM_Code],$A36,T_TTAFStock[WeekIndex],52),AZ36+'Grid_Incoming'!BA36-'Grid_Requirement'!BA36))</f>
        <v/>
      </c>
      <c r="BB36">
        <f>IF(COUNTIFS(T_StockCount[RM_Code],$A36,T_StockCount[WeekIndex],53)&gt;0,SUMIFS(T_StockCount[CountedQty],T_StockCount[RM_Code],$A36,T_StockCount[WeekIndex],53),IF((COUNTIFS(T_SelfStock[RM_Code],$A36,T_SelfStock[WeekIndex],53)&gt;0)*(COUNTIFS(T_TTAFStock[RM_Code],$A36,T_TTAFStock[WeekIndex],53)&gt;0)&gt;0,SUMIFS(T_SelfStock[Self_Qty],T_SelfStock[RM_Code],$A36,T_SelfStock[WeekIndex],53)+SUMIFS(T_TTAFStock[TTAF_Qty],T_TTAFStock[RM_Code],$A36,T_TTAFStock[WeekIndex],53),BA36+'Grid_Incoming'!BB36-'Grid_Requirement'!BB36))</f>
        <v/>
      </c>
      <c r="BC36">
        <f>IF(COUNTIFS(T_StockCount[RM_Code],$A36,T_StockCount[WeekIndex],54)&gt;0,SUMIFS(T_StockCount[CountedQty],T_StockCount[RM_Code],$A36,T_StockCount[WeekIndex],54),IF((COUNTIFS(T_SelfStock[RM_Code],$A36,T_SelfStock[WeekIndex],54)&gt;0)*(COUNTIFS(T_TTAFStock[RM_Code],$A36,T_TTAFStock[WeekIndex],54)&gt;0)&gt;0,SUMIFS(T_SelfStock[Self_Qty],T_SelfStock[RM_Code],$A36,T_SelfStock[WeekIndex],54)+SUMIFS(T_TTAFStock[TTAF_Qty],T_TTAFStock[RM_Code],$A36,T_TTAFStock[WeekIndex],54),BB36+'Grid_Incoming'!BC36-'Grid_Requirement'!BC36))</f>
        <v/>
      </c>
      <c r="BD36">
        <f>IF(COUNTIFS(T_StockCount[RM_Code],$A36,T_StockCount[WeekIndex],55)&gt;0,SUMIFS(T_StockCount[CountedQty],T_StockCount[RM_Code],$A36,T_StockCount[WeekIndex],55),IF((COUNTIFS(T_SelfStock[RM_Code],$A36,T_SelfStock[WeekIndex],55)&gt;0)*(COUNTIFS(T_TTAFStock[RM_Code],$A36,T_TTAFStock[WeekIndex],55)&gt;0)&gt;0,SUMIFS(T_SelfStock[Self_Qty],T_SelfStock[RM_Code],$A36,T_SelfStock[WeekIndex],55)+SUMIFS(T_TTAFStock[TTAF_Qty],T_TTAFStock[RM_Code],$A36,T_TTAFStock[WeekIndex],55),BC36+'Grid_Incoming'!BD36-'Grid_Requirement'!BD36))</f>
        <v/>
      </c>
      <c r="BE36">
        <f>IF(COUNTIFS(T_StockCount[RM_Code],$A36,T_StockCount[WeekIndex],56)&gt;0,SUMIFS(T_StockCount[CountedQty],T_StockCount[RM_Code],$A36,T_StockCount[WeekIndex],56),IF((COUNTIFS(T_SelfStock[RM_Code],$A36,T_SelfStock[WeekIndex],56)&gt;0)*(COUNTIFS(T_TTAFStock[RM_Code],$A36,T_TTAFStock[WeekIndex],56)&gt;0)&gt;0,SUMIFS(T_SelfStock[Self_Qty],T_SelfStock[RM_Code],$A36,T_SelfStock[WeekIndex],56)+SUMIFS(T_TTAFStock[TTAF_Qty],T_TTAFStock[RM_Code],$A36,T_TTAFStock[WeekIndex],56),BD36+'Grid_Incoming'!BE36-'Grid_Requirement'!BE36))</f>
        <v/>
      </c>
      <c r="BF36">
        <f>IF(COUNTIFS(T_StockCount[RM_Code],$A36,T_StockCount[WeekIndex],57)&gt;0,SUMIFS(T_StockCount[CountedQty],T_StockCount[RM_Code],$A36,T_StockCount[WeekIndex],57),IF((COUNTIFS(T_SelfStock[RM_Code],$A36,T_SelfStock[WeekIndex],57)&gt;0)*(COUNTIFS(T_TTAFStock[RM_Code],$A36,T_TTAFStock[WeekIndex],57)&gt;0)&gt;0,SUMIFS(T_SelfStock[Self_Qty],T_SelfStock[RM_Code],$A36,T_SelfStock[WeekIndex],57)+SUMIFS(T_TTAFStock[TTAF_Qty],T_TTAFStock[RM_Code],$A36,T_TTAFStock[WeekIndex],57),BE36+'Grid_Incoming'!BF36-'Grid_Requirement'!BF36))</f>
        <v/>
      </c>
      <c r="BG36">
        <f>IF(COUNTIFS(T_StockCount[RM_Code],$A36,T_StockCount[WeekIndex],58)&gt;0,SUMIFS(T_StockCount[CountedQty],T_StockCount[RM_Code],$A36,T_StockCount[WeekIndex],58),IF((COUNTIFS(T_SelfStock[RM_Code],$A36,T_SelfStock[WeekIndex],58)&gt;0)*(COUNTIFS(T_TTAFStock[RM_Code],$A36,T_TTAFStock[WeekIndex],58)&gt;0)&gt;0,SUMIFS(T_SelfStock[Self_Qty],T_SelfStock[RM_Code],$A36,T_SelfStock[WeekIndex],58)+SUMIFS(T_TTAFStock[TTAF_Qty],T_TTAFStock[RM_Code],$A36,T_TTAFStock[WeekIndex],58),BF36+'Grid_Incoming'!BG36-'Grid_Requirement'!BG36))</f>
        <v/>
      </c>
      <c r="BH36">
        <f>IF(COUNTIFS(T_StockCount[RM_Code],$A36,T_StockCount[WeekIndex],59)&gt;0,SUMIFS(T_StockCount[CountedQty],T_StockCount[RM_Code],$A36,T_StockCount[WeekIndex],59),IF((COUNTIFS(T_SelfStock[RM_Code],$A36,T_SelfStock[WeekIndex],59)&gt;0)*(COUNTIFS(T_TTAFStock[RM_Code],$A36,T_TTAFStock[WeekIndex],59)&gt;0)&gt;0,SUMIFS(T_SelfStock[Self_Qty],T_SelfStock[RM_Code],$A36,T_SelfStock[WeekIndex],59)+SUMIFS(T_TTAFStock[TTAF_Qty],T_TTAFStock[RM_Code],$A36,T_TTAFStock[WeekIndex],59),BG36+'Grid_Incoming'!BH36-'Grid_Requirement'!BH36))</f>
        <v/>
      </c>
      <c r="BI36">
        <f>IF(COUNTIFS(T_StockCount[RM_Code],$A36,T_StockCount[WeekIndex],60)&gt;0,SUMIFS(T_StockCount[CountedQty],T_StockCount[RM_Code],$A36,T_StockCount[WeekIndex],60),IF((COUNTIFS(T_SelfStock[RM_Code],$A36,T_SelfStock[WeekIndex],60)&gt;0)*(COUNTIFS(T_TTAFStock[RM_Code],$A36,T_TTAFStock[WeekIndex],60)&gt;0)&gt;0,SUMIFS(T_SelfStock[Self_Qty],T_SelfStock[RM_Code],$A36,T_SelfStock[WeekIndex],60)+SUMIFS(T_TTAFStock[TTAF_Qty],T_TTAFStock[RM_Code],$A36,T_TTAFStock[WeekIndex],60),BH36+'Grid_Incoming'!BI36-'Grid_Requirement'!BI36))</f>
        <v/>
      </c>
      <c r="BJ36">
        <f>IF(COUNTIFS(T_StockCount[RM_Code],$A36,T_StockCount[WeekIndex],61)&gt;0,SUMIFS(T_StockCount[CountedQty],T_StockCount[RM_Code],$A36,T_StockCount[WeekIndex],61),IF((COUNTIFS(T_SelfStock[RM_Code],$A36,T_SelfStock[WeekIndex],61)&gt;0)*(COUNTIFS(T_TTAFStock[RM_Code],$A36,T_TTAFStock[WeekIndex],61)&gt;0)&gt;0,SUMIFS(T_SelfStock[Self_Qty],T_SelfStock[RM_Code],$A36,T_SelfStock[WeekIndex],61)+SUMIFS(T_TTAFStock[TTAF_Qty],T_TTAFStock[RM_Code],$A36,T_TTAFStock[WeekIndex],61),BI36+'Grid_Incoming'!BJ36-'Grid_Requirement'!BJ36))</f>
        <v/>
      </c>
      <c r="BK36">
        <f>IF(COUNTIFS(T_StockCount[RM_Code],$A36,T_StockCount[WeekIndex],62)&gt;0,SUMIFS(T_StockCount[CountedQty],T_StockCount[RM_Code],$A36,T_StockCount[WeekIndex],62),IF((COUNTIFS(T_SelfStock[RM_Code],$A36,T_SelfStock[WeekIndex],62)&gt;0)*(COUNTIFS(T_TTAFStock[RM_Code],$A36,T_TTAFStock[WeekIndex],62)&gt;0)&gt;0,SUMIFS(T_SelfStock[Self_Qty],T_SelfStock[RM_Code],$A36,T_SelfStock[WeekIndex],62)+SUMIFS(T_TTAFStock[TTAF_Qty],T_TTAFStock[RM_Code],$A36,T_TTAFStock[WeekIndex],62),BJ36+'Grid_Incoming'!BK36-'Grid_Requirement'!BK36))</f>
        <v/>
      </c>
      <c r="BL36">
        <f>IF(COUNTIFS(T_StockCount[RM_Code],$A36,T_StockCount[WeekIndex],63)&gt;0,SUMIFS(T_StockCount[CountedQty],T_StockCount[RM_Code],$A36,T_StockCount[WeekIndex],63),IF((COUNTIFS(T_SelfStock[RM_Code],$A36,T_SelfStock[WeekIndex],63)&gt;0)*(COUNTIFS(T_TTAFStock[RM_Code],$A36,T_TTAFStock[WeekIndex],63)&gt;0)&gt;0,SUMIFS(T_SelfStock[Self_Qty],T_SelfStock[RM_Code],$A36,T_SelfStock[WeekIndex],63)+SUMIFS(T_TTAFStock[TTAF_Qty],T_TTAFStock[RM_Code],$A36,T_TTAFStock[WeekIndex],63),BK36+'Grid_Incoming'!BL36-'Grid_Requirement'!BL36))</f>
        <v/>
      </c>
      <c r="BM36">
        <f>IF(COUNTIFS(T_StockCount[RM_Code],$A36,T_StockCount[WeekIndex],64)&gt;0,SUMIFS(T_StockCount[CountedQty],T_StockCount[RM_Code],$A36,T_StockCount[WeekIndex],64),IF((COUNTIFS(T_SelfStock[RM_Code],$A36,T_SelfStock[WeekIndex],64)&gt;0)*(COUNTIFS(T_TTAFStock[RM_Code],$A36,T_TTAFStock[WeekIndex],64)&gt;0)&gt;0,SUMIFS(T_SelfStock[Self_Qty],T_SelfStock[RM_Code],$A36,T_SelfStock[WeekIndex],64)+SUMIFS(T_TTAFStock[TTAF_Qty],T_TTAFStock[RM_Code],$A36,T_TTAFStock[WeekIndex],64),BL36+'Grid_Incoming'!BM36-'Grid_Requirement'!BM36))</f>
        <v/>
      </c>
      <c r="BN36">
        <f>IF(COUNTIFS(T_StockCount[RM_Code],$A36,T_StockCount[WeekIndex],65)&gt;0,SUMIFS(T_StockCount[CountedQty],T_StockCount[RM_Code],$A36,T_StockCount[WeekIndex],65),IF((COUNTIFS(T_SelfStock[RM_Code],$A36,T_SelfStock[WeekIndex],65)&gt;0)*(COUNTIFS(T_TTAFStock[RM_Code],$A36,T_TTAFStock[WeekIndex],65)&gt;0)&gt;0,SUMIFS(T_SelfStock[Self_Qty],T_SelfStock[RM_Code],$A36,T_SelfStock[WeekIndex],65)+SUMIFS(T_TTAFStock[TTAF_Qty],T_TTAFStock[RM_Code],$A36,T_TTAFStock[WeekIndex],65),BM36+'Grid_Incoming'!BN36-'Grid_Requirement'!BN36))</f>
        <v/>
      </c>
      <c r="BO36">
        <f>IF(COUNTIFS(T_StockCount[RM_Code],$A36,T_StockCount[WeekIndex],66)&gt;0,SUMIFS(T_StockCount[CountedQty],T_StockCount[RM_Code],$A36,T_StockCount[WeekIndex],66),IF((COUNTIFS(T_SelfStock[RM_Code],$A36,T_SelfStock[WeekIndex],66)&gt;0)*(COUNTIFS(T_TTAFStock[RM_Code],$A36,T_TTAFStock[WeekIndex],66)&gt;0)&gt;0,SUMIFS(T_SelfStock[Self_Qty],T_SelfStock[RM_Code],$A36,T_SelfStock[WeekIndex],66)+SUMIFS(T_TTAFStock[TTAF_Qty],T_TTAFStock[RM_Code],$A36,T_TTAFStock[WeekIndex],66),BN36+'Grid_Incoming'!BO36-'Grid_Requirement'!BO36))</f>
        <v/>
      </c>
      <c r="BP36">
        <f>IF(COUNTIFS(T_StockCount[RM_Code],$A36,T_StockCount[WeekIndex],67)&gt;0,SUMIFS(T_StockCount[CountedQty],T_StockCount[RM_Code],$A36,T_StockCount[WeekIndex],67),IF((COUNTIFS(T_SelfStock[RM_Code],$A36,T_SelfStock[WeekIndex],67)&gt;0)*(COUNTIFS(T_TTAFStock[RM_Code],$A36,T_TTAFStock[WeekIndex],67)&gt;0)&gt;0,SUMIFS(T_SelfStock[Self_Qty],T_SelfStock[RM_Code],$A36,T_SelfStock[WeekIndex],67)+SUMIFS(T_TTAFStock[TTAF_Qty],T_TTAFStock[RM_Code],$A36,T_TTAFStock[WeekIndex],67),BO36+'Grid_Incoming'!BP36-'Grid_Requirement'!BP36))</f>
        <v/>
      </c>
      <c r="BQ36">
        <f>IF(COUNTIFS(T_StockCount[RM_Code],$A36,T_StockCount[WeekIndex],68)&gt;0,SUMIFS(T_StockCount[CountedQty],T_StockCount[RM_Code],$A36,T_StockCount[WeekIndex],68),IF((COUNTIFS(T_SelfStock[RM_Code],$A36,T_SelfStock[WeekIndex],68)&gt;0)*(COUNTIFS(T_TTAFStock[RM_Code],$A36,T_TTAFStock[WeekIndex],68)&gt;0)&gt;0,SUMIFS(T_SelfStock[Self_Qty],T_SelfStock[RM_Code],$A36,T_SelfStock[WeekIndex],68)+SUMIFS(T_TTAFStock[TTAF_Qty],T_TTAFStock[RM_Code],$A36,T_TTAFStock[WeekIndex],68),BP36+'Grid_Incoming'!BQ36-'Grid_Requirement'!BQ36))</f>
        <v/>
      </c>
      <c r="BR36">
        <f>IF(COUNTIFS(T_StockCount[RM_Code],$A36,T_StockCount[WeekIndex],69)&gt;0,SUMIFS(T_StockCount[CountedQty],T_StockCount[RM_Code],$A36,T_StockCount[WeekIndex],69),IF((COUNTIFS(T_SelfStock[RM_Code],$A36,T_SelfStock[WeekIndex],69)&gt;0)*(COUNTIFS(T_TTAFStock[RM_Code],$A36,T_TTAFStock[WeekIndex],69)&gt;0)&gt;0,SUMIFS(T_SelfStock[Self_Qty],T_SelfStock[RM_Code],$A36,T_SelfStock[WeekIndex],69)+SUMIFS(T_TTAFStock[TTAF_Qty],T_TTAFStock[RM_Code],$A36,T_TTAFStock[WeekIndex],69),BQ36+'Grid_Incoming'!BR36-'Grid_Requirement'!BR36))</f>
        <v/>
      </c>
      <c r="BS36">
        <f>IF(COUNTIFS(T_StockCount[RM_Code],$A36,T_StockCount[WeekIndex],70)&gt;0,SUMIFS(T_StockCount[CountedQty],T_StockCount[RM_Code],$A36,T_StockCount[WeekIndex],70),IF((COUNTIFS(T_SelfStock[RM_Code],$A36,T_SelfStock[WeekIndex],70)&gt;0)*(COUNTIFS(T_TTAFStock[RM_Code],$A36,T_TTAFStock[WeekIndex],70)&gt;0)&gt;0,SUMIFS(T_SelfStock[Self_Qty],T_SelfStock[RM_Code],$A36,T_SelfStock[WeekIndex],70)+SUMIFS(T_TTAFStock[TTAF_Qty],T_TTAFStock[RM_Code],$A36,T_TTAFStock[WeekIndex],70),BR36+'Grid_Incoming'!BS36-'Grid_Requirement'!BS36))</f>
        <v/>
      </c>
      <c r="BT36">
        <f>IF(COUNTIFS(T_StockCount[RM_Code],$A36,T_StockCount[WeekIndex],71)&gt;0,SUMIFS(T_StockCount[CountedQty],T_StockCount[RM_Code],$A36,T_StockCount[WeekIndex],71),IF((COUNTIFS(T_SelfStock[RM_Code],$A36,T_SelfStock[WeekIndex],71)&gt;0)*(COUNTIFS(T_TTAFStock[RM_Code],$A36,T_TTAFStock[WeekIndex],71)&gt;0)&gt;0,SUMIFS(T_SelfStock[Self_Qty],T_SelfStock[RM_Code],$A36,T_SelfStock[WeekIndex],71)+SUMIFS(T_TTAFStock[TTAF_Qty],T_TTAFStock[RM_Code],$A36,T_TTAFStock[WeekIndex],71),BS36+'Grid_Incoming'!BT36-'Grid_Requirement'!BT36))</f>
        <v/>
      </c>
      <c r="BU36">
        <f>IF(COUNTIFS(T_StockCount[RM_Code],$A36,T_StockCount[WeekIndex],72)&gt;0,SUMIFS(T_StockCount[CountedQty],T_StockCount[RM_Code],$A36,T_StockCount[WeekIndex],72),IF((COUNTIFS(T_SelfStock[RM_Code],$A36,T_SelfStock[WeekIndex],72)&gt;0)*(COUNTIFS(T_TTAFStock[RM_Code],$A36,T_TTAFStock[WeekIndex],72)&gt;0)&gt;0,SUMIFS(T_SelfStock[Self_Qty],T_SelfStock[RM_Code],$A36,T_SelfStock[WeekIndex],72)+SUMIFS(T_TTAFStock[TTAF_Qty],T_TTAFStock[RM_Code],$A36,T_TTAFStock[WeekIndex],72),BT36+'Grid_Incoming'!BU36-'Grid_Requirement'!BU36))</f>
        <v/>
      </c>
      <c r="BV36">
        <f>IF(COUNTIFS(T_StockCount[RM_Code],$A36,T_StockCount[WeekIndex],73)&gt;0,SUMIFS(T_StockCount[CountedQty],T_StockCount[RM_Code],$A36,T_StockCount[WeekIndex],73),IF((COUNTIFS(T_SelfStock[RM_Code],$A36,T_SelfStock[WeekIndex],73)&gt;0)*(COUNTIFS(T_TTAFStock[RM_Code],$A36,T_TTAFStock[WeekIndex],73)&gt;0)&gt;0,SUMIFS(T_SelfStock[Self_Qty],T_SelfStock[RM_Code],$A36,T_SelfStock[WeekIndex],73)+SUMIFS(T_TTAFStock[TTAF_Qty],T_TTAFStock[RM_Code],$A36,T_TTAFStock[WeekIndex],73),BU36+'Grid_Incoming'!BV36-'Grid_Requirement'!BV36))</f>
        <v/>
      </c>
      <c r="BW36">
        <f>IF(COUNTIFS(T_StockCount[RM_Code],$A36,T_StockCount[WeekIndex],74)&gt;0,SUMIFS(T_StockCount[CountedQty],T_StockCount[RM_Code],$A36,T_StockCount[WeekIndex],74),IF((COUNTIFS(T_SelfStock[RM_Code],$A36,T_SelfStock[WeekIndex],74)&gt;0)*(COUNTIFS(T_TTAFStock[RM_Code],$A36,T_TTAFStock[WeekIndex],74)&gt;0)&gt;0,SUMIFS(T_SelfStock[Self_Qty],T_SelfStock[RM_Code],$A36,T_SelfStock[WeekIndex],74)+SUMIFS(T_TTAFStock[TTAF_Qty],T_TTAFStock[RM_Code],$A36,T_TTAFStock[WeekIndex],74),BV36+'Grid_Incoming'!BW36-'Grid_Requirement'!BW36))</f>
        <v/>
      </c>
      <c r="BX36">
        <f>IF(COUNTIFS(T_StockCount[RM_Code],$A36,T_StockCount[WeekIndex],75)&gt;0,SUMIFS(T_StockCount[CountedQty],T_StockCount[RM_Code],$A36,T_StockCount[WeekIndex],75),IF((COUNTIFS(T_SelfStock[RM_Code],$A36,T_SelfStock[WeekIndex],75)&gt;0)*(COUNTIFS(T_TTAFStock[RM_Code],$A36,T_TTAFStock[WeekIndex],75)&gt;0)&gt;0,SUMIFS(T_SelfStock[Self_Qty],T_SelfStock[RM_Code],$A36,T_SelfStock[WeekIndex],75)+SUMIFS(T_TTAFStock[TTAF_Qty],T_TTAFStock[RM_Code],$A36,T_TTAFStock[WeekIndex],75),BW36+'Grid_Incoming'!BX36-'Grid_Requirement'!BX36))</f>
        <v/>
      </c>
      <c r="BY36">
        <f>IF(COUNTIFS(T_StockCount[RM_Code],$A36,T_StockCount[WeekIndex],76)&gt;0,SUMIFS(T_StockCount[CountedQty],T_StockCount[RM_Code],$A36,T_StockCount[WeekIndex],76),IF((COUNTIFS(T_SelfStock[RM_Code],$A36,T_SelfStock[WeekIndex],76)&gt;0)*(COUNTIFS(T_TTAFStock[RM_Code],$A36,T_TTAFStock[WeekIndex],76)&gt;0)&gt;0,SUMIFS(T_SelfStock[Self_Qty],T_SelfStock[RM_Code],$A36,T_SelfStock[WeekIndex],76)+SUMIFS(T_TTAFStock[TTAF_Qty],T_TTAFStock[RM_Code],$A36,T_TTAFStock[WeekIndex],76),BX36+'Grid_Incoming'!BY36-'Grid_Requirement'!BY36))</f>
        <v/>
      </c>
      <c r="BZ36">
        <f>IF(COUNTIFS(T_StockCount[RM_Code],$A36,T_StockCount[WeekIndex],77)&gt;0,SUMIFS(T_StockCount[CountedQty],T_StockCount[RM_Code],$A36,T_StockCount[WeekIndex],77),IF((COUNTIFS(T_SelfStock[RM_Code],$A36,T_SelfStock[WeekIndex],77)&gt;0)*(COUNTIFS(T_TTAFStock[RM_Code],$A36,T_TTAFStock[WeekIndex],77)&gt;0)&gt;0,SUMIFS(T_SelfStock[Self_Qty],T_SelfStock[RM_Code],$A36,T_SelfStock[WeekIndex],77)+SUMIFS(T_TTAFStock[TTAF_Qty],T_TTAFStock[RM_Code],$A36,T_TTAFStock[WeekIndex],77),BY36+'Grid_Incoming'!BZ36-'Grid_Requirement'!BZ36))</f>
        <v/>
      </c>
      <c r="CA36">
        <f>IF(COUNTIFS(T_StockCount[RM_Code],$A36,T_StockCount[WeekIndex],78)&gt;0,SUMIFS(T_StockCount[CountedQty],T_StockCount[RM_Code],$A36,T_StockCount[WeekIndex],78),IF((COUNTIFS(T_SelfStock[RM_Code],$A36,T_SelfStock[WeekIndex],78)&gt;0)*(COUNTIFS(T_TTAFStock[RM_Code],$A36,T_TTAFStock[WeekIndex],78)&gt;0)&gt;0,SUMIFS(T_SelfStock[Self_Qty],T_SelfStock[RM_Code],$A36,T_SelfStock[WeekIndex],78)+SUMIFS(T_TTAFStock[TTAF_Qty],T_TTAFStock[RM_Code],$A36,T_TTAFStock[WeekIndex],78),BZ36+'Grid_Incoming'!CA36-'Grid_Requirement'!CA36))</f>
        <v/>
      </c>
      <c r="CB36">
        <f>IF(COUNTIFS(T_StockCount[RM_Code],$A36,T_StockCount[WeekIndex],79)&gt;0,SUMIFS(T_StockCount[CountedQty],T_StockCount[RM_Code],$A36,T_StockCount[WeekIndex],79),IF((COUNTIFS(T_SelfStock[RM_Code],$A36,T_SelfStock[WeekIndex],79)&gt;0)*(COUNTIFS(T_TTAFStock[RM_Code],$A36,T_TTAFStock[WeekIndex],79)&gt;0)&gt;0,SUMIFS(T_SelfStock[Self_Qty],T_SelfStock[RM_Code],$A36,T_SelfStock[WeekIndex],79)+SUMIFS(T_TTAFStock[TTAF_Qty],T_TTAFStock[RM_Code],$A36,T_TTAFStock[WeekIndex],79),CA36+'Grid_Incoming'!CB36-'Grid_Requirement'!CB36))</f>
        <v/>
      </c>
      <c r="CC36">
        <f>IF(COUNTIFS(T_StockCount[RM_Code],$A36,T_StockCount[WeekIndex],80)&gt;0,SUMIFS(T_StockCount[CountedQty],T_StockCount[RM_Code],$A36,T_StockCount[WeekIndex],80),IF((COUNTIFS(T_SelfStock[RM_Code],$A36,T_SelfStock[WeekIndex],80)&gt;0)*(COUNTIFS(T_TTAFStock[RM_Code],$A36,T_TTAFStock[WeekIndex],80)&gt;0)&gt;0,SUMIFS(T_SelfStock[Self_Qty],T_SelfStock[RM_Code],$A36,T_SelfStock[WeekIndex],80)+SUMIFS(T_TTAFStock[TTAF_Qty],T_TTAFStock[RM_Code],$A36,T_TTAFStock[WeekIndex],80),CB36+'Grid_Incoming'!CC36-'Grid_Requirement'!CC36))</f>
        <v/>
      </c>
      <c r="CD36">
        <f>IF(COUNTIFS(T_StockCount[RM_Code],$A36,T_StockCount[WeekIndex],81)&gt;0,SUMIFS(T_StockCount[CountedQty],T_StockCount[RM_Code],$A36,T_StockCount[WeekIndex],81),IF((COUNTIFS(T_SelfStock[RM_Code],$A36,T_SelfStock[WeekIndex],81)&gt;0)*(COUNTIFS(T_TTAFStock[RM_Code],$A36,T_TTAFStock[WeekIndex],81)&gt;0)&gt;0,SUMIFS(T_SelfStock[Self_Qty],T_SelfStock[RM_Code],$A36,T_SelfStock[WeekIndex],81)+SUMIFS(T_TTAFStock[TTAF_Qty],T_TTAFStock[RM_Code],$A36,T_TTAFStock[WeekIndex],81),CC36+'Grid_Incoming'!CD36-'Grid_Requirement'!CD36))</f>
        <v/>
      </c>
      <c r="CE36">
        <f>IF(COUNTIFS(T_StockCount[RM_Code],$A36,T_StockCount[WeekIndex],82)&gt;0,SUMIFS(T_StockCount[CountedQty],T_StockCount[RM_Code],$A36,T_StockCount[WeekIndex],82),IF((COUNTIFS(T_SelfStock[RM_Code],$A36,T_SelfStock[WeekIndex],82)&gt;0)*(COUNTIFS(T_TTAFStock[RM_Code],$A36,T_TTAFStock[WeekIndex],82)&gt;0)&gt;0,SUMIFS(T_SelfStock[Self_Qty],T_SelfStock[RM_Code],$A36,T_SelfStock[WeekIndex],82)+SUMIFS(T_TTAFStock[TTAF_Qty],T_TTAFStock[RM_Code],$A36,T_TTAFStock[WeekIndex],82),CD36+'Grid_Incoming'!CE36-'Grid_Requirement'!CE36))</f>
        <v/>
      </c>
      <c r="CF36">
        <f>IF(COUNTIFS(T_StockCount[RM_Code],$A36,T_StockCount[WeekIndex],83)&gt;0,SUMIFS(T_StockCount[CountedQty],T_StockCount[RM_Code],$A36,T_StockCount[WeekIndex],83),IF((COUNTIFS(T_SelfStock[RM_Code],$A36,T_SelfStock[WeekIndex],83)&gt;0)*(COUNTIFS(T_TTAFStock[RM_Code],$A36,T_TTAFStock[WeekIndex],83)&gt;0)&gt;0,SUMIFS(T_SelfStock[Self_Qty],T_SelfStock[RM_Code],$A36,T_SelfStock[WeekIndex],83)+SUMIFS(T_TTAFStock[TTAF_Qty],T_TTAFStock[RM_Code],$A36,T_TTAFStock[WeekIndex],83),CE36+'Grid_Incoming'!CF36-'Grid_Requirement'!CF36))</f>
        <v/>
      </c>
      <c r="CG36">
        <f>IF(COUNTIFS(T_StockCount[RM_Code],$A36,T_StockCount[WeekIndex],84)&gt;0,SUMIFS(T_StockCount[CountedQty],T_StockCount[RM_Code],$A36,T_StockCount[WeekIndex],84),IF((COUNTIFS(T_SelfStock[RM_Code],$A36,T_SelfStock[WeekIndex],84)&gt;0)*(COUNTIFS(T_TTAFStock[RM_Code],$A36,T_TTAFStock[WeekIndex],84)&gt;0)&gt;0,SUMIFS(T_SelfStock[Self_Qty],T_SelfStock[RM_Code],$A36,T_SelfStock[WeekIndex],84)+SUMIFS(T_TTAFStock[TTAF_Qty],T_TTAFStock[RM_Code],$A36,T_TTAFStock[WeekIndex],84),CF36+'Grid_Incoming'!CG36-'Grid_Requirement'!CG36))</f>
        <v/>
      </c>
      <c r="CH36">
        <f>IF(COUNTIFS(T_StockCount[RM_Code],$A36,T_StockCount[WeekIndex],85)&gt;0,SUMIFS(T_StockCount[CountedQty],T_StockCount[RM_Code],$A36,T_StockCount[WeekIndex],85),IF((COUNTIFS(T_SelfStock[RM_Code],$A36,T_SelfStock[WeekIndex],85)&gt;0)*(COUNTIFS(T_TTAFStock[RM_Code],$A36,T_TTAFStock[WeekIndex],85)&gt;0)&gt;0,SUMIFS(T_SelfStock[Self_Qty],T_SelfStock[RM_Code],$A36,T_SelfStock[WeekIndex],85)+SUMIFS(T_TTAFStock[TTAF_Qty],T_TTAFStock[RM_Code],$A36,T_TTAFStock[WeekIndex],85),CG36+'Grid_Incoming'!CH36-'Grid_Requirement'!CH36))</f>
        <v/>
      </c>
      <c r="CI36">
        <f>IF(COUNTIFS(T_StockCount[RM_Code],$A36,T_StockCount[WeekIndex],86)&gt;0,SUMIFS(T_StockCount[CountedQty],T_StockCount[RM_Code],$A36,T_StockCount[WeekIndex],86),IF((COUNTIFS(T_SelfStock[RM_Code],$A36,T_SelfStock[WeekIndex],86)&gt;0)*(COUNTIFS(T_TTAFStock[RM_Code],$A36,T_TTAFStock[WeekIndex],86)&gt;0)&gt;0,SUMIFS(T_SelfStock[Self_Qty],T_SelfStock[RM_Code],$A36,T_SelfStock[WeekIndex],86)+SUMIFS(T_TTAFStock[TTAF_Qty],T_TTAFStock[RM_Code],$A36,T_TTAFStock[WeekIndex],86),CH36+'Grid_Incoming'!CI36-'Grid_Requirement'!CI36))</f>
        <v/>
      </c>
      <c r="CJ36">
        <f>IF(COUNTIFS(T_StockCount[RM_Code],$A36,T_StockCount[WeekIndex],87)&gt;0,SUMIFS(T_StockCount[CountedQty],T_StockCount[RM_Code],$A36,T_StockCount[WeekIndex],87),IF((COUNTIFS(T_SelfStock[RM_Code],$A36,T_SelfStock[WeekIndex],87)&gt;0)*(COUNTIFS(T_TTAFStock[RM_Code],$A36,T_TTAFStock[WeekIndex],87)&gt;0)&gt;0,SUMIFS(T_SelfStock[Self_Qty],T_SelfStock[RM_Code],$A36,T_SelfStock[WeekIndex],87)+SUMIFS(T_TTAFStock[TTAF_Qty],T_TTAFStock[RM_Code],$A36,T_TTAFStock[WeekIndex],87),CI36+'Grid_Incoming'!CJ36-'Grid_Requirement'!CJ36))</f>
        <v/>
      </c>
      <c r="CK36">
        <f>IF(COUNTIFS(T_StockCount[RM_Code],$A36,T_StockCount[WeekIndex],88)&gt;0,SUMIFS(T_StockCount[CountedQty],T_StockCount[RM_Code],$A36,T_StockCount[WeekIndex],88),IF((COUNTIFS(T_SelfStock[RM_Code],$A36,T_SelfStock[WeekIndex],88)&gt;0)*(COUNTIFS(T_TTAFStock[RM_Code],$A36,T_TTAFStock[WeekIndex],88)&gt;0)&gt;0,SUMIFS(T_SelfStock[Self_Qty],T_SelfStock[RM_Code],$A36,T_SelfStock[WeekIndex],88)+SUMIFS(T_TTAFStock[TTAF_Qty],T_TTAFStock[RM_Code],$A36,T_TTAFStock[WeekIndex],88),CJ36+'Grid_Incoming'!CK36-'Grid_Requirement'!CK36))</f>
        <v/>
      </c>
      <c r="CL36">
        <f>IF(COUNTIFS(T_StockCount[RM_Code],$A36,T_StockCount[WeekIndex],89)&gt;0,SUMIFS(T_StockCount[CountedQty],T_StockCount[RM_Code],$A36,T_StockCount[WeekIndex],89),IF((COUNTIFS(T_SelfStock[RM_Code],$A36,T_SelfStock[WeekIndex],89)&gt;0)*(COUNTIFS(T_TTAFStock[RM_Code],$A36,T_TTAFStock[WeekIndex],89)&gt;0)&gt;0,SUMIFS(T_SelfStock[Self_Qty],T_SelfStock[RM_Code],$A36,T_SelfStock[WeekIndex],89)+SUMIFS(T_TTAFStock[TTAF_Qty],T_TTAFStock[RM_Code],$A36,T_TTAFStock[WeekIndex],89),CK36+'Grid_Incoming'!CL36-'Grid_Requirement'!CL36))</f>
        <v/>
      </c>
      <c r="CM36">
        <f>IF(COUNTIFS(T_StockCount[RM_Code],$A36,T_StockCount[WeekIndex],90)&gt;0,SUMIFS(T_StockCount[CountedQty],T_StockCount[RM_Code],$A36,T_StockCount[WeekIndex],90),IF((COUNTIFS(T_SelfStock[RM_Code],$A36,T_SelfStock[WeekIndex],90)&gt;0)*(COUNTIFS(T_TTAFStock[RM_Code],$A36,T_TTAFStock[WeekIndex],90)&gt;0)&gt;0,SUMIFS(T_SelfStock[Self_Qty],T_SelfStock[RM_Code],$A36,T_SelfStock[WeekIndex],90)+SUMIFS(T_TTAFStock[TTAF_Qty],T_TTAFStock[RM_Code],$A36,T_TTAFStock[WeekIndex],90),CL36+'Grid_Incoming'!CM36-'Grid_Requirement'!CM36))</f>
        <v/>
      </c>
      <c r="CN36">
        <f>IF(COUNTIFS(T_StockCount[RM_Code],$A36,T_StockCount[WeekIndex],91)&gt;0,SUMIFS(T_StockCount[CountedQty],T_StockCount[RM_Code],$A36,T_StockCount[WeekIndex],91),IF((COUNTIFS(T_SelfStock[RM_Code],$A36,T_SelfStock[WeekIndex],91)&gt;0)*(COUNTIFS(T_TTAFStock[RM_Code],$A36,T_TTAFStock[WeekIndex],91)&gt;0)&gt;0,SUMIFS(T_SelfStock[Self_Qty],T_SelfStock[RM_Code],$A36,T_SelfStock[WeekIndex],91)+SUMIFS(T_TTAFStock[TTAF_Qty],T_TTAFStock[RM_Code],$A36,T_TTAFStock[WeekIndex],91),CM36+'Grid_Incoming'!CN36-'Grid_Requirement'!CN36))</f>
        <v/>
      </c>
      <c r="CO36">
        <f>IF(COUNTIFS(T_StockCount[RM_Code],$A36,T_StockCount[WeekIndex],92)&gt;0,SUMIFS(T_StockCount[CountedQty],T_StockCount[RM_Code],$A36,T_StockCount[WeekIndex],92),IF((COUNTIFS(T_SelfStock[RM_Code],$A36,T_SelfStock[WeekIndex],92)&gt;0)*(COUNTIFS(T_TTAFStock[RM_Code],$A36,T_TTAFStock[WeekIndex],92)&gt;0)&gt;0,SUMIFS(T_SelfStock[Self_Qty],T_SelfStock[RM_Code],$A36,T_SelfStock[WeekIndex],92)+SUMIFS(T_TTAFStock[TTAF_Qty],T_TTAFStock[RM_Code],$A36,T_TTAFStock[WeekIndex],92),CN36+'Grid_Incoming'!CO36-'Grid_Requirement'!CO36))</f>
        <v/>
      </c>
      <c r="CP36">
        <f>IF(COUNTIFS(T_StockCount[RM_Code],$A36,T_StockCount[WeekIndex],93)&gt;0,SUMIFS(T_StockCount[CountedQty],T_StockCount[RM_Code],$A36,T_StockCount[WeekIndex],93),IF((COUNTIFS(T_SelfStock[RM_Code],$A36,T_SelfStock[WeekIndex],93)&gt;0)*(COUNTIFS(T_TTAFStock[RM_Code],$A36,T_TTAFStock[WeekIndex],93)&gt;0)&gt;0,SUMIFS(T_SelfStock[Self_Qty],T_SelfStock[RM_Code],$A36,T_SelfStock[WeekIndex],93)+SUMIFS(T_TTAFStock[TTAF_Qty],T_TTAFStock[RM_Code],$A36,T_TTAFStock[WeekIndex],93),CO36+'Grid_Incoming'!CP36-'Grid_Requirement'!CP36))</f>
        <v/>
      </c>
      <c r="CQ36">
        <f>IF(COUNTIFS(T_StockCount[RM_Code],$A36,T_StockCount[WeekIndex],94)&gt;0,SUMIFS(T_StockCount[CountedQty],T_StockCount[RM_Code],$A36,T_StockCount[WeekIndex],94),IF((COUNTIFS(T_SelfStock[RM_Code],$A36,T_SelfStock[WeekIndex],94)&gt;0)*(COUNTIFS(T_TTAFStock[RM_Code],$A36,T_TTAFStock[WeekIndex],94)&gt;0)&gt;0,SUMIFS(T_SelfStock[Self_Qty],T_SelfStock[RM_Code],$A36,T_SelfStock[WeekIndex],94)+SUMIFS(T_TTAFStock[TTAF_Qty],T_TTAFStock[RM_Code],$A36,T_TTAFStock[WeekIndex],94),CP36+'Grid_Incoming'!CQ36-'Grid_Requirement'!CQ36))</f>
        <v/>
      </c>
      <c r="CR36">
        <f>IF(COUNTIFS(T_StockCount[RM_Code],$A36,T_StockCount[WeekIndex],95)&gt;0,SUMIFS(T_StockCount[CountedQty],T_StockCount[RM_Code],$A36,T_StockCount[WeekIndex],95),IF((COUNTIFS(T_SelfStock[RM_Code],$A36,T_SelfStock[WeekIndex],95)&gt;0)*(COUNTIFS(T_TTAFStock[RM_Code],$A36,T_TTAFStock[WeekIndex],95)&gt;0)&gt;0,SUMIFS(T_SelfStock[Self_Qty],T_SelfStock[RM_Code],$A36,T_SelfStock[WeekIndex],95)+SUMIFS(T_TTAFStock[TTAF_Qty],T_TTAFStock[RM_Code],$A36,T_TTAFStock[WeekIndex],95),CQ36+'Grid_Incoming'!CR36-'Grid_Requirement'!CR36))</f>
        <v/>
      </c>
      <c r="CS36">
        <f>IF(COUNTIFS(T_StockCount[RM_Code],$A36,T_StockCount[WeekIndex],96)&gt;0,SUMIFS(T_StockCount[CountedQty],T_StockCount[RM_Code],$A36,T_StockCount[WeekIndex],96),IF((COUNTIFS(T_SelfStock[RM_Code],$A36,T_SelfStock[WeekIndex],96)&gt;0)*(COUNTIFS(T_TTAFStock[RM_Code],$A36,T_TTAFStock[WeekIndex],96)&gt;0)&gt;0,SUMIFS(T_SelfStock[Self_Qty],T_SelfStock[RM_Code],$A36,T_SelfStock[WeekIndex],96)+SUMIFS(T_TTAFStock[TTAF_Qty],T_TTAFStock[RM_Code],$A36,T_TTAFStock[WeekIndex],96),CR36+'Grid_Incoming'!CS36-'Grid_Requirement'!CS36))</f>
        <v/>
      </c>
      <c r="CT36">
        <f>IF(COUNTIFS(T_StockCount[RM_Code],$A36,T_StockCount[WeekIndex],97)&gt;0,SUMIFS(T_StockCount[CountedQty],T_StockCount[RM_Code],$A36,T_StockCount[WeekIndex],97),IF((COUNTIFS(T_SelfStock[RM_Code],$A36,T_SelfStock[WeekIndex],97)&gt;0)*(COUNTIFS(T_TTAFStock[RM_Code],$A36,T_TTAFStock[WeekIndex],97)&gt;0)&gt;0,SUMIFS(T_SelfStock[Self_Qty],T_SelfStock[RM_Code],$A36,T_SelfStock[WeekIndex],97)+SUMIFS(T_TTAFStock[TTAF_Qty],T_TTAFStock[RM_Code],$A36,T_TTAFStock[WeekIndex],97),CS36+'Grid_Incoming'!CT36-'Grid_Requirement'!CT36))</f>
        <v/>
      </c>
      <c r="CU36">
        <f>IF(COUNTIFS(T_StockCount[RM_Code],$A36,T_StockCount[WeekIndex],98)&gt;0,SUMIFS(T_StockCount[CountedQty],T_StockCount[RM_Code],$A36,T_StockCount[WeekIndex],98),IF((COUNTIFS(T_SelfStock[RM_Code],$A36,T_SelfStock[WeekIndex],98)&gt;0)*(COUNTIFS(T_TTAFStock[RM_Code],$A36,T_TTAFStock[WeekIndex],98)&gt;0)&gt;0,SUMIFS(T_SelfStock[Self_Qty],T_SelfStock[RM_Code],$A36,T_SelfStock[WeekIndex],98)+SUMIFS(T_TTAFStock[TTAF_Qty],T_TTAFStock[RM_Code],$A36,T_TTAFStock[WeekIndex],98),CT36+'Grid_Incoming'!CU36-'Grid_Requirement'!CU36))</f>
        <v/>
      </c>
      <c r="CV36">
        <f>IF(COUNTIFS(T_StockCount[RM_Code],$A36,T_StockCount[WeekIndex],99)&gt;0,SUMIFS(T_StockCount[CountedQty],T_StockCount[RM_Code],$A36,T_StockCount[WeekIndex],99),IF((COUNTIFS(T_SelfStock[RM_Code],$A36,T_SelfStock[WeekIndex],99)&gt;0)*(COUNTIFS(T_TTAFStock[RM_Code],$A36,T_TTAFStock[WeekIndex],99)&gt;0)&gt;0,SUMIFS(T_SelfStock[Self_Qty],T_SelfStock[RM_Code],$A36,T_SelfStock[WeekIndex],99)+SUMIFS(T_TTAFStock[TTAF_Qty],T_TTAFStock[RM_Code],$A36,T_TTAFStock[WeekIndex],99),CU36+'Grid_Incoming'!CV36-'Grid_Requirement'!CV36))</f>
        <v/>
      </c>
      <c r="CW36">
        <f>IF(COUNTIFS(T_StockCount[RM_Code],$A36,T_StockCount[WeekIndex],100)&gt;0,SUMIFS(T_StockCount[CountedQty],T_StockCount[RM_Code],$A36,T_StockCount[WeekIndex],100),IF((COUNTIFS(T_SelfStock[RM_Code],$A36,T_SelfStock[WeekIndex],100)&gt;0)*(COUNTIFS(T_TTAFStock[RM_Code],$A36,T_TTAFStock[WeekIndex],100)&gt;0)&gt;0,SUMIFS(T_SelfStock[Self_Qty],T_SelfStock[RM_Code],$A36,T_SelfStock[WeekIndex],100)+SUMIFS(T_TTAFStock[TTAF_Qty],T_TTAFStock[RM_Code],$A36,T_TTAFStock[WeekIndex],100),CV36+'Grid_Incoming'!CW36-'Grid_Requirement'!CW36))</f>
        <v/>
      </c>
      <c r="CX36">
        <f>IF(COUNTIFS(T_StockCount[RM_Code],$A36,T_StockCount[WeekIndex],101)&gt;0,SUMIFS(T_StockCount[CountedQty],T_StockCount[RM_Code],$A36,T_StockCount[WeekIndex],101),IF((COUNTIFS(T_SelfStock[RM_Code],$A36,T_SelfStock[WeekIndex],101)&gt;0)*(COUNTIFS(T_TTAFStock[RM_Code],$A36,T_TTAFStock[WeekIndex],101)&gt;0)&gt;0,SUMIFS(T_SelfStock[Self_Qty],T_SelfStock[RM_Code],$A36,T_SelfStock[WeekIndex],101)+SUMIFS(T_TTAFStock[TTAF_Qty],T_TTAFStock[RM_Code],$A36,T_TTAFStock[WeekIndex],101),CW36+'Grid_Incoming'!CX36-'Grid_Requirement'!CX36))</f>
        <v/>
      </c>
      <c r="CY36">
        <f>IF(COUNTIFS(T_StockCount[RM_Code],$A36,T_StockCount[WeekIndex],102)&gt;0,SUMIFS(T_StockCount[CountedQty],T_StockCount[RM_Code],$A36,T_StockCount[WeekIndex],102),IF((COUNTIFS(T_SelfStock[RM_Code],$A36,T_SelfStock[WeekIndex],102)&gt;0)*(COUNTIFS(T_TTAFStock[RM_Code],$A36,T_TTAFStock[WeekIndex],102)&gt;0)&gt;0,SUMIFS(T_SelfStock[Self_Qty],T_SelfStock[RM_Code],$A36,T_SelfStock[WeekIndex],102)+SUMIFS(T_TTAFStock[TTAF_Qty],T_TTAFStock[RM_Code],$A36,T_TTAFStock[WeekIndex],102),CX36+'Grid_Incoming'!CY36-'Grid_Requirement'!CY36))</f>
        <v/>
      </c>
      <c r="CZ36">
        <f>IF(COUNTIFS(T_StockCount[RM_Code],$A36,T_StockCount[WeekIndex],103)&gt;0,SUMIFS(T_StockCount[CountedQty],T_StockCount[RM_Code],$A36,T_StockCount[WeekIndex],103),IF((COUNTIFS(T_SelfStock[RM_Code],$A36,T_SelfStock[WeekIndex],103)&gt;0)*(COUNTIFS(T_TTAFStock[RM_Code],$A36,T_TTAFStock[WeekIndex],103)&gt;0)&gt;0,SUMIFS(T_SelfStock[Self_Qty],T_SelfStock[RM_Code],$A36,T_SelfStock[WeekIndex],103)+SUMIFS(T_TTAFStock[TTAF_Qty],T_TTAFStock[RM_Code],$A36,T_TTAFStock[WeekIndex],103),CY36+'Grid_Incoming'!CZ36-'Grid_Requirement'!CZ36))</f>
        <v/>
      </c>
      <c r="DA36">
        <f>IF(COUNTIFS(T_StockCount[RM_Code],$A36,T_StockCount[WeekIndex],104)&gt;0,SUMIFS(T_StockCount[CountedQty],T_StockCount[RM_Code],$A36,T_StockCount[WeekIndex],104),IF((COUNTIFS(T_SelfStock[RM_Code],$A36,T_SelfStock[WeekIndex],104)&gt;0)*(COUNTIFS(T_TTAFStock[RM_Code],$A36,T_TTAFStock[WeekIndex],104)&gt;0)&gt;0,SUMIFS(T_SelfStock[Self_Qty],T_SelfStock[RM_Code],$A36,T_SelfStock[WeekIndex],104)+SUMIFS(T_TTAFStock[TTAF_Qty],T_TTAFStock[RM_Code],$A36,T_TTAFStock[WeekIndex],104),CZ36+'Grid_Incoming'!DA36-'Grid_Requirement'!DA36))</f>
        <v/>
      </c>
    </row>
    <row r="37">
      <c r="A37" t="inlineStr">
        <is>
          <t>CHEM-1680</t>
        </is>
      </c>
      <c r="B37">
        <f>IF(COUNTIFS(T_StockCount[RM_Code],$A37,T_StockCount[WeekIndex],1)&gt;0,SUMIFS(T_StockCount[CountedQty],T_StockCount[RM_Code],$A37,T_StockCount[WeekIndex],1),IF((COUNTIFS(T_SelfStock[RM_Code],$A37,T_SelfStock[WeekIndex],1)&gt;0)*(COUNTIFS(T_TTAFStock[RM_Code],$A37,T_TTAFStock[WeekIndex],1)&gt;0)&gt;0,SUMIFS(T_SelfStock[Self_Qty],T_SelfStock[RM_Code],$A37,T_SelfStock[WeekIndex],1)+SUMIFS(T_TTAFStock[TTAF_Qty],T_TTAFStock[RM_Code],$A37,T_TTAFStock[WeekIndex],1),IFERROR(INDEX(T_OpeningStock[Opening_Qty],MATCH($A37,T_OpeningStock[RM_Code],0)),0)+'Grid_Incoming'!B37-'Grid_Requirement'!B37))</f>
        <v/>
      </c>
      <c r="C37">
        <f>IF(COUNTIFS(T_StockCount[RM_Code],$A37,T_StockCount[WeekIndex],2)&gt;0,SUMIFS(T_StockCount[CountedQty],T_StockCount[RM_Code],$A37,T_StockCount[WeekIndex],2),IF((COUNTIFS(T_SelfStock[RM_Code],$A37,T_SelfStock[WeekIndex],2)&gt;0)*(COUNTIFS(T_TTAFStock[RM_Code],$A37,T_TTAFStock[WeekIndex],2)&gt;0)&gt;0,SUMIFS(T_SelfStock[Self_Qty],T_SelfStock[RM_Code],$A37,T_SelfStock[WeekIndex],2)+SUMIFS(T_TTAFStock[TTAF_Qty],T_TTAFStock[RM_Code],$A37,T_TTAFStock[WeekIndex],2),B37+'Grid_Incoming'!C37-'Grid_Requirement'!C37))</f>
        <v/>
      </c>
      <c r="D37">
        <f>IF(COUNTIFS(T_StockCount[RM_Code],$A37,T_StockCount[WeekIndex],3)&gt;0,SUMIFS(T_StockCount[CountedQty],T_StockCount[RM_Code],$A37,T_StockCount[WeekIndex],3),IF((COUNTIFS(T_SelfStock[RM_Code],$A37,T_SelfStock[WeekIndex],3)&gt;0)*(COUNTIFS(T_TTAFStock[RM_Code],$A37,T_TTAFStock[WeekIndex],3)&gt;0)&gt;0,SUMIFS(T_SelfStock[Self_Qty],T_SelfStock[RM_Code],$A37,T_SelfStock[WeekIndex],3)+SUMIFS(T_TTAFStock[TTAF_Qty],T_TTAFStock[RM_Code],$A37,T_TTAFStock[WeekIndex],3),C37+'Grid_Incoming'!D37-'Grid_Requirement'!D37))</f>
        <v/>
      </c>
      <c r="E37">
        <f>IF(COUNTIFS(T_StockCount[RM_Code],$A37,T_StockCount[WeekIndex],4)&gt;0,SUMIFS(T_StockCount[CountedQty],T_StockCount[RM_Code],$A37,T_StockCount[WeekIndex],4),IF((COUNTIFS(T_SelfStock[RM_Code],$A37,T_SelfStock[WeekIndex],4)&gt;0)*(COUNTIFS(T_TTAFStock[RM_Code],$A37,T_TTAFStock[WeekIndex],4)&gt;0)&gt;0,SUMIFS(T_SelfStock[Self_Qty],T_SelfStock[RM_Code],$A37,T_SelfStock[WeekIndex],4)+SUMIFS(T_TTAFStock[TTAF_Qty],T_TTAFStock[RM_Code],$A37,T_TTAFStock[WeekIndex],4),D37+'Grid_Incoming'!E37-'Grid_Requirement'!E37))</f>
        <v/>
      </c>
      <c r="F37">
        <f>IF(COUNTIFS(T_StockCount[RM_Code],$A37,T_StockCount[WeekIndex],5)&gt;0,SUMIFS(T_StockCount[CountedQty],T_StockCount[RM_Code],$A37,T_StockCount[WeekIndex],5),IF((COUNTIFS(T_SelfStock[RM_Code],$A37,T_SelfStock[WeekIndex],5)&gt;0)*(COUNTIFS(T_TTAFStock[RM_Code],$A37,T_TTAFStock[WeekIndex],5)&gt;0)&gt;0,SUMIFS(T_SelfStock[Self_Qty],T_SelfStock[RM_Code],$A37,T_SelfStock[WeekIndex],5)+SUMIFS(T_TTAFStock[TTAF_Qty],T_TTAFStock[RM_Code],$A37,T_TTAFStock[WeekIndex],5),E37+'Grid_Incoming'!F37-'Grid_Requirement'!F37))</f>
        <v/>
      </c>
      <c r="G37">
        <f>IF(COUNTIFS(T_StockCount[RM_Code],$A37,T_StockCount[WeekIndex],6)&gt;0,SUMIFS(T_StockCount[CountedQty],T_StockCount[RM_Code],$A37,T_StockCount[WeekIndex],6),IF((COUNTIFS(T_SelfStock[RM_Code],$A37,T_SelfStock[WeekIndex],6)&gt;0)*(COUNTIFS(T_TTAFStock[RM_Code],$A37,T_TTAFStock[WeekIndex],6)&gt;0)&gt;0,SUMIFS(T_SelfStock[Self_Qty],T_SelfStock[RM_Code],$A37,T_SelfStock[WeekIndex],6)+SUMIFS(T_TTAFStock[TTAF_Qty],T_TTAFStock[RM_Code],$A37,T_TTAFStock[WeekIndex],6),F37+'Grid_Incoming'!G37-'Grid_Requirement'!G37))</f>
        <v/>
      </c>
      <c r="H37">
        <f>IF(COUNTIFS(T_StockCount[RM_Code],$A37,T_StockCount[WeekIndex],7)&gt;0,SUMIFS(T_StockCount[CountedQty],T_StockCount[RM_Code],$A37,T_StockCount[WeekIndex],7),IF((COUNTIFS(T_SelfStock[RM_Code],$A37,T_SelfStock[WeekIndex],7)&gt;0)*(COUNTIFS(T_TTAFStock[RM_Code],$A37,T_TTAFStock[WeekIndex],7)&gt;0)&gt;0,SUMIFS(T_SelfStock[Self_Qty],T_SelfStock[RM_Code],$A37,T_SelfStock[WeekIndex],7)+SUMIFS(T_TTAFStock[TTAF_Qty],T_TTAFStock[RM_Code],$A37,T_TTAFStock[WeekIndex],7),G37+'Grid_Incoming'!H37-'Grid_Requirement'!H37))</f>
        <v/>
      </c>
      <c r="I37">
        <f>IF(COUNTIFS(T_StockCount[RM_Code],$A37,T_StockCount[WeekIndex],8)&gt;0,SUMIFS(T_StockCount[CountedQty],T_StockCount[RM_Code],$A37,T_StockCount[WeekIndex],8),IF((COUNTIFS(T_SelfStock[RM_Code],$A37,T_SelfStock[WeekIndex],8)&gt;0)*(COUNTIFS(T_TTAFStock[RM_Code],$A37,T_TTAFStock[WeekIndex],8)&gt;0)&gt;0,SUMIFS(T_SelfStock[Self_Qty],T_SelfStock[RM_Code],$A37,T_SelfStock[WeekIndex],8)+SUMIFS(T_TTAFStock[TTAF_Qty],T_TTAFStock[RM_Code],$A37,T_TTAFStock[WeekIndex],8),H37+'Grid_Incoming'!I37-'Grid_Requirement'!I37))</f>
        <v/>
      </c>
      <c r="J37">
        <f>IF(COUNTIFS(T_StockCount[RM_Code],$A37,T_StockCount[WeekIndex],9)&gt;0,SUMIFS(T_StockCount[CountedQty],T_StockCount[RM_Code],$A37,T_StockCount[WeekIndex],9),IF((COUNTIFS(T_SelfStock[RM_Code],$A37,T_SelfStock[WeekIndex],9)&gt;0)*(COUNTIFS(T_TTAFStock[RM_Code],$A37,T_TTAFStock[WeekIndex],9)&gt;0)&gt;0,SUMIFS(T_SelfStock[Self_Qty],T_SelfStock[RM_Code],$A37,T_SelfStock[WeekIndex],9)+SUMIFS(T_TTAFStock[TTAF_Qty],T_TTAFStock[RM_Code],$A37,T_TTAFStock[WeekIndex],9),I37+'Grid_Incoming'!J37-'Grid_Requirement'!J37))</f>
        <v/>
      </c>
      <c r="K37">
        <f>IF(COUNTIFS(T_StockCount[RM_Code],$A37,T_StockCount[WeekIndex],10)&gt;0,SUMIFS(T_StockCount[CountedQty],T_StockCount[RM_Code],$A37,T_StockCount[WeekIndex],10),IF((COUNTIFS(T_SelfStock[RM_Code],$A37,T_SelfStock[WeekIndex],10)&gt;0)*(COUNTIFS(T_TTAFStock[RM_Code],$A37,T_TTAFStock[WeekIndex],10)&gt;0)&gt;0,SUMIFS(T_SelfStock[Self_Qty],T_SelfStock[RM_Code],$A37,T_SelfStock[WeekIndex],10)+SUMIFS(T_TTAFStock[TTAF_Qty],T_TTAFStock[RM_Code],$A37,T_TTAFStock[WeekIndex],10),J37+'Grid_Incoming'!K37-'Grid_Requirement'!K37))</f>
        <v/>
      </c>
      <c r="L37">
        <f>IF(COUNTIFS(T_StockCount[RM_Code],$A37,T_StockCount[WeekIndex],11)&gt;0,SUMIFS(T_StockCount[CountedQty],T_StockCount[RM_Code],$A37,T_StockCount[WeekIndex],11),IF((COUNTIFS(T_SelfStock[RM_Code],$A37,T_SelfStock[WeekIndex],11)&gt;0)*(COUNTIFS(T_TTAFStock[RM_Code],$A37,T_TTAFStock[WeekIndex],11)&gt;0)&gt;0,SUMIFS(T_SelfStock[Self_Qty],T_SelfStock[RM_Code],$A37,T_SelfStock[WeekIndex],11)+SUMIFS(T_TTAFStock[TTAF_Qty],T_TTAFStock[RM_Code],$A37,T_TTAFStock[WeekIndex],11),K37+'Grid_Incoming'!L37-'Grid_Requirement'!L37))</f>
        <v/>
      </c>
      <c r="M37">
        <f>IF(COUNTIFS(T_StockCount[RM_Code],$A37,T_StockCount[WeekIndex],12)&gt;0,SUMIFS(T_StockCount[CountedQty],T_StockCount[RM_Code],$A37,T_StockCount[WeekIndex],12),IF((COUNTIFS(T_SelfStock[RM_Code],$A37,T_SelfStock[WeekIndex],12)&gt;0)*(COUNTIFS(T_TTAFStock[RM_Code],$A37,T_TTAFStock[WeekIndex],12)&gt;0)&gt;0,SUMIFS(T_SelfStock[Self_Qty],T_SelfStock[RM_Code],$A37,T_SelfStock[WeekIndex],12)+SUMIFS(T_TTAFStock[TTAF_Qty],T_TTAFStock[RM_Code],$A37,T_TTAFStock[WeekIndex],12),L37+'Grid_Incoming'!M37-'Grid_Requirement'!M37))</f>
        <v/>
      </c>
      <c r="N37">
        <f>IF(COUNTIFS(T_StockCount[RM_Code],$A37,T_StockCount[WeekIndex],13)&gt;0,SUMIFS(T_StockCount[CountedQty],T_StockCount[RM_Code],$A37,T_StockCount[WeekIndex],13),IF((COUNTIFS(T_SelfStock[RM_Code],$A37,T_SelfStock[WeekIndex],13)&gt;0)*(COUNTIFS(T_TTAFStock[RM_Code],$A37,T_TTAFStock[WeekIndex],13)&gt;0)&gt;0,SUMIFS(T_SelfStock[Self_Qty],T_SelfStock[RM_Code],$A37,T_SelfStock[WeekIndex],13)+SUMIFS(T_TTAFStock[TTAF_Qty],T_TTAFStock[RM_Code],$A37,T_TTAFStock[WeekIndex],13),M37+'Grid_Incoming'!N37-'Grid_Requirement'!N37))</f>
        <v/>
      </c>
      <c r="O37">
        <f>IF(COUNTIFS(T_StockCount[RM_Code],$A37,T_StockCount[WeekIndex],14)&gt;0,SUMIFS(T_StockCount[CountedQty],T_StockCount[RM_Code],$A37,T_StockCount[WeekIndex],14),IF((COUNTIFS(T_SelfStock[RM_Code],$A37,T_SelfStock[WeekIndex],14)&gt;0)*(COUNTIFS(T_TTAFStock[RM_Code],$A37,T_TTAFStock[WeekIndex],14)&gt;0)&gt;0,SUMIFS(T_SelfStock[Self_Qty],T_SelfStock[RM_Code],$A37,T_SelfStock[WeekIndex],14)+SUMIFS(T_TTAFStock[TTAF_Qty],T_TTAFStock[RM_Code],$A37,T_TTAFStock[WeekIndex],14),N37+'Grid_Incoming'!O37-'Grid_Requirement'!O37))</f>
        <v/>
      </c>
      <c r="P37">
        <f>IF(COUNTIFS(T_StockCount[RM_Code],$A37,T_StockCount[WeekIndex],15)&gt;0,SUMIFS(T_StockCount[CountedQty],T_StockCount[RM_Code],$A37,T_StockCount[WeekIndex],15),IF((COUNTIFS(T_SelfStock[RM_Code],$A37,T_SelfStock[WeekIndex],15)&gt;0)*(COUNTIFS(T_TTAFStock[RM_Code],$A37,T_TTAFStock[WeekIndex],15)&gt;0)&gt;0,SUMIFS(T_SelfStock[Self_Qty],T_SelfStock[RM_Code],$A37,T_SelfStock[WeekIndex],15)+SUMIFS(T_TTAFStock[TTAF_Qty],T_TTAFStock[RM_Code],$A37,T_TTAFStock[WeekIndex],15),O37+'Grid_Incoming'!P37-'Grid_Requirement'!P37))</f>
        <v/>
      </c>
      <c r="Q37">
        <f>IF(COUNTIFS(T_StockCount[RM_Code],$A37,T_StockCount[WeekIndex],16)&gt;0,SUMIFS(T_StockCount[CountedQty],T_StockCount[RM_Code],$A37,T_StockCount[WeekIndex],16),IF((COUNTIFS(T_SelfStock[RM_Code],$A37,T_SelfStock[WeekIndex],16)&gt;0)*(COUNTIFS(T_TTAFStock[RM_Code],$A37,T_TTAFStock[WeekIndex],16)&gt;0)&gt;0,SUMIFS(T_SelfStock[Self_Qty],T_SelfStock[RM_Code],$A37,T_SelfStock[WeekIndex],16)+SUMIFS(T_TTAFStock[TTAF_Qty],T_TTAFStock[RM_Code],$A37,T_TTAFStock[WeekIndex],16),P37+'Grid_Incoming'!Q37-'Grid_Requirement'!Q37))</f>
        <v/>
      </c>
      <c r="R37">
        <f>IF(COUNTIFS(T_StockCount[RM_Code],$A37,T_StockCount[WeekIndex],17)&gt;0,SUMIFS(T_StockCount[CountedQty],T_StockCount[RM_Code],$A37,T_StockCount[WeekIndex],17),IF((COUNTIFS(T_SelfStock[RM_Code],$A37,T_SelfStock[WeekIndex],17)&gt;0)*(COUNTIFS(T_TTAFStock[RM_Code],$A37,T_TTAFStock[WeekIndex],17)&gt;0)&gt;0,SUMIFS(T_SelfStock[Self_Qty],T_SelfStock[RM_Code],$A37,T_SelfStock[WeekIndex],17)+SUMIFS(T_TTAFStock[TTAF_Qty],T_TTAFStock[RM_Code],$A37,T_TTAFStock[WeekIndex],17),Q37+'Grid_Incoming'!R37-'Grid_Requirement'!R37))</f>
        <v/>
      </c>
      <c r="S37">
        <f>IF(COUNTIFS(T_StockCount[RM_Code],$A37,T_StockCount[WeekIndex],18)&gt;0,SUMIFS(T_StockCount[CountedQty],T_StockCount[RM_Code],$A37,T_StockCount[WeekIndex],18),IF((COUNTIFS(T_SelfStock[RM_Code],$A37,T_SelfStock[WeekIndex],18)&gt;0)*(COUNTIFS(T_TTAFStock[RM_Code],$A37,T_TTAFStock[WeekIndex],18)&gt;0)&gt;0,SUMIFS(T_SelfStock[Self_Qty],T_SelfStock[RM_Code],$A37,T_SelfStock[WeekIndex],18)+SUMIFS(T_TTAFStock[TTAF_Qty],T_TTAFStock[RM_Code],$A37,T_TTAFStock[WeekIndex],18),R37+'Grid_Incoming'!S37-'Grid_Requirement'!S37))</f>
        <v/>
      </c>
      <c r="T37">
        <f>IF(COUNTIFS(T_StockCount[RM_Code],$A37,T_StockCount[WeekIndex],19)&gt;0,SUMIFS(T_StockCount[CountedQty],T_StockCount[RM_Code],$A37,T_StockCount[WeekIndex],19),IF((COUNTIFS(T_SelfStock[RM_Code],$A37,T_SelfStock[WeekIndex],19)&gt;0)*(COUNTIFS(T_TTAFStock[RM_Code],$A37,T_TTAFStock[WeekIndex],19)&gt;0)&gt;0,SUMIFS(T_SelfStock[Self_Qty],T_SelfStock[RM_Code],$A37,T_SelfStock[WeekIndex],19)+SUMIFS(T_TTAFStock[TTAF_Qty],T_TTAFStock[RM_Code],$A37,T_TTAFStock[WeekIndex],19),S37+'Grid_Incoming'!T37-'Grid_Requirement'!T37))</f>
        <v/>
      </c>
      <c r="U37">
        <f>IF(COUNTIFS(T_StockCount[RM_Code],$A37,T_StockCount[WeekIndex],20)&gt;0,SUMIFS(T_StockCount[CountedQty],T_StockCount[RM_Code],$A37,T_StockCount[WeekIndex],20),IF((COUNTIFS(T_SelfStock[RM_Code],$A37,T_SelfStock[WeekIndex],20)&gt;0)*(COUNTIFS(T_TTAFStock[RM_Code],$A37,T_TTAFStock[WeekIndex],20)&gt;0)&gt;0,SUMIFS(T_SelfStock[Self_Qty],T_SelfStock[RM_Code],$A37,T_SelfStock[WeekIndex],20)+SUMIFS(T_TTAFStock[TTAF_Qty],T_TTAFStock[RM_Code],$A37,T_TTAFStock[WeekIndex],20),T37+'Grid_Incoming'!U37-'Grid_Requirement'!U37))</f>
        <v/>
      </c>
      <c r="V37">
        <f>IF(COUNTIFS(T_StockCount[RM_Code],$A37,T_StockCount[WeekIndex],21)&gt;0,SUMIFS(T_StockCount[CountedQty],T_StockCount[RM_Code],$A37,T_StockCount[WeekIndex],21),IF((COUNTIFS(T_SelfStock[RM_Code],$A37,T_SelfStock[WeekIndex],21)&gt;0)*(COUNTIFS(T_TTAFStock[RM_Code],$A37,T_TTAFStock[WeekIndex],21)&gt;0)&gt;0,SUMIFS(T_SelfStock[Self_Qty],T_SelfStock[RM_Code],$A37,T_SelfStock[WeekIndex],21)+SUMIFS(T_TTAFStock[TTAF_Qty],T_TTAFStock[RM_Code],$A37,T_TTAFStock[WeekIndex],21),U37+'Grid_Incoming'!V37-'Grid_Requirement'!V37))</f>
        <v/>
      </c>
      <c r="W37">
        <f>IF(COUNTIFS(T_StockCount[RM_Code],$A37,T_StockCount[WeekIndex],22)&gt;0,SUMIFS(T_StockCount[CountedQty],T_StockCount[RM_Code],$A37,T_StockCount[WeekIndex],22),IF((COUNTIFS(T_SelfStock[RM_Code],$A37,T_SelfStock[WeekIndex],22)&gt;0)*(COUNTIFS(T_TTAFStock[RM_Code],$A37,T_TTAFStock[WeekIndex],22)&gt;0)&gt;0,SUMIFS(T_SelfStock[Self_Qty],T_SelfStock[RM_Code],$A37,T_SelfStock[WeekIndex],22)+SUMIFS(T_TTAFStock[TTAF_Qty],T_TTAFStock[RM_Code],$A37,T_TTAFStock[WeekIndex],22),V37+'Grid_Incoming'!W37-'Grid_Requirement'!W37))</f>
        <v/>
      </c>
      <c r="X37">
        <f>IF(COUNTIFS(T_StockCount[RM_Code],$A37,T_StockCount[WeekIndex],23)&gt;0,SUMIFS(T_StockCount[CountedQty],T_StockCount[RM_Code],$A37,T_StockCount[WeekIndex],23),IF((COUNTIFS(T_SelfStock[RM_Code],$A37,T_SelfStock[WeekIndex],23)&gt;0)*(COUNTIFS(T_TTAFStock[RM_Code],$A37,T_TTAFStock[WeekIndex],23)&gt;0)&gt;0,SUMIFS(T_SelfStock[Self_Qty],T_SelfStock[RM_Code],$A37,T_SelfStock[WeekIndex],23)+SUMIFS(T_TTAFStock[TTAF_Qty],T_TTAFStock[RM_Code],$A37,T_TTAFStock[WeekIndex],23),W37+'Grid_Incoming'!X37-'Grid_Requirement'!X37))</f>
        <v/>
      </c>
      <c r="Y37">
        <f>IF(COUNTIFS(T_StockCount[RM_Code],$A37,T_StockCount[WeekIndex],24)&gt;0,SUMIFS(T_StockCount[CountedQty],T_StockCount[RM_Code],$A37,T_StockCount[WeekIndex],24),IF((COUNTIFS(T_SelfStock[RM_Code],$A37,T_SelfStock[WeekIndex],24)&gt;0)*(COUNTIFS(T_TTAFStock[RM_Code],$A37,T_TTAFStock[WeekIndex],24)&gt;0)&gt;0,SUMIFS(T_SelfStock[Self_Qty],T_SelfStock[RM_Code],$A37,T_SelfStock[WeekIndex],24)+SUMIFS(T_TTAFStock[TTAF_Qty],T_TTAFStock[RM_Code],$A37,T_TTAFStock[WeekIndex],24),X37+'Grid_Incoming'!Y37-'Grid_Requirement'!Y37))</f>
        <v/>
      </c>
      <c r="Z37">
        <f>IF(COUNTIFS(T_StockCount[RM_Code],$A37,T_StockCount[WeekIndex],25)&gt;0,SUMIFS(T_StockCount[CountedQty],T_StockCount[RM_Code],$A37,T_StockCount[WeekIndex],25),IF((COUNTIFS(T_SelfStock[RM_Code],$A37,T_SelfStock[WeekIndex],25)&gt;0)*(COUNTIFS(T_TTAFStock[RM_Code],$A37,T_TTAFStock[WeekIndex],25)&gt;0)&gt;0,SUMIFS(T_SelfStock[Self_Qty],T_SelfStock[RM_Code],$A37,T_SelfStock[WeekIndex],25)+SUMIFS(T_TTAFStock[TTAF_Qty],T_TTAFStock[RM_Code],$A37,T_TTAFStock[WeekIndex],25),Y37+'Grid_Incoming'!Z37-'Grid_Requirement'!Z37))</f>
        <v/>
      </c>
      <c r="AA37">
        <f>IF(COUNTIFS(T_StockCount[RM_Code],$A37,T_StockCount[WeekIndex],26)&gt;0,SUMIFS(T_StockCount[CountedQty],T_StockCount[RM_Code],$A37,T_StockCount[WeekIndex],26),IF((COUNTIFS(T_SelfStock[RM_Code],$A37,T_SelfStock[WeekIndex],26)&gt;0)*(COUNTIFS(T_TTAFStock[RM_Code],$A37,T_TTAFStock[WeekIndex],26)&gt;0)&gt;0,SUMIFS(T_SelfStock[Self_Qty],T_SelfStock[RM_Code],$A37,T_SelfStock[WeekIndex],26)+SUMIFS(T_TTAFStock[TTAF_Qty],T_TTAFStock[RM_Code],$A37,T_TTAFStock[WeekIndex],26),Z37+'Grid_Incoming'!AA37-'Grid_Requirement'!AA37))</f>
        <v/>
      </c>
      <c r="AB37">
        <f>IF(COUNTIFS(T_StockCount[RM_Code],$A37,T_StockCount[WeekIndex],27)&gt;0,SUMIFS(T_StockCount[CountedQty],T_StockCount[RM_Code],$A37,T_StockCount[WeekIndex],27),IF((COUNTIFS(T_SelfStock[RM_Code],$A37,T_SelfStock[WeekIndex],27)&gt;0)*(COUNTIFS(T_TTAFStock[RM_Code],$A37,T_TTAFStock[WeekIndex],27)&gt;0)&gt;0,SUMIFS(T_SelfStock[Self_Qty],T_SelfStock[RM_Code],$A37,T_SelfStock[WeekIndex],27)+SUMIFS(T_TTAFStock[TTAF_Qty],T_TTAFStock[RM_Code],$A37,T_TTAFStock[WeekIndex],27),AA37+'Grid_Incoming'!AB37-'Grid_Requirement'!AB37))</f>
        <v/>
      </c>
      <c r="AC37">
        <f>IF(COUNTIFS(T_StockCount[RM_Code],$A37,T_StockCount[WeekIndex],28)&gt;0,SUMIFS(T_StockCount[CountedQty],T_StockCount[RM_Code],$A37,T_StockCount[WeekIndex],28),IF((COUNTIFS(T_SelfStock[RM_Code],$A37,T_SelfStock[WeekIndex],28)&gt;0)*(COUNTIFS(T_TTAFStock[RM_Code],$A37,T_TTAFStock[WeekIndex],28)&gt;0)&gt;0,SUMIFS(T_SelfStock[Self_Qty],T_SelfStock[RM_Code],$A37,T_SelfStock[WeekIndex],28)+SUMIFS(T_TTAFStock[TTAF_Qty],T_TTAFStock[RM_Code],$A37,T_TTAFStock[WeekIndex],28),AB37+'Grid_Incoming'!AC37-'Grid_Requirement'!AC37))</f>
        <v/>
      </c>
      <c r="AD37">
        <f>IF(COUNTIFS(T_StockCount[RM_Code],$A37,T_StockCount[WeekIndex],29)&gt;0,SUMIFS(T_StockCount[CountedQty],T_StockCount[RM_Code],$A37,T_StockCount[WeekIndex],29),IF((COUNTIFS(T_SelfStock[RM_Code],$A37,T_SelfStock[WeekIndex],29)&gt;0)*(COUNTIFS(T_TTAFStock[RM_Code],$A37,T_TTAFStock[WeekIndex],29)&gt;0)&gt;0,SUMIFS(T_SelfStock[Self_Qty],T_SelfStock[RM_Code],$A37,T_SelfStock[WeekIndex],29)+SUMIFS(T_TTAFStock[TTAF_Qty],T_TTAFStock[RM_Code],$A37,T_TTAFStock[WeekIndex],29),AC37+'Grid_Incoming'!AD37-'Grid_Requirement'!AD37))</f>
        <v/>
      </c>
      <c r="AE37">
        <f>IF(COUNTIFS(T_StockCount[RM_Code],$A37,T_StockCount[WeekIndex],30)&gt;0,SUMIFS(T_StockCount[CountedQty],T_StockCount[RM_Code],$A37,T_StockCount[WeekIndex],30),IF((COUNTIFS(T_SelfStock[RM_Code],$A37,T_SelfStock[WeekIndex],30)&gt;0)*(COUNTIFS(T_TTAFStock[RM_Code],$A37,T_TTAFStock[WeekIndex],30)&gt;0)&gt;0,SUMIFS(T_SelfStock[Self_Qty],T_SelfStock[RM_Code],$A37,T_SelfStock[WeekIndex],30)+SUMIFS(T_TTAFStock[TTAF_Qty],T_TTAFStock[RM_Code],$A37,T_TTAFStock[WeekIndex],30),AD37+'Grid_Incoming'!AE37-'Grid_Requirement'!AE37))</f>
        <v/>
      </c>
      <c r="AF37">
        <f>IF(COUNTIFS(T_StockCount[RM_Code],$A37,T_StockCount[WeekIndex],31)&gt;0,SUMIFS(T_StockCount[CountedQty],T_StockCount[RM_Code],$A37,T_StockCount[WeekIndex],31),IF((COUNTIFS(T_SelfStock[RM_Code],$A37,T_SelfStock[WeekIndex],31)&gt;0)*(COUNTIFS(T_TTAFStock[RM_Code],$A37,T_TTAFStock[WeekIndex],31)&gt;0)&gt;0,SUMIFS(T_SelfStock[Self_Qty],T_SelfStock[RM_Code],$A37,T_SelfStock[WeekIndex],31)+SUMIFS(T_TTAFStock[TTAF_Qty],T_TTAFStock[RM_Code],$A37,T_TTAFStock[WeekIndex],31),AE37+'Grid_Incoming'!AF37-'Grid_Requirement'!AF37))</f>
        <v/>
      </c>
      <c r="AG37">
        <f>IF(COUNTIFS(T_StockCount[RM_Code],$A37,T_StockCount[WeekIndex],32)&gt;0,SUMIFS(T_StockCount[CountedQty],T_StockCount[RM_Code],$A37,T_StockCount[WeekIndex],32),IF((COUNTIFS(T_SelfStock[RM_Code],$A37,T_SelfStock[WeekIndex],32)&gt;0)*(COUNTIFS(T_TTAFStock[RM_Code],$A37,T_TTAFStock[WeekIndex],32)&gt;0)&gt;0,SUMIFS(T_SelfStock[Self_Qty],T_SelfStock[RM_Code],$A37,T_SelfStock[WeekIndex],32)+SUMIFS(T_TTAFStock[TTAF_Qty],T_TTAFStock[RM_Code],$A37,T_TTAFStock[WeekIndex],32),AF37+'Grid_Incoming'!AG37-'Grid_Requirement'!AG37))</f>
        <v/>
      </c>
      <c r="AH37">
        <f>IF(COUNTIFS(T_StockCount[RM_Code],$A37,T_StockCount[WeekIndex],33)&gt;0,SUMIFS(T_StockCount[CountedQty],T_StockCount[RM_Code],$A37,T_StockCount[WeekIndex],33),IF((COUNTIFS(T_SelfStock[RM_Code],$A37,T_SelfStock[WeekIndex],33)&gt;0)*(COUNTIFS(T_TTAFStock[RM_Code],$A37,T_TTAFStock[WeekIndex],33)&gt;0)&gt;0,SUMIFS(T_SelfStock[Self_Qty],T_SelfStock[RM_Code],$A37,T_SelfStock[WeekIndex],33)+SUMIFS(T_TTAFStock[TTAF_Qty],T_TTAFStock[RM_Code],$A37,T_TTAFStock[WeekIndex],33),AG37+'Grid_Incoming'!AH37-'Grid_Requirement'!AH37))</f>
        <v/>
      </c>
      <c r="AI37">
        <f>IF(COUNTIFS(T_StockCount[RM_Code],$A37,T_StockCount[WeekIndex],34)&gt;0,SUMIFS(T_StockCount[CountedQty],T_StockCount[RM_Code],$A37,T_StockCount[WeekIndex],34),IF((COUNTIFS(T_SelfStock[RM_Code],$A37,T_SelfStock[WeekIndex],34)&gt;0)*(COUNTIFS(T_TTAFStock[RM_Code],$A37,T_TTAFStock[WeekIndex],34)&gt;0)&gt;0,SUMIFS(T_SelfStock[Self_Qty],T_SelfStock[RM_Code],$A37,T_SelfStock[WeekIndex],34)+SUMIFS(T_TTAFStock[TTAF_Qty],T_TTAFStock[RM_Code],$A37,T_TTAFStock[WeekIndex],34),AH37+'Grid_Incoming'!AI37-'Grid_Requirement'!AI37))</f>
        <v/>
      </c>
      <c r="AJ37">
        <f>IF(COUNTIFS(T_StockCount[RM_Code],$A37,T_StockCount[WeekIndex],35)&gt;0,SUMIFS(T_StockCount[CountedQty],T_StockCount[RM_Code],$A37,T_StockCount[WeekIndex],35),IF((COUNTIFS(T_SelfStock[RM_Code],$A37,T_SelfStock[WeekIndex],35)&gt;0)*(COUNTIFS(T_TTAFStock[RM_Code],$A37,T_TTAFStock[WeekIndex],35)&gt;0)&gt;0,SUMIFS(T_SelfStock[Self_Qty],T_SelfStock[RM_Code],$A37,T_SelfStock[WeekIndex],35)+SUMIFS(T_TTAFStock[TTAF_Qty],T_TTAFStock[RM_Code],$A37,T_TTAFStock[WeekIndex],35),AI37+'Grid_Incoming'!AJ37-'Grid_Requirement'!AJ37))</f>
        <v/>
      </c>
      <c r="AK37">
        <f>IF(COUNTIFS(T_StockCount[RM_Code],$A37,T_StockCount[WeekIndex],36)&gt;0,SUMIFS(T_StockCount[CountedQty],T_StockCount[RM_Code],$A37,T_StockCount[WeekIndex],36),IF((COUNTIFS(T_SelfStock[RM_Code],$A37,T_SelfStock[WeekIndex],36)&gt;0)*(COUNTIFS(T_TTAFStock[RM_Code],$A37,T_TTAFStock[WeekIndex],36)&gt;0)&gt;0,SUMIFS(T_SelfStock[Self_Qty],T_SelfStock[RM_Code],$A37,T_SelfStock[WeekIndex],36)+SUMIFS(T_TTAFStock[TTAF_Qty],T_TTAFStock[RM_Code],$A37,T_TTAFStock[WeekIndex],36),AJ37+'Grid_Incoming'!AK37-'Grid_Requirement'!AK37))</f>
        <v/>
      </c>
      <c r="AL37">
        <f>IF(COUNTIFS(T_StockCount[RM_Code],$A37,T_StockCount[WeekIndex],37)&gt;0,SUMIFS(T_StockCount[CountedQty],T_StockCount[RM_Code],$A37,T_StockCount[WeekIndex],37),IF((COUNTIFS(T_SelfStock[RM_Code],$A37,T_SelfStock[WeekIndex],37)&gt;0)*(COUNTIFS(T_TTAFStock[RM_Code],$A37,T_TTAFStock[WeekIndex],37)&gt;0)&gt;0,SUMIFS(T_SelfStock[Self_Qty],T_SelfStock[RM_Code],$A37,T_SelfStock[WeekIndex],37)+SUMIFS(T_TTAFStock[TTAF_Qty],T_TTAFStock[RM_Code],$A37,T_TTAFStock[WeekIndex],37),AK37+'Grid_Incoming'!AL37-'Grid_Requirement'!AL37))</f>
        <v/>
      </c>
      <c r="AM37">
        <f>IF(COUNTIFS(T_StockCount[RM_Code],$A37,T_StockCount[WeekIndex],38)&gt;0,SUMIFS(T_StockCount[CountedQty],T_StockCount[RM_Code],$A37,T_StockCount[WeekIndex],38),IF((COUNTIFS(T_SelfStock[RM_Code],$A37,T_SelfStock[WeekIndex],38)&gt;0)*(COUNTIFS(T_TTAFStock[RM_Code],$A37,T_TTAFStock[WeekIndex],38)&gt;0)&gt;0,SUMIFS(T_SelfStock[Self_Qty],T_SelfStock[RM_Code],$A37,T_SelfStock[WeekIndex],38)+SUMIFS(T_TTAFStock[TTAF_Qty],T_TTAFStock[RM_Code],$A37,T_TTAFStock[WeekIndex],38),AL37+'Grid_Incoming'!AM37-'Grid_Requirement'!AM37))</f>
        <v/>
      </c>
      <c r="AN37">
        <f>IF(COUNTIFS(T_StockCount[RM_Code],$A37,T_StockCount[WeekIndex],39)&gt;0,SUMIFS(T_StockCount[CountedQty],T_StockCount[RM_Code],$A37,T_StockCount[WeekIndex],39),IF((COUNTIFS(T_SelfStock[RM_Code],$A37,T_SelfStock[WeekIndex],39)&gt;0)*(COUNTIFS(T_TTAFStock[RM_Code],$A37,T_TTAFStock[WeekIndex],39)&gt;0)&gt;0,SUMIFS(T_SelfStock[Self_Qty],T_SelfStock[RM_Code],$A37,T_SelfStock[WeekIndex],39)+SUMIFS(T_TTAFStock[TTAF_Qty],T_TTAFStock[RM_Code],$A37,T_TTAFStock[WeekIndex],39),AM37+'Grid_Incoming'!AN37-'Grid_Requirement'!AN37))</f>
        <v/>
      </c>
      <c r="AO37">
        <f>IF(COUNTIFS(T_StockCount[RM_Code],$A37,T_StockCount[WeekIndex],40)&gt;0,SUMIFS(T_StockCount[CountedQty],T_StockCount[RM_Code],$A37,T_StockCount[WeekIndex],40),IF((COUNTIFS(T_SelfStock[RM_Code],$A37,T_SelfStock[WeekIndex],40)&gt;0)*(COUNTIFS(T_TTAFStock[RM_Code],$A37,T_TTAFStock[WeekIndex],40)&gt;0)&gt;0,SUMIFS(T_SelfStock[Self_Qty],T_SelfStock[RM_Code],$A37,T_SelfStock[WeekIndex],40)+SUMIFS(T_TTAFStock[TTAF_Qty],T_TTAFStock[RM_Code],$A37,T_TTAFStock[WeekIndex],40),AN37+'Grid_Incoming'!AO37-'Grid_Requirement'!AO37))</f>
        <v/>
      </c>
      <c r="AP37">
        <f>IF(COUNTIFS(T_StockCount[RM_Code],$A37,T_StockCount[WeekIndex],41)&gt;0,SUMIFS(T_StockCount[CountedQty],T_StockCount[RM_Code],$A37,T_StockCount[WeekIndex],41),IF((COUNTIFS(T_SelfStock[RM_Code],$A37,T_SelfStock[WeekIndex],41)&gt;0)*(COUNTIFS(T_TTAFStock[RM_Code],$A37,T_TTAFStock[WeekIndex],41)&gt;0)&gt;0,SUMIFS(T_SelfStock[Self_Qty],T_SelfStock[RM_Code],$A37,T_SelfStock[WeekIndex],41)+SUMIFS(T_TTAFStock[TTAF_Qty],T_TTAFStock[RM_Code],$A37,T_TTAFStock[WeekIndex],41),AO37+'Grid_Incoming'!AP37-'Grid_Requirement'!AP37))</f>
        <v/>
      </c>
      <c r="AQ37">
        <f>IF(COUNTIFS(T_StockCount[RM_Code],$A37,T_StockCount[WeekIndex],42)&gt;0,SUMIFS(T_StockCount[CountedQty],T_StockCount[RM_Code],$A37,T_StockCount[WeekIndex],42),IF((COUNTIFS(T_SelfStock[RM_Code],$A37,T_SelfStock[WeekIndex],42)&gt;0)*(COUNTIFS(T_TTAFStock[RM_Code],$A37,T_TTAFStock[WeekIndex],42)&gt;0)&gt;0,SUMIFS(T_SelfStock[Self_Qty],T_SelfStock[RM_Code],$A37,T_SelfStock[WeekIndex],42)+SUMIFS(T_TTAFStock[TTAF_Qty],T_TTAFStock[RM_Code],$A37,T_TTAFStock[WeekIndex],42),AP37+'Grid_Incoming'!AQ37-'Grid_Requirement'!AQ37))</f>
        <v/>
      </c>
      <c r="AR37">
        <f>IF(COUNTIFS(T_StockCount[RM_Code],$A37,T_StockCount[WeekIndex],43)&gt;0,SUMIFS(T_StockCount[CountedQty],T_StockCount[RM_Code],$A37,T_StockCount[WeekIndex],43),IF((COUNTIFS(T_SelfStock[RM_Code],$A37,T_SelfStock[WeekIndex],43)&gt;0)*(COUNTIFS(T_TTAFStock[RM_Code],$A37,T_TTAFStock[WeekIndex],43)&gt;0)&gt;0,SUMIFS(T_SelfStock[Self_Qty],T_SelfStock[RM_Code],$A37,T_SelfStock[WeekIndex],43)+SUMIFS(T_TTAFStock[TTAF_Qty],T_TTAFStock[RM_Code],$A37,T_TTAFStock[WeekIndex],43),AQ37+'Grid_Incoming'!AR37-'Grid_Requirement'!AR37))</f>
        <v/>
      </c>
      <c r="AS37">
        <f>IF(COUNTIFS(T_StockCount[RM_Code],$A37,T_StockCount[WeekIndex],44)&gt;0,SUMIFS(T_StockCount[CountedQty],T_StockCount[RM_Code],$A37,T_StockCount[WeekIndex],44),IF((COUNTIFS(T_SelfStock[RM_Code],$A37,T_SelfStock[WeekIndex],44)&gt;0)*(COUNTIFS(T_TTAFStock[RM_Code],$A37,T_TTAFStock[WeekIndex],44)&gt;0)&gt;0,SUMIFS(T_SelfStock[Self_Qty],T_SelfStock[RM_Code],$A37,T_SelfStock[WeekIndex],44)+SUMIFS(T_TTAFStock[TTAF_Qty],T_TTAFStock[RM_Code],$A37,T_TTAFStock[WeekIndex],44),AR37+'Grid_Incoming'!AS37-'Grid_Requirement'!AS37))</f>
        <v/>
      </c>
      <c r="AT37">
        <f>IF(COUNTIFS(T_StockCount[RM_Code],$A37,T_StockCount[WeekIndex],45)&gt;0,SUMIFS(T_StockCount[CountedQty],T_StockCount[RM_Code],$A37,T_StockCount[WeekIndex],45),IF((COUNTIFS(T_SelfStock[RM_Code],$A37,T_SelfStock[WeekIndex],45)&gt;0)*(COUNTIFS(T_TTAFStock[RM_Code],$A37,T_TTAFStock[WeekIndex],45)&gt;0)&gt;0,SUMIFS(T_SelfStock[Self_Qty],T_SelfStock[RM_Code],$A37,T_SelfStock[WeekIndex],45)+SUMIFS(T_TTAFStock[TTAF_Qty],T_TTAFStock[RM_Code],$A37,T_TTAFStock[WeekIndex],45),AS37+'Grid_Incoming'!AT37-'Grid_Requirement'!AT37))</f>
        <v/>
      </c>
      <c r="AU37">
        <f>IF(COUNTIFS(T_StockCount[RM_Code],$A37,T_StockCount[WeekIndex],46)&gt;0,SUMIFS(T_StockCount[CountedQty],T_StockCount[RM_Code],$A37,T_StockCount[WeekIndex],46),IF((COUNTIFS(T_SelfStock[RM_Code],$A37,T_SelfStock[WeekIndex],46)&gt;0)*(COUNTIFS(T_TTAFStock[RM_Code],$A37,T_TTAFStock[WeekIndex],46)&gt;0)&gt;0,SUMIFS(T_SelfStock[Self_Qty],T_SelfStock[RM_Code],$A37,T_SelfStock[WeekIndex],46)+SUMIFS(T_TTAFStock[TTAF_Qty],T_TTAFStock[RM_Code],$A37,T_TTAFStock[WeekIndex],46),AT37+'Grid_Incoming'!AU37-'Grid_Requirement'!AU37))</f>
        <v/>
      </c>
      <c r="AV37">
        <f>IF(COUNTIFS(T_StockCount[RM_Code],$A37,T_StockCount[WeekIndex],47)&gt;0,SUMIFS(T_StockCount[CountedQty],T_StockCount[RM_Code],$A37,T_StockCount[WeekIndex],47),IF((COUNTIFS(T_SelfStock[RM_Code],$A37,T_SelfStock[WeekIndex],47)&gt;0)*(COUNTIFS(T_TTAFStock[RM_Code],$A37,T_TTAFStock[WeekIndex],47)&gt;0)&gt;0,SUMIFS(T_SelfStock[Self_Qty],T_SelfStock[RM_Code],$A37,T_SelfStock[WeekIndex],47)+SUMIFS(T_TTAFStock[TTAF_Qty],T_TTAFStock[RM_Code],$A37,T_TTAFStock[WeekIndex],47),AU37+'Grid_Incoming'!AV37-'Grid_Requirement'!AV37))</f>
        <v/>
      </c>
      <c r="AW37">
        <f>IF(COUNTIFS(T_StockCount[RM_Code],$A37,T_StockCount[WeekIndex],48)&gt;0,SUMIFS(T_StockCount[CountedQty],T_StockCount[RM_Code],$A37,T_StockCount[WeekIndex],48),IF((COUNTIFS(T_SelfStock[RM_Code],$A37,T_SelfStock[WeekIndex],48)&gt;0)*(COUNTIFS(T_TTAFStock[RM_Code],$A37,T_TTAFStock[WeekIndex],48)&gt;0)&gt;0,SUMIFS(T_SelfStock[Self_Qty],T_SelfStock[RM_Code],$A37,T_SelfStock[WeekIndex],48)+SUMIFS(T_TTAFStock[TTAF_Qty],T_TTAFStock[RM_Code],$A37,T_TTAFStock[WeekIndex],48),AV37+'Grid_Incoming'!AW37-'Grid_Requirement'!AW37))</f>
        <v/>
      </c>
      <c r="AX37">
        <f>IF(COUNTIFS(T_StockCount[RM_Code],$A37,T_StockCount[WeekIndex],49)&gt;0,SUMIFS(T_StockCount[CountedQty],T_StockCount[RM_Code],$A37,T_StockCount[WeekIndex],49),IF((COUNTIFS(T_SelfStock[RM_Code],$A37,T_SelfStock[WeekIndex],49)&gt;0)*(COUNTIFS(T_TTAFStock[RM_Code],$A37,T_TTAFStock[WeekIndex],49)&gt;0)&gt;0,SUMIFS(T_SelfStock[Self_Qty],T_SelfStock[RM_Code],$A37,T_SelfStock[WeekIndex],49)+SUMIFS(T_TTAFStock[TTAF_Qty],T_TTAFStock[RM_Code],$A37,T_TTAFStock[WeekIndex],49),AW37+'Grid_Incoming'!AX37-'Grid_Requirement'!AX37))</f>
        <v/>
      </c>
      <c r="AY37">
        <f>IF(COUNTIFS(T_StockCount[RM_Code],$A37,T_StockCount[WeekIndex],50)&gt;0,SUMIFS(T_StockCount[CountedQty],T_StockCount[RM_Code],$A37,T_StockCount[WeekIndex],50),IF((COUNTIFS(T_SelfStock[RM_Code],$A37,T_SelfStock[WeekIndex],50)&gt;0)*(COUNTIFS(T_TTAFStock[RM_Code],$A37,T_TTAFStock[WeekIndex],50)&gt;0)&gt;0,SUMIFS(T_SelfStock[Self_Qty],T_SelfStock[RM_Code],$A37,T_SelfStock[WeekIndex],50)+SUMIFS(T_TTAFStock[TTAF_Qty],T_TTAFStock[RM_Code],$A37,T_TTAFStock[WeekIndex],50),AX37+'Grid_Incoming'!AY37-'Grid_Requirement'!AY37))</f>
        <v/>
      </c>
      <c r="AZ37">
        <f>IF(COUNTIFS(T_StockCount[RM_Code],$A37,T_StockCount[WeekIndex],51)&gt;0,SUMIFS(T_StockCount[CountedQty],T_StockCount[RM_Code],$A37,T_StockCount[WeekIndex],51),IF((COUNTIFS(T_SelfStock[RM_Code],$A37,T_SelfStock[WeekIndex],51)&gt;0)*(COUNTIFS(T_TTAFStock[RM_Code],$A37,T_TTAFStock[WeekIndex],51)&gt;0)&gt;0,SUMIFS(T_SelfStock[Self_Qty],T_SelfStock[RM_Code],$A37,T_SelfStock[WeekIndex],51)+SUMIFS(T_TTAFStock[TTAF_Qty],T_TTAFStock[RM_Code],$A37,T_TTAFStock[WeekIndex],51),AY37+'Grid_Incoming'!AZ37-'Grid_Requirement'!AZ37))</f>
        <v/>
      </c>
      <c r="BA37">
        <f>IF(COUNTIFS(T_StockCount[RM_Code],$A37,T_StockCount[WeekIndex],52)&gt;0,SUMIFS(T_StockCount[CountedQty],T_StockCount[RM_Code],$A37,T_StockCount[WeekIndex],52),IF((COUNTIFS(T_SelfStock[RM_Code],$A37,T_SelfStock[WeekIndex],52)&gt;0)*(COUNTIFS(T_TTAFStock[RM_Code],$A37,T_TTAFStock[WeekIndex],52)&gt;0)&gt;0,SUMIFS(T_SelfStock[Self_Qty],T_SelfStock[RM_Code],$A37,T_SelfStock[WeekIndex],52)+SUMIFS(T_TTAFStock[TTAF_Qty],T_TTAFStock[RM_Code],$A37,T_TTAFStock[WeekIndex],52),AZ37+'Grid_Incoming'!BA37-'Grid_Requirement'!BA37))</f>
        <v/>
      </c>
      <c r="BB37">
        <f>IF(COUNTIFS(T_StockCount[RM_Code],$A37,T_StockCount[WeekIndex],53)&gt;0,SUMIFS(T_StockCount[CountedQty],T_StockCount[RM_Code],$A37,T_StockCount[WeekIndex],53),IF((COUNTIFS(T_SelfStock[RM_Code],$A37,T_SelfStock[WeekIndex],53)&gt;0)*(COUNTIFS(T_TTAFStock[RM_Code],$A37,T_TTAFStock[WeekIndex],53)&gt;0)&gt;0,SUMIFS(T_SelfStock[Self_Qty],T_SelfStock[RM_Code],$A37,T_SelfStock[WeekIndex],53)+SUMIFS(T_TTAFStock[TTAF_Qty],T_TTAFStock[RM_Code],$A37,T_TTAFStock[WeekIndex],53),BA37+'Grid_Incoming'!BB37-'Grid_Requirement'!BB37))</f>
        <v/>
      </c>
      <c r="BC37">
        <f>IF(COUNTIFS(T_StockCount[RM_Code],$A37,T_StockCount[WeekIndex],54)&gt;0,SUMIFS(T_StockCount[CountedQty],T_StockCount[RM_Code],$A37,T_StockCount[WeekIndex],54),IF((COUNTIFS(T_SelfStock[RM_Code],$A37,T_SelfStock[WeekIndex],54)&gt;0)*(COUNTIFS(T_TTAFStock[RM_Code],$A37,T_TTAFStock[WeekIndex],54)&gt;0)&gt;0,SUMIFS(T_SelfStock[Self_Qty],T_SelfStock[RM_Code],$A37,T_SelfStock[WeekIndex],54)+SUMIFS(T_TTAFStock[TTAF_Qty],T_TTAFStock[RM_Code],$A37,T_TTAFStock[WeekIndex],54),BB37+'Grid_Incoming'!BC37-'Grid_Requirement'!BC37))</f>
        <v/>
      </c>
      <c r="BD37">
        <f>IF(COUNTIFS(T_StockCount[RM_Code],$A37,T_StockCount[WeekIndex],55)&gt;0,SUMIFS(T_StockCount[CountedQty],T_StockCount[RM_Code],$A37,T_StockCount[WeekIndex],55),IF((COUNTIFS(T_SelfStock[RM_Code],$A37,T_SelfStock[WeekIndex],55)&gt;0)*(COUNTIFS(T_TTAFStock[RM_Code],$A37,T_TTAFStock[WeekIndex],55)&gt;0)&gt;0,SUMIFS(T_SelfStock[Self_Qty],T_SelfStock[RM_Code],$A37,T_SelfStock[WeekIndex],55)+SUMIFS(T_TTAFStock[TTAF_Qty],T_TTAFStock[RM_Code],$A37,T_TTAFStock[WeekIndex],55),BC37+'Grid_Incoming'!BD37-'Grid_Requirement'!BD37))</f>
        <v/>
      </c>
      <c r="BE37">
        <f>IF(COUNTIFS(T_StockCount[RM_Code],$A37,T_StockCount[WeekIndex],56)&gt;0,SUMIFS(T_StockCount[CountedQty],T_StockCount[RM_Code],$A37,T_StockCount[WeekIndex],56),IF((COUNTIFS(T_SelfStock[RM_Code],$A37,T_SelfStock[WeekIndex],56)&gt;0)*(COUNTIFS(T_TTAFStock[RM_Code],$A37,T_TTAFStock[WeekIndex],56)&gt;0)&gt;0,SUMIFS(T_SelfStock[Self_Qty],T_SelfStock[RM_Code],$A37,T_SelfStock[WeekIndex],56)+SUMIFS(T_TTAFStock[TTAF_Qty],T_TTAFStock[RM_Code],$A37,T_TTAFStock[WeekIndex],56),BD37+'Grid_Incoming'!BE37-'Grid_Requirement'!BE37))</f>
        <v/>
      </c>
      <c r="BF37">
        <f>IF(COUNTIFS(T_StockCount[RM_Code],$A37,T_StockCount[WeekIndex],57)&gt;0,SUMIFS(T_StockCount[CountedQty],T_StockCount[RM_Code],$A37,T_StockCount[WeekIndex],57),IF((COUNTIFS(T_SelfStock[RM_Code],$A37,T_SelfStock[WeekIndex],57)&gt;0)*(COUNTIFS(T_TTAFStock[RM_Code],$A37,T_TTAFStock[WeekIndex],57)&gt;0)&gt;0,SUMIFS(T_SelfStock[Self_Qty],T_SelfStock[RM_Code],$A37,T_SelfStock[WeekIndex],57)+SUMIFS(T_TTAFStock[TTAF_Qty],T_TTAFStock[RM_Code],$A37,T_TTAFStock[WeekIndex],57),BE37+'Grid_Incoming'!BF37-'Grid_Requirement'!BF37))</f>
        <v/>
      </c>
      <c r="BG37">
        <f>IF(COUNTIFS(T_StockCount[RM_Code],$A37,T_StockCount[WeekIndex],58)&gt;0,SUMIFS(T_StockCount[CountedQty],T_StockCount[RM_Code],$A37,T_StockCount[WeekIndex],58),IF((COUNTIFS(T_SelfStock[RM_Code],$A37,T_SelfStock[WeekIndex],58)&gt;0)*(COUNTIFS(T_TTAFStock[RM_Code],$A37,T_TTAFStock[WeekIndex],58)&gt;0)&gt;0,SUMIFS(T_SelfStock[Self_Qty],T_SelfStock[RM_Code],$A37,T_SelfStock[WeekIndex],58)+SUMIFS(T_TTAFStock[TTAF_Qty],T_TTAFStock[RM_Code],$A37,T_TTAFStock[WeekIndex],58),BF37+'Grid_Incoming'!BG37-'Grid_Requirement'!BG37))</f>
        <v/>
      </c>
      <c r="BH37">
        <f>IF(COUNTIFS(T_StockCount[RM_Code],$A37,T_StockCount[WeekIndex],59)&gt;0,SUMIFS(T_StockCount[CountedQty],T_StockCount[RM_Code],$A37,T_StockCount[WeekIndex],59),IF((COUNTIFS(T_SelfStock[RM_Code],$A37,T_SelfStock[WeekIndex],59)&gt;0)*(COUNTIFS(T_TTAFStock[RM_Code],$A37,T_TTAFStock[WeekIndex],59)&gt;0)&gt;0,SUMIFS(T_SelfStock[Self_Qty],T_SelfStock[RM_Code],$A37,T_SelfStock[WeekIndex],59)+SUMIFS(T_TTAFStock[TTAF_Qty],T_TTAFStock[RM_Code],$A37,T_TTAFStock[WeekIndex],59),BG37+'Grid_Incoming'!BH37-'Grid_Requirement'!BH37))</f>
        <v/>
      </c>
      <c r="BI37">
        <f>IF(COUNTIFS(T_StockCount[RM_Code],$A37,T_StockCount[WeekIndex],60)&gt;0,SUMIFS(T_StockCount[CountedQty],T_StockCount[RM_Code],$A37,T_StockCount[WeekIndex],60),IF((COUNTIFS(T_SelfStock[RM_Code],$A37,T_SelfStock[WeekIndex],60)&gt;0)*(COUNTIFS(T_TTAFStock[RM_Code],$A37,T_TTAFStock[WeekIndex],60)&gt;0)&gt;0,SUMIFS(T_SelfStock[Self_Qty],T_SelfStock[RM_Code],$A37,T_SelfStock[WeekIndex],60)+SUMIFS(T_TTAFStock[TTAF_Qty],T_TTAFStock[RM_Code],$A37,T_TTAFStock[WeekIndex],60),BH37+'Grid_Incoming'!BI37-'Grid_Requirement'!BI37))</f>
        <v/>
      </c>
      <c r="BJ37">
        <f>IF(COUNTIFS(T_StockCount[RM_Code],$A37,T_StockCount[WeekIndex],61)&gt;0,SUMIFS(T_StockCount[CountedQty],T_StockCount[RM_Code],$A37,T_StockCount[WeekIndex],61),IF((COUNTIFS(T_SelfStock[RM_Code],$A37,T_SelfStock[WeekIndex],61)&gt;0)*(COUNTIFS(T_TTAFStock[RM_Code],$A37,T_TTAFStock[WeekIndex],61)&gt;0)&gt;0,SUMIFS(T_SelfStock[Self_Qty],T_SelfStock[RM_Code],$A37,T_SelfStock[WeekIndex],61)+SUMIFS(T_TTAFStock[TTAF_Qty],T_TTAFStock[RM_Code],$A37,T_TTAFStock[WeekIndex],61),BI37+'Grid_Incoming'!BJ37-'Grid_Requirement'!BJ37))</f>
        <v/>
      </c>
      <c r="BK37">
        <f>IF(COUNTIFS(T_StockCount[RM_Code],$A37,T_StockCount[WeekIndex],62)&gt;0,SUMIFS(T_StockCount[CountedQty],T_StockCount[RM_Code],$A37,T_StockCount[WeekIndex],62),IF((COUNTIFS(T_SelfStock[RM_Code],$A37,T_SelfStock[WeekIndex],62)&gt;0)*(COUNTIFS(T_TTAFStock[RM_Code],$A37,T_TTAFStock[WeekIndex],62)&gt;0)&gt;0,SUMIFS(T_SelfStock[Self_Qty],T_SelfStock[RM_Code],$A37,T_SelfStock[WeekIndex],62)+SUMIFS(T_TTAFStock[TTAF_Qty],T_TTAFStock[RM_Code],$A37,T_TTAFStock[WeekIndex],62),BJ37+'Grid_Incoming'!BK37-'Grid_Requirement'!BK37))</f>
        <v/>
      </c>
      <c r="BL37">
        <f>IF(COUNTIFS(T_StockCount[RM_Code],$A37,T_StockCount[WeekIndex],63)&gt;0,SUMIFS(T_StockCount[CountedQty],T_StockCount[RM_Code],$A37,T_StockCount[WeekIndex],63),IF((COUNTIFS(T_SelfStock[RM_Code],$A37,T_SelfStock[WeekIndex],63)&gt;0)*(COUNTIFS(T_TTAFStock[RM_Code],$A37,T_TTAFStock[WeekIndex],63)&gt;0)&gt;0,SUMIFS(T_SelfStock[Self_Qty],T_SelfStock[RM_Code],$A37,T_SelfStock[WeekIndex],63)+SUMIFS(T_TTAFStock[TTAF_Qty],T_TTAFStock[RM_Code],$A37,T_TTAFStock[WeekIndex],63),BK37+'Grid_Incoming'!BL37-'Grid_Requirement'!BL37))</f>
        <v/>
      </c>
      <c r="BM37">
        <f>IF(COUNTIFS(T_StockCount[RM_Code],$A37,T_StockCount[WeekIndex],64)&gt;0,SUMIFS(T_StockCount[CountedQty],T_StockCount[RM_Code],$A37,T_StockCount[WeekIndex],64),IF((COUNTIFS(T_SelfStock[RM_Code],$A37,T_SelfStock[WeekIndex],64)&gt;0)*(COUNTIFS(T_TTAFStock[RM_Code],$A37,T_TTAFStock[WeekIndex],64)&gt;0)&gt;0,SUMIFS(T_SelfStock[Self_Qty],T_SelfStock[RM_Code],$A37,T_SelfStock[WeekIndex],64)+SUMIFS(T_TTAFStock[TTAF_Qty],T_TTAFStock[RM_Code],$A37,T_TTAFStock[WeekIndex],64),BL37+'Grid_Incoming'!BM37-'Grid_Requirement'!BM37))</f>
        <v/>
      </c>
      <c r="BN37">
        <f>IF(COUNTIFS(T_StockCount[RM_Code],$A37,T_StockCount[WeekIndex],65)&gt;0,SUMIFS(T_StockCount[CountedQty],T_StockCount[RM_Code],$A37,T_StockCount[WeekIndex],65),IF((COUNTIFS(T_SelfStock[RM_Code],$A37,T_SelfStock[WeekIndex],65)&gt;0)*(COUNTIFS(T_TTAFStock[RM_Code],$A37,T_TTAFStock[WeekIndex],65)&gt;0)&gt;0,SUMIFS(T_SelfStock[Self_Qty],T_SelfStock[RM_Code],$A37,T_SelfStock[WeekIndex],65)+SUMIFS(T_TTAFStock[TTAF_Qty],T_TTAFStock[RM_Code],$A37,T_TTAFStock[WeekIndex],65),BM37+'Grid_Incoming'!BN37-'Grid_Requirement'!BN37))</f>
        <v/>
      </c>
      <c r="BO37">
        <f>IF(COUNTIFS(T_StockCount[RM_Code],$A37,T_StockCount[WeekIndex],66)&gt;0,SUMIFS(T_StockCount[CountedQty],T_StockCount[RM_Code],$A37,T_StockCount[WeekIndex],66),IF((COUNTIFS(T_SelfStock[RM_Code],$A37,T_SelfStock[WeekIndex],66)&gt;0)*(COUNTIFS(T_TTAFStock[RM_Code],$A37,T_TTAFStock[WeekIndex],66)&gt;0)&gt;0,SUMIFS(T_SelfStock[Self_Qty],T_SelfStock[RM_Code],$A37,T_SelfStock[WeekIndex],66)+SUMIFS(T_TTAFStock[TTAF_Qty],T_TTAFStock[RM_Code],$A37,T_TTAFStock[WeekIndex],66),BN37+'Grid_Incoming'!BO37-'Grid_Requirement'!BO37))</f>
        <v/>
      </c>
      <c r="BP37">
        <f>IF(COUNTIFS(T_StockCount[RM_Code],$A37,T_StockCount[WeekIndex],67)&gt;0,SUMIFS(T_StockCount[CountedQty],T_StockCount[RM_Code],$A37,T_StockCount[WeekIndex],67),IF((COUNTIFS(T_SelfStock[RM_Code],$A37,T_SelfStock[WeekIndex],67)&gt;0)*(COUNTIFS(T_TTAFStock[RM_Code],$A37,T_TTAFStock[WeekIndex],67)&gt;0)&gt;0,SUMIFS(T_SelfStock[Self_Qty],T_SelfStock[RM_Code],$A37,T_SelfStock[WeekIndex],67)+SUMIFS(T_TTAFStock[TTAF_Qty],T_TTAFStock[RM_Code],$A37,T_TTAFStock[WeekIndex],67),BO37+'Grid_Incoming'!BP37-'Grid_Requirement'!BP37))</f>
        <v/>
      </c>
      <c r="BQ37">
        <f>IF(COUNTIFS(T_StockCount[RM_Code],$A37,T_StockCount[WeekIndex],68)&gt;0,SUMIFS(T_StockCount[CountedQty],T_StockCount[RM_Code],$A37,T_StockCount[WeekIndex],68),IF((COUNTIFS(T_SelfStock[RM_Code],$A37,T_SelfStock[WeekIndex],68)&gt;0)*(COUNTIFS(T_TTAFStock[RM_Code],$A37,T_TTAFStock[WeekIndex],68)&gt;0)&gt;0,SUMIFS(T_SelfStock[Self_Qty],T_SelfStock[RM_Code],$A37,T_SelfStock[WeekIndex],68)+SUMIFS(T_TTAFStock[TTAF_Qty],T_TTAFStock[RM_Code],$A37,T_TTAFStock[WeekIndex],68),BP37+'Grid_Incoming'!BQ37-'Grid_Requirement'!BQ37))</f>
        <v/>
      </c>
      <c r="BR37">
        <f>IF(COUNTIFS(T_StockCount[RM_Code],$A37,T_StockCount[WeekIndex],69)&gt;0,SUMIFS(T_StockCount[CountedQty],T_StockCount[RM_Code],$A37,T_StockCount[WeekIndex],69),IF((COUNTIFS(T_SelfStock[RM_Code],$A37,T_SelfStock[WeekIndex],69)&gt;0)*(COUNTIFS(T_TTAFStock[RM_Code],$A37,T_TTAFStock[WeekIndex],69)&gt;0)&gt;0,SUMIFS(T_SelfStock[Self_Qty],T_SelfStock[RM_Code],$A37,T_SelfStock[WeekIndex],69)+SUMIFS(T_TTAFStock[TTAF_Qty],T_TTAFStock[RM_Code],$A37,T_TTAFStock[WeekIndex],69),BQ37+'Grid_Incoming'!BR37-'Grid_Requirement'!BR37))</f>
        <v/>
      </c>
      <c r="BS37">
        <f>IF(COUNTIFS(T_StockCount[RM_Code],$A37,T_StockCount[WeekIndex],70)&gt;0,SUMIFS(T_StockCount[CountedQty],T_StockCount[RM_Code],$A37,T_StockCount[WeekIndex],70),IF((COUNTIFS(T_SelfStock[RM_Code],$A37,T_SelfStock[WeekIndex],70)&gt;0)*(COUNTIFS(T_TTAFStock[RM_Code],$A37,T_TTAFStock[WeekIndex],70)&gt;0)&gt;0,SUMIFS(T_SelfStock[Self_Qty],T_SelfStock[RM_Code],$A37,T_SelfStock[WeekIndex],70)+SUMIFS(T_TTAFStock[TTAF_Qty],T_TTAFStock[RM_Code],$A37,T_TTAFStock[WeekIndex],70),BR37+'Grid_Incoming'!BS37-'Grid_Requirement'!BS37))</f>
        <v/>
      </c>
      <c r="BT37">
        <f>IF(COUNTIFS(T_StockCount[RM_Code],$A37,T_StockCount[WeekIndex],71)&gt;0,SUMIFS(T_StockCount[CountedQty],T_StockCount[RM_Code],$A37,T_StockCount[WeekIndex],71),IF((COUNTIFS(T_SelfStock[RM_Code],$A37,T_SelfStock[WeekIndex],71)&gt;0)*(COUNTIFS(T_TTAFStock[RM_Code],$A37,T_TTAFStock[WeekIndex],71)&gt;0)&gt;0,SUMIFS(T_SelfStock[Self_Qty],T_SelfStock[RM_Code],$A37,T_SelfStock[WeekIndex],71)+SUMIFS(T_TTAFStock[TTAF_Qty],T_TTAFStock[RM_Code],$A37,T_TTAFStock[WeekIndex],71),BS37+'Grid_Incoming'!BT37-'Grid_Requirement'!BT37))</f>
        <v/>
      </c>
      <c r="BU37">
        <f>IF(COUNTIFS(T_StockCount[RM_Code],$A37,T_StockCount[WeekIndex],72)&gt;0,SUMIFS(T_StockCount[CountedQty],T_StockCount[RM_Code],$A37,T_StockCount[WeekIndex],72),IF((COUNTIFS(T_SelfStock[RM_Code],$A37,T_SelfStock[WeekIndex],72)&gt;0)*(COUNTIFS(T_TTAFStock[RM_Code],$A37,T_TTAFStock[WeekIndex],72)&gt;0)&gt;0,SUMIFS(T_SelfStock[Self_Qty],T_SelfStock[RM_Code],$A37,T_SelfStock[WeekIndex],72)+SUMIFS(T_TTAFStock[TTAF_Qty],T_TTAFStock[RM_Code],$A37,T_TTAFStock[WeekIndex],72),BT37+'Grid_Incoming'!BU37-'Grid_Requirement'!BU37))</f>
        <v/>
      </c>
      <c r="BV37">
        <f>IF(COUNTIFS(T_StockCount[RM_Code],$A37,T_StockCount[WeekIndex],73)&gt;0,SUMIFS(T_StockCount[CountedQty],T_StockCount[RM_Code],$A37,T_StockCount[WeekIndex],73),IF((COUNTIFS(T_SelfStock[RM_Code],$A37,T_SelfStock[WeekIndex],73)&gt;0)*(COUNTIFS(T_TTAFStock[RM_Code],$A37,T_TTAFStock[WeekIndex],73)&gt;0)&gt;0,SUMIFS(T_SelfStock[Self_Qty],T_SelfStock[RM_Code],$A37,T_SelfStock[WeekIndex],73)+SUMIFS(T_TTAFStock[TTAF_Qty],T_TTAFStock[RM_Code],$A37,T_TTAFStock[WeekIndex],73),BU37+'Grid_Incoming'!BV37-'Grid_Requirement'!BV37))</f>
        <v/>
      </c>
      <c r="BW37">
        <f>IF(COUNTIFS(T_StockCount[RM_Code],$A37,T_StockCount[WeekIndex],74)&gt;0,SUMIFS(T_StockCount[CountedQty],T_StockCount[RM_Code],$A37,T_StockCount[WeekIndex],74),IF((COUNTIFS(T_SelfStock[RM_Code],$A37,T_SelfStock[WeekIndex],74)&gt;0)*(COUNTIFS(T_TTAFStock[RM_Code],$A37,T_TTAFStock[WeekIndex],74)&gt;0)&gt;0,SUMIFS(T_SelfStock[Self_Qty],T_SelfStock[RM_Code],$A37,T_SelfStock[WeekIndex],74)+SUMIFS(T_TTAFStock[TTAF_Qty],T_TTAFStock[RM_Code],$A37,T_TTAFStock[WeekIndex],74),BV37+'Grid_Incoming'!BW37-'Grid_Requirement'!BW37))</f>
        <v/>
      </c>
      <c r="BX37">
        <f>IF(COUNTIFS(T_StockCount[RM_Code],$A37,T_StockCount[WeekIndex],75)&gt;0,SUMIFS(T_StockCount[CountedQty],T_StockCount[RM_Code],$A37,T_StockCount[WeekIndex],75),IF((COUNTIFS(T_SelfStock[RM_Code],$A37,T_SelfStock[WeekIndex],75)&gt;0)*(COUNTIFS(T_TTAFStock[RM_Code],$A37,T_TTAFStock[WeekIndex],75)&gt;0)&gt;0,SUMIFS(T_SelfStock[Self_Qty],T_SelfStock[RM_Code],$A37,T_SelfStock[WeekIndex],75)+SUMIFS(T_TTAFStock[TTAF_Qty],T_TTAFStock[RM_Code],$A37,T_TTAFStock[WeekIndex],75),BW37+'Grid_Incoming'!BX37-'Grid_Requirement'!BX37))</f>
        <v/>
      </c>
      <c r="BY37">
        <f>IF(COUNTIFS(T_StockCount[RM_Code],$A37,T_StockCount[WeekIndex],76)&gt;0,SUMIFS(T_StockCount[CountedQty],T_StockCount[RM_Code],$A37,T_StockCount[WeekIndex],76),IF((COUNTIFS(T_SelfStock[RM_Code],$A37,T_SelfStock[WeekIndex],76)&gt;0)*(COUNTIFS(T_TTAFStock[RM_Code],$A37,T_TTAFStock[WeekIndex],76)&gt;0)&gt;0,SUMIFS(T_SelfStock[Self_Qty],T_SelfStock[RM_Code],$A37,T_SelfStock[WeekIndex],76)+SUMIFS(T_TTAFStock[TTAF_Qty],T_TTAFStock[RM_Code],$A37,T_TTAFStock[WeekIndex],76),BX37+'Grid_Incoming'!BY37-'Grid_Requirement'!BY37))</f>
        <v/>
      </c>
      <c r="BZ37">
        <f>IF(COUNTIFS(T_StockCount[RM_Code],$A37,T_StockCount[WeekIndex],77)&gt;0,SUMIFS(T_StockCount[CountedQty],T_StockCount[RM_Code],$A37,T_StockCount[WeekIndex],77),IF((COUNTIFS(T_SelfStock[RM_Code],$A37,T_SelfStock[WeekIndex],77)&gt;0)*(COUNTIFS(T_TTAFStock[RM_Code],$A37,T_TTAFStock[WeekIndex],77)&gt;0)&gt;0,SUMIFS(T_SelfStock[Self_Qty],T_SelfStock[RM_Code],$A37,T_SelfStock[WeekIndex],77)+SUMIFS(T_TTAFStock[TTAF_Qty],T_TTAFStock[RM_Code],$A37,T_TTAFStock[WeekIndex],77),BY37+'Grid_Incoming'!BZ37-'Grid_Requirement'!BZ37))</f>
        <v/>
      </c>
      <c r="CA37">
        <f>IF(COUNTIFS(T_StockCount[RM_Code],$A37,T_StockCount[WeekIndex],78)&gt;0,SUMIFS(T_StockCount[CountedQty],T_StockCount[RM_Code],$A37,T_StockCount[WeekIndex],78),IF((COUNTIFS(T_SelfStock[RM_Code],$A37,T_SelfStock[WeekIndex],78)&gt;0)*(COUNTIFS(T_TTAFStock[RM_Code],$A37,T_TTAFStock[WeekIndex],78)&gt;0)&gt;0,SUMIFS(T_SelfStock[Self_Qty],T_SelfStock[RM_Code],$A37,T_SelfStock[WeekIndex],78)+SUMIFS(T_TTAFStock[TTAF_Qty],T_TTAFStock[RM_Code],$A37,T_TTAFStock[WeekIndex],78),BZ37+'Grid_Incoming'!CA37-'Grid_Requirement'!CA37))</f>
        <v/>
      </c>
      <c r="CB37">
        <f>IF(COUNTIFS(T_StockCount[RM_Code],$A37,T_StockCount[WeekIndex],79)&gt;0,SUMIFS(T_StockCount[CountedQty],T_StockCount[RM_Code],$A37,T_StockCount[WeekIndex],79),IF((COUNTIFS(T_SelfStock[RM_Code],$A37,T_SelfStock[WeekIndex],79)&gt;0)*(COUNTIFS(T_TTAFStock[RM_Code],$A37,T_TTAFStock[WeekIndex],79)&gt;0)&gt;0,SUMIFS(T_SelfStock[Self_Qty],T_SelfStock[RM_Code],$A37,T_SelfStock[WeekIndex],79)+SUMIFS(T_TTAFStock[TTAF_Qty],T_TTAFStock[RM_Code],$A37,T_TTAFStock[WeekIndex],79),CA37+'Grid_Incoming'!CB37-'Grid_Requirement'!CB37))</f>
        <v/>
      </c>
      <c r="CC37">
        <f>IF(COUNTIFS(T_StockCount[RM_Code],$A37,T_StockCount[WeekIndex],80)&gt;0,SUMIFS(T_StockCount[CountedQty],T_StockCount[RM_Code],$A37,T_StockCount[WeekIndex],80),IF((COUNTIFS(T_SelfStock[RM_Code],$A37,T_SelfStock[WeekIndex],80)&gt;0)*(COUNTIFS(T_TTAFStock[RM_Code],$A37,T_TTAFStock[WeekIndex],80)&gt;0)&gt;0,SUMIFS(T_SelfStock[Self_Qty],T_SelfStock[RM_Code],$A37,T_SelfStock[WeekIndex],80)+SUMIFS(T_TTAFStock[TTAF_Qty],T_TTAFStock[RM_Code],$A37,T_TTAFStock[WeekIndex],80),CB37+'Grid_Incoming'!CC37-'Grid_Requirement'!CC37))</f>
        <v/>
      </c>
      <c r="CD37">
        <f>IF(COUNTIFS(T_StockCount[RM_Code],$A37,T_StockCount[WeekIndex],81)&gt;0,SUMIFS(T_StockCount[CountedQty],T_StockCount[RM_Code],$A37,T_StockCount[WeekIndex],81),IF((COUNTIFS(T_SelfStock[RM_Code],$A37,T_SelfStock[WeekIndex],81)&gt;0)*(COUNTIFS(T_TTAFStock[RM_Code],$A37,T_TTAFStock[WeekIndex],81)&gt;0)&gt;0,SUMIFS(T_SelfStock[Self_Qty],T_SelfStock[RM_Code],$A37,T_SelfStock[WeekIndex],81)+SUMIFS(T_TTAFStock[TTAF_Qty],T_TTAFStock[RM_Code],$A37,T_TTAFStock[WeekIndex],81),CC37+'Grid_Incoming'!CD37-'Grid_Requirement'!CD37))</f>
        <v/>
      </c>
      <c r="CE37">
        <f>IF(COUNTIFS(T_StockCount[RM_Code],$A37,T_StockCount[WeekIndex],82)&gt;0,SUMIFS(T_StockCount[CountedQty],T_StockCount[RM_Code],$A37,T_StockCount[WeekIndex],82),IF((COUNTIFS(T_SelfStock[RM_Code],$A37,T_SelfStock[WeekIndex],82)&gt;0)*(COUNTIFS(T_TTAFStock[RM_Code],$A37,T_TTAFStock[WeekIndex],82)&gt;0)&gt;0,SUMIFS(T_SelfStock[Self_Qty],T_SelfStock[RM_Code],$A37,T_SelfStock[WeekIndex],82)+SUMIFS(T_TTAFStock[TTAF_Qty],T_TTAFStock[RM_Code],$A37,T_TTAFStock[WeekIndex],82),CD37+'Grid_Incoming'!CE37-'Grid_Requirement'!CE37))</f>
        <v/>
      </c>
      <c r="CF37">
        <f>IF(COUNTIFS(T_StockCount[RM_Code],$A37,T_StockCount[WeekIndex],83)&gt;0,SUMIFS(T_StockCount[CountedQty],T_StockCount[RM_Code],$A37,T_StockCount[WeekIndex],83),IF((COUNTIFS(T_SelfStock[RM_Code],$A37,T_SelfStock[WeekIndex],83)&gt;0)*(COUNTIFS(T_TTAFStock[RM_Code],$A37,T_TTAFStock[WeekIndex],83)&gt;0)&gt;0,SUMIFS(T_SelfStock[Self_Qty],T_SelfStock[RM_Code],$A37,T_SelfStock[WeekIndex],83)+SUMIFS(T_TTAFStock[TTAF_Qty],T_TTAFStock[RM_Code],$A37,T_TTAFStock[WeekIndex],83),CE37+'Grid_Incoming'!CF37-'Grid_Requirement'!CF37))</f>
        <v/>
      </c>
      <c r="CG37">
        <f>IF(COUNTIFS(T_StockCount[RM_Code],$A37,T_StockCount[WeekIndex],84)&gt;0,SUMIFS(T_StockCount[CountedQty],T_StockCount[RM_Code],$A37,T_StockCount[WeekIndex],84),IF((COUNTIFS(T_SelfStock[RM_Code],$A37,T_SelfStock[WeekIndex],84)&gt;0)*(COUNTIFS(T_TTAFStock[RM_Code],$A37,T_TTAFStock[WeekIndex],84)&gt;0)&gt;0,SUMIFS(T_SelfStock[Self_Qty],T_SelfStock[RM_Code],$A37,T_SelfStock[WeekIndex],84)+SUMIFS(T_TTAFStock[TTAF_Qty],T_TTAFStock[RM_Code],$A37,T_TTAFStock[WeekIndex],84),CF37+'Grid_Incoming'!CG37-'Grid_Requirement'!CG37))</f>
        <v/>
      </c>
      <c r="CH37">
        <f>IF(COUNTIFS(T_StockCount[RM_Code],$A37,T_StockCount[WeekIndex],85)&gt;0,SUMIFS(T_StockCount[CountedQty],T_StockCount[RM_Code],$A37,T_StockCount[WeekIndex],85),IF((COUNTIFS(T_SelfStock[RM_Code],$A37,T_SelfStock[WeekIndex],85)&gt;0)*(COUNTIFS(T_TTAFStock[RM_Code],$A37,T_TTAFStock[WeekIndex],85)&gt;0)&gt;0,SUMIFS(T_SelfStock[Self_Qty],T_SelfStock[RM_Code],$A37,T_SelfStock[WeekIndex],85)+SUMIFS(T_TTAFStock[TTAF_Qty],T_TTAFStock[RM_Code],$A37,T_TTAFStock[WeekIndex],85),CG37+'Grid_Incoming'!CH37-'Grid_Requirement'!CH37))</f>
        <v/>
      </c>
      <c r="CI37">
        <f>IF(COUNTIFS(T_StockCount[RM_Code],$A37,T_StockCount[WeekIndex],86)&gt;0,SUMIFS(T_StockCount[CountedQty],T_StockCount[RM_Code],$A37,T_StockCount[WeekIndex],86),IF((COUNTIFS(T_SelfStock[RM_Code],$A37,T_SelfStock[WeekIndex],86)&gt;0)*(COUNTIFS(T_TTAFStock[RM_Code],$A37,T_TTAFStock[WeekIndex],86)&gt;0)&gt;0,SUMIFS(T_SelfStock[Self_Qty],T_SelfStock[RM_Code],$A37,T_SelfStock[WeekIndex],86)+SUMIFS(T_TTAFStock[TTAF_Qty],T_TTAFStock[RM_Code],$A37,T_TTAFStock[WeekIndex],86),CH37+'Grid_Incoming'!CI37-'Grid_Requirement'!CI37))</f>
        <v/>
      </c>
      <c r="CJ37">
        <f>IF(COUNTIFS(T_StockCount[RM_Code],$A37,T_StockCount[WeekIndex],87)&gt;0,SUMIFS(T_StockCount[CountedQty],T_StockCount[RM_Code],$A37,T_StockCount[WeekIndex],87),IF((COUNTIFS(T_SelfStock[RM_Code],$A37,T_SelfStock[WeekIndex],87)&gt;0)*(COUNTIFS(T_TTAFStock[RM_Code],$A37,T_TTAFStock[WeekIndex],87)&gt;0)&gt;0,SUMIFS(T_SelfStock[Self_Qty],T_SelfStock[RM_Code],$A37,T_SelfStock[WeekIndex],87)+SUMIFS(T_TTAFStock[TTAF_Qty],T_TTAFStock[RM_Code],$A37,T_TTAFStock[WeekIndex],87),CI37+'Grid_Incoming'!CJ37-'Grid_Requirement'!CJ37))</f>
        <v/>
      </c>
      <c r="CK37">
        <f>IF(COUNTIFS(T_StockCount[RM_Code],$A37,T_StockCount[WeekIndex],88)&gt;0,SUMIFS(T_StockCount[CountedQty],T_StockCount[RM_Code],$A37,T_StockCount[WeekIndex],88),IF((COUNTIFS(T_SelfStock[RM_Code],$A37,T_SelfStock[WeekIndex],88)&gt;0)*(COUNTIFS(T_TTAFStock[RM_Code],$A37,T_TTAFStock[WeekIndex],88)&gt;0)&gt;0,SUMIFS(T_SelfStock[Self_Qty],T_SelfStock[RM_Code],$A37,T_SelfStock[WeekIndex],88)+SUMIFS(T_TTAFStock[TTAF_Qty],T_TTAFStock[RM_Code],$A37,T_TTAFStock[WeekIndex],88),CJ37+'Grid_Incoming'!CK37-'Grid_Requirement'!CK37))</f>
        <v/>
      </c>
      <c r="CL37">
        <f>IF(COUNTIFS(T_StockCount[RM_Code],$A37,T_StockCount[WeekIndex],89)&gt;0,SUMIFS(T_StockCount[CountedQty],T_StockCount[RM_Code],$A37,T_StockCount[WeekIndex],89),IF((COUNTIFS(T_SelfStock[RM_Code],$A37,T_SelfStock[WeekIndex],89)&gt;0)*(COUNTIFS(T_TTAFStock[RM_Code],$A37,T_TTAFStock[WeekIndex],89)&gt;0)&gt;0,SUMIFS(T_SelfStock[Self_Qty],T_SelfStock[RM_Code],$A37,T_SelfStock[WeekIndex],89)+SUMIFS(T_TTAFStock[TTAF_Qty],T_TTAFStock[RM_Code],$A37,T_TTAFStock[WeekIndex],89),CK37+'Grid_Incoming'!CL37-'Grid_Requirement'!CL37))</f>
        <v/>
      </c>
      <c r="CM37">
        <f>IF(COUNTIFS(T_StockCount[RM_Code],$A37,T_StockCount[WeekIndex],90)&gt;0,SUMIFS(T_StockCount[CountedQty],T_StockCount[RM_Code],$A37,T_StockCount[WeekIndex],90),IF((COUNTIFS(T_SelfStock[RM_Code],$A37,T_SelfStock[WeekIndex],90)&gt;0)*(COUNTIFS(T_TTAFStock[RM_Code],$A37,T_TTAFStock[WeekIndex],90)&gt;0)&gt;0,SUMIFS(T_SelfStock[Self_Qty],T_SelfStock[RM_Code],$A37,T_SelfStock[WeekIndex],90)+SUMIFS(T_TTAFStock[TTAF_Qty],T_TTAFStock[RM_Code],$A37,T_TTAFStock[WeekIndex],90),CL37+'Grid_Incoming'!CM37-'Grid_Requirement'!CM37))</f>
        <v/>
      </c>
      <c r="CN37">
        <f>IF(COUNTIFS(T_StockCount[RM_Code],$A37,T_StockCount[WeekIndex],91)&gt;0,SUMIFS(T_StockCount[CountedQty],T_StockCount[RM_Code],$A37,T_StockCount[WeekIndex],91),IF((COUNTIFS(T_SelfStock[RM_Code],$A37,T_SelfStock[WeekIndex],91)&gt;0)*(COUNTIFS(T_TTAFStock[RM_Code],$A37,T_TTAFStock[WeekIndex],91)&gt;0)&gt;0,SUMIFS(T_SelfStock[Self_Qty],T_SelfStock[RM_Code],$A37,T_SelfStock[WeekIndex],91)+SUMIFS(T_TTAFStock[TTAF_Qty],T_TTAFStock[RM_Code],$A37,T_TTAFStock[WeekIndex],91),CM37+'Grid_Incoming'!CN37-'Grid_Requirement'!CN37))</f>
        <v/>
      </c>
      <c r="CO37">
        <f>IF(COUNTIFS(T_StockCount[RM_Code],$A37,T_StockCount[WeekIndex],92)&gt;0,SUMIFS(T_StockCount[CountedQty],T_StockCount[RM_Code],$A37,T_StockCount[WeekIndex],92),IF((COUNTIFS(T_SelfStock[RM_Code],$A37,T_SelfStock[WeekIndex],92)&gt;0)*(COUNTIFS(T_TTAFStock[RM_Code],$A37,T_TTAFStock[WeekIndex],92)&gt;0)&gt;0,SUMIFS(T_SelfStock[Self_Qty],T_SelfStock[RM_Code],$A37,T_SelfStock[WeekIndex],92)+SUMIFS(T_TTAFStock[TTAF_Qty],T_TTAFStock[RM_Code],$A37,T_TTAFStock[WeekIndex],92),CN37+'Grid_Incoming'!CO37-'Grid_Requirement'!CO37))</f>
        <v/>
      </c>
      <c r="CP37">
        <f>IF(COUNTIFS(T_StockCount[RM_Code],$A37,T_StockCount[WeekIndex],93)&gt;0,SUMIFS(T_StockCount[CountedQty],T_StockCount[RM_Code],$A37,T_StockCount[WeekIndex],93),IF((COUNTIFS(T_SelfStock[RM_Code],$A37,T_SelfStock[WeekIndex],93)&gt;0)*(COUNTIFS(T_TTAFStock[RM_Code],$A37,T_TTAFStock[WeekIndex],93)&gt;0)&gt;0,SUMIFS(T_SelfStock[Self_Qty],T_SelfStock[RM_Code],$A37,T_SelfStock[WeekIndex],93)+SUMIFS(T_TTAFStock[TTAF_Qty],T_TTAFStock[RM_Code],$A37,T_TTAFStock[WeekIndex],93),CO37+'Grid_Incoming'!CP37-'Grid_Requirement'!CP37))</f>
        <v/>
      </c>
      <c r="CQ37">
        <f>IF(COUNTIFS(T_StockCount[RM_Code],$A37,T_StockCount[WeekIndex],94)&gt;0,SUMIFS(T_StockCount[CountedQty],T_StockCount[RM_Code],$A37,T_StockCount[WeekIndex],94),IF((COUNTIFS(T_SelfStock[RM_Code],$A37,T_SelfStock[WeekIndex],94)&gt;0)*(COUNTIFS(T_TTAFStock[RM_Code],$A37,T_TTAFStock[WeekIndex],94)&gt;0)&gt;0,SUMIFS(T_SelfStock[Self_Qty],T_SelfStock[RM_Code],$A37,T_SelfStock[WeekIndex],94)+SUMIFS(T_TTAFStock[TTAF_Qty],T_TTAFStock[RM_Code],$A37,T_TTAFStock[WeekIndex],94),CP37+'Grid_Incoming'!CQ37-'Grid_Requirement'!CQ37))</f>
        <v/>
      </c>
      <c r="CR37">
        <f>IF(COUNTIFS(T_StockCount[RM_Code],$A37,T_StockCount[WeekIndex],95)&gt;0,SUMIFS(T_StockCount[CountedQty],T_StockCount[RM_Code],$A37,T_StockCount[WeekIndex],95),IF((COUNTIFS(T_SelfStock[RM_Code],$A37,T_SelfStock[WeekIndex],95)&gt;0)*(COUNTIFS(T_TTAFStock[RM_Code],$A37,T_TTAFStock[WeekIndex],95)&gt;0)&gt;0,SUMIFS(T_SelfStock[Self_Qty],T_SelfStock[RM_Code],$A37,T_SelfStock[WeekIndex],95)+SUMIFS(T_TTAFStock[TTAF_Qty],T_TTAFStock[RM_Code],$A37,T_TTAFStock[WeekIndex],95),CQ37+'Grid_Incoming'!CR37-'Grid_Requirement'!CR37))</f>
        <v/>
      </c>
      <c r="CS37">
        <f>IF(COUNTIFS(T_StockCount[RM_Code],$A37,T_StockCount[WeekIndex],96)&gt;0,SUMIFS(T_StockCount[CountedQty],T_StockCount[RM_Code],$A37,T_StockCount[WeekIndex],96),IF((COUNTIFS(T_SelfStock[RM_Code],$A37,T_SelfStock[WeekIndex],96)&gt;0)*(COUNTIFS(T_TTAFStock[RM_Code],$A37,T_TTAFStock[WeekIndex],96)&gt;0)&gt;0,SUMIFS(T_SelfStock[Self_Qty],T_SelfStock[RM_Code],$A37,T_SelfStock[WeekIndex],96)+SUMIFS(T_TTAFStock[TTAF_Qty],T_TTAFStock[RM_Code],$A37,T_TTAFStock[WeekIndex],96),CR37+'Grid_Incoming'!CS37-'Grid_Requirement'!CS37))</f>
        <v/>
      </c>
      <c r="CT37">
        <f>IF(COUNTIFS(T_StockCount[RM_Code],$A37,T_StockCount[WeekIndex],97)&gt;0,SUMIFS(T_StockCount[CountedQty],T_StockCount[RM_Code],$A37,T_StockCount[WeekIndex],97),IF((COUNTIFS(T_SelfStock[RM_Code],$A37,T_SelfStock[WeekIndex],97)&gt;0)*(COUNTIFS(T_TTAFStock[RM_Code],$A37,T_TTAFStock[WeekIndex],97)&gt;0)&gt;0,SUMIFS(T_SelfStock[Self_Qty],T_SelfStock[RM_Code],$A37,T_SelfStock[WeekIndex],97)+SUMIFS(T_TTAFStock[TTAF_Qty],T_TTAFStock[RM_Code],$A37,T_TTAFStock[WeekIndex],97),CS37+'Grid_Incoming'!CT37-'Grid_Requirement'!CT37))</f>
        <v/>
      </c>
      <c r="CU37">
        <f>IF(COUNTIFS(T_StockCount[RM_Code],$A37,T_StockCount[WeekIndex],98)&gt;0,SUMIFS(T_StockCount[CountedQty],T_StockCount[RM_Code],$A37,T_StockCount[WeekIndex],98),IF((COUNTIFS(T_SelfStock[RM_Code],$A37,T_SelfStock[WeekIndex],98)&gt;0)*(COUNTIFS(T_TTAFStock[RM_Code],$A37,T_TTAFStock[WeekIndex],98)&gt;0)&gt;0,SUMIFS(T_SelfStock[Self_Qty],T_SelfStock[RM_Code],$A37,T_SelfStock[WeekIndex],98)+SUMIFS(T_TTAFStock[TTAF_Qty],T_TTAFStock[RM_Code],$A37,T_TTAFStock[WeekIndex],98),CT37+'Grid_Incoming'!CU37-'Grid_Requirement'!CU37))</f>
        <v/>
      </c>
      <c r="CV37">
        <f>IF(COUNTIFS(T_StockCount[RM_Code],$A37,T_StockCount[WeekIndex],99)&gt;0,SUMIFS(T_StockCount[CountedQty],T_StockCount[RM_Code],$A37,T_StockCount[WeekIndex],99),IF((COUNTIFS(T_SelfStock[RM_Code],$A37,T_SelfStock[WeekIndex],99)&gt;0)*(COUNTIFS(T_TTAFStock[RM_Code],$A37,T_TTAFStock[WeekIndex],99)&gt;0)&gt;0,SUMIFS(T_SelfStock[Self_Qty],T_SelfStock[RM_Code],$A37,T_SelfStock[WeekIndex],99)+SUMIFS(T_TTAFStock[TTAF_Qty],T_TTAFStock[RM_Code],$A37,T_TTAFStock[WeekIndex],99),CU37+'Grid_Incoming'!CV37-'Grid_Requirement'!CV37))</f>
        <v/>
      </c>
      <c r="CW37">
        <f>IF(COUNTIFS(T_StockCount[RM_Code],$A37,T_StockCount[WeekIndex],100)&gt;0,SUMIFS(T_StockCount[CountedQty],T_StockCount[RM_Code],$A37,T_StockCount[WeekIndex],100),IF((COUNTIFS(T_SelfStock[RM_Code],$A37,T_SelfStock[WeekIndex],100)&gt;0)*(COUNTIFS(T_TTAFStock[RM_Code],$A37,T_TTAFStock[WeekIndex],100)&gt;0)&gt;0,SUMIFS(T_SelfStock[Self_Qty],T_SelfStock[RM_Code],$A37,T_SelfStock[WeekIndex],100)+SUMIFS(T_TTAFStock[TTAF_Qty],T_TTAFStock[RM_Code],$A37,T_TTAFStock[WeekIndex],100),CV37+'Grid_Incoming'!CW37-'Grid_Requirement'!CW37))</f>
        <v/>
      </c>
      <c r="CX37">
        <f>IF(COUNTIFS(T_StockCount[RM_Code],$A37,T_StockCount[WeekIndex],101)&gt;0,SUMIFS(T_StockCount[CountedQty],T_StockCount[RM_Code],$A37,T_StockCount[WeekIndex],101),IF((COUNTIFS(T_SelfStock[RM_Code],$A37,T_SelfStock[WeekIndex],101)&gt;0)*(COUNTIFS(T_TTAFStock[RM_Code],$A37,T_TTAFStock[WeekIndex],101)&gt;0)&gt;0,SUMIFS(T_SelfStock[Self_Qty],T_SelfStock[RM_Code],$A37,T_SelfStock[WeekIndex],101)+SUMIFS(T_TTAFStock[TTAF_Qty],T_TTAFStock[RM_Code],$A37,T_TTAFStock[WeekIndex],101),CW37+'Grid_Incoming'!CX37-'Grid_Requirement'!CX37))</f>
        <v/>
      </c>
      <c r="CY37">
        <f>IF(COUNTIFS(T_StockCount[RM_Code],$A37,T_StockCount[WeekIndex],102)&gt;0,SUMIFS(T_StockCount[CountedQty],T_StockCount[RM_Code],$A37,T_StockCount[WeekIndex],102),IF((COUNTIFS(T_SelfStock[RM_Code],$A37,T_SelfStock[WeekIndex],102)&gt;0)*(COUNTIFS(T_TTAFStock[RM_Code],$A37,T_TTAFStock[WeekIndex],102)&gt;0)&gt;0,SUMIFS(T_SelfStock[Self_Qty],T_SelfStock[RM_Code],$A37,T_SelfStock[WeekIndex],102)+SUMIFS(T_TTAFStock[TTAF_Qty],T_TTAFStock[RM_Code],$A37,T_TTAFStock[WeekIndex],102),CX37+'Grid_Incoming'!CY37-'Grid_Requirement'!CY37))</f>
        <v/>
      </c>
      <c r="CZ37">
        <f>IF(COUNTIFS(T_StockCount[RM_Code],$A37,T_StockCount[WeekIndex],103)&gt;0,SUMIFS(T_StockCount[CountedQty],T_StockCount[RM_Code],$A37,T_StockCount[WeekIndex],103),IF((COUNTIFS(T_SelfStock[RM_Code],$A37,T_SelfStock[WeekIndex],103)&gt;0)*(COUNTIFS(T_TTAFStock[RM_Code],$A37,T_TTAFStock[WeekIndex],103)&gt;0)&gt;0,SUMIFS(T_SelfStock[Self_Qty],T_SelfStock[RM_Code],$A37,T_SelfStock[WeekIndex],103)+SUMIFS(T_TTAFStock[TTAF_Qty],T_TTAFStock[RM_Code],$A37,T_TTAFStock[WeekIndex],103),CY37+'Grid_Incoming'!CZ37-'Grid_Requirement'!CZ37))</f>
        <v/>
      </c>
      <c r="DA37">
        <f>IF(COUNTIFS(T_StockCount[RM_Code],$A37,T_StockCount[WeekIndex],104)&gt;0,SUMIFS(T_StockCount[CountedQty],T_StockCount[RM_Code],$A37,T_StockCount[WeekIndex],104),IF((COUNTIFS(T_SelfStock[RM_Code],$A37,T_SelfStock[WeekIndex],104)&gt;0)*(COUNTIFS(T_TTAFStock[RM_Code],$A37,T_TTAFStock[WeekIndex],104)&gt;0)&gt;0,SUMIFS(T_SelfStock[Self_Qty],T_SelfStock[RM_Code],$A37,T_SelfStock[WeekIndex],104)+SUMIFS(T_TTAFStock[TTAF_Qty],T_TTAFStock[RM_Code],$A37,T_TTAFStock[WeekIndex],104),CZ37+'Grid_Incoming'!DA37-'Grid_Requirement'!DA37))</f>
        <v/>
      </c>
    </row>
    <row r="38">
      <c r="A38" t="inlineStr">
        <is>
          <t>CHEM-1820</t>
        </is>
      </c>
      <c r="B38">
        <f>IF(COUNTIFS(T_StockCount[RM_Code],$A38,T_StockCount[WeekIndex],1)&gt;0,SUMIFS(T_StockCount[CountedQty],T_StockCount[RM_Code],$A38,T_StockCount[WeekIndex],1),IF((COUNTIFS(T_SelfStock[RM_Code],$A38,T_SelfStock[WeekIndex],1)&gt;0)*(COUNTIFS(T_TTAFStock[RM_Code],$A38,T_TTAFStock[WeekIndex],1)&gt;0)&gt;0,SUMIFS(T_SelfStock[Self_Qty],T_SelfStock[RM_Code],$A38,T_SelfStock[WeekIndex],1)+SUMIFS(T_TTAFStock[TTAF_Qty],T_TTAFStock[RM_Code],$A38,T_TTAFStock[WeekIndex],1),IFERROR(INDEX(T_OpeningStock[Opening_Qty],MATCH($A38,T_OpeningStock[RM_Code],0)),0)+'Grid_Incoming'!B38-'Grid_Requirement'!B38))</f>
        <v/>
      </c>
      <c r="C38">
        <f>IF(COUNTIFS(T_StockCount[RM_Code],$A38,T_StockCount[WeekIndex],2)&gt;0,SUMIFS(T_StockCount[CountedQty],T_StockCount[RM_Code],$A38,T_StockCount[WeekIndex],2),IF((COUNTIFS(T_SelfStock[RM_Code],$A38,T_SelfStock[WeekIndex],2)&gt;0)*(COUNTIFS(T_TTAFStock[RM_Code],$A38,T_TTAFStock[WeekIndex],2)&gt;0)&gt;0,SUMIFS(T_SelfStock[Self_Qty],T_SelfStock[RM_Code],$A38,T_SelfStock[WeekIndex],2)+SUMIFS(T_TTAFStock[TTAF_Qty],T_TTAFStock[RM_Code],$A38,T_TTAFStock[WeekIndex],2),B38+'Grid_Incoming'!C38-'Grid_Requirement'!C38))</f>
        <v/>
      </c>
      <c r="D38">
        <f>IF(COUNTIFS(T_StockCount[RM_Code],$A38,T_StockCount[WeekIndex],3)&gt;0,SUMIFS(T_StockCount[CountedQty],T_StockCount[RM_Code],$A38,T_StockCount[WeekIndex],3),IF((COUNTIFS(T_SelfStock[RM_Code],$A38,T_SelfStock[WeekIndex],3)&gt;0)*(COUNTIFS(T_TTAFStock[RM_Code],$A38,T_TTAFStock[WeekIndex],3)&gt;0)&gt;0,SUMIFS(T_SelfStock[Self_Qty],T_SelfStock[RM_Code],$A38,T_SelfStock[WeekIndex],3)+SUMIFS(T_TTAFStock[TTAF_Qty],T_TTAFStock[RM_Code],$A38,T_TTAFStock[WeekIndex],3),C38+'Grid_Incoming'!D38-'Grid_Requirement'!D38))</f>
        <v/>
      </c>
      <c r="E38">
        <f>IF(COUNTIFS(T_StockCount[RM_Code],$A38,T_StockCount[WeekIndex],4)&gt;0,SUMIFS(T_StockCount[CountedQty],T_StockCount[RM_Code],$A38,T_StockCount[WeekIndex],4),IF((COUNTIFS(T_SelfStock[RM_Code],$A38,T_SelfStock[WeekIndex],4)&gt;0)*(COUNTIFS(T_TTAFStock[RM_Code],$A38,T_TTAFStock[WeekIndex],4)&gt;0)&gt;0,SUMIFS(T_SelfStock[Self_Qty],T_SelfStock[RM_Code],$A38,T_SelfStock[WeekIndex],4)+SUMIFS(T_TTAFStock[TTAF_Qty],T_TTAFStock[RM_Code],$A38,T_TTAFStock[WeekIndex],4),D38+'Grid_Incoming'!E38-'Grid_Requirement'!E38))</f>
        <v/>
      </c>
      <c r="F38">
        <f>IF(COUNTIFS(T_StockCount[RM_Code],$A38,T_StockCount[WeekIndex],5)&gt;0,SUMIFS(T_StockCount[CountedQty],T_StockCount[RM_Code],$A38,T_StockCount[WeekIndex],5),IF((COUNTIFS(T_SelfStock[RM_Code],$A38,T_SelfStock[WeekIndex],5)&gt;0)*(COUNTIFS(T_TTAFStock[RM_Code],$A38,T_TTAFStock[WeekIndex],5)&gt;0)&gt;0,SUMIFS(T_SelfStock[Self_Qty],T_SelfStock[RM_Code],$A38,T_SelfStock[WeekIndex],5)+SUMIFS(T_TTAFStock[TTAF_Qty],T_TTAFStock[RM_Code],$A38,T_TTAFStock[WeekIndex],5),E38+'Grid_Incoming'!F38-'Grid_Requirement'!F38))</f>
        <v/>
      </c>
      <c r="G38">
        <f>IF(COUNTIFS(T_StockCount[RM_Code],$A38,T_StockCount[WeekIndex],6)&gt;0,SUMIFS(T_StockCount[CountedQty],T_StockCount[RM_Code],$A38,T_StockCount[WeekIndex],6),IF((COUNTIFS(T_SelfStock[RM_Code],$A38,T_SelfStock[WeekIndex],6)&gt;0)*(COUNTIFS(T_TTAFStock[RM_Code],$A38,T_TTAFStock[WeekIndex],6)&gt;0)&gt;0,SUMIFS(T_SelfStock[Self_Qty],T_SelfStock[RM_Code],$A38,T_SelfStock[WeekIndex],6)+SUMIFS(T_TTAFStock[TTAF_Qty],T_TTAFStock[RM_Code],$A38,T_TTAFStock[WeekIndex],6),F38+'Grid_Incoming'!G38-'Grid_Requirement'!G38))</f>
        <v/>
      </c>
      <c r="H38">
        <f>IF(COUNTIFS(T_StockCount[RM_Code],$A38,T_StockCount[WeekIndex],7)&gt;0,SUMIFS(T_StockCount[CountedQty],T_StockCount[RM_Code],$A38,T_StockCount[WeekIndex],7),IF((COUNTIFS(T_SelfStock[RM_Code],$A38,T_SelfStock[WeekIndex],7)&gt;0)*(COUNTIFS(T_TTAFStock[RM_Code],$A38,T_TTAFStock[WeekIndex],7)&gt;0)&gt;0,SUMIFS(T_SelfStock[Self_Qty],T_SelfStock[RM_Code],$A38,T_SelfStock[WeekIndex],7)+SUMIFS(T_TTAFStock[TTAF_Qty],T_TTAFStock[RM_Code],$A38,T_TTAFStock[WeekIndex],7),G38+'Grid_Incoming'!H38-'Grid_Requirement'!H38))</f>
        <v/>
      </c>
      <c r="I38">
        <f>IF(COUNTIFS(T_StockCount[RM_Code],$A38,T_StockCount[WeekIndex],8)&gt;0,SUMIFS(T_StockCount[CountedQty],T_StockCount[RM_Code],$A38,T_StockCount[WeekIndex],8),IF((COUNTIFS(T_SelfStock[RM_Code],$A38,T_SelfStock[WeekIndex],8)&gt;0)*(COUNTIFS(T_TTAFStock[RM_Code],$A38,T_TTAFStock[WeekIndex],8)&gt;0)&gt;0,SUMIFS(T_SelfStock[Self_Qty],T_SelfStock[RM_Code],$A38,T_SelfStock[WeekIndex],8)+SUMIFS(T_TTAFStock[TTAF_Qty],T_TTAFStock[RM_Code],$A38,T_TTAFStock[WeekIndex],8),H38+'Grid_Incoming'!I38-'Grid_Requirement'!I38))</f>
        <v/>
      </c>
      <c r="J38">
        <f>IF(COUNTIFS(T_StockCount[RM_Code],$A38,T_StockCount[WeekIndex],9)&gt;0,SUMIFS(T_StockCount[CountedQty],T_StockCount[RM_Code],$A38,T_StockCount[WeekIndex],9),IF((COUNTIFS(T_SelfStock[RM_Code],$A38,T_SelfStock[WeekIndex],9)&gt;0)*(COUNTIFS(T_TTAFStock[RM_Code],$A38,T_TTAFStock[WeekIndex],9)&gt;0)&gt;0,SUMIFS(T_SelfStock[Self_Qty],T_SelfStock[RM_Code],$A38,T_SelfStock[WeekIndex],9)+SUMIFS(T_TTAFStock[TTAF_Qty],T_TTAFStock[RM_Code],$A38,T_TTAFStock[WeekIndex],9),I38+'Grid_Incoming'!J38-'Grid_Requirement'!J38))</f>
        <v/>
      </c>
      <c r="K38">
        <f>IF(COUNTIFS(T_StockCount[RM_Code],$A38,T_StockCount[WeekIndex],10)&gt;0,SUMIFS(T_StockCount[CountedQty],T_StockCount[RM_Code],$A38,T_StockCount[WeekIndex],10),IF((COUNTIFS(T_SelfStock[RM_Code],$A38,T_SelfStock[WeekIndex],10)&gt;0)*(COUNTIFS(T_TTAFStock[RM_Code],$A38,T_TTAFStock[WeekIndex],10)&gt;0)&gt;0,SUMIFS(T_SelfStock[Self_Qty],T_SelfStock[RM_Code],$A38,T_SelfStock[WeekIndex],10)+SUMIFS(T_TTAFStock[TTAF_Qty],T_TTAFStock[RM_Code],$A38,T_TTAFStock[WeekIndex],10),J38+'Grid_Incoming'!K38-'Grid_Requirement'!K38))</f>
        <v/>
      </c>
      <c r="L38">
        <f>IF(COUNTIFS(T_StockCount[RM_Code],$A38,T_StockCount[WeekIndex],11)&gt;0,SUMIFS(T_StockCount[CountedQty],T_StockCount[RM_Code],$A38,T_StockCount[WeekIndex],11),IF((COUNTIFS(T_SelfStock[RM_Code],$A38,T_SelfStock[WeekIndex],11)&gt;0)*(COUNTIFS(T_TTAFStock[RM_Code],$A38,T_TTAFStock[WeekIndex],11)&gt;0)&gt;0,SUMIFS(T_SelfStock[Self_Qty],T_SelfStock[RM_Code],$A38,T_SelfStock[WeekIndex],11)+SUMIFS(T_TTAFStock[TTAF_Qty],T_TTAFStock[RM_Code],$A38,T_TTAFStock[WeekIndex],11),K38+'Grid_Incoming'!L38-'Grid_Requirement'!L38))</f>
        <v/>
      </c>
      <c r="M38">
        <f>IF(COUNTIFS(T_StockCount[RM_Code],$A38,T_StockCount[WeekIndex],12)&gt;0,SUMIFS(T_StockCount[CountedQty],T_StockCount[RM_Code],$A38,T_StockCount[WeekIndex],12),IF((COUNTIFS(T_SelfStock[RM_Code],$A38,T_SelfStock[WeekIndex],12)&gt;0)*(COUNTIFS(T_TTAFStock[RM_Code],$A38,T_TTAFStock[WeekIndex],12)&gt;0)&gt;0,SUMIFS(T_SelfStock[Self_Qty],T_SelfStock[RM_Code],$A38,T_SelfStock[WeekIndex],12)+SUMIFS(T_TTAFStock[TTAF_Qty],T_TTAFStock[RM_Code],$A38,T_TTAFStock[WeekIndex],12),L38+'Grid_Incoming'!M38-'Grid_Requirement'!M38))</f>
        <v/>
      </c>
      <c r="N38">
        <f>IF(COUNTIFS(T_StockCount[RM_Code],$A38,T_StockCount[WeekIndex],13)&gt;0,SUMIFS(T_StockCount[CountedQty],T_StockCount[RM_Code],$A38,T_StockCount[WeekIndex],13),IF((COUNTIFS(T_SelfStock[RM_Code],$A38,T_SelfStock[WeekIndex],13)&gt;0)*(COUNTIFS(T_TTAFStock[RM_Code],$A38,T_TTAFStock[WeekIndex],13)&gt;0)&gt;0,SUMIFS(T_SelfStock[Self_Qty],T_SelfStock[RM_Code],$A38,T_SelfStock[WeekIndex],13)+SUMIFS(T_TTAFStock[TTAF_Qty],T_TTAFStock[RM_Code],$A38,T_TTAFStock[WeekIndex],13),M38+'Grid_Incoming'!N38-'Grid_Requirement'!N38))</f>
        <v/>
      </c>
      <c r="O38">
        <f>IF(COUNTIFS(T_StockCount[RM_Code],$A38,T_StockCount[WeekIndex],14)&gt;0,SUMIFS(T_StockCount[CountedQty],T_StockCount[RM_Code],$A38,T_StockCount[WeekIndex],14),IF((COUNTIFS(T_SelfStock[RM_Code],$A38,T_SelfStock[WeekIndex],14)&gt;0)*(COUNTIFS(T_TTAFStock[RM_Code],$A38,T_TTAFStock[WeekIndex],14)&gt;0)&gt;0,SUMIFS(T_SelfStock[Self_Qty],T_SelfStock[RM_Code],$A38,T_SelfStock[WeekIndex],14)+SUMIFS(T_TTAFStock[TTAF_Qty],T_TTAFStock[RM_Code],$A38,T_TTAFStock[WeekIndex],14),N38+'Grid_Incoming'!O38-'Grid_Requirement'!O38))</f>
        <v/>
      </c>
      <c r="P38">
        <f>IF(COUNTIFS(T_StockCount[RM_Code],$A38,T_StockCount[WeekIndex],15)&gt;0,SUMIFS(T_StockCount[CountedQty],T_StockCount[RM_Code],$A38,T_StockCount[WeekIndex],15),IF((COUNTIFS(T_SelfStock[RM_Code],$A38,T_SelfStock[WeekIndex],15)&gt;0)*(COUNTIFS(T_TTAFStock[RM_Code],$A38,T_TTAFStock[WeekIndex],15)&gt;0)&gt;0,SUMIFS(T_SelfStock[Self_Qty],T_SelfStock[RM_Code],$A38,T_SelfStock[WeekIndex],15)+SUMIFS(T_TTAFStock[TTAF_Qty],T_TTAFStock[RM_Code],$A38,T_TTAFStock[WeekIndex],15),O38+'Grid_Incoming'!P38-'Grid_Requirement'!P38))</f>
        <v/>
      </c>
      <c r="Q38">
        <f>IF(COUNTIFS(T_StockCount[RM_Code],$A38,T_StockCount[WeekIndex],16)&gt;0,SUMIFS(T_StockCount[CountedQty],T_StockCount[RM_Code],$A38,T_StockCount[WeekIndex],16),IF((COUNTIFS(T_SelfStock[RM_Code],$A38,T_SelfStock[WeekIndex],16)&gt;0)*(COUNTIFS(T_TTAFStock[RM_Code],$A38,T_TTAFStock[WeekIndex],16)&gt;0)&gt;0,SUMIFS(T_SelfStock[Self_Qty],T_SelfStock[RM_Code],$A38,T_SelfStock[WeekIndex],16)+SUMIFS(T_TTAFStock[TTAF_Qty],T_TTAFStock[RM_Code],$A38,T_TTAFStock[WeekIndex],16),P38+'Grid_Incoming'!Q38-'Grid_Requirement'!Q38))</f>
        <v/>
      </c>
      <c r="R38">
        <f>IF(COUNTIFS(T_StockCount[RM_Code],$A38,T_StockCount[WeekIndex],17)&gt;0,SUMIFS(T_StockCount[CountedQty],T_StockCount[RM_Code],$A38,T_StockCount[WeekIndex],17),IF((COUNTIFS(T_SelfStock[RM_Code],$A38,T_SelfStock[WeekIndex],17)&gt;0)*(COUNTIFS(T_TTAFStock[RM_Code],$A38,T_TTAFStock[WeekIndex],17)&gt;0)&gt;0,SUMIFS(T_SelfStock[Self_Qty],T_SelfStock[RM_Code],$A38,T_SelfStock[WeekIndex],17)+SUMIFS(T_TTAFStock[TTAF_Qty],T_TTAFStock[RM_Code],$A38,T_TTAFStock[WeekIndex],17),Q38+'Grid_Incoming'!R38-'Grid_Requirement'!R38))</f>
        <v/>
      </c>
      <c r="S38">
        <f>IF(COUNTIFS(T_StockCount[RM_Code],$A38,T_StockCount[WeekIndex],18)&gt;0,SUMIFS(T_StockCount[CountedQty],T_StockCount[RM_Code],$A38,T_StockCount[WeekIndex],18),IF((COUNTIFS(T_SelfStock[RM_Code],$A38,T_SelfStock[WeekIndex],18)&gt;0)*(COUNTIFS(T_TTAFStock[RM_Code],$A38,T_TTAFStock[WeekIndex],18)&gt;0)&gt;0,SUMIFS(T_SelfStock[Self_Qty],T_SelfStock[RM_Code],$A38,T_SelfStock[WeekIndex],18)+SUMIFS(T_TTAFStock[TTAF_Qty],T_TTAFStock[RM_Code],$A38,T_TTAFStock[WeekIndex],18),R38+'Grid_Incoming'!S38-'Grid_Requirement'!S38))</f>
        <v/>
      </c>
      <c r="T38">
        <f>IF(COUNTIFS(T_StockCount[RM_Code],$A38,T_StockCount[WeekIndex],19)&gt;0,SUMIFS(T_StockCount[CountedQty],T_StockCount[RM_Code],$A38,T_StockCount[WeekIndex],19),IF((COUNTIFS(T_SelfStock[RM_Code],$A38,T_SelfStock[WeekIndex],19)&gt;0)*(COUNTIFS(T_TTAFStock[RM_Code],$A38,T_TTAFStock[WeekIndex],19)&gt;0)&gt;0,SUMIFS(T_SelfStock[Self_Qty],T_SelfStock[RM_Code],$A38,T_SelfStock[WeekIndex],19)+SUMIFS(T_TTAFStock[TTAF_Qty],T_TTAFStock[RM_Code],$A38,T_TTAFStock[WeekIndex],19),S38+'Grid_Incoming'!T38-'Grid_Requirement'!T38))</f>
        <v/>
      </c>
      <c r="U38">
        <f>IF(COUNTIFS(T_StockCount[RM_Code],$A38,T_StockCount[WeekIndex],20)&gt;0,SUMIFS(T_StockCount[CountedQty],T_StockCount[RM_Code],$A38,T_StockCount[WeekIndex],20),IF((COUNTIFS(T_SelfStock[RM_Code],$A38,T_SelfStock[WeekIndex],20)&gt;0)*(COUNTIFS(T_TTAFStock[RM_Code],$A38,T_TTAFStock[WeekIndex],20)&gt;0)&gt;0,SUMIFS(T_SelfStock[Self_Qty],T_SelfStock[RM_Code],$A38,T_SelfStock[WeekIndex],20)+SUMIFS(T_TTAFStock[TTAF_Qty],T_TTAFStock[RM_Code],$A38,T_TTAFStock[WeekIndex],20),T38+'Grid_Incoming'!U38-'Grid_Requirement'!U38))</f>
        <v/>
      </c>
      <c r="V38">
        <f>IF(COUNTIFS(T_StockCount[RM_Code],$A38,T_StockCount[WeekIndex],21)&gt;0,SUMIFS(T_StockCount[CountedQty],T_StockCount[RM_Code],$A38,T_StockCount[WeekIndex],21),IF((COUNTIFS(T_SelfStock[RM_Code],$A38,T_SelfStock[WeekIndex],21)&gt;0)*(COUNTIFS(T_TTAFStock[RM_Code],$A38,T_TTAFStock[WeekIndex],21)&gt;0)&gt;0,SUMIFS(T_SelfStock[Self_Qty],T_SelfStock[RM_Code],$A38,T_SelfStock[WeekIndex],21)+SUMIFS(T_TTAFStock[TTAF_Qty],T_TTAFStock[RM_Code],$A38,T_TTAFStock[WeekIndex],21),U38+'Grid_Incoming'!V38-'Grid_Requirement'!V38))</f>
        <v/>
      </c>
      <c r="W38">
        <f>IF(COUNTIFS(T_StockCount[RM_Code],$A38,T_StockCount[WeekIndex],22)&gt;0,SUMIFS(T_StockCount[CountedQty],T_StockCount[RM_Code],$A38,T_StockCount[WeekIndex],22),IF((COUNTIFS(T_SelfStock[RM_Code],$A38,T_SelfStock[WeekIndex],22)&gt;0)*(COUNTIFS(T_TTAFStock[RM_Code],$A38,T_TTAFStock[WeekIndex],22)&gt;0)&gt;0,SUMIFS(T_SelfStock[Self_Qty],T_SelfStock[RM_Code],$A38,T_SelfStock[WeekIndex],22)+SUMIFS(T_TTAFStock[TTAF_Qty],T_TTAFStock[RM_Code],$A38,T_TTAFStock[WeekIndex],22),V38+'Grid_Incoming'!W38-'Grid_Requirement'!W38))</f>
        <v/>
      </c>
      <c r="X38">
        <f>IF(COUNTIFS(T_StockCount[RM_Code],$A38,T_StockCount[WeekIndex],23)&gt;0,SUMIFS(T_StockCount[CountedQty],T_StockCount[RM_Code],$A38,T_StockCount[WeekIndex],23),IF((COUNTIFS(T_SelfStock[RM_Code],$A38,T_SelfStock[WeekIndex],23)&gt;0)*(COUNTIFS(T_TTAFStock[RM_Code],$A38,T_TTAFStock[WeekIndex],23)&gt;0)&gt;0,SUMIFS(T_SelfStock[Self_Qty],T_SelfStock[RM_Code],$A38,T_SelfStock[WeekIndex],23)+SUMIFS(T_TTAFStock[TTAF_Qty],T_TTAFStock[RM_Code],$A38,T_TTAFStock[WeekIndex],23),W38+'Grid_Incoming'!X38-'Grid_Requirement'!X38))</f>
        <v/>
      </c>
      <c r="Y38">
        <f>IF(COUNTIFS(T_StockCount[RM_Code],$A38,T_StockCount[WeekIndex],24)&gt;0,SUMIFS(T_StockCount[CountedQty],T_StockCount[RM_Code],$A38,T_StockCount[WeekIndex],24),IF((COUNTIFS(T_SelfStock[RM_Code],$A38,T_SelfStock[WeekIndex],24)&gt;0)*(COUNTIFS(T_TTAFStock[RM_Code],$A38,T_TTAFStock[WeekIndex],24)&gt;0)&gt;0,SUMIFS(T_SelfStock[Self_Qty],T_SelfStock[RM_Code],$A38,T_SelfStock[WeekIndex],24)+SUMIFS(T_TTAFStock[TTAF_Qty],T_TTAFStock[RM_Code],$A38,T_TTAFStock[WeekIndex],24),X38+'Grid_Incoming'!Y38-'Grid_Requirement'!Y38))</f>
        <v/>
      </c>
      <c r="Z38">
        <f>IF(COUNTIFS(T_StockCount[RM_Code],$A38,T_StockCount[WeekIndex],25)&gt;0,SUMIFS(T_StockCount[CountedQty],T_StockCount[RM_Code],$A38,T_StockCount[WeekIndex],25),IF((COUNTIFS(T_SelfStock[RM_Code],$A38,T_SelfStock[WeekIndex],25)&gt;0)*(COUNTIFS(T_TTAFStock[RM_Code],$A38,T_TTAFStock[WeekIndex],25)&gt;0)&gt;0,SUMIFS(T_SelfStock[Self_Qty],T_SelfStock[RM_Code],$A38,T_SelfStock[WeekIndex],25)+SUMIFS(T_TTAFStock[TTAF_Qty],T_TTAFStock[RM_Code],$A38,T_TTAFStock[WeekIndex],25),Y38+'Grid_Incoming'!Z38-'Grid_Requirement'!Z38))</f>
        <v/>
      </c>
      <c r="AA38">
        <f>IF(COUNTIFS(T_StockCount[RM_Code],$A38,T_StockCount[WeekIndex],26)&gt;0,SUMIFS(T_StockCount[CountedQty],T_StockCount[RM_Code],$A38,T_StockCount[WeekIndex],26),IF((COUNTIFS(T_SelfStock[RM_Code],$A38,T_SelfStock[WeekIndex],26)&gt;0)*(COUNTIFS(T_TTAFStock[RM_Code],$A38,T_TTAFStock[WeekIndex],26)&gt;0)&gt;0,SUMIFS(T_SelfStock[Self_Qty],T_SelfStock[RM_Code],$A38,T_SelfStock[WeekIndex],26)+SUMIFS(T_TTAFStock[TTAF_Qty],T_TTAFStock[RM_Code],$A38,T_TTAFStock[WeekIndex],26),Z38+'Grid_Incoming'!AA38-'Grid_Requirement'!AA38))</f>
        <v/>
      </c>
      <c r="AB38">
        <f>IF(COUNTIFS(T_StockCount[RM_Code],$A38,T_StockCount[WeekIndex],27)&gt;0,SUMIFS(T_StockCount[CountedQty],T_StockCount[RM_Code],$A38,T_StockCount[WeekIndex],27),IF((COUNTIFS(T_SelfStock[RM_Code],$A38,T_SelfStock[WeekIndex],27)&gt;0)*(COUNTIFS(T_TTAFStock[RM_Code],$A38,T_TTAFStock[WeekIndex],27)&gt;0)&gt;0,SUMIFS(T_SelfStock[Self_Qty],T_SelfStock[RM_Code],$A38,T_SelfStock[WeekIndex],27)+SUMIFS(T_TTAFStock[TTAF_Qty],T_TTAFStock[RM_Code],$A38,T_TTAFStock[WeekIndex],27),AA38+'Grid_Incoming'!AB38-'Grid_Requirement'!AB38))</f>
        <v/>
      </c>
      <c r="AC38">
        <f>IF(COUNTIFS(T_StockCount[RM_Code],$A38,T_StockCount[WeekIndex],28)&gt;0,SUMIFS(T_StockCount[CountedQty],T_StockCount[RM_Code],$A38,T_StockCount[WeekIndex],28),IF((COUNTIFS(T_SelfStock[RM_Code],$A38,T_SelfStock[WeekIndex],28)&gt;0)*(COUNTIFS(T_TTAFStock[RM_Code],$A38,T_TTAFStock[WeekIndex],28)&gt;0)&gt;0,SUMIFS(T_SelfStock[Self_Qty],T_SelfStock[RM_Code],$A38,T_SelfStock[WeekIndex],28)+SUMIFS(T_TTAFStock[TTAF_Qty],T_TTAFStock[RM_Code],$A38,T_TTAFStock[WeekIndex],28),AB38+'Grid_Incoming'!AC38-'Grid_Requirement'!AC38))</f>
        <v/>
      </c>
      <c r="AD38">
        <f>IF(COUNTIFS(T_StockCount[RM_Code],$A38,T_StockCount[WeekIndex],29)&gt;0,SUMIFS(T_StockCount[CountedQty],T_StockCount[RM_Code],$A38,T_StockCount[WeekIndex],29),IF((COUNTIFS(T_SelfStock[RM_Code],$A38,T_SelfStock[WeekIndex],29)&gt;0)*(COUNTIFS(T_TTAFStock[RM_Code],$A38,T_TTAFStock[WeekIndex],29)&gt;0)&gt;0,SUMIFS(T_SelfStock[Self_Qty],T_SelfStock[RM_Code],$A38,T_SelfStock[WeekIndex],29)+SUMIFS(T_TTAFStock[TTAF_Qty],T_TTAFStock[RM_Code],$A38,T_TTAFStock[WeekIndex],29),AC38+'Grid_Incoming'!AD38-'Grid_Requirement'!AD38))</f>
        <v/>
      </c>
      <c r="AE38">
        <f>IF(COUNTIFS(T_StockCount[RM_Code],$A38,T_StockCount[WeekIndex],30)&gt;0,SUMIFS(T_StockCount[CountedQty],T_StockCount[RM_Code],$A38,T_StockCount[WeekIndex],30),IF((COUNTIFS(T_SelfStock[RM_Code],$A38,T_SelfStock[WeekIndex],30)&gt;0)*(COUNTIFS(T_TTAFStock[RM_Code],$A38,T_TTAFStock[WeekIndex],30)&gt;0)&gt;0,SUMIFS(T_SelfStock[Self_Qty],T_SelfStock[RM_Code],$A38,T_SelfStock[WeekIndex],30)+SUMIFS(T_TTAFStock[TTAF_Qty],T_TTAFStock[RM_Code],$A38,T_TTAFStock[WeekIndex],30),AD38+'Grid_Incoming'!AE38-'Grid_Requirement'!AE38))</f>
        <v/>
      </c>
      <c r="AF38">
        <f>IF(COUNTIFS(T_StockCount[RM_Code],$A38,T_StockCount[WeekIndex],31)&gt;0,SUMIFS(T_StockCount[CountedQty],T_StockCount[RM_Code],$A38,T_StockCount[WeekIndex],31),IF((COUNTIFS(T_SelfStock[RM_Code],$A38,T_SelfStock[WeekIndex],31)&gt;0)*(COUNTIFS(T_TTAFStock[RM_Code],$A38,T_TTAFStock[WeekIndex],31)&gt;0)&gt;0,SUMIFS(T_SelfStock[Self_Qty],T_SelfStock[RM_Code],$A38,T_SelfStock[WeekIndex],31)+SUMIFS(T_TTAFStock[TTAF_Qty],T_TTAFStock[RM_Code],$A38,T_TTAFStock[WeekIndex],31),AE38+'Grid_Incoming'!AF38-'Grid_Requirement'!AF38))</f>
        <v/>
      </c>
      <c r="AG38">
        <f>IF(COUNTIFS(T_StockCount[RM_Code],$A38,T_StockCount[WeekIndex],32)&gt;0,SUMIFS(T_StockCount[CountedQty],T_StockCount[RM_Code],$A38,T_StockCount[WeekIndex],32),IF((COUNTIFS(T_SelfStock[RM_Code],$A38,T_SelfStock[WeekIndex],32)&gt;0)*(COUNTIFS(T_TTAFStock[RM_Code],$A38,T_TTAFStock[WeekIndex],32)&gt;0)&gt;0,SUMIFS(T_SelfStock[Self_Qty],T_SelfStock[RM_Code],$A38,T_SelfStock[WeekIndex],32)+SUMIFS(T_TTAFStock[TTAF_Qty],T_TTAFStock[RM_Code],$A38,T_TTAFStock[WeekIndex],32),AF38+'Grid_Incoming'!AG38-'Grid_Requirement'!AG38))</f>
        <v/>
      </c>
      <c r="AH38">
        <f>IF(COUNTIFS(T_StockCount[RM_Code],$A38,T_StockCount[WeekIndex],33)&gt;0,SUMIFS(T_StockCount[CountedQty],T_StockCount[RM_Code],$A38,T_StockCount[WeekIndex],33),IF((COUNTIFS(T_SelfStock[RM_Code],$A38,T_SelfStock[WeekIndex],33)&gt;0)*(COUNTIFS(T_TTAFStock[RM_Code],$A38,T_TTAFStock[WeekIndex],33)&gt;0)&gt;0,SUMIFS(T_SelfStock[Self_Qty],T_SelfStock[RM_Code],$A38,T_SelfStock[WeekIndex],33)+SUMIFS(T_TTAFStock[TTAF_Qty],T_TTAFStock[RM_Code],$A38,T_TTAFStock[WeekIndex],33),AG38+'Grid_Incoming'!AH38-'Grid_Requirement'!AH38))</f>
        <v/>
      </c>
      <c r="AI38">
        <f>IF(COUNTIFS(T_StockCount[RM_Code],$A38,T_StockCount[WeekIndex],34)&gt;0,SUMIFS(T_StockCount[CountedQty],T_StockCount[RM_Code],$A38,T_StockCount[WeekIndex],34),IF((COUNTIFS(T_SelfStock[RM_Code],$A38,T_SelfStock[WeekIndex],34)&gt;0)*(COUNTIFS(T_TTAFStock[RM_Code],$A38,T_TTAFStock[WeekIndex],34)&gt;0)&gt;0,SUMIFS(T_SelfStock[Self_Qty],T_SelfStock[RM_Code],$A38,T_SelfStock[WeekIndex],34)+SUMIFS(T_TTAFStock[TTAF_Qty],T_TTAFStock[RM_Code],$A38,T_TTAFStock[WeekIndex],34),AH38+'Grid_Incoming'!AI38-'Grid_Requirement'!AI38))</f>
        <v/>
      </c>
      <c r="AJ38">
        <f>IF(COUNTIFS(T_StockCount[RM_Code],$A38,T_StockCount[WeekIndex],35)&gt;0,SUMIFS(T_StockCount[CountedQty],T_StockCount[RM_Code],$A38,T_StockCount[WeekIndex],35),IF((COUNTIFS(T_SelfStock[RM_Code],$A38,T_SelfStock[WeekIndex],35)&gt;0)*(COUNTIFS(T_TTAFStock[RM_Code],$A38,T_TTAFStock[WeekIndex],35)&gt;0)&gt;0,SUMIFS(T_SelfStock[Self_Qty],T_SelfStock[RM_Code],$A38,T_SelfStock[WeekIndex],35)+SUMIFS(T_TTAFStock[TTAF_Qty],T_TTAFStock[RM_Code],$A38,T_TTAFStock[WeekIndex],35),AI38+'Grid_Incoming'!AJ38-'Grid_Requirement'!AJ38))</f>
        <v/>
      </c>
      <c r="AK38">
        <f>IF(COUNTIFS(T_StockCount[RM_Code],$A38,T_StockCount[WeekIndex],36)&gt;0,SUMIFS(T_StockCount[CountedQty],T_StockCount[RM_Code],$A38,T_StockCount[WeekIndex],36),IF((COUNTIFS(T_SelfStock[RM_Code],$A38,T_SelfStock[WeekIndex],36)&gt;0)*(COUNTIFS(T_TTAFStock[RM_Code],$A38,T_TTAFStock[WeekIndex],36)&gt;0)&gt;0,SUMIFS(T_SelfStock[Self_Qty],T_SelfStock[RM_Code],$A38,T_SelfStock[WeekIndex],36)+SUMIFS(T_TTAFStock[TTAF_Qty],T_TTAFStock[RM_Code],$A38,T_TTAFStock[WeekIndex],36),AJ38+'Grid_Incoming'!AK38-'Grid_Requirement'!AK38))</f>
        <v/>
      </c>
      <c r="AL38">
        <f>IF(COUNTIFS(T_StockCount[RM_Code],$A38,T_StockCount[WeekIndex],37)&gt;0,SUMIFS(T_StockCount[CountedQty],T_StockCount[RM_Code],$A38,T_StockCount[WeekIndex],37),IF((COUNTIFS(T_SelfStock[RM_Code],$A38,T_SelfStock[WeekIndex],37)&gt;0)*(COUNTIFS(T_TTAFStock[RM_Code],$A38,T_TTAFStock[WeekIndex],37)&gt;0)&gt;0,SUMIFS(T_SelfStock[Self_Qty],T_SelfStock[RM_Code],$A38,T_SelfStock[WeekIndex],37)+SUMIFS(T_TTAFStock[TTAF_Qty],T_TTAFStock[RM_Code],$A38,T_TTAFStock[WeekIndex],37),AK38+'Grid_Incoming'!AL38-'Grid_Requirement'!AL38))</f>
        <v/>
      </c>
      <c r="AM38">
        <f>IF(COUNTIFS(T_StockCount[RM_Code],$A38,T_StockCount[WeekIndex],38)&gt;0,SUMIFS(T_StockCount[CountedQty],T_StockCount[RM_Code],$A38,T_StockCount[WeekIndex],38),IF((COUNTIFS(T_SelfStock[RM_Code],$A38,T_SelfStock[WeekIndex],38)&gt;0)*(COUNTIFS(T_TTAFStock[RM_Code],$A38,T_TTAFStock[WeekIndex],38)&gt;0)&gt;0,SUMIFS(T_SelfStock[Self_Qty],T_SelfStock[RM_Code],$A38,T_SelfStock[WeekIndex],38)+SUMIFS(T_TTAFStock[TTAF_Qty],T_TTAFStock[RM_Code],$A38,T_TTAFStock[WeekIndex],38),AL38+'Grid_Incoming'!AM38-'Grid_Requirement'!AM38))</f>
        <v/>
      </c>
      <c r="AN38">
        <f>IF(COUNTIFS(T_StockCount[RM_Code],$A38,T_StockCount[WeekIndex],39)&gt;0,SUMIFS(T_StockCount[CountedQty],T_StockCount[RM_Code],$A38,T_StockCount[WeekIndex],39),IF((COUNTIFS(T_SelfStock[RM_Code],$A38,T_SelfStock[WeekIndex],39)&gt;0)*(COUNTIFS(T_TTAFStock[RM_Code],$A38,T_TTAFStock[WeekIndex],39)&gt;0)&gt;0,SUMIFS(T_SelfStock[Self_Qty],T_SelfStock[RM_Code],$A38,T_SelfStock[WeekIndex],39)+SUMIFS(T_TTAFStock[TTAF_Qty],T_TTAFStock[RM_Code],$A38,T_TTAFStock[WeekIndex],39),AM38+'Grid_Incoming'!AN38-'Grid_Requirement'!AN38))</f>
        <v/>
      </c>
      <c r="AO38">
        <f>IF(COUNTIFS(T_StockCount[RM_Code],$A38,T_StockCount[WeekIndex],40)&gt;0,SUMIFS(T_StockCount[CountedQty],T_StockCount[RM_Code],$A38,T_StockCount[WeekIndex],40),IF((COUNTIFS(T_SelfStock[RM_Code],$A38,T_SelfStock[WeekIndex],40)&gt;0)*(COUNTIFS(T_TTAFStock[RM_Code],$A38,T_TTAFStock[WeekIndex],40)&gt;0)&gt;0,SUMIFS(T_SelfStock[Self_Qty],T_SelfStock[RM_Code],$A38,T_SelfStock[WeekIndex],40)+SUMIFS(T_TTAFStock[TTAF_Qty],T_TTAFStock[RM_Code],$A38,T_TTAFStock[WeekIndex],40),AN38+'Grid_Incoming'!AO38-'Grid_Requirement'!AO38))</f>
        <v/>
      </c>
      <c r="AP38">
        <f>IF(COUNTIFS(T_StockCount[RM_Code],$A38,T_StockCount[WeekIndex],41)&gt;0,SUMIFS(T_StockCount[CountedQty],T_StockCount[RM_Code],$A38,T_StockCount[WeekIndex],41),IF((COUNTIFS(T_SelfStock[RM_Code],$A38,T_SelfStock[WeekIndex],41)&gt;0)*(COUNTIFS(T_TTAFStock[RM_Code],$A38,T_TTAFStock[WeekIndex],41)&gt;0)&gt;0,SUMIFS(T_SelfStock[Self_Qty],T_SelfStock[RM_Code],$A38,T_SelfStock[WeekIndex],41)+SUMIFS(T_TTAFStock[TTAF_Qty],T_TTAFStock[RM_Code],$A38,T_TTAFStock[WeekIndex],41),AO38+'Grid_Incoming'!AP38-'Grid_Requirement'!AP38))</f>
        <v/>
      </c>
      <c r="AQ38">
        <f>IF(COUNTIFS(T_StockCount[RM_Code],$A38,T_StockCount[WeekIndex],42)&gt;0,SUMIFS(T_StockCount[CountedQty],T_StockCount[RM_Code],$A38,T_StockCount[WeekIndex],42),IF((COUNTIFS(T_SelfStock[RM_Code],$A38,T_SelfStock[WeekIndex],42)&gt;0)*(COUNTIFS(T_TTAFStock[RM_Code],$A38,T_TTAFStock[WeekIndex],42)&gt;0)&gt;0,SUMIFS(T_SelfStock[Self_Qty],T_SelfStock[RM_Code],$A38,T_SelfStock[WeekIndex],42)+SUMIFS(T_TTAFStock[TTAF_Qty],T_TTAFStock[RM_Code],$A38,T_TTAFStock[WeekIndex],42),AP38+'Grid_Incoming'!AQ38-'Grid_Requirement'!AQ38))</f>
        <v/>
      </c>
      <c r="AR38">
        <f>IF(COUNTIFS(T_StockCount[RM_Code],$A38,T_StockCount[WeekIndex],43)&gt;0,SUMIFS(T_StockCount[CountedQty],T_StockCount[RM_Code],$A38,T_StockCount[WeekIndex],43),IF((COUNTIFS(T_SelfStock[RM_Code],$A38,T_SelfStock[WeekIndex],43)&gt;0)*(COUNTIFS(T_TTAFStock[RM_Code],$A38,T_TTAFStock[WeekIndex],43)&gt;0)&gt;0,SUMIFS(T_SelfStock[Self_Qty],T_SelfStock[RM_Code],$A38,T_SelfStock[WeekIndex],43)+SUMIFS(T_TTAFStock[TTAF_Qty],T_TTAFStock[RM_Code],$A38,T_TTAFStock[WeekIndex],43),AQ38+'Grid_Incoming'!AR38-'Grid_Requirement'!AR38))</f>
        <v/>
      </c>
      <c r="AS38">
        <f>IF(COUNTIFS(T_StockCount[RM_Code],$A38,T_StockCount[WeekIndex],44)&gt;0,SUMIFS(T_StockCount[CountedQty],T_StockCount[RM_Code],$A38,T_StockCount[WeekIndex],44),IF((COUNTIFS(T_SelfStock[RM_Code],$A38,T_SelfStock[WeekIndex],44)&gt;0)*(COUNTIFS(T_TTAFStock[RM_Code],$A38,T_TTAFStock[WeekIndex],44)&gt;0)&gt;0,SUMIFS(T_SelfStock[Self_Qty],T_SelfStock[RM_Code],$A38,T_SelfStock[WeekIndex],44)+SUMIFS(T_TTAFStock[TTAF_Qty],T_TTAFStock[RM_Code],$A38,T_TTAFStock[WeekIndex],44),AR38+'Grid_Incoming'!AS38-'Grid_Requirement'!AS38))</f>
        <v/>
      </c>
      <c r="AT38">
        <f>IF(COUNTIFS(T_StockCount[RM_Code],$A38,T_StockCount[WeekIndex],45)&gt;0,SUMIFS(T_StockCount[CountedQty],T_StockCount[RM_Code],$A38,T_StockCount[WeekIndex],45),IF((COUNTIFS(T_SelfStock[RM_Code],$A38,T_SelfStock[WeekIndex],45)&gt;0)*(COUNTIFS(T_TTAFStock[RM_Code],$A38,T_TTAFStock[WeekIndex],45)&gt;0)&gt;0,SUMIFS(T_SelfStock[Self_Qty],T_SelfStock[RM_Code],$A38,T_SelfStock[WeekIndex],45)+SUMIFS(T_TTAFStock[TTAF_Qty],T_TTAFStock[RM_Code],$A38,T_TTAFStock[WeekIndex],45),AS38+'Grid_Incoming'!AT38-'Grid_Requirement'!AT38))</f>
        <v/>
      </c>
      <c r="AU38">
        <f>IF(COUNTIFS(T_StockCount[RM_Code],$A38,T_StockCount[WeekIndex],46)&gt;0,SUMIFS(T_StockCount[CountedQty],T_StockCount[RM_Code],$A38,T_StockCount[WeekIndex],46),IF((COUNTIFS(T_SelfStock[RM_Code],$A38,T_SelfStock[WeekIndex],46)&gt;0)*(COUNTIFS(T_TTAFStock[RM_Code],$A38,T_TTAFStock[WeekIndex],46)&gt;0)&gt;0,SUMIFS(T_SelfStock[Self_Qty],T_SelfStock[RM_Code],$A38,T_SelfStock[WeekIndex],46)+SUMIFS(T_TTAFStock[TTAF_Qty],T_TTAFStock[RM_Code],$A38,T_TTAFStock[WeekIndex],46),AT38+'Grid_Incoming'!AU38-'Grid_Requirement'!AU38))</f>
        <v/>
      </c>
      <c r="AV38">
        <f>IF(COUNTIFS(T_StockCount[RM_Code],$A38,T_StockCount[WeekIndex],47)&gt;0,SUMIFS(T_StockCount[CountedQty],T_StockCount[RM_Code],$A38,T_StockCount[WeekIndex],47),IF((COUNTIFS(T_SelfStock[RM_Code],$A38,T_SelfStock[WeekIndex],47)&gt;0)*(COUNTIFS(T_TTAFStock[RM_Code],$A38,T_TTAFStock[WeekIndex],47)&gt;0)&gt;0,SUMIFS(T_SelfStock[Self_Qty],T_SelfStock[RM_Code],$A38,T_SelfStock[WeekIndex],47)+SUMIFS(T_TTAFStock[TTAF_Qty],T_TTAFStock[RM_Code],$A38,T_TTAFStock[WeekIndex],47),AU38+'Grid_Incoming'!AV38-'Grid_Requirement'!AV38))</f>
        <v/>
      </c>
      <c r="AW38">
        <f>IF(COUNTIFS(T_StockCount[RM_Code],$A38,T_StockCount[WeekIndex],48)&gt;0,SUMIFS(T_StockCount[CountedQty],T_StockCount[RM_Code],$A38,T_StockCount[WeekIndex],48),IF((COUNTIFS(T_SelfStock[RM_Code],$A38,T_SelfStock[WeekIndex],48)&gt;0)*(COUNTIFS(T_TTAFStock[RM_Code],$A38,T_TTAFStock[WeekIndex],48)&gt;0)&gt;0,SUMIFS(T_SelfStock[Self_Qty],T_SelfStock[RM_Code],$A38,T_SelfStock[WeekIndex],48)+SUMIFS(T_TTAFStock[TTAF_Qty],T_TTAFStock[RM_Code],$A38,T_TTAFStock[WeekIndex],48),AV38+'Grid_Incoming'!AW38-'Grid_Requirement'!AW38))</f>
        <v/>
      </c>
      <c r="AX38">
        <f>IF(COUNTIFS(T_StockCount[RM_Code],$A38,T_StockCount[WeekIndex],49)&gt;0,SUMIFS(T_StockCount[CountedQty],T_StockCount[RM_Code],$A38,T_StockCount[WeekIndex],49),IF((COUNTIFS(T_SelfStock[RM_Code],$A38,T_SelfStock[WeekIndex],49)&gt;0)*(COUNTIFS(T_TTAFStock[RM_Code],$A38,T_TTAFStock[WeekIndex],49)&gt;0)&gt;0,SUMIFS(T_SelfStock[Self_Qty],T_SelfStock[RM_Code],$A38,T_SelfStock[WeekIndex],49)+SUMIFS(T_TTAFStock[TTAF_Qty],T_TTAFStock[RM_Code],$A38,T_TTAFStock[WeekIndex],49),AW38+'Grid_Incoming'!AX38-'Grid_Requirement'!AX38))</f>
        <v/>
      </c>
      <c r="AY38">
        <f>IF(COUNTIFS(T_StockCount[RM_Code],$A38,T_StockCount[WeekIndex],50)&gt;0,SUMIFS(T_StockCount[CountedQty],T_StockCount[RM_Code],$A38,T_StockCount[WeekIndex],50),IF((COUNTIFS(T_SelfStock[RM_Code],$A38,T_SelfStock[WeekIndex],50)&gt;0)*(COUNTIFS(T_TTAFStock[RM_Code],$A38,T_TTAFStock[WeekIndex],50)&gt;0)&gt;0,SUMIFS(T_SelfStock[Self_Qty],T_SelfStock[RM_Code],$A38,T_SelfStock[WeekIndex],50)+SUMIFS(T_TTAFStock[TTAF_Qty],T_TTAFStock[RM_Code],$A38,T_TTAFStock[WeekIndex],50),AX38+'Grid_Incoming'!AY38-'Grid_Requirement'!AY38))</f>
        <v/>
      </c>
      <c r="AZ38">
        <f>IF(COUNTIFS(T_StockCount[RM_Code],$A38,T_StockCount[WeekIndex],51)&gt;0,SUMIFS(T_StockCount[CountedQty],T_StockCount[RM_Code],$A38,T_StockCount[WeekIndex],51),IF((COUNTIFS(T_SelfStock[RM_Code],$A38,T_SelfStock[WeekIndex],51)&gt;0)*(COUNTIFS(T_TTAFStock[RM_Code],$A38,T_TTAFStock[WeekIndex],51)&gt;0)&gt;0,SUMIFS(T_SelfStock[Self_Qty],T_SelfStock[RM_Code],$A38,T_SelfStock[WeekIndex],51)+SUMIFS(T_TTAFStock[TTAF_Qty],T_TTAFStock[RM_Code],$A38,T_TTAFStock[WeekIndex],51),AY38+'Grid_Incoming'!AZ38-'Grid_Requirement'!AZ38))</f>
        <v/>
      </c>
      <c r="BA38">
        <f>IF(COUNTIFS(T_StockCount[RM_Code],$A38,T_StockCount[WeekIndex],52)&gt;0,SUMIFS(T_StockCount[CountedQty],T_StockCount[RM_Code],$A38,T_StockCount[WeekIndex],52),IF((COUNTIFS(T_SelfStock[RM_Code],$A38,T_SelfStock[WeekIndex],52)&gt;0)*(COUNTIFS(T_TTAFStock[RM_Code],$A38,T_TTAFStock[WeekIndex],52)&gt;0)&gt;0,SUMIFS(T_SelfStock[Self_Qty],T_SelfStock[RM_Code],$A38,T_SelfStock[WeekIndex],52)+SUMIFS(T_TTAFStock[TTAF_Qty],T_TTAFStock[RM_Code],$A38,T_TTAFStock[WeekIndex],52),AZ38+'Grid_Incoming'!BA38-'Grid_Requirement'!BA38))</f>
        <v/>
      </c>
      <c r="BB38">
        <f>IF(COUNTIFS(T_StockCount[RM_Code],$A38,T_StockCount[WeekIndex],53)&gt;0,SUMIFS(T_StockCount[CountedQty],T_StockCount[RM_Code],$A38,T_StockCount[WeekIndex],53),IF((COUNTIFS(T_SelfStock[RM_Code],$A38,T_SelfStock[WeekIndex],53)&gt;0)*(COUNTIFS(T_TTAFStock[RM_Code],$A38,T_TTAFStock[WeekIndex],53)&gt;0)&gt;0,SUMIFS(T_SelfStock[Self_Qty],T_SelfStock[RM_Code],$A38,T_SelfStock[WeekIndex],53)+SUMIFS(T_TTAFStock[TTAF_Qty],T_TTAFStock[RM_Code],$A38,T_TTAFStock[WeekIndex],53),BA38+'Grid_Incoming'!BB38-'Grid_Requirement'!BB38))</f>
        <v/>
      </c>
      <c r="BC38">
        <f>IF(COUNTIFS(T_StockCount[RM_Code],$A38,T_StockCount[WeekIndex],54)&gt;0,SUMIFS(T_StockCount[CountedQty],T_StockCount[RM_Code],$A38,T_StockCount[WeekIndex],54),IF((COUNTIFS(T_SelfStock[RM_Code],$A38,T_SelfStock[WeekIndex],54)&gt;0)*(COUNTIFS(T_TTAFStock[RM_Code],$A38,T_TTAFStock[WeekIndex],54)&gt;0)&gt;0,SUMIFS(T_SelfStock[Self_Qty],T_SelfStock[RM_Code],$A38,T_SelfStock[WeekIndex],54)+SUMIFS(T_TTAFStock[TTAF_Qty],T_TTAFStock[RM_Code],$A38,T_TTAFStock[WeekIndex],54),BB38+'Grid_Incoming'!BC38-'Grid_Requirement'!BC38))</f>
        <v/>
      </c>
      <c r="BD38">
        <f>IF(COUNTIFS(T_StockCount[RM_Code],$A38,T_StockCount[WeekIndex],55)&gt;0,SUMIFS(T_StockCount[CountedQty],T_StockCount[RM_Code],$A38,T_StockCount[WeekIndex],55),IF((COUNTIFS(T_SelfStock[RM_Code],$A38,T_SelfStock[WeekIndex],55)&gt;0)*(COUNTIFS(T_TTAFStock[RM_Code],$A38,T_TTAFStock[WeekIndex],55)&gt;0)&gt;0,SUMIFS(T_SelfStock[Self_Qty],T_SelfStock[RM_Code],$A38,T_SelfStock[WeekIndex],55)+SUMIFS(T_TTAFStock[TTAF_Qty],T_TTAFStock[RM_Code],$A38,T_TTAFStock[WeekIndex],55),BC38+'Grid_Incoming'!BD38-'Grid_Requirement'!BD38))</f>
        <v/>
      </c>
      <c r="BE38">
        <f>IF(COUNTIFS(T_StockCount[RM_Code],$A38,T_StockCount[WeekIndex],56)&gt;0,SUMIFS(T_StockCount[CountedQty],T_StockCount[RM_Code],$A38,T_StockCount[WeekIndex],56),IF((COUNTIFS(T_SelfStock[RM_Code],$A38,T_SelfStock[WeekIndex],56)&gt;0)*(COUNTIFS(T_TTAFStock[RM_Code],$A38,T_TTAFStock[WeekIndex],56)&gt;0)&gt;0,SUMIFS(T_SelfStock[Self_Qty],T_SelfStock[RM_Code],$A38,T_SelfStock[WeekIndex],56)+SUMIFS(T_TTAFStock[TTAF_Qty],T_TTAFStock[RM_Code],$A38,T_TTAFStock[WeekIndex],56),BD38+'Grid_Incoming'!BE38-'Grid_Requirement'!BE38))</f>
        <v/>
      </c>
      <c r="BF38">
        <f>IF(COUNTIFS(T_StockCount[RM_Code],$A38,T_StockCount[WeekIndex],57)&gt;0,SUMIFS(T_StockCount[CountedQty],T_StockCount[RM_Code],$A38,T_StockCount[WeekIndex],57),IF((COUNTIFS(T_SelfStock[RM_Code],$A38,T_SelfStock[WeekIndex],57)&gt;0)*(COUNTIFS(T_TTAFStock[RM_Code],$A38,T_TTAFStock[WeekIndex],57)&gt;0)&gt;0,SUMIFS(T_SelfStock[Self_Qty],T_SelfStock[RM_Code],$A38,T_SelfStock[WeekIndex],57)+SUMIFS(T_TTAFStock[TTAF_Qty],T_TTAFStock[RM_Code],$A38,T_TTAFStock[WeekIndex],57),BE38+'Grid_Incoming'!BF38-'Grid_Requirement'!BF38))</f>
        <v/>
      </c>
      <c r="BG38">
        <f>IF(COUNTIFS(T_StockCount[RM_Code],$A38,T_StockCount[WeekIndex],58)&gt;0,SUMIFS(T_StockCount[CountedQty],T_StockCount[RM_Code],$A38,T_StockCount[WeekIndex],58),IF((COUNTIFS(T_SelfStock[RM_Code],$A38,T_SelfStock[WeekIndex],58)&gt;0)*(COUNTIFS(T_TTAFStock[RM_Code],$A38,T_TTAFStock[WeekIndex],58)&gt;0)&gt;0,SUMIFS(T_SelfStock[Self_Qty],T_SelfStock[RM_Code],$A38,T_SelfStock[WeekIndex],58)+SUMIFS(T_TTAFStock[TTAF_Qty],T_TTAFStock[RM_Code],$A38,T_TTAFStock[WeekIndex],58),BF38+'Grid_Incoming'!BG38-'Grid_Requirement'!BG38))</f>
        <v/>
      </c>
      <c r="BH38">
        <f>IF(COUNTIFS(T_StockCount[RM_Code],$A38,T_StockCount[WeekIndex],59)&gt;0,SUMIFS(T_StockCount[CountedQty],T_StockCount[RM_Code],$A38,T_StockCount[WeekIndex],59),IF((COUNTIFS(T_SelfStock[RM_Code],$A38,T_SelfStock[WeekIndex],59)&gt;0)*(COUNTIFS(T_TTAFStock[RM_Code],$A38,T_TTAFStock[WeekIndex],59)&gt;0)&gt;0,SUMIFS(T_SelfStock[Self_Qty],T_SelfStock[RM_Code],$A38,T_SelfStock[WeekIndex],59)+SUMIFS(T_TTAFStock[TTAF_Qty],T_TTAFStock[RM_Code],$A38,T_TTAFStock[WeekIndex],59),BG38+'Grid_Incoming'!BH38-'Grid_Requirement'!BH38))</f>
        <v/>
      </c>
      <c r="BI38">
        <f>IF(COUNTIFS(T_StockCount[RM_Code],$A38,T_StockCount[WeekIndex],60)&gt;0,SUMIFS(T_StockCount[CountedQty],T_StockCount[RM_Code],$A38,T_StockCount[WeekIndex],60),IF((COUNTIFS(T_SelfStock[RM_Code],$A38,T_SelfStock[WeekIndex],60)&gt;0)*(COUNTIFS(T_TTAFStock[RM_Code],$A38,T_TTAFStock[WeekIndex],60)&gt;0)&gt;0,SUMIFS(T_SelfStock[Self_Qty],T_SelfStock[RM_Code],$A38,T_SelfStock[WeekIndex],60)+SUMIFS(T_TTAFStock[TTAF_Qty],T_TTAFStock[RM_Code],$A38,T_TTAFStock[WeekIndex],60),BH38+'Grid_Incoming'!BI38-'Grid_Requirement'!BI38))</f>
        <v/>
      </c>
      <c r="BJ38">
        <f>IF(COUNTIFS(T_StockCount[RM_Code],$A38,T_StockCount[WeekIndex],61)&gt;0,SUMIFS(T_StockCount[CountedQty],T_StockCount[RM_Code],$A38,T_StockCount[WeekIndex],61),IF((COUNTIFS(T_SelfStock[RM_Code],$A38,T_SelfStock[WeekIndex],61)&gt;0)*(COUNTIFS(T_TTAFStock[RM_Code],$A38,T_TTAFStock[WeekIndex],61)&gt;0)&gt;0,SUMIFS(T_SelfStock[Self_Qty],T_SelfStock[RM_Code],$A38,T_SelfStock[WeekIndex],61)+SUMIFS(T_TTAFStock[TTAF_Qty],T_TTAFStock[RM_Code],$A38,T_TTAFStock[WeekIndex],61),BI38+'Grid_Incoming'!BJ38-'Grid_Requirement'!BJ38))</f>
        <v/>
      </c>
      <c r="BK38">
        <f>IF(COUNTIFS(T_StockCount[RM_Code],$A38,T_StockCount[WeekIndex],62)&gt;0,SUMIFS(T_StockCount[CountedQty],T_StockCount[RM_Code],$A38,T_StockCount[WeekIndex],62),IF((COUNTIFS(T_SelfStock[RM_Code],$A38,T_SelfStock[WeekIndex],62)&gt;0)*(COUNTIFS(T_TTAFStock[RM_Code],$A38,T_TTAFStock[WeekIndex],62)&gt;0)&gt;0,SUMIFS(T_SelfStock[Self_Qty],T_SelfStock[RM_Code],$A38,T_SelfStock[WeekIndex],62)+SUMIFS(T_TTAFStock[TTAF_Qty],T_TTAFStock[RM_Code],$A38,T_TTAFStock[WeekIndex],62),BJ38+'Grid_Incoming'!BK38-'Grid_Requirement'!BK38))</f>
        <v/>
      </c>
      <c r="BL38">
        <f>IF(COUNTIFS(T_StockCount[RM_Code],$A38,T_StockCount[WeekIndex],63)&gt;0,SUMIFS(T_StockCount[CountedQty],T_StockCount[RM_Code],$A38,T_StockCount[WeekIndex],63),IF((COUNTIFS(T_SelfStock[RM_Code],$A38,T_SelfStock[WeekIndex],63)&gt;0)*(COUNTIFS(T_TTAFStock[RM_Code],$A38,T_TTAFStock[WeekIndex],63)&gt;0)&gt;0,SUMIFS(T_SelfStock[Self_Qty],T_SelfStock[RM_Code],$A38,T_SelfStock[WeekIndex],63)+SUMIFS(T_TTAFStock[TTAF_Qty],T_TTAFStock[RM_Code],$A38,T_TTAFStock[WeekIndex],63),BK38+'Grid_Incoming'!BL38-'Grid_Requirement'!BL38))</f>
        <v/>
      </c>
      <c r="BM38">
        <f>IF(COUNTIFS(T_StockCount[RM_Code],$A38,T_StockCount[WeekIndex],64)&gt;0,SUMIFS(T_StockCount[CountedQty],T_StockCount[RM_Code],$A38,T_StockCount[WeekIndex],64),IF((COUNTIFS(T_SelfStock[RM_Code],$A38,T_SelfStock[WeekIndex],64)&gt;0)*(COUNTIFS(T_TTAFStock[RM_Code],$A38,T_TTAFStock[WeekIndex],64)&gt;0)&gt;0,SUMIFS(T_SelfStock[Self_Qty],T_SelfStock[RM_Code],$A38,T_SelfStock[WeekIndex],64)+SUMIFS(T_TTAFStock[TTAF_Qty],T_TTAFStock[RM_Code],$A38,T_TTAFStock[WeekIndex],64),BL38+'Grid_Incoming'!BM38-'Grid_Requirement'!BM38))</f>
        <v/>
      </c>
      <c r="BN38">
        <f>IF(COUNTIFS(T_StockCount[RM_Code],$A38,T_StockCount[WeekIndex],65)&gt;0,SUMIFS(T_StockCount[CountedQty],T_StockCount[RM_Code],$A38,T_StockCount[WeekIndex],65),IF((COUNTIFS(T_SelfStock[RM_Code],$A38,T_SelfStock[WeekIndex],65)&gt;0)*(COUNTIFS(T_TTAFStock[RM_Code],$A38,T_TTAFStock[WeekIndex],65)&gt;0)&gt;0,SUMIFS(T_SelfStock[Self_Qty],T_SelfStock[RM_Code],$A38,T_SelfStock[WeekIndex],65)+SUMIFS(T_TTAFStock[TTAF_Qty],T_TTAFStock[RM_Code],$A38,T_TTAFStock[WeekIndex],65),BM38+'Grid_Incoming'!BN38-'Grid_Requirement'!BN38))</f>
        <v/>
      </c>
      <c r="BO38">
        <f>IF(COUNTIFS(T_StockCount[RM_Code],$A38,T_StockCount[WeekIndex],66)&gt;0,SUMIFS(T_StockCount[CountedQty],T_StockCount[RM_Code],$A38,T_StockCount[WeekIndex],66),IF((COUNTIFS(T_SelfStock[RM_Code],$A38,T_SelfStock[WeekIndex],66)&gt;0)*(COUNTIFS(T_TTAFStock[RM_Code],$A38,T_TTAFStock[WeekIndex],66)&gt;0)&gt;0,SUMIFS(T_SelfStock[Self_Qty],T_SelfStock[RM_Code],$A38,T_SelfStock[WeekIndex],66)+SUMIFS(T_TTAFStock[TTAF_Qty],T_TTAFStock[RM_Code],$A38,T_TTAFStock[WeekIndex],66),BN38+'Grid_Incoming'!BO38-'Grid_Requirement'!BO38))</f>
        <v/>
      </c>
      <c r="BP38">
        <f>IF(COUNTIFS(T_StockCount[RM_Code],$A38,T_StockCount[WeekIndex],67)&gt;0,SUMIFS(T_StockCount[CountedQty],T_StockCount[RM_Code],$A38,T_StockCount[WeekIndex],67),IF((COUNTIFS(T_SelfStock[RM_Code],$A38,T_SelfStock[WeekIndex],67)&gt;0)*(COUNTIFS(T_TTAFStock[RM_Code],$A38,T_TTAFStock[WeekIndex],67)&gt;0)&gt;0,SUMIFS(T_SelfStock[Self_Qty],T_SelfStock[RM_Code],$A38,T_SelfStock[WeekIndex],67)+SUMIFS(T_TTAFStock[TTAF_Qty],T_TTAFStock[RM_Code],$A38,T_TTAFStock[WeekIndex],67),BO38+'Grid_Incoming'!BP38-'Grid_Requirement'!BP38))</f>
        <v/>
      </c>
      <c r="BQ38">
        <f>IF(COUNTIFS(T_StockCount[RM_Code],$A38,T_StockCount[WeekIndex],68)&gt;0,SUMIFS(T_StockCount[CountedQty],T_StockCount[RM_Code],$A38,T_StockCount[WeekIndex],68),IF((COUNTIFS(T_SelfStock[RM_Code],$A38,T_SelfStock[WeekIndex],68)&gt;0)*(COUNTIFS(T_TTAFStock[RM_Code],$A38,T_TTAFStock[WeekIndex],68)&gt;0)&gt;0,SUMIFS(T_SelfStock[Self_Qty],T_SelfStock[RM_Code],$A38,T_SelfStock[WeekIndex],68)+SUMIFS(T_TTAFStock[TTAF_Qty],T_TTAFStock[RM_Code],$A38,T_TTAFStock[WeekIndex],68),BP38+'Grid_Incoming'!BQ38-'Grid_Requirement'!BQ38))</f>
        <v/>
      </c>
      <c r="BR38">
        <f>IF(COUNTIFS(T_StockCount[RM_Code],$A38,T_StockCount[WeekIndex],69)&gt;0,SUMIFS(T_StockCount[CountedQty],T_StockCount[RM_Code],$A38,T_StockCount[WeekIndex],69),IF((COUNTIFS(T_SelfStock[RM_Code],$A38,T_SelfStock[WeekIndex],69)&gt;0)*(COUNTIFS(T_TTAFStock[RM_Code],$A38,T_TTAFStock[WeekIndex],69)&gt;0)&gt;0,SUMIFS(T_SelfStock[Self_Qty],T_SelfStock[RM_Code],$A38,T_SelfStock[WeekIndex],69)+SUMIFS(T_TTAFStock[TTAF_Qty],T_TTAFStock[RM_Code],$A38,T_TTAFStock[WeekIndex],69),BQ38+'Grid_Incoming'!BR38-'Grid_Requirement'!BR38))</f>
        <v/>
      </c>
      <c r="BS38">
        <f>IF(COUNTIFS(T_StockCount[RM_Code],$A38,T_StockCount[WeekIndex],70)&gt;0,SUMIFS(T_StockCount[CountedQty],T_StockCount[RM_Code],$A38,T_StockCount[WeekIndex],70),IF((COUNTIFS(T_SelfStock[RM_Code],$A38,T_SelfStock[WeekIndex],70)&gt;0)*(COUNTIFS(T_TTAFStock[RM_Code],$A38,T_TTAFStock[WeekIndex],70)&gt;0)&gt;0,SUMIFS(T_SelfStock[Self_Qty],T_SelfStock[RM_Code],$A38,T_SelfStock[WeekIndex],70)+SUMIFS(T_TTAFStock[TTAF_Qty],T_TTAFStock[RM_Code],$A38,T_TTAFStock[WeekIndex],70),BR38+'Grid_Incoming'!BS38-'Grid_Requirement'!BS38))</f>
        <v/>
      </c>
      <c r="BT38">
        <f>IF(COUNTIFS(T_StockCount[RM_Code],$A38,T_StockCount[WeekIndex],71)&gt;0,SUMIFS(T_StockCount[CountedQty],T_StockCount[RM_Code],$A38,T_StockCount[WeekIndex],71),IF((COUNTIFS(T_SelfStock[RM_Code],$A38,T_SelfStock[WeekIndex],71)&gt;0)*(COUNTIFS(T_TTAFStock[RM_Code],$A38,T_TTAFStock[WeekIndex],71)&gt;0)&gt;0,SUMIFS(T_SelfStock[Self_Qty],T_SelfStock[RM_Code],$A38,T_SelfStock[WeekIndex],71)+SUMIFS(T_TTAFStock[TTAF_Qty],T_TTAFStock[RM_Code],$A38,T_TTAFStock[WeekIndex],71),BS38+'Grid_Incoming'!BT38-'Grid_Requirement'!BT38))</f>
        <v/>
      </c>
      <c r="BU38">
        <f>IF(COUNTIFS(T_StockCount[RM_Code],$A38,T_StockCount[WeekIndex],72)&gt;0,SUMIFS(T_StockCount[CountedQty],T_StockCount[RM_Code],$A38,T_StockCount[WeekIndex],72),IF((COUNTIFS(T_SelfStock[RM_Code],$A38,T_SelfStock[WeekIndex],72)&gt;0)*(COUNTIFS(T_TTAFStock[RM_Code],$A38,T_TTAFStock[WeekIndex],72)&gt;0)&gt;0,SUMIFS(T_SelfStock[Self_Qty],T_SelfStock[RM_Code],$A38,T_SelfStock[WeekIndex],72)+SUMIFS(T_TTAFStock[TTAF_Qty],T_TTAFStock[RM_Code],$A38,T_TTAFStock[WeekIndex],72),BT38+'Grid_Incoming'!BU38-'Grid_Requirement'!BU38))</f>
        <v/>
      </c>
      <c r="BV38">
        <f>IF(COUNTIFS(T_StockCount[RM_Code],$A38,T_StockCount[WeekIndex],73)&gt;0,SUMIFS(T_StockCount[CountedQty],T_StockCount[RM_Code],$A38,T_StockCount[WeekIndex],73),IF((COUNTIFS(T_SelfStock[RM_Code],$A38,T_SelfStock[WeekIndex],73)&gt;0)*(COUNTIFS(T_TTAFStock[RM_Code],$A38,T_TTAFStock[WeekIndex],73)&gt;0)&gt;0,SUMIFS(T_SelfStock[Self_Qty],T_SelfStock[RM_Code],$A38,T_SelfStock[WeekIndex],73)+SUMIFS(T_TTAFStock[TTAF_Qty],T_TTAFStock[RM_Code],$A38,T_TTAFStock[WeekIndex],73),BU38+'Grid_Incoming'!BV38-'Grid_Requirement'!BV38))</f>
        <v/>
      </c>
      <c r="BW38">
        <f>IF(COUNTIFS(T_StockCount[RM_Code],$A38,T_StockCount[WeekIndex],74)&gt;0,SUMIFS(T_StockCount[CountedQty],T_StockCount[RM_Code],$A38,T_StockCount[WeekIndex],74),IF((COUNTIFS(T_SelfStock[RM_Code],$A38,T_SelfStock[WeekIndex],74)&gt;0)*(COUNTIFS(T_TTAFStock[RM_Code],$A38,T_TTAFStock[WeekIndex],74)&gt;0)&gt;0,SUMIFS(T_SelfStock[Self_Qty],T_SelfStock[RM_Code],$A38,T_SelfStock[WeekIndex],74)+SUMIFS(T_TTAFStock[TTAF_Qty],T_TTAFStock[RM_Code],$A38,T_TTAFStock[WeekIndex],74),BV38+'Grid_Incoming'!BW38-'Grid_Requirement'!BW38))</f>
        <v/>
      </c>
      <c r="BX38">
        <f>IF(COUNTIFS(T_StockCount[RM_Code],$A38,T_StockCount[WeekIndex],75)&gt;0,SUMIFS(T_StockCount[CountedQty],T_StockCount[RM_Code],$A38,T_StockCount[WeekIndex],75),IF((COUNTIFS(T_SelfStock[RM_Code],$A38,T_SelfStock[WeekIndex],75)&gt;0)*(COUNTIFS(T_TTAFStock[RM_Code],$A38,T_TTAFStock[WeekIndex],75)&gt;0)&gt;0,SUMIFS(T_SelfStock[Self_Qty],T_SelfStock[RM_Code],$A38,T_SelfStock[WeekIndex],75)+SUMIFS(T_TTAFStock[TTAF_Qty],T_TTAFStock[RM_Code],$A38,T_TTAFStock[WeekIndex],75),BW38+'Grid_Incoming'!BX38-'Grid_Requirement'!BX38))</f>
        <v/>
      </c>
      <c r="BY38">
        <f>IF(COUNTIFS(T_StockCount[RM_Code],$A38,T_StockCount[WeekIndex],76)&gt;0,SUMIFS(T_StockCount[CountedQty],T_StockCount[RM_Code],$A38,T_StockCount[WeekIndex],76),IF((COUNTIFS(T_SelfStock[RM_Code],$A38,T_SelfStock[WeekIndex],76)&gt;0)*(COUNTIFS(T_TTAFStock[RM_Code],$A38,T_TTAFStock[WeekIndex],76)&gt;0)&gt;0,SUMIFS(T_SelfStock[Self_Qty],T_SelfStock[RM_Code],$A38,T_SelfStock[WeekIndex],76)+SUMIFS(T_TTAFStock[TTAF_Qty],T_TTAFStock[RM_Code],$A38,T_TTAFStock[WeekIndex],76),BX38+'Grid_Incoming'!BY38-'Grid_Requirement'!BY38))</f>
        <v/>
      </c>
      <c r="BZ38">
        <f>IF(COUNTIFS(T_StockCount[RM_Code],$A38,T_StockCount[WeekIndex],77)&gt;0,SUMIFS(T_StockCount[CountedQty],T_StockCount[RM_Code],$A38,T_StockCount[WeekIndex],77),IF((COUNTIFS(T_SelfStock[RM_Code],$A38,T_SelfStock[WeekIndex],77)&gt;0)*(COUNTIFS(T_TTAFStock[RM_Code],$A38,T_TTAFStock[WeekIndex],77)&gt;0)&gt;0,SUMIFS(T_SelfStock[Self_Qty],T_SelfStock[RM_Code],$A38,T_SelfStock[WeekIndex],77)+SUMIFS(T_TTAFStock[TTAF_Qty],T_TTAFStock[RM_Code],$A38,T_TTAFStock[WeekIndex],77),BY38+'Grid_Incoming'!BZ38-'Grid_Requirement'!BZ38))</f>
        <v/>
      </c>
      <c r="CA38">
        <f>IF(COUNTIFS(T_StockCount[RM_Code],$A38,T_StockCount[WeekIndex],78)&gt;0,SUMIFS(T_StockCount[CountedQty],T_StockCount[RM_Code],$A38,T_StockCount[WeekIndex],78),IF((COUNTIFS(T_SelfStock[RM_Code],$A38,T_SelfStock[WeekIndex],78)&gt;0)*(COUNTIFS(T_TTAFStock[RM_Code],$A38,T_TTAFStock[WeekIndex],78)&gt;0)&gt;0,SUMIFS(T_SelfStock[Self_Qty],T_SelfStock[RM_Code],$A38,T_SelfStock[WeekIndex],78)+SUMIFS(T_TTAFStock[TTAF_Qty],T_TTAFStock[RM_Code],$A38,T_TTAFStock[WeekIndex],78),BZ38+'Grid_Incoming'!CA38-'Grid_Requirement'!CA38))</f>
        <v/>
      </c>
      <c r="CB38">
        <f>IF(COUNTIFS(T_StockCount[RM_Code],$A38,T_StockCount[WeekIndex],79)&gt;0,SUMIFS(T_StockCount[CountedQty],T_StockCount[RM_Code],$A38,T_StockCount[WeekIndex],79),IF((COUNTIFS(T_SelfStock[RM_Code],$A38,T_SelfStock[WeekIndex],79)&gt;0)*(COUNTIFS(T_TTAFStock[RM_Code],$A38,T_TTAFStock[WeekIndex],79)&gt;0)&gt;0,SUMIFS(T_SelfStock[Self_Qty],T_SelfStock[RM_Code],$A38,T_SelfStock[WeekIndex],79)+SUMIFS(T_TTAFStock[TTAF_Qty],T_TTAFStock[RM_Code],$A38,T_TTAFStock[WeekIndex],79),CA38+'Grid_Incoming'!CB38-'Grid_Requirement'!CB38))</f>
        <v/>
      </c>
      <c r="CC38">
        <f>IF(COUNTIFS(T_StockCount[RM_Code],$A38,T_StockCount[WeekIndex],80)&gt;0,SUMIFS(T_StockCount[CountedQty],T_StockCount[RM_Code],$A38,T_StockCount[WeekIndex],80),IF((COUNTIFS(T_SelfStock[RM_Code],$A38,T_SelfStock[WeekIndex],80)&gt;0)*(COUNTIFS(T_TTAFStock[RM_Code],$A38,T_TTAFStock[WeekIndex],80)&gt;0)&gt;0,SUMIFS(T_SelfStock[Self_Qty],T_SelfStock[RM_Code],$A38,T_SelfStock[WeekIndex],80)+SUMIFS(T_TTAFStock[TTAF_Qty],T_TTAFStock[RM_Code],$A38,T_TTAFStock[WeekIndex],80),CB38+'Grid_Incoming'!CC38-'Grid_Requirement'!CC38))</f>
        <v/>
      </c>
      <c r="CD38">
        <f>IF(COUNTIFS(T_StockCount[RM_Code],$A38,T_StockCount[WeekIndex],81)&gt;0,SUMIFS(T_StockCount[CountedQty],T_StockCount[RM_Code],$A38,T_StockCount[WeekIndex],81),IF((COUNTIFS(T_SelfStock[RM_Code],$A38,T_SelfStock[WeekIndex],81)&gt;0)*(COUNTIFS(T_TTAFStock[RM_Code],$A38,T_TTAFStock[WeekIndex],81)&gt;0)&gt;0,SUMIFS(T_SelfStock[Self_Qty],T_SelfStock[RM_Code],$A38,T_SelfStock[WeekIndex],81)+SUMIFS(T_TTAFStock[TTAF_Qty],T_TTAFStock[RM_Code],$A38,T_TTAFStock[WeekIndex],81),CC38+'Grid_Incoming'!CD38-'Grid_Requirement'!CD38))</f>
        <v/>
      </c>
      <c r="CE38">
        <f>IF(COUNTIFS(T_StockCount[RM_Code],$A38,T_StockCount[WeekIndex],82)&gt;0,SUMIFS(T_StockCount[CountedQty],T_StockCount[RM_Code],$A38,T_StockCount[WeekIndex],82),IF((COUNTIFS(T_SelfStock[RM_Code],$A38,T_SelfStock[WeekIndex],82)&gt;0)*(COUNTIFS(T_TTAFStock[RM_Code],$A38,T_TTAFStock[WeekIndex],82)&gt;0)&gt;0,SUMIFS(T_SelfStock[Self_Qty],T_SelfStock[RM_Code],$A38,T_SelfStock[WeekIndex],82)+SUMIFS(T_TTAFStock[TTAF_Qty],T_TTAFStock[RM_Code],$A38,T_TTAFStock[WeekIndex],82),CD38+'Grid_Incoming'!CE38-'Grid_Requirement'!CE38))</f>
        <v/>
      </c>
      <c r="CF38">
        <f>IF(COUNTIFS(T_StockCount[RM_Code],$A38,T_StockCount[WeekIndex],83)&gt;0,SUMIFS(T_StockCount[CountedQty],T_StockCount[RM_Code],$A38,T_StockCount[WeekIndex],83),IF((COUNTIFS(T_SelfStock[RM_Code],$A38,T_SelfStock[WeekIndex],83)&gt;0)*(COUNTIFS(T_TTAFStock[RM_Code],$A38,T_TTAFStock[WeekIndex],83)&gt;0)&gt;0,SUMIFS(T_SelfStock[Self_Qty],T_SelfStock[RM_Code],$A38,T_SelfStock[WeekIndex],83)+SUMIFS(T_TTAFStock[TTAF_Qty],T_TTAFStock[RM_Code],$A38,T_TTAFStock[WeekIndex],83),CE38+'Grid_Incoming'!CF38-'Grid_Requirement'!CF38))</f>
        <v/>
      </c>
      <c r="CG38">
        <f>IF(COUNTIFS(T_StockCount[RM_Code],$A38,T_StockCount[WeekIndex],84)&gt;0,SUMIFS(T_StockCount[CountedQty],T_StockCount[RM_Code],$A38,T_StockCount[WeekIndex],84),IF((COUNTIFS(T_SelfStock[RM_Code],$A38,T_SelfStock[WeekIndex],84)&gt;0)*(COUNTIFS(T_TTAFStock[RM_Code],$A38,T_TTAFStock[WeekIndex],84)&gt;0)&gt;0,SUMIFS(T_SelfStock[Self_Qty],T_SelfStock[RM_Code],$A38,T_SelfStock[WeekIndex],84)+SUMIFS(T_TTAFStock[TTAF_Qty],T_TTAFStock[RM_Code],$A38,T_TTAFStock[WeekIndex],84),CF38+'Grid_Incoming'!CG38-'Grid_Requirement'!CG38))</f>
        <v/>
      </c>
      <c r="CH38">
        <f>IF(COUNTIFS(T_StockCount[RM_Code],$A38,T_StockCount[WeekIndex],85)&gt;0,SUMIFS(T_StockCount[CountedQty],T_StockCount[RM_Code],$A38,T_StockCount[WeekIndex],85),IF((COUNTIFS(T_SelfStock[RM_Code],$A38,T_SelfStock[WeekIndex],85)&gt;0)*(COUNTIFS(T_TTAFStock[RM_Code],$A38,T_TTAFStock[WeekIndex],85)&gt;0)&gt;0,SUMIFS(T_SelfStock[Self_Qty],T_SelfStock[RM_Code],$A38,T_SelfStock[WeekIndex],85)+SUMIFS(T_TTAFStock[TTAF_Qty],T_TTAFStock[RM_Code],$A38,T_TTAFStock[WeekIndex],85),CG38+'Grid_Incoming'!CH38-'Grid_Requirement'!CH38))</f>
        <v/>
      </c>
      <c r="CI38">
        <f>IF(COUNTIFS(T_StockCount[RM_Code],$A38,T_StockCount[WeekIndex],86)&gt;0,SUMIFS(T_StockCount[CountedQty],T_StockCount[RM_Code],$A38,T_StockCount[WeekIndex],86),IF((COUNTIFS(T_SelfStock[RM_Code],$A38,T_SelfStock[WeekIndex],86)&gt;0)*(COUNTIFS(T_TTAFStock[RM_Code],$A38,T_TTAFStock[WeekIndex],86)&gt;0)&gt;0,SUMIFS(T_SelfStock[Self_Qty],T_SelfStock[RM_Code],$A38,T_SelfStock[WeekIndex],86)+SUMIFS(T_TTAFStock[TTAF_Qty],T_TTAFStock[RM_Code],$A38,T_TTAFStock[WeekIndex],86),CH38+'Grid_Incoming'!CI38-'Grid_Requirement'!CI38))</f>
        <v/>
      </c>
      <c r="CJ38">
        <f>IF(COUNTIFS(T_StockCount[RM_Code],$A38,T_StockCount[WeekIndex],87)&gt;0,SUMIFS(T_StockCount[CountedQty],T_StockCount[RM_Code],$A38,T_StockCount[WeekIndex],87),IF((COUNTIFS(T_SelfStock[RM_Code],$A38,T_SelfStock[WeekIndex],87)&gt;0)*(COUNTIFS(T_TTAFStock[RM_Code],$A38,T_TTAFStock[WeekIndex],87)&gt;0)&gt;0,SUMIFS(T_SelfStock[Self_Qty],T_SelfStock[RM_Code],$A38,T_SelfStock[WeekIndex],87)+SUMIFS(T_TTAFStock[TTAF_Qty],T_TTAFStock[RM_Code],$A38,T_TTAFStock[WeekIndex],87),CI38+'Grid_Incoming'!CJ38-'Grid_Requirement'!CJ38))</f>
        <v/>
      </c>
      <c r="CK38">
        <f>IF(COUNTIFS(T_StockCount[RM_Code],$A38,T_StockCount[WeekIndex],88)&gt;0,SUMIFS(T_StockCount[CountedQty],T_StockCount[RM_Code],$A38,T_StockCount[WeekIndex],88),IF((COUNTIFS(T_SelfStock[RM_Code],$A38,T_SelfStock[WeekIndex],88)&gt;0)*(COUNTIFS(T_TTAFStock[RM_Code],$A38,T_TTAFStock[WeekIndex],88)&gt;0)&gt;0,SUMIFS(T_SelfStock[Self_Qty],T_SelfStock[RM_Code],$A38,T_SelfStock[WeekIndex],88)+SUMIFS(T_TTAFStock[TTAF_Qty],T_TTAFStock[RM_Code],$A38,T_TTAFStock[WeekIndex],88),CJ38+'Grid_Incoming'!CK38-'Grid_Requirement'!CK38))</f>
        <v/>
      </c>
      <c r="CL38">
        <f>IF(COUNTIFS(T_StockCount[RM_Code],$A38,T_StockCount[WeekIndex],89)&gt;0,SUMIFS(T_StockCount[CountedQty],T_StockCount[RM_Code],$A38,T_StockCount[WeekIndex],89),IF((COUNTIFS(T_SelfStock[RM_Code],$A38,T_SelfStock[WeekIndex],89)&gt;0)*(COUNTIFS(T_TTAFStock[RM_Code],$A38,T_TTAFStock[WeekIndex],89)&gt;0)&gt;0,SUMIFS(T_SelfStock[Self_Qty],T_SelfStock[RM_Code],$A38,T_SelfStock[WeekIndex],89)+SUMIFS(T_TTAFStock[TTAF_Qty],T_TTAFStock[RM_Code],$A38,T_TTAFStock[WeekIndex],89),CK38+'Grid_Incoming'!CL38-'Grid_Requirement'!CL38))</f>
        <v/>
      </c>
      <c r="CM38">
        <f>IF(COUNTIFS(T_StockCount[RM_Code],$A38,T_StockCount[WeekIndex],90)&gt;0,SUMIFS(T_StockCount[CountedQty],T_StockCount[RM_Code],$A38,T_StockCount[WeekIndex],90),IF((COUNTIFS(T_SelfStock[RM_Code],$A38,T_SelfStock[WeekIndex],90)&gt;0)*(COUNTIFS(T_TTAFStock[RM_Code],$A38,T_TTAFStock[WeekIndex],90)&gt;0)&gt;0,SUMIFS(T_SelfStock[Self_Qty],T_SelfStock[RM_Code],$A38,T_SelfStock[WeekIndex],90)+SUMIFS(T_TTAFStock[TTAF_Qty],T_TTAFStock[RM_Code],$A38,T_TTAFStock[WeekIndex],90),CL38+'Grid_Incoming'!CM38-'Grid_Requirement'!CM38))</f>
        <v/>
      </c>
      <c r="CN38">
        <f>IF(COUNTIFS(T_StockCount[RM_Code],$A38,T_StockCount[WeekIndex],91)&gt;0,SUMIFS(T_StockCount[CountedQty],T_StockCount[RM_Code],$A38,T_StockCount[WeekIndex],91),IF((COUNTIFS(T_SelfStock[RM_Code],$A38,T_SelfStock[WeekIndex],91)&gt;0)*(COUNTIFS(T_TTAFStock[RM_Code],$A38,T_TTAFStock[WeekIndex],91)&gt;0)&gt;0,SUMIFS(T_SelfStock[Self_Qty],T_SelfStock[RM_Code],$A38,T_SelfStock[WeekIndex],91)+SUMIFS(T_TTAFStock[TTAF_Qty],T_TTAFStock[RM_Code],$A38,T_TTAFStock[WeekIndex],91),CM38+'Grid_Incoming'!CN38-'Grid_Requirement'!CN38))</f>
        <v/>
      </c>
      <c r="CO38">
        <f>IF(COUNTIFS(T_StockCount[RM_Code],$A38,T_StockCount[WeekIndex],92)&gt;0,SUMIFS(T_StockCount[CountedQty],T_StockCount[RM_Code],$A38,T_StockCount[WeekIndex],92),IF((COUNTIFS(T_SelfStock[RM_Code],$A38,T_SelfStock[WeekIndex],92)&gt;0)*(COUNTIFS(T_TTAFStock[RM_Code],$A38,T_TTAFStock[WeekIndex],92)&gt;0)&gt;0,SUMIFS(T_SelfStock[Self_Qty],T_SelfStock[RM_Code],$A38,T_SelfStock[WeekIndex],92)+SUMIFS(T_TTAFStock[TTAF_Qty],T_TTAFStock[RM_Code],$A38,T_TTAFStock[WeekIndex],92),CN38+'Grid_Incoming'!CO38-'Grid_Requirement'!CO38))</f>
        <v/>
      </c>
      <c r="CP38">
        <f>IF(COUNTIFS(T_StockCount[RM_Code],$A38,T_StockCount[WeekIndex],93)&gt;0,SUMIFS(T_StockCount[CountedQty],T_StockCount[RM_Code],$A38,T_StockCount[WeekIndex],93),IF((COUNTIFS(T_SelfStock[RM_Code],$A38,T_SelfStock[WeekIndex],93)&gt;0)*(COUNTIFS(T_TTAFStock[RM_Code],$A38,T_TTAFStock[WeekIndex],93)&gt;0)&gt;0,SUMIFS(T_SelfStock[Self_Qty],T_SelfStock[RM_Code],$A38,T_SelfStock[WeekIndex],93)+SUMIFS(T_TTAFStock[TTAF_Qty],T_TTAFStock[RM_Code],$A38,T_TTAFStock[WeekIndex],93),CO38+'Grid_Incoming'!CP38-'Grid_Requirement'!CP38))</f>
        <v/>
      </c>
      <c r="CQ38">
        <f>IF(COUNTIFS(T_StockCount[RM_Code],$A38,T_StockCount[WeekIndex],94)&gt;0,SUMIFS(T_StockCount[CountedQty],T_StockCount[RM_Code],$A38,T_StockCount[WeekIndex],94),IF((COUNTIFS(T_SelfStock[RM_Code],$A38,T_SelfStock[WeekIndex],94)&gt;0)*(COUNTIFS(T_TTAFStock[RM_Code],$A38,T_TTAFStock[WeekIndex],94)&gt;0)&gt;0,SUMIFS(T_SelfStock[Self_Qty],T_SelfStock[RM_Code],$A38,T_SelfStock[WeekIndex],94)+SUMIFS(T_TTAFStock[TTAF_Qty],T_TTAFStock[RM_Code],$A38,T_TTAFStock[WeekIndex],94),CP38+'Grid_Incoming'!CQ38-'Grid_Requirement'!CQ38))</f>
        <v/>
      </c>
      <c r="CR38">
        <f>IF(COUNTIFS(T_StockCount[RM_Code],$A38,T_StockCount[WeekIndex],95)&gt;0,SUMIFS(T_StockCount[CountedQty],T_StockCount[RM_Code],$A38,T_StockCount[WeekIndex],95),IF((COUNTIFS(T_SelfStock[RM_Code],$A38,T_SelfStock[WeekIndex],95)&gt;0)*(COUNTIFS(T_TTAFStock[RM_Code],$A38,T_TTAFStock[WeekIndex],95)&gt;0)&gt;0,SUMIFS(T_SelfStock[Self_Qty],T_SelfStock[RM_Code],$A38,T_SelfStock[WeekIndex],95)+SUMIFS(T_TTAFStock[TTAF_Qty],T_TTAFStock[RM_Code],$A38,T_TTAFStock[WeekIndex],95),CQ38+'Grid_Incoming'!CR38-'Grid_Requirement'!CR38))</f>
        <v/>
      </c>
      <c r="CS38">
        <f>IF(COUNTIFS(T_StockCount[RM_Code],$A38,T_StockCount[WeekIndex],96)&gt;0,SUMIFS(T_StockCount[CountedQty],T_StockCount[RM_Code],$A38,T_StockCount[WeekIndex],96),IF((COUNTIFS(T_SelfStock[RM_Code],$A38,T_SelfStock[WeekIndex],96)&gt;0)*(COUNTIFS(T_TTAFStock[RM_Code],$A38,T_TTAFStock[WeekIndex],96)&gt;0)&gt;0,SUMIFS(T_SelfStock[Self_Qty],T_SelfStock[RM_Code],$A38,T_SelfStock[WeekIndex],96)+SUMIFS(T_TTAFStock[TTAF_Qty],T_TTAFStock[RM_Code],$A38,T_TTAFStock[WeekIndex],96),CR38+'Grid_Incoming'!CS38-'Grid_Requirement'!CS38))</f>
        <v/>
      </c>
      <c r="CT38">
        <f>IF(COUNTIFS(T_StockCount[RM_Code],$A38,T_StockCount[WeekIndex],97)&gt;0,SUMIFS(T_StockCount[CountedQty],T_StockCount[RM_Code],$A38,T_StockCount[WeekIndex],97),IF((COUNTIFS(T_SelfStock[RM_Code],$A38,T_SelfStock[WeekIndex],97)&gt;0)*(COUNTIFS(T_TTAFStock[RM_Code],$A38,T_TTAFStock[WeekIndex],97)&gt;0)&gt;0,SUMIFS(T_SelfStock[Self_Qty],T_SelfStock[RM_Code],$A38,T_SelfStock[WeekIndex],97)+SUMIFS(T_TTAFStock[TTAF_Qty],T_TTAFStock[RM_Code],$A38,T_TTAFStock[WeekIndex],97),CS38+'Grid_Incoming'!CT38-'Grid_Requirement'!CT38))</f>
        <v/>
      </c>
      <c r="CU38">
        <f>IF(COUNTIFS(T_StockCount[RM_Code],$A38,T_StockCount[WeekIndex],98)&gt;0,SUMIFS(T_StockCount[CountedQty],T_StockCount[RM_Code],$A38,T_StockCount[WeekIndex],98),IF((COUNTIFS(T_SelfStock[RM_Code],$A38,T_SelfStock[WeekIndex],98)&gt;0)*(COUNTIFS(T_TTAFStock[RM_Code],$A38,T_TTAFStock[WeekIndex],98)&gt;0)&gt;0,SUMIFS(T_SelfStock[Self_Qty],T_SelfStock[RM_Code],$A38,T_SelfStock[WeekIndex],98)+SUMIFS(T_TTAFStock[TTAF_Qty],T_TTAFStock[RM_Code],$A38,T_TTAFStock[WeekIndex],98),CT38+'Grid_Incoming'!CU38-'Grid_Requirement'!CU38))</f>
        <v/>
      </c>
      <c r="CV38">
        <f>IF(COUNTIFS(T_StockCount[RM_Code],$A38,T_StockCount[WeekIndex],99)&gt;0,SUMIFS(T_StockCount[CountedQty],T_StockCount[RM_Code],$A38,T_StockCount[WeekIndex],99),IF((COUNTIFS(T_SelfStock[RM_Code],$A38,T_SelfStock[WeekIndex],99)&gt;0)*(COUNTIFS(T_TTAFStock[RM_Code],$A38,T_TTAFStock[WeekIndex],99)&gt;0)&gt;0,SUMIFS(T_SelfStock[Self_Qty],T_SelfStock[RM_Code],$A38,T_SelfStock[WeekIndex],99)+SUMIFS(T_TTAFStock[TTAF_Qty],T_TTAFStock[RM_Code],$A38,T_TTAFStock[WeekIndex],99),CU38+'Grid_Incoming'!CV38-'Grid_Requirement'!CV38))</f>
        <v/>
      </c>
      <c r="CW38">
        <f>IF(COUNTIFS(T_StockCount[RM_Code],$A38,T_StockCount[WeekIndex],100)&gt;0,SUMIFS(T_StockCount[CountedQty],T_StockCount[RM_Code],$A38,T_StockCount[WeekIndex],100),IF((COUNTIFS(T_SelfStock[RM_Code],$A38,T_SelfStock[WeekIndex],100)&gt;0)*(COUNTIFS(T_TTAFStock[RM_Code],$A38,T_TTAFStock[WeekIndex],100)&gt;0)&gt;0,SUMIFS(T_SelfStock[Self_Qty],T_SelfStock[RM_Code],$A38,T_SelfStock[WeekIndex],100)+SUMIFS(T_TTAFStock[TTAF_Qty],T_TTAFStock[RM_Code],$A38,T_TTAFStock[WeekIndex],100),CV38+'Grid_Incoming'!CW38-'Grid_Requirement'!CW38))</f>
        <v/>
      </c>
      <c r="CX38">
        <f>IF(COUNTIFS(T_StockCount[RM_Code],$A38,T_StockCount[WeekIndex],101)&gt;0,SUMIFS(T_StockCount[CountedQty],T_StockCount[RM_Code],$A38,T_StockCount[WeekIndex],101),IF((COUNTIFS(T_SelfStock[RM_Code],$A38,T_SelfStock[WeekIndex],101)&gt;0)*(COUNTIFS(T_TTAFStock[RM_Code],$A38,T_TTAFStock[WeekIndex],101)&gt;0)&gt;0,SUMIFS(T_SelfStock[Self_Qty],T_SelfStock[RM_Code],$A38,T_SelfStock[WeekIndex],101)+SUMIFS(T_TTAFStock[TTAF_Qty],T_TTAFStock[RM_Code],$A38,T_TTAFStock[WeekIndex],101),CW38+'Grid_Incoming'!CX38-'Grid_Requirement'!CX38))</f>
        <v/>
      </c>
      <c r="CY38">
        <f>IF(COUNTIFS(T_StockCount[RM_Code],$A38,T_StockCount[WeekIndex],102)&gt;0,SUMIFS(T_StockCount[CountedQty],T_StockCount[RM_Code],$A38,T_StockCount[WeekIndex],102),IF((COUNTIFS(T_SelfStock[RM_Code],$A38,T_SelfStock[WeekIndex],102)&gt;0)*(COUNTIFS(T_TTAFStock[RM_Code],$A38,T_TTAFStock[WeekIndex],102)&gt;0)&gt;0,SUMIFS(T_SelfStock[Self_Qty],T_SelfStock[RM_Code],$A38,T_SelfStock[WeekIndex],102)+SUMIFS(T_TTAFStock[TTAF_Qty],T_TTAFStock[RM_Code],$A38,T_TTAFStock[WeekIndex],102),CX38+'Grid_Incoming'!CY38-'Grid_Requirement'!CY38))</f>
        <v/>
      </c>
      <c r="CZ38">
        <f>IF(COUNTIFS(T_StockCount[RM_Code],$A38,T_StockCount[WeekIndex],103)&gt;0,SUMIFS(T_StockCount[CountedQty],T_StockCount[RM_Code],$A38,T_StockCount[WeekIndex],103),IF((COUNTIFS(T_SelfStock[RM_Code],$A38,T_SelfStock[WeekIndex],103)&gt;0)*(COUNTIFS(T_TTAFStock[RM_Code],$A38,T_TTAFStock[WeekIndex],103)&gt;0)&gt;0,SUMIFS(T_SelfStock[Self_Qty],T_SelfStock[RM_Code],$A38,T_SelfStock[WeekIndex],103)+SUMIFS(T_TTAFStock[TTAF_Qty],T_TTAFStock[RM_Code],$A38,T_TTAFStock[WeekIndex],103),CY38+'Grid_Incoming'!CZ38-'Grid_Requirement'!CZ38))</f>
        <v/>
      </c>
      <c r="DA38">
        <f>IF(COUNTIFS(T_StockCount[RM_Code],$A38,T_StockCount[WeekIndex],104)&gt;0,SUMIFS(T_StockCount[CountedQty],T_StockCount[RM_Code],$A38,T_StockCount[WeekIndex],104),IF((COUNTIFS(T_SelfStock[RM_Code],$A38,T_SelfStock[WeekIndex],104)&gt;0)*(COUNTIFS(T_TTAFStock[RM_Code],$A38,T_TTAFStock[WeekIndex],104)&gt;0)&gt;0,SUMIFS(T_SelfStock[Self_Qty],T_SelfStock[RM_Code],$A38,T_SelfStock[WeekIndex],104)+SUMIFS(T_TTAFStock[TTAF_Qty],T_TTAFStock[RM_Code],$A38,T_TTAFStock[WeekIndex],104),CZ38+'Grid_Incoming'!DA38-'Grid_Requirement'!DA38))</f>
        <v/>
      </c>
    </row>
    <row r="39">
      <c r="A39" t="inlineStr">
        <is>
          <t>CHEM-1840</t>
        </is>
      </c>
      <c r="B39">
        <f>IF(COUNTIFS(T_StockCount[RM_Code],$A39,T_StockCount[WeekIndex],1)&gt;0,SUMIFS(T_StockCount[CountedQty],T_StockCount[RM_Code],$A39,T_StockCount[WeekIndex],1),IF((COUNTIFS(T_SelfStock[RM_Code],$A39,T_SelfStock[WeekIndex],1)&gt;0)*(COUNTIFS(T_TTAFStock[RM_Code],$A39,T_TTAFStock[WeekIndex],1)&gt;0)&gt;0,SUMIFS(T_SelfStock[Self_Qty],T_SelfStock[RM_Code],$A39,T_SelfStock[WeekIndex],1)+SUMIFS(T_TTAFStock[TTAF_Qty],T_TTAFStock[RM_Code],$A39,T_TTAFStock[WeekIndex],1),IFERROR(INDEX(T_OpeningStock[Opening_Qty],MATCH($A39,T_OpeningStock[RM_Code],0)),0)+'Grid_Incoming'!B39-'Grid_Requirement'!B39))</f>
        <v/>
      </c>
      <c r="C39">
        <f>IF(COUNTIFS(T_StockCount[RM_Code],$A39,T_StockCount[WeekIndex],2)&gt;0,SUMIFS(T_StockCount[CountedQty],T_StockCount[RM_Code],$A39,T_StockCount[WeekIndex],2),IF((COUNTIFS(T_SelfStock[RM_Code],$A39,T_SelfStock[WeekIndex],2)&gt;0)*(COUNTIFS(T_TTAFStock[RM_Code],$A39,T_TTAFStock[WeekIndex],2)&gt;0)&gt;0,SUMIFS(T_SelfStock[Self_Qty],T_SelfStock[RM_Code],$A39,T_SelfStock[WeekIndex],2)+SUMIFS(T_TTAFStock[TTAF_Qty],T_TTAFStock[RM_Code],$A39,T_TTAFStock[WeekIndex],2),B39+'Grid_Incoming'!C39-'Grid_Requirement'!C39))</f>
        <v/>
      </c>
      <c r="D39">
        <f>IF(COUNTIFS(T_StockCount[RM_Code],$A39,T_StockCount[WeekIndex],3)&gt;0,SUMIFS(T_StockCount[CountedQty],T_StockCount[RM_Code],$A39,T_StockCount[WeekIndex],3),IF((COUNTIFS(T_SelfStock[RM_Code],$A39,T_SelfStock[WeekIndex],3)&gt;0)*(COUNTIFS(T_TTAFStock[RM_Code],$A39,T_TTAFStock[WeekIndex],3)&gt;0)&gt;0,SUMIFS(T_SelfStock[Self_Qty],T_SelfStock[RM_Code],$A39,T_SelfStock[WeekIndex],3)+SUMIFS(T_TTAFStock[TTAF_Qty],T_TTAFStock[RM_Code],$A39,T_TTAFStock[WeekIndex],3),C39+'Grid_Incoming'!D39-'Grid_Requirement'!D39))</f>
        <v/>
      </c>
      <c r="E39">
        <f>IF(COUNTIFS(T_StockCount[RM_Code],$A39,T_StockCount[WeekIndex],4)&gt;0,SUMIFS(T_StockCount[CountedQty],T_StockCount[RM_Code],$A39,T_StockCount[WeekIndex],4),IF((COUNTIFS(T_SelfStock[RM_Code],$A39,T_SelfStock[WeekIndex],4)&gt;0)*(COUNTIFS(T_TTAFStock[RM_Code],$A39,T_TTAFStock[WeekIndex],4)&gt;0)&gt;0,SUMIFS(T_SelfStock[Self_Qty],T_SelfStock[RM_Code],$A39,T_SelfStock[WeekIndex],4)+SUMIFS(T_TTAFStock[TTAF_Qty],T_TTAFStock[RM_Code],$A39,T_TTAFStock[WeekIndex],4),D39+'Grid_Incoming'!E39-'Grid_Requirement'!E39))</f>
        <v/>
      </c>
      <c r="F39">
        <f>IF(COUNTIFS(T_StockCount[RM_Code],$A39,T_StockCount[WeekIndex],5)&gt;0,SUMIFS(T_StockCount[CountedQty],T_StockCount[RM_Code],$A39,T_StockCount[WeekIndex],5),IF((COUNTIFS(T_SelfStock[RM_Code],$A39,T_SelfStock[WeekIndex],5)&gt;0)*(COUNTIFS(T_TTAFStock[RM_Code],$A39,T_TTAFStock[WeekIndex],5)&gt;0)&gt;0,SUMIFS(T_SelfStock[Self_Qty],T_SelfStock[RM_Code],$A39,T_SelfStock[WeekIndex],5)+SUMIFS(T_TTAFStock[TTAF_Qty],T_TTAFStock[RM_Code],$A39,T_TTAFStock[WeekIndex],5),E39+'Grid_Incoming'!F39-'Grid_Requirement'!F39))</f>
        <v/>
      </c>
      <c r="G39">
        <f>IF(COUNTIFS(T_StockCount[RM_Code],$A39,T_StockCount[WeekIndex],6)&gt;0,SUMIFS(T_StockCount[CountedQty],T_StockCount[RM_Code],$A39,T_StockCount[WeekIndex],6),IF((COUNTIFS(T_SelfStock[RM_Code],$A39,T_SelfStock[WeekIndex],6)&gt;0)*(COUNTIFS(T_TTAFStock[RM_Code],$A39,T_TTAFStock[WeekIndex],6)&gt;0)&gt;0,SUMIFS(T_SelfStock[Self_Qty],T_SelfStock[RM_Code],$A39,T_SelfStock[WeekIndex],6)+SUMIFS(T_TTAFStock[TTAF_Qty],T_TTAFStock[RM_Code],$A39,T_TTAFStock[WeekIndex],6),F39+'Grid_Incoming'!G39-'Grid_Requirement'!G39))</f>
        <v/>
      </c>
      <c r="H39">
        <f>IF(COUNTIFS(T_StockCount[RM_Code],$A39,T_StockCount[WeekIndex],7)&gt;0,SUMIFS(T_StockCount[CountedQty],T_StockCount[RM_Code],$A39,T_StockCount[WeekIndex],7),IF((COUNTIFS(T_SelfStock[RM_Code],$A39,T_SelfStock[WeekIndex],7)&gt;0)*(COUNTIFS(T_TTAFStock[RM_Code],$A39,T_TTAFStock[WeekIndex],7)&gt;0)&gt;0,SUMIFS(T_SelfStock[Self_Qty],T_SelfStock[RM_Code],$A39,T_SelfStock[WeekIndex],7)+SUMIFS(T_TTAFStock[TTAF_Qty],T_TTAFStock[RM_Code],$A39,T_TTAFStock[WeekIndex],7),G39+'Grid_Incoming'!H39-'Grid_Requirement'!H39))</f>
        <v/>
      </c>
      <c r="I39">
        <f>IF(COUNTIFS(T_StockCount[RM_Code],$A39,T_StockCount[WeekIndex],8)&gt;0,SUMIFS(T_StockCount[CountedQty],T_StockCount[RM_Code],$A39,T_StockCount[WeekIndex],8),IF((COUNTIFS(T_SelfStock[RM_Code],$A39,T_SelfStock[WeekIndex],8)&gt;0)*(COUNTIFS(T_TTAFStock[RM_Code],$A39,T_TTAFStock[WeekIndex],8)&gt;0)&gt;0,SUMIFS(T_SelfStock[Self_Qty],T_SelfStock[RM_Code],$A39,T_SelfStock[WeekIndex],8)+SUMIFS(T_TTAFStock[TTAF_Qty],T_TTAFStock[RM_Code],$A39,T_TTAFStock[WeekIndex],8),H39+'Grid_Incoming'!I39-'Grid_Requirement'!I39))</f>
        <v/>
      </c>
      <c r="J39">
        <f>IF(COUNTIFS(T_StockCount[RM_Code],$A39,T_StockCount[WeekIndex],9)&gt;0,SUMIFS(T_StockCount[CountedQty],T_StockCount[RM_Code],$A39,T_StockCount[WeekIndex],9),IF((COUNTIFS(T_SelfStock[RM_Code],$A39,T_SelfStock[WeekIndex],9)&gt;0)*(COUNTIFS(T_TTAFStock[RM_Code],$A39,T_TTAFStock[WeekIndex],9)&gt;0)&gt;0,SUMIFS(T_SelfStock[Self_Qty],T_SelfStock[RM_Code],$A39,T_SelfStock[WeekIndex],9)+SUMIFS(T_TTAFStock[TTAF_Qty],T_TTAFStock[RM_Code],$A39,T_TTAFStock[WeekIndex],9),I39+'Grid_Incoming'!J39-'Grid_Requirement'!J39))</f>
        <v/>
      </c>
      <c r="K39">
        <f>IF(COUNTIFS(T_StockCount[RM_Code],$A39,T_StockCount[WeekIndex],10)&gt;0,SUMIFS(T_StockCount[CountedQty],T_StockCount[RM_Code],$A39,T_StockCount[WeekIndex],10),IF((COUNTIFS(T_SelfStock[RM_Code],$A39,T_SelfStock[WeekIndex],10)&gt;0)*(COUNTIFS(T_TTAFStock[RM_Code],$A39,T_TTAFStock[WeekIndex],10)&gt;0)&gt;0,SUMIFS(T_SelfStock[Self_Qty],T_SelfStock[RM_Code],$A39,T_SelfStock[WeekIndex],10)+SUMIFS(T_TTAFStock[TTAF_Qty],T_TTAFStock[RM_Code],$A39,T_TTAFStock[WeekIndex],10),J39+'Grid_Incoming'!K39-'Grid_Requirement'!K39))</f>
        <v/>
      </c>
      <c r="L39">
        <f>IF(COUNTIFS(T_StockCount[RM_Code],$A39,T_StockCount[WeekIndex],11)&gt;0,SUMIFS(T_StockCount[CountedQty],T_StockCount[RM_Code],$A39,T_StockCount[WeekIndex],11),IF((COUNTIFS(T_SelfStock[RM_Code],$A39,T_SelfStock[WeekIndex],11)&gt;0)*(COUNTIFS(T_TTAFStock[RM_Code],$A39,T_TTAFStock[WeekIndex],11)&gt;0)&gt;0,SUMIFS(T_SelfStock[Self_Qty],T_SelfStock[RM_Code],$A39,T_SelfStock[WeekIndex],11)+SUMIFS(T_TTAFStock[TTAF_Qty],T_TTAFStock[RM_Code],$A39,T_TTAFStock[WeekIndex],11),K39+'Grid_Incoming'!L39-'Grid_Requirement'!L39))</f>
        <v/>
      </c>
      <c r="M39">
        <f>IF(COUNTIFS(T_StockCount[RM_Code],$A39,T_StockCount[WeekIndex],12)&gt;0,SUMIFS(T_StockCount[CountedQty],T_StockCount[RM_Code],$A39,T_StockCount[WeekIndex],12),IF((COUNTIFS(T_SelfStock[RM_Code],$A39,T_SelfStock[WeekIndex],12)&gt;0)*(COUNTIFS(T_TTAFStock[RM_Code],$A39,T_TTAFStock[WeekIndex],12)&gt;0)&gt;0,SUMIFS(T_SelfStock[Self_Qty],T_SelfStock[RM_Code],$A39,T_SelfStock[WeekIndex],12)+SUMIFS(T_TTAFStock[TTAF_Qty],T_TTAFStock[RM_Code],$A39,T_TTAFStock[WeekIndex],12),L39+'Grid_Incoming'!M39-'Grid_Requirement'!M39))</f>
        <v/>
      </c>
      <c r="N39">
        <f>IF(COUNTIFS(T_StockCount[RM_Code],$A39,T_StockCount[WeekIndex],13)&gt;0,SUMIFS(T_StockCount[CountedQty],T_StockCount[RM_Code],$A39,T_StockCount[WeekIndex],13),IF((COUNTIFS(T_SelfStock[RM_Code],$A39,T_SelfStock[WeekIndex],13)&gt;0)*(COUNTIFS(T_TTAFStock[RM_Code],$A39,T_TTAFStock[WeekIndex],13)&gt;0)&gt;0,SUMIFS(T_SelfStock[Self_Qty],T_SelfStock[RM_Code],$A39,T_SelfStock[WeekIndex],13)+SUMIFS(T_TTAFStock[TTAF_Qty],T_TTAFStock[RM_Code],$A39,T_TTAFStock[WeekIndex],13),M39+'Grid_Incoming'!N39-'Grid_Requirement'!N39))</f>
        <v/>
      </c>
      <c r="O39">
        <f>IF(COUNTIFS(T_StockCount[RM_Code],$A39,T_StockCount[WeekIndex],14)&gt;0,SUMIFS(T_StockCount[CountedQty],T_StockCount[RM_Code],$A39,T_StockCount[WeekIndex],14),IF((COUNTIFS(T_SelfStock[RM_Code],$A39,T_SelfStock[WeekIndex],14)&gt;0)*(COUNTIFS(T_TTAFStock[RM_Code],$A39,T_TTAFStock[WeekIndex],14)&gt;0)&gt;0,SUMIFS(T_SelfStock[Self_Qty],T_SelfStock[RM_Code],$A39,T_SelfStock[WeekIndex],14)+SUMIFS(T_TTAFStock[TTAF_Qty],T_TTAFStock[RM_Code],$A39,T_TTAFStock[WeekIndex],14),N39+'Grid_Incoming'!O39-'Grid_Requirement'!O39))</f>
        <v/>
      </c>
      <c r="P39">
        <f>IF(COUNTIFS(T_StockCount[RM_Code],$A39,T_StockCount[WeekIndex],15)&gt;0,SUMIFS(T_StockCount[CountedQty],T_StockCount[RM_Code],$A39,T_StockCount[WeekIndex],15),IF((COUNTIFS(T_SelfStock[RM_Code],$A39,T_SelfStock[WeekIndex],15)&gt;0)*(COUNTIFS(T_TTAFStock[RM_Code],$A39,T_TTAFStock[WeekIndex],15)&gt;0)&gt;0,SUMIFS(T_SelfStock[Self_Qty],T_SelfStock[RM_Code],$A39,T_SelfStock[WeekIndex],15)+SUMIFS(T_TTAFStock[TTAF_Qty],T_TTAFStock[RM_Code],$A39,T_TTAFStock[WeekIndex],15),O39+'Grid_Incoming'!P39-'Grid_Requirement'!P39))</f>
        <v/>
      </c>
      <c r="Q39">
        <f>IF(COUNTIFS(T_StockCount[RM_Code],$A39,T_StockCount[WeekIndex],16)&gt;0,SUMIFS(T_StockCount[CountedQty],T_StockCount[RM_Code],$A39,T_StockCount[WeekIndex],16),IF((COUNTIFS(T_SelfStock[RM_Code],$A39,T_SelfStock[WeekIndex],16)&gt;0)*(COUNTIFS(T_TTAFStock[RM_Code],$A39,T_TTAFStock[WeekIndex],16)&gt;0)&gt;0,SUMIFS(T_SelfStock[Self_Qty],T_SelfStock[RM_Code],$A39,T_SelfStock[WeekIndex],16)+SUMIFS(T_TTAFStock[TTAF_Qty],T_TTAFStock[RM_Code],$A39,T_TTAFStock[WeekIndex],16),P39+'Grid_Incoming'!Q39-'Grid_Requirement'!Q39))</f>
        <v/>
      </c>
      <c r="R39">
        <f>IF(COUNTIFS(T_StockCount[RM_Code],$A39,T_StockCount[WeekIndex],17)&gt;0,SUMIFS(T_StockCount[CountedQty],T_StockCount[RM_Code],$A39,T_StockCount[WeekIndex],17),IF((COUNTIFS(T_SelfStock[RM_Code],$A39,T_SelfStock[WeekIndex],17)&gt;0)*(COUNTIFS(T_TTAFStock[RM_Code],$A39,T_TTAFStock[WeekIndex],17)&gt;0)&gt;0,SUMIFS(T_SelfStock[Self_Qty],T_SelfStock[RM_Code],$A39,T_SelfStock[WeekIndex],17)+SUMIFS(T_TTAFStock[TTAF_Qty],T_TTAFStock[RM_Code],$A39,T_TTAFStock[WeekIndex],17),Q39+'Grid_Incoming'!R39-'Grid_Requirement'!R39))</f>
        <v/>
      </c>
      <c r="S39">
        <f>IF(COUNTIFS(T_StockCount[RM_Code],$A39,T_StockCount[WeekIndex],18)&gt;0,SUMIFS(T_StockCount[CountedQty],T_StockCount[RM_Code],$A39,T_StockCount[WeekIndex],18),IF((COUNTIFS(T_SelfStock[RM_Code],$A39,T_SelfStock[WeekIndex],18)&gt;0)*(COUNTIFS(T_TTAFStock[RM_Code],$A39,T_TTAFStock[WeekIndex],18)&gt;0)&gt;0,SUMIFS(T_SelfStock[Self_Qty],T_SelfStock[RM_Code],$A39,T_SelfStock[WeekIndex],18)+SUMIFS(T_TTAFStock[TTAF_Qty],T_TTAFStock[RM_Code],$A39,T_TTAFStock[WeekIndex],18),R39+'Grid_Incoming'!S39-'Grid_Requirement'!S39))</f>
        <v/>
      </c>
      <c r="T39">
        <f>IF(COUNTIFS(T_StockCount[RM_Code],$A39,T_StockCount[WeekIndex],19)&gt;0,SUMIFS(T_StockCount[CountedQty],T_StockCount[RM_Code],$A39,T_StockCount[WeekIndex],19),IF((COUNTIFS(T_SelfStock[RM_Code],$A39,T_SelfStock[WeekIndex],19)&gt;0)*(COUNTIFS(T_TTAFStock[RM_Code],$A39,T_TTAFStock[WeekIndex],19)&gt;0)&gt;0,SUMIFS(T_SelfStock[Self_Qty],T_SelfStock[RM_Code],$A39,T_SelfStock[WeekIndex],19)+SUMIFS(T_TTAFStock[TTAF_Qty],T_TTAFStock[RM_Code],$A39,T_TTAFStock[WeekIndex],19),S39+'Grid_Incoming'!T39-'Grid_Requirement'!T39))</f>
        <v/>
      </c>
      <c r="U39">
        <f>IF(COUNTIFS(T_StockCount[RM_Code],$A39,T_StockCount[WeekIndex],20)&gt;0,SUMIFS(T_StockCount[CountedQty],T_StockCount[RM_Code],$A39,T_StockCount[WeekIndex],20),IF((COUNTIFS(T_SelfStock[RM_Code],$A39,T_SelfStock[WeekIndex],20)&gt;0)*(COUNTIFS(T_TTAFStock[RM_Code],$A39,T_TTAFStock[WeekIndex],20)&gt;0)&gt;0,SUMIFS(T_SelfStock[Self_Qty],T_SelfStock[RM_Code],$A39,T_SelfStock[WeekIndex],20)+SUMIFS(T_TTAFStock[TTAF_Qty],T_TTAFStock[RM_Code],$A39,T_TTAFStock[WeekIndex],20),T39+'Grid_Incoming'!U39-'Grid_Requirement'!U39))</f>
        <v/>
      </c>
      <c r="V39">
        <f>IF(COUNTIFS(T_StockCount[RM_Code],$A39,T_StockCount[WeekIndex],21)&gt;0,SUMIFS(T_StockCount[CountedQty],T_StockCount[RM_Code],$A39,T_StockCount[WeekIndex],21),IF((COUNTIFS(T_SelfStock[RM_Code],$A39,T_SelfStock[WeekIndex],21)&gt;0)*(COUNTIFS(T_TTAFStock[RM_Code],$A39,T_TTAFStock[WeekIndex],21)&gt;0)&gt;0,SUMIFS(T_SelfStock[Self_Qty],T_SelfStock[RM_Code],$A39,T_SelfStock[WeekIndex],21)+SUMIFS(T_TTAFStock[TTAF_Qty],T_TTAFStock[RM_Code],$A39,T_TTAFStock[WeekIndex],21),U39+'Grid_Incoming'!V39-'Grid_Requirement'!V39))</f>
        <v/>
      </c>
      <c r="W39">
        <f>IF(COUNTIFS(T_StockCount[RM_Code],$A39,T_StockCount[WeekIndex],22)&gt;0,SUMIFS(T_StockCount[CountedQty],T_StockCount[RM_Code],$A39,T_StockCount[WeekIndex],22),IF((COUNTIFS(T_SelfStock[RM_Code],$A39,T_SelfStock[WeekIndex],22)&gt;0)*(COUNTIFS(T_TTAFStock[RM_Code],$A39,T_TTAFStock[WeekIndex],22)&gt;0)&gt;0,SUMIFS(T_SelfStock[Self_Qty],T_SelfStock[RM_Code],$A39,T_SelfStock[WeekIndex],22)+SUMIFS(T_TTAFStock[TTAF_Qty],T_TTAFStock[RM_Code],$A39,T_TTAFStock[WeekIndex],22),V39+'Grid_Incoming'!W39-'Grid_Requirement'!W39))</f>
        <v/>
      </c>
      <c r="X39">
        <f>IF(COUNTIFS(T_StockCount[RM_Code],$A39,T_StockCount[WeekIndex],23)&gt;0,SUMIFS(T_StockCount[CountedQty],T_StockCount[RM_Code],$A39,T_StockCount[WeekIndex],23),IF((COUNTIFS(T_SelfStock[RM_Code],$A39,T_SelfStock[WeekIndex],23)&gt;0)*(COUNTIFS(T_TTAFStock[RM_Code],$A39,T_TTAFStock[WeekIndex],23)&gt;0)&gt;0,SUMIFS(T_SelfStock[Self_Qty],T_SelfStock[RM_Code],$A39,T_SelfStock[WeekIndex],23)+SUMIFS(T_TTAFStock[TTAF_Qty],T_TTAFStock[RM_Code],$A39,T_TTAFStock[WeekIndex],23),W39+'Grid_Incoming'!X39-'Grid_Requirement'!X39))</f>
        <v/>
      </c>
      <c r="Y39">
        <f>IF(COUNTIFS(T_StockCount[RM_Code],$A39,T_StockCount[WeekIndex],24)&gt;0,SUMIFS(T_StockCount[CountedQty],T_StockCount[RM_Code],$A39,T_StockCount[WeekIndex],24),IF((COUNTIFS(T_SelfStock[RM_Code],$A39,T_SelfStock[WeekIndex],24)&gt;0)*(COUNTIFS(T_TTAFStock[RM_Code],$A39,T_TTAFStock[WeekIndex],24)&gt;0)&gt;0,SUMIFS(T_SelfStock[Self_Qty],T_SelfStock[RM_Code],$A39,T_SelfStock[WeekIndex],24)+SUMIFS(T_TTAFStock[TTAF_Qty],T_TTAFStock[RM_Code],$A39,T_TTAFStock[WeekIndex],24),X39+'Grid_Incoming'!Y39-'Grid_Requirement'!Y39))</f>
        <v/>
      </c>
      <c r="Z39">
        <f>IF(COUNTIFS(T_StockCount[RM_Code],$A39,T_StockCount[WeekIndex],25)&gt;0,SUMIFS(T_StockCount[CountedQty],T_StockCount[RM_Code],$A39,T_StockCount[WeekIndex],25),IF((COUNTIFS(T_SelfStock[RM_Code],$A39,T_SelfStock[WeekIndex],25)&gt;0)*(COUNTIFS(T_TTAFStock[RM_Code],$A39,T_TTAFStock[WeekIndex],25)&gt;0)&gt;0,SUMIFS(T_SelfStock[Self_Qty],T_SelfStock[RM_Code],$A39,T_SelfStock[WeekIndex],25)+SUMIFS(T_TTAFStock[TTAF_Qty],T_TTAFStock[RM_Code],$A39,T_TTAFStock[WeekIndex],25),Y39+'Grid_Incoming'!Z39-'Grid_Requirement'!Z39))</f>
        <v/>
      </c>
      <c r="AA39">
        <f>IF(COUNTIFS(T_StockCount[RM_Code],$A39,T_StockCount[WeekIndex],26)&gt;0,SUMIFS(T_StockCount[CountedQty],T_StockCount[RM_Code],$A39,T_StockCount[WeekIndex],26),IF((COUNTIFS(T_SelfStock[RM_Code],$A39,T_SelfStock[WeekIndex],26)&gt;0)*(COUNTIFS(T_TTAFStock[RM_Code],$A39,T_TTAFStock[WeekIndex],26)&gt;0)&gt;0,SUMIFS(T_SelfStock[Self_Qty],T_SelfStock[RM_Code],$A39,T_SelfStock[WeekIndex],26)+SUMIFS(T_TTAFStock[TTAF_Qty],T_TTAFStock[RM_Code],$A39,T_TTAFStock[WeekIndex],26),Z39+'Grid_Incoming'!AA39-'Grid_Requirement'!AA39))</f>
        <v/>
      </c>
      <c r="AB39">
        <f>IF(COUNTIFS(T_StockCount[RM_Code],$A39,T_StockCount[WeekIndex],27)&gt;0,SUMIFS(T_StockCount[CountedQty],T_StockCount[RM_Code],$A39,T_StockCount[WeekIndex],27),IF((COUNTIFS(T_SelfStock[RM_Code],$A39,T_SelfStock[WeekIndex],27)&gt;0)*(COUNTIFS(T_TTAFStock[RM_Code],$A39,T_TTAFStock[WeekIndex],27)&gt;0)&gt;0,SUMIFS(T_SelfStock[Self_Qty],T_SelfStock[RM_Code],$A39,T_SelfStock[WeekIndex],27)+SUMIFS(T_TTAFStock[TTAF_Qty],T_TTAFStock[RM_Code],$A39,T_TTAFStock[WeekIndex],27),AA39+'Grid_Incoming'!AB39-'Grid_Requirement'!AB39))</f>
        <v/>
      </c>
      <c r="AC39">
        <f>IF(COUNTIFS(T_StockCount[RM_Code],$A39,T_StockCount[WeekIndex],28)&gt;0,SUMIFS(T_StockCount[CountedQty],T_StockCount[RM_Code],$A39,T_StockCount[WeekIndex],28),IF((COUNTIFS(T_SelfStock[RM_Code],$A39,T_SelfStock[WeekIndex],28)&gt;0)*(COUNTIFS(T_TTAFStock[RM_Code],$A39,T_TTAFStock[WeekIndex],28)&gt;0)&gt;0,SUMIFS(T_SelfStock[Self_Qty],T_SelfStock[RM_Code],$A39,T_SelfStock[WeekIndex],28)+SUMIFS(T_TTAFStock[TTAF_Qty],T_TTAFStock[RM_Code],$A39,T_TTAFStock[WeekIndex],28),AB39+'Grid_Incoming'!AC39-'Grid_Requirement'!AC39))</f>
        <v/>
      </c>
      <c r="AD39">
        <f>IF(COUNTIFS(T_StockCount[RM_Code],$A39,T_StockCount[WeekIndex],29)&gt;0,SUMIFS(T_StockCount[CountedQty],T_StockCount[RM_Code],$A39,T_StockCount[WeekIndex],29),IF((COUNTIFS(T_SelfStock[RM_Code],$A39,T_SelfStock[WeekIndex],29)&gt;0)*(COUNTIFS(T_TTAFStock[RM_Code],$A39,T_TTAFStock[WeekIndex],29)&gt;0)&gt;0,SUMIFS(T_SelfStock[Self_Qty],T_SelfStock[RM_Code],$A39,T_SelfStock[WeekIndex],29)+SUMIFS(T_TTAFStock[TTAF_Qty],T_TTAFStock[RM_Code],$A39,T_TTAFStock[WeekIndex],29),AC39+'Grid_Incoming'!AD39-'Grid_Requirement'!AD39))</f>
        <v/>
      </c>
      <c r="AE39">
        <f>IF(COUNTIFS(T_StockCount[RM_Code],$A39,T_StockCount[WeekIndex],30)&gt;0,SUMIFS(T_StockCount[CountedQty],T_StockCount[RM_Code],$A39,T_StockCount[WeekIndex],30),IF((COUNTIFS(T_SelfStock[RM_Code],$A39,T_SelfStock[WeekIndex],30)&gt;0)*(COUNTIFS(T_TTAFStock[RM_Code],$A39,T_TTAFStock[WeekIndex],30)&gt;0)&gt;0,SUMIFS(T_SelfStock[Self_Qty],T_SelfStock[RM_Code],$A39,T_SelfStock[WeekIndex],30)+SUMIFS(T_TTAFStock[TTAF_Qty],T_TTAFStock[RM_Code],$A39,T_TTAFStock[WeekIndex],30),AD39+'Grid_Incoming'!AE39-'Grid_Requirement'!AE39))</f>
        <v/>
      </c>
      <c r="AF39">
        <f>IF(COUNTIFS(T_StockCount[RM_Code],$A39,T_StockCount[WeekIndex],31)&gt;0,SUMIFS(T_StockCount[CountedQty],T_StockCount[RM_Code],$A39,T_StockCount[WeekIndex],31),IF((COUNTIFS(T_SelfStock[RM_Code],$A39,T_SelfStock[WeekIndex],31)&gt;0)*(COUNTIFS(T_TTAFStock[RM_Code],$A39,T_TTAFStock[WeekIndex],31)&gt;0)&gt;0,SUMIFS(T_SelfStock[Self_Qty],T_SelfStock[RM_Code],$A39,T_SelfStock[WeekIndex],31)+SUMIFS(T_TTAFStock[TTAF_Qty],T_TTAFStock[RM_Code],$A39,T_TTAFStock[WeekIndex],31),AE39+'Grid_Incoming'!AF39-'Grid_Requirement'!AF39))</f>
        <v/>
      </c>
      <c r="AG39">
        <f>IF(COUNTIFS(T_StockCount[RM_Code],$A39,T_StockCount[WeekIndex],32)&gt;0,SUMIFS(T_StockCount[CountedQty],T_StockCount[RM_Code],$A39,T_StockCount[WeekIndex],32),IF((COUNTIFS(T_SelfStock[RM_Code],$A39,T_SelfStock[WeekIndex],32)&gt;0)*(COUNTIFS(T_TTAFStock[RM_Code],$A39,T_TTAFStock[WeekIndex],32)&gt;0)&gt;0,SUMIFS(T_SelfStock[Self_Qty],T_SelfStock[RM_Code],$A39,T_SelfStock[WeekIndex],32)+SUMIFS(T_TTAFStock[TTAF_Qty],T_TTAFStock[RM_Code],$A39,T_TTAFStock[WeekIndex],32),AF39+'Grid_Incoming'!AG39-'Grid_Requirement'!AG39))</f>
        <v/>
      </c>
      <c r="AH39">
        <f>IF(COUNTIFS(T_StockCount[RM_Code],$A39,T_StockCount[WeekIndex],33)&gt;0,SUMIFS(T_StockCount[CountedQty],T_StockCount[RM_Code],$A39,T_StockCount[WeekIndex],33),IF((COUNTIFS(T_SelfStock[RM_Code],$A39,T_SelfStock[WeekIndex],33)&gt;0)*(COUNTIFS(T_TTAFStock[RM_Code],$A39,T_TTAFStock[WeekIndex],33)&gt;0)&gt;0,SUMIFS(T_SelfStock[Self_Qty],T_SelfStock[RM_Code],$A39,T_SelfStock[WeekIndex],33)+SUMIFS(T_TTAFStock[TTAF_Qty],T_TTAFStock[RM_Code],$A39,T_TTAFStock[WeekIndex],33),AG39+'Grid_Incoming'!AH39-'Grid_Requirement'!AH39))</f>
        <v/>
      </c>
      <c r="AI39">
        <f>IF(COUNTIFS(T_StockCount[RM_Code],$A39,T_StockCount[WeekIndex],34)&gt;0,SUMIFS(T_StockCount[CountedQty],T_StockCount[RM_Code],$A39,T_StockCount[WeekIndex],34),IF((COUNTIFS(T_SelfStock[RM_Code],$A39,T_SelfStock[WeekIndex],34)&gt;0)*(COUNTIFS(T_TTAFStock[RM_Code],$A39,T_TTAFStock[WeekIndex],34)&gt;0)&gt;0,SUMIFS(T_SelfStock[Self_Qty],T_SelfStock[RM_Code],$A39,T_SelfStock[WeekIndex],34)+SUMIFS(T_TTAFStock[TTAF_Qty],T_TTAFStock[RM_Code],$A39,T_TTAFStock[WeekIndex],34),AH39+'Grid_Incoming'!AI39-'Grid_Requirement'!AI39))</f>
        <v/>
      </c>
      <c r="AJ39">
        <f>IF(COUNTIFS(T_StockCount[RM_Code],$A39,T_StockCount[WeekIndex],35)&gt;0,SUMIFS(T_StockCount[CountedQty],T_StockCount[RM_Code],$A39,T_StockCount[WeekIndex],35),IF((COUNTIFS(T_SelfStock[RM_Code],$A39,T_SelfStock[WeekIndex],35)&gt;0)*(COUNTIFS(T_TTAFStock[RM_Code],$A39,T_TTAFStock[WeekIndex],35)&gt;0)&gt;0,SUMIFS(T_SelfStock[Self_Qty],T_SelfStock[RM_Code],$A39,T_SelfStock[WeekIndex],35)+SUMIFS(T_TTAFStock[TTAF_Qty],T_TTAFStock[RM_Code],$A39,T_TTAFStock[WeekIndex],35),AI39+'Grid_Incoming'!AJ39-'Grid_Requirement'!AJ39))</f>
        <v/>
      </c>
      <c r="AK39">
        <f>IF(COUNTIFS(T_StockCount[RM_Code],$A39,T_StockCount[WeekIndex],36)&gt;0,SUMIFS(T_StockCount[CountedQty],T_StockCount[RM_Code],$A39,T_StockCount[WeekIndex],36),IF((COUNTIFS(T_SelfStock[RM_Code],$A39,T_SelfStock[WeekIndex],36)&gt;0)*(COUNTIFS(T_TTAFStock[RM_Code],$A39,T_TTAFStock[WeekIndex],36)&gt;0)&gt;0,SUMIFS(T_SelfStock[Self_Qty],T_SelfStock[RM_Code],$A39,T_SelfStock[WeekIndex],36)+SUMIFS(T_TTAFStock[TTAF_Qty],T_TTAFStock[RM_Code],$A39,T_TTAFStock[WeekIndex],36),AJ39+'Grid_Incoming'!AK39-'Grid_Requirement'!AK39))</f>
        <v/>
      </c>
      <c r="AL39">
        <f>IF(COUNTIFS(T_StockCount[RM_Code],$A39,T_StockCount[WeekIndex],37)&gt;0,SUMIFS(T_StockCount[CountedQty],T_StockCount[RM_Code],$A39,T_StockCount[WeekIndex],37),IF((COUNTIFS(T_SelfStock[RM_Code],$A39,T_SelfStock[WeekIndex],37)&gt;0)*(COUNTIFS(T_TTAFStock[RM_Code],$A39,T_TTAFStock[WeekIndex],37)&gt;0)&gt;0,SUMIFS(T_SelfStock[Self_Qty],T_SelfStock[RM_Code],$A39,T_SelfStock[WeekIndex],37)+SUMIFS(T_TTAFStock[TTAF_Qty],T_TTAFStock[RM_Code],$A39,T_TTAFStock[WeekIndex],37),AK39+'Grid_Incoming'!AL39-'Grid_Requirement'!AL39))</f>
        <v/>
      </c>
      <c r="AM39">
        <f>IF(COUNTIFS(T_StockCount[RM_Code],$A39,T_StockCount[WeekIndex],38)&gt;0,SUMIFS(T_StockCount[CountedQty],T_StockCount[RM_Code],$A39,T_StockCount[WeekIndex],38),IF((COUNTIFS(T_SelfStock[RM_Code],$A39,T_SelfStock[WeekIndex],38)&gt;0)*(COUNTIFS(T_TTAFStock[RM_Code],$A39,T_TTAFStock[WeekIndex],38)&gt;0)&gt;0,SUMIFS(T_SelfStock[Self_Qty],T_SelfStock[RM_Code],$A39,T_SelfStock[WeekIndex],38)+SUMIFS(T_TTAFStock[TTAF_Qty],T_TTAFStock[RM_Code],$A39,T_TTAFStock[WeekIndex],38),AL39+'Grid_Incoming'!AM39-'Grid_Requirement'!AM39))</f>
        <v/>
      </c>
      <c r="AN39">
        <f>IF(COUNTIFS(T_StockCount[RM_Code],$A39,T_StockCount[WeekIndex],39)&gt;0,SUMIFS(T_StockCount[CountedQty],T_StockCount[RM_Code],$A39,T_StockCount[WeekIndex],39),IF((COUNTIFS(T_SelfStock[RM_Code],$A39,T_SelfStock[WeekIndex],39)&gt;0)*(COUNTIFS(T_TTAFStock[RM_Code],$A39,T_TTAFStock[WeekIndex],39)&gt;0)&gt;0,SUMIFS(T_SelfStock[Self_Qty],T_SelfStock[RM_Code],$A39,T_SelfStock[WeekIndex],39)+SUMIFS(T_TTAFStock[TTAF_Qty],T_TTAFStock[RM_Code],$A39,T_TTAFStock[WeekIndex],39),AM39+'Grid_Incoming'!AN39-'Grid_Requirement'!AN39))</f>
        <v/>
      </c>
      <c r="AO39">
        <f>IF(COUNTIFS(T_StockCount[RM_Code],$A39,T_StockCount[WeekIndex],40)&gt;0,SUMIFS(T_StockCount[CountedQty],T_StockCount[RM_Code],$A39,T_StockCount[WeekIndex],40),IF((COUNTIFS(T_SelfStock[RM_Code],$A39,T_SelfStock[WeekIndex],40)&gt;0)*(COUNTIFS(T_TTAFStock[RM_Code],$A39,T_TTAFStock[WeekIndex],40)&gt;0)&gt;0,SUMIFS(T_SelfStock[Self_Qty],T_SelfStock[RM_Code],$A39,T_SelfStock[WeekIndex],40)+SUMIFS(T_TTAFStock[TTAF_Qty],T_TTAFStock[RM_Code],$A39,T_TTAFStock[WeekIndex],40),AN39+'Grid_Incoming'!AO39-'Grid_Requirement'!AO39))</f>
        <v/>
      </c>
      <c r="AP39">
        <f>IF(COUNTIFS(T_StockCount[RM_Code],$A39,T_StockCount[WeekIndex],41)&gt;0,SUMIFS(T_StockCount[CountedQty],T_StockCount[RM_Code],$A39,T_StockCount[WeekIndex],41),IF((COUNTIFS(T_SelfStock[RM_Code],$A39,T_SelfStock[WeekIndex],41)&gt;0)*(COUNTIFS(T_TTAFStock[RM_Code],$A39,T_TTAFStock[WeekIndex],41)&gt;0)&gt;0,SUMIFS(T_SelfStock[Self_Qty],T_SelfStock[RM_Code],$A39,T_SelfStock[WeekIndex],41)+SUMIFS(T_TTAFStock[TTAF_Qty],T_TTAFStock[RM_Code],$A39,T_TTAFStock[WeekIndex],41),AO39+'Grid_Incoming'!AP39-'Grid_Requirement'!AP39))</f>
        <v/>
      </c>
      <c r="AQ39">
        <f>IF(COUNTIFS(T_StockCount[RM_Code],$A39,T_StockCount[WeekIndex],42)&gt;0,SUMIFS(T_StockCount[CountedQty],T_StockCount[RM_Code],$A39,T_StockCount[WeekIndex],42),IF((COUNTIFS(T_SelfStock[RM_Code],$A39,T_SelfStock[WeekIndex],42)&gt;0)*(COUNTIFS(T_TTAFStock[RM_Code],$A39,T_TTAFStock[WeekIndex],42)&gt;0)&gt;0,SUMIFS(T_SelfStock[Self_Qty],T_SelfStock[RM_Code],$A39,T_SelfStock[WeekIndex],42)+SUMIFS(T_TTAFStock[TTAF_Qty],T_TTAFStock[RM_Code],$A39,T_TTAFStock[WeekIndex],42),AP39+'Grid_Incoming'!AQ39-'Grid_Requirement'!AQ39))</f>
        <v/>
      </c>
      <c r="AR39">
        <f>IF(COUNTIFS(T_StockCount[RM_Code],$A39,T_StockCount[WeekIndex],43)&gt;0,SUMIFS(T_StockCount[CountedQty],T_StockCount[RM_Code],$A39,T_StockCount[WeekIndex],43),IF((COUNTIFS(T_SelfStock[RM_Code],$A39,T_SelfStock[WeekIndex],43)&gt;0)*(COUNTIFS(T_TTAFStock[RM_Code],$A39,T_TTAFStock[WeekIndex],43)&gt;0)&gt;0,SUMIFS(T_SelfStock[Self_Qty],T_SelfStock[RM_Code],$A39,T_SelfStock[WeekIndex],43)+SUMIFS(T_TTAFStock[TTAF_Qty],T_TTAFStock[RM_Code],$A39,T_TTAFStock[WeekIndex],43),AQ39+'Grid_Incoming'!AR39-'Grid_Requirement'!AR39))</f>
        <v/>
      </c>
      <c r="AS39">
        <f>IF(COUNTIFS(T_StockCount[RM_Code],$A39,T_StockCount[WeekIndex],44)&gt;0,SUMIFS(T_StockCount[CountedQty],T_StockCount[RM_Code],$A39,T_StockCount[WeekIndex],44),IF((COUNTIFS(T_SelfStock[RM_Code],$A39,T_SelfStock[WeekIndex],44)&gt;0)*(COUNTIFS(T_TTAFStock[RM_Code],$A39,T_TTAFStock[WeekIndex],44)&gt;0)&gt;0,SUMIFS(T_SelfStock[Self_Qty],T_SelfStock[RM_Code],$A39,T_SelfStock[WeekIndex],44)+SUMIFS(T_TTAFStock[TTAF_Qty],T_TTAFStock[RM_Code],$A39,T_TTAFStock[WeekIndex],44),AR39+'Grid_Incoming'!AS39-'Grid_Requirement'!AS39))</f>
        <v/>
      </c>
      <c r="AT39">
        <f>IF(COUNTIFS(T_StockCount[RM_Code],$A39,T_StockCount[WeekIndex],45)&gt;0,SUMIFS(T_StockCount[CountedQty],T_StockCount[RM_Code],$A39,T_StockCount[WeekIndex],45),IF((COUNTIFS(T_SelfStock[RM_Code],$A39,T_SelfStock[WeekIndex],45)&gt;0)*(COUNTIFS(T_TTAFStock[RM_Code],$A39,T_TTAFStock[WeekIndex],45)&gt;0)&gt;0,SUMIFS(T_SelfStock[Self_Qty],T_SelfStock[RM_Code],$A39,T_SelfStock[WeekIndex],45)+SUMIFS(T_TTAFStock[TTAF_Qty],T_TTAFStock[RM_Code],$A39,T_TTAFStock[WeekIndex],45),AS39+'Grid_Incoming'!AT39-'Grid_Requirement'!AT39))</f>
        <v/>
      </c>
      <c r="AU39">
        <f>IF(COUNTIFS(T_StockCount[RM_Code],$A39,T_StockCount[WeekIndex],46)&gt;0,SUMIFS(T_StockCount[CountedQty],T_StockCount[RM_Code],$A39,T_StockCount[WeekIndex],46),IF((COUNTIFS(T_SelfStock[RM_Code],$A39,T_SelfStock[WeekIndex],46)&gt;0)*(COUNTIFS(T_TTAFStock[RM_Code],$A39,T_TTAFStock[WeekIndex],46)&gt;0)&gt;0,SUMIFS(T_SelfStock[Self_Qty],T_SelfStock[RM_Code],$A39,T_SelfStock[WeekIndex],46)+SUMIFS(T_TTAFStock[TTAF_Qty],T_TTAFStock[RM_Code],$A39,T_TTAFStock[WeekIndex],46),AT39+'Grid_Incoming'!AU39-'Grid_Requirement'!AU39))</f>
        <v/>
      </c>
      <c r="AV39">
        <f>IF(COUNTIFS(T_StockCount[RM_Code],$A39,T_StockCount[WeekIndex],47)&gt;0,SUMIFS(T_StockCount[CountedQty],T_StockCount[RM_Code],$A39,T_StockCount[WeekIndex],47),IF((COUNTIFS(T_SelfStock[RM_Code],$A39,T_SelfStock[WeekIndex],47)&gt;0)*(COUNTIFS(T_TTAFStock[RM_Code],$A39,T_TTAFStock[WeekIndex],47)&gt;0)&gt;0,SUMIFS(T_SelfStock[Self_Qty],T_SelfStock[RM_Code],$A39,T_SelfStock[WeekIndex],47)+SUMIFS(T_TTAFStock[TTAF_Qty],T_TTAFStock[RM_Code],$A39,T_TTAFStock[WeekIndex],47),AU39+'Grid_Incoming'!AV39-'Grid_Requirement'!AV39))</f>
        <v/>
      </c>
      <c r="AW39">
        <f>IF(COUNTIFS(T_StockCount[RM_Code],$A39,T_StockCount[WeekIndex],48)&gt;0,SUMIFS(T_StockCount[CountedQty],T_StockCount[RM_Code],$A39,T_StockCount[WeekIndex],48),IF((COUNTIFS(T_SelfStock[RM_Code],$A39,T_SelfStock[WeekIndex],48)&gt;0)*(COUNTIFS(T_TTAFStock[RM_Code],$A39,T_TTAFStock[WeekIndex],48)&gt;0)&gt;0,SUMIFS(T_SelfStock[Self_Qty],T_SelfStock[RM_Code],$A39,T_SelfStock[WeekIndex],48)+SUMIFS(T_TTAFStock[TTAF_Qty],T_TTAFStock[RM_Code],$A39,T_TTAFStock[WeekIndex],48),AV39+'Grid_Incoming'!AW39-'Grid_Requirement'!AW39))</f>
        <v/>
      </c>
      <c r="AX39">
        <f>IF(COUNTIFS(T_StockCount[RM_Code],$A39,T_StockCount[WeekIndex],49)&gt;0,SUMIFS(T_StockCount[CountedQty],T_StockCount[RM_Code],$A39,T_StockCount[WeekIndex],49),IF((COUNTIFS(T_SelfStock[RM_Code],$A39,T_SelfStock[WeekIndex],49)&gt;0)*(COUNTIFS(T_TTAFStock[RM_Code],$A39,T_TTAFStock[WeekIndex],49)&gt;0)&gt;0,SUMIFS(T_SelfStock[Self_Qty],T_SelfStock[RM_Code],$A39,T_SelfStock[WeekIndex],49)+SUMIFS(T_TTAFStock[TTAF_Qty],T_TTAFStock[RM_Code],$A39,T_TTAFStock[WeekIndex],49),AW39+'Grid_Incoming'!AX39-'Grid_Requirement'!AX39))</f>
        <v/>
      </c>
      <c r="AY39">
        <f>IF(COUNTIFS(T_StockCount[RM_Code],$A39,T_StockCount[WeekIndex],50)&gt;0,SUMIFS(T_StockCount[CountedQty],T_StockCount[RM_Code],$A39,T_StockCount[WeekIndex],50),IF((COUNTIFS(T_SelfStock[RM_Code],$A39,T_SelfStock[WeekIndex],50)&gt;0)*(COUNTIFS(T_TTAFStock[RM_Code],$A39,T_TTAFStock[WeekIndex],50)&gt;0)&gt;0,SUMIFS(T_SelfStock[Self_Qty],T_SelfStock[RM_Code],$A39,T_SelfStock[WeekIndex],50)+SUMIFS(T_TTAFStock[TTAF_Qty],T_TTAFStock[RM_Code],$A39,T_TTAFStock[WeekIndex],50),AX39+'Grid_Incoming'!AY39-'Grid_Requirement'!AY39))</f>
        <v/>
      </c>
      <c r="AZ39">
        <f>IF(COUNTIFS(T_StockCount[RM_Code],$A39,T_StockCount[WeekIndex],51)&gt;0,SUMIFS(T_StockCount[CountedQty],T_StockCount[RM_Code],$A39,T_StockCount[WeekIndex],51),IF((COUNTIFS(T_SelfStock[RM_Code],$A39,T_SelfStock[WeekIndex],51)&gt;0)*(COUNTIFS(T_TTAFStock[RM_Code],$A39,T_TTAFStock[WeekIndex],51)&gt;0)&gt;0,SUMIFS(T_SelfStock[Self_Qty],T_SelfStock[RM_Code],$A39,T_SelfStock[WeekIndex],51)+SUMIFS(T_TTAFStock[TTAF_Qty],T_TTAFStock[RM_Code],$A39,T_TTAFStock[WeekIndex],51),AY39+'Grid_Incoming'!AZ39-'Grid_Requirement'!AZ39))</f>
        <v/>
      </c>
      <c r="BA39">
        <f>IF(COUNTIFS(T_StockCount[RM_Code],$A39,T_StockCount[WeekIndex],52)&gt;0,SUMIFS(T_StockCount[CountedQty],T_StockCount[RM_Code],$A39,T_StockCount[WeekIndex],52),IF((COUNTIFS(T_SelfStock[RM_Code],$A39,T_SelfStock[WeekIndex],52)&gt;0)*(COUNTIFS(T_TTAFStock[RM_Code],$A39,T_TTAFStock[WeekIndex],52)&gt;0)&gt;0,SUMIFS(T_SelfStock[Self_Qty],T_SelfStock[RM_Code],$A39,T_SelfStock[WeekIndex],52)+SUMIFS(T_TTAFStock[TTAF_Qty],T_TTAFStock[RM_Code],$A39,T_TTAFStock[WeekIndex],52),AZ39+'Grid_Incoming'!BA39-'Grid_Requirement'!BA39))</f>
        <v/>
      </c>
      <c r="BB39">
        <f>IF(COUNTIFS(T_StockCount[RM_Code],$A39,T_StockCount[WeekIndex],53)&gt;0,SUMIFS(T_StockCount[CountedQty],T_StockCount[RM_Code],$A39,T_StockCount[WeekIndex],53),IF((COUNTIFS(T_SelfStock[RM_Code],$A39,T_SelfStock[WeekIndex],53)&gt;0)*(COUNTIFS(T_TTAFStock[RM_Code],$A39,T_TTAFStock[WeekIndex],53)&gt;0)&gt;0,SUMIFS(T_SelfStock[Self_Qty],T_SelfStock[RM_Code],$A39,T_SelfStock[WeekIndex],53)+SUMIFS(T_TTAFStock[TTAF_Qty],T_TTAFStock[RM_Code],$A39,T_TTAFStock[WeekIndex],53),BA39+'Grid_Incoming'!BB39-'Grid_Requirement'!BB39))</f>
        <v/>
      </c>
      <c r="BC39">
        <f>IF(COUNTIFS(T_StockCount[RM_Code],$A39,T_StockCount[WeekIndex],54)&gt;0,SUMIFS(T_StockCount[CountedQty],T_StockCount[RM_Code],$A39,T_StockCount[WeekIndex],54),IF((COUNTIFS(T_SelfStock[RM_Code],$A39,T_SelfStock[WeekIndex],54)&gt;0)*(COUNTIFS(T_TTAFStock[RM_Code],$A39,T_TTAFStock[WeekIndex],54)&gt;0)&gt;0,SUMIFS(T_SelfStock[Self_Qty],T_SelfStock[RM_Code],$A39,T_SelfStock[WeekIndex],54)+SUMIFS(T_TTAFStock[TTAF_Qty],T_TTAFStock[RM_Code],$A39,T_TTAFStock[WeekIndex],54),BB39+'Grid_Incoming'!BC39-'Grid_Requirement'!BC39))</f>
        <v/>
      </c>
      <c r="BD39">
        <f>IF(COUNTIFS(T_StockCount[RM_Code],$A39,T_StockCount[WeekIndex],55)&gt;0,SUMIFS(T_StockCount[CountedQty],T_StockCount[RM_Code],$A39,T_StockCount[WeekIndex],55),IF((COUNTIFS(T_SelfStock[RM_Code],$A39,T_SelfStock[WeekIndex],55)&gt;0)*(COUNTIFS(T_TTAFStock[RM_Code],$A39,T_TTAFStock[WeekIndex],55)&gt;0)&gt;0,SUMIFS(T_SelfStock[Self_Qty],T_SelfStock[RM_Code],$A39,T_SelfStock[WeekIndex],55)+SUMIFS(T_TTAFStock[TTAF_Qty],T_TTAFStock[RM_Code],$A39,T_TTAFStock[WeekIndex],55),BC39+'Grid_Incoming'!BD39-'Grid_Requirement'!BD39))</f>
        <v/>
      </c>
      <c r="BE39">
        <f>IF(COUNTIFS(T_StockCount[RM_Code],$A39,T_StockCount[WeekIndex],56)&gt;0,SUMIFS(T_StockCount[CountedQty],T_StockCount[RM_Code],$A39,T_StockCount[WeekIndex],56),IF((COUNTIFS(T_SelfStock[RM_Code],$A39,T_SelfStock[WeekIndex],56)&gt;0)*(COUNTIFS(T_TTAFStock[RM_Code],$A39,T_TTAFStock[WeekIndex],56)&gt;0)&gt;0,SUMIFS(T_SelfStock[Self_Qty],T_SelfStock[RM_Code],$A39,T_SelfStock[WeekIndex],56)+SUMIFS(T_TTAFStock[TTAF_Qty],T_TTAFStock[RM_Code],$A39,T_TTAFStock[WeekIndex],56),BD39+'Grid_Incoming'!BE39-'Grid_Requirement'!BE39))</f>
        <v/>
      </c>
      <c r="BF39">
        <f>IF(COUNTIFS(T_StockCount[RM_Code],$A39,T_StockCount[WeekIndex],57)&gt;0,SUMIFS(T_StockCount[CountedQty],T_StockCount[RM_Code],$A39,T_StockCount[WeekIndex],57),IF((COUNTIFS(T_SelfStock[RM_Code],$A39,T_SelfStock[WeekIndex],57)&gt;0)*(COUNTIFS(T_TTAFStock[RM_Code],$A39,T_TTAFStock[WeekIndex],57)&gt;0)&gt;0,SUMIFS(T_SelfStock[Self_Qty],T_SelfStock[RM_Code],$A39,T_SelfStock[WeekIndex],57)+SUMIFS(T_TTAFStock[TTAF_Qty],T_TTAFStock[RM_Code],$A39,T_TTAFStock[WeekIndex],57),BE39+'Grid_Incoming'!BF39-'Grid_Requirement'!BF39))</f>
        <v/>
      </c>
      <c r="BG39">
        <f>IF(COUNTIFS(T_StockCount[RM_Code],$A39,T_StockCount[WeekIndex],58)&gt;0,SUMIFS(T_StockCount[CountedQty],T_StockCount[RM_Code],$A39,T_StockCount[WeekIndex],58),IF((COUNTIFS(T_SelfStock[RM_Code],$A39,T_SelfStock[WeekIndex],58)&gt;0)*(COUNTIFS(T_TTAFStock[RM_Code],$A39,T_TTAFStock[WeekIndex],58)&gt;0)&gt;0,SUMIFS(T_SelfStock[Self_Qty],T_SelfStock[RM_Code],$A39,T_SelfStock[WeekIndex],58)+SUMIFS(T_TTAFStock[TTAF_Qty],T_TTAFStock[RM_Code],$A39,T_TTAFStock[WeekIndex],58),BF39+'Grid_Incoming'!BG39-'Grid_Requirement'!BG39))</f>
        <v/>
      </c>
      <c r="BH39">
        <f>IF(COUNTIFS(T_StockCount[RM_Code],$A39,T_StockCount[WeekIndex],59)&gt;0,SUMIFS(T_StockCount[CountedQty],T_StockCount[RM_Code],$A39,T_StockCount[WeekIndex],59),IF((COUNTIFS(T_SelfStock[RM_Code],$A39,T_SelfStock[WeekIndex],59)&gt;0)*(COUNTIFS(T_TTAFStock[RM_Code],$A39,T_TTAFStock[WeekIndex],59)&gt;0)&gt;0,SUMIFS(T_SelfStock[Self_Qty],T_SelfStock[RM_Code],$A39,T_SelfStock[WeekIndex],59)+SUMIFS(T_TTAFStock[TTAF_Qty],T_TTAFStock[RM_Code],$A39,T_TTAFStock[WeekIndex],59),BG39+'Grid_Incoming'!BH39-'Grid_Requirement'!BH39))</f>
        <v/>
      </c>
      <c r="BI39">
        <f>IF(COUNTIFS(T_StockCount[RM_Code],$A39,T_StockCount[WeekIndex],60)&gt;0,SUMIFS(T_StockCount[CountedQty],T_StockCount[RM_Code],$A39,T_StockCount[WeekIndex],60),IF((COUNTIFS(T_SelfStock[RM_Code],$A39,T_SelfStock[WeekIndex],60)&gt;0)*(COUNTIFS(T_TTAFStock[RM_Code],$A39,T_TTAFStock[WeekIndex],60)&gt;0)&gt;0,SUMIFS(T_SelfStock[Self_Qty],T_SelfStock[RM_Code],$A39,T_SelfStock[WeekIndex],60)+SUMIFS(T_TTAFStock[TTAF_Qty],T_TTAFStock[RM_Code],$A39,T_TTAFStock[WeekIndex],60),BH39+'Grid_Incoming'!BI39-'Grid_Requirement'!BI39))</f>
        <v/>
      </c>
      <c r="BJ39">
        <f>IF(COUNTIFS(T_StockCount[RM_Code],$A39,T_StockCount[WeekIndex],61)&gt;0,SUMIFS(T_StockCount[CountedQty],T_StockCount[RM_Code],$A39,T_StockCount[WeekIndex],61),IF((COUNTIFS(T_SelfStock[RM_Code],$A39,T_SelfStock[WeekIndex],61)&gt;0)*(COUNTIFS(T_TTAFStock[RM_Code],$A39,T_TTAFStock[WeekIndex],61)&gt;0)&gt;0,SUMIFS(T_SelfStock[Self_Qty],T_SelfStock[RM_Code],$A39,T_SelfStock[WeekIndex],61)+SUMIFS(T_TTAFStock[TTAF_Qty],T_TTAFStock[RM_Code],$A39,T_TTAFStock[WeekIndex],61),BI39+'Grid_Incoming'!BJ39-'Grid_Requirement'!BJ39))</f>
        <v/>
      </c>
      <c r="BK39">
        <f>IF(COUNTIFS(T_StockCount[RM_Code],$A39,T_StockCount[WeekIndex],62)&gt;0,SUMIFS(T_StockCount[CountedQty],T_StockCount[RM_Code],$A39,T_StockCount[WeekIndex],62),IF((COUNTIFS(T_SelfStock[RM_Code],$A39,T_SelfStock[WeekIndex],62)&gt;0)*(COUNTIFS(T_TTAFStock[RM_Code],$A39,T_TTAFStock[WeekIndex],62)&gt;0)&gt;0,SUMIFS(T_SelfStock[Self_Qty],T_SelfStock[RM_Code],$A39,T_SelfStock[WeekIndex],62)+SUMIFS(T_TTAFStock[TTAF_Qty],T_TTAFStock[RM_Code],$A39,T_TTAFStock[WeekIndex],62),BJ39+'Grid_Incoming'!BK39-'Grid_Requirement'!BK39))</f>
        <v/>
      </c>
      <c r="BL39">
        <f>IF(COUNTIFS(T_StockCount[RM_Code],$A39,T_StockCount[WeekIndex],63)&gt;0,SUMIFS(T_StockCount[CountedQty],T_StockCount[RM_Code],$A39,T_StockCount[WeekIndex],63),IF((COUNTIFS(T_SelfStock[RM_Code],$A39,T_SelfStock[WeekIndex],63)&gt;0)*(COUNTIFS(T_TTAFStock[RM_Code],$A39,T_TTAFStock[WeekIndex],63)&gt;0)&gt;0,SUMIFS(T_SelfStock[Self_Qty],T_SelfStock[RM_Code],$A39,T_SelfStock[WeekIndex],63)+SUMIFS(T_TTAFStock[TTAF_Qty],T_TTAFStock[RM_Code],$A39,T_TTAFStock[WeekIndex],63),BK39+'Grid_Incoming'!BL39-'Grid_Requirement'!BL39))</f>
        <v/>
      </c>
      <c r="BM39">
        <f>IF(COUNTIFS(T_StockCount[RM_Code],$A39,T_StockCount[WeekIndex],64)&gt;0,SUMIFS(T_StockCount[CountedQty],T_StockCount[RM_Code],$A39,T_StockCount[WeekIndex],64),IF((COUNTIFS(T_SelfStock[RM_Code],$A39,T_SelfStock[WeekIndex],64)&gt;0)*(COUNTIFS(T_TTAFStock[RM_Code],$A39,T_TTAFStock[WeekIndex],64)&gt;0)&gt;0,SUMIFS(T_SelfStock[Self_Qty],T_SelfStock[RM_Code],$A39,T_SelfStock[WeekIndex],64)+SUMIFS(T_TTAFStock[TTAF_Qty],T_TTAFStock[RM_Code],$A39,T_TTAFStock[WeekIndex],64),BL39+'Grid_Incoming'!BM39-'Grid_Requirement'!BM39))</f>
        <v/>
      </c>
      <c r="BN39">
        <f>IF(COUNTIFS(T_StockCount[RM_Code],$A39,T_StockCount[WeekIndex],65)&gt;0,SUMIFS(T_StockCount[CountedQty],T_StockCount[RM_Code],$A39,T_StockCount[WeekIndex],65),IF((COUNTIFS(T_SelfStock[RM_Code],$A39,T_SelfStock[WeekIndex],65)&gt;0)*(COUNTIFS(T_TTAFStock[RM_Code],$A39,T_TTAFStock[WeekIndex],65)&gt;0)&gt;0,SUMIFS(T_SelfStock[Self_Qty],T_SelfStock[RM_Code],$A39,T_SelfStock[WeekIndex],65)+SUMIFS(T_TTAFStock[TTAF_Qty],T_TTAFStock[RM_Code],$A39,T_TTAFStock[WeekIndex],65),BM39+'Grid_Incoming'!BN39-'Grid_Requirement'!BN39))</f>
        <v/>
      </c>
      <c r="BO39">
        <f>IF(COUNTIFS(T_StockCount[RM_Code],$A39,T_StockCount[WeekIndex],66)&gt;0,SUMIFS(T_StockCount[CountedQty],T_StockCount[RM_Code],$A39,T_StockCount[WeekIndex],66),IF((COUNTIFS(T_SelfStock[RM_Code],$A39,T_SelfStock[WeekIndex],66)&gt;0)*(COUNTIFS(T_TTAFStock[RM_Code],$A39,T_TTAFStock[WeekIndex],66)&gt;0)&gt;0,SUMIFS(T_SelfStock[Self_Qty],T_SelfStock[RM_Code],$A39,T_SelfStock[WeekIndex],66)+SUMIFS(T_TTAFStock[TTAF_Qty],T_TTAFStock[RM_Code],$A39,T_TTAFStock[WeekIndex],66),BN39+'Grid_Incoming'!BO39-'Grid_Requirement'!BO39))</f>
        <v/>
      </c>
      <c r="BP39">
        <f>IF(COUNTIFS(T_StockCount[RM_Code],$A39,T_StockCount[WeekIndex],67)&gt;0,SUMIFS(T_StockCount[CountedQty],T_StockCount[RM_Code],$A39,T_StockCount[WeekIndex],67),IF((COUNTIFS(T_SelfStock[RM_Code],$A39,T_SelfStock[WeekIndex],67)&gt;0)*(COUNTIFS(T_TTAFStock[RM_Code],$A39,T_TTAFStock[WeekIndex],67)&gt;0)&gt;0,SUMIFS(T_SelfStock[Self_Qty],T_SelfStock[RM_Code],$A39,T_SelfStock[WeekIndex],67)+SUMIFS(T_TTAFStock[TTAF_Qty],T_TTAFStock[RM_Code],$A39,T_TTAFStock[WeekIndex],67),BO39+'Grid_Incoming'!BP39-'Grid_Requirement'!BP39))</f>
        <v/>
      </c>
      <c r="BQ39">
        <f>IF(COUNTIFS(T_StockCount[RM_Code],$A39,T_StockCount[WeekIndex],68)&gt;0,SUMIFS(T_StockCount[CountedQty],T_StockCount[RM_Code],$A39,T_StockCount[WeekIndex],68),IF((COUNTIFS(T_SelfStock[RM_Code],$A39,T_SelfStock[WeekIndex],68)&gt;0)*(COUNTIFS(T_TTAFStock[RM_Code],$A39,T_TTAFStock[WeekIndex],68)&gt;0)&gt;0,SUMIFS(T_SelfStock[Self_Qty],T_SelfStock[RM_Code],$A39,T_SelfStock[WeekIndex],68)+SUMIFS(T_TTAFStock[TTAF_Qty],T_TTAFStock[RM_Code],$A39,T_TTAFStock[WeekIndex],68),BP39+'Grid_Incoming'!BQ39-'Grid_Requirement'!BQ39))</f>
        <v/>
      </c>
      <c r="BR39">
        <f>IF(COUNTIFS(T_StockCount[RM_Code],$A39,T_StockCount[WeekIndex],69)&gt;0,SUMIFS(T_StockCount[CountedQty],T_StockCount[RM_Code],$A39,T_StockCount[WeekIndex],69),IF((COUNTIFS(T_SelfStock[RM_Code],$A39,T_SelfStock[WeekIndex],69)&gt;0)*(COUNTIFS(T_TTAFStock[RM_Code],$A39,T_TTAFStock[WeekIndex],69)&gt;0)&gt;0,SUMIFS(T_SelfStock[Self_Qty],T_SelfStock[RM_Code],$A39,T_SelfStock[WeekIndex],69)+SUMIFS(T_TTAFStock[TTAF_Qty],T_TTAFStock[RM_Code],$A39,T_TTAFStock[WeekIndex],69),BQ39+'Grid_Incoming'!BR39-'Grid_Requirement'!BR39))</f>
        <v/>
      </c>
      <c r="BS39">
        <f>IF(COUNTIFS(T_StockCount[RM_Code],$A39,T_StockCount[WeekIndex],70)&gt;0,SUMIFS(T_StockCount[CountedQty],T_StockCount[RM_Code],$A39,T_StockCount[WeekIndex],70),IF((COUNTIFS(T_SelfStock[RM_Code],$A39,T_SelfStock[WeekIndex],70)&gt;0)*(COUNTIFS(T_TTAFStock[RM_Code],$A39,T_TTAFStock[WeekIndex],70)&gt;0)&gt;0,SUMIFS(T_SelfStock[Self_Qty],T_SelfStock[RM_Code],$A39,T_SelfStock[WeekIndex],70)+SUMIFS(T_TTAFStock[TTAF_Qty],T_TTAFStock[RM_Code],$A39,T_TTAFStock[WeekIndex],70),BR39+'Grid_Incoming'!BS39-'Grid_Requirement'!BS39))</f>
        <v/>
      </c>
      <c r="BT39">
        <f>IF(COUNTIFS(T_StockCount[RM_Code],$A39,T_StockCount[WeekIndex],71)&gt;0,SUMIFS(T_StockCount[CountedQty],T_StockCount[RM_Code],$A39,T_StockCount[WeekIndex],71),IF((COUNTIFS(T_SelfStock[RM_Code],$A39,T_SelfStock[WeekIndex],71)&gt;0)*(COUNTIFS(T_TTAFStock[RM_Code],$A39,T_TTAFStock[WeekIndex],71)&gt;0)&gt;0,SUMIFS(T_SelfStock[Self_Qty],T_SelfStock[RM_Code],$A39,T_SelfStock[WeekIndex],71)+SUMIFS(T_TTAFStock[TTAF_Qty],T_TTAFStock[RM_Code],$A39,T_TTAFStock[WeekIndex],71),BS39+'Grid_Incoming'!BT39-'Grid_Requirement'!BT39))</f>
        <v/>
      </c>
      <c r="BU39">
        <f>IF(COUNTIFS(T_StockCount[RM_Code],$A39,T_StockCount[WeekIndex],72)&gt;0,SUMIFS(T_StockCount[CountedQty],T_StockCount[RM_Code],$A39,T_StockCount[WeekIndex],72),IF((COUNTIFS(T_SelfStock[RM_Code],$A39,T_SelfStock[WeekIndex],72)&gt;0)*(COUNTIFS(T_TTAFStock[RM_Code],$A39,T_TTAFStock[WeekIndex],72)&gt;0)&gt;0,SUMIFS(T_SelfStock[Self_Qty],T_SelfStock[RM_Code],$A39,T_SelfStock[WeekIndex],72)+SUMIFS(T_TTAFStock[TTAF_Qty],T_TTAFStock[RM_Code],$A39,T_TTAFStock[WeekIndex],72),BT39+'Grid_Incoming'!BU39-'Grid_Requirement'!BU39))</f>
        <v/>
      </c>
      <c r="BV39">
        <f>IF(COUNTIFS(T_StockCount[RM_Code],$A39,T_StockCount[WeekIndex],73)&gt;0,SUMIFS(T_StockCount[CountedQty],T_StockCount[RM_Code],$A39,T_StockCount[WeekIndex],73),IF((COUNTIFS(T_SelfStock[RM_Code],$A39,T_SelfStock[WeekIndex],73)&gt;0)*(COUNTIFS(T_TTAFStock[RM_Code],$A39,T_TTAFStock[WeekIndex],73)&gt;0)&gt;0,SUMIFS(T_SelfStock[Self_Qty],T_SelfStock[RM_Code],$A39,T_SelfStock[WeekIndex],73)+SUMIFS(T_TTAFStock[TTAF_Qty],T_TTAFStock[RM_Code],$A39,T_TTAFStock[WeekIndex],73),BU39+'Grid_Incoming'!BV39-'Grid_Requirement'!BV39))</f>
        <v/>
      </c>
      <c r="BW39">
        <f>IF(COUNTIFS(T_StockCount[RM_Code],$A39,T_StockCount[WeekIndex],74)&gt;0,SUMIFS(T_StockCount[CountedQty],T_StockCount[RM_Code],$A39,T_StockCount[WeekIndex],74),IF((COUNTIFS(T_SelfStock[RM_Code],$A39,T_SelfStock[WeekIndex],74)&gt;0)*(COUNTIFS(T_TTAFStock[RM_Code],$A39,T_TTAFStock[WeekIndex],74)&gt;0)&gt;0,SUMIFS(T_SelfStock[Self_Qty],T_SelfStock[RM_Code],$A39,T_SelfStock[WeekIndex],74)+SUMIFS(T_TTAFStock[TTAF_Qty],T_TTAFStock[RM_Code],$A39,T_TTAFStock[WeekIndex],74),BV39+'Grid_Incoming'!BW39-'Grid_Requirement'!BW39))</f>
        <v/>
      </c>
      <c r="BX39">
        <f>IF(COUNTIFS(T_StockCount[RM_Code],$A39,T_StockCount[WeekIndex],75)&gt;0,SUMIFS(T_StockCount[CountedQty],T_StockCount[RM_Code],$A39,T_StockCount[WeekIndex],75),IF((COUNTIFS(T_SelfStock[RM_Code],$A39,T_SelfStock[WeekIndex],75)&gt;0)*(COUNTIFS(T_TTAFStock[RM_Code],$A39,T_TTAFStock[WeekIndex],75)&gt;0)&gt;0,SUMIFS(T_SelfStock[Self_Qty],T_SelfStock[RM_Code],$A39,T_SelfStock[WeekIndex],75)+SUMIFS(T_TTAFStock[TTAF_Qty],T_TTAFStock[RM_Code],$A39,T_TTAFStock[WeekIndex],75),BW39+'Grid_Incoming'!BX39-'Grid_Requirement'!BX39))</f>
        <v/>
      </c>
      <c r="BY39">
        <f>IF(COUNTIFS(T_StockCount[RM_Code],$A39,T_StockCount[WeekIndex],76)&gt;0,SUMIFS(T_StockCount[CountedQty],T_StockCount[RM_Code],$A39,T_StockCount[WeekIndex],76),IF((COUNTIFS(T_SelfStock[RM_Code],$A39,T_SelfStock[WeekIndex],76)&gt;0)*(COUNTIFS(T_TTAFStock[RM_Code],$A39,T_TTAFStock[WeekIndex],76)&gt;0)&gt;0,SUMIFS(T_SelfStock[Self_Qty],T_SelfStock[RM_Code],$A39,T_SelfStock[WeekIndex],76)+SUMIFS(T_TTAFStock[TTAF_Qty],T_TTAFStock[RM_Code],$A39,T_TTAFStock[WeekIndex],76),BX39+'Grid_Incoming'!BY39-'Grid_Requirement'!BY39))</f>
        <v/>
      </c>
      <c r="BZ39">
        <f>IF(COUNTIFS(T_StockCount[RM_Code],$A39,T_StockCount[WeekIndex],77)&gt;0,SUMIFS(T_StockCount[CountedQty],T_StockCount[RM_Code],$A39,T_StockCount[WeekIndex],77),IF((COUNTIFS(T_SelfStock[RM_Code],$A39,T_SelfStock[WeekIndex],77)&gt;0)*(COUNTIFS(T_TTAFStock[RM_Code],$A39,T_TTAFStock[WeekIndex],77)&gt;0)&gt;0,SUMIFS(T_SelfStock[Self_Qty],T_SelfStock[RM_Code],$A39,T_SelfStock[WeekIndex],77)+SUMIFS(T_TTAFStock[TTAF_Qty],T_TTAFStock[RM_Code],$A39,T_TTAFStock[WeekIndex],77),BY39+'Grid_Incoming'!BZ39-'Grid_Requirement'!BZ39))</f>
        <v/>
      </c>
      <c r="CA39">
        <f>IF(COUNTIFS(T_StockCount[RM_Code],$A39,T_StockCount[WeekIndex],78)&gt;0,SUMIFS(T_StockCount[CountedQty],T_StockCount[RM_Code],$A39,T_StockCount[WeekIndex],78),IF((COUNTIFS(T_SelfStock[RM_Code],$A39,T_SelfStock[WeekIndex],78)&gt;0)*(COUNTIFS(T_TTAFStock[RM_Code],$A39,T_TTAFStock[WeekIndex],78)&gt;0)&gt;0,SUMIFS(T_SelfStock[Self_Qty],T_SelfStock[RM_Code],$A39,T_SelfStock[WeekIndex],78)+SUMIFS(T_TTAFStock[TTAF_Qty],T_TTAFStock[RM_Code],$A39,T_TTAFStock[WeekIndex],78),BZ39+'Grid_Incoming'!CA39-'Grid_Requirement'!CA39))</f>
        <v/>
      </c>
      <c r="CB39">
        <f>IF(COUNTIFS(T_StockCount[RM_Code],$A39,T_StockCount[WeekIndex],79)&gt;0,SUMIFS(T_StockCount[CountedQty],T_StockCount[RM_Code],$A39,T_StockCount[WeekIndex],79),IF((COUNTIFS(T_SelfStock[RM_Code],$A39,T_SelfStock[WeekIndex],79)&gt;0)*(COUNTIFS(T_TTAFStock[RM_Code],$A39,T_TTAFStock[WeekIndex],79)&gt;0)&gt;0,SUMIFS(T_SelfStock[Self_Qty],T_SelfStock[RM_Code],$A39,T_SelfStock[WeekIndex],79)+SUMIFS(T_TTAFStock[TTAF_Qty],T_TTAFStock[RM_Code],$A39,T_TTAFStock[WeekIndex],79),CA39+'Grid_Incoming'!CB39-'Grid_Requirement'!CB39))</f>
        <v/>
      </c>
      <c r="CC39">
        <f>IF(COUNTIFS(T_StockCount[RM_Code],$A39,T_StockCount[WeekIndex],80)&gt;0,SUMIFS(T_StockCount[CountedQty],T_StockCount[RM_Code],$A39,T_StockCount[WeekIndex],80),IF((COUNTIFS(T_SelfStock[RM_Code],$A39,T_SelfStock[WeekIndex],80)&gt;0)*(COUNTIFS(T_TTAFStock[RM_Code],$A39,T_TTAFStock[WeekIndex],80)&gt;0)&gt;0,SUMIFS(T_SelfStock[Self_Qty],T_SelfStock[RM_Code],$A39,T_SelfStock[WeekIndex],80)+SUMIFS(T_TTAFStock[TTAF_Qty],T_TTAFStock[RM_Code],$A39,T_TTAFStock[WeekIndex],80),CB39+'Grid_Incoming'!CC39-'Grid_Requirement'!CC39))</f>
        <v/>
      </c>
      <c r="CD39">
        <f>IF(COUNTIFS(T_StockCount[RM_Code],$A39,T_StockCount[WeekIndex],81)&gt;0,SUMIFS(T_StockCount[CountedQty],T_StockCount[RM_Code],$A39,T_StockCount[WeekIndex],81),IF((COUNTIFS(T_SelfStock[RM_Code],$A39,T_SelfStock[WeekIndex],81)&gt;0)*(COUNTIFS(T_TTAFStock[RM_Code],$A39,T_TTAFStock[WeekIndex],81)&gt;0)&gt;0,SUMIFS(T_SelfStock[Self_Qty],T_SelfStock[RM_Code],$A39,T_SelfStock[WeekIndex],81)+SUMIFS(T_TTAFStock[TTAF_Qty],T_TTAFStock[RM_Code],$A39,T_TTAFStock[WeekIndex],81),CC39+'Grid_Incoming'!CD39-'Grid_Requirement'!CD39))</f>
        <v/>
      </c>
      <c r="CE39">
        <f>IF(COUNTIFS(T_StockCount[RM_Code],$A39,T_StockCount[WeekIndex],82)&gt;0,SUMIFS(T_StockCount[CountedQty],T_StockCount[RM_Code],$A39,T_StockCount[WeekIndex],82),IF((COUNTIFS(T_SelfStock[RM_Code],$A39,T_SelfStock[WeekIndex],82)&gt;0)*(COUNTIFS(T_TTAFStock[RM_Code],$A39,T_TTAFStock[WeekIndex],82)&gt;0)&gt;0,SUMIFS(T_SelfStock[Self_Qty],T_SelfStock[RM_Code],$A39,T_SelfStock[WeekIndex],82)+SUMIFS(T_TTAFStock[TTAF_Qty],T_TTAFStock[RM_Code],$A39,T_TTAFStock[WeekIndex],82),CD39+'Grid_Incoming'!CE39-'Grid_Requirement'!CE39))</f>
        <v/>
      </c>
      <c r="CF39">
        <f>IF(COUNTIFS(T_StockCount[RM_Code],$A39,T_StockCount[WeekIndex],83)&gt;0,SUMIFS(T_StockCount[CountedQty],T_StockCount[RM_Code],$A39,T_StockCount[WeekIndex],83),IF((COUNTIFS(T_SelfStock[RM_Code],$A39,T_SelfStock[WeekIndex],83)&gt;0)*(COUNTIFS(T_TTAFStock[RM_Code],$A39,T_TTAFStock[WeekIndex],83)&gt;0)&gt;0,SUMIFS(T_SelfStock[Self_Qty],T_SelfStock[RM_Code],$A39,T_SelfStock[WeekIndex],83)+SUMIFS(T_TTAFStock[TTAF_Qty],T_TTAFStock[RM_Code],$A39,T_TTAFStock[WeekIndex],83),CE39+'Grid_Incoming'!CF39-'Grid_Requirement'!CF39))</f>
        <v/>
      </c>
      <c r="CG39">
        <f>IF(COUNTIFS(T_StockCount[RM_Code],$A39,T_StockCount[WeekIndex],84)&gt;0,SUMIFS(T_StockCount[CountedQty],T_StockCount[RM_Code],$A39,T_StockCount[WeekIndex],84),IF((COUNTIFS(T_SelfStock[RM_Code],$A39,T_SelfStock[WeekIndex],84)&gt;0)*(COUNTIFS(T_TTAFStock[RM_Code],$A39,T_TTAFStock[WeekIndex],84)&gt;0)&gt;0,SUMIFS(T_SelfStock[Self_Qty],T_SelfStock[RM_Code],$A39,T_SelfStock[WeekIndex],84)+SUMIFS(T_TTAFStock[TTAF_Qty],T_TTAFStock[RM_Code],$A39,T_TTAFStock[WeekIndex],84),CF39+'Grid_Incoming'!CG39-'Grid_Requirement'!CG39))</f>
        <v/>
      </c>
      <c r="CH39">
        <f>IF(COUNTIFS(T_StockCount[RM_Code],$A39,T_StockCount[WeekIndex],85)&gt;0,SUMIFS(T_StockCount[CountedQty],T_StockCount[RM_Code],$A39,T_StockCount[WeekIndex],85),IF((COUNTIFS(T_SelfStock[RM_Code],$A39,T_SelfStock[WeekIndex],85)&gt;0)*(COUNTIFS(T_TTAFStock[RM_Code],$A39,T_TTAFStock[WeekIndex],85)&gt;0)&gt;0,SUMIFS(T_SelfStock[Self_Qty],T_SelfStock[RM_Code],$A39,T_SelfStock[WeekIndex],85)+SUMIFS(T_TTAFStock[TTAF_Qty],T_TTAFStock[RM_Code],$A39,T_TTAFStock[WeekIndex],85),CG39+'Grid_Incoming'!CH39-'Grid_Requirement'!CH39))</f>
        <v/>
      </c>
      <c r="CI39">
        <f>IF(COUNTIFS(T_StockCount[RM_Code],$A39,T_StockCount[WeekIndex],86)&gt;0,SUMIFS(T_StockCount[CountedQty],T_StockCount[RM_Code],$A39,T_StockCount[WeekIndex],86),IF((COUNTIFS(T_SelfStock[RM_Code],$A39,T_SelfStock[WeekIndex],86)&gt;0)*(COUNTIFS(T_TTAFStock[RM_Code],$A39,T_TTAFStock[WeekIndex],86)&gt;0)&gt;0,SUMIFS(T_SelfStock[Self_Qty],T_SelfStock[RM_Code],$A39,T_SelfStock[WeekIndex],86)+SUMIFS(T_TTAFStock[TTAF_Qty],T_TTAFStock[RM_Code],$A39,T_TTAFStock[WeekIndex],86),CH39+'Grid_Incoming'!CI39-'Grid_Requirement'!CI39))</f>
        <v/>
      </c>
      <c r="CJ39">
        <f>IF(COUNTIFS(T_StockCount[RM_Code],$A39,T_StockCount[WeekIndex],87)&gt;0,SUMIFS(T_StockCount[CountedQty],T_StockCount[RM_Code],$A39,T_StockCount[WeekIndex],87),IF((COUNTIFS(T_SelfStock[RM_Code],$A39,T_SelfStock[WeekIndex],87)&gt;0)*(COUNTIFS(T_TTAFStock[RM_Code],$A39,T_TTAFStock[WeekIndex],87)&gt;0)&gt;0,SUMIFS(T_SelfStock[Self_Qty],T_SelfStock[RM_Code],$A39,T_SelfStock[WeekIndex],87)+SUMIFS(T_TTAFStock[TTAF_Qty],T_TTAFStock[RM_Code],$A39,T_TTAFStock[WeekIndex],87),CI39+'Grid_Incoming'!CJ39-'Grid_Requirement'!CJ39))</f>
        <v/>
      </c>
      <c r="CK39">
        <f>IF(COUNTIFS(T_StockCount[RM_Code],$A39,T_StockCount[WeekIndex],88)&gt;0,SUMIFS(T_StockCount[CountedQty],T_StockCount[RM_Code],$A39,T_StockCount[WeekIndex],88),IF((COUNTIFS(T_SelfStock[RM_Code],$A39,T_SelfStock[WeekIndex],88)&gt;0)*(COUNTIFS(T_TTAFStock[RM_Code],$A39,T_TTAFStock[WeekIndex],88)&gt;0)&gt;0,SUMIFS(T_SelfStock[Self_Qty],T_SelfStock[RM_Code],$A39,T_SelfStock[WeekIndex],88)+SUMIFS(T_TTAFStock[TTAF_Qty],T_TTAFStock[RM_Code],$A39,T_TTAFStock[WeekIndex],88),CJ39+'Grid_Incoming'!CK39-'Grid_Requirement'!CK39))</f>
        <v/>
      </c>
      <c r="CL39">
        <f>IF(COUNTIFS(T_StockCount[RM_Code],$A39,T_StockCount[WeekIndex],89)&gt;0,SUMIFS(T_StockCount[CountedQty],T_StockCount[RM_Code],$A39,T_StockCount[WeekIndex],89),IF((COUNTIFS(T_SelfStock[RM_Code],$A39,T_SelfStock[WeekIndex],89)&gt;0)*(COUNTIFS(T_TTAFStock[RM_Code],$A39,T_TTAFStock[WeekIndex],89)&gt;0)&gt;0,SUMIFS(T_SelfStock[Self_Qty],T_SelfStock[RM_Code],$A39,T_SelfStock[WeekIndex],89)+SUMIFS(T_TTAFStock[TTAF_Qty],T_TTAFStock[RM_Code],$A39,T_TTAFStock[WeekIndex],89),CK39+'Grid_Incoming'!CL39-'Grid_Requirement'!CL39))</f>
        <v/>
      </c>
      <c r="CM39">
        <f>IF(COUNTIFS(T_StockCount[RM_Code],$A39,T_StockCount[WeekIndex],90)&gt;0,SUMIFS(T_StockCount[CountedQty],T_StockCount[RM_Code],$A39,T_StockCount[WeekIndex],90),IF((COUNTIFS(T_SelfStock[RM_Code],$A39,T_SelfStock[WeekIndex],90)&gt;0)*(COUNTIFS(T_TTAFStock[RM_Code],$A39,T_TTAFStock[WeekIndex],90)&gt;0)&gt;0,SUMIFS(T_SelfStock[Self_Qty],T_SelfStock[RM_Code],$A39,T_SelfStock[WeekIndex],90)+SUMIFS(T_TTAFStock[TTAF_Qty],T_TTAFStock[RM_Code],$A39,T_TTAFStock[WeekIndex],90),CL39+'Grid_Incoming'!CM39-'Grid_Requirement'!CM39))</f>
        <v/>
      </c>
      <c r="CN39">
        <f>IF(COUNTIFS(T_StockCount[RM_Code],$A39,T_StockCount[WeekIndex],91)&gt;0,SUMIFS(T_StockCount[CountedQty],T_StockCount[RM_Code],$A39,T_StockCount[WeekIndex],91),IF((COUNTIFS(T_SelfStock[RM_Code],$A39,T_SelfStock[WeekIndex],91)&gt;0)*(COUNTIFS(T_TTAFStock[RM_Code],$A39,T_TTAFStock[WeekIndex],91)&gt;0)&gt;0,SUMIFS(T_SelfStock[Self_Qty],T_SelfStock[RM_Code],$A39,T_SelfStock[WeekIndex],91)+SUMIFS(T_TTAFStock[TTAF_Qty],T_TTAFStock[RM_Code],$A39,T_TTAFStock[WeekIndex],91),CM39+'Grid_Incoming'!CN39-'Grid_Requirement'!CN39))</f>
        <v/>
      </c>
      <c r="CO39">
        <f>IF(COUNTIFS(T_StockCount[RM_Code],$A39,T_StockCount[WeekIndex],92)&gt;0,SUMIFS(T_StockCount[CountedQty],T_StockCount[RM_Code],$A39,T_StockCount[WeekIndex],92),IF((COUNTIFS(T_SelfStock[RM_Code],$A39,T_SelfStock[WeekIndex],92)&gt;0)*(COUNTIFS(T_TTAFStock[RM_Code],$A39,T_TTAFStock[WeekIndex],92)&gt;0)&gt;0,SUMIFS(T_SelfStock[Self_Qty],T_SelfStock[RM_Code],$A39,T_SelfStock[WeekIndex],92)+SUMIFS(T_TTAFStock[TTAF_Qty],T_TTAFStock[RM_Code],$A39,T_TTAFStock[WeekIndex],92),CN39+'Grid_Incoming'!CO39-'Grid_Requirement'!CO39))</f>
        <v/>
      </c>
      <c r="CP39">
        <f>IF(COUNTIFS(T_StockCount[RM_Code],$A39,T_StockCount[WeekIndex],93)&gt;0,SUMIFS(T_StockCount[CountedQty],T_StockCount[RM_Code],$A39,T_StockCount[WeekIndex],93),IF((COUNTIFS(T_SelfStock[RM_Code],$A39,T_SelfStock[WeekIndex],93)&gt;0)*(COUNTIFS(T_TTAFStock[RM_Code],$A39,T_TTAFStock[WeekIndex],93)&gt;0)&gt;0,SUMIFS(T_SelfStock[Self_Qty],T_SelfStock[RM_Code],$A39,T_SelfStock[WeekIndex],93)+SUMIFS(T_TTAFStock[TTAF_Qty],T_TTAFStock[RM_Code],$A39,T_TTAFStock[WeekIndex],93),CO39+'Grid_Incoming'!CP39-'Grid_Requirement'!CP39))</f>
        <v/>
      </c>
      <c r="CQ39">
        <f>IF(COUNTIFS(T_StockCount[RM_Code],$A39,T_StockCount[WeekIndex],94)&gt;0,SUMIFS(T_StockCount[CountedQty],T_StockCount[RM_Code],$A39,T_StockCount[WeekIndex],94),IF((COUNTIFS(T_SelfStock[RM_Code],$A39,T_SelfStock[WeekIndex],94)&gt;0)*(COUNTIFS(T_TTAFStock[RM_Code],$A39,T_TTAFStock[WeekIndex],94)&gt;0)&gt;0,SUMIFS(T_SelfStock[Self_Qty],T_SelfStock[RM_Code],$A39,T_SelfStock[WeekIndex],94)+SUMIFS(T_TTAFStock[TTAF_Qty],T_TTAFStock[RM_Code],$A39,T_TTAFStock[WeekIndex],94),CP39+'Grid_Incoming'!CQ39-'Grid_Requirement'!CQ39))</f>
        <v/>
      </c>
      <c r="CR39">
        <f>IF(COUNTIFS(T_StockCount[RM_Code],$A39,T_StockCount[WeekIndex],95)&gt;0,SUMIFS(T_StockCount[CountedQty],T_StockCount[RM_Code],$A39,T_StockCount[WeekIndex],95),IF((COUNTIFS(T_SelfStock[RM_Code],$A39,T_SelfStock[WeekIndex],95)&gt;0)*(COUNTIFS(T_TTAFStock[RM_Code],$A39,T_TTAFStock[WeekIndex],95)&gt;0)&gt;0,SUMIFS(T_SelfStock[Self_Qty],T_SelfStock[RM_Code],$A39,T_SelfStock[WeekIndex],95)+SUMIFS(T_TTAFStock[TTAF_Qty],T_TTAFStock[RM_Code],$A39,T_TTAFStock[WeekIndex],95),CQ39+'Grid_Incoming'!CR39-'Grid_Requirement'!CR39))</f>
        <v/>
      </c>
      <c r="CS39">
        <f>IF(COUNTIFS(T_StockCount[RM_Code],$A39,T_StockCount[WeekIndex],96)&gt;0,SUMIFS(T_StockCount[CountedQty],T_StockCount[RM_Code],$A39,T_StockCount[WeekIndex],96),IF((COUNTIFS(T_SelfStock[RM_Code],$A39,T_SelfStock[WeekIndex],96)&gt;0)*(COUNTIFS(T_TTAFStock[RM_Code],$A39,T_TTAFStock[WeekIndex],96)&gt;0)&gt;0,SUMIFS(T_SelfStock[Self_Qty],T_SelfStock[RM_Code],$A39,T_SelfStock[WeekIndex],96)+SUMIFS(T_TTAFStock[TTAF_Qty],T_TTAFStock[RM_Code],$A39,T_TTAFStock[WeekIndex],96),CR39+'Grid_Incoming'!CS39-'Grid_Requirement'!CS39))</f>
        <v/>
      </c>
      <c r="CT39">
        <f>IF(COUNTIFS(T_StockCount[RM_Code],$A39,T_StockCount[WeekIndex],97)&gt;0,SUMIFS(T_StockCount[CountedQty],T_StockCount[RM_Code],$A39,T_StockCount[WeekIndex],97),IF((COUNTIFS(T_SelfStock[RM_Code],$A39,T_SelfStock[WeekIndex],97)&gt;0)*(COUNTIFS(T_TTAFStock[RM_Code],$A39,T_TTAFStock[WeekIndex],97)&gt;0)&gt;0,SUMIFS(T_SelfStock[Self_Qty],T_SelfStock[RM_Code],$A39,T_SelfStock[WeekIndex],97)+SUMIFS(T_TTAFStock[TTAF_Qty],T_TTAFStock[RM_Code],$A39,T_TTAFStock[WeekIndex],97),CS39+'Grid_Incoming'!CT39-'Grid_Requirement'!CT39))</f>
        <v/>
      </c>
      <c r="CU39">
        <f>IF(COUNTIFS(T_StockCount[RM_Code],$A39,T_StockCount[WeekIndex],98)&gt;0,SUMIFS(T_StockCount[CountedQty],T_StockCount[RM_Code],$A39,T_StockCount[WeekIndex],98),IF((COUNTIFS(T_SelfStock[RM_Code],$A39,T_SelfStock[WeekIndex],98)&gt;0)*(COUNTIFS(T_TTAFStock[RM_Code],$A39,T_TTAFStock[WeekIndex],98)&gt;0)&gt;0,SUMIFS(T_SelfStock[Self_Qty],T_SelfStock[RM_Code],$A39,T_SelfStock[WeekIndex],98)+SUMIFS(T_TTAFStock[TTAF_Qty],T_TTAFStock[RM_Code],$A39,T_TTAFStock[WeekIndex],98),CT39+'Grid_Incoming'!CU39-'Grid_Requirement'!CU39))</f>
        <v/>
      </c>
      <c r="CV39">
        <f>IF(COUNTIFS(T_StockCount[RM_Code],$A39,T_StockCount[WeekIndex],99)&gt;0,SUMIFS(T_StockCount[CountedQty],T_StockCount[RM_Code],$A39,T_StockCount[WeekIndex],99),IF((COUNTIFS(T_SelfStock[RM_Code],$A39,T_SelfStock[WeekIndex],99)&gt;0)*(COUNTIFS(T_TTAFStock[RM_Code],$A39,T_TTAFStock[WeekIndex],99)&gt;0)&gt;0,SUMIFS(T_SelfStock[Self_Qty],T_SelfStock[RM_Code],$A39,T_SelfStock[WeekIndex],99)+SUMIFS(T_TTAFStock[TTAF_Qty],T_TTAFStock[RM_Code],$A39,T_TTAFStock[WeekIndex],99),CU39+'Grid_Incoming'!CV39-'Grid_Requirement'!CV39))</f>
        <v/>
      </c>
      <c r="CW39">
        <f>IF(COUNTIFS(T_StockCount[RM_Code],$A39,T_StockCount[WeekIndex],100)&gt;0,SUMIFS(T_StockCount[CountedQty],T_StockCount[RM_Code],$A39,T_StockCount[WeekIndex],100),IF((COUNTIFS(T_SelfStock[RM_Code],$A39,T_SelfStock[WeekIndex],100)&gt;0)*(COUNTIFS(T_TTAFStock[RM_Code],$A39,T_TTAFStock[WeekIndex],100)&gt;0)&gt;0,SUMIFS(T_SelfStock[Self_Qty],T_SelfStock[RM_Code],$A39,T_SelfStock[WeekIndex],100)+SUMIFS(T_TTAFStock[TTAF_Qty],T_TTAFStock[RM_Code],$A39,T_TTAFStock[WeekIndex],100),CV39+'Grid_Incoming'!CW39-'Grid_Requirement'!CW39))</f>
        <v/>
      </c>
      <c r="CX39">
        <f>IF(COUNTIFS(T_StockCount[RM_Code],$A39,T_StockCount[WeekIndex],101)&gt;0,SUMIFS(T_StockCount[CountedQty],T_StockCount[RM_Code],$A39,T_StockCount[WeekIndex],101),IF((COUNTIFS(T_SelfStock[RM_Code],$A39,T_SelfStock[WeekIndex],101)&gt;0)*(COUNTIFS(T_TTAFStock[RM_Code],$A39,T_TTAFStock[WeekIndex],101)&gt;0)&gt;0,SUMIFS(T_SelfStock[Self_Qty],T_SelfStock[RM_Code],$A39,T_SelfStock[WeekIndex],101)+SUMIFS(T_TTAFStock[TTAF_Qty],T_TTAFStock[RM_Code],$A39,T_TTAFStock[WeekIndex],101),CW39+'Grid_Incoming'!CX39-'Grid_Requirement'!CX39))</f>
        <v/>
      </c>
      <c r="CY39">
        <f>IF(COUNTIFS(T_StockCount[RM_Code],$A39,T_StockCount[WeekIndex],102)&gt;0,SUMIFS(T_StockCount[CountedQty],T_StockCount[RM_Code],$A39,T_StockCount[WeekIndex],102),IF((COUNTIFS(T_SelfStock[RM_Code],$A39,T_SelfStock[WeekIndex],102)&gt;0)*(COUNTIFS(T_TTAFStock[RM_Code],$A39,T_TTAFStock[WeekIndex],102)&gt;0)&gt;0,SUMIFS(T_SelfStock[Self_Qty],T_SelfStock[RM_Code],$A39,T_SelfStock[WeekIndex],102)+SUMIFS(T_TTAFStock[TTAF_Qty],T_TTAFStock[RM_Code],$A39,T_TTAFStock[WeekIndex],102),CX39+'Grid_Incoming'!CY39-'Grid_Requirement'!CY39))</f>
        <v/>
      </c>
      <c r="CZ39">
        <f>IF(COUNTIFS(T_StockCount[RM_Code],$A39,T_StockCount[WeekIndex],103)&gt;0,SUMIFS(T_StockCount[CountedQty],T_StockCount[RM_Code],$A39,T_StockCount[WeekIndex],103),IF((COUNTIFS(T_SelfStock[RM_Code],$A39,T_SelfStock[WeekIndex],103)&gt;0)*(COUNTIFS(T_TTAFStock[RM_Code],$A39,T_TTAFStock[WeekIndex],103)&gt;0)&gt;0,SUMIFS(T_SelfStock[Self_Qty],T_SelfStock[RM_Code],$A39,T_SelfStock[WeekIndex],103)+SUMIFS(T_TTAFStock[TTAF_Qty],T_TTAFStock[RM_Code],$A39,T_TTAFStock[WeekIndex],103),CY39+'Grid_Incoming'!CZ39-'Grid_Requirement'!CZ39))</f>
        <v/>
      </c>
      <c r="DA39">
        <f>IF(COUNTIFS(T_StockCount[RM_Code],$A39,T_StockCount[WeekIndex],104)&gt;0,SUMIFS(T_StockCount[CountedQty],T_StockCount[RM_Code],$A39,T_StockCount[WeekIndex],104),IF((COUNTIFS(T_SelfStock[RM_Code],$A39,T_SelfStock[WeekIndex],104)&gt;0)*(COUNTIFS(T_TTAFStock[RM_Code],$A39,T_TTAFStock[WeekIndex],104)&gt;0)&gt;0,SUMIFS(T_SelfStock[Self_Qty],T_SelfStock[RM_Code],$A39,T_SelfStock[WeekIndex],104)+SUMIFS(T_TTAFStock[TTAF_Qty],T_TTAFStock[RM_Code],$A39,T_TTAFStock[WeekIndex],104),CZ39+'Grid_Incoming'!DA39-'Grid_Requirement'!DA39))</f>
        <v/>
      </c>
    </row>
    <row r="40">
      <c r="A40" t="inlineStr">
        <is>
          <t>TPP-1469</t>
        </is>
      </c>
      <c r="B40">
        <f>IF(COUNTIFS(T_StockCount[RM_Code],$A40,T_StockCount[WeekIndex],1)&gt;0,SUMIFS(T_StockCount[CountedQty],T_StockCount[RM_Code],$A40,T_StockCount[WeekIndex],1),IF((COUNTIFS(T_SelfStock[RM_Code],$A40,T_SelfStock[WeekIndex],1)&gt;0)*(COUNTIFS(T_TTAFStock[RM_Code],$A40,T_TTAFStock[WeekIndex],1)&gt;0)&gt;0,SUMIFS(T_SelfStock[Self_Qty],T_SelfStock[RM_Code],$A40,T_SelfStock[WeekIndex],1)+SUMIFS(T_TTAFStock[TTAF_Qty],T_TTAFStock[RM_Code],$A40,T_TTAFStock[WeekIndex],1),IFERROR(INDEX(T_OpeningStock[Opening_Qty],MATCH($A40,T_OpeningStock[RM_Code],0)),0)+'Grid_Incoming'!B40-'Grid_Requirement'!B40))</f>
        <v/>
      </c>
      <c r="C40">
        <f>IF(COUNTIFS(T_StockCount[RM_Code],$A40,T_StockCount[WeekIndex],2)&gt;0,SUMIFS(T_StockCount[CountedQty],T_StockCount[RM_Code],$A40,T_StockCount[WeekIndex],2),IF((COUNTIFS(T_SelfStock[RM_Code],$A40,T_SelfStock[WeekIndex],2)&gt;0)*(COUNTIFS(T_TTAFStock[RM_Code],$A40,T_TTAFStock[WeekIndex],2)&gt;0)&gt;0,SUMIFS(T_SelfStock[Self_Qty],T_SelfStock[RM_Code],$A40,T_SelfStock[WeekIndex],2)+SUMIFS(T_TTAFStock[TTAF_Qty],T_TTAFStock[RM_Code],$A40,T_TTAFStock[WeekIndex],2),B40+'Grid_Incoming'!C40-'Grid_Requirement'!C40))</f>
        <v/>
      </c>
      <c r="D40">
        <f>IF(COUNTIFS(T_StockCount[RM_Code],$A40,T_StockCount[WeekIndex],3)&gt;0,SUMIFS(T_StockCount[CountedQty],T_StockCount[RM_Code],$A40,T_StockCount[WeekIndex],3),IF((COUNTIFS(T_SelfStock[RM_Code],$A40,T_SelfStock[WeekIndex],3)&gt;0)*(COUNTIFS(T_TTAFStock[RM_Code],$A40,T_TTAFStock[WeekIndex],3)&gt;0)&gt;0,SUMIFS(T_SelfStock[Self_Qty],T_SelfStock[RM_Code],$A40,T_SelfStock[WeekIndex],3)+SUMIFS(T_TTAFStock[TTAF_Qty],T_TTAFStock[RM_Code],$A40,T_TTAFStock[WeekIndex],3),C40+'Grid_Incoming'!D40-'Grid_Requirement'!D40))</f>
        <v/>
      </c>
      <c r="E40">
        <f>IF(COUNTIFS(T_StockCount[RM_Code],$A40,T_StockCount[WeekIndex],4)&gt;0,SUMIFS(T_StockCount[CountedQty],T_StockCount[RM_Code],$A40,T_StockCount[WeekIndex],4),IF((COUNTIFS(T_SelfStock[RM_Code],$A40,T_SelfStock[WeekIndex],4)&gt;0)*(COUNTIFS(T_TTAFStock[RM_Code],$A40,T_TTAFStock[WeekIndex],4)&gt;0)&gt;0,SUMIFS(T_SelfStock[Self_Qty],T_SelfStock[RM_Code],$A40,T_SelfStock[WeekIndex],4)+SUMIFS(T_TTAFStock[TTAF_Qty],T_TTAFStock[RM_Code],$A40,T_TTAFStock[WeekIndex],4),D40+'Grid_Incoming'!E40-'Grid_Requirement'!E40))</f>
        <v/>
      </c>
      <c r="F40">
        <f>IF(COUNTIFS(T_StockCount[RM_Code],$A40,T_StockCount[WeekIndex],5)&gt;0,SUMIFS(T_StockCount[CountedQty],T_StockCount[RM_Code],$A40,T_StockCount[WeekIndex],5),IF((COUNTIFS(T_SelfStock[RM_Code],$A40,T_SelfStock[WeekIndex],5)&gt;0)*(COUNTIFS(T_TTAFStock[RM_Code],$A40,T_TTAFStock[WeekIndex],5)&gt;0)&gt;0,SUMIFS(T_SelfStock[Self_Qty],T_SelfStock[RM_Code],$A40,T_SelfStock[WeekIndex],5)+SUMIFS(T_TTAFStock[TTAF_Qty],T_TTAFStock[RM_Code],$A40,T_TTAFStock[WeekIndex],5),E40+'Grid_Incoming'!F40-'Grid_Requirement'!F40))</f>
        <v/>
      </c>
      <c r="G40">
        <f>IF(COUNTIFS(T_StockCount[RM_Code],$A40,T_StockCount[WeekIndex],6)&gt;0,SUMIFS(T_StockCount[CountedQty],T_StockCount[RM_Code],$A40,T_StockCount[WeekIndex],6),IF((COUNTIFS(T_SelfStock[RM_Code],$A40,T_SelfStock[WeekIndex],6)&gt;0)*(COUNTIFS(T_TTAFStock[RM_Code],$A40,T_TTAFStock[WeekIndex],6)&gt;0)&gt;0,SUMIFS(T_SelfStock[Self_Qty],T_SelfStock[RM_Code],$A40,T_SelfStock[WeekIndex],6)+SUMIFS(T_TTAFStock[TTAF_Qty],T_TTAFStock[RM_Code],$A40,T_TTAFStock[WeekIndex],6),F40+'Grid_Incoming'!G40-'Grid_Requirement'!G40))</f>
        <v/>
      </c>
      <c r="H40">
        <f>IF(COUNTIFS(T_StockCount[RM_Code],$A40,T_StockCount[WeekIndex],7)&gt;0,SUMIFS(T_StockCount[CountedQty],T_StockCount[RM_Code],$A40,T_StockCount[WeekIndex],7),IF((COUNTIFS(T_SelfStock[RM_Code],$A40,T_SelfStock[WeekIndex],7)&gt;0)*(COUNTIFS(T_TTAFStock[RM_Code],$A40,T_TTAFStock[WeekIndex],7)&gt;0)&gt;0,SUMIFS(T_SelfStock[Self_Qty],T_SelfStock[RM_Code],$A40,T_SelfStock[WeekIndex],7)+SUMIFS(T_TTAFStock[TTAF_Qty],T_TTAFStock[RM_Code],$A40,T_TTAFStock[WeekIndex],7),G40+'Grid_Incoming'!H40-'Grid_Requirement'!H40))</f>
        <v/>
      </c>
      <c r="I40">
        <f>IF(COUNTIFS(T_StockCount[RM_Code],$A40,T_StockCount[WeekIndex],8)&gt;0,SUMIFS(T_StockCount[CountedQty],T_StockCount[RM_Code],$A40,T_StockCount[WeekIndex],8),IF((COUNTIFS(T_SelfStock[RM_Code],$A40,T_SelfStock[WeekIndex],8)&gt;0)*(COUNTIFS(T_TTAFStock[RM_Code],$A40,T_TTAFStock[WeekIndex],8)&gt;0)&gt;0,SUMIFS(T_SelfStock[Self_Qty],T_SelfStock[RM_Code],$A40,T_SelfStock[WeekIndex],8)+SUMIFS(T_TTAFStock[TTAF_Qty],T_TTAFStock[RM_Code],$A40,T_TTAFStock[WeekIndex],8),H40+'Grid_Incoming'!I40-'Grid_Requirement'!I40))</f>
        <v/>
      </c>
      <c r="J40">
        <f>IF(COUNTIFS(T_StockCount[RM_Code],$A40,T_StockCount[WeekIndex],9)&gt;0,SUMIFS(T_StockCount[CountedQty],T_StockCount[RM_Code],$A40,T_StockCount[WeekIndex],9),IF((COUNTIFS(T_SelfStock[RM_Code],$A40,T_SelfStock[WeekIndex],9)&gt;0)*(COUNTIFS(T_TTAFStock[RM_Code],$A40,T_TTAFStock[WeekIndex],9)&gt;0)&gt;0,SUMIFS(T_SelfStock[Self_Qty],T_SelfStock[RM_Code],$A40,T_SelfStock[WeekIndex],9)+SUMIFS(T_TTAFStock[TTAF_Qty],T_TTAFStock[RM_Code],$A40,T_TTAFStock[WeekIndex],9),I40+'Grid_Incoming'!J40-'Grid_Requirement'!J40))</f>
        <v/>
      </c>
      <c r="K40">
        <f>IF(COUNTIFS(T_StockCount[RM_Code],$A40,T_StockCount[WeekIndex],10)&gt;0,SUMIFS(T_StockCount[CountedQty],T_StockCount[RM_Code],$A40,T_StockCount[WeekIndex],10),IF((COUNTIFS(T_SelfStock[RM_Code],$A40,T_SelfStock[WeekIndex],10)&gt;0)*(COUNTIFS(T_TTAFStock[RM_Code],$A40,T_TTAFStock[WeekIndex],10)&gt;0)&gt;0,SUMIFS(T_SelfStock[Self_Qty],T_SelfStock[RM_Code],$A40,T_SelfStock[WeekIndex],10)+SUMIFS(T_TTAFStock[TTAF_Qty],T_TTAFStock[RM_Code],$A40,T_TTAFStock[WeekIndex],10),J40+'Grid_Incoming'!K40-'Grid_Requirement'!K40))</f>
        <v/>
      </c>
      <c r="L40">
        <f>IF(COUNTIFS(T_StockCount[RM_Code],$A40,T_StockCount[WeekIndex],11)&gt;0,SUMIFS(T_StockCount[CountedQty],T_StockCount[RM_Code],$A40,T_StockCount[WeekIndex],11),IF((COUNTIFS(T_SelfStock[RM_Code],$A40,T_SelfStock[WeekIndex],11)&gt;0)*(COUNTIFS(T_TTAFStock[RM_Code],$A40,T_TTAFStock[WeekIndex],11)&gt;0)&gt;0,SUMIFS(T_SelfStock[Self_Qty],T_SelfStock[RM_Code],$A40,T_SelfStock[WeekIndex],11)+SUMIFS(T_TTAFStock[TTAF_Qty],T_TTAFStock[RM_Code],$A40,T_TTAFStock[WeekIndex],11),K40+'Grid_Incoming'!L40-'Grid_Requirement'!L40))</f>
        <v/>
      </c>
      <c r="M40">
        <f>IF(COUNTIFS(T_StockCount[RM_Code],$A40,T_StockCount[WeekIndex],12)&gt;0,SUMIFS(T_StockCount[CountedQty],T_StockCount[RM_Code],$A40,T_StockCount[WeekIndex],12),IF((COUNTIFS(T_SelfStock[RM_Code],$A40,T_SelfStock[WeekIndex],12)&gt;0)*(COUNTIFS(T_TTAFStock[RM_Code],$A40,T_TTAFStock[WeekIndex],12)&gt;0)&gt;0,SUMIFS(T_SelfStock[Self_Qty],T_SelfStock[RM_Code],$A40,T_SelfStock[WeekIndex],12)+SUMIFS(T_TTAFStock[TTAF_Qty],T_TTAFStock[RM_Code],$A40,T_TTAFStock[WeekIndex],12),L40+'Grid_Incoming'!M40-'Grid_Requirement'!M40))</f>
        <v/>
      </c>
      <c r="N40">
        <f>IF(COUNTIFS(T_StockCount[RM_Code],$A40,T_StockCount[WeekIndex],13)&gt;0,SUMIFS(T_StockCount[CountedQty],T_StockCount[RM_Code],$A40,T_StockCount[WeekIndex],13),IF((COUNTIFS(T_SelfStock[RM_Code],$A40,T_SelfStock[WeekIndex],13)&gt;0)*(COUNTIFS(T_TTAFStock[RM_Code],$A40,T_TTAFStock[WeekIndex],13)&gt;0)&gt;0,SUMIFS(T_SelfStock[Self_Qty],T_SelfStock[RM_Code],$A40,T_SelfStock[WeekIndex],13)+SUMIFS(T_TTAFStock[TTAF_Qty],T_TTAFStock[RM_Code],$A40,T_TTAFStock[WeekIndex],13),M40+'Grid_Incoming'!N40-'Grid_Requirement'!N40))</f>
        <v/>
      </c>
      <c r="O40">
        <f>IF(COUNTIFS(T_StockCount[RM_Code],$A40,T_StockCount[WeekIndex],14)&gt;0,SUMIFS(T_StockCount[CountedQty],T_StockCount[RM_Code],$A40,T_StockCount[WeekIndex],14),IF((COUNTIFS(T_SelfStock[RM_Code],$A40,T_SelfStock[WeekIndex],14)&gt;0)*(COUNTIFS(T_TTAFStock[RM_Code],$A40,T_TTAFStock[WeekIndex],14)&gt;0)&gt;0,SUMIFS(T_SelfStock[Self_Qty],T_SelfStock[RM_Code],$A40,T_SelfStock[WeekIndex],14)+SUMIFS(T_TTAFStock[TTAF_Qty],T_TTAFStock[RM_Code],$A40,T_TTAFStock[WeekIndex],14),N40+'Grid_Incoming'!O40-'Grid_Requirement'!O40))</f>
        <v/>
      </c>
      <c r="P40">
        <f>IF(COUNTIFS(T_StockCount[RM_Code],$A40,T_StockCount[WeekIndex],15)&gt;0,SUMIFS(T_StockCount[CountedQty],T_StockCount[RM_Code],$A40,T_StockCount[WeekIndex],15),IF((COUNTIFS(T_SelfStock[RM_Code],$A40,T_SelfStock[WeekIndex],15)&gt;0)*(COUNTIFS(T_TTAFStock[RM_Code],$A40,T_TTAFStock[WeekIndex],15)&gt;0)&gt;0,SUMIFS(T_SelfStock[Self_Qty],T_SelfStock[RM_Code],$A40,T_SelfStock[WeekIndex],15)+SUMIFS(T_TTAFStock[TTAF_Qty],T_TTAFStock[RM_Code],$A40,T_TTAFStock[WeekIndex],15),O40+'Grid_Incoming'!P40-'Grid_Requirement'!P40))</f>
        <v/>
      </c>
      <c r="Q40">
        <f>IF(COUNTIFS(T_StockCount[RM_Code],$A40,T_StockCount[WeekIndex],16)&gt;0,SUMIFS(T_StockCount[CountedQty],T_StockCount[RM_Code],$A40,T_StockCount[WeekIndex],16),IF((COUNTIFS(T_SelfStock[RM_Code],$A40,T_SelfStock[WeekIndex],16)&gt;0)*(COUNTIFS(T_TTAFStock[RM_Code],$A40,T_TTAFStock[WeekIndex],16)&gt;0)&gt;0,SUMIFS(T_SelfStock[Self_Qty],T_SelfStock[RM_Code],$A40,T_SelfStock[WeekIndex],16)+SUMIFS(T_TTAFStock[TTAF_Qty],T_TTAFStock[RM_Code],$A40,T_TTAFStock[WeekIndex],16),P40+'Grid_Incoming'!Q40-'Grid_Requirement'!Q40))</f>
        <v/>
      </c>
      <c r="R40">
        <f>IF(COUNTIFS(T_StockCount[RM_Code],$A40,T_StockCount[WeekIndex],17)&gt;0,SUMIFS(T_StockCount[CountedQty],T_StockCount[RM_Code],$A40,T_StockCount[WeekIndex],17),IF((COUNTIFS(T_SelfStock[RM_Code],$A40,T_SelfStock[WeekIndex],17)&gt;0)*(COUNTIFS(T_TTAFStock[RM_Code],$A40,T_TTAFStock[WeekIndex],17)&gt;0)&gt;0,SUMIFS(T_SelfStock[Self_Qty],T_SelfStock[RM_Code],$A40,T_SelfStock[WeekIndex],17)+SUMIFS(T_TTAFStock[TTAF_Qty],T_TTAFStock[RM_Code],$A40,T_TTAFStock[WeekIndex],17),Q40+'Grid_Incoming'!R40-'Grid_Requirement'!R40))</f>
        <v/>
      </c>
      <c r="S40">
        <f>IF(COUNTIFS(T_StockCount[RM_Code],$A40,T_StockCount[WeekIndex],18)&gt;0,SUMIFS(T_StockCount[CountedQty],T_StockCount[RM_Code],$A40,T_StockCount[WeekIndex],18),IF((COUNTIFS(T_SelfStock[RM_Code],$A40,T_SelfStock[WeekIndex],18)&gt;0)*(COUNTIFS(T_TTAFStock[RM_Code],$A40,T_TTAFStock[WeekIndex],18)&gt;0)&gt;0,SUMIFS(T_SelfStock[Self_Qty],T_SelfStock[RM_Code],$A40,T_SelfStock[WeekIndex],18)+SUMIFS(T_TTAFStock[TTAF_Qty],T_TTAFStock[RM_Code],$A40,T_TTAFStock[WeekIndex],18),R40+'Grid_Incoming'!S40-'Grid_Requirement'!S40))</f>
        <v/>
      </c>
      <c r="T40">
        <f>IF(COUNTIFS(T_StockCount[RM_Code],$A40,T_StockCount[WeekIndex],19)&gt;0,SUMIFS(T_StockCount[CountedQty],T_StockCount[RM_Code],$A40,T_StockCount[WeekIndex],19),IF((COUNTIFS(T_SelfStock[RM_Code],$A40,T_SelfStock[WeekIndex],19)&gt;0)*(COUNTIFS(T_TTAFStock[RM_Code],$A40,T_TTAFStock[WeekIndex],19)&gt;0)&gt;0,SUMIFS(T_SelfStock[Self_Qty],T_SelfStock[RM_Code],$A40,T_SelfStock[WeekIndex],19)+SUMIFS(T_TTAFStock[TTAF_Qty],T_TTAFStock[RM_Code],$A40,T_TTAFStock[WeekIndex],19),S40+'Grid_Incoming'!T40-'Grid_Requirement'!T40))</f>
        <v/>
      </c>
      <c r="U40">
        <f>IF(COUNTIFS(T_StockCount[RM_Code],$A40,T_StockCount[WeekIndex],20)&gt;0,SUMIFS(T_StockCount[CountedQty],T_StockCount[RM_Code],$A40,T_StockCount[WeekIndex],20),IF((COUNTIFS(T_SelfStock[RM_Code],$A40,T_SelfStock[WeekIndex],20)&gt;0)*(COUNTIFS(T_TTAFStock[RM_Code],$A40,T_TTAFStock[WeekIndex],20)&gt;0)&gt;0,SUMIFS(T_SelfStock[Self_Qty],T_SelfStock[RM_Code],$A40,T_SelfStock[WeekIndex],20)+SUMIFS(T_TTAFStock[TTAF_Qty],T_TTAFStock[RM_Code],$A40,T_TTAFStock[WeekIndex],20),T40+'Grid_Incoming'!U40-'Grid_Requirement'!U40))</f>
        <v/>
      </c>
      <c r="V40">
        <f>IF(COUNTIFS(T_StockCount[RM_Code],$A40,T_StockCount[WeekIndex],21)&gt;0,SUMIFS(T_StockCount[CountedQty],T_StockCount[RM_Code],$A40,T_StockCount[WeekIndex],21),IF((COUNTIFS(T_SelfStock[RM_Code],$A40,T_SelfStock[WeekIndex],21)&gt;0)*(COUNTIFS(T_TTAFStock[RM_Code],$A40,T_TTAFStock[WeekIndex],21)&gt;0)&gt;0,SUMIFS(T_SelfStock[Self_Qty],T_SelfStock[RM_Code],$A40,T_SelfStock[WeekIndex],21)+SUMIFS(T_TTAFStock[TTAF_Qty],T_TTAFStock[RM_Code],$A40,T_TTAFStock[WeekIndex],21),U40+'Grid_Incoming'!V40-'Grid_Requirement'!V40))</f>
        <v/>
      </c>
      <c r="W40">
        <f>IF(COUNTIFS(T_StockCount[RM_Code],$A40,T_StockCount[WeekIndex],22)&gt;0,SUMIFS(T_StockCount[CountedQty],T_StockCount[RM_Code],$A40,T_StockCount[WeekIndex],22),IF((COUNTIFS(T_SelfStock[RM_Code],$A40,T_SelfStock[WeekIndex],22)&gt;0)*(COUNTIFS(T_TTAFStock[RM_Code],$A40,T_TTAFStock[WeekIndex],22)&gt;0)&gt;0,SUMIFS(T_SelfStock[Self_Qty],T_SelfStock[RM_Code],$A40,T_SelfStock[WeekIndex],22)+SUMIFS(T_TTAFStock[TTAF_Qty],T_TTAFStock[RM_Code],$A40,T_TTAFStock[WeekIndex],22),V40+'Grid_Incoming'!W40-'Grid_Requirement'!W40))</f>
        <v/>
      </c>
      <c r="X40">
        <f>IF(COUNTIFS(T_StockCount[RM_Code],$A40,T_StockCount[WeekIndex],23)&gt;0,SUMIFS(T_StockCount[CountedQty],T_StockCount[RM_Code],$A40,T_StockCount[WeekIndex],23),IF((COUNTIFS(T_SelfStock[RM_Code],$A40,T_SelfStock[WeekIndex],23)&gt;0)*(COUNTIFS(T_TTAFStock[RM_Code],$A40,T_TTAFStock[WeekIndex],23)&gt;0)&gt;0,SUMIFS(T_SelfStock[Self_Qty],T_SelfStock[RM_Code],$A40,T_SelfStock[WeekIndex],23)+SUMIFS(T_TTAFStock[TTAF_Qty],T_TTAFStock[RM_Code],$A40,T_TTAFStock[WeekIndex],23),W40+'Grid_Incoming'!X40-'Grid_Requirement'!X40))</f>
        <v/>
      </c>
      <c r="Y40">
        <f>IF(COUNTIFS(T_StockCount[RM_Code],$A40,T_StockCount[WeekIndex],24)&gt;0,SUMIFS(T_StockCount[CountedQty],T_StockCount[RM_Code],$A40,T_StockCount[WeekIndex],24),IF((COUNTIFS(T_SelfStock[RM_Code],$A40,T_SelfStock[WeekIndex],24)&gt;0)*(COUNTIFS(T_TTAFStock[RM_Code],$A40,T_TTAFStock[WeekIndex],24)&gt;0)&gt;0,SUMIFS(T_SelfStock[Self_Qty],T_SelfStock[RM_Code],$A40,T_SelfStock[WeekIndex],24)+SUMIFS(T_TTAFStock[TTAF_Qty],T_TTAFStock[RM_Code],$A40,T_TTAFStock[WeekIndex],24),X40+'Grid_Incoming'!Y40-'Grid_Requirement'!Y40))</f>
        <v/>
      </c>
      <c r="Z40">
        <f>IF(COUNTIFS(T_StockCount[RM_Code],$A40,T_StockCount[WeekIndex],25)&gt;0,SUMIFS(T_StockCount[CountedQty],T_StockCount[RM_Code],$A40,T_StockCount[WeekIndex],25),IF((COUNTIFS(T_SelfStock[RM_Code],$A40,T_SelfStock[WeekIndex],25)&gt;0)*(COUNTIFS(T_TTAFStock[RM_Code],$A40,T_TTAFStock[WeekIndex],25)&gt;0)&gt;0,SUMIFS(T_SelfStock[Self_Qty],T_SelfStock[RM_Code],$A40,T_SelfStock[WeekIndex],25)+SUMIFS(T_TTAFStock[TTAF_Qty],T_TTAFStock[RM_Code],$A40,T_TTAFStock[WeekIndex],25),Y40+'Grid_Incoming'!Z40-'Grid_Requirement'!Z40))</f>
        <v/>
      </c>
      <c r="AA40">
        <f>IF(COUNTIFS(T_StockCount[RM_Code],$A40,T_StockCount[WeekIndex],26)&gt;0,SUMIFS(T_StockCount[CountedQty],T_StockCount[RM_Code],$A40,T_StockCount[WeekIndex],26),IF((COUNTIFS(T_SelfStock[RM_Code],$A40,T_SelfStock[WeekIndex],26)&gt;0)*(COUNTIFS(T_TTAFStock[RM_Code],$A40,T_TTAFStock[WeekIndex],26)&gt;0)&gt;0,SUMIFS(T_SelfStock[Self_Qty],T_SelfStock[RM_Code],$A40,T_SelfStock[WeekIndex],26)+SUMIFS(T_TTAFStock[TTAF_Qty],T_TTAFStock[RM_Code],$A40,T_TTAFStock[WeekIndex],26),Z40+'Grid_Incoming'!AA40-'Grid_Requirement'!AA40))</f>
        <v/>
      </c>
      <c r="AB40">
        <f>IF(COUNTIFS(T_StockCount[RM_Code],$A40,T_StockCount[WeekIndex],27)&gt;0,SUMIFS(T_StockCount[CountedQty],T_StockCount[RM_Code],$A40,T_StockCount[WeekIndex],27),IF((COUNTIFS(T_SelfStock[RM_Code],$A40,T_SelfStock[WeekIndex],27)&gt;0)*(COUNTIFS(T_TTAFStock[RM_Code],$A40,T_TTAFStock[WeekIndex],27)&gt;0)&gt;0,SUMIFS(T_SelfStock[Self_Qty],T_SelfStock[RM_Code],$A40,T_SelfStock[WeekIndex],27)+SUMIFS(T_TTAFStock[TTAF_Qty],T_TTAFStock[RM_Code],$A40,T_TTAFStock[WeekIndex],27),AA40+'Grid_Incoming'!AB40-'Grid_Requirement'!AB40))</f>
        <v/>
      </c>
      <c r="AC40">
        <f>IF(COUNTIFS(T_StockCount[RM_Code],$A40,T_StockCount[WeekIndex],28)&gt;0,SUMIFS(T_StockCount[CountedQty],T_StockCount[RM_Code],$A40,T_StockCount[WeekIndex],28),IF((COUNTIFS(T_SelfStock[RM_Code],$A40,T_SelfStock[WeekIndex],28)&gt;0)*(COUNTIFS(T_TTAFStock[RM_Code],$A40,T_TTAFStock[WeekIndex],28)&gt;0)&gt;0,SUMIFS(T_SelfStock[Self_Qty],T_SelfStock[RM_Code],$A40,T_SelfStock[WeekIndex],28)+SUMIFS(T_TTAFStock[TTAF_Qty],T_TTAFStock[RM_Code],$A40,T_TTAFStock[WeekIndex],28),AB40+'Grid_Incoming'!AC40-'Grid_Requirement'!AC40))</f>
        <v/>
      </c>
      <c r="AD40">
        <f>IF(COUNTIFS(T_StockCount[RM_Code],$A40,T_StockCount[WeekIndex],29)&gt;0,SUMIFS(T_StockCount[CountedQty],T_StockCount[RM_Code],$A40,T_StockCount[WeekIndex],29),IF((COUNTIFS(T_SelfStock[RM_Code],$A40,T_SelfStock[WeekIndex],29)&gt;0)*(COUNTIFS(T_TTAFStock[RM_Code],$A40,T_TTAFStock[WeekIndex],29)&gt;0)&gt;0,SUMIFS(T_SelfStock[Self_Qty],T_SelfStock[RM_Code],$A40,T_SelfStock[WeekIndex],29)+SUMIFS(T_TTAFStock[TTAF_Qty],T_TTAFStock[RM_Code],$A40,T_TTAFStock[WeekIndex],29),AC40+'Grid_Incoming'!AD40-'Grid_Requirement'!AD40))</f>
        <v/>
      </c>
      <c r="AE40">
        <f>IF(COUNTIFS(T_StockCount[RM_Code],$A40,T_StockCount[WeekIndex],30)&gt;0,SUMIFS(T_StockCount[CountedQty],T_StockCount[RM_Code],$A40,T_StockCount[WeekIndex],30),IF((COUNTIFS(T_SelfStock[RM_Code],$A40,T_SelfStock[WeekIndex],30)&gt;0)*(COUNTIFS(T_TTAFStock[RM_Code],$A40,T_TTAFStock[WeekIndex],30)&gt;0)&gt;0,SUMIFS(T_SelfStock[Self_Qty],T_SelfStock[RM_Code],$A40,T_SelfStock[WeekIndex],30)+SUMIFS(T_TTAFStock[TTAF_Qty],T_TTAFStock[RM_Code],$A40,T_TTAFStock[WeekIndex],30),AD40+'Grid_Incoming'!AE40-'Grid_Requirement'!AE40))</f>
        <v/>
      </c>
      <c r="AF40">
        <f>IF(COUNTIFS(T_StockCount[RM_Code],$A40,T_StockCount[WeekIndex],31)&gt;0,SUMIFS(T_StockCount[CountedQty],T_StockCount[RM_Code],$A40,T_StockCount[WeekIndex],31),IF((COUNTIFS(T_SelfStock[RM_Code],$A40,T_SelfStock[WeekIndex],31)&gt;0)*(COUNTIFS(T_TTAFStock[RM_Code],$A40,T_TTAFStock[WeekIndex],31)&gt;0)&gt;0,SUMIFS(T_SelfStock[Self_Qty],T_SelfStock[RM_Code],$A40,T_SelfStock[WeekIndex],31)+SUMIFS(T_TTAFStock[TTAF_Qty],T_TTAFStock[RM_Code],$A40,T_TTAFStock[WeekIndex],31),AE40+'Grid_Incoming'!AF40-'Grid_Requirement'!AF40))</f>
        <v/>
      </c>
      <c r="AG40">
        <f>IF(COUNTIFS(T_StockCount[RM_Code],$A40,T_StockCount[WeekIndex],32)&gt;0,SUMIFS(T_StockCount[CountedQty],T_StockCount[RM_Code],$A40,T_StockCount[WeekIndex],32),IF((COUNTIFS(T_SelfStock[RM_Code],$A40,T_SelfStock[WeekIndex],32)&gt;0)*(COUNTIFS(T_TTAFStock[RM_Code],$A40,T_TTAFStock[WeekIndex],32)&gt;0)&gt;0,SUMIFS(T_SelfStock[Self_Qty],T_SelfStock[RM_Code],$A40,T_SelfStock[WeekIndex],32)+SUMIFS(T_TTAFStock[TTAF_Qty],T_TTAFStock[RM_Code],$A40,T_TTAFStock[WeekIndex],32),AF40+'Grid_Incoming'!AG40-'Grid_Requirement'!AG40))</f>
        <v/>
      </c>
      <c r="AH40">
        <f>IF(COUNTIFS(T_StockCount[RM_Code],$A40,T_StockCount[WeekIndex],33)&gt;0,SUMIFS(T_StockCount[CountedQty],T_StockCount[RM_Code],$A40,T_StockCount[WeekIndex],33),IF((COUNTIFS(T_SelfStock[RM_Code],$A40,T_SelfStock[WeekIndex],33)&gt;0)*(COUNTIFS(T_TTAFStock[RM_Code],$A40,T_TTAFStock[WeekIndex],33)&gt;0)&gt;0,SUMIFS(T_SelfStock[Self_Qty],T_SelfStock[RM_Code],$A40,T_SelfStock[WeekIndex],33)+SUMIFS(T_TTAFStock[TTAF_Qty],T_TTAFStock[RM_Code],$A40,T_TTAFStock[WeekIndex],33),AG40+'Grid_Incoming'!AH40-'Grid_Requirement'!AH40))</f>
        <v/>
      </c>
      <c r="AI40">
        <f>IF(COUNTIFS(T_StockCount[RM_Code],$A40,T_StockCount[WeekIndex],34)&gt;0,SUMIFS(T_StockCount[CountedQty],T_StockCount[RM_Code],$A40,T_StockCount[WeekIndex],34),IF((COUNTIFS(T_SelfStock[RM_Code],$A40,T_SelfStock[WeekIndex],34)&gt;0)*(COUNTIFS(T_TTAFStock[RM_Code],$A40,T_TTAFStock[WeekIndex],34)&gt;0)&gt;0,SUMIFS(T_SelfStock[Self_Qty],T_SelfStock[RM_Code],$A40,T_SelfStock[WeekIndex],34)+SUMIFS(T_TTAFStock[TTAF_Qty],T_TTAFStock[RM_Code],$A40,T_TTAFStock[WeekIndex],34),AH40+'Grid_Incoming'!AI40-'Grid_Requirement'!AI40))</f>
        <v/>
      </c>
      <c r="AJ40">
        <f>IF(COUNTIFS(T_StockCount[RM_Code],$A40,T_StockCount[WeekIndex],35)&gt;0,SUMIFS(T_StockCount[CountedQty],T_StockCount[RM_Code],$A40,T_StockCount[WeekIndex],35),IF((COUNTIFS(T_SelfStock[RM_Code],$A40,T_SelfStock[WeekIndex],35)&gt;0)*(COUNTIFS(T_TTAFStock[RM_Code],$A40,T_TTAFStock[WeekIndex],35)&gt;0)&gt;0,SUMIFS(T_SelfStock[Self_Qty],T_SelfStock[RM_Code],$A40,T_SelfStock[WeekIndex],35)+SUMIFS(T_TTAFStock[TTAF_Qty],T_TTAFStock[RM_Code],$A40,T_TTAFStock[WeekIndex],35),AI40+'Grid_Incoming'!AJ40-'Grid_Requirement'!AJ40))</f>
        <v/>
      </c>
      <c r="AK40">
        <f>IF(COUNTIFS(T_StockCount[RM_Code],$A40,T_StockCount[WeekIndex],36)&gt;0,SUMIFS(T_StockCount[CountedQty],T_StockCount[RM_Code],$A40,T_StockCount[WeekIndex],36),IF((COUNTIFS(T_SelfStock[RM_Code],$A40,T_SelfStock[WeekIndex],36)&gt;0)*(COUNTIFS(T_TTAFStock[RM_Code],$A40,T_TTAFStock[WeekIndex],36)&gt;0)&gt;0,SUMIFS(T_SelfStock[Self_Qty],T_SelfStock[RM_Code],$A40,T_SelfStock[WeekIndex],36)+SUMIFS(T_TTAFStock[TTAF_Qty],T_TTAFStock[RM_Code],$A40,T_TTAFStock[WeekIndex],36),AJ40+'Grid_Incoming'!AK40-'Grid_Requirement'!AK40))</f>
        <v/>
      </c>
      <c r="AL40">
        <f>IF(COUNTIFS(T_StockCount[RM_Code],$A40,T_StockCount[WeekIndex],37)&gt;0,SUMIFS(T_StockCount[CountedQty],T_StockCount[RM_Code],$A40,T_StockCount[WeekIndex],37),IF((COUNTIFS(T_SelfStock[RM_Code],$A40,T_SelfStock[WeekIndex],37)&gt;0)*(COUNTIFS(T_TTAFStock[RM_Code],$A40,T_TTAFStock[WeekIndex],37)&gt;0)&gt;0,SUMIFS(T_SelfStock[Self_Qty],T_SelfStock[RM_Code],$A40,T_SelfStock[WeekIndex],37)+SUMIFS(T_TTAFStock[TTAF_Qty],T_TTAFStock[RM_Code],$A40,T_TTAFStock[WeekIndex],37),AK40+'Grid_Incoming'!AL40-'Grid_Requirement'!AL40))</f>
        <v/>
      </c>
      <c r="AM40">
        <f>IF(COUNTIFS(T_StockCount[RM_Code],$A40,T_StockCount[WeekIndex],38)&gt;0,SUMIFS(T_StockCount[CountedQty],T_StockCount[RM_Code],$A40,T_StockCount[WeekIndex],38),IF((COUNTIFS(T_SelfStock[RM_Code],$A40,T_SelfStock[WeekIndex],38)&gt;0)*(COUNTIFS(T_TTAFStock[RM_Code],$A40,T_TTAFStock[WeekIndex],38)&gt;0)&gt;0,SUMIFS(T_SelfStock[Self_Qty],T_SelfStock[RM_Code],$A40,T_SelfStock[WeekIndex],38)+SUMIFS(T_TTAFStock[TTAF_Qty],T_TTAFStock[RM_Code],$A40,T_TTAFStock[WeekIndex],38),AL40+'Grid_Incoming'!AM40-'Grid_Requirement'!AM40))</f>
        <v/>
      </c>
      <c r="AN40">
        <f>IF(COUNTIFS(T_StockCount[RM_Code],$A40,T_StockCount[WeekIndex],39)&gt;0,SUMIFS(T_StockCount[CountedQty],T_StockCount[RM_Code],$A40,T_StockCount[WeekIndex],39),IF((COUNTIFS(T_SelfStock[RM_Code],$A40,T_SelfStock[WeekIndex],39)&gt;0)*(COUNTIFS(T_TTAFStock[RM_Code],$A40,T_TTAFStock[WeekIndex],39)&gt;0)&gt;0,SUMIFS(T_SelfStock[Self_Qty],T_SelfStock[RM_Code],$A40,T_SelfStock[WeekIndex],39)+SUMIFS(T_TTAFStock[TTAF_Qty],T_TTAFStock[RM_Code],$A40,T_TTAFStock[WeekIndex],39),AM40+'Grid_Incoming'!AN40-'Grid_Requirement'!AN40))</f>
        <v/>
      </c>
      <c r="AO40">
        <f>IF(COUNTIFS(T_StockCount[RM_Code],$A40,T_StockCount[WeekIndex],40)&gt;0,SUMIFS(T_StockCount[CountedQty],T_StockCount[RM_Code],$A40,T_StockCount[WeekIndex],40),IF((COUNTIFS(T_SelfStock[RM_Code],$A40,T_SelfStock[WeekIndex],40)&gt;0)*(COUNTIFS(T_TTAFStock[RM_Code],$A40,T_TTAFStock[WeekIndex],40)&gt;0)&gt;0,SUMIFS(T_SelfStock[Self_Qty],T_SelfStock[RM_Code],$A40,T_SelfStock[WeekIndex],40)+SUMIFS(T_TTAFStock[TTAF_Qty],T_TTAFStock[RM_Code],$A40,T_TTAFStock[WeekIndex],40),AN40+'Grid_Incoming'!AO40-'Grid_Requirement'!AO40))</f>
        <v/>
      </c>
      <c r="AP40">
        <f>IF(COUNTIFS(T_StockCount[RM_Code],$A40,T_StockCount[WeekIndex],41)&gt;0,SUMIFS(T_StockCount[CountedQty],T_StockCount[RM_Code],$A40,T_StockCount[WeekIndex],41),IF((COUNTIFS(T_SelfStock[RM_Code],$A40,T_SelfStock[WeekIndex],41)&gt;0)*(COUNTIFS(T_TTAFStock[RM_Code],$A40,T_TTAFStock[WeekIndex],41)&gt;0)&gt;0,SUMIFS(T_SelfStock[Self_Qty],T_SelfStock[RM_Code],$A40,T_SelfStock[WeekIndex],41)+SUMIFS(T_TTAFStock[TTAF_Qty],T_TTAFStock[RM_Code],$A40,T_TTAFStock[WeekIndex],41),AO40+'Grid_Incoming'!AP40-'Grid_Requirement'!AP40))</f>
        <v/>
      </c>
      <c r="AQ40">
        <f>IF(COUNTIFS(T_StockCount[RM_Code],$A40,T_StockCount[WeekIndex],42)&gt;0,SUMIFS(T_StockCount[CountedQty],T_StockCount[RM_Code],$A40,T_StockCount[WeekIndex],42),IF((COUNTIFS(T_SelfStock[RM_Code],$A40,T_SelfStock[WeekIndex],42)&gt;0)*(COUNTIFS(T_TTAFStock[RM_Code],$A40,T_TTAFStock[WeekIndex],42)&gt;0)&gt;0,SUMIFS(T_SelfStock[Self_Qty],T_SelfStock[RM_Code],$A40,T_SelfStock[WeekIndex],42)+SUMIFS(T_TTAFStock[TTAF_Qty],T_TTAFStock[RM_Code],$A40,T_TTAFStock[WeekIndex],42),AP40+'Grid_Incoming'!AQ40-'Grid_Requirement'!AQ40))</f>
        <v/>
      </c>
      <c r="AR40">
        <f>IF(COUNTIFS(T_StockCount[RM_Code],$A40,T_StockCount[WeekIndex],43)&gt;0,SUMIFS(T_StockCount[CountedQty],T_StockCount[RM_Code],$A40,T_StockCount[WeekIndex],43),IF((COUNTIFS(T_SelfStock[RM_Code],$A40,T_SelfStock[WeekIndex],43)&gt;0)*(COUNTIFS(T_TTAFStock[RM_Code],$A40,T_TTAFStock[WeekIndex],43)&gt;0)&gt;0,SUMIFS(T_SelfStock[Self_Qty],T_SelfStock[RM_Code],$A40,T_SelfStock[WeekIndex],43)+SUMIFS(T_TTAFStock[TTAF_Qty],T_TTAFStock[RM_Code],$A40,T_TTAFStock[WeekIndex],43),AQ40+'Grid_Incoming'!AR40-'Grid_Requirement'!AR40))</f>
        <v/>
      </c>
      <c r="AS40">
        <f>IF(COUNTIFS(T_StockCount[RM_Code],$A40,T_StockCount[WeekIndex],44)&gt;0,SUMIFS(T_StockCount[CountedQty],T_StockCount[RM_Code],$A40,T_StockCount[WeekIndex],44),IF((COUNTIFS(T_SelfStock[RM_Code],$A40,T_SelfStock[WeekIndex],44)&gt;0)*(COUNTIFS(T_TTAFStock[RM_Code],$A40,T_TTAFStock[WeekIndex],44)&gt;0)&gt;0,SUMIFS(T_SelfStock[Self_Qty],T_SelfStock[RM_Code],$A40,T_SelfStock[WeekIndex],44)+SUMIFS(T_TTAFStock[TTAF_Qty],T_TTAFStock[RM_Code],$A40,T_TTAFStock[WeekIndex],44),AR40+'Grid_Incoming'!AS40-'Grid_Requirement'!AS40))</f>
        <v/>
      </c>
      <c r="AT40">
        <f>IF(COUNTIFS(T_StockCount[RM_Code],$A40,T_StockCount[WeekIndex],45)&gt;0,SUMIFS(T_StockCount[CountedQty],T_StockCount[RM_Code],$A40,T_StockCount[WeekIndex],45),IF((COUNTIFS(T_SelfStock[RM_Code],$A40,T_SelfStock[WeekIndex],45)&gt;0)*(COUNTIFS(T_TTAFStock[RM_Code],$A40,T_TTAFStock[WeekIndex],45)&gt;0)&gt;0,SUMIFS(T_SelfStock[Self_Qty],T_SelfStock[RM_Code],$A40,T_SelfStock[WeekIndex],45)+SUMIFS(T_TTAFStock[TTAF_Qty],T_TTAFStock[RM_Code],$A40,T_TTAFStock[WeekIndex],45),AS40+'Grid_Incoming'!AT40-'Grid_Requirement'!AT40))</f>
        <v/>
      </c>
      <c r="AU40">
        <f>IF(COUNTIFS(T_StockCount[RM_Code],$A40,T_StockCount[WeekIndex],46)&gt;0,SUMIFS(T_StockCount[CountedQty],T_StockCount[RM_Code],$A40,T_StockCount[WeekIndex],46),IF((COUNTIFS(T_SelfStock[RM_Code],$A40,T_SelfStock[WeekIndex],46)&gt;0)*(COUNTIFS(T_TTAFStock[RM_Code],$A40,T_TTAFStock[WeekIndex],46)&gt;0)&gt;0,SUMIFS(T_SelfStock[Self_Qty],T_SelfStock[RM_Code],$A40,T_SelfStock[WeekIndex],46)+SUMIFS(T_TTAFStock[TTAF_Qty],T_TTAFStock[RM_Code],$A40,T_TTAFStock[WeekIndex],46),AT40+'Grid_Incoming'!AU40-'Grid_Requirement'!AU40))</f>
        <v/>
      </c>
      <c r="AV40">
        <f>IF(COUNTIFS(T_StockCount[RM_Code],$A40,T_StockCount[WeekIndex],47)&gt;0,SUMIFS(T_StockCount[CountedQty],T_StockCount[RM_Code],$A40,T_StockCount[WeekIndex],47),IF((COUNTIFS(T_SelfStock[RM_Code],$A40,T_SelfStock[WeekIndex],47)&gt;0)*(COUNTIFS(T_TTAFStock[RM_Code],$A40,T_TTAFStock[WeekIndex],47)&gt;0)&gt;0,SUMIFS(T_SelfStock[Self_Qty],T_SelfStock[RM_Code],$A40,T_SelfStock[WeekIndex],47)+SUMIFS(T_TTAFStock[TTAF_Qty],T_TTAFStock[RM_Code],$A40,T_TTAFStock[WeekIndex],47),AU40+'Grid_Incoming'!AV40-'Grid_Requirement'!AV40))</f>
        <v/>
      </c>
      <c r="AW40">
        <f>IF(COUNTIFS(T_StockCount[RM_Code],$A40,T_StockCount[WeekIndex],48)&gt;0,SUMIFS(T_StockCount[CountedQty],T_StockCount[RM_Code],$A40,T_StockCount[WeekIndex],48),IF((COUNTIFS(T_SelfStock[RM_Code],$A40,T_SelfStock[WeekIndex],48)&gt;0)*(COUNTIFS(T_TTAFStock[RM_Code],$A40,T_TTAFStock[WeekIndex],48)&gt;0)&gt;0,SUMIFS(T_SelfStock[Self_Qty],T_SelfStock[RM_Code],$A40,T_SelfStock[WeekIndex],48)+SUMIFS(T_TTAFStock[TTAF_Qty],T_TTAFStock[RM_Code],$A40,T_TTAFStock[WeekIndex],48),AV40+'Grid_Incoming'!AW40-'Grid_Requirement'!AW40))</f>
        <v/>
      </c>
      <c r="AX40">
        <f>IF(COUNTIFS(T_StockCount[RM_Code],$A40,T_StockCount[WeekIndex],49)&gt;0,SUMIFS(T_StockCount[CountedQty],T_StockCount[RM_Code],$A40,T_StockCount[WeekIndex],49),IF((COUNTIFS(T_SelfStock[RM_Code],$A40,T_SelfStock[WeekIndex],49)&gt;0)*(COUNTIFS(T_TTAFStock[RM_Code],$A40,T_TTAFStock[WeekIndex],49)&gt;0)&gt;0,SUMIFS(T_SelfStock[Self_Qty],T_SelfStock[RM_Code],$A40,T_SelfStock[WeekIndex],49)+SUMIFS(T_TTAFStock[TTAF_Qty],T_TTAFStock[RM_Code],$A40,T_TTAFStock[WeekIndex],49),AW40+'Grid_Incoming'!AX40-'Grid_Requirement'!AX40))</f>
        <v/>
      </c>
      <c r="AY40">
        <f>IF(COUNTIFS(T_StockCount[RM_Code],$A40,T_StockCount[WeekIndex],50)&gt;0,SUMIFS(T_StockCount[CountedQty],T_StockCount[RM_Code],$A40,T_StockCount[WeekIndex],50),IF((COUNTIFS(T_SelfStock[RM_Code],$A40,T_SelfStock[WeekIndex],50)&gt;0)*(COUNTIFS(T_TTAFStock[RM_Code],$A40,T_TTAFStock[WeekIndex],50)&gt;0)&gt;0,SUMIFS(T_SelfStock[Self_Qty],T_SelfStock[RM_Code],$A40,T_SelfStock[WeekIndex],50)+SUMIFS(T_TTAFStock[TTAF_Qty],T_TTAFStock[RM_Code],$A40,T_TTAFStock[WeekIndex],50),AX40+'Grid_Incoming'!AY40-'Grid_Requirement'!AY40))</f>
        <v/>
      </c>
      <c r="AZ40">
        <f>IF(COUNTIFS(T_StockCount[RM_Code],$A40,T_StockCount[WeekIndex],51)&gt;0,SUMIFS(T_StockCount[CountedQty],T_StockCount[RM_Code],$A40,T_StockCount[WeekIndex],51),IF((COUNTIFS(T_SelfStock[RM_Code],$A40,T_SelfStock[WeekIndex],51)&gt;0)*(COUNTIFS(T_TTAFStock[RM_Code],$A40,T_TTAFStock[WeekIndex],51)&gt;0)&gt;0,SUMIFS(T_SelfStock[Self_Qty],T_SelfStock[RM_Code],$A40,T_SelfStock[WeekIndex],51)+SUMIFS(T_TTAFStock[TTAF_Qty],T_TTAFStock[RM_Code],$A40,T_TTAFStock[WeekIndex],51),AY40+'Grid_Incoming'!AZ40-'Grid_Requirement'!AZ40))</f>
        <v/>
      </c>
      <c r="BA40">
        <f>IF(COUNTIFS(T_StockCount[RM_Code],$A40,T_StockCount[WeekIndex],52)&gt;0,SUMIFS(T_StockCount[CountedQty],T_StockCount[RM_Code],$A40,T_StockCount[WeekIndex],52),IF((COUNTIFS(T_SelfStock[RM_Code],$A40,T_SelfStock[WeekIndex],52)&gt;0)*(COUNTIFS(T_TTAFStock[RM_Code],$A40,T_TTAFStock[WeekIndex],52)&gt;0)&gt;0,SUMIFS(T_SelfStock[Self_Qty],T_SelfStock[RM_Code],$A40,T_SelfStock[WeekIndex],52)+SUMIFS(T_TTAFStock[TTAF_Qty],T_TTAFStock[RM_Code],$A40,T_TTAFStock[WeekIndex],52),AZ40+'Grid_Incoming'!BA40-'Grid_Requirement'!BA40))</f>
        <v/>
      </c>
      <c r="BB40">
        <f>IF(COUNTIFS(T_StockCount[RM_Code],$A40,T_StockCount[WeekIndex],53)&gt;0,SUMIFS(T_StockCount[CountedQty],T_StockCount[RM_Code],$A40,T_StockCount[WeekIndex],53),IF((COUNTIFS(T_SelfStock[RM_Code],$A40,T_SelfStock[WeekIndex],53)&gt;0)*(COUNTIFS(T_TTAFStock[RM_Code],$A40,T_TTAFStock[WeekIndex],53)&gt;0)&gt;0,SUMIFS(T_SelfStock[Self_Qty],T_SelfStock[RM_Code],$A40,T_SelfStock[WeekIndex],53)+SUMIFS(T_TTAFStock[TTAF_Qty],T_TTAFStock[RM_Code],$A40,T_TTAFStock[WeekIndex],53),BA40+'Grid_Incoming'!BB40-'Grid_Requirement'!BB40))</f>
        <v/>
      </c>
      <c r="BC40">
        <f>IF(COUNTIFS(T_StockCount[RM_Code],$A40,T_StockCount[WeekIndex],54)&gt;0,SUMIFS(T_StockCount[CountedQty],T_StockCount[RM_Code],$A40,T_StockCount[WeekIndex],54),IF((COUNTIFS(T_SelfStock[RM_Code],$A40,T_SelfStock[WeekIndex],54)&gt;0)*(COUNTIFS(T_TTAFStock[RM_Code],$A40,T_TTAFStock[WeekIndex],54)&gt;0)&gt;0,SUMIFS(T_SelfStock[Self_Qty],T_SelfStock[RM_Code],$A40,T_SelfStock[WeekIndex],54)+SUMIFS(T_TTAFStock[TTAF_Qty],T_TTAFStock[RM_Code],$A40,T_TTAFStock[WeekIndex],54),BB40+'Grid_Incoming'!BC40-'Grid_Requirement'!BC40))</f>
        <v/>
      </c>
      <c r="BD40">
        <f>IF(COUNTIFS(T_StockCount[RM_Code],$A40,T_StockCount[WeekIndex],55)&gt;0,SUMIFS(T_StockCount[CountedQty],T_StockCount[RM_Code],$A40,T_StockCount[WeekIndex],55),IF((COUNTIFS(T_SelfStock[RM_Code],$A40,T_SelfStock[WeekIndex],55)&gt;0)*(COUNTIFS(T_TTAFStock[RM_Code],$A40,T_TTAFStock[WeekIndex],55)&gt;0)&gt;0,SUMIFS(T_SelfStock[Self_Qty],T_SelfStock[RM_Code],$A40,T_SelfStock[WeekIndex],55)+SUMIFS(T_TTAFStock[TTAF_Qty],T_TTAFStock[RM_Code],$A40,T_TTAFStock[WeekIndex],55),BC40+'Grid_Incoming'!BD40-'Grid_Requirement'!BD40))</f>
        <v/>
      </c>
      <c r="BE40">
        <f>IF(COUNTIFS(T_StockCount[RM_Code],$A40,T_StockCount[WeekIndex],56)&gt;0,SUMIFS(T_StockCount[CountedQty],T_StockCount[RM_Code],$A40,T_StockCount[WeekIndex],56),IF((COUNTIFS(T_SelfStock[RM_Code],$A40,T_SelfStock[WeekIndex],56)&gt;0)*(COUNTIFS(T_TTAFStock[RM_Code],$A40,T_TTAFStock[WeekIndex],56)&gt;0)&gt;0,SUMIFS(T_SelfStock[Self_Qty],T_SelfStock[RM_Code],$A40,T_SelfStock[WeekIndex],56)+SUMIFS(T_TTAFStock[TTAF_Qty],T_TTAFStock[RM_Code],$A40,T_TTAFStock[WeekIndex],56),BD40+'Grid_Incoming'!BE40-'Grid_Requirement'!BE40))</f>
        <v/>
      </c>
      <c r="BF40">
        <f>IF(COUNTIFS(T_StockCount[RM_Code],$A40,T_StockCount[WeekIndex],57)&gt;0,SUMIFS(T_StockCount[CountedQty],T_StockCount[RM_Code],$A40,T_StockCount[WeekIndex],57),IF((COUNTIFS(T_SelfStock[RM_Code],$A40,T_SelfStock[WeekIndex],57)&gt;0)*(COUNTIFS(T_TTAFStock[RM_Code],$A40,T_TTAFStock[WeekIndex],57)&gt;0)&gt;0,SUMIFS(T_SelfStock[Self_Qty],T_SelfStock[RM_Code],$A40,T_SelfStock[WeekIndex],57)+SUMIFS(T_TTAFStock[TTAF_Qty],T_TTAFStock[RM_Code],$A40,T_TTAFStock[WeekIndex],57),BE40+'Grid_Incoming'!BF40-'Grid_Requirement'!BF40))</f>
        <v/>
      </c>
      <c r="BG40">
        <f>IF(COUNTIFS(T_StockCount[RM_Code],$A40,T_StockCount[WeekIndex],58)&gt;0,SUMIFS(T_StockCount[CountedQty],T_StockCount[RM_Code],$A40,T_StockCount[WeekIndex],58),IF((COUNTIFS(T_SelfStock[RM_Code],$A40,T_SelfStock[WeekIndex],58)&gt;0)*(COUNTIFS(T_TTAFStock[RM_Code],$A40,T_TTAFStock[WeekIndex],58)&gt;0)&gt;0,SUMIFS(T_SelfStock[Self_Qty],T_SelfStock[RM_Code],$A40,T_SelfStock[WeekIndex],58)+SUMIFS(T_TTAFStock[TTAF_Qty],T_TTAFStock[RM_Code],$A40,T_TTAFStock[WeekIndex],58),BF40+'Grid_Incoming'!BG40-'Grid_Requirement'!BG40))</f>
        <v/>
      </c>
      <c r="BH40">
        <f>IF(COUNTIFS(T_StockCount[RM_Code],$A40,T_StockCount[WeekIndex],59)&gt;0,SUMIFS(T_StockCount[CountedQty],T_StockCount[RM_Code],$A40,T_StockCount[WeekIndex],59),IF((COUNTIFS(T_SelfStock[RM_Code],$A40,T_SelfStock[WeekIndex],59)&gt;0)*(COUNTIFS(T_TTAFStock[RM_Code],$A40,T_TTAFStock[WeekIndex],59)&gt;0)&gt;0,SUMIFS(T_SelfStock[Self_Qty],T_SelfStock[RM_Code],$A40,T_SelfStock[WeekIndex],59)+SUMIFS(T_TTAFStock[TTAF_Qty],T_TTAFStock[RM_Code],$A40,T_TTAFStock[WeekIndex],59),BG40+'Grid_Incoming'!BH40-'Grid_Requirement'!BH40))</f>
        <v/>
      </c>
      <c r="BI40">
        <f>IF(COUNTIFS(T_StockCount[RM_Code],$A40,T_StockCount[WeekIndex],60)&gt;0,SUMIFS(T_StockCount[CountedQty],T_StockCount[RM_Code],$A40,T_StockCount[WeekIndex],60),IF((COUNTIFS(T_SelfStock[RM_Code],$A40,T_SelfStock[WeekIndex],60)&gt;0)*(COUNTIFS(T_TTAFStock[RM_Code],$A40,T_TTAFStock[WeekIndex],60)&gt;0)&gt;0,SUMIFS(T_SelfStock[Self_Qty],T_SelfStock[RM_Code],$A40,T_SelfStock[WeekIndex],60)+SUMIFS(T_TTAFStock[TTAF_Qty],T_TTAFStock[RM_Code],$A40,T_TTAFStock[WeekIndex],60),BH40+'Grid_Incoming'!BI40-'Grid_Requirement'!BI40))</f>
        <v/>
      </c>
      <c r="BJ40">
        <f>IF(COUNTIFS(T_StockCount[RM_Code],$A40,T_StockCount[WeekIndex],61)&gt;0,SUMIFS(T_StockCount[CountedQty],T_StockCount[RM_Code],$A40,T_StockCount[WeekIndex],61),IF((COUNTIFS(T_SelfStock[RM_Code],$A40,T_SelfStock[WeekIndex],61)&gt;0)*(COUNTIFS(T_TTAFStock[RM_Code],$A40,T_TTAFStock[WeekIndex],61)&gt;0)&gt;0,SUMIFS(T_SelfStock[Self_Qty],T_SelfStock[RM_Code],$A40,T_SelfStock[WeekIndex],61)+SUMIFS(T_TTAFStock[TTAF_Qty],T_TTAFStock[RM_Code],$A40,T_TTAFStock[WeekIndex],61),BI40+'Grid_Incoming'!BJ40-'Grid_Requirement'!BJ40))</f>
        <v/>
      </c>
      <c r="BK40">
        <f>IF(COUNTIFS(T_StockCount[RM_Code],$A40,T_StockCount[WeekIndex],62)&gt;0,SUMIFS(T_StockCount[CountedQty],T_StockCount[RM_Code],$A40,T_StockCount[WeekIndex],62),IF((COUNTIFS(T_SelfStock[RM_Code],$A40,T_SelfStock[WeekIndex],62)&gt;0)*(COUNTIFS(T_TTAFStock[RM_Code],$A40,T_TTAFStock[WeekIndex],62)&gt;0)&gt;0,SUMIFS(T_SelfStock[Self_Qty],T_SelfStock[RM_Code],$A40,T_SelfStock[WeekIndex],62)+SUMIFS(T_TTAFStock[TTAF_Qty],T_TTAFStock[RM_Code],$A40,T_TTAFStock[WeekIndex],62),BJ40+'Grid_Incoming'!BK40-'Grid_Requirement'!BK40))</f>
        <v/>
      </c>
      <c r="BL40">
        <f>IF(COUNTIFS(T_StockCount[RM_Code],$A40,T_StockCount[WeekIndex],63)&gt;0,SUMIFS(T_StockCount[CountedQty],T_StockCount[RM_Code],$A40,T_StockCount[WeekIndex],63),IF((COUNTIFS(T_SelfStock[RM_Code],$A40,T_SelfStock[WeekIndex],63)&gt;0)*(COUNTIFS(T_TTAFStock[RM_Code],$A40,T_TTAFStock[WeekIndex],63)&gt;0)&gt;0,SUMIFS(T_SelfStock[Self_Qty],T_SelfStock[RM_Code],$A40,T_SelfStock[WeekIndex],63)+SUMIFS(T_TTAFStock[TTAF_Qty],T_TTAFStock[RM_Code],$A40,T_TTAFStock[WeekIndex],63),BK40+'Grid_Incoming'!BL40-'Grid_Requirement'!BL40))</f>
        <v/>
      </c>
      <c r="BM40">
        <f>IF(COUNTIFS(T_StockCount[RM_Code],$A40,T_StockCount[WeekIndex],64)&gt;0,SUMIFS(T_StockCount[CountedQty],T_StockCount[RM_Code],$A40,T_StockCount[WeekIndex],64),IF((COUNTIFS(T_SelfStock[RM_Code],$A40,T_SelfStock[WeekIndex],64)&gt;0)*(COUNTIFS(T_TTAFStock[RM_Code],$A40,T_TTAFStock[WeekIndex],64)&gt;0)&gt;0,SUMIFS(T_SelfStock[Self_Qty],T_SelfStock[RM_Code],$A40,T_SelfStock[WeekIndex],64)+SUMIFS(T_TTAFStock[TTAF_Qty],T_TTAFStock[RM_Code],$A40,T_TTAFStock[WeekIndex],64),BL40+'Grid_Incoming'!BM40-'Grid_Requirement'!BM40))</f>
        <v/>
      </c>
      <c r="BN40">
        <f>IF(COUNTIFS(T_StockCount[RM_Code],$A40,T_StockCount[WeekIndex],65)&gt;0,SUMIFS(T_StockCount[CountedQty],T_StockCount[RM_Code],$A40,T_StockCount[WeekIndex],65),IF((COUNTIFS(T_SelfStock[RM_Code],$A40,T_SelfStock[WeekIndex],65)&gt;0)*(COUNTIFS(T_TTAFStock[RM_Code],$A40,T_TTAFStock[WeekIndex],65)&gt;0)&gt;0,SUMIFS(T_SelfStock[Self_Qty],T_SelfStock[RM_Code],$A40,T_SelfStock[WeekIndex],65)+SUMIFS(T_TTAFStock[TTAF_Qty],T_TTAFStock[RM_Code],$A40,T_TTAFStock[WeekIndex],65),BM40+'Grid_Incoming'!BN40-'Grid_Requirement'!BN40))</f>
        <v/>
      </c>
      <c r="BO40">
        <f>IF(COUNTIFS(T_StockCount[RM_Code],$A40,T_StockCount[WeekIndex],66)&gt;0,SUMIFS(T_StockCount[CountedQty],T_StockCount[RM_Code],$A40,T_StockCount[WeekIndex],66),IF((COUNTIFS(T_SelfStock[RM_Code],$A40,T_SelfStock[WeekIndex],66)&gt;0)*(COUNTIFS(T_TTAFStock[RM_Code],$A40,T_TTAFStock[WeekIndex],66)&gt;0)&gt;0,SUMIFS(T_SelfStock[Self_Qty],T_SelfStock[RM_Code],$A40,T_SelfStock[WeekIndex],66)+SUMIFS(T_TTAFStock[TTAF_Qty],T_TTAFStock[RM_Code],$A40,T_TTAFStock[WeekIndex],66),BN40+'Grid_Incoming'!BO40-'Grid_Requirement'!BO40))</f>
        <v/>
      </c>
      <c r="BP40">
        <f>IF(COUNTIFS(T_StockCount[RM_Code],$A40,T_StockCount[WeekIndex],67)&gt;0,SUMIFS(T_StockCount[CountedQty],T_StockCount[RM_Code],$A40,T_StockCount[WeekIndex],67),IF((COUNTIFS(T_SelfStock[RM_Code],$A40,T_SelfStock[WeekIndex],67)&gt;0)*(COUNTIFS(T_TTAFStock[RM_Code],$A40,T_TTAFStock[WeekIndex],67)&gt;0)&gt;0,SUMIFS(T_SelfStock[Self_Qty],T_SelfStock[RM_Code],$A40,T_SelfStock[WeekIndex],67)+SUMIFS(T_TTAFStock[TTAF_Qty],T_TTAFStock[RM_Code],$A40,T_TTAFStock[WeekIndex],67),BO40+'Grid_Incoming'!BP40-'Grid_Requirement'!BP40))</f>
        <v/>
      </c>
      <c r="BQ40">
        <f>IF(COUNTIFS(T_StockCount[RM_Code],$A40,T_StockCount[WeekIndex],68)&gt;0,SUMIFS(T_StockCount[CountedQty],T_StockCount[RM_Code],$A40,T_StockCount[WeekIndex],68),IF((COUNTIFS(T_SelfStock[RM_Code],$A40,T_SelfStock[WeekIndex],68)&gt;0)*(COUNTIFS(T_TTAFStock[RM_Code],$A40,T_TTAFStock[WeekIndex],68)&gt;0)&gt;0,SUMIFS(T_SelfStock[Self_Qty],T_SelfStock[RM_Code],$A40,T_SelfStock[WeekIndex],68)+SUMIFS(T_TTAFStock[TTAF_Qty],T_TTAFStock[RM_Code],$A40,T_TTAFStock[WeekIndex],68),BP40+'Grid_Incoming'!BQ40-'Grid_Requirement'!BQ40))</f>
        <v/>
      </c>
      <c r="BR40">
        <f>IF(COUNTIFS(T_StockCount[RM_Code],$A40,T_StockCount[WeekIndex],69)&gt;0,SUMIFS(T_StockCount[CountedQty],T_StockCount[RM_Code],$A40,T_StockCount[WeekIndex],69),IF((COUNTIFS(T_SelfStock[RM_Code],$A40,T_SelfStock[WeekIndex],69)&gt;0)*(COUNTIFS(T_TTAFStock[RM_Code],$A40,T_TTAFStock[WeekIndex],69)&gt;0)&gt;0,SUMIFS(T_SelfStock[Self_Qty],T_SelfStock[RM_Code],$A40,T_SelfStock[WeekIndex],69)+SUMIFS(T_TTAFStock[TTAF_Qty],T_TTAFStock[RM_Code],$A40,T_TTAFStock[WeekIndex],69),BQ40+'Grid_Incoming'!BR40-'Grid_Requirement'!BR40))</f>
        <v/>
      </c>
      <c r="BS40">
        <f>IF(COUNTIFS(T_StockCount[RM_Code],$A40,T_StockCount[WeekIndex],70)&gt;0,SUMIFS(T_StockCount[CountedQty],T_StockCount[RM_Code],$A40,T_StockCount[WeekIndex],70),IF((COUNTIFS(T_SelfStock[RM_Code],$A40,T_SelfStock[WeekIndex],70)&gt;0)*(COUNTIFS(T_TTAFStock[RM_Code],$A40,T_TTAFStock[WeekIndex],70)&gt;0)&gt;0,SUMIFS(T_SelfStock[Self_Qty],T_SelfStock[RM_Code],$A40,T_SelfStock[WeekIndex],70)+SUMIFS(T_TTAFStock[TTAF_Qty],T_TTAFStock[RM_Code],$A40,T_TTAFStock[WeekIndex],70),BR40+'Grid_Incoming'!BS40-'Grid_Requirement'!BS40))</f>
        <v/>
      </c>
      <c r="BT40">
        <f>IF(COUNTIFS(T_StockCount[RM_Code],$A40,T_StockCount[WeekIndex],71)&gt;0,SUMIFS(T_StockCount[CountedQty],T_StockCount[RM_Code],$A40,T_StockCount[WeekIndex],71),IF((COUNTIFS(T_SelfStock[RM_Code],$A40,T_SelfStock[WeekIndex],71)&gt;0)*(COUNTIFS(T_TTAFStock[RM_Code],$A40,T_TTAFStock[WeekIndex],71)&gt;0)&gt;0,SUMIFS(T_SelfStock[Self_Qty],T_SelfStock[RM_Code],$A40,T_SelfStock[WeekIndex],71)+SUMIFS(T_TTAFStock[TTAF_Qty],T_TTAFStock[RM_Code],$A40,T_TTAFStock[WeekIndex],71),BS40+'Grid_Incoming'!BT40-'Grid_Requirement'!BT40))</f>
        <v/>
      </c>
      <c r="BU40">
        <f>IF(COUNTIFS(T_StockCount[RM_Code],$A40,T_StockCount[WeekIndex],72)&gt;0,SUMIFS(T_StockCount[CountedQty],T_StockCount[RM_Code],$A40,T_StockCount[WeekIndex],72),IF((COUNTIFS(T_SelfStock[RM_Code],$A40,T_SelfStock[WeekIndex],72)&gt;0)*(COUNTIFS(T_TTAFStock[RM_Code],$A40,T_TTAFStock[WeekIndex],72)&gt;0)&gt;0,SUMIFS(T_SelfStock[Self_Qty],T_SelfStock[RM_Code],$A40,T_SelfStock[WeekIndex],72)+SUMIFS(T_TTAFStock[TTAF_Qty],T_TTAFStock[RM_Code],$A40,T_TTAFStock[WeekIndex],72),BT40+'Grid_Incoming'!BU40-'Grid_Requirement'!BU40))</f>
        <v/>
      </c>
      <c r="BV40">
        <f>IF(COUNTIFS(T_StockCount[RM_Code],$A40,T_StockCount[WeekIndex],73)&gt;0,SUMIFS(T_StockCount[CountedQty],T_StockCount[RM_Code],$A40,T_StockCount[WeekIndex],73),IF((COUNTIFS(T_SelfStock[RM_Code],$A40,T_SelfStock[WeekIndex],73)&gt;0)*(COUNTIFS(T_TTAFStock[RM_Code],$A40,T_TTAFStock[WeekIndex],73)&gt;0)&gt;0,SUMIFS(T_SelfStock[Self_Qty],T_SelfStock[RM_Code],$A40,T_SelfStock[WeekIndex],73)+SUMIFS(T_TTAFStock[TTAF_Qty],T_TTAFStock[RM_Code],$A40,T_TTAFStock[WeekIndex],73),BU40+'Grid_Incoming'!BV40-'Grid_Requirement'!BV40))</f>
        <v/>
      </c>
      <c r="BW40">
        <f>IF(COUNTIFS(T_StockCount[RM_Code],$A40,T_StockCount[WeekIndex],74)&gt;0,SUMIFS(T_StockCount[CountedQty],T_StockCount[RM_Code],$A40,T_StockCount[WeekIndex],74),IF((COUNTIFS(T_SelfStock[RM_Code],$A40,T_SelfStock[WeekIndex],74)&gt;0)*(COUNTIFS(T_TTAFStock[RM_Code],$A40,T_TTAFStock[WeekIndex],74)&gt;0)&gt;0,SUMIFS(T_SelfStock[Self_Qty],T_SelfStock[RM_Code],$A40,T_SelfStock[WeekIndex],74)+SUMIFS(T_TTAFStock[TTAF_Qty],T_TTAFStock[RM_Code],$A40,T_TTAFStock[WeekIndex],74),BV40+'Grid_Incoming'!BW40-'Grid_Requirement'!BW40))</f>
        <v/>
      </c>
      <c r="BX40">
        <f>IF(COUNTIFS(T_StockCount[RM_Code],$A40,T_StockCount[WeekIndex],75)&gt;0,SUMIFS(T_StockCount[CountedQty],T_StockCount[RM_Code],$A40,T_StockCount[WeekIndex],75),IF((COUNTIFS(T_SelfStock[RM_Code],$A40,T_SelfStock[WeekIndex],75)&gt;0)*(COUNTIFS(T_TTAFStock[RM_Code],$A40,T_TTAFStock[WeekIndex],75)&gt;0)&gt;0,SUMIFS(T_SelfStock[Self_Qty],T_SelfStock[RM_Code],$A40,T_SelfStock[WeekIndex],75)+SUMIFS(T_TTAFStock[TTAF_Qty],T_TTAFStock[RM_Code],$A40,T_TTAFStock[WeekIndex],75),BW40+'Grid_Incoming'!BX40-'Grid_Requirement'!BX40))</f>
        <v/>
      </c>
      <c r="BY40">
        <f>IF(COUNTIFS(T_StockCount[RM_Code],$A40,T_StockCount[WeekIndex],76)&gt;0,SUMIFS(T_StockCount[CountedQty],T_StockCount[RM_Code],$A40,T_StockCount[WeekIndex],76),IF((COUNTIFS(T_SelfStock[RM_Code],$A40,T_SelfStock[WeekIndex],76)&gt;0)*(COUNTIFS(T_TTAFStock[RM_Code],$A40,T_TTAFStock[WeekIndex],76)&gt;0)&gt;0,SUMIFS(T_SelfStock[Self_Qty],T_SelfStock[RM_Code],$A40,T_SelfStock[WeekIndex],76)+SUMIFS(T_TTAFStock[TTAF_Qty],T_TTAFStock[RM_Code],$A40,T_TTAFStock[WeekIndex],76),BX40+'Grid_Incoming'!BY40-'Grid_Requirement'!BY40))</f>
        <v/>
      </c>
      <c r="BZ40">
        <f>IF(COUNTIFS(T_StockCount[RM_Code],$A40,T_StockCount[WeekIndex],77)&gt;0,SUMIFS(T_StockCount[CountedQty],T_StockCount[RM_Code],$A40,T_StockCount[WeekIndex],77),IF((COUNTIFS(T_SelfStock[RM_Code],$A40,T_SelfStock[WeekIndex],77)&gt;0)*(COUNTIFS(T_TTAFStock[RM_Code],$A40,T_TTAFStock[WeekIndex],77)&gt;0)&gt;0,SUMIFS(T_SelfStock[Self_Qty],T_SelfStock[RM_Code],$A40,T_SelfStock[WeekIndex],77)+SUMIFS(T_TTAFStock[TTAF_Qty],T_TTAFStock[RM_Code],$A40,T_TTAFStock[WeekIndex],77),BY40+'Grid_Incoming'!BZ40-'Grid_Requirement'!BZ40))</f>
        <v/>
      </c>
      <c r="CA40">
        <f>IF(COUNTIFS(T_StockCount[RM_Code],$A40,T_StockCount[WeekIndex],78)&gt;0,SUMIFS(T_StockCount[CountedQty],T_StockCount[RM_Code],$A40,T_StockCount[WeekIndex],78),IF((COUNTIFS(T_SelfStock[RM_Code],$A40,T_SelfStock[WeekIndex],78)&gt;0)*(COUNTIFS(T_TTAFStock[RM_Code],$A40,T_TTAFStock[WeekIndex],78)&gt;0)&gt;0,SUMIFS(T_SelfStock[Self_Qty],T_SelfStock[RM_Code],$A40,T_SelfStock[WeekIndex],78)+SUMIFS(T_TTAFStock[TTAF_Qty],T_TTAFStock[RM_Code],$A40,T_TTAFStock[WeekIndex],78),BZ40+'Grid_Incoming'!CA40-'Grid_Requirement'!CA40))</f>
        <v/>
      </c>
      <c r="CB40">
        <f>IF(COUNTIFS(T_StockCount[RM_Code],$A40,T_StockCount[WeekIndex],79)&gt;0,SUMIFS(T_StockCount[CountedQty],T_StockCount[RM_Code],$A40,T_StockCount[WeekIndex],79),IF((COUNTIFS(T_SelfStock[RM_Code],$A40,T_SelfStock[WeekIndex],79)&gt;0)*(COUNTIFS(T_TTAFStock[RM_Code],$A40,T_TTAFStock[WeekIndex],79)&gt;0)&gt;0,SUMIFS(T_SelfStock[Self_Qty],T_SelfStock[RM_Code],$A40,T_SelfStock[WeekIndex],79)+SUMIFS(T_TTAFStock[TTAF_Qty],T_TTAFStock[RM_Code],$A40,T_TTAFStock[WeekIndex],79),CA40+'Grid_Incoming'!CB40-'Grid_Requirement'!CB40))</f>
        <v/>
      </c>
      <c r="CC40">
        <f>IF(COUNTIFS(T_StockCount[RM_Code],$A40,T_StockCount[WeekIndex],80)&gt;0,SUMIFS(T_StockCount[CountedQty],T_StockCount[RM_Code],$A40,T_StockCount[WeekIndex],80),IF((COUNTIFS(T_SelfStock[RM_Code],$A40,T_SelfStock[WeekIndex],80)&gt;0)*(COUNTIFS(T_TTAFStock[RM_Code],$A40,T_TTAFStock[WeekIndex],80)&gt;0)&gt;0,SUMIFS(T_SelfStock[Self_Qty],T_SelfStock[RM_Code],$A40,T_SelfStock[WeekIndex],80)+SUMIFS(T_TTAFStock[TTAF_Qty],T_TTAFStock[RM_Code],$A40,T_TTAFStock[WeekIndex],80),CB40+'Grid_Incoming'!CC40-'Grid_Requirement'!CC40))</f>
        <v/>
      </c>
      <c r="CD40">
        <f>IF(COUNTIFS(T_StockCount[RM_Code],$A40,T_StockCount[WeekIndex],81)&gt;0,SUMIFS(T_StockCount[CountedQty],T_StockCount[RM_Code],$A40,T_StockCount[WeekIndex],81),IF((COUNTIFS(T_SelfStock[RM_Code],$A40,T_SelfStock[WeekIndex],81)&gt;0)*(COUNTIFS(T_TTAFStock[RM_Code],$A40,T_TTAFStock[WeekIndex],81)&gt;0)&gt;0,SUMIFS(T_SelfStock[Self_Qty],T_SelfStock[RM_Code],$A40,T_SelfStock[WeekIndex],81)+SUMIFS(T_TTAFStock[TTAF_Qty],T_TTAFStock[RM_Code],$A40,T_TTAFStock[WeekIndex],81),CC40+'Grid_Incoming'!CD40-'Grid_Requirement'!CD40))</f>
        <v/>
      </c>
      <c r="CE40">
        <f>IF(COUNTIFS(T_StockCount[RM_Code],$A40,T_StockCount[WeekIndex],82)&gt;0,SUMIFS(T_StockCount[CountedQty],T_StockCount[RM_Code],$A40,T_StockCount[WeekIndex],82),IF((COUNTIFS(T_SelfStock[RM_Code],$A40,T_SelfStock[WeekIndex],82)&gt;0)*(COUNTIFS(T_TTAFStock[RM_Code],$A40,T_TTAFStock[WeekIndex],82)&gt;0)&gt;0,SUMIFS(T_SelfStock[Self_Qty],T_SelfStock[RM_Code],$A40,T_SelfStock[WeekIndex],82)+SUMIFS(T_TTAFStock[TTAF_Qty],T_TTAFStock[RM_Code],$A40,T_TTAFStock[WeekIndex],82),CD40+'Grid_Incoming'!CE40-'Grid_Requirement'!CE40))</f>
        <v/>
      </c>
      <c r="CF40">
        <f>IF(COUNTIFS(T_StockCount[RM_Code],$A40,T_StockCount[WeekIndex],83)&gt;0,SUMIFS(T_StockCount[CountedQty],T_StockCount[RM_Code],$A40,T_StockCount[WeekIndex],83),IF((COUNTIFS(T_SelfStock[RM_Code],$A40,T_SelfStock[WeekIndex],83)&gt;0)*(COUNTIFS(T_TTAFStock[RM_Code],$A40,T_TTAFStock[WeekIndex],83)&gt;0)&gt;0,SUMIFS(T_SelfStock[Self_Qty],T_SelfStock[RM_Code],$A40,T_SelfStock[WeekIndex],83)+SUMIFS(T_TTAFStock[TTAF_Qty],T_TTAFStock[RM_Code],$A40,T_TTAFStock[WeekIndex],83),CE40+'Grid_Incoming'!CF40-'Grid_Requirement'!CF40))</f>
        <v/>
      </c>
      <c r="CG40">
        <f>IF(COUNTIFS(T_StockCount[RM_Code],$A40,T_StockCount[WeekIndex],84)&gt;0,SUMIFS(T_StockCount[CountedQty],T_StockCount[RM_Code],$A40,T_StockCount[WeekIndex],84),IF((COUNTIFS(T_SelfStock[RM_Code],$A40,T_SelfStock[WeekIndex],84)&gt;0)*(COUNTIFS(T_TTAFStock[RM_Code],$A40,T_TTAFStock[WeekIndex],84)&gt;0)&gt;0,SUMIFS(T_SelfStock[Self_Qty],T_SelfStock[RM_Code],$A40,T_SelfStock[WeekIndex],84)+SUMIFS(T_TTAFStock[TTAF_Qty],T_TTAFStock[RM_Code],$A40,T_TTAFStock[WeekIndex],84),CF40+'Grid_Incoming'!CG40-'Grid_Requirement'!CG40))</f>
        <v/>
      </c>
      <c r="CH40">
        <f>IF(COUNTIFS(T_StockCount[RM_Code],$A40,T_StockCount[WeekIndex],85)&gt;0,SUMIFS(T_StockCount[CountedQty],T_StockCount[RM_Code],$A40,T_StockCount[WeekIndex],85),IF((COUNTIFS(T_SelfStock[RM_Code],$A40,T_SelfStock[WeekIndex],85)&gt;0)*(COUNTIFS(T_TTAFStock[RM_Code],$A40,T_TTAFStock[WeekIndex],85)&gt;0)&gt;0,SUMIFS(T_SelfStock[Self_Qty],T_SelfStock[RM_Code],$A40,T_SelfStock[WeekIndex],85)+SUMIFS(T_TTAFStock[TTAF_Qty],T_TTAFStock[RM_Code],$A40,T_TTAFStock[WeekIndex],85),CG40+'Grid_Incoming'!CH40-'Grid_Requirement'!CH40))</f>
        <v/>
      </c>
      <c r="CI40">
        <f>IF(COUNTIFS(T_StockCount[RM_Code],$A40,T_StockCount[WeekIndex],86)&gt;0,SUMIFS(T_StockCount[CountedQty],T_StockCount[RM_Code],$A40,T_StockCount[WeekIndex],86),IF((COUNTIFS(T_SelfStock[RM_Code],$A40,T_SelfStock[WeekIndex],86)&gt;0)*(COUNTIFS(T_TTAFStock[RM_Code],$A40,T_TTAFStock[WeekIndex],86)&gt;0)&gt;0,SUMIFS(T_SelfStock[Self_Qty],T_SelfStock[RM_Code],$A40,T_SelfStock[WeekIndex],86)+SUMIFS(T_TTAFStock[TTAF_Qty],T_TTAFStock[RM_Code],$A40,T_TTAFStock[WeekIndex],86),CH40+'Grid_Incoming'!CI40-'Grid_Requirement'!CI40))</f>
        <v/>
      </c>
      <c r="CJ40">
        <f>IF(COUNTIFS(T_StockCount[RM_Code],$A40,T_StockCount[WeekIndex],87)&gt;0,SUMIFS(T_StockCount[CountedQty],T_StockCount[RM_Code],$A40,T_StockCount[WeekIndex],87),IF((COUNTIFS(T_SelfStock[RM_Code],$A40,T_SelfStock[WeekIndex],87)&gt;0)*(COUNTIFS(T_TTAFStock[RM_Code],$A40,T_TTAFStock[WeekIndex],87)&gt;0)&gt;0,SUMIFS(T_SelfStock[Self_Qty],T_SelfStock[RM_Code],$A40,T_SelfStock[WeekIndex],87)+SUMIFS(T_TTAFStock[TTAF_Qty],T_TTAFStock[RM_Code],$A40,T_TTAFStock[WeekIndex],87),CI40+'Grid_Incoming'!CJ40-'Grid_Requirement'!CJ40))</f>
        <v/>
      </c>
      <c r="CK40">
        <f>IF(COUNTIFS(T_StockCount[RM_Code],$A40,T_StockCount[WeekIndex],88)&gt;0,SUMIFS(T_StockCount[CountedQty],T_StockCount[RM_Code],$A40,T_StockCount[WeekIndex],88),IF((COUNTIFS(T_SelfStock[RM_Code],$A40,T_SelfStock[WeekIndex],88)&gt;0)*(COUNTIFS(T_TTAFStock[RM_Code],$A40,T_TTAFStock[WeekIndex],88)&gt;0)&gt;0,SUMIFS(T_SelfStock[Self_Qty],T_SelfStock[RM_Code],$A40,T_SelfStock[WeekIndex],88)+SUMIFS(T_TTAFStock[TTAF_Qty],T_TTAFStock[RM_Code],$A40,T_TTAFStock[WeekIndex],88),CJ40+'Grid_Incoming'!CK40-'Grid_Requirement'!CK40))</f>
        <v/>
      </c>
      <c r="CL40">
        <f>IF(COUNTIFS(T_StockCount[RM_Code],$A40,T_StockCount[WeekIndex],89)&gt;0,SUMIFS(T_StockCount[CountedQty],T_StockCount[RM_Code],$A40,T_StockCount[WeekIndex],89),IF((COUNTIFS(T_SelfStock[RM_Code],$A40,T_SelfStock[WeekIndex],89)&gt;0)*(COUNTIFS(T_TTAFStock[RM_Code],$A40,T_TTAFStock[WeekIndex],89)&gt;0)&gt;0,SUMIFS(T_SelfStock[Self_Qty],T_SelfStock[RM_Code],$A40,T_SelfStock[WeekIndex],89)+SUMIFS(T_TTAFStock[TTAF_Qty],T_TTAFStock[RM_Code],$A40,T_TTAFStock[WeekIndex],89),CK40+'Grid_Incoming'!CL40-'Grid_Requirement'!CL40))</f>
        <v/>
      </c>
      <c r="CM40">
        <f>IF(COUNTIFS(T_StockCount[RM_Code],$A40,T_StockCount[WeekIndex],90)&gt;0,SUMIFS(T_StockCount[CountedQty],T_StockCount[RM_Code],$A40,T_StockCount[WeekIndex],90),IF((COUNTIFS(T_SelfStock[RM_Code],$A40,T_SelfStock[WeekIndex],90)&gt;0)*(COUNTIFS(T_TTAFStock[RM_Code],$A40,T_TTAFStock[WeekIndex],90)&gt;0)&gt;0,SUMIFS(T_SelfStock[Self_Qty],T_SelfStock[RM_Code],$A40,T_SelfStock[WeekIndex],90)+SUMIFS(T_TTAFStock[TTAF_Qty],T_TTAFStock[RM_Code],$A40,T_TTAFStock[WeekIndex],90),CL40+'Grid_Incoming'!CM40-'Grid_Requirement'!CM40))</f>
        <v/>
      </c>
      <c r="CN40">
        <f>IF(COUNTIFS(T_StockCount[RM_Code],$A40,T_StockCount[WeekIndex],91)&gt;0,SUMIFS(T_StockCount[CountedQty],T_StockCount[RM_Code],$A40,T_StockCount[WeekIndex],91),IF((COUNTIFS(T_SelfStock[RM_Code],$A40,T_SelfStock[WeekIndex],91)&gt;0)*(COUNTIFS(T_TTAFStock[RM_Code],$A40,T_TTAFStock[WeekIndex],91)&gt;0)&gt;0,SUMIFS(T_SelfStock[Self_Qty],T_SelfStock[RM_Code],$A40,T_SelfStock[WeekIndex],91)+SUMIFS(T_TTAFStock[TTAF_Qty],T_TTAFStock[RM_Code],$A40,T_TTAFStock[WeekIndex],91),CM40+'Grid_Incoming'!CN40-'Grid_Requirement'!CN40))</f>
        <v/>
      </c>
      <c r="CO40">
        <f>IF(COUNTIFS(T_StockCount[RM_Code],$A40,T_StockCount[WeekIndex],92)&gt;0,SUMIFS(T_StockCount[CountedQty],T_StockCount[RM_Code],$A40,T_StockCount[WeekIndex],92),IF((COUNTIFS(T_SelfStock[RM_Code],$A40,T_SelfStock[WeekIndex],92)&gt;0)*(COUNTIFS(T_TTAFStock[RM_Code],$A40,T_TTAFStock[WeekIndex],92)&gt;0)&gt;0,SUMIFS(T_SelfStock[Self_Qty],T_SelfStock[RM_Code],$A40,T_SelfStock[WeekIndex],92)+SUMIFS(T_TTAFStock[TTAF_Qty],T_TTAFStock[RM_Code],$A40,T_TTAFStock[WeekIndex],92),CN40+'Grid_Incoming'!CO40-'Grid_Requirement'!CO40))</f>
        <v/>
      </c>
      <c r="CP40">
        <f>IF(COUNTIFS(T_StockCount[RM_Code],$A40,T_StockCount[WeekIndex],93)&gt;0,SUMIFS(T_StockCount[CountedQty],T_StockCount[RM_Code],$A40,T_StockCount[WeekIndex],93),IF((COUNTIFS(T_SelfStock[RM_Code],$A40,T_SelfStock[WeekIndex],93)&gt;0)*(COUNTIFS(T_TTAFStock[RM_Code],$A40,T_TTAFStock[WeekIndex],93)&gt;0)&gt;0,SUMIFS(T_SelfStock[Self_Qty],T_SelfStock[RM_Code],$A40,T_SelfStock[WeekIndex],93)+SUMIFS(T_TTAFStock[TTAF_Qty],T_TTAFStock[RM_Code],$A40,T_TTAFStock[WeekIndex],93),CO40+'Grid_Incoming'!CP40-'Grid_Requirement'!CP40))</f>
        <v/>
      </c>
      <c r="CQ40">
        <f>IF(COUNTIFS(T_StockCount[RM_Code],$A40,T_StockCount[WeekIndex],94)&gt;0,SUMIFS(T_StockCount[CountedQty],T_StockCount[RM_Code],$A40,T_StockCount[WeekIndex],94),IF((COUNTIFS(T_SelfStock[RM_Code],$A40,T_SelfStock[WeekIndex],94)&gt;0)*(COUNTIFS(T_TTAFStock[RM_Code],$A40,T_TTAFStock[WeekIndex],94)&gt;0)&gt;0,SUMIFS(T_SelfStock[Self_Qty],T_SelfStock[RM_Code],$A40,T_SelfStock[WeekIndex],94)+SUMIFS(T_TTAFStock[TTAF_Qty],T_TTAFStock[RM_Code],$A40,T_TTAFStock[WeekIndex],94),CP40+'Grid_Incoming'!CQ40-'Grid_Requirement'!CQ40))</f>
        <v/>
      </c>
      <c r="CR40">
        <f>IF(COUNTIFS(T_StockCount[RM_Code],$A40,T_StockCount[WeekIndex],95)&gt;0,SUMIFS(T_StockCount[CountedQty],T_StockCount[RM_Code],$A40,T_StockCount[WeekIndex],95),IF((COUNTIFS(T_SelfStock[RM_Code],$A40,T_SelfStock[WeekIndex],95)&gt;0)*(COUNTIFS(T_TTAFStock[RM_Code],$A40,T_TTAFStock[WeekIndex],95)&gt;0)&gt;0,SUMIFS(T_SelfStock[Self_Qty],T_SelfStock[RM_Code],$A40,T_SelfStock[WeekIndex],95)+SUMIFS(T_TTAFStock[TTAF_Qty],T_TTAFStock[RM_Code],$A40,T_TTAFStock[WeekIndex],95),CQ40+'Grid_Incoming'!CR40-'Grid_Requirement'!CR40))</f>
        <v/>
      </c>
      <c r="CS40">
        <f>IF(COUNTIFS(T_StockCount[RM_Code],$A40,T_StockCount[WeekIndex],96)&gt;0,SUMIFS(T_StockCount[CountedQty],T_StockCount[RM_Code],$A40,T_StockCount[WeekIndex],96),IF((COUNTIFS(T_SelfStock[RM_Code],$A40,T_SelfStock[WeekIndex],96)&gt;0)*(COUNTIFS(T_TTAFStock[RM_Code],$A40,T_TTAFStock[WeekIndex],96)&gt;0)&gt;0,SUMIFS(T_SelfStock[Self_Qty],T_SelfStock[RM_Code],$A40,T_SelfStock[WeekIndex],96)+SUMIFS(T_TTAFStock[TTAF_Qty],T_TTAFStock[RM_Code],$A40,T_TTAFStock[WeekIndex],96),CR40+'Grid_Incoming'!CS40-'Grid_Requirement'!CS40))</f>
        <v/>
      </c>
      <c r="CT40">
        <f>IF(COUNTIFS(T_StockCount[RM_Code],$A40,T_StockCount[WeekIndex],97)&gt;0,SUMIFS(T_StockCount[CountedQty],T_StockCount[RM_Code],$A40,T_StockCount[WeekIndex],97),IF((COUNTIFS(T_SelfStock[RM_Code],$A40,T_SelfStock[WeekIndex],97)&gt;0)*(COUNTIFS(T_TTAFStock[RM_Code],$A40,T_TTAFStock[WeekIndex],97)&gt;0)&gt;0,SUMIFS(T_SelfStock[Self_Qty],T_SelfStock[RM_Code],$A40,T_SelfStock[WeekIndex],97)+SUMIFS(T_TTAFStock[TTAF_Qty],T_TTAFStock[RM_Code],$A40,T_TTAFStock[WeekIndex],97),CS40+'Grid_Incoming'!CT40-'Grid_Requirement'!CT40))</f>
        <v/>
      </c>
      <c r="CU40">
        <f>IF(COUNTIFS(T_StockCount[RM_Code],$A40,T_StockCount[WeekIndex],98)&gt;0,SUMIFS(T_StockCount[CountedQty],T_StockCount[RM_Code],$A40,T_StockCount[WeekIndex],98),IF((COUNTIFS(T_SelfStock[RM_Code],$A40,T_SelfStock[WeekIndex],98)&gt;0)*(COUNTIFS(T_TTAFStock[RM_Code],$A40,T_TTAFStock[WeekIndex],98)&gt;0)&gt;0,SUMIFS(T_SelfStock[Self_Qty],T_SelfStock[RM_Code],$A40,T_SelfStock[WeekIndex],98)+SUMIFS(T_TTAFStock[TTAF_Qty],T_TTAFStock[RM_Code],$A40,T_TTAFStock[WeekIndex],98),CT40+'Grid_Incoming'!CU40-'Grid_Requirement'!CU40))</f>
        <v/>
      </c>
      <c r="CV40">
        <f>IF(COUNTIFS(T_StockCount[RM_Code],$A40,T_StockCount[WeekIndex],99)&gt;0,SUMIFS(T_StockCount[CountedQty],T_StockCount[RM_Code],$A40,T_StockCount[WeekIndex],99),IF((COUNTIFS(T_SelfStock[RM_Code],$A40,T_SelfStock[WeekIndex],99)&gt;0)*(COUNTIFS(T_TTAFStock[RM_Code],$A40,T_TTAFStock[WeekIndex],99)&gt;0)&gt;0,SUMIFS(T_SelfStock[Self_Qty],T_SelfStock[RM_Code],$A40,T_SelfStock[WeekIndex],99)+SUMIFS(T_TTAFStock[TTAF_Qty],T_TTAFStock[RM_Code],$A40,T_TTAFStock[WeekIndex],99),CU40+'Grid_Incoming'!CV40-'Grid_Requirement'!CV40))</f>
        <v/>
      </c>
      <c r="CW40">
        <f>IF(COUNTIFS(T_StockCount[RM_Code],$A40,T_StockCount[WeekIndex],100)&gt;0,SUMIFS(T_StockCount[CountedQty],T_StockCount[RM_Code],$A40,T_StockCount[WeekIndex],100),IF((COUNTIFS(T_SelfStock[RM_Code],$A40,T_SelfStock[WeekIndex],100)&gt;0)*(COUNTIFS(T_TTAFStock[RM_Code],$A40,T_TTAFStock[WeekIndex],100)&gt;0)&gt;0,SUMIFS(T_SelfStock[Self_Qty],T_SelfStock[RM_Code],$A40,T_SelfStock[WeekIndex],100)+SUMIFS(T_TTAFStock[TTAF_Qty],T_TTAFStock[RM_Code],$A40,T_TTAFStock[WeekIndex],100),CV40+'Grid_Incoming'!CW40-'Grid_Requirement'!CW40))</f>
        <v/>
      </c>
      <c r="CX40">
        <f>IF(COUNTIFS(T_StockCount[RM_Code],$A40,T_StockCount[WeekIndex],101)&gt;0,SUMIFS(T_StockCount[CountedQty],T_StockCount[RM_Code],$A40,T_StockCount[WeekIndex],101),IF((COUNTIFS(T_SelfStock[RM_Code],$A40,T_SelfStock[WeekIndex],101)&gt;0)*(COUNTIFS(T_TTAFStock[RM_Code],$A40,T_TTAFStock[WeekIndex],101)&gt;0)&gt;0,SUMIFS(T_SelfStock[Self_Qty],T_SelfStock[RM_Code],$A40,T_SelfStock[WeekIndex],101)+SUMIFS(T_TTAFStock[TTAF_Qty],T_TTAFStock[RM_Code],$A40,T_TTAFStock[WeekIndex],101),CW40+'Grid_Incoming'!CX40-'Grid_Requirement'!CX40))</f>
        <v/>
      </c>
      <c r="CY40">
        <f>IF(COUNTIFS(T_StockCount[RM_Code],$A40,T_StockCount[WeekIndex],102)&gt;0,SUMIFS(T_StockCount[CountedQty],T_StockCount[RM_Code],$A40,T_StockCount[WeekIndex],102),IF((COUNTIFS(T_SelfStock[RM_Code],$A40,T_SelfStock[WeekIndex],102)&gt;0)*(COUNTIFS(T_TTAFStock[RM_Code],$A40,T_TTAFStock[WeekIndex],102)&gt;0)&gt;0,SUMIFS(T_SelfStock[Self_Qty],T_SelfStock[RM_Code],$A40,T_SelfStock[WeekIndex],102)+SUMIFS(T_TTAFStock[TTAF_Qty],T_TTAFStock[RM_Code],$A40,T_TTAFStock[WeekIndex],102),CX40+'Grid_Incoming'!CY40-'Grid_Requirement'!CY40))</f>
        <v/>
      </c>
      <c r="CZ40">
        <f>IF(COUNTIFS(T_StockCount[RM_Code],$A40,T_StockCount[WeekIndex],103)&gt;0,SUMIFS(T_StockCount[CountedQty],T_StockCount[RM_Code],$A40,T_StockCount[WeekIndex],103),IF((COUNTIFS(T_SelfStock[RM_Code],$A40,T_SelfStock[WeekIndex],103)&gt;0)*(COUNTIFS(T_TTAFStock[RM_Code],$A40,T_TTAFStock[WeekIndex],103)&gt;0)&gt;0,SUMIFS(T_SelfStock[Self_Qty],T_SelfStock[RM_Code],$A40,T_SelfStock[WeekIndex],103)+SUMIFS(T_TTAFStock[TTAF_Qty],T_TTAFStock[RM_Code],$A40,T_TTAFStock[WeekIndex],103),CY40+'Grid_Incoming'!CZ40-'Grid_Requirement'!CZ40))</f>
        <v/>
      </c>
      <c r="DA40">
        <f>IF(COUNTIFS(T_StockCount[RM_Code],$A40,T_StockCount[WeekIndex],104)&gt;0,SUMIFS(T_StockCount[CountedQty],T_StockCount[RM_Code],$A40,T_StockCount[WeekIndex],104),IF((COUNTIFS(T_SelfStock[RM_Code],$A40,T_SelfStock[WeekIndex],104)&gt;0)*(COUNTIFS(T_TTAFStock[RM_Code],$A40,T_TTAFStock[WeekIndex],104)&gt;0)&gt;0,SUMIFS(T_SelfStock[Self_Qty],T_SelfStock[RM_Code],$A40,T_SelfStock[WeekIndex],104)+SUMIFS(T_TTAFStock[TTAF_Qty],T_TTAFStock[RM_Code],$A40,T_TTAFStock[WeekIndex],104),CZ40+'Grid_Incoming'!DA40-'Grid_Requirement'!DA40))</f>
        <v/>
      </c>
    </row>
    <row r="41">
      <c r="A41" t="inlineStr">
        <is>
          <t>TDJ</t>
        </is>
      </c>
      <c r="B41">
        <f>IF(COUNTIFS(T_StockCount[RM_Code],$A41,T_StockCount[WeekIndex],1)&gt;0,SUMIFS(T_StockCount[CountedQty],T_StockCount[RM_Code],$A41,T_StockCount[WeekIndex],1),IF((COUNTIFS(T_SelfStock[RM_Code],$A41,T_SelfStock[WeekIndex],1)&gt;0)*(COUNTIFS(T_TTAFStock[RM_Code],$A41,T_TTAFStock[WeekIndex],1)&gt;0)&gt;0,SUMIFS(T_SelfStock[Self_Qty],T_SelfStock[RM_Code],$A41,T_SelfStock[WeekIndex],1)+SUMIFS(T_TTAFStock[TTAF_Qty],T_TTAFStock[RM_Code],$A41,T_TTAFStock[WeekIndex],1),IFERROR(INDEX(T_OpeningStock[Opening_Qty],MATCH($A41,T_OpeningStock[RM_Code],0)),0)+'Grid_Incoming'!B41-'Grid_Requirement'!B41))</f>
        <v/>
      </c>
      <c r="C41">
        <f>IF(COUNTIFS(T_StockCount[RM_Code],$A41,T_StockCount[WeekIndex],2)&gt;0,SUMIFS(T_StockCount[CountedQty],T_StockCount[RM_Code],$A41,T_StockCount[WeekIndex],2),IF((COUNTIFS(T_SelfStock[RM_Code],$A41,T_SelfStock[WeekIndex],2)&gt;0)*(COUNTIFS(T_TTAFStock[RM_Code],$A41,T_TTAFStock[WeekIndex],2)&gt;0)&gt;0,SUMIFS(T_SelfStock[Self_Qty],T_SelfStock[RM_Code],$A41,T_SelfStock[WeekIndex],2)+SUMIFS(T_TTAFStock[TTAF_Qty],T_TTAFStock[RM_Code],$A41,T_TTAFStock[WeekIndex],2),B41+'Grid_Incoming'!C41-'Grid_Requirement'!C41))</f>
        <v/>
      </c>
      <c r="D41">
        <f>IF(COUNTIFS(T_StockCount[RM_Code],$A41,T_StockCount[WeekIndex],3)&gt;0,SUMIFS(T_StockCount[CountedQty],T_StockCount[RM_Code],$A41,T_StockCount[WeekIndex],3),IF((COUNTIFS(T_SelfStock[RM_Code],$A41,T_SelfStock[WeekIndex],3)&gt;0)*(COUNTIFS(T_TTAFStock[RM_Code],$A41,T_TTAFStock[WeekIndex],3)&gt;0)&gt;0,SUMIFS(T_SelfStock[Self_Qty],T_SelfStock[RM_Code],$A41,T_SelfStock[WeekIndex],3)+SUMIFS(T_TTAFStock[TTAF_Qty],T_TTAFStock[RM_Code],$A41,T_TTAFStock[WeekIndex],3),C41+'Grid_Incoming'!D41-'Grid_Requirement'!D41))</f>
        <v/>
      </c>
      <c r="E41">
        <f>IF(COUNTIFS(T_StockCount[RM_Code],$A41,T_StockCount[WeekIndex],4)&gt;0,SUMIFS(T_StockCount[CountedQty],T_StockCount[RM_Code],$A41,T_StockCount[WeekIndex],4),IF((COUNTIFS(T_SelfStock[RM_Code],$A41,T_SelfStock[WeekIndex],4)&gt;0)*(COUNTIFS(T_TTAFStock[RM_Code],$A41,T_TTAFStock[WeekIndex],4)&gt;0)&gt;0,SUMIFS(T_SelfStock[Self_Qty],T_SelfStock[RM_Code],$A41,T_SelfStock[WeekIndex],4)+SUMIFS(T_TTAFStock[TTAF_Qty],T_TTAFStock[RM_Code],$A41,T_TTAFStock[WeekIndex],4),D41+'Grid_Incoming'!E41-'Grid_Requirement'!E41))</f>
        <v/>
      </c>
      <c r="F41">
        <f>IF(COUNTIFS(T_StockCount[RM_Code],$A41,T_StockCount[WeekIndex],5)&gt;0,SUMIFS(T_StockCount[CountedQty],T_StockCount[RM_Code],$A41,T_StockCount[WeekIndex],5),IF((COUNTIFS(T_SelfStock[RM_Code],$A41,T_SelfStock[WeekIndex],5)&gt;0)*(COUNTIFS(T_TTAFStock[RM_Code],$A41,T_TTAFStock[WeekIndex],5)&gt;0)&gt;0,SUMIFS(T_SelfStock[Self_Qty],T_SelfStock[RM_Code],$A41,T_SelfStock[WeekIndex],5)+SUMIFS(T_TTAFStock[TTAF_Qty],T_TTAFStock[RM_Code],$A41,T_TTAFStock[WeekIndex],5),E41+'Grid_Incoming'!F41-'Grid_Requirement'!F41))</f>
        <v/>
      </c>
      <c r="G41">
        <f>IF(COUNTIFS(T_StockCount[RM_Code],$A41,T_StockCount[WeekIndex],6)&gt;0,SUMIFS(T_StockCount[CountedQty],T_StockCount[RM_Code],$A41,T_StockCount[WeekIndex],6),IF((COUNTIFS(T_SelfStock[RM_Code],$A41,T_SelfStock[WeekIndex],6)&gt;0)*(COUNTIFS(T_TTAFStock[RM_Code],$A41,T_TTAFStock[WeekIndex],6)&gt;0)&gt;0,SUMIFS(T_SelfStock[Self_Qty],T_SelfStock[RM_Code],$A41,T_SelfStock[WeekIndex],6)+SUMIFS(T_TTAFStock[TTAF_Qty],T_TTAFStock[RM_Code],$A41,T_TTAFStock[WeekIndex],6),F41+'Grid_Incoming'!G41-'Grid_Requirement'!G41))</f>
        <v/>
      </c>
      <c r="H41">
        <f>IF(COUNTIFS(T_StockCount[RM_Code],$A41,T_StockCount[WeekIndex],7)&gt;0,SUMIFS(T_StockCount[CountedQty],T_StockCount[RM_Code],$A41,T_StockCount[WeekIndex],7),IF((COUNTIFS(T_SelfStock[RM_Code],$A41,T_SelfStock[WeekIndex],7)&gt;0)*(COUNTIFS(T_TTAFStock[RM_Code],$A41,T_TTAFStock[WeekIndex],7)&gt;0)&gt;0,SUMIFS(T_SelfStock[Self_Qty],T_SelfStock[RM_Code],$A41,T_SelfStock[WeekIndex],7)+SUMIFS(T_TTAFStock[TTAF_Qty],T_TTAFStock[RM_Code],$A41,T_TTAFStock[WeekIndex],7),G41+'Grid_Incoming'!H41-'Grid_Requirement'!H41))</f>
        <v/>
      </c>
      <c r="I41">
        <f>IF(COUNTIFS(T_StockCount[RM_Code],$A41,T_StockCount[WeekIndex],8)&gt;0,SUMIFS(T_StockCount[CountedQty],T_StockCount[RM_Code],$A41,T_StockCount[WeekIndex],8),IF((COUNTIFS(T_SelfStock[RM_Code],$A41,T_SelfStock[WeekIndex],8)&gt;0)*(COUNTIFS(T_TTAFStock[RM_Code],$A41,T_TTAFStock[WeekIndex],8)&gt;0)&gt;0,SUMIFS(T_SelfStock[Self_Qty],T_SelfStock[RM_Code],$A41,T_SelfStock[WeekIndex],8)+SUMIFS(T_TTAFStock[TTAF_Qty],T_TTAFStock[RM_Code],$A41,T_TTAFStock[WeekIndex],8),H41+'Grid_Incoming'!I41-'Grid_Requirement'!I41))</f>
        <v/>
      </c>
      <c r="J41">
        <f>IF(COUNTIFS(T_StockCount[RM_Code],$A41,T_StockCount[WeekIndex],9)&gt;0,SUMIFS(T_StockCount[CountedQty],T_StockCount[RM_Code],$A41,T_StockCount[WeekIndex],9),IF((COUNTIFS(T_SelfStock[RM_Code],$A41,T_SelfStock[WeekIndex],9)&gt;0)*(COUNTIFS(T_TTAFStock[RM_Code],$A41,T_TTAFStock[WeekIndex],9)&gt;0)&gt;0,SUMIFS(T_SelfStock[Self_Qty],T_SelfStock[RM_Code],$A41,T_SelfStock[WeekIndex],9)+SUMIFS(T_TTAFStock[TTAF_Qty],T_TTAFStock[RM_Code],$A41,T_TTAFStock[WeekIndex],9),I41+'Grid_Incoming'!J41-'Grid_Requirement'!J41))</f>
        <v/>
      </c>
      <c r="K41">
        <f>IF(COUNTIFS(T_StockCount[RM_Code],$A41,T_StockCount[WeekIndex],10)&gt;0,SUMIFS(T_StockCount[CountedQty],T_StockCount[RM_Code],$A41,T_StockCount[WeekIndex],10),IF((COUNTIFS(T_SelfStock[RM_Code],$A41,T_SelfStock[WeekIndex],10)&gt;0)*(COUNTIFS(T_TTAFStock[RM_Code],$A41,T_TTAFStock[WeekIndex],10)&gt;0)&gt;0,SUMIFS(T_SelfStock[Self_Qty],T_SelfStock[RM_Code],$A41,T_SelfStock[WeekIndex],10)+SUMIFS(T_TTAFStock[TTAF_Qty],T_TTAFStock[RM_Code],$A41,T_TTAFStock[WeekIndex],10),J41+'Grid_Incoming'!K41-'Grid_Requirement'!K41))</f>
        <v/>
      </c>
      <c r="L41">
        <f>IF(COUNTIFS(T_StockCount[RM_Code],$A41,T_StockCount[WeekIndex],11)&gt;0,SUMIFS(T_StockCount[CountedQty],T_StockCount[RM_Code],$A41,T_StockCount[WeekIndex],11),IF((COUNTIFS(T_SelfStock[RM_Code],$A41,T_SelfStock[WeekIndex],11)&gt;0)*(COUNTIFS(T_TTAFStock[RM_Code],$A41,T_TTAFStock[WeekIndex],11)&gt;0)&gt;0,SUMIFS(T_SelfStock[Self_Qty],T_SelfStock[RM_Code],$A41,T_SelfStock[WeekIndex],11)+SUMIFS(T_TTAFStock[TTAF_Qty],T_TTAFStock[RM_Code],$A41,T_TTAFStock[WeekIndex],11),K41+'Grid_Incoming'!L41-'Grid_Requirement'!L41))</f>
        <v/>
      </c>
      <c r="M41">
        <f>IF(COUNTIFS(T_StockCount[RM_Code],$A41,T_StockCount[WeekIndex],12)&gt;0,SUMIFS(T_StockCount[CountedQty],T_StockCount[RM_Code],$A41,T_StockCount[WeekIndex],12),IF((COUNTIFS(T_SelfStock[RM_Code],$A41,T_SelfStock[WeekIndex],12)&gt;0)*(COUNTIFS(T_TTAFStock[RM_Code],$A41,T_TTAFStock[WeekIndex],12)&gt;0)&gt;0,SUMIFS(T_SelfStock[Self_Qty],T_SelfStock[RM_Code],$A41,T_SelfStock[WeekIndex],12)+SUMIFS(T_TTAFStock[TTAF_Qty],T_TTAFStock[RM_Code],$A41,T_TTAFStock[WeekIndex],12),L41+'Grid_Incoming'!M41-'Grid_Requirement'!M41))</f>
        <v/>
      </c>
      <c r="N41">
        <f>IF(COUNTIFS(T_StockCount[RM_Code],$A41,T_StockCount[WeekIndex],13)&gt;0,SUMIFS(T_StockCount[CountedQty],T_StockCount[RM_Code],$A41,T_StockCount[WeekIndex],13),IF((COUNTIFS(T_SelfStock[RM_Code],$A41,T_SelfStock[WeekIndex],13)&gt;0)*(COUNTIFS(T_TTAFStock[RM_Code],$A41,T_TTAFStock[WeekIndex],13)&gt;0)&gt;0,SUMIFS(T_SelfStock[Self_Qty],T_SelfStock[RM_Code],$A41,T_SelfStock[WeekIndex],13)+SUMIFS(T_TTAFStock[TTAF_Qty],T_TTAFStock[RM_Code],$A41,T_TTAFStock[WeekIndex],13),M41+'Grid_Incoming'!N41-'Grid_Requirement'!N41))</f>
        <v/>
      </c>
      <c r="O41">
        <f>IF(COUNTIFS(T_StockCount[RM_Code],$A41,T_StockCount[WeekIndex],14)&gt;0,SUMIFS(T_StockCount[CountedQty],T_StockCount[RM_Code],$A41,T_StockCount[WeekIndex],14),IF((COUNTIFS(T_SelfStock[RM_Code],$A41,T_SelfStock[WeekIndex],14)&gt;0)*(COUNTIFS(T_TTAFStock[RM_Code],$A41,T_TTAFStock[WeekIndex],14)&gt;0)&gt;0,SUMIFS(T_SelfStock[Self_Qty],T_SelfStock[RM_Code],$A41,T_SelfStock[WeekIndex],14)+SUMIFS(T_TTAFStock[TTAF_Qty],T_TTAFStock[RM_Code],$A41,T_TTAFStock[WeekIndex],14),N41+'Grid_Incoming'!O41-'Grid_Requirement'!O41))</f>
        <v/>
      </c>
      <c r="P41">
        <f>IF(COUNTIFS(T_StockCount[RM_Code],$A41,T_StockCount[WeekIndex],15)&gt;0,SUMIFS(T_StockCount[CountedQty],T_StockCount[RM_Code],$A41,T_StockCount[WeekIndex],15),IF((COUNTIFS(T_SelfStock[RM_Code],$A41,T_SelfStock[WeekIndex],15)&gt;0)*(COUNTIFS(T_TTAFStock[RM_Code],$A41,T_TTAFStock[WeekIndex],15)&gt;0)&gt;0,SUMIFS(T_SelfStock[Self_Qty],T_SelfStock[RM_Code],$A41,T_SelfStock[WeekIndex],15)+SUMIFS(T_TTAFStock[TTAF_Qty],T_TTAFStock[RM_Code],$A41,T_TTAFStock[WeekIndex],15),O41+'Grid_Incoming'!P41-'Grid_Requirement'!P41))</f>
        <v/>
      </c>
      <c r="Q41">
        <f>IF(COUNTIFS(T_StockCount[RM_Code],$A41,T_StockCount[WeekIndex],16)&gt;0,SUMIFS(T_StockCount[CountedQty],T_StockCount[RM_Code],$A41,T_StockCount[WeekIndex],16),IF((COUNTIFS(T_SelfStock[RM_Code],$A41,T_SelfStock[WeekIndex],16)&gt;0)*(COUNTIFS(T_TTAFStock[RM_Code],$A41,T_TTAFStock[WeekIndex],16)&gt;0)&gt;0,SUMIFS(T_SelfStock[Self_Qty],T_SelfStock[RM_Code],$A41,T_SelfStock[WeekIndex],16)+SUMIFS(T_TTAFStock[TTAF_Qty],T_TTAFStock[RM_Code],$A41,T_TTAFStock[WeekIndex],16),P41+'Grid_Incoming'!Q41-'Grid_Requirement'!Q41))</f>
        <v/>
      </c>
      <c r="R41">
        <f>IF(COUNTIFS(T_StockCount[RM_Code],$A41,T_StockCount[WeekIndex],17)&gt;0,SUMIFS(T_StockCount[CountedQty],T_StockCount[RM_Code],$A41,T_StockCount[WeekIndex],17),IF((COUNTIFS(T_SelfStock[RM_Code],$A41,T_SelfStock[WeekIndex],17)&gt;0)*(COUNTIFS(T_TTAFStock[RM_Code],$A41,T_TTAFStock[WeekIndex],17)&gt;0)&gt;0,SUMIFS(T_SelfStock[Self_Qty],T_SelfStock[RM_Code],$A41,T_SelfStock[WeekIndex],17)+SUMIFS(T_TTAFStock[TTAF_Qty],T_TTAFStock[RM_Code],$A41,T_TTAFStock[WeekIndex],17),Q41+'Grid_Incoming'!R41-'Grid_Requirement'!R41))</f>
        <v/>
      </c>
      <c r="S41">
        <f>IF(COUNTIFS(T_StockCount[RM_Code],$A41,T_StockCount[WeekIndex],18)&gt;0,SUMIFS(T_StockCount[CountedQty],T_StockCount[RM_Code],$A41,T_StockCount[WeekIndex],18),IF((COUNTIFS(T_SelfStock[RM_Code],$A41,T_SelfStock[WeekIndex],18)&gt;0)*(COUNTIFS(T_TTAFStock[RM_Code],$A41,T_TTAFStock[WeekIndex],18)&gt;0)&gt;0,SUMIFS(T_SelfStock[Self_Qty],T_SelfStock[RM_Code],$A41,T_SelfStock[WeekIndex],18)+SUMIFS(T_TTAFStock[TTAF_Qty],T_TTAFStock[RM_Code],$A41,T_TTAFStock[WeekIndex],18),R41+'Grid_Incoming'!S41-'Grid_Requirement'!S41))</f>
        <v/>
      </c>
      <c r="T41">
        <f>IF(COUNTIFS(T_StockCount[RM_Code],$A41,T_StockCount[WeekIndex],19)&gt;0,SUMIFS(T_StockCount[CountedQty],T_StockCount[RM_Code],$A41,T_StockCount[WeekIndex],19),IF((COUNTIFS(T_SelfStock[RM_Code],$A41,T_SelfStock[WeekIndex],19)&gt;0)*(COUNTIFS(T_TTAFStock[RM_Code],$A41,T_TTAFStock[WeekIndex],19)&gt;0)&gt;0,SUMIFS(T_SelfStock[Self_Qty],T_SelfStock[RM_Code],$A41,T_SelfStock[WeekIndex],19)+SUMIFS(T_TTAFStock[TTAF_Qty],T_TTAFStock[RM_Code],$A41,T_TTAFStock[WeekIndex],19),S41+'Grid_Incoming'!T41-'Grid_Requirement'!T41))</f>
        <v/>
      </c>
      <c r="U41">
        <f>IF(COUNTIFS(T_StockCount[RM_Code],$A41,T_StockCount[WeekIndex],20)&gt;0,SUMIFS(T_StockCount[CountedQty],T_StockCount[RM_Code],$A41,T_StockCount[WeekIndex],20),IF((COUNTIFS(T_SelfStock[RM_Code],$A41,T_SelfStock[WeekIndex],20)&gt;0)*(COUNTIFS(T_TTAFStock[RM_Code],$A41,T_TTAFStock[WeekIndex],20)&gt;0)&gt;0,SUMIFS(T_SelfStock[Self_Qty],T_SelfStock[RM_Code],$A41,T_SelfStock[WeekIndex],20)+SUMIFS(T_TTAFStock[TTAF_Qty],T_TTAFStock[RM_Code],$A41,T_TTAFStock[WeekIndex],20),T41+'Grid_Incoming'!U41-'Grid_Requirement'!U41))</f>
        <v/>
      </c>
      <c r="V41">
        <f>IF(COUNTIFS(T_StockCount[RM_Code],$A41,T_StockCount[WeekIndex],21)&gt;0,SUMIFS(T_StockCount[CountedQty],T_StockCount[RM_Code],$A41,T_StockCount[WeekIndex],21),IF((COUNTIFS(T_SelfStock[RM_Code],$A41,T_SelfStock[WeekIndex],21)&gt;0)*(COUNTIFS(T_TTAFStock[RM_Code],$A41,T_TTAFStock[WeekIndex],21)&gt;0)&gt;0,SUMIFS(T_SelfStock[Self_Qty],T_SelfStock[RM_Code],$A41,T_SelfStock[WeekIndex],21)+SUMIFS(T_TTAFStock[TTAF_Qty],T_TTAFStock[RM_Code],$A41,T_TTAFStock[WeekIndex],21),U41+'Grid_Incoming'!V41-'Grid_Requirement'!V41))</f>
        <v/>
      </c>
      <c r="W41">
        <f>IF(COUNTIFS(T_StockCount[RM_Code],$A41,T_StockCount[WeekIndex],22)&gt;0,SUMIFS(T_StockCount[CountedQty],T_StockCount[RM_Code],$A41,T_StockCount[WeekIndex],22),IF((COUNTIFS(T_SelfStock[RM_Code],$A41,T_SelfStock[WeekIndex],22)&gt;0)*(COUNTIFS(T_TTAFStock[RM_Code],$A41,T_TTAFStock[WeekIndex],22)&gt;0)&gt;0,SUMIFS(T_SelfStock[Self_Qty],T_SelfStock[RM_Code],$A41,T_SelfStock[WeekIndex],22)+SUMIFS(T_TTAFStock[TTAF_Qty],T_TTAFStock[RM_Code],$A41,T_TTAFStock[WeekIndex],22),V41+'Grid_Incoming'!W41-'Grid_Requirement'!W41))</f>
        <v/>
      </c>
      <c r="X41">
        <f>IF(COUNTIFS(T_StockCount[RM_Code],$A41,T_StockCount[WeekIndex],23)&gt;0,SUMIFS(T_StockCount[CountedQty],T_StockCount[RM_Code],$A41,T_StockCount[WeekIndex],23),IF((COUNTIFS(T_SelfStock[RM_Code],$A41,T_SelfStock[WeekIndex],23)&gt;0)*(COUNTIFS(T_TTAFStock[RM_Code],$A41,T_TTAFStock[WeekIndex],23)&gt;0)&gt;0,SUMIFS(T_SelfStock[Self_Qty],T_SelfStock[RM_Code],$A41,T_SelfStock[WeekIndex],23)+SUMIFS(T_TTAFStock[TTAF_Qty],T_TTAFStock[RM_Code],$A41,T_TTAFStock[WeekIndex],23),W41+'Grid_Incoming'!X41-'Grid_Requirement'!X41))</f>
        <v/>
      </c>
      <c r="Y41">
        <f>IF(COUNTIFS(T_StockCount[RM_Code],$A41,T_StockCount[WeekIndex],24)&gt;0,SUMIFS(T_StockCount[CountedQty],T_StockCount[RM_Code],$A41,T_StockCount[WeekIndex],24),IF((COUNTIFS(T_SelfStock[RM_Code],$A41,T_SelfStock[WeekIndex],24)&gt;0)*(COUNTIFS(T_TTAFStock[RM_Code],$A41,T_TTAFStock[WeekIndex],24)&gt;0)&gt;0,SUMIFS(T_SelfStock[Self_Qty],T_SelfStock[RM_Code],$A41,T_SelfStock[WeekIndex],24)+SUMIFS(T_TTAFStock[TTAF_Qty],T_TTAFStock[RM_Code],$A41,T_TTAFStock[WeekIndex],24),X41+'Grid_Incoming'!Y41-'Grid_Requirement'!Y41))</f>
        <v/>
      </c>
      <c r="Z41">
        <f>IF(COUNTIFS(T_StockCount[RM_Code],$A41,T_StockCount[WeekIndex],25)&gt;0,SUMIFS(T_StockCount[CountedQty],T_StockCount[RM_Code],$A41,T_StockCount[WeekIndex],25),IF((COUNTIFS(T_SelfStock[RM_Code],$A41,T_SelfStock[WeekIndex],25)&gt;0)*(COUNTIFS(T_TTAFStock[RM_Code],$A41,T_TTAFStock[WeekIndex],25)&gt;0)&gt;0,SUMIFS(T_SelfStock[Self_Qty],T_SelfStock[RM_Code],$A41,T_SelfStock[WeekIndex],25)+SUMIFS(T_TTAFStock[TTAF_Qty],T_TTAFStock[RM_Code],$A41,T_TTAFStock[WeekIndex],25),Y41+'Grid_Incoming'!Z41-'Grid_Requirement'!Z41))</f>
        <v/>
      </c>
      <c r="AA41">
        <f>IF(COUNTIFS(T_StockCount[RM_Code],$A41,T_StockCount[WeekIndex],26)&gt;0,SUMIFS(T_StockCount[CountedQty],T_StockCount[RM_Code],$A41,T_StockCount[WeekIndex],26),IF((COUNTIFS(T_SelfStock[RM_Code],$A41,T_SelfStock[WeekIndex],26)&gt;0)*(COUNTIFS(T_TTAFStock[RM_Code],$A41,T_TTAFStock[WeekIndex],26)&gt;0)&gt;0,SUMIFS(T_SelfStock[Self_Qty],T_SelfStock[RM_Code],$A41,T_SelfStock[WeekIndex],26)+SUMIFS(T_TTAFStock[TTAF_Qty],T_TTAFStock[RM_Code],$A41,T_TTAFStock[WeekIndex],26),Z41+'Grid_Incoming'!AA41-'Grid_Requirement'!AA41))</f>
        <v/>
      </c>
      <c r="AB41">
        <f>IF(COUNTIFS(T_StockCount[RM_Code],$A41,T_StockCount[WeekIndex],27)&gt;0,SUMIFS(T_StockCount[CountedQty],T_StockCount[RM_Code],$A41,T_StockCount[WeekIndex],27),IF((COUNTIFS(T_SelfStock[RM_Code],$A41,T_SelfStock[WeekIndex],27)&gt;0)*(COUNTIFS(T_TTAFStock[RM_Code],$A41,T_TTAFStock[WeekIndex],27)&gt;0)&gt;0,SUMIFS(T_SelfStock[Self_Qty],T_SelfStock[RM_Code],$A41,T_SelfStock[WeekIndex],27)+SUMIFS(T_TTAFStock[TTAF_Qty],T_TTAFStock[RM_Code],$A41,T_TTAFStock[WeekIndex],27),AA41+'Grid_Incoming'!AB41-'Grid_Requirement'!AB41))</f>
        <v/>
      </c>
      <c r="AC41">
        <f>IF(COUNTIFS(T_StockCount[RM_Code],$A41,T_StockCount[WeekIndex],28)&gt;0,SUMIFS(T_StockCount[CountedQty],T_StockCount[RM_Code],$A41,T_StockCount[WeekIndex],28),IF((COUNTIFS(T_SelfStock[RM_Code],$A41,T_SelfStock[WeekIndex],28)&gt;0)*(COUNTIFS(T_TTAFStock[RM_Code],$A41,T_TTAFStock[WeekIndex],28)&gt;0)&gt;0,SUMIFS(T_SelfStock[Self_Qty],T_SelfStock[RM_Code],$A41,T_SelfStock[WeekIndex],28)+SUMIFS(T_TTAFStock[TTAF_Qty],T_TTAFStock[RM_Code],$A41,T_TTAFStock[WeekIndex],28),AB41+'Grid_Incoming'!AC41-'Grid_Requirement'!AC41))</f>
        <v/>
      </c>
      <c r="AD41">
        <f>IF(COUNTIFS(T_StockCount[RM_Code],$A41,T_StockCount[WeekIndex],29)&gt;0,SUMIFS(T_StockCount[CountedQty],T_StockCount[RM_Code],$A41,T_StockCount[WeekIndex],29),IF((COUNTIFS(T_SelfStock[RM_Code],$A41,T_SelfStock[WeekIndex],29)&gt;0)*(COUNTIFS(T_TTAFStock[RM_Code],$A41,T_TTAFStock[WeekIndex],29)&gt;0)&gt;0,SUMIFS(T_SelfStock[Self_Qty],T_SelfStock[RM_Code],$A41,T_SelfStock[WeekIndex],29)+SUMIFS(T_TTAFStock[TTAF_Qty],T_TTAFStock[RM_Code],$A41,T_TTAFStock[WeekIndex],29),AC41+'Grid_Incoming'!AD41-'Grid_Requirement'!AD41))</f>
        <v/>
      </c>
      <c r="AE41">
        <f>IF(COUNTIFS(T_StockCount[RM_Code],$A41,T_StockCount[WeekIndex],30)&gt;0,SUMIFS(T_StockCount[CountedQty],T_StockCount[RM_Code],$A41,T_StockCount[WeekIndex],30),IF((COUNTIFS(T_SelfStock[RM_Code],$A41,T_SelfStock[WeekIndex],30)&gt;0)*(COUNTIFS(T_TTAFStock[RM_Code],$A41,T_TTAFStock[WeekIndex],30)&gt;0)&gt;0,SUMIFS(T_SelfStock[Self_Qty],T_SelfStock[RM_Code],$A41,T_SelfStock[WeekIndex],30)+SUMIFS(T_TTAFStock[TTAF_Qty],T_TTAFStock[RM_Code],$A41,T_TTAFStock[WeekIndex],30),AD41+'Grid_Incoming'!AE41-'Grid_Requirement'!AE41))</f>
        <v/>
      </c>
      <c r="AF41">
        <f>IF(COUNTIFS(T_StockCount[RM_Code],$A41,T_StockCount[WeekIndex],31)&gt;0,SUMIFS(T_StockCount[CountedQty],T_StockCount[RM_Code],$A41,T_StockCount[WeekIndex],31),IF((COUNTIFS(T_SelfStock[RM_Code],$A41,T_SelfStock[WeekIndex],31)&gt;0)*(COUNTIFS(T_TTAFStock[RM_Code],$A41,T_TTAFStock[WeekIndex],31)&gt;0)&gt;0,SUMIFS(T_SelfStock[Self_Qty],T_SelfStock[RM_Code],$A41,T_SelfStock[WeekIndex],31)+SUMIFS(T_TTAFStock[TTAF_Qty],T_TTAFStock[RM_Code],$A41,T_TTAFStock[WeekIndex],31),AE41+'Grid_Incoming'!AF41-'Grid_Requirement'!AF41))</f>
        <v/>
      </c>
      <c r="AG41">
        <f>IF(COUNTIFS(T_StockCount[RM_Code],$A41,T_StockCount[WeekIndex],32)&gt;0,SUMIFS(T_StockCount[CountedQty],T_StockCount[RM_Code],$A41,T_StockCount[WeekIndex],32),IF((COUNTIFS(T_SelfStock[RM_Code],$A41,T_SelfStock[WeekIndex],32)&gt;0)*(COUNTIFS(T_TTAFStock[RM_Code],$A41,T_TTAFStock[WeekIndex],32)&gt;0)&gt;0,SUMIFS(T_SelfStock[Self_Qty],T_SelfStock[RM_Code],$A41,T_SelfStock[WeekIndex],32)+SUMIFS(T_TTAFStock[TTAF_Qty],T_TTAFStock[RM_Code],$A41,T_TTAFStock[WeekIndex],32),AF41+'Grid_Incoming'!AG41-'Grid_Requirement'!AG41))</f>
        <v/>
      </c>
      <c r="AH41">
        <f>IF(COUNTIFS(T_StockCount[RM_Code],$A41,T_StockCount[WeekIndex],33)&gt;0,SUMIFS(T_StockCount[CountedQty],T_StockCount[RM_Code],$A41,T_StockCount[WeekIndex],33),IF((COUNTIFS(T_SelfStock[RM_Code],$A41,T_SelfStock[WeekIndex],33)&gt;0)*(COUNTIFS(T_TTAFStock[RM_Code],$A41,T_TTAFStock[WeekIndex],33)&gt;0)&gt;0,SUMIFS(T_SelfStock[Self_Qty],T_SelfStock[RM_Code],$A41,T_SelfStock[WeekIndex],33)+SUMIFS(T_TTAFStock[TTAF_Qty],T_TTAFStock[RM_Code],$A41,T_TTAFStock[WeekIndex],33),AG41+'Grid_Incoming'!AH41-'Grid_Requirement'!AH41))</f>
        <v/>
      </c>
      <c r="AI41">
        <f>IF(COUNTIFS(T_StockCount[RM_Code],$A41,T_StockCount[WeekIndex],34)&gt;0,SUMIFS(T_StockCount[CountedQty],T_StockCount[RM_Code],$A41,T_StockCount[WeekIndex],34),IF((COUNTIFS(T_SelfStock[RM_Code],$A41,T_SelfStock[WeekIndex],34)&gt;0)*(COUNTIFS(T_TTAFStock[RM_Code],$A41,T_TTAFStock[WeekIndex],34)&gt;0)&gt;0,SUMIFS(T_SelfStock[Self_Qty],T_SelfStock[RM_Code],$A41,T_SelfStock[WeekIndex],34)+SUMIFS(T_TTAFStock[TTAF_Qty],T_TTAFStock[RM_Code],$A41,T_TTAFStock[WeekIndex],34),AH41+'Grid_Incoming'!AI41-'Grid_Requirement'!AI41))</f>
        <v/>
      </c>
      <c r="AJ41">
        <f>IF(COUNTIFS(T_StockCount[RM_Code],$A41,T_StockCount[WeekIndex],35)&gt;0,SUMIFS(T_StockCount[CountedQty],T_StockCount[RM_Code],$A41,T_StockCount[WeekIndex],35),IF((COUNTIFS(T_SelfStock[RM_Code],$A41,T_SelfStock[WeekIndex],35)&gt;0)*(COUNTIFS(T_TTAFStock[RM_Code],$A41,T_TTAFStock[WeekIndex],35)&gt;0)&gt;0,SUMIFS(T_SelfStock[Self_Qty],T_SelfStock[RM_Code],$A41,T_SelfStock[WeekIndex],35)+SUMIFS(T_TTAFStock[TTAF_Qty],T_TTAFStock[RM_Code],$A41,T_TTAFStock[WeekIndex],35),AI41+'Grid_Incoming'!AJ41-'Grid_Requirement'!AJ41))</f>
        <v/>
      </c>
      <c r="AK41">
        <f>IF(COUNTIFS(T_StockCount[RM_Code],$A41,T_StockCount[WeekIndex],36)&gt;0,SUMIFS(T_StockCount[CountedQty],T_StockCount[RM_Code],$A41,T_StockCount[WeekIndex],36),IF((COUNTIFS(T_SelfStock[RM_Code],$A41,T_SelfStock[WeekIndex],36)&gt;0)*(COUNTIFS(T_TTAFStock[RM_Code],$A41,T_TTAFStock[WeekIndex],36)&gt;0)&gt;0,SUMIFS(T_SelfStock[Self_Qty],T_SelfStock[RM_Code],$A41,T_SelfStock[WeekIndex],36)+SUMIFS(T_TTAFStock[TTAF_Qty],T_TTAFStock[RM_Code],$A41,T_TTAFStock[WeekIndex],36),AJ41+'Grid_Incoming'!AK41-'Grid_Requirement'!AK41))</f>
        <v/>
      </c>
      <c r="AL41">
        <f>IF(COUNTIFS(T_StockCount[RM_Code],$A41,T_StockCount[WeekIndex],37)&gt;0,SUMIFS(T_StockCount[CountedQty],T_StockCount[RM_Code],$A41,T_StockCount[WeekIndex],37),IF((COUNTIFS(T_SelfStock[RM_Code],$A41,T_SelfStock[WeekIndex],37)&gt;0)*(COUNTIFS(T_TTAFStock[RM_Code],$A41,T_TTAFStock[WeekIndex],37)&gt;0)&gt;0,SUMIFS(T_SelfStock[Self_Qty],T_SelfStock[RM_Code],$A41,T_SelfStock[WeekIndex],37)+SUMIFS(T_TTAFStock[TTAF_Qty],T_TTAFStock[RM_Code],$A41,T_TTAFStock[WeekIndex],37),AK41+'Grid_Incoming'!AL41-'Grid_Requirement'!AL41))</f>
        <v/>
      </c>
      <c r="AM41">
        <f>IF(COUNTIFS(T_StockCount[RM_Code],$A41,T_StockCount[WeekIndex],38)&gt;0,SUMIFS(T_StockCount[CountedQty],T_StockCount[RM_Code],$A41,T_StockCount[WeekIndex],38),IF((COUNTIFS(T_SelfStock[RM_Code],$A41,T_SelfStock[WeekIndex],38)&gt;0)*(COUNTIFS(T_TTAFStock[RM_Code],$A41,T_TTAFStock[WeekIndex],38)&gt;0)&gt;0,SUMIFS(T_SelfStock[Self_Qty],T_SelfStock[RM_Code],$A41,T_SelfStock[WeekIndex],38)+SUMIFS(T_TTAFStock[TTAF_Qty],T_TTAFStock[RM_Code],$A41,T_TTAFStock[WeekIndex],38),AL41+'Grid_Incoming'!AM41-'Grid_Requirement'!AM41))</f>
        <v/>
      </c>
      <c r="AN41">
        <f>IF(COUNTIFS(T_StockCount[RM_Code],$A41,T_StockCount[WeekIndex],39)&gt;0,SUMIFS(T_StockCount[CountedQty],T_StockCount[RM_Code],$A41,T_StockCount[WeekIndex],39),IF((COUNTIFS(T_SelfStock[RM_Code],$A41,T_SelfStock[WeekIndex],39)&gt;0)*(COUNTIFS(T_TTAFStock[RM_Code],$A41,T_TTAFStock[WeekIndex],39)&gt;0)&gt;0,SUMIFS(T_SelfStock[Self_Qty],T_SelfStock[RM_Code],$A41,T_SelfStock[WeekIndex],39)+SUMIFS(T_TTAFStock[TTAF_Qty],T_TTAFStock[RM_Code],$A41,T_TTAFStock[WeekIndex],39),AM41+'Grid_Incoming'!AN41-'Grid_Requirement'!AN41))</f>
        <v/>
      </c>
      <c r="AO41">
        <f>IF(COUNTIFS(T_StockCount[RM_Code],$A41,T_StockCount[WeekIndex],40)&gt;0,SUMIFS(T_StockCount[CountedQty],T_StockCount[RM_Code],$A41,T_StockCount[WeekIndex],40),IF((COUNTIFS(T_SelfStock[RM_Code],$A41,T_SelfStock[WeekIndex],40)&gt;0)*(COUNTIFS(T_TTAFStock[RM_Code],$A41,T_TTAFStock[WeekIndex],40)&gt;0)&gt;0,SUMIFS(T_SelfStock[Self_Qty],T_SelfStock[RM_Code],$A41,T_SelfStock[WeekIndex],40)+SUMIFS(T_TTAFStock[TTAF_Qty],T_TTAFStock[RM_Code],$A41,T_TTAFStock[WeekIndex],40),AN41+'Grid_Incoming'!AO41-'Grid_Requirement'!AO41))</f>
        <v/>
      </c>
      <c r="AP41">
        <f>IF(COUNTIFS(T_StockCount[RM_Code],$A41,T_StockCount[WeekIndex],41)&gt;0,SUMIFS(T_StockCount[CountedQty],T_StockCount[RM_Code],$A41,T_StockCount[WeekIndex],41),IF((COUNTIFS(T_SelfStock[RM_Code],$A41,T_SelfStock[WeekIndex],41)&gt;0)*(COUNTIFS(T_TTAFStock[RM_Code],$A41,T_TTAFStock[WeekIndex],41)&gt;0)&gt;0,SUMIFS(T_SelfStock[Self_Qty],T_SelfStock[RM_Code],$A41,T_SelfStock[WeekIndex],41)+SUMIFS(T_TTAFStock[TTAF_Qty],T_TTAFStock[RM_Code],$A41,T_TTAFStock[WeekIndex],41),AO41+'Grid_Incoming'!AP41-'Grid_Requirement'!AP41))</f>
        <v/>
      </c>
      <c r="AQ41">
        <f>IF(COUNTIFS(T_StockCount[RM_Code],$A41,T_StockCount[WeekIndex],42)&gt;0,SUMIFS(T_StockCount[CountedQty],T_StockCount[RM_Code],$A41,T_StockCount[WeekIndex],42),IF((COUNTIFS(T_SelfStock[RM_Code],$A41,T_SelfStock[WeekIndex],42)&gt;0)*(COUNTIFS(T_TTAFStock[RM_Code],$A41,T_TTAFStock[WeekIndex],42)&gt;0)&gt;0,SUMIFS(T_SelfStock[Self_Qty],T_SelfStock[RM_Code],$A41,T_SelfStock[WeekIndex],42)+SUMIFS(T_TTAFStock[TTAF_Qty],T_TTAFStock[RM_Code],$A41,T_TTAFStock[WeekIndex],42),AP41+'Grid_Incoming'!AQ41-'Grid_Requirement'!AQ41))</f>
        <v/>
      </c>
      <c r="AR41">
        <f>IF(COUNTIFS(T_StockCount[RM_Code],$A41,T_StockCount[WeekIndex],43)&gt;0,SUMIFS(T_StockCount[CountedQty],T_StockCount[RM_Code],$A41,T_StockCount[WeekIndex],43),IF((COUNTIFS(T_SelfStock[RM_Code],$A41,T_SelfStock[WeekIndex],43)&gt;0)*(COUNTIFS(T_TTAFStock[RM_Code],$A41,T_TTAFStock[WeekIndex],43)&gt;0)&gt;0,SUMIFS(T_SelfStock[Self_Qty],T_SelfStock[RM_Code],$A41,T_SelfStock[WeekIndex],43)+SUMIFS(T_TTAFStock[TTAF_Qty],T_TTAFStock[RM_Code],$A41,T_TTAFStock[WeekIndex],43),AQ41+'Grid_Incoming'!AR41-'Grid_Requirement'!AR41))</f>
        <v/>
      </c>
      <c r="AS41">
        <f>IF(COUNTIFS(T_StockCount[RM_Code],$A41,T_StockCount[WeekIndex],44)&gt;0,SUMIFS(T_StockCount[CountedQty],T_StockCount[RM_Code],$A41,T_StockCount[WeekIndex],44),IF((COUNTIFS(T_SelfStock[RM_Code],$A41,T_SelfStock[WeekIndex],44)&gt;0)*(COUNTIFS(T_TTAFStock[RM_Code],$A41,T_TTAFStock[WeekIndex],44)&gt;0)&gt;0,SUMIFS(T_SelfStock[Self_Qty],T_SelfStock[RM_Code],$A41,T_SelfStock[WeekIndex],44)+SUMIFS(T_TTAFStock[TTAF_Qty],T_TTAFStock[RM_Code],$A41,T_TTAFStock[WeekIndex],44),AR41+'Grid_Incoming'!AS41-'Grid_Requirement'!AS41))</f>
        <v/>
      </c>
      <c r="AT41">
        <f>IF(COUNTIFS(T_StockCount[RM_Code],$A41,T_StockCount[WeekIndex],45)&gt;0,SUMIFS(T_StockCount[CountedQty],T_StockCount[RM_Code],$A41,T_StockCount[WeekIndex],45),IF((COUNTIFS(T_SelfStock[RM_Code],$A41,T_SelfStock[WeekIndex],45)&gt;0)*(COUNTIFS(T_TTAFStock[RM_Code],$A41,T_TTAFStock[WeekIndex],45)&gt;0)&gt;0,SUMIFS(T_SelfStock[Self_Qty],T_SelfStock[RM_Code],$A41,T_SelfStock[WeekIndex],45)+SUMIFS(T_TTAFStock[TTAF_Qty],T_TTAFStock[RM_Code],$A41,T_TTAFStock[WeekIndex],45),AS41+'Grid_Incoming'!AT41-'Grid_Requirement'!AT41))</f>
        <v/>
      </c>
      <c r="AU41">
        <f>IF(COUNTIFS(T_StockCount[RM_Code],$A41,T_StockCount[WeekIndex],46)&gt;0,SUMIFS(T_StockCount[CountedQty],T_StockCount[RM_Code],$A41,T_StockCount[WeekIndex],46),IF((COUNTIFS(T_SelfStock[RM_Code],$A41,T_SelfStock[WeekIndex],46)&gt;0)*(COUNTIFS(T_TTAFStock[RM_Code],$A41,T_TTAFStock[WeekIndex],46)&gt;0)&gt;0,SUMIFS(T_SelfStock[Self_Qty],T_SelfStock[RM_Code],$A41,T_SelfStock[WeekIndex],46)+SUMIFS(T_TTAFStock[TTAF_Qty],T_TTAFStock[RM_Code],$A41,T_TTAFStock[WeekIndex],46),AT41+'Grid_Incoming'!AU41-'Grid_Requirement'!AU41))</f>
        <v/>
      </c>
      <c r="AV41">
        <f>IF(COUNTIFS(T_StockCount[RM_Code],$A41,T_StockCount[WeekIndex],47)&gt;0,SUMIFS(T_StockCount[CountedQty],T_StockCount[RM_Code],$A41,T_StockCount[WeekIndex],47),IF((COUNTIFS(T_SelfStock[RM_Code],$A41,T_SelfStock[WeekIndex],47)&gt;0)*(COUNTIFS(T_TTAFStock[RM_Code],$A41,T_TTAFStock[WeekIndex],47)&gt;0)&gt;0,SUMIFS(T_SelfStock[Self_Qty],T_SelfStock[RM_Code],$A41,T_SelfStock[WeekIndex],47)+SUMIFS(T_TTAFStock[TTAF_Qty],T_TTAFStock[RM_Code],$A41,T_TTAFStock[WeekIndex],47),AU41+'Grid_Incoming'!AV41-'Grid_Requirement'!AV41))</f>
        <v/>
      </c>
      <c r="AW41">
        <f>IF(COUNTIFS(T_StockCount[RM_Code],$A41,T_StockCount[WeekIndex],48)&gt;0,SUMIFS(T_StockCount[CountedQty],T_StockCount[RM_Code],$A41,T_StockCount[WeekIndex],48),IF((COUNTIFS(T_SelfStock[RM_Code],$A41,T_SelfStock[WeekIndex],48)&gt;0)*(COUNTIFS(T_TTAFStock[RM_Code],$A41,T_TTAFStock[WeekIndex],48)&gt;0)&gt;0,SUMIFS(T_SelfStock[Self_Qty],T_SelfStock[RM_Code],$A41,T_SelfStock[WeekIndex],48)+SUMIFS(T_TTAFStock[TTAF_Qty],T_TTAFStock[RM_Code],$A41,T_TTAFStock[WeekIndex],48),AV41+'Grid_Incoming'!AW41-'Grid_Requirement'!AW41))</f>
        <v/>
      </c>
      <c r="AX41">
        <f>IF(COUNTIFS(T_StockCount[RM_Code],$A41,T_StockCount[WeekIndex],49)&gt;0,SUMIFS(T_StockCount[CountedQty],T_StockCount[RM_Code],$A41,T_StockCount[WeekIndex],49),IF((COUNTIFS(T_SelfStock[RM_Code],$A41,T_SelfStock[WeekIndex],49)&gt;0)*(COUNTIFS(T_TTAFStock[RM_Code],$A41,T_TTAFStock[WeekIndex],49)&gt;0)&gt;0,SUMIFS(T_SelfStock[Self_Qty],T_SelfStock[RM_Code],$A41,T_SelfStock[WeekIndex],49)+SUMIFS(T_TTAFStock[TTAF_Qty],T_TTAFStock[RM_Code],$A41,T_TTAFStock[WeekIndex],49),AW41+'Grid_Incoming'!AX41-'Grid_Requirement'!AX41))</f>
        <v/>
      </c>
      <c r="AY41">
        <f>IF(COUNTIFS(T_StockCount[RM_Code],$A41,T_StockCount[WeekIndex],50)&gt;0,SUMIFS(T_StockCount[CountedQty],T_StockCount[RM_Code],$A41,T_StockCount[WeekIndex],50),IF((COUNTIFS(T_SelfStock[RM_Code],$A41,T_SelfStock[WeekIndex],50)&gt;0)*(COUNTIFS(T_TTAFStock[RM_Code],$A41,T_TTAFStock[WeekIndex],50)&gt;0)&gt;0,SUMIFS(T_SelfStock[Self_Qty],T_SelfStock[RM_Code],$A41,T_SelfStock[WeekIndex],50)+SUMIFS(T_TTAFStock[TTAF_Qty],T_TTAFStock[RM_Code],$A41,T_TTAFStock[WeekIndex],50),AX41+'Grid_Incoming'!AY41-'Grid_Requirement'!AY41))</f>
        <v/>
      </c>
      <c r="AZ41">
        <f>IF(COUNTIFS(T_StockCount[RM_Code],$A41,T_StockCount[WeekIndex],51)&gt;0,SUMIFS(T_StockCount[CountedQty],T_StockCount[RM_Code],$A41,T_StockCount[WeekIndex],51),IF((COUNTIFS(T_SelfStock[RM_Code],$A41,T_SelfStock[WeekIndex],51)&gt;0)*(COUNTIFS(T_TTAFStock[RM_Code],$A41,T_TTAFStock[WeekIndex],51)&gt;0)&gt;0,SUMIFS(T_SelfStock[Self_Qty],T_SelfStock[RM_Code],$A41,T_SelfStock[WeekIndex],51)+SUMIFS(T_TTAFStock[TTAF_Qty],T_TTAFStock[RM_Code],$A41,T_TTAFStock[WeekIndex],51),AY41+'Grid_Incoming'!AZ41-'Grid_Requirement'!AZ41))</f>
        <v/>
      </c>
      <c r="BA41">
        <f>IF(COUNTIFS(T_StockCount[RM_Code],$A41,T_StockCount[WeekIndex],52)&gt;0,SUMIFS(T_StockCount[CountedQty],T_StockCount[RM_Code],$A41,T_StockCount[WeekIndex],52),IF((COUNTIFS(T_SelfStock[RM_Code],$A41,T_SelfStock[WeekIndex],52)&gt;0)*(COUNTIFS(T_TTAFStock[RM_Code],$A41,T_TTAFStock[WeekIndex],52)&gt;0)&gt;0,SUMIFS(T_SelfStock[Self_Qty],T_SelfStock[RM_Code],$A41,T_SelfStock[WeekIndex],52)+SUMIFS(T_TTAFStock[TTAF_Qty],T_TTAFStock[RM_Code],$A41,T_TTAFStock[WeekIndex],52),AZ41+'Grid_Incoming'!BA41-'Grid_Requirement'!BA41))</f>
        <v/>
      </c>
      <c r="BB41">
        <f>IF(COUNTIFS(T_StockCount[RM_Code],$A41,T_StockCount[WeekIndex],53)&gt;0,SUMIFS(T_StockCount[CountedQty],T_StockCount[RM_Code],$A41,T_StockCount[WeekIndex],53),IF((COUNTIFS(T_SelfStock[RM_Code],$A41,T_SelfStock[WeekIndex],53)&gt;0)*(COUNTIFS(T_TTAFStock[RM_Code],$A41,T_TTAFStock[WeekIndex],53)&gt;0)&gt;0,SUMIFS(T_SelfStock[Self_Qty],T_SelfStock[RM_Code],$A41,T_SelfStock[WeekIndex],53)+SUMIFS(T_TTAFStock[TTAF_Qty],T_TTAFStock[RM_Code],$A41,T_TTAFStock[WeekIndex],53),BA41+'Grid_Incoming'!BB41-'Grid_Requirement'!BB41))</f>
        <v/>
      </c>
      <c r="BC41">
        <f>IF(COUNTIFS(T_StockCount[RM_Code],$A41,T_StockCount[WeekIndex],54)&gt;0,SUMIFS(T_StockCount[CountedQty],T_StockCount[RM_Code],$A41,T_StockCount[WeekIndex],54),IF((COUNTIFS(T_SelfStock[RM_Code],$A41,T_SelfStock[WeekIndex],54)&gt;0)*(COUNTIFS(T_TTAFStock[RM_Code],$A41,T_TTAFStock[WeekIndex],54)&gt;0)&gt;0,SUMIFS(T_SelfStock[Self_Qty],T_SelfStock[RM_Code],$A41,T_SelfStock[WeekIndex],54)+SUMIFS(T_TTAFStock[TTAF_Qty],T_TTAFStock[RM_Code],$A41,T_TTAFStock[WeekIndex],54),BB41+'Grid_Incoming'!BC41-'Grid_Requirement'!BC41))</f>
        <v/>
      </c>
      <c r="BD41">
        <f>IF(COUNTIFS(T_StockCount[RM_Code],$A41,T_StockCount[WeekIndex],55)&gt;0,SUMIFS(T_StockCount[CountedQty],T_StockCount[RM_Code],$A41,T_StockCount[WeekIndex],55),IF((COUNTIFS(T_SelfStock[RM_Code],$A41,T_SelfStock[WeekIndex],55)&gt;0)*(COUNTIFS(T_TTAFStock[RM_Code],$A41,T_TTAFStock[WeekIndex],55)&gt;0)&gt;0,SUMIFS(T_SelfStock[Self_Qty],T_SelfStock[RM_Code],$A41,T_SelfStock[WeekIndex],55)+SUMIFS(T_TTAFStock[TTAF_Qty],T_TTAFStock[RM_Code],$A41,T_TTAFStock[WeekIndex],55),BC41+'Grid_Incoming'!BD41-'Grid_Requirement'!BD41))</f>
        <v/>
      </c>
      <c r="BE41">
        <f>IF(COUNTIFS(T_StockCount[RM_Code],$A41,T_StockCount[WeekIndex],56)&gt;0,SUMIFS(T_StockCount[CountedQty],T_StockCount[RM_Code],$A41,T_StockCount[WeekIndex],56),IF((COUNTIFS(T_SelfStock[RM_Code],$A41,T_SelfStock[WeekIndex],56)&gt;0)*(COUNTIFS(T_TTAFStock[RM_Code],$A41,T_TTAFStock[WeekIndex],56)&gt;0)&gt;0,SUMIFS(T_SelfStock[Self_Qty],T_SelfStock[RM_Code],$A41,T_SelfStock[WeekIndex],56)+SUMIFS(T_TTAFStock[TTAF_Qty],T_TTAFStock[RM_Code],$A41,T_TTAFStock[WeekIndex],56),BD41+'Grid_Incoming'!BE41-'Grid_Requirement'!BE41))</f>
        <v/>
      </c>
      <c r="BF41">
        <f>IF(COUNTIFS(T_StockCount[RM_Code],$A41,T_StockCount[WeekIndex],57)&gt;0,SUMIFS(T_StockCount[CountedQty],T_StockCount[RM_Code],$A41,T_StockCount[WeekIndex],57),IF((COUNTIFS(T_SelfStock[RM_Code],$A41,T_SelfStock[WeekIndex],57)&gt;0)*(COUNTIFS(T_TTAFStock[RM_Code],$A41,T_TTAFStock[WeekIndex],57)&gt;0)&gt;0,SUMIFS(T_SelfStock[Self_Qty],T_SelfStock[RM_Code],$A41,T_SelfStock[WeekIndex],57)+SUMIFS(T_TTAFStock[TTAF_Qty],T_TTAFStock[RM_Code],$A41,T_TTAFStock[WeekIndex],57),BE41+'Grid_Incoming'!BF41-'Grid_Requirement'!BF41))</f>
        <v/>
      </c>
      <c r="BG41">
        <f>IF(COUNTIFS(T_StockCount[RM_Code],$A41,T_StockCount[WeekIndex],58)&gt;0,SUMIFS(T_StockCount[CountedQty],T_StockCount[RM_Code],$A41,T_StockCount[WeekIndex],58),IF((COUNTIFS(T_SelfStock[RM_Code],$A41,T_SelfStock[WeekIndex],58)&gt;0)*(COUNTIFS(T_TTAFStock[RM_Code],$A41,T_TTAFStock[WeekIndex],58)&gt;0)&gt;0,SUMIFS(T_SelfStock[Self_Qty],T_SelfStock[RM_Code],$A41,T_SelfStock[WeekIndex],58)+SUMIFS(T_TTAFStock[TTAF_Qty],T_TTAFStock[RM_Code],$A41,T_TTAFStock[WeekIndex],58),BF41+'Grid_Incoming'!BG41-'Grid_Requirement'!BG41))</f>
        <v/>
      </c>
      <c r="BH41">
        <f>IF(COUNTIFS(T_StockCount[RM_Code],$A41,T_StockCount[WeekIndex],59)&gt;0,SUMIFS(T_StockCount[CountedQty],T_StockCount[RM_Code],$A41,T_StockCount[WeekIndex],59),IF((COUNTIFS(T_SelfStock[RM_Code],$A41,T_SelfStock[WeekIndex],59)&gt;0)*(COUNTIFS(T_TTAFStock[RM_Code],$A41,T_TTAFStock[WeekIndex],59)&gt;0)&gt;0,SUMIFS(T_SelfStock[Self_Qty],T_SelfStock[RM_Code],$A41,T_SelfStock[WeekIndex],59)+SUMIFS(T_TTAFStock[TTAF_Qty],T_TTAFStock[RM_Code],$A41,T_TTAFStock[WeekIndex],59),BG41+'Grid_Incoming'!BH41-'Grid_Requirement'!BH41))</f>
        <v/>
      </c>
      <c r="BI41">
        <f>IF(COUNTIFS(T_StockCount[RM_Code],$A41,T_StockCount[WeekIndex],60)&gt;0,SUMIFS(T_StockCount[CountedQty],T_StockCount[RM_Code],$A41,T_StockCount[WeekIndex],60),IF((COUNTIFS(T_SelfStock[RM_Code],$A41,T_SelfStock[WeekIndex],60)&gt;0)*(COUNTIFS(T_TTAFStock[RM_Code],$A41,T_TTAFStock[WeekIndex],60)&gt;0)&gt;0,SUMIFS(T_SelfStock[Self_Qty],T_SelfStock[RM_Code],$A41,T_SelfStock[WeekIndex],60)+SUMIFS(T_TTAFStock[TTAF_Qty],T_TTAFStock[RM_Code],$A41,T_TTAFStock[WeekIndex],60),BH41+'Grid_Incoming'!BI41-'Grid_Requirement'!BI41))</f>
        <v/>
      </c>
      <c r="BJ41">
        <f>IF(COUNTIFS(T_StockCount[RM_Code],$A41,T_StockCount[WeekIndex],61)&gt;0,SUMIFS(T_StockCount[CountedQty],T_StockCount[RM_Code],$A41,T_StockCount[WeekIndex],61),IF((COUNTIFS(T_SelfStock[RM_Code],$A41,T_SelfStock[WeekIndex],61)&gt;0)*(COUNTIFS(T_TTAFStock[RM_Code],$A41,T_TTAFStock[WeekIndex],61)&gt;0)&gt;0,SUMIFS(T_SelfStock[Self_Qty],T_SelfStock[RM_Code],$A41,T_SelfStock[WeekIndex],61)+SUMIFS(T_TTAFStock[TTAF_Qty],T_TTAFStock[RM_Code],$A41,T_TTAFStock[WeekIndex],61),BI41+'Grid_Incoming'!BJ41-'Grid_Requirement'!BJ41))</f>
        <v/>
      </c>
      <c r="BK41">
        <f>IF(COUNTIFS(T_StockCount[RM_Code],$A41,T_StockCount[WeekIndex],62)&gt;0,SUMIFS(T_StockCount[CountedQty],T_StockCount[RM_Code],$A41,T_StockCount[WeekIndex],62),IF((COUNTIFS(T_SelfStock[RM_Code],$A41,T_SelfStock[WeekIndex],62)&gt;0)*(COUNTIFS(T_TTAFStock[RM_Code],$A41,T_TTAFStock[WeekIndex],62)&gt;0)&gt;0,SUMIFS(T_SelfStock[Self_Qty],T_SelfStock[RM_Code],$A41,T_SelfStock[WeekIndex],62)+SUMIFS(T_TTAFStock[TTAF_Qty],T_TTAFStock[RM_Code],$A41,T_TTAFStock[WeekIndex],62),BJ41+'Grid_Incoming'!BK41-'Grid_Requirement'!BK41))</f>
        <v/>
      </c>
      <c r="BL41">
        <f>IF(COUNTIFS(T_StockCount[RM_Code],$A41,T_StockCount[WeekIndex],63)&gt;0,SUMIFS(T_StockCount[CountedQty],T_StockCount[RM_Code],$A41,T_StockCount[WeekIndex],63),IF((COUNTIFS(T_SelfStock[RM_Code],$A41,T_SelfStock[WeekIndex],63)&gt;0)*(COUNTIFS(T_TTAFStock[RM_Code],$A41,T_TTAFStock[WeekIndex],63)&gt;0)&gt;0,SUMIFS(T_SelfStock[Self_Qty],T_SelfStock[RM_Code],$A41,T_SelfStock[WeekIndex],63)+SUMIFS(T_TTAFStock[TTAF_Qty],T_TTAFStock[RM_Code],$A41,T_TTAFStock[WeekIndex],63),BK41+'Grid_Incoming'!BL41-'Grid_Requirement'!BL41))</f>
        <v/>
      </c>
      <c r="BM41">
        <f>IF(COUNTIFS(T_StockCount[RM_Code],$A41,T_StockCount[WeekIndex],64)&gt;0,SUMIFS(T_StockCount[CountedQty],T_StockCount[RM_Code],$A41,T_StockCount[WeekIndex],64),IF((COUNTIFS(T_SelfStock[RM_Code],$A41,T_SelfStock[WeekIndex],64)&gt;0)*(COUNTIFS(T_TTAFStock[RM_Code],$A41,T_TTAFStock[WeekIndex],64)&gt;0)&gt;0,SUMIFS(T_SelfStock[Self_Qty],T_SelfStock[RM_Code],$A41,T_SelfStock[WeekIndex],64)+SUMIFS(T_TTAFStock[TTAF_Qty],T_TTAFStock[RM_Code],$A41,T_TTAFStock[WeekIndex],64),BL41+'Grid_Incoming'!BM41-'Grid_Requirement'!BM41))</f>
        <v/>
      </c>
      <c r="BN41">
        <f>IF(COUNTIFS(T_StockCount[RM_Code],$A41,T_StockCount[WeekIndex],65)&gt;0,SUMIFS(T_StockCount[CountedQty],T_StockCount[RM_Code],$A41,T_StockCount[WeekIndex],65),IF((COUNTIFS(T_SelfStock[RM_Code],$A41,T_SelfStock[WeekIndex],65)&gt;0)*(COUNTIFS(T_TTAFStock[RM_Code],$A41,T_TTAFStock[WeekIndex],65)&gt;0)&gt;0,SUMIFS(T_SelfStock[Self_Qty],T_SelfStock[RM_Code],$A41,T_SelfStock[WeekIndex],65)+SUMIFS(T_TTAFStock[TTAF_Qty],T_TTAFStock[RM_Code],$A41,T_TTAFStock[WeekIndex],65),BM41+'Grid_Incoming'!BN41-'Grid_Requirement'!BN41))</f>
        <v/>
      </c>
      <c r="BO41">
        <f>IF(COUNTIFS(T_StockCount[RM_Code],$A41,T_StockCount[WeekIndex],66)&gt;0,SUMIFS(T_StockCount[CountedQty],T_StockCount[RM_Code],$A41,T_StockCount[WeekIndex],66),IF((COUNTIFS(T_SelfStock[RM_Code],$A41,T_SelfStock[WeekIndex],66)&gt;0)*(COUNTIFS(T_TTAFStock[RM_Code],$A41,T_TTAFStock[WeekIndex],66)&gt;0)&gt;0,SUMIFS(T_SelfStock[Self_Qty],T_SelfStock[RM_Code],$A41,T_SelfStock[WeekIndex],66)+SUMIFS(T_TTAFStock[TTAF_Qty],T_TTAFStock[RM_Code],$A41,T_TTAFStock[WeekIndex],66),BN41+'Grid_Incoming'!BO41-'Grid_Requirement'!BO41))</f>
        <v/>
      </c>
      <c r="BP41">
        <f>IF(COUNTIFS(T_StockCount[RM_Code],$A41,T_StockCount[WeekIndex],67)&gt;0,SUMIFS(T_StockCount[CountedQty],T_StockCount[RM_Code],$A41,T_StockCount[WeekIndex],67),IF((COUNTIFS(T_SelfStock[RM_Code],$A41,T_SelfStock[WeekIndex],67)&gt;0)*(COUNTIFS(T_TTAFStock[RM_Code],$A41,T_TTAFStock[WeekIndex],67)&gt;0)&gt;0,SUMIFS(T_SelfStock[Self_Qty],T_SelfStock[RM_Code],$A41,T_SelfStock[WeekIndex],67)+SUMIFS(T_TTAFStock[TTAF_Qty],T_TTAFStock[RM_Code],$A41,T_TTAFStock[WeekIndex],67),BO41+'Grid_Incoming'!BP41-'Grid_Requirement'!BP41))</f>
        <v/>
      </c>
      <c r="BQ41">
        <f>IF(COUNTIFS(T_StockCount[RM_Code],$A41,T_StockCount[WeekIndex],68)&gt;0,SUMIFS(T_StockCount[CountedQty],T_StockCount[RM_Code],$A41,T_StockCount[WeekIndex],68),IF((COUNTIFS(T_SelfStock[RM_Code],$A41,T_SelfStock[WeekIndex],68)&gt;0)*(COUNTIFS(T_TTAFStock[RM_Code],$A41,T_TTAFStock[WeekIndex],68)&gt;0)&gt;0,SUMIFS(T_SelfStock[Self_Qty],T_SelfStock[RM_Code],$A41,T_SelfStock[WeekIndex],68)+SUMIFS(T_TTAFStock[TTAF_Qty],T_TTAFStock[RM_Code],$A41,T_TTAFStock[WeekIndex],68),BP41+'Grid_Incoming'!BQ41-'Grid_Requirement'!BQ41))</f>
        <v/>
      </c>
      <c r="BR41">
        <f>IF(COUNTIFS(T_StockCount[RM_Code],$A41,T_StockCount[WeekIndex],69)&gt;0,SUMIFS(T_StockCount[CountedQty],T_StockCount[RM_Code],$A41,T_StockCount[WeekIndex],69),IF((COUNTIFS(T_SelfStock[RM_Code],$A41,T_SelfStock[WeekIndex],69)&gt;0)*(COUNTIFS(T_TTAFStock[RM_Code],$A41,T_TTAFStock[WeekIndex],69)&gt;0)&gt;0,SUMIFS(T_SelfStock[Self_Qty],T_SelfStock[RM_Code],$A41,T_SelfStock[WeekIndex],69)+SUMIFS(T_TTAFStock[TTAF_Qty],T_TTAFStock[RM_Code],$A41,T_TTAFStock[WeekIndex],69),BQ41+'Grid_Incoming'!BR41-'Grid_Requirement'!BR41))</f>
        <v/>
      </c>
      <c r="BS41">
        <f>IF(COUNTIFS(T_StockCount[RM_Code],$A41,T_StockCount[WeekIndex],70)&gt;0,SUMIFS(T_StockCount[CountedQty],T_StockCount[RM_Code],$A41,T_StockCount[WeekIndex],70),IF((COUNTIFS(T_SelfStock[RM_Code],$A41,T_SelfStock[WeekIndex],70)&gt;0)*(COUNTIFS(T_TTAFStock[RM_Code],$A41,T_TTAFStock[WeekIndex],70)&gt;0)&gt;0,SUMIFS(T_SelfStock[Self_Qty],T_SelfStock[RM_Code],$A41,T_SelfStock[WeekIndex],70)+SUMIFS(T_TTAFStock[TTAF_Qty],T_TTAFStock[RM_Code],$A41,T_TTAFStock[WeekIndex],70),BR41+'Grid_Incoming'!BS41-'Grid_Requirement'!BS41))</f>
        <v/>
      </c>
      <c r="BT41">
        <f>IF(COUNTIFS(T_StockCount[RM_Code],$A41,T_StockCount[WeekIndex],71)&gt;0,SUMIFS(T_StockCount[CountedQty],T_StockCount[RM_Code],$A41,T_StockCount[WeekIndex],71),IF((COUNTIFS(T_SelfStock[RM_Code],$A41,T_SelfStock[WeekIndex],71)&gt;0)*(COUNTIFS(T_TTAFStock[RM_Code],$A41,T_TTAFStock[WeekIndex],71)&gt;0)&gt;0,SUMIFS(T_SelfStock[Self_Qty],T_SelfStock[RM_Code],$A41,T_SelfStock[WeekIndex],71)+SUMIFS(T_TTAFStock[TTAF_Qty],T_TTAFStock[RM_Code],$A41,T_TTAFStock[WeekIndex],71),BS41+'Grid_Incoming'!BT41-'Grid_Requirement'!BT41))</f>
        <v/>
      </c>
      <c r="BU41">
        <f>IF(COUNTIFS(T_StockCount[RM_Code],$A41,T_StockCount[WeekIndex],72)&gt;0,SUMIFS(T_StockCount[CountedQty],T_StockCount[RM_Code],$A41,T_StockCount[WeekIndex],72),IF((COUNTIFS(T_SelfStock[RM_Code],$A41,T_SelfStock[WeekIndex],72)&gt;0)*(COUNTIFS(T_TTAFStock[RM_Code],$A41,T_TTAFStock[WeekIndex],72)&gt;0)&gt;0,SUMIFS(T_SelfStock[Self_Qty],T_SelfStock[RM_Code],$A41,T_SelfStock[WeekIndex],72)+SUMIFS(T_TTAFStock[TTAF_Qty],T_TTAFStock[RM_Code],$A41,T_TTAFStock[WeekIndex],72),BT41+'Grid_Incoming'!BU41-'Grid_Requirement'!BU41))</f>
        <v/>
      </c>
      <c r="BV41">
        <f>IF(COUNTIFS(T_StockCount[RM_Code],$A41,T_StockCount[WeekIndex],73)&gt;0,SUMIFS(T_StockCount[CountedQty],T_StockCount[RM_Code],$A41,T_StockCount[WeekIndex],73),IF((COUNTIFS(T_SelfStock[RM_Code],$A41,T_SelfStock[WeekIndex],73)&gt;0)*(COUNTIFS(T_TTAFStock[RM_Code],$A41,T_TTAFStock[WeekIndex],73)&gt;0)&gt;0,SUMIFS(T_SelfStock[Self_Qty],T_SelfStock[RM_Code],$A41,T_SelfStock[WeekIndex],73)+SUMIFS(T_TTAFStock[TTAF_Qty],T_TTAFStock[RM_Code],$A41,T_TTAFStock[WeekIndex],73),BU41+'Grid_Incoming'!BV41-'Grid_Requirement'!BV41))</f>
        <v/>
      </c>
      <c r="BW41">
        <f>IF(COUNTIFS(T_StockCount[RM_Code],$A41,T_StockCount[WeekIndex],74)&gt;0,SUMIFS(T_StockCount[CountedQty],T_StockCount[RM_Code],$A41,T_StockCount[WeekIndex],74),IF((COUNTIFS(T_SelfStock[RM_Code],$A41,T_SelfStock[WeekIndex],74)&gt;0)*(COUNTIFS(T_TTAFStock[RM_Code],$A41,T_TTAFStock[WeekIndex],74)&gt;0)&gt;0,SUMIFS(T_SelfStock[Self_Qty],T_SelfStock[RM_Code],$A41,T_SelfStock[WeekIndex],74)+SUMIFS(T_TTAFStock[TTAF_Qty],T_TTAFStock[RM_Code],$A41,T_TTAFStock[WeekIndex],74),BV41+'Grid_Incoming'!BW41-'Grid_Requirement'!BW41))</f>
        <v/>
      </c>
      <c r="BX41">
        <f>IF(COUNTIFS(T_StockCount[RM_Code],$A41,T_StockCount[WeekIndex],75)&gt;0,SUMIFS(T_StockCount[CountedQty],T_StockCount[RM_Code],$A41,T_StockCount[WeekIndex],75),IF((COUNTIFS(T_SelfStock[RM_Code],$A41,T_SelfStock[WeekIndex],75)&gt;0)*(COUNTIFS(T_TTAFStock[RM_Code],$A41,T_TTAFStock[WeekIndex],75)&gt;0)&gt;0,SUMIFS(T_SelfStock[Self_Qty],T_SelfStock[RM_Code],$A41,T_SelfStock[WeekIndex],75)+SUMIFS(T_TTAFStock[TTAF_Qty],T_TTAFStock[RM_Code],$A41,T_TTAFStock[WeekIndex],75),BW41+'Grid_Incoming'!BX41-'Grid_Requirement'!BX41))</f>
        <v/>
      </c>
      <c r="BY41">
        <f>IF(COUNTIFS(T_StockCount[RM_Code],$A41,T_StockCount[WeekIndex],76)&gt;0,SUMIFS(T_StockCount[CountedQty],T_StockCount[RM_Code],$A41,T_StockCount[WeekIndex],76),IF((COUNTIFS(T_SelfStock[RM_Code],$A41,T_SelfStock[WeekIndex],76)&gt;0)*(COUNTIFS(T_TTAFStock[RM_Code],$A41,T_TTAFStock[WeekIndex],76)&gt;0)&gt;0,SUMIFS(T_SelfStock[Self_Qty],T_SelfStock[RM_Code],$A41,T_SelfStock[WeekIndex],76)+SUMIFS(T_TTAFStock[TTAF_Qty],T_TTAFStock[RM_Code],$A41,T_TTAFStock[WeekIndex],76),BX41+'Grid_Incoming'!BY41-'Grid_Requirement'!BY41))</f>
        <v/>
      </c>
      <c r="BZ41">
        <f>IF(COUNTIFS(T_StockCount[RM_Code],$A41,T_StockCount[WeekIndex],77)&gt;0,SUMIFS(T_StockCount[CountedQty],T_StockCount[RM_Code],$A41,T_StockCount[WeekIndex],77),IF((COUNTIFS(T_SelfStock[RM_Code],$A41,T_SelfStock[WeekIndex],77)&gt;0)*(COUNTIFS(T_TTAFStock[RM_Code],$A41,T_TTAFStock[WeekIndex],77)&gt;0)&gt;0,SUMIFS(T_SelfStock[Self_Qty],T_SelfStock[RM_Code],$A41,T_SelfStock[WeekIndex],77)+SUMIFS(T_TTAFStock[TTAF_Qty],T_TTAFStock[RM_Code],$A41,T_TTAFStock[WeekIndex],77),BY41+'Grid_Incoming'!BZ41-'Grid_Requirement'!BZ41))</f>
        <v/>
      </c>
      <c r="CA41">
        <f>IF(COUNTIFS(T_StockCount[RM_Code],$A41,T_StockCount[WeekIndex],78)&gt;0,SUMIFS(T_StockCount[CountedQty],T_StockCount[RM_Code],$A41,T_StockCount[WeekIndex],78),IF((COUNTIFS(T_SelfStock[RM_Code],$A41,T_SelfStock[WeekIndex],78)&gt;0)*(COUNTIFS(T_TTAFStock[RM_Code],$A41,T_TTAFStock[WeekIndex],78)&gt;0)&gt;0,SUMIFS(T_SelfStock[Self_Qty],T_SelfStock[RM_Code],$A41,T_SelfStock[WeekIndex],78)+SUMIFS(T_TTAFStock[TTAF_Qty],T_TTAFStock[RM_Code],$A41,T_TTAFStock[WeekIndex],78),BZ41+'Grid_Incoming'!CA41-'Grid_Requirement'!CA41))</f>
        <v/>
      </c>
      <c r="CB41">
        <f>IF(COUNTIFS(T_StockCount[RM_Code],$A41,T_StockCount[WeekIndex],79)&gt;0,SUMIFS(T_StockCount[CountedQty],T_StockCount[RM_Code],$A41,T_StockCount[WeekIndex],79),IF((COUNTIFS(T_SelfStock[RM_Code],$A41,T_SelfStock[WeekIndex],79)&gt;0)*(COUNTIFS(T_TTAFStock[RM_Code],$A41,T_TTAFStock[WeekIndex],79)&gt;0)&gt;0,SUMIFS(T_SelfStock[Self_Qty],T_SelfStock[RM_Code],$A41,T_SelfStock[WeekIndex],79)+SUMIFS(T_TTAFStock[TTAF_Qty],T_TTAFStock[RM_Code],$A41,T_TTAFStock[WeekIndex],79),CA41+'Grid_Incoming'!CB41-'Grid_Requirement'!CB41))</f>
        <v/>
      </c>
      <c r="CC41">
        <f>IF(COUNTIFS(T_StockCount[RM_Code],$A41,T_StockCount[WeekIndex],80)&gt;0,SUMIFS(T_StockCount[CountedQty],T_StockCount[RM_Code],$A41,T_StockCount[WeekIndex],80),IF((COUNTIFS(T_SelfStock[RM_Code],$A41,T_SelfStock[WeekIndex],80)&gt;0)*(COUNTIFS(T_TTAFStock[RM_Code],$A41,T_TTAFStock[WeekIndex],80)&gt;0)&gt;0,SUMIFS(T_SelfStock[Self_Qty],T_SelfStock[RM_Code],$A41,T_SelfStock[WeekIndex],80)+SUMIFS(T_TTAFStock[TTAF_Qty],T_TTAFStock[RM_Code],$A41,T_TTAFStock[WeekIndex],80),CB41+'Grid_Incoming'!CC41-'Grid_Requirement'!CC41))</f>
        <v/>
      </c>
      <c r="CD41">
        <f>IF(COUNTIFS(T_StockCount[RM_Code],$A41,T_StockCount[WeekIndex],81)&gt;0,SUMIFS(T_StockCount[CountedQty],T_StockCount[RM_Code],$A41,T_StockCount[WeekIndex],81),IF((COUNTIFS(T_SelfStock[RM_Code],$A41,T_SelfStock[WeekIndex],81)&gt;0)*(COUNTIFS(T_TTAFStock[RM_Code],$A41,T_TTAFStock[WeekIndex],81)&gt;0)&gt;0,SUMIFS(T_SelfStock[Self_Qty],T_SelfStock[RM_Code],$A41,T_SelfStock[WeekIndex],81)+SUMIFS(T_TTAFStock[TTAF_Qty],T_TTAFStock[RM_Code],$A41,T_TTAFStock[WeekIndex],81),CC41+'Grid_Incoming'!CD41-'Grid_Requirement'!CD41))</f>
        <v/>
      </c>
      <c r="CE41">
        <f>IF(COUNTIFS(T_StockCount[RM_Code],$A41,T_StockCount[WeekIndex],82)&gt;0,SUMIFS(T_StockCount[CountedQty],T_StockCount[RM_Code],$A41,T_StockCount[WeekIndex],82),IF((COUNTIFS(T_SelfStock[RM_Code],$A41,T_SelfStock[WeekIndex],82)&gt;0)*(COUNTIFS(T_TTAFStock[RM_Code],$A41,T_TTAFStock[WeekIndex],82)&gt;0)&gt;0,SUMIFS(T_SelfStock[Self_Qty],T_SelfStock[RM_Code],$A41,T_SelfStock[WeekIndex],82)+SUMIFS(T_TTAFStock[TTAF_Qty],T_TTAFStock[RM_Code],$A41,T_TTAFStock[WeekIndex],82),CD41+'Grid_Incoming'!CE41-'Grid_Requirement'!CE41))</f>
        <v/>
      </c>
      <c r="CF41">
        <f>IF(COUNTIFS(T_StockCount[RM_Code],$A41,T_StockCount[WeekIndex],83)&gt;0,SUMIFS(T_StockCount[CountedQty],T_StockCount[RM_Code],$A41,T_StockCount[WeekIndex],83),IF((COUNTIFS(T_SelfStock[RM_Code],$A41,T_SelfStock[WeekIndex],83)&gt;0)*(COUNTIFS(T_TTAFStock[RM_Code],$A41,T_TTAFStock[WeekIndex],83)&gt;0)&gt;0,SUMIFS(T_SelfStock[Self_Qty],T_SelfStock[RM_Code],$A41,T_SelfStock[WeekIndex],83)+SUMIFS(T_TTAFStock[TTAF_Qty],T_TTAFStock[RM_Code],$A41,T_TTAFStock[WeekIndex],83),CE41+'Grid_Incoming'!CF41-'Grid_Requirement'!CF41))</f>
        <v/>
      </c>
      <c r="CG41">
        <f>IF(COUNTIFS(T_StockCount[RM_Code],$A41,T_StockCount[WeekIndex],84)&gt;0,SUMIFS(T_StockCount[CountedQty],T_StockCount[RM_Code],$A41,T_StockCount[WeekIndex],84),IF((COUNTIFS(T_SelfStock[RM_Code],$A41,T_SelfStock[WeekIndex],84)&gt;0)*(COUNTIFS(T_TTAFStock[RM_Code],$A41,T_TTAFStock[WeekIndex],84)&gt;0)&gt;0,SUMIFS(T_SelfStock[Self_Qty],T_SelfStock[RM_Code],$A41,T_SelfStock[WeekIndex],84)+SUMIFS(T_TTAFStock[TTAF_Qty],T_TTAFStock[RM_Code],$A41,T_TTAFStock[WeekIndex],84),CF41+'Grid_Incoming'!CG41-'Grid_Requirement'!CG41))</f>
        <v/>
      </c>
      <c r="CH41">
        <f>IF(COUNTIFS(T_StockCount[RM_Code],$A41,T_StockCount[WeekIndex],85)&gt;0,SUMIFS(T_StockCount[CountedQty],T_StockCount[RM_Code],$A41,T_StockCount[WeekIndex],85),IF((COUNTIFS(T_SelfStock[RM_Code],$A41,T_SelfStock[WeekIndex],85)&gt;0)*(COUNTIFS(T_TTAFStock[RM_Code],$A41,T_TTAFStock[WeekIndex],85)&gt;0)&gt;0,SUMIFS(T_SelfStock[Self_Qty],T_SelfStock[RM_Code],$A41,T_SelfStock[WeekIndex],85)+SUMIFS(T_TTAFStock[TTAF_Qty],T_TTAFStock[RM_Code],$A41,T_TTAFStock[WeekIndex],85),CG41+'Grid_Incoming'!CH41-'Grid_Requirement'!CH41))</f>
        <v/>
      </c>
      <c r="CI41">
        <f>IF(COUNTIFS(T_StockCount[RM_Code],$A41,T_StockCount[WeekIndex],86)&gt;0,SUMIFS(T_StockCount[CountedQty],T_StockCount[RM_Code],$A41,T_StockCount[WeekIndex],86),IF((COUNTIFS(T_SelfStock[RM_Code],$A41,T_SelfStock[WeekIndex],86)&gt;0)*(COUNTIFS(T_TTAFStock[RM_Code],$A41,T_TTAFStock[WeekIndex],86)&gt;0)&gt;0,SUMIFS(T_SelfStock[Self_Qty],T_SelfStock[RM_Code],$A41,T_SelfStock[WeekIndex],86)+SUMIFS(T_TTAFStock[TTAF_Qty],T_TTAFStock[RM_Code],$A41,T_TTAFStock[WeekIndex],86),CH41+'Grid_Incoming'!CI41-'Grid_Requirement'!CI41))</f>
        <v/>
      </c>
      <c r="CJ41">
        <f>IF(COUNTIFS(T_StockCount[RM_Code],$A41,T_StockCount[WeekIndex],87)&gt;0,SUMIFS(T_StockCount[CountedQty],T_StockCount[RM_Code],$A41,T_StockCount[WeekIndex],87),IF((COUNTIFS(T_SelfStock[RM_Code],$A41,T_SelfStock[WeekIndex],87)&gt;0)*(COUNTIFS(T_TTAFStock[RM_Code],$A41,T_TTAFStock[WeekIndex],87)&gt;0)&gt;0,SUMIFS(T_SelfStock[Self_Qty],T_SelfStock[RM_Code],$A41,T_SelfStock[WeekIndex],87)+SUMIFS(T_TTAFStock[TTAF_Qty],T_TTAFStock[RM_Code],$A41,T_TTAFStock[WeekIndex],87),CI41+'Grid_Incoming'!CJ41-'Grid_Requirement'!CJ41))</f>
        <v/>
      </c>
      <c r="CK41">
        <f>IF(COUNTIFS(T_StockCount[RM_Code],$A41,T_StockCount[WeekIndex],88)&gt;0,SUMIFS(T_StockCount[CountedQty],T_StockCount[RM_Code],$A41,T_StockCount[WeekIndex],88),IF((COUNTIFS(T_SelfStock[RM_Code],$A41,T_SelfStock[WeekIndex],88)&gt;0)*(COUNTIFS(T_TTAFStock[RM_Code],$A41,T_TTAFStock[WeekIndex],88)&gt;0)&gt;0,SUMIFS(T_SelfStock[Self_Qty],T_SelfStock[RM_Code],$A41,T_SelfStock[WeekIndex],88)+SUMIFS(T_TTAFStock[TTAF_Qty],T_TTAFStock[RM_Code],$A41,T_TTAFStock[WeekIndex],88),CJ41+'Grid_Incoming'!CK41-'Grid_Requirement'!CK41))</f>
        <v/>
      </c>
      <c r="CL41">
        <f>IF(COUNTIFS(T_StockCount[RM_Code],$A41,T_StockCount[WeekIndex],89)&gt;0,SUMIFS(T_StockCount[CountedQty],T_StockCount[RM_Code],$A41,T_StockCount[WeekIndex],89),IF((COUNTIFS(T_SelfStock[RM_Code],$A41,T_SelfStock[WeekIndex],89)&gt;0)*(COUNTIFS(T_TTAFStock[RM_Code],$A41,T_TTAFStock[WeekIndex],89)&gt;0)&gt;0,SUMIFS(T_SelfStock[Self_Qty],T_SelfStock[RM_Code],$A41,T_SelfStock[WeekIndex],89)+SUMIFS(T_TTAFStock[TTAF_Qty],T_TTAFStock[RM_Code],$A41,T_TTAFStock[WeekIndex],89),CK41+'Grid_Incoming'!CL41-'Grid_Requirement'!CL41))</f>
        <v/>
      </c>
      <c r="CM41">
        <f>IF(COUNTIFS(T_StockCount[RM_Code],$A41,T_StockCount[WeekIndex],90)&gt;0,SUMIFS(T_StockCount[CountedQty],T_StockCount[RM_Code],$A41,T_StockCount[WeekIndex],90),IF((COUNTIFS(T_SelfStock[RM_Code],$A41,T_SelfStock[WeekIndex],90)&gt;0)*(COUNTIFS(T_TTAFStock[RM_Code],$A41,T_TTAFStock[WeekIndex],90)&gt;0)&gt;0,SUMIFS(T_SelfStock[Self_Qty],T_SelfStock[RM_Code],$A41,T_SelfStock[WeekIndex],90)+SUMIFS(T_TTAFStock[TTAF_Qty],T_TTAFStock[RM_Code],$A41,T_TTAFStock[WeekIndex],90),CL41+'Grid_Incoming'!CM41-'Grid_Requirement'!CM41))</f>
        <v/>
      </c>
      <c r="CN41">
        <f>IF(COUNTIFS(T_StockCount[RM_Code],$A41,T_StockCount[WeekIndex],91)&gt;0,SUMIFS(T_StockCount[CountedQty],T_StockCount[RM_Code],$A41,T_StockCount[WeekIndex],91),IF((COUNTIFS(T_SelfStock[RM_Code],$A41,T_SelfStock[WeekIndex],91)&gt;0)*(COUNTIFS(T_TTAFStock[RM_Code],$A41,T_TTAFStock[WeekIndex],91)&gt;0)&gt;0,SUMIFS(T_SelfStock[Self_Qty],T_SelfStock[RM_Code],$A41,T_SelfStock[WeekIndex],91)+SUMIFS(T_TTAFStock[TTAF_Qty],T_TTAFStock[RM_Code],$A41,T_TTAFStock[WeekIndex],91),CM41+'Grid_Incoming'!CN41-'Grid_Requirement'!CN41))</f>
        <v/>
      </c>
      <c r="CO41">
        <f>IF(COUNTIFS(T_StockCount[RM_Code],$A41,T_StockCount[WeekIndex],92)&gt;0,SUMIFS(T_StockCount[CountedQty],T_StockCount[RM_Code],$A41,T_StockCount[WeekIndex],92),IF((COUNTIFS(T_SelfStock[RM_Code],$A41,T_SelfStock[WeekIndex],92)&gt;0)*(COUNTIFS(T_TTAFStock[RM_Code],$A41,T_TTAFStock[WeekIndex],92)&gt;0)&gt;0,SUMIFS(T_SelfStock[Self_Qty],T_SelfStock[RM_Code],$A41,T_SelfStock[WeekIndex],92)+SUMIFS(T_TTAFStock[TTAF_Qty],T_TTAFStock[RM_Code],$A41,T_TTAFStock[WeekIndex],92),CN41+'Grid_Incoming'!CO41-'Grid_Requirement'!CO41))</f>
        <v/>
      </c>
      <c r="CP41">
        <f>IF(COUNTIFS(T_StockCount[RM_Code],$A41,T_StockCount[WeekIndex],93)&gt;0,SUMIFS(T_StockCount[CountedQty],T_StockCount[RM_Code],$A41,T_StockCount[WeekIndex],93),IF((COUNTIFS(T_SelfStock[RM_Code],$A41,T_SelfStock[WeekIndex],93)&gt;0)*(COUNTIFS(T_TTAFStock[RM_Code],$A41,T_TTAFStock[WeekIndex],93)&gt;0)&gt;0,SUMIFS(T_SelfStock[Self_Qty],T_SelfStock[RM_Code],$A41,T_SelfStock[WeekIndex],93)+SUMIFS(T_TTAFStock[TTAF_Qty],T_TTAFStock[RM_Code],$A41,T_TTAFStock[WeekIndex],93),CO41+'Grid_Incoming'!CP41-'Grid_Requirement'!CP41))</f>
        <v/>
      </c>
      <c r="CQ41">
        <f>IF(COUNTIFS(T_StockCount[RM_Code],$A41,T_StockCount[WeekIndex],94)&gt;0,SUMIFS(T_StockCount[CountedQty],T_StockCount[RM_Code],$A41,T_StockCount[WeekIndex],94),IF((COUNTIFS(T_SelfStock[RM_Code],$A41,T_SelfStock[WeekIndex],94)&gt;0)*(COUNTIFS(T_TTAFStock[RM_Code],$A41,T_TTAFStock[WeekIndex],94)&gt;0)&gt;0,SUMIFS(T_SelfStock[Self_Qty],T_SelfStock[RM_Code],$A41,T_SelfStock[WeekIndex],94)+SUMIFS(T_TTAFStock[TTAF_Qty],T_TTAFStock[RM_Code],$A41,T_TTAFStock[WeekIndex],94),CP41+'Grid_Incoming'!CQ41-'Grid_Requirement'!CQ41))</f>
        <v/>
      </c>
      <c r="CR41">
        <f>IF(COUNTIFS(T_StockCount[RM_Code],$A41,T_StockCount[WeekIndex],95)&gt;0,SUMIFS(T_StockCount[CountedQty],T_StockCount[RM_Code],$A41,T_StockCount[WeekIndex],95),IF((COUNTIFS(T_SelfStock[RM_Code],$A41,T_SelfStock[WeekIndex],95)&gt;0)*(COUNTIFS(T_TTAFStock[RM_Code],$A41,T_TTAFStock[WeekIndex],95)&gt;0)&gt;0,SUMIFS(T_SelfStock[Self_Qty],T_SelfStock[RM_Code],$A41,T_SelfStock[WeekIndex],95)+SUMIFS(T_TTAFStock[TTAF_Qty],T_TTAFStock[RM_Code],$A41,T_TTAFStock[WeekIndex],95),CQ41+'Grid_Incoming'!CR41-'Grid_Requirement'!CR41))</f>
        <v/>
      </c>
      <c r="CS41">
        <f>IF(COUNTIFS(T_StockCount[RM_Code],$A41,T_StockCount[WeekIndex],96)&gt;0,SUMIFS(T_StockCount[CountedQty],T_StockCount[RM_Code],$A41,T_StockCount[WeekIndex],96),IF((COUNTIFS(T_SelfStock[RM_Code],$A41,T_SelfStock[WeekIndex],96)&gt;0)*(COUNTIFS(T_TTAFStock[RM_Code],$A41,T_TTAFStock[WeekIndex],96)&gt;0)&gt;0,SUMIFS(T_SelfStock[Self_Qty],T_SelfStock[RM_Code],$A41,T_SelfStock[WeekIndex],96)+SUMIFS(T_TTAFStock[TTAF_Qty],T_TTAFStock[RM_Code],$A41,T_TTAFStock[WeekIndex],96),CR41+'Grid_Incoming'!CS41-'Grid_Requirement'!CS41))</f>
        <v/>
      </c>
      <c r="CT41">
        <f>IF(COUNTIFS(T_StockCount[RM_Code],$A41,T_StockCount[WeekIndex],97)&gt;0,SUMIFS(T_StockCount[CountedQty],T_StockCount[RM_Code],$A41,T_StockCount[WeekIndex],97),IF((COUNTIFS(T_SelfStock[RM_Code],$A41,T_SelfStock[WeekIndex],97)&gt;0)*(COUNTIFS(T_TTAFStock[RM_Code],$A41,T_TTAFStock[WeekIndex],97)&gt;0)&gt;0,SUMIFS(T_SelfStock[Self_Qty],T_SelfStock[RM_Code],$A41,T_SelfStock[WeekIndex],97)+SUMIFS(T_TTAFStock[TTAF_Qty],T_TTAFStock[RM_Code],$A41,T_TTAFStock[WeekIndex],97),CS41+'Grid_Incoming'!CT41-'Grid_Requirement'!CT41))</f>
        <v/>
      </c>
      <c r="CU41">
        <f>IF(COUNTIFS(T_StockCount[RM_Code],$A41,T_StockCount[WeekIndex],98)&gt;0,SUMIFS(T_StockCount[CountedQty],T_StockCount[RM_Code],$A41,T_StockCount[WeekIndex],98),IF((COUNTIFS(T_SelfStock[RM_Code],$A41,T_SelfStock[WeekIndex],98)&gt;0)*(COUNTIFS(T_TTAFStock[RM_Code],$A41,T_TTAFStock[WeekIndex],98)&gt;0)&gt;0,SUMIFS(T_SelfStock[Self_Qty],T_SelfStock[RM_Code],$A41,T_SelfStock[WeekIndex],98)+SUMIFS(T_TTAFStock[TTAF_Qty],T_TTAFStock[RM_Code],$A41,T_TTAFStock[WeekIndex],98),CT41+'Grid_Incoming'!CU41-'Grid_Requirement'!CU41))</f>
        <v/>
      </c>
      <c r="CV41">
        <f>IF(COUNTIFS(T_StockCount[RM_Code],$A41,T_StockCount[WeekIndex],99)&gt;0,SUMIFS(T_StockCount[CountedQty],T_StockCount[RM_Code],$A41,T_StockCount[WeekIndex],99),IF((COUNTIFS(T_SelfStock[RM_Code],$A41,T_SelfStock[WeekIndex],99)&gt;0)*(COUNTIFS(T_TTAFStock[RM_Code],$A41,T_TTAFStock[WeekIndex],99)&gt;0)&gt;0,SUMIFS(T_SelfStock[Self_Qty],T_SelfStock[RM_Code],$A41,T_SelfStock[WeekIndex],99)+SUMIFS(T_TTAFStock[TTAF_Qty],T_TTAFStock[RM_Code],$A41,T_TTAFStock[WeekIndex],99),CU41+'Grid_Incoming'!CV41-'Grid_Requirement'!CV41))</f>
        <v/>
      </c>
      <c r="CW41">
        <f>IF(COUNTIFS(T_StockCount[RM_Code],$A41,T_StockCount[WeekIndex],100)&gt;0,SUMIFS(T_StockCount[CountedQty],T_StockCount[RM_Code],$A41,T_StockCount[WeekIndex],100),IF((COUNTIFS(T_SelfStock[RM_Code],$A41,T_SelfStock[WeekIndex],100)&gt;0)*(COUNTIFS(T_TTAFStock[RM_Code],$A41,T_TTAFStock[WeekIndex],100)&gt;0)&gt;0,SUMIFS(T_SelfStock[Self_Qty],T_SelfStock[RM_Code],$A41,T_SelfStock[WeekIndex],100)+SUMIFS(T_TTAFStock[TTAF_Qty],T_TTAFStock[RM_Code],$A41,T_TTAFStock[WeekIndex],100),CV41+'Grid_Incoming'!CW41-'Grid_Requirement'!CW41))</f>
        <v/>
      </c>
      <c r="CX41">
        <f>IF(COUNTIFS(T_StockCount[RM_Code],$A41,T_StockCount[WeekIndex],101)&gt;0,SUMIFS(T_StockCount[CountedQty],T_StockCount[RM_Code],$A41,T_StockCount[WeekIndex],101),IF((COUNTIFS(T_SelfStock[RM_Code],$A41,T_SelfStock[WeekIndex],101)&gt;0)*(COUNTIFS(T_TTAFStock[RM_Code],$A41,T_TTAFStock[WeekIndex],101)&gt;0)&gt;0,SUMIFS(T_SelfStock[Self_Qty],T_SelfStock[RM_Code],$A41,T_SelfStock[WeekIndex],101)+SUMIFS(T_TTAFStock[TTAF_Qty],T_TTAFStock[RM_Code],$A41,T_TTAFStock[WeekIndex],101),CW41+'Grid_Incoming'!CX41-'Grid_Requirement'!CX41))</f>
        <v/>
      </c>
      <c r="CY41">
        <f>IF(COUNTIFS(T_StockCount[RM_Code],$A41,T_StockCount[WeekIndex],102)&gt;0,SUMIFS(T_StockCount[CountedQty],T_StockCount[RM_Code],$A41,T_StockCount[WeekIndex],102),IF((COUNTIFS(T_SelfStock[RM_Code],$A41,T_SelfStock[WeekIndex],102)&gt;0)*(COUNTIFS(T_TTAFStock[RM_Code],$A41,T_TTAFStock[WeekIndex],102)&gt;0)&gt;0,SUMIFS(T_SelfStock[Self_Qty],T_SelfStock[RM_Code],$A41,T_SelfStock[WeekIndex],102)+SUMIFS(T_TTAFStock[TTAF_Qty],T_TTAFStock[RM_Code],$A41,T_TTAFStock[WeekIndex],102),CX41+'Grid_Incoming'!CY41-'Grid_Requirement'!CY41))</f>
        <v/>
      </c>
      <c r="CZ41">
        <f>IF(COUNTIFS(T_StockCount[RM_Code],$A41,T_StockCount[WeekIndex],103)&gt;0,SUMIFS(T_StockCount[CountedQty],T_StockCount[RM_Code],$A41,T_StockCount[WeekIndex],103),IF((COUNTIFS(T_SelfStock[RM_Code],$A41,T_SelfStock[WeekIndex],103)&gt;0)*(COUNTIFS(T_TTAFStock[RM_Code],$A41,T_TTAFStock[WeekIndex],103)&gt;0)&gt;0,SUMIFS(T_SelfStock[Self_Qty],T_SelfStock[RM_Code],$A41,T_SelfStock[WeekIndex],103)+SUMIFS(T_TTAFStock[TTAF_Qty],T_TTAFStock[RM_Code],$A41,T_TTAFStock[WeekIndex],103),CY41+'Grid_Incoming'!CZ41-'Grid_Requirement'!CZ41))</f>
        <v/>
      </c>
      <c r="DA41">
        <f>IF(COUNTIFS(T_StockCount[RM_Code],$A41,T_StockCount[WeekIndex],104)&gt;0,SUMIFS(T_StockCount[CountedQty],T_StockCount[RM_Code],$A41,T_StockCount[WeekIndex],104),IF((COUNTIFS(T_SelfStock[RM_Code],$A41,T_SelfStock[WeekIndex],104)&gt;0)*(COUNTIFS(T_TTAFStock[RM_Code],$A41,T_TTAFStock[WeekIndex],104)&gt;0)&gt;0,SUMIFS(T_SelfStock[Self_Qty],T_SelfStock[RM_Code],$A41,T_SelfStock[WeekIndex],104)+SUMIFS(T_TTAFStock[TTAF_Qty],T_TTAFStock[RM_Code],$A41,T_TTAFStock[WeekIndex],104),CZ41+'Grid_Incoming'!DA41-'Grid_Requirement'!DA41))</f>
        <v/>
      </c>
    </row>
    <row r="42">
      <c r="A42" t="inlineStr">
        <is>
          <t>CHEM-1730</t>
        </is>
      </c>
      <c r="B42">
        <f>IF(COUNTIFS(T_StockCount[RM_Code],$A42,T_StockCount[WeekIndex],1)&gt;0,SUMIFS(T_StockCount[CountedQty],T_StockCount[RM_Code],$A42,T_StockCount[WeekIndex],1),IF((COUNTIFS(T_SelfStock[RM_Code],$A42,T_SelfStock[WeekIndex],1)&gt;0)*(COUNTIFS(T_TTAFStock[RM_Code],$A42,T_TTAFStock[WeekIndex],1)&gt;0)&gt;0,SUMIFS(T_SelfStock[Self_Qty],T_SelfStock[RM_Code],$A42,T_SelfStock[WeekIndex],1)+SUMIFS(T_TTAFStock[TTAF_Qty],T_TTAFStock[RM_Code],$A42,T_TTAFStock[WeekIndex],1),IFERROR(INDEX(T_OpeningStock[Opening_Qty],MATCH($A42,T_OpeningStock[RM_Code],0)),0)+'Grid_Incoming'!B42-'Grid_Requirement'!B42))</f>
        <v/>
      </c>
      <c r="C42">
        <f>IF(COUNTIFS(T_StockCount[RM_Code],$A42,T_StockCount[WeekIndex],2)&gt;0,SUMIFS(T_StockCount[CountedQty],T_StockCount[RM_Code],$A42,T_StockCount[WeekIndex],2),IF((COUNTIFS(T_SelfStock[RM_Code],$A42,T_SelfStock[WeekIndex],2)&gt;0)*(COUNTIFS(T_TTAFStock[RM_Code],$A42,T_TTAFStock[WeekIndex],2)&gt;0)&gt;0,SUMIFS(T_SelfStock[Self_Qty],T_SelfStock[RM_Code],$A42,T_SelfStock[WeekIndex],2)+SUMIFS(T_TTAFStock[TTAF_Qty],T_TTAFStock[RM_Code],$A42,T_TTAFStock[WeekIndex],2),B42+'Grid_Incoming'!C42-'Grid_Requirement'!C42))</f>
        <v/>
      </c>
      <c r="D42">
        <f>IF(COUNTIFS(T_StockCount[RM_Code],$A42,T_StockCount[WeekIndex],3)&gt;0,SUMIFS(T_StockCount[CountedQty],T_StockCount[RM_Code],$A42,T_StockCount[WeekIndex],3),IF((COUNTIFS(T_SelfStock[RM_Code],$A42,T_SelfStock[WeekIndex],3)&gt;0)*(COUNTIFS(T_TTAFStock[RM_Code],$A42,T_TTAFStock[WeekIndex],3)&gt;0)&gt;0,SUMIFS(T_SelfStock[Self_Qty],T_SelfStock[RM_Code],$A42,T_SelfStock[WeekIndex],3)+SUMIFS(T_TTAFStock[TTAF_Qty],T_TTAFStock[RM_Code],$A42,T_TTAFStock[WeekIndex],3),C42+'Grid_Incoming'!D42-'Grid_Requirement'!D42))</f>
        <v/>
      </c>
      <c r="E42">
        <f>IF(COUNTIFS(T_StockCount[RM_Code],$A42,T_StockCount[WeekIndex],4)&gt;0,SUMIFS(T_StockCount[CountedQty],T_StockCount[RM_Code],$A42,T_StockCount[WeekIndex],4),IF((COUNTIFS(T_SelfStock[RM_Code],$A42,T_SelfStock[WeekIndex],4)&gt;0)*(COUNTIFS(T_TTAFStock[RM_Code],$A42,T_TTAFStock[WeekIndex],4)&gt;0)&gt;0,SUMIFS(T_SelfStock[Self_Qty],T_SelfStock[RM_Code],$A42,T_SelfStock[WeekIndex],4)+SUMIFS(T_TTAFStock[TTAF_Qty],T_TTAFStock[RM_Code],$A42,T_TTAFStock[WeekIndex],4),D42+'Grid_Incoming'!E42-'Grid_Requirement'!E42))</f>
        <v/>
      </c>
      <c r="F42">
        <f>IF(COUNTIFS(T_StockCount[RM_Code],$A42,T_StockCount[WeekIndex],5)&gt;0,SUMIFS(T_StockCount[CountedQty],T_StockCount[RM_Code],$A42,T_StockCount[WeekIndex],5),IF((COUNTIFS(T_SelfStock[RM_Code],$A42,T_SelfStock[WeekIndex],5)&gt;0)*(COUNTIFS(T_TTAFStock[RM_Code],$A42,T_TTAFStock[WeekIndex],5)&gt;0)&gt;0,SUMIFS(T_SelfStock[Self_Qty],T_SelfStock[RM_Code],$A42,T_SelfStock[WeekIndex],5)+SUMIFS(T_TTAFStock[TTAF_Qty],T_TTAFStock[RM_Code],$A42,T_TTAFStock[WeekIndex],5),E42+'Grid_Incoming'!F42-'Grid_Requirement'!F42))</f>
        <v/>
      </c>
      <c r="G42">
        <f>IF(COUNTIFS(T_StockCount[RM_Code],$A42,T_StockCount[WeekIndex],6)&gt;0,SUMIFS(T_StockCount[CountedQty],T_StockCount[RM_Code],$A42,T_StockCount[WeekIndex],6),IF((COUNTIFS(T_SelfStock[RM_Code],$A42,T_SelfStock[WeekIndex],6)&gt;0)*(COUNTIFS(T_TTAFStock[RM_Code],$A42,T_TTAFStock[WeekIndex],6)&gt;0)&gt;0,SUMIFS(T_SelfStock[Self_Qty],T_SelfStock[RM_Code],$A42,T_SelfStock[WeekIndex],6)+SUMIFS(T_TTAFStock[TTAF_Qty],T_TTAFStock[RM_Code],$A42,T_TTAFStock[WeekIndex],6),F42+'Grid_Incoming'!G42-'Grid_Requirement'!G42))</f>
        <v/>
      </c>
      <c r="H42">
        <f>IF(COUNTIFS(T_StockCount[RM_Code],$A42,T_StockCount[WeekIndex],7)&gt;0,SUMIFS(T_StockCount[CountedQty],T_StockCount[RM_Code],$A42,T_StockCount[WeekIndex],7),IF((COUNTIFS(T_SelfStock[RM_Code],$A42,T_SelfStock[WeekIndex],7)&gt;0)*(COUNTIFS(T_TTAFStock[RM_Code],$A42,T_TTAFStock[WeekIndex],7)&gt;0)&gt;0,SUMIFS(T_SelfStock[Self_Qty],T_SelfStock[RM_Code],$A42,T_SelfStock[WeekIndex],7)+SUMIFS(T_TTAFStock[TTAF_Qty],T_TTAFStock[RM_Code],$A42,T_TTAFStock[WeekIndex],7),G42+'Grid_Incoming'!H42-'Grid_Requirement'!H42))</f>
        <v/>
      </c>
      <c r="I42">
        <f>IF(COUNTIFS(T_StockCount[RM_Code],$A42,T_StockCount[WeekIndex],8)&gt;0,SUMIFS(T_StockCount[CountedQty],T_StockCount[RM_Code],$A42,T_StockCount[WeekIndex],8),IF((COUNTIFS(T_SelfStock[RM_Code],$A42,T_SelfStock[WeekIndex],8)&gt;0)*(COUNTIFS(T_TTAFStock[RM_Code],$A42,T_TTAFStock[WeekIndex],8)&gt;0)&gt;0,SUMIFS(T_SelfStock[Self_Qty],T_SelfStock[RM_Code],$A42,T_SelfStock[WeekIndex],8)+SUMIFS(T_TTAFStock[TTAF_Qty],T_TTAFStock[RM_Code],$A42,T_TTAFStock[WeekIndex],8),H42+'Grid_Incoming'!I42-'Grid_Requirement'!I42))</f>
        <v/>
      </c>
      <c r="J42">
        <f>IF(COUNTIFS(T_StockCount[RM_Code],$A42,T_StockCount[WeekIndex],9)&gt;0,SUMIFS(T_StockCount[CountedQty],T_StockCount[RM_Code],$A42,T_StockCount[WeekIndex],9),IF((COUNTIFS(T_SelfStock[RM_Code],$A42,T_SelfStock[WeekIndex],9)&gt;0)*(COUNTIFS(T_TTAFStock[RM_Code],$A42,T_TTAFStock[WeekIndex],9)&gt;0)&gt;0,SUMIFS(T_SelfStock[Self_Qty],T_SelfStock[RM_Code],$A42,T_SelfStock[WeekIndex],9)+SUMIFS(T_TTAFStock[TTAF_Qty],T_TTAFStock[RM_Code],$A42,T_TTAFStock[WeekIndex],9),I42+'Grid_Incoming'!J42-'Grid_Requirement'!J42))</f>
        <v/>
      </c>
      <c r="K42">
        <f>IF(COUNTIFS(T_StockCount[RM_Code],$A42,T_StockCount[WeekIndex],10)&gt;0,SUMIFS(T_StockCount[CountedQty],T_StockCount[RM_Code],$A42,T_StockCount[WeekIndex],10),IF((COUNTIFS(T_SelfStock[RM_Code],$A42,T_SelfStock[WeekIndex],10)&gt;0)*(COUNTIFS(T_TTAFStock[RM_Code],$A42,T_TTAFStock[WeekIndex],10)&gt;0)&gt;0,SUMIFS(T_SelfStock[Self_Qty],T_SelfStock[RM_Code],$A42,T_SelfStock[WeekIndex],10)+SUMIFS(T_TTAFStock[TTAF_Qty],T_TTAFStock[RM_Code],$A42,T_TTAFStock[WeekIndex],10),J42+'Grid_Incoming'!K42-'Grid_Requirement'!K42))</f>
        <v/>
      </c>
      <c r="L42">
        <f>IF(COUNTIFS(T_StockCount[RM_Code],$A42,T_StockCount[WeekIndex],11)&gt;0,SUMIFS(T_StockCount[CountedQty],T_StockCount[RM_Code],$A42,T_StockCount[WeekIndex],11),IF((COUNTIFS(T_SelfStock[RM_Code],$A42,T_SelfStock[WeekIndex],11)&gt;0)*(COUNTIFS(T_TTAFStock[RM_Code],$A42,T_TTAFStock[WeekIndex],11)&gt;0)&gt;0,SUMIFS(T_SelfStock[Self_Qty],T_SelfStock[RM_Code],$A42,T_SelfStock[WeekIndex],11)+SUMIFS(T_TTAFStock[TTAF_Qty],T_TTAFStock[RM_Code],$A42,T_TTAFStock[WeekIndex],11),K42+'Grid_Incoming'!L42-'Grid_Requirement'!L42))</f>
        <v/>
      </c>
      <c r="M42">
        <f>IF(COUNTIFS(T_StockCount[RM_Code],$A42,T_StockCount[WeekIndex],12)&gt;0,SUMIFS(T_StockCount[CountedQty],T_StockCount[RM_Code],$A42,T_StockCount[WeekIndex],12),IF((COUNTIFS(T_SelfStock[RM_Code],$A42,T_SelfStock[WeekIndex],12)&gt;0)*(COUNTIFS(T_TTAFStock[RM_Code],$A42,T_TTAFStock[WeekIndex],12)&gt;0)&gt;0,SUMIFS(T_SelfStock[Self_Qty],T_SelfStock[RM_Code],$A42,T_SelfStock[WeekIndex],12)+SUMIFS(T_TTAFStock[TTAF_Qty],T_TTAFStock[RM_Code],$A42,T_TTAFStock[WeekIndex],12),L42+'Grid_Incoming'!M42-'Grid_Requirement'!M42))</f>
        <v/>
      </c>
      <c r="N42">
        <f>IF(COUNTIFS(T_StockCount[RM_Code],$A42,T_StockCount[WeekIndex],13)&gt;0,SUMIFS(T_StockCount[CountedQty],T_StockCount[RM_Code],$A42,T_StockCount[WeekIndex],13),IF((COUNTIFS(T_SelfStock[RM_Code],$A42,T_SelfStock[WeekIndex],13)&gt;0)*(COUNTIFS(T_TTAFStock[RM_Code],$A42,T_TTAFStock[WeekIndex],13)&gt;0)&gt;0,SUMIFS(T_SelfStock[Self_Qty],T_SelfStock[RM_Code],$A42,T_SelfStock[WeekIndex],13)+SUMIFS(T_TTAFStock[TTAF_Qty],T_TTAFStock[RM_Code],$A42,T_TTAFStock[WeekIndex],13),M42+'Grid_Incoming'!N42-'Grid_Requirement'!N42))</f>
        <v/>
      </c>
      <c r="O42">
        <f>IF(COUNTIFS(T_StockCount[RM_Code],$A42,T_StockCount[WeekIndex],14)&gt;0,SUMIFS(T_StockCount[CountedQty],T_StockCount[RM_Code],$A42,T_StockCount[WeekIndex],14),IF((COUNTIFS(T_SelfStock[RM_Code],$A42,T_SelfStock[WeekIndex],14)&gt;0)*(COUNTIFS(T_TTAFStock[RM_Code],$A42,T_TTAFStock[WeekIndex],14)&gt;0)&gt;0,SUMIFS(T_SelfStock[Self_Qty],T_SelfStock[RM_Code],$A42,T_SelfStock[WeekIndex],14)+SUMIFS(T_TTAFStock[TTAF_Qty],T_TTAFStock[RM_Code],$A42,T_TTAFStock[WeekIndex],14),N42+'Grid_Incoming'!O42-'Grid_Requirement'!O42))</f>
        <v/>
      </c>
      <c r="P42">
        <f>IF(COUNTIFS(T_StockCount[RM_Code],$A42,T_StockCount[WeekIndex],15)&gt;0,SUMIFS(T_StockCount[CountedQty],T_StockCount[RM_Code],$A42,T_StockCount[WeekIndex],15),IF((COUNTIFS(T_SelfStock[RM_Code],$A42,T_SelfStock[WeekIndex],15)&gt;0)*(COUNTIFS(T_TTAFStock[RM_Code],$A42,T_TTAFStock[WeekIndex],15)&gt;0)&gt;0,SUMIFS(T_SelfStock[Self_Qty],T_SelfStock[RM_Code],$A42,T_SelfStock[WeekIndex],15)+SUMIFS(T_TTAFStock[TTAF_Qty],T_TTAFStock[RM_Code],$A42,T_TTAFStock[WeekIndex],15),O42+'Grid_Incoming'!P42-'Grid_Requirement'!P42))</f>
        <v/>
      </c>
      <c r="Q42">
        <f>IF(COUNTIFS(T_StockCount[RM_Code],$A42,T_StockCount[WeekIndex],16)&gt;0,SUMIFS(T_StockCount[CountedQty],T_StockCount[RM_Code],$A42,T_StockCount[WeekIndex],16),IF((COUNTIFS(T_SelfStock[RM_Code],$A42,T_SelfStock[WeekIndex],16)&gt;0)*(COUNTIFS(T_TTAFStock[RM_Code],$A42,T_TTAFStock[WeekIndex],16)&gt;0)&gt;0,SUMIFS(T_SelfStock[Self_Qty],T_SelfStock[RM_Code],$A42,T_SelfStock[WeekIndex],16)+SUMIFS(T_TTAFStock[TTAF_Qty],T_TTAFStock[RM_Code],$A42,T_TTAFStock[WeekIndex],16),P42+'Grid_Incoming'!Q42-'Grid_Requirement'!Q42))</f>
        <v/>
      </c>
      <c r="R42">
        <f>IF(COUNTIFS(T_StockCount[RM_Code],$A42,T_StockCount[WeekIndex],17)&gt;0,SUMIFS(T_StockCount[CountedQty],T_StockCount[RM_Code],$A42,T_StockCount[WeekIndex],17),IF((COUNTIFS(T_SelfStock[RM_Code],$A42,T_SelfStock[WeekIndex],17)&gt;0)*(COUNTIFS(T_TTAFStock[RM_Code],$A42,T_TTAFStock[WeekIndex],17)&gt;0)&gt;0,SUMIFS(T_SelfStock[Self_Qty],T_SelfStock[RM_Code],$A42,T_SelfStock[WeekIndex],17)+SUMIFS(T_TTAFStock[TTAF_Qty],T_TTAFStock[RM_Code],$A42,T_TTAFStock[WeekIndex],17),Q42+'Grid_Incoming'!R42-'Grid_Requirement'!R42))</f>
        <v/>
      </c>
      <c r="S42">
        <f>IF(COUNTIFS(T_StockCount[RM_Code],$A42,T_StockCount[WeekIndex],18)&gt;0,SUMIFS(T_StockCount[CountedQty],T_StockCount[RM_Code],$A42,T_StockCount[WeekIndex],18),IF((COUNTIFS(T_SelfStock[RM_Code],$A42,T_SelfStock[WeekIndex],18)&gt;0)*(COUNTIFS(T_TTAFStock[RM_Code],$A42,T_TTAFStock[WeekIndex],18)&gt;0)&gt;0,SUMIFS(T_SelfStock[Self_Qty],T_SelfStock[RM_Code],$A42,T_SelfStock[WeekIndex],18)+SUMIFS(T_TTAFStock[TTAF_Qty],T_TTAFStock[RM_Code],$A42,T_TTAFStock[WeekIndex],18),R42+'Grid_Incoming'!S42-'Grid_Requirement'!S42))</f>
        <v/>
      </c>
      <c r="T42">
        <f>IF(COUNTIFS(T_StockCount[RM_Code],$A42,T_StockCount[WeekIndex],19)&gt;0,SUMIFS(T_StockCount[CountedQty],T_StockCount[RM_Code],$A42,T_StockCount[WeekIndex],19),IF((COUNTIFS(T_SelfStock[RM_Code],$A42,T_SelfStock[WeekIndex],19)&gt;0)*(COUNTIFS(T_TTAFStock[RM_Code],$A42,T_TTAFStock[WeekIndex],19)&gt;0)&gt;0,SUMIFS(T_SelfStock[Self_Qty],T_SelfStock[RM_Code],$A42,T_SelfStock[WeekIndex],19)+SUMIFS(T_TTAFStock[TTAF_Qty],T_TTAFStock[RM_Code],$A42,T_TTAFStock[WeekIndex],19),S42+'Grid_Incoming'!T42-'Grid_Requirement'!T42))</f>
        <v/>
      </c>
      <c r="U42">
        <f>IF(COUNTIFS(T_StockCount[RM_Code],$A42,T_StockCount[WeekIndex],20)&gt;0,SUMIFS(T_StockCount[CountedQty],T_StockCount[RM_Code],$A42,T_StockCount[WeekIndex],20),IF((COUNTIFS(T_SelfStock[RM_Code],$A42,T_SelfStock[WeekIndex],20)&gt;0)*(COUNTIFS(T_TTAFStock[RM_Code],$A42,T_TTAFStock[WeekIndex],20)&gt;0)&gt;0,SUMIFS(T_SelfStock[Self_Qty],T_SelfStock[RM_Code],$A42,T_SelfStock[WeekIndex],20)+SUMIFS(T_TTAFStock[TTAF_Qty],T_TTAFStock[RM_Code],$A42,T_TTAFStock[WeekIndex],20),T42+'Grid_Incoming'!U42-'Grid_Requirement'!U42))</f>
        <v/>
      </c>
      <c r="V42">
        <f>IF(COUNTIFS(T_StockCount[RM_Code],$A42,T_StockCount[WeekIndex],21)&gt;0,SUMIFS(T_StockCount[CountedQty],T_StockCount[RM_Code],$A42,T_StockCount[WeekIndex],21),IF((COUNTIFS(T_SelfStock[RM_Code],$A42,T_SelfStock[WeekIndex],21)&gt;0)*(COUNTIFS(T_TTAFStock[RM_Code],$A42,T_TTAFStock[WeekIndex],21)&gt;0)&gt;0,SUMIFS(T_SelfStock[Self_Qty],T_SelfStock[RM_Code],$A42,T_SelfStock[WeekIndex],21)+SUMIFS(T_TTAFStock[TTAF_Qty],T_TTAFStock[RM_Code],$A42,T_TTAFStock[WeekIndex],21),U42+'Grid_Incoming'!V42-'Grid_Requirement'!V42))</f>
        <v/>
      </c>
      <c r="W42">
        <f>IF(COUNTIFS(T_StockCount[RM_Code],$A42,T_StockCount[WeekIndex],22)&gt;0,SUMIFS(T_StockCount[CountedQty],T_StockCount[RM_Code],$A42,T_StockCount[WeekIndex],22),IF((COUNTIFS(T_SelfStock[RM_Code],$A42,T_SelfStock[WeekIndex],22)&gt;0)*(COUNTIFS(T_TTAFStock[RM_Code],$A42,T_TTAFStock[WeekIndex],22)&gt;0)&gt;0,SUMIFS(T_SelfStock[Self_Qty],T_SelfStock[RM_Code],$A42,T_SelfStock[WeekIndex],22)+SUMIFS(T_TTAFStock[TTAF_Qty],T_TTAFStock[RM_Code],$A42,T_TTAFStock[WeekIndex],22),V42+'Grid_Incoming'!W42-'Grid_Requirement'!W42))</f>
        <v/>
      </c>
      <c r="X42">
        <f>IF(COUNTIFS(T_StockCount[RM_Code],$A42,T_StockCount[WeekIndex],23)&gt;0,SUMIFS(T_StockCount[CountedQty],T_StockCount[RM_Code],$A42,T_StockCount[WeekIndex],23),IF((COUNTIFS(T_SelfStock[RM_Code],$A42,T_SelfStock[WeekIndex],23)&gt;0)*(COUNTIFS(T_TTAFStock[RM_Code],$A42,T_TTAFStock[WeekIndex],23)&gt;0)&gt;0,SUMIFS(T_SelfStock[Self_Qty],T_SelfStock[RM_Code],$A42,T_SelfStock[WeekIndex],23)+SUMIFS(T_TTAFStock[TTAF_Qty],T_TTAFStock[RM_Code],$A42,T_TTAFStock[WeekIndex],23),W42+'Grid_Incoming'!X42-'Grid_Requirement'!X42))</f>
        <v/>
      </c>
      <c r="Y42">
        <f>IF(COUNTIFS(T_StockCount[RM_Code],$A42,T_StockCount[WeekIndex],24)&gt;0,SUMIFS(T_StockCount[CountedQty],T_StockCount[RM_Code],$A42,T_StockCount[WeekIndex],24),IF((COUNTIFS(T_SelfStock[RM_Code],$A42,T_SelfStock[WeekIndex],24)&gt;0)*(COUNTIFS(T_TTAFStock[RM_Code],$A42,T_TTAFStock[WeekIndex],24)&gt;0)&gt;0,SUMIFS(T_SelfStock[Self_Qty],T_SelfStock[RM_Code],$A42,T_SelfStock[WeekIndex],24)+SUMIFS(T_TTAFStock[TTAF_Qty],T_TTAFStock[RM_Code],$A42,T_TTAFStock[WeekIndex],24),X42+'Grid_Incoming'!Y42-'Grid_Requirement'!Y42))</f>
        <v/>
      </c>
      <c r="Z42">
        <f>IF(COUNTIFS(T_StockCount[RM_Code],$A42,T_StockCount[WeekIndex],25)&gt;0,SUMIFS(T_StockCount[CountedQty],T_StockCount[RM_Code],$A42,T_StockCount[WeekIndex],25),IF((COUNTIFS(T_SelfStock[RM_Code],$A42,T_SelfStock[WeekIndex],25)&gt;0)*(COUNTIFS(T_TTAFStock[RM_Code],$A42,T_TTAFStock[WeekIndex],25)&gt;0)&gt;0,SUMIFS(T_SelfStock[Self_Qty],T_SelfStock[RM_Code],$A42,T_SelfStock[WeekIndex],25)+SUMIFS(T_TTAFStock[TTAF_Qty],T_TTAFStock[RM_Code],$A42,T_TTAFStock[WeekIndex],25),Y42+'Grid_Incoming'!Z42-'Grid_Requirement'!Z42))</f>
        <v/>
      </c>
      <c r="AA42">
        <f>IF(COUNTIFS(T_StockCount[RM_Code],$A42,T_StockCount[WeekIndex],26)&gt;0,SUMIFS(T_StockCount[CountedQty],T_StockCount[RM_Code],$A42,T_StockCount[WeekIndex],26),IF((COUNTIFS(T_SelfStock[RM_Code],$A42,T_SelfStock[WeekIndex],26)&gt;0)*(COUNTIFS(T_TTAFStock[RM_Code],$A42,T_TTAFStock[WeekIndex],26)&gt;0)&gt;0,SUMIFS(T_SelfStock[Self_Qty],T_SelfStock[RM_Code],$A42,T_SelfStock[WeekIndex],26)+SUMIFS(T_TTAFStock[TTAF_Qty],T_TTAFStock[RM_Code],$A42,T_TTAFStock[WeekIndex],26),Z42+'Grid_Incoming'!AA42-'Grid_Requirement'!AA42))</f>
        <v/>
      </c>
      <c r="AB42">
        <f>IF(COUNTIFS(T_StockCount[RM_Code],$A42,T_StockCount[WeekIndex],27)&gt;0,SUMIFS(T_StockCount[CountedQty],T_StockCount[RM_Code],$A42,T_StockCount[WeekIndex],27),IF((COUNTIFS(T_SelfStock[RM_Code],$A42,T_SelfStock[WeekIndex],27)&gt;0)*(COUNTIFS(T_TTAFStock[RM_Code],$A42,T_TTAFStock[WeekIndex],27)&gt;0)&gt;0,SUMIFS(T_SelfStock[Self_Qty],T_SelfStock[RM_Code],$A42,T_SelfStock[WeekIndex],27)+SUMIFS(T_TTAFStock[TTAF_Qty],T_TTAFStock[RM_Code],$A42,T_TTAFStock[WeekIndex],27),AA42+'Grid_Incoming'!AB42-'Grid_Requirement'!AB42))</f>
        <v/>
      </c>
      <c r="AC42">
        <f>IF(COUNTIFS(T_StockCount[RM_Code],$A42,T_StockCount[WeekIndex],28)&gt;0,SUMIFS(T_StockCount[CountedQty],T_StockCount[RM_Code],$A42,T_StockCount[WeekIndex],28),IF((COUNTIFS(T_SelfStock[RM_Code],$A42,T_SelfStock[WeekIndex],28)&gt;0)*(COUNTIFS(T_TTAFStock[RM_Code],$A42,T_TTAFStock[WeekIndex],28)&gt;0)&gt;0,SUMIFS(T_SelfStock[Self_Qty],T_SelfStock[RM_Code],$A42,T_SelfStock[WeekIndex],28)+SUMIFS(T_TTAFStock[TTAF_Qty],T_TTAFStock[RM_Code],$A42,T_TTAFStock[WeekIndex],28),AB42+'Grid_Incoming'!AC42-'Grid_Requirement'!AC42))</f>
        <v/>
      </c>
      <c r="AD42">
        <f>IF(COUNTIFS(T_StockCount[RM_Code],$A42,T_StockCount[WeekIndex],29)&gt;0,SUMIFS(T_StockCount[CountedQty],T_StockCount[RM_Code],$A42,T_StockCount[WeekIndex],29),IF((COUNTIFS(T_SelfStock[RM_Code],$A42,T_SelfStock[WeekIndex],29)&gt;0)*(COUNTIFS(T_TTAFStock[RM_Code],$A42,T_TTAFStock[WeekIndex],29)&gt;0)&gt;0,SUMIFS(T_SelfStock[Self_Qty],T_SelfStock[RM_Code],$A42,T_SelfStock[WeekIndex],29)+SUMIFS(T_TTAFStock[TTAF_Qty],T_TTAFStock[RM_Code],$A42,T_TTAFStock[WeekIndex],29),AC42+'Grid_Incoming'!AD42-'Grid_Requirement'!AD42))</f>
        <v/>
      </c>
      <c r="AE42">
        <f>IF(COUNTIFS(T_StockCount[RM_Code],$A42,T_StockCount[WeekIndex],30)&gt;0,SUMIFS(T_StockCount[CountedQty],T_StockCount[RM_Code],$A42,T_StockCount[WeekIndex],30),IF((COUNTIFS(T_SelfStock[RM_Code],$A42,T_SelfStock[WeekIndex],30)&gt;0)*(COUNTIFS(T_TTAFStock[RM_Code],$A42,T_TTAFStock[WeekIndex],30)&gt;0)&gt;0,SUMIFS(T_SelfStock[Self_Qty],T_SelfStock[RM_Code],$A42,T_SelfStock[WeekIndex],30)+SUMIFS(T_TTAFStock[TTAF_Qty],T_TTAFStock[RM_Code],$A42,T_TTAFStock[WeekIndex],30),AD42+'Grid_Incoming'!AE42-'Grid_Requirement'!AE42))</f>
        <v/>
      </c>
      <c r="AF42">
        <f>IF(COUNTIFS(T_StockCount[RM_Code],$A42,T_StockCount[WeekIndex],31)&gt;0,SUMIFS(T_StockCount[CountedQty],T_StockCount[RM_Code],$A42,T_StockCount[WeekIndex],31),IF((COUNTIFS(T_SelfStock[RM_Code],$A42,T_SelfStock[WeekIndex],31)&gt;0)*(COUNTIFS(T_TTAFStock[RM_Code],$A42,T_TTAFStock[WeekIndex],31)&gt;0)&gt;0,SUMIFS(T_SelfStock[Self_Qty],T_SelfStock[RM_Code],$A42,T_SelfStock[WeekIndex],31)+SUMIFS(T_TTAFStock[TTAF_Qty],T_TTAFStock[RM_Code],$A42,T_TTAFStock[WeekIndex],31),AE42+'Grid_Incoming'!AF42-'Grid_Requirement'!AF42))</f>
        <v/>
      </c>
      <c r="AG42">
        <f>IF(COUNTIFS(T_StockCount[RM_Code],$A42,T_StockCount[WeekIndex],32)&gt;0,SUMIFS(T_StockCount[CountedQty],T_StockCount[RM_Code],$A42,T_StockCount[WeekIndex],32),IF((COUNTIFS(T_SelfStock[RM_Code],$A42,T_SelfStock[WeekIndex],32)&gt;0)*(COUNTIFS(T_TTAFStock[RM_Code],$A42,T_TTAFStock[WeekIndex],32)&gt;0)&gt;0,SUMIFS(T_SelfStock[Self_Qty],T_SelfStock[RM_Code],$A42,T_SelfStock[WeekIndex],32)+SUMIFS(T_TTAFStock[TTAF_Qty],T_TTAFStock[RM_Code],$A42,T_TTAFStock[WeekIndex],32),AF42+'Grid_Incoming'!AG42-'Grid_Requirement'!AG42))</f>
        <v/>
      </c>
      <c r="AH42">
        <f>IF(COUNTIFS(T_StockCount[RM_Code],$A42,T_StockCount[WeekIndex],33)&gt;0,SUMIFS(T_StockCount[CountedQty],T_StockCount[RM_Code],$A42,T_StockCount[WeekIndex],33),IF((COUNTIFS(T_SelfStock[RM_Code],$A42,T_SelfStock[WeekIndex],33)&gt;0)*(COUNTIFS(T_TTAFStock[RM_Code],$A42,T_TTAFStock[WeekIndex],33)&gt;0)&gt;0,SUMIFS(T_SelfStock[Self_Qty],T_SelfStock[RM_Code],$A42,T_SelfStock[WeekIndex],33)+SUMIFS(T_TTAFStock[TTAF_Qty],T_TTAFStock[RM_Code],$A42,T_TTAFStock[WeekIndex],33),AG42+'Grid_Incoming'!AH42-'Grid_Requirement'!AH42))</f>
        <v/>
      </c>
      <c r="AI42">
        <f>IF(COUNTIFS(T_StockCount[RM_Code],$A42,T_StockCount[WeekIndex],34)&gt;0,SUMIFS(T_StockCount[CountedQty],T_StockCount[RM_Code],$A42,T_StockCount[WeekIndex],34),IF((COUNTIFS(T_SelfStock[RM_Code],$A42,T_SelfStock[WeekIndex],34)&gt;0)*(COUNTIFS(T_TTAFStock[RM_Code],$A42,T_TTAFStock[WeekIndex],34)&gt;0)&gt;0,SUMIFS(T_SelfStock[Self_Qty],T_SelfStock[RM_Code],$A42,T_SelfStock[WeekIndex],34)+SUMIFS(T_TTAFStock[TTAF_Qty],T_TTAFStock[RM_Code],$A42,T_TTAFStock[WeekIndex],34),AH42+'Grid_Incoming'!AI42-'Grid_Requirement'!AI42))</f>
        <v/>
      </c>
      <c r="AJ42">
        <f>IF(COUNTIFS(T_StockCount[RM_Code],$A42,T_StockCount[WeekIndex],35)&gt;0,SUMIFS(T_StockCount[CountedQty],T_StockCount[RM_Code],$A42,T_StockCount[WeekIndex],35),IF((COUNTIFS(T_SelfStock[RM_Code],$A42,T_SelfStock[WeekIndex],35)&gt;0)*(COUNTIFS(T_TTAFStock[RM_Code],$A42,T_TTAFStock[WeekIndex],35)&gt;0)&gt;0,SUMIFS(T_SelfStock[Self_Qty],T_SelfStock[RM_Code],$A42,T_SelfStock[WeekIndex],35)+SUMIFS(T_TTAFStock[TTAF_Qty],T_TTAFStock[RM_Code],$A42,T_TTAFStock[WeekIndex],35),AI42+'Grid_Incoming'!AJ42-'Grid_Requirement'!AJ42))</f>
        <v/>
      </c>
      <c r="AK42">
        <f>IF(COUNTIFS(T_StockCount[RM_Code],$A42,T_StockCount[WeekIndex],36)&gt;0,SUMIFS(T_StockCount[CountedQty],T_StockCount[RM_Code],$A42,T_StockCount[WeekIndex],36),IF((COUNTIFS(T_SelfStock[RM_Code],$A42,T_SelfStock[WeekIndex],36)&gt;0)*(COUNTIFS(T_TTAFStock[RM_Code],$A42,T_TTAFStock[WeekIndex],36)&gt;0)&gt;0,SUMIFS(T_SelfStock[Self_Qty],T_SelfStock[RM_Code],$A42,T_SelfStock[WeekIndex],36)+SUMIFS(T_TTAFStock[TTAF_Qty],T_TTAFStock[RM_Code],$A42,T_TTAFStock[WeekIndex],36),AJ42+'Grid_Incoming'!AK42-'Grid_Requirement'!AK42))</f>
        <v/>
      </c>
      <c r="AL42">
        <f>IF(COUNTIFS(T_StockCount[RM_Code],$A42,T_StockCount[WeekIndex],37)&gt;0,SUMIFS(T_StockCount[CountedQty],T_StockCount[RM_Code],$A42,T_StockCount[WeekIndex],37),IF((COUNTIFS(T_SelfStock[RM_Code],$A42,T_SelfStock[WeekIndex],37)&gt;0)*(COUNTIFS(T_TTAFStock[RM_Code],$A42,T_TTAFStock[WeekIndex],37)&gt;0)&gt;0,SUMIFS(T_SelfStock[Self_Qty],T_SelfStock[RM_Code],$A42,T_SelfStock[WeekIndex],37)+SUMIFS(T_TTAFStock[TTAF_Qty],T_TTAFStock[RM_Code],$A42,T_TTAFStock[WeekIndex],37),AK42+'Grid_Incoming'!AL42-'Grid_Requirement'!AL42))</f>
        <v/>
      </c>
      <c r="AM42">
        <f>IF(COUNTIFS(T_StockCount[RM_Code],$A42,T_StockCount[WeekIndex],38)&gt;0,SUMIFS(T_StockCount[CountedQty],T_StockCount[RM_Code],$A42,T_StockCount[WeekIndex],38),IF((COUNTIFS(T_SelfStock[RM_Code],$A42,T_SelfStock[WeekIndex],38)&gt;0)*(COUNTIFS(T_TTAFStock[RM_Code],$A42,T_TTAFStock[WeekIndex],38)&gt;0)&gt;0,SUMIFS(T_SelfStock[Self_Qty],T_SelfStock[RM_Code],$A42,T_SelfStock[WeekIndex],38)+SUMIFS(T_TTAFStock[TTAF_Qty],T_TTAFStock[RM_Code],$A42,T_TTAFStock[WeekIndex],38),AL42+'Grid_Incoming'!AM42-'Grid_Requirement'!AM42))</f>
        <v/>
      </c>
      <c r="AN42">
        <f>IF(COUNTIFS(T_StockCount[RM_Code],$A42,T_StockCount[WeekIndex],39)&gt;0,SUMIFS(T_StockCount[CountedQty],T_StockCount[RM_Code],$A42,T_StockCount[WeekIndex],39),IF((COUNTIFS(T_SelfStock[RM_Code],$A42,T_SelfStock[WeekIndex],39)&gt;0)*(COUNTIFS(T_TTAFStock[RM_Code],$A42,T_TTAFStock[WeekIndex],39)&gt;0)&gt;0,SUMIFS(T_SelfStock[Self_Qty],T_SelfStock[RM_Code],$A42,T_SelfStock[WeekIndex],39)+SUMIFS(T_TTAFStock[TTAF_Qty],T_TTAFStock[RM_Code],$A42,T_TTAFStock[WeekIndex],39),AM42+'Grid_Incoming'!AN42-'Grid_Requirement'!AN42))</f>
        <v/>
      </c>
      <c r="AO42">
        <f>IF(COUNTIFS(T_StockCount[RM_Code],$A42,T_StockCount[WeekIndex],40)&gt;0,SUMIFS(T_StockCount[CountedQty],T_StockCount[RM_Code],$A42,T_StockCount[WeekIndex],40),IF((COUNTIFS(T_SelfStock[RM_Code],$A42,T_SelfStock[WeekIndex],40)&gt;0)*(COUNTIFS(T_TTAFStock[RM_Code],$A42,T_TTAFStock[WeekIndex],40)&gt;0)&gt;0,SUMIFS(T_SelfStock[Self_Qty],T_SelfStock[RM_Code],$A42,T_SelfStock[WeekIndex],40)+SUMIFS(T_TTAFStock[TTAF_Qty],T_TTAFStock[RM_Code],$A42,T_TTAFStock[WeekIndex],40),AN42+'Grid_Incoming'!AO42-'Grid_Requirement'!AO42))</f>
        <v/>
      </c>
      <c r="AP42">
        <f>IF(COUNTIFS(T_StockCount[RM_Code],$A42,T_StockCount[WeekIndex],41)&gt;0,SUMIFS(T_StockCount[CountedQty],T_StockCount[RM_Code],$A42,T_StockCount[WeekIndex],41),IF((COUNTIFS(T_SelfStock[RM_Code],$A42,T_SelfStock[WeekIndex],41)&gt;0)*(COUNTIFS(T_TTAFStock[RM_Code],$A42,T_TTAFStock[WeekIndex],41)&gt;0)&gt;0,SUMIFS(T_SelfStock[Self_Qty],T_SelfStock[RM_Code],$A42,T_SelfStock[WeekIndex],41)+SUMIFS(T_TTAFStock[TTAF_Qty],T_TTAFStock[RM_Code],$A42,T_TTAFStock[WeekIndex],41),AO42+'Grid_Incoming'!AP42-'Grid_Requirement'!AP42))</f>
        <v/>
      </c>
      <c r="AQ42">
        <f>IF(COUNTIFS(T_StockCount[RM_Code],$A42,T_StockCount[WeekIndex],42)&gt;0,SUMIFS(T_StockCount[CountedQty],T_StockCount[RM_Code],$A42,T_StockCount[WeekIndex],42),IF((COUNTIFS(T_SelfStock[RM_Code],$A42,T_SelfStock[WeekIndex],42)&gt;0)*(COUNTIFS(T_TTAFStock[RM_Code],$A42,T_TTAFStock[WeekIndex],42)&gt;0)&gt;0,SUMIFS(T_SelfStock[Self_Qty],T_SelfStock[RM_Code],$A42,T_SelfStock[WeekIndex],42)+SUMIFS(T_TTAFStock[TTAF_Qty],T_TTAFStock[RM_Code],$A42,T_TTAFStock[WeekIndex],42),AP42+'Grid_Incoming'!AQ42-'Grid_Requirement'!AQ42))</f>
        <v/>
      </c>
      <c r="AR42">
        <f>IF(COUNTIFS(T_StockCount[RM_Code],$A42,T_StockCount[WeekIndex],43)&gt;0,SUMIFS(T_StockCount[CountedQty],T_StockCount[RM_Code],$A42,T_StockCount[WeekIndex],43),IF((COUNTIFS(T_SelfStock[RM_Code],$A42,T_SelfStock[WeekIndex],43)&gt;0)*(COUNTIFS(T_TTAFStock[RM_Code],$A42,T_TTAFStock[WeekIndex],43)&gt;0)&gt;0,SUMIFS(T_SelfStock[Self_Qty],T_SelfStock[RM_Code],$A42,T_SelfStock[WeekIndex],43)+SUMIFS(T_TTAFStock[TTAF_Qty],T_TTAFStock[RM_Code],$A42,T_TTAFStock[WeekIndex],43),AQ42+'Grid_Incoming'!AR42-'Grid_Requirement'!AR42))</f>
        <v/>
      </c>
      <c r="AS42">
        <f>IF(COUNTIFS(T_StockCount[RM_Code],$A42,T_StockCount[WeekIndex],44)&gt;0,SUMIFS(T_StockCount[CountedQty],T_StockCount[RM_Code],$A42,T_StockCount[WeekIndex],44),IF((COUNTIFS(T_SelfStock[RM_Code],$A42,T_SelfStock[WeekIndex],44)&gt;0)*(COUNTIFS(T_TTAFStock[RM_Code],$A42,T_TTAFStock[WeekIndex],44)&gt;0)&gt;0,SUMIFS(T_SelfStock[Self_Qty],T_SelfStock[RM_Code],$A42,T_SelfStock[WeekIndex],44)+SUMIFS(T_TTAFStock[TTAF_Qty],T_TTAFStock[RM_Code],$A42,T_TTAFStock[WeekIndex],44),AR42+'Grid_Incoming'!AS42-'Grid_Requirement'!AS42))</f>
        <v/>
      </c>
      <c r="AT42">
        <f>IF(COUNTIFS(T_StockCount[RM_Code],$A42,T_StockCount[WeekIndex],45)&gt;0,SUMIFS(T_StockCount[CountedQty],T_StockCount[RM_Code],$A42,T_StockCount[WeekIndex],45),IF((COUNTIFS(T_SelfStock[RM_Code],$A42,T_SelfStock[WeekIndex],45)&gt;0)*(COUNTIFS(T_TTAFStock[RM_Code],$A42,T_TTAFStock[WeekIndex],45)&gt;0)&gt;0,SUMIFS(T_SelfStock[Self_Qty],T_SelfStock[RM_Code],$A42,T_SelfStock[WeekIndex],45)+SUMIFS(T_TTAFStock[TTAF_Qty],T_TTAFStock[RM_Code],$A42,T_TTAFStock[WeekIndex],45),AS42+'Grid_Incoming'!AT42-'Grid_Requirement'!AT42))</f>
        <v/>
      </c>
      <c r="AU42">
        <f>IF(COUNTIFS(T_StockCount[RM_Code],$A42,T_StockCount[WeekIndex],46)&gt;0,SUMIFS(T_StockCount[CountedQty],T_StockCount[RM_Code],$A42,T_StockCount[WeekIndex],46),IF((COUNTIFS(T_SelfStock[RM_Code],$A42,T_SelfStock[WeekIndex],46)&gt;0)*(COUNTIFS(T_TTAFStock[RM_Code],$A42,T_TTAFStock[WeekIndex],46)&gt;0)&gt;0,SUMIFS(T_SelfStock[Self_Qty],T_SelfStock[RM_Code],$A42,T_SelfStock[WeekIndex],46)+SUMIFS(T_TTAFStock[TTAF_Qty],T_TTAFStock[RM_Code],$A42,T_TTAFStock[WeekIndex],46),AT42+'Grid_Incoming'!AU42-'Grid_Requirement'!AU42))</f>
        <v/>
      </c>
      <c r="AV42">
        <f>IF(COUNTIFS(T_StockCount[RM_Code],$A42,T_StockCount[WeekIndex],47)&gt;0,SUMIFS(T_StockCount[CountedQty],T_StockCount[RM_Code],$A42,T_StockCount[WeekIndex],47),IF((COUNTIFS(T_SelfStock[RM_Code],$A42,T_SelfStock[WeekIndex],47)&gt;0)*(COUNTIFS(T_TTAFStock[RM_Code],$A42,T_TTAFStock[WeekIndex],47)&gt;0)&gt;0,SUMIFS(T_SelfStock[Self_Qty],T_SelfStock[RM_Code],$A42,T_SelfStock[WeekIndex],47)+SUMIFS(T_TTAFStock[TTAF_Qty],T_TTAFStock[RM_Code],$A42,T_TTAFStock[WeekIndex],47),AU42+'Grid_Incoming'!AV42-'Grid_Requirement'!AV42))</f>
        <v/>
      </c>
      <c r="AW42">
        <f>IF(COUNTIFS(T_StockCount[RM_Code],$A42,T_StockCount[WeekIndex],48)&gt;0,SUMIFS(T_StockCount[CountedQty],T_StockCount[RM_Code],$A42,T_StockCount[WeekIndex],48),IF((COUNTIFS(T_SelfStock[RM_Code],$A42,T_SelfStock[WeekIndex],48)&gt;0)*(COUNTIFS(T_TTAFStock[RM_Code],$A42,T_TTAFStock[WeekIndex],48)&gt;0)&gt;0,SUMIFS(T_SelfStock[Self_Qty],T_SelfStock[RM_Code],$A42,T_SelfStock[WeekIndex],48)+SUMIFS(T_TTAFStock[TTAF_Qty],T_TTAFStock[RM_Code],$A42,T_TTAFStock[WeekIndex],48),AV42+'Grid_Incoming'!AW42-'Grid_Requirement'!AW42))</f>
        <v/>
      </c>
      <c r="AX42">
        <f>IF(COUNTIFS(T_StockCount[RM_Code],$A42,T_StockCount[WeekIndex],49)&gt;0,SUMIFS(T_StockCount[CountedQty],T_StockCount[RM_Code],$A42,T_StockCount[WeekIndex],49),IF((COUNTIFS(T_SelfStock[RM_Code],$A42,T_SelfStock[WeekIndex],49)&gt;0)*(COUNTIFS(T_TTAFStock[RM_Code],$A42,T_TTAFStock[WeekIndex],49)&gt;0)&gt;0,SUMIFS(T_SelfStock[Self_Qty],T_SelfStock[RM_Code],$A42,T_SelfStock[WeekIndex],49)+SUMIFS(T_TTAFStock[TTAF_Qty],T_TTAFStock[RM_Code],$A42,T_TTAFStock[WeekIndex],49),AW42+'Grid_Incoming'!AX42-'Grid_Requirement'!AX42))</f>
        <v/>
      </c>
      <c r="AY42">
        <f>IF(COUNTIFS(T_StockCount[RM_Code],$A42,T_StockCount[WeekIndex],50)&gt;0,SUMIFS(T_StockCount[CountedQty],T_StockCount[RM_Code],$A42,T_StockCount[WeekIndex],50),IF((COUNTIFS(T_SelfStock[RM_Code],$A42,T_SelfStock[WeekIndex],50)&gt;0)*(COUNTIFS(T_TTAFStock[RM_Code],$A42,T_TTAFStock[WeekIndex],50)&gt;0)&gt;0,SUMIFS(T_SelfStock[Self_Qty],T_SelfStock[RM_Code],$A42,T_SelfStock[WeekIndex],50)+SUMIFS(T_TTAFStock[TTAF_Qty],T_TTAFStock[RM_Code],$A42,T_TTAFStock[WeekIndex],50),AX42+'Grid_Incoming'!AY42-'Grid_Requirement'!AY42))</f>
        <v/>
      </c>
      <c r="AZ42">
        <f>IF(COUNTIFS(T_StockCount[RM_Code],$A42,T_StockCount[WeekIndex],51)&gt;0,SUMIFS(T_StockCount[CountedQty],T_StockCount[RM_Code],$A42,T_StockCount[WeekIndex],51),IF((COUNTIFS(T_SelfStock[RM_Code],$A42,T_SelfStock[WeekIndex],51)&gt;0)*(COUNTIFS(T_TTAFStock[RM_Code],$A42,T_TTAFStock[WeekIndex],51)&gt;0)&gt;0,SUMIFS(T_SelfStock[Self_Qty],T_SelfStock[RM_Code],$A42,T_SelfStock[WeekIndex],51)+SUMIFS(T_TTAFStock[TTAF_Qty],T_TTAFStock[RM_Code],$A42,T_TTAFStock[WeekIndex],51),AY42+'Grid_Incoming'!AZ42-'Grid_Requirement'!AZ42))</f>
        <v/>
      </c>
      <c r="BA42">
        <f>IF(COUNTIFS(T_StockCount[RM_Code],$A42,T_StockCount[WeekIndex],52)&gt;0,SUMIFS(T_StockCount[CountedQty],T_StockCount[RM_Code],$A42,T_StockCount[WeekIndex],52),IF((COUNTIFS(T_SelfStock[RM_Code],$A42,T_SelfStock[WeekIndex],52)&gt;0)*(COUNTIFS(T_TTAFStock[RM_Code],$A42,T_TTAFStock[WeekIndex],52)&gt;0)&gt;0,SUMIFS(T_SelfStock[Self_Qty],T_SelfStock[RM_Code],$A42,T_SelfStock[WeekIndex],52)+SUMIFS(T_TTAFStock[TTAF_Qty],T_TTAFStock[RM_Code],$A42,T_TTAFStock[WeekIndex],52),AZ42+'Grid_Incoming'!BA42-'Grid_Requirement'!BA42))</f>
        <v/>
      </c>
      <c r="BB42">
        <f>IF(COUNTIFS(T_StockCount[RM_Code],$A42,T_StockCount[WeekIndex],53)&gt;0,SUMIFS(T_StockCount[CountedQty],T_StockCount[RM_Code],$A42,T_StockCount[WeekIndex],53),IF((COUNTIFS(T_SelfStock[RM_Code],$A42,T_SelfStock[WeekIndex],53)&gt;0)*(COUNTIFS(T_TTAFStock[RM_Code],$A42,T_TTAFStock[WeekIndex],53)&gt;0)&gt;0,SUMIFS(T_SelfStock[Self_Qty],T_SelfStock[RM_Code],$A42,T_SelfStock[WeekIndex],53)+SUMIFS(T_TTAFStock[TTAF_Qty],T_TTAFStock[RM_Code],$A42,T_TTAFStock[WeekIndex],53),BA42+'Grid_Incoming'!BB42-'Grid_Requirement'!BB42))</f>
        <v/>
      </c>
      <c r="BC42">
        <f>IF(COUNTIFS(T_StockCount[RM_Code],$A42,T_StockCount[WeekIndex],54)&gt;0,SUMIFS(T_StockCount[CountedQty],T_StockCount[RM_Code],$A42,T_StockCount[WeekIndex],54),IF((COUNTIFS(T_SelfStock[RM_Code],$A42,T_SelfStock[WeekIndex],54)&gt;0)*(COUNTIFS(T_TTAFStock[RM_Code],$A42,T_TTAFStock[WeekIndex],54)&gt;0)&gt;0,SUMIFS(T_SelfStock[Self_Qty],T_SelfStock[RM_Code],$A42,T_SelfStock[WeekIndex],54)+SUMIFS(T_TTAFStock[TTAF_Qty],T_TTAFStock[RM_Code],$A42,T_TTAFStock[WeekIndex],54),BB42+'Grid_Incoming'!BC42-'Grid_Requirement'!BC42))</f>
        <v/>
      </c>
      <c r="BD42">
        <f>IF(COUNTIFS(T_StockCount[RM_Code],$A42,T_StockCount[WeekIndex],55)&gt;0,SUMIFS(T_StockCount[CountedQty],T_StockCount[RM_Code],$A42,T_StockCount[WeekIndex],55),IF((COUNTIFS(T_SelfStock[RM_Code],$A42,T_SelfStock[WeekIndex],55)&gt;0)*(COUNTIFS(T_TTAFStock[RM_Code],$A42,T_TTAFStock[WeekIndex],55)&gt;0)&gt;0,SUMIFS(T_SelfStock[Self_Qty],T_SelfStock[RM_Code],$A42,T_SelfStock[WeekIndex],55)+SUMIFS(T_TTAFStock[TTAF_Qty],T_TTAFStock[RM_Code],$A42,T_TTAFStock[WeekIndex],55),BC42+'Grid_Incoming'!BD42-'Grid_Requirement'!BD42))</f>
        <v/>
      </c>
      <c r="BE42">
        <f>IF(COUNTIFS(T_StockCount[RM_Code],$A42,T_StockCount[WeekIndex],56)&gt;0,SUMIFS(T_StockCount[CountedQty],T_StockCount[RM_Code],$A42,T_StockCount[WeekIndex],56),IF((COUNTIFS(T_SelfStock[RM_Code],$A42,T_SelfStock[WeekIndex],56)&gt;0)*(COUNTIFS(T_TTAFStock[RM_Code],$A42,T_TTAFStock[WeekIndex],56)&gt;0)&gt;0,SUMIFS(T_SelfStock[Self_Qty],T_SelfStock[RM_Code],$A42,T_SelfStock[WeekIndex],56)+SUMIFS(T_TTAFStock[TTAF_Qty],T_TTAFStock[RM_Code],$A42,T_TTAFStock[WeekIndex],56),BD42+'Grid_Incoming'!BE42-'Grid_Requirement'!BE42))</f>
        <v/>
      </c>
      <c r="BF42">
        <f>IF(COUNTIFS(T_StockCount[RM_Code],$A42,T_StockCount[WeekIndex],57)&gt;0,SUMIFS(T_StockCount[CountedQty],T_StockCount[RM_Code],$A42,T_StockCount[WeekIndex],57),IF((COUNTIFS(T_SelfStock[RM_Code],$A42,T_SelfStock[WeekIndex],57)&gt;0)*(COUNTIFS(T_TTAFStock[RM_Code],$A42,T_TTAFStock[WeekIndex],57)&gt;0)&gt;0,SUMIFS(T_SelfStock[Self_Qty],T_SelfStock[RM_Code],$A42,T_SelfStock[WeekIndex],57)+SUMIFS(T_TTAFStock[TTAF_Qty],T_TTAFStock[RM_Code],$A42,T_TTAFStock[WeekIndex],57),BE42+'Grid_Incoming'!BF42-'Grid_Requirement'!BF42))</f>
        <v/>
      </c>
      <c r="BG42">
        <f>IF(COUNTIFS(T_StockCount[RM_Code],$A42,T_StockCount[WeekIndex],58)&gt;0,SUMIFS(T_StockCount[CountedQty],T_StockCount[RM_Code],$A42,T_StockCount[WeekIndex],58),IF((COUNTIFS(T_SelfStock[RM_Code],$A42,T_SelfStock[WeekIndex],58)&gt;0)*(COUNTIFS(T_TTAFStock[RM_Code],$A42,T_TTAFStock[WeekIndex],58)&gt;0)&gt;0,SUMIFS(T_SelfStock[Self_Qty],T_SelfStock[RM_Code],$A42,T_SelfStock[WeekIndex],58)+SUMIFS(T_TTAFStock[TTAF_Qty],T_TTAFStock[RM_Code],$A42,T_TTAFStock[WeekIndex],58),BF42+'Grid_Incoming'!BG42-'Grid_Requirement'!BG42))</f>
        <v/>
      </c>
      <c r="BH42">
        <f>IF(COUNTIFS(T_StockCount[RM_Code],$A42,T_StockCount[WeekIndex],59)&gt;0,SUMIFS(T_StockCount[CountedQty],T_StockCount[RM_Code],$A42,T_StockCount[WeekIndex],59),IF((COUNTIFS(T_SelfStock[RM_Code],$A42,T_SelfStock[WeekIndex],59)&gt;0)*(COUNTIFS(T_TTAFStock[RM_Code],$A42,T_TTAFStock[WeekIndex],59)&gt;0)&gt;0,SUMIFS(T_SelfStock[Self_Qty],T_SelfStock[RM_Code],$A42,T_SelfStock[WeekIndex],59)+SUMIFS(T_TTAFStock[TTAF_Qty],T_TTAFStock[RM_Code],$A42,T_TTAFStock[WeekIndex],59),BG42+'Grid_Incoming'!BH42-'Grid_Requirement'!BH42))</f>
        <v/>
      </c>
      <c r="BI42">
        <f>IF(COUNTIFS(T_StockCount[RM_Code],$A42,T_StockCount[WeekIndex],60)&gt;0,SUMIFS(T_StockCount[CountedQty],T_StockCount[RM_Code],$A42,T_StockCount[WeekIndex],60),IF((COUNTIFS(T_SelfStock[RM_Code],$A42,T_SelfStock[WeekIndex],60)&gt;0)*(COUNTIFS(T_TTAFStock[RM_Code],$A42,T_TTAFStock[WeekIndex],60)&gt;0)&gt;0,SUMIFS(T_SelfStock[Self_Qty],T_SelfStock[RM_Code],$A42,T_SelfStock[WeekIndex],60)+SUMIFS(T_TTAFStock[TTAF_Qty],T_TTAFStock[RM_Code],$A42,T_TTAFStock[WeekIndex],60),BH42+'Grid_Incoming'!BI42-'Grid_Requirement'!BI42))</f>
        <v/>
      </c>
      <c r="BJ42">
        <f>IF(COUNTIFS(T_StockCount[RM_Code],$A42,T_StockCount[WeekIndex],61)&gt;0,SUMIFS(T_StockCount[CountedQty],T_StockCount[RM_Code],$A42,T_StockCount[WeekIndex],61),IF((COUNTIFS(T_SelfStock[RM_Code],$A42,T_SelfStock[WeekIndex],61)&gt;0)*(COUNTIFS(T_TTAFStock[RM_Code],$A42,T_TTAFStock[WeekIndex],61)&gt;0)&gt;0,SUMIFS(T_SelfStock[Self_Qty],T_SelfStock[RM_Code],$A42,T_SelfStock[WeekIndex],61)+SUMIFS(T_TTAFStock[TTAF_Qty],T_TTAFStock[RM_Code],$A42,T_TTAFStock[WeekIndex],61),BI42+'Grid_Incoming'!BJ42-'Grid_Requirement'!BJ42))</f>
        <v/>
      </c>
      <c r="BK42">
        <f>IF(COUNTIFS(T_StockCount[RM_Code],$A42,T_StockCount[WeekIndex],62)&gt;0,SUMIFS(T_StockCount[CountedQty],T_StockCount[RM_Code],$A42,T_StockCount[WeekIndex],62),IF((COUNTIFS(T_SelfStock[RM_Code],$A42,T_SelfStock[WeekIndex],62)&gt;0)*(COUNTIFS(T_TTAFStock[RM_Code],$A42,T_TTAFStock[WeekIndex],62)&gt;0)&gt;0,SUMIFS(T_SelfStock[Self_Qty],T_SelfStock[RM_Code],$A42,T_SelfStock[WeekIndex],62)+SUMIFS(T_TTAFStock[TTAF_Qty],T_TTAFStock[RM_Code],$A42,T_TTAFStock[WeekIndex],62),BJ42+'Grid_Incoming'!BK42-'Grid_Requirement'!BK42))</f>
        <v/>
      </c>
      <c r="BL42">
        <f>IF(COUNTIFS(T_StockCount[RM_Code],$A42,T_StockCount[WeekIndex],63)&gt;0,SUMIFS(T_StockCount[CountedQty],T_StockCount[RM_Code],$A42,T_StockCount[WeekIndex],63),IF((COUNTIFS(T_SelfStock[RM_Code],$A42,T_SelfStock[WeekIndex],63)&gt;0)*(COUNTIFS(T_TTAFStock[RM_Code],$A42,T_TTAFStock[WeekIndex],63)&gt;0)&gt;0,SUMIFS(T_SelfStock[Self_Qty],T_SelfStock[RM_Code],$A42,T_SelfStock[WeekIndex],63)+SUMIFS(T_TTAFStock[TTAF_Qty],T_TTAFStock[RM_Code],$A42,T_TTAFStock[WeekIndex],63),BK42+'Grid_Incoming'!BL42-'Grid_Requirement'!BL42))</f>
        <v/>
      </c>
      <c r="BM42">
        <f>IF(COUNTIFS(T_StockCount[RM_Code],$A42,T_StockCount[WeekIndex],64)&gt;0,SUMIFS(T_StockCount[CountedQty],T_StockCount[RM_Code],$A42,T_StockCount[WeekIndex],64),IF((COUNTIFS(T_SelfStock[RM_Code],$A42,T_SelfStock[WeekIndex],64)&gt;0)*(COUNTIFS(T_TTAFStock[RM_Code],$A42,T_TTAFStock[WeekIndex],64)&gt;0)&gt;0,SUMIFS(T_SelfStock[Self_Qty],T_SelfStock[RM_Code],$A42,T_SelfStock[WeekIndex],64)+SUMIFS(T_TTAFStock[TTAF_Qty],T_TTAFStock[RM_Code],$A42,T_TTAFStock[WeekIndex],64),BL42+'Grid_Incoming'!BM42-'Grid_Requirement'!BM42))</f>
        <v/>
      </c>
      <c r="BN42">
        <f>IF(COUNTIFS(T_StockCount[RM_Code],$A42,T_StockCount[WeekIndex],65)&gt;0,SUMIFS(T_StockCount[CountedQty],T_StockCount[RM_Code],$A42,T_StockCount[WeekIndex],65),IF((COUNTIFS(T_SelfStock[RM_Code],$A42,T_SelfStock[WeekIndex],65)&gt;0)*(COUNTIFS(T_TTAFStock[RM_Code],$A42,T_TTAFStock[WeekIndex],65)&gt;0)&gt;0,SUMIFS(T_SelfStock[Self_Qty],T_SelfStock[RM_Code],$A42,T_SelfStock[WeekIndex],65)+SUMIFS(T_TTAFStock[TTAF_Qty],T_TTAFStock[RM_Code],$A42,T_TTAFStock[WeekIndex],65),BM42+'Grid_Incoming'!BN42-'Grid_Requirement'!BN42))</f>
        <v/>
      </c>
      <c r="BO42">
        <f>IF(COUNTIFS(T_StockCount[RM_Code],$A42,T_StockCount[WeekIndex],66)&gt;0,SUMIFS(T_StockCount[CountedQty],T_StockCount[RM_Code],$A42,T_StockCount[WeekIndex],66),IF((COUNTIFS(T_SelfStock[RM_Code],$A42,T_SelfStock[WeekIndex],66)&gt;0)*(COUNTIFS(T_TTAFStock[RM_Code],$A42,T_TTAFStock[WeekIndex],66)&gt;0)&gt;0,SUMIFS(T_SelfStock[Self_Qty],T_SelfStock[RM_Code],$A42,T_SelfStock[WeekIndex],66)+SUMIFS(T_TTAFStock[TTAF_Qty],T_TTAFStock[RM_Code],$A42,T_TTAFStock[WeekIndex],66),BN42+'Grid_Incoming'!BO42-'Grid_Requirement'!BO42))</f>
        <v/>
      </c>
      <c r="BP42">
        <f>IF(COUNTIFS(T_StockCount[RM_Code],$A42,T_StockCount[WeekIndex],67)&gt;0,SUMIFS(T_StockCount[CountedQty],T_StockCount[RM_Code],$A42,T_StockCount[WeekIndex],67),IF((COUNTIFS(T_SelfStock[RM_Code],$A42,T_SelfStock[WeekIndex],67)&gt;0)*(COUNTIFS(T_TTAFStock[RM_Code],$A42,T_TTAFStock[WeekIndex],67)&gt;0)&gt;0,SUMIFS(T_SelfStock[Self_Qty],T_SelfStock[RM_Code],$A42,T_SelfStock[WeekIndex],67)+SUMIFS(T_TTAFStock[TTAF_Qty],T_TTAFStock[RM_Code],$A42,T_TTAFStock[WeekIndex],67),BO42+'Grid_Incoming'!BP42-'Grid_Requirement'!BP42))</f>
        <v/>
      </c>
      <c r="BQ42">
        <f>IF(COUNTIFS(T_StockCount[RM_Code],$A42,T_StockCount[WeekIndex],68)&gt;0,SUMIFS(T_StockCount[CountedQty],T_StockCount[RM_Code],$A42,T_StockCount[WeekIndex],68),IF((COUNTIFS(T_SelfStock[RM_Code],$A42,T_SelfStock[WeekIndex],68)&gt;0)*(COUNTIFS(T_TTAFStock[RM_Code],$A42,T_TTAFStock[WeekIndex],68)&gt;0)&gt;0,SUMIFS(T_SelfStock[Self_Qty],T_SelfStock[RM_Code],$A42,T_SelfStock[WeekIndex],68)+SUMIFS(T_TTAFStock[TTAF_Qty],T_TTAFStock[RM_Code],$A42,T_TTAFStock[WeekIndex],68),BP42+'Grid_Incoming'!BQ42-'Grid_Requirement'!BQ42))</f>
        <v/>
      </c>
      <c r="BR42">
        <f>IF(COUNTIFS(T_StockCount[RM_Code],$A42,T_StockCount[WeekIndex],69)&gt;0,SUMIFS(T_StockCount[CountedQty],T_StockCount[RM_Code],$A42,T_StockCount[WeekIndex],69),IF((COUNTIFS(T_SelfStock[RM_Code],$A42,T_SelfStock[WeekIndex],69)&gt;0)*(COUNTIFS(T_TTAFStock[RM_Code],$A42,T_TTAFStock[WeekIndex],69)&gt;0)&gt;0,SUMIFS(T_SelfStock[Self_Qty],T_SelfStock[RM_Code],$A42,T_SelfStock[WeekIndex],69)+SUMIFS(T_TTAFStock[TTAF_Qty],T_TTAFStock[RM_Code],$A42,T_TTAFStock[WeekIndex],69),BQ42+'Grid_Incoming'!BR42-'Grid_Requirement'!BR42))</f>
        <v/>
      </c>
      <c r="BS42">
        <f>IF(COUNTIFS(T_StockCount[RM_Code],$A42,T_StockCount[WeekIndex],70)&gt;0,SUMIFS(T_StockCount[CountedQty],T_StockCount[RM_Code],$A42,T_StockCount[WeekIndex],70),IF((COUNTIFS(T_SelfStock[RM_Code],$A42,T_SelfStock[WeekIndex],70)&gt;0)*(COUNTIFS(T_TTAFStock[RM_Code],$A42,T_TTAFStock[WeekIndex],70)&gt;0)&gt;0,SUMIFS(T_SelfStock[Self_Qty],T_SelfStock[RM_Code],$A42,T_SelfStock[WeekIndex],70)+SUMIFS(T_TTAFStock[TTAF_Qty],T_TTAFStock[RM_Code],$A42,T_TTAFStock[WeekIndex],70),BR42+'Grid_Incoming'!BS42-'Grid_Requirement'!BS42))</f>
        <v/>
      </c>
      <c r="BT42">
        <f>IF(COUNTIFS(T_StockCount[RM_Code],$A42,T_StockCount[WeekIndex],71)&gt;0,SUMIFS(T_StockCount[CountedQty],T_StockCount[RM_Code],$A42,T_StockCount[WeekIndex],71),IF((COUNTIFS(T_SelfStock[RM_Code],$A42,T_SelfStock[WeekIndex],71)&gt;0)*(COUNTIFS(T_TTAFStock[RM_Code],$A42,T_TTAFStock[WeekIndex],71)&gt;0)&gt;0,SUMIFS(T_SelfStock[Self_Qty],T_SelfStock[RM_Code],$A42,T_SelfStock[WeekIndex],71)+SUMIFS(T_TTAFStock[TTAF_Qty],T_TTAFStock[RM_Code],$A42,T_TTAFStock[WeekIndex],71),BS42+'Grid_Incoming'!BT42-'Grid_Requirement'!BT42))</f>
        <v/>
      </c>
      <c r="BU42">
        <f>IF(COUNTIFS(T_StockCount[RM_Code],$A42,T_StockCount[WeekIndex],72)&gt;0,SUMIFS(T_StockCount[CountedQty],T_StockCount[RM_Code],$A42,T_StockCount[WeekIndex],72),IF((COUNTIFS(T_SelfStock[RM_Code],$A42,T_SelfStock[WeekIndex],72)&gt;0)*(COUNTIFS(T_TTAFStock[RM_Code],$A42,T_TTAFStock[WeekIndex],72)&gt;0)&gt;0,SUMIFS(T_SelfStock[Self_Qty],T_SelfStock[RM_Code],$A42,T_SelfStock[WeekIndex],72)+SUMIFS(T_TTAFStock[TTAF_Qty],T_TTAFStock[RM_Code],$A42,T_TTAFStock[WeekIndex],72),BT42+'Grid_Incoming'!BU42-'Grid_Requirement'!BU42))</f>
        <v/>
      </c>
      <c r="BV42">
        <f>IF(COUNTIFS(T_StockCount[RM_Code],$A42,T_StockCount[WeekIndex],73)&gt;0,SUMIFS(T_StockCount[CountedQty],T_StockCount[RM_Code],$A42,T_StockCount[WeekIndex],73),IF((COUNTIFS(T_SelfStock[RM_Code],$A42,T_SelfStock[WeekIndex],73)&gt;0)*(COUNTIFS(T_TTAFStock[RM_Code],$A42,T_TTAFStock[WeekIndex],73)&gt;0)&gt;0,SUMIFS(T_SelfStock[Self_Qty],T_SelfStock[RM_Code],$A42,T_SelfStock[WeekIndex],73)+SUMIFS(T_TTAFStock[TTAF_Qty],T_TTAFStock[RM_Code],$A42,T_TTAFStock[WeekIndex],73),BU42+'Grid_Incoming'!BV42-'Grid_Requirement'!BV42))</f>
        <v/>
      </c>
      <c r="BW42">
        <f>IF(COUNTIFS(T_StockCount[RM_Code],$A42,T_StockCount[WeekIndex],74)&gt;0,SUMIFS(T_StockCount[CountedQty],T_StockCount[RM_Code],$A42,T_StockCount[WeekIndex],74),IF((COUNTIFS(T_SelfStock[RM_Code],$A42,T_SelfStock[WeekIndex],74)&gt;0)*(COUNTIFS(T_TTAFStock[RM_Code],$A42,T_TTAFStock[WeekIndex],74)&gt;0)&gt;0,SUMIFS(T_SelfStock[Self_Qty],T_SelfStock[RM_Code],$A42,T_SelfStock[WeekIndex],74)+SUMIFS(T_TTAFStock[TTAF_Qty],T_TTAFStock[RM_Code],$A42,T_TTAFStock[WeekIndex],74),BV42+'Grid_Incoming'!BW42-'Grid_Requirement'!BW42))</f>
        <v/>
      </c>
      <c r="BX42">
        <f>IF(COUNTIFS(T_StockCount[RM_Code],$A42,T_StockCount[WeekIndex],75)&gt;0,SUMIFS(T_StockCount[CountedQty],T_StockCount[RM_Code],$A42,T_StockCount[WeekIndex],75),IF((COUNTIFS(T_SelfStock[RM_Code],$A42,T_SelfStock[WeekIndex],75)&gt;0)*(COUNTIFS(T_TTAFStock[RM_Code],$A42,T_TTAFStock[WeekIndex],75)&gt;0)&gt;0,SUMIFS(T_SelfStock[Self_Qty],T_SelfStock[RM_Code],$A42,T_SelfStock[WeekIndex],75)+SUMIFS(T_TTAFStock[TTAF_Qty],T_TTAFStock[RM_Code],$A42,T_TTAFStock[WeekIndex],75),BW42+'Grid_Incoming'!BX42-'Grid_Requirement'!BX42))</f>
        <v/>
      </c>
      <c r="BY42">
        <f>IF(COUNTIFS(T_StockCount[RM_Code],$A42,T_StockCount[WeekIndex],76)&gt;0,SUMIFS(T_StockCount[CountedQty],T_StockCount[RM_Code],$A42,T_StockCount[WeekIndex],76),IF((COUNTIFS(T_SelfStock[RM_Code],$A42,T_SelfStock[WeekIndex],76)&gt;0)*(COUNTIFS(T_TTAFStock[RM_Code],$A42,T_TTAFStock[WeekIndex],76)&gt;0)&gt;0,SUMIFS(T_SelfStock[Self_Qty],T_SelfStock[RM_Code],$A42,T_SelfStock[WeekIndex],76)+SUMIFS(T_TTAFStock[TTAF_Qty],T_TTAFStock[RM_Code],$A42,T_TTAFStock[WeekIndex],76),BX42+'Grid_Incoming'!BY42-'Grid_Requirement'!BY42))</f>
        <v/>
      </c>
      <c r="BZ42">
        <f>IF(COUNTIFS(T_StockCount[RM_Code],$A42,T_StockCount[WeekIndex],77)&gt;0,SUMIFS(T_StockCount[CountedQty],T_StockCount[RM_Code],$A42,T_StockCount[WeekIndex],77),IF((COUNTIFS(T_SelfStock[RM_Code],$A42,T_SelfStock[WeekIndex],77)&gt;0)*(COUNTIFS(T_TTAFStock[RM_Code],$A42,T_TTAFStock[WeekIndex],77)&gt;0)&gt;0,SUMIFS(T_SelfStock[Self_Qty],T_SelfStock[RM_Code],$A42,T_SelfStock[WeekIndex],77)+SUMIFS(T_TTAFStock[TTAF_Qty],T_TTAFStock[RM_Code],$A42,T_TTAFStock[WeekIndex],77),BY42+'Grid_Incoming'!BZ42-'Grid_Requirement'!BZ42))</f>
        <v/>
      </c>
      <c r="CA42">
        <f>IF(COUNTIFS(T_StockCount[RM_Code],$A42,T_StockCount[WeekIndex],78)&gt;0,SUMIFS(T_StockCount[CountedQty],T_StockCount[RM_Code],$A42,T_StockCount[WeekIndex],78),IF((COUNTIFS(T_SelfStock[RM_Code],$A42,T_SelfStock[WeekIndex],78)&gt;0)*(COUNTIFS(T_TTAFStock[RM_Code],$A42,T_TTAFStock[WeekIndex],78)&gt;0)&gt;0,SUMIFS(T_SelfStock[Self_Qty],T_SelfStock[RM_Code],$A42,T_SelfStock[WeekIndex],78)+SUMIFS(T_TTAFStock[TTAF_Qty],T_TTAFStock[RM_Code],$A42,T_TTAFStock[WeekIndex],78),BZ42+'Grid_Incoming'!CA42-'Grid_Requirement'!CA42))</f>
        <v/>
      </c>
      <c r="CB42">
        <f>IF(COUNTIFS(T_StockCount[RM_Code],$A42,T_StockCount[WeekIndex],79)&gt;0,SUMIFS(T_StockCount[CountedQty],T_StockCount[RM_Code],$A42,T_StockCount[WeekIndex],79),IF((COUNTIFS(T_SelfStock[RM_Code],$A42,T_SelfStock[WeekIndex],79)&gt;0)*(COUNTIFS(T_TTAFStock[RM_Code],$A42,T_TTAFStock[WeekIndex],79)&gt;0)&gt;0,SUMIFS(T_SelfStock[Self_Qty],T_SelfStock[RM_Code],$A42,T_SelfStock[WeekIndex],79)+SUMIFS(T_TTAFStock[TTAF_Qty],T_TTAFStock[RM_Code],$A42,T_TTAFStock[WeekIndex],79),CA42+'Grid_Incoming'!CB42-'Grid_Requirement'!CB42))</f>
        <v/>
      </c>
      <c r="CC42">
        <f>IF(COUNTIFS(T_StockCount[RM_Code],$A42,T_StockCount[WeekIndex],80)&gt;0,SUMIFS(T_StockCount[CountedQty],T_StockCount[RM_Code],$A42,T_StockCount[WeekIndex],80),IF((COUNTIFS(T_SelfStock[RM_Code],$A42,T_SelfStock[WeekIndex],80)&gt;0)*(COUNTIFS(T_TTAFStock[RM_Code],$A42,T_TTAFStock[WeekIndex],80)&gt;0)&gt;0,SUMIFS(T_SelfStock[Self_Qty],T_SelfStock[RM_Code],$A42,T_SelfStock[WeekIndex],80)+SUMIFS(T_TTAFStock[TTAF_Qty],T_TTAFStock[RM_Code],$A42,T_TTAFStock[WeekIndex],80),CB42+'Grid_Incoming'!CC42-'Grid_Requirement'!CC42))</f>
        <v/>
      </c>
      <c r="CD42">
        <f>IF(COUNTIFS(T_StockCount[RM_Code],$A42,T_StockCount[WeekIndex],81)&gt;0,SUMIFS(T_StockCount[CountedQty],T_StockCount[RM_Code],$A42,T_StockCount[WeekIndex],81),IF((COUNTIFS(T_SelfStock[RM_Code],$A42,T_SelfStock[WeekIndex],81)&gt;0)*(COUNTIFS(T_TTAFStock[RM_Code],$A42,T_TTAFStock[WeekIndex],81)&gt;0)&gt;0,SUMIFS(T_SelfStock[Self_Qty],T_SelfStock[RM_Code],$A42,T_SelfStock[WeekIndex],81)+SUMIFS(T_TTAFStock[TTAF_Qty],T_TTAFStock[RM_Code],$A42,T_TTAFStock[WeekIndex],81),CC42+'Grid_Incoming'!CD42-'Grid_Requirement'!CD42))</f>
        <v/>
      </c>
      <c r="CE42">
        <f>IF(COUNTIFS(T_StockCount[RM_Code],$A42,T_StockCount[WeekIndex],82)&gt;0,SUMIFS(T_StockCount[CountedQty],T_StockCount[RM_Code],$A42,T_StockCount[WeekIndex],82),IF((COUNTIFS(T_SelfStock[RM_Code],$A42,T_SelfStock[WeekIndex],82)&gt;0)*(COUNTIFS(T_TTAFStock[RM_Code],$A42,T_TTAFStock[WeekIndex],82)&gt;0)&gt;0,SUMIFS(T_SelfStock[Self_Qty],T_SelfStock[RM_Code],$A42,T_SelfStock[WeekIndex],82)+SUMIFS(T_TTAFStock[TTAF_Qty],T_TTAFStock[RM_Code],$A42,T_TTAFStock[WeekIndex],82),CD42+'Grid_Incoming'!CE42-'Grid_Requirement'!CE42))</f>
        <v/>
      </c>
      <c r="CF42">
        <f>IF(COUNTIFS(T_StockCount[RM_Code],$A42,T_StockCount[WeekIndex],83)&gt;0,SUMIFS(T_StockCount[CountedQty],T_StockCount[RM_Code],$A42,T_StockCount[WeekIndex],83),IF((COUNTIFS(T_SelfStock[RM_Code],$A42,T_SelfStock[WeekIndex],83)&gt;0)*(COUNTIFS(T_TTAFStock[RM_Code],$A42,T_TTAFStock[WeekIndex],83)&gt;0)&gt;0,SUMIFS(T_SelfStock[Self_Qty],T_SelfStock[RM_Code],$A42,T_SelfStock[WeekIndex],83)+SUMIFS(T_TTAFStock[TTAF_Qty],T_TTAFStock[RM_Code],$A42,T_TTAFStock[WeekIndex],83),CE42+'Grid_Incoming'!CF42-'Grid_Requirement'!CF42))</f>
        <v/>
      </c>
      <c r="CG42">
        <f>IF(COUNTIFS(T_StockCount[RM_Code],$A42,T_StockCount[WeekIndex],84)&gt;0,SUMIFS(T_StockCount[CountedQty],T_StockCount[RM_Code],$A42,T_StockCount[WeekIndex],84),IF((COUNTIFS(T_SelfStock[RM_Code],$A42,T_SelfStock[WeekIndex],84)&gt;0)*(COUNTIFS(T_TTAFStock[RM_Code],$A42,T_TTAFStock[WeekIndex],84)&gt;0)&gt;0,SUMIFS(T_SelfStock[Self_Qty],T_SelfStock[RM_Code],$A42,T_SelfStock[WeekIndex],84)+SUMIFS(T_TTAFStock[TTAF_Qty],T_TTAFStock[RM_Code],$A42,T_TTAFStock[WeekIndex],84),CF42+'Grid_Incoming'!CG42-'Grid_Requirement'!CG42))</f>
        <v/>
      </c>
      <c r="CH42">
        <f>IF(COUNTIFS(T_StockCount[RM_Code],$A42,T_StockCount[WeekIndex],85)&gt;0,SUMIFS(T_StockCount[CountedQty],T_StockCount[RM_Code],$A42,T_StockCount[WeekIndex],85),IF((COUNTIFS(T_SelfStock[RM_Code],$A42,T_SelfStock[WeekIndex],85)&gt;0)*(COUNTIFS(T_TTAFStock[RM_Code],$A42,T_TTAFStock[WeekIndex],85)&gt;0)&gt;0,SUMIFS(T_SelfStock[Self_Qty],T_SelfStock[RM_Code],$A42,T_SelfStock[WeekIndex],85)+SUMIFS(T_TTAFStock[TTAF_Qty],T_TTAFStock[RM_Code],$A42,T_TTAFStock[WeekIndex],85),CG42+'Grid_Incoming'!CH42-'Grid_Requirement'!CH42))</f>
        <v/>
      </c>
      <c r="CI42">
        <f>IF(COUNTIFS(T_StockCount[RM_Code],$A42,T_StockCount[WeekIndex],86)&gt;0,SUMIFS(T_StockCount[CountedQty],T_StockCount[RM_Code],$A42,T_StockCount[WeekIndex],86),IF((COUNTIFS(T_SelfStock[RM_Code],$A42,T_SelfStock[WeekIndex],86)&gt;0)*(COUNTIFS(T_TTAFStock[RM_Code],$A42,T_TTAFStock[WeekIndex],86)&gt;0)&gt;0,SUMIFS(T_SelfStock[Self_Qty],T_SelfStock[RM_Code],$A42,T_SelfStock[WeekIndex],86)+SUMIFS(T_TTAFStock[TTAF_Qty],T_TTAFStock[RM_Code],$A42,T_TTAFStock[WeekIndex],86),CH42+'Grid_Incoming'!CI42-'Grid_Requirement'!CI42))</f>
        <v/>
      </c>
      <c r="CJ42">
        <f>IF(COUNTIFS(T_StockCount[RM_Code],$A42,T_StockCount[WeekIndex],87)&gt;0,SUMIFS(T_StockCount[CountedQty],T_StockCount[RM_Code],$A42,T_StockCount[WeekIndex],87),IF((COUNTIFS(T_SelfStock[RM_Code],$A42,T_SelfStock[WeekIndex],87)&gt;0)*(COUNTIFS(T_TTAFStock[RM_Code],$A42,T_TTAFStock[WeekIndex],87)&gt;0)&gt;0,SUMIFS(T_SelfStock[Self_Qty],T_SelfStock[RM_Code],$A42,T_SelfStock[WeekIndex],87)+SUMIFS(T_TTAFStock[TTAF_Qty],T_TTAFStock[RM_Code],$A42,T_TTAFStock[WeekIndex],87),CI42+'Grid_Incoming'!CJ42-'Grid_Requirement'!CJ42))</f>
        <v/>
      </c>
      <c r="CK42">
        <f>IF(COUNTIFS(T_StockCount[RM_Code],$A42,T_StockCount[WeekIndex],88)&gt;0,SUMIFS(T_StockCount[CountedQty],T_StockCount[RM_Code],$A42,T_StockCount[WeekIndex],88),IF((COUNTIFS(T_SelfStock[RM_Code],$A42,T_SelfStock[WeekIndex],88)&gt;0)*(COUNTIFS(T_TTAFStock[RM_Code],$A42,T_TTAFStock[WeekIndex],88)&gt;0)&gt;0,SUMIFS(T_SelfStock[Self_Qty],T_SelfStock[RM_Code],$A42,T_SelfStock[WeekIndex],88)+SUMIFS(T_TTAFStock[TTAF_Qty],T_TTAFStock[RM_Code],$A42,T_TTAFStock[WeekIndex],88),CJ42+'Grid_Incoming'!CK42-'Grid_Requirement'!CK42))</f>
        <v/>
      </c>
      <c r="CL42">
        <f>IF(COUNTIFS(T_StockCount[RM_Code],$A42,T_StockCount[WeekIndex],89)&gt;0,SUMIFS(T_StockCount[CountedQty],T_StockCount[RM_Code],$A42,T_StockCount[WeekIndex],89),IF((COUNTIFS(T_SelfStock[RM_Code],$A42,T_SelfStock[WeekIndex],89)&gt;0)*(COUNTIFS(T_TTAFStock[RM_Code],$A42,T_TTAFStock[WeekIndex],89)&gt;0)&gt;0,SUMIFS(T_SelfStock[Self_Qty],T_SelfStock[RM_Code],$A42,T_SelfStock[WeekIndex],89)+SUMIFS(T_TTAFStock[TTAF_Qty],T_TTAFStock[RM_Code],$A42,T_TTAFStock[WeekIndex],89),CK42+'Grid_Incoming'!CL42-'Grid_Requirement'!CL42))</f>
        <v/>
      </c>
      <c r="CM42">
        <f>IF(COUNTIFS(T_StockCount[RM_Code],$A42,T_StockCount[WeekIndex],90)&gt;0,SUMIFS(T_StockCount[CountedQty],T_StockCount[RM_Code],$A42,T_StockCount[WeekIndex],90),IF((COUNTIFS(T_SelfStock[RM_Code],$A42,T_SelfStock[WeekIndex],90)&gt;0)*(COUNTIFS(T_TTAFStock[RM_Code],$A42,T_TTAFStock[WeekIndex],90)&gt;0)&gt;0,SUMIFS(T_SelfStock[Self_Qty],T_SelfStock[RM_Code],$A42,T_SelfStock[WeekIndex],90)+SUMIFS(T_TTAFStock[TTAF_Qty],T_TTAFStock[RM_Code],$A42,T_TTAFStock[WeekIndex],90),CL42+'Grid_Incoming'!CM42-'Grid_Requirement'!CM42))</f>
        <v/>
      </c>
      <c r="CN42">
        <f>IF(COUNTIFS(T_StockCount[RM_Code],$A42,T_StockCount[WeekIndex],91)&gt;0,SUMIFS(T_StockCount[CountedQty],T_StockCount[RM_Code],$A42,T_StockCount[WeekIndex],91),IF((COUNTIFS(T_SelfStock[RM_Code],$A42,T_SelfStock[WeekIndex],91)&gt;0)*(COUNTIFS(T_TTAFStock[RM_Code],$A42,T_TTAFStock[WeekIndex],91)&gt;0)&gt;0,SUMIFS(T_SelfStock[Self_Qty],T_SelfStock[RM_Code],$A42,T_SelfStock[WeekIndex],91)+SUMIFS(T_TTAFStock[TTAF_Qty],T_TTAFStock[RM_Code],$A42,T_TTAFStock[WeekIndex],91),CM42+'Grid_Incoming'!CN42-'Grid_Requirement'!CN42))</f>
        <v/>
      </c>
      <c r="CO42">
        <f>IF(COUNTIFS(T_StockCount[RM_Code],$A42,T_StockCount[WeekIndex],92)&gt;0,SUMIFS(T_StockCount[CountedQty],T_StockCount[RM_Code],$A42,T_StockCount[WeekIndex],92),IF((COUNTIFS(T_SelfStock[RM_Code],$A42,T_SelfStock[WeekIndex],92)&gt;0)*(COUNTIFS(T_TTAFStock[RM_Code],$A42,T_TTAFStock[WeekIndex],92)&gt;0)&gt;0,SUMIFS(T_SelfStock[Self_Qty],T_SelfStock[RM_Code],$A42,T_SelfStock[WeekIndex],92)+SUMIFS(T_TTAFStock[TTAF_Qty],T_TTAFStock[RM_Code],$A42,T_TTAFStock[WeekIndex],92),CN42+'Grid_Incoming'!CO42-'Grid_Requirement'!CO42))</f>
        <v/>
      </c>
      <c r="CP42">
        <f>IF(COUNTIFS(T_StockCount[RM_Code],$A42,T_StockCount[WeekIndex],93)&gt;0,SUMIFS(T_StockCount[CountedQty],T_StockCount[RM_Code],$A42,T_StockCount[WeekIndex],93),IF((COUNTIFS(T_SelfStock[RM_Code],$A42,T_SelfStock[WeekIndex],93)&gt;0)*(COUNTIFS(T_TTAFStock[RM_Code],$A42,T_TTAFStock[WeekIndex],93)&gt;0)&gt;0,SUMIFS(T_SelfStock[Self_Qty],T_SelfStock[RM_Code],$A42,T_SelfStock[WeekIndex],93)+SUMIFS(T_TTAFStock[TTAF_Qty],T_TTAFStock[RM_Code],$A42,T_TTAFStock[WeekIndex],93),CO42+'Grid_Incoming'!CP42-'Grid_Requirement'!CP42))</f>
        <v/>
      </c>
      <c r="CQ42">
        <f>IF(COUNTIFS(T_StockCount[RM_Code],$A42,T_StockCount[WeekIndex],94)&gt;0,SUMIFS(T_StockCount[CountedQty],T_StockCount[RM_Code],$A42,T_StockCount[WeekIndex],94),IF((COUNTIFS(T_SelfStock[RM_Code],$A42,T_SelfStock[WeekIndex],94)&gt;0)*(COUNTIFS(T_TTAFStock[RM_Code],$A42,T_TTAFStock[WeekIndex],94)&gt;0)&gt;0,SUMIFS(T_SelfStock[Self_Qty],T_SelfStock[RM_Code],$A42,T_SelfStock[WeekIndex],94)+SUMIFS(T_TTAFStock[TTAF_Qty],T_TTAFStock[RM_Code],$A42,T_TTAFStock[WeekIndex],94),CP42+'Grid_Incoming'!CQ42-'Grid_Requirement'!CQ42))</f>
        <v/>
      </c>
      <c r="CR42">
        <f>IF(COUNTIFS(T_StockCount[RM_Code],$A42,T_StockCount[WeekIndex],95)&gt;0,SUMIFS(T_StockCount[CountedQty],T_StockCount[RM_Code],$A42,T_StockCount[WeekIndex],95),IF((COUNTIFS(T_SelfStock[RM_Code],$A42,T_SelfStock[WeekIndex],95)&gt;0)*(COUNTIFS(T_TTAFStock[RM_Code],$A42,T_TTAFStock[WeekIndex],95)&gt;0)&gt;0,SUMIFS(T_SelfStock[Self_Qty],T_SelfStock[RM_Code],$A42,T_SelfStock[WeekIndex],95)+SUMIFS(T_TTAFStock[TTAF_Qty],T_TTAFStock[RM_Code],$A42,T_TTAFStock[WeekIndex],95),CQ42+'Grid_Incoming'!CR42-'Grid_Requirement'!CR42))</f>
        <v/>
      </c>
      <c r="CS42">
        <f>IF(COUNTIFS(T_StockCount[RM_Code],$A42,T_StockCount[WeekIndex],96)&gt;0,SUMIFS(T_StockCount[CountedQty],T_StockCount[RM_Code],$A42,T_StockCount[WeekIndex],96),IF((COUNTIFS(T_SelfStock[RM_Code],$A42,T_SelfStock[WeekIndex],96)&gt;0)*(COUNTIFS(T_TTAFStock[RM_Code],$A42,T_TTAFStock[WeekIndex],96)&gt;0)&gt;0,SUMIFS(T_SelfStock[Self_Qty],T_SelfStock[RM_Code],$A42,T_SelfStock[WeekIndex],96)+SUMIFS(T_TTAFStock[TTAF_Qty],T_TTAFStock[RM_Code],$A42,T_TTAFStock[WeekIndex],96),CR42+'Grid_Incoming'!CS42-'Grid_Requirement'!CS42))</f>
        <v/>
      </c>
      <c r="CT42">
        <f>IF(COUNTIFS(T_StockCount[RM_Code],$A42,T_StockCount[WeekIndex],97)&gt;0,SUMIFS(T_StockCount[CountedQty],T_StockCount[RM_Code],$A42,T_StockCount[WeekIndex],97),IF((COUNTIFS(T_SelfStock[RM_Code],$A42,T_SelfStock[WeekIndex],97)&gt;0)*(COUNTIFS(T_TTAFStock[RM_Code],$A42,T_TTAFStock[WeekIndex],97)&gt;0)&gt;0,SUMIFS(T_SelfStock[Self_Qty],T_SelfStock[RM_Code],$A42,T_SelfStock[WeekIndex],97)+SUMIFS(T_TTAFStock[TTAF_Qty],T_TTAFStock[RM_Code],$A42,T_TTAFStock[WeekIndex],97),CS42+'Grid_Incoming'!CT42-'Grid_Requirement'!CT42))</f>
        <v/>
      </c>
      <c r="CU42">
        <f>IF(COUNTIFS(T_StockCount[RM_Code],$A42,T_StockCount[WeekIndex],98)&gt;0,SUMIFS(T_StockCount[CountedQty],T_StockCount[RM_Code],$A42,T_StockCount[WeekIndex],98),IF((COUNTIFS(T_SelfStock[RM_Code],$A42,T_SelfStock[WeekIndex],98)&gt;0)*(COUNTIFS(T_TTAFStock[RM_Code],$A42,T_TTAFStock[WeekIndex],98)&gt;0)&gt;0,SUMIFS(T_SelfStock[Self_Qty],T_SelfStock[RM_Code],$A42,T_SelfStock[WeekIndex],98)+SUMIFS(T_TTAFStock[TTAF_Qty],T_TTAFStock[RM_Code],$A42,T_TTAFStock[WeekIndex],98),CT42+'Grid_Incoming'!CU42-'Grid_Requirement'!CU42))</f>
        <v/>
      </c>
      <c r="CV42">
        <f>IF(COUNTIFS(T_StockCount[RM_Code],$A42,T_StockCount[WeekIndex],99)&gt;0,SUMIFS(T_StockCount[CountedQty],T_StockCount[RM_Code],$A42,T_StockCount[WeekIndex],99),IF((COUNTIFS(T_SelfStock[RM_Code],$A42,T_SelfStock[WeekIndex],99)&gt;0)*(COUNTIFS(T_TTAFStock[RM_Code],$A42,T_TTAFStock[WeekIndex],99)&gt;0)&gt;0,SUMIFS(T_SelfStock[Self_Qty],T_SelfStock[RM_Code],$A42,T_SelfStock[WeekIndex],99)+SUMIFS(T_TTAFStock[TTAF_Qty],T_TTAFStock[RM_Code],$A42,T_TTAFStock[WeekIndex],99),CU42+'Grid_Incoming'!CV42-'Grid_Requirement'!CV42))</f>
        <v/>
      </c>
      <c r="CW42">
        <f>IF(COUNTIFS(T_StockCount[RM_Code],$A42,T_StockCount[WeekIndex],100)&gt;0,SUMIFS(T_StockCount[CountedQty],T_StockCount[RM_Code],$A42,T_StockCount[WeekIndex],100),IF((COUNTIFS(T_SelfStock[RM_Code],$A42,T_SelfStock[WeekIndex],100)&gt;0)*(COUNTIFS(T_TTAFStock[RM_Code],$A42,T_TTAFStock[WeekIndex],100)&gt;0)&gt;0,SUMIFS(T_SelfStock[Self_Qty],T_SelfStock[RM_Code],$A42,T_SelfStock[WeekIndex],100)+SUMIFS(T_TTAFStock[TTAF_Qty],T_TTAFStock[RM_Code],$A42,T_TTAFStock[WeekIndex],100),CV42+'Grid_Incoming'!CW42-'Grid_Requirement'!CW42))</f>
        <v/>
      </c>
      <c r="CX42">
        <f>IF(COUNTIFS(T_StockCount[RM_Code],$A42,T_StockCount[WeekIndex],101)&gt;0,SUMIFS(T_StockCount[CountedQty],T_StockCount[RM_Code],$A42,T_StockCount[WeekIndex],101),IF((COUNTIFS(T_SelfStock[RM_Code],$A42,T_SelfStock[WeekIndex],101)&gt;0)*(COUNTIFS(T_TTAFStock[RM_Code],$A42,T_TTAFStock[WeekIndex],101)&gt;0)&gt;0,SUMIFS(T_SelfStock[Self_Qty],T_SelfStock[RM_Code],$A42,T_SelfStock[WeekIndex],101)+SUMIFS(T_TTAFStock[TTAF_Qty],T_TTAFStock[RM_Code],$A42,T_TTAFStock[WeekIndex],101),CW42+'Grid_Incoming'!CX42-'Grid_Requirement'!CX42))</f>
        <v/>
      </c>
      <c r="CY42">
        <f>IF(COUNTIFS(T_StockCount[RM_Code],$A42,T_StockCount[WeekIndex],102)&gt;0,SUMIFS(T_StockCount[CountedQty],T_StockCount[RM_Code],$A42,T_StockCount[WeekIndex],102),IF((COUNTIFS(T_SelfStock[RM_Code],$A42,T_SelfStock[WeekIndex],102)&gt;0)*(COUNTIFS(T_TTAFStock[RM_Code],$A42,T_TTAFStock[WeekIndex],102)&gt;0)&gt;0,SUMIFS(T_SelfStock[Self_Qty],T_SelfStock[RM_Code],$A42,T_SelfStock[WeekIndex],102)+SUMIFS(T_TTAFStock[TTAF_Qty],T_TTAFStock[RM_Code],$A42,T_TTAFStock[WeekIndex],102),CX42+'Grid_Incoming'!CY42-'Grid_Requirement'!CY42))</f>
        <v/>
      </c>
      <c r="CZ42">
        <f>IF(COUNTIFS(T_StockCount[RM_Code],$A42,T_StockCount[WeekIndex],103)&gt;0,SUMIFS(T_StockCount[CountedQty],T_StockCount[RM_Code],$A42,T_StockCount[WeekIndex],103),IF((COUNTIFS(T_SelfStock[RM_Code],$A42,T_SelfStock[WeekIndex],103)&gt;0)*(COUNTIFS(T_TTAFStock[RM_Code],$A42,T_TTAFStock[WeekIndex],103)&gt;0)&gt;0,SUMIFS(T_SelfStock[Self_Qty],T_SelfStock[RM_Code],$A42,T_SelfStock[WeekIndex],103)+SUMIFS(T_TTAFStock[TTAF_Qty],T_TTAFStock[RM_Code],$A42,T_TTAFStock[WeekIndex],103),CY42+'Grid_Incoming'!CZ42-'Grid_Requirement'!CZ42))</f>
        <v/>
      </c>
      <c r="DA42">
        <f>IF(COUNTIFS(T_StockCount[RM_Code],$A42,T_StockCount[WeekIndex],104)&gt;0,SUMIFS(T_StockCount[CountedQty],T_StockCount[RM_Code],$A42,T_StockCount[WeekIndex],104),IF((COUNTIFS(T_SelfStock[RM_Code],$A42,T_SelfStock[WeekIndex],104)&gt;0)*(COUNTIFS(T_TTAFStock[RM_Code],$A42,T_TTAFStock[WeekIndex],104)&gt;0)&gt;0,SUMIFS(T_SelfStock[Self_Qty],T_SelfStock[RM_Code],$A42,T_SelfStock[WeekIndex],104)+SUMIFS(T_TTAFStock[TTAF_Qty],T_TTAFStock[RM_Code],$A42,T_TTAFStock[WeekIndex],104),CZ42+'Grid_Incoming'!DA42-'Grid_Requirement'!DA42))</f>
        <v/>
      </c>
    </row>
    <row r="43">
      <c r="A43" t="inlineStr">
        <is>
          <t>CHEM-1110</t>
        </is>
      </c>
      <c r="B43">
        <f>IF(COUNTIFS(T_StockCount[RM_Code],$A43,T_StockCount[WeekIndex],1)&gt;0,SUMIFS(T_StockCount[CountedQty],T_StockCount[RM_Code],$A43,T_StockCount[WeekIndex],1),IF((COUNTIFS(T_SelfStock[RM_Code],$A43,T_SelfStock[WeekIndex],1)&gt;0)*(COUNTIFS(T_TTAFStock[RM_Code],$A43,T_TTAFStock[WeekIndex],1)&gt;0)&gt;0,SUMIFS(T_SelfStock[Self_Qty],T_SelfStock[RM_Code],$A43,T_SelfStock[WeekIndex],1)+SUMIFS(T_TTAFStock[TTAF_Qty],T_TTAFStock[RM_Code],$A43,T_TTAFStock[WeekIndex],1),IFERROR(INDEX(T_OpeningStock[Opening_Qty],MATCH($A43,T_OpeningStock[RM_Code],0)),0)+'Grid_Incoming'!B43-'Grid_Requirement'!B43))</f>
        <v/>
      </c>
      <c r="C43">
        <f>IF(COUNTIFS(T_StockCount[RM_Code],$A43,T_StockCount[WeekIndex],2)&gt;0,SUMIFS(T_StockCount[CountedQty],T_StockCount[RM_Code],$A43,T_StockCount[WeekIndex],2),IF((COUNTIFS(T_SelfStock[RM_Code],$A43,T_SelfStock[WeekIndex],2)&gt;0)*(COUNTIFS(T_TTAFStock[RM_Code],$A43,T_TTAFStock[WeekIndex],2)&gt;0)&gt;0,SUMIFS(T_SelfStock[Self_Qty],T_SelfStock[RM_Code],$A43,T_SelfStock[WeekIndex],2)+SUMIFS(T_TTAFStock[TTAF_Qty],T_TTAFStock[RM_Code],$A43,T_TTAFStock[WeekIndex],2),B43+'Grid_Incoming'!C43-'Grid_Requirement'!C43))</f>
        <v/>
      </c>
      <c r="D43">
        <f>IF(COUNTIFS(T_StockCount[RM_Code],$A43,T_StockCount[WeekIndex],3)&gt;0,SUMIFS(T_StockCount[CountedQty],T_StockCount[RM_Code],$A43,T_StockCount[WeekIndex],3),IF((COUNTIFS(T_SelfStock[RM_Code],$A43,T_SelfStock[WeekIndex],3)&gt;0)*(COUNTIFS(T_TTAFStock[RM_Code],$A43,T_TTAFStock[WeekIndex],3)&gt;0)&gt;0,SUMIFS(T_SelfStock[Self_Qty],T_SelfStock[RM_Code],$A43,T_SelfStock[WeekIndex],3)+SUMIFS(T_TTAFStock[TTAF_Qty],T_TTAFStock[RM_Code],$A43,T_TTAFStock[WeekIndex],3),C43+'Grid_Incoming'!D43-'Grid_Requirement'!D43))</f>
        <v/>
      </c>
      <c r="E43">
        <f>IF(COUNTIFS(T_StockCount[RM_Code],$A43,T_StockCount[WeekIndex],4)&gt;0,SUMIFS(T_StockCount[CountedQty],T_StockCount[RM_Code],$A43,T_StockCount[WeekIndex],4),IF((COUNTIFS(T_SelfStock[RM_Code],$A43,T_SelfStock[WeekIndex],4)&gt;0)*(COUNTIFS(T_TTAFStock[RM_Code],$A43,T_TTAFStock[WeekIndex],4)&gt;0)&gt;0,SUMIFS(T_SelfStock[Self_Qty],T_SelfStock[RM_Code],$A43,T_SelfStock[WeekIndex],4)+SUMIFS(T_TTAFStock[TTAF_Qty],T_TTAFStock[RM_Code],$A43,T_TTAFStock[WeekIndex],4),D43+'Grid_Incoming'!E43-'Grid_Requirement'!E43))</f>
        <v/>
      </c>
      <c r="F43">
        <f>IF(COUNTIFS(T_StockCount[RM_Code],$A43,T_StockCount[WeekIndex],5)&gt;0,SUMIFS(T_StockCount[CountedQty],T_StockCount[RM_Code],$A43,T_StockCount[WeekIndex],5),IF((COUNTIFS(T_SelfStock[RM_Code],$A43,T_SelfStock[WeekIndex],5)&gt;0)*(COUNTIFS(T_TTAFStock[RM_Code],$A43,T_TTAFStock[WeekIndex],5)&gt;0)&gt;0,SUMIFS(T_SelfStock[Self_Qty],T_SelfStock[RM_Code],$A43,T_SelfStock[WeekIndex],5)+SUMIFS(T_TTAFStock[TTAF_Qty],T_TTAFStock[RM_Code],$A43,T_TTAFStock[WeekIndex],5),E43+'Grid_Incoming'!F43-'Grid_Requirement'!F43))</f>
        <v/>
      </c>
      <c r="G43">
        <f>IF(COUNTIFS(T_StockCount[RM_Code],$A43,T_StockCount[WeekIndex],6)&gt;0,SUMIFS(T_StockCount[CountedQty],T_StockCount[RM_Code],$A43,T_StockCount[WeekIndex],6),IF((COUNTIFS(T_SelfStock[RM_Code],$A43,T_SelfStock[WeekIndex],6)&gt;0)*(COUNTIFS(T_TTAFStock[RM_Code],$A43,T_TTAFStock[WeekIndex],6)&gt;0)&gt;0,SUMIFS(T_SelfStock[Self_Qty],T_SelfStock[RM_Code],$A43,T_SelfStock[WeekIndex],6)+SUMIFS(T_TTAFStock[TTAF_Qty],T_TTAFStock[RM_Code],$A43,T_TTAFStock[WeekIndex],6),F43+'Grid_Incoming'!G43-'Grid_Requirement'!G43))</f>
        <v/>
      </c>
      <c r="H43">
        <f>IF(COUNTIFS(T_StockCount[RM_Code],$A43,T_StockCount[WeekIndex],7)&gt;0,SUMIFS(T_StockCount[CountedQty],T_StockCount[RM_Code],$A43,T_StockCount[WeekIndex],7),IF((COUNTIFS(T_SelfStock[RM_Code],$A43,T_SelfStock[WeekIndex],7)&gt;0)*(COUNTIFS(T_TTAFStock[RM_Code],$A43,T_TTAFStock[WeekIndex],7)&gt;0)&gt;0,SUMIFS(T_SelfStock[Self_Qty],T_SelfStock[RM_Code],$A43,T_SelfStock[WeekIndex],7)+SUMIFS(T_TTAFStock[TTAF_Qty],T_TTAFStock[RM_Code],$A43,T_TTAFStock[WeekIndex],7),G43+'Grid_Incoming'!H43-'Grid_Requirement'!H43))</f>
        <v/>
      </c>
      <c r="I43">
        <f>IF(COUNTIFS(T_StockCount[RM_Code],$A43,T_StockCount[WeekIndex],8)&gt;0,SUMIFS(T_StockCount[CountedQty],T_StockCount[RM_Code],$A43,T_StockCount[WeekIndex],8),IF((COUNTIFS(T_SelfStock[RM_Code],$A43,T_SelfStock[WeekIndex],8)&gt;0)*(COUNTIFS(T_TTAFStock[RM_Code],$A43,T_TTAFStock[WeekIndex],8)&gt;0)&gt;0,SUMIFS(T_SelfStock[Self_Qty],T_SelfStock[RM_Code],$A43,T_SelfStock[WeekIndex],8)+SUMIFS(T_TTAFStock[TTAF_Qty],T_TTAFStock[RM_Code],$A43,T_TTAFStock[WeekIndex],8),H43+'Grid_Incoming'!I43-'Grid_Requirement'!I43))</f>
        <v/>
      </c>
      <c r="J43">
        <f>IF(COUNTIFS(T_StockCount[RM_Code],$A43,T_StockCount[WeekIndex],9)&gt;0,SUMIFS(T_StockCount[CountedQty],T_StockCount[RM_Code],$A43,T_StockCount[WeekIndex],9),IF((COUNTIFS(T_SelfStock[RM_Code],$A43,T_SelfStock[WeekIndex],9)&gt;0)*(COUNTIFS(T_TTAFStock[RM_Code],$A43,T_TTAFStock[WeekIndex],9)&gt;0)&gt;0,SUMIFS(T_SelfStock[Self_Qty],T_SelfStock[RM_Code],$A43,T_SelfStock[WeekIndex],9)+SUMIFS(T_TTAFStock[TTAF_Qty],T_TTAFStock[RM_Code],$A43,T_TTAFStock[WeekIndex],9),I43+'Grid_Incoming'!J43-'Grid_Requirement'!J43))</f>
        <v/>
      </c>
      <c r="K43">
        <f>IF(COUNTIFS(T_StockCount[RM_Code],$A43,T_StockCount[WeekIndex],10)&gt;0,SUMIFS(T_StockCount[CountedQty],T_StockCount[RM_Code],$A43,T_StockCount[WeekIndex],10),IF((COUNTIFS(T_SelfStock[RM_Code],$A43,T_SelfStock[WeekIndex],10)&gt;0)*(COUNTIFS(T_TTAFStock[RM_Code],$A43,T_TTAFStock[WeekIndex],10)&gt;0)&gt;0,SUMIFS(T_SelfStock[Self_Qty],T_SelfStock[RM_Code],$A43,T_SelfStock[WeekIndex],10)+SUMIFS(T_TTAFStock[TTAF_Qty],T_TTAFStock[RM_Code],$A43,T_TTAFStock[WeekIndex],10),J43+'Grid_Incoming'!K43-'Grid_Requirement'!K43))</f>
        <v/>
      </c>
      <c r="L43">
        <f>IF(COUNTIFS(T_StockCount[RM_Code],$A43,T_StockCount[WeekIndex],11)&gt;0,SUMIFS(T_StockCount[CountedQty],T_StockCount[RM_Code],$A43,T_StockCount[WeekIndex],11),IF((COUNTIFS(T_SelfStock[RM_Code],$A43,T_SelfStock[WeekIndex],11)&gt;0)*(COUNTIFS(T_TTAFStock[RM_Code],$A43,T_TTAFStock[WeekIndex],11)&gt;0)&gt;0,SUMIFS(T_SelfStock[Self_Qty],T_SelfStock[RM_Code],$A43,T_SelfStock[WeekIndex],11)+SUMIFS(T_TTAFStock[TTAF_Qty],T_TTAFStock[RM_Code],$A43,T_TTAFStock[WeekIndex],11),K43+'Grid_Incoming'!L43-'Grid_Requirement'!L43))</f>
        <v/>
      </c>
      <c r="M43">
        <f>IF(COUNTIFS(T_StockCount[RM_Code],$A43,T_StockCount[WeekIndex],12)&gt;0,SUMIFS(T_StockCount[CountedQty],T_StockCount[RM_Code],$A43,T_StockCount[WeekIndex],12),IF((COUNTIFS(T_SelfStock[RM_Code],$A43,T_SelfStock[WeekIndex],12)&gt;0)*(COUNTIFS(T_TTAFStock[RM_Code],$A43,T_TTAFStock[WeekIndex],12)&gt;0)&gt;0,SUMIFS(T_SelfStock[Self_Qty],T_SelfStock[RM_Code],$A43,T_SelfStock[WeekIndex],12)+SUMIFS(T_TTAFStock[TTAF_Qty],T_TTAFStock[RM_Code],$A43,T_TTAFStock[WeekIndex],12),L43+'Grid_Incoming'!M43-'Grid_Requirement'!M43))</f>
        <v/>
      </c>
      <c r="N43">
        <f>IF(COUNTIFS(T_StockCount[RM_Code],$A43,T_StockCount[WeekIndex],13)&gt;0,SUMIFS(T_StockCount[CountedQty],T_StockCount[RM_Code],$A43,T_StockCount[WeekIndex],13),IF((COUNTIFS(T_SelfStock[RM_Code],$A43,T_SelfStock[WeekIndex],13)&gt;0)*(COUNTIFS(T_TTAFStock[RM_Code],$A43,T_TTAFStock[WeekIndex],13)&gt;0)&gt;0,SUMIFS(T_SelfStock[Self_Qty],T_SelfStock[RM_Code],$A43,T_SelfStock[WeekIndex],13)+SUMIFS(T_TTAFStock[TTAF_Qty],T_TTAFStock[RM_Code],$A43,T_TTAFStock[WeekIndex],13),M43+'Grid_Incoming'!N43-'Grid_Requirement'!N43))</f>
        <v/>
      </c>
      <c r="O43">
        <f>IF(COUNTIFS(T_StockCount[RM_Code],$A43,T_StockCount[WeekIndex],14)&gt;0,SUMIFS(T_StockCount[CountedQty],T_StockCount[RM_Code],$A43,T_StockCount[WeekIndex],14),IF((COUNTIFS(T_SelfStock[RM_Code],$A43,T_SelfStock[WeekIndex],14)&gt;0)*(COUNTIFS(T_TTAFStock[RM_Code],$A43,T_TTAFStock[WeekIndex],14)&gt;0)&gt;0,SUMIFS(T_SelfStock[Self_Qty],T_SelfStock[RM_Code],$A43,T_SelfStock[WeekIndex],14)+SUMIFS(T_TTAFStock[TTAF_Qty],T_TTAFStock[RM_Code],$A43,T_TTAFStock[WeekIndex],14),N43+'Grid_Incoming'!O43-'Grid_Requirement'!O43))</f>
        <v/>
      </c>
      <c r="P43">
        <f>IF(COUNTIFS(T_StockCount[RM_Code],$A43,T_StockCount[WeekIndex],15)&gt;0,SUMIFS(T_StockCount[CountedQty],T_StockCount[RM_Code],$A43,T_StockCount[WeekIndex],15),IF((COUNTIFS(T_SelfStock[RM_Code],$A43,T_SelfStock[WeekIndex],15)&gt;0)*(COUNTIFS(T_TTAFStock[RM_Code],$A43,T_TTAFStock[WeekIndex],15)&gt;0)&gt;0,SUMIFS(T_SelfStock[Self_Qty],T_SelfStock[RM_Code],$A43,T_SelfStock[WeekIndex],15)+SUMIFS(T_TTAFStock[TTAF_Qty],T_TTAFStock[RM_Code],$A43,T_TTAFStock[WeekIndex],15),O43+'Grid_Incoming'!P43-'Grid_Requirement'!P43))</f>
        <v/>
      </c>
      <c r="Q43">
        <f>IF(COUNTIFS(T_StockCount[RM_Code],$A43,T_StockCount[WeekIndex],16)&gt;0,SUMIFS(T_StockCount[CountedQty],T_StockCount[RM_Code],$A43,T_StockCount[WeekIndex],16),IF((COUNTIFS(T_SelfStock[RM_Code],$A43,T_SelfStock[WeekIndex],16)&gt;0)*(COUNTIFS(T_TTAFStock[RM_Code],$A43,T_TTAFStock[WeekIndex],16)&gt;0)&gt;0,SUMIFS(T_SelfStock[Self_Qty],T_SelfStock[RM_Code],$A43,T_SelfStock[WeekIndex],16)+SUMIFS(T_TTAFStock[TTAF_Qty],T_TTAFStock[RM_Code],$A43,T_TTAFStock[WeekIndex],16),P43+'Grid_Incoming'!Q43-'Grid_Requirement'!Q43))</f>
        <v/>
      </c>
      <c r="R43">
        <f>IF(COUNTIFS(T_StockCount[RM_Code],$A43,T_StockCount[WeekIndex],17)&gt;0,SUMIFS(T_StockCount[CountedQty],T_StockCount[RM_Code],$A43,T_StockCount[WeekIndex],17),IF((COUNTIFS(T_SelfStock[RM_Code],$A43,T_SelfStock[WeekIndex],17)&gt;0)*(COUNTIFS(T_TTAFStock[RM_Code],$A43,T_TTAFStock[WeekIndex],17)&gt;0)&gt;0,SUMIFS(T_SelfStock[Self_Qty],T_SelfStock[RM_Code],$A43,T_SelfStock[WeekIndex],17)+SUMIFS(T_TTAFStock[TTAF_Qty],T_TTAFStock[RM_Code],$A43,T_TTAFStock[WeekIndex],17),Q43+'Grid_Incoming'!R43-'Grid_Requirement'!R43))</f>
        <v/>
      </c>
      <c r="S43">
        <f>IF(COUNTIFS(T_StockCount[RM_Code],$A43,T_StockCount[WeekIndex],18)&gt;0,SUMIFS(T_StockCount[CountedQty],T_StockCount[RM_Code],$A43,T_StockCount[WeekIndex],18),IF((COUNTIFS(T_SelfStock[RM_Code],$A43,T_SelfStock[WeekIndex],18)&gt;0)*(COUNTIFS(T_TTAFStock[RM_Code],$A43,T_TTAFStock[WeekIndex],18)&gt;0)&gt;0,SUMIFS(T_SelfStock[Self_Qty],T_SelfStock[RM_Code],$A43,T_SelfStock[WeekIndex],18)+SUMIFS(T_TTAFStock[TTAF_Qty],T_TTAFStock[RM_Code],$A43,T_TTAFStock[WeekIndex],18),R43+'Grid_Incoming'!S43-'Grid_Requirement'!S43))</f>
        <v/>
      </c>
      <c r="T43">
        <f>IF(COUNTIFS(T_StockCount[RM_Code],$A43,T_StockCount[WeekIndex],19)&gt;0,SUMIFS(T_StockCount[CountedQty],T_StockCount[RM_Code],$A43,T_StockCount[WeekIndex],19),IF((COUNTIFS(T_SelfStock[RM_Code],$A43,T_SelfStock[WeekIndex],19)&gt;0)*(COUNTIFS(T_TTAFStock[RM_Code],$A43,T_TTAFStock[WeekIndex],19)&gt;0)&gt;0,SUMIFS(T_SelfStock[Self_Qty],T_SelfStock[RM_Code],$A43,T_SelfStock[WeekIndex],19)+SUMIFS(T_TTAFStock[TTAF_Qty],T_TTAFStock[RM_Code],$A43,T_TTAFStock[WeekIndex],19),S43+'Grid_Incoming'!T43-'Grid_Requirement'!T43))</f>
        <v/>
      </c>
      <c r="U43">
        <f>IF(COUNTIFS(T_StockCount[RM_Code],$A43,T_StockCount[WeekIndex],20)&gt;0,SUMIFS(T_StockCount[CountedQty],T_StockCount[RM_Code],$A43,T_StockCount[WeekIndex],20),IF((COUNTIFS(T_SelfStock[RM_Code],$A43,T_SelfStock[WeekIndex],20)&gt;0)*(COUNTIFS(T_TTAFStock[RM_Code],$A43,T_TTAFStock[WeekIndex],20)&gt;0)&gt;0,SUMIFS(T_SelfStock[Self_Qty],T_SelfStock[RM_Code],$A43,T_SelfStock[WeekIndex],20)+SUMIFS(T_TTAFStock[TTAF_Qty],T_TTAFStock[RM_Code],$A43,T_TTAFStock[WeekIndex],20),T43+'Grid_Incoming'!U43-'Grid_Requirement'!U43))</f>
        <v/>
      </c>
      <c r="V43">
        <f>IF(COUNTIFS(T_StockCount[RM_Code],$A43,T_StockCount[WeekIndex],21)&gt;0,SUMIFS(T_StockCount[CountedQty],T_StockCount[RM_Code],$A43,T_StockCount[WeekIndex],21),IF((COUNTIFS(T_SelfStock[RM_Code],$A43,T_SelfStock[WeekIndex],21)&gt;0)*(COUNTIFS(T_TTAFStock[RM_Code],$A43,T_TTAFStock[WeekIndex],21)&gt;0)&gt;0,SUMIFS(T_SelfStock[Self_Qty],T_SelfStock[RM_Code],$A43,T_SelfStock[WeekIndex],21)+SUMIFS(T_TTAFStock[TTAF_Qty],T_TTAFStock[RM_Code],$A43,T_TTAFStock[WeekIndex],21),U43+'Grid_Incoming'!V43-'Grid_Requirement'!V43))</f>
        <v/>
      </c>
      <c r="W43">
        <f>IF(COUNTIFS(T_StockCount[RM_Code],$A43,T_StockCount[WeekIndex],22)&gt;0,SUMIFS(T_StockCount[CountedQty],T_StockCount[RM_Code],$A43,T_StockCount[WeekIndex],22),IF((COUNTIFS(T_SelfStock[RM_Code],$A43,T_SelfStock[WeekIndex],22)&gt;0)*(COUNTIFS(T_TTAFStock[RM_Code],$A43,T_TTAFStock[WeekIndex],22)&gt;0)&gt;0,SUMIFS(T_SelfStock[Self_Qty],T_SelfStock[RM_Code],$A43,T_SelfStock[WeekIndex],22)+SUMIFS(T_TTAFStock[TTAF_Qty],T_TTAFStock[RM_Code],$A43,T_TTAFStock[WeekIndex],22),V43+'Grid_Incoming'!W43-'Grid_Requirement'!W43))</f>
        <v/>
      </c>
      <c r="X43">
        <f>IF(COUNTIFS(T_StockCount[RM_Code],$A43,T_StockCount[WeekIndex],23)&gt;0,SUMIFS(T_StockCount[CountedQty],T_StockCount[RM_Code],$A43,T_StockCount[WeekIndex],23),IF((COUNTIFS(T_SelfStock[RM_Code],$A43,T_SelfStock[WeekIndex],23)&gt;0)*(COUNTIFS(T_TTAFStock[RM_Code],$A43,T_TTAFStock[WeekIndex],23)&gt;0)&gt;0,SUMIFS(T_SelfStock[Self_Qty],T_SelfStock[RM_Code],$A43,T_SelfStock[WeekIndex],23)+SUMIFS(T_TTAFStock[TTAF_Qty],T_TTAFStock[RM_Code],$A43,T_TTAFStock[WeekIndex],23),W43+'Grid_Incoming'!X43-'Grid_Requirement'!X43))</f>
        <v/>
      </c>
      <c r="Y43">
        <f>IF(COUNTIFS(T_StockCount[RM_Code],$A43,T_StockCount[WeekIndex],24)&gt;0,SUMIFS(T_StockCount[CountedQty],T_StockCount[RM_Code],$A43,T_StockCount[WeekIndex],24),IF((COUNTIFS(T_SelfStock[RM_Code],$A43,T_SelfStock[WeekIndex],24)&gt;0)*(COUNTIFS(T_TTAFStock[RM_Code],$A43,T_TTAFStock[WeekIndex],24)&gt;0)&gt;0,SUMIFS(T_SelfStock[Self_Qty],T_SelfStock[RM_Code],$A43,T_SelfStock[WeekIndex],24)+SUMIFS(T_TTAFStock[TTAF_Qty],T_TTAFStock[RM_Code],$A43,T_TTAFStock[WeekIndex],24),X43+'Grid_Incoming'!Y43-'Grid_Requirement'!Y43))</f>
        <v/>
      </c>
      <c r="Z43">
        <f>IF(COUNTIFS(T_StockCount[RM_Code],$A43,T_StockCount[WeekIndex],25)&gt;0,SUMIFS(T_StockCount[CountedQty],T_StockCount[RM_Code],$A43,T_StockCount[WeekIndex],25),IF((COUNTIFS(T_SelfStock[RM_Code],$A43,T_SelfStock[WeekIndex],25)&gt;0)*(COUNTIFS(T_TTAFStock[RM_Code],$A43,T_TTAFStock[WeekIndex],25)&gt;0)&gt;0,SUMIFS(T_SelfStock[Self_Qty],T_SelfStock[RM_Code],$A43,T_SelfStock[WeekIndex],25)+SUMIFS(T_TTAFStock[TTAF_Qty],T_TTAFStock[RM_Code],$A43,T_TTAFStock[WeekIndex],25),Y43+'Grid_Incoming'!Z43-'Grid_Requirement'!Z43))</f>
        <v/>
      </c>
      <c r="AA43">
        <f>IF(COUNTIFS(T_StockCount[RM_Code],$A43,T_StockCount[WeekIndex],26)&gt;0,SUMIFS(T_StockCount[CountedQty],T_StockCount[RM_Code],$A43,T_StockCount[WeekIndex],26),IF((COUNTIFS(T_SelfStock[RM_Code],$A43,T_SelfStock[WeekIndex],26)&gt;0)*(COUNTIFS(T_TTAFStock[RM_Code],$A43,T_TTAFStock[WeekIndex],26)&gt;0)&gt;0,SUMIFS(T_SelfStock[Self_Qty],T_SelfStock[RM_Code],$A43,T_SelfStock[WeekIndex],26)+SUMIFS(T_TTAFStock[TTAF_Qty],T_TTAFStock[RM_Code],$A43,T_TTAFStock[WeekIndex],26),Z43+'Grid_Incoming'!AA43-'Grid_Requirement'!AA43))</f>
        <v/>
      </c>
      <c r="AB43">
        <f>IF(COUNTIFS(T_StockCount[RM_Code],$A43,T_StockCount[WeekIndex],27)&gt;0,SUMIFS(T_StockCount[CountedQty],T_StockCount[RM_Code],$A43,T_StockCount[WeekIndex],27),IF((COUNTIFS(T_SelfStock[RM_Code],$A43,T_SelfStock[WeekIndex],27)&gt;0)*(COUNTIFS(T_TTAFStock[RM_Code],$A43,T_TTAFStock[WeekIndex],27)&gt;0)&gt;0,SUMIFS(T_SelfStock[Self_Qty],T_SelfStock[RM_Code],$A43,T_SelfStock[WeekIndex],27)+SUMIFS(T_TTAFStock[TTAF_Qty],T_TTAFStock[RM_Code],$A43,T_TTAFStock[WeekIndex],27),AA43+'Grid_Incoming'!AB43-'Grid_Requirement'!AB43))</f>
        <v/>
      </c>
      <c r="AC43">
        <f>IF(COUNTIFS(T_StockCount[RM_Code],$A43,T_StockCount[WeekIndex],28)&gt;0,SUMIFS(T_StockCount[CountedQty],T_StockCount[RM_Code],$A43,T_StockCount[WeekIndex],28),IF((COUNTIFS(T_SelfStock[RM_Code],$A43,T_SelfStock[WeekIndex],28)&gt;0)*(COUNTIFS(T_TTAFStock[RM_Code],$A43,T_TTAFStock[WeekIndex],28)&gt;0)&gt;0,SUMIFS(T_SelfStock[Self_Qty],T_SelfStock[RM_Code],$A43,T_SelfStock[WeekIndex],28)+SUMIFS(T_TTAFStock[TTAF_Qty],T_TTAFStock[RM_Code],$A43,T_TTAFStock[WeekIndex],28),AB43+'Grid_Incoming'!AC43-'Grid_Requirement'!AC43))</f>
        <v/>
      </c>
      <c r="AD43">
        <f>IF(COUNTIFS(T_StockCount[RM_Code],$A43,T_StockCount[WeekIndex],29)&gt;0,SUMIFS(T_StockCount[CountedQty],T_StockCount[RM_Code],$A43,T_StockCount[WeekIndex],29),IF((COUNTIFS(T_SelfStock[RM_Code],$A43,T_SelfStock[WeekIndex],29)&gt;0)*(COUNTIFS(T_TTAFStock[RM_Code],$A43,T_TTAFStock[WeekIndex],29)&gt;0)&gt;0,SUMIFS(T_SelfStock[Self_Qty],T_SelfStock[RM_Code],$A43,T_SelfStock[WeekIndex],29)+SUMIFS(T_TTAFStock[TTAF_Qty],T_TTAFStock[RM_Code],$A43,T_TTAFStock[WeekIndex],29),AC43+'Grid_Incoming'!AD43-'Grid_Requirement'!AD43))</f>
        <v/>
      </c>
      <c r="AE43">
        <f>IF(COUNTIFS(T_StockCount[RM_Code],$A43,T_StockCount[WeekIndex],30)&gt;0,SUMIFS(T_StockCount[CountedQty],T_StockCount[RM_Code],$A43,T_StockCount[WeekIndex],30),IF((COUNTIFS(T_SelfStock[RM_Code],$A43,T_SelfStock[WeekIndex],30)&gt;0)*(COUNTIFS(T_TTAFStock[RM_Code],$A43,T_TTAFStock[WeekIndex],30)&gt;0)&gt;0,SUMIFS(T_SelfStock[Self_Qty],T_SelfStock[RM_Code],$A43,T_SelfStock[WeekIndex],30)+SUMIFS(T_TTAFStock[TTAF_Qty],T_TTAFStock[RM_Code],$A43,T_TTAFStock[WeekIndex],30),AD43+'Grid_Incoming'!AE43-'Grid_Requirement'!AE43))</f>
        <v/>
      </c>
      <c r="AF43">
        <f>IF(COUNTIFS(T_StockCount[RM_Code],$A43,T_StockCount[WeekIndex],31)&gt;0,SUMIFS(T_StockCount[CountedQty],T_StockCount[RM_Code],$A43,T_StockCount[WeekIndex],31),IF((COUNTIFS(T_SelfStock[RM_Code],$A43,T_SelfStock[WeekIndex],31)&gt;0)*(COUNTIFS(T_TTAFStock[RM_Code],$A43,T_TTAFStock[WeekIndex],31)&gt;0)&gt;0,SUMIFS(T_SelfStock[Self_Qty],T_SelfStock[RM_Code],$A43,T_SelfStock[WeekIndex],31)+SUMIFS(T_TTAFStock[TTAF_Qty],T_TTAFStock[RM_Code],$A43,T_TTAFStock[WeekIndex],31),AE43+'Grid_Incoming'!AF43-'Grid_Requirement'!AF43))</f>
        <v/>
      </c>
      <c r="AG43">
        <f>IF(COUNTIFS(T_StockCount[RM_Code],$A43,T_StockCount[WeekIndex],32)&gt;0,SUMIFS(T_StockCount[CountedQty],T_StockCount[RM_Code],$A43,T_StockCount[WeekIndex],32),IF((COUNTIFS(T_SelfStock[RM_Code],$A43,T_SelfStock[WeekIndex],32)&gt;0)*(COUNTIFS(T_TTAFStock[RM_Code],$A43,T_TTAFStock[WeekIndex],32)&gt;0)&gt;0,SUMIFS(T_SelfStock[Self_Qty],T_SelfStock[RM_Code],$A43,T_SelfStock[WeekIndex],32)+SUMIFS(T_TTAFStock[TTAF_Qty],T_TTAFStock[RM_Code],$A43,T_TTAFStock[WeekIndex],32),AF43+'Grid_Incoming'!AG43-'Grid_Requirement'!AG43))</f>
        <v/>
      </c>
      <c r="AH43">
        <f>IF(COUNTIFS(T_StockCount[RM_Code],$A43,T_StockCount[WeekIndex],33)&gt;0,SUMIFS(T_StockCount[CountedQty],T_StockCount[RM_Code],$A43,T_StockCount[WeekIndex],33),IF((COUNTIFS(T_SelfStock[RM_Code],$A43,T_SelfStock[WeekIndex],33)&gt;0)*(COUNTIFS(T_TTAFStock[RM_Code],$A43,T_TTAFStock[WeekIndex],33)&gt;0)&gt;0,SUMIFS(T_SelfStock[Self_Qty],T_SelfStock[RM_Code],$A43,T_SelfStock[WeekIndex],33)+SUMIFS(T_TTAFStock[TTAF_Qty],T_TTAFStock[RM_Code],$A43,T_TTAFStock[WeekIndex],33),AG43+'Grid_Incoming'!AH43-'Grid_Requirement'!AH43))</f>
        <v/>
      </c>
      <c r="AI43">
        <f>IF(COUNTIFS(T_StockCount[RM_Code],$A43,T_StockCount[WeekIndex],34)&gt;0,SUMIFS(T_StockCount[CountedQty],T_StockCount[RM_Code],$A43,T_StockCount[WeekIndex],34),IF((COUNTIFS(T_SelfStock[RM_Code],$A43,T_SelfStock[WeekIndex],34)&gt;0)*(COUNTIFS(T_TTAFStock[RM_Code],$A43,T_TTAFStock[WeekIndex],34)&gt;0)&gt;0,SUMIFS(T_SelfStock[Self_Qty],T_SelfStock[RM_Code],$A43,T_SelfStock[WeekIndex],34)+SUMIFS(T_TTAFStock[TTAF_Qty],T_TTAFStock[RM_Code],$A43,T_TTAFStock[WeekIndex],34),AH43+'Grid_Incoming'!AI43-'Grid_Requirement'!AI43))</f>
        <v/>
      </c>
      <c r="AJ43">
        <f>IF(COUNTIFS(T_StockCount[RM_Code],$A43,T_StockCount[WeekIndex],35)&gt;0,SUMIFS(T_StockCount[CountedQty],T_StockCount[RM_Code],$A43,T_StockCount[WeekIndex],35),IF((COUNTIFS(T_SelfStock[RM_Code],$A43,T_SelfStock[WeekIndex],35)&gt;0)*(COUNTIFS(T_TTAFStock[RM_Code],$A43,T_TTAFStock[WeekIndex],35)&gt;0)&gt;0,SUMIFS(T_SelfStock[Self_Qty],T_SelfStock[RM_Code],$A43,T_SelfStock[WeekIndex],35)+SUMIFS(T_TTAFStock[TTAF_Qty],T_TTAFStock[RM_Code],$A43,T_TTAFStock[WeekIndex],35),AI43+'Grid_Incoming'!AJ43-'Grid_Requirement'!AJ43))</f>
        <v/>
      </c>
      <c r="AK43">
        <f>IF(COUNTIFS(T_StockCount[RM_Code],$A43,T_StockCount[WeekIndex],36)&gt;0,SUMIFS(T_StockCount[CountedQty],T_StockCount[RM_Code],$A43,T_StockCount[WeekIndex],36),IF((COUNTIFS(T_SelfStock[RM_Code],$A43,T_SelfStock[WeekIndex],36)&gt;0)*(COUNTIFS(T_TTAFStock[RM_Code],$A43,T_TTAFStock[WeekIndex],36)&gt;0)&gt;0,SUMIFS(T_SelfStock[Self_Qty],T_SelfStock[RM_Code],$A43,T_SelfStock[WeekIndex],36)+SUMIFS(T_TTAFStock[TTAF_Qty],T_TTAFStock[RM_Code],$A43,T_TTAFStock[WeekIndex],36),AJ43+'Grid_Incoming'!AK43-'Grid_Requirement'!AK43))</f>
        <v/>
      </c>
      <c r="AL43">
        <f>IF(COUNTIFS(T_StockCount[RM_Code],$A43,T_StockCount[WeekIndex],37)&gt;0,SUMIFS(T_StockCount[CountedQty],T_StockCount[RM_Code],$A43,T_StockCount[WeekIndex],37),IF((COUNTIFS(T_SelfStock[RM_Code],$A43,T_SelfStock[WeekIndex],37)&gt;0)*(COUNTIFS(T_TTAFStock[RM_Code],$A43,T_TTAFStock[WeekIndex],37)&gt;0)&gt;0,SUMIFS(T_SelfStock[Self_Qty],T_SelfStock[RM_Code],$A43,T_SelfStock[WeekIndex],37)+SUMIFS(T_TTAFStock[TTAF_Qty],T_TTAFStock[RM_Code],$A43,T_TTAFStock[WeekIndex],37),AK43+'Grid_Incoming'!AL43-'Grid_Requirement'!AL43))</f>
        <v/>
      </c>
      <c r="AM43">
        <f>IF(COUNTIFS(T_StockCount[RM_Code],$A43,T_StockCount[WeekIndex],38)&gt;0,SUMIFS(T_StockCount[CountedQty],T_StockCount[RM_Code],$A43,T_StockCount[WeekIndex],38),IF((COUNTIFS(T_SelfStock[RM_Code],$A43,T_SelfStock[WeekIndex],38)&gt;0)*(COUNTIFS(T_TTAFStock[RM_Code],$A43,T_TTAFStock[WeekIndex],38)&gt;0)&gt;0,SUMIFS(T_SelfStock[Self_Qty],T_SelfStock[RM_Code],$A43,T_SelfStock[WeekIndex],38)+SUMIFS(T_TTAFStock[TTAF_Qty],T_TTAFStock[RM_Code],$A43,T_TTAFStock[WeekIndex],38),AL43+'Grid_Incoming'!AM43-'Grid_Requirement'!AM43))</f>
        <v/>
      </c>
      <c r="AN43">
        <f>IF(COUNTIFS(T_StockCount[RM_Code],$A43,T_StockCount[WeekIndex],39)&gt;0,SUMIFS(T_StockCount[CountedQty],T_StockCount[RM_Code],$A43,T_StockCount[WeekIndex],39),IF((COUNTIFS(T_SelfStock[RM_Code],$A43,T_SelfStock[WeekIndex],39)&gt;0)*(COUNTIFS(T_TTAFStock[RM_Code],$A43,T_TTAFStock[WeekIndex],39)&gt;0)&gt;0,SUMIFS(T_SelfStock[Self_Qty],T_SelfStock[RM_Code],$A43,T_SelfStock[WeekIndex],39)+SUMIFS(T_TTAFStock[TTAF_Qty],T_TTAFStock[RM_Code],$A43,T_TTAFStock[WeekIndex],39),AM43+'Grid_Incoming'!AN43-'Grid_Requirement'!AN43))</f>
        <v/>
      </c>
      <c r="AO43">
        <f>IF(COUNTIFS(T_StockCount[RM_Code],$A43,T_StockCount[WeekIndex],40)&gt;0,SUMIFS(T_StockCount[CountedQty],T_StockCount[RM_Code],$A43,T_StockCount[WeekIndex],40),IF((COUNTIFS(T_SelfStock[RM_Code],$A43,T_SelfStock[WeekIndex],40)&gt;0)*(COUNTIFS(T_TTAFStock[RM_Code],$A43,T_TTAFStock[WeekIndex],40)&gt;0)&gt;0,SUMIFS(T_SelfStock[Self_Qty],T_SelfStock[RM_Code],$A43,T_SelfStock[WeekIndex],40)+SUMIFS(T_TTAFStock[TTAF_Qty],T_TTAFStock[RM_Code],$A43,T_TTAFStock[WeekIndex],40),AN43+'Grid_Incoming'!AO43-'Grid_Requirement'!AO43))</f>
        <v/>
      </c>
      <c r="AP43">
        <f>IF(COUNTIFS(T_StockCount[RM_Code],$A43,T_StockCount[WeekIndex],41)&gt;0,SUMIFS(T_StockCount[CountedQty],T_StockCount[RM_Code],$A43,T_StockCount[WeekIndex],41),IF((COUNTIFS(T_SelfStock[RM_Code],$A43,T_SelfStock[WeekIndex],41)&gt;0)*(COUNTIFS(T_TTAFStock[RM_Code],$A43,T_TTAFStock[WeekIndex],41)&gt;0)&gt;0,SUMIFS(T_SelfStock[Self_Qty],T_SelfStock[RM_Code],$A43,T_SelfStock[WeekIndex],41)+SUMIFS(T_TTAFStock[TTAF_Qty],T_TTAFStock[RM_Code],$A43,T_TTAFStock[WeekIndex],41),AO43+'Grid_Incoming'!AP43-'Grid_Requirement'!AP43))</f>
        <v/>
      </c>
      <c r="AQ43">
        <f>IF(COUNTIFS(T_StockCount[RM_Code],$A43,T_StockCount[WeekIndex],42)&gt;0,SUMIFS(T_StockCount[CountedQty],T_StockCount[RM_Code],$A43,T_StockCount[WeekIndex],42),IF((COUNTIFS(T_SelfStock[RM_Code],$A43,T_SelfStock[WeekIndex],42)&gt;0)*(COUNTIFS(T_TTAFStock[RM_Code],$A43,T_TTAFStock[WeekIndex],42)&gt;0)&gt;0,SUMIFS(T_SelfStock[Self_Qty],T_SelfStock[RM_Code],$A43,T_SelfStock[WeekIndex],42)+SUMIFS(T_TTAFStock[TTAF_Qty],T_TTAFStock[RM_Code],$A43,T_TTAFStock[WeekIndex],42),AP43+'Grid_Incoming'!AQ43-'Grid_Requirement'!AQ43))</f>
        <v/>
      </c>
      <c r="AR43">
        <f>IF(COUNTIFS(T_StockCount[RM_Code],$A43,T_StockCount[WeekIndex],43)&gt;0,SUMIFS(T_StockCount[CountedQty],T_StockCount[RM_Code],$A43,T_StockCount[WeekIndex],43),IF((COUNTIFS(T_SelfStock[RM_Code],$A43,T_SelfStock[WeekIndex],43)&gt;0)*(COUNTIFS(T_TTAFStock[RM_Code],$A43,T_TTAFStock[WeekIndex],43)&gt;0)&gt;0,SUMIFS(T_SelfStock[Self_Qty],T_SelfStock[RM_Code],$A43,T_SelfStock[WeekIndex],43)+SUMIFS(T_TTAFStock[TTAF_Qty],T_TTAFStock[RM_Code],$A43,T_TTAFStock[WeekIndex],43),AQ43+'Grid_Incoming'!AR43-'Grid_Requirement'!AR43))</f>
        <v/>
      </c>
      <c r="AS43">
        <f>IF(COUNTIFS(T_StockCount[RM_Code],$A43,T_StockCount[WeekIndex],44)&gt;0,SUMIFS(T_StockCount[CountedQty],T_StockCount[RM_Code],$A43,T_StockCount[WeekIndex],44),IF((COUNTIFS(T_SelfStock[RM_Code],$A43,T_SelfStock[WeekIndex],44)&gt;0)*(COUNTIFS(T_TTAFStock[RM_Code],$A43,T_TTAFStock[WeekIndex],44)&gt;0)&gt;0,SUMIFS(T_SelfStock[Self_Qty],T_SelfStock[RM_Code],$A43,T_SelfStock[WeekIndex],44)+SUMIFS(T_TTAFStock[TTAF_Qty],T_TTAFStock[RM_Code],$A43,T_TTAFStock[WeekIndex],44),AR43+'Grid_Incoming'!AS43-'Grid_Requirement'!AS43))</f>
        <v/>
      </c>
      <c r="AT43">
        <f>IF(COUNTIFS(T_StockCount[RM_Code],$A43,T_StockCount[WeekIndex],45)&gt;0,SUMIFS(T_StockCount[CountedQty],T_StockCount[RM_Code],$A43,T_StockCount[WeekIndex],45),IF((COUNTIFS(T_SelfStock[RM_Code],$A43,T_SelfStock[WeekIndex],45)&gt;0)*(COUNTIFS(T_TTAFStock[RM_Code],$A43,T_TTAFStock[WeekIndex],45)&gt;0)&gt;0,SUMIFS(T_SelfStock[Self_Qty],T_SelfStock[RM_Code],$A43,T_SelfStock[WeekIndex],45)+SUMIFS(T_TTAFStock[TTAF_Qty],T_TTAFStock[RM_Code],$A43,T_TTAFStock[WeekIndex],45),AS43+'Grid_Incoming'!AT43-'Grid_Requirement'!AT43))</f>
        <v/>
      </c>
      <c r="AU43">
        <f>IF(COUNTIFS(T_StockCount[RM_Code],$A43,T_StockCount[WeekIndex],46)&gt;0,SUMIFS(T_StockCount[CountedQty],T_StockCount[RM_Code],$A43,T_StockCount[WeekIndex],46),IF((COUNTIFS(T_SelfStock[RM_Code],$A43,T_SelfStock[WeekIndex],46)&gt;0)*(COUNTIFS(T_TTAFStock[RM_Code],$A43,T_TTAFStock[WeekIndex],46)&gt;0)&gt;0,SUMIFS(T_SelfStock[Self_Qty],T_SelfStock[RM_Code],$A43,T_SelfStock[WeekIndex],46)+SUMIFS(T_TTAFStock[TTAF_Qty],T_TTAFStock[RM_Code],$A43,T_TTAFStock[WeekIndex],46),AT43+'Grid_Incoming'!AU43-'Grid_Requirement'!AU43))</f>
        <v/>
      </c>
      <c r="AV43">
        <f>IF(COUNTIFS(T_StockCount[RM_Code],$A43,T_StockCount[WeekIndex],47)&gt;0,SUMIFS(T_StockCount[CountedQty],T_StockCount[RM_Code],$A43,T_StockCount[WeekIndex],47),IF((COUNTIFS(T_SelfStock[RM_Code],$A43,T_SelfStock[WeekIndex],47)&gt;0)*(COUNTIFS(T_TTAFStock[RM_Code],$A43,T_TTAFStock[WeekIndex],47)&gt;0)&gt;0,SUMIFS(T_SelfStock[Self_Qty],T_SelfStock[RM_Code],$A43,T_SelfStock[WeekIndex],47)+SUMIFS(T_TTAFStock[TTAF_Qty],T_TTAFStock[RM_Code],$A43,T_TTAFStock[WeekIndex],47),AU43+'Grid_Incoming'!AV43-'Grid_Requirement'!AV43))</f>
        <v/>
      </c>
      <c r="AW43">
        <f>IF(COUNTIFS(T_StockCount[RM_Code],$A43,T_StockCount[WeekIndex],48)&gt;0,SUMIFS(T_StockCount[CountedQty],T_StockCount[RM_Code],$A43,T_StockCount[WeekIndex],48),IF((COUNTIFS(T_SelfStock[RM_Code],$A43,T_SelfStock[WeekIndex],48)&gt;0)*(COUNTIFS(T_TTAFStock[RM_Code],$A43,T_TTAFStock[WeekIndex],48)&gt;0)&gt;0,SUMIFS(T_SelfStock[Self_Qty],T_SelfStock[RM_Code],$A43,T_SelfStock[WeekIndex],48)+SUMIFS(T_TTAFStock[TTAF_Qty],T_TTAFStock[RM_Code],$A43,T_TTAFStock[WeekIndex],48),AV43+'Grid_Incoming'!AW43-'Grid_Requirement'!AW43))</f>
        <v/>
      </c>
      <c r="AX43">
        <f>IF(COUNTIFS(T_StockCount[RM_Code],$A43,T_StockCount[WeekIndex],49)&gt;0,SUMIFS(T_StockCount[CountedQty],T_StockCount[RM_Code],$A43,T_StockCount[WeekIndex],49),IF((COUNTIFS(T_SelfStock[RM_Code],$A43,T_SelfStock[WeekIndex],49)&gt;0)*(COUNTIFS(T_TTAFStock[RM_Code],$A43,T_TTAFStock[WeekIndex],49)&gt;0)&gt;0,SUMIFS(T_SelfStock[Self_Qty],T_SelfStock[RM_Code],$A43,T_SelfStock[WeekIndex],49)+SUMIFS(T_TTAFStock[TTAF_Qty],T_TTAFStock[RM_Code],$A43,T_TTAFStock[WeekIndex],49),AW43+'Grid_Incoming'!AX43-'Grid_Requirement'!AX43))</f>
        <v/>
      </c>
      <c r="AY43">
        <f>IF(COUNTIFS(T_StockCount[RM_Code],$A43,T_StockCount[WeekIndex],50)&gt;0,SUMIFS(T_StockCount[CountedQty],T_StockCount[RM_Code],$A43,T_StockCount[WeekIndex],50),IF((COUNTIFS(T_SelfStock[RM_Code],$A43,T_SelfStock[WeekIndex],50)&gt;0)*(COUNTIFS(T_TTAFStock[RM_Code],$A43,T_TTAFStock[WeekIndex],50)&gt;0)&gt;0,SUMIFS(T_SelfStock[Self_Qty],T_SelfStock[RM_Code],$A43,T_SelfStock[WeekIndex],50)+SUMIFS(T_TTAFStock[TTAF_Qty],T_TTAFStock[RM_Code],$A43,T_TTAFStock[WeekIndex],50),AX43+'Grid_Incoming'!AY43-'Grid_Requirement'!AY43))</f>
        <v/>
      </c>
      <c r="AZ43">
        <f>IF(COUNTIFS(T_StockCount[RM_Code],$A43,T_StockCount[WeekIndex],51)&gt;0,SUMIFS(T_StockCount[CountedQty],T_StockCount[RM_Code],$A43,T_StockCount[WeekIndex],51),IF((COUNTIFS(T_SelfStock[RM_Code],$A43,T_SelfStock[WeekIndex],51)&gt;0)*(COUNTIFS(T_TTAFStock[RM_Code],$A43,T_TTAFStock[WeekIndex],51)&gt;0)&gt;0,SUMIFS(T_SelfStock[Self_Qty],T_SelfStock[RM_Code],$A43,T_SelfStock[WeekIndex],51)+SUMIFS(T_TTAFStock[TTAF_Qty],T_TTAFStock[RM_Code],$A43,T_TTAFStock[WeekIndex],51),AY43+'Grid_Incoming'!AZ43-'Grid_Requirement'!AZ43))</f>
        <v/>
      </c>
      <c r="BA43">
        <f>IF(COUNTIFS(T_StockCount[RM_Code],$A43,T_StockCount[WeekIndex],52)&gt;0,SUMIFS(T_StockCount[CountedQty],T_StockCount[RM_Code],$A43,T_StockCount[WeekIndex],52),IF((COUNTIFS(T_SelfStock[RM_Code],$A43,T_SelfStock[WeekIndex],52)&gt;0)*(COUNTIFS(T_TTAFStock[RM_Code],$A43,T_TTAFStock[WeekIndex],52)&gt;0)&gt;0,SUMIFS(T_SelfStock[Self_Qty],T_SelfStock[RM_Code],$A43,T_SelfStock[WeekIndex],52)+SUMIFS(T_TTAFStock[TTAF_Qty],T_TTAFStock[RM_Code],$A43,T_TTAFStock[WeekIndex],52),AZ43+'Grid_Incoming'!BA43-'Grid_Requirement'!BA43))</f>
        <v/>
      </c>
      <c r="BB43">
        <f>IF(COUNTIFS(T_StockCount[RM_Code],$A43,T_StockCount[WeekIndex],53)&gt;0,SUMIFS(T_StockCount[CountedQty],T_StockCount[RM_Code],$A43,T_StockCount[WeekIndex],53),IF((COUNTIFS(T_SelfStock[RM_Code],$A43,T_SelfStock[WeekIndex],53)&gt;0)*(COUNTIFS(T_TTAFStock[RM_Code],$A43,T_TTAFStock[WeekIndex],53)&gt;0)&gt;0,SUMIFS(T_SelfStock[Self_Qty],T_SelfStock[RM_Code],$A43,T_SelfStock[WeekIndex],53)+SUMIFS(T_TTAFStock[TTAF_Qty],T_TTAFStock[RM_Code],$A43,T_TTAFStock[WeekIndex],53),BA43+'Grid_Incoming'!BB43-'Grid_Requirement'!BB43))</f>
        <v/>
      </c>
      <c r="BC43">
        <f>IF(COUNTIFS(T_StockCount[RM_Code],$A43,T_StockCount[WeekIndex],54)&gt;0,SUMIFS(T_StockCount[CountedQty],T_StockCount[RM_Code],$A43,T_StockCount[WeekIndex],54),IF((COUNTIFS(T_SelfStock[RM_Code],$A43,T_SelfStock[WeekIndex],54)&gt;0)*(COUNTIFS(T_TTAFStock[RM_Code],$A43,T_TTAFStock[WeekIndex],54)&gt;0)&gt;0,SUMIFS(T_SelfStock[Self_Qty],T_SelfStock[RM_Code],$A43,T_SelfStock[WeekIndex],54)+SUMIFS(T_TTAFStock[TTAF_Qty],T_TTAFStock[RM_Code],$A43,T_TTAFStock[WeekIndex],54),BB43+'Grid_Incoming'!BC43-'Grid_Requirement'!BC43))</f>
        <v/>
      </c>
      <c r="BD43">
        <f>IF(COUNTIFS(T_StockCount[RM_Code],$A43,T_StockCount[WeekIndex],55)&gt;0,SUMIFS(T_StockCount[CountedQty],T_StockCount[RM_Code],$A43,T_StockCount[WeekIndex],55),IF((COUNTIFS(T_SelfStock[RM_Code],$A43,T_SelfStock[WeekIndex],55)&gt;0)*(COUNTIFS(T_TTAFStock[RM_Code],$A43,T_TTAFStock[WeekIndex],55)&gt;0)&gt;0,SUMIFS(T_SelfStock[Self_Qty],T_SelfStock[RM_Code],$A43,T_SelfStock[WeekIndex],55)+SUMIFS(T_TTAFStock[TTAF_Qty],T_TTAFStock[RM_Code],$A43,T_TTAFStock[WeekIndex],55),BC43+'Grid_Incoming'!BD43-'Grid_Requirement'!BD43))</f>
        <v/>
      </c>
      <c r="BE43">
        <f>IF(COUNTIFS(T_StockCount[RM_Code],$A43,T_StockCount[WeekIndex],56)&gt;0,SUMIFS(T_StockCount[CountedQty],T_StockCount[RM_Code],$A43,T_StockCount[WeekIndex],56),IF((COUNTIFS(T_SelfStock[RM_Code],$A43,T_SelfStock[WeekIndex],56)&gt;0)*(COUNTIFS(T_TTAFStock[RM_Code],$A43,T_TTAFStock[WeekIndex],56)&gt;0)&gt;0,SUMIFS(T_SelfStock[Self_Qty],T_SelfStock[RM_Code],$A43,T_SelfStock[WeekIndex],56)+SUMIFS(T_TTAFStock[TTAF_Qty],T_TTAFStock[RM_Code],$A43,T_TTAFStock[WeekIndex],56),BD43+'Grid_Incoming'!BE43-'Grid_Requirement'!BE43))</f>
        <v/>
      </c>
      <c r="BF43">
        <f>IF(COUNTIFS(T_StockCount[RM_Code],$A43,T_StockCount[WeekIndex],57)&gt;0,SUMIFS(T_StockCount[CountedQty],T_StockCount[RM_Code],$A43,T_StockCount[WeekIndex],57),IF((COUNTIFS(T_SelfStock[RM_Code],$A43,T_SelfStock[WeekIndex],57)&gt;0)*(COUNTIFS(T_TTAFStock[RM_Code],$A43,T_TTAFStock[WeekIndex],57)&gt;0)&gt;0,SUMIFS(T_SelfStock[Self_Qty],T_SelfStock[RM_Code],$A43,T_SelfStock[WeekIndex],57)+SUMIFS(T_TTAFStock[TTAF_Qty],T_TTAFStock[RM_Code],$A43,T_TTAFStock[WeekIndex],57),BE43+'Grid_Incoming'!BF43-'Grid_Requirement'!BF43))</f>
        <v/>
      </c>
      <c r="BG43">
        <f>IF(COUNTIFS(T_StockCount[RM_Code],$A43,T_StockCount[WeekIndex],58)&gt;0,SUMIFS(T_StockCount[CountedQty],T_StockCount[RM_Code],$A43,T_StockCount[WeekIndex],58),IF((COUNTIFS(T_SelfStock[RM_Code],$A43,T_SelfStock[WeekIndex],58)&gt;0)*(COUNTIFS(T_TTAFStock[RM_Code],$A43,T_TTAFStock[WeekIndex],58)&gt;0)&gt;0,SUMIFS(T_SelfStock[Self_Qty],T_SelfStock[RM_Code],$A43,T_SelfStock[WeekIndex],58)+SUMIFS(T_TTAFStock[TTAF_Qty],T_TTAFStock[RM_Code],$A43,T_TTAFStock[WeekIndex],58),BF43+'Grid_Incoming'!BG43-'Grid_Requirement'!BG43))</f>
        <v/>
      </c>
      <c r="BH43">
        <f>IF(COUNTIFS(T_StockCount[RM_Code],$A43,T_StockCount[WeekIndex],59)&gt;0,SUMIFS(T_StockCount[CountedQty],T_StockCount[RM_Code],$A43,T_StockCount[WeekIndex],59),IF((COUNTIFS(T_SelfStock[RM_Code],$A43,T_SelfStock[WeekIndex],59)&gt;0)*(COUNTIFS(T_TTAFStock[RM_Code],$A43,T_TTAFStock[WeekIndex],59)&gt;0)&gt;0,SUMIFS(T_SelfStock[Self_Qty],T_SelfStock[RM_Code],$A43,T_SelfStock[WeekIndex],59)+SUMIFS(T_TTAFStock[TTAF_Qty],T_TTAFStock[RM_Code],$A43,T_TTAFStock[WeekIndex],59),BG43+'Grid_Incoming'!BH43-'Grid_Requirement'!BH43))</f>
        <v/>
      </c>
      <c r="BI43">
        <f>IF(COUNTIFS(T_StockCount[RM_Code],$A43,T_StockCount[WeekIndex],60)&gt;0,SUMIFS(T_StockCount[CountedQty],T_StockCount[RM_Code],$A43,T_StockCount[WeekIndex],60),IF((COUNTIFS(T_SelfStock[RM_Code],$A43,T_SelfStock[WeekIndex],60)&gt;0)*(COUNTIFS(T_TTAFStock[RM_Code],$A43,T_TTAFStock[WeekIndex],60)&gt;0)&gt;0,SUMIFS(T_SelfStock[Self_Qty],T_SelfStock[RM_Code],$A43,T_SelfStock[WeekIndex],60)+SUMIFS(T_TTAFStock[TTAF_Qty],T_TTAFStock[RM_Code],$A43,T_TTAFStock[WeekIndex],60),BH43+'Grid_Incoming'!BI43-'Grid_Requirement'!BI43))</f>
        <v/>
      </c>
      <c r="BJ43">
        <f>IF(COUNTIFS(T_StockCount[RM_Code],$A43,T_StockCount[WeekIndex],61)&gt;0,SUMIFS(T_StockCount[CountedQty],T_StockCount[RM_Code],$A43,T_StockCount[WeekIndex],61),IF((COUNTIFS(T_SelfStock[RM_Code],$A43,T_SelfStock[WeekIndex],61)&gt;0)*(COUNTIFS(T_TTAFStock[RM_Code],$A43,T_TTAFStock[WeekIndex],61)&gt;0)&gt;0,SUMIFS(T_SelfStock[Self_Qty],T_SelfStock[RM_Code],$A43,T_SelfStock[WeekIndex],61)+SUMIFS(T_TTAFStock[TTAF_Qty],T_TTAFStock[RM_Code],$A43,T_TTAFStock[WeekIndex],61),BI43+'Grid_Incoming'!BJ43-'Grid_Requirement'!BJ43))</f>
        <v/>
      </c>
      <c r="BK43">
        <f>IF(COUNTIFS(T_StockCount[RM_Code],$A43,T_StockCount[WeekIndex],62)&gt;0,SUMIFS(T_StockCount[CountedQty],T_StockCount[RM_Code],$A43,T_StockCount[WeekIndex],62),IF((COUNTIFS(T_SelfStock[RM_Code],$A43,T_SelfStock[WeekIndex],62)&gt;0)*(COUNTIFS(T_TTAFStock[RM_Code],$A43,T_TTAFStock[WeekIndex],62)&gt;0)&gt;0,SUMIFS(T_SelfStock[Self_Qty],T_SelfStock[RM_Code],$A43,T_SelfStock[WeekIndex],62)+SUMIFS(T_TTAFStock[TTAF_Qty],T_TTAFStock[RM_Code],$A43,T_TTAFStock[WeekIndex],62),BJ43+'Grid_Incoming'!BK43-'Grid_Requirement'!BK43))</f>
        <v/>
      </c>
      <c r="BL43">
        <f>IF(COUNTIFS(T_StockCount[RM_Code],$A43,T_StockCount[WeekIndex],63)&gt;0,SUMIFS(T_StockCount[CountedQty],T_StockCount[RM_Code],$A43,T_StockCount[WeekIndex],63),IF((COUNTIFS(T_SelfStock[RM_Code],$A43,T_SelfStock[WeekIndex],63)&gt;0)*(COUNTIFS(T_TTAFStock[RM_Code],$A43,T_TTAFStock[WeekIndex],63)&gt;0)&gt;0,SUMIFS(T_SelfStock[Self_Qty],T_SelfStock[RM_Code],$A43,T_SelfStock[WeekIndex],63)+SUMIFS(T_TTAFStock[TTAF_Qty],T_TTAFStock[RM_Code],$A43,T_TTAFStock[WeekIndex],63),BK43+'Grid_Incoming'!BL43-'Grid_Requirement'!BL43))</f>
        <v/>
      </c>
      <c r="BM43">
        <f>IF(COUNTIFS(T_StockCount[RM_Code],$A43,T_StockCount[WeekIndex],64)&gt;0,SUMIFS(T_StockCount[CountedQty],T_StockCount[RM_Code],$A43,T_StockCount[WeekIndex],64),IF((COUNTIFS(T_SelfStock[RM_Code],$A43,T_SelfStock[WeekIndex],64)&gt;0)*(COUNTIFS(T_TTAFStock[RM_Code],$A43,T_TTAFStock[WeekIndex],64)&gt;0)&gt;0,SUMIFS(T_SelfStock[Self_Qty],T_SelfStock[RM_Code],$A43,T_SelfStock[WeekIndex],64)+SUMIFS(T_TTAFStock[TTAF_Qty],T_TTAFStock[RM_Code],$A43,T_TTAFStock[WeekIndex],64),BL43+'Grid_Incoming'!BM43-'Grid_Requirement'!BM43))</f>
        <v/>
      </c>
      <c r="BN43">
        <f>IF(COUNTIFS(T_StockCount[RM_Code],$A43,T_StockCount[WeekIndex],65)&gt;0,SUMIFS(T_StockCount[CountedQty],T_StockCount[RM_Code],$A43,T_StockCount[WeekIndex],65),IF((COUNTIFS(T_SelfStock[RM_Code],$A43,T_SelfStock[WeekIndex],65)&gt;0)*(COUNTIFS(T_TTAFStock[RM_Code],$A43,T_TTAFStock[WeekIndex],65)&gt;0)&gt;0,SUMIFS(T_SelfStock[Self_Qty],T_SelfStock[RM_Code],$A43,T_SelfStock[WeekIndex],65)+SUMIFS(T_TTAFStock[TTAF_Qty],T_TTAFStock[RM_Code],$A43,T_TTAFStock[WeekIndex],65),BM43+'Grid_Incoming'!BN43-'Grid_Requirement'!BN43))</f>
        <v/>
      </c>
      <c r="BO43">
        <f>IF(COUNTIFS(T_StockCount[RM_Code],$A43,T_StockCount[WeekIndex],66)&gt;0,SUMIFS(T_StockCount[CountedQty],T_StockCount[RM_Code],$A43,T_StockCount[WeekIndex],66),IF((COUNTIFS(T_SelfStock[RM_Code],$A43,T_SelfStock[WeekIndex],66)&gt;0)*(COUNTIFS(T_TTAFStock[RM_Code],$A43,T_TTAFStock[WeekIndex],66)&gt;0)&gt;0,SUMIFS(T_SelfStock[Self_Qty],T_SelfStock[RM_Code],$A43,T_SelfStock[WeekIndex],66)+SUMIFS(T_TTAFStock[TTAF_Qty],T_TTAFStock[RM_Code],$A43,T_TTAFStock[WeekIndex],66),BN43+'Grid_Incoming'!BO43-'Grid_Requirement'!BO43))</f>
        <v/>
      </c>
      <c r="BP43">
        <f>IF(COUNTIFS(T_StockCount[RM_Code],$A43,T_StockCount[WeekIndex],67)&gt;0,SUMIFS(T_StockCount[CountedQty],T_StockCount[RM_Code],$A43,T_StockCount[WeekIndex],67),IF((COUNTIFS(T_SelfStock[RM_Code],$A43,T_SelfStock[WeekIndex],67)&gt;0)*(COUNTIFS(T_TTAFStock[RM_Code],$A43,T_TTAFStock[WeekIndex],67)&gt;0)&gt;0,SUMIFS(T_SelfStock[Self_Qty],T_SelfStock[RM_Code],$A43,T_SelfStock[WeekIndex],67)+SUMIFS(T_TTAFStock[TTAF_Qty],T_TTAFStock[RM_Code],$A43,T_TTAFStock[WeekIndex],67),BO43+'Grid_Incoming'!BP43-'Grid_Requirement'!BP43))</f>
        <v/>
      </c>
      <c r="BQ43">
        <f>IF(COUNTIFS(T_StockCount[RM_Code],$A43,T_StockCount[WeekIndex],68)&gt;0,SUMIFS(T_StockCount[CountedQty],T_StockCount[RM_Code],$A43,T_StockCount[WeekIndex],68),IF((COUNTIFS(T_SelfStock[RM_Code],$A43,T_SelfStock[WeekIndex],68)&gt;0)*(COUNTIFS(T_TTAFStock[RM_Code],$A43,T_TTAFStock[WeekIndex],68)&gt;0)&gt;0,SUMIFS(T_SelfStock[Self_Qty],T_SelfStock[RM_Code],$A43,T_SelfStock[WeekIndex],68)+SUMIFS(T_TTAFStock[TTAF_Qty],T_TTAFStock[RM_Code],$A43,T_TTAFStock[WeekIndex],68),BP43+'Grid_Incoming'!BQ43-'Grid_Requirement'!BQ43))</f>
        <v/>
      </c>
      <c r="BR43">
        <f>IF(COUNTIFS(T_StockCount[RM_Code],$A43,T_StockCount[WeekIndex],69)&gt;0,SUMIFS(T_StockCount[CountedQty],T_StockCount[RM_Code],$A43,T_StockCount[WeekIndex],69),IF((COUNTIFS(T_SelfStock[RM_Code],$A43,T_SelfStock[WeekIndex],69)&gt;0)*(COUNTIFS(T_TTAFStock[RM_Code],$A43,T_TTAFStock[WeekIndex],69)&gt;0)&gt;0,SUMIFS(T_SelfStock[Self_Qty],T_SelfStock[RM_Code],$A43,T_SelfStock[WeekIndex],69)+SUMIFS(T_TTAFStock[TTAF_Qty],T_TTAFStock[RM_Code],$A43,T_TTAFStock[WeekIndex],69),BQ43+'Grid_Incoming'!BR43-'Grid_Requirement'!BR43))</f>
        <v/>
      </c>
      <c r="BS43">
        <f>IF(COUNTIFS(T_StockCount[RM_Code],$A43,T_StockCount[WeekIndex],70)&gt;0,SUMIFS(T_StockCount[CountedQty],T_StockCount[RM_Code],$A43,T_StockCount[WeekIndex],70),IF((COUNTIFS(T_SelfStock[RM_Code],$A43,T_SelfStock[WeekIndex],70)&gt;0)*(COUNTIFS(T_TTAFStock[RM_Code],$A43,T_TTAFStock[WeekIndex],70)&gt;0)&gt;0,SUMIFS(T_SelfStock[Self_Qty],T_SelfStock[RM_Code],$A43,T_SelfStock[WeekIndex],70)+SUMIFS(T_TTAFStock[TTAF_Qty],T_TTAFStock[RM_Code],$A43,T_TTAFStock[WeekIndex],70),BR43+'Grid_Incoming'!BS43-'Grid_Requirement'!BS43))</f>
        <v/>
      </c>
      <c r="BT43">
        <f>IF(COUNTIFS(T_StockCount[RM_Code],$A43,T_StockCount[WeekIndex],71)&gt;0,SUMIFS(T_StockCount[CountedQty],T_StockCount[RM_Code],$A43,T_StockCount[WeekIndex],71),IF((COUNTIFS(T_SelfStock[RM_Code],$A43,T_SelfStock[WeekIndex],71)&gt;0)*(COUNTIFS(T_TTAFStock[RM_Code],$A43,T_TTAFStock[WeekIndex],71)&gt;0)&gt;0,SUMIFS(T_SelfStock[Self_Qty],T_SelfStock[RM_Code],$A43,T_SelfStock[WeekIndex],71)+SUMIFS(T_TTAFStock[TTAF_Qty],T_TTAFStock[RM_Code],$A43,T_TTAFStock[WeekIndex],71),BS43+'Grid_Incoming'!BT43-'Grid_Requirement'!BT43))</f>
        <v/>
      </c>
      <c r="BU43">
        <f>IF(COUNTIFS(T_StockCount[RM_Code],$A43,T_StockCount[WeekIndex],72)&gt;0,SUMIFS(T_StockCount[CountedQty],T_StockCount[RM_Code],$A43,T_StockCount[WeekIndex],72),IF((COUNTIFS(T_SelfStock[RM_Code],$A43,T_SelfStock[WeekIndex],72)&gt;0)*(COUNTIFS(T_TTAFStock[RM_Code],$A43,T_TTAFStock[WeekIndex],72)&gt;0)&gt;0,SUMIFS(T_SelfStock[Self_Qty],T_SelfStock[RM_Code],$A43,T_SelfStock[WeekIndex],72)+SUMIFS(T_TTAFStock[TTAF_Qty],T_TTAFStock[RM_Code],$A43,T_TTAFStock[WeekIndex],72),BT43+'Grid_Incoming'!BU43-'Grid_Requirement'!BU43))</f>
        <v/>
      </c>
      <c r="BV43">
        <f>IF(COUNTIFS(T_StockCount[RM_Code],$A43,T_StockCount[WeekIndex],73)&gt;0,SUMIFS(T_StockCount[CountedQty],T_StockCount[RM_Code],$A43,T_StockCount[WeekIndex],73),IF((COUNTIFS(T_SelfStock[RM_Code],$A43,T_SelfStock[WeekIndex],73)&gt;0)*(COUNTIFS(T_TTAFStock[RM_Code],$A43,T_TTAFStock[WeekIndex],73)&gt;0)&gt;0,SUMIFS(T_SelfStock[Self_Qty],T_SelfStock[RM_Code],$A43,T_SelfStock[WeekIndex],73)+SUMIFS(T_TTAFStock[TTAF_Qty],T_TTAFStock[RM_Code],$A43,T_TTAFStock[WeekIndex],73),BU43+'Grid_Incoming'!BV43-'Grid_Requirement'!BV43))</f>
        <v/>
      </c>
      <c r="BW43">
        <f>IF(COUNTIFS(T_StockCount[RM_Code],$A43,T_StockCount[WeekIndex],74)&gt;0,SUMIFS(T_StockCount[CountedQty],T_StockCount[RM_Code],$A43,T_StockCount[WeekIndex],74),IF((COUNTIFS(T_SelfStock[RM_Code],$A43,T_SelfStock[WeekIndex],74)&gt;0)*(COUNTIFS(T_TTAFStock[RM_Code],$A43,T_TTAFStock[WeekIndex],74)&gt;0)&gt;0,SUMIFS(T_SelfStock[Self_Qty],T_SelfStock[RM_Code],$A43,T_SelfStock[WeekIndex],74)+SUMIFS(T_TTAFStock[TTAF_Qty],T_TTAFStock[RM_Code],$A43,T_TTAFStock[WeekIndex],74),BV43+'Grid_Incoming'!BW43-'Grid_Requirement'!BW43))</f>
        <v/>
      </c>
      <c r="BX43">
        <f>IF(COUNTIFS(T_StockCount[RM_Code],$A43,T_StockCount[WeekIndex],75)&gt;0,SUMIFS(T_StockCount[CountedQty],T_StockCount[RM_Code],$A43,T_StockCount[WeekIndex],75),IF((COUNTIFS(T_SelfStock[RM_Code],$A43,T_SelfStock[WeekIndex],75)&gt;0)*(COUNTIFS(T_TTAFStock[RM_Code],$A43,T_TTAFStock[WeekIndex],75)&gt;0)&gt;0,SUMIFS(T_SelfStock[Self_Qty],T_SelfStock[RM_Code],$A43,T_SelfStock[WeekIndex],75)+SUMIFS(T_TTAFStock[TTAF_Qty],T_TTAFStock[RM_Code],$A43,T_TTAFStock[WeekIndex],75),BW43+'Grid_Incoming'!BX43-'Grid_Requirement'!BX43))</f>
        <v/>
      </c>
      <c r="BY43">
        <f>IF(COUNTIFS(T_StockCount[RM_Code],$A43,T_StockCount[WeekIndex],76)&gt;0,SUMIFS(T_StockCount[CountedQty],T_StockCount[RM_Code],$A43,T_StockCount[WeekIndex],76),IF((COUNTIFS(T_SelfStock[RM_Code],$A43,T_SelfStock[WeekIndex],76)&gt;0)*(COUNTIFS(T_TTAFStock[RM_Code],$A43,T_TTAFStock[WeekIndex],76)&gt;0)&gt;0,SUMIFS(T_SelfStock[Self_Qty],T_SelfStock[RM_Code],$A43,T_SelfStock[WeekIndex],76)+SUMIFS(T_TTAFStock[TTAF_Qty],T_TTAFStock[RM_Code],$A43,T_TTAFStock[WeekIndex],76),BX43+'Grid_Incoming'!BY43-'Grid_Requirement'!BY43))</f>
        <v/>
      </c>
      <c r="BZ43">
        <f>IF(COUNTIFS(T_StockCount[RM_Code],$A43,T_StockCount[WeekIndex],77)&gt;0,SUMIFS(T_StockCount[CountedQty],T_StockCount[RM_Code],$A43,T_StockCount[WeekIndex],77),IF((COUNTIFS(T_SelfStock[RM_Code],$A43,T_SelfStock[WeekIndex],77)&gt;0)*(COUNTIFS(T_TTAFStock[RM_Code],$A43,T_TTAFStock[WeekIndex],77)&gt;0)&gt;0,SUMIFS(T_SelfStock[Self_Qty],T_SelfStock[RM_Code],$A43,T_SelfStock[WeekIndex],77)+SUMIFS(T_TTAFStock[TTAF_Qty],T_TTAFStock[RM_Code],$A43,T_TTAFStock[WeekIndex],77),BY43+'Grid_Incoming'!BZ43-'Grid_Requirement'!BZ43))</f>
        <v/>
      </c>
      <c r="CA43">
        <f>IF(COUNTIFS(T_StockCount[RM_Code],$A43,T_StockCount[WeekIndex],78)&gt;0,SUMIFS(T_StockCount[CountedQty],T_StockCount[RM_Code],$A43,T_StockCount[WeekIndex],78),IF((COUNTIFS(T_SelfStock[RM_Code],$A43,T_SelfStock[WeekIndex],78)&gt;0)*(COUNTIFS(T_TTAFStock[RM_Code],$A43,T_TTAFStock[WeekIndex],78)&gt;0)&gt;0,SUMIFS(T_SelfStock[Self_Qty],T_SelfStock[RM_Code],$A43,T_SelfStock[WeekIndex],78)+SUMIFS(T_TTAFStock[TTAF_Qty],T_TTAFStock[RM_Code],$A43,T_TTAFStock[WeekIndex],78),BZ43+'Grid_Incoming'!CA43-'Grid_Requirement'!CA43))</f>
        <v/>
      </c>
      <c r="CB43">
        <f>IF(COUNTIFS(T_StockCount[RM_Code],$A43,T_StockCount[WeekIndex],79)&gt;0,SUMIFS(T_StockCount[CountedQty],T_StockCount[RM_Code],$A43,T_StockCount[WeekIndex],79),IF((COUNTIFS(T_SelfStock[RM_Code],$A43,T_SelfStock[WeekIndex],79)&gt;0)*(COUNTIFS(T_TTAFStock[RM_Code],$A43,T_TTAFStock[WeekIndex],79)&gt;0)&gt;0,SUMIFS(T_SelfStock[Self_Qty],T_SelfStock[RM_Code],$A43,T_SelfStock[WeekIndex],79)+SUMIFS(T_TTAFStock[TTAF_Qty],T_TTAFStock[RM_Code],$A43,T_TTAFStock[WeekIndex],79),CA43+'Grid_Incoming'!CB43-'Grid_Requirement'!CB43))</f>
        <v/>
      </c>
      <c r="CC43">
        <f>IF(COUNTIFS(T_StockCount[RM_Code],$A43,T_StockCount[WeekIndex],80)&gt;0,SUMIFS(T_StockCount[CountedQty],T_StockCount[RM_Code],$A43,T_StockCount[WeekIndex],80),IF((COUNTIFS(T_SelfStock[RM_Code],$A43,T_SelfStock[WeekIndex],80)&gt;0)*(COUNTIFS(T_TTAFStock[RM_Code],$A43,T_TTAFStock[WeekIndex],80)&gt;0)&gt;0,SUMIFS(T_SelfStock[Self_Qty],T_SelfStock[RM_Code],$A43,T_SelfStock[WeekIndex],80)+SUMIFS(T_TTAFStock[TTAF_Qty],T_TTAFStock[RM_Code],$A43,T_TTAFStock[WeekIndex],80),CB43+'Grid_Incoming'!CC43-'Grid_Requirement'!CC43))</f>
        <v/>
      </c>
      <c r="CD43">
        <f>IF(COUNTIFS(T_StockCount[RM_Code],$A43,T_StockCount[WeekIndex],81)&gt;0,SUMIFS(T_StockCount[CountedQty],T_StockCount[RM_Code],$A43,T_StockCount[WeekIndex],81),IF((COUNTIFS(T_SelfStock[RM_Code],$A43,T_SelfStock[WeekIndex],81)&gt;0)*(COUNTIFS(T_TTAFStock[RM_Code],$A43,T_TTAFStock[WeekIndex],81)&gt;0)&gt;0,SUMIFS(T_SelfStock[Self_Qty],T_SelfStock[RM_Code],$A43,T_SelfStock[WeekIndex],81)+SUMIFS(T_TTAFStock[TTAF_Qty],T_TTAFStock[RM_Code],$A43,T_TTAFStock[WeekIndex],81),CC43+'Grid_Incoming'!CD43-'Grid_Requirement'!CD43))</f>
        <v/>
      </c>
      <c r="CE43">
        <f>IF(COUNTIFS(T_StockCount[RM_Code],$A43,T_StockCount[WeekIndex],82)&gt;0,SUMIFS(T_StockCount[CountedQty],T_StockCount[RM_Code],$A43,T_StockCount[WeekIndex],82),IF((COUNTIFS(T_SelfStock[RM_Code],$A43,T_SelfStock[WeekIndex],82)&gt;0)*(COUNTIFS(T_TTAFStock[RM_Code],$A43,T_TTAFStock[WeekIndex],82)&gt;0)&gt;0,SUMIFS(T_SelfStock[Self_Qty],T_SelfStock[RM_Code],$A43,T_SelfStock[WeekIndex],82)+SUMIFS(T_TTAFStock[TTAF_Qty],T_TTAFStock[RM_Code],$A43,T_TTAFStock[WeekIndex],82),CD43+'Grid_Incoming'!CE43-'Grid_Requirement'!CE43))</f>
        <v/>
      </c>
      <c r="CF43">
        <f>IF(COUNTIFS(T_StockCount[RM_Code],$A43,T_StockCount[WeekIndex],83)&gt;0,SUMIFS(T_StockCount[CountedQty],T_StockCount[RM_Code],$A43,T_StockCount[WeekIndex],83),IF((COUNTIFS(T_SelfStock[RM_Code],$A43,T_SelfStock[WeekIndex],83)&gt;0)*(COUNTIFS(T_TTAFStock[RM_Code],$A43,T_TTAFStock[WeekIndex],83)&gt;0)&gt;0,SUMIFS(T_SelfStock[Self_Qty],T_SelfStock[RM_Code],$A43,T_SelfStock[WeekIndex],83)+SUMIFS(T_TTAFStock[TTAF_Qty],T_TTAFStock[RM_Code],$A43,T_TTAFStock[WeekIndex],83),CE43+'Grid_Incoming'!CF43-'Grid_Requirement'!CF43))</f>
        <v/>
      </c>
      <c r="CG43">
        <f>IF(COUNTIFS(T_StockCount[RM_Code],$A43,T_StockCount[WeekIndex],84)&gt;0,SUMIFS(T_StockCount[CountedQty],T_StockCount[RM_Code],$A43,T_StockCount[WeekIndex],84),IF((COUNTIFS(T_SelfStock[RM_Code],$A43,T_SelfStock[WeekIndex],84)&gt;0)*(COUNTIFS(T_TTAFStock[RM_Code],$A43,T_TTAFStock[WeekIndex],84)&gt;0)&gt;0,SUMIFS(T_SelfStock[Self_Qty],T_SelfStock[RM_Code],$A43,T_SelfStock[WeekIndex],84)+SUMIFS(T_TTAFStock[TTAF_Qty],T_TTAFStock[RM_Code],$A43,T_TTAFStock[WeekIndex],84),CF43+'Grid_Incoming'!CG43-'Grid_Requirement'!CG43))</f>
        <v/>
      </c>
      <c r="CH43">
        <f>IF(COUNTIFS(T_StockCount[RM_Code],$A43,T_StockCount[WeekIndex],85)&gt;0,SUMIFS(T_StockCount[CountedQty],T_StockCount[RM_Code],$A43,T_StockCount[WeekIndex],85),IF((COUNTIFS(T_SelfStock[RM_Code],$A43,T_SelfStock[WeekIndex],85)&gt;0)*(COUNTIFS(T_TTAFStock[RM_Code],$A43,T_TTAFStock[WeekIndex],85)&gt;0)&gt;0,SUMIFS(T_SelfStock[Self_Qty],T_SelfStock[RM_Code],$A43,T_SelfStock[WeekIndex],85)+SUMIFS(T_TTAFStock[TTAF_Qty],T_TTAFStock[RM_Code],$A43,T_TTAFStock[WeekIndex],85),CG43+'Grid_Incoming'!CH43-'Grid_Requirement'!CH43))</f>
        <v/>
      </c>
      <c r="CI43">
        <f>IF(COUNTIFS(T_StockCount[RM_Code],$A43,T_StockCount[WeekIndex],86)&gt;0,SUMIFS(T_StockCount[CountedQty],T_StockCount[RM_Code],$A43,T_StockCount[WeekIndex],86),IF((COUNTIFS(T_SelfStock[RM_Code],$A43,T_SelfStock[WeekIndex],86)&gt;0)*(COUNTIFS(T_TTAFStock[RM_Code],$A43,T_TTAFStock[WeekIndex],86)&gt;0)&gt;0,SUMIFS(T_SelfStock[Self_Qty],T_SelfStock[RM_Code],$A43,T_SelfStock[WeekIndex],86)+SUMIFS(T_TTAFStock[TTAF_Qty],T_TTAFStock[RM_Code],$A43,T_TTAFStock[WeekIndex],86),CH43+'Grid_Incoming'!CI43-'Grid_Requirement'!CI43))</f>
        <v/>
      </c>
      <c r="CJ43">
        <f>IF(COUNTIFS(T_StockCount[RM_Code],$A43,T_StockCount[WeekIndex],87)&gt;0,SUMIFS(T_StockCount[CountedQty],T_StockCount[RM_Code],$A43,T_StockCount[WeekIndex],87),IF((COUNTIFS(T_SelfStock[RM_Code],$A43,T_SelfStock[WeekIndex],87)&gt;0)*(COUNTIFS(T_TTAFStock[RM_Code],$A43,T_TTAFStock[WeekIndex],87)&gt;0)&gt;0,SUMIFS(T_SelfStock[Self_Qty],T_SelfStock[RM_Code],$A43,T_SelfStock[WeekIndex],87)+SUMIFS(T_TTAFStock[TTAF_Qty],T_TTAFStock[RM_Code],$A43,T_TTAFStock[WeekIndex],87),CI43+'Grid_Incoming'!CJ43-'Grid_Requirement'!CJ43))</f>
        <v/>
      </c>
      <c r="CK43">
        <f>IF(COUNTIFS(T_StockCount[RM_Code],$A43,T_StockCount[WeekIndex],88)&gt;0,SUMIFS(T_StockCount[CountedQty],T_StockCount[RM_Code],$A43,T_StockCount[WeekIndex],88),IF((COUNTIFS(T_SelfStock[RM_Code],$A43,T_SelfStock[WeekIndex],88)&gt;0)*(COUNTIFS(T_TTAFStock[RM_Code],$A43,T_TTAFStock[WeekIndex],88)&gt;0)&gt;0,SUMIFS(T_SelfStock[Self_Qty],T_SelfStock[RM_Code],$A43,T_SelfStock[WeekIndex],88)+SUMIFS(T_TTAFStock[TTAF_Qty],T_TTAFStock[RM_Code],$A43,T_TTAFStock[WeekIndex],88),CJ43+'Grid_Incoming'!CK43-'Grid_Requirement'!CK43))</f>
        <v/>
      </c>
      <c r="CL43">
        <f>IF(COUNTIFS(T_StockCount[RM_Code],$A43,T_StockCount[WeekIndex],89)&gt;0,SUMIFS(T_StockCount[CountedQty],T_StockCount[RM_Code],$A43,T_StockCount[WeekIndex],89),IF((COUNTIFS(T_SelfStock[RM_Code],$A43,T_SelfStock[WeekIndex],89)&gt;0)*(COUNTIFS(T_TTAFStock[RM_Code],$A43,T_TTAFStock[WeekIndex],89)&gt;0)&gt;0,SUMIFS(T_SelfStock[Self_Qty],T_SelfStock[RM_Code],$A43,T_SelfStock[WeekIndex],89)+SUMIFS(T_TTAFStock[TTAF_Qty],T_TTAFStock[RM_Code],$A43,T_TTAFStock[WeekIndex],89),CK43+'Grid_Incoming'!CL43-'Grid_Requirement'!CL43))</f>
        <v/>
      </c>
      <c r="CM43">
        <f>IF(COUNTIFS(T_StockCount[RM_Code],$A43,T_StockCount[WeekIndex],90)&gt;0,SUMIFS(T_StockCount[CountedQty],T_StockCount[RM_Code],$A43,T_StockCount[WeekIndex],90),IF((COUNTIFS(T_SelfStock[RM_Code],$A43,T_SelfStock[WeekIndex],90)&gt;0)*(COUNTIFS(T_TTAFStock[RM_Code],$A43,T_TTAFStock[WeekIndex],90)&gt;0)&gt;0,SUMIFS(T_SelfStock[Self_Qty],T_SelfStock[RM_Code],$A43,T_SelfStock[WeekIndex],90)+SUMIFS(T_TTAFStock[TTAF_Qty],T_TTAFStock[RM_Code],$A43,T_TTAFStock[WeekIndex],90),CL43+'Grid_Incoming'!CM43-'Grid_Requirement'!CM43))</f>
        <v/>
      </c>
      <c r="CN43">
        <f>IF(COUNTIFS(T_StockCount[RM_Code],$A43,T_StockCount[WeekIndex],91)&gt;0,SUMIFS(T_StockCount[CountedQty],T_StockCount[RM_Code],$A43,T_StockCount[WeekIndex],91),IF((COUNTIFS(T_SelfStock[RM_Code],$A43,T_SelfStock[WeekIndex],91)&gt;0)*(COUNTIFS(T_TTAFStock[RM_Code],$A43,T_TTAFStock[WeekIndex],91)&gt;0)&gt;0,SUMIFS(T_SelfStock[Self_Qty],T_SelfStock[RM_Code],$A43,T_SelfStock[WeekIndex],91)+SUMIFS(T_TTAFStock[TTAF_Qty],T_TTAFStock[RM_Code],$A43,T_TTAFStock[WeekIndex],91),CM43+'Grid_Incoming'!CN43-'Grid_Requirement'!CN43))</f>
        <v/>
      </c>
      <c r="CO43">
        <f>IF(COUNTIFS(T_StockCount[RM_Code],$A43,T_StockCount[WeekIndex],92)&gt;0,SUMIFS(T_StockCount[CountedQty],T_StockCount[RM_Code],$A43,T_StockCount[WeekIndex],92),IF((COUNTIFS(T_SelfStock[RM_Code],$A43,T_SelfStock[WeekIndex],92)&gt;0)*(COUNTIFS(T_TTAFStock[RM_Code],$A43,T_TTAFStock[WeekIndex],92)&gt;0)&gt;0,SUMIFS(T_SelfStock[Self_Qty],T_SelfStock[RM_Code],$A43,T_SelfStock[WeekIndex],92)+SUMIFS(T_TTAFStock[TTAF_Qty],T_TTAFStock[RM_Code],$A43,T_TTAFStock[WeekIndex],92),CN43+'Grid_Incoming'!CO43-'Grid_Requirement'!CO43))</f>
        <v/>
      </c>
      <c r="CP43">
        <f>IF(COUNTIFS(T_StockCount[RM_Code],$A43,T_StockCount[WeekIndex],93)&gt;0,SUMIFS(T_StockCount[CountedQty],T_StockCount[RM_Code],$A43,T_StockCount[WeekIndex],93),IF((COUNTIFS(T_SelfStock[RM_Code],$A43,T_SelfStock[WeekIndex],93)&gt;0)*(COUNTIFS(T_TTAFStock[RM_Code],$A43,T_TTAFStock[WeekIndex],93)&gt;0)&gt;0,SUMIFS(T_SelfStock[Self_Qty],T_SelfStock[RM_Code],$A43,T_SelfStock[WeekIndex],93)+SUMIFS(T_TTAFStock[TTAF_Qty],T_TTAFStock[RM_Code],$A43,T_TTAFStock[WeekIndex],93),CO43+'Grid_Incoming'!CP43-'Grid_Requirement'!CP43))</f>
        <v/>
      </c>
      <c r="CQ43">
        <f>IF(COUNTIFS(T_StockCount[RM_Code],$A43,T_StockCount[WeekIndex],94)&gt;0,SUMIFS(T_StockCount[CountedQty],T_StockCount[RM_Code],$A43,T_StockCount[WeekIndex],94),IF((COUNTIFS(T_SelfStock[RM_Code],$A43,T_SelfStock[WeekIndex],94)&gt;0)*(COUNTIFS(T_TTAFStock[RM_Code],$A43,T_TTAFStock[WeekIndex],94)&gt;0)&gt;0,SUMIFS(T_SelfStock[Self_Qty],T_SelfStock[RM_Code],$A43,T_SelfStock[WeekIndex],94)+SUMIFS(T_TTAFStock[TTAF_Qty],T_TTAFStock[RM_Code],$A43,T_TTAFStock[WeekIndex],94),CP43+'Grid_Incoming'!CQ43-'Grid_Requirement'!CQ43))</f>
        <v/>
      </c>
      <c r="CR43">
        <f>IF(COUNTIFS(T_StockCount[RM_Code],$A43,T_StockCount[WeekIndex],95)&gt;0,SUMIFS(T_StockCount[CountedQty],T_StockCount[RM_Code],$A43,T_StockCount[WeekIndex],95),IF((COUNTIFS(T_SelfStock[RM_Code],$A43,T_SelfStock[WeekIndex],95)&gt;0)*(COUNTIFS(T_TTAFStock[RM_Code],$A43,T_TTAFStock[WeekIndex],95)&gt;0)&gt;0,SUMIFS(T_SelfStock[Self_Qty],T_SelfStock[RM_Code],$A43,T_SelfStock[WeekIndex],95)+SUMIFS(T_TTAFStock[TTAF_Qty],T_TTAFStock[RM_Code],$A43,T_TTAFStock[WeekIndex],95),CQ43+'Grid_Incoming'!CR43-'Grid_Requirement'!CR43))</f>
        <v/>
      </c>
      <c r="CS43">
        <f>IF(COUNTIFS(T_StockCount[RM_Code],$A43,T_StockCount[WeekIndex],96)&gt;0,SUMIFS(T_StockCount[CountedQty],T_StockCount[RM_Code],$A43,T_StockCount[WeekIndex],96),IF((COUNTIFS(T_SelfStock[RM_Code],$A43,T_SelfStock[WeekIndex],96)&gt;0)*(COUNTIFS(T_TTAFStock[RM_Code],$A43,T_TTAFStock[WeekIndex],96)&gt;0)&gt;0,SUMIFS(T_SelfStock[Self_Qty],T_SelfStock[RM_Code],$A43,T_SelfStock[WeekIndex],96)+SUMIFS(T_TTAFStock[TTAF_Qty],T_TTAFStock[RM_Code],$A43,T_TTAFStock[WeekIndex],96),CR43+'Grid_Incoming'!CS43-'Grid_Requirement'!CS43))</f>
        <v/>
      </c>
      <c r="CT43">
        <f>IF(COUNTIFS(T_StockCount[RM_Code],$A43,T_StockCount[WeekIndex],97)&gt;0,SUMIFS(T_StockCount[CountedQty],T_StockCount[RM_Code],$A43,T_StockCount[WeekIndex],97),IF((COUNTIFS(T_SelfStock[RM_Code],$A43,T_SelfStock[WeekIndex],97)&gt;0)*(COUNTIFS(T_TTAFStock[RM_Code],$A43,T_TTAFStock[WeekIndex],97)&gt;0)&gt;0,SUMIFS(T_SelfStock[Self_Qty],T_SelfStock[RM_Code],$A43,T_SelfStock[WeekIndex],97)+SUMIFS(T_TTAFStock[TTAF_Qty],T_TTAFStock[RM_Code],$A43,T_TTAFStock[WeekIndex],97),CS43+'Grid_Incoming'!CT43-'Grid_Requirement'!CT43))</f>
        <v/>
      </c>
      <c r="CU43">
        <f>IF(COUNTIFS(T_StockCount[RM_Code],$A43,T_StockCount[WeekIndex],98)&gt;0,SUMIFS(T_StockCount[CountedQty],T_StockCount[RM_Code],$A43,T_StockCount[WeekIndex],98),IF((COUNTIFS(T_SelfStock[RM_Code],$A43,T_SelfStock[WeekIndex],98)&gt;0)*(COUNTIFS(T_TTAFStock[RM_Code],$A43,T_TTAFStock[WeekIndex],98)&gt;0)&gt;0,SUMIFS(T_SelfStock[Self_Qty],T_SelfStock[RM_Code],$A43,T_SelfStock[WeekIndex],98)+SUMIFS(T_TTAFStock[TTAF_Qty],T_TTAFStock[RM_Code],$A43,T_TTAFStock[WeekIndex],98),CT43+'Grid_Incoming'!CU43-'Grid_Requirement'!CU43))</f>
        <v/>
      </c>
      <c r="CV43">
        <f>IF(COUNTIFS(T_StockCount[RM_Code],$A43,T_StockCount[WeekIndex],99)&gt;0,SUMIFS(T_StockCount[CountedQty],T_StockCount[RM_Code],$A43,T_StockCount[WeekIndex],99),IF((COUNTIFS(T_SelfStock[RM_Code],$A43,T_SelfStock[WeekIndex],99)&gt;0)*(COUNTIFS(T_TTAFStock[RM_Code],$A43,T_TTAFStock[WeekIndex],99)&gt;0)&gt;0,SUMIFS(T_SelfStock[Self_Qty],T_SelfStock[RM_Code],$A43,T_SelfStock[WeekIndex],99)+SUMIFS(T_TTAFStock[TTAF_Qty],T_TTAFStock[RM_Code],$A43,T_TTAFStock[WeekIndex],99),CU43+'Grid_Incoming'!CV43-'Grid_Requirement'!CV43))</f>
        <v/>
      </c>
      <c r="CW43">
        <f>IF(COUNTIFS(T_StockCount[RM_Code],$A43,T_StockCount[WeekIndex],100)&gt;0,SUMIFS(T_StockCount[CountedQty],T_StockCount[RM_Code],$A43,T_StockCount[WeekIndex],100),IF((COUNTIFS(T_SelfStock[RM_Code],$A43,T_SelfStock[WeekIndex],100)&gt;0)*(COUNTIFS(T_TTAFStock[RM_Code],$A43,T_TTAFStock[WeekIndex],100)&gt;0)&gt;0,SUMIFS(T_SelfStock[Self_Qty],T_SelfStock[RM_Code],$A43,T_SelfStock[WeekIndex],100)+SUMIFS(T_TTAFStock[TTAF_Qty],T_TTAFStock[RM_Code],$A43,T_TTAFStock[WeekIndex],100),CV43+'Grid_Incoming'!CW43-'Grid_Requirement'!CW43))</f>
        <v/>
      </c>
      <c r="CX43">
        <f>IF(COUNTIFS(T_StockCount[RM_Code],$A43,T_StockCount[WeekIndex],101)&gt;0,SUMIFS(T_StockCount[CountedQty],T_StockCount[RM_Code],$A43,T_StockCount[WeekIndex],101),IF((COUNTIFS(T_SelfStock[RM_Code],$A43,T_SelfStock[WeekIndex],101)&gt;0)*(COUNTIFS(T_TTAFStock[RM_Code],$A43,T_TTAFStock[WeekIndex],101)&gt;0)&gt;0,SUMIFS(T_SelfStock[Self_Qty],T_SelfStock[RM_Code],$A43,T_SelfStock[WeekIndex],101)+SUMIFS(T_TTAFStock[TTAF_Qty],T_TTAFStock[RM_Code],$A43,T_TTAFStock[WeekIndex],101),CW43+'Grid_Incoming'!CX43-'Grid_Requirement'!CX43))</f>
        <v/>
      </c>
      <c r="CY43">
        <f>IF(COUNTIFS(T_StockCount[RM_Code],$A43,T_StockCount[WeekIndex],102)&gt;0,SUMIFS(T_StockCount[CountedQty],T_StockCount[RM_Code],$A43,T_StockCount[WeekIndex],102),IF((COUNTIFS(T_SelfStock[RM_Code],$A43,T_SelfStock[WeekIndex],102)&gt;0)*(COUNTIFS(T_TTAFStock[RM_Code],$A43,T_TTAFStock[WeekIndex],102)&gt;0)&gt;0,SUMIFS(T_SelfStock[Self_Qty],T_SelfStock[RM_Code],$A43,T_SelfStock[WeekIndex],102)+SUMIFS(T_TTAFStock[TTAF_Qty],T_TTAFStock[RM_Code],$A43,T_TTAFStock[WeekIndex],102),CX43+'Grid_Incoming'!CY43-'Grid_Requirement'!CY43))</f>
        <v/>
      </c>
      <c r="CZ43">
        <f>IF(COUNTIFS(T_StockCount[RM_Code],$A43,T_StockCount[WeekIndex],103)&gt;0,SUMIFS(T_StockCount[CountedQty],T_StockCount[RM_Code],$A43,T_StockCount[WeekIndex],103),IF((COUNTIFS(T_SelfStock[RM_Code],$A43,T_SelfStock[WeekIndex],103)&gt;0)*(COUNTIFS(T_TTAFStock[RM_Code],$A43,T_TTAFStock[WeekIndex],103)&gt;0)&gt;0,SUMIFS(T_SelfStock[Self_Qty],T_SelfStock[RM_Code],$A43,T_SelfStock[WeekIndex],103)+SUMIFS(T_TTAFStock[TTAF_Qty],T_TTAFStock[RM_Code],$A43,T_TTAFStock[WeekIndex],103),CY43+'Grid_Incoming'!CZ43-'Grid_Requirement'!CZ43))</f>
        <v/>
      </c>
      <c r="DA43">
        <f>IF(COUNTIFS(T_StockCount[RM_Code],$A43,T_StockCount[WeekIndex],104)&gt;0,SUMIFS(T_StockCount[CountedQty],T_StockCount[RM_Code],$A43,T_StockCount[WeekIndex],104),IF((COUNTIFS(T_SelfStock[RM_Code],$A43,T_SelfStock[WeekIndex],104)&gt;0)*(COUNTIFS(T_TTAFStock[RM_Code],$A43,T_TTAFStock[WeekIndex],104)&gt;0)&gt;0,SUMIFS(T_SelfStock[Self_Qty],T_SelfStock[RM_Code],$A43,T_SelfStock[WeekIndex],104)+SUMIFS(T_TTAFStock[TTAF_Qty],T_TTAFStock[RM_Code],$A43,T_TTAFStock[WeekIndex],104),CZ43+'Grid_Incoming'!DA43-'Grid_Requirement'!DA43))</f>
        <v/>
      </c>
    </row>
    <row r="44">
      <c r="A44" t="inlineStr">
        <is>
          <t>CHEM-1120</t>
        </is>
      </c>
      <c r="B44">
        <f>IF(COUNTIFS(T_StockCount[RM_Code],$A44,T_StockCount[WeekIndex],1)&gt;0,SUMIFS(T_StockCount[CountedQty],T_StockCount[RM_Code],$A44,T_StockCount[WeekIndex],1),IF((COUNTIFS(T_SelfStock[RM_Code],$A44,T_SelfStock[WeekIndex],1)&gt;0)*(COUNTIFS(T_TTAFStock[RM_Code],$A44,T_TTAFStock[WeekIndex],1)&gt;0)&gt;0,SUMIFS(T_SelfStock[Self_Qty],T_SelfStock[RM_Code],$A44,T_SelfStock[WeekIndex],1)+SUMIFS(T_TTAFStock[TTAF_Qty],T_TTAFStock[RM_Code],$A44,T_TTAFStock[WeekIndex],1),IFERROR(INDEX(T_OpeningStock[Opening_Qty],MATCH($A44,T_OpeningStock[RM_Code],0)),0)+'Grid_Incoming'!B44-'Grid_Requirement'!B44))</f>
        <v/>
      </c>
      <c r="C44">
        <f>IF(COUNTIFS(T_StockCount[RM_Code],$A44,T_StockCount[WeekIndex],2)&gt;0,SUMIFS(T_StockCount[CountedQty],T_StockCount[RM_Code],$A44,T_StockCount[WeekIndex],2),IF((COUNTIFS(T_SelfStock[RM_Code],$A44,T_SelfStock[WeekIndex],2)&gt;0)*(COUNTIFS(T_TTAFStock[RM_Code],$A44,T_TTAFStock[WeekIndex],2)&gt;0)&gt;0,SUMIFS(T_SelfStock[Self_Qty],T_SelfStock[RM_Code],$A44,T_SelfStock[WeekIndex],2)+SUMIFS(T_TTAFStock[TTAF_Qty],T_TTAFStock[RM_Code],$A44,T_TTAFStock[WeekIndex],2),B44+'Grid_Incoming'!C44-'Grid_Requirement'!C44))</f>
        <v/>
      </c>
      <c r="D44">
        <f>IF(COUNTIFS(T_StockCount[RM_Code],$A44,T_StockCount[WeekIndex],3)&gt;0,SUMIFS(T_StockCount[CountedQty],T_StockCount[RM_Code],$A44,T_StockCount[WeekIndex],3),IF((COUNTIFS(T_SelfStock[RM_Code],$A44,T_SelfStock[WeekIndex],3)&gt;0)*(COUNTIFS(T_TTAFStock[RM_Code],$A44,T_TTAFStock[WeekIndex],3)&gt;0)&gt;0,SUMIFS(T_SelfStock[Self_Qty],T_SelfStock[RM_Code],$A44,T_SelfStock[WeekIndex],3)+SUMIFS(T_TTAFStock[TTAF_Qty],T_TTAFStock[RM_Code],$A44,T_TTAFStock[WeekIndex],3),C44+'Grid_Incoming'!D44-'Grid_Requirement'!D44))</f>
        <v/>
      </c>
      <c r="E44">
        <f>IF(COUNTIFS(T_StockCount[RM_Code],$A44,T_StockCount[WeekIndex],4)&gt;0,SUMIFS(T_StockCount[CountedQty],T_StockCount[RM_Code],$A44,T_StockCount[WeekIndex],4),IF((COUNTIFS(T_SelfStock[RM_Code],$A44,T_SelfStock[WeekIndex],4)&gt;0)*(COUNTIFS(T_TTAFStock[RM_Code],$A44,T_TTAFStock[WeekIndex],4)&gt;0)&gt;0,SUMIFS(T_SelfStock[Self_Qty],T_SelfStock[RM_Code],$A44,T_SelfStock[WeekIndex],4)+SUMIFS(T_TTAFStock[TTAF_Qty],T_TTAFStock[RM_Code],$A44,T_TTAFStock[WeekIndex],4),D44+'Grid_Incoming'!E44-'Grid_Requirement'!E44))</f>
        <v/>
      </c>
      <c r="F44">
        <f>IF(COUNTIFS(T_StockCount[RM_Code],$A44,T_StockCount[WeekIndex],5)&gt;0,SUMIFS(T_StockCount[CountedQty],T_StockCount[RM_Code],$A44,T_StockCount[WeekIndex],5),IF((COUNTIFS(T_SelfStock[RM_Code],$A44,T_SelfStock[WeekIndex],5)&gt;0)*(COUNTIFS(T_TTAFStock[RM_Code],$A44,T_TTAFStock[WeekIndex],5)&gt;0)&gt;0,SUMIFS(T_SelfStock[Self_Qty],T_SelfStock[RM_Code],$A44,T_SelfStock[WeekIndex],5)+SUMIFS(T_TTAFStock[TTAF_Qty],T_TTAFStock[RM_Code],$A44,T_TTAFStock[WeekIndex],5),E44+'Grid_Incoming'!F44-'Grid_Requirement'!F44))</f>
        <v/>
      </c>
      <c r="G44">
        <f>IF(COUNTIFS(T_StockCount[RM_Code],$A44,T_StockCount[WeekIndex],6)&gt;0,SUMIFS(T_StockCount[CountedQty],T_StockCount[RM_Code],$A44,T_StockCount[WeekIndex],6),IF((COUNTIFS(T_SelfStock[RM_Code],$A44,T_SelfStock[WeekIndex],6)&gt;0)*(COUNTIFS(T_TTAFStock[RM_Code],$A44,T_TTAFStock[WeekIndex],6)&gt;0)&gt;0,SUMIFS(T_SelfStock[Self_Qty],T_SelfStock[RM_Code],$A44,T_SelfStock[WeekIndex],6)+SUMIFS(T_TTAFStock[TTAF_Qty],T_TTAFStock[RM_Code],$A44,T_TTAFStock[WeekIndex],6),F44+'Grid_Incoming'!G44-'Grid_Requirement'!G44))</f>
        <v/>
      </c>
      <c r="H44">
        <f>IF(COUNTIFS(T_StockCount[RM_Code],$A44,T_StockCount[WeekIndex],7)&gt;0,SUMIFS(T_StockCount[CountedQty],T_StockCount[RM_Code],$A44,T_StockCount[WeekIndex],7),IF((COUNTIFS(T_SelfStock[RM_Code],$A44,T_SelfStock[WeekIndex],7)&gt;0)*(COUNTIFS(T_TTAFStock[RM_Code],$A44,T_TTAFStock[WeekIndex],7)&gt;0)&gt;0,SUMIFS(T_SelfStock[Self_Qty],T_SelfStock[RM_Code],$A44,T_SelfStock[WeekIndex],7)+SUMIFS(T_TTAFStock[TTAF_Qty],T_TTAFStock[RM_Code],$A44,T_TTAFStock[WeekIndex],7),G44+'Grid_Incoming'!H44-'Grid_Requirement'!H44))</f>
        <v/>
      </c>
      <c r="I44">
        <f>IF(COUNTIFS(T_StockCount[RM_Code],$A44,T_StockCount[WeekIndex],8)&gt;0,SUMIFS(T_StockCount[CountedQty],T_StockCount[RM_Code],$A44,T_StockCount[WeekIndex],8),IF((COUNTIFS(T_SelfStock[RM_Code],$A44,T_SelfStock[WeekIndex],8)&gt;0)*(COUNTIFS(T_TTAFStock[RM_Code],$A44,T_TTAFStock[WeekIndex],8)&gt;0)&gt;0,SUMIFS(T_SelfStock[Self_Qty],T_SelfStock[RM_Code],$A44,T_SelfStock[WeekIndex],8)+SUMIFS(T_TTAFStock[TTAF_Qty],T_TTAFStock[RM_Code],$A44,T_TTAFStock[WeekIndex],8),H44+'Grid_Incoming'!I44-'Grid_Requirement'!I44))</f>
        <v/>
      </c>
      <c r="J44">
        <f>IF(COUNTIFS(T_StockCount[RM_Code],$A44,T_StockCount[WeekIndex],9)&gt;0,SUMIFS(T_StockCount[CountedQty],T_StockCount[RM_Code],$A44,T_StockCount[WeekIndex],9),IF((COUNTIFS(T_SelfStock[RM_Code],$A44,T_SelfStock[WeekIndex],9)&gt;0)*(COUNTIFS(T_TTAFStock[RM_Code],$A44,T_TTAFStock[WeekIndex],9)&gt;0)&gt;0,SUMIFS(T_SelfStock[Self_Qty],T_SelfStock[RM_Code],$A44,T_SelfStock[WeekIndex],9)+SUMIFS(T_TTAFStock[TTAF_Qty],T_TTAFStock[RM_Code],$A44,T_TTAFStock[WeekIndex],9),I44+'Grid_Incoming'!J44-'Grid_Requirement'!J44))</f>
        <v/>
      </c>
      <c r="K44">
        <f>IF(COUNTIFS(T_StockCount[RM_Code],$A44,T_StockCount[WeekIndex],10)&gt;0,SUMIFS(T_StockCount[CountedQty],T_StockCount[RM_Code],$A44,T_StockCount[WeekIndex],10),IF((COUNTIFS(T_SelfStock[RM_Code],$A44,T_SelfStock[WeekIndex],10)&gt;0)*(COUNTIFS(T_TTAFStock[RM_Code],$A44,T_TTAFStock[WeekIndex],10)&gt;0)&gt;0,SUMIFS(T_SelfStock[Self_Qty],T_SelfStock[RM_Code],$A44,T_SelfStock[WeekIndex],10)+SUMIFS(T_TTAFStock[TTAF_Qty],T_TTAFStock[RM_Code],$A44,T_TTAFStock[WeekIndex],10),J44+'Grid_Incoming'!K44-'Grid_Requirement'!K44))</f>
        <v/>
      </c>
      <c r="L44">
        <f>IF(COUNTIFS(T_StockCount[RM_Code],$A44,T_StockCount[WeekIndex],11)&gt;0,SUMIFS(T_StockCount[CountedQty],T_StockCount[RM_Code],$A44,T_StockCount[WeekIndex],11),IF((COUNTIFS(T_SelfStock[RM_Code],$A44,T_SelfStock[WeekIndex],11)&gt;0)*(COUNTIFS(T_TTAFStock[RM_Code],$A44,T_TTAFStock[WeekIndex],11)&gt;0)&gt;0,SUMIFS(T_SelfStock[Self_Qty],T_SelfStock[RM_Code],$A44,T_SelfStock[WeekIndex],11)+SUMIFS(T_TTAFStock[TTAF_Qty],T_TTAFStock[RM_Code],$A44,T_TTAFStock[WeekIndex],11),K44+'Grid_Incoming'!L44-'Grid_Requirement'!L44))</f>
        <v/>
      </c>
      <c r="M44">
        <f>IF(COUNTIFS(T_StockCount[RM_Code],$A44,T_StockCount[WeekIndex],12)&gt;0,SUMIFS(T_StockCount[CountedQty],T_StockCount[RM_Code],$A44,T_StockCount[WeekIndex],12),IF((COUNTIFS(T_SelfStock[RM_Code],$A44,T_SelfStock[WeekIndex],12)&gt;0)*(COUNTIFS(T_TTAFStock[RM_Code],$A44,T_TTAFStock[WeekIndex],12)&gt;0)&gt;0,SUMIFS(T_SelfStock[Self_Qty],T_SelfStock[RM_Code],$A44,T_SelfStock[WeekIndex],12)+SUMIFS(T_TTAFStock[TTAF_Qty],T_TTAFStock[RM_Code],$A44,T_TTAFStock[WeekIndex],12),L44+'Grid_Incoming'!M44-'Grid_Requirement'!M44))</f>
        <v/>
      </c>
      <c r="N44">
        <f>IF(COUNTIFS(T_StockCount[RM_Code],$A44,T_StockCount[WeekIndex],13)&gt;0,SUMIFS(T_StockCount[CountedQty],T_StockCount[RM_Code],$A44,T_StockCount[WeekIndex],13),IF((COUNTIFS(T_SelfStock[RM_Code],$A44,T_SelfStock[WeekIndex],13)&gt;0)*(COUNTIFS(T_TTAFStock[RM_Code],$A44,T_TTAFStock[WeekIndex],13)&gt;0)&gt;0,SUMIFS(T_SelfStock[Self_Qty],T_SelfStock[RM_Code],$A44,T_SelfStock[WeekIndex],13)+SUMIFS(T_TTAFStock[TTAF_Qty],T_TTAFStock[RM_Code],$A44,T_TTAFStock[WeekIndex],13),M44+'Grid_Incoming'!N44-'Grid_Requirement'!N44))</f>
        <v/>
      </c>
      <c r="O44">
        <f>IF(COUNTIFS(T_StockCount[RM_Code],$A44,T_StockCount[WeekIndex],14)&gt;0,SUMIFS(T_StockCount[CountedQty],T_StockCount[RM_Code],$A44,T_StockCount[WeekIndex],14),IF((COUNTIFS(T_SelfStock[RM_Code],$A44,T_SelfStock[WeekIndex],14)&gt;0)*(COUNTIFS(T_TTAFStock[RM_Code],$A44,T_TTAFStock[WeekIndex],14)&gt;0)&gt;0,SUMIFS(T_SelfStock[Self_Qty],T_SelfStock[RM_Code],$A44,T_SelfStock[WeekIndex],14)+SUMIFS(T_TTAFStock[TTAF_Qty],T_TTAFStock[RM_Code],$A44,T_TTAFStock[WeekIndex],14),N44+'Grid_Incoming'!O44-'Grid_Requirement'!O44))</f>
        <v/>
      </c>
      <c r="P44">
        <f>IF(COUNTIFS(T_StockCount[RM_Code],$A44,T_StockCount[WeekIndex],15)&gt;0,SUMIFS(T_StockCount[CountedQty],T_StockCount[RM_Code],$A44,T_StockCount[WeekIndex],15),IF((COUNTIFS(T_SelfStock[RM_Code],$A44,T_SelfStock[WeekIndex],15)&gt;0)*(COUNTIFS(T_TTAFStock[RM_Code],$A44,T_TTAFStock[WeekIndex],15)&gt;0)&gt;0,SUMIFS(T_SelfStock[Self_Qty],T_SelfStock[RM_Code],$A44,T_SelfStock[WeekIndex],15)+SUMIFS(T_TTAFStock[TTAF_Qty],T_TTAFStock[RM_Code],$A44,T_TTAFStock[WeekIndex],15),O44+'Grid_Incoming'!P44-'Grid_Requirement'!P44))</f>
        <v/>
      </c>
      <c r="Q44">
        <f>IF(COUNTIFS(T_StockCount[RM_Code],$A44,T_StockCount[WeekIndex],16)&gt;0,SUMIFS(T_StockCount[CountedQty],T_StockCount[RM_Code],$A44,T_StockCount[WeekIndex],16),IF((COUNTIFS(T_SelfStock[RM_Code],$A44,T_SelfStock[WeekIndex],16)&gt;0)*(COUNTIFS(T_TTAFStock[RM_Code],$A44,T_TTAFStock[WeekIndex],16)&gt;0)&gt;0,SUMIFS(T_SelfStock[Self_Qty],T_SelfStock[RM_Code],$A44,T_SelfStock[WeekIndex],16)+SUMIFS(T_TTAFStock[TTAF_Qty],T_TTAFStock[RM_Code],$A44,T_TTAFStock[WeekIndex],16),P44+'Grid_Incoming'!Q44-'Grid_Requirement'!Q44))</f>
        <v/>
      </c>
      <c r="R44">
        <f>IF(COUNTIFS(T_StockCount[RM_Code],$A44,T_StockCount[WeekIndex],17)&gt;0,SUMIFS(T_StockCount[CountedQty],T_StockCount[RM_Code],$A44,T_StockCount[WeekIndex],17),IF((COUNTIFS(T_SelfStock[RM_Code],$A44,T_SelfStock[WeekIndex],17)&gt;0)*(COUNTIFS(T_TTAFStock[RM_Code],$A44,T_TTAFStock[WeekIndex],17)&gt;0)&gt;0,SUMIFS(T_SelfStock[Self_Qty],T_SelfStock[RM_Code],$A44,T_SelfStock[WeekIndex],17)+SUMIFS(T_TTAFStock[TTAF_Qty],T_TTAFStock[RM_Code],$A44,T_TTAFStock[WeekIndex],17),Q44+'Grid_Incoming'!R44-'Grid_Requirement'!R44))</f>
        <v/>
      </c>
      <c r="S44">
        <f>IF(COUNTIFS(T_StockCount[RM_Code],$A44,T_StockCount[WeekIndex],18)&gt;0,SUMIFS(T_StockCount[CountedQty],T_StockCount[RM_Code],$A44,T_StockCount[WeekIndex],18),IF((COUNTIFS(T_SelfStock[RM_Code],$A44,T_SelfStock[WeekIndex],18)&gt;0)*(COUNTIFS(T_TTAFStock[RM_Code],$A44,T_TTAFStock[WeekIndex],18)&gt;0)&gt;0,SUMIFS(T_SelfStock[Self_Qty],T_SelfStock[RM_Code],$A44,T_SelfStock[WeekIndex],18)+SUMIFS(T_TTAFStock[TTAF_Qty],T_TTAFStock[RM_Code],$A44,T_TTAFStock[WeekIndex],18),R44+'Grid_Incoming'!S44-'Grid_Requirement'!S44))</f>
        <v/>
      </c>
      <c r="T44">
        <f>IF(COUNTIFS(T_StockCount[RM_Code],$A44,T_StockCount[WeekIndex],19)&gt;0,SUMIFS(T_StockCount[CountedQty],T_StockCount[RM_Code],$A44,T_StockCount[WeekIndex],19),IF((COUNTIFS(T_SelfStock[RM_Code],$A44,T_SelfStock[WeekIndex],19)&gt;0)*(COUNTIFS(T_TTAFStock[RM_Code],$A44,T_TTAFStock[WeekIndex],19)&gt;0)&gt;0,SUMIFS(T_SelfStock[Self_Qty],T_SelfStock[RM_Code],$A44,T_SelfStock[WeekIndex],19)+SUMIFS(T_TTAFStock[TTAF_Qty],T_TTAFStock[RM_Code],$A44,T_TTAFStock[WeekIndex],19),S44+'Grid_Incoming'!T44-'Grid_Requirement'!T44))</f>
        <v/>
      </c>
      <c r="U44">
        <f>IF(COUNTIFS(T_StockCount[RM_Code],$A44,T_StockCount[WeekIndex],20)&gt;0,SUMIFS(T_StockCount[CountedQty],T_StockCount[RM_Code],$A44,T_StockCount[WeekIndex],20),IF((COUNTIFS(T_SelfStock[RM_Code],$A44,T_SelfStock[WeekIndex],20)&gt;0)*(COUNTIFS(T_TTAFStock[RM_Code],$A44,T_TTAFStock[WeekIndex],20)&gt;0)&gt;0,SUMIFS(T_SelfStock[Self_Qty],T_SelfStock[RM_Code],$A44,T_SelfStock[WeekIndex],20)+SUMIFS(T_TTAFStock[TTAF_Qty],T_TTAFStock[RM_Code],$A44,T_TTAFStock[WeekIndex],20),T44+'Grid_Incoming'!U44-'Grid_Requirement'!U44))</f>
        <v/>
      </c>
      <c r="V44">
        <f>IF(COUNTIFS(T_StockCount[RM_Code],$A44,T_StockCount[WeekIndex],21)&gt;0,SUMIFS(T_StockCount[CountedQty],T_StockCount[RM_Code],$A44,T_StockCount[WeekIndex],21),IF((COUNTIFS(T_SelfStock[RM_Code],$A44,T_SelfStock[WeekIndex],21)&gt;0)*(COUNTIFS(T_TTAFStock[RM_Code],$A44,T_TTAFStock[WeekIndex],21)&gt;0)&gt;0,SUMIFS(T_SelfStock[Self_Qty],T_SelfStock[RM_Code],$A44,T_SelfStock[WeekIndex],21)+SUMIFS(T_TTAFStock[TTAF_Qty],T_TTAFStock[RM_Code],$A44,T_TTAFStock[WeekIndex],21),U44+'Grid_Incoming'!V44-'Grid_Requirement'!V44))</f>
        <v/>
      </c>
      <c r="W44">
        <f>IF(COUNTIFS(T_StockCount[RM_Code],$A44,T_StockCount[WeekIndex],22)&gt;0,SUMIFS(T_StockCount[CountedQty],T_StockCount[RM_Code],$A44,T_StockCount[WeekIndex],22),IF((COUNTIFS(T_SelfStock[RM_Code],$A44,T_SelfStock[WeekIndex],22)&gt;0)*(COUNTIFS(T_TTAFStock[RM_Code],$A44,T_TTAFStock[WeekIndex],22)&gt;0)&gt;0,SUMIFS(T_SelfStock[Self_Qty],T_SelfStock[RM_Code],$A44,T_SelfStock[WeekIndex],22)+SUMIFS(T_TTAFStock[TTAF_Qty],T_TTAFStock[RM_Code],$A44,T_TTAFStock[WeekIndex],22),V44+'Grid_Incoming'!W44-'Grid_Requirement'!W44))</f>
        <v/>
      </c>
      <c r="X44">
        <f>IF(COUNTIFS(T_StockCount[RM_Code],$A44,T_StockCount[WeekIndex],23)&gt;0,SUMIFS(T_StockCount[CountedQty],T_StockCount[RM_Code],$A44,T_StockCount[WeekIndex],23),IF((COUNTIFS(T_SelfStock[RM_Code],$A44,T_SelfStock[WeekIndex],23)&gt;0)*(COUNTIFS(T_TTAFStock[RM_Code],$A44,T_TTAFStock[WeekIndex],23)&gt;0)&gt;0,SUMIFS(T_SelfStock[Self_Qty],T_SelfStock[RM_Code],$A44,T_SelfStock[WeekIndex],23)+SUMIFS(T_TTAFStock[TTAF_Qty],T_TTAFStock[RM_Code],$A44,T_TTAFStock[WeekIndex],23),W44+'Grid_Incoming'!X44-'Grid_Requirement'!X44))</f>
        <v/>
      </c>
      <c r="Y44">
        <f>IF(COUNTIFS(T_StockCount[RM_Code],$A44,T_StockCount[WeekIndex],24)&gt;0,SUMIFS(T_StockCount[CountedQty],T_StockCount[RM_Code],$A44,T_StockCount[WeekIndex],24),IF((COUNTIFS(T_SelfStock[RM_Code],$A44,T_SelfStock[WeekIndex],24)&gt;0)*(COUNTIFS(T_TTAFStock[RM_Code],$A44,T_TTAFStock[WeekIndex],24)&gt;0)&gt;0,SUMIFS(T_SelfStock[Self_Qty],T_SelfStock[RM_Code],$A44,T_SelfStock[WeekIndex],24)+SUMIFS(T_TTAFStock[TTAF_Qty],T_TTAFStock[RM_Code],$A44,T_TTAFStock[WeekIndex],24),X44+'Grid_Incoming'!Y44-'Grid_Requirement'!Y44))</f>
        <v/>
      </c>
      <c r="Z44">
        <f>IF(COUNTIFS(T_StockCount[RM_Code],$A44,T_StockCount[WeekIndex],25)&gt;0,SUMIFS(T_StockCount[CountedQty],T_StockCount[RM_Code],$A44,T_StockCount[WeekIndex],25),IF((COUNTIFS(T_SelfStock[RM_Code],$A44,T_SelfStock[WeekIndex],25)&gt;0)*(COUNTIFS(T_TTAFStock[RM_Code],$A44,T_TTAFStock[WeekIndex],25)&gt;0)&gt;0,SUMIFS(T_SelfStock[Self_Qty],T_SelfStock[RM_Code],$A44,T_SelfStock[WeekIndex],25)+SUMIFS(T_TTAFStock[TTAF_Qty],T_TTAFStock[RM_Code],$A44,T_TTAFStock[WeekIndex],25),Y44+'Grid_Incoming'!Z44-'Grid_Requirement'!Z44))</f>
        <v/>
      </c>
      <c r="AA44">
        <f>IF(COUNTIFS(T_StockCount[RM_Code],$A44,T_StockCount[WeekIndex],26)&gt;0,SUMIFS(T_StockCount[CountedQty],T_StockCount[RM_Code],$A44,T_StockCount[WeekIndex],26),IF((COUNTIFS(T_SelfStock[RM_Code],$A44,T_SelfStock[WeekIndex],26)&gt;0)*(COUNTIFS(T_TTAFStock[RM_Code],$A44,T_TTAFStock[WeekIndex],26)&gt;0)&gt;0,SUMIFS(T_SelfStock[Self_Qty],T_SelfStock[RM_Code],$A44,T_SelfStock[WeekIndex],26)+SUMIFS(T_TTAFStock[TTAF_Qty],T_TTAFStock[RM_Code],$A44,T_TTAFStock[WeekIndex],26),Z44+'Grid_Incoming'!AA44-'Grid_Requirement'!AA44))</f>
        <v/>
      </c>
      <c r="AB44">
        <f>IF(COUNTIFS(T_StockCount[RM_Code],$A44,T_StockCount[WeekIndex],27)&gt;0,SUMIFS(T_StockCount[CountedQty],T_StockCount[RM_Code],$A44,T_StockCount[WeekIndex],27),IF((COUNTIFS(T_SelfStock[RM_Code],$A44,T_SelfStock[WeekIndex],27)&gt;0)*(COUNTIFS(T_TTAFStock[RM_Code],$A44,T_TTAFStock[WeekIndex],27)&gt;0)&gt;0,SUMIFS(T_SelfStock[Self_Qty],T_SelfStock[RM_Code],$A44,T_SelfStock[WeekIndex],27)+SUMIFS(T_TTAFStock[TTAF_Qty],T_TTAFStock[RM_Code],$A44,T_TTAFStock[WeekIndex],27),AA44+'Grid_Incoming'!AB44-'Grid_Requirement'!AB44))</f>
        <v/>
      </c>
      <c r="AC44">
        <f>IF(COUNTIFS(T_StockCount[RM_Code],$A44,T_StockCount[WeekIndex],28)&gt;0,SUMIFS(T_StockCount[CountedQty],T_StockCount[RM_Code],$A44,T_StockCount[WeekIndex],28),IF((COUNTIFS(T_SelfStock[RM_Code],$A44,T_SelfStock[WeekIndex],28)&gt;0)*(COUNTIFS(T_TTAFStock[RM_Code],$A44,T_TTAFStock[WeekIndex],28)&gt;0)&gt;0,SUMIFS(T_SelfStock[Self_Qty],T_SelfStock[RM_Code],$A44,T_SelfStock[WeekIndex],28)+SUMIFS(T_TTAFStock[TTAF_Qty],T_TTAFStock[RM_Code],$A44,T_TTAFStock[WeekIndex],28),AB44+'Grid_Incoming'!AC44-'Grid_Requirement'!AC44))</f>
        <v/>
      </c>
      <c r="AD44">
        <f>IF(COUNTIFS(T_StockCount[RM_Code],$A44,T_StockCount[WeekIndex],29)&gt;0,SUMIFS(T_StockCount[CountedQty],T_StockCount[RM_Code],$A44,T_StockCount[WeekIndex],29),IF((COUNTIFS(T_SelfStock[RM_Code],$A44,T_SelfStock[WeekIndex],29)&gt;0)*(COUNTIFS(T_TTAFStock[RM_Code],$A44,T_TTAFStock[WeekIndex],29)&gt;0)&gt;0,SUMIFS(T_SelfStock[Self_Qty],T_SelfStock[RM_Code],$A44,T_SelfStock[WeekIndex],29)+SUMIFS(T_TTAFStock[TTAF_Qty],T_TTAFStock[RM_Code],$A44,T_TTAFStock[WeekIndex],29),AC44+'Grid_Incoming'!AD44-'Grid_Requirement'!AD44))</f>
        <v/>
      </c>
      <c r="AE44">
        <f>IF(COUNTIFS(T_StockCount[RM_Code],$A44,T_StockCount[WeekIndex],30)&gt;0,SUMIFS(T_StockCount[CountedQty],T_StockCount[RM_Code],$A44,T_StockCount[WeekIndex],30),IF((COUNTIFS(T_SelfStock[RM_Code],$A44,T_SelfStock[WeekIndex],30)&gt;0)*(COUNTIFS(T_TTAFStock[RM_Code],$A44,T_TTAFStock[WeekIndex],30)&gt;0)&gt;0,SUMIFS(T_SelfStock[Self_Qty],T_SelfStock[RM_Code],$A44,T_SelfStock[WeekIndex],30)+SUMIFS(T_TTAFStock[TTAF_Qty],T_TTAFStock[RM_Code],$A44,T_TTAFStock[WeekIndex],30),AD44+'Grid_Incoming'!AE44-'Grid_Requirement'!AE44))</f>
        <v/>
      </c>
      <c r="AF44">
        <f>IF(COUNTIFS(T_StockCount[RM_Code],$A44,T_StockCount[WeekIndex],31)&gt;0,SUMIFS(T_StockCount[CountedQty],T_StockCount[RM_Code],$A44,T_StockCount[WeekIndex],31),IF((COUNTIFS(T_SelfStock[RM_Code],$A44,T_SelfStock[WeekIndex],31)&gt;0)*(COUNTIFS(T_TTAFStock[RM_Code],$A44,T_TTAFStock[WeekIndex],31)&gt;0)&gt;0,SUMIFS(T_SelfStock[Self_Qty],T_SelfStock[RM_Code],$A44,T_SelfStock[WeekIndex],31)+SUMIFS(T_TTAFStock[TTAF_Qty],T_TTAFStock[RM_Code],$A44,T_TTAFStock[WeekIndex],31),AE44+'Grid_Incoming'!AF44-'Grid_Requirement'!AF44))</f>
        <v/>
      </c>
      <c r="AG44">
        <f>IF(COUNTIFS(T_StockCount[RM_Code],$A44,T_StockCount[WeekIndex],32)&gt;0,SUMIFS(T_StockCount[CountedQty],T_StockCount[RM_Code],$A44,T_StockCount[WeekIndex],32),IF((COUNTIFS(T_SelfStock[RM_Code],$A44,T_SelfStock[WeekIndex],32)&gt;0)*(COUNTIFS(T_TTAFStock[RM_Code],$A44,T_TTAFStock[WeekIndex],32)&gt;0)&gt;0,SUMIFS(T_SelfStock[Self_Qty],T_SelfStock[RM_Code],$A44,T_SelfStock[WeekIndex],32)+SUMIFS(T_TTAFStock[TTAF_Qty],T_TTAFStock[RM_Code],$A44,T_TTAFStock[WeekIndex],32),AF44+'Grid_Incoming'!AG44-'Grid_Requirement'!AG44))</f>
        <v/>
      </c>
      <c r="AH44">
        <f>IF(COUNTIFS(T_StockCount[RM_Code],$A44,T_StockCount[WeekIndex],33)&gt;0,SUMIFS(T_StockCount[CountedQty],T_StockCount[RM_Code],$A44,T_StockCount[WeekIndex],33),IF((COUNTIFS(T_SelfStock[RM_Code],$A44,T_SelfStock[WeekIndex],33)&gt;0)*(COUNTIFS(T_TTAFStock[RM_Code],$A44,T_TTAFStock[WeekIndex],33)&gt;0)&gt;0,SUMIFS(T_SelfStock[Self_Qty],T_SelfStock[RM_Code],$A44,T_SelfStock[WeekIndex],33)+SUMIFS(T_TTAFStock[TTAF_Qty],T_TTAFStock[RM_Code],$A44,T_TTAFStock[WeekIndex],33),AG44+'Grid_Incoming'!AH44-'Grid_Requirement'!AH44))</f>
        <v/>
      </c>
      <c r="AI44">
        <f>IF(COUNTIFS(T_StockCount[RM_Code],$A44,T_StockCount[WeekIndex],34)&gt;0,SUMIFS(T_StockCount[CountedQty],T_StockCount[RM_Code],$A44,T_StockCount[WeekIndex],34),IF((COUNTIFS(T_SelfStock[RM_Code],$A44,T_SelfStock[WeekIndex],34)&gt;0)*(COUNTIFS(T_TTAFStock[RM_Code],$A44,T_TTAFStock[WeekIndex],34)&gt;0)&gt;0,SUMIFS(T_SelfStock[Self_Qty],T_SelfStock[RM_Code],$A44,T_SelfStock[WeekIndex],34)+SUMIFS(T_TTAFStock[TTAF_Qty],T_TTAFStock[RM_Code],$A44,T_TTAFStock[WeekIndex],34),AH44+'Grid_Incoming'!AI44-'Grid_Requirement'!AI44))</f>
        <v/>
      </c>
      <c r="AJ44">
        <f>IF(COUNTIFS(T_StockCount[RM_Code],$A44,T_StockCount[WeekIndex],35)&gt;0,SUMIFS(T_StockCount[CountedQty],T_StockCount[RM_Code],$A44,T_StockCount[WeekIndex],35),IF((COUNTIFS(T_SelfStock[RM_Code],$A44,T_SelfStock[WeekIndex],35)&gt;0)*(COUNTIFS(T_TTAFStock[RM_Code],$A44,T_TTAFStock[WeekIndex],35)&gt;0)&gt;0,SUMIFS(T_SelfStock[Self_Qty],T_SelfStock[RM_Code],$A44,T_SelfStock[WeekIndex],35)+SUMIFS(T_TTAFStock[TTAF_Qty],T_TTAFStock[RM_Code],$A44,T_TTAFStock[WeekIndex],35),AI44+'Grid_Incoming'!AJ44-'Grid_Requirement'!AJ44))</f>
        <v/>
      </c>
      <c r="AK44">
        <f>IF(COUNTIFS(T_StockCount[RM_Code],$A44,T_StockCount[WeekIndex],36)&gt;0,SUMIFS(T_StockCount[CountedQty],T_StockCount[RM_Code],$A44,T_StockCount[WeekIndex],36),IF((COUNTIFS(T_SelfStock[RM_Code],$A44,T_SelfStock[WeekIndex],36)&gt;0)*(COUNTIFS(T_TTAFStock[RM_Code],$A44,T_TTAFStock[WeekIndex],36)&gt;0)&gt;0,SUMIFS(T_SelfStock[Self_Qty],T_SelfStock[RM_Code],$A44,T_SelfStock[WeekIndex],36)+SUMIFS(T_TTAFStock[TTAF_Qty],T_TTAFStock[RM_Code],$A44,T_TTAFStock[WeekIndex],36),AJ44+'Grid_Incoming'!AK44-'Grid_Requirement'!AK44))</f>
        <v/>
      </c>
      <c r="AL44">
        <f>IF(COUNTIFS(T_StockCount[RM_Code],$A44,T_StockCount[WeekIndex],37)&gt;0,SUMIFS(T_StockCount[CountedQty],T_StockCount[RM_Code],$A44,T_StockCount[WeekIndex],37),IF((COUNTIFS(T_SelfStock[RM_Code],$A44,T_SelfStock[WeekIndex],37)&gt;0)*(COUNTIFS(T_TTAFStock[RM_Code],$A44,T_TTAFStock[WeekIndex],37)&gt;0)&gt;0,SUMIFS(T_SelfStock[Self_Qty],T_SelfStock[RM_Code],$A44,T_SelfStock[WeekIndex],37)+SUMIFS(T_TTAFStock[TTAF_Qty],T_TTAFStock[RM_Code],$A44,T_TTAFStock[WeekIndex],37),AK44+'Grid_Incoming'!AL44-'Grid_Requirement'!AL44))</f>
        <v/>
      </c>
      <c r="AM44">
        <f>IF(COUNTIFS(T_StockCount[RM_Code],$A44,T_StockCount[WeekIndex],38)&gt;0,SUMIFS(T_StockCount[CountedQty],T_StockCount[RM_Code],$A44,T_StockCount[WeekIndex],38),IF((COUNTIFS(T_SelfStock[RM_Code],$A44,T_SelfStock[WeekIndex],38)&gt;0)*(COUNTIFS(T_TTAFStock[RM_Code],$A44,T_TTAFStock[WeekIndex],38)&gt;0)&gt;0,SUMIFS(T_SelfStock[Self_Qty],T_SelfStock[RM_Code],$A44,T_SelfStock[WeekIndex],38)+SUMIFS(T_TTAFStock[TTAF_Qty],T_TTAFStock[RM_Code],$A44,T_TTAFStock[WeekIndex],38),AL44+'Grid_Incoming'!AM44-'Grid_Requirement'!AM44))</f>
        <v/>
      </c>
      <c r="AN44">
        <f>IF(COUNTIFS(T_StockCount[RM_Code],$A44,T_StockCount[WeekIndex],39)&gt;0,SUMIFS(T_StockCount[CountedQty],T_StockCount[RM_Code],$A44,T_StockCount[WeekIndex],39),IF((COUNTIFS(T_SelfStock[RM_Code],$A44,T_SelfStock[WeekIndex],39)&gt;0)*(COUNTIFS(T_TTAFStock[RM_Code],$A44,T_TTAFStock[WeekIndex],39)&gt;0)&gt;0,SUMIFS(T_SelfStock[Self_Qty],T_SelfStock[RM_Code],$A44,T_SelfStock[WeekIndex],39)+SUMIFS(T_TTAFStock[TTAF_Qty],T_TTAFStock[RM_Code],$A44,T_TTAFStock[WeekIndex],39),AM44+'Grid_Incoming'!AN44-'Grid_Requirement'!AN44))</f>
        <v/>
      </c>
      <c r="AO44">
        <f>IF(COUNTIFS(T_StockCount[RM_Code],$A44,T_StockCount[WeekIndex],40)&gt;0,SUMIFS(T_StockCount[CountedQty],T_StockCount[RM_Code],$A44,T_StockCount[WeekIndex],40),IF((COUNTIFS(T_SelfStock[RM_Code],$A44,T_SelfStock[WeekIndex],40)&gt;0)*(COUNTIFS(T_TTAFStock[RM_Code],$A44,T_TTAFStock[WeekIndex],40)&gt;0)&gt;0,SUMIFS(T_SelfStock[Self_Qty],T_SelfStock[RM_Code],$A44,T_SelfStock[WeekIndex],40)+SUMIFS(T_TTAFStock[TTAF_Qty],T_TTAFStock[RM_Code],$A44,T_TTAFStock[WeekIndex],40),AN44+'Grid_Incoming'!AO44-'Grid_Requirement'!AO44))</f>
        <v/>
      </c>
      <c r="AP44">
        <f>IF(COUNTIFS(T_StockCount[RM_Code],$A44,T_StockCount[WeekIndex],41)&gt;0,SUMIFS(T_StockCount[CountedQty],T_StockCount[RM_Code],$A44,T_StockCount[WeekIndex],41),IF((COUNTIFS(T_SelfStock[RM_Code],$A44,T_SelfStock[WeekIndex],41)&gt;0)*(COUNTIFS(T_TTAFStock[RM_Code],$A44,T_TTAFStock[WeekIndex],41)&gt;0)&gt;0,SUMIFS(T_SelfStock[Self_Qty],T_SelfStock[RM_Code],$A44,T_SelfStock[WeekIndex],41)+SUMIFS(T_TTAFStock[TTAF_Qty],T_TTAFStock[RM_Code],$A44,T_TTAFStock[WeekIndex],41),AO44+'Grid_Incoming'!AP44-'Grid_Requirement'!AP44))</f>
        <v/>
      </c>
      <c r="AQ44">
        <f>IF(COUNTIFS(T_StockCount[RM_Code],$A44,T_StockCount[WeekIndex],42)&gt;0,SUMIFS(T_StockCount[CountedQty],T_StockCount[RM_Code],$A44,T_StockCount[WeekIndex],42),IF((COUNTIFS(T_SelfStock[RM_Code],$A44,T_SelfStock[WeekIndex],42)&gt;0)*(COUNTIFS(T_TTAFStock[RM_Code],$A44,T_TTAFStock[WeekIndex],42)&gt;0)&gt;0,SUMIFS(T_SelfStock[Self_Qty],T_SelfStock[RM_Code],$A44,T_SelfStock[WeekIndex],42)+SUMIFS(T_TTAFStock[TTAF_Qty],T_TTAFStock[RM_Code],$A44,T_TTAFStock[WeekIndex],42),AP44+'Grid_Incoming'!AQ44-'Grid_Requirement'!AQ44))</f>
        <v/>
      </c>
      <c r="AR44">
        <f>IF(COUNTIFS(T_StockCount[RM_Code],$A44,T_StockCount[WeekIndex],43)&gt;0,SUMIFS(T_StockCount[CountedQty],T_StockCount[RM_Code],$A44,T_StockCount[WeekIndex],43),IF((COUNTIFS(T_SelfStock[RM_Code],$A44,T_SelfStock[WeekIndex],43)&gt;0)*(COUNTIFS(T_TTAFStock[RM_Code],$A44,T_TTAFStock[WeekIndex],43)&gt;0)&gt;0,SUMIFS(T_SelfStock[Self_Qty],T_SelfStock[RM_Code],$A44,T_SelfStock[WeekIndex],43)+SUMIFS(T_TTAFStock[TTAF_Qty],T_TTAFStock[RM_Code],$A44,T_TTAFStock[WeekIndex],43),AQ44+'Grid_Incoming'!AR44-'Grid_Requirement'!AR44))</f>
        <v/>
      </c>
      <c r="AS44">
        <f>IF(COUNTIFS(T_StockCount[RM_Code],$A44,T_StockCount[WeekIndex],44)&gt;0,SUMIFS(T_StockCount[CountedQty],T_StockCount[RM_Code],$A44,T_StockCount[WeekIndex],44),IF((COUNTIFS(T_SelfStock[RM_Code],$A44,T_SelfStock[WeekIndex],44)&gt;0)*(COUNTIFS(T_TTAFStock[RM_Code],$A44,T_TTAFStock[WeekIndex],44)&gt;0)&gt;0,SUMIFS(T_SelfStock[Self_Qty],T_SelfStock[RM_Code],$A44,T_SelfStock[WeekIndex],44)+SUMIFS(T_TTAFStock[TTAF_Qty],T_TTAFStock[RM_Code],$A44,T_TTAFStock[WeekIndex],44),AR44+'Grid_Incoming'!AS44-'Grid_Requirement'!AS44))</f>
        <v/>
      </c>
      <c r="AT44">
        <f>IF(COUNTIFS(T_StockCount[RM_Code],$A44,T_StockCount[WeekIndex],45)&gt;0,SUMIFS(T_StockCount[CountedQty],T_StockCount[RM_Code],$A44,T_StockCount[WeekIndex],45),IF((COUNTIFS(T_SelfStock[RM_Code],$A44,T_SelfStock[WeekIndex],45)&gt;0)*(COUNTIFS(T_TTAFStock[RM_Code],$A44,T_TTAFStock[WeekIndex],45)&gt;0)&gt;0,SUMIFS(T_SelfStock[Self_Qty],T_SelfStock[RM_Code],$A44,T_SelfStock[WeekIndex],45)+SUMIFS(T_TTAFStock[TTAF_Qty],T_TTAFStock[RM_Code],$A44,T_TTAFStock[WeekIndex],45),AS44+'Grid_Incoming'!AT44-'Grid_Requirement'!AT44))</f>
        <v/>
      </c>
      <c r="AU44">
        <f>IF(COUNTIFS(T_StockCount[RM_Code],$A44,T_StockCount[WeekIndex],46)&gt;0,SUMIFS(T_StockCount[CountedQty],T_StockCount[RM_Code],$A44,T_StockCount[WeekIndex],46),IF((COUNTIFS(T_SelfStock[RM_Code],$A44,T_SelfStock[WeekIndex],46)&gt;0)*(COUNTIFS(T_TTAFStock[RM_Code],$A44,T_TTAFStock[WeekIndex],46)&gt;0)&gt;0,SUMIFS(T_SelfStock[Self_Qty],T_SelfStock[RM_Code],$A44,T_SelfStock[WeekIndex],46)+SUMIFS(T_TTAFStock[TTAF_Qty],T_TTAFStock[RM_Code],$A44,T_TTAFStock[WeekIndex],46),AT44+'Grid_Incoming'!AU44-'Grid_Requirement'!AU44))</f>
        <v/>
      </c>
      <c r="AV44">
        <f>IF(COUNTIFS(T_StockCount[RM_Code],$A44,T_StockCount[WeekIndex],47)&gt;0,SUMIFS(T_StockCount[CountedQty],T_StockCount[RM_Code],$A44,T_StockCount[WeekIndex],47),IF((COUNTIFS(T_SelfStock[RM_Code],$A44,T_SelfStock[WeekIndex],47)&gt;0)*(COUNTIFS(T_TTAFStock[RM_Code],$A44,T_TTAFStock[WeekIndex],47)&gt;0)&gt;0,SUMIFS(T_SelfStock[Self_Qty],T_SelfStock[RM_Code],$A44,T_SelfStock[WeekIndex],47)+SUMIFS(T_TTAFStock[TTAF_Qty],T_TTAFStock[RM_Code],$A44,T_TTAFStock[WeekIndex],47),AU44+'Grid_Incoming'!AV44-'Grid_Requirement'!AV44))</f>
        <v/>
      </c>
      <c r="AW44">
        <f>IF(COUNTIFS(T_StockCount[RM_Code],$A44,T_StockCount[WeekIndex],48)&gt;0,SUMIFS(T_StockCount[CountedQty],T_StockCount[RM_Code],$A44,T_StockCount[WeekIndex],48),IF((COUNTIFS(T_SelfStock[RM_Code],$A44,T_SelfStock[WeekIndex],48)&gt;0)*(COUNTIFS(T_TTAFStock[RM_Code],$A44,T_TTAFStock[WeekIndex],48)&gt;0)&gt;0,SUMIFS(T_SelfStock[Self_Qty],T_SelfStock[RM_Code],$A44,T_SelfStock[WeekIndex],48)+SUMIFS(T_TTAFStock[TTAF_Qty],T_TTAFStock[RM_Code],$A44,T_TTAFStock[WeekIndex],48),AV44+'Grid_Incoming'!AW44-'Grid_Requirement'!AW44))</f>
        <v/>
      </c>
      <c r="AX44">
        <f>IF(COUNTIFS(T_StockCount[RM_Code],$A44,T_StockCount[WeekIndex],49)&gt;0,SUMIFS(T_StockCount[CountedQty],T_StockCount[RM_Code],$A44,T_StockCount[WeekIndex],49),IF((COUNTIFS(T_SelfStock[RM_Code],$A44,T_SelfStock[WeekIndex],49)&gt;0)*(COUNTIFS(T_TTAFStock[RM_Code],$A44,T_TTAFStock[WeekIndex],49)&gt;0)&gt;0,SUMIFS(T_SelfStock[Self_Qty],T_SelfStock[RM_Code],$A44,T_SelfStock[WeekIndex],49)+SUMIFS(T_TTAFStock[TTAF_Qty],T_TTAFStock[RM_Code],$A44,T_TTAFStock[WeekIndex],49),AW44+'Grid_Incoming'!AX44-'Grid_Requirement'!AX44))</f>
        <v/>
      </c>
      <c r="AY44">
        <f>IF(COUNTIFS(T_StockCount[RM_Code],$A44,T_StockCount[WeekIndex],50)&gt;0,SUMIFS(T_StockCount[CountedQty],T_StockCount[RM_Code],$A44,T_StockCount[WeekIndex],50),IF((COUNTIFS(T_SelfStock[RM_Code],$A44,T_SelfStock[WeekIndex],50)&gt;0)*(COUNTIFS(T_TTAFStock[RM_Code],$A44,T_TTAFStock[WeekIndex],50)&gt;0)&gt;0,SUMIFS(T_SelfStock[Self_Qty],T_SelfStock[RM_Code],$A44,T_SelfStock[WeekIndex],50)+SUMIFS(T_TTAFStock[TTAF_Qty],T_TTAFStock[RM_Code],$A44,T_TTAFStock[WeekIndex],50),AX44+'Grid_Incoming'!AY44-'Grid_Requirement'!AY44))</f>
        <v/>
      </c>
      <c r="AZ44">
        <f>IF(COUNTIFS(T_StockCount[RM_Code],$A44,T_StockCount[WeekIndex],51)&gt;0,SUMIFS(T_StockCount[CountedQty],T_StockCount[RM_Code],$A44,T_StockCount[WeekIndex],51),IF((COUNTIFS(T_SelfStock[RM_Code],$A44,T_SelfStock[WeekIndex],51)&gt;0)*(COUNTIFS(T_TTAFStock[RM_Code],$A44,T_TTAFStock[WeekIndex],51)&gt;0)&gt;0,SUMIFS(T_SelfStock[Self_Qty],T_SelfStock[RM_Code],$A44,T_SelfStock[WeekIndex],51)+SUMIFS(T_TTAFStock[TTAF_Qty],T_TTAFStock[RM_Code],$A44,T_TTAFStock[WeekIndex],51),AY44+'Grid_Incoming'!AZ44-'Grid_Requirement'!AZ44))</f>
        <v/>
      </c>
      <c r="BA44">
        <f>IF(COUNTIFS(T_StockCount[RM_Code],$A44,T_StockCount[WeekIndex],52)&gt;0,SUMIFS(T_StockCount[CountedQty],T_StockCount[RM_Code],$A44,T_StockCount[WeekIndex],52),IF((COUNTIFS(T_SelfStock[RM_Code],$A44,T_SelfStock[WeekIndex],52)&gt;0)*(COUNTIFS(T_TTAFStock[RM_Code],$A44,T_TTAFStock[WeekIndex],52)&gt;0)&gt;0,SUMIFS(T_SelfStock[Self_Qty],T_SelfStock[RM_Code],$A44,T_SelfStock[WeekIndex],52)+SUMIFS(T_TTAFStock[TTAF_Qty],T_TTAFStock[RM_Code],$A44,T_TTAFStock[WeekIndex],52),AZ44+'Grid_Incoming'!BA44-'Grid_Requirement'!BA44))</f>
        <v/>
      </c>
      <c r="BB44">
        <f>IF(COUNTIFS(T_StockCount[RM_Code],$A44,T_StockCount[WeekIndex],53)&gt;0,SUMIFS(T_StockCount[CountedQty],T_StockCount[RM_Code],$A44,T_StockCount[WeekIndex],53),IF((COUNTIFS(T_SelfStock[RM_Code],$A44,T_SelfStock[WeekIndex],53)&gt;0)*(COUNTIFS(T_TTAFStock[RM_Code],$A44,T_TTAFStock[WeekIndex],53)&gt;0)&gt;0,SUMIFS(T_SelfStock[Self_Qty],T_SelfStock[RM_Code],$A44,T_SelfStock[WeekIndex],53)+SUMIFS(T_TTAFStock[TTAF_Qty],T_TTAFStock[RM_Code],$A44,T_TTAFStock[WeekIndex],53),BA44+'Grid_Incoming'!BB44-'Grid_Requirement'!BB44))</f>
        <v/>
      </c>
      <c r="BC44">
        <f>IF(COUNTIFS(T_StockCount[RM_Code],$A44,T_StockCount[WeekIndex],54)&gt;0,SUMIFS(T_StockCount[CountedQty],T_StockCount[RM_Code],$A44,T_StockCount[WeekIndex],54),IF((COUNTIFS(T_SelfStock[RM_Code],$A44,T_SelfStock[WeekIndex],54)&gt;0)*(COUNTIFS(T_TTAFStock[RM_Code],$A44,T_TTAFStock[WeekIndex],54)&gt;0)&gt;0,SUMIFS(T_SelfStock[Self_Qty],T_SelfStock[RM_Code],$A44,T_SelfStock[WeekIndex],54)+SUMIFS(T_TTAFStock[TTAF_Qty],T_TTAFStock[RM_Code],$A44,T_TTAFStock[WeekIndex],54),BB44+'Grid_Incoming'!BC44-'Grid_Requirement'!BC44))</f>
        <v/>
      </c>
      <c r="BD44">
        <f>IF(COUNTIFS(T_StockCount[RM_Code],$A44,T_StockCount[WeekIndex],55)&gt;0,SUMIFS(T_StockCount[CountedQty],T_StockCount[RM_Code],$A44,T_StockCount[WeekIndex],55),IF((COUNTIFS(T_SelfStock[RM_Code],$A44,T_SelfStock[WeekIndex],55)&gt;0)*(COUNTIFS(T_TTAFStock[RM_Code],$A44,T_TTAFStock[WeekIndex],55)&gt;0)&gt;0,SUMIFS(T_SelfStock[Self_Qty],T_SelfStock[RM_Code],$A44,T_SelfStock[WeekIndex],55)+SUMIFS(T_TTAFStock[TTAF_Qty],T_TTAFStock[RM_Code],$A44,T_TTAFStock[WeekIndex],55),BC44+'Grid_Incoming'!BD44-'Grid_Requirement'!BD44))</f>
        <v/>
      </c>
      <c r="BE44">
        <f>IF(COUNTIFS(T_StockCount[RM_Code],$A44,T_StockCount[WeekIndex],56)&gt;0,SUMIFS(T_StockCount[CountedQty],T_StockCount[RM_Code],$A44,T_StockCount[WeekIndex],56),IF((COUNTIFS(T_SelfStock[RM_Code],$A44,T_SelfStock[WeekIndex],56)&gt;0)*(COUNTIFS(T_TTAFStock[RM_Code],$A44,T_TTAFStock[WeekIndex],56)&gt;0)&gt;0,SUMIFS(T_SelfStock[Self_Qty],T_SelfStock[RM_Code],$A44,T_SelfStock[WeekIndex],56)+SUMIFS(T_TTAFStock[TTAF_Qty],T_TTAFStock[RM_Code],$A44,T_TTAFStock[WeekIndex],56),BD44+'Grid_Incoming'!BE44-'Grid_Requirement'!BE44))</f>
        <v/>
      </c>
      <c r="BF44">
        <f>IF(COUNTIFS(T_StockCount[RM_Code],$A44,T_StockCount[WeekIndex],57)&gt;0,SUMIFS(T_StockCount[CountedQty],T_StockCount[RM_Code],$A44,T_StockCount[WeekIndex],57),IF((COUNTIFS(T_SelfStock[RM_Code],$A44,T_SelfStock[WeekIndex],57)&gt;0)*(COUNTIFS(T_TTAFStock[RM_Code],$A44,T_TTAFStock[WeekIndex],57)&gt;0)&gt;0,SUMIFS(T_SelfStock[Self_Qty],T_SelfStock[RM_Code],$A44,T_SelfStock[WeekIndex],57)+SUMIFS(T_TTAFStock[TTAF_Qty],T_TTAFStock[RM_Code],$A44,T_TTAFStock[WeekIndex],57),BE44+'Grid_Incoming'!BF44-'Grid_Requirement'!BF44))</f>
        <v/>
      </c>
      <c r="BG44">
        <f>IF(COUNTIFS(T_StockCount[RM_Code],$A44,T_StockCount[WeekIndex],58)&gt;0,SUMIFS(T_StockCount[CountedQty],T_StockCount[RM_Code],$A44,T_StockCount[WeekIndex],58),IF((COUNTIFS(T_SelfStock[RM_Code],$A44,T_SelfStock[WeekIndex],58)&gt;0)*(COUNTIFS(T_TTAFStock[RM_Code],$A44,T_TTAFStock[WeekIndex],58)&gt;0)&gt;0,SUMIFS(T_SelfStock[Self_Qty],T_SelfStock[RM_Code],$A44,T_SelfStock[WeekIndex],58)+SUMIFS(T_TTAFStock[TTAF_Qty],T_TTAFStock[RM_Code],$A44,T_TTAFStock[WeekIndex],58),BF44+'Grid_Incoming'!BG44-'Grid_Requirement'!BG44))</f>
        <v/>
      </c>
      <c r="BH44">
        <f>IF(COUNTIFS(T_StockCount[RM_Code],$A44,T_StockCount[WeekIndex],59)&gt;0,SUMIFS(T_StockCount[CountedQty],T_StockCount[RM_Code],$A44,T_StockCount[WeekIndex],59),IF((COUNTIFS(T_SelfStock[RM_Code],$A44,T_SelfStock[WeekIndex],59)&gt;0)*(COUNTIFS(T_TTAFStock[RM_Code],$A44,T_TTAFStock[WeekIndex],59)&gt;0)&gt;0,SUMIFS(T_SelfStock[Self_Qty],T_SelfStock[RM_Code],$A44,T_SelfStock[WeekIndex],59)+SUMIFS(T_TTAFStock[TTAF_Qty],T_TTAFStock[RM_Code],$A44,T_TTAFStock[WeekIndex],59),BG44+'Grid_Incoming'!BH44-'Grid_Requirement'!BH44))</f>
        <v/>
      </c>
      <c r="BI44">
        <f>IF(COUNTIFS(T_StockCount[RM_Code],$A44,T_StockCount[WeekIndex],60)&gt;0,SUMIFS(T_StockCount[CountedQty],T_StockCount[RM_Code],$A44,T_StockCount[WeekIndex],60),IF((COUNTIFS(T_SelfStock[RM_Code],$A44,T_SelfStock[WeekIndex],60)&gt;0)*(COUNTIFS(T_TTAFStock[RM_Code],$A44,T_TTAFStock[WeekIndex],60)&gt;0)&gt;0,SUMIFS(T_SelfStock[Self_Qty],T_SelfStock[RM_Code],$A44,T_SelfStock[WeekIndex],60)+SUMIFS(T_TTAFStock[TTAF_Qty],T_TTAFStock[RM_Code],$A44,T_TTAFStock[WeekIndex],60),BH44+'Grid_Incoming'!BI44-'Grid_Requirement'!BI44))</f>
        <v/>
      </c>
      <c r="BJ44">
        <f>IF(COUNTIFS(T_StockCount[RM_Code],$A44,T_StockCount[WeekIndex],61)&gt;0,SUMIFS(T_StockCount[CountedQty],T_StockCount[RM_Code],$A44,T_StockCount[WeekIndex],61),IF((COUNTIFS(T_SelfStock[RM_Code],$A44,T_SelfStock[WeekIndex],61)&gt;0)*(COUNTIFS(T_TTAFStock[RM_Code],$A44,T_TTAFStock[WeekIndex],61)&gt;0)&gt;0,SUMIFS(T_SelfStock[Self_Qty],T_SelfStock[RM_Code],$A44,T_SelfStock[WeekIndex],61)+SUMIFS(T_TTAFStock[TTAF_Qty],T_TTAFStock[RM_Code],$A44,T_TTAFStock[WeekIndex],61),BI44+'Grid_Incoming'!BJ44-'Grid_Requirement'!BJ44))</f>
        <v/>
      </c>
      <c r="BK44">
        <f>IF(COUNTIFS(T_StockCount[RM_Code],$A44,T_StockCount[WeekIndex],62)&gt;0,SUMIFS(T_StockCount[CountedQty],T_StockCount[RM_Code],$A44,T_StockCount[WeekIndex],62),IF((COUNTIFS(T_SelfStock[RM_Code],$A44,T_SelfStock[WeekIndex],62)&gt;0)*(COUNTIFS(T_TTAFStock[RM_Code],$A44,T_TTAFStock[WeekIndex],62)&gt;0)&gt;0,SUMIFS(T_SelfStock[Self_Qty],T_SelfStock[RM_Code],$A44,T_SelfStock[WeekIndex],62)+SUMIFS(T_TTAFStock[TTAF_Qty],T_TTAFStock[RM_Code],$A44,T_TTAFStock[WeekIndex],62),BJ44+'Grid_Incoming'!BK44-'Grid_Requirement'!BK44))</f>
        <v/>
      </c>
      <c r="BL44">
        <f>IF(COUNTIFS(T_StockCount[RM_Code],$A44,T_StockCount[WeekIndex],63)&gt;0,SUMIFS(T_StockCount[CountedQty],T_StockCount[RM_Code],$A44,T_StockCount[WeekIndex],63),IF((COUNTIFS(T_SelfStock[RM_Code],$A44,T_SelfStock[WeekIndex],63)&gt;0)*(COUNTIFS(T_TTAFStock[RM_Code],$A44,T_TTAFStock[WeekIndex],63)&gt;0)&gt;0,SUMIFS(T_SelfStock[Self_Qty],T_SelfStock[RM_Code],$A44,T_SelfStock[WeekIndex],63)+SUMIFS(T_TTAFStock[TTAF_Qty],T_TTAFStock[RM_Code],$A44,T_TTAFStock[WeekIndex],63),BK44+'Grid_Incoming'!BL44-'Grid_Requirement'!BL44))</f>
        <v/>
      </c>
      <c r="BM44">
        <f>IF(COUNTIFS(T_StockCount[RM_Code],$A44,T_StockCount[WeekIndex],64)&gt;0,SUMIFS(T_StockCount[CountedQty],T_StockCount[RM_Code],$A44,T_StockCount[WeekIndex],64),IF((COUNTIFS(T_SelfStock[RM_Code],$A44,T_SelfStock[WeekIndex],64)&gt;0)*(COUNTIFS(T_TTAFStock[RM_Code],$A44,T_TTAFStock[WeekIndex],64)&gt;0)&gt;0,SUMIFS(T_SelfStock[Self_Qty],T_SelfStock[RM_Code],$A44,T_SelfStock[WeekIndex],64)+SUMIFS(T_TTAFStock[TTAF_Qty],T_TTAFStock[RM_Code],$A44,T_TTAFStock[WeekIndex],64),BL44+'Grid_Incoming'!BM44-'Grid_Requirement'!BM44))</f>
        <v/>
      </c>
      <c r="BN44">
        <f>IF(COUNTIFS(T_StockCount[RM_Code],$A44,T_StockCount[WeekIndex],65)&gt;0,SUMIFS(T_StockCount[CountedQty],T_StockCount[RM_Code],$A44,T_StockCount[WeekIndex],65),IF((COUNTIFS(T_SelfStock[RM_Code],$A44,T_SelfStock[WeekIndex],65)&gt;0)*(COUNTIFS(T_TTAFStock[RM_Code],$A44,T_TTAFStock[WeekIndex],65)&gt;0)&gt;0,SUMIFS(T_SelfStock[Self_Qty],T_SelfStock[RM_Code],$A44,T_SelfStock[WeekIndex],65)+SUMIFS(T_TTAFStock[TTAF_Qty],T_TTAFStock[RM_Code],$A44,T_TTAFStock[WeekIndex],65),BM44+'Grid_Incoming'!BN44-'Grid_Requirement'!BN44))</f>
        <v/>
      </c>
      <c r="BO44">
        <f>IF(COUNTIFS(T_StockCount[RM_Code],$A44,T_StockCount[WeekIndex],66)&gt;0,SUMIFS(T_StockCount[CountedQty],T_StockCount[RM_Code],$A44,T_StockCount[WeekIndex],66),IF((COUNTIFS(T_SelfStock[RM_Code],$A44,T_SelfStock[WeekIndex],66)&gt;0)*(COUNTIFS(T_TTAFStock[RM_Code],$A44,T_TTAFStock[WeekIndex],66)&gt;0)&gt;0,SUMIFS(T_SelfStock[Self_Qty],T_SelfStock[RM_Code],$A44,T_SelfStock[WeekIndex],66)+SUMIFS(T_TTAFStock[TTAF_Qty],T_TTAFStock[RM_Code],$A44,T_TTAFStock[WeekIndex],66),BN44+'Grid_Incoming'!BO44-'Grid_Requirement'!BO44))</f>
        <v/>
      </c>
      <c r="BP44">
        <f>IF(COUNTIFS(T_StockCount[RM_Code],$A44,T_StockCount[WeekIndex],67)&gt;0,SUMIFS(T_StockCount[CountedQty],T_StockCount[RM_Code],$A44,T_StockCount[WeekIndex],67),IF((COUNTIFS(T_SelfStock[RM_Code],$A44,T_SelfStock[WeekIndex],67)&gt;0)*(COUNTIFS(T_TTAFStock[RM_Code],$A44,T_TTAFStock[WeekIndex],67)&gt;0)&gt;0,SUMIFS(T_SelfStock[Self_Qty],T_SelfStock[RM_Code],$A44,T_SelfStock[WeekIndex],67)+SUMIFS(T_TTAFStock[TTAF_Qty],T_TTAFStock[RM_Code],$A44,T_TTAFStock[WeekIndex],67),BO44+'Grid_Incoming'!BP44-'Grid_Requirement'!BP44))</f>
        <v/>
      </c>
      <c r="BQ44">
        <f>IF(COUNTIFS(T_StockCount[RM_Code],$A44,T_StockCount[WeekIndex],68)&gt;0,SUMIFS(T_StockCount[CountedQty],T_StockCount[RM_Code],$A44,T_StockCount[WeekIndex],68),IF((COUNTIFS(T_SelfStock[RM_Code],$A44,T_SelfStock[WeekIndex],68)&gt;0)*(COUNTIFS(T_TTAFStock[RM_Code],$A44,T_TTAFStock[WeekIndex],68)&gt;0)&gt;0,SUMIFS(T_SelfStock[Self_Qty],T_SelfStock[RM_Code],$A44,T_SelfStock[WeekIndex],68)+SUMIFS(T_TTAFStock[TTAF_Qty],T_TTAFStock[RM_Code],$A44,T_TTAFStock[WeekIndex],68),BP44+'Grid_Incoming'!BQ44-'Grid_Requirement'!BQ44))</f>
        <v/>
      </c>
      <c r="BR44">
        <f>IF(COUNTIFS(T_StockCount[RM_Code],$A44,T_StockCount[WeekIndex],69)&gt;0,SUMIFS(T_StockCount[CountedQty],T_StockCount[RM_Code],$A44,T_StockCount[WeekIndex],69),IF((COUNTIFS(T_SelfStock[RM_Code],$A44,T_SelfStock[WeekIndex],69)&gt;0)*(COUNTIFS(T_TTAFStock[RM_Code],$A44,T_TTAFStock[WeekIndex],69)&gt;0)&gt;0,SUMIFS(T_SelfStock[Self_Qty],T_SelfStock[RM_Code],$A44,T_SelfStock[WeekIndex],69)+SUMIFS(T_TTAFStock[TTAF_Qty],T_TTAFStock[RM_Code],$A44,T_TTAFStock[WeekIndex],69),BQ44+'Grid_Incoming'!BR44-'Grid_Requirement'!BR44))</f>
        <v/>
      </c>
      <c r="BS44">
        <f>IF(COUNTIFS(T_StockCount[RM_Code],$A44,T_StockCount[WeekIndex],70)&gt;0,SUMIFS(T_StockCount[CountedQty],T_StockCount[RM_Code],$A44,T_StockCount[WeekIndex],70),IF((COUNTIFS(T_SelfStock[RM_Code],$A44,T_SelfStock[WeekIndex],70)&gt;0)*(COUNTIFS(T_TTAFStock[RM_Code],$A44,T_TTAFStock[WeekIndex],70)&gt;0)&gt;0,SUMIFS(T_SelfStock[Self_Qty],T_SelfStock[RM_Code],$A44,T_SelfStock[WeekIndex],70)+SUMIFS(T_TTAFStock[TTAF_Qty],T_TTAFStock[RM_Code],$A44,T_TTAFStock[WeekIndex],70),BR44+'Grid_Incoming'!BS44-'Grid_Requirement'!BS44))</f>
        <v/>
      </c>
      <c r="BT44">
        <f>IF(COUNTIFS(T_StockCount[RM_Code],$A44,T_StockCount[WeekIndex],71)&gt;0,SUMIFS(T_StockCount[CountedQty],T_StockCount[RM_Code],$A44,T_StockCount[WeekIndex],71),IF((COUNTIFS(T_SelfStock[RM_Code],$A44,T_SelfStock[WeekIndex],71)&gt;0)*(COUNTIFS(T_TTAFStock[RM_Code],$A44,T_TTAFStock[WeekIndex],71)&gt;0)&gt;0,SUMIFS(T_SelfStock[Self_Qty],T_SelfStock[RM_Code],$A44,T_SelfStock[WeekIndex],71)+SUMIFS(T_TTAFStock[TTAF_Qty],T_TTAFStock[RM_Code],$A44,T_TTAFStock[WeekIndex],71),BS44+'Grid_Incoming'!BT44-'Grid_Requirement'!BT44))</f>
        <v/>
      </c>
      <c r="BU44">
        <f>IF(COUNTIFS(T_StockCount[RM_Code],$A44,T_StockCount[WeekIndex],72)&gt;0,SUMIFS(T_StockCount[CountedQty],T_StockCount[RM_Code],$A44,T_StockCount[WeekIndex],72),IF((COUNTIFS(T_SelfStock[RM_Code],$A44,T_SelfStock[WeekIndex],72)&gt;0)*(COUNTIFS(T_TTAFStock[RM_Code],$A44,T_TTAFStock[WeekIndex],72)&gt;0)&gt;0,SUMIFS(T_SelfStock[Self_Qty],T_SelfStock[RM_Code],$A44,T_SelfStock[WeekIndex],72)+SUMIFS(T_TTAFStock[TTAF_Qty],T_TTAFStock[RM_Code],$A44,T_TTAFStock[WeekIndex],72),BT44+'Grid_Incoming'!BU44-'Grid_Requirement'!BU44))</f>
        <v/>
      </c>
      <c r="BV44">
        <f>IF(COUNTIFS(T_StockCount[RM_Code],$A44,T_StockCount[WeekIndex],73)&gt;0,SUMIFS(T_StockCount[CountedQty],T_StockCount[RM_Code],$A44,T_StockCount[WeekIndex],73),IF((COUNTIFS(T_SelfStock[RM_Code],$A44,T_SelfStock[WeekIndex],73)&gt;0)*(COUNTIFS(T_TTAFStock[RM_Code],$A44,T_TTAFStock[WeekIndex],73)&gt;0)&gt;0,SUMIFS(T_SelfStock[Self_Qty],T_SelfStock[RM_Code],$A44,T_SelfStock[WeekIndex],73)+SUMIFS(T_TTAFStock[TTAF_Qty],T_TTAFStock[RM_Code],$A44,T_TTAFStock[WeekIndex],73),BU44+'Grid_Incoming'!BV44-'Grid_Requirement'!BV44))</f>
        <v/>
      </c>
      <c r="BW44">
        <f>IF(COUNTIFS(T_StockCount[RM_Code],$A44,T_StockCount[WeekIndex],74)&gt;0,SUMIFS(T_StockCount[CountedQty],T_StockCount[RM_Code],$A44,T_StockCount[WeekIndex],74),IF((COUNTIFS(T_SelfStock[RM_Code],$A44,T_SelfStock[WeekIndex],74)&gt;0)*(COUNTIFS(T_TTAFStock[RM_Code],$A44,T_TTAFStock[WeekIndex],74)&gt;0)&gt;0,SUMIFS(T_SelfStock[Self_Qty],T_SelfStock[RM_Code],$A44,T_SelfStock[WeekIndex],74)+SUMIFS(T_TTAFStock[TTAF_Qty],T_TTAFStock[RM_Code],$A44,T_TTAFStock[WeekIndex],74),BV44+'Grid_Incoming'!BW44-'Grid_Requirement'!BW44))</f>
        <v/>
      </c>
      <c r="BX44">
        <f>IF(COUNTIFS(T_StockCount[RM_Code],$A44,T_StockCount[WeekIndex],75)&gt;0,SUMIFS(T_StockCount[CountedQty],T_StockCount[RM_Code],$A44,T_StockCount[WeekIndex],75),IF((COUNTIFS(T_SelfStock[RM_Code],$A44,T_SelfStock[WeekIndex],75)&gt;0)*(COUNTIFS(T_TTAFStock[RM_Code],$A44,T_TTAFStock[WeekIndex],75)&gt;0)&gt;0,SUMIFS(T_SelfStock[Self_Qty],T_SelfStock[RM_Code],$A44,T_SelfStock[WeekIndex],75)+SUMIFS(T_TTAFStock[TTAF_Qty],T_TTAFStock[RM_Code],$A44,T_TTAFStock[WeekIndex],75),BW44+'Grid_Incoming'!BX44-'Grid_Requirement'!BX44))</f>
        <v/>
      </c>
      <c r="BY44">
        <f>IF(COUNTIFS(T_StockCount[RM_Code],$A44,T_StockCount[WeekIndex],76)&gt;0,SUMIFS(T_StockCount[CountedQty],T_StockCount[RM_Code],$A44,T_StockCount[WeekIndex],76),IF((COUNTIFS(T_SelfStock[RM_Code],$A44,T_SelfStock[WeekIndex],76)&gt;0)*(COUNTIFS(T_TTAFStock[RM_Code],$A44,T_TTAFStock[WeekIndex],76)&gt;0)&gt;0,SUMIFS(T_SelfStock[Self_Qty],T_SelfStock[RM_Code],$A44,T_SelfStock[WeekIndex],76)+SUMIFS(T_TTAFStock[TTAF_Qty],T_TTAFStock[RM_Code],$A44,T_TTAFStock[WeekIndex],76),BX44+'Grid_Incoming'!BY44-'Grid_Requirement'!BY44))</f>
        <v/>
      </c>
      <c r="BZ44">
        <f>IF(COUNTIFS(T_StockCount[RM_Code],$A44,T_StockCount[WeekIndex],77)&gt;0,SUMIFS(T_StockCount[CountedQty],T_StockCount[RM_Code],$A44,T_StockCount[WeekIndex],77),IF((COUNTIFS(T_SelfStock[RM_Code],$A44,T_SelfStock[WeekIndex],77)&gt;0)*(COUNTIFS(T_TTAFStock[RM_Code],$A44,T_TTAFStock[WeekIndex],77)&gt;0)&gt;0,SUMIFS(T_SelfStock[Self_Qty],T_SelfStock[RM_Code],$A44,T_SelfStock[WeekIndex],77)+SUMIFS(T_TTAFStock[TTAF_Qty],T_TTAFStock[RM_Code],$A44,T_TTAFStock[WeekIndex],77),BY44+'Grid_Incoming'!BZ44-'Grid_Requirement'!BZ44))</f>
        <v/>
      </c>
      <c r="CA44">
        <f>IF(COUNTIFS(T_StockCount[RM_Code],$A44,T_StockCount[WeekIndex],78)&gt;0,SUMIFS(T_StockCount[CountedQty],T_StockCount[RM_Code],$A44,T_StockCount[WeekIndex],78),IF((COUNTIFS(T_SelfStock[RM_Code],$A44,T_SelfStock[WeekIndex],78)&gt;0)*(COUNTIFS(T_TTAFStock[RM_Code],$A44,T_TTAFStock[WeekIndex],78)&gt;0)&gt;0,SUMIFS(T_SelfStock[Self_Qty],T_SelfStock[RM_Code],$A44,T_SelfStock[WeekIndex],78)+SUMIFS(T_TTAFStock[TTAF_Qty],T_TTAFStock[RM_Code],$A44,T_TTAFStock[WeekIndex],78),BZ44+'Grid_Incoming'!CA44-'Grid_Requirement'!CA44))</f>
        <v/>
      </c>
      <c r="CB44">
        <f>IF(COUNTIFS(T_StockCount[RM_Code],$A44,T_StockCount[WeekIndex],79)&gt;0,SUMIFS(T_StockCount[CountedQty],T_StockCount[RM_Code],$A44,T_StockCount[WeekIndex],79),IF((COUNTIFS(T_SelfStock[RM_Code],$A44,T_SelfStock[WeekIndex],79)&gt;0)*(COUNTIFS(T_TTAFStock[RM_Code],$A44,T_TTAFStock[WeekIndex],79)&gt;0)&gt;0,SUMIFS(T_SelfStock[Self_Qty],T_SelfStock[RM_Code],$A44,T_SelfStock[WeekIndex],79)+SUMIFS(T_TTAFStock[TTAF_Qty],T_TTAFStock[RM_Code],$A44,T_TTAFStock[WeekIndex],79),CA44+'Grid_Incoming'!CB44-'Grid_Requirement'!CB44))</f>
        <v/>
      </c>
      <c r="CC44">
        <f>IF(COUNTIFS(T_StockCount[RM_Code],$A44,T_StockCount[WeekIndex],80)&gt;0,SUMIFS(T_StockCount[CountedQty],T_StockCount[RM_Code],$A44,T_StockCount[WeekIndex],80),IF((COUNTIFS(T_SelfStock[RM_Code],$A44,T_SelfStock[WeekIndex],80)&gt;0)*(COUNTIFS(T_TTAFStock[RM_Code],$A44,T_TTAFStock[WeekIndex],80)&gt;0)&gt;0,SUMIFS(T_SelfStock[Self_Qty],T_SelfStock[RM_Code],$A44,T_SelfStock[WeekIndex],80)+SUMIFS(T_TTAFStock[TTAF_Qty],T_TTAFStock[RM_Code],$A44,T_TTAFStock[WeekIndex],80),CB44+'Grid_Incoming'!CC44-'Grid_Requirement'!CC44))</f>
        <v/>
      </c>
      <c r="CD44">
        <f>IF(COUNTIFS(T_StockCount[RM_Code],$A44,T_StockCount[WeekIndex],81)&gt;0,SUMIFS(T_StockCount[CountedQty],T_StockCount[RM_Code],$A44,T_StockCount[WeekIndex],81),IF((COUNTIFS(T_SelfStock[RM_Code],$A44,T_SelfStock[WeekIndex],81)&gt;0)*(COUNTIFS(T_TTAFStock[RM_Code],$A44,T_TTAFStock[WeekIndex],81)&gt;0)&gt;0,SUMIFS(T_SelfStock[Self_Qty],T_SelfStock[RM_Code],$A44,T_SelfStock[WeekIndex],81)+SUMIFS(T_TTAFStock[TTAF_Qty],T_TTAFStock[RM_Code],$A44,T_TTAFStock[WeekIndex],81),CC44+'Grid_Incoming'!CD44-'Grid_Requirement'!CD44))</f>
        <v/>
      </c>
      <c r="CE44">
        <f>IF(COUNTIFS(T_StockCount[RM_Code],$A44,T_StockCount[WeekIndex],82)&gt;0,SUMIFS(T_StockCount[CountedQty],T_StockCount[RM_Code],$A44,T_StockCount[WeekIndex],82),IF((COUNTIFS(T_SelfStock[RM_Code],$A44,T_SelfStock[WeekIndex],82)&gt;0)*(COUNTIFS(T_TTAFStock[RM_Code],$A44,T_TTAFStock[WeekIndex],82)&gt;0)&gt;0,SUMIFS(T_SelfStock[Self_Qty],T_SelfStock[RM_Code],$A44,T_SelfStock[WeekIndex],82)+SUMIFS(T_TTAFStock[TTAF_Qty],T_TTAFStock[RM_Code],$A44,T_TTAFStock[WeekIndex],82),CD44+'Grid_Incoming'!CE44-'Grid_Requirement'!CE44))</f>
        <v/>
      </c>
      <c r="CF44">
        <f>IF(COUNTIFS(T_StockCount[RM_Code],$A44,T_StockCount[WeekIndex],83)&gt;0,SUMIFS(T_StockCount[CountedQty],T_StockCount[RM_Code],$A44,T_StockCount[WeekIndex],83),IF((COUNTIFS(T_SelfStock[RM_Code],$A44,T_SelfStock[WeekIndex],83)&gt;0)*(COUNTIFS(T_TTAFStock[RM_Code],$A44,T_TTAFStock[WeekIndex],83)&gt;0)&gt;0,SUMIFS(T_SelfStock[Self_Qty],T_SelfStock[RM_Code],$A44,T_SelfStock[WeekIndex],83)+SUMIFS(T_TTAFStock[TTAF_Qty],T_TTAFStock[RM_Code],$A44,T_TTAFStock[WeekIndex],83),CE44+'Grid_Incoming'!CF44-'Grid_Requirement'!CF44))</f>
        <v/>
      </c>
      <c r="CG44">
        <f>IF(COUNTIFS(T_StockCount[RM_Code],$A44,T_StockCount[WeekIndex],84)&gt;0,SUMIFS(T_StockCount[CountedQty],T_StockCount[RM_Code],$A44,T_StockCount[WeekIndex],84),IF((COUNTIFS(T_SelfStock[RM_Code],$A44,T_SelfStock[WeekIndex],84)&gt;0)*(COUNTIFS(T_TTAFStock[RM_Code],$A44,T_TTAFStock[WeekIndex],84)&gt;0)&gt;0,SUMIFS(T_SelfStock[Self_Qty],T_SelfStock[RM_Code],$A44,T_SelfStock[WeekIndex],84)+SUMIFS(T_TTAFStock[TTAF_Qty],T_TTAFStock[RM_Code],$A44,T_TTAFStock[WeekIndex],84),CF44+'Grid_Incoming'!CG44-'Grid_Requirement'!CG44))</f>
        <v/>
      </c>
      <c r="CH44">
        <f>IF(COUNTIFS(T_StockCount[RM_Code],$A44,T_StockCount[WeekIndex],85)&gt;0,SUMIFS(T_StockCount[CountedQty],T_StockCount[RM_Code],$A44,T_StockCount[WeekIndex],85),IF((COUNTIFS(T_SelfStock[RM_Code],$A44,T_SelfStock[WeekIndex],85)&gt;0)*(COUNTIFS(T_TTAFStock[RM_Code],$A44,T_TTAFStock[WeekIndex],85)&gt;0)&gt;0,SUMIFS(T_SelfStock[Self_Qty],T_SelfStock[RM_Code],$A44,T_SelfStock[WeekIndex],85)+SUMIFS(T_TTAFStock[TTAF_Qty],T_TTAFStock[RM_Code],$A44,T_TTAFStock[WeekIndex],85),CG44+'Grid_Incoming'!CH44-'Grid_Requirement'!CH44))</f>
        <v/>
      </c>
      <c r="CI44">
        <f>IF(COUNTIFS(T_StockCount[RM_Code],$A44,T_StockCount[WeekIndex],86)&gt;0,SUMIFS(T_StockCount[CountedQty],T_StockCount[RM_Code],$A44,T_StockCount[WeekIndex],86),IF((COUNTIFS(T_SelfStock[RM_Code],$A44,T_SelfStock[WeekIndex],86)&gt;0)*(COUNTIFS(T_TTAFStock[RM_Code],$A44,T_TTAFStock[WeekIndex],86)&gt;0)&gt;0,SUMIFS(T_SelfStock[Self_Qty],T_SelfStock[RM_Code],$A44,T_SelfStock[WeekIndex],86)+SUMIFS(T_TTAFStock[TTAF_Qty],T_TTAFStock[RM_Code],$A44,T_TTAFStock[WeekIndex],86),CH44+'Grid_Incoming'!CI44-'Grid_Requirement'!CI44))</f>
        <v/>
      </c>
      <c r="CJ44">
        <f>IF(COUNTIFS(T_StockCount[RM_Code],$A44,T_StockCount[WeekIndex],87)&gt;0,SUMIFS(T_StockCount[CountedQty],T_StockCount[RM_Code],$A44,T_StockCount[WeekIndex],87),IF((COUNTIFS(T_SelfStock[RM_Code],$A44,T_SelfStock[WeekIndex],87)&gt;0)*(COUNTIFS(T_TTAFStock[RM_Code],$A44,T_TTAFStock[WeekIndex],87)&gt;0)&gt;0,SUMIFS(T_SelfStock[Self_Qty],T_SelfStock[RM_Code],$A44,T_SelfStock[WeekIndex],87)+SUMIFS(T_TTAFStock[TTAF_Qty],T_TTAFStock[RM_Code],$A44,T_TTAFStock[WeekIndex],87),CI44+'Grid_Incoming'!CJ44-'Grid_Requirement'!CJ44))</f>
        <v/>
      </c>
      <c r="CK44">
        <f>IF(COUNTIFS(T_StockCount[RM_Code],$A44,T_StockCount[WeekIndex],88)&gt;0,SUMIFS(T_StockCount[CountedQty],T_StockCount[RM_Code],$A44,T_StockCount[WeekIndex],88),IF((COUNTIFS(T_SelfStock[RM_Code],$A44,T_SelfStock[WeekIndex],88)&gt;0)*(COUNTIFS(T_TTAFStock[RM_Code],$A44,T_TTAFStock[WeekIndex],88)&gt;0)&gt;0,SUMIFS(T_SelfStock[Self_Qty],T_SelfStock[RM_Code],$A44,T_SelfStock[WeekIndex],88)+SUMIFS(T_TTAFStock[TTAF_Qty],T_TTAFStock[RM_Code],$A44,T_TTAFStock[WeekIndex],88),CJ44+'Grid_Incoming'!CK44-'Grid_Requirement'!CK44))</f>
        <v/>
      </c>
      <c r="CL44">
        <f>IF(COUNTIFS(T_StockCount[RM_Code],$A44,T_StockCount[WeekIndex],89)&gt;0,SUMIFS(T_StockCount[CountedQty],T_StockCount[RM_Code],$A44,T_StockCount[WeekIndex],89),IF((COUNTIFS(T_SelfStock[RM_Code],$A44,T_SelfStock[WeekIndex],89)&gt;0)*(COUNTIFS(T_TTAFStock[RM_Code],$A44,T_TTAFStock[WeekIndex],89)&gt;0)&gt;0,SUMIFS(T_SelfStock[Self_Qty],T_SelfStock[RM_Code],$A44,T_SelfStock[WeekIndex],89)+SUMIFS(T_TTAFStock[TTAF_Qty],T_TTAFStock[RM_Code],$A44,T_TTAFStock[WeekIndex],89),CK44+'Grid_Incoming'!CL44-'Grid_Requirement'!CL44))</f>
        <v/>
      </c>
      <c r="CM44">
        <f>IF(COUNTIFS(T_StockCount[RM_Code],$A44,T_StockCount[WeekIndex],90)&gt;0,SUMIFS(T_StockCount[CountedQty],T_StockCount[RM_Code],$A44,T_StockCount[WeekIndex],90),IF((COUNTIFS(T_SelfStock[RM_Code],$A44,T_SelfStock[WeekIndex],90)&gt;0)*(COUNTIFS(T_TTAFStock[RM_Code],$A44,T_TTAFStock[WeekIndex],90)&gt;0)&gt;0,SUMIFS(T_SelfStock[Self_Qty],T_SelfStock[RM_Code],$A44,T_SelfStock[WeekIndex],90)+SUMIFS(T_TTAFStock[TTAF_Qty],T_TTAFStock[RM_Code],$A44,T_TTAFStock[WeekIndex],90),CL44+'Grid_Incoming'!CM44-'Grid_Requirement'!CM44))</f>
        <v/>
      </c>
      <c r="CN44">
        <f>IF(COUNTIFS(T_StockCount[RM_Code],$A44,T_StockCount[WeekIndex],91)&gt;0,SUMIFS(T_StockCount[CountedQty],T_StockCount[RM_Code],$A44,T_StockCount[WeekIndex],91),IF((COUNTIFS(T_SelfStock[RM_Code],$A44,T_SelfStock[WeekIndex],91)&gt;0)*(COUNTIFS(T_TTAFStock[RM_Code],$A44,T_TTAFStock[WeekIndex],91)&gt;0)&gt;0,SUMIFS(T_SelfStock[Self_Qty],T_SelfStock[RM_Code],$A44,T_SelfStock[WeekIndex],91)+SUMIFS(T_TTAFStock[TTAF_Qty],T_TTAFStock[RM_Code],$A44,T_TTAFStock[WeekIndex],91),CM44+'Grid_Incoming'!CN44-'Grid_Requirement'!CN44))</f>
        <v/>
      </c>
      <c r="CO44">
        <f>IF(COUNTIFS(T_StockCount[RM_Code],$A44,T_StockCount[WeekIndex],92)&gt;0,SUMIFS(T_StockCount[CountedQty],T_StockCount[RM_Code],$A44,T_StockCount[WeekIndex],92),IF((COUNTIFS(T_SelfStock[RM_Code],$A44,T_SelfStock[WeekIndex],92)&gt;0)*(COUNTIFS(T_TTAFStock[RM_Code],$A44,T_TTAFStock[WeekIndex],92)&gt;0)&gt;0,SUMIFS(T_SelfStock[Self_Qty],T_SelfStock[RM_Code],$A44,T_SelfStock[WeekIndex],92)+SUMIFS(T_TTAFStock[TTAF_Qty],T_TTAFStock[RM_Code],$A44,T_TTAFStock[WeekIndex],92),CN44+'Grid_Incoming'!CO44-'Grid_Requirement'!CO44))</f>
        <v/>
      </c>
      <c r="CP44">
        <f>IF(COUNTIFS(T_StockCount[RM_Code],$A44,T_StockCount[WeekIndex],93)&gt;0,SUMIFS(T_StockCount[CountedQty],T_StockCount[RM_Code],$A44,T_StockCount[WeekIndex],93),IF((COUNTIFS(T_SelfStock[RM_Code],$A44,T_SelfStock[WeekIndex],93)&gt;0)*(COUNTIFS(T_TTAFStock[RM_Code],$A44,T_TTAFStock[WeekIndex],93)&gt;0)&gt;0,SUMIFS(T_SelfStock[Self_Qty],T_SelfStock[RM_Code],$A44,T_SelfStock[WeekIndex],93)+SUMIFS(T_TTAFStock[TTAF_Qty],T_TTAFStock[RM_Code],$A44,T_TTAFStock[WeekIndex],93),CO44+'Grid_Incoming'!CP44-'Grid_Requirement'!CP44))</f>
        <v/>
      </c>
      <c r="CQ44">
        <f>IF(COUNTIFS(T_StockCount[RM_Code],$A44,T_StockCount[WeekIndex],94)&gt;0,SUMIFS(T_StockCount[CountedQty],T_StockCount[RM_Code],$A44,T_StockCount[WeekIndex],94),IF((COUNTIFS(T_SelfStock[RM_Code],$A44,T_SelfStock[WeekIndex],94)&gt;0)*(COUNTIFS(T_TTAFStock[RM_Code],$A44,T_TTAFStock[WeekIndex],94)&gt;0)&gt;0,SUMIFS(T_SelfStock[Self_Qty],T_SelfStock[RM_Code],$A44,T_SelfStock[WeekIndex],94)+SUMIFS(T_TTAFStock[TTAF_Qty],T_TTAFStock[RM_Code],$A44,T_TTAFStock[WeekIndex],94),CP44+'Grid_Incoming'!CQ44-'Grid_Requirement'!CQ44))</f>
        <v/>
      </c>
      <c r="CR44">
        <f>IF(COUNTIFS(T_StockCount[RM_Code],$A44,T_StockCount[WeekIndex],95)&gt;0,SUMIFS(T_StockCount[CountedQty],T_StockCount[RM_Code],$A44,T_StockCount[WeekIndex],95),IF((COUNTIFS(T_SelfStock[RM_Code],$A44,T_SelfStock[WeekIndex],95)&gt;0)*(COUNTIFS(T_TTAFStock[RM_Code],$A44,T_TTAFStock[WeekIndex],95)&gt;0)&gt;0,SUMIFS(T_SelfStock[Self_Qty],T_SelfStock[RM_Code],$A44,T_SelfStock[WeekIndex],95)+SUMIFS(T_TTAFStock[TTAF_Qty],T_TTAFStock[RM_Code],$A44,T_TTAFStock[WeekIndex],95),CQ44+'Grid_Incoming'!CR44-'Grid_Requirement'!CR44))</f>
        <v/>
      </c>
      <c r="CS44">
        <f>IF(COUNTIFS(T_StockCount[RM_Code],$A44,T_StockCount[WeekIndex],96)&gt;0,SUMIFS(T_StockCount[CountedQty],T_StockCount[RM_Code],$A44,T_StockCount[WeekIndex],96),IF((COUNTIFS(T_SelfStock[RM_Code],$A44,T_SelfStock[WeekIndex],96)&gt;0)*(COUNTIFS(T_TTAFStock[RM_Code],$A44,T_TTAFStock[WeekIndex],96)&gt;0)&gt;0,SUMIFS(T_SelfStock[Self_Qty],T_SelfStock[RM_Code],$A44,T_SelfStock[WeekIndex],96)+SUMIFS(T_TTAFStock[TTAF_Qty],T_TTAFStock[RM_Code],$A44,T_TTAFStock[WeekIndex],96),CR44+'Grid_Incoming'!CS44-'Grid_Requirement'!CS44))</f>
        <v/>
      </c>
      <c r="CT44">
        <f>IF(COUNTIFS(T_StockCount[RM_Code],$A44,T_StockCount[WeekIndex],97)&gt;0,SUMIFS(T_StockCount[CountedQty],T_StockCount[RM_Code],$A44,T_StockCount[WeekIndex],97),IF((COUNTIFS(T_SelfStock[RM_Code],$A44,T_SelfStock[WeekIndex],97)&gt;0)*(COUNTIFS(T_TTAFStock[RM_Code],$A44,T_TTAFStock[WeekIndex],97)&gt;0)&gt;0,SUMIFS(T_SelfStock[Self_Qty],T_SelfStock[RM_Code],$A44,T_SelfStock[WeekIndex],97)+SUMIFS(T_TTAFStock[TTAF_Qty],T_TTAFStock[RM_Code],$A44,T_TTAFStock[WeekIndex],97),CS44+'Grid_Incoming'!CT44-'Grid_Requirement'!CT44))</f>
        <v/>
      </c>
      <c r="CU44">
        <f>IF(COUNTIFS(T_StockCount[RM_Code],$A44,T_StockCount[WeekIndex],98)&gt;0,SUMIFS(T_StockCount[CountedQty],T_StockCount[RM_Code],$A44,T_StockCount[WeekIndex],98),IF((COUNTIFS(T_SelfStock[RM_Code],$A44,T_SelfStock[WeekIndex],98)&gt;0)*(COUNTIFS(T_TTAFStock[RM_Code],$A44,T_TTAFStock[WeekIndex],98)&gt;0)&gt;0,SUMIFS(T_SelfStock[Self_Qty],T_SelfStock[RM_Code],$A44,T_SelfStock[WeekIndex],98)+SUMIFS(T_TTAFStock[TTAF_Qty],T_TTAFStock[RM_Code],$A44,T_TTAFStock[WeekIndex],98),CT44+'Grid_Incoming'!CU44-'Grid_Requirement'!CU44))</f>
        <v/>
      </c>
      <c r="CV44">
        <f>IF(COUNTIFS(T_StockCount[RM_Code],$A44,T_StockCount[WeekIndex],99)&gt;0,SUMIFS(T_StockCount[CountedQty],T_StockCount[RM_Code],$A44,T_StockCount[WeekIndex],99),IF((COUNTIFS(T_SelfStock[RM_Code],$A44,T_SelfStock[WeekIndex],99)&gt;0)*(COUNTIFS(T_TTAFStock[RM_Code],$A44,T_TTAFStock[WeekIndex],99)&gt;0)&gt;0,SUMIFS(T_SelfStock[Self_Qty],T_SelfStock[RM_Code],$A44,T_SelfStock[WeekIndex],99)+SUMIFS(T_TTAFStock[TTAF_Qty],T_TTAFStock[RM_Code],$A44,T_TTAFStock[WeekIndex],99),CU44+'Grid_Incoming'!CV44-'Grid_Requirement'!CV44))</f>
        <v/>
      </c>
      <c r="CW44">
        <f>IF(COUNTIFS(T_StockCount[RM_Code],$A44,T_StockCount[WeekIndex],100)&gt;0,SUMIFS(T_StockCount[CountedQty],T_StockCount[RM_Code],$A44,T_StockCount[WeekIndex],100),IF((COUNTIFS(T_SelfStock[RM_Code],$A44,T_SelfStock[WeekIndex],100)&gt;0)*(COUNTIFS(T_TTAFStock[RM_Code],$A44,T_TTAFStock[WeekIndex],100)&gt;0)&gt;0,SUMIFS(T_SelfStock[Self_Qty],T_SelfStock[RM_Code],$A44,T_SelfStock[WeekIndex],100)+SUMIFS(T_TTAFStock[TTAF_Qty],T_TTAFStock[RM_Code],$A44,T_TTAFStock[WeekIndex],100),CV44+'Grid_Incoming'!CW44-'Grid_Requirement'!CW44))</f>
        <v/>
      </c>
      <c r="CX44">
        <f>IF(COUNTIFS(T_StockCount[RM_Code],$A44,T_StockCount[WeekIndex],101)&gt;0,SUMIFS(T_StockCount[CountedQty],T_StockCount[RM_Code],$A44,T_StockCount[WeekIndex],101),IF((COUNTIFS(T_SelfStock[RM_Code],$A44,T_SelfStock[WeekIndex],101)&gt;0)*(COUNTIFS(T_TTAFStock[RM_Code],$A44,T_TTAFStock[WeekIndex],101)&gt;0)&gt;0,SUMIFS(T_SelfStock[Self_Qty],T_SelfStock[RM_Code],$A44,T_SelfStock[WeekIndex],101)+SUMIFS(T_TTAFStock[TTAF_Qty],T_TTAFStock[RM_Code],$A44,T_TTAFStock[WeekIndex],101),CW44+'Grid_Incoming'!CX44-'Grid_Requirement'!CX44))</f>
        <v/>
      </c>
      <c r="CY44">
        <f>IF(COUNTIFS(T_StockCount[RM_Code],$A44,T_StockCount[WeekIndex],102)&gt;0,SUMIFS(T_StockCount[CountedQty],T_StockCount[RM_Code],$A44,T_StockCount[WeekIndex],102),IF((COUNTIFS(T_SelfStock[RM_Code],$A44,T_SelfStock[WeekIndex],102)&gt;0)*(COUNTIFS(T_TTAFStock[RM_Code],$A44,T_TTAFStock[WeekIndex],102)&gt;0)&gt;0,SUMIFS(T_SelfStock[Self_Qty],T_SelfStock[RM_Code],$A44,T_SelfStock[WeekIndex],102)+SUMIFS(T_TTAFStock[TTAF_Qty],T_TTAFStock[RM_Code],$A44,T_TTAFStock[WeekIndex],102),CX44+'Grid_Incoming'!CY44-'Grid_Requirement'!CY44))</f>
        <v/>
      </c>
      <c r="CZ44">
        <f>IF(COUNTIFS(T_StockCount[RM_Code],$A44,T_StockCount[WeekIndex],103)&gt;0,SUMIFS(T_StockCount[CountedQty],T_StockCount[RM_Code],$A44,T_StockCount[WeekIndex],103),IF((COUNTIFS(T_SelfStock[RM_Code],$A44,T_SelfStock[WeekIndex],103)&gt;0)*(COUNTIFS(T_TTAFStock[RM_Code],$A44,T_TTAFStock[WeekIndex],103)&gt;0)&gt;0,SUMIFS(T_SelfStock[Self_Qty],T_SelfStock[RM_Code],$A44,T_SelfStock[WeekIndex],103)+SUMIFS(T_TTAFStock[TTAF_Qty],T_TTAFStock[RM_Code],$A44,T_TTAFStock[WeekIndex],103),CY44+'Grid_Incoming'!CZ44-'Grid_Requirement'!CZ44))</f>
        <v/>
      </c>
      <c r="DA44">
        <f>IF(COUNTIFS(T_StockCount[RM_Code],$A44,T_StockCount[WeekIndex],104)&gt;0,SUMIFS(T_StockCount[CountedQty],T_StockCount[RM_Code],$A44,T_StockCount[WeekIndex],104),IF((COUNTIFS(T_SelfStock[RM_Code],$A44,T_SelfStock[WeekIndex],104)&gt;0)*(COUNTIFS(T_TTAFStock[RM_Code],$A44,T_TTAFStock[WeekIndex],104)&gt;0)&gt;0,SUMIFS(T_SelfStock[Self_Qty],T_SelfStock[RM_Code],$A44,T_SelfStock[WeekIndex],104)+SUMIFS(T_TTAFStock[TTAF_Qty],T_TTAFStock[RM_Code],$A44,T_TTAFStock[WeekIndex],104),CZ44+'Grid_Incoming'!DA44-'Grid_Requirement'!DA44))</f>
        <v/>
      </c>
    </row>
    <row r="45">
      <c r="A45" t="inlineStr">
        <is>
          <t>CHEM-1010</t>
        </is>
      </c>
      <c r="B45">
        <f>IF(COUNTIFS(T_StockCount[RM_Code],$A45,T_StockCount[WeekIndex],1)&gt;0,SUMIFS(T_StockCount[CountedQty],T_StockCount[RM_Code],$A45,T_StockCount[WeekIndex],1),IF((COUNTIFS(T_SelfStock[RM_Code],$A45,T_SelfStock[WeekIndex],1)&gt;0)*(COUNTIFS(T_TTAFStock[RM_Code],$A45,T_TTAFStock[WeekIndex],1)&gt;0)&gt;0,SUMIFS(T_SelfStock[Self_Qty],T_SelfStock[RM_Code],$A45,T_SelfStock[WeekIndex],1)+SUMIFS(T_TTAFStock[TTAF_Qty],T_TTAFStock[RM_Code],$A45,T_TTAFStock[WeekIndex],1),IFERROR(INDEX(T_OpeningStock[Opening_Qty],MATCH($A45,T_OpeningStock[RM_Code],0)),0)+'Grid_Incoming'!B45-'Grid_Requirement'!B45))</f>
        <v/>
      </c>
      <c r="C45">
        <f>IF(COUNTIFS(T_StockCount[RM_Code],$A45,T_StockCount[WeekIndex],2)&gt;0,SUMIFS(T_StockCount[CountedQty],T_StockCount[RM_Code],$A45,T_StockCount[WeekIndex],2),IF((COUNTIFS(T_SelfStock[RM_Code],$A45,T_SelfStock[WeekIndex],2)&gt;0)*(COUNTIFS(T_TTAFStock[RM_Code],$A45,T_TTAFStock[WeekIndex],2)&gt;0)&gt;0,SUMIFS(T_SelfStock[Self_Qty],T_SelfStock[RM_Code],$A45,T_SelfStock[WeekIndex],2)+SUMIFS(T_TTAFStock[TTAF_Qty],T_TTAFStock[RM_Code],$A45,T_TTAFStock[WeekIndex],2),B45+'Grid_Incoming'!C45-'Grid_Requirement'!C45))</f>
        <v/>
      </c>
      <c r="D45">
        <f>IF(COUNTIFS(T_StockCount[RM_Code],$A45,T_StockCount[WeekIndex],3)&gt;0,SUMIFS(T_StockCount[CountedQty],T_StockCount[RM_Code],$A45,T_StockCount[WeekIndex],3),IF((COUNTIFS(T_SelfStock[RM_Code],$A45,T_SelfStock[WeekIndex],3)&gt;0)*(COUNTIFS(T_TTAFStock[RM_Code],$A45,T_TTAFStock[WeekIndex],3)&gt;0)&gt;0,SUMIFS(T_SelfStock[Self_Qty],T_SelfStock[RM_Code],$A45,T_SelfStock[WeekIndex],3)+SUMIFS(T_TTAFStock[TTAF_Qty],T_TTAFStock[RM_Code],$A45,T_TTAFStock[WeekIndex],3),C45+'Grid_Incoming'!D45-'Grid_Requirement'!D45))</f>
        <v/>
      </c>
      <c r="E45">
        <f>IF(COUNTIFS(T_StockCount[RM_Code],$A45,T_StockCount[WeekIndex],4)&gt;0,SUMIFS(T_StockCount[CountedQty],T_StockCount[RM_Code],$A45,T_StockCount[WeekIndex],4),IF((COUNTIFS(T_SelfStock[RM_Code],$A45,T_SelfStock[WeekIndex],4)&gt;0)*(COUNTIFS(T_TTAFStock[RM_Code],$A45,T_TTAFStock[WeekIndex],4)&gt;0)&gt;0,SUMIFS(T_SelfStock[Self_Qty],T_SelfStock[RM_Code],$A45,T_SelfStock[WeekIndex],4)+SUMIFS(T_TTAFStock[TTAF_Qty],T_TTAFStock[RM_Code],$A45,T_TTAFStock[WeekIndex],4),D45+'Grid_Incoming'!E45-'Grid_Requirement'!E45))</f>
        <v/>
      </c>
      <c r="F45">
        <f>IF(COUNTIFS(T_StockCount[RM_Code],$A45,T_StockCount[WeekIndex],5)&gt;0,SUMIFS(T_StockCount[CountedQty],T_StockCount[RM_Code],$A45,T_StockCount[WeekIndex],5),IF((COUNTIFS(T_SelfStock[RM_Code],$A45,T_SelfStock[WeekIndex],5)&gt;0)*(COUNTIFS(T_TTAFStock[RM_Code],$A45,T_TTAFStock[WeekIndex],5)&gt;0)&gt;0,SUMIFS(T_SelfStock[Self_Qty],T_SelfStock[RM_Code],$A45,T_SelfStock[WeekIndex],5)+SUMIFS(T_TTAFStock[TTAF_Qty],T_TTAFStock[RM_Code],$A45,T_TTAFStock[WeekIndex],5),E45+'Grid_Incoming'!F45-'Grid_Requirement'!F45))</f>
        <v/>
      </c>
      <c r="G45">
        <f>IF(COUNTIFS(T_StockCount[RM_Code],$A45,T_StockCount[WeekIndex],6)&gt;0,SUMIFS(T_StockCount[CountedQty],T_StockCount[RM_Code],$A45,T_StockCount[WeekIndex],6),IF((COUNTIFS(T_SelfStock[RM_Code],$A45,T_SelfStock[WeekIndex],6)&gt;0)*(COUNTIFS(T_TTAFStock[RM_Code],$A45,T_TTAFStock[WeekIndex],6)&gt;0)&gt;0,SUMIFS(T_SelfStock[Self_Qty],T_SelfStock[RM_Code],$A45,T_SelfStock[WeekIndex],6)+SUMIFS(T_TTAFStock[TTAF_Qty],T_TTAFStock[RM_Code],$A45,T_TTAFStock[WeekIndex],6),F45+'Grid_Incoming'!G45-'Grid_Requirement'!G45))</f>
        <v/>
      </c>
      <c r="H45">
        <f>IF(COUNTIFS(T_StockCount[RM_Code],$A45,T_StockCount[WeekIndex],7)&gt;0,SUMIFS(T_StockCount[CountedQty],T_StockCount[RM_Code],$A45,T_StockCount[WeekIndex],7),IF((COUNTIFS(T_SelfStock[RM_Code],$A45,T_SelfStock[WeekIndex],7)&gt;0)*(COUNTIFS(T_TTAFStock[RM_Code],$A45,T_TTAFStock[WeekIndex],7)&gt;0)&gt;0,SUMIFS(T_SelfStock[Self_Qty],T_SelfStock[RM_Code],$A45,T_SelfStock[WeekIndex],7)+SUMIFS(T_TTAFStock[TTAF_Qty],T_TTAFStock[RM_Code],$A45,T_TTAFStock[WeekIndex],7),G45+'Grid_Incoming'!H45-'Grid_Requirement'!H45))</f>
        <v/>
      </c>
      <c r="I45">
        <f>IF(COUNTIFS(T_StockCount[RM_Code],$A45,T_StockCount[WeekIndex],8)&gt;0,SUMIFS(T_StockCount[CountedQty],T_StockCount[RM_Code],$A45,T_StockCount[WeekIndex],8),IF((COUNTIFS(T_SelfStock[RM_Code],$A45,T_SelfStock[WeekIndex],8)&gt;0)*(COUNTIFS(T_TTAFStock[RM_Code],$A45,T_TTAFStock[WeekIndex],8)&gt;0)&gt;0,SUMIFS(T_SelfStock[Self_Qty],T_SelfStock[RM_Code],$A45,T_SelfStock[WeekIndex],8)+SUMIFS(T_TTAFStock[TTAF_Qty],T_TTAFStock[RM_Code],$A45,T_TTAFStock[WeekIndex],8),H45+'Grid_Incoming'!I45-'Grid_Requirement'!I45))</f>
        <v/>
      </c>
      <c r="J45">
        <f>IF(COUNTIFS(T_StockCount[RM_Code],$A45,T_StockCount[WeekIndex],9)&gt;0,SUMIFS(T_StockCount[CountedQty],T_StockCount[RM_Code],$A45,T_StockCount[WeekIndex],9),IF((COUNTIFS(T_SelfStock[RM_Code],$A45,T_SelfStock[WeekIndex],9)&gt;0)*(COUNTIFS(T_TTAFStock[RM_Code],$A45,T_TTAFStock[WeekIndex],9)&gt;0)&gt;0,SUMIFS(T_SelfStock[Self_Qty],T_SelfStock[RM_Code],$A45,T_SelfStock[WeekIndex],9)+SUMIFS(T_TTAFStock[TTAF_Qty],T_TTAFStock[RM_Code],$A45,T_TTAFStock[WeekIndex],9),I45+'Grid_Incoming'!J45-'Grid_Requirement'!J45))</f>
        <v/>
      </c>
      <c r="K45">
        <f>IF(COUNTIFS(T_StockCount[RM_Code],$A45,T_StockCount[WeekIndex],10)&gt;0,SUMIFS(T_StockCount[CountedQty],T_StockCount[RM_Code],$A45,T_StockCount[WeekIndex],10),IF((COUNTIFS(T_SelfStock[RM_Code],$A45,T_SelfStock[WeekIndex],10)&gt;0)*(COUNTIFS(T_TTAFStock[RM_Code],$A45,T_TTAFStock[WeekIndex],10)&gt;0)&gt;0,SUMIFS(T_SelfStock[Self_Qty],T_SelfStock[RM_Code],$A45,T_SelfStock[WeekIndex],10)+SUMIFS(T_TTAFStock[TTAF_Qty],T_TTAFStock[RM_Code],$A45,T_TTAFStock[WeekIndex],10),J45+'Grid_Incoming'!K45-'Grid_Requirement'!K45))</f>
        <v/>
      </c>
      <c r="L45">
        <f>IF(COUNTIFS(T_StockCount[RM_Code],$A45,T_StockCount[WeekIndex],11)&gt;0,SUMIFS(T_StockCount[CountedQty],T_StockCount[RM_Code],$A45,T_StockCount[WeekIndex],11),IF((COUNTIFS(T_SelfStock[RM_Code],$A45,T_SelfStock[WeekIndex],11)&gt;0)*(COUNTIFS(T_TTAFStock[RM_Code],$A45,T_TTAFStock[WeekIndex],11)&gt;0)&gt;0,SUMIFS(T_SelfStock[Self_Qty],T_SelfStock[RM_Code],$A45,T_SelfStock[WeekIndex],11)+SUMIFS(T_TTAFStock[TTAF_Qty],T_TTAFStock[RM_Code],$A45,T_TTAFStock[WeekIndex],11),K45+'Grid_Incoming'!L45-'Grid_Requirement'!L45))</f>
        <v/>
      </c>
      <c r="M45">
        <f>IF(COUNTIFS(T_StockCount[RM_Code],$A45,T_StockCount[WeekIndex],12)&gt;0,SUMIFS(T_StockCount[CountedQty],T_StockCount[RM_Code],$A45,T_StockCount[WeekIndex],12),IF((COUNTIFS(T_SelfStock[RM_Code],$A45,T_SelfStock[WeekIndex],12)&gt;0)*(COUNTIFS(T_TTAFStock[RM_Code],$A45,T_TTAFStock[WeekIndex],12)&gt;0)&gt;0,SUMIFS(T_SelfStock[Self_Qty],T_SelfStock[RM_Code],$A45,T_SelfStock[WeekIndex],12)+SUMIFS(T_TTAFStock[TTAF_Qty],T_TTAFStock[RM_Code],$A45,T_TTAFStock[WeekIndex],12),L45+'Grid_Incoming'!M45-'Grid_Requirement'!M45))</f>
        <v/>
      </c>
      <c r="N45">
        <f>IF(COUNTIFS(T_StockCount[RM_Code],$A45,T_StockCount[WeekIndex],13)&gt;0,SUMIFS(T_StockCount[CountedQty],T_StockCount[RM_Code],$A45,T_StockCount[WeekIndex],13),IF((COUNTIFS(T_SelfStock[RM_Code],$A45,T_SelfStock[WeekIndex],13)&gt;0)*(COUNTIFS(T_TTAFStock[RM_Code],$A45,T_TTAFStock[WeekIndex],13)&gt;0)&gt;0,SUMIFS(T_SelfStock[Self_Qty],T_SelfStock[RM_Code],$A45,T_SelfStock[WeekIndex],13)+SUMIFS(T_TTAFStock[TTAF_Qty],T_TTAFStock[RM_Code],$A45,T_TTAFStock[WeekIndex],13),M45+'Grid_Incoming'!N45-'Grid_Requirement'!N45))</f>
        <v/>
      </c>
      <c r="O45">
        <f>IF(COUNTIFS(T_StockCount[RM_Code],$A45,T_StockCount[WeekIndex],14)&gt;0,SUMIFS(T_StockCount[CountedQty],T_StockCount[RM_Code],$A45,T_StockCount[WeekIndex],14),IF((COUNTIFS(T_SelfStock[RM_Code],$A45,T_SelfStock[WeekIndex],14)&gt;0)*(COUNTIFS(T_TTAFStock[RM_Code],$A45,T_TTAFStock[WeekIndex],14)&gt;0)&gt;0,SUMIFS(T_SelfStock[Self_Qty],T_SelfStock[RM_Code],$A45,T_SelfStock[WeekIndex],14)+SUMIFS(T_TTAFStock[TTAF_Qty],T_TTAFStock[RM_Code],$A45,T_TTAFStock[WeekIndex],14),N45+'Grid_Incoming'!O45-'Grid_Requirement'!O45))</f>
        <v/>
      </c>
      <c r="P45">
        <f>IF(COUNTIFS(T_StockCount[RM_Code],$A45,T_StockCount[WeekIndex],15)&gt;0,SUMIFS(T_StockCount[CountedQty],T_StockCount[RM_Code],$A45,T_StockCount[WeekIndex],15),IF((COUNTIFS(T_SelfStock[RM_Code],$A45,T_SelfStock[WeekIndex],15)&gt;0)*(COUNTIFS(T_TTAFStock[RM_Code],$A45,T_TTAFStock[WeekIndex],15)&gt;0)&gt;0,SUMIFS(T_SelfStock[Self_Qty],T_SelfStock[RM_Code],$A45,T_SelfStock[WeekIndex],15)+SUMIFS(T_TTAFStock[TTAF_Qty],T_TTAFStock[RM_Code],$A45,T_TTAFStock[WeekIndex],15),O45+'Grid_Incoming'!P45-'Grid_Requirement'!P45))</f>
        <v/>
      </c>
      <c r="Q45">
        <f>IF(COUNTIFS(T_StockCount[RM_Code],$A45,T_StockCount[WeekIndex],16)&gt;0,SUMIFS(T_StockCount[CountedQty],T_StockCount[RM_Code],$A45,T_StockCount[WeekIndex],16),IF((COUNTIFS(T_SelfStock[RM_Code],$A45,T_SelfStock[WeekIndex],16)&gt;0)*(COUNTIFS(T_TTAFStock[RM_Code],$A45,T_TTAFStock[WeekIndex],16)&gt;0)&gt;0,SUMIFS(T_SelfStock[Self_Qty],T_SelfStock[RM_Code],$A45,T_SelfStock[WeekIndex],16)+SUMIFS(T_TTAFStock[TTAF_Qty],T_TTAFStock[RM_Code],$A45,T_TTAFStock[WeekIndex],16),P45+'Grid_Incoming'!Q45-'Grid_Requirement'!Q45))</f>
        <v/>
      </c>
      <c r="R45">
        <f>IF(COUNTIFS(T_StockCount[RM_Code],$A45,T_StockCount[WeekIndex],17)&gt;0,SUMIFS(T_StockCount[CountedQty],T_StockCount[RM_Code],$A45,T_StockCount[WeekIndex],17),IF((COUNTIFS(T_SelfStock[RM_Code],$A45,T_SelfStock[WeekIndex],17)&gt;0)*(COUNTIFS(T_TTAFStock[RM_Code],$A45,T_TTAFStock[WeekIndex],17)&gt;0)&gt;0,SUMIFS(T_SelfStock[Self_Qty],T_SelfStock[RM_Code],$A45,T_SelfStock[WeekIndex],17)+SUMIFS(T_TTAFStock[TTAF_Qty],T_TTAFStock[RM_Code],$A45,T_TTAFStock[WeekIndex],17),Q45+'Grid_Incoming'!R45-'Grid_Requirement'!R45))</f>
        <v/>
      </c>
      <c r="S45">
        <f>IF(COUNTIFS(T_StockCount[RM_Code],$A45,T_StockCount[WeekIndex],18)&gt;0,SUMIFS(T_StockCount[CountedQty],T_StockCount[RM_Code],$A45,T_StockCount[WeekIndex],18),IF((COUNTIFS(T_SelfStock[RM_Code],$A45,T_SelfStock[WeekIndex],18)&gt;0)*(COUNTIFS(T_TTAFStock[RM_Code],$A45,T_TTAFStock[WeekIndex],18)&gt;0)&gt;0,SUMIFS(T_SelfStock[Self_Qty],T_SelfStock[RM_Code],$A45,T_SelfStock[WeekIndex],18)+SUMIFS(T_TTAFStock[TTAF_Qty],T_TTAFStock[RM_Code],$A45,T_TTAFStock[WeekIndex],18),R45+'Grid_Incoming'!S45-'Grid_Requirement'!S45))</f>
        <v/>
      </c>
      <c r="T45">
        <f>IF(COUNTIFS(T_StockCount[RM_Code],$A45,T_StockCount[WeekIndex],19)&gt;0,SUMIFS(T_StockCount[CountedQty],T_StockCount[RM_Code],$A45,T_StockCount[WeekIndex],19),IF((COUNTIFS(T_SelfStock[RM_Code],$A45,T_SelfStock[WeekIndex],19)&gt;0)*(COUNTIFS(T_TTAFStock[RM_Code],$A45,T_TTAFStock[WeekIndex],19)&gt;0)&gt;0,SUMIFS(T_SelfStock[Self_Qty],T_SelfStock[RM_Code],$A45,T_SelfStock[WeekIndex],19)+SUMIFS(T_TTAFStock[TTAF_Qty],T_TTAFStock[RM_Code],$A45,T_TTAFStock[WeekIndex],19),S45+'Grid_Incoming'!T45-'Grid_Requirement'!T45))</f>
        <v/>
      </c>
      <c r="U45">
        <f>IF(COUNTIFS(T_StockCount[RM_Code],$A45,T_StockCount[WeekIndex],20)&gt;0,SUMIFS(T_StockCount[CountedQty],T_StockCount[RM_Code],$A45,T_StockCount[WeekIndex],20),IF((COUNTIFS(T_SelfStock[RM_Code],$A45,T_SelfStock[WeekIndex],20)&gt;0)*(COUNTIFS(T_TTAFStock[RM_Code],$A45,T_TTAFStock[WeekIndex],20)&gt;0)&gt;0,SUMIFS(T_SelfStock[Self_Qty],T_SelfStock[RM_Code],$A45,T_SelfStock[WeekIndex],20)+SUMIFS(T_TTAFStock[TTAF_Qty],T_TTAFStock[RM_Code],$A45,T_TTAFStock[WeekIndex],20),T45+'Grid_Incoming'!U45-'Grid_Requirement'!U45))</f>
        <v/>
      </c>
      <c r="V45">
        <f>IF(COUNTIFS(T_StockCount[RM_Code],$A45,T_StockCount[WeekIndex],21)&gt;0,SUMIFS(T_StockCount[CountedQty],T_StockCount[RM_Code],$A45,T_StockCount[WeekIndex],21),IF((COUNTIFS(T_SelfStock[RM_Code],$A45,T_SelfStock[WeekIndex],21)&gt;0)*(COUNTIFS(T_TTAFStock[RM_Code],$A45,T_TTAFStock[WeekIndex],21)&gt;0)&gt;0,SUMIFS(T_SelfStock[Self_Qty],T_SelfStock[RM_Code],$A45,T_SelfStock[WeekIndex],21)+SUMIFS(T_TTAFStock[TTAF_Qty],T_TTAFStock[RM_Code],$A45,T_TTAFStock[WeekIndex],21),U45+'Grid_Incoming'!V45-'Grid_Requirement'!V45))</f>
        <v/>
      </c>
      <c r="W45">
        <f>IF(COUNTIFS(T_StockCount[RM_Code],$A45,T_StockCount[WeekIndex],22)&gt;0,SUMIFS(T_StockCount[CountedQty],T_StockCount[RM_Code],$A45,T_StockCount[WeekIndex],22),IF((COUNTIFS(T_SelfStock[RM_Code],$A45,T_SelfStock[WeekIndex],22)&gt;0)*(COUNTIFS(T_TTAFStock[RM_Code],$A45,T_TTAFStock[WeekIndex],22)&gt;0)&gt;0,SUMIFS(T_SelfStock[Self_Qty],T_SelfStock[RM_Code],$A45,T_SelfStock[WeekIndex],22)+SUMIFS(T_TTAFStock[TTAF_Qty],T_TTAFStock[RM_Code],$A45,T_TTAFStock[WeekIndex],22),V45+'Grid_Incoming'!W45-'Grid_Requirement'!W45))</f>
        <v/>
      </c>
      <c r="X45">
        <f>IF(COUNTIFS(T_StockCount[RM_Code],$A45,T_StockCount[WeekIndex],23)&gt;0,SUMIFS(T_StockCount[CountedQty],T_StockCount[RM_Code],$A45,T_StockCount[WeekIndex],23),IF((COUNTIFS(T_SelfStock[RM_Code],$A45,T_SelfStock[WeekIndex],23)&gt;0)*(COUNTIFS(T_TTAFStock[RM_Code],$A45,T_TTAFStock[WeekIndex],23)&gt;0)&gt;0,SUMIFS(T_SelfStock[Self_Qty],T_SelfStock[RM_Code],$A45,T_SelfStock[WeekIndex],23)+SUMIFS(T_TTAFStock[TTAF_Qty],T_TTAFStock[RM_Code],$A45,T_TTAFStock[WeekIndex],23),W45+'Grid_Incoming'!X45-'Grid_Requirement'!X45))</f>
        <v/>
      </c>
      <c r="Y45">
        <f>IF(COUNTIFS(T_StockCount[RM_Code],$A45,T_StockCount[WeekIndex],24)&gt;0,SUMIFS(T_StockCount[CountedQty],T_StockCount[RM_Code],$A45,T_StockCount[WeekIndex],24),IF((COUNTIFS(T_SelfStock[RM_Code],$A45,T_SelfStock[WeekIndex],24)&gt;0)*(COUNTIFS(T_TTAFStock[RM_Code],$A45,T_TTAFStock[WeekIndex],24)&gt;0)&gt;0,SUMIFS(T_SelfStock[Self_Qty],T_SelfStock[RM_Code],$A45,T_SelfStock[WeekIndex],24)+SUMIFS(T_TTAFStock[TTAF_Qty],T_TTAFStock[RM_Code],$A45,T_TTAFStock[WeekIndex],24),X45+'Grid_Incoming'!Y45-'Grid_Requirement'!Y45))</f>
        <v/>
      </c>
      <c r="Z45">
        <f>IF(COUNTIFS(T_StockCount[RM_Code],$A45,T_StockCount[WeekIndex],25)&gt;0,SUMIFS(T_StockCount[CountedQty],T_StockCount[RM_Code],$A45,T_StockCount[WeekIndex],25),IF((COUNTIFS(T_SelfStock[RM_Code],$A45,T_SelfStock[WeekIndex],25)&gt;0)*(COUNTIFS(T_TTAFStock[RM_Code],$A45,T_TTAFStock[WeekIndex],25)&gt;0)&gt;0,SUMIFS(T_SelfStock[Self_Qty],T_SelfStock[RM_Code],$A45,T_SelfStock[WeekIndex],25)+SUMIFS(T_TTAFStock[TTAF_Qty],T_TTAFStock[RM_Code],$A45,T_TTAFStock[WeekIndex],25),Y45+'Grid_Incoming'!Z45-'Grid_Requirement'!Z45))</f>
        <v/>
      </c>
      <c r="AA45">
        <f>IF(COUNTIFS(T_StockCount[RM_Code],$A45,T_StockCount[WeekIndex],26)&gt;0,SUMIFS(T_StockCount[CountedQty],T_StockCount[RM_Code],$A45,T_StockCount[WeekIndex],26),IF((COUNTIFS(T_SelfStock[RM_Code],$A45,T_SelfStock[WeekIndex],26)&gt;0)*(COUNTIFS(T_TTAFStock[RM_Code],$A45,T_TTAFStock[WeekIndex],26)&gt;0)&gt;0,SUMIFS(T_SelfStock[Self_Qty],T_SelfStock[RM_Code],$A45,T_SelfStock[WeekIndex],26)+SUMIFS(T_TTAFStock[TTAF_Qty],T_TTAFStock[RM_Code],$A45,T_TTAFStock[WeekIndex],26),Z45+'Grid_Incoming'!AA45-'Grid_Requirement'!AA45))</f>
        <v/>
      </c>
      <c r="AB45">
        <f>IF(COUNTIFS(T_StockCount[RM_Code],$A45,T_StockCount[WeekIndex],27)&gt;0,SUMIFS(T_StockCount[CountedQty],T_StockCount[RM_Code],$A45,T_StockCount[WeekIndex],27),IF((COUNTIFS(T_SelfStock[RM_Code],$A45,T_SelfStock[WeekIndex],27)&gt;0)*(COUNTIFS(T_TTAFStock[RM_Code],$A45,T_TTAFStock[WeekIndex],27)&gt;0)&gt;0,SUMIFS(T_SelfStock[Self_Qty],T_SelfStock[RM_Code],$A45,T_SelfStock[WeekIndex],27)+SUMIFS(T_TTAFStock[TTAF_Qty],T_TTAFStock[RM_Code],$A45,T_TTAFStock[WeekIndex],27),AA45+'Grid_Incoming'!AB45-'Grid_Requirement'!AB45))</f>
        <v/>
      </c>
      <c r="AC45">
        <f>IF(COUNTIFS(T_StockCount[RM_Code],$A45,T_StockCount[WeekIndex],28)&gt;0,SUMIFS(T_StockCount[CountedQty],T_StockCount[RM_Code],$A45,T_StockCount[WeekIndex],28),IF((COUNTIFS(T_SelfStock[RM_Code],$A45,T_SelfStock[WeekIndex],28)&gt;0)*(COUNTIFS(T_TTAFStock[RM_Code],$A45,T_TTAFStock[WeekIndex],28)&gt;0)&gt;0,SUMIFS(T_SelfStock[Self_Qty],T_SelfStock[RM_Code],$A45,T_SelfStock[WeekIndex],28)+SUMIFS(T_TTAFStock[TTAF_Qty],T_TTAFStock[RM_Code],$A45,T_TTAFStock[WeekIndex],28),AB45+'Grid_Incoming'!AC45-'Grid_Requirement'!AC45))</f>
        <v/>
      </c>
      <c r="AD45">
        <f>IF(COUNTIFS(T_StockCount[RM_Code],$A45,T_StockCount[WeekIndex],29)&gt;0,SUMIFS(T_StockCount[CountedQty],T_StockCount[RM_Code],$A45,T_StockCount[WeekIndex],29),IF((COUNTIFS(T_SelfStock[RM_Code],$A45,T_SelfStock[WeekIndex],29)&gt;0)*(COUNTIFS(T_TTAFStock[RM_Code],$A45,T_TTAFStock[WeekIndex],29)&gt;0)&gt;0,SUMIFS(T_SelfStock[Self_Qty],T_SelfStock[RM_Code],$A45,T_SelfStock[WeekIndex],29)+SUMIFS(T_TTAFStock[TTAF_Qty],T_TTAFStock[RM_Code],$A45,T_TTAFStock[WeekIndex],29),AC45+'Grid_Incoming'!AD45-'Grid_Requirement'!AD45))</f>
        <v/>
      </c>
      <c r="AE45">
        <f>IF(COUNTIFS(T_StockCount[RM_Code],$A45,T_StockCount[WeekIndex],30)&gt;0,SUMIFS(T_StockCount[CountedQty],T_StockCount[RM_Code],$A45,T_StockCount[WeekIndex],30),IF((COUNTIFS(T_SelfStock[RM_Code],$A45,T_SelfStock[WeekIndex],30)&gt;0)*(COUNTIFS(T_TTAFStock[RM_Code],$A45,T_TTAFStock[WeekIndex],30)&gt;0)&gt;0,SUMIFS(T_SelfStock[Self_Qty],T_SelfStock[RM_Code],$A45,T_SelfStock[WeekIndex],30)+SUMIFS(T_TTAFStock[TTAF_Qty],T_TTAFStock[RM_Code],$A45,T_TTAFStock[WeekIndex],30),AD45+'Grid_Incoming'!AE45-'Grid_Requirement'!AE45))</f>
        <v/>
      </c>
      <c r="AF45">
        <f>IF(COUNTIFS(T_StockCount[RM_Code],$A45,T_StockCount[WeekIndex],31)&gt;0,SUMIFS(T_StockCount[CountedQty],T_StockCount[RM_Code],$A45,T_StockCount[WeekIndex],31),IF((COUNTIFS(T_SelfStock[RM_Code],$A45,T_SelfStock[WeekIndex],31)&gt;0)*(COUNTIFS(T_TTAFStock[RM_Code],$A45,T_TTAFStock[WeekIndex],31)&gt;0)&gt;0,SUMIFS(T_SelfStock[Self_Qty],T_SelfStock[RM_Code],$A45,T_SelfStock[WeekIndex],31)+SUMIFS(T_TTAFStock[TTAF_Qty],T_TTAFStock[RM_Code],$A45,T_TTAFStock[WeekIndex],31),AE45+'Grid_Incoming'!AF45-'Grid_Requirement'!AF45))</f>
        <v/>
      </c>
      <c r="AG45">
        <f>IF(COUNTIFS(T_StockCount[RM_Code],$A45,T_StockCount[WeekIndex],32)&gt;0,SUMIFS(T_StockCount[CountedQty],T_StockCount[RM_Code],$A45,T_StockCount[WeekIndex],32),IF((COUNTIFS(T_SelfStock[RM_Code],$A45,T_SelfStock[WeekIndex],32)&gt;0)*(COUNTIFS(T_TTAFStock[RM_Code],$A45,T_TTAFStock[WeekIndex],32)&gt;0)&gt;0,SUMIFS(T_SelfStock[Self_Qty],T_SelfStock[RM_Code],$A45,T_SelfStock[WeekIndex],32)+SUMIFS(T_TTAFStock[TTAF_Qty],T_TTAFStock[RM_Code],$A45,T_TTAFStock[WeekIndex],32),AF45+'Grid_Incoming'!AG45-'Grid_Requirement'!AG45))</f>
        <v/>
      </c>
      <c r="AH45">
        <f>IF(COUNTIFS(T_StockCount[RM_Code],$A45,T_StockCount[WeekIndex],33)&gt;0,SUMIFS(T_StockCount[CountedQty],T_StockCount[RM_Code],$A45,T_StockCount[WeekIndex],33),IF((COUNTIFS(T_SelfStock[RM_Code],$A45,T_SelfStock[WeekIndex],33)&gt;0)*(COUNTIFS(T_TTAFStock[RM_Code],$A45,T_TTAFStock[WeekIndex],33)&gt;0)&gt;0,SUMIFS(T_SelfStock[Self_Qty],T_SelfStock[RM_Code],$A45,T_SelfStock[WeekIndex],33)+SUMIFS(T_TTAFStock[TTAF_Qty],T_TTAFStock[RM_Code],$A45,T_TTAFStock[WeekIndex],33),AG45+'Grid_Incoming'!AH45-'Grid_Requirement'!AH45))</f>
        <v/>
      </c>
      <c r="AI45">
        <f>IF(COUNTIFS(T_StockCount[RM_Code],$A45,T_StockCount[WeekIndex],34)&gt;0,SUMIFS(T_StockCount[CountedQty],T_StockCount[RM_Code],$A45,T_StockCount[WeekIndex],34),IF((COUNTIFS(T_SelfStock[RM_Code],$A45,T_SelfStock[WeekIndex],34)&gt;0)*(COUNTIFS(T_TTAFStock[RM_Code],$A45,T_TTAFStock[WeekIndex],34)&gt;0)&gt;0,SUMIFS(T_SelfStock[Self_Qty],T_SelfStock[RM_Code],$A45,T_SelfStock[WeekIndex],34)+SUMIFS(T_TTAFStock[TTAF_Qty],T_TTAFStock[RM_Code],$A45,T_TTAFStock[WeekIndex],34),AH45+'Grid_Incoming'!AI45-'Grid_Requirement'!AI45))</f>
        <v/>
      </c>
      <c r="AJ45">
        <f>IF(COUNTIFS(T_StockCount[RM_Code],$A45,T_StockCount[WeekIndex],35)&gt;0,SUMIFS(T_StockCount[CountedQty],T_StockCount[RM_Code],$A45,T_StockCount[WeekIndex],35),IF((COUNTIFS(T_SelfStock[RM_Code],$A45,T_SelfStock[WeekIndex],35)&gt;0)*(COUNTIFS(T_TTAFStock[RM_Code],$A45,T_TTAFStock[WeekIndex],35)&gt;0)&gt;0,SUMIFS(T_SelfStock[Self_Qty],T_SelfStock[RM_Code],$A45,T_SelfStock[WeekIndex],35)+SUMIFS(T_TTAFStock[TTAF_Qty],T_TTAFStock[RM_Code],$A45,T_TTAFStock[WeekIndex],35),AI45+'Grid_Incoming'!AJ45-'Grid_Requirement'!AJ45))</f>
        <v/>
      </c>
      <c r="AK45">
        <f>IF(COUNTIFS(T_StockCount[RM_Code],$A45,T_StockCount[WeekIndex],36)&gt;0,SUMIFS(T_StockCount[CountedQty],T_StockCount[RM_Code],$A45,T_StockCount[WeekIndex],36),IF((COUNTIFS(T_SelfStock[RM_Code],$A45,T_SelfStock[WeekIndex],36)&gt;0)*(COUNTIFS(T_TTAFStock[RM_Code],$A45,T_TTAFStock[WeekIndex],36)&gt;0)&gt;0,SUMIFS(T_SelfStock[Self_Qty],T_SelfStock[RM_Code],$A45,T_SelfStock[WeekIndex],36)+SUMIFS(T_TTAFStock[TTAF_Qty],T_TTAFStock[RM_Code],$A45,T_TTAFStock[WeekIndex],36),AJ45+'Grid_Incoming'!AK45-'Grid_Requirement'!AK45))</f>
        <v/>
      </c>
      <c r="AL45">
        <f>IF(COUNTIFS(T_StockCount[RM_Code],$A45,T_StockCount[WeekIndex],37)&gt;0,SUMIFS(T_StockCount[CountedQty],T_StockCount[RM_Code],$A45,T_StockCount[WeekIndex],37),IF((COUNTIFS(T_SelfStock[RM_Code],$A45,T_SelfStock[WeekIndex],37)&gt;0)*(COUNTIFS(T_TTAFStock[RM_Code],$A45,T_TTAFStock[WeekIndex],37)&gt;0)&gt;0,SUMIFS(T_SelfStock[Self_Qty],T_SelfStock[RM_Code],$A45,T_SelfStock[WeekIndex],37)+SUMIFS(T_TTAFStock[TTAF_Qty],T_TTAFStock[RM_Code],$A45,T_TTAFStock[WeekIndex],37),AK45+'Grid_Incoming'!AL45-'Grid_Requirement'!AL45))</f>
        <v/>
      </c>
      <c r="AM45">
        <f>IF(COUNTIFS(T_StockCount[RM_Code],$A45,T_StockCount[WeekIndex],38)&gt;0,SUMIFS(T_StockCount[CountedQty],T_StockCount[RM_Code],$A45,T_StockCount[WeekIndex],38),IF((COUNTIFS(T_SelfStock[RM_Code],$A45,T_SelfStock[WeekIndex],38)&gt;0)*(COUNTIFS(T_TTAFStock[RM_Code],$A45,T_TTAFStock[WeekIndex],38)&gt;0)&gt;0,SUMIFS(T_SelfStock[Self_Qty],T_SelfStock[RM_Code],$A45,T_SelfStock[WeekIndex],38)+SUMIFS(T_TTAFStock[TTAF_Qty],T_TTAFStock[RM_Code],$A45,T_TTAFStock[WeekIndex],38),AL45+'Grid_Incoming'!AM45-'Grid_Requirement'!AM45))</f>
        <v/>
      </c>
      <c r="AN45">
        <f>IF(COUNTIFS(T_StockCount[RM_Code],$A45,T_StockCount[WeekIndex],39)&gt;0,SUMIFS(T_StockCount[CountedQty],T_StockCount[RM_Code],$A45,T_StockCount[WeekIndex],39),IF((COUNTIFS(T_SelfStock[RM_Code],$A45,T_SelfStock[WeekIndex],39)&gt;0)*(COUNTIFS(T_TTAFStock[RM_Code],$A45,T_TTAFStock[WeekIndex],39)&gt;0)&gt;0,SUMIFS(T_SelfStock[Self_Qty],T_SelfStock[RM_Code],$A45,T_SelfStock[WeekIndex],39)+SUMIFS(T_TTAFStock[TTAF_Qty],T_TTAFStock[RM_Code],$A45,T_TTAFStock[WeekIndex],39),AM45+'Grid_Incoming'!AN45-'Grid_Requirement'!AN45))</f>
        <v/>
      </c>
      <c r="AO45">
        <f>IF(COUNTIFS(T_StockCount[RM_Code],$A45,T_StockCount[WeekIndex],40)&gt;0,SUMIFS(T_StockCount[CountedQty],T_StockCount[RM_Code],$A45,T_StockCount[WeekIndex],40),IF((COUNTIFS(T_SelfStock[RM_Code],$A45,T_SelfStock[WeekIndex],40)&gt;0)*(COUNTIFS(T_TTAFStock[RM_Code],$A45,T_TTAFStock[WeekIndex],40)&gt;0)&gt;0,SUMIFS(T_SelfStock[Self_Qty],T_SelfStock[RM_Code],$A45,T_SelfStock[WeekIndex],40)+SUMIFS(T_TTAFStock[TTAF_Qty],T_TTAFStock[RM_Code],$A45,T_TTAFStock[WeekIndex],40),AN45+'Grid_Incoming'!AO45-'Grid_Requirement'!AO45))</f>
        <v/>
      </c>
      <c r="AP45">
        <f>IF(COUNTIFS(T_StockCount[RM_Code],$A45,T_StockCount[WeekIndex],41)&gt;0,SUMIFS(T_StockCount[CountedQty],T_StockCount[RM_Code],$A45,T_StockCount[WeekIndex],41),IF((COUNTIFS(T_SelfStock[RM_Code],$A45,T_SelfStock[WeekIndex],41)&gt;0)*(COUNTIFS(T_TTAFStock[RM_Code],$A45,T_TTAFStock[WeekIndex],41)&gt;0)&gt;0,SUMIFS(T_SelfStock[Self_Qty],T_SelfStock[RM_Code],$A45,T_SelfStock[WeekIndex],41)+SUMIFS(T_TTAFStock[TTAF_Qty],T_TTAFStock[RM_Code],$A45,T_TTAFStock[WeekIndex],41),AO45+'Grid_Incoming'!AP45-'Grid_Requirement'!AP45))</f>
        <v/>
      </c>
      <c r="AQ45">
        <f>IF(COUNTIFS(T_StockCount[RM_Code],$A45,T_StockCount[WeekIndex],42)&gt;0,SUMIFS(T_StockCount[CountedQty],T_StockCount[RM_Code],$A45,T_StockCount[WeekIndex],42),IF((COUNTIFS(T_SelfStock[RM_Code],$A45,T_SelfStock[WeekIndex],42)&gt;0)*(COUNTIFS(T_TTAFStock[RM_Code],$A45,T_TTAFStock[WeekIndex],42)&gt;0)&gt;0,SUMIFS(T_SelfStock[Self_Qty],T_SelfStock[RM_Code],$A45,T_SelfStock[WeekIndex],42)+SUMIFS(T_TTAFStock[TTAF_Qty],T_TTAFStock[RM_Code],$A45,T_TTAFStock[WeekIndex],42),AP45+'Grid_Incoming'!AQ45-'Grid_Requirement'!AQ45))</f>
        <v/>
      </c>
      <c r="AR45">
        <f>IF(COUNTIFS(T_StockCount[RM_Code],$A45,T_StockCount[WeekIndex],43)&gt;0,SUMIFS(T_StockCount[CountedQty],T_StockCount[RM_Code],$A45,T_StockCount[WeekIndex],43),IF((COUNTIFS(T_SelfStock[RM_Code],$A45,T_SelfStock[WeekIndex],43)&gt;0)*(COUNTIFS(T_TTAFStock[RM_Code],$A45,T_TTAFStock[WeekIndex],43)&gt;0)&gt;0,SUMIFS(T_SelfStock[Self_Qty],T_SelfStock[RM_Code],$A45,T_SelfStock[WeekIndex],43)+SUMIFS(T_TTAFStock[TTAF_Qty],T_TTAFStock[RM_Code],$A45,T_TTAFStock[WeekIndex],43),AQ45+'Grid_Incoming'!AR45-'Grid_Requirement'!AR45))</f>
        <v/>
      </c>
      <c r="AS45">
        <f>IF(COUNTIFS(T_StockCount[RM_Code],$A45,T_StockCount[WeekIndex],44)&gt;0,SUMIFS(T_StockCount[CountedQty],T_StockCount[RM_Code],$A45,T_StockCount[WeekIndex],44),IF((COUNTIFS(T_SelfStock[RM_Code],$A45,T_SelfStock[WeekIndex],44)&gt;0)*(COUNTIFS(T_TTAFStock[RM_Code],$A45,T_TTAFStock[WeekIndex],44)&gt;0)&gt;0,SUMIFS(T_SelfStock[Self_Qty],T_SelfStock[RM_Code],$A45,T_SelfStock[WeekIndex],44)+SUMIFS(T_TTAFStock[TTAF_Qty],T_TTAFStock[RM_Code],$A45,T_TTAFStock[WeekIndex],44),AR45+'Grid_Incoming'!AS45-'Grid_Requirement'!AS45))</f>
        <v/>
      </c>
      <c r="AT45">
        <f>IF(COUNTIFS(T_StockCount[RM_Code],$A45,T_StockCount[WeekIndex],45)&gt;0,SUMIFS(T_StockCount[CountedQty],T_StockCount[RM_Code],$A45,T_StockCount[WeekIndex],45),IF((COUNTIFS(T_SelfStock[RM_Code],$A45,T_SelfStock[WeekIndex],45)&gt;0)*(COUNTIFS(T_TTAFStock[RM_Code],$A45,T_TTAFStock[WeekIndex],45)&gt;0)&gt;0,SUMIFS(T_SelfStock[Self_Qty],T_SelfStock[RM_Code],$A45,T_SelfStock[WeekIndex],45)+SUMIFS(T_TTAFStock[TTAF_Qty],T_TTAFStock[RM_Code],$A45,T_TTAFStock[WeekIndex],45),AS45+'Grid_Incoming'!AT45-'Grid_Requirement'!AT45))</f>
        <v/>
      </c>
      <c r="AU45">
        <f>IF(COUNTIFS(T_StockCount[RM_Code],$A45,T_StockCount[WeekIndex],46)&gt;0,SUMIFS(T_StockCount[CountedQty],T_StockCount[RM_Code],$A45,T_StockCount[WeekIndex],46),IF((COUNTIFS(T_SelfStock[RM_Code],$A45,T_SelfStock[WeekIndex],46)&gt;0)*(COUNTIFS(T_TTAFStock[RM_Code],$A45,T_TTAFStock[WeekIndex],46)&gt;0)&gt;0,SUMIFS(T_SelfStock[Self_Qty],T_SelfStock[RM_Code],$A45,T_SelfStock[WeekIndex],46)+SUMIFS(T_TTAFStock[TTAF_Qty],T_TTAFStock[RM_Code],$A45,T_TTAFStock[WeekIndex],46),AT45+'Grid_Incoming'!AU45-'Grid_Requirement'!AU45))</f>
        <v/>
      </c>
      <c r="AV45">
        <f>IF(COUNTIFS(T_StockCount[RM_Code],$A45,T_StockCount[WeekIndex],47)&gt;0,SUMIFS(T_StockCount[CountedQty],T_StockCount[RM_Code],$A45,T_StockCount[WeekIndex],47),IF((COUNTIFS(T_SelfStock[RM_Code],$A45,T_SelfStock[WeekIndex],47)&gt;0)*(COUNTIFS(T_TTAFStock[RM_Code],$A45,T_TTAFStock[WeekIndex],47)&gt;0)&gt;0,SUMIFS(T_SelfStock[Self_Qty],T_SelfStock[RM_Code],$A45,T_SelfStock[WeekIndex],47)+SUMIFS(T_TTAFStock[TTAF_Qty],T_TTAFStock[RM_Code],$A45,T_TTAFStock[WeekIndex],47),AU45+'Grid_Incoming'!AV45-'Grid_Requirement'!AV45))</f>
        <v/>
      </c>
      <c r="AW45">
        <f>IF(COUNTIFS(T_StockCount[RM_Code],$A45,T_StockCount[WeekIndex],48)&gt;0,SUMIFS(T_StockCount[CountedQty],T_StockCount[RM_Code],$A45,T_StockCount[WeekIndex],48),IF((COUNTIFS(T_SelfStock[RM_Code],$A45,T_SelfStock[WeekIndex],48)&gt;0)*(COUNTIFS(T_TTAFStock[RM_Code],$A45,T_TTAFStock[WeekIndex],48)&gt;0)&gt;0,SUMIFS(T_SelfStock[Self_Qty],T_SelfStock[RM_Code],$A45,T_SelfStock[WeekIndex],48)+SUMIFS(T_TTAFStock[TTAF_Qty],T_TTAFStock[RM_Code],$A45,T_TTAFStock[WeekIndex],48),AV45+'Grid_Incoming'!AW45-'Grid_Requirement'!AW45))</f>
        <v/>
      </c>
      <c r="AX45">
        <f>IF(COUNTIFS(T_StockCount[RM_Code],$A45,T_StockCount[WeekIndex],49)&gt;0,SUMIFS(T_StockCount[CountedQty],T_StockCount[RM_Code],$A45,T_StockCount[WeekIndex],49),IF((COUNTIFS(T_SelfStock[RM_Code],$A45,T_SelfStock[WeekIndex],49)&gt;0)*(COUNTIFS(T_TTAFStock[RM_Code],$A45,T_TTAFStock[WeekIndex],49)&gt;0)&gt;0,SUMIFS(T_SelfStock[Self_Qty],T_SelfStock[RM_Code],$A45,T_SelfStock[WeekIndex],49)+SUMIFS(T_TTAFStock[TTAF_Qty],T_TTAFStock[RM_Code],$A45,T_TTAFStock[WeekIndex],49),AW45+'Grid_Incoming'!AX45-'Grid_Requirement'!AX45))</f>
        <v/>
      </c>
      <c r="AY45">
        <f>IF(COUNTIFS(T_StockCount[RM_Code],$A45,T_StockCount[WeekIndex],50)&gt;0,SUMIFS(T_StockCount[CountedQty],T_StockCount[RM_Code],$A45,T_StockCount[WeekIndex],50),IF((COUNTIFS(T_SelfStock[RM_Code],$A45,T_SelfStock[WeekIndex],50)&gt;0)*(COUNTIFS(T_TTAFStock[RM_Code],$A45,T_TTAFStock[WeekIndex],50)&gt;0)&gt;0,SUMIFS(T_SelfStock[Self_Qty],T_SelfStock[RM_Code],$A45,T_SelfStock[WeekIndex],50)+SUMIFS(T_TTAFStock[TTAF_Qty],T_TTAFStock[RM_Code],$A45,T_TTAFStock[WeekIndex],50),AX45+'Grid_Incoming'!AY45-'Grid_Requirement'!AY45))</f>
        <v/>
      </c>
      <c r="AZ45">
        <f>IF(COUNTIFS(T_StockCount[RM_Code],$A45,T_StockCount[WeekIndex],51)&gt;0,SUMIFS(T_StockCount[CountedQty],T_StockCount[RM_Code],$A45,T_StockCount[WeekIndex],51),IF((COUNTIFS(T_SelfStock[RM_Code],$A45,T_SelfStock[WeekIndex],51)&gt;0)*(COUNTIFS(T_TTAFStock[RM_Code],$A45,T_TTAFStock[WeekIndex],51)&gt;0)&gt;0,SUMIFS(T_SelfStock[Self_Qty],T_SelfStock[RM_Code],$A45,T_SelfStock[WeekIndex],51)+SUMIFS(T_TTAFStock[TTAF_Qty],T_TTAFStock[RM_Code],$A45,T_TTAFStock[WeekIndex],51),AY45+'Grid_Incoming'!AZ45-'Grid_Requirement'!AZ45))</f>
        <v/>
      </c>
      <c r="BA45">
        <f>IF(COUNTIFS(T_StockCount[RM_Code],$A45,T_StockCount[WeekIndex],52)&gt;0,SUMIFS(T_StockCount[CountedQty],T_StockCount[RM_Code],$A45,T_StockCount[WeekIndex],52),IF((COUNTIFS(T_SelfStock[RM_Code],$A45,T_SelfStock[WeekIndex],52)&gt;0)*(COUNTIFS(T_TTAFStock[RM_Code],$A45,T_TTAFStock[WeekIndex],52)&gt;0)&gt;0,SUMIFS(T_SelfStock[Self_Qty],T_SelfStock[RM_Code],$A45,T_SelfStock[WeekIndex],52)+SUMIFS(T_TTAFStock[TTAF_Qty],T_TTAFStock[RM_Code],$A45,T_TTAFStock[WeekIndex],52),AZ45+'Grid_Incoming'!BA45-'Grid_Requirement'!BA45))</f>
        <v/>
      </c>
      <c r="BB45">
        <f>IF(COUNTIFS(T_StockCount[RM_Code],$A45,T_StockCount[WeekIndex],53)&gt;0,SUMIFS(T_StockCount[CountedQty],T_StockCount[RM_Code],$A45,T_StockCount[WeekIndex],53),IF((COUNTIFS(T_SelfStock[RM_Code],$A45,T_SelfStock[WeekIndex],53)&gt;0)*(COUNTIFS(T_TTAFStock[RM_Code],$A45,T_TTAFStock[WeekIndex],53)&gt;0)&gt;0,SUMIFS(T_SelfStock[Self_Qty],T_SelfStock[RM_Code],$A45,T_SelfStock[WeekIndex],53)+SUMIFS(T_TTAFStock[TTAF_Qty],T_TTAFStock[RM_Code],$A45,T_TTAFStock[WeekIndex],53),BA45+'Grid_Incoming'!BB45-'Grid_Requirement'!BB45))</f>
        <v/>
      </c>
      <c r="BC45">
        <f>IF(COUNTIFS(T_StockCount[RM_Code],$A45,T_StockCount[WeekIndex],54)&gt;0,SUMIFS(T_StockCount[CountedQty],T_StockCount[RM_Code],$A45,T_StockCount[WeekIndex],54),IF((COUNTIFS(T_SelfStock[RM_Code],$A45,T_SelfStock[WeekIndex],54)&gt;0)*(COUNTIFS(T_TTAFStock[RM_Code],$A45,T_TTAFStock[WeekIndex],54)&gt;0)&gt;0,SUMIFS(T_SelfStock[Self_Qty],T_SelfStock[RM_Code],$A45,T_SelfStock[WeekIndex],54)+SUMIFS(T_TTAFStock[TTAF_Qty],T_TTAFStock[RM_Code],$A45,T_TTAFStock[WeekIndex],54),BB45+'Grid_Incoming'!BC45-'Grid_Requirement'!BC45))</f>
        <v/>
      </c>
      <c r="BD45">
        <f>IF(COUNTIFS(T_StockCount[RM_Code],$A45,T_StockCount[WeekIndex],55)&gt;0,SUMIFS(T_StockCount[CountedQty],T_StockCount[RM_Code],$A45,T_StockCount[WeekIndex],55),IF((COUNTIFS(T_SelfStock[RM_Code],$A45,T_SelfStock[WeekIndex],55)&gt;0)*(COUNTIFS(T_TTAFStock[RM_Code],$A45,T_TTAFStock[WeekIndex],55)&gt;0)&gt;0,SUMIFS(T_SelfStock[Self_Qty],T_SelfStock[RM_Code],$A45,T_SelfStock[WeekIndex],55)+SUMIFS(T_TTAFStock[TTAF_Qty],T_TTAFStock[RM_Code],$A45,T_TTAFStock[WeekIndex],55),BC45+'Grid_Incoming'!BD45-'Grid_Requirement'!BD45))</f>
        <v/>
      </c>
      <c r="BE45">
        <f>IF(COUNTIFS(T_StockCount[RM_Code],$A45,T_StockCount[WeekIndex],56)&gt;0,SUMIFS(T_StockCount[CountedQty],T_StockCount[RM_Code],$A45,T_StockCount[WeekIndex],56),IF((COUNTIFS(T_SelfStock[RM_Code],$A45,T_SelfStock[WeekIndex],56)&gt;0)*(COUNTIFS(T_TTAFStock[RM_Code],$A45,T_TTAFStock[WeekIndex],56)&gt;0)&gt;0,SUMIFS(T_SelfStock[Self_Qty],T_SelfStock[RM_Code],$A45,T_SelfStock[WeekIndex],56)+SUMIFS(T_TTAFStock[TTAF_Qty],T_TTAFStock[RM_Code],$A45,T_TTAFStock[WeekIndex],56),BD45+'Grid_Incoming'!BE45-'Grid_Requirement'!BE45))</f>
        <v/>
      </c>
      <c r="BF45">
        <f>IF(COUNTIFS(T_StockCount[RM_Code],$A45,T_StockCount[WeekIndex],57)&gt;0,SUMIFS(T_StockCount[CountedQty],T_StockCount[RM_Code],$A45,T_StockCount[WeekIndex],57),IF((COUNTIFS(T_SelfStock[RM_Code],$A45,T_SelfStock[WeekIndex],57)&gt;0)*(COUNTIFS(T_TTAFStock[RM_Code],$A45,T_TTAFStock[WeekIndex],57)&gt;0)&gt;0,SUMIFS(T_SelfStock[Self_Qty],T_SelfStock[RM_Code],$A45,T_SelfStock[WeekIndex],57)+SUMIFS(T_TTAFStock[TTAF_Qty],T_TTAFStock[RM_Code],$A45,T_TTAFStock[WeekIndex],57),BE45+'Grid_Incoming'!BF45-'Grid_Requirement'!BF45))</f>
        <v/>
      </c>
      <c r="BG45">
        <f>IF(COUNTIFS(T_StockCount[RM_Code],$A45,T_StockCount[WeekIndex],58)&gt;0,SUMIFS(T_StockCount[CountedQty],T_StockCount[RM_Code],$A45,T_StockCount[WeekIndex],58),IF((COUNTIFS(T_SelfStock[RM_Code],$A45,T_SelfStock[WeekIndex],58)&gt;0)*(COUNTIFS(T_TTAFStock[RM_Code],$A45,T_TTAFStock[WeekIndex],58)&gt;0)&gt;0,SUMIFS(T_SelfStock[Self_Qty],T_SelfStock[RM_Code],$A45,T_SelfStock[WeekIndex],58)+SUMIFS(T_TTAFStock[TTAF_Qty],T_TTAFStock[RM_Code],$A45,T_TTAFStock[WeekIndex],58),BF45+'Grid_Incoming'!BG45-'Grid_Requirement'!BG45))</f>
        <v/>
      </c>
      <c r="BH45">
        <f>IF(COUNTIFS(T_StockCount[RM_Code],$A45,T_StockCount[WeekIndex],59)&gt;0,SUMIFS(T_StockCount[CountedQty],T_StockCount[RM_Code],$A45,T_StockCount[WeekIndex],59),IF((COUNTIFS(T_SelfStock[RM_Code],$A45,T_SelfStock[WeekIndex],59)&gt;0)*(COUNTIFS(T_TTAFStock[RM_Code],$A45,T_TTAFStock[WeekIndex],59)&gt;0)&gt;0,SUMIFS(T_SelfStock[Self_Qty],T_SelfStock[RM_Code],$A45,T_SelfStock[WeekIndex],59)+SUMIFS(T_TTAFStock[TTAF_Qty],T_TTAFStock[RM_Code],$A45,T_TTAFStock[WeekIndex],59),BG45+'Grid_Incoming'!BH45-'Grid_Requirement'!BH45))</f>
        <v/>
      </c>
      <c r="BI45">
        <f>IF(COUNTIFS(T_StockCount[RM_Code],$A45,T_StockCount[WeekIndex],60)&gt;0,SUMIFS(T_StockCount[CountedQty],T_StockCount[RM_Code],$A45,T_StockCount[WeekIndex],60),IF((COUNTIFS(T_SelfStock[RM_Code],$A45,T_SelfStock[WeekIndex],60)&gt;0)*(COUNTIFS(T_TTAFStock[RM_Code],$A45,T_TTAFStock[WeekIndex],60)&gt;0)&gt;0,SUMIFS(T_SelfStock[Self_Qty],T_SelfStock[RM_Code],$A45,T_SelfStock[WeekIndex],60)+SUMIFS(T_TTAFStock[TTAF_Qty],T_TTAFStock[RM_Code],$A45,T_TTAFStock[WeekIndex],60),BH45+'Grid_Incoming'!BI45-'Grid_Requirement'!BI45))</f>
        <v/>
      </c>
      <c r="BJ45">
        <f>IF(COUNTIFS(T_StockCount[RM_Code],$A45,T_StockCount[WeekIndex],61)&gt;0,SUMIFS(T_StockCount[CountedQty],T_StockCount[RM_Code],$A45,T_StockCount[WeekIndex],61),IF((COUNTIFS(T_SelfStock[RM_Code],$A45,T_SelfStock[WeekIndex],61)&gt;0)*(COUNTIFS(T_TTAFStock[RM_Code],$A45,T_TTAFStock[WeekIndex],61)&gt;0)&gt;0,SUMIFS(T_SelfStock[Self_Qty],T_SelfStock[RM_Code],$A45,T_SelfStock[WeekIndex],61)+SUMIFS(T_TTAFStock[TTAF_Qty],T_TTAFStock[RM_Code],$A45,T_TTAFStock[WeekIndex],61),BI45+'Grid_Incoming'!BJ45-'Grid_Requirement'!BJ45))</f>
        <v/>
      </c>
      <c r="BK45">
        <f>IF(COUNTIFS(T_StockCount[RM_Code],$A45,T_StockCount[WeekIndex],62)&gt;0,SUMIFS(T_StockCount[CountedQty],T_StockCount[RM_Code],$A45,T_StockCount[WeekIndex],62),IF((COUNTIFS(T_SelfStock[RM_Code],$A45,T_SelfStock[WeekIndex],62)&gt;0)*(COUNTIFS(T_TTAFStock[RM_Code],$A45,T_TTAFStock[WeekIndex],62)&gt;0)&gt;0,SUMIFS(T_SelfStock[Self_Qty],T_SelfStock[RM_Code],$A45,T_SelfStock[WeekIndex],62)+SUMIFS(T_TTAFStock[TTAF_Qty],T_TTAFStock[RM_Code],$A45,T_TTAFStock[WeekIndex],62),BJ45+'Grid_Incoming'!BK45-'Grid_Requirement'!BK45))</f>
        <v/>
      </c>
      <c r="BL45">
        <f>IF(COUNTIFS(T_StockCount[RM_Code],$A45,T_StockCount[WeekIndex],63)&gt;0,SUMIFS(T_StockCount[CountedQty],T_StockCount[RM_Code],$A45,T_StockCount[WeekIndex],63),IF((COUNTIFS(T_SelfStock[RM_Code],$A45,T_SelfStock[WeekIndex],63)&gt;0)*(COUNTIFS(T_TTAFStock[RM_Code],$A45,T_TTAFStock[WeekIndex],63)&gt;0)&gt;0,SUMIFS(T_SelfStock[Self_Qty],T_SelfStock[RM_Code],$A45,T_SelfStock[WeekIndex],63)+SUMIFS(T_TTAFStock[TTAF_Qty],T_TTAFStock[RM_Code],$A45,T_TTAFStock[WeekIndex],63),BK45+'Grid_Incoming'!BL45-'Grid_Requirement'!BL45))</f>
        <v/>
      </c>
      <c r="BM45">
        <f>IF(COUNTIFS(T_StockCount[RM_Code],$A45,T_StockCount[WeekIndex],64)&gt;0,SUMIFS(T_StockCount[CountedQty],T_StockCount[RM_Code],$A45,T_StockCount[WeekIndex],64),IF((COUNTIFS(T_SelfStock[RM_Code],$A45,T_SelfStock[WeekIndex],64)&gt;0)*(COUNTIFS(T_TTAFStock[RM_Code],$A45,T_TTAFStock[WeekIndex],64)&gt;0)&gt;0,SUMIFS(T_SelfStock[Self_Qty],T_SelfStock[RM_Code],$A45,T_SelfStock[WeekIndex],64)+SUMIFS(T_TTAFStock[TTAF_Qty],T_TTAFStock[RM_Code],$A45,T_TTAFStock[WeekIndex],64),BL45+'Grid_Incoming'!BM45-'Grid_Requirement'!BM45))</f>
        <v/>
      </c>
      <c r="BN45">
        <f>IF(COUNTIFS(T_StockCount[RM_Code],$A45,T_StockCount[WeekIndex],65)&gt;0,SUMIFS(T_StockCount[CountedQty],T_StockCount[RM_Code],$A45,T_StockCount[WeekIndex],65),IF((COUNTIFS(T_SelfStock[RM_Code],$A45,T_SelfStock[WeekIndex],65)&gt;0)*(COUNTIFS(T_TTAFStock[RM_Code],$A45,T_TTAFStock[WeekIndex],65)&gt;0)&gt;0,SUMIFS(T_SelfStock[Self_Qty],T_SelfStock[RM_Code],$A45,T_SelfStock[WeekIndex],65)+SUMIFS(T_TTAFStock[TTAF_Qty],T_TTAFStock[RM_Code],$A45,T_TTAFStock[WeekIndex],65),BM45+'Grid_Incoming'!BN45-'Grid_Requirement'!BN45))</f>
        <v/>
      </c>
      <c r="BO45">
        <f>IF(COUNTIFS(T_StockCount[RM_Code],$A45,T_StockCount[WeekIndex],66)&gt;0,SUMIFS(T_StockCount[CountedQty],T_StockCount[RM_Code],$A45,T_StockCount[WeekIndex],66),IF((COUNTIFS(T_SelfStock[RM_Code],$A45,T_SelfStock[WeekIndex],66)&gt;0)*(COUNTIFS(T_TTAFStock[RM_Code],$A45,T_TTAFStock[WeekIndex],66)&gt;0)&gt;0,SUMIFS(T_SelfStock[Self_Qty],T_SelfStock[RM_Code],$A45,T_SelfStock[WeekIndex],66)+SUMIFS(T_TTAFStock[TTAF_Qty],T_TTAFStock[RM_Code],$A45,T_TTAFStock[WeekIndex],66),BN45+'Grid_Incoming'!BO45-'Grid_Requirement'!BO45))</f>
        <v/>
      </c>
      <c r="BP45">
        <f>IF(COUNTIFS(T_StockCount[RM_Code],$A45,T_StockCount[WeekIndex],67)&gt;0,SUMIFS(T_StockCount[CountedQty],T_StockCount[RM_Code],$A45,T_StockCount[WeekIndex],67),IF((COUNTIFS(T_SelfStock[RM_Code],$A45,T_SelfStock[WeekIndex],67)&gt;0)*(COUNTIFS(T_TTAFStock[RM_Code],$A45,T_TTAFStock[WeekIndex],67)&gt;0)&gt;0,SUMIFS(T_SelfStock[Self_Qty],T_SelfStock[RM_Code],$A45,T_SelfStock[WeekIndex],67)+SUMIFS(T_TTAFStock[TTAF_Qty],T_TTAFStock[RM_Code],$A45,T_TTAFStock[WeekIndex],67),BO45+'Grid_Incoming'!BP45-'Grid_Requirement'!BP45))</f>
        <v/>
      </c>
      <c r="BQ45">
        <f>IF(COUNTIFS(T_StockCount[RM_Code],$A45,T_StockCount[WeekIndex],68)&gt;0,SUMIFS(T_StockCount[CountedQty],T_StockCount[RM_Code],$A45,T_StockCount[WeekIndex],68),IF((COUNTIFS(T_SelfStock[RM_Code],$A45,T_SelfStock[WeekIndex],68)&gt;0)*(COUNTIFS(T_TTAFStock[RM_Code],$A45,T_TTAFStock[WeekIndex],68)&gt;0)&gt;0,SUMIFS(T_SelfStock[Self_Qty],T_SelfStock[RM_Code],$A45,T_SelfStock[WeekIndex],68)+SUMIFS(T_TTAFStock[TTAF_Qty],T_TTAFStock[RM_Code],$A45,T_TTAFStock[WeekIndex],68),BP45+'Grid_Incoming'!BQ45-'Grid_Requirement'!BQ45))</f>
        <v/>
      </c>
      <c r="BR45">
        <f>IF(COUNTIFS(T_StockCount[RM_Code],$A45,T_StockCount[WeekIndex],69)&gt;0,SUMIFS(T_StockCount[CountedQty],T_StockCount[RM_Code],$A45,T_StockCount[WeekIndex],69),IF((COUNTIFS(T_SelfStock[RM_Code],$A45,T_SelfStock[WeekIndex],69)&gt;0)*(COUNTIFS(T_TTAFStock[RM_Code],$A45,T_TTAFStock[WeekIndex],69)&gt;0)&gt;0,SUMIFS(T_SelfStock[Self_Qty],T_SelfStock[RM_Code],$A45,T_SelfStock[WeekIndex],69)+SUMIFS(T_TTAFStock[TTAF_Qty],T_TTAFStock[RM_Code],$A45,T_TTAFStock[WeekIndex],69),BQ45+'Grid_Incoming'!BR45-'Grid_Requirement'!BR45))</f>
        <v/>
      </c>
      <c r="BS45">
        <f>IF(COUNTIFS(T_StockCount[RM_Code],$A45,T_StockCount[WeekIndex],70)&gt;0,SUMIFS(T_StockCount[CountedQty],T_StockCount[RM_Code],$A45,T_StockCount[WeekIndex],70),IF((COUNTIFS(T_SelfStock[RM_Code],$A45,T_SelfStock[WeekIndex],70)&gt;0)*(COUNTIFS(T_TTAFStock[RM_Code],$A45,T_TTAFStock[WeekIndex],70)&gt;0)&gt;0,SUMIFS(T_SelfStock[Self_Qty],T_SelfStock[RM_Code],$A45,T_SelfStock[WeekIndex],70)+SUMIFS(T_TTAFStock[TTAF_Qty],T_TTAFStock[RM_Code],$A45,T_TTAFStock[WeekIndex],70),BR45+'Grid_Incoming'!BS45-'Grid_Requirement'!BS45))</f>
        <v/>
      </c>
      <c r="BT45">
        <f>IF(COUNTIFS(T_StockCount[RM_Code],$A45,T_StockCount[WeekIndex],71)&gt;0,SUMIFS(T_StockCount[CountedQty],T_StockCount[RM_Code],$A45,T_StockCount[WeekIndex],71),IF((COUNTIFS(T_SelfStock[RM_Code],$A45,T_SelfStock[WeekIndex],71)&gt;0)*(COUNTIFS(T_TTAFStock[RM_Code],$A45,T_TTAFStock[WeekIndex],71)&gt;0)&gt;0,SUMIFS(T_SelfStock[Self_Qty],T_SelfStock[RM_Code],$A45,T_SelfStock[WeekIndex],71)+SUMIFS(T_TTAFStock[TTAF_Qty],T_TTAFStock[RM_Code],$A45,T_TTAFStock[WeekIndex],71),BS45+'Grid_Incoming'!BT45-'Grid_Requirement'!BT45))</f>
        <v/>
      </c>
      <c r="BU45">
        <f>IF(COUNTIFS(T_StockCount[RM_Code],$A45,T_StockCount[WeekIndex],72)&gt;0,SUMIFS(T_StockCount[CountedQty],T_StockCount[RM_Code],$A45,T_StockCount[WeekIndex],72),IF((COUNTIFS(T_SelfStock[RM_Code],$A45,T_SelfStock[WeekIndex],72)&gt;0)*(COUNTIFS(T_TTAFStock[RM_Code],$A45,T_TTAFStock[WeekIndex],72)&gt;0)&gt;0,SUMIFS(T_SelfStock[Self_Qty],T_SelfStock[RM_Code],$A45,T_SelfStock[WeekIndex],72)+SUMIFS(T_TTAFStock[TTAF_Qty],T_TTAFStock[RM_Code],$A45,T_TTAFStock[WeekIndex],72),BT45+'Grid_Incoming'!BU45-'Grid_Requirement'!BU45))</f>
        <v/>
      </c>
      <c r="BV45">
        <f>IF(COUNTIFS(T_StockCount[RM_Code],$A45,T_StockCount[WeekIndex],73)&gt;0,SUMIFS(T_StockCount[CountedQty],T_StockCount[RM_Code],$A45,T_StockCount[WeekIndex],73),IF((COUNTIFS(T_SelfStock[RM_Code],$A45,T_SelfStock[WeekIndex],73)&gt;0)*(COUNTIFS(T_TTAFStock[RM_Code],$A45,T_TTAFStock[WeekIndex],73)&gt;0)&gt;0,SUMIFS(T_SelfStock[Self_Qty],T_SelfStock[RM_Code],$A45,T_SelfStock[WeekIndex],73)+SUMIFS(T_TTAFStock[TTAF_Qty],T_TTAFStock[RM_Code],$A45,T_TTAFStock[WeekIndex],73),BU45+'Grid_Incoming'!BV45-'Grid_Requirement'!BV45))</f>
        <v/>
      </c>
      <c r="BW45">
        <f>IF(COUNTIFS(T_StockCount[RM_Code],$A45,T_StockCount[WeekIndex],74)&gt;0,SUMIFS(T_StockCount[CountedQty],T_StockCount[RM_Code],$A45,T_StockCount[WeekIndex],74),IF((COUNTIFS(T_SelfStock[RM_Code],$A45,T_SelfStock[WeekIndex],74)&gt;0)*(COUNTIFS(T_TTAFStock[RM_Code],$A45,T_TTAFStock[WeekIndex],74)&gt;0)&gt;0,SUMIFS(T_SelfStock[Self_Qty],T_SelfStock[RM_Code],$A45,T_SelfStock[WeekIndex],74)+SUMIFS(T_TTAFStock[TTAF_Qty],T_TTAFStock[RM_Code],$A45,T_TTAFStock[WeekIndex],74),BV45+'Grid_Incoming'!BW45-'Grid_Requirement'!BW45))</f>
        <v/>
      </c>
      <c r="BX45">
        <f>IF(COUNTIFS(T_StockCount[RM_Code],$A45,T_StockCount[WeekIndex],75)&gt;0,SUMIFS(T_StockCount[CountedQty],T_StockCount[RM_Code],$A45,T_StockCount[WeekIndex],75),IF((COUNTIFS(T_SelfStock[RM_Code],$A45,T_SelfStock[WeekIndex],75)&gt;0)*(COUNTIFS(T_TTAFStock[RM_Code],$A45,T_TTAFStock[WeekIndex],75)&gt;0)&gt;0,SUMIFS(T_SelfStock[Self_Qty],T_SelfStock[RM_Code],$A45,T_SelfStock[WeekIndex],75)+SUMIFS(T_TTAFStock[TTAF_Qty],T_TTAFStock[RM_Code],$A45,T_TTAFStock[WeekIndex],75),BW45+'Grid_Incoming'!BX45-'Grid_Requirement'!BX45))</f>
        <v/>
      </c>
      <c r="BY45">
        <f>IF(COUNTIFS(T_StockCount[RM_Code],$A45,T_StockCount[WeekIndex],76)&gt;0,SUMIFS(T_StockCount[CountedQty],T_StockCount[RM_Code],$A45,T_StockCount[WeekIndex],76),IF((COUNTIFS(T_SelfStock[RM_Code],$A45,T_SelfStock[WeekIndex],76)&gt;0)*(COUNTIFS(T_TTAFStock[RM_Code],$A45,T_TTAFStock[WeekIndex],76)&gt;0)&gt;0,SUMIFS(T_SelfStock[Self_Qty],T_SelfStock[RM_Code],$A45,T_SelfStock[WeekIndex],76)+SUMIFS(T_TTAFStock[TTAF_Qty],T_TTAFStock[RM_Code],$A45,T_TTAFStock[WeekIndex],76),BX45+'Grid_Incoming'!BY45-'Grid_Requirement'!BY45))</f>
        <v/>
      </c>
      <c r="BZ45">
        <f>IF(COUNTIFS(T_StockCount[RM_Code],$A45,T_StockCount[WeekIndex],77)&gt;0,SUMIFS(T_StockCount[CountedQty],T_StockCount[RM_Code],$A45,T_StockCount[WeekIndex],77),IF((COUNTIFS(T_SelfStock[RM_Code],$A45,T_SelfStock[WeekIndex],77)&gt;0)*(COUNTIFS(T_TTAFStock[RM_Code],$A45,T_TTAFStock[WeekIndex],77)&gt;0)&gt;0,SUMIFS(T_SelfStock[Self_Qty],T_SelfStock[RM_Code],$A45,T_SelfStock[WeekIndex],77)+SUMIFS(T_TTAFStock[TTAF_Qty],T_TTAFStock[RM_Code],$A45,T_TTAFStock[WeekIndex],77),BY45+'Grid_Incoming'!BZ45-'Grid_Requirement'!BZ45))</f>
        <v/>
      </c>
      <c r="CA45">
        <f>IF(COUNTIFS(T_StockCount[RM_Code],$A45,T_StockCount[WeekIndex],78)&gt;0,SUMIFS(T_StockCount[CountedQty],T_StockCount[RM_Code],$A45,T_StockCount[WeekIndex],78),IF((COUNTIFS(T_SelfStock[RM_Code],$A45,T_SelfStock[WeekIndex],78)&gt;0)*(COUNTIFS(T_TTAFStock[RM_Code],$A45,T_TTAFStock[WeekIndex],78)&gt;0)&gt;0,SUMIFS(T_SelfStock[Self_Qty],T_SelfStock[RM_Code],$A45,T_SelfStock[WeekIndex],78)+SUMIFS(T_TTAFStock[TTAF_Qty],T_TTAFStock[RM_Code],$A45,T_TTAFStock[WeekIndex],78),BZ45+'Grid_Incoming'!CA45-'Grid_Requirement'!CA45))</f>
        <v/>
      </c>
      <c r="CB45">
        <f>IF(COUNTIFS(T_StockCount[RM_Code],$A45,T_StockCount[WeekIndex],79)&gt;0,SUMIFS(T_StockCount[CountedQty],T_StockCount[RM_Code],$A45,T_StockCount[WeekIndex],79),IF((COUNTIFS(T_SelfStock[RM_Code],$A45,T_SelfStock[WeekIndex],79)&gt;0)*(COUNTIFS(T_TTAFStock[RM_Code],$A45,T_TTAFStock[WeekIndex],79)&gt;0)&gt;0,SUMIFS(T_SelfStock[Self_Qty],T_SelfStock[RM_Code],$A45,T_SelfStock[WeekIndex],79)+SUMIFS(T_TTAFStock[TTAF_Qty],T_TTAFStock[RM_Code],$A45,T_TTAFStock[WeekIndex],79),CA45+'Grid_Incoming'!CB45-'Grid_Requirement'!CB45))</f>
        <v/>
      </c>
      <c r="CC45">
        <f>IF(COUNTIFS(T_StockCount[RM_Code],$A45,T_StockCount[WeekIndex],80)&gt;0,SUMIFS(T_StockCount[CountedQty],T_StockCount[RM_Code],$A45,T_StockCount[WeekIndex],80),IF((COUNTIFS(T_SelfStock[RM_Code],$A45,T_SelfStock[WeekIndex],80)&gt;0)*(COUNTIFS(T_TTAFStock[RM_Code],$A45,T_TTAFStock[WeekIndex],80)&gt;0)&gt;0,SUMIFS(T_SelfStock[Self_Qty],T_SelfStock[RM_Code],$A45,T_SelfStock[WeekIndex],80)+SUMIFS(T_TTAFStock[TTAF_Qty],T_TTAFStock[RM_Code],$A45,T_TTAFStock[WeekIndex],80),CB45+'Grid_Incoming'!CC45-'Grid_Requirement'!CC45))</f>
        <v/>
      </c>
      <c r="CD45">
        <f>IF(COUNTIFS(T_StockCount[RM_Code],$A45,T_StockCount[WeekIndex],81)&gt;0,SUMIFS(T_StockCount[CountedQty],T_StockCount[RM_Code],$A45,T_StockCount[WeekIndex],81),IF((COUNTIFS(T_SelfStock[RM_Code],$A45,T_SelfStock[WeekIndex],81)&gt;0)*(COUNTIFS(T_TTAFStock[RM_Code],$A45,T_TTAFStock[WeekIndex],81)&gt;0)&gt;0,SUMIFS(T_SelfStock[Self_Qty],T_SelfStock[RM_Code],$A45,T_SelfStock[WeekIndex],81)+SUMIFS(T_TTAFStock[TTAF_Qty],T_TTAFStock[RM_Code],$A45,T_TTAFStock[WeekIndex],81),CC45+'Grid_Incoming'!CD45-'Grid_Requirement'!CD45))</f>
        <v/>
      </c>
      <c r="CE45">
        <f>IF(COUNTIFS(T_StockCount[RM_Code],$A45,T_StockCount[WeekIndex],82)&gt;0,SUMIFS(T_StockCount[CountedQty],T_StockCount[RM_Code],$A45,T_StockCount[WeekIndex],82),IF((COUNTIFS(T_SelfStock[RM_Code],$A45,T_SelfStock[WeekIndex],82)&gt;0)*(COUNTIFS(T_TTAFStock[RM_Code],$A45,T_TTAFStock[WeekIndex],82)&gt;0)&gt;0,SUMIFS(T_SelfStock[Self_Qty],T_SelfStock[RM_Code],$A45,T_SelfStock[WeekIndex],82)+SUMIFS(T_TTAFStock[TTAF_Qty],T_TTAFStock[RM_Code],$A45,T_TTAFStock[WeekIndex],82),CD45+'Grid_Incoming'!CE45-'Grid_Requirement'!CE45))</f>
        <v/>
      </c>
      <c r="CF45">
        <f>IF(COUNTIFS(T_StockCount[RM_Code],$A45,T_StockCount[WeekIndex],83)&gt;0,SUMIFS(T_StockCount[CountedQty],T_StockCount[RM_Code],$A45,T_StockCount[WeekIndex],83),IF((COUNTIFS(T_SelfStock[RM_Code],$A45,T_SelfStock[WeekIndex],83)&gt;0)*(COUNTIFS(T_TTAFStock[RM_Code],$A45,T_TTAFStock[WeekIndex],83)&gt;0)&gt;0,SUMIFS(T_SelfStock[Self_Qty],T_SelfStock[RM_Code],$A45,T_SelfStock[WeekIndex],83)+SUMIFS(T_TTAFStock[TTAF_Qty],T_TTAFStock[RM_Code],$A45,T_TTAFStock[WeekIndex],83),CE45+'Grid_Incoming'!CF45-'Grid_Requirement'!CF45))</f>
        <v/>
      </c>
      <c r="CG45">
        <f>IF(COUNTIFS(T_StockCount[RM_Code],$A45,T_StockCount[WeekIndex],84)&gt;0,SUMIFS(T_StockCount[CountedQty],T_StockCount[RM_Code],$A45,T_StockCount[WeekIndex],84),IF((COUNTIFS(T_SelfStock[RM_Code],$A45,T_SelfStock[WeekIndex],84)&gt;0)*(COUNTIFS(T_TTAFStock[RM_Code],$A45,T_TTAFStock[WeekIndex],84)&gt;0)&gt;0,SUMIFS(T_SelfStock[Self_Qty],T_SelfStock[RM_Code],$A45,T_SelfStock[WeekIndex],84)+SUMIFS(T_TTAFStock[TTAF_Qty],T_TTAFStock[RM_Code],$A45,T_TTAFStock[WeekIndex],84),CF45+'Grid_Incoming'!CG45-'Grid_Requirement'!CG45))</f>
        <v/>
      </c>
      <c r="CH45">
        <f>IF(COUNTIFS(T_StockCount[RM_Code],$A45,T_StockCount[WeekIndex],85)&gt;0,SUMIFS(T_StockCount[CountedQty],T_StockCount[RM_Code],$A45,T_StockCount[WeekIndex],85),IF((COUNTIFS(T_SelfStock[RM_Code],$A45,T_SelfStock[WeekIndex],85)&gt;0)*(COUNTIFS(T_TTAFStock[RM_Code],$A45,T_TTAFStock[WeekIndex],85)&gt;0)&gt;0,SUMIFS(T_SelfStock[Self_Qty],T_SelfStock[RM_Code],$A45,T_SelfStock[WeekIndex],85)+SUMIFS(T_TTAFStock[TTAF_Qty],T_TTAFStock[RM_Code],$A45,T_TTAFStock[WeekIndex],85),CG45+'Grid_Incoming'!CH45-'Grid_Requirement'!CH45))</f>
        <v/>
      </c>
      <c r="CI45">
        <f>IF(COUNTIFS(T_StockCount[RM_Code],$A45,T_StockCount[WeekIndex],86)&gt;0,SUMIFS(T_StockCount[CountedQty],T_StockCount[RM_Code],$A45,T_StockCount[WeekIndex],86),IF((COUNTIFS(T_SelfStock[RM_Code],$A45,T_SelfStock[WeekIndex],86)&gt;0)*(COUNTIFS(T_TTAFStock[RM_Code],$A45,T_TTAFStock[WeekIndex],86)&gt;0)&gt;0,SUMIFS(T_SelfStock[Self_Qty],T_SelfStock[RM_Code],$A45,T_SelfStock[WeekIndex],86)+SUMIFS(T_TTAFStock[TTAF_Qty],T_TTAFStock[RM_Code],$A45,T_TTAFStock[WeekIndex],86),CH45+'Grid_Incoming'!CI45-'Grid_Requirement'!CI45))</f>
        <v/>
      </c>
      <c r="CJ45">
        <f>IF(COUNTIFS(T_StockCount[RM_Code],$A45,T_StockCount[WeekIndex],87)&gt;0,SUMIFS(T_StockCount[CountedQty],T_StockCount[RM_Code],$A45,T_StockCount[WeekIndex],87),IF((COUNTIFS(T_SelfStock[RM_Code],$A45,T_SelfStock[WeekIndex],87)&gt;0)*(COUNTIFS(T_TTAFStock[RM_Code],$A45,T_TTAFStock[WeekIndex],87)&gt;0)&gt;0,SUMIFS(T_SelfStock[Self_Qty],T_SelfStock[RM_Code],$A45,T_SelfStock[WeekIndex],87)+SUMIFS(T_TTAFStock[TTAF_Qty],T_TTAFStock[RM_Code],$A45,T_TTAFStock[WeekIndex],87),CI45+'Grid_Incoming'!CJ45-'Grid_Requirement'!CJ45))</f>
        <v/>
      </c>
      <c r="CK45">
        <f>IF(COUNTIFS(T_StockCount[RM_Code],$A45,T_StockCount[WeekIndex],88)&gt;0,SUMIFS(T_StockCount[CountedQty],T_StockCount[RM_Code],$A45,T_StockCount[WeekIndex],88),IF((COUNTIFS(T_SelfStock[RM_Code],$A45,T_SelfStock[WeekIndex],88)&gt;0)*(COUNTIFS(T_TTAFStock[RM_Code],$A45,T_TTAFStock[WeekIndex],88)&gt;0)&gt;0,SUMIFS(T_SelfStock[Self_Qty],T_SelfStock[RM_Code],$A45,T_SelfStock[WeekIndex],88)+SUMIFS(T_TTAFStock[TTAF_Qty],T_TTAFStock[RM_Code],$A45,T_TTAFStock[WeekIndex],88),CJ45+'Grid_Incoming'!CK45-'Grid_Requirement'!CK45))</f>
        <v/>
      </c>
      <c r="CL45">
        <f>IF(COUNTIFS(T_StockCount[RM_Code],$A45,T_StockCount[WeekIndex],89)&gt;0,SUMIFS(T_StockCount[CountedQty],T_StockCount[RM_Code],$A45,T_StockCount[WeekIndex],89),IF((COUNTIFS(T_SelfStock[RM_Code],$A45,T_SelfStock[WeekIndex],89)&gt;0)*(COUNTIFS(T_TTAFStock[RM_Code],$A45,T_TTAFStock[WeekIndex],89)&gt;0)&gt;0,SUMIFS(T_SelfStock[Self_Qty],T_SelfStock[RM_Code],$A45,T_SelfStock[WeekIndex],89)+SUMIFS(T_TTAFStock[TTAF_Qty],T_TTAFStock[RM_Code],$A45,T_TTAFStock[WeekIndex],89),CK45+'Grid_Incoming'!CL45-'Grid_Requirement'!CL45))</f>
        <v/>
      </c>
      <c r="CM45">
        <f>IF(COUNTIFS(T_StockCount[RM_Code],$A45,T_StockCount[WeekIndex],90)&gt;0,SUMIFS(T_StockCount[CountedQty],T_StockCount[RM_Code],$A45,T_StockCount[WeekIndex],90),IF((COUNTIFS(T_SelfStock[RM_Code],$A45,T_SelfStock[WeekIndex],90)&gt;0)*(COUNTIFS(T_TTAFStock[RM_Code],$A45,T_TTAFStock[WeekIndex],90)&gt;0)&gt;0,SUMIFS(T_SelfStock[Self_Qty],T_SelfStock[RM_Code],$A45,T_SelfStock[WeekIndex],90)+SUMIFS(T_TTAFStock[TTAF_Qty],T_TTAFStock[RM_Code],$A45,T_TTAFStock[WeekIndex],90),CL45+'Grid_Incoming'!CM45-'Grid_Requirement'!CM45))</f>
        <v/>
      </c>
      <c r="CN45">
        <f>IF(COUNTIFS(T_StockCount[RM_Code],$A45,T_StockCount[WeekIndex],91)&gt;0,SUMIFS(T_StockCount[CountedQty],T_StockCount[RM_Code],$A45,T_StockCount[WeekIndex],91),IF((COUNTIFS(T_SelfStock[RM_Code],$A45,T_SelfStock[WeekIndex],91)&gt;0)*(COUNTIFS(T_TTAFStock[RM_Code],$A45,T_TTAFStock[WeekIndex],91)&gt;0)&gt;0,SUMIFS(T_SelfStock[Self_Qty],T_SelfStock[RM_Code],$A45,T_SelfStock[WeekIndex],91)+SUMIFS(T_TTAFStock[TTAF_Qty],T_TTAFStock[RM_Code],$A45,T_TTAFStock[WeekIndex],91),CM45+'Grid_Incoming'!CN45-'Grid_Requirement'!CN45))</f>
        <v/>
      </c>
      <c r="CO45">
        <f>IF(COUNTIFS(T_StockCount[RM_Code],$A45,T_StockCount[WeekIndex],92)&gt;0,SUMIFS(T_StockCount[CountedQty],T_StockCount[RM_Code],$A45,T_StockCount[WeekIndex],92),IF((COUNTIFS(T_SelfStock[RM_Code],$A45,T_SelfStock[WeekIndex],92)&gt;0)*(COUNTIFS(T_TTAFStock[RM_Code],$A45,T_TTAFStock[WeekIndex],92)&gt;0)&gt;0,SUMIFS(T_SelfStock[Self_Qty],T_SelfStock[RM_Code],$A45,T_SelfStock[WeekIndex],92)+SUMIFS(T_TTAFStock[TTAF_Qty],T_TTAFStock[RM_Code],$A45,T_TTAFStock[WeekIndex],92),CN45+'Grid_Incoming'!CO45-'Grid_Requirement'!CO45))</f>
        <v/>
      </c>
      <c r="CP45">
        <f>IF(COUNTIFS(T_StockCount[RM_Code],$A45,T_StockCount[WeekIndex],93)&gt;0,SUMIFS(T_StockCount[CountedQty],T_StockCount[RM_Code],$A45,T_StockCount[WeekIndex],93),IF((COUNTIFS(T_SelfStock[RM_Code],$A45,T_SelfStock[WeekIndex],93)&gt;0)*(COUNTIFS(T_TTAFStock[RM_Code],$A45,T_TTAFStock[WeekIndex],93)&gt;0)&gt;0,SUMIFS(T_SelfStock[Self_Qty],T_SelfStock[RM_Code],$A45,T_SelfStock[WeekIndex],93)+SUMIFS(T_TTAFStock[TTAF_Qty],T_TTAFStock[RM_Code],$A45,T_TTAFStock[WeekIndex],93),CO45+'Grid_Incoming'!CP45-'Grid_Requirement'!CP45))</f>
        <v/>
      </c>
      <c r="CQ45">
        <f>IF(COUNTIFS(T_StockCount[RM_Code],$A45,T_StockCount[WeekIndex],94)&gt;0,SUMIFS(T_StockCount[CountedQty],T_StockCount[RM_Code],$A45,T_StockCount[WeekIndex],94),IF((COUNTIFS(T_SelfStock[RM_Code],$A45,T_SelfStock[WeekIndex],94)&gt;0)*(COUNTIFS(T_TTAFStock[RM_Code],$A45,T_TTAFStock[WeekIndex],94)&gt;0)&gt;0,SUMIFS(T_SelfStock[Self_Qty],T_SelfStock[RM_Code],$A45,T_SelfStock[WeekIndex],94)+SUMIFS(T_TTAFStock[TTAF_Qty],T_TTAFStock[RM_Code],$A45,T_TTAFStock[WeekIndex],94),CP45+'Grid_Incoming'!CQ45-'Grid_Requirement'!CQ45))</f>
        <v/>
      </c>
      <c r="CR45">
        <f>IF(COUNTIFS(T_StockCount[RM_Code],$A45,T_StockCount[WeekIndex],95)&gt;0,SUMIFS(T_StockCount[CountedQty],T_StockCount[RM_Code],$A45,T_StockCount[WeekIndex],95),IF((COUNTIFS(T_SelfStock[RM_Code],$A45,T_SelfStock[WeekIndex],95)&gt;0)*(COUNTIFS(T_TTAFStock[RM_Code],$A45,T_TTAFStock[WeekIndex],95)&gt;0)&gt;0,SUMIFS(T_SelfStock[Self_Qty],T_SelfStock[RM_Code],$A45,T_SelfStock[WeekIndex],95)+SUMIFS(T_TTAFStock[TTAF_Qty],T_TTAFStock[RM_Code],$A45,T_TTAFStock[WeekIndex],95),CQ45+'Grid_Incoming'!CR45-'Grid_Requirement'!CR45))</f>
        <v/>
      </c>
      <c r="CS45">
        <f>IF(COUNTIFS(T_StockCount[RM_Code],$A45,T_StockCount[WeekIndex],96)&gt;0,SUMIFS(T_StockCount[CountedQty],T_StockCount[RM_Code],$A45,T_StockCount[WeekIndex],96),IF((COUNTIFS(T_SelfStock[RM_Code],$A45,T_SelfStock[WeekIndex],96)&gt;0)*(COUNTIFS(T_TTAFStock[RM_Code],$A45,T_TTAFStock[WeekIndex],96)&gt;0)&gt;0,SUMIFS(T_SelfStock[Self_Qty],T_SelfStock[RM_Code],$A45,T_SelfStock[WeekIndex],96)+SUMIFS(T_TTAFStock[TTAF_Qty],T_TTAFStock[RM_Code],$A45,T_TTAFStock[WeekIndex],96),CR45+'Grid_Incoming'!CS45-'Grid_Requirement'!CS45))</f>
        <v/>
      </c>
      <c r="CT45">
        <f>IF(COUNTIFS(T_StockCount[RM_Code],$A45,T_StockCount[WeekIndex],97)&gt;0,SUMIFS(T_StockCount[CountedQty],T_StockCount[RM_Code],$A45,T_StockCount[WeekIndex],97),IF((COUNTIFS(T_SelfStock[RM_Code],$A45,T_SelfStock[WeekIndex],97)&gt;0)*(COUNTIFS(T_TTAFStock[RM_Code],$A45,T_TTAFStock[WeekIndex],97)&gt;0)&gt;0,SUMIFS(T_SelfStock[Self_Qty],T_SelfStock[RM_Code],$A45,T_SelfStock[WeekIndex],97)+SUMIFS(T_TTAFStock[TTAF_Qty],T_TTAFStock[RM_Code],$A45,T_TTAFStock[WeekIndex],97),CS45+'Grid_Incoming'!CT45-'Grid_Requirement'!CT45))</f>
        <v/>
      </c>
      <c r="CU45">
        <f>IF(COUNTIFS(T_StockCount[RM_Code],$A45,T_StockCount[WeekIndex],98)&gt;0,SUMIFS(T_StockCount[CountedQty],T_StockCount[RM_Code],$A45,T_StockCount[WeekIndex],98),IF((COUNTIFS(T_SelfStock[RM_Code],$A45,T_SelfStock[WeekIndex],98)&gt;0)*(COUNTIFS(T_TTAFStock[RM_Code],$A45,T_TTAFStock[WeekIndex],98)&gt;0)&gt;0,SUMIFS(T_SelfStock[Self_Qty],T_SelfStock[RM_Code],$A45,T_SelfStock[WeekIndex],98)+SUMIFS(T_TTAFStock[TTAF_Qty],T_TTAFStock[RM_Code],$A45,T_TTAFStock[WeekIndex],98),CT45+'Grid_Incoming'!CU45-'Grid_Requirement'!CU45))</f>
        <v/>
      </c>
      <c r="CV45">
        <f>IF(COUNTIFS(T_StockCount[RM_Code],$A45,T_StockCount[WeekIndex],99)&gt;0,SUMIFS(T_StockCount[CountedQty],T_StockCount[RM_Code],$A45,T_StockCount[WeekIndex],99),IF((COUNTIFS(T_SelfStock[RM_Code],$A45,T_SelfStock[WeekIndex],99)&gt;0)*(COUNTIFS(T_TTAFStock[RM_Code],$A45,T_TTAFStock[WeekIndex],99)&gt;0)&gt;0,SUMIFS(T_SelfStock[Self_Qty],T_SelfStock[RM_Code],$A45,T_SelfStock[WeekIndex],99)+SUMIFS(T_TTAFStock[TTAF_Qty],T_TTAFStock[RM_Code],$A45,T_TTAFStock[WeekIndex],99),CU45+'Grid_Incoming'!CV45-'Grid_Requirement'!CV45))</f>
        <v/>
      </c>
      <c r="CW45">
        <f>IF(COUNTIFS(T_StockCount[RM_Code],$A45,T_StockCount[WeekIndex],100)&gt;0,SUMIFS(T_StockCount[CountedQty],T_StockCount[RM_Code],$A45,T_StockCount[WeekIndex],100),IF((COUNTIFS(T_SelfStock[RM_Code],$A45,T_SelfStock[WeekIndex],100)&gt;0)*(COUNTIFS(T_TTAFStock[RM_Code],$A45,T_TTAFStock[WeekIndex],100)&gt;0)&gt;0,SUMIFS(T_SelfStock[Self_Qty],T_SelfStock[RM_Code],$A45,T_SelfStock[WeekIndex],100)+SUMIFS(T_TTAFStock[TTAF_Qty],T_TTAFStock[RM_Code],$A45,T_TTAFStock[WeekIndex],100),CV45+'Grid_Incoming'!CW45-'Grid_Requirement'!CW45))</f>
        <v/>
      </c>
      <c r="CX45">
        <f>IF(COUNTIFS(T_StockCount[RM_Code],$A45,T_StockCount[WeekIndex],101)&gt;0,SUMIFS(T_StockCount[CountedQty],T_StockCount[RM_Code],$A45,T_StockCount[WeekIndex],101),IF((COUNTIFS(T_SelfStock[RM_Code],$A45,T_SelfStock[WeekIndex],101)&gt;0)*(COUNTIFS(T_TTAFStock[RM_Code],$A45,T_TTAFStock[WeekIndex],101)&gt;0)&gt;0,SUMIFS(T_SelfStock[Self_Qty],T_SelfStock[RM_Code],$A45,T_SelfStock[WeekIndex],101)+SUMIFS(T_TTAFStock[TTAF_Qty],T_TTAFStock[RM_Code],$A45,T_TTAFStock[WeekIndex],101),CW45+'Grid_Incoming'!CX45-'Grid_Requirement'!CX45))</f>
        <v/>
      </c>
      <c r="CY45">
        <f>IF(COUNTIFS(T_StockCount[RM_Code],$A45,T_StockCount[WeekIndex],102)&gt;0,SUMIFS(T_StockCount[CountedQty],T_StockCount[RM_Code],$A45,T_StockCount[WeekIndex],102),IF((COUNTIFS(T_SelfStock[RM_Code],$A45,T_SelfStock[WeekIndex],102)&gt;0)*(COUNTIFS(T_TTAFStock[RM_Code],$A45,T_TTAFStock[WeekIndex],102)&gt;0)&gt;0,SUMIFS(T_SelfStock[Self_Qty],T_SelfStock[RM_Code],$A45,T_SelfStock[WeekIndex],102)+SUMIFS(T_TTAFStock[TTAF_Qty],T_TTAFStock[RM_Code],$A45,T_TTAFStock[WeekIndex],102),CX45+'Grid_Incoming'!CY45-'Grid_Requirement'!CY45))</f>
        <v/>
      </c>
      <c r="CZ45">
        <f>IF(COUNTIFS(T_StockCount[RM_Code],$A45,T_StockCount[WeekIndex],103)&gt;0,SUMIFS(T_StockCount[CountedQty],T_StockCount[RM_Code],$A45,T_StockCount[WeekIndex],103),IF((COUNTIFS(T_SelfStock[RM_Code],$A45,T_SelfStock[WeekIndex],103)&gt;0)*(COUNTIFS(T_TTAFStock[RM_Code],$A45,T_TTAFStock[WeekIndex],103)&gt;0)&gt;0,SUMIFS(T_SelfStock[Self_Qty],T_SelfStock[RM_Code],$A45,T_SelfStock[WeekIndex],103)+SUMIFS(T_TTAFStock[TTAF_Qty],T_TTAFStock[RM_Code],$A45,T_TTAFStock[WeekIndex],103),CY45+'Grid_Incoming'!CZ45-'Grid_Requirement'!CZ45))</f>
        <v/>
      </c>
      <c r="DA45">
        <f>IF(COUNTIFS(T_StockCount[RM_Code],$A45,T_StockCount[WeekIndex],104)&gt;0,SUMIFS(T_StockCount[CountedQty],T_StockCount[RM_Code],$A45,T_StockCount[WeekIndex],104),IF((COUNTIFS(T_SelfStock[RM_Code],$A45,T_SelfStock[WeekIndex],104)&gt;0)*(COUNTIFS(T_TTAFStock[RM_Code],$A45,T_TTAFStock[WeekIndex],104)&gt;0)&gt;0,SUMIFS(T_SelfStock[Self_Qty],T_SelfStock[RM_Code],$A45,T_SelfStock[WeekIndex],104)+SUMIFS(T_TTAFStock[TTAF_Qty],T_TTAFStock[RM_Code],$A45,T_TTAFStock[WeekIndex],104),CZ45+'Grid_Incoming'!DA45-'Grid_Requirement'!DA45))</f>
        <v/>
      </c>
    </row>
    <row r="46">
      <c r="A46" t="inlineStr">
        <is>
          <t>CHEM-1410</t>
        </is>
      </c>
      <c r="B46">
        <f>IF(COUNTIFS(T_StockCount[RM_Code],$A46,T_StockCount[WeekIndex],1)&gt;0,SUMIFS(T_StockCount[CountedQty],T_StockCount[RM_Code],$A46,T_StockCount[WeekIndex],1),IF((COUNTIFS(T_SelfStock[RM_Code],$A46,T_SelfStock[WeekIndex],1)&gt;0)*(COUNTIFS(T_TTAFStock[RM_Code],$A46,T_TTAFStock[WeekIndex],1)&gt;0)&gt;0,SUMIFS(T_SelfStock[Self_Qty],T_SelfStock[RM_Code],$A46,T_SelfStock[WeekIndex],1)+SUMIFS(T_TTAFStock[TTAF_Qty],T_TTAFStock[RM_Code],$A46,T_TTAFStock[WeekIndex],1),IFERROR(INDEX(T_OpeningStock[Opening_Qty],MATCH($A46,T_OpeningStock[RM_Code],0)),0)+'Grid_Incoming'!B46-'Grid_Requirement'!B46))</f>
        <v/>
      </c>
      <c r="C46">
        <f>IF(COUNTIFS(T_StockCount[RM_Code],$A46,T_StockCount[WeekIndex],2)&gt;0,SUMIFS(T_StockCount[CountedQty],T_StockCount[RM_Code],$A46,T_StockCount[WeekIndex],2),IF((COUNTIFS(T_SelfStock[RM_Code],$A46,T_SelfStock[WeekIndex],2)&gt;0)*(COUNTIFS(T_TTAFStock[RM_Code],$A46,T_TTAFStock[WeekIndex],2)&gt;0)&gt;0,SUMIFS(T_SelfStock[Self_Qty],T_SelfStock[RM_Code],$A46,T_SelfStock[WeekIndex],2)+SUMIFS(T_TTAFStock[TTAF_Qty],T_TTAFStock[RM_Code],$A46,T_TTAFStock[WeekIndex],2),B46+'Grid_Incoming'!C46-'Grid_Requirement'!C46))</f>
        <v/>
      </c>
      <c r="D46">
        <f>IF(COUNTIFS(T_StockCount[RM_Code],$A46,T_StockCount[WeekIndex],3)&gt;0,SUMIFS(T_StockCount[CountedQty],T_StockCount[RM_Code],$A46,T_StockCount[WeekIndex],3),IF((COUNTIFS(T_SelfStock[RM_Code],$A46,T_SelfStock[WeekIndex],3)&gt;0)*(COUNTIFS(T_TTAFStock[RM_Code],$A46,T_TTAFStock[WeekIndex],3)&gt;0)&gt;0,SUMIFS(T_SelfStock[Self_Qty],T_SelfStock[RM_Code],$A46,T_SelfStock[WeekIndex],3)+SUMIFS(T_TTAFStock[TTAF_Qty],T_TTAFStock[RM_Code],$A46,T_TTAFStock[WeekIndex],3),C46+'Grid_Incoming'!D46-'Grid_Requirement'!D46))</f>
        <v/>
      </c>
      <c r="E46">
        <f>IF(COUNTIFS(T_StockCount[RM_Code],$A46,T_StockCount[WeekIndex],4)&gt;0,SUMIFS(T_StockCount[CountedQty],T_StockCount[RM_Code],$A46,T_StockCount[WeekIndex],4),IF((COUNTIFS(T_SelfStock[RM_Code],$A46,T_SelfStock[WeekIndex],4)&gt;0)*(COUNTIFS(T_TTAFStock[RM_Code],$A46,T_TTAFStock[WeekIndex],4)&gt;0)&gt;0,SUMIFS(T_SelfStock[Self_Qty],T_SelfStock[RM_Code],$A46,T_SelfStock[WeekIndex],4)+SUMIFS(T_TTAFStock[TTAF_Qty],T_TTAFStock[RM_Code],$A46,T_TTAFStock[WeekIndex],4),D46+'Grid_Incoming'!E46-'Grid_Requirement'!E46))</f>
        <v/>
      </c>
      <c r="F46">
        <f>IF(COUNTIFS(T_StockCount[RM_Code],$A46,T_StockCount[WeekIndex],5)&gt;0,SUMIFS(T_StockCount[CountedQty],T_StockCount[RM_Code],$A46,T_StockCount[WeekIndex],5),IF((COUNTIFS(T_SelfStock[RM_Code],$A46,T_SelfStock[WeekIndex],5)&gt;0)*(COUNTIFS(T_TTAFStock[RM_Code],$A46,T_TTAFStock[WeekIndex],5)&gt;0)&gt;0,SUMIFS(T_SelfStock[Self_Qty],T_SelfStock[RM_Code],$A46,T_SelfStock[WeekIndex],5)+SUMIFS(T_TTAFStock[TTAF_Qty],T_TTAFStock[RM_Code],$A46,T_TTAFStock[WeekIndex],5),E46+'Grid_Incoming'!F46-'Grid_Requirement'!F46))</f>
        <v/>
      </c>
      <c r="G46">
        <f>IF(COUNTIFS(T_StockCount[RM_Code],$A46,T_StockCount[WeekIndex],6)&gt;0,SUMIFS(T_StockCount[CountedQty],T_StockCount[RM_Code],$A46,T_StockCount[WeekIndex],6),IF((COUNTIFS(T_SelfStock[RM_Code],$A46,T_SelfStock[WeekIndex],6)&gt;0)*(COUNTIFS(T_TTAFStock[RM_Code],$A46,T_TTAFStock[WeekIndex],6)&gt;0)&gt;0,SUMIFS(T_SelfStock[Self_Qty],T_SelfStock[RM_Code],$A46,T_SelfStock[WeekIndex],6)+SUMIFS(T_TTAFStock[TTAF_Qty],T_TTAFStock[RM_Code],$A46,T_TTAFStock[WeekIndex],6),F46+'Grid_Incoming'!G46-'Grid_Requirement'!G46))</f>
        <v/>
      </c>
      <c r="H46">
        <f>IF(COUNTIFS(T_StockCount[RM_Code],$A46,T_StockCount[WeekIndex],7)&gt;0,SUMIFS(T_StockCount[CountedQty],T_StockCount[RM_Code],$A46,T_StockCount[WeekIndex],7),IF((COUNTIFS(T_SelfStock[RM_Code],$A46,T_SelfStock[WeekIndex],7)&gt;0)*(COUNTIFS(T_TTAFStock[RM_Code],$A46,T_TTAFStock[WeekIndex],7)&gt;0)&gt;0,SUMIFS(T_SelfStock[Self_Qty],T_SelfStock[RM_Code],$A46,T_SelfStock[WeekIndex],7)+SUMIFS(T_TTAFStock[TTAF_Qty],T_TTAFStock[RM_Code],$A46,T_TTAFStock[WeekIndex],7),G46+'Grid_Incoming'!H46-'Grid_Requirement'!H46))</f>
        <v/>
      </c>
      <c r="I46">
        <f>IF(COUNTIFS(T_StockCount[RM_Code],$A46,T_StockCount[WeekIndex],8)&gt;0,SUMIFS(T_StockCount[CountedQty],T_StockCount[RM_Code],$A46,T_StockCount[WeekIndex],8),IF((COUNTIFS(T_SelfStock[RM_Code],$A46,T_SelfStock[WeekIndex],8)&gt;0)*(COUNTIFS(T_TTAFStock[RM_Code],$A46,T_TTAFStock[WeekIndex],8)&gt;0)&gt;0,SUMIFS(T_SelfStock[Self_Qty],T_SelfStock[RM_Code],$A46,T_SelfStock[WeekIndex],8)+SUMIFS(T_TTAFStock[TTAF_Qty],T_TTAFStock[RM_Code],$A46,T_TTAFStock[WeekIndex],8),H46+'Grid_Incoming'!I46-'Grid_Requirement'!I46))</f>
        <v/>
      </c>
      <c r="J46">
        <f>IF(COUNTIFS(T_StockCount[RM_Code],$A46,T_StockCount[WeekIndex],9)&gt;0,SUMIFS(T_StockCount[CountedQty],T_StockCount[RM_Code],$A46,T_StockCount[WeekIndex],9),IF((COUNTIFS(T_SelfStock[RM_Code],$A46,T_SelfStock[WeekIndex],9)&gt;0)*(COUNTIFS(T_TTAFStock[RM_Code],$A46,T_TTAFStock[WeekIndex],9)&gt;0)&gt;0,SUMIFS(T_SelfStock[Self_Qty],T_SelfStock[RM_Code],$A46,T_SelfStock[WeekIndex],9)+SUMIFS(T_TTAFStock[TTAF_Qty],T_TTAFStock[RM_Code],$A46,T_TTAFStock[WeekIndex],9),I46+'Grid_Incoming'!J46-'Grid_Requirement'!J46))</f>
        <v/>
      </c>
      <c r="K46">
        <f>IF(COUNTIFS(T_StockCount[RM_Code],$A46,T_StockCount[WeekIndex],10)&gt;0,SUMIFS(T_StockCount[CountedQty],T_StockCount[RM_Code],$A46,T_StockCount[WeekIndex],10),IF((COUNTIFS(T_SelfStock[RM_Code],$A46,T_SelfStock[WeekIndex],10)&gt;0)*(COUNTIFS(T_TTAFStock[RM_Code],$A46,T_TTAFStock[WeekIndex],10)&gt;0)&gt;0,SUMIFS(T_SelfStock[Self_Qty],T_SelfStock[RM_Code],$A46,T_SelfStock[WeekIndex],10)+SUMIFS(T_TTAFStock[TTAF_Qty],T_TTAFStock[RM_Code],$A46,T_TTAFStock[WeekIndex],10),J46+'Grid_Incoming'!K46-'Grid_Requirement'!K46))</f>
        <v/>
      </c>
      <c r="L46">
        <f>IF(COUNTIFS(T_StockCount[RM_Code],$A46,T_StockCount[WeekIndex],11)&gt;0,SUMIFS(T_StockCount[CountedQty],T_StockCount[RM_Code],$A46,T_StockCount[WeekIndex],11),IF((COUNTIFS(T_SelfStock[RM_Code],$A46,T_SelfStock[WeekIndex],11)&gt;0)*(COUNTIFS(T_TTAFStock[RM_Code],$A46,T_TTAFStock[WeekIndex],11)&gt;0)&gt;0,SUMIFS(T_SelfStock[Self_Qty],T_SelfStock[RM_Code],$A46,T_SelfStock[WeekIndex],11)+SUMIFS(T_TTAFStock[TTAF_Qty],T_TTAFStock[RM_Code],$A46,T_TTAFStock[WeekIndex],11),K46+'Grid_Incoming'!L46-'Grid_Requirement'!L46))</f>
        <v/>
      </c>
      <c r="M46">
        <f>IF(COUNTIFS(T_StockCount[RM_Code],$A46,T_StockCount[WeekIndex],12)&gt;0,SUMIFS(T_StockCount[CountedQty],T_StockCount[RM_Code],$A46,T_StockCount[WeekIndex],12),IF((COUNTIFS(T_SelfStock[RM_Code],$A46,T_SelfStock[WeekIndex],12)&gt;0)*(COUNTIFS(T_TTAFStock[RM_Code],$A46,T_TTAFStock[WeekIndex],12)&gt;0)&gt;0,SUMIFS(T_SelfStock[Self_Qty],T_SelfStock[RM_Code],$A46,T_SelfStock[WeekIndex],12)+SUMIFS(T_TTAFStock[TTAF_Qty],T_TTAFStock[RM_Code],$A46,T_TTAFStock[WeekIndex],12),L46+'Grid_Incoming'!M46-'Grid_Requirement'!M46))</f>
        <v/>
      </c>
      <c r="N46">
        <f>IF(COUNTIFS(T_StockCount[RM_Code],$A46,T_StockCount[WeekIndex],13)&gt;0,SUMIFS(T_StockCount[CountedQty],T_StockCount[RM_Code],$A46,T_StockCount[WeekIndex],13),IF((COUNTIFS(T_SelfStock[RM_Code],$A46,T_SelfStock[WeekIndex],13)&gt;0)*(COUNTIFS(T_TTAFStock[RM_Code],$A46,T_TTAFStock[WeekIndex],13)&gt;0)&gt;0,SUMIFS(T_SelfStock[Self_Qty],T_SelfStock[RM_Code],$A46,T_SelfStock[WeekIndex],13)+SUMIFS(T_TTAFStock[TTAF_Qty],T_TTAFStock[RM_Code],$A46,T_TTAFStock[WeekIndex],13),M46+'Grid_Incoming'!N46-'Grid_Requirement'!N46))</f>
        <v/>
      </c>
      <c r="O46">
        <f>IF(COUNTIFS(T_StockCount[RM_Code],$A46,T_StockCount[WeekIndex],14)&gt;0,SUMIFS(T_StockCount[CountedQty],T_StockCount[RM_Code],$A46,T_StockCount[WeekIndex],14),IF((COUNTIFS(T_SelfStock[RM_Code],$A46,T_SelfStock[WeekIndex],14)&gt;0)*(COUNTIFS(T_TTAFStock[RM_Code],$A46,T_TTAFStock[WeekIndex],14)&gt;0)&gt;0,SUMIFS(T_SelfStock[Self_Qty],T_SelfStock[RM_Code],$A46,T_SelfStock[WeekIndex],14)+SUMIFS(T_TTAFStock[TTAF_Qty],T_TTAFStock[RM_Code],$A46,T_TTAFStock[WeekIndex],14),N46+'Grid_Incoming'!O46-'Grid_Requirement'!O46))</f>
        <v/>
      </c>
      <c r="P46">
        <f>IF(COUNTIFS(T_StockCount[RM_Code],$A46,T_StockCount[WeekIndex],15)&gt;0,SUMIFS(T_StockCount[CountedQty],T_StockCount[RM_Code],$A46,T_StockCount[WeekIndex],15),IF((COUNTIFS(T_SelfStock[RM_Code],$A46,T_SelfStock[WeekIndex],15)&gt;0)*(COUNTIFS(T_TTAFStock[RM_Code],$A46,T_TTAFStock[WeekIndex],15)&gt;0)&gt;0,SUMIFS(T_SelfStock[Self_Qty],T_SelfStock[RM_Code],$A46,T_SelfStock[WeekIndex],15)+SUMIFS(T_TTAFStock[TTAF_Qty],T_TTAFStock[RM_Code],$A46,T_TTAFStock[WeekIndex],15),O46+'Grid_Incoming'!P46-'Grid_Requirement'!P46))</f>
        <v/>
      </c>
      <c r="Q46">
        <f>IF(COUNTIFS(T_StockCount[RM_Code],$A46,T_StockCount[WeekIndex],16)&gt;0,SUMIFS(T_StockCount[CountedQty],T_StockCount[RM_Code],$A46,T_StockCount[WeekIndex],16),IF((COUNTIFS(T_SelfStock[RM_Code],$A46,T_SelfStock[WeekIndex],16)&gt;0)*(COUNTIFS(T_TTAFStock[RM_Code],$A46,T_TTAFStock[WeekIndex],16)&gt;0)&gt;0,SUMIFS(T_SelfStock[Self_Qty],T_SelfStock[RM_Code],$A46,T_SelfStock[WeekIndex],16)+SUMIFS(T_TTAFStock[TTAF_Qty],T_TTAFStock[RM_Code],$A46,T_TTAFStock[WeekIndex],16),P46+'Grid_Incoming'!Q46-'Grid_Requirement'!Q46))</f>
        <v/>
      </c>
      <c r="R46">
        <f>IF(COUNTIFS(T_StockCount[RM_Code],$A46,T_StockCount[WeekIndex],17)&gt;0,SUMIFS(T_StockCount[CountedQty],T_StockCount[RM_Code],$A46,T_StockCount[WeekIndex],17),IF((COUNTIFS(T_SelfStock[RM_Code],$A46,T_SelfStock[WeekIndex],17)&gt;0)*(COUNTIFS(T_TTAFStock[RM_Code],$A46,T_TTAFStock[WeekIndex],17)&gt;0)&gt;0,SUMIFS(T_SelfStock[Self_Qty],T_SelfStock[RM_Code],$A46,T_SelfStock[WeekIndex],17)+SUMIFS(T_TTAFStock[TTAF_Qty],T_TTAFStock[RM_Code],$A46,T_TTAFStock[WeekIndex],17),Q46+'Grid_Incoming'!R46-'Grid_Requirement'!R46))</f>
        <v/>
      </c>
      <c r="S46">
        <f>IF(COUNTIFS(T_StockCount[RM_Code],$A46,T_StockCount[WeekIndex],18)&gt;0,SUMIFS(T_StockCount[CountedQty],T_StockCount[RM_Code],$A46,T_StockCount[WeekIndex],18),IF((COUNTIFS(T_SelfStock[RM_Code],$A46,T_SelfStock[WeekIndex],18)&gt;0)*(COUNTIFS(T_TTAFStock[RM_Code],$A46,T_TTAFStock[WeekIndex],18)&gt;0)&gt;0,SUMIFS(T_SelfStock[Self_Qty],T_SelfStock[RM_Code],$A46,T_SelfStock[WeekIndex],18)+SUMIFS(T_TTAFStock[TTAF_Qty],T_TTAFStock[RM_Code],$A46,T_TTAFStock[WeekIndex],18),R46+'Grid_Incoming'!S46-'Grid_Requirement'!S46))</f>
        <v/>
      </c>
      <c r="T46">
        <f>IF(COUNTIFS(T_StockCount[RM_Code],$A46,T_StockCount[WeekIndex],19)&gt;0,SUMIFS(T_StockCount[CountedQty],T_StockCount[RM_Code],$A46,T_StockCount[WeekIndex],19),IF((COUNTIFS(T_SelfStock[RM_Code],$A46,T_SelfStock[WeekIndex],19)&gt;0)*(COUNTIFS(T_TTAFStock[RM_Code],$A46,T_TTAFStock[WeekIndex],19)&gt;0)&gt;0,SUMIFS(T_SelfStock[Self_Qty],T_SelfStock[RM_Code],$A46,T_SelfStock[WeekIndex],19)+SUMIFS(T_TTAFStock[TTAF_Qty],T_TTAFStock[RM_Code],$A46,T_TTAFStock[WeekIndex],19),S46+'Grid_Incoming'!T46-'Grid_Requirement'!T46))</f>
        <v/>
      </c>
      <c r="U46">
        <f>IF(COUNTIFS(T_StockCount[RM_Code],$A46,T_StockCount[WeekIndex],20)&gt;0,SUMIFS(T_StockCount[CountedQty],T_StockCount[RM_Code],$A46,T_StockCount[WeekIndex],20),IF((COUNTIFS(T_SelfStock[RM_Code],$A46,T_SelfStock[WeekIndex],20)&gt;0)*(COUNTIFS(T_TTAFStock[RM_Code],$A46,T_TTAFStock[WeekIndex],20)&gt;0)&gt;0,SUMIFS(T_SelfStock[Self_Qty],T_SelfStock[RM_Code],$A46,T_SelfStock[WeekIndex],20)+SUMIFS(T_TTAFStock[TTAF_Qty],T_TTAFStock[RM_Code],$A46,T_TTAFStock[WeekIndex],20),T46+'Grid_Incoming'!U46-'Grid_Requirement'!U46))</f>
        <v/>
      </c>
      <c r="V46">
        <f>IF(COUNTIFS(T_StockCount[RM_Code],$A46,T_StockCount[WeekIndex],21)&gt;0,SUMIFS(T_StockCount[CountedQty],T_StockCount[RM_Code],$A46,T_StockCount[WeekIndex],21),IF((COUNTIFS(T_SelfStock[RM_Code],$A46,T_SelfStock[WeekIndex],21)&gt;0)*(COUNTIFS(T_TTAFStock[RM_Code],$A46,T_TTAFStock[WeekIndex],21)&gt;0)&gt;0,SUMIFS(T_SelfStock[Self_Qty],T_SelfStock[RM_Code],$A46,T_SelfStock[WeekIndex],21)+SUMIFS(T_TTAFStock[TTAF_Qty],T_TTAFStock[RM_Code],$A46,T_TTAFStock[WeekIndex],21),U46+'Grid_Incoming'!V46-'Grid_Requirement'!V46))</f>
        <v/>
      </c>
      <c r="W46">
        <f>IF(COUNTIFS(T_StockCount[RM_Code],$A46,T_StockCount[WeekIndex],22)&gt;0,SUMIFS(T_StockCount[CountedQty],T_StockCount[RM_Code],$A46,T_StockCount[WeekIndex],22),IF((COUNTIFS(T_SelfStock[RM_Code],$A46,T_SelfStock[WeekIndex],22)&gt;0)*(COUNTIFS(T_TTAFStock[RM_Code],$A46,T_TTAFStock[WeekIndex],22)&gt;0)&gt;0,SUMIFS(T_SelfStock[Self_Qty],T_SelfStock[RM_Code],$A46,T_SelfStock[WeekIndex],22)+SUMIFS(T_TTAFStock[TTAF_Qty],T_TTAFStock[RM_Code],$A46,T_TTAFStock[WeekIndex],22),V46+'Grid_Incoming'!W46-'Grid_Requirement'!W46))</f>
        <v/>
      </c>
      <c r="X46">
        <f>IF(COUNTIFS(T_StockCount[RM_Code],$A46,T_StockCount[WeekIndex],23)&gt;0,SUMIFS(T_StockCount[CountedQty],T_StockCount[RM_Code],$A46,T_StockCount[WeekIndex],23),IF((COUNTIFS(T_SelfStock[RM_Code],$A46,T_SelfStock[WeekIndex],23)&gt;0)*(COUNTIFS(T_TTAFStock[RM_Code],$A46,T_TTAFStock[WeekIndex],23)&gt;0)&gt;0,SUMIFS(T_SelfStock[Self_Qty],T_SelfStock[RM_Code],$A46,T_SelfStock[WeekIndex],23)+SUMIFS(T_TTAFStock[TTAF_Qty],T_TTAFStock[RM_Code],$A46,T_TTAFStock[WeekIndex],23),W46+'Grid_Incoming'!X46-'Grid_Requirement'!X46))</f>
        <v/>
      </c>
      <c r="Y46">
        <f>IF(COUNTIFS(T_StockCount[RM_Code],$A46,T_StockCount[WeekIndex],24)&gt;0,SUMIFS(T_StockCount[CountedQty],T_StockCount[RM_Code],$A46,T_StockCount[WeekIndex],24),IF((COUNTIFS(T_SelfStock[RM_Code],$A46,T_SelfStock[WeekIndex],24)&gt;0)*(COUNTIFS(T_TTAFStock[RM_Code],$A46,T_TTAFStock[WeekIndex],24)&gt;0)&gt;0,SUMIFS(T_SelfStock[Self_Qty],T_SelfStock[RM_Code],$A46,T_SelfStock[WeekIndex],24)+SUMIFS(T_TTAFStock[TTAF_Qty],T_TTAFStock[RM_Code],$A46,T_TTAFStock[WeekIndex],24),X46+'Grid_Incoming'!Y46-'Grid_Requirement'!Y46))</f>
        <v/>
      </c>
      <c r="Z46">
        <f>IF(COUNTIFS(T_StockCount[RM_Code],$A46,T_StockCount[WeekIndex],25)&gt;0,SUMIFS(T_StockCount[CountedQty],T_StockCount[RM_Code],$A46,T_StockCount[WeekIndex],25),IF((COUNTIFS(T_SelfStock[RM_Code],$A46,T_SelfStock[WeekIndex],25)&gt;0)*(COUNTIFS(T_TTAFStock[RM_Code],$A46,T_TTAFStock[WeekIndex],25)&gt;0)&gt;0,SUMIFS(T_SelfStock[Self_Qty],T_SelfStock[RM_Code],$A46,T_SelfStock[WeekIndex],25)+SUMIFS(T_TTAFStock[TTAF_Qty],T_TTAFStock[RM_Code],$A46,T_TTAFStock[WeekIndex],25),Y46+'Grid_Incoming'!Z46-'Grid_Requirement'!Z46))</f>
        <v/>
      </c>
      <c r="AA46">
        <f>IF(COUNTIFS(T_StockCount[RM_Code],$A46,T_StockCount[WeekIndex],26)&gt;0,SUMIFS(T_StockCount[CountedQty],T_StockCount[RM_Code],$A46,T_StockCount[WeekIndex],26),IF((COUNTIFS(T_SelfStock[RM_Code],$A46,T_SelfStock[WeekIndex],26)&gt;0)*(COUNTIFS(T_TTAFStock[RM_Code],$A46,T_TTAFStock[WeekIndex],26)&gt;0)&gt;0,SUMIFS(T_SelfStock[Self_Qty],T_SelfStock[RM_Code],$A46,T_SelfStock[WeekIndex],26)+SUMIFS(T_TTAFStock[TTAF_Qty],T_TTAFStock[RM_Code],$A46,T_TTAFStock[WeekIndex],26),Z46+'Grid_Incoming'!AA46-'Grid_Requirement'!AA46))</f>
        <v/>
      </c>
      <c r="AB46">
        <f>IF(COUNTIFS(T_StockCount[RM_Code],$A46,T_StockCount[WeekIndex],27)&gt;0,SUMIFS(T_StockCount[CountedQty],T_StockCount[RM_Code],$A46,T_StockCount[WeekIndex],27),IF((COUNTIFS(T_SelfStock[RM_Code],$A46,T_SelfStock[WeekIndex],27)&gt;0)*(COUNTIFS(T_TTAFStock[RM_Code],$A46,T_TTAFStock[WeekIndex],27)&gt;0)&gt;0,SUMIFS(T_SelfStock[Self_Qty],T_SelfStock[RM_Code],$A46,T_SelfStock[WeekIndex],27)+SUMIFS(T_TTAFStock[TTAF_Qty],T_TTAFStock[RM_Code],$A46,T_TTAFStock[WeekIndex],27),AA46+'Grid_Incoming'!AB46-'Grid_Requirement'!AB46))</f>
        <v/>
      </c>
      <c r="AC46">
        <f>IF(COUNTIFS(T_StockCount[RM_Code],$A46,T_StockCount[WeekIndex],28)&gt;0,SUMIFS(T_StockCount[CountedQty],T_StockCount[RM_Code],$A46,T_StockCount[WeekIndex],28),IF((COUNTIFS(T_SelfStock[RM_Code],$A46,T_SelfStock[WeekIndex],28)&gt;0)*(COUNTIFS(T_TTAFStock[RM_Code],$A46,T_TTAFStock[WeekIndex],28)&gt;0)&gt;0,SUMIFS(T_SelfStock[Self_Qty],T_SelfStock[RM_Code],$A46,T_SelfStock[WeekIndex],28)+SUMIFS(T_TTAFStock[TTAF_Qty],T_TTAFStock[RM_Code],$A46,T_TTAFStock[WeekIndex],28),AB46+'Grid_Incoming'!AC46-'Grid_Requirement'!AC46))</f>
        <v/>
      </c>
      <c r="AD46">
        <f>IF(COUNTIFS(T_StockCount[RM_Code],$A46,T_StockCount[WeekIndex],29)&gt;0,SUMIFS(T_StockCount[CountedQty],T_StockCount[RM_Code],$A46,T_StockCount[WeekIndex],29),IF((COUNTIFS(T_SelfStock[RM_Code],$A46,T_SelfStock[WeekIndex],29)&gt;0)*(COUNTIFS(T_TTAFStock[RM_Code],$A46,T_TTAFStock[WeekIndex],29)&gt;0)&gt;0,SUMIFS(T_SelfStock[Self_Qty],T_SelfStock[RM_Code],$A46,T_SelfStock[WeekIndex],29)+SUMIFS(T_TTAFStock[TTAF_Qty],T_TTAFStock[RM_Code],$A46,T_TTAFStock[WeekIndex],29),AC46+'Grid_Incoming'!AD46-'Grid_Requirement'!AD46))</f>
        <v/>
      </c>
      <c r="AE46">
        <f>IF(COUNTIFS(T_StockCount[RM_Code],$A46,T_StockCount[WeekIndex],30)&gt;0,SUMIFS(T_StockCount[CountedQty],T_StockCount[RM_Code],$A46,T_StockCount[WeekIndex],30),IF((COUNTIFS(T_SelfStock[RM_Code],$A46,T_SelfStock[WeekIndex],30)&gt;0)*(COUNTIFS(T_TTAFStock[RM_Code],$A46,T_TTAFStock[WeekIndex],30)&gt;0)&gt;0,SUMIFS(T_SelfStock[Self_Qty],T_SelfStock[RM_Code],$A46,T_SelfStock[WeekIndex],30)+SUMIFS(T_TTAFStock[TTAF_Qty],T_TTAFStock[RM_Code],$A46,T_TTAFStock[WeekIndex],30),AD46+'Grid_Incoming'!AE46-'Grid_Requirement'!AE46))</f>
        <v/>
      </c>
      <c r="AF46">
        <f>IF(COUNTIFS(T_StockCount[RM_Code],$A46,T_StockCount[WeekIndex],31)&gt;0,SUMIFS(T_StockCount[CountedQty],T_StockCount[RM_Code],$A46,T_StockCount[WeekIndex],31),IF((COUNTIFS(T_SelfStock[RM_Code],$A46,T_SelfStock[WeekIndex],31)&gt;0)*(COUNTIFS(T_TTAFStock[RM_Code],$A46,T_TTAFStock[WeekIndex],31)&gt;0)&gt;0,SUMIFS(T_SelfStock[Self_Qty],T_SelfStock[RM_Code],$A46,T_SelfStock[WeekIndex],31)+SUMIFS(T_TTAFStock[TTAF_Qty],T_TTAFStock[RM_Code],$A46,T_TTAFStock[WeekIndex],31),AE46+'Grid_Incoming'!AF46-'Grid_Requirement'!AF46))</f>
        <v/>
      </c>
      <c r="AG46">
        <f>IF(COUNTIFS(T_StockCount[RM_Code],$A46,T_StockCount[WeekIndex],32)&gt;0,SUMIFS(T_StockCount[CountedQty],T_StockCount[RM_Code],$A46,T_StockCount[WeekIndex],32),IF((COUNTIFS(T_SelfStock[RM_Code],$A46,T_SelfStock[WeekIndex],32)&gt;0)*(COUNTIFS(T_TTAFStock[RM_Code],$A46,T_TTAFStock[WeekIndex],32)&gt;0)&gt;0,SUMIFS(T_SelfStock[Self_Qty],T_SelfStock[RM_Code],$A46,T_SelfStock[WeekIndex],32)+SUMIFS(T_TTAFStock[TTAF_Qty],T_TTAFStock[RM_Code],$A46,T_TTAFStock[WeekIndex],32),AF46+'Grid_Incoming'!AG46-'Grid_Requirement'!AG46))</f>
        <v/>
      </c>
      <c r="AH46">
        <f>IF(COUNTIFS(T_StockCount[RM_Code],$A46,T_StockCount[WeekIndex],33)&gt;0,SUMIFS(T_StockCount[CountedQty],T_StockCount[RM_Code],$A46,T_StockCount[WeekIndex],33),IF((COUNTIFS(T_SelfStock[RM_Code],$A46,T_SelfStock[WeekIndex],33)&gt;0)*(COUNTIFS(T_TTAFStock[RM_Code],$A46,T_TTAFStock[WeekIndex],33)&gt;0)&gt;0,SUMIFS(T_SelfStock[Self_Qty],T_SelfStock[RM_Code],$A46,T_SelfStock[WeekIndex],33)+SUMIFS(T_TTAFStock[TTAF_Qty],T_TTAFStock[RM_Code],$A46,T_TTAFStock[WeekIndex],33),AG46+'Grid_Incoming'!AH46-'Grid_Requirement'!AH46))</f>
        <v/>
      </c>
      <c r="AI46">
        <f>IF(COUNTIFS(T_StockCount[RM_Code],$A46,T_StockCount[WeekIndex],34)&gt;0,SUMIFS(T_StockCount[CountedQty],T_StockCount[RM_Code],$A46,T_StockCount[WeekIndex],34),IF((COUNTIFS(T_SelfStock[RM_Code],$A46,T_SelfStock[WeekIndex],34)&gt;0)*(COUNTIFS(T_TTAFStock[RM_Code],$A46,T_TTAFStock[WeekIndex],34)&gt;0)&gt;0,SUMIFS(T_SelfStock[Self_Qty],T_SelfStock[RM_Code],$A46,T_SelfStock[WeekIndex],34)+SUMIFS(T_TTAFStock[TTAF_Qty],T_TTAFStock[RM_Code],$A46,T_TTAFStock[WeekIndex],34),AH46+'Grid_Incoming'!AI46-'Grid_Requirement'!AI46))</f>
        <v/>
      </c>
      <c r="AJ46">
        <f>IF(COUNTIFS(T_StockCount[RM_Code],$A46,T_StockCount[WeekIndex],35)&gt;0,SUMIFS(T_StockCount[CountedQty],T_StockCount[RM_Code],$A46,T_StockCount[WeekIndex],35),IF((COUNTIFS(T_SelfStock[RM_Code],$A46,T_SelfStock[WeekIndex],35)&gt;0)*(COUNTIFS(T_TTAFStock[RM_Code],$A46,T_TTAFStock[WeekIndex],35)&gt;0)&gt;0,SUMIFS(T_SelfStock[Self_Qty],T_SelfStock[RM_Code],$A46,T_SelfStock[WeekIndex],35)+SUMIFS(T_TTAFStock[TTAF_Qty],T_TTAFStock[RM_Code],$A46,T_TTAFStock[WeekIndex],35),AI46+'Grid_Incoming'!AJ46-'Grid_Requirement'!AJ46))</f>
        <v/>
      </c>
      <c r="AK46">
        <f>IF(COUNTIFS(T_StockCount[RM_Code],$A46,T_StockCount[WeekIndex],36)&gt;0,SUMIFS(T_StockCount[CountedQty],T_StockCount[RM_Code],$A46,T_StockCount[WeekIndex],36),IF((COUNTIFS(T_SelfStock[RM_Code],$A46,T_SelfStock[WeekIndex],36)&gt;0)*(COUNTIFS(T_TTAFStock[RM_Code],$A46,T_TTAFStock[WeekIndex],36)&gt;0)&gt;0,SUMIFS(T_SelfStock[Self_Qty],T_SelfStock[RM_Code],$A46,T_SelfStock[WeekIndex],36)+SUMIFS(T_TTAFStock[TTAF_Qty],T_TTAFStock[RM_Code],$A46,T_TTAFStock[WeekIndex],36),AJ46+'Grid_Incoming'!AK46-'Grid_Requirement'!AK46))</f>
        <v/>
      </c>
      <c r="AL46">
        <f>IF(COUNTIFS(T_StockCount[RM_Code],$A46,T_StockCount[WeekIndex],37)&gt;0,SUMIFS(T_StockCount[CountedQty],T_StockCount[RM_Code],$A46,T_StockCount[WeekIndex],37),IF((COUNTIFS(T_SelfStock[RM_Code],$A46,T_SelfStock[WeekIndex],37)&gt;0)*(COUNTIFS(T_TTAFStock[RM_Code],$A46,T_TTAFStock[WeekIndex],37)&gt;0)&gt;0,SUMIFS(T_SelfStock[Self_Qty],T_SelfStock[RM_Code],$A46,T_SelfStock[WeekIndex],37)+SUMIFS(T_TTAFStock[TTAF_Qty],T_TTAFStock[RM_Code],$A46,T_TTAFStock[WeekIndex],37),AK46+'Grid_Incoming'!AL46-'Grid_Requirement'!AL46))</f>
        <v/>
      </c>
      <c r="AM46">
        <f>IF(COUNTIFS(T_StockCount[RM_Code],$A46,T_StockCount[WeekIndex],38)&gt;0,SUMIFS(T_StockCount[CountedQty],T_StockCount[RM_Code],$A46,T_StockCount[WeekIndex],38),IF((COUNTIFS(T_SelfStock[RM_Code],$A46,T_SelfStock[WeekIndex],38)&gt;0)*(COUNTIFS(T_TTAFStock[RM_Code],$A46,T_TTAFStock[WeekIndex],38)&gt;0)&gt;0,SUMIFS(T_SelfStock[Self_Qty],T_SelfStock[RM_Code],$A46,T_SelfStock[WeekIndex],38)+SUMIFS(T_TTAFStock[TTAF_Qty],T_TTAFStock[RM_Code],$A46,T_TTAFStock[WeekIndex],38),AL46+'Grid_Incoming'!AM46-'Grid_Requirement'!AM46))</f>
        <v/>
      </c>
      <c r="AN46">
        <f>IF(COUNTIFS(T_StockCount[RM_Code],$A46,T_StockCount[WeekIndex],39)&gt;0,SUMIFS(T_StockCount[CountedQty],T_StockCount[RM_Code],$A46,T_StockCount[WeekIndex],39),IF((COUNTIFS(T_SelfStock[RM_Code],$A46,T_SelfStock[WeekIndex],39)&gt;0)*(COUNTIFS(T_TTAFStock[RM_Code],$A46,T_TTAFStock[WeekIndex],39)&gt;0)&gt;0,SUMIFS(T_SelfStock[Self_Qty],T_SelfStock[RM_Code],$A46,T_SelfStock[WeekIndex],39)+SUMIFS(T_TTAFStock[TTAF_Qty],T_TTAFStock[RM_Code],$A46,T_TTAFStock[WeekIndex],39),AM46+'Grid_Incoming'!AN46-'Grid_Requirement'!AN46))</f>
        <v/>
      </c>
      <c r="AO46">
        <f>IF(COUNTIFS(T_StockCount[RM_Code],$A46,T_StockCount[WeekIndex],40)&gt;0,SUMIFS(T_StockCount[CountedQty],T_StockCount[RM_Code],$A46,T_StockCount[WeekIndex],40),IF((COUNTIFS(T_SelfStock[RM_Code],$A46,T_SelfStock[WeekIndex],40)&gt;0)*(COUNTIFS(T_TTAFStock[RM_Code],$A46,T_TTAFStock[WeekIndex],40)&gt;0)&gt;0,SUMIFS(T_SelfStock[Self_Qty],T_SelfStock[RM_Code],$A46,T_SelfStock[WeekIndex],40)+SUMIFS(T_TTAFStock[TTAF_Qty],T_TTAFStock[RM_Code],$A46,T_TTAFStock[WeekIndex],40),AN46+'Grid_Incoming'!AO46-'Grid_Requirement'!AO46))</f>
        <v/>
      </c>
      <c r="AP46">
        <f>IF(COUNTIFS(T_StockCount[RM_Code],$A46,T_StockCount[WeekIndex],41)&gt;0,SUMIFS(T_StockCount[CountedQty],T_StockCount[RM_Code],$A46,T_StockCount[WeekIndex],41),IF((COUNTIFS(T_SelfStock[RM_Code],$A46,T_SelfStock[WeekIndex],41)&gt;0)*(COUNTIFS(T_TTAFStock[RM_Code],$A46,T_TTAFStock[WeekIndex],41)&gt;0)&gt;0,SUMIFS(T_SelfStock[Self_Qty],T_SelfStock[RM_Code],$A46,T_SelfStock[WeekIndex],41)+SUMIFS(T_TTAFStock[TTAF_Qty],T_TTAFStock[RM_Code],$A46,T_TTAFStock[WeekIndex],41),AO46+'Grid_Incoming'!AP46-'Grid_Requirement'!AP46))</f>
        <v/>
      </c>
      <c r="AQ46">
        <f>IF(COUNTIFS(T_StockCount[RM_Code],$A46,T_StockCount[WeekIndex],42)&gt;0,SUMIFS(T_StockCount[CountedQty],T_StockCount[RM_Code],$A46,T_StockCount[WeekIndex],42),IF((COUNTIFS(T_SelfStock[RM_Code],$A46,T_SelfStock[WeekIndex],42)&gt;0)*(COUNTIFS(T_TTAFStock[RM_Code],$A46,T_TTAFStock[WeekIndex],42)&gt;0)&gt;0,SUMIFS(T_SelfStock[Self_Qty],T_SelfStock[RM_Code],$A46,T_SelfStock[WeekIndex],42)+SUMIFS(T_TTAFStock[TTAF_Qty],T_TTAFStock[RM_Code],$A46,T_TTAFStock[WeekIndex],42),AP46+'Grid_Incoming'!AQ46-'Grid_Requirement'!AQ46))</f>
        <v/>
      </c>
      <c r="AR46">
        <f>IF(COUNTIFS(T_StockCount[RM_Code],$A46,T_StockCount[WeekIndex],43)&gt;0,SUMIFS(T_StockCount[CountedQty],T_StockCount[RM_Code],$A46,T_StockCount[WeekIndex],43),IF((COUNTIFS(T_SelfStock[RM_Code],$A46,T_SelfStock[WeekIndex],43)&gt;0)*(COUNTIFS(T_TTAFStock[RM_Code],$A46,T_TTAFStock[WeekIndex],43)&gt;0)&gt;0,SUMIFS(T_SelfStock[Self_Qty],T_SelfStock[RM_Code],$A46,T_SelfStock[WeekIndex],43)+SUMIFS(T_TTAFStock[TTAF_Qty],T_TTAFStock[RM_Code],$A46,T_TTAFStock[WeekIndex],43),AQ46+'Grid_Incoming'!AR46-'Grid_Requirement'!AR46))</f>
        <v/>
      </c>
      <c r="AS46">
        <f>IF(COUNTIFS(T_StockCount[RM_Code],$A46,T_StockCount[WeekIndex],44)&gt;0,SUMIFS(T_StockCount[CountedQty],T_StockCount[RM_Code],$A46,T_StockCount[WeekIndex],44),IF((COUNTIFS(T_SelfStock[RM_Code],$A46,T_SelfStock[WeekIndex],44)&gt;0)*(COUNTIFS(T_TTAFStock[RM_Code],$A46,T_TTAFStock[WeekIndex],44)&gt;0)&gt;0,SUMIFS(T_SelfStock[Self_Qty],T_SelfStock[RM_Code],$A46,T_SelfStock[WeekIndex],44)+SUMIFS(T_TTAFStock[TTAF_Qty],T_TTAFStock[RM_Code],$A46,T_TTAFStock[WeekIndex],44),AR46+'Grid_Incoming'!AS46-'Grid_Requirement'!AS46))</f>
        <v/>
      </c>
      <c r="AT46">
        <f>IF(COUNTIFS(T_StockCount[RM_Code],$A46,T_StockCount[WeekIndex],45)&gt;0,SUMIFS(T_StockCount[CountedQty],T_StockCount[RM_Code],$A46,T_StockCount[WeekIndex],45),IF((COUNTIFS(T_SelfStock[RM_Code],$A46,T_SelfStock[WeekIndex],45)&gt;0)*(COUNTIFS(T_TTAFStock[RM_Code],$A46,T_TTAFStock[WeekIndex],45)&gt;0)&gt;0,SUMIFS(T_SelfStock[Self_Qty],T_SelfStock[RM_Code],$A46,T_SelfStock[WeekIndex],45)+SUMIFS(T_TTAFStock[TTAF_Qty],T_TTAFStock[RM_Code],$A46,T_TTAFStock[WeekIndex],45),AS46+'Grid_Incoming'!AT46-'Grid_Requirement'!AT46))</f>
        <v/>
      </c>
      <c r="AU46">
        <f>IF(COUNTIFS(T_StockCount[RM_Code],$A46,T_StockCount[WeekIndex],46)&gt;0,SUMIFS(T_StockCount[CountedQty],T_StockCount[RM_Code],$A46,T_StockCount[WeekIndex],46),IF((COUNTIFS(T_SelfStock[RM_Code],$A46,T_SelfStock[WeekIndex],46)&gt;0)*(COUNTIFS(T_TTAFStock[RM_Code],$A46,T_TTAFStock[WeekIndex],46)&gt;0)&gt;0,SUMIFS(T_SelfStock[Self_Qty],T_SelfStock[RM_Code],$A46,T_SelfStock[WeekIndex],46)+SUMIFS(T_TTAFStock[TTAF_Qty],T_TTAFStock[RM_Code],$A46,T_TTAFStock[WeekIndex],46),AT46+'Grid_Incoming'!AU46-'Grid_Requirement'!AU46))</f>
        <v/>
      </c>
      <c r="AV46">
        <f>IF(COUNTIFS(T_StockCount[RM_Code],$A46,T_StockCount[WeekIndex],47)&gt;0,SUMIFS(T_StockCount[CountedQty],T_StockCount[RM_Code],$A46,T_StockCount[WeekIndex],47),IF((COUNTIFS(T_SelfStock[RM_Code],$A46,T_SelfStock[WeekIndex],47)&gt;0)*(COUNTIFS(T_TTAFStock[RM_Code],$A46,T_TTAFStock[WeekIndex],47)&gt;0)&gt;0,SUMIFS(T_SelfStock[Self_Qty],T_SelfStock[RM_Code],$A46,T_SelfStock[WeekIndex],47)+SUMIFS(T_TTAFStock[TTAF_Qty],T_TTAFStock[RM_Code],$A46,T_TTAFStock[WeekIndex],47),AU46+'Grid_Incoming'!AV46-'Grid_Requirement'!AV46))</f>
        <v/>
      </c>
      <c r="AW46">
        <f>IF(COUNTIFS(T_StockCount[RM_Code],$A46,T_StockCount[WeekIndex],48)&gt;0,SUMIFS(T_StockCount[CountedQty],T_StockCount[RM_Code],$A46,T_StockCount[WeekIndex],48),IF((COUNTIFS(T_SelfStock[RM_Code],$A46,T_SelfStock[WeekIndex],48)&gt;0)*(COUNTIFS(T_TTAFStock[RM_Code],$A46,T_TTAFStock[WeekIndex],48)&gt;0)&gt;0,SUMIFS(T_SelfStock[Self_Qty],T_SelfStock[RM_Code],$A46,T_SelfStock[WeekIndex],48)+SUMIFS(T_TTAFStock[TTAF_Qty],T_TTAFStock[RM_Code],$A46,T_TTAFStock[WeekIndex],48),AV46+'Grid_Incoming'!AW46-'Grid_Requirement'!AW46))</f>
        <v/>
      </c>
      <c r="AX46">
        <f>IF(COUNTIFS(T_StockCount[RM_Code],$A46,T_StockCount[WeekIndex],49)&gt;0,SUMIFS(T_StockCount[CountedQty],T_StockCount[RM_Code],$A46,T_StockCount[WeekIndex],49),IF((COUNTIFS(T_SelfStock[RM_Code],$A46,T_SelfStock[WeekIndex],49)&gt;0)*(COUNTIFS(T_TTAFStock[RM_Code],$A46,T_TTAFStock[WeekIndex],49)&gt;0)&gt;0,SUMIFS(T_SelfStock[Self_Qty],T_SelfStock[RM_Code],$A46,T_SelfStock[WeekIndex],49)+SUMIFS(T_TTAFStock[TTAF_Qty],T_TTAFStock[RM_Code],$A46,T_TTAFStock[WeekIndex],49),AW46+'Grid_Incoming'!AX46-'Grid_Requirement'!AX46))</f>
        <v/>
      </c>
      <c r="AY46">
        <f>IF(COUNTIFS(T_StockCount[RM_Code],$A46,T_StockCount[WeekIndex],50)&gt;0,SUMIFS(T_StockCount[CountedQty],T_StockCount[RM_Code],$A46,T_StockCount[WeekIndex],50),IF((COUNTIFS(T_SelfStock[RM_Code],$A46,T_SelfStock[WeekIndex],50)&gt;0)*(COUNTIFS(T_TTAFStock[RM_Code],$A46,T_TTAFStock[WeekIndex],50)&gt;0)&gt;0,SUMIFS(T_SelfStock[Self_Qty],T_SelfStock[RM_Code],$A46,T_SelfStock[WeekIndex],50)+SUMIFS(T_TTAFStock[TTAF_Qty],T_TTAFStock[RM_Code],$A46,T_TTAFStock[WeekIndex],50),AX46+'Grid_Incoming'!AY46-'Grid_Requirement'!AY46))</f>
        <v/>
      </c>
      <c r="AZ46">
        <f>IF(COUNTIFS(T_StockCount[RM_Code],$A46,T_StockCount[WeekIndex],51)&gt;0,SUMIFS(T_StockCount[CountedQty],T_StockCount[RM_Code],$A46,T_StockCount[WeekIndex],51),IF((COUNTIFS(T_SelfStock[RM_Code],$A46,T_SelfStock[WeekIndex],51)&gt;0)*(COUNTIFS(T_TTAFStock[RM_Code],$A46,T_TTAFStock[WeekIndex],51)&gt;0)&gt;0,SUMIFS(T_SelfStock[Self_Qty],T_SelfStock[RM_Code],$A46,T_SelfStock[WeekIndex],51)+SUMIFS(T_TTAFStock[TTAF_Qty],T_TTAFStock[RM_Code],$A46,T_TTAFStock[WeekIndex],51),AY46+'Grid_Incoming'!AZ46-'Grid_Requirement'!AZ46))</f>
        <v/>
      </c>
      <c r="BA46">
        <f>IF(COUNTIFS(T_StockCount[RM_Code],$A46,T_StockCount[WeekIndex],52)&gt;0,SUMIFS(T_StockCount[CountedQty],T_StockCount[RM_Code],$A46,T_StockCount[WeekIndex],52),IF((COUNTIFS(T_SelfStock[RM_Code],$A46,T_SelfStock[WeekIndex],52)&gt;0)*(COUNTIFS(T_TTAFStock[RM_Code],$A46,T_TTAFStock[WeekIndex],52)&gt;0)&gt;0,SUMIFS(T_SelfStock[Self_Qty],T_SelfStock[RM_Code],$A46,T_SelfStock[WeekIndex],52)+SUMIFS(T_TTAFStock[TTAF_Qty],T_TTAFStock[RM_Code],$A46,T_TTAFStock[WeekIndex],52),AZ46+'Grid_Incoming'!BA46-'Grid_Requirement'!BA46))</f>
        <v/>
      </c>
      <c r="BB46">
        <f>IF(COUNTIFS(T_StockCount[RM_Code],$A46,T_StockCount[WeekIndex],53)&gt;0,SUMIFS(T_StockCount[CountedQty],T_StockCount[RM_Code],$A46,T_StockCount[WeekIndex],53),IF((COUNTIFS(T_SelfStock[RM_Code],$A46,T_SelfStock[WeekIndex],53)&gt;0)*(COUNTIFS(T_TTAFStock[RM_Code],$A46,T_TTAFStock[WeekIndex],53)&gt;0)&gt;0,SUMIFS(T_SelfStock[Self_Qty],T_SelfStock[RM_Code],$A46,T_SelfStock[WeekIndex],53)+SUMIFS(T_TTAFStock[TTAF_Qty],T_TTAFStock[RM_Code],$A46,T_TTAFStock[WeekIndex],53),BA46+'Grid_Incoming'!BB46-'Grid_Requirement'!BB46))</f>
        <v/>
      </c>
      <c r="BC46">
        <f>IF(COUNTIFS(T_StockCount[RM_Code],$A46,T_StockCount[WeekIndex],54)&gt;0,SUMIFS(T_StockCount[CountedQty],T_StockCount[RM_Code],$A46,T_StockCount[WeekIndex],54),IF((COUNTIFS(T_SelfStock[RM_Code],$A46,T_SelfStock[WeekIndex],54)&gt;0)*(COUNTIFS(T_TTAFStock[RM_Code],$A46,T_TTAFStock[WeekIndex],54)&gt;0)&gt;0,SUMIFS(T_SelfStock[Self_Qty],T_SelfStock[RM_Code],$A46,T_SelfStock[WeekIndex],54)+SUMIFS(T_TTAFStock[TTAF_Qty],T_TTAFStock[RM_Code],$A46,T_TTAFStock[WeekIndex],54),BB46+'Grid_Incoming'!BC46-'Grid_Requirement'!BC46))</f>
        <v/>
      </c>
      <c r="BD46">
        <f>IF(COUNTIFS(T_StockCount[RM_Code],$A46,T_StockCount[WeekIndex],55)&gt;0,SUMIFS(T_StockCount[CountedQty],T_StockCount[RM_Code],$A46,T_StockCount[WeekIndex],55),IF((COUNTIFS(T_SelfStock[RM_Code],$A46,T_SelfStock[WeekIndex],55)&gt;0)*(COUNTIFS(T_TTAFStock[RM_Code],$A46,T_TTAFStock[WeekIndex],55)&gt;0)&gt;0,SUMIFS(T_SelfStock[Self_Qty],T_SelfStock[RM_Code],$A46,T_SelfStock[WeekIndex],55)+SUMIFS(T_TTAFStock[TTAF_Qty],T_TTAFStock[RM_Code],$A46,T_TTAFStock[WeekIndex],55),BC46+'Grid_Incoming'!BD46-'Grid_Requirement'!BD46))</f>
        <v/>
      </c>
      <c r="BE46">
        <f>IF(COUNTIFS(T_StockCount[RM_Code],$A46,T_StockCount[WeekIndex],56)&gt;0,SUMIFS(T_StockCount[CountedQty],T_StockCount[RM_Code],$A46,T_StockCount[WeekIndex],56),IF((COUNTIFS(T_SelfStock[RM_Code],$A46,T_SelfStock[WeekIndex],56)&gt;0)*(COUNTIFS(T_TTAFStock[RM_Code],$A46,T_TTAFStock[WeekIndex],56)&gt;0)&gt;0,SUMIFS(T_SelfStock[Self_Qty],T_SelfStock[RM_Code],$A46,T_SelfStock[WeekIndex],56)+SUMIFS(T_TTAFStock[TTAF_Qty],T_TTAFStock[RM_Code],$A46,T_TTAFStock[WeekIndex],56),BD46+'Grid_Incoming'!BE46-'Grid_Requirement'!BE46))</f>
        <v/>
      </c>
      <c r="BF46">
        <f>IF(COUNTIFS(T_StockCount[RM_Code],$A46,T_StockCount[WeekIndex],57)&gt;0,SUMIFS(T_StockCount[CountedQty],T_StockCount[RM_Code],$A46,T_StockCount[WeekIndex],57),IF((COUNTIFS(T_SelfStock[RM_Code],$A46,T_SelfStock[WeekIndex],57)&gt;0)*(COUNTIFS(T_TTAFStock[RM_Code],$A46,T_TTAFStock[WeekIndex],57)&gt;0)&gt;0,SUMIFS(T_SelfStock[Self_Qty],T_SelfStock[RM_Code],$A46,T_SelfStock[WeekIndex],57)+SUMIFS(T_TTAFStock[TTAF_Qty],T_TTAFStock[RM_Code],$A46,T_TTAFStock[WeekIndex],57),BE46+'Grid_Incoming'!BF46-'Grid_Requirement'!BF46))</f>
        <v/>
      </c>
      <c r="BG46">
        <f>IF(COUNTIFS(T_StockCount[RM_Code],$A46,T_StockCount[WeekIndex],58)&gt;0,SUMIFS(T_StockCount[CountedQty],T_StockCount[RM_Code],$A46,T_StockCount[WeekIndex],58),IF((COUNTIFS(T_SelfStock[RM_Code],$A46,T_SelfStock[WeekIndex],58)&gt;0)*(COUNTIFS(T_TTAFStock[RM_Code],$A46,T_TTAFStock[WeekIndex],58)&gt;0)&gt;0,SUMIFS(T_SelfStock[Self_Qty],T_SelfStock[RM_Code],$A46,T_SelfStock[WeekIndex],58)+SUMIFS(T_TTAFStock[TTAF_Qty],T_TTAFStock[RM_Code],$A46,T_TTAFStock[WeekIndex],58),BF46+'Grid_Incoming'!BG46-'Grid_Requirement'!BG46))</f>
        <v/>
      </c>
      <c r="BH46">
        <f>IF(COUNTIFS(T_StockCount[RM_Code],$A46,T_StockCount[WeekIndex],59)&gt;0,SUMIFS(T_StockCount[CountedQty],T_StockCount[RM_Code],$A46,T_StockCount[WeekIndex],59),IF((COUNTIFS(T_SelfStock[RM_Code],$A46,T_SelfStock[WeekIndex],59)&gt;0)*(COUNTIFS(T_TTAFStock[RM_Code],$A46,T_TTAFStock[WeekIndex],59)&gt;0)&gt;0,SUMIFS(T_SelfStock[Self_Qty],T_SelfStock[RM_Code],$A46,T_SelfStock[WeekIndex],59)+SUMIFS(T_TTAFStock[TTAF_Qty],T_TTAFStock[RM_Code],$A46,T_TTAFStock[WeekIndex],59),BG46+'Grid_Incoming'!BH46-'Grid_Requirement'!BH46))</f>
        <v/>
      </c>
      <c r="BI46">
        <f>IF(COUNTIFS(T_StockCount[RM_Code],$A46,T_StockCount[WeekIndex],60)&gt;0,SUMIFS(T_StockCount[CountedQty],T_StockCount[RM_Code],$A46,T_StockCount[WeekIndex],60),IF((COUNTIFS(T_SelfStock[RM_Code],$A46,T_SelfStock[WeekIndex],60)&gt;0)*(COUNTIFS(T_TTAFStock[RM_Code],$A46,T_TTAFStock[WeekIndex],60)&gt;0)&gt;0,SUMIFS(T_SelfStock[Self_Qty],T_SelfStock[RM_Code],$A46,T_SelfStock[WeekIndex],60)+SUMIFS(T_TTAFStock[TTAF_Qty],T_TTAFStock[RM_Code],$A46,T_TTAFStock[WeekIndex],60),BH46+'Grid_Incoming'!BI46-'Grid_Requirement'!BI46))</f>
        <v/>
      </c>
      <c r="BJ46">
        <f>IF(COUNTIFS(T_StockCount[RM_Code],$A46,T_StockCount[WeekIndex],61)&gt;0,SUMIFS(T_StockCount[CountedQty],T_StockCount[RM_Code],$A46,T_StockCount[WeekIndex],61),IF((COUNTIFS(T_SelfStock[RM_Code],$A46,T_SelfStock[WeekIndex],61)&gt;0)*(COUNTIFS(T_TTAFStock[RM_Code],$A46,T_TTAFStock[WeekIndex],61)&gt;0)&gt;0,SUMIFS(T_SelfStock[Self_Qty],T_SelfStock[RM_Code],$A46,T_SelfStock[WeekIndex],61)+SUMIFS(T_TTAFStock[TTAF_Qty],T_TTAFStock[RM_Code],$A46,T_TTAFStock[WeekIndex],61),BI46+'Grid_Incoming'!BJ46-'Grid_Requirement'!BJ46))</f>
        <v/>
      </c>
      <c r="BK46">
        <f>IF(COUNTIFS(T_StockCount[RM_Code],$A46,T_StockCount[WeekIndex],62)&gt;0,SUMIFS(T_StockCount[CountedQty],T_StockCount[RM_Code],$A46,T_StockCount[WeekIndex],62),IF((COUNTIFS(T_SelfStock[RM_Code],$A46,T_SelfStock[WeekIndex],62)&gt;0)*(COUNTIFS(T_TTAFStock[RM_Code],$A46,T_TTAFStock[WeekIndex],62)&gt;0)&gt;0,SUMIFS(T_SelfStock[Self_Qty],T_SelfStock[RM_Code],$A46,T_SelfStock[WeekIndex],62)+SUMIFS(T_TTAFStock[TTAF_Qty],T_TTAFStock[RM_Code],$A46,T_TTAFStock[WeekIndex],62),BJ46+'Grid_Incoming'!BK46-'Grid_Requirement'!BK46))</f>
        <v/>
      </c>
      <c r="BL46">
        <f>IF(COUNTIFS(T_StockCount[RM_Code],$A46,T_StockCount[WeekIndex],63)&gt;0,SUMIFS(T_StockCount[CountedQty],T_StockCount[RM_Code],$A46,T_StockCount[WeekIndex],63),IF((COUNTIFS(T_SelfStock[RM_Code],$A46,T_SelfStock[WeekIndex],63)&gt;0)*(COUNTIFS(T_TTAFStock[RM_Code],$A46,T_TTAFStock[WeekIndex],63)&gt;0)&gt;0,SUMIFS(T_SelfStock[Self_Qty],T_SelfStock[RM_Code],$A46,T_SelfStock[WeekIndex],63)+SUMIFS(T_TTAFStock[TTAF_Qty],T_TTAFStock[RM_Code],$A46,T_TTAFStock[WeekIndex],63),BK46+'Grid_Incoming'!BL46-'Grid_Requirement'!BL46))</f>
        <v/>
      </c>
      <c r="BM46">
        <f>IF(COUNTIFS(T_StockCount[RM_Code],$A46,T_StockCount[WeekIndex],64)&gt;0,SUMIFS(T_StockCount[CountedQty],T_StockCount[RM_Code],$A46,T_StockCount[WeekIndex],64),IF((COUNTIFS(T_SelfStock[RM_Code],$A46,T_SelfStock[WeekIndex],64)&gt;0)*(COUNTIFS(T_TTAFStock[RM_Code],$A46,T_TTAFStock[WeekIndex],64)&gt;0)&gt;0,SUMIFS(T_SelfStock[Self_Qty],T_SelfStock[RM_Code],$A46,T_SelfStock[WeekIndex],64)+SUMIFS(T_TTAFStock[TTAF_Qty],T_TTAFStock[RM_Code],$A46,T_TTAFStock[WeekIndex],64),BL46+'Grid_Incoming'!BM46-'Grid_Requirement'!BM46))</f>
        <v/>
      </c>
      <c r="BN46">
        <f>IF(COUNTIFS(T_StockCount[RM_Code],$A46,T_StockCount[WeekIndex],65)&gt;0,SUMIFS(T_StockCount[CountedQty],T_StockCount[RM_Code],$A46,T_StockCount[WeekIndex],65),IF((COUNTIFS(T_SelfStock[RM_Code],$A46,T_SelfStock[WeekIndex],65)&gt;0)*(COUNTIFS(T_TTAFStock[RM_Code],$A46,T_TTAFStock[WeekIndex],65)&gt;0)&gt;0,SUMIFS(T_SelfStock[Self_Qty],T_SelfStock[RM_Code],$A46,T_SelfStock[WeekIndex],65)+SUMIFS(T_TTAFStock[TTAF_Qty],T_TTAFStock[RM_Code],$A46,T_TTAFStock[WeekIndex],65),BM46+'Grid_Incoming'!BN46-'Grid_Requirement'!BN46))</f>
        <v/>
      </c>
      <c r="BO46">
        <f>IF(COUNTIFS(T_StockCount[RM_Code],$A46,T_StockCount[WeekIndex],66)&gt;0,SUMIFS(T_StockCount[CountedQty],T_StockCount[RM_Code],$A46,T_StockCount[WeekIndex],66),IF((COUNTIFS(T_SelfStock[RM_Code],$A46,T_SelfStock[WeekIndex],66)&gt;0)*(COUNTIFS(T_TTAFStock[RM_Code],$A46,T_TTAFStock[WeekIndex],66)&gt;0)&gt;0,SUMIFS(T_SelfStock[Self_Qty],T_SelfStock[RM_Code],$A46,T_SelfStock[WeekIndex],66)+SUMIFS(T_TTAFStock[TTAF_Qty],T_TTAFStock[RM_Code],$A46,T_TTAFStock[WeekIndex],66),BN46+'Grid_Incoming'!BO46-'Grid_Requirement'!BO46))</f>
        <v/>
      </c>
      <c r="BP46">
        <f>IF(COUNTIFS(T_StockCount[RM_Code],$A46,T_StockCount[WeekIndex],67)&gt;0,SUMIFS(T_StockCount[CountedQty],T_StockCount[RM_Code],$A46,T_StockCount[WeekIndex],67),IF((COUNTIFS(T_SelfStock[RM_Code],$A46,T_SelfStock[WeekIndex],67)&gt;0)*(COUNTIFS(T_TTAFStock[RM_Code],$A46,T_TTAFStock[WeekIndex],67)&gt;0)&gt;0,SUMIFS(T_SelfStock[Self_Qty],T_SelfStock[RM_Code],$A46,T_SelfStock[WeekIndex],67)+SUMIFS(T_TTAFStock[TTAF_Qty],T_TTAFStock[RM_Code],$A46,T_TTAFStock[WeekIndex],67),BO46+'Grid_Incoming'!BP46-'Grid_Requirement'!BP46))</f>
        <v/>
      </c>
      <c r="BQ46">
        <f>IF(COUNTIFS(T_StockCount[RM_Code],$A46,T_StockCount[WeekIndex],68)&gt;0,SUMIFS(T_StockCount[CountedQty],T_StockCount[RM_Code],$A46,T_StockCount[WeekIndex],68),IF((COUNTIFS(T_SelfStock[RM_Code],$A46,T_SelfStock[WeekIndex],68)&gt;0)*(COUNTIFS(T_TTAFStock[RM_Code],$A46,T_TTAFStock[WeekIndex],68)&gt;0)&gt;0,SUMIFS(T_SelfStock[Self_Qty],T_SelfStock[RM_Code],$A46,T_SelfStock[WeekIndex],68)+SUMIFS(T_TTAFStock[TTAF_Qty],T_TTAFStock[RM_Code],$A46,T_TTAFStock[WeekIndex],68),BP46+'Grid_Incoming'!BQ46-'Grid_Requirement'!BQ46))</f>
        <v/>
      </c>
      <c r="BR46">
        <f>IF(COUNTIFS(T_StockCount[RM_Code],$A46,T_StockCount[WeekIndex],69)&gt;0,SUMIFS(T_StockCount[CountedQty],T_StockCount[RM_Code],$A46,T_StockCount[WeekIndex],69),IF((COUNTIFS(T_SelfStock[RM_Code],$A46,T_SelfStock[WeekIndex],69)&gt;0)*(COUNTIFS(T_TTAFStock[RM_Code],$A46,T_TTAFStock[WeekIndex],69)&gt;0)&gt;0,SUMIFS(T_SelfStock[Self_Qty],T_SelfStock[RM_Code],$A46,T_SelfStock[WeekIndex],69)+SUMIFS(T_TTAFStock[TTAF_Qty],T_TTAFStock[RM_Code],$A46,T_TTAFStock[WeekIndex],69),BQ46+'Grid_Incoming'!BR46-'Grid_Requirement'!BR46))</f>
        <v/>
      </c>
      <c r="BS46">
        <f>IF(COUNTIFS(T_StockCount[RM_Code],$A46,T_StockCount[WeekIndex],70)&gt;0,SUMIFS(T_StockCount[CountedQty],T_StockCount[RM_Code],$A46,T_StockCount[WeekIndex],70),IF((COUNTIFS(T_SelfStock[RM_Code],$A46,T_SelfStock[WeekIndex],70)&gt;0)*(COUNTIFS(T_TTAFStock[RM_Code],$A46,T_TTAFStock[WeekIndex],70)&gt;0)&gt;0,SUMIFS(T_SelfStock[Self_Qty],T_SelfStock[RM_Code],$A46,T_SelfStock[WeekIndex],70)+SUMIFS(T_TTAFStock[TTAF_Qty],T_TTAFStock[RM_Code],$A46,T_TTAFStock[WeekIndex],70),BR46+'Grid_Incoming'!BS46-'Grid_Requirement'!BS46))</f>
        <v/>
      </c>
      <c r="BT46">
        <f>IF(COUNTIFS(T_StockCount[RM_Code],$A46,T_StockCount[WeekIndex],71)&gt;0,SUMIFS(T_StockCount[CountedQty],T_StockCount[RM_Code],$A46,T_StockCount[WeekIndex],71),IF((COUNTIFS(T_SelfStock[RM_Code],$A46,T_SelfStock[WeekIndex],71)&gt;0)*(COUNTIFS(T_TTAFStock[RM_Code],$A46,T_TTAFStock[WeekIndex],71)&gt;0)&gt;0,SUMIFS(T_SelfStock[Self_Qty],T_SelfStock[RM_Code],$A46,T_SelfStock[WeekIndex],71)+SUMIFS(T_TTAFStock[TTAF_Qty],T_TTAFStock[RM_Code],$A46,T_TTAFStock[WeekIndex],71),BS46+'Grid_Incoming'!BT46-'Grid_Requirement'!BT46))</f>
        <v/>
      </c>
      <c r="BU46">
        <f>IF(COUNTIFS(T_StockCount[RM_Code],$A46,T_StockCount[WeekIndex],72)&gt;0,SUMIFS(T_StockCount[CountedQty],T_StockCount[RM_Code],$A46,T_StockCount[WeekIndex],72),IF((COUNTIFS(T_SelfStock[RM_Code],$A46,T_SelfStock[WeekIndex],72)&gt;0)*(COUNTIFS(T_TTAFStock[RM_Code],$A46,T_TTAFStock[WeekIndex],72)&gt;0)&gt;0,SUMIFS(T_SelfStock[Self_Qty],T_SelfStock[RM_Code],$A46,T_SelfStock[WeekIndex],72)+SUMIFS(T_TTAFStock[TTAF_Qty],T_TTAFStock[RM_Code],$A46,T_TTAFStock[WeekIndex],72),BT46+'Grid_Incoming'!BU46-'Grid_Requirement'!BU46))</f>
        <v/>
      </c>
      <c r="BV46">
        <f>IF(COUNTIFS(T_StockCount[RM_Code],$A46,T_StockCount[WeekIndex],73)&gt;0,SUMIFS(T_StockCount[CountedQty],T_StockCount[RM_Code],$A46,T_StockCount[WeekIndex],73),IF((COUNTIFS(T_SelfStock[RM_Code],$A46,T_SelfStock[WeekIndex],73)&gt;0)*(COUNTIFS(T_TTAFStock[RM_Code],$A46,T_TTAFStock[WeekIndex],73)&gt;0)&gt;0,SUMIFS(T_SelfStock[Self_Qty],T_SelfStock[RM_Code],$A46,T_SelfStock[WeekIndex],73)+SUMIFS(T_TTAFStock[TTAF_Qty],T_TTAFStock[RM_Code],$A46,T_TTAFStock[WeekIndex],73),BU46+'Grid_Incoming'!BV46-'Grid_Requirement'!BV46))</f>
        <v/>
      </c>
      <c r="BW46">
        <f>IF(COUNTIFS(T_StockCount[RM_Code],$A46,T_StockCount[WeekIndex],74)&gt;0,SUMIFS(T_StockCount[CountedQty],T_StockCount[RM_Code],$A46,T_StockCount[WeekIndex],74),IF((COUNTIFS(T_SelfStock[RM_Code],$A46,T_SelfStock[WeekIndex],74)&gt;0)*(COUNTIFS(T_TTAFStock[RM_Code],$A46,T_TTAFStock[WeekIndex],74)&gt;0)&gt;0,SUMIFS(T_SelfStock[Self_Qty],T_SelfStock[RM_Code],$A46,T_SelfStock[WeekIndex],74)+SUMIFS(T_TTAFStock[TTAF_Qty],T_TTAFStock[RM_Code],$A46,T_TTAFStock[WeekIndex],74),BV46+'Grid_Incoming'!BW46-'Grid_Requirement'!BW46))</f>
        <v/>
      </c>
      <c r="BX46">
        <f>IF(COUNTIFS(T_StockCount[RM_Code],$A46,T_StockCount[WeekIndex],75)&gt;0,SUMIFS(T_StockCount[CountedQty],T_StockCount[RM_Code],$A46,T_StockCount[WeekIndex],75),IF((COUNTIFS(T_SelfStock[RM_Code],$A46,T_SelfStock[WeekIndex],75)&gt;0)*(COUNTIFS(T_TTAFStock[RM_Code],$A46,T_TTAFStock[WeekIndex],75)&gt;0)&gt;0,SUMIFS(T_SelfStock[Self_Qty],T_SelfStock[RM_Code],$A46,T_SelfStock[WeekIndex],75)+SUMIFS(T_TTAFStock[TTAF_Qty],T_TTAFStock[RM_Code],$A46,T_TTAFStock[WeekIndex],75),BW46+'Grid_Incoming'!BX46-'Grid_Requirement'!BX46))</f>
        <v/>
      </c>
      <c r="BY46">
        <f>IF(COUNTIFS(T_StockCount[RM_Code],$A46,T_StockCount[WeekIndex],76)&gt;0,SUMIFS(T_StockCount[CountedQty],T_StockCount[RM_Code],$A46,T_StockCount[WeekIndex],76),IF((COUNTIFS(T_SelfStock[RM_Code],$A46,T_SelfStock[WeekIndex],76)&gt;0)*(COUNTIFS(T_TTAFStock[RM_Code],$A46,T_TTAFStock[WeekIndex],76)&gt;0)&gt;0,SUMIFS(T_SelfStock[Self_Qty],T_SelfStock[RM_Code],$A46,T_SelfStock[WeekIndex],76)+SUMIFS(T_TTAFStock[TTAF_Qty],T_TTAFStock[RM_Code],$A46,T_TTAFStock[WeekIndex],76),BX46+'Grid_Incoming'!BY46-'Grid_Requirement'!BY46))</f>
        <v/>
      </c>
      <c r="BZ46">
        <f>IF(COUNTIFS(T_StockCount[RM_Code],$A46,T_StockCount[WeekIndex],77)&gt;0,SUMIFS(T_StockCount[CountedQty],T_StockCount[RM_Code],$A46,T_StockCount[WeekIndex],77),IF((COUNTIFS(T_SelfStock[RM_Code],$A46,T_SelfStock[WeekIndex],77)&gt;0)*(COUNTIFS(T_TTAFStock[RM_Code],$A46,T_TTAFStock[WeekIndex],77)&gt;0)&gt;0,SUMIFS(T_SelfStock[Self_Qty],T_SelfStock[RM_Code],$A46,T_SelfStock[WeekIndex],77)+SUMIFS(T_TTAFStock[TTAF_Qty],T_TTAFStock[RM_Code],$A46,T_TTAFStock[WeekIndex],77),BY46+'Grid_Incoming'!BZ46-'Grid_Requirement'!BZ46))</f>
        <v/>
      </c>
      <c r="CA46">
        <f>IF(COUNTIFS(T_StockCount[RM_Code],$A46,T_StockCount[WeekIndex],78)&gt;0,SUMIFS(T_StockCount[CountedQty],T_StockCount[RM_Code],$A46,T_StockCount[WeekIndex],78),IF((COUNTIFS(T_SelfStock[RM_Code],$A46,T_SelfStock[WeekIndex],78)&gt;0)*(COUNTIFS(T_TTAFStock[RM_Code],$A46,T_TTAFStock[WeekIndex],78)&gt;0)&gt;0,SUMIFS(T_SelfStock[Self_Qty],T_SelfStock[RM_Code],$A46,T_SelfStock[WeekIndex],78)+SUMIFS(T_TTAFStock[TTAF_Qty],T_TTAFStock[RM_Code],$A46,T_TTAFStock[WeekIndex],78),BZ46+'Grid_Incoming'!CA46-'Grid_Requirement'!CA46))</f>
        <v/>
      </c>
      <c r="CB46">
        <f>IF(COUNTIFS(T_StockCount[RM_Code],$A46,T_StockCount[WeekIndex],79)&gt;0,SUMIFS(T_StockCount[CountedQty],T_StockCount[RM_Code],$A46,T_StockCount[WeekIndex],79),IF((COUNTIFS(T_SelfStock[RM_Code],$A46,T_SelfStock[WeekIndex],79)&gt;0)*(COUNTIFS(T_TTAFStock[RM_Code],$A46,T_TTAFStock[WeekIndex],79)&gt;0)&gt;0,SUMIFS(T_SelfStock[Self_Qty],T_SelfStock[RM_Code],$A46,T_SelfStock[WeekIndex],79)+SUMIFS(T_TTAFStock[TTAF_Qty],T_TTAFStock[RM_Code],$A46,T_TTAFStock[WeekIndex],79),CA46+'Grid_Incoming'!CB46-'Grid_Requirement'!CB46))</f>
        <v/>
      </c>
      <c r="CC46">
        <f>IF(COUNTIFS(T_StockCount[RM_Code],$A46,T_StockCount[WeekIndex],80)&gt;0,SUMIFS(T_StockCount[CountedQty],T_StockCount[RM_Code],$A46,T_StockCount[WeekIndex],80),IF((COUNTIFS(T_SelfStock[RM_Code],$A46,T_SelfStock[WeekIndex],80)&gt;0)*(COUNTIFS(T_TTAFStock[RM_Code],$A46,T_TTAFStock[WeekIndex],80)&gt;0)&gt;0,SUMIFS(T_SelfStock[Self_Qty],T_SelfStock[RM_Code],$A46,T_SelfStock[WeekIndex],80)+SUMIFS(T_TTAFStock[TTAF_Qty],T_TTAFStock[RM_Code],$A46,T_TTAFStock[WeekIndex],80),CB46+'Grid_Incoming'!CC46-'Grid_Requirement'!CC46))</f>
        <v/>
      </c>
      <c r="CD46">
        <f>IF(COUNTIFS(T_StockCount[RM_Code],$A46,T_StockCount[WeekIndex],81)&gt;0,SUMIFS(T_StockCount[CountedQty],T_StockCount[RM_Code],$A46,T_StockCount[WeekIndex],81),IF((COUNTIFS(T_SelfStock[RM_Code],$A46,T_SelfStock[WeekIndex],81)&gt;0)*(COUNTIFS(T_TTAFStock[RM_Code],$A46,T_TTAFStock[WeekIndex],81)&gt;0)&gt;0,SUMIFS(T_SelfStock[Self_Qty],T_SelfStock[RM_Code],$A46,T_SelfStock[WeekIndex],81)+SUMIFS(T_TTAFStock[TTAF_Qty],T_TTAFStock[RM_Code],$A46,T_TTAFStock[WeekIndex],81),CC46+'Grid_Incoming'!CD46-'Grid_Requirement'!CD46))</f>
        <v/>
      </c>
      <c r="CE46">
        <f>IF(COUNTIFS(T_StockCount[RM_Code],$A46,T_StockCount[WeekIndex],82)&gt;0,SUMIFS(T_StockCount[CountedQty],T_StockCount[RM_Code],$A46,T_StockCount[WeekIndex],82),IF((COUNTIFS(T_SelfStock[RM_Code],$A46,T_SelfStock[WeekIndex],82)&gt;0)*(COUNTIFS(T_TTAFStock[RM_Code],$A46,T_TTAFStock[WeekIndex],82)&gt;0)&gt;0,SUMIFS(T_SelfStock[Self_Qty],T_SelfStock[RM_Code],$A46,T_SelfStock[WeekIndex],82)+SUMIFS(T_TTAFStock[TTAF_Qty],T_TTAFStock[RM_Code],$A46,T_TTAFStock[WeekIndex],82),CD46+'Grid_Incoming'!CE46-'Grid_Requirement'!CE46))</f>
        <v/>
      </c>
      <c r="CF46">
        <f>IF(COUNTIFS(T_StockCount[RM_Code],$A46,T_StockCount[WeekIndex],83)&gt;0,SUMIFS(T_StockCount[CountedQty],T_StockCount[RM_Code],$A46,T_StockCount[WeekIndex],83),IF((COUNTIFS(T_SelfStock[RM_Code],$A46,T_SelfStock[WeekIndex],83)&gt;0)*(COUNTIFS(T_TTAFStock[RM_Code],$A46,T_TTAFStock[WeekIndex],83)&gt;0)&gt;0,SUMIFS(T_SelfStock[Self_Qty],T_SelfStock[RM_Code],$A46,T_SelfStock[WeekIndex],83)+SUMIFS(T_TTAFStock[TTAF_Qty],T_TTAFStock[RM_Code],$A46,T_TTAFStock[WeekIndex],83),CE46+'Grid_Incoming'!CF46-'Grid_Requirement'!CF46))</f>
        <v/>
      </c>
      <c r="CG46">
        <f>IF(COUNTIFS(T_StockCount[RM_Code],$A46,T_StockCount[WeekIndex],84)&gt;0,SUMIFS(T_StockCount[CountedQty],T_StockCount[RM_Code],$A46,T_StockCount[WeekIndex],84),IF((COUNTIFS(T_SelfStock[RM_Code],$A46,T_SelfStock[WeekIndex],84)&gt;0)*(COUNTIFS(T_TTAFStock[RM_Code],$A46,T_TTAFStock[WeekIndex],84)&gt;0)&gt;0,SUMIFS(T_SelfStock[Self_Qty],T_SelfStock[RM_Code],$A46,T_SelfStock[WeekIndex],84)+SUMIFS(T_TTAFStock[TTAF_Qty],T_TTAFStock[RM_Code],$A46,T_TTAFStock[WeekIndex],84),CF46+'Grid_Incoming'!CG46-'Grid_Requirement'!CG46))</f>
        <v/>
      </c>
      <c r="CH46">
        <f>IF(COUNTIFS(T_StockCount[RM_Code],$A46,T_StockCount[WeekIndex],85)&gt;0,SUMIFS(T_StockCount[CountedQty],T_StockCount[RM_Code],$A46,T_StockCount[WeekIndex],85),IF((COUNTIFS(T_SelfStock[RM_Code],$A46,T_SelfStock[WeekIndex],85)&gt;0)*(COUNTIFS(T_TTAFStock[RM_Code],$A46,T_TTAFStock[WeekIndex],85)&gt;0)&gt;0,SUMIFS(T_SelfStock[Self_Qty],T_SelfStock[RM_Code],$A46,T_SelfStock[WeekIndex],85)+SUMIFS(T_TTAFStock[TTAF_Qty],T_TTAFStock[RM_Code],$A46,T_TTAFStock[WeekIndex],85),CG46+'Grid_Incoming'!CH46-'Grid_Requirement'!CH46))</f>
        <v/>
      </c>
      <c r="CI46">
        <f>IF(COUNTIFS(T_StockCount[RM_Code],$A46,T_StockCount[WeekIndex],86)&gt;0,SUMIFS(T_StockCount[CountedQty],T_StockCount[RM_Code],$A46,T_StockCount[WeekIndex],86),IF((COUNTIFS(T_SelfStock[RM_Code],$A46,T_SelfStock[WeekIndex],86)&gt;0)*(COUNTIFS(T_TTAFStock[RM_Code],$A46,T_TTAFStock[WeekIndex],86)&gt;0)&gt;0,SUMIFS(T_SelfStock[Self_Qty],T_SelfStock[RM_Code],$A46,T_SelfStock[WeekIndex],86)+SUMIFS(T_TTAFStock[TTAF_Qty],T_TTAFStock[RM_Code],$A46,T_TTAFStock[WeekIndex],86),CH46+'Grid_Incoming'!CI46-'Grid_Requirement'!CI46))</f>
        <v/>
      </c>
      <c r="CJ46">
        <f>IF(COUNTIFS(T_StockCount[RM_Code],$A46,T_StockCount[WeekIndex],87)&gt;0,SUMIFS(T_StockCount[CountedQty],T_StockCount[RM_Code],$A46,T_StockCount[WeekIndex],87),IF((COUNTIFS(T_SelfStock[RM_Code],$A46,T_SelfStock[WeekIndex],87)&gt;0)*(COUNTIFS(T_TTAFStock[RM_Code],$A46,T_TTAFStock[WeekIndex],87)&gt;0)&gt;0,SUMIFS(T_SelfStock[Self_Qty],T_SelfStock[RM_Code],$A46,T_SelfStock[WeekIndex],87)+SUMIFS(T_TTAFStock[TTAF_Qty],T_TTAFStock[RM_Code],$A46,T_TTAFStock[WeekIndex],87),CI46+'Grid_Incoming'!CJ46-'Grid_Requirement'!CJ46))</f>
        <v/>
      </c>
      <c r="CK46">
        <f>IF(COUNTIFS(T_StockCount[RM_Code],$A46,T_StockCount[WeekIndex],88)&gt;0,SUMIFS(T_StockCount[CountedQty],T_StockCount[RM_Code],$A46,T_StockCount[WeekIndex],88),IF((COUNTIFS(T_SelfStock[RM_Code],$A46,T_SelfStock[WeekIndex],88)&gt;0)*(COUNTIFS(T_TTAFStock[RM_Code],$A46,T_TTAFStock[WeekIndex],88)&gt;0)&gt;0,SUMIFS(T_SelfStock[Self_Qty],T_SelfStock[RM_Code],$A46,T_SelfStock[WeekIndex],88)+SUMIFS(T_TTAFStock[TTAF_Qty],T_TTAFStock[RM_Code],$A46,T_TTAFStock[WeekIndex],88),CJ46+'Grid_Incoming'!CK46-'Grid_Requirement'!CK46))</f>
        <v/>
      </c>
      <c r="CL46">
        <f>IF(COUNTIFS(T_StockCount[RM_Code],$A46,T_StockCount[WeekIndex],89)&gt;0,SUMIFS(T_StockCount[CountedQty],T_StockCount[RM_Code],$A46,T_StockCount[WeekIndex],89),IF((COUNTIFS(T_SelfStock[RM_Code],$A46,T_SelfStock[WeekIndex],89)&gt;0)*(COUNTIFS(T_TTAFStock[RM_Code],$A46,T_TTAFStock[WeekIndex],89)&gt;0)&gt;0,SUMIFS(T_SelfStock[Self_Qty],T_SelfStock[RM_Code],$A46,T_SelfStock[WeekIndex],89)+SUMIFS(T_TTAFStock[TTAF_Qty],T_TTAFStock[RM_Code],$A46,T_TTAFStock[WeekIndex],89),CK46+'Grid_Incoming'!CL46-'Grid_Requirement'!CL46))</f>
        <v/>
      </c>
      <c r="CM46">
        <f>IF(COUNTIFS(T_StockCount[RM_Code],$A46,T_StockCount[WeekIndex],90)&gt;0,SUMIFS(T_StockCount[CountedQty],T_StockCount[RM_Code],$A46,T_StockCount[WeekIndex],90),IF((COUNTIFS(T_SelfStock[RM_Code],$A46,T_SelfStock[WeekIndex],90)&gt;0)*(COUNTIFS(T_TTAFStock[RM_Code],$A46,T_TTAFStock[WeekIndex],90)&gt;0)&gt;0,SUMIFS(T_SelfStock[Self_Qty],T_SelfStock[RM_Code],$A46,T_SelfStock[WeekIndex],90)+SUMIFS(T_TTAFStock[TTAF_Qty],T_TTAFStock[RM_Code],$A46,T_TTAFStock[WeekIndex],90),CL46+'Grid_Incoming'!CM46-'Grid_Requirement'!CM46))</f>
        <v/>
      </c>
      <c r="CN46">
        <f>IF(COUNTIFS(T_StockCount[RM_Code],$A46,T_StockCount[WeekIndex],91)&gt;0,SUMIFS(T_StockCount[CountedQty],T_StockCount[RM_Code],$A46,T_StockCount[WeekIndex],91),IF((COUNTIFS(T_SelfStock[RM_Code],$A46,T_SelfStock[WeekIndex],91)&gt;0)*(COUNTIFS(T_TTAFStock[RM_Code],$A46,T_TTAFStock[WeekIndex],91)&gt;0)&gt;0,SUMIFS(T_SelfStock[Self_Qty],T_SelfStock[RM_Code],$A46,T_SelfStock[WeekIndex],91)+SUMIFS(T_TTAFStock[TTAF_Qty],T_TTAFStock[RM_Code],$A46,T_TTAFStock[WeekIndex],91),CM46+'Grid_Incoming'!CN46-'Grid_Requirement'!CN46))</f>
        <v/>
      </c>
      <c r="CO46">
        <f>IF(COUNTIFS(T_StockCount[RM_Code],$A46,T_StockCount[WeekIndex],92)&gt;0,SUMIFS(T_StockCount[CountedQty],T_StockCount[RM_Code],$A46,T_StockCount[WeekIndex],92),IF((COUNTIFS(T_SelfStock[RM_Code],$A46,T_SelfStock[WeekIndex],92)&gt;0)*(COUNTIFS(T_TTAFStock[RM_Code],$A46,T_TTAFStock[WeekIndex],92)&gt;0)&gt;0,SUMIFS(T_SelfStock[Self_Qty],T_SelfStock[RM_Code],$A46,T_SelfStock[WeekIndex],92)+SUMIFS(T_TTAFStock[TTAF_Qty],T_TTAFStock[RM_Code],$A46,T_TTAFStock[WeekIndex],92),CN46+'Grid_Incoming'!CO46-'Grid_Requirement'!CO46))</f>
        <v/>
      </c>
      <c r="CP46">
        <f>IF(COUNTIFS(T_StockCount[RM_Code],$A46,T_StockCount[WeekIndex],93)&gt;0,SUMIFS(T_StockCount[CountedQty],T_StockCount[RM_Code],$A46,T_StockCount[WeekIndex],93),IF((COUNTIFS(T_SelfStock[RM_Code],$A46,T_SelfStock[WeekIndex],93)&gt;0)*(COUNTIFS(T_TTAFStock[RM_Code],$A46,T_TTAFStock[WeekIndex],93)&gt;0)&gt;0,SUMIFS(T_SelfStock[Self_Qty],T_SelfStock[RM_Code],$A46,T_SelfStock[WeekIndex],93)+SUMIFS(T_TTAFStock[TTAF_Qty],T_TTAFStock[RM_Code],$A46,T_TTAFStock[WeekIndex],93),CO46+'Grid_Incoming'!CP46-'Grid_Requirement'!CP46))</f>
        <v/>
      </c>
      <c r="CQ46">
        <f>IF(COUNTIFS(T_StockCount[RM_Code],$A46,T_StockCount[WeekIndex],94)&gt;0,SUMIFS(T_StockCount[CountedQty],T_StockCount[RM_Code],$A46,T_StockCount[WeekIndex],94),IF((COUNTIFS(T_SelfStock[RM_Code],$A46,T_SelfStock[WeekIndex],94)&gt;0)*(COUNTIFS(T_TTAFStock[RM_Code],$A46,T_TTAFStock[WeekIndex],94)&gt;0)&gt;0,SUMIFS(T_SelfStock[Self_Qty],T_SelfStock[RM_Code],$A46,T_SelfStock[WeekIndex],94)+SUMIFS(T_TTAFStock[TTAF_Qty],T_TTAFStock[RM_Code],$A46,T_TTAFStock[WeekIndex],94),CP46+'Grid_Incoming'!CQ46-'Grid_Requirement'!CQ46))</f>
        <v/>
      </c>
      <c r="CR46">
        <f>IF(COUNTIFS(T_StockCount[RM_Code],$A46,T_StockCount[WeekIndex],95)&gt;0,SUMIFS(T_StockCount[CountedQty],T_StockCount[RM_Code],$A46,T_StockCount[WeekIndex],95),IF((COUNTIFS(T_SelfStock[RM_Code],$A46,T_SelfStock[WeekIndex],95)&gt;0)*(COUNTIFS(T_TTAFStock[RM_Code],$A46,T_TTAFStock[WeekIndex],95)&gt;0)&gt;0,SUMIFS(T_SelfStock[Self_Qty],T_SelfStock[RM_Code],$A46,T_SelfStock[WeekIndex],95)+SUMIFS(T_TTAFStock[TTAF_Qty],T_TTAFStock[RM_Code],$A46,T_TTAFStock[WeekIndex],95),CQ46+'Grid_Incoming'!CR46-'Grid_Requirement'!CR46))</f>
        <v/>
      </c>
      <c r="CS46">
        <f>IF(COUNTIFS(T_StockCount[RM_Code],$A46,T_StockCount[WeekIndex],96)&gt;0,SUMIFS(T_StockCount[CountedQty],T_StockCount[RM_Code],$A46,T_StockCount[WeekIndex],96),IF((COUNTIFS(T_SelfStock[RM_Code],$A46,T_SelfStock[WeekIndex],96)&gt;0)*(COUNTIFS(T_TTAFStock[RM_Code],$A46,T_TTAFStock[WeekIndex],96)&gt;0)&gt;0,SUMIFS(T_SelfStock[Self_Qty],T_SelfStock[RM_Code],$A46,T_SelfStock[WeekIndex],96)+SUMIFS(T_TTAFStock[TTAF_Qty],T_TTAFStock[RM_Code],$A46,T_TTAFStock[WeekIndex],96),CR46+'Grid_Incoming'!CS46-'Grid_Requirement'!CS46))</f>
        <v/>
      </c>
      <c r="CT46">
        <f>IF(COUNTIFS(T_StockCount[RM_Code],$A46,T_StockCount[WeekIndex],97)&gt;0,SUMIFS(T_StockCount[CountedQty],T_StockCount[RM_Code],$A46,T_StockCount[WeekIndex],97),IF((COUNTIFS(T_SelfStock[RM_Code],$A46,T_SelfStock[WeekIndex],97)&gt;0)*(COUNTIFS(T_TTAFStock[RM_Code],$A46,T_TTAFStock[WeekIndex],97)&gt;0)&gt;0,SUMIFS(T_SelfStock[Self_Qty],T_SelfStock[RM_Code],$A46,T_SelfStock[WeekIndex],97)+SUMIFS(T_TTAFStock[TTAF_Qty],T_TTAFStock[RM_Code],$A46,T_TTAFStock[WeekIndex],97),CS46+'Grid_Incoming'!CT46-'Grid_Requirement'!CT46))</f>
        <v/>
      </c>
      <c r="CU46">
        <f>IF(COUNTIFS(T_StockCount[RM_Code],$A46,T_StockCount[WeekIndex],98)&gt;0,SUMIFS(T_StockCount[CountedQty],T_StockCount[RM_Code],$A46,T_StockCount[WeekIndex],98),IF((COUNTIFS(T_SelfStock[RM_Code],$A46,T_SelfStock[WeekIndex],98)&gt;0)*(COUNTIFS(T_TTAFStock[RM_Code],$A46,T_TTAFStock[WeekIndex],98)&gt;0)&gt;0,SUMIFS(T_SelfStock[Self_Qty],T_SelfStock[RM_Code],$A46,T_SelfStock[WeekIndex],98)+SUMIFS(T_TTAFStock[TTAF_Qty],T_TTAFStock[RM_Code],$A46,T_TTAFStock[WeekIndex],98),CT46+'Grid_Incoming'!CU46-'Grid_Requirement'!CU46))</f>
        <v/>
      </c>
      <c r="CV46">
        <f>IF(COUNTIFS(T_StockCount[RM_Code],$A46,T_StockCount[WeekIndex],99)&gt;0,SUMIFS(T_StockCount[CountedQty],T_StockCount[RM_Code],$A46,T_StockCount[WeekIndex],99),IF((COUNTIFS(T_SelfStock[RM_Code],$A46,T_SelfStock[WeekIndex],99)&gt;0)*(COUNTIFS(T_TTAFStock[RM_Code],$A46,T_TTAFStock[WeekIndex],99)&gt;0)&gt;0,SUMIFS(T_SelfStock[Self_Qty],T_SelfStock[RM_Code],$A46,T_SelfStock[WeekIndex],99)+SUMIFS(T_TTAFStock[TTAF_Qty],T_TTAFStock[RM_Code],$A46,T_TTAFStock[WeekIndex],99),CU46+'Grid_Incoming'!CV46-'Grid_Requirement'!CV46))</f>
        <v/>
      </c>
      <c r="CW46">
        <f>IF(COUNTIFS(T_StockCount[RM_Code],$A46,T_StockCount[WeekIndex],100)&gt;0,SUMIFS(T_StockCount[CountedQty],T_StockCount[RM_Code],$A46,T_StockCount[WeekIndex],100),IF((COUNTIFS(T_SelfStock[RM_Code],$A46,T_SelfStock[WeekIndex],100)&gt;0)*(COUNTIFS(T_TTAFStock[RM_Code],$A46,T_TTAFStock[WeekIndex],100)&gt;0)&gt;0,SUMIFS(T_SelfStock[Self_Qty],T_SelfStock[RM_Code],$A46,T_SelfStock[WeekIndex],100)+SUMIFS(T_TTAFStock[TTAF_Qty],T_TTAFStock[RM_Code],$A46,T_TTAFStock[WeekIndex],100),CV46+'Grid_Incoming'!CW46-'Grid_Requirement'!CW46))</f>
        <v/>
      </c>
      <c r="CX46">
        <f>IF(COUNTIFS(T_StockCount[RM_Code],$A46,T_StockCount[WeekIndex],101)&gt;0,SUMIFS(T_StockCount[CountedQty],T_StockCount[RM_Code],$A46,T_StockCount[WeekIndex],101),IF((COUNTIFS(T_SelfStock[RM_Code],$A46,T_SelfStock[WeekIndex],101)&gt;0)*(COUNTIFS(T_TTAFStock[RM_Code],$A46,T_TTAFStock[WeekIndex],101)&gt;0)&gt;0,SUMIFS(T_SelfStock[Self_Qty],T_SelfStock[RM_Code],$A46,T_SelfStock[WeekIndex],101)+SUMIFS(T_TTAFStock[TTAF_Qty],T_TTAFStock[RM_Code],$A46,T_TTAFStock[WeekIndex],101),CW46+'Grid_Incoming'!CX46-'Grid_Requirement'!CX46))</f>
        <v/>
      </c>
      <c r="CY46">
        <f>IF(COUNTIFS(T_StockCount[RM_Code],$A46,T_StockCount[WeekIndex],102)&gt;0,SUMIFS(T_StockCount[CountedQty],T_StockCount[RM_Code],$A46,T_StockCount[WeekIndex],102),IF((COUNTIFS(T_SelfStock[RM_Code],$A46,T_SelfStock[WeekIndex],102)&gt;0)*(COUNTIFS(T_TTAFStock[RM_Code],$A46,T_TTAFStock[WeekIndex],102)&gt;0)&gt;0,SUMIFS(T_SelfStock[Self_Qty],T_SelfStock[RM_Code],$A46,T_SelfStock[WeekIndex],102)+SUMIFS(T_TTAFStock[TTAF_Qty],T_TTAFStock[RM_Code],$A46,T_TTAFStock[WeekIndex],102),CX46+'Grid_Incoming'!CY46-'Grid_Requirement'!CY46))</f>
        <v/>
      </c>
      <c r="CZ46">
        <f>IF(COUNTIFS(T_StockCount[RM_Code],$A46,T_StockCount[WeekIndex],103)&gt;0,SUMIFS(T_StockCount[CountedQty],T_StockCount[RM_Code],$A46,T_StockCount[WeekIndex],103),IF((COUNTIFS(T_SelfStock[RM_Code],$A46,T_SelfStock[WeekIndex],103)&gt;0)*(COUNTIFS(T_TTAFStock[RM_Code],$A46,T_TTAFStock[WeekIndex],103)&gt;0)&gt;0,SUMIFS(T_SelfStock[Self_Qty],T_SelfStock[RM_Code],$A46,T_SelfStock[WeekIndex],103)+SUMIFS(T_TTAFStock[TTAF_Qty],T_TTAFStock[RM_Code],$A46,T_TTAFStock[WeekIndex],103),CY46+'Grid_Incoming'!CZ46-'Grid_Requirement'!CZ46))</f>
        <v/>
      </c>
      <c r="DA46">
        <f>IF(COUNTIFS(T_StockCount[RM_Code],$A46,T_StockCount[WeekIndex],104)&gt;0,SUMIFS(T_StockCount[CountedQty],T_StockCount[RM_Code],$A46,T_StockCount[WeekIndex],104),IF((COUNTIFS(T_SelfStock[RM_Code],$A46,T_SelfStock[WeekIndex],104)&gt;0)*(COUNTIFS(T_TTAFStock[RM_Code],$A46,T_TTAFStock[WeekIndex],104)&gt;0)&gt;0,SUMIFS(T_SelfStock[Self_Qty],T_SelfStock[RM_Code],$A46,T_SelfStock[WeekIndex],104)+SUMIFS(T_TTAFStock[TTAF_Qty],T_TTAFStock[RM_Code],$A46,T_TTAFStock[WeekIndex],104),CZ46+'Grid_Incoming'!DA46-'Grid_Requirement'!DA46))</f>
        <v/>
      </c>
    </row>
    <row r="47">
      <c r="A47" t="inlineStr">
        <is>
          <t>CHEM-1430</t>
        </is>
      </c>
      <c r="B47">
        <f>IF(COUNTIFS(T_StockCount[RM_Code],$A47,T_StockCount[WeekIndex],1)&gt;0,SUMIFS(T_StockCount[CountedQty],T_StockCount[RM_Code],$A47,T_StockCount[WeekIndex],1),IF((COUNTIFS(T_SelfStock[RM_Code],$A47,T_SelfStock[WeekIndex],1)&gt;0)*(COUNTIFS(T_TTAFStock[RM_Code],$A47,T_TTAFStock[WeekIndex],1)&gt;0)&gt;0,SUMIFS(T_SelfStock[Self_Qty],T_SelfStock[RM_Code],$A47,T_SelfStock[WeekIndex],1)+SUMIFS(T_TTAFStock[TTAF_Qty],T_TTAFStock[RM_Code],$A47,T_TTAFStock[WeekIndex],1),IFERROR(INDEX(T_OpeningStock[Opening_Qty],MATCH($A47,T_OpeningStock[RM_Code],0)),0)+'Grid_Incoming'!B47-'Grid_Requirement'!B47))</f>
        <v/>
      </c>
      <c r="C47">
        <f>IF(COUNTIFS(T_StockCount[RM_Code],$A47,T_StockCount[WeekIndex],2)&gt;0,SUMIFS(T_StockCount[CountedQty],T_StockCount[RM_Code],$A47,T_StockCount[WeekIndex],2),IF((COUNTIFS(T_SelfStock[RM_Code],$A47,T_SelfStock[WeekIndex],2)&gt;0)*(COUNTIFS(T_TTAFStock[RM_Code],$A47,T_TTAFStock[WeekIndex],2)&gt;0)&gt;0,SUMIFS(T_SelfStock[Self_Qty],T_SelfStock[RM_Code],$A47,T_SelfStock[WeekIndex],2)+SUMIFS(T_TTAFStock[TTAF_Qty],T_TTAFStock[RM_Code],$A47,T_TTAFStock[WeekIndex],2),B47+'Grid_Incoming'!C47-'Grid_Requirement'!C47))</f>
        <v/>
      </c>
      <c r="D47">
        <f>IF(COUNTIFS(T_StockCount[RM_Code],$A47,T_StockCount[WeekIndex],3)&gt;0,SUMIFS(T_StockCount[CountedQty],T_StockCount[RM_Code],$A47,T_StockCount[WeekIndex],3),IF((COUNTIFS(T_SelfStock[RM_Code],$A47,T_SelfStock[WeekIndex],3)&gt;0)*(COUNTIFS(T_TTAFStock[RM_Code],$A47,T_TTAFStock[WeekIndex],3)&gt;0)&gt;0,SUMIFS(T_SelfStock[Self_Qty],T_SelfStock[RM_Code],$A47,T_SelfStock[WeekIndex],3)+SUMIFS(T_TTAFStock[TTAF_Qty],T_TTAFStock[RM_Code],$A47,T_TTAFStock[WeekIndex],3),C47+'Grid_Incoming'!D47-'Grid_Requirement'!D47))</f>
        <v/>
      </c>
      <c r="E47">
        <f>IF(COUNTIFS(T_StockCount[RM_Code],$A47,T_StockCount[WeekIndex],4)&gt;0,SUMIFS(T_StockCount[CountedQty],T_StockCount[RM_Code],$A47,T_StockCount[WeekIndex],4),IF((COUNTIFS(T_SelfStock[RM_Code],$A47,T_SelfStock[WeekIndex],4)&gt;0)*(COUNTIFS(T_TTAFStock[RM_Code],$A47,T_TTAFStock[WeekIndex],4)&gt;0)&gt;0,SUMIFS(T_SelfStock[Self_Qty],T_SelfStock[RM_Code],$A47,T_SelfStock[WeekIndex],4)+SUMIFS(T_TTAFStock[TTAF_Qty],T_TTAFStock[RM_Code],$A47,T_TTAFStock[WeekIndex],4),D47+'Grid_Incoming'!E47-'Grid_Requirement'!E47))</f>
        <v/>
      </c>
      <c r="F47">
        <f>IF(COUNTIFS(T_StockCount[RM_Code],$A47,T_StockCount[WeekIndex],5)&gt;0,SUMIFS(T_StockCount[CountedQty],T_StockCount[RM_Code],$A47,T_StockCount[WeekIndex],5),IF((COUNTIFS(T_SelfStock[RM_Code],$A47,T_SelfStock[WeekIndex],5)&gt;0)*(COUNTIFS(T_TTAFStock[RM_Code],$A47,T_TTAFStock[WeekIndex],5)&gt;0)&gt;0,SUMIFS(T_SelfStock[Self_Qty],T_SelfStock[RM_Code],$A47,T_SelfStock[WeekIndex],5)+SUMIFS(T_TTAFStock[TTAF_Qty],T_TTAFStock[RM_Code],$A47,T_TTAFStock[WeekIndex],5),E47+'Grid_Incoming'!F47-'Grid_Requirement'!F47))</f>
        <v/>
      </c>
      <c r="G47">
        <f>IF(COUNTIFS(T_StockCount[RM_Code],$A47,T_StockCount[WeekIndex],6)&gt;0,SUMIFS(T_StockCount[CountedQty],T_StockCount[RM_Code],$A47,T_StockCount[WeekIndex],6),IF((COUNTIFS(T_SelfStock[RM_Code],$A47,T_SelfStock[WeekIndex],6)&gt;0)*(COUNTIFS(T_TTAFStock[RM_Code],$A47,T_TTAFStock[WeekIndex],6)&gt;0)&gt;0,SUMIFS(T_SelfStock[Self_Qty],T_SelfStock[RM_Code],$A47,T_SelfStock[WeekIndex],6)+SUMIFS(T_TTAFStock[TTAF_Qty],T_TTAFStock[RM_Code],$A47,T_TTAFStock[WeekIndex],6),F47+'Grid_Incoming'!G47-'Grid_Requirement'!G47))</f>
        <v/>
      </c>
      <c r="H47">
        <f>IF(COUNTIFS(T_StockCount[RM_Code],$A47,T_StockCount[WeekIndex],7)&gt;0,SUMIFS(T_StockCount[CountedQty],T_StockCount[RM_Code],$A47,T_StockCount[WeekIndex],7),IF((COUNTIFS(T_SelfStock[RM_Code],$A47,T_SelfStock[WeekIndex],7)&gt;0)*(COUNTIFS(T_TTAFStock[RM_Code],$A47,T_TTAFStock[WeekIndex],7)&gt;0)&gt;0,SUMIFS(T_SelfStock[Self_Qty],T_SelfStock[RM_Code],$A47,T_SelfStock[WeekIndex],7)+SUMIFS(T_TTAFStock[TTAF_Qty],T_TTAFStock[RM_Code],$A47,T_TTAFStock[WeekIndex],7),G47+'Grid_Incoming'!H47-'Grid_Requirement'!H47))</f>
        <v/>
      </c>
      <c r="I47">
        <f>IF(COUNTIFS(T_StockCount[RM_Code],$A47,T_StockCount[WeekIndex],8)&gt;0,SUMIFS(T_StockCount[CountedQty],T_StockCount[RM_Code],$A47,T_StockCount[WeekIndex],8),IF((COUNTIFS(T_SelfStock[RM_Code],$A47,T_SelfStock[WeekIndex],8)&gt;0)*(COUNTIFS(T_TTAFStock[RM_Code],$A47,T_TTAFStock[WeekIndex],8)&gt;0)&gt;0,SUMIFS(T_SelfStock[Self_Qty],T_SelfStock[RM_Code],$A47,T_SelfStock[WeekIndex],8)+SUMIFS(T_TTAFStock[TTAF_Qty],T_TTAFStock[RM_Code],$A47,T_TTAFStock[WeekIndex],8),H47+'Grid_Incoming'!I47-'Grid_Requirement'!I47))</f>
        <v/>
      </c>
      <c r="J47">
        <f>IF(COUNTIFS(T_StockCount[RM_Code],$A47,T_StockCount[WeekIndex],9)&gt;0,SUMIFS(T_StockCount[CountedQty],T_StockCount[RM_Code],$A47,T_StockCount[WeekIndex],9),IF((COUNTIFS(T_SelfStock[RM_Code],$A47,T_SelfStock[WeekIndex],9)&gt;0)*(COUNTIFS(T_TTAFStock[RM_Code],$A47,T_TTAFStock[WeekIndex],9)&gt;0)&gt;0,SUMIFS(T_SelfStock[Self_Qty],T_SelfStock[RM_Code],$A47,T_SelfStock[WeekIndex],9)+SUMIFS(T_TTAFStock[TTAF_Qty],T_TTAFStock[RM_Code],$A47,T_TTAFStock[WeekIndex],9),I47+'Grid_Incoming'!J47-'Grid_Requirement'!J47))</f>
        <v/>
      </c>
      <c r="K47">
        <f>IF(COUNTIFS(T_StockCount[RM_Code],$A47,T_StockCount[WeekIndex],10)&gt;0,SUMIFS(T_StockCount[CountedQty],T_StockCount[RM_Code],$A47,T_StockCount[WeekIndex],10),IF((COUNTIFS(T_SelfStock[RM_Code],$A47,T_SelfStock[WeekIndex],10)&gt;0)*(COUNTIFS(T_TTAFStock[RM_Code],$A47,T_TTAFStock[WeekIndex],10)&gt;0)&gt;0,SUMIFS(T_SelfStock[Self_Qty],T_SelfStock[RM_Code],$A47,T_SelfStock[WeekIndex],10)+SUMIFS(T_TTAFStock[TTAF_Qty],T_TTAFStock[RM_Code],$A47,T_TTAFStock[WeekIndex],10),J47+'Grid_Incoming'!K47-'Grid_Requirement'!K47))</f>
        <v/>
      </c>
      <c r="L47">
        <f>IF(COUNTIFS(T_StockCount[RM_Code],$A47,T_StockCount[WeekIndex],11)&gt;0,SUMIFS(T_StockCount[CountedQty],T_StockCount[RM_Code],$A47,T_StockCount[WeekIndex],11),IF((COUNTIFS(T_SelfStock[RM_Code],$A47,T_SelfStock[WeekIndex],11)&gt;0)*(COUNTIFS(T_TTAFStock[RM_Code],$A47,T_TTAFStock[WeekIndex],11)&gt;0)&gt;0,SUMIFS(T_SelfStock[Self_Qty],T_SelfStock[RM_Code],$A47,T_SelfStock[WeekIndex],11)+SUMIFS(T_TTAFStock[TTAF_Qty],T_TTAFStock[RM_Code],$A47,T_TTAFStock[WeekIndex],11),K47+'Grid_Incoming'!L47-'Grid_Requirement'!L47))</f>
        <v/>
      </c>
      <c r="M47">
        <f>IF(COUNTIFS(T_StockCount[RM_Code],$A47,T_StockCount[WeekIndex],12)&gt;0,SUMIFS(T_StockCount[CountedQty],T_StockCount[RM_Code],$A47,T_StockCount[WeekIndex],12),IF((COUNTIFS(T_SelfStock[RM_Code],$A47,T_SelfStock[WeekIndex],12)&gt;0)*(COUNTIFS(T_TTAFStock[RM_Code],$A47,T_TTAFStock[WeekIndex],12)&gt;0)&gt;0,SUMIFS(T_SelfStock[Self_Qty],T_SelfStock[RM_Code],$A47,T_SelfStock[WeekIndex],12)+SUMIFS(T_TTAFStock[TTAF_Qty],T_TTAFStock[RM_Code],$A47,T_TTAFStock[WeekIndex],12),L47+'Grid_Incoming'!M47-'Grid_Requirement'!M47))</f>
        <v/>
      </c>
      <c r="N47">
        <f>IF(COUNTIFS(T_StockCount[RM_Code],$A47,T_StockCount[WeekIndex],13)&gt;0,SUMIFS(T_StockCount[CountedQty],T_StockCount[RM_Code],$A47,T_StockCount[WeekIndex],13),IF((COUNTIFS(T_SelfStock[RM_Code],$A47,T_SelfStock[WeekIndex],13)&gt;0)*(COUNTIFS(T_TTAFStock[RM_Code],$A47,T_TTAFStock[WeekIndex],13)&gt;0)&gt;0,SUMIFS(T_SelfStock[Self_Qty],T_SelfStock[RM_Code],$A47,T_SelfStock[WeekIndex],13)+SUMIFS(T_TTAFStock[TTAF_Qty],T_TTAFStock[RM_Code],$A47,T_TTAFStock[WeekIndex],13),M47+'Grid_Incoming'!N47-'Grid_Requirement'!N47))</f>
        <v/>
      </c>
      <c r="O47">
        <f>IF(COUNTIFS(T_StockCount[RM_Code],$A47,T_StockCount[WeekIndex],14)&gt;0,SUMIFS(T_StockCount[CountedQty],T_StockCount[RM_Code],$A47,T_StockCount[WeekIndex],14),IF((COUNTIFS(T_SelfStock[RM_Code],$A47,T_SelfStock[WeekIndex],14)&gt;0)*(COUNTIFS(T_TTAFStock[RM_Code],$A47,T_TTAFStock[WeekIndex],14)&gt;0)&gt;0,SUMIFS(T_SelfStock[Self_Qty],T_SelfStock[RM_Code],$A47,T_SelfStock[WeekIndex],14)+SUMIFS(T_TTAFStock[TTAF_Qty],T_TTAFStock[RM_Code],$A47,T_TTAFStock[WeekIndex],14),N47+'Grid_Incoming'!O47-'Grid_Requirement'!O47))</f>
        <v/>
      </c>
      <c r="P47">
        <f>IF(COUNTIFS(T_StockCount[RM_Code],$A47,T_StockCount[WeekIndex],15)&gt;0,SUMIFS(T_StockCount[CountedQty],T_StockCount[RM_Code],$A47,T_StockCount[WeekIndex],15),IF((COUNTIFS(T_SelfStock[RM_Code],$A47,T_SelfStock[WeekIndex],15)&gt;0)*(COUNTIFS(T_TTAFStock[RM_Code],$A47,T_TTAFStock[WeekIndex],15)&gt;0)&gt;0,SUMIFS(T_SelfStock[Self_Qty],T_SelfStock[RM_Code],$A47,T_SelfStock[WeekIndex],15)+SUMIFS(T_TTAFStock[TTAF_Qty],T_TTAFStock[RM_Code],$A47,T_TTAFStock[WeekIndex],15),O47+'Grid_Incoming'!P47-'Grid_Requirement'!P47))</f>
        <v/>
      </c>
      <c r="Q47">
        <f>IF(COUNTIFS(T_StockCount[RM_Code],$A47,T_StockCount[WeekIndex],16)&gt;0,SUMIFS(T_StockCount[CountedQty],T_StockCount[RM_Code],$A47,T_StockCount[WeekIndex],16),IF((COUNTIFS(T_SelfStock[RM_Code],$A47,T_SelfStock[WeekIndex],16)&gt;0)*(COUNTIFS(T_TTAFStock[RM_Code],$A47,T_TTAFStock[WeekIndex],16)&gt;0)&gt;0,SUMIFS(T_SelfStock[Self_Qty],T_SelfStock[RM_Code],$A47,T_SelfStock[WeekIndex],16)+SUMIFS(T_TTAFStock[TTAF_Qty],T_TTAFStock[RM_Code],$A47,T_TTAFStock[WeekIndex],16),P47+'Grid_Incoming'!Q47-'Grid_Requirement'!Q47))</f>
        <v/>
      </c>
      <c r="R47">
        <f>IF(COUNTIFS(T_StockCount[RM_Code],$A47,T_StockCount[WeekIndex],17)&gt;0,SUMIFS(T_StockCount[CountedQty],T_StockCount[RM_Code],$A47,T_StockCount[WeekIndex],17),IF((COUNTIFS(T_SelfStock[RM_Code],$A47,T_SelfStock[WeekIndex],17)&gt;0)*(COUNTIFS(T_TTAFStock[RM_Code],$A47,T_TTAFStock[WeekIndex],17)&gt;0)&gt;0,SUMIFS(T_SelfStock[Self_Qty],T_SelfStock[RM_Code],$A47,T_SelfStock[WeekIndex],17)+SUMIFS(T_TTAFStock[TTAF_Qty],T_TTAFStock[RM_Code],$A47,T_TTAFStock[WeekIndex],17),Q47+'Grid_Incoming'!R47-'Grid_Requirement'!R47))</f>
        <v/>
      </c>
      <c r="S47">
        <f>IF(COUNTIFS(T_StockCount[RM_Code],$A47,T_StockCount[WeekIndex],18)&gt;0,SUMIFS(T_StockCount[CountedQty],T_StockCount[RM_Code],$A47,T_StockCount[WeekIndex],18),IF((COUNTIFS(T_SelfStock[RM_Code],$A47,T_SelfStock[WeekIndex],18)&gt;0)*(COUNTIFS(T_TTAFStock[RM_Code],$A47,T_TTAFStock[WeekIndex],18)&gt;0)&gt;0,SUMIFS(T_SelfStock[Self_Qty],T_SelfStock[RM_Code],$A47,T_SelfStock[WeekIndex],18)+SUMIFS(T_TTAFStock[TTAF_Qty],T_TTAFStock[RM_Code],$A47,T_TTAFStock[WeekIndex],18),R47+'Grid_Incoming'!S47-'Grid_Requirement'!S47))</f>
        <v/>
      </c>
      <c r="T47">
        <f>IF(COUNTIFS(T_StockCount[RM_Code],$A47,T_StockCount[WeekIndex],19)&gt;0,SUMIFS(T_StockCount[CountedQty],T_StockCount[RM_Code],$A47,T_StockCount[WeekIndex],19),IF((COUNTIFS(T_SelfStock[RM_Code],$A47,T_SelfStock[WeekIndex],19)&gt;0)*(COUNTIFS(T_TTAFStock[RM_Code],$A47,T_TTAFStock[WeekIndex],19)&gt;0)&gt;0,SUMIFS(T_SelfStock[Self_Qty],T_SelfStock[RM_Code],$A47,T_SelfStock[WeekIndex],19)+SUMIFS(T_TTAFStock[TTAF_Qty],T_TTAFStock[RM_Code],$A47,T_TTAFStock[WeekIndex],19),S47+'Grid_Incoming'!T47-'Grid_Requirement'!T47))</f>
        <v/>
      </c>
      <c r="U47">
        <f>IF(COUNTIFS(T_StockCount[RM_Code],$A47,T_StockCount[WeekIndex],20)&gt;0,SUMIFS(T_StockCount[CountedQty],T_StockCount[RM_Code],$A47,T_StockCount[WeekIndex],20),IF((COUNTIFS(T_SelfStock[RM_Code],$A47,T_SelfStock[WeekIndex],20)&gt;0)*(COUNTIFS(T_TTAFStock[RM_Code],$A47,T_TTAFStock[WeekIndex],20)&gt;0)&gt;0,SUMIFS(T_SelfStock[Self_Qty],T_SelfStock[RM_Code],$A47,T_SelfStock[WeekIndex],20)+SUMIFS(T_TTAFStock[TTAF_Qty],T_TTAFStock[RM_Code],$A47,T_TTAFStock[WeekIndex],20),T47+'Grid_Incoming'!U47-'Grid_Requirement'!U47))</f>
        <v/>
      </c>
      <c r="V47">
        <f>IF(COUNTIFS(T_StockCount[RM_Code],$A47,T_StockCount[WeekIndex],21)&gt;0,SUMIFS(T_StockCount[CountedQty],T_StockCount[RM_Code],$A47,T_StockCount[WeekIndex],21),IF((COUNTIFS(T_SelfStock[RM_Code],$A47,T_SelfStock[WeekIndex],21)&gt;0)*(COUNTIFS(T_TTAFStock[RM_Code],$A47,T_TTAFStock[WeekIndex],21)&gt;0)&gt;0,SUMIFS(T_SelfStock[Self_Qty],T_SelfStock[RM_Code],$A47,T_SelfStock[WeekIndex],21)+SUMIFS(T_TTAFStock[TTAF_Qty],T_TTAFStock[RM_Code],$A47,T_TTAFStock[WeekIndex],21),U47+'Grid_Incoming'!V47-'Grid_Requirement'!V47))</f>
        <v/>
      </c>
      <c r="W47">
        <f>IF(COUNTIFS(T_StockCount[RM_Code],$A47,T_StockCount[WeekIndex],22)&gt;0,SUMIFS(T_StockCount[CountedQty],T_StockCount[RM_Code],$A47,T_StockCount[WeekIndex],22),IF((COUNTIFS(T_SelfStock[RM_Code],$A47,T_SelfStock[WeekIndex],22)&gt;0)*(COUNTIFS(T_TTAFStock[RM_Code],$A47,T_TTAFStock[WeekIndex],22)&gt;0)&gt;0,SUMIFS(T_SelfStock[Self_Qty],T_SelfStock[RM_Code],$A47,T_SelfStock[WeekIndex],22)+SUMIFS(T_TTAFStock[TTAF_Qty],T_TTAFStock[RM_Code],$A47,T_TTAFStock[WeekIndex],22),V47+'Grid_Incoming'!W47-'Grid_Requirement'!W47))</f>
        <v/>
      </c>
      <c r="X47">
        <f>IF(COUNTIFS(T_StockCount[RM_Code],$A47,T_StockCount[WeekIndex],23)&gt;0,SUMIFS(T_StockCount[CountedQty],T_StockCount[RM_Code],$A47,T_StockCount[WeekIndex],23),IF((COUNTIFS(T_SelfStock[RM_Code],$A47,T_SelfStock[WeekIndex],23)&gt;0)*(COUNTIFS(T_TTAFStock[RM_Code],$A47,T_TTAFStock[WeekIndex],23)&gt;0)&gt;0,SUMIFS(T_SelfStock[Self_Qty],T_SelfStock[RM_Code],$A47,T_SelfStock[WeekIndex],23)+SUMIFS(T_TTAFStock[TTAF_Qty],T_TTAFStock[RM_Code],$A47,T_TTAFStock[WeekIndex],23),W47+'Grid_Incoming'!X47-'Grid_Requirement'!X47))</f>
        <v/>
      </c>
      <c r="Y47">
        <f>IF(COUNTIFS(T_StockCount[RM_Code],$A47,T_StockCount[WeekIndex],24)&gt;0,SUMIFS(T_StockCount[CountedQty],T_StockCount[RM_Code],$A47,T_StockCount[WeekIndex],24),IF((COUNTIFS(T_SelfStock[RM_Code],$A47,T_SelfStock[WeekIndex],24)&gt;0)*(COUNTIFS(T_TTAFStock[RM_Code],$A47,T_TTAFStock[WeekIndex],24)&gt;0)&gt;0,SUMIFS(T_SelfStock[Self_Qty],T_SelfStock[RM_Code],$A47,T_SelfStock[WeekIndex],24)+SUMIFS(T_TTAFStock[TTAF_Qty],T_TTAFStock[RM_Code],$A47,T_TTAFStock[WeekIndex],24),X47+'Grid_Incoming'!Y47-'Grid_Requirement'!Y47))</f>
        <v/>
      </c>
      <c r="Z47">
        <f>IF(COUNTIFS(T_StockCount[RM_Code],$A47,T_StockCount[WeekIndex],25)&gt;0,SUMIFS(T_StockCount[CountedQty],T_StockCount[RM_Code],$A47,T_StockCount[WeekIndex],25),IF((COUNTIFS(T_SelfStock[RM_Code],$A47,T_SelfStock[WeekIndex],25)&gt;0)*(COUNTIFS(T_TTAFStock[RM_Code],$A47,T_TTAFStock[WeekIndex],25)&gt;0)&gt;0,SUMIFS(T_SelfStock[Self_Qty],T_SelfStock[RM_Code],$A47,T_SelfStock[WeekIndex],25)+SUMIFS(T_TTAFStock[TTAF_Qty],T_TTAFStock[RM_Code],$A47,T_TTAFStock[WeekIndex],25),Y47+'Grid_Incoming'!Z47-'Grid_Requirement'!Z47))</f>
        <v/>
      </c>
      <c r="AA47">
        <f>IF(COUNTIFS(T_StockCount[RM_Code],$A47,T_StockCount[WeekIndex],26)&gt;0,SUMIFS(T_StockCount[CountedQty],T_StockCount[RM_Code],$A47,T_StockCount[WeekIndex],26),IF((COUNTIFS(T_SelfStock[RM_Code],$A47,T_SelfStock[WeekIndex],26)&gt;0)*(COUNTIFS(T_TTAFStock[RM_Code],$A47,T_TTAFStock[WeekIndex],26)&gt;0)&gt;0,SUMIFS(T_SelfStock[Self_Qty],T_SelfStock[RM_Code],$A47,T_SelfStock[WeekIndex],26)+SUMIFS(T_TTAFStock[TTAF_Qty],T_TTAFStock[RM_Code],$A47,T_TTAFStock[WeekIndex],26),Z47+'Grid_Incoming'!AA47-'Grid_Requirement'!AA47))</f>
        <v/>
      </c>
      <c r="AB47">
        <f>IF(COUNTIFS(T_StockCount[RM_Code],$A47,T_StockCount[WeekIndex],27)&gt;0,SUMIFS(T_StockCount[CountedQty],T_StockCount[RM_Code],$A47,T_StockCount[WeekIndex],27),IF((COUNTIFS(T_SelfStock[RM_Code],$A47,T_SelfStock[WeekIndex],27)&gt;0)*(COUNTIFS(T_TTAFStock[RM_Code],$A47,T_TTAFStock[WeekIndex],27)&gt;0)&gt;0,SUMIFS(T_SelfStock[Self_Qty],T_SelfStock[RM_Code],$A47,T_SelfStock[WeekIndex],27)+SUMIFS(T_TTAFStock[TTAF_Qty],T_TTAFStock[RM_Code],$A47,T_TTAFStock[WeekIndex],27),AA47+'Grid_Incoming'!AB47-'Grid_Requirement'!AB47))</f>
        <v/>
      </c>
      <c r="AC47">
        <f>IF(COUNTIFS(T_StockCount[RM_Code],$A47,T_StockCount[WeekIndex],28)&gt;0,SUMIFS(T_StockCount[CountedQty],T_StockCount[RM_Code],$A47,T_StockCount[WeekIndex],28),IF((COUNTIFS(T_SelfStock[RM_Code],$A47,T_SelfStock[WeekIndex],28)&gt;0)*(COUNTIFS(T_TTAFStock[RM_Code],$A47,T_TTAFStock[WeekIndex],28)&gt;0)&gt;0,SUMIFS(T_SelfStock[Self_Qty],T_SelfStock[RM_Code],$A47,T_SelfStock[WeekIndex],28)+SUMIFS(T_TTAFStock[TTAF_Qty],T_TTAFStock[RM_Code],$A47,T_TTAFStock[WeekIndex],28),AB47+'Grid_Incoming'!AC47-'Grid_Requirement'!AC47))</f>
        <v/>
      </c>
      <c r="AD47">
        <f>IF(COUNTIFS(T_StockCount[RM_Code],$A47,T_StockCount[WeekIndex],29)&gt;0,SUMIFS(T_StockCount[CountedQty],T_StockCount[RM_Code],$A47,T_StockCount[WeekIndex],29),IF((COUNTIFS(T_SelfStock[RM_Code],$A47,T_SelfStock[WeekIndex],29)&gt;0)*(COUNTIFS(T_TTAFStock[RM_Code],$A47,T_TTAFStock[WeekIndex],29)&gt;0)&gt;0,SUMIFS(T_SelfStock[Self_Qty],T_SelfStock[RM_Code],$A47,T_SelfStock[WeekIndex],29)+SUMIFS(T_TTAFStock[TTAF_Qty],T_TTAFStock[RM_Code],$A47,T_TTAFStock[WeekIndex],29),AC47+'Grid_Incoming'!AD47-'Grid_Requirement'!AD47))</f>
        <v/>
      </c>
      <c r="AE47">
        <f>IF(COUNTIFS(T_StockCount[RM_Code],$A47,T_StockCount[WeekIndex],30)&gt;0,SUMIFS(T_StockCount[CountedQty],T_StockCount[RM_Code],$A47,T_StockCount[WeekIndex],30),IF((COUNTIFS(T_SelfStock[RM_Code],$A47,T_SelfStock[WeekIndex],30)&gt;0)*(COUNTIFS(T_TTAFStock[RM_Code],$A47,T_TTAFStock[WeekIndex],30)&gt;0)&gt;0,SUMIFS(T_SelfStock[Self_Qty],T_SelfStock[RM_Code],$A47,T_SelfStock[WeekIndex],30)+SUMIFS(T_TTAFStock[TTAF_Qty],T_TTAFStock[RM_Code],$A47,T_TTAFStock[WeekIndex],30),AD47+'Grid_Incoming'!AE47-'Grid_Requirement'!AE47))</f>
        <v/>
      </c>
      <c r="AF47">
        <f>IF(COUNTIFS(T_StockCount[RM_Code],$A47,T_StockCount[WeekIndex],31)&gt;0,SUMIFS(T_StockCount[CountedQty],T_StockCount[RM_Code],$A47,T_StockCount[WeekIndex],31),IF((COUNTIFS(T_SelfStock[RM_Code],$A47,T_SelfStock[WeekIndex],31)&gt;0)*(COUNTIFS(T_TTAFStock[RM_Code],$A47,T_TTAFStock[WeekIndex],31)&gt;0)&gt;0,SUMIFS(T_SelfStock[Self_Qty],T_SelfStock[RM_Code],$A47,T_SelfStock[WeekIndex],31)+SUMIFS(T_TTAFStock[TTAF_Qty],T_TTAFStock[RM_Code],$A47,T_TTAFStock[WeekIndex],31),AE47+'Grid_Incoming'!AF47-'Grid_Requirement'!AF47))</f>
        <v/>
      </c>
      <c r="AG47">
        <f>IF(COUNTIFS(T_StockCount[RM_Code],$A47,T_StockCount[WeekIndex],32)&gt;0,SUMIFS(T_StockCount[CountedQty],T_StockCount[RM_Code],$A47,T_StockCount[WeekIndex],32),IF((COUNTIFS(T_SelfStock[RM_Code],$A47,T_SelfStock[WeekIndex],32)&gt;0)*(COUNTIFS(T_TTAFStock[RM_Code],$A47,T_TTAFStock[WeekIndex],32)&gt;0)&gt;0,SUMIFS(T_SelfStock[Self_Qty],T_SelfStock[RM_Code],$A47,T_SelfStock[WeekIndex],32)+SUMIFS(T_TTAFStock[TTAF_Qty],T_TTAFStock[RM_Code],$A47,T_TTAFStock[WeekIndex],32),AF47+'Grid_Incoming'!AG47-'Grid_Requirement'!AG47))</f>
        <v/>
      </c>
      <c r="AH47">
        <f>IF(COUNTIFS(T_StockCount[RM_Code],$A47,T_StockCount[WeekIndex],33)&gt;0,SUMIFS(T_StockCount[CountedQty],T_StockCount[RM_Code],$A47,T_StockCount[WeekIndex],33),IF((COUNTIFS(T_SelfStock[RM_Code],$A47,T_SelfStock[WeekIndex],33)&gt;0)*(COUNTIFS(T_TTAFStock[RM_Code],$A47,T_TTAFStock[WeekIndex],33)&gt;0)&gt;0,SUMIFS(T_SelfStock[Self_Qty],T_SelfStock[RM_Code],$A47,T_SelfStock[WeekIndex],33)+SUMIFS(T_TTAFStock[TTAF_Qty],T_TTAFStock[RM_Code],$A47,T_TTAFStock[WeekIndex],33),AG47+'Grid_Incoming'!AH47-'Grid_Requirement'!AH47))</f>
        <v/>
      </c>
      <c r="AI47">
        <f>IF(COUNTIFS(T_StockCount[RM_Code],$A47,T_StockCount[WeekIndex],34)&gt;0,SUMIFS(T_StockCount[CountedQty],T_StockCount[RM_Code],$A47,T_StockCount[WeekIndex],34),IF((COUNTIFS(T_SelfStock[RM_Code],$A47,T_SelfStock[WeekIndex],34)&gt;0)*(COUNTIFS(T_TTAFStock[RM_Code],$A47,T_TTAFStock[WeekIndex],34)&gt;0)&gt;0,SUMIFS(T_SelfStock[Self_Qty],T_SelfStock[RM_Code],$A47,T_SelfStock[WeekIndex],34)+SUMIFS(T_TTAFStock[TTAF_Qty],T_TTAFStock[RM_Code],$A47,T_TTAFStock[WeekIndex],34),AH47+'Grid_Incoming'!AI47-'Grid_Requirement'!AI47))</f>
        <v/>
      </c>
      <c r="AJ47">
        <f>IF(COUNTIFS(T_StockCount[RM_Code],$A47,T_StockCount[WeekIndex],35)&gt;0,SUMIFS(T_StockCount[CountedQty],T_StockCount[RM_Code],$A47,T_StockCount[WeekIndex],35),IF((COUNTIFS(T_SelfStock[RM_Code],$A47,T_SelfStock[WeekIndex],35)&gt;0)*(COUNTIFS(T_TTAFStock[RM_Code],$A47,T_TTAFStock[WeekIndex],35)&gt;0)&gt;0,SUMIFS(T_SelfStock[Self_Qty],T_SelfStock[RM_Code],$A47,T_SelfStock[WeekIndex],35)+SUMIFS(T_TTAFStock[TTAF_Qty],T_TTAFStock[RM_Code],$A47,T_TTAFStock[WeekIndex],35),AI47+'Grid_Incoming'!AJ47-'Grid_Requirement'!AJ47))</f>
        <v/>
      </c>
      <c r="AK47">
        <f>IF(COUNTIFS(T_StockCount[RM_Code],$A47,T_StockCount[WeekIndex],36)&gt;0,SUMIFS(T_StockCount[CountedQty],T_StockCount[RM_Code],$A47,T_StockCount[WeekIndex],36),IF((COUNTIFS(T_SelfStock[RM_Code],$A47,T_SelfStock[WeekIndex],36)&gt;0)*(COUNTIFS(T_TTAFStock[RM_Code],$A47,T_TTAFStock[WeekIndex],36)&gt;0)&gt;0,SUMIFS(T_SelfStock[Self_Qty],T_SelfStock[RM_Code],$A47,T_SelfStock[WeekIndex],36)+SUMIFS(T_TTAFStock[TTAF_Qty],T_TTAFStock[RM_Code],$A47,T_TTAFStock[WeekIndex],36),AJ47+'Grid_Incoming'!AK47-'Grid_Requirement'!AK47))</f>
        <v/>
      </c>
      <c r="AL47">
        <f>IF(COUNTIFS(T_StockCount[RM_Code],$A47,T_StockCount[WeekIndex],37)&gt;0,SUMIFS(T_StockCount[CountedQty],T_StockCount[RM_Code],$A47,T_StockCount[WeekIndex],37),IF((COUNTIFS(T_SelfStock[RM_Code],$A47,T_SelfStock[WeekIndex],37)&gt;0)*(COUNTIFS(T_TTAFStock[RM_Code],$A47,T_TTAFStock[WeekIndex],37)&gt;0)&gt;0,SUMIFS(T_SelfStock[Self_Qty],T_SelfStock[RM_Code],$A47,T_SelfStock[WeekIndex],37)+SUMIFS(T_TTAFStock[TTAF_Qty],T_TTAFStock[RM_Code],$A47,T_TTAFStock[WeekIndex],37),AK47+'Grid_Incoming'!AL47-'Grid_Requirement'!AL47))</f>
        <v/>
      </c>
      <c r="AM47">
        <f>IF(COUNTIFS(T_StockCount[RM_Code],$A47,T_StockCount[WeekIndex],38)&gt;0,SUMIFS(T_StockCount[CountedQty],T_StockCount[RM_Code],$A47,T_StockCount[WeekIndex],38),IF((COUNTIFS(T_SelfStock[RM_Code],$A47,T_SelfStock[WeekIndex],38)&gt;0)*(COUNTIFS(T_TTAFStock[RM_Code],$A47,T_TTAFStock[WeekIndex],38)&gt;0)&gt;0,SUMIFS(T_SelfStock[Self_Qty],T_SelfStock[RM_Code],$A47,T_SelfStock[WeekIndex],38)+SUMIFS(T_TTAFStock[TTAF_Qty],T_TTAFStock[RM_Code],$A47,T_TTAFStock[WeekIndex],38),AL47+'Grid_Incoming'!AM47-'Grid_Requirement'!AM47))</f>
        <v/>
      </c>
      <c r="AN47">
        <f>IF(COUNTIFS(T_StockCount[RM_Code],$A47,T_StockCount[WeekIndex],39)&gt;0,SUMIFS(T_StockCount[CountedQty],T_StockCount[RM_Code],$A47,T_StockCount[WeekIndex],39),IF((COUNTIFS(T_SelfStock[RM_Code],$A47,T_SelfStock[WeekIndex],39)&gt;0)*(COUNTIFS(T_TTAFStock[RM_Code],$A47,T_TTAFStock[WeekIndex],39)&gt;0)&gt;0,SUMIFS(T_SelfStock[Self_Qty],T_SelfStock[RM_Code],$A47,T_SelfStock[WeekIndex],39)+SUMIFS(T_TTAFStock[TTAF_Qty],T_TTAFStock[RM_Code],$A47,T_TTAFStock[WeekIndex],39),AM47+'Grid_Incoming'!AN47-'Grid_Requirement'!AN47))</f>
        <v/>
      </c>
      <c r="AO47">
        <f>IF(COUNTIFS(T_StockCount[RM_Code],$A47,T_StockCount[WeekIndex],40)&gt;0,SUMIFS(T_StockCount[CountedQty],T_StockCount[RM_Code],$A47,T_StockCount[WeekIndex],40),IF((COUNTIFS(T_SelfStock[RM_Code],$A47,T_SelfStock[WeekIndex],40)&gt;0)*(COUNTIFS(T_TTAFStock[RM_Code],$A47,T_TTAFStock[WeekIndex],40)&gt;0)&gt;0,SUMIFS(T_SelfStock[Self_Qty],T_SelfStock[RM_Code],$A47,T_SelfStock[WeekIndex],40)+SUMIFS(T_TTAFStock[TTAF_Qty],T_TTAFStock[RM_Code],$A47,T_TTAFStock[WeekIndex],40),AN47+'Grid_Incoming'!AO47-'Grid_Requirement'!AO47))</f>
        <v/>
      </c>
      <c r="AP47">
        <f>IF(COUNTIFS(T_StockCount[RM_Code],$A47,T_StockCount[WeekIndex],41)&gt;0,SUMIFS(T_StockCount[CountedQty],T_StockCount[RM_Code],$A47,T_StockCount[WeekIndex],41),IF((COUNTIFS(T_SelfStock[RM_Code],$A47,T_SelfStock[WeekIndex],41)&gt;0)*(COUNTIFS(T_TTAFStock[RM_Code],$A47,T_TTAFStock[WeekIndex],41)&gt;0)&gt;0,SUMIFS(T_SelfStock[Self_Qty],T_SelfStock[RM_Code],$A47,T_SelfStock[WeekIndex],41)+SUMIFS(T_TTAFStock[TTAF_Qty],T_TTAFStock[RM_Code],$A47,T_TTAFStock[WeekIndex],41),AO47+'Grid_Incoming'!AP47-'Grid_Requirement'!AP47))</f>
        <v/>
      </c>
      <c r="AQ47">
        <f>IF(COUNTIFS(T_StockCount[RM_Code],$A47,T_StockCount[WeekIndex],42)&gt;0,SUMIFS(T_StockCount[CountedQty],T_StockCount[RM_Code],$A47,T_StockCount[WeekIndex],42),IF((COUNTIFS(T_SelfStock[RM_Code],$A47,T_SelfStock[WeekIndex],42)&gt;0)*(COUNTIFS(T_TTAFStock[RM_Code],$A47,T_TTAFStock[WeekIndex],42)&gt;0)&gt;0,SUMIFS(T_SelfStock[Self_Qty],T_SelfStock[RM_Code],$A47,T_SelfStock[WeekIndex],42)+SUMIFS(T_TTAFStock[TTAF_Qty],T_TTAFStock[RM_Code],$A47,T_TTAFStock[WeekIndex],42),AP47+'Grid_Incoming'!AQ47-'Grid_Requirement'!AQ47))</f>
        <v/>
      </c>
      <c r="AR47">
        <f>IF(COUNTIFS(T_StockCount[RM_Code],$A47,T_StockCount[WeekIndex],43)&gt;0,SUMIFS(T_StockCount[CountedQty],T_StockCount[RM_Code],$A47,T_StockCount[WeekIndex],43),IF((COUNTIFS(T_SelfStock[RM_Code],$A47,T_SelfStock[WeekIndex],43)&gt;0)*(COUNTIFS(T_TTAFStock[RM_Code],$A47,T_TTAFStock[WeekIndex],43)&gt;0)&gt;0,SUMIFS(T_SelfStock[Self_Qty],T_SelfStock[RM_Code],$A47,T_SelfStock[WeekIndex],43)+SUMIFS(T_TTAFStock[TTAF_Qty],T_TTAFStock[RM_Code],$A47,T_TTAFStock[WeekIndex],43),AQ47+'Grid_Incoming'!AR47-'Grid_Requirement'!AR47))</f>
        <v/>
      </c>
      <c r="AS47">
        <f>IF(COUNTIFS(T_StockCount[RM_Code],$A47,T_StockCount[WeekIndex],44)&gt;0,SUMIFS(T_StockCount[CountedQty],T_StockCount[RM_Code],$A47,T_StockCount[WeekIndex],44),IF((COUNTIFS(T_SelfStock[RM_Code],$A47,T_SelfStock[WeekIndex],44)&gt;0)*(COUNTIFS(T_TTAFStock[RM_Code],$A47,T_TTAFStock[WeekIndex],44)&gt;0)&gt;0,SUMIFS(T_SelfStock[Self_Qty],T_SelfStock[RM_Code],$A47,T_SelfStock[WeekIndex],44)+SUMIFS(T_TTAFStock[TTAF_Qty],T_TTAFStock[RM_Code],$A47,T_TTAFStock[WeekIndex],44),AR47+'Grid_Incoming'!AS47-'Grid_Requirement'!AS47))</f>
        <v/>
      </c>
      <c r="AT47">
        <f>IF(COUNTIFS(T_StockCount[RM_Code],$A47,T_StockCount[WeekIndex],45)&gt;0,SUMIFS(T_StockCount[CountedQty],T_StockCount[RM_Code],$A47,T_StockCount[WeekIndex],45),IF((COUNTIFS(T_SelfStock[RM_Code],$A47,T_SelfStock[WeekIndex],45)&gt;0)*(COUNTIFS(T_TTAFStock[RM_Code],$A47,T_TTAFStock[WeekIndex],45)&gt;0)&gt;0,SUMIFS(T_SelfStock[Self_Qty],T_SelfStock[RM_Code],$A47,T_SelfStock[WeekIndex],45)+SUMIFS(T_TTAFStock[TTAF_Qty],T_TTAFStock[RM_Code],$A47,T_TTAFStock[WeekIndex],45),AS47+'Grid_Incoming'!AT47-'Grid_Requirement'!AT47))</f>
        <v/>
      </c>
      <c r="AU47">
        <f>IF(COUNTIFS(T_StockCount[RM_Code],$A47,T_StockCount[WeekIndex],46)&gt;0,SUMIFS(T_StockCount[CountedQty],T_StockCount[RM_Code],$A47,T_StockCount[WeekIndex],46),IF((COUNTIFS(T_SelfStock[RM_Code],$A47,T_SelfStock[WeekIndex],46)&gt;0)*(COUNTIFS(T_TTAFStock[RM_Code],$A47,T_TTAFStock[WeekIndex],46)&gt;0)&gt;0,SUMIFS(T_SelfStock[Self_Qty],T_SelfStock[RM_Code],$A47,T_SelfStock[WeekIndex],46)+SUMIFS(T_TTAFStock[TTAF_Qty],T_TTAFStock[RM_Code],$A47,T_TTAFStock[WeekIndex],46),AT47+'Grid_Incoming'!AU47-'Grid_Requirement'!AU47))</f>
        <v/>
      </c>
      <c r="AV47">
        <f>IF(COUNTIFS(T_StockCount[RM_Code],$A47,T_StockCount[WeekIndex],47)&gt;0,SUMIFS(T_StockCount[CountedQty],T_StockCount[RM_Code],$A47,T_StockCount[WeekIndex],47),IF((COUNTIFS(T_SelfStock[RM_Code],$A47,T_SelfStock[WeekIndex],47)&gt;0)*(COUNTIFS(T_TTAFStock[RM_Code],$A47,T_TTAFStock[WeekIndex],47)&gt;0)&gt;0,SUMIFS(T_SelfStock[Self_Qty],T_SelfStock[RM_Code],$A47,T_SelfStock[WeekIndex],47)+SUMIFS(T_TTAFStock[TTAF_Qty],T_TTAFStock[RM_Code],$A47,T_TTAFStock[WeekIndex],47),AU47+'Grid_Incoming'!AV47-'Grid_Requirement'!AV47))</f>
        <v/>
      </c>
      <c r="AW47">
        <f>IF(COUNTIFS(T_StockCount[RM_Code],$A47,T_StockCount[WeekIndex],48)&gt;0,SUMIFS(T_StockCount[CountedQty],T_StockCount[RM_Code],$A47,T_StockCount[WeekIndex],48),IF((COUNTIFS(T_SelfStock[RM_Code],$A47,T_SelfStock[WeekIndex],48)&gt;0)*(COUNTIFS(T_TTAFStock[RM_Code],$A47,T_TTAFStock[WeekIndex],48)&gt;0)&gt;0,SUMIFS(T_SelfStock[Self_Qty],T_SelfStock[RM_Code],$A47,T_SelfStock[WeekIndex],48)+SUMIFS(T_TTAFStock[TTAF_Qty],T_TTAFStock[RM_Code],$A47,T_TTAFStock[WeekIndex],48),AV47+'Grid_Incoming'!AW47-'Grid_Requirement'!AW47))</f>
        <v/>
      </c>
      <c r="AX47">
        <f>IF(COUNTIFS(T_StockCount[RM_Code],$A47,T_StockCount[WeekIndex],49)&gt;0,SUMIFS(T_StockCount[CountedQty],T_StockCount[RM_Code],$A47,T_StockCount[WeekIndex],49),IF((COUNTIFS(T_SelfStock[RM_Code],$A47,T_SelfStock[WeekIndex],49)&gt;0)*(COUNTIFS(T_TTAFStock[RM_Code],$A47,T_TTAFStock[WeekIndex],49)&gt;0)&gt;0,SUMIFS(T_SelfStock[Self_Qty],T_SelfStock[RM_Code],$A47,T_SelfStock[WeekIndex],49)+SUMIFS(T_TTAFStock[TTAF_Qty],T_TTAFStock[RM_Code],$A47,T_TTAFStock[WeekIndex],49),AW47+'Grid_Incoming'!AX47-'Grid_Requirement'!AX47))</f>
        <v/>
      </c>
      <c r="AY47">
        <f>IF(COUNTIFS(T_StockCount[RM_Code],$A47,T_StockCount[WeekIndex],50)&gt;0,SUMIFS(T_StockCount[CountedQty],T_StockCount[RM_Code],$A47,T_StockCount[WeekIndex],50),IF((COUNTIFS(T_SelfStock[RM_Code],$A47,T_SelfStock[WeekIndex],50)&gt;0)*(COUNTIFS(T_TTAFStock[RM_Code],$A47,T_TTAFStock[WeekIndex],50)&gt;0)&gt;0,SUMIFS(T_SelfStock[Self_Qty],T_SelfStock[RM_Code],$A47,T_SelfStock[WeekIndex],50)+SUMIFS(T_TTAFStock[TTAF_Qty],T_TTAFStock[RM_Code],$A47,T_TTAFStock[WeekIndex],50),AX47+'Grid_Incoming'!AY47-'Grid_Requirement'!AY47))</f>
        <v/>
      </c>
      <c r="AZ47">
        <f>IF(COUNTIFS(T_StockCount[RM_Code],$A47,T_StockCount[WeekIndex],51)&gt;0,SUMIFS(T_StockCount[CountedQty],T_StockCount[RM_Code],$A47,T_StockCount[WeekIndex],51),IF((COUNTIFS(T_SelfStock[RM_Code],$A47,T_SelfStock[WeekIndex],51)&gt;0)*(COUNTIFS(T_TTAFStock[RM_Code],$A47,T_TTAFStock[WeekIndex],51)&gt;0)&gt;0,SUMIFS(T_SelfStock[Self_Qty],T_SelfStock[RM_Code],$A47,T_SelfStock[WeekIndex],51)+SUMIFS(T_TTAFStock[TTAF_Qty],T_TTAFStock[RM_Code],$A47,T_TTAFStock[WeekIndex],51),AY47+'Grid_Incoming'!AZ47-'Grid_Requirement'!AZ47))</f>
        <v/>
      </c>
      <c r="BA47">
        <f>IF(COUNTIFS(T_StockCount[RM_Code],$A47,T_StockCount[WeekIndex],52)&gt;0,SUMIFS(T_StockCount[CountedQty],T_StockCount[RM_Code],$A47,T_StockCount[WeekIndex],52),IF((COUNTIFS(T_SelfStock[RM_Code],$A47,T_SelfStock[WeekIndex],52)&gt;0)*(COUNTIFS(T_TTAFStock[RM_Code],$A47,T_TTAFStock[WeekIndex],52)&gt;0)&gt;0,SUMIFS(T_SelfStock[Self_Qty],T_SelfStock[RM_Code],$A47,T_SelfStock[WeekIndex],52)+SUMIFS(T_TTAFStock[TTAF_Qty],T_TTAFStock[RM_Code],$A47,T_TTAFStock[WeekIndex],52),AZ47+'Grid_Incoming'!BA47-'Grid_Requirement'!BA47))</f>
        <v/>
      </c>
      <c r="BB47">
        <f>IF(COUNTIFS(T_StockCount[RM_Code],$A47,T_StockCount[WeekIndex],53)&gt;0,SUMIFS(T_StockCount[CountedQty],T_StockCount[RM_Code],$A47,T_StockCount[WeekIndex],53),IF((COUNTIFS(T_SelfStock[RM_Code],$A47,T_SelfStock[WeekIndex],53)&gt;0)*(COUNTIFS(T_TTAFStock[RM_Code],$A47,T_TTAFStock[WeekIndex],53)&gt;0)&gt;0,SUMIFS(T_SelfStock[Self_Qty],T_SelfStock[RM_Code],$A47,T_SelfStock[WeekIndex],53)+SUMIFS(T_TTAFStock[TTAF_Qty],T_TTAFStock[RM_Code],$A47,T_TTAFStock[WeekIndex],53),BA47+'Grid_Incoming'!BB47-'Grid_Requirement'!BB47))</f>
        <v/>
      </c>
      <c r="BC47">
        <f>IF(COUNTIFS(T_StockCount[RM_Code],$A47,T_StockCount[WeekIndex],54)&gt;0,SUMIFS(T_StockCount[CountedQty],T_StockCount[RM_Code],$A47,T_StockCount[WeekIndex],54),IF((COUNTIFS(T_SelfStock[RM_Code],$A47,T_SelfStock[WeekIndex],54)&gt;0)*(COUNTIFS(T_TTAFStock[RM_Code],$A47,T_TTAFStock[WeekIndex],54)&gt;0)&gt;0,SUMIFS(T_SelfStock[Self_Qty],T_SelfStock[RM_Code],$A47,T_SelfStock[WeekIndex],54)+SUMIFS(T_TTAFStock[TTAF_Qty],T_TTAFStock[RM_Code],$A47,T_TTAFStock[WeekIndex],54),BB47+'Grid_Incoming'!BC47-'Grid_Requirement'!BC47))</f>
        <v/>
      </c>
      <c r="BD47">
        <f>IF(COUNTIFS(T_StockCount[RM_Code],$A47,T_StockCount[WeekIndex],55)&gt;0,SUMIFS(T_StockCount[CountedQty],T_StockCount[RM_Code],$A47,T_StockCount[WeekIndex],55),IF((COUNTIFS(T_SelfStock[RM_Code],$A47,T_SelfStock[WeekIndex],55)&gt;0)*(COUNTIFS(T_TTAFStock[RM_Code],$A47,T_TTAFStock[WeekIndex],55)&gt;0)&gt;0,SUMIFS(T_SelfStock[Self_Qty],T_SelfStock[RM_Code],$A47,T_SelfStock[WeekIndex],55)+SUMIFS(T_TTAFStock[TTAF_Qty],T_TTAFStock[RM_Code],$A47,T_TTAFStock[WeekIndex],55),BC47+'Grid_Incoming'!BD47-'Grid_Requirement'!BD47))</f>
        <v/>
      </c>
      <c r="BE47">
        <f>IF(COUNTIFS(T_StockCount[RM_Code],$A47,T_StockCount[WeekIndex],56)&gt;0,SUMIFS(T_StockCount[CountedQty],T_StockCount[RM_Code],$A47,T_StockCount[WeekIndex],56),IF((COUNTIFS(T_SelfStock[RM_Code],$A47,T_SelfStock[WeekIndex],56)&gt;0)*(COUNTIFS(T_TTAFStock[RM_Code],$A47,T_TTAFStock[WeekIndex],56)&gt;0)&gt;0,SUMIFS(T_SelfStock[Self_Qty],T_SelfStock[RM_Code],$A47,T_SelfStock[WeekIndex],56)+SUMIFS(T_TTAFStock[TTAF_Qty],T_TTAFStock[RM_Code],$A47,T_TTAFStock[WeekIndex],56),BD47+'Grid_Incoming'!BE47-'Grid_Requirement'!BE47))</f>
        <v/>
      </c>
      <c r="BF47">
        <f>IF(COUNTIFS(T_StockCount[RM_Code],$A47,T_StockCount[WeekIndex],57)&gt;0,SUMIFS(T_StockCount[CountedQty],T_StockCount[RM_Code],$A47,T_StockCount[WeekIndex],57),IF((COUNTIFS(T_SelfStock[RM_Code],$A47,T_SelfStock[WeekIndex],57)&gt;0)*(COUNTIFS(T_TTAFStock[RM_Code],$A47,T_TTAFStock[WeekIndex],57)&gt;0)&gt;0,SUMIFS(T_SelfStock[Self_Qty],T_SelfStock[RM_Code],$A47,T_SelfStock[WeekIndex],57)+SUMIFS(T_TTAFStock[TTAF_Qty],T_TTAFStock[RM_Code],$A47,T_TTAFStock[WeekIndex],57),BE47+'Grid_Incoming'!BF47-'Grid_Requirement'!BF47))</f>
        <v/>
      </c>
      <c r="BG47">
        <f>IF(COUNTIFS(T_StockCount[RM_Code],$A47,T_StockCount[WeekIndex],58)&gt;0,SUMIFS(T_StockCount[CountedQty],T_StockCount[RM_Code],$A47,T_StockCount[WeekIndex],58),IF((COUNTIFS(T_SelfStock[RM_Code],$A47,T_SelfStock[WeekIndex],58)&gt;0)*(COUNTIFS(T_TTAFStock[RM_Code],$A47,T_TTAFStock[WeekIndex],58)&gt;0)&gt;0,SUMIFS(T_SelfStock[Self_Qty],T_SelfStock[RM_Code],$A47,T_SelfStock[WeekIndex],58)+SUMIFS(T_TTAFStock[TTAF_Qty],T_TTAFStock[RM_Code],$A47,T_TTAFStock[WeekIndex],58),BF47+'Grid_Incoming'!BG47-'Grid_Requirement'!BG47))</f>
        <v/>
      </c>
      <c r="BH47">
        <f>IF(COUNTIFS(T_StockCount[RM_Code],$A47,T_StockCount[WeekIndex],59)&gt;0,SUMIFS(T_StockCount[CountedQty],T_StockCount[RM_Code],$A47,T_StockCount[WeekIndex],59),IF((COUNTIFS(T_SelfStock[RM_Code],$A47,T_SelfStock[WeekIndex],59)&gt;0)*(COUNTIFS(T_TTAFStock[RM_Code],$A47,T_TTAFStock[WeekIndex],59)&gt;0)&gt;0,SUMIFS(T_SelfStock[Self_Qty],T_SelfStock[RM_Code],$A47,T_SelfStock[WeekIndex],59)+SUMIFS(T_TTAFStock[TTAF_Qty],T_TTAFStock[RM_Code],$A47,T_TTAFStock[WeekIndex],59),BG47+'Grid_Incoming'!BH47-'Grid_Requirement'!BH47))</f>
        <v/>
      </c>
      <c r="BI47">
        <f>IF(COUNTIFS(T_StockCount[RM_Code],$A47,T_StockCount[WeekIndex],60)&gt;0,SUMIFS(T_StockCount[CountedQty],T_StockCount[RM_Code],$A47,T_StockCount[WeekIndex],60),IF((COUNTIFS(T_SelfStock[RM_Code],$A47,T_SelfStock[WeekIndex],60)&gt;0)*(COUNTIFS(T_TTAFStock[RM_Code],$A47,T_TTAFStock[WeekIndex],60)&gt;0)&gt;0,SUMIFS(T_SelfStock[Self_Qty],T_SelfStock[RM_Code],$A47,T_SelfStock[WeekIndex],60)+SUMIFS(T_TTAFStock[TTAF_Qty],T_TTAFStock[RM_Code],$A47,T_TTAFStock[WeekIndex],60),BH47+'Grid_Incoming'!BI47-'Grid_Requirement'!BI47))</f>
        <v/>
      </c>
      <c r="BJ47">
        <f>IF(COUNTIFS(T_StockCount[RM_Code],$A47,T_StockCount[WeekIndex],61)&gt;0,SUMIFS(T_StockCount[CountedQty],T_StockCount[RM_Code],$A47,T_StockCount[WeekIndex],61),IF((COUNTIFS(T_SelfStock[RM_Code],$A47,T_SelfStock[WeekIndex],61)&gt;0)*(COUNTIFS(T_TTAFStock[RM_Code],$A47,T_TTAFStock[WeekIndex],61)&gt;0)&gt;0,SUMIFS(T_SelfStock[Self_Qty],T_SelfStock[RM_Code],$A47,T_SelfStock[WeekIndex],61)+SUMIFS(T_TTAFStock[TTAF_Qty],T_TTAFStock[RM_Code],$A47,T_TTAFStock[WeekIndex],61),BI47+'Grid_Incoming'!BJ47-'Grid_Requirement'!BJ47))</f>
        <v/>
      </c>
      <c r="BK47">
        <f>IF(COUNTIFS(T_StockCount[RM_Code],$A47,T_StockCount[WeekIndex],62)&gt;0,SUMIFS(T_StockCount[CountedQty],T_StockCount[RM_Code],$A47,T_StockCount[WeekIndex],62),IF((COUNTIFS(T_SelfStock[RM_Code],$A47,T_SelfStock[WeekIndex],62)&gt;0)*(COUNTIFS(T_TTAFStock[RM_Code],$A47,T_TTAFStock[WeekIndex],62)&gt;0)&gt;0,SUMIFS(T_SelfStock[Self_Qty],T_SelfStock[RM_Code],$A47,T_SelfStock[WeekIndex],62)+SUMIFS(T_TTAFStock[TTAF_Qty],T_TTAFStock[RM_Code],$A47,T_TTAFStock[WeekIndex],62),BJ47+'Grid_Incoming'!BK47-'Grid_Requirement'!BK47))</f>
        <v/>
      </c>
      <c r="BL47">
        <f>IF(COUNTIFS(T_StockCount[RM_Code],$A47,T_StockCount[WeekIndex],63)&gt;0,SUMIFS(T_StockCount[CountedQty],T_StockCount[RM_Code],$A47,T_StockCount[WeekIndex],63),IF((COUNTIFS(T_SelfStock[RM_Code],$A47,T_SelfStock[WeekIndex],63)&gt;0)*(COUNTIFS(T_TTAFStock[RM_Code],$A47,T_TTAFStock[WeekIndex],63)&gt;0)&gt;0,SUMIFS(T_SelfStock[Self_Qty],T_SelfStock[RM_Code],$A47,T_SelfStock[WeekIndex],63)+SUMIFS(T_TTAFStock[TTAF_Qty],T_TTAFStock[RM_Code],$A47,T_TTAFStock[WeekIndex],63),BK47+'Grid_Incoming'!BL47-'Grid_Requirement'!BL47))</f>
        <v/>
      </c>
      <c r="BM47">
        <f>IF(COUNTIFS(T_StockCount[RM_Code],$A47,T_StockCount[WeekIndex],64)&gt;0,SUMIFS(T_StockCount[CountedQty],T_StockCount[RM_Code],$A47,T_StockCount[WeekIndex],64),IF((COUNTIFS(T_SelfStock[RM_Code],$A47,T_SelfStock[WeekIndex],64)&gt;0)*(COUNTIFS(T_TTAFStock[RM_Code],$A47,T_TTAFStock[WeekIndex],64)&gt;0)&gt;0,SUMIFS(T_SelfStock[Self_Qty],T_SelfStock[RM_Code],$A47,T_SelfStock[WeekIndex],64)+SUMIFS(T_TTAFStock[TTAF_Qty],T_TTAFStock[RM_Code],$A47,T_TTAFStock[WeekIndex],64),BL47+'Grid_Incoming'!BM47-'Grid_Requirement'!BM47))</f>
        <v/>
      </c>
      <c r="BN47">
        <f>IF(COUNTIFS(T_StockCount[RM_Code],$A47,T_StockCount[WeekIndex],65)&gt;0,SUMIFS(T_StockCount[CountedQty],T_StockCount[RM_Code],$A47,T_StockCount[WeekIndex],65),IF((COUNTIFS(T_SelfStock[RM_Code],$A47,T_SelfStock[WeekIndex],65)&gt;0)*(COUNTIFS(T_TTAFStock[RM_Code],$A47,T_TTAFStock[WeekIndex],65)&gt;0)&gt;0,SUMIFS(T_SelfStock[Self_Qty],T_SelfStock[RM_Code],$A47,T_SelfStock[WeekIndex],65)+SUMIFS(T_TTAFStock[TTAF_Qty],T_TTAFStock[RM_Code],$A47,T_TTAFStock[WeekIndex],65),BM47+'Grid_Incoming'!BN47-'Grid_Requirement'!BN47))</f>
        <v/>
      </c>
      <c r="BO47">
        <f>IF(COUNTIFS(T_StockCount[RM_Code],$A47,T_StockCount[WeekIndex],66)&gt;0,SUMIFS(T_StockCount[CountedQty],T_StockCount[RM_Code],$A47,T_StockCount[WeekIndex],66),IF((COUNTIFS(T_SelfStock[RM_Code],$A47,T_SelfStock[WeekIndex],66)&gt;0)*(COUNTIFS(T_TTAFStock[RM_Code],$A47,T_TTAFStock[WeekIndex],66)&gt;0)&gt;0,SUMIFS(T_SelfStock[Self_Qty],T_SelfStock[RM_Code],$A47,T_SelfStock[WeekIndex],66)+SUMIFS(T_TTAFStock[TTAF_Qty],T_TTAFStock[RM_Code],$A47,T_TTAFStock[WeekIndex],66),BN47+'Grid_Incoming'!BO47-'Grid_Requirement'!BO47))</f>
        <v/>
      </c>
      <c r="BP47">
        <f>IF(COUNTIFS(T_StockCount[RM_Code],$A47,T_StockCount[WeekIndex],67)&gt;0,SUMIFS(T_StockCount[CountedQty],T_StockCount[RM_Code],$A47,T_StockCount[WeekIndex],67),IF((COUNTIFS(T_SelfStock[RM_Code],$A47,T_SelfStock[WeekIndex],67)&gt;0)*(COUNTIFS(T_TTAFStock[RM_Code],$A47,T_TTAFStock[WeekIndex],67)&gt;0)&gt;0,SUMIFS(T_SelfStock[Self_Qty],T_SelfStock[RM_Code],$A47,T_SelfStock[WeekIndex],67)+SUMIFS(T_TTAFStock[TTAF_Qty],T_TTAFStock[RM_Code],$A47,T_TTAFStock[WeekIndex],67),BO47+'Grid_Incoming'!BP47-'Grid_Requirement'!BP47))</f>
        <v/>
      </c>
      <c r="BQ47">
        <f>IF(COUNTIFS(T_StockCount[RM_Code],$A47,T_StockCount[WeekIndex],68)&gt;0,SUMIFS(T_StockCount[CountedQty],T_StockCount[RM_Code],$A47,T_StockCount[WeekIndex],68),IF((COUNTIFS(T_SelfStock[RM_Code],$A47,T_SelfStock[WeekIndex],68)&gt;0)*(COUNTIFS(T_TTAFStock[RM_Code],$A47,T_TTAFStock[WeekIndex],68)&gt;0)&gt;0,SUMIFS(T_SelfStock[Self_Qty],T_SelfStock[RM_Code],$A47,T_SelfStock[WeekIndex],68)+SUMIFS(T_TTAFStock[TTAF_Qty],T_TTAFStock[RM_Code],$A47,T_TTAFStock[WeekIndex],68),BP47+'Grid_Incoming'!BQ47-'Grid_Requirement'!BQ47))</f>
        <v/>
      </c>
      <c r="BR47">
        <f>IF(COUNTIFS(T_StockCount[RM_Code],$A47,T_StockCount[WeekIndex],69)&gt;0,SUMIFS(T_StockCount[CountedQty],T_StockCount[RM_Code],$A47,T_StockCount[WeekIndex],69),IF((COUNTIFS(T_SelfStock[RM_Code],$A47,T_SelfStock[WeekIndex],69)&gt;0)*(COUNTIFS(T_TTAFStock[RM_Code],$A47,T_TTAFStock[WeekIndex],69)&gt;0)&gt;0,SUMIFS(T_SelfStock[Self_Qty],T_SelfStock[RM_Code],$A47,T_SelfStock[WeekIndex],69)+SUMIFS(T_TTAFStock[TTAF_Qty],T_TTAFStock[RM_Code],$A47,T_TTAFStock[WeekIndex],69),BQ47+'Grid_Incoming'!BR47-'Grid_Requirement'!BR47))</f>
        <v/>
      </c>
      <c r="BS47">
        <f>IF(COUNTIFS(T_StockCount[RM_Code],$A47,T_StockCount[WeekIndex],70)&gt;0,SUMIFS(T_StockCount[CountedQty],T_StockCount[RM_Code],$A47,T_StockCount[WeekIndex],70),IF((COUNTIFS(T_SelfStock[RM_Code],$A47,T_SelfStock[WeekIndex],70)&gt;0)*(COUNTIFS(T_TTAFStock[RM_Code],$A47,T_TTAFStock[WeekIndex],70)&gt;0)&gt;0,SUMIFS(T_SelfStock[Self_Qty],T_SelfStock[RM_Code],$A47,T_SelfStock[WeekIndex],70)+SUMIFS(T_TTAFStock[TTAF_Qty],T_TTAFStock[RM_Code],$A47,T_TTAFStock[WeekIndex],70),BR47+'Grid_Incoming'!BS47-'Grid_Requirement'!BS47))</f>
        <v/>
      </c>
      <c r="BT47">
        <f>IF(COUNTIFS(T_StockCount[RM_Code],$A47,T_StockCount[WeekIndex],71)&gt;0,SUMIFS(T_StockCount[CountedQty],T_StockCount[RM_Code],$A47,T_StockCount[WeekIndex],71),IF((COUNTIFS(T_SelfStock[RM_Code],$A47,T_SelfStock[WeekIndex],71)&gt;0)*(COUNTIFS(T_TTAFStock[RM_Code],$A47,T_TTAFStock[WeekIndex],71)&gt;0)&gt;0,SUMIFS(T_SelfStock[Self_Qty],T_SelfStock[RM_Code],$A47,T_SelfStock[WeekIndex],71)+SUMIFS(T_TTAFStock[TTAF_Qty],T_TTAFStock[RM_Code],$A47,T_TTAFStock[WeekIndex],71),BS47+'Grid_Incoming'!BT47-'Grid_Requirement'!BT47))</f>
        <v/>
      </c>
      <c r="BU47">
        <f>IF(COUNTIFS(T_StockCount[RM_Code],$A47,T_StockCount[WeekIndex],72)&gt;0,SUMIFS(T_StockCount[CountedQty],T_StockCount[RM_Code],$A47,T_StockCount[WeekIndex],72),IF((COUNTIFS(T_SelfStock[RM_Code],$A47,T_SelfStock[WeekIndex],72)&gt;0)*(COUNTIFS(T_TTAFStock[RM_Code],$A47,T_TTAFStock[WeekIndex],72)&gt;0)&gt;0,SUMIFS(T_SelfStock[Self_Qty],T_SelfStock[RM_Code],$A47,T_SelfStock[WeekIndex],72)+SUMIFS(T_TTAFStock[TTAF_Qty],T_TTAFStock[RM_Code],$A47,T_TTAFStock[WeekIndex],72),BT47+'Grid_Incoming'!BU47-'Grid_Requirement'!BU47))</f>
        <v/>
      </c>
      <c r="BV47">
        <f>IF(COUNTIFS(T_StockCount[RM_Code],$A47,T_StockCount[WeekIndex],73)&gt;0,SUMIFS(T_StockCount[CountedQty],T_StockCount[RM_Code],$A47,T_StockCount[WeekIndex],73),IF((COUNTIFS(T_SelfStock[RM_Code],$A47,T_SelfStock[WeekIndex],73)&gt;0)*(COUNTIFS(T_TTAFStock[RM_Code],$A47,T_TTAFStock[WeekIndex],73)&gt;0)&gt;0,SUMIFS(T_SelfStock[Self_Qty],T_SelfStock[RM_Code],$A47,T_SelfStock[WeekIndex],73)+SUMIFS(T_TTAFStock[TTAF_Qty],T_TTAFStock[RM_Code],$A47,T_TTAFStock[WeekIndex],73),BU47+'Grid_Incoming'!BV47-'Grid_Requirement'!BV47))</f>
        <v/>
      </c>
      <c r="BW47">
        <f>IF(COUNTIFS(T_StockCount[RM_Code],$A47,T_StockCount[WeekIndex],74)&gt;0,SUMIFS(T_StockCount[CountedQty],T_StockCount[RM_Code],$A47,T_StockCount[WeekIndex],74),IF((COUNTIFS(T_SelfStock[RM_Code],$A47,T_SelfStock[WeekIndex],74)&gt;0)*(COUNTIFS(T_TTAFStock[RM_Code],$A47,T_TTAFStock[WeekIndex],74)&gt;0)&gt;0,SUMIFS(T_SelfStock[Self_Qty],T_SelfStock[RM_Code],$A47,T_SelfStock[WeekIndex],74)+SUMIFS(T_TTAFStock[TTAF_Qty],T_TTAFStock[RM_Code],$A47,T_TTAFStock[WeekIndex],74),BV47+'Grid_Incoming'!BW47-'Grid_Requirement'!BW47))</f>
        <v/>
      </c>
      <c r="BX47">
        <f>IF(COUNTIFS(T_StockCount[RM_Code],$A47,T_StockCount[WeekIndex],75)&gt;0,SUMIFS(T_StockCount[CountedQty],T_StockCount[RM_Code],$A47,T_StockCount[WeekIndex],75),IF((COUNTIFS(T_SelfStock[RM_Code],$A47,T_SelfStock[WeekIndex],75)&gt;0)*(COUNTIFS(T_TTAFStock[RM_Code],$A47,T_TTAFStock[WeekIndex],75)&gt;0)&gt;0,SUMIFS(T_SelfStock[Self_Qty],T_SelfStock[RM_Code],$A47,T_SelfStock[WeekIndex],75)+SUMIFS(T_TTAFStock[TTAF_Qty],T_TTAFStock[RM_Code],$A47,T_TTAFStock[WeekIndex],75),BW47+'Grid_Incoming'!BX47-'Grid_Requirement'!BX47))</f>
        <v/>
      </c>
      <c r="BY47">
        <f>IF(COUNTIFS(T_StockCount[RM_Code],$A47,T_StockCount[WeekIndex],76)&gt;0,SUMIFS(T_StockCount[CountedQty],T_StockCount[RM_Code],$A47,T_StockCount[WeekIndex],76),IF((COUNTIFS(T_SelfStock[RM_Code],$A47,T_SelfStock[WeekIndex],76)&gt;0)*(COUNTIFS(T_TTAFStock[RM_Code],$A47,T_TTAFStock[WeekIndex],76)&gt;0)&gt;0,SUMIFS(T_SelfStock[Self_Qty],T_SelfStock[RM_Code],$A47,T_SelfStock[WeekIndex],76)+SUMIFS(T_TTAFStock[TTAF_Qty],T_TTAFStock[RM_Code],$A47,T_TTAFStock[WeekIndex],76),BX47+'Grid_Incoming'!BY47-'Grid_Requirement'!BY47))</f>
        <v/>
      </c>
      <c r="BZ47">
        <f>IF(COUNTIFS(T_StockCount[RM_Code],$A47,T_StockCount[WeekIndex],77)&gt;0,SUMIFS(T_StockCount[CountedQty],T_StockCount[RM_Code],$A47,T_StockCount[WeekIndex],77),IF((COUNTIFS(T_SelfStock[RM_Code],$A47,T_SelfStock[WeekIndex],77)&gt;0)*(COUNTIFS(T_TTAFStock[RM_Code],$A47,T_TTAFStock[WeekIndex],77)&gt;0)&gt;0,SUMIFS(T_SelfStock[Self_Qty],T_SelfStock[RM_Code],$A47,T_SelfStock[WeekIndex],77)+SUMIFS(T_TTAFStock[TTAF_Qty],T_TTAFStock[RM_Code],$A47,T_TTAFStock[WeekIndex],77),BY47+'Grid_Incoming'!BZ47-'Grid_Requirement'!BZ47))</f>
        <v/>
      </c>
      <c r="CA47">
        <f>IF(COUNTIFS(T_StockCount[RM_Code],$A47,T_StockCount[WeekIndex],78)&gt;0,SUMIFS(T_StockCount[CountedQty],T_StockCount[RM_Code],$A47,T_StockCount[WeekIndex],78),IF((COUNTIFS(T_SelfStock[RM_Code],$A47,T_SelfStock[WeekIndex],78)&gt;0)*(COUNTIFS(T_TTAFStock[RM_Code],$A47,T_TTAFStock[WeekIndex],78)&gt;0)&gt;0,SUMIFS(T_SelfStock[Self_Qty],T_SelfStock[RM_Code],$A47,T_SelfStock[WeekIndex],78)+SUMIFS(T_TTAFStock[TTAF_Qty],T_TTAFStock[RM_Code],$A47,T_TTAFStock[WeekIndex],78),BZ47+'Grid_Incoming'!CA47-'Grid_Requirement'!CA47))</f>
        <v/>
      </c>
      <c r="CB47">
        <f>IF(COUNTIFS(T_StockCount[RM_Code],$A47,T_StockCount[WeekIndex],79)&gt;0,SUMIFS(T_StockCount[CountedQty],T_StockCount[RM_Code],$A47,T_StockCount[WeekIndex],79),IF((COUNTIFS(T_SelfStock[RM_Code],$A47,T_SelfStock[WeekIndex],79)&gt;0)*(COUNTIFS(T_TTAFStock[RM_Code],$A47,T_TTAFStock[WeekIndex],79)&gt;0)&gt;0,SUMIFS(T_SelfStock[Self_Qty],T_SelfStock[RM_Code],$A47,T_SelfStock[WeekIndex],79)+SUMIFS(T_TTAFStock[TTAF_Qty],T_TTAFStock[RM_Code],$A47,T_TTAFStock[WeekIndex],79),CA47+'Grid_Incoming'!CB47-'Grid_Requirement'!CB47))</f>
        <v/>
      </c>
      <c r="CC47">
        <f>IF(COUNTIFS(T_StockCount[RM_Code],$A47,T_StockCount[WeekIndex],80)&gt;0,SUMIFS(T_StockCount[CountedQty],T_StockCount[RM_Code],$A47,T_StockCount[WeekIndex],80),IF((COUNTIFS(T_SelfStock[RM_Code],$A47,T_SelfStock[WeekIndex],80)&gt;0)*(COUNTIFS(T_TTAFStock[RM_Code],$A47,T_TTAFStock[WeekIndex],80)&gt;0)&gt;0,SUMIFS(T_SelfStock[Self_Qty],T_SelfStock[RM_Code],$A47,T_SelfStock[WeekIndex],80)+SUMIFS(T_TTAFStock[TTAF_Qty],T_TTAFStock[RM_Code],$A47,T_TTAFStock[WeekIndex],80),CB47+'Grid_Incoming'!CC47-'Grid_Requirement'!CC47))</f>
        <v/>
      </c>
      <c r="CD47">
        <f>IF(COUNTIFS(T_StockCount[RM_Code],$A47,T_StockCount[WeekIndex],81)&gt;0,SUMIFS(T_StockCount[CountedQty],T_StockCount[RM_Code],$A47,T_StockCount[WeekIndex],81),IF((COUNTIFS(T_SelfStock[RM_Code],$A47,T_SelfStock[WeekIndex],81)&gt;0)*(COUNTIFS(T_TTAFStock[RM_Code],$A47,T_TTAFStock[WeekIndex],81)&gt;0)&gt;0,SUMIFS(T_SelfStock[Self_Qty],T_SelfStock[RM_Code],$A47,T_SelfStock[WeekIndex],81)+SUMIFS(T_TTAFStock[TTAF_Qty],T_TTAFStock[RM_Code],$A47,T_TTAFStock[WeekIndex],81),CC47+'Grid_Incoming'!CD47-'Grid_Requirement'!CD47))</f>
        <v/>
      </c>
      <c r="CE47">
        <f>IF(COUNTIFS(T_StockCount[RM_Code],$A47,T_StockCount[WeekIndex],82)&gt;0,SUMIFS(T_StockCount[CountedQty],T_StockCount[RM_Code],$A47,T_StockCount[WeekIndex],82),IF((COUNTIFS(T_SelfStock[RM_Code],$A47,T_SelfStock[WeekIndex],82)&gt;0)*(COUNTIFS(T_TTAFStock[RM_Code],$A47,T_TTAFStock[WeekIndex],82)&gt;0)&gt;0,SUMIFS(T_SelfStock[Self_Qty],T_SelfStock[RM_Code],$A47,T_SelfStock[WeekIndex],82)+SUMIFS(T_TTAFStock[TTAF_Qty],T_TTAFStock[RM_Code],$A47,T_TTAFStock[WeekIndex],82),CD47+'Grid_Incoming'!CE47-'Grid_Requirement'!CE47))</f>
        <v/>
      </c>
      <c r="CF47">
        <f>IF(COUNTIFS(T_StockCount[RM_Code],$A47,T_StockCount[WeekIndex],83)&gt;0,SUMIFS(T_StockCount[CountedQty],T_StockCount[RM_Code],$A47,T_StockCount[WeekIndex],83),IF((COUNTIFS(T_SelfStock[RM_Code],$A47,T_SelfStock[WeekIndex],83)&gt;0)*(COUNTIFS(T_TTAFStock[RM_Code],$A47,T_TTAFStock[WeekIndex],83)&gt;0)&gt;0,SUMIFS(T_SelfStock[Self_Qty],T_SelfStock[RM_Code],$A47,T_SelfStock[WeekIndex],83)+SUMIFS(T_TTAFStock[TTAF_Qty],T_TTAFStock[RM_Code],$A47,T_TTAFStock[WeekIndex],83),CE47+'Grid_Incoming'!CF47-'Grid_Requirement'!CF47))</f>
        <v/>
      </c>
      <c r="CG47">
        <f>IF(COUNTIFS(T_StockCount[RM_Code],$A47,T_StockCount[WeekIndex],84)&gt;0,SUMIFS(T_StockCount[CountedQty],T_StockCount[RM_Code],$A47,T_StockCount[WeekIndex],84),IF((COUNTIFS(T_SelfStock[RM_Code],$A47,T_SelfStock[WeekIndex],84)&gt;0)*(COUNTIFS(T_TTAFStock[RM_Code],$A47,T_TTAFStock[WeekIndex],84)&gt;0)&gt;0,SUMIFS(T_SelfStock[Self_Qty],T_SelfStock[RM_Code],$A47,T_SelfStock[WeekIndex],84)+SUMIFS(T_TTAFStock[TTAF_Qty],T_TTAFStock[RM_Code],$A47,T_TTAFStock[WeekIndex],84),CF47+'Grid_Incoming'!CG47-'Grid_Requirement'!CG47))</f>
        <v/>
      </c>
      <c r="CH47">
        <f>IF(COUNTIFS(T_StockCount[RM_Code],$A47,T_StockCount[WeekIndex],85)&gt;0,SUMIFS(T_StockCount[CountedQty],T_StockCount[RM_Code],$A47,T_StockCount[WeekIndex],85),IF((COUNTIFS(T_SelfStock[RM_Code],$A47,T_SelfStock[WeekIndex],85)&gt;0)*(COUNTIFS(T_TTAFStock[RM_Code],$A47,T_TTAFStock[WeekIndex],85)&gt;0)&gt;0,SUMIFS(T_SelfStock[Self_Qty],T_SelfStock[RM_Code],$A47,T_SelfStock[WeekIndex],85)+SUMIFS(T_TTAFStock[TTAF_Qty],T_TTAFStock[RM_Code],$A47,T_TTAFStock[WeekIndex],85),CG47+'Grid_Incoming'!CH47-'Grid_Requirement'!CH47))</f>
        <v/>
      </c>
      <c r="CI47">
        <f>IF(COUNTIFS(T_StockCount[RM_Code],$A47,T_StockCount[WeekIndex],86)&gt;0,SUMIFS(T_StockCount[CountedQty],T_StockCount[RM_Code],$A47,T_StockCount[WeekIndex],86),IF((COUNTIFS(T_SelfStock[RM_Code],$A47,T_SelfStock[WeekIndex],86)&gt;0)*(COUNTIFS(T_TTAFStock[RM_Code],$A47,T_TTAFStock[WeekIndex],86)&gt;0)&gt;0,SUMIFS(T_SelfStock[Self_Qty],T_SelfStock[RM_Code],$A47,T_SelfStock[WeekIndex],86)+SUMIFS(T_TTAFStock[TTAF_Qty],T_TTAFStock[RM_Code],$A47,T_TTAFStock[WeekIndex],86),CH47+'Grid_Incoming'!CI47-'Grid_Requirement'!CI47))</f>
        <v/>
      </c>
      <c r="CJ47">
        <f>IF(COUNTIFS(T_StockCount[RM_Code],$A47,T_StockCount[WeekIndex],87)&gt;0,SUMIFS(T_StockCount[CountedQty],T_StockCount[RM_Code],$A47,T_StockCount[WeekIndex],87),IF((COUNTIFS(T_SelfStock[RM_Code],$A47,T_SelfStock[WeekIndex],87)&gt;0)*(COUNTIFS(T_TTAFStock[RM_Code],$A47,T_TTAFStock[WeekIndex],87)&gt;0)&gt;0,SUMIFS(T_SelfStock[Self_Qty],T_SelfStock[RM_Code],$A47,T_SelfStock[WeekIndex],87)+SUMIFS(T_TTAFStock[TTAF_Qty],T_TTAFStock[RM_Code],$A47,T_TTAFStock[WeekIndex],87),CI47+'Grid_Incoming'!CJ47-'Grid_Requirement'!CJ47))</f>
        <v/>
      </c>
      <c r="CK47">
        <f>IF(COUNTIFS(T_StockCount[RM_Code],$A47,T_StockCount[WeekIndex],88)&gt;0,SUMIFS(T_StockCount[CountedQty],T_StockCount[RM_Code],$A47,T_StockCount[WeekIndex],88),IF((COUNTIFS(T_SelfStock[RM_Code],$A47,T_SelfStock[WeekIndex],88)&gt;0)*(COUNTIFS(T_TTAFStock[RM_Code],$A47,T_TTAFStock[WeekIndex],88)&gt;0)&gt;0,SUMIFS(T_SelfStock[Self_Qty],T_SelfStock[RM_Code],$A47,T_SelfStock[WeekIndex],88)+SUMIFS(T_TTAFStock[TTAF_Qty],T_TTAFStock[RM_Code],$A47,T_TTAFStock[WeekIndex],88),CJ47+'Grid_Incoming'!CK47-'Grid_Requirement'!CK47))</f>
        <v/>
      </c>
      <c r="CL47">
        <f>IF(COUNTIFS(T_StockCount[RM_Code],$A47,T_StockCount[WeekIndex],89)&gt;0,SUMIFS(T_StockCount[CountedQty],T_StockCount[RM_Code],$A47,T_StockCount[WeekIndex],89),IF((COUNTIFS(T_SelfStock[RM_Code],$A47,T_SelfStock[WeekIndex],89)&gt;0)*(COUNTIFS(T_TTAFStock[RM_Code],$A47,T_TTAFStock[WeekIndex],89)&gt;0)&gt;0,SUMIFS(T_SelfStock[Self_Qty],T_SelfStock[RM_Code],$A47,T_SelfStock[WeekIndex],89)+SUMIFS(T_TTAFStock[TTAF_Qty],T_TTAFStock[RM_Code],$A47,T_TTAFStock[WeekIndex],89),CK47+'Grid_Incoming'!CL47-'Grid_Requirement'!CL47))</f>
        <v/>
      </c>
      <c r="CM47">
        <f>IF(COUNTIFS(T_StockCount[RM_Code],$A47,T_StockCount[WeekIndex],90)&gt;0,SUMIFS(T_StockCount[CountedQty],T_StockCount[RM_Code],$A47,T_StockCount[WeekIndex],90),IF((COUNTIFS(T_SelfStock[RM_Code],$A47,T_SelfStock[WeekIndex],90)&gt;0)*(COUNTIFS(T_TTAFStock[RM_Code],$A47,T_TTAFStock[WeekIndex],90)&gt;0)&gt;0,SUMIFS(T_SelfStock[Self_Qty],T_SelfStock[RM_Code],$A47,T_SelfStock[WeekIndex],90)+SUMIFS(T_TTAFStock[TTAF_Qty],T_TTAFStock[RM_Code],$A47,T_TTAFStock[WeekIndex],90),CL47+'Grid_Incoming'!CM47-'Grid_Requirement'!CM47))</f>
        <v/>
      </c>
      <c r="CN47">
        <f>IF(COUNTIFS(T_StockCount[RM_Code],$A47,T_StockCount[WeekIndex],91)&gt;0,SUMIFS(T_StockCount[CountedQty],T_StockCount[RM_Code],$A47,T_StockCount[WeekIndex],91),IF((COUNTIFS(T_SelfStock[RM_Code],$A47,T_SelfStock[WeekIndex],91)&gt;0)*(COUNTIFS(T_TTAFStock[RM_Code],$A47,T_TTAFStock[WeekIndex],91)&gt;0)&gt;0,SUMIFS(T_SelfStock[Self_Qty],T_SelfStock[RM_Code],$A47,T_SelfStock[WeekIndex],91)+SUMIFS(T_TTAFStock[TTAF_Qty],T_TTAFStock[RM_Code],$A47,T_TTAFStock[WeekIndex],91),CM47+'Grid_Incoming'!CN47-'Grid_Requirement'!CN47))</f>
        <v/>
      </c>
      <c r="CO47">
        <f>IF(COUNTIFS(T_StockCount[RM_Code],$A47,T_StockCount[WeekIndex],92)&gt;0,SUMIFS(T_StockCount[CountedQty],T_StockCount[RM_Code],$A47,T_StockCount[WeekIndex],92),IF((COUNTIFS(T_SelfStock[RM_Code],$A47,T_SelfStock[WeekIndex],92)&gt;0)*(COUNTIFS(T_TTAFStock[RM_Code],$A47,T_TTAFStock[WeekIndex],92)&gt;0)&gt;0,SUMIFS(T_SelfStock[Self_Qty],T_SelfStock[RM_Code],$A47,T_SelfStock[WeekIndex],92)+SUMIFS(T_TTAFStock[TTAF_Qty],T_TTAFStock[RM_Code],$A47,T_TTAFStock[WeekIndex],92),CN47+'Grid_Incoming'!CO47-'Grid_Requirement'!CO47))</f>
        <v/>
      </c>
      <c r="CP47">
        <f>IF(COUNTIFS(T_StockCount[RM_Code],$A47,T_StockCount[WeekIndex],93)&gt;0,SUMIFS(T_StockCount[CountedQty],T_StockCount[RM_Code],$A47,T_StockCount[WeekIndex],93),IF((COUNTIFS(T_SelfStock[RM_Code],$A47,T_SelfStock[WeekIndex],93)&gt;0)*(COUNTIFS(T_TTAFStock[RM_Code],$A47,T_TTAFStock[WeekIndex],93)&gt;0)&gt;0,SUMIFS(T_SelfStock[Self_Qty],T_SelfStock[RM_Code],$A47,T_SelfStock[WeekIndex],93)+SUMIFS(T_TTAFStock[TTAF_Qty],T_TTAFStock[RM_Code],$A47,T_TTAFStock[WeekIndex],93),CO47+'Grid_Incoming'!CP47-'Grid_Requirement'!CP47))</f>
        <v/>
      </c>
      <c r="CQ47">
        <f>IF(COUNTIFS(T_StockCount[RM_Code],$A47,T_StockCount[WeekIndex],94)&gt;0,SUMIFS(T_StockCount[CountedQty],T_StockCount[RM_Code],$A47,T_StockCount[WeekIndex],94),IF((COUNTIFS(T_SelfStock[RM_Code],$A47,T_SelfStock[WeekIndex],94)&gt;0)*(COUNTIFS(T_TTAFStock[RM_Code],$A47,T_TTAFStock[WeekIndex],94)&gt;0)&gt;0,SUMIFS(T_SelfStock[Self_Qty],T_SelfStock[RM_Code],$A47,T_SelfStock[WeekIndex],94)+SUMIFS(T_TTAFStock[TTAF_Qty],T_TTAFStock[RM_Code],$A47,T_TTAFStock[WeekIndex],94),CP47+'Grid_Incoming'!CQ47-'Grid_Requirement'!CQ47))</f>
        <v/>
      </c>
      <c r="CR47">
        <f>IF(COUNTIFS(T_StockCount[RM_Code],$A47,T_StockCount[WeekIndex],95)&gt;0,SUMIFS(T_StockCount[CountedQty],T_StockCount[RM_Code],$A47,T_StockCount[WeekIndex],95),IF((COUNTIFS(T_SelfStock[RM_Code],$A47,T_SelfStock[WeekIndex],95)&gt;0)*(COUNTIFS(T_TTAFStock[RM_Code],$A47,T_TTAFStock[WeekIndex],95)&gt;0)&gt;0,SUMIFS(T_SelfStock[Self_Qty],T_SelfStock[RM_Code],$A47,T_SelfStock[WeekIndex],95)+SUMIFS(T_TTAFStock[TTAF_Qty],T_TTAFStock[RM_Code],$A47,T_TTAFStock[WeekIndex],95),CQ47+'Grid_Incoming'!CR47-'Grid_Requirement'!CR47))</f>
        <v/>
      </c>
      <c r="CS47">
        <f>IF(COUNTIFS(T_StockCount[RM_Code],$A47,T_StockCount[WeekIndex],96)&gt;0,SUMIFS(T_StockCount[CountedQty],T_StockCount[RM_Code],$A47,T_StockCount[WeekIndex],96),IF((COUNTIFS(T_SelfStock[RM_Code],$A47,T_SelfStock[WeekIndex],96)&gt;0)*(COUNTIFS(T_TTAFStock[RM_Code],$A47,T_TTAFStock[WeekIndex],96)&gt;0)&gt;0,SUMIFS(T_SelfStock[Self_Qty],T_SelfStock[RM_Code],$A47,T_SelfStock[WeekIndex],96)+SUMIFS(T_TTAFStock[TTAF_Qty],T_TTAFStock[RM_Code],$A47,T_TTAFStock[WeekIndex],96),CR47+'Grid_Incoming'!CS47-'Grid_Requirement'!CS47))</f>
        <v/>
      </c>
      <c r="CT47">
        <f>IF(COUNTIFS(T_StockCount[RM_Code],$A47,T_StockCount[WeekIndex],97)&gt;0,SUMIFS(T_StockCount[CountedQty],T_StockCount[RM_Code],$A47,T_StockCount[WeekIndex],97),IF((COUNTIFS(T_SelfStock[RM_Code],$A47,T_SelfStock[WeekIndex],97)&gt;0)*(COUNTIFS(T_TTAFStock[RM_Code],$A47,T_TTAFStock[WeekIndex],97)&gt;0)&gt;0,SUMIFS(T_SelfStock[Self_Qty],T_SelfStock[RM_Code],$A47,T_SelfStock[WeekIndex],97)+SUMIFS(T_TTAFStock[TTAF_Qty],T_TTAFStock[RM_Code],$A47,T_TTAFStock[WeekIndex],97),CS47+'Grid_Incoming'!CT47-'Grid_Requirement'!CT47))</f>
        <v/>
      </c>
      <c r="CU47">
        <f>IF(COUNTIFS(T_StockCount[RM_Code],$A47,T_StockCount[WeekIndex],98)&gt;0,SUMIFS(T_StockCount[CountedQty],T_StockCount[RM_Code],$A47,T_StockCount[WeekIndex],98),IF((COUNTIFS(T_SelfStock[RM_Code],$A47,T_SelfStock[WeekIndex],98)&gt;0)*(COUNTIFS(T_TTAFStock[RM_Code],$A47,T_TTAFStock[WeekIndex],98)&gt;0)&gt;0,SUMIFS(T_SelfStock[Self_Qty],T_SelfStock[RM_Code],$A47,T_SelfStock[WeekIndex],98)+SUMIFS(T_TTAFStock[TTAF_Qty],T_TTAFStock[RM_Code],$A47,T_TTAFStock[WeekIndex],98),CT47+'Grid_Incoming'!CU47-'Grid_Requirement'!CU47))</f>
        <v/>
      </c>
      <c r="CV47">
        <f>IF(COUNTIFS(T_StockCount[RM_Code],$A47,T_StockCount[WeekIndex],99)&gt;0,SUMIFS(T_StockCount[CountedQty],T_StockCount[RM_Code],$A47,T_StockCount[WeekIndex],99),IF((COUNTIFS(T_SelfStock[RM_Code],$A47,T_SelfStock[WeekIndex],99)&gt;0)*(COUNTIFS(T_TTAFStock[RM_Code],$A47,T_TTAFStock[WeekIndex],99)&gt;0)&gt;0,SUMIFS(T_SelfStock[Self_Qty],T_SelfStock[RM_Code],$A47,T_SelfStock[WeekIndex],99)+SUMIFS(T_TTAFStock[TTAF_Qty],T_TTAFStock[RM_Code],$A47,T_TTAFStock[WeekIndex],99),CU47+'Grid_Incoming'!CV47-'Grid_Requirement'!CV47))</f>
        <v/>
      </c>
      <c r="CW47">
        <f>IF(COUNTIFS(T_StockCount[RM_Code],$A47,T_StockCount[WeekIndex],100)&gt;0,SUMIFS(T_StockCount[CountedQty],T_StockCount[RM_Code],$A47,T_StockCount[WeekIndex],100),IF((COUNTIFS(T_SelfStock[RM_Code],$A47,T_SelfStock[WeekIndex],100)&gt;0)*(COUNTIFS(T_TTAFStock[RM_Code],$A47,T_TTAFStock[WeekIndex],100)&gt;0)&gt;0,SUMIFS(T_SelfStock[Self_Qty],T_SelfStock[RM_Code],$A47,T_SelfStock[WeekIndex],100)+SUMIFS(T_TTAFStock[TTAF_Qty],T_TTAFStock[RM_Code],$A47,T_TTAFStock[WeekIndex],100),CV47+'Grid_Incoming'!CW47-'Grid_Requirement'!CW47))</f>
        <v/>
      </c>
      <c r="CX47">
        <f>IF(COUNTIFS(T_StockCount[RM_Code],$A47,T_StockCount[WeekIndex],101)&gt;0,SUMIFS(T_StockCount[CountedQty],T_StockCount[RM_Code],$A47,T_StockCount[WeekIndex],101),IF((COUNTIFS(T_SelfStock[RM_Code],$A47,T_SelfStock[WeekIndex],101)&gt;0)*(COUNTIFS(T_TTAFStock[RM_Code],$A47,T_TTAFStock[WeekIndex],101)&gt;0)&gt;0,SUMIFS(T_SelfStock[Self_Qty],T_SelfStock[RM_Code],$A47,T_SelfStock[WeekIndex],101)+SUMIFS(T_TTAFStock[TTAF_Qty],T_TTAFStock[RM_Code],$A47,T_TTAFStock[WeekIndex],101),CW47+'Grid_Incoming'!CX47-'Grid_Requirement'!CX47))</f>
        <v/>
      </c>
      <c r="CY47">
        <f>IF(COUNTIFS(T_StockCount[RM_Code],$A47,T_StockCount[WeekIndex],102)&gt;0,SUMIFS(T_StockCount[CountedQty],T_StockCount[RM_Code],$A47,T_StockCount[WeekIndex],102),IF((COUNTIFS(T_SelfStock[RM_Code],$A47,T_SelfStock[WeekIndex],102)&gt;0)*(COUNTIFS(T_TTAFStock[RM_Code],$A47,T_TTAFStock[WeekIndex],102)&gt;0)&gt;0,SUMIFS(T_SelfStock[Self_Qty],T_SelfStock[RM_Code],$A47,T_SelfStock[WeekIndex],102)+SUMIFS(T_TTAFStock[TTAF_Qty],T_TTAFStock[RM_Code],$A47,T_TTAFStock[WeekIndex],102),CX47+'Grid_Incoming'!CY47-'Grid_Requirement'!CY47))</f>
        <v/>
      </c>
      <c r="CZ47">
        <f>IF(COUNTIFS(T_StockCount[RM_Code],$A47,T_StockCount[WeekIndex],103)&gt;0,SUMIFS(T_StockCount[CountedQty],T_StockCount[RM_Code],$A47,T_StockCount[WeekIndex],103),IF((COUNTIFS(T_SelfStock[RM_Code],$A47,T_SelfStock[WeekIndex],103)&gt;0)*(COUNTIFS(T_TTAFStock[RM_Code],$A47,T_TTAFStock[WeekIndex],103)&gt;0)&gt;0,SUMIFS(T_SelfStock[Self_Qty],T_SelfStock[RM_Code],$A47,T_SelfStock[WeekIndex],103)+SUMIFS(T_TTAFStock[TTAF_Qty],T_TTAFStock[RM_Code],$A47,T_TTAFStock[WeekIndex],103),CY47+'Grid_Incoming'!CZ47-'Grid_Requirement'!CZ47))</f>
        <v/>
      </c>
      <c r="DA47">
        <f>IF(COUNTIFS(T_StockCount[RM_Code],$A47,T_StockCount[WeekIndex],104)&gt;0,SUMIFS(T_StockCount[CountedQty],T_StockCount[RM_Code],$A47,T_StockCount[WeekIndex],104),IF((COUNTIFS(T_SelfStock[RM_Code],$A47,T_SelfStock[WeekIndex],104)&gt;0)*(COUNTIFS(T_TTAFStock[RM_Code],$A47,T_TTAFStock[WeekIndex],104)&gt;0)&gt;0,SUMIFS(T_SelfStock[Self_Qty],T_SelfStock[RM_Code],$A47,T_SelfStock[WeekIndex],104)+SUMIFS(T_TTAFStock[TTAF_Qty],T_TTAFStock[RM_Code],$A47,T_TTAFStock[WeekIndex],104),CZ47+'Grid_Incoming'!DA47-'Grid_Requirement'!DA47))</f>
        <v/>
      </c>
    </row>
    <row r="48">
      <c r="A48" t="inlineStr">
        <is>
          <t>CHEM-1450</t>
        </is>
      </c>
      <c r="B48">
        <f>IF(COUNTIFS(T_StockCount[RM_Code],$A48,T_StockCount[WeekIndex],1)&gt;0,SUMIFS(T_StockCount[CountedQty],T_StockCount[RM_Code],$A48,T_StockCount[WeekIndex],1),IF((COUNTIFS(T_SelfStock[RM_Code],$A48,T_SelfStock[WeekIndex],1)&gt;0)*(COUNTIFS(T_TTAFStock[RM_Code],$A48,T_TTAFStock[WeekIndex],1)&gt;0)&gt;0,SUMIFS(T_SelfStock[Self_Qty],T_SelfStock[RM_Code],$A48,T_SelfStock[WeekIndex],1)+SUMIFS(T_TTAFStock[TTAF_Qty],T_TTAFStock[RM_Code],$A48,T_TTAFStock[WeekIndex],1),IFERROR(INDEX(T_OpeningStock[Opening_Qty],MATCH($A48,T_OpeningStock[RM_Code],0)),0)+'Grid_Incoming'!B48-'Grid_Requirement'!B48))</f>
        <v/>
      </c>
      <c r="C48">
        <f>IF(COUNTIFS(T_StockCount[RM_Code],$A48,T_StockCount[WeekIndex],2)&gt;0,SUMIFS(T_StockCount[CountedQty],T_StockCount[RM_Code],$A48,T_StockCount[WeekIndex],2),IF((COUNTIFS(T_SelfStock[RM_Code],$A48,T_SelfStock[WeekIndex],2)&gt;0)*(COUNTIFS(T_TTAFStock[RM_Code],$A48,T_TTAFStock[WeekIndex],2)&gt;0)&gt;0,SUMIFS(T_SelfStock[Self_Qty],T_SelfStock[RM_Code],$A48,T_SelfStock[WeekIndex],2)+SUMIFS(T_TTAFStock[TTAF_Qty],T_TTAFStock[RM_Code],$A48,T_TTAFStock[WeekIndex],2),B48+'Grid_Incoming'!C48-'Grid_Requirement'!C48))</f>
        <v/>
      </c>
      <c r="D48">
        <f>IF(COUNTIFS(T_StockCount[RM_Code],$A48,T_StockCount[WeekIndex],3)&gt;0,SUMIFS(T_StockCount[CountedQty],T_StockCount[RM_Code],$A48,T_StockCount[WeekIndex],3),IF((COUNTIFS(T_SelfStock[RM_Code],$A48,T_SelfStock[WeekIndex],3)&gt;0)*(COUNTIFS(T_TTAFStock[RM_Code],$A48,T_TTAFStock[WeekIndex],3)&gt;0)&gt;0,SUMIFS(T_SelfStock[Self_Qty],T_SelfStock[RM_Code],$A48,T_SelfStock[WeekIndex],3)+SUMIFS(T_TTAFStock[TTAF_Qty],T_TTAFStock[RM_Code],$A48,T_TTAFStock[WeekIndex],3),C48+'Grid_Incoming'!D48-'Grid_Requirement'!D48))</f>
        <v/>
      </c>
      <c r="E48">
        <f>IF(COUNTIFS(T_StockCount[RM_Code],$A48,T_StockCount[WeekIndex],4)&gt;0,SUMIFS(T_StockCount[CountedQty],T_StockCount[RM_Code],$A48,T_StockCount[WeekIndex],4),IF((COUNTIFS(T_SelfStock[RM_Code],$A48,T_SelfStock[WeekIndex],4)&gt;0)*(COUNTIFS(T_TTAFStock[RM_Code],$A48,T_TTAFStock[WeekIndex],4)&gt;0)&gt;0,SUMIFS(T_SelfStock[Self_Qty],T_SelfStock[RM_Code],$A48,T_SelfStock[WeekIndex],4)+SUMIFS(T_TTAFStock[TTAF_Qty],T_TTAFStock[RM_Code],$A48,T_TTAFStock[WeekIndex],4),D48+'Grid_Incoming'!E48-'Grid_Requirement'!E48))</f>
        <v/>
      </c>
      <c r="F48">
        <f>IF(COUNTIFS(T_StockCount[RM_Code],$A48,T_StockCount[WeekIndex],5)&gt;0,SUMIFS(T_StockCount[CountedQty],T_StockCount[RM_Code],$A48,T_StockCount[WeekIndex],5),IF((COUNTIFS(T_SelfStock[RM_Code],$A48,T_SelfStock[WeekIndex],5)&gt;0)*(COUNTIFS(T_TTAFStock[RM_Code],$A48,T_TTAFStock[WeekIndex],5)&gt;0)&gt;0,SUMIFS(T_SelfStock[Self_Qty],T_SelfStock[RM_Code],$A48,T_SelfStock[WeekIndex],5)+SUMIFS(T_TTAFStock[TTAF_Qty],T_TTAFStock[RM_Code],$A48,T_TTAFStock[WeekIndex],5),E48+'Grid_Incoming'!F48-'Grid_Requirement'!F48))</f>
        <v/>
      </c>
      <c r="G48">
        <f>IF(COUNTIFS(T_StockCount[RM_Code],$A48,T_StockCount[WeekIndex],6)&gt;0,SUMIFS(T_StockCount[CountedQty],T_StockCount[RM_Code],$A48,T_StockCount[WeekIndex],6),IF((COUNTIFS(T_SelfStock[RM_Code],$A48,T_SelfStock[WeekIndex],6)&gt;0)*(COUNTIFS(T_TTAFStock[RM_Code],$A48,T_TTAFStock[WeekIndex],6)&gt;0)&gt;0,SUMIFS(T_SelfStock[Self_Qty],T_SelfStock[RM_Code],$A48,T_SelfStock[WeekIndex],6)+SUMIFS(T_TTAFStock[TTAF_Qty],T_TTAFStock[RM_Code],$A48,T_TTAFStock[WeekIndex],6),F48+'Grid_Incoming'!G48-'Grid_Requirement'!G48))</f>
        <v/>
      </c>
      <c r="H48">
        <f>IF(COUNTIFS(T_StockCount[RM_Code],$A48,T_StockCount[WeekIndex],7)&gt;0,SUMIFS(T_StockCount[CountedQty],T_StockCount[RM_Code],$A48,T_StockCount[WeekIndex],7),IF((COUNTIFS(T_SelfStock[RM_Code],$A48,T_SelfStock[WeekIndex],7)&gt;0)*(COUNTIFS(T_TTAFStock[RM_Code],$A48,T_TTAFStock[WeekIndex],7)&gt;0)&gt;0,SUMIFS(T_SelfStock[Self_Qty],T_SelfStock[RM_Code],$A48,T_SelfStock[WeekIndex],7)+SUMIFS(T_TTAFStock[TTAF_Qty],T_TTAFStock[RM_Code],$A48,T_TTAFStock[WeekIndex],7),G48+'Grid_Incoming'!H48-'Grid_Requirement'!H48))</f>
        <v/>
      </c>
      <c r="I48">
        <f>IF(COUNTIFS(T_StockCount[RM_Code],$A48,T_StockCount[WeekIndex],8)&gt;0,SUMIFS(T_StockCount[CountedQty],T_StockCount[RM_Code],$A48,T_StockCount[WeekIndex],8),IF((COUNTIFS(T_SelfStock[RM_Code],$A48,T_SelfStock[WeekIndex],8)&gt;0)*(COUNTIFS(T_TTAFStock[RM_Code],$A48,T_TTAFStock[WeekIndex],8)&gt;0)&gt;0,SUMIFS(T_SelfStock[Self_Qty],T_SelfStock[RM_Code],$A48,T_SelfStock[WeekIndex],8)+SUMIFS(T_TTAFStock[TTAF_Qty],T_TTAFStock[RM_Code],$A48,T_TTAFStock[WeekIndex],8),H48+'Grid_Incoming'!I48-'Grid_Requirement'!I48))</f>
        <v/>
      </c>
      <c r="J48">
        <f>IF(COUNTIFS(T_StockCount[RM_Code],$A48,T_StockCount[WeekIndex],9)&gt;0,SUMIFS(T_StockCount[CountedQty],T_StockCount[RM_Code],$A48,T_StockCount[WeekIndex],9),IF((COUNTIFS(T_SelfStock[RM_Code],$A48,T_SelfStock[WeekIndex],9)&gt;0)*(COUNTIFS(T_TTAFStock[RM_Code],$A48,T_TTAFStock[WeekIndex],9)&gt;0)&gt;0,SUMIFS(T_SelfStock[Self_Qty],T_SelfStock[RM_Code],$A48,T_SelfStock[WeekIndex],9)+SUMIFS(T_TTAFStock[TTAF_Qty],T_TTAFStock[RM_Code],$A48,T_TTAFStock[WeekIndex],9),I48+'Grid_Incoming'!J48-'Grid_Requirement'!J48))</f>
        <v/>
      </c>
      <c r="K48">
        <f>IF(COUNTIFS(T_StockCount[RM_Code],$A48,T_StockCount[WeekIndex],10)&gt;0,SUMIFS(T_StockCount[CountedQty],T_StockCount[RM_Code],$A48,T_StockCount[WeekIndex],10),IF((COUNTIFS(T_SelfStock[RM_Code],$A48,T_SelfStock[WeekIndex],10)&gt;0)*(COUNTIFS(T_TTAFStock[RM_Code],$A48,T_TTAFStock[WeekIndex],10)&gt;0)&gt;0,SUMIFS(T_SelfStock[Self_Qty],T_SelfStock[RM_Code],$A48,T_SelfStock[WeekIndex],10)+SUMIFS(T_TTAFStock[TTAF_Qty],T_TTAFStock[RM_Code],$A48,T_TTAFStock[WeekIndex],10),J48+'Grid_Incoming'!K48-'Grid_Requirement'!K48))</f>
        <v/>
      </c>
      <c r="L48">
        <f>IF(COUNTIFS(T_StockCount[RM_Code],$A48,T_StockCount[WeekIndex],11)&gt;0,SUMIFS(T_StockCount[CountedQty],T_StockCount[RM_Code],$A48,T_StockCount[WeekIndex],11),IF((COUNTIFS(T_SelfStock[RM_Code],$A48,T_SelfStock[WeekIndex],11)&gt;0)*(COUNTIFS(T_TTAFStock[RM_Code],$A48,T_TTAFStock[WeekIndex],11)&gt;0)&gt;0,SUMIFS(T_SelfStock[Self_Qty],T_SelfStock[RM_Code],$A48,T_SelfStock[WeekIndex],11)+SUMIFS(T_TTAFStock[TTAF_Qty],T_TTAFStock[RM_Code],$A48,T_TTAFStock[WeekIndex],11),K48+'Grid_Incoming'!L48-'Grid_Requirement'!L48))</f>
        <v/>
      </c>
      <c r="M48">
        <f>IF(COUNTIFS(T_StockCount[RM_Code],$A48,T_StockCount[WeekIndex],12)&gt;0,SUMIFS(T_StockCount[CountedQty],T_StockCount[RM_Code],$A48,T_StockCount[WeekIndex],12),IF((COUNTIFS(T_SelfStock[RM_Code],$A48,T_SelfStock[WeekIndex],12)&gt;0)*(COUNTIFS(T_TTAFStock[RM_Code],$A48,T_TTAFStock[WeekIndex],12)&gt;0)&gt;0,SUMIFS(T_SelfStock[Self_Qty],T_SelfStock[RM_Code],$A48,T_SelfStock[WeekIndex],12)+SUMIFS(T_TTAFStock[TTAF_Qty],T_TTAFStock[RM_Code],$A48,T_TTAFStock[WeekIndex],12),L48+'Grid_Incoming'!M48-'Grid_Requirement'!M48))</f>
        <v/>
      </c>
      <c r="N48">
        <f>IF(COUNTIFS(T_StockCount[RM_Code],$A48,T_StockCount[WeekIndex],13)&gt;0,SUMIFS(T_StockCount[CountedQty],T_StockCount[RM_Code],$A48,T_StockCount[WeekIndex],13),IF((COUNTIFS(T_SelfStock[RM_Code],$A48,T_SelfStock[WeekIndex],13)&gt;0)*(COUNTIFS(T_TTAFStock[RM_Code],$A48,T_TTAFStock[WeekIndex],13)&gt;0)&gt;0,SUMIFS(T_SelfStock[Self_Qty],T_SelfStock[RM_Code],$A48,T_SelfStock[WeekIndex],13)+SUMIFS(T_TTAFStock[TTAF_Qty],T_TTAFStock[RM_Code],$A48,T_TTAFStock[WeekIndex],13),M48+'Grid_Incoming'!N48-'Grid_Requirement'!N48))</f>
        <v/>
      </c>
      <c r="O48">
        <f>IF(COUNTIFS(T_StockCount[RM_Code],$A48,T_StockCount[WeekIndex],14)&gt;0,SUMIFS(T_StockCount[CountedQty],T_StockCount[RM_Code],$A48,T_StockCount[WeekIndex],14),IF((COUNTIFS(T_SelfStock[RM_Code],$A48,T_SelfStock[WeekIndex],14)&gt;0)*(COUNTIFS(T_TTAFStock[RM_Code],$A48,T_TTAFStock[WeekIndex],14)&gt;0)&gt;0,SUMIFS(T_SelfStock[Self_Qty],T_SelfStock[RM_Code],$A48,T_SelfStock[WeekIndex],14)+SUMIFS(T_TTAFStock[TTAF_Qty],T_TTAFStock[RM_Code],$A48,T_TTAFStock[WeekIndex],14),N48+'Grid_Incoming'!O48-'Grid_Requirement'!O48))</f>
        <v/>
      </c>
      <c r="P48">
        <f>IF(COUNTIFS(T_StockCount[RM_Code],$A48,T_StockCount[WeekIndex],15)&gt;0,SUMIFS(T_StockCount[CountedQty],T_StockCount[RM_Code],$A48,T_StockCount[WeekIndex],15),IF((COUNTIFS(T_SelfStock[RM_Code],$A48,T_SelfStock[WeekIndex],15)&gt;0)*(COUNTIFS(T_TTAFStock[RM_Code],$A48,T_TTAFStock[WeekIndex],15)&gt;0)&gt;0,SUMIFS(T_SelfStock[Self_Qty],T_SelfStock[RM_Code],$A48,T_SelfStock[WeekIndex],15)+SUMIFS(T_TTAFStock[TTAF_Qty],T_TTAFStock[RM_Code],$A48,T_TTAFStock[WeekIndex],15),O48+'Grid_Incoming'!P48-'Grid_Requirement'!P48))</f>
        <v/>
      </c>
      <c r="Q48">
        <f>IF(COUNTIFS(T_StockCount[RM_Code],$A48,T_StockCount[WeekIndex],16)&gt;0,SUMIFS(T_StockCount[CountedQty],T_StockCount[RM_Code],$A48,T_StockCount[WeekIndex],16),IF((COUNTIFS(T_SelfStock[RM_Code],$A48,T_SelfStock[WeekIndex],16)&gt;0)*(COUNTIFS(T_TTAFStock[RM_Code],$A48,T_TTAFStock[WeekIndex],16)&gt;0)&gt;0,SUMIFS(T_SelfStock[Self_Qty],T_SelfStock[RM_Code],$A48,T_SelfStock[WeekIndex],16)+SUMIFS(T_TTAFStock[TTAF_Qty],T_TTAFStock[RM_Code],$A48,T_TTAFStock[WeekIndex],16),P48+'Grid_Incoming'!Q48-'Grid_Requirement'!Q48))</f>
        <v/>
      </c>
      <c r="R48">
        <f>IF(COUNTIFS(T_StockCount[RM_Code],$A48,T_StockCount[WeekIndex],17)&gt;0,SUMIFS(T_StockCount[CountedQty],T_StockCount[RM_Code],$A48,T_StockCount[WeekIndex],17),IF((COUNTIFS(T_SelfStock[RM_Code],$A48,T_SelfStock[WeekIndex],17)&gt;0)*(COUNTIFS(T_TTAFStock[RM_Code],$A48,T_TTAFStock[WeekIndex],17)&gt;0)&gt;0,SUMIFS(T_SelfStock[Self_Qty],T_SelfStock[RM_Code],$A48,T_SelfStock[WeekIndex],17)+SUMIFS(T_TTAFStock[TTAF_Qty],T_TTAFStock[RM_Code],$A48,T_TTAFStock[WeekIndex],17),Q48+'Grid_Incoming'!R48-'Grid_Requirement'!R48))</f>
        <v/>
      </c>
      <c r="S48">
        <f>IF(COUNTIFS(T_StockCount[RM_Code],$A48,T_StockCount[WeekIndex],18)&gt;0,SUMIFS(T_StockCount[CountedQty],T_StockCount[RM_Code],$A48,T_StockCount[WeekIndex],18),IF((COUNTIFS(T_SelfStock[RM_Code],$A48,T_SelfStock[WeekIndex],18)&gt;0)*(COUNTIFS(T_TTAFStock[RM_Code],$A48,T_TTAFStock[WeekIndex],18)&gt;0)&gt;0,SUMIFS(T_SelfStock[Self_Qty],T_SelfStock[RM_Code],$A48,T_SelfStock[WeekIndex],18)+SUMIFS(T_TTAFStock[TTAF_Qty],T_TTAFStock[RM_Code],$A48,T_TTAFStock[WeekIndex],18),R48+'Grid_Incoming'!S48-'Grid_Requirement'!S48))</f>
        <v/>
      </c>
      <c r="T48">
        <f>IF(COUNTIFS(T_StockCount[RM_Code],$A48,T_StockCount[WeekIndex],19)&gt;0,SUMIFS(T_StockCount[CountedQty],T_StockCount[RM_Code],$A48,T_StockCount[WeekIndex],19),IF((COUNTIFS(T_SelfStock[RM_Code],$A48,T_SelfStock[WeekIndex],19)&gt;0)*(COUNTIFS(T_TTAFStock[RM_Code],$A48,T_TTAFStock[WeekIndex],19)&gt;0)&gt;0,SUMIFS(T_SelfStock[Self_Qty],T_SelfStock[RM_Code],$A48,T_SelfStock[WeekIndex],19)+SUMIFS(T_TTAFStock[TTAF_Qty],T_TTAFStock[RM_Code],$A48,T_TTAFStock[WeekIndex],19),S48+'Grid_Incoming'!T48-'Grid_Requirement'!T48))</f>
        <v/>
      </c>
      <c r="U48">
        <f>IF(COUNTIFS(T_StockCount[RM_Code],$A48,T_StockCount[WeekIndex],20)&gt;0,SUMIFS(T_StockCount[CountedQty],T_StockCount[RM_Code],$A48,T_StockCount[WeekIndex],20),IF((COUNTIFS(T_SelfStock[RM_Code],$A48,T_SelfStock[WeekIndex],20)&gt;0)*(COUNTIFS(T_TTAFStock[RM_Code],$A48,T_TTAFStock[WeekIndex],20)&gt;0)&gt;0,SUMIFS(T_SelfStock[Self_Qty],T_SelfStock[RM_Code],$A48,T_SelfStock[WeekIndex],20)+SUMIFS(T_TTAFStock[TTAF_Qty],T_TTAFStock[RM_Code],$A48,T_TTAFStock[WeekIndex],20),T48+'Grid_Incoming'!U48-'Grid_Requirement'!U48))</f>
        <v/>
      </c>
      <c r="V48">
        <f>IF(COUNTIFS(T_StockCount[RM_Code],$A48,T_StockCount[WeekIndex],21)&gt;0,SUMIFS(T_StockCount[CountedQty],T_StockCount[RM_Code],$A48,T_StockCount[WeekIndex],21),IF((COUNTIFS(T_SelfStock[RM_Code],$A48,T_SelfStock[WeekIndex],21)&gt;0)*(COUNTIFS(T_TTAFStock[RM_Code],$A48,T_TTAFStock[WeekIndex],21)&gt;0)&gt;0,SUMIFS(T_SelfStock[Self_Qty],T_SelfStock[RM_Code],$A48,T_SelfStock[WeekIndex],21)+SUMIFS(T_TTAFStock[TTAF_Qty],T_TTAFStock[RM_Code],$A48,T_TTAFStock[WeekIndex],21),U48+'Grid_Incoming'!V48-'Grid_Requirement'!V48))</f>
        <v/>
      </c>
      <c r="W48">
        <f>IF(COUNTIFS(T_StockCount[RM_Code],$A48,T_StockCount[WeekIndex],22)&gt;0,SUMIFS(T_StockCount[CountedQty],T_StockCount[RM_Code],$A48,T_StockCount[WeekIndex],22),IF((COUNTIFS(T_SelfStock[RM_Code],$A48,T_SelfStock[WeekIndex],22)&gt;0)*(COUNTIFS(T_TTAFStock[RM_Code],$A48,T_TTAFStock[WeekIndex],22)&gt;0)&gt;0,SUMIFS(T_SelfStock[Self_Qty],T_SelfStock[RM_Code],$A48,T_SelfStock[WeekIndex],22)+SUMIFS(T_TTAFStock[TTAF_Qty],T_TTAFStock[RM_Code],$A48,T_TTAFStock[WeekIndex],22),V48+'Grid_Incoming'!W48-'Grid_Requirement'!W48))</f>
        <v/>
      </c>
      <c r="X48">
        <f>IF(COUNTIFS(T_StockCount[RM_Code],$A48,T_StockCount[WeekIndex],23)&gt;0,SUMIFS(T_StockCount[CountedQty],T_StockCount[RM_Code],$A48,T_StockCount[WeekIndex],23),IF((COUNTIFS(T_SelfStock[RM_Code],$A48,T_SelfStock[WeekIndex],23)&gt;0)*(COUNTIFS(T_TTAFStock[RM_Code],$A48,T_TTAFStock[WeekIndex],23)&gt;0)&gt;0,SUMIFS(T_SelfStock[Self_Qty],T_SelfStock[RM_Code],$A48,T_SelfStock[WeekIndex],23)+SUMIFS(T_TTAFStock[TTAF_Qty],T_TTAFStock[RM_Code],$A48,T_TTAFStock[WeekIndex],23),W48+'Grid_Incoming'!X48-'Grid_Requirement'!X48))</f>
        <v/>
      </c>
      <c r="Y48">
        <f>IF(COUNTIFS(T_StockCount[RM_Code],$A48,T_StockCount[WeekIndex],24)&gt;0,SUMIFS(T_StockCount[CountedQty],T_StockCount[RM_Code],$A48,T_StockCount[WeekIndex],24),IF((COUNTIFS(T_SelfStock[RM_Code],$A48,T_SelfStock[WeekIndex],24)&gt;0)*(COUNTIFS(T_TTAFStock[RM_Code],$A48,T_TTAFStock[WeekIndex],24)&gt;0)&gt;0,SUMIFS(T_SelfStock[Self_Qty],T_SelfStock[RM_Code],$A48,T_SelfStock[WeekIndex],24)+SUMIFS(T_TTAFStock[TTAF_Qty],T_TTAFStock[RM_Code],$A48,T_TTAFStock[WeekIndex],24),X48+'Grid_Incoming'!Y48-'Grid_Requirement'!Y48))</f>
        <v/>
      </c>
      <c r="Z48">
        <f>IF(COUNTIFS(T_StockCount[RM_Code],$A48,T_StockCount[WeekIndex],25)&gt;0,SUMIFS(T_StockCount[CountedQty],T_StockCount[RM_Code],$A48,T_StockCount[WeekIndex],25),IF((COUNTIFS(T_SelfStock[RM_Code],$A48,T_SelfStock[WeekIndex],25)&gt;0)*(COUNTIFS(T_TTAFStock[RM_Code],$A48,T_TTAFStock[WeekIndex],25)&gt;0)&gt;0,SUMIFS(T_SelfStock[Self_Qty],T_SelfStock[RM_Code],$A48,T_SelfStock[WeekIndex],25)+SUMIFS(T_TTAFStock[TTAF_Qty],T_TTAFStock[RM_Code],$A48,T_TTAFStock[WeekIndex],25),Y48+'Grid_Incoming'!Z48-'Grid_Requirement'!Z48))</f>
        <v/>
      </c>
      <c r="AA48">
        <f>IF(COUNTIFS(T_StockCount[RM_Code],$A48,T_StockCount[WeekIndex],26)&gt;0,SUMIFS(T_StockCount[CountedQty],T_StockCount[RM_Code],$A48,T_StockCount[WeekIndex],26),IF((COUNTIFS(T_SelfStock[RM_Code],$A48,T_SelfStock[WeekIndex],26)&gt;0)*(COUNTIFS(T_TTAFStock[RM_Code],$A48,T_TTAFStock[WeekIndex],26)&gt;0)&gt;0,SUMIFS(T_SelfStock[Self_Qty],T_SelfStock[RM_Code],$A48,T_SelfStock[WeekIndex],26)+SUMIFS(T_TTAFStock[TTAF_Qty],T_TTAFStock[RM_Code],$A48,T_TTAFStock[WeekIndex],26),Z48+'Grid_Incoming'!AA48-'Grid_Requirement'!AA48))</f>
        <v/>
      </c>
      <c r="AB48">
        <f>IF(COUNTIFS(T_StockCount[RM_Code],$A48,T_StockCount[WeekIndex],27)&gt;0,SUMIFS(T_StockCount[CountedQty],T_StockCount[RM_Code],$A48,T_StockCount[WeekIndex],27),IF((COUNTIFS(T_SelfStock[RM_Code],$A48,T_SelfStock[WeekIndex],27)&gt;0)*(COUNTIFS(T_TTAFStock[RM_Code],$A48,T_TTAFStock[WeekIndex],27)&gt;0)&gt;0,SUMIFS(T_SelfStock[Self_Qty],T_SelfStock[RM_Code],$A48,T_SelfStock[WeekIndex],27)+SUMIFS(T_TTAFStock[TTAF_Qty],T_TTAFStock[RM_Code],$A48,T_TTAFStock[WeekIndex],27),AA48+'Grid_Incoming'!AB48-'Grid_Requirement'!AB48))</f>
        <v/>
      </c>
      <c r="AC48">
        <f>IF(COUNTIFS(T_StockCount[RM_Code],$A48,T_StockCount[WeekIndex],28)&gt;0,SUMIFS(T_StockCount[CountedQty],T_StockCount[RM_Code],$A48,T_StockCount[WeekIndex],28),IF((COUNTIFS(T_SelfStock[RM_Code],$A48,T_SelfStock[WeekIndex],28)&gt;0)*(COUNTIFS(T_TTAFStock[RM_Code],$A48,T_TTAFStock[WeekIndex],28)&gt;0)&gt;0,SUMIFS(T_SelfStock[Self_Qty],T_SelfStock[RM_Code],$A48,T_SelfStock[WeekIndex],28)+SUMIFS(T_TTAFStock[TTAF_Qty],T_TTAFStock[RM_Code],$A48,T_TTAFStock[WeekIndex],28),AB48+'Grid_Incoming'!AC48-'Grid_Requirement'!AC48))</f>
        <v/>
      </c>
      <c r="AD48">
        <f>IF(COUNTIFS(T_StockCount[RM_Code],$A48,T_StockCount[WeekIndex],29)&gt;0,SUMIFS(T_StockCount[CountedQty],T_StockCount[RM_Code],$A48,T_StockCount[WeekIndex],29),IF((COUNTIFS(T_SelfStock[RM_Code],$A48,T_SelfStock[WeekIndex],29)&gt;0)*(COUNTIFS(T_TTAFStock[RM_Code],$A48,T_TTAFStock[WeekIndex],29)&gt;0)&gt;0,SUMIFS(T_SelfStock[Self_Qty],T_SelfStock[RM_Code],$A48,T_SelfStock[WeekIndex],29)+SUMIFS(T_TTAFStock[TTAF_Qty],T_TTAFStock[RM_Code],$A48,T_TTAFStock[WeekIndex],29),AC48+'Grid_Incoming'!AD48-'Grid_Requirement'!AD48))</f>
        <v/>
      </c>
      <c r="AE48">
        <f>IF(COUNTIFS(T_StockCount[RM_Code],$A48,T_StockCount[WeekIndex],30)&gt;0,SUMIFS(T_StockCount[CountedQty],T_StockCount[RM_Code],$A48,T_StockCount[WeekIndex],30),IF((COUNTIFS(T_SelfStock[RM_Code],$A48,T_SelfStock[WeekIndex],30)&gt;0)*(COUNTIFS(T_TTAFStock[RM_Code],$A48,T_TTAFStock[WeekIndex],30)&gt;0)&gt;0,SUMIFS(T_SelfStock[Self_Qty],T_SelfStock[RM_Code],$A48,T_SelfStock[WeekIndex],30)+SUMIFS(T_TTAFStock[TTAF_Qty],T_TTAFStock[RM_Code],$A48,T_TTAFStock[WeekIndex],30),AD48+'Grid_Incoming'!AE48-'Grid_Requirement'!AE48))</f>
        <v/>
      </c>
      <c r="AF48">
        <f>IF(COUNTIFS(T_StockCount[RM_Code],$A48,T_StockCount[WeekIndex],31)&gt;0,SUMIFS(T_StockCount[CountedQty],T_StockCount[RM_Code],$A48,T_StockCount[WeekIndex],31),IF((COUNTIFS(T_SelfStock[RM_Code],$A48,T_SelfStock[WeekIndex],31)&gt;0)*(COUNTIFS(T_TTAFStock[RM_Code],$A48,T_TTAFStock[WeekIndex],31)&gt;0)&gt;0,SUMIFS(T_SelfStock[Self_Qty],T_SelfStock[RM_Code],$A48,T_SelfStock[WeekIndex],31)+SUMIFS(T_TTAFStock[TTAF_Qty],T_TTAFStock[RM_Code],$A48,T_TTAFStock[WeekIndex],31),AE48+'Grid_Incoming'!AF48-'Grid_Requirement'!AF48))</f>
        <v/>
      </c>
      <c r="AG48">
        <f>IF(COUNTIFS(T_StockCount[RM_Code],$A48,T_StockCount[WeekIndex],32)&gt;0,SUMIFS(T_StockCount[CountedQty],T_StockCount[RM_Code],$A48,T_StockCount[WeekIndex],32),IF((COUNTIFS(T_SelfStock[RM_Code],$A48,T_SelfStock[WeekIndex],32)&gt;0)*(COUNTIFS(T_TTAFStock[RM_Code],$A48,T_TTAFStock[WeekIndex],32)&gt;0)&gt;0,SUMIFS(T_SelfStock[Self_Qty],T_SelfStock[RM_Code],$A48,T_SelfStock[WeekIndex],32)+SUMIFS(T_TTAFStock[TTAF_Qty],T_TTAFStock[RM_Code],$A48,T_TTAFStock[WeekIndex],32),AF48+'Grid_Incoming'!AG48-'Grid_Requirement'!AG48))</f>
        <v/>
      </c>
      <c r="AH48">
        <f>IF(COUNTIFS(T_StockCount[RM_Code],$A48,T_StockCount[WeekIndex],33)&gt;0,SUMIFS(T_StockCount[CountedQty],T_StockCount[RM_Code],$A48,T_StockCount[WeekIndex],33),IF((COUNTIFS(T_SelfStock[RM_Code],$A48,T_SelfStock[WeekIndex],33)&gt;0)*(COUNTIFS(T_TTAFStock[RM_Code],$A48,T_TTAFStock[WeekIndex],33)&gt;0)&gt;0,SUMIFS(T_SelfStock[Self_Qty],T_SelfStock[RM_Code],$A48,T_SelfStock[WeekIndex],33)+SUMIFS(T_TTAFStock[TTAF_Qty],T_TTAFStock[RM_Code],$A48,T_TTAFStock[WeekIndex],33),AG48+'Grid_Incoming'!AH48-'Grid_Requirement'!AH48))</f>
        <v/>
      </c>
      <c r="AI48">
        <f>IF(COUNTIFS(T_StockCount[RM_Code],$A48,T_StockCount[WeekIndex],34)&gt;0,SUMIFS(T_StockCount[CountedQty],T_StockCount[RM_Code],$A48,T_StockCount[WeekIndex],34),IF((COUNTIFS(T_SelfStock[RM_Code],$A48,T_SelfStock[WeekIndex],34)&gt;0)*(COUNTIFS(T_TTAFStock[RM_Code],$A48,T_TTAFStock[WeekIndex],34)&gt;0)&gt;0,SUMIFS(T_SelfStock[Self_Qty],T_SelfStock[RM_Code],$A48,T_SelfStock[WeekIndex],34)+SUMIFS(T_TTAFStock[TTAF_Qty],T_TTAFStock[RM_Code],$A48,T_TTAFStock[WeekIndex],34),AH48+'Grid_Incoming'!AI48-'Grid_Requirement'!AI48))</f>
        <v/>
      </c>
      <c r="AJ48">
        <f>IF(COUNTIFS(T_StockCount[RM_Code],$A48,T_StockCount[WeekIndex],35)&gt;0,SUMIFS(T_StockCount[CountedQty],T_StockCount[RM_Code],$A48,T_StockCount[WeekIndex],35),IF((COUNTIFS(T_SelfStock[RM_Code],$A48,T_SelfStock[WeekIndex],35)&gt;0)*(COUNTIFS(T_TTAFStock[RM_Code],$A48,T_TTAFStock[WeekIndex],35)&gt;0)&gt;0,SUMIFS(T_SelfStock[Self_Qty],T_SelfStock[RM_Code],$A48,T_SelfStock[WeekIndex],35)+SUMIFS(T_TTAFStock[TTAF_Qty],T_TTAFStock[RM_Code],$A48,T_TTAFStock[WeekIndex],35),AI48+'Grid_Incoming'!AJ48-'Grid_Requirement'!AJ48))</f>
        <v/>
      </c>
      <c r="AK48">
        <f>IF(COUNTIFS(T_StockCount[RM_Code],$A48,T_StockCount[WeekIndex],36)&gt;0,SUMIFS(T_StockCount[CountedQty],T_StockCount[RM_Code],$A48,T_StockCount[WeekIndex],36),IF((COUNTIFS(T_SelfStock[RM_Code],$A48,T_SelfStock[WeekIndex],36)&gt;0)*(COUNTIFS(T_TTAFStock[RM_Code],$A48,T_TTAFStock[WeekIndex],36)&gt;0)&gt;0,SUMIFS(T_SelfStock[Self_Qty],T_SelfStock[RM_Code],$A48,T_SelfStock[WeekIndex],36)+SUMIFS(T_TTAFStock[TTAF_Qty],T_TTAFStock[RM_Code],$A48,T_TTAFStock[WeekIndex],36),AJ48+'Grid_Incoming'!AK48-'Grid_Requirement'!AK48))</f>
        <v/>
      </c>
      <c r="AL48">
        <f>IF(COUNTIFS(T_StockCount[RM_Code],$A48,T_StockCount[WeekIndex],37)&gt;0,SUMIFS(T_StockCount[CountedQty],T_StockCount[RM_Code],$A48,T_StockCount[WeekIndex],37),IF((COUNTIFS(T_SelfStock[RM_Code],$A48,T_SelfStock[WeekIndex],37)&gt;0)*(COUNTIFS(T_TTAFStock[RM_Code],$A48,T_TTAFStock[WeekIndex],37)&gt;0)&gt;0,SUMIFS(T_SelfStock[Self_Qty],T_SelfStock[RM_Code],$A48,T_SelfStock[WeekIndex],37)+SUMIFS(T_TTAFStock[TTAF_Qty],T_TTAFStock[RM_Code],$A48,T_TTAFStock[WeekIndex],37),AK48+'Grid_Incoming'!AL48-'Grid_Requirement'!AL48))</f>
        <v/>
      </c>
      <c r="AM48">
        <f>IF(COUNTIFS(T_StockCount[RM_Code],$A48,T_StockCount[WeekIndex],38)&gt;0,SUMIFS(T_StockCount[CountedQty],T_StockCount[RM_Code],$A48,T_StockCount[WeekIndex],38),IF((COUNTIFS(T_SelfStock[RM_Code],$A48,T_SelfStock[WeekIndex],38)&gt;0)*(COUNTIFS(T_TTAFStock[RM_Code],$A48,T_TTAFStock[WeekIndex],38)&gt;0)&gt;0,SUMIFS(T_SelfStock[Self_Qty],T_SelfStock[RM_Code],$A48,T_SelfStock[WeekIndex],38)+SUMIFS(T_TTAFStock[TTAF_Qty],T_TTAFStock[RM_Code],$A48,T_TTAFStock[WeekIndex],38),AL48+'Grid_Incoming'!AM48-'Grid_Requirement'!AM48))</f>
        <v/>
      </c>
      <c r="AN48">
        <f>IF(COUNTIFS(T_StockCount[RM_Code],$A48,T_StockCount[WeekIndex],39)&gt;0,SUMIFS(T_StockCount[CountedQty],T_StockCount[RM_Code],$A48,T_StockCount[WeekIndex],39),IF((COUNTIFS(T_SelfStock[RM_Code],$A48,T_SelfStock[WeekIndex],39)&gt;0)*(COUNTIFS(T_TTAFStock[RM_Code],$A48,T_TTAFStock[WeekIndex],39)&gt;0)&gt;0,SUMIFS(T_SelfStock[Self_Qty],T_SelfStock[RM_Code],$A48,T_SelfStock[WeekIndex],39)+SUMIFS(T_TTAFStock[TTAF_Qty],T_TTAFStock[RM_Code],$A48,T_TTAFStock[WeekIndex],39),AM48+'Grid_Incoming'!AN48-'Grid_Requirement'!AN48))</f>
        <v/>
      </c>
      <c r="AO48">
        <f>IF(COUNTIFS(T_StockCount[RM_Code],$A48,T_StockCount[WeekIndex],40)&gt;0,SUMIFS(T_StockCount[CountedQty],T_StockCount[RM_Code],$A48,T_StockCount[WeekIndex],40),IF((COUNTIFS(T_SelfStock[RM_Code],$A48,T_SelfStock[WeekIndex],40)&gt;0)*(COUNTIFS(T_TTAFStock[RM_Code],$A48,T_TTAFStock[WeekIndex],40)&gt;0)&gt;0,SUMIFS(T_SelfStock[Self_Qty],T_SelfStock[RM_Code],$A48,T_SelfStock[WeekIndex],40)+SUMIFS(T_TTAFStock[TTAF_Qty],T_TTAFStock[RM_Code],$A48,T_TTAFStock[WeekIndex],40),AN48+'Grid_Incoming'!AO48-'Grid_Requirement'!AO48))</f>
        <v/>
      </c>
      <c r="AP48">
        <f>IF(COUNTIFS(T_StockCount[RM_Code],$A48,T_StockCount[WeekIndex],41)&gt;0,SUMIFS(T_StockCount[CountedQty],T_StockCount[RM_Code],$A48,T_StockCount[WeekIndex],41),IF((COUNTIFS(T_SelfStock[RM_Code],$A48,T_SelfStock[WeekIndex],41)&gt;0)*(COUNTIFS(T_TTAFStock[RM_Code],$A48,T_TTAFStock[WeekIndex],41)&gt;0)&gt;0,SUMIFS(T_SelfStock[Self_Qty],T_SelfStock[RM_Code],$A48,T_SelfStock[WeekIndex],41)+SUMIFS(T_TTAFStock[TTAF_Qty],T_TTAFStock[RM_Code],$A48,T_TTAFStock[WeekIndex],41),AO48+'Grid_Incoming'!AP48-'Grid_Requirement'!AP48))</f>
        <v/>
      </c>
      <c r="AQ48">
        <f>IF(COUNTIFS(T_StockCount[RM_Code],$A48,T_StockCount[WeekIndex],42)&gt;0,SUMIFS(T_StockCount[CountedQty],T_StockCount[RM_Code],$A48,T_StockCount[WeekIndex],42),IF((COUNTIFS(T_SelfStock[RM_Code],$A48,T_SelfStock[WeekIndex],42)&gt;0)*(COUNTIFS(T_TTAFStock[RM_Code],$A48,T_TTAFStock[WeekIndex],42)&gt;0)&gt;0,SUMIFS(T_SelfStock[Self_Qty],T_SelfStock[RM_Code],$A48,T_SelfStock[WeekIndex],42)+SUMIFS(T_TTAFStock[TTAF_Qty],T_TTAFStock[RM_Code],$A48,T_TTAFStock[WeekIndex],42),AP48+'Grid_Incoming'!AQ48-'Grid_Requirement'!AQ48))</f>
        <v/>
      </c>
      <c r="AR48">
        <f>IF(COUNTIFS(T_StockCount[RM_Code],$A48,T_StockCount[WeekIndex],43)&gt;0,SUMIFS(T_StockCount[CountedQty],T_StockCount[RM_Code],$A48,T_StockCount[WeekIndex],43),IF((COUNTIFS(T_SelfStock[RM_Code],$A48,T_SelfStock[WeekIndex],43)&gt;0)*(COUNTIFS(T_TTAFStock[RM_Code],$A48,T_TTAFStock[WeekIndex],43)&gt;0)&gt;0,SUMIFS(T_SelfStock[Self_Qty],T_SelfStock[RM_Code],$A48,T_SelfStock[WeekIndex],43)+SUMIFS(T_TTAFStock[TTAF_Qty],T_TTAFStock[RM_Code],$A48,T_TTAFStock[WeekIndex],43),AQ48+'Grid_Incoming'!AR48-'Grid_Requirement'!AR48))</f>
        <v/>
      </c>
      <c r="AS48">
        <f>IF(COUNTIFS(T_StockCount[RM_Code],$A48,T_StockCount[WeekIndex],44)&gt;0,SUMIFS(T_StockCount[CountedQty],T_StockCount[RM_Code],$A48,T_StockCount[WeekIndex],44),IF((COUNTIFS(T_SelfStock[RM_Code],$A48,T_SelfStock[WeekIndex],44)&gt;0)*(COUNTIFS(T_TTAFStock[RM_Code],$A48,T_TTAFStock[WeekIndex],44)&gt;0)&gt;0,SUMIFS(T_SelfStock[Self_Qty],T_SelfStock[RM_Code],$A48,T_SelfStock[WeekIndex],44)+SUMIFS(T_TTAFStock[TTAF_Qty],T_TTAFStock[RM_Code],$A48,T_TTAFStock[WeekIndex],44),AR48+'Grid_Incoming'!AS48-'Grid_Requirement'!AS48))</f>
        <v/>
      </c>
      <c r="AT48">
        <f>IF(COUNTIFS(T_StockCount[RM_Code],$A48,T_StockCount[WeekIndex],45)&gt;0,SUMIFS(T_StockCount[CountedQty],T_StockCount[RM_Code],$A48,T_StockCount[WeekIndex],45),IF((COUNTIFS(T_SelfStock[RM_Code],$A48,T_SelfStock[WeekIndex],45)&gt;0)*(COUNTIFS(T_TTAFStock[RM_Code],$A48,T_TTAFStock[WeekIndex],45)&gt;0)&gt;0,SUMIFS(T_SelfStock[Self_Qty],T_SelfStock[RM_Code],$A48,T_SelfStock[WeekIndex],45)+SUMIFS(T_TTAFStock[TTAF_Qty],T_TTAFStock[RM_Code],$A48,T_TTAFStock[WeekIndex],45),AS48+'Grid_Incoming'!AT48-'Grid_Requirement'!AT48))</f>
        <v/>
      </c>
      <c r="AU48">
        <f>IF(COUNTIFS(T_StockCount[RM_Code],$A48,T_StockCount[WeekIndex],46)&gt;0,SUMIFS(T_StockCount[CountedQty],T_StockCount[RM_Code],$A48,T_StockCount[WeekIndex],46),IF((COUNTIFS(T_SelfStock[RM_Code],$A48,T_SelfStock[WeekIndex],46)&gt;0)*(COUNTIFS(T_TTAFStock[RM_Code],$A48,T_TTAFStock[WeekIndex],46)&gt;0)&gt;0,SUMIFS(T_SelfStock[Self_Qty],T_SelfStock[RM_Code],$A48,T_SelfStock[WeekIndex],46)+SUMIFS(T_TTAFStock[TTAF_Qty],T_TTAFStock[RM_Code],$A48,T_TTAFStock[WeekIndex],46),AT48+'Grid_Incoming'!AU48-'Grid_Requirement'!AU48))</f>
        <v/>
      </c>
      <c r="AV48">
        <f>IF(COUNTIFS(T_StockCount[RM_Code],$A48,T_StockCount[WeekIndex],47)&gt;0,SUMIFS(T_StockCount[CountedQty],T_StockCount[RM_Code],$A48,T_StockCount[WeekIndex],47),IF((COUNTIFS(T_SelfStock[RM_Code],$A48,T_SelfStock[WeekIndex],47)&gt;0)*(COUNTIFS(T_TTAFStock[RM_Code],$A48,T_TTAFStock[WeekIndex],47)&gt;0)&gt;0,SUMIFS(T_SelfStock[Self_Qty],T_SelfStock[RM_Code],$A48,T_SelfStock[WeekIndex],47)+SUMIFS(T_TTAFStock[TTAF_Qty],T_TTAFStock[RM_Code],$A48,T_TTAFStock[WeekIndex],47),AU48+'Grid_Incoming'!AV48-'Grid_Requirement'!AV48))</f>
        <v/>
      </c>
      <c r="AW48">
        <f>IF(COUNTIFS(T_StockCount[RM_Code],$A48,T_StockCount[WeekIndex],48)&gt;0,SUMIFS(T_StockCount[CountedQty],T_StockCount[RM_Code],$A48,T_StockCount[WeekIndex],48),IF((COUNTIFS(T_SelfStock[RM_Code],$A48,T_SelfStock[WeekIndex],48)&gt;0)*(COUNTIFS(T_TTAFStock[RM_Code],$A48,T_TTAFStock[WeekIndex],48)&gt;0)&gt;0,SUMIFS(T_SelfStock[Self_Qty],T_SelfStock[RM_Code],$A48,T_SelfStock[WeekIndex],48)+SUMIFS(T_TTAFStock[TTAF_Qty],T_TTAFStock[RM_Code],$A48,T_TTAFStock[WeekIndex],48),AV48+'Grid_Incoming'!AW48-'Grid_Requirement'!AW48))</f>
        <v/>
      </c>
      <c r="AX48">
        <f>IF(COUNTIFS(T_StockCount[RM_Code],$A48,T_StockCount[WeekIndex],49)&gt;0,SUMIFS(T_StockCount[CountedQty],T_StockCount[RM_Code],$A48,T_StockCount[WeekIndex],49),IF((COUNTIFS(T_SelfStock[RM_Code],$A48,T_SelfStock[WeekIndex],49)&gt;0)*(COUNTIFS(T_TTAFStock[RM_Code],$A48,T_TTAFStock[WeekIndex],49)&gt;0)&gt;0,SUMIFS(T_SelfStock[Self_Qty],T_SelfStock[RM_Code],$A48,T_SelfStock[WeekIndex],49)+SUMIFS(T_TTAFStock[TTAF_Qty],T_TTAFStock[RM_Code],$A48,T_TTAFStock[WeekIndex],49),AW48+'Grid_Incoming'!AX48-'Grid_Requirement'!AX48))</f>
        <v/>
      </c>
      <c r="AY48">
        <f>IF(COUNTIFS(T_StockCount[RM_Code],$A48,T_StockCount[WeekIndex],50)&gt;0,SUMIFS(T_StockCount[CountedQty],T_StockCount[RM_Code],$A48,T_StockCount[WeekIndex],50),IF((COUNTIFS(T_SelfStock[RM_Code],$A48,T_SelfStock[WeekIndex],50)&gt;0)*(COUNTIFS(T_TTAFStock[RM_Code],$A48,T_TTAFStock[WeekIndex],50)&gt;0)&gt;0,SUMIFS(T_SelfStock[Self_Qty],T_SelfStock[RM_Code],$A48,T_SelfStock[WeekIndex],50)+SUMIFS(T_TTAFStock[TTAF_Qty],T_TTAFStock[RM_Code],$A48,T_TTAFStock[WeekIndex],50),AX48+'Grid_Incoming'!AY48-'Grid_Requirement'!AY48))</f>
        <v/>
      </c>
      <c r="AZ48">
        <f>IF(COUNTIFS(T_StockCount[RM_Code],$A48,T_StockCount[WeekIndex],51)&gt;0,SUMIFS(T_StockCount[CountedQty],T_StockCount[RM_Code],$A48,T_StockCount[WeekIndex],51),IF((COUNTIFS(T_SelfStock[RM_Code],$A48,T_SelfStock[WeekIndex],51)&gt;0)*(COUNTIFS(T_TTAFStock[RM_Code],$A48,T_TTAFStock[WeekIndex],51)&gt;0)&gt;0,SUMIFS(T_SelfStock[Self_Qty],T_SelfStock[RM_Code],$A48,T_SelfStock[WeekIndex],51)+SUMIFS(T_TTAFStock[TTAF_Qty],T_TTAFStock[RM_Code],$A48,T_TTAFStock[WeekIndex],51),AY48+'Grid_Incoming'!AZ48-'Grid_Requirement'!AZ48))</f>
        <v/>
      </c>
      <c r="BA48">
        <f>IF(COUNTIFS(T_StockCount[RM_Code],$A48,T_StockCount[WeekIndex],52)&gt;0,SUMIFS(T_StockCount[CountedQty],T_StockCount[RM_Code],$A48,T_StockCount[WeekIndex],52),IF((COUNTIFS(T_SelfStock[RM_Code],$A48,T_SelfStock[WeekIndex],52)&gt;0)*(COUNTIFS(T_TTAFStock[RM_Code],$A48,T_TTAFStock[WeekIndex],52)&gt;0)&gt;0,SUMIFS(T_SelfStock[Self_Qty],T_SelfStock[RM_Code],$A48,T_SelfStock[WeekIndex],52)+SUMIFS(T_TTAFStock[TTAF_Qty],T_TTAFStock[RM_Code],$A48,T_TTAFStock[WeekIndex],52),AZ48+'Grid_Incoming'!BA48-'Grid_Requirement'!BA48))</f>
        <v/>
      </c>
      <c r="BB48">
        <f>IF(COUNTIFS(T_StockCount[RM_Code],$A48,T_StockCount[WeekIndex],53)&gt;0,SUMIFS(T_StockCount[CountedQty],T_StockCount[RM_Code],$A48,T_StockCount[WeekIndex],53),IF((COUNTIFS(T_SelfStock[RM_Code],$A48,T_SelfStock[WeekIndex],53)&gt;0)*(COUNTIFS(T_TTAFStock[RM_Code],$A48,T_TTAFStock[WeekIndex],53)&gt;0)&gt;0,SUMIFS(T_SelfStock[Self_Qty],T_SelfStock[RM_Code],$A48,T_SelfStock[WeekIndex],53)+SUMIFS(T_TTAFStock[TTAF_Qty],T_TTAFStock[RM_Code],$A48,T_TTAFStock[WeekIndex],53),BA48+'Grid_Incoming'!BB48-'Grid_Requirement'!BB48))</f>
        <v/>
      </c>
      <c r="BC48">
        <f>IF(COUNTIFS(T_StockCount[RM_Code],$A48,T_StockCount[WeekIndex],54)&gt;0,SUMIFS(T_StockCount[CountedQty],T_StockCount[RM_Code],$A48,T_StockCount[WeekIndex],54),IF((COUNTIFS(T_SelfStock[RM_Code],$A48,T_SelfStock[WeekIndex],54)&gt;0)*(COUNTIFS(T_TTAFStock[RM_Code],$A48,T_TTAFStock[WeekIndex],54)&gt;0)&gt;0,SUMIFS(T_SelfStock[Self_Qty],T_SelfStock[RM_Code],$A48,T_SelfStock[WeekIndex],54)+SUMIFS(T_TTAFStock[TTAF_Qty],T_TTAFStock[RM_Code],$A48,T_TTAFStock[WeekIndex],54),BB48+'Grid_Incoming'!BC48-'Grid_Requirement'!BC48))</f>
        <v/>
      </c>
      <c r="BD48">
        <f>IF(COUNTIFS(T_StockCount[RM_Code],$A48,T_StockCount[WeekIndex],55)&gt;0,SUMIFS(T_StockCount[CountedQty],T_StockCount[RM_Code],$A48,T_StockCount[WeekIndex],55),IF((COUNTIFS(T_SelfStock[RM_Code],$A48,T_SelfStock[WeekIndex],55)&gt;0)*(COUNTIFS(T_TTAFStock[RM_Code],$A48,T_TTAFStock[WeekIndex],55)&gt;0)&gt;0,SUMIFS(T_SelfStock[Self_Qty],T_SelfStock[RM_Code],$A48,T_SelfStock[WeekIndex],55)+SUMIFS(T_TTAFStock[TTAF_Qty],T_TTAFStock[RM_Code],$A48,T_TTAFStock[WeekIndex],55),BC48+'Grid_Incoming'!BD48-'Grid_Requirement'!BD48))</f>
        <v/>
      </c>
      <c r="BE48">
        <f>IF(COUNTIFS(T_StockCount[RM_Code],$A48,T_StockCount[WeekIndex],56)&gt;0,SUMIFS(T_StockCount[CountedQty],T_StockCount[RM_Code],$A48,T_StockCount[WeekIndex],56),IF((COUNTIFS(T_SelfStock[RM_Code],$A48,T_SelfStock[WeekIndex],56)&gt;0)*(COUNTIFS(T_TTAFStock[RM_Code],$A48,T_TTAFStock[WeekIndex],56)&gt;0)&gt;0,SUMIFS(T_SelfStock[Self_Qty],T_SelfStock[RM_Code],$A48,T_SelfStock[WeekIndex],56)+SUMIFS(T_TTAFStock[TTAF_Qty],T_TTAFStock[RM_Code],$A48,T_TTAFStock[WeekIndex],56),BD48+'Grid_Incoming'!BE48-'Grid_Requirement'!BE48))</f>
        <v/>
      </c>
      <c r="BF48">
        <f>IF(COUNTIFS(T_StockCount[RM_Code],$A48,T_StockCount[WeekIndex],57)&gt;0,SUMIFS(T_StockCount[CountedQty],T_StockCount[RM_Code],$A48,T_StockCount[WeekIndex],57),IF((COUNTIFS(T_SelfStock[RM_Code],$A48,T_SelfStock[WeekIndex],57)&gt;0)*(COUNTIFS(T_TTAFStock[RM_Code],$A48,T_TTAFStock[WeekIndex],57)&gt;0)&gt;0,SUMIFS(T_SelfStock[Self_Qty],T_SelfStock[RM_Code],$A48,T_SelfStock[WeekIndex],57)+SUMIFS(T_TTAFStock[TTAF_Qty],T_TTAFStock[RM_Code],$A48,T_TTAFStock[WeekIndex],57),BE48+'Grid_Incoming'!BF48-'Grid_Requirement'!BF48))</f>
        <v/>
      </c>
      <c r="BG48">
        <f>IF(COUNTIFS(T_StockCount[RM_Code],$A48,T_StockCount[WeekIndex],58)&gt;0,SUMIFS(T_StockCount[CountedQty],T_StockCount[RM_Code],$A48,T_StockCount[WeekIndex],58),IF((COUNTIFS(T_SelfStock[RM_Code],$A48,T_SelfStock[WeekIndex],58)&gt;0)*(COUNTIFS(T_TTAFStock[RM_Code],$A48,T_TTAFStock[WeekIndex],58)&gt;0)&gt;0,SUMIFS(T_SelfStock[Self_Qty],T_SelfStock[RM_Code],$A48,T_SelfStock[WeekIndex],58)+SUMIFS(T_TTAFStock[TTAF_Qty],T_TTAFStock[RM_Code],$A48,T_TTAFStock[WeekIndex],58),BF48+'Grid_Incoming'!BG48-'Grid_Requirement'!BG48))</f>
        <v/>
      </c>
      <c r="BH48">
        <f>IF(COUNTIFS(T_StockCount[RM_Code],$A48,T_StockCount[WeekIndex],59)&gt;0,SUMIFS(T_StockCount[CountedQty],T_StockCount[RM_Code],$A48,T_StockCount[WeekIndex],59),IF((COUNTIFS(T_SelfStock[RM_Code],$A48,T_SelfStock[WeekIndex],59)&gt;0)*(COUNTIFS(T_TTAFStock[RM_Code],$A48,T_TTAFStock[WeekIndex],59)&gt;0)&gt;0,SUMIFS(T_SelfStock[Self_Qty],T_SelfStock[RM_Code],$A48,T_SelfStock[WeekIndex],59)+SUMIFS(T_TTAFStock[TTAF_Qty],T_TTAFStock[RM_Code],$A48,T_TTAFStock[WeekIndex],59),BG48+'Grid_Incoming'!BH48-'Grid_Requirement'!BH48))</f>
        <v/>
      </c>
      <c r="BI48">
        <f>IF(COUNTIFS(T_StockCount[RM_Code],$A48,T_StockCount[WeekIndex],60)&gt;0,SUMIFS(T_StockCount[CountedQty],T_StockCount[RM_Code],$A48,T_StockCount[WeekIndex],60),IF((COUNTIFS(T_SelfStock[RM_Code],$A48,T_SelfStock[WeekIndex],60)&gt;0)*(COUNTIFS(T_TTAFStock[RM_Code],$A48,T_TTAFStock[WeekIndex],60)&gt;0)&gt;0,SUMIFS(T_SelfStock[Self_Qty],T_SelfStock[RM_Code],$A48,T_SelfStock[WeekIndex],60)+SUMIFS(T_TTAFStock[TTAF_Qty],T_TTAFStock[RM_Code],$A48,T_TTAFStock[WeekIndex],60),BH48+'Grid_Incoming'!BI48-'Grid_Requirement'!BI48))</f>
        <v/>
      </c>
      <c r="BJ48">
        <f>IF(COUNTIFS(T_StockCount[RM_Code],$A48,T_StockCount[WeekIndex],61)&gt;0,SUMIFS(T_StockCount[CountedQty],T_StockCount[RM_Code],$A48,T_StockCount[WeekIndex],61),IF((COUNTIFS(T_SelfStock[RM_Code],$A48,T_SelfStock[WeekIndex],61)&gt;0)*(COUNTIFS(T_TTAFStock[RM_Code],$A48,T_TTAFStock[WeekIndex],61)&gt;0)&gt;0,SUMIFS(T_SelfStock[Self_Qty],T_SelfStock[RM_Code],$A48,T_SelfStock[WeekIndex],61)+SUMIFS(T_TTAFStock[TTAF_Qty],T_TTAFStock[RM_Code],$A48,T_TTAFStock[WeekIndex],61),BI48+'Grid_Incoming'!BJ48-'Grid_Requirement'!BJ48))</f>
        <v/>
      </c>
      <c r="BK48">
        <f>IF(COUNTIFS(T_StockCount[RM_Code],$A48,T_StockCount[WeekIndex],62)&gt;0,SUMIFS(T_StockCount[CountedQty],T_StockCount[RM_Code],$A48,T_StockCount[WeekIndex],62),IF((COUNTIFS(T_SelfStock[RM_Code],$A48,T_SelfStock[WeekIndex],62)&gt;0)*(COUNTIFS(T_TTAFStock[RM_Code],$A48,T_TTAFStock[WeekIndex],62)&gt;0)&gt;0,SUMIFS(T_SelfStock[Self_Qty],T_SelfStock[RM_Code],$A48,T_SelfStock[WeekIndex],62)+SUMIFS(T_TTAFStock[TTAF_Qty],T_TTAFStock[RM_Code],$A48,T_TTAFStock[WeekIndex],62),BJ48+'Grid_Incoming'!BK48-'Grid_Requirement'!BK48))</f>
        <v/>
      </c>
      <c r="BL48">
        <f>IF(COUNTIFS(T_StockCount[RM_Code],$A48,T_StockCount[WeekIndex],63)&gt;0,SUMIFS(T_StockCount[CountedQty],T_StockCount[RM_Code],$A48,T_StockCount[WeekIndex],63),IF((COUNTIFS(T_SelfStock[RM_Code],$A48,T_SelfStock[WeekIndex],63)&gt;0)*(COUNTIFS(T_TTAFStock[RM_Code],$A48,T_TTAFStock[WeekIndex],63)&gt;0)&gt;0,SUMIFS(T_SelfStock[Self_Qty],T_SelfStock[RM_Code],$A48,T_SelfStock[WeekIndex],63)+SUMIFS(T_TTAFStock[TTAF_Qty],T_TTAFStock[RM_Code],$A48,T_TTAFStock[WeekIndex],63),BK48+'Grid_Incoming'!BL48-'Grid_Requirement'!BL48))</f>
        <v/>
      </c>
      <c r="BM48">
        <f>IF(COUNTIFS(T_StockCount[RM_Code],$A48,T_StockCount[WeekIndex],64)&gt;0,SUMIFS(T_StockCount[CountedQty],T_StockCount[RM_Code],$A48,T_StockCount[WeekIndex],64),IF((COUNTIFS(T_SelfStock[RM_Code],$A48,T_SelfStock[WeekIndex],64)&gt;0)*(COUNTIFS(T_TTAFStock[RM_Code],$A48,T_TTAFStock[WeekIndex],64)&gt;0)&gt;0,SUMIFS(T_SelfStock[Self_Qty],T_SelfStock[RM_Code],$A48,T_SelfStock[WeekIndex],64)+SUMIFS(T_TTAFStock[TTAF_Qty],T_TTAFStock[RM_Code],$A48,T_TTAFStock[WeekIndex],64),BL48+'Grid_Incoming'!BM48-'Grid_Requirement'!BM48))</f>
        <v/>
      </c>
      <c r="BN48">
        <f>IF(COUNTIFS(T_StockCount[RM_Code],$A48,T_StockCount[WeekIndex],65)&gt;0,SUMIFS(T_StockCount[CountedQty],T_StockCount[RM_Code],$A48,T_StockCount[WeekIndex],65),IF((COUNTIFS(T_SelfStock[RM_Code],$A48,T_SelfStock[WeekIndex],65)&gt;0)*(COUNTIFS(T_TTAFStock[RM_Code],$A48,T_TTAFStock[WeekIndex],65)&gt;0)&gt;0,SUMIFS(T_SelfStock[Self_Qty],T_SelfStock[RM_Code],$A48,T_SelfStock[WeekIndex],65)+SUMIFS(T_TTAFStock[TTAF_Qty],T_TTAFStock[RM_Code],$A48,T_TTAFStock[WeekIndex],65),BM48+'Grid_Incoming'!BN48-'Grid_Requirement'!BN48))</f>
        <v/>
      </c>
      <c r="BO48">
        <f>IF(COUNTIFS(T_StockCount[RM_Code],$A48,T_StockCount[WeekIndex],66)&gt;0,SUMIFS(T_StockCount[CountedQty],T_StockCount[RM_Code],$A48,T_StockCount[WeekIndex],66),IF((COUNTIFS(T_SelfStock[RM_Code],$A48,T_SelfStock[WeekIndex],66)&gt;0)*(COUNTIFS(T_TTAFStock[RM_Code],$A48,T_TTAFStock[WeekIndex],66)&gt;0)&gt;0,SUMIFS(T_SelfStock[Self_Qty],T_SelfStock[RM_Code],$A48,T_SelfStock[WeekIndex],66)+SUMIFS(T_TTAFStock[TTAF_Qty],T_TTAFStock[RM_Code],$A48,T_TTAFStock[WeekIndex],66),BN48+'Grid_Incoming'!BO48-'Grid_Requirement'!BO48))</f>
        <v/>
      </c>
      <c r="BP48">
        <f>IF(COUNTIFS(T_StockCount[RM_Code],$A48,T_StockCount[WeekIndex],67)&gt;0,SUMIFS(T_StockCount[CountedQty],T_StockCount[RM_Code],$A48,T_StockCount[WeekIndex],67),IF((COUNTIFS(T_SelfStock[RM_Code],$A48,T_SelfStock[WeekIndex],67)&gt;0)*(COUNTIFS(T_TTAFStock[RM_Code],$A48,T_TTAFStock[WeekIndex],67)&gt;0)&gt;0,SUMIFS(T_SelfStock[Self_Qty],T_SelfStock[RM_Code],$A48,T_SelfStock[WeekIndex],67)+SUMIFS(T_TTAFStock[TTAF_Qty],T_TTAFStock[RM_Code],$A48,T_TTAFStock[WeekIndex],67),BO48+'Grid_Incoming'!BP48-'Grid_Requirement'!BP48))</f>
        <v/>
      </c>
      <c r="BQ48">
        <f>IF(COUNTIFS(T_StockCount[RM_Code],$A48,T_StockCount[WeekIndex],68)&gt;0,SUMIFS(T_StockCount[CountedQty],T_StockCount[RM_Code],$A48,T_StockCount[WeekIndex],68),IF((COUNTIFS(T_SelfStock[RM_Code],$A48,T_SelfStock[WeekIndex],68)&gt;0)*(COUNTIFS(T_TTAFStock[RM_Code],$A48,T_TTAFStock[WeekIndex],68)&gt;0)&gt;0,SUMIFS(T_SelfStock[Self_Qty],T_SelfStock[RM_Code],$A48,T_SelfStock[WeekIndex],68)+SUMIFS(T_TTAFStock[TTAF_Qty],T_TTAFStock[RM_Code],$A48,T_TTAFStock[WeekIndex],68),BP48+'Grid_Incoming'!BQ48-'Grid_Requirement'!BQ48))</f>
        <v/>
      </c>
      <c r="BR48">
        <f>IF(COUNTIFS(T_StockCount[RM_Code],$A48,T_StockCount[WeekIndex],69)&gt;0,SUMIFS(T_StockCount[CountedQty],T_StockCount[RM_Code],$A48,T_StockCount[WeekIndex],69),IF((COUNTIFS(T_SelfStock[RM_Code],$A48,T_SelfStock[WeekIndex],69)&gt;0)*(COUNTIFS(T_TTAFStock[RM_Code],$A48,T_TTAFStock[WeekIndex],69)&gt;0)&gt;0,SUMIFS(T_SelfStock[Self_Qty],T_SelfStock[RM_Code],$A48,T_SelfStock[WeekIndex],69)+SUMIFS(T_TTAFStock[TTAF_Qty],T_TTAFStock[RM_Code],$A48,T_TTAFStock[WeekIndex],69),BQ48+'Grid_Incoming'!BR48-'Grid_Requirement'!BR48))</f>
        <v/>
      </c>
      <c r="BS48">
        <f>IF(COUNTIFS(T_StockCount[RM_Code],$A48,T_StockCount[WeekIndex],70)&gt;0,SUMIFS(T_StockCount[CountedQty],T_StockCount[RM_Code],$A48,T_StockCount[WeekIndex],70),IF((COUNTIFS(T_SelfStock[RM_Code],$A48,T_SelfStock[WeekIndex],70)&gt;0)*(COUNTIFS(T_TTAFStock[RM_Code],$A48,T_TTAFStock[WeekIndex],70)&gt;0)&gt;0,SUMIFS(T_SelfStock[Self_Qty],T_SelfStock[RM_Code],$A48,T_SelfStock[WeekIndex],70)+SUMIFS(T_TTAFStock[TTAF_Qty],T_TTAFStock[RM_Code],$A48,T_TTAFStock[WeekIndex],70),BR48+'Grid_Incoming'!BS48-'Grid_Requirement'!BS48))</f>
        <v/>
      </c>
      <c r="BT48">
        <f>IF(COUNTIFS(T_StockCount[RM_Code],$A48,T_StockCount[WeekIndex],71)&gt;0,SUMIFS(T_StockCount[CountedQty],T_StockCount[RM_Code],$A48,T_StockCount[WeekIndex],71),IF((COUNTIFS(T_SelfStock[RM_Code],$A48,T_SelfStock[WeekIndex],71)&gt;0)*(COUNTIFS(T_TTAFStock[RM_Code],$A48,T_TTAFStock[WeekIndex],71)&gt;0)&gt;0,SUMIFS(T_SelfStock[Self_Qty],T_SelfStock[RM_Code],$A48,T_SelfStock[WeekIndex],71)+SUMIFS(T_TTAFStock[TTAF_Qty],T_TTAFStock[RM_Code],$A48,T_TTAFStock[WeekIndex],71),BS48+'Grid_Incoming'!BT48-'Grid_Requirement'!BT48))</f>
        <v/>
      </c>
      <c r="BU48">
        <f>IF(COUNTIFS(T_StockCount[RM_Code],$A48,T_StockCount[WeekIndex],72)&gt;0,SUMIFS(T_StockCount[CountedQty],T_StockCount[RM_Code],$A48,T_StockCount[WeekIndex],72),IF((COUNTIFS(T_SelfStock[RM_Code],$A48,T_SelfStock[WeekIndex],72)&gt;0)*(COUNTIFS(T_TTAFStock[RM_Code],$A48,T_TTAFStock[WeekIndex],72)&gt;0)&gt;0,SUMIFS(T_SelfStock[Self_Qty],T_SelfStock[RM_Code],$A48,T_SelfStock[WeekIndex],72)+SUMIFS(T_TTAFStock[TTAF_Qty],T_TTAFStock[RM_Code],$A48,T_TTAFStock[WeekIndex],72),BT48+'Grid_Incoming'!BU48-'Grid_Requirement'!BU48))</f>
        <v/>
      </c>
      <c r="BV48">
        <f>IF(COUNTIFS(T_StockCount[RM_Code],$A48,T_StockCount[WeekIndex],73)&gt;0,SUMIFS(T_StockCount[CountedQty],T_StockCount[RM_Code],$A48,T_StockCount[WeekIndex],73),IF((COUNTIFS(T_SelfStock[RM_Code],$A48,T_SelfStock[WeekIndex],73)&gt;0)*(COUNTIFS(T_TTAFStock[RM_Code],$A48,T_TTAFStock[WeekIndex],73)&gt;0)&gt;0,SUMIFS(T_SelfStock[Self_Qty],T_SelfStock[RM_Code],$A48,T_SelfStock[WeekIndex],73)+SUMIFS(T_TTAFStock[TTAF_Qty],T_TTAFStock[RM_Code],$A48,T_TTAFStock[WeekIndex],73),BU48+'Grid_Incoming'!BV48-'Grid_Requirement'!BV48))</f>
        <v/>
      </c>
      <c r="BW48">
        <f>IF(COUNTIFS(T_StockCount[RM_Code],$A48,T_StockCount[WeekIndex],74)&gt;0,SUMIFS(T_StockCount[CountedQty],T_StockCount[RM_Code],$A48,T_StockCount[WeekIndex],74),IF((COUNTIFS(T_SelfStock[RM_Code],$A48,T_SelfStock[WeekIndex],74)&gt;0)*(COUNTIFS(T_TTAFStock[RM_Code],$A48,T_TTAFStock[WeekIndex],74)&gt;0)&gt;0,SUMIFS(T_SelfStock[Self_Qty],T_SelfStock[RM_Code],$A48,T_SelfStock[WeekIndex],74)+SUMIFS(T_TTAFStock[TTAF_Qty],T_TTAFStock[RM_Code],$A48,T_TTAFStock[WeekIndex],74),BV48+'Grid_Incoming'!BW48-'Grid_Requirement'!BW48))</f>
        <v/>
      </c>
      <c r="BX48">
        <f>IF(COUNTIFS(T_StockCount[RM_Code],$A48,T_StockCount[WeekIndex],75)&gt;0,SUMIFS(T_StockCount[CountedQty],T_StockCount[RM_Code],$A48,T_StockCount[WeekIndex],75),IF((COUNTIFS(T_SelfStock[RM_Code],$A48,T_SelfStock[WeekIndex],75)&gt;0)*(COUNTIFS(T_TTAFStock[RM_Code],$A48,T_TTAFStock[WeekIndex],75)&gt;0)&gt;0,SUMIFS(T_SelfStock[Self_Qty],T_SelfStock[RM_Code],$A48,T_SelfStock[WeekIndex],75)+SUMIFS(T_TTAFStock[TTAF_Qty],T_TTAFStock[RM_Code],$A48,T_TTAFStock[WeekIndex],75),BW48+'Grid_Incoming'!BX48-'Grid_Requirement'!BX48))</f>
        <v/>
      </c>
      <c r="BY48">
        <f>IF(COUNTIFS(T_StockCount[RM_Code],$A48,T_StockCount[WeekIndex],76)&gt;0,SUMIFS(T_StockCount[CountedQty],T_StockCount[RM_Code],$A48,T_StockCount[WeekIndex],76),IF((COUNTIFS(T_SelfStock[RM_Code],$A48,T_SelfStock[WeekIndex],76)&gt;0)*(COUNTIFS(T_TTAFStock[RM_Code],$A48,T_TTAFStock[WeekIndex],76)&gt;0)&gt;0,SUMIFS(T_SelfStock[Self_Qty],T_SelfStock[RM_Code],$A48,T_SelfStock[WeekIndex],76)+SUMIFS(T_TTAFStock[TTAF_Qty],T_TTAFStock[RM_Code],$A48,T_TTAFStock[WeekIndex],76),BX48+'Grid_Incoming'!BY48-'Grid_Requirement'!BY48))</f>
        <v/>
      </c>
      <c r="BZ48">
        <f>IF(COUNTIFS(T_StockCount[RM_Code],$A48,T_StockCount[WeekIndex],77)&gt;0,SUMIFS(T_StockCount[CountedQty],T_StockCount[RM_Code],$A48,T_StockCount[WeekIndex],77),IF((COUNTIFS(T_SelfStock[RM_Code],$A48,T_SelfStock[WeekIndex],77)&gt;0)*(COUNTIFS(T_TTAFStock[RM_Code],$A48,T_TTAFStock[WeekIndex],77)&gt;0)&gt;0,SUMIFS(T_SelfStock[Self_Qty],T_SelfStock[RM_Code],$A48,T_SelfStock[WeekIndex],77)+SUMIFS(T_TTAFStock[TTAF_Qty],T_TTAFStock[RM_Code],$A48,T_TTAFStock[WeekIndex],77),BY48+'Grid_Incoming'!BZ48-'Grid_Requirement'!BZ48))</f>
        <v/>
      </c>
      <c r="CA48">
        <f>IF(COUNTIFS(T_StockCount[RM_Code],$A48,T_StockCount[WeekIndex],78)&gt;0,SUMIFS(T_StockCount[CountedQty],T_StockCount[RM_Code],$A48,T_StockCount[WeekIndex],78),IF((COUNTIFS(T_SelfStock[RM_Code],$A48,T_SelfStock[WeekIndex],78)&gt;0)*(COUNTIFS(T_TTAFStock[RM_Code],$A48,T_TTAFStock[WeekIndex],78)&gt;0)&gt;0,SUMIFS(T_SelfStock[Self_Qty],T_SelfStock[RM_Code],$A48,T_SelfStock[WeekIndex],78)+SUMIFS(T_TTAFStock[TTAF_Qty],T_TTAFStock[RM_Code],$A48,T_TTAFStock[WeekIndex],78),BZ48+'Grid_Incoming'!CA48-'Grid_Requirement'!CA48))</f>
        <v/>
      </c>
      <c r="CB48">
        <f>IF(COUNTIFS(T_StockCount[RM_Code],$A48,T_StockCount[WeekIndex],79)&gt;0,SUMIFS(T_StockCount[CountedQty],T_StockCount[RM_Code],$A48,T_StockCount[WeekIndex],79),IF((COUNTIFS(T_SelfStock[RM_Code],$A48,T_SelfStock[WeekIndex],79)&gt;0)*(COUNTIFS(T_TTAFStock[RM_Code],$A48,T_TTAFStock[WeekIndex],79)&gt;0)&gt;0,SUMIFS(T_SelfStock[Self_Qty],T_SelfStock[RM_Code],$A48,T_SelfStock[WeekIndex],79)+SUMIFS(T_TTAFStock[TTAF_Qty],T_TTAFStock[RM_Code],$A48,T_TTAFStock[WeekIndex],79),CA48+'Grid_Incoming'!CB48-'Grid_Requirement'!CB48))</f>
        <v/>
      </c>
      <c r="CC48">
        <f>IF(COUNTIFS(T_StockCount[RM_Code],$A48,T_StockCount[WeekIndex],80)&gt;0,SUMIFS(T_StockCount[CountedQty],T_StockCount[RM_Code],$A48,T_StockCount[WeekIndex],80),IF((COUNTIFS(T_SelfStock[RM_Code],$A48,T_SelfStock[WeekIndex],80)&gt;0)*(COUNTIFS(T_TTAFStock[RM_Code],$A48,T_TTAFStock[WeekIndex],80)&gt;0)&gt;0,SUMIFS(T_SelfStock[Self_Qty],T_SelfStock[RM_Code],$A48,T_SelfStock[WeekIndex],80)+SUMIFS(T_TTAFStock[TTAF_Qty],T_TTAFStock[RM_Code],$A48,T_TTAFStock[WeekIndex],80),CB48+'Grid_Incoming'!CC48-'Grid_Requirement'!CC48))</f>
        <v/>
      </c>
      <c r="CD48">
        <f>IF(COUNTIFS(T_StockCount[RM_Code],$A48,T_StockCount[WeekIndex],81)&gt;0,SUMIFS(T_StockCount[CountedQty],T_StockCount[RM_Code],$A48,T_StockCount[WeekIndex],81),IF((COUNTIFS(T_SelfStock[RM_Code],$A48,T_SelfStock[WeekIndex],81)&gt;0)*(COUNTIFS(T_TTAFStock[RM_Code],$A48,T_TTAFStock[WeekIndex],81)&gt;0)&gt;0,SUMIFS(T_SelfStock[Self_Qty],T_SelfStock[RM_Code],$A48,T_SelfStock[WeekIndex],81)+SUMIFS(T_TTAFStock[TTAF_Qty],T_TTAFStock[RM_Code],$A48,T_TTAFStock[WeekIndex],81),CC48+'Grid_Incoming'!CD48-'Grid_Requirement'!CD48))</f>
        <v/>
      </c>
      <c r="CE48">
        <f>IF(COUNTIFS(T_StockCount[RM_Code],$A48,T_StockCount[WeekIndex],82)&gt;0,SUMIFS(T_StockCount[CountedQty],T_StockCount[RM_Code],$A48,T_StockCount[WeekIndex],82),IF((COUNTIFS(T_SelfStock[RM_Code],$A48,T_SelfStock[WeekIndex],82)&gt;0)*(COUNTIFS(T_TTAFStock[RM_Code],$A48,T_TTAFStock[WeekIndex],82)&gt;0)&gt;0,SUMIFS(T_SelfStock[Self_Qty],T_SelfStock[RM_Code],$A48,T_SelfStock[WeekIndex],82)+SUMIFS(T_TTAFStock[TTAF_Qty],T_TTAFStock[RM_Code],$A48,T_TTAFStock[WeekIndex],82),CD48+'Grid_Incoming'!CE48-'Grid_Requirement'!CE48))</f>
        <v/>
      </c>
      <c r="CF48">
        <f>IF(COUNTIFS(T_StockCount[RM_Code],$A48,T_StockCount[WeekIndex],83)&gt;0,SUMIFS(T_StockCount[CountedQty],T_StockCount[RM_Code],$A48,T_StockCount[WeekIndex],83),IF((COUNTIFS(T_SelfStock[RM_Code],$A48,T_SelfStock[WeekIndex],83)&gt;0)*(COUNTIFS(T_TTAFStock[RM_Code],$A48,T_TTAFStock[WeekIndex],83)&gt;0)&gt;0,SUMIFS(T_SelfStock[Self_Qty],T_SelfStock[RM_Code],$A48,T_SelfStock[WeekIndex],83)+SUMIFS(T_TTAFStock[TTAF_Qty],T_TTAFStock[RM_Code],$A48,T_TTAFStock[WeekIndex],83),CE48+'Grid_Incoming'!CF48-'Grid_Requirement'!CF48))</f>
        <v/>
      </c>
      <c r="CG48">
        <f>IF(COUNTIFS(T_StockCount[RM_Code],$A48,T_StockCount[WeekIndex],84)&gt;0,SUMIFS(T_StockCount[CountedQty],T_StockCount[RM_Code],$A48,T_StockCount[WeekIndex],84),IF((COUNTIFS(T_SelfStock[RM_Code],$A48,T_SelfStock[WeekIndex],84)&gt;0)*(COUNTIFS(T_TTAFStock[RM_Code],$A48,T_TTAFStock[WeekIndex],84)&gt;0)&gt;0,SUMIFS(T_SelfStock[Self_Qty],T_SelfStock[RM_Code],$A48,T_SelfStock[WeekIndex],84)+SUMIFS(T_TTAFStock[TTAF_Qty],T_TTAFStock[RM_Code],$A48,T_TTAFStock[WeekIndex],84),CF48+'Grid_Incoming'!CG48-'Grid_Requirement'!CG48))</f>
        <v/>
      </c>
      <c r="CH48">
        <f>IF(COUNTIFS(T_StockCount[RM_Code],$A48,T_StockCount[WeekIndex],85)&gt;0,SUMIFS(T_StockCount[CountedQty],T_StockCount[RM_Code],$A48,T_StockCount[WeekIndex],85),IF((COUNTIFS(T_SelfStock[RM_Code],$A48,T_SelfStock[WeekIndex],85)&gt;0)*(COUNTIFS(T_TTAFStock[RM_Code],$A48,T_TTAFStock[WeekIndex],85)&gt;0)&gt;0,SUMIFS(T_SelfStock[Self_Qty],T_SelfStock[RM_Code],$A48,T_SelfStock[WeekIndex],85)+SUMIFS(T_TTAFStock[TTAF_Qty],T_TTAFStock[RM_Code],$A48,T_TTAFStock[WeekIndex],85),CG48+'Grid_Incoming'!CH48-'Grid_Requirement'!CH48))</f>
        <v/>
      </c>
      <c r="CI48">
        <f>IF(COUNTIFS(T_StockCount[RM_Code],$A48,T_StockCount[WeekIndex],86)&gt;0,SUMIFS(T_StockCount[CountedQty],T_StockCount[RM_Code],$A48,T_StockCount[WeekIndex],86),IF((COUNTIFS(T_SelfStock[RM_Code],$A48,T_SelfStock[WeekIndex],86)&gt;0)*(COUNTIFS(T_TTAFStock[RM_Code],$A48,T_TTAFStock[WeekIndex],86)&gt;0)&gt;0,SUMIFS(T_SelfStock[Self_Qty],T_SelfStock[RM_Code],$A48,T_SelfStock[WeekIndex],86)+SUMIFS(T_TTAFStock[TTAF_Qty],T_TTAFStock[RM_Code],$A48,T_TTAFStock[WeekIndex],86),CH48+'Grid_Incoming'!CI48-'Grid_Requirement'!CI48))</f>
        <v/>
      </c>
      <c r="CJ48">
        <f>IF(COUNTIFS(T_StockCount[RM_Code],$A48,T_StockCount[WeekIndex],87)&gt;0,SUMIFS(T_StockCount[CountedQty],T_StockCount[RM_Code],$A48,T_StockCount[WeekIndex],87),IF((COUNTIFS(T_SelfStock[RM_Code],$A48,T_SelfStock[WeekIndex],87)&gt;0)*(COUNTIFS(T_TTAFStock[RM_Code],$A48,T_TTAFStock[WeekIndex],87)&gt;0)&gt;0,SUMIFS(T_SelfStock[Self_Qty],T_SelfStock[RM_Code],$A48,T_SelfStock[WeekIndex],87)+SUMIFS(T_TTAFStock[TTAF_Qty],T_TTAFStock[RM_Code],$A48,T_TTAFStock[WeekIndex],87),CI48+'Grid_Incoming'!CJ48-'Grid_Requirement'!CJ48))</f>
        <v/>
      </c>
      <c r="CK48">
        <f>IF(COUNTIFS(T_StockCount[RM_Code],$A48,T_StockCount[WeekIndex],88)&gt;0,SUMIFS(T_StockCount[CountedQty],T_StockCount[RM_Code],$A48,T_StockCount[WeekIndex],88),IF((COUNTIFS(T_SelfStock[RM_Code],$A48,T_SelfStock[WeekIndex],88)&gt;0)*(COUNTIFS(T_TTAFStock[RM_Code],$A48,T_TTAFStock[WeekIndex],88)&gt;0)&gt;0,SUMIFS(T_SelfStock[Self_Qty],T_SelfStock[RM_Code],$A48,T_SelfStock[WeekIndex],88)+SUMIFS(T_TTAFStock[TTAF_Qty],T_TTAFStock[RM_Code],$A48,T_TTAFStock[WeekIndex],88),CJ48+'Grid_Incoming'!CK48-'Grid_Requirement'!CK48))</f>
        <v/>
      </c>
      <c r="CL48">
        <f>IF(COUNTIFS(T_StockCount[RM_Code],$A48,T_StockCount[WeekIndex],89)&gt;0,SUMIFS(T_StockCount[CountedQty],T_StockCount[RM_Code],$A48,T_StockCount[WeekIndex],89),IF((COUNTIFS(T_SelfStock[RM_Code],$A48,T_SelfStock[WeekIndex],89)&gt;0)*(COUNTIFS(T_TTAFStock[RM_Code],$A48,T_TTAFStock[WeekIndex],89)&gt;0)&gt;0,SUMIFS(T_SelfStock[Self_Qty],T_SelfStock[RM_Code],$A48,T_SelfStock[WeekIndex],89)+SUMIFS(T_TTAFStock[TTAF_Qty],T_TTAFStock[RM_Code],$A48,T_TTAFStock[WeekIndex],89),CK48+'Grid_Incoming'!CL48-'Grid_Requirement'!CL48))</f>
        <v/>
      </c>
      <c r="CM48">
        <f>IF(COUNTIFS(T_StockCount[RM_Code],$A48,T_StockCount[WeekIndex],90)&gt;0,SUMIFS(T_StockCount[CountedQty],T_StockCount[RM_Code],$A48,T_StockCount[WeekIndex],90),IF((COUNTIFS(T_SelfStock[RM_Code],$A48,T_SelfStock[WeekIndex],90)&gt;0)*(COUNTIFS(T_TTAFStock[RM_Code],$A48,T_TTAFStock[WeekIndex],90)&gt;0)&gt;0,SUMIFS(T_SelfStock[Self_Qty],T_SelfStock[RM_Code],$A48,T_SelfStock[WeekIndex],90)+SUMIFS(T_TTAFStock[TTAF_Qty],T_TTAFStock[RM_Code],$A48,T_TTAFStock[WeekIndex],90),CL48+'Grid_Incoming'!CM48-'Grid_Requirement'!CM48))</f>
        <v/>
      </c>
      <c r="CN48">
        <f>IF(COUNTIFS(T_StockCount[RM_Code],$A48,T_StockCount[WeekIndex],91)&gt;0,SUMIFS(T_StockCount[CountedQty],T_StockCount[RM_Code],$A48,T_StockCount[WeekIndex],91),IF((COUNTIFS(T_SelfStock[RM_Code],$A48,T_SelfStock[WeekIndex],91)&gt;0)*(COUNTIFS(T_TTAFStock[RM_Code],$A48,T_TTAFStock[WeekIndex],91)&gt;0)&gt;0,SUMIFS(T_SelfStock[Self_Qty],T_SelfStock[RM_Code],$A48,T_SelfStock[WeekIndex],91)+SUMIFS(T_TTAFStock[TTAF_Qty],T_TTAFStock[RM_Code],$A48,T_TTAFStock[WeekIndex],91),CM48+'Grid_Incoming'!CN48-'Grid_Requirement'!CN48))</f>
        <v/>
      </c>
      <c r="CO48">
        <f>IF(COUNTIFS(T_StockCount[RM_Code],$A48,T_StockCount[WeekIndex],92)&gt;0,SUMIFS(T_StockCount[CountedQty],T_StockCount[RM_Code],$A48,T_StockCount[WeekIndex],92),IF((COUNTIFS(T_SelfStock[RM_Code],$A48,T_SelfStock[WeekIndex],92)&gt;0)*(COUNTIFS(T_TTAFStock[RM_Code],$A48,T_TTAFStock[WeekIndex],92)&gt;0)&gt;0,SUMIFS(T_SelfStock[Self_Qty],T_SelfStock[RM_Code],$A48,T_SelfStock[WeekIndex],92)+SUMIFS(T_TTAFStock[TTAF_Qty],T_TTAFStock[RM_Code],$A48,T_TTAFStock[WeekIndex],92),CN48+'Grid_Incoming'!CO48-'Grid_Requirement'!CO48))</f>
        <v/>
      </c>
      <c r="CP48">
        <f>IF(COUNTIFS(T_StockCount[RM_Code],$A48,T_StockCount[WeekIndex],93)&gt;0,SUMIFS(T_StockCount[CountedQty],T_StockCount[RM_Code],$A48,T_StockCount[WeekIndex],93),IF((COUNTIFS(T_SelfStock[RM_Code],$A48,T_SelfStock[WeekIndex],93)&gt;0)*(COUNTIFS(T_TTAFStock[RM_Code],$A48,T_TTAFStock[WeekIndex],93)&gt;0)&gt;0,SUMIFS(T_SelfStock[Self_Qty],T_SelfStock[RM_Code],$A48,T_SelfStock[WeekIndex],93)+SUMIFS(T_TTAFStock[TTAF_Qty],T_TTAFStock[RM_Code],$A48,T_TTAFStock[WeekIndex],93),CO48+'Grid_Incoming'!CP48-'Grid_Requirement'!CP48))</f>
        <v/>
      </c>
      <c r="CQ48">
        <f>IF(COUNTIFS(T_StockCount[RM_Code],$A48,T_StockCount[WeekIndex],94)&gt;0,SUMIFS(T_StockCount[CountedQty],T_StockCount[RM_Code],$A48,T_StockCount[WeekIndex],94),IF((COUNTIFS(T_SelfStock[RM_Code],$A48,T_SelfStock[WeekIndex],94)&gt;0)*(COUNTIFS(T_TTAFStock[RM_Code],$A48,T_TTAFStock[WeekIndex],94)&gt;0)&gt;0,SUMIFS(T_SelfStock[Self_Qty],T_SelfStock[RM_Code],$A48,T_SelfStock[WeekIndex],94)+SUMIFS(T_TTAFStock[TTAF_Qty],T_TTAFStock[RM_Code],$A48,T_TTAFStock[WeekIndex],94),CP48+'Grid_Incoming'!CQ48-'Grid_Requirement'!CQ48))</f>
        <v/>
      </c>
      <c r="CR48">
        <f>IF(COUNTIFS(T_StockCount[RM_Code],$A48,T_StockCount[WeekIndex],95)&gt;0,SUMIFS(T_StockCount[CountedQty],T_StockCount[RM_Code],$A48,T_StockCount[WeekIndex],95),IF((COUNTIFS(T_SelfStock[RM_Code],$A48,T_SelfStock[WeekIndex],95)&gt;0)*(COUNTIFS(T_TTAFStock[RM_Code],$A48,T_TTAFStock[WeekIndex],95)&gt;0)&gt;0,SUMIFS(T_SelfStock[Self_Qty],T_SelfStock[RM_Code],$A48,T_SelfStock[WeekIndex],95)+SUMIFS(T_TTAFStock[TTAF_Qty],T_TTAFStock[RM_Code],$A48,T_TTAFStock[WeekIndex],95),CQ48+'Grid_Incoming'!CR48-'Grid_Requirement'!CR48))</f>
        <v/>
      </c>
      <c r="CS48">
        <f>IF(COUNTIFS(T_StockCount[RM_Code],$A48,T_StockCount[WeekIndex],96)&gt;0,SUMIFS(T_StockCount[CountedQty],T_StockCount[RM_Code],$A48,T_StockCount[WeekIndex],96),IF((COUNTIFS(T_SelfStock[RM_Code],$A48,T_SelfStock[WeekIndex],96)&gt;0)*(COUNTIFS(T_TTAFStock[RM_Code],$A48,T_TTAFStock[WeekIndex],96)&gt;0)&gt;0,SUMIFS(T_SelfStock[Self_Qty],T_SelfStock[RM_Code],$A48,T_SelfStock[WeekIndex],96)+SUMIFS(T_TTAFStock[TTAF_Qty],T_TTAFStock[RM_Code],$A48,T_TTAFStock[WeekIndex],96),CR48+'Grid_Incoming'!CS48-'Grid_Requirement'!CS48))</f>
        <v/>
      </c>
      <c r="CT48">
        <f>IF(COUNTIFS(T_StockCount[RM_Code],$A48,T_StockCount[WeekIndex],97)&gt;0,SUMIFS(T_StockCount[CountedQty],T_StockCount[RM_Code],$A48,T_StockCount[WeekIndex],97),IF((COUNTIFS(T_SelfStock[RM_Code],$A48,T_SelfStock[WeekIndex],97)&gt;0)*(COUNTIFS(T_TTAFStock[RM_Code],$A48,T_TTAFStock[WeekIndex],97)&gt;0)&gt;0,SUMIFS(T_SelfStock[Self_Qty],T_SelfStock[RM_Code],$A48,T_SelfStock[WeekIndex],97)+SUMIFS(T_TTAFStock[TTAF_Qty],T_TTAFStock[RM_Code],$A48,T_TTAFStock[WeekIndex],97),CS48+'Grid_Incoming'!CT48-'Grid_Requirement'!CT48))</f>
        <v/>
      </c>
      <c r="CU48">
        <f>IF(COUNTIFS(T_StockCount[RM_Code],$A48,T_StockCount[WeekIndex],98)&gt;0,SUMIFS(T_StockCount[CountedQty],T_StockCount[RM_Code],$A48,T_StockCount[WeekIndex],98),IF((COUNTIFS(T_SelfStock[RM_Code],$A48,T_SelfStock[WeekIndex],98)&gt;0)*(COUNTIFS(T_TTAFStock[RM_Code],$A48,T_TTAFStock[WeekIndex],98)&gt;0)&gt;0,SUMIFS(T_SelfStock[Self_Qty],T_SelfStock[RM_Code],$A48,T_SelfStock[WeekIndex],98)+SUMIFS(T_TTAFStock[TTAF_Qty],T_TTAFStock[RM_Code],$A48,T_TTAFStock[WeekIndex],98),CT48+'Grid_Incoming'!CU48-'Grid_Requirement'!CU48))</f>
        <v/>
      </c>
      <c r="CV48">
        <f>IF(COUNTIFS(T_StockCount[RM_Code],$A48,T_StockCount[WeekIndex],99)&gt;0,SUMIFS(T_StockCount[CountedQty],T_StockCount[RM_Code],$A48,T_StockCount[WeekIndex],99),IF((COUNTIFS(T_SelfStock[RM_Code],$A48,T_SelfStock[WeekIndex],99)&gt;0)*(COUNTIFS(T_TTAFStock[RM_Code],$A48,T_TTAFStock[WeekIndex],99)&gt;0)&gt;0,SUMIFS(T_SelfStock[Self_Qty],T_SelfStock[RM_Code],$A48,T_SelfStock[WeekIndex],99)+SUMIFS(T_TTAFStock[TTAF_Qty],T_TTAFStock[RM_Code],$A48,T_TTAFStock[WeekIndex],99),CU48+'Grid_Incoming'!CV48-'Grid_Requirement'!CV48))</f>
        <v/>
      </c>
      <c r="CW48">
        <f>IF(COUNTIFS(T_StockCount[RM_Code],$A48,T_StockCount[WeekIndex],100)&gt;0,SUMIFS(T_StockCount[CountedQty],T_StockCount[RM_Code],$A48,T_StockCount[WeekIndex],100),IF((COUNTIFS(T_SelfStock[RM_Code],$A48,T_SelfStock[WeekIndex],100)&gt;0)*(COUNTIFS(T_TTAFStock[RM_Code],$A48,T_TTAFStock[WeekIndex],100)&gt;0)&gt;0,SUMIFS(T_SelfStock[Self_Qty],T_SelfStock[RM_Code],$A48,T_SelfStock[WeekIndex],100)+SUMIFS(T_TTAFStock[TTAF_Qty],T_TTAFStock[RM_Code],$A48,T_TTAFStock[WeekIndex],100),CV48+'Grid_Incoming'!CW48-'Grid_Requirement'!CW48))</f>
        <v/>
      </c>
      <c r="CX48">
        <f>IF(COUNTIFS(T_StockCount[RM_Code],$A48,T_StockCount[WeekIndex],101)&gt;0,SUMIFS(T_StockCount[CountedQty],T_StockCount[RM_Code],$A48,T_StockCount[WeekIndex],101),IF((COUNTIFS(T_SelfStock[RM_Code],$A48,T_SelfStock[WeekIndex],101)&gt;0)*(COUNTIFS(T_TTAFStock[RM_Code],$A48,T_TTAFStock[WeekIndex],101)&gt;0)&gt;0,SUMIFS(T_SelfStock[Self_Qty],T_SelfStock[RM_Code],$A48,T_SelfStock[WeekIndex],101)+SUMIFS(T_TTAFStock[TTAF_Qty],T_TTAFStock[RM_Code],$A48,T_TTAFStock[WeekIndex],101),CW48+'Grid_Incoming'!CX48-'Grid_Requirement'!CX48))</f>
        <v/>
      </c>
      <c r="CY48">
        <f>IF(COUNTIFS(T_StockCount[RM_Code],$A48,T_StockCount[WeekIndex],102)&gt;0,SUMIFS(T_StockCount[CountedQty],T_StockCount[RM_Code],$A48,T_StockCount[WeekIndex],102),IF((COUNTIFS(T_SelfStock[RM_Code],$A48,T_SelfStock[WeekIndex],102)&gt;0)*(COUNTIFS(T_TTAFStock[RM_Code],$A48,T_TTAFStock[WeekIndex],102)&gt;0)&gt;0,SUMIFS(T_SelfStock[Self_Qty],T_SelfStock[RM_Code],$A48,T_SelfStock[WeekIndex],102)+SUMIFS(T_TTAFStock[TTAF_Qty],T_TTAFStock[RM_Code],$A48,T_TTAFStock[WeekIndex],102),CX48+'Grid_Incoming'!CY48-'Grid_Requirement'!CY48))</f>
        <v/>
      </c>
      <c r="CZ48">
        <f>IF(COUNTIFS(T_StockCount[RM_Code],$A48,T_StockCount[WeekIndex],103)&gt;0,SUMIFS(T_StockCount[CountedQty],T_StockCount[RM_Code],$A48,T_StockCount[WeekIndex],103),IF((COUNTIFS(T_SelfStock[RM_Code],$A48,T_SelfStock[WeekIndex],103)&gt;0)*(COUNTIFS(T_TTAFStock[RM_Code],$A48,T_TTAFStock[WeekIndex],103)&gt;0)&gt;0,SUMIFS(T_SelfStock[Self_Qty],T_SelfStock[RM_Code],$A48,T_SelfStock[WeekIndex],103)+SUMIFS(T_TTAFStock[TTAF_Qty],T_TTAFStock[RM_Code],$A48,T_TTAFStock[WeekIndex],103),CY48+'Grid_Incoming'!CZ48-'Grid_Requirement'!CZ48))</f>
        <v/>
      </c>
      <c r="DA48">
        <f>IF(COUNTIFS(T_StockCount[RM_Code],$A48,T_StockCount[WeekIndex],104)&gt;0,SUMIFS(T_StockCount[CountedQty],T_StockCount[RM_Code],$A48,T_StockCount[WeekIndex],104),IF((COUNTIFS(T_SelfStock[RM_Code],$A48,T_SelfStock[WeekIndex],104)&gt;0)*(COUNTIFS(T_TTAFStock[RM_Code],$A48,T_TTAFStock[WeekIndex],104)&gt;0)&gt;0,SUMIFS(T_SelfStock[Self_Qty],T_SelfStock[RM_Code],$A48,T_SelfStock[WeekIndex],104)+SUMIFS(T_TTAFStock[TTAF_Qty],T_TTAFStock[RM_Code],$A48,T_TTAFStock[WeekIndex],104),CZ48+'Grid_Incoming'!DA48-'Grid_Requirement'!DA48))</f>
        <v/>
      </c>
    </row>
    <row r="49">
      <c r="A49" t="inlineStr">
        <is>
          <t>CHEM-1470</t>
        </is>
      </c>
      <c r="B49">
        <f>IF(COUNTIFS(T_StockCount[RM_Code],$A49,T_StockCount[WeekIndex],1)&gt;0,SUMIFS(T_StockCount[CountedQty],T_StockCount[RM_Code],$A49,T_StockCount[WeekIndex],1),IF((COUNTIFS(T_SelfStock[RM_Code],$A49,T_SelfStock[WeekIndex],1)&gt;0)*(COUNTIFS(T_TTAFStock[RM_Code],$A49,T_TTAFStock[WeekIndex],1)&gt;0)&gt;0,SUMIFS(T_SelfStock[Self_Qty],T_SelfStock[RM_Code],$A49,T_SelfStock[WeekIndex],1)+SUMIFS(T_TTAFStock[TTAF_Qty],T_TTAFStock[RM_Code],$A49,T_TTAFStock[WeekIndex],1),IFERROR(INDEX(T_OpeningStock[Opening_Qty],MATCH($A49,T_OpeningStock[RM_Code],0)),0)+'Grid_Incoming'!B49-'Grid_Requirement'!B49))</f>
        <v/>
      </c>
      <c r="C49">
        <f>IF(COUNTIFS(T_StockCount[RM_Code],$A49,T_StockCount[WeekIndex],2)&gt;0,SUMIFS(T_StockCount[CountedQty],T_StockCount[RM_Code],$A49,T_StockCount[WeekIndex],2),IF((COUNTIFS(T_SelfStock[RM_Code],$A49,T_SelfStock[WeekIndex],2)&gt;0)*(COUNTIFS(T_TTAFStock[RM_Code],$A49,T_TTAFStock[WeekIndex],2)&gt;0)&gt;0,SUMIFS(T_SelfStock[Self_Qty],T_SelfStock[RM_Code],$A49,T_SelfStock[WeekIndex],2)+SUMIFS(T_TTAFStock[TTAF_Qty],T_TTAFStock[RM_Code],$A49,T_TTAFStock[WeekIndex],2),B49+'Grid_Incoming'!C49-'Grid_Requirement'!C49))</f>
        <v/>
      </c>
      <c r="D49">
        <f>IF(COUNTIFS(T_StockCount[RM_Code],$A49,T_StockCount[WeekIndex],3)&gt;0,SUMIFS(T_StockCount[CountedQty],T_StockCount[RM_Code],$A49,T_StockCount[WeekIndex],3),IF((COUNTIFS(T_SelfStock[RM_Code],$A49,T_SelfStock[WeekIndex],3)&gt;0)*(COUNTIFS(T_TTAFStock[RM_Code],$A49,T_TTAFStock[WeekIndex],3)&gt;0)&gt;0,SUMIFS(T_SelfStock[Self_Qty],T_SelfStock[RM_Code],$A49,T_SelfStock[WeekIndex],3)+SUMIFS(T_TTAFStock[TTAF_Qty],T_TTAFStock[RM_Code],$A49,T_TTAFStock[WeekIndex],3),C49+'Grid_Incoming'!D49-'Grid_Requirement'!D49))</f>
        <v/>
      </c>
      <c r="E49">
        <f>IF(COUNTIFS(T_StockCount[RM_Code],$A49,T_StockCount[WeekIndex],4)&gt;0,SUMIFS(T_StockCount[CountedQty],T_StockCount[RM_Code],$A49,T_StockCount[WeekIndex],4),IF((COUNTIFS(T_SelfStock[RM_Code],$A49,T_SelfStock[WeekIndex],4)&gt;0)*(COUNTIFS(T_TTAFStock[RM_Code],$A49,T_TTAFStock[WeekIndex],4)&gt;0)&gt;0,SUMIFS(T_SelfStock[Self_Qty],T_SelfStock[RM_Code],$A49,T_SelfStock[WeekIndex],4)+SUMIFS(T_TTAFStock[TTAF_Qty],T_TTAFStock[RM_Code],$A49,T_TTAFStock[WeekIndex],4),D49+'Grid_Incoming'!E49-'Grid_Requirement'!E49))</f>
        <v/>
      </c>
      <c r="F49">
        <f>IF(COUNTIFS(T_StockCount[RM_Code],$A49,T_StockCount[WeekIndex],5)&gt;0,SUMIFS(T_StockCount[CountedQty],T_StockCount[RM_Code],$A49,T_StockCount[WeekIndex],5),IF((COUNTIFS(T_SelfStock[RM_Code],$A49,T_SelfStock[WeekIndex],5)&gt;0)*(COUNTIFS(T_TTAFStock[RM_Code],$A49,T_TTAFStock[WeekIndex],5)&gt;0)&gt;0,SUMIFS(T_SelfStock[Self_Qty],T_SelfStock[RM_Code],$A49,T_SelfStock[WeekIndex],5)+SUMIFS(T_TTAFStock[TTAF_Qty],T_TTAFStock[RM_Code],$A49,T_TTAFStock[WeekIndex],5),E49+'Grid_Incoming'!F49-'Grid_Requirement'!F49))</f>
        <v/>
      </c>
      <c r="G49">
        <f>IF(COUNTIFS(T_StockCount[RM_Code],$A49,T_StockCount[WeekIndex],6)&gt;0,SUMIFS(T_StockCount[CountedQty],T_StockCount[RM_Code],$A49,T_StockCount[WeekIndex],6),IF((COUNTIFS(T_SelfStock[RM_Code],$A49,T_SelfStock[WeekIndex],6)&gt;0)*(COUNTIFS(T_TTAFStock[RM_Code],$A49,T_TTAFStock[WeekIndex],6)&gt;0)&gt;0,SUMIFS(T_SelfStock[Self_Qty],T_SelfStock[RM_Code],$A49,T_SelfStock[WeekIndex],6)+SUMIFS(T_TTAFStock[TTAF_Qty],T_TTAFStock[RM_Code],$A49,T_TTAFStock[WeekIndex],6),F49+'Grid_Incoming'!G49-'Grid_Requirement'!G49))</f>
        <v/>
      </c>
      <c r="H49">
        <f>IF(COUNTIFS(T_StockCount[RM_Code],$A49,T_StockCount[WeekIndex],7)&gt;0,SUMIFS(T_StockCount[CountedQty],T_StockCount[RM_Code],$A49,T_StockCount[WeekIndex],7),IF((COUNTIFS(T_SelfStock[RM_Code],$A49,T_SelfStock[WeekIndex],7)&gt;0)*(COUNTIFS(T_TTAFStock[RM_Code],$A49,T_TTAFStock[WeekIndex],7)&gt;0)&gt;0,SUMIFS(T_SelfStock[Self_Qty],T_SelfStock[RM_Code],$A49,T_SelfStock[WeekIndex],7)+SUMIFS(T_TTAFStock[TTAF_Qty],T_TTAFStock[RM_Code],$A49,T_TTAFStock[WeekIndex],7),G49+'Grid_Incoming'!H49-'Grid_Requirement'!H49))</f>
        <v/>
      </c>
      <c r="I49">
        <f>IF(COUNTIFS(T_StockCount[RM_Code],$A49,T_StockCount[WeekIndex],8)&gt;0,SUMIFS(T_StockCount[CountedQty],T_StockCount[RM_Code],$A49,T_StockCount[WeekIndex],8),IF((COUNTIFS(T_SelfStock[RM_Code],$A49,T_SelfStock[WeekIndex],8)&gt;0)*(COUNTIFS(T_TTAFStock[RM_Code],$A49,T_TTAFStock[WeekIndex],8)&gt;0)&gt;0,SUMIFS(T_SelfStock[Self_Qty],T_SelfStock[RM_Code],$A49,T_SelfStock[WeekIndex],8)+SUMIFS(T_TTAFStock[TTAF_Qty],T_TTAFStock[RM_Code],$A49,T_TTAFStock[WeekIndex],8),H49+'Grid_Incoming'!I49-'Grid_Requirement'!I49))</f>
        <v/>
      </c>
      <c r="J49">
        <f>IF(COUNTIFS(T_StockCount[RM_Code],$A49,T_StockCount[WeekIndex],9)&gt;0,SUMIFS(T_StockCount[CountedQty],T_StockCount[RM_Code],$A49,T_StockCount[WeekIndex],9),IF((COUNTIFS(T_SelfStock[RM_Code],$A49,T_SelfStock[WeekIndex],9)&gt;0)*(COUNTIFS(T_TTAFStock[RM_Code],$A49,T_TTAFStock[WeekIndex],9)&gt;0)&gt;0,SUMIFS(T_SelfStock[Self_Qty],T_SelfStock[RM_Code],$A49,T_SelfStock[WeekIndex],9)+SUMIFS(T_TTAFStock[TTAF_Qty],T_TTAFStock[RM_Code],$A49,T_TTAFStock[WeekIndex],9),I49+'Grid_Incoming'!J49-'Grid_Requirement'!J49))</f>
        <v/>
      </c>
      <c r="K49">
        <f>IF(COUNTIFS(T_StockCount[RM_Code],$A49,T_StockCount[WeekIndex],10)&gt;0,SUMIFS(T_StockCount[CountedQty],T_StockCount[RM_Code],$A49,T_StockCount[WeekIndex],10),IF((COUNTIFS(T_SelfStock[RM_Code],$A49,T_SelfStock[WeekIndex],10)&gt;0)*(COUNTIFS(T_TTAFStock[RM_Code],$A49,T_TTAFStock[WeekIndex],10)&gt;0)&gt;0,SUMIFS(T_SelfStock[Self_Qty],T_SelfStock[RM_Code],$A49,T_SelfStock[WeekIndex],10)+SUMIFS(T_TTAFStock[TTAF_Qty],T_TTAFStock[RM_Code],$A49,T_TTAFStock[WeekIndex],10),J49+'Grid_Incoming'!K49-'Grid_Requirement'!K49))</f>
        <v/>
      </c>
      <c r="L49">
        <f>IF(COUNTIFS(T_StockCount[RM_Code],$A49,T_StockCount[WeekIndex],11)&gt;0,SUMIFS(T_StockCount[CountedQty],T_StockCount[RM_Code],$A49,T_StockCount[WeekIndex],11),IF((COUNTIFS(T_SelfStock[RM_Code],$A49,T_SelfStock[WeekIndex],11)&gt;0)*(COUNTIFS(T_TTAFStock[RM_Code],$A49,T_TTAFStock[WeekIndex],11)&gt;0)&gt;0,SUMIFS(T_SelfStock[Self_Qty],T_SelfStock[RM_Code],$A49,T_SelfStock[WeekIndex],11)+SUMIFS(T_TTAFStock[TTAF_Qty],T_TTAFStock[RM_Code],$A49,T_TTAFStock[WeekIndex],11),K49+'Grid_Incoming'!L49-'Grid_Requirement'!L49))</f>
        <v/>
      </c>
      <c r="M49">
        <f>IF(COUNTIFS(T_StockCount[RM_Code],$A49,T_StockCount[WeekIndex],12)&gt;0,SUMIFS(T_StockCount[CountedQty],T_StockCount[RM_Code],$A49,T_StockCount[WeekIndex],12),IF((COUNTIFS(T_SelfStock[RM_Code],$A49,T_SelfStock[WeekIndex],12)&gt;0)*(COUNTIFS(T_TTAFStock[RM_Code],$A49,T_TTAFStock[WeekIndex],12)&gt;0)&gt;0,SUMIFS(T_SelfStock[Self_Qty],T_SelfStock[RM_Code],$A49,T_SelfStock[WeekIndex],12)+SUMIFS(T_TTAFStock[TTAF_Qty],T_TTAFStock[RM_Code],$A49,T_TTAFStock[WeekIndex],12),L49+'Grid_Incoming'!M49-'Grid_Requirement'!M49))</f>
        <v/>
      </c>
      <c r="N49">
        <f>IF(COUNTIFS(T_StockCount[RM_Code],$A49,T_StockCount[WeekIndex],13)&gt;0,SUMIFS(T_StockCount[CountedQty],T_StockCount[RM_Code],$A49,T_StockCount[WeekIndex],13),IF((COUNTIFS(T_SelfStock[RM_Code],$A49,T_SelfStock[WeekIndex],13)&gt;0)*(COUNTIFS(T_TTAFStock[RM_Code],$A49,T_TTAFStock[WeekIndex],13)&gt;0)&gt;0,SUMIFS(T_SelfStock[Self_Qty],T_SelfStock[RM_Code],$A49,T_SelfStock[WeekIndex],13)+SUMIFS(T_TTAFStock[TTAF_Qty],T_TTAFStock[RM_Code],$A49,T_TTAFStock[WeekIndex],13),M49+'Grid_Incoming'!N49-'Grid_Requirement'!N49))</f>
        <v/>
      </c>
      <c r="O49">
        <f>IF(COUNTIFS(T_StockCount[RM_Code],$A49,T_StockCount[WeekIndex],14)&gt;0,SUMIFS(T_StockCount[CountedQty],T_StockCount[RM_Code],$A49,T_StockCount[WeekIndex],14),IF((COUNTIFS(T_SelfStock[RM_Code],$A49,T_SelfStock[WeekIndex],14)&gt;0)*(COUNTIFS(T_TTAFStock[RM_Code],$A49,T_TTAFStock[WeekIndex],14)&gt;0)&gt;0,SUMIFS(T_SelfStock[Self_Qty],T_SelfStock[RM_Code],$A49,T_SelfStock[WeekIndex],14)+SUMIFS(T_TTAFStock[TTAF_Qty],T_TTAFStock[RM_Code],$A49,T_TTAFStock[WeekIndex],14),N49+'Grid_Incoming'!O49-'Grid_Requirement'!O49))</f>
        <v/>
      </c>
      <c r="P49">
        <f>IF(COUNTIFS(T_StockCount[RM_Code],$A49,T_StockCount[WeekIndex],15)&gt;0,SUMIFS(T_StockCount[CountedQty],T_StockCount[RM_Code],$A49,T_StockCount[WeekIndex],15),IF((COUNTIFS(T_SelfStock[RM_Code],$A49,T_SelfStock[WeekIndex],15)&gt;0)*(COUNTIFS(T_TTAFStock[RM_Code],$A49,T_TTAFStock[WeekIndex],15)&gt;0)&gt;0,SUMIFS(T_SelfStock[Self_Qty],T_SelfStock[RM_Code],$A49,T_SelfStock[WeekIndex],15)+SUMIFS(T_TTAFStock[TTAF_Qty],T_TTAFStock[RM_Code],$A49,T_TTAFStock[WeekIndex],15),O49+'Grid_Incoming'!P49-'Grid_Requirement'!P49))</f>
        <v/>
      </c>
      <c r="Q49">
        <f>IF(COUNTIFS(T_StockCount[RM_Code],$A49,T_StockCount[WeekIndex],16)&gt;0,SUMIFS(T_StockCount[CountedQty],T_StockCount[RM_Code],$A49,T_StockCount[WeekIndex],16),IF((COUNTIFS(T_SelfStock[RM_Code],$A49,T_SelfStock[WeekIndex],16)&gt;0)*(COUNTIFS(T_TTAFStock[RM_Code],$A49,T_TTAFStock[WeekIndex],16)&gt;0)&gt;0,SUMIFS(T_SelfStock[Self_Qty],T_SelfStock[RM_Code],$A49,T_SelfStock[WeekIndex],16)+SUMIFS(T_TTAFStock[TTAF_Qty],T_TTAFStock[RM_Code],$A49,T_TTAFStock[WeekIndex],16),P49+'Grid_Incoming'!Q49-'Grid_Requirement'!Q49))</f>
        <v/>
      </c>
      <c r="R49">
        <f>IF(COUNTIFS(T_StockCount[RM_Code],$A49,T_StockCount[WeekIndex],17)&gt;0,SUMIFS(T_StockCount[CountedQty],T_StockCount[RM_Code],$A49,T_StockCount[WeekIndex],17),IF((COUNTIFS(T_SelfStock[RM_Code],$A49,T_SelfStock[WeekIndex],17)&gt;0)*(COUNTIFS(T_TTAFStock[RM_Code],$A49,T_TTAFStock[WeekIndex],17)&gt;0)&gt;0,SUMIFS(T_SelfStock[Self_Qty],T_SelfStock[RM_Code],$A49,T_SelfStock[WeekIndex],17)+SUMIFS(T_TTAFStock[TTAF_Qty],T_TTAFStock[RM_Code],$A49,T_TTAFStock[WeekIndex],17),Q49+'Grid_Incoming'!R49-'Grid_Requirement'!R49))</f>
        <v/>
      </c>
      <c r="S49">
        <f>IF(COUNTIFS(T_StockCount[RM_Code],$A49,T_StockCount[WeekIndex],18)&gt;0,SUMIFS(T_StockCount[CountedQty],T_StockCount[RM_Code],$A49,T_StockCount[WeekIndex],18),IF((COUNTIFS(T_SelfStock[RM_Code],$A49,T_SelfStock[WeekIndex],18)&gt;0)*(COUNTIFS(T_TTAFStock[RM_Code],$A49,T_TTAFStock[WeekIndex],18)&gt;0)&gt;0,SUMIFS(T_SelfStock[Self_Qty],T_SelfStock[RM_Code],$A49,T_SelfStock[WeekIndex],18)+SUMIFS(T_TTAFStock[TTAF_Qty],T_TTAFStock[RM_Code],$A49,T_TTAFStock[WeekIndex],18),R49+'Grid_Incoming'!S49-'Grid_Requirement'!S49))</f>
        <v/>
      </c>
      <c r="T49">
        <f>IF(COUNTIFS(T_StockCount[RM_Code],$A49,T_StockCount[WeekIndex],19)&gt;0,SUMIFS(T_StockCount[CountedQty],T_StockCount[RM_Code],$A49,T_StockCount[WeekIndex],19),IF((COUNTIFS(T_SelfStock[RM_Code],$A49,T_SelfStock[WeekIndex],19)&gt;0)*(COUNTIFS(T_TTAFStock[RM_Code],$A49,T_TTAFStock[WeekIndex],19)&gt;0)&gt;0,SUMIFS(T_SelfStock[Self_Qty],T_SelfStock[RM_Code],$A49,T_SelfStock[WeekIndex],19)+SUMIFS(T_TTAFStock[TTAF_Qty],T_TTAFStock[RM_Code],$A49,T_TTAFStock[WeekIndex],19),S49+'Grid_Incoming'!T49-'Grid_Requirement'!T49))</f>
        <v/>
      </c>
      <c r="U49">
        <f>IF(COUNTIFS(T_StockCount[RM_Code],$A49,T_StockCount[WeekIndex],20)&gt;0,SUMIFS(T_StockCount[CountedQty],T_StockCount[RM_Code],$A49,T_StockCount[WeekIndex],20),IF((COUNTIFS(T_SelfStock[RM_Code],$A49,T_SelfStock[WeekIndex],20)&gt;0)*(COUNTIFS(T_TTAFStock[RM_Code],$A49,T_TTAFStock[WeekIndex],20)&gt;0)&gt;0,SUMIFS(T_SelfStock[Self_Qty],T_SelfStock[RM_Code],$A49,T_SelfStock[WeekIndex],20)+SUMIFS(T_TTAFStock[TTAF_Qty],T_TTAFStock[RM_Code],$A49,T_TTAFStock[WeekIndex],20),T49+'Grid_Incoming'!U49-'Grid_Requirement'!U49))</f>
        <v/>
      </c>
      <c r="V49">
        <f>IF(COUNTIFS(T_StockCount[RM_Code],$A49,T_StockCount[WeekIndex],21)&gt;0,SUMIFS(T_StockCount[CountedQty],T_StockCount[RM_Code],$A49,T_StockCount[WeekIndex],21),IF((COUNTIFS(T_SelfStock[RM_Code],$A49,T_SelfStock[WeekIndex],21)&gt;0)*(COUNTIFS(T_TTAFStock[RM_Code],$A49,T_TTAFStock[WeekIndex],21)&gt;0)&gt;0,SUMIFS(T_SelfStock[Self_Qty],T_SelfStock[RM_Code],$A49,T_SelfStock[WeekIndex],21)+SUMIFS(T_TTAFStock[TTAF_Qty],T_TTAFStock[RM_Code],$A49,T_TTAFStock[WeekIndex],21),U49+'Grid_Incoming'!V49-'Grid_Requirement'!V49))</f>
        <v/>
      </c>
      <c r="W49">
        <f>IF(COUNTIFS(T_StockCount[RM_Code],$A49,T_StockCount[WeekIndex],22)&gt;0,SUMIFS(T_StockCount[CountedQty],T_StockCount[RM_Code],$A49,T_StockCount[WeekIndex],22),IF((COUNTIFS(T_SelfStock[RM_Code],$A49,T_SelfStock[WeekIndex],22)&gt;0)*(COUNTIFS(T_TTAFStock[RM_Code],$A49,T_TTAFStock[WeekIndex],22)&gt;0)&gt;0,SUMIFS(T_SelfStock[Self_Qty],T_SelfStock[RM_Code],$A49,T_SelfStock[WeekIndex],22)+SUMIFS(T_TTAFStock[TTAF_Qty],T_TTAFStock[RM_Code],$A49,T_TTAFStock[WeekIndex],22),V49+'Grid_Incoming'!W49-'Grid_Requirement'!W49))</f>
        <v/>
      </c>
      <c r="X49">
        <f>IF(COUNTIFS(T_StockCount[RM_Code],$A49,T_StockCount[WeekIndex],23)&gt;0,SUMIFS(T_StockCount[CountedQty],T_StockCount[RM_Code],$A49,T_StockCount[WeekIndex],23),IF((COUNTIFS(T_SelfStock[RM_Code],$A49,T_SelfStock[WeekIndex],23)&gt;0)*(COUNTIFS(T_TTAFStock[RM_Code],$A49,T_TTAFStock[WeekIndex],23)&gt;0)&gt;0,SUMIFS(T_SelfStock[Self_Qty],T_SelfStock[RM_Code],$A49,T_SelfStock[WeekIndex],23)+SUMIFS(T_TTAFStock[TTAF_Qty],T_TTAFStock[RM_Code],$A49,T_TTAFStock[WeekIndex],23),W49+'Grid_Incoming'!X49-'Grid_Requirement'!X49))</f>
        <v/>
      </c>
      <c r="Y49">
        <f>IF(COUNTIFS(T_StockCount[RM_Code],$A49,T_StockCount[WeekIndex],24)&gt;0,SUMIFS(T_StockCount[CountedQty],T_StockCount[RM_Code],$A49,T_StockCount[WeekIndex],24),IF((COUNTIFS(T_SelfStock[RM_Code],$A49,T_SelfStock[WeekIndex],24)&gt;0)*(COUNTIFS(T_TTAFStock[RM_Code],$A49,T_TTAFStock[WeekIndex],24)&gt;0)&gt;0,SUMIFS(T_SelfStock[Self_Qty],T_SelfStock[RM_Code],$A49,T_SelfStock[WeekIndex],24)+SUMIFS(T_TTAFStock[TTAF_Qty],T_TTAFStock[RM_Code],$A49,T_TTAFStock[WeekIndex],24),X49+'Grid_Incoming'!Y49-'Grid_Requirement'!Y49))</f>
        <v/>
      </c>
      <c r="Z49">
        <f>IF(COUNTIFS(T_StockCount[RM_Code],$A49,T_StockCount[WeekIndex],25)&gt;0,SUMIFS(T_StockCount[CountedQty],T_StockCount[RM_Code],$A49,T_StockCount[WeekIndex],25),IF((COUNTIFS(T_SelfStock[RM_Code],$A49,T_SelfStock[WeekIndex],25)&gt;0)*(COUNTIFS(T_TTAFStock[RM_Code],$A49,T_TTAFStock[WeekIndex],25)&gt;0)&gt;0,SUMIFS(T_SelfStock[Self_Qty],T_SelfStock[RM_Code],$A49,T_SelfStock[WeekIndex],25)+SUMIFS(T_TTAFStock[TTAF_Qty],T_TTAFStock[RM_Code],$A49,T_TTAFStock[WeekIndex],25),Y49+'Grid_Incoming'!Z49-'Grid_Requirement'!Z49))</f>
        <v/>
      </c>
      <c r="AA49">
        <f>IF(COUNTIFS(T_StockCount[RM_Code],$A49,T_StockCount[WeekIndex],26)&gt;0,SUMIFS(T_StockCount[CountedQty],T_StockCount[RM_Code],$A49,T_StockCount[WeekIndex],26),IF((COUNTIFS(T_SelfStock[RM_Code],$A49,T_SelfStock[WeekIndex],26)&gt;0)*(COUNTIFS(T_TTAFStock[RM_Code],$A49,T_TTAFStock[WeekIndex],26)&gt;0)&gt;0,SUMIFS(T_SelfStock[Self_Qty],T_SelfStock[RM_Code],$A49,T_SelfStock[WeekIndex],26)+SUMIFS(T_TTAFStock[TTAF_Qty],T_TTAFStock[RM_Code],$A49,T_TTAFStock[WeekIndex],26),Z49+'Grid_Incoming'!AA49-'Grid_Requirement'!AA49))</f>
        <v/>
      </c>
      <c r="AB49">
        <f>IF(COUNTIFS(T_StockCount[RM_Code],$A49,T_StockCount[WeekIndex],27)&gt;0,SUMIFS(T_StockCount[CountedQty],T_StockCount[RM_Code],$A49,T_StockCount[WeekIndex],27),IF((COUNTIFS(T_SelfStock[RM_Code],$A49,T_SelfStock[WeekIndex],27)&gt;0)*(COUNTIFS(T_TTAFStock[RM_Code],$A49,T_TTAFStock[WeekIndex],27)&gt;0)&gt;0,SUMIFS(T_SelfStock[Self_Qty],T_SelfStock[RM_Code],$A49,T_SelfStock[WeekIndex],27)+SUMIFS(T_TTAFStock[TTAF_Qty],T_TTAFStock[RM_Code],$A49,T_TTAFStock[WeekIndex],27),AA49+'Grid_Incoming'!AB49-'Grid_Requirement'!AB49))</f>
        <v/>
      </c>
      <c r="AC49">
        <f>IF(COUNTIFS(T_StockCount[RM_Code],$A49,T_StockCount[WeekIndex],28)&gt;0,SUMIFS(T_StockCount[CountedQty],T_StockCount[RM_Code],$A49,T_StockCount[WeekIndex],28),IF((COUNTIFS(T_SelfStock[RM_Code],$A49,T_SelfStock[WeekIndex],28)&gt;0)*(COUNTIFS(T_TTAFStock[RM_Code],$A49,T_TTAFStock[WeekIndex],28)&gt;0)&gt;0,SUMIFS(T_SelfStock[Self_Qty],T_SelfStock[RM_Code],$A49,T_SelfStock[WeekIndex],28)+SUMIFS(T_TTAFStock[TTAF_Qty],T_TTAFStock[RM_Code],$A49,T_TTAFStock[WeekIndex],28),AB49+'Grid_Incoming'!AC49-'Grid_Requirement'!AC49))</f>
        <v/>
      </c>
      <c r="AD49">
        <f>IF(COUNTIFS(T_StockCount[RM_Code],$A49,T_StockCount[WeekIndex],29)&gt;0,SUMIFS(T_StockCount[CountedQty],T_StockCount[RM_Code],$A49,T_StockCount[WeekIndex],29),IF((COUNTIFS(T_SelfStock[RM_Code],$A49,T_SelfStock[WeekIndex],29)&gt;0)*(COUNTIFS(T_TTAFStock[RM_Code],$A49,T_TTAFStock[WeekIndex],29)&gt;0)&gt;0,SUMIFS(T_SelfStock[Self_Qty],T_SelfStock[RM_Code],$A49,T_SelfStock[WeekIndex],29)+SUMIFS(T_TTAFStock[TTAF_Qty],T_TTAFStock[RM_Code],$A49,T_TTAFStock[WeekIndex],29),AC49+'Grid_Incoming'!AD49-'Grid_Requirement'!AD49))</f>
        <v/>
      </c>
      <c r="AE49">
        <f>IF(COUNTIFS(T_StockCount[RM_Code],$A49,T_StockCount[WeekIndex],30)&gt;0,SUMIFS(T_StockCount[CountedQty],T_StockCount[RM_Code],$A49,T_StockCount[WeekIndex],30),IF((COUNTIFS(T_SelfStock[RM_Code],$A49,T_SelfStock[WeekIndex],30)&gt;0)*(COUNTIFS(T_TTAFStock[RM_Code],$A49,T_TTAFStock[WeekIndex],30)&gt;0)&gt;0,SUMIFS(T_SelfStock[Self_Qty],T_SelfStock[RM_Code],$A49,T_SelfStock[WeekIndex],30)+SUMIFS(T_TTAFStock[TTAF_Qty],T_TTAFStock[RM_Code],$A49,T_TTAFStock[WeekIndex],30),AD49+'Grid_Incoming'!AE49-'Grid_Requirement'!AE49))</f>
        <v/>
      </c>
      <c r="AF49">
        <f>IF(COUNTIFS(T_StockCount[RM_Code],$A49,T_StockCount[WeekIndex],31)&gt;0,SUMIFS(T_StockCount[CountedQty],T_StockCount[RM_Code],$A49,T_StockCount[WeekIndex],31),IF((COUNTIFS(T_SelfStock[RM_Code],$A49,T_SelfStock[WeekIndex],31)&gt;0)*(COUNTIFS(T_TTAFStock[RM_Code],$A49,T_TTAFStock[WeekIndex],31)&gt;0)&gt;0,SUMIFS(T_SelfStock[Self_Qty],T_SelfStock[RM_Code],$A49,T_SelfStock[WeekIndex],31)+SUMIFS(T_TTAFStock[TTAF_Qty],T_TTAFStock[RM_Code],$A49,T_TTAFStock[WeekIndex],31),AE49+'Grid_Incoming'!AF49-'Grid_Requirement'!AF49))</f>
        <v/>
      </c>
      <c r="AG49">
        <f>IF(COUNTIFS(T_StockCount[RM_Code],$A49,T_StockCount[WeekIndex],32)&gt;0,SUMIFS(T_StockCount[CountedQty],T_StockCount[RM_Code],$A49,T_StockCount[WeekIndex],32),IF((COUNTIFS(T_SelfStock[RM_Code],$A49,T_SelfStock[WeekIndex],32)&gt;0)*(COUNTIFS(T_TTAFStock[RM_Code],$A49,T_TTAFStock[WeekIndex],32)&gt;0)&gt;0,SUMIFS(T_SelfStock[Self_Qty],T_SelfStock[RM_Code],$A49,T_SelfStock[WeekIndex],32)+SUMIFS(T_TTAFStock[TTAF_Qty],T_TTAFStock[RM_Code],$A49,T_TTAFStock[WeekIndex],32),AF49+'Grid_Incoming'!AG49-'Grid_Requirement'!AG49))</f>
        <v/>
      </c>
      <c r="AH49">
        <f>IF(COUNTIFS(T_StockCount[RM_Code],$A49,T_StockCount[WeekIndex],33)&gt;0,SUMIFS(T_StockCount[CountedQty],T_StockCount[RM_Code],$A49,T_StockCount[WeekIndex],33),IF((COUNTIFS(T_SelfStock[RM_Code],$A49,T_SelfStock[WeekIndex],33)&gt;0)*(COUNTIFS(T_TTAFStock[RM_Code],$A49,T_TTAFStock[WeekIndex],33)&gt;0)&gt;0,SUMIFS(T_SelfStock[Self_Qty],T_SelfStock[RM_Code],$A49,T_SelfStock[WeekIndex],33)+SUMIFS(T_TTAFStock[TTAF_Qty],T_TTAFStock[RM_Code],$A49,T_TTAFStock[WeekIndex],33),AG49+'Grid_Incoming'!AH49-'Grid_Requirement'!AH49))</f>
        <v/>
      </c>
      <c r="AI49">
        <f>IF(COUNTIFS(T_StockCount[RM_Code],$A49,T_StockCount[WeekIndex],34)&gt;0,SUMIFS(T_StockCount[CountedQty],T_StockCount[RM_Code],$A49,T_StockCount[WeekIndex],34),IF((COUNTIFS(T_SelfStock[RM_Code],$A49,T_SelfStock[WeekIndex],34)&gt;0)*(COUNTIFS(T_TTAFStock[RM_Code],$A49,T_TTAFStock[WeekIndex],34)&gt;0)&gt;0,SUMIFS(T_SelfStock[Self_Qty],T_SelfStock[RM_Code],$A49,T_SelfStock[WeekIndex],34)+SUMIFS(T_TTAFStock[TTAF_Qty],T_TTAFStock[RM_Code],$A49,T_TTAFStock[WeekIndex],34),AH49+'Grid_Incoming'!AI49-'Grid_Requirement'!AI49))</f>
        <v/>
      </c>
      <c r="AJ49">
        <f>IF(COUNTIFS(T_StockCount[RM_Code],$A49,T_StockCount[WeekIndex],35)&gt;0,SUMIFS(T_StockCount[CountedQty],T_StockCount[RM_Code],$A49,T_StockCount[WeekIndex],35),IF((COUNTIFS(T_SelfStock[RM_Code],$A49,T_SelfStock[WeekIndex],35)&gt;0)*(COUNTIFS(T_TTAFStock[RM_Code],$A49,T_TTAFStock[WeekIndex],35)&gt;0)&gt;0,SUMIFS(T_SelfStock[Self_Qty],T_SelfStock[RM_Code],$A49,T_SelfStock[WeekIndex],35)+SUMIFS(T_TTAFStock[TTAF_Qty],T_TTAFStock[RM_Code],$A49,T_TTAFStock[WeekIndex],35),AI49+'Grid_Incoming'!AJ49-'Grid_Requirement'!AJ49))</f>
        <v/>
      </c>
      <c r="AK49">
        <f>IF(COUNTIFS(T_StockCount[RM_Code],$A49,T_StockCount[WeekIndex],36)&gt;0,SUMIFS(T_StockCount[CountedQty],T_StockCount[RM_Code],$A49,T_StockCount[WeekIndex],36),IF((COUNTIFS(T_SelfStock[RM_Code],$A49,T_SelfStock[WeekIndex],36)&gt;0)*(COUNTIFS(T_TTAFStock[RM_Code],$A49,T_TTAFStock[WeekIndex],36)&gt;0)&gt;0,SUMIFS(T_SelfStock[Self_Qty],T_SelfStock[RM_Code],$A49,T_SelfStock[WeekIndex],36)+SUMIFS(T_TTAFStock[TTAF_Qty],T_TTAFStock[RM_Code],$A49,T_TTAFStock[WeekIndex],36),AJ49+'Grid_Incoming'!AK49-'Grid_Requirement'!AK49))</f>
        <v/>
      </c>
      <c r="AL49">
        <f>IF(COUNTIFS(T_StockCount[RM_Code],$A49,T_StockCount[WeekIndex],37)&gt;0,SUMIFS(T_StockCount[CountedQty],T_StockCount[RM_Code],$A49,T_StockCount[WeekIndex],37),IF((COUNTIFS(T_SelfStock[RM_Code],$A49,T_SelfStock[WeekIndex],37)&gt;0)*(COUNTIFS(T_TTAFStock[RM_Code],$A49,T_TTAFStock[WeekIndex],37)&gt;0)&gt;0,SUMIFS(T_SelfStock[Self_Qty],T_SelfStock[RM_Code],$A49,T_SelfStock[WeekIndex],37)+SUMIFS(T_TTAFStock[TTAF_Qty],T_TTAFStock[RM_Code],$A49,T_TTAFStock[WeekIndex],37),AK49+'Grid_Incoming'!AL49-'Grid_Requirement'!AL49))</f>
        <v/>
      </c>
      <c r="AM49">
        <f>IF(COUNTIFS(T_StockCount[RM_Code],$A49,T_StockCount[WeekIndex],38)&gt;0,SUMIFS(T_StockCount[CountedQty],T_StockCount[RM_Code],$A49,T_StockCount[WeekIndex],38),IF((COUNTIFS(T_SelfStock[RM_Code],$A49,T_SelfStock[WeekIndex],38)&gt;0)*(COUNTIFS(T_TTAFStock[RM_Code],$A49,T_TTAFStock[WeekIndex],38)&gt;0)&gt;0,SUMIFS(T_SelfStock[Self_Qty],T_SelfStock[RM_Code],$A49,T_SelfStock[WeekIndex],38)+SUMIFS(T_TTAFStock[TTAF_Qty],T_TTAFStock[RM_Code],$A49,T_TTAFStock[WeekIndex],38),AL49+'Grid_Incoming'!AM49-'Grid_Requirement'!AM49))</f>
        <v/>
      </c>
      <c r="AN49">
        <f>IF(COUNTIFS(T_StockCount[RM_Code],$A49,T_StockCount[WeekIndex],39)&gt;0,SUMIFS(T_StockCount[CountedQty],T_StockCount[RM_Code],$A49,T_StockCount[WeekIndex],39),IF((COUNTIFS(T_SelfStock[RM_Code],$A49,T_SelfStock[WeekIndex],39)&gt;0)*(COUNTIFS(T_TTAFStock[RM_Code],$A49,T_TTAFStock[WeekIndex],39)&gt;0)&gt;0,SUMIFS(T_SelfStock[Self_Qty],T_SelfStock[RM_Code],$A49,T_SelfStock[WeekIndex],39)+SUMIFS(T_TTAFStock[TTAF_Qty],T_TTAFStock[RM_Code],$A49,T_TTAFStock[WeekIndex],39),AM49+'Grid_Incoming'!AN49-'Grid_Requirement'!AN49))</f>
        <v/>
      </c>
      <c r="AO49">
        <f>IF(COUNTIFS(T_StockCount[RM_Code],$A49,T_StockCount[WeekIndex],40)&gt;0,SUMIFS(T_StockCount[CountedQty],T_StockCount[RM_Code],$A49,T_StockCount[WeekIndex],40),IF((COUNTIFS(T_SelfStock[RM_Code],$A49,T_SelfStock[WeekIndex],40)&gt;0)*(COUNTIFS(T_TTAFStock[RM_Code],$A49,T_TTAFStock[WeekIndex],40)&gt;0)&gt;0,SUMIFS(T_SelfStock[Self_Qty],T_SelfStock[RM_Code],$A49,T_SelfStock[WeekIndex],40)+SUMIFS(T_TTAFStock[TTAF_Qty],T_TTAFStock[RM_Code],$A49,T_TTAFStock[WeekIndex],40),AN49+'Grid_Incoming'!AO49-'Grid_Requirement'!AO49))</f>
        <v/>
      </c>
      <c r="AP49">
        <f>IF(COUNTIFS(T_StockCount[RM_Code],$A49,T_StockCount[WeekIndex],41)&gt;0,SUMIFS(T_StockCount[CountedQty],T_StockCount[RM_Code],$A49,T_StockCount[WeekIndex],41),IF((COUNTIFS(T_SelfStock[RM_Code],$A49,T_SelfStock[WeekIndex],41)&gt;0)*(COUNTIFS(T_TTAFStock[RM_Code],$A49,T_TTAFStock[WeekIndex],41)&gt;0)&gt;0,SUMIFS(T_SelfStock[Self_Qty],T_SelfStock[RM_Code],$A49,T_SelfStock[WeekIndex],41)+SUMIFS(T_TTAFStock[TTAF_Qty],T_TTAFStock[RM_Code],$A49,T_TTAFStock[WeekIndex],41),AO49+'Grid_Incoming'!AP49-'Grid_Requirement'!AP49))</f>
        <v/>
      </c>
      <c r="AQ49">
        <f>IF(COUNTIFS(T_StockCount[RM_Code],$A49,T_StockCount[WeekIndex],42)&gt;0,SUMIFS(T_StockCount[CountedQty],T_StockCount[RM_Code],$A49,T_StockCount[WeekIndex],42),IF((COUNTIFS(T_SelfStock[RM_Code],$A49,T_SelfStock[WeekIndex],42)&gt;0)*(COUNTIFS(T_TTAFStock[RM_Code],$A49,T_TTAFStock[WeekIndex],42)&gt;0)&gt;0,SUMIFS(T_SelfStock[Self_Qty],T_SelfStock[RM_Code],$A49,T_SelfStock[WeekIndex],42)+SUMIFS(T_TTAFStock[TTAF_Qty],T_TTAFStock[RM_Code],$A49,T_TTAFStock[WeekIndex],42),AP49+'Grid_Incoming'!AQ49-'Grid_Requirement'!AQ49))</f>
        <v/>
      </c>
      <c r="AR49">
        <f>IF(COUNTIFS(T_StockCount[RM_Code],$A49,T_StockCount[WeekIndex],43)&gt;0,SUMIFS(T_StockCount[CountedQty],T_StockCount[RM_Code],$A49,T_StockCount[WeekIndex],43),IF((COUNTIFS(T_SelfStock[RM_Code],$A49,T_SelfStock[WeekIndex],43)&gt;0)*(COUNTIFS(T_TTAFStock[RM_Code],$A49,T_TTAFStock[WeekIndex],43)&gt;0)&gt;0,SUMIFS(T_SelfStock[Self_Qty],T_SelfStock[RM_Code],$A49,T_SelfStock[WeekIndex],43)+SUMIFS(T_TTAFStock[TTAF_Qty],T_TTAFStock[RM_Code],$A49,T_TTAFStock[WeekIndex],43),AQ49+'Grid_Incoming'!AR49-'Grid_Requirement'!AR49))</f>
        <v/>
      </c>
      <c r="AS49">
        <f>IF(COUNTIFS(T_StockCount[RM_Code],$A49,T_StockCount[WeekIndex],44)&gt;0,SUMIFS(T_StockCount[CountedQty],T_StockCount[RM_Code],$A49,T_StockCount[WeekIndex],44),IF((COUNTIFS(T_SelfStock[RM_Code],$A49,T_SelfStock[WeekIndex],44)&gt;0)*(COUNTIFS(T_TTAFStock[RM_Code],$A49,T_TTAFStock[WeekIndex],44)&gt;0)&gt;0,SUMIFS(T_SelfStock[Self_Qty],T_SelfStock[RM_Code],$A49,T_SelfStock[WeekIndex],44)+SUMIFS(T_TTAFStock[TTAF_Qty],T_TTAFStock[RM_Code],$A49,T_TTAFStock[WeekIndex],44),AR49+'Grid_Incoming'!AS49-'Grid_Requirement'!AS49))</f>
        <v/>
      </c>
      <c r="AT49">
        <f>IF(COUNTIFS(T_StockCount[RM_Code],$A49,T_StockCount[WeekIndex],45)&gt;0,SUMIFS(T_StockCount[CountedQty],T_StockCount[RM_Code],$A49,T_StockCount[WeekIndex],45),IF((COUNTIFS(T_SelfStock[RM_Code],$A49,T_SelfStock[WeekIndex],45)&gt;0)*(COUNTIFS(T_TTAFStock[RM_Code],$A49,T_TTAFStock[WeekIndex],45)&gt;0)&gt;0,SUMIFS(T_SelfStock[Self_Qty],T_SelfStock[RM_Code],$A49,T_SelfStock[WeekIndex],45)+SUMIFS(T_TTAFStock[TTAF_Qty],T_TTAFStock[RM_Code],$A49,T_TTAFStock[WeekIndex],45),AS49+'Grid_Incoming'!AT49-'Grid_Requirement'!AT49))</f>
        <v/>
      </c>
      <c r="AU49">
        <f>IF(COUNTIFS(T_StockCount[RM_Code],$A49,T_StockCount[WeekIndex],46)&gt;0,SUMIFS(T_StockCount[CountedQty],T_StockCount[RM_Code],$A49,T_StockCount[WeekIndex],46),IF((COUNTIFS(T_SelfStock[RM_Code],$A49,T_SelfStock[WeekIndex],46)&gt;0)*(COUNTIFS(T_TTAFStock[RM_Code],$A49,T_TTAFStock[WeekIndex],46)&gt;0)&gt;0,SUMIFS(T_SelfStock[Self_Qty],T_SelfStock[RM_Code],$A49,T_SelfStock[WeekIndex],46)+SUMIFS(T_TTAFStock[TTAF_Qty],T_TTAFStock[RM_Code],$A49,T_TTAFStock[WeekIndex],46),AT49+'Grid_Incoming'!AU49-'Grid_Requirement'!AU49))</f>
        <v/>
      </c>
      <c r="AV49">
        <f>IF(COUNTIFS(T_StockCount[RM_Code],$A49,T_StockCount[WeekIndex],47)&gt;0,SUMIFS(T_StockCount[CountedQty],T_StockCount[RM_Code],$A49,T_StockCount[WeekIndex],47),IF((COUNTIFS(T_SelfStock[RM_Code],$A49,T_SelfStock[WeekIndex],47)&gt;0)*(COUNTIFS(T_TTAFStock[RM_Code],$A49,T_TTAFStock[WeekIndex],47)&gt;0)&gt;0,SUMIFS(T_SelfStock[Self_Qty],T_SelfStock[RM_Code],$A49,T_SelfStock[WeekIndex],47)+SUMIFS(T_TTAFStock[TTAF_Qty],T_TTAFStock[RM_Code],$A49,T_TTAFStock[WeekIndex],47),AU49+'Grid_Incoming'!AV49-'Grid_Requirement'!AV49))</f>
        <v/>
      </c>
      <c r="AW49">
        <f>IF(COUNTIFS(T_StockCount[RM_Code],$A49,T_StockCount[WeekIndex],48)&gt;0,SUMIFS(T_StockCount[CountedQty],T_StockCount[RM_Code],$A49,T_StockCount[WeekIndex],48),IF((COUNTIFS(T_SelfStock[RM_Code],$A49,T_SelfStock[WeekIndex],48)&gt;0)*(COUNTIFS(T_TTAFStock[RM_Code],$A49,T_TTAFStock[WeekIndex],48)&gt;0)&gt;0,SUMIFS(T_SelfStock[Self_Qty],T_SelfStock[RM_Code],$A49,T_SelfStock[WeekIndex],48)+SUMIFS(T_TTAFStock[TTAF_Qty],T_TTAFStock[RM_Code],$A49,T_TTAFStock[WeekIndex],48),AV49+'Grid_Incoming'!AW49-'Grid_Requirement'!AW49))</f>
        <v/>
      </c>
      <c r="AX49">
        <f>IF(COUNTIFS(T_StockCount[RM_Code],$A49,T_StockCount[WeekIndex],49)&gt;0,SUMIFS(T_StockCount[CountedQty],T_StockCount[RM_Code],$A49,T_StockCount[WeekIndex],49),IF((COUNTIFS(T_SelfStock[RM_Code],$A49,T_SelfStock[WeekIndex],49)&gt;0)*(COUNTIFS(T_TTAFStock[RM_Code],$A49,T_TTAFStock[WeekIndex],49)&gt;0)&gt;0,SUMIFS(T_SelfStock[Self_Qty],T_SelfStock[RM_Code],$A49,T_SelfStock[WeekIndex],49)+SUMIFS(T_TTAFStock[TTAF_Qty],T_TTAFStock[RM_Code],$A49,T_TTAFStock[WeekIndex],49),AW49+'Grid_Incoming'!AX49-'Grid_Requirement'!AX49))</f>
        <v/>
      </c>
      <c r="AY49">
        <f>IF(COUNTIFS(T_StockCount[RM_Code],$A49,T_StockCount[WeekIndex],50)&gt;0,SUMIFS(T_StockCount[CountedQty],T_StockCount[RM_Code],$A49,T_StockCount[WeekIndex],50),IF((COUNTIFS(T_SelfStock[RM_Code],$A49,T_SelfStock[WeekIndex],50)&gt;0)*(COUNTIFS(T_TTAFStock[RM_Code],$A49,T_TTAFStock[WeekIndex],50)&gt;0)&gt;0,SUMIFS(T_SelfStock[Self_Qty],T_SelfStock[RM_Code],$A49,T_SelfStock[WeekIndex],50)+SUMIFS(T_TTAFStock[TTAF_Qty],T_TTAFStock[RM_Code],$A49,T_TTAFStock[WeekIndex],50),AX49+'Grid_Incoming'!AY49-'Grid_Requirement'!AY49))</f>
        <v/>
      </c>
      <c r="AZ49">
        <f>IF(COUNTIFS(T_StockCount[RM_Code],$A49,T_StockCount[WeekIndex],51)&gt;0,SUMIFS(T_StockCount[CountedQty],T_StockCount[RM_Code],$A49,T_StockCount[WeekIndex],51),IF((COUNTIFS(T_SelfStock[RM_Code],$A49,T_SelfStock[WeekIndex],51)&gt;0)*(COUNTIFS(T_TTAFStock[RM_Code],$A49,T_TTAFStock[WeekIndex],51)&gt;0)&gt;0,SUMIFS(T_SelfStock[Self_Qty],T_SelfStock[RM_Code],$A49,T_SelfStock[WeekIndex],51)+SUMIFS(T_TTAFStock[TTAF_Qty],T_TTAFStock[RM_Code],$A49,T_TTAFStock[WeekIndex],51),AY49+'Grid_Incoming'!AZ49-'Grid_Requirement'!AZ49))</f>
        <v/>
      </c>
      <c r="BA49">
        <f>IF(COUNTIFS(T_StockCount[RM_Code],$A49,T_StockCount[WeekIndex],52)&gt;0,SUMIFS(T_StockCount[CountedQty],T_StockCount[RM_Code],$A49,T_StockCount[WeekIndex],52),IF((COUNTIFS(T_SelfStock[RM_Code],$A49,T_SelfStock[WeekIndex],52)&gt;0)*(COUNTIFS(T_TTAFStock[RM_Code],$A49,T_TTAFStock[WeekIndex],52)&gt;0)&gt;0,SUMIFS(T_SelfStock[Self_Qty],T_SelfStock[RM_Code],$A49,T_SelfStock[WeekIndex],52)+SUMIFS(T_TTAFStock[TTAF_Qty],T_TTAFStock[RM_Code],$A49,T_TTAFStock[WeekIndex],52),AZ49+'Grid_Incoming'!BA49-'Grid_Requirement'!BA49))</f>
        <v/>
      </c>
      <c r="BB49">
        <f>IF(COUNTIFS(T_StockCount[RM_Code],$A49,T_StockCount[WeekIndex],53)&gt;0,SUMIFS(T_StockCount[CountedQty],T_StockCount[RM_Code],$A49,T_StockCount[WeekIndex],53),IF((COUNTIFS(T_SelfStock[RM_Code],$A49,T_SelfStock[WeekIndex],53)&gt;0)*(COUNTIFS(T_TTAFStock[RM_Code],$A49,T_TTAFStock[WeekIndex],53)&gt;0)&gt;0,SUMIFS(T_SelfStock[Self_Qty],T_SelfStock[RM_Code],$A49,T_SelfStock[WeekIndex],53)+SUMIFS(T_TTAFStock[TTAF_Qty],T_TTAFStock[RM_Code],$A49,T_TTAFStock[WeekIndex],53),BA49+'Grid_Incoming'!BB49-'Grid_Requirement'!BB49))</f>
        <v/>
      </c>
      <c r="BC49">
        <f>IF(COUNTIFS(T_StockCount[RM_Code],$A49,T_StockCount[WeekIndex],54)&gt;0,SUMIFS(T_StockCount[CountedQty],T_StockCount[RM_Code],$A49,T_StockCount[WeekIndex],54),IF((COUNTIFS(T_SelfStock[RM_Code],$A49,T_SelfStock[WeekIndex],54)&gt;0)*(COUNTIFS(T_TTAFStock[RM_Code],$A49,T_TTAFStock[WeekIndex],54)&gt;0)&gt;0,SUMIFS(T_SelfStock[Self_Qty],T_SelfStock[RM_Code],$A49,T_SelfStock[WeekIndex],54)+SUMIFS(T_TTAFStock[TTAF_Qty],T_TTAFStock[RM_Code],$A49,T_TTAFStock[WeekIndex],54),BB49+'Grid_Incoming'!BC49-'Grid_Requirement'!BC49))</f>
        <v/>
      </c>
      <c r="BD49">
        <f>IF(COUNTIFS(T_StockCount[RM_Code],$A49,T_StockCount[WeekIndex],55)&gt;0,SUMIFS(T_StockCount[CountedQty],T_StockCount[RM_Code],$A49,T_StockCount[WeekIndex],55),IF((COUNTIFS(T_SelfStock[RM_Code],$A49,T_SelfStock[WeekIndex],55)&gt;0)*(COUNTIFS(T_TTAFStock[RM_Code],$A49,T_TTAFStock[WeekIndex],55)&gt;0)&gt;0,SUMIFS(T_SelfStock[Self_Qty],T_SelfStock[RM_Code],$A49,T_SelfStock[WeekIndex],55)+SUMIFS(T_TTAFStock[TTAF_Qty],T_TTAFStock[RM_Code],$A49,T_TTAFStock[WeekIndex],55),BC49+'Grid_Incoming'!BD49-'Grid_Requirement'!BD49))</f>
        <v/>
      </c>
      <c r="BE49">
        <f>IF(COUNTIFS(T_StockCount[RM_Code],$A49,T_StockCount[WeekIndex],56)&gt;0,SUMIFS(T_StockCount[CountedQty],T_StockCount[RM_Code],$A49,T_StockCount[WeekIndex],56),IF((COUNTIFS(T_SelfStock[RM_Code],$A49,T_SelfStock[WeekIndex],56)&gt;0)*(COUNTIFS(T_TTAFStock[RM_Code],$A49,T_TTAFStock[WeekIndex],56)&gt;0)&gt;0,SUMIFS(T_SelfStock[Self_Qty],T_SelfStock[RM_Code],$A49,T_SelfStock[WeekIndex],56)+SUMIFS(T_TTAFStock[TTAF_Qty],T_TTAFStock[RM_Code],$A49,T_TTAFStock[WeekIndex],56),BD49+'Grid_Incoming'!BE49-'Grid_Requirement'!BE49))</f>
        <v/>
      </c>
      <c r="BF49">
        <f>IF(COUNTIFS(T_StockCount[RM_Code],$A49,T_StockCount[WeekIndex],57)&gt;0,SUMIFS(T_StockCount[CountedQty],T_StockCount[RM_Code],$A49,T_StockCount[WeekIndex],57),IF((COUNTIFS(T_SelfStock[RM_Code],$A49,T_SelfStock[WeekIndex],57)&gt;0)*(COUNTIFS(T_TTAFStock[RM_Code],$A49,T_TTAFStock[WeekIndex],57)&gt;0)&gt;0,SUMIFS(T_SelfStock[Self_Qty],T_SelfStock[RM_Code],$A49,T_SelfStock[WeekIndex],57)+SUMIFS(T_TTAFStock[TTAF_Qty],T_TTAFStock[RM_Code],$A49,T_TTAFStock[WeekIndex],57),BE49+'Grid_Incoming'!BF49-'Grid_Requirement'!BF49))</f>
        <v/>
      </c>
      <c r="BG49">
        <f>IF(COUNTIFS(T_StockCount[RM_Code],$A49,T_StockCount[WeekIndex],58)&gt;0,SUMIFS(T_StockCount[CountedQty],T_StockCount[RM_Code],$A49,T_StockCount[WeekIndex],58),IF((COUNTIFS(T_SelfStock[RM_Code],$A49,T_SelfStock[WeekIndex],58)&gt;0)*(COUNTIFS(T_TTAFStock[RM_Code],$A49,T_TTAFStock[WeekIndex],58)&gt;0)&gt;0,SUMIFS(T_SelfStock[Self_Qty],T_SelfStock[RM_Code],$A49,T_SelfStock[WeekIndex],58)+SUMIFS(T_TTAFStock[TTAF_Qty],T_TTAFStock[RM_Code],$A49,T_TTAFStock[WeekIndex],58),BF49+'Grid_Incoming'!BG49-'Grid_Requirement'!BG49))</f>
        <v/>
      </c>
      <c r="BH49">
        <f>IF(COUNTIFS(T_StockCount[RM_Code],$A49,T_StockCount[WeekIndex],59)&gt;0,SUMIFS(T_StockCount[CountedQty],T_StockCount[RM_Code],$A49,T_StockCount[WeekIndex],59),IF((COUNTIFS(T_SelfStock[RM_Code],$A49,T_SelfStock[WeekIndex],59)&gt;0)*(COUNTIFS(T_TTAFStock[RM_Code],$A49,T_TTAFStock[WeekIndex],59)&gt;0)&gt;0,SUMIFS(T_SelfStock[Self_Qty],T_SelfStock[RM_Code],$A49,T_SelfStock[WeekIndex],59)+SUMIFS(T_TTAFStock[TTAF_Qty],T_TTAFStock[RM_Code],$A49,T_TTAFStock[WeekIndex],59),BG49+'Grid_Incoming'!BH49-'Grid_Requirement'!BH49))</f>
        <v/>
      </c>
      <c r="BI49">
        <f>IF(COUNTIFS(T_StockCount[RM_Code],$A49,T_StockCount[WeekIndex],60)&gt;0,SUMIFS(T_StockCount[CountedQty],T_StockCount[RM_Code],$A49,T_StockCount[WeekIndex],60),IF((COUNTIFS(T_SelfStock[RM_Code],$A49,T_SelfStock[WeekIndex],60)&gt;0)*(COUNTIFS(T_TTAFStock[RM_Code],$A49,T_TTAFStock[WeekIndex],60)&gt;0)&gt;0,SUMIFS(T_SelfStock[Self_Qty],T_SelfStock[RM_Code],$A49,T_SelfStock[WeekIndex],60)+SUMIFS(T_TTAFStock[TTAF_Qty],T_TTAFStock[RM_Code],$A49,T_TTAFStock[WeekIndex],60),BH49+'Grid_Incoming'!BI49-'Grid_Requirement'!BI49))</f>
        <v/>
      </c>
      <c r="BJ49">
        <f>IF(COUNTIFS(T_StockCount[RM_Code],$A49,T_StockCount[WeekIndex],61)&gt;0,SUMIFS(T_StockCount[CountedQty],T_StockCount[RM_Code],$A49,T_StockCount[WeekIndex],61),IF((COUNTIFS(T_SelfStock[RM_Code],$A49,T_SelfStock[WeekIndex],61)&gt;0)*(COUNTIFS(T_TTAFStock[RM_Code],$A49,T_TTAFStock[WeekIndex],61)&gt;0)&gt;0,SUMIFS(T_SelfStock[Self_Qty],T_SelfStock[RM_Code],$A49,T_SelfStock[WeekIndex],61)+SUMIFS(T_TTAFStock[TTAF_Qty],T_TTAFStock[RM_Code],$A49,T_TTAFStock[WeekIndex],61),BI49+'Grid_Incoming'!BJ49-'Grid_Requirement'!BJ49))</f>
        <v/>
      </c>
      <c r="BK49">
        <f>IF(COUNTIFS(T_StockCount[RM_Code],$A49,T_StockCount[WeekIndex],62)&gt;0,SUMIFS(T_StockCount[CountedQty],T_StockCount[RM_Code],$A49,T_StockCount[WeekIndex],62),IF((COUNTIFS(T_SelfStock[RM_Code],$A49,T_SelfStock[WeekIndex],62)&gt;0)*(COUNTIFS(T_TTAFStock[RM_Code],$A49,T_TTAFStock[WeekIndex],62)&gt;0)&gt;0,SUMIFS(T_SelfStock[Self_Qty],T_SelfStock[RM_Code],$A49,T_SelfStock[WeekIndex],62)+SUMIFS(T_TTAFStock[TTAF_Qty],T_TTAFStock[RM_Code],$A49,T_TTAFStock[WeekIndex],62),BJ49+'Grid_Incoming'!BK49-'Grid_Requirement'!BK49))</f>
        <v/>
      </c>
      <c r="BL49">
        <f>IF(COUNTIFS(T_StockCount[RM_Code],$A49,T_StockCount[WeekIndex],63)&gt;0,SUMIFS(T_StockCount[CountedQty],T_StockCount[RM_Code],$A49,T_StockCount[WeekIndex],63),IF((COUNTIFS(T_SelfStock[RM_Code],$A49,T_SelfStock[WeekIndex],63)&gt;0)*(COUNTIFS(T_TTAFStock[RM_Code],$A49,T_TTAFStock[WeekIndex],63)&gt;0)&gt;0,SUMIFS(T_SelfStock[Self_Qty],T_SelfStock[RM_Code],$A49,T_SelfStock[WeekIndex],63)+SUMIFS(T_TTAFStock[TTAF_Qty],T_TTAFStock[RM_Code],$A49,T_TTAFStock[WeekIndex],63),BK49+'Grid_Incoming'!BL49-'Grid_Requirement'!BL49))</f>
        <v/>
      </c>
      <c r="BM49">
        <f>IF(COUNTIFS(T_StockCount[RM_Code],$A49,T_StockCount[WeekIndex],64)&gt;0,SUMIFS(T_StockCount[CountedQty],T_StockCount[RM_Code],$A49,T_StockCount[WeekIndex],64),IF((COUNTIFS(T_SelfStock[RM_Code],$A49,T_SelfStock[WeekIndex],64)&gt;0)*(COUNTIFS(T_TTAFStock[RM_Code],$A49,T_TTAFStock[WeekIndex],64)&gt;0)&gt;0,SUMIFS(T_SelfStock[Self_Qty],T_SelfStock[RM_Code],$A49,T_SelfStock[WeekIndex],64)+SUMIFS(T_TTAFStock[TTAF_Qty],T_TTAFStock[RM_Code],$A49,T_TTAFStock[WeekIndex],64),BL49+'Grid_Incoming'!BM49-'Grid_Requirement'!BM49))</f>
        <v/>
      </c>
      <c r="BN49">
        <f>IF(COUNTIFS(T_StockCount[RM_Code],$A49,T_StockCount[WeekIndex],65)&gt;0,SUMIFS(T_StockCount[CountedQty],T_StockCount[RM_Code],$A49,T_StockCount[WeekIndex],65),IF((COUNTIFS(T_SelfStock[RM_Code],$A49,T_SelfStock[WeekIndex],65)&gt;0)*(COUNTIFS(T_TTAFStock[RM_Code],$A49,T_TTAFStock[WeekIndex],65)&gt;0)&gt;0,SUMIFS(T_SelfStock[Self_Qty],T_SelfStock[RM_Code],$A49,T_SelfStock[WeekIndex],65)+SUMIFS(T_TTAFStock[TTAF_Qty],T_TTAFStock[RM_Code],$A49,T_TTAFStock[WeekIndex],65),BM49+'Grid_Incoming'!BN49-'Grid_Requirement'!BN49))</f>
        <v/>
      </c>
      <c r="BO49">
        <f>IF(COUNTIFS(T_StockCount[RM_Code],$A49,T_StockCount[WeekIndex],66)&gt;0,SUMIFS(T_StockCount[CountedQty],T_StockCount[RM_Code],$A49,T_StockCount[WeekIndex],66),IF((COUNTIFS(T_SelfStock[RM_Code],$A49,T_SelfStock[WeekIndex],66)&gt;0)*(COUNTIFS(T_TTAFStock[RM_Code],$A49,T_TTAFStock[WeekIndex],66)&gt;0)&gt;0,SUMIFS(T_SelfStock[Self_Qty],T_SelfStock[RM_Code],$A49,T_SelfStock[WeekIndex],66)+SUMIFS(T_TTAFStock[TTAF_Qty],T_TTAFStock[RM_Code],$A49,T_TTAFStock[WeekIndex],66),BN49+'Grid_Incoming'!BO49-'Grid_Requirement'!BO49))</f>
        <v/>
      </c>
      <c r="BP49">
        <f>IF(COUNTIFS(T_StockCount[RM_Code],$A49,T_StockCount[WeekIndex],67)&gt;0,SUMIFS(T_StockCount[CountedQty],T_StockCount[RM_Code],$A49,T_StockCount[WeekIndex],67),IF((COUNTIFS(T_SelfStock[RM_Code],$A49,T_SelfStock[WeekIndex],67)&gt;0)*(COUNTIFS(T_TTAFStock[RM_Code],$A49,T_TTAFStock[WeekIndex],67)&gt;0)&gt;0,SUMIFS(T_SelfStock[Self_Qty],T_SelfStock[RM_Code],$A49,T_SelfStock[WeekIndex],67)+SUMIFS(T_TTAFStock[TTAF_Qty],T_TTAFStock[RM_Code],$A49,T_TTAFStock[WeekIndex],67),BO49+'Grid_Incoming'!BP49-'Grid_Requirement'!BP49))</f>
        <v/>
      </c>
      <c r="BQ49">
        <f>IF(COUNTIFS(T_StockCount[RM_Code],$A49,T_StockCount[WeekIndex],68)&gt;0,SUMIFS(T_StockCount[CountedQty],T_StockCount[RM_Code],$A49,T_StockCount[WeekIndex],68),IF((COUNTIFS(T_SelfStock[RM_Code],$A49,T_SelfStock[WeekIndex],68)&gt;0)*(COUNTIFS(T_TTAFStock[RM_Code],$A49,T_TTAFStock[WeekIndex],68)&gt;0)&gt;0,SUMIFS(T_SelfStock[Self_Qty],T_SelfStock[RM_Code],$A49,T_SelfStock[WeekIndex],68)+SUMIFS(T_TTAFStock[TTAF_Qty],T_TTAFStock[RM_Code],$A49,T_TTAFStock[WeekIndex],68),BP49+'Grid_Incoming'!BQ49-'Grid_Requirement'!BQ49))</f>
        <v/>
      </c>
      <c r="BR49">
        <f>IF(COUNTIFS(T_StockCount[RM_Code],$A49,T_StockCount[WeekIndex],69)&gt;0,SUMIFS(T_StockCount[CountedQty],T_StockCount[RM_Code],$A49,T_StockCount[WeekIndex],69),IF((COUNTIFS(T_SelfStock[RM_Code],$A49,T_SelfStock[WeekIndex],69)&gt;0)*(COUNTIFS(T_TTAFStock[RM_Code],$A49,T_TTAFStock[WeekIndex],69)&gt;0)&gt;0,SUMIFS(T_SelfStock[Self_Qty],T_SelfStock[RM_Code],$A49,T_SelfStock[WeekIndex],69)+SUMIFS(T_TTAFStock[TTAF_Qty],T_TTAFStock[RM_Code],$A49,T_TTAFStock[WeekIndex],69),BQ49+'Grid_Incoming'!BR49-'Grid_Requirement'!BR49))</f>
        <v/>
      </c>
      <c r="BS49">
        <f>IF(COUNTIFS(T_StockCount[RM_Code],$A49,T_StockCount[WeekIndex],70)&gt;0,SUMIFS(T_StockCount[CountedQty],T_StockCount[RM_Code],$A49,T_StockCount[WeekIndex],70),IF((COUNTIFS(T_SelfStock[RM_Code],$A49,T_SelfStock[WeekIndex],70)&gt;0)*(COUNTIFS(T_TTAFStock[RM_Code],$A49,T_TTAFStock[WeekIndex],70)&gt;0)&gt;0,SUMIFS(T_SelfStock[Self_Qty],T_SelfStock[RM_Code],$A49,T_SelfStock[WeekIndex],70)+SUMIFS(T_TTAFStock[TTAF_Qty],T_TTAFStock[RM_Code],$A49,T_TTAFStock[WeekIndex],70),BR49+'Grid_Incoming'!BS49-'Grid_Requirement'!BS49))</f>
        <v/>
      </c>
      <c r="BT49">
        <f>IF(COUNTIFS(T_StockCount[RM_Code],$A49,T_StockCount[WeekIndex],71)&gt;0,SUMIFS(T_StockCount[CountedQty],T_StockCount[RM_Code],$A49,T_StockCount[WeekIndex],71),IF((COUNTIFS(T_SelfStock[RM_Code],$A49,T_SelfStock[WeekIndex],71)&gt;0)*(COUNTIFS(T_TTAFStock[RM_Code],$A49,T_TTAFStock[WeekIndex],71)&gt;0)&gt;0,SUMIFS(T_SelfStock[Self_Qty],T_SelfStock[RM_Code],$A49,T_SelfStock[WeekIndex],71)+SUMIFS(T_TTAFStock[TTAF_Qty],T_TTAFStock[RM_Code],$A49,T_TTAFStock[WeekIndex],71),BS49+'Grid_Incoming'!BT49-'Grid_Requirement'!BT49))</f>
        <v/>
      </c>
      <c r="BU49">
        <f>IF(COUNTIFS(T_StockCount[RM_Code],$A49,T_StockCount[WeekIndex],72)&gt;0,SUMIFS(T_StockCount[CountedQty],T_StockCount[RM_Code],$A49,T_StockCount[WeekIndex],72),IF((COUNTIFS(T_SelfStock[RM_Code],$A49,T_SelfStock[WeekIndex],72)&gt;0)*(COUNTIFS(T_TTAFStock[RM_Code],$A49,T_TTAFStock[WeekIndex],72)&gt;0)&gt;0,SUMIFS(T_SelfStock[Self_Qty],T_SelfStock[RM_Code],$A49,T_SelfStock[WeekIndex],72)+SUMIFS(T_TTAFStock[TTAF_Qty],T_TTAFStock[RM_Code],$A49,T_TTAFStock[WeekIndex],72),BT49+'Grid_Incoming'!BU49-'Grid_Requirement'!BU49))</f>
        <v/>
      </c>
      <c r="BV49">
        <f>IF(COUNTIFS(T_StockCount[RM_Code],$A49,T_StockCount[WeekIndex],73)&gt;0,SUMIFS(T_StockCount[CountedQty],T_StockCount[RM_Code],$A49,T_StockCount[WeekIndex],73),IF((COUNTIFS(T_SelfStock[RM_Code],$A49,T_SelfStock[WeekIndex],73)&gt;0)*(COUNTIFS(T_TTAFStock[RM_Code],$A49,T_TTAFStock[WeekIndex],73)&gt;0)&gt;0,SUMIFS(T_SelfStock[Self_Qty],T_SelfStock[RM_Code],$A49,T_SelfStock[WeekIndex],73)+SUMIFS(T_TTAFStock[TTAF_Qty],T_TTAFStock[RM_Code],$A49,T_TTAFStock[WeekIndex],73),BU49+'Grid_Incoming'!BV49-'Grid_Requirement'!BV49))</f>
        <v/>
      </c>
      <c r="BW49">
        <f>IF(COUNTIFS(T_StockCount[RM_Code],$A49,T_StockCount[WeekIndex],74)&gt;0,SUMIFS(T_StockCount[CountedQty],T_StockCount[RM_Code],$A49,T_StockCount[WeekIndex],74),IF((COUNTIFS(T_SelfStock[RM_Code],$A49,T_SelfStock[WeekIndex],74)&gt;0)*(COUNTIFS(T_TTAFStock[RM_Code],$A49,T_TTAFStock[WeekIndex],74)&gt;0)&gt;0,SUMIFS(T_SelfStock[Self_Qty],T_SelfStock[RM_Code],$A49,T_SelfStock[WeekIndex],74)+SUMIFS(T_TTAFStock[TTAF_Qty],T_TTAFStock[RM_Code],$A49,T_TTAFStock[WeekIndex],74),BV49+'Grid_Incoming'!BW49-'Grid_Requirement'!BW49))</f>
        <v/>
      </c>
      <c r="BX49">
        <f>IF(COUNTIFS(T_StockCount[RM_Code],$A49,T_StockCount[WeekIndex],75)&gt;0,SUMIFS(T_StockCount[CountedQty],T_StockCount[RM_Code],$A49,T_StockCount[WeekIndex],75),IF((COUNTIFS(T_SelfStock[RM_Code],$A49,T_SelfStock[WeekIndex],75)&gt;0)*(COUNTIFS(T_TTAFStock[RM_Code],$A49,T_TTAFStock[WeekIndex],75)&gt;0)&gt;0,SUMIFS(T_SelfStock[Self_Qty],T_SelfStock[RM_Code],$A49,T_SelfStock[WeekIndex],75)+SUMIFS(T_TTAFStock[TTAF_Qty],T_TTAFStock[RM_Code],$A49,T_TTAFStock[WeekIndex],75),BW49+'Grid_Incoming'!BX49-'Grid_Requirement'!BX49))</f>
        <v/>
      </c>
      <c r="BY49">
        <f>IF(COUNTIFS(T_StockCount[RM_Code],$A49,T_StockCount[WeekIndex],76)&gt;0,SUMIFS(T_StockCount[CountedQty],T_StockCount[RM_Code],$A49,T_StockCount[WeekIndex],76),IF((COUNTIFS(T_SelfStock[RM_Code],$A49,T_SelfStock[WeekIndex],76)&gt;0)*(COUNTIFS(T_TTAFStock[RM_Code],$A49,T_TTAFStock[WeekIndex],76)&gt;0)&gt;0,SUMIFS(T_SelfStock[Self_Qty],T_SelfStock[RM_Code],$A49,T_SelfStock[WeekIndex],76)+SUMIFS(T_TTAFStock[TTAF_Qty],T_TTAFStock[RM_Code],$A49,T_TTAFStock[WeekIndex],76),BX49+'Grid_Incoming'!BY49-'Grid_Requirement'!BY49))</f>
        <v/>
      </c>
      <c r="BZ49">
        <f>IF(COUNTIFS(T_StockCount[RM_Code],$A49,T_StockCount[WeekIndex],77)&gt;0,SUMIFS(T_StockCount[CountedQty],T_StockCount[RM_Code],$A49,T_StockCount[WeekIndex],77),IF((COUNTIFS(T_SelfStock[RM_Code],$A49,T_SelfStock[WeekIndex],77)&gt;0)*(COUNTIFS(T_TTAFStock[RM_Code],$A49,T_TTAFStock[WeekIndex],77)&gt;0)&gt;0,SUMIFS(T_SelfStock[Self_Qty],T_SelfStock[RM_Code],$A49,T_SelfStock[WeekIndex],77)+SUMIFS(T_TTAFStock[TTAF_Qty],T_TTAFStock[RM_Code],$A49,T_TTAFStock[WeekIndex],77),BY49+'Grid_Incoming'!BZ49-'Grid_Requirement'!BZ49))</f>
        <v/>
      </c>
      <c r="CA49">
        <f>IF(COUNTIFS(T_StockCount[RM_Code],$A49,T_StockCount[WeekIndex],78)&gt;0,SUMIFS(T_StockCount[CountedQty],T_StockCount[RM_Code],$A49,T_StockCount[WeekIndex],78),IF((COUNTIFS(T_SelfStock[RM_Code],$A49,T_SelfStock[WeekIndex],78)&gt;0)*(COUNTIFS(T_TTAFStock[RM_Code],$A49,T_TTAFStock[WeekIndex],78)&gt;0)&gt;0,SUMIFS(T_SelfStock[Self_Qty],T_SelfStock[RM_Code],$A49,T_SelfStock[WeekIndex],78)+SUMIFS(T_TTAFStock[TTAF_Qty],T_TTAFStock[RM_Code],$A49,T_TTAFStock[WeekIndex],78),BZ49+'Grid_Incoming'!CA49-'Grid_Requirement'!CA49))</f>
        <v/>
      </c>
      <c r="CB49">
        <f>IF(COUNTIFS(T_StockCount[RM_Code],$A49,T_StockCount[WeekIndex],79)&gt;0,SUMIFS(T_StockCount[CountedQty],T_StockCount[RM_Code],$A49,T_StockCount[WeekIndex],79),IF((COUNTIFS(T_SelfStock[RM_Code],$A49,T_SelfStock[WeekIndex],79)&gt;0)*(COUNTIFS(T_TTAFStock[RM_Code],$A49,T_TTAFStock[WeekIndex],79)&gt;0)&gt;0,SUMIFS(T_SelfStock[Self_Qty],T_SelfStock[RM_Code],$A49,T_SelfStock[WeekIndex],79)+SUMIFS(T_TTAFStock[TTAF_Qty],T_TTAFStock[RM_Code],$A49,T_TTAFStock[WeekIndex],79),CA49+'Grid_Incoming'!CB49-'Grid_Requirement'!CB49))</f>
        <v/>
      </c>
      <c r="CC49">
        <f>IF(COUNTIFS(T_StockCount[RM_Code],$A49,T_StockCount[WeekIndex],80)&gt;0,SUMIFS(T_StockCount[CountedQty],T_StockCount[RM_Code],$A49,T_StockCount[WeekIndex],80),IF((COUNTIFS(T_SelfStock[RM_Code],$A49,T_SelfStock[WeekIndex],80)&gt;0)*(COUNTIFS(T_TTAFStock[RM_Code],$A49,T_TTAFStock[WeekIndex],80)&gt;0)&gt;0,SUMIFS(T_SelfStock[Self_Qty],T_SelfStock[RM_Code],$A49,T_SelfStock[WeekIndex],80)+SUMIFS(T_TTAFStock[TTAF_Qty],T_TTAFStock[RM_Code],$A49,T_TTAFStock[WeekIndex],80),CB49+'Grid_Incoming'!CC49-'Grid_Requirement'!CC49))</f>
        <v/>
      </c>
      <c r="CD49">
        <f>IF(COUNTIFS(T_StockCount[RM_Code],$A49,T_StockCount[WeekIndex],81)&gt;0,SUMIFS(T_StockCount[CountedQty],T_StockCount[RM_Code],$A49,T_StockCount[WeekIndex],81),IF((COUNTIFS(T_SelfStock[RM_Code],$A49,T_SelfStock[WeekIndex],81)&gt;0)*(COUNTIFS(T_TTAFStock[RM_Code],$A49,T_TTAFStock[WeekIndex],81)&gt;0)&gt;0,SUMIFS(T_SelfStock[Self_Qty],T_SelfStock[RM_Code],$A49,T_SelfStock[WeekIndex],81)+SUMIFS(T_TTAFStock[TTAF_Qty],T_TTAFStock[RM_Code],$A49,T_TTAFStock[WeekIndex],81),CC49+'Grid_Incoming'!CD49-'Grid_Requirement'!CD49))</f>
        <v/>
      </c>
      <c r="CE49">
        <f>IF(COUNTIFS(T_StockCount[RM_Code],$A49,T_StockCount[WeekIndex],82)&gt;0,SUMIFS(T_StockCount[CountedQty],T_StockCount[RM_Code],$A49,T_StockCount[WeekIndex],82),IF((COUNTIFS(T_SelfStock[RM_Code],$A49,T_SelfStock[WeekIndex],82)&gt;0)*(COUNTIFS(T_TTAFStock[RM_Code],$A49,T_TTAFStock[WeekIndex],82)&gt;0)&gt;0,SUMIFS(T_SelfStock[Self_Qty],T_SelfStock[RM_Code],$A49,T_SelfStock[WeekIndex],82)+SUMIFS(T_TTAFStock[TTAF_Qty],T_TTAFStock[RM_Code],$A49,T_TTAFStock[WeekIndex],82),CD49+'Grid_Incoming'!CE49-'Grid_Requirement'!CE49))</f>
        <v/>
      </c>
      <c r="CF49">
        <f>IF(COUNTIFS(T_StockCount[RM_Code],$A49,T_StockCount[WeekIndex],83)&gt;0,SUMIFS(T_StockCount[CountedQty],T_StockCount[RM_Code],$A49,T_StockCount[WeekIndex],83),IF((COUNTIFS(T_SelfStock[RM_Code],$A49,T_SelfStock[WeekIndex],83)&gt;0)*(COUNTIFS(T_TTAFStock[RM_Code],$A49,T_TTAFStock[WeekIndex],83)&gt;0)&gt;0,SUMIFS(T_SelfStock[Self_Qty],T_SelfStock[RM_Code],$A49,T_SelfStock[WeekIndex],83)+SUMIFS(T_TTAFStock[TTAF_Qty],T_TTAFStock[RM_Code],$A49,T_TTAFStock[WeekIndex],83),CE49+'Grid_Incoming'!CF49-'Grid_Requirement'!CF49))</f>
        <v/>
      </c>
      <c r="CG49">
        <f>IF(COUNTIFS(T_StockCount[RM_Code],$A49,T_StockCount[WeekIndex],84)&gt;0,SUMIFS(T_StockCount[CountedQty],T_StockCount[RM_Code],$A49,T_StockCount[WeekIndex],84),IF((COUNTIFS(T_SelfStock[RM_Code],$A49,T_SelfStock[WeekIndex],84)&gt;0)*(COUNTIFS(T_TTAFStock[RM_Code],$A49,T_TTAFStock[WeekIndex],84)&gt;0)&gt;0,SUMIFS(T_SelfStock[Self_Qty],T_SelfStock[RM_Code],$A49,T_SelfStock[WeekIndex],84)+SUMIFS(T_TTAFStock[TTAF_Qty],T_TTAFStock[RM_Code],$A49,T_TTAFStock[WeekIndex],84),CF49+'Grid_Incoming'!CG49-'Grid_Requirement'!CG49))</f>
        <v/>
      </c>
      <c r="CH49">
        <f>IF(COUNTIFS(T_StockCount[RM_Code],$A49,T_StockCount[WeekIndex],85)&gt;0,SUMIFS(T_StockCount[CountedQty],T_StockCount[RM_Code],$A49,T_StockCount[WeekIndex],85),IF((COUNTIFS(T_SelfStock[RM_Code],$A49,T_SelfStock[WeekIndex],85)&gt;0)*(COUNTIFS(T_TTAFStock[RM_Code],$A49,T_TTAFStock[WeekIndex],85)&gt;0)&gt;0,SUMIFS(T_SelfStock[Self_Qty],T_SelfStock[RM_Code],$A49,T_SelfStock[WeekIndex],85)+SUMIFS(T_TTAFStock[TTAF_Qty],T_TTAFStock[RM_Code],$A49,T_TTAFStock[WeekIndex],85),CG49+'Grid_Incoming'!CH49-'Grid_Requirement'!CH49))</f>
        <v/>
      </c>
      <c r="CI49">
        <f>IF(COUNTIFS(T_StockCount[RM_Code],$A49,T_StockCount[WeekIndex],86)&gt;0,SUMIFS(T_StockCount[CountedQty],T_StockCount[RM_Code],$A49,T_StockCount[WeekIndex],86),IF((COUNTIFS(T_SelfStock[RM_Code],$A49,T_SelfStock[WeekIndex],86)&gt;0)*(COUNTIFS(T_TTAFStock[RM_Code],$A49,T_TTAFStock[WeekIndex],86)&gt;0)&gt;0,SUMIFS(T_SelfStock[Self_Qty],T_SelfStock[RM_Code],$A49,T_SelfStock[WeekIndex],86)+SUMIFS(T_TTAFStock[TTAF_Qty],T_TTAFStock[RM_Code],$A49,T_TTAFStock[WeekIndex],86),CH49+'Grid_Incoming'!CI49-'Grid_Requirement'!CI49))</f>
        <v/>
      </c>
      <c r="CJ49">
        <f>IF(COUNTIFS(T_StockCount[RM_Code],$A49,T_StockCount[WeekIndex],87)&gt;0,SUMIFS(T_StockCount[CountedQty],T_StockCount[RM_Code],$A49,T_StockCount[WeekIndex],87),IF((COUNTIFS(T_SelfStock[RM_Code],$A49,T_SelfStock[WeekIndex],87)&gt;0)*(COUNTIFS(T_TTAFStock[RM_Code],$A49,T_TTAFStock[WeekIndex],87)&gt;0)&gt;0,SUMIFS(T_SelfStock[Self_Qty],T_SelfStock[RM_Code],$A49,T_SelfStock[WeekIndex],87)+SUMIFS(T_TTAFStock[TTAF_Qty],T_TTAFStock[RM_Code],$A49,T_TTAFStock[WeekIndex],87),CI49+'Grid_Incoming'!CJ49-'Grid_Requirement'!CJ49))</f>
        <v/>
      </c>
      <c r="CK49">
        <f>IF(COUNTIFS(T_StockCount[RM_Code],$A49,T_StockCount[WeekIndex],88)&gt;0,SUMIFS(T_StockCount[CountedQty],T_StockCount[RM_Code],$A49,T_StockCount[WeekIndex],88),IF((COUNTIFS(T_SelfStock[RM_Code],$A49,T_SelfStock[WeekIndex],88)&gt;0)*(COUNTIFS(T_TTAFStock[RM_Code],$A49,T_TTAFStock[WeekIndex],88)&gt;0)&gt;0,SUMIFS(T_SelfStock[Self_Qty],T_SelfStock[RM_Code],$A49,T_SelfStock[WeekIndex],88)+SUMIFS(T_TTAFStock[TTAF_Qty],T_TTAFStock[RM_Code],$A49,T_TTAFStock[WeekIndex],88),CJ49+'Grid_Incoming'!CK49-'Grid_Requirement'!CK49))</f>
        <v/>
      </c>
      <c r="CL49">
        <f>IF(COUNTIFS(T_StockCount[RM_Code],$A49,T_StockCount[WeekIndex],89)&gt;0,SUMIFS(T_StockCount[CountedQty],T_StockCount[RM_Code],$A49,T_StockCount[WeekIndex],89),IF((COUNTIFS(T_SelfStock[RM_Code],$A49,T_SelfStock[WeekIndex],89)&gt;0)*(COUNTIFS(T_TTAFStock[RM_Code],$A49,T_TTAFStock[WeekIndex],89)&gt;0)&gt;0,SUMIFS(T_SelfStock[Self_Qty],T_SelfStock[RM_Code],$A49,T_SelfStock[WeekIndex],89)+SUMIFS(T_TTAFStock[TTAF_Qty],T_TTAFStock[RM_Code],$A49,T_TTAFStock[WeekIndex],89),CK49+'Grid_Incoming'!CL49-'Grid_Requirement'!CL49))</f>
        <v/>
      </c>
      <c r="CM49">
        <f>IF(COUNTIFS(T_StockCount[RM_Code],$A49,T_StockCount[WeekIndex],90)&gt;0,SUMIFS(T_StockCount[CountedQty],T_StockCount[RM_Code],$A49,T_StockCount[WeekIndex],90),IF((COUNTIFS(T_SelfStock[RM_Code],$A49,T_SelfStock[WeekIndex],90)&gt;0)*(COUNTIFS(T_TTAFStock[RM_Code],$A49,T_TTAFStock[WeekIndex],90)&gt;0)&gt;0,SUMIFS(T_SelfStock[Self_Qty],T_SelfStock[RM_Code],$A49,T_SelfStock[WeekIndex],90)+SUMIFS(T_TTAFStock[TTAF_Qty],T_TTAFStock[RM_Code],$A49,T_TTAFStock[WeekIndex],90),CL49+'Grid_Incoming'!CM49-'Grid_Requirement'!CM49))</f>
        <v/>
      </c>
      <c r="CN49">
        <f>IF(COUNTIFS(T_StockCount[RM_Code],$A49,T_StockCount[WeekIndex],91)&gt;0,SUMIFS(T_StockCount[CountedQty],T_StockCount[RM_Code],$A49,T_StockCount[WeekIndex],91),IF((COUNTIFS(T_SelfStock[RM_Code],$A49,T_SelfStock[WeekIndex],91)&gt;0)*(COUNTIFS(T_TTAFStock[RM_Code],$A49,T_TTAFStock[WeekIndex],91)&gt;0)&gt;0,SUMIFS(T_SelfStock[Self_Qty],T_SelfStock[RM_Code],$A49,T_SelfStock[WeekIndex],91)+SUMIFS(T_TTAFStock[TTAF_Qty],T_TTAFStock[RM_Code],$A49,T_TTAFStock[WeekIndex],91),CM49+'Grid_Incoming'!CN49-'Grid_Requirement'!CN49))</f>
        <v/>
      </c>
      <c r="CO49">
        <f>IF(COUNTIFS(T_StockCount[RM_Code],$A49,T_StockCount[WeekIndex],92)&gt;0,SUMIFS(T_StockCount[CountedQty],T_StockCount[RM_Code],$A49,T_StockCount[WeekIndex],92),IF((COUNTIFS(T_SelfStock[RM_Code],$A49,T_SelfStock[WeekIndex],92)&gt;0)*(COUNTIFS(T_TTAFStock[RM_Code],$A49,T_TTAFStock[WeekIndex],92)&gt;0)&gt;0,SUMIFS(T_SelfStock[Self_Qty],T_SelfStock[RM_Code],$A49,T_SelfStock[WeekIndex],92)+SUMIFS(T_TTAFStock[TTAF_Qty],T_TTAFStock[RM_Code],$A49,T_TTAFStock[WeekIndex],92),CN49+'Grid_Incoming'!CO49-'Grid_Requirement'!CO49))</f>
        <v/>
      </c>
      <c r="CP49">
        <f>IF(COUNTIFS(T_StockCount[RM_Code],$A49,T_StockCount[WeekIndex],93)&gt;0,SUMIFS(T_StockCount[CountedQty],T_StockCount[RM_Code],$A49,T_StockCount[WeekIndex],93),IF((COUNTIFS(T_SelfStock[RM_Code],$A49,T_SelfStock[WeekIndex],93)&gt;0)*(COUNTIFS(T_TTAFStock[RM_Code],$A49,T_TTAFStock[WeekIndex],93)&gt;0)&gt;0,SUMIFS(T_SelfStock[Self_Qty],T_SelfStock[RM_Code],$A49,T_SelfStock[WeekIndex],93)+SUMIFS(T_TTAFStock[TTAF_Qty],T_TTAFStock[RM_Code],$A49,T_TTAFStock[WeekIndex],93),CO49+'Grid_Incoming'!CP49-'Grid_Requirement'!CP49))</f>
        <v/>
      </c>
      <c r="CQ49">
        <f>IF(COUNTIFS(T_StockCount[RM_Code],$A49,T_StockCount[WeekIndex],94)&gt;0,SUMIFS(T_StockCount[CountedQty],T_StockCount[RM_Code],$A49,T_StockCount[WeekIndex],94),IF((COUNTIFS(T_SelfStock[RM_Code],$A49,T_SelfStock[WeekIndex],94)&gt;0)*(COUNTIFS(T_TTAFStock[RM_Code],$A49,T_TTAFStock[WeekIndex],94)&gt;0)&gt;0,SUMIFS(T_SelfStock[Self_Qty],T_SelfStock[RM_Code],$A49,T_SelfStock[WeekIndex],94)+SUMIFS(T_TTAFStock[TTAF_Qty],T_TTAFStock[RM_Code],$A49,T_TTAFStock[WeekIndex],94),CP49+'Grid_Incoming'!CQ49-'Grid_Requirement'!CQ49))</f>
        <v/>
      </c>
      <c r="CR49">
        <f>IF(COUNTIFS(T_StockCount[RM_Code],$A49,T_StockCount[WeekIndex],95)&gt;0,SUMIFS(T_StockCount[CountedQty],T_StockCount[RM_Code],$A49,T_StockCount[WeekIndex],95),IF((COUNTIFS(T_SelfStock[RM_Code],$A49,T_SelfStock[WeekIndex],95)&gt;0)*(COUNTIFS(T_TTAFStock[RM_Code],$A49,T_TTAFStock[WeekIndex],95)&gt;0)&gt;0,SUMIFS(T_SelfStock[Self_Qty],T_SelfStock[RM_Code],$A49,T_SelfStock[WeekIndex],95)+SUMIFS(T_TTAFStock[TTAF_Qty],T_TTAFStock[RM_Code],$A49,T_TTAFStock[WeekIndex],95),CQ49+'Grid_Incoming'!CR49-'Grid_Requirement'!CR49))</f>
        <v/>
      </c>
      <c r="CS49">
        <f>IF(COUNTIFS(T_StockCount[RM_Code],$A49,T_StockCount[WeekIndex],96)&gt;0,SUMIFS(T_StockCount[CountedQty],T_StockCount[RM_Code],$A49,T_StockCount[WeekIndex],96),IF((COUNTIFS(T_SelfStock[RM_Code],$A49,T_SelfStock[WeekIndex],96)&gt;0)*(COUNTIFS(T_TTAFStock[RM_Code],$A49,T_TTAFStock[WeekIndex],96)&gt;0)&gt;0,SUMIFS(T_SelfStock[Self_Qty],T_SelfStock[RM_Code],$A49,T_SelfStock[WeekIndex],96)+SUMIFS(T_TTAFStock[TTAF_Qty],T_TTAFStock[RM_Code],$A49,T_TTAFStock[WeekIndex],96),CR49+'Grid_Incoming'!CS49-'Grid_Requirement'!CS49))</f>
        <v/>
      </c>
      <c r="CT49">
        <f>IF(COUNTIFS(T_StockCount[RM_Code],$A49,T_StockCount[WeekIndex],97)&gt;0,SUMIFS(T_StockCount[CountedQty],T_StockCount[RM_Code],$A49,T_StockCount[WeekIndex],97),IF((COUNTIFS(T_SelfStock[RM_Code],$A49,T_SelfStock[WeekIndex],97)&gt;0)*(COUNTIFS(T_TTAFStock[RM_Code],$A49,T_TTAFStock[WeekIndex],97)&gt;0)&gt;0,SUMIFS(T_SelfStock[Self_Qty],T_SelfStock[RM_Code],$A49,T_SelfStock[WeekIndex],97)+SUMIFS(T_TTAFStock[TTAF_Qty],T_TTAFStock[RM_Code],$A49,T_TTAFStock[WeekIndex],97),CS49+'Grid_Incoming'!CT49-'Grid_Requirement'!CT49))</f>
        <v/>
      </c>
      <c r="CU49">
        <f>IF(COUNTIFS(T_StockCount[RM_Code],$A49,T_StockCount[WeekIndex],98)&gt;0,SUMIFS(T_StockCount[CountedQty],T_StockCount[RM_Code],$A49,T_StockCount[WeekIndex],98),IF((COUNTIFS(T_SelfStock[RM_Code],$A49,T_SelfStock[WeekIndex],98)&gt;0)*(COUNTIFS(T_TTAFStock[RM_Code],$A49,T_TTAFStock[WeekIndex],98)&gt;0)&gt;0,SUMIFS(T_SelfStock[Self_Qty],T_SelfStock[RM_Code],$A49,T_SelfStock[WeekIndex],98)+SUMIFS(T_TTAFStock[TTAF_Qty],T_TTAFStock[RM_Code],$A49,T_TTAFStock[WeekIndex],98),CT49+'Grid_Incoming'!CU49-'Grid_Requirement'!CU49))</f>
        <v/>
      </c>
      <c r="CV49">
        <f>IF(COUNTIFS(T_StockCount[RM_Code],$A49,T_StockCount[WeekIndex],99)&gt;0,SUMIFS(T_StockCount[CountedQty],T_StockCount[RM_Code],$A49,T_StockCount[WeekIndex],99),IF((COUNTIFS(T_SelfStock[RM_Code],$A49,T_SelfStock[WeekIndex],99)&gt;0)*(COUNTIFS(T_TTAFStock[RM_Code],$A49,T_TTAFStock[WeekIndex],99)&gt;0)&gt;0,SUMIFS(T_SelfStock[Self_Qty],T_SelfStock[RM_Code],$A49,T_SelfStock[WeekIndex],99)+SUMIFS(T_TTAFStock[TTAF_Qty],T_TTAFStock[RM_Code],$A49,T_TTAFStock[WeekIndex],99),CU49+'Grid_Incoming'!CV49-'Grid_Requirement'!CV49))</f>
        <v/>
      </c>
      <c r="CW49">
        <f>IF(COUNTIFS(T_StockCount[RM_Code],$A49,T_StockCount[WeekIndex],100)&gt;0,SUMIFS(T_StockCount[CountedQty],T_StockCount[RM_Code],$A49,T_StockCount[WeekIndex],100),IF((COUNTIFS(T_SelfStock[RM_Code],$A49,T_SelfStock[WeekIndex],100)&gt;0)*(COUNTIFS(T_TTAFStock[RM_Code],$A49,T_TTAFStock[WeekIndex],100)&gt;0)&gt;0,SUMIFS(T_SelfStock[Self_Qty],T_SelfStock[RM_Code],$A49,T_SelfStock[WeekIndex],100)+SUMIFS(T_TTAFStock[TTAF_Qty],T_TTAFStock[RM_Code],$A49,T_TTAFStock[WeekIndex],100),CV49+'Grid_Incoming'!CW49-'Grid_Requirement'!CW49))</f>
        <v/>
      </c>
      <c r="CX49">
        <f>IF(COUNTIFS(T_StockCount[RM_Code],$A49,T_StockCount[WeekIndex],101)&gt;0,SUMIFS(T_StockCount[CountedQty],T_StockCount[RM_Code],$A49,T_StockCount[WeekIndex],101),IF((COUNTIFS(T_SelfStock[RM_Code],$A49,T_SelfStock[WeekIndex],101)&gt;0)*(COUNTIFS(T_TTAFStock[RM_Code],$A49,T_TTAFStock[WeekIndex],101)&gt;0)&gt;0,SUMIFS(T_SelfStock[Self_Qty],T_SelfStock[RM_Code],$A49,T_SelfStock[WeekIndex],101)+SUMIFS(T_TTAFStock[TTAF_Qty],T_TTAFStock[RM_Code],$A49,T_TTAFStock[WeekIndex],101),CW49+'Grid_Incoming'!CX49-'Grid_Requirement'!CX49))</f>
        <v/>
      </c>
      <c r="CY49">
        <f>IF(COUNTIFS(T_StockCount[RM_Code],$A49,T_StockCount[WeekIndex],102)&gt;0,SUMIFS(T_StockCount[CountedQty],T_StockCount[RM_Code],$A49,T_StockCount[WeekIndex],102),IF((COUNTIFS(T_SelfStock[RM_Code],$A49,T_SelfStock[WeekIndex],102)&gt;0)*(COUNTIFS(T_TTAFStock[RM_Code],$A49,T_TTAFStock[WeekIndex],102)&gt;0)&gt;0,SUMIFS(T_SelfStock[Self_Qty],T_SelfStock[RM_Code],$A49,T_SelfStock[WeekIndex],102)+SUMIFS(T_TTAFStock[TTAF_Qty],T_TTAFStock[RM_Code],$A49,T_TTAFStock[WeekIndex],102),CX49+'Grid_Incoming'!CY49-'Grid_Requirement'!CY49))</f>
        <v/>
      </c>
      <c r="CZ49">
        <f>IF(COUNTIFS(T_StockCount[RM_Code],$A49,T_StockCount[WeekIndex],103)&gt;0,SUMIFS(T_StockCount[CountedQty],T_StockCount[RM_Code],$A49,T_StockCount[WeekIndex],103),IF((COUNTIFS(T_SelfStock[RM_Code],$A49,T_SelfStock[WeekIndex],103)&gt;0)*(COUNTIFS(T_TTAFStock[RM_Code],$A49,T_TTAFStock[WeekIndex],103)&gt;0)&gt;0,SUMIFS(T_SelfStock[Self_Qty],T_SelfStock[RM_Code],$A49,T_SelfStock[WeekIndex],103)+SUMIFS(T_TTAFStock[TTAF_Qty],T_TTAFStock[RM_Code],$A49,T_TTAFStock[WeekIndex],103),CY49+'Grid_Incoming'!CZ49-'Grid_Requirement'!CZ49))</f>
        <v/>
      </c>
      <c r="DA49">
        <f>IF(COUNTIFS(T_StockCount[RM_Code],$A49,T_StockCount[WeekIndex],104)&gt;0,SUMIFS(T_StockCount[CountedQty],T_StockCount[RM_Code],$A49,T_StockCount[WeekIndex],104),IF((COUNTIFS(T_SelfStock[RM_Code],$A49,T_SelfStock[WeekIndex],104)&gt;0)*(COUNTIFS(T_TTAFStock[RM_Code],$A49,T_TTAFStock[WeekIndex],104)&gt;0)&gt;0,SUMIFS(T_SelfStock[Self_Qty],T_SelfStock[RM_Code],$A49,T_SelfStock[WeekIndex],104)+SUMIFS(T_TTAFStock[TTAF_Qty],T_TTAFStock[RM_Code],$A49,T_TTAFStock[WeekIndex],104),CZ49+'Grid_Incoming'!DA49-'Grid_Requirement'!DA49))</f>
        <v/>
      </c>
    </row>
    <row r="50">
      <c r="A50" t="inlineStr">
        <is>
          <t>CHEM-1480</t>
        </is>
      </c>
      <c r="B50">
        <f>IF(COUNTIFS(T_StockCount[RM_Code],$A50,T_StockCount[WeekIndex],1)&gt;0,SUMIFS(T_StockCount[CountedQty],T_StockCount[RM_Code],$A50,T_StockCount[WeekIndex],1),IF((COUNTIFS(T_SelfStock[RM_Code],$A50,T_SelfStock[WeekIndex],1)&gt;0)*(COUNTIFS(T_TTAFStock[RM_Code],$A50,T_TTAFStock[WeekIndex],1)&gt;0)&gt;0,SUMIFS(T_SelfStock[Self_Qty],T_SelfStock[RM_Code],$A50,T_SelfStock[WeekIndex],1)+SUMIFS(T_TTAFStock[TTAF_Qty],T_TTAFStock[RM_Code],$A50,T_TTAFStock[WeekIndex],1),IFERROR(INDEX(T_OpeningStock[Opening_Qty],MATCH($A50,T_OpeningStock[RM_Code],0)),0)+'Grid_Incoming'!B50-'Grid_Requirement'!B50))</f>
        <v/>
      </c>
      <c r="C50">
        <f>IF(COUNTIFS(T_StockCount[RM_Code],$A50,T_StockCount[WeekIndex],2)&gt;0,SUMIFS(T_StockCount[CountedQty],T_StockCount[RM_Code],$A50,T_StockCount[WeekIndex],2),IF((COUNTIFS(T_SelfStock[RM_Code],$A50,T_SelfStock[WeekIndex],2)&gt;0)*(COUNTIFS(T_TTAFStock[RM_Code],$A50,T_TTAFStock[WeekIndex],2)&gt;0)&gt;0,SUMIFS(T_SelfStock[Self_Qty],T_SelfStock[RM_Code],$A50,T_SelfStock[WeekIndex],2)+SUMIFS(T_TTAFStock[TTAF_Qty],T_TTAFStock[RM_Code],$A50,T_TTAFStock[WeekIndex],2),B50+'Grid_Incoming'!C50-'Grid_Requirement'!C50))</f>
        <v/>
      </c>
      <c r="D50">
        <f>IF(COUNTIFS(T_StockCount[RM_Code],$A50,T_StockCount[WeekIndex],3)&gt;0,SUMIFS(T_StockCount[CountedQty],T_StockCount[RM_Code],$A50,T_StockCount[WeekIndex],3),IF((COUNTIFS(T_SelfStock[RM_Code],$A50,T_SelfStock[WeekIndex],3)&gt;0)*(COUNTIFS(T_TTAFStock[RM_Code],$A50,T_TTAFStock[WeekIndex],3)&gt;0)&gt;0,SUMIFS(T_SelfStock[Self_Qty],T_SelfStock[RM_Code],$A50,T_SelfStock[WeekIndex],3)+SUMIFS(T_TTAFStock[TTAF_Qty],T_TTAFStock[RM_Code],$A50,T_TTAFStock[WeekIndex],3),C50+'Grid_Incoming'!D50-'Grid_Requirement'!D50))</f>
        <v/>
      </c>
      <c r="E50">
        <f>IF(COUNTIFS(T_StockCount[RM_Code],$A50,T_StockCount[WeekIndex],4)&gt;0,SUMIFS(T_StockCount[CountedQty],T_StockCount[RM_Code],$A50,T_StockCount[WeekIndex],4),IF((COUNTIFS(T_SelfStock[RM_Code],$A50,T_SelfStock[WeekIndex],4)&gt;0)*(COUNTIFS(T_TTAFStock[RM_Code],$A50,T_TTAFStock[WeekIndex],4)&gt;0)&gt;0,SUMIFS(T_SelfStock[Self_Qty],T_SelfStock[RM_Code],$A50,T_SelfStock[WeekIndex],4)+SUMIFS(T_TTAFStock[TTAF_Qty],T_TTAFStock[RM_Code],$A50,T_TTAFStock[WeekIndex],4),D50+'Grid_Incoming'!E50-'Grid_Requirement'!E50))</f>
        <v/>
      </c>
      <c r="F50">
        <f>IF(COUNTIFS(T_StockCount[RM_Code],$A50,T_StockCount[WeekIndex],5)&gt;0,SUMIFS(T_StockCount[CountedQty],T_StockCount[RM_Code],$A50,T_StockCount[WeekIndex],5),IF((COUNTIFS(T_SelfStock[RM_Code],$A50,T_SelfStock[WeekIndex],5)&gt;0)*(COUNTIFS(T_TTAFStock[RM_Code],$A50,T_TTAFStock[WeekIndex],5)&gt;0)&gt;0,SUMIFS(T_SelfStock[Self_Qty],T_SelfStock[RM_Code],$A50,T_SelfStock[WeekIndex],5)+SUMIFS(T_TTAFStock[TTAF_Qty],T_TTAFStock[RM_Code],$A50,T_TTAFStock[WeekIndex],5),E50+'Grid_Incoming'!F50-'Grid_Requirement'!F50))</f>
        <v/>
      </c>
      <c r="G50">
        <f>IF(COUNTIFS(T_StockCount[RM_Code],$A50,T_StockCount[WeekIndex],6)&gt;0,SUMIFS(T_StockCount[CountedQty],T_StockCount[RM_Code],$A50,T_StockCount[WeekIndex],6),IF((COUNTIFS(T_SelfStock[RM_Code],$A50,T_SelfStock[WeekIndex],6)&gt;0)*(COUNTIFS(T_TTAFStock[RM_Code],$A50,T_TTAFStock[WeekIndex],6)&gt;0)&gt;0,SUMIFS(T_SelfStock[Self_Qty],T_SelfStock[RM_Code],$A50,T_SelfStock[WeekIndex],6)+SUMIFS(T_TTAFStock[TTAF_Qty],T_TTAFStock[RM_Code],$A50,T_TTAFStock[WeekIndex],6),F50+'Grid_Incoming'!G50-'Grid_Requirement'!G50))</f>
        <v/>
      </c>
      <c r="H50">
        <f>IF(COUNTIFS(T_StockCount[RM_Code],$A50,T_StockCount[WeekIndex],7)&gt;0,SUMIFS(T_StockCount[CountedQty],T_StockCount[RM_Code],$A50,T_StockCount[WeekIndex],7),IF((COUNTIFS(T_SelfStock[RM_Code],$A50,T_SelfStock[WeekIndex],7)&gt;0)*(COUNTIFS(T_TTAFStock[RM_Code],$A50,T_TTAFStock[WeekIndex],7)&gt;0)&gt;0,SUMIFS(T_SelfStock[Self_Qty],T_SelfStock[RM_Code],$A50,T_SelfStock[WeekIndex],7)+SUMIFS(T_TTAFStock[TTAF_Qty],T_TTAFStock[RM_Code],$A50,T_TTAFStock[WeekIndex],7),G50+'Grid_Incoming'!H50-'Grid_Requirement'!H50))</f>
        <v/>
      </c>
      <c r="I50">
        <f>IF(COUNTIFS(T_StockCount[RM_Code],$A50,T_StockCount[WeekIndex],8)&gt;0,SUMIFS(T_StockCount[CountedQty],T_StockCount[RM_Code],$A50,T_StockCount[WeekIndex],8),IF((COUNTIFS(T_SelfStock[RM_Code],$A50,T_SelfStock[WeekIndex],8)&gt;0)*(COUNTIFS(T_TTAFStock[RM_Code],$A50,T_TTAFStock[WeekIndex],8)&gt;0)&gt;0,SUMIFS(T_SelfStock[Self_Qty],T_SelfStock[RM_Code],$A50,T_SelfStock[WeekIndex],8)+SUMIFS(T_TTAFStock[TTAF_Qty],T_TTAFStock[RM_Code],$A50,T_TTAFStock[WeekIndex],8),H50+'Grid_Incoming'!I50-'Grid_Requirement'!I50))</f>
        <v/>
      </c>
      <c r="J50">
        <f>IF(COUNTIFS(T_StockCount[RM_Code],$A50,T_StockCount[WeekIndex],9)&gt;0,SUMIFS(T_StockCount[CountedQty],T_StockCount[RM_Code],$A50,T_StockCount[WeekIndex],9),IF((COUNTIFS(T_SelfStock[RM_Code],$A50,T_SelfStock[WeekIndex],9)&gt;0)*(COUNTIFS(T_TTAFStock[RM_Code],$A50,T_TTAFStock[WeekIndex],9)&gt;0)&gt;0,SUMIFS(T_SelfStock[Self_Qty],T_SelfStock[RM_Code],$A50,T_SelfStock[WeekIndex],9)+SUMIFS(T_TTAFStock[TTAF_Qty],T_TTAFStock[RM_Code],$A50,T_TTAFStock[WeekIndex],9),I50+'Grid_Incoming'!J50-'Grid_Requirement'!J50))</f>
        <v/>
      </c>
      <c r="K50">
        <f>IF(COUNTIFS(T_StockCount[RM_Code],$A50,T_StockCount[WeekIndex],10)&gt;0,SUMIFS(T_StockCount[CountedQty],T_StockCount[RM_Code],$A50,T_StockCount[WeekIndex],10),IF((COUNTIFS(T_SelfStock[RM_Code],$A50,T_SelfStock[WeekIndex],10)&gt;0)*(COUNTIFS(T_TTAFStock[RM_Code],$A50,T_TTAFStock[WeekIndex],10)&gt;0)&gt;0,SUMIFS(T_SelfStock[Self_Qty],T_SelfStock[RM_Code],$A50,T_SelfStock[WeekIndex],10)+SUMIFS(T_TTAFStock[TTAF_Qty],T_TTAFStock[RM_Code],$A50,T_TTAFStock[WeekIndex],10),J50+'Grid_Incoming'!K50-'Grid_Requirement'!K50))</f>
        <v/>
      </c>
      <c r="L50">
        <f>IF(COUNTIFS(T_StockCount[RM_Code],$A50,T_StockCount[WeekIndex],11)&gt;0,SUMIFS(T_StockCount[CountedQty],T_StockCount[RM_Code],$A50,T_StockCount[WeekIndex],11),IF((COUNTIFS(T_SelfStock[RM_Code],$A50,T_SelfStock[WeekIndex],11)&gt;0)*(COUNTIFS(T_TTAFStock[RM_Code],$A50,T_TTAFStock[WeekIndex],11)&gt;0)&gt;0,SUMIFS(T_SelfStock[Self_Qty],T_SelfStock[RM_Code],$A50,T_SelfStock[WeekIndex],11)+SUMIFS(T_TTAFStock[TTAF_Qty],T_TTAFStock[RM_Code],$A50,T_TTAFStock[WeekIndex],11),K50+'Grid_Incoming'!L50-'Grid_Requirement'!L50))</f>
        <v/>
      </c>
      <c r="M50">
        <f>IF(COUNTIFS(T_StockCount[RM_Code],$A50,T_StockCount[WeekIndex],12)&gt;0,SUMIFS(T_StockCount[CountedQty],T_StockCount[RM_Code],$A50,T_StockCount[WeekIndex],12),IF((COUNTIFS(T_SelfStock[RM_Code],$A50,T_SelfStock[WeekIndex],12)&gt;0)*(COUNTIFS(T_TTAFStock[RM_Code],$A50,T_TTAFStock[WeekIndex],12)&gt;0)&gt;0,SUMIFS(T_SelfStock[Self_Qty],T_SelfStock[RM_Code],$A50,T_SelfStock[WeekIndex],12)+SUMIFS(T_TTAFStock[TTAF_Qty],T_TTAFStock[RM_Code],$A50,T_TTAFStock[WeekIndex],12),L50+'Grid_Incoming'!M50-'Grid_Requirement'!M50))</f>
        <v/>
      </c>
      <c r="N50">
        <f>IF(COUNTIFS(T_StockCount[RM_Code],$A50,T_StockCount[WeekIndex],13)&gt;0,SUMIFS(T_StockCount[CountedQty],T_StockCount[RM_Code],$A50,T_StockCount[WeekIndex],13),IF((COUNTIFS(T_SelfStock[RM_Code],$A50,T_SelfStock[WeekIndex],13)&gt;0)*(COUNTIFS(T_TTAFStock[RM_Code],$A50,T_TTAFStock[WeekIndex],13)&gt;0)&gt;0,SUMIFS(T_SelfStock[Self_Qty],T_SelfStock[RM_Code],$A50,T_SelfStock[WeekIndex],13)+SUMIFS(T_TTAFStock[TTAF_Qty],T_TTAFStock[RM_Code],$A50,T_TTAFStock[WeekIndex],13),M50+'Grid_Incoming'!N50-'Grid_Requirement'!N50))</f>
        <v/>
      </c>
      <c r="O50">
        <f>IF(COUNTIFS(T_StockCount[RM_Code],$A50,T_StockCount[WeekIndex],14)&gt;0,SUMIFS(T_StockCount[CountedQty],T_StockCount[RM_Code],$A50,T_StockCount[WeekIndex],14),IF((COUNTIFS(T_SelfStock[RM_Code],$A50,T_SelfStock[WeekIndex],14)&gt;0)*(COUNTIFS(T_TTAFStock[RM_Code],$A50,T_TTAFStock[WeekIndex],14)&gt;0)&gt;0,SUMIFS(T_SelfStock[Self_Qty],T_SelfStock[RM_Code],$A50,T_SelfStock[WeekIndex],14)+SUMIFS(T_TTAFStock[TTAF_Qty],T_TTAFStock[RM_Code],$A50,T_TTAFStock[WeekIndex],14),N50+'Grid_Incoming'!O50-'Grid_Requirement'!O50))</f>
        <v/>
      </c>
      <c r="P50">
        <f>IF(COUNTIFS(T_StockCount[RM_Code],$A50,T_StockCount[WeekIndex],15)&gt;0,SUMIFS(T_StockCount[CountedQty],T_StockCount[RM_Code],$A50,T_StockCount[WeekIndex],15),IF((COUNTIFS(T_SelfStock[RM_Code],$A50,T_SelfStock[WeekIndex],15)&gt;0)*(COUNTIFS(T_TTAFStock[RM_Code],$A50,T_TTAFStock[WeekIndex],15)&gt;0)&gt;0,SUMIFS(T_SelfStock[Self_Qty],T_SelfStock[RM_Code],$A50,T_SelfStock[WeekIndex],15)+SUMIFS(T_TTAFStock[TTAF_Qty],T_TTAFStock[RM_Code],$A50,T_TTAFStock[WeekIndex],15),O50+'Grid_Incoming'!P50-'Grid_Requirement'!P50))</f>
        <v/>
      </c>
      <c r="Q50">
        <f>IF(COUNTIFS(T_StockCount[RM_Code],$A50,T_StockCount[WeekIndex],16)&gt;0,SUMIFS(T_StockCount[CountedQty],T_StockCount[RM_Code],$A50,T_StockCount[WeekIndex],16),IF((COUNTIFS(T_SelfStock[RM_Code],$A50,T_SelfStock[WeekIndex],16)&gt;0)*(COUNTIFS(T_TTAFStock[RM_Code],$A50,T_TTAFStock[WeekIndex],16)&gt;0)&gt;0,SUMIFS(T_SelfStock[Self_Qty],T_SelfStock[RM_Code],$A50,T_SelfStock[WeekIndex],16)+SUMIFS(T_TTAFStock[TTAF_Qty],T_TTAFStock[RM_Code],$A50,T_TTAFStock[WeekIndex],16),P50+'Grid_Incoming'!Q50-'Grid_Requirement'!Q50))</f>
        <v/>
      </c>
      <c r="R50">
        <f>IF(COUNTIFS(T_StockCount[RM_Code],$A50,T_StockCount[WeekIndex],17)&gt;0,SUMIFS(T_StockCount[CountedQty],T_StockCount[RM_Code],$A50,T_StockCount[WeekIndex],17),IF((COUNTIFS(T_SelfStock[RM_Code],$A50,T_SelfStock[WeekIndex],17)&gt;0)*(COUNTIFS(T_TTAFStock[RM_Code],$A50,T_TTAFStock[WeekIndex],17)&gt;0)&gt;0,SUMIFS(T_SelfStock[Self_Qty],T_SelfStock[RM_Code],$A50,T_SelfStock[WeekIndex],17)+SUMIFS(T_TTAFStock[TTAF_Qty],T_TTAFStock[RM_Code],$A50,T_TTAFStock[WeekIndex],17),Q50+'Grid_Incoming'!R50-'Grid_Requirement'!R50))</f>
        <v/>
      </c>
      <c r="S50">
        <f>IF(COUNTIFS(T_StockCount[RM_Code],$A50,T_StockCount[WeekIndex],18)&gt;0,SUMIFS(T_StockCount[CountedQty],T_StockCount[RM_Code],$A50,T_StockCount[WeekIndex],18),IF((COUNTIFS(T_SelfStock[RM_Code],$A50,T_SelfStock[WeekIndex],18)&gt;0)*(COUNTIFS(T_TTAFStock[RM_Code],$A50,T_TTAFStock[WeekIndex],18)&gt;0)&gt;0,SUMIFS(T_SelfStock[Self_Qty],T_SelfStock[RM_Code],$A50,T_SelfStock[WeekIndex],18)+SUMIFS(T_TTAFStock[TTAF_Qty],T_TTAFStock[RM_Code],$A50,T_TTAFStock[WeekIndex],18),R50+'Grid_Incoming'!S50-'Grid_Requirement'!S50))</f>
        <v/>
      </c>
      <c r="T50">
        <f>IF(COUNTIFS(T_StockCount[RM_Code],$A50,T_StockCount[WeekIndex],19)&gt;0,SUMIFS(T_StockCount[CountedQty],T_StockCount[RM_Code],$A50,T_StockCount[WeekIndex],19),IF((COUNTIFS(T_SelfStock[RM_Code],$A50,T_SelfStock[WeekIndex],19)&gt;0)*(COUNTIFS(T_TTAFStock[RM_Code],$A50,T_TTAFStock[WeekIndex],19)&gt;0)&gt;0,SUMIFS(T_SelfStock[Self_Qty],T_SelfStock[RM_Code],$A50,T_SelfStock[WeekIndex],19)+SUMIFS(T_TTAFStock[TTAF_Qty],T_TTAFStock[RM_Code],$A50,T_TTAFStock[WeekIndex],19),S50+'Grid_Incoming'!T50-'Grid_Requirement'!T50))</f>
        <v/>
      </c>
      <c r="U50">
        <f>IF(COUNTIFS(T_StockCount[RM_Code],$A50,T_StockCount[WeekIndex],20)&gt;0,SUMIFS(T_StockCount[CountedQty],T_StockCount[RM_Code],$A50,T_StockCount[WeekIndex],20),IF((COUNTIFS(T_SelfStock[RM_Code],$A50,T_SelfStock[WeekIndex],20)&gt;0)*(COUNTIFS(T_TTAFStock[RM_Code],$A50,T_TTAFStock[WeekIndex],20)&gt;0)&gt;0,SUMIFS(T_SelfStock[Self_Qty],T_SelfStock[RM_Code],$A50,T_SelfStock[WeekIndex],20)+SUMIFS(T_TTAFStock[TTAF_Qty],T_TTAFStock[RM_Code],$A50,T_TTAFStock[WeekIndex],20),T50+'Grid_Incoming'!U50-'Grid_Requirement'!U50))</f>
        <v/>
      </c>
      <c r="V50">
        <f>IF(COUNTIFS(T_StockCount[RM_Code],$A50,T_StockCount[WeekIndex],21)&gt;0,SUMIFS(T_StockCount[CountedQty],T_StockCount[RM_Code],$A50,T_StockCount[WeekIndex],21),IF((COUNTIFS(T_SelfStock[RM_Code],$A50,T_SelfStock[WeekIndex],21)&gt;0)*(COUNTIFS(T_TTAFStock[RM_Code],$A50,T_TTAFStock[WeekIndex],21)&gt;0)&gt;0,SUMIFS(T_SelfStock[Self_Qty],T_SelfStock[RM_Code],$A50,T_SelfStock[WeekIndex],21)+SUMIFS(T_TTAFStock[TTAF_Qty],T_TTAFStock[RM_Code],$A50,T_TTAFStock[WeekIndex],21),U50+'Grid_Incoming'!V50-'Grid_Requirement'!V50))</f>
        <v/>
      </c>
      <c r="W50">
        <f>IF(COUNTIFS(T_StockCount[RM_Code],$A50,T_StockCount[WeekIndex],22)&gt;0,SUMIFS(T_StockCount[CountedQty],T_StockCount[RM_Code],$A50,T_StockCount[WeekIndex],22),IF((COUNTIFS(T_SelfStock[RM_Code],$A50,T_SelfStock[WeekIndex],22)&gt;0)*(COUNTIFS(T_TTAFStock[RM_Code],$A50,T_TTAFStock[WeekIndex],22)&gt;0)&gt;0,SUMIFS(T_SelfStock[Self_Qty],T_SelfStock[RM_Code],$A50,T_SelfStock[WeekIndex],22)+SUMIFS(T_TTAFStock[TTAF_Qty],T_TTAFStock[RM_Code],$A50,T_TTAFStock[WeekIndex],22),V50+'Grid_Incoming'!W50-'Grid_Requirement'!W50))</f>
        <v/>
      </c>
      <c r="X50">
        <f>IF(COUNTIFS(T_StockCount[RM_Code],$A50,T_StockCount[WeekIndex],23)&gt;0,SUMIFS(T_StockCount[CountedQty],T_StockCount[RM_Code],$A50,T_StockCount[WeekIndex],23),IF((COUNTIFS(T_SelfStock[RM_Code],$A50,T_SelfStock[WeekIndex],23)&gt;0)*(COUNTIFS(T_TTAFStock[RM_Code],$A50,T_TTAFStock[WeekIndex],23)&gt;0)&gt;0,SUMIFS(T_SelfStock[Self_Qty],T_SelfStock[RM_Code],$A50,T_SelfStock[WeekIndex],23)+SUMIFS(T_TTAFStock[TTAF_Qty],T_TTAFStock[RM_Code],$A50,T_TTAFStock[WeekIndex],23),W50+'Grid_Incoming'!X50-'Grid_Requirement'!X50))</f>
        <v/>
      </c>
      <c r="Y50">
        <f>IF(COUNTIFS(T_StockCount[RM_Code],$A50,T_StockCount[WeekIndex],24)&gt;0,SUMIFS(T_StockCount[CountedQty],T_StockCount[RM_Code],$A50,T_StockCount[WeekIndex],24),IF((COUNTIFS(T_SelfStock[RM_Code],$A50,T_SelfStock[WeekIndex],24)&gt;0)*(COUNTIFS(T_TTAFStock[RM_Code],$A50,T_TTAFStock[WeekIndex],24)&gt;0)&gt;0,SUMIFS(T_SelfStock[Self_Qty],T_SelfStock[RM_Code],$A50,T_SelfStock[WeekIndex],24)+SUMIFS(T_TTAFStock[TTAF_Qty],T_TTAFStock[RM_Code],$A50,T_TTAFStock[WeekIndex],24),X50+'Grid_Incoming'!Y50-'Grid_Requirement'!Y50))</f>
        <v/>
      </c>
      <c r="Z50">
        <f>IF(COUNTIFS(T_StockCount[RM_Code],$A50,T_StockCount[WeekIndex],25)&gt;0,SUMIFS(T_StockCount[CountedQty],T_StockCount[RM_Code],$A50,T_StockCount[WeekIndex],25),IF((COUNTIFS(T_SelfStock[RM_Code],$A50,T_SelfStock[WeekIndex],25)&gt;0)*(COUNTIFS(T_TTAFStock[RM_Code],$A50,T_TTAFStock[WeekIndex],25)&gt;0)&gt;0,SUMIFS(T_SelfStock[Self_Qty],T_SelfStock[RM_Code],$A50,T_SelfStock[WeekIndex],25)+SUMIFS(T_TTAFStock[TTAF_Qty],T_TTAFStock[RM_Code],$A50,T_TTAFStock[WeekIndex],25),Y50+'Grid_Incoming'!Z50-'Grid_Requirement'!Z50))</f>
        <v/>
      </c>
      <c r="AA50">
        <f>IF(COUNTIFS(T_StockCount[RM_Code],$A50,T_StockCount[WeekIndex],26)&gt;0,SUMIFS(T_StockCount[CountedQty],T_StockCount[RM_Code],$A50,T_StockCount[WeekIndex],26),IF((COUNTIFS(T_SelfStock[RM_Code],$A50,T_SelfStock[WeekIndex],26)&gt;0)*(COUNTIFS(T_TTAFStock[RM_Code],$A50,T_TTAFStock[WeekIndex],26)&gt;0)&gt;0,SUMIFS(T_SelfStock[Self_Qty],T_SelfStock[RM_Code],$A50,T_SelfStock[WeekIndex],26)+SUMIFS(T_TTAFStock[TTAF_Qty],T_TTAFStock[RM_Code],$A50,T_TTAFStock[WeekIndex],26),Z50+'Grid_Incoming'!AA50-'Grid_Requirement'!AA50))</f>
        <v/>
      </c>
      <c r="AB50">
        <f>IF(COUNTIFS(T_StockCount[RM_Code],$A50,T_StockCount[WeekIndex],27)&gt;0,SUMIFS(T_StockCount[CountedQty],T_StockCount[RM_Code],$A50,T_StockCount[WeekIndex],27),IF((COUNTIFS(T_SelfStock[RM_Code],$A50,T_SelfStock[WeekIndex],27)&gt;0)*(COUNTIFS(T_TTAFStock[RM_Code],$A50,T_TTAFStock[WeekIndex],27)&gt;0)&gt;0,SUMIFS(T_SelfStock[Self_Qty],T_SelfStock[RM_Code],$A50,T_SelfStock[WeekIndex],27)+SUMIFS(T_TTAFStock[TTAF_Qty],T_TTAFStock[RM_Code],$A50,T_TTAFStock[WeekIndex],27),AA50+'Grid_Incoming'!AB50-'Grid_Requirement'!AB50))</f>
        <v/>
      </c>
      <c r="AC50">
        <f>IF(COUNTIFS(T_StockCount[RM_Code],$A50,T_StockCount[WeekIndex],28)&gt;0,SUMIFS(T_StockCount[CountedQty],T_StockCount[RM_Code],$A50,T_StockCount[WeekIndex],28),IF((COUNTIFS(T_SelfStock[RM_Code],$A50,T_SelfStock[WeekIndex],28)&gt;0)*(COUNTIFS(T_TTAFStock[RM_Code],$A50,T_TTAFStock[WeekIndex],28)&gt;0)&gt;0,SUMIFS(T_SelfStock[Self_Qty],T_SelfStock[RM_Code],$A50,T_SelfStock[WeekIndex],28)+SUMIFS(T_TTAFStock[TTAF_Qty],T_TTAFStock[RM_Code],$A50,T_TTAFStock[WeekIndex],28),AB50+'Grid_Incoming'!AC50-'Grid_Requirement'!AC50))</f>
        <v/>
      </c>
      <c r="AD50">
        <f>IF(COUNTIFS(T_StockCount[RM_Code],$A50,T_StockCount[WeekIndex],29)&gt;0,SUMIFS(T_StockCount[CountedQty],T_StockCount[RM_Code],$A50,T_StockCount[WeekIndex],29),IF((COUNTIFS(T_SelfStock[RM_Code],$A50,T_SelfStock[WeekIndex],29)&gt;0)*(COUNTIFS(T_TTAFStock[RM_Code],$A50,T_TTAFStock[WeekIndex],29)&gt;0)&gt;0,SUMIFS(T_SelfStock[Self_Qty],T_SelfStock[RM_Code],$A50,T_SelfStock[WeekIndex],29)+SUMIFS(T_TTAFStock[TTAF_Qty],T_TTAFStock[RM_Code],$A50,T_TTAFStock[WeekIndex],29),AC50+'Grid_Incoming'!AD50-'Grid_Requirement'!AD50))</f>
        <v/>
      </c>
      <c r="AE50">
        <f>IF(COUNTIFS(T_StockCount[RM_Code],$A50,T_StockCount[WeekIndex],30)&gt;0,SUMIFS(T_StockCount[CountedQty],T_StockCount[RM_Code],$A50,T_StockCount[WeekIndex],30),IF((COUNTIFS(T_SelfStock[RM_Code],$A50,T_SelfStock[WeekIndex],30)&gt;0)*(COUNTIFS(T_TTAFStock[RM_Code],$A50,T_TTAFStock[WeekIndex],30)&gt;0)&gt;0,SUMIFS(T_SelfStock[Self_Qty],T_SelfStock[RM_Code],$A50,T_SelfStock[WeekIndex],30)+SUMIFS(T_TTAFStock[TTAF_Qty],T_TTAFStock[RM_Code],$A50,T_TTAFStock[WeekIndex],30),AD50+'Grid_Incoming'!AE50-'Grid_Requirement'!AE50))</f>
        <v/>
      </c>
      <c r="AF50">
        <f>IF(COUNTIFS(T_StockCount[RM_Code],$A50,T_StockCount[WeekIndex],31)&gt;0,SUMIFS(T_StockCount[CountedQty],T_StockCount[RM_Code],$A50,T_StockCount[WeekIndex],31),IF((COUNTIFS(T_SelfStock[RM_Code],$A50,T_SelfStock[WeekIndex],31)&gt;0)*(COUNTIFS(T_TTAFStock[RM_Code],$A50,T_TTAFStock[WeekIndex],31)&gt;0)&gt;0,SUMIFS(T_SelfStock[Self_Qty],T_SelfStock[RM_Code],$A50,T_SelfStock[WeekIndex],31)+SUMIFS(T_TTAFStock[TTAF_Qty],T_TTAFStock[RM_Code],$A50,T_TTAFStock[WeekIndex],31),AE50+'Grid_Incoming'!AF50-'Grid_Requirement'!AF50))</f>
        <v/>
      </c>
      <c r="AG50">
        <f>IF(COUNTIFS(T_StockCount[RM_Code],$A50,T_StockCount[WeekIndex],32)&gt;0,SUMIFS(T_StockCount[CountedQty],T_StockCount[RM_Code],$A50,T_StockCount[WeekIndex],32),IF((COUNTIFS(T_SelfStock[RM_Code],$A50,T_SelfStock[WeekIndex],32)&gt;0)*(COUNTIFS(T_TTAFStock[RM_Code],$A50,T_TTAFStock[WeekIndex],32)&gt;0)&gt;0,SUMIFS(T_SelfStock[Self_Qty],T_SelfStock[RM_Code],$A50,T_SelfStock[WeekIndex],32)+SUMIFS(T_TTAFStock[TTAF_Qty],T_TTAFStock[RM_Code],$A50,T_TTAFStock[WeekIndex],32),AF50+'Grid_Incoming'!AG50-'Grid_Requirement'!AG50))</f>
        <v/>
      </c>
      <c r="AH50">
        <f>IF(COUNTIFS(T_StockCount[RM_Code],$A50,T_StockCount[WeekIndex],33)&gt;0,SUMIFS(T_StockCount[CountedQty],T_StockCount[RM_Code],$A50,T_StockCount[WeekIndex],33),IF((COUNTIFS(T_SelfStock[RM_Code],$A50,T_SelfStock[WeekIndex],33)&gt;0)*(COUNTIFS(T_TTAFStock[RM_Code],$A50,T_TTAFStock[WeekIndex],33)&gt;0)&gt;0,SUMIFS(T_SelfStock[Self_Qty],T_SelfStock[RM_Code],$A50,T_SelfStock[WeekIndex],33)+SUMIFS(T_TTAFStock[TTAF_Qty],T_TTAFStock[RM_Code],$A50,T_TTAFStock[WeekIndex],33),AG50+'Grid_Incoming'!AH50-'Grid_Requirement'!AH50))</f>
        <v/>
      </c>
      <c r="AI50">
        <f>IF(COUNTIFS(T_StockCount[RM_Code],$A50,T_StockCount[WeekIndex],34)&gt;0,SUMIFS(T_StockCount[CountedQty],T_StockCount[RM_Code],$A50,T_StockCount[WeekIndex],34),IF((COUNTIFS(T_SelfStock[RM_Code],$A50,T_SelfStock[WeekIndex],34)&gt;0)*(COUNTIFS(T_TTAFStock[RM_Code],$A50,T_TTAFStock[WeekIndex],34)&gt;0)&gt;0,SUMIFS(T_SelfStock[Self_Qty],T_SelfStock[RM_Code],$A50,T_SelfStock[WeekIndex],34)+SUMIFS(T_TTAFStock[TTAF_Qty],T_TTAFStock[RM_Code],$A50,T_TTAFStock[WeekIndex],34),AH50+'Grid_Incoming'!AI50-'Grid_Requirement'!AI50))</f>
        <v/>
      </c>
      <c r="AJ50">
        <f>IF(COUNTIFS(T_StockCount[RM_Code],$A50,T_StockCount[WeekIndex],35)&gt;0,SUMIFS(T_StockCount[CountedQty],T_StockCount[RM_Code],$A50,T_StockCount[WeekIndex],35),IF((COUNTIFS(T_SelfStock[RM_Code],$A50,T_SelfStock[WeekIndex],35)&gt;0)*(COUNTIFS(T_TTAFStock[RM_Code],$A50,T_TTAFStock[WeekIndex],35)&gt;0)&gt;0,SUMIFS(T_SelfStock[Self_Qty],T_SelfStock[RM_Code],$A50,T_SelfStock[WeekIndex],35)+SUMIFS(T_TTAFStock[TTAF_Qty],T_TTAFStock[RM_Code],$A50,T_TTAFStock[WeekIndex],35),AI50+'Grid_Incoming'!AJ50-'Grid_Requirement'!AJ50))</f>
        <v/>
      </c>
      <c r="AK50">
        <f>IF(COUNTIFS(T_StockCount[RM_Code],$A50,T_StockCount[WeekIndex],36)&gt;0,SUMIFS(T_StockCount[CountedQty],T_StockCount[RM_Code],$A50,T_StockCount[WeekIndex],36),IF((COUNTIFS(T_SelfStock[RM_Code],$A50,T_SelfStock[WeekIndex],36)&gt;0)*(COUNTIFS(T_TTAFStock[RM_Code],$A50,T_TTAFStock[WeekIndex],36)&gt;0)&gt;0,SUMIFS(T_SelfStock[Self_Qty],T_SelfStock[RM_Code],$A50,T_SelfStock[WeekIndex],36)+SUMIFS(T_TTAFStock[TTAF_Qty],T_TTAFStock[RM_Code],$A50,T_TTAFStock[WeekIndex],36),AJ50+'Grid_Incoming'!AK50-'Grid_Requirement'!AK50))</f>
        <v/>
      </c>
      <c r="AL50">
        <f>IF(COUNTIFS(T_StockCount[RM_Code],$A50,T_StockCount[WeekIndex],37)&gt;0,SUMIFS(T_StockCount[CountedQty],T_StockCount[RM_Code],$A50,T_StockCount[WeekIndex],37),IF((COUNTIFS(T_SelfStock[RM_Code],$A50,T_SelfStock[WeekIndex],37)&gt;0)*(COUNTIFS(T_TTAFStock[RM_Code],$A50,T_TTAFStock[WeekIndex],37)&gt;0)&gt;0,SUMIFS(T_SelfStock[Self_Qty],T_SelfStock[RM_Code],$A50,T_SelfStock[WeekIndex],37)+SUMIFS(T_TTAFStock[TTAF_Qty],T_TTAFStock[RM_Code],$A50,T_TTAFStock[WeekIndex],37),AK50+'Grid_Incoming'!AL50-'Grid_Requirement'!AL50))</f>
        <v/>
      </c>
      <c r="AM50">
        <f>IF(COUNTIFS(T_StockCount[RM_Code],$A50,T_StockCount[WeekIndex],38)&gt;0,SUMIFS(T_StockCount[CountedQty],T_StockCount[RM_Code],$A50,T_StockCount[WeekIndex],38),IF((COUNTIFS(T_SelfStock[RM_Code],$A50,T_SelfStock[WeekIndex],38)&gt;0)*(COUNTIFS(T_TTAFStock[RM_Code],$A50,T_TTAFStock[WeekIndex],38)&gt;0)&gt;0,SUMIFS(T_SelfStock[Self_Qty],T_SelfStock[RM_Code],$A50,T_SelfStock[WeekIndex],38)+SUMIFS(T_TTAFStock[TTAF_Qty],T_TTAFStock[RM_Code],$A50,T_TTAFStock[WeekIndex],38),AL50+'Grid_Incoming'!AM50-'Grid_Requirement'!AM50))</f>
        <v/>
      </c>
      <c r="AN50">
        <f>IF(COUNTIFS(T_StockCount[RM_Code],$A50,T_StockCount[WeekIndex],39)&gt;0,SUMIFS(T_StockCount[CountedQty],T_StockCount[RM_Code],$A50,T_StockCount[WeekIndex],39),IF((COUNTIFS(T_SelfStock[RM_Code],$A50,T_SelfStock[WeekIndex],39)&gt;0)*(COUNTIFS(T_TTAFStock[RM_Code],$A50,T_TTAFStock[WeekIndex],39)&gt;0)&gt;0,SUMIFS(T_SelfStock[Self_Qty],T_SelfStock[RM_Code],$A50,T_SelfStock[WeekIndex],39)+SUMIFS(T_TTAFStock[TTAF_Qty],T_TTAFStock[RM_Code],$A50,T_TTAFStock[WeekIndex],39),AM50+'Grid_Incoming'!AN50-'Grid_Requirement'!AN50))</f>
        <v/>
      </c>
      <c r="AO50">
        <f>IF(COUNTIFS(T_StockCount[RM_Code],$A50,T_StockCount[WeekIndex],40)&gt;0,SUMIFS(T_StockCount[CountedQty],T_StockCount[RM_Code],$A50,T_StockCount[WeekIndex],40),IF((COUNTIFS(T_SelfStock[RM_Code],$A50,T_SelfStock[WeekIndex],40)&gt;0)*(COUNTIFS(T_TTAFStock[RM_Code],$A50,T_TTAFStock[WeekIndex],40)&gt;0)&gt;0,SUMIFS(T_SelfStock[Self_Qty],T_SelfStock[RM_Code],$A50,T_SelfStock[WeekIndex],40)+SUMIFS(T_TTAFStock[TTAF_Qty],T_TTAFStock[RM_Code],$A50,T_TTAFStock[WeekIndex],40),AN50+'Grid_Incoming'!AO50-'Grid_Requirement'!AO50))</f>
        <v/>
      </c>
      <c r="AP50">
        <f>IF(COUNTIFS(T_StockCount[RM_Code],$A50,T_StockCount[WeekIndex],41)&gt;0,SUMIFS(T_StockCount[CountedQty],T_StockCount[RM_Code],$A50,T_StockCount[WeekIndex],41),IF((COUNTIFS(T_SelfStock[RM_Code],$A50,T_SelfStock[WeekIndex],41)&gt;0)*(COUNTIFS(T_TTAFStock[RM_Code],$A50,T_TTAFStock[WeekIndex],41)&gt;0)&gt;0,SUMIFS(T_SelfStock[Self_Qty],T_SelfStock[RM_Code],$A50,T_SelfStock[WeekIndex],41)+SUMIFS(T_TTAFStock[TTAF_Qty],T_TTAFStock[RM_Code],$A50,T_TTAFStock[WeekIndex],41),AO50+'Grid_Incoming'!AP50-'Grid_Requirement'!AP50))</f>
        <v/>
      </c>
      <c r="AQ50">
        <f>IF(COUNTIFS(T_StockCount[RM_Code],$A50,T_StockCount[WeekIndex],42)&gt;0,SUMIFS(T_StockCount[CountedQty],T_StockCount[RM_Code],$A50,T_StockCount[WeekIndex],42),IF((COUNTIFS(T_SelfStock[RM_Code],$A50,T_SelfStock[WeekIndex],42)&gt;0)*(COUNTIFS(T_TTAFStock[RM_Code],$A50,T_TTAFStock[WeekIndex],42)&gt;0)&gt;0,SUMIFS(T_SelfStock[Self_Qty],T_SelfStock[RM_Code],$A50,T_SelfStock[WeekIndex],42)+SUMIFS(T_TTAFStock[TTAF_Qty],T_TTAFStock[RM_Code],$A50,T_TTAFStock[WeekIndex],42),AP50+'Grid_Incoming'!AQ50-'Grid_Requirement'!AQ50))</f>
        <v/>
      </c>
      <c r="AR50">
        <f>IF(COUNTIFS(T_StockCount[RM_Code],$A50,T_StockCount[WeekIndex],43)&gt;0,SUMIFS(T_StockCount[CountedQty],T_StockCount[RM_Code],$A50,T_StockCount[WeekIndex],43),IF((COUNTIFS(T_SelfStock[RM_Code],$A50,T_SelfStock[WeekIndex],43)&gt;0)*(COUNTIFS(T_TTAFStock[RM_Code],$A50,T_TTAFStock[WeekIndex],43)&gt;0)&gt;0,SUMIFS(T_SelfStock[Self_Qty],T_SelfStock[RM_Code],$A50,T_SelfStock[WeekIndex],43)+SUMIFS(T_TTAFStock[TTAF_Qty],T_TTAFStock[RM_Code],$A50,T_TTAFStock[WeekIndex],43),AQ50+'Grid_Incoming'!AR50-'Grid_Requirement'!AR50))</f>
        <v/>
      </c>
      <c r="AS50">
        <f>IF(COUNTIFS(T_StockCount[RM_Code],$A50,T_StockCount[WeekIndex],44)&gt;0,SUMIFS(T_StockCount[CountedQty],T_StockCount[RM_Code],$A50,T_StockCount[WeekIndex],44),IF((COUNTIFS(T_SelfStock[RM_Code],$A50,T_SelfStock[WeekIndex],44)&gt;0)*(COUNTIFS(T_TTAFStock[RM_Code],$A50,T_TTAFStock[WeekIndex],44)&gt;0)&gt;0,SUMIFS(T_SelfStock[Self_Qty],T_SelfStock[RM_Code],$A50,T_SelfStock[WeekIndex],44)+SUMIFS(T_TTAFStock[TTAF_Qty],T_TTAFStock[RM_Code],$A50,T_TTAFStock[WeekIndex],44),AR50+'Grid_Incoming'!AS50-'Grid_Requirement'!AS50))</f>
        <v/>
      </c>
      <c r="AT50">
        <f>IF(COUNTIFS(T_StockCount[RM_Code],$A50,T_StockCount[WeekIndex],45)&gt;0,SUMIFS(T_StockCount[CountedQty],T_StockCount[RM_Code],$A50,T_StockCount[WeekIndex],45),IF((COUNTIFS(T_SelfStock[RM_Code],$A50,T_SelfStock[WeekIndex],45)&gt;0)*(COUNTIFS(T_TTAFStock[RM_Code],$A50,T_TTAFStock[WeekIndex],45)&gt;0)&gt;0,SUMIFS(T_SelfStock[Self_Qty],T_SelfStock[RM_Code],$A50,T_SelfStock[WeekIndex],45)+SUMIFS(T_TTAFStock[TTAF_Qty],T_TTAFStock[RM_Code],$A50,T_TTAFStock[WeekIndex],45),AS50+'Grid_Incoming'!AT50-'Grid_Requirement'!AT50))</f>
        <v/>
      </c>
      <c r="AU50">
        <f>IF(COUNTIFS(T_StockCount[RM_Code],$A50,T_StockCount[WeekIndex],46)&gt;0,SUMIFS(T_StockCount[CountedQty],T_StockCount[RM_Code],$A50,T_StockCount[WeekIndex],46),IF((COUNTIFS(T_SelfStock[RM_Code],$A50,T_SelfStock[WeekIndex],46)&gt;0)*(COUNTIFS(T_TTAFStock[RM_Code],$A50,T_TTAFStock[WeekIndex],46)&gt;0)&gt;0,SUMIFS(T_SelfStock[Self_Qty],T_SelfStock[RM_Code],$A50,T_SelfStock[WeekIndex],46)+SUMIFS(T_TTAFStock[TTAF_Qty],T_TTAFStock[RM_Code],$A50,T_TTAFStock[WeekIndex],46),AT50+'Grid_Incoming'!AU50-'Grid_Requirement'!AU50))</f>
        <v/>
      </c>
      <c r="AV50">
        <f>IF(COUNTIFS(T_StockCount[RM_Code],$A50,T_StockCount[WeekIndex],47)&gt;0,SUMIFS(T_StockCount[CountedQty],T_StockCount[RM_Code],$A50,T_StockCount[WeekIndex],47),IF((COUNTIFS(T_SelfStock[RM_Code],$A50,T_SelfStock[WeekIndex],47)&gt;0)*(COUNTIFS(T_TTAFStock[RM_Code],$A50,T_TTAFStock[WeekIndex],47)&gt;0)&gt;0,SUMIFS(T_SelfStock[Self_Qty],T_SelfStock[RM_Code],$A50,T_SelfStock[WeekIndex],47)+SUMIFS(T_TTAFStock[TTAF_Qty],T_TTAFStock[RM_Code],$A50,T_TTAFStock[WeekIndex],47),AU50+'Grid_Incoming'!AV50-'Grid_Requirement'!AV50))</f>
        <v/>
      </c>
      <c r="AW50">
        <f>IF(COUNTIFS(T_StockCount[RM_Code],$A50,T_StockCount[WeekIndex],48)&gt;0,SUMIFS(T_StockCount[CountedQty],T_StockCount[RM_Code],$A50,T_StockCount[WeekIndex],48),IF((COUNTIFS(T_SelfStock[RM_Code],$A50,T_SelfStock[WeekIndex],48)&gt;0)*(COUNTIFS(T_TTAFStock[RM_Code],$A50,T_TTAFStock[WeekIndex],48)&gt;0)&gt;0,SUMIFS(T_SelfStock[Self_Qty],T_SelfStock[RM_Code],$A50,T_SelfStock[WeekIndex],48)+SUMIFS(T_TTAFStock[TTAF_Qty],T_TTAFStock[RM_Code],$A50,T_TTAFStock[WeekIndex],48),AV50+'Grid_Incoming'!AW50-'Grid_Requirement'!AW50))</f>
        <v/>
      </c>
      <c r="AX50">
        <f>IF(COUNTIFS(T_StockCount[RM_Code],$A50,T_StockCount[WeekIndex],49)&gt;0,SUMIFS(T_StockCount[CountedQty],T_StockCount[RM_Code],$A50,T_StockCount[WeekIndex],49),IF((COUNTIFS(T_SelfStock[RM_Code],$A50,T_SelfStock[WeekIndex],49)&gt;0)*(COUNTIFS(T_TTAFStock[RM_Code],$A50,T_TTAFStock[WeekIndex],49)&gt;0)&gt;0,SUMIFS(T_SelfStock[Self_Qty],T_SelfStock[RM_Code],$A50,T_SelfStock[WeekIndex],49)+SUMIFS(T_TTAFStock[TTAF_Qty],T_TTAFStock[RM_Code],$A50,T_TTAFStock[WeekIndex],49),AW50+'Grid_Incoming'!AX50-'Grid_Requirement'!AX50))</f>
        <v/>
      </c>
      <c r="AY50">
        <f>IF(COUNTIFS(T_StockCount[RM_Code],$A50,T_StockCount[WeekIndex],50)&gt;0,SUMIFS(T_StockCount[CountedQty],T_StockCount[RM_Code],$A50,T_StockCount[WeekIndex],50),IF((COUNTIFS(T_SelfStock[RM_Code],$A50,T_SelfStock[WeekIndex],50)&gt;0)*(COUNTIFS(T_TTAFStock[RM_Code],$A50,T_TTAFStock[WeekIndex],50)&gt;0)&gt;0,SUMIFS(T_SelfStock[Self_Qty],T_SelfStock[RM_Code],$A50,T_SelfStock[WeekIndex],50)+SUMIFS(T_TTAFStock[TTAF_Qty],T_TTAFStock[RM_Code],$A50,T_TTAFStock[WeekIndex],50),AX50+'Grid_Incoming'!AY50-'Grid_Requirement'!AY50))</f>
        <v/>
      </c>
      <c r="AZ50">
        <f>IF(COUNTIFS(T_StockCount[RM_Code],$A50,T_StockCount[WeekIndex],51)&gt;0,SUMIFS(T_StockCount[CountedQty],T_StockCount[RM_Code],$A50,T_StockCount[WeekIndex],51),IF((COUNTIFS(T_SelfStock[RM_Code],$A50,T_SelfStock[WeekIndex],51)&gt;0)*(COUNTIFS(T_TTAFStock[RM_Code],$A50,T_TTAFStock[WeekIndex],51)&gt;0)&gt;0,SUMIFS(T_SelfStock[Self_Qty],T_SelfStock[RM_Code],$A50,T_SelfStock[WeekIndex],51)+SUMIFS(T_TTAFStock[TTAF_Qty],T_TTAFStock[RM_Code],$A50,T_TTAFStock[WeekIndex],51),AY50+'Grid_Incoming'!AZ50-'Grid_Requirement'!AZ50))</f>
        <v/>
      </c>
      <c r="BA50">
        <f>IF(COUNTIFS(T_StockCount[RM_Code],$A50,T_StockCount[WeekIndex],52)&gt;0,SUMIFS(T_StockCount[CountedQty],T_StockCount[RM_Code],$A50,T_StockCount[WeekIndex],52),IF((COUNTIFS(T_SelfStock[RM_Code],$A50,T_SelfStock[WeekIndex],52)&gt;0)*(COUNTIFS(T_TTAFStock[RM_Code],$A50,T_TTAFStock[WeekIndex],52)&gt;0)&gt;0,SUMIFS(T_SelfStock[Self_Qty],T_SelfStock[RM_Code],$A50,T_SelfStock[WeekIndex],52)+SUMIFS(T_TTAFStock[TTAF_Qty],T_TTAFStock[RM_Code],$A50,T_TTAFStock[WeekIndex],52),AZ50+'Grid_Incoming'!BA50-'Grid_Requirement'!BA50))</f>
        <v/>
      </c>
      <c r="BB50">
        <f>IF(COUNTIFS(T_StockCount[RM_Code],$A50,T_StockCount[WeekIndex],53)&gt;0,SUMIFS(T_StockCount[CountedQty],T_StockCount[RM_Code],$A50,T_StockCount[WeekIndex],53),IF((COUNTIFS(T_SelfStock[RM_Code],$A50,T_SelfStock[WeekIndex],53)&gt;0)*(COUNTIFS(T_TTAFStock[RM_Code],$A50,T_TTAFStock[WeekIndex],53)&gt;0)&gt;0,SUMIFS(T_SelfStock[Self_Qty],T_SelfStock[RM_Code],$A50,T_SelfStock[WeekIndex],53)+SUMIFS(T_TTAFStock[TTAF_Qty],T_TTAFStock[RM_Code],$A50,T_TTAFStock[WeekIndex],53),BA50+'Grid_Incoming'!BB50-'Grid_Requirement'!BB50))</f>
        <v/>
      </c>
      <c r="BC50">
        <f>IF(COUNTIFS(T_StockCount[RM_Code],$A50,T_StockCount[WeekIndex],54)&gt;0,SUMIFS(T_StockCount[CountedQty],T_StockCount[RM_Code],$A50,T_StockCount[WeekIndex],54),IF((COUNTIFS(T_SelfStock[RM_Code],$A50,T_SelfStock[WeekIndex],54)&gt;0)*(COUNTIFS(T_TTAFStock[RM_Code],$A50,T_TTAFStock[WeekIndex],54)&gt;0)&gt;0,SUMIFS(T_SelfStock[Self_Qty],T_SelfStock[RM_Code],$A50,T_SelfStock[WeekIndex],54)+SUMIFS(T_TTAFStock[TTAF_Qty],T_TTAFStock[RM_Code],$A50,T_TTAFStock[WeekIndex],54),BB50+'Grid_Incoming'!BC50-'Grid_Requirement'!BC50))</f>
        <v/>
      </c>
      <c r="BD50">
        <f>IF(COUNTIFS(T_StockCount[RM_Code],$A50,T_StockCount[WeekIndex],55)&gt;0,SUMIFS(T_StockCount[CountedQty],T_StockCount[RM_Code],$A50,T_StockCount[WeekIndex],55),IF((COUNTIFS(T_SelfStock[RM_Code],$A50,T_SelfStock[WeekIndex],55)&gt;0)*(COUNTIFS(T_TTAFStock[RM_Code],$A50,T_TTAFStock[WeekIndex],55)&gt;0)&gt;0,SUMIFS(T_SelfStock[Self_Qty],T_SelfStock[RM_Code],$A50,T_SelfStock[WeekIndex],55)+SUMIFS(T_TTAFStock[TTAF_Qty],T_TTAFStock[RM_Code],$A50,T_TTAFStock[WeekIndex],55),BC50+'Grid_Incoming'!BD50-'Grid_Requirement'!BD50))</f>
        <v/>
      </c>
      <c r="BE50">
        <f>IF(COUNTIFS(T_StockCount[RM_Code],$A50,T_StockCount[WeekIndex],56)&gt;0,SUMIFS(T_StockCount[CountedQty],T_StockCount[RM_Code],$A50,T_StockCount[WeekIndex],56),IF((COUNTIFS(T_SelfStock[RM_Code],$A50,T_SelfStock[WeekIndex],56)&gt;0)*(COUNTIFS(T_TTAFStock[RM_Code],$A50,T_TTAFStock[WeekIndex],56)&gt;0)&gt;0,SUMIFS(T_SelfStock[Self_Qty],T_SelfStock[RM_Code],$A50,T_SelfStock[WeekIndex],56)+SUMIFS(T_TTAFStock[TTAF_Qty],T_TTAFStock[RM_Code],$A50,T_TTAFStock[WeekIndex],56),BD50+'Grid_Incoming'!BE50-'Grid_Requirement'!BE50))</f>
        <v/>
      </c>
      <c r="BF50">
        <f>IF(COUNTIFS(T_StockCount[RM_Code],$A50,T_StockCount[WeekIndex],57)&gt;0,SUMIFS(T_StockCount[CountedQty],T_StockCount[RM_Code],$A50,T_StockCount[WeekIndex],57),IF((COUNTIFS(T_SelfStock[RM_Code],$A50,T_SelfStock[WeekIndex],57)&gt;0)*(COUNTIFS(T_TTAFStock[RM_Code],$A50,T_TTAFStock[WeekIndex],57)&gt;0)&gt;0,SUMIFS(T_SelfStock[Self_Qty],T_SelfStock[RM_Code],$A50,T_SelfStock[WeekIndex],57)+SUMIFS(T_TTAFStock[TTAF_Qty],T_TTAFStock[RM_Code],$A50,T_TTAFStock[WeekIndex],57),BE50+'Grid_Incoming'!BF50-'Grid_Requirement'!BF50))</f>
        <v/>
      </c>
      <c r="BG50">
        <f>IF(COUNTIFS(T_StockCount[RM_Code],$A50,T_StockCount[WeekIndex],58)&gt;0,SUMIFS(T_StockCount[CountedQty],T_StockCount[RM_Code],$A50,T_StockCount[WeekIndex],58),IF((COUNTIFS(T_SelfStock[RM_Code],$A50,T_SelfStock[WeekIndex],58)&gt;0)*(COUNTIFS(T_TTAFStock[RM_Code],$A50,T_TTAFStock[WeekIndex],58)&gt;0)&gt;0,SUMIFS(T_SelfStock[Self_Qty],T_SelfStock[RM_Code],$A50,T_SelfStock[WeekIndex],58)+SUMIFS(T_TTAFStock[TTAF_Qty],T_TTAFStock[RM_Code],$A50,T_TTAFStock[WeekIndex],58),BF50+'Grid_Incoming'!BG50-'Grid_Requirement'!BG50))</f>
        <v/>
      </c>
      <c r="BH50">
        <f>IF(COUNTIFS(T_StockCount[RM_Code],$A50,T_StockCount[WeekIndex],59)&gt;0,SUMIFS(T_StockCount[CountedQty],T_StockCount[RM_Code],$A50,T_StockCount[WeekIndex],59),IF((COUNTIFS(T_SelfStock[RM_Code],$A50,T_SelfStock[WeekIndex],59)&gt;0)*(COUNTIFS(T_TTAFStock[RM_Code],$A50,T_TTAFStock[WeekIndex],59)&gt;0)&gt;0,SUMIFS(T_SelfStock[Self_Qty],T_SelfStock[RM_Code],$A50,T_SelfStock[WeekIndex],59)+SUMIFS(T_TTAFStock[TTAF_Qty],T_TTAFStock[RM_Code],$A50,T_TTAFStock[WeekIndex],59),BG50+'Grid_Incoming'!BH50-'Grid_Requirement'!BH50))</f>
        <v/>
      </c>
      <c r="BI50">
        <f>IF(COUNTIFS(T_StockCount[RM_Code],$A50,T_StockCount[WeekIndex],60)&gt;0,SUMIFS(T_StockCount[CountedQty],T_StockCount[RM_Code],$A50,T_StockCount[WeekIndex],60),IF((COUNTIFS(T_SelfStock[RM_Code],$A50,T_SelfStock[WeekIndex],60)&gt;0)*(COUNTIFS(T_TTAFStock[RM_Code],$A50,T_TTAFStock[WeekIndex],60)&gt;0)&gt;0,SUMIFS(T_SelfStock[Self_Qty],T_SelfStock[RM_Code],$A50,T_SelfStock[WeekIndex],60)+SUMIFS(T_TTAFStock[TTAF_Qty],T_TTAFStock[RM_Code],$A50,T_TTAFStock[WeekIndex],60),BH50+'Grid_Incoming'!BI50-'Grid_Requirement'!BI50))</f>
        <v/>
      </c>
      <c r="BJ50">
        <f>IF(COUNTIFS(T_StockCount[RM_Code],$A50,T_StockCount[WeekIndex],61)&gt;0,SUMIFS(T_StockCount[CountedQty],T_StockCount[RM_Code],$A50,T_StockCount[WeekIndex],61),IF((COUNTIFS(T_SelfStock[RM_Code],$A50,T_SelfStock[WeekIndex],61)&gt;0)*(COUNTIFS(T_TTAFStock[RM_Code],$A50,T_TTAFStock[WeekIndex],61)&gt;0)&gt;0,SUMIFS(T_SelfStock[Self_Qty],T_SelfStock[RM_Code],$A50,T_SelfStock[WeekIndex],61)+SUMIFS(T_TTAFStock[TTAF_Qty],T_TTAFStock[RM_Code],$A50,T_TTAFStock[WeekIndex],61),BI50+'Grid_Incoming'!BJ50-'Grid_Requirement'!BJ50))</f>
        <v/>
      </c>
      <c r="BK50">
        <f>IF(COUNTIFS(T_StockCount[RM_Code],$A50,T_StockCount[WeekIndex],62)&gt;0,SUMIFS(T_StockCount[CountedQty],T_StockCount[RM_Code],$A50,T_StockCount[WeekIndex],62),IF((COUNTIFS(T_SelfStock[RM_Code],$A50,T_SelfStock[WeekIndex],62)&gt;0)*(COUNTIFS(T_TTAFStock[RM_Code],$A50,T_TTAFStock[WeekIndex],62)&gt;0)&gt;0,SUMIFS(T_SelfStock[Self_Qty],T_SelfStock[RM_Code],$A50,T_SelfStock[WeekIndex],62)+SUMIFS(T_TTAFStock[TTAF_Qty],T_TTAFStock[RM_Code],$A50,T_TTAFStock[WeekIndex],62),BJ50+'Grid_Incoming'!BK50-'Grid_Requirement'!BK50))</f>
        <v/>
      </c>
      <c r="BL50">
        <f>IF(COUNTIFS(T_StockCount[RM_Code],$A50,T_StockCount[WeekIndex],63)&gt;0,SUMIFS(T_StockCount[CountedQty],T_StockCount[RM_Code],$A50,T_StockCount[WeekIndex],63),IF((COUNTIFS(T_SelfStock[RM_Code],$A50,T_SelfStock[WeekIndex],63)&gt;0)*(COUNTIFS(T_TTAFStock[RM_Code],$A50,T_TTAFStock[WeekIndex],63)&gt;0)&gt;0,SUMIFS(T_SelfStock[Self_Qty],T_SelfStock[RM_Code],$A50,T_SelfStock[WeekIndex],63)+SUMIFS(T_TTAFStock[TTAF_Qty],T_TTAFStock[RM_Code],$A50,T_TTAFStock[WeekIndex],63),BK50+'Grid_Incoming'!BL50-'Grid_Requirement'!BL50))</f>
        <v/>
      </c>
      <c r="BM50">
        <f>IF(COUNTIFS(T_StockCount[RM_Code],$A50,T_StockCount[WeekIndex],64)&gt;0,SUMIFS(T_StockCount[CountedQty],T_StockCount[RM_Code],$A50,T_StockCount[WeekIndex],64),IF((COUNTIFS(T_SelfStock[RM_Code],$A50,T_SelfStock[WeekIndex],64)&gt;0)*(COUNTIFS(T_TTAFStock[RM_Code],$A50,T_TTAFStock[WeekIndex],64)&gt;0)&gt;0,SUMIFS(T_SelfStock[Self_Qty],T_SelfStock[RM_Code],$A50,T_SelfStock[WeekIndex],64)+SUMIFS(T_TTAFStock[TTAF_Qty],T_TTAFStock[RM_Code],$A50,T_TTAFStock[WeekIndex],64),BL50+'Grid_Incoming'!BM50-'Grid_Requirement'!BM50))</f>
        <v/>
      </c>
      <c r="BN50">
        <f>IF(COUNTIFS(T_StockCount[RM_Code],$A50,T_StockCount[WeekIndex],65)&gt;0,SUMIFS(T_StockCount[CountedQty],T_StockCount[RM_Code],$A50,T_StockCount[WeekIndex],65),IF((COUNTIFS(T_SelfStock[RM_Code],$A50,T_SelfStock[WeekIndex],65)&gt;0)*(COUNTIFS(T_TTAFStock[RM_Code],$A50,T_TTAFStock[WeekIndex],65)&gt;0)&gt;0,SUMIFS(T_SelfStock[Self_Qty],T_SelfStock[RM_Code],$A50,T_SelfStock[WeekIndex],65)+SUMIFS(T_TTAFStock[TTAF_Qty],T_TTAFStock[RM_Code],$A50,T_TTAFStock[WeekIndex],65),BM50+'Grid_Incoming'!BN50-'Grid_Requirement'!BN50))</f>
        <v/>
      </c>
      <c r="BO50">
        <f>IF(COUNTIFS(T_StockCount[RM_Code],$A50,T_StockCount[WeekIndex],66)&gt;0,SUMIFS(T_StockCount[CountedQty],T_StockCount[RM_Code],$A50,T_StockCount[WeekIndex],66),IF((COUNTIFS(T_SelfStock[RM_Code],$A50,T_SelfStock[WeekIndex],66)&gt;0)*(COUNTIFS(T_TTAFStock[RM_Code],$A50,T_TTAFStock[WeekIndex],66)&gt;0)&gt;0,SUMIFS(T_SelfStock[Self_Qty],T_SelfStock[RM_Code],$A50,T_SelfStock[WeekIndex],66)+SUMIFS(T_TTAFStock[TTAF_Qty],T_TTAFStock[RM_Code],$A50,T_TTAFStock[WeekIndex],66),BN50+'Grid_Incoming'!BO50-'Grid_Requirement'!BO50))</f>
        <v/>
      </c>
      <c r="BP50">
        <f>IF(COUNTIFS(T_StockCount[RM_Code],$A50,T_StockCount[WeekIndex],67)&gt;0,SUMIFS(T_StockCount[CountedQty],T_StockCount[RM_Code],$A50,T_StockCount[WeekIndex],67),IF((COUNTIFS(T_SelfStock[RM_Code],$A50,T_SelfStock[WeekIndex],67)&gt;0)*(COUNTIFS(T_TTAFStock[RM_Code],$A50,T_TTAFStock[WeekIndex],67)&gt;0)&gt;0,SUMIFS(T_SelfStock[Self_Qty],T_SelfStock[RM_Code],$A50,T_SelfStock[WeekIndex],67)+SUMIFS(T_TTAFStock[TTAF_Qty],T_TTAFStock[RM_Code],$A50,T_TTAFStock[WeekIndex],67),BO50+'Grid_Incoming'!BP50-'Grid_Requirement'!BP50))</f>
        <v/>
      </c>
      <c r="BQ50">
        <f>IF(COUNTIFS(T_StockCount[RM_Code],$A50,T_StockCount[WeekIndex],68)&gt;0,SUMIFS(T_StockCount[CountedQty],T_StockCount[RM_Code],$A50,T_StockCount[WeekIndex],68),IF((COUNTIFS(T_SelfStock[RM_Code],$A50,T_SelfStock[WeekIndex],68)&gt;0)*(COUNTIFS(T_TTAFStock[RM_Code],$A50,T_TTAFStock[WeekIndex],68)&gt;0)&gt;0,SUMIFS(T_SelfStock[Self_Qty],T_SelfStock[RM_Code],$A50,T_SelfStock[WeekIndex],68)+SUMIFS(T_TTAFStock[TTAF_Qty],T_TTAFStock[RM_Code],$A50,T_TTAFStock[WeekIndex],68),BP50+'Grid_Incoming'!BQ50-'Grid_Requirement'!BQ50))</f>
        <v/>
      </c>
      <c r="BR50">
        <f>IF(COUNTIFS(T_StockCount[RM_Code],$A50,T_StockCount[WeekIndex],69)&gt;0,SUMIFS(T_StockCount[CountedQty],T_StockCount[RM_Code],$A50,T_StockCount[WeekIndex],69),IF((COUNTIFS(T_SelfStock[RM_Code],$A50,T_SelfStock[WeekIndex],69)&gt;0)*(COUNTIFS(T_TTAFStock[RM_Code],$A50,T_TTAFStock[WeekIndex],69)&gt;0)&gt;0,SUMIFS(T_SelfStock[Self_Qty],T_SelfStock[RM_Code],$A50,T_SelfStock[WeekIndex],69)+SUMIFS(T_TTAFStock[TTAF_Qty],T_TTAFStock[RM_Code],$A50,T_TTAFStock[WeekIndex],69),BQ50+'Grid_Incoming'!BR50-'Grid_Requirement'!BR50))</f>
        <v/>
      </c>
      <c r="BS50">
        <f>IF(COUNTIFS(T_StockCount[RM_Code],$A50,T_StockCount[WeekIndex],70)&gt;0,SUMIFS(T_StockCount[CountedQty],T_StockCount[RM_Code],$A50,T_StockCount[WeekIndex],70),IF((COUNTIFS(T_SelfStock[RM_Code],$A50,T_SelfStock[WeekIndex],70)&gt;0)*(COUNTIFS(T_TTAFStock[RM_Code],$A50,T_TTAFStock[WeekIndex],70)&gt;0)&gt;0,SUMIFS(T_SelfStock[Self_Qty],T_SelfStock[RM_Code],$A50,T_SelfStock[WeekIndex],70)+SUMIFS(T_TTAFStock[TTAF_Qty],T_TTAFStock[RM_Code],$A50,T_TTAFStock[WeekIndex],70),BR50+'Grid_Incoming'!BS50-'Grid_Requirement'!BS50))</f>
        <v/>
      </c>
      <c r="BT50">
        <f>IF(COUNTIFS(T_StockCount[RM_Code],$A50,T_StockCount[WeekIndex],71)&gt;0,SUMIFS(T_StockCount[CountedQty],T_StockCount[RM_Code],$A50,T_StockCount[WeekIndex],71),IF((COUNTIFS(T_SelfStock[RM_Code],$A50,T_SelfStock[WeekIndex],71)&gt;0)*(COUNTIFS(T_TTAFStock[RM_Code],$A50,T_TTAFStock[WeekIndex],71)&gt;0)&gt;0,SUMIFS(T_SelfStock[Self_Qty],T_SelfStock[RM_Code],$A50,T_SelfStock[WeekIndex],71)+SUMIFS(T_TTAFStock[TTAF_Qty],T_TTAFStock[RM_Code],$A50,T_TTAFStock[WeekIndex],71),BS50+'Grid_Incoming'!BT50-'Grid_Requirement'!BT50))</f>
        <v/>
      </c>
      <c r="BU50">
        <f>IF(COUNTIFS(T_StockCount[RM_Code],$A50,T_StockCount[WeekIndex],72)&gt;0,SUMIFS(T_StockCount[CountedQty],T_StockCount[RM_Code],$A50,T_StockCount[WeekIndex],72),IF((COUNTIFS(T_SelfStock[RM_Code],$A50,T_SelfStock[WeekIndex],72)&gt;0)*(COUNTIFS(T_TTAFStock[RM_Code],$A50,T_TTAFStock[WeekIndex],72)&gt;0)&gt;0,SUMIFS(T_SelfStock[Self_Qty],T_SelfStock[RM_Code],$A50,T_SelfStock[WeekIndex],72)+SUMIFS(T_TTAFStock[TTAF_Qty],T_TTAFStock[RM_Code],$A50,T_TTAFStock[WeekIndex],72),BT50+'Grid_Incoming'!BU50-'Grid_Requirement'!BU50))</f>
        <v/>
      </c>
      <c r="BV50">
        <f>IF(COUNTIFS(T_StockCount[RM_Code],$A50,T_StockCount[WeekIndex],73)&gt;0,SUMIFS(T_StockCount[CountedQty],T_StockCount[RM_Code],$A50,T_StockCount[WeekIndex],73),IF((COUNTIFS(T_SelfStock[RM_Code],$A50,T_SelfStock[WeekIndex],73)&gt;0)*(COUNTIFS(T_TTAFStock[RM_Code],$A50,T_TTAFStock[WeekIndex],73)&gt;0)&gt;0,SUMIFS(T_SelfStock[Self_Qty],T_SelfStock[RM_Code],$A50,T_SelfStock[WeekIndex],73)+SUMIFS(T_TTAFStock[TTAF_Qty],T_TTAFStock[RM_Code],$A50,T_TTAFStock[WeekIndex],73),BU50+'Grid_Incoming'!BV50-'Grid_Requirement'!BV50))</f>
        <v/>
      </c>
      <c r="BW50">
        <f>IF(COUNTIFS(T_StockCount[RM_Code],$A50,T_StockCount[WeekIndex],74)&gt;0,SUMIFS(T_StockCount[CountedQty],T_StockCount[RM_Code],$A50,T_StockCount[WeekIndex],74),IF((COUNTIFS(T_SelfStock[RM_Code],$A50,T_SelfStock[WeekIndex],74)&gt;0)*(COUNTIFS(T_TTAFStock[RM_Code],$A50,T_TTAFStock[WeekIndex],74)&gt;0)&gt;0,SUMIFS(T_SelfStock[Self_Qty],T_SelfStock[RM_Code],$A50,T_SelfStock[WeekIndex],74)+SUMIFS(T_TTAFStock[TTAF_Qty],T_TTAFStock[RM_Code],$A50,T_TTAFStock[WeekIndex],74),BV50+'Grid_Incoming'!BW50-'Grid_Requirement'!BW50))</f>
        <v/>
      </c>
      <c r="BX50">
        <f>IF(COUNTIFS(T_StockCount[RM_Code],$A50,T_StockCount[WeekIndex],75)&gt;0,SUMIFS(T_StockCount[CountedQty],T_StockCount[RM_Code],$A50,T_StockCount[WeekIndex],75),IF((COUNTIFS(T_SelfStock[RM_Code],$A50,T_SelfStock[WeekIndex],75)&gt;0)*(COUNTIFS(T_TTAFStock[RM_Code],$A50,T_TTAFStock[WeekIndex],75)&gt;0)&gt;0,SUMIFS(T_SelfStock[Self_Qty],T_SelfStock[RM_Code],$A50,T_SelfStock[WeekIndex],75)+SUMIFS(T_TTAFStock[TTAF_Qty],T_TTAFStock[RM_Code],$A50,T_TTAFStock[WeekIndex],75),BW50+'Grid_Incoming'!BX50-'Grid_Requirement'!BX50))</f>
        <v/>
      </c>
      <c r="BY50">
        <f>IF(COUNTIFS(T_StockCount[RM_Code],$A50,T_StockCount[WeekIndex],76)&gt;0,SUMIFS(T_StockCount[CountedQty],T_StockCount[RM_Code],$A50,T_StockCount[WeekIndex],76),IF((COUNTIFS(T_SelfStock[RM_Code],$A50,T_SelfStock[WeekIndex],76)&gt;0)*(COUNTIFS(T_TTAFStock[RM_Code],$A50,T_TTAFStock[WeekIndex],76)&gt;0)&gt;0,SUMIFS(T_SelfStock[Self_Qty],T_SelfStock[RM_Code],$A50,T_SelfStock[WeekIndex],76)+SUMIFS(T_TTAFStock[TTAF_Qty],T_TTAFStock[RM_Code],$A50,T_TTAFStock[WeekIndex],76),BX50+'Grid_Incoming'!BY50-'Grid_Requirement'!BY50))</f>
        <v/>
      </c>
      <c r="BZ50">
        <f>IF(COUNTIFS(T_StockCount[RM_Code],$A50,T_StockCount[WeekIndex],77)&gt;0,SUMIFS(T_StockCount[CountedQty],T_StockCount[RM_Code],$A50,T_StockCount[WeekIndex],77),IF((COUNTIFS(T_SelfStock[RM_Code],$A50,T_SelfStock[WeekIndex],77)&gt;0)*(COUNTIFS(T_TTAFStock[RM_Code],$A50,T_TTAFStock[WeekIndex],77)&gt;0)&gt;0,SUMIFS(T_SelfStock[Self_Qty],T_SelfStock[RM_Code],$A50,T_SelfStock[WeekIndex],77)+SUMIFS(T_TTAFStock[TTAF_Qty],T_TTAFStock[RM_Code],$A50,T_TTAFStock[WeekIndex],77),BY50+'Grid_Incoming'!BZ50-'Grid_Requirement'!BZ50))</f>
        <v/>
      </c>
      <c r="CA50">
        <f>IF(COUNTIFS(T_StockCount[RM_Code],$A50,T_StockCount[WeekIndex],78)&gt;0,SUMIFS(T_StockCount[CountedQty],T_StockCount[RM_Code],$A50,T_StockCount[WeekIndex],78),IF((COUNTIFS(T_SelfStock[RM_Code],$A50,T_SelfStock[WeekIndex],78)&gt;0)*(COUNTIFS(T_TTAFStock[RM_Code],$A50,T_TTAFStock[WeekIndex],78)&gt;0)&gt;0,SUMIFS(T_SelfStock[Self_Qty],T_SelfStock[RM_Code],$A50,T_SelfStock[WeekIndex],78)+SUMIFS(T_TTAFStock[TTAF_Qty],T_TTAFStock[RM_Code],$A50,T_TTAFStock[WeekIndex],78),BZ50+'Grid_Incoming'!CA50-'Grid_Requirement'!CA50))</f>
        <v/>
      </c>
      <c r="CB50">
        <f>IF(COUNTIFS(T_StockCount[RM_Code],$A50,T_StockCount[WeekIndex],79)&gt;0,SUMIFS(T_StockCount[CountedQty],T_StockCount[RM_Code],$A50,T_StockCount[WeekIndex],79),IF((COUNTIFS(T_SelfStock[RM_Code],$A50,T_SelfStock[WeekIndex],79)&gt;0)*(COUNTIFS(T_TTAFStock[RM_Code],$A50,T_TTAFStock[WeekIndex],79)&gt;0)&gt;0,SUMIFS(T_SelfStock[Self_Qty],T_SelfStock[RM_Code],$A50,T_SelfStock[WeekIndex],79)+SUMIFS(T_TTAFStock[TTAF_Qty],T_TTAFStock[RM_Code],$A50,T_TTAFStock[WeekIndex],79),CA50+'Grid_Incoming'!CB50-'Grid_Requirement'!CB50))</f>
        <v/>
      </c>
      <c r="CC50">
        <f>IF(COUNTIFS(T_StockCount[RM_Code],$A50,T_StockCount[WeekIndex],80)&gt;0,SUMIFS(T_StockCount[CountedQty],T_StockCount[RM_Code],$A50,T_StockCount[WeekIndex],80),IF((COUNTIFS(T_SelfStock[RM_Code],$A50,T_SelfStock[WeekIndex],80)&gt;0)*(COUNTIFS(T_TTAFStock[RM_Code],$A50,T_TTAFStock[WeekIndex],80)&gt;0)&gt;0,SUMIFS(T_SelfStock[Self_Qty],T_SelfStock[RM_Code],$A50,T_SelfStock[WeekIndex],80)+SUMIFS(T_TTAFStock[TTAF_Qty],T_TTAFStock[RM_Code],$A50,T_TTAFStock[WeekIndex],80),CB50+'Grid_Incoming'!CC50-'Grid_Requirement'!CC50))</f>
        <v/>
      </c>
      <c r="CD50">
        <f>IF(COUNTIFS(T_StockCount[RM_Code],$A50,T_StockCount[WeekIndex],81)&gt;0,SUMIFS(T_StockCount[CountedQty],T_StockCount[RM_Code],$A50,T_StockCount[WeekIndex],81),IF((COUNTIFS(T_SelfStock[RM_Code],$A50,T_SelfStock[WeekIndex],81)&gt;0)*(COUNTIFS(T_TTAFStock[RM_Code],$A50,T_TTAFStock[WeekIndex],81)&gt;0)&gt;0,SUMIFS(T_SelfStock[Self_Qty],T_SelfStock[RM_Code],$A50,T_SelfStock[WeekIndex],81)+SUMIFS(T_TTAFStock[TTAF_Qty],T_TTAFStock[RM_Code],$A50,T_TTAFStock[WeekIndex],81),CC50+'Grid_Incoming'!CD50-'Grid_Requirement'!CD50))</f>
        <v/>
      </c>
      <c r="CE50">
        <f>IF(COUNTIFS(T_StockCount[RM_Code],$A50,T_StockCount[WeekIndex],82)&gt;0,SUMIFS(T_StockCount[CountedQty],T_StockCount[RM_Code],$A50,T_StockCount[WeekIndex],82),IF((COUNTIFS(T_SelfStock[RM_Code],$A50,T_SelfStock[WeekIndex],82)&gt;0)*(COUNTIFS(T_TTAFStock[RM_Code],$A50,T_TTAFStock[WeekIndex],82)&gt;0)&gt;0,SUMIFS(T_SelfStock[Self_Qty],T_SelfStock[RM_Code],$A50,T_SelfStock[WeekIndex],82)+SUMIFS(T_TTAFStock[TTAF_Qty],T_TTAFStock[RM_Code],$A50,T_TTAFStock[WeekIndex],82),CD50+'Grid_Incoming'!CE50-'Grid_Requirement'!CE50))</f>
        <v/>
      </c>
      <c r="CF50">
        <f>IF(COUNTIFS(T_StockCount[RM_Code],$A50,T_StockCount[WeekIndex],83)&gt;0,SUMIFS(T_StockCount[CountedQty],T_StockCount[RM_Code],$A50,T_StockCount[WeekIndex],83),IF((COUNTIFS(T_SelfStock[RM_Code],$A50,T_SelfStock[WeekIndex],83)&gt;0)*(COUNTIFS(T_TTAFStock[RM_Code],$A50,T_TTAFStock[WeekIndex],83)&gt;0)&gt;0,SUMIFS(T_SelfStock[Self_Qty],T_SelfStock[RM_Code],$A50,T_SelfStock[WeekIndex],83)+SUMIFS(T_TTAFStock[TTAF_Qty],T_TTAFStock[RM_Code],$A50,T_TTAFStock[WeekIndex],83),CE50+'Grid_Incoming'!CF50-'Grid_Requirement'!CF50))</f>
        <v/>
      </c>
      <c r="CG50">
        <f>IF(COUNTIFS(T_StockCount[RM_Code],$A50,T_StockCount[WeekIndex],84)&gt;0,SUMIFS(T_StockCount[CountedQty],T_StockCount[RM_Code],$A50,T_StockCount[WeekIndex],84),IF((COUNTIFS(T_SelfStock[RM_Code],$A50,T_SelfStock[WeekIndex],84)&gt;0)*(COUNTIFS(T_TTAFStock[RM_Code],$A50,T_TTAFStock[WeekIndex],84)&gt;0)&gt;0,SUMIFS(T_SelfStock[Self_Qty],T_SelfStock[RM_Code],$A50,T_SelfStock[WeekIndex],84)+SUMIFS(T_TTAFStock[TTAF_Qty],T_TTAFStock[RM_Code],$A50,T_TTAFStock[WeekIndex],84),CF50+'Grid_Incoming'!CG50-'Grid_Requirement'!CG50))</f>
        <v/>
      </c>
      <c r="CH50">
        <f>IF(COUNTIFS(T_StockCount[RM_Code],$A50,T_StockCount[WeekIndex],85)&gt;0,SUMIFS(T_StockCount[CountedQty],T_StockCount[RM_Code],$A50,T_StockCount[WeekIndex],85),IF((COUNTIFS(T_SelfStock[RM_Code],$A50,T_SelfStock[WeekIndex],85)&gt;0)*(COUNTIFS(T_TTAFStock[RM_Code],$A50,T_TTAFStock[WeekIndex],85)&gt;0)&gt;0,SUMIFS(T_SelfStock[Self_Qty],T_SelfStock[RM_Code],$A50,T_SelfStock[WeekIndex],85)+SUMIFS(T_TTAFStock[TTAF_Qty],T_TTAFStock[RM_Code],$A50,T_TTAFStock[WeekIndex],85),CG50+'Grid_Incoming'!CH50-'Grid_Requirement'!CH50))</f>
        <v/>
      </c>
      <c r="CI50">
        <f>IF(COUNTIFS(T_StockCount[RM_Code],$A50,T_StockCount[WeekIndex],86)&gt;0,SUMIFS(T_StockCount[CountedQty],T_StockCount[RM_Code],$A50,T_StockCount[WeekIndex],86),IF((COUNTIFS(T_SelfStock[RM_Code],$A50,T_SelfStock[WeekIndex],86)&gt;0)*(COUNTIFS(T_TTAFStock[RM_Code],$A50,T_TTAFStock[WeekIndex],86)&gt;0)&gt;0,SUMIFS(T_SelfStock[Self_Qty],T_SelfStock[RM_Code],$A50,T_SelfStock[WeekIndex],86)+SUMIFS(T_TTAFStock[TTAF_Qty],T_TTAFStock[RM_Code],$A50,T_TTAFStock[WeekIndex],86),CH50+'Grid_Incoming'!CI50-'Grid_Requirement'!CI50))</f>
        <v/>
      </c>
      <c r="CJ50">
        <f>IF(COUNTIFS(T_StockCount[RM_Code],$A50,T_StockCount[WeekIndex],87)&gt;0,SUMIFS(T_StockCount[CountedQty],T_StockCount[RM_Code],$A50,T_StockCount[WeekIndex],87),IF((COUNTIFS(T_SelfStock[RM_Code],$A50,T_SelfStock[WeekIndex],87)&gt;0)*(COUNTIFS(T_TTAFStock[RM_Code],$A50,T_TTAFStock[WeekIndex],87)&gt;0)&gt;0,SUMIFS(T_SelfStock[Self_Qty],T_SelfStock[RM_Code],$A50,T_SelfStock[WeekIndex],87)+SUMIFS(T_TTAFStock[TTAF_Qty],T_TTAFStock[RM_Code],$A50,T_TTAFStock[WeekIndex],87),CI50+'Grid_Incoming'!CJ50-'Grid_Requirement'!CJ50))</f>
        <v/>
      </c>
      <c r="CK50">
        <f>IF(COUNTIFS(T_StockCount[RM_Code],$A50,T_StockCount[WeekIndex],88)&gt;0,SUMIFS(T_StockCount[CountedQty],T_StockCount[RM_Code],$A50,T_StockCount[WeekIndex],88),IF((COUNTIFS(T_SelfStock[RM_Code],$A50,T_SelfStock[WeekIndex],88)&gt;0)*(COUNTIFS(T_TTAFStock[RM_Code],$A50,T_TTAFStock[WeekIndex],88)&gt;0)&gt;0,SUMIFS(T_SelfStock[Self_Qty],T_SelfStock[RM_Code],$A50,T_SelfStock[WeekIndex],88)+SUMIFS(T_TTAFStock[TTAF_Qty],T_TTAFStock[RM_Code],$A50,T_TTAFStock[WeekIndex],88),CJ50+'Grid_Incoming'!CK50-'Grid_Requirement'!CK50))</f>
        <v/>
      </c>
      <c r="CL50">
        <f>IF(COUNTIFS(T_StockCount[RM_Code],$A50,T_StockCount[WeekIndex],89)&gt;0,SUMIFS(T_StockCount[CountedQty],T_StockCount[RM_Code],$A50,T_StockCount[WeekIndex],89),IF((COUNTIFS(T_SelfStock[RM_Code],$A50,T_SelfStock[WeekIndex],89)&gt;0)*(COUNTIFS(T_TTAFStock[RM_Code],$A50,T_TTAFStock[WeekIndex],89)&gt;0)&gt;0,SUMIFS(T_SelfStock[Self_Qty],T_SelfStock[RM_Code],$A50,T_SelfStock[WeekIndex],89)+SUMIFS(T_TTAFStock[TTAF_Qty],T_TTAFStock[RM_Code],$A50,T_TTAFStock[WeekIndex],89),CK50+'Grid_Incoming'!CL50-'Grid_Requirement'!CL50))</f>
        <v/>
      </c>
      <c r="CM50">
        <f>IF(COUNTIFS(T_StockCount[RM_Code],$A50,T_StockCount[WeekIndex],90)&gt;0,SUMIFS(T_StockCount[CountedQty],T_StockCount[RM_Code],$A50,T_StockCount[WeekIndex],90),IF((COUNTIFS(T_SelfStock[RM_Code],$A50,T_SelfStock[WeekIndex],90)&gt;0)*(COUNTIFS(T_TTAFStock[RM_Code],$A50,T_TTAFStock[WeekIndex],90)&gt;0)&gt;0,SUMIFS(T_SelfStock[Self_Qty],T_SelfStock[RM_Code],$A50,T_SelfStock[WeekIndex],90)+SUMIFS(T_TTAFStock[TTAF_Qty],T_TTAFStock[RM_Code],$A50,T_TTAFStock[WeekIndex],90),CL50+'Grid_Incoming'!CM50-'Grid_Requirement'!CM50))</f>
        <v/>
      </c>
      <c r="CN50">
        <f>IF(COUNTIFS(T_StockCount[RM_Code],$A50,T_StockCount[WeekIndex],91)&gt;0,SUMIFS(T_StockCount[CountedQty],T_StockCount[RM_Code],$A50,T_StockCount[WeekIndex],91),IF((COUNTIFS(T_SelfStock[RM_Code],$A50,T_SelfStock[WeekIndex],91)&gt;0)*(COUNTIFS(T_TTAFStock[RM_Code],$A50,T_TTAFStock[WeekIndex],91)&gt;0)&gt;0,SUMIFS(T_SelfStock[Self_Qty],T_SelfStock[RM_Code],$A50,T_SelfStock[WeekIndex],91)+SUMIFS(T_TTAFStock[TTAF_Qty],T_TTAFStock[RM_Code],$A50,T_TTAFStock[WeekIndex],91),CM50+'Grid_Incoming'!CN50-'Grid_Requirement'!CN50))</f>
        <v/>
      </c>
      <c r="CO50">
        <f>IF(COUNTIFS(T_StockCount[RM_Code],$A50,T_StockCount[WeekIndex],92)&gt;0,SUMIFS(T_StockCount[CountedQty],T_StockCount[RM_Code],$A50,T_StockCount[WeekIndex],92),IF((COUNTIFS(T_SelfStock[RM_Code],$A50,T_SelfStock[WeekIndex],92)&gt;0)*(COUNTIFS(T_TTAFStock[RM_Code],$A50,T_TTAFStock[WeekIndex],92)&gt;0)&gt;0,SUMIFS(T_SelfStock[Self_Qty],T_SelfStock[RM_Code],$A50,T_SelfStock[WeekIndex],92)+SUMIFS(T_TTAFStock[TTAF_Qty],T_TTAFStock[RM_Code],$A50,T_TTAFStock[WeekIndex],92),CN50+'Grid_Incoming'!CO50-'Grid_Requirement'!CO50))</f>
        <v/>
      </c>
      <c r="CP50">
        <f>IF(COUNTIFS(T_StockCount[RM_Code],$A50,T_StockCount[WeekIndex],93)&gt;0,SUMIFS(T_StockCount[CountedQty],T_StockCount[RM_Code],$A50,T_StockCount[WeekIndex],93),IF((COUNTIFS(T_SelfStock[RM_Code],$A50,T_SelfStock[WeekIndex],93)&gt;0)*(COUNTIFS(T_TTAFStock[RM_Code],$A50,T_TTAFStock[WeekIndex],93)&gt;0)&gt;0,SUMIFS(T_SelfStock[Self_Qty],T_SelfStock[RM_Code],$A50,T_SelfStock[WeekIndex],93)+SUMIFS(T_TTAFStock[TTAF_Qty],T_TTAFStock[RM_Code],$A50,T_TTAFStock[WeekIndex],93),CO50+'Grid_Incoming'!CP50-'Grid_Requirement'!CP50))</f>
        <v/>
      </c>
      <c r="CQ50">
        <f>IF(COUNTIFS(T_StockCount[RM_Code],$A50,T_StockCount[WeekIndex],94)&gt;0,SUMIFS(T_StockCount[CountedQty],T_StockCount[RM_Code],$A50,T_StockCount[WeekIndex],94),IF((COUNTIFS(T_SelfStock[RM_Code],$A50,T_SelfStock[WeekIndex],94)&gt;0)*(COUNTIFS(T_TTAFStock[RM_Code],$A50,T_TTAFStock[WeekIndex],94)&gt;0)&gt;0,SUMIFS(T_SelfStock[Self_Qty],T_SelfStock[RM_Code],$A50,T_SelfStock[WeekIndex],94)+SUMIFS(T_TTAFStock[TTAF_Qty],T_TTAFStock[RM_Code],$A50,T_TTAFStock[WeekIndex],94),CP50+'Grid_Incoming'!CQ50-'Grid_Requirement'!CQ50))</f>
        <v/>
      </c>
      <c r="CR50">
        <f>IF(COUNTIFS(T_StockCount[RM_Code],$A50,T_StockCount[WeekIndex],95)&gt;0,SUMIFS(T_StockCount[CountedQty],T_StockCount[RM_Code],$A50,T_StockCount[WeekIndex],95),IF((COUNTIFS(T_SelfStock[RM_Code],$A50,T_SelfStock[WeekIndex],95)&gt;0)*(COUNTIFS(T_TTAFStock[RM_Code],$A50,T_TTAFStock[WeekIndex],95)&gt;0)&gt;0,SUMIFS(T_SelfStock[Self_Qty],T_SelfStock[RM_Code],$A50,T_SelfStock[WeekIndex],95)+SUMIFS(T_TTAFStock[TTAF_Qty],T_TTAFStock[RM_Code],$A50,T_TTAFStock[WeekIndex],95),CQ50+'Grid_Incoming'!CR50-'Grid_Requirement'!CR50))</f>
        <v/>
      </c>
      <c r="CS50">
        <f>IF(COUNTIFS(T_StockCount[RM_Code],$A50,T_StockCount[WeekIndex],96)&gt;0,SUMIFS(T_StockCount[CountedQty],T_StockCount[RM_Code],$A50,T_StockCount[WeekIndex],96),IF((COUNTIFS(T_SelfStock[RM_Code],$A50,T_SelfStock[WeekIndex],96)&gt;0)*(COUNTIFS(T_TTAFStock[RM_Code],$A50,T_TTAFStock[WeekIndex],96)&gt;0)&gt;0,SUMIFS(T_SelfStock[Self_Qty],T_SelfStock[RM_Code],$A50,T_SelfStock[WeekIndex],96)+SUMIFS(T_TTAFStock[TTAF_Qty],T_TTAFStock[RM_Code],$A50,T_TTAFStock[WeekIndex],96),CR50+'Grid_Incoming'!CS50-'Grid_Requirement'!CS50))</f>
        <v/>
      </c>
      <c r="CT50">
        <f>IF(COUNTIFS(T_StockCount[RM_Code],$A50,T_StockCount[WeekIndex],97)&gt;0,SUMIFS(T_StockCount[CountedQty],T_StockCount[RM_Code],$A50,T_StockCount[WeekIndex],97),IF((COUNTIFS(T_SelfStock[RM_Code],$A50,T_SelfStock[WeekIndex],97)&gt;0)*(COUNTIFS(T_TTAFStock[RM_Code],$A50,T_TTAFStock[WeekIndex],97)&gt;0)&gt;0,SUMIFS(T_SelfStock[Self_Qty],T_SelfStock[RM_Code],$A50,T_SelfStock[WeekIndex],97)+SUMIFS(T_TTAFStock[TTAF_Qty],T_TTAFStock[RM_Code],$A50,T_TTAFStock[WeekIndex],97),CS50+'Grid_Incoming'!CT50-'Grid_Requirement'!CT50))</f>
        <v/>
      </c>
      <c r="CU50">
        <f>IF(COUNTIFS(T_StockCount[RM_Code],$A50,T_StockCount[WeekIndex],98)&gt;0,SUMIFS(T_StockCount[CountedQty],T_StockCount[RM_Code],$A50,T_StockCount[WeekIndex],98),IF((COUNTIFS(T_SelfStock[RM_Code],$A50,T_SelfStock[WeekIndex],98)&gt;0)*(COUNTIFS(T_TTAFStock[RM_Code],$A50,T_TTAFStock[WeekIndex],98)&gt;0)&gt;0,SUMIFS(T_SelfStock[Self_Qty],T_SelfStock[RM_Code],$A50,T_SelfStock[WeekIndex],98)+SUMIFS(T_TTAFStock[TTAF_Qty],T_TTAFStock[RM_Code],$A50,T_TTAFStock[WeekIndex],98),CT50+'Grid_Incoming'!CU50-'Grid_Requirement'!CU50))</f>
        <v/>
      </c>
      <c r="CV50">
        <f>IF(COUNTIFS(T_StockCount[RM_Code],$A50,T_StockCount[WeekIndex],99)&gt;0,SUMIFS(T_StockCount[CountedQty],T_StockCount[RM_Code],$A50,T_StockCount[WeekIndex],99),IF((COUNTIFS(T_SelfStock[RM_Code],$A50,T_SelfStock[WeekIndex],99)&gt;0)*(COUNTIFS(T_TTAFStock[RM_Code],$A50,T_TTAFStock[WeekIndex],99)&gt;0)&gt;0,SUMIFS(T_SelfStock[Self_Qty],T_SelfStock[RM_Code],$A50,T_SelfStock[WeekIndex],99)+SUMIFS(T_TTAFStock[TTAF_Qty],T_TTAFStock[RM_Code],$A50,T_TTAFStock[WeekIndex],99),CU50+'Grid_Incoming'!CV50-'Grid_Requirement'!CV50))</f>
        <v/>
      </c>
      <c r="CW50">
        <f>IF(COUNTIFS(T_StockCount[RM_Code],$A50,T_StockCount[WeekIndex],100)&gt;0,SUMIFS(T_StockCount[CountedQty],T_StockCount[RM_Code],$A50,T_StockCount[WeekIndex],100),IF((COUNTIFS(T_SelfStock[RM_Code],$A50,T_SelfStock[WeekIndex],100)&gt;0)*(COUNTIFS(T_TTAFStock[RM_Code],$A50,T_TTAFStock[WeekIndex],100)&gt;0)&gt;0,SUMIFS(T_SelfStock[Self_Qty],T_SelfStock[RM_Code],$A50,T_SelfStock[WeekIndex],100)+SUMIFS(T_TTAFStock[TTAF_Qty],T_TTAFStock[RM_Code],$A50,T_TTAFStock[WeekIndex],100),CV50+'Grid_Incoming'!CW50-'Grid_Requirement'!CW50))</f>
        <v/>
      </c>
      <c r="CX50">
        <f>IF(COUNTIFS(T_StockCount[RM_Code],$A50,T_StockCount[WeekIndex],101)&gt;0,SUMIFS(T_StockCount[CountedQty],T_StockCount[RM_Code],$A50,T_StockCount[WeekIndex],101),IF((COUNTIFS(T_SelfStock[RM_Code],$A50,T_SelfStock[WeekIndex],101)&gt;0)*(COUNTIFS(T_TTAFStock[RM_Code],$A50,T_TTAFStock[WeekIndex],101)&gt;0)&gt;0,SUMIFS(T_SelfStock[Self_Qty],T_SelfStock[RM_Code],$A50,T_SelfStock[WeekIndex],101)+SUMIFS(T_TTAFStock[TTAF_Qty],T_TTAFStock[RM_Code],$A50,T_TTAFStock[WeekIndex],101),CW50+'Grid_Incoming'!CX50-'Grid_Requirement'!CX50))</f>
        <v/>
      </c>
      <c r="CY50">
        <f>IF(COUNTIFS(T_StockCount[RM_Code],$A50,T_StockCount[WeekIndex],102)&gt;0,SUMIFS(T_StockCount[CountedQty],T_StockCount[RM_Code],$A50,T_StockCount[WeekIndex],102),IF((COUNTIFS(T_SelfStock[RM_Code],$A50,T_SelfStock[WeekIndex],102)&gt;0)*(COUNTIFS(T_TTAFStock[RM_Code],$A50,T_TTAFStock[WeekIndex],102)&gt;0)&gt;0,SUMIFS(T_SelfStock[Self_Qty],T_SelfStock[RM_Code],$A50,T_SelfStock[WeekIndex],102)+SUMIFS(T_TTAFStock[TTAF_Qty],T_TTAFStock[RM_Code],$A50,T_TTAFStock[WeekIndex],102),CX50+'Grid_Incoming'!CY50-'Grid_Requirement'!CY50))</f>
        <v/>
      </c>
      <c r="CZ50">
        <f>IF(COUNTIFS(T_StockCount[RM_Code],$A50,T_StockCount[WeekIndex],103)&gt;0,SUMIFS(T_StockCount[CountedQty],T_StockCount[RM_Code],$A50,T_StockCount[WeekIndex],103),IF((COUNTIFS(T_SelfStock[RM_Code],$A50,T_SelfStock[WeekIndex],103)&gt;0)*(COUNTIFS(T_TTAFStock[RM_Code],$A50,T_TTAFStock[WeekIndex],103)&gt;0)&gt;0,SUMIFS(T_SelfStock[Self_Qty],T_SelfStock[RM_Code],$A50,T_SelfStock[WeekIndex],103)+SUMIFS(T_TTAFStock[TTAF_Qty],T_TTAFStock[RM_Code],$A50,T_TTAFStock[WeekIndex],103),CY50+'Grid_Incoming'!CZ50-'Grid_Requirement'!CZ50))</f>
        <v/>
      </c>
      <c r="DA50">
        <f>IF(COUNTIFS(T_StockCount[RM_Code],$A50,T_StockCount[WeekIndex],104)&gt;0,SUMIFS(T_StockCount[CountedQty],T_StockCount[RM_Code],$A50,T_StockCount[WeekIndex],104),IF((COUNTIFS(T_SelfStock[RM_Code],$A50,T_SelfStock[WeekIndex],104)&gt;0)*(COUNTIFS(T_TTAFStock[RM_Code],$A50,T_TTAFStock[WeekIndex],104)&gt;0)&gt;0,SUMIFS(T_SelfStock[Self_Qty],T_SelfStock[RM_Code],$A50,T_SelfStock[WeekIndex],104)+SUMIFS(T_TTAFStock[TTAF_Qty],T_TTAFStock[RM_Code],$A50,T_TTAFStock[WeekIndex],104),CZ50+'Grid_Incoming'!DA50-'Grid_Requirement'!DA50))</f>
        <v/>
      </c>
    </row>
    <row r="51">
      <c r="A51" t="inlineStr">
        <is>
          <t>CHEM-1560</t>
        </is>
      </c>
      <c r="B51">
        <f>IF(COUNTIFS(T_StockCount[RM_Code],$A51,T_StockCount[WeekIndex],1)&gt;0,SUMIFS(T_StockCount[CountedQty],T_StockCount[RM_Code],$A51,T_StockCount[WeekIndex],1),IF((COUNTIFS(T_SelfStock[RM_Code],$A51,T_SelfStock[WeekIndex],1)&gt;0)*(COUNTIFS(T_TTAFStock[RM_Code],$A51,T_TTAFStock[WeekIndex],1)&gt;0)&gt;0,SUMIFS(T_SelfStock[Self_Qty],T_SelfStock[RM_Code],$A51,T_SelfStock[WeekIndex],1)+SUMIFS(T_TTAFStock[TTAF_Qty],T_TTAFStock[RM_Code],$A51,T_TTAFStock[WeekIndex],1),IFERROR(INDEX(T_OpeningStock[Opening_Qty],MATCH($A51,T_OpeningStock[RM_Code],0)),0)+'Grid_Incoming'!B51-'Grid_Requirement'!B51))</f>
        <v/>
      </c>
      <c r="C51">
        <f>IF(COUNTIFS(T_StockCount[RM_Code],$A51,T_StockCount[WeekIndex],2)&gt;0,SUMIFS(T_StockCount[CountedQty],T_StockCount[RM_Code],$A51,T_StockCount[WeekIndex],2),IF((COUNTIFS(T_SelfStock[RM_Code],$A51,T_SelfStock[WeekIndex],2)&gt;0)*(COUNTIFS(T_TTAFStock[RM_Code],$A51,T_TTAFStock[WeekIndex],2)&gt;0)&gt;0,SUMIFS(T_SelfStock[Self_Qty],T_SelfStock[RM_Code],$A51,T_SelfStock[WeekIndex],2)+SUMIFS(T_TTAFStock[TTAF_Qty],T_TTAFStock[RM_Code],$A51,T_TTAFStock[WeekIndex],2),B51+'Grid_Incoming'!C51-'Grid_Requirement'!C51))</f>
        <v/>
      </c>
      <c r="D51">
        <f>IF(COUNTIFS(T_StockCount[RM_Code],$A51,T_StockCount[WeekIndex],3)&gt;0,SUMIFS(T_StockCount[CountedQty],T_StockCount[RM_Code],$A51,T_StockCount[WeekIndex],3),IF((COUNTIFS(T_SelfStock[RM_Code],$A51,T_SelfStock[WeekIndex],3)&gt;0)*(COUNTIFS(T_TTAFStock[RM_Code],$A51,T_TTAFStock[WeekIndex],3)&gt;0)&gt;0,SUMIFS(T_SelfStock[Self_Qty],T_SelfStock[RM_Code],$A51,T_SelfStock[WeekIndex],3)+SUMIFS(T_TTAFStock[TTAF_Qty],T_TTAFStock[RM_Code],$A51,T_TTAFStock[WeekIndex],3),C51+'Grid_Incoming'!D51-'Grid_Requirement'!D51))</f>
        <v/>
      </c>
      <c r="E51">
        <f>IF(COUNTIFS(T_StockCount[RM_Code],$A51,T_StockCount[WeekIndex],4)&gt;0,SUMIFS(T_StockCount[CountedQty],T_StockCount[RM_Code],$A51,T_StockCount[WeekIndex],4),IF((COUNTIFS(T_SelfStock[RM_Code],$A51,T_SelfStock[WeekIndex],4)&gt;0)*(COUNTIFS(T_TTAFStock[RM_Code],$A51,T_TTAFStock[WeekIndex],4)&gt;0)&gt;0,SUMIFS(T_SelfStock[Self_Qty],T_SelfStock[RM_Code],$A51,T_SelfStock[WeekIndex],4)+SUMIFS(T_TTAFStock[TTAF_Qty],T_TTAFStock[RM_Code],$A51,T_TTAFStock[WeekIndex],4),D51+'Grid_Incoming'!E51-'Grid_Requirement'!E51))</f>
        <v/>
      </c>
      <c r="F51">
        <f>IF(COUNTIFS(T_StockCount[RM_Code],$A51,T_StockCount[WeekIndex],5)&gt;0,SUMIFS(T_StockCount[CountedQty],T_StockCount[RM_Code],$A51,T_StockCount[WeekIndex],5),IF((COUNTIFS(T_SelfStock[RM_Code],$A51,T_SelfStock[WeekIndex],5)&gt;0)*(COUNTIFS(T_TTAFStock[RM_Code],$A51,T_TTAFStock[WeekIndex],5)&gt;0)&gt;0,SUMIFS(T_SelfStock[Self_Qty],T_SelfStock[RM_Code],$A51,T_SelfStock[WeekIndex],5)+SUMIFS(T_TTAFStock[TTAF_Qty],T_TTAFStock[RM_Code],$A51,T_TTAFStock[WeekIndex],5),E51+'Grid_Incoming'!F51-'Grid_Requirement'!F51))</f>
        <v/>
      </c>
      <c r="G51">
        <f>IF(COUNTIFS(T_StockCount[RM_Code],$A51,T_StockCount[WeekIndex],6)&gt;0,SUMIFS(T_StockCount[CountedQty],T_StockCount[RM_Code],$A51,T_StockCount[WeekIndex],6),IF((COUNTIFS(T_SelfStock[RM_Code],$A51,T_SelfStock[WeekIndex],6)&gt;0)*(COUNTIFS(T_TTAFStock[RM_Code],$A51,T_TTAFStock[WeekIndex],6)&gt;0)&gt;0,SUMIFS(T_SelfStock[Self_Qty],T_SelfStock[RM_Code],$A51,T_SelfStock[WeekIndex],6)+SUMIFS(T_TTAFStock[TTAF_Qty],T_TTAFStock[RM_Code],$A51,T_TTAFStock[WeekIndex],6),F51+'Grid_Incoming'!G51-'Grid_Requirement'!G51))</f>
        <v/>
      </c>
      <c r="H51">
        <f>IF(COUNTIFS(T_StockCount[RM_Code],$A51,T_StockCount[WeekIndex],7)&gt;0,SUMIFS(T_StockCount[CountedQty],T_StockCount[RM_Code],$A51,T_StockCount[WeekIndex],7),IF((COUNTIFS(T_SelfStock[RM_Code],$A51,T_SelfStock[WeekIndex],7)&gt;0)*(COUNTIFS(T_TTAFStock[RM_Code],$A51,T_TTAFStock[WeekIndex],7)&gt;0)&gt;0,SUMIFS(T_SelfStock[Self_Qty],T_SelfStock[RM_Code],$A51,T_SelfStock[WeekIndex],7)+SUMIFS(T_TTAFStock[TTAF_Qty],T_TTAFStock[RM_Code],$A51,T_TTAFStock[WeekIndex],7),G51+'Grid_Incoming'!H51-'Grid_Requirement'!H51))</f>
        <v/>
      </c>
      <c r="I51">
        <f>IF(COUNTIFS(T_StockCount[RM_Code],$A51,T_StockCount[WeekIndex],8)&gt;0,SUMIFS(T_StockCount[CountedQty],T_StockCount[RM_Code],$A51,T_StockCount[WeekIndex],8),IF((COUNTIFS(T_SelfStock[RM_Code],$A51,T_SelfStock[WeekIndex],8)&gt;0)*(COUNTIFS(T_TTAFStock[RM_Code],$A51,T_TTAFStock[WeekIndex],8)&gt;0)&gt;0,SUMIFS(T_SelfStock[Self_Qty],T_SelfStock[RM_Code],$A51,T_SelfStock[WeekIndex],8)+SUMIFS(T_TTAFStock[TTAF_Qty],T_TTAFStock[RM_Code],$A51,T_TTAFStock[WeekIndex],8),H51+'Grid_Incoming'!I51-'Grid_Requirement'!I51))</f>
        <v/>
      </c>
      <c r="J51">
        <f>IF(COUNTIFS(T_StockCount[RM_Code],$A51,T_StockCount[WeekIndex],9)&gt;0,SUMIFS(T_StockCount[CountedQty],T_StockCount[RM_Code],$A51,T_StockCount[WeekIndex],9),IF((COUNTIFS(T_SelfStock[RM_Code],$A51,T_SelfStock[WeekIndex],9)&gt;0)*(COUNTIFS(T_TTAFStock[RM_Code],$A51,T_TTAFStock[WeekIndex],9)&gt;0)&gt;0,SUMIFS(T_SelfStock[Self_Qty],T_SelfStock[RM_Code],$A51,T_SelfStock[WeekIndex],9)+SUMIFS(T_TTAFStock[TTAF_Qty],T_TTAFStock[RM_Code],$A51,T_TTAFStock[WeekIndex],9),I51+'Grid_Incoming'!J51-'Grid_Requirement'!J51))</f>
        <v/>
      </c>
      <c r="K51">
        <f>IF(COUNTIFS(T_StockCount[RM_Code],$A51,T_StockCount[WeekIndex],10)&gt;0,SUMIFS(T_StockCount[CountedQty],T_StockCount[RM_Code],$A51,T_StockCount[WeekIndex],10),IF((COUNTIFS(T_SelfStock[RM_Code],$A51,T_SelfStock[WeekIndex],10)&gt;0)*(COUNTIFS(T_TTAFStock[RM_Code],$A51,T_TTAFStock[WeekIndex],10)&gt;0)&gt;0,SUMIFS(T_SelfStock[Self_Qty],T_SelfStock[RM_Code],$A51,T_SelfStock[WeekIndex],10)+SUMIFS(T_TTAFStock[TTAF_Qty],T_TTAFStock[RM_Code],$A51,T_TTAFStock[WeekIndex],10),J51+'Grid_Incoming'!K51-'Grid_Requirement'!K51))</f>
        <v/>
      </c>
      <c r="L51">
        <f>IF(COUNTIFS(T_StockCount[RM_Code],$A51,T_StockCount[WeekIndex],11)&gt;0,SUMIFS(T_StockCount[CountedQty],T_StockCount[RM_Code],$A51,T_StockCount[WeekIndex],11),IF((COUNTIFS(T_SelfStock[RM_Code],$A51,T_SelfStock[WeekIndex],11)&gt;0)*(COUNTIFS(T_TTAFStock[RM_Code],$A51,T_TTAFStock[WeekIndex],11)&gt;0)&gt;0,SUMIFS(T_SelfStock[Self_Qty],T_SelfStock[RM_Code],$A51,T_SelfStock[WeekIndex],11)+SUMIFS(T_TTAFStock[TTAF_Qty],T_TTAFStock[RM_Code],$A51,T_TTAFStock[WeekIndex],11),K51+'Grid_Incoming'!L51-'Grid_Requirement'!L51))</f>
        <v/>
      </c>
      <c r="M51">
        <f>IF(COUNTIFS(T_StockCount[RM_Code],$A51,T_StockCount[WeekIndex],12)&gt;0,SUMIFS(T_StockCount[CountedQty],T_StockCount[RM_Code],$A51,T_StockCount[WeekIndex],12),IF((COUNTIFS(T_SelfStock[RM_Code],$A51,T_SelfStock[WeekIndex],12)&gt;0)*(COUNTIFS(T_TTAFStock[RM_Code],$A51,T_TTAFStock[WeekIndex],12)&gt;0)&gt;0,SUMIFS(T_SelfStock[Self_Qty],T_SelfStock[RM_Code],$A51,T_SelfStock[WeekIndex],12)+SUMIFS(T_TTAFStock[TTAF_Qty],T_TTAFStock[RM_Code],$A51,T_TTAFStock[WeekIndex],12),L51+'Grid_Incoming'!M51-'Grid_Requirement'!M51))</f>
        <v/>
      </c>
      <c r="N51">
        <f>IF(COUNTIFS(T_StockCount[RM_Code],$A51,T_StockCount[WeekIndex],13)&gt;0,SUMIFS(T_StockCount[CountedQty],T_StockCount[RM_Code],$A51,T_StockCount[WeekIndex],13),IF((COUNTIFS(T_SelfStock[RM_Code],$A51,T_SelfStock[WeekIndex],13)&gt;0)*(COUNTIFS(T_TTAFStock[RM_Code],$A51,T_TTAFStock[WeekIndex],13)&gt;0)&gt;0,SUMIFS(T_SelfStock[Self_Qty],T_SelfStock[RM_Code],$A51,T_SelfStock[WeekIndex],13)+SUMIFS(T_TTAFStock[TTAF_Qty],T_TTAFStock[RM_Code],$A51,T_TTAFStock[WeekIndex],13),M51+'Grid_Incoming'!N51-'Grid_Requirement'!N51))</f>
        <v/>
      </c>
      <c r="O51">
        <f>IF(COUNTIFS(T_StockCount[RM_Code],$A51,T_StockCount[WeekIndex],14)&gt;0,SUMIFS(T_StockCount[CountedQty],T_StockCount[RM_Code],$A51,T_StockCount[WeekIndex],14),IF((COUNTIFS(T_SelfStock[RM_Code],$A51,T_SelfStock[WeekIndex],14)&gt;0)*(COUNTIFS(T_TTAFStock[RM_Code],$A51,T_TTAFStock[WeekIndex],14)&gt;0)&gt;0,SUMIFS(T_SelfStock[Self_Qty],T_SelfStock[RM_Code],$A51,T_SelfStock[WeekIndex],14)+SUMIFS(T_TTAFStock[TTAF_Qty],T_TTAFStock[RM_Code],$A51,T_TTAFStock[WeekIndex],14),N51+'Grid_Incoming'!O51-'Grid_Requirement'!O51))</f>
        <v/>
      </c>
      <c r="P51">
        <f>IF(COUNTIFS(T_StockCount[RM_Code],$A51,T_StockCount[WeekIndex],15)&gt;0,SUMIFS(T_StockCount[CountedQty],T_StockCount[RM_Code],$A51,T_StockCount[WeekIndex],15),IF((COUNTIFS(T_SelfStock[RM_Code],$A51,T_SelfStock[WeekIndex],15)&gt;0)*(COUNTIFS(T_TTAFStock[RM_Code],$A51,T_TTAFStock[WeekIndex],15)&gt;0)&gt;0,SUMIFS(T_SelfStock[Self_Qty],T_SelfStock[RM_Code],$A51,T_SelfStock[WeekIndex],15)+SUMIFS(T_TTAFStock[TTAF_Qty],T_TTAFStock[RM_Code],$A51,T_TTAFStock[WeekIndex],15),O51+'Grid_Incoming'!P51-'Grid_Requirement'!P51))</f>
        <v/>
      </c>
      <c r="Q51">
        <f>IF(COUNTIFS(T_StockCount[RM_Code],$A51,T_StockCount[WeekIndex],16)&gt;0,SUMIFS(T_StockCount[CountedQty],T_StockCount[RM_Code],$A51,T_StockCount[WeekIndex],16),IF((COUNTIFS(T_SelfStock[RM_Code],$A51,T_SelfStock[WeekIndex],16)&gt;0)*(COUNTIFS(T_TTAFStock[RM_Code],$A51,T_TTAFStock[WeekIndex],16)&gt;0)&gt;0,SUMIFS(T_SelfStock[Self_Qty],T_SelfStock[RM_Code],$A51,T_SelfStock[WeekIndex],16)+SUMIFS(T_TTAFStock[TTAF_Qty],T_TTAFStock[RM_Code],$A51,T_TTAFStock[WeekIndex],16),P51+'Grid_Incoming'!Q51-'Grid_Requirement'!Q51))</f>
        <v/>
      </c>
      <c r="R51">
        <f>IF(COUNTIFS(T_StockCount[RM_Code],$A51,T_StockCount[WeekIndex],17)&gt;0,SUMIFS(T_StockCount[CountedQty],T_StockCount[RM_Code],$A51,T_StockCount[WeekIndex],17),IF((COUNTIFS(T_SelfStock[RM_Code],$A51,T_SelfStock[WeekIndex],17)&gt;0)*(COUNTIFS(T_TTAFStock[RM_Code],$A51,T_TTAFStock[WeekIndex],17)&gt;0)&gt;0,SUMIFS(T_SelfStock[Self_Qty],T_SelfStock[RM_Code],$A51,T_SelfStock[WeekIndex],17)+SUMIFS(T_TTAFStock[TTAF_Qty],T_TTAFStock[RM_Code],$A51,T_TTAFStock[WeekIndex],17),Q51+'Grid_Incoming'!R51-'Grid_Requirement'!R51))</f>
        <v/>
      </c>
      <c r="S51">
        <f>IF(COUNTIFS(T_StockCount[RM_Code],$A51,T_StockCount[WeekIndex],18)&gt;0,SUMIFS(T_StockCount[CountedQty],T_StockCount[RM_Code],$A51,T_StockCount[WeekIndex],18),IF((COUNTIFS(T_SelfStock[RM_Code],$A51,T_SelfStock[WeekIndex],18)&gt;0)*(COUNTIFS(T_TTAFStock[RM_Code],$A51,T_TTAFStock[WeekIndex],18)&gt;0)&gt;0,SUMIFS(T_SelfStock[Self_Qty],T_SelfStock[RM_Code],$A51,T_SelfStock[WeekIndex],18)+SUMIFS(T_TTAFStock[TTAF_Qty],T_TTAFStock[RM_Code],$A51,T_TTAFStock[WeekIndex],18),R51+'Grid_Incoming'!S51-'Grid_Requirement'!S51))</f>
        <v/>
      </c>
      <c r="T51">
        <f>IF(COUNTIFS(T_StockCount[RM_Code],$A51,T_StockCount[WeekIndex],19)&gt;0,SUMIFS(T_StockCount[CountedQty],T_StockCount[RM_Code],$A51,T_StockCount[WeekIndex],19),IF((COUNTIFS(T_SelfStock[RM_Code],$A51,T_SelfStock[WeekIndex],19)&gt;0)*(COUNTIFS(T_TTAFStock[RM_Code],$A51,T_TTAFStock[WeekIndex],19)&gt;0)&gt;0,SUMIFS(T_SelfStock[Self_Qty],T_SelfStock[RM_Code],$A51,T_SelfStock[WeekIndex],19)+SUMIFS(T_TTAFStock[TTAF_Qty],T_TTAFStock[RM_Code],$A51,T_TTAFStock[WeekIndex],19),S51+'Grid_Incoming'!T51-'Grid_Requirement'!T51))</f>
        <v/>
      </c>
      <c r="U51">
        <f>IF(COUNTIFS(T_StockCount[RM_Code],$A51,T_StockCount[WeekIndex],20)&gt;0,SUMIFS(T_StockCount[CountedQty],T_StockCount[RM_Code],$A51,T_StockCount[WeekIndex],20),IF((COUNTIFS(T_SelfStock[RM_Code],$A51,T_SelfStock[WeekIndex],20)&gt;0)*(COUNTIFS(T_TTAFStock[RM_Code],$A51,T_TTAFStock[WeekIndex],20)&gt;0)&gt;0,SUMIFS(T_SelfStock[Self_Qty],T_SelfStock[RM_Code],$A51,T_SelfStock[WeekIndex],20)+SUMIFS(T_TTAFStock[TTAF_Qty],T_TTAFStock[RM_Code],$A51,T_TTAFStock[WeekIndex],20),T51+'Grid_Incoming'!U51-'Grid_Requirement'!U51))</f>
        <v/>
      </c>
      <c r="V51">
        <f>IF(COUNTIFS(T_StockCount[RM_Code],$A51,T_StockCount[WeekIndex],21)&gt;0,SUMIFS(T_StockCount[CountedQty],T_StockCount[RM_Code],$A51,T_StockCount[WeekIndex],21),IF((COUNTIFS(T_SelfStock[RM_Code],$A51,T_SelfStock[WeekIndex],21)&gt;0)*(COUNTIFS(T_TTAFStock[RM_Code],$A51,T_TTAFStock[WeekIndex],21)&gt;0)&gt;0,SUMIFS(T_SelfStock[Self_Qty],T_SelfStock[RM_Code],$A51,T_SelfStock[WeekIndex],21)+SUMIFS(T_TTAFStock[TTAF_Qty],T_TTAFStock[RM_Code],$A51,T_TTAFStock[WeekIndex],21),U51+'Grid_Incoming'!V51-'Grid_Requirement'!V51))</f>
        <v/>
      </c>
      <c r="W51">
        <f>IF(COUNTIFS(T_StockCount[RM_Code],$A51,T_StockCount[WeekIndex],22)&gt;0,SUMIFS(T_StockCount[CountedQty],T_StockCount[RM_Code],$A51,T_StockCount[WeekIndex],22),IF((COUNTIFS(T_SelfStock[RM_Code],$A51,T_SelfStock[WeekIndex],22)&gt;0)*(COUNTIFS(T_TTAFStock[RM_Code],$A51,T_TTAFStock[WeekIndex],22)&gt;0)&gt;0,SUMIFS(T_SelfStock[Self_Qty],T_SelfStock[RM_Code],$A51,T_SelfStock[WeekIndex],22)+SUMIFS(T_TTAFStock[TTAF_Qty],T_TTAFStock[RM_Code],$A51,T_TTAFStock[WeekIndex],22),V51+'Grid_Incoming'!W51-'Grid_Requirement'!W51))</f>
        <v/>
      </c>
      <c r="X51">
        <f>IF(COUNTIFS(T_StockCount[RM_Code],$A51,T_StockCount[WeekIndex],23)&gt;0,SUMIFS(T_StockCount[CountedQty],T_StockCount[RM_Code],$A51,T_StockCount[WeekIndex],23),IF((COUNTIFS(T_SelfStock[RM_Code],$A51,T_SelfStock[WeekIndex],23)&gt;0)*(COUNTIFS(T_TTAFStock[RM_Code],$A51,T_TTAFStock[WeekIndex],23)&gt;0)&gt;0,SUMIFS(T_SelfStock[Self_Qty],T_SelfStock[RM_Code],$A51,T_SelfStock[WeekIndex],23)+SUMIFS(T_TTAFStock[TTAF_Qty],T_TTAFStock[RM_Code],$A51,T_TTAFStock[WeekIndex],23),W51+'Grid_Incoming'!X51-'Grid_Requirement'!X51))</f>
        <v/>
      </c>
      <c r="Y51">
        <f>IF(COUNTIFS(T_StockCount[RM_Code],$A51,T_StockCount[WeekIndex],24)&gt;0,SUMIFS(T_StockCount[CountedQty],T_StockCount[RM_Code],$A51,T_StockCount[WeekIndex],24),IF((COUNTIFS(T_SelfStock[RM_Code],$A51,T_SelfStock[WeekIndex],24)&gt;0)*(COUNTIFS(T_TTAFStock[RM_Code],$A51,T_TTAFStock[WeekIndex],24)&gt;0)&gt;0,SUMIFS(T_SelfStock[Self_Qty],T_SelfStock[RM_Code],$A51,T_SelfStock[WeekIndex],24)+SUMIFS(T_TTAFStock[TTAF_Qty],T_TTAFStock[RM_Code],$A51,T_TTAFStock[WeekIndex],24),X51+'Grid_Incoming'!Y51-'Grid_Requirement'!Y51))</f>
        <v/>
      </c>
      <c r="Z51">
        <f>IF(COUNTIFS(T_StockCount[RM_Code],$A51,T_StockCount[WeekIndex],25)&gt;0,SUMIFS(T_StockCount[CountedQty],T_StockCount[RM_Code],$A51,T_StockCount[WeekIndex],25),IF((COUNTIFS(T_SelfStock[RM_Code],$A51,T_SelfStock[WeekIndex],25)&gt;0)*(COUNTIFS(T_TTAFStock[RM_Code],$A51,T_TTAFStock[WeekIndex],25)&gt;0)&gt;0,SUMIFS(T_SelfStock[Self_Qty],T_SelfStock[RM_Code],$A51,T_SelfStock[WeekIndex],25)+SUMIFS(T_TTAFStock[TTAF_Qty],T_TTAFStock[RM_Code],$A51,T_TTAFStock[WeekIndex],25),Y51+'Grid_Incoming'!Z51-'Grid_Requirement'!Z51))</f>
        <v/>
      </c>
      <c r="AA51">
        <f>IF(COUNTIFS(T_StockCount[RM_Code],$A51,T_StockCount[WeekIndex],26)&gt;0,SUMIFS(T_StockCount[CountedQty],T_StockCount[RM_Code],$A51,T_StockCount[WeekIndex],26),IF((COUNTIFS(T_SelfStock[RM_Code],$A51,T_SelfStock[WeekIndex],26)&gt;0)*(COUNTIFS(T_TTAFStock[RM_Code],$A51,T_TTAFStock[WeekIndex],26)&gt;0)&gt;0,SUMIFS(T_SelfStock[Self_Qty],T_SelfStock[RM_Code],$A51,T_SelfStock[WeekIndex],26)+SUMIFS(T_TTAFStock[TTAF_Qty],T_TTAFStock[RM_Code],$A51,T_TTAFStock[WeekIndex],26),Z51+'Grid_Incoming'!AA51-'Grid_Requirement'!AA51))</f>
        <v/>
      </c>
      <c r="AB51">
        <f>IF(COUNTIFS(T_StockCount[RM_Code],$A51,T_StockCount[WeekIndex],27)&gt;0,SUMIFS(T_StockCount[CountedQty],T_StockCount[RM_Code],$A51,T_StockCount[WeekIndex],27),IF((COUNTIFS(T_SelfStock[RM_Code],$A51,T_SelfStock[WeekIndex],27)&gt;0)*(COUNTIFS(T_TTAFStock[RM_Code],$A51,T_TTAFStock[WeekIndex],27)&gt;0)&gt;0,SUMIFS(T_SelfStock[Self_Qty],T_SelfStock[RM_Code],$A51,T_SelfStock[WeekIndex],27)+SUMIFS(T_TTAFStock[TTAF_Qty],T_TTAFStock[RM_Code],$A51,T_TTAFStock[WeekIndex],27),AA51+'Grid_Incoming'!AB51-'Grid_Requirement'!AB51))</f>
        <v/>
      </c>
      <c r="AC51">
        <f>IF(COUNTIFS(T_StockCount[RM_Code],$A51,T_StockCount[WeekIndex],28)&gt;0,SUMIFS(T_StockCount[CountedQty],T_StockCount[RM_Code],$A51,T_StockCount[WeekIndex],28),IF((COUNTIFS(T_SelfStock[RM_Code],$A51,T_SelfStock[WeekIndex],28)&gt;0)*(COUNTIFS(T_TTAFStock[RM_Code],$A51,T_TTAFStock[WeekIndex],28)&gt;0)&gt;0,SUMIFS(T_SelfStock[Self_Qty],T_SelfStock[RM_Code],$A51,T_SelfStock[WeekIndex],28)+SUMIFS(T_TTAFStock[TTAF_Qty],T_TTAFStock[RM_Code],$A51,T_TTAFStock[WeekIndex],28),AB51+'Grid_Incoming'!AC51-'Grid_Requirement'!AC51))</f>
        <v/>
      </c>
      <c r="AD51">
        <f>IF(COUNTIFS(T_StockCount[RM_Code],$A51,T_StockCount[WeekIndex],29)&gt;0,SUMIFS(T_StockCount[CountedQty],T_StockCount[RM_Code],$A51,T_StockCount[WeekIndex],29),IF((COUNTIFS(T_SelfStock[RM_Code],$A51,T_SelfStock[WeekIndex],29)&gt;0)*(COUNTIFS(T_TTAFStock[RM_Code],$A51,T_TTAFStock[WeekIndex],29)&gt;0)&gt;0,SUMIFS(T_SelfStock[Self_Qty],T_SelfStock[RM_Code],$A51,T_SelfStock[WeekIndex],29)+SUMIFS(T_TTAFStock[TTAF_Qty],T_TTAFStock[RM_Code],$A51,T_TTAFStock[WeekIndex],29),AC51+'Grid_Incoming'!AD51-'Grid_Requirement'!AD51))</f>
        <v/>
      </c>
      <c r="AE51">
        <f>IF(COUNTIFS(T_StockCount[RM_Code],$A51,T_StockCount[WeekIndex],30)&gt;0,SUMIFS(T_StockCount[CountedQty],T_StockCount[RM_Code],$A51,T_StockCount[WeekIndex],30),IF((COUNTIFS(T_SelfStock[RM_Code],$A51,T_SelfStock[WeekIndex],30)&gt;0)*(COUNTIFS(T_TTAFStock[RM_Code],$A51,T_TTAFStock[WeekIndex],30)&gt;0)&gt;0,SUMIFS(T_SelfStock[Self_Qty],T_SelfStock[RM_Code],$A51,T_SelfStock[WeekIndex],30)+SUMIFS(T_TTAFStock[TTAF_Qty],T_TTAFStock[RM_Code],$A51,T_TTAFStock[WeekIndex],30),AD51+'Grid_Incoming'!AE51-'Grid_Requirement'!AE51))</f>
        <v/>
      </c>
      <c r="AF51">
        <f>IF(COUNTIFS(T_StockCount[RM_Code],$A51,T_StockCount[WeekIndex],31)&gt;0,SUMIFS(T_StockCount[CountedQty],T_StockCount[RM_Code],$A51,T_StockCount[WeekIndex],31),IF((COUNTIFS(T_SelfStock[RM_Code],$A51,T_SelfStock[WeekIndex],31)&gt;0)*(COUNTIFS(T_TTAFStock[RM_Code],$A51,T_TTAFStock[WeekIndex],31)&gt;0)&gt;0,SUMIFS(T_SelfStock[Self_Qty],T_SelfStock[RM_Code],$A51,T_SelfStock[WeekIndex],31)+SUMIFS(T_TTAFStock[TTAF_Qty],T_TTAFStock[RM_Code],$A51,T_TTAFStock[WeekIndex],31),AE51+'Grid_Incoming'!AF51-'Grid_Requirement'!AF51))</f>
        <v/>
      </c>
      <c r="AG51">
        <f>IF(COUNTIFS(T_StockCount[RM_Code],$A51,T_StockCount[WeekIndex],32)&gt;0,SUMIFS(T_StockCount[CountedQty],T_StockCount[RM_Code],$A51,T_StockCount[WeekIndex],32),IF((COUNTIFS(T_SelfStock[RM_Code],$A51,T_SelfStock[WeekIndex],32)&gt;0)*(COUNTIFS(T_TTAFStock[RM_Code],$A51,T_TTAFStock[WeekIndex],32)&gt;0)&gt;0,SUMIFS(T_SelfStock[Self_Qty],T_SelfStock[RM_Code],$A51,T_SelfStock[WeekIndex],32)+SUMIFS(T_TTAFStock[TTAF_Qty],T_TTAFStock[RM_Code],$A51,T_TTAFStock[WeekIndex],32),AF51+'Grid_Incoming'!AG51-'Grid_Requirement'!AG51))</f>
        <v/>
      </c>
      <c r="AH51">
        <f>IF(COUNTIFS(T_StockCount[RM_Code],$A51,T_StockCount[WeekIndex],33)&gt;0,SUMIFS(T_StockCount[CountedQty],T_StockCount[RM_Code],$A51,T_StockCount[WeekIndex],33),IF((COUNTIFS(T_SelfStock[RM_Code],$A51,T_SelfStock[WeekIndex],33)&gt;0)*(COUNTIFS(T_TTAFStock[RM_Code],$A51,T_TTAFStock[WeekIndex],33)&gt;0)&gt;0,SUMIFS(T_SelfStock[Self_Qty],T_SelfStock[RM_Code],$A51,T_SelfStock[WeekIndex],33)+SUMIFS(T_TTAFStock[TTAF_Qty],T_TTAFStock[RM_Code],$A51,T_TTAFStock[WeekIndex],33),AG51+'Grid_Incoming'!AH51-'Grid_Requirement'!AH51))</f>
        <v/>
      </c>
      <c r="AI51">
        <f>IF(COUNTIFS(T_StockCount[RM_Code],$A51,T_StockCount[WeekIndex],34)&gt;0,SUMIFS(T_StockCount[CountedQty],T_StockCount[RM_Code],$A51,T_StockCount[WeekIndex],34),IF((COUNTIFS(T_SelfStock[RM_Code],$A51,T_SelfStock[WeekIndex],34)&gt;0)*(COUNTIFS(T_TTAFStock[RM_Code],$A51,T_TTAFStock[WeekIndex],34)&gt;0)&gt;0,SUMIFS(T_SelfStock[Self_Qty],T_SelfStock[RM_Code],$A51,T_SelfStock[WeekIndex],34)+SUMIFS(T_TTAFStock[TTAF_Qty],T_TTAFStock[RM_Code],$A51,T_TTAFStock[WeekIndex],34),AH51+'Grid_Incoming'!AI51-'Grid_Requirement'!AI51))</f>
        <v/>
      </c>
      <c r="AJ51">
        <f>IF(COUNTIFS(T_StockCount[RM_Code],$A51,T_StockCount[WeekIndex],35)&gt;0,SUMIFS(T_StockCount[CountedQty],T_StockCount[RM_Code],$A51,T_StockCount[WeekIndex],35),IF((COUNTIFS(T_SelfStock[RM_Code],$A51,T_SelfStock[WeekIndex],35)&gt;0)*(COUNTIFS(T_TTAFStock[RM_Code],$A51,T_TTAFStock[WeekIndex],35)&gt;0)&gt;0,SUMIFS(T_SelfStock[Self_Qty],T_SelfStock[RM_Code],$A51,T_SelfStock[WeekIndex],35)+SUMIFS(T_TTAFStock[TTAF_Qty],T_TTAFStock[RM_Code],$A51,T_TTAFStock[WeekIndex],35),AI51+'Grid_Incoming'!AJ51-'Grid_Requirement'!AJ51))</f>
        <v/>
      </c>
      <c r="AK51">
        <f>IF(COUNTIFS(T_StockCount[RM_Code],$A51,T_StockCount[WeekIndex],36)&gt;0,SUMIFS(T_StockCount[CountedQty],T_StockCount[RM_Code],$A51,T_StockCount[WeekIndex],36),IF((COUNTIFS(T_SelfStock[RM_Code],$A51,T_SelfStock[WeekIndex],36)&gt;0)*(COUNTIFS(T_TTAFStock[RM_Code],$A51,T_TTAFStock[WeekIndex],36)&gt;0)&gt;0,SUMIFS(T_SelfStock[Self_Qty],T_SelfStock[RM_Code],$A51,T_SelfStock[WeekIndex],36)+SUMIFS(T_TTAFStock[TTAF_Qty],T_TTAFStock[RM_Code],$A51,T_TTAFStock[WeekIndex],36),AJ51+'Grid_Incoming'!AK51-'Grid_Requirement'!AK51))</f>
        <v/>
      </c>
      <c r="AL51">
        <f>IF(COUNTIFS(T_StockCount[RM_Code],$A51,T_StockCount[WeekIndex],37)&gt;0,SUMIFS(T_StockCount[CountedQty],T_StockCount[RM_Code],$A51,T_StockCount[WeekIndex],37),IF((COUNTIFS(T_SelfStock[RM_Code],$A51,T_SelfStock[WeekIndex],37)&gt;0)*(COUNTIFS(T_TTAFStock[RM_Code],$A51,T_TTAFStock[WeekIndex],37)&gt;0)&gt;0,SUMIFS(T_SelfStock[Self_Qty],T_SelfStock[RM_Code],$A51,T_SelfStock[WeekIndex],37)+SUMIFS(T_TTAFStock[TTAF_Qty],T_TTAFStock[RM_Code],$A51,T_TTAFStock[WeekIndex],37),AK51+'Grid_Incoming'!AL51-'Grid_Requirement'!AL51))</f>
        <v/>
      </c>
      <c r="AM51">
        <f>IF(COUNTIFS(T_StockCount[RM_Code],$A51,T_StockCount[WeekIndex],38)&gt;0,SUMIFS(T_StockCount[CountedQty],T_StockCount[RM_Code],$A51,T_StockCount[WeekIndex],38),IF((COUNTIFS(T_SelfStock[RM_Code],$A51,T_SelfStock[WeekIndex],38)&gt;0)*(COUNTIFS(T_TTAFStock[RM_Code],$A51,T_TTAFStock[WeekIndex],38)&gt;0)&gt;0,SUMIFS(T_SelfStock[Self_Qty],T_SelfStock[RM_Code],$A51,T_SelfStock[WeekIndex],38)+SUMIFS(T_TTAFStock[TTAF_Qty],T_TTAFStock[RM_Code],$A51,T_TTAFStock[WeekIndex],38),AL51+'Grid_Incoming'!AM51-'Grid_Requirement'!AM51))</f>
        <v/>
      </c>
      <c r="AN51">
        <f>IF(COUNTIFS(T_StockCount[RM_Code],$A51,T_StockCount[WeekIndex],39)&gt;0,SUMIFS(T_StockCount[CountedQty],T_StockCount[RM_Code],$A51,T_StockCount[WeekIndex],39),IF((COUNTIFS(T_SelfStock[RM_Code],$A51,T_SelfStock[WeekIndex],39)&gt;0)*(COUNTIFS(T_TTAFStock[RM_Code],$A51,T_TTAFStock[WeekIndex],39)&gt;0)&gt;0,SUMIFS(T_SelfStock[Self_Qty],T_SelfStock[RM_Code],$A51,T_SelfStock[WeekIndex],39)+SUMIFS(T_TTAFStock[TTAF_Qty],T_TTAFStock[RM_Code],$A51,T_TTAFStock[WeekIndex],39),AM51+'Grid_Incoming'!AN51-'Grid_Requirement'!AN51))</f>
        <v/>
      </c>
      <c r="AO51">
        <f>IF(COUNTIFS(T_StockCount[RM_Code],$A51,T_StockCount[WeekIndex],40)&gt;0,SUMIFS(T_StockCount[CountedQty],T_StockCount[RM_Code],$A51,T_StockCount[WeekIndex],40),IF((COUNTIFS(T_SelfStock[RM_Code],$A51,T_SelfStock[WeekIndex],40)&gt;0)*(COUNTIFS(T_TTAFStock[RM_Code],$A51,T_TTAFStock[WeekIndex],40)&gt;0)&gt;0,SUMIFS(T_SelfStock[Self_Qty],T_SelfStock[RM_Code],$A51,T_SelfStock[WeekIndex],40)+SUMIFS(T_TTAFStock[TTAF_Qty],T_TTAFStock[RM_Code],$A51,T_TTAFStock[WeekIndex],40),AN51+'Grid_Incoming'!AO51-'Grid_Requirement'!AO51))</f>
        <v/>
      </c>
      <c r="AP51">
        <f>IF(COUNTIFS(T_StockCount[RM_Code],$A51,T_StockCount[WeekIndex],41)&gt;0,SUMIFS(T_StockCount[CountedQty],T_StockCount[RM_Code],$A51,T_StockCount[WeekIndex],41),IF((COUNTIFS(T_SelfStock[RM_Code],$A51,T_SelfStock[WeekIndex],41)&gt;0)*(COUNTIFS(T_TTAFStock[RM_Code],$A51,T_TTAFStock[WeekIndex],41)&gt;0)&gt;0,SUMIFS(T_SelfStock[Self_Qty],T_SelfStock[RM_Code],$A51,T_SelfStock[WeekIndex],41)+SUMIFS(T_TTAFStock[TTAF_Qty],T_TTAFStock[RM_Code],$A51,T_TTAFStock[WeekIndex],41),AO51+'Grid_Incoming'!AP51-'Grid_Requirement'!AP51))</f>
        <v/>
      </c>
      <c r="AQ51">
        <f>IF(COUNTIFS(T_StockCount[RM_Code],$A51,T_StockCount[WeekIndex],42)&gt;0,SUMIFS(T_StockCount[CountedQty],T_StockCount[RM_Code],$A51,T_StockCount[WeekIndex],42),IF((COUNTIFS(T_SelfStock[RM_Code],$A51,T_SelfStock[WeekIndex],42)&gt;0)*(COUNTIFS(T_TTAFStock[RM_Code],$A51,T_TTAFStock[WeekIndex],42)&gt;0)&gt;0,SUMIFS(T_SelfStock[Self_Qty],T_SelfStock[RM_Code],$A51,T_SelfStock[WeekIndex],42)+SUMIFS(T_TTAFStock[TTAF_Qty],T_TTAFStock[RM_Code],$A51,T_TTAFStock[WeekIndex],42),AP51+'Grid_Incoming'!AQ51-'Grid_Requirement'!AQ51))</f>
        <v/>
      </c>
      <c r="AR51">
        <f>IF(COUNTIFS(T_StockCount[RM_Code],$A51,T_StockCount[WeekIndex],43)&gt;0,SUMIFS(T_StockCount[CountedQty],T_StockCount[RM_Code],$A51,T_StockCount[WeekIndex],43),IF((COUNTIFS(T_SelfStock[RM_Code],$A51,T_SelfStock[WeekIndex],43)&gt;0)*(COUNTIFS(T_TTAFStock[RM_Code],$A51,T_TTAFStock[WeekIndex],43)&gt;0)&gt;0,SUMIFS(T_SelfStock[Self_Qty],T_SelfStock[RM_Code],$A51,T_SelfStock[WeekIndex],43)+SUMIFS(T_TTAFStock[TTAF_Qty],T_TTAFStock[RM_Code],$A51,T_TTAFStock[WeekIndex],43),AQ51+'Grid_Incoming'!AR51-'Grid_Requirement'!AR51))</f>
        <v/>
      </c>
      <c r="AS51">
        <f>IF(COUNTIFS(T_StockCount[RM_Code],$A51,T_StockCount[WeekIndex],44)&gt;0,SUMIFS(T_StockCount[CountedQty],T_StockCount[RM_Code],$A51,T_StockCount[WeekIndex],44),IF((COUNTIFS(T_SelfStock[RM_Code],$A51,T_SelfStock[WeekIndex],44)&gt;0)*(COUNTIFS(T_TTAFStock[RM_Code],$A51,T_TTAFStock[WeekIndex],44)&gt;0)&gt;0,SUMIFS(T_SelfStock[Self_Qty],T_SelfStock[RM_Code],$A51,T_SelfStock[WeekIndex],44)+SUMIFS(T_TTAFStock[TTAF_Qty],T_TTAFStock[RM_Code],$A51,T_TTAFStock[WeekIndex],44),AR51+'Grid_Incoming'!AS51-'Grid_Requirement'!AS51))</f>
        <v/>
      </c>
      <c r="AT51">
        <f>IF(COUNTIFS(T_StockCount[RM_Code],$A51,T_StockCount[WeekIndex],45)&gt;0,SUMIFS(T_StockCount[CountedQty],T_StockCount[RM_Code],$A51,T_StockCount[WeekIndex],45),IF((COUNTIFS(T_SelfStock[RM_Code],$A51,T_SelfStock[WeekIndex],45)&gt;0)*(COUNTIFS(T_TTAFStock[RM_Code],$A51,T_TTAFStock[WeekIndex],45)&gt;0)&gt;0,SUMIFS(T_SelfStock[Self_Qty],T_SelfStock[RM_Code],$A51,T_SelfStock[WeekIndex],45)+SUMIFS(T_TTAFStock[TTAF_Qty],T_TTAFStock[RM_Code],$A51,T_TTAFStock[WeekIndex],45),AS51+'Grid_Incoming'!AT51-'Grid_Requirement'!AT51))</f>
        <v/>
      </c>
      <c r="AU51">
        <f>IF(COUNTIFS(T_StockCount[RM_Code],$A51,T_StockCount[WeekIndex],46)&gt;0,SUMIFS(T_StockCount[CountedQty],T_StockCount[RM_Code],$A51,T_StockCount[WeekIndex],46),IF((COUNTIFS(T_SelfStock[RM_Code],$A51,T_SelfStock[WeekIndex],46)&gt;0)*(COUNTIFS(T_TTAFStock[RM_Code],$A51,T_TTAFStock[WeekIndex],46)&gt;0)&gt;0,SUMIFS(T_SelfStock[Self_Qty],T_SelfStock[RM_Code],$A51,T_SelfStock[WeekIndex],46)+SUMIFS(T_TTAFStock[TTAF_Qty],T_TTAFStock[RM_Code],$A51,T_TTAFStock[WeekIndex],46),AT51+'Grid_Incoming'!AU51-'Grid_Requirement'!AU51))</f>
        <v/>
      </c>
      <c r="AV51">
        <f>IF(COUNTIFS(T_StockCount[RM_Code],$A51,T_StockCount[WeekIndex],47)&gt;0,SUMIFS(T_StockCount[CountedQty],T_StockCount[RM_Code],$A51,T_StockCount[WeekIndex],47),IF((COUNTIFS(T_SelfStock[RM_Code],$A51,T_SelfStock[WeekIndex],47)&gt;0)*(COUNTIFS(T_TTAFStock[RM_Code],$A51,T_TTAFStock[WeekIndex],47)&gt;0)&gt;0,SUMIFS(T_SelfStock[Self_Qty],T_SelfStock[RM_Code],$A51,T_SelfStock[WeekIndex],47)+SUMIFS(T_TTAFStock[TTAF_Qty],T_TTAFStock[RM_Code],$A51,T_TTAFStock[WeekIndex],47),AU51+'Grid_Incoming'!AV51-'Grid_Requirement'!AV51))</f>
        <v/>
      </c>
      <c r="AW51">
        <f>IF(COUNTIFS(T_StockCount[RM_Code],$A51,T_StockCount[WeekIndex],48)&gt;0,SUMIFS(T_StockCount[CountedQty],T_StockCount[RM_Code],$A51,T_StockCount[WeekIndex],48),IF((COUNTIFS(T_SelfStock[RM_Code],$A51,T_SelfStock[WeekIndex],48)&gt;0)*(COUNTIFS(T_TTAFStock[RM_Code],$A51,T_TTAFStock[WeekIndex],48)&gt;0)&gt;0,SUMIFS(T_SelfStock[Self_Qty],T_SelfStock[RM_Code],$A51,T_SelfStock[WeekIndex],48)+SUMIFS(T_TTAFStock[TTAF_Qty],T_TTAFStock[RM_Code],$A51,T_TTAFStock[WeekIndex],48),AV51+'Grid_Incoming'!AW51-'Grid_Requirement'!AW51))</f>
        <v/>
      </c>
      <c r="AX51">
        <f>IF(COUNTIFS(T_StockCount[RM_Code],$A51,T_StockCount[WeekIndex],49)&gt;0,SUMIFS(T_StockCount[CountedQty],T_StockCount[RM_Code],$A51,T_StockCount[WeekIndex],49),IF((COUNTIFS(T_SelfStock[RM_Code],$A51,T_SelfStock[WeekIndex],49)&gt;0)*(COUNTIFS(T_TTAFStock[RM_Code],$A51,T_TTAFStock[WeekIndex],49)&gt;0)&gt;0,SUMIFS(T_SelfStock[Self_Qty],T_SelfStock[RM_Code],$A51,T_SelfStock[WeekIndex],49)+SUMIFS(T_TTAFStock[TTAF_Qty],T_TTAFStock[RM_Code],$A51,T_TTAFStock[WeekIndex],49),AW51+'Grid_Incoming'!AX51-'Grid_Requirement'!AX51))</f>
        <v/>
      </c>
      <c r="AY51">
        <f>IF(COUNTIFS(T_StockCount[RM_Code],$A51,T_StockCount[WeekIndex],50)&gt;0,SUMIFS(T_StockCount[CountedQty],T_StockCount[RM_Code],$A51,T_StockCount[WeekIndex],50),IF((COUNTIFS(T_SelfStock[RM_Code],$A51,T_SelfStock[WeekIndex],50)&gt;0)*(COUNTIFS(T_TTAFStock[RM_Code],$A51,T_TTAFStock[WeekIndex],50)&gt;0)&gt;0,SUMIFS(T_SelfStock[Self_Qty],T_SelfStock[RM_Code],$A51,T_SelfStock[WeekIndex],50)+SUMIFS(T_TTAFStock[TTAF_Qty],T_TTAFStock[RM_Code],$A51,T_TTAFStock[WeekIndex],50),AX51+'Grid_Incoming'!AY51-'Grid_Requirement'!AY51))</f>
        <v/>
      </c>
      <c r="AZ51">
        <f>IF(COUNTIFS(T_StockCount[RM_Code],$A51,T_StockCount[WeekIndex],51)&gt;0,SUMIFS(T_StockCount[CountedQty],T_StockCount[RM_Code],$A51,T_StockCount[WeekIndex],51),IF((COUNTIFS(T_SelfStock[RM_Code],$A51,T_SelfStock[WeekIndex],51)&gt;0)*(COUNTIFS(T_TTAFStock[RM_Code],$A51,T_TTAFStock[WeekIndex],51)&gt;0)&gt;0,SUMIFS(T_SelfStock[Self_Qty],T_SelfStock[RM_Code],$A51,T_SelfStock[WeekIndex],51)+SUMIFS(T_TTAFStock[TTAF_Qty],T_TTAFStock[RM_Code],$A51,T_TTAFStock[WeekIndex],51),AY51+'Grid_Incoming'!AZ51-'Grid_Requirement'!AZ51))</f>
        <v/>
      </c>
      <c r="BA51">
        <f>IF(COUNTIFS(T_StockCount[RM_Code],$A51,T_StockCount[WeekIndex],52)&gt;0,SUMIFS(T_StockCount[CountedQty],T_StockCount[RM_Code],$A51,T_StockCount[WeekIndex],52),IF((COUNTIFS(T_SelfStock[RM_Code],$A51,T_SelfStock[WeekIndex],52)&gt;0)*(COUNTIFS(T_TTAFStock[RM_Code],$A51,T_TTAFStock[WeekIndex],52)&gt;0)&gt;0,SUMIFS(T_SelfStock[Self_Qty],T_SelfStock[RM_Code],$A51,T_SelfStock[WeekIndex],52)+SUMIFS(T_TTAFStock[TTAF_Qty],T_TTAFStock[RM_Code],$A51,T_TTAFStock[WeekIndex],52),AZ51+'Grid_Incoming'!BA51-'Grid_Requirement'!BA51))</f>
        <v/>
      </c>
      <c r="BB51">
        <f>IF(COUNTIFS(T_StockCount[RM_Code],$A51,T_StockCount[WeekIndex],53)&gt;0,SUMIFS(T_StockCount[CountedQty],T_StockCount[RM_Code],$A51,T_StockCount[WeekIndex],53),IF((COUNTIFS(T_SelfStock[RM_Code],$A51,T_SelfStock[WeekIndex],53)&gt;0)*(COUNTIFS(T_TTAFStock[RM_Code],$A51,T_TTAFStock[WeekIndex],53)&gt;0)&gt;0,SUMIFS(T_SelfStock[Self_Qty],T_SelfStock[RM_Code],$A51,T_SelfStock[WeekIndex],53)+SUMIFS(T_TTAFStock[TTAF_Qty],T_TTAFStock[RM_Code],$A51,T_TTAFStock[WeekIndex],53),BA51+'Grid_Incoming'!BB51-'Grid_Requirement'!BB51))</f>
        <v/>
      </c>
      <c r="BC51">
        <f>IF(COUNTIFS(T_StockCount[RM_Code],$A51,T_StockCount[WeekIndex],54)&gt;0,SUMIFS(T_StockCount[CountedQty],T_StockCount[RM_Code],$A51,T_StockCount[WeekIndex],54),IF((COUNTIFS(T_SelfStock[RM_Code],$A51,T_SelfStock[WeekIndex],54)&gt;0)*(COUNTIFS(T_TTAFStock[RM_Code],$A51,T_TTAFStock[WeekIndex],54)&gt;0)&gt;0,SUMIFS(T_SelfStock[Self_Qty],T_SelfStock[RM_Code],$A51,T_SelfStock[WeekIndex],54)+SUMIFS(T_TTAFStock[TTAF_Qty],T_TTAFStock[RM_Code],$A51,T_TTAFStock[WeekIndex],54),BB51+'Grid_Incoming'!BC51-'Grid_Requirement'!BC51))</f>
        <v/>
      </c>
      <c r="BD51">
        <f>IF(COUNTIFS(T_StockCount[RM_Code],$A51,T_StockCount[WeekIndex],55)&gt;0,SUMIFS(T_StockCount[CountedQty],T_StockCount[RM_Code],$A51,T_StockCount[WeekIndex],55),IF((COUNTIFS(T_SelfStock[RM_Code],$A51,T_SelfStock[WeekIndex],55)&gt;0)*(COUNTIFS(T_TTAFStock[RM_Code],$A51,T_TTAFStock[WeekIndex],55)&gt;0)&gt;0,SUMIFS(T_SelfStock[Self_Qty],T_SelfStock[RM_Code],$A51,T_SelfStock[WeekIndex],55)+SUMIFS(T_TTAFStock[TTAF_Qty],T_TTAFStock[RM_Code],$A51,T_TTAFStock[WeekIndex],55),BC51+'Grid_Incoming'!BD51-'Grid_Requirement'!BD51))</f>
        <v/>
      </c>
      <c r="BE51">
        <f>IF(COUNTIFS(T_StockCount[RM_Code],$A51,T_StockCount[WeekIndex],56)&gt;0,SUMIFS(T_StockCount[CountedQty],T_StockCount[RM_Code],$A51,T_StockCount[WeekIndex],56),IF((COUNTIFS(T_SelfStock[RM_Code],$A51,T_SelfStock[WeekIndex],56)&gt;0)*(COUNTIFS(T_TTAFStock[RM_Code],$A51,T_TTAFStock[WeekIndex],56)&gt;0)&gt;0,SUMIFS(T_SelfStock[Self_Qty],T_SelfStock[RM_Code],$A51,T_SelfStock[WeekIndex],56)+SUMIFS(T_TTAFStock[TTAF_Qty],T_TTAFStock[RM_Code],$A51,T_TTAFStock[WeekIndex],56),BD51+'Grid_Incoming'!BE51-'Grid_Requirement'!BE51))</f>
        <v/>
      </c>
      <c r="BF51">
        <f>IF(COUNTIFS(T_StockCount[RM_Code],$A51,T_StockCount[WeekIndex],57)&gt;0,SUMIFS(T_StockCount[CountedQty],T_StockCount[RM_Code],$A51,T_StockCount[WeekIndex],57),IF((COUNTIFS(T_SelfStock[RM_Code],$A51,T_SelfStock[WeekIndex],57)&gt;0)*(COUNTIFS(T_TTAFStock[RM_Code],$A51,T_TTAFStock[WeekIndex],57)&gt;0)&gt;0,SUMIFS(T_SelfStock[Self_Qty],T_SelfStock[RM_Code],$A51,T_SelfStock[WeekIndex],57)+SUMIFS(T_TTAFStock[TTAF_Qty],T_TTAFStock[RM_Code],$A51,T_TTAFStock[WeekIndex],57),BE51+'Grid_Incoming'!BF51-'Grid_Requirement'!BF51))</f>
        <v/>
      </c>
      <c r="BG51">
        <f>IF(COUNTIFS(T_StockCount[RM_Code],$A51,T_StockCount[WeekIndex],58)&gt;0,SUMIFS(T_StockCount[CountedQty],T_StockCount[RM_Code],$A51,T_StockCount[WeekIndex],58),IF((COUNTIFS(T_SelfStock[RM_Code],$A51,T_SelfStock[WeekIndex],58)&gt;0)*(COUNTIFS(T_TTAFStock[RM_Code],$A51,T_TTAFStock[WeekIndex],58)&gt;0)&gt;0,SUMIFS(T_SelfStock[Self_Qty],T_SelfStock[RM_Code],$A51,T_SelfStock[WeekIndex],58)+SUMIFS(T_TTAFStock[TTAF_Qty],T_TTAFStock[RM_Code],$A51,T_TTAFStock[WeekIndex],58),BF51+'Grid_Incoming'!BG51-'Grid_Requirement'!BG51))</f>
        <v/>
      </c>
      <c r="BH51">
        <f>IF(COUNTIFS(T_StockCount[RM_Code],$A51,T_StockCount[WeekIndex],59)&gt;0,SUMIFS(T_StockCount[CountedQty],T_StockCount[RM_Code],$A51,T_StockCount[WeekIndex],59),IF((COUNTIFS(T_SelfStock[RM_Code],$A51,T_SelfStock[WeekIndex],59)&gt;0)*(COUNTIFS(T_TTAFStock[RM_Code],$A51,T_TTAFStock[WeekIndex],59)&gt;0)&gt;0,SUMIFS(T_SelfStock[Self_Qty],T_SelfStock[RM_Code],$A51,T_SelfStock[WeekIndex],59)+SUMIFS(T_TTAFStock[TTAF_Qty],T_TTAFStock[RM_Code],$A51,T_TTAFStock[WeekIndex],59),BG51+'Grid_Incoming'!BH51-'Grid_Requirement'!BH51))</f>
        <v/>
      </c>
      <c r="BI51">
        <f>IF(COUNTIFS(T_StockCount[RM_Code],$A51,T_StockCount[WeekIndex],60)&gt;0,SUMIFS(T_StockCount[CountedQty],T_StockCount[RM_Code],$A51,T_StockCount[WeekIndex],60),IF((COUNTIFS(T_SelfStock[RM_Code],$A51,T_SelfStock[WeekIndex],60)&gt;0)*(COUNTIFS(T_TTAFStock[RM_Code],$A51,T_TTAFStock[WeekIndex],60)&gt;0)&gt;0,SUMIFS(T_SelfStock[Self_Qty],T_SelfStock[RM_Code],$A51,T_SelfStock[WeekIndex],60)+SUMIFS(T_TTAFStock[TTAF_Qty],T_TTAFStock[RM_Code],$A51,T_TTAFStock[WeekIndex],60),BH51+'Grid_Incoming'!BI51-'Grid_Requirement'!BI51))</f>
        <v/>
      </c>
      <c r="BJ51">
        <f>IF(COUNTIFS(T_StockCount[RM_Code],$A51,T_StockCount[WeekIndex],61)&gt;0,SUMIFS(T_StockCount[CountedQty],T_StockCount[RM_Code],$A51,T_StockCount[WeekIndex],61),IF((COUNTIFS(T_SelfStock[RM_Code],$A51,T_SelfStock[WeekIndex],61)&gt;0)*(COUNTIFS(T_TTAFStock[RM_Code],$A51,T_TTAFStock[WeekIndex],61)&gt;0)&gt;0,SUMIFS(T_SelfStock[Self_Qty],T_SelfStock[RM_Code],$A51,T_SelfStock[WeekIndex],61)+SUMIFS(T_TTAFStock[TTAF_Qty],T_TTAFStock[RM_Code],$A51,T_TTAFStock[WeekIndex],61),BI51+'Grid_Incoming'!BJ51-'Grid_Requirement'!BJ51))</f>
        <v/>
      </c>
      <c r="BK51">
        <f>IF(COUNTIFS(T_StockCount[RM_Code],$A51,T_StockCount[WeekIndex],62)&gt;0,SUMIFS(T_StockCount[CountedQty],T_StockCount[RM_Code],$A51,T_StockCount[WeekIndex],62),IF((COUNTIFS(T_SelfStock[RM_Code],$A51,T_SelfStock[WeekIndex],62)&gt;0)*(COUNTIFS(T_TTAFStock[RM_Code],$A51,T_TTAFStock[WeekIndex],62)&gt;0)&gt;0,SUMIFS(T_SelfStock[Self_Qty],T_SelfStock[RM_Code],$A51,T_SelfStock[WeekIndex],62)+SUMIFS(T_TTAFStock[TTAF_Qty],T_TTAFStock[RM_Code],$A51,T_TTAFStock[WeekIndex],62),BJ51+'Grid_Incoming'!BK51-'Grid_Requirement'!BK51))</f>
        <v/>
      </c>
      <c r="BL51">
        <f>IF(COUNTIFS(T_StockCount[RM_Code],$A51,T_StockCount[WeekIndex],63)&gt;0,SUMIFS(T_StockCount[CountedQty],T_StockCount[RM_Code],$A51,T_StockCount[WeekIndex],63),IF((COUNTIFS(T_SelfStock[RM_Code],$A51,T_SelfStock[WeekIndex],63)&gt;0)*(COUNTIFS(T_TTAFStock[RM_Code],$A51,T_TTAFStock[WeekIndex],63)&gt;0)&gt;0,SUMIFS(T_SelfStock[Self_Qty],T_SelfStock[RM_Code],$A51,T_SelfStock[WeekIndex],63)+SUMIFS(T_TTAFStock[TTAF_Qty],T_TTAFStock[RM_Code],$A51,T_TTAFStock[WeekIndex],63),BK51+'Grid_Incoming'!BL51-'Grid_Requirement'!BL51))</f>
        <v/>
      </c>
      <c r="BM51">
        <f>IF(COUNTIFS(T_StockCount[RM_Code],$A51,T_StockCount[WeekIndex],64)&gt;0,SUMIFS(T_StockCount[CountedQty],T_StockCount[RM_Code],$A51,T_StockCount[WeekIndex],64),IF((COUNTIFS(T_SelfStock[RM_Code],$A51,T_SelfStock[WeekIndex],64)&gt;0)*(COUNTIFS(T_TTAFStock[RM_Code],$A51,T_TTAFStock[WeekIndex],64)&gt;0)&gt;0,SUMIFS(T_SelfStock[Self_Qty],T_SelfStock[RM_Code],$A51,T_SelfStock[WeekIndex],64)+SUMIFS(T_TTAFStock[TTAF_Qty],T_TTAFStock[RM_Code],$A51,T_TTAFStock[WeekIndex],64),BL51+'Grid_Incoming'!BM51-'Grid_Requirement'!BM51))</f>
        <v/>
      </c>
      <c r="BN51">
        <f>IF(COUNTIFS(T_StockCount[RM_Code],$A51,T_StockCount[WeekIndex],65)&gt;0,SUMIFS(T_StockCount[CountedQty],T_StockCount[RM_Code],$A51,T_StockCount[WeekIndex],65),IF((COUNTIFS(T_SelfStock[RM_Code],$A51,T_SelfStock[WeekIndex],65)&gt;0)*(COUNTIFS(T_TTAFStock[RM_Code],$A51,T_TTAFStock[WeekIndex],65)&gt;0)&gt;0,SUMIFS(T_SelfStock[Self_Qty],T_SelfStock[RM_Code],$A51,T_SelfStock[WeekIndex],65)+SUMIFS(T_TTAFStock[TTAF_Qty],T_TTAFStock[RM_Code],$A51,T_TTAFStock[WeekIndex],65),BM51+'Grid_Incoming'!BN51-'Grid_Requirement'!BN51))</f>
        <v/>
      </c>
      <c r="BO51">
        <f>IF(COUNTIFS(T_StockCount[RM_Code],$A51,T_StockCount[WeekIndex],66)&gt;0,SUMIFS(T_StockCount[CountedQty],T_StockCount[RM_Code],$A51,T_StockCount[WeekIndex],66),IF((COUNTIFS(T_SelfStock[RM_Code],$A51,T_SelfStock[WeekIndex],66)&gt;0)*(COUNTIFS(T_TTAFStock[RM_Code],$A51,T_TTAFStock[WeekIndex],66)&gt;0)&gt;0,SUMIFS(T_SelfStock[Self_Qty],T_SelfStock[RM_Code],$A51,T_SelfStock[WeekIndex],66)+SUMIFS(T_TTAFStock[TTAF_Qty],T_TTAFStock[RM_Code],$A51,T_TTAFStock[WeekIndex],66),BN51+'Grid_Incoming'!BO51-'Grid_Requirement'!BO51))</f>
        <v/>
      </c>
      <c r="BP51">
        <f>IF(COUNTIFS(T_StockCount[RM_Code],$A51,T_StockCount[WeekIndex],67)&gt;0,SUMIFS(T_StockCount[CountedQty],T_StockCount[RM_Code],$A51,T_StockCount[WeekIndex],67),IF((COUNTIFS(T_SelfStock[RM_Code],$A51,T_SelfStock[WeekIndex],67)&gt;0)*(COUNTIFS(T_TTAFStock[RM_Code],$A51,T_TTAFStock[WeekIndex],67)&gt;0)&gt;0,SUMIFS(T_SelfStock[Self_Qty],T_SelfStock[RM_Code],$A51,T_SelfStock[WeekIndex],67)+SUMIFS(T_TTAFStock[TTAF_Qty],T_TTAFStock[RM_Code],$A51,T_TTAFStock[WeekIndex],67),BO51+'Grid_Incoming'!BP51-'Grid_Requirement'!BP51))</f>
        <v/>
      </c>
      <c r="BQ51">
        <f>IF(COUNTIFS(T_StockCount[RM_Code],$A51,T_StockCount[WeekIndex],68)&gt;0,SUMIFS(T_StockCount[CountedQty],T_StockCount[RM_Code],$A51,T_StockCount[WeekIndex],68),IF((COUNTIFS(T_SelfStock[RM_Code],$A51,T_SelfStock[WeekIndex],68)&gt;0)*(COUNTIFS(T_TTAFStock[RM_Code],$A51,T_TTAFStock[WeekIndex],68)&gt;0)&gt;0,SUMIFS(T_SelfStock[Self_Qty],T_SelfStock[RM_Code],$A51,T_SelfStock[WeekIndex],68)+SUMIFS(T_TTAFStock[TTAF_Qty],T_TTAFStock[RM_Code],$A51,T_TTAFStock[WeekIndex],68),BP51+'Grid_Incoming'!BQ51-'Grid_Requirement'!BQ51))</f>
        <v/>
      </c>
      <c r="BR51">
        <f>IF(COUNTIFS(T_StockCount[RM_Code],$A51,T_StockCount[WeekIndex],69)&gt;0,SUMIFS(T_StockCount[CountedQty],T_StockCount[RM_Code],$A51,T_StockCount[WeekIndex],69),IF((COUNTIFS(T_SelfStock[RM_Code],$A51,T_SelfStock[WeekIndex],69)&gt;0)*(COUNTIFS(T_TTAFStock[RM_Code],$A51,T_TTAFStock[WeekIndex],69)&gt;0)&gt;0,SUMIFS(T_SelfStock[Self_Qty],T_SelfStock[RM_Code],$A51,T_SelfStock[WeekIndex],69)+SUMIFS(T_TTAFStock[TTAF_Qty],T_TTAFStock[RM_Code],$A51,T_TTAFStock[WeekIndex],69),BQ51+'Grid_Incoming'!BR51-'Grid_Requirement'!BR51))</f>
        <v/>
      </c>
      <c r="BS51">
        <f>IF(COUNTIFS(T_StockCount[RM_Code],$A51,T_StockCount[WeekIndex],70)&gt;0,SUMIFS(T_StockCount[CountedQty],T_StockCount[RM_Code],$A51,T_StockCount[WeekIndex],70),IF((COUNTIFS(T_SelfStock[RM_Code],$A51,T_SelfStock[WeekIndex],70)&gt;0)*(COUNTIFS(T_TTAFStock[RM_Code],$A51,T_TTAFStock[WeekIndex],70)&gt;0)&gt;0,SUMIFS(T_SelfStock[Self_Qty],T_SelfStock[RM_Code],$A51,T_SelfStock[WeekIndex],70)+SUMIFS(T_TTAFStock[TTAF_Qty],T_TTAFStock[RM_Code],$A51,T_TTAFStock[WeekIndex],70),BR51+'Grid_Incoming'!BS51-'Grid_Requirement'!BS51))</f>
        <v/>
      </c>
      <c r="BT51">
        <f>IF(COUNTIFS(T_StockCount[RM_Code],$A51,T_StockCount[WeekIndex],71)&gt;0,SUMIFS(T_StockCount[CountedQty],T_StockCount[RM_Code],$A51,T_StockCount[WeekIndex],71),IF((COUNTIFS(T_SelfStock[RM_Code],$A51,T_SelfStock[WeekIndex],71)&gt;0)*(COUNTIFS(T_TTAFStock[RM_Code],$A51,T_TTAFStock[WeekIndex],71)&gt;0)&gt;0,SUMIFS(T_SelfStock[Self_Qty],T_SelfStock[RM_Code],$A51,T_SelfStock[WeekIndex],71)+SUMIFS(T_TTAFStock[TTAF_Qty],T_TTAFStock[RM_Code],$A51,T_TTAFStock[WeekIndex],71),BS51+'Grid_Incoming'!BT51-'Grid_Requirement'!BT51))</f>
        <v/>
      </c>
      <c r="BU51">
        <f>IF(COUNTIFS(T_StockCount[RM_Code],$A51,T_StockCount[WeekIndex],72)&gt;0,SUMIFS(T_StockCount[CountedQty],T_StockCount[RM_Code],$A51,T_StockCount[WeekIndex],72),IF((COUNTIFS(T_SelfStock[RM_Code],$A51,T_SelfStock[WeekIndex],72)&gt;0)*(COUNTIFS(T_TTAFStock[RM_Code],$A51,T_TTAFStock[WeekIndex],72)&gt;0)&gt;0,SUMIFS(T_SelfStock[Self_Qty],T_SelfStock[RM_Code],$A51,T_SelfStock[WeekIndex],72)+SUMIFS(T_TTAFStock[TTAF_Qty],T_TTAFStock[RM_Code],$A51,T_TTAFStock[WeekIndex],72),BT51+'Grid_Incoming'!BU51-'Grid_Requirement'!BU51))</f>
        <v/>
      </c>
      <c r="BV51">
        <f>IF(COUNTIFS(T_StockCount[RM_Code],$A51,T_StockCount[WeekIndex],73)&gt;0,SUMIFS(T_StockCount[CountedQty],T_StockCount[RM_Code],$A51,T_StockCount[WeekIndex],73),IF((COUNTIFS(T_SelfStock[RM_Code],$A51,T_SelfStock[WeekIndex],73)&gt;0)*(COUNTIFS(T_TTAFStock[RM_Code],$A51,T_TTAFStock[WeekIndex],73)&gt;0)&gt;0,SUMIFS(T_SelfStock[Self_Qty],T_SelfStock[RM_Code],$A51,T_SelfStock[WeekIndex],73)+SUMIFS(T_TTAFStock[TTAF_Qty],T_TTAFStock[RM_Code],$A51,T_TTAFStock[WeekIndex],73),BU51+'Grid_Incoming'!BV51-'Grid_Requirement'!BV51))</f>
        <v/>
      </c>
      <c r="BW51">
        <f>IF(COUNTIFS(T_StockCount[RM_Code],$A51,T_StockCount[WeekIndex],74)&gt;0,SUMIFS(T_StockCount[CountedQty],T_StockCount[RM_Code],$A51,T_StockCount[WeekIndex],74),IF((COUNTIFS(T_SelfStock[RM_Code],$A51,T_SelfStock[WeekIndex],74)&gt;0)*(COUNTIFS(T_TTAFStock[RM_Code],$A51,T_TTAFStock[WeekIndex],74)&gt;0)&gt;0,SUMIFS(T_SelfStock[Self_Qty],T_SelfStock[RM_Code],$A51,T_SelfStock[WeekIndex],74)+SUMIFS(T_TTAFStock[TTAF_Qty],T_TTAFStock[RM_Code],$A51,T_TTAFStock[WeekIndex],74),BV51+'Grid_Incoming'!BW51-'Grid_Requirement'!BW51))</f>
        <v/>
      </c>
      <c r="BX51">
        <f>IF(COUNTIFS(T_StockCount[RM_Code],$A51,T_StockCount[WeekIndex],75)&gt;0,SUMIFS(T_StockCount[CountedQty],T_StockCount[RM_Code],$A51,T_StockCount[WeekIndex],75),IF((COUNTIFS(T_SelfStock[RM_Code],$A51,T_SelfStock[WeekIndex],75)&gt;0)*(COUNTIFS(T_TTAFStock[RM_Code],$A51,T_TTAFStock[WeekIndex],75)&gt;0)&gt;0,SUMIFS(T_SelfStock[Self_Qty],T_SelfStock[RM_Code],$A51,T_SelfStock[WeekIndex],75)+SUMIFS(T_TTAFStock[TTAF_Qty],T_TTAFStock[RM_Code],$A51,T_TTAFStock[WeekIndex],75),BW51+'Grid_Incoming'!BX51-'Grid_Requirement'!BX51))</f>
        <v/>
      </c>
      <c r="BY51">
        <f>IF(COUNTIFS(T_StockCount[RM_Code],$A51,T_StockCount[WeekIndex],76)&gt;0,SUMIFS(T_StockCount[CountedQty],T_StockCount[RM_Code],$A51,T_StockCount[WeekIndex],76),IF((COUNTIFS(T_SelfStock[RM_Code],$A51,T_SelfStock[WeekIndex],76)&gt;0)*(COUNTIFS(T_TTAFStock[RM_Code],$A51,T_TTAFStock[WeekIndex],76)&gt;0)&gt;0,SUMIFS(T_SelfStock[Self_Qty],T_SelfStock[RM_Code],$A51,T_SelfStock[WeekIndex],76)+SUMIFS(T_TTAFStock[TTAF_Qty],T_TTAFStock[RM_Code],$A51,T_TTAFStock[WeekIndex],76),BX51+'Grid_Incoming'!BY51-'Grid_Requirement'!BY51))</f>
        <v/>
      </c>
      <c r="BZ51">
        <f>IF(COUNTIFS(T_StockCount[RM_Code],$A51,T_StockCount[WeekIndex],77)&gt;0,SUMIFS(T_StockCount[CountedQty],T_StockCount[RM_Code],$A51,T_StockCount[WeekIndex],77),IF((COUNTIFS(T_SelfStock[RM_Code],$A51,T_SelfStock[WeekIndex],77)&gt;0)*(COUNTIFS(T_TTAFStock[RM_Code],$A51,T_TTAFStock[WeekIndex],77)&gt;0)&gt;0,SUMIFS(T_SelfStock[Self_Qty],T_SelfStock[RM_Code],$A51,T_SelfStock[WeekIndex],77)+SUMIFS(T_TTAFStock[TTAF_Qty],T_TTAFStock[RM_Code],$A51,T_TTAFStock[WeekIndex],77),BY51+'Grid_Incoming'!BZ51-'Grid_Requirement'!BZ51))</f>
        <v/>
      </c>
      <c r="CA51">
        <f>IF(COUNTIFS(T_StockCount[RM_Code],$A51,T_StockCount[WeekIndex],78)&gt;0,SUMIFS(T_StockCount[CountedQty],T_StockCount[RM_Code],$A51,T_StockCount[WeekIndex],78),IF((COUNTIFS(T_SelfStock[RM_Code],$A51,T_SelfStock[WeekIndex],78)&gt;0)*(COUNTIFS(T_TTAFStock[RM_Code],$A51,T_TTAFStock[WeekIndex],78)&gt;0)&gt;0,SUMIFS(T_SelfStock[Self_Qty],T_SelfStock[RM_Code],$A51,T_SelfStock[WeekIndex],78)+SUMIFS(T_TTAFStock[TTAF_Qty],T_TTAFStock[RM_Code],$A51,T_TTAFStock[WeekIndex],78),BZ51+'Grid_Incoming'!CA51-'Grid_Requirement'!CA51))</f>
        <v/>
      </c>
      <c r="CB51">
        <f>IF(COUNTIFS(T_StockCount[RM_Code],$A51,T_StockCount[WeekIndex],79)&gt;0,SUMIFS(T_StockCount[CountedQty],T_StockCount[RM_Code],$A51,T_StockCount[WeekIndex],79),IF((COUNTIFS(T_SelfStock[RM_Code],$A51,T_SelfStock[WeekIndex],79)&gt;0)*(COUNTIFS(T_TTAFStock[RM_Code],$A51,T_TTAFStock[WeekIndex],79)&gt;0)&gt;0,SUMIFS(T_SelfStock[Self_Qty],T_SelfStock[RM_Code],$A51,T_SelfStock[WeekIndex],79)+SUMIFS(T_TTAFStock[TTAF_Qty],T_TTAFStock[RM_Code],$A51,T_TTAFStock[WeekIndex],79),CA51+'Grid_Incoming'!CB51-'Grid_Requirement'!CB51))</f>
        <v/>
      </c>
      <c r="CC51">
        <f>IF(COUNTIFS(T_StockCount[RM_Code],$A51,T_StockCount[WeekIndex],80)&gt;0,SUMIFS(T_StockCount[CountedQty],T_StockCount[RM_Code],$A51,T_StockCount[WeekIndex],80),IF((COUNTIFS(T_SelfStock[RM_Code],$A51,T_SelfStock[WeekIndex],80)&gt;0)*(COUNTIFS(T_TTAFStock[RM_Code],$A51,T_TTAFStock[WeekIndex],80)&gt;0)&gt;0,SUMIFS(T_SelfStock[Self_Qty],T_SelfStock[RM_Code],$A51,T_SelfStock[WeekIndex],80)+SUMIFS(T_TTAFStock[TTAF_Qty],T_TTAFStock[RM_Code],$A51,T_TTAFStock[WeekIndex],80),CB51+'Grid_Incoming'!CC51-'Grid_Requirement'!CC51))</f>
        <v/>
      </c>
      <c r="CD51">
        <f>IF(COUNTIFS(T_StockCount[RM_Code],$A51,T_StockCount[WeekIndex],81)&gt;0,SUMIFS(T_StockCount[CountedQty],T_StockCount[RM_Code],$A51,T_StockCount[WeekIndex],81),IF((COUNTIFS(T_SelfStock[RM_Code],$A51,T_SelfStock[WeekIndex],81)&gt;0)*(COUNTIFS(T_TTAFStock[RM_Code],$A51,T_TTAFStock[WeekIndex],81)&gt;0)&gt;0,SUMIFS(T_SelfStock[Self_Qty],T_SelfStock[RM_Code],$A51,T_SelfStock[WeekIndex],81)+SUMIFS(T_TTAFStock[TTAF_Qty],T_TTAFStock[RM_Code],$A51,T_TTAFStock[WeekIndex],81),CC51+'Grid_Incoming'!CD51-'Grid_Requirement'!CD51))</f>
        <v/>
      </c>
      <c r="CE51">
        <f>IF(COUNTIFS(T_StockCount[RM_Code],$A51,T_StockCount[WeekIndex],82)&gt;0,SUMIFS(T_StockCount[CountedQty],T_StockCount[RM_Code],$A51,T_StockCount[WeekIndex],82),IF((COUNTIFS(T_SelfStock[RM_Code],$A51,T_SelfStock[WeekIndex],82)&gt;0)*(COUNTIFS(T_TTAFStock[RM_Code],$A51,T_TTAFStock[WeekIndex],82)&gt;0)&gt;0,SUMIFS(T_SelfStock[Self_Qty],T_SelfStock[RM_Code],$A51,T_SelfStock[WeekIndex],82)+SUMIFS(T_TTAFStock[TTAF_Qty],T_TTAFStock[RM_Code],$A51,T_TTAFStock[WeekIndex],82),CD51+'Grid_Incoming'!CE51-'Grid_Requirement'!CE51))</f>
        <v/>
      </c>
      <c r="CF51">
        <f>IF(COUNTIFS(T_StockCount[RM_Code],$A51,T_StockCount[WeekIndex],83)&gt;0,SUMIFS(T_StockCount[CountedQty],T_StockCount[RM_Code],$A51,T_StockCount[WeekIndex],83),IF((COUNTIFS(T_SelfStock[RM_Code],$A51,T_SelfStock[WeekIndex],83)&gt;0)*(COUNTIFS(T_TTAFStock[RM_Code],$A51,T_TTAFStock[WeekIndex],83)&gt;0)&gt;0,SUMIFS(T_SelfStock[Self_Qty],T_SelfStock[RM_Code],$A51,T_SelfStock[WeekIndex],83)+SUMIFS(T_TTAFStock[TTAF_Qty],T_TTAFStock[RM_Code],$A51,T_TTAFStock[WeekIndex],83),CE51+'Grid_Incoming'!CF51-'Grid_Requirement'!CF51))</f>
        <v/>
      </c>
      <c r="CG51">
        <f>IF(COUNTIFS(T_StockCount[RM_Code],$A51,T_StockCount[WeekIndex],84)&gt;0,SUMIFS(T_StockCount[CountedQty],T_StockCount[RM_Code],$A51,T_StockCount[WeekIndex],84),IF((COUNTIFS(T_SelfStock[RM_Code],$A51,T_SelfStock[WeekIndex],84)&gt;0)*(COUNTIFS(T_TTAFStock[RM_Code],$A51,T_TTAFStock[WeekIndex],84)&gt;0)&gt;0,SUMIFS(T_SelfStock[Self_Qty],T_SelfStock[RM_Code],$A51,T_SelfStock[WeekIndex],84)+SUMIFS(T_TTAFStock[TTAF_Qty],T_TTAFStock[RM_Code],$A51,T_TTAFStock[WeekIndex],84),CF51+'Grid_Incoming'!CG51-'Grid_Requirement'!CG51))</f>
        <v/>
      </c>
      <c r="CH51">
        <f>IF(COUNTIFS(T_StockCount[RM_Code],$A51,T_StockCount[WeekIndex],85)&gt;0,SUMIFS(T_StockCount[CountedQty],T_StockCount[RM_Code],$A51,T_StockCount[WeekIndex],85),IF((COUNTIFS(T_SelfStock[RM_Code],$A51,T_SelfStock[WeekIndex],85)&gt;0)*(COUNTIFS(T_TTAFStock[RM_Code],$A51,T_TTAFStock[WeekIndex],85)&gt;0)&gt;0,SUMIFS(T_SelfStock[Self_Qty],T_SelfStock[RM_Code],$A51,T_SelfStock[WeekIndex],85)+SUMIFS(T_TTAFStock[TTAF_Qty],T_TTAFStock[RM_Code],$A51,T_TTAFStock[WeekIndex],85),CG51+'Grid_Incoming'!CH51-'Grid_Requirement'!CH51))</f>
        <v/>
      </c>
      <c r="CI51">
        <f>IF(COUNTIFS(T_StockCount[RM_Code],$A51,T_StockCount[WeekIndex],86)&gt;0,SUMIFS(T_StockCount[CountedQty],T_StockCount[RM_Code],$A51,T_StockCount[WeekIndex],86),IF((COUNTIFS(T_SelfStock[RM_Code],$A51,T_SelfStock[WeekIndex],86)&gt;0)*(COUNTIFS(T_TTAFStock[RM_Code],$A51,T_TTAFStock[WeekIndex],86)&gt;0)&gt;0,SUMIFS(T_SelfStock[Self_Qty],T_SelfStock[RM_Code],$A51,T_SelfStock[WeekIndex],86)+SUMIFS(T_TTAFStock[TTAF_Qty],T_TTAFStock[RM_Code],$A51,T_TTAFStock[WeekIndex],86),CH51+'Grid_Incoming'!CI51-'Grid_Requirement'!CI51))</f>
        <v/>
      </c>
      <c r="CJ51">
        <f>IF(COUNTIFS(T_StockCount[RM_Code],$A51,T_StockCount[WeekIndex],87)&gt;0,SUMIFS(T_StockCount[CountedQty],T_StockCount[RM_Code],$A51,T_StockCount[WeekIndex],87),IF((COUNTIFS(T_SelfStock[RM_Code],$A51,T_SelfStock[WeekIndex],87)&gt;0)*(COUNTIFS(T_TTAFStock[RM_Code],$A51,T_TTAFStock[WeekIndex],87)&gt;0)&gt;0,SUMIFS(T_SelfStock[Self_Qty],T_SelfStock[RM_Code],$A51,T_SelfStock[WeekIndex],87)+SUMIFS(T_TTAFStock[TTAF_Qty],T_TTAFStock[RM_Code],$A51,T_TTAFStock[WeekIndex],87),CI51+'Grid_Incoming'!CJ51-'Grid_Requirement'!CJ51))</f>
        <v/>
      </c>
      <c r="CK51">
        <f>IF(COUNTIFS(T_StockCount[RM_Code],$A51,T_StockCount[WeekIndex],88)&gt;0,SUMIFS(T_StockCount[CountedQty],T_StockCount[RM_Code],$A51,T_StockCount[WeekIndex],88),IF((COUNTIFS(T_SelfStock[RM_Code],$A51,T_SelfStock[WeekIndex],88)&gt;0)*(COUNTIFS(T_TTAFStock[RM_Code],$A51,T_TTAFStock[WeekIndex],88)&gt;0)&gt;0,SUMIFS(T_SelfStock[Self_Qty],T_SelfStock[RM_Code],$A51,T_SelfStock[WeekIndex],88)+SUMIFS(T_TTAFStock[TTAF_Qty],T_TTAFStock[RM_Code],$A51,T_TTAFStock[WeekIndex],88),CJ51+'Grid_Incoming'!CK51-'Grid_Requirement'!CK51))</f>
        <v/>
      </c>
      <c r="CL51">
        <f>IF(COUNTIFS(T_StockCount[RM_Code],$A51,T_StockCount[WeekIndex],89)&gt;0,SUMIFS(T_StockCount[CountedQty],T_StockCount[RM_Code],$A51,T_StockCount[WeekIndex],89),IF((COUNTIFS(T_SelfStock[RM_Code],$A51,T_SelfStock[WeekIndex],89)&gt;0)*(COUNTIFS(T_TTAFStock[RM_Code],$A51,T_TTAFStock[WeekIndex],89)&gt;0)&gt;0,SUMIFS(T_SelfStock[Self_Qty],T_SelfStock[RM_Code],$A51,T_SelfStock[WeekIndex],89)+SUMIFS(T_TTAFStock[TTAF_Qty],T_TTAFStock[RM_Code],$A51,T_TTAFStock[WeekIndex],89),CK51+'Grid_Incoming'!CL51-'Grid_Requirement'!CL51))</f>
        <v/>
      </c>
      <c r="CM51">
        <f>IF(COUNTIFS(T_StockCount[RM_Code],$A51,T_StockCount[WeekIndex],90)&gt;0,SUMIFS(T_StockCount[CountedQty],T_StockCount[RM_Code],$A51,T_StockCount[WeekIndex],90),IF((COUNTIFS(T_SelfStock[RM_Code],$A51,T_SelfStock[WeekIndex],90)&gt;0)*(COUNTIFS(T_TTAFStock[RM_Code],$A51,T_TTAFStock[WeekIndex],90)&gt;0)&gt;0,SUMIFS(T_SelfStock[Self_Qty],T_SelfStock[RM_Code],$A51,T_SelfStock[WeekIndex],90)+SUMIFS(T_TTAFStock[TTAF_Qty],T_TTAFStock[RM_Code],$A51,T_TTAFStock[WeekIndex],90),CL51+'Grid_Incoming'!CM51-'Grid_Requirement'!CM51))</f>
        <v/>
      </c>
      <c r="CN51">
        <f>IF(COUNTIFS(T_StockCount[RM_Code],$A51,T_StockCount[WeekIndex],91)&gt;0,SUMIFS(T_StockCount[CountedQty],T_StockCount[RM_Code],$A51,T_StockCount[WeekIndex],91),IF((COUNTIFS(T_SelfStock[RM_Code],$A51,T_SelfStock[WeekIndex],91)&gt;0)*(COUNTIFS(T_TTAFStock[RM_Code],$A51,T_TTAFStock[WeekIndex],91)&gt;0)&gt;0,SUMIFS(T_SelfStock[Self_Qty],T_SelfStock[RM_Code],$A51,T_SelfStock[WeekIndex],91)+SUMIFS(T_TTAFStock[TTAF_Qty],T_TTAFStock[RM_Code],$A51,T_TTAFStock[WeekIndex],91),CM51+'Grid_Incoming'!CN51-'Grid_Requirement'!CN51))</f>
        <v/>
      </c>
      <c r="CO51">
        <f>IF(COUNTIFS(T_StockCount[RM_Code],$A51,T_StockCount[WeekIndex],92)&gt;0,SUMIFS(T_StockCount[CountedQty],T_StockCount[RM_Code],$A51,T_StockCount[WeekIndex],92),IF((COUNTIFS(T_SelfStock[RM_Code],$A51,T_SelfStock[WeekIndex],92)&gt;0)*(COUNTIFS(T_TTAFStock[RM_Code],$A51,T_TTAFStock[WeekIndex],92)&gt;0)&gt;0,SUMIFS(T_SelfStock[Self_Qty],T_SelfStock[RM_Code],$A51,T_SelfStock[WeekIndex],92)+SUMIFS(T_TTAFStock[TTAF_Qty],T_TTAFStock[RM_Code],$A51,T_TTAFStock[WeekIndex],92),CN51+'Grid_Incoming'!CO51-'Grid_Requirement'!CO51))</f>
        <v/>
      </c>
      <c r="CP51">
        <f>IF(COUNTIFS(T_StockCount[RM_Code],$A51,T_StockCount[WeekIndex],93)&gt;0,SUMIFS(T_StockCount[CountedQty],T_StockCount[RM_Code],$A51,T_StockCount[WeekIndex],93),IF((COUNTIFS(T_SelfStock[RM_Code],$A51,T_SelfStock[WeekIndex],93)&gt;0)*(COUNTIFS(T_TTAFStock[RM_Code],$A51,T_TTAFStock[WeekIndex],93)&gt;0)&gt;0,SUMIFS(T_SelfStock[Self_Qty],T_SelfStock[RM_Code],$A51,T_SelfStock[WeekIndex],93)+SUMIFS(T_TTAFStock[TTAF_Qty],T_TTAFStock[RM_Code],$A51,T_TTAFStock[WeekIndex],93),CO51+'Grid_Incoming'!CP51-'Grid_Requirement'!CP51))</f>
        <v/>
      </c>
      <c r="CQ51">
        <f>IF(COUNTIFS(T_StockCount[RM_Code],$A51,T_StockCount[WeekIndex],94)&gt;0,SUMIFS(T_StockCount[CountedQty],T_StockCount[RM_Code],$A51,T_StockCount[WeekIndex],94),IF((COUNTIFS(T_SelfStock[RM_Code],$A51,T_SelfStock[WeekIndex],94)&gt;0)*(COUNTIFS(T_TTAFStock[RM_Code],$A51,T_TTAFStock[WeekIndex],94)&gt;0)&gt;0,SUMIFS(T_SelfStock[Self_Qty],T_SelfStock[RM_Code],$A51,T_SelfStock[WeekIndex],94)+SUMIFS(T_TTAFStock[TTAF_Qty],T_TTAFStock[RM_Code],$A51,T_TTAFStock[WeekIndex],94),CP51+'Grid_Incoming'!CQ51-'Grid_Requirement'!CQ51))</f>
        <v/>
      </c>
      <c r="CR51">
        <f>IF(COUNTIFS(T_StockCount[RM_Code],$A51,T_StockCount[WeekIndex],95)&gt;0,SUMIFS(T_StockCount[CountedQty],T_StockCount[RM_Code],$A51,T_StockCount[WeekIndex],95),IF((COUNTIFS(T_SelfStock[RM_Code],$A51,T_SelfStock[WeekIndex],95)&gt;0)*(COUNTIFS(T_TTAFStock[RM_Code],$A51,T_TTAFStock[WeekIndex],95)&gt;0)&gt;0,SUMIFS(T_SelfStock[Self_Qty],T_SelfStock[RM_Code],$A51,T_SelfStock[WeekIndex],95)+SUMIFS(T_TTAFStock[TTAF_Qty],T_TTAFStock[RM_Code],$A51,T_TTAFStock[WeekIndex],95),CQ51+'Grid_Incoming'!CR51-'Grid_Requirement'!CR51))</f>
        <v/>
      </c>
      <c r="CS51">
        <f>IF(COUNTIFS(T_StockCount[RM_Code],$A51,T_StockCount[WeekIndex],96)&gt;0,SUMIFS(T_StockCount[CountedQty],T_StockCount[RM_Code],$A51,T_StockCount[WeekIndex],96),IF((COUNTIFS(T_SelfStock[RM_Code],$A51,T_SelfStock[WeekIndex],96)&gt;0)*(COUNTIFS(T_TTAFStock[RM_Code],$A51,T_TTAFStock[WeekIndex],96)&gt;0)&gt;0,SUMIFS(T_SelfStock[Self_Qty],T_SelfStock[RM_Code],$A51,T_SelfStock[WeekIndex],96)+SUMIFS(T_TTAFStock[TTAF_Qty],T_TTAFStock[RM_Code],$A51,T_TTAFStock[WeekIndex],96),CR51+'Grid_Incoming'!CS51-'Grid_Requirement'!CS51))</f>
        <v/>
      </c>
      <c r="CT51">
        <f>IF(COUNTIFS(T_StockCount[RM_Code],$A51,T_StockCount[WeekIndex],97)&gt;0,SUMIFS(T_StockCount[CountedQty],T_StockCount[RM_Code],$A51,T_StockCount[WeekIndex],97),IF((COUNTIFS(T_SelfStock[RM_Code],$A51,T_SelfStock[WeekIndex],97)&gt;0)*(COUNTIFS(T_TTAFStock[RM_Code],$A51,T_TTAFStock[WeekIndex],97)&gt;0)&gt;0,SUMIFS(T_SelfStock[Self_Qty],T_SelfStock[RM_Code],$A51,T_SelfStock[WeekIndex],97)+SUMIFS(T_TTAFStock[TTAF_Qty],T_TTAFStock[RM_Code],$A51,T_TTAFStock[WeekIndex],97),CS51+'Grid_Incoming'!CT51-'Grid_Requirement'!CT51))</f>
        <v/>
      </c>
      <c r="CU51">
        <f>IF(COUNTIFS(T_StockCount[RM_Code],$A51,T_StockCount[WeekIndex],98)&gt;0,SUMIFS(T_StockCount[CountedQty],T_StockCount[RM_Code],$A51,T_StockCount[WeekIndex],98),IF((COUNTIFS(T_SelfStock[RM_Code],$A51,T_SelfStock[WeekIndex],98)&gt;0)*(COUNTIFS(T_TTAFStock[RM_Code],$A51,T_TTAFStock[WeekIndex],98)&gt;0)&gt;0,SUMIFS(T_SelfStock[Self_Qty],T_SelfStock[RM_Code],$A51,T_SelfStock[WeekIndex],98)+SUMIFS(T_TTAFStock[TTAF_Qty],T_TTAFStock[RM_Code],$A51,T_TTAFStock[WeekIndex],98),CT51+'Grid_Incoming'!CU51-'Grid_Requirement'!CU51))</f>
        <v/>
      </c>
      <c r="CV51">
        <f>IF(COUNTIFS(T_StockCount[RM_Code],$A51,T_StockCount[WeekIndex],99)&gt;0,SUMIFS(T_StockCount[CountedQty],T_StockCount[RM_Code],$A51,T_StockCount[WeekIndex],99),IF((COUNTIFS(T_SelfStock[RM_Code],$A51,T_SelfStock[WeekIndex],99)&gt;0)*(COUNTIFS(T_TTAFStock[RM_Code],$A51,T_TTAFStock[WeekIndex],99)&gt;0)&gt;0,SUMIFS(T_SelfStock[Self_Qty],T_SelfStock[RM_Code],$A51,T_SelfStock[WeekIndex],99)+SUMIFS(T_TTAFStock[TTAF_Qty],T_TTAFStock[RM_Code],$A51,T_TTAFStock[WeekIndex],99),CU51+'Grid_Incoming'!CV51-'Grid_Requirement'!CV51))</f>
        <v/>
      </c>
      <c r="CW51">
        <f>IF(COUNTIFS(T_StockCount[RM_Code],$A51,T_StockCount[WeekIndex],100)&gt;0,SUMIFS(T_StockCount[CountedQty],T_StockCount[RM_Code],$A51,T_StockCount[WeekIndex],100),IF((COUNTIFS(T_SelfStock[RM_Code],$A51,T_SelfStock[WeekIndex],100)&gt;0)*(COUNTIFS(T_TTAFStock[RM_Code],$A51,T_TTAFStock[WeekIndex],100)&gt;0)&gt;0,SUMIFS(T_SelfStock[Self_Qty],T_SelfStock[RM_Code],$A51,T_SelfStock[WeekIndex],100)+SUMIFS(T_TTAFStock[TTAF_Qty],T_TTAFStock[RM_Code],$A51,T_TTAFStock[WeekIndex],100),CV51+'Grid_Incoming'!CW51-'Grid_Requirement'!CW51))</f>
        <v/>
      </c>
      <c r="CX51">
        <f>IF(COUNTIFS(T_StockCount[RM_Code],$A51,T_StockCount[WeekIndex],101)&gt;0,SUMIFS(T_StockCount[CountedQty],T_StockCount[RM_Code],$A51,T_StockCount[WeekIndex],101),IF((COUNTIFS(T_SelfStock[RM_Code],$A51,T_SelfStock[WeekIndex],101)&gt;0)*(COUNTIFS(T_TTAFStock[RM_Code],$A51,T_TTAFStock[WeekIndex],101)&gt;0)&gt;0,SUMIFS(T_SelfStock[Self_Qty],T_SelfStock[RM_Code],$A51,T_SelfStock[WeekIndex],101)+SUMIFS(T_TTAFStock[TTAF_Qty],T_TTAFStock[RM_Code],$A51,T_TTAFStock[WeekIndex],101),CW51+'Grid_Incoming'!CX51-'Grid_Requirement'!CX51))</f>
        <v/>
      </c>
      <c r="CY51">
        <f>IF(COUNTIFS(T_StockCount[RM_Code],$A51,T_StockCount[WeekIndex],102)&gt;0,SUMIFS(T_StockCount[CountedQty],T_StockCount[RM_Code],$A51,T_StockCount[WeekIndex],102),IF((COUNTIFS(T_SelfStock[RM_Code],$A51,T_SelfStock[WeekIndex],102)&gt;0)*(COUNTIFS(T_TTAFStock[RM_Code],$A51,T_TTAFStock[WeekIndex],102)&gt;0)&gt;0,SUMIFS(T_SelfStock[Self_Qty],T_SelfStock[RM_Code],$A51,T_SelfStock[WeekIndex],102)+SUMIFS(T_TTAFStock[TTAF_Qty],T_TTAFStock[RM_Code],$A51,T_TTAFStock[WeekIndex],102),CX51+'Grid_Incoming'!CY51-'Grid_Requirement'!CY51))</f>
        <v/>
      </c>
      <c r="CZ51">
        <f>IF(COUNTIFS(T_StockCount[RM_Code],$A51,T_StockCount[WeekIndex],103)&gt;0,SUMIFS(T_StockCount[CountedQty],T_StockCount[RM_Code],$A51,T_StockCount[WeekIndex],103),IF((COUNTIFS(T_SelfStock[RM_Code],$A51,T_SelfStock[WeekIndex],103)&gt;0)*(COUNTIFS(T_TTAFStock[RM_Code],$A51,T_TTAFStock[WeekIndex],103)&gt;0)&gt;0,SUMIFS(T_SelfStock[Self_Qty],T_SelfStock[RM_Code],$A51,T_SelfStock[WeekIndex],103)+SUMIFS(T_TTAFStock[TTAF_Qty],T_TTAFStock[RM_Code],$A51,T_TTAFStock[WeekIndex],103),CY51+'Grid_Incoming'!CZ51-'Grid_Requirement'!CZ51))</f>
        <v/>
      </c>
      <c r="DA51">
        <f>IF(COUNTIFS(T_StockCount[RM_Code],$A51,T_StockCount[WeekIndex],104)&gt;0,SUMIFS(T_StockCount[CountedQty],T_StockCount[RM_Code],$A51,T_StockCount[WeekIndex],104),IF((COUNTIFS(T_SelfStock[RM_Code],$A51,T_SelfStock[WeekIndex],104)&gt;0)*(COUNTIFS(T_TTAFStock[RM_Code],$A51,T_TTAFStock[WeekIndex],104)&gt;0)&gt;0,SUMIFS(T_SelfStock[Self_Qty],T_SelfStock[RM_Code],$A51,T_SelfStock[WeekIndex],104)+SUMIFS(T_TTAFStock[TTAF_Qty],T_TTAFStock[RM_Code],$A51,T_TTAFStock[WeekIndex],104),CZ51+'Grid_Incoming'!DA51-'Grid_Requirement'!DA51))</f>
        <v/>
      </c>
    </row>
    <row r="52">
      <c r="A52" t="inlineStr">
        <is>
          <t>CHEM-1520</t>
        </is>
      </c>
      <c r="B52">
        <f>IF(COUNTIFS(T_StockCount[RM_Code],$A52,T_StockCount[WeekIndex],1)&gt;0,SUMIFS(T_StockCount[CountedQty],T_StockCount[RM_Code],$A52,T_StockCount[WeekIndex],1),IF((COUNTIFS(T_SelfStock[RM_Code],$A52,T_SelfStock[WeekIndex],1)&gt;0)*(COUNTIFS(T_TTAFStock[RM_Code],$A52,T_TTAFStock[WeekIndex],1)&gt;0)&gt;0,SUMIFS(T_SelfStock[Self_Qty],T_SelfStock[RM_Code],$A52,T_SelfStock[WeekIndex],1)+SUMIFS(T_TTAFStock[TTAF_Qty],T_TTAFStock[RM_Code],$A52,T_TTAFStock[WeekIndex],1),IFERROR(INDEX(T_OpeningStock[Opening_Qty],MATCH($A52,T_OpeningStock[RM_Code],0)),0)+'Grid_Incoming'!B52-'Grid_Requirement'!B52))</f>
        <v/>
      </c>
      <c r="C52">
        <f>IF(COUNTIFS(T_StockCount[RM_Code],$A52,T_StockCount[WeekIndex],2)&gt;0,SUMIFS(T_StockCount[CountedQty],T_StockCount[RM_Code],$A52,T_StockCount[WeekIndex],2),IF((COUNTIFS(T_SelfStock[RM_Code],$A52,T_SelfStock[WeekIndex],2)&gt;0)*(COUNTIFS(T_TTAFStock[RM_Code],$A52,T_TTAFStock[WeekIndex],2)&gt;0)&gt;0,SUMIFS(T_SelfStock[Self_Qty],T_SelfStock[RM_Code],$A52,T_SelfStock[WeekIndex],2)+SUMIFS(T_TTAFStock[TTAF_Qty],T_TTAFStock[RM_Code],$A52,T_TTAFStock[WeekIndex],2),B52+'Grid_Incoming'!C52-'Grid_Requirement'!C52))</f>
        <v/>
      </c>
      <c r="D52">
        <f>IF(COUNTIFS(T_StockCount[RM_Code],$A52,T_StockCount[WeekIndex],3)&gt;0,SUMIFS(T_StockCount[CountedQty],T_StockCount[RM_Code],$A52,T_StockCount[WeekIndex],3),IF((COUNTIFS(T_SelfStock[RM_Code],$A52,T_SelfStock[WeekIndex],3)&gt;0)*(COUNTIFS(T_TTAFStock[RM_Code],$A52,T_TTAFStock[WeekIndex],3)&gt;0)&gt;0,SUMIFS(T_SelfStock[Self_Qty],T_SelfStock[RM_Code],$A52,T_SelfStock[WeekIndex],3)+SUMIFS(T_TTAFStock[TTAF_Qty],T_TTAFStock[RM_Code],$A52,T_TTAFStock[WeekIndex],3),C52+'Grid_Incoming'!D52-'Grid_Requirement'!D52))</f>
        <v/>
      </c>
      <c r="E52">
        <f>IF(COUNTIFS(T_StockCount[RM_Code],$A52,T_StockCount[WeekIndex],4)&gt;0,SUMIFS(T_StockCount[CountedQty],T_StockCount[RM_Code],$A52,T_StockCount[WeekIndex],4),IF((COUNTIFS(T_SelfStock[RM_Code],$A52,T_SelfStock[WeekIndex],4)&gt;0)*(COUNTIFS(T_TTAFStock[RM_Code],$A52,T_TTAFStock[WeekIndex],4)&gt;0)&gt;0,SUMIFS(T_SelfStock[Self_Qty],T_SelfStock[RM_Code],$A52,T_SelfStock[WeekIndex],4)+SUMIFS(T_TTAFStock[TTAF_Qty],T_TTAFStock[RM_Code],$A52,T_TTAFStock[WeekIndex],4),D52+'Grid_Incoming'!E52-'Grid_Requirement'!E52))</f>
        <v/>
      </c>
      <c r="F52">
        <f>IF(COUNTIFS(T_StockCount[RM_Code],$A52,T_StockCount[WeekIndex],5)&gt;0,SUMIFS(T_StockCount[CountedQty],T_StockCount[RM_Code],$A52,T_StockCount[WeekIndex],5),IF((COUNTIFS(T_SelfStock[RM_Code],$A52,T_SelfStock[WeekIndex],5)&gt;0)*(COUNTIFS(T_TTAFStock[RM_Code],$A52,T_TTAFStock[WeekIndex],5)&gt;0)&gt;0,SUMIFS(T_SelfStock[Self_Qty],T_SelfStock[RM_Code],$A52,T_SelfStock[WeekIndex],5)+SUMIFS(T_TTAFStock[TTAF_Qty],T_TTAFStock[RM_Code],$A52,T_TTAFStock[WeekIndex],5),E52+'Grid_Incoming'!F52-'Grid_Requirement'!F52))</f>
        <v/>
      </c>
      <c r="G52">
        <f>IF(COUNTIFS(T_StockCount[RM_Code],$A52,T_StockCount[WeekIndex],6)&gt;0,SUMIFS(T_StockCount[CountedQty],T_StockCount[RM_Code],$A52,T_StockCount[WeekIndex],6),IF((COUNTIFS(T_SelfStock[RM_Code],$A52,T_SelfStock[WeekIndex],6)&gt;0)*(COUNTIFS(T_TTAFStock[RM_Code],$A52,T_TTAFStock[WeekIndex],6)&gt;0)&gt;0,SUMIFS(T_SelfStock[Self_Qty],T_SelfStock[RM_Code],$A52,T_SelfStock[WeekIndex],6)+SUMIFS(T_TTAFStock[TTAF_Qty],T_TTAFStock[RM_Code],$A52,T_TTAFStock[WeekIndex],6),F52+'Grid_Incoming'!G52-'Grid_Requirement'!G52))</f>
        <v/>
      </c>
      <c r="H52">
        <f>IF(COUNTIFS(T_StockCount[RM_Code],$A52,T_StockCount[WeekIndex],7)&gt;0,SUMIFS(T_StockCount[CountedQty],T_StockCount[RM_Code],$A52,T_StockCount[WeekIndex],7),IF((COUNTIFS(T_SelfStock[RM_Code],$A52,T_SelfStock[WeekIndex],7)&gt;0)*(COUNTIFS(T_TTAFStock[RM_Code],$A52,T_TTAFStock[WeekIndex],7)&gt;0)&gt;0,SUMIFS(T_SelfStock[Self_Qty],T_SelfStock[RM_Code],$A52,T_SelfStock[WeekIndex],7)+SUMIFS(T_TTAFStock[TTAF_Qty],T_TTAFStock[RM_Code],$A52,T_TTAFStock[WeekIndex],7),G52+'Grid_Incoming'!H52-'Grid_Requirement'!H52))</f>
        <v/>
      </c>
      <c r="I52">
        <f>IF(COUNTIFS(T_StockCount[RM_Code],$A52,T_StockCount[WeekIndex],8)&gt;0,SUMIFS(T_StockCount[CountedQty],T_StockCount[RM_Code],$A52,T_StockCount[WeekIndex],8),IF((COUNTIFS(T_SelfStock[RM_Code],$A52,T_SelfStock[WeekIndex],8)&gt;0)*(COUNTIFS(T_TTAFStock[RM_Code],$A52,T_TTAFStock[WeekIndex],8)&gt;0)&gt;0,SUMIFS(T_SelfStock[Self_Qty],T_SelfStock[RM_Code],$A52,T_SelfStock[WeekIndex],8)+SUMIFS(T_TTAFStock[TTAF_Qty],T_TTAFStock[RM_Code],$A52,T_TTAFStock[WeekIndex],8),H52+'Grid_Incoming'!I52-'Grid_Requirement'!I52))</f>
        <v/>
      </c>
      <c r="J52">
        <f>IF(COUNTIFS(T_StockCount[RM_Code],$A52,T_StockCount[WeekIndex],9)&gt;0,SUMIFS(T_StockCount[CountedQty],T_StockCount[RM_Code],$A52,T_StockCount[WeekIndex],9),IF((COUNTIFS(T_SelfStock[RM_Code],$A52,T_SelfStock[WeekIndex],9)&gt;0)*(COUNTIFS(T_TTAFStock[RM_Code],$A52,T_TTAFStock[WeekIndex],9)&gt;0)&gt;0,SUMIFS(T_SelfStock[Self_Qty],T_SelfStock[RM_Code],$A52,T_SelfStock[WeekIndex],9)+SUMIFS(T_TTAFStock[TTAF_Qty],T_TTAFStock[RM_Code],$A52,T_TTAFStock[WeekIndex],9),I52+'Grid_Incoming'!J52-'Grid_Requirement'!J52))</f>
        <v/>
      </c>
      <c r="K52">
        <f>IF(COUNTIFS(T_StockCount[RM_Code],$A52,T_StockCount[WeekIndex],10)&gt;0,SUMIFS(T_StockCount[CountedQty],T_StockCount[RM_Code],$A52,T_StockCount[WeekIndex],10),IF((COUNTIFS(T_SelfStock[RM_Code],$A52,T_SelfStock[WeekIndex],10)&gt;0)*(COUNTIFS(T_TTAFStock[RM_Code],$A52,T_TTAFStock[WeekIndex],10)&gt;0)&gt;0,SUMIFS(T_SelfStock[Self_Qty],T_SelfStock[RM_Code],$A52,T_SelfStock[WeekIndex],10)+SUMIFS(T_TTAFStock[TTAF_Qty],T_TTAFStock[RM_Code],$A52,T_TTAFStock[WeekIndex],10),J52+'Grid_Incoming'!K52-'Grid_Requirement'!K52))</f>
        <v/>
      </c>
      <c r="L52">
        <f>IF(COUNTIFS(T_StockCount[RM_Code],$A52,T_StockCount[WeekIndex],11)&gt;0,SUMIFS(T_StockCount[CountedQty],T_StockCount[RM_Code],$A52,T_StockCount[WeekIndex],11),IF((COUNTIFS(T_SelfStock[RM_Code],$A52,T_SelfStock[WeekIndex],11)&gt;0)*(COUNTIFS(T_TTAFStock[RM_Code],$A52,T_TTAFStock[WeekIndex],11)&gt;0)&gt;0,SUMIFS(T_SelfStock[Self_Qty],T_SelfStock[RM_Code],$A52,T_SelfStock[WeekIndex],11)+SUMIFS(T_TTAFStock[TTAF_Qty],T_TTAFStock[RM_Code],$A52,T_TTAFStock[WeekIndex],11),K52+'Grid_Incoming'!L52-'Grid_Requirement'!L52))</f>
        <v/>
      </c>
      <c r="M52">
        <f>IF(COUNTIFS(T_StockCount[RM_Code],$A52,T_StockCount[WeekIndex],12)&gt;0,SUMIFS(T_StockCount[CountedQty],T_StockCount[RM_Code],$A52,T_StockCount[WeekIndex],12),IF((COUNTIFS(T_SelfStock[RM_Code],$A52,T_SelfStock[WeekIndex],12)&gt;0)*(COUNTIFS(T_TTAFStock[RM_Code],$A52,T_TTAFStock[WeekIndex],12)&gt;0)&gt;0,SUMIFS(T_SelfStock[Self_Qty],T_SelfStock[RM_Code],$A52,T_SelfStock[WeekIndex],12)+SUMIFS(T_TTAFStock[TTAF_Qty],T_TTAFStock[RM_Code],$A52,T_TTAFStock[WeekIndex],12),L52+'Grid_Incoming'!M52-'Grid_Requirement'!M52))</f>
        <v/>
      </c>
      <c r="N52">
        <f>IF(COUNTIFS(T_StockCount[RM_Code],$A52,T_StockCount[WeekIndex],13)&gt;0,SUMIFS(T_StockCount[CountedQty],T_StockCount[RM_Code],$A52,T_StockCount[WeekIndex],13),IF((COUNTIFS(T_SelfStock[RM_Code],$A52,T_SelfStock[WeekIndex],13)&gt;0)*(COUNTIFS(T_TTAFStock[RM_Code],$A52,T_TTAFStock[WeekIndex],13)&gt;0)&gt;0,SUMIFS(T_SelfStock[Self_Qty],T_SelfStock[RM_Code],$A52,T_SelfStock[WeekIndex],13)+SUMIFS(T_TTAFStock[TTAF_Qty],T_TTAFStock[RM_Code],$A52,T_TTAFStock[WeekIndex],13),M52+'Grid_Incoming'!N52-'Grid_Requirement'!N52))</f>
        <v/>
      </c>
      <c r="O52">
        <f>IF(COUNTIFS(T_StockCount[RM_Code],$A52,T_StockCount[WeekIndex],14)&gt;0,SUMIFS(T_StockCount[CountedQty],T_StockCount[RM_Code],$A52,T_StockCount[WeekIndex],14),IF((COUNTIFS(T_SelfStock[RM_Code],$A52,T_SelfStock[WeekIndex],14)&gt;0)*(COUNTIFS(T_TTAFStock[RM_Code],$A52,T_TTAFStock[WeekIndex],14)&gt;0)&gt;0,SUMIFS(T_SelfStock[Self_Qty],T_SelfStock[RM_Code],$A52,T_SelfStock[WeekIndex],14)+SUMIFS(T_TTAFStock[TTAF_Qty],T_TTAFStock[RM_Code],$A52,T_TTAFStock[WeekIndex],14),N52+'Grid_Incoming'!O52-'Grid_Requirement'!O52))</f>
        <v/>
      </c>
      <c r="P52">
        <f>IF(COUNTIFS(T_StockCount[RM_Code],$A52,T_StockCount[WeekIndex],15)&gt;0,SUMIFS(T_StockCount[CountedQty],T_StockCount[RM_Code],$A52,T_StockCount[WeekIndex],15),IF((COUNTIFS(T_SelfStock[RM_Code],$A52,T_SelfStock[WeekIndex],15)&gt;0)*(COUNTIFS(T_TTAFStock[RM_Code],$A52,T_TTAFStock[WeekIndex],15)&gt;0)&gt;0,SUMIFS(T_SelfStock[Self_Qty],T_SelfStock[RM_Code],$A52,T_SelfStock[WeekIndex],15)+SUMIFS(T_TTAFStock[TTAF_Qty],T_TTAFStock[RM_Code],$A52,T_TTAFStock[WeekIndex],15),O52+'Grid_Incoming'!P52-'Grid_Requirement'!P52))</f>
        <v/>
      </c>
      <c r="Q52">
        <f>IF(COUNTIFS(T_StockCount[RM_Code],$A52,T_StockCount[WeekIndex],16)&gt;0,SUMIFS(T_StockCount[CountedQty],T_StockCount[RM_Code],$A52,T_StockCount[WeekIndex],16),IF((COUNTIFS(T_SelfStock[RM_Code],$A52,T_SelfStock[WeekIndex],16)&gt;0)*(COUNTIFS(T_TTAFStock[RM_Code],$A52,T_TTAFStock[WeekIndex],16)&gt;0)&gt;0,SUMIFS(T_SelfStock[Self_Qty],T_SelfStock[RM_Code],$A52,T_SelfStock[WeekIndex],16)+SUMIFS(T_TTAFStock[TTAF_Qty],T_TTAFStock[RM_Code],$A52,T_TTAFStock[WeekIndex],16),P52+'Grid_Incoming'!Q52-'Grid_Requirement'!Q52))</f>
        <v/>
      </c>
      <c r="R52">
        <f>IF(COUNTIFS(T_StockCount[RM_Code],$A52,T_StockCount[WeekIndex],17)&gt;0,SUMIFS(T_StockCount[CountedQty],T_StockCount[RM_Code],$A52,T_StockCount[WeekIndex],17),IF((COUNTIFS(T_SelfStock[RM_Code],$A52,T_SelfStock[WeekIndex],17)&gt;0)*(COUNTIFS(T_TTAFStock[RM_Code],$A52,T_TTAFStock[WeekIndex],17)&gt;0)&gt;0,SUMIFS(T_SelfStock[Self_Qty],T_SelfStock[RM_Code],$A52,T_SelfStock[WeekIndex],17)+SUMIFS(T_TTAFStock[TTAF_Qty],T_TTAFStock[RM_Code],$A52,T_TTAFStock[WeekIndex],17),Q52+'Grid_Incoming'!R52-'Grid_Requirement'!R52))</f>
        <v/>
      </c>
      <c r="S52">
        <f>IF(COUNTIFS(T_StockCount[RM_Code],$A52,T_StockCount[WeekIndex],18)&gt;0,SUMIFS(T_StockCount[CountedQty],T_StockCount[RM_Code],$A52,T_StockCount[WeekIndex],18),IF((COUNTIFS(T_SelfStock[RM_Code],$A52,T_SelfStock[WeekIndex],18)&gt;0)*(COUNTIFS(T_TTAFStock[RM_Code],$A52,T_TTAFStock[WeekIndex],18)&gt;0)&gt;0,SUMIFS(T_SelfStock[Self_Qty],T_SelfStock[RM_Code],$A52,T_SelfStock[WeekIndex],18)+SUMIFS(T_TTAFStock[TTAF_Qty],T_TTAFStock[RM_Code],$A52,T_TTAFStock[WeekIndex],18),R52+'Grid_Incoming'!S52-'Grid_Requirement'!S52))</f>
        <v/>
      </c>
      <c r="T52">
        <f>IF(COUNTIFS(T_StockCount[RM_Code],$A52,T_StockCount[WeekIndex],19)&gt;0,SUMIFS(T_StockCount[CountedQty],T_StockCount[RM_Code],$A52,T_StockCount[WeekIndex],19),IF((COUNTIFS(T_SelfStock[RM_Code],$A52,T_SelfStock[WeekIndex],19)&gt;0)*(COUNTIFS(T_TTAFStock[RM_Code],$A52,T_TTAFStock[WeekIndex],19)&gt;0)&gt;0,SUMIFS(T_SelfStock[Self_Qty],T_SelfStock[RM_Code],$A52,T_SelfStock[WeekIndex],19)+SUMIFS(T_TTAFStock[TTAF_Qty],T_TTAFStock[RM_Code],$A52,T_TTAFStock[WeekIndex],19),S52+'Grid_Incoming'!T52-'Grid_Requirement'!T52))</f>
        <v/>
      </c>
      <c r="U52">
        <f>IF(COUNTIFS(T_StockCount[RM_Code],$A52,T_StockCount[WeekIndex],20)&gt;0,SUMIFS(T_StockCount[CountedQty],T_StockCount[RM_Code],$A52,T_StockCount[WeekIndex],20),IF((COUNTIFS(T_SelfStock[RM_Code],$A52,T_SelfStock[WeekIndex],20)&gt;0)*(COUNTIFS(T_TTAFStock[RM_Code],$A52,T_TTAFStock[WeekIndex],20)&gt;0)&gt;0,SUMIFS(T_SelfStock[Self_Qty],T_SelfStock[RM_Code],$A52,T_SelfStock[WeekIndex],20)+SUMIFS(T_TTAFStock[TTAF_Qty],T_TTAFStock[RM_Code],$A52,T_TTAFStock[WeekIndex],20),T52+'Grid_Incoming'!U52-'Grid_Requirement'!U52))</f>
        <v/>
      </c>
      <c r="V52">
        <f>IF(COUNTIFS(T_StockCount[RM_Code],$A52,T_StockCount[WeekIndex],21)&gt;0,SUMIFS(T_StockCount[CountedQty],T_StockCount[RM_Code],$A52,T_StockCount[WeekIndex],21),IF((COUNTIFS(T_SelfStock[RM_Code],$A52,T_SelfStock[WeekIndex],21)&gt;0)*(COUNTIFS(T_TTAFStock[RM_Code],$A52,T_TTAFStock[WeekIndex],21)&gt;0)&gt;0,SUMIFS(T_SelfStock[Self_Qty],T_SelfStock[RM_Code],$A52,T_SelfStock[WeekIndex],21)+SUMIFS(T_TTAFStock[TTAF_Qty],T_TTAFStock[RM_Code],$A52,T_TTAFStock[WeekIndex],21),U52+'Grid_Incoming'!V52-'Grid_Requirement'!V52))</f>
        <v/>
      </c>
      <c r="W52">
        <f>IF(COUNTIFS(T_StockCount[RM_Code],$A52,T_StockCount[WeekIndex],22)&gt;0,SUMIFS(T_StockCount[CountedQty],T_StockCount[RM_Code],$A52,T_StockCount[WeekIndex],22),IF((COUNTIFS(T_SelfStock[RM_Code],$A52,T_SelfStock[WeekIndex],22)&gt;0)*(COUNTIFS(T_TTAFStock[RM_Code],$A52,T_TTAFStock[WeekIndex],22)&gt;0)&gt;0,SUMIFS(T_SelfStock[Self_Qty],T_SelfStock[RM_Code],$A52,T_SelfStock[WeekIndex],22)+SUMIFS(T_TTAFStock[TTAF_Qty],T_TTAFStock[RM_Code],$A52,T_TTAFStock[WeekIndex],22),V52+'Grid_Incoming'!W52-'Grid_Requirement'!W52))</f>
        <v/>
      </c>
      <c r="X52">
        <f>IF(COUNTIFS(T_StockCount[RM_Code],$A52,T_StockCount[WeekIndex],23)&gt;0,SUMIFS(T_StockCount[CountedQty],T_StockCount[RM_Code],$A52,T_StockCount[WeekIndex],23),IF((COUNTIFS(T_SelfStock[RM_Code],$A52,T_SelfStock[WeekIndex],23)&gt;0)*(COUNTIFS(T_TTAFStock[RM_Code],$A52,T_TTAFStock[WeekIndex],23)&gt;0)&gt;0,SUMIFS(T_SelfStock[Self_Qty],T_SelfStock[RM_Code],$A52,T_SelfStock[WeekIndex],23)+SUMIFS(T_TTAFStock[TTAF_Qty],T_TTAFStock[RM_Code],$A52,T_TTAFStock[WeekIndex],23),W52+'Grid_Incoming'!X52-'Grid_Requirement'!X52))</f>
        <v/>
      </c>
      <c r="Y52">
        <f>IF(COUNTIFS(T_StockCount[RM_Code],$A52,T_StockCount[WeekIndex],24)&gt;0,SUMIFS(T_StockCount[CountedQty],T_StockCount[RM_Code],$A52,T_StockCount[WeekIndex],24),IF((COUNTIFS(T_SelfStock[RM_Code],$A52,T_SelfStock[WeekIndex],24)&gt;0)*(COUNTIFS(T_TTAFStock[RM_Code],$A52,T_TTAFStock[WeekIndex],24)&gt;0)&gt;0,SUMIFS(T_SelfStock[Self_Qty],T_SelfStock[RM_Code],$A52,T_SelfStock[WeekIndex],24)+SUMIFS(T_TTAFStock[TTAF_Qty],T_TTAFStock[RM_Code],$A52,T_TTAFStock[WeekIndex],24),X52+'Grid_Incoming'!Y52-'Grid_Requirement'!Y52))</f>
        <v/>
      </c>
      <c r="Z52">
        <f>IF(COUNTIFS(T_StockCount[RM_Code],$A52,T_StockCount[WeekIndex],25)&gt;0,SUMIFS(T_StockCount[CountedQty],T_StockCount[RM_Code],$A52,T_StockCount[WeekIndex],25),IF((COUNTIFS(T_SelfStock[RM_Code],$A52,T_SelfStock[WeekIndex],25)&gt;0)*(COUNTIFS(T_TTAFStock[RM_Code],$A52,T_TTAFStock[WeekIndex],25)&gt;0)&gt;0,SUMIFS(T_SelfStock[Self_Qty],T_SelfStock[RM_Code],$A52,T_SelfStock[WeekIndex],25)+SUMIFS(T_TTAFStock[TTAF_Qty],T_TTAFStock[RM_Code],$A52,T_TTAFStock[WeekIndex],25),Y52+'Grid_Incoming'!Z52-'Grid_Requirement'!Z52))</f>
        <v/>
      </c>
      <c r="AA52">
        <f>IF(COUNTIFS(T_StockCount[RM_Code],$A52,T_StockCount[WeekIndex],26)&gt;0,SUMIFS(T_StockCount[CountedQty],T_StockCount[RM_Code],$A52,T_StockCount[WeekIndex],26),IF((COUNTIFS(T_SelfStock[RM_Code],$A52,T_SelfStock[WeekIndex],26)&gt;0)*(COUNTIFS(T_TTAFStock[RM_Code],$A52,T_TTAFStock[WeekIndex],26)&gt;0)&gt;0,SUMIFS(T_SelfStock[Self_Qty],T_SelfStock[RM_Code],$A52,T_SelfStock[WeekIndex],26)+SUMIFS(T_TTAFStock[TTAF_Qty],T_TTAFStock[RM_Code],$A52,T_TTAFStock[WeekIndex],26),Z52+'Grid_Incoming'!AA52-'Grid_Requirement'!AA52))</f>
        <v/>
      </c>
      <c r="AB52">
        <f>IF(COUNTIFS(T_StockCount[RM_Code],$A52,T_StockCount[WeekIndex],27)&gt;0,SUMIFS(T_StockCount[CountedQty],T_StockCount[RM_Code],$A52,T_StockCount[WeekIndex],27),IF((COUNTIFS(T_SelfStock[RM_Code],$A52,T_SelfStock[WeekIndex],27)&gt;0)*(COUNTIFS(T_TTAFStock[RM_Code],$A52,T_TTAFStock[WeekIndex],27)&gt;0)&gt;0,SUMIFS(T_SelfStock[Self_Qty],T_SelfStock[RM_Code],$A52,T_SelfStock[WeekIndex],27)+SUMIFS(T_TTAFStock[TTAF_Qty],T_TTAFStock[RM_Code],$A52,T_TTAFStock[WeekIndex],27),AA52+'Grid_Incoming'!AB52-'Grid_Requirement'!AB52))</f>
        <v/>
      </c>
      <c r="AC52">
        <f>IF(COUNTIFS(T_StockCount[RM_Code],$A52,T_StockCount[WeekIndex],28)&gt;0,SUMIFS(T_StockCount[CountedQty],T_StockCount[RM_Code],$A52,T_StockCount[WeekIndex],28),IF((COUNTIFS(T_SelfStock[RM_Code],$A52,T_SelfStock[WeekIndex],28)&gt;0)*(COUNTIFS(T_TTAFStock[RM_Code],$A52,T_TTAFStock[WeekIndex],28)&gt;0)&gt;0,SUMIFS(T_SelfStock[Self_Qty],T_SelfStock[RM_Code],$A52,T_SelfStock[WeekIndex],28)+SUMIFS(T_TTAFStock[TTAF_Qty],T_TTAFStock[RM_Code],$A52,T_TTAFStock[WeekIndex],28),AB52+'Grid_Incoming'!AC52-'Grid_Requirement'!AC52))</f>
        <v/>
      </c>
      <c r="AD52">
        <f>IF(COUNTIFS(T_StockCount[RM_Code],$A52,T_StockCount[WeekIndex],29)&gt;0,SUMIFS(T_StockCount[CountedQty],T_StockCount[RM_Code],$A52,T_StockCount[WeekIndex],29),IF((COUNTIFS(T_SelfStock[RM_Code],$A52,T_SelfStock[WeekIndex],29)&gt;0)*(COUNTIFS(T_TTAFStock[RM_Code],$A52,T_TTAFStock[WeekIndex],29)&gt;0)&gt;0,SUMIFS(T_SelfStock[Self_Qty],T_SelfStock[RM_Code],$A52,T_SelfStock[WeekIndex],29)+SUMIFS(T_TTAFStock[TTAF_Qty],T_TTAFStock[RM_Code],$A52,T_TTAFStock[WeekIndex],29),AC52+'Grid_Incoming'!AD52-'Grid_Requirement'!AD52))</f>
        <v/>
      </c>
      <c r="AE52">
        <f>IF(COUNTIFS(T_StockCount[RM_Code],$A52,T_StockCount[WeekIndex],30)&gt;0,SUMIFS(T_StockCount[CountedQty],T_StockCount[RM_Code],$A52,T_StockCount[WeekIndex],30),IF((COUNTIFS(T_SelfStock[RM_Code],$A52,T_SelfStock[WeekIndex],30)&gt;0)*(COUNTIFS(T_TTAFStock[RM_Code],$A52,T_TTAFStock[WeekIndex],30)&gt;0)&gt;0,SUMIFS(T_SelfStock[Self_Qty],T_SelfStock[RM_Code],$A52,T_SelfStock[WeekIndex],30)+SUMIFS(T_TTAFStock[TTAF_Qty],T_TTAFStock[RM_Code],$A52,T_TTAFStock[WeekIndex],30),AD52+'Grid_Incoming'!AE52-'Grid_Requirement'!AE52))</f>
        <v/>
      </c>
      <c r="AF52">
        <f>IF(COUNTIFS(T_StockCount[RM_Code],$A52,T_StockCount[WeekIndex],31)&gt;0,SUMIFS(T_StockCount[CountedQty],T_StockCount[RM_Code],$A52,T_StockCount[WeekIndex],31),IF((COUNTIFS(T_SelfStock[RM_Code],$A52,T_SelfStock[WeekIndex],31)&gt;0)*(COUNTIFS(T_TTAFStock[RM_Code],$A52,T_TTAFStock[WeekIndex],31)&gt;0)&gt;0,SUMIFS(T_SelfStock[Self_Qty],T_SelfStock[RM_Code],$A52,T_SelfStock[WeekIndex],31)+SUMIFS(T_TTAFStock[TTAF_Qty],T_TTAFStock[RM_Code],$A52,T_TTAFStock[WeekIndex],31),AE52+'Grid_Incoming'!AF52-'Grid_Requirement'!AF52))</f>
        <v/>
      </c>
      <c r="AG52">
        <f>IF(COUNTIFS(T_StockCount[RM_Code],$A52,T_StockCount[WeekIndex],32)&gt;0,SUMIFS(T_StockCount[CountedQty],T_StockCount[RM_Code],$A52,T_StockCount[WeekIndex],32),IF((COUNTIFS(T_SelfStock[RM_Code],$A52,T_SelfStock[WeekIndex],32)&gt;0)*(COUNTIFS(T_TTAFStock[RM_Code],$A52,T_TTAFStock[WeekIndex],32)&gt;0)&gt;0,SUMIFS(T_SelfStock[Self_Qty],T_SelfStock[RM_Code],$A52,T_SelfStock[WeekIndex],32)+SUMIFS(T_TTAFStock[TTAF_Qty],T_TTAFStock[RM_Code],$A52,T_TTAFStock[WeekIndex],32),AF52+'Grid_Incoming'!AG52-'Grid_Requirement'!AG52))</f>
        <v/>
      </c>
      <c r="AH52">
        <f>IF(COUNTIFS(T_StockCount[RM_Code],$A52,T_StockCount[WeekIndex],33)&gt;0,SUMIFS(T_StockCount[CountedQty],T_StockCount[RM_Code],$A52,T_StockCount[WeekIndex],33),IF((COUNTIFS(T_SelfStock[RM_Code],$A52,T_SelfStock[WeekIndex],33)&gt;0)*(COUNTIFS(T_TTAFStock[RM_Code],$A52,T_TTAFStock[WeekIndex],33)&gt;0)&gt;0,SUMIFS(T_SelfStock[Self_Qty],T_SelfStock[RM_Code],$A52,T_SelfStock[WeekIndex],33)+SUMIFS(T_TTAFStock[TTAF_Qty],T_TTAFStock[RM_Code],$A52,T_TTAFStock[WeekIndex],33),AG52+'Grid_Incoming'!AH52-'Grid_Requirement'!AH52))</f>
        <v/>
      </c>
      <c r="AI52">
        <f>IF(COUNTIFS(T_StockCount[RM_Code],$A52,T_StockCount[WeekIndex],34)&gt;0,SUMIFS(T_StockCount[CountedQty],T_StockCount[RM_Code],$A52,T_StockCount[WeekIndex],34),IF((COUNTIFS(T_SelfStock[RM_Code],$A52,T_SelfStock[WeekIndex],34)&gt;0)*(COUNTIFS(T_TTAFStock[RM_Code],$A52,T_TTAFStock[WeekIndex],34)&gt;0)&gt;0,SUMIFS(T_SelfStock[Self_Qty],T_SelfStock[RM_Code],$A52,T_SelfStock[WeekIndex],34)+SUMIFS(T_TTAFStock[TTAF_Qty],T_TTAFStock[RM_Code],$A52,T_TTAFStock[WeekIndex],34),AH52+'Grid_Incoming'!AI52-'Grid_Requirement'!AI52))</f>
        <v/>
      </c>
      <c r="AJ52">
        <f>IF(COUNTIFS(T_StockCount[RM_Code],$A52,T_StockCount[WeekIndex],35)&gt;0,SUMIFS(T_StockCount[CountedQty],T_StockCount[RM_Code],$A52,T_StockCount[WeekIndex],35),IF((COUNTIFS(T_SelfStock[RM_Code],$A52,T_SelfStock[WeekIndex],35)&gt;0)*(COUNTIFS(T_TTAFStock[RM_Code],$A52,T_TTAFStock[WeekIndex],35)&gt;0)&gt;0,SUMIFS(T_SelfStock[Self_Qty],T_SelfStock[RM_Code],$A52,T_SelfStock[WeekIndex],35)+SUMIFS(T_TTAFStock[TTAF_Qty],T_TTAFStock[RM_Code],$A52,T_TTAFStock[WeekIndex],35),AI52+'Grid_Incoming'!AJ52-'Grid_Requirement'!AJ52))</f>
        <v/>
      </c>
      <c r="AK52">
        <f>IF(COUNTIFS(T_StockCount[RM_Code],$A52,T_StockCount[WeekIndex],36)&gt;0,SUMIFS(T_StockCount[CountedQty],T_StockCount[RM_Code],$A52,T_StockCount[WeekIndex],36),IF((COUNTIFS(T_SelfStock[RM_Code],$A52,T_SelfStock[WeekIndex],36)&gt;0)*(COUNTIFS(T_TTAFStock[RM_Code],$A52,T_TTAFStock[WeekIndex],36)&gt;0)&gt;0,SUMIFS(T_SelfStock[Self_Qty],T_SelfStock[RM_Code],$A52,T_SelfStock[WeekIndex],36)+SUMIFS(T_TTAFStock[TTAF_Qty],T_TTAFStock[RM_Code],$A52,T_TTAFStock[WeekIndex],36),AJ52+'Grid_Incoming'!AK52-'Grid_Requirement'!AK52))</f>
        <v/>
      </c>
      <c r="AL52">
        <f>IF(COUNTIFS(T_StockCount[RM_Code],$A52,T_StockCount[WeekIndex],37)&gt;0,SUMIFS(T_StockCount[CountedQty],T_StockCount[RM_Code],$A52,T_StockCount[WeekIndex],37),IF((COUNTIFS(T_SelfStock[RM_Code],$A52,T_SelfStock[WeekIndex],37)&gt;0)*(COUNTIFS(T_TTAFStock[RM_Code],$A52,T_TTAFStock[WeekIndex],37)&gt;0)&gt;0,SUMIFS(T_SelfStock[Self_Qty],T_SelfStock[RM_Code],$A52,T_SelfStock[WeekIndex],37)+SUMIFS(T_TTAFStock[TTAF_Qty],T_TTAFStock[RM_Code],$A52,T_TTAFStock[WeekIndex],37),AK52+'Grid_Incoming'!AL52-'Grid_Requirement'!AL52))</f>
        <v/>
      </c>
      <c r="AM52">
        <f>IF(COUNTIFS(T_StockCount[RM_Code],$A52,T_StockCount[WeekIndex],38)&gt;0,SUMIFS(T_StockCount[CountedQty],T_StockCount[RM_Code],$A52,T_StockCount[WeekIndex],38),IF((COUNTIFS(T_SelfStock[RM_Code],$A52,T_SelfStock[WeekIndex],38)&gt;0)*(COUNTIFS(T_TTAFStock[RM_Code],$A52,T_TTAFStock[WeekIndex],38)&gt;0)&gt;0,SUMIFS(T_SelfStock[Self_Qty],T_SelfStock[RM_Code],$A52,T_SelfStock[WeekIndex],38)+SUMIFS(T_TTAFStock[TTAF_Qty],T_TTAFStock[RM_Code],$A52,T_TTAFStock[WeekIndex],38),AL52+'Grid_Incoming'!AM52-'Grid_Requirement'!AM52))</f>
        <v/>
      </c>
      <c r="AN52">
        <f>IF(COUNTIFS(T_StockCount[RM_Code],$A52,T_StockCount[WeekIndex],39)&gt;0,SUMIFS(T_StockCount[CountedQty],T_StockCount[RM_Code],$A52,T_StockCount[WeekIndex],39),IF((COUNTIFS(T_SelfStock[RM_Code],$A52,T_SelfStock[WeekIndex],39)&gt;0)*(COUNTIFS(T_TTAFStock[RM_Code],$A52,T_TTAFStock[WeekIndex],39)&gt;0)&gt;0,SUMIFS(T_SelfStock[Self_Qty],T_SelfStock[RM_Code],$A52,T_SelfStock[WeekIndex],39)+SUMIFS(T_TTAFStock[TTAF_Qty],T_TTAFStock[RM_Code],$A52,T_TTAFStock[WeekIndex],39),AM52+'Grid_Incoming'!AN52-'Grid_Requirement'!AN52))</f>
        <v/>
      </c>
      <c r="AO52">
        <f>IF(COUNTIFS(T_StockCount[RM_Code],$A52,T_StockCount[WeekIndex],40)&gt;0,SUMIFS(T_StockCount[CountedQty],T_StockCount[RM_Code],$A52,T_StockCount[WeekIndex],40),IF((COUNTIFS(T_SelfStock[RM_Code],$A52,T_SelfStock[WeekIndex],40)&gt;0)*(COUNTIFS(T_TTAFStock[RM_Code],$A52,T_TTAFStock[WeekIndex],40)&gt;0)&gt;0,SUMIFS(T_SelfStock[Self_Qty],T_SelfStock[RM_Code],$A52,T_SelfStock[WeekIndex],40)+SUMIFS(T_TTAFStock[TTAF_Qty],T_TTAFStock[RM_Code],$A52,T_TTAFStock[WeekIndex],40),AN52+'Grid_Incoming'!AO52-'Grid_Requirement'!AO52))</f>
        <v/>
      </c>
      <c r="AP52">
        <f>IF(COUNTIFS(T_StockCount[RM_Code],$A52,T_StockCount[WeekIndex],41)&gt;0,SUMIFS(T_StockCount[CountedQty],T_StockCount[RM_Code],$A52,T_StockCount[WeekIndex],41),IF((COUNTIFS(T_SelfStock[RM_Code],$A52,T_SelfStock[WeekIndex],41)&gt;0)*(COUNTIFS(T_TTAFStock[RM_Code],$A52,T_TTAFStock[WeekIndex],41)&gt;0)&gt;0,SUMIFS(T_SelfStock[Self_Qty],T_SelfStock[RM_Code],$A52,T_SelfStock[WeekIndex],41)+SUMIFS(T_TTAFStock[TTAF_Qty],T_TTAFStock[RM_Code],$A52,T_TTAFStock[WeekIndex],41),AO52+'Grid_Incoming'!AP52-'Grid_Requirement'!AP52))</f>
        <v/>
      </c>
      <c r="AQ52">
        <f>IF(COUNTIFS(T_StockCount[RM_Code],$A52,T_StockCount[WeekIndex],42)&gt;0,SUMIFS(T_StockCount[CountedQty],T_StockCount[RM_Code],$A52,T_StockCount[WeekIndex],42),IF((COUNTIFS(T_SelfStock[RM_Code],$A52,T_SelfStock[WeekIndex],42)&gt;0)*(COUNTIFS(T_TTAFStock[RM_Code],$A52,T_TTAFStock[WeekIndex],42)&gt;0)&gt;0,SUMIFS(T_SelfStock[Self_Qty],T_SelfStock[RM_Code],$A52,T_SelfStock[WeekIndex],42)+SUMIFS(T_TTAFStock[TTAF_Qty],T_TTAFStock[RM_Code],$A52,T_TTAFStock[WeekIndex],42),AP52+'Grid_Incoming'!AQ52-'Grid_Requirement'!AQ52))</f>
        <v/>
      </c>
      <c r="AR52">
        <f>IF(COUNTIFS(T_StockCount[RM_Code],$A52,T_StockCount[WeekIndex],43)&gt;0,SUMIFS(T_StockCount[CountedQty],T_StockCount[RM_Code],$A52,T_StockCount[WeekIndex],43),IF((COUNTIFS(T_SelfStock[RM_Code],$A52,T_SelfStock[WeekIndex],43)&gt;0)*(COUNTIFS(T_TTAFStock[RM_Code],$A52,T_TTAFStock[WeekIndex],43)&gt;0)&gt;0,SUMIFS(T_SelfStock[Self_Qty],T_SelfStock[RM_Code],$A52,T_SelfStock[WeekIndex],43)+SUMIFS(T_TTAFStock[TTAF_Qty],T_TTAFStock[RM_Code],$A52,T_TTAFStock[WeekIndex],43),AQ52+'Grid_Incoming'!AR52-'Grid_Requirement'!AR52))</f>
        <v/>
      </c>
      <c r="AS52">
        <f>IF(COUNTIFS(T_StockCount[RM_Code],$A52,T_StockCount[WeekIndex],44)&gt;0,SUMIFS(T_StockCount[CountedQty],T_StockCount[RM_Code],$A52,T_StockCount[WeekIndex],44),IF((COUNTIFS(T_SelfStock[RM_Code],$A52,T_SelfStock[WeekIndex],44)&gt;0)*(COUNTIFS(T_TTAFStock[RM_Code],$A52,T_TTAFStock[WeekIndex],44)&gt;0)&gt;0,SUMIFS(T_SelfStock[Self_Qty],T_SelfStock[RM_Code],$A52,T_SelfStock[WeekIndex],44)+SUMIFS(T_TTAFStock[TTAF_Qty],T_TTAFStock[RM_Code],$A52,T_TTAFStock[WeekIndex],44),AR52+'Grid_Incoming'!AS52-'Grid_Requirement'!AS52))</f>
        <v/>
      </c>
      <c r="AT52">
        <f>IF(COUNTIFS(T_StockCount[RM_Code],$A52,T_StockCount[WeekIndex],45)&gt;0,SUMIFS(T_StockCount[CountedQty],T_StockCount[RM_Code],$A52,T_StockCount[WeekIndex],45),IF((COUNTIFS(T_SelfStock[RM_Code],$A52,T_SelfStock[WeekIndex],45)&gt;0)*(COUNTIFS(T_TTAFStock[RM_Code],$A52,T_TTAFStock[WeekIndex],45)&gt;0)&gt;0,SUMIFS(T_SelfStock[Self_Qty],T_SelfStock[RM_Code],$A52,T_SelfStock[WeekIndex],45)+SUMIFS(T_TTAFStock[TTAF_Qty],T_TTAFStock[RM_Code],$A52,T_TTAFStock[WeekIndex],45),AS52+'Grid_Incoming'!AT52-'Grid_Requirement'!AT52))</f>
        <v/>
      </c>
      <c r="AU52">
        <f>IF(COUNTIFS(T_StockCount[RM_Code],$A52,T_StockCount[WeekIndex],46)&gt;0,SUMIFS(T_StockCount[CountedQty],T_StockCount[RM_Code],$A52,T_StockCount[WeekIndex],46),IF((COUNTIFS(T_SelfStock[RM_Code],$A52,T_SelfStock[WeekIndex],46)&gt;0)*(COUNTIFS(T_TTAFStock[RM_Code],$A52,T_TTAFStock[WeekIndex],46)&gt;0)&gt;0,SUMIFS(T_SelfStock[Self_Qty],T_SelfStock[RM_Code],$A52,T_SelfStock[WeekIndex],46)+SUMIFS(T_TTAFStock[TTAF_Qty],T_TTAFStock[RM_Code],$A52,T_TTAFStock[WeekIndex],46),AT52+'Grid_Incoming'!AU52-'Grid_Requirement'!AU52))</f>
        <v/>
      </c>
      <c r="AV52">
        <f>IF(COUNTIFS(T_StockCount[RM_Code],$A52,T_StockCount[WeekIndex],47)&gt;0,SUMIFS(T_StockCount[CountedQty],T_StockCount[RM_Code],$A52,T_StockCount[WeekIndex],47),IF((COUNTIFS(T_SelfStock[RM_Code],$A52,T_SelfStock[WeekIndex],47)&gt;0)*(COUNTIFS(T_TTAFStock[RM_Code],$A52,T_TTAFStock[WeekIndex],47)&gt;0)&gt;0,SUMIFS(T_SelfStock[Self_Qty],T_SelfStock[RM_Code],$A52,T_SelfStock[WeekIndex],47)+SUMIFS(T_TTAFStock[TTAF_Qty],T_TTAFStock[RM_Code],$A52,T_TTAFStock[WeekIndex],47),AU52+'Grid_Incoming'!AV52-'Grid_Requirement'!AV52))</f>
        <v/>
      </c>
      <c r="AW52">
        <f>IF(COUNTIFS(T_StockCount[RM_Code],$A52,T_StockCount[WeekIndex],48)&gt;0,SUMIFS(T_StockCount[CountedQty],T_StockCount[RM_Code],$A52,T_StockCount[WeekIndex],48),IF((COUNTIFS(T_SelfStock[RM_Code],$A52,T_SelfStock[WeekIndex],48)&gt;0)*(COUNTIFS(T_TTAFStock[RM_Code],$A52,T_TTAFStock[WeekIndex],48)&gt;0)&gt;0,SUMIFS(T_SelfStock[Self_Qty],T_SelfStock[RM_Code],$A52,T_SelfStock[WeekIndex],48)+SUMIFS(T_TTAFStock[TTAF_Qty],T_TTAFStock[RM_Code],$A52,T_TTAFStock[WeekIndex],48),AV52+'Grid_Incoming'!AW52-'Grid_Requirement'!AW52))</f>
        <v/>
      </c>
      <c r="AX52">
        <f>IF(COUNTIFS(T_StockCount[RM_Code],$A52,T_StockCount[WeekIndex],49)&gt;0,SUMIFS(T_StockCount[CountedQty],T_StockCount[RM_Code],$A52,T_StockCount[WeekIndex],49),IF((COUNTIFS(T_SelfStock[RM_Code],$A52,T_SelfStock[WeekIndex],49)&gt;0)*(COUNTIFS(T_TTAFStock[RM_Code],$A52,T_TTAFStock[WeekIndex],49)&gt;0)&gt;0,SUMIFS(T_SelfStock[Self_Qty],T_SelfStock[RM_Code],$A52,T_SelfStock[WeekIndex],49)+SUMIFS(T_TTAFStock[TTAF_Qty],T_TTAFStock[RM_Code],$A52,T_TTAFStock[WeekIndex],49),AW52+'Grid_Incoming'!AX52-'Grid_Requirement'!AX52))</f>
        <v/>
      </c>
      <c r="AY52">
        <f>IF(COUNTIFS(T_StockCount[RM_Code],$A52,T_StockCount[WeekIndex],50)&gt;0,SUMIFS(T_StockCount[CountedQty],T_StockCount[RM_Code],$A52,T_StockCount[WeekIndex],50),IF((COUNTIFS(T_SelfStock[RM_Code],$A52,T_SelfStock[WeekIndex],50)&gt;0)*(COUNTIFS(T_TTAFStock[RM_Code],$A52,T_TTAFStock[WeekIndex],50)&gt;0)&gt;0,SUMIFS(T_SelfStock[Self_Qty],T_SelfStock[RM_Code],$A52,T_SelfStock[WeekIndex],50)+SUMIFS(T_TTAFStock[TTAF_Qty],T_TTAFStock[RM_Code],$A52,T_TTAFStock[WeekIndex],50),AX52+'Grid_Incoming'!AY52-'Grid_Requirement'!AY52))</f>
        <v/>
      </c>
      <c r="AZ52">
        <f>IF(COUNTIFS(T_StockCount[RM_Code],$A52,T_StockCount[WeekIndex],51)&gt;0,SUMIFS(T_StockCount[CountedQty],T_StockCount[RM_Code],$A52,T_StockCount[WeekIndex],51),IF((COUNTIFS(T_SelfStock[RM_Code],$A52,T_SelfStock[WeekIndex],51)&gt;0)*(COUNTIFS(T_TTAFStock[RM_Code],$A52,T_TTAFStock[WeekIndex],51)&gt;0)&gt;0,SUMIFS(T_SelfStock[Self_Qty],T_SelfStock[RM_Code],$A52,T_SelfStock[WeekIndex],51)+SUMIFS(T_TTAFStock[TTAF_Qty],T_TTAFStock[RM_Code],$A52,T_TTAFStock[WeekIndex],51),AY52+'Grid_Incoming'!AZ52-'Grid_Requirement'!AZ52))</f>
        <v/>
      </c>
      <c r="BA52">
        <f>IF(COUNTIFS(T_StockCount[RM_Code],$A52,T_StockCount[WeekIndex],52)&gt;0,SUMIFS(T_StockCount[CountedQty],T_StockCount[RM_Code],$A52,T_StockCount[WeekIndex],52),IF((COUNTIFS(T_SelfStock[RM_Code],$A52,T_SelfStock[WeekIndex],52)&gt;0)*(COUNTIFS(T_TTAFStock[RM_Code],$A52,T_TTAFStock[WeekIndex],52)&gt;0)&gt;0,SUMIFS(T_SelfStock[Self_Qty],T_SelfStock[RM_Code],$A52,T_SelfStock[WeekIndex],52)+SUMIFS(T_TTAFStock[TTAF_Qty],T_TTAFStock[RM_Code],$A52,T_TTAFStock[WeekIndex],52),AZ52+'Grid_Incoming'!BA52-'Grid_Requirement'!BA52))</f>
        <v/>
      </c>
      <c r="BB52">
        <f>IF(COUNTIFS(T_StockCount[RM_Code],$A52,T_StockCount[WeekIndex],53)&gt;0,SUMIFS(T_StockCount[CountedQty],T_StockCount[RM_Code],$A52,T_StockCount[WeekIndex],53),IF((COUNTIFS(T_SelfStock[RM_Code],$A52,T_SelfStock[WeekIndex],53)&gt;0)*(COUNTIFS(T_TTAFStock[RM_Code],$A52,T_TTAFStock[WeekIndex],53)&gt;0)&gt;0,SUMIFS(T_SelfStock[Self_Qty],T_SelfStock[RM_Code],$A52,T_SelfStock[WeekIndex],53)+SUMIFS(T_TTAFStock[TTAF_Qty],T_TTAFStock[RM_Code],$A52,T_TTAFStock[WeekIndex],53),BA52+'Grid_Incoming'!BB52-'Grid_Requirement'!BB52))</f>
        <v/>
      </c>
      <c r="BC52">
        <f>IF(COUNTIFS(T_StockCount[RM_Code],$A52,T_StockCount[WeekIndex],54)&gt;0,SUMIFS(T_StockCount[CountedQty],T_StockCount[RM_Code],$A52,T_StockCount[WeekIndex],54),IF((COUNTIFS(T_SelfStock[RM_Code],$A52,T_SelfStock[WeekIndex],54)&gt;0)*(COUNTIFS(T_TTAFStock[RM_Code],$A52,T_TTAFStock[WeekIndex],54)&gt;0)&gt;0,SUMIFS(T_SelfStock[Self_Qty],T_SelfStock[RM_Code],$A52,T_SelfStock[WeekIndex],54)+SUMIFS(T_TTAFStock[TTAF_Qty],T_TTAFStock[RM_Code],$A52,T_TTAFStock[WeekIndex],54),BB52+'Grid_Incoming'!BC52-'Grid_Requirement'!BC52))</f>
        <v/>
      </c>
      <c r="BD52">
        <f>IF(COUNTIFS(T_StockCount[RM_Code],$A52,T_StockCount[WeekIndex],55)&gt;0,SUMIFS(T_StockCount[CountedQty],T_StockCount[RM_Code],$A52,T_StockCount[WeekIndex],55),IF((COUNTIFS(T_SelfStock[RM_Code],$A52,T_SelfStock[WeekIndex],55)&gt;0)*(COUNTIFS(T_TTAFStock[RM_Code],$A52,T_TTAFStock[WeekIndex],55)&gt;0)&gt;0,SUMIFS(T_SelfStock[Self_Qty],T_SelfStock[RM_Code],$A52,T_SelfStock[WeekIndex],55)+SUMIFS(T_TTAFStock[TTAF_Qty],T_TTAFStock[RM_Code],$A52,T_TTAFStock[WeekIndex],55),BC52+'Grid_Incoming'!BD52-'Grid_Requirement'!BD52))</f>
        <v/>
      </c>
      <c r="BE52">
        <f>IF(COUNTIFS(T_StockCount[RM_Code],$A52,T_StockCount[WeekIndex],56)&gt;0,SUMIFS(T_StockCount[CountedQty],T_StockCount[RM_Code],$A52,T_StockCount[WeekIndex],56),IF((COUNTIFS(T_SelfStock[RM_Code],$A52,T_SelfStock[WeekIndex],56)&gt;0)*(COUNTIFS(T_TTAFStock[RM_Code],$A52,T_TTAFStock[WeekIndex],56)&gt;0)&gt;0,SUMIFS(T_SelfStock[Self_Qty],T_SelfStock[RM_Code],$A52,T_SelfStock[WeekIndex],56)+SUMIFS(T_TTAFStock[TTAF_Qty],T_TTAFStock[RM_Code],$A52,T_TTAFStock[WeekIndex],56),BD52+'Grid_Incoming'!BE52-'Grid_Requirement'!BE52))</f>
        <v/>
      </c>
      <c r="BF52">
        <f>IF(COUNTIFS(T_StockCount[RM_Code],$A52,T_StockCount[WeekIndex],57)&gt;0,SUMIFS(T_StockCount[CountedQty],T_StockCount[RM_Code],$A52,T_StockCount[WeekIndex],57),IF((COUNTIFS(T_SelfStock[RM_Code],$A52,T_SelfStock[WeekIndex],57)&gt;0)*(COUNTIFS(T_TTAFStock[RM_Code],$A52,T_TTAFStock[WeekIndex],57)&gt;0)&gt;0,SUMIFS(T_SelfStock[Self_Qty],T_SelfStock[RM_Code],$A52,T_SelfStock[WeekIndex],57)+SUMIFS(T_TTAFStock[TTAF_Qty],T_TTAFStock[RM_Code],$A52,T_TTAFStock[WeekIndex],57),BE52+'Grid_Incoming'!BF52-'Grid_Requirement'!BF52))</f>
        <v/>
      </c>
      <c r="BG52">
        <f>IF(COUNTIFS(T_StockCount[RM_Code],$A52,T_StockCount[WeekIndex],58)&gt;0,SUMIFS(T_StockCount[CountedQty],T_StockCount[RM_Code],$A52,T_StockCount[WeekIndex],58),IF((COUNTIFS(T_SelfStock[RM_Code],$A52,T_SelfStock[WeekIndex],58)&gt;0)*(COUNTIFS(T_TTAFStock[RM_Code],$A52,T_TTAFStock[WeekIndex],58)&gt;0)&gt;0,SUMIFS(T_SelfStock[Self_Qty],T_SelfStock[RM_Code],$A52,T_SelfStock[WeekIndex],58)+SUMIFS(T_TTAFStock[TTAF_Qty],T_TTAFStock[RM_Code],$A52,T_TTAFStock[WeekIndex],58),BF52+'Grid_Incoming'!BG52-'Grid_Requirement'!BG52))</f>
        <v/>
      </c>
      <c r="BH52">
        <f>IF(COUNTIFS(T_StockCount[RM_Code],$A52,T_StockCount[WeekIndex],59)&gt;0,SUMIFS(T_StockCount[CountedQty],T_StockCount[RM_Code],$A52,T_StockCount[WeekIndex],59),IF((COUNTIFS(T_SelfStock[RM_Code],$A52,T_SelfStock[WeekIndex],59)&gt;0)*(COUNTIFS(T_TTAFStock[RM_Code],$A52,T_TTAFStock[WeekIndex],59)&gt;0)&gt;0,SUMIFS(T_SelfStock[Self_Qty],T_SelfStock[RM_Code],$A52,T_SelfStock[WeekIndex],59)+SUMIFS(T_TTAFStock[TTAF_Qty],T_TTAFStock[RM_Code],$A52,T_TTAFStock[WeekIndex],59),BG52+'Grid_Incoming'!BH52-'Grid_Requirement'!BH52))</f>
        <v/>
      </c>
      <c r="BI52">
        <f>IF(COUNTIFS(T_StockCount[RM_Code],$A52,T_StockCount[WeekIndex],60)&gt;0,SUMIFS(T_StockCount[CountedQty],T_StockCount[RM_Code],$A52,T_StockCount[WeekIndex],60),IF((COUNTIFS(T_SelfStock[RM_Code],$A52,T_SelfStock[WeekIndex],60)&gt;0)*(COUNTIFS(T_TTAFStock[RM_Code],$A52,T_TTAFStock[WeekIndex],60)&gt;0)&gt;0,SUMIFS(T_SelfStock[Self_Qty],T_SelfStock[RM_Code],$A52,T_SelfStock[WeekIndex],60)+SUMIFS(T_TTAFStock[TTAF_Qty],T_TTAFStock[RM_Code],$A52,T_TTAFStock[WeekIndex],60),BH52+'Grid_Incoming'!BI52-'Grid_Requirement'!BI52))</f>
        <v/>
      </c>
      <c r="BJ52">
        <f>IF(COUNTIFS(T_StockCount[RM_Code],$A52,T_StockCount[WeekIndex],61)&gt;0,SUMIFS(T_StockCount[CountedQty],T_StockCount[RM_Code],$A52,T_StockCount[WeekIndex],61),IF((COUNTIFS(T_SelfStock[RM_Code],$A52,T_SelfStock[WeekIndex],61)&gt;0)*(COUNTIFS(T_TTAFStock[RM_Code],$A52,T_TTAFStock[WeekIndex],61)&gt;0)&gt;0,SUMIFS(T_SelfStock[Self_Qty],T_SelfStock[RM_Code],$A52,T_SelfStock[WeekIndex],61)+SUMIFS(T_TTAFStock[TTAF_Qty],T_TTAFStock[RM_Code],$A52,T_TTAFStock[WeekIndex],61),BI52+'Grid_Incoming'!BJ52-'Grid_Requirement'!BJ52))</f>
        <v/>
      </c>
      <c r="BK52">
        <f>IF(COUNTIFS(T_StockCount[RM_Code],$A52,T_StockCount[WeekIndex],62)&gt;0,SUMIFS(T_StockCount[CountedQty],T_StockCount[RM_Code],$A52,T_StockCount[WeekIndex],62),IF((COUNTIFS(T_SelfStock[RM_Code],$A52,T_SelfStock[WeekIndex],62)&gt;0)*(COUNTIFS(T_TTAFStock[RM_Code],$A52,T_TTAFStock[WeekIndex],62)&gt;0)&gt;0,SUMIFS(T_SelfStock[Self_Qty],T_SelfStock[RM_Code],$A52,T_SelfStock[WeekIndex],62)+SUMIFS(T_TTAFStock[TTAF_Qty],T_TTAFStock[RM_Code],$A52,T_TTAFStock[WeekIndex],62),BJ52+'Grid_Incoming'!BK52-'Grid_Requirement'!BK52))</f>
        <v/>
      </c>
      <c r="BL52">
        <f>IF(COUNTIFS(T_StockCount[RM_Code],$A52,T_StockCount[WeekIndex],63)&gt;0,SUMIFS(T_StockCount[CountedQty],T_StockCount[RM_Code],$A52,T_StockCount[WeekIndex],63),IF((COUNTIFS(T_SelfStock[RM_Code],$A52,T_SelfStock[WeekIndex],63)&gt;0)*(COUNTIFS(T_TTAFStock[RM_Code],$A52,T_TTAFStock[WeekIndex],63)&gt;0)&gt;0,SUMIFS(T_SelfStock[Self_Qty],T_SelfStock[RM_Code],$A52,T_SelfStock[WeekIndex],63)+SUMIFS(T_TTAFStock[TTAF_Qty],T_TTAFStock[RM_Code],$A52,T_TTAFStock[WeekIndex],63),BK52+'Grid_Incoming'!BL52-'Grid_Requirement'!BL52))</f>
        <v/>
      </c>
      <c r="BM52">
        <f>IF(COUNTIFS(T_StockCount[RM_Code],$A52,T_StockCount[WeekIndex],64)&gt;0,SUMIFS(T_StockCount[CountedQty],T_StockCount[RM_Code],$A52,T_StockCount[WeekIndex],64),IF((COUNTIFS(T_SelfStock[RM_Code],$A52,T_SelfStock[WeekIndex],64)&gt;0)*(COUNTIFS(T_TTAFStock[RM_Code],$A52,T_TTAFStock[WeekIndex],64)&gt;0)&gt;0,SUMIFS(T_SelfStock[Self_Qty],T_SelfStock[RM_Code],$A52,T_SelfStock[WeekIndex],64)+SUMIFS(T_TTAFStock[TTAF_Qty],T_TTAFStock[RM_Code],$A52,T_TTAFStock[WeekIndex],64),BL52+'Grid_Incoming'!BM52-'Grid_Requirement'!BM52))</f>
        <v/>
      </c>
      <c r="BN52">
        <f>IF(COUNTIFS(T_StockCount[RM_Code],$A52,T_StockCount[WeekIndex],65)&gt;0,SUMIFS(T_StockCount[CountedQty],T_StockCount[RM_Code],$A52,T_StockCount[WeekIndex],65),IF((COUNTIFS(T_SelfStock[RM_Code],$A52,T_SelfStock[WeekIndex],65)&gt;0)*(COUNTIFS(T_TTAFStock[RM_Code],$A52,T_TTAFStock[WeekIndex],65)&gt;0)&gt;0,SUMIFS(T_SelfStock[Self_Qty],T_SelfStock[RM_Code],$A52,T_SelfStock[WeekIndex],65)+SUMIFS(T_TTAFStock[TTAF_Qty],T_TTAFStock[RM_Code],$A52,T_TTAFStock[WeekIndex],65),BM52+'Grid_Incoming'!BN52-'Grid_Requirement'!BN52))</f>
        <v/>
      </c>
      <c r="BO52">
        <f>IF(COUNTIFS(T_StockCount[RM_Code],$A52,T_StockCount[WeekIndex],66)&gt;0,SUMIFS(T_StockCount[CountedQty],T_StockCount[RM_Code],$A52,T_StockCount[WeekIndex],66),IF((COUNTIFS(T_SelfStock[RM_Code],$A52,T_SelfStock[WeekIndex],66)&gt;0)*(COUNTIFS(T_TTAFStock[RM_Code],$A52,T_TTAFStock[WeekIndex],66)&gt;0)&gt;0,SUMIFS(T_SelfStock[Self_Qty],T_SelfStock[RM_Code],$A52,T_SelfStock[WeekIndex],66)+SUMIFS(T_TTAFStock[TTAF_Qty],T_TTAFStock[RM_Code],$A52,T_TTAFStock[WeekIndex],66),BN52+'Grid_Incoming'!BO52-'Grid_Requirement'!BO52))</f>
        <v/>
      </c>
      <c r="BP52">
        <f>IF(COUNTIFS(T_StockCount[RM_Code],$A52,T_StockCount[WeekIndex],67)&gt;0,SUMIFS(T_StockCount[CountedQty],T_StockCount[RM_Code],$A52,T_StockCount[WeekIndex],67),IF((COUNTIFS(T_SelfStock[RM_Code],$A52,T_SelfStock[WeekIndex],67)&gt;0)*(COUNTIFS(T_TTAFStock[RM_Code],$A52,T_TTAFStock[WeekIndex],67)&gt;0)&gt;0,SUMIFS(T_SelfStock[Self_Qty],T_SelfStock[RM_Code],$A52,T_SelfStock[WeekIndex],67)+SUMIFS(T_TTAFStock[TTAF_Qty],T_TTAFStock[RM_Code],$A52,T_TTAFStock[WeekIndex],67),BO52+'Grid_Incoming'!BP52-'Grid_Requirement'!BP52))</f>
        <v/>
      </c>
      <c r="BQ52">
        <f>IF(COUNTIFS(T_StockCount[RM_Code],$A52,T_StockCount[WeekIndex],68)&gt;0,SUMIFS(T_StockCount[CountedQty],T_StockCount[RM_Code],$A52,T_StockCount[WeekIndex],68),IF((COUNTIFS(T_SelfStock[RM_Code],$A52,T_SelfStock[WeekIndex],68)&gt;0)*(COUNTIFS(T_TTAFStock[RM_Code],$A52,T_TTAFStock[WeekIndex],68)&gt;0)&gt;0,SUMIFS(T_SelfStock[Self_Qty],T_SelfStock[RM_Code],$A52,T_SelfStock[WeekIndex],68)+SUMIFS(T_TTAFStock[TTAF_Qty],T_TTAFStock[RM_Code],$A52,T_TTAFStock[WeekIndex],68),BP52+'Grid_Incoming'!BQ52-'Grid_Requirement'!BQ52))</f>
        <v/>
      </c>
      <c r="BR52">
        <f>IF(COUNTIFS(T_StockCount[RM_Code],$A52,T_StockCount[WeekIndex],69)&gt;0,SUMIFS(T_StockCount[CountedQty],T_StockCount[RM_Code],$A52,T_StockCount[WeekIndex],69),IF((COUNTIFS(T_SelfStock[RM_Code],$A52,T_SelfStock[WeekIndex],69)&gt;0)*(COUNTIFS(T_TTAFStock[RM_Code],$A52,T_TTAFStock[WeekIndex],69)&gt;0)&gt;0,SUMIFS(T_SelfStock[Self_Qty],T_SelfStock[RM_Code],$A52,T_SelfStock[WeekIndex],69)+SUMIFS(T_TTAFStock[TTAF_Qty],T_TTAFStock[RM_Code],$A52,T_TTAFStock[WeekIndex],69),BQ52+'Grid_Incoming'!BR52-'Grid_Requirement'!BR52))</f>
        <v/>
      </c>
      <c r="BS52">
        <f>IF(COUNTIFS(T_StockCount[RM_Code],$A52,T_StockCount[WeekIndex],70)&gt;0,SUMIFS(T_StockCount[CountedQty],T_StockCount[RM_Code],$A52,T_StockCount[WeekIndex],70),IF((COUNTIFS(T_SelfStock[RM_Code],$A52,T_SelfStock[WeekIndex],70)&gt;0)*(COUNTIFS(T_TTAFStock[RM_Code],$A52,T_TTAFStock[WeekIndex],70)&gt;0)&gt;0,SUMIFS(T_SelfStock[Self_Qty],T_SelfStock[RM_Code],$A52,T_SelfStock[WeekIndex],70)+SUMIFS(T_TTAFStock[TTAF_Qty],T_TTAFStock[RM_Code],$A52,T_TTAFStock[WeekIndex],70),BR52+'Grid_Incoming'!BS52-'Grid_Requirement'!BS52))</f>
        <v/>
      </c>
      <c r="BT52">
        <f>IF(COUNTIFS(T_StockCount[RM_Code],$A52,T_StockCount[WeekIndex],71)&gt;0,SUMIFS(T_StockCount[CountedQty],T_StockCount[RM_Code],$A52,T_StockCount[WeekIndex],71),IF((COUNTIFS(T_SelfStock[RM_Code],$A52,T_SelfStock[WeekIndex],71)&gt;0)*(COUNTIFS(T_TTAFStock[RM_Code],$A52,T_TTAFStock[WeekIndex],71)&gt;0)&gt;0,SUMIFS(T_SelfStock[Self_Qty],T_SelfStock[RM_Code],$A52,T_SelfStock[WeekIndex],71)+SUMIFS(T_TTAFStock[TTAF_Qty],T_TTAFStock[RM_Code],$A52,T_TTAFStock[WeekIndex],71),BS52+'Grid_Incoming'!BT52-'Grid_Requirement'!BT52))</f>
        <v/>
      </c>
      <c r="BU52">
        <f>IF(COUNTIFS(T_StockCount[RM_Code],$A52,T_StockCount[WeekIndex],72)&gt;0,SUMIFS(T_StockCount[CountedQty],T_StockCount[RM_Code],$A52,T_StockCount[WeekIndex],72),IF((COUNTIFS(T_SelfStock[RM_Code],$A52,T_SelfStock[WeekIndex],72)&gt;0)*(COUNTIFS(T_TTAFStock[RM_Code],$A52,T_TTAFStock[WeekIndex],72)&gt;0)&gt;0,SUMIFS(T_SelfStock[Self_Qty],T_SelfStock[RM_Code],$A52,T_SelfStock[WeekIndex],72)+SUMIFS(T_TTAFStock[TTAF_Qty],T_TTAFStock[RM_Code],$A52,T_TTAFStock[WeekIndex],72),BT52+'Grid_Incoming'!BU52-'Grid_Requirement'!BU52))</f>
        <v/>
      </c>
      <c r="BV52">
        <f>IF(COUNTIFS(T_StockCount[RM_Code],$A52,T_StockCount[WeekIndex],73)&gt;0,SUMIFS(T_StockCount[CountedQty],T_StockCount[RM_Code],$A52,T_StockCount[WeekIndex],73),IF((COUNTIFS(T_SelfStock[RM_Code],$A52,T_SelfStock[WeekIndex],73)&gt;0)*(COUNTIFS(T_TTAFStock[RM_Code],$A52,T_TTAFStock[WeekIndex],73)&gt;0)&gt;0,SUMIFS(T_SelfStock[Self_Qty],T_SelfStock[RM_Code],$A52,T_SelfStock[WeekIndex],73)+SUMIFS(T_TTAFStock[TTAF_Qty],T_TTAFStock[RM_Code],$A52,T_TTAFStock[WeekIndex],73),BU52+'Grid_Incoming'!BV52-'Grid_Requirement'!BV52))</f>
        <v/>
      </c>
      <c r="BW52">
        <f>IF(COUNTIFS(T_StockCount[RM_Code],$A52,T_StockCount[WeekIndex],74)&gt;0,SUMIFS(T_StockCount[CountedQty],T_StockCount[RM_Code],$A52,T_StockCount[WeekIndex],74),IF((COUNTIFS(T_SelfStock[RM_Code],$A52,T_SelfStock[WeekIndex],74)&gt;0)*(COUNTIFS(T_TTAFStock[RM_Code],$A52,T_TTAFStock[WeekIndex],74)&gt;0)&gt;0,SUMIFS(T_SelfStock[Self_Qty],T_SelfStock[RM_Code],$A52,T_SelfStock[WeekIndex],74)+SUMIFS(T_TTAFStock[TTAF_Qty],T_TTAFStock[RM_Code],$A52,T_TTAFStock[WeekIndex],74),BV52+'Grid_Incoming'!BW52-'Grid_Requirement'!BW52))</f>
        <v/>
      </c>
      <c r="BX52">
        <f>IF(COUNTIFS(T_StockCount[RM_Code],$A52,T_StockCount[WeekIndex],75)&gt;0,SUMIFS(T_StockCount[CountedQty],T_StockCount[RM_Code],$A52,T_StockCount[WeekIndex],75),IF((COUNTIFS(T_SelfStock[RM_Code],$A52,T_SelfStock[WeekIndex],75)&gt;0)*(COUNTIFS(T_TTAFStock[RM_Code],$A52,T_TTAFStock[WeekIndex],75)&gt;0)&gt;0,SUMIFS(T_SelfStock[Self_Qty],T_SelfStock[RM_Code],$A52,T_SelfStock[WeekIndex],75)+SUMIFS(T_TTAFStock[TTAF_Qty],T_TTAFStock[RM_Code],$A52,T_TTAFStock[WeekIndex],75),BW52+'Grid_Incoming'!BX52-'Grid_Requirement'!BX52))</f>
        <v/>
      </c>
      <c r="BY52">
        <f>IF(COUNTIFS(T_StockCount[RM_Code],$A52,T_StockCount[WeekIndex],76)&gt;0,SUMIFS(T_StockCount[CountedQty],T_StockCount[RM_Code],$A52,T_StockCount[WeekIndex],76),IF((COUNTIFS(T_SelfStock[RM_Code],$A52,T_SelfStock[WeekIndex],76)&gt;0)*(COUNTIFS(T_TTAFStock[RM_Code],$A52,T_TTAFStock[WeekIndex],76)&gt;0)&gt;0,SUMIFS(T_SelfStock[Self_Qty],T_SelfStock[RM_Code],$A52,T_SelfStock[WeekIndex],76)+SUMIFS(T_TTAFStock[TTAF_Qty],T_TTAFStock[RM_Code],$A52,T_TTAFStock[WeekIndex],76),BX52+'Grid_Incoming'!BY52-'Grid_Requirement'!BY52))</f>
        <v/>
      </c>
      <c r="BZ52">
        <f>IF(COUNTIFS(T_StockCount[RM_Code],$A52,T_StockCount[WeekIndex],77)&gt;0,SUMIFS(T_StockCount[CountedQty],T_StockCount[RM_Code],$A52,T_StockCount[WeekIndex],77),IF((COUNTIFS(T_SelfStock[RM_Code],$A52,T_SelfStock[WeekIndex],77)&gt;0)*(COUNTIFS(T_TTAFStock[RM_Code],$A52,T_TTAFStock[WeekIndex],77)&gt;0)&gt;0,SUMIFS(T_SelfStock[Self_Qty],T_SelfStock[RM_Code],$A52,T_SelfStock[WeekIndex],77)+SUMIFS(T_TTAFStock[TTAF_Qty],T_TTAFStock[RM_Code],$A52,T_TTAFStock[WeekIndex],77),BY52+'Grid_Incoming'!BZ52-'Grid_Requirement'!BZ52))</f>
        <v/>
      </c>
      <c r="CA52">
        <f>IF(COUNTIFS(T_StockCount[RM_Code],$A52,T_StockCount[WeekIndex],78)&gt;0,SUMIFS(T_StockCount[CountedQty],T_StockCount[RM_Code],$A52,T_StockCount[WeekIndex],78),IF((COUNTIFS(T_SelfStock[RM_Code],$A52,T_SelfStock[WeekIndex],78)&gt;0)*(COUNTIFS(T_TTAFStock[RM_Code],$A52,T_TTAFStock[WeekIndex],78)&gt;0)&gt;0,SUMIFS(T_SelfStock[Self_Qty],T_SelfStock[RM_Code],$A52,T_SelfStock[WeekIndex],78)+SUMIFS(T_TTAFStock[TTAF_Qty],T_TTAFStock[RM_Code],$A52,T_TTAFStock[WeekIndex],78),BZ52+'Grid_Incoming'!CA52-'Grid_Requirement'!CA52))</f>
        <v/>
      </c>
      <c r="CB52">
        <f>IF(COUNTIFS(T_StockCount[RM_Code],$A52,T_StockCount[WeekIndex],79)&gt;0,SUMIFS(T_StockCount[CountedQty],T_StockCount[RM_Code],$A52,T_StockCount[WeekIndex],79),IF((COUNTIFS(T_SelfStock[RM_Code],$A52,T_SelfStock[WeekIndex],79)&gt;0)*(COUNTIFS(T_TTAFStock[RM_Code],$A52,T_TTAFStock[WeekIndex],79)&gt;0)&gt;0,SUMIFS(T_SelfStock[Self_Qty],T_SelfStock[RM_Code],$A52,T_SelfStock[WeekIndex],79)+SUMIFS(T_TTAFStock[TTAF_Qty],T_TTAFStock[RM_Code],$A52,T_TTAFStock[WeekIndex],79),CA52+'Grid_Incoming'!CB52-'Grid_Requirement'!CB52))</f>
        <v/>
      </c>
      <c r="CC52">
        <f>IF(COUNTIFS(T_StockCount[RM_Code],$A52,T_StockCount[WeekIndex],80)&gt;0,SUMIFS(T_StockCount[CountedQty],T_StockCount[RM_Code],$A52,T_StockCount[WeekIndex],80),IF((COUNTIFS(T_SelfStock[RM_Code],$A52,T_SelfStock[WeekIndex],80)&gt;0)*(COUNTIFS(T_TTAFStock[RM_Code],$A52,T_TTAFStock[WeekIndex],80)&gt;0)&gt;0,SUMIFS(T_SelfStock[Self_Qty],T_SelfStock[RM_Code],$A52,T_SelfStock[WeekIndex],80)+SUMIFS(T_TTAFStock[TTAF_Qty],T_TTAFStock[RM_Code],$A52,T_TTAFStock[WeekIndex],80),CB52+'Grid_Incoming'!CC52-'Grid_Requirement'!CC52))</f>
        <v/>
      </c>
      <c r="CD52">
        <f>IF(COUNTIFS(T_StockCount[RM_Code],$A52,T_StockCount[WeekIndex],81)&gt;0,SUMIFS(T_StockCount[CountedQty],T_StockCount[RM_Code],$A52,T_StockCount[WeekIndex],81),IF((COUNTIFS(T_SelfStock[RM_Code],$A52,T_SelfStock[WeekIndex],81)&gt;0)*(COUNTIFS(T_TTAFStock[RM_Code],$A52,T_TTAFStock[WeekIndex],81)&gt;0)&gt;0,SUMIFS(T_SelfStock[Self_Qty],T_SelfStock[RM_Code],$A52,T_SelfStock[WeekIndex],81)+SUMIFS(T_TTAFStock[TTAF_Qty],T_TTAFStock[RM_Code],$A52,T_TTAFStock[WeekIndex],81),CC52+'Grid_Incoming'!CD52-'Grid_Requirement'!CD52))</f>
        <v/>
      </c>
      <c r="CE52">
        <f>IF(COUNTIFS(T_StockCount[RM_Code],$A52,T_StockCount[WeekIndex],82)&gt;0,SUMIFS(T_StockCount[CountedQty],T_StockCount[RM_Code],$A52,T_StockCount[WeekIndex],82),IF((COUNTIFS(T_SelfStock[RM_Code],$A52,T_SelfStock[WeekIndex],82)&gt;0)*(COUNTIFS(T_TTAFStock[RM_Code],$A52,T_TTAFStock[WeekIndex],82)&gt;0)&gt;0,SUMIFS(T_SelfStock[Self_Qty],T_SelfStock[RM_Code],$A52,T_SelfStock[WeekIndex],82)+SUMIFS(T_TTAFStock[TTAF_Qty],T_TTAFStock[RM_Code],$A52,T_TTAFStock[WeekIndex],82),CD52+'Grid_Incoming'!CE52-'Grid_Requirement'!CE52))</f>
        <v/>
      </c>
      <c r="CF52">
        <f>IF(COUNTIFS(T_StockCount[RM_Code],$A52,T_StockCount[WeekIndex],83)&gt;0,SUMIFS(T_StockCount[CountedQty],T_StockCount[RM_Code],$A52,T_StockCount[WeekIndex],83),IF((COUNTIFS(T_SelfStock[RM_Code],$A52,T_SelfStock[WeekIndex],83)&gt;0)*(COUNTIFS(T_TTAFStock[RM_Code],$A52,T_TTAFStock[WeekIndex],83)&gt;0)&gt;0,SUMIFS(T_SelfStock[Self_Qty],T_SelfStock[RM_Code],$A52,T_SelfStock[WeekIndex],83)+SUMIFS(T_TTAFStock[TTAF_Qty],T_TTAFStock[RM_Code],$A52,T_TTAFStock[WeekIndex],83),CE52+'Grid_Incoming'!CF52-'Grid_Requirement'!CF52))</f>
        <v/>
      </c>
      <c r="CG52">
        <f>IF(COUNTIFS(T_StockCount[RM_Code],$A52,T_StockCount[WeekIndex],84)&gt;0,SUMIFS(T_StockCount[CountedQty],T_StockCount[RM_Code],$A52,T_StockCount[WeekIndex],84),IF((COUNTIFS(T_SelfStock[RM_Code],$A52,T_SelfStock[WeekIndex],84)&gt;0)*(COUNTIFS(T_TTAFStock[RM_Code],$A52,T_TTAFStock[WeekIndex],84)&gt;0)&gt;0,SUMIFS(T_SelfStock[Self_Qty],T_SelfStock[RM_Code],$A52,T_SelfStock[WeekIndex],84)+SUMIFS(T_TTAFStock[TTAF_Qty],T_TTAFStock[RM_Code],$A52,T_TTAFStock[WeekIndex],84),CF52+'Grid_Incoming'!CG52-'Grid_Requirement'!CG52))</f>
        <v/>
      </c>
      <c r="CH52">
        <f>IF(COUNTIFS(T_StockCount[RM_Code],$A52,T_StockCount[WeekIndex],85)&gt;0,SUMIFS(T_StockCount[CountedQty],T_StockCount[RM_Code],$A52,T_StockCount[WeekIndex],85),IF((COUNTIFS(T_SelfStock[RM_Code],$A52,T_SelfStock[WeekIndex],85)&gt;0)*(COUNTIFS(T_TTAFStock[RM_Code],$A52,T_TTAFStock[WeekIndex],85)&gt;0)&gt;0,SUMIFS(T_SelfStock[Self_Qty],T_SelfStock[RM_Code],$A52,T_SelfStock[WeekIndex],85)+SUMIFS(T_TTAFStock[TTAF_Qty],T_TTAFStock[RM_Code],$A52,T_TTAFStock[WeekIndex],85),CG52+'Grid_Incoming'!CH52-'Grid_Requirement'!CH52))</f>
        <v/>
      </c>
      <c r="CI52">
        <f>IF(COUNTIFS(T_StockCount[RM_Code],$A52,T_StockCount[WeekIndex],86)&gt;0,SUMIFS(T_StockCount[CountedQty],T_StockCount[RM_Code],$A52,T_StockCount[WeekIndex],86),IF((COUNTIFS(T_SelfStock[RM_Code],$A52,T_SelfStock[WeekIndex],86)&gt;0)*(COUNTIFS(T_TTAFStock[RM_Code],$A52,T_TTAFStock[WeekIndex],86)&gt;0)&gt;0,SUMIFS(T_SelfStock[Self_Qty],T_SelfStock[RM_Code],$A52,T_SelfStock[WeekIndex],86)+SUMIFS(T_TTAFStock[TTAF_Qty],T_TTAFStock[RM_Code],$A52,T_TTAFStock[WeekIndex],86),CH52+'Grid_Incoming'!CI52-'Grid_Requirement'!CI52))</f>
        <v/>
      </c>
      <c r="CJ52">
        <f>IF(COUNTIFS(T_StockCount[RM_Code],$A52,T_StockCount[WeekIndex],87)&gt;0,SUMIFS(T_StockCount[CountedQty],T_StockCount[RM_Code],$A52,T_StockCount[WeekIndex],87),IF((COUNTIFS(T_SelfStock[RM_Code],$A52,T_SelfStock[WeekIndex],87)&gt;0)*(COUNTIFS(T_TTAFStock[RM_Code],$A52,T_TTAFStock[WeekIndex],87)&gt;0)&gt;0,SUMIFS(T_SelfStock[Self_Qty],T_SelfStock[RM_Code],$A52,T_SelfStock[WeekIndex],87)+SUMIFS(T_TTAFStock[TTAF_Qty],T_TTAFStock[RM_Code],$A52,T_TTAFStock[WeekIndex],87),CI52+'Grid_Incoming'!CJ52-'Grid_Requirement'!CJ52))</f>
        <v/>
      </c>
      <c r="CK52">
        <f>IF(COUNTIFS(T_StockCount[RM_Code],$A52,T_StockCount[WeekIndex],88)&gt;0,SUMIFS(T_StockCount[CountedQty],T_StockCount[RM_Code],$A52,T_StockCount[WeekIndex],88),IF((COUNTIFS(T_SelfStock[RM_Code],$A52,T_SelfStock[WeekIndex],88)&gt;0)*(COUNTIFS(T_TTAFStock[RM_Code],$A52,T_TTAFStock[WeekIndex],88)&gt;0)&gt;0,SUMIFS(T_SelfStock[Self_Qty],T_SelfStock[RM_Code],$A52,T_SelfStock[WeekIndex],88)+SUMIFS(T_TTAFStock[TTAF_Qty],T_TTAFStock[RM_Code],$A52,T_TTAFStock[WeekIndex],88),CJ52+'Grid_Incoming'!CK52-'Grid_Requirement'!CK52))</f>
        <v/>
      </c>
      <c r="CL52">
        <f>IF(COUNTIFS(T_StockCount[RM_Code],$A52,T_StockCount[WeekIndex],89)&gt;0,SUMIFS(T_StockCount[CountedQty],T_StockCount[RM_Code],$A52,T_StockCount[WeekIndex],89),IF((COUNTIFS(T_SelfStock[RM_Code],$A52,T_SelfStock[WeekIndex],89)&gt;0)*(COUNTIFS(T_TTAFStock[RM_Code],$A52,T_TTAFStock[WeekIndex],89)&gt;0)&gt;0,SUMIFS(T_SelfStock[Self_Qty],T_SelfStock[RM_Code],$A52,T_SelfStock[WeekIndex],89)+SUMIFS(T_TTAFStock[TTAF_Qty],T_TTAFStock[RM_Code],$A52,T_TTAFStock[WeekIndex],89),CK52+'Grid_Incoming'!CL52-'Grid_Requirement'!CL52))</f>
        <v/>
      </c>
      <c r="CM52">
        <f>IF(COUNTIFS(T_StockCount[RM_Code],$A52,T_StockCount[WeekIndex],90)&gt;0,SUMIFS(T_StockCount[CountedQty],T_StockCount[RM_Code],$A52,T_StockCount[WeekIndex],90),IF((COUNTIFS(T_SelfStock[RM_Code],$A52,T_SelfStock[WeekIndex],90)&gt;0)*(COUNTIFS(T_TTAFStock[RM_Code],$A52,T_TTAFStock[WeekIndex],90)&gt;0)&gt;0,SUMIFS(T_SelfStock[Self_Qty],T_SelfStock[RM_Code],$A52,T_SelfStock[WeekIndex],90)+SUMIFS(T_TTAFStock[TTAF_Qty],T_TTAFStock[RM_Code],$A52,T_TTAFStock[WeekIndex],90),CL52+'Grid_Incoming'!CM52-'Grid_Requirement'!CM52))</f>
        <v/>
      </c>
      <c r="CN52">
        <f>IF(COUNTIFS(T_StockCount[RM_Code],$A52,T_StockCount[WeekIndex],91)&gt;0,SUMIFS(T_StockCount[CountedQty],T_StockCount[RM_Code],$A52,T_StockCount[WeekIndex],91),IF((COUNTIFS(T_SelfStock[RM_Code],$A52,T_SelfStock[WeekIndex],91)&gt;0)*(COUNTIFS(T_TTAFStock[RM_Code],$A52,T_TTAFStock[WeekIndex],91)&gt;0)&gt;0,SUMIFS(T_SelfStock[Self_Qty],T_SelfStock[RM_Code],$A52,T_SelfStock[WeekIndex],91)+SUMIFS(T_TTAFStock[TTAF_Qty],T_TTAFStock[RM_Code],$A52,T_TTAFStock[WeekIndex],91),CM52+'Grid_Incoming'!CN52-'Grid_Requirement'!CN52))</f>
        <v/>
      </c>
      <c r="CO52">
        <f>IF(COUNTIFS(T_StockCount[RM_Code],$A52,T_StockCount[WeekIndex],92)&gt;0,SUMIFS(T_StockCount[CountedQty],T_StockCount[RM_Code],$A52,T_StockCount[WeekIndex],92),IF((COUNTIFS(T_SelfStock[RM_Code],$A52,T_SelfStock[WeekIndex],92)&gt;0)*(COUNTIFS(T_TTAFStock[RM_Code],$A52,T_TTAFStock[WeekIndex],92)&gt;0)&gt;0,SUMIFS(T_SelfStock[Self_Qty],T_SelfStock[RM_Code],$A52,T_SelfStock[WeekIndex],92)+SUMIFS(T_TTAFStock[TTAF_Qty],T_TTAFStock[RM_Code],$A52,T_TTAFStock[WeekIndex],92),CN52+'Grid_Incoming'!CO52-'Grid_Requirement'!CO52))</f>
        <v/>
      </c>
      <c r="CP52">
        <f>IF(COUNTIFS(T_StockCount[RM_Code],$A52,T_StockCount[WeekIndex],93)&gt;0,SUMIFS(T_StockCount[CountedQty],T_StockCount[RM_Code],$A52,T_StockCount[WeekIndex],93),IF((COUNTIFS(T_SelfStock[RM_Code],$A52,T_SelfStock[WeekIndex],93)&gt;0)*(COUNTIFS(T_TTAFStock[RM_Code],$A52,T_TTAFStock[WeekIndex],93)&gt;0)&gt;0,SUMIFS(T_SelfStock[Self_Qty],T_SelfStock[RM_Code],$A52,T_SelfStock[WeekIndex],93)+SUMIFS(T_TTAFStock[TTAF_Qty],T_TTAFStock[RM_Code],$A52,T_TTAFStock[WeekIndex],93),CO52+'Grid_Incoming'!CP52-'Grid_Requirement'!CP52))</f>
        <v/>
      </c>
      <c r="CQ52">
        <f>IF(COUNTIFS(T_StockCount[RM_Code],$A52,T_StockCount[WeekIndex],94)&gt;0,SUMIFS(T_StockCount[CountedQty],T_StockCount[RM_Code],$A52,T_StockCount[WeekIndex],94),IF((COUNTIFS(T_SelfStock[RM_Code],$A52,T_SelfStock[WeekIndex],94)&gt;0)*(COUNTIFS(T_TTAFStock[RM_Code],$A52,T_TTAFStock[WeekIndex],94)&gt;0)&gt;0,SUMIFS(T_SelfStock[Self_Qty],T_SelfStock[RM_Code],$A52,T_SelfStock[WeekIndex],94)+SUMIFS(T_TTAFStock[TTAF_Qty],T_TTAFStock[RM_Code],$A52,T_TTAFStock[WeekIndex],94),CP52+'Grid_Incoming'!CQ52-'Grid_Requirement'!CQ52))</f>
        <v/>
      </c>
      <c r="CR52">
        <f>IF(COUNTIFS(T_StockCount[RM_Code],$A52,T_StockCount[WeekIndex],95)&gt;0,SUMIFS(T_StockCount[CountedQty],T_StockCount[RM_Code],$A52,T_StockCount[WeekIndex],95),IF((COUNTIFS(T_SelfStock[RM_Code],$A52,T_SelfStock[WeekIndex],95)&gt;0)*(COUNTIFS(T_TTAFStock[RM_Code],$A52,T_TTAFStock[WeekIndex],95)&gt;0)&gt;0,SUMIFS(T_SelfStock[Self_Qty],T_SelfStock[RM_Code],$A52,T_SelfStock[WeekIndex],95)+SUMIFS(T_TTAFStock[TTAF_Qty],T_TTAFStock[RM_Code],$A52,T_TTAFStock[WeekIndex],95),CQ52+'Grid_Incoming'!CR52-'Grid_Requirement'!CR52))</f>
        <v/>
      </c>
      <c r="CS52">
        <f>IF(COUNTIFS(T_StockCount[RM_Code],$A52,T_StockCount[WeekIndex],96)&gt;0,SUMIFS(T_StockCount[CountedQty],T_StockCount[RM_Code],$A52,T_StockCount[WeekIndex],96),IF((COUNTIFS(T_SelfStock[RM_Code],$A52,T_SelfStock[WeekIndex],96)&gt;0)*(COUNTIFS(T_TTAFStock[RM_Code],$A52,T_TTAFStock[WeekIndex],96)&gt;0)&gt;0,SUMIFS(T_SelfStock[Self_Qty],T_SelfStock[RM_Code],$A52,T_SelfStock[WeekIndex],96)+SUMIFS(T_TTAFStock[TTAF_Qty],T_TTAFStock[RM_Code],$A52,T_TTAFStock[WeekIndex],96),CR52+'Grid_Incoming'!CS52-'Grid_Requirement'!CS52))</f>
        <v/>
      </c>
      <c r="CT52">
        <f>IF(COUNTIFS(T_StockCount[RM_Code],$A52,T_StockCount[WeekIndex],97)&gt;0,SUMIFS(T_StockCount[CountedQty],T_StockCount[RM_Code],$A52,T_StockCount[WeekIndex],97),IF((COUNTIFS(T_SelfStock[RM_Code],$A52,T_SelfStock[WeekIndex],97)&gt;0)*(COUNTIFS(T_TTAFStock[RM_Code],$A52,T_TTAFStock[WeekIndex],97)&gt;0)&gt;0,SUMIFS(T_SelfStock[Self_Qty],T_SelfStock[RM_Code],$A52,T_SelfStock[WeekIndex],97)+SUMIFS(T_TTAFStock[TTAF_Qty],T_TTAFStock[RM_Code],$A52,T_TTAFStock[WeekIndex],97),CS52+'Grid_Incoming'!CT52-'Grid_Requirement'!CT52))</f>
        <v/>
      </c>
      <c r="CU52">
        <f>IF(COUNTIFS(T_StockCount[RM_Code],$A52,T_StockCount[WeekIndex],98)&gt;0,SUMIFS(T_StockCount[CountedQty],T_StockCount[RM_Code],$A52,T_StockCount[WeekIndex],98),IF((COUNTIFS(T_SelfStock[RM_Code],$A52,T_SelfStock[WeekIndex],98)&gt;0)*(COUNTIFS(T_TTAFStock[RM_Code],$A52,T_TTAFStock[WeekIndex],98)&gt;0)&gt;0,SUMIFS(T_SelfStock[Self_Qty],T_SelfStock[RM_Code],$A52,T_SelfStock[WeekIndex],98)+SUMIFS(T_TTAFStock[TTAF_Qty],T_TTAFStock[RM_Code],$A52,T_TTAFStock[WeekIndex],98),CT52+'Grid_Incoming'!CU52-'Grid_Requirement'!CU52))</f>
        <v/>
      </c>
      <c r="CV52">
        <f>IF(COUNTIFS(T_StockCount[RM_Code],$A52,T_StockCount[WeekIndex],99)&gt;0,SUMIFS(T_StockCount[CountedQty],T_StockCount[RM_Code],$A52,T_StockCount[WeekIndex],99),IF((COUNTIFS(T_SelfStock[RM_Code],$A52,T_SelfStock[WeekIndex],99)&gt;0)*(COUNTIFS(T_TTAFStock[RM_Code],$A52,T_TTAFStock[WeekIndex],99)&gt;0)&gt;0,SUMIFS(T_SelfStock[Self_Qty],T_SelfStock[RM_Code],$A52,T_SelfStock[WeekIndex],99)+SUMIFS(T_TTAFStock[TTAF_Qty],T_TTAFStock[RM_Code],$A52,T_TTAFStock[WeekIndex],99),CU52+'Grid_Incoming'!CV52-'Grid_Requirement'!CV52))</f>
        <v/>
      </c>
      <c r="CW52">
        <f>IF(COUNTIFS(T_StockCount[RM_Code],$A52,T_StockCount[WeekIndex],100)&gt;0,SUMIFS(T_StockCount[CountedQty],T_StockCount[RM_Code],$A52,T_StockCount[WeekIndex],100),IF((COUNTIFS(T_SelfStock[RM_Code],$A52,T_SelfStock[WeekIndex],100)&gt;0)*(COUNTIFS(T_TTAFStock[RM_Code],$A52,T_TTAFStock[WeekIndex],100)&gt;0)&gt;0,SUMIFS(T_SelfStock[Self_Qty],T_SelfStock[RM_Code],$A52,T_SelfStock[WeekIndex],100)+SUMIFS(T_TTAFStock[TTAF_Qty],T_TTAFStock[RM_Code],$A52,T_TTAFStock[WeekIndex],100),CV52+'Grid_Incoming'!CW52-'Grid_Requirement'!CW52))</f>
        <v/>
      </c>
      <c r="CX52">
        <f>IF(COUNTIFS(T_StockCount[RM_Code],$A52,T_StockCount[WeekIndex],101)&gt;0,SUMIFS(T_StockCount[CountedQty],T_StockCount[RM_Code],$A52,T_StockCount[WeekIndex],101),IF((COUNTIFS(T_SelfStock[RM_Code],$A52,T_SelfStock[WeekIndex],101)&gt;0)*(COUNTIFS(T_TTAFStock[RM_Code],$A52,T_TTAFStock[WeekIndex],101)&gt;0)&gt;0,SUMIFS(T_SelfStock[Self_Qty],T_SelfStock[RM_Code],$A52,T_SelfStock[WeekIndex],101)+SUMIFS(T_TTAFStock[TTAF_Qty],T_TTAFStock[RM_Code],$A52,T_TTAFStock[WeekIndex],101),CW52+'Grid_Incoming'!CX52-'Grid_Requirement'!CX52))</f>
        <v/>
      </c>
      <c r="CY52">
        <f>IF(COUNTIFS(T_StockCount[RM_Code],$A52,T_StockCount[WeekIndex],102)&gt;0,SUMIFS(T_StockCount[CountedQty],T_StockCount[RM_Code],$A52,T_StockCount[WeekIndex],102),IF((COUNTIFS(T_SelfStock[RM_Code],$A52,T_SelfStock[WeekIndex],102)&gt;0)*(COUNTIFS(T_TTAFStock[RM_Code],$A52,T_TTAFStock[WeekIndex],102)&gt;0)&gt;0,SUMIFS(T_SelfStock[Self_Qty],T_SelfStock[RM_Code],$A52,T_SelfStock[WeekIndex],102)+SUMIFS(T_TTAFStock[TTAF_Qty],T_TTAFStock[RM_Code],$A52,T_TTAFStock[WeekIndex],102),CX52+'Grid_Incoming'!CY52-'Grid_Requirement'!CY52))</f>
        <v/>
      </c>
      <c r="CZ52">
        <f>IF(COUNTIFS(T_StockCount[RM_Code],$A52,T_StockCount[WeekIndex],103)&gt;0,SUMIFS(T_StockCount[CountedQty],T_StockCount[RM_Code],$A52,T_StockCount[WeekIndex],103),IF((COUNTIFS(T_SelfStock[RM_Code],$A52,T_SelfStock[WeekIndex],103)&gt;0)*(COUNTIFS(T_TTAFStock[RM_Code],$A52,T_TTAFStock[WeekIndex],103)&gt;0)&gt;0,SUMIFS(T_SelfStock[Self_Qty],T_SelfStock[RM_Code],$A52,T_SelfStock[WeekIndex],103)+SUMIFS(T_TTAFStock[TTAF_Qty],T_TTAFStock[RM_Code],$A52,T_TTAFStock[WeekIndex],103),CY52+'Grid_Incoming'!CZ52-'Grid_Requirement'!CZ52))</f>
        <v/>
      </c>
      <c r="DA52">
        <f>IF(COUNTIFS(T_StockCount[RM_Code],$A52,T_StockCount[WeekIndex],104)&gt;0,SUMIFS(T_StockCount[CountedQty],T_StockCount[RM_Code],$A52,T_StockCount[WeekIndex],104),IF((COUNTIFS(T_SelfStock[RM_Code],$A52,T_SelfStock[WeekIndex],104)&gt;0)*(COUNTIFS(T_TTAFStock[RM_Code],$A52,T_TTAFStock[WeekIndex],104)&gt;0)&gt;0,SUMIFS(T_SelfStock[Self_Qty],T_SelfStock[RM_Code],$A52,T_SelfStock[WeekIndex],104)+SUMIFS(T_TTAFStock[TTAF_Qty],T_TTAFStock[RM_Code],$A52,T_TTAFStock[WeekIndex],104),CZ52+'Grid_Incoming'!DA52-'Grid_Requirement'!DA52))</f>
        <v/>
      </c>
    </row>
    <row r="53">
      <c r="A53" t="inlineStr">
        <is>
          <t>CHEM-1580</t>
        </is>
      </c>
      <c r="B53">
        <f>IF(COUNTIFS(T_StockCount[RM_Code],$A53,T_StockCount[WeekIndex],1)&gt;0,SUMIFS(T_StockCount[CountedQty],T_StockCount[RM_Code],$A53,T_StockCount[WeekIndex],1),IF((COUNTIFS(T_SelfStock[RM_Code],$A53,T_SelfStock[WeekIndex],1)&gt;0)*(COUNTIFS(T_TTAFStock[RM_Code],$A53,T_TTAFStock[WeekIndex],1)&gt;0)&gt;0,SUMIFS(T_SelfStock[Self_Qty],T_SelfStock[RM_Code],$A53,T_SelfStock[WeekIndex],1)+SUMIFS(T_TTAFStock[TTAF_Qty],T_TTAFStock[RM_Code],$A53,T_TTAFStock[WeekIndex],1),IFERROR(INDEX(T_OpeningStock[Opening_Qty],MATCH($A53,T_OpeningStock[RM_Code],0)),0)+'Grid_Incoming'!B53-'Grid_Requirement'!B53))</f>
        <v/>
      </c>
      <c r="C53">
        <f>IF(COUNTIFS(T_StockCount[RM_Code],$A53,T_StockCount[WeekIndex],2)&gt;0,SUMIFS(T_StockCount[CountedQty],T_StockCount[RM_Code],$A53,T_StockCount[WeekIndex],2),IF((COUNTIFS(T_SelfStock[RM_Code],$A53,T_SelfStock[WeekIndex],2)&gt;0)*(COUNTIFS(T_TTAFStock[RM_Code],$A53,T_TTAFStock[WeekIndex],2)&gt;0)&gt;0,SUMIFS(T_SelfStock[Self_Qty],T_SelfStock[RM_Code],$A53,T_SelfStock[WeekIndex],2)+SUMIFS(T_TTAFStock[TTAF_Qty],T_TTAFStock[RM_Code],$A53,T_TTAFStock[WeekIndex],2),B53+'Grid_Incoming'!C53-'Grid_Requirement'!C53))</f>
        <v/>
      </c>
      <c r="D53">
        <f>IF(COUNTIFS(T_StockCount[RM_Code],$A53,T_StockCount[WeekIndex],3)&gt;0,SUMIFS(T_StockCount[CountedQty],T_StockCount[RM_Code],$A53,T_StockCount[WeekIndex],3),IF((COUNTIFS(T_SelfStock[RM_Code],$A53,T_SelfStock[WeekIndex],3)&gt;0)*(COUNTIFS(T_TTAFStock[RM_Code],$A53,T_TTAFStock[WeekIndex],3)&gt;0)&gt;0,SUMIFS(T_SelfStock[Self_Qty],T_SelfStock[RM_Code],$A53,T_SelfStock[WeekIndex],3)+SUMIFS(T_TTAFStock[TTAF_Qty],T_TTAFStock[RM_Code],$A53,T_TTAFStock[WeekIndex],3),C53+'Grid_Incoming'!D53-'Grid_Requirement'!D53))</f>
        <v/>
      </c>
      <c r="E53">
        <f>IF(COUNTIFS(T_StockCount[RM_Code],$A53,T_StockCount[WeekIndex],4)&gt;0,SUMIFS(T_StockCount[CountedQty],T_StockCount[RM_Code],$A53,T_StockCount[WeekIndex],4),IF((COUNTIFS(T_SelfStock[RM_Code],$A53,T_SelfStock[WeekIndex],4)&gt;0)*(COUNTIFS(T_TTAFStock[RM_Code],$A53,T_TTAFStock[WeekIndex],4)&gt;0)&gt;0,SUMIFS(T_SelfStock[Self_Qty],T_SelfStock[RM_Code],$A53,T_SelfStock[WeekIndex],4)+SUMIFS(T_TTAFStock[TTAF_Qty],T_TTAFStock[RM_Code],$A53,T_TTAFStock[WeekIndex],4),D53+'Grid_Incoming'!E53-'Grid_Requirement'!E53))</f>
        <v/>
      </c>
      <c r="F53">
        <f>IF(COUNTIFS(T_StockCount[RM_Code],$A53,T_StockCount[WeekIndex],5)&gt;0,SUMIFS(T_StockCount[CountedQty],T_StockCount[RM_Code],$A53,T_StockCount[WeekIndex],5),IF((COUNTIFS(T_SelfStock[RM_Code],$A53,T_SelfStock[WeekIndex],5)&gt;0)*(COUNTIFS(T_TTAFStock[RM_Code],$A53,T_TTAFStock[WeekIndex],5)&gt;0)&gt;0,SUMIFS(T_SelfStock[Self_Qty],T_SelfStock[RM_Code],$A53,T_SelfStock[WeekIndex],5)+SUMIFS(T_TTAFStock[TTAF_Qty],T_TTAFStock[RM_Code],$A53,T_TTAFStock[WeekIndex],5),E53+'Grid_Incoming'!F53-'Grid_Requirement'!F53))</f>
        <v/>
      </c>
      <c r="G53">
        <f>IF(COUNTIFS(T_StockCount[RM_Code],$A53,T_StockCount[WeekIndex],6)&gt;0,SUMIFS(T_StockCount[CountedQty],T_StockCount[RM_Code],$A53,T_StockCount[WeekIndex],6),IF((COUNTIFS(T_SelfStock[RM_Code],$A53,T_SelfStock[WeekIndex],6)&gt;0)*(COUNTIFS(T_TTAFStock[RM_Code],$A53,T_TTAFStock[WeekIndex],6)&gt;0)&gt;0,SUMIFS(T_SelfStock[Self_Qty],T_SelfStock[RM_Code],$A53,T_SelfStock[WeekIndex],6)+SUMIFS(T_TTAFStock[TTAF_Qty],T_TTAFStock[RM_Code],$A53,T_TTAFStock[WeekIndex],6),F53+'Grid_Incoming'!G53-'Grid_Requirement'!G53))</f>
        <v/>
      </c>
      <c r="H53">
        <f>IF(COUNTIFS(T_StockCount[RM_Code],$A53,T_StockCount[WeekIndex],7)&gt;0,SUMIFS(T_StockCount[CountedQty],T_StockCount[RM_Code],$A53,T_StockCount[WeekIndex],7),IF((COUNTIFS(T_SelfStock[RM_Code],$A53,T_SelfStock[WeekIndex],7)&gt;0)*(COUNTIFS(T_TTAFStock[RM_Code],$A53,T_TTAFStock[WeekIndex],7)&gt;0)&gt;0,SUMIFS(T_SelfStock[Self_Qty],T_SelfStock[RM_Code],$A53,T_SelfStock[WeekIndex],7)+SUMIFS(T_TTAFStock[TTAF_Qty],T_TTAFStock[RM_Code],$A53,T_TTAFStock[WeekIndex],7),G53+'Grid_Incoming'!H53-'Grid_Requirement'!H53))</f>
        <v/>
      </c>
      <c r="I53">
        <f>IF(COUNTIFS(T_StockCount[RM_Code],$A53,T_StockCount[WeekIndex],8)&gt;0,SUMIFS(T_StockCount[CountedQty],T_StockCount[RM_Code],$A53,T_StockCount[WeekIndex],8),IF((COUNTIFS(T_SelfStock[RM_Code],$A53,T_SelfStock[WeekIndex],8)&gt;0)*(COUNTIFS(T_TTAFStock[RM_Code],$A53,T_TTAFStock[WeekIndex],8)&gt;0)&gt;0,SUMIFS(T_SelfStock[Self_Qty],T_SelfStock[RM_Code],$A53,T_SelfStock[WeekIndex],8)+SUMIFS(T_TTAFStock[TTAF_Qty],T_TTAFStock[RM_Code],$A53,T_TTAFStock[WeekIndex],8),H53+'Grid_Incoming'!I53-'Grid_Requirement'!I53))</f>
        <v/>
      </c>
      <c r="J53">
        <f>IF(COUNTIFS(T_StockCount[RM_Code],$A53,T_StockCount[WeekIndex],9)&gt;0,SUMIFS(T_StockCount[CountedQty],T_StockCount[RM_Code],$A53,T_StockCount[WeekIndex],9),IF((COUNTIFS(T_SelfStock[RM_Code],$A53,T_SelfStock[WeekIndex],9)&gt;0)*(COUNTIFS(T_TTAFStock[RM_Code],$A53,T_TTAFStock[WeekIndex],9)&gt;0)&gt;0,SUMIFS(T_SelfStock[Self_Qty],T_SelfStock[RM_Code],$A53,T_SelfStock[WeekIndex],9)+SUMIFS(T_TTAFStock[TTAF_Qty],T_TTAFStock[RM_Code],$A53,T_TTAFStock[WeekIndex],9),I53+'Grid_Incoming'!J53-'Grid_Requirement'!J53))</f>
        <v/>
      </c>
      <c r="K53">
        <f>IF(COUNTIFS(T_StockCount[RM_Code],$A53,T_StockCount[WeekIndex],10)&gt;0,SUMIFS(T_StockCount[CountedQty],T_StockCount[RM_Code],$A53,T_StockCount[WeekIndex],10),IF((COUNTIFS(T_SelfStock[RM_Code],$A53,T_SelfStock[WeekIndex],10)&gt;0)*(COUNTIFS(T_TTAFStock[RM_Code],$A53,T_TTAFStock[WeekIndex],10)&gt;0)&gt;0,SUMIFS(T_SelfStock[Self_Qty],T_SelfStock[RM_Code],$A53,T_SelfStock[WeekIndex],10)+SUMIFS(T_TTAFStock[TTAF_Qty],T_TTAFStock[RM_Code],$A53,T_TTAFStock[WeekIndex],10),J53+'Grid_Incoming'!K53-'Grid_Requirement'!K53))</f>
        <v/>
      </c>
      <c r="L53">
        <f>IF(COUNTIFS(T_StockCount[RM_Code],$A53,T_StockCount[WeekIndex],11)&gt;0,SUMIFS(T_StockCount[CountedQty],T_StockCount[RM_Code],$A53,T_StockCount[WeekIndex],11),IF((COUNTIFS(T_SelfStock[RM_Code],$A53,T_SelfStock[WeekIndex],11)&gt;0)*(COUNTIFS(T_TTAFStock[RM_Code],$A53,T_TTAFStock[WeekIndex],11)&gt;0)&gt;0,SUMIFS(T_SelfStock[Self_Qty],T_SelfStock[RM_Code],$A53,T_SelfStock[WeekIndex],11)+SUMIFS(T_TTAFStock[TTAF_Qty],T_TTAFStock[RM_Code],$A53,T_TTAFStock[WeekIndex],11),K53+'Grid_Incoming'!L53-'Grid_Requirement'!L53))</f>
        <v/>
      </c>
      <c r="M53">
        <f>IF(COUNTIFS(T_StockCount[RM_Code],$A53,T_StockCount[WeekIndex],12)&gt;0,SUMIFS(T_StockCount[CountedQty],T_StockCount[RM_Code],$A53,T_StockCount[WeekIndex],12),IF((COUNTIFS(T_SelfStock[RM_Code],$A53,T_SelfStock[WeekIndex],12)&gt;0)*(COUNTIFS(T_TTAFStock[RM_Code],$A53,T_TTAFStock[WeekIndex],12)&gt;0)&gt;0,SUMIFS(T_SelfStock[Self_Qty],T_SelfStock[RM_Code],$A53,T_SelfStock[WeekIndex],12)+SUMIFS(T_TTAFStock[TTAF_Qty],T_TTAFStock[RM_Code],$A53,T_TTAFStock[WeekIndex],12),L53+'Grid_Incoming'!M53-'Grid_Requirement'!M53))</f>
        <v/>
      </c>
      <c r="N53">
        <f>IF(COUNTIFS(T_StockCount[RM_Code],$A53,T_StockCount[WeekIndex],13)&gt;0,SUMIFS(T_StockCount[CountedQty],T_StockCount[RM_Code],$A53,T_StockCount[WeekIndex],13),IF((COUNTIFS(T_SelfStock[RM_Code],$A53,T_SelfStock[WeekIndex],13)&gt;0)*(COUNTIFS(T_TTAFStock[RM_Code],$A53,T_TTAFStock[WeekIndex],13)&gt;0)&gt;0,SUMIFS(T_SelfStock[Self_Qty],T_SelfStock[RM_Code],$A53,T_SelfStock[WeekIndex],13)+SUMIFS(T_TTAFStock[TTAF_Qty],T_TTAFStock[RM_Code],$A53,T_TTAFStock[WeekIndex],13),M53+'Grid_Incoming'!N53-'Grid_Requirement'!N53))</f>
        <v/>
      </c>
      <c r="O53">
        <f>IF(COUNTIFS(T_StockCount[RM_Code],$A53,T_StockCount[WeekIndex],14)&gt;0,SUMIFS(T_StockCount[CountedQty],T_StockCount[RM_Code],$A53,T_StockCount[WeekIndex],14),IF((COUNTIFS(T_SelfStock[RM_Code],$A53,T_SelfStock[WeekIndex],14)&gt;0)*(COUNTIFS(T_TTAFStock[RM_Code],$A53,T_TTAFStock[WeekIndex],14)&gt;0)&gt;0,SUMIFS(T_SelfStock[Self_Qty],T_SelfStock[RM_Code],$A53,T_SelfStock[WeekIndex],14)+SUMIFS(T_TTAFStock[TTAF_Qty],T_TTAFStock[RM_Code],$A53,T_TTAFStock[WeekIndex],14),N53+'Grid_Incoming'!O53-'Grid_Requirement'!O53))</f>
        <v/>
      </c>
      <c r="P53">
        <f>IF(COUNTIFS(T_StockCount[RM_Code],$A53,T_StockCount[WeekIndex],15)&gt;0,SUMIFS(T_StockCount[CountedQty],T_StockCount[RM_Code],$A53,T_StockCount[WeekIndex],15),IF((COUNTIFS(T_SelfStock[RM_Code],$A53,T_SelfStock[WeekIndex],15)&gt;0)*(COUNTIFS(T_TTAFStock[RM_Code],$A53,T_TTAFStock[WeekIndex],15)&gt;0)&gt;0,SUMIFS(T_SelfStock[Self_Qty],T_SelfStock[RM_Code],$A53,T_SelfStock[WeekIndex],15)+SUMIFS(T_TTAFStock[TTAF_Qty],T_TTAFStock[RM_Code],$A53,T_TTAFStock[WeekIndex],15),O53+'Grid_Incoming'!P53-'Grid_Requirement'!P53))</f>
        <v/>
      </c>
      <c r="Q53">
        <f>IF(COUNTIFS(T_StockCount[RM_Code],$A53,T_StockCount[WeekIndex],16)&gt;0,SUMIFS(T_StockCount[CountedQty],T_StockCount[RM_Code],$A53,T_StockCount[WeekIndex],16),IF((COUNTIFS(T_SelfStock[RM_Code],$A53,T_SelfStock[WeekIndex],16)&gt;0)*(COUNTIFS(T_TTAFStock[RM_Code],$A53,T_TTAFStock[WeekIndex],16)&gt;0)&gt;0,SUMIFS(T_SelfStock[Self_Qty],T_SelfStock[RM_Code],$A53,T_SelfStock[WeekIndex],16)+SUMIFS(T_TTAFStock[TTAF_Qty],T_TTAFStock[RM_Code],$A53,T_TTAFStock[WeekIndex],16),P53+'Grid_Incoming'!Q53-'Grid_Requirement'!Q53))</f>
        <v/>
      </c>
      <c r="R53">
        <f>IF(COUNTIFS(T_StockCount[RM_Code],$A53,T_StockCount[WeekIndex],17)&gt;0,SUMIFS(T_StockCount[CountedQty],T_StockCount[RM_Code],$A53,T_StockCount[WeekIndex],17),IF((COUNTIFS(T_SelfStock[RM_Code],$A53,T_SelfStock[WeekIndex],17)&gt;0)*(COUNTIFS(T_TTAFStock[RM_Code],$A53,T_TTAFStock[WeekIndex],17)&gt;0)&gt;0,SUMIFS(T_SelfStock[Self_Qty],T_SelfStock[RM_Code],$A53,T_SelfStock[WeekIndex],17)+SUMIFS(T_TTAFStock[TTAF_Qty],T_TTAFStock[RM_Code],$A53,T_TTAFStock[WeekIndex],17),Q53+'Grid_Incoming'!R53-'Grid_Requirement'!R53))</f>
        <v/>
      </c>
      <c r="S53">
        <f>IF(COUNTIFS(T_StockCount[RM_Code],$A53,T_StockCount[WeekIndex],18)&gt;0,SUMIFS(T_StockCount[CountedQty],T_StockCount[RM_Code],$A53,T_StockCount[WeekIndex],18),IF((COUNTIFS(T_SelfStock[RM_Code],$A53,T_SelfStock[WeekIndex],18)&gt;0)*(COUNTIFS(T_TTAFStock[RM_Code],$A53,T_TTAFStock[WeekIndex],18)&gt;0)&gt;0,SUMIFS(T_SelfStock[Self_Qty],T_SelfStock[RM_Code],$A53,T_SelfStock[WeekIndex],18)+SUMIFS(T_TTAFStock[TTAF_Qty],T_TTAFStock[RM_Code],$A53,T_TTAFStock[WeekIndex],18),R53+'Grid_Incoming'!S53-'Grid_Requirement'!S53))</f>
        <v/>
      </c>
      <c r="T53">
        <f>IF(COUNTIFS(T_StockCount[RM_Code],$A53,T_StockCount[WeekIndex],19)&gt;0,SUMIFS(T_StockCount[CountedQty],T_StockCount[RM_Code],$A53,T_StockCount[WeekIndex],19),IF((COUNTIFS(T_SelfStock[RM_Code],$A53,T_SelfStock[WeekIndex],19)&gt;0)*(COUNTIFS(T_TTAFStock[RM_Code],$A53,T_TTAFStock[WeekIndex],19)&gt;0)&gt;0,SUMIFS(T_SelfStock[Self_Qty],T_SelfStock[RM_Code],$A53,T_SelfStock[WeekIndex],19)+SUMIFS(T_TTAFStock[TTAF_Qty],T_TTAFStock[RM_Code],$A53,T_TTAFStock[WeekIndex],19),S53+'Grid_Incoming'!T53-'Grid_Requirement'!T53))</f>
        <v/>
      </c>
      <c r="U53">
        <f>IF(COUNTIFS(T_StockCount[RM_Code],$A53,T_StockCount[WeekIndex],20)&gt;0,SUMIFS(T_StockCount[CountedQty],T_StockCount[RM_Code],$A53,T_StockCount[WeekIndex],20),IF((COUNTIFS(T_SelfStock[RM_Code],$A53,T_SelfStock[WeekIndex],20)&gt;0)*(COUNTIFS(T_TTAFStock[RM_Code],$A53,T_TTAFStock[WeekIndex],20)&gt;0)&gt;0,SUMIFS(T_SelfStock[Self_Qty],T_SelfStock[RM_Code],$A53,T_SelfStock[WeekIndex],20)+SUMIFS(T_TTAFStock[TTAF_Qty],T_TTAFStock[RM_Code],$A53,T_TTAFStock[WeekIndex],20),T53+'Grid_Incoming'!U53-'Grid_Requirement'!U53))</f>
        <v/>
      </c>
      <c r="V53">
        <f>IF(COUNTIFS(T_StockCount[RM_Code],$A53,T_StockCount[WeekIndex],21)&gt;0,SUMIFS(T_StockCount[CountedQty],T_StockCount[RM_Code],$A53,T_StockCount[WeekIndex],21),IF((COUNTIFS(T_SelfStock[RM_Code],$A53,T_SelfStock[WeekIndex],21)&gt;0)*(COUNTIFS(T_TTAFStock[RM_Code],$A53,T_TTAFStock[WeekIndex],21)&gt;0)&gt;0,SUMIFS(T_SelfStock[Self_Qty],T_SelfStock[RM_Code],$A53,T_SelfStock[WeekIndex],21)+SUMIFS(T_TTAFStock[TTAF_Qty],T_TTAFStock[RM_Code],$A53,T_TTAFStock[WeekIndex],21),U53+'Grid_Incoming'!V53-'Grid_Requirement'!V53))</f>
        <v/>
      </c>
      <c r="W53">
        <f>IF(COUNTIFS(T_StockCount[RM_Code],$A53,T_StockCount[WeekIndex],22)&gt;0,SUMIFS(T_StockCount[CountedQty],T_StockCount[RM_Code],$A53,T_StockCount[WeekIndex],22),IF((COUNTIFS(T_SelfStock[RM_Code],$A53,T_SelfStock[WeekIndex],22)&gt;0)*(COUNTIFS(T_TTAFStock[RM_Code],$A53,T_TTAFStock[WeekIndex],22)&gt;0)&gt;0,SUMIFS(T_SelfStock[Self_Qty],T_SelfStock[RM_Code],$A53,T_SelfStock[WeekIndex],22)+SUMIFS(T_TTAFStock[TTAF_Qty],T_TTAFStock[RM_Code],$A53,T_TTAFStock[WeekIndex],22),V53+'Grid_Incoming'!W53-'Grid_Requirement'!W53))</f>
        <v/>
      </c>
      <c r="X53">
        <f>IF(COUNTIFS(T_StockCount[RM_Code],$A53,T_StockCount[WeekIndex],23)&gt;0,SUMIFS(T_StockCount[CountedQty],T_StockCount[RM_Code],$A53,T_StockCount[WeekIndex],23),IF((COUNTIFS(T_SelfStock[RM_Code],$A53,T_SelfStock[WeekIndex],23)&gt;0)*(COUNTIFS(T_TTAFStock[RM_Code],$A53,T_TTAFStock[WeekIndex],23)&gt;0)&gt;0,SUMIFS(T_SelfStock[Self_Qty],T_SelfStock[RM_Code],$A53,T_SelfStock[WeekIndex],23)+SUMIFS(T_TTAFStock[TTAF_Qty],T_TTAFStock[RM_Code],$A53,T_TTAFStock[WeekIndex],23),W53+'Grid_Incoming'!X53-'Grid_Requirement'!X53))</f>
        <v/>
      </c>
      <c r="Y53">
        <f>IF(COUNTIFS(T_StockCount[RM_Code],$A53,T_StockCount[WeekIndex],24)&gt;0,SUMIFS(T_StockCount[CountedQty],T_StockCount[RM_Code],$A53,T_StockCount[WeekIndex],24),IF((COUNTIFS(T_SelfStock[RM_Code],$A53,T_SelfStock[WeekIndex],24)&gt;0)*(COUNTIFS(T_TTAFStock[RM_Code],$A53,T_TTAFStock[WeekIndex],24)&gt;0)&gt;0,SUMIFS(T_SelfStock[Self_Qty],T_SelfStock[RM_Code],$A53,T_SelfStock[WeekIndex],24)+SUMIFS(T_TTAFStock[TTAF_Qty],T_TTAFStock[RM_Code],$A53,T_TTAFStock[WeekIndex],24),X53+'Grid_Incoming'!Y53-'Grid_Requirement'!Y53))</f>
        <v/>
      </c>
      <c r="Z53">
        <f>IF(COUNTIFS(T_StockCount[RM_Code],$A53,T_StockCount[WeekIndex],25)&gt;0,SUMIFS(T_StockCount[CountedQty],T_StockCount[RM_Code],$A53,T_StockCount[WeekIndex],25),IF((COUNTIFS(T_SelfStock[RM_Code],$A53,T_SelfStock[WeekIndex],25)&gt;0)*(COUNTIFS(T_TTAFStock[RM_Code],$A53,T_TTAFStock[WeekIndex],25)&gt;0)&gt;0,SUMIFS(T_SelfStock[Self_Qty],T_SelfStock[RM_Code],$A53,T_SelfStock[WeekIndex],25)+SUMIFS(T_TTAFStock[TTAF_Qty],T_TTAFStock[RM_Code],$A53,T_TTAFStock[WeekIndex],25),Y53+'Grid_Incoming'!Z53-'Grid_Requirement'!Z53))</f>
        <v/>
      </c>
      <c r="AA53">
        <f>IF(COUNTIFS(T_StockCount[RM_Code],$A53,T_StockCount[WeekIndex],26)&gt;0,SUMIFS(T_StockCount[CountedQty],T_StockCount[RM_Code],$A53,T_StockCount[WeekIndex],26),IF((COUNTIFS(T_SelfStock[RM_Code],$A53,T_SelfStock[WeekIndex],26)&gt;0)*(COUNTIFS(T_TTAFStock[RM_Code],$A53,T_TTAFStock[WeekIndex],26)&gt;0)&gt;0,SUMIFS(T_SelfStock[Self_Qty],T_SelfStock[RM_Code],$A53,T_SelfStock[WeekIndex],26)+SUMIFS(T_TTAFStock[TTAF_Qty],T_TTAFStock[RM_Code],$A53,T_TTAFStock[WeekIndex],26),Z53+'Grid_Incoming'!AA53-'Grid_Requirement'!AA53))</f>
        <v/>
      </c>
      <c r="AB53">
        <f>IF(COUNTIFS(T_StockCount[RM_Code],$A53,T_StockCount[WeekIndex],27)&gt;0,SUMIFS(T_StockCount[CountedQty],T_StockCount[RM_Code],$A53,T_StockCount[WeekIndex],27),IF((COUNTIFS(T_SelfStock[RM_Code],$A53,T_SelfStock[WeekIndex],27)&gt;0)*(COUNTIFS(T_TTAFStock[RM_Code],$A53,T_TTAFStock[WeekIndex],27)&gt;0)&gt;0,SUMIFS(T_SelfStock[Self_Qty],T_SelfStock[RM_Code],$A53,T_SelfStock[WeekIndex],27)+SUMIFS(T_TTAFStock[TTAF_Qty],T_TTAFStock[RM_Code],$A53,T_TTAFStock[WeekIndex],27),AA53+'Grid_Incoming'!AB53-'Grid_Requirement'!AB53))</f>
        <v/>
      </c>
      <c r="AC53">
        <f>IF(COUNTIFS(T_StockCount[RM_Code],$A53,T_StockCount[WeekIndex],28)&gt;0,SUMIFS(T_StockCount[CountedQty],T_StockCount[RM_Code],$A53,T_StockCount[WeekIndex],28),IF((COUNTIFS(T_SelfStock[RM_Code],$A53,T_SelfStock[WeekIndex],28)&gt;0)*(COUNTIFS(T_TTAFStock[RM_Code],$A53,T_TTAFStock[WeekIndex],28)&gt;0)&gt;0,SUMIFS(T_SelfStock[Self_Qty],T_SelfStock[RM_Code],$A53,T_SelfStock[WeekIndex],28)+SUMIFS(T_TTAFStock[TTAF_Qty],T_TTAFStock[RM_Code],$A53,T_TTAFStock[WeekIndex],28),AB53+'Grid_Incoming'!AC53-'Grid_Requirement'!AC53))</f>
        <v/>
      </c>
      <c r="AD53">
        <f>IF(COUNTIFS(T_StockCount[RM_Code],$A53,T_StockCount[WeekIndex],29)&gt;0,SUMIFS(T_StockCount[CountedQty],T_StockCount[RM_Code],$A53,T_StockCount[WeekIndex],29),IF((COUNTIFS(T_SelfStock[RM_Code],$A53,T_SelfStock[WeekIndex],29)&gt;0)*(COUNTIFS(T_TTAFStock[RM_Code],$A53,T_TTAFStock[WeekIndex],29)&gt;0)&gt;0,SUMIFS(T_SelfStock[Self_Qty],T_SelfStock[RM_Code],$A53,T_SelfStock[WeekIndex],29)+SUMIFS(T_TTAFStock[TTAF_Qty],T_TTAFStock[RM_Code],$A53,T_TTAFStock[WeekIndex],29),AC53+'Grid_Incoming'!AD53-'Grid_Requirement'!AD53))</f>
        <v/>
      </c>
      <c r="AE53">
        <f>IF(COUNTIFS(T_StockCount[RM_Code],$A53,T_StockCount[WeekIndex],30)&gt;0,SUMIFS(T_StockCount[CountedQty],T_StockCount[RM_Code],$A53,T_StockCount[WeekIndex],30),IF((COUNTIFS(T_SelfStock[RM_Code],$A53,T_SelfStock[WeekIndex],30)&gt;0)*(COUNTIFS(T_TTAFStock[RM_Code],$A53,T_TTAFStock[WeekIndex],30)&gt;0)&gt;0,SUMIFS(T_SelfStock[Self_Qty],T_SelfStock[RM_Code],$A53,T_SelfStock[WeekIndex],30)+SUMIFS(T_TTAFStock[TTAF_Qty],T_TTAFStock[RM_Code],$A53,T_TTAFStock[WeekIndex],30),AD53+'Grid_Incoming'!AE53-'Grid_Requirement'!AE53))</f>
        <v/>
      </c>
      <c r="AF53">
        <f>IF(COUNTIFS(T_StockCount[RM_Code],$A53,T_StockCount[WeekIndex],31)&gt;0,SUMIFS(T_StockCount[CountedQty],T_StockCount[RM_Code],$A53,T_StockCount[WeekIndex],31),IF((COUNTIFS(T_SelfStock[RM_Code],$A53,T_SelfStock[WeekIndex],31)&gt;0)*(COUNTIFS(T_TTAFStock[RM_Code],$A53,T_TTAFStock[WeekIndex],31)&gt;0)&gt;0,SUMIFS(T_SelfStock[Self_Qty],T_SelfStock[RM_Code],$A53,T_SelfStock[WeekIndex],31)+SUMIFS(T_TTAFStock[TTAF_Qty],T_TTAFStock[RM_Code],$A53,T_TTAFStock[WeekIndex],31),AE53+'Grid_Incoming'!AF53-'Grid_Requirement'!AF53))</f>
        <v/>
      </c>
      <c r="AG53">
        <f>IF(COUNTIFS(T_StockCount[RM_Code],$A53,T_StockCount[WeekIndex],32)&gt;0,SUMIFS(T_StockCount[CountedQty],T_StockCount[RM_Code],$A53,T_StockCount[WeekIndex],32),IF((COUNTIFS(T_SelfStock[RM_Code],$A53,T_SelfStock[WeekIndex],32)&gt;0)*(COUNTIFS(T_TTAFStock[RM_Code],$A53,T_TTAFStock[WeekIndex],32)&gt;0)&gt;0,SUMIFS(T_SelfStock[Self_Qty],T_SelfStock[RM_Code],$A53,T_SelfStock[WeekIndex],32)+SUMIFS(T_TTAFStock[TTAF_Qty],T_TTAFStock[RM_Code],$A53,T_TTAFStock[WeekIndex],32),AF53+'Grid_Incoming'!AG53-'Grid_Requirement'!AG53))</f>
        <v/>
      </c>
      <c r="AH53">
        <f>IF(COUNTIFS(T_StockCount[RM_Code],$A53,T_StockCount[WeekIndex],33)&gt;0,SUMIFS(T_StockCount[CountedQty],T_StockCount[RM_Code],$A53,T_StockCount[WeekIndex],33),IF((COUNTIFS(T_SelfStock[RM_Code],$A53,T_SelfStock[WeekIndex],33)&gt;0)*(COUNTIFS(T_TTAFStock[RM_Code],$A53,T_TTAFStock[WeekIndex],33)&gt;0)&gt;0,SUMIFS(T_SelfStock[Self_Qty],T_SelfStock[RM_Code],$A53,T_SelfStock[WeekIndex],33)+SUMIFS(T_TTAFStock[TTAF_Qty],T_TTAFStock[RM_Code],$A53,T_TTAFStock[WeekIndex],33),AG53+'Grid_Incoming'!AH53-'Grid_Requirement'!AH53))</f>
        <v/>
      </c>
      <c r="AI53">
        <f>IF(COUNTIFS(T_StockCount[RM_Code],$A53,T_StockCount[WeekIndex],34)&gt;0,SUMIFS(T_StockCount[CountedQty],T_StockCount[RM_Code],$A53,T_StockCount[WeekIndex],34),IF((COUNTIFS(T_SelfStock[RM_Code],$A53,T_SelfStock[WeekIndex],34)&gt;0)*(COUNTIFS(T_TTAFStock[RM_Code],$A53,T_TTAFStock[WeekIndex],34)&gt;0)&gt;0,SUMIFS(T_SelfStock[Self_Qty],T_SelfStock[RM_Code],$A53,T_SelfStock[WeekIndex],34)+SUMIFS(T_TTAFStock[TTAF_Qty],T_TTAFStock[RM_Code],$A53,T_TTAFStock[WeekIndex],34),AH53+'Grid_Incoming'!AI53-'Grid_Requirement'!AI53))</f>
        <v/>
      </c>
      <c r="AJ53">
        <f>IF(COUNTIFS(T_StockCount[RM_Code],$A53,T_StockCount[WeekIndex],35)&gt;0,SUMIFS(T_StockCount[CountedQty],T_StockCount[RM_Code],$A53,T_StockCount[WeekIndex],35),IF((COUNTIFS(T_SelfStock[RM_Code],$A53,T_SelfStock[WeekIndex],35)&gt;0)*(COUNTIFS(T_TTAFStock[RM_Code],$A53,T_TTAFStock[WeekIndex],35)&gt;0)&gt;0,SUMIFS(T_SelfStock[Self_Qty],T_SelfStock[RM_Code],$A53,T_SelfStock[WeekIndex],35)+SUMIFS(T_TTAFStock[TTAF_Qty],T_TTAFStock[RM_Code],$A53,T_TTAFStock[WeekIndex],35),AI53+'Grid_Incoming'!AJ53-'Grid_Requirement'!AJ53))</f>
        <v/>
      </c>
      <c r="AK53">
        <f>IF(COUNTIFS(T_StockCount[RM_Code],$A53,T_StockCount[WeekIndex],36)&gt;0,SUMIFS(T_StockCount[CountedQty],T_StockCount[RM_Code],$A53,T_StockCount[WeekIndex],36),IF((COUNTIFS(T_SelfStock[RM_Code],$A53,T_SelfStock[WeekIndex],36)&gt;0)*(COUNTIFS(T_TTAFStock[RM_Code],$A53,T_TTAFStock[WeekIndex],36)&gt;0)&gt;0,SUMIFS(T_SelfStock[Self_Qty],T_SelfStock[RM_Code],$A53,T_SelfStock[WeekIndex],36)+SUMIFS(T_TTAFStock[TTAF_Qty],T_TTAFStock[RM_Code],$A53,T_TTAFStock[WeekIndex],36),AJ53+'Grid_Incoming'!AK53-'Grid_Requirement'!AK53))</f>
        <v/>
      </c>
      <c r="AL53">
        <f>IF(COUNTIFS(T_StockCount[RM_Code],$A53,T_StockCount[WeekIndex],37)&gt;0,SUMIFS(T_StockCount[CountedQty],T_StockCount[RM_Code],$A53,T_StockCount[WeekIndex],37),IF((COUNTIFS(T_SelfStock[RM_Code],$A53,T_SelfStock[WeekIndex],37)&gt;0)*(COUNTIFS(T_TTAFStock[RM_Code],$A53,T_TTAFStock[WeekIndex],37)&gt;0)&gt;0,SUMIFS(T_SelfStock[Self_Qty],T_SelfStock[RM_Code],$A53,T_SelfStock[WeekIndex],37)+SUMIFS(T_TTAFStock[TTAF_Qty],T_TTAFStock[RM_Code],$A53,T_TTAFStock[WeekIndex],37),AK53+'Grid_Incoming'!AL53-'Grid_Requirement'!AL53))</f>
        <v/>
      </c>
      <c r="AM53">
        <f>IF(COUNTIFS(T_StockCount[RM_Code],$A53,T_StockCount[WeekIndex],38)&gt;0,SUMIFS(T_StockCount[CountedQty],T_StockCount[RM_Code],$A53,T_StockCount[WeekIndex],38),IF((COUNTIFS(T_SelfStock[RM_Code],$A53,T_SelfStock[WeekIndex],38)&gt;0)*(COUNTIFS(T_TTAFStock[RM_Code],$A53,T_TTAFStock[WeekIndex],38)&gt;0)&gt;0,SUMIFS(T_SelfStock[Self_Qty],T_SelfStock[RM_Code],$A53,T_SelfStock[WeekIndex],38)+SUMIFS(T_TTAFStock[TTAF_Qty],T_TTAFStock[RM_Code],$A53,T_TTAFStock[WeekIndex],38),AL53+'Grid_Incoming'!AM53-'Grid_Requirement'!AM53))</f>
        <v/>
      </c>
      <c r="AN53">
        <f>IF(COUNTIFS(T_StockCount[RM_Code],$A53,T_StockCount[WeekIndex],39)&gt;0,SUMIFS(T_StockCount[CountedQty],T_StockCount[RM_Code],$A53,T_StockCount[WeekIndex],39),IF((COUNTIFS(T_SelfStock[RM_Code],$A53,T_SelfStock[WeekIndex],39)&gt;0)*(COUNTIFS(T_TTAFStock[RM_Code],$A53,T_TTAFStock[WeekIndex],39)&gt;0)&gt;0,SUMIFS(T_SelfStock[Self_Qty],T_SelfStock[RM_Code],$A53,T_SelfStock[WeekIndex],39)+SUMIFS(T_TTAFStock[TTAF_Qty],T_TTAFStock[RM_Code],$A53,T_TTAFStock[WeekIndex],39),AM53+'Grid_Incoming'!AN53-'Grid_Requirement'!AN53))</f>
        <v/>
      </c>
      <c r="AO53">
        <f>IF(COUNTIFS(T_StockCount[RM_Code],$A53,T_StockCount[WeekIndex],40)&gt;0,SUMIFS(T_StockCount[CountedQty],T_StockCount[RM_Code],$A53,T_StockCount[WeekIndex],40),IF((COUNTIFS(T_SelfStock[RM_Code],$A53,T_SelfStock[WeekIndex],40)&gt;0)*(COUNTIFS(T_TTAFStock[RM_Code],$A53,T_TTAFStock[WeekIndex],40)&gt;0)&gt;0,SUMIFS(T_SelfStock[Self_Qty],T_SelfStock[RM_Code],$A53,T_SelfStock[WeekIndex],40)+SUMIFS(T_TTAFStock[TTAF_Qty],T_TTAFStock[RM_Code],$A53,T_TTAFStock[WeekIndex],40),AN53+'Grid_Incoming'!AO53-'Grid_Requirement'!AO53))</f>
        <v/>
      </c>
      <c r="AP53">
        <f>IF(COUNTIFS(T_StockCount[RM_Code],$A53,T_StockCount[WeekIndex],41)&gt;0,SUMIFS(T_StockCount[CountedQty],T_StockCount[RM_Code],$A53,T_StockCount[WeekIndex],41),IF((COUNTIFS(T_SelfStock[RM_Code],$A53,T_SelfStock[WeekIndex],41)&gt;0)*(COUNTIFS(T_TTAFStock[RM_Code],$A53,T_TTAFStock[WeekIndex],41)&gt;0)&gt;0,SUMIFS(T_SelfStock[Self_Qty],T_SelfStock[RM_Code],$A53,T_SelfStock[WeekIndex],41)+SUMIFS(T_TTAFStock[TTAF_Qty],T_TTAFStock[RM_Code],$A53,T_TTAFStock[WeekIndex],41),AO53+'Grid_Incoming'!AP53-'Grid_Requirement'!AP53))</f>
        <v/>
      </c>
      <c r="AQ53">
        <f>IF(COUNTIFS(T_StockCount[RM_Code],$A53,T_StockCount[WeekIndex],42)&gt;0,SUMIFS(T_StockCount[CountedQty],T_StockCount[RM_Code],$A53,T_StockCount[WeekIndex],42),IF((COUNTIFS(T_SelfStock[RM_Code],$A53,T_SelfStock[WeekIndex],42)&gt;0)*(COUNTIFS(T_TTAFStock[RM_Code],$A53,T_TTAFStock[WeekIndex],42)&gt;0)&gt;0,SUMIFS(T_SelfStock[Self_Qty],T_SelfStock[RM_Code],$A53,T_SelfStock[WeekIndex],42)+SUMIFS(T_TTAFStock[TTAF_Qty],T_TTAFStock[RM_Code],$A53,T_TTAFStock[WeekIndex],42),AP53+'Grid_Incoming'!AQ53-'Grid_Requirement'!AQ53))</f>
        <v/>
      </c>
      <c r="AR53">
        <f>IF(COUNTIFS(T_StockCount[RM_Code],$A53,T_StockCount[WeekIndex],43)&gt;0,SUMIFS(T_StockCount[CountedQty],T_StockCount[RM_Code],$A53,T_StockCount[WeekIndex],43),IF((COUNTIFS(T_SelfStock[RM_Code],$A53,T_SelfStock[WeekIndex],43)&gt;0)*(COUNTIFS(T_TTAFStock[RM_Code],$A53,T_TTAFStock[WeekIndex],43)&gt;0)&gt;0,SUMIFS(T_SelfStock[Self_Qty],T_SelfStock[RM_Code],$A53,T_SelfStock[WeekIndex],43)+SUMIFS(T_TTAFStock[TTAF_Qty],T_TTAFStock[RM_Code],$A53,T_TTAFStock[WeekIndex],43),AQ53+'Grid_Incoming'!AR53-'Grid_Requirement'!AR53))</f>
        <v/>
      </c>
      <c r="AS53">
        <f>IF(COUNTIFS(T_StockCount[RM_Code],$A53,T_StockCount[WeekIndex],44)&gt;0,SUMIFS(T_StockCount[CountedQty],T_StockCount[RM_Code],$A53,T_StockCount[WeekIndex],44),IF((COUNTIFS(T_SelfStock[RM_Code],$A53,T_SelfStock[WeekIndex],44)&gt;0)*(COUNTIFS(T_TTAFStock[RM_Code],$A53,T_TTAFStock[WeekIndex],44)&gt;0)&gt;0,SUMIFS(T_SelfStock[Self_Qty],T_SelfStock[RM_Code],$A53,T_SelfStock[WeekIndex],44)+SUMIFS(T_TTAFStock[TTAF_Qty],T_TTAFStock[RM_Code],$A53,T_TTAFStock[WeekIndex],44),AR53+'Grid_Incoming'!AS53-'Grid_Requirement'!AS53))</f>
        <v/>
      </c>
      <c r="AT53">
        <f>IF(COUNTIFS(T_StockCount[RM_Code],$A53,T_StockCount[WeekIndex],45)&gt;0,SUMIFS(T_StockCount[CountedQty],T_StockCount[RM_Code],$A53,T_StockCount[WeekIndex],45),IF((COUNTIFS(T_SelfStock[RM_Code],$A53,T_SelfStock[WeekIndex],45)&gt;0)*(COUNTIFS(T_TTAFStock[RM_Code],$A53,T_TTAFStock[WeekIndex],45)&gt;0)&gt;0,SUMIFS(T_SelfStock[Self_Qty],T_SelfStock[RM_Code],$A53,T_SelfStock[WeekIndex],45)+SUMIFS(T_TTAFStock[TTAF_Qty],T_TTAFStock[RM_Code],$A53,T_TTAFStock[WeekIndex],45),AS53+'Grid_Incoming'!AT53-'Grid_Requirement'!AT53))</f>
        <v/>
      </c>
      <c r="AU53">
        <f>IF(COUNTIFS(T_StockCount[RM_Code],$A53,T_StockCount[WeekIndex],46)&gt;0,SUMIFS(T_StockCount[CountedQty],T_StockCount[RM_Code],$A53,T_StockCount[WeekIndex],46),IF((COUNTIFS(T_SelfStock[RM_Code],$A53,T_SelfStock[WeekIndex],46)&gt;0)*(COUNTIFS(T_TTAFStock[RM_Code],$A53,T_TTAFStock[WeekIndex],46)&gt;0)&gt;0,SUMIFS(T_SelfStock[Self_Qty],T_SelfStock[RM_Code],$A53,T_SelfStock[WeekIndex],46)+SUMIFS(T_TTAFStock[TTAF_Qty],T_TTAFStock[RM_Code],$A53,T_TTAFStock[WeekIndex],46),AT53+'Grid_Incoming'!AU53-'Grid_Requirement'!AU53))</f>
        <v/>
      </c>
      <c r="AV53">
        <f>IF(COUNTIFS(T_StockCount[RM_Code],$A53,T_StockCount[WeekIndex],47)&gt;0,SUMIFS(T_StockCount[CountedQty],T_StockCount[RM_Code],$A53,T_StockCount[WeekIndex],47),IF((COUNTIFS(T_SelfStock[RM_Code],$A53,T_SelfStock[WeekIndex],47)&gt;0)*(COUNTIFS(T_TTAFStock[RM_Code],$A53,T_TTAFStock[WeekIndex],47)&gt;0)&gt;0,SUMIFS(T_SelfStock[Self_Qty],T_SelfStock[RM_Code],$A53,T_SelfStock[WeekIndex],47)+SUMIFS(T_TTAFStock[TTAF_Qty],T_TTAFStock[RM_Code],$A53,T_TTAFStock[WeekIndex],47),AU53+'Grid_Incoming'!AV53-'Grid_Requirement'!AV53))</f>
        <v/>
      </c>
      <c r="AW53">
        <f>IF(COUNTIFS(T_StockCount[RM_Code],$A53,T_StockCount[WeekIndex],48)&gt;0,SUMIFS(T_StockCount[CountedQty],T_StockCount[RM_Code],$A53,T_StockCount[WeekIndex],48),IF((COUNTIFS(T_SelfStock[RM_Code],$A53,T_SelfStock[WeekIndex],48)&gt;0)*(COUNTIFS(T_TTAFStock[RM_Code],$A53,T_TTAFStock[WeekIndex],48)&gt;0)&gt;0,SUMIFS(T_SelfStock[Self_Qty],T_SelfStock[RM_Code],$A53,T_SelfStock[WeekIndex],48)+SUMIFS(T_TTAFStock[TTAF_Qty],T_TTAFStock[RM_Code],$A53,T_TTAFStock[WeekIndex],48),AV53+'Grid_Incoming'!AW53-'Grid_Requirement'!AW53))</f>
        <v/>
      </c>
      <c r="AX53">
        <f>IF(COUNTIFS(T_StockCount[RM_Code],$A53,T_StockCount[WeekIndex],49)&gt;0,SUMIFS(T_StockCount[CountedQty],T_StockCount[RM_Code],$A53,T_StockCount[WeekIndex],49),IF((COUNTIFS(T_SelfStock[RM_Code],$A53,T_SelfStock[WeekIndex],49)&gt;0)*(COUNTIFS(T_TTAFStock[RM_Code],$A53,T_TTAFStock[WeekIndex],49)&gt;0)&gt;0,SUMIFS(T_SelfStock[Self_Qty],T_SelfStock[RM_Code],$A53,T_SelfStock[WeekIndex],49)+SUMIFS(T_TTAFStock[TTAF_Qty],T_TTAFStock[RM_Code],$A53,T_TTAFStock[WeekIndex],49),AW53+'Grid_Incoming'!AX53-'Grid_Requirement'!AX53))</f>
        <v/>
      </c>
      <c r="AY53">
        <f>IF(COUNTIFS(T_StockCount[RM_Code],$A53,T_StockCount[WeekIndex],50)&gt;0,SUMIFS(T_StockCount[CountedQty],T_StockCount[RM_Code],$A53,T_StockCount[WeekIndex],50),IF((COUNTIFS(T_SelfStock[RM_Code],$A53,T_SelfStock[WeekIndex],50)&gt;0)*(COUNTIFS(T_TTAFStock[RM_Code],$A53,T_TTAFStock[WeekIndex],50)&gt;0)&gt;0,SUMIFS(T_SelfStock[Self_Qty],T_SelfStock[RM_Code],$A53,T_SelfStock[WeekIndex],50)+SUMIFS(T_TTAFStock[TTAF_Qty],T_TTAFStock[RM_Code],$A53,T_TTAFStock[WeekIndex],50),AX53+'Grid_Incoming'!AY53-'Grid_Requirement'!AY53))</f>
        <v/>
      </c>
      <c r="AZ53">
        <f>IF(COUNTIFS(T_StockCount[RM_Code],$A53,T_StockCount[WeekIndex],51)&gt;0,SUMIFS(T_StockCount[CountedQty],T_StockCount[RM_Code],$A53,T_StockCount[WeekIndex],51),IF((COUNTIFS(T_SelfStock[RM_Code],$A53,T_SelfStock[WeekIndex],51)&gt;0)*(COUNTIFS(T_TTAFStock[RM_Code],$A53,T_TTAFStock[WeekIndex],51)&gt;0)&gt;0,SUMIFS(T_SelfStock[Self_Qty],T_SelfStock[RM_Code],$A53,T_SelfStock[WeekIndex],51)+SUMIFS(T_TTAFStock[TTAF_Qty],T_TTAFStock[RM_Code],$A53,T_TTAFStock[WeekIndex],51),AY53+'Grid_Incoming'!AZ53-'Grid_Requirement'!AZ53))</f>
        <v/>
      </c>
      <c r="BA53">
        <f>IF(COUNTIFS(T_StockCount[RM_Code],$A53,T_StockCount[WeekIndex],52)&gt;0,SUMIFS(T_StockCount[CountedQty],T_StockCount[RM_Code],$A53,T_StockCount[WeekIndex],52),IF((COUNTIFS(T_SelfStock[RM_Code],$A53,T_SelfStock[WeekIndex],52)&gt;0)*(COUNTIFS(T_TTAFStock[RM_Code],$A53,T_TTAFStock[WeekIndex],52)&gt;0)&gt;0,SUMIFS(T_SelfStock[Self_Qty],T_SelfStock[RM_Code],$A53,T_SelfStock[WeekIndex],52)+SUMIFS(T_TTAFStock[TTAF_Qty],T_TTAFStock[RM_Code],$A53,T_TTAFStock[WeekIndex],52),AZ53+'Grid_Incoming'!BA53-'Grid_Requirement'!BA53))</f>
        <v/>
      </c>
      <c r="BB53">
        <f>IF(COUNTIFS(T_StockCount[RM_Code],$A53,T_StockCount[WeekIndex],53)&gt;0,SUMIFS(T_StockCount[CountedQty],T_StockCount[RM_Code],$A53,T_StockCount[WeekIndex],53),IF((COUNTIFS(T_SelfStock[RM_Code],$A53,T_SelfStock[WeekIndex],53)&gt;0)*(COUNTIFS(T_TTAFStock[RM_Code],$A53,T_TTAFStock[WeekIndex],53)&gt;0)&gt;0,SUMIFS(T_SelfStock[Self_Qty],T_SelfStock[RM_Code],$A53,T_SelfStock[WeekIndex],53)+SUMIFS(T_TTAFStock[TTAF_Qty],T_TTAFStock[RM_Code],$A53,T_TTAFStock[WeekIndex],53),BA53+'Grid_Incoming'!BB53-'Grid_Requirement'!BB53))</f>
        <v/>
      </c>
      <c r="BC53">
        <f>IF(COUNTIFS(T_StockCount[RM_Code],$A53,T_StockCount[WeekIndex],54)&gt;0,SUMIFS(T_StockCount[CountedQty],T_StockCount[RM_Code],$A53,T_StockCount[WeekIndex],54),IF((COUNTIFS(T_SelfStock[RM_Code],$A53,T_SelfStock[WeekIndex],54)&gt;0)*(COUNTIFS(T_TTAFStock[RM_Code],$A53,T_TTAFStock[WeekIndex],54)&gt;0)&gt;0,SUMIFS(T_SelfStock[Self_Qty],T_SelfStock[RM_Code],$A53,T_SelfStock[WeekIndex],54)+SUMIFS(T_TTAFStock[TTAF_Qty],T_TTAFStock[RM_Code],$A53,T_TTAFStock[WeekIndex],54),BB53+'Grid_Incoming'!BC53-'Grid_Requirement'!BC53))</f>
        <v/>
      </c>
      <c r="BD53">
        <f>IF(COUNTIFS(T_StockCount[RM_Code],$A53,T_StockCount[WeekIndex],55)&gt;0,SUMIFS(T_StockCount[CountedQty],T_StockCount[RM_Code],$A53,T_StockCount[WeekIndex],55),IF((COUNTIFS(T_SelfStock[RM_Code],$A53,T_SelfStock[WeekIndex],55)&gt;0)*(COUNTIFS(T_TTAFStock[RM_Code],$A53,T_TTAFStock[WeekIndex],55)&gt;0)&gt;0,SUMIFS(T_SelfStock[Self_Qty],T_SelfStock[RM_Code],$A53,T_SelfStock[WeekIndex],55)+SUMIFS(T_TTAFStock[TTAF_Qty],T_TTAFStock[RM_Code],$A53,T_TTAFStock[WeekIndex],55),BC53+'Grid_Incoming'!BD53-'Grid_Requirement'!BD53))</f>
        <v/>
      </c>
      <c r="BE53">
        <f>IF(COUNTIFS(T_StockCount[RM_Code],$A53,T_StockCount[WeekIndex],56)&gt;0,SUMIFS(T_StockCount[CountedQty],T_StockCount[RM_Code],$A53,T_StockCount[WeekIndex],56),IF((COUNTIFS(T_SelfStock[RM_Code],$A53,T_SelfStock[WeekIndex],56)&gt;0)*(COUNTIFS(T_TTAFStock[RM_Code],$A53,T_TTAFStock[WeekIndex],56)&gt;0)&gt;0,SUMIFS(T_SelfStock[Self_Qty],T_SelfStock[RM_Code],$A53,T_SelfStock[WeekIndex],56)+SUMIFS(T_TTAFStock[TTAF_Qty],T_TTAFStock[RM_Code],$A53,T_TTAFStock[WeekIndex],56),BD53+'Grid_Incoming'!BE53-'Grid_Requirement'!BE53))</f>
        <v/>
      </c>
      <c r="BF53">
        <f>IF(COUNTIFS(T_StockCount[RM_Code],$A53,T_StockCount[WeekIndex],57)&gt;0,SUMIFS(T_StockCount[CountedQty],T_StockCount[RM_Code],$A53,T_StockCount[WeekIndex],57),IF((COUNTIFS(T_SelfStock[RM_Code],$A53,T_SelfStock[WeekIndex],57)&gt;0)*(COUNTIFS(T_TTAFStock[RM_Code],$A53,T_TTAFStock[WeekIndex],57)&gt;0)&gt;0,SUMIFS(T_SelfStock[Self_Qty],T_SelfStock[RM_Code],$A53,T_SelfStock[WeekIndex],57)+SUMIFS(T_TTAFStock[TTAF_Qty],T_TTAFStock[RM_Code],$A53,T_TTAFStock[WeekIndex],57),BE53+'Grid_Incoming'!BF53-'Grid_Requirement'!BF53))</f>
        <v/>
      </c>
      <c r="BG53">
        <f>IF(COUNTIFS(T_StockCount[RM_Code],$A53,T_StockCount[WeekIndex],58)&gt;0,SUMIFS(T_StockCount[CountedQty],T_StockCount[RM_Code],$A53,T_StockCount[WeekIndex],58),IF((COUNTIFS(T_SelfStock[RM_Code],$A53,T_SelfStock[WeekIndex],58)&gt;0)*(COUNTIFS(T_TTAFStock[RM_Code],$A53,T_TTAFStock[WeekIndex],58)&gt;0)&gt;0,SUMIFS(T_SelfStock[Self_Qty],T_SelfStock[RM_Code],$A53,T_SelfStock[WeekIndex],58)+SUMIFS(T_TTAFStock[TTAF_Qty],T_TTAFStock[RM_Code],$A53,T_TTAFStock[WeekIndex],58),BF53+'Grid_Incoming'!BG53-'Grid_Requirement'!BG53))</f>
        <v/>
      </c>
      <c r="BH53">
        <f>IF(COUNTIFS(T_StockCount[RM_Code],$A53,T_StockCount[WeekIndex],59)&gt;0,SUMIFS(T_StockCount[CountedQty],T_StockCount[RM_Code],$A53,T_StockCount[WeekIndex],59),IF((COUNTIFS(T_SelfStock[RM_Code],$A53,T_SelfStock[WeekIndex],59)&gt;0)*(COUNTIFS(T_TTAFStock[RM_Code],$A53,T_TTAFStock[WeekIndex],59)&gt;0)&gt;0,SUMIFS(T_SelfStock[Self_Qty],T_SelfStock[RM_Code],$A53,T_SelfStock[WeekIndex],59)+SUMIFS(T_TTAFStock[TTAF_Qty],T_TTAFStock[RM_Code],$A53,T_TTAFStock[WeekIndex],59),BG53+'Grid_Incoming'!BH53-'Grid_Requirement'!BH53))</f>
        <v/>
      </c>
      <c r="BI53">
        <f>IF(COUNTIFS(T_StockCount[RM_Code],$A53,T_StockCount[WeekIndex],60)&gt;0,SUMIFS(T_StockCount[CountedQty],T_StockCount[RM_Code],$A53,T_StockCount[WeekIndex],60),IF((COUNTIFS(T_SelfStock[RM_Code],$A53,T_SelfStock[WeekIndex],60)&gt;0)*(COUNTIFS(T_TTAFStock[RM_Code],$A53,T_TTAFStock[WeekIndex],60)&gt;0)&gt;0,SUMIFS(T_SelfStock[Self_Qty],T_SelfStock[RM_Code],$A53,T_SelfStock[WeekIndex],60)+SUMIFS(T_TTAFStock[TTAF_Qty],T_TTAFStock[RM_Code],$A53,T_TTAFStock[WeekIndex],60),BH53+'Grid_Incoming'!BI53-'Grid_Requirement'!BI53))</f>
        <v/>
      </c>
      <c r="BJ53">
        <f>IF(COUNTIFS(T_StockCount[RM_Code],$A53,T_StockCount[WeekIndex],61)&gt;0,SUMIFS(T_StockCount[CountedQty],T_StockCount[RM_Code],$A53,T_StockCount[WeekIndex],61),IF((COUNTIFS(T_SelfStock[RM_Code],$A53,T_SelfStock[WeekIndex],61)&gt;0)*(COUNTIFS(T_TTAFStock[RM_Code],$A53,T_TTAFStock[WeekIndex],61)&gt;0)&gt;0,SUMIFS(T_SelfStock[Self_Qty],T_SelfStock[RM_Code],$A53,T_SelfStock[WeekIndex],61)+SUMIFS(T_TTAFStock[TTAF_Qty],T_TTAFStock[RM_Code],$A53,T_TTAFStock[WeekIndex],61),BI53+'Grid_Incoming'!BJ53-'Grid_Requirement'!BJ53))</f>
        <v/>
      </c>
      <c r="BK53">
        <f>IF(COUNTIFS(T_StockCount[RM_Code],$A53,T_StockCount[WeekIndex],62)&gt;0,SUMIFS(T_StockCount[CountedQty],T_StockCount[RM_Code],$A53,T_StockCount[WeekIndex],62),IF((COUNTIFS(T_SelfStock[RM_Code],$A53,T_SelfStock[WeekIndex],62)&gt;0)*(COUNTIFS(T_TTAFStock[RM_Code],$A53,T_TTAFStock[WeekIndex],62)&gt;0)&gt;0,SUMIFS(T_SelfStock[Self_Qty],T_SelfStock[RM_Code],$A53,T_SelfStock[WeekIndex],62)+SUMIFS(T_TTAFStock[TTAF_Qty],T_TTAFStock[RM_Code],$A53,T_TTAFStock[WeekIndex],62),BJ53+'Grid_Incoming'!BK53-'Grid_Requirement'!BK53))</f>
        <v/>
      </c>
      <c r="BL53">
        <f>IF(COUNTIFS(T_StockCount[RM_Code],$A53,T_StockCount[WeekIndex],63)&gt;0,SUMIFS(T_StockCount[CountedQty],T_StockCount[RM_Code],$A53,T_StockCount[WeekIndex],63),IF((COUNTIFS(T_SelfStock[RM_Code],$A53,T_SelfStock[WeekIndex],63)&gt;0)*(COUNTIFS(T_TTAFStock[RM_Code],$A53,T_TTAFStock[WeekIndex],63)&gt;0)&gt;0,SUMIFS(T_SelfStock[Self_Qty],T_SelfStock[RM_Code],$A53,T_SelfStock[WeekIndex],63)+SUMIFS(T_TTAFStock[TTAF_Qty],T_TTAFStock[RM_Code],$A53,T_TTAFStock[WeekIndex],63),BK53+'Grid_Incoming'!BL53-'Grid_Requirement'!BL53))</f>
        <v/>
      </c>
      <c r="BM53">
        <f>IF(COUNTIFS(T_StockCount[RM_Code],$A53,T_StockCount[WeekIndex],64)&gt;0,SUMIFS(T_StockCount[CountedQty],T_StockCount[RM_Code],$A53,T_StockCount[WeekIndex],64),IF((COUNTIFS(T_SelfStock[RM_Code],$A53,T_SelfStock[WeekIndex],64)&gt;0)*(COUNTIFS(T_TTAFStock[RM_Code],$A53,T_TTAFStock[WeekIndex],64)&gt;0)&gt;0,SUMIFS(T_SelfStock[Self_Qty],T_SelfStock[RM_Code],$A53,T_SelfStock[WeekIndex],64)+SUMIFS(T_TTAFStock[TTAF_Qty],T_TTAFStock[RM_Code],$A53,T_TTAFStock[WeekIndex],64),BL53+'Grid_Incoming'!BM53-'Grid_Requirement'!BM53))</f>
        <v/>
      </c>
      <c r="BN53">
        <f>IF(COUNTIFS(T_StockCount[RM_Code],$A53,T_StockCount[WeekIndex],65)&gt;0,SUMIFS(T_StockCount[CountedQty],T_StockCount[RM_Code],$A53,T_StockCount[WeekIndex],65),IF((COUNTIFS(T_SelfStock[RM_Code],$A53,T_SelfStock[WeekIndex],65)&gt;0)*(COUNTIFS(T_TTAFStock[RM_Code],$A53,T_TTAFStock[WeekIndex],65)&gt;0)&gt;0,SUMIFS(T_SelfStock[Self_Qty],T_SelfStock[RM_Code],$A53,T_SelfStock[WeekIndex],65)+SUMIFS(T_TTAFStock[TTAF_Qty],T_TTAFStock[RM_Code],$A53,T_TTAFStock[WeekIndex],65),BM53+'Grid_Incoming'!BN53-'Grid_Requirement'!BN53))</f>
        <v/>
      </c>
      <c r="BO53">
        <f>IF(COUNTIFS(T_StockCount[RM_Code],$A53,T_StockCount[WeekIndex],66)&gt;0,SUMIFS(T_StockCount[CountedQty],T_StockCount[RM_Code],$A53,T_StockCount[WeekIndex],66),IF((COUNTIFS(T_SelfStock[RM_Code],$A53,T_SelfStock[WeekIndex],66)&gt;0)*(COUNTIFS(T_TTAFStock[RM_Code],$A53,T_TTAFStock[WeekIndex],66)&gt;0)&gt;0,SUMIFS(T_SelfStock[Self_Qty],T_SelfStock[RM_Code],$A53,T_SelfStock[WeekIndex],66)+SUMIFS(T_TTAFStock[TTAF_Qty],T_TTAFStock[RM_Code],$A53,T_TTAFStock[WeekIndex],66),BN53+'Grid_Incoming'!BO53-'Grid_Requirement'!BO53))</f>
        <v/>
      </c>
      <c r="BP53">
        <f>IF(COUNTIFS(T_StockCount[RM_Code],$A53,T_StockCount[WeekIndex],67)&gt;0,SUMIFS(T_StockCount[CountedQty],T_StockCount[RM_Code],$A53,T_StockCount[WeekIndex],67),IF((COUNTIFS(T_SelfStock[RM_Code],$A53,T_SelfStock[WeekIndex],67)&gt;0)*(COUNTIFS(T_TTAFStock[RM_Code],$A53,T_TTAFStock[WeekIndex],67)&gt;0)&gt;0,SUMIFS(T_SelfStock[Self_Qty],T_SelfStock[RM_Code],$A53,T_SelfStock[WeekIndex],67)+SUMIFS(T_TTAFStock[TTAF_Qty],T_TTAFStock[RM_Code],$A53,T_TTAFStock[WeekIndex],67),BO53+'Grid_Incoming'!BP53-'Grid_Requirement'!BP53))</f>
        <v/>
      </c>
      <c r="BQ53">
        <f>IF(COUNTIFS(T_StockCount[RM_Code],$A53,T_StockCount[WeekIndex],68)&gt;0,SUMIFS(T_StockCount[CountedQty],T_StockCount[RM_Code],$A53,T_StockCount[WeekIndex],68),IF((COUNTIFS(T_SelfStock[RM_Code],$A53,T_SelfStock[WeekIndex],68)&gt;0)*(COUNTIFS(T_TTAFStock[RM_Code],$A53,T_TTAFStock[WeekIndex],68)&gt;0)&gt;0,SUMIFS(T_SelfStock[Self_Qty],T_SelfStock[RM_Code],$A53,T_SelfStock[WeekIndex],68)+SUMIFS(T_TTAFStock[TTAF_Qty],T_TTAFStock[RM_Code],$A53,T_TTAFStock[WeekIndex],68),BP53+'Grid_Incoming'!BQ53-'Grid_Requirement'!BQ53))</f>
        <v/>
      </c>
      <c r="BR53">
        <f>IF(COUNTIFS(T_StockCount[RM_Code],$A53,T_StockCount[WeekIndex],69)&gt;0,SUMIFS(T_StockCount[CountedQty],T_StockCount[RM_Code],$A53,T_StockCount[WeekIndex],69),IF((COUNTIFS(T_SelfStock[RM_Code],$A53,T_SelfStock[WeekIndex],69)&gt;0)*(COUNTIFS(T_TTAFStock[RM_Code],$A53,T_TTAFStock[WeekIndex],69)&gt;0)&gt;0,SUMIFS(T_SelfStock[Self_Qty],T_SelfStock[RM_Code],$A53,T_SelfStock[WeekIndex],69)+SUMIFS(T_TTAFStock[TTAF_Qty],T_TTAFStock[RM_Code],$A53,T_TTAFStock[WeekIndex],69),BQ53+'Grid_Incoming'!BR53-'Grid_Requirement'!BR53))</f>
        <v/>
      </c>
      <c r="BS53">
        <f>IF(COUNTIFS(T_StockCount[RM_Code],$A53,T_StockCount[WeekIndex],70)&gt;0,SUMIFS(T_StockCount[CountedQty],T_StockCount[RM_Code],$A53,T_StockCount[WeekIndex],70),IF((COUNTIFS(T_SelfStock[RM_Code],$A53,T_SelfStock[WeekIndex],70)&gt;0)*(COUNTIFS(T_TTAFStock[RM_Code],$A53,T_TTAFStock[WeekIndex],70)&gt;0)&gt;0,SUMIFS(T_SelfStock[Self_Qty],T_SelfStock[RM_Code],$A53,T_SelfStock[WeekIndex],70)+SUMIFS(T_TTAFStock[TTAF_Qty],T_TTAFStock[RM_Code],$A53,T_TTAFStock[WeekIndex],70),BR53+'Grid_Incoming'!BS53-'Grid_Requirement'!BS53))</f>
        <v/>
      </c>
      <c r="BT53">
        <f>IF(COUNTIFS(T_StockCount[RM_Code],$A53,T_StockCount[WeekIndex],71)&gt;0,SUMIFS(T_StockCount[CountedQty],T_StockCount[RM_Code],$A53,T_StockCount[WeekIndex],71),IF((COUNTIFS(T_SelfStock[RM_Code],$A53,T_SelfStock[WeekIndex],71)&gt;0)*(COUNTIFS(T_TTAFStock[RM_Code],$A53,T_TTAFStock[WeekIndex],71)&gt;0)&gt;0,SUMIFS(T_SelfStock[Self_Qty],T_SelfStock[RM_Code],$A53,T_SelfStock[WeekIndex],71)+SUMIFS(T_TTAFStock[TTAF_Qty],T_TTAFStock[RM_Code],$A53,T_TTAFStock[WeekIndex],71),BS53+'Grid_Incoming'!BT53-'Grid_Requirement'!BT53))</f>
        <v/>
      </c>
      <c r="BU53">
        <f>IF(COUNTIFS(T_StockCount[RM_Code],$A53,T_StockCount[WeekIndex],72)&gt;0,SUMIFS(T_StockCount[CountedQty],T_StockCount[RM_Code],$A53,T_StockCount[WeekIndex],72),IF((COUNTIFS(T_SelfStock[RM_Code],$A53,T_SelfStock[WeekIndex],72)&gt;0)*(COUNTIFS(T_TTAFStock[RM_Code],$A53,T_TTAFStock[WeekIndex],72)&gt;0)&gt;0,SUMIFS(T_SelfStock[Self_Qty],T_SelfStock[RM_Code],$A53,T_SelfStock[WeekIndex],72)+SUMIFS(T_TTAFStock[TTAF_Qty],T_TTAFStock[RM_Code],$A53,T_TTAFStock[WeekIndex],72),BT53+'Grid_Incoming'!BU53-'Grid_Requirement'!BU53))</f>
        <v/>
      </c>
      <c r="BV53">
        <f>IF(COUNTIFS(T_StockCount[RM_Code],$A53,T_StockCount[WeekIndex],73)&gt;0,SUMIFS(T_StockCount[CountedQty],T_StockCount[RM_Code],$A53,T_StockCount[WeekIndex],73),IF((COUNTIFS(T_SelfStock[RM_Code],$A53,T_SelfStock[WeekIndex],73)&gt;0)*(COUNTIFS(T_TTAFStock[RM_Code],$A53,T_TTAFStock[WeekIndex],73)&gt;0)&gt;0,SUMIFS(T_SelfStock[Self_Qty],T_SelfStock[RM_Code],$A53,T_SelfStock[WeekIndex],73)+SUMIFS(T_TTAFStock[TTAF_Qty],T_TTAFStock[RM_Code],$A53,T_TTAFStock[WeekIndex],73),BU53+'Grid_Incoming'!BV53-'Grid_Requirement'!BV53))</f>
        <v/>
      </c>
      <c r="BW53">
        <f>IF(COUNTIFS(T_StockCount[RM_Code],$A53,T_StockCount[WeekIndex],74)&gt;0,SUMIFS(T_StockCount[CountedQty],T_StockCount[RM_Code],$A53,T_StockCount[WeekIndex],74),IF((COUNTIFS(T_SelfStock[RM_Code],$A53,T_SelfStock[WeekIndex],74)&gt;0)*(COUNTIFS(T_TTAFStock[RM_Code],$A53,T_TTAFStock[WeekIndex],74)&gt;0)&gt;0,SUMIFS(T_SelfStock[Self_Qty],T_SelfStock[RM_Code],$A53,T_SelfStock[WeekIndex],74)+SUMIFS(T_TTAFStock[TTAF_Qty],T_TTAFStock[RM_Code],$A53,T_TTAFStock[WeekIndex],74),BV53+'Grid_Incoming'!BW53-'Grid_Requirement'!BW53))</f>
        <v/>
      </c>
      <c r="BX53">
        <f>IF(COUNTIFS(T_StockCount[RM_Code],$A53,T_StockCount[WeekIndex],75)&gt;0,SUMIFS(T_StockCount[CountedQty],T_StockCount[RM_Code],$A53,T_StockCount[WeekIndex],75),IF((COUNTIFS(T_SelfStock[RM_Code],$A53,T_SelfStock[WeekIndex],75)&gt;0)*(COUNTIFS(T_TTAFStock[RM_Code],$A53,T_TTAFStock[WeekIndex],75)&gt;0)&gt;0,SUMIFS(T_SelfStock[Self_Qty],T_SelfStock[RM_Code],$A53,T_SelfStock[WeekIndex],75)+SUMIFS(T_TTAFStock[TTAF_Qty],T_TTAFStock[RM_Code],$A53,T_TTAFStock[WeekIndex],75),BW53+'Grid_Incoming'!BX53-'Grid_Requirement'!BX53))</f>
        <v/>
      </c>
      <c r="BY53">
        <f>IF(COUNTIFS(T_StockCount[RM_Code],$A53,T_StockCount[WeekIndex],76)&gt;0,SUMIFS(T_StockCount[CountedQty],T_StockCount[RM_Code],$A53,T_StockCount[WeekIndex],76),IF((COUNTIFS(T_SelfStock[RM_Code],$A53,T_SelfStock[WeekIndex],76)&gt;0)*(COUNTIFS(T_TTAFStock[RM_Code],$A53,T_TTAFStock[WeekIndex],76)&gt;0)&gt;0,SUMIFS(T_SelfStock[Self_Qty],T_SelfStock[RM_Code],$A53,T_SelfStock[WeekIndex],76)+SUMIFS(T_TTAFStock[TTAF_Qty],T_TTAFStock[RM_Code],$A53,T_TTAFStock[WeekIndex],76),BX53+'Grid_Incoming'!BY53-'Grid_Requirement'!BY53))</f>
        <v/>
      </c>
      <c r="BZ53">
        <f>IF(COUNTIFS(T_StockCount[RM_Code],$A53,T_StockCount[WeekIndex],77)&gt;0,SUMIFS(T_StockCount[CountedQty],T_StockCount[RM_Code],$A53,T_StockCount[WeekIndex],77),IF((COUNTIFS(T_SelfStock[RM_Code],$A53,T_SelfStock[WeekIndex],77)&gt;0)*(COUNTIFS(T_TTAFStock[RM_Code],$A53,T_TTAFStock[WeekIndex],77)&gt;0)&gt;0,SUMIFS(T_SelfStock[Self_Qty],T_SelfStock[RM_Code],$A53,T_SelfStock[WeekIndex],77)+SUMIFS(T_TTAFStock[TTAF_Qty],T_TTAFStock[RM_Code],$A53,T_TTAFStock[WeekIndex],77),BY53+'Grid_Incoming'!BZ53-'Grid_Requirement'!BZ53))</f>
        <v/>
      </c>
      <c r="CA53">
        <f>IF(COUNTIFS(T_StockCount[RM_Code],$A53,T_StockCount[WeekIndex],78)&gt;0,SUMIFS(T_StockCount[CountedQty],T_StockCount[RM_Code],$A53,T_StockCount[WeekIndex],78),IF((COUNTIFS(T_SelfStock[RM_Code],$A53,T_SelfStock[WeekIndex],78)&gt;0)*(COUNTIFS(T_TTAFStock[RM_Code],$A53,T_TTAFStock[WeekIndex],78)&gt;0)&gt;0,SUMIFS(T_SelfStock[Self_Qty],T_SelfStock[RM_Code],$A53,T_SelfStock[WeekIndex],78)+SUMIFS(T_TTAFStock[TTAF_Qty],T_TTAFStock[RM_Code],$A53,T_TTAFStock[WeekIndex],78),BZ53+'Grid_Incoming'!CA53-'Grid_Requirement'!CA53))</f>
        <v/>
      </c>
      <c r="CB53">
        <f>IF(COUNTIFS(T_StockCount[RM_Code],$A53,T_StockCount[WeekIndex],79)&gt;0,SUMIFS(T_StockCount[CountedQty],T_StockCount[RM_Code],$A53,T_StockCount[WeekIndex],79),IF((COUNTIFS(T_SelfStock[RM_Code],$A53,T_SelfStock[WeekIndex],79)&gt;0)*(COUNTIFS(T_TTAFStock[RM_Code],$A53,T_TTAFStock[WeekIndex],79)&gt;0)&gt;0,SUMIFS(T_SelfStock[Self_Qty],T_SelfStock[RM_Code],$A53,T_SelfStock[WeekIndex],79)+SUMIFS(T_TTAFStock[TTAF_Qty],T_TTAFStock[RM_Code],$A53,T_TTAFStock[WeekIndex],79),CA53+'Grid_Incoming'!CB53-'Grid_Requirement'!CB53))</f>
        <v/>
      </c>
      <c r="CC53">
        <f>IF(COUNTIFS(T_StockCount[RM_Code],$A53,T_StockCount[WeekIndex],80)&gt;0,SUMIFS(T_StockCount[CountedQty],T_StockCount[RM_Code],$A53,T_StockCount[WeekIndex],80),IF((COUNTIFS(T_SelfStock[RM_Code],$A53,T_SelfStock[WeekIndex],80)&gt;0)*(COUNTIFS(T_TTAFStock[RM_Code],$A53,T_TTAFStock[WeekIndex],80)&gt;0)&gt;0,SUMIFS(T_SelfStock[Self_Qty],T_SelfStock[RM_Code],$A53,T_SelfStock[WeekIndex],80)+SUMIFS(T_TTAFStock[TTAF_Qty],T_TTAFStock[RM_Code],$A53,T_TTAFStock[WeekIndex],80),CB53+'Grid_Incoming'!CC53-'Grid_Requirement'!CC53))</f>
        <v/>
      </c>
      <c r="CD53">
        <f>IF(COUNTIFS(T_StockCount[RM_Code],$A53,T_StockCount[WeekIndex],81)&gt;0,SUMIFS(T_StockCount[CountedQty],T_StockCount[RM_Code],$A53,T_StockCount[WeekIndex],81),IF((COUNTIFS(T_SelfStock[RM_Code],$A53,T_SelfStock[WeekIndex],81)&gt;0)*(COUNTIFS(T_TTAFStock[RM_Code],$A53,T_TTAFStock[WeekIndex],81)&gt;0)&gt;0,SUMIFS(T_SelfStock[Self_Qty],T_SelfStock[RM_Code],$A53,T_SelfStock[WeekIndex],81)+SUMIFS(T_TTAFStock[TTAF_Qty],T_TTAFStock[RM_Code],$A53,T_TTAFStock[WeekIndex],81),CC53+'Grid_Incoming'!CD53-'Grid_Requirement'!CD53))</f>
        <v/>
      </c>
      <c r="CE53">
        <f>IF(COUNTIFS(T_StockCount[RM_Code],$A53,T_StockCount[WeekIndex],82)&gt;0,SUMIFS(T_StockCount[CountedQty],T_StockCount[RM_Code],$A53,T_StockCount[WeekIndex],82),IF((COUNTIFS(T_SelfStock[RM_Code],$A53,T_SelfStock[WeekIndex],82)&gt;0)*(COUNTIFS(T_TTAFStock[RM_Code],$A53,T_TTAFStock[WeekIndex],82)&gt;0)&gt;0,SUMIFS(T_SelfStock[Self_Qty],T_SelfStock[RM_Code],$A53,T_SelfStock[WeekIndex],82)+SUMIFS(T_TTAFStock[TTAF_Qty],T_TTAFStock[RM_Code],$A53,T_TTAFStock[WeekIndex],82),CD53+'Grid_Incoming'!CE53-'Grid_Requirement'!CE53))</f>
        <v/>
      </c>
      <c r="CF53">
        <f>IF(COUNTIFS(T_StockCount[RM_Code],$A53,T_StockCount[WeekIndex],83)&gt;0,SUMIFS(T_StockCount[CountedQty],T_StockCount[RM_Code],$A53,T_StockCount[WeekIndex],83),IF((COUNTIFS(T_SelfStock[RM_Code],$A53,T_SelfStock[WeekIndex],83)&gt;0)*(COUNTIFS(T_TTAFStock[RM_Code],$A53,T_TTAFStock[WeekIndex],83)&gt;0)&gt;0,SUMIFS(T_SelfStock[Self_Qty],T_SelfStock[RM_Code],$A53,T_SelfStock[WeekIndex],83)+SUMIFS(T_TTAFStock[TTAF_Qty],T_TTAFStock[RM_Code],$A53,T_TTAFStock[WeekIndex],83),CE53+'Grid_Incoming'!CF53-'Grid_Requirement'!CF53))</f>
        <v/>
      </c>
      <c r="CG53">
        <f>IF(COUNTIFS(T_StockCount[RM_Code],$A53,T_StockCount[WeekIndex],84)&gt;0,SUMIFS(T_StockCount[CountedQty],T_StockCount[RM_Code],$A53,T_StockCount[WeekIndex],84),IF((COUNTIFS(T_SelfStock[RM_Code],$A53,T_SelfStock[WeekIndex],84)&gt;0)*(COUNTIFS(T_TTAFStock[RM_Code],$A53,T_TTAFStock[WeekIndex],84)&gt;0)&gt;0,SUMIFS(T_SelfStock[Self_Qty],T_SelfStock[RM_Code],$A53,T_SelfStock[WeekIndex],84)+SUMIFS(T_TTAFStock[TTAF_Qty],T_TTAFStock[RM_Code],$A53,T_TTAFStock[WeekIndex],84),CF53+'Grid_Incoming'!CG53-'Grid_Requirement'!CG53))</f>
        <v/>
      </c>
      <c r="CH53">
        <f>IF(COUNTIFS(T_StockCount[RM_Code],$A53,T_StockCount[WeekIndex],85)&gt;0,SUMIFS(T_StockCount[CountedQty],T_StockCount[RM_Code],$A53,T_StockCount[WeekIndex],85),IF((COUNTIFS(T_SelfStock[RM_Code],$A53,T_SelfStock[WeekIndex],85)&gt;0)*(COUNTIFS(T_TTAFStock[RM_Code],$A53,T_TTAFStock[WeekIndex],85)&gt;0)&gt;0,SUMIFS(T_SelfStock[Self_Qty],T_SelfStock[RM_Code],$A53,T_SelfStock[WeekIndex],85)+SUMIFS(T_TTAFStock[TTAF_Qty],T_TTAFStock[RM_Code],$A53,T_TTAFStock[WeekIndex],85),CG53+'Grid_Incoming'!CH53-'Grid_Requirement'!CH53))</f>
        <v/>
      </c>
      <c r="CI53">
        <f>IF(COUNTIFS(T_StockCount[RM_Code],$A53,T_StockCount[WeekIndex],86)&gt;0,SUMIFS(T_StockCount[CountedQty],T_StockCount[RM_Code],$A53,T_StockCount[WeekIndex],86),IF((COUNTIFS(T_SelfStock[RM_Code],$A53,T_SelfStock[WeekIndex],86)&gt;0)*(COUNTIFS(T_TTAFStock[RM_Code],$A53,T_TTAFStock[WeekIndex],86)&gt;0)&gt;0,SUMIFS(T_SelfStock[Self_Qty],T_SelfStock[RM_Code],$A53,T_SelfStock[WeekIndex],86)+SUMIFS(T_TTAFStock[TTAF_Qty],T_TTAFStock[RM_Code],$A53,T_TTAFStock[WeekIndex],86),CH53+'Grid_Incoming'!CI53-'Grid_Requirement'!CI53))</f>
        <v/>
      </c>
      <c r="CJ53">
        <f>IF(COUNTIFS(T_StockCount[RM_Code],$A53,T_StockCount[WeekIndex],87)&gt;0,SUMIFS(T_StockCount[CountedQty],T_StockCount[RM_Code],$A53,T_StockCount[WeekIndex],87),IF((COUNTIFS(T_SelfStock[RM_Code],$A53,T_SelfStock[WeekIndex],87)&gt;0)*(COUNTIFS(T_TTAFStock[RM_Code],$A53,T_TTAFStock[WeekIndex],87)&gt;0)&gt;0,SUMIFS(T_SelfStock[Self_Qty],T_SelfStock[RM_Code],$A53,T_SelfStock[WeekIndex],87)+SUMIFS(T_TTAFStock[TTAF_Qty],T_TTAFStock[RM_Code],$A53,T_TTAFStock[WeekIndex],87),CI53+'Grid_Incoming'!CJ53-'Grid_Requirement'!CJ53))</f>
        <v/>
      </c>
      <c r="CK53">
        <f>IF(COUNTIFS(T_StockCount[RM_Code],$A53,T_StockCount[WeekIndex],88)&gt;0,SUMIFS(T_StockCount[CountedQty],T_StockCount[RM_Code],$A53,T_StockCount[WeekIndex],88),IF((COUNTIFS(T_SelfStock[RM_Code],$A53,T_SelfStock[WeekIndex],88)&gt;0)*(COUNTIFS(T_TTAFStock[RM_Code],$A53,T_TTAFStock[WeekIndex],88)&gt;0)&gt;0,SUMIFS(T_SelfStock[Self_Qty],T_SelfStock[RM_Code],$A53,T_SelfStock[WeekIndex],88)+SUMIFS(T_TTAFStock[TTAF_Qty],T_TTAFStock[RM_Code],$A53,T_TTAFStock[WeekIndex],88),CJ53+'Grid_Incoming'!CK53-'Grid_Requirement'!CK53))</f>
        <v/>
      </c>
      <c r="CL53">
        <f>IF(COUNTIFS(T_StockCount[RM_Code],$A53,T_StockCount[WeekIndex],89)&gt;0,SUMIFS(T_StockCount[CountedQty],T_StockCount[RM_Code],$A53,T_StockCount[WeekIndex],89),IF((COUNTIFS(T_SelfStock[RM_Code],$A53,T_SelfStock[WeekIndex],89)&gt;0)*(COUNTIFS(T_TTAFStock[RM_Code],$A53,T_TTAFStock[WeekIndex],89)&gt;0)&gt;0,SUMIFS(T_SelfStock[Self_Qty],T_SelfStock[RM_Code],$A53,T_SelfStock[WeekIndex],89)+SUMIFS(T_TTAFStock[TTAF_Qty],T_TTAFStock[RM_Code],$A53,T_TTAFStock[WeekIndex],89),CK53+'Grid_Incoming'!CL53-'Grid_Requirement'!CL53))</f>
        <v/>
      </c>
      <c r="CM53">
        <f>IF(COUNTIFS(T_StockCount[RM_Code],$A53,T_StockCount[WeekIndex],90)&gt;0,SUMIFS(T_StockCount[CountedQty],T_StockCount[RM_Code],$A53,T_StockCount[WeekIndex],90),IF((COUNTIFS(T_SelfStock[RM_Code],$A53,T_SelfStock[WeekIndex],90)&gt;0)*(COUNTIFS(T_TTAFStock[RM_Code],$A53,T_TTAFStock[WeekIndex],90)&gt;0)&gt;0,SUMIFS(T_SelfStock[Self_Qty],T_SelfStock[RM_Code],$A53,T_SelfStock[WeekIndex],90)+SUMIFS(T_TTAFStock[TTAF_Qty],T_TTAFStock[RM_Code],$A53,T_TTAFStock[WeekIndex],90),CL53+'Grid_Incoming'!CM53-'Grid_Requirement'!CM53))</f>
        <v/>
      </c>
      <c r="CN53">
        <f>IF(COUNTIFS(T_StockCount[RM_Code],$A53,T_StockCount[WeekIndex],91)&gt;0,SUMIFS(T_StockCount[CountedQty],T_StockCount[RM_Code],$A53,T_StockCount[WeekIndex],91),IF((COUNTIFS(T_SelfStock[RM_Code],$A53,T_SelfStock[WeekIndex],91)&gt;0)*(COUNTIFS(T_TTAFStock[RM_Code],$A53,T_TTAFStock[WeekIndex],91)&gt;0)&gt;0,SUMIFS(T_SelfStock[Self_Qty],T_SelfStock[RM_Code],$A53,T_SelfStock[WeekIndex],91)+SUMIFS(T_TTAFStock[TTAF_Qty],T_TTAFStock[RM_Code],$A53,T_TTAFStock[WeekIndex],91),CM53+'Grid_Incoming'!CN53-'Grid_Requirement'!CN53))</f>
        <v/>
      </c>
      <c r="CO53">
        <f>IF(COUNTIFS(T_StockCount[RM_Code],$A53,T_StockCount[WeekIndex],92)&gt;0,SUMIFS(T_StockCount[CountedQty],T_StockCount[RM_Code],$A53,T_StockCount[WeekIndex],92),IF((COUNTIFS(T_SelfStock[RM_Code],$A53,T_SelfStock[WeekIndex],92)&gt;0)*(COUNTIFS(T_TTAFStock[RM_Code],$A53,T_TTAFStock[WeekIndex],92)&gt;0)&gt;0,SUMIFS(T_SelfStock[Self_Qty],T_SelfStock[RM_Code],$A53,T_SelfStock[WeekIndex],92)+SUMIFS(T_TTAFStock[TTAF_Qty],T_TTAFStock[RM_Code],$A53,T_TTAFStock[WeekIndex],92),CN53+'Grid_Incoming'!CO53-'Grid_Requirement'!CO53))</f>
        <v/>
      </c>
      <c r="CP53">
        <f>IF(COUNTIFS(T_StockCount[RM_Code],$A53,T_StockCount[WeekIndex],93)&gt;0,SUMIFS(T_StockCount[CountedQty],T_StockCount[RM_Code],$A53,T_StockCount[WeekIndex],93),IF((COUNTIFS(T_SelfStock[RM_Code],$A53,T_SelfStock[WeekIndex],93)&gt;0)*(COUNTIFS(T_TTAFStock[RM_Code],$A53,T_TTAFStock[WeekIndex],93)&gt;0)&gt;0,SUMIFS(T_SelfStock[Self_Qty],T_SelfStock[RM_Code],$A53,T_SelfStock[WeekIndex],93)+SUMIFS(T_TTAFStock[TTAF_Qty],T_TTAFStock[RM_Code],$A53,T_TTAFStock[WeekIndex],93),CO53+'Grid_Incoming'!CP53-'Grid_Requirement'!CP53))</f>
        <v/>
      </c>
      <c r="CQ53">
        <f>IF(COUNTIFS(T_StockCount[RM_Code],$A53,T_StockCount[WeekIndex],94)&gt;0,SUMIFS(T_StockCount[CountedQty],T_StockCount[RM_Code],$A53,T_StockCount[WeekIndex],94),IF((COUNTIFS(T_SelfStock[RM_Code],$A53,T_SelfStock[WeekIndex],94)&gt;0)*(COUNTIFS(T_TTAFStock[RM_Code],$A53,T_TTAFStock[WeekIndex],94)&gt;0)&gt;0,SUMIFS(T_SelfStock[Self_Qty],T_SelfStock[RM_Code],$A53,T_SelfStock[WeekIndex],94)+SUMIFS(T_TTAFStock[TTAF_Qty],T_TTAFStock[RM_Code],$A53,T_TTAFStock[WeekIndex],94),CP53+'Grid_Incoming'!CQ53-'Grid_Requirement'!CQ53))</f>
        <v/>
      </c>
      <c r="CR53">
        <f>IF(COUNTIFS(T_StockCount[RM_Code],$A53,T_StockCount[WeekIndex],95)&gt;0,SUMIFS(T_StockCount[CountedQty],T_StockCount[RM_Code],$A53,T_StockCount[WeekIndex],95),IF((COUNTIFS(T_SelfStock[RM_Code],$A53,T_SelfStock[WeekIndex],95)&gt;0)*(COUNTIFS(T_TTAFStock[RM_Code],$A53,T_TTAFStock[WeekIndex],95)&gt;0)&gt;0,SUMIFS(T_SelfStock[Self_Qty],T_SelfStock[RM_Code],$A53,T_SelfStock[WeekIndex],95)+SUMIFS(T_TTAFStock[TTAF_Qty],T_TTAFStock[RM_Code],$A53,T_TTAFStock[WeekIndex],95),CQ53+'Grid_Incoming'!CR53-'Grid_Requirement'!CR53))</f>
        <v/>
      </c>
      <c r="CS53">
        <f>IF(COUNTIFS(T_StockCount[RM_Code],$A53,T_StockCount[WeekIndex],96)&gt;0,SUMIFS(T_StockCount[CountedQty],T_StockCount[RM_Code],$A53,T_StockCount[WeekIndex],96),IF((COUNTIFS(T_SelfStock[RM_Code],$A53,T_SelfStock[WeekIndex],96)&gt;0)*(COUNTIFS(T_TTAFStock[RM_Code],$A53,T_TTAFStock[WeekIndex],96)&gt;0)&gt;0,SUMIFS(T_SelfStock[Self_Qty],T_SelfStock[RM_Code],$A53,T_SelfStock[WeekIndex],96)+SUMIFS(T_TTAFStock[TTAF_Qty],T_TTAFStock[RM_Code],$A53,T_TTAFStock[WeekIndex],96),CR53+'Grid_Incoming'!CS53-'Grid_Requirement'!CS53))</f>
        <v/>
      </c>
      <c r="CT53">
        <f>IF(COUNTIFS(T_StockCount[RM_Code],$A53,T_StockCount[WeekIndex],97)&gt;0,SUMIFS(T_StockCount[CountedQty],T_StockCount[RM_Code],$A53,T_StockCount[WeekIndex],97),IF((COUNTIFS(T_SelfStock[RM_Code],$A53,T_SelfStock[WeekIndex],97)&gt;0)*(COUNTIFS(T_TTAFStock[RM_Code],$A53,T_TTAFStock[WeekIndex],97)&gt;0)&gt;0,SUMIFS(T_SelfStock[Self_Qty],T_SelfStock[RM_Code],$A53,T_SelfStock[WeekIndex],97)+SUMIFS(T_TTAFStock[TTAF_Qty],T_TTAFStock[RM_Code],$A53,T_TTAFStock[WeekIndex],97),CS53+'Grid_Incoming'!CT53-'Grid_Requirement'!CT53))</f>
        <v/>
      </c>
      <c r="CU53">
        <f>IF(COUNTIFS(T_StockCount[RM_Code],$A53,T_StockCount[WeekIndex],98)&gt;0,SUMIFS(T_StockCount[CountedQty],T_StockCount[RM_Code],$A53,T_StockCount[WeekIndex],98),IF((COUNTIFS(T_SelfStock[RM_Code],$A53,T_SelfStock[WeekIndex],98)&gt;0)*(COUNTIFS(T_TTAFStock[RM_Code],$A53,T_TTAFStock[WeekIndex],98)&gt;0)&gt;0,SUMIFS(T_SelfStock[Self_Qty],T_SelfStock[RM_Code],$A53,T_SelfStock[WeekIndex],98)+SUMIFS(T_TTAFStock[TTAF_Qty],T_TTAFStock[RM_Code],$A53,T_TTAFStock[WeekIndex],98),CT53+'Grid_Incoming'!CU53-'Grid_Requirement'!CU53))</f>
        <v/>
      </c>
      <c r="CV53">
        <f>IF(COUNTIFS(T_StockCount[RM_Code],$A53,T_StockCount[WeekIndex],99)&gt;0,SUMIFS(T_StockCount[CountedQty],T_StockCount[RM_Code],$A53,T_StockCount[WeekIndex],99),IF((COUNTIFS(T_SelfStock[RM_Code],$A53,T_SelfStock[WeekIndex],99)&gt;0)*(COUNTIFS(T_TTAFStock[RM_Code],$A53,T_TTAFStock[WeekIndex],99)&gt;0)&gt;0,SUMIFS(T_SelfStock[Self_Qty],T_SelfStock[RM_Code],$A53,T_SelfStock[WeekIndex],99)+SUMIFS(T_TTAFStock[TTAF_Qty],T_TTAFStock[RM_Code],$A53,T_TTAFStock[WeekIndex],99),CU53+'Grid_Incoming'!CV53-'Grid_Requirement'!CV53))</f>
        <v/>
      </c>
      <c r="CW53">
        <f>IF(COUNTIFS(T_StockCount[RM_Code],$A53,T_StockCount[WeekIndex],100)&gt;0,SUMIFS(T_StockCount[CountedQty],T_StockCount[RM_Code],$A53,T_StockCount[WeekIndex],100),IF((COUNTIFS(T_SelfStock[RM_Code],$A53,T_SelfStock[WeekIndex],100)&gt;0)*(COUNTIFS(T_TTAFStock[RM_Code],$A53,T_TTAFStock[WeekIndex],100)&gt;0)&gt;0,SUMIFS(T_SelfStock[Self_Qty],T_SelfStock[RM_Code],$A53,T_SelfStock[WeekIndex],100)+SUMIFS(T_TTAFStock[TTAF_Qty],T_TTAFStock[RM_Code],$A53,T_TTAFStock[WeekIndex],100),CV53+'Grid_Incoming'!CW53-'Grid_Requirement'!CW53))</f>
        <v/>
      </c>
      <c r="CX53">
        <f>IF(COUNTIFS(T_StockCount[RM_Code],$A53,T_StockCount[WeekIndex],101)&gt;0,SUMIFS(T_StockCount[CountedQty],T_StockCount[RM_Code],$A53,T_StockCount[WeekIndex],101),IF((COUNTIFS(T_SelfStock[RM_Code],$A53,T_SelfStock[WeekIndex],101)&gt;0)*(COUNTIFS(T_TTAFStock[RM_Code],$A53,T_TTAFStock[WeekIndex],101)&gt;0)&gt;0,SUMIFS(T_SelfStock[Self_Qty],T_SelfStock[RM_Code],$A53,T_SelfStock[WeekIndex],101)+SUMIFS(T_TTAFStock[TTAF_Qty],T_TTAFStock[RM_Code],$A53,T_TTAFStock[WeekIndex],101),CW53+'Grid_Incoming'!CX53-'Grid_Requirement'!CX53))</f>
        <v/>
      </c>
      <c r="CY53">
        <f>IF(COUNTIFS(T_StockCount[RM_Code],$A53,T_StockCount[WeekIndex],102)&gt;0,SUMIFS(T_StockCount[CountedQty],T_StockCount[RM_Code],$A53,T_StockCount[WeekIndex],102),IF((COUNTIFS(T_SelfStock[RM_Code],$A53,T_SelfStock[WeekIndex],102)&gt;0)*(COUNTIFS(T_TTAFStock[RM_Code],$A53,T_TTAFStock[WeekIndex],102)&gt;0)&gt;0,SUMIFS(T_SelfStock[Self_Qty],T_SelfStock[RM_Code],$A53,T_SelfStock[WeekIndex],102)+SUMIFS(T_TTAFStock[TTAF_Qty],T_TTAFStock[RM_Code],$A53,T_TTAFStock[WeekIndex],102),CX53+'Grid_Incoming'!CY53-'Grid_Requirement'!CY53))</f>
        <v/>
      </c>
      <c r="CZ53">
        <f>IF(COUNTIFS(T_StockCount[RM_Code],$A53,T_StockCount[WeekIndex],103)&gt;0,SUMIFS(T_StockCount[CountedQty],T_StockCount[RM_Code],$A53,T_StockCount[WeekIndex],103),IF((COUNTIFS(T_SelfStock[RM_Code],$A53,T_SelfStock[WeekIndex],103)&gt;0)*(COUNTIFS(T_TTAFStock[RM_Code],$A53,T_TTAFStock[WeekIndex],103)&gt;0)&gt;0,SUMIFS(T_SelfStock[Self_Qty],T_SelfStock[RM_Code],$A53,T_SelfStock[WeekIndex],103)+SUMIFS(T_TTAFStock[TTAF_Qty],T_TTAFStock[RM_Code],$A53,T_TTAFStock[WeekIndex],103),CY53+'Grid_Incoming'!CZ53-'Grid_Requirement'!CZ53))</f>
        <v/>
      </c>
      <c r="DA53">
        <f>IF(COUNTIFS(T_StockCount[RM_Code],$A53,T_StockCount[WeekIndex],104)&gt;0,SUMIFS(T_StockCount[CountedQty],T_StockCount[RM_Code],$A53,T_StockCount[WeekIndex],104),IF((COUNTIFS(T_SelfStock[RM_Code],$A53,T_SelfStock[WeekIndex],104)&gt;0)*(COUNTIFS(T_TTAFStock[RM_Code],$A53,T_TTAFStock[WeekIndex],104)&gt;0)&gt;0,SUMIFS(T_SelfStock[Self_Qty],T_SelfStock[RM_Code],$A53,T_SelfStock[WeekIndex],104)+SUMIFS(T_TTAFStock[TTAF_Qty],T_TTAFStock[RM_Code],$A53,T_TTAFStock[WeekIndex],104),CZ53+'Grid_Incoming'!DA53-'Grid_Requirement'!DA53))</f>
        <v/>
      </c>
    </row>
    <row r="54">
      <c r="A54" t="inlineStr">
        <is>
          <t>CHEM-1550</t>
        </is>
      </c>
      <c r="B54">
        <f>IF(COUNTIFS(T_StockCount[RM_Code],$A54,T_StockCount[WeekIndex],1)&gt;0,SUMIFS(T_StockCount[CountedQty],T_StockCount[RM_Code],$A54,T_StockCount[WeekIndex],1),IF((COUNTIFS(T_SelfStock[RM_Code],$A54,T_SelfStock[WeekIndex],1)&gt;0)*(COUNTIFS(T_TTAFStock[RM_Code],$A54,T_TTAFStock[WeekIndex],1)&gt;0)&gt;0,SUMIFS(T_SelfStock[Self_Qty],T_SelfStock[RM_Code],$A54,T_SelfStock[WeekIndex],1)+SUMIFS(T_TTAFStock[TTAF_Qty],T_TTAFStock[RM_Code],$A54,T_TTAFStock[WeekIndex],1),IFERROR(INDEX(T_OpeningStock[Opening_Qty],MATCH($A54,T_OpeningStock[RM_Code],0)),0)+'Grid_Incoming'!B54-'Grid_Requirement'!B54))</f>
        <v/>
      </c>
      <c r="C54">
        <f>IF(COUNTIFS(T_StockCount[RM_Code],$A54,T_StockCount[WeekIndex],2)&gt;0,SUMIFS(T_StockCount[CountedQty],T_StockCount[RM_Code],$A54,T_StockCount[WeekIndex],2),IF((COUNTIFS(T_SelfStock[RM_Code],$A54,T_SelfStock[WeekIndex],2)&gt;0)*(COUNTIFS(T_TTAFStock[RM_Code],$A54,T_TTAFStock[WeekIndex],2)&gt;0)&gt;0,SUMIFS(T_SelfStock[Self_Qty],T_SelfStock[RM_Code],$A54,T_SelfStock[WeekIndex],2)+SUMIFS(T_TTAFStock[TTAF_Qty],T_TTAFStock[RM_Code],$A54,T_TTAFStock[WeekIndex],2),B54+'Grid_Incoming'!C54-'Grid_Requirement'!C54))</f>
        <v/>
      </c>
      <c r="D54">
        <f>IF(COUNTIFS(T_StockCount[RM_Code],$A54,T_StockCount[WeekIndex],3)&gt;0,SUMIFS(T_StockCount[CountedQty],T_StockCount[RM_Code],$A54,T_StockCount[WeekIndex],3),IF((COUNTIFS(T_SelfStock[RM_Code],$A54,T_SelfStock[WeekIndex],3)&gt;0)*(COUNTIFS(T_TTAFStock[RM_Code],$A54,T_TTAFStock[WeekIndex],3)&gt;0)&gt;0,SUMIFS(T_SelfStock[Self_Qty],T_SelfStock[RM_Code],$A54,T_SelfStock[WeekIndex],3)+SUMIFS(T_TTAFStock[TTAF_Qty],T_TTAFStock[RM_Code],$A54,T_TTAFStock[WeekIndex],3),C54+'Grid_Incoming'!D54-'Grid_Requirement'!D54))</f>
        <v/>
      </c>
      <c r="E54">
        <f>IF(COUNTIFS(T_StockCount[RM_Code],$A54,T_StockCount[WeekIndex],4)&gt;0,SUMIFS(T_StockCount[CountedQty],T_StockCount[RM_Code],$A54,T_StockCount[WeekIndex],4),IF((COUNTIFS(T_SelfStock[RM_Code],$A54,T_SelfStock[WeekIndex],4)&gt;0)*(COUNTIFS(T_TTAFStock[RM_Code],$A54,T_TTAFStock[WeekIndex],4)&gt;0)&gt;0,SUMIFS(T_SelfStock[Self_Qty],T_SelfStock[RM_Code],$A54,T_SelfStock[WeekIndex],4)+SUMIFS(T_TTAFStock[TTAF_Qty],T_TTAFStock[RM_Code],$A54,T_TTAFStock[WeekIndex],4),D54+'Grid_Incoming'!E54-'Grid_Requirement'!E54))</f>
        <v/>
      </c>
      <c r="F54">
        <f>IF(COUNTIFS(T_StockCount[RM_Code],$A54,T_StockCount[WeekIndex],5)&gt;0,SUMIFS(T_StockCount[CountedQty],T_StockCount[RM_Code],$A54,T_StockCount[WeekIndex],5),IF((COUNTIFS(T_SelfStock[RM_Code],$A54,T_SelfStock[WeekIndex],5)&gt;0)*(COUNTIFS(T_TTAFStock[RM_Code],$A54,T_TTAFStock[WeekIndex],5)&gt;0)&gt;0,SUMIFS(T_SelfStock[Self_Qty],T_SelfStock[RM_Code],$A54,T_SelfStock[WeekIndex],5)+SUMIFS(T_TTAFStock[TTAF_Qty],T_TTAFStock[RM_Code],$A54,T_TTAFStock[WeekIndex],5),E54+'Grid_Incoming'!F54-'Grid_Requirement'!F54))</f>
        <v/>
      </c>
      <c r="G54">
        <f>IF(COUNTIFS(T_StockCount[RM_Code],$A54,T_StockCount[WeekIndex],6)&gt;0,SUMIFS(T_StockCount[CountedQty],T_StockCount[RM_Code],$A54,T_StockCount[WeekIndex],6),IF((COUNTIFS(T_SelfStock[RM_Code],$A54,T_SelfStock[WeekIndex],6)&gt;0)*(COUNTIFS(T_TTAFStock[RM_Code],$A54,T_TTAFStock[WeekIndex],6)&gt;0)&gt;0,SUMIFS(T_SelfStock[Self_Qty],T_SelfStock[RM_Code],$A54,T_SelfStock[WeekIndex],6)+SUMIFS(T_TTAFStock[TTAF_Qty],T_TTAFStock[RM_Code],$A54,T_TTAFStock[WeekIndex],6),F54+'Grid_Incoming'!G54-'Grid_Requirement'!G54))</f>
        <v/>
      </c>
      <c r="H54">
        <f>IF(COUNTIFS(T_StockCount[RM_Code],$A54,T_StockCount[WeekIndex],7)&gt;0,SUMIFS(T_StockCount[CountedQty],T_StockCount[RM_Code],$A54,T_StockCount[WeekIndex],7),IF((COUNTIFS(T_SelfStock[RM_Code],$A54,T_SelfStock[WeekIndex],7)&gt;0)*(COUNTIFS(T_TTAFStock[RM_Code],$A54,T_TTAFStock[WeekIndex],7)&gt;0)&gt;0,SUMIFS(T_SelfStock[Self_Qty],T_SelfStock[RM_Code],$A54,T_SelfStock[WeekIndex],7)+SUMIFS(T_TTAFStock[TTAF_Qty],T_TTAFStock[RM_Code],$A54,T_TTAFStock[WeekIndex],7),G54+'Grid_Incoming'!H54-'Grid_Requirement'!H54))</f>
        <v/>
      </c>
      <c r="I54">
        <f>IF(COUNTIFS(T_StockCount[RM_Code],$A54,T_StockCount[WeekIndex],8)&gt;0,SUMIFS(T_StockCount[CountedQty],T_StockCount[RM_Code],$A54,T_StockCount[WeekIndex],8),IF((COUNTIFS(T_SelfStock[RM_Code],$A54,T_SelfStock[WeekIndex],8)&gt;0)*(COUNTIFS(T_TTAFStock[RM_Code],$A54,T_TTAFStock[WeekIndex],8)&gt;0)&gt;0,SUMIFS(T_SelfStock[Self_Qty],T_SelfStock[RM_Code],$A54,T_SelfStock[WeekIndex],8)+SUMIFS(T_TTAFStock[TTAF_Qty],T_TTAFStock[RM_Code],$A54,T_TTAFStock[WeekIndex],8),H54+'Grid_Incoming'!I54-'Grid_Requirement'!I54))</f>
        <v/>
      </c>
      <c r="J54">
        <f>IF(COUNTIFS(T_StockCount[RM_Code],$A54,T_StockCount[WeekIndex],9)&gt;0,SUMIFS(T_StockCount[CountedQty],T_StockCount[RM_Code],$A54,T_StockCount[WeekIndex],9),IF((COUNTIFS(T_SelfStock[RM_Code],$A54,T_SelfStock[WeekIndex],9)&gt;0)*(COUNTIFS(T_TTAFStock[RM_Code],$A54,T_TTAFStock[WeekIndex],9)&gt;0)&gt;0,SUMIFS(T_SelfStock[Self_Qty],T_SelfStock[RM_Code],$A54,T_SelfStock[WeekIndex],9)+SUMIFS(T_TTAFStock[TTAF_Qty],T_TTAFStock[RM_Code],$A54,T_TTAFStock[WeekIndex],9),I54+'Grid_Incoming'!J54-'Grid_Requirement'!J54))</f>
        <v/>
      </c>
      <c r="K54">
        <f>IF(COUNTIFS(T_StockCount[RM_Code],$A54,T_StockCount[WeekIndex],10)&gt;0,SUMIFS(T_StockCount[CountedQty],T_StockCount[RM_Code],$A54,T_StockCount[WeekIndex],10),IF((COUNTIFS(T_SelfStock[RM_Code],$A54,T_SelfStock[WeekIndex],10)&gt;0)*(COUNTIFS(T_TTAFStock[RM_Code],$A54,T_TTAFStock[WeekIndex],10)&gt;0)&gt;0,SUMIFS(T_SelfStock[Self_Qty],T_SelfStock[RM_Code],$A54,T_SelfStock[WeekIndex],10)+SUMIFS(T_TTAFStock[TTAF_Qty],T_TTAFStock[RM_Code],$A54,T_TTAFStock[WeekIndex],10),J54+'Grid_Incoming'!K54-'Grid_Requirement'!K54))</f>
        <v/>
      </c>
      <c r="L54">
        <f>IF(COUNTIFS(T_StockCount[RM_Code],$A54,T_StockCount[WeekIndex],11)&gt;0,SUMIFS(T_StockCount[CountedQty],T_StockCount[RM_Code],$A54,T_StockCount[WeekIndex],11),IF((COUNTIFS(T_SelfStock[RM_Code],$A54,T_SelfStock[WeekIndex],11)&gt;0)*(COUNTIFS(T_TTAFStock[RM_Code],$A54,T_TTAFStock[WeekIndex],11)&gt;0)&gt;0,SUMIFS(T_SelfStock[Self_Qty],T_SelfStock[RM_Code],$A54,T_SelfStock[WeekIndex],11)+SUMIFS(T_TTAFStock[TTAF_Qty],T_TTAFStock[RM_Code],$A54,T_TTAFStock[WeekIndex],11),K54+'Grid_Incoming'!L54-'Grid_Requirement'!L54))</f>
        <v/>
      </c>
      <c r="M54">
        <f>IF(COUNTIFS(T_StockCount[RM_Code],$A54,T_StockCount[WeekIndex],12)&gt;0,SUMIFS(T_StockCount[CountedQty],T_StockCount[RM_Code],$A54,T_StockCount[WeekIndex],12),IF((COUNTIFS(T_SelfStock[RM_Code],$A54,T_SelfStock[WeekIndex],12)&gt;0)*(COUNTIFS(T_TTAFStock[RM_Code],$A54,T_TTAFStock[WeekIndex],12)&gt;0)&gt;0,SUMIFS(T_SelfStock[Self_Qty],T_SelfStock[RM_Code],$A54,T_SelfStock[WeekIndex],12)+SUMIFS(T_TTAFStock[TTAF_Qty],T_TTAFStock[RM_Code],$A54,T_TTAFStock[WeekIndex],12),L54+'Grid_Incoming'!M54-'Grid_Requirement'!M54))</f>
        <v/>
      </c>
      <c r="N54">
        <f>IF(COUNTIFS(T_StockCount[RM_Code],$A54,T_StockCount[WeekIndex],13)&gt;0,SUMIFS(T_StockCount[CountedQty],T_StockCount[RM_Code],$A54,T_StockCount[WeekIndex],13),IF((COUNTIFS(T_SelfStock[RM_Code],$A54,T_SelfStock[WeekIndex],13)&gt;0)*(COUNTIFS(T_TTAFStock[RM_Code],$A54,T_TTAFStock[WeekIndex],13)&gt;0)&gt;0,SUMIFS(T_SelfStock[Self_Qty],T_SelfStock[RM_Code],$A54,T_SelfStock[WeekIndex],13)+SUMIFS(T_TTAFStock[TTAF_Qty],T_TTAFStock[RM_Code],$A54,T_TTAFStock[WeekIndex],13),M54+'Grid_Incoming'!N54-'Grid_Requirement'!N54))</f>
        <v/>
      </c>
      <c r="O54">
        <f>IF(COUNTIFS(T_StockCount[RM_Code],$A54,T_StockCount[WeekIndex],14)&gt;0,SUMIFS(T_StockCount[CountedQty],T_StockCount[RM_Code],$A54,T_StockCount[WeekIndex],14),IF((COUNTIFS(T_SelfStock[RM_Code],$A54,T_SelfStock[WeekIndex],14)&gt;0)*(COUNTIFS(T_TTAFStock[RM_Code],$A54,T_TTAFStock[WeekIndex],14)&gt;0)&gt;0,SUMIFS(T_SelfStock[Self_Qty],T_SelfStock[RM_Code],$A54,T_SelfStock[WeekIndex],14)+SUMIFS(T_TTAFStock[TTAF_Qty],T_TTAFStock[RM_Code],$A54,T_TTAFStock[WeekIndex],14),N54+'Grid_Incoming'!O54-'Grid_Requirement'!O54))</f>
        <v/>
      </c>
      <c r="P54">
        <f>IF(COUNTIFS(T_StockCount[RM_Code],$A54,T_StockCount[WeekIndex],15)&gt;0,SUMIFS(T_StockCount[CountedQty],T_StockCount[RM_Code],$A54,T_StockCount[WeekIndex],15),IF((COUNTIFS(T_SelfStock[RM_Code],$A54,T_SelfStock[WeekIndex],15)&gt;0)*(COUNTIFS(T_TTAFStock[RM_Code],$A54,T_TTAFStock[WeekIndex],15)&gt;0)&gt;0,SUMIFS(T_SelfStock[Self_Qty],T_SelfStock[RM_Code],$A54,T_SelfStock[WeekIndex],15)+SUMIFS(T_TTAFStock[TTAF_Qty],T_TTAFStock[RM_Code],$A54,T_TTAFStock[WeekIndex],15),O54+'Grid_Incoming'!P54-'Grid_Requirement'!P54))</f>
        <v/>
      </c>
      <c r="Q54">
        <f>IF(COUNTIFS(T_StockCount[RM_Code],$A54,T_StockCount[WeekIndex],16)&gt;0,SUMIFS(T_StockCount[CountedQty],T_StockCount[RM_Code],$A54,T_StockCount[WeekIndex],16),IF((COUNTIFS(T_SelfStock[RM_Code],$A54,T_SelfStock[WeekIndex],16)&gt;0)*(COUNTIFS(T_TTAFStock[RM_Code],$A54,T_TTAFStock[WeekIndex],16)&gt;0)&gt;0,SUMIFS(T_SelfStock[Self_Qty],T_SelfStock[RM_Code],$A54,T_SelfStock[WeekIndex],16)+SUMIFS(T_TTAFStock[TTAF_Qty],T_TTAFStock[RM_Code],$A54,T_TTAFStock[WeekIndex],16),P54+'Grid_Incoming'!Q54-'Grid_Requirement'!Q54))</f>
        <v/>
      </c>
      <c r="R54">
        <f>IF(COUNTIFS(T_StockCount[RM_Code],$A54,T_StockCount[WeekIndex],17)&gt;0,SUMIFS(T_StockCount[CountedQty],T_StockCount[RM_Code],$A54,T_StockCount[WeekIndex],17),IF((COUNTIFS(T_SelfStock[RM_Code],$A54,T_SelfStock[WeekIndex],17)&gt;0)*(COUNTIFS(T_TTAFStock[RM_Code],$A54,T_TTAFStock[WeekIndex],17)&gt;0)&gt;0,SUMIFS(T_SelfStock[Self_Qty],T_SelfStock[RM_Code],$A54,T_SelfStock[WeekIndex],17)+SUMIFS(T_TTAFStock[TTAF_Qty],T_TTAFStock[RM_Code],$A54,T_TTAFStock[WeekIndex],17),Q54+'Grid_Incoming'!R54-'Grid_Requirement'!R54))</f>
        <v/>
      </c>
      <c r="S54">
        <f>IF(COUNTIFS(T_StockCount[RM_Code],$A54,T_StockCount[WeekIndex],18)&gt;0,SUMIFS(T_StockCount[CountedQty],T_StockCount[RM_Code],$A54,T_StockCount[WeekIndex],18),IF((COUNTIFS(T_SelfStock[RM_Code],$A54,T_SelfStock[WeekIndex],18)&gt;0)*(COUNTIFS(T_TTAFStock[RM_Code],$A54,T_TTAFStock[WeekIndex],18)&gt;0)&gt;0,SUMIFS(T_SelfStock[Self_Qty],T_SelfStock[RM_Code],$A54,T_SelfStock[WeekIndex],18)+SUMIFS(T_TTAFStock[TTAF_Qty],T_TTAFStock[RM_Code],$A54,T_TTAFStock[WeekIndex],18),R54+'Grid_Incoming'!S54-'Grid_Requirement'!S54))</f>
        <v/>
      </c>
      <c r="T54">
        <f>IF(COUNTIFS(T_StockCount[RM_Code],$A54,T_StockCount[WeekIndex],19)&gt;0,SUMIFS(T_StockCount[CountedQty],T_StockCount[RM_Code],$A54,T_StockCount[WeekIndex],19),IF((COUNTIFS(T_SelfStock[RM_Code],$A54,T_SelfStock[WeekIndex],19)&gt;0)*(COUNTIFS(T_TTAFStock[RM_Code],$A54,T_TTAFStock[WeekIndex],19)&gt;0)&gt;0,SUMIFS(T_SelfStock[Self_Qty],T_SelfStock[RM_Code],$A54,T_SelfStock[WeekIndex],19)+SUMIFS(T_TTAFStock[TTAF_Qty],T_TTAFStock[RM_Code],$A54,T_TTAFStock[WeekIndex],19),S54+'Grid_Incoming'!T54-'Grid_Requirement'!T54))</f>
        <v/>
      </c>
      <c r="U54">
        <f>IF(COUNTIFS(T_StockCount[RM_Code],$A54,T_StockCount[WeekIndex],20)&gt;0,SUMIFS(T_StockCount[CountedQty],T_StockCount[RM_Code],$A54,T_StockCount[WeekIndex],20),IF((COUNTIFS(T_SelfStock[RM_Code],$A54,T_SelfStock[WeekIndex],20)&gt;0)*(COUNTIFS(T_TTAFStock[RM_Code],$A54,T_TTAFStock[WeekIndex],20)&gt;0)&gt;0,SUMIFS(T_SelfStock[Self_Qty],T_SelfStock[RM_Code],$A54,T_SelfStock[WeekIndex],20)+SUMIFS(T_TTAFStock[TTAF_Qty],T_TTAFStock[RM_Code],$A54,T_TTAFStock[WeekIndex],20),T54+'Grid_Incoming'!U54-'Grid_Requirement'!U54))</f>
        <v/>
      </c>
      <c r="V54">
        <f>IF(COUNTIFS(T_StockCount[RM_Code],$A54,T_StockCount[WeekIndex],21)&gt;0,SUMIFS(T_StockCount[CountedQty],T_StockCount[RM_Code],$A54,T_StockCount[WeekIndex],21),IF((COUNTIFS(T_SelfStock[RM_Code],$A54,T_SelfStock[WeekIndex],21)&gt;0)*(COUNTIFS(T_TTAFStock[RM_Code],$A54,T_TTAFStock[WeekIndex],21)&gt;0)&gt;0,SUMIFS(T_SelfStock[Self_Qty],T_SelfStock[RM_Code],$A54,T_SelfStock[WeekIndex],21)+SUMIFS(T_TTAFStock[TTAF_Qty],T_TTAFStock[RM_Code],$A54,T_TTAFStock[WeekIndex],21),U54+'Grid_Incoming'!V54-'Grid_Requirement'!V54))</f>
        <v/>
      </c>
      <c r="W54">
        <f>IF(COUNTIFS(T_StockCount[RM_Code],$A54,T_StockCount[WeekIndex],22)&gt;0,SUMIFS(T_StockCount[CountedQty],T_StockCount[RM_Code],$A54,T_StockCount[WeekIndex],22),IF((COUNTIFS(T_SelfStock[RM_Code],$A54,T_SelfStock[WeekIndex],22)&gt;0)*(COUNTIFS(T_TTAFStock[RM_Code],$A54,T_TTAFStock[WeekIndex],22)&gt;0)&gt;0,SUMIFS(T_SelfStock[Self_Qty],T_SelfStock[RM_Code],$A54,T_SelfStock[WeekIndex],22)+SUMIFS(T_TTAFStock[TTAF_Qty],T_TTAFStock[RM_Code],$A54,T_TTAFStock[WeekIndex],22),V54+'Grid_Incoming'!W54-'Grid_Requirement'!W54))</f>
        <v/>
      </c>
      <c r="X54">
        <f>IF(COUNTIFS(T_StockCount[RM_Code],$A54,T_StockCount[WeekIndex],23)&gt;0,SUMIFS(T_StockCount[CountedQty],T_StockCount[RM_Code],$A54,T_StockCount[WeekIndex],23),IF((COUNTIFS(T_SelfStock[RM_Code],$A54,T_SelfStock[WeekIndex],23)&gt;0)*(COUNTIFS(T_TTAFStock[RM_Code],$A54,T_TTAFStock[WeekIndex],23)&gt;0)&gt;0,SUMIFS(T_SelfStock[Self_Qty],T_SelfStock[RM_Code],$A54,T_SelfStock[WeekIndex],23)+SUMIFS(T_TTAFStock[TTAF_Qty],T_TTAFStock[RM_Code],$A54,T_TTAFStock[WeekIndex],23),W54+'Grid_Incoming'!X54-'Grid_Requirement'!X54))</f>
        <v/>
      </c>
      <c r="Y54">
        <f>IF(COUNTIFS(T_StockCount[RM_Code],$A54,T_StockCount[WeekIndex],24)&gt;0,SUMIFS(T_StockCount[CountedQty],T_StockCount[RM_Code],$A54,T_StockCount[WeekIndex],24),IF((COUNTIFS(T_SelfStock[RM_Code],$A54,T_SelfStock[WeekIndex],24)&gt;0)*(COUNTIFS(T_TTAFStock[RM_Code],$A54,T_TTAFStock[WeekIndex],24)&gt;0)&gt;0,SUMIFS(T_SelfStock[Self_Qty],T_SelfStock[RM_Code],$A54,T_SelfStock[WeekIndex],24)+SUMIFS(T_TTAFStock[TTAF_Qty],T_TTAFStock[RM_Code],$A54,T_TTAFStock[WeekIndex],24),X54+'Grid_Incoming'!Y54-'Grid_Requirement'!Y54))</f>
        <v/>
      </c>
      <c r="Z54">
        <f>IF(COUNTIFS(T_StockCount[RM_Code],$A54,T_StockCount[WeekIndex],25)&gt;0,SUMIFS(T_StockCount[CountedQty],T_StockCount[RM_Code],$A54,T_StockCount[WeekIndex],25),IF((COUNTIFS(T_SelfStock[RM_Code],$A54,T_SelfStock[WeekIndex],25)&gt;0)*(COUNTIFS(T_TTAFStock[RM_Code],$A54,T_TTAFStock[WeekIndex],25)&gt;0)&gt;0,SUMIFS(T_SelfStock[Self_Qty],T_SelfStock[RM_Code],$A54,T_SelfStock[WeekIndex],25)+SUMIFS(T_TTAFStock[TTAF_Qty],T_TTAFStock[RM_Code],$A54,T_TTAFStock[WeekIndex],25),Y54+'Grid_Incoming'!Z54-'Grid_Requirement'!Z54))</f>
        <v/>
      </c>
      <c r="AA54">
        <f>IF(COUNTIFS(T_StockCount[RM_Code],$A54,T_StockCount[WeekIndex],26)&gt;0,SUMIFS(T_StockCount[CountedQty],T_StockCount[RM_Code],$A54,T_StockCount[WeekIndex],26),IF((COUNTIFS(T_SelfStock[RM_Code],$A54,T_SelfStock[WeekIndex],26)&gt;0)*(COUNTIFS(T_TTAFStock[RM_Code],$A54,T_TTAFStock[WeekIndex],26)&gt;0)&gt;0,SUMIFS(T_SelfStock[Self_Qty],T_SelfStock[RM_Code],$A54,T_SelfStock[WeekIndex],26)+SUMIFS(T_TTAFStock[TTAF_Qty],T_TTAFStock[RM_Code],$A54,T_TTAFStock[WeekIndex],26),Z54+'Grid_Incoming'!AA54-'Grid_Requirement'!AA54))</f>
        <v/>
      </c>
      <c r="AB54">
        <f>IF(COUNTIFS(T_StockCount[RM_Code],$A54,T_StockCount[WeekIndex],27)&gt;0,SUMIFS(T_StockCount[CountedQty],T_StockCount[RM_Code],$A54,T_StockCount[WeekIndex],27),IF((COUNTIFS(T_SelfStock[RM_Code],$A54,T_SelfStock[WeekIndex],27)&gt;0)*(COUNTIFS(T_TTAFStock[RM_Code],$A54,T_TTAFStock[WeekIndex],27)&gt;0)&gt;0,SUMIFS(T_SelfStock[Self_Qty],T_SelfStock[RM_Code],$A54,T_SelfStock[WeekIndex],27)+SUMIFS(T_TTAFStock[TTAF_Qty],T_TTAFStock[RM_Code],$A54,T_TTAFStock[WeekIndex],27),AA54+'Grid_Incoming'!AB54-'Grid_Requirement'!AB54))</f>
        <v/>
      </c>
      <c r="AC54">
        <f>IF(COUNTIFS(T_StockCount[RM_Code],$A54,T_StockCount[WeekIndex],28)&gt;0,SUMIFS(T_StockCount[CountedQty],T_StockCount[RM_Code],$A54,T_StockCount[WeekIndex],28),IF((COUNTIFS(T_SelfStock[RM_Code],$A54,T_SelfStock[WeekIndex],28)&gt;0)*(COUNTIFS(T_TTAFStock[RM_Code],$A54,T_TTAFStock[WeekIndex],28)&gt;0)&gt;0,SUMIFS(T_SelfStock[Self_Qty],T_SelfStock[RM_Code],$A54,T_SelfStock[WeekIndex],28)+SUMIFS(T_TTAFStock[TTAF_Qty],T_TTAFStock[RM_Code],$A54,T_TTAFStock[WeekIndex],28),AB54+'Grid_Incoming'!AC54-'Grid_Requirement'!AC54))</f>
        <v/>
      </c>
      <c r="AD54">
        <f>IF(COUNTIFS(T_StockCount[RM_Code],$A54,T_StockCount[WeekIndex],29)&gt;0,SUMIFS(T_StockCount[CountedQty],T_StockCount[RM_Code],$A54,T_StockCount[WeekIndex],29),IF((COUNTIFS(T_SelfStock[RM_Code],$A54,T_SelfStock[WeekIndex],29)&gt;0)*(COUNTIFS(T_TTAFStock[RM_Code],$A54,T_TTAFStock[WeekIndex],29)&gt;0)&gt;0,SUMIFS(T_SelfStock[Self_Qty],T_SelfStock[RM_Code],$A54,T_SelfStock[WeekIndex],29)+SUMIFS(T_TTAFStock[TTAF_Qty],T_TTAFStock[RM_Code],$A54,T_TTAFStock[WeekIndex],29),AC54+'Grid_Incoming'!AD54-'Grid_Requirement'!AD54))</f>
        <v/>
      </c>
      <c r="AE54">
        <f>IF(COUNTIFS(T_StockCount[RM_Code],$A54,T_StockCount[WeekIndex],30)&gt;0,SUMIFS(T_StockCount[CountedQty],T_StockCount[RM_Code],$A54,T_StockCount[WeekIndex],30),IF((COUNTIFS(T_SelfStock[RM_Code],$A54,T_SelfStock[WeekIndex],30)&gt;0)*(COUNTIFS(T_TTAFStock[RM_Code],$A54,T_TTAFStock[WeekIndex],30)&gt;0)&gt;0,SUMIFS(T_SelfStock[Self_Qty],T_SelfStock[RM_Code],$A54,T_SelfStock[WeekIndex],30)+SUMIFS(T_TTAFStock[TTAF_Qty],T_TTAFStock[RM_Code],$A54,T_TTAFStock[WeekIndex],30),AD54+'Grid_Incoming'!AE54-'Grid_Requirement'!AE54))</f>
        <v/>
      </c>
      <c r="AF54">
        <f>IF(COUNTIFS(T_StockCount[RM_Code],$A54,T_StockCount[WeekIndex],31)&gt;0,SUMIFS(T_StockCount[CountedQty],T_StockCount[RM_Code],$A54,T_StockCount[WeekIndex],31),IF((COUNTIFS(T_SelfStock[RM_Code],$A54,T_SelfStock[WeekIndex],31)&gt;0)*(COUNTIFS(T_TTAFStock[RM_Code],$A54,T_TTAFStock[WeekIndex],31)&gt;0)&gt;0,SUMIFS(T_SelfStock[Self_Qty],T_SelfStock[RM_Code],$A54,T_SelfStock[WeekIndex],31)+SUMIFS(T_TTAFStock[TTAF_Qty],T_TTAFStock[RM_Code],$A54,T_TTAFStock[WeekIndex],31),AE54+'Grid_Incoming'!AF54-'Grid_Requirement'!AF54))</f>
        <v/>
      </c>
      <c r="AG54">
        <f>IF(COUNTIFS(T_StockCount[RM_Code],$A54,T_StockCount[WeekIndex],32)&gt;0,SUMIFS(T_StockCount[CountedQty],T_StockCount[RM_Code],$A54,T_StockCount[WeekIndex],32),IF((COUNTIFS(T_SelfStock[RM_Code],$A54,T_SelfStock[WeekIndex],32)&gt;0)*(COUNTIFS(T_TTAFStock[RM_Code],$A54,T_TTAFStock[WeekIndex],32)&gt;0)&gt;0,SUMIFS(T_SelfStock[Self_Qty],T_SelfStock[RM_Code],$A54,T_SelfStock[WeekIndex],32)+SUMIFS(T_TTAFStock[TTAF_Qty],T_TTAFStock[RM_Code],$A54,T_TTAFStock[WeekIndex],32),AF54+'Grid_Incoming'!AG54-'Grid_Requirement'!AG54))</f>
        <v/>
      </c>
      <c r="AH54">
        <f>IF(COUNTIFS(T_StockCount[RM_Code],$A54,T_StockCount[WeekIndex],33)&gt;0,SUMIFS(T_StockCount[CountedQty],T_StockCount[RM_Code],$A54,T_StockCount[WeekIndex],33),IF((COUNTIFS(T_SelfStock[RM_Code],$A54,T_SelfStock[WeekIndex],33)&gt;0)*(COUNTIFS(T_TTAFStock[RM_Code],$A54,T_TTAFStock[WeekIndex],33)&gt;0)&gt;0,SUMIFS(T_SelfStock[Self_Qty],T_SelfStock[RM_Code],$A54,T_SelfStock[WeekIndex],33)+SUMIFS(T_TTAFStock[TTAF_Qty],T_TTAFStock[RM_Code],$A54,T_TTAFStock[WeekIndex],33),AG54+'Grid_Incoming'!AH54-'Grid_Requirement'!AH54))</f>
        <v/>
      </c>
      <c r="AI54">
        <f>IF(COUNTIFS(T_StockCount[RM_Code],$A54,T_StockCount[WeekIndex],34)&gt;0,SUMIFS(T_StockCount[CountedQty],T_StockCount[RM_Code],$A54,T_StockCount[WeekIndex],34),IF((COUNTIFS(T_SelfStock[RM_Code],$A54,T_SelfStock[WeekIndex],34)&gt;0)*(COUNTIFS(T_TTAFStock[RM_Code],$A54,T_TTAFStock[WeekIndex],34)&gt;0)&gt;0,SUMIFS(T_SelfStock[Self_Qty],T_SelfStock[RM_Code],$A54,T_SelfStock[WeekIndex],34)+SUMIFS(T_TTAFStock[TTAF_Qty],T_TTAFStock[RM_Code],$A54,T_TTAFStock[WeekIndex],34),AH54+'Grid_Incoming'!AI54-'Grid_Requirement'!AI54))</f>
        <v/>
      </c>
      <c r="AJ54">
        <f>IF(COUNTIFS(T_StockCount[RM_Code],$A54,T_StockCount[WeekIndex],35)&gt;0,SUMIFS(T_StockCount[CountedQty],T_StockCount[RM_Code],$A54,T_StockCount[WeekIndex],35),IF((COUNTIFS(T_SelfStock[RM_Code],$A54,T_SelfStock[WeekIndex],35)&gt;0)*(COUNTIFS(T_TTAFStock[RM_Code],$A54,T_TTAFStock[WeekIndex],35)&gt;0)&gt;0,SUMIFS(T_SelfStock[Self_Qty],T_SelfStock[RM_Code],$A54,T_SelfStock[WeekIndex],35)+SUMIFS(T_TTAFStock[TTAF_Qty],T_TTAFStock[RM_Code],$A54,T_TTAFStock[WeekIndex],35),AI54+'Grid_Incoming'!AJ54-'Grid_Requirement'!AJ54))</f>
        <v/>
      </c>
      <c r="AK54">
        <f>IF(COUNTIFS(T_StockCount[RM_Code],$A54,T_StockCount[WeekIndex],36)&gt;0,SUMIFS(T_StockCount[CountedQty],T_StockCount[RM_Code],$A54,T_StockCount[WeekIndex],36),IF((COUNTIFS(T_SelfStock[RM_Code],$A54,T_SelfStock[WeekIndex],36)&gt;0)*(COUNTIFS(T_TTAFStock[RM_Code],$A54,T_TTAFStock[WeekIndex],36)&gt;0)&gt;0,SUMIFS(T_SelfStock[Self_Qty],T_SelfStock[RM_Code],$A54,T_SelfStock[WeekIndex],36)+SUMIFS(T_TTAFStock[TTAF_Qty],T_TTAFStock[RM_Code],$A54,T_TTAFStock[WeekIndex],36),AJ54+'Grid_Incoming'!AK54-'Grid_Requirement'!AK54))</f>
        <v/>
      </c>
      <c r="AL54">
        <f>IF(COUNTIFS(T_StockCount[RM_Code],$A54,T_StockCount[WeekIndex],37)&gt;0,SUMIFS(T_StockCount[CountedQty],T_StockCount[RM_Code],$A54,T_StockCount[WeekIndex],37),IF((COUNTIFS(T_SelfStock[RM_Code],$A54,T_SelfStock[WeekIndex],37)&gt;0)*(COUNTIFS(T_TTAFStock[RM_Code],$A54,T_TTAFStock[WeekIndex],37)&gt;0)&gt;0,SUMIFS(T_SelfStock[Self_Qty],T_SelfStock[RM_Code],$A54,T_SelfStock[WeekIndex],37)+SUMIFS(T_TTAFStock[TTAF_Qty],T_TTAFStock[RM_Code],$A54,T_TTAFStock[WeekIndex],37),AK54+'Grid_Incoming'!AL54-'Grid_Requirement'!AL54))</f>
        <v/>
      </c>
      <c r="AM54">
        <f>IF(COUNTIFS(T_StockCount[RM_Code],$A54,T_StockCount[WeekIndex],38)&gt;0,SUMIFS(T_StockCount[CountedQty],T_StockCount[RM_Code],$A54,T_StockCount[WeekIndex],38),IF((COUNTIFS(T_SelfStock[RM_Code],$A54,T_SelfStock[WeekIndex],38)&gt;0)*(COUNTIFS(T_TTAFStock[RM_Code],$A54,T_TTAFStock[WeekIndex],38)&gt;0)&gt;0,SUMIFS(T_SelfStock[Self_Qty],T_SelfStock[RM_Code],$A54,T_SelfStock[WeekIndex],38)+SUMIFS(T_TTAFStock[TTAF_Qty],T_TTAFStock[RM_Code],$A54,T_TTAFStock[WeekIndex],38),AL54+'Grid_Incoming'!AM54-'Grid_Requirement'!AM54))</f>
        <v/>
      </c>
      <c r="AN54">
        <f>IF(COUNTIFS(T_StockCount[RM_Code],$A54,T_StockCount[WeekIndex],39)&gt;0,SUMIFS(T_StockCount[CountedQty],T_StockCount[RM_Code],$A54,T_StockCount[WeekIndex],39),IF((COUNTIFS(T_SelfStock[RM_Code],$A54,T_SelfStock[WeekIndex],39)&gt;0)*(COUNTIFS(T_TTAFStock[RM_Code],$A54,T_TTAFStock[WeekIndex],39)&gt;0)&gt;0,SUMIFS(T_SelfStock[Self_Qty],T_SelfStock[RM_Code],$A54,T_SelfStock[WeekIndex],39)+SUMIFS(T_TTAFStock[TTAF_Qty],T_TTAFStock[RM_Code],$A54,T_TTAFStock[WeekIndex],39),AM54+'Grid_Incoming'!AN54-'Grid_Requirement'!AN54))</f>
        <v/>
      </c>
      <c r="AO54">
        <f>IF(COUNTIFS(T_StockCount[RM_Code],$A54,T_StockCount[WeekIndex],40)&gt;0,SUMIFS(T_StockCount[CountedQty],T_StockCount[RM_Code],$A54,T_StockCount[WeekIndex],40),IF((COUNTIFS(T_SelfStock[RM_Code],$A54,T_SelfStock[WeekIndex],40)&gt;0)*(COUNTIFS(T_TTAFStock[RM_Code],$A54,T_TTAFStock[WeekIndex],40)&gt;0)&gt;0,SUMIFS(T_SelfStock[Self_Qty],T_SelfStock[RM_Code],$A54,T_SelfStock[WeekIndex],40)+SUMIFS(T_TTAFStock[TTAF_Qty],T_TTAFStock[RM_Code],$A54,T_TTAFStock[WeekIndex],40),AN54+'Grid_Incoming'!AO54-'Grid_Requirement'!AO54))</f>
        <v/>
      </c>
      <c r="AP54">
        <f>IF(COUNTIFS(T_StockCount[RM_Code],$A54,T_StockCount[WeekIndex],41)&gt;0,SUMIFS(T_StockCount[CountedQty],T_StockCount[RM_Code],$A54,T_StockCount[WeekIndex],41),IF((COUNTIFS(T_SelfStock[RM_Code],$A54,T_SelfStock[WeekIndex],41)&gt;0)*(COUNTIFS(T_TTAFStock[RM_Code],$A54,T_TTAFStock[WeekIndex],41)&gt;0)&gt;0,SUMIFS(T_SelfStock[Self_Qty],T_SelfStock[RM_Code],$A54,T_SelfStock[WeekIndex],41)+SUMIFS(T_TTAFStock[TTAF_Qty],T_TTAFStock[RM_Code],$A54,T_TTAFStock[WeekIndex],41),AO54+'Grid_Incoming'!AP54-'Grid_Requirement'!AP54))</f>
        <v/>
      </c>
      <c r="AQ54">
        <f>IF(COUNTIFS(T_StockCount[RM_Code],$A54,T_StockCount[WeekIndex],42)&gt;0,SUMIFS(T_StockCount[CountedQty],T_StockCount[RM_Code],$A54,T_StockCount[WeekIndex],42),IF((COUNTIFS(T_SelfStock[RM_Code],$A54,T_SelfStock[WeekIndex],42)&gt;0)*(COUNTIFS(T_TTAFStock[RM_Code],$A54,T_TTAFStock[WeekIndex],42)&gt;0)&gt;0,SUMIFS(T_SelfStock[Self_Qty],T_SelfStock[RM_Code],$A54,T_SelfStock[WeekIndex],42)+SUMIFS(T_TTAFStock[TTAF_Qty],T_TTAFStock[RM_Code],$A54,T_TTAFStock[WeekIndex],42),AP54+'Grid_Incoming'!AQ54-'Grid_Requirement'!AQ54))</f>
        <v/>
      </c>
      <c r="AR54">
        <f>IF(COUNTIFS(T_StockCount[RM_Code],$A54,T_StockCount[WeekIndex],43)&gt;0,SUMIFS(T_StockCount[CountedQty],T_StockCount[RM_Code],$A54,T_StockCount[WeekIndex],43),IF((COUNTIFS(T_SelfStock[RM_Code],$A54,T_SelfStock[WeekIndex],43)&gt;0)*(COUNTIFS(T_TTAFStock[RM_Code],$A54,T_TTAFStock[WeekIndex],43)&gt;0)&gt;0,SUMIFS(T_SelfStock[Self_Qty],T_SelfStock[RM_Code],$A54,T_SelfStock[WeekIndex],43)+SUMIFS(T_TTAFStock[TTAF_Qty],T_TTAFStock[RM_Code],$A54,T_TTAFStock[WeekIndex],43),AQ54+'Grid_Incoming'!AR54-'Grid_Requirement'!AR54))</f>
        <v/>
      </c>
      <c r="AS54">
        <f>IF(COUNTIFS(T_StockCount[RM_Code],$A54,T_StockCount[WeekIndex],44)&gt;0,SUMIFS(T_StockCount[CountedQty],T_StockCount[RM_Code],$A54,T_StockCount[WeekIndex],44),IF((COUNTIFS(T_SelfStock[RM_Code],$A54,T_SelfStock[WeekIndex],44)&gt;0)*(COUNTIFS(T_TTAFStock[RM_Code],$A54,T_TTAFStock[WeekIndex],44)&gt;0)&gt;0,SUMIFS(T_SelfStock[Self_Qty],T_SelfStock[RM_Code],$A54,T_SelfStock[WeekIndex],44)+SUMIFS(T_TTAFStock[TTAF_Qty],T_TTAFStock[RM_Code],$A54,T_TTAFStock[WeekIndex],44),AR54+'Grid_Incoming'!AS54-'Grid_Requirement'!AS54))</f>
        <v/>
      </c>
      <c r="AT54">
        <f>IF(COUNTIFS(T_StockCount[RM_Code],$A54,T_StockCount[WeekIndex],45)&gt;0,SUMIFS(T_StockCount[CountedQty],T_StockCount[RM_Code],$A54,T_StockCount[WeekIndex],45),IF((COUNTIFS(T_SelfStock[RM_Code],$A54,T_SelfStock[WeekIndex],45)&gt;0)*(COUNTIFS(T_TTAFStock[RM_Code],$A54,T_TTAFStock[WeekIndex],45)&gt;0)&gt;0,SUMIFS(T_SelfStock[Self_Qty],T_SelfStock[RM_Code],$A54,T_SelfStock[WeekIndex],45)+SUMIFS(T_TTAFStock[TTAF_Qty],T_TTAFStock[RM_Code],$A54,T_TTAFStock[WeekIndex],45),AS54+'Grid_Incoming'!AT54-'Grid_Requirement'!AT54))</f>
        <v/>
      </c>
      <c r="AU54">
        <f>IF(COUNTIFS(T_StockCount[RM_Code],$A54,T_StockCount[WeekIndex],46)&gt;0,SUMIFS(T_StockCount[CountedQty],T_StockCount[RM_Code],$A54,T_StockCount[WeekIndex],46),IF((COUNTIFS(T_SelfStock[RM_Code],$A54,T_SelfStock[WeekIndex],46)&gt;0)*(COUNTIFS(T_TTAFStock[RM_Code],$A54,T_TTAFStock[WeekIndex],46)&gt;0)&gt;0,SUMIFS(T_SelfStock[Self_Qty],T_SelfStock[RM_Code],$A54,T_SelfStock[WeekIndex],46)+SUMIFS(T_TTAFStock[TTAF_Qty],T_TTAFStock[RM_Code],$A54,T_TTAFStock[WeekIndex],46),AT54+'Grid_Incoming'!AU54-'Grid_Requirement'!AU54))</f>
        <v/>
      </c>
      <c r="AV54">
        <f>IF(COUNTIFS(T_StockCount[RM_Code],$A54,T_StockCount[WeekIndex],47)&gt;0,SUMIFS(T_StockCount[CountedQty],T_StockCount[RM_Code],$A54,T_StockCount[WeekIndex],47),IF((COUNTIFS(T_SelfStock[RM_Code],$A54,T_SelfStock[WeekIndex],47)&gt;0)*(COUNTIFS(T_TTAFStock[RM_Code],$A54,T_TTAFStock[WeekIndex],47)&gt;0)&gt;0,SUMIFS(T_SelfStock[Self_Qty],T_SelfStock[RM_Code],$A54,T_SelfStock[WeekIndex],47)+SUMIFS(T_TTAFStock[TTAF_Qty],T_TTAFStock[RM_Code],$A54,T_TTAFStock[WeekIndex],47),AU54+'Grid_Incoming'!AV54-'Grid_Requirement'!AV54))</f>
        <v/>
      </c>
      <c r="AW54">
        <f>IF(COUNTIFS(T_StockCount[RM_Code],$A54,T_StockCount[WeekIndex],48)&gt;0,SUMIFS(T_StockCount[CountedQty],T_StockCount[RM_Code],$A54,T_StockCount[WeekIndex],48),IF((COUNTIFS(T_SelfStock[RM_Code],$A54,T_SelfStock[WeekIndex],48)&gt;0)*(COUNTIFS(T_TTAFStock[RM_Code],$A54,T_TTAFStock[WeekIndex],48)&gt;0)&gt;0,SUMIFS(T_SelfStock[Self_Qty],T_SelfStock[RM_Code],$A54,T_SelfStock[WeekIndex],48)+SUMIFS(T_TTAFStock[TTAF_Qty],T_TTAFStock[RM_Code],$A54,T_TTAFStock[WeekIndex],48),AV54+'Grid_Incoming'!AW54-'Grid_Requirement'!AW54))</f>
        <v/>
      </c>
      <c r="AX54">
        <f>IF(COUNTIFS(T_StockCount[RM_Code],$A54,T_StockCount[WeekIndex],49)&gt;0,SUMIFS(T_StockCount[CountedQty],T_StockCount[RM_Code],$A54,T_StockCount[WeekIndex],49),IF((COUNTIFS(T_SelfStock[RM_Code],$A54,T_SelfStock[WeekIndex],49)&gt;0)*(COUNTIFS(T_TTAFStock[RM_Code],$A54,T_TTAFStock[WeekIndex],49)&gt;0)&gt;0,SUMIFS(T_SelfStock[Self_Qty],T_SelfStock[RM_Code],$A54,T_SelfStock[WeekIndex],49)+SUMIFS(T_TTAFStock[TTAF_Qty],T_TTAFStock[RM_Code],$A54,T_TTAFStock[WeekIndex],49),AW54+'Grid_Incoming'!AX54-'Grid_Requirement'!AX54))</f>
        <v/>
      </c>
      <c r="AY54">
        <f>IF(COUNTIFS(T_StockCount[RM_Code],$A54,T_StockCount[WeekIndex],50)&gt;0,SUMIFS(T_StockCount[CountedQty],T_StockCount[RM_Code],$A54,T_StockCount[WeekIndex],50),IF((COUNTIFS(T_SelfStock[RM_Code],$A54,T_SelfStock[WeekIndex],50)&gt;0)*(COUNTIFS(T_TTAFStock[RM_Code],$A54,T_TTAFStock[WeekIndex],50)&gt;0)&gt;0,SUMIFS(T_SelfStock[Self_Qty],T_SelfStock[RM_Code],$A54,T_SelfStock[WeekIndex],50)+SUMIFS(T_TTAFStock[TTAF_Qty],T_TTAFStock[RM_Code],$A54,T_TTAFStock[WeekIndex],50),AX54+'Grid_Incoming'!AY54-'Grid_Requirement'!AY54))</f>
        <v/>
      </c>
      <c r="AZ54">
        <f>IF(COUNTIFS(T_StockCount[RM_Code],$A54,T_StockCount[WeekIndex],51)&gt;0,SUMIFS(T_StockCount[CountedQty],T_StockCount[RM_Code],$A54,T_StockCount[WeekIndex],51),IF((COUNTIFS(T_SelfStock[RM_Code],$A54,T_SelfStock[WeekIndex],51)&gt;0)*(COUNTIFS(T_TTAFStock[RM_Code],$A54,T_TTAFStock[WeekIndex],51)&gt;0)&gt;0,SUMIFS(T_SelfStock[Self_Qty],T_SelfStock[RM_Code],$A54,T_SelfStock[WeekIndex],51)+SUMIFS(T_TTAFStock[TTAF_Qty],T_TTAFStock[RM_Code],$A54,T_TTAFStock[WeekIndex],51),AY54+'Grid_Incoming'!AZ54-'Grid_Requirement'!AZ54))</f>
        <v/>
      </c>
      <c r="BA54">
        <f>IF(COUNTIFS(T_StockCount[RM_Code],$A54,T_StockCount[WeekIndex],52)&gt;0,SUMIFS(T_StockCount[CountedQty],T_StockCount[RM_Code],$A54,T_StockCount[WeekIndex],52),IF((COUNTIFS(T_SelfStock[RM_Code],$A54,T_SelfStock[WeekIndex],52)&gt;0)*(COUNTIFS(T_TTAFStock[RM_Code],$A54,T_TTAFStock[WeekIndex],52)&gt;0)&gt;0,SUMIFS(T_SelfStock[Self_Qty],T_SelfStock[RM_Code],$A54,T_SelfStock[WeekIndex],52)+SUMIFS(T_TTAFStock[TTAF_Qty],T_TTAFStock[RM_Code],$A54,T_TTAFStock[WeekIndex],52),AZ54+'Grid_Incoming'!BA54-'Grid_Requirement'!BA54))</f>
        <v/>
      </c>
      <c r="BB54">
        <f>IF(COUNTIFS(T_StockCount[RM_Code],$A54,T_StockCount[WeekIndex],53)&gt;0,SUMIFS(T_StockCount[CountedQty],T_StockCount[RM_Code],$A54,T_StockCount[WeekIndex],53),IF((COUNTIFS(T_SelfStock[RM_Code],$A54,T_SelfStock[WeekIndex],53)&gt;0)*(COUNTIFS(T_TTAFStock[RM_Code],$A54,T_TTAFStock[WeekIndex],53)&gt;0)&gt;0,SUMIFS(T_SelfStock[Self_Qty],T_SelfStock[RM_Code],$A54,T_SelfStock[WeekIndex],53)+SUMIFS(T_TTAFStock[TTAF_Qty],T_TTAFStock[RM_Code],$A54,T_TTAFStock[WeekIndex],53),BA54+'Grid_Incoming'!BB54-'Grid_Requirement'!BB54))</f>
        <v/>
      </c>
      <c r="BC54">
        <f>IF(COUNTIFS(T_StockCount[RM_Code],$A54,T_StockCount[WeekIndex],54)&gt;0,SUMIFS(T_StockCount[CountedQty],T_StockCount[RM_Code],$A54,T_StockCount[WeekIndex],54),IF((COUNTIFS(T_SelfStock[RM_Code],$A54,T_SelfStock[WeekIndex],54)&gt;0)*(COUNTIFS(T_TTAFStock[RM_Code],$A54,T_TTAFStock[WeekIndex],54)&gt;0)&gt;0,SUMIFS(T_SelfStock[Self_Qty],T_SelfStock[RM_Code],$A54,T_SelfStock[WeekIndex],54)+SUMIFS(T_TTAFStock[TTAF_Qty],T_TTAFStock[RM_Code],$A54,T_TTAFStock[WeekIndex],54),BB54+'Grid_Incoming'!BC54-'Grid_Requirement'!BC54))</f>
        <v/>
      </c>
      <c r="BD54">
        <f>IF(COUNTIFS(T_StockCount[RM_Code],$A54,T_StockCount[WeekIndex],55)&gt;0,SUMIFS(T_StockCount[CountedQty],T_StockCount[RM_Code],$A54,T_StockCount[WeekIndex],55),IF((COUNTIFS(T_SelfStock[RM_Code],$A54,T_SelfStock[WeekIndex],55)&gt;0)*(COUNTIFS(T_TTAFStock[RM_Code],$A54,T_TTAFStock[WeekIndex],55)&gt;0)&gt;0,SUMIFS(T_SelfStock[Self_Qty],T_SelfStock[RM_Code],$A54,T_SelfStock[WeekIndex],55)+SUMIFS(T_TTAFStock[TTAF_Qty],T_TTAFStock[RM_Code],$A54,T_TTAFStock[WeekIndex],55),BC54+'Grid_Incoming'!BD54-'Grid_Requirement'!BD54))</f>
        <v/>
      </c>
      <c r="BE54">
        <f>IF(COUNTIFS(T_StockCount[RM_Code],$A54,T_StockCount[WeekIndex],56)&gt;0,SUMIFS(T_StockCount[CountedQty],T_StockCount[RM_Code],$A54,T_StockCount[WeekIndex],56),IF((COUNTIFS(T_SelfStock[RM_Code],$A54,T_SelfStock[WeekIndex],56)&gt;0)*(COUNTIFS(T_TTAFStock[RM_Code],$A54,T_TTAFStock[WeekIndex],56)&gt;0)&gt;0,SUMIFS(T_SelfStock[Self_Qty],T_SelfStock[RM_Code],$A54,T_SelfStock[WeekIndex],56)+SUMIFS(T_TTAFStock[TTAF_Qty],T_TTAFStock[RM_Code],$A54,T_TTAFStock[WeekIndex],56),BD54+'Grid_Incoming'!BE54-'Grid_Requirement'!BE54))</f>
        <v/>
      </c>
      <c r="BF54">
        <f>IF(COUNTIFS(T_StockCount[RM_Code],$A54,T_StockCount[WeekIndex],57)&gt;0,SUMIFS(T_StockCount[CountedQty],T_StockCount[RM_Code],$A54,T_StockCount[WeekIndex],57),IF((COUNTIFS(T_SelfStock[RM_Code],$A54,T_SelfStock[WeekIndex],57)&gt;0)*(COUNTIFS(T_TTAFStock[RM_Code],$A54,T_TTAFStock[WeekIndex],57)&gt;0)&gt;0,SUMIFS(T_SelfStock[Self_Qty],T_SelfStock[RM_Code],$A54,T_SelfStock[WeekIndex],57)+SUMIFS(T_TTAFStock[TTAF_Qty],T_TTAFStock[RM_Code],$A54,T_TTAFStock[WeekIndex],57),BE54+'Grid_Incoming'!BF54-'Grid_Requirement'!BF54))</f>
        <v/>
      </c>
      <c r="BG54">
        <f>IF(COUNTIFS(T_StockCount[RM_Code],$A54,T_StockCount[WeekIndex],58)&gt;0,SUMIFS(T_StockCount[CountedQty],T_StockCount[RM_Code],$A54,T_StockCount[WeekIndex],58),IF((COUNTIFS(T_SelfStock[RM_Code],$A54,T_SelfStock[WeekIndex],58)&gt;0)*(COUNTIFS(T_TTAFStock[RM_Code],$A54,T_TTAFStock[WeekIndex],58)&gt;0)&gt;0,SUMIFS(T_SelfStock[Self_Qty],T_SelfStock[RM_Code],$A54,T_SelfStock[WeekIndex],58)+SUMIFS(T_TTAFStock[TTAF_Qty],T_TTAFStock[RM_Code],$A54,T_TTAFStock[WeekIndex],58),BF54+'Grid_Incoming'!BG54-'Grid_Requirement'!BG54))</f>
        <v/>
      </c>
      <c r="BH54">
        <f>IF(COUNTIFS(T_StockCount[RM_Code],$A54,T_StockCount[WeekIndex],59)&gt;0,SUMIFS(T_StockCount[CountedQty],T_StockCount[RM_Code],$A54,T_StockCount[WeekIndex],59),IF((COUNTIFS(T_SelfStock[RM_Code],$A54,T_SelfStock[WeekIndex],59)&gt;0)*(COUNTIFS(T_TTAFStock[RM_Code],$A54,T_TTAFStock[WeekIndex],59)&gt;0)&gt;0,SUMIFS(T_SelfStock[Self_Qty],T_SelfStock[RM_Code],$A54,T_SelfStock[WeekIndex],59)+SUMIFS(T_TTAFStock[TTAF_Qty],T_TTAFStock[RM_Code],$A54,T_TTAFStock[WeekIndex],59),BG54+'Grid_Incoming'!BH54-'Grid_Requirement'!BH54))</f>
        <v/>
      </c>
      <c r="BI54">
        <f>IF(COUNTIFS(T_StockCount[RM_Code],$A54,T_StockCount[WeekIndex],60)&gt;0,SUMIFS(T_StockCount[CountedQty],T_StockCount[RM_Code],$A54,T_StockCount[WeekIndex],60),IF((COUNTIFS(T_SelfStock[RM_Code],$A54,T_SelfStock[WeekIndex],60)&gt;0)*(COUNTIFS(T_TTAFStock[RM_Code],$A54,T_TTAFStock[WeekIndex],60)&gt;0)&gt;0,SUMIFS(T_SelfStock[Self_Qty],T_SelfStock[RM_Code],$A54,T_SelfStock[WeekIndex],60)+SUMIFS(T_TTAFStock[TTAF_Qty],T_TTAFStock[RM_Code],$A54,T_TTAFStock[WeekIndex],60),BH54+'Grid_Incoming'!BI54-'Grid_Requirement'!BI54))</f>
        <v/>
      </c>
      <c r="BJ54">
        <f>IF(COUNTIFS(T_StockCount[RM_Code],$A54,T_StockCount[WeekIndex],61)&gt;0,SUMIFS(T_StockCount[CountedQty],T_StockCount[RM_Code],$A54,T_StockCount[WeekIndex],61),IF((COUNTIFS(T_SelfStock[RM_Code],$A54,T_SelfStock[WeekIndex],61)&gt;0)*(COUNTIFS(T_TTAFStock[RM_Code],$A54,T_TTAFStock[WeekIndex],61)&gt;0)&gt;0,SUMIFS(T_SelfStock[Self_Qty],T_SelfStock[RM_Code],$A54,T_SelfStock[WeekIndex],61)+SUMIFS(T_TTAFStock[TTAF_Qty],T_TTAFStock[RM_Code],$A54,T_TTAFStock[WeekIndex],61),BI54+'Grid_Incoming'!BJ54-'Grid_Requirement'!BJ54))</f>
        <v/>
      </c>
      <c r="BK54">
        <f>IF(COUNTIFS(T_StockCount[RM_Code],$A54,T_StockCount[WeekIndex],62)&gt;0,SUMIFS(T_StockCount[CountedQty],T_StockCount[RM_Code],$A54,T_StockCount[WeekIndex],62),IF((COUNTIFS(T_SelfStock[RM_Code],$A54,T_SelfStock[WeekIndex],62)&gt;0)*(COUNTIFS(T_TTAFStock[RM_Code],$A54,T_TTAFStock[WeekIndex],62)&gt;0)&gt;0,SUMIFS(T_SelfStock[Self_Qty],T_SelfStock[RM_Code],$A54,T_SelfStock[WeekIndex],62)+SUMIFS(T_TTAFStock[TTAF_Qty],T_TTAFStock[RM_Code],$A54,T_TTAFStock[WeekIndex],62),BJ54+'Grid_Incoming'!BK54-'Grid_Requirement'!BK54))</f>
        <v/>
      </c>
      <c r="BL54">
        <f>IF(COUNTIFS(T_StockCount[RM_Code],$A54,T_StockCount[WeekIndex],63)&gt;0,SUMIFS(T_StockCount[CountedQty],T_StockCount[RM_Code],$A54,T_StockCount[WeekIndex],63),IF((COUNTIFS(T_SelfStock[RM_Code],$A54,T_SelfStock[WeekIndex],63)&gt;0)*(COUNTIFS(T_TTAFStock[RM_Code],$A54,T_TTAFStock[WeekIndex],63)&gt;0)&gt;0,SUMIFS(T_SelfStock[Self_Qty],T_SelfStock[RM_Code],$A54,T_SelfStock[WeekIndex],63)+SUMIFS(T_TTAFStock[TTAF_Qty],T_TTAFStock[RM_Code],$A54,T_TTAFStock[WeekIndex],63),BK54+'Grid_Incoming'!BL54-'Grid_Requirement'!BL54))</f>
        <v/>
      </c>
      <c r="BM54">
        <f>IF(COUNTIFS(T_StockCount[RM_Code],$A54,T_StockCount[WeekIndex],64)&gt;0,SUMIFS(T_StockCount[CountedQty],T_StockCount[RM_Code],$A54,T_StockCount[WeekIndex],64),IF((COUNTIFS(T_SelfStock[RM_Code],$A54,T_SelfStock[WeekIndex],64)&gt;0)*(COUNTIFS(T_TTAFStock[RM_Code],$A54,T_TTAFStock[WeekIndex],64)&gt;0)&gt;0,SUMIFS(T_SelfStock[Self_Qty],T_SelfStock[RM_Code],$A54,T_SelfStock[WeekIndex],64)+SUMIFS(T_TTAFStock[TTAF_Qty],T_TTAFStock[RM_Code],$A54,T_TTAFStock[WeekIndex],64),BL54+'Grid_Incoming'!BM54-'Grid_Requirement'!BM54))</f>
        <v/>
      </c>
      <c r="BN54">
        <f>IF(COUNTIFS(T_StockCount[RM_Code],$A54,T_StockCount[WeekIndex],65)&gt;0,SUMIFS(T_StockCount[CountedQty],T_StockCount[RM_Code],$A54,T_StockCount[WeekIndex],65),IF((COUNTIFS(T_SelfStock[RM_Code],$A54,T_SelfStock[WeekIndex],65)&gt;0)*(COUNTIFS(T_TTAFStock[RM_Code],$A54,T_TTAFStock[WeekIndex],65)&gt;0)&gt;0,SUMIFS(T_SelfStock[Self_Qty],T_SelfStock[RM_Code],$A54,T_SelfStock[WeekIndex],65)+SUMIFS(T_TTAFStock[TTAF_Qty],T_TTAFStock[RM_Code],$A54,T_TTAFStock[WeekIndex],65),BM54+'Grid_Incoming'!BN54-'Grid_Requirement'!BN54))</f>
        <v/>
      </c>
      <c r="BO54">
        <f>IF(COUNTIFS(T_StockCount[RM_Code],$A54,T_StockCount[WeekIndex],66)&gt;0,SUMIFS(T_StockCount[CountedQty],T_StockCount[RM_Code],$A54,T_StockCount[WeekIndex],66),IF((COUNTIFS(T_SelfStock[RM_Code],$A54,T_SelfStock[WeekIndex],66)&gt;0)*(COUNTIFS(T_TTAFStock[RM_Code],$A54,T_TTAFStock[WeekIndex],66)&gt;0)&gt;0,SUMIFS(T_SelfStock[Self_Qty],T_SelfStock[RM_Code],$A54,T_SelfStock[WeekIndex],66)+SUMIFS(T_TTAFStock[TTAF_Qty],T_TTAFStock[RM_Code],$A54,T_TTAFStock[WeekIndex],66),BN54+'Grid_Incoming'!BO54-'Grid_Requirement'!BO54))</f>
        <v/>
      </c>
      <c r="BP54">
        <f>IF(COUNTIFS(T_StockCount[RM_Code],$A54,T_StockCount[WeekIndex],67)&gt;0,SUMIFS(T_StockCount[CountedQty],T_StockCount[RM_Code],$A54,T_StockCount[WeekIndex],67),IF((COUNTIFS(T_SelfStock[RM_Code],$A54,T_SelfStock[WeekIndex],67)&gt;0)*(COUNTIFS(T_TTAFStock[RM_Code],$A54,T_TTAFStock[WeekIndex],67)&gt;0)&gt;0,SUMIFS(T_SelfStock[Self_Qty],T_SelfStock[RM_Code],$A54,T_SelfStock[WeekIndex],67)+SUMIFS(T_TTAFStock[TTAF_Qty],T_TTAFStock[RM_Code],$A54,T_TTAFStock[WeekIndex],67),BO54+'Grid_Incoming'!BP54-'Grid_Requirement'!BP54))</f>
        <v/>
      </c>
      <c r="BQ54">
        <f>IF(COUNTIFS(T_StockCount[RM_Code],$A54,T_StockCount[WeekIndex],68)&gt;0,SUMIFS(T_StockCount[CountedQty],T_StockCount[RM_Code],$A54,T_StockCount[WeekIndex],68),IF((COUNTIFS(T_SelfStock[RM_Code],$A54,T_SelfStock[WeekIndex],68)&gt;0)*(COUNTIFS(T_TTAFStock[RM_Code],$A54,T_TTAFStock[WeekIndex],68)&gt;0)&gt;0,SUMIFS(T_SelfStock[Self_Qty],T_SelfStock[RM_Code],$A54,T_SelfStock[WeekIndex],68)+SUMIFS(T_TTAFStock[TTAF_Qty],T_TTAFStock[RM_Code],$A54,T_TTAFStock[WeekIndex],68),BP54+'Grid_Incoming'!BQ54-'Grid_Requirement'!BQ54))</f>
        <v/>
      </c>
      <c r="BR54">
        <f>IF(COUNTIFS(T_StockCount[RM_Code],$A54,T_StockCount[WeekIndex],69)&gt;0,SUMIFS(T_StockCount[CountedQty],T_StockCount[RM_Code],$A54,T_StockCount[WeekIndex],69),IF((COUNTIFS(T_SelfStock[RM_Code],$A54,T_SelfStock[WeekIndex],69)&gt;0)*(COUNTIFS(T_TTAFStock[RM_Code],$A54,T_TTAFStock[WeekIndex],69)&gt;0)&gt;0,SUMIFS(T_SelfStock[Self_Qty],T_SelfStock[RM_Code],$A54,T_SelfStock[WeekIndex],69)+SUMIFS(T_TTAFStock[TTAF_Qty],T_TTAFStock[RM_Code],$A54,T_TTAFStock[WeekIndex],69),BQ54+'Grid_Incoming'!BR54-'Grid_Requirement'!BR54))</f>
        <v/>
      </c>
      <c r="BS54">
        <f>IF(COUNTIFS(T_StockCount[RM_Code],$A54,T_StockCount[WeekIndex],70)&gt;0,SUMIFS(T_StockCount[CountedQty],T_StockCount[RM_Code],$A54,T_StockCount[WeekIndex],70),IF((COUNTIFS(T_SelfStock[RM_Code],$A54,T_SelfStock[WeekIndex],70)&gt;0)*(COUNTIFS(T_TTAFStock[RM_Code],$A54,T_TTAFStock[WeekIndex],70)&gt;0)&gt;0,SUMIFS(T_SelfStock[Self_Qty],T_SelfStock[RM_Code],$A54,T_SelfStock[WeekIndex],70)+SUMIFS(T_TTAFStock[TTAF_Qty],T_TTAFStock[RM_Code],$A54,T_TTAFStock[WeekIndex],70),BR54+'Grid_Incoming'!BS54-'Grid_Requirement'!BS54))</f>
        <v/>
      </c>
      <c r="BT54">
        <f>IF(COUNTIFS(T_StockCount[RM_Code],$A54,T_StockCount[WeekIndex],71)&gt;0,SUMIFS(T_StockCount[CountedQty],T_StockCount[RM_Code],$A54,T_StockCount[WeekIndex],71),IF((COUNTIFS(T_SelfStock[RM_Code],$A54,T_SelfStock[WeekIndex],71)&gt;0)*(COUNTIFS(T_TTAFStock[RM_Code],$A54,T_TTAFStock[WeekIndex],71)&gt;0)&gt;0,SUMIFS(T_SelfStock[Self_Qty],T_SelfStock[RM_Code],$A54,T_SelfStock[WeekIndex],71)+SUMIFS(T_TTAFStock[TTAF_Qty],T_TTAFStock[RM_Code],$A54,T_TTAFStock[WeekIndex],71),BS54+'Grid_Incoming'!BT54-'Grid_Requirement'!BT54))</f>
        <v/>
      </c>
      <c r="BU54">
        <f>IF(COUNTIFS(T_StockCount[RM_Code],$A54,T_StockCount[WeekIndex],72)&gt;0,SUMIFS(T_StockCount[CountedQty],T_StockCount[RM_Code],$A54,T_StockCount[WeekIndex],72),IF((COUNTIFS(T_SelfStock[RM_Code],$A54,T_SelfStock[WeekIndex],72)&gt;0)*(COUNTIFS(T_TTAFStock[RM_Code],$A54,T_TTAFStock[WeekIndex],72)&gt;0)&gt;0,SUMIFS(T_SelfStock[Self_Qty],T_SelfStock[RM_Code],$A54,T_SelfStock[WeekIndex],72)+SUMIFS(T_TTAFStock[TTAF_Qty],T_TTAFStock[RM_Code],$A54,T_TTAFStock[WeekIndex],72),BT54+'Grid_Incoming'!BU54-'Grid_Requirement'!BU54))</f>
        <v/>
      </c>
      <c r="BV54">
        <f>IF(COUNTIFS(T_StockCount[RM_Code],$A54,T_StockCount[WeekIndex],73)&gt;0,SUMIFS(T_StockCount[CountedQty],T_StockCount[RM_Code],$A54,T_StockCount[WeekIndex],73),IF((COUNTIFS(T_SelfStock[RM_Code],$A54,T_SelfStock[WeekIndex],73)&gt;0)*(COUNTIFS(T_TTAFStock[RM_Code],$A54,T_TTAFStock[WeekIndex],73)&gt;0)&gt;0,SUMIFS(T_SelfStock[Self_Qty],T_SelfStock[RM_Code],$A54,T_SelfStock[WeekIndex],73)+SUMIFS(T_TTAFStock[TTAF_Qty],T_TTAFStock[RM_Code],$A54,T_TTAFStock[WeekIndex],73),BU54+'Grid_Incoming'!BV54-'Grid_Requirement'!BV54))</f>
        <v/>
      </c>
      <c r="BW54">
        <f>IF(COUNTIFS(T_StockCount[RM_Code],$A54,T_StockCount[WeekIndex],74)&gt;0,SUMIFS(T_StockCount[CountedQty],T_StockCount[RM_Code],$A54,T_StockCount[WeekIndex],74),IF((COUNTIFS(T_SelfStock[RM_Code],$A54,T_SelfStock[WeekIndex],74)&gt;0)*(COUNTIFS(T_TTAFStock[RM_Code],$A54,T_TTAFStock[WeekIndex],74)&gt;0)&gt;0,SUMIFS(T_SelfStock[Self_Qty],T_SelfStock[RM_Code],$A54,T_SelfStock[WeekIndex],74)+SUMIFS(T_TTAFStock[TTAF_Qty],T_TTAFStock[RM_Code],$A54,T_TTAFStock[WeekIndex],74),BV54+'Grid_Incoming'!BW54-'Grid_Requirement'!BW54))</f>
        <v/>
      </c>
      <c r="BX54">
        <f>IF(COUNTIFS(T_StockCount[RM_Code],$A54,T_StockCount[WeekIndex],75)&gt;0,SUMIFS(T_StockCount[CountedQty],T_StockCount[RM_Code],$A54,T_StockCount[WeekIndex],75),IF((COUNTIFS(T_SelfStock[RM_Code],$A54,T_SelfStock[WeekIndex],75)&gt;0)*(COUNTIFS(T_TTAFStock[RM_Code],$A54,T_TTAFStock[WeekIndex],75)&gt;0)&gt;0,SUMIFS(T_SelfStock[Self_Qty],T_SelfStock[RM_Code],$A54,T_SelfStock[WeekIndex],75)+SUMIFS(T_TTAFStock[TTAF_Qty],T_TTAFStock[RM_Code],$A54,T_TTAFStock[WeekIndex],75),BW54+'Grid_Incoming'!BX54-'Grid_Requirement'!BX54))</f>
        <v/>
      </c>
      <c r="BY54">
        <f>IF(COUNTIFS(T_StockCount[RM_Code],$A54,T_StockCount[WeekIndex],76)&gt;0,SUMIFS(T_StockCount[CountedQty],T_StockCount[RM_Code],$A54,T_StockCount[WeekIndex],76),IF((COUNTIFS(T_SelfStock[RM_Code],$A54,T_SelfStock[WeekIndex],76)&gt;0)*(COUNTIFS(T_TTAFStock[RM_Code],$A54,T_TTAFStock[WeekIndex],76)&gt;0)&gt;0,SUMIFS(T_SelfStock[Self_Qty],T_SelfStock[RM_Code],$A54,T_SelfStock[WeekIndex],76)+SUMIFS(T_TTAFStock[TTAF_Qty],T_TTAFStock[RM_Code],$A54,T_TTAFStock[WeekIndex],76),BX54+'Grid_Incoming'!BY54-'Grid_Requirement'!BY54))</f>
        <v/>
      </c>
      <c r="BZ54">
        <f>IF(COUNTIFS(T_StockCount[RM_Code],$A54,T_StockCount[WeekIndex],77)&gt;0,SUMIFS(T_StockCount[CountedQty],T_StockCount[RM_Code],$A54,T_StockCount[WeekIndex],77),IF((COUNTIFS(T_SelfStock[RM_Code],$A54,T_SelfStock[WeekIndex],77)&gt;0)*(COUNTIFS(T_TTAFStock[RM_Code],$A54,T_TTAFStock[WeekIndex],77)&gt;0)&gt;0,SUMIFS(T_SelfStock[Self_Qty],T_SelfStock[RM_Code],$A54,T_SelfStock[WeekIndex],77)+SUMIFS(T_TTAFStock[TTAF_Qty],T_TTAFStock[RM_Code],$A54,T_TTAFStock[WeekIndex],77),BY54+'Grid_Incoming'!BZ54-'Grid_Requirement'!BZ54))</f>
        <v/>
      </c>
      <c r="CA54">
        <f>IF(COUNTIFS(T_StockCount[RM_Code],$A54,T_StockCount[WeekIndex],78)&gt;0,SUMIFS(T_StockCount[CountedQty],T_StockCount[RM_Code],$A54,T_StockCount[WeekIndex],78),IF((COUNTIFS(T_SelfStock[RM_Code],$A54,T_SelfStock[WeekIndex],78)&gt;0)*(COUNTIFS(T_TTAFStock[RM_Code],$A54,T_TTAFStock[WeekIndex],78)&gt;0)&gt;0,SUMIFS(T_SelfStock[Self_Qty],T_SelfStock[RM_Code],$A54,T_SelfStock[WeekIndex],78)+SUMIFS(T_TTAFStock[TTAF_Qty],T_TTAFStock[RM_Code],$A54,T_TTAFStock[WeekIndex],78),BZ54+'Grid_Incoming'!CA54-'Grid_Requirement'!CA54))</f>
        <v/>
      </c>
      <c r="CB54">
        <f>IF(COUNTIFS(T_StockCount[RM_Code],$A54,T_StockCount[WeekIndex],79)&gt;0,SUMIFS(T_StockCount[CountedQty],T_StockCount[RM_Code],$A54,T_StockCount[WeekIndex],79),IF((COUNTIFS(T_SelfStock[RM_Code],$A54,T_SelfStock[WeekIndex],79)&gt;0)*(COUNTIFS(T_TTAFStock[RM_Code],$A54,T_TTAFStock[WeekIndex],79)&gt;0)&gt;0,SUMIFS(T_SelfStock[Self_Qty],T_SelfStock[RM_Code],$A54,T_SelfStock[WeekIndex],79)+SUMIFS(T_TTAFStock[TTAF_Qty],T_TTAFStock[RM_Code],$A54,T_TTAFStock[WeekIndex],79),CA54+'Grid_Incoming'!CB54-'Grid_Requirement'!CB54))</f>
        <v/>
      </c>
      <c r="CC54">
        <f>IF(COUNTIFS(T_StockCount[RM_Code],$A54,T_StockCount[WeekIndex],80)&gt;0,SUMIFS(T_StockCount[CountedQty],T_StockCount[RM_Code],$A54,T_StockCount[WeekIndex],80),IF((COUNTIFS(T_SelfStock[RM_Code],$A54,T_SelfStock[WeekIndex],80)&gt;0)*(COUNTIFS(T_TTAFStock[RM_Code],$A54,T_TTAFStock[WeekIndex],80)&gt;0)&gt;0,SUMIFS(T_SelfStock[Self_Qty],T_SelfStock[RM_Code],$A54,T_SelfStock[WeekIndex],80)+SUMIFS(T_TTAFStock[TTAF_Qty],T_TTAFStock[RM_Code],$A54,T_TTAFStock[WeekIndex],80),CB54+'Grid_Incoming'!CC54-'Grid_Requirement'!CC54))</f>
        <v/>
      </c>
      <c r="CD54">
        <f>IF(COUNTIFS(T_StockCount[RM_Code],$A54,T_StockCount[WeekIndex],81)&gt;0,SUMIFS(T_StockCount[CountedQty],T_StockCount[RM_Code],$A54,T_StockCount[WeekIndex],81),IF((COUNTIFS(T_SelfStock[RM_Code],$A54,T_SelfStock[WeekIndex],81)&gt;0)*(COUNTIFS(T_TTAFStock[RM_Code],$A54,T_TTAFStock[WeekIndex],81)&gt;0)&gt;0,SUMIFS(T_SelfStock[Self_Qty],T_SelfStock[RM_Code],$A54,T_SelfStock[WeekIndex],81)+SUMIFS(T_TTAFStock[TTAF_Qty],T_TTAFStock[RM_Code],$A54,T_TTAFStock[WeekIndex],81),CC54+'Grid_Incoming'!CD54-'Grid_Requirement'!CD54))</f>
        <v/>
      </c>
      <c r="CE54">
        <f>IF(COUNTIFS(T_StockCount[RM_Code],$A54,T_StockCount[WeekIndex],82)&gt;0,SUMIFS(T_StockCount[CountedQty],T_StockCount[RM_Code],$A54,T_StockCount[WeekIndex],82),IF((COUNTIFS(T_SelfStock[RM_Code],$A54,T_SelfStock[WeekIndex],82)&gt;0)*(COUNTIFS(T_TTAFStock[RM_Code],$A54,T_TTAFStock[WeekIndex],82)&gt;0)&gt;0,SUMIFS(T_SelfStock[Self_Qty],T_SelfStock[RM_Code],$A54,T_SelfStock[WeekIndex],82)+SUMIFS(T_TTAFStock[TTAF_Qty],T_TTAFStock[RM_Code],$A54,T_TTAFStock[WeekIndex],82),CD54+'Grid_Incoming'!CE54-'Grid_Requirement'!CE54))</f>
        <v/>
      </c>
      <c r="CF54">
        <f>IF(COUNTIFS(T_StockCount[RM_Code],$A54,T_StockCount[WeekIndex],83)&gt;0,SUMIFS(T_StockCount[CountedQty],T_StockCount[RM_Code],$A54,T_StockCount[WeekIndex],83),IF((COUNTIFS(T_SelfStock[RM_Code],$A54,T_SelfStock[WeekIndex],83)&gt;0)*(COUNTIFS(T_TTAFStock[RM_Code],$A54,T_TTAFStock[WeekIndex],83)&gt;0)&gt;0,SUMIFS(T_SelfStock[Self_Qty],T_SelfStock[RM_Code],$A54,T_SelfStock[WeekIndex],83)+SUMIFS(T_TTAFStock[TTAF_Qty],T_TTAFStock[RM_Code],$A54,T_TTAFStock[WeekIndex],83),CE54+'Grid_Incoming'!CF54-'Grid_Requirement'!CF54))</f>
        <v/>
      </c>
      <c r="CG54">
        <f>IF(COUNTIFS(T_StockCount[RM_Code],$A54,T_StockCount[WeekIndex],84)&gt;0,SUMIFS(T_StockCount[CountedQty],T_StockCount[RM_Code],$A54,T_StockCount[WeekIndex],84),IF((COUNTIFS(T_SelfStock[RM_Code],$A54,T_SelfStock[WeekIndex],84)&gt;0)*(COUNTIFS(T_TTAFStock[RM_Code],$A54,T_TTAFStock[WeekIndex],84)&gt;0)&gt;0,SUMIFS(T_SelfStock[Self_Qty],T_SelfStock[RM_Code],$A54,T_SelfStock[WeekIndex],84)+SUMIFS(T_TTAFStock[TTAF_Qty],T_TTAFStock[RM_Code],$A54,T_TTAFStock[WeekIndex],84),CF54+'Grid_Incoming'!CG54-'Grid_Requirement'!CG54))</f>
        <v/>
      </c>
      <c r="CH54">
        <f>IF(COUNTIFS(T_StockCount[RM_Code],$A54,T_StockCount[WeekIndex],85)&gt;0,SUMIFS(T_StockCount[CountedQty],T_StockCount[RM_Code],$A54,T_StockCount[WeekIndex],85),IF((COUNTIFS(T_SelfStock[RM_Code],$A54,T_SelfStock[WeekIndex],85)&gt;0)*(COUNTIFS(T_TTAFStock[RM_Code],$A54,T_TTAFStock[WeekIndex],85)&gt;0)&gt;0,SUMIFS(T_SelfStock[Self_Qty],T_SelfStock[RM_Code],$A54,T_SelfStock[WeekIndex],85)+SUMIFS(T_TTAFStock[TTAF_Qty],T_TTAFStock[RM_Code],$A54,T_TTAFStock[WeekIndex],85),CG54+'Grid_Incoming'!CH54-'Grid_Requirement'!CH54))</f>
        <v/>
      </c>
      <c r="CI54">
        <f>IF(COUNTIFS(T_StockCount[RM_Code],$A54,T_StockCount[WeekIndex],86)&gt;0,SUMIFS(T_StockCount[CountedQty],T_StockCount[RM_Code],$A54,T_StockCount[WeekIndex],86),IF((COUNTIFS(T_SelfStock[RM_Code],$A54,T_SelfStock[WeekIndex],86)&gt;0)*(COUNTIFS(T_TTAFStock[RM_Code],$A54,T_TTAFStock[WeekIndex],86)&gt;0)&gt;0,SUMIFS(T_SelfStock[Self_Qty],T_SelfStock[RM_Code],$A54,T_SelfStock[WeekIndex],86)+SUMIFS(T_TTAFStock[TTAF_Qty],T_TTAFStock[RM_Code],$A54,T_TTAFStock[WeekIndex],86),CH54+'Grid_Incoming'!CI54-'Grid_Requirement'!CI54))</f>
        <v/>
      </c>
      <c r="CJ54">
        <f>IF(COUNTIFS(T_StockCount[RM_Code],$A54,T_StockCount[WeekIndex],87)&gt;0,SUMIFS(T_StockCount[CountedQty],T_StockCount[RM_Code],$A54,T_StockCount[WeekIndex],87),IF((COUNTIFS(T_SelfStock[RM_Code],$A54,T_SelfStock[WeekIndex],87)&gt;0)*(COUNTIFS(T_TTAFStock[RM_Code],$A54,T_TTAFStock[WeekIndex],87)&gt;0)&gt;0,SUMIFS(T_SelfStock[Self_Qty],T_SelfStock[RM_Code],$A54,T_SelfStock[WeekIndex],87)+SUMIFS(T_TTAFStock[TTAF_Qty],T_TTAFStock[RM_Code],$A54,T_TTAFStock[WeekIndex],87),CI54+'Grid_Incoming'!CJ54-'Grid_Requirement'!CJ54))</f>
        <v/>
      </c>
      <c r="CK54">
        <f>IF(COUNTIFS(T_StockCount[RM_Code],$A54,T_StockCount[WeekIndex],88)&gt;0,SUMIFS(T_StockCount[CountedQty],T_StockCount[RM_Code],$A54,T_StockCount[WeekIndex],88),IF((COUNTIFS(T_SelfStock[RM_Code],$A54,T_SelfStock[WeekIndex],88)&gt;0)*(COUNTIFS(T_TTAFStock[RM_Code],$A54,T_TTAFStock[WeekIndex],88)&gt;0)&gt;0,SUMIFS(T_SelfStock[Self_Qty],T_SelfStock[RM_Code],$A54,T_SelfStock[WeekIndex],88)+SUMIFS(T_TTAFStock[TTAF_Qty],T_TTAFStock[RM_Code],$A54,T_TTAFStock[WeekIndex],88),CJ54+'Grid_Incoming'!CK54-'Grid_Requirement'!CK54))</f>
        <v/>
      </c>
      <c r="CL54">
        <f>IF(COUNTIFS(T_StockCount[RM_Code],$A54,T_StockCount[WeekIndex],89)&gt;0,SUMIFS(T_StockCount[CountedQty],T_StockCount[RM_Code],$A54,T_StockCount[WeekIndex],89),IF((COUNTIFS(T_SelfStock[RM_Code],$A54,T_SelfStock[WeekIndex],89)&gt;0)*(COUNTIFS(T_TTAFStock[RM_Code],$A54,T_TTAFStock[WeekIndex],89)&gt;0)&gt;0,SUMIFS(T_SelfStock[Self_Qty],T_SelfStock[RM_Code],$A54,T_SelfStock[WeekIndex],89)+SUMIFS(T_TTAFStock[TTAF_Qty],T_TTAFStock[RM_Code],$A54,T_TTAFStock[WeekIndex],89),CK54+'Grid_Incoming'!CL54-'Grid_Requirement'!CL54))</f>
        <v/>
      </c>
      <c r="CM54">
        <f>IF(COUNTIFS(T_StockCount[RM_Code],$A54,T_StockCount[WeekIndex],90)&gt;0,SUMIFS(T_StockCount[CountedQty],T_StockCount[RM_Code],$A54,T_StockCount[WeekIndex],90),IF((COUNTIFS(T_SelfStock[RM_Code],$A54,T_SelfStock[WeekIndex],90)&gt;0)*(COUNTIFS(T_TTAFStock[RM_Code],$A54,T_TTAFStock[WeekIndex],90)&gt;0)&gt;0,SUMIFS(T_SelfStock[Self_Qty],T_SelfStock[RM_Code],$A54,T_SelfStock[WeekIndex],90)+SUMIFS(T_TTAFStock[TTAF_Qty],T_TTAFStock[RM_Code],$A54,T_TTAFStock[WeekIndex],90),CL54+'Grid_Incoming'!CM54-'Grid_Requirement'!CM54))</f>
        <v/>
      </c>
      <c r="CN54">
        <f>IF(COUNTIFS(T_StockCount[RM_Code],$A54,T_StockCount[WeekIndex],91)&gt;0,SUMIFS(T_StockCount[CountedQty],T_StockCount[RM_Code],$A54,T_StockCount[WeekIndex],91),IF((COUNTIFS(T_SelfStock[RM_Code],$A54,T_SelfStock[WeekIndex],91)&gt;0)*(COUNTIFS(T_TTAFStock[RM_Code],$A54,T_TTAFStock[WeekIndex],91)&gt;0)&gt;0,SUMIFS(T_SelfStock[Self_Qty],T_SelfStock[RM_Code],$A54,T_SelfStock[WeekIndex],91)+SUMIFS(T_TTAFStock[TTAF_Qty],T_TTAFStock[RM_Code],$A54,T_TTAFStock[WeekIndex],91),CM54+'Grid_Incoming'!CN54-'Grid_Requirement'!CN54))</f>
        <v/>
      </c>
      <c r="CO54">
        <f>IF(COUNTIFS(T_StockCount[RM_Code],$A54,T_StockCount[WeekIndex],92)&gt;0,SUMIFS(T_StockCount[CountedQty],T_StockCount[RM_Code],$A54,T_StockCount[WeekIndex],92),IF((COUNTIFS(T_SelfStock[RM_Code],$A54,T_SelfStock[WeekIndex],92)&gt;0)*(COUNTIFS(T_TTAFStock[RM_Code],$A54,T_TTAFStock[WeekIndex],92)&gt;0)&gt;0,SUMIFS(T_SelfStock[Self_Qty],T_SelfStock[RM_Code],$A54,T_SelfStock[WeekIndex],92)+SUMIFS(T_TTAFStock[TTAF_Qty],T_TTAFStock[RM_Code],$A54,T_TTAFStock[WeekIndex],92),CN54+'Grid_Incoming'!CO54-'Grid_Requirement'!CO54))</f>
        <v/>
      </c>
      <c r="CP54">
        <f>IF(COUNTIFS(T_StockCount[RM_Code],$A54,T_StockCount[WeekIndex],93)&gt;0,SUMIFS(T_StockCount[CountedQty],T_StockCount[RM_Code],$A54,T_StockCount[WeekIndex],93),IF((COUNTIFS(T_SelfStock[RM_Code],$A54,T_SelfStock[WeekIndex],93)&gt;0)*(COUNTIFS(T_TTAFStock[RM_Code],$A54,T_TTAFStock[WeekIndex],93)&gt;0)&gt;0,SUMIFS(T_SelfStock[Self_Qty],T_SelfStock[RM_Code],$A54,T_SelfStock[WeekIndex],93)+SUMIFS(T_TTAFStock[TTAF_Qty],T_TTAFStock[RM_Code],$A54,T_TTAFStock[WeekIndex],93),CO54+'Grid_Incoming'!CP54-'Grid_Requirement'!CP54))</f>
        <v/>
      </c>
      <c r="CQ54">
        <f>IF(COUNTIFS(T_StockCount[RM_Code],$A54,T_StockCount[WeekIndex],94)&gt;0,SUMIFS(T_StockCount[CountedQty],T_StockCount[RM_Code],$A54,T_StockCount[WeekIndex],94),IF((COUNTIFS(T_SelfStock[RM_Code],$A54,T_SelfStock[WeekIndex],94)&gt;0)*(COUNTIFS(T_TTAFStock[RM_Code],$A54,T_TTAFStock[WeekIndex],94)&gt;0)&gt;0,SUMIFS(T_SelfStock[Self_Qty],T_SelfStock[RM_Code],$A54,T_SelfStock[WeekIndex],94)+SUMIFS(T_TTAFStock[TTAF_Qty],T_TTAFStock[RM_Code],$A54,T_TTAFStock[WeekIndex],94),CP54+'Grid_Incoming'!CQ54-'Grid_Requirement'!CQ54))</f>
        <v/>
      </c>
      <c r="CR54">
        <f>IF(COUNTIFS(T_StockCount[RM_Code],$A54,T_StockCount[WeekIndex],95)&gt;0,SUMIFS(T_StockCount[CountedQty],T_StockCount[RM_Code],$A54,T_StockCount[WeekIndex],95),IF((COUNTIFS(T_SelfStock[RM_Code],$A54,T_SelfStock[WeekIndex],95)&gt;0)*(COUNTIFS(T_TTAFStock[RM_Code],$A54,T_TTAFStock[WeekIndex],95)&gt;0)&gt;0,SUMIFS(T_SelfStock[Self_Qty],T_SelfStock[RM_Code],$A54,T_SelfStock[WeekIndex],95)+SUMIFS(T_TTAFStock[TTAF_Qty],T_TTAFStock[RM_Code],$A54,T_TTAFStock[WeekIndex],95),CQ54+'Grid_Incoming'!CR54-'Grid_Requirement'!CR54))</f>
        <v/>
      </c>
      <c r="CS54">
        <f>IF(COUNTIFS(T_StockCount[RM_Code],$A54,T_StockCount[WeekIndex],96)&gt;0,SUMIFS(T_StockCount[CountedQty],T_StockCount[RM_Code],$A54,T_StockCount[WeekIndex],96),IF((COUNTIFS(T_SelfStock[RM_Code],$A54,T_SelfStock[WeekIndex],96)&gt;0)*(COUNTIFS(T_TTAFStock[RM_Code],$A54,T_TTAFStock[WeekIndex],96)&gt;0)&gt;0,SUMIFS(T_SelfStock[Self_Qty],T_SelfStock[RM_Code],$A54,T_SelfStock[WeekIndex],96)+SUMIFS(T_TTAFStock[TTAF_Qty],T_TTAFStock[RM_Code],$A54,T_TTAFStock[WeekIndex],96),CR54+'Grid_Incoming'!CS54-'Grid_Requirement'!CS54))</f>
        <v/>
      </c>
      <c r="CT54">
        <f>IF(COUNTIFS(T_StockCount[RM_Code],$A54,T_StockCount[WeekIndex],97)&gt;0,SUMIFS(T_StockCount[CountedQty],T_StockCount[RM_Code],$A54,T_StockCount[WeekIndex],97),IF((COUNTIFS(T_SelfStock[RM_Code],$A54,T_SelfStock[WeekIndex],97)&gt;0)*(COUNTIFS(T_TTAFStock[RM_Code],$A54,T_TTAFStock[WeekIndex],97)&gt;0)&gt;0,SUMIFS(T_SelfStock[Self_Qty],T_SelfStock[RM_Code],$A54,T_SelfStock[WeekIndex],97)+SUMIFS(T_TTAFStock[TTAF_Qty],T_TTAFStock[RM_Code],$A54,T_TTAFStock[WeekIndex],97),CS54+'Grid_Incoming'!CT54-'Grid_Requirement'!CT54))</f>
        <v/>
      </c>
      <c r="CU54">
        <f>IF(COUNTIFS(T_StockCount[RM_Code],$A54,T_StockCount[WeekIndex],98)&gt;0,SUMIFS(T_StockCount[CountedQty],T_StockCount[RM_Code],$A54,T_StockCount[WeekIndex],98),IF((COUNTIFS(T_SelfStock[RM_Code],$A54,T_SelfStock[WeekIndex],98)&gt;0)*(COUNTIFS(T_TTAFStock[RM_Code],$A54,T_TTAFStock[WeekIndex],98)&gt;0)&gt;0,SUMIFS(T_SelfStock[Self_Qty],T_SelfStock[RM_Code],$A54,T_SelfStock[WeekIndex],98)+SUMIFS(T_TTAFStock[TTAF_Qty],T_TTAFStock[RM_Code],$A54,T_TTAFStock[WeekIndex],98),CT54+'Grid_Incoming'!CU54-'Grid_Requirement'!CU54))</f>
        <v/>
      </c>
      <c r="CV54">
        <f>IF(COUNTIFS(T_StockCount[RM_Code],$A54,T_StockCount[WeekIndex],99)&gt;0,SUMIFS(T_StockCount[CountedQty],T_StockCount[RM_Code],$A54,T_StockCount[WeekIndex],99),IF((COUNTIFS(T_SelfStock[RM_Code],$A54,T_SelfStock[WeekIndex],99)&gt;0)*(COUNTIFS(T_TTAFStock[RM_Code],$A54,T_TTAFStock[WeekIndex],99)&gt;0)&gt;0,SUMIFS(T_SelfStock[Self_Qty],T_SelfStock[RM_Code],$A54,T_SelfStock[WeekIndex],99)+SUMIFS(T_TTAFStock[TTAF_Qty],T_TTAFStock[RM_Code],$A54,T_TTAFStock[WeekIndex],99),CU54+'Grid_Incoming'!CV54-'Grid_Requirement'!CV54))</f>
        <v/>
      </c>
      <c r="CW54">
        <f>IF(COUNTIFS(T_StockCount[RM_Code],$A54,T_StockCount[WeekIndex],100)&gt;0,SUMIFS(T_StockCount[CountedQty],T_StockCount[RM_Code],$A54,T_StockCount[WeekIndex],100),IF((COUNTIFS(T_SelfStock[RM_Code],$A54,T_SelfStock[WeekIndex],100)&gt;0)*(COUNTIFS(T_TTAFStock[RM_Code],$A54,T_TTAFStock[WeekIndex],100)&gt;0)&gt;0,SUMIFS(T_SelfStock[Self_Qty],T_SelfStock[RM_Code],$A54,T_SelfStock[WeekIndex],100)+SUMIFS(T_TTAFStock[TTAF_Qty],T_TTAFStock[RM_Code],$A54,T_TTAFStock[WeekIndex],100),CV54+'Grid_Incoming'!CW54-'Grid_Requirement'!CW54))</f>
        <v/>
      </c>
      <c r="CX54">
        <f>IF(COUNTIFS(T_StockCount[RM_Code],$A54,T_StockCount[WeekIndex],101)&gt;0,SUMIFS(T_StockCount[CountedQty],T_StockCount[RM_Code],$A54,T_StockCount[WeekIndex],101),IF((COUNTIFS(T_SelfStock[RM_Code],$A54,T_SelfStock[WeekIndex],101)&gt;0)*(COUNTIFS(T_TTAFStock[RM_Code],$A54,T_TTAFStock[WeekIndex],101)&gt;0)&gt;0,SUMIFS(T_SelfStock[Self_Qty],T_SelfStock[RM_Code],$A54,T_SelfStock[WeekIndex],101)+SUMIFS(T_TTAFStock[TTAF_Qty],T_TTAFStock[RM_Code],$A54,T_TTAFStock[WeekIndex],101),CW54+'Grid_Incoming'!CX54-'Grid_Requirement'!CX54))</f>
        <v/>
      </c>
      <c r="CY54">
        <f>IF(COUNTIFS(T_StockCount[RM_Code],$A54,T_StockCount[WeekIndex],102)&gt;0,SUMIFS(T_StockCount[CountedQty],T_StockCount[RM_Code],$A54,T_StockCount[WeekIndex],102),IF((COUNTIFS(T_SelfStock[RM_Code],$A54,T_SelfStock[WeekIndex],102)&gt;0)*(COUNTIFS(T_TTAFStock[RM_Code],$A54,T_TTAFStock[WeekIndex],102)&gt;0)&gt;0,SUMIFS(T_SelfStock[Self_Qty],T_SelfStock[RM_Code],$A54,T_SelfStock[WeekIndex],102)+SUMIFS(T_TTAFStock[TTAF_Qty],T_TTAFStock[RM_Code],$A54,T_TTAFStock[WeekIndex],102),CX54+'Grid_Incoming'!CY54-'Grid_Requirement'!CY54))</f>
        <v/>
      </c>
      <c r="CZ54">
        <f>IF(COUNTIFS(T_StockCount[RM_Code],$A54,T_StockCount[WeekIndex],103)&gt;0,SUMIFS(T_StockCount[CountedQty],T_StockCount[RM_Code],$A54,T_StockCount[WeekIndex],103),IF((COUNTIFS(T_SelfStock[RM_Code],$A54,T_SelfStock[WeekIndex],103)&gt;0)*(COUNTIFS(T_TTAFStock[RM_Code],$A54,T_TTAFStock[WeekIndex],103)&gt;0)&gt;0,SUMIFS(T_SelfStock[Self_Qty],T_SelfStock[RM_Code],$A54,T_SelfStock[WeekIndex],103)+SUMIFS(T_TTAFStock[TTAF_Qty],T_TTAFStock[RM_Code],$A54,T_TTAFStock[WeekIndex],103),CY54+'Grid_Incoming'!CZ54-'Grid_Requirement'!CZ54))</f>
        <v/>
      </c>
      <c r="DA54">
        <f>IF(COUNTIFS(T_StockCount[RM_Code],$A54,T_StockCount[WeekIndex],104)&gt;0,SUMIFS(T_StockCount[CountedQty],T_StockCount[RM_Code],$A54,T_StockCount[WeekIndex],104),IF((COUNTIFS(T_SelfStock[RM_Code],$A54,T_SelfStock[WeekIndex],104)&gt;0)*(COUNTIFS(T_TTAFStock[RM_Code],$A54,T_TTAFStock[WeekIndex],104)&gt;0)&gt;0,SUMIFS(T_SelfStock[Self_Qty],T_SelfStock[RM_Code],$A54,T_SelfStock[WeekIndex],104)+SUMIFS(T_TTAFStock[TTAF_Qty],T_TTAFStock[RM_Code],$A54,T_TTAFStock[WeekIndex],104),CZ54+'Grid_Incoming'!DA54-'Grid_Requirement'!DA54))</f>
        <v/>
      </c>
    </row>
    <row r="55">
      <c r="A55" t="inlineStr">
        <is>
          <t>CHEM-1510</t>
        </is>
      </c>
      <c r="B55">
        <f>IF(COUNTIFS(T_StockCount[RM_Code],$A55,T_StockCount[WeekIndex],1)&gt;0,SUMIFS(T_StockCount[CountedQty],T_StockCount[RM_Code],$A55,T_StockCount[WeekIndex],1),IF((COUNTIFS(T_SelfStock[RM_Code],$A55,T_SelfStock[WeekIndex],1)&gt;0)*(COUNTIFS(T_TTAFStock[RM_Code],$A55,T_TTAFStock[WeekIndex],1)&gt;0)&gt;0,SUMIFS(T_SelfStock[Self_Qty],T_SelfStock[RM_Code],$A55,T_SelfStock[WeekIndex],1)+SUMIFS(T_TTAFStock[TTAF_Qty],T_TTAFStock[RM_Code],$A55,T_TTAFStock[WeekIndex],1),IFERROR(INDEX(T_OpeningStock[Opening_Qty],MATCH($A55,T_OpeningStock[RM_Code],0)),0)+'Grid_Incoming'!B55-'Grid_Requirement'!B55))</f>
        <v/>
      </c>
      <c r="C55">
        <f>IF(COUNTIFS(T_StockCount[RM_Code],$A55,T_StockCount[WeekIndex],2)&gt;0,SUMIFS(T_StockCount[CountedQty],T_StockCount[RM_Code],$A55,T_StockCount[WeekIndex],2),IF((COUNTIFS(T_SelfStock[RM_Code],$A55,T_SelfStock[WeekIndex],2)&gt;0)*(COUNTIFS(T_TTAFStock[RM_Code],$A55,T_TTAFStock[WeekIndex],2)&gt;0)&gt;0,SUMIFS(T_SelfStock[Self_Qty],T_SelfStock[RM_Code],$A55,T_SelfStock[WeekIndex],2)+SUMIFS(T_TTAFStock[TTAF_Qty],T_TTAFStock[RM_Code],$A55,T_TTAFStock[WeekIndex],2),B55+'Grid_Incoming'!C55-'Grid_Requirement'!C55))</f>
        <v/>
      </c>
      <c r="D55">
        <f>IF(COUNTIFS(T_StockCount[RM_Code],$A55,T_StockCount[WeekIndex],3)&gt;0,SUMIFS(T_StockCount[CountedQty],T_StockCount[RM_Code],$A55,T_StockCount[WeekIndex],3),IF((COUNTIFS(T_SelfStock[RM_Code],$A55,T_SelfStock[WeekIndex],3)&gt;0)*(COUNTIFS(T_TTAFStock[RM_Code],$A55,T_TTAFStock[WeekIndex],3)&gt;0)&gt;0,SUMIFS(T_SelfStock[Self_Qty],T_SelfStock[RM_Code],$A55,T_SelfStock[WeekIndex],3)+SUMIFS(T_TTAFStock[TTAF_Qty],T_TTAFStock[RM_Code],$A55,T_TTAFStock[WeekIndex],3),C55+'Grid_Incoming'!D55-'Grid_Requirement'!D55))</f>
        <v/>
      </c>
      <c r="E55">
        <f>IF(COUNTIFS(T_StockCount[RM_Code],$A55,T_StockCount[WeekIndex],4)&gt;0,SUMIFS(T_StockCount[CountedQty],T_StockCount[RM_Code],$A55,T_StockCount[WeekIndex],4),IF((COUNTIFS(T_SelfStock[RM_Code],$A55,T_SelfStock[WeekIndex],4)&gt;0)*(COUNTIFS(T_TTAFStock[RM_Code],$A55,T_TTAFStock[WeekIndex],4)&gt;0)&gt;0,SUMIFS(T_SelfStock[Self_Qty],T_SelfStock[RM_Code],$A55,T_SelfStock[WeekIndex],4)+SUMIFS(T_TTAFStock[TTAF_Qty],T_TTAFStock[RM_Code],$A55,T_TTAFStock[WeekIndex],4),D55+'Grid_Incoming'!E55-'Grid_Requirement'!E55))</f>
        <v/>
      </c>
      <c r="F55">
        <f>IF(COUNTIFS(T_StockCount[RM_Code],$A55,T_StockCount[WeekIndex],5)&gt;0,SUMIFS(T_StockCount[CountedQty],T_StockCount[RM_Code],$A55,T_StockCount[WeekIndex],5),IF((COUNTIFS(T_SelfStock[RM_Code],$A55,T_SelfStock[WeekIndex],5)&gt;0)*(COUNTIFS(T_TTAFStock[RM_Code],$A55,T_TTAFStock[WeekIndex],5)&gt;0)&gt;0,SUMIFS(T_SelfStock[Self_Qty],T_SelfStock[RM_Code],$A55,T_SelfStock[WeekIndex],5)+SUMIFS(T_TTAFStock[TTAF_Qty],T_TTAFStock[RM_Code],$A55,T_TTAFStock[WeekIndex],5),E55+'Grid_Incoming'!F55-'Grid_Requirement'!F55))</f>
        <v/>
      </c>
      <c r="G55">
        <f>IF(COUNTIFS(T_StockCount[RM_Code],$A55,T_StockCount[WeekIndex],6)&gt;0,SUMIFS(T_StockCount[CountedQty],T_StockCount[RM_Code],$A55,T_StockCount[WeekIndex],6),IF((COUNTIFS(T_SelfStock[RM_Code],$A55,T_SelfStock[WeekIndex],6)&gt;0)*(COUNTIFS(T_TTAFStock[RM_Code],$A55,T_TTAFStock[WeekIndex],6)&gt;0)&gt;0,SUMIFS(T_SelfStock[Self_Qty],T_SelfStock[RM_Code],$A55,T_SelfStock[WeekIndex],6)+SUMIFS(T_TTAFStock[TTAF_Qty],T_TTAFStock[RM_Code],$A55,T_TTAFStock[WeekIndex],6),F55+'Grid_Incoming'!G55-'Grid_Requirement'!G55))</f>
        <v/>
      </c>
      <c r="H55">
        <f>IF(COUNTIFS(T_StockCount[RM_Code],$A55,T_StockCount[WeekIndex],7)&gt;0,SUMIFS(T_StockCount[CountedQty],T_StockCount[RM_Code],$A55,T_StockCount[WeekIndex],7),IF((COUNTIFS(T_SelfStock[RM_Code],$A55,T_SelfStock[WeekIndex],7)&gt;0)*(COUNTIFS(T_TTAFStock[RM_Code],$A55,T_TTAFStock[WeekIndex],7)&gt;0)&gt;0,SUMIFS(T_SelfStock[Self_Qty],T_SelfStock[RM_Code],$A55,T_SelfStock[WeekIndex],7)+SUMIFS(T_TTAFStock[TTAF_Qty],T_TTAFStock[RM_Code],$A55,T_TTAFStock[WeekIndex],7),G55+'Grid_Incoming'!H55-'Grid_Requirement'!H55))</f>
        <v/>
      </c>
      <c r="I55">
        <f>IF(COUNTIFS(T_StockCount[RM_Code],$A55,T_StockCount[WeekIndex],8)&gt;0,SUMIFS(T_StockCount[CountedQty],T_StockCount[RM_Code],$A55,T_StockCount[WeekIndex],8),IF((COUNTIFS(T_SelfStock[RM_Code],$A55,T_SelfStock[WeekIndex],8)&gt;0)*(COUNTIFS(T_TTAFStock[RM_Code],$A55,T_TTAFStock[WeekIndex],8)&gt;0)&gt;0,SUMIFS(T_SelfStock[Self_Qty],T_SelfStock[RM_Code],$A55,T_SelfStock[WeekIndex],8)+SUMIFS(T_TTAFStock[TTAF_Qty],T_TTAFStock[RM_Code],$A55,T_TTAFStock[WeekIndex],8),H55+'Grid_Incoming'!I55-'Grid_Requirement'!I55))</f>
        <v/>
      </c>
      <c r="J55">
        <f>IF(COUNTIFS(T_StockCount[RM_Code],$A55,T_StockCount[WeekIndex],9)&gt;0,SUMIFS(T_StockCount[CountedQty],T_StockCount[RM_Code],$A55,T_StockCount[WeekIndex],9),IF((COUNTIFS(T_SelfStock[RM_Code],$A55,T_SelfStock[WeekIndex],9)&gt;0)*(COUNTIFS(T_TTAFStock[RM_Code],$A55,T_TTAFStock[WeekIndex],9)&gt;0)&gt;0,SUMIFS(T_SelfStock[Self_Qty],T_SelfStock[RM_Code],$A55,T_SelfStock[WeekIndex],9)+SUMIFS(T_TTAFStock[TTAF_Qty],T_TTAFStock[RM_Code],$A55,T_TTAFStock[WeekIndex],9),I55+'Grid_Incoming'!J55-'Grid_Requirement'!J55))</f>
        <v/>
      </c>
      <c r="K55">
        <f>IF(COUNTIFS(T_StockCount[RM_Code],$A55,T_StockCount[WeekIndex],10)&gt;0,SUMIFS(T_StockCount[CountedQty],T_StockCount[RM_Code],$A55,T_StockCount[WeekIndex],10),IF((COUNTIFS(T_SelfStock[RM_Code],$A55,T_SelfStock[WeekIndex],10)&gt;0)*(COUNTIFS(T_TTAFStock[RM_Code],$A55,T_TTAFStock[WeekIndex],10)&gt;0)&gt;0,SUMIFS(T_SelfStock[Self_Qty],T_SelfStock[RM_Code],$A55,T_SelfStock[WeekIndex],10)+SUMIFS(T_TTAFStock[TTAF_Qty],T_TTAFStock[RM_Code],$A55,T_TTAFStock[WeekIndex],10),J55+'Grid_Incoming'!K55-'Grid_Requirement'!K55))</f>
        <v/>
      </c>
      <c r="L55">
        <f>IF(COUNTIFS(T_StockCount[RM_Code],$A55,T_StockCount[WeekIndex],11)&gt;0,SUMIFS(T_StockCount[CountedQty],T_StockCount[RM_Code],$A55,T_StockCount[WeekIndex],11),IF((COUNTIFS(T_SelfStock[RM_Code],$A55,T_SelfStock[WeekIndex],11)&gt;0)*(COUNTIFS(T_TTAFStock[RM_Code],$A55,T_TTAFStock[WeekIndex],11)&gt;0)&gt;0,SUMIFS(T_SelfStock[Self_Qty],T_SelfStock[RM_Code],$A55,T_SelfStock[WeekIndex],11)+SUMIFS(T_TTAFStock[TTAF_Qty],T_TTAFStock[RM_Code],$A55,T_TTAFStock[WeekIndex],11),K55+'Grid_Incoming'!L55-'Grid_Requirement'!L55))</f>
        <v/>
      </c>
      <c r="M55">
        <f>IF(COUNTIFS(T_StockCount[RM_Code],$A55,T_StockCount[WeekIndex],12)&gt;0,SUMIFS(T_StockCount[CountedQty],T_StockCount[RM_Code],$A55,T_StockCount[WeekIndex],12),IF((COUNTIFS(T_SelfStock[RM_Code],$A55,T_SelfStock[WeekIndex],12)&gt;0)*(COUNTIFS(T_TTAFStock[RM_Code],$A55,T_TTAFStock[WeekIndex],12)&gt;0)&gt;0,SUMIFS(T_SelfStock[Self_Qty],T_SelfStock[RM_Code],$A55,T_SelfStock[WeekIndex],12)+SUMIFS(T_TTAFStock[TTAF_Qty],T_TTAFStock[RM_Code],$A55,T_TTAFStock[WeekIndex],12),L55+'Grid_Incoming'!M55-'Grid_Requirement'!M55))</f>
        <v/>
      </c>
      <c r="N55">
        <f>IF(COUNTIFS(T_StockCount[RM_Code],$A55,T_StockCount[WeekIndex],13)&gt;0,SUMIFS(T_StockCount[CountedQty],T_StockCount[RM_Code],$A55,T_StockCount[WeekIndex],13),IF((COUNTIFS(T_SelfStock[RM_Code],$A55,T_SelfStock[WeekIndex],13)&gt;0)*(COUNTIFS(T_TTAFStock[RM_Code],$A55,T_TTAFStock[WeekIndex],13)&gt;0)&gt;0,SUMIFS(T_SelfStock[Self_Qty],T_SelfStock[RM_Code],$A55,T_SelfStock[WeekIndex],13)+SUMIFS(T_TTAFStock[TTAF_Qty],T_TTAFStock[RM_Code],$A55,T_TTAFStock[WeekIndex],13),M55+'Grid_Incoming'!N55-'Grid_Requirement'!N55))</f>
        <v/>
      </c>
      <c r="O55">
        <f>IF(COUNTIFS(T_StockCount[RM_Code],$A55,T_StockCount[WeekIndex],14)&gt;0,SUMIFS(T_StockCount[CountedQty],T_StockCount[RM_Code],$A55,T_StockCount[WeekIndex],14),IF((COUNTIFS(T_SelfStock[RM_Code],$A55,T_SelfStock[WeekIndex],14)&gt;0)*(COUNTIFS(T_TTAFStock[RM_Code],$A55,T_TTAFStock[WeekIndex],14)&gt;0)&gt;0,SUMIFS(T_SelfStock[Self_Qty],T_SelfStock[RM_Code],$A55,T_SelfStock[WeekIndex],14)+SUMIFS(T_TTAFStock[TTAF_Qty],T_TTAFStock[RM_Code],$A55,T_TTAFStock[WeekIndex],14),N55+'Grid_Incoming'!O55-'Grid_Requirement'!O55))</f>
        <v/>
      </c>
      <c r="P55">
        <f>IF(COUNTIFS(T_StockCount[RM_Code],$A55,T_StockCount[WeekIndex],15)&gt;0,SUMIFS(T_StockCount[CountedQty],T_StockCount[RM_Code],$A55,T_StockCount[WeekIndex],15),IF((COUNTIFS(T_SelfStock[RM_Code],$A55,T_SelfStock[WeekIndex],15)&gt;0)*(COUNTIFS(T_TTAFStock[RM_Code],$A55,T_TTAFStock[WeekIndex],15)&gt;0)&gt;0,SUMIFS(T_SelfStock[Self_Qty],T_SelfStock[RM_Code],$A55,T_SelfStock[WeekIndex],15)+SUMIFS(T_TTAFStock[TTAF_Qty],T_TTAFStock[RM_Code],$A55,T_TTAFStock[WeekIndex],15),O55+'Grid_Incoming'!P55-'Grid_Requirement'!P55))</f>
        <v/>
      </c>
      <c r="Q55">
        <f>IF(COUNTIFS(T_StockCount[RM_Code],$A55,T_StockCount[WeekIndex],16)&gt;0,SUMIFS(T_StockCount[CountedQty],T_StockCount[RM_Code],$A55,T_StockCount[WeekIndex],16),IF((COUNTIFS(T_SelfStock[RM_Code],$A55,T_SelfStock[WeekIndex],16)&gt;0)*(COUNTIFS(T_TTAFStock[RM_Code],$A55,T_TTAFStock[WeekIndex],16)&gt;0)&gt;0,SUMIFS(T_SelfStock[Self_Qty],T_SelfStock[RM_Code],$A55,T_SelfStock[WeekIndex],16)+SUMIFS(T_TTAFStock[TTAF_Qty],T_TTAFStock[RM_Code],$A55,T_TTAFStock[WeekIndex],16),P55+'Grid_Incoming'!Q55-'Grid_Requirement'!Q55))</f>
        <v/>
      </c>
      <c r="R55">
        <f>IF(COUNTIFS(T_StockCount[RM_Code],$A55,T_StockCount[WeekIndex],17)&gt;0,SUMIFS(T_StockCount[CountedQty],T_StockCount[RM_Code],$A55,T_StockCount[WeekIndex],17),IF((COUNTIFS(T_SelfStock[RM_Code],$A55,T_SelfStock[WeekIndex],17)&gt;0)*(COUNTIFS(T_TTAFStock[RM_Code],$A55,T_TTAFStock[WeekIndex],17)&gt;0)&gt;0,SUMIFS(T_SelfStock[Self_Qty],T_SelfStock[RM_Code],$A55,T_SelfStock[WeekIndex],17)+SUMIFS(T_TTAFStock[TTAF_Qty],T_TTAFStock[RM_Code],$A55,T_TTAFStock[WeekIndex],17),Q55+'Grid_Incoming'!R55-'Grid_Requirement'!R55))</f>
        <v/>
      </c>
      <c r="S55">
        <f>IF(COUNTIFS(T_StockCount[RM_Code],$A55,T_StockCount[WeekIndex],18)&gt;0,SUMIFS(T_StockCount[CountedQty],T_StockCount[RM_Code],$A55,T_StockCount[WeekIndex],18),IF((COUNTIFS(T_SelfStock[RM_Code],$A55,T_SelfStock[WeekIndex],18)&gt;0)*(COUNTIFS(T_TTAFStock[RM_Code],$A55,T_TTAFStock[WeekIndex],18)&gt;0)&gt;0,SUMIFS(T_SelfStock[Self_Qty],T_SelfStock[RM_Code],$A55,T_SelfStock[WeekIndex],18)+SUMIFS(T_TTAFStock[TTAF_Qty],T_TTAFStock[RM_Code],$A55,T_TTAFStock[WeekIndex],18),R55+'Grid_Incoming'!S55-'Grid_Requirement'!S55))</f>
        <v/>
      </c>
      <c r="T55">
        <f>IF(COUNTIFS(T_StockCount[RM_Code],$A55,T_StockCount[WeekIndex],19)&gt;0,SUMIFS(T_StockCount[CountedQty],T_StockCount[RM_Code],$A55,T_StockCount[WeekIndex],19),IF((COUNTIFS(T_SelfStock[RM_Code],$A55,T_SelfStock[WeekIndex],19)&gt;0)*(COUNTIFS(T_TTAFStock[RM_Code],$A55,T_TTAFStock[WeekIndex],19)&gt;0)&gt;0,SUMIFS(T_SelfStock[Self_Qty],T_SelfStock[RM_Code],$A55,T_SelfStock[WeekIndex],19)+SUMIFS(T_TTAFStock[TTAF_Qty],T_TTAFStock[RM_Code],$A55,T_TTAFStock[WeekIndex],19),S55+'Grid_Incoming'!T55-'Grid_Requirement'!T55))</f>
        <v/>
      </c>
      <c r="U55">
        <f>IF(COUNTIFS(T_StockCount[RM_Code],$A55,T_StockCount[WeekIndex],20)&gt;0,SUMIFS(T_StockCount[CountedQty],T_StockCount[RM_Code],$A55,T_StockCount[WeekIndex],20),IF((COUNTIFS(T_SelfStock[RM_Code],$A55,T_SelfStock[WeekIndex],20)&gt;0)*(COUNTIFS(T_TTAFStock[RM_Code],$A55,T_TTAFStock[WeekIndex],20)&gt;0)&gt;0,SUMIFS(T_SelfStock[Self_Qty],T_SelfStock[RM_Code],$A55,T_SelfStock[WeekIndex],20)+SUMIFS(T_TTAFStock[TTAF_Qty],T_TTAFStock[RM_Code],$A55,T_TTAFStock[WeekIndex],20),T55+'Grid_Incoming'!U55-'Grid_Requirement'!U55))</f>
        <v/>
      </c>
      <c r="V55">
        <f>IF(COUNTIFS(T_StockCount[RM_Code],$A55,T_StockCount[WeekIndex],21)&gt;0,SUMIFS(T_StockCount[CountedQty],T_StockCount[RM_Code],$A55,T_StockCount[WeekIndex],21),IF((COUNTIFS(T_SelfStock[RM_Code],$A55,T_SelfStock[WeekIndex],21)&gt;0)*(COUNTIFS(T_TTAFStock[RM_Code],$A55,T_TTAFStock[WeekIndex],21)&gt;0)&gt;0,SUMIFS(T_SelfStock[Self_Qty],T_SelfStock[RM_Code],$A55,T_SelfStock[WeekIndex],21)+SUMIFS(T_TTAFStock[TTAF_Qty],T_TTAFStock[RM_Code],$A55,T_TTAFStock[WeekIndex],21),U55+'Grid_Incoming'!V55-'Grid_Requirement'!V55))</f>
        <v/>
      </c>
      <c r="W55">
        <f>IF(COUNTIFS(T_StockCount[RM_Code],$A55,T_StockCount[WeekIndex],22)&gt;0,SUMIFS(T_StockCount[CountedQty],T_StockCount[RM_Code],$A55,T_StockCount[WeekIndex],22),IF((COUNTIFS(T_SelfStock[RM_Code],$A55,T_SelfStock[WeekIndex],22)&gt;0)*(COUNTIFS(T_TTAFStock[RM_Code],$A55,T_TTAFStock[WeekIndex],22)&gt;0)&gt;0,SUMIFS(T_SelfStock[Self_Qty],T_SelfStock[RM_Code],$A55,T_SelfStock[WeekIndex],22)+SUMIFS(T_TTAFStock[TTAF_Qty],T_TTAFStock[RM_Code],$A55,T_TTAFStock[WeekIndex],22),V55+'Grid_Incoming'!W55-'Grid_Requirement'!W55))</f>
        <v/>
      </c>
      <c r="X55">
        <f>IF(COUNTIFS(T_StockCount[RM_Code],$A55,T_StockCount[WeekIndex],23)&gt;0,SUMIFS(T_StockCount[CountedQty],T_StockCount[RM_Code],$A55,T_StockCount[WeekIndex],23),IF((COUNTIFS(T_SelfStock[RM_Code],$A55,T_SelfStock[WeekIndex],23)&gt;0)*(COUNTIFS(T_TTAFStock[RM_Code],$A55,T_TTAFStock[WeekIndex],23)&gt;0)&gt;0,SUMIFS(T_SelfStock[Self_Qty],T_SelfStock[RM_Code],$A55,T_SelfStock[WeekIndex],23)+SUMIFS(T_TTAFStock[TTAF_Qty],T_TTAFStock[RM_Code],$A55,T_TTAFStock[WeekIndex],23),W55+'Grid_Incoming'!X55-'Grid_Requirement'!X55))</f>
        <v/>
      </c>
      <c r="Y55">
        <f>IF(COUNTIFS(T_StockCount[RM_Code],$A55,T_StockCount[WeekIndex],24)&gt;0,SUMIFS(T_StockCount[CountedQty],T_StockCount[RM_Code],$A55,T_StockCount[WeekIndex],24),IF((COUNTIFS(T_SelfStock[RM_Code],$A55,T_SelfStock[WeekIndex],24)&gt;0)*(COUNTIFS(T_TTAFStock[RM_Code],$A55,T_TTAFStock[WeekIndex],24)&gt;0)&gt;0,SUMIFS(T_SelfStock[Self_Qty],T_SelfStock[RM_Code],$A55,T_SelfStock[WeekIndex],24)+SUMIFS(T_TTAFStock[TTAF_Qty],T_TTAFStock[RM_Code],$A55,T_TTAFStock[WeekIndex],24),X55+'Grid_Incoming'!Y55-'Grid_Requirement'!Y55))</f>
        <v/>
      </c>
      <c r="Z55">
        <f>IF(COUNTIFS(T_StockCount[RM_Code],$A55,T_StockCount[WeekIndex],25)&gt;0,SUMIFS(T_StockCount[CountedQty],T_StockCount[RM_Code],$A55,T_StockCount[WeekIndex],25),IF((COUNTIFS(T_SelfStock[RM_Code],$A55,T_SelfStock[WeekIndex],25)&gt;0)*(COUNTIFS(T_TTAFStock[RM_Code],$A55,T_TTAFStock[WeekIndex],25)&gt;0)&gt;0,SUMIFS(T_SelfStock[Self_Qty],T_SelfStock[RM_Code],$A55,T_SelfStock[WeekIndex],25)+SUMIFS(T_TTAFStock[TTAF_Qty],T_TTAFStock[RM_Code],$A55,T_TTAFStock[WeekIndex],25),Y55+'Grid_Incoming'!Z55-'Grid_Requirement'!Z55))</f>
        <v/>
      </c>
      <c r="AA55">
        <f>IF(COUNTIFS(T_StockCount[RM_Code],$A55,T_StockCount[WeekIndex],26)&gt;0,SUMIFS(T_StockCount[CountedQty],T_StockCount[RM_Code],$A55,T_StockCount[WeekIndex],26),IF((COUNTIFS(T_SelfStock[RM_Code],$A55,T_SelfStock[WeekIndex],26)&gt;0)*(COUNTIFS(T_TTAFStock[RM_Code],$A55,T_TTAFStock[WeekIndex],26)&gt;0)&gt;0,SUMIFS(T_SelfStock[Self_Qty],T_SelfStock[RM_Code],$A55,T_SelfStock[WeekIndex],26)+SUMIFS(T_TTAFStock[TTAF_Qty],T_TTAFStock[RM_Code],$A55,T_TTAFStock[WeekIndex],26),Z55+'Grid_Incoming'!AA55-'Grid_Requirement'!AA55))</f>
        <v/>
      </c>
      <c r="AB55">
        <f>IF(COUNTIFS(T_StockCount[RM_Code],$A55,T_StockCount[WeekIndex],27)&gt;0,SUMIFS(T_StockCount[CountedQty],T_StockCount[RM_Code],$A55,T_StockCount[WeekIndex],27),IF((COUNTIFS(T_SelfStock[RM_Code],$A55,T_SelfStock[WeekIndex],27)&gt;0)*(COUNTIFS(T_TTAFStock[RM_Code],$A55,T_TTAFStock[WeekIndex],27)&gt;0)&gt;0,SUMIFS(T_SelfStock[Self_Qty],T_SelfStock[RM_Code],$A55,T_SelfStock[WeekIndex],27)+SUMIFS(T_TTAFStock[TTAF_Qty],T_TTAFStock[RM_Code],$A55,T_TTAFStock[WeekIndex],27),AA55+'Grid_Incoming'!AB55-'Grid_Requirement'!AB55))</f>
        <v/>
      </c>
      <c r="AC55">
        <f>IF(COUNTIFS(T_StockCount[RM_Code],$A55,T_StockCount[WeekIndex],28)&gt;0,SUMIFS(T_StockCount[CountedQty],T_StockCount[RM_Code],$A55,T_StockCount[WeekIndex],28),IF((COUNTIFS(T_SelfStock[RM_Code],$A55,T_SelfStock[WeekIndex],28)&gt;0)*(COUNTIFS(T_TTAFStock[RM_Code],$A55,T_TTAFStock[WeekIndex],28)&gt;0)&gt;0,SUMIFS(T_SelfStock[Self_Qty],T_SelfStock[RM_Code],$A55,T_SelfStock[WeekIndex],28)+SUMIFS(T_TTAFStock[TTAF_Qty],T_TTAFStock[RM_Code],$A55,T_TTAFStock[WeekIndex],28),AB55+'Grid_Incoming'!AC55-'Grid_Requirement'!AC55))</f>
        <v/>
      </c>
      <c r="AD55">
        <f>IF(COUNTIFS(T_StockCount[RM_Code],$A55,T_StockCount[WeekIndex],29)&gt;0,SUMIFS(T_StockCount[CountedQty],T_StockCount[RM_Code],$A55,T_StockCount[WeekIndex],29),IF((COUNTIFS(T_SelfStock[RM_Code],$A55,T_SelfStock[WeekIndex],29)&gt;0)*(COUNTIFS(T_TTAFStock[RM_Code],$A55,T_TTAFStock[WeekIndex],29)&gt;0)&gt;0,SUMIFS(T_SelfStock[Self_Qty],T_SelfStock[RM_Code],$A55,T_SelfStock[WeekIndex],29)+SUMIFS(T_TTAFStock[TTAF_Qty],T_TTAFStock[RM_Code],$A55,T_TTAFStock[WeekIndex],29),AC55+'Grid_Incoming'!AD55-'Grid_Requirement'!AD55))</f>
        <v/>
      </c>
      <c r="AE55">
        <f>IF(COUNTIFS(T_StockCount[RM_Code],$A55,T_StockCount[WeekIndex],30)&gt;0,SUMIFS(T_StockCount[CountedQty],T_StockCount[RM_Code],$A55,T_StockCount[WeekIndex],30),IF((COUNTIFS(T_SelfStock[RM_Code],$A55,T_SelfStock[WeekIndex],30)&gt;0)*(COUNTIFS(T_TTAFStock[RM_Code],$A55,T_TTAFStock[WeekIndex],30)&gt;0)&gt;0,SUMIFS(T_SelfStock[Self_Qty],T_SelfStock[RM_Code],$A55,T_SelfStock[WeekIndex],30)+SUMIFS(T_TTAFStock[TTAF_Qty],T_TTAFStock[RM_Code],$A55,T_TTAFStock[WeekIndex],30),AD55+'Grid_Incoming'!AE55-'Grid_Requirement'!AE55))</f>
        <v/>
      </c>
      <c r="AF55">
        <f>IF(COUNTIFS(T_StockCount[RM_Code],$A55,T_StockCount[WeekIndex],31)&gt;0,SUMIFS(T_StockCount[CountedQty],T_StockCount[RM_Code],$A55,T_StockCount[WeekIndex],31),IF((COUNTIFS(T_SelfStock[RM_Code],$A55,T_SelfStock[WeekIndex],31)&gt;0)*(COUNTIFS(T_TTAFStock[RM_Code],$A55,T_TTAFStock[WeekIndex],31)&gt;0)&gt;0,SUMIFS(T_SelfStock[Self_Qty],T_SelfStock[RM_Code],$A55,T_SelfStock[WeekIndex],31)+SUMIFS(T_TTAFStock[TTAF_Qty],T_TTAFStock[RM_Code],$A55,T_TTAFStock[WeekIndex],31),AE55+'Grid_Incoming'!AF55-'Grid_Requirement'!AF55))</f>
        <v/>
      </c>
      <c r="AG55">
        <f>IF(COUNTIFS(T_StockCount[RM_Code],$A55,T_StockCount[WeekIndex],32)&gt;0,SUMIFS(T_StockCount[CountedQty],T_StockCount[RM_Code],$A55,T_StockCount[WeekIndex],32),IF((COUNTIFS(T_SelfStock[RM_Code],$A55,T_SelfStock[WeekIndex],32)&gt;0)*(COUNTIFS(T_TTAFStock[RM_Code],$A55,T_TTAFStock[WeekIndex],32)&gt;0)&gt;0,SUMIFS(T_SelfStock[Self_Qty],T_SelfStock[RM_Code],$A55,T_SelfStock[WeekIndex],32)+SUMIFS(T_TTAFStock[TTAF_Qty],T_TTAFStock[RM_Code],$A55,T_TTAFStock[WeekIndex],32),AF55+'Grid_Incoming'!AG55-'Grid_Requirement'!AG55))</f>
        <v/>
      </c>
      <c r="AH55">
        <f>IF(COUNTIFS(T_StockCount[RM_Code],$A55,T_StockCount[WeekIndex],33)&gt;0,SUMIFS(T_StockCount[CountedQty],T_StockCount[RM_Code],$A55,T_StockCount[WeekIndex],33),IF((COUNTIFS(T_SelfStock[RM_Code],$A55,T_SelfStock[WeekIndex],33)&gt;0)*(COUNTIFS(T_TTAFStock[RM_Code],$A55,T_TTAFStock[WeekIndex],33)&gt;0)&gt;0,SUMIFS(T_SelfStock[Self_Qty],T_SelfStock[RM_Code],$A55,T_SelfStock[WeekIndex],33)+SUMIFS(T_TTAFStock[TTAF_Qty],T_TTAFStock[RM_Code],$A55,T_TTAFStock[WeekIndex],33),AG55+'Grid_Incoming'!AH55-'Grid_Requirement'!AH55))</f>
        <v/>
      </c>
      <c r="AI55">
        <f>IF(COUNTIFS(T_StockCount[RM_Code],$A55,T_StockCount[WeekIndex],34)&gt;0,SUMIFS(T_StockCount[CountedQty],T_StockCount[RM_Code],$A55,T_StockCount[WeekIndex],34),IF((COUNTIFS(T_SelfStock[RM_Code],$A55,T_SelfStock[WeekIndex],34)&gt;0)*(COUNTIFS(T_TTAFStock[RM_Code],$A55,T_TTAFStock[WeekIndex],34)&gt;0)&gt;0,SUMIFS(T_SelfStock[Self_Qty],T_SelfStock[RM_Code],$A55,T_SelfStock[WeekIndex],34)+SUMIFS(T_TTAFStock[TTAF_Qty],T_TTAFStock[RM_Code],$A55,T_TTAFStock[WeekIndex],34),AH55+'Grid_Incoming'!AI55-'Grid_Requirement'!AI55))</f>
        <v/>
      </c>
      <c r="AJ55">
        <f>IF(COUNTIFS(T_StockCount[RM_Code],$A55,T_StockCount[WeekIndex],35)&gt;0,SUMIFS(T_StockCount[CountedQty],T_StockCount[RM_Code],$A55,T_StockCount[WeekIndex],35),IF((COUNTIFS(T_SelfStock[RM_Code],$A55,T_SelfStock[WeekIndex],35)&gt;0)*(COUNTIFS(T_TTAFStock[RM_Code],$A55,T_TTAFStock[WeekIndex],35)&gt;0)&gt;0,SUMIFS(T_SelfStock[Self_Qty],T_SelfStock[RM_Code],$A55,T_SelfStock[WeekIndex],35)+SUMIFS(T_TTAFStock[TTAF_Qty],T_TTAFStock[RM_Code],$A55,T_TTAFStock[WeekIndex],35),AI55+'Grid_Incoming'!AJ55-'Grid_Requirement'!AJ55))</f>
        <v/>
      </c>
      <c r="AK55">
        <f>IF(COUNTIFS(T_StockCount[RM_Code],$A55,T_StockCount[WeekIndex],36)&gt;0,SUMIFS(T_StockCount[CountedQty],T_StockCount[RM_Code],$A55,T_StockCount[WeekIndex],36),IF((COUNTIFS(T_SelfStock[RM_Code],$A55,T_SelfStock[WeekIndex],36)&gt;0)*(COUNTIFS(T_TTAFStock[RM_Code],$A55,T_TTAFStock[WeekIndex],36)&gt;0)&gt;0,SUMIFS(T_SelfStock[Self_Qty],T_SelfStock[RM_Code],$A55,T_SelfStock[WeekIndex],36)+SUMIFS(T_TTAFStock[TTAF_Qty],T_TTAFStock[RM_Code],$A55,T_TTAFStock[WeekIndex],36),AJ55+'Grid_Incoming'!AK55-'Grid_Requirement'!AK55))</f>
        <v/>
      </c>
      <c r="AL55">
        <f>IF(COUNTIFS(T_StockCount[RM_Code],$A55,T_StockCount[WeekIndex],37)&gt;0,SUMIFS(T_StockCount[CountedQty],T_StockCount[RM_Code],$A55,T_StockCount[WeekIndex],37),IF((COUNTIFS(T_SelfStock[RM_Code],$A55,T_SelfStock[WeekIndex],37)&gt;0)*(COUNTIFS(T_TTAFStock[RM_Code],$A55,T_TTAFStock[WeekIndex],37)&gt;0)&gt;0,SUMIFS(T_SelfStock[Self_Qty],T_SelfStock[RM_Code],$A55,T_SelfStock[WeekIndex],37)+SUMIFS(T_TTAFStock[TTAF_Qty],T_TTAFStock[RM_Code],$A55,T_TTAFStock[WeekIndex],37),AK55+'Grid_Incoming'!AL55-'Grid_Requirement'!AL55))</f>
        <v/>
      </c>
      <c r="AM55">
        <f>IF(COUNTIFS(T_StockCount[RM_Code],$A55,T_StockCount[WeekIndex],38)&gt;0,SUMIFS(T_StockCount[CountedQty],T_StockCount[RM_Code],$A55,T_StockCount[WeekIndex],38),IF((COUNTIFS(T_SelfStock[RM_Code],$A55,T_SelfStock[WeekIndex],38)&gt;0)*(COUNTIFS(T_TTAFStock[RM_Code],$A55,T_TTAFStock[WeekIndex],38)&gt;0)&gt;0,SUMIFS(T_SelfStock[Self_Qty],T_SelfStock[RM_Code],$A55,T_SelfStock[WeekIndex],38)+SUMIFS(T_TTAFStock[TTAF_Qty],T_TTAFStock[RM_Code],$A55,T_TTAFStock[WeekIndex],38),AL55+'Grid_Incoming'!AM55-'Grid_Requirement'!AM55))</f>
        <v/>
      </c>
      <c r="AN55">
        <f>IF(COUNTIFS(T_StockCount[RM_Code],$A55,T_StockCount[WeekIndex],39)&gt;0,SUMIFS(T_StockCount[CountedQty],T_StockCount[RM_Code],$A55,T_StockCount[WeekIndex],39),IF((COUNTIFS(T_SelfStock[RM_Code],$A55,T_SelfStock[WeekIndex],39)&gt;0)*(COUNTIFS(T_TTAFStock[RM_Code],$A55,T_TTAFStock[WeekIndex],39)&gt;0)&gt;0,SUMIFS(T_SelfStock[Self_Qty],T_SelfStock[RM_Code],$A55,T_SelfStock[WeekIndex],39)+SUMIFS(T_TTAFStock[TTAF_Qty],T_TTAFStock[RM_Code],$A55,T_TTAFStock[WeekIndex],39),AM55+'Grid_Incoming'!AN55-'Grid_Requirement'!AN55))</f>
        <v/>
      </c>
      <c r="AO55">
        <f>IF(COUNTIFS(T_StockCount[RM_Code],$A55,T_StockCount[WeekIndex],40)&gt;0,SUMIFS(T_StockCount[CountedQty],T_StockCount[RM_Code],$A55,T_StockCount[WeekIndex],40),IF((COUNTIFS(T_SelfStock[RM_Code],$A55,T_SelfStock[WeekIndex],40)&gt;0)*(COUNTIFS(T_TTAFStock[RM_Code],$A55,T_TTAFStock[WeekIndex],40)&gt;0)&gt;0,SUMIFS(T_SelfStock[Self_Qty],T_SelfStock[RM_Code],$A55,T_SelfStock[WeekIndex],40)+SUMIFS(T_TTAFStock[TTAF_Qty],T_TTAFStock[RM_Code],$A55,T_TTAFStock[WeekIndex],40),AN55+'Grid_Incoming'!AO55-'Grid_Requirement'!AO55))</f>
        <v/>
      </c>
      <c r="AP55">
        <f>IF(COUNTIFS(T_StockCount[RM_Code],$A55,T_StockCount[WeekIndex],41)&gt;0,SUMIFS(T_StockCount[CountedQty],T_StockCount[RM_Code],$A55,T_StockCount[WeekIndex],41),IF((COUNTIFS(T_SelfStock[RM_Code],$A55,T_SelfStock[WeekIndex],41)&gt;0)*(COUNTIFS(T_TTAFStock[RM_Code],$A55,T_TTAFStock[WeekIndex],41)&gt;0)&gt;0,SUMIFS(T_SelfStock[Self_Qty],T_SelfStock[RM_Code],$A55,T_SelfStock[WeekIndex],41)+SUMIFS(T_TTAFStock[TTAF_Qty],T_TTAFStock[RM_Code],$A55,T_TTAFStock[WeekIndex],41),AO55+'Grid_Incoming'!AP55-'Grid_Requirement'!AP55))</f>
        <v/>
      </c>
      <c r="AQ55">
        <f>IF(COUNTIFS(T_StockCount[RM_Code],$A55,T_StockCount[WeekIndex],42)&gt;0,SUMIFS(T_StockCount[CountedQty],T_StockCount[RM_Code],$A55,T_StockCount[WeekIndex],42),IF((COUNTIFS(T_SelfStock[RM_Code],$A55,T_SelfStock[WeekIndex],42)&gt;0)*(COUNTIFS(T_TTAFStock[RM_Code],$A55,T_TTAFStock[WeekIndex],42)&gt;0)&gt;0,SUMIFS(T_SelfStock[Self_Qty],T_SelfStock[RM_Code],$A55,T_SelfStock[WeekIndex],42)+SUMIFS(T_TTAFStock[TTAF_Qty],T_TTAFStock[RM_Code],$A55,T_TTAFStock[WeekIndex],42),AP55+'Grid_Incoming'!AQ55-'Grid_Requirement'!AQ55))</f>
        <v/>
      </c>
      <c r="AR55">
        <f>IF(COUNTIFS(T_StockCount[RM_Code],$A55,T_StockCount[WeekIndex],43)&gt;0,SUMIFS(T_StockCount[CountedQty],T_StockCount[RM_Code],$A55,T_StockCount[WeekIndex],43),IF((COUNTIFS(T_SelfStock[RM_Code],$A55,T_SelfStock[WeekIndex],43)&gt;0)*(COUNTIFS(T_TTAFStock[RM_Code],$A55,T_TTAFStock[WeekIndex],43)&gt;0)&gt;0,SUMIFS(T_SelfStock[Self_Qty],T_SelfStock[RM_Code],$A55,T_SelfStock[WeekIndex],43)+SUMIFS(T_TTAFStock[TTAF_Qty],T_TTAFStock[RM_Code],$A55,T_TTAFStock[WeekIndex],43),AQ55+'Grid_Incoming'!AR55-'Grid_Requirement'!AR55))</f>
        <v/>
      </c>
      <c r="AS55">
        <f>IF(COUNTIFS(T_StockCount[RM_Code],$A55,T_StockCount[WeekIndex],44)&gt;0,SUMIFS(T_StockCount[CountedQty],T_StockCount[RM_Code],$A55,T_StockCount[WeekIndex],44),IF((COUNTIFS(T_SelfStock[RM_Code],$A55,T_SelfStock[WeekIndex],44)&gt;0)*(COUNTIFS(T_TTAFStock[RM_Code],$A55,T_TTAFStock[WeekIndex],44)&gt;0)&gt;0,SUMIFS(T_SelfStock[Self_Qty],T_SelfStock[RM_Code],$A55,T_SelfStock[WeekIndex],44)+SUMIFS(T_TTAFStock[TTAF_Qty],T_TTAFStock[RM_Code],$A55,T_TTAFStock[WeekIndex],44),AR55+'Grid_Incoming'!AS55-'Grid_Requirement'!AS55))</f>
        <v/>
      </c>
      <c r="AT55">
        <f>IF(COUNTIFS(T_StockCount[RM_Code],$A55,T_StockCount[WeekIndex],45)&gt;0,SUMIFS(T_StockCount[CountedQty],T_StockCount[RM_Code],$A55,T_StockCount[WeekIndex],45),IF((COUNTIFS(T_SelfStock[RM_Code],$A55,T_SelfStock[WeekIndex],45)&gt;0)*(COUNTIFS(T_TTAFStock[RM_Code],$A55,T_TTAFStock[WeekIndex],45)&gt;0)&gt;0,SUMIFS(T_SelfStock[Self_Qty],T_SelfStock[RM_Code],$A55,T_SelfStock[WeekIndex],45)+SUMIFS(T_TTAFStock[TTAF_Qty],T_TTAFStock[RM_Code],$A55,T_TTAFStock[WeekIndex],45),AS55+'Grid_Incoming'!AT55-'Grid_Requirement'!AT55))</f>
        <v/>
      </c>
      <c r="AU55">
        <f>IF(COUNTIFS(T_StockCount[RM_Code],$A55,T_StockCount[WeekIndex],46)&gt;0,SUMIFS(T_StockCount[CountedQty],T_StockCount[RM_Code],$A55,T_StockCount[WeekIndex],46),IF((COUNTIFS(T_SelfStock[RM_Code],$A55,T_SelfStock[WeekIndex],46)&gt;0)*(COUNTIFS(T_TTAFStock[RM_Code],$A55,T_TTAFStock[WeekIndex],46)&gt;0)&gt;0,SUMIFS(T_SelfStock[Self_Qty],T_SelfStock[RM_Code],$A55,T_SelfStock[WeekIndex],46)+SUMIFS(T_TTAFStock[TTAF_Qty],T_TTAFStock[RM_Code],$A55,T_TTAFStock[WeekIndex],46),AT55+'Grid_Incoming'!AU55-'Grid_Requirement'!AU55))</f>
        <v/>
      </c>
      <c r="AV55">
        <f>IF(COUNTIFS(T_StockCount[RM_Code],$A55,T_StockCount[WeekIndex],47)&gt;0,SUMIFS(T_StockCount[CountedQty],T_StockCount[RM_Code],$A55,T_StockCount[WeekIndex],47),IF((COUNTIFS(T_SelfStock[RM_Code],$A55,T_SelfStock[WeekIndex],47)&gt;0)*(COUNTIFS(T_TTAFStock[RM_Code],$A55,T_TTAFStock[WeekIndex],47)&gt;0)&gt;0,SUMIFS(T_SelfStock[Self_Qty],T_SelfStock[RM_Code],$A55,T_SelfStock[WeekIndex],47)+SUMIFS(T_TTAFStock[TTAF_Qty],T_TTAFStock[RM_Code],$A55,T_TTAFStock[WeekIndex],47),AU55+'Grid_Incoming'!AV55-'Grid_Requirement'!AV55))</f>
        <v/>
      </c>
      <c r="AW55">
        <f>IF(COUNTIFS(T_StockCount[RM_Code],$A55,T_StockCount[WeekIndex],48)&gt;0,SUMIFS(T_StockCount[CountedQty],T_StockCount[RM_Code],$A55,T_StockCount[WeekIndex],48),IF((COUNTIFS(T_SelfStock[RM_Code],$A55,T_SelfStock[WeekIndex],48)&gt;0)*(COUNTIFS(T_TTAFStock[RM_Code],$A55,T_TTAFStock[WeekIndex],48)&gt;0)&gt;0,SUMIFS(T_SelfStock[Self_Qty],T_SelfStock[RM_Code],$A55,T_SelfStock[WeekIndex],48)+SUMIFS(T_TTAFStock[TTAF_Qty],T_TTAFStock[RM_Code],$A55,T_TTAFStock[WeekIndex],48),AV55+'Grid_Incoming'!AW55-'Grid_Requirement'!AW55))</f>
        <v/>
      </c>
      <c r="AX55">
        <f>IF(COUNTIFS(T_StockCount[RM_Code],$A55,T_StockCount[WeekIndex],49)&gt;0,SUMIFS(T_StockCount[CountedQty],T_StockCount[RM_Code],$A55,T_StockCount[WeekIndex],49),IF((COUNTIFS(T_SelfStock[RM_Code],$A55,T_SelfStock[WeekIndex],49)&gt;0)*(COUNTIFS(T_TTAFStock[RM_Code],$A55,T_TTAFStock[WeekIndex],49)&gt;0)&gt;0,SUMIFS(T_SelfStock[Self_Qty],T_SelfStock[RM_Code],$A55,T_SelfStock[WeekIndex],49)+SUMIFS(T_TTAFStock[TTAF_Qty],T_TTAFStock[RM_Code],$A55,T_TTAFStock[WeekIndex],49),AW55+'Grid_Incoming'!AX55-'Grid_Requirement'!AX55))</f>
        <v/>
      </c>
      <c r="AY55">
        <f>IF(COUNTIFS(T_StockCount[RM_Code],$A55,T_StockCount[WeekIndex],50)&gt;0,SUMIFS(T_StockCount[CountedQty],T_StockCount[RM_Code],$A55,T_StockCount[WeekIndex],50),IF((COUNTIFS(T_SelfStock[RM_Code],$A55,T_SelfStock[WeekIndex],50)&gt;0)*(COUNTIFS(T_TTAFStock[RM_Code],$A55,T_TTAFStock[WeekIndex],50)&gt;0)&gt;0,SUMIFS(T_SelfStock[Self_Qty],T_SelfStock[RM_Code],$A55,T_SelfStock[WeekIndex],50)+SUMIFS(T_TTAFStock[TTAF_Qty],T_TTAFStock[RM_Code],$A55,T_TTAFStock[WeekIndex],50),AX55+'Grid_Incoming'!AY55-'Grid_Requirement'!AY55))</f>
        <v/>
      </c>
      <c r="AZ55">
        <f>IF(COUNTIFS(T_StockCount[RM_Code],$A55,T_StockCount[WeekIndex],51)&gt;0,SUMIFS(T_StockCount[CountedQty],T_StockCount[RM_Code],$A55,T_StockCount[WeekIndex],51),IF((COUNTIFS(T_SelfStock[RM_Code],$A55,T_SelfStock[WeekIndex],51)&gt;0)*(COUNTIFS(T_TTAFStock[RM_Code],$A55,T_TTAFStock[WeekIndex],51)&gt;0)&gt;0,SUMIFS(T_SelfStock[Self_Qty],T_SelfStock[RM_Code],$A55,T_SelfStock[WeekIndex],51)+SUMIFS(T_TTAFStock[TTAF_Qty],T_TTAFStock[RM_Code],$A55,T_TTAFStock[WeekIndex],51),AY55+'Grid_Incoming'!AZ55-'Grid_Requirement'!AZ55))</f>
        <v/>
      </c>
      <c r="BA55">
        <f>IF(COUNTIFS(T_StockCount[RM_Code],$A55,T_StockCount[WeekIndex],52)&gt;0,SUMIFS(T_StockCount[CountedQty],T_StockCount[RM_Code],$A55,T_StockCount[WeekIndex],52),IF((COUNTIFS(T_SelfStock[RM_Code],$A55,T_SelfStock[WeekIndex],52)&gt;0)*(COUNTIFS(T_TTAFStock[RM_Code],$A55,T_TTAFStock[WeekIndex],52)&gt;0)&gt;0,SUMIFS(T_SelfStock[Self_Qty],T_SelfStock[RM_Code],$A55,T_SelfStock[WeekIndex],52)+SUMIFS(T_TTAFStock[TTAF_Qty],T_TTAFStock[RM_Code],$A55,T_TTAFStock[WeekIndex],52),AZ55+'Grid_Incoming'!BA55-'Grid_Requirement'!BA55))</f>
        <v/>
      </c>
      <c r="BB55">
        <f>IF(COUNTIFS(T_StockCount[RM_Code],$A55,T_StockCount[WeekIndex],53)&gt;0,SUMIFS(T_StockCount[CountedQty],T_StockCount[RM_Code],$A55,T_StockCount[WeekIndex],53),IF((COUNTIFS(T_SelfStock[RM_Code],$A55,T_SelfStock[WeekIndex],53)&gt;0)*(COUNTIFS(T_TTAFStock[RM_Code],$A55,T_TTAFStock[WeekIndex],53)&gt;0)&gt;0,SUMIFS(T_SelfStock[Self_Qty],T_SelfStock[RM_Code],$A55,T_SelfStock[WeekIndex],53)+SUMIFS(T_TTAFStock[TTAF_Qty],T_TTAFStock[RM_Code],$A55,T_TTAFStock[WeekIndex],53),BA55+'Grid_Incoming'!BB55-'Grid_Requirement'!BB55))</f>
        <v/>
      </c>
      <c r="BC55">
        <f>IF(COUNTIFS(T_StockCount[RM_Code],$A55,T_StockCount[WeekIndex],54)&gt;0,SUMIFS(T_StockCount[CountedQty],T_StockCount[RM_Code],$A55,T_StockCount[WeekIndex],54),IF((COUNTIFS(T_SelfStock[RM_Code],$A55,T_SelfStock[WeekIndex],54)&gt;0)*(COUNTIFS(T_TTAFStock[RM_Code],$A55,T_TTAFStock[WeekIndex],54)&gt;0)&gt;0,SUMIFS(T_SelfStock[Self_Qty],T_SelfStock[RM_Code],$A55,T_SelfStock[WeekIndex],54)+SUMIFS(T_TTAFStock[TTAF_Qty],T_TTAFStock[RM_Code],$A55,T_TTAFStock[WeekIndex],54),BB55+'Grid_Incoming'!BC55-'Grid_Requirement'!BC55))</f>
        <v/>
      </c>
      <c r="BD55">
        <f>IF(COUNTIFS(T_StockCount[RM_Code],$A55,T_StockCount[WeekIndex],55)&gt;0,SUMIFS(T_StockCount[CountedQty],T_StockCount[RM_Code],$A55,T_StockCount[WeekIndex],55),IF((COUNTIFS(T_SelfStock[RM_Code],$A55,T_SelfStock[WeekIndex],55)&gt;0)*(COUNTIFS(T_TTAFStock[RM_Code],$A55,T_TTAFStock[WeekIndex],55)&gt;0)&gt;0,SUMIFS(T_SelfStock[Self_Qty],T_SelfStock[RM_Code],$A55,T_SelfStock[WeekIndex],55)+SUMIFS(T_TTAFStock[TTAF_Qty],T_TTAFStock[RM_Code],$A55,T_TTAFStock[WeekIndex],55),BC55+'Grid_Incoming'!BD55-'Grid_Requirement'!BD55))</f>
        <v/>
      </c>
      <c r="BE55">
        <f>IF(COUNTIFS(T_StockCount[RM_Code],$A55,T_StockCount[WeekIndex],56)&gt;0,SUMIFS(T_StockCount[CountedQty],T_StockCount[RM_Code],$A55,T_StockCount[WeekIndex],56),IF((COUNTIFS(T_SelfStock[RM_Code],$A55,T_SelfStock[WeekIndex],56)&gt;0)*(COUNTIFS(T_TTAFStock[RM_Code],$A55,T_TTAFStock[WeekIndex],56)&gt;0)&gt;0,SUMIFS(T_SelfStock[Self_Qty],T_SelfStock[RM_Code],$A55,T_SelfStock[WeekIndex],56)+SUMIFS(T_TTAFStock[TTAF_Qty],T_TTAFStock[RM_Code],$A55,T_TTAFStock[WeekIndex],56),BD55+'Grid_Incoming'!BE55-'Grid_Requirement'!BE55))</f>
        <v/>
      </c>
      <c r="BF55">
        <f>IF(COUNTIFS(T_StockCount[RM_Code],$A55,T_StockCount[WeekIndex],57)&gt;0,SUMIFS(T_StockCount[CountedQty],T_StockCount[RM_Code],$A55,T_StockCount[WeekIndex],57),IF((COUNTIFS(T_SelfStock[RM_Code],$A55,T_SelfStock[WeekIndex],57)&gt;0)*(COUNTIFS(T_TTAFStock[RM_Code],$A55,T_TTAFStock[WeekIndex],57)&gt;0)&gt;0,SUMIFS(T_SelfStock[Self_Qty],T_SelfStock[RM_Code],$A55,T_SelfStock[WeekIndex],57)+SUMIFS(T_TTAFStock[TTAF_Qty],T_TTAFStock[RM_Code],$A55,T_TTAFStock[WeekIndex],57),BE55+'Grid_Incoming'!BF55-'Grid_Requirement'!BF55))</f>
        <v/>
      </c>
      <c r="BG55">
        <f>IF(COUNTIFS(T_StockCount[RM_Code],$A55,T_StockCount[WeekIndex],58)&gt;0,SUMIFS(T_StockCount[CountedQty],T_StockCount[RM_Code],$A55,T_StockCount[WeekIndex],58),IF((COUNTIFS(T_SelfStock[RM_Code],$A55,T_SelfStock[WeekIndex],58)&gt;0)*(COUNTIFS(T_TTAFStock[RM_Code],$A55,T_TTAFStock[WeekIndex],58)&gt;0)&gt;0,SUMIFS(T_SelfStock[Self_Qty],T_SelfStock[RM_Code],$A55,T_SelfStock[WeekIndex],58)+SUMIFS(T_TTAFStock[TTAF_Qty],T_TTAFStock[RM_Code],$A55,T_TTAFStock[WeekIndex],58),BF55+'Grid_Incoming'!BG55-'Grid_Requirement'!BG55))</f>
        <v/>
      </c>
      <c r="BH55">
        <f>IF(COUNTIFS(T_StockCount[RM_Code],$A55,T_StockCount[WeekIndex],59)&gt;0,SUMIFS(T_StockCount[CountedQty],T_StockCount[RM_Code],$A55,T_StockCount[WeekIndex],59),IF((COUNTIFS(T_SelfStock[RM_Code],$A55,T_SelfStock[WeekIndex],59)&gt;0)*(COUNTIFS(T_TTAFStock[RM_Code],$A55,T_TTAFStock[WeekIndex],59)&gt;0)&gt;0,SUMIFS(T_SelfStock[Self_Qty],T_SelfStock[RM_Code],$A55,T_SelfStock[WeekIndex],59)+SUMIFS(T_TTAFStock[TTAF_Qty],T_TTAFStock[RM_Code],$A55,T_TTAFStock[WeekIndex],59),BG55+'Grid_Incoming'!BH55-'Grid_Requirement'!BH55))</f>
        <v/>
      </c>
      <c r="BI55">
        <f>IF(COUNTIFS(T_StockCount[RM_Code],$A55,T_StockCount[WeekIndex],60)&gt;0,SUMIFS(T_StockCount[CountedQty],T_StockCount[RM_Code],$A55,T_StockCount[WeekIndex],60),IF((COUNTIFS(T_SelfStock[RM_Code],$A55,T_SelfStock[WeekIndex],60)&gt;0)*(COUNTIFS(T_TTAFStock[RM_Code],$A55,T_TTAFStock[WeekIndex],60)&gt;0)&gt;0,SUMIFS(T_SelfStock[Self_Qty],T_SelfStock[RM_Code],$A55,T_SelfStock[WeekIndex],60)+SUMIFS(T_TTAFStock[TTAF_Qty],T_TTAFStock[RM_Code],$A55,T_TTAFStock[WeekIndex],60),BH55+'Grid_Incoming'!BI55-'Grid_Requirement'!BI55))</f>
        <v/>
      </c>
      <c r="BJ55">
        <f>IF(COUNTIFS(T_StockCount[RM_Code],$A55,T_StockCount[WeekIndex],61)&gt;0,SUMIFS(T_StockCount[CountedQty],T_StockCount[RM_Code],$A55,T_StockCount[WeekIndex],61),IF((COUNTIFS(T_SelfStock[RM_Code],$A55,T_SelfStock[WeekIndex],61)&gt;0)*(COUNTIFS(T_TTAFStock[RM_Code],$A55,T_TTAFStock[WeekIndex],61)&gt;0)&gt;0,SUMIFS(T_SelfStock[Self_Qty],T_SelfStock[RM_Code],$A55,T_SelfStock[WeekIndex],61)+SUMIFS(T_TTAFStock[TTAF_Qty],T_TTAFStock[RM_Code],$A55,T_TTAFStock[WeekIndex],61),BI55+'Grid_Incoming'!BJ55-'Grid_Requirement'!BJ55))</f>
        <v/>
      </c>
      <c r="BK55">
        <f>IF(COUNTIFS(T_StockCount[RM_Code],$A55,T_StockCount[WeekIndex],62)&gt;0,SUMIFS(T_StockCount[CountedQty],T_StockCount[RM_Code],$A55,T_StockCount[WeekIndex],62),IF((COUNTIFS(T_SelfStock[RM_Code],$A55,T_SelfStock[WeekIndex],62)&gt;0)*(COUNTIFS(T_TTAFStock[RM_Code],$A55,T_TTAFStock[WeekIndex],62)&gt;0)&gt;0,SUMIFS(T_SelfStock[Self_Qty],T_SelfStock[RM_Code],$A55,T_SelfStock[WeekIndex],62)+SUMIFS(T_TTAFStock[TTAF_Qty],T_TTAFStock[RM_Code],$A55,T_TTAFStock[WeekIndex],62),BJ55+'Grid_Incoming'!BK55-'Grid_Requirement'!BK55))</f>
        <v/>
      </c>
      <c r="BL55">
        <f>IF(COUNTIFS(T_StockCount[RM_Code],$A55,T_StockCount[WeekIndex],63)&gt;0,SUMIFS(T_StockCount[CountedQty],T_StockCount[RM_Code],$A55,T_StockCount[WeekIndex],63),IF((COUNTIFS(T_SelfStock[RM_Code],$A55,T_SelfStock[WeekIndex],63)&gt;0)*(COUNTIFS(T_TTAFStock[RM_Code],$A55,T_TTAFStock[WeekIndex],63)&gt;0)&gt;0,SUMIFS(T_SelfStock[Self_Qty],T_SelfStock[RM_Code],$A55,T_SelfStock[WeekIndex],63)+SUMIFS(T_TTAFStock[TTAF_Qty],T_TTAFStock[RM_Code],$A55,T_TTAFStock[WeekIndex],63),BK55+'Grid_Incoming'!BL55-'Grid_Requirement'!BL55))</f>
        <v/>
      </c>
      <c r="BM55">
        <f>IF(COUNTIFS(T_StockCount[RM_Code],$A55,T_StockCount[WeekIndex],64)&gt;0,SUMIFS(T_StockCount[CountedQty],T_StockCount[RM_Code],$A55,T_StockCount[WeekIndex],64),IF((COUNTIFS(T_SelfStock[RM_Code],$A55,T_SelfStock[WeekIndex],64)&gt;0)*(COUNTIFS(T_TTAFStock[RM_Code],$A55,T_TTAFStock[WeekIndex],64)&gt;0)&gt;0,SUMIFS(T_SelfStock[Self_Qty],T_SelfStock[RM_Code],$A55,T_SelfStock[WeekIndex],64)+SUMIFS(T_TTAFStock[TTAF_Qty],T_TTAFStock[RM_Code],$A55,T_TTAFStock[WeekIndex],64),BL55+'Grid_Incoming'!BM55-'Grid_Requirement'!BM55))</f>
        <v/>
      </c>
      <c r="BN55">
        <f>IF(COUNTIFS(T_StockCount[RM_Code],$A55,T_StockCount[WeekIndex],65)&gt;0,SUMIFS(T_StockCount[CountedQty],T_StockCount[RM_Code],$A55,T_StockCount[WeekIndex],65),IF((COUNTIFS(T_SelfStock[RM_Code],$A55,T_SelfStock[WeekIndex],65)&gt;0)*(COUNTIFS(T_TTAFStock[RM_Code],$A55,T_TTAFStock[WeekIndex],65)&gt;0)&gt;0,SUMIFS(T_SelfStock[Self_Qty],T_SelfStock[RM_Code],$A55,T_SelfStock[WeekIndex],65)+SUMIFS(T_TTAFStock[TTAF_Qty],T_TTAFStock[RM_Code],$A55,T_TTAFStock[WeekIndex],65),BM55+'Grid_Incoming'!BN55-'Grid_Requirement'!BN55))</f>
        <v/>
      </c>
      <c r="BO55">
        <f>IF(COUNTIFS(T_StockCount[RM_Code],$A55,T_StockCount[WeekIndex],66)&gt;0,SUMIFS(T_StockCount[CountedQty],T_StockCount[RM_Code],$A55,T_StockCount[WeekIndex],66),IF((COUNTIFS(T_SelfStock[RM_Code],$A55,T_SelfStock[WeekIndex],66)&gt;0)*(COUNTIFS(T_TTAFStock[RM_Code],$A55,T_TTAFStock[WeekIndex],66)&gt;0)&gt;0,SUMIFS(T_SelfStock[Self_Qty],T_SelfStock[RM_Code],$A55,T_SelfStock[WeekIndex],66)+SUMIFS(T_TTAFStock[TTAF_Qty],T_TTAFStock[RM_Code],$A55,T_TTAFStock[WeekIndex],66),BN55+'Grid_Incoming'!BO55-'Grid_Requirement'!BO55))</f>
        <v/>
      </c>
      <c r="BP55">
        <f>IF(COUNTIFS(T_StockCount[RM_Code],$A55,T_StockCount[WeekIndex],67)&gt;0,SUMIFS(T_StockCount[CountedQty],T_StockCount[RM_Code],$A55,T_StockCount[WeekIndex],67),IF((COUNTIFS(T_SelfStock[RM_Code],$A55,T_SelfStock[WeekIndex],67)&gt;0)*(COUNTIFS(T_TTAFStock[RM_Code],$A55,T_TTAFStock[WeekIndex],67)&gt;0)&gt;0,SUMIFS(T_SelfStock[Self_Qty],T_SelfStock[RM_Code],$A55,T_SelfStock[WeekIndex],67)+SUMIFS(T_TTAFStock[TTAF_Qty],T_TTAFStock[RM_Code],$A55,T_TTAFStock[WeekIndex],67),BO55+'Grid_Incoming'!BP55-'Grid_Requirement'!BP55))</f>
        <v/>
      </c>
      <c r="BQ55">
        <f>IF(COUNTIFS(T_StockCount[RM_Code],$A55,T_StockCount[WeekIndex],68)&gt;0,SUMIFS(T_StockCount[CountedQty],T_StockCount[RM_Code],$A55,T_StockCount[WeekIndex],68),IF((COUNTIFS(T_SelfStock[RM_Code],$A55,T_SelfStock[WeekIndex],68)&gt;0)*(COUNTIFS(T_TTAFStock[RM_Code],$A55,T_TTAFStock[WeekIndex],68)&gt;0)&gt;0,SUMIFS(T_SelfStock[Self_Qty],T_SelfStock[RM_Code],$A55,T_SelfStock[WeekIndex],68)+SUMIFS(T_TTAFStock[TTAF_Qty],T_TTAFStock[RM_Code],$A55,T_TTAFStock[WeekIndex],68),BP55+'Grid_Incoming'!BQ55-'Grid_Requirement'!BQ55))</f>
        <v/>
      </c>
      <c r="BR55">
        <f>IF(COUNTIFS(T_StockCount[RM_Code],$A55,T_StockCount[WeekIndex],69)&gt;0,SUMIFS(T_StockCount[CountedQty],T_StockCount[RM_Code],$A55,T_StockCount[WeekIndex],69),IF((COUNTIFS(T_SelfStock[RM_Code],$A55,T_SelfStock[WeekIndex],69)&gt;0)*(COUNTIFS(T_TTAFStock[RM_Code],$A55,T_TTAFStock[WeekIndex],69)&gt;0)&gt;0,SUMIFS(T_SelfStock[Self_Qty],T_SelfStock[RM_Code],$A55,T_SelfStock[WeekIndex],69)+SUMIFS(T_TTAFStock[TTAF_Qty],T_TTAFStock[RM_Code],$A55,T_TTAFStock[WeekIndex],69),BQ55+'Grid_Incoming'!BR55-'Grid_Requirement'!BR55))</f>
        <v/>
      </c>
      <c r="BS55">
        <f>IF(COUNTIFS(T_StockCount[RM_Code],$A55,T_StockCount[WeekIndex],70)&gt;0,SUMIFS(T_StockCount[CountedQty],T_StockCount[RM_Code],$A55,T_StockCount[WeekIndex],70),IF((COUNTIFS(T_SelfStock[RM_Code],$A55,T_SelfStock[WeekIndex],70)&gt;0)*(COUNTIFS(T_TTAFStock[RM_Code],$A55,T_TTAFStock[WeekIndex],70)&gt;0)&gt;0,SUMIFS(T_SelfStock[Self_Qty],T_SelfStock[RM_Code],$A55,T_SelfStock[WeekIndex],70)+SUMIFS(T_TTAFStock[TTAF_Qty],T_TTAFStock[RM_Code],$A55,T_TTAFStock[WeekIndex],70),BR55+'Grid_Incoming'!BS55-'Grid_Requirement'!BS55))</f>
        <v/>
      </c>
      <c r="BT55">
        <f>IF(COUNTIFS(T_StockCount[RM_Code],$A55,T_StockCount[WeekIndex],71)&gt;0,SUMIFS(T_StockCount[CountedQty],T_StockCount[RM_Code],$A55,T_StockCount[WeekIndex],71),IF((COUNTIFS(T_SelfStock[RM_Code],$A55,T_SelfStock[WeekIndex],71)&gt;0)*(COUNTIFS(T_TTAFStock[RM_Code],$A55,T_TTAFStock[WeekIndex],71)&gt;0)&gt;0,SUMIFS(T_SelfStock[Self_Qty],T_SelfStock[RM_Code],$A55,T_SelfStock[WeekIndex],71)+SUMIFS(T_TTAFStock[TTAF_Qty],T_TTAFStock[RM_Code],$A55,T_TTAFStock[WeekIndex],71),BS55+'Grid_Incoming'!BT55-'Grid_Requirement'!BT55))</f>
        <v/>
      </c>
      <c r="BU55">
        <f>IF(COUNTIFS(T_StockCount[RM_Code],$A55,T_StockCount[WeekIndex],72)&gt;0,SUMIFS(T_StockCount[CountedQty],T_StockCount[RM_Code],$A55,T_StockCount[WeekIndex],72),IF((COUNTIFS(T_SelfStock[RM_Code],$A55,T_SelfStock[WeekIndex],72)&gt;0)*(COUNTIFS(T_TTAFStock[RM_Code],$A55,T_TTAFStock[WeekIndex],72)&gt;0)&gt;0,SUMIFS(T_SelfStock[Self_Qty],T_SelfStock[RM_Code],$A55,T_SelfStock[WeekIndex],72)+SUMIFS(T_TTAFStock[TTAF_Qty],T_TTAFStock[RM_Code],$A55,T_TTAFStock[WeekIndex],72),BT55+'Grid_Incoming'!BU55-'Grid_Requirement'!BU55))</f>
        <v/>
      </c>
      <c r="BV55">
        <f>IF(COUNTIFS(T_StockCount[RM_Code],$A55,T_StockCount[WeekIndex],73)&gt;0,SUMIFS(T_StockCount[CountedQty],T_StockCount[RM_Code],$A55,T_StockCount[WeekIndex],73),IF((COUNTIFS(T_SelfStock[RM_Code],$A55,T_SelfStock[WeekIndex],73)&gt;0)*(COUNTIFS(T_TTAFStock[RM_Code],$A55,T_TTAFStock[WeekIndex],73)&gt;0)&gt;0,SUMIFS(T_SelfStock[Self_Qty],T_SelfStock[RM_Code],$A55,T_SelfStock[WeekIndex],73)+SUMIFS(T_TTAFStock[TTAF_Qty],T_TTAFStock[RM_Code],$A55,T_TTAFStock[WeekIndex],73),BU55+'Grid_Incoming'!BV55-'Grid_Requirement'!BV55))</f>
        <v/>
      </c>
      <c r="BW55">
        <f>IF(COUNTIFS(T_StockCount[RM_Code],$A55,T_StockCount[WeekIndex],74)&gt;0,SUMIFS(T_StockCount[CountedQty],T_StockCount[RM_Code],$A55,T_StockCount[WeekIndex],74),IF((COUNTIFS(T_SelfStock[RM_Code],$A55,T_SelfStock[WeekIndex],74)&gt;0)*(COUNTIFS(T_TTAFStock[RM_Code],$A55,T_TTAFStock[WeekIndex],74)&gt;0)&gt;0,SUMIFS(T_SelfStock[Self_Qty],T_SelfStock[RM_Code],$A55,T_SelfStock[WeekIndex],74)+SUMIFS(T_TTAFStock[TTAF_Qty],T_TTAFStock[RM_Code],$A55,T_TTAFStock[WeekIndex],74),BV55+'Grid_Incoming'!BW55-'Grid_Requirement'!BW55))</f>
        <v/>
      </c>
      <c r="BX55">
        <f>IF(COUNTIFS(T_StockCount[RM_Code],$A55,T_StockCount[WeekIndex],75)&gt;0,SUMIFS(T_StockCount[CountedQty],T_StockCount[RM_Code],$A55,T_StockCount[WeekIndex],75),IF((COUNTIFS(T_SelfStock[RM_Code],$A55,T_SelfStock[WeekIndex],75)&gt;0)*(COUNTIFS(T_TTAFStock[RM_Code],$A55,T_TTAFStock[WeekIndex],75)&gt;0)&gt;0,SUMIFS(T_SelfStock[Self_Qty],T_SelfStock[RM_Code],$A55,T_SelfStock[WeekIndex],75)+SUMIFS(T_TTAFStock[TTAF_Qty],T_TTAFStock[RM_Code],$A55,T_TTAFStock[WeekIndex],75),BW55+'Grid_Incoming'!BX55-'Grid_Requirement'!BX55))</f>
        <v/>
      </c>
      <c r="BY55">
        <f>IF(COUNTIFS(T_StockCount[RM_Code],$A55,T_StockCount[WeekIndex],76)&gt;0,SUMIFS(T_StockCount[CountedQty],T_StockCount[RM_Code],$A55,T_StockCount[WeekIndex],76),IF((COUNTIFS(T_SelfStock[RM_Code],$A55,T_SelfStock[WeekIndex],76)&gt;0)*(COUNTIFS(T_TTAFStock[RM_Code],$A55,T_TTAFStock[WeekIndex],76)&gt;0)&gt;0,SUMIFS(T_SelfStock[Self_Qty],T_SelfStock[RM_Code],$A55,T_SelfStock[WeekIndex],76)+SUMIFS(T_TTAFStock[TTAF_Qty],T_TTAFStock[RM_Code],$A55,T_TTAFStock[WeekIndex],76),BX55+'Grid_Incoming'!BY55-'Grid_Requirement'!BY55))</f>
        <v/>
      </c>
      <c r="BZ55">
        <f>IF(COUNTIFS(T_StockCount[RM_Code],$A55,T_StockCount[WeekIndex],77)&gt;0,SUMIFS(T_StockCount[CountedQty],T_StockCount[RM_Code],$A55,T_StockCount[WeekIndex],77),IF((COUNTIFS(T_SelfStock[RM_Code],$A55,T_SelfStock[WeekIndex],77)&gt;0)*(COUNTIFS(T_TTAFStock[RM_Code],$A55,T_TTAFStock[WeekIndex],77)&gt;0)&gt;0,SUMIFS(T_SelfStock[Self_Qty],T_SelfStock[RM_Code],$A55,T_SelfStock[WeekIndex],77)+SUMIFS(T_TTAFStock[TTAF_Qty],T_TTAFStock[RM_Code],$A55,T_TTAFStock[WeekIndex],77),BY55+'Grid_Incoming'!BZ55-'Grid_Requirement'!BZ55))</f>
        <v/>
      </c>
      <c r="CA55">
        <f>IF(COUNTIFS(T_StockCount[RM_Code],$A55,T_StockCount[WeekIndex],78)&gt;0,SUMIFS(T_StockCount[CountedQty],T_StockCount[RM_Code],$A55,T_StockCount[WeekIndex],78),IF((COUNTIFS(T_SelfStock[RM_Code],$A55,T_SelfStock[WeekIndex],78)&gt;0)*(COUNTIFS(T_TTAFStock[RM_Code],$A55,T_TTAFStock[WeekIndex],78)&gt;0)&gt;0,SUMIFS(T_SelfStock[Self_Qty],T_SelfStock[RM_Code],$A55,T_SelfStock[WeekIndex],78)+SUMIFS(T_TTAFStock[TTAF_Qty],T_TTAFStock[RM_Code],$A55,T_TTAFStock[WeekIndex],78),BZ55+'Grid_Incoming'!CA55-'Grid_Requirement'!CA55))</f>
        <v/>
      </c>
      <c r="CB55">
        <f>IF(COUNTIFS(T_StockCount[RM_Code],$A55,T_StockCount[WeekIndex],79)&gt;0,SUMIFS(T_StockCount[CountedQty],T_StockCount[RM_Code],$A55,T_StockCount[WeekIndex],79),IF((COUNTIFS(T_SelfStock[RM_Code],$A55,T_SelfStock[WeekIndex],79)&gt;0)*(COUNTIFS(T_TTAFStock[RM_Code],$A55,T_TTAFStock[WeekIndex],79)&gt;0)&gt;0,SUMIFS(T_SelfStock[Self_Qty],T_SelfStock[RM_Code],$A55,T_SelfStock[WeekIndex],79)+SUMIFS(T_TTAFStock[TTAF_Qty],T_TTAFStock[RM_Code],$A55,T_TTAFStock[WeekIndex],79),CA55+'Grid_Incoming'!CB55-'Grid_Requirement'!CB55))</f>
        <v/>
      </c>
      <c r="CC55">
        <f>IF(COUNTIFS(T_StockCount[RM_Code],$A55,T_StockCount[WeekIndex],80)&gt;0,SUMIFS(T_StockCount[CountedQty],T_StockCount[RM_Code],$A55,T_StockCount[WeekIndex],80),IF((COUNTIFS(T_SelfStock[RM_Code],$A55,T_SelfStock[WeekIndex],80)&gt;0)*(COUNTIFS(T_TTAFStock[RM_Code],$A55,T_TTAFStock[WeekIndex],80)&gt;0)&gt;0,SUMIFS(T_SelfStock[Self_Qty],T_SelfStock[RM_Code],$A55,T_SelfStock[WeekIndex],80)+SUMIFS(T_TTAFStock[TTAF_Qty],T_TTAFStock[RM_Code],$A55,T_TTAFStock[WeekIndex],80),CB55+'Grid_Incoming'!CC55-'Grid_Requirement'!CC55))</f>
        <v/>
      </c>
      <c r="CD55">
        <f>IF(COUNTIFS(T_StockCount[RM_Code],$A55,T_StockCount[WeekIndex],81)&gt;0,SUMIFS(T_StockCount[CountedQty],T_StockCount[RM_Code],$A55,T_StockCount[WeekIndex],81),IF((COUNTIFS(T_SelfStock[RM_Code],$A55,T_SelfStock[WeekIndex],81)&gt;0)*(COUNTIFS(T_TTAFStock[RM_Code],$A55,T_TTAFStock[WeekIndex],81)&gt;0)&gt;0,SUMIFS(T_SelfStock[Self_Qty],T_SelfStock[RM_Code],$A55,T_SelfStock[WeekIndex],81)+SUMIFS(T_TTAFStock[TTAF_Qty],T_TTAFStock[RM_Code],$A55,T_TTAFStock[WeekIndex],81),CC55+'Grid_Incoming'!CD55-'Grid_Requirement'!CD55))</f>
        <v/>
      </c>
      <c r="CE55">
        <f>IF(COUNTIFS(T_StockCount[RM_Code],$A55,T_StockCount[WeekIndex],82)&gt;0,SUMIFS(T_StockCount[CountedQty],T_StockCount[RM_Code],$A55,T_StockCount[WeekIndex],82),IF((COUNTIFS(T_SelfStock[RM_Code],$A55,T_SelfStock[WeekIndex],82)&gt;0)*(COUNTIFS(T_TTAFStock[RM_Code],$A55,T_TTAFStock[WeekIndex],82)&gt;0)&gt;0,SUMIFS(T_SelfStock[Self_Qty],T_SelfStock[RM_Code],$A55,T_SelfStock[WeekIndex],82)+SUMIFS(T_TTAFStock[TTAF_Qty],T_TTAFStock[RM_Code],$A55,T_TTAFStock[WeekIndex],82),CD55+'Grid_Incoming'!CE55-'Grid_Requirement'!CE55))</f>
        <v/>
      </c>
      <c r="CF55">
        <f>IF(COUNTIFS(T_StockCount[RM_Code],$A55,T_StockCount[WeekIndex],83)&gt;0,SUMIFS(T_StockCount[CountedQty],T_StockCount[RM_Code],$A55,T_StockCount[WeekIndex],83),IF((COUNTIFS(T_SelfStock[RM_Code],$A55,T_SelfStock[WeekIndex],83)&gt;0)*(COUNTIFS(T_TTAFStock[RM_Code],$A55,T_TTAFStock[WeekIndex],83)&gt;0)&gt;0,SUMIFS(T_SelfStock[Self_Qty],T_SelfStock[RM_Code],$A55,T_SelfStock[WeekIndex],83)+SUMIFS(T_TTAFStock[TTAF_Qty],T_TTAFStock[RM_Code],$A55,T_TTAFStock[WeekIndex],83),CE55+'Grid_Incoming'!CF55-'Grid_Requirement'!CF55))</f>
        <v/>
      </c>
      <c r="CG55">
        <f>IF(COUNTIFS(T_StockCount[RM_Code],$A55,T_StockCount[WeekIndex],84)&gt;0,SUMIFS(T_StockCount[CountedQty],T_StockCount[RM_Code],$A55,T_StockCount[WeekIndex],84),IF((COUNTIFS(T_SelfStock[RM_Code],$A55,T_SelfStock[WeekIndex],84)&gt;0)*(COUNTIFS(T_TTAFStock[RM_Code],$A55,T_TTAFStock[WeekIndex],84)&gt;0)&gt;0,SUMIFS(T_SelfStock[Self_Qty],T_SelfStock[RM_Code],$A55,T_SelfStock[WeekIndex],84)+SUMIFS(T_TTAFStock[TTAF_Qty],T_TTAFStock[RM_Code],$A55,T_TTAFStock[WeekIndex],84),CF55+'Grid_Incoming'!CG55-'Grid_Requirement'!CG55))</f>
        <v/>
      </c>
      <c r="CH55">
        <f>IF(COUNTIFS(T_StockCount[RM_Code],$A55,T_StockCount[WeekIndex],85)&gt;0,SUMIFS(T_StockCount[CountedQty],T_StockCount[RM_Code],$A55,T_StockCount[WeekIndex],85),IF((COUNTIFS(T_SelfStock[RM_Code],$A55,T_SelfStock[WeekIndex],85)&gt;0)*(COUNTIFS(T_TTAFStock[RM_Code],$A55,T_TTAFStock[WeekIndex],85)&gt;0)&gt;0,SUMIFS(T_SelfStock[Self_Qty],T_SelfStock[RM_Code],$A55,T_SelfStock[WeekIndex],85)+SUMIFS(T_TTAFStock[TTAF_Qty],T_TTAFStock[RM_Code],$A55,T_TTAFStock[WeekIndex],85),CG55+'Grid_Incoming'!CH55-'Grid_Requirement'!CH55))</f>
        <v/>
      </c>
      <c r="CI55">
        <f>IF(COUNTIFS(T_StockCount[RM_Code],$A55,T_StockCount[WeekIndex],86)&gt;0,SUMIFS(T_StockCount[CountedQty],T_StockCount[RM_Code],$A55,T_StockCount[WeekIndex],86),IF((COUNTIFS(T_SelfStock[RM_Code],$A55,T_SelfStock[WeekIndex],86)&gt;0)*(COUNTIFS(T_TTAFStock[RM_Code],$A55,T_TTAFStock[WeekIndex],86)&gt;0)&gt;0,SUMIFS(T_SelfStock[Self_Qty],T_SelfStock[RM_Code],$A55,T_SelfStock[WeekIndex],86)+SUMIFS(T_TTAFStock[TTAF_Qty],T_TTAFStock[RM_Code],$A55,T_TTAFStock[WeekIndex],86),CH55+'Grid_Incoming'!CI55-'Grid_Requirement'!CI55))</f>
        <v/>
      </c>
      <c r="CJ55">
        <f>IF(COUNTIFS(T_StockCount[RM_Code],$A55,T_StockCount[WeekIndex],87)&gt;0,SUMIFS(T_StockCount[CountedQty],T_StockCount[RM_Code],$A55,T_StockCount[WeekIndex],87),IF((COUNTIFS(T_SelfStock[RM_Code],$A55,T_SelfStock[WeekIndex],87)&gt;0)*(COUNTIFS(T_TTAFStock[RM_Code],$A55,T_TTAFStock[WeekIndex],87)&gt;0)&gt;0,SUMIFS(T_SelfStock[Self_Qty],T_SelfStock[RM_Code],$A55,T_SelfStock[WeekIndex],87)+SUMIFS(T_TTAFStock[TTAF_Qty],T_TTAFStock[RM_Code],$A55,T_TTAFStock[WeekIndex],87),CI55+'Grid_Incoming'!CJ55-'Grid_Requirement'!CJ55))</f>
        <v/>
      </c>
      <c r="CK55">
        <f>IF(COUNTIFS(T_StockCount[RM_Code],$A55,T_StockCount[WeekIndex],88)&gt;0,SUMIFS(T_StockCount[CountedQty],T_StockCount[RM_Code],$A55,T_StockCount[WeekIndex],88),IF((COUNTIFS(T_SelfStock[RM_Code],$A55,T_SelfStock[WeekIndex],88)&gt;0)*(COUNTIFS(T_TTAFStock[RM_Code],$A55,T_TTAFStock[WeekIndex],88)&gt;0)&gt;0,SUMIFS(T_SelfStock[Self_Qty],T_SelfStock[RM_Code],$A55,T_SelfStock[WeekIndex],88)+SUMIFS(T_TTAFStock[TTAF_Qty],T_TTAFStock[RM_Code],$A55,T_TTAFStock[WeekIndex],88),CJ55+'Grid_Incoming'!CK55-'Grid_Requirement'!CK55))</f>
        <v/>
      </c>
      <c r="CL55">
        <f>IF(COUNTIFS(T_StockCount[RM_Code],$A55,T_StockCount[WeekIndex],89)&gt;0,SUMIFS(T_StockCount[CountedQty],T_StockCount[RM_Code],$A55,T_StockCount[WeekIndex],89),IF((COUNTIFS(T_SelfStock[RM_Code],$A55,T_SelfStock[WeekIndex],89)&gt;0)*(COUNTIFS(T_TTAFStock[RM_Code],$A55,T_TTAFStock[WeekIndex],89)&gt;0)&gt;0,SUMIFS(T_SelfStock[Self_Qty],T_SelfStock[RM_Code],$A55,T_SelfStock[WeekIndex],89)+SUMIFS(T_TTAFStock[TTAF_Qty],T_TTAFStock[RM_Code],$A55,T_TTAFStock[WeekIndex],89),CK55+'Grid_Incoming'!CL55-'Grid_Requirement'!CL55))</f>
        <v/>
      </c>
      <c r="CM55">
        <f>IF(COUNTIFS(T_StockCount[RM_Code],$A55,T_StockCount[WeekIndex],90)&gt;0,SUMIFS(T_StockCount[CountedQty],T_StockCount[RM_Code],$A55,T_StockCount[WeekIndex],90),IF((COUNTIFS(T_SelfStock[RM_Code],$A55,T_SelfStock[WeekIndex],90)&gt;0)*(COUNTIFS(T_TTAFStock[RM_Code],$A55,T_TTAFStock[WeekIndex],90)&gt;0)&gt;0,SUMIFS(T_SelfStock[Self_Qty],T_SelfStock[RM_Code],$A55,T_SelfStock[WeekIndex],90)+SUMIFS(T_TTAFStock[TTAF_Qty],T_TTAFStock[RM_Code],$A55,T_TTAFStock[WeekIndex],90),CL55+'Grid_Incoming'!CM55-'Grid_Requirement'!CM55))</f>
        <v/>
      </c>
      <c r="CN55">
        <f>IF(COUNTIFS(T_StockCount[RM_Code],$A55,T_StockCount[WeekIndex],91)&gt;0,SUMIFS(T_StockCount[CountedQty],T_StockCount[RM_Code],$A55,T_StockCount[WeekIndex],91),IF((COUNTIFS(T_SelfStock[RM_Code],$A55,T_SelfStock[WeekIndex],91)&gt;0)*(COUNTIFS(T_TTAFStock[RM_Code],$A55,T_TTAFStock[WeekIndex],91)&gt;0)&gt;0,SUMIFS(T_SelfStock[Self_Qty],T_SelfStock[RM_Code],$A55,T_SelfStock[WeekIndex],91)+SUMIFS(T_TTAFStock[TTAF_Qty],T_TTAFStock[RM_Code],$A55,T_TTAFStock[WeekIndex],91),CM55+'Grid_Incoming'!CN55-'Grid_Requirement'!CN55))</f>
        <v/>
      </c>
      <c r="CO55">
        <f>IF(COUNTIFS(T_StockCount[RM_Code],$A55,T_StockCount[WeekIndex],92)&gt;0,SUMIFS(T_StockCount[CountedQty],T_StockCount[RM_Code],$A55,T_StockCount[WeekIndex],92),IF((COUNTIFS(T_SelfStock[RM_Code],$A55,T_SelfStock[WeekIndex],92)&gt;0)*(COUNTIFS(T_TTAFStock[RM_Code],$A55,T_TTAFStock[WeekIndex],92)&gt;0)&gt;0,SUMIFS(T_SelfStock[Self_Qty],T_SelfStock[RM_Code],$A55,T_SelfStock[WeekIndex],92)+SUMIFS(T_TTAFStock[TTAF_Qty],T_TTAFStock[RM_Code],$A55,T_TTAFStock[WeekIndex],92),CN55+'Grid_Incoming'!CO55-'Grid_Requirement'!CO55))</f>
        <v/>
      </c>
      <c r="CP55">
        <f>IF(COUNTIFS(T_StockCount[RM_Code],$A55,T_StockCount[WeekIndex],93)&gt;0,SUMIFS(T_StockCount[CountedQty],T_StockCount[RM_Code],$A55,T_StockCount[WeekIndex],93),IF((COUNTIFS(T_SelfStock[RM_Code],$A55,T_SelfStock[WeekIndex],93)&gt;0)*(COUNTIFS(T_TTAFStock[RM_Code],$A55,T_TTAFStock[WeekIndex],93)&gt;0)&gt;0,SUMIFS(T_SelfStock[Self_Qty],T_SelfStock[RM_Code],$A55,T_SelfStock[WeekIndex],93)+SUMIFS(T_TTAFStock[TTAF_Qty],T_TTAFStock[RM_Code],$A55,T_TTAFStock[WeekIndex],93),CO55+'Grid_Incoming'!CP55-'Grid_Requirement'!CP55))</f>
        <v/>
      </c>
      <c r="CQ55">
        <f>IF(COUNTIFS(T_StockCount[RM_Code],$A55,T_StockCount[WeekIndex],94)&gt;0,SUMIFS(T_StockCount[CountedQty],T_StockCount[RM_Code],$A55,T_StockCount[WeekIndex],94),IF((COUNTIFS(T_SelfStock[RM_Code],$A55,T_SelfStock[WeekIndex],94)&gt;0)*(COUNTIFS(T_TTAFStock[RM_Code],$A55,T_TTAFStock[WeekIndex],94)&gt;0)&gt;0,SUMIFS(T_SelfStock[Self_Qty],T_SelfStock[RM_Code],$A55,T_SelfStock[WeekIndex],94)+SUMIFS(T_TTAFStock[TTAF_Qty],T_TTAFStock[RM_Code],$A55,T_TTAFStock[WeekIndex],94),CP55+'Grid_Incoming'!CQ55-'Grid_Requirement'!CQ55))</f>
        <v/>
      </c>
      <c r="CR55">
        <f>IF(COUNTIFS(T_StockCount[RM_Code],$A55,T_StockCount[WeekIndex],95)&gt;0,SUMIFS(T_StockCount[CountedQty],T_StockCount[RM_Code],$A55,T_StockCount[WeekIndex],95),IF((COUNTIFS(T_SelfStock[RM_Code],$A55,T_SelfStock[WeekIndex],95)&gt;0)*(COUNTIFS(T_TTAFStock[RM_Code],$A55,T_TTAFStock[WeekIndex],95)&gt;0)&gt;0,SUMIFS(T_SelfStock[Self_Qty],T_SelfStock[RM_Code],$A55,T_SelfStock[WeekIndex],95)+SUMIFS(T_TTAFStock[TTAF_Qty],T_TTAFStock[RM_Code],$A55,T_TTAFStock[WeekIndex],95),CQ55+'Grid_Incoming'!CR55-'Grid_Requirement'!CR55))</f>
        <v/>
      </c>
      <c r="CS55">
        <f>IF(COUNTIFS(T_StockCount[RM_Code],$A55,T_StockCount[WeekIndex],96)&gt;0,SUMIFS(T_StockCount[CountedQty],T_StockCount[RM_Code],$A55,T_StockCount[WeekIndex],96),IF((COUNTIFS(T_SelfStock[RM_Code],$A55,T_SelfStock[WeekIndex],96)&gt;0)*(COUNTIFS(T_TTAFStock[RM_Code],$A55,T_TTAFStock[WeekIndex],96)&gt;0)&gt;0,SUMIFS(T_SelfStock[Self_Qty],T_SelfStock[RM_Code],$A55,T_SelfStock[WeekIndex],96)+SUMIFS(T_TTAFStock[TTAF_Qty],T_TTAFStock[RM_Code],$A55,T_TTAFStock[WeekIndex],96),CR55+'Grid_Incoming'!CS55-'Grid_Requirement'!CS55))</f>
        <v/>
      </c>
      <c r="CT55">
        <f>IF(COUNTIFS(T_StockCount[RM_Code],$A55,T_StockCount[WeekIndex],97)&gt;0,SUMIFS(T_StockCount[CountedQty],T_StockCount[RM_Code],$A55,T_StockCount[WeekIndex],97),IF((COUNTIFS(T_SelfStock[RM_Code],$A55,T_SelfStock[WeekIndex],97)&gt;0)*(COUNTIFS(T_TTAFStock[RM_Code],$A55,T_TTAFStock[WeekIndex],97)&gt;0)&gt;0,SUMIFS(T_SelfStock[Self_Qty],T_SelfStock[RM_Code],$A55,T_SelfStock[WeekIndex],97)+SUMIFS(T_TTAFStock[TTAF_Qty],T_TTAFStock[RM_Code],$A55,T_TTAFStock[WeekIndex],97),CS55+'Grid_Incoming'!CT55-'Grid_Requirement'!CT55))</f>
        <v/>
      </c>
      <c r="CU55">
        <f>IF(COUNTIFS(T_StockCount[RM_Code],$A55,T_StockCount[WeekIndex],98)&gt;0,SUMIFS(T_StockCount[CountedQty],T_StockCount[RM_Code],$A55,T_StockCount[WeekIndex],98),IF((COUNTIFS(T_SelfStock[RM_Code],$A55,T_SelfStock[WeekIndex],98)&gt;0)*(COUNTIFS(T_TTAFStock[RM_Code],$A55,T_TTAFStock[WeekIndex],98)&gt;0)&gt;0,SUMIFS(T_SelfStock[Self_Qty],T_SelfStock[RM_Code],$A55,T_SelfStock[WeekIndex],98)+SUMIFS(T_TTAFStock[TTAF_Qty],T_TTAFStock[RM_Code],$A55,T_TTAFStock[WeekIndex],98),CT55+'Grid_Incoming'!CU55-'Grid_Requirement'!CU55))</f>
        <v/>
      </c>
      <c r="CV55">
        <f>IF(COUNTIFS(T_StockCount[RM_Code],$A55,T_StockCount[WeekIndex],99)&gt;0,SUMIFS(T_StockCount[CountedQty],T_StockCount[RM_Code],$A55,T_StockCount[WeekIndex],99),IF((COUNTIFS(T_SelfStock[RM_Code],$A55,T_SelfStock[WeekIndex],99)&gt;0)*(COUNTIFS(T_TTAFStock[RM_Code],$A55,T_TTAFStock[WeekIndex],99)&gt;0)&gt;0,SUMIFS(T_SelfStock[Self_Qty],T_SelfStock[RM_Code],$A55,T_SelfStock[WeekIndex],99)+SUMIFS(T_TTAFStock[TTAF_Qty],T_TTAFStock[RM_Code],$A55,T_TTAFStock[WeekIndex],99),CU55+'Grid_Incoming'!CV55-'Grid_Requirement'!CV55))</f>
        <v/>
      </c>
      <c r="CW55">
        <f>IF(COUNTIFS(T_StockCount[RM_Code],$A55,T_StockCount[WeekIndex],100)&gt;0,SUMIFS(T_StockCount[CountedQty],T_StockCount[RM_Code],$A55,T_StockCount[WeekIndex],100),IF((COUNTIFS(T_SelfStock[RM_Code],$A55,T_SelfStock[WeekIndex],100)&gt;0)*(COUNTIFS(T_TTAFStock[RM_Code],$A55,T_TTAFStock[WeekIndex],100)&gt;0)&gt;0,SUMIFS(T_SelfStock[Self_Qty],T_SelfStock[RM_Code],$A55,T_SelfStock[WeekIndex],100)+SUMIFS(T_TTAFStock[TTAF_Qty],T_TTAFStock[RM_Code],$A55,T_TTAFStock[WeekIndex],100),CV55+'Grid_Incoming'!CW55-'Grid_Requirement'!CW55))</f>
        <v/>
      </c>
      <c r="CX55">
        <f>IF(COUNTIFS(T_StockCount[RM_Code],$A55,T_StockCount[WeekIndex],101)&gt;0,SUMIFS(T_StockCount[CountedQty],T_StockCount[RM_Code],$A55,T_StockCount[WeekIndex],101),IF((COUNTIFS(T_SelfStock[RM_Code],$A55,T_SelfStock[WeekIndex],101)&gt;0)*(COUNTIFS(T_TTAFStock[RM_Code],$A55,T_TTAFStock[WeekIndex],101)&gt;0)&gt;0,SUMIFS(T_SelfStock[Self_Qty],T_SelfStock[RM_Code],$A55,T_SelfStock[WeekIndex],101)+SUMIFS(T_TTAFStock[TTAF_Qty],T_TTAFStock[RM_Code],$A55,T_TTAFStock[WeekIndex],101),CW55+'Grid_Incoming'!CX55-'Grid_Requirement'!CX55))</f>
        <v/>
      </c>
      <c r="CY55">
        <f>IF(COUNTIFS(T_StockCount[RM_Code],$A55,T_StockCount[WeekIndex],102)&gt;0,SUMIFS(T_StockCount[CountedQty],T_StockCount[RM_Code],$A55,T_StockCount[WeekIndex],102),IF((COUNTIFS(T_SelfStock[RM_Code],$A55,T_SelfStock[WeekIndex],102)&gt;0)*(COUNTIFS(T_TTAFStock[RM_Code],$A55,T_TTAFStock[WeekIndex],102)&gt;0)&gt;0,SUMIFS(T_SelfStock[Self_Qty],T_SelfStock[RM_Code],$A55,T_SelfStock[WeekIndex],102)+SUMIFS(T_TTAFStock[TTAF_Qty],T_TTAFStock[RM_Code],$A55,T_TTAFStock[WeekIndex],102),CX55+'Grid_Incoming'!CY55-'Grid_Requirement'!CY55))</f>
        <v/>
      </c>
      <c r="CZ55">
        <f>IF(COUNTIFS(T_StockCount[RM_Code],$A55,T_StockCount[WeekIndex],103)&gt;0,SUMIFS(T_StockCount[CountedQty],T_StockCount[RM_Code],$A55,T_StockCount[WeekIndex],103),IF((COUNTIFS(T_SelfStock[RM_Code],$A55,T_SelfStock[WeekIndex],103)&gt;0)*(COUNTIFS(T_TTAFStock[RM_Code],$A55,T_TTAFStock[WeekIndex],103)&gt;0)&gt;0,SUMIFS(T_SelfStock[Self_Qty],T_SelfStock[RM_Code],$A55,T_SelfStock[WeekIndex],103)+SUMIFS(T_TTAFStock[TTAF_Qty],T_TTAFStock[RM_Code],$A55,T_TTAFStock[WeekIndex],103),CY55+'Grid_Incoming'!CZ55-'Grid_Requirement'!CZ55))</f>
        <v/>
      </c>
      <c r="DA55">
        <f>IF(COUNTIFS(T_StockCount[RM_Code],$A55,T_StockCount[WeekIndex],104)&gt;0,SUMIFS(T_StockCount[CountedQty],T_StockCount[RM_Code],$A55,T_StockCount[WeekIndex],104),IF((COUNTIFS(T_SelfStock[RM_Code],$A55,T_SelfStock[WeekIndex],104)&gt;0)*(COUNTIFS(T_TTAFStock[RM_Code],$A55,T_TTAFStock[WeekIndex],104)&gt;0)&gt;0,SUMIFS(T_SelfStock[Self_Qty],T_SelfStock[RM_Code],$A55,T_SelfStock[WeekIndex],104)+SUMIFS(T_TTAFStock[TTAF_Qty],T_TTAFStock[RM_Code],$A55,T_TTAFStock[WeekIndex],104),CZ55+'Grid_Incoming'!DA55-'Grid_Requirement'!DA55))</f>
        <v/>
      </c>
    </row>
    <row r="56">
      <c r="A56" t="inlineStr">
        <is>
          <t>CHEM-1080</t>
        </is>
      </c>
      <c r="B56">
        <f>IF(COUNTIFS(T_StockCount[RM_Code],$A56,T_StockCount[WeekIndex],1)&gt;0,SUMIFS(T_StockCount[CountedQty],T_StockCount[RM_Code],$A56,T_StockCount[WeekIndex],1),IF((COUNTIFS(T_SelfStock[RM_Code],$A56,T_SelfStock[WeekIndex],1)&gt;0)*(COUNTIFS(T_TTAFStock[RM_Code],$A56,T_TTAFStock[WeekIndex],1)&gt;0)&gt;0,SUMIFS(T_SelfStock[Self_Qty],T_SelfStock[RM_Code],$A56,T_SelfStock[WeekIndex],1)+SUMIFS(T_TTAFStock[TTAF_Qty],T_TTAFStock[RM_Code],$A56,T_TTAFStock[WeekIndex],1),IFERROR(INDEX(T_OpeningStock[Opening_Qty],MATCH($A56,T_OpeningStock[RM_Code],0)),0)+'Grid_Incoming'!B56-'Grid_Requirement'!B56))</f>
        <v/>
      </c>
      <c r="C56">
        <f>IF(COUNTIFS(T_StockCount[RM_Code],$A56,T_StockCount[WeekIndex],2)&gt;0,SUMIFS(T_StockCount[CountedQty],T_StockCount[RM_Code],$A56,T_StockCount[WeekIndex],2),IF((COUNTIFS(T_SelfStock[RM_Code],$A56,T_SelfStock[WeekIndex],2)&gt;0)*(COUNTIFS(T_TTAFStock[RM_Code],$A56,T_TTAFStock[WeekIndex],2)&gt;0)&gt;0,SUMIFS(T_SelfStock[Self_Qty],T_SelfStock[RM_Code],$A56,T_SelfStock[WeekIndex],2)+SUMIFS(T_TTAFStock[TTAF_Qty],T_TTAFStock[RM_Code],$A56,T_TTAFStock[WeekIndex],2),B56+'Grid_Incoming'!C56-'Grid_Requirement'!C56))</f>
        <v/>
      </c>
      <c r="D56">
        <f>IF(COUNTIFS(T_StockCount[RM_Code],$A56,T_StockCount[WeekIndex],3)&gt;0,SUMIFS(T_StockCount[CountedQty],T_StockCount[RM_Code],$A56,T_StockCount[WeekIndex],3),IF((COUNTIFS(T_SelfStock[RM_Code],$A56,T_SelfStock[WeekIndex],3)&gt;0)*(COUNTIFS(T_TTAFStock[RM_Code],$A56,T_TTAFStock[WeekIndex],3)&gt;0)&gt;0,SUMIFS(T_SelfStock[Self_Qty],T_SelfStock[RM_Code],$A56,T_SelfStock[WeekIndex],3)+SUMIFS(T_TTAFStock[TTAF_Qty],T_TTAFStock[RM_Code],$A56,T_TTAFStock[WeekIndex],3),C56+'Grid_Incoming'!D56-'Grid_Requirement'!D56))</f>
        <v/>
      </c>
      <c r="E56">
        <f>IF(COUNTIFS(T_StockCount[RM_Code],$A56,T_StockCount[WeekIndex],4)&gt;0,SUMIFS(T_StockCount[CountedQty],T_StockCount[RM_Code],$A56,T_StockCount[WeekIndex],4),IF((COUNTIFS(T_SelfStock[RM_Code],$A56,T_SelfStock[WeekIndex],4)&gt;0)*(COUNTIFS(T_TTAFStock[RM_Code],$A56,T_TTAFStock[WeekIndex],4)&gt;0)&gt;0,SUMIFS(T_SelfStock[Self_Qty],T_SelfStock[RM_Code],$A56,T_SelfStock[WeekIndex],4)+SUMIFS(T_TTAFStock[TTAF_Qty],T_TTAFStock[RM_Code],$A56,T_TTAFStock[WeekIndex],4),D56+'Grid_Incoming'!E56-'Grid_Requirement'!E56))</f>
        <v/>
      </c>
      <c r="F56">
        <f>IF(COUNTIFS(T_StockCount[RM_Code],$A56,T_StockCount[WeekIndex],5)&gt;0,SUMIFS(T_StockCount[CountedQty],T_StockCount[RM_Code],$A56,T_StockCount[WeekIndex],5),IF((COUNTIFS(T_SelfStock[RM_Code],$A56,T_SelfStock[WeekIndex],5)&gt;0)*(COUNTIFS(T_TTAFStock[RM_Code],$A56,T_TTAFStock[WeekIndex],5)&gt;0)&gt;0,SUMIFS(T_SelfStock[Self_Qty],T_SelfStock[RM_Code],$A56,T_SelfStock[WeekIndex],5)+SUMIFS(T_TTAFStock[TTAF_Qty],T_TTAFStock[RM_Code],$A56,T_TTAFStock[WeekIndex],5),E56+'Grid_Incoming'!F56-'Grid_Requirement'!F56))</f>
        <v/>
      </c>
      <c r="G56">
        <f>IF(COUNTIFS(T_StockCount[RM_Code],$A56,T_StockCount[WeekIndex],6)&gt;0,SUMIFS(T_StockCount[CountedQty],T_StockCount[RM_Code],$A56,T_StockCount[WeekIndex],6),IF((COUNTIFS(T_SelfStock[RM_Code],$A56,T_SelfStock[WeekIndex],6)&gt;0)*(COUNTIFS(T_TTAFStock[RM_Code],$A56,T_TTAFStock[WeekIndex],6)&gt;0)&gt;0,SUMIFS(T_SelfStock[Self_Qty],T_SelfStock[RM_Code],$A56,T_SelfStock[WeekIndex],6)+SUMIFS(T_TTAFStock[TTAF_Qty],T_TTAFStock[RM_Code],$A56,T_TTAFStock[WeekIndex],6),F56+'Grid_Incoming'!G56-'Grid_Requirement'!G56))</f>
        <v/>
      </c>
      <c r="H56">
        <f>IF(COUNTIFS(T_StockCount[RM_Code],$A56,T_StockCount[WeekIndex],7)&gt;0,SUMIFS(T_StockCount[CountedQty],T_StockCount[RM_Code],$A56,T_StockCount[WeekIndex],7),IF((COUNTIFS(T_SelfStock[RM_Code],$A56,T_SelfStock[WeekIndex],7)&gt;0)*(COUNTIFS(T_TTAFStock[RM_Code],$A56,T_TTAFStock[WeekIndex],7)&gt;0)&gt;0,SUMIFS(T_SelfStock[Self_Qty],T_SelfStock[RM_Code],$A56,T_SelfStock[WeekIndex],7)+SUMIFS(T_TTAFStock[TTAF_Qty],T_TTAFStock[RM_Code],$A56,T_TTAFStock[WeekIndex],7),G56+'Grid_Incoming'!H56-'Grid_Requirement'!H56))</f>
        <v/>
      </c>
      <c r="I56">
        <f>IF(COUNTIFS(T_StockCount[RM_Code],$A56,T_StockCount[WeekIndex],8)&gt;0,SUMIFS(T_StockCount[CountedQty],T_StockCount[RM_Code],$A56,T_StockCount[WeekIndex],8),IF((COUNTIFS(T_SelfStock[RM_Code],$A56,T_SelfStock[WeekIndex],8)&gt;0)*(COUNTIFS(T_TTAFStock[RM_Code],$A56,T_TTAFStock[WeekIndex],8)&gt;0)&gt;0,SUMIFS(T_SelfStock[Self_Qty],T_SelfStock[RM_Code],$A56,T_SelfStock[WeekIndex],8)+SUMIFS(T_TTAFStock[TTAF_Qty],T_TTAFStock[RM_Code],$A56,T_TTAFStock[WeekIndex],8),H56+'Grid_Incoming'!I56-'Grid_Requirement'!I56))</f>
        <v/>
      </c>
      <c r="J56">
        <f>IF(COUNTIFS(T_StockCount[RM_Code],$A56,T_StockCount[WeekIndex],9)&gt;0,SUMIFS(T_StockCount[CountedQty],T_StockCount[RM_Code],$A56,T_StockCount[WeekIndex],9),IF((COUNTIFS(T_SelfStock[RM_Code],$A56,T_SelfStock[WeekIndex],9)&gt;0)*(COUNTIFS(T_TTAFStock[RM_Code],$A56,T_TTAFStock[WeekIndex],9)&gt;0)&gt;0,SUMIFS(T_SelfStock[Self_Qty],T_SelfStock[RM_Code],$A56,T_SelfStock[WeekIndex],9)+SUMIFS(T_TTAFStock[TTAF_Qty],T_TTAFStock[RM_Code],$A56,T_TTAFStock[WeekIndex],9),I56+'Grid_Incoming'!J56-'Grid_Requirement'!J56))</f>
        <v/>
      </c>
      <c r="K56">
        <f>IF(COUNTIFS(T_StockCount[RM_Code],$A56,T_StockCount[WeekIndex],10)&gt;0,SUMIFS(T_StockCount[CountedQty],T_StockCount[RM_Code],$A56,T_StockCount[WeekIndex],10),IF((COUNTIFS(T_SelfStock[RM_Code],$A56,T_SelfStock[WeekIndex],10)&gt;0)*(COUNTIFS(T_TTAFStock[RM_Code],$A56,T_TTAFStock[WeekIndex],10)&gt;0)&gt;0,SUMIFS(T_SelfStock[Self_Qty],T_SelfStock[RM_Code],$A56,T_SelfStock[WeekIndex],10)+SUMIFS(T_TTAFStock[TTAF_Qty],T_TTAFStock[RM_Code],$A56,T_TTAFStock[WeekIndex],10),J56+'Grid_Incoming'!K56-'Grid_Requirement'!K56))</f>
        <v/>
      </c>
      <c r="L56">
        <f>IF(COUNTIFS(T_StockCount[RM_Code],$A56,T_StockCount[WeekIndex],11)&gt;0,SUMIFS(T_StockCount[CountedQty],T_StockCount[RM_Code],$A56,T_StockCount[WeekIndex],11),IF((COUNTIFS(T_SelfStock[RM_Code],$A56,T_SelfStock[WeekIndex],11)&gt;0)*(COUNTIFS(T_TTAFStock[RM_Code],$A56,T_TTAFStock[WeekIndex],11)&gt;0)&gt;0,SUMIFS(T_SelfStock[Self_Qty],T_SelfStock[RM_Code],$A56,T_SelfStock[WeekIndex],11)+SUMIFS(T_TTAFStock[TTAF_Qty],T_TTAFStock[RM_Code],$A56,T_TTAFStock[WeekIndex],11),K56+'Grid_Incoming'!L56-'Grid_Requirement'!L56))</f>
        <v/>
      </c>
      <c r="M56">
        <f>IF(COUNTIFS(T_StockCount[RM_Code],$A56,T_StockCount[WeekIndex],12)&gt;0,SUMIFS(T_StockCount[CountedQty],T_StockCount[RM_Code],$A56,T_StockCount[WeekIndex],12),IF((COUNTIFS(T_SelfStock[RM_Code],$A56,T_SelfStock[WeekIndex],12)&gt;0)*(COUNTIFS(T_TTAFStock[RM_Code],$A56,T_TTAFStock[WeekIndex],12)&gt;0)&gt;0,SUMIFS(T_SelfStock[Self_Qty],T_SelfStock[RM_Code],$A56,T_SelfStock[WeekIndex],12)+SUMIFS(T_TTAFStock[TTAF_Qty],T_TTAFStock[RM_Code],$A56,T_TTAFStock[WeekIndex],12),L56+'Grid_Incoming'!M56-'Grid_Requirement'!M56))</f>
        <v/>
      </c>
      <c r="N56">
        <f>IF(COUNTIFS(T_StockCount[RM_Code],$A56,T_StockCount[WeekIndex],13)&gt;0,SUMIFS(T_StockCount[CountedQty],T_StockCount[RM_Code],$A56,T_StockCount[WeekIndex],13),IF((COUNTIFS(T_SelfStock[RM_Code],$A56,T_SelfStock[WeekIndex],13)&gt;0)*(COUNTIFS(T_TTAFStock[RM_Code],$A56,T_TTAFStock[WeekIndex],13)&gt;0)&gt;0,SUMIFS(T_SelfStock[Self_Qty],T_SelfStock[RM_Code],$A56,T_SelfStock[WeekIndex],13)+SUMIFS(T_TTAFStock[TTAF_Qty],T_TTAFStock[RM_Code],$A56,T_TTAFStock[WeekIndex],13),M56+'Grid_Incoming'!N56-'Grid_Requirement'!N56))</f>
        <v/>
      </c>
      <c r="O56">
        <f>IF(COUNTIFS(T_StockCount[RM_Code],$A56,T_StockCount[WeekIndex],14)&gt;0,SUMIFS(T_StockCount[CountedQty],T_StockCount[RM_Code],$A56,T_StockCount[WeekIndex],14),IF((COUNTIFS(T_SelfStock[RM_Code],$A56,T_SelfStock[WeekIndex],14)&gt;0)*(COUNTIFS(T_TTAFStock[RM_Code],$A56,T_TTAFStock[WeekIndex],14)&gt;0)&gt;0,SUMIFS(T_SelfStock[Self_Qty],T_SelfStock[RM_Code],$A56,T_SelfStock[WeekIndex],14)+SUMIFS(T_TTAFStock[TTAF_Qty],T_TTAFStock[RM_Code],$A56,T_TTAFStock[WeekIndex],14),N56+'Grid_Incoming'!O56-'Grid_Requirement'!O56))</f>
        <v/>
      </c>
      <c r="P56">
        <f>IF(COUNTIFS(T_StockCount[RM_Code],$A56,T_StockCount[WeekIndex],15)&gt;0,SUMIFS(T_StockCount[CountedQty],T_StockCount[RM_Code],$A56,T_StockCount[WeekIndex],15),IF((COUNTIFS(T_SelfStock[RM_Code],$A56,T_SelfStock[WeekIndex],15)&gt;0)*(COUNTIFS(T_TTAFStock[RM_Code],$A56,T_TTAFStock[WeekIndex],15)&gt;0)&gt;0,SUMIFS(T_SelfStock[Self_Qty],T_SelfStock[RM_Code],$A56,T_SelfStock[WeekIndex],15)+SUMIFS(T_TTAFStock[TTAF_Qty],T_TTAFStock[RM_Code],$A56,T_TTAFStock[WeekIndex],15),O56+'Grid_Incoming'!P56-'Grid_Requirement'!P56))</f>
        <v/>
      </c>
      <c r="Q56">
        <f>IF(COUNTIFS(T_StockCount[RM_Code],$A56,T_StockCount[WeekIndex],16)&gt;0,SUMIFS(T_StockCount[CountedQty],T_StockCount[RM_Code],$A56,T_StockCount[WeekIndex],16),IF((COUNTIFS(T_SelfStock[RM_Code],$A56,T_SelfStock[WeekIndex],16)&gt;0)*(COUNTIFS(T_TTAFStock[RM_Code],$A56,T_TTAFStock[WeekIndex],16)&gt;0)&gt;0,SUMIFS(T_SelfStock[Self_Qty],T_SelfStock[RM_Code],$A56,T_SelfStock[WeekIndex],16)+SUMIFS(T_TTAFStock[TTAF_Qty],T_TTAFStock[RM_Code],$A56,T_TTAFStock[WeekIndex],16),P56+'Grid_Incoming'!Q56-'Grid_Requirement'!Q56))</f>
        <v/>
      </c>
      <c r="R56">
        <f>IF(COUNTIFS(T_StockCount[RM_Code],$A56,T_StockCount[WeekIndex],17)&gt;0,SUMIFS(T_StockCount[CountedQty],T_StockCount[RM_Code],$A56,T_StockCount[WeekIndex],17),IF((COUNTIFS(T_SelfStock[RM_Code],$A56,T_SelfStock[WeekIndex],17)&gt;0)*(COUNTIFS(T_TTAFStock[RM_Code],$A56,T_TTAFStock[WeekIndex],17)&gt;0)&gt;0,SUMIFS(T_SelfStock[Self_Qty],T_SelfStock[RM_Code],$A56,T_SelfStock[WeekIndex],17)+SUMIFS(T_TTAFStock[TTAF_Qty],T_TTAFStock[RM_Code],$A56,T_TTAFStock[WeekIndex],17),Q56+'Grid_Incoming'!R56-'Grid_Requirement'!R56))</f>
        <v/>
      </c>
      <c r="S56">
        <f>IF(COUNTIFS(T_StockCount[RM_Code],$A56,T_StockCount[WeekIndex],18)&gt;0,SUMIFS(T_StockCount[CountedQty],T_StockCount[RM_Code],$A56,T_StockCount[WeekIndex],18),IF((COUNTIFS(T_SelfStock[RM_Code],$A56,T_SelfStock[WeekIndex],18)&gt;0)*(COUNTIFS(T_TTAFStock[RM_Code],$A56,T_TTAFStock[WeekIndex],18)&gt;0)&gt;0,SUMIFS(T_SelfStock[Self_Qty],T_SelfStock[RM_Code],$A56,T_SelfStock[WeekIndex],18)+SUMIFS(T_TTAFStock[TTAF_Qty],T_TTAFStock[RM_Code],$A56,T_TTAFStock[WeekIndex],18),R56+'Grid_Incoming'!S56-'Grid_Requirement'!S56))</f>
        <v/>
      </c>
      <c r="T56">
        <f>IF(COUNTIFS(T_StockCount[RM_Code],$A56,T_StockCount[WeekIndex],19)&gt;0,SUMIFS(T_StockCount[CountedQty],T_StockCount[RM_Code],$A56,T_StockCount[WeekIndex],19),IF((COUNTIFS(T_SelfStock[RM_Code],$A56,T_SelfStock[WeekIndex],19)&gt;0)*(COUNTIFS(T_TTAFStock[RM_Code],$A56,T_TTAFStock[WeekIndex],19)&gt;0)&gt;0,SUMIFS(T_SelfStock[Self_Qty],T_SelfStock[RM_Code],$A56,T_SelfStock[WeekIndex],19)+SUMIFS(T_TTAFStock[TTAF_Qty],T_TTAFStock[RM_Code],$A56,T_TTAFStock[WeekIndex],19),S56+'Grid_Incoming'!T56-'Grid_Requirement'!T56))</f>
        <v/>
      </c>
      <c r="U56">
        <f>IF(COUNTIFS(T_StockCount[RM_Code],$A56,T_StockCount[WeekIndex],20)&gt;0,SUMIFS(T_StockCount[CountedQty],T_StockCount[RM_Code],$A56,T_StockCount[WeekIndex],20),IF((COUNTIFS(T_SelfStock[RM_Code],$A56,T_SelfStock[WeekIndex],20)&gt;0)*(COUNTIFS(T_TTAFStock[RM_Code],$A56,T_TTAFStock[WeekIndex],20)&gt;0)&gt;0,SUMIFS(T_SelfStock[Self_Qty],T_SelfStock[RM_Code],$A56,T_SelfStock[WeekIndex],20)+SUMIFS(T_TTAFStock[TTAF_Qty],T_TTAFStock[RM_Code],$A56,T_TTAFStock[WeekIndex],20),T56+'Grid_Incoming'!U56-'Grid_Requirement'!U56))</f>
        <v/>
      </c>
      <c r="V56">
        <f>IF(COUNTIFS(T_StockCount[RM_Code],$A56,T_StockCount[WeekIndex],21)&gt;0,SUMIFS(T_StockCount[CountedQty],T_StockCount[RM_Code],$A56,T_StockCount[WeekIndex],21),IF((COUNTIFS(T_SelfStock[RM_Code],$A56,T_SelfStock[WeekIndex],21)&gt;0)*(COUNTIFS(T_TTAFStock[RM_Code],$A56,T_TTAFStock[WeekIndex],21)&gt;0)&gt;0,SUMIFS(T_SelfStock[Self_Qty],T_SelfStock[RM_Code],$A56,T_SelfStock[WeekIndex],21)+SUMIFS(T_TTAFStock[TTAF_Qty],T_TTAFStock[RM_Code],$A56,T_TTAFStock[WeekIndex],21),U56+'Grid_Incoming'!V56-'Grid_Requirement'!V56))</f>
        <v/>
      </c>
      <c r="W56">
        <f>IF(COUNTIFS(T_StockCount[RM_Code],$A56,T_StockCount[WeekIndex],22)&gt;0,SUMIFS(T_StockCount[CountedQty],T_StockCount[RM_Code],$A56,T_StockCount[WeekIndex],22),IF((COUNTIFS(T_SelfStock[RM_Code],$A56,T_SelfStock[WeekIndex],22)&gt;0)*(COUNTIFS(T_TTAFStock[RM_Code],$A56,T_TTAFStock[WeekIndex],22)&gt;0)&gt;0,SUMIFS(T_SelfStock[Self_Qty],T_SelfStock[RM_Code],$A56,T_SelfStock[WeekIndex],22)+SUMIFS(T_TTAFStock[TTAF_Qty],T_TTAFStock[RM_Code],$A56,T_TTAFStock[WeekIndex],22),V56+'Grid_Incoming'!W56-'Grid_Requirement'!W56))</f>
        <v/>
      </c>
      <c r="X56">
        <f>IF(COUNTIFS(T_StockCount[RM_Code],$A56,T_StockCount[WeekIndex],23)&gt;0,SUMIFS(T_StockCount[CountedQty],T_StockCount[RM_Code],$A56,T_StockCount[WeekIndex],23),IF((COUNTIFS(T_SelfStock[RM_Code],$A56,T_SelfStock[WeekIndex],23)&gt;0)*(COUNTIFS(T_TTAFStock[RM_Code],$A56,T_TTAFStock[WeekIndex],23)&gt;0)&gt;0,SUMIFS(T_SelfStock[Self_Qty],T_SelfStock[RM_Code],$A56,T_SelfStock[WeekIndex],23)+SUMIFS(T_TTAFStock[TTAF_Qty],T_TTAFStock[RM_Code],$A56,T_TTAFStock[WeekIndex],23),W56+'Grid_Incoming'!X56-'Grid_Requirement'!X56))</f>
        <v/>
      </c>
      <c r="Y56">
        <f>IF(COUNTIFS(T_StockCount[RM_Code],$A56,T_StockCount[WeekIndex],24)&gt;0,SUMIFS(T_StockCount[CountedQty],T_StockCount[RM_Code],$A56,T_StockCount[WeekIndex],24),IF((COUNTIFS(T_SelfStock[RM_Code],$A56,T_SelfStock[WeekIndex],24)&gt;0)*(COUNTIFS(T_TTAFStock[RM_Code],$A56,T_TTAFStock[WeekIndex],24)&gt;0)&gt;0,SUMIFS(T_SelfStock[Self_Qty],T_SelfStock[RM_Code],$A56,T_SelfStock[WeekIndex],24)+SUMIFS(T_TTAFStock[TTAF_Qty],T_TTAFStock[RM_Code],$A56,T_TTAFStock[WeekIndex],24),X56+'Grid_Incoming'!Y56-'Grid_Requirement'!Y56))</f>
        <v/>
      </c>
      <c r="Z56">
        <f>IF(COUNTIFS(T_StockCount[RM_Code],$A56,T_StockCount[WeekIndex],25)&gt;0,SUMIFS(T_StockCount[CountedQty],T_StockCount[RM_Code],$A56,T_StockCount[WeekIndex],25),IF((COUNTIFS(T_SelfStock[RM_Code],$A56,T_SelfStock[WeekIndex],25)&gt;0)*(COUNTIFS(T_TTAFStock[RM_Code],$A56,T_TTAFStock[WeekIndex],25)&gt;0)&gt;0,SUMIFS(T_SelfStock[Self_Qty],T_SelfStock[RM_Code],$A56,T_SelfStock[WeekIndex],25)+SUMIFS(T_TTAFStock[TTAF_Qty],T_TTAFStock[RM_Code],$A56,T_TTAFStock[WeekIndex],25),Y56+'Grid_Incoming'!Z56-'Grid_Requirement'!Z56))</f>
        <v/>
      </c>
      <c r="AA56">
        <f>IF(COUNTIFS(T_StockCount[RM_Code],$A56,T_StockCount[WeekIndex],26)&gt;0,SUMIFS(T_StockCount[CountedQty],T_StockCount[RM_Code],$A56,T_StockCount[WeekIndex],26),IF((COUNTIFS(T_SelfStock[RM_Code],$A56,T_SelfStock[WeekIndex],26)&gt;0)*(COUNTIFS(T_TTAFStock[RM_Code],$A56,T_TTAFStock[WeekIndex],26)&gt;0)&gt;0,SUMIFS(T_SelfStock[Self_Qty],T_SelfStock[RM_Code],$A56,T_SelfStock[WeekIndex],26)+SUMIFS(T_TTAFStock[TTAF_Qty],T_TTAFStock[RM_Code],$A56,T_TTAFStock[WeekIndex],26),Z56+'Grid_Incoming'!AA56-'Grid_Requirement'!AA56))</f>
        <v/>
      </c>
      <c r="AB56">
        <f>IF(COUNTIFS(T_StockCount[RM_Code],$A56,T_StockCount[WeekIndex],27)&gt;0,SUMIFS(T_StockCount[CountedQty],T_StockCount[RM_Code],$A56,T_StockCount[WeekIndex],27),IF((COUNTIFS(T_SelfStock[RM_Code],$A56,T_SelfStock[WeekIndex],27)&gt;0)*(COUNTIFS(T_TTAFStock[RM_Code],$A56,T_TTAFStock[WeekIndex],27)&gt;0)&gt;0,SUMIFS(T_SelfStock[Self_Qty],T_SelfStock[RM_Code],$A56,T_SelfStock[WeekIndex],27)+SUMIFS(T_TTAFStock[TTAF_Qty],T_TTAFStock[RM_Code],$A56,T_TTAFStock[WeekIndex],27),AA56+'Grid_Incoming'!AB56-'Grid_Requirement'!AB56))</f>
        <v/>
      </c>
      <c r="AC56">
        <f>IF(COUNTIFS(T_StockCount[RM_Code],$A56,T_StockCount[WeekIndex],28)&gt;0,SUMIFS(T_StockCount[CountedQty],T_StockCount[RM_Code],$A56,T_StockCount[WeekIndex],28),IF((COUNTIFS(T_SelfStock[RM_Code],$A56,T_SelfStock[WeekIndex],28)&gt;0)*(COUNTIFS(T_TTAFStock[RM_Code],$A56,T_TTAFStock[WeekIndex],28)&gt;0)&gt;0,SUMIFS(T_SelfStock[Self_Qty],T_SelfStock[RM_Code],$A56,T_SelfStock[WeekIndex],28)+SUMIFS(T_TTAFStock[TTAF_Qty],T_TTAFStock[RM_Code],$A56,T_TTAFStock[WeekIndex],28),AB56+'Grid_Incoming'!AC56-'Grid_Requirement'!AC56))</f>
        <v/>
      </c>
      <c r="AD56">
        <f>IF(COUNTIFS(T_StockCount[RM_Code],$A56,T_StockCount[WeekIndex],29)&gt;0,SUMIFS(T_StockCount[CountedQty],T_StockCount[RM_Code],$A56,T_StockCount[WeekIndex],29),IF((COUNTIFS(T_SelfStock[RM_Code],$A56,T_SelfStock[WeekIndex],29)&gt;0)*(COUNTIFS(T_TTAFStock[RM_Code],$A56,T_TTAFStock[WeekIndex],29)&gt;0)&gt;0,SUMIFS(T_SelfStock[Self_Qty],T_SelfStock[RM_Code],$A56,T_SelfStock[WeekIndex],29)+SUMIFS(T_TTAFStock[TTAF_Qty],T_TTAFStock[RM_Code],$A56,T_TTAFStock[WeekIndex],29),AC56+'Grid_Incoming'!AD56-'Grid_Requirement'!AD56))</f>
        <v/>
      </c>
      <c r="AE56">
        <f>IF(COUNTIFS(T_StockCount[RM_Code],$A56,T_StockCount[WeekIndex],30)&gt;0,SUMIFS(T_StockCount[CountedQty],T_StockCount[RM_Code],$A56,T_StockCount[WeekIndex],30),IF((COUNTIFS(T_SelfStock[RM_Code],$A56,T_SelfStock[WeekIndex],30)&gt;0)*(COUNTIFS(T_TTAFStock[RM_Code],$A56,T_TTAFStock[WeekIndex],30)&gt;0)&gt;0,SUMIFS(T_SelfStock[Self_Qty],T_SelfStock[RM_Code],$A56,T_SelfStock[WeekIndex],30)+SUMIFS(T_TTAFStock[TTAF_Qty],T_TTAFStock[RM_Code],$A56,T_TTAFStock[WeekIndex],30),AD56+'Grid_Incoming'!AE56-'Grid_Requirement'!AE56))</f>
        <v/>
      </c>
      <c r="AF56">
        <f>IF(COUNTIFS(T_StockCount[RM_Code],$A56,T_StockCount[WeekIndex],31)&gt;0,SUMIFS(T_StockCount[CountedQty],T_StockCount[RM_Code],$A56,T_StockCount[WeekIndex],31),IF((COUNTIFS(T_SelfStock[RM_Code],$A56,T_SelfStock[WeekIndex],31)&gt;0)*(COUNTIFS(T_TTAFStock[RM_Code],$A56,T_TTAFStock[WeekIndex],31)&gt;0)&gt;0,SUMIFS(T_SelfStock[Self_Qty],T_SelfStock[RM_Code],$A56,T_SelfStock[WeekIndex],31)+SUMIFS(T_TTAFStock[TTAF_Qty],T_TTAFStock[RM_Code],$A56,T_TTAFStock[WeekIndex],31),AE56+'Grid_Incoming'!AF56-'Grid_Requirement'!AF56))</f>
        <v/>
      </c>
      <c r="AG56">
        <f>IF(COUNTIFS(T_StockCount[RM_Code],$A56,T_StockCount[WeekIndex],32)&gt;0,SUMIFS(T_StockCount[CountedQty],T_StockCount[RM_Code],$A56,T_StockCount[WeekIndex],32),IF((COUNTIFS(T_SelfStock[RM_Code],$A56,T_SelfStock[WeekIndex],32)&gt;0)*(COUNTIFS(T_TTAFStock[RM_Code],$A56,T_TTAFStock[WeekIndex],32)&gt;0)&gt;0,SUMIFS(T_SelfStock[Self_Qty],T_SelfStock[RM_Code],$A56,T_SelfStock[WeekIndex],32)+SUMIFS(T_TTAFStock[TTAF_Qty],T_TTAFStock[RM_Code],$A56,T_TTAFStock[WeekIndex],32),AF56+'Grid_Incoming'!AG56-'Grid_Requirement'!AG56))</f>
        <v/>
      </c>
      <c r="AH56">
        <f>IF(COUNTIFS(T_StockCount[RM_Code],$A56,T_StockCount[WeekIndex],33)&gt;0,SUMIFS(T_StockCount[CountedQty],T_StockCount[RM_Code],$A56,T_StockCount[WeekIndex],33),IF((COUNTIFS(T_SelfStock[RM_Code],$A56,T_SelfStock[WeekIndex],33)&gt;0)*(COUNTIFS(T_TTAFStock[RM_Code],$A56,T_TTAFStock[WeekIndex],33)&gt;0)&gt;0,SUMIFS(T_SelfStock[Self_Qty],T_SelfStock[RM_Code],$A56,T_SelfStock[WeekIndex],33)+SUMIFS(T_TTAFStock[TTAF_Qty],T_TTAFStock[RM_Code],$A56,T_TTAFStock[WeekIndex],33),AG56+'Grid_Incoming'!AH56-'Grid_Requirement'!AH56))</f>
        <v/>
      </c>
      <c r="AI56">
        <f>IF(COUNTIFS(T_StockCount[RM_Code],$A56,T_StockCount[WeekIndex],34)&gt;0,SUMIFS(T_StockCount[CountedQty],T_StockCount[RM_Code],$A56,T_StockCount[WeekIndex],34),IF((COUNTIFS(T_SelfStock[RM_Code],$A56,T_SelfStock[WeekIndex],34)&gt;0)*(COUNTIFS(T_TTAFStock[RM_Code],$A56,T_TTAFStock[WeekIndex],34)&gt;0)&gt;0,SUMIFS(T_SelfStock[Self_Qty],T_SelfStock[RM_Code],$A56,T_SelfStock[WeekIndex],34)+SUMIFS(T_TTAFStock[TTAF_Qty],T_TTAFStock[RM_Code],$A56,T_TTAFStock[WeekIndex],34),AH56+'Grid_Incoming'!AI56-'Grid_Requirement'!AI56))</f>
        <v/>
      </c>
      <c r="AJ56">
        <f>IF(COUNTIFS(T_StockCount[RM_Code],$A56,T_StockCount[WeekIndex],35)&gt;0,SUMIFS(T_StockCount[CountedQty],T_StockCount[RM_Code],$A56,T_StockCount[WeekIndex],35),IF((COUNTIFS(T_SelfStock[RM_Code],$A56,T_SelfStock[WeekIndex],35)&gt;0)*(COUNTIFS(T_TTAFStock[RM_Code],$A56,T_TTAFStock[WeekIndex],35)&gt;0)&gt;0,SUMIFS(T_SelfStock[Self_Qty],T_SelfStock[RM_Code],$A56,T_SelfStock[WeekIndex],35)+SUMIFS(T_TTAFStock[TTAF_Qty],T_TTAFStock[RM_Code],$A56,T_TTAFStock[WeekIndex],35),AI56+'Grid_Incoming'!AJ56-'Grid_Requirement'!AJ56))</f>
        <v/>
      </c>
      <c r="AK56">
        <f>IF(COUNTIFS(T_StockCount[RM_Code],$A56,T_StockCount[WeekIndex],36)&gt;0,SUMIFS(T_StockCount[CountedQty],T_StockCount[RM_Code],$A56,T_StockCount[WeekIndex],36),IF((COUNTIFS(T_SelfStock[RM_Code],$A56,T_SelfStock[WeekIndex],36)&gt;0)*(COUNTIFS(T_TTAFStock[RM_Code],$A56,T_TTAFStock[WeekIndex],36)&gt;0)&gt;0,SUMIFS(T_SelfStock[Self_Qty],T_SelfStock[RM_Code],$A56,T_SelfStock[WeekIndex],36)+SUMIFS(T_TTAFStock[TTAF_Qty],T_TTAFStock[RM_Code],$A56,T_TTAFStock[WeekIndex],36),AJ56+'Grid_Incoming'!AK56-'Grid_Requirement'!AK56))</f>
        <v/>
      </c>
      <c r="AL56">
        <f>IF(COUNTIFS(T_StockCount[RM_Code],$A56,T_StockCount[WeekIndex],37)&gt;0,SUMIFS(T_StockCount[CountedQty],T_StockCount[RM_Code],$A56,T_StockCount[WeekIndex],37),IF((COUNTIFS(T_SelfStock[RM_Code],$A56,T_SelfStock[WeekIndex],37)&gt;0)*(COUNTIFS(T_TTAFStock[RM_Code],$A56,T_TTAFStock[WeekIndex],37)&gt;0)&gt;0,SUMIFS(T_SelfStock[Self_Qty],T_SelfStock[RM_Code],$A56,T_SelfStock[WeekIndex],37)+SUMIFS(T_TTAFStock[TTAF_Qty],T_TTAFStock[RM_Code],$A56,T_TTAFStock[WeekIndex],37),AK56+'Grid_Incoming'!AL56-'Grid_Requirement'!AL56))</f>
        <v/>
      </c>
      <c r="AM56">
        <f>IF(COUNTIFS(T_StockCount[RM_Code],$A56,T_StockCount[WeekIndex],38)&gt;0,SUMIFS(T_StockCount[CountedQty],T_StockCount[RM_Code],$A56,T_StockCount[WeekIndex],38),IF((COUNTIFS(T_SelfStock[RM_Code],$A56,T_SelfStock[WeekIndex],38)&gt;0)*(COUNTIFS(T_TTAFStock[RM_Code],$A56,T_TTAFStock[WeekIndex],38)&gt;0)&gt;0,SUMIFS(T_SelfStock[Self_Qty],T_SelfStock[RM_Code],$A56,T_SelfStock[WeekIndex],38)+SUMIFS(T_TTAFStock[TTAF_Qty],T_TTAFStock[RM_Code],$A56,T_TTAFStock[WeekIndex],38),AL56+'Grid_Incoming'!AM56-'Grid_Requirement'!AM56))</f>
        <v/>
      </c>
      <c r="AN56">
        <f>IF(COUNTIFS(T_StockCount[RM_Code],$A56,T_StockCount[WeekIndex],39)&gt;0,SUMIFS(T_StockCount[CountedQty],T_StockCount[RM_Code],$A56,T_StockCount[WeekIndex],39),IF((COUNTIFS(T_SelfStock[RM_Code],$A56,T_SelfStock[WeekIndex],39)&gt;0)*(COUNTIFS(T_TTAFStock[RM_Code],$A56,T_TTAFStock[WeekIndex],39)&gt;0)&gt;0,SUMIFS(T_SelfStock[Self_Qty],T_SelfStock[RM_Code],$A56,T_SelfStock[WeekIndex],39)+SUMIFS(T_TTAFStock[TTAF_Qty],T_TTAFStock[RM_Code],$A56,T_TTAFStock[WeekIndex],39),AM56+'Grid_Incoming'!AN56-'Grid_Requirement'!AN56))</f>
        <v/>
      </c>
      <c r="AO56">
        <f>IF(COUNTIFS(T_StockCount[RM_Code],$A56,T_StockCount[WeekIndex],40)&gt;0,SUMIFS(T_StockCount[CountedQty],T_StockCount[RM_Code],$A56,T_StockCount[WeekIndex],40),IF((COUNTIFS(T_SelfStock[RM_Code],$A56,T_SelfStock[WeekIndex],40)&gt;0)*(COUNTIFS(T_TTAFStock[RM_Code],$A56,T_TTAFStock[WeekIndex],40)&gt;0)&gt;0,SUMIFS(T_SelfStock[Self_Qty],T_SelfStock[RM_Code],$A56,T_SelfStock[WeekIndex],40)+SUMIFS(T_TTAFStock[TTAF_Qty],T_TTAFStock[RM_Code],$A56,T_TTAFStock[WeekIndex],40),AN56+'Grid_Incoming'!AO56-'Grid_Requirement'!AO56))</f>
        <v/>
      </c>
      <c r="AP56">
        <f>IF(COUNTIFS(T_StockCount[RM_Code],$A56,T_StockCount[WeekIndex],41)&gt;0,SUMIFS(T_StockCount[CountedQty],T_StockCount[RM_Code],$A56,T_StockCount[WeekIndex],41),IF((COUNTIFS(T_SelfStock[RM_Code],$A56,T_SelfStock[WeekIndex],41)&gt;0)*(COUNTIFS(T_TTAFStock[RM_Code],$A56,T_TTAFStock[WeekIndex],41)&gt;0)&gt;0,SUMIFS(T_SelfStock[Self_Qty],T_SelfStock[RM_Code],$A56,T_SelfStock[WeekIndex],41)+SUMIFS(T_TTAFStock[TTAF_Qty],T_TTAFStock[RM_Code],$A56,T_TTAFStock[WeekIndex],41),AO56+'Grid_Incoming'!AP56-'Grid_Requirement'!AP56))</f>
        <v/>
      </c>
      <c r="AQ56">
        <f>IF(COUNTIFS(T_StockCount[RM_Code],$A56,T_StockCount[WeekIndex],42)&gt;0,SUMIFS(T_StockCount[CountedQty],T_StockCount[RM_Code],$A56,T_StockCount[WeekIndex],42),IF((COUNTIFS(T_SelfStock[RM_Code],$A56,T_SelfStock[WeekIndex],42)&gt;0)*(COUNTIFS(T_TTAFStock[RM_Code],$A56,T_TTAFStock[WeekIndex],42)&gt;0)&gt;0,SUMIFS(T_SelfStock[Self_Qty],T_SelfStock[RM_Code],$A56,T_SelfStock[WeekIndex],42)+SUMIFS(T_TTAFStock[TTAF_Qty],T_TTAFStock[RM_Code],$A56,T_TTAFStock[WeekIndex],42),AP56+'Grid_Incoming'!AQ56-'Grid_Requirement'!AQ56))</f>
        <v/>
      </c>
      <c r="AR56">
        <f>IF(COUNTIFS(T_StockCount[RM_Code],$A56,T_StockCount[WeekIndex],43)&gt;0,SUMIFS(T_StockCount[CountedQty],T_StockCount[RM_Code],$A56,T_StockCount[WeekIndex],43),IF((COUNTIFS(T_SelfStock[RM_Code],$A56,T_SelfStock[WeekIndex],43)&gt;0)*(COUNTIFS(T_TTAFStock[RM_Code],$A56,T_TTAFStock[WeekIndex],43)&gt;0)&gt;0,SUMIFS(T_SelfStock[Self_Qty],T_SelfStock[RM_Code],$A56,T_SelfStock[WeekIndex],43)+SUMIFS(T_TTAFStock[TTAF_Qty],T_TTAFStock[RM_Code],$A56,T_TTAFStock[WeekIndex],43),AQ56+'Grid_Incoming'!AR56-'Grid_Requirement'!AR56))</f>
        <v/>
      </c>
      <c r="AS56">
        <f>IF(COUNTIFS(T_StockCount[RM_Code],$A56,T_StockCount[WeekIndex],44)&gt;0,SUMIFS(T_StockCount[CountedQty],T_StockCount[RM_Code],$A56,T_StockCount[WeekIndex],44),IF((COUNTIFS(T_SelfStock[RM_Code],$A56,T_SelfStock[WeekIndex],44)&gt;0)*(COUNTIFS(T_TTAFStock[RM_Code],$A56,T_TTAFStock[WeekIndex],44)&gt;0)&gt;0,SUMIFS(T_SelfStock[Self_Qty],T_SelfStock[RM_Code],$A56,T_SelfStock[WeekIndex],44)+SUMIFS(T_TTAFStock[TTAF_Qty],T_TTAFStock[RM_Code],$A56,T_TTAFStock[WeekIndex],44),AR56+'Grid_Incoming'!AS56-'Grid_Requirement'!AS56))</f>
        <v/>
      </c>
      <c r="AT56">
        <f>IF(COUNTIFS(T_StockCount[RM_Code],$A56,T_StockCount[WeekIndex],45)&gt;0,SUMIFS(T_StockCount[CountedQty],T_StockCount[RM_Code],$A56,T_StockCount[WeekIndex],45),IF((COUNTIFS(T_SelfStock[RM_Code],$A56,T_SelfStock[WeekIndex],45)&gt;0)*(COUNTIFS(T_TTAFStock[RM_Code],$A56,T_TTAFStock[WeekIndex],45)&gt;0)&gt;0,SUMIFS(T_SelfStock[Self_Qty],T_SelfStock[RM_Code],$A56,T_SelfStock[WeekIndex],45)+SUMIFS(T_TTAFStock[TTAF_Qty],T_TTAFStock[RM_Code],$A56,T_TTAFStock[WeekIndex],45),AS56+'Grid_Incoming'!AT56-'Grid_Requirement'!AT56))</f>
        <v/>
      </c>
      <c r="AU56">
        <f>IF(COUNTIFS(T_StockCount[RM_Code],$A56,T_StockCount[WeekIndex],46)&gt;0,SUMIFS(T_StockCount[CountedQty],T_StockCount[RM_Code],$A56,T_StockCount[WeekIndex],46),IF((COUNTIFS(T_SelfStock[RM_Code],$A56,T_SelfStock[WeekIndex],46)&gt;0)*(COUNTIFS(T_TTAFStock[RM_Code],$A56,T_TTAFStock[WeekIndex],46)&gt;0)&gt;0,SUMIFS(T_SelfStock[Self_Qty],T_SelfStock[RM_Code],$A56,T_SelfStock[WeekIndex],46)+SUMIFS(T_TTAFStock[TTAF_Qty],T_TTAFStock[RM_Code],$A56,T_TTAFStock[WeekIndex],46),AT56+'Grid_Incoming'!AU56-'Grid_Requirement'!AU56))</f>
        <v/>
      </c>
      <c r="AV56">
        <f>IF(COUNTIFS(T_StockCount[RM_Code],$A56,T_StockCount[WeekIndex],47)&gt;0,SUMIFS(T_StockCount[CountedQty],T_StockCount[RM_Code],$A56,T_StockCount[WeekIndex],47),IF((COUNTIFS(T_SelfStock[RM_Code],$A56,T_SelfStock[WeekIndex],47)&gt;0)*(COUNTIFS(T_TTAFStock[RM_Code],$A56,T_TTAFStock[WeekIndex],47)&gt;0)&gt;0,SUMIFS(T_SelfStock[Self_Qty],T_SelfStock[RM_Code],$A56,T_SelfStock[WeekIndex],47)+SUMIFS(T_TTAFStock[TTAF_Qty],T_TTAFStock[RM_Code],$A56,T_TTAFStock[WeekIndex],47),AU56+'Grid_Incoming'!AV56-'Grid_Requirement'!AV56))</f>
        <v/>
      </c>
      <c r="AW56">
        <f>IF(COUNTIFS(T_StockCount[RM_Code],$A56,T_StockCount[WeekIndex],48)&gt;0,SUMIFS(T_StockCount[CountedQty],T_StockCount[RM_Code],$A56,T_StockCount[WeekIndex],48),IF((COUNTIFS(T_SelfStock[RM_Code],$A56,T_SelfStock[WeekIndex],48)&gt;0)*(COUNTIFS(T_TTAFStock[RM_Code],$A56,T_TTAFStock[WeekIndex],48)&gt;0)&gt;0,SUMIFS(T_SelfStock[Self_Qty],T_SelfStock[RM_Code],$A56,T_SelfStock[WeekIndex],48)+SUMIFS(T_TTAFStock[TTAF_Qty],T_TTAFStock[RM_Code],$A56,T_TTAFStock[WeekIndex],48),AV56+'Grid_Incoming'!AW56-'Grid_Requirement'!AW56))</f>
        <v/>
      </c>
      <c r="AX56">
        <f>IF(COUNTIFS(T_StockCount[RM_Code],$A56,T_StockCount[WeekIndex],49)&gt;0,SUMIFS(T_StockCount[CountedQty],T_StockCount[RM_Code],$A56,T_StockCount[WeekIndex],49),IF((COUNTIFS(T_SelfStock[RM_Code],$A56,T_SelfStock[WeekIndex],49)&gt;0)*(COUNTIFS(T_TTAFStock[RM_Code],$A56,T_TTAFStock[WeekIndex],49)&gt;0)&gt;0,SUMIFS(T_SelfStock[Self_Qty],T_SelfStock[RM_Code],$A56,T_SelfStock[WeekIndex],49)+SUMIFS(T_TTAFStock[TTAF_Qty],T_TTAFStock[RM_Code],$A56,T_TTAFStock[WeekIndex],49),AW56+'Grid_Incoming'!AX56-'Grid_Requirement'!AX56))</f>
        <v/>
      </c>
      <c r="AY56">
        <f>IF(COUNTIFS(T_StockCount[RM_Code],$A56,T_StockCount[WeekIndex],50)&gt;0,SUMIFS(T_StockCount[CountedQty],T_StockCount[RM_Code],$A56,T_StockCount[WeekIndex],50),IF((COUNTIFS(T_SelfStock[RM_Code],$A56,T_SelfStock[WeekIndex],50)&gt;0)*(COUNTIFS(T_TTAFStock[RM_Code],$A56,T_TTAFStock[WeekIndex],50)&gt;0)&gt;0,SUMIFS(T_SelfStock[Self_Qty],T_SelfStock[RM_Code],$A56,T_SelfStock[WeekIndex],50)+SUMIFS(T_TTAFStock[TTAF_Qty],T_TTAFStock[RM_Code],$A56,T_TTAFStock[WeekIndex],50),AX56+'Grid_Incoming'!AY56-'Grid_Requirement'!AY56))</f>
        <v/>
      </c>
      <c r="AZ56">
        <f>IF(COUNTIFS(T_StockCount[RM_Code],$A56,T_StockCount[WeekIndex],51)&gt;0,SUMIFS(T_StockCount[CountedQty],T_StockCount[RM_Code],$A56,T_StockCount[WeekIndex],51),IF((COUNTIFS(T_SelfStock[RM_Code],$A56,T_SelfStock[WeekIndex],51)&gt;0)*(COUNTIFS(T_TTAFStock[RM_Code],$A56,T_TTAFStock[WeekIndex],51)&gt;0)&gt;0,SUMIFS(T_SelfStock[Self_Qty],T_SelfStock[RM_Code],$A56,T_SelfStock[WeekIndex],51)+SUMIFS(T_TTAFStock[TTAF_Qty],T_TTAFStock[RM_Code],$A56,T_TTAFStock[WeekIndex],51),AY56+'Grid_Incoming'!AZ56-'Grid_Requirement'!AZ56))</f>
        <v/>
      </c>
      <c r="BA56">
        <f>IF(COUNTIFS(T_StockCount[RM_Code],$A56,T_StockCount[WeekIndex],52)&gt;0,SUMIFS(T_StockCount[CountedQty],T_StockCount[RM_Code],$A56,T_StockCount[WeekIndex],52),IF((COUNTIFS(T_SelfStock[RM_Code],$A56,T_SelfStock[WeekIndex],52)&gt;0)*(COUNTIFS(T_TTAFStock[RM_Code],$A56,T_TTAFStock[WeekIndex],52)&gt;0)&gt;0,SUMIFS(T_SelfStock[Self_Qty],T_SelfStock[RM_Code],$A56,T_SelfStock[WeekIndex],52)+SUMIFS(T_TTAFStock[TTAF_Qty],T_TTAFStock[RM_Code],$A56,T_TTAFStock[WeekIndex],52),AZ56+'Grid_Incoming'!BA56-'Grid_Requirement'!BA56))</f>
        <v/>
      </c>
      <c r="BB56">
        <f>IF(COUNTIFS(T_StockCount[RM_Code],$A56,T_StockCount[WeekIndex],53)&gt;0,SUMIFS(T_StockCount[CountedQty],T_StockCount[RM_Code],$A56,T_StockCount[WeekIndex],53),IF((COUNTIFS(T_SelfStock[RM_Code],$A56,T_SelfStock[WeekIndex],53)&gt;0)*(COUNTIFS(T_TTAFStock[RM_Code],$A56,T_TTAFStock[WeekIndex],53)&gt;0)&gt;0,SUMIFS(T_SelfStock[Self_Qty],T_SelfStock[RM_Code],$A56,T_SelfStock[WeekIndex],53)+SUMIFS(T_TTAFStock[TTAF_Qty],T_TTAFStock[RM_Code],$A56,T_TTAFStock[WeekIndex],53),BA56+'Grid_Incoming'!BB56-'Grid_Requirement'!BB56))</f>
        <v/>
      </c>
      <c r="BC56">
        <f>IF(COUNTIFS(T_StockCount[RM_Code],$A56,T_StockCount[WeekIndex],54)&gt;0,SUMIFS(T_StockCount[CountedQty],T_StockCount[RM_Code],$A56,T_StockCount[WeekIndex],54),IF((COUNTIFS(T_SelfStock[RM_Code],$A56,T_SelfStock[WeekIndex],54)&gt;0)*(COUNTIFS(T_TTAFStock[RM_Code],$A56,T_TTAFStock[WeekIndex],54)&gt;0)&gt;0,SUMIFS(T_SelfStock[Self_Qty],T_SelfStock[RM_Code],$A56,T_SelfStock[WeekIndex],54)+SUMIFS(T_TTAFStock[TTAF_Qty],T_TTAFStock[RM_Code],$A56,T_TTAFStock[WeekIndex],54),BB56+'Grid_Incoming'!BC56-'Grid_Requirement'!BC56))</f>
        <v/>
      </c>
      <c r="BD56">
        <f>IF(COUNTIFS(T_StockCount[RM_Code],$A56,T_StockCount[WeekIndex],55)&gt;0,SUMIFS(T_StockCount[CountedQty],T_StockCount[RM_Code],$A56,T_StockCount[WeekIndex],55),IF((COUNTIFS(T_SelfStock[RM_Code],$A56,T_SelfStock[WeekIndex],55)&gt;0)*(COUNTIFS(T_TTAFStock[RM_Code],$A56,T_TTAFStock[WeekIndex],55)&gt;0)&gt;0,SUMIFS(T_SelfStock[Self_Qty],T_SelfStock[RM_Code],$A56,T_SelfStock[WeekIndex],55)+SUMIFS(T_TTAFStock[TTAF_Qty],T_TTAFStock[RM_Code],$A56,T_TTAFStock[WeekIndex],55),BC56+'Grid_Incoming'!BD56-'Grid_Requirement'!BD56))</f>
        <v/>
      </c>
      <c r="BE56">
        <f>IF(COUNTIFS(T_StockCount[RM_Code],$A56,T_StockCount[WeekIndex],56)&gt;0,SUMIFS(T_StockCount[CountedQty],T_StockCount[RM_Code],$A56,T_StockCount[WeekIndex],56),IF((COUNTIFS(T_SelfStock[RM_Code],$A56,T_SelfStock[WeekIndex],56)&gt;0)*(COUNTIFS(T_TTAFStock[RM_Code],$A56,T_TTAFStock[WeekIndex],56)&gt;0)&gt;0,SUMIFS(T_SelfStock[Self_Qty],T_SelfStock[RM_Code],$A56,T_SelfStock[WeekIndex],56)+SUMIFS(T_TTAFStock[TTAF_Qty],T_TTAFStock[RM_Code],$A56,T_TTAFStock[WeekIndex],56),BD56+'Grid_Incoming'!BE56-'Grid_Requirement'!BE56))</f>
        <v/>
      </c>
      <c r="BF56">
        <f>IF(COUNTIFS(T_StockCount[RM_Code],$A56,T_StockCount[WeekIndex],57)&gt;0,SUMIFS(T_StockCount[CountedQty],T_StockCount[RM_Code],$A56,T_StockCount[WeekIndex],57),IF((COUNTIFS(T_SelfStock[RM_Code],$A56,T_SelfStock[WeekIndex],57)&gt;0)*(COUNTIFS(T_TTAFStock[RM_Code],$A56,T_TTAFStock[WeekIndex],57)&gt;0)&gt;0,SUMIFS(T_SelfStock[Self_Qty],T_SelfStock[RM_Code],$A56,T_SelfStock[WeekIndex],57)+SUMIFS(T_TTAFStock[TTAF_Qty],T_TTAFStock[RM_Code],$A56,T_TTAFStock[WeekIndex],57),BE56+'Grid_Incoming'!BF56-'Grid_Requirement'!BF56))</f>
        <v/>
      </c>
      <c r="BG56">
        <f>IF(COUNTIFS(T_StockCount[RM_Code],$A56,T_StockCount[WeekIndex],58)&gt;0,SUMIFS(T_StockCount[CountedQty],T_StockCount[RM_Code],$A56,T_StockCount[WeekIndex],58),IF((COUNTIFS(T_SelfStock[RM_Code],$A56,T_SelfStock[WeekIndex],58)&gt;0)*(COUNTIFS(T_TTAFStock[RM_Code],$A56,T_TTAFStock[WeekIndex],58)&gt;0)&gt;0,SUMIFS(T_SelfStock[Self_Qty],T_SelfStock[RM_Code],$A56,T_SelfStock[WeekIndex],58)+SUMIFS(T_TTAFStock[TTAF_Qty],T_TTAFStock[RM_Code],$A56,T_TTAFStock[WeekIndex],58),BF56+'Grid_Incoming'!BG56-'Grid_Requirement'!BG56))</f>
        <v/>
      </c>
      <c r="BH56">
        <f>IF(COUNTIFS(T_StockCount[RM_Code],$A56,T_StockCount[WeekIndex],59)&gt;0,SUMIFS(T_StockCount[CountedQty],T_StockCount[RM_Code],$A56,T_StockCount[WeekIndex],59),IF((COUNTIFS(T_SelfStock[RM_Code],$A56,T_SelfStock[WeekIndex],59)&gt;0)*(COUNTIFS(T_TTAFStock[RM_Code],$A56,T_TTAFStock[WeekIndex],59)&gt;0)&gt;0,SUMIFS(T_SelfStock[Self_Qty],T_SelfStock[RM_Code],$A56,T_SelfStock[WeekIndex],59)+SUMIFS(T_TTAFStock[TTAF_Qty],T_TTAFStock[RM_Code],$A56,T_TTAFStock[WeekIndex],59),BG56+'Grid_Incoming'!BH56-'Grid_Requirement'!BH56))</f>
        <v/>
      </c>
      <c r="BI56">
        <f>IF(COUNTIFS(T_StockCount[RM_Code],$A56,T_StockCount[WeekIndex],60)&gt;0,SUMIFS(T_StockCount[CountedQty],T_StockCount[RM_Code],$A56,T_StockCount[WeekIndex],60),IF((COUNTIFS(T_SelfStock[RM_Code],$A56,T_SelfStock[WeekIndex],60)&gt;0)*(COUNTIFS(T_TTAFStock[RM_Code],$A56,T_TTAFStock[WeekIndex],60)&gt;0)&gt;0,SUMIFS(T_SelfStock[Self_Qty],T_SelfStock[RM_Code],$A56,T_SelfStock[WeekIndex],60)+SUMIFS(T_TTAFStock[TTAF_Qty],T_TTAFStock[RM_Code],$A56,T_TTAFStock[WeekIndex],60),BH56+'Grid_Incoming'!BI56-'Grid_Requirement'!BI56))</f>
        <v/>
      </c>
      <c r="BJ56">
        <f>IF(COUNTIFS(T_StockCount[RM_Code],$A56,T_StockCount[WeekIndex],61)&gt;0,SUMIFS(T_StockCount[CountedQty],T_StockCount[RM_Code],$A56,T_StockCount[WeekIndex],61),IF((COUNTIFS(T_SelfStock[RM_Code],$A56,T_SelfStock[WeekIndex],61)&gt;0)*(COUNTIFS(T_TTAFStock[RM_Code],$A56,T_TTAFStock[WeekIndex],61)&gt;0)&gt;0,SUMIFS(T_SelfStock[Self_Qty],T_SelfStock[RM_Code],$A56,T_SelfStock[WeekIndex],61)+SUMIFS(T_TTAFStock[TTAF_Qty],T_TTAFStock[RM_Code],$A56,T_TTAFStock[WeekIndex],61),BI56+'Grid_Incoming'!BJ56-'Grid_Requirement'!BJ56))</f>
        <v/>
      </c>
      <c r="BK56">
        <f>IF(COUNTIFS(T_StockCount[RM_Code],$A56,T_StockCount[WeekIndex],62)&gt;0,SUMIFS(T_StockCount[CountedQty],T_StockCount[RM_Code],$A56,T_StockCount[WeekIndex],62),IF((COUNTIFS(T_SelfStock[RM_Code],$A56,T_SelfStock[WeekIndex],62)&gt;0)*(COUNTIFS(T_TTAFStock[RM_Code],$A56,T_TTAFStock[WeekIndex],62)&gt;0)&gt;0,SUMIFS(T_SelfStock[Self_Qty],T_SelfStock[RM_Code],$A56,T_SelfStock[WeekIndex],62)+SUMIFS(T_TTAFStock[TTAF_Qty],T_TTAFStock[RM_Code],$A56,T_TTAFStock[WeekIndex],62),BJ56+'Grid_Incoming'!BK56-'Grid_Requirement'!BK56))</f>
        <v/>
      </c>
      <c r="BL56">
        <f>IF(COUNTIFS(T_StockCount[RM_Code],$A56,T_StockCount[WeekIndex],63)&gt;0,SUMIFS(T_StockCount[CountedQty],T_StockCount[RM_Code],$A56,T_StockCount[WeekIndex],63),IF((COUNTIFS(T_SelfStock[RM_Code],$A56,T_SelfStock[WeekIndex],63)&gt;0)*(COUNTIFS(T_TTAFStock[RM_Code],$A56,T_TTAFStock[WeekIndex],63)&gt;0)&gt;0,SUMIFS(T_SelfStock[Self_Qty],T_SelfStock[RM_Code],$A56,T_SelfStock[WeekIndex],63)+SUMIFS(T_TTAFStock[TTAF_Qty],T_TTAFStock[RM_Code],$A56,T_TTAFStock[WeekIndex],63),BK56+'Grid_Incoming'!BL56-'Grid_Requirement'!BL56))</f>
        <v/>
      </c>
      <c r="BM56">
        <f>IF(COUNTIFS(T_StockCount[RM_Code],$A56,T_StockCount[WeekIndex],64)&gt;0,SUMIFS(T_StockCount[CountedQty],T_StockCount[RM_Code],$A56,T_StockCount[WeekIndex],64),IF((COUNTIFS(T_SelfStock[RM_Code],$A56,T_SelfStock[WeekIndex],64)&gt;0)*(COUNTIFS(T_TTAFStock[RM_Code],$A56,T_TTAFStock[WeekIndex],64)&gt;0)&gt;0,SUMIFS(T_SelfStock[Self_Qty],T_SelfStock[RM_Code],$A56,T_SelfStock[WeekIndex],64)+SUMIFS(T_TTAFStock[TTAF_Qty],T_TTAFStock[RM_Code],$A56,T_TTAFStock[WeekIndex],64),BL56+'Grid_Incoming'!BM56-'Grid_Requirement'!BM56))</f>
        <v/>
      </c>
      <c r="BN56">
        <f>IF(COUNTIFS(T_StockCount[RM_Code],$A56,T_StockCount[WeekIndex],65)&gt;0,SUMIFS(T_StockCount[CountedQty],T_StockCount[RM_Code],$A56,T_StockCount[WeekIndex],65),IF((COUNTIFS(T_SelfStock[RM_Code],$A56,T_SelfStock[WeekIndex],65)&gt;0)*(COUNTIFS(T_TTAFStock[RM_Code],$A56,T_TTAFStock[WeekIndex],65)&gt;0)&gt;0,SUMIFS(T_SelfStock[Self_Qty],T_SelfStock[RM_Code],$A56,T_SelfStock[WeekIndex],65)+SUMIFS(T_TTAFStock[TTAF_Qty],T_TTAFStock[RM_Code],$A56,T_TTAFStock[WeekIndex],65),BM56+'Grid_Incoming'!BN56-'Grid_Requirement'!BN56))</f>
        <v/>
      </c>
      <c r="BO56">
        <f>IF(COUNTIFS(T_StockCount[RM_Code],$A56,T_StockCount[WeekIndex],66)&gt;0,SUMIFS(T_StockCount[CountedQty],T_StockCount[RM_Code],$A56,T_StockCount[WeekIndex],66),IF((COUNTIFS(T_SelfStock[RM_Code],$A56,T_SelfStock[WeekIndex],66)&gt;0)*(COUNTIFS(T_TTAFStock[RM_Code],$A56,T_TTAFStock[WeekIndex],66)&gt;0)&gt;0,SUMIFS(T_SelfStock[Self_Qty],T_SelfStock[RM_Code],$A56,T_SelfStock[WeekIndex],66)+SUMIFS(T_TTAFStock[TTAF_Qty],T_TTAFStock[RM_Code],$A56,T_TTAFStock[WeekIndex],66),BN56+'Grid_Incoming'!BO56-'Grid_Requirement'!BO56))</f>
        <v/>
      </c>
      <c r="BP56">
        <f>IF(COUNTIFS(T_StockCount[RM_Code],$A56,T_StockCount[WeekIndex],67)&gt;0,SUMIFS(T_StockCount[CountedQty],T_StockCount[RM_Code],$A56,T_StockCount[WeekIndex],67),IF((COUNTIFS(T_SelfStock[RM_Code],$A56,T_SelfStock[WeekIndex],67)&gt;0)*(COUNTIFS(T_TTAFStock[RM_Code],$A56,T_TTAFStock[WeekIndex],67)&gt;0)&gt;0,SUMIFS(T_SelfStock[Self_Qty],T_SelfStock[RM_Code],$A56,T_SelfStock[WeekIndex],67)+SUMIFS(T_TTAFStock[TTAF_Qty],T_TTAFStock[RM_Code],$A56,T_TTAFStock[WeekIndex],67),BO56+'Grid_Incoming'!BP56-'Grid_Requirement'!BP56))</f>
        <v/>
      </c>
      <c r="BQ56">
        <f>IF(COUNTIFS(T_StockCount[RM_Code],$A56,T_StockCount[WeekIndex],68)&gt;0,SUMIFS(T_StockCount[CountedQty],T_StockCount[RM_Code],$A56,T_StockCount[WeekIndex],68),IF((COUNTIFS(T_SelfStock[RM_Code],$A56,T_SelfStock[WeekIndex],68)&gt;0)*(COUNTIFS(T_TTAFStock[RM_Code],$A56,T_TTAFStock[WeekIndex],68)&gt;0)&gt;0,SUMIFS(T_SelfStock[Self_Qty],T_SelfStock[RM_Code],$A56,T_SelfStock[WeekIndex],68)+SUMIFS(T_TTAFStock[TTAF_Qty],T_TTAFStock[RM_Code],$A56,T_TTAFStock[WeekIndex],68),BP56+'Grid_Incoming'!BQ56-'Grid_Requirement'!BQ56))</f>
        <v/>
      </c>
      <c r="BR56">
        <f>IF(COUNTIFS(T_StockCount[RM_Code],$A56,T_StockCount[WeekIndex],69)&gt;0,SUMIFS(T_StockCount[CountedQty],T_StockCount[RM_Code],$A56,T_StockCount[WeekIndex],69),IF((COUNTIFS(T_SelfStock[RM_Code],$A56,T_SelfStock[WeekIndex],69)&gt;0)*(COUNTIFS(T_TTAFStock[RM_Code],$A56,T_TTAFStock[WeekIndex],69)&gt;0)&gt;0,SUMIFS(T_SelfStock[Self_Qty],T_SelfStock[RM_Code],$A56,T_SelfStock[WeekIndex],69)+SUMIFS(T_TTAFStock[TTAF_Qty],T_TTAFStock[RM_Code],$A56,T_TTAFStock[WeekIndex],69),BQ56+'Grid_Incoming'!BR56-'Grid_Requirement'!BR56))</f>
        <v/>
      </c>
      <c r="BS56">
        <f>IF(COUNTIFS(T_StockCount[RM_Code],$A56,T_StockCount[WeekIndex],70)&gt;0,SUMIFS(T_StockCount[CountedQty],T_StockCount[RM_Code],$A56,T_StockCount[WeekIndex],70),IF((COUNTIFS(T_SelfStock[RM_Code],$A56,T_SelfStock[WeekIndex],70)&gt;0)*(COUNTIFS(T_TTAFStock[RM_Code],$A56,T_TTAFStock[WeekIndex],70)&gt;0)&gt;0,SUMIFS(T_SelfStock[Self_Qty],T_SelfStock[RM_Code],$A56,T_SelfStock[WeekIndex],70)+SUMIFS(T_TTAFStock[TTAF_Qty],T_TTAFStock[RM_Code],$A56,T_TTAFStock[WeekIndex],70),BR56+'Grid_Incoming'!BS56-'Grid_Requirement'!BS56))</f>
        <v/>
      </c>
      <c r="BT56">
        <f>IF(COUNTIFS(T_StockCount[RM_Code],$A56,T_StockCount[WeekIndex],71)&gt;0,SUMIFS(T_StockCount[CountedQty],T_StockCount[RM_Code],$A56,T_StockCount[WeekIndex],71),IF((COUNTIFS(T_SelfStock[RM_Code],$A56,T_SelfStock[WeekIndex],71)&gt;0)*(COUNTIFS(T_TTAFStock[RM_Code],$A56,T_TTAFStock[WeekIndex],71)&gt;0)&gt;0,SUMIFS(T_SelfStock[Self_Qty],T_SelfStock[RM_Code],$A56,T_SelfStock[WeekIndex],71)+SUMIFS(T_TTAFStock[TTAF_Qty],T_TTAFStock[RM_Code],$A56,T_TTAFStock[WeekIndex],71),BS56+'Grid_Incoming'!BT56-'Grid_Requirement'!BT56))</f>
        <v/>
      </c>
      <c r="BU56">
        <f>IF(COUNTIFS(T_StockCount[RM_Code],$A56,T_StockCount[WeekIndex],72)&gt;0,SUMIFS(T_StockCount[CountedQty],T_StockCount[RM_Code],$A56,T_StockCount[WeekIndex],72),IF((COUNTIFS(T_SelfStock[RM_Code],$A56,T_SelfStock[WeekIndex],72)&gt;0)*(COUNTIFS(T_TTAFStock[RM_Code],$A56,T_TTAFStock[WeekIndex],72)&gt;0)&gt;0,SUMIFS(T_SelfStock[Self_Qty],T_SelfStock[RM_Code],$A56,T_SelfStock[WeekIndex],72)+SUMIFS(T_TTAFStock[TTAF_Qty],T_TTAFStock[RM_Code],$A56,T_TTAFStock[WeekIndex],72),BT56+'Grid_Incoming'!BU56-'Grid_Requirement'!BU56))</f>
        <v/>
      </c>
      <c r="BV56">
        <f>IF(COUNTIFS(T_StockCount[RM_Code],$A56,T_StockCount[WeekIndex],73)&gt;0,SUMIFS(T_StockCount[CountedQty],T_StockCount[RM_Code],$A56,T_StockCount[WeekIndex],73),IF((COUNTIFS(T_SelfStock[RM_Code],$A56,T_SelfStock[WeekIndex],73)&gt;0)*(COUNTIFS(T_TTAFStock[RM_Code],$A56,T_TTAFStock[WeekIndex],73)&gt;0)&gt;0,SUMIFS(T_SelfStock[Self_Qty],T_SelfStock[RM_Code],$A56,T_SelfStock[WeekIndex],73)+SUMIFS(T_TTAFStock[TTAF_Qty],T_TTAFStock[RM_Code],$A56,T_TTAFStock[WeekIndex],73),BU56+'Grid_Incoming'!BV56-'Grid_Requirement'!BV56))</f>
        <v/>
      </c>
      <c r="BW56">
        <f>IF(COUNTIFS(T_StockCount[RM_Code],$A56,T_StockCount[WeekIndex],74)&gt;0,SUMIFS(T_StockCount[CountedQty],T_StockCount[RM_Code],$A56,T_StockCount[WeekIndex],74),IF((COUNTIFS(T_SelfStock[RM_Code],$A56,T_SelfStock[WeekIndex],74)&gt;0)*(COUNTIFS(T_TTAFStock[RM_Code],$A56,T_TTAFStock[WeekIndex],74)&gt;0)&gt;0,SUMIFS(T_SelfStock[Self_Qty],T_SelfStock[RM_Code],$A56,T_SelfStock[WeekIndex],74)+SUMIFS(T_TTAFStock[TTAF_Qty],T_TTAFStock[RM_Code],$A56,T_TTAFStock[WeekIndex],74),BV56+'Grid_Incoming'!BW56-'Grid_Requirement'!BW56))</f>
        <v/>
      </c>
      <c r="BX56">
        <f>IF(COUNTIFS(T_StockCount[RM_Code],$A56,T_StockCount[WeekIndex],75)&gt;0,SUMIFS(T_StockCount[CountedQty],T_StockCount[RM_Code],$A56,T_StockCount[WeekIndex],75),IF((COUNTIFS(T_SelfStock[RM_Code],$A56,T_SelfStock[WeekIndex],75)&gt;0)*(COUNTIFS(T_TTAFStock[RM_Code],$A56,T_TTAFStock[WeekIndex],75)&gt;0)&gt;0,SUMIFS(T_SelfStock[Self_Qty],T_SelfStock[RM_Code],$A56,T_SelfStock[WeekIndex],75)+SUMIFS(T_TTAFStock[TTAF_Qty],T_TTAFStock[RM_Code],$A56,T_TTAFStock[WeekIndex],75),BW56+'Grid_Incoming'!BX56-'Grid_Requirement'!BX56))</f>
        <v/>
      </c>
      <c r="BY56">
        <f>IF(COUNTIFS(T_StockCount[RM_Code],$A56,T_StockCount[WeekIndex],76)&gt;0,SUMIFS(T_StockCount[CountedQty],T_StockCount[RM_Code],$A56,T_StockCount[WeekIndex],76),IF((COUNTIFS(T_SelfStock[RM_Code],$A56,T_SelfStock[WeekIndex],76)&gt;0)*(COUNTIFS(T_TTAFStock[RM_Code],$A56,T_TTAFStock[WeekIndex],76)&gt;0)&gt;0,SUMIFS(T_SelfStock[Self_Qty],T_SelfStock[RM_Code],$A56,T_SelfStock[WeekIndex],76)+SUMIFS(T_TTAFStock[TTAF_Qty],T_TTAFStock[RM_Code],$A56,T_TTAFStock[WeekIndex],76),BX56+'Grid_Incoming'!BY56-'Grid_Requirement'!BY56))</f>
        <v/>
      </c>
      <c r="BZ56">
        <f>IF(COUNTIFS(T_StockCount[RM_Code],$A56,T_StockCount[WeekIndex],77)&gt;0,SUMIFS(T_StockCount[CountedQty],T_StockCount[RM_Code],$A56,T_StockCount[WeekIndex],77),IF((COUNTIFS(T_SelfStock[RM_Code],$A56,T_SelfStock[WeekIndex],77)&gt;0)*(COUNTIFS(T_TTAFStock[RM_Code],$A56,T_TTAFStock[WeekIndex],77)&gt;0)&gt;0,SUMIFS(T_SelfStock[Self_Qty],T_SelfStock[RM_Code],$A56,T_SelfStock[WeekIndex],77)+SUMIFS(T_TTAFStock[TTAF_Qty],T_TTAFStock[RM_Code],$A56,T_TTAFStock[WeekIndex],77),BY56+'Grid_Incoming'!BZ56-'Grid_Requirement'!BZ56))</f>
        <v/>
      </c>
      <c r="CA56">
        <f>IF(COUNTIFS(T_StockCount[RM_Code],$A56,T_StockCount[WeekIndex],78)&gt;0,SUMIFS(T_StockCount[CountedQty],T_StockCount[RM_Code],$A56,T_StockCount[WeekIndex],78),IF((COUNTIFS(T_SelfStock[RM_Code],$A56,T_SelfStock[WeekIndex],78)&gt;0)*(COUNTIFS(T_TTAFStock[RM_Code],$A56,T_TTAFStock[WeekIndex],78)&gt;0)&gt;0,SUMIFS(T_SelfStock[Self_Qty],T_SelfStock[RM_Code],$A56,T_SelfStock[WeekIndex],78)+SUMIFS(T_TTAFStock[TTAF_Qty],T_TTAFStock[RM_Code],$A56,T_TTAFStock[WeekIndex],78),BZ56+'Grid_Incoming'!CA56-'Grid_Requirement'!CA56))</f>
        <v/>
      </c>
      <c r="CB56">
        <f>IF(COUNTIFS(T_StockCount[RM_Code],$A56,T_StockCount[WeekIndex],79)&gt;0,SUMIFS(T_StockCount[CountedQty],T_StockCount[RM_Code],$A56,T_StockCount[WeekIndex],79),IF((COUNTIFS(T_SelfStock[RM_Code],$A56,T_SelfStock[WeekIndex],79)&gt;0)*(COUNTIFS(T_TTAFStock[RM_Code],$A56,T_TTAFStock[WeekIndex],79)&gt;0)&gt;0,SUMIFS(T_SelfStock[Self_Qty],T_SelfStock[RM_Code],$A56,T_SelfStock[WeekIndex],79)+SUMIFS(T_TTAFStock[TTAF_Qty],T_TTAFStock[RM_Code],$A56,T_TTAFStock[WeekIndex],79),CA56+'Grid_Incoming'!CB56-'Grid_Requirement'!CB56))</f>
        <v/>
      </c>
      <c r="CC56">
        <f>IF(COUNTIFS(T_StockCount[RM_Code],$A56,T_StockCount[WeekIndex],80)&gt;0,SUMIFS(T_StockCount[CountedQty],T_StockCount[RM_Code],$A56,T_StockCount[WeekIndex],80),IF((COUNTIFS(T_SelfStock[RM_Code],$A56,T_SelfStock[WeekIndex],80)&gt;0)*(COUNTIFS(T_TTAFStock[RM_Code],$A56,T_TTAFStock[WeekIndex],80)&gt;0)&gt;0,SUMIFS(T_SelfStock[Self_Qty],T_SelfStock[RM_Code],$A56,T_SelfStock[WeekIndex],80)+SUMIFS(T_TTAFStock[TTAF_Qty],T_TTAFStock[RM_Code],$A56,T_TTAFStock[WeekIndex],80),CB56+'Grid_Incoming'!CC56-'Grid_Requirement'!CC56))</f>
        <v/>
      </c>
      <c r="CD56">
        <f>IF(COUNTIFS(T_StockCount[RM_Code],$A56,T_StockCount[WeekIndex],81)&gt;0,SUMIFS(T_StockCount[CountedQty],T_StockCount[RM_Code],$A56,T_StockCount[WeekIndex],81),IF((COUNTIFS(T_SelfStock[RM_Code],$A56,T_SelfStock[WeekIndex],81)&gt;0)*(COUNTIFS(T_TTAFStock[RM_Code],$A56,T_TTAFStock[WeekIndex],81)&gt;0)&gt;0,SUMIFS(T_SelfStock[Self_Qty],T_SelfStock[RM_Code],$A56,T_SelfStock[WeekIndex],81)+SUMIFS(T_TTAFStock[TTAF_Qty],T_TTAFStock[RM_Code],$A56,T_TTAFStock[WeekIndex],81),CC56+'Grid_Incoming'!CD56-'Grid_Requirement'!CD56))</f>
        <v/>
      </c>
      <c r="CE56">
        <f>IF(COUNTIFS(T_StockCount[RM_Code],$A56,T_StockCount[WeekIndex],82)&gt;0,SUMIFS(T_StockCount[CountedQty],T_StockCount[RM_Code],$A56,T_StockCount[WeekIndex],82),IF((COUNTIFS(T_SelfStock[RM_Code],$A56,T_SelfStock[WeekIndex],82)&gt;0)*(COUNTIFS(T_TTAFStock[RM_Code],$A56,T_TTAFStock[WeekIndex],82)&gt;0)&gt;0,SUMIFS(T_SelfStock[Self_Qty],T_SelfStock[RM_Code],$A56,T_SelfStock[WeekIndex],82)+SUMIFS(T_TTAFStock[TTAF_Qty],T_TTAFStock[RM_Code],$A56,T_TTAFStock[WeekIndex],82),CD56+'Grid_Incoming'!CE56-'Grid_Requirement'!CE56))</f>
        <v/>
      </c>
      <c r="CF56">
        <f>IF(COUNTIFS(T_StockCount[RM_Code],$A56,T_StockCount[WeekIndex],83)&gt;0,SUMIFS(T_StockCount[CountedQty],T_StockCount[RM_Code],$A56,T_StockCount[WeekIndex],83),IF((COUNTIFS(T_SelfStock[RM_Code],$A56,T_SelfStock[WeekIndex],83)&gt;0)*(COUNTIFS(T_TTAFStock[RM_Code],$A56,T_TTAFStock[WeekIndex],83)&gt;0)&gt;0,SUMIFS(T_SelfStock[Self_Qty],T_SelfStock[RM_Code],$A56,T_SelfStock[WeekIndex],83)+SUMIFS(T_TTAFStock[TTAF_Qty],T_TTAFStock[RM_Code],$A56,T_TTAFStock[WeekIndex],83),CE56+'Grid_Incoming'!CF56-'Grid_Requirement'!CF56))</f>
        <v/>
      </c>
      <c r="CG56">
        <f>IF(COUNTIFS(T_StockCount[RM_Code],$A56,T_StockCount[WeekIndex],84)&gt;0,SUMIFS(T_StockCount[CountedQty],T_StockCount[RM_Code],$A56,T_StockCount[WeekIndex],84),IF((COUNTIFS(T_SelfStock[RM_Code],$A56,T_SelfStock[WeekIndex],84)&gt;0)*(COUNTIFS(T_TTAFStock[RM_Code],$A56,T_TTAFStock[WeekIndex],84)&gt;0)&gt;0,SUMIFS(T_SelfStock[Self_Qty],T_SelfStock[RM_Code],$A56,T_SelfStock[WeekIndex],84)+SUMIFS(T_TTAFStock[TTAF_Qty],T_TTAFStock[RM_Code],$A56,T_TTAFStock[WeekIndex],84),CF56+'Grid_Incoming'!CG56-'Grid_Requirement'!CG56))</f>
        <v/>
      </c>
      <c r="CH56">
        <f>IF(COUNTIFS(T_StockCount[RM_Code],$A56,T_StockCount[WeekIndex],85)&gt;0,SUMIFS(T_StockCount[CountedQty],T_StockCount[RM_Code],$A56,T_StockCount[WeekIndex],85),IF((COUNTIFS(T_SelfStock[RM_Code],$A56,T_SelfStock[WeekIndex],85)&gt;0)*(COUNTIFS(T_TTAFStock[RM_Code],$A56,T_TTAFStock[WeekIndex],85)&gt;0)&gt;0,SUMIFS(T_SelfStock[Self_Qty],T_SelfStock[RM_Code],$A56,T_SelfStock[WeekIndex],85)+SUMIFS(T_TTAFStock[TTAF_Qty],T_TTAFStock[RM_Code],$A56,T_TTAFStock[WeekIndex],85),CG56+'Grid_Incoming'!CH56-'Grid_Requirement'!CH56))</f>
        <v/>
      </c>
      <c r="CI56">
        <f>IF(COUNTIFS(T_StockCount[RM_Code],$A56,T_StockCount[WeekIndex],86)&gt;0,SUMIFS(T_StockCount[CountedQty],T_StockCount[RM_Code],$A56,T_StockCount[WeekIndex],86),IF((COUNTIFS(T_SelfStock[RM_Code],$A56,T_SelfStock[WeekIndex],86)&gt;0)*(COUNTIFS(T_TTAFStock[RM_Code],$A56,T_TTAFStock[WeekIndex],86)&gt;0)&gt;0,SUMIFS(T_SelfStock[Self_Qty],T_SelfStock[RM_Code],$A56,T_SelfStock[WeekIndex],86)+SUMIFS(T_TTAFStock[TTAF_Qty],T_TTAFStock[RM_Code],$A56,T_TTAFStock[WeekIndex],86),CH56+'Grid_Incoming'!CI56-'Grid_Requirement'!CI56))</f>
        <v/>
      </c>
      <c r="CJ56">
        <f>IF(COUNTIFS(T_StockCount[RM_Code],$A56,T_StockCount[WeekIndex],87)&gt;0,SUMIFS(T_StockCount[CountedQty],T_StockCount[RM_Code],$A56,T_StockCount[WeekIndex],87),IF((COUNTIFS(T_SelfStock[RM_Code],$A56,T_SelfStock[WeekIndex],87)&gt;0)*(COUNTIFS(T_TTAFStock[RM_Code],$A56,T_TTAFStock[WeekIndex],87)&gt;0)&gt;0,SUMIFS(T_SelfStock[Self_Qty],T_SelfStock[RM_Code],$A56,T_SelfStock[WeekIndex],87)+SUMIFS(T_TTAFStock[TTAF_Qty],T_TTAFStock[RM_Code],$A56,T_TTAFStock[WeekIndex],87),CI56+'Grid_Incoming'!CJ56-'Grid_Requirement'!CJ56))</f>
        <v/>
      </c>
      <c r="CK56">
        <f>IF(COUNTIFS(T_StockCount[RM_Code],$A56,T_StockCount[WeekIndex],88)&gt;0,SUMIFS(T_StockCount[CountedQty],T_StockCount[RM_Code],$A56,T_StockCount[WeekIndex],88),IF((COUNTIFS(T_SelfStock[RM_Code],$A56,T_SelfStock[WeekIndex],88)&gt;0)*(COUNTIFS(T_TTAFStock[RM_Code],$A56,T_TTAFStock[WeekIndex],88)&gt;0)&gt;0,SUMIFS(T_SelfStock[Self_Qty],T_SelfStock[RM_Code],$A56,T_SelfStock[WeekIndex],88)+SUMIFS(T_TTAFStock[TTAF_Qty],T_TTAFStock[RM_Code],$A56,T_TTAFStock[WeekIndex],88),CJ56+'Grid_Incoming'!CK56-'Grid_Requirement'!CK56))</f>
        <v/>
      </c>
      <c r="CL56">
        <f>IF(COUNTIFS(T_StockCount[RM_Code],$A56,T_StockCount[WeekIndex],89)&gt;0,SUMIFS(T_StockCount[CountedQty],T_StockCount[RM_Code],$A56,T_StockCount[WeekIndex],89),IF((COUNTIFS(T_SelfStock[RM_Code],$A56,T_SelfStock[WeekIndex],89)&gt;0)*(COUNTIFS(T_TTAFStock[RM_Code],$A56,T_TTAFStock[WeekIndex],89)&gt;0)&gt;0,SUMIFS(T_SelfStock[Self_Qty],T_SelfStock[RM_Code],$A56,T_SelfStock[WeekIndex],89)+SUMIFS(T_TTAFStock[TTAF_Qty],T_TTAFStock[RM_Code],$A56,T_TTAFStock[WeekIndex],89),CK56+'Grid_Incoming'!CL56-'Grid_Requirement'!CL56))</f>
        <v/>
      </c>
      <c r="CM56">
        <f>IF(COUNTIFS(T_StockCount[RM_Code],$A56,T_StockCount[WeekIndex],90)&gt;0,SUMIFS(T_StockCount[CountedQty],T_StockCount[RM_Code],$A56,T_StockCount[WeekIndex],90),IF((COUNTIFS(T_SelfStock[RM_Code],$A56,T_SelfStock[WeekIndex],90)&gt;0)*(COUNTIFS(T_TTAFStock[RM_Code],$A56,T_TTAFStock[WeekIndex],90)&gt;0)&gt;0,SUMIFS(T_SelfStock[Self_Qty],T_SelfStock[RM_Code],$A56,T_SelfStock[WeekIndex],90)+SUMIFS(T_TTAFStock[TTAF_Qty],T_TTAFStock[RM_Code],$A56,T_TTAFStock[WeekIndex],90),CL56+'Grid_Incoming'!CM56-'Grid_Requirement'!CM56))</f>
        <v/>
      </c>
      <c r="CN56">
        <f>IF(COUNTIFS(T_StockCount[RM_Code],$A56,T_StockCount[WeekIndex],91)&gt;0,SUMIFS(T_StockCount[CountedQty],T_StockCount[RM_Code],$A56,T_StockCount[WeekIndex],91),IF((COUNTIFS(T_SelfStock[RM_Code],$A56,T_SelfStock[WeekIndex],91)&gt;0)*(COUNTIFS(T_TTAFStock[RM_Code],$A56,T_TTAFStock[WeekIndex],91)&gt;0)&gt;0,SUMIFS(T_SelfStock[Self_Qty],T_SelfStock[RM_Code],$A56,T_SelfStock[WeekIndex],91)+SUMIFS(T_TTAFStock[TTAF_Qty],T_TTAFStock[RM_Code],$A56,T_TTAFStock[WeekIndex],91),CM56+'Grid_Incoming'!CN56-'Grid_Requirement'!CN56))</f>
        <v/>
      </c>
      <c r="CO56">
        <f>IF(COUNTIFS(T_StockCount[RM_Code],$A56,T_StockCount[WeekIndex],92)&gt;0,SUMIFS(T_StockCount[CountedQty],T_StockCount[RM_Code],$A56,T_StockCount[WeekIndex],92),IF((COUNTIFS(T_SelfStock[RM_Code],$A56,T_SelfStock[WeekIndex],92)&gt;0)*(COUNTIFS(T_TTAFStock[RM_Code],$A56,T_TTAFStock[WeekIndex],92)&gt;0)&gt;0,SUMIFS(T_SelfStock[Self_Qty],T_SelfStock[RM_Code],$A56,T_SelfStock[WeekIndex],92)+SUMIFS(T_TTAFStock[TTAF_Qty],T_TTAFStock[RM_Code],$A56,T_TTAFStock[WeekIndex],92),CN56+'Grid_Incoming'!CO56-'Grid_Requirement'!CO56))</f>
        <v/>
      </c>
      <c r="CP56">
        <f>IF(COUNTIFS(T_StockCount[RM_Code],$A56,T_StockCount[WeekIndex],93)&gt;0,SUMIFS(T_StockCount[CountedQty],T_StockCount[RM_Code],$A56,T_StockCount[WeekIndex],93),IF((COUNTIFS(T_SelfStock[RM_Code],$A56,T_SelfStock[WeekIndex],93)&gt;0)*(COUNTIFS(T_TTAFStock[RM_Code],$A56,T_TTAFStock[WeekIndex],93)&gt;0)&gt;0,SUMIFS(T_SelfStock[Self_Qty],T_SelfStock[RM_Code],$A56,T_SelfStock[WeekIndex],93)+SUMIFS(T_TTAFStock[TTAF_Qty],T_TTAFStock[RM_Code],$A56,T_TTAFStock[WeekIndex],93),CO56+'Grid_Incoming'!CP56-'Grid_Requirement'!CP56))</f>
        <v/>
      </c>
      <c r="CQ56">
        <f>IF(COUNTIFS(T_StockCount[RM_Code],$A56,T_StockCount[WeekIndex],94)&gt;0,SUMIFS(T_StockCount[CountedQty],T_StockCount[RM_Code],$A56,T_StockCount[WeekIndex],94),IF((COUNTIFS(T_SelfStock[RM_Code],$A56,T_SelfStock[WeekIndex],94)&gt;0)*(COUNTIFS(T_TTAFStock[RM_Code],$A56,T_TTAFStock[WeekIndex],94)&gt;0)&gt;0,SUMIFS(T_SelfStock[Self_Qty],T_SelfStock[RM_Code],$A56,T_SelfStock[WeekIndex],94)+SUMIFS(T_TTAFStock[TTAF_Qty],T_TTAFStock[RM_Code],$A56,T_TTAFStock[WeekIndex],94),CP56+'Grid_Incoming'!CQ56-'Grid_Requirement'!CQ56))</f>
        <v/>
      </c>
      <c r="CR56">
        <f>IF(COUNTIFS(T_StockCount[RM_Code],$A56,T_StockCount[WeekIndex],95)&gt;0,SUMIFS(T_StockCount[CountedQty],T_StockCount[RM_Code],$A56,T_StockCount[WeekIndex],95),IF((COUNTIFS(T_SelfStock[RM_Code],$A56,T_SelfStock[WeekIndex],95)&gt;0)*(COUNTIFS(T_TTAFStock[RM_Code],$A56,T_TTAFStock[WeekIndex],95)&gt;0)&gt;0,SUMIFS(T_SelfStock[Self_Qty],T_SelfStock[RM_Code],$A56,T_SelfStock[WeekIndex],95)+SUMIFS(T_TTAFStock[TTAF_Qty],T_TTAFStock[RM_Code],$A56,T_TTAFStock[WeekIndex],95),CQ56+'Grid_Incoming'!CR56-'Grid_Requirement'!CR56))</f>
        <v/>
      </c>
      <c r="CS56">
        <f>IF(COUNTIFS(T_StockCount[RM_Code],$A56,T_StockCount[WeekIndex],96)&gt;0,SUMIFS(T_StockCount[CountedQty],T_StockCount[RM_Code],$A56,T_StockCount[WeekIndex],96),IF((COUNTIFS(T_SelfStock[RM_Code],$A56,T_SelfStock[WeekIndex],96)&gt;0)*(COUNTIFS(T_TTAFStock[RM_Code],$A56,T_TTAFStock[WeekIndex],96)&gt;0)&gt;0,SUMIFS(T_SelfStock[Self_Qty],T_SelfStock[RM_Code],$A56,T_SelfStock[WeekIndex],96)+SUMIFS(T_TTAFStock[TTAF_Qty],T_TTAFStock[RM_Code],$A56,T_TTAFStock[WeekIndex],96),CR56+'Grid_Incoming'!CS56-'Grid_Requirement'!CS56))</f>
        <v/>
      </c>
      <c r="CT56">
        <f>IF(COUNTIFS(T_StockCount[RM_Code],$A56,T_StockCount[WeekIndex],97)&gt;0,SUMIFS(T_StockCount[CountedQty],T_StockCount[RM_Code],$A56,T_StockCount[WeekIndex],97),IF((COUNTIFS(T_SelfStock[RM_Code],$A56,T_SelfStock[WeekIndex],97)&gt;0)*(COUNTIFS(T_TTAFStock[RM_Code],$A56,T_TTAFStock[WeekIndex],97)&gt;0)&gt;0,SUMIFS(T_SelfStock[Self_Qty],T_SelfStock[RM_Code],$A56,T_SelfStock[WeekIndex],97)+SUMIFS(T_TTAFStock[TTAF_Qty],T_TTAFStock[RM_Code],$A56,T_TTAFStock[WeekIndex],97),CS56+'Grid_Incoming'!CT56-'Grid_Requirement'!CT56))</f>
        <v/>
      </c>
      <c r="CU56">
        <f>IF(COUNTIFS(T_StockCount[RM_Code],$A56,T_StockCount[WeekIndex],98)&gt;0,SUMIFS(T_StockCount[CountedQty],T_StockCount[RM_Code],$A56,T_StockCount[WeekIndex],98),IF((COUNTIFS(T_SelfStock[RM_Code],$A56,T_SelfStock[WeekIndex],98)&gt;0)*(COUNTIFS(T_TTAFStock[RM_Code],$A56,T_TTAFStock[WeekIndex],98)&gt;0)&gt;0,SUMIFS(T_SelfStock[Self_Qty],T_SelfStock[RM_Code],$A56,T_SelfStock[WeekIndex],98)+SUMIFS(T_TTAFStock[TTAF_Qty],T_TTAFStock[RM_Code],$A56,T_TTAFStock[WeekIndex],98),CT56+'Grid_Incoming'!CU56-'Grid_Requirement'!CU56))</f>
        <v/>
      </c>
      <c r="CV56">
        <f>IF(COUNTIFS(T_StockCount[RM_Code],$A56,T_StockCount[WeekIndex],99)&gt;0,SUMIFS(T_StockCount[CountedQty],T_StockCount[RM_Code],$A56,T_StockCount[WeekIndex],99),IF((COUNTIFS(T_SelfStock[RM_Code],$A56,T_SelfStock[WeekIndex],99)&gt;0)*(COUNTIFS(T_TTAFStock[RM_Code],$A56,T_TTAFStock[WeekIndex],99)&gt;0)&gt;0,SUMIFS(T_SelfStock[Self_Qty],T_SelfStock[RM_Code],$A56,T_SelfStock[WeekIndex],99)+SUMIFS(T_TTAFStock[TTAF_Qty],T_TTAFStock[RM_Code],$A56,T_TTAFStock[WeekIndex],99),CU56+'Grid_Incoming'!CV56-'Grid_Requirement'!CV56))</f>
        <v/>
      </c>
      <c r="CW56">
        <f>IF(COUNTIFS(T_StockCount[RM_Code],$A56,T_StockCount[WeekIndex],100)&gt;0,SUMIFS(T_StockCount[CountedQty],T_StockCount[RM_Code],$A56,T_StockCount[WeekIndex],100),IF((COUNTIFS(T_SelfStock[RM_Code],$A56,T_SelfStock[WeekIndex],100)&gt;0)*(COUNTIFS(T_TTAFStock[RM_Code],$A56,T_TTAFStock[WeekIndex],100)&gt;0)&gt;0,SUMIFS(T_SelfStock[Self_Qty],T_SelfStock[RM_Code],$A56,T_SelfStock[WeekIndex],100)+SUMIFS(T_TTAFStock[TTAF_Qty],T_TTAFStock[RM_Code],$A56,T_TTAFStock[WeekIndex],100),CV56+'Grid_Incoming'!CW56-'Grid_Requirement'!CW56))</f>
        <v/>
      </c>
      <c r="CX56">
        <f>IF(COUNTIFS(T_StockCount[RM_Code],$A56,T_StockCount[WeekIndex],101)&gt;0,SUMIFS(T_StockCount[CountedQty],T_StockCount[RM_Code],$A56,T_StockCount[WeekIndex],101),IF((COUNTIFS(T_SelfStock[RM_Code],$A56,T_SelfStock[WeekIndex],101)&gt;0)*(COUNTIFS(T_TTAFStock[RM_Code],$A56,T_TTAFStock[WeekIndex],101)&gt;0)&gt;0,SUMIFS(T_SelfStock[Self_Qty],T_SelfStock[RM_Code],$A56,T_SelfStock[WeekIndex],101)+SUMIFS(T_TTAFStock[TTAF_Qty],T_TTAFStock[RM_Code],$A56,T_TTAFStock[WeekIndex],101),CW56+'Grid_Incoming'!CX56-'Grid_Requirement'!CX56))</f>
        <v/>
      </c>
      <c r="CY56">
        <f>IF(COUNTIFS(T_StockCount[RM_Code],$A56,T_StockCount[WeekIndex],102)&gt;0,SUMIFS(T_StockCount[CountedQty],T_StockCount[RM_Code],$A56,T_StockCount[WeekIndex],102),IF((COUNTIFS(T_SelfStock[RM_Code],$A56,T_SelfStock[WeekIndex],102)&gt;0)*(COUNTIFS(T_TTAFStock[RM_Code],$A56,T_TTAFStock[WeekIndex],102)&gt;0)&gt;0,SUMIFS(T_SelfStock[Self_Qty],T_SelfStock[RM_Code],$A56,T_SelfStock[WeekIndex],102)+SUMIFS(T_TTAFStock[TTAF_Qty],T_TTAFStock[RM_Code],$A56,T_TTAFStock[WeekIndex],102),CX56+'Grid_Incoming'!CY56-'Grid_Requirement'!CY56))</f>
        <v/>
      </c>
      <c r="CZ56">
        <f>IF(COUNTIFS(T_StockCount[RM_Code],$A56,T_StockCount[WeekIndex],103)&gt;0,SUMIFS(T_StockCount[CountedQty],T_StockCount[RM_Code],$A56,T_StockCount[WeekIndex],103),IF((COUNTIFS(T_SelfStock[RM_Code],$A56,T_SelfStock[WeekIndex],103)&gt;0)*(COUNTIFS(T_TTAFStock[RM_Code],$A56,T_TTAFStock[WeekIndex],103)&gt;0)&gt;0,SUMIFS(T_SelfStock[Self_Qty],T_SelfStock[RM_Code],$A56,T_SelfStock[WeekIndex],103)+SUMIFS(T_TTAFStock[TTAF_Qty],T_TTAFStock[RM_Code],$A56,T_TTAFStock[WeekIndex],103),CY56+'Grid_Incoming'!CZ56-'Grid_Requirement'!CZ56))</f>
        <v/>
      </c>
      <c r="DA56">
        <f>IF(COUNTIFS(T_StockCount[RM_Code],$A56,T_StockCount[WeekIndex],104)&gt;0,SUMIFS(T_StockCount[CountedQty],T_StockCount[RM_Code],$A56,T_StockCount[WeekIndex],104),IF((COUNTIFS(T_SelfStock[RM_Code],$A56,T_SelfStock[WeekIndex],104)&gt;0)*(COUNTIFS(T_TTAFStock[RM_Code],$A56,T_TTAFStock[WeekIndex],104)&gt;0)&gt;0,SUMIFS(T_SelfStock[Self_Qty],T_SelfStock[RM_Code],$A56,T_SelfStock[WeekIndex],104)+SUMIFS(T_TTAFStock[TTAF_Qty],T_TTAFStock[RM_Code],$A56,T_TTAFStock[WeekIndex],104),CZ56+'Grid_Incoming'!DA56-'Grid_Requirement'!DA56))</f>
        <v/>
      </c>
    </row>
    <row r="57">
      <c r="A57" t="inlineStr">
        <is>
          <t>CHEM-1770</t>
        </is>
      </c>
      <c r="B57">
        <f>IF(COUNTIFS(T_StockCount[RM_Code],$A57,T_StockCount[WeekIndex],1)&gt;0,SUMIFS(T_StockCount[CountedQty],T_StockCount[RM_Code],$A57,T_StockCount[WeekIndex],1),IF((COUNTIFS(T_SelfStock[RM_Code],$A57,T_SelfStock[WeekIndex],1)&gt;0)*(COUNTIFS(T_TTAFStock[RM_Code],$A57,T_TTAFStock[WeekIndex],1)&gt;0)&gt;0,SUMIFS(T_SelfStock[Self_Qty],T_SelfStock[RM_Code],$A57,T_SelfStock[WeekIndex],1)+SUMIFS(T_TTAFStock[TTAF_Qty],T_TTAFStock[RM_Code],$A57,T_TTAFStock[WeekIndex],1),IFERROR(INDEX(T_OpeningStock[Opening_Qty],MATCH($A57,T_OpeningStock[RM_Code],0)),0)+'Grid_Incoming'!B57-'Grid_Requirement'!B57))</f>
        <v/>
      </c>
      <c r="C57">
        <f>IF(COUNTIFS(T_StockCount[RM_Code],$A57,T_StockCount[WeekIndex],2)&gt;0,SUMIFS(T_StockCount[CountedQty],T_StockCount[RM_Code],$A57,T_StockCount[WeekIndex],2),IF((COUNTIFS(T_SelfStock[RM_Code],$A57,T_SelfStock[WeekIndex],2)&gt;0)*(COUNTIFS(T_TTAFStock[RM_Code],$A57,T_TTAFStock[WeekIndex],2)&gt;0)&gt;0,SUMIFS(T_SelfStock[Self_Qty],T_SelfStock[RM_Code],$A57,T_SelfStock[WeekIndex],2)+SUMIFS(T_TTAFStock[TTAF_Qty],T_TTAFStock[RM_Code],$A57,T_TTAFStock[WeekIndex],2),B57+'Grid_Incoming'!C57-'Grid_Requirement'!C57))</f>
        <v/>
      </c>
      <c r="D57">
        <f>IF(COUNTIFS(T_StockCount[RM_Code],$A57,T_StockCount[WeekIndex],3)&gt;0,SUMIFS(T_StockCount[CountedQty],T_StockCount[RM_Code],$A57,T_StockCount[WeekIndex],3),IF((COUNTIFS(T_SelfStock[RM_Code],$A57,T_SelfStock[WeekIndex],3)&gt;0)*(COUNTIFS(T_TTAFStock[RM_Code],$A57,T_TTAFStock[WeekIndex],3)&gt;0)&gt;0,SUMIFS(T_SelfStock[Self_Qty],T_SelfStock[RM_Code],$A57,T_SelfStock[WeekIndex],3)+SUMIFS(T_TTAFStock[TTAF_Qty],T_TTAFStock[RM_Code],$A57,T_TTAFStock[WeekIndex],3),C57+'Grid_Incoming'!D57-'Grid_Requirement'!D57))</f>
        <v/>
      </c>
      <c r="E57">
        <f>IF(COUNTIFS(T_StockCount[RM_Code],$A57,T_StockCount[WeekIndex],4)&gt;0,SUMIFS(T_StockCount[CountedQty],T_StockCount[RM_Code],$A57,T_StockCount[WeekIndex],4),IF((COUNTIFS(T_SelfStock[RM_Code],$A57,T_SelfStock[WeekIndex],4)&gt;0)*(COUNTIFS(T_TTAFStock[RM_Code],$A57,T_TTAFStock[WeekIndex],4)&gt;0)&gt;0,SUMIFS(T_SelfStock[Self_Qty],T_SelfStock[RM_Code],$A57,T_SelfStock[WeekIndex],4)+SUMIFS(T_TTAFStock[TTAF_Qty],T_TTAFStock[RM_Code],$A57,T_TTAFStock[WeekIndex],4),D57+'Grid_Incoming'!E57-'Grid_Requirement'!E57))</f>
        <v/>
      </c>
      <c r="F57">
        <f>IF(COUNTIFS(T_StockCount[RM_Code],$A57,T_StockCount[WeekIndex],5)&gt;0,SUMIFS(T_StockCount[CountedQty],T_StockCount[RM_Code],$A57,T_StockCount[WeekIndex],5),IF((COUNTIFS(T_SelfStock[RM_Code],$A57,T_SelfStock[WeekIndex],5)&gt;0)*(COUNTIFS(T_TTAFStock[RM_Code],$A57,T_TTAFStock[WeekIndex],5)&gt;0)&gt;0,SUMIFS(T_SelfStock[Self_Qty],T_SelfStock[RM_Code],$A57,T_SelfStock[WeekIndex],5)+SUMIFS(T_TTAFStock[TTAF_Qty],T_TTAFStock[RM_Code],$A57,T_TTAFStock[WeekIndex],5),E57+'Grid_Incoming'!F57-'Grid_Requirement'!F57))</f>
        <v/>
      </c>
      <c r="G57">
        <f>IF(COUNTIFS(T_StockCount[RM_Code],$A57,T_StockCount[WeekIndex],6)&gt;0,SUMIFS(T_StockCount[CountedQty],T_StockCount[RM_Code],$A57,T_StockCount[WeekIndex],6),IF((COUNTIFS(T_SelfStock[RM_Code],$A57,T_SelfStock[WeekIndex],6)&gt;0)*(COUNTIFS(T_TTAFStock[RM_Code],$A57,T_TTAFStock[WeekIndex],6)&gt;0)&gt;0,SUMIFS(T_SelfStock[Self_Qty],T_SelfStock[RM_Code],$A57,T_SelfStock[WeekIndex],6)+SUMIFS(T_TTAFStock[TTAF_Qty],T_TTAFStock[RM_Code],$A57,T_TTAFStock[WeekIndex],6),F57+'Grid_Incoming'!G57-'Grid_Requirement'!G57))</f>
        <v/>
      </c>
      <c r="H57">
        <f>IF(COUNTIFS(T_StockCount[RM_Code],$A57,T_StockCount[WeekIndex],7)&gt;0,SUMIFS(T_StockCount[CountedQty],T_StockCount[RM_Code],$A57,T_StockCount[WeekIndex],7),IF((COUNTIFS(T_SelfStock[RM_Code],$A57,T_SelfStock[WeekIndex],7)&gt;0)*(COUNTIFS(T_TTAFStock[RM_Code],$A57,T_TTAFStock[WeekIndex],7)&gt;0)&gt;0,SUMIFS(T_SelfStock[Self_Qty],T_SelfStock[RM_Code],$A57,T_SelfStock[WeekIndex],7)+SUMIFS(T_TTAFStock[TTAF_Qty],T_TTAFStock[RM_Code],$A57,T_TTAFStock[WeekIndex],7),G57+'Grid_Incoming'!H57-'Grid_Requirement'!H57))</f>
        <v/>
      </c>
      <c r="I57">
        <f>IF(COUNTIFS(T_StockCount[RM_Code],$A57,T_StockCount[WeekIndex],8)&gt;0,SUMIFS(T_StockCount[CountedQty],T_StockCount[RM_Code],$A57,T_StockCount[WeekIndex],8),IF((COUNTIFS(T_SelfStock[RM_Code],$A57,T_SelfStock[WeekIndex],8)&gt;0)*(COUNTIFS(T_TTAFStock[RM_Code],$A57,T_TTAFStock[WeekIndex],8)&gt;0)&gt;0,SUMIFS(T_SelfStock[Self_Qty],T_SelfStock[RM_Code],$A57,T_SelfStock[WeekIndex],8)+SUMIFS(T_TTAFStock[TTAF_Qty],T_TTAFStock[RM_Code],$A57,T_TTAFStock[WeekIndex],8),H57+'Grid_Incoming'!I57-'Grid_Requirement'!I57))</f>
        <v/>
      </c>
      <c r="J57">
        <f>IF(COUNTIFS(T_StockCount[RM_Code],$A57,T_StockCount[WeekIndex],9)&gt;0,SUMIFS(T_StockCount[CountedQty],T_StockCount[RM_Code],$A57,T_StockCount[WeekIndex],9),IF((COUNTIFS(T_SelfStock[RM_Code],$A57,T_SelfStock[WeekIndex],9)&gt;0)*(COUNTIFS(T_TTAFStock[RM_Code],$A57,T_TTAFStock[WeekIndex],9)&gt;0)&gt;0,SUMIFS(T_SelfStock[Self_Qty],T_SelfStock[RM_Code],$A57,T_SelfStock[WeekIndex],9)+SUMIFS(T_TTAFStock[TTAF_Qty],T_TTAFStock[RM_Code],$A57,T_TTAFStock[WeekIndex],9),I57+'Grid_Incoming'!J57-'Grid_Requirement'!J57))</f>
        <v/>
      </c>
      <c r="K57">
        <f>IF(COUNTIFS(T_StockCount[RM_Code],$A57,T_StockCount[WeekIndex],10)&gt;0,SUMIFS(T_StockCount[CountedQty],T_StockCount[RM_Code],$A57,T_StockCount[WeekIndex],10),IF((COUNTIFS(T_SelfStock[RM_Code],$A57,T_SelfStock[WeekIndex],10)&gt;0)*(COUNTIFS(T_TTAFStock[RM_Code],$A57,T_TTAFStock[WeekIndex],10)&gt;0)&gt;0,SUMIFS(T_SelfStock[Self_Qty],T_SelfStock[RM_Code],$A57,T_SelfStock[WeekIndex],10)+SUMIFS(T_TTAFStock[TTAF_Qty],T_TTAFStock[RM_Code],$A57,T_TTAFStock[WeekIndex],10),J57+'Grid_Incoming'!K57-'Grid_Requirement'!K57))</f>
        <v/>
      </c>
      <c r="L57">
        <f>IF(COUNTIFS(T_StockCount[RM_Code],$A57,T_StockCount[WeekIndex],11)&gt;0,SUMIFS(T_StockCount[CountedQty],T_StockCount[RM_Code],$A57,T_StockCount[WeekIndex],11),IF((COUNTIFS(T_SelfStock[RM_Code],$A57,T_SelfStock[WeekIndex],11)&gt;0)*(COUNTIFS(T_TTAFStock[RM_Code],$A57,T_TTAFStock[WeekIndex],11)&gt;0)&gt;0,SUMIFS(T_SelfStock[Self_Qty],T_SelfStock[RM_Code],$A57,T_SelfStock[WeekIndex],11)+SUMIFS(T_TTAFStock[TTAF_Qty],T_TTAFStock[RM_Code],$A57,T_TTAFStock[WeekIndex],11),K57+'Grid_Incoming'!L57-'Grid_Requirement'!L57))</f>
        <v/>
      </c>
      <c r="M57">
        <f>IF(COUNTIFS(T_StockCount[RM_Code],$A57,T_StockCount[WeekIndex],12)&gt;0,SUMIFS(T_StockCount[CountedQty],T_StockCount[RM_Code],$A57,T_StockCount[WeekIndex],12),IF((COUNTIFS(T_SelfStock[RM_Code],$A57,T_SelfStock[WeekIndex],12)&gt;0)*(COUNTIFS(T_TTAFStock[RM_Code],$A57,T_TTAFStock[WeekIndex],12)&gt;0)&gt;0,SUMIFS(T_SelfStock[Self_Qty],T_SelfStock[RM_Code],$A57,T_SelfStock[WeekIndex],12)+SUMIFS(T_TTAFStock[TTAF_Qty],T_TTAFStock[RM_Code],$A57,T_TTAFStock[WeekIndex],12),L57+'Grid_Incoming'!M57-'Grid_Requirement'!M57))</f>
        <v/>
      </c>
      <c r="N57">
        <f>IF(COUNTIFS(T_StockCount[RM_Code],$A57,T_StockCount[WeekIndex],13)&gt;0,SUMIFS(T_StockCount[CountedQty],T_StockCount[RM_Code],$A57,T_StockCount[WeekIndex],13),IF((COUNTIFS(T_SelfStock[RM_Code],$A57,T_SelfStock[WeekIndex],13)&gt;0)*(COUNTIFS(T_TTAFStock[RM_Code],$A57,T_TTAFStock[WeekIndex],13)&gt;0)&gt;0,SUMIFS(T_SelfStock[Self_Qty],T_SelfStock[RM_Code],$A57,T_SelfStock[WeekIndex],13)+SUMIFS(T_TTAFStock[TTAF_Qty],T_TTAFStock[RM_Code],$A57,T_TTAFStock[WeekIndex],13),M57+'Grid_Incoming'!N57-'Grid_Requirement'!N57))</f>
        <v/>
      </c>
      <c r="O57">
        <f>IF(COUNTIFS(T_StockCount[RM_Code],$A57,T_StockCount[WeekIndex],14)&gt;0,SUMIFS(T_StockCount[CountedQty],T_StockCount[RM_Code],$A57,T_StockCount[WeekIndex],14),IF((COUNTIFS(T_SelfStock[RM_Code],$A57,T_SelfStock[WeekIndex],14)&gt;0)*(COUNTIFS(T_TTAFStock[RM_Code],$A57,T_TTAFStock[WeekIndex],14)&gt;0)&gt;0,SUMIFS(T_SelfStock[Self_Qty],T_SelfStock[RM_Code],$A57,T_SelfStock[WeekIndex],14)+SUMIFS(T_TTAFStock[TTAF_Qty],T_TTAFStock[RM_Code],$A57,T_TTAFStock[WeekIndex],14),N57+'Grid_Incoming'!O57-'Grid_Requirement'!O57))</f>
        <v/>
      </c>
      <c r="P57">
        <f>IF(COUNTIFS(T_StockCount[RM_Code],$A57,T_StockCount[WeekIndex],15)&gt;0,SUMIFS(T_StockCount[CountedQty],T_StockCount[RM_Code],$A57,T_StockCount[WeekIndex],15),IF((COUNTIFS(T_SelfStock[RM_Code],$A57,T_SelfStock[WeekIndex],15)&gt;0)*(COUNTIFS(T_TTAFStock[RM_Code],$A57,T_TTAFStock[WeekIndex],15)&gt;0)&gt;0,SUMIFS(T_SelfStock[Self_Qty],T_SelfStock[RM_Code],$A57,T_SelfStock[WeekIndex],15)+SUMIFS(T_TTAFStock[TTAF_Qty],T_TTAFStock[RM_Code],$A57,T_TTAFStock[WeekIndex],15),O57+'Grid_Incoming'!P57-'Grid_Requirement'!P57))</f>
        <v/>
      </c>
      <c r="Q57">
        <f>IF(COUNTIFS(T_StockCount[RM_Code],$A57,T_StockCount[WeekIndex],16)&gt;0,SUMIFS(T_StockCount[CountedQty],T_StockCount[RM_Code],$A57,T_StockCount[WeekIndex],16),IF((COUNTIFS(T_SelfStock[RM_Code],$A57,T_SelfStock[WeekIndex],16)&gt;0)*(COUNTIFS(T_TTAFStock[RM_Code],$A57,T_TTAFStock[WeekIndex],16)&gt;0)&gt;0,SUMIFS(T_SelfStock[Self_Qty],T_SelfStock[RM_Code],$A57,T_SelfStock[WeekIndex],16)+SUMIFS(T_TTAFStock[TTAF_Qty],T_TTAFStock[RM_Code],$A57,T_TTAFStock[WeekIndex],16),P57+'Grid_Incoming'!Q57-'Grid_Requirement'!Q57))</f>
        <v/>
      </c>
      <c r="R57">
        <f>IF(COUNTIFS(T_StockCount[RM_Code],$A57,T_StockCount[WeekIndex],17)&gt;0,SUMIFS(T_StockCount[CountedQty],T_StockCount[RM_Code],$A57,T_StockCount[WeekIndex],17),IF((COUNTIFS(T_SelfStock[RM_Code],$A57,T_SelfStock[WeekIndex],17)&gt;0)*(COUNTIFS(T_TTAFStock[RM_Code],$A57,T_TTAFStock[WeekIndex],17)&gt;0)&gt;0,SUMIFS(T_SelfStock[Self_Qty],T_SelfStock[RM_Code],$A57,T_SelfStock[WeekIndex],17)+SUMIFS(T_TTAFStock[TTAF_Qty],T_TTAFStock[RM_Code],$A57,T_TTAFStock[WeekIndex],17),Q57+'Grid_Incoming'!R57-'Grid_Requirement'!R57))</f>
        <v/>
      </c>
      <c r="S57">
        <f>IF(COUNTIFS(T_StockCount[RM_Code],$A57,T_StockCount[WeekIndex],18)&gt;0,SUMIFS(T_StockCount[CountedQty],T_StockCount[RM_Code],$A57,T_StockCount[WeekIndex],18),IF((COUNTIFS(T_SelfStock[RM_Code],$A57,T_SelfStock[WeekIndex],18)&gt;0)*(COUNTIFS(T_TTAFStock[RM_Code],$A57,T_TTAFStock[WeekIndex],18)&gt;0)&gt;0,SUMIFS(T_SelfStock[Self_Qty],T_SelfStock[RM_Code],$A57,T_SelfStock[WeekIndex],18)+SUMIFS(T_TTAFStock[TTAF_Qty],T_TTAFStock[RM_Code],$A57,T_TTAFStock[WeekIndex],18),R57+'Grid_Incoming'!S57-'Grid_Requirement'!S57))</f>
        <v/>
      </c>
      <c r="T57">
        <f>IF(COUNTIFS(T_StockCount[RM_Code],$A57,T_StockCount[WeekIndex],19)&gt;0,SUMIFS(T_StockCount[CountedQty],T_StockCount[RM_Code],$A57,T_StockCount[WeekIndex],19),IF((COUNTIFS(T_SelfStock[RM_Code],$A57,T_SelfStock[WeekIndex],19)&gt;0)*(COUNTIFS(T_TTAFStock[RM_Code],$A57,T_TTAFStock[WeekIndex],19)&gt;0)&gt;0,SUMIFS(T_SelfStock[Self_Qty],T_SelfStock[RM_Code],$A57,T_SelfStock[WeekIndex],19)+SUMIFS(T_TTAFStock[TTAF_Qty],T_TTAFStock[RM_Code],$A57,T_TTAFStock[WeekIndex],19),S57+'Grid_Incoming'!T57-'Grid_Requirement'!T57))</f>
        <v/>
      </c>
      <c r="U57">
        <f>IF(COUNTIFS(T_StockCount[RM_Code],$A57,T_StockCount[WeekIndex],20)&gt;0,SUMIFS(T_StockCount[CountedQty],T_StockCount[RM_Code],$A57,T_StockCount[WeekIndex],20),IF((COUNTIFS(T_SelfStock[RM_Code],$A57,T_SelfStock[WeekIndex],20)&gt;0)*(COUNTIFS(T_TTAFStock[RM_Code],$A57,T_TTAFStock[WeekIndex],20)&gt;0)&gt;0,SUMIFS(T_SelfStock[Self_Qty],T_SelfStock[RM_Code],$A57,T_SelfStock[WeekIndex],20)+SUMIFS(T_TTAFStock[TTAF_Qty],T_TTAFStock[RM_Code],$A57,T_TTAFStock[WeekIndex],20),T57+'Grid_Incoming'!U57-'Grid_Requirement'!U57))</f>
        <v/>
      </c>
      <c r="V57">
        <f>IF(COUNTIFS(T_StockCount[RM_Code],$A57,T_StockCount[WeekIndex],21)&gt;0,SUMIFS(T_StockCount[CountedQty],T_StockCount[RM_Code],$A57,T_StockCount[WeekIndex],21),IF((COUNTIFS(T_SelfStock[RM_Code],$A57,T_SelfStock[WeekIndex],21)&gt;0)*(COUNTIFS(T_TTAFStock[RM_Code],$A57,T_TTAFStock[WeekIndex],21)&gt;0)&gt;0,SUMIFS(T_SelfStock[Self_Qty],T_SelfStock[RM_Code],$A57,T_SelfStock[WeekIndex],21)+SUMIFS(T_TTAFStock[TTAF_Qty],T_TTAFStock[RM_Code],$A57,T_TTAFStock[WeekIndex],21),U57+'Grid_Incoming'!V57-'Grid_Requirement'!V57))</f>
        <v/>
      </c>
      <c r="W57">
        <f>IF(COUNTIFS(T_StockCount[RM_Code],$A57,T_StockCount[WeekIndex],22)&gt;0,SUMIFS(T_StockCount[CountedQty],T_StockCount[RM_Code],$A57,T_StockCount[WeekIndex],22),IF((COUNTIFS(T_SelfStock[RM_Code],$A57,T_SelfStock[WeekIndex],22)&gt;0)*(COUNTIFS(T_TTAFStock[RM_Code],$A57,T_TTAFStock[WeekIndex],22)&gt;0)&gt;0,SUMIFS(T_SelfStock[Self_Qty],T_SelfStock[RM_Code],$A57,T_SelfStock[WeekIndex],22)+SUMIFS(T_TTAFStock[TTAF_Qty],T_TTAFStock[RM_Code],$A57,T_TTAFStock[WeekIndex],22),V57+'Grid_Incoming'!W57-'Grid_Requirement'!W57))</f>
        <v/>
      </c>
      <c r="X57">
        <f>IF(COUNTIFS(T_StockCount[RM_Code],$A57,T_StockCount[WeekIndex],23)&gt;0,SUMIFS(T_StockCount[CountedQty],T_StockCount[RM_Code],$A57,T_StockCount[WeekIndex],23),IF((COUNTIFS(T_SelfStock[RM_Code],$A57,T_SelfStock[WeekIndex],23)&gt;0)*(COUNTIFS(T_TTAFStock[RM_Code],$A57,T_TTAFStock[WeekIndex],23)&gt;0)&gt;0,SUMIFS(T_SelfStock[Self_Qty],T_SelfStock[RM_Code],$A57,T_SelfStock[WeekIndex],23)+SUMIFS(T_TTAFStock[TTAF_Qty],T_TTAFStock[RM_Code],$A57,T_TTAFStock[WeekIndex],23),W57+'Grid_Incoming'!X57-'Grid_Requirement'!X57))</f>
        <v/>
      </c>
      <c r="Y57">
        <f>IF(COUNTIFS(T_StockCount[RM_Code],$A57,T_StockCount[WeekIndex],24)&gt;0,SUMIFS(T_StockCount[CountedQty],T_StockCount[RM_Code],$A57,T_StockCount[WeekIndex],24),IF((COUNTIFS(T_SelfStock[RM_Code],$A57,T_SelfStock[WeekIndex],24)&gt;0)*(COUNTIFS(T_TTAFStock[RM_Code],$A57,T_TTAFStock[WeekIndex],24)&gt;0)&gt;0,SUMIFS(T_SelfStock[Self_Qty],T_SelfStock[RM_Code],$A57,T_SelfStock[WeekIndex],24)+SUMIFS(T_TTAFStock[TTAF_Qty],T_TTAFStock[RM_Code],$A57,T_TTAFStock[WeekIndex],24),X57+'Grid_Incoming'!Y57-'Grid_Requirement'!Y57))</f>
        <v/>
      </c>
      <c r="Z57">
        <f>IF(COUNTIFS(T_StockCount[RM_Code],$A57,T_StockCount[WeekIndex],25)&gt;0,SUMIFS(T_StockCount[CountedQty],T_StockCount[RM_Code],$A57,T_StockCount[WeekIndex],25),IF((COUNTIFS(T_SelfStock[RM_Code],$A57,T_SelfStock[WeekIndex],25)&gt;0)*(COUNTIFS(T_TTAFStock[RM_Code],$A57,T_TTAFStock[WeekIndex],25)&gt;0)&gt;0,SUMIFS(T_SelfStock[Self_Qty],T_SelfStock[RM_Code],$A57,T_SelfStock[WeekIndex],25)+SUMIFS(T_TTAFStock[TTAF_Qty],T_TTAFStock[RM_Code],$A57,T_TTAFStock[WeekIndex],25),Y57+'Grid_Incoming'!Z57-'Grid_Requirement'!Z57))</f>
        <v/>
      </c>
      <c r="AA57">
        <f>IF(COUNTIFS(T_StockCount[RM_Code],$A57,T_StockCount[WeekIndex],26)&gt;0,SUMIFS(T_StockCount[CountedQty],T_StockCount[RM_Code],$A57,T_StockCount[WeekIndex],26),IF((COUNTIFS(T_SelfStock[RM_Code],$A57,T_SelfStock[WeekIndex],26)&gt;0)*(COUNTIFS(T_TTAFStock[RM_Code],$A57,T_TTAFStock[WeekIndex],26)&gt;0)&gt;0,SUMIFS(T_SelfStock[Self_Qty],T_SelfStock[RM_Code],$A57,T_SelfStock[WeekIndex],26)+SUMIFS(T_TTAFStock[TTAF_Qty],T_TTAFStock[RM_Code],$A57,T_TTAFStock[WeekIndex],26),Z57+'Grid_Incoming'!AA57-'Grid_Requirement'!AA57))</f>
        <v/>
      </c>
      <c r="AB57">
        <f>IF(COUNTIFS(T_StockCount[RM_Code],$A57,T_StockCount[WeekIndex],27)&gt;0,SUMIFS(T_StockCount[CountedQty],T_StockCount[RM_Code],$A57,T_StockCount[WeekIndex],27),IF((COUNTIFS(T_SelfStock[RM_Code],$A57,T_SelfStock[WeekIndex],27)&gt;0)*(COUNTIFS(T_TTAFStock[RM_Code],$A57,T_TTAFStock[WeekIndex],27)&gt;0)&gt;0,SUMIFS(T_SelfStock[Self_Qty],T_SelfStock[RM_Code],$A57,T_SelfStock[WeekIndex],27)+SUMIFS(T_TTAFStock[TTAF_Qty],T_TTAFStock[RM_Code],$A57,T_TTAFStock[WeekIndex],27),AA57+'Grid_Incoming'!AB57-'Grid_Requirement'!AB57))</f>
        <v/>
      </c>
      <c r="AC57">
        <f>IF(COUNTIFS(T_StockCount[RM_Code],$A57,T_StockCount[WeekIndex],28)&gt;0,SUMIFS(T_StockCount[CountedQty],T_StockCount[RM_Code],$A57,T_StockCount[WeekIndex],28),IF((COUNTIFS(T_SelfStock[RM_Code],$A57,T_SelfStock[WeekIndex],28)&gt;0)*(COUNTIFS(T_TTAFStock[RM_Code],$A57,T_TTAFStock[WeekIndex],28)&gt;0)&gt;0,SUMIFS(T_SelfStock[Self_Qty],T_SelfStock[RM_Code],$A57,T_SelfStock[WeekIndex],28)+SUMIFS(T_TTAFStock[TTAF_Qty],T_TTAFStock[RM_Code],$A57,T_TTAFStock[WeekIndex],28),AB57+'Grid_Incoming'!AC57-'Grid_Requirement'!AC57))</f>
        <v/>
      </c>
      <c r="AD57">
        <f>IF(COUNTIFS(T_StockCount[RM_Code],$A57,T_StockCount[WeekIndex],29)&gt;0,SUMIFS(T_StockCount[CountedQty],T_StockCount[RM_Code],$A57,T_StockCount[WeekIndex],29),IF((COUNTIFS(T_SelfStock[RM_Code],$A57,T_SelfStock[WeekIndex],29)&gt;0)*(COUNTIFS(T_TTAFStock[RM_Code],$A57,T_TTAFStock[WeekIndex],29)&gt;0)&gt;0,SUMIFS(T_SelfStock[Self_Qty],T_SelfStock[RM_Code],$A57,T_SelfStock[WeekIndex],29)+SUMIFS(T_TTAFStock[TTAF_Qty],T_TTAFStock[RM_Code],$A57,T_TTAFStock[WeekIndex],29),AC57+'Grid_Incoming'!AD57-'Grid_Requirement'!AD57))</f>
        <v/>
      </c>
      <c r="AE57">
        <f>IF(COUNTIFS(T_StockCount[RM_Code],$A57,T_StockCount[WeekIndex],30)&gt;0,SUMIFS(T_StockCount[CountedQty],T_StockCount[RM_Code],$A57,T_StockCount[WeekIndex],30),IF((COUNTIFS(T_SelfStock[RM_Code],$A57,T_SelfStock[WeekIndex],30)&gt;0)*(COUNTIFS(T_TTAFStock[RM_Code],$A57,T_TTAFStock[WeekIndex],30)&gt;0)&gt;0,SUMIFS(T_SelfStock[Self_Qty],T_SelfStock[RM_Code],$A57,T_SelfStock[WeekIndex],30)+SUMIFS(T_TTAFStock[TTAF_Qty],T_TTAFStock[RM_Code],$A57,T_TTAFStock[WeekIndex],30),AD57+'Grid_Incoming'!AE57-'Grid_Requirement'!AE57))</f>
        <v/>
      </c>
      <c r="AF57">
        <f>IF(COUNTIFS(T_StockCount[RM_Code],$A57,T_StockCount[WeekIndex],31)&gt;0,SUMIFS(T_StockCount[CountedQty],T_StockCount[RM_Code],$A57,T_StockCount[WeekIndex],31),IF((COUNTIFS(T_SelfStock[RM_Code],$A57,T_SelfStock[WeekIndex],31)&gt;0)*(COUNTIFS(T_TTAFStock[RM_Code],$A57,T_TTAFStock[WeekIndex],31)&gt;0)&gt;0,SUMIFS(T_SelfStock[Self_Qty],T_SelfStock[RM_Code],$A57,T_SelfStock[WeekIndex],31)+SUMIFS(T_TTAFStock[TTAF_Qty],T_TTAFStock[RM_Code],$A57,T_TTAFStock[WeekIndex],31),AE57+'Grid_Incoming'!AF57-'Grid_Requirement'!AF57))</f>
        <v/>
      </c>
      <c r="AG57">
        <f>IF(COUNTIFS(T_StockCount[RM_Code],$A57,T_StockCount[WeekIndex],32)&gt;0,SUMIFS(T_StockCount[CountedQty],T_StockCount[RM_Code],$A57,T_StockCount[WeekIndex],32),IF((COUNTIFS(T_SelfStock[RM_Code],$A57,T_SelfStock[WeekIndex],32)&gt;0)*(COUNTIFS(T_TTAFStock[RM_Code],$A57,T_TTAFStock[WeekIndex],32)&gt;0)&gt;0,SUMIFS(T_SelfStock[Self_Qty],T_SelfStock[RM_Code],$A57,T_SelfStock[WeekIndex],32)+SUMIFS(T_TTAFStock[TTAF_Qty],T_TTAFStock[RM_Code],$A57,T_TTAFStock[WeekIndex],32),AF57+'Grid_Incoming'!AG57-'Grid_Requirement'!AG57))</f>
        <v/>
      </c>
      <c r="AH57">
        <f>IF(COUNTIFS(T_StockCount[RM_Code],$A57,T_StockCount[WeekIndex],33)&gt;0,SUMIFS(T_StockCount[CountedQty],T_StockCount[RM_Code],$A57,T_StockCount[WeekIndex],33),IF((COUNTIFS(T_SelfStock[RM_Code],$A57,T_SelfStock[WeekIndex],33)&gt;0)*(COUNTIFS(T_TTAFStock[RM_Code],$A57,T_TTAFStock[WeekIndex],33)&gt;0)&gt;0,SUMIFS(T_SelfStock[Self_Qty],T_SelfStock[RM_Code],$A57,T_SelfStock[WeekIndex],33)+SUMIFS(T_TTAFStock[TTAF_Qty],T_TTAFStock[RM_Code],$A57,T_TTAFStock[WeekIndex],33),AG57+'Grid_Incoming'!AH57-'Grid_Requirement'!AH57))</f>
        <v/>
      </c>
      <c r="AI57">
        <f>IF(COUNTIFS(T_StockCount[RM_Code],$A57,T_StockCount[WeekIndex],34)&gt;0,SUMIFS(T_StockCount[CountedQty],T_StockCount[RM_Code],$A57,T_StockCount[WeekIndex],34),IF((COUNTIFS(T_SelfStock[RM_Code],$A57,T_SelfStock[WeekIndex],34)&gt;0)*(COUNTIFS(T_TTAFStock[RM_Code],$A57,T_TTAFStock[WeekIndex],34)&gt;0)&gt;0,SUMIFS(T_SelfStock[Self_Qty],T_SelfStock[RM_Code],$A57,T_SelfStock[WeekIndex],34)+SUMIFS(T_TTAFStock[TTAF_Qty],T_TTAFStock[RM_Code],$A57,T_TTAFStock[WeekIndex],34),AH57+'Grid_Incoming'!AI57-'Grid_Requirement'!AI57))</f>
        <v/>
      </c>
      <c r="AJ57">
        <f>IF(COUNTIFS(T_StockCount[RM_Code],$A57,T_StockCount[WeekIndex],35)&gt;0,SUMIFS(T_StockCount[CountedQty],T_StockCount[RM_Code],$A57,T_StockCount[WeekIndex],35),IF((COUNTIFS(T_SelfStock[RM_Code],$A57,T_SelfStock[WeekIndex],35)&gt;0)*(COUNTIFS(T_TTAFStock[RM_Code],$A57,T_TTAFStock[WeekIndex],35)&gt;0)&gt;0,SUMIFS(T_SelfStock[Self_Qty],T_SelfStock[RM_Code],$A57,T_SelfStock[WeekIndex],35)+SUMIFS(T_TTAFStock[TTAF_Qty],T_TTAFStock[RM_Code],$A57,T_TTAFStock[WeekIndex],35),AI57+'Grid_Incoming'!AJ57-'Grid_Requirement'!AJ57))</f>
        <v/>
      </c>
      <c r="AK57">
        <f>IF(COUNTIFS(T_StockCount[RM_Code],$A57,T_StockCount[WeekIndex],36)&gt;0,SUMIFS(T_StockCount[CountedQty],T_StockCount[RM_Code],$A57,T_StockCount[WeekIndex],36),IF((COUNTIFS(T_SelfStock[RM_Code],$A57,T_SelfStock[WeekIndex],36)&gt;0)*(COUNTIFS(T_TTAFStock[RM_Code],$A57,T_TTAFStock[WeekIndex],36)&gt;0)&gt;0,SUMIFS(T_SelfStock[Self_Qty],T_SelfStock[RM_Code],$A57,T_SelfStock[WeekIndex],36)+SUMIFS(T_TTAFStock[TTAF_Qty],T_TTAFStock[RM_Code],$A57,T_TTAFStock[WeekIndex],36),AJ57+'Grid_Incoming'!AK57-'Grid_Requirement'!AK57))</f>
        <v/>
      </c>
      <c r="AL57">
        <f>IF(COUNTIFS(T_StockCount[RM_Code],$A57,T_StockCount[WeekIndex],37)&gt;0,SUMIFS(T_StockCount[CountedQty],T_StockCount[RM_Code],$A57,T_StockCount[WeekIndex],37),IF((COUNTIFS(T_SelfStock[RM_Code],$A57,T_SelfStock[WeekIndex],37)&gt;0)*(COUNTIFS(T_TTAFStock[RM_Code],$A57,T_TTAFStock[WeekIndex],37)&gt;0)&gt;0,SUMIFS(T_SelfStock[Self_Qty],T_SelfStock[RM_Code],$A57,T_SelfStock[WeekIndex],37)+SUMIFS(T_TTAFStock[TTAF_Qty],T_TTAFStock[RM_Code],$A57,T_TTAFStock[WeekIndex],37),AK57+'Grid_Incoming'!AL57-'Grid_Requirement'!AL57))</f>
        <v/>
      </c>
      <c r="AM57">
        <f>IF(COUNTIFS(T_StockCount[RM_Code],$A57,T_StockCount[WeekIndex],38)&gt;0,SUMIFS(T_StockCount[CountedQty],T_StockCount[RM_Code],$A57,T_StockCount[WeekIndex],38),IF((COUNTIFS(T_SelfStock[RM_Code],$A57,T_SelfStock[WeekIndex],38)&gt;0)*(COUNTIFS(T_TTAFStock[RM_Code],$A57,T_TTAFStock[WeekIndex],38)&gt;0)&gt;0,SUMIFS(T_SelfStock[Self_Qty],T_SelfStock[RM_Code],$A57,T_SelfStock[WeekIndex],38)+SUMIFS(T_TTAFStock[TTAF_Qty],T_TTAFStock[RM_Code],$A57,T_TTAFStock[WeekIndex],38),AL57+'Grid_Incoming'!AM57-'Grid_Requirement'!AM57))</f>
        <v/>
      </c>
      <c r="AN57">
        <f>IF(COUNTIFS(T_StockCount[RM_Code],$A57,T_StockCount[WeekIndex],39)&gt;0,SUMIFS(T_StockCount[CountedQty],T_StockCount[RM_Code],$A57,T_StockCount[WeekIndex],39),IF((COUNTIFS(T_SelfStock[RM_Code],$A57,T_SelfStock[WeekIndex],39)&gt;0)*(COUNTIFS(T_TTAFStock[RM_Code],$A57,T_TTAFStock[WeekIndex],39)&gt;0)&gt;0,SUMIFS(T_SelfStock[Self_Qty],T_SelfStock[RM_Code],$A57,T_SelfStock[WeekIndex],39)+SUMIFS(T_TTAFStock[TTAF_Qty],T_TTAFStock[RM_Code],$A57,T_TTAFStock[WeekIndex],39),AM57+'Grid_Incoming'!AN57-'Grid_Requirement'!AN57))</f>
        <v/>
      </c>
      <c r="AO57">
        <f>IF(COUNTIFS(T_StockCount[RM_Code],$A57,T_StockCount[WeekIndex],40)&gt;0,SUMIFS(T_StockCount[CountedQty],T_StockCount[RM_Code],$A57,T_StockCount[WeekIndex],40),IF((COUNTIFS(T_SelfStock[RM_Code],$A57,T_SelfStock[WeekIndex],40)&gt;0)*(COUNTIFS(T_TTAFStock[RM_Code],$A57,T_TTAFStock[WeekIndex],40)&gt;0)&gt;0,SUMIFS(T_SelfStock[Self_Qty],T_SelfStock[RM_Code],$A57,T_SelfStock[WeekIndex],40)+SUMIFS(T_TTAFStock[TTAF_Qty],T_TTAFStock[RM_Code],$A57,T_TTAFStock[WeekIndex],40),AN57+'Grid_Incoming'!AO57-'Grid_Requirement'!AO57))</f>
        <v/>
      </c>
      <c r="AP57">
        <f>IF(COUNTIFS(T_StockCount[RM_Code],$A57,T_StockCount[WeekIndex],41)&gt;0,SUMIFS(T_StockCount[CountedQty],T_StockCount[RM_Code],$A57,T_StockCount[WeekIndex],41),IF((COUNTIFS(T_SelfStock[RM_Code],$A57,T_SelfStock[WeekIndex],41)&gt;0)*(COUNTIFS(T_TTAFStock[RM_Code],$A57,T_TTAFStock[WeekIndex],41)&gt;0)&gt;0,SUMIFS(T_SelfStock[Self_Qty],T_SelfStock[RM_Code],$A57,T_SelfStock[WeekIndex],41)+SUMIFS(T_TTAFStock[TTAF_Qty],T_TTAFStock[RM_Code],$A57,T_TTAFStock[WeekIndex],41),AO57+'Grid_Incoming'!AP57-'Grid_Requirement'!AP57))</f>
        <v/>
      </c>
      <c r="AQ57">
        <f>IF(COUNTIFS(T_StockCount[RM_Code],$A57,T_StockCount[WeekIndex],42)&gt;0,SUMIFS(T_StockCount[CountedQty],T_StockCount[RM_Code],$A57,T_StockCount[WeekIndex],42),IF((COUNTIFS(T_SelfStock[RM_Code],$A57,T_SelfStock[WeekIndex],42)&gt;0)*(COUNTIFS(T_TTAFStock[RM_Code],$A57,T_TTAFStock[WeekIndex],42)&gt;0)&gt;0,SUMIFS(T_SelfStock[Self_Qty],T_SelfStock[RM_Code],$A57,T_SelfStock[WeekIndex],42)+SUMIFS(T_TTAFStock[TTAF_Qty],T_TTAFStock[RM_Code],$A57,T_TTAFStock[WeekIndex],42),AP57+'Grid_Incoming'!AQ57-'Grid_Requirement'!AQ57))</f>
        <v/>
      </c>
      <c r="AR57">
        <f>IF(COUNTIFS(T_StockCount[RM_Code],$A57,T_StockCount[WeekIndex],43)&gt;0,SUMIFS(T_StockCount[CountedQty],T_StockCount[RM_Code],$A57,T_StockCount[WeekIndex],43),IF((COUNTIFS(T_SelfStock[RM_Code],$A57,T_SelfStock[WeekIndex],43)&gt;0)*(COUNTIFS(T_TTAFStock[RM_Code],$A57,T_TTAFStock[WeekIndex],43)&gt;0)&gt;0,SUMIFS(T_SelfStock[Self_Qty],T_SelfStock[RM_Code],$A57,T_SelfStock[WeekIndex],43)+SUMIFS(T_TTAFStock[TTAF_Qty],T_TTAFStock[RM_Code],$A57,T_TTAFStock[WeekIndex],43),AQ57+'Grid_Incoming'!AR57-'Grid_Requirement'!AR57))</f>
        <v/>
      </c>
      <c r="AS57">
        <f>IF(COUNTIFS(T_StockCount[RM_Code],$A57,T_StockCount[WeekIndex],44)&gt;0,SUMIFS(T_StockCount[CountedQty],T_StockCount[RM_Code],$A57,T_StockCount[WeekIndex],44),IF((COUNTIFS(T_SelfStock[RM_Code],$A57,T_SelfStock[WeekIndex],44)&gt;0)*(COUNTIFS(T_TTAFStock[RM_Code],$A57,T_TTAFStock[WeekIndex],44)&gt;0)&gt;0,SUMIFS(T_SelfStock[Self_Qty],T_SelfStock[RM_Code],$A57,T_SelfStock[WeekIndex],44)+SUMIFS(T_TTAFStock[TTAF_Qty],T_TTAFStock[RM_Code],$A57,T_TTAFStock[WeekIndex],44),AR57+'Grid_Incoming'!AS57-'Grid_Requirement'!AS57))</f>
        <v/>
      </c>
      <c r="AT57">
        <f>IF(COUNTIFS(T_StockCount[RM_Code],$A57,T_StockCount[WeekIndex],45)&gt;0,SUMIFS(T_StockCount[CountedQty],T_StockCount[RM_Code],$A57,T_StockCount[WeekIndex],45),IF((COUNTIFS(T_SelfStock[RM_Code],$A57,T_SelfStock[WeekIndex],45)&gt;0)*(COUNTIFS(T_TTAFStock[RM_Code],$A57,T_TTAFStock[WeekIndex],45)&gt;0)&gt;0,SUMIFS(T_SelfStock[Self_Qty],T_SelfStock[RM_Code],$A57,T_SelfStock[WeekIndex],45)+SUMIFS(T_TTAFStock[TTAF_Qty],T_TTAFStock[RM_Code],$A57,T_TTAFStock[WeekIndex],45),AS57+'Grid_Incoming'!AT57-'Grid_Requirement'!AT57))</f>
        <v/>
      </c>
      <c r="AU57">
        <f>IF(COUNTIFS(T_StockCount[RM_Code],$A57,T_StockCount[WeekIndex],46)&gt;0,SUMIFS(T_StockCount[CountedQty],T_StockCount[RM_Code],$A57,T_StockCount[WeekIndex],46),IF((COUNTIFS(T_SelfStock[RM_Code],$A57,T_SelfStock[WeekIndex],46)&gt;0)*(COUNTIFS(T_TTAFStock[RM_Code],$A57,T_TTAFStock[WeekIndex],46)&gt;0)&gt;0,SUMIFS(T_SelfStock[Self_Qty],T_SelfStock[RM_Code],$A57,T_SelfStock[WeekIndex],46)+SUMIFS(T_TTAFStock[TTAF_Qty],T_TTAFStock[RM_Code],$A57,T_TTAFStock[WeekIndex],46),AT57+'Grid_Incoming'!AU57-'Grid_Requirement'!AU57))</f>
        <v/>
      </c>
      <c r="AV57">
        <f>IF(COUNTIFS(T_StockCount[RM_Code],$A57,T_StockCount[WeekIndex],47)&gt;0,SUMIFS(T_StockCount[CountedQty],T_StockCount[RM_Code],$A57,T_StockCount[WeekIndex],47),IF((COUNTIFS(T_SelfStock[RM_Code],$A57,T_SelfStock[WeekIndex],47)&gt;0)*(COUNTIFS(T_TTAFStock[RM_Code],$A57,T_TTAFStock[WeekIndex],47)&gt;0)&gt;0,SUMIFS(T_SelfStock[Self_Qty],T_SelfStock[RM_Code],$A57,T_SelfStock[WeekIndex],47)+SUMIFS(T_TTAFStock[TTAF_Qty],T_TTAFStock[RM_Code],$A57,T_TTAFStock[WeekIndex],47),AU57+'Grid_Incoming'!AV57-'Grid_Requirement'!AV57))</f>
        <v/>
      </c>
      <c r="AW57">
        <f>IF(COUNTIFS(T_StockCount[RM_Code],$A57,T_StockCount[WeekIndex],48)&gt;0,SUMIFS(T_StockCount[CountedQty],T_StockCount[RM_Code],$A57,T_StockCount[WeekIndex],48),IF((COUNTIFS(T_SelfStock[RM_Code],$A57,T_SelfStock[WeekIndex],48)&gt;0)*(COUNTIFS(T_TTAFStock[RM_Code],$A57,T_TTAFStock[WeekIndex],48)&gt;0)&gt;0,SUMIFS(T_SelfStock[Self_Qty],T_SelfStock[RM_Code],$A57,T_SelfStock[WeekIndex],48)+SUMIFS(T_TTAFStock[TTAF_Qty],T_TTAFStock[RM_Code],$A57,T_TTAFStock[WeekIndex],48),AV57+'Grid_Incoming'!AW57-'Grid_Requirement'!AW57))</f>
        <v/>
      </c>
      <c r="AX57">
        <f>IF(COUNTIFS(T_StockCount[RM_Code],$A57,T_StockCount[WeekIndex],49)&gt;0,SUMIFS(T_StockCount[CountedQty],T_StockCount[RM_Code],$A57,T_StockCount[WeekIndex],49),IF((COUNTIFS(T_SelfStock[RM_Code],$A57,T_SelfStock[WeekIndex],49)&gt;0)*(COUNTIFS(T_TTAFStock[RM_Code],$A57,T_TTAFStock[WeekIndex],49)&gt;0)&gt;0,SUMIFS(T_SelfStock[Self_Qty],T_SelfStock[RM_Code],$A57,T_SelfStock[WeekIndex],49)+SUMIFS(T_TTAFStock[TTAF_Qty],T_TTAFStock[RM_Code],$A57,T_TTAFStock[WeekIndex],49),AW57+'Grid_Incoming'!AX57-'Grid_Requirement'!AX57))</f>
        <v/>
      </c>
      <c r="AY57">
        <f>IF(COUNTIFS(T_StockCount[RM_Code],$A57,T_StockCount[WeekIndex],50)&gt;0,SUMIFS(T_StockCount[CountedQty],T_StockCount[RM_Code],$A57,T_StockCount[WeekIndex],50),IF((COUNTIFS(T_SelfStock[RM_Code],$A57,T_SelfStock[WeekIndex],50)&gt;0)*(COUNTIFS(T_TTAFStock[RM_Code],$A57,T_TTAFStock[WeekIndex],50)&gt;0)&gt;0,SUMIFS(T_SelfStock[Self_Qty],T_SelfStock[RM_Code],$A57,T_SelfStock[WeekIndex],50)+SUMIFS(T_TTAFStock[TTAF_Qty],T_TTAFStock[RM_Code],$A57,T_TTAFStock[WeekIndex],50),AX57+'Grid_Incoming'!AY57-'Grid_Requirement'!AY57))</f>
        <v/>
      </c>
      <c r="AZ57">
        <f>IF(COUNTIFS(T_StockCount[RM_Code],$A57,T_StockCount[WeekIndex],51)&gt;0,SUMIFS(T_StockCount[CountedQty],T_StockCount[RM_Code],$A57,T_StockCount[WeekIndex],51),IF((COUNTIFS(T_SelfStock[RM_Code],$A57,T_SelfStock[WeekIndex],51)&gt;0)*(COUNTIFS(T_TTAFStock[RM_Code],$A57,T_TTAFStock[WeekIndex],51)&gt;0)&gt;0,SUMIFS(T_SelfStock[Self_Qty],T_SelfStock[RM_Code],$A57,T_SelfStock[WeekIndex],51)+SUMIFS(T_TTAFStock[TTAF_Qty],T_TTAFStock[RM_Code],$A57,T_TTAFStock[WeekIndex],51),AY57+'Grid_Incoming'!AZ57-'Grid_Requirement'!AZ57))</f>
        <v/>
      </c>
      <c r="BA57">
        <f>IF(COUNTIFS(T_StockCount[RM_Code],$A57,T_StockCount[WeekIndex],52)&gt;0,SUMIFS(T_StockCount[CountedQty],T_StockCount[RM_Code],$A57,T_StockCount[WeekIndex],52),IF((COUNTIFS(T_SelfStock[RM_Code],$A57,T_SelfStock[WeekIndex],52)&gt;0)*(COUNTIFS(T_TTAFStock[RM_Code],$A57,T_TTAFStock[WeekIndex],52)&gt;0)&gt;0,SUMIFS(T_SelfStock[Self_Qty],T_SelfStock[RM_Code],$A57,T_SelfStock[WeekIndex],52)+SUMIFS(T_TTAFStock[TTAF_Qty],T_TTAFStock[RM_Code],$A57,T_TTAFStock[WeekIndex],52),AZ57+'Grid_Incoming'!BA57-'Grid_Requirement'!BA57))</f>
        <v/>
      </c>
      <c r="BB57">
        <f>IF(COUNTIFS(T_StockCount[RM_Code],$A57,T_StockCount[WeekIndex],53)&gt;0,SUMIFS(T_StockCount[CountedQty],T_StockCount[RM_Code],$A57,T_StockCount[WeekIndex],53),IF((COUNTIFS(T_SelfStock[RM_Code],$A57,T_SelfStock[WeekIndex],53)&gt;0)*(COUNTIFS(T_TTAFStock[RM_Code],$A57,T_TTAFStock[WeekIndex],53)&gt;0)&gt;0,SUMIFS(T_SelfStock[Self_Qty],T_SelfStock[RM_Code],$A57,T_SelfStock[WeekIndex],53)+SUMIFS(T_TTAFStock[TTAF_Qty],T_TTAFStock[RM_Code],$A57,T_TTAFStock[WeekIndex],53),BA57+'Grid_Incoming'!BB57-'Grid_Requirement'!BB57))</f>
        <v/>
      </c>
      <c r="BC57">
        <f>IF(COUNTIFS(T_StockCount[RM_Code],$A57,T_StockCount[WeekIndex],54)&gt;0,SUMIFS(T_StockCount[CountedQty],T_StockCount[RM_Code],$A57,T_StockCount[WeekIndex],54),IF((COUNTIFS(T_SelfStock[RM_Code],$A57,T_SelfStock[WeekIndex],54)&gt;0)*(COUNTIFS(T_TTAFStock[RM_Code],$A57,T_TTAFStock[WeekIndex],54)&gt;0)&gt;0,SUMIFS(T_SelfStock[Self_Qty],T_SelfStock[RM_Code],$A57,T_SelfStock[WeekIndex],54)+SUMIFS(T_TTAFStock[TTAF_Qty],T_TTAFStock[RM_Code],$A57,T_TTAFStock[WeekIndex],54),BB57+'Grid_Incoming'!BC57-'Grid_Requirement'!BC57))</f>
        <v/>
      </c>
      <c r="BD57">
        <f>IF(COUNTIFS(T_StockCount[RM_Code],$A57,T_StockCount[WeekIndex],55)&gt;0,SUMIFS(T_StockCount[CountedQty],T_StockCount[RM_Code],$A57,T_StockCount[WeekIndex],55),IF((COUNTIFS(T_SelfStock[RM_Code],$A57,T_SelfStock[WeekIndex],55)&gt;0)*(COUNTIFS(T_TTAFStock[RM_Code],$A57,T_TTAFStock[WeekIndex],55)&gt;0)&gt;0,SUMIFS(T_SelfStock[Self_Qty],T_SelfStock[RM_Code],$A57,T_SelfStock[WeekIndex],55)+SUMIFS(T_TTAFStock[TTAF_Qty],T_TTAFStock[RM_Code],$A57,T_TTAFStock[WeekIndex],55),BC57+'Grid_Incoming'!BD57-'Grid_Requirement'!BD57))</f>
        <v/>
      </c>
      <c r="BE57">
        <f>IF(COUNTIFS(T_StockCount[RM_Code],$A57,T_StockCount[WeekIndex],56)&gt;0,SUMIFS(T_StockCount[CountedQty],T_StockCount[RM_Code],$A57,T_StockCount[WeekIndex],56),IF((COUNTIFS(T_SelfStock[RM_Code],$A57,T_SelfStock[WeekIndex],56)&gt;0)*(COUNTIFS(T_TTAFStock[RM_Code],$A57,T_TTAFStock[WeekIndex],56)&gt;0)&gt;0,SUMIFS(T_SelfStock[Self_Qty],T_SelfStock[RM_Code],$A57,T_SelfStock[WeekIndex],56)+SUMIFS(T_TTAFStock[TTAF_Qty],T_TTAFStock[RM_Code],$A57,T_TTAFStock[WeekIndex],56),BD57+'Grid_Incoming'!BE57-'Grid_Requirement'!BE57))</f>
        <v/>
      </c>
      <c r="BF57">
        <f>IF(COUNTIFS(T_StockCount[RM_Code],$A57,T_StockCount[WeekIndex],57)&gt;0,SUMIFS(T_StockCount[CountedQty],T_StockCount[RM_Code],$A57,T_StockCount[WeekIndex],57),IF((COUNTIFS(T_SelfStock[RM_Code],$A57,T_SelfStock[WeekIndex],57)&gt;0)*(COUNTIFS(T_TTAFStock[RM_Code],$A57,T_TTAFStock[WeekIndex],57)&gt;0)&gt;0,SUMIFS(T_SelfStock[Self_Qty],T_SelfStock[RM_Code],$A57,T_SelfStock[WeekIndex],57)+SUMIFS(T_TTAFStock[TTAF_Qty],T_TTAFStock[RM_Code],$A57,T_TTAFStock[WeekIndex],57),BE57+'Grid_Incoming'!BF57-'Grid_Requirement'!BF57))</f>
        <v/>
      </c>
      <c r="BG57">
        <f>IF(COUNTIFS(T_StockCount[RM_Code],$A57,T_StockCount[WeekIndex],58)&gt;0,SUMIFS(T_StockCount[CountedQty],T_StockCount[RM_Code],$A57,T_StockCount[WeekIndex],58),IF((COUNTIFS(T_SelfStock[RM_Code],$A57,T_SelfStock[WeekIndex],58)&gt;0)*(COUNTIFS(T_TTAFStock[RM_Code],$A57,T_TTAFStock[WeekIndex],58)&gt;0)&gt;0,SUMIFS(T_SelfStock[Self_Qty],T_SelfStock[RM_Code],$A57,T_SelfStock[WeekIndex],58)+SUMIFS(T_TTAFStock[TTAF_Qty],T_TTAFStock[RM_Code],$A57,T_TTAFStock[WeekIndex],58),BF57+'Grid_Incoming'!BG57-'Grid_Requirement'!BG57))</f>
        <v/>
      </c>
      <c r="BH57">
        <f>IF(COUNTIFS(T_StockCount[RM_Code],$A57,T_StockCount[WeekIndex],59)&gt;0,SUMIFS(T_StockCount[CountedQty],T_StockCount[RM_Code],$A57,T_StockCount[WeekIndex],59),IF((COUNTIFS(T_SelfStock[RM_Code],$A57,T_SelfStock[WeekIndex],59)&gt;0)*(COUNTIFS(T_TTAFStock[RM_Code],$A57,T_TTAFStock[WeekIndex],59)&gt;0)&gt;0,SUMIFS(T_SelfStock[Self_Qty],T_SelfStock[RM_Code],$A57,T_SelfStock[WeekIndex],59)+SUMIFS(T_TTAFStock[TTAF_Qty],T_TTAFStock[RM_Code],$A57,T_TTAFStock[WeekIndex],59),BG57+'Grid_Incoming'!BH57-'Grid_Requirement'!BH57))</f>
        <v/>
      </c>
      <c r="BI57">
        <f>IF(COUNTIFS(T_StockCount[RM_Code],$A57,T_StockCount[WeekIndex],60)&gt;0,SUMIFS(T_StockCount[CountedQty],T_StockCount[RM_Code],$A57,T_StockCount[WeekIndex],60),IF((COUNTIFS(T_SelfStock[RM_Code],$A57,T_SelfStock[WeekIndex],60)&gt;0)*(COUNTIFS(T_TTAFStock[RM_Code],$A57,T_TTAFStock[WeekIndex],60)&gt;0)&gt;0,SUMIFS(T_SelfStock[Self_Qty],T_SelfStock[RM_Code],$A57,T_SelfStock[WeekIndex],60)+SUMIFS(T_TTAFStock[TTAF_Qty],T_TTAFStock[RM_Code],$A57,T_TTAFStock[WeekIndex],60),BH57+'Grid_Incoming'!BI57-'Grid_Requirement'!BI57))</f>
        <v/>
      </c>
      <c r="BJ57">
        <f>IF(COUNTIFS(T_StockCount[RM_Code],$A57,T_StockCount[WeekIndex],61)&gt;0,SUMIFS(T_StockCount[CountedQty],T_StockCount[RM_Code],$A57,T_StockCount[WeekIndex],61),IF((COUNTIFS(T_SelfStock[RM_Code],$A57,T_SelfStock[WeekIndex],61)&gt;0)*(COUNTIFS(T_TTAFStock[RM_Code],$A57,T_TTAFStock[WeekIndex],61)&gt;0)&gt;0,SUMIFS(T_SelfStock[Self_Qty],T_SelfStock[RM_Code],$A57,T_SelfStock[WeekIndex],61)+SUMIFS(T_TTAFStock[TTAF_Qty],T_TTAFStock[RM_Code],$A57,T_TTAFStock[WeekIndex],61),BI57+'Grid_Incoming'!BJ57-'Grid_Requirement'!BJ57))</f>
        <v/>
      </c>
      <c r="BK57">
        <f>IF(COUNTIFS(T_StockCount[RM_Code],$A57,T_StockCount[WeekIndex],62)&gt;0,SUMIFS(T_StockCount[CountedQty],T_StockCount[RM_Code],$A57,T_StockCount[WeekIndex],62),IF((COUNTIFS(T_SelfStock[RM_Code],$A57,T_SelfStock[WeekIndex],62)&gt;0)*(COUNTIFS(T_TTAFStock[RM_Code],$A57,T_TTAFStock[WeekIndex],62)&gt;0)&gt;0,SUMIFS(T_SelfStock[Self_Qty],T_SelfStock[RM_Code],$A57,T_SelfStock[WeekIndex],62)+SUMIFS(T_TTAFStock[TTAF_Qty],T_TTAFStock[RM_Code],$A57,T_TTAFStock[WeekIndex],62),BJ57+'Grid_Incoming'!BK57-'Grid_Requirement'!BK57))</f>
        <v/>
      </c>
      <c r="BL57">
        <f>IF(COUNTIFS(T_StockCount[RM_Code],$A57,T_StockCount[WeekIndex],63)&gt;0,SUMIFS(T_StockCount[CountedQty],T_StockCount[RM_Code],$A57,T_StockCount[WeekIndex],63),IF((COUNTIFS(T_SelfStock[RM_Code],$A57,T_SelfStock[WeekIndex],63)&gt;0)*(COUNTIFS(T_TTAFStock[RM_Code],$A57,T_TTAFStock[WeekIndex],63)&gt;0)&gt;0,SUMIFS(T_SelfStock[Self_Qty],T_SelfStock[RM_Code],$A57,T_SelfStock[WeekIndex],63)+SUMIFS(T_TTAFStock[TTAF_Qty],T_TTAFStock[RM_Code],$A57,T_TTAFStock[WeekIndex],63),BK57+'Grid_Incoming'!BL57-'Grid_Requirement'!BL57))</f>
        <v/>
      </c>
      <c r="BM57">
        <f>IF(COUNTIFS(T_StockCount[RM_Code],$A57,T_StockCount[WeekIndex],64)&gt;0,SUMIFS(T_StockCount[CountedQty],T_StockCount[RM_Code],$A57,T_StockCount[WeekIndex],64),IF((COUNTIFS(T_SelfStock[RM_Code],$A57,T_SelfStock[WeekIndex],64)&gt;0)*(COUNTIFS(T_TTAFStock[RM_Code],$A57,T_TTAFStock[WeekIndex],64)&gt;0)&gt;0,SUMIFS(T_SelfStock[Self_Qty],T_SelfStock[RM_Code],$A57,T_SelfStock[WeekIndex],64)+SUMIFS(T_TTAFStock[TTAF_Qty],T_TTAFStock[RM_Code],$A57,T_TTAFStock[WeekIndex],64),BL57+'Grid_Incoming'!BM57-'Grid_Requirement'!BM57))</f>
        <v/>
      </c>
      <c r="BN57">
        <f>IF(COUNTIFS(T_StockCount[RM_Code],$A57,T_StockCount[WeekIndex],65)&gt;0,SUMIFS(T_StockCount[CountedQty],T_StockCount[RM_Code],$A57,T_StockCount[WeekIndex],65),IF((COUNTIFS(T_SelfStock[RM_Code],$A57,T_SelfStock[WeekIndex],65)&gt;0)*(COUNTIFS(T_TTAFStock[RM_Code],$A57,T_TTAFStock[WeekIndex],65)&gt;0)&gt;0,SUMIFS(T_SelfStock[Self_Qty],T_SelfStock[RM_Code],$A57,T_SelfStock[WeekIndex],65)+SUMIFS(T_TTAFStock[TTAF_Qty],T_TTAFStock[RM_Code],$A57,T_TTAFStock[WeekIndex],65),BM57+'Grid_Incoming'!BN57-'Grid_Requirement'!BN57))</f>
        <v/>
      </c>
      <c r="BO57">
        <f>IF(COUNTIFS(T_StockCount[RM_Code],$A57,T_StockCount[WeekIndex],66)&gt;0,SUMIFS(T_StockCount[CountedQty],T_StockCount[RM_Code],$A57,T_StockCount[WeekIndex],66),IF((COUNTIFS(T_SelfStock[RM_Code],$A57,T_SelfStock[WeekIndex],66)&gt;0)*(COUNTIFS(T_TTAFStock[RM_Code],$A57,T_TTAFStock[WeekIndex],66)&gt;0)&gt;0,SUMIFS(T_SelfStock[Self_Qty],T_SelfStock[RM_Code],$A57,T_SelfStock[WeekIndex],66)+SUMIFS(T_TTAFStock[TTAF_Qty],T_TTAFStock[RM_Code],$A57,T_TTAFStock[WeekIndex],66),BN57+'Grid_Incoming'!BO57-'Grid_Requirement'!BO57))</f>
        <v/>
      </c>
      <c r="BP57">
        <f>IF(COUNTIFS(T_StockCount[RM_Code],$A57,T_StockCount[WeekIndex],67)&gt;0,SUMIFS(T_StockCount[CountedQty],T_StockCount[RM_Code],$A57,T_StockCount[WeekIndex],67),IF((COUNTIFS(T_SelfStock[RM_Code],$A57,T_SelfStock[WeekIndex],67)&gt;0)*(COUNTIFS(T_TTAFStock[RM_Code],$A57,T_TTAFStock[WeekIndex],67)&gt;0)&gt;0,SUMIFS(T_SelfStock[Self_Qty],T_SelfStock[RM_Code],$A57,T_SelfStock[WeekIndex],67)+SUMIFS(T_TTAFStock[TTAF_Qty],T_TTAFStock[RM_Code],$A57,T_TTAFStock[WeekIndex],67),BO57+'Grid_Incoming'!BP57-'Grid_Requirement'!BP57))</f>
        <v/>
      </c>
      <c r="BQ57">
        <f>IF(COUNTIFS(T_StockCount[RM_Code],$A57,T_StockCount[WeekIndex],68)&gt;0,SUMIFS(T_StockCount[CountedQty],T_StockCount[RM_Code],$A57,T_StockCount[WeekIndex],68),IF((COUNTIFS(T_SelfStock[RM_Code],$A57,T_SelfStock[WeekIndex],68)&gt;0)*(COUNTIFS(T_TTAFStock[RM_Code],$A57,T_TTAFStock[WeekIndex],68)&gt;0)&gt;0,SUMIFS(T_SelfStock[Self_Qty],T_SelfStock[RM_Code],$A57,T_SelfStock[WeekIndex],68)+SUMIFS(T_TTAFStock[TTAF_Qty],T_TTAFStock[RM_Code],$A57,T_TTAFStock[WeekIndex],68),BP57+'Grid_Incoming'!BQ57-'Grid_Requirement'!BQ57))</f>
        <v/>
      </c>
      <c r="BR57">
        <f>IF(COUNTIFS(T_StockCount[RM_Code],$A57,T_StockCount[WeekIndex],69)&gt;0,SUMIFS(T_StockCount[CountedQty],T_StockCount[RM_Code],$A57,T_StockCount[WeekIndex],69),IF((COUNTIFS(T_SelfStock[RM_Code],$A57,T_SelfStock[WeekIndex],69)&gt;0)*(COUNTIFS(T_TTAFStock[RM_Code],$A57,T_TTAFStock[WeekIndex],69)&gt;0)&gt;0,SUMIFS(T_SelfStock[Self_Qty],T_SelfStock[RM_Code],$A57,T_SelfStock[WeekIndex],69)+SUMIFS(T_TTAFStock[TTAF_Qty],T_TTAFStock[RM_Code],$A57,T_TTAFStock[WeekIndex],69),BQ57+'Grid_Incoming'!BR57-'Grid_Requirement'!BR57))</f>
        <v/>
      </c>
      <c r="BS57">
        <f>IF(COUNTIFS(T_StockCount[RM_Code],$A57,T_StockCount[WeekIndex],70)&gt;0,SUMIFS(T_StockCount[CountedQty],T_StockCount[RM_Code],$A57,T_StockCount[WeekIndex],70),IF((COUNTIFS(T_SelfStock[RM_Code],$A57,T_SelfStock[WeekIndex],70)&gt;0)*(COUNTIFS(T_TTAFStock[RM_Code],$A57,T_TTAFStock[WeekIndex],70)&gt;0)&gt;0,SUMIFS(T_SelfStock[Self_Qty],T_SelfStock[RM_Code],$A57,T_SelfStock[WeekIndex],70)+SUMIFS(T_TTAFStock[TTAF_Qty],T_TTAFStock[RM_Code],$A57,T_TTAFStock[WeekIndex],70),BR57+'Grid_Incoming'!BS57-'Grid_Requirement'!BS57))</f>
        <v/>
      </c>
      <c r="BT57">
        <f>IF(COUNTIFS(T_StockCount[RM_Code],$A57,T_StockCount[WeekIndex],71)&gt;0,SUMIFS(T_StockCount[CountedQty],T_StockCount[RM_Code],$A57,T_StockCount[WeekIndex],71),IF((COUNTIFS(T_SelfStock[RM_Code],$A57,T_SelfStock[WeekIndex],71)&gt;0)*(COUNTIFS(T_TTAFStock[RM_Code],$A57,T_TTAFStock[WeekIndex],71)&gt;0)&gt;0,SUMIFS(T_SelfStock[Self_Qty],T_SelfStock[RM_Code],$A57,T_SelfStock[WeekIndex],71)+SUMIFS(T_TTAFStock[TTAF_Qty],T_TTAFStock[RM_Code],$A57,T_TTAFStock[WeekIndex],71),BS57+'Grid_Incoming'!BT57-'Grid_Requirement'!BT57))</f>
        <v/>
      </c>
      <c r="BU57">
        <f>IF(COUNTIFS(T_StockCount[RM_Code],$A57,T_StockCount[WeekIndex],72)&gt;0,SUMIFS(T_StockCount[CountedQty],T_StockCount[RM_Code],$A57,T_StockCount[WeekIndex],72),IF((COUNTIFS(T_SelfStock[RM_Code],$A57,T_SelfStock[WeekIndex],72)&gt;0)*(COUNTIFS(T_TTAFStock[RM_Code],$A57,T_TTAFStock[WeekIndex],72)&gt;0)&gt;0,SUMIFS(T_SelfStock[Self_Qty],T_SelfStock[RM_Code],$A57,T_SelfStock[WeekIndex],72)+SUMIFS(T_TTAFStock[TTAF_Qty],T_TTAFStock[RM_Code],$A57,T_TTAFStock[WeekIndex],72),BT57+'Grid_Incoming'!BU57-'Grid_Requirement'!BU57))</f>
        <v/>
      </c>
      <c r="BV57">
        <f>IF(COUNTIFS(T_StockCount[RM_Code],$A57,T_StockCount[WeekIndex],73)&gt;0,SUMIFS(T_StockCount[CountedQty],T_StockCount[RM_Code],$A57,T_StockCount[WeekIndex],73),IF((COUNTIFS(T_SelfStock[RM_Code],$A57,T_SelfStock[WeekIndex],73)&gt;0)*(COUNTIFS(T_TTAFStock[RM_Code],$A57,T_TTAFStock[WeekIndex],73)&gt;0)&gt;0,SUMIFS(T_SelfStock[Self_Qty],T_SelfStock[RM_Code],$A57,T_SelfStock[WeekIndex],73)+SUMIFS(T_TTAFStock[TTAF_Qty],T_TTAFStock[RM_Code],$A57,T_TTAFStock[WeekIndex],73),BU57+'Grid_Incoming'!BV57-'Grid_Requirement'!BV57))</f>
        <v/>
      </c>
      <c r="BW57">
        <f>IF(COUNTIFS(T_StockCount[RM_Code],$A57,T_StockCount[WeekIndex],74)&gt;0,SUMIFS(T_StockCount[CountedQty],T_StockCount[RM_Code],$A57,T_StockCount[WeekIndex],74),IF((COUNTIFS(T_SelfStock[RM_Code],$A57,T_SelfStock[WeekIndex],74)&gt;0)*(COUNTIFS(T_TTAFStock[RM_Code],$A57,T_TTAFStock[WeekIndex],74)&gt;0)&gt;0,SUMIFS(T_SelfStock[Self_Qty],T_SelfStock[RM_Code],$A57,T_SelfStock[WeekIndex],74)+SUMIFS(T_TTAFStock[TTAF_Qty],T_TTAFStock[RM_Code],$A57,T_TTAFStock[WeekIndex],74),BV57+'Grid_Incoming'!BW57-'Grid_Requirement'!BW57))</f>
        <v/>
      </c>
      <c r="BX57">
        <f>IF(COUNTIFS(T_StockCount[RM_Code],$A57,T_StockCount[WeekIndex],75)&gt;0,SUMIFS(T_StockCount[CountedQty],T_StockCount[RM_Code],$A57,T_StockCount[WeekIndex],75),IF((COUNTIFS(T_SelfStock[RM_Code],$A57,T_SelfStock[WeekIndex],75)&gt;0)*(COUNTIFS(T_TTAFStock[RM_Code],$A57,T_TTAFStock[WeekIndex],75)&gt;0)&gt;0,SUMIFS(T_SelfStock[Self_Qty],T_SelfStock[RM_Code],$A57,T_SelfStock[WeekIndex],75)+SUMIFS(T_TTAFStock[TTAF_Qty],T_TTAFStock[RM_Code],$A57,T_TTAFStock[WeekIndex],75),BW57+'Grid_Incoming'!BX57-'Grid_Requirement'!BX57))</f>
        <v/>
      </c>
      <c r="BY57">
        <f>IF(COUNTIFS(T_StockCount[RM_Code],$A57,T_StockCount[WeekIndex],76)&gt;0,SUMIFS(T_StockCount[CountedQty],T_StockCount[RM_Code],$A57,T_StockCount[WeekIndex],76),IF((COUNTIFS(T_SelfStock[RM_Code],$A57,T_SelfStock[WeekIndex],76)&gt;0)*(COUNTIFS(T_TTAFStock[RM_Code],$A57,T_TTAFStock[WeekIndex],76)&gt;0)&gt;0,SUMIFS(T_SelfStock[Self_Qty],T_SelfStock[RM_Code],$A57,T_SelfStock[WeekIndex],76)+SUMIFS(T_TTAFStock[TTAF_Qty],T_TTAFStock[RM_Code],$A57,T_TTAFStock[WeekIndex],76),BX57+'Grid_Incoming'!BY57-'Grid_Requirement'!BY57))</f>
        <v/>
      </c>
      <c r="BZ57">
        <f>IF(COUNTIFS(T_StockCount[RM_Code],$A57,T_StockCount[WeekIndex],77)&gt;0,SUMIFS(T_StockCount[CountedQty],T_StockCount[RM_Code],$A57,T_StockCount[WeekIndex],77),IF((COUNTIFS(T_SelfStock[RM_Code],$A57,T_SelfStock[WeekIndex],77)&gt;0)*(COUNTIFS(T_TTAFStock[RM_Code],$A57,T_TTAFStock[WeekIndex],77)&gt;0)&gt;0,SUMIFS(T_SelfStock[Self_Qty],T_SelfStock[RM_Code],$A57,T_SelfStock[WeekIndex],77)+SUMIFS(T_TTAFStock[TTAF_Qty],T_TTAFStock[RM_Code],$A57,T_TTAFStock[WeekIndex],77),BY57+'Grid_Incoming'!BZ57-'Grid_Requirement'!BZ57))</f>
        <v/>
      </c>
      <c r="CA57">
        <f>IF(COUNTIFS(T_StockCount[RM_Code],$A57,T_StockCount[WeekIndex],78)&gt;0,SUMIFS(T_StockCount[CountedQty],T_StockCount[RM_Code],$A57,T_StockCount[WeekIndex],78),IF((COUNTIFS(T_SelfStock[RM_Code],$A57,T_SelfStock[WeekIndex],78)&gt;0)*(COUNTIFS(T_TTAFStock[RM_Code],$A57,T_TTAFStock[WeekIndex],78)&gt;0)&gt;0,SUMIFS(T_SelfStock[Self_Qty],T_SelfStock[RM_Code],$A57,T_SelfStock[WeekIndex],78)+SUMIFS(T_TTAFStock[TTAF_Qty],T_TTAFStock[RM_Code],$A57,T_TTAFStock[WeekIndex],78),BZ57+'Grid_Incoming'!CA57-'Grid_Requirement'!CA57))</f>
        <v/>
      </c>
      <c r="CB57">
        <f>IF(COUNTIFS(T_StockCount[RM_Code],$A57,T_StockCount[WeekIndex],79)&gt;0,SUMIFS(T_StockCount[CountedQty],T_StockCount[RM_Code],$A57,T_StockCount[WeekIndex],79),IF((COUNTIFS(T_SelfStock[RM_Code],$A57,T_SelfStock[WeekIndex],79)&gt;0)*(COUNTIFS(T_TTAFStock[RM_Code],$A57,T_TTAFStock[WeekIndex],79)&gt;0)&gt;0,SUMIFS(T_SelfStock[Self_Qty],T_SelfStock[RM_Code],$A57,T_SelfStock[WeekIndex],79)+SUMIFS(T_TTAFStock[TTAF_Qty],T_TTAFStock[RM_Code],$A57,T_TTAFStock[WeekIndex],79),CA57+'Grid_Incoming'!CB57-'Grid_Requirement'!CB57))</f>
        <v/>
      </c>
      <c r="CC57">
        <f>IF(COUNTIFS(T_StockCount[RM_Code],$A57,T_StockCount[WeekIndex],80)&gt;0,SUMIFS(T_StockCount[CountedQty],T_StockCount[RM_Code],$A57,T_StockCount[WeekIndex],80),IF((COUNTIFS(T_SelfStock[RM_Code],$A57,T_SelfStock[WeekIndex],80)&gt;0)*(COUNTIFS(T_TTAFStock[RM_Code],$A57,T_TTAFStock[WeekIndex],80)&gt;0)&gt;0,SUMIFS(T_SelfStock[Self_Qty],T_SelfStock[RM_Code],$A57,T_SelfStock[WeekIndex],80)+SUMIFS(T_TTAFStock[TTAF_Qty],T_TTAFStock[RM_Code],$A57,T_TTAFStock[WeekIndex],80),CB57+'Grid_Incoming'!CC57-'Grid_Requirement'!CC57))</f>
        <v/>
      </c>
      <c r="CD57">
        <f>IF(COUNTIFS(T_StockCount[RM_Code],$A57,T_StockCount[WeekIndex],81)&gt;0,SUMIFS(T_StockCount[CountedQty],T_StockCount[RM_Code],$A57,T_StockCount[WeekIndex],81),IF((COUNTIFS(T_SelfStock[RM_Code],$A57,T_SelfStock[WeekIndex],81)&gt;0)*(COUNTIFS(T_TTAFStock[RM_Code],$A57,T_TTAFStock[WeekIndex],81)&gt;0)&gt;0,SUMIFS(T_SelfStock[Self_Qty],T_SelfStock[RM_Code],$A57,T_SelfStock[WeekIndex],81)+SUMIFS(T_TTAFStock[TTAF_Qty],T_TTAFStock[RM_Code],$A57,T_TTAFStock[WeekIndex],81),CC57+'Grid_Incoming'!CD57-'Grid_Requirement'!CD57))</f>
        <v/>
      </c>
      <c r="CE57">
        <f>IF(COUNTIFS(T_StockCount[RM_Code],$A57,T_StockCount[WeekIndex],82)&gt;0,SUMIFS(T_StockCount[CountedQty],T_StockCount[RM_Code],$A57,T_StockCount[WeekIndex],82),IF((COUNTIFS(T_SelfStock[RM_Code],$A57,T_SelfStock[WeekIndex],82)&gt;0)*(COUNTIFS(T_TTAFStock[RM_Code],$A57,T_TTAFStock[WeekIndex],82)&gt;0)&gt;0,SUMIFS(T_SelfStock[Self_Qty],T_SelfStock[RM_Code],$A57,T_SelfStock[WeekIndex],82)+SUMIFS(T_TTAFStock[TTAF_Qty],T_TTAFStock[RM_Code],$A57,T_TTAFStock[WeekIndex],82),CD57+'Grid_Incoming'!CE57-'Grid_Requirement'!CE57))</f>
        <v/>
      </c>
      <c r="CF57">
        <f>IF(COUNTIFS(T_StockCount[RM_Code],$A57,T_StockCount[WeekIndex],83)&gt;0,SUMIFS(T_StockCount[CountedQty],T_StockCount[RM_Code],$A57,T_StockCount[WeekIndex],83),IF((COUNTIFS(T_SelfStock[RM_Code],$A57,T_SelfStock[WeekIndex],83)&gt;0)*(COUNTIFS(T_TTAFStock[RM_Code],$A57,T_TTAFStock[WeekIndex],83)&gt;0)&gt;0,SUMIFS(T_SelfStock[Self_Qty],T_SelfStock[RM_Code],$A57,T_SelfStock[WeekIndex],83)+SUMIFS(T_TTAFStock[TTAF_Qty],T_TTAFStock[RM_Code],$A57,T_TTAFStock[WeekIndex],83),CE57+'Grid_Incoming'!CF57-'Grid_Requirement'!CF57))</f>
        <v/>
      </c>
      <c r="CG57">
        <f>IF(COUNTIFS(T_StockCount[RM_Code],$A57,T_StockCount[WeekIndex],84)&gt;0,SUMIFS(T_StockCount[CountedQty],T_StockCount[RM_Code],$A57,T_StockCount[WeekIndex],84),IF((COUNTIFS(T_SelfStock[RM_Code],$A57,T_SelfStock[WeekIndex],84)&gt;0)*(COUNTIFS(T_TTAFStock[RM_Code],$A57,T_TTAFStock[WeekIndex],84)&gt;0)&gt;0,SUMIFS(T_SelfStock[Self_Qty],T_SelfStock[RM_Code],$A57,T_SelfStock[WeekIndex],84)+SUMIFS(T_TTAFStock[TTAF_Qty],T_TTAFStock[RM_Code],$A57,T_TTAFStock[WeekIndex],84),CF57+'Grid_Incoming'!CG57-'Grid_Requirement'!CG57))</f>
        <v/>
      </c>
      <c r="CH57">
        <f>IF(COUNTIFS(T_StockCount[RM_Code],$A57,T_StockCount[WeekIndex],85)&gt;0,SUMIFS(T_StockCount[CountedQty],T_StockCount[RM_Code],$A57,T_StockCount[WeekIndex],85),IF((COUNTIFS(T_SelfStock[RM_Code],$A57,T_SelfStock[WeekIndex],85)&gt;0)*(COUNTIFS(T_TTAFStock[RM_Code],$A57,T_TTAFStock[WeekIndex],85)&gt;0)&gt;0,SUMIFS(T_SelfStock[Self_Qty],T_SelfStock[RM_Code],$A57,T_SelfStock[WeekIndex],85)+SUMIFS(T_TTAFStock[TTAF_Qty],T_TTAFStock[RM_Code],$A57,T_TTAFStock[WeekIndex],85),CG57+'Grid_Incoming'!CH57-'Grid_Requirement'!CH57))</f>
        <v/>
      </c>
      <c r="CI57">
        <f>IF(COUNTIFS(T_StockCount[RM_Code],$A57,T_StockCount[WeekIndex],86)&gt;0,SUMIFS(T_StockCount[CountedQty],T_StockCount[RM_Code],$A57,T_StockCount[WeekIndex],86),IF((COUNTIFS(T_SelfStock[RM_Code],$A57,T_SelfStock[WeekIndex],86)&gt;0)*(COUNTIFS(T_TTAFStock[RM_Code],$A57,T_TTAFStock[WeekIndex],86)&gt;0)&gt;0,SUMIFS(T_SelfStock[Self_Qty],T_SelfStock[RM_Code],$A57,T_SelfStock[WeekIndex],86)+SUMIFS(T_TTAFStock[TTAF_Qty],T_TTAFStock[RM_Code],$A57,T_TTAFStock[WeekIndex],86),CH57+'Grid_Incoming'!CI57-'Grid_Requirement'!CI57))</f>
        <v/>
      </c>
      <c r="CJ57">
        <f>IF(COUNTIFS(T_StockCount[RM_Code],$A57,T_StockCount[WeekIndex],87)&gt;0,SUMIFS(T_StockCount[CountedQty],T_StockCount[RM_Code],$A57,T_StockCount[WeekIndex],87),IF((COUNTIFS(T_SelfStock[RM_Code],$A57,T_SelfStock[WeekIndex],87)&gt;0)*(COUNTIFS(T_TTAFStock[RM_Code],$A57,T_TTAFStock[WeekIndex],87)&gt;0)&gt;0,SUMIFS(T_SelfStock[Self_Qty],T_SelfStock[RM_Code],$A57,T_SelfStock[WeekIndex],87)+SUMIFS(T_TTAFStock[TTAF_Qty],T_TTAFStock[RM_Code],$A57,T_TTAFStock[WeekIndex],87),CI57+'Grid_Incoming'!CJ57-'Grid_Requirement'!CJ57))</f>
        <v/>
      </c>
      <c r="CK57">
        <f>IF(COUNTIFS(T_StockCount[RM_Code],$A57,T_StockCount[WeekIndex],88)&gt;0,SUMIFS(T_StockCount[CountedQty],T_StockCount[RM_Code],$A57,T_StockCount[WeekIndex],88),IF((COUNTIFS(T_SelfStock[RM_Code],$A57,T_SelfStock[WeekIndex],88)&gt;0)*(COUNTIFS(T_TTAFStock[RM_Code],$A57,T_TTAFStock[WeekIndex],88)&gt;0)&gt;0,SUMIFS(T_SelfStock[Self_Qty],T_SelfStock[RM_Code],$A57,T_SelfStock[WeekIndex],88)+SUMIFS(T_TTAFStock[TTAF_Qty],T_TTAFStock[RM_Code],$A57,T_TTAFStock[WeekIndex],88),CJ57+'Grid_Incoming'!CK57-'Grid_Requirement'!CK57))</f>
        <v/>
      </c>
      <c r="CL57">
        <f>IF(COUNTIFS(T_StockCount[RM_Code],$A57,T_StockCount[WeekIndex],89)&gt;0,SUMIFS(T_StockCount[CountedQty],T_StockCount[RM_Code],$A57,T_StockCount[WeekIndex],89),IF((COUNTIFS(T_SelfStock[RM_Code],$A57,T_SelfStock[WeekIndex],89)&gt;0)*(COUNTIFS(T_TTAFStock[RM_Code],$A57,T_TTAFStock[WeekIndex],89)&gt;0)&gt;0,SUMIFS(T_SelfStock[Self_Qty],T_SelfStock[RM_Code],$A57,T_SelfStock[WeekIndex],89)+SUMIFS(T_TTAFStock[TTAF_Qty],T_TTAFStock[RM_Code],$A57,T_TTAFStock[WeekIndex],89),CK57+'Grid_Incoming'!CL57-'Grid_Requirement'!CL57))</f>
        <v/>
      </c>
      <c r="CM57">
        <f>IF(COUNTIFS(T_StockCount[RM_Code],$A57,T_StockCount[WeekIndex],90)&gt;0,SUMIFS(T_StockCount[CountedQty],T_StockCount[RM_Code],$A57,T_StockCount[WeekIndex],90),IF((COUNTIFS(T_SelfStock[RM_Code],$A57,T_SelfStock[WeekIndex],90)&gt;0)*(COUNTIFS(T_TTAFStock[RM_Code],$A57,T_TTAFStock[WeekIndex],90)&gt;0)&gt;0,SUMIFS(T_SelfStock[Self_Qty],T_SelfStock[RM_Code],$A57,T_SelfStock[WeekIndex],90)+SUMIFS(T_TTAFStock[TTAF_Qty],T_TTAFStock[RM_Code],$A57,T_TTAFStock[WeekIndex],90),CL57+'Grid_Incoming'!CM57-'Grid_Requirement'!CM57))</f>
        <v/>
      </c>
      <c r="CN57">
        <f>IF(COUNTIFS(T_StockCount[RM_Code],$A57,T_StockCount[WeekIndex],91)&gt;0,SUMIFS(T_StockCount[CountedQty],T_StockCount[RM_Code],$A57,T_StockCount[WeekIndex],91),IF((COUNTIFS(T_SelfStock[RM_Code],$A57,T_SelfStock[WeekIndex],91)&gt;0)*(COUNTIFS(T_TTAFStock[RM_Code],$A57,T_TTAFStock[WeekIndex],91)&gt;0)&gt;0,SUMIFS(T_SelfStock[Self_Qty],T_SelfStock[RM_Code],$A57,T_SelfStock[WeekIndex],91)+SUMIFS(T_TTAFStock[TTAF_Qty],T_TTAFStock[RM_Code],$A57,T_TTAFStock[WeekIndex],91),CM57+'Grid_Incoming'!CN57-'Grid_Requirement'!CN57))</f>
        <v/>
      </c>
      <c r="CO57">
        <f>IF(COUNTIFS(T_StockCount[RM_Code],$A57,T_StockCount[WeekIndex],92)&gt;0,SUMIFS(T_StockCount[CountedQty],T_StockCount[RM_Code],$A57,T_StockCount[WeekIndex],92),IF((COUNTIFS(T_SelfStock[RM_Code],$A57,T_SelfStock[WeekIndex],92)&gt;0)*(COUNTIFS(T_TTAFStock[RM_Code],$A57,T_TTAFStock[WeekIndex],92)&gt;0)&gt;0,SUMIFS(T_SelfStock[Self_Qty],T_SelfStock[RM_Code],$A57,T_SelfStock[WeekIndex],92)+SUMIFS(T_TTAFStock[TTAF_Qty],T_TTAFStock[RM_Code],$A57,T_TTAFStock[WeekIndex],92),CN57+'Grid_Incoming'!CO57-'Grid_Requirement'!CO57))</f>
        <v/>
      </c>
      <c r="CP57">
        <f>IF(COUNTIFS(T_StockCount[RM_Code],$A57,T_StockCount[WeekIndex],93)&gt;0,SUMIFS(T_StockCount[CountedQty],T_StockCount[RM_Code],$A57,T_StockCount[WeekIndex],93),IF((COUNTIFS(T_SelfStock[RM_Code],$A57,T_SelfStock[WeekIndex],93)&gt;0)*(COUNTIFS(T_TTAFStock[RM_Code],$A57,T_TTAFStock[WeekIndex],93)&gt;0)&gt;0,SUMIFS(T_SelfStock[Self_Qty],T_SelfStock[RM_Code],$A57,T_SelfStock[WeekIndex],93)+SUMIFS(T_TTAFStock[TTAF_Qty],T_TTAFStock[RM_Code],$A57,T_TTAFStock[WeekIndex],93),CO57+'Grid_Incoming'!CP57-'Grid_Requirement'!CP57))</f>
        <v/>
      </c>
      <c r="CQ57">
        <f>IF(COUNTIFS(T_StockCount[RM_Code],$A57,T_StockCount[WeekIndex],94)&gt;0,SUMIFS(T_StockCount[CountedQty],T_StockCount[RM_Code],$A57,T_StockCount[WeekIndex],94),IF((COUNTIFS(T_SelfStock[RM_Code],$A57,T_SelfStock[WeekIndex],94)&gt;0)*(COUNTIFS(T_TTAFStock[RM_Code],$A57,T_TTAFStock[WeekIndex],94)&gt;0)&gt;0,SUMIFS(T_SelfStock[Self_Qty],T_SelfStock[RM_Code],$A57,T_SelfStock[WeekIndex],94)+SUMIFS(T_TTAFStock[TTAF_Qty],T_TTAFStock[RM_Code],$A57,T_TTAFStock[WeekIndex],94),CP57+'Grid_Incoming'!CQ57-'Grid_Requirement'!CQ57))</f>
        <v/>
      </c>
      <c r="CR57">
        <f>IF(COUNTIFS(T_StockCount[RM_Code],$A57,T_StockCount[WeekIndex],95)&gt;0,SUMIFS(T_StockCount[CountedQty],T_StockCount[RM_Code],$A57,T_StockCount[WeekIndex],95),IF((COUNTIFS(T_SelfStock[RM_Code],$A57,T_SelfStock[WeekIndex],95)&gt;0)*(COUNTIFS(T_TTAFStock[RM_Code],$A57,T_TTAFStock[WeekIndex],95)&gt;0)&gt;0,SUMIFS(T_SelfStock[Self_Qty],T_SelfStock[RM_Code],$A57,T_SelfStock[WeekIndex],95)+SUMIFS(T_TTAFStock[TTAF_Qty],T_TTAFStock[RM_Code],$A57,T_TTAFStock[WeekIndex],95),CQ57+'Grid_Incoming'!CR57-'Grid_Requirement'!CR57))</f>
        <v/>
      </c>
      <c r="CS57">
        <f>IF(COUNTIFS(T_StockCount[RM_Code],$A57,T_StockCount[WeekIndex],96)&gt;0,SUMIFS(T_StockCount[CountedQty],T_StockCount[RM_Code],$A57,T_StockCount[WeekIndex],96),IF((COUNTIFS(T_SelfStock[RM_Code],$A57,T_SelfStock[WeekIndex],96)&gt;0)*(COUNTIFS(T_TTAFStock[RM_Code],$A57,T_TTAFStock[WeekIndex],96)&gt;0)&gt;0,SUMIFS(T_SelfStock[Self_Qty],T_SelfStock[RM_Code],$A57,T_SelfStock[WeekIndex],96)+SUMIFS(T_TTAFStock[TTAF_Qty],T_TTAFStock[RM_Code],$A57,T_TTAFStock[WeekIndex],96),CR57+'Grid_Incoming'!CS57-'Grid_Requirement'!CS57))</f>
        <v/>
      </c>
      <c r="CT57">
        <f>IF(COUNTIFS(T_StockCount[RM_Code],$A57,T_StockCount[WeekIndex],97)&gt;0,SUMIFS(T_StockCount[CountedQty],T_StockCount[RM_Code],$A57,T_StockCount[WeekIndex],97),IF((COUNTIFS(T_SelfStock[RM_Code],$A57,T_SelfStock[WeekIndex],97)&gt;0)*(COUNTIFS(T_TTAFStock[RM_Code],$A57,T_TTAFStock[WeekIndex],97)&gt;0)&gt;0,SUMIFS(T_SelfStock[Self_Qty],T_SelfStock[RM_Code],$A57,T_SelfStock[WeekIndex],97)+SUMIFS(T_TTAFStock[TTAF_Qty],T_TTAFStock[RM_Code],$A57,T_TTAFStock[WeekIndex],97),CS57+'Grid_Incoming'!CT57-'Grid_Requirement'!CT57))</f>
        <v/>
      </c>
      <c r="CU57">
        <f>IF(COUNTIFS(T_StockCount[RM_Code],$A57,T_StockCount[WeekIndex],98)&gt;0,SUMIFS(T_StockCount[CountedQty],T_StockCount[RM_Code],$A57,T_StockCount[WeekIndex],98),IF((COUNTIFS(T_SelfStock[RM_Code],$A57,T_SelfStock[WeekIndex],98)&gt;0)*(COUNTIFS(T_TTAFStock[RM_Code],$A57,T_TTAFStock[WeekIndex],98)&gt;0)&gt;0,SUMIFS(T_SelfStock[Self_Qty],T_SelfStock[RM_Code],$A57,T_SelfStock[WeekIndex],98)+SUMIFS(T_TTAFStock[TTAF_Qty],T_TTAFStock[RM_Code],$A57,T_TTAFStock[WeekIndex],98),CT57+'Grid_Incoming'!CU57-'Grid_Requirement'!CU57))</f>
        <v/>
      </c>
      <c r="CV57">
        <f>IF(COUNTIFS(T_StockCount[RM_Code],$A57,T_StockCount[WeekIndex],99)&gt;0,SUMIFS(T_StockCount[CountedQty],T_StockCount[RM_Code],$A57,T_StockCount[WeekIndex],99),IF((COUNTIFS(T_SelfStock[RM_Code],$A57,T_SelfStock[WeekIndex],99)&gt;0)*(COUNTIFS(T_TTAFStock[RM_Code],$A57,T_TTAFStock[WeekIndex],99)&gt;0)&gt;0,SUMIFS(T_SelfStock[Self_Qty],T_SelfStock[RM_Code],$A57,T_SelfStock[WeekIndex],99)+SUMIFS(T_TTAFStock[TTAF_Qty],T_TTAFStock[RM_Code],$A57,T_TTAFStock[WeekIndex],99),CU57+'Grid_Incoming'!CV57-'Grid_Requirement'!CV57))</f>
        <v/>
      </c>
      <c r="CW57">
        <f>IF(COUNTIFS(T_StockCount[RM_Code],$A57,T_StockCount[WeekIndex],100)&gt;0,SUMIFS(T_StockCount[CountedQty],T_StockCount[RM_Code],$A57,T_StockCount[WeekIndex],100),IF((COUNTIFS(T_SelfStock[RM_Code],$A57,T_SelfStock[WeekIndex],100)&gt;0)*(COUNTIFS(T_TTAFStock[RM_Code],$A57,T_TTAFStock[WeekIndex],100)&gt;0)&gt;0,SUMIFS(T_SelfStock[Self_Qty],T_SelfStock[RM_Code],$A57,T_SelfStock[WeekIndex],100)+SUMIFS(T_TTAFStock[TTAF_Qty],T_TTAFStock[RM_Code],$A57,T_TTAFStock[WeekIndex],100),CV57+'Grid_Incoming'!CW57-'Grid_Requirement'!CW57))</f>
        <v/>
      </c>
      <c r="CX57">
        <f>IF(COUNTIFS(T_StockCount[RM_Code],$A57,T_StockCount[WeekIndex],101)&gt;0,SUMIFS(T_StockCount[CountedQty],T_StockCount[RM_Code],$A57,T_StockCount[WeekIndex],101),IF((COUNTIFS(T_SelfStock[RM_Code],$A57,T_SelfStock[WeekIndex],101)&gt;0)*(COUNTIFS(T_TTAFStock[RM_Code],$A57,T_TTAFStock[WeekIndex],101)&gt;0)&gt;0,SUMIFS(T_SelfStock[Self_Qty],T_SelfStock[RM_Code],$A57,T_SelfStock[WeekIndex],101)+SUMIFS(T_TTAFStock[TTAF_Qty],T_TTAFStock[RM_Code],$A57,T_TTAFStock[WeekIndex],101),CW57+'Grid_Incoming'!CX57-'Grid_Requirement'!CX57))</f>
        <v/>
      </c>
      <c r="CY57">
        <f>IF(COUNTIFS(T_StockCount[RM_Code],$A57,T_StockCount[WeekIndex],102)&gt;0,SUMIFS(T_StockCount[CountedQty],T_StockCount[RM_Code],$A57,T_StockCount[WeekIndex],102),IF((COUNTIFS(T_SelfStock[RM_Code],$A57,T_SelfStock[WeekIndex],102)&gt;0)*(COUNTIFS(T_TTAFStock[RM_Code],$A57,T_TTAFStock[WeekIndex],102)&gt;0)&gt;0,SUMIFS(T_SelfStock[Self_Qty],T_SelfStock[RM_Code],$A57,T_SelfStock[WeekIndex],102)+SUMIFS(T_TTAFStock[TTAF_Qty],T_TTAFStock[RM_Code],$A57,T_TTAFStock[WeekIndex],102),CX57+'Grid_Incoming'!CY57-'Grid_Requirement'!CY57))</f>
        <v/>
      </c>
      <c r="CZ57">
        <f>IF(COUNTIFS(T_StockCount[RM_Code],$A57,T_StockCount[WeekIndex],103)&gt;0,SUMIFS(T_StockCount[CountedQty],T_StockCount[RM_Code],$A57,T_StockCount[WeekIndex],103),IF((COUNTIFS(T_SelfStock[RM_Code],$A57,T_SelfStock[WeekIndex],103)&gt;0)*(COUNTIFS(T_TTAFStock[RM_Code],$A57,T_TTAFStock[WeekIndex],103)&gt;0)&gt;0,SUMIFS(T_SelfStock[Self_Qty],T_SelfStock[RM_Code],$A57,T_SelfStock[WeekIndex],103)+SUMIFS(T_TTAFStock[TTAF_Qty],T_TTAFStock[RM_Code],$A57,T_TTAFStock[WeekIndex],103),CY57+'Grid_Incoming'!CZ57-'Grid_Requirement'!CZ57))</f>
        <v/>
      </c>
      <c r="DA57">
        <f>IF(COUNTIFS(T_StockCount[RM_Code],$A57,T_StockCount[WeekIndex],104)&gt;0,SUMIFS(T_StockCount[CountedQty],T_StockCount[RM_Code],$A57,T_StockCount[WeekIndex],104),IF((COUNTIFS(T_SelfStock[RM_Code],$A57,T_SelfStock[WeekIndex],104)&gt;0)*(COUNTIFS(T_TTAFStock[RM_Code],$A57,T_TTAFStock[WeekIndex],104)&gt;0)&gt;0,SUMIFS(T_SelfStock[Self_Qty],T_SelfStock[RM_Code],$A57,T_SelfStock[WeekIndex],104)+SUMIFS(T_TTAFStock[TTAF_Qty],T_TTAFStock[RM_Code],$A57,T_TTAFStock[WeekIndex],104),CZ57+'Grid_Incoming'!DA57-'Grid_Requirement'!DA57))</f>
        <v/>
      </c>
    </row>
    <row r="58">
      <c r="A58" t="inlineStr">
        <is>
          <t>CHEM-1850</t>
        </is>
      </c>
      <c r="B58">
        <f>IF(COUNTIFS(T_StockCount[RM_Code],$A58,T_StockCount[WeekIndex],1)&gt;0,SUMIFS(T_StockCount[CountedQty],T_StockCount[RM_Code],$A58,T_StockCount[WeekIndex],1),IF((COUNTIFS(T_SelfStock[RM_Code],$A58,T_SelfStock[WeekIndex],1)&gt;0)*(COUNTIFS(T_TTAFStock[RM_Code],$A58,T_TTAFStock[WeekIndex],1)&gt;0)&gt;0,SUMIFS(T_SelfStock[Self_Qty],T_SelfStock[RM_Code],$A58,T_SelfStock[WeekIndex],1)+SUMIFS(T_TTAFStock[TTAF_Qty],T_TTAFStock[RM_Code],$A58,T_TTAFStock[WeekIndex],1),IFERROR(INDEX(T_OpeningStock[Opening_Qty],MATCH($A58,T_OpeningStock[RM_Code],0)),0)+'Grid_Incoming'!B58-'Grid_Requirement'!B58))</f>
        <v/>
      </c>
      <c r="C58">
        <f>IF(COUNTIFS(T_StockCount[RM_Code],$A58,T_StockCount[WeekIndex],2)&gt;0,SUMIFS(T_StockCount[CountedQty],T_StockCount[RM_Code],$A58,T_StockCount[WeekIndex],2),IF((COUNTIFS(T_SelfStock[RM_Code],$A58,T_SelfStock[WeekIndex],2)&gt;0)*(COUNTIFS(T_TTAFStock[RM_Code],$A58,T_TTAFStock[WeekIndex],2)&gt;0)&gt;0,SUMIFS(T_SelfStock[Self_Qty],T_SelfStock[RM_Code],$A58,T_SelfStock[WeekIndex],2)+SUMIFS(T_TTAFStock[TTAF_Qty],T_TTAFStock[RM_Code],$A58,T_TTAFStock[WeekIndex],2),B58+'Grid_Incoming'!C58-'Grid_Requirement'!C58))</f>
        <v/>
      </c>
      <c r="D58">
        <f>IF(COUNTIFS(T_StockCount[RM_Code],$A58,T_StockCount[WeekIndex],3)&gt;0,SUMIFS(T_StockCount[CountedQty],T_StockCount[RM_Code],$A58,T_StockCount[WeekIndex],3),IF((COUNTIFS(T_SelfStock[RM_Code],$A58,T_SelfStock[WeekIndex],3)&gt;0)*(COUNTIFS(T_TTAFStock[RM_Code],$A58,T_TTAFStock[WeekIndex],3)&gt;0)&gt;0,SUMIFS(T_SelfStock[Self_Qty],T_SelfStock[RM_Code],$A58,T_SelfStock[WeekIndex],3)+SUMIFS(T_TTAFStock[TTAF_Qty],T_TTAFStock[RM_Code],$A58,T_TTAFStock[WeekIndex],3),C58+'Grid_Incoming'!D58-'Grid_Requirement'!D58))</f>
        <v/>
      </c>
      <c r="E58">
        <f>IF(COUNTIFS(T_StockCount[RM_Code],$A58,T_StockCount[WeekIndex],4)&gt;0,SUMIFS(T_StockCount[CountedQty],T_StockCount[RM_Code],$A58,T_StockCount[WeekIndex],4),IF((COUNTIFS(T_SelfStock[RM_Code],$A58,T_SelfStock[WeekIndex],4)&gt;0)*(COUNTIFS(T_TTAFStock[RM_Code],$A58,T_TTAFStock[WeekIndex],4)&gt;0)&gt;0,SUMIFS(T_SelfStock[Self_Qty],T_SelfStock[RM_Code],$A58,T_SelfStock[WeekIndex],4)+SUMIFS(T_TTAFStock[TTAF_Qty],T_TTAFStock[RM_Code],$A58,T_TTAFStock[WeekIndex],4),D58+'Grid_Incoming'!E58-'Grid_Requirement'!E58))</f>
        <v/>
      </c>
      <c r="F58">
        <f>IF(COUNTIFS(T_StockCount[RM_Code],$A58,T_StockCount[WeekIndex],5)&gt;0,SUMIFS(T_StockCount[CountedQty],T_StockCount[RM_Code],$A58,T_StockCount[WeekIndex],5),IF((COUNTIFS(T_SelfStock[RM_Code],$A58,T_SelfStock[WeekIndex],5)&gt;0)*(COUNTIFS(T_TTAFStock[RM_Code],$A58,T_TTAFStock[WeekIndex],5)&gt;0)&gt;0,SUMIFS(T_SelfStock[Self_Qty],T_SelfStock[RM_Code],$A58,T_SelfStock[WeekIndex],5)+SUMIFS(T_TTAFStock[TTAF_Qty],T_TTAFStock[RM_Code],$A58,T_TTAFStock[WeekIndex],5),E58+'Grid_Incoming'!F58-'Grid_Requirement'!F58))</f>
        <v/>
      </c>
      <c r="G58">
        <f>IF(COUNTIFS(T_StockCount[RM_Code],$A58,T_StockCount[WeekIndex],6)&gt;0,SUMIFS(T_StockCount[CountedQty],T_StockCount[RM_Code],$A58,T_StockCount[WeekIndex],6),IF((COUNTIFS(T_SelfStock[RM_Code],$A58,T_SelfStock[WeekIndex],6)&gt;0)*(COUNTIFS(T_TTAFStock[RM_Code],$A58,T_TTAFStock[WeekIndex],6)&gt;0)&gt;0,SUMIFS(T_SelfStock[Self_Qty],T_SelfStock[RM_Code],$A58,T_SelfStock[WeekIndex],6)+SUMIFS(T_TTAFStock[TTAF_Qty],T_TTAFStock[RM_Code],$A58,T_TTAFStock[WeekIndex],6),F58+'Grid_Incoming'!G58-'Grid_Requirement'!G58))</f>
        <v/>
      </c>
      <c r="H58">
        <f>IF(COUNTIFS(T_StockCount[RM_Code],$A58,T_StockCount[WeekIndex],7)&gt;0,SUMIFS(T_StockCount[CountedQty],T_StockCount[RM_Code],$A58,T_StockCount[WeekIndex],7),IF((COUNTIFS(T_SelfStock[RM_Code],$A58,T_SelfStock[WeekIndex],7)&gt;0)*(COUNTIFS(T_TTAFStock[RM_Code],$A58,T_TTAFStock[WeekIndex],7)&gt;0)&gt;0,SUMIFS(T_SelfStock[Self_Qty],T_SelfStock[RM_Code],$A58,T_SelfStock[WeekIndex],7)+SUMIFS(T_TTAFStock[TTAF_Qty],T_TTAFStock[RM_Code],$A58,T_TTAFStock[WeekIndex],7),G58+'Grid_Incoming'!H58-'Grid_Requirement'!H58))</f>
        <v/>
      </c>
      <c r="I58">
        <f>IF(COUNTIFS(T_StockCount[RM_Code],$A58,T_StockCount[WeekIndex],8)&gt;0,SUMIFS(T_StockCount[CountedQty],T_StockCount[RM_Code],$A58,T_StockCount[WeekIndex],8),IF((COUNTIFS(T_SelfStock[RM_Code],$A58,T_SelfStock[WeekIndex],8)&gt;0)*(COUNTIFS(T_TTAFStock[RM_Code],$A58,T_TTAFStock[WeekIndex],8)&gt;0)&gt;0,SUMIFS(T_SelfStock[Self_Qty],T_SelfStock[RM_Code],$A58,T_SelfStock[WeekIndex],8)+SUMIFS(T_TTAFStock[TTAF_Qty],T_TTAFStock[RM_Code],$A58,T_TTAFStock[WeekIndex],8),H58+'Grid_Incoming'!I58-'Grid_Requirement'!I58))</f>
        <v/>
      </c>
      <c r="J58">
        <f>IF(COUNTIFS(T_StockCount[RM_Code],$A58,T_StockCount[WeekIndex],9)&gt;0,SUMIFS(T_StockCount[CountedQty],T_StockCount[RM_Code],$A58,T_StockCount[WeekIndex],9),IF((COUNTIFS(T_SelfStock[RM_Code],$A58,T_SelfStock[WeekIndex],9)&gt;0)*(COUNTIFS(T_TTAFStock[RM_Code],$A58,T_TTAFStock[WeekIndex],9)&gt;0)&gt;0,SUMIFS(T_SelfStock[Self_Qty],T_SelfStock[RM_Code],$A58,T_SelfStock[WeekIndex],9)+SUMIFS(T_TTAFStock[TTAF_Qty],T_TTAFStock[RM_Code],$A58,T_TTAFStock[WeekIndex],9),I58+'Grid_Incoming'!J58-'Grid_Requirement'!J58))</f>
        <v/>
      </c>
      <c r="K58">
        <f>IF(COUNTIFS(T_StockCount[RM_Code],$A58,T_StockCount[WeekIndex],10)&gt;0,SUMIFS(T_StockCount[CountedQty],T_StockCount[RM_Code],$A58,T_StockCount[WeekIndex],10),IF((COUNTIFS(T_SelfStock[RM_Code],$A58,T_SelfStock[WeekIndex],10)&gt;0)*(COUNTIFS(T_TTAFStock[RM_Code],$A58,T_TTAFStock[WeekIndex],10)&gt;0)&gt;0,SUMIFS(T_SelfStock[Self_Qty],T_SelfStock[RM_Code],$A58,T_SelfStock[WeekIndex],10)+SUMIFS(T_TTAFStock[TTAF_Qty],T_TTAFStock[RM_Code],$A58,T_TTAFStock[WeekIndex],10),J58+'Grid_Incoming'!K58-'Grid_Requirement'!K58))</f>
        <v/>
      </c>
      <c r="L58">
        <f>IF(COUNTIFS(T_StockCount[RM_Code],$A58,T_StockCount[WeekIndex],11)&gt;0,SUMIFS(T_StockCount[CountedQty],T_StockCount[RM_Code],$A58,T_StockCount[WeekIndex],11),IF((COUNTIFS(T_SelfStock[RM_Code],$A58,T_SelfStock[WeekIndex],11)&gt;0)*(COUNTIFS(T_TTAFStock[RM_Code],$A58,T_TTAFStock[WeekIndex],11)&gt;0)&gt;0,SUMIFS(T_SelfStock[Self_Qty],T_SelfStock[RM_Code],$A58,T_SelfStock[WeekIndex],11)+SUMIFS(T_TTAFStock[TTAF_Qty],T_TTAFStock[RM_Code],$A58,T_TTAFStock[WeekIndex],11),K58+'Grid_Incoming'!L58-'Grid_Requirement'!L58))</f>
        <v/>
      </c>
      <c r="M58">
        <f>IF(COUNTIFS(T_StockCount[RM_Code],$A58,T_StockCount[WeekIndex],12)&gt;0,SUMIFS(T_StockCount[CountedQty],T_StockCount[RM_Code],$A58,T_StockCount[WeekIndex],12),IF((COUNTIFS(T_SelfStock[RM_Code],$A58,T_SelfStock[WeekIndex],12)&gt;0)*(COUNTIFS(T_TTAFStock[RM_Code],$A58,T_TTAFStock[WeekIndex],12)&gt;0)&gt;0,SUMIFS(T_SelfStock[Self_Qty],T_SelfStock[RM_Code],$A58,T_SelfStock[WeekIndex],12)+SUMIFS(T_TTAFStock[TTAF_Qty],T_TTAFStock[RM_Code],$A58,T_TTAFStock[WeekIndex],12),L58+'Grid_Incoming'!M58-'Grid_Requirement'!M58))</f>
        <v/>
      </c>
      <c r="N58">
        <f>IF(COUNTIFS(T_StockCount[RM_Code],$A58,T_StockCount[WeekIndex],13)&gt;0,SUMIFS(T_StockCount[CountedQty],T_StockCount[RM_Code],$A58,T_StockCount[WeekIndex],13),IF((COUNTIFS(T_SelfStock[RM_Code],$A58,T_SelfStock[WeekIndex],13)&gt;0)*(COUNTIFS(T_TTAFStock[RM_Code],$A58,T_TTAFStock[WeekIndex],13)&gt;0)&gt;0,SUMIFS(T_SelfStock[Self_Qty],T_SelfStock[RM_Code],$A58,T_SelfStock[WeekIndex],13)+SUMIFS(T_TTAFStock[TTAF_Qty],T_TTAFStock[RM_Code],$A58,T_TTAFStock[WeekIndex],13),M58+'Grid_Incoming'!N58-'Grid_Requirement'!N58))</f>
        <v/>
      </c>
      <c r="O58">
        <f>IF(COUNTIFS(T_StockCount[RM_Code],$A58,T_StockCount[WeekIndex],14)&gt;0,SUMIFS(T_StockCount[CountedQty],T_StockCount[RM_Code],$A58,T_StockCount[WeekIndex],14),IF((COUNTIFS(T_SelfStock[RM_Code],$A58,T_SelfStock[WeekIndex],14)&gt;0)*(COUNTIFS(T_TTAFStock[RM_Code],$A58,T_TTAFStock[WeekIndex],14)&gt;0)&gt;0,SUMIFS(T_SelfStock[Self_Qty],T_SelfStock[RM_Code],$A58,T_SelfStock[WeekIndex],14)+SUMIFS(T_TTAFStock[TTAF_Qty],T_TTAFStock[RM_Code],$A58,T_TTAFStock[WeekIndex],14),N58+'Grid_Incoming'!O58-'Grid_Requirement'!O58))</f>
        <v/>
      </c>
      <c r="P58">
        <f>IF(COUNTIFS(T_StockCount[RM_Code],$A58,T_StockCount[WeekIndex],15)&gt;0,SUMIFS(T_StockCount[CountedQty],T_StockCount[RM_Code],$A58,T_StockCount[WeekIndex],15),IF((COUNTIFS(T_SelfStock[RM_Code],$A58,T_SelfStock[WeekIndex],15)&gt;0)*(COUNTIFS(T_TTAFStock[RM_Code],$A58,T_TTAFStock[WeekIndex],15)&gt;0)&gt;0,SUMIFS(T_SelfStock[Self_Qty],T_SelfStock[RM_Code],$A58,T_SelfStock[WeekIndex],15)+SUMIFS(T_TTAFStock[TTAF_Qty],T_TTAFStock[RM_Code],$A58,T_TTAFStock[WeekIndex],15),O58+'Grid_Incoming'!P58-'Grid_Requirement'!P58))</f>
        <v/>
      </c>
      <c r="Q58">
        <f>IF(COUNTIFS(T_StockCount[RM_Code],$A58,T_StockCount[WeekIndex],16)&gt;0,SUMIFS(T_StockCount[CountedQty],T_StockCount[RM_Code],$A58,T_StockCount[WeekIndex],16),IF((COUNTIFS(T_SelfStock[RM_Code],$A58,T_SelfStock[WeekIndex],16)&gt;0)*(COUNTIFS(T_TTAFStock[RM_Code],$A58,T_TTAFStock[WeekIndex],16)&gt;0)&gt;0,SUMIFS(T_SelfStock[Self_Qty],T_SelfStock[RM_Code],$A58,T_SelfStock[WeekIndex],16)+SUMIFS(T_TTAFStock[TTAF_Qty],T_TTAFStock[RM_Code],$A58,T_TTAFStock[WeekIndex],16),P58+'Grid_Incoming'!Q58-'Grid_Requirement'!Q58))</f>
        <v/>
      </c>
      <c r="R58">
        <f>IF(COUNTIFS(T_StockCount[RM_Code],$A58,T_StockCount[WeekIndex],17)&gt;0,SUMIFS(T_StockCount[CountedQty],T_StockCount[RM_Code],$A58,T_StockCount[WeekIndex],17),IF((COUNTIFS(T_SelfStock[RM_Code],$A58,T_SelfStock[WeekIndex],17)&gt;0)*(COUNTIFS(T_TTAFStock[RM_Code],$A58,T_TTAFStock[WeekIndex],17)&gt;0)&gt;0,SUMIFS(T_SelfStock[Self_Qty],T_SelfStock[RM_Code],$A58,T_SelfStock[WeekIndex],17)+SUMIFS(T_TTAFStock[TTAF_Qty],T_TTAFStock[RM_Code],$A58,T_TTAFStock[WeekIndex],17),Q58+'Grid_Incoming'!R58-'Grid_Requirement'!R58))</f>
        <v/>
      </c>
      <c r="S58">
        <f>IF(COUNTIFS(T_StockCount[RM_Code],$A58,T_StockCount[WeekIndex],18)&gt;0,SUMIFS(T_StockCount[CountedQty],T_StockCount[RM_Code],$A58,T_StockCount[WeekIndex],18),IF((COUNTIFS(T_SelfStock[RM_Code],$A58,T_SelfStock[WeekIndex],18)&gt;0)*(COUNTIFS(T_TTAFStock[RM_Code],$A58,T_TTAFStock[WeekIndex],18)&gt;0)&gt;0,SUMIFS(T_SelfStock[Self_Qty],T_SelfStock[RM_Code],$A58,T_SelfStock[WeekIndex],18)+SUMIFS(T_TTAFStock[TTAF_Qty],T_TTAFStock[RM_Code],$A58,T_TTAFStock[WeekIndex],18),R58+'Grid_Incoming'!S58-'Grid_Requirement'!S58))</f>
        <v/>
      </c>
      <c r="T58">
        <f>IF(COUNTIFS(T_StockCount[RM_Code],$A58,T_StockCount[WeekIndex],19)&gt;0,SUMIFS(T_StockCount[CountedQty],T_StockCount[RM_Code],$A58,T_StockCount[WeekIndex],19),IF((COUNTIFS(T_SelfStock[RM_Code],$A58,T_SelfStock[WeekIndex],19)&gt;0)*(COUNTIFS(T_TTAFStock[RM_Code],$A58,T_TTAFStock[WeekIndex],19)&gt;0)&gt;0,SUMIFS(T_SelfStock[Self_Qty],T_SelfStock[RM_Code],$A58,T_SelfStock[WeekIndex],19)+SUMIFS(T_TTAFStock[TTAF_Qty],T_TTAFStock[RM_Code],$A58,T_TTAFStock[WeekIndex],19),S58+'Grid_Incoming'!T58-'Grid_Requirement'!T58))</f>
        <v/>
      </c>
      <c r="U58">
        <f>IF(COUNTIFS(T_StockCount[RM_Code],$A58,T_StockCount[WeekIndex],20)&gt;0,SUMIFS(T_StockCount[CountedQty],T_StockCount[RM_Code],$A58,T_StockCount[WeekIndex],20),IF((COUNTIFS(T_SelfStock[RM_Code],$A58,T_SelfStock[WeekIndex],20)&gt;0)*(COUNTIFS(T_TTAFStock[RM_Code],$A58,T_TTAFStock[WeekIndex],20)&gt;0)&gt;0,SUMIFS(T_SelfStock[Self_Qty],T_SelfStock[RM_Code],$A58,T_SelfStock[WeekIndex],20)+SUMIFS(T_TTAFStock[TTAF_Qty],T_TTAFStock[RM_Code],$A58,T_TTAFStock[WeekIndex],20),T58+'Grid_Incoming'!U58-'Grid_Requirement'!U58))</f>
        <v/>
      </c>
      <c r="V58">
        <f>IF(COUNTIFS(T_StockCount[RM_Code],$A58,T_StockCount[WeekIndex],21)&gt;0,SUMIFS(T_StockCount[CountedQty],T_StockCount[RM_Code],$A58,T_StockCount[WeekIndex],21),IF((COUNTIFS(T_SelfStock[RM_Code],$A58,T_SelfStock[WeekIndex],21)&gt;0)*(COUNTIFS(T_TTAFStock[RM_Code],$A58,T_TTAFStock[WeekIndex],21)&gt;0)&gt;0,SUMIFS(T_SelfStock[Self_Qty],T_SelfStock[RM_Code],$A58,T_SelfStock[WeekIndex],21)+SUMIFS(T_TTAFStock[TTAF_Qty],T_TTAFStock[RM_Code],$A58,T_TTAFStock[WeekIndex],21),U58+'Grid_Incoming'!V58-'Grid_Requirement'!V58))</f>
        <v/>
      </c>
      <c r="W58">
        <f>IF(COUNTIFS(T_StockCount[RM_Code],$A58,T_StockCount[WeekIndex],22)&gt;0,SUMIFS(T_StockCount[CountedQty],T_StockCount[RM_Code],$A58,T_StockCount[WeekIndex],22),IF((COUNTIFS(T_SelfStock[RM_Code],$A58,T_SelfStock[WeekIndex],22)&gt;0)*(COUNTIFS(T_TTAFStock[RM_Code],$A58,T_TTAFStock[WeekIndex],22)&gt;0)&gt;0,SUMIFS(T_SelfStock[Self_Qty],T_SelfStock[RM_Code],$A58,T_SelfStock[WeekIndex],22)+SUMIFS(T_TTAFStock[TTAF_Qty],T_TTAFStock[RM_Code],$A58,T_TTAFStock[WeekIndex],22),V58+'Grid_Incoming'!W58-'Grid_Requirement'!W58))</f>
        <v/>
      </c>
      <c r="X58">
        <f>IF(COUNTIFS(T_StockCount[RM_Code],$A58,T_StockCount[WeekIndex],23)&gt;0,SUMIFS(T_StockCount[CountedQty],T_StockCount[RM_Code],$A58,T_StockCount[WeekIndex],23),IF((COUNTIFS(T_SelfStock[RM_Code],$A58,T_SelfStock[WeekIndex],23)&gt;0)*(COUNTIFS(T_TTAFStock[RM_Code],$A58,T_TTAFStock[WeekIndex],23)&gt;0)&gt;0,SUMIFS(T_SelfStock[Self_Qty],T_SelfStock[RM_Code],$A58,T_SelfStock[WeekIndex],23)+SUMIFS(T_TTAFStock[TTAF_Qty],T_TTAFStock[RM_Code],$A58,T_TTAFStock[WeekIndex],23),W58+'Grid_Incoming'!X58-'Grid_Requirement'!X58))</f>
        <v/>
      </c>
      <c r="Y58">
        <f>IF(COUNTIFS(T_StockCount[RM_Code],$A58,T_StockCount[WeekIndex],24)&gt;0,SUMIFS(T_StockCount[CountedQty],T_StockCount[RM_Code],$A58,T_StockCount[WeekIndex],24),IF((COUNTIFS(T_SelfStock[RM_Code],$A58,T_SelfStock[WeekIndex],24)&gt;0)*(COUNTIFS(T_TTAFStock[RM_Code],$A58,T_TTAFStock[WeekIndex],24)&gt;0)&gt;0,SUMIFS(T_SelfStock[Self_Qty],T_SelfStock[RM_Code],$A58,T_SelfStock[WeekIndex],24)+SUMIFS(T_TTAFStock[TTAF_Qty],T_TTAFStock[RM_Code],$A58,T_TTAFStock[WeekIndex],24),X58+'Grid_Incoming'!Y58-'Grid_Requirement'!Y58))</f>
        <v/>
      </c>
      <c r="Z58">
        <f>IF(COUNTIFS(T_StockCount[RM_Code],$A58,T_StockCount[WeekIndex],25)&gt;0,SUMIFS(T_StockCount[CountedQty],T_StockCount[RM_Code],$A58,T_StockCount[WeekIndex],25),IF((COUNTIFS(T_SelfStock[RM_Code],$A58,T_SelfStock[WeekIndex],25)&gt;0)*(COUNTIFS(T_TTAFStock[RM_Code],$A58,T_TTAFStock[WeekIndex],25)&gt;0)&gt;0,SUMIFS(T_SelfStock[Self_Qty],T_SelfStock[RM_Code],$A58,T_SelfStock[WeekIndex],25)+SUMIFS(T_TTAFStock[TTAF_Qty],T_TTAFStock[RM_Code],$A58,T_TTAFStock[WeekIndex],25),Y58+'Grid_Incoming'!Z58-'Grid_Requirement'!Z58))</f>
        <v/>
      </c>
      <c r="AA58">
        <f>IF(COUNTIFS(T_StockCount[RM_Code],$A58,T_StockCount[WeekIndex],26)&gt;0,SUMIFS(T_StockCount[CountedQty],T_StockCount[RM_Code],$A58,T_StockCount[WeekIndex],26),IF((COUNTIFS(T_SelfStock[RM_Code],$A58,T_SelfStock[WeekIndex],26)&gt;0)*(COUNTIFS(T_TTAFStock[RM_Code],$A58,T_TTAFStock[WeekIndex],26)&gt;0)&gt;0,SUMIFS(T_SelfStock[Self_Qty],T_SelfStock[RM_Code],$A58,T_SelfStock[WeekIndex],26)+SUMIFS(T_TTAFStock[TTAF_Qty],T_TTAFStock[RM_Code],$A58,T_TTAFStock[WeekIndex],26),Z58+'Grid_Incoming'!AA58-'Grid_Requirement'!AA58))</f>
        <v/>
      </c>
      <c r="AB58">
        <f>IF(COUNTIFS(T_StockCount[RM_Code],$A58,T_StockCount[WeekIndex],27)&gt;0,SUMIFS(T_StockCount[CountedQty],T_StockCount[RM_Code],$A58,T_StockCount[WeekIndex],27),IF((COUNTIFS(T_SelfStock[RM_Code],$A58,T_SelfStock[WeekIndex],27)&gt;0)*(COUNTIFS(T_TTAFStock[RM_Code],$A58,T_TTAFStock[WeekIndex],27)&gt;0)&gt;0,SUMIFS(T_SelfStock[Self_Qty],T_SelfStock[RM_Code],$A58,T_SelfStock[WeekIndex],27)+SUMIFS(T_TTAFStock[TTAF_Qty],T_TTAFStock[RM_Code],$A58,T_TTAFStock[WeekIndex],27),AA58+'Grid_Incoming'!AB58-'Grid_Requirement'!AB58))</f>
        <v/>
      </c>
      <c r="AC58">
        <f>IF(COUNTIFS(T_StockCount[RM_Code],$A58,T_StockCount[WeekIndex],28)&gt;0,SUMIFS(T_StockCount[CountedQty],T_StockCount[RM_Code],$A58,T_StockCount[WeekIndex],28),IF((COUNTIFS(T_SelfStock[RM_Code],$A58,T_SelfStock[WeekIndex],28)&gt;0)*(COUNTIFS(T_TTAFStock[RM_Code],$A58,T_TTAFStock[WeekIndex],28)&gt;0)&gt;0,SUMIFS(T_SelfStock[Self_Qty],T_SelfStock[RM_Code],$A58,T_SelfStock[WeekIndex],28)+SUMIFS(T_TTAFStock[TTAF_Qty],T_TTAFStock[RM_Code],$A58,T_TTAFStock[WeekIndex],28),AB58+'Grid_Incoming'!AC58-'Grid_Requirement'!AC58))</f>
        <v/>
      </c>
      <c r="AD58">
        <f>IF(COUNTIFS(T_StockCount[RM_Code],$A58,T_StockCount[WeekIndex],29)&gt;0,SUMIFS(T_StockCount[CountedQty],T_StockCount[RM_Code],$A58,T_StockCount[WeekIndex],29),IF((COUNTIFS(T_SelfStock[RM_Code],$A58,T_SelfStock[WeekIndex],29)&gt;0)*(COUNTIFS(T_TTAFStock[RM_Code],$A58,T_TTAFStock[WeekIndex],29)&gt;0)&gt;0,SUMIFS(T_SelfStock[Self_Qty],T_SelfStock[RM_Code],$A58,T_SelfStock[WeekIndex],29)+SUMIFS(T_TTAFStock[TTAF_Qty],T_TTAFStock[RM_Code],$A58,T_TTAFStock[WeekIndex],29),AC58+'Grid_Incoming'!AD58-'Grid_Requirement'!AD58))</f>
        <v/>
      </c>
      <c r="AE58">
        <f>IF(COUNTIFS(T_StockCount[RM_Code],$A58,T_StockCount[WeekIndex],30)&gt;0,SUMIFS(T_StockCount[CountedQty],T_StockCount[RM_Code],$A58,T_StockCount[WeekIndex],30),IF((COUNTIFS(T_SelfStock[RM_Code],$A58,T_SelfStock[WeekIndex],30)&gt;0)*(COUNTIFS(T_TTAFStock[RM_Code],$A58,T_TTAFStock[WeekIndex],30)&gt;0)&gt;0,SUMIFS(T_SelfStock[Self_Qty],T_SelfStock[RM_Code],$A58,T_SelfStock[WeekIndex],30)+SUMIFS(T_TTAFStock[TTAF_Qty],T_TTAFStock[RM_Code],$A58,T_TTAFStock[WeekIndex],30),AD58+'Grid_Incoming'!AE58-'Grid_Requirement'!AE58))</f>
        <v/>
      </c>
      <c r="AF58">
        <f>IF(COUNTIFS(T_StockCount[RM_Code],$A58,T_StockCount[WeekIndex],31)&gt;0,SUMIFS(T_StockCount[CountedQty],T_StockCount[RM_Code],$A58,T_StockCount[WeekIndex],31),IF((COUNTIFS(T_SelfStock[RM_Code],$A58,T_SelfStock[WeekIndex],31)&gt;0)*(COUNTIFS(T_TTAFStock[RM_Code],$A58,T_TTAFStock[WeekIndex],31)&gt;0)&gt;0,SUMIFS(T_SelfStock[Self_Qty],T_SelfStock[RM_Code],$A58,T_SelfStock[WeekIndex],31)+SUMIFS(T_TTAFStock[TTAF_Qty],T_TTAFStock[RM_Code],$A58,T_TTAFStock[WeekIndex],31),AE58+'Grid_Incoming'!AF58-'Grid_Requirement'!AF58))</f>
        <v/>
      </c>
      <c r="AG58">
        <f>IF(COUNTIFS(T_StockCount[RM_Code],$A58,T_StockCount[WeekIndex],32)&gt;0,SUMIFS(T_StockCount[CountedQty],T_StockCount[RM_Code],$A58,T_StockCount[WeekIndex],32),IF((COUNTIFS(T_SelfStock[RM_Code],$A58,T_SelfStock[WeekIndex],32)&gt;0)*(COUNTIFS(T_TTAFStock[RM_Code],$A58,T_TTAFStock[WeekIndex],32)&gt;0)&gt;0,SUMIFS(T_SelfStock[Self_Qty],T_SelfStock[RM_Code],$A58,T_SelfStock[WeekIndex],32)+SUMIFS(T_TTAFStock[TTAF_Qty],T_TTAFStock[RM_Code],$A58,T_TTAFStock[WeekIndex],32),AF58+'Grid_Incoming'!AG58-'Grid_Requirement'!AG58))</f>
        <v/>
      </c>
      <c r="AH58">
        <f>IF(COUNTIFS(T_StockCount[RM_Code],$A58,T_StockCount[WeekIndex],33)&gt;0,SUMIFS(T_StockCount[CountedQty],T_StockCount[RM_Code],$A58,T_StockCount[WeekIndex],33),IF((COUNTIFS(T_SelfStock[RM_Code],$A58,T_SelfStock[WeekIndex],33)&gt;0)*(COUNTIFS(T_TTAFStock[RM_Code],$A58,T_TTAFStock[WeekIndex],33)&gt;0)&gt;0,SUMIFS(T_SelfStock[Self_Qty],T_SelfStock[RM_Code],$A58,T_SelfStock[WeekIndex],33)+SUMIFS(T_TTAFStock[TTAF_Qty],T_TTAFStock[RM_Code],$A58,T_TTAFStock[WeekIndex],33),AG58+'Grid_Incoming'!AH58-'Grid_Requirement'!AH58))</f>
        <v/>
      </c>
      <c r="AI58">
        <f>IF(COUNTIFS(T_StockCount[RM_Code],$A58,T_StockCount[WeekIndex],34)&gt;0,SUMIFS(T_StockCount[CountedQty],T_StockCount[RM_Code],$A58,T_StockCount[WeekIndex],34),IF((COUNTIFS(T_SelfStock[RM_Code],$A58,T_SelfStock[WeekIndex],34)&gt;0)*(COUNTIFS(T_TTAFStock[RM_Code],$A58,T_TTAFStock[WeekIndex],34)&gt;0)&gt;0,SUMIFS(T_SelfStock[Self_Qty],T_SelfStock[RM_Code],$A58,T_SelfStock[WeekIndex],34)+SUMIFS(T_TTAFStock[TTAF_Qty],T_TTAFStock[RM_Code],$A58,T_TTAFStock[WeekIndex],34),AH58+'Grid_Incoming'!AI58-'Grid_Requirement'!AI58))</f>
        <v/>
      </c>
      <c r="AJ58">
        <f>IF(COUNTIFS(T_StockCount[RM_Code],$A58,T_StockCount[WeekIndex],35)&gt;0,SUMIFS(T_StockCount[CountedQty],T_StockCount[RM_Code],$A58,T_StockCount[WeekIndex],35),IF((COUNTIFS(T_SelfStock[RM_Code],$A58,T_SelfStock[WeekIndex],35)&gt;0)*(COUNTIFS(T_TTAFStock[RM_Code],$A58,T_TTAFStock[WeekIndex],35)&gt;0)&gt;0,SUMIFS(T_SelfStock[Self_Qty],T_SelfStock[RM_Code],$A58,T_SelfStock[WeekIndex],35)+SUMIFS(T_TTAFStock[TTAF_Qty],T_TTAFStock[RM_Code],$A58,T_TTAFStock[WeekIndex],35),AI58+'Grid_Incoming'!AJ58-'Grid_Requirement'!AJ58))</f>
        <v/>
      </c>
      <c r="AK58">
        <f>IF(COUNTIFS(T_StockCount[RM_Code],$A58,T_StockCount[WeekIndex],36)&gt;0,SUMIFS(T_StockCount[CountedQty],T_StockCount[RM_Code],$A58,T_StockCount[WeekIndex],36),IF((COUNTIFS(T_SelfStock[RM_Code],$A58,T_SelfStock[WeekIndex],36)&gt;0)*(COUNTIFS(T_TTAFStock[RM_Code],$A58,T_TTAFStock[WeekIndex],36)&gt;0)&gt;0,SUMIFS(T_SelfStock[Self_Qty],T_SelfStock[RM_Code],$A58,T_SelfStock[WeekIndex],36)+SUMIFS(T_TTAFStock[TTAF_Qty],T_TTAFStock[RM_Code],$A58,T_TTAFStock[WeekIndex],36),AJ58+'Grid_Incoming'!AK58-'Grid_Requirement'!AK58))</f>
        <v/>
      </c>
      <c r="AL58">
        <f>IF(COUNTIFS(T_StockCount[RM_Code],$A58,T_StockCount[WeekIndex],37)&gt;0,SUMIFS(T_StockCount[CountedQty],T_StockCount[RM_Code],$A58,T_StockCount[WeekIndex],37),IF((COUNTIFS(T_SelfStock[RM_Code],$A58,T_SelfStock[WeekIndex],37)&gt;0)*(COUNTIFS(T_TTAFStock[RM_Code],$A58,T_TTAFStock[WeekIndex],37)&gt;0)&gt;0,SUMIFS(T_SelfStock[Self_Qty],T_SelfStock[RM_Code],$A58,T_SelfStock[WeekIndex],37)+SUMIFS(T_TTAFStock[TTAF_Qty],T_TTAFStock[RM_Code],$A58,T_TTAFStock[WeekIndex],37),AK58+'Grid_Incoming'!AL58-'Grid_Requirement'!AL58))</f>
        <v/>
      </c>
      <c r="AM58">
        <f>IF(COUNTIFS(T_StockCount[RM_Code],$A58,T_StockCount[WeekIndex],38)&gt;0,SUMIFS(T_StockCount[CountedQty],T_StockCount[RM_Code],$A58,T_StockCount[WeekIndex],38),IF((COUNTIFS(T_SelfStock[RM_Code],$A58,T_SelfStock[WeekIndex],38)&gt;0)*(COUNTIFS(T_TTAFStock[RM_Code],$A58,T_TTAFStock[WeekIndex],38)&gt;0)&gt;0,SUMIFS(T_SelfStock[Self_Qty],T_SelfStock[RM_Code],$A58,T_SelfStock[WeekIndex],38)+SUMIFS(T_TTAFStock[TTAF_Qty],T_TTAFStock[RM_Code],$A58,T_TTAFStock[WeekIndex],38),AL58+'Grid_Incoming'!AM58-'Grid_Requirement'!AM58))</f>
        <v/>
      </c>
      <c r="AN58">
        <f>IF(COUNTIFS(T_StockCount[RM_Code],$A58,T_StockCount[WeekIndex],39)&gt;0,SUMIFS(T_StockCount[CountedQty],T_StockCount[RM_Code],$A58,T_StockCount[WeekIndex],39),IF((COUNTIFS(T_SelfStock[RM_Code],$A58,T_SelfStock[WeekIndex],39)&gt;0)*(COUNTIFS(T_TTAFStock[RM_Code],$A58,T_TTAFStock[WeekIndex],39)&gt;0)&gt;0,SUMIFS(T_SelfStock[Self_Qty],T_SelfStock[RM_Code],$A58,T_SelfStock[WeekIndex],39)+SUMIFS(T_TTAFStock[TTAF_Qty],T_TTAFStock[RM_Code],$A58,T_TTAFStock[WeekIndex],39),AM58+'Grid_Incoming'!AN58-'Grid_Requirement'!AN58))</f>
        <v/>
      </c>
      <c r="AO58">
        <f>IF(COUNTIFS(T_StockCount[RM_Code],$A58,T_StockCount[WeekIndex],40)&gt;0,SUMIFS(T_StockCount[CountedQty],T_StockCount[RM_Code],$A58,T_StockCount[WeekIndex],40),IF((COUNTIFS(T_SelfStock[RM_Code],$A58,T_SelfStock[WeekIndex],40)&gt;0)*(COUNTIFS(T_TTAFStock[RM_Code],$A58,T_TTAFStock[WeekIndex],40)&gt;0)&gt;0,SUMIFS(T_SelfStock[Self_Qty],T_SelfStock[RM_Code],$A58,T_SelfStock[WeekIndex],40)+SUMIFS(T_TTAFStock[TTAF_Qty],T_TTAFStock[RM_Code],$A58,T_TTAFStock[WeekIndex],40),AN58+'Grid_Incoming'!AO58-'Grid_Requirement'!AO58))</f>
        <v/>
      </c>
      <c r="AP58">
        <f>IF(COUNTIFS(T_StockCount[RM_Code],$A58,T_StockCount[WeekIndex],41)&gt;0,SUMIFS(T_StockCount[CountedQty],T_StockCount[RM_Code],$A58,T_StockCount[WeekIndex],41),IF((COUNTIFS(T_SelfStock[RM_Code],$A58,T_SelfStock[WeekIndex],41)&gt;0)*(COUNTIFS(T_TTAFStock[RM_Code],$A58,T_TTAFStock[WeekIndex],41)&gt;0)&gt;0,SUMIFS(T_SelfStock[Self_Qty],T_SelfStock[RM_Code],$A58,T_SelfStock[WeekIndex],41)+SUMIFS(T_TTAFStock[TTAF_Qty],T_TTAFStock[RM_Code],$A58,T_TTAFStock[WeekIndex],41),AO58+'Grid_Incoming'!AP58-'Grid_Requirement'!AP58))</f>
        <v/>
      </c>
      <c r="AQ58">
        <f>IF(COUNTIFS(T_StockCount[RM_Code],$A58,T_StockCount[WeekIndex],42)&gt;0,SUMIFS(T_StockCount[CountedQty],T_StockCount[RM_Code],$A58,T_StockCount[WeekIndex],42),IF((COUNTIFS(T_SelfStock[RM_Code],$A58,T_SelfStock[WeekIndex],42)&gt;0)*(COUNTIFS(T_TTAFStock[RM_Code],$A58,T_TTAFStock[WeekIndex],42)&gt;0)&gt;0,SUMIFS(T_SelfStock[Self_Qty],T_SelfStock[RM_Code],$A58,T_SelfStock[WeekIndex],42)+SUMIFS(T_TTAFStock[TTAF_Qty],T_TTAFStock[RM_Code],$A58,T_TTAFStock[WeekIndex],42),AP58+'Grid_Incoming'!AQ58-'Grid_Requirement'!AQ58))</f>
        <v/>
      </c>
      <c r="AR58">
        <f>IF(COUNTIFS(T_StockCount[RM_Code],$A58,T_StockCount[WeekIndex],43)&gt;0,SUMIFS(T_StockCount[CountedQty],T_StockCount[RM_Code],$A58,T_StockCount[WeekIndex],43),IF((COUNTIFS(T_SelfStock[RM_Code],$A58,T_SelfStock[WeekIndex],43)&gt;0)*(COUNTIFS(T_TTAFStock[RM_Code],$A58,T_TTAFStock[WeekIndex],43)&gt;0)&gt;0,SUMIFS(T_SelfStock[Self_Qty],T_SelfStock[RM_Code],$A58,T_SelfStock[WeekIndex],43)+SUMIFS(T_TTAFStock[TTAF_Qty],T_TTAFStock[RM_Code],$A58,T_TTAFStock[WeekIndex],43),AQ58+'Grid_Incoming'!AR58-'Grid_Requirement'!AR58))</f>
        <v/>
      </c>
      <c r="AS58">
        <f>IF(COUNTIFS(T_StockCount[RM_Code],$A58,T_StockCount[WeekIndex],44)&gt;0,SUMIFS(T_StockCount[CountedQty],T_StockCount[RM_Code],$A58,T_StockCount[WeekIndex],44),IF((COUNTIFS(T_SelfStock[RM_Code],$A58,T_SelfStock[WeekIndex],44)&gt;0)*(COUNTIFS(T_TTAFStock[RM_Code],$A58,T_TTAFStock[WeekIndex],44)&gt;0)&gt;0,SUMIFS(T_SelfStock[Self_Qty],T_SelfStock[RM_Code],$A58,T_SelfStock[WeekIndex],44)+SUMIFS(T_TTAFStock[TTAF_Qty],T_TTAFStock[RM_Code],$A58,T_TTAFStock[WeekIndex],44),AR58+'Grid_Incoming'!AS58-'Grid_Requirement'!AS58))</f>
        <v/>
      </c>
      <c r="AT58">
        <f>IF(COUNTIFS(T_StockCount[RM_Code],$A58,T_StockCount[WeekIndex],45)&gt;0,SUMIFS(T_StockCount[CountedQty],T_StockCount[RM_Code],$A58,T_StockCount[WeekIndex],45),IF((COUNTIFS(T_SelfStock[RM_Code],$A58,T_SelfStock[WeekIndex],45)&gt;0)*(COUNTIFS(T_TTAFStock[RM_Code],$A58,T_TTAFStock[WeekIndex],45)&gt;0)&gt;0,SUMIFS(T_SelfStock[Self_Qty],T_SelfStock[RM_Code],$A58,T_SelfStock[WeekIndex],45)+SUMIFS(T_TTAFStock[TTAF_Qty],T_TTAFStock[RM_Code],$A58,T_TTAFStock[WeekIndex],45),AS58+'Grid_Incoming'!AT58-'Grid_Requirement'!AT58))</f>
        <v/>
      </c>
      <c r="AU58">
        <f>IF(COUNTIFS(T_StockCount[RM_Code],$A58,T_StockCount[WeekIndex],46)&gt;0,SUMIFS(T_StockCount[CountedQty],T_StockCount[RM_Code],$A58,T_StockCount[WeekIndex],46),IF((COUNTIFS(T_SelfStock[RM_Code],$A58,T_SelfStock[WeekIndex],46)&gt;0)*(COUNTIFS(T_TTAFStock[RM_Code],$A58,T_TTAFStock[WeekIndex],46)&gt;0)&gt;0,SUMIFS(T_SelfStock[Self_Qty],T_SelfStock[RM_Code],$A58,T_SelfStock[WeekIndex],46)+SUMIFS(T_TTAFStock[TTAF_Qty],T_TTAFStock[RM_Code],$A58,T_TTAFStock[WeekIndex],46),AT58+'Grid_Incoming'!AU58-'Grid_Requirement'!AU58))</f>
        <v/>
      </c>
      <c r="AV58">
        <f>IF(COUNTIFS(T_StockCount[RM_Code],$A58,T_StockCount[WeekIndex],47)&gt;0,SUMIFS(T_StockCount[CountedQty],T_StockCount[RM_Code],$A58,T_StockCount[WeekIndex],47),IF((COUNTIFS(T_SelfStock[RM_Code],$A58,T_SelfStock[WeekIndex],47)&gt;0)*(COUNTIFS(T_TTAFStock[RM_Code],$A58,T_TTAFStock[WeekIndex],47)&gt;0)&gt;0,SUMIFS(T_SelfStock[Self_Qty],T_SelfStock[RM_Code],$A58,T_SelfStock[WeekIndex],47)+SUMIFS(T_TTAFStock[TTAF_Qty],T_TTAFStock[RM_Code],$A58,T_TTAFStock[WeekIndex],47),AU58+'Grid_Incoming'!AV58-'Grid_Requirement'!AV58))</f>
        <v/>
      </c>
      <c r="AW58">
        <f>IF(COUNTIFS(T_StockCount[RM_Code],$A58,T_StockCount[WeekIndex],48)&gt;0,SUMIFS(T_StockCount[CountedQty],T_StockCount[RM_Code],$A58,T_StockCount[WeekIndex],48),IF((COUNTIFS(T_SelfStock[RM_Code],$A58,T_SelfStock[WeekIndex],48)&gt;0)*(COUNTIFS(T_TTAFStock[RM_Code],$A58,T_TTAFStock[WeekIndex],48)&gt;0)&gt;0,SUMIFS(T_SelfStock[Self_Qty],T_SelfStock[RM_Code],$A58,T_SelfStock[WeekIndex],48)+SUMIFS(T_TTAFStock[TTAF_Qty],T_TTAFStock[RM_Code],$A58,T_TTAFStock[WeekIndex],48),AV58+'Grid_Incoming'!AW58-'Grid_Requirement'!AW58))</f>
        <v/>
      </c>
      <c r="AX58">
        <f>IF(COUNTIFS(T_StockCount[RM_Code],$A58,T_StockCount[WeekIndex],49)&gt;0,SUMIFS(T_StockCount[CountedQty],T_StockCount[RM_Code],$A58,T_StockCount[WeekIndex],49),IF((COUNTIFS(T_SelfStock[RM_Code],$A58,T_SelfStock[WeekIndex],49)&gt;0)*(COUNTIFS(T_TTAFStock[RM_Code],$A58,T_TTAFStock[WeekIndex],49)&gt;0)&gt;0,SUMIFS(T_SelfStock[Self_Qty],T_SelfStock[RM_Code],$A58,T_SelfStock[WeekIndex],49)+SUMIFS(T_TTAFStock[TTAF_Qty],T_TTAFStock[RM_Code],$A58,T_TTAFStock[WeekIndex],49),AW58+'Grid_Incoming'!AX58-'Grid_Requirement'!AX58))</f>
        <v/>
      </c>
      <c r="AY58">
        <f>IF(COUNTIFS(T_StockCount[RM_Code],$A58,T_StockCount[WeekIndex],50)&gt;0,SUMIFS(T_StockCount[CountedQty],T_StockCount[RM_Code],$A58,T_StockCount[WeekIndex],50),IF((COUNTIFS(T_SelfStock[RM_Code],$A58,T_SelfStock[WeekIndex],50)&gt;0)*(COUNTIFS(T_TTAFStock[RM_Code],$A58,T_TTAFStock[WeekIndex],50)&gt;0)&gt;0,SUMIFS(T_SelfStock[Self_Qty],T_SelfStock[RM_Code],$A58,T_SelfStock[WeekIndex],50)+SUMIFS(T_TTAFStock[TTAF_Qty],T_TTAFStock[RM_Code],$A58,T_TTAFStock[WeekIndex],50),AX58+'Grid_Incoming'!AY58-'Grid_Requirement'!AY58))</f>
        <v/>
      </c>
      <c r="AZ58">
        <f>IF(COUNTIFS(T_StockCount[RM_Code],$A58,T_StockCount[WeekIndex],51)&gt;0,SUMIFS(T_StockCount[CountedQty],T_StockCount[RM_Code],$A58,T_StockCount[WeekIndex],51),IF((COUNTIFS(T_SelfStock[RM_Code],$A58,T_SelfStock[WeekIndex],51)&gt;0)*(COUNTIFS(T_TTAFStock[RM_Code],$A58,T_TTAFStock[WeekIndex],51)&gt;0)&gt;0,SUMIFS(T_SelfStock[Self_Qty],T_SelfStock[RM_Code],$A58,T_SelfStock[WeekIndex],51)+SUMIFS(T_TTAFStock[TTAF_Qty],T_TTAFStock[RM_Code],$A58,T_TTAFStock[WeekIndex],51),AY58+'Grid_Incoming'!AZ58-'Grid_Requirement'!AZ58))</f>
        <v/>
      </c>
      <c r="BA58">
        <f>IF(COUNTIFS(T_StockCount[RM_Code],$A58,T_StockCount[WeekIndex],52)&gt;0,SUMIFS(T_StockCount[CountedQty],T_StockCount[RM_Code],$A58,T_StockCount[WeekIndex],52),IF((COUNTIFS(T_SelfStock[RM_Code],$A58,T_SelfStock[WeekIndex],52)&gt;0)*(COUNTIFS(T_TTAFStock[RM_Code],$A58,T_TTAFStock[WeekIndex],52)&gt;0)&gt;0,SUMIFS(T_SelfStock[Self_Qty],T_SelfStock[RM_Code],$A58,T_SelfStock[WeekIndex],52)+SUMIFS(T_TTAFStock[TTAF_Qty],T_TTAFStock[RM_Code],$A58,T_TTAFStock[WeekIndex],52),AZ58+'Grid_Incoming'!BA58-'Grid_Requirement'!BA58))</f>
        <v/>
      </c>
      <c r="BB58">
        <f>IF(COUNTIFS(T_StockCount[RM_Code],$A58,T_StockCount[WeekIndex],53)&gt;0,SUMIFS(T_StockCount[CountedQty],T_StockCount[RM_Code],$A58,T_StockCount[WeekIndex],53),IF((COUNTIFS(T_SelfStock[RM_Code],$A58,T_SelfStock[WeekIndex],53)&gt;0)*(COUNTIFS(T_TTAFStock[RM_Code],$A58,T_TTAFStock[WeekIndex],53)&gt;0)&gt;0,SUMIFS(T_SelfStock[Self_Qty],T_SelfStock[RM_Code],$A58,T_SelfStock[WeekIndex],53)+SUMIFS(T_TTAFStock[TTAF_Qty],T_TTAFStock[RM_Code],$A58,T_TTAFStock[WeekIndex],53),BA58+'Grid_Incoming'!BB58-'Grid_Requirement'!BB58))</f>
        <v/>
      </c>
      <c r="BC58">
        <f>IF(COUNTIFS(T_StockCount[RM_Code],$A58,T_StockCount[WeekIndex],54)&gt;0,SUMIFS(T_StockCount[CountedQty],T_StockCount[RM_Code],$A58,T_StockCount[WeekIndex],54),IF((COUNTIFS(T_SelfStock[RM_Code],$A58,T_SelfStock[WeekIndex],54)&gt;0)*(COUNTIFS(T_TTAFStock[RM_Code],$A58,T_TTAFStock[WeekIndex],54)&gt;0)&gt;0,SUMIFS(T_SelfStock[Self_Qty],T_SelfStock[RM_Code],$A58,T_SelfStock[WeekIndex],54)+SUMIFS(T_TTAFStock[TTAF_Qty],T_TTAFStock[RM_Code],$A58,T_TTAFStock[WeekIndex],54),BB58+'Grid_Incoming'!BC58-'Grid_Requirement'!BC58))</f>
        <v/>
      </c>
      <c r="BD58">
        <f>IF(COUNTIFS(T_StockCount[RM_Code],$A58,T_StockCount[WeekIndex],55)&gt;0,SUMIFS(T_StockCount[CountedQty],T_StockCount[RM_Code],$A58,T_StockCount[WeekIndex],55),IF((COUNTIFS(T_SelfStock[RM_Code],$A58,T_SelfStock[WeekIndex],55)&gt;0)*(COUNTIFS(T_TTAFStock[RM_Code],$A58,T_TTAFStock[WeekIndex],55)&gt;0)&gt;0,SUMIFS(T_SelfStock[Self_Qty],T_SelfStock[RM_Code],$A58,T_SelfStock[WeekIndex],55)+SUMIFS(T_TTAFStock[TTAF_Qty],T_TTAFStock[RM_Code],$A58,T_TTAFStock[WeekIndex],55),BC58+'Grid_Incoming'!BD58-'Grid_Requirement'!BD58))</f>
        <v/>
      </c>
      <c r="BE58">
        <f>IF(COUNTIFS(T_StockCount[RM_Code],$A58,T_StockCount[WeekIndex],56)&gt;0,SUMIFS(T_StockCount[CountedQty],T_StockCount[RM_Code],$A58,T_StockCount[WeekIndex],56),IF((COUNTIFS(T_SelfStock[RM_Code],$A58,T_SelfStock[WeekIndex],56)&gt;0)*(COUNTIFS(T_TTAFStock[RM_Code],$A58,T_TTAFStock[WeekIndex],56)&gt;0)&gt;0,SUMIFS(T_SelfStock[Self_Qty],T_SelfStock[RM_Code],$A58,T_SelfStock[WeekIndex],56)+SUMIFS(T_TTAFStock[TTAF_Qty],T_TTAFStock[RM_Code],$A58,T_TTAFStock[WeekIndex],56),BD58+'Grid_Incoming'!BE58-'Grid_Requirement'!BE58))</f>
        <v/>
      </c>
      <c r="BF58">
        <f>IF(COUNTIFS(T_StockCount[RM_Code],$A58,T_StockCount[WeekIndex],57)&gt;0,SUMIFS(T_StockCount[CountedQty],T_StockCount[RM_Code],$A58,T_StockCount[WeekIndex],57),IF((COUNTIFS(T_SelfStock[RM_Code],$A58,T_SelfStock[WeekIndex],57)&gt;0)*(COUNTIFS(T_TTAFStock[RM_Code],$A58,T_TTAFStock[WeekIndex],57)&gt;0)&gt;0,SUMIFS(T_SelfStock[Self_Qty],T_SelfStock[RM_Code],$A58,T_SelfStock[WeekIndex],57)+SUMIFS(T_TTAFStock[TTAF_Qty],T_TTAFStock[RM_Code],$A58,T_TTAFStock[WeekIndex],57),BE58+'Grid_Incoming'!BF58-'Grid_Requirement'!BF58))</f>
        <v/>
      </c>
      <c r="BG58">
        <f>IF(COUNTIFS(T_StockCount[RM_Code],$A58,T_StockCount[WeekIndex],58)&gt;0,SUMIFS(T_StockCount[CountedQty],T_StockCount[RM_Code],$A58,T_StockCount[WeekIndex],58),IF((COUNTIFS(T_SelfStock[RM_Code],$A58,T_SelfStock[WeekIndex],58)&gt;0)*(COUNTIFS(T_TTAFStock[RM_Code],$A58,T_TTAFStock[WeekIndex],58)&gt;0)&gt;0,SUMIFS(T_SelfStock[Self_Qty],T_SelfStock[RM_Code],$A58,T_SelfStock[WeekIndex],58)+SUMIFS(T_TTAFStock[TTAF_Qty],T_TTAFStock[RM_Code],$A58,T_TTAFStock[WeekIndex],58),BF58+'Grid_Incoming'!BG58-'Grid_Requirement'!BG58))</f>
        <v/>
      </c>
      <c r="BH58">
        <f>IF(COUNTIFS(T_StockCount[RM_Code],$A58,T_StockCount[WeekIndex],59)&gt;0,SUMIFS(T_StockCount[CountedQty],T_StockCount[RM_Code],$A58,T_StockCount[WeekIndex],59),IF((COUNTIFS(T_SelfStock[RM_Code],$A58,T_SelfStock[WeekIndex],59)&gt;0)*(COUNTIFS(T_TTAFStock[RM_Code],$A58,T_TTAFStock[WeekIndex],59)&gt;0)&gt;0,SUMIFS(T_SelfStock[Self_Qty],T_SelfStock[RM_Code],$A58,T_SelfStock[WeekIndex],59)+SUMIFS(T_TTAFStock[TTAF_Qty],T_TTAFStock[RM_Code],$A58,T_TTAFStock[WeekIndex],59),BG58+'Grid_Incoming'!BH58-'Grid_Requirement'!BH58))</f>
        <v/>
      </c>
      <c r="BI58">
        <f>IF(COUNTIFS(T_StockCount[RM_Code],$A58,T_StockCount[WeekIndex],60)&gt;0,SUMIFS(T_StockCount[CountedQty],T_StockCount[RM_Code],$A58,T_StockCount[WeekIndex],60),IF((COUNTIFS(T_SelfStock[RM_Code],$A58,T_SelfStock[WeekIndex],60)&gt;0)*(COUNTIFS(T_TTAFStock[RM_Code],$A58,T_TTAFStock[WeekIndex],60)&gt;0)&gt;0,SUMIFS(T_SelfStock[Self_Qty],T_SelfStock[RM_Code],$A58,T_SelfStock[WeekIndex],60)+SUMIFS(T_TTAFStock[TTAF_Qty],T_TTAFStock[RM_Code],$A58,T_TTAFStock[WeekIndex],60),BH58+'Grid_Incoming'!BI58-'Grid_Requirement'!BI58))</f>
        <v/>
      </c>
      <c r="BJ58">
        <f>IF(COUNTIFS(T_StockCount[RM_Code],$A58,T_StockCount[WeekIndex],61)&gt;0,SUMIFS(T_StockCount[CountedQty],T_StockCount[RM_Code],$A58,T_StockCount[WeekIndex],61),IF((COUNTIFS(T_SelfStock[RM_Code],$A58,T_SelfStock[WeekIndex],61)&gt;0)*(COUNTIFS(T_TTAFStock[RM_Code],$A58,T_TTAFStock[WeekIndex],61)&gt;0)&gt;0,SUMIFS(T_SelfStock[Self_Qty],T_SelfStock[RM_Code],$A58,T_SelfStock[WeekIndex],61)+SUMIFS(T_TTAFStock[TTAF_Qty],T_TTAFStock[RM_Code],$A58,T_TTAFStock[WeekIndex],61),BI58+'Grid_Incoming'!BJ58-'Grid_Requirement'!BJ58))</f>
        <v/>
      </c>
      <c r="BK58">
        <f>IF(COUNTIFS(T_StockCount[RM_Code],$A58,T_StockCount[WeekIndex],62)&gt;0,SUMIFS(T_StockCount[CountedQty],T_StockCount[RM_Code],$A58,T_StockCount[WeekIndex],62),IF((COUNTIFS(T_SelfStock[RM_Code],$A58,T_SelfStock[WeekIndex],62)&gt;0)*(COUNTIFS(T_TTAFStock[RM_Code],$A58,T_TTAFStock[WeekIndex],62)&gt;0)&gt;0,SUMIFS(T_SelfStock[Self_Qty],T_SelfStock[RM_Code],$A58,T_SelfStock[WeekIndex],62)+SUMIFS(T_TTAFStock[TTAF_Qty],T_TTAFStock[RM_Code],$A58,T_TTAFStock[WeekIndex],62),BJ58+'Grid_Incoming'!BK58-'Grid_Requirement'!BK58))</f>
        <v/>
      </c>
      <c r="BL58">
        <f>IF(COUNTIFS(T_StockCount[RM_Code],$A58,T_StockCount[WeekIndex],63)&gt;0,SUMIFS(T_StockCount[CountedQty],T_StockCount[RM_Code],$A58,T_StockCount[WeekIndex],63),IF((COUNTIFS(T_SelfStock[RM_Code],$A58,T_SelfStock[WeekIndex],63)&gt;0)*(COUNTIFS(T_TTAFStock[RM_Code],$A58,T_TTAFStock[WeekIndex],63)&gt;0)&gt;0,SUMIFS(T_SelfStock[Self_Qty],T_SelfStock[RM_Code],$A58,T_SelfStock[WeekIndex],63)+SUMIFS(T_TTAFStock[TTAF_Qty],T_TTAFStock[RM_Code],$A58,T_TTAFStock[WeekIndex],63),BK58+'Grid_Incoming'!BL58-'Grid_Requirement'!BL58))</f>
        <v/>
      </c>
      <c r="BM58">
        <f>IF(COUNTIFS(T_StockCount[RM_Code],$A58,T_StockCount[WeekIndex],64)&gt;0,SUMIFS(T_StockCount[CountedQty],T_StockCount[RM_Code],$A58,T_StockCount[WeekIndex],64),IF((COUNTIFS(T_SelfStock[RM_Code],$A58,T_SelfStock[WeekIndex],64)&gt;0)*(COUNTIFS(T_TTAFStock[RM_Code],$A58,T_TTAFStock[WeekIndex],64)&gt;0)&gt;0,SUMIFS(T_SelfStock[Self_Qty],T_SelfStock[RM_Code],$A58,T_SelfStock[WeekIndex],64)+SUMIFS(T_TTAFStock[TTAF_Qty],T_TTAFStock[RM_Code],$A58,T_TTAFStock[WeekIndex],64),BL58+'Grid_Incoming'!BM58-'Grid_Requirement'!BM58))</f>
        <v/>
      </c>
      <c r="BN58">
        <f>IF(COUNTIFS(T_StockCount[RM_Code],$A58,T_StockCount[WeekIndex],65)&gt;0,SUMIFS(T_StockCount[CountedQty],T_StockCount[RM_Code],$A58,T_StockCount[WeekIndex],65),IF((COUNTIFS(T_SelfStock[RM_Code],$A58,T_SelfStock[WeekIndex],65)&gt;0)*(COUNTIFS(T_TTAFStock[RM_Code],$A58,T_TTAFStock[WeekIndex],65)&gt;0)&gt;0,SUMIFS(T_SelfStock[Self_Qty],T_SelfStock[RM_Code],$A58,T_SelfStock[WeekIndex],65)+SUMIFS(T_TTAFStock[TTAF_Qty],T_TTAFStock[RM_Code],$A58,T_TTAFStock[WeekIndex],65),BM58+'Grid_Incoming'!BN58-'Grid_Requirement'!BN58))</f>
        <v/>
      </c>
      <c r="BO58">
        <f>IF(COUNTIFS(T_StockCount[RM_Code],$A58,T_StockCount[WeekIndex],66)&gt;0,SUMIFS(T_StockCount[CountedQty],T_StockCount[RM_Code],$A58,T_StockCount[WeekIndex],66),IF((COUNTIFS(T_SelfStock[RM_Code],$A58,T_SelfStock[WeekIndex],66)&gt;0)*(COUNTIFS(T_TTAFStock[RM_Code],$A58,T_TTAFStock[WeekIndex],66)&gt;0)&gt;0,SUMIFS(T_SelfStock[Self_Qty],T_SelfStock[RM_Code],$A58,T_SelfStock[WeekIndex],66)+SUMIFS(T_TTAFStock[TTAF_Qty],T_TTAFStock[RM_Code],$A58,T_TTAFStock[WeekIndex],66),BN58+'Grid_Incoming'!BO58-'Grid_Requirement'!BO58))</f>
        <v/>
      </c>
      <c r="BP58">
        <f>IF(COUNTIFS(T_StockCount[RM_Code],$A58,T_StockCount[WeekIndex],67)&gt;0,SUMIFS(T_StockCount[CountedQty],T_StockCount[RM_Code],$A58,T_StockCount[WeekIndex],67),IF((COUNTIFS(T_SelfStock[RM_Code],$A58,T_SelfStock[WeekIndex],67)&gt;0)*(COUNTIFS(T_TTAFStock[RM_Code],$A58,T_TTAFStock[WeekIndex],67)&gt;0)&gt;0,SUMIFS(T_SelfStock[Self_Qty],T_SelfStock[RM_Code],$A58,T_SelfStock[WeekIndex],67)+SUMIFS(T_TTAFStock[TTAF_Qty],T_TTAFStock[RM_Code],$A58,T_TTAFStock[WeekIndex],67),BO58+'Grid_Incoming'!BP58-'Grid_Requirement'!BP58))</f>
        <v/>
      </c>
      <c r="BQ58">
        <f>IF(COUNTIFS(T_StockCount[RM_Code],$A58,T_StockCount[WeekIndex],68)&gt;0,SUMIFS(T_StockCount[CountedQty],T_StockCount[RM_Code],$A58,T_StockCount[WeekIndex],68),IF((COUNTIFS(T_SelfStock[RM_Code],$A58,T_SelfStock[WeekIndex],68)&gt;0)*(COUNTIFS(T_TTAFStock[RM_Code],$A58,T_TTAFStock[WeekIndex],68)&gt;0)&gt;0,SUMIFS(T_SelfStock[Self_Qty],T_SelfStock[RM_Code],$A58,T_SelfStock[WeekIndex],68)+SUMIFS(T_TTAFStock[TTAF_Qty],T_TTAFStock[RM_Code],$A58,T_TTAFStock[WeekIndex],68),BP58+'Grid_Incoming'!BQ58-'Grid_Requirement'!BQ58))</f>
        <v/>
      </c>
      <c r="BR58">
        <f>IF(COUNTIFS(T_StockCount[RM_Code],$A58,T_StockCount[WeekIndex],69)&gt;0,SUMIFS(T_StockCount[CountedQty],T_StockCount[RM_Code],$A58,T_StockCount[WeekIndex],69),IF((COUNTIFS(T_SelfStock[RM_Code],$A58,T_SelfStock[WeekIndex],69)&gt;0)*(COUNTIFS(T_TTAFStock[RM_Code],$A58,T_TTAFStock[WeekIndex],69)&gt;0)&gt;0,SUMIFS(T_SelfStock[Self_Qty],T_SelfStock[RM_Code],$A58,T_SelfStock[WeekIndex],69)+SUMIFS(T_TTAFStock[TTAF_Qty],T_TTAFStock[RM_Code],$A58,T_TTAFStock[WeekIndex],69),BQ58+'Grid_Incoming'!BR58-'Grid_Requirement'!BR58))</f>
        <v/>
      </c>
      <c r="BS58">
        <f>IF(COUNTIFS(T_StockCount[RM_Code],$A58,T_StockCount[WeekIndex],70)&gt;0,SUMIFS(T_StockCount[CountedQty],T_StockCount[RM_Code],$A58,T_StockCount[WeekIndex],70),IF((COUNTIFS(T_SelfStock[RM_Code],$A58,T_SelfStock[WeekIndex],70)&gt;0)*(COUNTIFS(T_TTAFStock[RM_Code],$A58,T_TTAFStock[WeekIndex],70)&gt;0)&gt;0,SUMIFS(T_SelfStock[Self_Qty],T_SelfStock[RM_Code],$A58,T_SelfStock[WeekIndex],70)+SUMIFS(T_TTAFStock[TTAF_Qty],T_TTAFStock[RM_Code],$A58,T_TTAFStock[WeekIndex],70),BR58+'Grid_Incoming'!BS58-'Grid_Requirement'!BS58))</f>
        <v/>
      </c>
      <c r="BT58">
        <f>IF(COUNTIFS(T_StockCount[RM_Code],$A58,T_StockCount[WeekIndex],71)&gt;0,SUMIFS(T_StockCount[CountedQty],T_StockCount[RM_Code],$A58,T_StockCount[WeekIndex],71),IF((COUNTIFS(T_SelfStock[RM_Code],$A58,T_SelfStock[WeekIndex],71)&gt;0)*(COUNTIFS(T_TTAFStock[RM_Code],$A58,T_TTAFStock[WeekIndex],71)&gt;0)&gt;0,SUMIFS(T_SelfStock[Self_Qty],T_SelfStock[RM_Code],$A58,T_SelfStock[WeekIndex],71)+SUMIFS(T_TTAFStock[TTAF_Qty],T_TTAFStock[RM_Code],$A58,T_TTAFStock[WeekIndex],71),BS58+'Grid_Incoming'!BT58-'Grid_Requirement'!BT58))</f>
        <v/>
      </c>
      <c r="BU58">
        <f>IF(COUNTIFS(T_StockCount[RM_Code],$A58,T_StockCount[WeekIndex],72)&gt;0,SUMIFS(T_StockCount[CountedQty],T_StockCount[RM_Code],$A58,T_StockCount[WeekIndex],72),IF((COUNTIFS(T_SelfStock[RM_Code],$A58,T_SelfStock[WeekIndex],72)&gt;0)*(COUNTIFS(T_TTAFStock[RM_Code],$A58,T_TTAFStock[WeekIndex],72)&gt;0)&gt;0,SUMIFS(T_SelfStock[Self_Qty],T_SelfStock[RM_Code],$A58,T_SelfStock[WeekIndex],72)+SUMIFS(T_TTAFStock[TTAF_Qty],T_TTAFStock[RM_Code],$A58,T_TTAFStock[WeekIndex],72),BT58+'Grid_Incoming'!BU58-'Grid_Requirement'!BU58))</f>
        <v/>
      </c>
      <c r="BV58">
        <f>IF(COUNTIFS(T_StockCount[RM_Code],$A58,T_StockCount[WeekIndex],73)&gt;0,SUMIFS(T_StockCount[CountedQty],T_StockCount[RM_Code],$A58,T_StockCount[WeekIndex],73),IF((COUNTIFS(T_SelfStock[RM_Code],$A58,T_SelfStock[WeekIndex],73)&gt;0)*(COUNTIFS(T_TTAFStock[RM_Code],$A58,T_TTAFStock[WeekIndex],73)&gt;0)&gt;0,SUMIFS(T_SelfStock[Self_Qty],T_SelfStock[RM_Code],$A58,T_SelfStock[WeekIndex],73)+SUMIFS(T_TTAFStock[TTAF_Qty],T_TTAFStock[RM_Code],$A58,T_TTAFStock[WeekIndex],73),BU58+'Grid_Incoming'!BV58-'Grid_Requirement'!BV58))</f>
        <v/>
      </c>
      <c r="BW58">
        <f>IF(COUNTIFS(T_StockCount[RM_Code],$A58,T_StockCount[WeekIndex],74)&gt;0,SUMIFS(T_StockCount[CountedQty],T_StockCount[RM_Code],$A58,T_StockCount[WeekIndex],74),IF((COUNTIFS(T_SelfStock[RM_Code],$A58,T_SelfStock[WeekIndex],74)&gt;0)*(COUNTIFS(T_TTAFStock[RM_Code],$A58,T_TTAFStock[WeekIndex],74)&gt;0)&gt;0,SUMIFS(T_SelfStock[Self_Qty],T_SelfStock[RM_Code],$A58,T_SelfStock[WeekIndex],74)+SUMIFS(T_TTAFStock[TTAF_Qty],T_TTAFStock[RM_Code],$A58,T_TTAFStock[WeekIndex],74),BV58+'Grid_Incoming'!BW58-'Grid_Requirement'!BW58))</f>
        <v/>
      </c>
      <c r="BX58">
        <f>IF(COUNTIFS(T_StockCount[RM_Code],$A58,T_StockCount[WeekIndex],75)&gt;0,SUMIFS(T_StockCount[CountedQty],T_StockCount[RM_Code],$A58,T_StockCount[WeekIndex],75),IF((COUNTIFS(T_SelfStock[RM_Code],$A58,T_SelfStock[WeekIndex],75)&gt;0)*(COUNTIFS(T_TTAFStock[RM_Code],$A58,T_TTAFStock[WeekIndex],75)&gt;0)&gt;0,SUMIFS(T_SelfStock[Self_Qty],T_SelfStock[RM_Code],$A58,T_SelfStock[WeekIndex],75)+SUMIFS(T_TTAFStock[TTAF_Qty],T_TTAFStock[RM_Code],$A58,T_TTAFStock[WeekIndex],75),BW58+'Grid_Incoming'!BX58-'Grid_Requirement'!BX58))</f>
        <v/>
      </c>
      <c r="BY58">
        <f>IF(COUNTIFS(T_StockCount[RM_Code],$A58,T_StockCount[WeekIndex],76)&gt;0,SUMIFS(T_StockCount[CountedQty],T_StockCount[RM_Code],$A58,T_StockCount[WeekIndex],76),IF((COUNTIFS(T_SelfStock[RM_Code],$A58,T_SelfStock[WeekIndex],76)&gt;0)*(COUNTIFS(T_TTAFStock[RM_Code],$A58,T_TTAFStock[WeekIndex],76)&gt;0)&gt;0,SUMIFS(T_SelfStock[Self_Qty],T_SelfStock[RM_Code],$A58,T_SelfStock[WeekIndex],76)+SUMIFS(T_TTAFStock[TTAF_Qty],T_TTAFStock[RM_Code],$A58,T_TTAFStock[WeekIndex],76),BX58+'Grid_Incoming'!BY58-'Grid_Requirement'!BY58))</f>
        <v/>
      </c>
      <c r="BZ58">
        <f>IF(COUNTIFS(T_StockCount[RM_Code],$A58,T_StockCount[WeekIndex],77)&gt;0,SUMIFS(T_StockCount[CountedQty],T_StockCount[RM_Code],$A58,T_StockCount[WeekIndex],77),IF((COUNTIFS(T_SelfStock[RM_Code],$A58,T_SelfStock[WeekIndex],77)&gt;0)*(COUNTIFS(T_TTAFStock[RM_Code],$A58,T_TTAFStock[WeekIndex],77)&gt;0)&gt;0,SUMIFS(T_SelfStock[Self_Qty],T_SelfStock[RM_Code],$A58,T_SelfStock[WeekIndex],77)+SUMIFS(T_TTAFStock[TTAF_Qty],T_TTAFStock[RM_Code],$A58,T_TTAFStock[WeekIndex],77),BY58+'Grid_Incoming'!BZ58-'Grid_Requirement'!BZ58))</f>
        <v/>
      </c>
      <c r="CA58">
        <f>IF(COUNTIFS(T_StockCount[RM_Code],$A58,T_StockCount[WeekIndex],78)&gt;0,SUMIFS(T_StockCount[CountedQty],T_StockCount[RM_Code],$A58,T_StockCount[WeekIndex],78),IF((COUNTIFS(T_SelfStock[RM_Code],$A58,T_SelfStock[WeekIndex],78)&gt;0)*(COUNTIFS(T_TTAFStock[RM_Code],$A58,T_TTAFStock[WeekIndex],78)&gt;0)&gt;0,SUMIFS(T_SelfStock[Self_Qty],T_SelfStock[RM_Code],$A58,T_SelfStock[WeekIndex],78)+SUMIFS(T_TTAFStock[TTAF_Qty],T_TTAFStock[RM_Code],$A58,T_TTAFStock[WeekIndex],78),BZ58+'Grid_Incoming'!CA58-'Grid_Requirement'!CA58))</f>
        <v/>
      </c>
      <c r="CB58">
        <f>IF(COUNTIFS(T_StockCount[RM_Code],$A58,T_StockCount[WeekIndex],79)&gt;0,SUMIFS(T_StockCount[CountedQty],T_StockCount[RM_Code],$A58,T_StockCount[WeekIndex],79),IF((COUNTIFS(T_SelfStock[RM_Code],$A58,T_SelfStock[WeekIndex],79)&gt;0)*(COUNTIFS(T_TTAFStock[RM_Code],$A58,T_TTAFStock[WeekIndex],79)&gt;0)&gt;0,SUMIFS(T_SelfStock[Self_Qty],T_SelfStock[RM_Code],$A58,T_SelfStock[WeekIndex],79)+SUMIFS(T_TTAFStock[TTAF_Qty],T_TTAFStock[RM_Code],$A58,T_TTAFStock[WeekIndex],79),CA58+'Grid_Incoming'!CB58-'Grid_Requirement'!CB58))</f>
        <v/>
      </c>
      <c r="CC58">
        <f>IF(COUNTIFS(T_StockCount[RM_Code],$A58,T_StockCount[WeekIndex],80)&gt;0,SUMIFS(T_StockCount[CountedQty],T_StockCount[RM_Code],$A58,T_StockCount[WeekIndex],80),IF((COUNTIFS(T_SelfStock[RM_Code],$A58,T_SelfStock[WeekIndex],80)&gt;0)*(COUNTIFS(T_TTAFStock[RM_Code],$A58,T_TTAFStock[WeekIndex],80)&gt;0)&gt;0,SUMIFS(T_SelfStock[Self_Qty],T_SelfStock[RM_Code],$A58,T_SelfStock[WeekIndex],80)+SUMIFS(T_TTAFStock[TTAF_Qty],T_TTAFStock[RM_Code],$A58,T_TTAFStock[WeekIndex],80),CB58+'Grid_Incoming'!CC58-'Grid_Requirement'!CC58))</f>
        <v/>
      </c>
      <c r="CD58">
        <f>IF(COUNTIFS(T_StockCount[RM_Code],$A58,T_StockCount[WeekIndex],81)&gt;0,SUMIFS(T_StockCount[CountedQty],T_StockCount[RM_Code],$A58,T_StockCount[WeekIndex],81),IF((COUNTIFS(T_SelfStock[RM_Code],$A58,T_SelfStock[WeekIndex],81)&gt;0)*(COUNTIFS(T_TTAFStock[RM_Code],$A58,T_TTAFStock[WeekIndex],81)&gt;0)&gt;0,SUMIFS(T_SelfStock[Self_Qty],T_SelfStock[RM_Code],$A58,T_SelfStock[WeekIndex],81)+SUMIFS(T_TTAFStock[TTAF_Qty],T_TTAFStock[RM_Code],$A58,T_TTAFStock[WeekIndex],81),CC58+'Grid_Incoming'!CD58-'Grid_Requirement'!CD58))</f>
        <v/>
      </c>
      <c r="CE58">
        <f>IF(COUNTIFS(T_StockCount[RM_Code],$A58,T_StockCount[WeekIndex],82)&gt;0,SUMIFS(T_StockCount[CountedQty],T_StockCount[RM_Code],$A58,T_StockCount[WeekIndex],82),IF((COUNTIFS(T_SelfStock[RM_Code],$A58,T_SelfStock[WeekIndex],82)&gt;0)*(COUNTIFS(T_TTAFStock[RM_Code],$A58,T_TTAFStock[WeekIndex],82)&gt;0)&gt;0,SUMIFS(T_SelfStock[Self_Qty],T_SelfStock[RM_Code],$A58,T_SelfStock[WeekIndex],82)+SUMIFS(T_TTAFStock[TTAF_Qty],T_TTAFStock[RM_Code],$A58,T_TTAFStock[WeekIndex],82),CD58+'Grid_Incoming'!CE58-'Grid_Requirement'!CE58))</f>
        <v/>
      </c>
      <c r="CF58">
        <f>IF(COUNTIFS(T_StockCount[RM_Code],$A58,T_StockCount[WeekIndex],83)&gt;0,SUMIFS(T_StockCount[CountedQty],T_StockCount[RM_Code],$A58,T_StockCount[WeekIndex],83),IF((COUNTIFS(T_SelfStock[RM_Code],$A58,T_SelfStock[WeekIndex],83)&gt;0)*(COUNTIFS(T_TTAFStock[RM_Code],$A58,T_TTAFStock[WeekIndex],83)&gt;0)&gt;0,SUMIFS(T_SelfStock[Self_Qty],T_SelfStock[RM_Code],$A58,T_SelfStock[WeekIndex],83)+SUMIFS(T_TTAFStock[TTAF_Qty],T_TTAFStock[RM_Code],$A58,T_TTAFStock[WeekIndex],83),CE58+'Grid_Incoming'!CF58-'Grid_Requirement'!CF58))</f>
        <v/>
      </c>
      <c r="CG58">
        <f>IF(COUNTIFS(T_StockCount[RM_Code],$A58,T_StockCount[WeekIndex],84)&gt;0,SUMIFS(T_StockCount[CountedQty],T_StockCount[RM_Code],$A58,T_StockCount[WeekIndex],84),IF((COUNTIFS(T_SelfStock[RM_Code],$A58,T_SelfStock[WeekIndex],84)&gt;0)*(COUNTIFS(T_TTAFStock[RM_Code],$A58,T_TTAFStock[WeekIndex],84)&gt;0)&gt;0,SUMIFS(T_SelfStock[Self_Qty],T_SelfStock[RM_Code],$A58,T_SelfStock[WeekIndex],84)+SUMIFS(T_TTAFStock[TTAF_Qty],T_TTAFStock[RM_Code],$A58,T_TTAFStock[WeekIndex],84),CF58+'Grid_Incoming'!CG58-'Grid_Requirement'!CG58))</f>
        <v/>
      </c>
      <c r="CH58">
        <f>IF(COUNTIFS(T_StockCount[RM_Code],$A58,T_StockCount[WeekIndex],85)&gt;0,SUMIFS(T_StockCount[CountedQty],T_StockCount[RM_Code],$A58,T_StockCount[WeekIndex],85),IF((COUNTIFS(T_SelfStock[RM_Code],$A58,T_SelfStock[WeekIndex],85)&gt;0)*(COUNTIFS(T_TTAFStock[RM_Code],$A58,T_TTAFStock[WeekIndex],85)&gt;0)&gt;0,SUMIFS(T_SelfStock[Self_Qty],T_SelfStock[RM_Code],$A58,T_SelfStock[WeekIndex],85)+SUMIFS(T_TTAFStock[TTAF_Qty],T_TTAFStock[RM_Code],$A58,T_TTAFStock[WeekIndex],85),CG58+'Grid_Incoming'!CH58-'Grid_Requirement'!CH58))</f>
        <v/>
      </c>
      <c r="CI58">
        <f>IF(COUNTIFS(T_StockCount[RM_Code],$A58,T_StockCount[WeekIndex],86)&gt;0,SUMIFS(T_StockCount[CountedQty],T_StockCount[RM_Code],$A58,T_StockCount[WeekIndex],86),IF((COUNTIFS(T_SelfStock[RM_Code],$A58,T_SelfStock[WeekIndex],86)&gt;0)*(COUNTIFS(T_TTAFStock[RM_Code],$A58,T_TTAFStock[WeekIndex],86)&gt;0)&gt;0,SUMIFS(T_SelfStock[Self_Qty],T_SelfStock[RM_Code],$A58,T_SelfStock[WeekIndex],86)+SUMIFS(T_TTAFStock[TTAF_Qty],T_TTAFStock[RM_Code],$A58,T_TTAFStock[WeekIndex],86),CH58+'Grid_Incoming'!CI58-'Grid_Requirement'!CI58))</f>
        <v/>
      </c>
      <c r="CJ58">
        <f>IF(COUNTIFS(T_StockCount[RM_Code],$A58,T_StockCount[WeekIndex],87)&gt;0,SUMIFS(T_StockCount[CountedQty],T_StockCount[RM_Code],$A58,T_StockCount[WeekIndex],87),IF((COUNTIFS(T_SelfStock[RM_Code],$A58,T_SelfStock[WeekIndex],87)&gt;0)*(COUNTIFS(T_TTAFStock[RM_Code],$A58,T_TTAFStock[WeekIndex],87)&gt;0)&gt;0,SUMIFS(T_SelfStock[Self_Qty],T_SelfStock[RM_Code],$A58,T_SelfStock[WeekIndex],87)+SUMIFS(T_TTAFStock[TTAF_Qty],T_TTAFStock[RM_Code],$A58,T_TTAFStock[WeekIndex],87),CI58+'Grid_Incoming'!CJ58-'Grid_Requirement'!CJ58))</f>
        <v/>
      </c>
      <c r="CK58">
        <f>IF(COUNTIFS(T_StockCount[RM_Code],$A58,T_StockCount[WeekIndex],88)&gt;0,SUMIFS(T_StockCount[CountedQty],T_StockCount[RM_Code],$A58,T_StockCount[WeekIndex],88),IF((COUNTIFS(T_SelfStock[RM_Code],$A58,T_SelfStock[WeekIndex],88)&gt;0)*(COUNTIFS(T_TTAFStock[RM_Code],$A58,T_TTAFStock[WeekIndex],88)&gt;0)&gt;0,SUMIFS(T_SelfStock[Self_Qty],T_SelfStock[RM_Code],$A58,T_SelfStock[WeekIndex],88)+SUMIFS(T_TTAFStock[TTAF_Qty],T_TTAFStock[RM_Code],$A58,T_TTAFStock[WeekIndex],88),CJ58+'Grid_Incoming'!CK58-'Grid_Requirement'!CK58))</f>
        <v/>
      </c>
      <c r="CL58">
        <f>IF(COUNTIFS(T_StockCount[RM_Code],$A58,T_StockCount[WeekIndex],89)&gt;0,SUMIFS(T_StockCount[CountedQty],T_StockCount[RM_Code],$A58,T_StockCount[WeekIndex],89),IF((COUNTIFS(T_SelfStock[RM_Code],$A58,T_SelfStock[WeekIndex],89)&gt;0)*(COUNTIFS(T_TTAFStock[RM_Code],$A58,T_TTAFStock[WeekIndex],89)&gt;0)&gt;0,SUMIFS(T_SelfStock[Self_Qty],T_SelfStock[RM_Code],$A58,T_SelfStock[WeekIndex],89)+SUMIFS(T_TTAFStock[TTAF_Qty],T_TTAFStock[RM_Code],$A58,T_TTAFStock[WeekIndex],89),CK58+'Grid_Incoming'!CL58-'Grid_Requirement'!CL58))</f>
        <v/>
      </c>
      <c r="CM58">
        <f>IF(COUNTIFS(T_StockCount[RM_Code],$A58,T_StockCount[WeekIndex],90)&gt;0,SUMIFS(T_StockCount[CountedQty],T_StockCount[RM_Code],$A58,T_StockCount[WeekIndex],90),IF((COUNTIFS(T_SelfStock[RM_Code],$A58,T_SelfStock[WeekIndex],90)&gt;0)*(COUNTIFS(T_TTAFStock[RM_Code],$A58,T_TTAFStock[WeekIndex],90)&gt;0)&gt;0,SUMIFS(T_SelfStock[Self_Qty],T_SelfStock[RM_Code],$A58,T_SelfStock[WeekIndex],90)+SUMIFS(T_TTAFStock[TTAF_Qty],T_TTAFStock[RM_Code],$A58,T_TTAFStock[WeekIndex],90),CL58+'Grid_Incoming'!CM58-'Grid_Requirement'!CM58))</f>
        <v/>
      </c>
      <c r="CN58">
        <f>IF(COUNTIFS(T_StockCount[RM_Code],$A58,T_StockCount[WeekIndex],91)&gt;0,SUMIFS(T_StockCount[CountedQty],T_StockCount[RM_Code],$A58,T_StockCount[WeekIndex],91),IF((COUNTIFS(T_SelfStock[RM_Code],$A58,T_SelfStock[WeekIndex],91)&gt;0)*(COUNTIFS(T_TTAFStock[RM_Code],$A58,T_TTAFStock[WeekIndex],91)&gt;0)&gt;0,SUMIFS(T_SelfStock[Self_Qty],T_SelfStock[RM_Code],$A58,T_SelfStock[WeekIndex],91)+SUMIFS(T_TTAFStock[TTAF_Qty],T_TTAFStock[RM_Code],$A58,T_TTAFStock[WeekIndex],91),CM58+'Grid_Incoming'!CN58-'Grid_Requirement'!CN58))</f>
        <v/>
      </c>
      <c r="CO58">
        <f>IF(COUNTIFS(T_StockCount[RM_Code],$A58,T_StockCount[WeekIndex],92)&gt;0,SUMIFS(T_StockCount[CountedQty],T_StockCount[RM_Code],$A58,T_StockCount[WeekIndex],92),IF((COUNTIFS(T_SelfStock[RM_Code],$A58,T_SelfStock[WeekIndex],92)&gt;0)*(COUNTIFS(T_TTAFStock[RM_Code],$A58,T_TTAFStock[WeekIndex],92)&gt;0)&gt;0,SUMIFS(T_SelfStock[Self_Qty],T_SelfStock[RM_Code],$A58,T_SelfStock[WeekIndex],92)+SUMIFS(T_TTAFStock[TTAF_Qty],T_TTAFStock[RM_Code],$A58,T_TTAFStock[WeekIndex],92),CN58+'Grid_Incoming'!CO58-'Grid_Requirement'!CO58))</f>
        <v/>
      </c>
      <c r="CP58">
        <f>IF(COUNTIFS(T_StockCount[RM_Code],$A58,T_StockCount[WeekIndex],93)&gt;0,SUMIFS(T_StockCount[CountedQty],T_StockCount[RM_Code],$A58,T_StockCount[WeekIndex],93),IF((COUNTIFS(T_SelfStock[RM_Code],$A58,T_SelfStock[WeekIndex],93)&gt;0)*(COUNTIFS(T_TTAFStock[RM_Code],$A58,T_TTAFStock[WeekIndex],93)&gt;0)&gt;0,SUMIFS(T_SelfStock[Self_Qty],T_SelfStock[RM_Code],$A58,T_SelfStock[WeekIndex],93)+SUMIFS(T_TTAFStock[TTAF_Qty],T_TTAFStock[RM_Code],$A58,T_TTAFStock[WeekIndex],93),CO58+'Grid_Incoming'!CP58-'Grid_Requirement'!CP58))</f>
        <v/>
      </c>
      <c r="CQ58">
        <f>IF(COUNTIFS(T_StockCount[RM_Code],$A58,T_StockCount[WeekIndex],94)&gt;0,SUMIFS(T_StockCount[CountedQty],T_StockCount[RM_Code],$A58,T_StockCount[WeekIndex],94),IF((COUNTIFS(T_SelfStock[RM_Code],$A58,T_SelfStock[WeekIndex],94)&gt;0)*(COUNTIFS(T_TTAFStock[RM_Code],$A58,T_TTAFStock[WeekIndex],94)&gt;0)&gt;0,SUMIFS(T_SelfStock[Self_Qty],T_SelfStock[RM_Code],$A58,T_SelfStock[WeekIndex],94)+SUMIFS(T_TTAFStock[TTAF_Qty],T_TTAFStock[RM_Code],$A58,T_TTAFStock[WeekIndex],94),CP58+'Grid_Incoming'!CQ58-'Grid_Requirement'!CQ58))</f>
        <v/>
      </c>
      <c r="CR58">
        <f>IF(COUNTIFS(T_StockCount[RM_Code],$A58,T_StockCount[WeekIndex],95)&gt;0,SUMIFS(T_StockCount[CountedQty],T_StockCount[RM_Code],$A58,T_StockCount[WeekIndex],95),IF((COUNTIFS(T_SelfStock[RM_Code],$A58,T_SelfStock[WeekIndex],95)&gt;0)*(COUNTIFS(T_TTAFStock[RM_Code],$A58,T_TTAFStock[WeekIndex],95)&gt;0)&gt;0,SUMIFS(T_SelfStock[Self_Qty],T_SelfStock[RM_Code],$A58,T_SelfStock[WeekIndex],95)+SUMIFS(T_TTAFStock[TTAF_Qty],T_TTAFStock[RM_Code],$A58,T_TTAFStock[WeekIndex],95),CQ58+'Grid_Incoming'!CR58-'Grid_Requirement'!CR58))</f>
        <v/>
      </c>
      <c r="CS58">
        <f>IF(COUNTIFS(T_StockCount[RM_Code],$A58,T_StockCount[WeekIndex],96)&gt;0,SUMIFS(T_StockCount[CountedQty],T_StockCount[RM_Code],$A58,T_StockCount[WeekIndex],96),IF((COUNTIFS(T_SelfStock[RM_Code],$A58,T_SelfStock[WeekIndex],96)&gt;0)*(COUNTIFS(T_TTAFStock[RM_Code],$A58,T_TTAFStock[WeekIndex],96)&gt;0)&gt;0,SUMIFS(T_SelfStock[Self_Qty],T_SelfStock[RM_Code],$A58,T_SelfStock[WeekIndex],96)+SUMIFS(T_TTAFStock[TTAF_Qty],T_TTAFStock[RM_Code],$A58,T_TTAFStock[WeekIndex],96),CR58+'Grid_Incoming'!CS58-'Grid_Requirement'!CS58))</f>
        <v/>
      </c>
      <c r="CT58">
        <f>IF(COUNTIFS(T_StockCount[RM_Code],$A58,T_StockCount[WeekIndex],97)&gt;0,SUMIFS(T_StockCount[CountedQty],T_StockCount[RM_Code],$A58,T_StockCount[WeekIndex],97),IF((COUNTIFS(T_SelfStock[RM_Code],$A58,T_SelfStock[WeekIndex],97)&gt;0)*(COUNTIFS(T_TTAFStock[RM_Code],$A58,T_TTAFStock[WeekIndex],97)&gt;0)&gt;0,SUMIFS(T_SelfStock[Self_Qty],T_SelfStock[RM_Code],$A58,T_SelfStock[WeekIndex],97)+SUMIFS(T_TTAFStock[TTAF_Qty],T_TTAFStock[RM_Code],$A58,T_TTAFStock[WeekIndex],97),CS58+'Grid_Incoming'!CT58-'Grid_Requirement'!CT58))</f>
        <v/>
      </c>
      <c r="CU58">
        <f>IF(COUNTIFS(T_StockCount[RM_Code],$A58,T_StockCount[WeekIndex],98)&gt;0,SUMIFS(T_StockCount[CountedQty],T_StockCount[RM_Code],$A58,T_StockCount[WeekIndex],98),IF((COUNTIFS(T_SelfStock[RM_Code],$A58,T_SelfStock[WeekIndex],98)&gt;0)*(COUNTIFS(T_TTAFStock[RM_Code],$A58,T_TTAFStock[WeekIndex],98)&gt;0)&gt;0,SUMIFS(T_SelfStock[Self_Qty],T_SelfStock[RM_Code],$A58,T_SelfStock[WeekIndex],98)+SUMIFS(T_TTAFStock[TTAF_Qty],T_TTAFStock[RM_Code],$A58,T_TTAFStock[WeekIndex],98),CT58+'Grid_Incoming'!CU58-'Grid_Requirement'!CU58))</f>
        <v/>
      </c>
      <c r="CV58">
        <f>IF(COUNTIFS(T_StockCount[RM_Code],$A58,T_StockCount[WeekIndex],99)&gt;0,SUMIFS(T_StockCount[CountedQty],T_StockCount[RM_Code],$A58,T_StockCount[WeekIndex],99),IF((COUNTIFS(T_SelfStock[RM_Code],$A58,T_SelfStock[WeekIndex],99)&gt;0)*(COUNTIFS(T_TTAFStock[RM_Code],$A58,T_TTAFStock[WeekIndex],99)&gt;0)&gt;0,SUMIFS(T_SelfStock[Self_Qty],T_SelfStock[RM_Code],$A58,T_SelfStock[WeekIndex],99)+SUMIFS(T_TTAFStock[TTAF_Qty],T_TTAFStock[RM_Code],$A58,T_TTAFStock[WeekIndex],99),CU58+'Grid_Incoming'!CV58-'Grid_Requirement'!CV58))</f>
        <v/>
      </c>
      <c r="CW58">
        <f>IF(COUNTIFS(T_StockCount[RM_Code],$A58,T_StockCount[WeekIndex],100)&gt;0,SUMIFS(T_StockCount[CountedQty],T_StockCount[RM_Code],$A58,T_StockCount[WeekIndex],100),IF((COUNTIFS(T_SelfStock[RM_Code],$A58,T_SelfStock[WeekIndex],100)&gt;0)*(COUNTIFS(T_TTAFStock[RM_Code],$A58,T_TTAFStock[WeekIndex],100)&gt;0)&gt;0,SUMIFS(T_SelfStock[Self_Qty],T_SelfStock[RM_Code],$A58,T_SelfStock[WeekIndex],100)+SUMIFS(T_TTAFStock[TTAF_Qty],T_TTAFStock[RM_Code],$A58,T_TTAFStock[WeekIndex],100),CV58+'Grid_Incoming'!CW58-'Grid_Requirement'!CW58))</f>
        <v/>
      </c>
      <c r="CX58">
        <f>IF(COUNTIFS(T_StockCount[RM_Code],$A58,T_StockCount[WeekIndex],101)&gt;0,SUMIFS(T_StockCount[CountedQty],T_StockCount[RM_Code],$A58,T_StockCount[WeekIndex],101),IF((COUNTIFS(T_SelfStock[RM_Code],$A58,T_SelfStock[WeekIndex],101)&gt;0)*(COUNTIFS(T_TTAFStock[RM_Code],$A58,T_TTAFStock[WeekIndex],101)&gt;0)&gt;0,SUMIFS(T_SelfStock[Self_Qty],T_SelfStock[RM_Code],$A58,T_SelfStock[WeekIndex],101)+SUMIFS(T_TTAFStock[TTAF_Qty],T_TTAFStock[RM_Code],$A58,T_TTAFStock[WeekIndex],101),CW58+'Grid_Incoming'!CX58-'Grid_Requirement'!CX58))</f>
        <v/>
      </c>
      <c r="CY58">
        <f>IF(COUNTIFS(T_StockCount[RM_Code],$A58,T_StockCount[WeekIndex],102)&gt;0,SUMIFS(T_StockCount[CountedQty],T_StockCount[RM_Code],$A58,T_StockCount[WeekIndex],102),IF((COUNTIFS(T_SelfStock[RM_Code],$A58,T_SelfStock[WeekIndex],102)&gt;0)*(COUNTIFS(T_TTAFStock[RM_Code],$A58,T_TTAFStock[WeekIndex],102)&gt;0)&gt;0,SUMIFS(T_SelfStock[Self_Qty],T_SelfStock[RM_Code],$A58,T_SelfStock[WeekIndex],102)+SUMIFS(T_TTAFStock[TTAF_Qty],T_TTAFStock[RM_Code],$A58,T_TTAFStock[WeekIndex],102),CX58+'Grid_Incoming'!CY58-'Grid_Requirement'!CY58))</f>
        <v/>
      </c>
      <c r="CZ58">
        <f>IF(COUNTIFS(T_StockCount[RM_Code],$A58,T_StockCount[WeekIndex],103)&gt;0,SUMIFS(T_StockCount[CountedQty],T_StockCount[RM_Code],$A58,T_StockCount[WeekIndex],103),IF((COUNTIFS(T_SelfStock[RM_Code],$A58,T_SelfStock[WeekIndex],103)&gt;0)*(COUNTIFS(T_TTAFStock[RM_Code],$A58,T_TTAFStock[WeekIndex],103)&gt;0)&gt;0,SUMIFS(T_SelfStock[Self_Qty],T_SelfStock[RM_Code],$A58,T_SelfStock[WeekIndex],103)+SUMIFS(T_TTAFStock[TTAF_Qty],T_TTAFStock[RM_Code],$A58,T_TTAFStock[WeekIndex],103),CY58+'Grid_Incoming'!CZ58-'Grid_Requirement'!CZ58))</f>
        <v/>
      </c>
      <c r="DA58">
        <f>IF(COUNTIFS(T_StockCount[RM_Code],$A58,T_StockCount[WeekIndex],104)&gt;0,SUMIFS(T_StockCount[CountedQty],T_StockCount[RM_Code],$A58,T_StockCount[WeekIndex],104),IF((COUNTIFS(T_SelfStock[RM_Code],$A58,T_SelfStock[WeekIndex],104)&gt;0)*(COUNTIFS(T_TTAFStock[RM_Code],$A58,T_TTAFStock[WeekIndex],104)&gt;0)&gt;0,SUMIFS(T_SelfStock[Self_Qty],T_SelfStock[RM_Code],$A58,T_SelfStock[WeekIndex],104)+SUMIFS(T_TTAFStock[TTAF_Qty],T_TTAFStock[RM_Code],$A58,T_TTAFStock[WeekIndex],104),CZ58+'Grid_Incoming'!DA58-'Grid_Requirement'!DA58))</f>
        <v/>
      </c>
    </row>
    <row r="59">
      <c r="A59" t="inlineStr">
        <is>
          <t>CHEM-1780</t>
        </is>
      </c>
      <c r="B59">
        <f>IF(COUNTIFS(T_StockCount[RM_Code],$A59,T_StockCount[WeekIndex],1)&gt;0,SUMIFS(T_StockCount[CountedQty],T_StockCount[RM_Code],$A59,T_StockCount[WeekIndex],1),IF((COUNTIFS(T_SelfStock[RM_Code],$A59,T_SelfStock[WeekIndex],1)&gt;0)*(COUNTIFS(T_TTAFStock[RM_Code],$A59,T_TTAFStock[WeekIndex],1)&gt;0)&gt;0,SUMIFS(T_SelfStock[Self_Qty],T_SelfStock[RM_Code],$A59,T_SelfStock[WeekIndex],1)+SUMIFS(T_TTAFStock[TTAF_Qty],T_TTAFStock[RM_Code],$A59,T_TTAFStock[WeekIndex],1),IFERROR(INDEX(T_OpeningStock[Opening_Qty],MATCH($A59,T_OpeningStock[RM_Code],0)),0)+'Grid_Incoming'!B59-'Grid_Requirement'!B59))</f>
        <v/>
      </c>
      <c r="C59">
        <f>IF(COUNTIFS(T_StockCount[RM_Code],$A59,T_StockCount[WeekIndex],2)&gt;0,SUMIFS(T_StockCount[CountedQty],T_StockCount[RM_Code],$A59,T_StockCount[WeekIndex],2),IF((COUNTIFS(T_SelfStock[RM_Code],$A59,T_SelfStock[WeekIndex],2)&gt;0)*(COUNTIFS(T_TTAFStock[RM_Code],$A59,T_TTAFStock[WeekIndex],2)&gt;0)&gt;0,SUMIFS(T_SelfStock[Self_Qty],T_SelfStock[RM_Code],$A59,T_SelfStock[WeekIndex],2)+SUMIFS(T_TTAFStock[TTAF_Qty],T_TTAFStock[RM_Code],$A59,T_TTAFStock[WeekIndex],2),B59+'Grid_Incoming'!C59-'Grid_Requirement'!C59))</f>
        <v/>
      </c>
      <c r="D59">
        <f>IF(COUNTIFS(T_StockCount[RM_Code],$A59,T_StockCount[WeekIndex],3)&gt;0,SUMIFS(T_StockCount[CountedQty],T_StockCount[RM_Code],$A59,T_StockCount[WeekIndex],3),IF((COUNTIFS(T_SelfStock[RM_Code],$A59,T_SelfStock[WeekIndex],3)&gt;0)*(COUNTIFS(T_TTAFStock[RM_Code],$A59,T_TTAFStock[WeekIndex],3)&gt;0)&gt;0,SUMIFS(T_SelfStock[Self_Qty],T_SelfStock[RM_Code],$A59,T_SelfStock[WeekIndex],3)+SUMIFS(T_TTAFStock[TTAF_Qty],T_TTAFStock[RM_Code],$A59,T_TTAFStock[WeekIndex],3),C59+'Grid_Incoming'!D59-'Grid_Requirement'!D59))</f>
        <v/>
      </c>
      <c r="E59">
        <f>IF(COUNTIFS(T_StockCount[RM_Code],$A59,T_StockCount[WeekIndex],4)&gt;0,SUMIFS(T_StockCount[CountedQty],T_StockCount[RM_Code],$A59,T_StockCount[WeekIndex],4),IF((COUNTIFS(T_SelfStock[RM_Code],$A59,T_SelfStock[WeekIndex],4)&gt;0)*(COUNTIFS(T_TTAFStock[RM_Code],$A59,T_TTAFStock[WeekIndex],4)&gt;0)&gt;0,SUMIFS(T_SelfStock[Self_Qty],T_SelfStock[RM_Code],$A59,T_SelfStock[WeekIndex],4)+SUMIFS(T_TTAFStock[TTAF_Qty],T_TTAFStock[RM_Code],$A59,T_TTAFStock[WeekIndex],4),D59+'Grid_Incoming'!E59-'Grid_Requirement'!E59))</f>
        <v/>
      </c>
      <c r="F59">
        <f>IF(COUNTIFS(T_StockCount[RM_Code],$A59,T_StockCount[WeekIndex],5)&gt;0,SUMIFS(T_StockCount[CountedQty],T_StockCount[RM_Code],$A59,T_StockCount[WeekIndex],5),IF((COUNTIFS(T_SelfStock[RM_Code],$A59,T_SelfStock[WeekIndex],5)&gt;0)*(COUNTIFS(T_TTAFStock[RM_Code],$A59,T_TTAFStock[WeekIndex],5)&gt;0)&gt;0,SUMIFS(T_SelfStock[Self_Qty],T_SelfStock[RM_Code],$A59,T_SelfStock[WeekIndex],5)+SUMIFS(T_TTAFStock[TTAF_Qty],T_TTAFStock[RM_Code],$A59,T_TTAFStock[WeekIndex],5),E59+'Grid_Incoming'!F59-'Grid_Requirement'!F59))</f>
        <v/>
      </c>
      <c r="G59">
        <f>IF(COUNTIFS(T_StockCount[RM_Code],$A59,T_StockCount[WeekIndex],6)&gt;0,SUMIFS(T_StockCount[CountedQty],T_StockCount[RM_Code],$A59,T_StockCount[WeekIndex],6),IF((COUNTIFS(T_SelfStock[RM_Code],$A59,T_SelfStock[WeekIndex],6)&gt;0)*(COUNTIFS(T_TTAFStock[RM_Code],$A59,T_TTAFStock[WeekIndex],6)&gt;0)&gt;0,SUMIFS(T_SelfStock[Self_Qty],T_SelfStock[RM_Code],$A59,T_SelfStock[WeekIndex],6)+SUMIFS(T_TTAFStock[TTAF_Qty],T_TTAFStock[RM_Code],$A59,T_TTAFStock[WeekIndex],6),F59+'Grid_Incoming'!G59-'Grid_Requirement'!G59))</f>
        <v/>
      </c>
      <c r="H59">
        <f>IF(COUNTIFS(T_StockCount[RM_Code],$A59,T_StockCount[WeekIndex],7)&gt;0,SUMIFS(T_StockCount[CountedQty],T_StockCount[RM_Code],$A59,T_StockCount[WeekIndex],7),IF((COUNTIFS(T_SelfStock[RM_Code],$A59,T_SelfStock[WeekIndex],7)&gt;0)*(COUNTIFS(T_TTAFStock[RM_Code],$A59,T_TTAFStock[WeekIndex],7)&gt;0)&gt;0,SUMIFS(T_SelfStock[Self_Qty],T_SelfStock[RM_Code],$A59,T_SelfStock[WeekIndex],7)+SUMIFS(T_TTAFStock[TTAF_Qty],T_TTAFStock[RM_Code],$A59,T_TTAFStock[WeekIndex],7),G59+'Grid_Incoming'!H59-'Grid_Requirement'!H59))</f>
        <v/>
      </c>
      <c r="I59">
        <f>IF(COUNTIFS(T_StockCount[RM_Code],$A59,T_StockCount[WeekIndex],8)&gt;0,SUMIFS(T_StockCount[CountedQty],T_StockCount[RM_Code],$A59,T_StockCount[WeekIndex],8),IF((COUNTIFS(T_SelfStock[RM_Code],$A59,T_SelfStock[WeekIndex],8)&gt;0)*(COUNTIFS(T_TTAFStock[RM_Code],$A59,T_TTAFStock[WeekIndex],8)&gt;0)&gt;0,SUMIFS(T_SelfStock[Self_Qty],T_SelfStock[RM_Code],$A59,T_SelfStock[WeekIndex],8)+SUMIFS(T_TTAFStock[TTAF_Qty],T_TTAFStock[RM_Code],$A59,T_TTAFStock[WeekIndex],8),H59+'Grid_Incoming'!I59-'Grid_Requirement'!I59))</f>
        <v/>
      </c>
      <c r="J59">
        <f>IF(COUNTIFS(T_StockCount[RM_Code],$A59,T_StockCount[WeekIndex],9)&gt;0,SUMIFS(T_StockCount[CountedQty],T_StockCount[RM_Code],$A59,T_StockCount[WeekIndex],9),IF((COUNTIFS(T_SelfStock[RM_Code],$A59,T_SelfStock[WeekIndex],9)&gt;0)*(COUNTIFS(T_TTAFStock[RM_Code],$A59,T_TTAFStock[WeekIndex],9)&gt;0)&gt;0,SUMIFS(T_SelfStock[Self_Qty],T_SelfStock[RM_Code],$A59,T_SelfStock[WeekIndex],9)+SUMIFS(T_TTAFStock[TTAF_Qty],T_TTAFStock[RM_Code],$A59,T_TTAFStock[WeekIndex],9),I59+'Grid_Incoming'!J59-'Grid_Requirement'!J59))</f>
        <v/>
      </c>
      <c r="K59">
        <f>IF(COUNTIFS(T_StockCount[RM_Code],$A59,T_StockCount[WeekIndex],10)&gt;0,SUMIFS(T_StockCount[CountedQty],T_StockCount[RM_Code],$A59,T_StockCount[WeekIndex],10),IF((COUNTIFS(T_SelfStock[RM_Code],$A59,T_SelfStock[WeekIndex],10)&gt;0)*(COUNTIFS(T_TTAFStock[RM_Code],$A59,T_TTAFStock[WeekIndex],10)&gt;0)&gt;0,SUMIFS(T_SelfStock[Self_Qty],T_SelfStock[RM_Code],$A59,T_SelfStock[WeekIndex],10)+SUMIFS(T_TTAFStock[TTAF_Qty],T_TTAFStock[RM_Code],$A59,T_TTAFStock[WeekIndex],10),J59+'Grid_Incoming'!K59-'Grid_Requirement'!K59))</f>
        <v/>
      </c>
      <c r="L59">
        <f>IF(COUNTIFS(T_StockCount[RM_Code],$A59,T_StockCount[WeekIndex],11)&gt;0,SUMIFS(T_StockCount[CountedQty],T_StockCount[RM_Code],$A59,T_StockCount[WeekIndex],11),IF((COUNTIFS(T_SelfStock[RM_Code],$A59,T_SelfStock[WeekIndex],11)&gt;0)*(COUNTIFS(T_TTAFStock[RM_Code],$A59,T_TTAFStock[WeekIndex],11)&gt;0)&gt;0,SUMIFS(T_SelfStock[Self_Qty],T_SelfStock[RM_Code],$A59,T_SelfStock[WeekIndex],11)+SUMIFS(T_TTAFStock[TTAF_Qty],T_TTAFStock[RM_Code],$A59,T_TTAFStock[WeekIndex],11),K59+'Grid_Incoming'!L59-'Grid_Requirement'!L59))</f>
        <v/>
      </c>
      <c r="M59">
        <f>IF(COUNTIFS(T_StockCount[RM_Code],$A59,T_StockCount[WeekIndex],12)&gt;0,SUMIFS(T_StockCount[CountedQty],T_StockCount[RM_Code],$A59,T_StockCount[WeekIndex],12),IF((COUNTIFS(T_SelfStock[RM_Code],$A59,T_SelfStock[WeekIndex],12)&gt;0)*(COUNTIFS(T_TTAFStock[RM_Code],$A59,T_TTAFStock[WeekIndex],12)&gt;0)&gt;0,SUMIFS(T_SelfStock[Self_Qty],T_SelfStock[RM_Code],$A59,T_SelfStock[WeekIndex],12)+SUMIFS(T_TTAFStock[TTAF_Qty],T_TTAFStock[RM_Code],$A59,T_TTAFStock[WeekIndex],12),L59+'Grid_Incoming'!M59-'Grid_Requirement'!M59))</f>
        <v/>
      </c>
      <c r="N59">
        <f>IF(COUNTIFS(T_StockCount[RM_Code],$A59,T_StockCount[WeekIndex],13)&gt;0,SUMIFS(T_StockCount[CountedQty],T_StockCount[RM_Code],$A59,T_StockCount[WeekIndex],13),IF((COUNTIFS(T_SelfStock[RM_Code],$A59,T_SelfStock[WeekIndex],13)&gt;0)*(COUNTIFS(T_TTAFStock[RM_Code],$A59,T_TTAFStock[WeekIndex],13)&gt;0)&gt;0,SUMIFS(T_SelfStock[Self_Qty],T_SelfStock[RM_Code],$A59,T_SelfStock[WeekIndex],13)+SUMIFS(T_TTAFStock[TTAF_Qty],T_TTAFStock[RM_Code],$A59,T_TTAFStock[WeekIndex],13),M59+'Grid_Incoming'!N59-'Grid_Requirement'!N59))</f>
        <v/>
      </c>
      <c r="O59">
        <f>IF(COUNTIFS(T_StockCount[RM_Code],$A59,T_StockCount[WeekIndex],14)&gt;0,SUMIFS(T_StockCount[CountedQty],T_StockCount[RM_Code],$A59,T_StockCount[WeekIndex],14),IF((COUNTIFS(T_SelfStock[RM_Code],$A59,T_SelfStock[WeekIndex],14)&gt;0)*(COUNTIFS(T_TTAFStock[RM_Code],$A59,T_TTAFStock[WeekIndex],14)&gt;0)&gt;0,SUMIFS(T_SelfStock[Self_Qty],T_SelfStock[RM_Code],$A59,T_SelfStock[WeekIndex],14)+SUMIFS(T_TTAFStock[TTAF_Qty],T_TTAFStock[RM_Code],$A59,T_TTAFStock[WeekIndex],14),N59+'Grid_Incoming'!O59-'Grid_Requirement'!O59))</f>
        <v/>
      </c>
      <c r="P59">
        <f>IF(COUNTIFS(T_StockCount[RM_Code],$A59,T_StockCount[WeekIndex],15)&gt;0,SUMIFS(T_StockCount[CountedQty],T_StockCount[RM_Code],$A59,T_StockCount[WeekIndex],15),IF((COUNTIFS(T_SelfStock[RM_Code],$A59,T_SelfStock[WeekIndex],15)&gt;0)*(COUNTIFS(T_TTAFStock[RM_Code],$A59,T_TTAFStock[WeekIndex],15)&gt;0)&gt;0,SUMIFS(T_SelfStock[Self_Qty],T_SelfStock[RM_Code],$A59,T_SelfStock[WeekIndex],15)+SUMIFS(T_TTAFStock[TTAF_Qty],T_TTAFStock[RM_Code],$A59,T_TTAFStock[WeekIndex],15),O59+'Grid_Incoming'!P59-'Grid_Requirement'!P59))</f>
        <v/>
      </c>
      <c r="Q59">
        <f>IF(COUNTIFS(T_StockCount[RM_Code],$A59,T_StockCount[WeekIndex],16)&gt;0,SUMIFS(T_StockCount[CountedQty],T_StockCount[RM_Code],$A59,T_StockCount[WeekIndex],16),IF((COUNTIFS(T_SelfStock[RM_Code],$A59,T_SelfStock[WeekIndex],16)&gt;0)*(COUNTIFS(T_TTAFStock[RM_Code],$A59,T_TTAFStock[WeekIndex],16)&gt;0)&gt;0,SUMIFS(T_SelfStock[Self_Qty],T_SelfStock[RM_Code],$A59,T_SelfStock[WeekIndex],16)+SUMIFS(T_TTAFStock[TTAF_Qty],T_TTAFStock[RM_Code],$A59,T_TTAFStock[WeekIndex],16),P59+'Grid_Incoming'!Q59-'Grid_Requirement'!Q59))</f>
        <v/>
      </c>
      <c r="R59">
        <f>IF(COUNTIFS(T_StockCount[RM_Code],$A59,T_StockCount[WeekIndex],17)&gt;0,SUMIFS(T_StockCount[CountedQty],T_StockCount[RM_Code],$A59,T_StockCount[WeekIndex],17),IF((COUNTIFS(T_SelfStock[RM_Code],$A59,T_SelfStock[WeekIndex],17)&gt;0)*(COUNTIFS(T_TTAFStock[RM_Code],$A59,T_TTAFStock[WeekIndex],17)&gt;0)&gt;0,SUMIFS(T_SelfStock[Self_Qty],T_SelfStock[RM_Code],$A59,T_SelfStock[WeekIndex],17)+SUMIFS(T_TTAFStock[TTAF_Qty],T_TTAFStock[RM_Code],$A59,T_TTAFStock[WeekIndex],17),Q59+'Grid_Incoming'!R59-'Grid_Requirement'!R59))</f>
        <v/>
      </c>
      <c r="S59">
        <f>IF(COUNTIFS(T_StockCount[RM_Code],$A59,T_StockCount[WeekIndex],18)&gt;0,SUMIFS(T_StockCount[CountedQty],T_StockCount[RM_Code],$A59,T_StockCount[WeekIndex],18),IF((COUNTIFS(T_SelfStock[RM_Code],$A59,T_SelfStock[WeekIndex],18)&gt;0)*(COUNTIFS(T_TTAFStock[RM_Code],$A59,T_TTAFStock[WeekIndex],18)&gt;0)&gt;0,SUMIFS(T_SelfStock[Self_Qty],T_SelfStock[RM_Code],$A59,T_SelfStock[WeekIndex],18)+SUMIFS(T_TTAFStock[TTAF_Qty],T_TTAFStock[RM_Code],$A59,T_TTAFStock[WeekIndex],18),R59+'Grid_Incoming'!S59-'Grid_Requirement'!S59))</f>
        <v/>
      </c>
      <c r="T59">
        <f>IF(COUNTIFS(T_StockCount[RM_Code],$A59,T_StockCount[WeekIndex],19)&gt;0,SUMIFS(T_StockCount[CountedQty],T_StockCount[RM_Code],$A59,T_StockCount[WeekIndex],19),IF((COUNTIFS(T_SelfStock[RM_Code],$A59,T_SelfStock[WeekIndex],19)&gt;0)*(COUNTIFS(T_TTAFStock[RM_Code],$A59,T_TTAFStock[WeekIndex],19)&gt;0)&gt;0,SUMIFS(T_SelfStock[Self_Qty],T_SelfStock[RM_Code],$A59,T_SelfStock[WeekIndex],19)+SUMIFS(T_TTAFStock[TTAF_Qty],T_TTAFStock[RM_Code],$A59,T_TTAFStock[WeekIndex],19),S59+'Grid_Incoming'!T59-'Grid_Requirement'!T59))</f>
        <v/>
      </c>
      <c r="U59">
        <f>IF(COUNTIFS(T_StockCount[RM_Code],$A59,T_StockCount[WeekIndex],20)&gt;0,SUMIFS(T_StockCount[CountedQty],T_StockCount[RM_Code],$A59,T_StockCount[WeekIndex],20),IF((COUNTIFS(T_SelfStock[RM_Code],$A59,T_SelfStock[WeekIndex],20)&gt;0)*(COUNTIFS(T_TTAFStock[RM_Code],$A59,T_TTAFStock[WeekIndex],20)&gt;0)&gt;0,SUMIFS(T_SelfStock[Self_Qty],T_SelfStock[RM_Code],$A59,T_SelfStock[WeekIndex],20)+SUMIFS(T_TTAFStock[TTAF_Qty],T_TTAFStock[RM_Code],$A59,T_TTAFStock[WeekIndex],20),T59+'Grid_Incoming'!U59-'Grid_Requirement'!U59))</f>
        <v/>
      </c>
      <c r="V59">
        <f>IF(COUNTIFS(T_StockCount[RM_Code],$A59,T_StockCount[WeekIndex],21)&gt;0,SUMIFS(T_StockCount[CountedQty],T_StockCount[RM_Code],$A59,T_StockCount[WeekIndex],21),IF((COUNTIFS(T_SelfStock[RM_Code],$A59,T_SelfStock[WeekIndex],21)&gt;0)*(COUNTIFS(T_TTAFStock[RM_Code],$A59,T_TTAFStock[WeekIndex],21)&gt;0)&gt;0,SUMIFS(T_SelfStock[Self_Qty],T_SelfStock[RM_Code],$A59,T_SelfStock[WeekIndex],21)+SUMIFS(T_TTAFStock[TTAF_Qty],T_TTAFStock[RM_Code],$A59,T_TTAFStock[WeekIndex],21),U59+'Grid_Incoming'!V59-'Grid_Requirement'!V59))</f>
        <v/>
      </c>
      <c r="W59">
        <f>IF(COUNTIFS(T_StockCount[RM_Code],$A59,T_StockCount[WeekIndex],22)&gt;0,SUMIFS(T_StockCount[CountedQty],T_StockCount[RM_Code],$A59,T_StockCount[WeekIndex],22),IF((COUNTIFS(T_SelfStock[RM_Code],$A59,T_SelfStock[WeekIndex],22)&gt;0)*(COUNTIFS(T_TTAFStock[RM_Code],$A59,T_TTAFStock[WeekIndex],22)&gt;0)&gt;0,SUMIFS(T_SelfStock[Self_Qty],T_SelfStock[RM_Code],$A59,T_SelfStock[WeekIndex],22)+SUMIFS(T_TTAFStock[TTAF_Qty],T_TTAFStock[RM_Code],$A59,T_TTAFStock[WeekIndex],22),V59+'Grid_Incoming'!W59-'Grid_Requirement'!W59))</f>
        <v/>
      </c>
      <c r="X59">
        <f>IF(COUNTIFS(T_StockCount[RM_Code],$A59,T_StockCount[WeekIndex],23)&gt;0,SUMIFS(T_StockCount[CountedQty],T_StockCount[RM_Code],$A59,T_StockCount[WeekIndex],23),IF((COUNTIFS(T_SelfStock[RM_Code],$A59,T_SelfStock[WeekIndex],23)&gt;0)*(COUNTIFS(T_TTAFStock[RM_Code],$A59,T_TTAFStock[WeekIndex],23)&gt;0)&gt;0,SUMIFS(T_SelfStock[Self_Qty],T_SelfStock[RM_Code],$A59,T_SelfStock[WeekIndex],23)+SUMIFS(T_TTAFStock[TTAF_Qty],T_TTAFStock[RM_Code],$A59,T_TTAFStock[WeekIndex],23),W59+'Grid_Incoming'!X59-'Grid_Requirement'!X59))</f>
        <v/>
      </c>
      <c r="Y59">
        <f>IF(COUNTIFS(T_StockCount[RM_Code],$A59,T_StockCount[WeekIndex],24)&gt;0,SUMIFS(T_StockCount[CountedQty],T_StockCount[RM_Code],$A59,T_StockCount[WeekIndex],24),IF((COUNTIFS(T_SelfStock[RM_Code],$A59,T_SelfStock[WeekIndex],24)&gt;0)*(COUNTIFS(T_TTAFStock[RM_Code],$A59,T_TTAFStock[WeekIndex],24)&gt;0)&gt;0,SUMIFS(T_SelfStock[Self_Qty],T_SelfStock[RM_Code],$A59,T_SelfStock[WeekIndex],24)+SUMIFS(T_TTAFStock[TTAF_Qty],T_TTAFStock[RM_Code],$A59,T_TTAFStock[WeekIndex],24),X59+'Grid_Incoming'!Y59-'Grid_Requirement'!Y59))</f>
        <v/>
      </c>
      <c r="Z59">
        <f>IF(COUNTIFS(T_StockCount[RM_Code],$A59,T_StockCount[WeekIndex],25)&gt;0,SUMIFS(T_StockCount[CountedQty],T_StockCount[RM_Code],$A59,T_StockCount[WeekIndex],25),IF((COUNTIFS(T_SelfStock[RM_Code],$A59,T_SelfStock[WeekIndex],25)&gt;0)*(COUNTIFS(T_TTAFStock[RM_Code],$A59,T_TTAFStock[WeekIndex],25)&gt;0)&gt;0,SUMIFS(T_SelfStock[Self_Qty],T_SelfStock[RM_Code],$A59,T_SelfStock[WeekIndex],25)+SUMIFS(T_TTAFStock[TTAF_Qty],T_TTAFStock[RM_Code],$A59,T_TTAFStock[WeekIndex],25),Y59+'Grid_Incoming'!Z59-'Grid_Requirement'!Z59))</f>
        <v/>
      </c>
      <c r="AA59">
        <f>IF(COUNTIFS(T_StockCount[RM_Code],$A59,T_StockCount[WeekIndex],26)&gt;0,SUMIFS(T_StockCount[CountedQty],T_StockCount[RM_Code],$A59,T_StockCount[WeekIndex],26),IF((COUNTIFS(T_SelfStock[RM_Code],$A59,T_SelfStock[WeekIndex],26)&gt;0)*(COUNTIFS(T_TTAFStock[RM_Code],$A59,T_TTAFStock[WeekIndex],26)&gt;0)&gt;0,SUMIFS(T_SelfStock[Self_Qty],T_SelfStock[RM_Code],$A59,T_SelfStock[WeekIndex],26)+SUMIFS(T_TTAFStock[TTAF_Qty],T_TTAFStock[RM_Code],$A59,T_TTAFStock[WeekIndex],26),Z59+'Grid_Incoming'!AA59-'Grid_Requirement'!AA59))</f>
        <v/>
      </c>
      <c r="AB59">
        <f>IF(COUNTIFS(T_StockCount[RM_Code],$A59,T_StockCount[WeekIndex],27)&gt;0,SUMIFS(T_StockCount[CountedQty],T_StockCount[RM_Code],$A59,T_StockCount[WeekIndex],27),IF((COUNTIFS(T_SelfStock[RM_Code],$A59,T_SelfStock[WeekIndex],27)&gt;0)*(COUNTIFS(T_TTAFStock[RM_Code],$A59,T_TTAFStock[WeekIndex],27)&gt;0)&gt;0,SUMIFS(T_SelfStock[Self_Qty],T_SelfStock[RM_Code],$A59,T_SelfStock[WeekIndex],27)+SUMIFS(T_TTAFStock[TTAF_Qty],T_TTAFStock[RM_Code],$A59,T_TTAFStock[WeekIndex],27),AA59+'Grid_Incoming'!AB59-'Grid_Requirement'!AB59))</f>
        <v/>
      </c>
      <c r="AC59">
        <f>IF(COUNTIFS(T_StockCount[RM_Code],$A59,T_StockCount[WeekIndex],28)&gt;0,SUMIFS(T_StockCount[CountedQty],T_StockCount[RM_Code],$A59,T_StockCount[WeekIndex],28),IF((COUNTIFS(T_SelfStock[RM_Code],$A59,T_SelfStock[WeekIndex],28)&gt;0)*(COUNTIFS(T_TTAFStock[RM_Code],$A59,T_TTAFStock[WeekIndex],28)&gt;0)&gt;0,SUMIFS(T_SelfStock[Self_Qty],T_SelfStock[RM_Code],$A59,T_SelfStock[WeekIndex],28)+SUMIFS(T_TTAFStock[TTAF_Qty],T_TTAFStock[RM_Code],$A59,T_TTAFStock[WeekIndex],28),AB59+'Grid_Incoming'!AC59-'Grid_Requirement'!AC59))</f>
        <v/>
      </c>
      <c r="AD59">
        <f>IF(COUNTIFS(T_StockCount[RM_Code],$A59,T_StockCount[WeekIndex],29)&gt;0,SUMIFS(T_StockCount[CountedQty],T_StockCount[RM_Code],$A59,T_StockCount[WeekIndex],29),IF((COUNTIFS(T_SelfStock[RM_Code],$A59,T_SelfStock[WeekIndex],29)&gt;0)*(COUNTIFS(T_TTAFStock[RM_Code],$A59,T_TTAFStock[WeekIndex],29)&gt;0)&gt;0,SUMIFS(T_SelfStock[Self_Qty],T_SelfStock[RM_Code],$A59,T_SelfStock[WeekIndex],29)+SUMIFS(T_TTAFStock[TTAF_Qty],T_TTAFStock[RM_Code],$A59,T_TTAFStock[WeekIndex],29),AC59+'Grid_Incoming'!AD59-'Grid_Requirement'!AD59))</f>
        <v/>
      </c>
      <c r="AE59">
        <f>IF(COUNTIFS(T_StockCount[RM_Code],$A59,T_StockCount[WeekIndex],30)&gt;0,SUMIFS(T_StockCount[CountedQty],T_StockCount[RM_Code],$A59,T_StockCount[WeekIndex],30),IF((COUNTIFS(T_SelfStock[RM_Code],$A59,T_SelfStock[WeekIndex],30)&gt;0)*(COUNTIFS(T_TTAFStock[RM_Code],$A59,T_TTAFStock[WeekIndex],30)&gt;0)&gt;0,SUMIFS(T_SelfStock[Self_Qty],T_SelfStock[RM_Code],$A59,T_SelfStock[WeekIndex],30)+SUMIFS(T_TTAFStock[TTAF_Qty],T_TTAFStock[RM_Code],$A59,T_TTAFStock[WeekIndex],30),AD59+'Grid_Incoming'!AE59-'Grid_Requirement'!AE59))</f>
        <v/>
      </c>
      <c r="AF59">
        <f>IF(COUNTIFS(T_StockCount[RM_Code],$A59,T_StockCount[WeekIndex],31)&gt;0,SUMIFS(T_StockCount[CountedQty],T_StockCount[RM_Code],$A59,T_StockCount[WeekIndex],31),IF((COUNTIFS(T_SelfStock[RM_Code],$A59,T_SelfStock[WeekIndex],31)&gt;0)*(COUNTIFS(T_TTAFStock[RM_Code],$A59,T_TTAFStock[WeekIndex],31)&gt;0)&gt;0,SUMIFS(T_SelfStock[Self_Qty],T_SelfStock[RM_Code],$A59,T_SelfStock[WeekIndex],31)+SUMIFS(T_TTAFStock[TTAF_Qty],T_TTAFStock[RM_Code],$A59,T_TTAFStock[WeekIndex],31),AE59+'Grid_Incoming'!AF59-'Grid_Requirement'!AF59))</f>
        <v/>
      </c>
      <c r="AG59">
        <f>IF(COUNTIFS(T_StockCount[RM_Code],$A59,T_StockCount[WeekIndex],32)&gt;0,SUMIFS(T_StockCount[CountedQty],T_StockCount[RM_Code],$A59,T_StockCount[WeekIndex],32),IF((COUNTIFS(T_SelfStock[RM_Code],$A59,T_SelfStock[WeekIndex],32)&gt;0)*(COUNTIFS(T_TTAFStock[RM_Code],$A59,T_TTAFStock[WeekIndex],32)&gt;0)&gt;0,SUMIFS(T_SelfStock[Self_Qty],T_SelfStock[RM_Code],$A59,T_SelfStock[WeekIndex],32)+SUMIFS(T_TTAFStock[TTAF_Qty],T_TTAFStock[RM_Code],$A59,T_TTAFStock[WeekIndex],32),AF59+'Grid_Incoming'!AG59-'Grid_Requirement'!AG59))</f>
        <v/>
      </c>
      <c r="AH59">
        <f>IF(COUNTIFS(T_StockCount[RM_Code],$A59,T_StockCount[WeekIndex],33)&gt;0,SUMIFS(T_StockCount[CountedQty],T_StockCount[RM_Code],$A59,T_StockCount[WeekIndex],33),IF((COUNTIFS(T_SelfStock[RM_Code],$A59,T_SelfStock[WeekIndex],33)&gt;0)*(COUNTIFS(T_TTAFStock[RM_Code],$A59,T_TTAFStock[WeekIndex],33)&gt;0)&gt;0,SUMIFS(T_SelfStock[Self_Qty],T_SelfStock[RM_Code],$A59,T_SelfStock[WeekIndex],33)+SUMIFS(T_TTAFStock[TTAF_Qty],T_TTAFStock[RM_Code],$A59,T_TTAFStock[WeekIndex],33),AG59+'Grid_Incoming'!AH59-'Grid_Requirement'!AH59))</f>
        <v/>
      </c>
      <c r="AI59">
        <f>IF(COUNTIFS(T_StockCount[RM_Code],$A59,T_StockCount[WeekIndex],34)&gt;0,SUMIFS(T_StockCount[CountedQty],T_StockCount[RM_Code],$A59,T_StockCount[WeekIndex],34),IF((COUNTIFS(T_SelfStock[RM_Code],$A59,T_SelfStock[WeekIndex],34)&gt;0)*(COUNTIFS(T_TTAFStock[RM_Code],$A59,T_TTAFStock[WeekIndex],34)&gt;0)&gt;0,SUMIFS(T_SelfStock[Self_Qty],T_SelfStock[RM_Code],$A59,T_SelfStock[WeekIndex],34)+SUMIFS(T_TTAFStock[TTAF_Qty],T_TTAFStock[RM_Code],$A59,T_TTAFStock[WeekIndex],34),AH59+'Grid_Incoming'!AI59-'Grid_Requirement'!AI59))</f>
        <v/>
      </c>
      <c r="AJ59">
        <f>IF(COUNTIFS(T_StockCount[RM_Code],$A59,T_StockCount[WeekIndex],35)&gt;0,SUMIFS(T_StockCount[CountedQty],T_StockCount[RM_Code],$A59,T_StockCount[WeekIndex],35),IF((COUNTIFS(T_SelfStock[RM_Code],$A59,T_SelfStock[WeekIndex],35)&gt;0)*(COUNTIFS(T_TTAFStock[RM_Code],$A59,T_TTAFStock[WeekIndex],35)&gt;0)&gt;0,SUMIFS(T_SelfStock[Self_Qty],T_SelfStock[RM_Code],$A59,T_SelfStock[WeekIndex],35)+SUMIFS(T_TTAFStock[TTAF_Qty],T_TTAFStock[RM_Code],$A59,T_TTAFStock[WeekIndex],35),AI59+'Grid_Incoming'!AJ59-'Grid_Requirement'!AJ59))</f>
        <v/>
      </c>
      <c r="AK59">
        <f>IF(COUNTIFS(T_StockCount[RM_Code],$A59,T_StockCount[WeekIndex],36)&gt;0,SUMIFS(T_StockCount[CountedQty],T_StockCount[RM_Code],$A59,T_StockCount[WeekIndex],36),IF((COUNTIFS(T_SelfStock[RM_Code],$A59,T_SelfStock[WeekIndex],36)&gt;0)*(COUNTIFS(T_TTAFStock[RM_Code],$A59,T_TTAFStock[WeekIndex],36)&gt;0)&gt;0,SUMIFS(T_SelfStock[Self_Qty],T_SelfStock[RM_Code],$A59,T_SelfStock[WeekIndex],36)+SUMIFS(T_TTAFStock[TTAF_Qty],T_TTAFStock[RM_Code],$A59,T_TTAFStock[WeekIndex],36),AJ59+'Grid_Incoming'!AK59-'Grid_Requirement'!AK59))</f>
        <v/>
      </c>
      <c r="AL59">
        <f>IF(COUNTIFS(T_StockCount[RM_Code],$A59,T_StockCount[WeekIndex],37)&gt;0,SUMIFS(T_StockCount[CountedQty],T_StockCount[RM_Code],$A59,T_StockCount[WeekIndex],37),IF((COUNTIFS(T_SelfStock[RM_Code],$A59,T_SelfStock[WeekIndex],37)&gt;0)*(COUNTIFS(T_TTAFStock[RM_Code],$A59,T_TTAFStock[WeekIndex],37)&gt;0)&gt;0,SUMIFS(T_SelfStock[Self_Qty],T_SelfStock[RM_Code],$A59,T_SelfStock[WeekIndex],37)+SUMIFS(T_TTAFStock[TTAF_Qty],T_TTAFStock[RM_Code],$A59,T_TTAFStock[WeekIndex],37),AK59+'Grid_Incoming'!AL59-'Grid_Requirement'!AL59))</f>
        <v/>
      </c>
      <c r="AM59">
        <f>IF(COUNTIFS(T_StockCount[RM_Code],$A59,T_StockCount[WeekIndex],38)&gt;0,SUMIFS(T_StockCount[CountedQty],T_StockCount[RM_Code],$A59,T_StockCount[WeekIndex],38),IF((COUNTIFS(T_SelfStock[RM_Code],$A59,T_SelfStock[WeekIndex],38)&gt;0)*(COUNTIFS(T_TTAFStock[RM_Code],$A59,T_TTAFStock[WeekIndex],38)&gt;0)&gt;0,SUMIFS(T_SelfStock[Self_Qty],T_SelfStock[RM_Code],$A59,T_SelfStock[WeekIndex],38)+SUMIFS(T_TTAFStock[TTAF_Qty],T_TTAFStock[RM_Code],$A59,T_TTAFStock[WeekIndex],38),AL59+'Grid_Incoming'!AM59-'Grid_Requirement'!AM59))</f>
        <v/>
      </c>
      <c r="AN59">
        <f>IF(COUNTIFS(T_StockCount[RM_Code],$A59,T_StockCount[WeekIndex],39)&gt;0,SUMIFS(T_StockCount[CountedQty],T_StockCount[RM_Code],$A59,T_StockCount[WeekIndex],39),IF((COUNTIFS(T_SelfStock[RM_Code],$A59,T_SelfStock[WeekIndex],39)&gt;0)*(COUNTIFS(T_TTAFStock[RM_Code],$A59,T_TTAFStock[WeekIndex],39)&gt;0)&gt;0,SUMIFS(T_SelfStock[Self_Qty],T_SelfStock[RM_Code],$A59,T_SelfStock[WeekIndex],39)+SUMIFS(T_TTAFStock[TTAF_Qty],T_TTAFStock[RM_Code],$A59,T_TTAFStock[WeekIndex],39),AM59+'Grid_Incoming'!AN59-'Grid_Requirement'!AN59))</f>
        <v/>
      </c>
      <c r="AO59">
        <f>IF(COUNTIFS(T_StockCount[RM_Code],$A59,T_StockCount[WeekIndex],40)&gt;0,SUMIFS(T_StockCount[CountedQty],T_StockCount[RM_Code],$A59,T_StockCount[WeekIndex],40),IF((COUNTIFS(T_SelfStock[RM_Code],$A59,T_SelfStock[WeekIndex],40)&gt;0)*(COUNTIFS(T_TTAFStock[RM_Code],$A59,T_TTAFStock[WeekIndex],40)&gt;0)&gt;0,SUMIFS(T_SelfStock[Self_Qty],T_SelfStock[RM_Code],$A59,T_SelfStock[WeekIndex],40)+SUMIFS(T_TTAFStock[TTAF_Qty],T_TTAFStock[RM_Code],$A59,T_TTAFStock[WeekIndex],40),AN59+'Grid_Incoming'!AO59-'Grid_Requirement'!AO59))</f>
        <v/>
      </c>
      <c r="AP59">
        <f>IF(COUNTIFS(T_StockCount[RM_Code],$A59,T_StockCount[WeekIndex],41)&gt;0,SUMIFS(T_StockCount[CountedQty],T_StockCount[RM_Code],$A59,T_StockCount[WeekIndex],41),IF((COUNTIFS(T_SelfStock[RM_Code],$A59,T_SelfStock[WeekIndex],41)&gt;0)*(COUNTIFS(T_TTAFStock[RM_Code],$A59,T_TTAFStock[WeekIndex],41)&gt;0)&gt;0,SUMIFS(T_SelfStock[Self_Qty],T_SelfStock[RM_Code],$A59,T_SelfStock[WeekIndex],41)+SUMIFS(T_TTAFStock[TTAF_Qty],T_TTAFStock[RM_Code],$A59,T_TTAFStock[WeekIndex],41),AO59+'Grid_Incoming'!AP59-'Grid_Requirement'!AP59))</f>
        <v/>
      </c>
      <c r="AQ59">
        <f>IF(COUNTIFS(T_StockCount[RM_Code],$A59,T_StockCount[WeekIndex],42)&gt;0,SUMIFS(T_StockCount[CountedQty],T_StockCount[RM_Code],$A59,T_StockCount[WeekIndex],42),IF((COUNTIFS(T_SelfStock[RM_Code],$A59,T_SelfStock[WeekIndex],42)&gt;0)*(COUNTIFS(T_TTAFStock[RM_Code],$A59,T_TTAFStock[WeekIndex],42)&gt;0)&gt;0,SUMIFS(T_SelfStock[Self_Qty],T_SelfStock[RM_Code],$A59,T_SelfStock[WeekIndex],42)+SUMIFS(T_TTAFStock[TTAF_Qty],T_TTAFStock[RM_Code],$A59,T_TTAFStock[WeekIndex],42),AP59+'Grid_Incoming'!AQ59-'Grid_Requirement'!AQ59))</f>
        <v/>
      </c>
      <c r="AR59">
        <f>IF(COUNTIFS(T_StockCount[RM_Code],$A59,T_StockCount[WeekIndex],43)&gt;0,SUMIFS(T_StockCount[CountedQty],T_StockCount[RM_Code],$A59,T_StockCount[WeekIndex],43),IF((COUNTIFS(T_SelfStock[RM_Code],$A59,T_SelfStock[WeekIndex],43)&gt;0)*(COUNTIFS(T_TTAFStock[RM_Code],$A59,T_TTAFStock[WeekIndex],43)&gt;0)&gt;0,SUMIFS(T_SelfStock[Self_Qty],T_SelfStock[RM_Code],$A59,T_SelfStock[WeekIndex],43)+SUMIFS(T_TTAFStock[TTAF_Qty],T_TTAFStock[RM_Code],$A59,T_TTAFStock[WeekIndex],43),AQ59+'Grid_Incoming'!AR59-'Grid_Requirement'!AR59))</f>
        <v/>
      </c>
      <c r="AS59">
        <f>IF(COUNTIFS(T_StockCount[RM_Code],$A59,T_StockCount[WeekIndex],44)&gt;0,SUMIFS(T_StockCount[CountedQty],T_StockCount[RM_Code],$A59,T_StockCount[WeekIndex],44),IF((COUNTIFS(T_SelfStock[RM_Code],$A59,T_SelfStock[WeekIndex],44)&gt;0)*(COUNTIFS(T_TTAFStock[RM_Code],$A59,T_TTAFStock[WeekIndex],44)&gt;0)&gt;0,SUMIFS(T_SelfStock[Self_Qty],T_SelfStock[RM_Code],$A59,T_SelfStock[WeekIndex],44)+SUMIFS(T_TTAFStock[TTAF_Qty],T_TTAFStock[RM_Code],$A59,T_TTAFStock[WeekIndex],44),AR59+'Grid_Incoming'!AS59-'Grid_Requirement'!AS59))</f>
        <v/>
      </c>
      <c r="AT59">
        <f>IF(COUNTIFS(T_StockCount[RM_Code],$A59,T_StockCount[WeekIndex],45)&gt;0,SUMIFS(T_StockCount[CountedQty],T_StockCount[RM_Code],$A59,T_StockCount[WeekIndex],45),IF((COUNTIFS(T_SelfStock[RM_Code],$A59,T_SelfStock[WeekIndex],45)&gt;0)*(COUNTIFS(T_TTAFStock[RM_Code],$A59,T_TTAFStock[WeekIndex],45)&gt;0)&gt;0,SUMIFS(T_SelfStock[Self_Qty],T_SelfStock[RM_Code],$A59,T_SelfStock[WeekIndex],45)+SUMIFS(T_TTAFStock[TTAF_Qty],T_TTAFStock[RM_Code],$A59,T_TTAFStock[WeekIndex],45),AS59+'Grid_Incoming'!AT59-'Grid_Requirement'!AT59))</f>
        <v/>
      </c>
      <c r="AU59">
        <f>IF(COUNTIFS(T_StockCount[RM_Code],$A59,T_StockCount[WeekIndex],46)&gt;0,SUMIFS(T_StockCount[CountedQty],T_StockCount[RM_Code],$A59,T_StockCount[WeekIndex],46),IF((COUNTIFS(T_SelfStock[RM_Code],$A59,T_SelfStock[WeekIndex],46)&gt;0)*(COUNTIFS(T_TTAFStock[RM_Code],$A59,T_TTAFStock[WeekIndex],46)&gt;0)&gt;0,SUMIFS(T_SelfStock[Self_Qty],T_SelfStock[RM_Code],$A59,T_SelfStock[WeekIndex],46)+SUMIFS(T_TTAFStock[TTAF_Qty],T_TTAFStock[RM_Code],$A59,T_TTAFStock[WeekIndex],46),AT59+'Grid_Incoming'!AU59-'Grid_Requirement'!AU59))</f>
        <v/>
      </c>
      <c r="AV59">
        <f>IF(COUNTIFS(T_StockCount[RM_Code],$A59,T_StockCount[WeekIndex],47)&gt;0,SUMIFS(T_StockCount[CountedQty],T_StockCount[RM_Code],$A59,T_StockCount[WeekIndex],47),IF((COUNTIFS(T_SelfStock[RM_Code],$A59,T_SelfStock[WeekIndex],47)&gt;0)*(COUNTIFS(T_TTAFStock[RM_Code],$A59,T_TTAFStock[WeekIndex],47)&gt;0)&gt;0,SUMIFS(T_SelfStock[Self_Qty],T_SelfStock[RM_Code],$A59,T_SelfStock[WeekIndex],47)+SUMIFS(T_TTAFStock[TTAF_Qty],T_TTAFStock[RM_Code],$A59,T_TTAFStock[WeekIndex],47),AU59+'Grid_Incoming'!AV59-'Grid_Requirement'!AV59))</f>
        <v/>
      </c>
      <c r="AW59">
        <f>IF(COUNTIFS(T_StockCount[RM_Code],$A59,T_StockCount[WeekIndex],48)&gt;0,SUMIFS(T_StockCount[CountedQty],T_StockCount[RM_Code],$A59,T_StockCount[WeekIndex],48),IF((COUNTIFS(T_SelfStock[RM_Code],$A59,T_SelfStock[WeekIndex],48)&gt;0)*(COUNTIFS(T_TTAFStock[RM_Code],$A59,T_TTAFStock[WeekIndex],48)&gt;0)&gt;0,SUMIFS(T_SelfStock[Self_Qty],T_SelfStock[RM_Code],$A59,T_SelfStock[WeekIndex],48)+SUMIFS(T_TTAFStock[TTAF_Qty],T_TTAFStock[RM_Code],$A59,T_TTAFStock[WeekIndex],48),AV59+'Grid_Incoming'!AW59-'Grid_Requirement'!AW59))</f>
        <v/>
      </c>
      <c r="AX59">
        <f>IF(COUNTIFS(T_StockCount[RM_Code],$A59,T_StockCount[WeekIndex],49)&gt;0,SUMIFS(T_StockCount[CountedQty],T_StockCount[RM_Code],$A59,T_StockCount[WeekIndex],49),IF((COUNTIFS(T_SelfStock[RM_Code],$A59,T_SelfStock[WeekIndex],49)&gt;0)*(COUNTIFS(T_TTAFStock[RM_Code],$A59,T_TTAFStock[WeekIndex],49)&gt;0)&gt;0,SUMIFS(T_SelfStock[Self_Qty],T_SelfStock[RM_Code],$A59,T_SelfStock[WeekIndex],49)+SUMIFS(T_TTAFStock[TTAF_Qty],T_TTAFStock[RM_Code],$A59,T_TTAFStock[WeekIndex],49),AW59+'Grid_Incoming'!AX59-'Grid_Requirement'!AX59))</f>
        <v/>
      </c>
      <c r="AY59">
        <f>IF(COUNTIFS(T_StockCount[RM_Code],$A59,T_StockCount[WeekIndex],50)&gt;0,SUMIFS(T_StockCount[CountedQty],T_StockCount[RM_Code],$A59,T_StockCount[WeekIndex],50),IF((COUNTIFS(T_SelfStock[RM_Code],$A59,T_SelfStock[WeekIndex],50)&gt;0)*(COUNTIFS(T_TTAFStock[RM_Code],$A59,T_TTAFStock[WeekIndex],50)&gt;0)&gt;0,SUMIFS(T_SelfStock[Self_Qty],T_SelfStock[RM_Code],$A59,T_SelfStock[WeekIndex],50)+SUMIFS(T_TTAFStock[TTAF_Qty],T_TTAFStock[RM_Code],$A59,T_TTAFStock[WeekIndex],50),AX59+'Grid_Incoming'!AY59-'Grid_Requirement'!AY59))</f>
        <v/>
      </c>
      <c r="AZ59">
        <f>IF(COUNTIFS(T_StockCount[RM_Code],$A59,T_StockCount[WeekIndex],51)&gt;0,SUMIFS(T_StockCount[CountedQty],T_StockCount[RM_Code],$A59,T_StockCount[WeekIndex],51),IF((COUNTIFS(T_SelfStock[RM_Code],$A59,T_SelfStock[WeekIndex],51)&gt;0)*(COUNTIFS(T_TTAFStock[RM_Code],$A59,T_TTAFStock[WeekIndex],51)&gt;0)&gt;0,SUMIFS(T_SelfStock[Self_Qty],T_SelfStock[RM_Code],$A59,T_SelfStock[WeekIndex],51)+SUMIFS(T_TTAFStock[TTAF_Qty],T_TTAFStock[RM_Code],$A59,T_TTAFStock[WeekIndex],51),AY59+'Grid_Incoming'!AZ59-'Grid_Requirement'!AZ59))</f>
        <v/>
      </c>
      <c r="BA59">
        <f>IF(COUNTIFS(T_StockCount[RM_Code],$A59,T_StockCount[WeekIndex],52)&gt;0,SUMIFS(T_StockCount[CountedQty],T_StockCount[RM_Code],$A59,T_StockCount[WeekIndex],52),IF((COUNTIFS(T_SelfStock[RM_Code],$A59,T_SelfStock[WeekIndex],52)&gt;0)*(COUNTIFS(T_TTAFStock[RM_Code],$A59,T_TTAFStock[WeekIndex],52)&gt;0)&gt;0,SUMIFS(T_SelfStock[Self_Qty],T_SelfStock[RM_Code],$A59,T_SelfStock[WeekIndex],52)+SUMIFS(T_TTAFStock[TTAF_Qty],T_TTAFStock[RM_Code],$A59,T_TTAFStock[WeekIndex],52),AZ59+'Grid_Incoming'!BA59-'Grid_Requirement'!BA59))</f>
        <v/>
      </c>
      <c r="BB59">
        <f>IF(COUNTIFS(T_StockCount[RM_Code],$A59,T_StockCount[WeekIndex],53)&gt;0,SUMIFS(T_StockCount[CountedQty],T_StockCount[RM_Code],$A59,T_StockCount[WeekIndex],53),IF((COUNTIFS(T_SelfStock[RM_Code],$A59,T_SelfStock[WeekIndex],53)&gt;0)*(COUNTIFS(T_TTAFStock[RM_Code],$A59,T_TTAFStock[WeekIndex],53)&gt;0)&gt;0,SUMIFS(T_SelfStock[Self_Qty],T_SelfStock[RM_Code],$A59,T_SelfStock[WeekIndex],53)+SUMIFS(T_TTAFStock[TTAF_Qty],T_TTAFStock[RM_Code],$A59,T_TTAFStock[WeekIndex],53),BA59+'Grid_Incoming'!BB59-'Grid_Requirement'!BB59))</f>
        <v/>
      </c>
      <c r="BC59">
        <f>IF(COUNTIFS(T_StockCount[RM_Code],$A59,T_StockCount[WeekIndex],54)&gt;0,SUMIFS(T_StockCount[CountedQty],T_StockCount[RM_Code],$A59,T_StockCount[WeekIndex],54),IF((COUNTIFS(T_SelfStock[RM_Code],$A59,T_SelfStock[WeekIndex],54)&gt;0)*(COUNTIFS(T_TTAFStock[RM_Code],$A59,T_TTAFStock[WeekIndex],54)&gt;0)&gt;0,SUMIFS(T_SelfStock[Self_Qty],T_SelfStock[RM_Code],$A59,T_SelfStock[WeekIndex],54)+SUMIFS(T_TTAFStock[TTAF_Qty],T_TTAFStock[RM_Code],$A59,T_TTAFStock[WeekIndex],54),BB59+'Grid_Incoming'!BC59-'Grid_Requirement'!BC59))</f>
        <v/>
      </c>
      <c r="BD59">
        <f>IF(COUNTIFS(T_StockCount[RM_Code],$A59,T_StockCount[WeekIndex],55)&gt;0,SUMIFS(T_StockCount[CountedQty],T_StockCount[RM_Code],$A59,T_StockCount[WeekIndex],55),IF((COUNTIFS(T_SelfStock[RM_Code],$A59,T_SelfStock[WeekIndex],55)&gt;0)*(COUNTIFS(T_TTAFStock[RM_Code],$A59,T_TTAFStock[WeekIndex],55)&gt;0)&gt;0,SUMIFS(T_SelfStock[Self_Qty],T_SelfStock[RM_Code],$A59,T_SelfStock[WeekIndex],55)+SUMIFS(T_TTAFStock[TTAF_Qty],T_TTAFStock[RM_Code],$A59,T_TTAFStock[WeekIndex],55),BC59+'Grid_Incoming'!BD59-'Grid_Requirement'!BD59))</f>
        <v/>
      </c>
      <c r="BE59">
        <f>IF(COUNTIFS(T_StockCount[RM_Code],$A59,T_StockCount[WeekIndex],56)&gt;0,SUMIFS(T_StockCount[CountedQty],T_StockCount[RM_Code],$A59,T_StockCount[WeekIndex],56),IF((COUNTIFS(T_SelfStock[RM_Code],$A59,T_SelfStock[WeekIndex],56)&gt;0)*(COUNTIFS(T_TTAFStock[RM_Code],$A59,T_TTAFStock[WeekIndex],56)&gt;0)&gt;0,SUMIFS(T_SelfStock[Self_Qty],T_SelfStock[RM_Code],$A59,T_SelfStock[WeekIndex],56)+SUMIFS(T_TTAFStock[TTAF_Qty],T_TTAFStock[RM_Code],$A59,T_TTAFStock[WeekIndex],56),BD59+'Grid_Incoming'!BE59-'Grid_Requirement'!BE59))</f>
        <v/>
      </c>
      <c r="BF59">
        <f>IF(COUNTIFS(T_StockCount[RM_Code],$A59,T_StockCount[WeekIndex],57)&gt;0,SUMIFS(T_StockCount[CountedQty],T_StockCount[RM_Code],$A59,T_StockCount[WeekIndex],57),IF((COUNTIFS(T_SelfStock[RM_Code],$A59,T_SelfStock[WeekIndex],57)&gt;0)*(COUNTIFS(T_TTAFStock[RM_Code],$A59,T_TTAFStock[WeekIndex],57)&gt;0)&gt;0,SUMIFS(T_SelfStock[Self_Qty],T_SelfStock[RM_Code],$A59,T_SelfStock[WeekIndex],57)+SUMIFS(T_TTAFStock[TTAF_Qty],T_TTAFStock[RM_Code],$A59,T_TTAFStock[WeekIndex],57),BE59+'Grid_Incoming'!BF59-'Grid_Requirement'!BF59))</f>
        <v/>
      </c>
      <c r="BG59">
        <f>IF(COUNTIFS(T_StockCount[RM_Code],$A59,T_StockCount[WeekIndex],58)&gt;0,SUMIFS(T_StockCount[CountedQty],T_StockCount[RM_Code],$A59,T_StockCount[WeekIndex],58),IF((COUNTIFS(T_SelfStock[RM_Code],$A59,T_SelfStock[WeekIndex],58)&gt;0)*(COUNTIFS(T_TTAFStock[RM_Code],$A59,T_TTAFStock[WeekIndex],58)&gt;0)&gt;0,SUMIFS(T_SelfStock[Self_Qty],T_SelfStock[RM_Code],$A59,T_SelfStock[WeekIndex],58)+SUMIFS(T_TTAFStock[TTAF_Qty],T_TTAFStock[RM_Code],$A59,T_TTAFStock[WeekIndex],58),BF59+'Grid_Incoming'!BG59-'Grid_Requirement'!BG59))</f>
        <v/>
      </c>
      <c r="BH59">
        <f>IF(COUNTIFS(T_StockCount[RM_Code],$A59,T_StockCount[WeekIndex],59)&gt;0,SUMIFS(T_StockCount[CountedQty],T_StockCount[RM_Code],$A59,T_StockCount[WeekIndex],59),IF((COUNTIFS(T_SelfStock[RM_Code],$A59,T_SelfStock[WeekIndex],59)&gt;0)*(COUNTIFS(T_TTAFStock[RM_Code],$A59,T_TTAFStock[WeekIndex],59)&gt;0)&gt;0,SUMIFS(T_SelfStock[Self_Qty],T_SelfStock[RM_Code],$A59,T_SelfStock[WeekIndex],59)+SUMIFS(T_TTAFStock[TTAF_Qty],T_TTAFStock[RM_Code],$A59,T_TTAFStock[WeekIndex],59),BG59+'Grid_Incoming'!BH59-'Grid_Requirement'!BH59))</f>
        <v/>
      </c>
      <c r="BI59">
        <f>IF(COUNTIFS(T_StockCount[RM_Code],$A59,T_StockCount[WeekIndex],60)&gt;0,SUMIFS(T_StockCount[CountedQty],T_StockCount[RM_Code],$A59,T_StockCount[WeekIndex],60),IF((COUNTIFS(T_SelfStock[RM_Code],$A59,T_SelfStock[WeekIndex],60)&gt;0)*(COUNTIFS(T_TTAFStock[RM_Code],$A59,T_TTAFStock[WeekIndex],60)&gt;0)&gt;0,SUMIFS(T_SelfStock[Self_Qty],T_SelfStock[RM_Code],$A59,T_SelfStock[WeekIndex],60)+SUMIFS(T_TTAFStock[TTAF_Qty],T_TTAFStock[RM_Code],$A59,T_TTAFStock[WeekIndex],60),BH59+'Grid_Incoming'!BI59-'Grid_Requirement'!BI59))</f>
        <v/>
      </c>
      <c r="BJ59">
        <f>IF(COUNTIFS(T_StockCount[RM_Code],$A59,T_StockCount[WeekIndex],61)&gt;0,SUMIFS(T_StockCount[CountedQty],T_StockCount[RM_Code],$A59,T_StockCount[WeekIndex],61),IF((COUNTIFS(T_SelfStock[RM_Code],$A59,T_SelfStock[WeekIndex],61)&gt;0)*(COUNTIFS(T_TTAFStock[RM_Code],$A59,T_TTAFStock[WeekIndex],61)&gt;0)&gt;0,SUMIFS(T_SelfStock[Self_Qty],T_SelfStock[RM_Code],$A59,T_SelfStock[WeekIndex],61)+SUMIFS(T_TTAFStock[TTAF_Qty],T_TTAFStock[RM_Code],$A59,T_TTAFStock[WeekIndex],61),BI59+'Grid_Incoming'!BJ59-'Grid_Requirement'!BJ59))</f>
        <v/>
      </c>
      <c r="BK59">
        <f>IF(COUNTIFS(T_StockCount[RM_Code],$A59,T_StockCount[WeekIndex],62)&gt;0,SUMIFS(T_StockCount[CountedQty],T_StockCount[RM_Code],$A59,T_StockCount[WeekIndex],62),IF((COUNTIFS(T_SelfStock[RM_Code],$A59,T_SelfStock[WeekIndex],62)&gt;0)*(COUNTIFS(T_TTAFStock[RM_Code],$A59,T_TTAFStock[WeekIndex],62)&gt;0)&gt;0,SUMIFS(T_SelfStock[Self_Qty],T_SelfStock[RM_Code],$A59,T_SelfStock[WeekIndex],62)+SUMIFS(T_TTAFStock[TTAF_Qty],T_TTAFStock[RM_Code],$A59,T_TTAFStock[WeekIndex],62),BJ59+'Grid_Incoming'!BK59-'Grid_Requirement'!BK59))</f>
        <v/>
      </c>
      <c r="BL59">
        <f>IF(COUNTIFS(T_StockCount[RM_Code],$A59,T_StockCount[WeekIndex],63)&gt;0,SUMIFS(T_StockCount[CountedQty],T_StockCount[RM_Code],$A59,T_StockCount[WeekIndex],63),IF((COUNTIFS(T_SelfStock[RM_Code],$A59,T_SelfStock[WeekIndex],63)&gt;0)*(COUNTIFS(T_TTAFStock[RM_Code],$A59,T_TTAFStock[WeekIndex],63)&gt;0)&gt;0,SUMIFS(T_SelfStock[Self_Qty],T_SelfStock[RM_Code],$A59,T_SelfStock[WeekIndex],63)+SUMIFS(T_TTAFStock[TTAF_Qty],T_TTAFStock[RM_Code],$A59,T_TTAFStock[WeekIndex],63),BK59+'Grid_Incoming'!BL59-'Grid_Requirement'!BL59))</f>
        <v/>
      </c>
      <c r="BM59">
        <f>IF(COUNTIFS(T_StockCount[RM_Code],$A59,T_StockCount[WeekIndex],64)&gt;0,SUMIFS(T_StockCount[CountedQty],T_StockCount[RM_Code],$A59,T_StockCount[WeekIndex],64),IF((COUNTIFS(T_SelfStock[RM_Code],$A59,T_SelfStock[WeekIndex],64)&gt;0)*(COUNTIFS(T_TTAFStock[RM_Code],$A59,T_TTAFStock[WeekIndex],64)&gt;0)&gt;0,SUMIFS(T_SelfStock[Self_Qty],T_SelfStock[RM_Code],$A59,T_SelfStock[WeekIndex],64)+SUMIFS(T_TTAFStock[TTAF_Qty],T_TTAFStock[RM_Code],$A59,T_TTAFStock[WeekIndex],64),BL59+'Grid_Incoming'!BM59-'Grid_Requirement'!BM59))</f>
        <v/>
      </c>
      <c r="BN59">
        <f>IF(COUNTIFS(T_StockCount[RM_Code],$A59,T_StockCount[WeekIndex],65)&gt;0,SUMIFS(T_StockCount[CountedQty],T_StockCount[RM_Code],$A59,T_StockCount[WeekIndex],65),IF((COUNTIFS(T_SelfStock[RM_Code],$A59,T_SelfStock[WeekIndex],65)&gt;0)*(COUNTIFS(T_TTAFStock[RM_Code],$A59,T_TTAFStock[WeekIndex],65)&gt;0)&gt;0,SUMIFS(T_SelfStock[Self_Qty],T_SelfStock[RM_Code],$A59,T_SelfStock[WeekIndex],65)+SUMIFS(T_TTAFStock[TTAF_Qty],T_TTAFStock[RM_Code],$A59,T_TTAFStock[WeekIndex],65),BM59+'Grid_Incoming'!BN59-'Grid_Requirement'!BN59))</f>
        <v/>
      </c>
      <c r="BO59">
        <f>IF(COUNTIFS(T_StockCount[RM_Code],$A59,T_StockCount[WeekIndex],66)&gt;0,SUMIFS(T_StockCount[CountedQty],T_StockCount[RM_Code],$A59,T_StockCount[WeekIndex],66),IF((COUNTIFS(T_SelfStock[RM_Code],$A59,T_SelfStock[WeekIndex],66)&gt;0)*(COUNTIFS(T_TTAFStock[RM_Code],$A59,T_TTAFStock[WeekIndex],66)&gt;0)&gt;0,SUMIFS(T_SelfStock[Self_Qty],T_SelfStock[RM_Code],$A59,T_SelfStock[WeekIndex],66)+SUMIFS(T_TTAFStock[TTAF_Qty],T_TTAFStock[RM_Code],$A59,T_TTAFStock[WeekIndex],66),BN59+'Grid_Incoming'!BO59-'Grid_Requirement'!BO59))</f>
        <v/>
      </c>
      <c r="BP59">
        <f>IF(COUNTIFS(T_StockCount[RM_Code],$A59,T_StockCount[WeekIndex],67)&gt;0,SUMIFS(T_StockCount[CountedQty],T_StockCount[RM_Code],$A59,T_StockCount[WeekIndex],67),IF((COUNTIFS(T_SelfStock[RM_Code],$A59,T_SelfStock[WeekIndex],67)&gt;0)*(COUNTIFS(T_TTAFStock[RM_Code],$A59,T_TTAFStock[WeekIndex],67)&gt;0)&gt;0,SUMIFS(T_SelfStock[Self_Qty],T_SelfStock[RM_Code],$A59,T_SelfStock[WeekIndex],67)+SUMIFS(T_TTAFStock[TTAF_Qty],T_TTAFStock[RM_Code],$A59,T_TTAFStock[WeekIndex],67),BO59+'Grid_Incoming'!BP59-'Grid_Requirement'!BP59))</f>
        <v/>
      </c>
      <c r="BQ59">
        <f>IF(COUNTIFS(T_StockCount[RM_Code],$A59,T_StockCount[WeekIndex],68)&gt;0,SUMIFS(T_StockCount[CountedQty],T_StockCount[RM_Code],$A59,T_StockCount[WeekIndex],68),IF((COUNTIFS(T_SelfStock[RM_Code],$A59,T_SelfStock[WeekIndex],68)&gt;0)*(COUNTIFS(T_TTAFStock[RM_Code],$A59,T_TTAFStock[WeekIndex],68)&gt;0)&gt;0,SUMIFS(T_SelfStock[Self_Qty],T_SelfStock[RM_Code],$A59,T_SelfStock[WeekIndex],68)+SUMIFS(T_TTAFStock[TTAF_Qty],T_TTAFStock[RM_Code],$A59,T_TTAFStock[WeekIndex],68),BP59+'Grid_Incoming'!BQ59-'Grid_Requirement'!BQ59))</f>
        <v/>
      </c>
      <c r="BR59">
        <f>IF(COUNTIFS(T_StockCount[RM_Code],$A59,T_StockCount[WeekIndex],69)&gt;0,SUMIFS(T_StockCount[CountedQty],T_StockCount[RM_Code],$A59,T_StockCount[WeekIndex],69),IF((COUNTIFS(T_SelfStock[RM_Code],$A59,T_SelfStock[WeekIndex],69)&gt;0)*(COUNTIFS(T_TTAFStock[RM_Code],$A59,T_TTAFStock[WeekIndex],69)&gt;0)&gt;0,SUMIFS(T_SelfStock[Self_Qty],T_SelfStock[RM_Code],$A59,T_SelfStock[WeekIndex],69)+SUMIFS(T_TTAFStock[TTAF_Qty],T_TTAFStock[RM_Code],$A59,T_TTAFStock[WeekIndex],69),BQ59+'Grid_Incoming'!BR59-'Grid_Requirement'!BR59))</f>
        <v/>
      </c>
      <c r="BS59">
        <f>IF(COUNTIFS(T_StockCount[RM_Code],$A59,T_StockCount[WeekIndex],70)&gt;0,SUMIFS(T_StockCount[CountedQty],T_StockCount[RM_Code],$A59,T_StockCount[WeekIndex],70),IF((COUNTIFS(T_SelfStock[RM_Code],$A59,T_SelfStock[WeekIndex],70)&gt;0)*(COUNTIFS(T_TTAFStock[RM_Code],$A59,T_TTAFStock[WeekIndex],70)&gt;0)&gt;0,SUMIFS(T_SelfStock[Self_Qty],T_SelfStock[RM_Code],$A59,T_SelfStock[WeekIndex],70)+SUMIFS(T_TTAFStock[TTAF_Qty],T_TTAFStock[RM_Code],$A59,T_TTAFStock[WeekIndex],70),BR59+'Grid_Incoming'!BS59-'Grid_Requirement'!BS59))</f>
        <v/>
      </c>
      <c r="BT59">
        <f>IF(COUNTIFS(T_StockCount[RM_Code],$A59,T_StockCount[WeekIndex],71)&gt;0,SUMIFS(T_StockCount[CountedQty],T_StockCount[RM_Code],$A59,T_StockCount[WeekIndex],71),IF((COUNTIFS(T_SelfStock[RM_Code],$A59,T_SelfStock[WeekIndex],71)&gt;0)*(COUNTIFS(T_TTAFStock[RM_Code],$A59,T_TTAFStock[WeekIndex],71)&gt;0)&gt;0,SUMIFS(T_SelfStock[Self_Qty],T_SelfStock[RM_Code],$A59,T_SelfStock[WeekIndex],71)+SUMIFS(T_TTAFStock[TTAF_Qty],T_TTAFStock[RM_Code],$A59,T_TTAFStock[WeekIndex],71),BS59+'Grid_Incoming'!BT59-'Grid_Requirement'!BT59))</f>
        <v/>
      </c>
      <c r="BU59">
        <f>IF(COUNTIFS(T_StockCount[RM_Code],$A59,T_StockCount[WeekIndex],72)&gt;0,SUMIFS(T_StockCount[CountedQty],T_StockCount[RM_Code],$A59,T_StockCount[WeekIndex],72),IF((COUNTIFS(T_SelfStock[RM_Code],$A59,T_SelfStock[WeekIndex],72)&gt;0)*(COUNTIFS(T_TTAFStock[RM_Code],$A59,T_TTAFStock[WeekIndex],72)&gt;0)&gt;0,SUMIFS(T_SelfStock[Self_Qty],T_SelfStock[RM_Code],$A59,T_SelfStock[WeekIndex],72)+SUMIFS(T_TTAFStock[TTAF_Qty],T_TTAFStock[RM_Code],$A59,T_TTAFStock[WeekIndex],72),BT59+'Grid_Incoming'!BU59-'Grid_Requirement'!BU59))</f>
        <v/>
      </c>
      <c r="BV59">
        <f>IF(COUNTIFS(T_StockCount[RM_Code],$A59,T_StockCount[WeekIndex],73)&gt;0,SUMIFS(T_StockCount[CountedQty],T_StockCount[RM_Code],$A59,T_StockCount[WeekIndex],73),IF((COUNTIFS(T_SelfStock[RM_Code],$A59,T_SelfStock[WeekIndex],73)&gt;0)*(COUNTIFS(T_TTAFStock[RM_Code],$A59,T_TTAFStock[WeekIndex],73)&gt;0)&gt;0,SUMIFS(T_SelfStock[Self_Qty],T_SelfStock[RM_Code],$A59,T_SelfStock[WeekIndex],73)+SUMIFS(T_TTAFStock[TTAF_Qty],T_TTAFStock[RM_Code],$A59,T_TTAFStock[WeekIndex],73),BU59+'Grid_Incoming'!BV59-'Grid_Requirement'!BV59))</f>
        <v/>
      </c>
      <c r="BW59">
        <f>IF(COUNTIFS(T_StockCount[RM_Code],$A59,T_StockCount[WeekIndex],74)&gt;0,SUMIFS(T_StockCount[CountedQty],T_StockCount[RM_Code],$A59,T_StockCount[WeekIndex],74),IF((COUNTIFS(T_SelfStock[RM_Code],$A59,T_SelfStock[WeekIndex],74)&gt;0)*(COUNTIFS(T_TTAFStock[RM_Code],$A59,T_TTAFStock[WeekIndex],74)&gt;0)&gt;0,SUMIFS(T_SelfStock[Self_Qty],T_SelfStock[RM_Code],$A59,T_SelfStock[WeekIndex],74)+SUMIFS(T_TTAFStock[TTAF_Qty],T_TTAFStock[RM_Code],$A59,T_TTAFStock[WeekIndex],74),BV59+'Grid_Incoming'!BW59-'Grid_Requirement'!BW59))</f>
        <v/>
      </c>
      <c r="BX59">
        <f>IF(COUNTIFS(T_StockCount[RM_Code],$A59,T_StockCount[WeekIndex],75)&gt;0,SUMIFS(T_StockCount[CountedQty],T_StockCount[RM_Code],$A59,T_StockCount[WeekIndex],75),IF((COUNTIFS(T_SelfStock[RM_Code],$A59,T_SelfStock[WeekIndex],75)&gt;0)*(COUNTIFS(T_TTAFStock[RM_Code],$A59,T_TTAFStock[WeekIndex],75)&gt;0)&gt;0,SUMIFS(T_SelfStock[Self_Qty],T_SelfStock[RM_Code],$A59,T_SelfStock[WeekIndex],75)+SUMIFS(T_TTAFStock[TTAF_Qty],T_TTAFStock[RM_Code],$A59,T_TTAFStock[WeekIndex],75),BW59+'Grid_Incoming'!BX59-'Grid_Requirement'!BX59))</f>
        <v/>
      </c>
      <c r="BY59">
        <f>IF(COUNTIFS(T_StockCount[RM_Code],$A59,T_StockCount[WeekIndex],76)&gt;0,SUMIFS(T_StockCount[CountedQty],T_StockCount[RM_Code],$A59,T_StockCount[WeekIndex],76),IF((COUNTIFS(T_SelfStock[RM_Code],$A59,T_SelfStock[WeekIndex],76)&gt;0)*(COUNTIFS(T_TTAFStock[RM_Code],$A59,T_TTAFStock[WeekIndex],76)&gt;0)&gt;0,SUMIFS(T_SelfStock[Self_Qty],T_SelfStock[RM_Code],$A59,T_SelfStock[WeekIndex],76)+SUMIFS(T_TTAFStock[TTAF_Qty],T_TTAFStock[RM_Code],$A59,T_TTAFStock[WeekIndex],76),BX59+'Grid_Incoming'!BY59-'Grid_Requirement'!BY59))</f>
        <v/>
      </c>
      <c r="BZ59">
        <f>IF(COUNTIFS(T_StockCount[RM_Code],$A59,T_StockCount[WeekIndex],77)&gt;0,SUMIFS(T_StockCount[CountedQty],T_StockCount[RM_Code],$A59,T_StockCount[WeekIndex],77),IF((COUNTIFS(T_SelfStock[RM_Code],$A59,T_SelfStock[WeekIndex],77)&gt;0)*(COUNTIFS(T_TTAFStock[RM_Code],$A59,T_TTAFStock[WeekIndex],77)&gt;0)&gt;0,SUMIFS(T_SelfStock[Self_Qty],T_SelfStock[RM_Code],$A59,T_SelfStock[WeekIndex],77)+SUMIFS(T_TTAFStock[TTAF_Qty],T_TTAFStock[RM_Code],$A59,T_TTAFStock[WeekIndex],77),BY59+'Grid_Incoming'!BZ59-'Grid_Requirement'!BZ59))</f>
        <v/>
      </c>
      <c r="CA59">
        <f>IF(COUNTIFS(T_StockCount[RM_Code],$A59,T_StockCount[WeekIndex],78)&gt;0,SUMIFS(T_StockCount[CountedQty],T_StockCount[RM_Code],$A59,T_StockCount[WeekIndex],78),IF((COUNTIFS(T_SelfStock[RM_Code],$A59,T_SelfStock[WeekIndex],78)&gt;0)*(COUNTIFS(T_TTAFStock[RM_Code],$A59,T_TTAFStock[WeekIndex],78)&gt;0)&gt;0,SUMIFS(T_SelfStock[Self_Qty],T_SelfStock[RM_Code],$A59,T_SelfStock[WeekIndex],78)+SUMIFS(T_TTAFStock[TTAF_Qty],T_TTAFStock[RM_Code],$A59,T_TTAFStock[WeekIndex],78),BZ59+'Grid_Incoming'!CA59-'Grid_Requirement'!CA59))</f>
        <v/>
      </c>
      <c r="CB59">
        <f>IF(COUNTIFS(T_StockCount[RM_Code],$A59,T_StockCount[WeekIndex],79)&gt;0,SUMIFS(T_StockCount[CountedQty],T_StockCount[RM_Code],$A59,T_StockCount[WeekIndex],79),IF((COUNTIFS(T_SelfStock[RM_Code],$A59,T_SelfStock[WeekIndex],79)&gt;0)*(COUNTIFS(T_TTAFStock[RM_Code],$A59,T_TTAFStock[WeekIndex],79)&gt;0)&gt;0,SUMIFS(T_SelfStock[Self_Qty],T_SelfStock[RM_Code],$A59,T_SelfStock[WeekIndex],79)+SUMIFS(T_TTAFStock[TTAF_Qty],T_TTAFStock[RM_Code],$A59,T_TTAFStock[WeekIndex],79),CA59+'Grid_Incoming'!CB59-'Grid_Requirement'!CB59))</f>
        <v/>
      </c>
      <c r="CC59">
        <f>IF(COUNTIFS(T_StockCount[RM_Code],$A59,T_StockCount[WeekIndex],80)&gt;0,SUMIFS(T_StockCount[CountedQty],T_StockCount[RM_Code],$A59,T_StockCount[WeekIndex],80),IF((COUNTIFS(T_SelfStock[RM_Code],$A59,T_SelfStock[WeekIndex],80)&gt;0)*(COUNTIFS(T_TTAFStock[RM_Code],$A59,T_TTAFStock[WeekIndex],80)&gt;0)&gt;0,SUMIFS(T_SelfStock[Self_Qty],T_SelfStock[RM_Code],$A59,T_SelfStock[WeekIndex],80)+SUMIFS(T_TTAFStock[TTAF_Qty],T_TTAFStock[RM_Code],$A59,T_TTAFStock[WeekIndex],80),CB59+'Grid_Incoming'!CC59-'Grid_Requirement'!CC59))</f>
        <v/>
      </c>
      <c r="CD59">
        <f>IF(COUNTIFS(T_StockCount[RM_Code],$A59,T_StockCount[WeekIndex],81)&gt;0,SUMIFS(T_StockCount[CountedQty],T_StockCount[RM_Code],$A59,T_StockCount[WeekIndex],81),IF((COUNTIFS(T_SelfStock[RM_Code],$A59,T_SelfStock[WeekIndex],81)&gt;0)*(COUNTIFS(T_TTAFStock[RM_Code],$A59,T_TTAFStock[WeekIndex],81)&gt;0)&gt;0,SUMIFS(T_SelfStock[Self_Qty],T_SelfStock[RM_Code],$A59,T_SelfStock[WeekIndex],81)+SUMIFS(T_TTAFStock[TTAF_Qty],T_TTAFStock[RM_Code],$A59,T_TTAFStock[WeekIndex],81),CC59+'Grid_Incoming'!CD59-'Grid_Requirement'!CD59))</f>
        <v/>
      </c>
      <c r="CE59">
        <f>IF(COUNTIFS(T_StockCount[RM_Code],$A59,T_StockCount[WeekIndex],82)&gt;0,SUMIFS(T_StockCount[CountedQty],T_StockCount[RM_Code],$A59,T_StockCount[WeekIndex],82),IF((COUNTIFS(T_SelfStock[RM_Code],$A59,T_SelfStock[WeekIndex],82)&gt;0)*(COUNTIFS(T_TTAFStock[RM_Code],$A59,T_TTAFStock[WeekIndex],82)&gt;0)&gt;0,SUMIFS(T_SelfStock[Self_Qty],T_SelfStock[RM_Code],$A59,T_SelfStock[WeekIndex],82)+SUMIFS(T_TTAFStock[TTAF_Qty],T_TTAFStock[RM_Code],$A59,T_TTAFStock[WeekIndex],82),CD59+'Grid_Incoming'!CE59-'Grid_Requirement'!CE59))</f>
        <v/>
      </c>
      <c r="CF59">
        <f>IF(COUNTIFS(T_StockCount[RM_Code],$A59,T_StockCount[WeekIndex],83)&gt;0,SUMIFS(T_StockCount[CountedQty],T_StockCount[RM_Code],$A59,T_StockCount[WeekIndex],83),IF((COUNTIFS(T_SelfStock[RM_Code],$A59,T_SelfStock[WeekIndex],83)&gt;0)*(COUNTIFS(T_TTAFStock[RM_Code],$A59,T_TTAFStock[WeekIndex],83)&gt;0)&gt;0,SUMIFS(T_SelfStock[Self_Qty],T_SelfStock[RM_Code],$A59,T_SelfStock[WeekIndex],83)+SUMIFS(T_TTAFStock[TTAF_Qty],T_TTAFStock[RM_Code],$A59,T_TTAFStock[WeekIndex],83),CE59+'Grid_Incoming'!CF59-'Grid_Requirement'!CF59))</f>
        <v/>
      </c>
      <c r="CG59">
        <f>IF(COUNTIFS(T_StockCount[RM_Code],$A59,T_StockCount[WeekIndex],84)&gt;0,SUMIFS(T_StockCount[CountedQty],T_StockCount[RM_Code],$A59,T_StockCount[WeekIndex],84),IF((COUNTIFS(T_SelfStock[RM_Code],$A59,T_SelfStock[WeekIndex],84)&gt;0)*(COUNTIFS(T_TTAFStock[RM_Code],$A59,T_TTAFStock[WeekIndex],84)&gt;0)&gt;0,SUMIFS(T_SelfStock[Self_Qty],T_SelfStock[RM_Code],$A59,T_SelfStock[WeekIndex],84)+SUMIFS(T_TTAFStock[TTAF_Qty],T_TTAFStock[RM_Code],$A59,T_TTAFStock[WeekIndex],84),CF59+'Grid_Incoming'!CG59-'Grid_Requirement'!CG59))</f>
        <v/>
      </c>
      <c r="CH59">
        <f>IF(COUNTIFS(T_StockCount[RM_Code],$A59,T_StockCount[WeekIndex],85)&gt;0,SUMIFS(T_StockCount[CountedQty],T_StockCount[RM_Code],$A59,T_StockCount[WeekIndex],85),IF((COUNTIFS(T_SelfStock[RM_Code],$A59,T_SelfStock[WeekIndex],85)&gt;0)*(COUNTIFS(T_TTAFStock[RM_Code],$A59,T_TTAFStock[WeekIndex],85)&gt;0)&gt;0,SUMIFS(T_SelfStock[Self_Qty],T_SelfStock[RM_Code],$A59,T_SelfStock[WeekIndex],85)+SUMIFS(T_TTAFStock[TTAF_Qty],T_TTAFStock[RM_Code],$A59,T_TTAFStock[WeekIndex],85),CG59+'Grid_Incoming'!CH59-'Grid_Requirement'!CH59))</f>
        <v/>
      </c>
      <c r="CI59">
        <f>IF(COUNTIFS(T_StockCount[RM_Code],$A59,T_StockCount[WeekIndex],86)&gt;0,SUMIFS(T_StockCount[CountedQty],T_StockCount[RM_Code],$A59,T_StockCount[WeekIndex],86),IF((COUNTIFS(T_SelfStock[RM_Code],$A59,T_SelfStock[WeekIndex],86)&gt;0)*(COUNTIFS(T_TTAFStock[RM_Code],$A59,T_TTAFStock[WeekIndex],86)&gt;0)&gt;0,SUMIFS(T_SelfStock[Self_Qty],T_SelfStock[RM_Code],$A59,T_SelfStock[WeekIndex],86)+SUMIFS(T_TTAFStock[TTAF_Qty],T_TTAFStock[RM_Code],$A59,T_TTAFStock[WeekIndex],86),CH59+'Grid_Incoming'!CI59-'Grid_Requirement'!CI59))</f>
        <v/>
      </c>
      <c r="CJ59">
        <f>IF(COUNTIFS(T_StockCount[RM_Code],$A59,T_StockCount[WeekIndex],87)&gt;0,SUMIFS(T_StockCount[CountedQty],T_StockCount[RM_Code],$A59,T_StockCount[WeekIndex],87),IF((COUNTIFS(T_SelfStock[RM_Code],$A59,T_SelfStock[WeekIndex],87)&gt;0)*(COUNTIFS(T_TTAFStock[RM_Code],$A59,T_TTAFStock[WeekIndex],87)&gt;0)&gt;0,SUMIFS(T_SelfStock[Self_Qty],T_SelfStock[RM_Code],$A59,T_SelfStock[WeekIndex],87)+SUMIFS(T_TTAFStock[TTAF_Qty],T_TTAFStock[RM_Code],$A59,T_TTAFStock[WeekIndex],87),CI59+'Grid_Incoming'!CJ59-'Grid_Requirement'!CJ59))</f>
        <v/>
      </c>
      <c r="CK59">
        <f>IF(COUNTIFS(T_StockCount[RM_Code],$A59,T_StockCount[WeekIndex],88)&gt;0,SUMIFS(T_StockCount[CountedQty],T_StockCount[RM_Code],$A59,T_StockCount[WeekIndex],88),IF((COUNTIFS(T_SelfStock[RM_Code],$A59,T_SelfStock[WeekIndex],88)&gt;0)*(COUNTIFS(T_TTAFStock[RM_Code],$A59,T_TTAFStock[WeekIndex],88)&gt;0)&gt;0,SUMIFS(T_SelfStock[Self_Qty],T_SelfStock[RM_Code],$A59,T_SelfStock[WeekIndex],88)+SUMIFS(T_TTAFStock[TTAF_Qty],T_TTAFStock[RM_Code],$A59,T_TTAFStock[WeekIndex],88),CJ59+'Grid_Incoming'!CK59-'Grid_Requirement'!CK59))</f>
        <v/>
      </c>
      <c r="CL59">
        <f>IF(COUNTIFS(T_StockCount[RM_Code],$A59,T_StockCount[WeekIndex],89)&gt;0,SUMIFS(T_StockCount[CountedQty],T_StockCount[RM_Code],$A59,T_StockCount[WeekIndex],89),IF((COUNTIFS(T_SelfStock[RM_Code],$A59,T_SelfStock[WeekIndex],89)&gt;0)*(COUNTIFS(T_TTAFStock[RM_Code],$A59,T_TTAFStock[WeekIndex],89)&gt;0)&gt;0,SUMIFS(T_SelfStock[Self_Qty],T_SelfStock[RM_Code],$A59,T_SelfStock[WeekIndex],89)+SUMIFS(T_TTAFStock[TTAF_Qty],T_TTAFStock[RM_Code],$A59,T_TTAFStock[WeekIndex],89),CK59+'Grid_Incoming'!CL59-'Grid_Requirement'!CL59))</f>
        <v/>
      </c>
      <c r="CM59">
        <f>IF(COUNTIFS(T_StockCount[RM_Code],$A59,T_StockCount[WeekIndex],90)&gt;0,SUMIFS(T_StockCount[CountedQty],T_StockCount[RM_Code],$A59,T_StockCount[WeekIndex],90),IF((COUNTIFS(T_SelfStock[RM_Code],$A59,T_SelfStock[WeekIndex],90)&gt;0)*(COUNTIFS(T_TTAFStock[RM_Code],$A59,T_TTAFStock[WeekIndex],90)&gt;0)&gt;0,SUMIFS(T_SelfStock[Self_Qty],T_SelfStock[RM_Code],$A59,T_SelfStock[WeekIndex],90)+SUMIFS(T_TTAFStock[TTAF_Qty],T_TTAFStock[RM_Code],$A59,T_TTAFStock[WeekIndex],90),CL59+'Grid_Incoming'!CM59-'Grid_Requirement'!CM59))</f>
        <v/>
      </c>
      <c r="CN59">
        <f>IF(COUNTIFS(T_StockCount[RM_Code],$A59,T_StockCount[WeekIndex],91)&gt;0,SUMIFS(T_StockCount[CountedQty],T_StockCount[RM_Code],$A59,T_StockCount[WeekIndex],91),IF((COUNTIFS(T_SelfStock[RM_Code],$A59,T_SelfStock[WeekIndex],91)&gt;0)*(COUNTIFS(T_TTAFStock[RM_Code],$A59,T_TTAFStock[WeekIndex],91)&gt;0)&gt;0,SUMIFS(T_SelfStock[Self_Qty],T_SelfStock[RM_Code],$A59,T_SelfStock[WeekIndex],91)+SUMIFS(T_TTAFStock[TTAF_Qty],T_TTAFStock[RM_Code],$A59,T_TTAFStock[WeekIndex],91),CM59+'Grid_Incoming'!CN59-'Grid_Requirement'!CN59))</f>
        <v/>
      </c>
      <c r="CO59">
        <f>IF(COUNTIFS(T_StockCount[RM_Code],$A59,T_StockCount[WeekIndex],92)&gt;0,SUMIFS(T_StockCount[CountedQty],T_StockCount[RM_Code],$A59,T_StockCount[WeekIndex],92),IF((COUNTIFS(T_SelfStock[RM_Code],$A59,T_SelfStock[WeekIndex],92)&gt;0)*(COUNTIFS(T_TTAFStock[RM_Code],$A59,T_TTAFStock[WeekIndex],92)&gt;0)&gt;0,SUMIFS(T_SelfStock[Self_Qty],T_SelfStock[RM_Code],$A59,T_SelfStock[WeekIndex],92)+SUMIFS(T_TTAFStock[TTAF_Qty],T_TTAFStock[RM_Code],$A59,T_TTAFStock[WeekIndex],92),CN59+'Grid_Incoming'!CO59-'Grid_Requirement'!CO59))</f>
        <v/>
      </c>
      <c r="CP59">
        <f>IF(COUNTIFS(T_StockCount[RM_Code],$A59,T_StockCount[WeekIndex],93)&gt;0,SUMIFS(T_StockCount[CountedQty],T_StockCount[RM_Code],$A59,T_StockCount[WeekIndex],93),IF((COUNTIFS(T_SelfStock[RM_Code],$A59,T_SelfStock[WeekIndex],93)&gt;0)*(COUNTIFS(T_TTAFStock[RM_Code],$A59,T_TTAFStock[WeekIndex],93)&gt;0)&gt;0,SUMIFS(T_SelfStock[Self_Qty],T_SelfStock[RM_Code],$A59,T_SelfStock[WeekIndex],93)+SUMIFS(T_TTAFStock[TTAF_Qty],T_TTAFStock[RM_Code],$A59,T_TTAFStock[WeekIndex],93),CO59+'Grid_Incoming'!CP59-'Grid_Requirement'!CP59))</f>
        <v/>
      </c>
      <c r="CQ59">
        <f>IF(COUNTIFS(T_StockCount[RM_Code],$A59,T_StockCount[WeekIndex],94)&gt;0,SUMIFS(T_StockCount[CountedQty],T_StockCount[RM_Code],$A59,T_StockCount[WeekIndex],94),IF((COUNTIFS(T_SelfStock[RM_Code],$A59,T_SelfStock[WeekIndex],94)&gt;0)*(COUNTIFS(T_TTAFStock[RM_Code],$A59,T_TTAFStock[WeekIndex],94)&gt;0)&gt;0,SUMIFS(T_SelfStock[Self_Qty],T_SelfStock[RM_Code],$A59,T_SelfStock[WeekIndex],94)+SUMIFS(T_TTAFStock[TTAF_Qty],T_TTAFStock[RM_Code],$A59,T_TTAFStock[WeekIndex],94),CP59+'Grid_Incoming'!CQ59-'Grid_Requirement'!CQ59))</f>
        <v/>
      </c>
      <c r="CR59">
        <f>IF(COUNTIFS(T_StockCount[RM_Code],$A59,T_StockCount[WeekIndex],95)&gt;0,SUMIFS(T_StockCount[CountedQty],T_StockCount[RM_Code],$A59,T_StockCount[WeekIndex],95),IF((COUNTIFS(T_SelfStock[RM_Code],$A59,T_SelfStock[WeekIndex],95)&gt;0)*(COUNTIFS(T_TTAFStock[RM_Code],$A59,T_TTAFStock[WeekIndex],95)&gt;0)&gt;0,SUMIFS(T_SelfStock[Self_Qty],T_SelfStock[RM_Code],$A59,T_SelfStock[WeekIndex],95)+SUMIFS(T_TTAFStock[TTAF_Qty],T_TTAFStock[RM_Code],$A59,T_TTAFStock[WeekIndex],95),CQ59+'Grid_Incoming'!CR59-'Grid_Requirement'!CR59))</f>
        <v/>
      </c>
      <c r="CS59">
        <f>IF(COUNTIFS(T_StockCount[RM_Code],$A59,T_StockCount[WeekIndex],96)&gt;0,SUMIFS(T_StockCount[CountedQty],T_StockCount[RM_Code],$A59,T_StockCount[WeekIndex],96),IF((COUNTIFS(T_SelfStock[RM_Code],$A59,T_SelfStock[WeekIndex],96)&gt;0)*(COUNTIFS(T_TTAFStock[RM_Code],$A59,T_TTAFStock[WeekIndex],96)&gt;0)&gt;0,SUMIFS(T_SelfStock[Self_Qty],T_SelfStock[RM_Code],$A59,T_SelfStock[WeekIndex],96)+SUMIFS(T_TTAFStock[TTAF_Qty],T_TTAFStock[RM_Code],$A59,T_TTAFStock[WeekIndex],96),CR59+'Grid_Incoming'!CS59-'Grid_Requirement'!CS59))</f>
        <v/>
      </c>
      <c r="CT59">
        <f>IF(COUNTIFS(T_StockCount[RM_Code],$A59,T_StockCount[WeekIndex],97)&gt;0,SUMIFS(T_StockCount[CountedQty],T_StockCount[RM_Code],$A59,T_StockCount[WeekIndex],97),IF((COUNTIFS(T_SelfStock[RM_Code],$A59,T_SelfStock[WeekIndex],97)&gt;0)*(COUNTIFS(T_TTAFStock[RM_Code],$A59,T_TTAFStock[WeekIndex],97)&gt;0)&gt;0,SUMIFS(T_SelfStock[Self_Qty],T_SelfStock[RM_Code],$A59,T_SelfStock[WeekIndex],97)+SUMIFS(T_TTAFStock[TTAF_Qty],T_TTAFStock[RM_Code],$A59,T_TTAFStock[WeekIndex],97),CS59+'Grid_Incoming'!CT59-'Grid_Requirement'!CT59))</f>
        <v/>
      </c>
      <c r="CU59">
        <f>IF(COUNTIFS(T_StockCount[RM_Code],$A59,T_StockCount[WeekIndex],98)&gt;0,SUMIFS(T_StockCount[CountedQty],T_StockCount[RM_Code],$A59,T_StockCount[WeekIndex],98),IF((COUNTIFS(T_SelfStock[RM_Code],$A59,T_SelfStock[WeekIndex],98)&gt;0)*(COUNTIFS(T_TTAFStock[RM_Code],$A59,T_TTAFStock[WeekIndex],98)&gt;0)&gt;0,SUMIFS(T_SelfStock[Self_Qty],T_SelfStock[RM_Code],$A59,T_SelfStock[WeekIndex],98)+SUMIFS(T_TTAFStock[TTAF_Qty],T_TTAFStock[RM_Code],$A59,T_TTAFStock[WeekIndex],98),CT59+'Grid_Incoming'!CU59-'Grid_Requirement'!CU59))</f>
        <v/>
      </c>
      <c r="CV59">
        <f>IF(COUNTIFS(T_StockCount[RM_Code],$A59,T_StockCount[WeekIndex],99)&gt;0,SUMIFS(T_StockCount[CountedQty],T_StockCount[RM_Code],$A59,T_StockCount[WeekIndex],99),IF((COUNTIFS(T_SelfStock[RM_Code],$A59,T_SelfStock[WeekIndex],99)&gt;0)*(COUNTIFS(T_TTAFStock[RM_Code],$A59,T_TTAFStock[WeekIndex],99)&gt;0)&gt;0,SUMIFS(T_SelfStock[Self_Qty],T_SelfStock[RM_Code],$A59,T_SelfStock[WeekIndex],99)+SUMIFS(T_TTAFStock[TTAF_Qty],T_TTAFStock[RM_Code],$A59,T_TTAFStock[WeekIndex],99),CU59+'Grid_Incoming'!CV59-'Grid_Requirement'!CV59))</f>
        <v/>
      </c>
      <c r="CW59">
        <f>IF(COUNTIFS(T_StockCount[RM_Code],$A59,T_StockCount[WeekIndex],100)&gt;0,SUMIFS(T_StockCount[CountedQty],T_StockCount[RM_Code],$A59,T_StockCount[WeekIndex],100),IF((COUNTIFS(T_SelfStock[RM_Code],$A59,T_SelfStock[WeekIndex],100)&gt;0)*(COUNTIFS(T_TTAFStock[RM_Code],$A59,T_TTAFStock[WeekIndex],100)&gt;0)&gt;0,SUMIFS(T_SelfStock[Self_Qty],T_SelfStock[RM_Code],$A59,T_SelfStock[WeekIndex],100)+SUMIFS(T_TTAFStock[TTAF_Qty],T_TTAFStock[RM_Code],$A59,T_TTAFStock[WeekIndex],100),CV59+'Grid_Incoming'!CW59-'Grid_Requirement'!CW59))</f>
        <v/>
      </c>
      <c r="CX59">
        <f>IF(COUNTIFS(T_StockCount[RM_Code],$A59,T_StockCount[WeekIndex],101)&gt;0,SUMIFS(T_StockCount[CountedQty],T_StockCount[RM_Code],$A59,T_StockCount[WeekIndex],101),IF((COUNTIFS(T_SelfStock[RM_Code],$A59,T_SelfStock[WeekIndex],101)&gt;0)*(COUNTIFS(T_TTAFStock[RM_Code],$A59,T_TTAFStock[WeekIndex],101)&gt;0)&gt;0,SUMIFS(T_SelfStock[Self_Qty],T_SelfStock[RM_Code],$A59,T_SelfStock[WeekIndex],101)+SUMIFS(T_TTAFStock[TTAF_Qty],T_TTAFStock[RM_Code],$A59,T_TTAFStock[WeekIndex],101),CW59+'Grid_Incoming'!CX59-'Grid_Requirement'!CX59))</f>
        <v/>
      </c>
      <c r="CY59">
        <f>IF(COUNTIFS(T_StockCount[RM_Code],$A59,T_StockCount[WeekIndex],102)&gt;0,SUMIFS(T_StockCount[CountedQty],T_StockCount[RM_Code],$A59,T_StockCount[WeekIndex],102),IF((COUNTIFS(T_SelfStock[RM_Code],$A59,T_SelfStock[WeekIndex],102)&gt;0)*(COUNTIFS(T_TTAFStock[RM_Code],$A59,T_TTAFStock[WeekIndex],102)&gt;0)&gt;0,SUMIFS(T_SelfStock[Self_Qty],T_SelfStock[RM_Code],$A59,T_SelfStock[WeekIndex],102)+SUMIFS(T_TTAFStock[TTAF_Qty],T_TTAFStock[RM_Code],$A59,T_TTAFStock[WeekIndex],102),CX59+'Grid_Incoming'!CY59-'Grid_Requirement'!CY59))</f>
        <v/>
      </c>
      <c r="CZ59">
        <f>IF(COUNTIFS(T_StockCount[RM_Code],$A59,T_StockCount[WeekIndex],103)&gt;0,SUMIFS(T_StockCount[CountedQty],T_StockCount[RM_Code],$A59,T_StockCount[WeekIndex],103),IF((COUNTIFS(T_SelfStock[RM_Code],$A59,T_SelfStock[WeekIndex],103)&gt;0)*(COUNTIFS(T_TTAFStock[RM_Code],$A59,T_TTAFStock[WeekIndex],103)&gt;0)&gt;0,SUMIFS(T_SelfStock[Self_Qty],T_SelfStock[RM_Code],$A59,T_SelfStock[WeekIndex],103)+SUMIFS(T_TTAFStock[TTAF_Qty],T_TTAFStock[RM_Code],$A59,T_TTAFStock[WeekIndex],103),CY59+'Grid_Incoming'!CZ59-'Grid_Requirement'!CZ59))</f>
        <v/>
      </c>
      <c r="DA59">
        <f>IF(COUNTIFS(T_StockCount[RM_Code],$A59,T_StockCount[WeekIndex],104)&gt;0,SUMIFS(T_StockCount[CountedQty],T_StockCount[RM_Code],$A59,T_StockCount[WeekIndex],104),IF((COUNTIFS(T_SelfStock[RM_Code],$A59,T_SelfStock[WeekIndex],104)&gt;0)*(COUNTIFS(T_TTAFStock[RM_Code],$A59,T_TTAFStock[WeekIndex],104)&gt;0)&gt;0,SUMIFS(T_SelfStock[Self_Qty],T_SelfStock[RM_Code],$A59,T_SelfStock[WeekIndex],104)+SUMIFS(T_TTAFStock[TTAF_Qty],T_TTAFStock[RM_Code],$A59,T_TTAFStock[WeekIndex],104),CZ59+'Grid_Incoming'!DA59-'Grid_Requirement'!DA59))</f>
        <v/>
      </c>
    </row>
    <row r="60">
      <c r="A60" t="inlineStr">
        <is>
          <t>CHEM-1020</t>
        </is>
      </c>
      <c r="B60">
        <f>IF(COUNTIFS(T_StockCount[RM_Code],$A60,T_StockCount[WeekIndex],1)&gt;0,SUMIFS(T_StockCount[CountedQty],T_StockCount[RM_Code],$A60,T_StockCount[WeekIndex],1),IF((COUNTIFS(T_SelfStock[RM_Code],$A60,T_SelfStock[WeekIndex],1)&gt;0)*(COUNTIFS(T_TTAFStock[RM_Code],$A60,T_TTAFStock[WeekIndex],1)&gt;0)&gt;0,SUMIFS(T_SelfStock[Self_Qty],T_SelfStock[RM_Code],$A60,T_SelfStock[WeekIndex],1)+SUMIFS(T_TTAFStock[TTAF_Qty],T_TTAFStock[RM_Code],$A60,T_TTAFStock[WeekIndex],1),IFERROR(INDEX(T_OpeningStock[Opening_Qty],MATCH($A60,T_OpeningStock[RM_Code],0)),0)+'Grid_Incoming'!B60-'Grid_Requirement'!B60))</f>
        <v/>
      </c>
      <c r="C60">
        <f>IF(COUNTIFS(T_StockCount[RM_Code],$A60,T_StockCount[WeekIndex],2)&gt;0,SUMIFS(T_StockCount[CountedQty],T_StockCount[RM_Code],$A60,T_StockCount[WeekIndex],2),IF((COUNTIFS(T_SelfStock[RM_Code],$A60,T_SelfStock[WeekIndex],2)&gt;0)*(COUNTIFS(T_TTAFStock[RM_Code],$A60,T_TTAFStock[WeekIndex],2)&gt;0)&gt;0,SUMIFS(T_SelfStock[Self_Qty],T_SelfStock[RM_Code],$A60,T_SelfStock[WeekIndex],2)+SUMIFS(T_TTAFStock[TTAF_Qty],T_TTAFStock[RM_Code],$A60,T_TTAFStock[WeekIndex],2),B60+'Grid_Incoming'!C60-'Grid_Requirement'!C60))</f>
        <v/>
      </c>
      <c r="D60">
        <f>IF(COUNTIFS(T_StockCount[RM_Code],$A60,T_StockCount[WeekIndex],3)&gt;0,SUMIFS(T_StockCount[CountedQty],T_StockCount[RM_Code],$A60,T_StockCount[WeekIndex],3),IF((COUNTIFS(T_SelfStock[RM_Code],$A60,T_SelfStock[WeekIndex],3)&gt;0)*(COUNTIFS(T_TTAFStock[RM_Code],$A60,T_TTAFStock[WeekIndex],3)&gt;0)&gt;0,SUMIFS(T_SelfStock[Self_Qty],T_SelfStock[RM_Code],$A60,T_SelfStock[WeekIndex],3)+SUMIFS(T_TTAFStock[TTAF_Qty],T_TTAFStock[RM_Code],$A60,T_TTAFStock[WeekIndex],3),C60+'Grid_Incoming'!D60-'Grid_Requirement'!D60))</f>
        <v/>
      </c>
      <c r="E60">
        <f>IF(COUNTIFS(T_StockCount[RM_Code],$A60,T_StockCount[WeekIndex],4)&gt;0,SUMIFS(T_StockCount[CountedQty],T_StockCount[RM_Code],$A60,T_StockCount[WeekIndex],4),IF((COUNTIFS(T_SelfStock[RM_Code],$A60,T_SelfStock[WeekIndex],4)&gt;0)*(COUNTIFS(T_TTAFStock[RM_Code],$A60,T_TTAFStock[WeekIndex],4)&gt;0)&gt;0,SUMIFS(T_SelfStock[Self_Qty],T_SelfStock[RM_Code],$A60,T_SelfStock[WeekIndex],4)+SUMIFS(T_TTAFStock[TTAF_Qty],T_TTAFStock[RM_Code],$A60,T_TTAFStock[WeekIndex],4),D60+'Grid_Incoming'!E60-'Grid_Requirement'!E60))</f>
        <v/>
      </c>
      <c r="F60">
        <f>IF(COUNTIFS(T_StockCount[RM_Code],$A60,T_StockCount[WeekIndex],5)&gt;0,SUMIFS(T_StockCount[CountedQty],T_StockCount[RM_Code],$A60,T_StockCount[WeekIndex],5),IF((COUNTIFS(T_SelfStock[RM_Code],$A60,T_SelfStock[WeekIndex],5)&gt;0)*(COUNTIFS(T_TTAFStock[RM_Code],$A60,T_TTAFStock[WeekIndex],5)&gt;0)&gt;0,SUMIFS(T_SelfStock[Self_Qty],T_SelfStock[RM_Code],$A60,T_SelfStock[WeekIndex],5)+SUMIFS(T_TTAFStock[TTAF_Qty],T_TTAFStock[RM_Code],$A60,T_TTAFStock[WeekIndex],5),E60+'Grid_Incoming'!F60-'Grid_Requirement'!F60))</f>
        <v/>
      </c>
      <c r="G60">
        <f>IF(COUNTIFS(T_StockCount[RM_Code],$A60,T_StockCount[WeekIndex],6)&gt;0,SUMIFS(T_StockCount[CountedQty],T_StockCount[RM_Code],$A60,T_StockCount[WeekIndex],6),IF((COUNTIFS(T_SelfStock[RM_Code],$A60,T_SelfStock[WeekIndex],6)&gt;0)*(COUNTIFS(T_TTAFStock[RM_Code],$A60,T_TTAFStock[WeekIndex],6)&gt;0)&gt;0,SUMIFS(T_SelfStock[Self_Qty],T_SelfStock[RM_Code],$A60,T_SelfStock[WeekIndex],6)+SUMIFS(T_TTAFStock[TTAF_Qty],T_TTAFStock[RM_Code],$A60,T_TTAFStock[WeekIndex],6),F60+'Grid_Incoming'!G60-'Grid_Requirement'!G60))</f>
        <v/>
      </c>
      <c r="H60">
        <f>IF(COUNTIFS(T_StockCount[RM_Code],$A60,T_StockCount[WeekIndex],7)&gt;0,SUMIFS(T_StockCount[CountedQty],T_StockCount[RM_Code],$A60,T_StockCount[WeekIndex],7),IF((COUNTIFS(T_SelfStock[RM_Code],$A60,T_SelfStock[WeekIndex],7)&gt;0)*(COUNTIFS(T_TTAFStock[RM_Code],$A60,T_TTAFStock[WeekIndex],7)&gt;0)&gt;0,SUMIFS(T_SelfStock[Self_Qty],T_SelfStock[RM_Code],$A60,T_SelfStock[WeekIndex],7)+SUMIFS(T_TTAFStock[TTAF_Qty],T_TTAFStock[RM_Code],$A60,T_TTAFStock[WeekIndex],7),G60+'Grid_Incoming'!H60-'Grid_Requirement'!H60))</f>
        <v/>
      </c>
      <c r="I60">
        <f>IF(COUNTIFS(T_StockCount[RM_Code],$A60,T_StockCount[WeekIndex],8)&gt;0,SUMIFS(T_StockCount[CountedQty],T_StockCount[RM_Code],$A60,T_StockCount[WeekIndex],8),IF((COUNTIFS(T_SelfStock[RM_Code],$A60,T_SelfStock[WeekIndex],8)&gt;0)*(COUNTIFS(T_TTAFStock[RM_Code],$A60,T_TTAFStock[WeekIndex],8)&gt;0)&gt;0,SUMIFS(T_SelfStock[Self_Qty],T_SelfStock[RM_Code],$A60,T_SelfStock[WeekIndex],8)+SUMIFS(T_TTAFStock[TTAF_Qty],T_TTAFStock[RM_Code],$A60,T_TTAFStock[WeekIndex],8),H60+'Grid_Incoming'!I60-'Grid_Requirement'!I60))</f>
        <v/>
      </c>
      <c r="J60">
        <f>IF(COUNTIFS(T_StockCount[RM_Code],$A60,T_StockCount[WeekIndex],9)&gt;0,SUMIFS(T_StockCount[CountedQty],T_StockCount[RM_Code],$A60,T_StockCount[WeekIndex],9),IF((COUNTIFS(T_SelfStock[RM_Code],$A60,T_SelfStock[WeekIndex],9)&gt;0)*(COUNTIFS(T_TTAFStock[RM_Code],$A60,T_TTAFStock[WeekIndex],9)&gt;0)&gt;0,SUMIFS(T_SelfStock[Self_Qty],T_SelfStock[RM_Code],$A60,T_SelfStock[WeekIndex],9)+SUMIFS(T_TTAFStock[TTAF_Qty],T_TTAFStock[RM_Code],$A60,T_TTAFStock[WeekIndex],9),I60+'Grid_Incoming'!J60-'Grid_Requirement'!J60))</f>
        <v/>
      </c>
      <c r="K60">
        <f>IF(COUNTIFS(T_StockCount[RM_Code],$A60,T_StockCount[WeekIndex],10)&gt;0,SUMIFS(T_StockCount[CountedQty],T_StockCount[RM_Code],$A60,T_StockCount[WeekIndex],10),IF((COUNTIFS(T_SelfStock[RM_Code],$A60,T_SelfStock[WeekIndex],10)&gt;0)*(COUNTIFS(T_TTAFStock[RM_Code],$A60,T_TTAFStock[WeekIndex],10)&gt;0)&gt;0,SUMIFS(T_SelfStock[Self_Qty],T_SelfStock[RM_Code],$A60,T_SelfStock[WeekIndex],10)+SUMIFS(T_TTAFStock[TTAF_Qty],T_TTAFStock[RM_Code],$A60,T_TTAFStock[WeekIndex],10),J60+'Grid_Incoming'!K60-'Grid_Requirement'!K60))</f>
        <v/>
      </c>
      <c r="L60">
        <f>IF(COUNTIFS(T_StockCount[RM_Code],$A60,T_StockCount[WeekIndex],11)&gt;0,SUMIFS(T_StockCount[CountedQty],T_StockCount[RM_Code],$A60,T_StockCount[WeekIndex],11),IF((COUNTIFS(T_SelfStock[RM_Code],$A60,T_SelfStock[WeekIndex],11)&gt;0)*(COUNTIFS(T_TTAFStock[RM_Code],$A60,T_TTAFStock[WeekIndex],11)&gt;0)&gt;0,SUMIFS(T_SelfStock[Self_Qty],T_SelfStock[RM_Code],$A60,T_SelfStock[WeekIndex],11)+SUMIFS(T_TTAFStock[TTAF_Qty],T_TTAFStock[RM_Code],$A60,T_TTAFStock[WeekIndex],11),K60+'Grid_Incoming'!L60-'Grid_Requirement'!L60))</f>
        <v/>
      </c>
      <c r="M60">
        <f>IF(COUNTIFS(T_StockCount[RM_Code],$A60,T_StockCount[WeekIndex],12)&gt;0,SUMIFS(T_StockCount[CountedQty],T_StockCount[RM_Code],$A60,T_StockCount[WeekIndex],12),IF((COUNTIFS(T_SelfStock[RM_Code],$A60,T_SelfStock[WeekIndex],12)&gt;0)*(COUNTIFS(T_TTAFStock[RM_Code],$A60,T_TTAFStock[WeekIndex],12)&gt;0)&gt;0,SUMIFS(T_SelfStock[Self_Qty],T_SelfStock[RM_Code],$A60,T_SelfStock[WeekIndex],12)+SUMIFS(T_TTAFStock[TTAF_Qty],T_TTAFStock[RM_Code],$A60,T_TTAFStock[WeekIndex],12),L60+'Grid_Incoming'!M60-'Grid_Requirement'!M60))</f>
        <v/>
      </c>
      <c r="N60">
        <f>IF(COUNTIFS(T_StockCount[RM_Code],$A60,T_StockCount[WeekIndex],13)&gt;0,SUMIFS(T_StockCount[CountedQty],T_StockCount[RM_Code],$A60,T_StockCount[WeekIndex],13),IF((COUNTIFS(T_SelfStock[RM_Code],$A60,T_SelfStock[WeekIndex],13)&gt;0)*(COUNTIFS(T_TTAFStock[RM_Code],$A60,T_TTAFStock[WeekIndex],13)&gt;0)&gt;0,SUMIFS(T_SelfStock[Self_Qty],T_SelfStock[RM_Code],$A60,T_SelfStock[WeekIndex],13)+SUMIFS(T_TTAFStock[TTAF_Qty],T_TTAFStock[RM_Code],$A60,T_TTAFStock[WeekIndex],13),M60+'Grid_Incoming'!N60-'Grid_Requirement'!N60))</f>
        <v/>
      </c>
      <c r="O60">
        <f>IF(COUNTIFS(T_StockCount[RM_Code],$A60,T_StockCount[WeekIndex],14)&gt;0,SUMIFS(T_StockCount[CountedQty],T_StockCount[RM_Code],$A60,T_StockCount[WeekIndex],14),IF((COUNTIFS(T_SelfStock[RM_Code],$A60,T_SelfStock[WeekIndex],14)&gt;0)*(COUNTIFS(T_TTAFStock[RM_Code],$A60,T_TTAFStock[WeekIndex],14)&gt;0)&gt;0,SUMIFS(T_SelfStock[Self_Qty],T_SelfStock[RM_Code],$A60,T_SelfStock[WeekIndex],14)+SUMIFS(T_TTAFStock[TTAF_Qty],T_TTAFStock[RM_Code],$A60,T_TTAFStock[WeekIndex],14),N60+'Grid_Incoming'!O60-'Grid_Requirement'!O60))</f>
        <v/>
      </c>
      <c r="P60">
        <f>IF(COUNTIFS(T_StockCount[RM_Code],$A60,T_StockCount[WeekIndex],15)&gt;0,SUMIFS(T_StockCount[CountedQty],T_StockCount[RM_Code],$A60,T_StockCount[WeekIndex],15),IF((COUNTIFS(T_SelfStock[RM_Code],$A60,T_SelfStock[WeekIndex],15)&gt;0)*(COUNTIFS(T_TTAFStock[RM_Code],$A60,T_TTAFStock[WeekIndex],15)&gt;0)&gt;0,SUMIFS(T_SelfStock[Self_Qty],T_SelfStock[RM_Code],$A60,T_SelfStock[WeekIndex],15)+SUMIFS(T_TTAFStock[TTAF_Qty],T_TTAFStock[RM_Code],$A60,T_TTAFStock[WeekIndex],15),O60+'Grid_Incoming'!P60-'Grid_Requirement'!P60))</f>
        <v/>
      </c>
      <c r="Q60">
        <f>IF(COUNTIFS(T_StockCount[RM_Code],$A60,T_StockCount[WeekIndex],16)&gt;0,SUMIFS(T_StockCount[CountedQty],T_StockCount[RM_Code],$A60,T_StockCount[WeekIndex],16),IF((COUNTIFS(T_SelfStock[RM_Code],$A60,T_SelfStock[WeekIndex],16)&gt;0)*(COUNTIFS(T_TTAFStock[RM_Code],$A60,T_TTAFStock[WeekIndex],16)&gt;0)&gt;0,SUMIFS(T_SelfStock[Self_Qty],T_SelfStock[RM_Code],$A60,T_SelfStock[WeekIndex],16)+SUMIFS(T_TTAFStock[TTAF_Qty],T_TTAFStock[RM_Code],$A60,T_TTAFStock[WeekIndex],16),P60+'Grid_Incoming'!Q60-'Grid_Requirement'!Q60))</f>
        <v/>
      </c>
      <c r="R60">
        <f>IF(COUNTIFS(T_StockCount[RM_Code],$A60,T_StockCount[WeekIndex],17)&gt;0,SUMIFS(T_StockCount[CountedQty],T_StockCount[RM_Code],$A60,T_StockCount[WeekIndex],17),IF((COUNTIFS(T_SelfStock[RM_Code],$A60,T_SelfStock[WeekIndex],17)&gt;0)*(COUNTIFS(T_TTAFStock[RM_Code],$A60,T_TTAFStock[WeekIndex],17)&gt;0)&gt;0,SUMIFS(T_SelfStock[Self_Qty],T_SelfStock[RM_Code],$A60,T_SelfStock[WeekIndex],17)+SUMIFS(T_TTAFStock[TTAF_Qty],T_TTAFStock[RM_Code],$A60,T_TTAFStock[WeekIndex],17),Q60+'Grid_Incoming'!R60-'Grid_Requirement'!R60))</f>
        <v/>
      </c>
      <c r="S60">
        <f>IF(COUNTIFS(T_StockCount[RM_Code],$A60,T_StockCount[WeekIndex],18)&gt;0,SUMIFS(T_StockCount[CountedQty],T_StockCount[RM_Code],$A60,T_StockCount[WeekIndex],18),IF((COUNTIFS(T_SelfStock[RM_Code],$A60,T_SelfStock[WeekIndex],18)&gt;0)*(COUNTIFS(T_TTAFStock[RM_Code],$A60,T_TTAFStock[WeekIndex],18)&gt;0)&gt;0,SUMIFS(T_SelfStock[Self_Qty],T_SelfStock[RM_Code],$A60,T_SelfStock[WeekIndex],18)+SUMIFS(T_TTAFStock[TTAF_Qty],T_TTAFStock[RM_Code],$A60,T_TTAFStock[WeekIndex],18),R60+'Grid_Incoming'!S60-'Grid_Requirement'!S60))</f>
        <v/>
      </c>
      <c r="T60">
        <f>IF(COUNTIFS(T_StockCount[RM_Code],$A60,T_StockCount[WeekIndex],19)&gt;0,SUMIFS(T_StockCount[CountedQty],T_StockCount[RM_Code],$A60,T_StockCount[WeekIndex],19),IF((COUNTIFS(T_SelfStock[RM_Code],$A60,T_SelfStock[WeekIndex],19)&gt;0)*(COUNTIFS(T_TTAFStock[RM_Code],$A60,T_TTAFStock[WeekIndex],19)&gt;0)&gt;0,SUMIFS(T_SelfStock[Self_Qty],T_SelfStock[RM_Code],$A60,T_SelfStock[WeekIndex],19)+SUMIFS(T_TTAFStock[TTAF_Qty],T_TTAFStock[RM_Code],$A60,T_TTAFStock[WeekIndex],19),S60+'Grid_Incoming'!T60-'Grid_Requirement'!T60))</f>
        <v/>
      </c>
      <c r="U60">
        <f>IF(COUNTIFS(T_StockCount[RM_Code],$A60,T_StockCount[WeekIndex],20)&gt;0,SUMIFS(T_StockCount[CountedQty],T_StockCount[RM_Code],$A60,T_StockCount[WeekIndex],20),IF((COUNTIFS(T_SelfStock[RM_Code],$A60,T_SelfStock[WeekIndex],20)&gt;0)*(COUNTIFS(T_TTAFStock[RM_Code],$A60,T_TTAFStock[WeekIndex],20)&gt;0)&gt;0,SUMIFS(T_SelfStock[Self_Qty],T_SelfStock[RM_Code],$A60,T_SelfStock[WeekIndex],20)+SUMIFS(T_TTAFStock[TTAF_Qty],T_TTAFStock[RM_Code],$A60,T_TTAFStock[WeekIndex],20),T60+'Grid_Incoming'!U60-'Grid_Requirement'!U60))</f>
        <v/>
      </c>
      <c r="V60">
        <f>IF(COUNTIFS(T_StockCount[RM_Code],$A60,T_StockCount[WeekIndex],21)&gt;0,SUMIFS(T_StockCount[CountedQty],T_StockCount[RM_Code],$A60,T_StockCount[WeekIndex],21),IF((COUNTIFS(T_SelfStock[RM_Code],$A60,T_SelfStock[WeekIndex],21)&gt;0)*(COUNTIFS(T_TTAFStock[RM_Code],$A60,T_TTAFStock[WeekIndex],21)&gt;0)&gt;0,SUMIFS(T_SelfStock[Self_Qty],T_SelfStock[RM_Code],$A60,T_SelfStock[WeekIndex],21)+SUMIFS(T_TTAFStock[TTAF_Qty],T_TTAFStock[RM_Code],$A60,T_TTAFStock[WeekIndex],21),U60+'Grid_Incoming'!V60-'Grid_Requirement'!V60))</f>
        <v/>
      </c>
      <c r="W60">
        <f>IF(COUNTIFS(T_StockCount[RM_Code],$A60,T_StockCount[WeekIndex],22)&gt;0,SUMIFS(T_StockCount[CountedQty],T_StockCount[RM_Code],$A60,T_StockCount[WeekIndex],22),IF((COUNTIFS(T_SelfStock[RM_Code],$A60,T_SelfStock[WeekIndex],22)&gt;0)*(COUNTIFS(T_TTAFStock[RM_Code],$A60,T_TTAFStock[WeekIndex],22)&gt;0)&gt;0,SUMIFS(T_SelfStock[Self_Qty],T_SelfStock[RM_Code],$A60,T_SelfStock[WeekIndex],22)+SUMIFS(T_TTAFStock[TTAF_Qty],T_TTAFStock[RM_Code],$A60,T_TTAFStock[WeekIndex],22),V60+'Grid_Incoming'!W60-'Grid_Requirement'!W60))</f>
        <v/>
      </c>
      <c r="X60">
        <f>IF(COUNTIFS(T_StockCount[RM_Code],$A60,T_StockCount[WeekIndex],23)&gt;0,SUMIFS(T_StockCount[CountedQty],T_StockCount[RM_Code],$A60,T_StockCount[WeekIndex],23),IF((COUNTIFS(T_SelfStock[RM_Code],$A60,T_SelfStock[WeekIndex],23)&gt;0)*(COUNTIFS(T_TTAFStock[RM_Code],$A60,T_TTAFStock[WeekIndex],23)&gt;0)&gt;0,SUMIFS(T_SelfStock[Self_Qty],T_SelfStock[RM_Code],$A60,T_SelfStock[WeekIndex],23)+SUMIFS(T_TTAFStock[TTAF_Qty],T_TTAFStock[RM_Code],$A60,T_TTAFStock[WeekIndex],23),W60+'Grid_Incoming'!X60-'Grid_Requirement'!X60))</f>
        <v/>
      </c>
      <c r="Y60">
        <f>IF(COUNTIFS(T_StockCount[RM_Code],$A60,T_StockCount[WeekIndex],24)&gt;0,SUMIFS(T_StockCount[CountedQty],T_StockCount[RM_Code],$A60,T_StockCount[WeekIndex],24),IF((COUNTIFS(T_SelfStock[RM_Code],$A60,T_SelfStock[WeekIndex],24)&gt;0)*(COUNTIFS(T_TTAFStock[RM_Code],$A60,T_TTAFStock[WeekIndex],24)&gt;0)&gt;0,SUMIFS(T_SelfStock[Self_Qty],T_SelfStock[RM_Code],$A60,T_SelfStock[WeekIndex],24)+SUMIFS(T_TTAFStock[TTAF_Qty],T_TTAFStock[RM_Code],$A60,T_TTAFStock[WeekIndex],24),X60+'Grid_Incoming'!Y60-'Grid_Requirement'!Y60))</f>
        <v/>
      </c>
      <c r="Z60">
        <f>IF(COUNTIFS(T_StockCount[RM_Code],$A60,T_StockCount[WeekIndex],25)&gt;0,SUMIFS(T_StockCount[CountedQty],T_StockCount[RM_Code],$A60,T_StockCount[WeekIndex],25),IF((COUNTIFS(T_SelfStock[RM_Code],$A60,T_SelfStock[WeekIndex],25)&gt;0)*(COUNTIFS(T_TTAFStock[RM_Code],$A60,T_TTAFStock[WeekIndex],25)&gt;0)&gt;0,SUMIFS(T_SelfStock[Self_Qty],T_SelfStock[RM_Code],$A60,T_SelfStock[WeekIndex],25)+SUMIFS(T_TTAFStock[TTAF_Qty],T_TTAFStock[RM_Code],$A60,T_TTAFStock[WeekIndex],25),Y60+'Grid_Incoming'!Z60-'Grid_Requirement'!Z60))</f>
        <v/>
      </c>
      <c r="AA60">
        <f>IF(COUNTIFS(T_StockCount[RM_Code],$A60,T_StockCount[WeekIndex],26)&gt;0,SUMIFS(T_StockCount[CountedQty],T_StockCount[RM_Code],$A60,T_StockCount[WeekIndex],26),IF((COUNTIFS(T_SelfStock[RM_Code],$A60,T_SelfStock[WeekIndex],26)&gt;0)*(COUNTIFS(T_TTAFStock[RM_Code],$A60,T_TTAFStock[WeekIndex],26)&gt;0)&gt;0,SUMIFS(T_SelfStock[Self_Qty],T_SelfStock[RM_Code],$A60,T_SelfStock[WeekIndex],26)+SUMIFS(T_TTAFStock[TTAF_Qty],T_TTAFStock[RM_Code],$A60,T_TTAFStock[WeekIndex],26),Z60+'Grid_Incoming'!AA60-'Grid_Requirement'!AA60))</f>
        <v/>
      </c>
      <c r="AB60">
        <f>IF(COUNTIFS(T_StockCount[RM_Code],$A60,T_StockCount[WeekIndex],27)&gt;0,SUMIFS(T_StockCount[CountedQty],T_StockCount[RM_Code],$A60,T_StockCount[WeekIndex],27),IF((COUNTIFS(T_SelfStock[RM_Code],$A60,T_SelfStock[WeekIndex],27)&gt;0)*(COUNTIFS(T_TTAFStock[RM_Code],$A60,T_TTAFStock[WeekIndex],27)&gt;0)&gt;0,SUMIFS(T_SelfStock[Self_Qty],T_SelfStock[RM_Code],$A60,T_SelfStock[WeekIndex],27)+SUMIFS(T_TTAFStock[TTAF_Qty],T_TTAFStock[RM_Code],$A60,T_TTAFStock[WeekIndex],27),AA60+'Grid_Incoming'!AB60-'Grid_Requirement'!AB60))</f>
        <v/>
      </c>
      <c r="AC60">
        <f>IF(COUNTIFS(T_StockCount[RM_Code],$A60,T_StockCount[WeekIndex],28)&gt;0,SUMIFS(T_StockCount[CountedQty],T_StockCount[RM_Code],$A60,T_StockCount[WeekIndex],28),IF((COUNTIFS(T_SelfStock[RM_Code],$A60,T_SelfStock[WeekIndex],28)&gt;0)*(COUNTIFS(T_TTAFStock[RM_Code],$A60,T_TTAFStock[WeekIndex],28)&gt;0)&gt;0,SUMIFS(T_SelfStock[Self_Qty],T_SelfStock[RM_Code],$A60,T_SelfStock[WeekIndex],28)+SUMIFS(T_TTAFStock[TTAF_Qty],T_TTAFStock[RM_Code],$A60,T_TTAFStock[WeekIndex],28),AB60+'Grid_Incoming'!AC60-'Grid_Requirement'!AC60))</f>
        <v/>
      </c>
      <c r="AD60">
        <f>IF(COUNTIFS(T_StockCount[RM_Code],$A60,T_StockCount[WeekIndex],29)&gt;0,SUMIFS(T_StockCount[CountedQty],T_StockCount[RM_Code],$A60,T_StockCount[WeekIndex],29),IF((COUNTIFS(T_SelfStock[RM_Code],$A60,T_SelfStock[WeekIndex],29)&gt;0)*(COUNTIFS(T_TTAFStock[RM_Code],$A60,T_TTAFStock[WeekIndex],29)&gt;0)&gt;0,SUMIFS(T_SelfStock[Self_Qty],T_SelfStock[RM_Code],$A60,T_SelfStock[WeekIndex],29)+SUMIFS(T_TTAFStock[TTAF_Qty],T_TTAFStock[RM_Code],$A60,T_TTAFStock[WeekIndex],29),AC60+'Grid_Incoming'!AD60-'Grid_Requirement'!AD60))</f>
        <v/>
      </c>
      <c r="AE60">
        <f>IF(COUNTIFS(T_StockCount[RM_Code],$A60,T_StockCount[WeekIndex],30)&gt;0,SUMIFS(T_StockCount[CountedQty],T_StockCount[RM_Code],$A60,T_StockCount[WeekIndex],30),IF((COUNTIFS(T_SelfStock[RM_Code],$A60,T_SelfStock[WeekIndex],30)&gt;0)*(COUNTIFS(T_TTAFStock[RM_Code],$A60,T_TTAFStock[WeekIndex],30)&gt;0)&gt;0,SUMIFS(T_SelfStock[Self_Qty],T_SelfStock[RM_Code],$A60,T_SelfStock[WeekIndex],30)+SUMIFS(T_TTAFStock[TTAF_Qty],T_TTAFStock[RM_Code],$A60,T_TTAFStock[WeekIndex],30),AD60+'Grid_Incoming'!AE60-'Grid_Requirement'!AE60))</f>
        <v/>
      </c>
      <c r="AF60">
        <f>IF(COUNTIFS(T_StockCount[RM_Code],$A60,T_StockCount[WeekIndex],31)&gt;0,SUMIFS(T_StockCount[CountedQty],T_StockCount[RM_Code],$A60,T_StockCount[WeekIndex],31),IF((COUNTIFS(T_SelfStock[RM_Code],$A60,T_SelfStock[WeekIndex],31)&gt;0)*(COUNTIFS(T_TTAFStock[RM_Code],$A60,T_TTAFStock[WeekIndex],31)&gt;0)&gt;0,SUMIFS(T_SelfStock[Self_Qty],T_SelfStock[RM_Code],$A60,T_SelfStock[WeekIndex],31)+SUMIFS(T_TTAFStock[TTAF_Qty],T_TTAFStock[RM_Code],$A60,T_TTAFStock[WeekIndex],31),AE60+'Grid_Incoming'!AF60-'Grid_Requirement'!AF60))</f>
        <v/>
      </c>
      <c r="AG60">
        <f>IF(COUNTIFS(T_StockCount[RM_Code],$A60,T_StockCount[WeekIndex],32)&gt;0,SUMIFS(T_StockCount[CountedQty],T_StockCount[RM_Code],$A60,T_StockCount[WeekIndex],32),IF((COUNTIFS(T_SelfStock[RM_Code],$A60,T_SelfStock[WeekIndex],32)&gt;0)*(COUNTIFS(T_TTAFStock[RM_Code],$A60,T_TTAFStock[WeekIndex],32)&gt;0)&gt;0,SUMIFS(T_SelfStock[Self_Qty],T_SelfStock[RM_Code],$A60,T_SelfStock[WeekIndex],32)+SUMIFS(T_TTAFStock[TTAF_Qty],T_TTAFStock[RM_Code],$A60,T_TTAFStock[WeekIndex],32),AF60+'Grid_Incoming'!AG60-'Grid_Requirement'!AG60))</f>
        <v/>
      </c>
      <c r="AH60">
        <f>IF(COUNTIFS(T_StockCount[RM_Code],$A60,T_StockCount[WeekIndex],33)&gt;0,SUMIFS(T_StockCount[CountedQty],T_StockCount[RM_Code],$A60,T_StockCount[WeekIndex],33),IF((COUNTIFS(T_SelfStock[RM_Code],$A60,T_SelfStock[WeekIndex],33)&gt;0)*(COUNTIFS(T_TTAFStock[RM_Code],$A60,T_TTAFStock[WeekIndex],33)&gt;0)&gt;0,SUMIFS(T_SelfStock[Self_Qty],T_SelfStock[RM_Code],$A60,T_SelfStock[WeekIndex],33)+SUMIFS(T_TTAFStock[TTAF_Qty],T_TTAFStock[RM_Code],$A60,T_TTAFStock[WeekIndex],33),AG60+'Grid_Incoming'!AH60-'Grid_Requirement'!AH60))</f>
        <v/>
      </c>
      <c r="AI60">
        <f>IF(COUNTIFS(T_StockCount[RM_Code],$A60,T_StockCount[WeekIndex],34)&gt;0,SUMIFS(T_StockCount[CountedQty],T_StockCount[RM_Code],$A60,T_StockCount[WeekIndex],34),IF((COUNTIFS(T_SelfStock[RM_Code],$A60,T_SelfStock[WeekIndex],34)&gt;0)*(COUNTIFS(T_TTAFStock[RM_Code],$A60,T_TTAFStock[WeekIndex],34)&gt;0)&gt;0,SUMIFS(T_SelfStock[Self_Qty],T_SelfStock[RM_Code],$A60,T_SelfStock[WeekIndex],34)+SUMIFS(T_TTAFStock[TTAF_Qty],T_TTAFStock[RM_Code],$A60,T_TTAFStock[WeekIndex],34),AH60+'Grid_Incoming'!AI60-'Grid_Requirement'!AI60))</f>
        <v/>
      </c>
      <c r="AJ60">
        <f>IF(COUNTIFS(T_StockCount[RM_Code],$A60,T_StockCount[WeekIndex],35)&gt;0,SUMIFS(T_StockCount[CountedQty],T_StockCount[RM_Code],$A60,T_StockCount[WeekIndex],35),IF((COUNTIFS(T_SelfStock[RM_Code],$A60,T_SelfStock[WeekIndex],35)&gt;0)*(COUNTIFS(T_TTAFStock[RM_Code],$A60,T_TTAFStock[WeekIndex],35)&gt;0)&gt;0,SUMIFS(T_SelfStock[Self_Qty],T_SelfStock[RM_Code],$A60,T_SelfStock[WeekIndex],35)+SUMIFS(T_TTAFStock[TTAF_Qty],T_TTAFStock[RM_Code],$A60,T_TTAFStock[WeekIndex],35),AI60+'Grid_Incoming'!AJ60-'Grid_Requirement'!AJ60))</f>
        <v/>
      </c>
      <c r="AK60">
        <f>IF(COUNTIFS(T_StockCount[RM_Code],$A60,T_StockCount[WeekIndex],36)&gt;0,SUMIFS(T_StockCount[CountedQty],T_StockCount[RM_Code],$A60,T_StockCount[WeekIndex],36),IF((COUNTIFS(T_SelfStock[RM_Code],$A60,T_SelfStock[WeekIndex],36)&gt;0)*(COUNTIFS(T_TTAFStock[RM_Code],$A60,T_TTAFStock[WeekIndex],36)&gt;0)&gt;0,SUMIFS(T_SelfStock[Self_Qty],T_SelfStock[RM_Code],$A60,T_SelfStock[WeekIndex],36)+SUMIFS(T_TTAFStock[TTAF_Qty],T_TTAFStock[RM_Code],$A60,T_TTAFStock[WeekIndex],36),AJ60+'Grid_Incoming'!AK60-'Grid_Requirement'!AK60))</f>
        <v/>
      </c>
      <c r="AL60">
        <f>IF(COUNTIFS(T_StockCount[RM_Code],$A60,T_StockCount[WeekIndex],37)&gt;0,SUMIFS(T_StockCount[CountedQty],T_StockCount[RM_Code],$A60,T_StockCount[WeekIndex],37),IF((COUNTIFS(T_SelfStock[RM_Code],$A60,T_SelfStock[WeekIndex],37)&gt;0)*(COUNTIFS(T_TTAFStock[RM_Code],$A60,T_TTAFStock[WeekIndex],37)&gt;0)&gt;0,SUMIFS(T_SelfStock[Self_Qty],T_SelfStock[RM_Code],$A60,T_SelfStock[WeekIndex],37)+SUMIFS(T_TTAFStock[TTAF_Qty],T_TTAFStock[RM_Code],$A60,T_TTAFStock[WeekIndex],37),AK60+'Grid_Incoming'!AL60-'Grid_Requirement'!AL60))</f>
        <v/>
      </c>
      <c r="AM60">
        <f>IF(COUNTIFS(T_StockCount[RM_Code],$A60,T_StockCount[WeekIndex],38)&gt;0,SUMIFS(T_StockCount[CountedQty],T_StockCount[RM_Code],$A60,T_StockCount[WeekIndex],38),IF((COUNTIFS(T_SelfStock[RM_Code],$A60,T_SelfStock[WeekIndex],38)&gt;0)*(COUNTIFS(T_TTAFStock[RM_Code],$A60,T_TTAFStock[WeekIndex],38)&gt;0)&gt;0,SUMIFS(T_SelfStock[Self_Qty],T_SelfStock[RM_Code],$A60,T_SelfStock[WeekIndex],38)+SUMIFS(T_TTAFStock[TTAF_Qty],T_TTAFStock[RM_Code],$A60,T_TTAFStock[WeekIndex],38),AL60+'Grid_Incoming'!AM60-'Grid_Requirement'!AM60))</f>
        <v/>
      </c>
      <c r="AN60">
        <f>IF(COUNTIFS(T_StockCount[RM_Code],$A60,T_StockCount[WeekIndex],39)&gt;0,SUMIFS(T_StockCount[CountedQty],T_StockCount[RM_Code],$A60,T_StockCount[WeekIndex],39),IF((COUNTIFS(T_SelfStock[RM_Code],$A60,T_SelfStock[WeekIndex],39)&gt;0)*(COUNTIFS(T_TTAFStock[RM_Code],$A60,T_TTAFStock[WeekIndex],39)&gt;0)&gt;0,SUMIFS(T_SelfStock[Self_Qty],T_SelfStock[RM_Code],$A60,T_SelfStock[WeekIndex],39)+SUMIFS(T_TTAFStock[TTAF_Qty],T_TTAFStock[RM_Code],$A60,T_TTAFStock[WeekIndex],39),AM60+'Grid_Incoming'!AN60-'Grid_Requirement'!AN60))</f>
        <v/>
      </c>
      <c r="AO60">
        <f>IF(COUNTIFS(T_StockCount[RM_Code],$A60,T_StockCount[WeekIndex],40)&gt;0,SUMIFS(T_StockCount[CountedQty],T_StockCount[RM_Code],$A60,T_StockCount[WeekIndex],40),IF((COUNTIFS(T_SelfStock[RM_Code],$A60,T_SelfStock[WeekIndex],40)&gt;0)*(COUNTIFS(T_TTAFStock[RM_Code],$A60,T_TTAFStock[WeekIndex],40)&gt;0)&gt;0,SUMIFS(T_SelfStock[Self_Qty],T_SelfStock[RM_Code],$A60,T_SelfStock[WeekIndex],40)+SUMIFS(T_TTAFStock[TTAF_Qty],T_TTAFStock[RM_Code],$A60,T_TTAFStock[WeekIndex],40),AN60+'Grid_Incoming'!AO60-'Grid_Requirement'!AO60))</f>
        <v/>
      </c>
      <c r="AP60">
        <f>IF(COUNTIFS(T_StockCount[RM_Code],$A60,T_StockCount[WeekIndex],41)&gt;0,SUMIFS(T_StockCount[CountedQty],T_StockCount[RM_Code],$A60,T_StockCount[WeekIndex],41),IF((COUNTIFS(T_SelfStock[RM_Code],$A60,T_SelfStock[WeekIndex],41)&gt;0)*(COUNTIFS(T_TTAFStock[RM_Code],$A60,T_TTAFStock[WeekIndex],41)&gt;0)&gt;0,SUMIFS(T_SelfStock[Self_Qty],T_SelfStock[RM_Code],$A60,T_SelfStock[WeekIndex],41)+SUMIFS(T_TTAFStock[TTAF_Qty],T_TTAFStock[RM_Code],$A60,T_TTAFStock[WeekIndex],41),AO60+'Grid_Incoming'!AP60-'Grid_Requirement'!AP60))</f>
        <v/>
      </c>
      <c r="AQ60">
        <f>IF(COUNTIFS(T_StockCount[RM_Code],$A60,T_StockCount[WeekIndex],42)&gt;0,SUMIFS(T_StockCount[CountedQty],T_StockCount[RM_Code],$A60,T_StockCount[WeekIndex],42),IF((COUNTIFS(T_SelfStock[RM_Code],$A60,T_SelfStock[WeekIndex],42)&gt;0)*(COUNTIFS(T_TTAFStock[RM_Code],$A60,T_TTAFStock[WeekIndex],42)&gt;0)&gt;0,SUMIFS(T_SelfStock[Self_Qty],T_SelfStock[RM_Code],$A60,T_SelfStock[WeekIndex],42)+SUMIFS(T_TTAFStock[TTAF_Qty],T_TTAFStock[RM_Code],$A60,T_TTAFStock[WeekIndex],42),AP60+'Grid_Incoming'!AQ60-'Grid_Requirement'!AQ60))</f>
        <v/>
      </c>
      <c r="AR60">
        <f>IF(COUNTIFS(T_StockCount[RM_Code],$A60,T_StockCount[WeekIndex],43)&gt;0,SUMIFS(T_StockCount[CountedQty],T_StockCount[RM_Code],$A60,T_StockCount[WeekIndex],43),IF((COUNTIFS(T_SelfStock[RM_Code],$A60,T_SelfStock[WeekIndex],43)&gt;0)*(COUNTIFS(T_TTAFStock[RM_Code],$A60,T_TTAFStock[WeekIndex],43)&gt;0)&gt;0,SUMIFS(T_SelfStock[Self_Qty],T_SelfStock[RM_Code],$A60,T_SelfStock[WeekIndex],43)+SUMIFS(T_TTAFStock[TTAF_Qty],T_TTAFStock[RM_Code],$A60,T_TTAFStock[WeekIndex],43),AQ60+'Grid_Incoming'!AR60-'Grid_Requirement'!AR60))</f>
        <v/>
      </c>
      <c r="AS60">
        <f>IF(COUNTIFS(T_StockCount[RM_Code],$A60,T_StockCount[WeekIndex],44)&gt;0,SUMIFS(T_StockCount[CountedQty],T_StockCount[RM_Code],$A60,T_StockCount[WeekIndex],44),IF((COUNTIFS(T_SelfStock[RM_Code],$A60,T_SelfStock[WeekIndex],44)&gt;0)*(COUNTIFS(T_TTAFStock[RM_Code],$A60,T_TTAFStock[WeekIndex],44)&gt;0)&gt;0,SUMIFS(T_SelfStock[Self_Qty],T_SelfStock[RM_Code],$A60,T_SelfStock[WeekIndex],44)+SUMIFS(T_TTAFStock[TTAF_Qty],T_TTAFStock[RM_Code],$A60,T_TTAFStock[WeekIndex],44),AR60+'Grid_Incoming'!AS60-'Grid_Requirement'!AS60))</f>
        <v/>
      </c>
      <c r="AT60">
        <f>IF(COUNTIFS(T_StockCount[RM_Code],$A60,T_StockCount[WeekIndex],45)&gt;0,SUMIFS(T_StockCount[CountedQty],T_StockCount[RM_Code],$A60,T_StockCount[WeekIndex],45),IF((COUNTIFS(T_SelfStock[RM_Code],$A60,T_SelfStock[WeekIndex],45)&gt;0)*(COUNTIFS(T_TTAFStock[RM_Code],$A60,T_TTAFStock[WeekIndex],45)&gt;0)&gt;0,SUMIFS(T_SelfStock[Self_Qty],T_SelfStock[RM_Code],$A60,T_SelfStock[WeekIndex],45)+SUMIFS(T_TTAFStock[TTAF_Qty],T_TTAFStock[RM_Code],$A60,T_TTAFStock[WeekIndex],45),AS60+'Grid_Incoming'!AT60-'Grid_Requirement'!AT60))</f>
        <v/>
      </c>
      <c r="AU60">
        <f>IF(COUNTIFS(T_StockCount[RM_Code],$A60,T_StockCount[WeekIndex],46)&gt;0,SUMIFS(T_StockCount[CountedQty],T_StockCount[RM_Code],$A60,T_StockCount[WeekIndex],46),IF((COUNTIFS(T_SelfStock[RM_Code],$A60,T_SelfStock[WeekIndex],46)&gt;0)*(COUNTIFS(T_TTAFStock[RM_Code],$A60,T_TTAFStock[WeekIndex],46)&gt;0)&gt;0,SUMIFS(T_SelfStock[Self_Qty],T_SelfStock[RM_Code],$A60,T_SelfStock[WeekIndex],46)+SUMIFS(T_TTAFStock[TTAF_Qty],T_TTAFStock[RM_Code],$A60,T_TTAFStock[WeekIndex],46),AT60+'Grid_Incoming'!AU60-'Grid_Requirement'!AU60))</f>
        <v/>
      </c>
      <c r="AV60">
        <f>IF(COUNTIFS(T_StockCount[RM_Code],$A60,T_StockCount[WeekIndex],47)&gt;0,SUMIFS(T_StockCount[CountedQty],T_StockCount[RM_Code],$A60,T_StockCount[WeekIndex],47),IF((COUNTIFS(T_SelfStock[RM_Code],$A60,T_SelfStock[WeekIndex],47)&gt;0)*(COUNTIFS(T_TTAFStock[RM_Code],$A60,T_TTAFStock[WeekIndex],47)&gt;0)&gt;0,SUMIFS(T_SelfStock[Self_Qty],T_SelfStock[RM_Code],$A60,T_SelfStock[WeekIndex],47)+SUMIFS(T_TTAFStock[TTAF_Qty],T_TTAFStock[RM_Code],$A60,T_TTAFStock[WeekIndex],47),AU60+'Grid_Incoming'!AV60-'Grid_Requirement'!AV60))</f>
        <v/>
      </c>
      <c r="AW60">
        <f>IF(COUNTIFS(T_StockCount[RM_Code],$A60,T_StockCount[WeekIndex],48)&gt;0,SUMIFS(T_StockCount[CountedQty],T_StockCount[RM_Code],$A60,T_StockCount[WeekIndex],48),IF((COUNTIFS(T_SelfStock[RM_Code],$A60,T_SelfStock[WeekIndex],48)&gt;0)*(COUNTIFS(T_TTAFStock[RM_Code],$A60,T_TTAFStock[WeekIndex],48)&gt;0)&gt;0,SUMIFS(T_SelfStock[Self_Qty],T_SelfStock[RM_Code],$A60,T_SelfStock[WeekIndex],48)+SUMIFS(T_TTAFStock[TTAF_Qty],T_TTAFStock[RM_Code],$A60,T_TTAFStock[WeekIndex],48),AV60+'Grid_Incoming'!AW60-'Grid_Requirement'!AW60))</f>
        <v/>
      </c>
      <c r="AX60">
        <f>IF(COUNTIFS(T_StockCount[RM_Code],$A60,T_StockCount[WeekIndex],49)&gt;0,SUMIFS(T_StockCount[CountedQty],T_StockCount[RM_Code],$A60,T_StockCount[WeekIndex],49),IF((COUNTIFS(T_SelfStock[RM_Code],$A60,T_SelfStock[WeekIndex],49)&gt;0)*(COUNTIFS(T_TTAFStock[RM_Code],$A60,T_TTAFStock[WeekIndex],49)&gt;0)&gt;0,SUMIFS(T_SelfStock[Self_Qty],T_SelfStock[RM_Code],$A60,T_SelfStock[WeekIndex],49)+SUMIFS(T_TTAFStock[TTAF_Qty],T_TTAFStock[RM_Code],$A60,T_TTAFStock[WeekIndex],49),AW60+'Grid_Incoming'!AX60-'Grid_Requirement'!AX60))</f>
        <v/>
      </c>
      <c r="AY60">
        <f>IF(COUNTIFS(T_StockCount[RM_Code],$A60,T_StockCount[WeekIndex],50)&gt;0,SUMIFS(T_StockCount[CountedQty],T_StockCount[RM_Code],$A60,T_StockCount[WeekIndex],50),IF((COUNTIFS(T_SelfStock[RM_Code],$A60,T_SelfStock[WeekIndex],50)&gt;0)*(COUNTIFS(T_TTAFStock[RM_Code],$A60,T_TTAFStock[WeekIndex],50)&gt;0)&gt;0,SUMIFS(T_SelfStock[Self_Qty],T_SelfStock[RM_Code],$A60,T_SelfStock[WeekIndex],50)+SUMIFS(T_TTAFStock[TTAF_Qty],T_TTAFStock[RM_Code],$A60,T_TTAFStock[WeekIndex],50),AX60+'Grid_Incoming'!AY60-'Grid_Requirement'!AY60))</f>
        <v/>
      </c>
      <c r="AZ60">
        <f>IF(COUNTIFS(T_StockCount[RM_Code],$A60,T_StockCount[WeekIndex],51)&gt;0,SUMIFS(T_StockCount[CountedQty],T_StockCount[RM_Code],$A60,T_StockCount[WeekIndex],51),IF((COUNTIFS(T_SelfStock[RM_Code],$A60,T_SelfStock[WeekIndex],51)&gt;0)*(COUNTIFS(T_TTAFStock[RM_Code],$A60,T_TTAFStock[WeekIndex],51)&gt;0)&gt;0,SUMIFS(T_SelfStock[Self_Qty],T_SelfStock[RM_Code],$A60,T_SelfStock[WeekIndex],51)+SUMIFS(T_TTAFStock[TTAF_Qty],T_TTAFStock[RM_Code],$A60,T_TTAFStock[WeekIndex],51),AY60+'Grid_Incoming'!AZ60-'Grid_Requirement'!AZ60))</f>
        <v/>
      </c>
      <c r="BA60">
        <f>IF(COUNTIFS(T_StockCount[RM_Code],$A60,T_StockCount[WeekIndex],52)&gt;0,SUMIFS(T_StockCount[CountedQty],T_StockCount[RM_Code],$A60,T_StockCount[WeekIndex],52),IF((COUNTIFS(T_SelfStock[RM_Code],$A60,T_SelfStock[WeekIndex],52)&gt;0)*(COUNTIFS(T_TTAFStock[RM_Code],$A60,T_TTAFStock[WeekIndex],52)&gt;0)&gt;0,SUMIFS(T_SelfStock[Self_Qty],T_SelfStock[RM_Code],$A60,T_SelfStock[WeekIndex],52)+SUMIFS(T_TTAFStock[TTAF_Qty],T_TTAFStock[RM_Code],$A60,T_TTAFStock[WeekIndex],52),AZ60+'Grid_Incoming'!BA60-'Grid_Requirement'!BA60))</f>
        <v/>
      </c>
      <c r="BB60">
        <f>IF(COUNTIFS(T_StockCount[RM_Code],$A60,T_StockCount[WeekIndex],53)&gt;0,SUMIFS(T_StockCount[CountedQty],T_StockCount[RM_Code],$A60,T_StockCount[WeekIndex],53),IF((COUNTIFS(T_SelfStock[RM_Code],$A60,T_SelfStock[WeekIndex],53)&gt;0)*(COUNTIFS(T_TTAFStock[RM_Code],$A60,T_TTAFStock[WeekIndex],53)&gt;0)&gt;0,SUMIFS(T_SelfStock[Self_Qty],T_SelfStock[RM_Code],$A60,T_SelfStock[WeekIndex],53)+SUMIFS(T_TTAFStock[TTAF_Qty],T_TTAFStock[RM_Code],$A60,T_TTAFStock[WeekIndex],53),BA60+'Grid_Incoming'!BB60-'Grid_Requirement'!BB60))</f>
        <v/>
      </c>
      <c r="BC60">
        <f>IF(COUNTIFS(T_StockCount[RM_Code],$A60,T_StockCount[WeekIndex],54)&gt;0,SUMIFS(T_StockCount[CountedQty],T_StockCount[RM_Code],$A60,T_StockCount[WeekIndex],54),IF((COUNTIFS(T_SelfStock[RM_Code],$A60,T_SelfStock[WeekIndex],54)&gt;0)*(COUNTIFS(T_TTAFStock[RM_Code],$A60,T_TTAFStock[WeekIndex],54)&gt;0)&gt;0,SUMIFS(T_SelfStock[Self_Qty],T_SelfStock[RM_Code],$A60,T_SelfStock[WeekIndex],54)+SUMIFS(T_TTAFStock[TTAF_Qty],T_TTAFStock[RM_Code],$A60,T_TTAFStock[WeekIndex],54),BB60+'Grid_Incoming'!BC60-'Grid_Requirement'!BC60))</f>
        <v/>
      </c>
      <c r="BD60">
        <f>IF(COUNTIFS(T_StockCount[RM_Code],$A60,T_StockCount[WeekIndex],55)&gt;0,SUMIFS(T_StockCount[CountedQty],T_StockCount[RM_Code],$A60,T_StockCount[WeekIndex],55),IF((COUNTIFS(T_SelfStock[RM_Code],$A60,T_SelfStock[WeekIndex],55)&gt;0)*(COUNTIFS(T_TTAFStock[RM_Code],$A60,T_TTAFStock[WeekIndex],55)&gt;0)&gt;0,SUMIFS(T_SelfStock[Self_Qty],T_SelfStock[RM_Code],$A60,T_SelfStock[WeekIndex],55)+SUMIFS(T_TTAFStock[TTAF_Qty],T_TTAFStock[RM_Code],$A60,T_TTAFStock[WeekIndex],55),BC60+'Grid_Incoming'!BD60-'Grid_Requirement'!BD60))</f>
        <v/>
      </c>
      <c r="BE60">
        <f>IF(COUNTIFS(T_StockCount[RM_Code],$A60,T_StockCount[WeekIndex],56)&gt;0,SUMIFS(T_StockCount[CountedQty],T_StockCount[RM_Code],$A60,T_StockCount[WeekIndex],56),IF((COUNTIFS(T_SelfStock[RM_Code],$A60,T_SelfStock[WeekIndex],56)&gt;0)*(COUNTIFS(T_TTAFStock[RM_Code],$A60,T_TTAFStock[WeekIndex],56)&gt;0)&gt;0,SUMIFS(T_SelfStock[Self_Qty],T_SelfStock[RM_Code],$A60,T_SelfStock[WeekIndex],56)+SUMIFS(T_TTAFStock[TTAF_Qty],T_TTAFStock[RM_Code],$A60,T_TTAFStock[WeekIndex],56),BD60+'Grid_Incoming'!BE60-'Grid_Requirement'!BE60))</f>
        <v/>
      </c>
      <c r="BF60">
        <f>IF(COUNTIFS(T_StockCount[RM_Code],$A60,T_StockCount[WeekIndex],57)&gt;0,SUMIFS(T_StockCount[CountedQty],T_StockCount[RM_Code],$A60,T_StockCount[WeekIndex],57),IF((COUNTIFS(T_SelfStock[RM_Code],$A60,T_SelfStock[WeekIndex],57)&gt;0)*(COUNTIFS(T_TTAFStock[RM_Code],$A60,T_TTAFStock[WeekIndex],57)&gt;0)&gt;0,SUMIFS(T_SelfStock[Self_Qty],T_SelfStock[RM_Code],$A60,T_SelfStock[WeekIndex],57)+SUMIFS(T_TTAFStock[TTAF_Qty],T_TTAFStock[RM_Code],$A60,T_TTAFStock[WeekIndex],57),BE60+'Grid_Incoming'!BF60-'Grid_Requirement'!BF60))</f>
        <v/>
      </c>
      <c r="BG60">
        <f>IF(COUNTIFS(T_StockCount[RM_Code],$A60,T_StockCount[WeekIndex],58)&gt;0,SUMIFS(T_StockCount[CountedQty],T_StockCount[RM_Code],$A60,T_StockCount[WeekIndex],58),IF((COUNTIFS(T_SelfStock[RM_Code],$A60,T_SelfStock[WeekIndex],58)&gt;0)*(COUNTIFS(T_TTAFStock[RM_Code],$A60,T_TTAFStock[WeekIndex],58)&gt;0)&gt;0,SUMIFS(T_SelfStock[Self_Qty],T_SelfStock[RM_Code],$A60,T_SelfStock[WeekIndex],58)+SUMIFS(T_TTAFStock[TTAF_Qty],T_TTAFStock[RM_Code],$A60,T_TTAFStock[WeekIndex],58),BF60+'Grid_Incoming'!BG60-'Grid_Requirement'!BG60))</f>
        <v/>
      </c>
      <c r="BH60">
        <f>IF(COUNTIFS(T_StockCount[RM_Code],$A60,T_StockCount[WeekIndex],59)&gt;0,SUMIFS(T_StockCount[CountedQty],T_StockCount[RM_Code],$A60,T_StockCount[WeekIndex],59),IF((COUNTIFS(T_SelfStock[RM_Code],$A60,T_SelfStock[WeekIndex],59)&gt;0)*(COUNTIFS(T_TTAFStock[RM_Code],$A60,T_TTAFStock[WeekIndex],59)&gt;0)&gt;0,SUMIFS(T_SelfStock[Self_Qty],T_SelfStock[RM_Code],$A60,T_SelfStock[WeekIndex],59)+SUMIFS(T_TTAFStock[TTAF_Qty],T_TTAFStock[RM_Code],$A60,T_TTAFStock[WeekIndex],59),BG60+'Grid_Incoming'!BH60-'Grid_Requirement'!BH60))</f>
        <v/>
      </c>
      <c r="BI60">
        <f>IF(COUNTIFS(T_StockCount[RM_Code],$A60,T_StockCount[WeekIndex],60)&gt;0,SUMIFS(T_StockCount[CountedQty],T_StockCount[RM_Code],$A60,T_StockCount[WeekIndex],60),IF((COUNTIFS(T_SelfStock[RM_Code],$A60,T_SelfStock[WeekIndex],60)&gt;0)*(COUNTIFS(T_TTAFStock[RM_Code],$A60,T_TTAFStock[WeekIndex],60)&gt;0)&gt;0,SUMIFS(T_SelfStock[Self_Qty],T_SelfStock[RM_Code],$A60,T_SelfStock[WeekIndex],60)+SUMIFS(T_TTAFStock[TTAF_Qty],T_TTAFStock[RM_Code],$A60,T_TTAFStock[WeekIndex],60),BH60+'Grid_Incoming'!BI60-'Grid_Requirement'!BI60))</f>
        <v/>
      </c>
      <c r="BJ60">
        <f>IF(COUNTIFS(T_StockCount[RM_Code],$A60,T_StockCount[WeekIndex],61)&gt;0,SUMIFS(T_StockCount[CountedQty],T_StockCount[RM_Code],$A60,T_StockCount[WeekIndex],61),IF((COUNTIFS(T_SelfStock[RM_Code],$A60,T_SelfStock[WeekIndex],61)&gt;0)*(COUNTIFS(T_TTAFStock[RM_Code],$A60,T_TTAFStock[WeekIndex],61)&gt;0)&gt;0,SUMIFS(T_SelfStock[Self_Qty],T_SelfStock[RM_Code],$A60,T_SelfStock[WeekIndex],61)+SUMIFS(T_TTAFStock[TTAF_Qty],T_TTAFStock[RM_Code],$A60,T_TTAFStock[WeekIndex],61),BI60+'Grid_Incoming'!BJ60-'Grid_Requirement'!BJ60))</f>
        <v/>
      </c>
      <c r="BK60">
        <f>IF(COUNTIFS(T_StockCount[RM_Code],$A60,T_StockCount[WeekIndex],62)&gt;0,SUMIFS(T_StockCount[CountedQty],T_StockCount[RM_Code],$A60,T_StockCount[WeekIndex],62),IF((COUNTIFS(T_SelfStock[RM_Code],$A60,T_SelfStock[WeekIndex],62)&gt;0)*(COUNTIFS(T_TTAFStock[RM_Code],$A60,T_TTAFStock[WeekIndex],62)&gt;0)&gt;0,SUMIFS(T_SelfStock[Self_Qty],T_SelfStock[RM_Code],$A60,T_SelfStock[WeekIndex],62)+SUMIFS(T_TTAFStock[TTAF_Qty],T_TTAFStock[RM_Code],$A60,T_TTAFStock[WeekIndex],62),BJ60+'Grid_Incoming'!BK60-'Grid_Requirement'!BK60))</f>
        <v/>
      </c>
      <c r="BL60">
        <f>IF(COUNTIFS(T_StockCount[RM_Code],$A60,T_StockCount[WeekIndex],63)&gt;0,SUMIFS(T_StockCount[CountedQty],T_StockCount[RM_Code],$A60,T_StockCount[WeekIndex],63),IF((COUNTIFS(T_SelfStock[RM_Code],$A60,T_SelfStock[WeekIndex],63)&gt;0)*(COUNTIFS(T_TTAFStock[RM_Code],$A60,T_TTAFStock[WeekIndex],63)&gt;0)&gt;0,SUMIFS(T_SelfStock[Self_Qty],T_SelfStock[RM_Code],$A60,T_SelfStock[WeekIndex],63)+SUMIFS(T_TTAFStock[TTAF_Qty],T_TTAFStock[RM_Code],$A60,T_TTAFStock[WeekIndex],63),BK60+'Grid_Incoming'!BL60-'Grid_Requirement'!BL60))</f>
        <v/>
      </c>
      <c r="BM60">
        <f>IF(COUNTIFS(T_StockCount[RM_Code],$A60,T_StockCount[WeekIndex],64)&gt;0,SUMIFS(T_StockCount[CountedQty],T_StockCount[RM_Code],$A60,T_StockCount[WeekIndex],64),IF((COUNTIFS(T_SelfStock[RM_Code],$A60,T_SelfStock[WeekIndex],64)&gt;0)*(COUNTIFS(T_TTAFStock[RM_Code],$A60,T_TTAFStock[WeekIndex],64)&gt;0)&gt;0,SUMIFS(T_SelfStock[Self_Qty],T_SelfStock[RM_Code],$A60,T_SelfStock[WeekIndex],64)+SUMIFS(T_TTAFStock[TTAF_Qty],T_TTAFStock[RM_Code],$A60,T_TTAFStock[WeekIndex],64),BL60+'Grid_Incoming'!BM60-'Grid_Requirement'!BM60))</f>
        <v/>
      </c>
      <c r="BN60">
        <f>IF(COUNTIFS(T_StockCount[RM_Code],$A60,T_StockCount[WeekIndex],65)&gt;0,SUMIFS(T_StockCount[CountedQty],T_StockCount[RM_Code],$A60,T_StockCount[WeekIndex],65),IF((COUNTIFS(T_SelfStock[RM_Code],$A60,T_SelfStock[WeekIndex],65)&gt;0)*(COUNTIFS(T_TTAFStock[RM_Code],$A60,T_TTAFStock[WeekIndex],65)&gt;0)&gt;0,SUMIFS(T_SelfStock[Self_Qty],T_SelfStock[RM_Code],$A60,T_SelfStock[WeekIndex],65)+SUMIFS(T_TTAFStock[TTAF_Qty],T_TTAFStock[RM_Code],$A60,T_TTAFStock[WeekIndex],65),BM60+'Grid_Incoming'!BN60-'Grid_Requirement'!BN60))</f>
        <v/>
      </c>
      <c r="BO60">
        <f>IF(COUNTIFS(T_StockCount[RM_Code],$A60,T_StockCount[WeekIndex],66)&gt;0,SUMIFS(T_StockCount[CountedQty],T_StockCount[RM_Code],$A60,T_StockCount[WeekIndex],66),IF((COUNTIFS(T_SelfStock[RM_Code],$A60,T_SelfStock[WeekIndex],66)&gt;0)*(COUNTIFS(T_TTAFStock[RM_Code],$A60,T_TTAFStock[WeekIndex],66)&gt;0)&gt;0,SUMIFS(T_SelfStock[Self_Qty],T_SelfStock[RM_Code],$A60,T_SelfStock[WeekIndex],66)+SUMIFS(T_TTAFStock[TTAF_Qty],T_TTAFStock[RM_Code],$A60,T_TTAFStock[WeekIndex],66),BN60+'Grid_Incoming'!BO60-'Grid_Requirement'!BO60))</f>
        <v/>
      </c>
      <c r="BP60">
        <f>IF(COUNTIFS(T_StockCount[RM_Code],$A60,T_StockCount[WeekIndex],67)&gt;0,SUMIFS(T_StockCount[CountedQty],T_StockCount[RM_Code],$A60,T_StockCount[WeekIndex],67),IF((COUNTIFS(T_SelfStock[RM_Code],$A60,T_SelfStock[WeekIndex],67)&gt;0)*(COUNTIFS(T_TTAFStock[RM_Code],$A60,T_TTAFStock[WeekIndex],67)&gt;0)&gt;0,SUMIFS(T_SelfStock[Self_Qty],T_SelfStock[RM_Code],$A60,T_SelfStock[WeekIndex],67)+SUMIFS(T_TTAFStock[TTAF_Qty],T_TTAFStock[RM_Code],$A60,T_TTAFStock[WeekIndex],67),BO60+'Grid_Incoming'!BP60-'Grid_Requirement'!BP60))</f>
        <v/>
      </c>
      <c r="BQ60">
        <f>IF(COUNTIFS(T_StockCount[RM_Code],$A60,T_StockCount[WeekIndex],68)&gt;0,SUMIFS(T_StockCount[CountedQty],T_StockCount[RM_Code],$A60,T_StockCount[WeekIndex],68),IF((COUNTIFS(T_SelfStock[RM_Code],$A60,T_SelfStock[WeekIndex],68)&gt;0)*(COUNTIFS(T_TTAFStock[RM_Code],$A60,T_TTAFStock[WeekIndex],68)&gt;0)&gt;0,SUMIFS(T_SelfStock[Self_Qty],T_SelfStock[RM_Code],$A60,T_SelfStock[WeekIndex],68)+SUMIFS(T_TTAFStock[TTAF_Qty],T_TTAFStock[RM_Code],$A60,T_TTAFStock[WeekIndex],68),BP60+'Grid_Incoming'!BQ60-'Grid_Requirement'!BQ60))</f>
        <v/>
      </c>
      <c r="BR60">
        <f>IF(COUNTIFS(T_StockCount[RM_Code],$A60,T_StockCount[WeekIndex],69)&gt;0,SUMIFS(T_StockCount[CountedQty],T_StockCount[RM_Code],$A60,T_StockCount[WeekIndex],69),IF((COUNTIFS(T_SelfStock[RM_Code],$A60,T_SelfStock[WeekIndex],69)&gt;0)*(COUNTIFS(T_TTAFStock[RM_Code],$A60,T_TTAFStock[WeekIndex],69)&gt;0)&gt;0,SUMIFS(T_SelfStock[Self_Qty],T_SelfStock[RM_Code],$A60,T_SelfStock[WeekIndex],69)+SUMIFS(T_TTAFStock[TTAF_Qty],T_TTAFStock[RM_Code],$A60,T_TTAFStock[WeekIndex],69),BQ60+'Grid_Incoming'!BR60-'Grid_Requirement'!BR60))</f>
        <v/>
      </c>
      <c r="BS60">
        <f>IF(COUNTIFS(T_StockCount[RM_Code],$A60,T_StockCount[WeekIndex],70)&gt;0,SUMIFS(T_StockCount[CountedQty],T_StockCount[RM_Code],$A60,T_StockCount[WeekIndex],70),IF((COUNTIFS(T_SelfStock[RM_Code],$A60,T_SelfStock[WeekIndex],70)&gt;0)*(COUNTIFS(T_TTAFStock[RM_Code],$A60,T_TTAFStock[WeekIndex],70)&gt;0)&gt;0,SUMIFS(T_SelfStock[Self_Qty],T_SelfStock[RM_Code],$A60,T_SelfStock[WeekIndex],70)+SUMIFS(T_TTAFStock[TTAF_Qty],T_TTAFStock[RM_Code],$A60,T_TTAFStock[WeekIndex],70),BR60+'Grid_Incoming'!BS60-'Grid_Requirement'!BS60))</f>
        <v/>
      </c>
      <c r="BT60">
        <f>IF(COUNTIFS(T_StockCount[RM_Code],$A60,T_StockCount[WeekIndex],71)&gt;0,SUMIFS(T_StockCount[CountedQty],T_StockCount[RM_Code],$A60,T_StockCount[WeekIndex],71),IF((COUNTIFS(T_SelfStock[RM_Code],$A60,T_SelfStock[WeekIndex],71)&gt;0)*(COUNTIFS(T_TTAFStock[RM_Code],$A60,T_TTAFStock[WeekIndex],71)&gt;0)&gt;0,SUMIFS(T_SelfStock[Self_Qty],T_SelfStock[RM_Code],$A60,T_SelfStock[WeekIndex],71)+SUMIFS(T_TTAFStock[TTAF_Qty],T_TTAFStock[RM_Code],$A60,T_TTAFStock[WeekIndex],71),BS60+'Grid_Incoming'!BT60-'Grid_Requirement'!BT60))</f>
        <v/>
      </c>
      <c r="BU60">
        <f>IF(COUNTIFS(T_StockCount[RM_Code],$A60,T_StockCount[WeekIndex],72)&gt;0,SUMIFS(T_StockCount[CountedQty],T_StockCount[RM_Code],$A60,T_StockCount[WeekIndex],72),IF((COUNTIFS(T_SelfStock[RM_Code],$A60,T_SelfStock[WeekIndex],72)&gt;0)*(COUNTIFS(T_TTAFStock[RM_Code],$A60,T_TTAFStock[WeekIndex],72)&gt;0)&gt;0,SUMIFS(T_SelfStock[Self_Qty],T_SelfStock[RM_Code],$A60,T_SelfStock[WeekIndex],72)+SUMIFS(T_TTAFStock[TTAF_Qty],T_TTAFStock[RM_Code],$A60,T_TTAFStock[WeekIndex],72),BT60+'Grid_Incoming'!BU60-'Grid_Requirement'!BU60))</f>
        <v/>
      </c>
      <c r="BV60">
        <f>IF(COUNTIFS(T_StockCount[RM_Code],$A60,T_StockCount[WeekIndex],73)&gt;0,SUMIFS(T_StockCount[CountedQty],T_StockCount[RM_Code],$A60,T_StockCount[WeekIndex],73),IF((COUNTIFS(T_SelfStock[RM_Code],$A60,T_SelfStock[WeekIndex],73)&gt;0)*(COUNTIFS(T_TTAFStock[RM_Code],$A60,T_TTAFStock[WeekIndex],73)&gt;0)&gt;0,SUMIFS(T_SelfStock[Self_Qty],T_SelfStock[RM_Code],$A60,T_SelfStock[WeekIndex],73)+SUMIFS(T_TTAFStock[TTAF_Qty],T_TTAFStock[RM_Code],$A60,T_TTAFStock[WeekIndex],73),BU60+'Grid_Incoming'!BV60-'Grid_Requirement'!BV60))</f>
        <v/>
      </c>
      <c r="BW60">
        <f>IF(COUNTIFS(T_StockCount[RM_Code],$A60,T_StockCount[WeekIndex],74)&gt;0,SUMIFS(T_StockCount[CountedQty],T_StockCount[RM_Code],$A60,T_StockCount[WeekIndex],74),IF((COUNTIFS(T_SelfStock[RM_Code],$A60,T_SelfStock[WeekIndex],74)&gt;0)*(COUNTIFS(T_TTAFStock[RM_Code],$A60,T_TTAFStock[WeekIndex],74)&gt;0)&gt;0,SUMIFS(T_SelfStock[Self_Qty],T_SelfStock[RM_Code],$A60,T_SelfStock[WeekIndex],74)+SUMIFS(T_TTAFStock[TTAF_Qty],T_TTAFStock[RM_Code],$A60,T_TTAFStock[WeekIndex],74),BV60+'Grid_Incoming'!BW60-'Grid_Requirement'!BW60))</f>
        <v/>
      </c>
      <c r="BX60">
        <f>IF(COUNTIFS(T_StockCount[RM_Code],$A60,T_StockCount[WeekIndex],75)&gt;0,SUMIFS(T_StockCount[CountedQty],T_StockCount[RM_Code],$A60,T_StockCount[WeekIndex],75),IF((COUNTIFS(T_SelfStock[RM_Code],$A60,T_SelfStock[WeekIndex],75)&gt;0)*(COUNTIFS(T_TTAFStock[RM_Code],$A60,T_TTAFStock[WeekIndex],75)&gt;0)&gt;0,SUMIFS(T_SelfStock[Self_Qty],T_SelfStock[RM_Code],$A60,T_SelfStock[WeekIndex],75)+SUMIFS(T_TTAFStock[TTAF_Qty],T_TTAFStock[RM_Code],$A60,T_TTAFStock[WeekIndex],75),BW60+'Grid_Incoming'!BX60-'Grid_Requirement'!BX60))</f>
        <v/>
      </c>
      <c r="BY60">
        <f>IF(COUNTIFS(T_StockCount[RM_Code],$A60,T_StockCount[WeekIndex],76)&gt;0,SUMIFS(T_StockCount[CountedQty],T_StockCount[RM_Code],$A60,T_StockCount[WeekIndex],76),IF((COUNTIFS(T_SelfStock[RM_Code],$A60,T_SelfStock[WeekIndex],76)&gt;0)*(COUNTIFS(T_TTAFStock[RM_Code],$A60,T_TTAFStock[WeekIndex],76)&gt;0)&gt;0,SUMIFS(T_SelfStock[Self_Qty],T_SelfStock[RM_Code],$A60,T_SelfStock[WeekIndex],76)+SUMIFS(T_TTAFStock[TTAF_Qty],T_TTAFStock[RM_Code],$A60,T_TTAFStock[WeekIndex],76),BX60+'Grid_Incoming'!BY60-'Grid_Requirement'!BY60))</f>
        <v/>
      </c>
      <c r="BZ60">
        <f>IF(COUNTIFS(T_StockCount[RM_Code],$A60,T_StockCount[WeekIndex],77)&gt;0,SUMIFS(T_StockCount[CountedQty],T_StockCount[RM_Code],$A60,T_StockCount[WeekIndex],77),IF((COUNTIFS(T_SelfStock[RM_Code],$A60,T_SelfStock[WeekIndex],77)&gt;0)*(COUNTIFS(T_TTAFStock[RM_Code],$A60,T_TTAFStock[WeekIndex],77)&gt;0)&gt;0,SUMIFS(T_SelfStock[Self_Qty],T_SelfStock[RM_Code],$A60,T_SelfStock[WeekIndex],77)+SUMIFS(T_TTAFStock[TTAF_Qty],T_TTAFStock[RM_Code],$A60,T_TTAFStock[WeekIndex],77),BY60+'Grid_Incoming'!BZ60-'Grid_Requirement'!BZ60))</f>
        <v/>
      </c>
      <c r="CA60">
        <f>IF(COUNTIFS(T_StockCount[RM_Code],$A60,T_StockCount[WeekIndex],78)&gt;0,SUMIFS(T_StockCount[CountedQty],T_StockCount[RM_Code],$A60,T_StockCount[WeekIndex],78),IF((COUNTIFS(T_SelfStock[RM_Code],$A60,T_SelfStock[WeekIndex],78)&gt;0)*(COUNTIFS(T_TTAFStock[RM_Code],$A60,T_TTAFStock[WeekIndex],78)&gt;0)&gt;0,SUMIFS(T_SelfStock[Self_Qty],T_SelfStock[RM_Code],$A60,T_SelfStock[WeekIndex],78)+SUMIFS(T_TTAFStock[TTAF_Qty],T_TTAFStock[RM_Code],$A60,T_TTAFStock[WeekIndex],78),BZ60+'Grid_Incoming'!CA60-'Grid_Requirement'!CA60))</f>
        <v/>
      </c>
      <c r="CB60">
        <f>IF(COUNTIFS(T_StockCount[RM_Code],$A60,T_StockCount[WeekIndex],79)&gt;0,SUMIFS(T_StockCount[CountedQty],T_StockCount[RM_Code],$A60,T_StockCount[WeekIndex],79),IF((COUNTIFS(T_SelfStock[RM_Code],$A60,T_SelfStock[WeekIndex],79)&gt;0)*(COUNTIFS(T_TTAFStock[RM_Code],$A60,T_TTAFStock[WeekIndex],79)&gt;0)&gt;0,SUMIFS(T_SelfStock[Self_Qty],T_SelfStock[RM_Code],$A60,T_SelfStock[WeekIndex],79)+SUMIFS(T_TTAFStock[TTAF_Qty],T_TTAFStock[RM_Code],$A60,T_TTAFStock[WeekIndex],79),CA60+'Grid_Incoming'!CB60-'Grid_Requirement'!CB60))</f>
        <v/>
      </c>
      <c r="CC60">
        <f>IF(COUNTIFS(T_StockCount[RM_Code],$A60,T_StockCount[WeekIndex],80)&gt;0,SUMIFS(T_StockCount[CountedQty],T_StockCount[RM_Code],$A60,T_StockCount[WeekIndex],80),IF((COUNTIFS(T_SelfStock[RM_Code],$A60,T_SelfStock[WeekIndex],80)&gt;0)*(COUNTIFS(T_TTAFStock[RM_Code],$A60,T_TTAFStock[WeekIndex],80)&gt;0)&gt;0,SUMIFS(T_SelfStock[Self_Qty],T_SelfStock[RM_Code],$A60,T_SelfStock[WeekIndex],80)+SUMIFS(T_TTAFStock[TTAF_Qty],T_TTAFStock[RM_Code],$A60,T_TTAFStock[WeekIndex],80),CB60+'Grid_Incoming'!CC60-'Grid_Requirement'!CC60))</f>
        <v/>
      </c>
      <c r="CD60">
        <f>IF(COUNTIFS(T_StockCount[RM_Code],$A60,T_StockCount[WeekIndex],81)&gt;0,SUMIFS(T_StockCount[CountedQty],T_StockCount[RM_Code],$A60,T_StockCount[WeekIndex],81),IF((COUNTIFS(T_SelfStock[RM_Code],$A60,T_SelfStock[WeekIndex],81)&gt;0)*(COUNTIFS(T_TTAFStock[RM_Code],$A60,T_TTAFStock[WeekIndex],81)&gt;0)&gt;0,SUMIFS(T_SelfStock[Self_Qty],T_SelfStock[RM_Code],$A60,T_SelfStock[WeekIndex],81)+SUMIFS(T_TTAFStock[TTAF_Qty],T_TTAFStock[RM_Code],$A60,T_TTAFStock[WeekIndex],81),CC60+'Grid_Incoming'!CD60-'Grid_Requirement'!CD60))</f>
        <v/>
      </c>
      <c r="CE60">
        <f>IF(COUNTIFS(T_StockCount[RM_Code],$A60,T_StockCount[WeekIndex],82)&gt;0,SUMIFS(T_StockCount[CountedQty],T_StockCount[RM_Code],$A60,T_StockCount[WeekIndex],82),IF((COUNTIFS(T_SelfStock[RM_Code],$A60,T_SelfStock[WeekIndex],82)&gt;0)*(COUNTIFS(T_TTAFStock[RM_Code],$A60,T_TTAFStock[WeekIndex],82)&gt;0)&gt;0,SUMIFS(T_SelfStock[Self_Qty],T_SelfStock[RM_Code],$A60,T_SelfStock[WeekIndex],82)+SUMIFS(T_TTAFStock[TTAF_Qty],T_TTAFStock[RM_Code],$A60,T_TTAFStock[WeekIndex],82),CD60+'Grid_Incoming'!CE60-'Grid_Requirement'!CE60))</f>
        <v/>
      </c>
      <c r="CF60">
        <f>IF(COUNTIFS(T_StockCount[RM_Code],$A60,T_StockCount[WeekIndex],83)&gt;0,SUMIFS(T_StockCount[CountedQty],T_StockCount[RM_Code],$A60,T_StockCount[WeekIndex],83),IF((COUNTIFS(T_SelfStock[RM_Code],$A60,T_SelfStock[WeekIndex],83)&gt;0)*(COUNTIFS(T_TTAFStock[RM_Code],$A60,T_TTAFStock[WeekIndex],83)&gt;0)&gt;0,SUMIFS(T_SelfStock[Self_Qty],T_SelfStock[RM_Code],$A60,T_SelfStock[WeekIndex],83)+SUMIFS(T_TTAFStock[TTAF_Qty],T_TTAFStock[RM_Code],$A60,T_TTAFStock[WeekIndex],83),CE60+'Grid_Incoming'!CF60-'Grid_Requirement'!CF60))</f>
        <v/>
      </c>
      <c r="CG60">
        <f>IF(COUNTIFS(T_StockCount[RM_Code],$A60,T_StockCount[WeekIndex],84)&gt;0,SUMIFS(T_StockCount[CountedQty],T_StockCount[RM_Code],$A60,T_StockCount[WeekIndex],84),IF((COUNTIFS(T_SelfStock[RM_Code],$A60,T_SelfStock[WeekIndex],84)&gt;0)*(COUNTIFS(T_TTAFStock[RM_Code],$A60,T_TTAFStock[WeekIndex],84)&gt;0)&gt;0,SUMIFS(T_SelfStock[Self_Qty],T_SelfStock[RM_Code],$A60,T_SelfStock[WeekIndex],84)+SUMIFS(T_TTAFStock[TTAF_Qty],T_TTAFStock[RM_Code],$A60,T_TTAFStock[WeekIndex],84),CF60+'Grid_Incoming'!CG60-'Grid_Requirement'!CG60))</f>
        <v/>
      </c>
      <c r="CH60">
        <f>IF(COUNTIFS(T_StockCount[RM_Code],$A60,T_StockCount[WeekIndex],85)&gt;0,SUMIFS(T_StockCount[CountedQty],T_StockCount[RM_Code],$A60,T_StockCount[WeekIndex],85),IF((COUNTIFS(T_SelfStock[RM_Code],$A60,T_SelfStock[WeekIndex],85)&gt;0)*(COUNTIFS(T_TTAFStock[RM_Code],$A60,T_TTAFStock[WeekIndex],85)&gt;0)&gt;0,SUMIFS(T_SelfStock[Self_Qty],T_SelfStock[RM_Code],$A60,T_SelfStock[WeekIndex],85)+SUMIFS(T_TTAFStock[TTAF_Qty],T_TTAFStock[RM_Code],$A60,T_TTAFStock[WeekIndex],85),CG60+'Grid_Incoming'!CH60-'Grid_Requirement'!CH60))</f>
        <v/>
      </c>
      <c r="CI60">
        <f>IF(COUNTIFS(T_StockCount[RM_Code],$A60,T_StockCount[WeekIndex],86)&gt;0,SUMIFS(T_StockCount[CountedQty],T_StockCount[RM_Code],$A60,T_StockCount[WeekIndex],86),IF((COUNTIFS(T_SelfStock[RM_Code],$A60,T_SelfStock[WeekIndex],86)&gt;0)*(COUNTIFS(T_TTAFStock[RM_Code],$A60,T_TTAFStock[WeekIndex],86)&gt;0)&gt;0,SUMIFS(T_SelfStock[Self_Qty],T_SelfStock[RM_Code],$A60,T_SelfStock[WeekIndex],86)+SUMIFS(T_TTAFStock[TTAF_Qty],T_TTAFStock[RM_Code],$A60,T_TTAFStock[WeekIndex],86),CH60+'Grid_Incoming'!CI60-'Grid_Requirement'!CI60))</f>
        <v/>
      </c>
      <c r="CJ60">
        <f>IF(COUNTIFS(T_StockCount[RM_Code],$A60,T_StockCount[WeekIndex],87)&gt;0,SUMIFS(T_StockCount[CountedQty],T_StockCount[RM_Code],$A60,T_StockCount[WeekIndex],87),IF((COUNTIFS(T_SelfStock[RM_Code],$A60,T_SelfStock[WeekIndex],87)&gt;0)*(COUNTIFS(T_TTAFStock[RM_Code],$A60,T_TTAFStock[WeekIndex],87)&gt;0)&gt;0,SUMIFS(T_SelfStock[Self_Qty],T_SelfStock[RM_Code],$A60,T_SelfStock[WeekIndex],87)+SUMIFS(T_TTAFStock[TTAF_Qty],T_TTAFStock[RM_Code],$A60,T_TTAFStock[WeekIndex],87),CI60+'Grid_Incoming'!CJ60-'Grid_Requirement'!CJ60))</f>
        <v/>
      </c>
      <c r="CK60">
        <f>IF(COUNTIFS(T_StockCount[RM_Code],$A60,T_StockCount[WeekIndex],88)&gt;0,SUMIFS(T_StockCount[CountedQty],T_StockCount[RM_Code],$A60,T_StockCount[WeekIndex],88),IF((COUNTIFS(T_SelfStock[RM_Code],$A60,T_SelfStock[WeekIndex],88)&gt;0)*(COUNTIFS(T_TTAFStock[RM_Code],$A60,T_TTAFStock[WeekIndex],88)&gt;0)&gt;0,SUMIFS(T_SelfStock[Self_Qty],T_SelfStock[RM_Code],$A60,T_SelfStock[WeekIndex],88)+SUMIFS(T_TTAFStock[TTAF_Qty],T_TTAFStock[RM_Code],$A60,T_TTAFStock[WeekIndex],88),CJ60+'Grid_Incoming'!CK60-'Grid_Requirement'!CK60))</f>
        <v/>
      </c>
      <c r="CL60">
        <f>IF(COUNTIFS(T_StockCount[RM_Code],$A60,T_StockCount[WeekIndex],89)&gt;0,SUMIFS(T_StockCount[CountedQty],T_StockCount[RM_Code],$A60,T_StockCount[WeekIndex],89),IF((COUNTIFS(T_SelfStock[RM_Code],$A60,T_SelfStock[WeekIndex],89)&gt;0)*(COUNTIFS(T_TTAFStock[RM_Code],$A60,T_TTAFStock[WeekIndex],89)&gt;0)&gt;0,SUMIFS(T_SelfStock[Self_Qty],T_SelfStock[RM_Code],$A60,T_SelfStock[WeekIndex],89)+SUMIFS(T_TTAFStock[TTAF_Qty],T_TTAFStock[RM_Code],$A60,T_TTAFStock[WeekIndex],89),CK60+'Grid_Incoming'!CL60-'Grid_Requirement'!CL60))</f>
        <v/>
      </c>
      <c r="CM60">
        <f>IF(COUNTIFS(T_StockCount[RM_Code],$A60,T_StockCount[WeekIndex],90)&gt;0,SUMIFS(T_StockCount[CountedQty],T_StockCount[RM_Code],$A60,T_StockCount[WeekIndex],90),IF((COUNTIFS(T_SelfStock[RM_Code],$A60,T_SelfStock[WeekIndex],90)&gt;0)*(COUNTIFS(T_TTAFStock[RM_Code],$A60,T_TTAFStock[WeekIndex],90)&gt;0)&gt;0,SUMIFS(T_SelfStock[Self_Qty],T_SelfStock[RM_Code],$A60,T_SelfStock[WeekIndex],90)+SUMIFS(T_TTAFStock[TTAF_Qty],T_TTAFStock[RM_Code],$A60,T_TTAFStock[WeekIndex],90),CL60+'Grid_Incoming'!CM60-'Grid_Requirement'!CM60))</f>
        <v/>
      </c>
      <c r="CN60">
        <f>IF(COUNTIFS(T_StockCount[RM_Code],$A60,T_StockCount[WeekIndex],91)&gt;0,SUMIFS(T_StockCount[CountedQty],T_StockCount[RM_Code],$A60,T_StockCount[WeekIndex],91),IF((COUNTIFS(T_SelfStock[RM_Code],$A60,T_SelfStock[WeekIndex],91)&gt;0)*(COUNTIFS(T_TTAFStock[RM_Code],$A60,T_TTAFStock[WeekIndex],91)&gt;0)&gt;0,SUMIFS(T_SelfStock[Self_Qty],T_SelfStock[RM_Code],$A60,T_SelfStock[WeekIndex],91)+SUMIFS(T_TTAFStock[TTAF_Qty],T_TTAFStock[RM_Code],$A60,T_TTAFStock[WeekIndex],91),CM60+'Grid_Incoming'!CN60-'Grid_Requirement'!CN60))</f>
        <v/>
      </c>
      <c r="CO60">
        <f>IF(COUNTIFS(T_StockCount[RM_Code],$A60,T_StockCount[WeekIndex],92)&gt;0,SUMIFS(T_StockCount[CountedQty],T_StockCount[RM_Code],$A60,T_StockCount[WeekIndex],92),IF((COUNTIFS(T_SelfStock[RM_Code],$A60,T_SelfStock[WeekIndex],92)&gt;0)*(COUNTIFS(T_TTAFStock[RM_Code],$A60,T_TTAFStock[WeekIndex],92)&gt;0)&gt;0,SUMIFS(T_SelfStock[Self_Qty],T_SelfStock[RM_Code],$A60,T_SelfStock[WeekIndex],92)+SUMIFS(T_TTAFStock[TTAF_Qty],T_TTAFStock[RM_Code],$A60,T_TTAFStock[WeekIndex],92),CN60+'Grid_Incoming'!CO60-'Grid_Requirement'!CO60))</f>
        <v/>
      </c>
      <c r="CP60">
        <f>IF(COUNTIFS(T_StockCount[RM_Code],$A60,T_StockCount[WeekIndex],93)&gt;0,SUMIFS(T_StockCount[CountedQty],T_StockCount[RM_Code],$A60,T_StockCount[WeekIndex],93),IF((COUNTIFS(T_SelfStock[RM_Code],$A60,T_SelfStock[WeekIndex],93)&gt;0)*(COUNTIFS(T_TTAFStock[RM_Code],$A60,T_TTAFStock[WeekIndex],93)&gt;0)&gt;0,SUMIFS(T_SelfStock[Self_Qty],T_SelfStock[RM_Code],$A60,T_SelfStock[WeekIndex],93)+SUMIFS(T_TTAFStock[TTAF_Qty],T_TTAFStock[RM_Code],$A60,T_TTAFStock[WeekIndex],93),CO60+'Grid_Incoming'!CP60-'Grid_Requirement'!CP60))</f>
        <v/>
      </c>
      <c r="CQ60">
        <f>IF(COUNTIFS(T_StockCount[RM_Code],$A60,T_StockCount[WeekIndex],94)&gt;0,SUMIFS(T_StockCount[CountedQty],T_StockCount[RM_Code],$A60,T_StockCount[WeekIndex],94),IF((COUNTIFS(T_SelfStock[RM_Code],$A60,T_SelfStock[WeekIndex],94)&gt;0)*(COUNTIFS(T_TTAFStock[RM_Code],$A60,T_TTAFStock[WeekIndex],94)&gt;0)&gt;0,SUMIFS(T_SelfStock[Self_Qty],T_SelfStock[RM_Code],$A60,T_SelfStock[WeekIndex],94)+SUMIFS(T_TTAFStock[TTAF_Qty],T_TTAFStock[RM_Code],$A60,T_TTAFStock[WeekIndex],94),CP60+'Grid_Incoming'!CQ60-'Grid_Requirement'!CQ60))</f>
        <v/>
      </c>
      <c r="CR60">
        <f>IF(COUNTIFS(T_StockCount[RM_Code],$A60,T_StockCount[WeekIndex],95)&gt;0,SUMIFS(T_StockCount[CountedQty],T_StockCount[RM_Code],$A60,T_StockCount[WeekIndex],95),IF((COUNTIFS(T_SelfStock[RM_Code],$A60,T_SelfStock[WeekIndex],95)&gt;0)*(COUNTIFS(T_TTAFStock[RM_Code],$A60,T_TTAFStock[WeekIndex],95)&gt;0)&gt;0,SUMIFS(T_SelfStock[Self_Qty],T_SelfStock[RM_Code],$A60,T_SelfStock[WeekIndex],95)+SUMIFS(T_TTAFStock[TTAF_Qty],T_TTAFStock[RM_Code],$A60,T_TTAFStock[WeekIndex],95),CQ60+'Grid_Incoming'!CR60-'Grid_Requirement'!CR60))</f>
        <v/>
      </c>
      <c r="CS60">
        <f>IF(COUNTIFS(T_StockCount[RM_Code],$A60,T_StockCount[WeekIndex],96)&gt;0,SUMIFS(T_StockCount[CountedQty],T_StockCount[RM_Code],$A60,T_StockCount[WeekIndex],96),IF((COUNTIFS(T_SelfStock[RM_Code],$A60,T_SelfStock[WeekIndex],96)&gt;0)*(COUNTIFS(T_TTAFStock[RM_Code],$A60,T_TTAFStock[WeekIndex],96)&gt;0)&gt;0,SUMIFS(T_SelfStock[Self_Qty],T_SelfStock[RM_Code],$A60,T_SelfStock[WeekIndex],96)+SUMIFS(T_TTAFStock[TTAF_Qty],T_TTAFStock[RM_Code],$A60,T_TTAFStock[WeekIndex],96),CR60+'Grid_Incoming'!CS60-'Grid_Requirement'!CS60))</f>
        <v/>
      </c>
      <c r="CT60">
        <f>IF(COUNTIFS(T_StockCount[RM_Code],$A60,T_StockCount[WeekIndex],97)&gt;0,SUMIFS(T_StockCount[CountedQty],T_StockCount[RM_Code],$A60,T_StockCount[WeekIndex],97),IF((COUNTIFS(T_SelfStock[RM_Code],$A60,T_SelfStock[WeekIndex],97)&gt;0)*(COUNTIFS(T_TTAFStock[RM_Code],$A60,T_TTAFStock[WeekIndex],97)&gt;0)&gt;0,SUMIFS(T_SelfStock[Self_Qty],T_SelfStock[RM_Code],$A60,T_SelfStock[WeekIndex],97)+SUMIFS(T_TTAFStock[TTAF_Qty],T_TTAFStock[RM_Code],$A60,T_TTAFStock[WeekIndex],97),CS60+'Grid_Incoming'!CT60-'Grid_Requirement'!CT60))</f>
        <v/>
      </c>
      <c r="CU60">
        <f>IF(COUNTIFS(T_StockCount[RM_Code],$A60,T_StockCount[WeekIndex],98)&gt;0,SUMIFS(T_StockCount[CountedQty],T_StockCount[RM_Code],$A60,T_StockCount[WeekIndex],98),IF((COUNTIFS(T_SelfStock[RM_Code],$A60,T_SelfStock[WeekIndex],98)&gt;0)*(COUNTIFS(T_TTAFStock[RM_Code],$A60,T_TTAFStock[WeekIndex],98)&gt;0)&gt;0,SUMIFS(T_SelfStock[Self_Qty],T_SelfStock[RM_Code],$A60,T_SelfStock[WeekIndex],98)+SUMIFS(T_TTAFStock[TTAF_Qty],T_TTAFStock[RM_Code],$A60,T_TTAFStock[WeekIndex],98),CT60+'Grid_Incoming'!CU60-'Grid_Requirement'!CU60))</f>
        <v/>
      </c>
      <c r="CV60">
        <f>IF(COUNTIFS(T_StockCount[RM_Code],$A60,T_StockCount[WeekIndex],99)&gt;0,SUMIFS(T_StockCount[CountedQty],T_StockCount[RM_Code],$A60,T_StockCount[WeekIndex],99),IF((COUNTIFS(T_SelfStock[RM_Code],$A60,T_SelfStock[WeekIndex],99)&gt;0)*(COUNTIFS(T_TTAFStock[RM_Code],$A60,T_TTAFStock[WeekIndex],99)&gt;0)&gt;0,SUMIFS(T_SelfStock[Self_Qty],T_SelfStock[RM_Code],$A60,T_SelfStock[WeekIndex],99)+SUMIFS(T_TTAFStock[TTAF_Qty],T_TTAFStock[RM_Code],$A60,T_TTAFStock[WeekIndex],99),CU60+'Grid_Incoming'!CV60-'Grid_Requirement'!CV60))</f>
        <v/>
      </c>
      <c r="CW60">
        <f>IF(COUNTIFS(T_StockCount[RM_Code],$A60,T_StockCount[WeekIndex],100)&gt;0,SUMIFS(T_StockCount[CountedQty],T_StockCount[RM_Code],$A60,T_StockCount[WeekIndex],100),IF((COUNTIFS(T_SelfStock[RM_Code],$A60,T_SelfStock[WeekIndex],100)&gt;0)*(COUNTIFS(T_TTAFStock[RM_Code],$A60,T_TTAFStock[WeekIndex],100)&gt;0)&gt;0,SUMIFS(T_SelfStock[Self_Qty],T_SelfStock[RM_Code],$A60,T_SelfStock[WeekIndex],100)+SUMIFS(T_TTAFStock[TTAF_Qty],T_TTAFStock[RM_Code],$A60,T_TTAFStock[WeekIndex],100),CV60+'Grid_Incoming'!CW60-'Grid_Requirement'!CW60))</f>
        <v/>
      </c>
      <c r="CX60">
        <f>IF(COUNTIFS(T_StockCount[RM_Code],$A60,T_StockCount[WeekIndex],101)&gt;0,SUMIFS(T_StockCount[CountedQty],T_StockCount[RM_Code],$A60,T_StockCount[WeekIndex],101),IF((COUNTIFS(T_SelfStock[RM_Code],$A60,T_SelfStock[WeekIndex],101)&gt;0)*(COUNTIFS(T_TTAFStock[RM_Code],$A60,T_TTAFStock[WeekIndex],101)&gt;0)&gt;0,SUMIFS(T_SelfStock[Self_Qty],T_SelfStock[RM_Code],$A60,T_SelfStock[WeekIndex],101)+SUMIFS(T_TTAFStock[TTAF_Qty],T_TTAFStock[RM_Code],$A60,T_TTAFStock[WeekIndex],101),CW60+'Grid_Incoming'!CX60-'Grid_Requirement'!CX60))</f>
        <v/>
      </c>
      <c r="CY60">
        <f>IF(COUNTIFS(T_StockCount[RM_Code],$A60,T_StockCount[WeekIndex],102)&gt;0,SUMIFS(T_StockCount[CountedQty],T_StockCount[RM_Code],$A60,T_StockCount[WeekIndex],102),IF((COUNTIFS(T_SelfStock[RM_Code],$A60,T_SelfStock[WeekIndex],102)&gt;0)*(COUNTIFS(T_TTAFStock[RM_Code],$A60,T_TTAFStock[WeekIndex],102)&gt;0)&gt;0,SUMIFS(T_SelfStock[Self_Qty],T_SelfStock[RM_Code],$A60,T_SelfStock[WeekIndex],102)+SUMIFS(T_TTAFStock[TTAF_Qty],T_TTAFStock[RM_Code],$A60,T_TTAFStock[WeekIndex],102),CX60+'Grid_Incoming'!CY60-'Grid_Requirement'!CY60))</f>
        <v/>
      </c>
      <c r="CZ60">
        <f>IF(COUNTIFS(T_StockCount[RM_Code],$A60,T_StockCount[WeekIndex],103)&gt;0,SUMIFS(T_StockCount[CountedQty],T_StockCount[RM_Code],$A60,T_StockCount[WeekIndex],103),IF((COUNTIFS(T_SelfStock[RM_Code],$A60,T_SelfStock[WeekIndex],103)&gt;0)*(COUNTIFS(T_TTAFStock[RM_Code],$A60,T_TTAFStock[WeekIndex],103)&gt;0)&gt;0,SUMIFS(T_SelfStock[Self_Qty],T_SelfStock[RM_Code],$A60,T_SelfStock[WeekIndex],103)+SUMIFS(T_TTAFStock[TTAF_Qty],T_TTAFStock[RM_Code],$A60,T_TTAFStock[WeekIndex],103),CY60+'Grid_Incoming'!CZ60-'Grid_Requirement'!CZ60))</f>
        <v/>
      </c>
      <c r="DA60">
        <f>IF(COUNTIFS(T_StockCount[RM_Code],$A60,T_StockCount[WeekIndex],104)&gt;0,SUMIFS(T_StockCount[CountedQty],T_StockCount[RM_Code],$A60,T_StockCount[WeekIndex],104),IF((COUNTIFS(T_SelfStock[RM_Code],$A60,T_SelfStock[WeekIndex],104)&gt;0)*(COUNTIFS(T_TTAFStock[RM_Code],$A60,T_TTAFStock[WeekIndex],104)&gt;0)&gt;0,SUMIFS(T_SelfStock[Self_Qty],T_SelfStock[RM_Code],$A60,T_SelfStock[WeekIndex],104)+SUMIFS(T_TTAFStock[TTAF_Qty],T_TTAFStock[RM_Code],$A60,T_TTAFStock[WeekIndex],104),CZ60+'Grid_Incoming'!DA60-'Grid_Requirement'!DA60))</f>
        <v/>
      </c>
    </row>
    <row r="61">
      <c r="A61" t="inlineStr">
        <is>
          <t>CSA Code</t>
        </is>
      </c>
      <c r="B61">
        <f>IF(COUNTIFS(T_StockCount[RM_Code],$A61,T_StockCount[WeekIndex],1)&gt;0,SUMIFS(T_StockCount[CountedQty],T_StockCount[RM_Code],$A61,T_StockCount[WeekIndex],1),IF((COUNTIFS(T_SelfStock[RM_Code],$A61,T_SelfStock[WeekIndex],1)&gt;0)*(COUNTIFS(T_TTAFStock[RM_Code],$A61,T_TTAFStock[WeekIndex],1)&gt;0)&gt;0,SUMIFS(T_SelfStock[Self_Qty],T_SelfStock[RM_Code],$A61,T_SelfStock[WeekIndex],1)+SUMIFS(T_TTAFStock[TTAF_Qty],T_TTAFStock[RM_Code],$A61,T_TTAFStock[WeekIndex],1),IFERROR(INDEX(T_OpeningStock[Opening_Qty],MATCH($A61,T_OpeningStock[RM_Code],0)),0)+'Grid_Incoming'!B61-'Grid_Requirement'!B61))</f>
        <v/>
      </c>
      <c r="C61">
        <f>IF(COUNTIFS(T_StockCount[RM_Code],$A61,T_StockCount[WeekIndex],2)&gt;0,SUMIFS(T_StockCount[CountedQty],T_StockCount[RM_Code],$A61,T_StockCount[WeekIndex],2),IF((COUNTIFS(T_SelfStock[RM_Code],$A61,T_SelfStock[WeekIndex],2)&gt;0)*(COUNTIFS(T_TTAFStock[RM_Code],$A61,T_TTAFStock[WeekIndex],2)&gt;0)&gt;0,SUMIFS(T_SelfStock[Self_Qty],T_SelfStock[RM_Code],$A61,T_SelfStock[WeekIndex],2)+SUMIFS(T_TTAFStock[TTAF_Qty],T_TTAFStock[RM_Code],$A61,T_TTAFStock[WeekIndex],2),B61+'Grid_Incoming'!C61-'Grid_Requirement'!C61))</f>
        <v/>
      </c>
      <c r="D61">
        <f>IF(COUNTIFS(T_StockCount[RM_Code],$A61,T_StockCount[WeekIndex],3)&gt;0,SUMIFS(T_StockCount[CountedQty],T_StockCount[RM_Code],$A61,T_StockCount[WeekIndex],3),IF((COUNTIFS(T_SelfStock[RM_Code],$A61,T_SelfStock[WeekIndex],3)&gt;0)*(COUNTIFS(T_TTAFStock[RM_Code],$A61,T_TTAFStock[WeekIndex],3)&gt;0)&gt;0,SUMIFS(T_SelfStock[Self_Qty],T_SelfStock[RM_Code],$A61,T_SelfStock[WeekIndex],3)+SUMIFS(T_TTAFStock[TTAF_Qty],T_TTAFStock[RM_Code],$A61,T_TTAFStock[WeekIndex],3),C61+'Grid_Incoming'!D61-'Grid_Requirement'!D61))</f>
        <v/>
      </c>
      <c r="E61">
        <f>IF(COUNTIFS(T_StockCount[RM_Code],$A61,T_StockCount[WeekIndex],4)&gt;0,SUMIFS(T_StockCount[CountedQty],T_StockCount[RM_Code],$A61,T_StockCount[WeekIndex],4),IF((COUNTIFS(T_SelfStock[RM_Code],$A61,T_SelfStock[WeekIndex],4)&gt;0)*(COUNTIFS(T_TTAFStock[RM_Code],$A61,T_TTAFStock[WeekIndex],4)&gt;0)&gt;0,SUMIFS(T_SelfStock[Self_Qty],T_SelfStock[RM_Code],$A61,T_SelfStock[WeekIndex],4)+SUMIFS(T_TTAFStock[TTAF_Qty],T_TTAFStock[RM_Code],$A61,T_TTAFStock[WeekIndex],4),D61+'Grid_Incoming'!E61-'Grid_Requirement'!E61))</f>
        <v/>
      </c>
      <c r="F61">
        <f>IF(COUNTIFS(T_StockCount[RM_Code],$A61,T_StockCount[WeekIndex],5)&gt;0,SUMIFS(T_StockCount[CountedQty],T_StockCount[RM_Code],$A61,T_StockCount[WeekIndex],5),IF((COUNTIFS(T_SelfStock[RM_Code],$A61,T_SelfStock[WeekIndex],5)&gt;0)*(COUNTIFS(T_TTAFStock[RM_Code],$A61,T_TTAFStock[WeekIndex],5)&gt;0)&gt;0,SUMIFS(T_SelfStock[Self_Qty],T_SelfStock[RM_Code],$A61,T_SelfStock[WeekIndex],5)+SUMIFS(T_TTAFStock[TTAF_Qty],T_TTAFStock[RM_Code],$A61,T_TTAFStock[WeekIndex],5),E61+'Grid_Incoming'!F61-'Grid_Requirement'!F61))</f>
        <v/>
      </c>
      <c r="G61">
        <f>IF(COUNTIFS(T_StockCount[RM_Code],$A61,T_StockCount[WeekIndex],6)&gt;0,SUMIFS(T_StockCount[CountedQty],T_StockCount[RM_Code],$A61,T_StockCount[WeekIndex],6),IF((COUNTIFS(T_SelfStock[RM_Code],$A61,T_SelfStock[WeekIndex],6)&gt;0)*(COUNTIFS(T_TTAFStock[RM_Code],$A61,T_TTAFStock[WeekIndex],6)&gt;0)&gt;0,SUMIFS(T_SelfStock[Self_Qty],T_SelfStock[RM_Code],$A61,T_SelfStock[WeekIndex],6)+SUMIFS(T_TTAFStock[TTAF_Qty],T_TTAFStock[RM_Code],$A61,T_TTAFStock[WeekIndex],6),F61+'Grid_Incoming'!G61-'Grid_Requirement'!G61))</f>
        <v/>
      </c>
      <c r="H61">
        <f>IF(COUNTIFS(T_StockCount[RM_Code],$A61,T_StockCount[WeekIndex],7)&gt;0,SUMIFS(T_StockCount[CountedQty],T_StockCount[RM_Code],$A61,T_StockCount[WeekIndex],7),IF((COUNTIFS(T_SelfStock[RM_Code],$A61,T_SelfStock[WeekIndex],7)&gt;0)*(COUNTIFS(T_TTAFStock[RM_Code],$A61,T_TTAFStock[WeekIndex],7)&gt;0)&gt;0,SUMIFS(T_SelfStock[Self_Qty],T_SelfStock[RM_Code],$A61,T_SelfStock[WeekIndex],7)+SUMIFS(T_TTAFStock[TTAF_Qty],T_TTAFStock[RM_Code],$A61,T_TTAFStock[WeekIndex],7),G61+'Grid_Incoming'!H61-'Grid_Requirement'!H61))</f>
        <v/>
      </c>
      <c r="I61">
        <f>IF(COUNTIFS(T_StockCount[RM_Code],$A61,T_StockCount[WeekIndex],8)&gt;0,SUMIFS(T_StockCount[CountedQty],T_StockCount[RM_Code],$A61,T_StockCount[WeekIndex],8),IF((COUNTIFS(T_SelfStock[RM_Code],$A61,T_SelfStock[WeekIndex],8)&gt;0)*(COUNTIFS(T_TTAFStock[RM_Code],$A61,T_TTAFStock[WeekIndex],8)&gt;0)&gt;0,SUMIFS(T_SelfStock[Self_Qty],T_SelfStock[RM_Code],$A61,T_SelfStock[WeekIndex],8)+SUMIFS(T_TTAFStock[TTAF_Qty],T_TTAFStock[RM_Code],$A61,T_TTAFStock[WeekIndex],8),H61+'Grid_Incoming'!I61-'Grid_Requirement'!I61))</f>
        <v/>
      </c>
      <c r="J61">
        <f>IF(COUNTIFS(T_StockCount[RM_Code],$A61,T_StockCount[WeekIndex],9)&gt;0,SUMIFS(T_StockCount[CountedQty],T_StockCount[RM_Code],$A61,T_StockCount[WeekIndex],9),IF((COUNTIFS(T_SelfStock[RM_Code],$A61,T_SelfStock[WeekIndex],9)&gt;0)*(COUNTIFS(T_TTAFStock[RM_Code],$A61,T_TTAFStock[WeekIndex],9)&gt;0)&gt;0,SUMIFS(T_SelfStock[Self_Qty],T_SelfStock[RM_Code],$A61,T_SelfStock[WeekIndex],9)+SUMIFS(T_TTAFStock[TTAF_Qty],T_TTAFStock[RM_Code],$A61,T_TTAFStock[WeekIndex],9),I61+'Grid_Incoming'!J61-'Grid_Requirement'!J61))</f>
        <v/>
      </c>
      <c r="K61">
        <f>IF(COUNTIFS(T_StockCount[RM_Code],$A61,T_StockCount[WeekIndex],10)&gt;0,SUMIFS(T_StockCount[CountedQty],T_StockCount[RM_Code],$A61,T_StockCount[WeekIndex],10),IF((COUNTIFS(T_SelfStock[RM_Code],$A61,T_SelfStock[WeekIndex],10)&gt;0)*(COUNTIFS(T_TTAFStock[RM_Code],$A61,T_TTAFStock[WeekIndex],10)&gt;0)&gt;0,SUMIFS(T_SelfStock[Self_Qty],T_SelfStock[RM_Code],$A61,T_SelfStock[WeekIndex],10)+SUMIFS(T_TTAFStock[TTAF_Qty],T_TTAFStock[RM_Code],$A61,T_TTAFStock[WeekIndex],10),J61+'Grid_Incoming'!K61-'Grid_Requirement'!K61))</f>
        <v/>
      </c>
      <c r="L61">
        <f>IF(COUNTIFS(T_StockCount[RM_Code],$A61,T_StockCount[WeekIndex],11)&gt;0,SUMIFS(T_StockCount[CountedQty],T_StockCount[RM_Code],$A61,T_StockCount[WeekIndex],11),IF((COUNTIFS(T_SelfStock[RM_Code],$A61,T_SelfStock[WeekIndex],11)&gt;0)*(COUNTIFS(T_TTAFStock[RM_Code],$A61,T_TTAFStock[WeekIndex],11)&gt;0)&gt;0,SUMIFS(T_SelfStock[Self_Qty],T_SelfStock[RM_Code],$A61,T_SelfStock[WeekIndex],11)+SUMIFS(T_TTAFStock[TTAF_Qty],T_TTAFStock[RM_Code],$A61,T_TTAFStock[WeekIndex],11),K61+'Grid_Incoming'!L61-'Grid_Requirement'!L61))</f>
        <v/>
      </c>
      <c r="M61">
        <f>IF(COUNTIFS(T_StockCount[RM_Code],$A61,T_StockCount[WeekIndex],12)&gt;0,SUMIFS(T_StockCount[CountedQty],T_StockCount[RM_Code],$A61,T_StockCount[WeekIndex],12),IF((COUNTIFS(T_SelfStock[RM_Code],$A61,T_SelfStock[WeekIndex],12)&gt;0)*(COUNTIFS(T_TTAFStock[RM_Code],$A61,T_TTAFStock[WeekIndex],12)&gt;0)&gt;0,SUMIFS(T_SelfStock[Self_Qty],T_SelfStock[RM_Code],$A61,T_SelfStock[WeekIndex],12)+SUMIFS(T_TTAFStock[TTAF_Qty],T_TTAFStock[RM_Code],$A61,T_TTAFStock[WeekIndex],12),L61+'Grid_Incoming'!M61-'Grid_Requirement'!M61))</f>
        <v/>
      </c>
      <c r="N61">
        <f>IF(COUNTIFS(T_StockCount[RM_Code],$A61,T_StockCount[WeekIndex],13)&gt;0,SUMIFS(T_StockCount[CountedQty],T_StockCount[RM_Code],$A61,T_StockCount[WeekIndex],13),IF((COUNTIFS(T_SelfStock[RM_Code],$A61,T_SelfStock[WeekIndex],13)&gt;0)*(COUNTIFS(T_TTAFStock[RM_Code],$A61,T_TTAFStock[WeekIndex],13)&gt;0)&gt;0,SUMIFS(T_SelfStock[Self_Qty],T_SelfStock[RM_Code],$A61,T_SelfStock[WeekIndex],13)+SUMIFS(T_TTAFStock[TTAF_Qty],T_TTAFStock[RM_Code],$A61,T_TTAFStock[WeekIndex],13),M61+'Grid_Incoming'!N61-'Grid_Requirement'!N61))</f>
        <v/>
      </c>
      <c r="O61">
        <f>IF(COUNTIFS(T_StockCount[RM_Code],$A61,T_StockCount[WeekIndex],14)&gt;0,SUMIFS(T_StockCount[CountedQty],T_StockCount[RM_Code],$A61,T_StockCount[WeekIndex],14),IF((COUNTIFS(T_SelfStock[RM_Code],$A61,T_SelfStock[WeekIndex],14)&gt;0)*(COUNTIFS(T_TTAFStock[RM_Code],$A61,T_TTAFStock[WeekIndex],14)&gt;0)&gt;0,SUMIFS(T_SelfStock[Self_Qty],T_SelfStock[RM_Code],$A61,T_SelfStock[WeekIndex],14)+SUMIFS(T_TTAFStock[TTAF_Qty],T_TTAFStock[RM_Code],$A61,T_TTAFStock[WeekIndex],14),N61+'Grid_Incoming'!O61-'Grid_Requirement'!O61))</f>
        <v/>
      </c>
      <c r="P61">
        <f>IF(COUNTIFS(T_StockCount[RM_Code],$A61,T_StockCount[WeekIndex],15)&gt;0,SUMIFS(T_StockCount[CountedQty],T_StockCount[RM_Code],$A61,T_StockCount[WeekIndex],15),IF((COUNTIFS(T_SelfStock[RM_Code],$A61,T_SelfStock[WeekIndex],15)&gt;0)*(COUNTIFS(T_TTAFStock[RM_Code],$A61,T_TTAFStock[WeekIndex],15)&gt;0)&gt;0,SUMIFS(T_SelfStock[Self_Qty],T_SelfStock[RM_Code],$A61,T_SelfStock[WeekIndex],15)+SUMIFS(T_TTAFStock[TTAF_Qty],T_TTAFStock[RM_Code],$A61,T_TTAFStock[WeekIndex],15),O61+'Grid_Incoming'!P61-'Grid_Requirement'!P61))</f>
        <v/>
      </c>
      <c r="Q61">
        <f>IF(COUNTIFS(T_StockCount[RM_Code],$A61,T_StockCount[WeekIndex],16)&gt;0,SUMIFS(T_StockCount[CountedQty],T_StockCount[RM_Code],$A61,T_StockCount[WeekIndex],16),IF((COUNTIFS(T_SelfStock[RM_Code],$A61,T_SelfStock[WeekIndex],16)&gt;0)*(COUNTIFS(T_TTAFStock[RM_Code],$A61,T_TTAFStock[WeekIndex],16)&gt;0)&gt;0,SUMIFS(T_SelfStock[Self_Qty],T_SelfStock[RM_Code],$A61,T_SelfStock[WeekIndex],16)+SUMIFS(T_TTAFStock[TTAF_Qty],T_TTAFStock[RM_Code],$A61,T_TTAFStock[WeekIndex],16),P61+'Grid_Incoming'!Q61-'Grid_Requirement'!Q61))</f>
        <v/>
      </c>
      <c r="R61">
        <f>IF(COUNTIFS(T_StockCount[RM_Code],$A61,T_StockCount[WeekIndex],17)&gt;0,SUMIFS(T_StockCount[CountedQty],T_StockCount[RM_Code],$A61,T_StockCount[WeekIndex],17),IF((COUNTIFS(T_SelfStock[RM_Code],$A61,T_SelfStock[WeekIndex],17)&gt;0)*(COUNTIFS(T_TTAFStock[RM_Code],$A61,T_TTAFStock[WeekIndex],17)&gt;0)&gt;0,SUMIFS(T_SelfStock[Self_Qty],T_SelfStock[RM_Code],$A61,T_SelfStock[WeekIndex],17)+SUMIFS(T_TTAFStock[TTAF_Qty],T_TTAFStock[RM_Code],$A61,T_TTAFStock[WeekIndex],17),Q61+'Grid_Incoming'!R61-'Grid_Requirement'!R61))</f>
        <v/>
      </c>
      <c r="S61">
        <f>IF(COUNTIFS(T_StockCount[RM_Code],$A61,T_StockCount[WeekIndex],18)&gt;0,SUMIFS(T_StockCount[CountedQty],T_StockCount[RM_Code],$A61,T_StockCount[WeekIndex],18),IF((COUNTIFS(T_SelfStock[RM_Code],$A61,T_SelfStock[WeekIndex],18)&gt;0)*(COUNTIFS(T_TTAFStock[RM_Code],$A61,T_TTAFStock[WeekIndex],18)&gt;0)&gt;0,SUMIFS(T_SelfStock[Self_Qty],T_SelfStock[RM_Code],$A61,T_SelfStock[WeekIndex],18)+SUMIFS(T_TTAFStock[TTAF_Qty],T_TTAFStock[RM_Code],$A61,T_TTAFStock[WeekIndex],18),R61+'Grid_Incoming'!S61-'Grid_Requirement'!S61))</f>
        <v/>
      </c>
      <c r="T61">
        <f>IF(COUNTIFS(T_StockCount[RM_Code],$A61,T_StockCount[WeekIndex],19)&gt;0,SUMIFS(T_StockCount[CountedQty],T_StockCount[RM_Code],$A61,T_StockCount[WeekIndex],19),IF((COUNTIFS(T_SelfStock[RM_Code],$A61,T_SelfStock[WeekIndex],19)&gt;0)*(COUNTIFS(T_TTAFStock[RM_Code],$A61,T_TTAFStock[WeekIndex],19)&gt;0)&gt;0,SUMIFS(T_SelfStock[Self_Qty],T_SelfStock[RM_Code],$A61,T_SelfStock[WeekIndex],19)+SUMIFS(T_TTAFStock[TTAF_Qty],T_TTAFStock[RM_Code],$A61,T_TTAFStock[WeekIndex],19),S61+'Grid_Incoming'!T61-'Grid_Requirement'!T61))</f>
        <v/>
      </c>
      <c r="U61">
        <f>IF(COUNTIFS(T_StockCount[RM_Code],$A61,T_StockCount[WeekIndex],20)&gt;0,SUMIFS(T_StockCount[CountedQty],T_StockCount[RM_Code],$A61,T_StockCount[WeekIndex],20),IF((COUNTIFS(T_SelfStock[RM_Code],$A61,T_SelfStock[WeekIndex],20)&gt;0)*(COUNTIFS(T_TTAFStock[RM_Code],$A61,T_TTAFStock[WeekIndex],20)&gt;0)&gt;0,SUMIFS(T_SelfStock[Self_Qty],T_SelfStock[RM_Code],$A61,T_SelfStock[WeekIndex],20)+SUMIFS(T_TTAFStock[TTAF_Qty],T_TTAFStock[RM_Code],$A61,T_TTAFStock[WeekIndex],20),T61+'Grid_Incoming'!U61-'Grid_Requirement'!U61))</f>
        <v/>
      </c>
      <c r="V61">
        <f>IF(COUNTIFS(T_StockCount[RM_Code],$A61,T_StockCount[WeekIndex],21)&gt;0,SUMIFS(T_StockCount[CountedQty],T_StockCount[RM_Code],$A61,T_StockCount[WeekIndex],21),IF((COUNTIFS(T_SelfStock[RM_Code],$A61,T_SelfStock[WeekIndex],21)&gt;0)*(COUNTIFS(T_TTAFStock[RM_Code],$A61,T_TTAFStock[WeekIndex],21)&gt;0)&gt;0,SUMIFS(T_SelfStock[Self_Qty],T_SelfStock[RM_Code],$A61,T_SelfStock[WeekIndex],21)+SUMIFS(T_TTAFStock[TTAF_Qty],T_TTAFStock[RM_Code],$A61,T_TTAFStock[WeekIndex],21),U61+'Grid_Incoming'!V61-'Grid_Requirement'!V61))</f>
        <v/>
      </c>
      <c r="W61">
        <f>IF(COUNTIFS(T_StockCount[RM_Code],$A61,T_StockCount[WeekIndex],22)&gt;0,SUMIFS(T_StockCount[CountedQty],T_StockCount[RM_Code],$A61,T_StockCount[WeekIndex],22),IF((COUNTIFS(T_SelfStock[RM_Code],$A61,T_SelfStock[WeekIndex],22)&gt;0)*(COUNTIFS(T_TTAFStock[RM_Code],$A61,T_TTAFStock[WeekIndex],22)&gt;0)&gt;0,SUMIFS(T_SelfStock[Self_Qty],T_SelfStock[RM_Code],$A61,T_SelfStock[WeekIndex],22)+SUMIFS(T_TTAFStock[TTAF_Qty],T_TTAFStock[RM_Code],$A61,T_TTAFStock[WeekIndex],22),V61+'Grid_Incoming'!W61-'Grid_Requirement'!W61))</f>
        <v/>
      </c>
      <c r="X61">
        <f>IF(COUNTIFS(T_StockCount[RM_Code],$A61,T_StockCount[WeekIndex],23)&gt;0,SUMIFS(T_StockCount[CountedQty],T_StockCount[RM_Code],$A61,T_StockCount[WeekIndex],23),IF((COUNTIFS(T_SelfStock[RM_Code],$A61,T_SelfStock[WeekIndex],23)&gt;0)*(COUNTIFS(T_TTAFStock[RM_Code],$A61,T_TTAFStock[WeekIndex],23)&gt;0)&gt;0,SUMIFS(T_SelfStock[Self_Qty],T_SelfStock[RM_Code],$A61,T_SelfStock[WeekIndex],23)+SUMIFS(T_TTAFStock[TTAF_Qty],T_TTAFStock[RM_Code],$A61,T_TTAFStock[WeekIndex],23),W61+'Grid_Incoming'!X61-'Grid_Requirement'!X61))</f>
        <v/>
      </c>
      <c r="Y61">
        <f>IF(COUNTIFS(T_StockCount[RM_Code],$A61,T_StockCount[WeekIndex],24)&gt;0,SUMIFS(T_StockCount[CountedQty],T_StockCount[RM_Code],$A61,T_StockCount[WeekIndex],24),IF((COUNTIFS(T_SelfStock[RM_Code],$A61,T_SelfStock[WeekIndex],24)&gt;0)*(COUNTIFS(T_TTAFStock[RM_Code],$A61,T_TTAFStock[WeekIndex],24)&gt;0)&gt;0,SUMIFS(T_SelfStock[Self_Qty],T_SelfStock[RM_Code],$A61,T_SelfStock[WeekIndex],24)+SUMIFS(T_TTAFStock[TTAF_Qty],T_TTAFStock[RM_Code],$A61,T_TTAFStock[WeekIndex],24),X61+'Grid_Incoming'!Y61-'Grid_Requirement'!Y61))</f>
        <v/>
      </c>
      <c r="Z61">
        <f>IF(COUNTIFS(T_StockCount[RM_Code],$A61,T_StockCount[WeekIndex],25)&gt;0,SUMIFS(T_StockCount[CountedQty],T_StockCount[RM_Code],$A61,T_StockCount[WeekIndex],25),IF((COUNTIFS(T_SelfStock[RM_Code],$A61,T_SelfStock[WeekIndex],25)&gt;0)*(COUNTIFS(T_TTAFStock[RM_Code],$A61,T_TTAFStock[WeekIndex],25)&gt;0)&gt;0,SUMIFS(T_SelfStock[Self_Qty],T_SelfStock[RM_Code],$A61,T_SelfStock[WeekIndex],25)+SUMIFS(T_TTAFStock[TTAF_Qty],T_TTAFStock[RM_Code],$A61,T_TTAFStock[WeekIndex],25),Y61+'Grid_Incoming'!Z61-'Grid_Requirement'!Z61))</f>
        <v/>
      </c>
      <c r="AA61">
        <f>IF(COUNTIFS(T_StockCount[RM_Code],$A61,T_StockCount[WeekIndex],26)&gt;0,SUMIFS(T_StockCount[CountedQty],T_StockCount[RM_Code],$A61,T_StockCount[WeekIndex],26),IF((COUNTIFS(T_SelfStock[RM_Code],$A61,T_SelfStock[WeekIndex],26)&gt;0)*(COUNTIFS(T_TTAFStock[RM_Code],$A61,T_TTAFStock[WeekIndex],26)&gt;0)&gt;0,SUMIFS(T_SelfStock[Self_Qty],T_SelfStock[RM_Code],$A61,T_SelfStock[WeekIndex],26)+SUMIFS(T_TTAFStock[TTAF_Qty],T_TTAFStock[RM_Code],$A61,T_TTAFStock[WeekIndex],26),Z61+'Grid_Incoming'!AA61-'Grid_Requirement'!AA61))</f>
        <v/>
      </c>
      <c r="AB61">
        <f>IF(COUNTIFS(T_StockCount[RM_Code],$A61,T_StockCount[WeekIndex],27)&gt;0,SUMIFS(T_StockCount[CountedQty],T_StockCount[RM_Code],$A61,T_StockCount[WeekIndex],27),IF((COUNTIFS(T_SelfStock[RM_Code],$A61,T_SelfStock[WeekIndex],27)&gt;0)*(COUNTIFS(T_TTAFStock[RM_Code],$A61,T_TTAFStock[WeekIndex],27)&gt;0)&gt;0,SUMIFS(T_SelfStock[Self_Qty],T_SelfStock[RM_Code],$A61,T_SelfStock[WeekIndex],27)+SUMIFS(T_TTAFStock[TTAF_Qty],T_TTAFStock[RM_Code],$A61,T_TTAFStock[WeekIndex],27),AA61+'Grid_Incoming'!AB61-'Grid_Requirement'!AB61))</f>
        <v/>
      </c>
      <c r="AC61">
        <f>IF(COUNTIFS(T_StockCount[RM_Code],$A61,T_StockCount[WeekIndex],28)&gt;0,SUMIFS(T_StockCount[CountedQty],T_StockCount[RM_Code],$A61,T_StockCount[WeekIndex],28),IF((COUNTIFS(T_SelfStock[RM_Code],$A61,T_SelfStock[WeekIndex],28)&gt;0)*(COUNTIFS(T_TTAFStock[RM_Code],$A61,T_TTAFStock[WeekIndex],28)&gt;0)&gt;0,SUMIFS(T_SelfStock[Self_Qty],T_SelfStock[RM_Code],$A61,T_SelfStock[WeekIndex],28)+SUMIFS(T_TTAFStock[TTAF_Qty],T_TTAFStock[RM_Code],$A61,T_TTAFStock[WeekIndex],28),AB61+'Grid_Incoming'!AC61-'Grid_Requirement'!AC61))</f>
        <v/>
      </c>
      <c r="AD61">
        <f>IF(COUNTIFS(T_StockCount[RM_Code],$A61,T_StockCount[WeekIndex],29)&gt;0,SUMIFS(T_StockCount[CountedQty],T_StockCount[RM_Code],$A61,T_StockCount[WeekIndex],29),IF((COUNTIFS(T_SelfStock[RM_Code],$A61,T_SelfStock[WeekIndex],29)&gt;0)*(COUNTIFS(T_TTAFStock[RM_Code],$A61,T_TTAFStock[WeekIndex],29)&gt;0)&gt;0,SUMIFS(T_SelfStock[Self_Qty],T_SelfStock[RM_Code],$A61,T_SelfStock[WeekIndex],29)+SUMIFS(T_TTAFStock[TTAF_Qty],T_TTAFStock[RM_Code],$A61,T_TTAFStock[WeekIndex],29),AC61+'Grid_Incoming'!AD61-'Grid_Requirement'!AD61))</f>
        <v/>
      </c>
      <c r="AE61">
        <f>IF(COUNTIFS(T_StockCount[RM_Code],$A61,T_StockCount[WeekIndex],30)&gt;0,SUMIFS(T_StockCount[CountedQty],T_StockCount[RM_Code],$A61,T_StockCount[WeekIndex],30),IF((COUNTIFS(T_SelfStock[RM_Code],$A61,T_SelfStock[WeekIndex],30)&gt;0)*(COUNTIFS(T_TTAFStock[RM_Code],$A61,T_TTAFStock[WeekIndex],30)&gt;0)&gt;0,SUMIFS(T_SelfStock[Self_Qty],T_SelfStock[RM_Code],$A61,T_SelfStock[WeekIndex],30)+SUMIFS(T_TTAFStock[TTAF_Qty],T_TTAFStock[RM_Code],$A61,T_TTAFStock[WeekIndex],30),AD61+'Grid_Incoming'!AE61-'Grid_Requirement'!AE61))</f>
        <v/>
      </c>
      <c r="AF61">
        <f>IF(COUNTIFS(T_StockCount[RM_Code],$A61,T_StockCount[WeekIndex],31)&gt;0,SUMIFS(T_StockCount[CountedQty],T_StockCount[RM_Code],$A61,T_StockCount[WeekIndex],31),IF((COUNTIFS(T_SelfStock[RM_Code],$A61,T_SelfStock[WeekIndex],31)&gt;0)*(COUNTIFS(T_TTAFStock[RM_Code],$A61,T_TTAFStock[WeekIndex],31)&gt;0)&gt;0,SUMIFS(T_SelfStock[Self_Qty],T_SelfStock[RM_Code],$A61,T_SelfStock[WeekIndex],31)+SUMIFS(T_TTAFStock[TTAF_Qty],T_TTAFStock[RM_Code],$A61,T_TTAFStock[WeekIndex],31),AE61+'Grid_Incoming'!AF61-'Grid_Requirement'!AF61))</f>
        <v/>
      </c>
      <c r="AG61">
        <f>IF(COUNTIFS(T_StockCount[RM_Code],$A61,T_StockCount[WeekIndex],32)&gt;0,SUMIFS(T_StockCount[CountedQty],T_StockCount[RM_Code],$A61,T_StockCount[WeekIndex],32),IF((COUNTIFS(T_SelfStock[RM_Code],$A61,T_SelfStock[WeekIndex],32)&gt;0)*(COUNTIFS(T_TTAFStock[RM_Code],$A61,T_TTAFStock[WeekIndex],32)&gt;0)&gt;0,SUMIFS(T_SelfStock[Self_Qty],T_SelfStock[RM_Code],$A61,T_SelfStock[WeekIndex],32)+SUMIFS(T_TTAFStock[TTAF_Qty],T_TTAFStock[RM_Code],$A61,T_TTAFStock[WeekIndex],32),AF61+'Grid_Incoming'!AG61-'Grid_Requirement'!AG61))</f>
        <v/>
      </c>
      <c r="AH61">
        <f>IF(COUNTIFS(T_StockCount[RM_Code],$A61,T_StockCount[WeekIndex],33)&gt;0,SUMIFS(T_StockCount[CountedQty],T_StockCount[RM_Code],$A61,T_StockCount[WeekIndex],33),IF((COUNTIFS(T_SelfStock[RM_Code],$A61,T_SelfStock[WeekIndex],33)&gt;0)*(COUNTIFS(T_TTAFStock[RM_Code],$A61,T_TTAFStock[WeekIndex],33)&gt;0)&gt;0,SUMIFS(T_SelfStock[Self_Qty],T_SelfStock[RM_Code],$A61,T_SelfStock[WeekIndex],33)+SUMIFS(T_TTAFStock[TTAF_Qty],T_TTAFStock[RM_Code],$A61,T_TTAFStock[WeekIndex],33),AG61+'Grid_Incoming'!AH61-'Grid_Requirement'!AH61))</f>
        <v/>
      </c>
      <c r="AI61">
        <f>IF(COUNTIFS(T_StockCount[RM_Code],$A61,T_StockCount[WeekIndex],34)&gt;0,SUMIFS(T_StockCount[CountedQty],T_StockCount[RM_Code],$A61,T_StockCount[WeekIndex],34),IF((COUNTIFS(T_SelfStock[RM_Code],$A61,T_SelfStock[WeekIndex],34)&gt;0)*(COUNTIFS(T_TTAFStock[RM_Code],$A61,T_TTAFStock[WeekIndex],34)&gt;0)&gt;0,SUMIFS(T_SelfStock[Self_Qty],T_SelfStock[RM_Code],$A61,T_SelfStock[WeekIndex],34)+SUMIFS(T_TTAFStock[TTAF_Qty],T_TTAFStock[RM_Code],$A61,T_TTAFStock[WeekIndex],34),AH61+'Grid_Incoming'!AI61-'Grid_Requirement'!AI61))</f>
        <v/>
      </c>
      <c r="AJ61">
        <f>IF(COUNTIFS(T_StockCount[RM_Code],$A61,T_StockCount[WeekIndex],35)&gt;0,SUMIFS(T_StockCount[CountedQty],T_StockCount[RM_Code],$A61,T_StockCount[WeekIndex],35),IF((COUNTIFS(T_SelfStock[RM_Code],$A61,T_SelfStock[WeekIndex],35)&gt;0)*(COUNTIFS(T_TTAFStock[RM_Code],$A61,T_TTAFStock[WeekIndex],35)&gt;0)&gt;0,SUMIFS(T_SelfStock[Self_Qty],T_SelfStock[RM_Code],$A61,T_SelfStock[WeekIndex],35)+SUMIFS(T_TTAFStock[TTAF_Qty],T_TTAFStock[RM_Code],$A61,T_TTAFStock[WeekIndex],35),AI61+'Grid_Incoming'!AJ61-'Grid_Requirement'!AJ61))</f>
        <v/>
      </c>
      <c r="AK61">
        <f>IF(COUNTIFS(T_StockCount[RM_Code],$A61,T_StockCount[WeekIndex],36)&gt;0,SUMIFS(T_StockCount[CountedQty],T_StockCount[RM_Code],$A61,T_StockCount[WeekIndex],36),IF((COUNTIFS(T_SelfStock[RM_Code],$A61,T_SelfStock[WeekIndex],36)&gt;0)*(COUNTIFS(T_TTAFStock[RM_Code],$A61,T_TTAFStock[WeekIndex],36)&gt;0)&gt;0,SUMIFS(T_SelfStock[Self_Qty],T_SelfStock[RM_Code],$A61,T_SelfStock[WeekIndex],36)+SUMIFS(T_TTAFStock[TTAF_Qty],T_TTAFStock[RM_Code],$A61,T_TTAFStock[WeekIndex],36),AJ61+'Grid_Incoming'!AK61-'Grid_Requirement'!AK61))</f>
        <v/>
      </c>
      <c r="AL61">
        <f>IF(COUNTIFS(T_StockCount[RM_Code],$A61,T_StockCount[WeekIndex],37)&gt;0,SUMIFS(T_StockCount[CountedQty],T_StockCount[RM_Code],$A61,T_StockCount[WeekIndex],37),IF((COUNTIFS(T_SelfStock[RM_Code],$A61,T_SelfStock[WeekIndex],37)&gt;0)*(COUNTIFS(T_TTAFStock[RM_Code],$A61,T_TTAFStock[WeekIndex],37)&gt;0)&gt;0,SUMIFS(T_SelfStock[Self_Qty],T_SelfStock[RM_Code],$A61,T_SelfStock[WeekIndex],37)+SUMIFS(T_TTAFStock[TTAF_Qty],T_TTAFStock[RM_Code],$A61,T_TTAFStock[WeekIndex],37),AK61+'Grid_Incoming'!AL61-'Grid_Requirement'!AL61))</f>
        <v/>
      </c>
      <c r="AM61">
        <f>IF(COUNTIFS(T_StockCount[RM_Code],$A61,T_StockCount[WeekIndex],38)&gt;0,SUMIFS(T_StockCount[CountedQty],T_StockCount[RM_Code],$A61,T_StockCount[WeekIndex],38),IF((COUNTIFS(T_SelfStock[RM_Code],$A61,T_SelfStock[WeekIndex],38)&gt;0)*(COUNTIFS(T_TTAFStock[RM_Code],$A61,T_TTAFStock[WeekIndex],38)&gt;0)&gt;0,SUMIFS(T_SelfStock[Self_Qty],T_SelfStock[RM_Code],$A61,T_SelfStock[WeekIndex],38)+SUMIFS(T_TTAFStock[TTAF_Qty],T_TTAFStock[RM_Code],$A61,T_TTAFStock[WeekIndex],38),AL61+'Grid_Incoming'!AM61-'Grid_Requirement'!AM61))</f>
        <v/>
      </c>
      <c r="AN61">
        <f>IF(COUNTIFS(T_StockCount[RM_Code],$A61,T_StockCount[WeekIndex],39)&gt;0,SUMIFS(T_StockCount[CountedQty],T_StockCount[RM_Code],$A61,T_StockCount[WeekIndex],39),IF((COUNTIFS(T_SelfStock[RM_Code],$A61,T_SelfStock[WeekIndex],39)&gt;0)*(COUNTIFS(T_TTAFStock[RM_Code],$A61,T_TTAFStock[WeekIndex],39)&gt;0)&gt;0,SUMIFS(T_SelfStock[Self_Qty],T_SelfStock[RM_Code],$A61,T_SelfStock[WeekIndex],39)+SUMIFS(T_TTAFStock[TTAF_Qty],T_TTAFStock[RM_Code],$A61,T_TTAFStock[WeekIndex],39),AM61+'Grid_Incoming'!AN61-'Grid_Requirement'!AN61))</f>
        <v/>
      </c>
      <c r="AO61">
        <f>IF(COUNTIFS(T_StockCount[RM_Code],$A61,T_StockCount[WeekIndex],40)&gt;0,SUMIFS(T_StockCount[CountedQty],T_StockCount[RM_Code],$A61,T_StockCount[WeekIndex],40),IF((COUNTIFS(T_SelfStock[RM_Code],$A61,T_SelfStock[WeekIndex],40)&gt;0)*(COUNTIFS(T_TTAFStock[RM_Code],$A61,T_TTAFStock[WeekIndex],40)&gt;0)&gt;0,SUMIFS(T_SelfStock[Self_Qty],T_SelfStock[RM_Code],$A61,T_SelfStock[WeekIndex],40)+SUMIFS(T_TTAFStock[TTAF_Qty],T_TTAFStock[RM_Code],$A61,T_TTAFStock[WeekIndex],40),AN61+'Grid_Incoming'!AO61-'Grid_Requirement'!AO61))</f>
        <v/>
      </c>
      <c r="AP61">
        <f>IF(COUNTIFS(T_StockCount[RM_Code],$A61,T_StockCount[WeekIndex],41)&gt;0,SUMIFS(T_StockCount[CountedQty],T_StockCount[RM_Code],$A61,T_StockCount[WeekIndex],41),IF((COUNTIFS(T_SelfStock[RM_Code],$A61,T_SelfStock[WeekIndex],41)&gt;0)*(COUNTIFS(T_TTAFStock[RM_Code],$A61,T_TTAFStock[WeekIndex],41)&gt;0)&gt;0,SUMIFS(T_SelfStock[Self_Qty],T_SelfStock[RM_Code],$A61,T_SelfStock[WeekIndex],41)+SUMIFS(T_TTAFStock[TTAF_Qty],T_TTAFStock[RM_Code],$A61,T_TTAFStock[WeekIndex],41),AO61+'Grid_Incoming'!AP61-'Grid_Requirement'!AP61))</f>
        <v/>
      </c>
      <c r="AQ61">
        <f>IF(COUNTIFS(T_StockCount[RM_Code],$A61,T_StockCount[WeekIndex],42)&gt;0,SUMIFS(T_StockCount[CountedQty],T_StockCount[RM_Code],$A61,T_StockCount[WeekIndex],42),IF((COUNTIFS(T_SelfStock[RM_Code],$A61,T_SelfStock[WeekIndex],42)&gt;0)*(COUNTIFS(T_TTAFStock[RM_Code],$A61,T_TTAFStock[WeekIndex],42)&gt;0)&gt;0,SUMIFS(T_SelfStock[Self_Qty],T_SelfStock[RM_Code],$A61,T_SelfStock[WeekIndex],42)+SUMIFS(T_TTAFStock[TTAF_Qty],T_TTAFStock[RM_Code],$A61,T_TTAFStock[WeekIndex],42),AP61+'Grid_Incoming'!AQ61-'Grid_Requirement'!AQ61))</f>
        <v/>
      </c>
      <c r="AR61">
        <f>IF(COUNTIFS(T_StockCount[RM_Code],$A61,T_StockCount[WeekIndex],43)&gt;0,SUMIFS(T_StockCount[CountedQty],T_StockCount[RM_Code],$A61,T_StockCount[WeekIndex],43),IF((COUNTIFS(T_SelfStock[RM_Code],$A61,T_SelfStock[WeekIndex],43)&gt;0)*(COUNTIFS(T_TTAFStock[RM_Code],$A61,T_TTAFStock[WeekIndex],43)&gt;0)&gt;0,SUMIFS(T_SelfStock[Self_Qty],T_SelfStock[RM_Code],$A61,T_SelfStock[WeekIndex],43)+SUMIFS(T_TTAFStock[TTAF_Qty],T_TTAFStock[RM_Code],$A61,T_TTAFStock[WeekIndex],43),AQ61+'Grid_Incoming'!AR61-'Grid_Requirement'!AR61))</f>
        <v/>
      </c>
      <c r="AS61">
        <f>IF(COUNTIFS(T_StockCount[RM_Code],$A61,T_StockCount[WeekIndex],44)&gt;0,SUMIFS(T_StockCount[CountedQty],T_StockCount[RM_Code],$A61,T_StockCount[WeekIndex],44),IF((COUNTIFS(T_SelfStock[RM_Code],$A61,T_SelfStock[WeekIndex],44)&gt;0)*(COUNTIFS(T_TTAFStock[RM_Code],$A61,T_TTAFStock[WeekIndex],44)&gt;0)&gt;0,SUMIFS(T_SelfStock[Self_Qty],T_SelfStock[RM_Code],$A61,T_SelfStock[WeekIndex],44)+SUMIFS(T_TTAFStock[TTAF_Qty],T_TTAFStock[RM_Code],$A61,T_TTAFStock[WeekIndex],44),AR61+'Grid_Incoming'!AS61-'Grid_Requirement'!AS61))</f>
        <v/>
      </c>
      <c r="AT61">
        <f>IF(COUNTIFS(T_StockCount[RM_Code],$A61,T_StockCount[WeekIndex],45)&gt;0,SUMIFS(T_StockCount[CountedQty],T_StockCount[RM_Code],$A61,T_StockCount[WeekIndex],45),IF((COUNTIFS(T_SelfStock[RM_Code],$A61,T_SelfStock[WeekIndex],45)&gt;0)*(COUNTIFS(T_TTAFStock[RM_Code],$A61,T_TTAFStock[WeekIndex],45)&gt;0)&gt;0,SUMIFS(T_SelfStock[Self_Qty],T_SelfStock[RM_Code],$A61,T_SelfStock[WeekIndex],45)+SUMIFS(T_TTAFStock[TTAF_Qty],T_TTAFStock[RM_Code],$A61,T_TTAFStock[WeekIndex],45),AS61+'Grid_Incoming'!AT61-'Grid_Requirement'!AT61))</f>
        <v/>
      </c>
      <c r="AU61">
        <f>IF(COUNTIFS(T_StockCount[RM_Code],$A61,T_StockCount[WeekIndex],46)&gt;0,SUMIFS(T_StockCount[CountedQty],T_StockCount[RM_Code],$A61,T_StockCount[WeekIndex],46),IF((COUNTIFS(T_SelfStock[RM_Code],$A61,T_SelfStock[WeekIndex],46)&gt;0)*(COUNTIFS(T_TTAFStock[RM_Code],$A61,T_TTAFStock[WeekIndex],46)&gt;0)&gt;0,SUMIFS(T_SelfStock[Self_Qty],T_SelfStock[RM_Code],$A61,T_SelfStock[WeekIndex],46)+SUMIFS(T_TTAFStock[TTAF_Qty],T_TTAFStock[RM_Code],$A61,T_TTAFStock[WeekIndex],46),AT61+'Grid_Incoming'!AU61-'Grid_Requirement'!AU61))</f>
        <v/>
      </c>
      <c r="AV61">
        <f>IF(COUNTIFS(T_StockCount[RM_Code],$A61,T_StockCount[WeekIndex],47)&gt;0,SUMIFS(T_StockCount[CountedQty],T_StockCount[RM_Code],$A61,T_StockCount[WeekIndex],47),IF((COUNTIFS(T_SelfStock[RM_Code],$A61,T_SelfStock[WeekIndex],47)&gt;0)*(COUNTIFS(T_TTAFStock[RM_Code],$A61,T_TTAFStock[WeekIndex],47)&gt;0)&gt;0,SUMIFS(T_SelfStock[Self_Qty],T_SelfStock[RM_Code],$A61,T_SelfStock[WeekIndex],47)+SUMIFS(T_TTAFStock[TTAF_Qty],T_TTAFStock[RM_Code],$A61,T_TTAFStock[WeekIndex],47),AU61+'Grid_Incoming'!AV61-'Grid_Requirement'!AV61))</f>
        <v/>
      </c>
      <c r="AW61">
        <f>IF(COUNTIFS(T_StockCount[RM_Code],$A61,T_StockCount[WeekIndex],48)&gt;0,SUMIFS(T_StockCount[CountedQty],T_StockCount[RM_Code],$A61,T_StockCount[WeekIndex],48),IF((COUNTIFS(T_SelfStock[RM_Code],$A61,T_SelfStock[WeekIndex],48)&gt;0)*(COUNTIFS(T_TTAFStock[RM_Code],$A61,T_TTAFStock[WeekIndex],48)&gt;0)&gt;0,SUMIFS(T_SelfStock[Self_Qty],T_SelfStock[RM_Code],$A61,T_SelfStock[WeekIndex],48)+SUMIFS(T_TTAFStock[TTAF_Qty],T_TTAFStock[RM_Code],$A61,T_TTAFStock[WeekIndex],48),AV61+'Grid_Incoming'!AW61-'Grid_Requirement'!AW61))</f>
        <v/>
      </c>
      <c r="AX61">
        <f>IF(COUNTIFS(T_StockCount[RM_Code],$A61,T_StockCount[WeekIndex],49)&gt;0,SUMIFS(T_StockCount[CountedQty],T_StockCount[RM_Code],$A61,T_StockCount[WeekIndex],49),IF((COUNTIFS(T_SelfStock[RM_Code],$A61,T_SelfStock[WeekIndex],49)&gt;0)*(COUNTIFS(T_TTAFStock[RM_Code],$A61,T_TTAFStock[WeekIndex],49)&gt;0)&gt;0,SUMIFS(T_SelfStock[Self_Qty],T_SelfStock[RM_Code],$A61,T_SelfStock[WeekIndex],49)+SUMIFS(T_TTAFStock[TTAF_Qty],T_TTAFStock[RM_Code],$A61,T_TTAFStock[WeekIndex],49),AW61+'Grid_Incoming'!AX61-'Grid_Requirement'!AX61))</f>
        <v/>
      </c>
      <c r="AY61">
        <f>IF(COUNTIFS(T_StockCount[RM_Code],$A61,T_StockCount[WeekIndex],50)&gt;0,SUMIFS(T_StockCount[CountedQty],T_StockCount[RM_Code],$A61,T_StockCount[WeekIndex],50),IF((COUNTIFS(T_SelfStock[RM_Code],$A61,T_SelfStock[WeekIndex],50)&gt;0)*(COUNTIFS(T_TTAFStock[RM_Code],$A61,T_TTAFStock[WeekIndex],50)&gt;0)&gt;0,SUMIFS(T_SelfStock[Self_Qty],T_SelfStock[RM_Code],$A61,T_SelfStock[WeekIndex],50)+SUMIFS(T_TTAFStock[TTAF_Qty],T_TTAFStock[RM_Code],$A61,T_TTAFStock[WeekIndex],50),AX61+'Grid_Incoming'!AY61-'Grid_Requirement'!AY61))</f>
        <v/>
      </c>
      <c r="AZ61">
        <f>IF(COUNTIFS(T_StockCount[RM_Code],$A61,T_StockCount[WeekIndex],51)&gt;0,SUMIFS(T_StockCount[CountedQty],T_StockCount[RM_Code],$A61,T_StockCount[WeekIndex],51),IF((COUNTIFS(T_SelfStock[RM_Code],$A61,T_SelfStock[WeekIndex],51)&gt;0)*(COUNTIFS(T_TTAFStock[RM_Code],$A61,T_TTAFStock[WeekIndex],51)&gt;0)&gt;0,SUMIFS(T_SelfStock[Self_Qty],T_SelfStock[RM_Code],$A61,T_SelfStock[WeekIndex],51)+SUMIFS(T_TTAFStock[TTAF_Qty],T_TTAFStock[RM_Code],$A61,T_TTAFStock[WeekIndex],51),AY61+'Grid_Incoming'!AZ61-'Grid_Requirement'!AZ61))</f>
        <v/>
      </c>
      <c r="BA61">
        <f>IF(COUNTIFS(T_StockCount[RM_Code],$A61,T_StockCount[WeekIndex],52)&gt;0,SUMIFS(T_StockCount[CountedQty],T_StockCount[RM_Code],$A61,T_StockCount[WeekIndex],52),IF((COUNTIFS(T_SelfStock[RM_Code],$A61,T_SelfStock[WeekIndex],52)&gt;0)*(COUNTIFS(T_TTAFStock[RM_Code],$A61,T_TTAFStock[WeekIndex],52)&gt;0)&gt;0,SUMIFS(T_SelfStock[Self_Qty],T_SelfStock[RM_Code],$A61,T_SelfStock[WeekIndex],52)+SUMIFS(T_TTAFStock[TTAF_Qty],T_TTAFStock[RM_Code],$A61,T_TTAFStock[WeekIndex],52),AZ61+'Grid_Incoming'!BA61-'Grid_Requirement'!BA61))</f>
        <v/>
      </c>
      <c r="BB61">
        <f>IF(COUNTIFS(T_StockCount[RM_Code],$A61,T_StockCount[WeekIndex],53)&gt;0,SUMIFS(T_StockCount[CountedQty],T_StockCount[RM_Code],$A61,T_StockCount[WeekIndex],53),IF((COUNTIFS(T_SelfStock[RM_Code],$A61,T_SelfStock[WeekIndex],53)&gt;0)*(COUNTIFS(T_TTAFStock[RM_Code],$A61,T_TTAFStock[WeekIndex],53)&gt;0)&gt;0,SUMIFS(T_SelfStock[Self_Qty],T_SelfStock[RM_Code],$A61,T_SelfStock[WeekIndex],53)+SUMIFS(T_TTAFStock[TTAF_Qty],T_TTAFStock[RM_Code],$A61,T_TTAFStock[WeekIndex],53),BA61+'Grid_Incoming'!BB61-'Grid_Requirement'!BB61))</f>
        <v/>
      </c>
      <c r="BC61">
        <f>IF(COUNTIFS(T_StockCount[RM_Code],$A61,T_StockCount[WeekIndex],54)&gt;0,SUMIFS(T_StockCount[CountedQty],T_StockCount[RM_Code],$A61,T_StockCount[WeekIndex],54),IF((COUNTIFS(T_SelfStock[RM_Code],$A61,T_SelfStock[WeekIndex],54)&gt;0)*(COUNTIFS(T_TTAFStock[RM_Code],$A61,T_TTAFStock[WeekIndex],54)&gt;0)&gt;0,SUMIFS(T_SelfStock[Self_Qty],T_SelfStock[RM_Code],$A61,T_SelfStock[WeekIndex],54)+SUMIFS(T_TTAFStock[TTAF_Qty],T_TTAFStock[RM_Code],$A61,T_TTAFStock[WeekIndex],54),BB61+'Grid_Incoming'!BC61-'Grid_Requirement'!BC61))</f>
        <v/>
      </c>
      <c r="BD61">
        <f>IF(COUNTIFS(T_StockCount[RM_Code],$A61,T_StockCount[WeekIndex],55)&gt;0,SUMIFS(T_StockCount[CountedQty],T_StockCount[RM_Code],$A61,T_StockCount[WeekIndex],55),IF((COUNTIFS(T_SelfStock[RM_Code],$A61,T_SelfStock[WeekIndex],55)&gt;0)*(COUNTIFS(T_TTAFStock[RM_Code],$A61,T_TTAFStock[WeekIndex],55)&gt;0)&gt;0,SUMIFS(T_SelfStock[Self_Qty],T_SelfStock[RM_Code],$A61,T_SelfStock[WeekIndex],55)+SUMIFS(T_TTAFStock[TTAF_Qty],T_TTAFStock[RM_Code],$A61,T_TTAFStock[WeekIndex],55),BC61+'Grid_Incoming'!BD61-'Grid_Requirement'!BD61))</f>
        <v/>
      </c>
      <c r="BE61">
        <f>IF(COUNTIFS(T_StockCount[RM_Code],$A61,T_StockCount[WeekIndex],56)&gt;0,SUMIFS(T_StockCount[CountedQty],T_StockCount[RM_Code],$A61,T_StockCount[WeekIndex],56),IF((COUNTIFS(T_SelfStock[RM_Code],$A61,T_SelfStock[WeekIndex],56)&gt;0)*(COUNTIFS(T_TTAFStock[RM_Code],$A61,T_TTAFStock[WeekIndex],56)&gt;0)&gt;0,SUMIFS(T_SelfStock[Self_Qty],T_SelfStock[RM_Code],$A61,T_SelfStock[WeekIndex],56)+SUMIFS(T_TTAFStock[TTAF_Qty],T_TTAFStock[RM_Code],$A61,T_TTAFStock[WeekIndex],56),BD61+'Grid_Incoming'!BE61-'Grid_Requirement'!BE61))</f>
        <v/>
      </c>
      <c r="BF61">
        <f>IF(COUNTIFS(T_StockCount[RM_Code],$A61,T_StockCount[WeekIndex],57)&gt;0,SUMIFS(T_StockCount[CountedQty],T_StockCount[RM_Code],$A61,T_StockCount[WeekIndex],57),IF((COUNTIFS(T_SelfStock[RM_Code],$A61,T_SelfStock[WeekIndex],57)&gt;0)*(COUNTIFS(T_TTAFStock[RM_Code],$A61,T_TTAFStock[WeekIndex],57)&gt;0)&gt;0,SUMIFS(T_SelfStock[Self_Qty],T_SelfStock[RM_Code],$A61,T_SelfStock[WeekIndex],57)+SUMIFS(T_TTAFStock[TTAF_Qty],T_TTAFStock[RM_Code],$A61,T_TTAFStock[WeekIndex],57),BE61+'Grid_Incoming'!BF61-'Grid_Requirement'!BF61))</f>
        <v/>
      </c>
      <c r="BG61">
        <f>IF(COUNTIFS(T_StockCount[RM_Code],$A61,T_StockCount[WeekIndex],58)&gt;0,SUMIFS(T_StockCount[CountedQty],T_StockCount[RM_Code],$A61,T_StockCount[WeekIndex],58),IF((COUNTIFS(T_SelfStock[RM_Code],$A61,T_SelfStock[WeekIndex],58)&gt;0)*(COUNTIFS(T_TTAFStock[RM_Code],$A61,T_TTAFStock[WeekIndex],58)&gt;0)&gt;0,SUMIFS(T_SelfStock[Self_Qty],T_SelfStock[RM_Code],$A61,T_SelfStock[WeekIndex],58)+SUMIFS(T_TTAFStock[TTAF_Qty],T_TTAFStock[RM_Code],$A61,T_TTAFStock[WeekIndex],58),BF61+'Grid_Incoming'!BG61-'Grid_Requirement'!BG61))</f>
        <v/>
      </c>
      <c r="BH61">
        <f>IF(COUNTIFS(T_StockCount[RM_Code],$A61,T_StockCount[WeekIndex],59)&gt;0,SUMIFS(T_StockCount[CountedQty],T_StockCount[RM_Code],$A61,T_StockCount[WeekIndex],59),IF((COUNTIFS(T_SelfStock[RM_Code],$A61,T_SelfStock[WeekIndex],59)&gt;0)*(COUNTIFS(T_TTAFStock[RM_Code],$A61,T_TTAFStock[WeekIndex],59)&gt;0)&gt;0,SUMIFS(T_SelfStock[Self_Qty],T_SelfStock[RM_Code],$A61,T_SelfStock[WeekIndex],59)+SUMIFS(T_TTAFStock[TTAF_Qty],T_TTAFStock[RM_Code],$A61,T_TTAFStock[WeekIndex],59),BG61+'Grid_Incoming'!BH61-'Grid_Requirement'!BH61))</f>
        <v/>
      </c>
      <c r="BI61">
        <f>IF(COUNTIFS(T_StockCount[RM_Code],$A61,T_StockCount[WeekIndex],60)&gt;0,SUMIFS(T_StockCount[CountedQty],T_StockCount[RM_Code],$A61,T_StockCount[WeekIndex],60),IF((COUNTIFS(T_SelfStock[RM_Code],$A61,T_SelfStock[WeekIndex],60)&gt;0)*(COUNTIFS(T_TTAFStock[RM_Code],$A61,T_TTAFStock[WeekIndex],60)&gt;0)&gt;0,SUMIFS(T_SelfStock[Self_Qty],T_SelfStock[RM_Code],$A61,T_SelfStock[WeekIndex],60)+SUMIFS(T_TTAFStock[TTAF_Qty],T_TTAFStock[RM_Code],$A61,T_TTAFStock[WeekIndex],60),BH61+'Grid_Incoming'!BI61-'Grid_Requirement'!BI61))</f>
        <v/>
      </c>
      <c r="BJ61">
        <f>IF(COUNTIFS(T_StockCount[RM_Code],$A61,T_StockCount[WeekIndex],61)&gt;0,SUMIFS(T_StockCount[CountedQty],T_StockCount[RM_Code],$A61,T_StockCount[WeekIndex],61),IF((COUNTIFS(T_SelfStock[RM_Code],$A61,T_SelfStock[WeekIndex],61)&gt;0)*(COUNTIFS(T_TTAFStock[RM_Code],$A61,T_TTAFStock[WeekIndex],61)&gt;0)&gt;0,SUMIFS(T_SelfStock[Self_Qty],T_SelfStock[RM_Code],$A61,T_SelfStock[WeekIndex],61)+SUMIFS(T_TTAFStock[TTAF_Qty],T_TTAFStock[RM_Code],$A61,T_TTAFStock[WeekIndex],61),BI61+'Grid_Incoming'!BJ61-'Grid_Requirement'!BJ61))</f>
        <v/>
      </c>
      <c r="BK61">
        <f>IF(COUNTIFS(T_StockCount[RM_Code],$A61,T_StockCount[WeekIndex],62)&gt;0,SUMIFS(T_StockCount[CountedQty],T_StockCount[RM_Code],$A61,T_StockCount[WeekIndex],62),IF((COUNTIFS(T_SelfStock[RM_Code],$A61,T_SelfStock[WeekIndex],62)&gt;0)*(COUNTIFS(T_TTAFStock[RM_Code],$A61,T_TTAFStock[WeekIndex],62)&gt;0)&gt;0,SUMIFS(T_SelfStock[Self_Qty],T_SelfStock[RM_Code],$A61,T_SelfStock[WeekIndex],62)+SUMIFS(T_TTAFStock[TTAF_Qty],T_TTAFStock[RM_Code],$A61,T_TTAFStock[WeekIndex],62),BJ61+'Grid_Incoming'!BK61-'Grid_Requirement'!BK61))</f>
        <v/>
      </c>
      <c r="BL61">
        <f>IF(COUNTIFS(T_StockCount[RM_Code],$A61,T_StockCount[WeekIndex],63)&gt;0,SUMIFS(T_StockCount[CountedQty],T_StockCount[RM_Code],$A61,T_StockCount[WeekIndex],63),IF((COUNTIFS(T_SelfStock[RM_Code],$A61,T_SelfStock[WeekIndex],63)&gt;0)*(COUNTIFS(T_TTAFStock[RM_Code],$A61,T_TTAFStock[WeekIndex],63)&gt;0)&gt;0,SUMIFS(T_SelfStock[Self_Qty],T_SelfStock[RM_Code],$A61,T_SelfStock[WeekIndex],63)+SUMIFS(T_TTAFStock[TTAF_Qty],T_TTAFStock[RM_Code],$A61,T_TTAFStock[WeekIndex],63),BK61+'Grid_Incoming'!BL61-'Grid_Requirement'!BL61))</f>
        <v/>
      </c>
      <c r="BM61">
        <f>IF(COUNTIFS(T_StockCount[RM_Code],$A61,T_StockCount[WeekIndex],64)&gt;0,SUMIFS(T_StockCount[CountedQty],T_StockCount[RM_Code],$A61,T_StockCount[WeekIndex],64),IF((COUNTIFS(T_SelfStock[RM_Code],$A61,T_SelfStock[WeekIndex],64)&gt;0)*(COUNTIFS(T_TTAFStock[RM_Code],$A61,T_TTAFStock[WeekIndex],64)&gt;0)&gt;0,SUMIFS(T_SelfStock[Self_Qty],T_SelfStock[RM_Code],$A61,T_SelfStock[WeekIndex],64)+SUMIFS(T_TTAFStock[TTAF_Qty],T_TTAFStock[RM_Code],$A61,T_TTAFStock[WeekIndex],64),BL61+'Grid_Incoming'!BM61-'Grid_Requirement'!BM61))</f>
        <v/>
      </c>
      <c r="BN61">
        <f>IF(COUNTIFS(T_StockCount[RM_Code],$A61,T_StockCount[WeekIndex],65)&gt;0,SUMIFS(T_StockCount[CountedQty],T_StockCount[RM_Code],$A61,T_StockCount[WeekIndex],65),IF((COUNTIFS(T_SelfStock[RM_Code],$A61,T_SelfStock[WeekIndex],65)&gt;0)*(COUNTIFS(T_TTAFStock[RM_Code],$A61,T_TTAFStock[WeekIndex],65)&gt;0)&gt;0,SUMIFS(T_SelfStock[Self_Qty],T_SelfStock[RM_Code],$A61,T_SelfStock[WeekIndex],65)+SUMIFS(T_TTAFStock[TTAF_Qty],T_TTAFStock[RM_Code],$A61,T_TTAFStock[WeekIndex],65),BM61+'Grid_Incoming'!BN61-'Grid_Requirement'!BN61))</f>
        <v/>
      </c>
      <c r="BO61">
        <f>IF(COUNTIFS(T_StockCount[RM_Code],$A61,T_StockCount[WeekIndex],66)&gt;0,SUMIFS(T_StockCount[CountedQty],T_StockCount[RM_Code],$A61,T_StockCount[WeekIndex],66),IF((COUNTIFS(T_SelfStock[RM_Code],$A61,T_SelfStock[WeekIndex],66)&gt;0)*(COUNTIFS(T_TTAFStock[RM_Code],$A61,T_TTAFStock[WeekIndex],66)&gt;0)&gt;0,SUMIFS(T_SelfStock[Self_Qty],T_SelfStock[RM_Code],$A61,T_SelfStock[WeekIndex],66)+SUMIFS(T_TTAFStock[TTAF_Qty],T_TTAFStock[RM_Code],$A61,T_TTAFStock[WeekIndex],66),BN61+'Grid_Incoming'!BO61-'Grid_Requirement'!BO61))</f>
        <v/>
      </c>
      <c r="BP61">
        <f>IF(COUNTIFS(T_StockCount[RM_Code],$A61,T_StockCount[WeekIndex],67)&gt;0,SUMIFS(T_StockCount[CountedQty],T_StockCount[RM_Code],$A61,T_StockCount[WeekIndex],67),IF((COUNTIFS(T_SelfStock[RM_Code],$A61,T_SelfStock[WeekIndex],67)&gt;0)*(COUNTIFS(T_TTAFStock[RM_Code],$A61,T_TTAFStock[WeekIndex],67)&gt;0)&gt;0,SUMIFS(T_SelfStock[Self_Qty],T_SelfStock[RM_Code],$A61,T_SelfStock[WeekIndex],67)+SUMIFS(T_TTAFStock[TTAF_Qty],T_TTAFStock[RM_Code],$A61,T_TTAFStock[WeekIndex],67),BO61+'Grid_Incoming'!BP61-'Grid_Requirement'!BP61))</f>
        <v/>
      </c>
      <c r="BQ61">
        <f>IF(COUNTIFS(T_StockCount[RM_Code],$A61,T_StockCount[WeekIndex],68)&gt;0,SUMIFS(T_StockCount[CountedQty],T_StockCount[RM_Code],$A61,T_StockCount[WeekIndex],68),IF((COUNTIFS(T_SelfStock[RM_Code],$A61,T_SelfStock[WeekIndex],68)&gt;0)*(COUNTIFS(T_TTAFStock[RM_Code],$A61,T_TTAFStock[WeekIndex],68)&gt;0)&gt;0,SUMIFS(T_SelfStock[Self_Qty],T_SelfStock[RM_Code],$A61,T_SelfStock[WeekIndex],68)+SUMIFS(T_TTAFStock[TTAF_Qty],T_TTAFStock[RM_Code],$A61,T_TTAFStock[WeekIndex],68),BP61+'Grid_Incoming'!BQ61-'Grid_Requirement'!BQ61))</f>
        <v/>
      </c>
      <c r="BR61">
        <f>IF(COUNTIFS(T_StockCount[RM_Code],$A61,T_StockCount[WeekIndex],69)&gt;0,SUMIFS(T_StockCount[CountedQty],T_StockCount[RM_Code],$A61,T_StockCount[WeekIndex],69),IF((COUNTIFS(T_SelfStock[RM_Code],$A61,T_SelfStock[WeekIndex],69)&gt;0)*(COUNTIFS(T_TTAFStock[RM_Code],$A61,T_TTAFStock[WeekIndex],69)&gt;0)&gt;0,SUMIFS(T_SelfStock[Self_Qty],T_SelfStock[RM_Code],$A61,T_SelfStock[WeekIndex],69)+SUMIFS(T_TTAFStock[TTAF_Qty],T_TTAFStock[RM_Code],$A61,T_TTAFStock[WeekIndex],69),BQ61+'Grid_Incoming'!BR61-'Grid_Requirement'!BR61))</f>
        <v/>
      </c>
      <c r="BS61">
        <f>IF(COUNTIFS(T_StockCount[RM_Code],$A61,T_StockCount[WeekIndex],70)&gt;0,SUMIFS(T_StockCount[CountedQty],T_StockCount[RM_Code],$A61,T_StockCount[WeekIndex],70),IF((COUNTIFS(T_SelfStock[RM_Code],$A61,T_SelfStock[WeekIndex],70)&gt;0)*(COUNTIFS(T_TTAFStock[RM_Code],$A61,T_TTAFStock[WeekIndex],70)&gt;0)&gt;0,SUMIFS(T_SelfStock[Self_Qty],T_SelfStock[RM_Code],$A61,T_SelfStock[WeekIndex],70)+SUMIFS(T_TTAFStock[TTAF_Qty],T_TTAFStock[RM_Code],$A61,T_TTAFStock[WeekIndex],70),BR61+'Grid_Incoming'!BS61-'Grid_Requirement'!BS61))</f>
        <v/>
      </c>
      <c r="BT61">
        <f>IF(COUNTIFS(T_StockCount[RM_Code],$A61,T_StockCount[WeekIndex],71)&gt;0,SUMIFS(T_StockCount[CountedQty],T_StockCount[RM_Code],$A61,T_StockCount[WeekIndex],71),IF((COUNTIFS(T_SelfStock[RM_Code],$A61,T_SelfStock[WeekIndex],71)&gt;0)*(COUNTIFS(T_TTAFStock[RM_Code],$A61,T_TTAFStock[WeekIndex],71)&gt;0)&gt;0,SUMIFS(T_SelfStock[Self_Qty],T_SelfStock[RM_Code],$A61,T_SelfStock[WeekIndex],71)+SUMIFS(T_TTAFStock[TTAF_Qty],T_TTAFStock[RM_Code],$A61,T_TTAFStock[WeekIndex],71),BS61+'Grid_Incoming'!BT61-'Grid_Requirement'!BT61))</f>
        <v/>
      </c>
      <c r="BU61">
        <f>IF(COUNTIFS(T_StockCount[RM_Code],$A61,T_StockCount[WeekIndex],72)&gt;0,SUMIFS(T_StockCount[CountedQty],T_StockCount[RM_Code],$A61,T_StockCount[WeekIndex],72),IF((COUNTIFS(T_SelfStock[RM_Code],$A61,T_SelfStock[WeekIndex],72)&gt;0)*(COUNTIFS(T_TTAFStock[RM_Code],$A61,T_TTAFStock[WeekIndex],72)&gt;0)&gt;0,SUMIFS(T_SelfStock[Self_Qty],T_SelfStock[RM_Code],$A61,T_SelfStock[WeekIndex],72)+SUMIFS(T_TTAFStock[TTAF_Qty],T_TTAFStock[RM_Code],$A61,T_TTAFStock[WeekIndex],72),BT61+'Grid_Incoming'!BU61-'Grid_Requirement'!BU61))</f>
        <v/>
      </c>
      <c r="BV61">
        <f>IF(COUNTIFS(T_StockCount[RM_Code],$A61,T_StockCount[WeekIndex],73)&gt;0,SUMIFS(T_StockCount[CountedQty],T_StockCount[RM_Code],$A61,T_StockCount[WeekIndex],73),IF((COUNTIFS(T_SelfStock[RM_Code],$A61,T_SelfStock[WeekIndex],73)&gt;0)*(COUNTIFS(T_TTAFStock[RM_Code],$A61,T_TTAFStock[WeekIndex],73)&gt;0)&gt;0,SUMIFS(T_SelfStock[Self_Qty],T_SelfStock[RM_Code],$A61,T_SelfStock[WeekIndex],73)+SUMIFS(T_TTAFStock[TTAF_Qty],T_TTAFStock[RM_Code],$A61,T_TTAFStock[WeekIndex],73),BU61+'Grid_Incoming'!BV61-'Grid_Requirement'!BV61))</f>
        <v/>
      </c>
      <c r="BW61">
        <f>IF(COUNTIFS(T_StockCount[RM_Code],$A61,T_StockCount[WeekIndex],74)&gt;0,SUMIFS(T_StockCount[CountedQty],T_StockCount[RM_Code],$A61,T_StockCount[WeekIndex],74),IF((COUNTIFS(T_SelfStock[RM_Code],$A61,T_SelfStock[WeekIndex],74)&gt;0)*(COUNTIFS(T_TTAFStock[RM_Code],$A61,T_TTAFStock[WeekIndex],74)&gt;0)&gt;0,SUMIFS(T_SelfStock[Self_Qty],T_SelfStock[RM_Code],$A61,T_SelfStock[WeekIndex],74)+SUMIFS(T_TTAFStock[TTAF_Qty],T_TTAFStock[RM_Code],$A61,T_TTAFStock[WeekIndex],74),BV61+'Grid_Incoming'!BW61-'Grid_Requirement'!BW61))</f>
        <v/>
      </c>
      <c r="BX61">
        <f>IF(COUNTIFS(T_StockCount[RM_Code],$A61,T_StockCount[WeekIndex],75)&gt;0,SUMIFS(T_StockCount[CountedQty],T_StockCount[RM_Code],$A61,T_StockCount[WeekIndex],75),IF((COUNTIFS(T_SelfStock[RM_Code],$A61,T_SelfStock[WeekIndex],75)&gt;0)*(COUNTIFS(T_TTAFStock[RM_Code],$A61,T_TTAFStock[WeekIndex],75)&gt;0)&gt;0,SUMIFS(T_SelfStock[Self_Qty],T_SelfStock[RM_Code],$A61,T_SelfStock[WeekIndex],75)+SUMIFS(T_TTAFStock[TTAF_Qty],T_TTAFStock[RM_Code],$A61,T_TTAFStock[WeekIndex],75),BW61+'Grid_Incoming'!BX61-'Grid_Requirement'!BX61))</f>
        <v/>
      </c>
      <c r="BY61">
        <f>IF(COUNTIFS(T_StockCount[RM_Code],$A61,T_StockCount[WeekIndex],76)&gt;0,SUMIFS(T_StockCount[CountedQty],T_StockCount[RM_Code],$A61,T_StockCount[WeekIndex],76),IF((COUNTIFS(T_SelfStock[RM_Code],$A61,T_SelfStock[WeekIndex],76)&gt;0)*(COUNTIFS(T_TTAFStock[RM_Code],$A61,T_TTAFStock[WeekIndex],76)&gt;0)&gt;0,SUMIFS(T_SelfStock[Self_Qty],T_SelfStock[RM_Code],$A61,T_SelfStock[WeekIndex],76)+SUMIFS(T_TTAFStock[TTAF_Qty],T_TTAFStock[RM_Code],$A61,T_TTAFStock[WeekIndex],76),BX61+'Grid_Incoming'!BY61-'Grid_Requirement'!BY61))</f>
        <v/>
      </c>
      <c r="BZ61">
        <f>IF(COUNTIFS(T_StockCount[RM_Code],$A61,T_StockCount[WeekIndex],77)&gt;0,SUMIFS(T_StockCount[CountedQty],T_StockCount[RM_Code],$A61,T_StockCount[WeekIndex],77),IF((COUNTIFS(T_SelfStock[RM_Code],$A61,T_SelfStock[WeekIndex],77)&gt;0)*(COUNTIFS(T_TTAFStock[RM_Code],$A61,T_TTAFStock[WeekIndex],77)&gt;0)&gt;0,SUMIFS(T_SelfStock[Self_Qty],T_SelfStock[RM_Code],$A61,T_SelfStock[WeekIndex],77)+SUMIFS(T_TTAFStock[TTAF_Qty],T_TTAFStock[RM_Code],$A61,T_TTAFStock[WeekIndex],77),BY61+'Grid_Incoming'!BZ61-'Grid_Requirement'!BZ61))</f>
        <v/>
      </c>
      <c r="CA61">
        <f>IF(COUNTIFS(T_StockCount[RM_Code],$A61,T_StockCount[WeekIndex],78)&gt;0,SUMIFS(T_StockCount[CountedQty],T_StockCount[RM_Code],$A61,T_StockCount[WeekIndex],78),IF((COUNTIFS(T_SelfStock[RM_Code],$A61,T_SelfStock[WeekIndex],78)&gt;0)*(COUNTIFS(T_TTAFStock[RM_Code],$A61,T_TTAFStock[WeekIndex],78)&gt;0)&gt;0,SUMIFS(T_SelfStock[Self_Qty],T_SelfStock[RM_Code],$A61,T_SelfStock[WeekIndex],78)+SUMIFS(T_TTAFStock[TTAF_Qty],T_TTAFStock[RM_Code],$A61,T_TTAFStock[WeekIndex],78),BZ61+'Grid_Incoming'!CA61-'Grid_Requirement'!CA61))</f>
        <v/>
      </c>
      <c r="CB61">
        <f>IF(COUNTIFS(T_StockCount[RM_Code],$A61,T_StockCount[WeekIndex],79)&gt;0,SUMIFS(T_StockCount[CountedQty],T_StockCount[RM_Code],$A61,T_StockCount[WeekIndex],79),IF((COUNTIFS(T_SelfStock[RM_Code],$A61,T_SelfStock[WeekIndex],79)&gt;0)*(COUNTIFS(T_TTAFStock[RM_Code],$A61,T_TTAFStock[WeekIndex],79)&gt;0)&gt;0,SUMIFS(T_SelfStock[Self_Qty],T_SelfStock[RM_Code],$A61,T_SelfStock[WeekIndex],79)+SUMIFS(T_TTAFStock[TTAF_Qty],T_TTAFStock[RM_Code],$A61,T_TTAFStock[WeekIndex],79),CA61+'Grid_Incoming'!CB61-'Grid_Requirement'!CB61))</f>
        <v/>
      </c>
      <c r="CC61">
        <f>IF(COUNTIFS(T_StockCount[RM_Code],$A61,T_StockCount[WeekIndex],80)&gt;0,SUMIFS(T_StockCount[CountedQty],T_StockCount[RM_Code],$A61,T_StockCount[WeekIndex],80),IF((COUNTIFS(T_SelfStock[RM_Code],$A61,T_SelfStock[WeekIndex],80)&gt;0)*(COUNTIFS(T_TTAFStock[RM_Code],$A61,T_TTAFStock[WeekIndex],80)&gt;0)&gt;0,SUMIFS(T_SelfStock[Self_Qty],T_SelfStock[RM_Code],$A61,T_SelfStock[WeekIndex],80)+SUMIFS(T_TTAFStock[TTAF_Qty],T_TTAFStock[RM_Code],$A61,T_TTAFStock[WeekIndex],80),CB61+'Grid_Incoming'!CC61-'Grid_Requirement'!CC61))</f>
        <v/>
      </c>
      <c r="CD61">
        <f>IF(COUNTIFS(T_StockCount[RM_Code],$A61,T_StockCount[WeekIndex],81)&gt;0,SUMIFS(T_StockCount[CountedQty],T_StockCount[RM_Code],$A61,T_StockCount[WeekIndex],81),IF((COUNTIFS(T_SelfStock[RM_Code],$A61,T_SelfStock[WeekIndex],81)&gt;0)*(COUNTIFS(T_TTAFStock[RM_Code],$A61,T_TTAFStock[WeekIndex],81)&gt;0)&gt;0,SUMIFS(T_SelfStock[Self_Qty],T_SelfStock[RM_Code],$A61,T_SelfStock[WeekIndex],81)+SUMIFS(T_TTAFStock[TTAF_Qty],T_TTAFStock[RM_Code],$A61,T_TTAFStock[WeekIndex],81),CC61+'Grid_Incoming'!CD61-'Grid_Requirement'!CD61))</f>
        <v/>
      </c>
      <c r="CE61">
        <f>IF(COUNTIFS(T_StockCount[RM_Code],$A61,T_StockCount[WeekIndex],82)&gt;0,SUMIFS(T_StockCount[CountedQty],T_StockCount[RM_Code],$A61,T_StockCount[WeekIndex],82),IF((COUNTIFS(T_SelfStock[RM_Code],$A61,T_SelfStock[WeekIndex],82)&gt;0)*(COUNTIFS(T_TTAFStock[RM_Code],$A61,T_TTAFStock[WeekIndex],82)&gt;0)&gt;0,SUMIFS(T_SelfStock[Self_Qty],T_SelfStock[RM_Code],$A61,T_SelfStock[WeekIndex],82)+SUMIFS(T_TTAFStock[TTAF_Qty],T_TTAFStock[RM_Code],$A61,T_TTAFStock[WeekIndex],82),CD61+'Grid_Incoming'!CE61-'Grid_Requirement'!CE61))</f>
        <v/>
      </c>
      <c r="CF61">
        <f>IF(COUNTIFS(T_StockCount[RM_Code],$A61,T_StockCount[WeekIndex],83)&gt;0,SUMIFS(T_StockCount[CountedQty],T_StockCount[RM_Code],$A61,T_StockCount[WeekIndex],83),IF((COUNTIFS(T_SelfStock[RM_Code],$A61,T_SelfStock[WeekIndex],83)&gt;0)*(COUNTIFS(T_TTAFStock[RM_Code],$A61,T_TTAFStock[WeekIndex],83)&gt;0)&gt;0,SUMIFS(T_SelfStock[Self_Qty],T_SelfStock[RM_Code],$A61,T_SelfStock[WeekIndex],83)+SUMIFS(T_TTAFStock[TTAF_Qty],T_TTAFStock[RM_Code],$A61,T_TTAFStock[WeekIndex],83),CE61+'Grid_Incoming'!CF61-'Grid_Requirement'!CF61))</f>
        <v/>
      </c>
      <c r="CG61">
        <f>IF(COUNTIFS(T_StockCount[RM_Code],$A61,T_StockCount[WeekIndex],84)&gt;0,SUMIFS(T_StockCount[CountedQty],T_StockCount[RM_Code],$A61,T_StockCount[WeekIndex],84),IF((COUNTIFS(T_SelfStock[RM_Code],$A61,T_SelfStock[WeekIndex],84)&gt;0)*(COUNTIFS(T_TTAFStock[RM_Code],$A61,T_TTAFStock[WeekIndex],84)&gt;0)&gt;0,SUMIFS(T_SelfStock[Self_Qty],T_SelfStock[RM_Code],$A61,T_SelfStock[WeekIndex],84)+SUMIFS(T_TTAFStock[TTAF_Qty],T_TTAFStock[RM_Code],$A61,T_TTAFStock[WeekIndex],84),CF61+'Grid_Incoming'!CG61-'Grid_Requirement'!CG61))</f>
        <v/>
      </c>
      <c r="CH61">
        <f>IF(COUNTIFS(T_StockCount[RM_Code],$A61,T_StockCount[WeekIndex],85)&gt;0,SUMIFS(T_StockCount[CountedQty],T_StockCount[RM_Code],$A61,T_StockCount[WeekIndex],85),IF((COUNTIFS(T_SelfStock[RM_Code],$A61,T_SelfStock[WeekIndex],85)&gt;0)*(COUNTIFS(T_TTAFStock[RM_Code],$A61,T_TTAFStock[WeekIndex],85)&gt;0)&gt;0,SUMIFS(T_SelfStock[Self_Qty],T_SelfStock[RM_Code],$A61,T_SelfStock[WeekIndex],85)+SUMIFS(T_TTAFStock[TTAF_Qty],T_TTAFStock[RM_Code],$A61,T_TTAFStock[WeekIndex],85),CG61+'Grid_Incoming'!CH61-'Grid_Requirement'!CH61))</f>
        <v/>
      </c>
      <c r="CI61">
        <f>IF(COUNTIFS(T_StockCount[RM_Code],$A61,T_StockCount[WeekIndex],86)&gt;0,SUMIFS(T_StockCount[CountedQty],T_StockCount[RM_Code],$A61,T_StockCount[WeekIndex],86),IF((COUNTIFS(T_SelfStock[RM_Code],$A61,T_SelfStock[WeekIndex],86)&gt;0)*(COUNTIFS(T_TTAFStock[RM_Code],$A61,T_TTAFStock[WeekIndex],86)&gt;0)&gt;0,SUMIFS(T_SelfStock[Self_Qty],T_SelfStock[RM_Code],$A61,T_SelfStock[WeekIndex],86)+SUMIFS(T_TTAFStock[TTAF_Qty],T_TTAFStock[RM_Code],$A61,T_TTAFStock[WeekIndex],86),CH61+'Grid_Incoming'!CI61-'Grid_Requirement'!CI61))</f>
        <v/>
      </c>
      <c r="CJ61">
        <f>IF(COUNTIFS(T_StockCount[RM_Code],$A61,T_StockCount[WeekIndex],87)&gt;0,SUMIFS(T_StockCount[CountedQty],T_StockCount[RM_Code],$A61,T_StockCount[WeekIndex],87),IF((COUNTIFS(T_SelfStock[RM_Code],$A61,T_SelfStock[WeekIndex],87)&gt;0)*(COUNTIFS(T_TTAFStock[RM_Code],$A61,T_TTAFStock[WeekIndex],87)&gt;0)&gt;0,SUMIFS(T_SelfStock[Self_Qty],T_SelfStock[RM_Code],$A61,T_SelfStock[WeekIndex],87)+SUMIFS(T_TTAFStock[TTAF_Qty],T_TTAFStock[RM_Code],$A61,T_TTAFStock[WeekIndex],87),CI61+'Grid_Incoming'!CJ61-'Grid_Requirement'!CJ61))</f>
        <v/>
      </c>
      <c r="CK61">
        <f>IF(COUNTIFS(T_StockCount[RM_Code],$A61,T_StockCount[WeekIndex],88)&gt;0,SUMIFS(T_StockCount[CountedQty],T_StockCount[RM_Code],$A61,T_StockCount[WeekIndex],88),IF((COUNTIFS(T_SelfStock[RM_Code],$A61,T_SelfStock[WeekIndex],88)&gt;0)*(COUNTIFS(T_TTAFStock[RM_Code],$A61,T_TTAFStock[WeekIndex],88)&gt;0)&gt;0,SUMIFS(T_SelfStock[Self_Qty],T_SelfStock[RM_Code],$A61,T_SelfStock[WeekIndex],88)+SUMIFS(T_TTAFStock[TTAF_Qty],T_TTAFStock[RM_Code],$A61,T_TTAFStock[WeekIndex],88),CJ61+'Grid_Incoming'!CK61-'Grid_Requirement'!CK61))</f>
        <v/>
      </c>
      <c r="CL61">
        <f>IF(COUNTIFS(T_StockCount[RM_Code],$A61,T_StockCount[WeekIndex],89)&gt;0,SUMIFS(T_StockCount[CountedQty],T_StockCount[RM_Code],$A61,T_StockCount[WeekIndex],89),IF((COUNTIFS(T_SelfStock[RM_Code],$A61,T_SelfStock[WeekIndex],89)&gt;0)*(COUNTIFS(T_TTAFStock[RM_Code],$A61,T_TTAFStock[WeekIndex],89)&gt;0)&gt;0,SUMIFS(T_SelfStock[Self_Qty],T_SelfStock[RM_Code],$A61,T_SelfStock[WeekIndex],89)+SUMIFS(T_TTAFStock[TTAF_Qty],T_TTAFStock[RM_Code],$A61,T_TTAFStock[WeekIndex],89),CK61+'Grid_Incoming'!CL61-'Grid_Requirement'!CL61))</f>
        <v/>
      </c>
      <c r="CM61">
        <f>IF(COUNTIFS(T_StockCount[RM_Code],$A61,T_StockCount[WeekIndex],90)&gt;0,SUMIFS(T_StockCount[CountedQty],T_StockCount[RM_Code],$A61,T_StockCount[WeekIndex],90),IF((COUNTIFS(T_SelfStock[RM_Code],$A61,T_SelfStock[WeekIndex],90)&gt;0)*(COUNTIFS(T_TTAFStock[RM_Code],$A61,T_TTAFStock[WeekIndex],90)&gt;0)&gt;0,SUMIFS(T_SelfStock[Self_Qty],T_SelfStock[RM_Code],$A61,T_SelfStock[WeekIndex],90)+SUMIFS(T_TTAFStock[TTAF_Qty],T_TTAFStock[RM_Code],$A61,T_TTAFStock[WeekIndex],90),CL61+'Grid_Incoming'!CM61-'Grid_Requirement'!CM61))</f>
        <v/>
      </c>
      <c r="CN61">
        <f>IF(COUNTIFS(T_StockCount[RM_Code],$A61,T_StockCount[WeekIndex],91)&gt;0,SUMIFS(T_StockCount[CountedQty],T_StockCount[RM_Code],$A61,T_StockCount[WeekIndex],91),IF((COUNTIFS(T_SelfStock[RM_Code],$A61,T_SelfStock[WeekIndex],91)&gt;0)*(COUNTIFS(T_TTAFStock[RM_Code],$A61,T_TTAFStock[WeekIndex],91)&gt;0)&gt;0,SUMIFS(T_SelfStock[Self_Qty],T_SelfStock[RM_Code],$A61,T_SelfStock[WeekIndex],91)+SUMIFS(T_TTAFStock[TTAF_Qty],T_TTAFStock[RM_Code],$A61,T_TTAFStock[WeekIndex],91),CM61+'Grid_Incoming'!CN61-'Grid_Requirement'!CN61))</f>
        <v/>
      </c>
      <c r="CO61">
        <f>IF(COUNTIFS(T_StockCount[RM_Code],$A61,T_StockCount[WeekIndex],92)&gt;0,SUMIFS(T_StockCount[CountedQty],T_StockCount[RM_Code],$A61,T_StockCount[WeekIndex],92),IF((COUNTIFS(T_SelfStock[RM_Code],$A61,T_SelfStock[WeekIndex],92)&gt;0)*(COUNTIFS(T_TTAFStock[RM_Code],$A61,T_TTAFStock[WeekIndex],92)&gt;0)&gt;0,SUMIFS(T_SelfStock[Self_Qty],T_SelfStock[RM_Code],$A61,T_SelfStock[WeekIndex],92)+SUMIFS(T_TTAFStock[TTAF_Qty],T_TTAFStock[RM_Code],$A61,T_TTAFStock[WeekIndex],92),CN61+'Grid_Incoming'!CO61-'Grid_Requirement'!CO61))</f>
        <v/>
      </c>
      <c r="CP61">
        <f>IF(COUNTIFS(T_StockCount[RM_Code],$A61,T_StockCount[WeekIndex],93)&gt;0,SUMIFS(T_StockCount[CountedQty],T_StockCount[RM_Code],$A61,T_StockCount[WeekIndex],93),IF((COUNTIFS(T_SelfStock[RM_Code],$A61,T_SelfStock[WeekIndex],93)&gt;0)*(COUNTIFS(T_TTAFStock[RM_Code],$A61,T_TTAFStock[WeekIndex],93)&gt;0)&gt;0,SUMIFS(T_SelfStock[Self_Qty],T_SelfStock[RM_Code],$A61,T_SelfStock[WeekIndex],93)+SUMIFS(T_TTAFStock[TTAF_Qty],T_TTAFStock[RM_Code],$A61,T_TTAFStock[WeekIndex],93),CO61+'Grid_Incoming'!CP61-'Grid_Requirement'!CP61))</f>
        <v/>
      </c>
      <c r="CQ61">
        <f>IF(COUNTIFS(T_StockCount[RM_Code],$A61,T_StockCount[WeekIndex],94)&gt;0,SUMIFS(T_StockCount[CountedQty],T_StockCount[RM_Code],$A61,T_StockCount[WeekIndex],94),IF((COUNTIFS(T_SelfStock[RM_Code],$A61,T_SelfStock[WeekIndex],94)&gt;0)*(COUNTIFS(T_TTAFStock[RM_Code],$A61,T_TTAFStock[WeekIndex],94)&gt;0)&gt;0,SUMIFS(T_SelfStock[Self_Qty],T_SelfStock[RM_Code],$A61,T_SelfStock[WeekIndex],94)+SUMIFS(T_TTAFStock[TTAF_Qty],T_TTAFStock[RM_Code],$A61,T_TTAFStock[WeekIndex],94),CP61+'Grid_Incoming'!CQ61-'Grid_Requirement'!CQ61))</f>
        <v/>
      </c>
      <c r="CR61">
        <f>IF(COUNTIFS(T_StockCount[RM_Code],$A61,T_StockCount[WeekIndex],95)&gt;0,SUMIFS(T_StockCount[CountedQty],T_StockCount[RM_Code],$A61,T_StockCount[WeekIndex],95),IF((COUNTIFS(T_SelfStock[RM_Code],$A61,T_SelfStock[WeekIndex],95)&gt;0)*(COUNTIFS(T_TTAFStock[RM_Code],$A61,T_TTAFStock[WeekIndex],95)&gt;0)&gt;0,SUMIFS(T_SelfStock[Self_Qty],T_SelfStock[RM_Code],$A61,T_SelfStock[WeekIndex],95)+SUMIFS(T_TTAFStock[TTAF_Qty],T_TTAFStock[RM_Code],$A61,T_TTAFStock[WeekIndex],95),CQ61+'Grid_Incoming'!CR61-'Grid_Requirement'!CR61))</f>
        <v/>
      </c>
      <c r="CS61">
        <f>IF(COUNTIFS(T_StockCount[RM_Code],$A61,T_StockCount[WeekIndex],96)&gt;0,SUMIFS(T_StockCount[CountedQty],T_StockCount[RM_Code],$A61,T_StockCount[WeekIndex],96),IF((COUNTIFS(T_SelfStock[RM_Code],$A61,T_SelfStock[WeekIndex],96)&gt;0)*(COUNTIFS(T_TTAFStock[RM_Code],$A61,T_TTAFStock[WeekIndex],96)&gt;0)&gt;0,SUMIFS(T_SelfStock[Self_Qty],T_SelfStock[RM_Code],$A61,T_SelfStock[WeekIndex],96)+SUMIFS(T_TTAFStock[TTAF_Qty],T_TTAFStock[RM_Code],$A61,T_TTAFStock[WeekIndex],96),CR61+'Grid_Incoming'!CS61-'Grid_Requirement'!CS61))</f>
        <v/>
      </c>
      <c r="CT61">
        <f>IF(COUNTIFS(T_StockCount[RM_Code],$A61,T_StockCount[WeekIndex],97)&gt;0,SUMIFS(T_StockCount[CountedQty],T_StockCount[RM_Code],$A61,T_StockCount[WeekIndex],97),IF((COUNTIFS(T_SelfStock[RM_Code],$A61,T_SelfStock[WeekIndex],97)&gt;0)*(COUNTIFS(T_TTAFStock[RM_Code],$A61,T_TTAFStock[WeekIndex],97)&gt;0)&gt;0,SUMIFS(T_SelfStock[Self_Qty],T_SelfStock[RM_Code],$A61,T_SelfStock[WeekIndex],97)+SUMIFS(T_TTAFStock[TTAF_Qty],T_TTAFStock[RM_Code],$A61,T_TTAFStock[WeekIndex],97),CS61+'Grid_Incoming'!CT61-'Grid_Requirement'!CT61))</f>
        <v/>
      </c>
      <c r="CU61">
        <f>IF(COUNTIFS(T_StockCount[RM_Code],$A61,T_StockCount[WeekIndex],98)&gt;0,SUMIFS(T_StockCount[CountedQty],T_StockCount[RM_Code],$A61,T_StockCount[WeekIndex],98),IF((COUNTIFS(T_SelfStock[RM_Code],$A61,T_SelfStock[WeekIndex],98)&gt;0)*(COUNTIFS(T_TTAFStock[RM_Code],$A61,T_TTAFStock[WeekIndex],98)&gt;0)&gt;0,SUMIFS(T_SelfStock[Self_Qty],T_SelfStock[RM_Code],$A61,T_SelfStock[WeekIndex],98)+SUMIFS(T_TTAFStock[TTAF_Qty],T_TTAFStock[RM_Code],$A61,T_TTAFStock[WeekIndex],98),CT61+'Grid_Incoming'!CU61-'Grid_Requirement'!CU61))</f>
        <v/>
      </c>
      <c r="CV61">
        <f>IF(COUNTIFS(T_StockCount[RM_Code],$A61,T_StockCount[WeekIndex],99)&gt;0,SUMIFS(T_StockCount[CountedQty],T_StockCount[RM_Code],$A61,T_StockCount[WeekIndex],99),IF((COUNTIFS(T_SelfStock[RM_Code],$A61,T_SelfStock[WeekIndex],99)&gt;0)*(COUNTIFS(T_TTAFStock[RM_Code],$A61,T_TTAFStock[WeekIndex],99)&gt;0)&gt;0,SUMIFS(T_SelfStock[Self_Qty],T_SelfStock[RM_Code],$A61,T_SelfStock[WeekIndex],99)+SUMIFS(T_TTAFStock[TTAF_Qty],T_TTAFStock[RM_Code],$A61,T_TTAFStock[WeekIndex],99),CU61+'Grid_Incoming'!CV61-'Grid_Requirement'!CV61))</f>
        <v/>
      </c>
      <c r="CW61">
        <f>IF(COUNTIFS(T_StockCount[RM_Code],$A61,T_StockCount[WeekIndex],100)&gt;0,SUMIFS(T_StockCount[CountedQty],T_StockCount[RM_Code],$A61,T_StockCount[WeekIndex],100),IF((COUNTIFS(T_SelfStock[RM_Code],$A61,T_SelfStock[WeekIndex],100)&gt;0)*(COUNTIFS(T_TTAFStock[RM_Code],$A61,T_TTAFStock[WeekIndex],100)&gt;0)&gt;0,SUMIFS(T_SelfStock[Self_Qty],T_SelfStock[RM_Code],$A61,T_SelfStock[WeekIndex],100)+SUMIFS(T_TTAFStock[TTAF_Qty],T_TTAFStock[RM_Code],$A61,T_TTAFStock[WeekIndex],100),CV61+'Grid_Incoming'!CW61-'Grid_Requirement'!CW61))</f>
        <v/>
      </c>
      <c r="CX61">
        <f>IF(COUNTIFS(T_StockCount[RM_Code],$A61,T_StockCount[WeekIndex],101)&gt;0,SUMIFS(T_StockCount[CountedQty],T_StockCount[RM_Code],$A61,T_StockCount[WeekIndex],101),IF((COUNTIFS(T_SelfStock[RM_Code],$A61,T_SelfStock[WeekIndex],101)&gt;0)*(COUNTIFS(T_TTAFStock[RM_Code],$A61,T_TTAFStock[WeekIndex],101)&gt;0)&gt;0,SUMIFS(T_SelfStock[Self_Qty],T_SelfStock[RM_Code],$A61,T_SelfStock[WeekIndex],101)+SUMIFS(T_TTAFStock[TTAF_Qty],T_TTAFStock[RM_Code],$A61,T_TTAFStock[WeekIndex],101),CW61+'Grid_Incoming'!CX61-'Grid_Requirement'!CX61))</f>
        <v/>
      </c>
      <c r="CY61">
        <f>IF(COUNTIFS(T_StockCount[RM_Code],$A61,T_StockCount[WeekIndex],102)&gt;0,SUMIFS(T_StockCount[CountedQty],T_StockCount[RM_Code],$A61,T_StockCount[WeekIndex],102),IF((COUNTIFS(T_SelfStock[RM_Code],$A61,T_SelfStock[WeekIndex],102)&gt;0)*(COUNTIFS(T_TTAFStock[RM_Code],$A61,T_TTAFStock[WeekIndex],102)&gt;0)&gt;0,SUMIFS(T_SelfStock[Self_Qty],T_SelfStock[RM_Code],$A61,T_SelfStock[WeekIndex],102)+SUMIFS(T_TTAFStock[TTAF_Qty],T_TTAFStock[RM_Code],$A61,T_TTAFStock[WeekIndex],102),CX61+'Grid_Incoming'!CY61-'Grid_Requirement'!CY61))</f>
        <v/>
      </c>
      <c r="CZ61">
        <f>IF(COUNTIFS(T_StockCount[RM_Code],$A61,T_StockCount[WeekIndex],103)&gt;0,SUMIFS(T_StockCount[CountedQty],T_StockCount[RM_Code],$A61,T_StockCount[WeekIndex],103),IF((COUNTIFS(T_SelfStock[RM_Code],$A61,T_SelfStock[WeekIndex],103)&gt;0)*(COUNTIFS(T_TTAFStock[RM_Code],$A61,T_TTAFStock[WeekIndex],103)&gt;0)&gt;0,SUMIFS(T_SelfStock[Self_Qty],T_SelfStock[RM_Code],$A61,T_SelfStock[WeekIndex],103)+SUMIFS(T_TTAFStock[TTAF_Qty],T_TTAFStock[RM_Code],$A61,T_TTAFStock[WeekIndex],103),CY61+'Grid_Incoming'!CZ61-'Grid_Requirement'!CZ61))</f>
        <v/>
      </c>
      <c r="DA61">
        <f>IF(COUNTIFS(T_StockCount[RM_Code],$A61,T_StockCount[WeekIndex],104)&gt;0,SUMIFS(T_StockCount[CountedQty],T_StockCount[RM_Code],$A61,T_StockCount[WeekIndex],104),IF((COUNTIFS(T_SelfStock[RM_Code],$A61,T_SelfStock[WeekIndex],104)&gt;0)*(COUNTIFS(T_TTAFStock[RM_Code],$A61,T_TTAFStock[WeekIndex],104)&gt;0)&gt;0,SUMIFS(T_SelfStock[Self_Qty],T_SelfStock[RM_Code],$A61,T_SelfStock[WeekIndex],104)+SUMIFS(T_TTAFStock[TTAF_Qty],T_TTAFStock[RM_Code],$A61,T_TTAFStock[WeekIndex],104),CZ61+'Grid_Incoming'!DA61-'Grid_Requirement'!DA61))</f>
        <v/>
      </c>
    </row>
    <row r="62">
      <c r="A62" t="inlineStr">
        <is>
          <t>Ester Film</t>
        </is>
      </c>
      <c r="B62">
        <f>IF(COUNTIFS(T_StockCount[RM_Code],$A62,T_StockCount[WeekIndex],1)&gt;0,SUMIFS(T_StockCount[CountedQty],T_StockCount[RM_Code],$A62,T_StockCount[WeekIndex],1),IF((COUNTIFS(T_SelfStock[RM_Code],$A62,T_SelfStock[WeekIndex],1)&gt;0)*(COUNTIFS(T_TTAFStock[RM_Code],$A62,T_TTAFStock[WeekIndex],1)&gt;0)&gt;0,SUMIFS(T_SelfStock[Self_Qty],T_SelfStock[RM_Code],$A62,T_SelfStock[WeekIndex],1)+SUMIFS(T_TTAFStock[TTAF_Qty],T_TTAFStock[RM_Code],$A62,T_TTAFStock[WeekIndex],1),IFERROR(INDEX(T_OpeningStock[Opening_Qty],MATCH($A62,T_OpeningStock[RM_Code],0)),0)+'Grid_Incoming'!B62-'Grid_Requirement'!B62))</f>
        <v/>
      </c>
      <c r="C62">
        <f>IF(COUNTIFS(T_StockCount[RM_Code],$A62,T_StockCount[WeekIndex],2)&gt;0,SUMIFS(T_StockCount[CountedQty],T_StockCount[RM_Code],$A62,T_StockCount[WeekIndex],2),IF((COUNTIFS(T_SelfStock[RM_Code],$A62,T_SelfStock[WeekIndex],2)&gt;0)*(COUNTIFS(T_TTAFStock[RM_Code],$A62,T_TTAFStock[WeekIndex],2)&gt;0)&gt;0,SUMIFS(T_SelfStock[Self_Qty],T_SelfStock[RM_Code],$A62,T_SelfStock[WeekIndex],2)+SUMIFS(T_TTAFStock[TTAF_Qty],T_TTAFStock[RM_Code],$A62,T_TTAFStock[WeekIndex],2),B62+'Grid_Incoming'!C62-'Grid_Requirement'!C62))</f>
        <v/>
      </c>
      <c r="D62">
        <f>IF(COUNTIFS(T_StockCount[RM_Code],$A62,T_StockCount[WeekIndex],3)&gt;0,SUMIFS(T_StockCount[CountedQty],T_StockCount[RM_Code],$A62,T_StockCount[WeekIndex],3),IF((COUNTIFS(T_SelfStock[RM_Code],$A62,T_SelfStock[WeekIndex],3)&gt;0)*(COUNTIFS(T_TTAFStock[RM_Code],$A62,T_TTAFStock[WeekIndex],3)&gt;0)&gt;0,SUMIFS(T_SelfStock[Self_Qty],T_SelfStock[RM_Code],$A62,T_SelfStock[WeekIndex],3)+SUMIFS(T_TTAFStock[TTAF_Qty],T_TTAFStock[RM_Code],$A62,T_TTAFStock[WeekIndex],3),C62+'Grid_Incoming'!D62-'Grid_Requirement'!D62))</f>
        <v/>
      </c>
      <c r="E62">
        <f>IF(COUNTIFS(T_StockCount[RM_Code],$A62,T_StockCount[WeekIndex],4)&gt;0,SUMIFS(T_StockCount[CountedQty],T_StockCount[RM_Code],$A62,T_StockCount[WeekIndex],4),IF((COUNTIFS(T_SelfStock[RM_Code],$A62,T_SelfStock[WeekIndex],4)&gt;0)*(COUNTIFS(T_TTAFStock[RM_Code],$A62,T_TTAFStock[WeekIndex],4)&gt;0)&gt;0,SUMIFS(T_SelfStock[Self_Qty],T_SelfStock[RM_Code],$A62,T_SelfStock[WeekIndex],4)+SUMIFS(T_TTAFStock[TTAF_Qty],T_TTAFStock[RM_Code],$A62,T_TTAFStock[WeekIndex],4),D62+'Grid_Incoming'!E62-'Grid_Requirement'!E62))</f>
        <v/>
      </c>
      <c r="F62">
        <f>IF(COUNTIFS(T_StockCount[RM_Code],$A62,T_StockCount[WeekIndex],5)&gt;0,SUMIFS(T_StockCount[CountedQty],T_StockCount[RM_Code],$A62,T_StockCount[WeekIndex],5),IF((COUNTIFS(T_SelfStock[RM_Code],$A62,T_SelfStock[WeekIndex],5)&gt;0)*(COUNTIFS(T_TTAFStock[RM_Code],$A62,T_TTAFStock[WeekIndex],5)&gt;0)&gt;0,SUMIFS(T_SelfStock[Self_Qty],T_SelfStock[RM_Code],$A62,T_SelfStock[WeekIndex],5)+SUMIFS(T_TTAFStock[TTAF_Qty],T_TTAFStock[RM_Code],$A62,T_TTAFStock[WeekIndex],5),E62+'Grid_Incoming'!F62-'Grid_Requirement'!F62))</f>
        <v/>
      </c>
      <c r="G62">
        <f>IF(COUNTIFS(T_StockCount[RM_Code],$A62,T_StockCount[WeekIndex],6)&gt;0,SUMIFS(T_StockCount[CountedQty],T_StockCount[RM_Code],$A62,T_StockCount[WeekIndex],6),IF((COUNTIFS(T_SelfStock[RM_Code],$A62,T_SelfStock[WeekIndex],6)&gt;0)*(COUNTIFS(T_TTAFStock[RM_Code],$A62,T_TTAFStock[WeekIndex],6)&gt;0)&gt;0,SUMIFS(T_SelfStock[Self_Qty],T_SelfStock[RM_Code],$A62,T_SelfStock[WeekIndex],6)+SUMIFS(T_TTAFStock[TTAF_Qty],T_TTAFStock[RM_Code],$A62,T_TTAFStock[WeekIndex],6),F62+'Grid_Incoming'!G62-'Grid_Requirement'!G62))</f>
        <v/>
      </c>
      <c r="H62">
        <f>IF(COUNTIFS(T_StockCount[RM_Code],$A62,T_StockCount[WeekIndex],7)&gt;0,SUMIFS(T_StockCount[CountedQty],T_StockCount[RM_Code],$A62,T_StockCount[WeekIndex],7),IF((COUNTIFS(T_SelfStock[RM_Code],$A62,T_SelfStock[WeekIndex],7)&gt;0)*(COUNTIFS(T_TTAFStock[RM_Code],$A62,T_TTAFStock[WeekIndex],7)&gt;0)&gt;0,SUMIFS(T_SelfStock[Self_Qty],T_SelfStock[RM_Code],$A62,T_SelfStock[WeekIndex],7)+SUMIFS(T_TTAFStock[TTAF_Qty],T_TTAFStock[RM_Code],$A62,T_TTAFStock[WeekIndex],7),G62+'Grid_Incoming'!H62-'Grid_Requirement'!H62))</f>
        <v/>
      </c>
      <c r="I62">
        <f>IF(COUNTIFS(T_StockCount[RM_Code],$A62,T_StockCount[WeekIndex],8)&gt;0,SUMIFS(T_StockCount[CountedQty],T_StockCount[RM_Code],$A62,T_StockCount[WeekIndex],8),IF((COUNTIFS(T_SelfStock[RM_Code],$A62,T_SelfStock[WeekIndex],8)&gt;0)*(COUNTIFS(T_TTAFStock[RM_Code],$A62,T_TTAFStock[WeekIndex],8)&gt;0)&gt;0,SUMIFS(T_SelfStock[Self_Qty],T_SelfStock[RM_Code],$A62,T_SelfStock[WeekIndex],8)+SUMIFS(T_TTAFStock[TTAF_Qty],T_TTAFStock[RM_Code],$A62,T_TTAFStock[WeekIndex],8),H62+'Grid_Incoming'!I62-'Grid_Requirement'!I62))</f>
        <v/>
      </c>
      <c r="J62">
        <f>IF(COUNTIFS(T_StockCount[RM_Code],$A62,T_StockCount[WeekIndex],9)&gt;0,SUMIFS(T_StockCount[CountedQty],T_StockCount[RM_Code],$A62,T_StockCount[WeekIndex],9),IF((COUNTIFS(T_SelfStock[RM_Code],$A62,T_SelfStock[WeekIndex],9)&gt;0)*(COUNTIFS(T_TTAFStock[RM_Code],$A62,T_TTAFStock[WeekIndex],9)&gt;0)&gt;0,SUMIFS(T_SelfStock[Self_Qty],T_SelfStock[RM_Code],$A62,T_SelfStock[WeekIndex],9)+SUMIFS(T_TTAFStock[TTAF_Qty],T_TTAFStock[RM_Code],$A62,T_TTAFStock[WeekIndex],9),I62+'Grid_Incoming'!J62-'Grid_Requirement'!J62))</f>
        <v/>
      </c>
      <c r="K62">
        <f>IF(COUNTIFS(T_StockCount[RM_Code],$A62,T_StockCount[WeekIndex],10)&gt;0,SUMIFS(T_StockCount[CountedQty],T_StockCount[RM_Code],$A62,T_StockCount[WeekIndex],10),IF((COUNTIFS(T_SelfStock[RM_Code],$A62,T_SelfStock[WeekIndex],10)&gt;0)*(COUNTIFS(T_TTAFStock[RM_Code],$A62,T_TTAFStock[WeekIndex],10)&gt;0)&gt;0,SUMIFS(T_SelfStock[Self_Qty],T_SelfStock[RM_Code],$A62,T_SelfStock[WeekIndex],10)+SUMIFS(T_TTAFStock[TTAF_Qty],T_TTAFStock[RM_Code],$A62,T_TTAFStock[WeekIndex],10),J62+'Grid_Incoming'!K62-'Grid_Requirement'!K62))</f>
        <v/>
      </c>
      <c r="L62">
        <f>IF(COUNTIFS(T_StockCount[RM_Code],$A62,T_StockCount[WeekIndex],11)&gt;0,SUMIFS(T_StockCount[CountedQty],T_StockCount[RM_Code],$A62,T_StockCount[WeekIndex],11),IF((COUNTIFS(T_SelfStock[RM_Code],$A62,T_SelfStock[WeekIndex],11)&gt;0)*(COUNTIFS(T_TTAFStock[RM_Code],$A62,T_TTAFStock[WeekIndex],11)&gt;0)&gt;0,SUMIFS(T_SelfStock[Self_Qty],T_SelfStock[RM_Code],$A62,T_SelfStock[WeekIndex],11)+SUMIFS(T_TTAFStock[TTAF_Qty],T_TTAFStock[RM_Code],$A62,T_TTAFStock[WeekIndex],11),K62+'Grid_Incoming'!L62-'Grid_Requirement'!L62))</f>
        <v/>
      </c>
      <c r="M62">
        <f>IF(COUNTIFS(T_StockCount[RM_Code],$A62,T_StockCount[WeekIndex],12)&gt;0,SUMIFS(T_StockCount[CountedQty],T_StockCount[RM_Code],$A62,T_StockCount[WeekIndex],12),IF((COUNTIFS(T_SelfStock[RM_Code],$A62,T_SelfStock[WeekIndex],12)&gt;0)*(COUNTIFS(T_TTAFStock[RM_Code],$A62,T_TTAFStock[WeekIndex],12)&gt;0)&gt;0,SUMIFS(T_SelfStock[Self_Qty],T_SelfStock[RM_Code],$A62,T_SelfStock[WeekIndex],12)+SUMIFS(T_TTAFStock[TTAF_Qty],T_TTAFStock[RM_Code],$A62,T_TTAFStock[WeekIndex],12),L62+'Grid_Incoming'!M62-'Grid_Requirement'!M62))</f>
        <v/>
      </c>
      <c r="N62">
        <f>IF(COUNTIFS(T_StockCount[RM_Code],$A62,T_StockCount[WeekIndex],13)&gt;0,SUMIFS(T_StockCount[CountedQty],T_StockCount[RM_Code],$A62,T_StockCount[WeekIndex],13),IF((COUNTIFS(T_SelfStock[RM_Code],$A62,T_SelfStock[WeekIndex],13)&gt;0)*(COUNTIFS(T_TTAFStock[RM_Code],$A62,T_TTAFStock[WeekIndex],13)&gt;0)&gt;0,SUMIFS(T_SelfStock[Self_Qty],T_SelfStock[RM_Code],$A62,T_SelfStock[WeekIndex],13)+SUMIFS(T_TTAFStock[TTAF_Qty],T_TTAFStock[RM_Code],$A62,T_TTAFStock[WeekIndex],13),M62+'Grid_Incoming'!N62-'Grid_Requirement'!N62))</f>
        <v/>
      </c>
      <c r="O62">
        <f>IF(COUNTIFS(T_StockCount[RM_Code],$A62,T_StockCount[WeekIndex],14)&gt;0,SUMIFS(T_StockCount[CountedQty],T_StockCount[RM_Code],$A62,T_StockCount[WeekIndex],14),IF((COUNTIFS(T_SelfStock[RM_Code],$A62,T_SelfStock[WeekIndex],14)&gt;0)*(COUNTIFS(T_TTAFStock[RM_Code],$A62,T_TTAFStock[WeekIndex],14)&gt;0)&gt;0,SUMIFS(T_SelfStock[Self_Qty],T_SelfStock[RM_Code],$A62,T_SelfStock[WeekIndex],14)+SUMIFS(T_TTAFStock[TTAF_Qty],T_TTAFStock[RM_Code],$A62,T_TTAFStock[WeekIndex],14),N62+'Grid_Incoming'!O62-'Grid_Requirement'!O62))</f>
        <v/>
      </c>
      <c r="P62">
        <f>IF(COUNTIFS(T_StockCount[RM_Code],$A62,T_StockCount[WeekIndex],15)&gt;0,SUMIFS(T_StockCount[CountedQty],T_StockCount[RM_Code],$A62,T_StockCount[WeekIndex],15),IF((COUNTIFS(T_SelfStock[RM_Code],$A62,T_SelfStock[WeekIndex],15)&gt;0)*(COUNTIFS(T_TTAFStock[RM_Code],$A62,T_TTAFStock[WeekIndex],15)&gt;0)&gt;0,SUMIFS(T_SelfStock[Self_Qty],T_SelfStock[RM_Code],$A62,T_SelfStock[WeekIndex],15)+SUMIFS(T_TTAFStock[TTAF_Qty],T_TTAFStock[RM_Code],$A62,T_TTAFStock[WeekIndex],15),O62+'Grid_Incoming'!P62-'Grid_Requirement'!P62))</f>
        <v/>
      </c>
      <c r="Q62">
        <f>IF(COUNTIFS(T_StockCount[RM_Code],$A62,T_StockCount[WeekIndex],16)&gt;0,SUMIFS(T_StockCount[CountedQty],T_StockCount[RM_Code],$A62,T_StockCount[WeekIndex],16),IF((COUNTIFS(T_SelfStock[RM_Code],$A62,T_SelfStock[WeekIndex],16)&gt;0)*(COUNTIFS(T_TTAFStock[RM_Code],$A62,T_TTAFStock[WeekIndex],16)&gt;0)&gt;0,SUMIFS(T_SelfStock[Self_Qty],T_SelfStock[RM_Code],$A62,T_SelfStock[WeekIndex],16)+SUMIFS(T_TTAFStock[TTAF_Qty],T_TTAFStock[RM_Code],$A62,T_TTAFStock[WeekIndex],16),P62+'Grid_Incoming'!Q62-'Grid_Requirement'!Q62))</f>
        <v/>
      </c>
      <c r="R62">
        <f>IF(COUNTIFS(T_StockCount[RM_Code],$A62,T_StockCount[WeekIndex],17)&gt;0,SUMIFS(T_StockCount[CountedQty],T_StockCount[RM_Code],$A62,T_StockCount[WeekIndex],17),IF((COUNTIFS(T_SelfStock[RM_Code],$A62,T_SelfStock[WeekIndex],17)&gt;0)*(COUNTIFS(T_TTAFStock[RM_Code],$A62,T_TTAFStock[WeekIndex],17)&gt;0)&gt;0,SUMIFS(T_SelfStock[Self_Qty],T_SelfStock[RM_Code],$A62,T_SelfStock[WeekIndex],17)+SUMIFS(T_TTAFStock[TTAF_Qty],T_TTAFStock[RM_Code],$A62,T_TTAFStock[WeekIndex],17),Q62+'Grid_Incoming'!R62-'Grid_Requirement'!R62))</f>
        <v/>
      </c>
      <c r="S62">
        <f>IF(COUNTIFS(T_StockCount[RM_Code],$A62,T_StockCount[WeekIndex],18)&gt;0,SUMIFS(T_StockCount[CountedQty],T_StockCount[RM_Code],$A62,T_StockCount[WeekIndex],18),IF((COUNTIFS(T_SelfStock[RM_Code],$A62,T_SelfStock[WeekIndex],18)&gt;0)*(COUNTIFS(T_TTAFStock[RM_Code],$A62,T_TTAFStock[WeekIndex],18)&gt;0)&gt;0,SUMIFS(T_SelfStock[Self_Qty],T_SelfStock[RM_Code],$A62,T_SelfStock[WeekIndex],18)+SUMIFS(T_TTAFStock[TTAF_Qty],T_TTAFStock[RM_Code],$A62,T_TTAFStock[WeekIndex],18),R62+'Grid_Incoming'!S62-'Grid_Requirement'!S62))</f>
        <v/>
      </c>
      <c r="T62">
        <f>IF(COUNTIFS(T_StockCount[RM_Code],$A62,T_StockCount[WeekIndex],19)&gt;0,SUMIFS(T_StockCount[CountedQty],T_StockCount[RM_Code],$A62,T_StockCount[WeekIndex],19),IF((COUNTIFS(T_SelfStock[RM_Code],$A62,T_SelfStock[WeekIndex],19)&gt;0)*(COUNTIFS(T_TTAFStock[RM_Code],$A62,T_TTAFStock[WeekIndex],19)&gt;0)&gt;0,SUMIFS(T_SelfStock[Self_Qty],T_SelfStock[RM_Code],$A62,T_SelfStock[WeekIndex],19)+SUMIFS(T_TTAFStock[TTAF_Qty],T_TTAFStock[RM_Code],$A62,T_TTAFStock[WeekIndex],19),S62+'Grid_Incoming'!T62-'Grid_Requirement'!T62))</f>
        <v/>
      </c>
      <c r="U62">
        <f>IF(COUNTIFS(T_StockCount[RM_Code],$A62,T_StockCount[WeekIndex],20)&gt;0,SUMIFS(T_StockCount[CountedQty],T_StockCount[RM_Code],$A62,T_StockCount[WeekIndex],20),IF((COUNTIFS(T_SelfStock[RM_Code],$A62,T_SelfStock[WeekIndex],20)&gt;0)*(COUNTIFS(T_TTAFStock[RM_Code],$A62,T_TTAFStock[WeekIndex],20)&gt;0)&gt;0,SUMIFS(T_SelfStock[Self_Qty],T_SelfStock[RM_Code],$A62,T_SelfStock[WeekIndex],20)+SUMIFS(T_TTAFStock[TTAF_Qty],T_TTAFStock[RM_Code],$A62,T_TTAFStock[WeekIndex],20),T62+'Grid_Incoming'!U62-'Grid_Requirement'!U62))</f>
        <v/>
      </c>
      <c r="V62">
        <f>IF(COUNTIFS(T_StockCount[RM_Code],$A62,T_StockCount[WeekIndex],21)&gt;0,SUMIFS(T_StockCount[CountedQty],T_StockCount[RM_Code],$A62,T_StockCount[WeekIndex],21),IF((COUNTIFS(T_SelfStock[RM_Code],$A62,T_SelfStock[WeekIndex],21)&gt;0)*(COUNTIFS(T_TTAFStock[RM_Code],$A62,T_TTAFStock[WeekIndex],21)&gt;0)&gt;0,SUMIFS(T_SelfStock[Self_Qty],T_SelfStock[RM_Code],$A62,T_SelfStock[WeekIndex],21)+SUMIFS(T_TTAFStock[TTAF_Qty],T_TTAFStock[RM_Code],$A62,T_TTAFStock[WeekIndex],21),U62+'Grid_Incoming'!V62-'Grid_Requirement'!V62))</f>
        <v/>
      </c>
      <c r="W62">
        <f>IF(COUNTIFS(T_StockCount[RM_Code],$A62,T_StockCount[WeekIndex],22)&gt;0,SUMIFS(T_StockCount[CountedQty],T_StockCount[RM_Code],$A62,T_StockCount[WeekIndex],22),IF((COUNTIFS(T_SelfStock[RM_Code],$A62,T_SelfStock[WeekIndex],22)&gt;0)*(COUNTIFS(T_TTAFStock[RM_Code],$A62,T_TTAFStock[WeekIndex],22)&gt;0)&gt;0,SUMIFS(T_SelfStock[Self_Qty],T_SelfStock[RM_Code],$A62,T_SelfStock[WeekIndex],22)+SUMIFS(T_TTAFStock[TTAF_Qty],T_TTAFStock[RM_Code],$A62,T_TTAFStock[WeekIndex],22),V62+'Grid_Incoming'!W62-'Grid_Requirement'!W62))</f>
        <v/>
      </c>
      <c r="X62">
        <f>IF(COUNTIFS(T_StockCount[RM_Code],$A62,T_StockCount[WeekIndex],23)&gt;0,SUMIFS(T_StockCount[CountedQty],T_StockCount[RM_Code],$A62,T_StockCount[WeekIndex],23),IF((COUNTIFS(T_SelfStock[RM_Code],$A62,T_SelfStock[WeekIndex],23)&gt;0)*(COUNTIFS(T_TTAFStock[RM_Code],$A62,T_TTAFStock[WeekIndex],23)&gt;0)&gt;0,SUMIFS(T_SelfStock[Self_Qty],T_SelfStock[RM_Code],$A62,T_SelfStock[WeekIndex],23)+SUMIFS(T_TTAFStock[TTAF_Qty],T_TTAFStock[RM_Code],$A62,T_TTAFStock[WeekIndex],23),W62+'Grid_Incoming'!X62-'Grid_Requirement'!X62))</f>
        <v/>
      </c>
      <c r="Y62">
        <f>IF(COUNTIFS(T_StockCount[RM_Code],$A62,T_StockCount[WeekIndex],24)&gt;0,SUMIFS(T_StockCount[CountedQty],T_StockCount[RM_Code],$A62,T_StockCount[WeekIndex],24),IF((COUNTIFS(T_SelfStock[RM_Code],$A62,T_SelfStock[WeekIndex],24)&gt;0)*(COUNTIFS(T_TTAFStock[RM_Code],$A62,T_TTAFStock[WeekIndex],24)&gt;0)&gt;0,SUMIFS(T_SelfStock[Self_Qty],T_SelfStock[RM_Code],$A62,T_SelfStock[WeekIndex],24)+SUMIFS(T_TTAFStock[TTAF_Qty],T_TTAFStock[RM_Code],$A62,T_TTAFStock[WeekIndex],24),X62+'Grid_Incoming'!Y62-'Grid_Requirement'!Y62))</f>
        <v/>
      </c>
      <c r="Z62">
        <f>IF(COUNTIFS(T_StockCount[RM_Code],$A62,T_StockCount[WeekIndex],25)&gt;0,SUMIFS(T_StockCount[CountedQty],T_StockCount[RM_Code],$A62,T_StockCount[WeekIndex],25),IF((COUNTIFS(T_SelfStock[RM_Code],$A62,T_SelfStock[WeekIndex],25)&gt;0)*(COUNTIFS(T_TTAFStock[RM_Code],$A62,T_TTAFStock[WeekIndex],25)&gt;0)&gt;0,SUMIFS(T_SelfStock[Self_Qty],T_SelfStock[RM_Code],$A62,T_SelfStock[WeekIndex],25)+SUMIFS(T_TTAFStock[TTAF_Qty],T_TTAFStock[RM_Code],$A62,T_TTAFStock[WeekIndex],25),Y62+'Grid_Incoming'!Z62-'Grid_Requirement'!Z62))</f>
        <v/>
      </c>
      <c r="AA62">
        <f>IF(COUNTIFS(T_StockCount[RM_Code],$A62,T_StockCount[WeekIndex],26)&gt;0,SUMIFS(T_StockCount[CountedQty],T_StockCount[RM_Code],$A62,T_StockCount[WeekIndex],26),IF((COUNTIFS(T_SelfStock[RM_Code],$A62,T_SelfStock[WeekIndex],26)&gt;0)*(COUNTIFS(T_TTAFStock[RM_Code],$A62,T_TTAFStock[WeekIndex],26)&gt;0)&gt;0,SUMIFS(T_SelfStock[Self_Qty],T_SelfStock[RM_Code],$A62,T_SelfStock[WeekIndex],26)+SUMIFS(T_TTAFStock[TTAF_Qty],T_TTAFStock[RM_Code],$A62,T_TTAFStock[WeekIndex],26),Z62+'Grid_Incoming'!AA62-'Grid_Requirement'!AA62))</f>
        <v/>
      </c>
      <c r="AB62">
        <f>IF(COUNTIFS(T_StockCount[RM_Code],$A62,T_StockCount[WeekIndex],27)&gt;0,SUMIFS(T_StockCount[CountedQty],T_StockCount[RM_Code],$A62,T_StockCount[WeekIndex],27),IF((COUNTIFS(T_SelfStock[RM_Code],$A62,T_SelfStock[WeekIndex],27)&gt;0)*(COUNTIFS(T_TTAFStock[RM_Code],$A62,T_TTAFStock[WeekIndex],27)&gt;0)&gt;0,SUMIFS(T_SelfStock[Self_Qty],T_SelfStock[RM_Code],$A62,T_SelfStock[WeekIndex],27)+SUMIFS(T_TTAFStock[TTAF_Qty],T_TTAFStock[RM_Code],$A62,T_TTAFStock[WeekIndex],27),AA62+'Grid_Incoming'!AB62-'Grid_Requirement'!AB62))</f>
        <v/>
      </c>
      <c r="AC62">
        <f>IF(COUNTIFS(T_StockCount[RM_Code],$A62,T_StockCount[WeekIndex],28)&gt;0,SUMIFS(T_StockCount[CountedQty],T_StockCount[RM_Code],$A62,T_StockCount[WeekIndex],28),IF((COUNTIFS(T_SelfStock[RM_Code],$A62,T_SelfStock[WeekIndex],28)&gt;0)*(COUNTIFS(T_TTAFStock[RM_Code],$A62,T_TTAFStock[WeekIndex],28)&gt;0)&gt;0,SUMIFS(T_SelfStock[Self_Qty],T_SelfStock[RM_Code],$A62,T_SelfStock[WeekIndex],28)+SUMIFS(T_TTAFStock[TTAF_Qty],T_TTAFStock[RM_Code],$A62,T_TTAFStock[WeekIndex],28),AB62+'Grid_Incoming'!AC62-'Grid_Requirement'!AC62))</f>
        <v/>
      </c>
      <c r="AD62">
        <f>IF(COUNTIFS(T_StockCount[RM_Code],$A62,T_StockCount[WeekIndex],29)&gt;0,SUMIFS(T_StockCount[CountedQty],T_StockCount[RM_Code],$A62,T_StockCount[WeekIndex],29),IF((COUNTIFS(T_SelfStock[RM_Code],$A62,T_SelfStock[WeekIndex],29)&gt;0)*(COUNTIFS(T_TTAFStock[RM_Code],$A62,T_TTAFStock[WeekIndex],29)&gt;0)&gt;0,SUMIFS(T_SelfStock[Self_Qty],T_SelfStock[RM_Code],$A62,T_SelfStock[WeekIndex],29)+SUMIFS(T_TTAFStock[TTAF_Qty],T_TTAFStock[RM_Code],$A62,T_TTAFStock[WeekIndex],29),AC62+'Grid_Incoming'!AD62-'Grid_Requirement'!AD62))</f>
        <v/>
      </c>
      <c r="AE62">
        <f>IF(COUNTIFS(T_StockCount[RM_Code],$A62,T_StockCount[WeekIndex],30)&gt;0,SUMIFS(T_StockCount[CountedQty],T_StockCount[RM_Code],$A62,T_StockCount[WeekIndex],30),IF((COUNTIFS(T_SelfStock[RM_Code],$A62,T_SelfStock[WeekIndex],30)&gt;0)*(COUNTIFS(T_TTAFStock[RM_Code],$A62,T_TTAFStock[WeekIndex],30)&gt;0)&gt;0,SUMIFS(T_SelfStock[Self_Qty],T_SelfStock[RM_Code],$A62,T_SelfStock[WeekIndex],30)+SUMIFS(T_TTAFStock[TTAF_Qty],T_TTAFStock[RM_Code],$A62,T_TTAFStock[WeekIndex],30),AD62+'Grid_Incoming'!AE62-'Grid_Requirement'!AE62))</f>
        <v/>
      </c>
      <c r="AF62">
        <f>IF(COUNTIFS(T_StockCount[RM_Code],$A62,T_StockCount[WeekIndex],31)&gt;0,SUMIFS(T_StockCount[CountedQty],T_StockCount[RM_Code],$A62,T_StockCount[WeekIndex],31),IF((COUNTIFS(T_SelfStock[RM_Code],$A62,T_SelfStock[WeekIndex],31)&gt;0)*(COUNTIFS(T_TTAFStock[RM_Code],$A62,T_TTAFStock[WeekIndex],31)&gt;0)&gt;0,SUMIFS(T_SelfStock[Self_Qty],T_SelfStock[RM_Code],$A62,T_SelfStock[WeekIndex],31)+SUMIFS(T_TTAFStock[TTAF_Qty],T_TTAFStock[RM_Code],$A62,T_TTAFStock[WeekIndex],31),AE62+'Grid_Incoming'!AF62-'Grid_Requirement'!AF62))</f>
        <v/>
      </c>
      <c r="AG62">
        <f>IF(COUNTIFS(T_StockCount[RM_Code],$A62,T_StockCount[WeekIndex],32)&gt;0,SUMIFS(T_StockCount[CountedQty],T_StockCount[RM_Code],$A62,T_StockCount[WeekIndex],32),IF((COUNTIFS(T_SelfStock[RM_Code],$A62,T_SelfStock[WeekIndex],32)&gt;0)*(COUNTIFS(T_TTAFStock[RM_Code],$A62,T_TTAFStock[WeekIndex],32)&gt;0)&gt;0,SUMIFS(T_SelfStock[Self_Qty],T_SelfStock[RM_Code],$A62,T_SelfStock[WeekIndex],32)+SUMIFS(T_TTAFStock[TTAF_Qty],T_TTAFStock[RM_Code],$A62,T_TTAFStock[WeekIndex],32),AF62+'Grid_Incoming'!AG62-'Grid_Requirement'!AG62))</f>
        <v/>
      </c>
      <c r="AH62">
        <f>IF(COUNTIFS(T_StockCount[RM_Code],$A62,T_StockCount[WeekIndex],33)&gt;0,SUMIFS(T_StockCount[CountedQty],T_StockCount[RM_Code],$A62,T_StockCount[WeekIndex],33),IF((COUNTIFS(T_SelfStock[RM_Code],$A62,T_SelfStock[WeekIndex],33)&gt;0)*(COUNTIFS(T_TTAFStock[RM_Code],$A62,T_TTAFStock[WeekIndex],33)&gt;0)&gt;0,SUMIFS(T_SelfStock[Self_Qty],T_SelfStock[RM_Code],$A62,T_SelfStock[WeekIndex],33)+SUMIFS(T_TTAFStock[TTAF_Qty],T_TTAFStock[RM_Code],$A62,T_TTAFStock[WeekIndex],33),AG62+'Grid_Incoming'!AH62-'Grid_Requirement'!AH62))</f>
        <v/>
      </c>
      <c r="AI62">
        <f>IF(COUNTIFS(T_StockCount[RM_Code],$A62,T_StockCount[WeekIndex],34)&gt;0,SUMIFS(T_StockCount[CountedQty],T_StockCount[RM_Code],$A62,T_StockCount[WeekIndex],34),IF((COUNTIFS(T_SelfStock[RM_Code],$A62,T_SelfStock[WeekIndex],34)&gt;0)*(COUNTIFS(T_TTAFStock[RM_Code],$A62,T_TTAFStock[WeekIndex],34)&gt;0)&gt;0,SUMIFS(T_SelfStock[Self_Qty],T_SelfStock[RM_Code],$A62,T_SelfStock[WeekIndex],34)+SUMIFS(T_TTAFStock[TTAF_Qty],T_TTAFStock[RM_Code],$A62,T_TTAFStock[WeekIndex],34),AH62+'Grid_Incoming'!AI62-'Grid_Requirement'!AI62))</f>
        <v/>
      </c>
      <c r="AJ62">
        <f>IF(COUNTIFS(T_StockCount[RM_Code],$A62,T_StockCount[WeekIndex],35)&gt;0,SUMIFS(T_StockCount[CountedQty],T_StockCount[RM_Code],$A62,T_StockCount[WeekIndex],35),IF((COUNTIFS(T_SelfStock[RM_Code],$A62,T_SelfStock[WeekIndex],35)&gt;0)*(COUNTIFS(T_TTAFStock[RM_Code],$A62,T_TTAFStock[WeekIndex],35)&gt;0)&gt;0,SUMIFS(T_SelfStock[Self_Qty],T_SelfStock[RM_Code],$A62,T_SelfStock[WeekIndex],35)+SUMIFS(T_TTAFStock[TTAF_Qty],T_TTAFStock[RM_Code],$A62,T_TTAFStock[WeekIndex],35),AI62+'Grid_Incoming'!AJ62-'Grid_Requirement'!AJ62))</f>
        <v/>
      </c>
      <c r="AK62">
        <f>IF(COUNTIFS(T_StockCount[RM_Code],$A62,T_StockCount[WeekIndex],36)&gt;0,SUMIFS(T_StockCount[CountedQty],T_StockCount[RM_Code],$A62,T_StockCount[WeekIndex],36),IF((COUNTIFS(T_SelfStock[RM_Code],$A62,T_SelfStock[WeekIndex],36)&gt;0)*(COUNTIFS(T_TTAFStock[RM_Code],$A62,T_TTAFStock[WeekIndex],36)&gt;0)&gt;0,SUMIFS(T_SelfStock[Self_Qty],T_SelfStock[RM_Code],$A62,T_SelfStock[WeekIndex],36)+SUMIFS(T_TTAFStock[TTAF_Qty],T_TTAFStock[RM_Code],$A62,T_TTAFStock[WeekIndex],36),AJ62+'Grid_Incoming'!AK62-'Grid_Requirement'!AK62))</f>
        <v/>
      </c>
      <c r="AL62">
        <f>IF(COUNTIFS(T_StockCount[RM_Code],$A62,T_StockCount[WeekIndex],37)&gt;0,SUMIFS(T_StockCount[CountedQty],T_StockCount[RM_Code],$A62,T_StockCount[WeekIndex],37),IF((COUNTIFS(T_SelfStock[RM_Code],$A62,T_SelfStock[WeekIndex],37)&gt;0)*(COUNTIFS(T_TTAFStock[RM_Code],$A62,T_TTAFStock[WeekIndex],37)&gt;0)&gt;0,SUMIFS(T_SelfStock[Self_Qty],T_SelfStock[RM_Code],$A62,T_SelfStock[WeekIndex],37)+SUMIFS(T_TTAFStock[TTAF_Qty],T_TTAFStock[RM_Code],$A62,T_TTAFStock[WeekIndex],37),AK62+'Grid_Incoming'!AL62-'Grid_Requirement'!AL62))</f>
        <v/>
      </c>
      <c r="AM62">
        <f>IF(COUNTIFS(T_StockCount[RM_Code],$A62,T_StockCount[WeekIndex],38)&gt;0,SUMIFS(T_StockCount[CountedQty],T_StockCount[RM_Code],$A62,T_StockCount[WeekIndex],38),IF((COUNTIFS(T_SelfStock[RM_Code],$A62,T_SelfStock[WeekIndex],38)&gt;0)*(COUNTIFS(T_TTAFStock[RM_Code],$A62,T_TTAFStock[WeekIndex],38)&gt;0)&gt;0,SUMIFS(T_SelfStock[Self_Qty],T_SelfStock[RM_Code],$A62,T_SelfStock[WeekIndex],38)+SUMIFS(T_TTAFStock[TTAF_Qty],T_TTAFStock[RM_Code],$A62,T_TTAFStock[WeekIndex],38),AL62+'Grid_Incoming'!AM62-'Grid_Requirement'!AM62))</f>
        <v/>
      </c>
      <c r="AN62">
        <f>IF(COUNTIFS(T_StockCount[RM_Code],$A62,T_StockCount[WeekIndex],39)&gt;0,SUMIFS(T_StockCount[CountedQty],T_StockCount[RM_Code],$A62,T_StockCount[WeekIndex],39),IF((COUNTIFS(T_SelfStock[RM_Code],$A62,T_SelfStock[WeekIndex],39)&gt;0)*(COUNTIFS(T_TTAFStock[RM_Code],$A62,T_TTAFStock[WeekIndex],39)&gt;0)&gt;0,SUMIFS(T_SelfStock[Self_Qty],T_SelfStock[RM_Code],$A62,T_SelfStock[WeekIndex],39)+SUMIFS(T_TTAFStock[TTAF_Qty],T_TTAFStock[RM_Code],$A62,T_TTAFStock[WeekIndex],39),AM62+'Grid_Incoming'!AN62-'Grid_Requirement'!AN62))</f>
        <v/>
      </c>
      <c r="AO62">
        <f>IF(COUNTIFS(T_StockCount[RM_Code],$A62,T_StockCount[WeekIndex],40)&gt;0,SUMIFS(T_StockCount[CountedQty],T_StockCount[RM_Code],$A62,T_StockCount[WeekIndex],40),IF((COUNTIFS(T_SelfStock[RM_Code],$A62,T_SelfStock[WeekIndex],40)&gt;0)*(COUNTIFS(T_TTAFStock[RM_Code],$A62,T_TTAFStock[WeekIndex],40)&gt;0)&gt;0,SUMIFS(T_SelfStock[Self_Qty],T_SelfStock[RM_Code],$A62,T_SelfStock[WeekIndex],40)+SUMIFS(T_TTAFStock[TTAF_Qty],T_TTAFStock[RM_Code],$A62,T_TTAFStock[WeekIndex],40),AN62+'Grid_Incoming'!AO62-'Grid_Requirement'!AO62))</f>
        <v/>
      </c>
      <c r="AP62">
        <f>IF(COUNTIFS(T_StockCount[RM_Code],$A62,T_StockCount[WeekIndex],41)&gt;0,SUMIFS(T_StockCount[CountedQty],T_StockCount[RM_Code],$A62,T_StockCount[WeekIndex],41),IF((COUNTIFS(T_SelfStock[RM_Code],$A62,T_SelfStock[WeekIndex],41)&gt;0)*(COUNTIFS(T_TTAFStock[RM_Code],$A62,T_TTAFStock[WeekIndex],41)&gt;0)&gt;0,SUMIFS(T_SelfStock[Self_Qty],T_SelfStock[RM_Code],$A62,T_SelfStock[WeekIndex],41)+SUMIFS(T_TTAFStock[TTAF_Qty],T_TTAFStock[RM_Code],$A62,T_TTAFStock[WeekIndex],41),AO62+'Grid_Incoming'!AP62-'Grid_Requirement'!AP62))</f>
        <v/>
      </c>
      <c r="AQ62">
        <f>IF(COUNTIFS(T_StockCount[RM_Code],$A62,T_StockCount[WeekIndex],42)&gt;0,SUMIFS(T_StockCount[CountedQty],T_StockCount[RM_Code],$A62,T_StockCount[WeekIndex],42),IF((COUNTIFS(T_SelfStock[RM_Code],$A62,T_SelfStock[WeekIndex],42)&gt;0)*(COUNTIFS(T_TTAFStock[RM_Code],$A62,T_TTAFStock[WeekIndex],42)&gt;0)&gt;0,SUMIFS(T_SelfStock[Self_Qty],T_SelfStock[RM_Code],$A62,T_SelfStock[WeekIndex],42)+SUMIFS(T_TTAFStock[TTAF_Qty],T_TTAFStock[RM_Code],$A62,T_TTAFStock[WeekIndex],42),AP62+'Grid_Incoming'!AQ62-'Grid_Requirement'!AQ62))</f>
        <v/>
      </c>
      <c r="AR62">
        <f>IF(COUNTIFS(T_StockCount[RM_Code],$A62,T_StockCount[WeekIndex],43)&gt;0,SUMIFS(T_StockCount[CountedQty],T_StockCount[RM_Code],$A62,T_StockCount[WeekIndex],43),IF((COUNTIFS(T_SelfStock[RM_Code],$A62,T_SelfStock[WeekIndex],43)&gt;0)*(COUNTIFS(T_TTAFStock[RM_Code],$A62,T_TTAFStock[WeekIndex],43)&gt;0)&gt;0,SUMIFS(T_SelfStock[Self_Qty],T_SelfStock[RM_Code],$A62,T_SelfStock[WeekIndex],43)+SUMIFS(T_TTAFStock[TTAF_Qty],T_TTAFStock[RM_Code],$A62,T_TTAFStock[WeekIndex],43),AQ62+'Grid_Incoming'!AR62-'Grid_Requirement'!AR62))</f>
        <v/>
      </c>
      <c r="AS62">
        <f>IF(COUNTIFS(T_StockCount[RM_Code],$A62,T_StockCount[WeekIndex],44)&gt;0,SUMIFS(T_StockCount[CountedQty],T_StockCount[RM_Code],$A62,T_StockCount[WeekIndex],44),IF((COUNTIFS(T_SelfStock[RM_Code],$A62,T_SelfStock[WeekIndex],44)&gt;0)*(COUNTIFS(T_TTAFStock[RM_Code],$A62,T_TTAFStock[WeekIndex],44)&gt;0)&gt;0,SUMIFS(T_SelfStock[Self_Qty],T_SelfStock[RM_Code],$A62,T_SelfStock[WeekIndex],44)+SUMIFS(T_TTAFStock[TTAF_Qty],T_TTAFStock[RM_Code],$A62,T_TTAFStock[WeekIndex],44),AR62+'Grid_Incoming'!AS62-'Grid_Requirement'!AS62))</f>
        <v/>
      </c>
      <c r="AT62">
        <f>IF(COUNTIFS(T_StockCount[RM_Code],$A62,T_StockCount[WeekIndex],45)&gt;0,SUMIFS(T_StockCount[CountedQty],T_StockCount[RM_Code],$A62,T_StockCount[WeekIndex],45),IF((COUNTIFS(T_SelfStock[RM_Code],$A62,T_SelfStock[WeekIndex],45)&gt;0)*(COUNTIFS(T_TTAFStock[RM_Code],$A62,T_TTAFStock[WeekIndex],45)&gt;0)&gt;0,SUMIFS(T_SelfStock[Self_Qty],T_SelfStock[RM_Code],$A62,T_SelfStock[WeekIndex],45)+SUMIFS(T_TTAFStock[TTAF_Qty],T_TTAFStock[RM_Code],$A62,T_TTAFStock[WeekIndex],45),AS62+'Grid_Incoming'!AT62-'Grid_Requirement'!AT62))</f>
        <v/>
      </c>
      <c r="AU62">
        <f>IF(COUNTIFS(T_StockCount[RM_Code],$A62,T_StockCount[WeekIndex],46)&gt;0,SUMIFS(T_StockCount[CountedQty],T_StockCount[RM_Code],$A62,T_StockCount[WeekIndex],46),IF((COUNTIFS(T_SelfStock[RM_Code],$A62,T_SelfStock[WeekIndex],46)&gt;0)*(COUNTIFS(T_TTAFStock[RM_Code],$A62,T_TTAFStock[WeekIndex],46)&gt;0)&gt;0,SUMIFS(T_SelfStock[Self_Qty],T_SelfStock[RM_Code],$A62,T_SelfStock[WeekIndex],46)+SUMIFS(T_TTAFStock[TTAF_Qty],T_TTAFStock[RM_Code],$A62,T_TTAFStock[WeekIndex],46),AT62+'Grid_Incoming'!AU62-'Grid_Requirement'!AU62))</f>
        <v/>
      </c>
      <c r="AV62">
        <f>IF(COUNTIFS(T_StockCount[RM_Code],$A62,T_StockCount[WeekIndex],47)&gt;0,SUMIFS(T_StockCount[CountedQty],T_StockCount[RM_Code],$A62,T_StockCount[WeekIndex],47),IF((COUNTIFS(T_SelfStock[RM_Code],$A62,T_SelfStock[WeekIndex],47)&gt;0)*(COUNTIFS(T_TTAFStock[RM_Code],$A62,T_TTAFStock[WeekIndex],47)&gt;0)&gt;0,SUMIFS(T_SelfStock[Self_Qty],T_SelfStock[RM_Code],$A62,T_SelfStock[WeekIndex],47)+SUMIFS(T_TTAFStock[TTAF_Qty],T_TTAFStock[RM_Code],$A62,T_TTAFStock[WeekIndex],47),AU62+'Grid_Incoming'!AV62-'Grid_Requirement'!AV62))</f>
        <v/>
      </c>
      <c r="AW62">
        <f>IF(COUNTIFS(T_StockCount[RM_Code],$A62,T_StockCount[WeekIndex],48)&gt;0,SUMIFS(T_StockCount[CountedQty],T_StockCount[RM_Code],$A62,T_StockCount[WeekIndex],48),IF((COUNTIFS(T_SelfStock[RM_Code],$A62,T_SelfStock[WeekIndex],48)&gt;0)*(COUNTIFS(T_TTAFStock[RM_Code],$A62,T_TTAFStock[WeekIndex],48)&gt;0)&gt;0,SUMIFS(T_SelfStock[Self_Qty],T_SelfStock[RM_Code],$A62,T_SelfStock[WeekIndex],48)+SUMIFS(T_TTAFStock[TTAF_Qty],T_TTAFStock[RM_Code],$A62,T_TTAFStock[WeekIndex],48),AV62+'Grid_Incoming'!AW62-'Grid_Requirement'!AW62))</f>
        <v/>
      </c>
      <c r="AX62">
        <f>IF(COUNTIFS(T_StockCount[RM_Code],$A62,T_StockCount[WeekIndex],49)&gt;0,SUMIFS(T_StockCount[CountedQty],T_StockCount[RM_Code],$A62,T_StockCount[WeekIndex],49),IF((COUNTIFS(T_SelfStock[RM_Code],$A62,T_SelfStock[WeekIndex],49)&gt;0)*(COUNTIFS(T_TTAFStock[RM_Code],$A62,T_TTAFStock[WeekIndex],49)&gt;0)&gt;0,SUMIFS(T_SelfStock[Self_Qty],T_SelfStock[RM_Code],$A62,T_SelfStock[WeekIndex],49)+SUMIFS(T_TTAFStock[TTAF_Qty],T_TTAFStock[RM_Code],$A62,T_TTAFStock[WeekIndex],49),AW62+'Grid_Incoming'!AX62-'Grid_Requirement'!AX62))</f>
        <v/>
      </c>
      <c r="AY62">
        <f>IF(COUNTIFS(T_StockCount[RM_Code],$A62,T_StockCount[WeekIndex],50)&gt;0,SUMIFS(T_StockCount[CountedQty],T_StockCount[RM_Code],$A62,T_StockCount[WeekIndex],50),IF((COUNTIFS(T_SelfStock[RM_Code],$A62,T_SelfStock[WeekIndex],50)&gt;0)*(COUNTIFS(T_TTAFStock[RM_Code],$A62,T_TTAFStock[WeekIndex],50)&gt;0)&gt;0,SUMIFS(T_SelfStock[Self_Qty],T_SelfStock[RM_Code],$A62,T_SelfStock[WeekIndex],50)+SUMIFS(T_TTAFStock[TTAF_Qty],T_TTAFStock[RM_Code],$A62,T_TTAFStock[WeekIndex],50),AX62+'Grid_Incoming'!AY62-'Grid_Requirement'!AY62))</f>
        <v/>
      </c>
      <c r="AZ62">
        <f>IF(COUNTIFS(T_StockCount[RM_Code],$A62,T_StockCount[WeekIndex],51)&gt;0,SUMIFS(T_StockCount[CountedQty],T_StockCount[RM_Code],$A62,T_StockCount[WeekIndex],51),IF((COUNTIFS(T_SelfStock[RM_Code],$A62,T_SelfStock[WeekIndex],51)&gt;0)*(COUNTIFS(T_TTAFStock[RM_Code],$A62,T_TTAFStock[WeekIndex],51)&gt;0)&gt;0,SUMIFS(T_SelfStock[Self_Qty],T_SelfStock[RM_Code],$A62,T_SelfStock[WeekIndex],51)+SUMIFS(T_TTAFStock[TTAF_Qty],T_TTAFStock[RM_Code],$A62,T_TTAFStock[WeekIndex],51),AY62+'Grid_Incoming'!AZ62-'Grid_Requirement'!AZ62))</f>
        <v/>
      </c>
      <c r="BA62">
        <f>IF(COUNTIFS(T_StockCount[RM_Code],$A62,T_StockCount[WeekIndex],52)&gt;0,SUMIFS(T_StockCount[CountedQty],T_StockCount[RM_Code],$A62,T_StockCount[WeekIndex],52),IF((COUNTIFS(T_SelfStock[RM_Code],$A62,T_SelfStock[WeekIndex],52)&gt;0)*(COUNTIFS(T_TTAFStock[RM_Code],$A62,T_TTAFStock[WeekIndex],52)&gt;0)&gt;0,SUMIFS(T_SelfStock[Self_Qty],T_SelfStock[RM_Code],$A62,T_SelfStock[WeekIndex],52)+SUMIFS(T_TTAFStock[TTAF_Qty],T_TTAFStock[RM_Code],$A62,T_TTAFStock[WeekIndex],52),AZ62+'Grid_Incoming'!BA62-'Grid_Requirement'!BA62))</f>
        <v/>
      </c>
      <c r="BB62">
        <f>IF(COUNTIFS(T_StockCount[RM_Code],$A62,T_StockCount[WeekIndex],53)&gt;0,SUMIFS(T_StockCount[CountedQty],T_StockCount[RM_Code],$A62,T_StockCount[WeekIndex],53),IF((COUNTIFS(T_SelfStock[RM_Code],$A62,T_SelfStock[WeekIndex],53)&gt;0)*(COUNTIFS(T_TTAFStock[RM_Code],$A62,T_TTAFStock[WeekIndex],53)&gt;0)&gt;0,SUMIFS(T_SelfStock[Self_Qty],T_SelfStock[RM_Code],$A62,T_SelfStock[WeekIndex],53)+SUMIFS(T_TTAFStock[TTAF_Qty],T_TTAFStock[RM_Code],$A62,T_TTAFStock[WeekIndex],53),BA62+'Grid_Incoming'!BB62-'Grid_Requirement'!BB62))</f>
        <v/>
      </c>
      <c r="BC62">
        <f>IF(COUNTIFS(T_StockCount[RM_Code],$A62,T_StockCount[WeekIndex],54)&gt;0,SUMIFS(T_StockCount[CountedQty],T_StockCount[RM_Code],$A62,T_StockCount[WeekIndex],54),IF((COUNTIFS(T_SelfStock[RM_Code],$A62,T_SelfStock[WeekIndex],54)&gt;0)*(COUNTIFS(T_TTAFStock[RM_Code],$A62,T_TTAFStock[WeekIndex],54)&gt;0)&gt;0,SUMIFS(T_SelfStock[Self_Qty],T_SelfStock[RM_Code],$A62,T_SelfStock[WeekIndex],54)+SUMIFS(T_TTAFStock[TTAF_Qty],T_TTAFStock[RM_Code],$A62,T_TTAFStock[WeekIndex],54),BB62+'Grid_Incoming'!BC62-'Grid_Requirement'!BC62))</f>
        <v/>
      </c>
      <c r="BD62">
        <f>IF(COUNTIFS(T_StockCount[RM_Code],$A62,T_StockCount[WeekIndex],55)&gt;0,SUMIFS(T_StockCount[CountedQty],T_StockCount[RM_Code],$A62,T_StockCount[WeekIndex],55),IF((COUNTIFS(T_SelfStock[RM_Code],$A62,T_SelfStock[WeekIndex],55)&gt;0)*(COUNTIFS(T_TTAFStock[RM_Code],$A62,T_TTAFStock[WeekIndex],55)&gt;0)&gt;0,SUMIFS(T_SelfStock[Self_Qty],T_SelfStock[RM_Code],$A62,T_SelfStock[WeekIndex],55)+SUMIFS(T_TTAFStock[TTAF_Qty],T_TTAFStock[RM_Code],$A62,T_TTAFStock[WeekIndex],55),BC62+'Grid_Incoming'!BD62-'Grid_Requirement'!BD62))</f>
        <v/>
      </c>
      <c r="BE62">
        <f>IF(COUNTIFS(T_StockCount[RM_Code],$A62,T_StockCount[WeekIndex],56)&gt;0,SUMIFS(T_StockCount[CountedQty],T_StockCount[RM_Code],$A62,T_StockCount[WeekIndex],56),IF((COUNTIFS(T_SelfStock[RM_Code],$A62,T_SelfStock[WeekIndex],56)&gt;0)*(COUNTIFS(T_TTAFStock[RM_Code],$A62,T_TTAFStock[WeekIndex],56)&gt;0)&gt;0,SUMIFS(T_SelfStock[Self_Qty],T_SelfStock[RM_Code],$A62,T_SelfStock[WeekIndex],56)+SUMIFS(T_TTAFStock[TTAF_Qty],T_TTAFStock[RM_Code],$A62,T_TTAFStock[WeekIndex],56),BD62+'Grid_Incoming'!BE62-'Grid_Requirement'!BE62))</f>
        <v/>
      </c>
      <c r="BF62">
        <f>IF(COUNTIFS(T_StockCount[RM_Code],$A62,T_StockCount[WeekIndex],57)&gt;0,SUMIFS(T_StockCount[CountedQty],T_StockCount[RM_Code],$A62,T_StockCount[WeekIndex],57),IF((COUNTIFS(T_SelfStock[RM_Code],$A62,T_SelfStock[WeekIndex],57)&gt;0)*(COUNTIFS(T_TTAFStock[RM_Code],$A62,T_TTAFStock[WeekIndex],57)&gt;0)&gt;0,SUMIFS(T_SelfStock[Self_Qty],T_SelfStock[RM_Code],$A62,T_SelfStock[WeekIndex],57)+SUMIFS(T_TTAFStock[TTAF_Qty],T_TTAFStock[RM_Code],$A62,T_TTAFStock[WeekIndex],57),BE62+'Grid_Incoming'!BF62-'Grid_Requirement'!BF62))</f>
        <v/>
      </c>
      <c r="BG62">
        <f>IF(COUNTIFS(T_StockCount[RM_Code],$A62,T_StockCount[WeekIndex],58)&gt;0,SUMIFS(T_StockCount[CountedQty],T_StockCount[RM_Code],$A62,T_StockCount[WeekIndex],58),IF((COUNTIFS(T_SelfStock[RM_Code],$A62,T_SelfStock[WeekIndex],58)&gt;0)*(COUNTIFS(T_TTAFStock[RM_Code],$A62,T_TTAFStock[WeekIndex],58)&gt;0)&gt;0,SUMIFS(T_SelfStock[Self_Qty],T_SelfStock[RM_Code],$A62,T_SelfStock[WeekIndex],58)+SUMIFS(T_TTAFStock[TTAF_Qty],T_TTAFStock[RM_Code],$A62,T_TTAFStock[WeekIndex],58),BF62+'Grid_Incoming'!BG62-'Grid_Requirement'!BG62))</f>
        <v/>
      </c>
      <c r="BH62">
        <f>IF(COUNTIFS(T_StockCount[RM_Code],$A62,T_StockCount[WeekIndex],59)&gt;0,SUMIFS(T_StockCount[CountedQty],T_StockCount[RM_Code],$A62,T_StockCount[WeekIndex],59),IF((COUNTIFS(T_SelfStock[RM_Code],$A62,T_SelfStock[WeekIndex],59)&gt;0)*(COUNTIFS(T_TTAFStock[RM_Code],$A62,T_TTAFStock[WeekIndex],59)&gt;0)&gt;0,SUMIFS(T_SelfStock[Self_Qty],T_SelfStock[RM_Code],$A62,T_SelfStock[WeekIndex],59)+SUMIFS(T_TTAFStock[TTAF_Qty],T_TTAFStock[RM_Code],$A62,T_TTAFStock[WeekIndex],59),BG62+'Grid_Incoming'!BH62-'Grid_Requirement'!BH62))</f>
        <v/>
      </c>
      <c r="BI62">
        <f>IF(COUNTIFS(T_StockCount[RM_Code],$A62,T_StockCount[WeekIndex],60)&gt;0,SUMIFS(T_StockCount[CountedQty],T_StockCount[RM_Code],$A62,T_StockCount[WeekIndex],60),IF((COUNTIFS(T_SelfStock[RM_Code],$A62,T_SelfStock[WeekIndex],60)&gt;0)*(COUNTIFS(T_TTAFStock[RM_Code],$A62,T_TTAFStock[WeekIndex],60)&gt;0)&gt;0,SUMIFS(T_SelfStock[Self_Qty],T_SelfStock[RM_Code],$A62,T_SelfStock[WeekIndex],60)+SUMIFS(T_TTAFStock[TTAF_Qty],T_TTAFStock[RM_Code],$A62,T_TTAFStock[WeekIndex],60),BH62+'Grid_Incoming'!BI62-'Grid_Requirement'!BI62))</f>
        <v/>
      </c>
      <c r="BJ62">
        <f>IF(COUNTIFS(T_StockCount[RM_Code],$A62,T_StockCount[WeekIndex],61)&gt;0,SUMIFS(T_StockCount[CountedQty],T_StockCount[RM_Code],$A62,T_StockCount[WeekIndex],61),IF((COUNTIFS(T_SelfStock[RM_Code],$A62,T_SelfStock[WeekIndex],61)&gt;0)*(COUNTIFS(T_TTAFStock[RM_Code],$A62,T_TTAFStock[WeekIndex],61)&gt;0)&gt;0,SUMIFS(T_SelfStock[Self_Qty],T_SelfStock[RM_Code],$A62,T_SelfStock[WeekIndex],61)+SUMIFS(T_TTAFStock[TTAF_Qty],T_TTAFStock[RM_Code],$A62,T_TTAFStock[WeekIndex],61),BI62+'Grid_Incoming'!BJ62-'Grid_Requirement'!BJ62))</f>
        <v/>
      </c>
      <c r="BK62">
        <f>IF(COUNTIFS(T_StockCount[RM_Code],$A62,T_StockCount[WeekIndex],62)&gt;0,SUMIFS(T_StockCount[CountedQty],T_StockCount[RM_Code],$A62,T_StockCount[WeekIndex],62),IF((COUNTIFS(T_SelfStock[RM_Code],$A62,T_SelfStock[WeekIndex],62)&gt;0)*(COUNTIFS(T_TTAFStock[RM_Code],$A62,T_TTAFStock[WeekIndex],62)&gt;0)&gt;0,SUMIFS(T_SelfStock[Self_Qty],T_SelfStock[RM_Code],$A62,T_SelfStock[WeekIndex],62)+SUMIFS(T_TTAFStock[TTAF_Qty],T_TTAFStock[RM_Code],$A62,T_TTAFStock[WeekIndex],62),BJ62+'Grid_Incoming'!BK62-'Grid_Requirement'!BK62))</f>
        <v/>
      </c>
      <c r="BL62">
        <f>IF(COUNTIFS(T_StockCount[RM_Code],$A62,T_StockCount[WeekIndex],63)&gt;0,SUMIFS(T_StockCount[CountedQty],T_StockCount[RM_Code],$A62,T_StockCount[WeekIndex],63),IF((COUNTIFS(T_SelfStock[RM_Code],$A62,T_SelfStock[WeekIndex],63)&gt;0)*(COUNTIFS(T_TTAFStock[RM_Code],$A62,T_TTAFStock[WeekIndex],63)&gt;0)&gt;0,SUMIFS(T_SelfStock[Self_Qty],T_SelfStock[RM_Code],$A62,T_SelfStock[WeekIndex],63)+SUMIFS(T_TTAFStock[TTAF_Qty],T_TTAFStock[RM_Code],$A62,T_TTAFStock[WeekIndex],63),BK62+'Grid_Incoming'!BL62-'Grid_Requirement'!BL62))</f>
        <v/>
      </c>
      <c r="BM62">
        <f>IF(COUNTIFS(T_StockCount[RM_Code],$A62,T_StockCount[WeekIndex],64)&gt;0,SUMIFS(T_StockCount[CountedQty],T_StockCount[RM_Code],$A62,T_StockCount[WeekIndex],64),IF((COUNTIFS(T_SelfStock[RM_Code],$A62,T_SelfStock[WeekIndex],64)&gt;0)*(COUNTIFS(T_TTAFStock[RM_Code],$A62,T_TTAFStock[WeekIndex],64)&gt;0)&gt;0,SUMIFS(T_SelfStock[Self_Qty],T_SelfStock[RM_Code],$A62,T_SelfStock[WeekIndex],64)+SUMIFS(T_TTAFStock[TTAF_Qty],T_TTAFStock[RM_Code],$A62,T_TTAFStock[WeekIndex],64),BL62+'Grid_Incoming'!BM62-'Grid_Requirement'!BM62))</f>
        <v/>
      </c>
      <c r="BN62">
        <f>IF(COUNTIFS(T_StockCount[RM_Code],$A62,T_StockCount[WeekIndex],65)&gt;0,SUMIFS(T_StockCount[CountedQty],T_StockCount[RM_Code],$A62,T_StockCount[WeekIndex],65),IF((COUNTIFS(T_SelfStock[RM_Code],$A62,T_SelfStock[WeekIndex],65)&gt;0)*(COUNTIFS(T_TTAFStock[RM_Code],$A62,T_TTAFStock[WeekIndex],65)&gt;0)&gt;0,SUMIFS(T_SelfStock[Self_Qty],T_SelfStock[RM_Code],$A62,T_SelfStock[WeekIndex],65)+SUMIFS(T_TTAFStock[TTAF_Qty],T_TTAFStock[RM_Code],$A62,T_TTAFStock[WeekIndex],65),BM62+'Grid_Incoming'!BN62-'Grid_Requirement'!BN62))</f>
        <v/>
      </c>
      <c r="BO62">
        <f>IF(COUNTIFS(T_StockCount[RM_Code],$A62,T_StockCount[WeekIndex],66)&gt;0,SUMIFS(T_StockCount[CountedQty],T_StockCount[RM_Code],$A62,T_StockCount[WeekIndex],66),IF((COUNTIFS(T_SelfStock[RM_Code],$A62,T_SelfStock[WeekIndex],66)&gt;0)*(COUNTIFS(T_TTAFStock[RM_Code],$A62,T_TTAFStock[WeekIndex],66)&gt;0)&gt;0,SUMIFS(T_SelfStock[Self_Qty],T_SelfStock[RM_Code],$A62,T_SelfStock[WeekIndex],66)+SUMIFS(T_TTAFStock[TTAF_Qty],T_TTAFStock[RM_Code],$A62,T_TTAFStock[WeekIndex],66),BN62+'Grid_Incoming'!BO62-'Grid_Requirement'!BO62))</f>
        <v/>
      </c>
      <c r="BP62">
        <f>IF(COUNTIFS(T_StockCount[RM_Code],$A62,T_StockCount[WeekIndex],67)&gt;0,SUMIFS(T_StockCount[CountedQty],T_StockCount[RM_Code],$A62,T_StockCount[WeekIndex],67),IF((COUNTIFS(T_SelfStock[RM_Code],$A62,T_SelfStock[WeekIndex],67)&gt;0)*(COUNTIFS(T_TTAFStock[RM_Code],$A62,T_TTAFStock[WeekIndex],67)&gt;0)&gt;0,SUMIFS(T_SelfStock[Self_Qty],T_SelfStock[RM_Code],$A62,T_SelfStock[WeekIndex],67)+SUMIFS(T_TTAFStock[TTAF_Qty],T_TTAFStock[RM_Code],$A62,T_TTAFStock[WeekIndex],67),BO62+'Grid_Incoming'!BP62-'Grid_Requirement'!BP62))</f>
        <v/>
      </c>
      <c r="BQ62">
        <f>IF(COUNTIFS(T_StockCount[RM_Code],$A62,T_StockCount[WeekIndex],68)&gt;0,SUMIFS(T_StockCount[CountedQty],T_StockCount[RM_Code],$A62,T_StockCount[WeekIndex],68),IF((COUNTIFS(T_SelfStock[RM_Code],$A62,T_SelfStock[WeekIndex],68)&gt;0)*(COUNTIFS(T_TTAFStock[RM_Code],$A62,T_TTAFStock[WeekIndex],68)&gt;0)&gt;0,SUMIFS(T_SelfStock[Self_Qty],T_SelfStock[RM_Code],$A62,T_SelfStock[WeekIndex],68)+SUMIFS(T_TTAFStock[TTAF_Qty],T_TTAFStock[RM_Code],$A62,T_TTAFStock[WeekIndex],68),BP62+'Grid_Incoming'!BQ62-'Grid_Requirement'!BQ62))</f>
        <v/>
      </c>
      <c r="BR62">
        <f>IF(COUNTIFS(T_StockCount[RM_Code],$A62,T_StockCount[WeekIndex],69)&gt;0,SUMIFS(T_StockCount[CountedQty],T_StockCount[RM_Code],$A62,T_StockCount[WeekIndex],69),IF((COUNTIFS(T_SelfStock[RM_Code],$A62,T_SelfStock[WeekIndex],69)&gt;0)*(COUNTIFS(T_TTAFStock[RM_Code],$A62,T_TTAFStock[WeekIndex],69)&gt;0)&gt;0,SUMIFS(T_SelfStock[Self_Qty],T_SelfStock[RM_Code],$A62,T_SelfStock[WeekIndex],69)+SUMIFS(T_TTAFStock[TTAF_Qty],T_TTAFStock[RM_Code],$A62,T_TTAFStock[WeekIndex],69),BQ62+'Grid_Incoming'!BR62-'Grid_Requirement'!BR62))</f>
        <v/>
      </c>
      <c r="BS62">
        <f>IF(COUNTIFS(T_StockCount[RM_Code],$A62,T_StockCount[WeekIndex],70)&gt;0,SUMIFS(T_StockCount[CountedQty],T_StockCount[RM_Code],$A62,T_StockCount[WeekIndex],70),IF((COUNTIFS(T_SelfStock[RM_Code],$A62,T_SelfStock[WeekIndex],70)&gt;0)*(COUNTIFS(T_TTAFStock[RM_Code],$A62,T_TTAFStock[WeekIndex],70)&gt;0)&gt;0,SUMIFS(T_SelfStock[Self_Qty],T_SelfStock[RM_Code],$A62,T_SelfStock[WeekIndex],70)+SUMIFS(T_TTAFStock[TTAF_Qty],T_TTAFStock[RM_Code],$A62,T_TTAFStock[WeekIndex],70),BR62+'Grid_Incoming'!BS62-'Grid_Requirement'!BS62))</f>
        <v/>
      </c>
      <c r="BT62">
        <f>IF(COUNTIFS(T_StockCount[RM_Code],$A62,T_StockCount[WeekIndex],71)&gt;0,SUMIFS(T_StockCount[CountedQty],T_StockCount[RM_Code],$A62,T_StockCount[WeekIndex],71),IF((COUNTIFS(T_SelfStock[RM_Code],$A62,T_SelfStock[WeekIndex],71)&gt;0)*(COUNTIFS(T_TTAFStock[RM_Code],$A62,T_TTAFStock[WeekIndex],71)&gt;0)&gt;0,SUMIFS(T_SelfStock[Self_Qty],T_SelfStock[RM_Code],$A62,T_SelfStock[WeekIndex],71)+SUMIFS(T_TTAFStock[TTAF_Qty],T_TTAFStock[RM_Code],$A62,T_TTAFStock[WeekIndex],71),BS62+'Grid_Incoming'!BT62-'Grid_Requirement'!BT62))</f>
        <v/>
      </c>
      <c r="BU62">
        <f>IF(COUNTIFS(T_StockCount[RM_Code],$A62,T_StockCount[WeekIndex],72)&gt;0,SUMIFS(T_StockCount[CountedQty],T_StockCount[RM_Code],$A62,T_StockCount[WeekIndex],72),IF((COUNTIFS(T_SelfStock[RM_Code],$A62,T_SelfStock[WeekIndex],72)&gt;0)*(COUNTIFS(T_TTAFStock[RM_Code],$A62,T_TTAFStock[WeekIndex],72)&gt;0)&gt;0,SUMIFS(T_SelfStock[Self_Qty],T_SelfStock[RM_Code],$A62,T_SelfStock[WeekIndex],72)+SUMIFS(T_TTAFStock[TTAF_Qty],T_TTAFStock[RM_Code],$A62,T_TTAFStock[WeekIndex],72),BT62+'Grid_Incoming'!BU62-'Grid_Requirement'!BU62))</f>
        <v/>
      </c>
      <c r="BV62">
        <f>IF(COUNTIFS(T_StockCount[RM_Code],$A62,T_StockCount[WeekIndex],73)&gt;0,SUMIFS(T_StockCount[CountedQty],T_StockCount[RM_Code],$A62,T_StockCount[WeekIndex],73),IF((COUNTIFS(T_SelfStock[RM_Code],$A62,T_SelfStock[WeekIndex],73)&gt;0)*(COUNTIFS(T_TTAFStock[RM_Code],$A62,T_TTAFStock[WeekIndex],73)&gt;0)&gt;0,SUMIFS(T_SelfStock[Self_Qty],T_SelfStock[RM_Code],$A62,T_SelfStock[WeekIndex],73)+SUMIFS(T_TTAFStock[TTAF_Qty],T_TTAFStock[RM_Code],$A62,T_TTAFStock[WeekIndex],73),BU62+'Grid_Incoming'!BV62-'Grid_Requirement'!BV62))</f>
        <v/>
      </c>
      <c r="BW62">
        <f>IF(COUNTIFS(T_StockCount[RM_Code],$A62,T_StockCount[WeekIndex],74)&gt;0,SUMIFS(T_StockCount[CountedQty],T_StockCount[RM_Code],$A62,T_StockCount[WeekIndex],74),IF((COUNTIFS(T_SelfStock[RM_Code],$A62,T_SelfStock[WeekIndex],74)&gt;0)*(COUNTIFS(T_TTAFStock[RM_Code],$A62,T_TTAFStock[WeekIndex],74)&gt;0)&gt;0,SUMIFS(T_SelfStock[Self_Qty],T_SelfStock[RM_Code],$A62,T_SelfStock[WeekIndex],74)+SUMIFS(T_TTAFStock[TTAF_Qty],T_TTAFStock[RM_Code],$A62,T_TTAFStock[WeekIndex],74),BV62+'Grid_Incoming'!BW62-'Grid_Requirement'!BW62))</f>
        <v/>
      </c>
      <c r="BX62">
        <f>IF(COUNTIFS(T_StockCount[RM_Code],$A62,T_StockCount[WeekIndex],75)&gt;0,SUMIFS(T_StockCount[CountedQty],T_StockCount[RM_Code],$A62,T_StockCount[WeekIndex],75),IF((COUNTIFS(T_SelfStock[RM_Code],$A62,T_SelfStock[WeekIndex],75)&gt;0)*(COUNTIFS(T_TTAFStock[RM_Code],$A62,T_TTAFStock[WeekIndex],75)&gt;0)&gt;0,SUMIFS(T_SelfStock[Self_Qty],T_SelfStock[RM_Code],$A62,T_SelfStock[WeekIndex],75)+SUMIFS(T_TTAFStock[TTAF_Qty],T_TTAFStock[RM_Code],$A62,T_TTAFStock[WeekIndex],75),BW62+'Grid_Incoming'!BX62-'Grid_Requirement'!BX62))</f>
        <v/>
      </c>
      <c r="BY62">
        <f>IF(COUNTIFS(T_StockCount[RM_Code],$A62,T_StockCount[WeekIndex],76)&gt;0,SUMIFS(T_StockCount[CountedQty],T_StockCount[RM_Code],$A62,T_StockCount[WeekIndex],76),IF((COUNTIFS(T_SelfStock[RM_Code],$A62,T_SelfStock[WeekIndex],76)&gt;0)*(COUNTIFS(T_TTAFStock[RM_Code],$A62,T_TTAFStock[WeekIndex],76)&gt;0)&gt;0,SUMIFS(T_SelfStock[Self_Qty],T_SelfStock[RM_Code],$A62,T_SelfStock[WeekIndex],76)+SUMIFS(T_TTAFStock[TTAF_Qty],T_TTAFStock[RM_Code],$A62,T_TTAFStock[WeekIndex],76),BX62+'Grid_Incoming'!BY62-'Grid_Requirement'!BY62))</f>
        <v/>
      </c>
      <c r="BZ62">
        <f>IF(COUNTIFS(T_StockCount[RM_Code],$A62,T_StockCount[WeekIndex],77)&gt;0,SUMIFS(T_StockCount[CountedQty],T_StockCount[RM_Code],$A62,T_StockCount[WeekIndex],77),IF((COUNTIFS(T_SelfStock[RM_Code],$A62,T_SelfStock[WeekIndex],77)&gt;0)*(COUNTIFS(T_TTAFStock[RM_Code],$A62,T_TTAFStock[WeekIndex],77)&gt;0)&gt;0,SUMIFS(T_SelfStock[Self_Qty],T_SelfStock[RM_Code],$A62,T_SelfStock[WeekIndex],77)+SUMIFS(T_TTAFStock[TTAF_Qty],T_TTAFStock[RM_Code],$A62,T_TTAFStock[WeekIndex],77),BY62+'Grid_Incoming'!BZ62-'Grid_Requirement'!BZ62))</f>
        <v/>
      </c>
      <c r="CA62">
        <f>IF(COUNTIFS(T_StockCount[RM_Code],$A62,T_StockCount[WeekIndex],78)&gt;0,SUMIFS(T_StockCount[CountedQty],T_StockCount[RM_Code],$A62,T_StockCount[WeekIndex],78),IF((COUNTIFS(T_SelfStock[RM_Code],$A62,T_SelfStock[WeekIndex],78)&gt;0)*(COUNTIFS(T_TTAFStock[RM_Code],$A62,T_TTAFStock[WeekIndex],78)&gt;0)&gt;0,SUMIFS(T_SelfStock[Self_Qty],T_SelfStock[RM_Code],$A62,T_SelfStock[WeekIndex],78)+SUMIFS(T_TTAFStock[TTAF_Qty],T_TTAFStock[RM_Code],$A62,T_TTAFStock[WeekIndex],78),BZ62+'Grid_Incoming'!CA62-'Grid_Requirement'!CA62))</f>
        <v/>
      </c>
      <c r="CB62">
        <f>IF(COUNTIFS(T_StockCount[RM_Code],$A62,T_StockCount[WeekIndex],79)&gt;0,SUMIFS(T_StockCount[CountedQty],T_StockCount[RM_Code],$A62,T_StockCount[WeekIndex],79),IF((COUNTIFS(T_SelfStock[RM_Code],$A62,T_SelfStock[WeekIndex],79)&gt;0)*(COUNTIFS(T_TTAFStock[RM_Code],$A62,T_TTAFStock[WeekIndex],79)&gt;0)&gt;0,SUMIFS(T_SelfStock[Self_Qty],T_SelfStock[RM_Code],$A62,T_SelfStock[WeekIndex],79)+SUMIFS(T_TTAFStock[TTAF_Qty],T_TTAFStock[RM_Code],$A62,T_TTAFStock[WeekIndex],79),CA62+'Grid_Incoming'!CB62-'Grid_Requirement'!CB62))</f>
        <v/>
      </c>
      <c r="CC62">
        <f>IF(COUNTIFS(T_StockCount[RM_Code],$A62,T_StockCount[WeekIndex],80)&gt;0,SUMIFS(T_StockCount[CountedQty],T_StockCount[RM_Code],$A62,T_StockCount[WeekIndex],80),IF((COUNTIFS(T_SelfStock[RM_Code],$A62,T_SelfStock[WeekIndex],80)&gt;0)*(COUNTIFS(T_TTAFStock[RM_Code],$A62,T_TTAFStock[WeekIndex],80)&gt;0)&gt;0,SUMIFS(T_SelfStock[Self_Qty],T_SelfStock[RM_Code],$A62,T_SelfStock[WeekIndex],80)+SUMIFS(T_TTAFStock[TTAF_Qty],T_TTAFStock[RM_Code],$A62,T_TTAFStock[WeekIndex],80),CB62+'Grid_Incoming'!CC62-'Grid_Requirement'!CC62))</f>
        <v/>
      </c>
      <c r="CD62">
        <f>IF(COUNTIFS(T_StockCount[RM_Code],$A62,T_StockCount[WeekIndex],81)&gt;0,SUMIFS(T_StockCount[CountedQty],T_StockCount[RM_Code],$A62,T_StockCount[WeekIndex],81),IF((COUNTIFS(T_SelfStock[RM_Code],$A62,T_SelfStock[WeekIndex],81)&gt;0)*(COUNTIFS(T_TTAFStock[RM_Code],$A62,T_TTAFStock[WeekIndex],81)&gt;0)&gt;0,SUMIFS(T_SelfStock[Self_Qty],T_SelfStock[RM_Code],$A62,T_SelfStock[WeekIndex],81)+SUMIFS(T_TTAFStock[TTAF_Qty],T_TTAFStock[RM_Code],$A62,T_TTAFStock[WeekIndex],81),CC62+'Grid_Incoming'!CD62-'Grid_Requirement'!CD62))</f>
        <v/>
      </c>
      <c r="CE62">
        <f>IF(COUNTIFS(T_StockCount[RM_Code],$A62,T_StockCount[WeekIndex],82)&gt;0,SUMIFS(T_StockCount[CountedQty],T_StockCount[RM_Code],$A62,T_StockCount[WeekIndex],82),IF((COUNTIFS(T_SelfStock[RM_Code],$A62,T_SelfStock[WeekIndex],82)&gt;0)*(COUNTIFS(T_TTAFStock[RM_Code],$A62,T_TTAFStock[WeekIndex],82)&gt;0)&gt;0,SUMIFS(T_SelfStock[Self_Qty],T_SelfStock[RM_Code],$A62,T_SelfStock[WeekIndex],82)+SUMIFS(T_TTAFStock[TTAF_Qty],T_TTAFStock[RM_Code],$A62,T_TTAFStock[WeekIndex],82),CD62+'Grid_Incoming'!CE62-'Grid_Requirement'!CE62))</f>
        <v/>
      </c>
      <c r="CF62">
        <f>IF(COUNTIFS(T_StockCount[RM_Code],$A62,T_StockCount[WeekIndex],83)&gt;0,SUMIFS(T_StockCount[CountedQty],T_StockCount[RM_Code],$A62,T_StockCount[WeekIndex],83),IF((COUNTIFS(T_SelfStock[RM_Code],$A62,T_SelfStock[WeekIndex],83)&gt;0)*(COUNTIFS(T_TTAFStock[RM_Code],$A62,T_TTAFStock[WeekIndex],83)&gt;0)&gt;0,SUMIFS(T_SelfStock[Self_Qty],T_SelfStock[RM_Code],$A62,T_SelfStock[WeekIndex],83)+SUMIFS(T_TTAFStock[TTAF_Qty],T_TTAFStock[RM_Code],$A62,T_TTAFStock[WeekIndex],83),CE62+'Grid_Incoming'!CF62-'Grid_Requirement'!CF62))</f>
        <v/>
      </c>
      <c r="CG62">
        <f>IF(COUNTIFS(T_StockCount[RM_Code],$A62,T_StockCount[WeekIndex],84)&gt;0,SUMIFS(T_StockCount[CountedQty],T_StockCount[RM_Code],$A62,T_StockCount[WeekIndex],84),IF((COUNTIFS(T_SelfStock[RM_Code],$A62,T_SelfStock[WeekIndex],84)&gt;0)*(COUNTIFS(T_TTAFStock[RM_Code],$A62,T_TTAFStock[WeekIndex],84)&gt;0)&gt;0,SUMIFS(T_SelfStock[Self_Qty],T_SelfStock[RM_Code],$A62,T_SelfStock[WeekIndex],84)+SUMIFS(T_TTAFStock[TTAF_Qty],T_TTAFStock[RM_Code],$A62,T_TTAFStock[WeekIndex],84),CF62+'Grid_Incoming'!CG62-'Grid_Requirement'!CG62))</f>
        <v/>
      </c>
      <c r="CH62">
        <f>IF(COUNTIFS(T_StockCount[RM_Code],$A62,T_StockCount[WeekIndex],85)&gt;0,SUMIFS(T_StockCount[CountedQty],T_StockCount[RM_Code],$A62,T_StockCount[WeekIndex],85),IF((COUNTIFS(T_SelfStock[RM_Code],$A62,T_SelfStock[WeekIndex],85)&gt;0)*(COUNTIFS(T_TTAFStock[RM_Code],$A62,T_TTAFStock[WeekIndex],85)&gt;0)&gt;0,SUMIFS(T_SelfStock[Self_Qty],T_SelfStock[RM_Code],$A62,T_SelfStock[WeekIndex],85)+SUMIFS(T_TTAFStock[TTAF_Qty],T_TTAFStock[RM_Code],$A62,T_TTAFStock[WeekIndex],85),CG62+'Grid_Incoming'!CH62-'Grid_Requirement'!CH62))</f>
        <v/>
      </c>
      <c r="CI62">
        <f>IF(COUNTIFS(T_StockCount[RM_Code],$A62,T_StockCount[WeekIndex],86)&gt;0,SUMIFS(T_StockCount[CountedQty],T_StockCount[RM_Code],$A62,T_StockCount[WeekIndex],86),IF((COUNTIFS(T_SelfStock[RM_Code],$A62,T_SelfStock[WeekIndex],86)&gt;0)*(COUNTIFS(T_TTAFStock[RM_Code],$A62,T_TTAFStock[WeekIndex],86)&gt;0)&gt;0,SUMIFS(T_SelfStock[Self_Qty],T_SelfStock[RM_Code],$A62,T_SelfStock[WeekIndex],86)+SUMIFS(T_TTAFStock[TTAF_Qty],T_TTAFStock[RM_Code],$A62,T_TTAFStock[WeekIndex],86),CH62+'Grid_Incoming'!CI62-'Grid_Requirement'!CI62))</f>
        <v/>
      </c>
      <c r="CJ62">
        <f>IF(COUNTIFS(T_StockCount[RM_Code],$A62,T_StockCount[WeekIndex],87)&gt;0,SUMIFS(T_StockCount[CountedQty],T_StockCount[RM_Code],$A62,T_StockCount[WeekIndex],87),IF((COUNTIFS(T_SelfStock[RM_Code],$A62,T_SelfStock[WeekIndex],87)&gt;0)*(COUNTIFS(T_TTAFStock[RM_Code],$A62,T_TTAFStock[WeekIndex],87)&gt;0)&gt;0,SUMIFS(T_SelfStock[Self_Qty],T_SelfStock[RM_Code],$A62,T_SelfStock[WeekIndex],87)+SUMIFS(T_TTAFStock[TTAF_Qty],T_TTAFStock[RM_Code],$A62,T_TTAFStock[WeekIndex],87),CI62+'Grid_Incoming'!CJ62-'Grid_Requirement'!CJ62))</f>
        <v/>
      </c>
      <c r="CK62">
        <f>IF(COUNTIFS(T_StockCount[RM_Code],$A62,T_StockCount[WeekIndex],88)&gt;0,SUMIFS(T_StockCount[CountedQty],T_StockCount[RM_Code],$A62,T_StockCount[WeekIndex],88),IF((COUNTIFS(T_SelfStock[RM_Code],$A62,T_SelfStock[WeekIndex],88)&gt;0)*(COUNTIFS(T_TTAFStock[RM_Code],$A62,T_TTAFStock[WeekIndex],88)&gt;0)&gt;0,SUMIFS(T_SelfStock[Self_Qty],T_SelfStock[RM_Code],$A62,T_SelfStock[WeekIndex],88)+SUMIFS(T_TTAFStock[TTAF_Qty],T_TTAFStock[RM_Code],$A62,T_TTAFStock[WeekIndex],88),CJ62+'Grid_Incoming'!CK62-'Grid_Requirement'!CK62))</f>
        <v/>
      </c>
      <c r="CL62">
        <f>IF(COUNTIFS(T_StockCount[RM_Code],$A62,T_StockCount[WeekIndex],89)&gt;0,SUMIFS(T_StockCount[CountedQty],T_StockCount[RM_Code],$A62,T_StockCount[WeekIndex],89),IF((COUNTIFS(T_SelfStock[RM_Code],$A62,T_SelfStock[WeekIndex],89)&gt;0)*(COUNTIFS(T_TTAFStock[RM_Code],$A62,T_TTAFStock[WeekIndex],89)&gt;0)&gt;0,SUMIFS(T_SelfStock[Self_Qty],T_SelfStock[RM_Code],$A62,T_SelfStock[WeekIndex],89)+SUMIFS(T_TTAFStock[TTAF_Qty],T_TTAFStock[RM_Code],$A62,T_TTAFStock[WeekIndex],89),CK62+'Grid_Incoming'!CL62-'Grid_Requirement'!CL62))</f>
        <v/>
      </c>
      <c r="CM62">
        <f>IF(COUNTIFS(T_StockCount[RM_Code],$A62,T_StockCount[WeekIndex],90)&gt;0,SUMIFS(T_StockCount[CountedQty],T_StockCount[RM_Code],$A62,T_StockCount[WeekIndex],90),IF((COUNTIFS(T_SelfStock[RM_Code],$A62,T_SelfStock[WeekIndex],90)&gt;0)*(COUNTIFS(T_TTAFStock[RM_Code],$A62,T_TTAFStock[WeekIndex],90)&gt;0)&gt;0,SUMIFS(T_SelfStock[Self_Qty],T_SelfStock[RM_Code],$A62,T_SelfStock[WeekIndex],90)+SUMIFS(T_TTAFStock[TTAF_Qty],T_TTAFStock[RM_Code],$A62,T_TTAFStock[WeekIndex],90),CL62+'Grid_Incoming'!CM62-'Grid_Requirement'!CM62))</f>
        <v/>
      </c>
      <c r="CN62">
        <f>IF(COUNTIFS(T_StockCount[RM_Code],$A62,T_StockCount[WeekIndex],91)&gt;0,SUMIFS(T_StockCount[CountedQty],T_StockCount[RM_Code],$A62,T_StockCount[WeekIndex],91),IF((COUNTIFS(T_SelfStock[RM_Code],$A62,T_SelfStock[WeekIndex],91)&gt;0)*(COUNTIFS(T_TTAFStock[RM_Code],$A62,T_TTAFStock[WeekIndex],91)&gt;0)&gt;0,SUMIFS(T_SelfStock[Self_Qty],T_SelfStock[RM_Code],$A62,T_SelfStock[WeekIndex],91)+SUMIFS(T_TTAFStock[TTAF_Qty],T_TTAFStock[RM_Code],$A62,T_TTAFStock[WeekIndex],91),CM62+'Grid_Incoming'!CN62-'Grid_Requirement'!CN62))</f>
        <v/>
      </c>
      <c r="CO62">
        <f>IF(COUNTIFS(T_StockCount[RM_Code],$A62,T_StockCount[WeekIndex],92)&gt;0,SUMIFS(T_StockCount[CountedQty],T_StockCount[RM_Code],$A62,T_StockCount[WeekIndex],92),IF((COUNTIFS(T_SelfStock[RM_Code],$A62,T_SelfStock[WeekIndex],92)&gt;0)*(COUNTIFS(T_TTAFStock[RM_Code],$A62,T_TTAFStock[WeekIndex],92)&gt;0)&gt;0,SUMIFS(T_SelfStock[Self_Qty],T_SelfStock[RM_Code],$A62,T_SelfStock[WeekIndex],92)+SUMIFS(T_TTAFStock[TTAF_Qty],T_TTAFStock[RM_Code],$A62,T_TTAFStock[WeekIndex],92),CN62+'Grid_Incoming'!CO62-'Grid_Requirement'!CO62))</f>
        <v/>
      </c>
      <c r="CP62">
        <f>IF(COUNTIFS(T_StockCount[RM_Code],$A62,T_StockCount[WeekIndex],93)&gt;0,SUMIFS(T_StockCount[CountedQty],T_StockCount[RM_Code],$A62,T_StockCount[WeekIndex],93),IF((COUNTIFS(T_SelfStock[RM_Code],$A62,T_SelfStock[WeekIndex],93)&gt;0)*(COUNTIFS(T_TTAFStock[RM_Code],$A62,T_TTAFStock[WeekIndex],93)&gt;0)&gt;0,SUMIFS(T_SelfStock[Self_Qty],T_SelfStock[RM_Code],$A62,T_SelfStock[WeekIndex],93)+SUMIFS(T_TTAFStock[TTAF_Qty],T_TTAFStock[RM_Code],$A62,T_TTAFStock[WeekIndex],93),CO62+'Grid_Incoming'!CP62-'Grid_Requirement'!CP62))</f>
        <v/>
      </c>
      <c r="CQ62">
        <f>IF(COUNTIFS(T_StockCount[RM_Code],$A62,T_StockCount[WeekIndex],94)&gt;0,SUMIFS(T_StockCount[CountedQty],T_StockCount[RM_Code],$A62,T_StockCount[WeekIndex],94),IF((COUNTIFS(T_SelfStock[RM_Code],$A62,T_SelfStock[WeekIndex],94)&gt;0)*(COUNTIFS(T_TTAFStock[RM_Code],$A62,T_TTAFStock[WeekIndex],94)&gt;0)&gt;0,SUMIFS(T_SelfStock[Self_Qty],T_SelfStock[RM_Code],$A62,T_SelfStock[WeekIndex],94)+SUMIFS(T_TTAFStock[TTAF_Qty],T_TTAFStock[RM_Code],$A62,T_TTAFStock[WeekIndex],94),CP62+'Grid_Incoming'!CQ62-'Grid_Requirement'!CQ62))</f>
        <v/>
      </c>
      <c r="CR62">
        <f>IF(COUNTIFS(T_StockCount[RM_Code],$A62,T_StockCount[WeekIndex],95)&gt;0,SUMIFS(T_StockCount[CountedQty],T_StockCount[RM_Code],$A62,T_StockCount[WeekIndex],95),IF((COUNTIFS(T_SelfStock[RM_Code],$A62,T_SelfStock[WeekIndex],95)&gt;0)*(COUNTIFS(T_TTAFStock[RM_Code],$A62,T_TTAFStock[WeekIndex],95)&gt;0)&gt;0,SUMIFS(T_SelfStock[Self_Qty],T_SelfStock[RM_Code],$A62,T_SelfStock[WeekIndex],95)+SUMIFS(T_TTAFStock[TTAF_Qty],T_TTAFStock[RM_Code],$A62,T_TTAFStock[WeekIndex],95),CQ62+'Grid_Incoming'!CR62-'Grid_Requirement'!CR62))</f>
        <v/>
      </c>
      <c r="CS62">
        <f>IF(COUNTIFS(T_StockCount[RM_Code],$A62,T_StockCount[WeekIndex],96)&gt;0,SUMIFS(T_StockCount[CountedQty],T_StockCount[RM_Code],$A62,T_StockCount[WeekIndex],96),IF((COUNTIFS(T_SelfStock[RM_Code],$A62,T_SelfStock[WeekIndex],96)&gt;0)*(COUNTIFS(T_TTAFStock[RM_Code],$A62,T_TTAFStock[WeekIndex],96)&gt;0)&gt;0,SUMIFS(T_SelfStock[Self_Qty],T_SelfStock[RM_Code],$A62,T_SelfStock[WeekIndex],96)+SUMIFS(T_TTAFStock[TTAF_Qty],T_TTAFStock[RM_Code],$A62,T_TTAFStock[WeekIndex],96),CR62+'Grid_Incoming'!CS62-'Grid_Requirement'!CS62))</f>
        <v/>
      </c>
      <c r="CT62">
        <f>IF(COUNTIFS(T_StockCount[RM_Code],$A62,T_StockCount[WeekIndex],97)&gt;0,SUMIFS(T_StockCount[CountedQty],T_StockCount[RM_Code],$A62,T_StockCount[WeekIndex],97),IF((COUNTIFS(T_SelfStock[RM_Code],$A62,T_SelfStock[WeekIndex],97)&gt;0)*(COUNTIFS(T_TTAFStock[RM_Code],$A62,T_TTAFStock[WeekIndex],97)&gt;0)&gt;0,SUMIFS(T_SelfStock[Self_Qty],T_SelfStock[RM_Code],$A62,T_SelfStock[WeekIndex],97)+SUMIFS(T_TTAFStock[TTAF_Qty],T_TTAFStock[RM_Code],$A62,T_TTAFStock[WeekIndex],97),CS62+'Grid_Incoming'!CT62-'Grid_Requirement'!CT62))</f>
        <v/>
      </c>
      <c r="CU62">
        <f>IF(COUNTIFS(T_StockCount[RM_Code],$A62,T_StockCount[WeekIndex],98)&gt;0,SUMIFS(T_StockCount[CountedQty],T_StockCount[RM_Code],$A62,T_StockCount[WeekIndex],98),IF((COUNTIFS(T_SelfStock[RM_Code],$A62,T_SelfStock[WeekIndex],98)&gt;0)*(COUNTIFS(T_TTAFStock[RM_Code],$A62,T_TTAFStock[WeekIndex],98)&gt;0)&gt;0,SUMIFS(T_SelfStock[Self_Qty],T_SelfStock[RM_Code],$A62,T_SelfStock[WeekIndex],98)+SUMIFS(T_TTAFStock[TTAF_Qty],T_TTAFStock[RM_Code],$A62,T_TTAFStock[WeekIndex],98),CT62+'Grid_Incoming'!CU62-'Grid_Requirement'!CU62))</f>
        <v/>
      </c>
      <c r="CV62">
        <f>IF(COUNTIFS(T_StockCount[RM_Code],$A62,T_StockCount[WeekIndex],99)&gt;0,SUMIFS(T_StockCount[CountedQty],T_StockCount[RM_Code],$A62,T_StockCount[WeekIndex],99),IF((COUNTIFS(T_SelfStock[RM_Code],$A62,T_SelfStock[WeekIndex],99)&gt;0)*(COUNTIFS(T_TTAFStock[RM_Code],$A62,T_TTAFStock[WeekIndex],99)&gt;0)&gt;0,SUMIFS(T_SelfStock[Self_Qty],T_SelfStock[RM_Code],$A62,T_SelfStock[WeekIndex],99)+SUMIFS(T_TTAFStock[TTAF_Qty],T_TTAFStock[RM_Code],$A62,T_TTAFStock[WeekIndex],99),CU62+'Grid_Incoming'!CV62-'Grid_Requirement'!CV62))</f>
        <v/>
      </c>
      <c r="CW62">
        <f>IF(COUNTIFS(T_StockCount[RM_Code],$A62,T_StockCount[WeekIndex],100)&gt;0,SUMIFS(T_StockCount[CountedQty],T_StockCount[RM_Code],$A62,T_StockCount[WeekIndex],100),IF((COUNTIFS(T_SelfStock[RM_Code],$A62,T_SelfStock[WeekIndex],100)&gt;0)*(COUNTIFS(T_TTAFStock[RM_Code],$A62,T_TTAFStock[WeekIndex],100)&gt;0)&gt;0,SUMIFS(T_SelfStock[Self_Qty],T_SelfStock[RM_Code],$A62,T_SelfStock[WeekIndex],100)+SUMIFS(T_TTAFStock[TTAF_Qty],T_TTAFStock[RM_Code],$A62,T_TTAFStock[WeekIndex],100),CV62+'Grid_Incoming'!CW62-'Grid_Requirement'!CW62))</f>
        <v/>
      </c>
      <c r="CX62">
        <f>IF(COUNTIFS(T_StockCount[RM_Code],$A62,T_StockCount[WeekIndex],101)&gt;0,SUMIFS(T_StockCount[CountedQty],T_StockCount[RM_Code],$A62,T_StockCount[WeekIndex],101),IF((COUNTIFS(T_SelfStock[RM_Code],$A62,T_SelfStock[WeekIndex],101)&gt;0)*(COUNTIFS(T_TTAFStock[RM_Code],$A62,T_TTAFStock[WeekIndex],101)&gt;0)&gt;0,SUMIFS(T_SelfStock[Self_Qty],T_SelfStock[RM_Code],$A62,T_SelfStock[WeekIndex],101)+SUMIFS(T_TTAFStock[TTAF_Qty],T_TTAFStock[RM_Code],$A62,T_TTAFStock[WeekIndex],101),CW62+'Grid_Incoming'!CX62-'Grid_Requirement'!CX62))</f>
        <v/>
      </c>
      <c r="CY62">
        <f>IF(COUNTIFS(T_StockCount[RM_Code],$A62,T_StockCount[WeekIndex],102)&gt;0,SUMIFS(T_StockCount[CountedQty],T_StockCount[RM_Code],$A62,T_StockCount[WeekIndex],102),IF((COUNTIFS(T_SelfStock[RM_Code],$A62,T_SelfStock[WeekIndex],102)&gt;0)*(COUNTIFS(T_TTAFStock[RM_Code],$A62,T_TTAFStock[WeekIndex],102)&gt;0)&gt;0,SUMIFS(T_SelfStock[Self_Qty],T_SelfStock[RM_Code],$A62,T_SelfStock[WeekIndex],102)+SUMIFS(T_TTAFStock[TTAF_Qty],T_TTAFStock[RM_Code],$A62,T_TTAFStock[WeekIndex],102),CX62+'Grid_Incoming'!CY62-'Grid_Requirement'!CY62))</f>
        <v/>
      </c>
      <c r="CZ62">
        <f>IF(COUNTIFS(T_StockCount[RM_Code],$A62,T_StockCount[WeekIndex],103)&gt;0,SUMIFS(T_StockCount[CountedQty],T_StockCount[RM_Code],$A62,T_StockCount[WeekIndex],103),IF((COUNTIFS(T_SelfStock[RM_Code],$A62,T_SelfStock[WeekIndex],103)&gt;0)*(COUNTIFS(T_TTAFStock[RM_Code],$A62,T_TTAFStock[WeekIndex],103)&gt;0)&gt;0,SUMIFS(T_SelfStock[Self_Qty],T_SelfStock[RM_Code],$A62,T_SelfStock[WeekIndex],103)+SUMIFS(T_TTAFStock[TTAF_Qty],T_TTAFStock[RM_Code],$A62,T_TTAFStock[WeekIndex],103),CY62+'Grid_Incoming'!CZ62-'Grid_Requirement'!CZ62))</f>
        <v/>
      </c>
      <c r="DA62">
        <f>IF(COUNTIFS(T_StockCount[RM_Code],$A62,T_StockCount[WeekIndex],104)&gt;0,SUMIFS(T_StockCount[CountedQty],T_StockCount[RM_Code],$A62,T_StockCount[WeekIndex],104),IF((COUNTIFS(T_SelfStock[RM_Code],$A62,T_SelfStock[WeekIndex],104)&gt;0)*(COUNTIFS(T_TTAFStock[RM_Code],$A62,T_TTAFStock[WeekIndex],104)&gt;0)&gt;0,SUMIFS(T_SelfStock[Self_Qty],T_SelfStock[RM_Code],$A62,T_SelfStock[WeekIndex],104)+SUMIFS(T_TTAFStock[TTAF_Qty],T_TTAFStock[RM_Code],$A62,T_TTAFStock[WeekIndex],104),CZ62+'Grid_Incoming'!DA62-'Grid_Requirement'!DA62))</f>
        <v/>
      </c>
    </row>
    <row r="63">
      <c r="A63" t="inlineStr">
        <is>
          <t>PP Film</t>
        </is>
      </c>
      <c r="B63">
        <f>IF(COUNTIFS(T_StockCount[RM_Code],$A63,T_StockCount[WeekIndex],1)&gt;0,SUMIFS(T_StockCount[CountedQty],T_StockCount[RM_Code],$A63,T_StockCount[WeekIndex],1),IF((COUNTIFS(T_SelfStock[RM_Code],$A63,T_SelfStock[WeekIndex],1)&gt;0)*(COUNTIFS(T_TTAFStock[RM_Code],$A63,T_TTAFStock[WeekIndex],1)&gt;0)&gt;0,SUMIFS(T_SelfStock[Self_Qty],T_SelfStock[RM_Code],$A63,T_SelfStock[WeekIndex],1)+SUMIFS(T_TTAFStock[TTAF_Qty],T_TTAFStock[RM_Code],$A63,T_TTAFStock[WeekIndex],1),IFERROR(INDEX(T_OpeningStock[Opening_Qty],MATCH($A63,T_OpeningStock[RM_Code],0)),0)+'Grid_Incoming'!B63-'Grid_Requirement'!B63))</f>
        <v/>
      </c>
      <c r="C63">
        <f>IF(COUNTIFS(T_StockCount[RM_Code],$A63,T_StockCount[WeekIndex],2)&gt;0,SUMIFS(T_StockCount[CountedQty],T_StockCount[RM_Code],$A63,T_StockCount[WeekIndex],2),IF((COUNTIFS(T_SelfStock[RM_Code],$A63,T_SelfStock[WeekIndex],2)&gt;0)*(COUNTIFS(T_TTAFStock[RM_Code],$A63,T_TTAFStock[WeekIndex],2)&gt;0)&gt;0,SUMIFS(T_SelfStock[Self_Qty],T_SelfStock[RM_Code],$A63,T_SelfStock[WeekIndex],2)+SUMIFS(T_TTAFStock[TTAF_Qty],T_TTAFStock[RM_Code],$A63,T_TTAFStock[WeekIndex],2),B63+'Grid_Incoming'!C63-'Grid_Requirement'!C63))</f>
        <v/>
      </c>
      <c r="D63">
        <f>IF(COUNTIFS(T_StockCount[RM_Code],$A63,T_StockCount[WeekIndex],3)&gt;0,SUMIFS(T_StockCount[CountedQty],T_StockCount[RM_Code],$A63,T_StockCount[WeekIndex],3),IF((COUNTIFS(T_SelfStock[RM_Code],$A63,T_SelfStock[WeekIndex],3)&gt;0)*(COUNTIFS(T_TTAFStock[RM_Code],$A63,T_TTAFStock[WeekIndex],3)&gt;0)&gt;0,SUMIFS(T_SelfStock[Self_Qty],T_SelfStock[RM_Code],$A63,T_SelfStock[WeekIndex],3)+SUMIFS(T_TTAFStock[TTAF_Qty],T_TTAFStock[RM_Code],$A63,T_TTAFStock[WeekIndex],3),C63+'Grid_Incoming'!D63-'Grid_Requirement'!D63))</f>
        <v/>
      </c>
      <c r="E63">
        <f>IF(COUNTIFS(T_StockCount[RM_Code],$A63,T_StockCount[WeekIndex],4)&gt;0,SUMIFS(T_StockCount[CountedQty],T_StockCount[RM_Code],$A63,T_StockCount[WeekIndex],4),IF((COUNTIFS(T_SelfStock[RM_Code],$A63,T_SelfStock[WeekIndex],4)&gt;0)*(COUNTIFS(T_TTAFStock[RM_Code],$A63,T_TTAFStock[WeekIndex],4)&gt;0)&gt;0,SUMIFS(T_SelfStock[Self_Qty],T_SelfStock[RM_Code],$A63,T_SelfStock[WeekIndex],4)+SUMIFS(T_TTAFStock[TTAF_Qty],T_TTAFStock[RM_Code],$A63,T_TTAFStock[WeekIndex],4),D63+'Grid_Incoming'!E63-'Grid_Requirement'!E63))</f>
        <v/>
      </c>
      <c r="F63">
        <f>IF(COUNTIFS(T_StockCount[RM_Code],$A63,T_StockCount[WeekIndex],5)&gt;0,SUMIFS(T_StockCount[CountedQty],T_StockCount[RM_Code],$A63,T_StockCount[WeekIndex],5),IF((COUNTIFS(T_SelfStock[RM_Code],$A63,T_SelfStock[WeekIndex],5)&gt;0)*(COUNTIFS(T_TTAFStock[RM_Code],$A63,T_TTAFStock[WeekIndex],5)&gt;0)&gt;0,SUMIFS(T_SelfStock[Self_Qty],T_SelfStock[RM_Code],$A63,T_SelfStock[WeekIndex],5)+SUMIFS(T_TTAFStock[TTAF_Qty],T_TTAFStock[RM_Code],$A63,T_TTAFStock[WeekIndex],5),E63+'Grid_Incoming'!F63-'Grid_Requirement'!F63))</f>
        <v/>
      </c>
      <c r="G63">
        <f>IF(COUNTIFS(T_StockCount[RM_Code],$A63,T_StockCount[WeekIndex],6)&gt;0,SUMIFS(T_StockCount[CountedQty],T_StockCount[RM_Code],$A63,T_StockCount[WeekIndex],6),IF((COUNTIFS(T_SelfStock[RM_Code],$A63,T_SelfStock[WeekIndex],6)&gt;0)*(COUNTIFS(T_TTAFStock[RM_Code],$A63,T_TTAFStock[WeekIndex],6)&gt;0)&gt;0,SUMIFS(T_SelfStock[Self_Qty],T_SelfStock[RM_Code],$A63,T_SelfStock[WeekIndex],6)+SUMIFS(T_TTAFStock[TTAF_Qty],T_TTAFStock[RM_Code],$A63,T_TTAFStock[WeekIndex],6),F63+'Grid_Incoming'!G63-'Grid_Requirement'!G63))</f>
        <v/>
      </c>
      <c r="H63">
        <f>IF(COUNTIFS(T_StockCount[RM_Code],$A63,T_StockCount[WeekIndex],7)&gt;0,SUMIFS(T_StockCount[CountedQty],T_StockCount[RM_Code],$A63,T_StockCount[WeekIndex],7),IF((COUNTIFS(T_SelfStock[RM_Code],$A63,T_SelfStock[WeekIndex],7)&gt;0)*(COUNTIFS(T_TTAFStock[RM_Code],$A63,T_TTAFStock[WeekIndex],7)&gt;0)&gt;0,SUMIFS(T_SelfStock[Self_Qty],T_SelfStock[RM_Code],$A63,T_SelfStock[WeekIndex],7)+SUMIFS(T_TTAFStock[TTAF_Qty],T_TTAFStock[RM_Code],$A63,T_TTAFStock[WeekIndex],7),G63+'Grid_Incoming'!H63-'Grid_Requirement'!H63))</f>
        <v/>
      </c>
      <c r="I63">
        <f>IF(COUNTIFS(T_StockCount[RM_Code],$A63,T_StockCount[WeekIndex],8)&gt;0,SUMIFS(T_StockCount[CountedQty],T_StockCount[RM_Code],$A63,T_StockCount[WeekIndex],8),IF((COUNTIFS(T_SelfStock[RM_Code],$A63,T_SelfStock[WeekIndex],8)&gt;0)*(COUNTIFS(T_TTAFStock[RM_Code],$A63,T_TTAFStock[WeekIndex],8)&gt;0)&gt;0,SUMIFS(T_SelfStock[Self_Qty],T_SelfStock[RM_Code],$A63,T_SelfStock[WeekIndex],8)+SUMIFS(T_TTAFStock[TTAF_Qty],T_TTAFStock[RM_Code],$A63,T_TTAFStock[WeekIndex],8),H63+'Grid_Incoming'!I63-'Grid_Requirement'!I63))</f>
        <v/>
      </c>
      <c r="J63">
        <f>IF(COUNTIFS(T_StockCount[RM_Code],$A63,T_StockCount[WeekIndex],9)&gt;0,SUMIFS(T_StockCount[CountedQty],T_StockCount[RM_Code],$A63,T_StockCount[WeekIndex],9),IF((COUNTIFS(T_SelfStock[RM_Code],$A63,T_SelfStock[WeekIndex],9)&gt;0)*(COUNTIFS(T_TTAFStock[RM_Code],$A63,T_TTAFStock[WeekIndex],9)&gt;0)&gt;0,SUMIFS(T_SelfStock[Self_Qty],T_SelfStock[RM_Code],$A63,T_SelfStock[WeekIndex],9)+SUMIFS(T_TTAFStock[TTAF_Qty],T_TTAFStock[RM_Code],$A63,T_TTAFStock[WeekIndex],9),I63+'Grid_Incoming'!J63-'Grid_Requirement'!J63))</f>
        <v/>
      </c>
      <c r="K63">
        <f>IF(COUNTIFS(T_StockCount[RM_Code],$A63,T_StockCount[WeekIndex],10)&gt;0,SUMIFS(T_StockCount[CountedQty],T_StockCount[RM_Code],$A63,T_StockCount[WeekIndex],10),IF((COUNTIFS(T_SelfStock[RM_Code],$A63,T_SelfStock[WeekIndex],10)&gt;0)*(COUNTIFS(T_TTAFStock[RM_Code],$A63,T_TTAFStock[WeekIndex],10)&gt;0)&gt;0,SUMIFS(T_SelfStock[Self_Qty],T_SelfStock[RM_Code],$A63,T_SelfStock[WeekIndex],10)+SUMIFS(T_TTAFStock[TTAF_Qty],T_TTAFStock[RM_Code],$A63,T_TTAFStock[WeekIndex],10),J63+'Grid_Incoming'!K63-'Grid_Requirement'!K63))</f>
        <v/>
      </c>
      <c r="L63">
        <f>IF(COUNTIFS(T_StockCount[RM_Code],$A63,T_StockCount[WeekIndex],11)&gt;0,SUMIFS(T_StockCount[CountedQty],T_StockCount[RM_Code],$A63,T_StockCount[WeekIndex],11),IF((COUNTIFS(T_SelfStock[RM_Code],$A63,T_SelfStock[WeekIndex],11)&gt;0)*(COUNTIFS(T_TTAFStock[RM_Code],$A63,T_TTAFStock[WeekIndex],11)&gt;0)&gt;0,SUMIFS(T_SelfStock[Self_Qty],T_SelfStock[RM_Code],$A63,T_SelfStock[WeekIndex],11)+SUMIFS(T_TTAFStock[TTAF_Qty],T_TTAFStock[RM_Code],$A63,T_TTAFStock[WeekIndex],11),K63+'Grid_Incoming'!L63-'Grid_Requirement'!L63))</f>
        <v/>
      </c>
      <c r="M63">
        <f>IF(COUNTIFS(T_StockCount[RM_Code],$A63,T_StockCount[WeekIndex],12)&gt;0,SUMIFS(T_StockCount[CountedQty],T_StockCount[RM_Code],$A63,T_StockCount[WeekIndex],12),IF((COUNTIFS(T_SelfStock[RM_Code],$A63,T_SelfStock[WeekIndex],12)&gt;0)*(COUNTIFS(T_TTAFStock[RM_Code],$A63,T_TTAFStock[WeekIndex],12)&gt;0)&gt;0,SUMIFS(T_SelfStock[Self_Qty],T_SelfStock[RM_Code],$A63,T_SelfStock[WeekIndex],12)+SUMIFS(T_TTAFStock[TTAF_Qty],T_TTAFStock[RM_Code],$A63,T_TTAFStock[WeekIndex],12),L63+'Grid_Incoming'!M63-'Grid_Requirement'!M63))</f>
        <v/>
      </c>
      <c r="N63">
        <f>IF(COUNTIFS(T_StockCount[RM_Code],$A63,T_StockCount[WeekIndex],13)&gt;0,SUMIFS(T_StockCount[CountedQty],T_StockCount[RM_Code],$A63,T_StockCount[WeekIndex],13),IF((COUNTIFS(T_SelfStock[RM_Code],$A63,T_SelfStock[WeekIndex],13)&gt;0)*(COUNTIFS(T_TTAFStock[RM_Code],$A63,T_TTAFStock[WeekIndex],13)&gt;0)&gt;0,SUMIFS(T_SelfStock[Self_Qty],T_SelfStock[RM_Code],$A63,T_SelfStock[WeekIndex],13)+SUMIFS(T_TTAFStock[TTAF_Qty],T_TTAFStock[RM_Code],$A63,T_TTAFStock[WeekIndex],13),M63+'Grid_Incoming'!N63-'Grid_Requirement'!N63))</f>
        <v/>
      </c>
      <c r="O63">
        <f>IF(COUNTIFS(T_StockCount[RM_Code],$A63,T_StockCount[WeekIndex],14)&gt;0,SUMIFS(T_StockCount[CountedQty],T_StockCount[RM_Code],$A63,T_StockCount[WeekIndex],14),IF((COUNTIFS(T_SelfStock[RM_Code],$A63,T_SelfStock[WeekIndex],14)&gt;0)*(COUNTIFS(T_TTAFStock[RM_Code],$A63,T_TTAFStock[WeekIndex],14)&gt;0)&gt;0,SUMIFS(T_SelfStock[Self_Qty],T_SelfStock[RM_Code],$A63,T_SelfStock[WeekIndex],14)+SUMIFS(T_TTAFStock[TTAF_Qty],T_TTAFStock[RM_Code],$A63,T_TTAFStock[WeekIndex],14),N63+'Grid_Incoming'!O63-'Grid_Requirement'!O63))</f>
        <v/>
      </c>
      <c r="P63">
        <f>IF(COUNTIFS(T_StockCount[RM_Code],$A63,T_StockCount[WeekIndex],15)&gt;0,SUMIFS(T_StockCount[CountedQty],T_StockCount[RM_Code],$A63,T_StockCount[WeekIndex],15),IF((COUNTIFS(T_SelfStock[RM_Code],$A63,T_SelfStock[WeekIndex],15)&gt;0)*(COUNTIFS(T_TTAFStock[RM_Code],$A63,T_TTAFStock[WeekIndex],15)&gt;0)&gt;0,SUMIFS(T_SelfStock[Self_Qty],T_SelfStock[RM_Code],$A63,T_SelfStock[WeekIndex],15)+SUMIFS(T_TTAFStock[TTAF_Qty],T_TTAFStock[RM_Code],$A63,T_TTAFStock[WeekIndex],15),O63+'Grid_Incoming'!P63-'Grid_Requirement'!P63))</f>
        <v/>
      </c>
      <c r="Q63">
        <f>IF(COUNTIFS(T_StockCount[RM_Code],$A63,T_StockCount[WeekIndex],16)&gt;0,SUMIFS(T_StockCount[CountedQty],T_StockCount[RM_Code],$A63,T_StockCount[WeekIndex],16),IF((COUNTIFS(T_SelfStock[RM_Code],$A63,T_SelfStock[WeekIndex],16)&gt;0)*(COUNTIFS(T_TTAFStock[RM_Code],$A63,T_TTAFStock[WeekIndex],16)&gt;0)&gt;0,SUMIFS(T_SelfStock[Self_Qty],T_SelfStock[RM_Code],$A63,T_SelfStock[WeekIndex],16)+SUMIFS(T_TTAFStock[TTAF_Qty],T_TTAFStock[RM_Code],$A63,T_TTAFStock[WeekIndex],16),P63+'Grid_Incoming'!Q63-'Grid_Requirement'!Q63))</f>
        <v/>
      </c>
      <c r="R63">
        <f>IF(COUNTIFS(T_StockCount[RM_Code],$A63,T_StockCount[WeekIndex],17)&gt;0,SUMIFS(T_StockCount[CountedQty],T_StockCount[RM_Code],$A63,T_StockCount[WeekIndex],17),IF((COUNTIFS(T_SelfStock[RM_Code],$A63,T_SelfStock[WeekIndex],17)&gt;0)*(COUNTIFS(T_TTAFStock[RM_Code],$A63,T_TTAFStock[WeekIndex],17)&gt;0)&gt;0,SUMIFS(T_SelfStock[Self_Qty],T_SelfStock[RM_Code],$A63,T_SelfStock[WeekIndex],17)+SUMIFS(T_TTAFStock[TTAF_Qty],T_TTAFStock[RM_Code],$A63,T_TTAFStock[WeekIndex],17),Q63+'Grid_Incoming'!R63-'Grid_Requirement'!R63))</f>
        <v/>
      </c>
      <c r="S63">
        <f>IF(COUNTIFS(T_StockCount[RM_Code],$A63,T_StockCount[WeekIndex],18)&gt;0,SUMIFS(T_StockCount[CountedQty],T_StockCount[RM_Code],$A63,T_StockCount[WeekIndex],18),IF((COUNTIFS(T_SelfStock[RM_Code],$A63,T_SelfStock[WeekIndex],18)&gt;0)*(COUNTIFS(T_TTAFStock[RM_Code],$A63,T_TTAFStock[WeekIndex],18)&gt;0)&gt;0,SUMIFS(T_SelfStock[Self_Qty],T_SelfStock[RM_Code],$A63,T_SelfStock[WeekIndex],18)+SUMIFS(T_TTAFStock[TTAF_Qty],T_TTAFStock[RM_Code],$A63,T_TTAFStock[WeekIndex],18),R63+'Grid_Incoming'!S63-'Grid_Requirement'!S63))</f>
        <v/>
      </c>
      <c r="T63">
        <f>IF(COUNTIFS(T_StockCount[RM_Code],$A63,T_StockCount[WeekIndex],19)&gt;0,SUMIFS(T_StockCount[CountedQty],T_StockCount[RM_Code],$A63,T_StockCount[WeekIndex],19),IF((COUNTIFS(T_SelfStock[RM_Code],$A63,T_SelfStock[WeekIndex],19)&gt;0)*(COUNTIFS(T_TTAFStock[RM_Code],$A63,T_TTAFStock[WeekIndex],19)&gt;0)&gt;0,SUMIFS(T_SelfStock[Self_Qty],T_SelfStock[RM_Code],$A63,T_SelfStock[WeekIndex],19)+SUMIFS(T_TTAFStock[TTAF_Qty],T_TTAFStock[RM_Code],$A63,T_TTAFStock[WeekIndex],19),S63+'Grid_Incoming'!T63-'Grid_Requirement'!T63))</f>
        <v/>
      </c>
      <c r="U63">
        <f>IF(COUNTIFS(T_StockCount[RM_Code],$A63,T_StockCount[WeekIndex],20)&gt;0,SUMIFS(T_StockCount[CountedQty],T_StockCount[RM_Code],$A63,T_StockCount[WeekIndex],20),IF((COUNTIFS(T_SelfStock[RM_Code],$A63,T_SelfStock[WeekIndex],20)&gt;0)*(COUNTIFS(T_TTAFStock[RM_Code],$A63,T_TTAFStock[WeekIndex],20)&gt;0)&gt;0,SUMIFS(T_SelfStock[Self_Qty],T_SelfStock[RM_Code],$A63,T_SelfStock[WeekIndex],20)+SUMIFS(T_TTAFStock[TTAF_Qty],T_TTAFStock[RM_Code],$A63,T_TTAFStock[WeekIndex],20),T63+'Grid_Incoming'!U63-'Grid_Requirement'!U63))</f>
        <v/>
      </c>
      <c r="V63">
        <f>IF(COUNTIFS(T_StockCount[RM_Code],$A63,T_StockCount[WeekIndex],21)&gt;0,SUMIFS(T_StockCount[CountedQty],T_StockCount[RM_Code],$A63,T_StockCount[WeekIndex],21),IF((COUNTIFS(T_SelfStock[RM_Code],$A63,T_SelfStock[WeekIndex],21)&gt;0)*(COUNTIFS(T_TTAFStock[RM_Code],$A63,T_TTAFStock[WeekIndex],21)&gt;0)&gt;0,SUMIFS(T_SelfStock[Self_Qty],T_SelfStock[RM_Code],$A63,T_SelfStock[WeekIndex],21)+SUMIFS(T_TTAFStock[TTAF_Qty],T_TTAFStock[RM_Code],$A63,T_TTAFStock[WeekIndex],21),U63+'Grid_Incoming'!V63-'Grid_Requirement'!V63))</f>
        <v/>
      </c>
      <c r="W63">
        <f>IF(COUNTIFS(T_StockCount[RM_Code],$A63,T_StockCount[WeekIndex],22)&gt;0,SUMIFS(T_StockCount[CountedQty],T_StockCount[RM_Code],$A63,T_StockCount[WeekIndex],22),IF((COUNTIFS(T_SelfStock[RM_Code],$A63,T_SelfStock[WeekIndex],22)&gt;0)*(COUNTIFS(T_TTAFStock[RM_Code],$A63,T_TTAFStock[WeekIndex],22)&gt;0)&gt;0,SUMIFS(T_SelfStock[Self_Qty],T_SelfStock[RM_Code],$A63,T_SelfStock[WeekIndex],22)+SUMIFS(T_TTAFStock[TTAF_Qty],T_TTAFStock[RM_Code],$A63,T_TTAFStock[WeekIndex],22),V63+'Grid_Incoming'!W63-'Grid_Requirement'!W63))</f>
        <v/>
      </c>
      <c r="X63">
        <f>IF(COUNTIFS(T_StockCount[RM_Code],$A63,T_StockCount[WeekIndex],23)&gt;0,SUMIFS(T_StockCount[CountedQty],T_StockCount[RM_Code],$A63,T_StockCount[WeekIndex],23),IF((COUNTIFS(T_SelfStock[RM_Code],$A63,T_SelfStock[WeekIndex],23)&gt;0)*(COUNTIFS(T_TTAFStock[RM_Code],$A63,T_TTAFStock[WeekIndex],23)&gt;0)&gt;0,SUMIFS(T_SelfStock[Self_Qty],T_SelfStock[RM_Code],$A63,T_SelfStock[WeekIndex],23)+SUMIFS(T_TTAFStock[TTAF_Qty],T_TTAFStock[RM_Code],$A63,T_TTAFStock[WeekIndex],23),W63+'Grid_Incoming'!X63-'Grid_Requirement'!X63))</f>
        <v/>
      </c>
      <c r="Y63">
        <f>IF(COUNTIFS(T_StockCount[RM_Code],$A63,T_StockCount[WeekIndex],24)&gt;0,SUMIFS(T_StockCount[CountedQty],T_StockCount[RM_Code],$A63,T_StockCount[WeekIndex],24),IF((COUNTIFS(T_SelfStock[RM_Code],$A63,T_SelfStock[WeekIndex],24)&gt;0)*(COUNTIFS(T_TTAFStock[RM_Code],$A63,T_TTAFStock[WeekIndex],24)&gt;0)&gt;0,SUMIFS(T_SelfStock[Self_Qty],T_SelfStock[RM_Code],$A63,T_SelfStock[WeekIndex],24)+SUMIFS(T_TTAFStock[TTAF_Qty],T_TTAFStock[RM_Code],$A63,T_TTAFStock[WeekIndex],24),X63+'Grid_Incoming'!Y63-'Grid_Requirement'!Y63))</f>
        <v/>
      </c>
      <c r="Z63">
        <f>IF(COUNTIFS(T_StockCount[RM_Code],$A63,T_StockCount[WeekIndex],25)&gt;0,SUMIFS(T_StockCount[CountedQty],T_StockCount[RM_Code],$A63,T_StockCount[WeekIndex],25),IF((COUNTIFS(T_SelfStock[RM_Code],$A63,T_SelfStock[WeekIndex],25)&gt;0)*(COUNTIFS(T_TTAFStock[RM_Code],$A63,T_TTAFStock[WeekIndex],25)&gt;0)&gt;0,SUMIFS(T_SelfStock[Self_Qty],T_SelfStock[RM_Code],$A63,T_SelfStock[WeekIndex],25)+SUMIFS(T_TTAFStock[TTAF_Qty],T_TTAFStock[RM_Code],$A63,T_TTAFStock[WeekIndex],25),Y63+'Grid_Incoming'!Z63-'Grid_Requirement'!Z63))</f>
        <v/>
      </c>
      <c r="AA63">
        <f>IF(COUNTIFS(T_StockCount[RM_Code],$A63,T_StockCount[WeekIndex],26)&gt;0,SUMIFS(T_StockCount[CountedQty],T_StockCount[RM_Code],$A63,T_StockCount[WeekIndex],26),IF((COUNTIFS(T_SelfStock[RM_Code],$A63,T_SelfStock[WeekIndex],26)&gt;0)*(COUNTIFS(T_TTAFStock[RM_Code],$A63,T_TTAFStock[WeekIndex],26)&gt;0)&gt;0,SUMIFS(T_SelfStock[Self_Qty],T_SelfStock[RM_Code],$A63,T_SelfStock[WeekIndex],26)+SUMIFS(T_TTAFStock[TTAF_Qty],T_TTAFStock[RM_Code],$A63,T_TTAFStock[WeekIndex],26),Z63+'Grid_Incoming'!AA63-'Grid_Requirement'!AA63))</f>
        <v/>
      </c>
      <c r="AB63">
        <f>IF(COUNTIFS(T_StockCount[RM_Code],$A63,T_StockCount[WeekIndex],27)&gt;0,SUMIFS(T_StockCount[CountedQty],T_StockCount[RM_Code],$A63,T_StockCount[WeekIndex],27),IF((COUNTIFS(T_SelfStock[RM_Code],$A63,T_SelfStock[WeekIndex],27)&gt;0)*(COUNTIFS(T_TTAFStock[RM_Code],$A63,T_TTAFStock[WeekIndex],27)&gt;0)&gt;0,SUMIFS(T_SelfStock[Self_Qty],T_SelfStock[RM_Code],$A63,T_SelfStock[WeekIndex],27)+SUMIFS(T_TTAFStock[TTAF_Qty],T_TTAFStock[RM_Code],$A63,T_TTAFStock[WeekIndex],27),AA63+'Grid_Incoming'!AB63-'Grid_Requirement'!AB63))</f>
        <v/>
      </c>
      <c r="AC63">
        <f>IF(COUNTIFS(T_StockCount[RM_Code],$A63,T_StockCount[WeekIndex],28)&gt;0,SUMIFS(T_StockCount[CountedQty],T_StockCount[RM_Code],$A63,T_StockCount[WeekIndex],28),IF((COUNTIFS(T_SelfStock[RM_Code],$A63,T_SelfStock[WeekIndex],28)&gt;0)*(COUNTIFS(T_TTAFStock[RM_Code],$A63,T_TTAFStock[WeekIndex],28)&gt;0)&gt;0,SUMIFS(T_SelfStock[Self_Qty],T_SelfStock[RM_Code],$A63,T_SelfStock[WeekIndex],28)+SUMIFS(T_TTAFStock[TTAF_Qty],T_TTAFStock[RM_Code],$A63,T_TTAFStock[WeekIndex],28),AB63+'Grid_Incoming'!AC63-'Grid_Requirement'!AC63))</f>
        <v/>
      </c>
      <c r="AD63">
        <f>IF(COUNTIFS(T_StockCount[RM_Code],$A63,T_StockCount[WeekIndex],29)&gt;0,SUMIFS(T_StockCount[CountedQty],T_StockCount[RM_Code],$A63,T_StockCount[WeekIndex],29),IF((COUNTIFS(T_SelfStock[RM_Code],$A63,T_SelfStock[WeekIndex],29)&gt;0)*(COUNTIFS(T_TTAFStock[RM_Code],$A63,T_TTAFStock[WeekIndex],29)&gt;0)&gt;0,SUMIFS(T_SelfStock[Self_Qty],T_SelfStock[RM_Code],$A63,T_SelfStock[WeekIndex],29)+SUMIFS(T_TTAFStock[TTAF_Qty],T_TTAFStock[RM_Code],$A63,T_TTAFStock[WeekIndex],29),AC63+'Grid_Incoming'!AD63-'Grid_Requirement'!AD63))</f>
        <v/>
      </c>
      <c r="AE63">
        <f>IF(COUNTIFS(T_StockCount[RM_Code],$A63,T_StockCount[WeekIndex],30)&gt;0,SUMIFS(T_StockCount[CountedQty],T_StockCount[RM_Code],$A63,T_StockCount[WeekIndex],30),IF((COUNTIFS(T_SelfStock[RM_Code],$A63,T_SelfStock[WeekIndex],30)&gt;0)*(COUNTIFS(T_TTAFStock[RM_Code],$A63,T_TTAFStock[WeekIndex],30)&gt;0)&gt;0,SUMIFS(T_SelfStock[Self_Qty],T_SelfStock[RM_Code],$A63,T_SelfStock[WeekIndex],30)+SUMIFS(T_TTAFStock[TTAF_Qty],T_TTAFStock[RM_Code],$A63,T_TTAFStock[WeekIndex],30),AD63+'Grid_Incoming'!AE63-'Grid_Requirement'!AE63))</f>
        <v/>
      </c>
      <c r="AF63">
        <f>IF(COUNTIFS(T_StockCount[RM_Code],$A63,T_StockCount[WeekIndex],31)&gt;0,SUMIFS(T_StockCount[CountedQty],T_StockCount[RM_Code],$A63,T_StockCount[WeekIndex],31),IF((COUNTIFS(T_SelfStock[RM_Code],$A63,T_SelfStock[WeekIndex],31)&gt;0)*(COUNTIFS(T_TTAFStock[RM_Code],$A63,T_TTAFStock[WeekIndex],31)&gt;0)&gt;0,SUMIFS(T_SelfStock[Self_Qty],T_SelfStock[RM_Code],$A63,T_SelfStock[WeekIndex],31)+SUMIFS(T_TTAFStock[TTAF_Qty],T_TTAFStock[RM_Code],$A63,T_TTAFStock[WeekIndex],31),AE63+'Grid_Incoming'!AF63-'Grid_Requirement'!AF63))</f>
        <v/>
      </c>
      <c r="AG63">
        <f>IF(COUNTIFS(T_StockCount[RM_Code],$A63,T_StockCount[WeekIndex],32)&gt;0,SUMIFS(T_StockCount[CountedQty],T_StockCount[RM_Code],$A63,T_StockCount[WeekIndex],32),IF((COUNTIFS(T_SelfStock[RM_Code],$A63,T_SelfStock[WeekIndex],32)&gt;0)*(COUNTIFS(T_TTAFStock[RM_Code],$A63,T_TTAFStock[WeekIndex],32)&gt;0)&gt;0,SUMIFS(T_SelfStock[Self_Qty],T_SelfStock[RM_Code],$A63,T_SelfStock[WeekIndex],32)+SUMIFS(T_TTAFStock[TTAF_Qty],T_TTAFStock[RM_Code],$A63,T_TTAFStock[WeekIndex],32),AF63+'Grid_Incoming'!AG63-'Grid_Requirement'!AG63))</f>
        <v/>
      </c>
      <c r="AH63">
        <f>IF(COUNTIFS(T_StockCount[RM_Code],$A63,T_StockCount[WeekIndex],33)&gt;0,SUMIFS(T_StockCount[CountedQty],T_StockCount[RM_Code],$A63,T_StockCount[WeekIndex],33),IF((COUNTIFS(T_SelfStock[RM_Code],$A63,T_SelfStock[WeekIndex],33)&gt;0)*(COUNTIFS(T_TTAFStock[RM_Code],$A63,T_TTAFStock[WeekIndex],33)&gt;0)&gt;0,SUMIFS(T_SelfStock[Self_Qty],T_SelfStock[RM_Code],$A63,T_SelfStock[WeekIndex],33)+SUMIFS(T_TTAFStock[TTAF_Qty],T_TTAFStock[RM_Code],$A63,T_TTAFStock[WeekIndex],33),AG63+'Grid_Incoming'!AH63-'Grid_Requirement'!AH63))</f>
        <v/>
      </c>
      <c r="AI63">
        <f>IF(COUNTIFS(T_StockCount[RM_Code],$A63,T_StockCount[WeekIndex],34)&gt;0,SUMIFS(T_StockCount[CountedQty],T_StockCount[RM_Code],$A63,T_StockCount[WeekIndex],34),IF((COUNTIFS(T_SelfStock[RM_Code],$A63,T_SelfStock[WeekIndex],34)&gt;0)*(COUNTIFS(T_TTAFStock[RM_Code],$A63,T_TTAFStock[WeekIndex],34)&gt;0)&gt;0,SUMIFS(T_SelfStock[Self_Qty],T_SelfStock[RM_Code],$A63,T_SelfStock[WeekIndex],34)+SUMIFS(T_TTAFStock[TTAF_Qty],T_TTAFStock[RM_Code],$A63,T_TTAFStock[WeekIndex],34),AH63+'Grid_Incoming'!AI63-'Grid_Requirement'!AI63))</f>
        <v/>
      </c>
      <c r="AJ63">
        <f>IF(COUNTIFS(T_StockCount[RM_Code],$A63,T_StockCount[WeekIndex],35)&gt;0,SUMIFS(T_StockCount[CountedQty],T_StockCount[RM_Code],$A63,T_StockCount[WeekIndex],35),IF((COUNTIFS(T_SelfStock[RM_Code],$A63,T_SelfStock[WeekIndex],35)&gt;0)*(COUNTIFS(T_TTAFStock[RM_Code],$A63,T_TTAFStock[WeekIndex],35)&gt;0)&gt;0,SUMIFS(T_SelfStock[Self_Qty],T_SelfStock[RM_Code],$A63,T_SelfStock[WeekIndex],35)+SUMIFS(T_TTAFStock[TTAF_Qty],T_TTAFStock[RM_Code],$A63,T_TTAFStock[WeekIndex],35),AI63+'Grid_Incoming'!AJ63-'Grid_Requirement'!AJ63))</f>
        <v/>
      </c>
      <c r="AK63">
        <f>IF(COUNTIFS(T_StockCount[RM_Code],$A63,T_StockCount[WeekIndex],36)&gt;0,SUMIFS(T_StockCount[CountedQty],T_StockCount[RM_Code],$A63,T_StockCount[WeekIndex],36),IF((COUNTIFS(T_SelfStock[RM_Code],$A63,T_SelfStock[WeekIndex],36)&gt;0)*(COUNTIFS(T_TTAFStock[RM_Code],$A63,T_TTAFStock[WeekIndex],36)&gt;0)&gt;0,SUMIFS(T_SelfStock[Self_Qty],T_SelfStock[RM_Code],$A63,T_SelfStock[WeekIndex],36)+SUMIFS(T_TTAFStock[TTAF_Qty],T_TTAFStock[RM_Code],$A63,T_TTAFStock[WeekIndex],36),AJ63+'Grid_Incoming'!AK63-'Grid_Requirement'!AK63))</f>
        <v/>
      </c>
      <c r="AL63">
        <f>IF(COUNTIFS(T_StockCount[RM_Code],$A63,T_StockCount[WeekIndex],37)&gt;0,SUMIFS(T_StockCount[CountedQty],T_StockCount[RM_Code],$A63,T_StockCount[WeekIndex],37),IF((COUNTIFS(T_SelfStock[RM_Code],$A63,T_SelfStock[WeekIndex],37)&gt;0)*(COUNTIFS(T_TTAFStock[RM_Code],$A63,T_TTAFStock[WeekIndex],37)&gt;0)&gt;0,SUMIFS(T_SelfStock[Self_Qty],T_SelfStock[RM_Code],$A63,T_SelfStock[WeekIndex],37)+SUMIFS(T_TTAFStock[TTAF_Qty],T_TTAFStock[RM_Code],$A63,T_TTAFStock[WeekIndex],37),AK63+'Grid_Incoming'!AL63-'Grid_Requirement'!AL63))</f>
        <v/>
      </c>
      <c r="AM63">
        <f>IF(COUNTIFS(T_StockCount[RM_Code],$A63,T_StockCount[WeekIndex],38)&gt;0,SUMIFS(T_StockCount[CountedQty],T_StockCount[RM_Code],$A63,T_StockCount[WeekIndex],38),IF((COUNTIFS(T_SelfStock[RM_Code],$A63,T_SelfStock[WeekIndex],38)&gt;0)*(COUNTIFS(T_TTAFStock[RM_Code],$A63,T_TTAFStock[WeekIndex],38)&gt;0)&gt;0,SUMIFS(T_SelfStock[Self_Qty],T_SelfStock[RM_Code],$A63,T_SelfStock[WeekIndex],38)+SUMIFS(T_TTAFStock[TTAF_Qty],T_TTAFStock[RM_Code],$A63,T_TTAFStock[WeekIndex],38),AL63+'Grid_Incoming'!AM63-'Grid_Requirement'!AM63))</f>
        <v/>
      </c>
      <c r="AN63">
        <f>IF(COUNTIFS(T_StockCount[RM_Code],$A63,T_StockCount[WeekIndex],39)&gt;0,SUMIFS(T_StockCount[CountedQty],T_StockCount[RM_Code],$A63,T_StockCount[WeekIndex],39),IF((COUNTIFS(T_SelfStock[RM_Code],$A63,T_SelfStock[WeekIndex],39)&gt;0)*(COUNTIFS(T_TTAFStock[RM_Code],$A63,T_TTAFStock[WeekIndex],39)&gt;0)&gt;0,SUMIFS(T_SelfStock[Self_Qty],T_SelfStock[RM_Code],$A63,T_SelfStock[WeekIndex],39)+SUMIFS(T_TTAFStock[TTAF_Qty],T_TTAFStock[RM_Code],$A63,T_TTAFStock[WeekIndex],39),AM63+'Grid_Incoming'!AN63-'Grid_Requirement'!AN63))</f>
        <v/>
      </c>
      <c r="AO63">
        <f>IF(COUNTIFS(T_StockCount[RM_Code],$A63,T_StockCount[WeekIndex],40)&gt;0,SUMIFS(T_StockCount[CountedQty],T_StockCount[RM_Code],$A63,T_StockCount[WeekIndex],40),IF((COUNTIFS(T_SelfStock[RM_Code],$A63,T_SelfStock[WeekIndex],40)&gt;0)*(COUNTIFS(T_TTAFStock[RM_Code],$A63,T_TTAFStock[WeekIndex],40)&gt;0)&gt;0,SUMIFS(T_SelfStock[Self_Qty],T_SelfStock[RM_Code],$A63,T_SelfStock[WeekIndex],40)+SUMIFS(T_TTAFStock[TTAF_Qty],T_TTAFStock[RM_Code],$A63,T_TTAFStock[WeekIndex],40),AN63+'Grid_Incoming'!AO63-'Grid_Requirement'!AO63))</f>
        <v/>
      </c>
      <c r="AP63">
        <f>IF(COUNTIFS(T_StockCount[RM_Code],$A63,T_StockCount[WeekIndex],41)&gt;0,SUMIFS(T_StockCount[CountedQty],T_StockCount[RM_Code],$A63,T_StockCount[WeekIndex],41),IF((COUNTIFS(T_SelfStock[RM_Code],$A63,T_SelfStock[WeekIndex],41)&gt;0)*(COUNTIFS(T_TTAFStock[RM_Code],$A63,T_TTAFStock[WeekIndex],41)&gt;0)&gt;0,SUMIFS(T_SelfStock[Self_Qty],T_SelfStock[RM_Code],$A63,T_SelfStock[WeekIndex],41)+SUMIFS(T_TTAFStock[TTAF_Qty],T_TTAFStock[RM_Code],$A63,T_TTAFStock[WeekIndex],41),AO63+'Grid_Incoming'!AP63-'Grid_Requirement'!AP63))</f>
        <v/>
      </c>
      <c r="AQ63">
        <f>IF(COUNTIFS(T_StockCount[RM_Code],$A63,T_StockCount[WeekIndex],42)&gt;0,SUMIFS(T_StockCount[CountedQty],T_StockCount[RM_Code],$A63,T_StockCount[WeekIndex],42),IF((COUNTIFS(T_SelfStock[RM_Code],$A63,T_SelfStock[WeekIndex],42)&gt;0)*(COUNTIFS(T_TTAFStock[RM_Code],$A63,T_TTAFStock[WeekIndex],42)&gt;0)&gt;0,SUMIFS(T_SelfStock[Self_Qty],T_SelfStock[RM_Code],$A63,T_SelfStock[WeekIndex],42)+SUMIFS(T_TTAFStock[TTAF_Qty],T_TTAFStock[RM_Code],$A63,T_TTAFStock[WeekIndex],42),AP63+'Grid_Incoming'!AQ63-'Grid_Requirement'!AQ63))</f>
        <v/>
      </c>
      <c r="AR63">
        <f>IF(COUNTIFS(T_StockCount[RM_Code],$A63,T_StockCount[WeekIndex],43)&gt;0,SUMIFS(T_StockCount[CountedQty],T_StockCount[RM_Code],$A63,T_StockCount[WeekIndex],43),IF((COUNTIFS(T_SelfStock[RM_Code],$A63,T_SelfStock[WeekIndex],43)&gt;0)*(COUNTIFS(T_TTAFStock[RM_Code],$A63,T_TTAFStock[WeekIndex],43)&gt;0)&gt;0,SUMIFS(T_SelfStock[Self_Qty],T_SelfStock[RM_Code],$A63,T_SelfStock[WeekIndex],43)+SUMIFS(T_TTAFStock[TTAF_Qty],T_TTAFStock[RM_Code],$A63,T_TTAFStock[WeekIndex],43),AQ63+'Grid_Incoming'!AR63-'Grid_Requirement'!AR63))</f>
        <v/>
      </c>
      <c r="AS63">
        <f>IF(COUNTIFS(T_StockCount[RM_Code],$A63,T_StockCount[WeekIndex],44)&gt;0,SUMIFS(T_StockCount[CountedQty],T_StockCount[RM_Code],$A63,T_StockCount[WeekIndex],44),IF((COUNTIFS(T_SelfStock[RM_Code],$A63,T_SelfStock[WeekIndex],44)&gt;0)*(COUNTIFS(T_TTAFStock[RM_Code],$A63,T_TTAFStock[WeekIndex],44)&gt;0)&gt;0,SUMIFS(T_SelfStock[Self_Qty],T_SelfStock[RM_Code],$A63,T_SelfStock[WeekIndex],44)+SUMIFS(T_TTAFStock[TTAF_Qty],T_TTAFStock[RM_Code],$A63,T_TTAFStock[WeekIndex],44),AR63+'Grid_Incoming'!AS63-'Grid_Requirement'!AS63))</f>
        <v/>
      </c>
      <c r="AT63">
        <f>IF(COUNTIFS(T_StockCount[RM_Code],$A63,T_StockCount[WeekIndex],45)&gt;0,SUMIFS(T_StockCount[CountedQty],T_StockCount[RM_Code],$A63,T_StockCount[WeekIndex],45),IF((COUNTIFS(T_SelfStock[RM_Code],$A63,T_SelfStock[WeekIndex],45)&gt;0)*(COUNTIFS(T_TTAFStock[RM_Code],$A63,T_TTAFStock[WeekIndex],45)&gt;0)&gt;0,SUMIFS(T_SelfStock[Self_Qty],T_SelfStock[RM_Code],$A63,T_SelfStock[WeekIndex],45)+SUMIFS(T_TTAFStock[TTAF_Qty],T_TTAFStock[RM_Code],$A63,T_TTAFStock[WeekIndex],45),AS63+'Grid_Incoming'!AT63-'Grid_Requirement'!AT63))</f>
        <v/>
      </c>
      <c r="AU63">
        <f>IF(COUNTIFS(T_StockCount[RM_Code],$A63,T_StockCount[WeekIndex],46)&gt;0,SUMIFS(T_StockCount[CountedQty],T_StockCount[RM_Code],$A63,T_StockCount[WeekIndex],46),IF((COUNTIFS(T_SelfStock[RM_Code],$A63,T_SelfStock[WeekIndex],46)&gt;0)*(COUNTIFS(T_TTAFStock[RM_Code],$A63,T_TTAFStock[WeekIndex],46)&gt;0)&gt;0,SUMIFS(T_SelfStock[Self_Qty],T_SelfStock[RM_Code],$A63,T_SelfStock[WeekIndex],46)+SUMIFS(T_TTAFStock[TTAF_Qty],T_TTAFStock[RM_Code],$A63,T_TTAFStock[WeekIndex],46),AT63+'Grid_Incoming'!AU63-'Grid_Requirement'!AU63))</f>
        <v/>
      </c>
      <c r="AV63">
        <f>IF(COUNTIFS(T_StockCount[RM_Code],$A63,T_StockCount[WeekIndex],47)&gt;0,SUMIFS(T_StockCount[CountedQty],T_StockCount[RM_Code],$A63,T_StockCount[WeekIndex],47),IF((COUNTIFS(T_SelfStock[RM_Code],$A63,T_SelfStock[WeekIndex],47)&gt;0)*(COUNTIFS(T_TTAFStock[RM_Code],$A63,T_TTAFStock[WeekIndex],47)&gt;0)&gt;0,SUMIFS(T_SelfStock[Self_Qty],T_SelfStock[RM_Code],$A63,T_SelfStock[WeekIndex],47)+SUMIFS(T_TTAFStock[TTAF_Qty],T_TTAFStock[RM_Code],$A63,T_TTAFStock[WeekIndex],47),AU63+'Grid_Incoming'!AV63-'Grid_Requirement'!AV63))</f>
        <v/>
      </c>
      <c r="AW63">
        <f>IF(COUNTIFS(T_StockCount[RM_Code],$A63,T_StockCount[WeekIndex],48)&gt;0,SUMIFS(T_StockCount[CountedQty],T_StockCount[RM_Code],$A63,T_StockCount[WeekIndex],48),IF((COUNTIFS(T_SelfStock[RM_Code],$A63,T_SelfStock[WeekIndex],48)&gt;0)*(COUNTIFS(T_TTAFStock[RM_Code],$A63,T_TTAFStock[WeekIndex],48)&gt;0)&gt;0,SUMIFS(T_SelfStock[Self_Qty],T_SelfStock[RM_Code],$A63,T_SelfStock[WeekIndex],48)+SUMIFS(T_TTAFStock[TTAF_Qty],T_TTAFStock[RM_Code],$A63,T_TTAFStock[WeekIndex],48),AV63+'Grid_Incoming'!AW63-'Grid_Requirement'!AW63))</f>
        <v/>
      </c>
      <c r="AX63">
        <f>IF(COUNTIFS(T_StockCount[RM_Code],$A63,T_StockCount[WeekIndex],49)&gt;0,SUMIFS(T_StockCount[CountedQty],T_StockCount[RM_Code],$A63,T_StockCount[WeekIndex],49),IF((COUNTIFS(T_SelfStock[RM_Code],$A63,T_SelfStock[WeekIndex],49)&gt;0)*(COUNTIFS(T_TTAFStock[RM_Code],$A63,T_TTAFStock[WeekIndex],49)&gt;0)&gt;0,SUMIFS(T_SelfStock[Self_Qty],T_SelfStock[RM_Code],$A63,T_SelfStock[WeekIndex],49)+SUMIFS(T_TTAFStock[TTAF_Qty],T_TTAFStock[RM_Code],$A63,T_TTAFStock[WeekIndex],49),AW63+'Grid_Incoming'!AX63-'Grid_Requirement'!AX63))</f>
        <v/>
      </c>
      <c r="AY63">
        <f>IF(COUNTIFS(T_StockCount[RM_Code],$A63,T_StockCount[WeekIndex],50)&gt;0,SUMIFS(T_StockCount[CountedQty],T_StockCount[RM_Code],$A63,T_StockCount[WeekIndex],50),IF((COUNTIFS(T_SelfStock[RM_Code],$A63,T_SelfStock[WeekIndex],50)&gt;0)*(COUNTIFS(T_TTAFStock[RM_Code],$A63,T_TTAFStock[WeekIndex],50)&gt;0)&gt;0,SUMIFS(T_SelfStock[Self_Qty],T_SelfStock[RM_Code],$A63,T_SelfStock[WeekIndex],50)+SUMIFS(T_TTAFStock[TTAF_Qty],T_TTAFStock[RM_Code],$A63,T_TTAFStock[WeekIndex],50),AX63+'Grid_Incoming'!AY63-'Grid_Requirement'!AY63))</f>
        <v/>
      </c>
      <c r="AZ63">
        <f>IF(COUNTIFS(T_StockCount[RM_Code],$A63,T_StockCount[WeekIndex],51)&gt;0,SUMIFS(T_StockCount[CountedQty],T_StockCount[RM_Code],$A63,T_StockCount[WeekIndex],51),IF((COUNTIFS(T_SelfStock[RM_Code],$A63,T_SelfStock[WeekIndex],51)&gt;0)*(COUNTIFS(T_TTAFStock[RM_Code],$A63,T_TTAFStock[WeekIndex],51)&gt;0)&gt;0,SUMIFS(T_SelfStock[Self_Qty],T_SelfStock[RM_Code],$A63,T_SelfStock[WeekIndex],51)+SUMIFS(T_TTAFStock[TTAF_Qty],T_TTAFStock[RM_Code],$A63,T_TTAFStock[WeekIndex],51),AY63+'Grid_Incoming'!AZ63-'Grid_Requirement'!AZ63))</f>
        <v/>
      </c>
      <c r="BA63">
        <f>IF(COUNTIFS(T_StockCount[RM_Code],$A63,T_StockCount[WeekIndex],52)&gt;0,SUMIFS(T_StockCount[CountedQty],T_StockCount[RM_Code],$A63,T_StockCount[WeekIndex],52),IF((COUNTIFS(T_SelfStock[RM_Code],$A63,T_SelfStock[WeekIndex],52)&gt;0)*(COUNTIFS(T_TTAFStock[RM_Code],$A63,T_TTAFStock[WeekIndex],52)&gt;0)&gt;0,SUMIFS(T_SelfStock[Self_Qty],T_SelfStock[RM_Code],$A63,T_SelfStock[WeekIndex],52)+SUMIFS(T_TTAFStock[TTAF_Qty],T_TTAFStock[RM_Code],$A63,T_TTAFStock[WeekIndex],52),AZ63+'Grid_Incoming'!BA63-'Grid_Requirement'!BA63))</f>
        <v/>
      </c>
      <c r="BB63">
        <f>IF(COUNTIFS(T_StockCount[RM_Code],$A63,T_StockCount[WeekIndex],53)&gt;0,SUMIFS(T_StockCount[CountedQty],T_StockCount[RM_Code],$A63,T_StockCount[WeekIndex],53),IF((COUNTIFS(T_SelfStock[RM_Code],$A63,T_SelfStock[WeekIndex],53)&gt;0)*(COUNTIFS(T_TTAFStock[RM_Code],$A63,T_TTAFStock[WeekIndex],53)&gt;0)&gt;0,SUMIFS(T_SelfStock[Self_Qty],T_SelfStock[RM_Code],$A63,T_SelfStock[WeekIndex],53)+SUMIFS(T_TTAFStock[TTAF_Qty],T_TTAFStock[RM_Code],$A63,T_TTAFStock[WeekIndex],53),BA63+'Grid_Incoming'!BB63-'Grid_Requirement'!BB63))</f>
        <v/>
      </c>
      <c r="BC63">
        <f>IF(COUNTIFS(T_StockCount[RM_Code],$A63,T_StockCount[WeekIndex],54)&gt;0,SUMIFS(T_StockCount[CountedQty],T_StockCount[RM_Code],$A63,T_StockCount[WeekIndex],54),IF((COUNTIFS(T_SelfStock[RM_Code],$A63,T_SelfStock[WeekIndex],54)&gt;0)*(COUNTIFS(T_TTAFStock[RM_Code],$A63,T_TTAFStock[WeekIndex],54)&gt;0)&gt;0,SUMIFS(T_SelfStock[Self_Qty],T_SelfStock[RM_Code],$A63,T_SelfStock[WeekIndex],54)+SUMIFS(T_TTAFStock[TTAF_Qty],T_TTAFStock[RM_Code],$A63,T_TTAFStock[WeekIndex],54),BB63+'Grid_Incoming'!BC63-'Grid_Requirement'!BC63))</f>
        <v/>
      </c>
      <c r="BD63">
        <f>IF(COUNTIFS(T_StockCount[RM_Code],$A63,T_StockCount[WeekIndex],55)&gt;0,SUMIFS(T_StockCount[CountedQty],T_StockCount[RM_Code],$A63,T_StockCount[WeekIndex],55),IF((COUNTIFS(T_SelfStock[RM_Code],$A63,T_SelfStock[WeekIndex],55)&gt;0)*(COUNTIFS(T_TTAFStock[RM_Code],$A63,T_TTAFStock[WeekIndex],55)&gt;0)&gt;0,SUMIFS(T_SelfStock[Self_Qty],T_SelfStock[RM_Code],$A63,T_SelfStock[WeekIndex],55)+SUMIFS(T_TTAFStock[TTAF_Qty],T_TTAFStock[RM_Code],$A63,T_TTAFStock[WeekIndex],55),BC63+'Grid_Incoming'!BD63-'Grid_Requirement'!BD63))</f>
        <v/>
      </c>
      <c r="BE63">
        <f>IF(COUNTIFS(T_StockCount[RM_Code],$A63,T_StockCount[WeekIndex],56)&gt;0,SUMIFS(T_StockCount[CountedQty],T_StockCount[RM_Code],$A63,T_StockCount[WeekIndex],56),IF((COUNTIFS(T_SelfStock[RM_Code],$A63,T_SelfStock[WeekIndex],56)&gt;0)*(COUNTIFS(T_TTAFStock[RM_Code],$A63,T_TTAFStock[WeekIndex],56)&gt;0)&gt;0,SUMIFS(T_SelfStock[Self_Qty],T_SelfStock[RM_Code],$A63,T_SelfStock[WeekIndex],56)+SUMIFS(T_TTAFStock[TTAF_Qty],T_TTAFStock[RM_Code],$A63,T_TTAFStock[WeekIndex],56),BD63+'Grid_Incoming'!BE63-'Grid_Requirement'!BE63))</f>
        <v/>
      </c>
      <c r="BF63">
        <f>IF(COUNTIFS(T_StockCount[RM_Code],$A63,T_StockCount[WeekIndex],57)&gt;0,SUMIFS(T_StockCount[CountedQty],T_StockCount[RM_Code],$A63,T_StockCount[WeekIndex],57),IF((COUNTIFS(T_SelfStock[RM_Code],$A63,T_SelfStock[WeekIndex],57)&gt;0)*(COUNTIFS(T_TTAFStock[RM_Code],$A63,T_TTAFStock[WeekIndex],57)&gt;0)&gt;0,SUMIFS(T_SelfStock[Self_Qty],T_SelfStock[RM_Code],$A63,T_SelfStock[WeekIndex],57)+SUMIFS(T_TTAFStock[TTAF_Qty],T_TTAFStock[RM_Code],$A63,T_TTAFStock[WeekIndex],57),BE63+'Grid_Incoming'!BF63-'Grid_Requirement'!BF63))</f>
        <v/>
      </c>
      <c r="BG63">
        <f>IF(COUNTIFS(T_StockCount[RM_Code],$A63,T_StockCount[WeekIndex],58)&gt;0,SUMIFS(T_StockCount[CountedQty],T_StockCount[RM_Code],$A63,T_StockCount[WeekIndex],58),IF((COUNTIFS(T_SelfStock[RM_Code],$A63,T_SelfStock[WeekIndex],58)&gt;0)*(COUNTIFS(T_TTAFStock[RM_Code],$A63,T_TTAFStock[WeekIndex],58)&gt;0)&gt;0,SUMIFS(T_SelfStock[Self_Qty],T_SelfStock[RM_Code],$A63,T_SelfStock[WeekIndex],58)+SUMIFS(T_TTAFStock[TTAF_Qty],T_TTAFStock[RM_Code],$A63,T_TTAFStock[WeekIndex],58),BF63+'Grid_Incoming'!BG63-'Grid_Requirement'!BG63))</f>
        <v/>
      </c>
      <c r="BH63">
        <f>IF(COUNTIFS(T_StockCount[RM_Code],$A63,T_StockCount[WeekIndex],59)&gt;0,SUMIFS(T_StockCount[CountedQty],T_StockCount[RM_Code],$A63,T_StockCount[WeekIndex],59),IF((COUNTIFS(T_SelfStock[RM_Code],$A63,T_SelfStock[WeekIndex],59)&gt;0)*(COUNTIFS(T_TTAFStock[RM_Code],$A63,T_TTAFStock[WeekIndex],59)&gt;0)&gt;0,SUMIFS(T_SelfStock[Self_Qty],T_SelfStock[RM_Code],$A63,T_SelfStock[WeekIndex],59)+SUMIFS(T_TTAFStock[TTAF_Qty],T_TTAFStock[RM_Code],$A63,T_TTAFStock[WeekIndex],59),BG63+'Grid_Incoming'!BH63-'Grid_Requirement'!BH63))</f>
        <v/>
      </c>
      <c r="BI63">
        <f>IF(COUNTIFS(T_StockCount[RM_Code],$A63,T_StockCount[WeekIndex],60)&gt;0,SUMIFS(T_StockCount[CountedQty],T_StockCount[RM_Code],$A63,T_StockCount[WeekIndex],60),IF((COUNTIFS(T_SelfStock[RM_Code],$A63,T_SelfStock[WeekIndex],60)&gt;0)*(COUNTIFS(T_TTAFStock[RM_Code],$A63,T_TTAFStock[WeekIndex],60)&gt;0)&gt;0,SUMIFS(T_SelfStock[Self_Qty],T_SelfStock[RM_Code],$A63,T_SelfStock[WeekIndex],60)+SUMIFS(T_TTAFStock[TTAF_Qty],T_TTAFStock[RM_Code],$A63,T_TTAFStock[WeekIndex],60),BH63+'Grid_Incoming'!BI63-'Grid_Requirement'!BI63))</f>
        <v/>
      </c>
      <c r="BJ63">
        <f>IF(COUNTIFS(T_StockCount[RM_Code],$A63,T_StockCount[WeekIndex],61)&gt;0,SUMIFS(T_StockCount[CountedQty],T_StockCount[RM_Code],$A63,T_StockCount[WeekIndex],61),IF((COUNTIFS(T_SelfStock[RM_Code],$A63,T_SelfStock[WeekIndex],61)&gt;0)*(COUNTIFS(T_TTAFStock[RM_Code],$A63,T_TTAFStock[WeekIndex],61)&gt;0)&gt;0,SUMIFS(T_SelfStock[Self_Qty],T_SelfStock[RM_Code],$A63,T_SelfStock[WeekIndex],61)+SUMIFS(T_TTAFStock[TTAF_Qty],T_TTAFStock[RM_Code],$A63,T_TTAFStock[WeekIndex],61),BI63+'Grid_Incoming'!BJ63-'Grid_Requirement'!BJ63))</f>
        <v/>
      </c>
      <c r="BK63">
        <f>IF(COUNTIFS(T_StockCount[RM_Code],$A63,T_StockCount[WeekIndex],62)&gt;0,SUMIFS(T_StockCount[CountedQty],T_StockCount[RM_Code],$A63,T_StockCount[WeekIndex],62),IF((COUNTIFS(T_SelfStock[RM_Code],$A63,T_SelfStock[WeekIndex],62)&gt;0)*(COUNTIFS(T_TTAFStock[RM_Code],$A63,T_TTAFStock[WeekIndex],62)&gt;0)&gt;0,SUMIFS(T_SelfStock[Self_Qty],T_SelfStock[RM_Code],$A63,T_SelfStock[WeekIndex],62)+SUMIFS(T_TTAFStock[TTAF_Qty],T_TTAFStock[RM_Code],$A63,T_TTAFStock[WeekIndex],62),BJ63+'Grid_Incoming'!BK63-'Grid_Requirement'!BK63))</f>
        <v/>
      </c>
      <c r="BL63">
        <f>IF(COUNTIFS(T_StockCount[RM_Code],$A63,T_StockCount[WeekIndex],63)&gt;0,SUMIFS(T_StockCount[CountedQty],T_StockCount[RM_Code],$A63,T_StockCount[WeekIndex],63),IF((COUNTIFS(T_SelfStock[RM_Code],$A63,T_SelfStock[WeekIndex],63)&gt;0)*(COUNTIFS(T_TTAFStock[RM_Code],$A63,T_TTAFStock[WeekIndex],63)&gt;0)&gt;0,SUMIFS(T_SelfStock[Self_Qty],T_SelfStock[RM_Code],$A63,T_SelfStock[WeekIndex],63)+SUMIFS(T_TTAFStock[TTAF_Qty],T_TTAFStock[RM_Code],$A63,T_TTAFStock[WeekIndex],63),BK63+'Grid_Incoming'!BL63-'Grid_Requirement'!BL63))</f>
        <v/>
      </c>
      <c r="BM63">
        <f>IF(COUNTIFS(T_StockCount[RM_Code],$A63,T_StockCount[WeekIndex],64)&gt;0,SUMIFS(T_StockCount[CountedQty],T_StockCount[RM_Code],$A63,T_StockCount[WeekIndex],64),IF((COUNTIFS(T_SelfStock[RM_Code],$A63,T_SelfStock[WeekIndex],64)&gt;0)*(COUNTIFS(T_TTAFStock[RM_Code],$A63,T_TTAFStock[WeekIndex],64)&gt;0)&gt;0,SUMIFS(T_SelfStock[Self_Qty],T_SelfStock[RM_Code],$A63,T_SelfStock[WeekIndex],64)+SUMIFS(T_TTAFStock[TTAF_Qty],T_TTAFStock[RM_Code],$A63,T_TTAFStock[WeekIndex],64),BL63+'Grid_Incoming'!BM63-'Grid_Requirement'!BM63))</f>
        <v/>
      </c>
      <c r="BN63">
        <f>IF(COUNTIFS(T_StockCount[RM_Code],$A63,T_StockCount[WeekIndex],65)&gt;0,SUMIFS(T_StockCount[CountedQty],T_StockCount[RM_Code],$A63,T_StockCount[WeekIndex],65),IF((COUNTIFS(T_SelfStock[RM_Code],$A63,T_SelfStock[WeekIndex],65)&gt;0)*(COUNTIFS(T_TTAFStock[RM_Code],$A63,T_TTAFStock[WeekIndex],65)&gt;0)&gt;0,SUMIFS(T_SelfStock[Self_Qty],T_SelfStock[RM_Code],$A63,T_SelfStock[WeekIndex],65)+SUMIFS(T_TTAFStock[TTAF_Qty],T_TTAFStock[RM_Code],$A63,T_TTAFStock[WeekIndex],65),BM63+'Grid_Incoming'!BN63-'Grid_Requirement'!BN63))</f>
        <v/>
      </c>
      <c r="BO63">
        <f>IF(COUNTIFS(T_StockCount[RM_Code],$A63,T_StockCount[WeekIndex],66)&gt;0,SUMIFS(T_StockCount[CountedQty],T_StockCount[RM_Code],$A63,T_StockCount[WeekIndex],66),IF((COUNTIFS(T_SelfStock[RM_Code],$A63,T_SelfStock[WeekIndex],66)&gt;0)*(COUNTIFS(T_TTAFStock[RM_Code],$A63,T_TTAFStock[WeekIndex],66)&gt;0)&gt;0,SUMIFS(T_SelfStock[Self_Qty],T_SelfStock[RM_Code],$A63,T_SelfStock[WeekIndex],66)+SUMIFS(T_TTAFStock[TTAF_Qty],T_TTAFStock[RM_Code],$A63,T_TTAFStock[WeekIndex],66),BN63+'Grid_Incoming'!BO63-'Grid_Requirement'!BO63))</f>
        <v/>
      </c>
      <c r="BP63">
        <f>IF(COUNTIFS(T_StockCount[RM_Code],$A63,T_StockCount[WeekIndex],67)&gt;0,SUMIFS(T_StockCount[CountedQty],T_StockCount[RM_Code],$A63,T_StockCount[WeekIndex],67),IF((COUNTIFS(T_SelfStock[RM_Code],$A63,T_SelfStock[WeekIndex],67)&gt;0)*(COUNTIFS(T_TTAFStock[RM_Code],$A63,T_TTAFStock[WeekIndex],67)&gt;0)&gt;0,SUMIFS(T_SelfStock[Self_Qty],T_SelfStock[RM_Code],$A63,T_SelfStock[WeekIndex],67)+SUMIFS(T_TTAFStock[TTAF_Qty],T_TTAFStock[RM_Code],$A63,T_TTAFStock[WeekIndex],67),BO63+'Grid_Incoming'!BP63-'Grid_Requirement'!BP63))</f>
        <v/>
      </c>
      <c r="BQ63">
        <f>IF(COUNTIFS(T_StockCount[RM_Code],$A63,T_StockCount[WeekIndex],68)&gt;0,SUMIFS(T_StockCount[CountedQty],T_StockCount[RM_Code],$A63,T_StockCount[WeekIndex],68),IF((COUNTIFS(T_SelfStock[RM_Code],$A63,T_SelfStock[WeekIndex],68)&gt;0)*(COUNTIFS(T_TTAFStock[RM_Code],$A63,T_TTAFStock[WeekIndex],68)&gt;0)&gt;0,SUMIFS(T_SelfStock[Self_Qty],T_SelfStock[RM_Code],$A63,T_SelfStock[WeekIndex],68)+SUMIFS(T_TTAFStock[TTAF_Qty],T_TTAFStock[RM_Code],$A63,T_TTAFStock[WeekIndex],68),BP63+'Grid_Incoming'!BQ63-'Grid_Requirement'!BQ63))</f>
        <v/>
      </c>
      <c r="BR63">
        <f>IF(COUNTIFS(T_StockCount[RM_Code],$A63,T_StockCount[WeekIndex],69)&gt;0,SUMIFS(T_StockCount[CountedQty],T_StockCount[RM_Code],$A63,T_StockCount[WeekIndex],69),IF((COUNTIFS(T_SelfStock[RM_Code],$A63,T_SelfStock[WeekIndex],69)&gt;0)*(COUNTIFS(T_TTAFStock[RM_Code],$A63,T_TTAFStock[WeekIndex],69)&gt;0)&gt;0,SUMIFS(T_SelfStock[Self_Qty],T_SelfStock[RM_Code],$A63,T_SelfStock[WeekIndex],69)+SUMIFS(T_TTAFStock[TTAF_Qty],T_TTAFStock[RM_Code],$A63,T_TTAFStock[WeekIndex],69),BQ63+'Grid_Incoming'!BR63-'Grid_Requirement'!BR63))</f>
        <v/>
      </c>
      <c r="BS63">
        <f>IF(COUNTIFS(T_StockCount[RM_Code],$A63,T_StockCount[WeekIndex],70)&gt;0,SUMIFS(T_StockCount[CountedQty],T_StockCount[RM_Code],$A63,T_StockCount[WeekIndex],70),IF((COUNTIFS(T_SelfStock[RM_Code],$A63,T_SelfStock[WeekIndex],70)&gt;0)*(COUNTIFS(T_TTAFStock[RM_Code],$A63,T_TTAFStock[WeekIndex],70)&gt;0)&gt;0,SUMIFS(T_SelfStock[Self_Qty],T_SelfStock[RM_Code],$A63,T_SelfStock[WeekIndex],70)+SUMIFS(T_TTAFStock[TTAF_Qty],T_TTAFStock[RM_Code],$A63,T_TTAFStock[WeekIndex],70),BR63+'Grid_Incoming'!BS63-'Grid_Requirement'!BS63))</f>
        <v/>
      </c>
      <c r="BT63">
        <f>IF(COUNTIFS(T_StockCount[RM_Code],$A63,T_StockCount[WeekIndex],71)&gt;0,SUMIFS(T_StockCount[CountedQty],T_StockCount[RM_Code],$A63,T_StockCount[WeekIndex],71),IF((COUNTIFS(T_SelfStock[RM_Code],$A63,T_SelfStock[WeekIndex],71)&gt;0)*(COUNTIFS(T_TTAFStock[RM_Code],$A63,T_TTAFStock[WeekIndex],71)&gt;0)&gt;0,SUMIFS(T_SelfStock[Self_Qty],T_SelfStock[RM_Code],$A63,T_SelfStock[WeekIndex],71)+SUMIFS(T_TTAFStock[TTAF_Qty],T_TTAFStock[RM_Code],$A63,T_TTAFStock[WeekIndex],71),BS63+'Grid_Incoming'!BT63-'Grid_Requirement'!BT63))</f>
        <v/>
      </c>
      <c r="BU63">
        <f>IF(COUNTIFS(T_StockCount[RM_Code],$A63,T_StockCount[WeekIndex],72)&gt;0,SUMIFS(T_StockCount[CountedQty],T_StockCount[RM_Code],$A63,T_StockCount[WeekIndex],72),IF((COUNTIFS(T_SelfStock[RM_Code],$A63,T_SelfStock[WeekIndex],72)&gt;0)*(COUNTIFS(T_TTAFStock[RM_Code],$A63,T_TTAFStock[WeekIndex],72)&gt;0)&gt;0,SUMIFS(T_SelfStock[Self_Qty],T_SelfStock[RM_Code],$A63,T_SelfStock[WeekIndex],72)+SUMIFS(T_TTAFStock[TTAF_Qty],T_TTAFStock[RM_Code],$A63,T_TTAFStock[WeekIndex],72),BT63+'Grid_Incoming'!BU63-'Grid_Requirement'!BU63))</f>
        <v/>
      </c>
      <c r="BV63">
        <f>IF(COUNTIFS(T_StockCount[RM_Code],$A63,T_StockCount[WeekIndex],73)&gt;0,SUMIFS(T_StockCount[CountedQty],T_StockCount[RM_Code],$A63,T_StockCount[WeekIndex],73),IF((COUNTIFS(T_SelfStock[RM_Code],$A63,T_SelfStock[WeekIndex],73)&gt;0)*(COUNTIFS(T_TTAFStock[RM_Code],$A63,T_TTAFStock[WeekIndex],73)&gt;0)&gt;0,SUMIFS(T_SelfStock[Self_Qty],T_SelfStock[RM_Code],$A63,T_SelfStock[WeekIndex],73)+SUMIFS(T_TTAFStock[TTAF_Qty],T_TTAFStock[RM_Code],$A63,T_TTAFStock[WeekIndex],73),BU63+'Grid_Incoming'!BV63-'Grid_Requirement'!BV63))</f>
        <v/>
      </c>
      <c r="BW63">
        <f>IF(COUNTIFS(T_StockCount[RM_Code],$A63,T_StockCount[WeekIndex],74)&gt;0,SUMIFS(T_StockCount[CountedQty],T_StockCount[RM_Code],$A63,T_StockCount[WeekIndex],74),IF((COUNTIFS(T_SelfStock[RM_Code],$A63,T_SelfStock[WeekIndex],74)&gt;0)*(COUNTIFS(T_TTAFStock[RM_Code],$A63,T_TTAFStock[WeekIndex],74)&gt;0)&gt;0,SUMIFS(T_SelfStock[Self_Qty],T_SelfStock[RM_Code],$A63,T_SelfStock[WeekIndex],74)+SUMIFS(T_TTAFStock[TTAF_Qty],T_TTAFStock[RM_Code],$A63,T_TTAFStock[WeekIndex],74),BV63+'Grid_Incoming'!BW63-'Grid_Requirement'!BW63))</f>
        <v/>
      </c>
      <c r="BX63">
        <f>IF(COUNTIFS(T_StockCount[RM_Code],$A63,T_StockCount[WeekIndex],75)&gt;0,SUMIFS(T_StockCount[CountedQty],T_StockCount[RM_Code],$A63,T_StockCount[WeekIndex],75),IF((COUNTIFS(T_SelfStock[RM_Code],$A63,T_SelfStock[WeekIndex],75)&gt;0)*(COUNTIFS(T_TTAFStock[RM_Code],$A63,T_TTAFStock[WeekIndex],75)&gt;0)&gt;0,SUMIFS(T_SelfStock[Self_Qty],T_SelfStock[RM_Code],$A63,T_SelfStock[WeekIndex],75)+SUMIFS(T_TTAFStock[TTAF_Qty],T_TTAFStock[RM_Code],$A63,T_TTAFStock[WeekIndex],75),BW63+'Grid_Incoming'!BX63-'Grid_Requirement'!BX63))</f>
        <v/>
      </c>
      <c r="BY63">
        <f>IF(COUNTIFS(T_StockCount[RM_Code],$A63,T_StockCount[WeekIndex],76)&gt;0,SUMIFS(T_StockCount[CountedQty],T_StockCount[RM_Code],$A63,T_StockCount[WeekIndex],76),IF((COUNTIFS(T_SelfStock[RM_Code],$A63,T_SelfStock[WeekIndex],76)&gt;0)*(COUNTIFS(T_TTAFStock[RM_Code],$A63,T_TTAFStock[WeekIndex],76)&gt;0)&gt;0,SUMIFS(T_SelfStock[Self_Qty],T_SelfStock[RM_Code],$A63,T_SelfStock[WeekIndex],76)+SUMIFS(T_TTAFStock[TTAF_Qty],T_TTAFStock[RM_Code],$A63,T_TTAFStock[WeekIndex],76),BX63+'Grid_Incoming'!BY63-'Grid_Requirement'!BY63))</f>
        <v/>
      </c>
      <c r="BZ63">
        <f>IF(COUNTIFS(T_StockCount[RM_Code],$A63,T_StockCount[WeekIndex],77)&gt;0,SUMIFS(T_StockCount[CountedQty],T_StockCount[RM_Code],$A63,T_StockCount[WeekIndex],77),IF((COUNTIFS(T_SelfStock[RM_Code],$A63,T_SelfStock[WeekIndex],77)&gt;0)*(COUNTIFS(T_TTAFStock[RM_Code],$A63,T_TTAFStock[WeekIndex],77)&gt;0)&gt;0,SUMIFS(T_SelfStock[Self_Qty],T_SelfStock[RM_Code],$A63,T_SelfStock[WeekIndex],77)+SUMIFS(T_TTAFStock[TTAF_Qty],T_TTAFStock[RM_Code],$A63,T_TTAFStock[WeekIndex],77),BY63+'Grid_Incoming'!BZ63-'Grid_Requirement'!BZ63))</f>
        <v/>
      </c>
      <c r="CA63">
        <f>IF(COUNTIFS(T_StockCount[RM_Code],$A63,T_StockCount[WeekIndex],78)&gt;0,SUMIFS(T_StockCount[CountedQty],T_StockCount[RM_Code],$A63,T_StockCount[WeekIndex],78),IF((COUNTIFS(T_SelfStock[RM_Code],$A63,T_SelfStock[WeekIndex],78)&gt;0)*(COUNTIFS(T_TTAFStock[RM_Code],$A63,T_TTAFStock[WeekIndex],78)&gt;0)&gt;0,SUMIFS(T_SelfStock[Self_Qty],T_SelfStock[RM_Code],$A63,T_SelfStock[WeekIndex],78)+SUMIFS(T_TTAFStock[TTAF_Qty],T_TTAFStock[RM_Code],$A63,T_TTAFStock[WeekIndex],78),BZ63+'Grid_Incoming'!CA63-'Grid_Requirement'!CA63))</f>
        <v/>
      </c>
      <c r="CB63">
        <f>IF(COUNTIFS(T_StockCount[RM_Code],$A63,T_StockCount[WeekIndex],79)&gt;0,SUMIFS(T_StockCount[CountedQty],T_StockCount[RM_Code],$A63,T_StockCount[WeekIndex],79),IF((COUNTIFS(T_SelfStock[RM_Code],$A63,T_SelfStock[WeekIndex],79)&gt;0)*(COUNTIFS(T_TTAFStock[RM_Code],$A63,T_TTAFStock[WeekIndex],79)&gt;0)&gt;0,SUMIFS(T_SelfStock[Self_Qty],T_SelfStock[RM_Code],$A63,T_SelfStock[WeekIndex],79)+SUMIFS(T_TTAFStock[TTAF_Qty],T_TTAFStock[RM_Code],$A63,T_TTAFStock[WeekIndex],79),CA63+'Grid_Incoming'!CB63-'Grid_Requirement'!CB63))</f>
        <v/>
      </c>
      <c r="CC63">
        <f>IF(COUNTIFS(T_StockCount[RM_Code],$A63,T_StockCount[WeekIndex],80)&gt;0,SUMIFS(T_StockCount[CountedQty],T_StockCount[RM_Code],$A63,T_StockCount[WeekIndex],80),IF((COUNTIFS(T_SelfStock[RM_Code],$A63,T_SelfStock[WeekIndex],80)&gt;0)*(COUNTIFS(T_TTAFStock[RM_Code],$A63,T_TTAFStock[WeekIndex],80)&gt;0)&gt;0,SUMIFS(T_SelfStock[Self_Qty],T_SelfStock[RM_Code],$A63,T_SelfStock[WeekIndex],80)+SUMIFS(T_TTAFStock[TTAF_Qty],T_TTAFStock[RM_Code],$A63,T_TTAFStock[WeekIndex],80),CB63+'Grid_Incoming'!CC63-'Grid_Requirement'!CC63))</f>
        <v/>
      </c>
      <c r="CD63">
        <f>IF(COUNTIFS(T_StockCount[RM_Code],$A63,T_StockCount[WeekIndex],81)&gt;0,SUMIFS(T_StockCount[CountedQty],T_StockCount[RM_Code],$A63,T_StockCount[WeekIndex],81),IF((COUNTIFS(T_SelfStock[RM_Code],$A63,T_SelfStock[WeekIndex],81)&gt;0)*(COUNTIFS(T_TTAFStock[RM_Code],$A63,T_TTAFStock[WeekIndex],81)&gt;0)&gt;0,SUMIFS(T_SelfStock[Self_Qty],T_SelfStock[RM_Code],$A63,T_SelfStock[WeekIndex],81)+SUMIFS(T_TTAFStock[TTAF_Qty],T_TTAFStock[RM_Code],$A63,T_TTAFStock[WeekIndex],81),CC63+'Grid_Incoming'!CD63-'Grid_Requirement'!CD63))</f>
        <v/>
      </c>
      <c r="CE63">
        <f>IF(COUNTIFS(T_StockCount[RM_Code],$A63,T_StockCount[WeekIndex],82)&gt;0,SUMIFS(T_StockCount[CountedQty],T_StockCount[RM_Code],$A63,T_StockCount[WeekIndex],82),IF((COUNTIFS(T_SelfStock[RM_Code],$A63,T_SelfStock[WeekIndex],82)&gt;0)*(COUNTIFS(T_TTAFStock[RM_Code],$A63,T_TTAFStock[WeekIndex],82)&gt;0)&gt;0,SUMIFS(T_SelfStock[Self_Qty],T_SelfStock[RM_Code],$A63,T_SelfStock[WeekIndex],82)+SUMIFS(T_TTAFStock[TTAF_Qty],T_TTAFStock[RM_Code],$A63,T_TTAFStock[WeekIndex],82),CD63+'Grid_Incoming'!CE63-'Grid_Requirement'!CE63))</f>
        <v/>
      </c>
      <c r="CF63">
        <f>IF(COUNTIFS(T_StockCount[RM_Code],$A63,T_StockCount[WeekIndex],83)&gt;0,SUMIFS(T_StockCount[CountedQty],T_StockCount[RM_Code],$A63,T_StockCount[WeekIndex],83),IF((COUNTIFS(T_SelfStock[RM_Code],$A63,T_SelfStock[WeekIndex],83)&gt;0)*(COUNTIFS(T_TTAFStock[RM_Code],$A63,T_TTAFStock[WeekIndex],83)&gt;0)&gt;0,SUMIFS(T_SelfStock[Self_Qty],T_SelfStock[RM_Code],$A63,T_SelfStock[WeekIndex],83)+SUMIFS(T_TTAFStock[TTAF_Qty],T_TTAFStock[RM_Code],$A63,T_TTAFStock[WeekIndex],83),CE63+'Grid_Incoming'!CF63-'Grid_Requirement'!CF63))</f>
        <v/>
      </c>
      <c r="CG63">
        <f>IF(COUNTIFS(T_StockCount[RM_Code],$A63,T_StockCount[WeekIndex],84)&gt;0,SUMIFS(T_StockCount[CountedQty],T_StockCount[RM_Code],$A63,T_StockCount[WeekIndex],84),IF((COUNTIFS(T_SelfStock[RM_Code],$A63,T_SelfStock[WeekIndex],84)&gt;0)*(COUNTIFS(T_TTAFStock[RM_Code],$A63,T_TTAFStock[WeekIndex],84)&gt;0)&gt;0,SUMIFS(T_SelfStock[Self_Qty],T_SelfStock[RM_Code],$A63,T_SelfStock[WeekIndex],84)+SUMIFS(T_TTAFStock[TTAF_Qty],T_TTAFStock[RM_Code],$A63,T_TTAFStock[WeekIndex],84),CF63+'Grid_Incoming'!CG63-'Grid_Requirement'!CG63))</f>
        <v/>
      </c>
      <c r="CH63">
        <f>IF(COUNTIFS(T_StockCount[RM_Code],$A63,T_StockCount[WeekIndex],85)&gt;0,SUMIFS(T_StockCount[CountedQty],T_StockCount[RM_Code],$A63,T_StockCount[WeekIndex],85),IF((COUNTIFS(T_SelfStock[RM_Code],$A63,T_SelfStock[WeekIndex],85)&gt;0)*(COUNTIFS(T_TTAFStock[RM_Code],$A63,T_TTAFStock[WeekIndex],85)&gt;0)&gt;0,SUMIFS(T_SelfStock[Self_Qty],T_SelfStock[RM_Code],$A63,T_SelfStock[WeekIndex],85)+SUMIFS(T_TTAFStock[TTAF_Qty],T_TTAFStock[RM_Code],$A63,T_TTAFStock[WeekIndex],85),CG63+'Grid_Incoming'!CH63-'Grid_Requirement'!CH63))</f>
        <v/>
      </c>
      <c r="CI63">
        <f>IF(COUNTIFS(T_StockCount[RM_Code],$A63,T_StockCount[WeekIndex],86)&gt;0,SUMIFS(T_StockCount[CountedQty],T_StockCount[RM_Code],$A63,T_StockCount[WeekIndex],86),IF((COUNTIFS(T_SelfStock[RM_Code],$A63,T_SelfStock[WeekIndex],86)&gt;0)*(COUNTIFS(T_TTAFStock[RM_Code],$A63,T_TTAFStock[WeekIndex],86)&gt;0)&gt;0,SUMIFS(T_SelfStock[Self_Qty],T_SelfStock[RM_Code],$A63,T_SelfStock[WeekIndex],86)+SUMIFS(T_TTAFStock[TTAF_Qty],T_TTAFStock[RM_Code],$A63,T_TTAFStock[WeekIndex],86),CH63+'Grid_Incoming'!CI63-'Grid_Requirement'!CI63))</f>
        <v/>
      </c>
      <c r="CJ63">
        <f>IF(COUNTIFS(T_StockCount[RM_Code],$A63,T_StockCount[WeekIndex],87)&gt;0,SUMIFS(T_StockCount[CountedQty],T_StockCount[RM_Code],$A63,T_StockCount[WeekIndex],87),IF((COUNTIFS(T_SelfStock[RM_Code],$A63,T_SelfStock[WeekIndex],87)&gt;0)*(COUNTIFS(T_TTAFStock[RM_Code],$A63,T_TTAFStock[WeekIndex],87)&gt;0)&gt;0,SUMIFS(T_SelfStock[Self_Qty],T_SelfStock[RM_Code],$A63,T_SelfStock[WeekIndex],87)+SUMIFS(T_TTAFStock[TTAF_Qty],T_TTAFStock[RM_Code],$A63,T_TTAFStock[WeekIndex],87),CI63+'Grid_Incoming'!CJ63-'Grid_Requirement'!CJ63))</f>
        <v/>
      </c>
      <c r="CK63">
        <f>IF(COUNTIFS(T_StockCount[RM_Code],$A63,T_StockCount[WeekIndex],88)&gt;0,SUMIFS(T_StockCount[CountedQty],T_StockCount[RM_Code],$A63,T_StockCount[WeekIndex],88),IF((COUNTIFS(T_SelfStock[RM_Code],$A63,T_SelfStock[WeekIndex],88)&gt;0)*(COUNTIFS(T_TTAFStock[RM_Code],$A63,T_TTAFStock[WeekIndex],88)&gt;0)&gt;0,SUMIFS(T_SelfStock[Self_Qty],T_SelfStock[RM_Code],$A63,T_SelfStock[WeekIndex],88)+SUMIFS(T_TTAFStock[TTAF_Qty],T_TTAFStock[RM_Code],$A63,T_TTAFStock[WeekIndex],88),CJ63+'Grid_Incoming'!CK63-'Grid_Requirement'!CK63))</f>
        <v/>
      </c>
      <c r="CL63">
        <f>IF(COUNTIFS(T_StockCount[RM_Code],$A63,T_StockCount[WeekIndex],89)&gt;0,SUMIFS(T_StockCount[CountedQty],T_StockCount[RM_Code],$A63,T_StockCount[WeekIndex],89),IF((COUNTIFS(T_SelfStock[RM_Code],$A63,T_SelfStock[WeekIndex],89)&gt;0)*(COUNTIFS(T_TTAFStock[RM_Code],$A63,T_TTAFStock[WeekIndex],89)&gt;0)&gt;0,SUMIFS(T_SelfStock[Self_Qty],T_SelfStock[RM_Code],$A63,T_SelfStock[WeekIndex],89)+SUMIFS(T_TTAFStock[TTAF_Qty],T_TTAFStock[RM_Code],$A63,T_TTAFStock[WeekIndex],89),CK63+'Grid_Incoming'!CL63-'Grid_Requirement'!CL63))</f>
        <v/>
      </c>
      <c r="CM63">
        <f>IF(COUNTIFS(T_StockCount[RM_Code],$A63,T_StockCount[WeekIndex],90)&gt;0,SUMIFS(T_StockCount[CountedQty],T_StockCount[RM_Code],$A63,T_StockCount[WeekIndex],90),IF((COUNTIFS(T_SelfStock[RM_Code],$A63,T_SelfStock[WeekIndex],90)&gt;0)*(COUNTIFS(T_TTAFStock[RM_Code],$A63,T_TTAFStock[WeekIndex],90)&gt;0)&gt;0,SUMIFS(T_SelfStock[Self_Qty],T_SelfStock[RM_Code],$A63,T_SelfStock[WeekIndex],90)+SUMIFS(T_TTAFStock[TTAF_Qty],T_TTAFStock[RM_Code],$A63,T_TTAFStock[WeekIndex],90),CL63+'Grid_Incoming'!CM63-'Grid_Requirement'!CM63))</f>
        <v/>
      </c>
      <c r="CN63">
        <f>IF(COUNTIFS(T_StockCount[RM_Code],$A63,T_StockCount[WeekIndex],91)&gt;0,SUMIFS(T_StockCount[CountedQty],T_StockCount[RM_Code],$A63,T_StockCount[WeekIndex],91),IF((COUNTIFS(T_SelfStock[RM_Code],$A63,T_SelfStock[WeekIndex],91)&gt;0)*(COUNTIFS(T_TTAFStock[RM_Code],$A63,T_TTAFStock[WeekIndex],91)&gt;0)&gt;0,SUMIFS(T_SelfStock[Self_Qty],T_SelfStock[RM_Code],$A63,T_SelfStock[WeekIndex],91)+SUMIFS(T_TTAFStock[TTAF_Qty],T_TTAFStock[RM_Code],$A63,T_TTAFStock[WeekIndex],91),CM63+'Grid_Incoming'!CN63-'Grid_Requirement'!CN63))</f>
        <v/>
      </c>
      <c r="CO63">
        <f>IF(COUNTIFS(T_StockCount[RM_Code],$A63,T_StockCount[WeekIndex],92)&gt;0,SUMIFS(T_StockCount[CountedQty],T_StockCount[RM_Code],$A63,T_StockCount[WeekIndex],92),IF((COUNTIFS(T_SelfStock[RM_Code],$A63,T_SelfStock[WeekIndex],92)&gt;0)*(COUNTIFS(T_TTAFStock[RM_Code],$A63,T_TTAFStock[WeekIndex],92)&gt;0)&gt;0,SUMIFS(T_SelfStock[Self_Qty],T_SelfStock[RM_Code],$A63,T_SelfStock[WeekIndex],92)+SUMIFS(T_TTAFStock[TTAF_Qty],T_TTAFStock[RM_Code],$A63,T_TTAFStock[WeekIndex],92),CN63+'Grid_Incoming'!CO63-'Grid_Requirement'!CO63))</f>
        <v/>
      </c>
      <c r="CP63">
        <f>IF(COUNTIFS(T_StockCount[RM_Code],$A63,T_StockCount[WeekIndex],93)&gt;0,SUMIFS(T_StockCount[CountedQty],T_StockCount[RM_Code],$A63,T_StockCount[WeekIndex],93),IF((COUNTIFS(T_SelfStock[RM_Code],$A63,T_SelfStock[WeekIndex],93)&gt;0)*(COUNTIFS(T_TTAFStock[RM_Code],$A63,T_TTAFStock[WeekIndex],93)&gt;0)&gt;0,SUMIFS(T_SelfStock[Self_Qty],T_SelfStock[RM_Code],$A63,T_SelfStock[WeekIndex],93)+SUMIFS(T_TTAFStock[TTAF_Qty],T_TTAFStock[RM_Code],$A63,T_TTAFStock[WeekIndex],93),CO63+'Grid_Incoming'!CP63-'Grid_Requirement'!CP63))</f>
        <v/>
      </c>
      <c r="CQ63">
        <f>IF(COUNTIFS(T_StockCount[RM_Code],$A63,T_StockCount[WeekIndex],94)&gt;0,SUMIFS(T_StockCount[CountedQty],T_StockCount[RM_Code],$A63,T_StockCount[WeekIndex],94),IF((COUNTIFS(T_SelfStock[RM_Code],$A63,T_SelfStock[WeekIndex],94)&gt;0)*(COUNTIFS(T_TTAFStock[RM_Code],$A63,T_TTAFStock[WeekIndex],94)&gt;0)&gt;0,SUMIFS(T_SelfStock[Self_Qty],T_SelfStock[RM_Code],$A63,T_SelfStock[WeekIndex],94)+SUMIFS(T_TTAFStock[TTAF_Qty],T_TTAFStock[RM_Code],$A63,T_TTAFStock[WeekIndex],94),CP63+'Grid_Incoming'!CQ63-'Grid_Requirement'!CQ63))</f>
        <v/>
      </c>
      <c r="CR63">
        <f>IF(COUNTIFS(T_StockCount[RM_Code],$A63,T_StockCount[WeekIndex],95)&gt;0,SUMIFS(T_StockCount[CountedQty],T_StockCount[RM_Code],$A63,T_StockCount[WeekIndex],95),IF((COUNTIFS(T_SelfStock[RM_Code],$A63,T_SelfStock[WeekIndex],95)&gt;0)*(COUNTIFS(T_TTAFStock[RM_Code],$A63,T_TTAFStock[WeekIndex],95)&gt;0)&gt;0,SUMIFS(T_SelfStock[Self_Qty],T_SelfStock[RM_Code],$A63,T_SelfStock[WeekIndex],95)+SUMIFS(T_TTAFStock[TTAF_Qty],T_TTAFStock[RM_Code],$A63,T_TTAFStock[WeekIndex],95),CQ63+'Grid_Incoming'!CR63-'Grid_Requirement'!CR63))</f>
        <v/>
      </c>
      <c r="CS63">
        <f>IF(COUNTIFS(T_StockCount[RM_Code],$A63,T_StockCount[WeekIndex],96)&gt;0,SUMIFS(T_StockCount[CountedQty],T_StockCount[RM_Code],$A63,T_StockCount[WeekIndex],96),IF((COUNTIFS(T_SelfStock[RM_Code],$A63,T_SelfStock[WeekIndex],96)&gt;0)*(COUNTIFS(T_TTAFStock[RM_Code],$A63,T_TTAFStock[WeekIndex],96)&gt;0)&gt;0,SUMIFS(T_SelfStock[Self_Qty],T_SelfStock[RM_Code],$A63,T_SelfStock[WeekIndex],96)+SUMIFS(T_TTAFStock[TTAF_Qty],T_TTAFStock[RM_Code],$A63,T_TTAFStock[WeekIndex],96),CR63+'Grid_Incoming'!CS63-'Grid_Requirement'!CS63))</f>
        <v/>
      </c>
      <c r="CT63">
        <f>IF(COUNTIFS(T_StockCount[RM_Code],$A63,T_StockCount[WeekIndex],97)&gt;0,SUMIFS(T_StockCount[CountedQty],T_StockCount[RM_Code],$A63,T_StockCount[WeekIndex],97),IF((COUNTIFS(T_SelfStock[RM_Code],$A63,T_SelfStock[WeekIndex],97)&gt;0)*(COUNTIFS(T_TTAFStock[RM_Code],$A63,T_TTAFStock[WeekIndex],97)&gt;0)&gt;0,SUMIFS(T_SelfStock[Self_Qty],T_SelfStock[RM_Code],$A63,T_SelfStock[WeekIndex],97)+SUMIFS(T_TTAFStock[TTAF_Qty],T_TTAFStock[RM_Code],$A63,T_TTAFStock[WeekIndex],97),CS63+'Grid_Incoming'!CT63-'Grid_Requirement'!CT63))</f>
        <v/>
      </c>
      <c r="CU63">
        <f>IF(COUNTIFS(T_StockCount[RM_Code],$A63,T_StockCount[WeekIndex],98)&gt;0,SUMIFS(T_StockCount[CountedQty],T_StockCount[RM_Code],$A63,T_StockCount[WeekIndex],98),IF((COUNTIFS(T_SelfStock[RM_Code],$A63,T_SelfStock[WeekIndex],98)&gt;0)*(COUNTIFS(T_TTAFStock[RM_Code],$A63,T_TTAFStock[WeekIndex],98)&gt;0)&gt;0,SUMIFS(T_SelfStock[Self_Qty],T_SelfStock[RM_Code],$A63,T_SelfStock[WeekIndex],98)+SUMIFS(T_TTAFStock[TTAF_Qty],T_TTAFStock[RM_Code],$A63,T_TTAFStock[WeekIndex],98),CT63+'Grid_Incoming'!CU63-'Grid_Requirement'!CU63))</f>
        <v/>
      </c>
      <c r="CV63">
        <f>IF(COUNTIFS(T_StockCount[RM_Code],$A63,T_StockCount[WeekIndex],99)&gt;0,SUMIFS(T_StockCount[CountedQty],T_StockCount[RM_Code],$A63,T_StockCount[WeekIndex],99),IF((COUNTIFS(T_SelfStock[RM_Code],$A63,T_SelfStock[WeekIndex],99)&gt;0)*(COUNTIFS(T_TTAFStock[RM_Code],$A63,T_TTAFStock[WeekIndex],99)&gt;0)&gt;0,SUMIFS(T_SelfStock[Self_Qty],T_SelfStock[RM_Code],$A63,T_SelfStock[WeekIndex],99)+SUMIFS(T_TTAFStock[TTAF_Qty],T_TTAFStock[RM_Code],$A63,T_TTAFStock[WeekIndex],99),CU63+'Grid_Incoming'!CV63-'Grid_Requirement'!CV63))</f>
        <v/>
      </c>
      <c r="CW63">
        <f>IF(COUNTIFS(T_StockCount[RM_Code],$A63,T_StockCount[WeekIndex],100)&gt;0,SUMIFS(T_StockCount[CountedQty],T_StockCount[RM_Code],$A63,T_StockCount[WeekIndex],100),IF((COUNTIFS(T_SelfStock[RM_Code],$A63,T_SelfStock[WeekIndex],100)&gt;0)*(COUNTIFS(T_TTAFStock[RM_Code],$A63,T_TTAFStock[WeekIndex],100)&gt;0)&gt;0,SUMIFS(T_SelfStock[Self_Qty],T_SelfStock[RM_Code],$A63,T_SelfStock[WeekIndex],100)+SUMIFS(T_TTAFStock[TTAF_Qty],T_TTAFStock[RM_Code],$A63,T_TTAFStock[WeekIndex],100),CV63+'Grid_Incoming'!CW63-'Grid_Requirement'!CW63))</f>
        <v/>
      </c>
      <c r="CX63">
        <f>IF(COUNTIFS(T_StockCount[RM_Code],$A63,T_StockCount[WeekIndex],101)&gt;0,SUMIFS(T_StockCount[CountedQty],T_StockCount[RM_Code],$A63,T_StockCount[WeekIndex],101),IF((COUNTIFS(T_SelfStock[RM_Code],$A63,T_SelfStock[WeekIndex],101)&gt;0)*(COUNTIFS(T_TTAFStock[RM_Code],$A63,T_TTAFStock[WeekIndex],101)&gt;0)&gt;0,SUMIFS(T_SelfStock[Self_Qty],T_SelfStock[RM_Code],$A63,T_SelfStock[WeekIndex],101)+SUMIFS(T_TTAFStock[TTAF_Qty],T_TTAFStock[RM_Code],$A63,T_TTAFStock[WeekIndex],101),CW63+'Grid_Incoming'!CX63-'Grid_Requirement'!CX63))</f>
        <v/>
      </c>
      <c r="CY63">
        <f>IF(COUNTIFS(T_StockCount[RM_Code],$A63,T_StockCount[WeekIndex],102)&gt;0,SUMIFS(T_StockCount[CountedQty],T_StockCount[RM_Code],$A63,T_StockCount[WeekIndex],102),IF((COUNTIFS(T_SelfStock[RM_Code],$A63,T_SelfStock[WeekIndex],102)&gt;0)*(COUNTIFS(T_TTAFStock[RM_Code],$A63,T_TTAFStock[WeekIndex],102)&gt;0)&gt;0,SUMIFS(T_SelfStock[Self_Qty],T_SelfStock[RM_Code],$A63,T_SelfStock[WeekIndex],102)+SUMIFS(T_TTAFStock[TTAF_Qty],T_TTAFStock[RM_Code],$A63,T_TTAFStock[WeekIndex],102),CX63+'Grid_Incoming'!CY63-'Grid_Requirement'!CY63))</f>
        <v/>
      </c>
      <c r="CZ63">
        <f>IF(COUNTIFS(T_StockCount[RM_Code],$A63,T_StockCount[WeekIndex],103)&gt;0,SUMIFS(T_StockCount[CountedQty],T_StockCount[RM_Code],$A63,T_StockCount[WeekIndex],103),IF((COUNTIFS(T_SelfStock[RM_Code],$A63,T_SelfStock[WeekIndex],103)&gt;0)*(COUNTIFS(T_TTAFStock[RM_Code],$A63,T_TTAFStock[WeekIndex],103)&gt;0)&gt;0,SUMIFS(T_SelfStock[Self_Qty],T_SelfStock[RM_Code],$A63,T_SelfStock[WeekIndex],103)+SUMIFS(T_TTAFStock[TTAF_Qty],T_TTAFStock[RM_Code],$A63,T_TTAFStock[WeekIndex],103),CY63+'Grid_Incoming'!CZ63-'Grid_Requirement'!CZ63))</f>
        <v/>
      </c>
      <c r="DA63">
        <f>IF(COUNTIFS(T_StockCount[RM_Code],$A63,T_StockCount[WeekIndex],104)&gt;0,SUMIFS(T_StockCount[CountedQty],T_StockCount[RM_Code],$A63,T_StockCount[WeekIndex],104),IF((COUNTIFS(T_SelfStock[RM_Code],$A63,T_SelfStock[WeekIndex],104)&gt;0)*(COUNTIFS(T_TTAFStock[RM_Code],$A63,T_TTAFStock[WeekIndex],104)&gt;0)&gt;0,SUMIFS(T_SelfStock[Self_Qty],T_SelfStock[RM_Code],$A63,T_SelfStock[WeekIndex],104)+SUMIFS(T_TTAFStock[TTAF_Qty],T_TTAFStock[RM_Code],$A63,T_TTAFStock[WeekIndex],104),CZ63+'Grid_Incoming'!DA63-'Grid_Requirement'!DA63))</f>
        <v/>
      </c>
    </row>
    <row r="64">
      <c r="A64" t="inlineStr">
        <is>
          <t>5SN</t>
        </is>
      </c>
      <c r="B64">
        <f>IF(COUNTIFS(T_StockCount[RM_Code],$A64,T_StockCount[WeekIndex],1)&gt;0,SUMIFS(T_StockCount[CountedQty],T_StockCount[RM_Code],$A64,T_StockCount[WeekIndex],1),IF((COUNTIFS(T_SelfStock[RM_Code],$A64,T_SelfStock[WeekIndex],1)&gt;0)*(COUNTIFS(T_TTAFStock[RM_Code],$A64,T_TTAFStock[WeekIndex],1)&gt;0)&gt;0,SUMIFS(T_SelfStock[Self_Qty],T_SelfStock[RM_Code],$A64,T_SelfStock[WeekIndex],1)+SUMIFS(T_TTAFStock[TTAF_Qty],T_TTAFStock[RM_Code],$A64,T_TTAFStock[WeekIndex],1),IFERROR(INDEX(T_OpeningStock[Opening_Qty],MATCH($A64,T_OpeningStock[RM_Code],0)),0)+'Grid_Incoming'!B64-'Grid_Requirement'!B64))</f>
        <v/>
      </c>
      <c r="C64">
        <f>IF(COUNTIFS(T_StockCount[RM_Code],$A64,T_StockCount[WeekIndex],2)&gt;0,SUMIFS(T_StockCount[CountedQty],T_StockCount[RM_Code],$A64,T_StockCount[WeekIndex],2),IF((COUNTIFS(T_SelfStock[RM_Code],$A64,T_SelfStock[WeekIndex],2)&gt;0)*(COUNTIFS(T_TTAFStock[RM_Code],$A64,T_TTAFStock[WeekIndex],2)&gt;0)&gt;0,SUMIFS(T_SelfStock[Self_Qty],T_SelfStock[RM_Code],$A64,T_SelfStock[WeekIndex],2)+SUMIFS(T_TTAFStock[TTAF_Qty],T_TTAFStock[RM_Code],$A64,T_TTAFStock[WeekIndex],2),B64+'Grid_Incoming'!C64-'Grid_Requirement'!C64))</f>
        <v/>
      </c>
      <c r="D64">
        <f>IF(COUNTIFS(T_StockCount[RM_Code],$A64,T_StockCount[WeekIndex],3)&gt;0,SUMIFS(T_StockCount[CountedQty],T_StockCount[RM_Code],$A64,T_StockCount[WeekIndex],3),IF((COUNTIFS(T_SelfStock[RM_Code],$A64,T_SelfStock[WeekIndex],3)&gt;0)*(COUNTIFS(T_TTAFStock[RM_Code],$A64,T_TTAFStock[WeekIndex],3)&gt;0)&gt;0,SUMIFS(T_SelfStock[Self_Qty],T_SelfStock[RM_Code],$A64,T_SelfStock[WeekIndex],3)+SUMIFS(T_TTAFStock[TTAF_Qty],T_TTAFStock[RM_Code],$A64,T_TTAFStock[WeekIndex],3),C64+'Grid_Incoming'!D64-'Grid_Requirement'!D64))</f>
        <v/>
      </c>
      <c r="E64">
        <f>IF(COUNTIFS(T_StockCount[RM_Code],$A64,T_StockCount[WeekIndex],4)&gt;0,SUMIFS(T_StockCount[CountedQty],T_StockCount[RM_Code],$A64,T_StockCount[WeekIndex],4),IF((COUNTIFS(T_SelfStock[RM_Code],$A64,T_SelfStock[WeekIndex],4)&gt;0)*(COUNTIFS(T_TTAFStock[RM_Code],$A64,T_TTAFStock[WeekIndex],4)&gt;0)&gt;0,SUMIFS(T_SelfStock[Self_Qty],T_SelfStock[RM_Code],$A64,T_SelfStock[WeekIndex],4)+SUMIFS(T_TTAFStock[TTAF_Qty],T_TTAFStock[RM_Code],$A64,T_TTAFStock[WeekIndex],4),D64+'Grid_Incoming'!E64-'Grid_Requirement'!E64))</f>
        <v/>
      </c>
      <c r="F64">
        <f>IF(COUNTIFS(T_StockCount[RM_Code],$A64,T_StockCount[WeekIndex],5)&gt;0,SUMIFS(T_StockCount[CountedQty],T_StockCount[RM_Code],$A64,T_StockCount[WeekIndex],5),IF((COUNTIFS(T_SelfStock[RM_Code],$A64,T_SelfStock[WeekIndex],5)&gt;0)*(COUNTIFS(T_TTAFStock[RM_Code],$A64,T_TTAFStock[WeekIndex],5)&gt;0)&gt;0,SUMIFS(T_SelfStock[Self_Qty],T_SelfStock[RM_Code],$A64,T_SelfStock[WeekIndex],5)+SUMIFS(T_TTAFStock[TTAF_Qty],T_TTAFStock[RM_Code],$A64,T_TTAFStock[WeekIndex],5),E64+'Grid_Incoming'!F64-'Grid_Requirement'!F64))</f>
        <v/>
      </c>
      <c r="G64">
        <f>IF(COUNTIFS(T_StockCount[RM_Code],$A64,T_StockCount[WeekIndex],6)&gt;0,SUMIFS(T_StockCount[CountedQty],T_StockCount[RM_Code],$A64,T_StockCount[WeekIndex],6),IF((COUNTIFS(T_SelfStock[RM_Code],$A64,T_SelfStock[WeekIndex],6)&gt;0)*(COUNTIFS(T_TTAFStock[RM_Code],$A64,T_TTAFStock[WeekIndex],6)&gt;0)&gt;0,SUMIFS(T_SelfStock[Self_Qty],T_SelfStock[RM_Code],$A64,T_SelfStock[WeekIndex],6)+SUMIFS(T_TTAFStock[TTAF_Qty],T_TTAFStock[RM_Code],$A64,T_TTAFStock[WeekIndex],6),F64+'Grid_Incoming'!G64-'Grid_Requirement'!G64))</f>
        <v/>
      </c>
      <c r="H64">
        <f>IF(COUNTIFS(T_StockCount[RM_Code],$A64,T_StockCount[WeekIndex],7)&gt;0,SUMIFS(T_StockCount[CountedQty],T_StockCount[RM_Code],$A64,T_StockCount[WeekIndex],7),IF((COUNTIFS(T_SelfStock[RM_Code],$A64,T_SelfStock[WeekIndex],7)&gt;0)*(COUNTIFS(T_TTAFStock[RM_Code],$A64,T_TTAFStock[WeekIndex],7)&gt;0)&gt;0,SUMIFS(T_SelfStock[Self_Qty],T_SelfStock[RM_Code],$A64,T_SelfStock[WeekIndex],7)+SUMIFS(T_TTAFStock[TTAF_Qty],T_TTAFStock[RM_Code],$A64,T_TTAFStock[WeekIndex],7),G64+'Grid_Incoming'!H64-'Grid_Requirement'!H64))</f>
        <v/>
      </c>
      <c r="I64">
        <f>IF(COUNTIFS(T_StockCount[RM_Code],$A64,T_StockCount[WeekIndex],8)&gt;0,SUMIFS(T_StockCount[CountedQty],T_StockCount[RM_Code],$A64,T_StockCount[WeekIndex],8),IF((COUNTIFS(T_SelfStock[RM_Code],$A64,T_SelfStock[WeekIndex],8)&gt;0)*(COUNTIFS(T_TTAFStock[RM_Code],$A64,T_TTAFStock[WeekIndex],8)&gt;0)&gt;0,SUMIFS(T_SelfStock[Self_Qty],T_SelfStock[RM_Code],$A64,T_SelfStock[WeekIndex],8)+SUMIFS(T_TTAFStock[TTAF_Qty],T_TTAFStock[RM_Code],$A64,T_TTAFStock[WeekIndex],8),H64+'Grid_Incoming'!I64-'Grid_Requirement'!I64))</f>
        <v/>
      </c>
      <c r="J64">
        <f>IF(COUNTIFS(T_StockCount[RM_Code],$A64,T_StockCount[WeekIndex],9)&gt;0,SUMIFS(T_StockCount[CountedQty],T_StockCount[RM_Code],$A64,T_StockCount[WeekIndex],9),IF((COUNTIFS(T_SelfStock[RM_Code],$A64,T_SelfStock[WeekIndex],9)&gt;0)*(COUNTIFS(T_TTAFStock[RM_Code],$A64,T_TTAFStock[WeekIndex],9)&gt;0)&gt;0,SUMIFS(T_SelfStock[Self_Qty],T_SelfStock[RM_Code],$A64,T_SelfStock[WeekIndex],9)+SUMIFS(T_TTAFStock[TTAF_Qty],T_TTAFStock[RM_Code],$A64,T_TTAFStock[WeekIndex],9),I64+'Grid_Incoming'!J64-'Grid_Requirement'!J64))</f>
        <v/>
      </c>
      <c r="K64">
        <f>IF(COUNTIFS(T_StockCount[RM_Code],$A64,T_StockCount[WeekIndex],10)&gt;0,SUMIFS(T_StockCount[CountedQty],T_StockCount[RM_Code],$A64,T_StockCount[WeekIndex],10),IF((COUNTIFS(T_SelfStock[RM_Code],$A64,T_SelfStock[WeekIndex],10)&gt;0)*(COUNTIFS(T_TTAFStock[RM_Code],$A64,T_TTAFStock[WeekIndex],10)&gt;0)&gt;0,SUMIFS(T_SelfStock[Self_Qty],T_SelfStock[RM_Code],$A64,T_SelfStock[WeekIndex],10)+SUMIFS(T_TTAFStock[TTAF_Qty],T_TTAFStock[RM_Code],$A64,T_TTAFStock[WeekIndex],10),J64+'Grid_Incoming'!K64-'Grid_Requirement'!K64))</f>
        <v/>
      </c>
      <c r="L64">
        <f>IF(COUNTIFS(T_StockCount[RM_Code],$A64,T_StockCount[WeekIndex],11)&gt;0,SUMIFS(T_StockCount[CountedQty],T_StockCount[RM_Code],$A64,T_StockCount[WeekIndex],11),IF((COUNTIFS(T_SelfStock[RM_Code],$A64,T_SelfStock[WeekIndex],11)&gt;0)*(COUNTIFS(T_TTAFStock[RM_Code],$A64,T_TTAFStock[WeekIndex],11)&gt;0)&gt;0,SUMIFS(T_SelfStock[Self_Qty],T_SelfStock[RM_Code],$A64,T_SelfStock[WeekIndex],11)+SUMIFS(T_TTAFStock[TTAF_Qty],T_TTAFStock[RM_Code],$A64,T_TTAFStock[WeekIndex],11),K64+'Grid_Incoming'!L64-'Grid_Requirement'!L64))</f>
        <v/>
      </c>
      <c r="M64">
        <f>IF(COUNTIFS(T_StockCount[RM_Code],$A64,T_StockCount[WeekIndex],12)&gt;0,SUMIFS(T_StockCount[CountedQty],T_StockCount[RM_Code],$A64,T_StockCount[WeekIndex],12),IF((COUNTIFS(T_SelfStock[RM_Code],$A64,T_SelfStock[WeekIndex],12)&gt;0)*(COUNTIFS(T_TTAFStock[RM_Code],$A64,T_TTAFStock[WeekIndex],12)&gt;0)&gt;0,SUMIFS(T_SelfStock[Self_Qty],T_SelfStock[RM_Code],$A64,T_SelfStock[WeekIndex],12)+SUMIFS(T_TTAFStock[TTAF_Qty],T_TTAFStock[RM_Code],$A64,T_TTAFStock[WeekIndex],12),L64+'Grid_Incoming'!M64-'Grid_Requirement'!M64))</f>
        <v/>
      </c>
      <c r="N64">
        <f>IF(COUNTIFS(T_StockCount[RM_Code],$A64,T_StockCount[WeekIndex],13)&gt;0,SUMIFS(T_StockCount[CountedQty],T_StockCount[RM_Code],$A64,T_StockCount[WeekIndex],13),IF((COUNTIFS(T_SelfStock[RM_Code],$A64,T_SelfStock[WeekIndex],13)&gt;0)*(COUNTIFS(T_TTAFStock[RM_Code],$A64,T_TTAFStock[WeekIndex],13)&gt;0)&gt;0,SUMIFS(T_SelfStock[Self_Qty],T_SelfStock[RM_Code],$A64,T_SelfStock[WeekIndex],13)+SUMIFS(T_TTAFStock[TTAF_Qty],T_TTAFStock[RM_Code],$A64,T_TTAFStock[WeekIndex],13),M64+'Grid_Incoming'!N64-'Grid_Requirement'!N64))</f>
        <v/>
      </c>
      <c r="O64">
        <f>IF(COUNTIFS(T_StockCount[RM_Code],$A64,T_StockCount[WeekIndex],14)&gt;0,SUMIFS(T_StockCount[CountedQty],T_StockCount[RM_Code],$A64,T_StockCount[WeekIndex],14),IF((COUNTIFS(T_SelfStock[RM_Code],$A64,T_SelfStock[WeekIndex],14)&gt;0)*(COUNTIFS(T_TTAFStock[RM_Code],$A64,T_TTAFStock[WeekIndex],14)&gt;0)&gt;0,SUMIFS(T_SelfStock[Self_Qty],T_SelfStock[RM_Code],$A64,T_SelfStock[WeekIndex],14)+SUMIFS(T_TTAFStock[TTAF_Qty],T_TTAFStock[RM_Code],$A64,T_TTAFStock[WeekIndex],14),N64+'Grid_Incoming'!O64-'Grid_Requirement'!O64))</f>
        <v/>
      </c>
      <c r="P64">
        <f>IF(COUNTIFS(T_StockCount[RM_Code],$A64,T_StockCount[WeekIndex],15)&gt;0,SUMIFS(T_StockCount[CountedQty],T_StockCount[RM_Code],$A64,T_StockCount[WeekIndex],15),IF((COUNTIFS(T_SelfStock[RM_Code],$A64,T_SelfStock[WeekIndex],15)&gt;0)*(COUNTIFS(T_TTAFStock[RM_Code],$A64,T_TTAFStock[WeekIndex],15)&gt;0)&gt;0,SUMIFS(T_SelfStock[Self_Qty],T_SelfStock[RM_Code],$A64,T_SelfStock[WeekIndex],15)+SUMIFS(T_TTAFStock[TTAF_Qty],T_TTAFStock[RM_Code],$A64,T_TTAFStock[WeekIndex],15),O64+'Grid_Incoming'!P64-'Grid_Requirement'!P64))</f>
        <v/>
      </c>
      <c r="Q64">
        <f>IF(COUNTIFS(T_StockCount[RM_Code],$A64,T_StockCount[WeekIndex],16)&gt;0,SUMIFS(T_StockCount[CountedQty],T_StockCount[RM_Code],$A64,T_StockCount[WeekIndex],16),IF((COUNTIFS(T_SelfStock[RM_Code],$A64,T_SelfStock[WeekIndex],16)&gt;0)*(COUNTIFS(T_TTAFStock[RM_Code],$A64,T_TTAFStock[WeekIndex],16)&gt;0)&gt;0,SUMIFS(T_SelfStock[Self_Qty],T_SelfStock[RM_Code],$A64,T_SelfStock[WeekIndex],16)+SUMIFS(T_TTAFStock[TTAF_Qty],T_TTAFStock[RM_Code],$A64,T_TTAFStock[WeekIndex],16),P64+'Grid_Incoming'!Q64-'Grid_Requirement'!Q64))</f>
        <v/>
      </c>
      <c r="R64">
        <f>IF(COUNTIFS(T_StockCount[RM_Code],$A64,T_StockCount[WeekIndex],17)&gt;0,SUMIFS(T_StockCount[CountedQty],T_StockCount[RM_Code],$A64,T_StockCount[WeekIndex],17),IF((COUNTIFS(T_SelfStock[RM_Code],$A64,T_SelfStock[WeekIndex],17)&gt;0)*(COUNTIFS(T_TTAFStock[RM_Code],$A64,T_TTAFStock[WeekIndex],17)&gt;0)&gt;0,SUMIFS(T_SelfStock[Self_Qty],T_SelfStock[RM_Code],$A64,T_SelfStock[WeekIndex],17)+SUMIFS(T_TTAFStock[TTAF_Qty],T_TTAFStock[RM_Code],$A64,T_TTAFStock[WeekIndex],17),Q64+'Grid_Incoming'!R64-'Grid_Requirement'!R64))</f>
        <v/>
      </c>
      <c r="S64">
        <f>IF(COUNTIFS(T_StockCount[RM_Code],$A64,T_StockCount[WeekIndex],18)&gt;0,SUMIFS(T_StockCount[CountedQty],T_StockCount[RM_Code],$A64,T_StockCount[WeekIndex],18),IF((COUNTIFS(T_SelfStock[RM_Code],$A64,T_SelfStock[WeekIndex],18)&gt;0)*(COUNTIFS(T_TTAFStock[RM_Code],$A64,T_TTAFStock[WeekIndex],18)&gt;0)&gt;0,SUMIFS(T_SelfStock[Self_Qty],T_SelfStock[RM_Code],$A64,T_SelfStock[WeekIndex],18)+SUMIFS(T_TTAFStock[TTAF_Qty],T_TTAFStock[RM_Code],$A64,T_TTAFStock[WeekIndex],18),R64+'Grid_Incoming'!S64-'Grid_Requirement'!S64))</f>
        <v/>
      </c>
      <c r="T64">
        <f>IF(COUNTIFS(T_StockCount[RM_Code],$A64,T_StockCount[WeekIndex],19)&gt;0,SUMIFS(T_StockCount[CountedQty],T_StockCount[RM_Code],$A64,T_StockCount[WeekIndex],19),IF((COUNTIFS(T_SelfStock[RM_Code],$A64,T_SelfStock[WeekIndex],19)&gt;0)*(COUNTIFS(T_TTAFStock[RM_Code],$A64,T_TTAFStock[WeekIndex],19)&gt;0)&gt;0,SUMIFS(T_SelfStock[Self_Qty],T_SelfStock[RM_Code],$A64,T_SelfStock[WeekIndex],19)+SUMIFS(T_TTAFStock[TTAF_Qty],T_TTAFStock[RM_Code],$A64,T_TTAFStock[WeekIndex],19),S64+'Grid_Incoming'!T64-'Grid_Requirement'!T64))</f>
        <v/>
      </c>
      <c r="U64">
        <f>IF(COUNTIFS(T_StockCount[RM_Code],$A64,T_StockCount[WeekIndex],20)&gt;0,SUMIFS(T_StockCount[CountedQty],T_StockCount[RM_Code],$A64,T_StockCount[WeekIndex],20),IF((COUNTIFS(T_SelfStock[RM_Code],$A64,T_SelfStock[WeekIndex],20)&gt;0)*(COUNTIFS(T_TTAFStock[RM_Code],$A64,T_TTAFStock[WeekIndex],20)&gt;0)&gt;0,SUMIFS(T_SelfStock[Self_Qty],T_SelfStock[RM_Code],$A64,T_SelfStock[WeekIndex],20)+SUMIFS(T_TTAFStock[TTAF_Qty],T_TTAFStock[RM_Code],$A64,T_TTAFStock[WeekIndex],20),T64+'Grid_Incoming'!U64-'Grid_Requirement'!U64))</f>
        <v/>
      </c>
      <c r="V64">
        <f>IF(COUNTIFS(T_StockCount[RM_Code],$A64,T_StockCount[WeekIndex],21)&gt;0,SUMIFS(T_StockCount[CountedQty],T_StockCount[RM_Code],$A64,T_StockCount[WeekIndex],21),IF((COUNTIFS(T_SelfStock[RM_Code],$A64,T_SelfStock[WeekIndex],21)&gt;0)*(COUNTIFS(T_TTAFStock[RM_Code],$A64,T_TTAFStock[WeekIndex],21)&gt;0)&gt;0,SUMIFS(T_SelfStock[Self_Qty],T_SelfStock[RM_Code],$A64,T_SelfStock[WeekIndex],21)+SUMIFS(T_TTAFStock[TTAF_Qty],T_TTAFStock[RM_Code],$A64,T_TTAFStock[WeekIndex],21),U64+'Grid_Incoming'!V64-'Grid_Requirement'!V64))</f>
        <v/>
      </c>
      <c r="W64">
        <f>IF(COUNTIFS(T_StockCount[RM_Code],$A64,T_StockCount[WeekIndex],22)&gt;0,SUMIFS(T_StockCount[CountedQty],T_StockCount[RM_Code],$A64,T_StockCount[WeekIndex],22),IF((COUNTIFS(T_SelfStock[RM_Code],$A64,T_SelfStock[WeekIndex],22)&gt;0)*(COUNTIFS(T_TTAFStock[RM_Code],$A64,T_TTAFStock[WeekIndex],22)&gt;0)&gt;0,SUMIFS(T_SelfStock[Self_Qty],T_SelfStock[RM_Code],$A64,T_SelfStock[WeekIndex],22)+SUMIFS(T_TTAFStock[TTAF_Qty],T_TTAFStock[RM_Code],$A64,T_TTAFStock[WeekIndex],22),V64+'Grid_Incoming'!W64-'Grid_Requirement'!W64))</f>
        <v/>
      </c>
      <c r="X64">
        <f>IF(COUNTIFS(T_StockCount[RM_Code],$A64,T_StockCount[WeekIndex],23)&gt;0,SUMIFS(T_StockCount[CountedQty],T_StockCount[RM_Code],$A64,T_StockCount[WeekIndex],23),IF((COUNTIFS(T_SelfStock[RM_Code],$A64,T_SelfStock[WeekIndex],23)&gt;0)*(COUNTIFS(T_TTAFStock[RM_Code],$A64,T_TTAFStock[WeekIndex],23)&gt;0)&gt;0,SUMIFS(T_SelfStock[Self_Qty],T_SelfStock[RM_Code],$A64,T_SelfStock[WeekIndex],23)+SUMIFS(T_TTAFStock[TTAF_Qty],T_TTAFStock[RM_Code],$A64,T_TTAFStock[WeekIndex],23),W64+'Grid_Incoming'!X64-'Grid_Requirement'!X64))</f>
        <v/>
      </c>
      <c r="Y64">
        <f>IF(COUNTIFS(T_StockCount[RM_Code],$A64,T_StockCount[WeekIndex],24)&gt;0,SUMIFS(T_StockCount[CountedQty],T_StockCount[RM_Code],$A64,T_StockCount[WeekIndex],24),IF((COUNTIFS(T_SelfStock[RM_Code],$A64,T_SelfStock[WeekIndex],24)&gt;0)*(COUNTIFS(T_TTAFStock[RM_Code],$A64,T_TTAFStock[WeekIndex],24)&gt;0)&gt;0,SUMIFS(T_SelfStock[Self_Qty],T_SelfStock[RM_Code],$A64,T_SelfStock[WeekIndex],24)+SUMIFS(T_TTAFStock[TTAF_Qty],T_TTAFStock[RM_Code],$A64,T_TTAFStock[WeekIndex],24),X64+'Grid_Incoming'!Y64-'Grid_Requirement'!Y64))</f>
        <v/>
      </c>
      <c r="Z64">
        <f>IF(COUNTIFS(T_StockCount[RM_Code],$A64,T_StockCount[WeekIndex],25)&gt;0,SUMIFS(T_StockCount[CountedQty],T_StockCount[RM_Code],$A64,T_StockCount[WeekIndex],25),IF((COUNTIFS(T_SelfStock[RM_Code],$A64,T_SelfStock[WeekIndex],25)&gt;0)*(COUNTIFS(T_TTAFStock[RM_Code],$A64,T_TTAFStock[WeekIndex],25)&gt;0)&gt;0,SUMIFS(T_SelfStock[Self_Qty],T_SelfStock[RM_Code],$A64,T_SelfStock[WeekIndex],25)+SUMIFS(T_TTAFStock[TTAF_Qty],T_TTAFStock[RM_Code],$A64,T_TTAFStock[WeekIndex],25),Y64+'Grid_Incoming'!Z64-'Grid_Requirement'!Z64))</f>
        <v/>
      </c>
      <c r="AA64">
        <f>IF(COUNTIFS(T_StockCount[RM_Code],$A64,T_StockCount[WeekIndex],26)&gt;0,SUMIFS(T_StockCount[CountedQty],T_StockCount[RM_Code],$A64,T_StockCount[WeekIndex],26),IF((COUNTIFS(T_SelfStock[RM_Code],$A64,T_SelfStock[WeekIndex],26)&gt;0)*(COUNTIFS(T_TTAFStock[RM_Code],$A64,T_TTAFStock[WeekIndex],26)&gt;0)&gt;0,SUMIFS(T_SelfStock[Self_Qty],T_SelfStock[RM_Code],$A64,T_SelfStock[WeekIndex],26)+SUMIFS(T_TTAFStock[TTAF_Qty],T_TTAFStock[RM_Code],$A64,T_TTAFStock[WeekIndex],26),Z64+'Grid_Incoming'!AA64-'Grid_Requirement'!AA64))</f>
        <v/>
      </c>
      <c r="AB64">
        <f>IF(COUNTIFS(T_StockCount[RM_Code],$A64,T_StockCount[WeekIndex],27)&gt;0,SUMIFS(T_StockCount[CountedQty],T_StockCount[RM_Code],$A64,T_StockCount[WeekIndex],27),IF((COUNTIFS(T_SelfStock[RM_Code],$A64,T_SelfStock[WeekIndex],27)&gt;0)*(COUNTIFS(T_TTAFStock[RM_Code],$A64,T_TTAFStock[WeekIndex],27)&gt;0)&gt;0,SUMIFS(T_SelfStock[Self_Qty],T_SelfStock[RM_Code],$A64,T_SelfStock[WeekIndex],27)+SUMIFS(T_TTAFStock[TTAF_Qty],T_TTAFStock[RM_Code],$A64,T_TTAFStock[WeekIndex],27),AA64+'Grid_Incoming'!AB64-'Grid_Requirement'!AB64))</f>
        <v/>
      </c>
      <c r="AC64">
        <f>IF(COUNTIFS(T_StockCount[RM_Code],$A64,T_StockCount[WeekIndex],28)&gt;0,SUMIFS(T_StockCount[CountedQty],T_StockCount[RM_Code],$A64,T_StockCount[WeekIndex],28),IF((COUNTIFS(T_SelfStock[RM_Code],$A64,T_SelfStock[WeekIndex],28)&gt;0)*(COUNTIFS(T_TTAFStock[RM_Code],$A64,T_TTAFStock[WeekIndex],28)&gt;0)&gt;0,SUMIFS(T_SelfStock[Self_Qty],T_SelfStock[RM_Code],$A64,T_SelfStock[WeekIndex],28)+SUMIFS(T_TTAFStock[TTAF_Qty],T_TTAFStock[RM_Code],$A64,T_TTAFStock[WeekIndex],28),AB64+'Grid_Incoming'!AC64-'Grid_Requirement'!AC64))</f>
        <v/>
      </c>
      <c r="AD64">
        <f>IF(COUNTIFS(T_StockCount[RM_Code],$A64,T_StockCount[WeekIndex],29)&gt;0,SUMIFS(T_StockCount[CountedQty],T_StockCount[RM_Code],$A64,T_StockCount[WeekIndex],29),IF((COUNTIFS(T_SelfStock[RM_Code],$A64,T_SelfStock[WeekIndex],29)&gt;0)*(COUNTIFS(T_TTAFStock[RM_Code],$A64,T_TTAFStock[WeekIndex],29)&gt;0)&gt;0,SUMIFS(T_SelfStock[Self_Qty],T_SelfStock[RM_Code],$A64,T_SelfStock[WeekIndex],29)+SUMIFS(T_TTAFStock[TTAF_Qty],T_TTAFStock[RM_Code],$A64,T_TTAFStock[WeekIndex],29),AC64+'Grid_Incoming'!AD64-'Grid_Requirement'!AD64))</f>
        <v/>
      </c>
      <c r="AE64">
        <f>IF(COUNTIFS(T_StockCount[RM_Code],$A64,T_StockCount[WeekIndex],30)&gt;0,SUMIFS(T_StockCount[CountedQty],T_StockCount[RM_Code],$A64,T_StockCount[WeekIndex],30),IF((COUNTIFS(T_SelfStock[RM_Code],$A64,T_SelfStock[WeekIndex],30)&gt;0)*(COUNTIFS(T_TTAFStock[RM_Code],$A64,T_TTAFStock[WeekIndex],30)&gt;0)&gt;0,SUMIFS(T_SelfStock[Self_Qty],T_SelfStock[RM_Code],$A64,T_SelfStock[WeekIndex],30)+SUMIFS(T_TTAFStock[TTAF_Qty],T_TTAFStock[RM_Code],$A64,T_TTAFStock[WeekIndex],30),AD64+'Grid_Incoming'!AE64-'Grid_Requirement'!AE64))</f>
        <v/>
      </c>
      <c r="AF64">
        <f>IF(COUNTIFS(T_StockCount[RM_Code],$A64,T_StockCount[WeekIndex],31)&gt;0,SUMIFS(T_StockCount[CountedQty],T_StockCount[RM_Code],$A64,T_StockCount[WeekIndex],31),IF((COUNTIFS(T_SelfStock[RM_Code],$A64,T_SelfStock[WeekIndex],31)&gt;0)*(COUNTIFS(T_TTAFStock[RM_Code],$A64,T_TTAFStock[WeekIndex],31)&gt;0)&gt;0,SUMIFS(T_SelfStock[Self_Qty],T_SelfStock[RM_Code],$A64,T_SelfStock[WeekIndex],31)+SUMIFS(T_TTAFStock[TTAF_Qty],T_TTAFStock[RM_Code],$A64,T_TTAFStock[WeekIndex],31),AE64+'Grid_Incoming'!AF64-'Grid_Requirement'!AF64))</f>
        <v/>
      </c>
      <c r="AG64">
        <f>IF(COUNTIFS(T_StockCount[RM_Code],$A64,T_StockCount[WeekIndex],32)&gt;0,SUMIFS(T_StockCount[CountedQty],T_StockCount[RM_Code],$A64,T_StockCount[WeekIndex],32),IF((COUNTIFS(T_SelfStock[RM_Code],$A64,T_SelfStock[WeekIndex],32)&gt;0)*(COUNTIFS(T_TTAFStock[RM_Code],$A64,T_TTAFStock[WeekIndex],32)&gt;0)&gt;0,SUMIFS(T_SelfStock[Self_Qty],T_SelfStock[RM_Code],$A64,T_SelfStock[WeekIndex],32)+SUMIFS(T_TTAFStock[TTAF_Qty],T_TTAFStock[RM_Code],$A64,T_TTAFStock[WeekIndex],32),AF64+'Grid_Incoming'!AG64-'Grid_Requirement'!AG64))</f>
        <v/>
      </c>
      <c r="AH64">
        <f>IF(COUNTIFS(T_StockCount[RM_Code],$A64,T_StockCount[WeekIndex],33)&gt;0,SUMIFS(T_StockCount[CountedQty],T_StockCount[RM_Code],$A64,T_StockCount[WeekIndex],33),IF((COUNTIFS(T_SelfStock[RM_Code],$A64,T_SelfStock[WeekIndex],33)&gt;0)*(COUNTIFS(T_TTAFStock[RM_Code],$A64,T_TTAFStock[WeekIndex],33)&gt;0)&gt;0,SUMIFS(T_SelfStock[Self_Qty],T_SelfStock[RM_Code],$A64,T_SelfStock[WeekIndex],33)+SUMIFS(T_TTAFStock[TTAF_Qty],T_TTAFStock[RM_Code],$A64,T_TTAFStock[WeekIndex],33),AG64+'Grid_Incoming'!AH64-'Grid_Requirement'!AH64))</f>
        <v/>
      </c>
      <c r="AI64">
        <f>IF(COUNTIFS(T_StockCount[RM_Code],$A64,T_StockCount[WeekIndex],34)&gt;0,SUMIFS(T_StockCount[CountedQty],T_StockCount[RM_Code],$A64,T_StockCount[WeekIndex],34),IF((COUNTIFS(T_SelfStock[RM_Code],$A64,T_SelfStock[WeekIndex],34)&gt;0)*(COUNTIFS(T_TTAFStock[RM_Code],$A64,T_TTAFStock[WeekIndex],34)&gt;0)&gt;0,SUMIFS(T_SelfStock[Self_Qty],T_SelfStock[RM_Code],$A64,T_SelfStock[WeekIndex],34)+SUMIFS(T_TTAFStock[TTAF_Qty],T_TTAFStock[RM_Code],$A64,T_TTAFStock[WeekIndex],34),AH64+'Grid_Incoming'!AI64-'Grid_Requirement'!AI64))</f>
        <v/>
      </c>
      <c r="AJ64">
        <f>IF(COUNTIFS(T_StockCount[RM_Code],$A64,T_StockCount[WeekIndex],35)&gt;0,SUMIFS(T_StockCount[CountedQty],T_StockCount[RM_Code],$A64,T_StockCount[WeekIndex],35),IF((COUNTIFS(T_SelfStock[RM_Code],$A64,T_SelfStock[WeekIndex],35)&gt;0)*(COUNTIFS(T_TTAFStock[RM_Code],$A64,T_TTAFStock[WeekIndex],35)&gt;0)&gt;0,SUMIFS(T_SelfStock[Self_Qty],T_SelfStock[RM_Code],$A64,T_SelfStock[WeekIndex],35)+SUMIFS(T_TTAFStock[TTAF_Qty],T_TTAFStock[RM_Code],$A64,T_TTAFStock[WeekIndex],35),AI64+'Grid_Incoming'!AJ64-'Grid_Requirement'!AJ64))</f>
        <v/>
      </c>
      <c r="AK64">
        <f>IF(COUNTIFS(T_StockCount[RM_Code],$A64,T_StockCount[WeekIndex],36)&gt;0,SUMIFS(T_StockCount[CountedQty],T_StockCount[RM_Code],$A64,T_StockCount[WeekIndex],36),IF((COUNTIFS(T_SelfStock[RM_Code],$A64,T_SelfStock[WeekIndex],36)&gt;0)*(COUNTIFS(T_TTAFStock[RM_Code],$A64,T_TTAFStock[WeekIndex],36)&gt;0)&gt;0,SUMIFS(T_SelfStock[Self_Qty],T_SelfStock[RM_Code],$A64,T_SelfStock[WeekIndex],36)+SUMIFS(T_TTAFStock[TTAF_Qty],T_TTAFStock[RM_Code],$A64,T_TTAFStock[WeekIndex],36),AJ64+'Grid_Incoming'!AK64-'Grid_Requirement'!AK64))</f>
        <v/>
      </c>
      <c r="AL64">
        <f>IF(COUNTIFS(T_StockCount[RM_Code],$A64,T_StockCount[WeekIndex],37)&gt;0,SUMIFS(T_StockCount[CountedQty],T_StockCount[RM_Code],$A64,T_StockCount[WeekIndex],37),IF((COUNTIFS(T_SelfStock[RM_Code],$A64,T_SelfStock[WeekIndex],37)&gt;0)*(COUNTIFS(T_TTAFStock[RM_Code],$A64,T_TTAFStock[WeekIndex],37)&gt;0)&gt;0,SUMIFS(T_SelfStock[Self_Qty],T_SelfStock[RM_Code],$A64,T_SelfStock[WeekIndex],37)+SUMIFS(T_TTAFStock[TTAF_Qty],T_TTAFStock[RM_Code],$A64,T_TTAFStock[WeekIndex],37),AK64+'Grid_Incoming'!AL64-'Grid_Requirement'!AL64))</f>
        <v/>
      </c>
      <c r="AM64">
        <f>IF(COUNTIFS(T_StockCount[RM_Code],$A64,T_StockCount[WeekIndex],38)&gt;0,SUMIFS(T_StockCount[CountedQty],T_StockCount[RM_Code],$A64,T_StockCount[WeekIndex],38),IF((COUNTIFS(T_SelfStock[RM_Code],$A64,T_SelfStock[WeekIndex],38)&gt;0)*(COUNTIFS(T_TTAFStock[RM_Code],$A64,T_TTAFStock[WeekIndex],38)&gt;0)&gt;0,SUMIFS(T_SelfStock[Self_Qty],T_SelfStock[RM_Code],$A64,T_SelfStock[WeekIndex],38)+SUMIFS(T_TTAFStock[TTAF_Qty],T_TTAFStock[RM_Code],$A64,T_TTAFStock[WeekIndex],38),AL64+'Grid_Incoming'!AM64-'Grid_Requirement'!AM64))</f>
        <v/>
      </c>
      <c r="AN64">
        <f>IF(COUNTIFS(T_StockCount[RM_Code],$A64,T_StockCount[WeekIndex],39)&gt;0,SUMIFS(T_StockCount[CountedQty],T_StockCount[RM_Code],$A64,T_StockCount[WeekIndex],39),IF((COUNTIFS(T_SelfStock[RM_Code],$A64,T_SelfStock[WeekIndex],39)&gt;0)*(COUNTIFS(T_TTAFStock[RM_Code],$A64,T_TTAFStock[WeekIndex],39)&gt;0)&gt;0,SUMIFS(T_SelfStock[Self_Qty],T_SelfStock[RM_Code],$A64,T_SelfStock[WeekIndex],39)+SUMIFS(T_TTAFStock[TTAF_Qty],T_TTAFStock[RM_Code],$A64,T_TTAFStock[WeekIndex],39),AM64+'Grid_Incoming'!AN64-'Grid_Requirement'!AN64))</f>
        <v/>
      </c>
      <c r="AO64">
        <f>IF(COUNTIFS(T_StockCount[RM_Code],$A64,T_StockCount[WeekIndex],40)&gt;0,SUMIFS(T_StockCount[CountedQty],T_StockCount[RM_Code],$A64,T_StockCount[WeekIndex],40),IF((COUNTIFS(T_SelfStock[RM_Code],$A64,T_SelfStock[WeekIndex],40)&gt;0)*(COUNTIFS(T_TTAFStock[RM_Code],$A64,T_TTAFStock[WeekIndex],40)&gt;0)&gt;0,SUMIFS(T_SelfStock[Self_Qty],T_SelfStock[RM_Code],$A64,T_SelfStock[WeekIndex],40)+SUMIFS(T_TTAFStock[TTAF_Qty],T_TTAFStock[RM_Code],$A64,T_TTAFStock[WeekIndex],40),AN64+'Grid_Incoming'!AO64-'Grid_Requirement'!AO64))</f>
        <v/>
      </c>
      <c r="AP64">
        <f>IF(COUNTIFS(T_StockCount[RM_Code],$A64,T_StockCount[WeekIndex],41)&gt;0,SUMIFS(T_StockCount[CountedQty],T_StockCount[RM_Code],$A64,T_StockCount[WeekIndex],41),IF((COUNTIFS(T_SelfStock[RM_Code],$A64,T_SelfStock[WeekIndex],41)&gt;0)*(COUNTIFS(T_TTAFStock[RM_Code],$A64,T_TTAFStock[WeekIndex],41)&gt;0)&gt;0,SUMIFS(T_SelfStock[Self_Qty],T_SelfStock[RM_Code],$A64,T_SelfStock[WeekIndex],41)+SUMIFS(T_TTAFStock[TTAF_Qty],T_TTAFStock[RM_Code],$A64,T_TTAFStock[WeekIndex],41),AO64+'Grid_Incoming'!AP64-'Grid_Requirement'!AP64))</f>
        <v/>
      </c>
      <c r="AQ64">
        <f>IF(COUNTIFS(T_StockCount[RM_Code],$A64,T_StockCount[WeekIndex],42)&gt;0,SUMIFS(T_StockCount[CountedQty],T_StockCount[RM_Code],$A64,T_StockCount[WeekIndex],42),IF((COUNTIFS(T_SelfStock[RM_Code],$A64,T_SelfStock[WeekIndex],42)&gt;0)*(COUNTIFS(T_TTAFStock[RM_Code],$A64,T_TTAFStock[WeekIndex],42)&gt;0)&gt;0,SUMIFS(T_SelfStock[Self_Qty],T_SelfStock[RM_Code],$A64,T_SelfStock[WeekIndex],42)+SUMIFS(T_TTAFStock[TTAF_Qty],T_TTAFStock[RM_Code],$A64,T_TTAFStock[WeekIndex],42),AP64+'Grid_Incoming'!AQ64-'Grid_Requirement'!AQ64))</f>
        <v/>
      </c>
      <c r="AR64">
        <f>IF(COUNTIFS(T_StockCount[RM_Code],$A64,T_StockCount[WeekIndex],43)&gt;0,SUMIFS(T_StockCount[CountedQty],T_StockCount[RM_Code],$A64,T_StockCount[WeekIndex],43),IF((COUNTIFS(T_SelfStock[RM_Code],$A64,T_SelfStock[WeekIndex],43)&gt;0)*(COUNTIFS(T_TTAFStock[RM_Code],$A64,T_TTAFStock[WeekIndex],43)&gt;0)&gt;0,SUMIFS(T_SelfStock[Self_Qty],T_SelfStock[RM_Code],$A64,T_SelfStock[WeekIndex],43)+SUMIFS(T_TTAFStock[TTAF_Qty],T_TTAFStock[RM_Code],$A64,T_TTAFStock[WeekIndex],43),AQ64+'Grid_Incoming'!AR64-'Grid_Requirement'!AR64))</f>
        <v/>
      </c>
      <c r="AS64">
        <f>IF(COUNTIFS(T_StockCount[RM_Code],$A64,T_StockCount[WeekIndex],44)&gt;0,SUMIFS(T_StockCount[CountedQty],T_StockCount[RM_Code],$A64,T_StockCount[WeekIndex],44),IF((COUNTIFS(T_SelfStock[RM_Code],$A64,T_SelfStock[WeekIndex],44)&gt;0)*(COUNTIFS(T_TTAFStock[RM_Code],$A64,T_TTAFStock[WeekIndex],44)&gt;0)&gt;0,SUMIFS(T_SelfStock[Self_Qty],T_SelfStock[RM_Code],$A64,T_SelfStock[WeekIndex],44)+SUMIFS(T_TTAFStock[TTAF_Qty],T_TTAFStock[RM_Code],$A64,T_TTAFStock[WeekIndex],44),AR64+'Grid_Incoming'!AS64-'Grid_Requirement'!AS64))</f>
        <v/>
      </c>
      <c r="AT64">
        <f>IF(COUNTIFS(T_StockCount[RM_Code],$A64,T_StockCount[WeekIndex],45)&gt;0,SUMIFS(T_StockCount[CountedQty],T_StockCount[RM_Code],$A64,T_StockCount[WeekIndex],45),IF((COUNTIFS(T_SelfStock[RM_Code],$A64,T_SelfStock[WeekIndex],45)&gt;0)*(COUNTIFS(T_TTAFStock[RM_Code],$A64,T_TTAFStock[WeekIndex],45)&gt;0)&gt;0,SUMIFS(T_SelfStock[Self_Qty],T_SelfStock[RM_Code],$A64,T_SelfStock[WeekIndex],45)+SUMIFS(T_TTAFStock[TTAF_Qty],T_TTAFStock[RM_Code],$A64,T_TTAFStock[WeekIndex],45),AS64+'Grid_Incoming'!AT64-'Grid_Requirement'!AT64))</f>
        <v/>
      </c>
      <c r="AU64">
        <f>IF(COUNTIFS(T_StockCount[RM_Code],$A64,T_StockCount[WeekIndex],46)&gt;0,SUMIFS(T_StockCount[CountedQty],T_StockCount[RM_Code],$A64,T_StockCount[WeekIndex],46),IF((COUNTIFS(T_SelfStock[RM_Code],$A64,T_SelfStock[WeekIndex],46)&gt;0)*(COUNTIFS(T_TTAFStock[RM_Code],$A64,T_TTAFStock[WeekIndex],46)&gt;0)&gt;0,SUMIFS(T_SelfStock[Self_Qty],T_SelfStock[RM_Code],$A64,T_SelfStock[WeekIndex],46)+SUMIFS(T_TTAFStock[TTAF_Qty],T_TTAFStock[RM_Code],$A64,T_TTAFStock[WeekIndex],46),AT64+'Grid_Incoming'!AU64-'Grid_Requirement'!AU64))</f>
        <v/>
      </c>
      <c r="AV64">
        <f>IF(COUNTIFS(T_StockCount[RM_Code],$A64,T_StockCount[WeekIndex],47)&gt;0,SUMIFS(T_StockCount[CountedQty],T_StockCount[RM_Code],$A64,T_StockCount[WeekIndex],47),IF((COUNTIFS(T_SelfStock[RM_Code],$A64,T_SelfStock[WeekIndex],47)&gt;0)*(COUNTIFS(T_TTAFStock[RM_Code],$A64,T_TTAFStock[WeekIndex],47)&gt;0)&gt;0,SUMIFS(T_SelfStock[Self_Qty],T_SelfStock[RM_Code],$A64,T_SelfStock[WeekIndex],47)+SUMIFS(T_TTAFStock[TTAF_Qty],T_TTAFStock[RM_Code],$A64,T_TTAFStock[WeekIndex],47),AU64+'Grid_Incoming'!AV64-'Grid_Requirement'!AV64))</f>
        <v/>
      </c>
      <c r="AW64">
        <f>IF(COUNTIFS(T_StockCount[RM_Code],$A64,T_StockCount[WeekIndex],48)&gt;0,SUMIFS(T_StockCount[CountedQty],T_StockCount[RM_Code],$A64,T_StockCount[WeekIndex],48),IF((COUNTIFS(T_SelfStock[RM_Code],$A64,T_SelfStock[WeekIndex],48)&gt;0)*(COUNTIFS(T_TTAFStock[RM_Code],$A64,T_TTAFStock[WeekIndex],48)&gt;0)&gt;0,SUMIFS(T_SelfStock[Self_Qty],T_SelfStock[RM_Code],$A64,T_SelfStock[WeekIndex],48)+SUMIFS(T_TTAFStock[TTAF_Qty],T_TTAFStock[RM_Code],$A64,T_TTAFStock[WeekIndex],48),AV64+'Grid_Incoming'!AW64-'Grid_Requirement'!AW64))</f>
        <v/>
      </c>
      <c r="AX64">
        <f>IF(COUNTIFS(T_StockCount[RM_Code],$A64,T_StockCount[WeekIndex],49)&gt;0,SUMIFS(T_StockCount[CountedQty],T_StockCount[RM_Code],$A64,T_StockCount[WeekIndex],49),IF((COUNTIFS(T_SelfStock[RM_Code],$A64,T_SelfStock[WeekIndex],49)&gt;0)*(COUNTIFS(T_TTAFStock[RM_Code],$A64,T_TTAFStock[WeekIndex],49)&gt;0)&gt;0,SUMIFS(T_SelfStock[Self_Qty],T_SelfStock[RM_Code],$A64,T_SelfStock[WeekIndex],49)+SUMIFS(T_TTAFStock[TTAF_Qty],T_TTAFStock[RM_Code],$A64,T_TTAFStock[WeekIndex],49),AW64+'Grid_Incoming'!AX64-'Grid_Requirement'!AX64))</f>
        <v/>
      </c>
      <c r="AY64">
        <f>IF(COUNTIFS(T_StockCount[RM_Code],$A64,T_StockCount[WeekIndex],50)&gt;0,SUMIFS(T_StockCount[CountedQty],T_StockCount[RM_Code],$A64,T_StockCount[WeekIndex],50),IF((COUNTIFS(T_SelfStock[RM_Code],$A64,T_SelfStock[WeekIndex],50)&gt;0)*(COUNTIFS(T_TTAFStock[RM_Code],$A64,T_TTAFStock[WeekIndex],50)&gt;0)&gt;0,SUMIFS(T_SelfStock[Self_Qty],T_SelfStock[RM_Code],$A64,T_SelfStock[WeekIndex],50)+SUMIFS(T_TTAFStock[TTAF_Qty],T_TTAFStock[RM_Code],$A64,T_TTAFStock[WeekIndex],50),AX64+'Grid_Incoming'!AY64-'Grid_Requirement'!AY64))</f>
        <v/>
      </c>
      <c r="AZ64">
        <f>IF(COUNTIFS(T_StockCount[RM_Code],$A64,T_StockCount[WeekIndex],51)&gt;0,SUMIFS(T_StockCount[CountedQty],T_StockCount[RM_Code],$A64,T_StockCount[WeekIndex],51),IF((COUNTIFS(T_SelfStock[RM_Code],$A64,T_SelfStock[WeekIndex],51)&gt;0)*(COUNTIFS(T_TTAFStock[RM_Code],$A64,T_TTAFStock[WeekIndex],51)&gt;0)&gt;0,SUMIFS(T_SelfStock[Self_Qty],T_SelfStock[RM_Code],$A64,T_SelfStock[WeekIndex],51)+SUMIFS(T_TTAFStock[TTAF_Qty],T_TTAFStock[RM_Code],$A64,T_TTAFStock[WeekIndex],51),AY64+'Grid_Incoming'!AZ64-'Grid_Requirement'!AZ64))</f>
        <v/>
      </c>
      <c r="BA64">
        <f>IF(COUNTIFS(T_StockCount[RM_Code],$A64,T_StockCount[WeekIndex],52)&gt;0,SUMIFS(T_StockCount[CountedQty],T_StockCount[RM_Code],$A64,T_StockCount[WeekIndex],52),IF((COUNTIFS(T_SelfStock[RM_Code],$A64,T_SelfStock[WeekIndex],52)&gt;0)*(COUNTIFS(T_TTAFStock[RM_Code],$A64,T_TTAFStock[WeekIndex],52)&gt;0)&gt;0,SUMIFS(T_SelfStock[Self_Qty],T_SelfStock[RM_Code],$A64,T_SelfStock[WeekIndex],52)+SUMIFS(T_TTAFStock[TTAF_Qty],T_TTAFStock[RM_Code],$A64,T_TTAFStock[WeekIndex],52),AZ64+'Grid_Incoming'!BA64-'Grid_Requirement'!BA64))</f>
        <v/>
      </c>
      <c r="BB64">
        <f>IF(COUNTIFS(T_StockCount[RM_Code],$A64,T_StockCount[WeekIndex],53)&gt;0,SUMIFS(T_StockCount[CountedQty],T_StockCount[RM_Code],$A64,T_StockCount[WeekIndex],53),IF((COUNTIFS(T_SelfStock[RM_Code],$A64,T_SelfStock[WeekIndex],53)&gt;0)*(COUNTIFS(T_TTAFStock[RM_Code],$A64,T_TTAFStock[WeekIndex],53)&gt;0)&gt;0,SUMIFS(T_SelfStock[Self_Qty],T_SelfStock[RM_Code],$A64,T_SelfStock[WeekIndex],53)+SUMIFS(T_TTAFStock[TTAF_Qty],T_TTAFStock[RM_Code],$A64,T_TTAFStock[WeekIndex],53),BA64+'Grid_Incoming'!BB64-'Grid_Requirement'!BB64))</f>
        <v/>
      </c>
      <c r="BC64">
        <f>IF(COUNTIFS(T_StockCount[RM_Code],$A64,T_StockCount[WeekIndex],54)&gt;0,SUMIFS(T_StockCount[CountedQty],T_StockCount[RM_Code],$A64,T_StockCount[WeekIndex],54),IF((COUNTIFS(T_SelfStock[RM_Code],$A64,T_SelfStock[WeekIndex],54)&gt;0)*(COUNTIFS(T_TTAFStock[RM_Code],$A64,T_TTAFStock[WeekIndex],54)&gt;0)&gt;0,SUMIFS(T_SelfStock[Self_Qty],T_SelfStock[RM_Code],$A64,T_SelfStock[WeekIndex],54)+SUMIFS(T_TTAFStock[TTAF_Qty],T_TTAFStock[RM_Code],$A64,T_TTAFStock[WeekIndex],54),BB64+'Grid_Incoming'!BC64-'Grid_Requirement'!BC64))</f>
        <v/>
      </c>
      <c r="BD64">
        <f>IF(COUNTIFS(T_StockCount[RM_Code],$A64,T_StockCount[WeekIndex],55)&gt;0,SUMIFS(T_StockCount[CountedQty],T_StockCount[RM_Code],$A64,T_StockCount[WeekIndex],55),IF((COUNTIFS(T_SelfStock[RM_Code],$A64,T_SelfStock[WeekIndex],55)&gt;0)*(COUNTIFS(T_TTAFStock[RM_Code],$A64,T_TTAFStock[WeekIndex],55)&gt;0)&gt;0,SUMIFS(T_SelfStock[Self_Qty],T_SelfStock[RM_Code],$A64,T_SelfStock[WeekIndex],55)+SUMIFS(T_TTAFStock[TTAF_Qty],T_TTAFStock[RM_Code],$A64,T_TTAFStock[WeekIndex],55),BC64+'Grid_Incoming'!BD64-'Grid_Requirement'!BD64))</f>
        <v/>
      </c>
      <c r="BE64">
        <f>IF(COUNTIFS(T_StockCount[RM_Code],$A64,T_StockCount[WeekIndex],56)&gt;0,SUMIFS(T_StockCount[CountedQty],T_StockCount[RM_Code],$A64,T_StockCount[WeekIndex],56),IF((COUNTIFS(T_SelfStock[RM_Code],$A64,T_SelfStock[WeekIndex],56)&gt;0)*(COUNTIFS(T_TTAFStock[RM_Code],$A64,T_TTAFStock[WeekIndex],56)&gt;0)&gt;0,SUMIFS(T_SelfStock[Self_Qty],T_SelfStock[RM_Code],$A64,T_SelfStock[WeekIndex],56)+SUMIFS(T_TTAFStock[TTAF_Qty],T_TTAFStock[RM_Code],$A64,T_TTAFStock[WeekIndex],56),BD64+'Grid_Incoming'!BE64-'Grid_Requirement'!BE64))</f>
        <v/>
      </c>
      <c r="BF64">
        <f>IF(COUNTIFS(T_StockCount[RM_Code],$A64,T_StockCount[WeekIndex],57)&gt;0,SUMIFS(T_StockCount[CountedQty],T_StockCount[RM_Code],$A64,T_StockCount[WeekIndex],57),IF((COUNTIFS(T_SelfStock[RM_Code],$A64,T_SelfStock[WeekIndex],57)&gt;0)*(COUNTIFS(T_TTAFStock[RM_Code],$A64,T_TTAFStock[WeekIndex],57)&gt;0)&gt;0,SUMIFS(T_SelfStock[Self_Qty],T_SelfStock[RM_Code],$A64,T_SelfStock[WeekIndex],57)+SUMIFS(T_TTAFStock[TTAF_Qty],T_TTAFStock[RM_Code],$A64,T_TTAFStock[WeekIndex],57),BE64+'Grid_Incoming'!BF64-'Grid_Requirement'!BF64))</f>
        <v/>
      </c>
      <c r="BG64">
        <f>IF(COUNTIFS(T_StockCount[RM_Code],$A64,T_StockCount[WeekIndex],58)&gt;0,SUMIFS(T_StockCount[CountedQty],T_StockCount[RM_Code],$A64,T_StockCount[WeekIndex],58),IF((COUNTIFS(T_SelfStock[RM_Code],$A64,T_SelfStock[WeekIndex],58)&gt;0)*(COUNTIFS(T_TTAFStock[RM_Code],$A64,T_TTAFStock[WeekIndex],58)&gt;0)&gt;0,SUMIFS(T_SelfStock[Self_Qty],T_SelfStock[RM_Code],$A64,T_SelfStock[WeekIndex],58)+SUMIFS(T_TTAFStock[TTAF_Qty],T_TTAFStock[RM_Code],$A64,T_TTAFStock[WeekIndex],58),BF64+'Grid_Incoming'!BG64-'Grid_Requirement'!BG64))</f>
        <v/>
      </c>
      <c r="BH64">
        <f>IF(COUNTIFS(T_StockCount[RM_Code],$A64,T_StockCount[WeekIndex],59)&gt;0,SUMIFS(T_StockCount[CountedQty],T_StockCount[RM_Code],$A64,T_StockCount[WeekIndex],59),IF((COUNTIFS(T_SelfStock[RM_Code],$A64,T_SelfStock[WeekIndex],59)&gt;0)*(COUNTIFS(T_TTAFStock[RM_Code],$A64,T_TTAFStock[WeekIndex],59)&gt;0)&gt;0,SUMIFS(T_SelfStock[Self_Qty],T_SelfStock[RM_Code],$A64,T_SelfStock[WeekIndex],59)+SUMIFS(T_TTAFStock[TTAF_Qty],T_TTAFStock[RM_Code],$A64,T_TTAFStock[WeekIndex],59),BG64+'Grid_Incoming'!BH64-'Grid_Requirement'!BH64))</f>
        <v/>
      </c>
      <c r="BI64">
        <f>IF(COUNTIFS(T_StockCount[RM_Code],$A64,T_StockCount[WeekIndex],60)&gt;0,SUMIFS(T_StockCount[CountedQty],T_StockCount[RM_Code],$A64,T_StockCount[WeekIndex],60),IF((COUNTIFS(T_SelfStock[RM_Code],$A64,T_SelfStock[WeekIndex],60)&gt;0)*(COUNTIFS(T_TTAFStock[RM_Code],$A64,T_TTAFStock[WeekIndex],60)&gt;0)&gt;0,SUMIFS(T_SelfStock[Self_Qty],T_SelfStock[RM_Code],$A64,T_SelfStock[WeekIndex],60)+SUMIFS(T_TTAFStock[TTAF_Qty],T_TTAFStock[RM_Code],$A64,T_TTAFStock[WeekIndex],60),BH64+'Grid_Incoming'!BI64-'Grid_Requirement'!BI64))</f>
        <v/>
      </c>
      <c r="BJ64">
        <f>IF(COUNTIFS(T_StockCount[RM_Code],$A64,T_StockCount[WeekIndex],61)&gt;0,SUMIFS(T_StockCount[CountedQty],T_StockCount[RM_Code],$A64,T_StockCount[WeekIndex],61),IF((COUNTIFS(T_SelfStock[RM_Code],$A64,T_SelfStock[WeekIndex],61)&gt;0)*(COUNTIFS(T_TTAFStock[RM_Code],$A64,T_TTAFStock[WeekIndex],61)&gt;0)&gt;0,SUMIFS(T_SelfStock[Self_Qty],T_SelfStock[RM_Code],$A64,T_SelfStock[WeekIndex],61)+SUMIFS(T_TTAFStock[TTAF_Qty],T_TTAFStock[RM_Code],$A64,T_TTAFStock[WeekIndex],61),BI64+'Grid_Incoming'!BJ64-'Grid_Requirement'!BJ64))</f>
        <v/>
      </c>
      <c r="BK64">
        <f>IF(COUNTIFS(T_StockCount[RM_Code],$A64,T_StockCount[WeekIndex],62)&gt;0,SUMIFS(T_StockCount[CountedQty],T_StockCount[RM_Code],$A64,T_StockCount[WeekIndex],62),IF((COUNTIFS(T_SelfStock[RM_Code],$A64,T_SelfStock[WeekIndex],62)&gt;0)*(COUNTIFS(T_TTAFStock[RM_Code],$A64,T_TTAFStock[WeekIndex],62)&gt;0)&gt;0,SUMIFS(T_SelfStock[Self_Qty],T_SelfStock[RM_Code],$A64,T_SelfStock[WeekIndex],62)+SUMIFS(T_TTAFStock[TTAF_Qty],T_TTAFStock[RM_Code],$A64,T_TTAFStock[WeekIndex],62),BJ64+'Grid_Incoming'!BK64-'Grid_Requirement'!BK64))</f>
        <v/>
      </c>
      <c r="BL64">
        <f>IF(COUNTIFS(T_StockCount[RM_Code],$A64,T_StockCount[WeekIndex],63)&gt;0,SUMIFS(T_StockCount[CountedQty],T_StockCount[RM_Code],$A64,T_StockCount[WeekIndex],63),IF((COUNTIFS(T_SelfStock[RM_Code],$A64,T_SelfStock[WeekIndex],63)&gt;0)*(COUNTIFS(T_TTAFStock[RM_Code],$A64,T_TTAFStock[WeekIndex],63)&gt;0)&gt;0,SUMIFS(T_SelfStock[Self_Qty],T_SelfStock[RM_Code],$A64,T_SelfStock[WeekIndex],63)+SUMIFS(T_TTAFStock[TTAF_Qty],T_TTAFStock[RM_Code],$A64,T_TTAFStock[WeekIndex],63),BK64+'Grid_Incoming'!BL64-'Grid_Requirement'!BL64))</f>
        <v/>
      </c>
      <c r="BM64">
        <f>IF(COUNTIFS(T_StockCount[RM_Code],$A64,T_StockCount[WeekIndex],64)&gt;0,SUMIFS(T_StockCount[CountedQty],T_StockCount[RM_Code],$A64,T_StockCount[WeekIndex],64),IF((COUNTIFS(T_SelfStock[RM_Code],$A64,T_SelfStock[WeekIndex],64)&gt;0)*(COUNTIFS(T_TTAFStock[RM_Code],$A64,T_TTAFStock[WeekIndex],64)&gt;0)&gt;0,SUMIFS(T_SelfStock[Self_Qty],T_SelfStock[RM_Code],$A64,T_SelfStock[WeekIndex],64)+SUMIFS(T_TTAFStock[TTAF_Qty],T_TTAFStock[RM_Code],$A64,T_TTAFStock[WeekIndex],64),BL64+'Grid_Incoming'!BM64-'Grid_Requirement'!BM64))</f>
        <v/>
      </c>
      <c r="BN64">
        <f>IF(COUNTIFS(T_StockCount[RM_Code],$A64,T_StockCount[WeekIndex],65)&gt;0,SUMIFS(T_StockCount[CountedQty],T_StockCount[RM_Code],$A64,T_StockCount[WeekIndex],65),IF((COUNTIFS(T_SelfStock[RM_Code],$A64,T_SelfStock[WeekIndex],65)&gt;0)*(COUNTIFS(T_TTAFStock[RM_Code],$A64,T_TTAFStock[WeekIndex],65)&gt;0)&gt;0,SUMIFS(T_SelfStock[Self_Qty],T_SelfStock[RM_Code],$A64,T_SelfStock[WeekIndex],65)+SUMIFS(T_TTAFStock[TTAF_Qty],T_TTAFStock[RM_Code],$A64,T_TTAFStock[WeekIndex],65),BM64+'Grid_Incoming'!BN64-'Grid_Requirement'!BN64))</f>
        <v/>
      </c>
      <c r="BO64">
        <f>IF(COUNTIFS(T_StockCount[RM_Code],$A64,T_StockCount[WeekIndex],66)&gt;0,SUMIFS(T_StockCount[CountedQty],T_StockCount[RM_Code],$A64,T_StockCount[WeekIndex],66),IF((COUNTIFS(T_SelfStock[RM_Code],$A64,T_SelfStock[WeekIndex],66)&gt;0)*(COUNTIFS(T_TTAFStock[RM_Code],$A64,T_TTAFStock[WeekIndex],66)&gt;0)&gt;0,SUMIFS(T_SelfStock[Self_Qty],T_SelfStock[RM_Code],$A64,T_SelfStock[WeekIndex],66)+SUMIFS(T_TTAFStock[TTAF_Qty],T_TTAFStock[RM_Code],$A64,T_TTAFStock[WeekIndex],66),BN64+'Grid_Incoming'!BO64-'Grid_Requirement'!BO64))</f>
        <v/>
      </c>
      <c r="BP64">
        <f>IF(COUNTIFS(T_StockCount[RM_Code],$A64,T_StockCount[WeekIndex],67)&gt;0,SUMIFS(T_StockCount[CountedQty],T_StockCount[RM_Code],$A64,T_StockCount[WeekIndex],67),IF((COUNTIFS(T_SelfStock[RM_Code],$A64,T_SelfStock[WeekIndex],67)&gt;0)*(COUNTIFS(T_TTAFStock[RM_Code],$A64,T_TTAFStock[WeekIndex],67)&gt;0)&gt;0,SUMIFS(T_SelfStock[Self_Qty],T_SelfStock[RM_Code],$A64,T_SelfStock[WeekIndex],67)+SUMIFS(T_TTAFStock[TTAF_Qty],T_TTAFStock[RM_Code],$A64,T_TTAFStock[WeekIndex],67),BO64+'Grid_Incoming'!BP64-'Grid_Requirement'!BP64))</f>
        <v/>
      </c>
      <c r="BQ64">
        <f>IF(COUNTIFS(T_StockCount[RM_Code],$A64,T_StockCount[WeekIndex],68)&gt;0,SUMIFS(T_StockCount[CountedQty],T_StockCount[RM_Code],$A64,T_StockCount[WeekIndex],68),IF((COUNTIFS(T_SelfStock[RM_Code],$A64,T_SelfStock[WeekIndex],68)&gt;0)*(COUNTIFS(T_TTAFStock[RM_Code],$A64,T_TTAFStock[WeekIndex],68)&gt;0)&gt;0,SUMIFS(T_SelfStock[Self_Qty],T_SelfStock[RM_Code],$A64,T_SelfStock[WeekIndex],68)+SUMIFS(T_TTAFStock[TTAF_Qty],T_TTAFStock[RM_Code],$A64,T_TTAFStock[WeekIndex],68),BP64+'Grid_Incoming'!BQ64-'Grid_Requirement'!BQ64))</f>
        <v/>
      </c>
      <c r="BR64">
        <f>IF(COUNTIFS(T_StockCount[RM_Code],$A64,T_StockCount[WeekIndex],69)&gt;0,SUMIFS(T_StockCount[CountedQty],T_StockCount[RM_Code],$A64,T_StockCount[WeekIndex],69),IF((COUNTIFS(T_SelfStock[RM_Code],$A64,T_SelfStock[WeekIndex],69)&gt;0)*(COUNTIFS(T_TTAFStock[RM_Code],$A64,T_TTAFStock[WeekIndex],69)&gt;0)&gt;0,SUMIFS(T_SelfStock[Self_Qty],T_SelfStock[RM_Code],$A64,T_SelfStock[WeekIndex],69)+SUMIFS(T_TTAFStock[TTAF_Qty],T_TTAFStock[RM_Code],$A64,T_TTAFStock[WeekIndex],69),BQ64+'Grid_Incoming'!BR64-'Grid_Requirement'!BR64))</f>
        <v/>
      </c>
      <c r="BS64">
        <f>IF(COUNTIFS(T_StockCount[RM_Code],$A64,T_StockCount[WeekIndex],70)&gt;0,SUMIFS(T_StockCount[CountedQty],T_StockCount[RM_Code],$A64,T_StockCount[WeekIndex],70),IF((COUNTIFS(T_SelfStock[RM_Code],$A64,T_SelfStock[WeekIndex],70)&gt;0)*(COUNTIFS(T_TTAFStock[RM_Code],$A64,T_TTAFStock[WeekIndex],70)&gt;0)&gt;0,SUMIFS(T_SelfStock[Self_Qty],T_SelfStock[RM_Code],$A64,T_SelfStock[WeekIndex],70)+SUMIFS(T_TTAFStock[TTAF_Qty],T_TTAFStock[RM_Code],$A64,T_TTAFStock[WeekIndex],70),BR64+'Grid_Incoming'!BS64-'Grid_Requirement'!BS64))</f>
        <v/>
      </c>
      <c r="BT64">
        <f>IF(COUNTIFS(T_StockCount[RM_Code],$A64,T_StockCount[WeekIndex],71)&gt;0,SUMIFS(T_StockCount[CountedQty],T_StockCount[RM_Code],$A64,T_StockCount[WeekIndex],71),IF((COUNTIFS(T_SelfStock[RM_Code],$A64,T_SelfStock[WeekIndex],71)&gt;0)*(COUNTIFS(T_TTAFStock[RM_Code],$A64,T_TTAFStock[WeekIndex],71)&gt;0)&gt;0,SUMIFS(T_SelfStock[Self_Qty],T_SelfStock[RM_Code],$A64,T_SelfStock[WeekIndex],71)+SUMIFS(T_TTAFStock[TTAF_Qty],T_TTAFStock[RM_Code],$A64,T_TTAFStock[WeekIndex],71),BS64+'Grid_Incoming'!BT64-'Grid_Requirement'!BT64))</f>
        <v/>
      </c>
      <c r="BU64">
        <f>IF(COUNTIFS(T_StockCount[RM_Code],$A64,T_StockCount[WeekIndex],72)&gt;0,SUMIFS(T_StockCount[CountedQty],T_StockCount[RM_Code],$A64,T_StockCount[WeekIndex],72),IF((COUNTIFS(T_SelfStock[RM_Code],$A64,T_SelfStock[WeekIndex],72)&gt;0)*(COUNTIFS(T_TTAFStock[RM_Code],$A64,T_TTAFStock[WeekIndex],72)&gt;0)&gt;0,SUMIFS(T_SelfStock[Self_Qty],T_SelfStock[RM_Code],$A64,T_SelfStock[WeekIndex],72)+SUMIFS(T_TTAFStock[TTAF_Qty],T_TTAFStock[RM_Code],$A64,T_TTAFStock[WeekIndex],72),BT64+'Grid_Incoming'!BU64-'Grid_Requirement'!BU64))</f>
        <v/>
      </c>
      <c r="BV64">
        <f>IF(COUNTIFS(T_StockCount[RM_Code],$A64,T_StockCount[WeekIndex],73)&gt;0,SUMIFS(T_StockCount[CountedQty],T_StockCount[RM_Code],$A64,T_StockCount[WeekIndex],73),IF((COUNTIFS(T_SelfStock[RM_Code],$A64,T_SelfStock[WeekIndex],73)&gt;0)*(COUNTIFS(T_TTAFStock[RM_Code],$A64,T_TTAFStock[WeekIndex],73)&gt;0)&gt;0,SUMIFS(T_SelfStock[Self_Qty],T_SelfStock[RM_Code],$A64,T_SelfStock[WeekIndex],73)+SUMIFS(T_TTAFStock[TTAF_Qty],T_TTAFStock[RM_Code],$A64,T_TTAFStock[WeekIndex],73),BU64+'Grid_Incoming'!BV64-'Grid_Requirement'!BV64))</f>
        <v/>
      </c>
      <c r="BW64">
        <f>IF(COUNTIFS(T_StockCount[RM_Code],$A64,T_StockCount[WeekIndex],74)&gt;0,SUMIFS(T_StockCount[CountedQty],T_StockCount[RM_Code],$A64,T_StockCount[WeekIndex],74),IF((COUNTIFS(T_SelfStock[RM_Code],$A64,T_SelfStock[WeekIndex],74)&gt;0)*(COUNTIFS(T_TTAFStock[RM_Code],$A64,T_TTAFStock[WeekIndex],74)&gt;0)&gt;0,SUMIFS(T_SelfStock[Self_Qty],T_SelfStock[RM_Code],$A64,T_SelfStock[WeekIndex],74)+SUMIFS(T_TTAFStock[TTAF_Qty],T_TTAFStock[RM_Code],$A64,T_TTAFStock[WeekIndex],74),BV64+'Grid_Incoming'!BW64-'Grid_Requirement'!BW64))</f>
        <v/>
      </c>
      <c r="BX64">
        <f>IF(COUNTIFS(T_StockCount[RM_Code],$A64,T_StockCount[WeekIndex],75)&gt;0,SUMIFS(T_StockCount[CountedQty],T_StockCount[RM_Code],$A64,T_StockCount[WeekIndex],75),IF((COUNTIFS(T_SelfStock[RM_Code],$A64,T_SelfStock[WeekIndex],75)&gt;0)*(COUNTIFS(T_TTAFStock[RM_Code],$A64,T_TTAFStock[WeekIndex],75)&gt;0)&gt;0,SUMIFS(T_SelfStock[Self_Qty],T_SelfStock[RM_Code],$A64,T_SelfStock[WeekIndex],75)+SUMIFS(T_TTAFStock[TTAF_Qty],T_TTAFStock[RM_Code],$A64,T_TTAFStock[WeekIndex],75),BW64+'Grid_Incoming'!BX64-'Grid_Requirement'!BX64))</f>
        <v/>
      </c>
      <c r="BY64">
        <f>IF(COUNTIFS(T_StockCount[RM_Code],$A64,T_StockCount[WeekIndex],76)&gt;0,SUMIFS(T_StockCount[CountedQty],T_StockCount[RM_Code],$A64,T_StockCount[WeekIndex],76),IF((COUNTIFS(T_SelfStock[RM_Code],$A64,T_SelfStock[WeekIndex],76)&gt;0)*(COUNTIFS(T_TTAFStock[RM_Code],$A64,T_TTAFStock[WeekIndex],76)&gt;0)&gt;0,SUMIFS(T_SelfStock[Self_Qty],T_SelfStock[RM_Code],$A64,T_SelfStock[WeekIndex],76)+SUMIFS(T_TTAFStock[TTAF_Qty],T_TTAFStock[RM_Code],$A64,T_TTAFStock[WeekIndex],76),BX64+'Grid_Incoming'!BY64-'Grid_Requirement'!BY64))</f>
        <v/>
      </c>
      <c r="BZ64">
        <f>IF(COUNTIFS(T_StockCount[RM_Code],$A64,T_StockCount[WeekIndex],77)&gt;0,SUMIFS(T_StockCount[CountedQty],T_StockCount[RM_Code],$A64,T_StockCount[WeekIndex],77),IF((COUNTIFS(T_SelfStock[RM_Code],$A64,T_SelfStock[WeekIndex],77)&gt;0)*(COUNTIFS(T_TTAFStock[RM_Code],$A64,T_TTAFStock[WeekIndex],77)&gt;0)&gt;0,SUMIFS(T_SelfStock[Self_Qty],T_SelfStock[RM_Code],$A64,T_SelfStock[WeekIndex],77)+SUMIFS(T_TTAFStock[TTAF_Qty],T_TTAFStock[RM_Code],$A64,T_TTAFStock[WeekIndex],77),BY64+'Grid_Incoming'!BZ64-'Grid_Requirement'!BZ64))</f>
        <v/>
      </c>
      <c r="CA64">
        <f>IF(COUNTIFS(T_StockCount[RM_Code],$A64,T_StockCount[WeekIndex],78)&gt;0,SUMIFS(T_StockCount[CountedQty],T_StockCount[RM_Code],$A64,T_StockCount[WeekIndex],78),IF((COUNTIFS(T_SelfStock[RM_Code],$A64,T_SelfStock[WeekIndex],78)&gt;0)*(COUNTIFS(T_TTAFStock[RM_Code],$A64,T_TTAFStock[WeekIndex],78)&gt;0)&gt;0,SUMIFS(T_SelfStock[Self_Qty],T_SelfStock[RM_Code],$A64,T_SelfStock[WeekIndex],78)+SUMIFS(T_TTAFStock[TTAF_Qty],T_TTAFStock[RM_Code],$A64,T_TTAFStock[WeekIndex],78),BZ64+'Grid_Incoming'!CA64-'Grid_Requirement'!CA64))</f>
        <v/>
      </c>
      <c r="CB64">
        <f>IF(COUNTIFS(T_StockCount[RM_Code],$A64,T_StockCount[WeekIndex],79)&gt;0,SUMIFS(T_StockCount[CountedQty],T_StockCount[RM_Code],$A64,T_StockCount[WeekIndex],79),IF((COUNTIFS(T_SelfStock[RM_Code],$A64,T_SelfStock[WeekIndex],79)&gt;0)*(COUNTIFS(T_TTAFStock[RM_Code],$A64,T_TTAFStock[WeekIndex],79)&gt;0)&gt;0,SUMIFS(T_SelfStock[Self_Qty],T_SelfStock[RM_Code],$A64,T_SelfStock[WeekIndex],79)+SUMIFS(T_TTAFStock[TTAF_Qty],T_TTAFStock[RM_Code],$A64,T_TTAFStock[WeekIndex],79),CA64+'Grid_Incoming'!CB64-'Grid_Requirement'!CB64))</f>
        <v/>
      </c>
      <c r="CC64">
        <f>IF(COUNTIFS(T_StockCount[RM_Code],$A64,T_StockCount[WeekIndex],80)&gt;0,SUMIFS(T_StockCount[CountedQty],T_StockCount[RM_Code],$A64,T_StockCount[WeekIndex],80),IF((COUNTIFS(T_SelfStock[RM_Code],$A64,T_SelfStock[WeekIndex],80)&gt;0)*(COUNTIFS(T_TTAFStock[RM_Code],$A64,T_TTAFStock[WeekIndex],80)&gt;0)&gt;0,SUMIFS(T_SelfStock[Self_Qty],T_SelfStock[RM_Code],$A64,T_SelfStock[WeekIndex],80)+SUMIFS(T_TTAFStock[TTAF_Qty],T_TTAFStock[RM_Code],$A64,T_TTAFStock[WeekIndex],80),CB64+'Grid_Incoming'!CC64-'Grid_Requirement'!CC64))</f>
        <v/>
      </c>
      <c r="CD64">
        <f>IF(COUNTIFS(T_StockCount[RM_Code],$A64,T_StockCount[WeekIndex],81)&gt;0,SUMIFS(T_StockCount[CountedQty],T_StockCount[RM_Code],$A64,T_StockCount[WeekIndex],81),IF((COUNTIFS(T_SelfStock[RM_Code],$A64,T_SelfStock[WeekIndex],81)&gt;0)*(COUNTIFS(T_TTAFStock[RM_Code],$A64,T_TTAFStock[WeekIndex],81)&gt;0)&gt;0,SUMIFS(T_SelfStock[Self_Qty],T_SelfStock[RM_Code],$A64,T_SelfStock[WeekIndex],81)+SUMIFS(T_TTAFStock[TTAF_Qty],T_TTAFStock[RM_Code],$A64,T_TTAFStock[WeekIndex],81),CC64+'Grid_Incoming'!CD64-'Grid_Requirement'!CD64))</f>
        <v/>
      </c>
      <c r="CE64">
        <f>IF(COUNTIFS(T_StockCount[RM_Code],$A64,T_StockCount[WeekIndex],82)&gt;0,SUMIFS(T_StockCount[CountedQty],T_StockCount[RM_Code],$A64,T_StockCount[WeekIndex],82),IF((COUNTIFS(T_SelfStock[RM_Code],$A64,T_SelfStock[WeekIndex],82)&gt;0)*(COUNTIFS(T_TTAFStock[RM_Code],$A64,T_TTAFStock[WeekIndex],82)&gt;0)&gt;0,SUMIFS(T_SelfStock[Self_Qty],T_SelfStock[RM_Code],$A64,T_SelfStock[WeekIndex],82)+SUMIFS(T_TTAFStock[TTAF_Qty],T_TTAFStock[RM_Code],$A64,T_TTAFStock[WeekIndex],82),CD64+'Grid_Incoming'!CE64-'Grid_Requirement'!CE64))</f>
        <v/>
      </c>
      <c r="CF64">
        <f>IF(COUNTIFS(T_StockCount[RM_Code],$A64,T_StockCount[WeekIndex],83)&gt;0,SUMIFS(T_StockCount[CountedQty],T_StockCount[RM_Code],$A64,T_StockCount[WeekIndex],83),IF((COUNTIFS(T_SelfStock[RM_Code],$A64,T_SelfStock[WeekIndex],83)&gt;0)*(COUNTIFS(T_TTAFStock[RM_Code],$A64,T_TTAFStock[WeekIndex],83)&gt;0)&gt;0,SUMIFS(T_SelfStock[Self_Qty],T_SelfStock[RM_Code],$A64,T_SelfStock[WeekIndex],83)+SUMIFS(T_TTAFStock[TTAF_Qty],T_TTAFStock[RM_Code],$A64,T_TTAFStock[WeekIndex],83),CE64+'Grid_Incoming'!CF64-'Grid_Requirement'!CF64))</f>
        <v/>
      </c>
      <c r="CG64">
        <f>IF(COUNTIFS(T_StockCount[RM_Code],$A64,T_StockCount[WeekIndex],84)&gt;0,SUMIFS(T_StockCount[CountedQty],T_StockCount[RM_Code],$A64,T_StockCount[WeekIndex],84),IF((COUNTIFS(T_SelfStock[RM_Code],$A64,T_SelfStock[WeekIndex],84)&gt;0)*(COUNTIFS(T_TTAFStock[RM_Code],$A64,T_TTAFStock[WeekIndex],84)&gt;0)&gt;0,SUMIFS(T_SelfStock[Self_Qty],T_SelfStock[RM_Code],$A64,T_SelfStock[WeekIndex],84)+SUMIFS(T_TTAFStock[TTAF_Qty],T_TTAFStock[RM_Code],$A64,T_TTAFStock[WeekIndex],84),CF64+'Grid_Incoming'!CG64-'Grid_Requirement'!CG64))</f>
        <v/>
      </c>
      <c r="CH64">
        <f>IF(COUNTIFS(T_StockCount[RM_Code],$A64,T_StockCount[WeekIndex],85)&gt;0,SUMIFS(T_StockCount[CountedQty],T_StockCount[RM_Code],$A64,T_StockCount[WeekIndex],85),IF((COUNTIFS(T_SelfStock[RM_Code],$A64,T_SelfStock[WeekIndex],85)&gt;0)*(COUNTIFS(T_TTAFStock[RM_Code],$A64,T_TTAFStock[WeekIndex],85)&gt;0)&gt;0,SUMIFS(T_SelfStock[Self_Qty],T_SelfStock[RM_Code],$A64,T_SelfStock[WeekIndex],85)+SUMIFS(T_TTAFStock[TTAF_Qty],T_TTAFStock[RM_Code],$A64,T_TTAFStock[WeekIndex],85),CG64+'Grid_Incoming'!CH64-'Grid_Requirement'!CH64))</f>
        <v/>
      </c>
      <c r="CI64">
        <f>IF(COUNTIFS(T_StockCount[RM_Code],$A64,T_StockCount[WeekIndex],86)&gt;0,SUMIFS(T_StockCount[CountedQty],T_StockCount[RM_Code],$A64,T_StockCount[WeekIndex],86),IF((COUNTIFS(T_SelfStock[RM_Code],$A64,T_SelfStock[WeekIndex],86)&gt;0)*(COUNTIFS(T_TTAFStock[RM_Code],$A64,T_TTAFStock[WeekIndex],86)&gt;0)&gt;0,SUMIFS(T_SelfStock[Self_Qty],T_SelfStock[RM_Code],$A64,T_SelfStock[WeekIndex],86)+SUMIFS(T_TTAFStock[TTAF_Qty],T_TTAFStock[RM_Code],$A64,T_TTAFStock[WeekIndex],86),CH64+'Grid_Incoming'!CI64-'Grid_Requirement'!CI64))</f>
        <v/>
      </c>
      <c r="CJ64">
        <f>IF(COUNTIFS(T_StockCount[RM_Code],$A64,T_StockCount[WeekIndex],87)&gt;0,SUMIFS(T_StockCount[CountedQty],T_StockCount[RM_Code],$A64,T_StockCount[WeekIndex],87),IF((COUNTIFS(T_SelfStock[RM_Code],$A64,T_SelfStock[WeekIndex],87)&gt;0)*(COUNTIFS(T_TTAFStock[RM_Code],$A64,T_TTAFStock[WeekIndex],87)&gt;0)&gt;0,SUMIFS(T_SelfStock[Self_Qty],T_SelfStock[RM_Code],$A64,T_SelfStock[WeekIndex],87)+SUMIFS(T_TTAFStock[TTAF_Qty],T_TTAFStock[RM_Code],$A64,T_TTAFStock[WeekIndex],87),CI64+'Grid_Incoming'!CJ64-'Grid_Requirement'!CJ64))</f>
        <v/>
      </c>
      <c r="CK64">
        <f>IF(COUNTIFS(T_StockCount[RM_Code],$A64,T_StockCount[WeekIndex],88)&gt;0,SUMIFS(T_StockCount[CountedQty],T_StockCount[RM_Code],$A64,T_StockCount[WeekIndex],88),IF((COUNTIFS(T_SelfStock[RM_Code],$A64,T_SelfStock[WeekIndex],88)&gt;0)*(COUNTIFS(T_TTAFStock[RM_Code],$A64,T_TTAFStock[WeekIndex],88)&gt;0)&gt;0,SUMIFS(T_SelfStock[Self_Qty],T_SelfStock[RM_Code],$A64,T_SelfStock[WeekIndex],88)+SUMIFS(T_TTAFStock[TTAF_Qty],T_TTAFStock[RM_Code],$A64,T_TTAFStock[WeekIndex],88),CJ64+'Grid_Incoming'!CK64-'Grid_Requirement'!CK64))</f>
        <v/>
      </c>
      <c r="CL64">
        <f>IF(COUNTIFS(T_StockCount[RM_Code],$A64,T_StockCount[WeekIndex],89)&gt;0,SUMIFS(T_StockCount[CountedQty],T_StockCount[RM_Code],$A64,T_StockCount[WeekIndex],89),IF((COUNTIFS(T_SelfStock[RM_Code],$A64,T_SelfStock[WeekIndex],89)&gt;0)*(COUNTIFS(T_TTAFStock[RM_Code],$A64,T_TTAFStock[WeekIndex],89)&gt;0)&gt;0,SUMIFS(T_SelfStock[Self_Qty],T_SelfStock[RM_Code],$A64,T_SelfStock[WeekIndex],89)+SUMIFS(T_TTAFStock[TTAF_Qty],T_TTAFStock[RM_Code],$A64,T_TTAFStock[WeekIndex],89),CK64+'Grid_Incoming'!CL64-'Grid_Requirement'!CL64))</f>
        <v/>
      </c>
      <c r="CM64">
        <f>IF(COUNTIFS(T_StockCount[RM_Code],$A64,T_StockCount[WeekIndex],90)&gt;0,SUMIFS(T_StockCount[CountedQty],T_StockCount[RM_Code],$A64,T_StockCount[WeekIndex],90),IF((COUNTIFS(T_SelfStock[RM_Code],$A64,T_SelfStock[WeekIndex],90)&gt;0)*(COUNTIFS(T_TTAFStock[RM_Code],$A64,T_TTAFStock[WeekIndex],90)&gt;0)&gt;0,SUMIFS(T_SelfStock[Self_Qty],T_SelfStock[RM_Code],$A64,T_SelfStock[WeekIndex],90)+SUMIFS(T_TTAFStock[TTAF_Qty],T_TTAFStock[RM_Code],$A64,T_TTAFStock[WeekIndex],90),CL64+'Grid_Incoming'!CM64-'Grid_Requirement'!CM64))</f>
        <v/>
      </c>
      <c r="CN64">
        <f>IF(COUNTIFS(T_StockCount[RM_Code],$A64,T_StockCount[WeekIndex],91)&gt;0,SUMIFS(T_StockCount[CountedQty],T_StockCount[RM_Code],$A64,T_StockCount[WeekIndex],91),IF((COUNTIFS(T_SelfStock[RM_Code],$A64,T_SelfStock[WeekIndex],91)&gt;0)*(COUNTIFS(T_TTAFStock[RM_Code],$A64,T_TTAFStock[WeekIndex],91)&gt;0)&gt;0,SUMIFS(T_SelfStock[Self_Qty],T_SelfStock[RM_Code],$A64,T_SelfStock[WeekIndex],91)+SUMIFS(T_TTAFStock[TTAF_Qty],T_TTAFStock[RM_Code],$A64,T_TTAFStock[WeekIndex],91),CM64+'Grid_Incoming'!CN64-'Grid_Requirement'!CN64))</f>
        <v/>
      </c>
      <c r="CO64">
        <f>IF(COUNTIFS(T_StockCount[RM_Code],$A64,T_StockCount[WeekIndex],92)&gt;0,SUMIFS(T_StockCount[CountedQty],T_StockCount[RM_Code],$A64,T_StockCount[WeekIndex],92),IF((COUNTIFS(T_SelfStock[RM_Code],$A64,T_SelfStock[WeekIndex],92)&gt;0)*(COUNTIFS(T_TTAFStock[RM_Code],$A64,T_TTAFStock[WeekIndex],92)&gt;0)&gt;0,SUMIFS(T_SelfStock[Self_Qty],T_SelfStock[RM_Code],$A64,T_SelfStock[WeekIndex],92)+SUMIFS(T_TTAFStock[TTAF_Qty],T_TTAFStock[RM_Code],$A64,T_TTAFStock[WeekIndex],92),CN64+'Grid_Incoming'!CO64-'Grid_Requirement'!CO64))</f>
        <v/>
      </c>
      <c r="CP64">
        <f>IF(COUNTIFS(T_StockCount[RM_Code],$A64,T_StockCount[WeekIndex],93)&gt;0,SUMIFS(T_StockCount[CountedQty],T_StockCount[RM_Code],$A64,T_StockCount[WeekIndex],93),IF((COUNTIFS(T_SelfStock[RM_Code],$A64,T_SelfStock[WeekIndex],93)&gt;0)*(COUNTIFS(T_TTAFStock[RM_Code],$A64,T_TTAFStock[WeekIndex],93)&gt;0)&gt;0,SUMIFS(T_SelfStock[Self_Qty],T_SelfStock[RM_Code],$A64,T_SelfStock[WeekIndex],93)+SUMIFS(T_TTAFStock[TTAF_Qty],T_TTAFStock[RM_Code],$A64,T_TTAFStock[WeekIndex],93),CO64+'Grid_Incoming'!CP64-'Grid_Requirement'!CP64))</f>
        <v/>
      </c>
      <c r="CQ64">
        <f>IF(COUNTIFS(T_StockCount[RM_Code],$A64,T_StockCount[WeekIndex],94)&gt;0,SUMIFS(T_StockCount[CountedQty],T_StockCount[RM_Code],$A64,T_StockCount[WeekIndex],94),IF((COUNTIFS(T_SelfStock[RM_Code],$A64,T_SelfStock[WeekIndex],94)&gt;0)*(COUNTIFS(T_TTAFStock[RM_Code],$A64,T_TTAFStock[WeekIndex],94)&gt;0)&gt;0,SUMIFS(T_SelfStock[Self_Qty],T_SelfStock[RM_Code],$A64,T_SelfStock[WeekIndex],94)+SUMIFS(T_TTAFStock[TTAF_Qty],T_TTAFStock[RM_Code],$A64,T_TTAFStock[WeekIndex],94),CP64+'Grid_Incoming'!CQ64-'Grid_Requirement'!CQ64))</f>
        <v/>
      </c>
      <c r="CR64">
        <f>IF(COUNTIFS(T_StockCount[RM_Code],$A64,T_StockCount[WeekIndex],95)&gt;0,SUMIFS(T_StockCount[CountedQty],T_StockCount[RM_Code],$A64,T_StockCount[WeekIndex],95),IF((COUNTIFS(T_SelfStock[RM_Code],$A64,T_SelfStock[WeekIndex],95)&gt;0)*(COUNTIFS(T_TTAFStock[RM_Code],$A64,T_TTAFStock[WeekIndex],95)&gt;0)&gt;0,SUMIFS(T_SelfStock[Self_Qty],T_SelfStock[RM_Code],$A64,T_SelfStock[WeekIndex],95)+SUMIFS(T_TTAFStock[TTAF_Qty],T_TTAFStock[RM_Code],$A64,T_TTAFStock[WeekIndex],95),CQ64+'Grid_Incoming'!CR64-'Grid_Requirement'!CR64))</f>
        <v/>
      </c>
      <c r="CS64">
        <f>IF(COUNTIFS(T_StockCount[RM_Code],$A64,T_StockCount[WeekIndex],96)&gt;0,SUMIFS(T_StockCount[CountedQty],T_StockCount[RM_Code],$A64,T_StockCount[WeekIndex],96),IF((COUNTIFS(T_SelfStock[RM_Code],$A64,T_SelfStock[WeekIndex],96)&gt;0)*(COUNTIFS(T_TTAFStock[RM_Code],$A64,T_TTAFStock[WeekIndex],96)&gt;0)&gt;0,SUMIFS(T_SelfStock[Self_Qty],T_SelfStock[RM_Code],$A64,T_SelfStock[WeekIndex],96)+SUMIFS(T_TTAFStock[TTAF_Qty],T_TTAFStock[RM_Code],$A64,T_TTAFStock[WeekIndex],96),CR64+'Grid_Incoming'!CS64-'Grid_Requirement'!CS64))</f>
        <v/>
      </c>
      <c r="CT64">
        <f>IF(COUNTIFS(T_StockCount[RM_Code],$A64,T_StockCount[WeekIndex],97)&gt;0,SUMIFS(T_StockCount[CountedQty],T_StockCount[RM_Code],$A64,T_StockCount[WeekIndex],97),IF((COUNTIFS(T_SelfStock[RM_Code],$A64,T_SelfStock[WeekIndex],97)&gt;0)*(COUNTIFS(T_TTAFStock[RM_Code],$A64,T_TTAFStock[WeekIndex],97)&gt;0)&gt;0,SUMIFS(T_SelfStock[Self_Qty],T_SelfStock[RM_Code],$A64,T_SelfStock[WeekIndex],97)+SUMIFS(T_TTAFStock[TTAF_Qty],T_TTAFStock[RM_Code],$A64,T_TTAFStock[WeekIndex],97),CS64+'Grid_Incoming'!CT64-'Grid_Requirement'!CT64))</f>
        <v/>
      </c>
      <c r="CU64">
        <f>IF(COUNTIFS(T_StockCount[RM_Code],$A64,T_StockCount[WeekIndex],98)&gt;0,SUMIFS(T_StockCount[CountedQty],T_StockCount[RM_Code],$A64,T_StockCount[WeekIndex],98),IF((COUNTIFS(T_SelfStock[RM_Code],$A64,T_SelfStock[WeekIndex],98)&gt;0)*(COUNTIFS(T_TTAFStock[RM_Code],$A64,T_TTAFStock[WeekIndex],98)&gt;0)&gt;0,SUMIFS(T_SelfStock[Self_Qty],T_SelfStock[RM_Code],$A64,T_SelfStock[WeekIndex],98)+SUMIFS(T_TTAFStock[TTAF_Qty],T_TTAFStock[RM_Code],$A64,T_TTAFStock[WeekIndex],98),CT64+'Grid_Incoming'!CU64-'Grid_Requirement'!CU64))</f>
        <v/>
      </c>
      <c r="CV64">
        <f>IF(COUNTIFS(T_StockCount[RM_Code],$A64,T_StockCount[WeekIndex],99)&gt;0,SUMIFS(T_StockCount[CountedQty],T_StockCount[RM_Code],$A64,T_StockCount[WeekIndex],99),IF((COUNTIFS(T_SelfStock[RM_Code],$A64,T_SelfStock[WeekIndex],99)&gt;0)*(COUNTIFS(T_TTAFStock[RM_Code],$A64,T_TTAFStock[WeekIndex],99)&gt;0)&gt;0,SUMIFS(T_SelfStock[Self_Qty],T_SelfStock[RM_Code],$A64,T_SelfStock[WeekIndex],99)+SUMIFS(T_TTAFStock[TTAF_Qty],T_TTAFStock[RM_Code],$A64,T_TTAFStock[WeekIndex],99),CU64+'Grid_Incoming'!CV64-'Grid_Requirement'!CV64))</f>
        <v/>
      </c>
      <c r="CW64">
        <f>IF(COUNTIFS(T_StockCount[RM_Code],$A64,T_StockCount[WeekIndex],100)&gt;0,SUMIFS(T_StockCount[CountedQty],T_StockCount[RM_Code],$A64,T_StockCount[WeekIndex],100),IF((COUNTIFS(T_SelfStock[RM_Code],$A64,T_SelfStock[WeekIndex],100)&gt;0)*(COUNTIFS(T_TTAFStock[RM_Code],$A64,T_TTAFStock[WeekIndex],100)&gt;0)&gt;0,SUMIFS(T_SelfStock[Self_Qty],T_SelfStock[RM_Code],$A64,T_SelfStock[WeekIndex],100)+SUMIFS(T_TTAFStock[TTAF_Qty],T_TTAFStock[RM_Code],$A64,T_TTAFStock[WeekIndex],100),CV64+'Grid_Incoming'!CW64-'Grid_Requirement'!CW64))</f>
        <v/>
      </c>
      <c r="CX64">
        <f>IF(COUNTIFS(T_StockCount[RM_Code],$A64,T_StockCount[WeekIndex],101)&gt;0,SUMIFS(T_StockCount[CountedQty],T_StockCount[RM_Code],$A64,T_StockCount[WeekIndex],101),IF((COUNTIFS(T_SelfStock[RM_Code],$A64,T_SelfStock[WeekIndex],101)&gt;0)*(COUNTIFS(T_TTAFStock[RM_Code],$A64,T_TTAFStock[WeekIndex],101)&gt;0)&gt;0,SUMIFS(T_SelfStock[Self_Qty],T_SelfStock[RM_Code],$A64,T_SelfStock[WeekIndex],101)+SUMIFS(T_TTAFStock[TTAF_Qty],T_TTAFStock[RM_Code],$A64,T_TTAFStock[WeekIndex],101),CW64+'Grid_Incoming'!CX64-'Grid_Requirement'!CX64))</f>
        <v/>
      </c>
      <c r="CY64">
        <f>IF(COUNTIFS(T_StockCount[RM_Code],$A64,T_StockCount[WeekIndex],102)&gt;0,SUMIFS(T_StockCount[CountedQty],T_StockCount[RM_Code],$A64,T_StockCount[WeekIndex],102),IF((COUNTIFS(T_SelfStock[RM_Code],$A64,T_SelfStock[WeekIndex],102)&gt;0)*(COUNTIFS(T_TTAFStock[RM_Code],$A64,T_TTAFStock[WeekIndex],102)&gt;0)&gt;0,SUMIFS(T_SelfStock[Self_Qty],T_SelfStock[RM_Code],$A64,T_SelfStock[WeekIndex],102)+SUMIFS(T_TTAFStock[TTAF_Qty],T_TTAFStock[RM_Code],$A64,T_TTAFStock[WeekIndex],102),CX64+'Grid_Incoming'!CY64-'Grid_Requirement'!CY64))</f>
        <v/>
      </c>
      <c r="CZ64">
        <f>IF(COUNTIFS(T_StockCount[RM_Code],$A64,T_StockCount[WeekIndex],103)&gt;0,SUMIFS(T_StockCount[CountedQty],T_StockCount[RM_Code],$A64,T_StockCount[WeekIndex],103),IF((COUNTIFS(T_SelfStock[RM_Code],$A64,T_SelfStock[WeekIndex],103)&gt;0)*(COUNTIFS(T_TTAFStock[RM_Code],$A64,T_TTAFStock[WeekIndex],103)&gt;0)&gt;0,SUMIFS(T_SelfStock[Self_Qty],T_SelfStock[RM_Code],$A64,T_SelfStock[WeekIndex],103)+SUMIFS(T_TTAFStock[TTAF_Qty],T_TTAFStock[RM_Code],$A64,T_TTAFStock[WeekIndex],103),CY64+'Grid_Incoming'!CZ64-'Grid_Requirement'!CZ64))</f>
        <v/>
      </c>
      <c r="DA64">
        <f>IF(COUNTIFS(T_StockCount[RM_Code],$A64,T_StockCount[WeekIndex],104)&gt;0,SUMIFS(T_StockCount[CountedQty],T_StockCount[RM_Code],$A64,T_StockCount[WeekIndex],104),IF((COUNTIFS(T_SelfStock[RM_Code],$A64,T_SelfStock[WeekIndex],104)&gt;0)*(COUNTIFS(T_TTAFStock[RM_Code],$A64,T_TTAFStock[WeekIndex],104)&gt;0)&gt;0,SUMIFS(T_SelfStock[Self_Qty],T_SelfStock[RM_Code],$A64,T_SelfStock[WeekIndex],104)+SUMIFS(T_TTAFStock[TTAF_Qty],T_TTAFStock[RM_Code],$A64,T_TTAFStock[WeekIndex],104),CZ64+'Grid_Incoming'!DA64-'Grid_Requirement'!DA64))</f>
        <v/>
      </c>
    </row>
    <row r="65">
      <c r="A65" t="inlineStr">
        <is>
          <t>1JN</t>
        </is>
      </c>
      <c r="B65">
        <f>IF(COUNTIFS(T_StockCount[RM_Code],$A65,T_StockCount[WeekIndex],1)&gt;0,SUMIFS(T_StockCount[CountedQty],T_StockCount[RM_Code],$A65,T_StockCount[WeekIndex],1),IF((COUNTIFS(T_SelfStock[RM_Code],$A65,T_SelfStock[WeekIndex],1)&gt;0)*(COUNTIFS(T_TTAFStock[RM_Code],$A65,T_TTAFStock[WeekIndex],1)&gt;0)&gt;0,SUMIFS(T_SelfStock[Self_Qty],T_SelfStock[RM_Code],$A65,T_SelfStock[WeekIndex],1)+SUMIFS(T_TTAFStock[TTAF_Qty],T_TTAFStock[RM_Code],$A65,T_TTAFStock[WeekIndex],1),IFERROR(INDEX(T_OpeningStock[Opening_Qty],MATCH($A65,T_OpeningStock[RM_Code],0)),0)+'Grid_Incoming'!B65-'Grid_Requirement'!B65))</f>
        <v/>
      </c>
      <c r="C65">
        <f>IF(COUNTIFS(T_StockCount[RM_Code],$A65,T_StockCount[WeekIndex],2)&gt;0,SUMIFS(T_StockCount[CountedQty],T_StockCount[RM_Code],$A65,T_StockCount[WeekIndex],2),IF((COUNTIFS(T_SelfStock[RM_Code],$A65,T_SelfStock[WeekIndex],2)&gt;0)*(COUNTIFS(T_TTAFStock[RM_Code],$A65,T_TTAFStock[WeekIndex],2)&gt;0)&gt;0,SUMIFS(T_SelfStock[Self_Qty],T_SelfStock[RM_Code],$A65,T_SelfStock[WeekIndex],2)+SUMIFS(T_TTAFStock[TTAF_Qty],T_TTAFStock[RM_Code],$A65,T_TTAFStock[WeekIndex],2),B65+'Grid_Incoming'!C65-'Grid_Requirement'!C65))</f>
        <v/>
      </c>
      <c r="D65">
        <f>IF(COUNTIFS(T_StockCount[RM_Code],$A65,T_StockCount[WeekIndex],3)&gt;0,SUMIFS(T_StockCount[CountedQty],T_StockCount[RM_Code],$A65,T_StockCount[WeekIndex],3),IF((COUNTIFS(T_SelfStock[RM_Code],$A65,T_SelfStock[WeekIndex],3)&gt;0)*(COUNTIFS(T_TTAFStock[RM_Code],$A65,T_TTAFStock[WeekIndex],3)&gt;0)&gt;0,SUMIFS(T_SelfStock[Self_Qty],T_SelfStock[RM_Code],$A65,T_SelfStock[WeekIndex],3)+SUMIFS(T_TTAFStock[TTAF_Qty],T_TTAFStock[RM_Code],$A65,T_TTAFStock[WeekIndex],3),C65+'Grid_Incoming'!D65-'Grid_Requirement'!D65))</f>
        <v/>
      </c>
      <c r="E65">
        <f>IF(COUNTIFS(T_StockCount[RM_Code],$A65,T_StockCount[WeekIndex],4)&gt;0,SUMIFS(T_StockCount[CountedQty],T_StockCount[RM_Code],$A65,T_StockCount[WeekIndex],4),IF((COUNTIFS(T_SelfStock[RM_Code],$A65,T_SelfStock[WeekIndex],4)&gt;0)*(COUNTIFS(T_TTAFStock[RM_Code],$A65,T_TTAFStock[WeekIndex],4)&gt;0)&gt;0,SUMIFS(T_SelfStock[Self_Qty],T_SelfStock[RM_Code],$A65,T_SelfStock[WeekIndex],4)+SUMIFS(T_TTAFStock[TTAF_Qty],T_TTAFStock[RM_Code],$A65,T_TTAFStock[WeekIndex],4),D65+'Grid_Incoming'!E65-'Grid_Requirement'!E65))</f>
        <v/>
      </c>
      <c r="F65">
        <f>IF(COUNTIFS(T_StockCount[RM_Code],$A65,T_StockCount[WeekIndex],5)&gt;0,SUMIFS(T_StockCount[CountedQty],T_StockCount[RM_Code],$A65,T_StockCount[WeekIndex],5),IF((COUNTIFS(T_SelfStock[RM_Code],$A65,T_SelfStock[WeekIndex],5)&gt;0)*(COUNTIFS(T_TTAFStock[RM_Code],$A65,T_TTAFStock[WeekIndex],5)&gt;0)&gt;0,SUMIFS(T_SelfStock[Self_Qty],T_SelfStock[RM_Code],$A65,T_SelfStock[WeekIndex],5)+SUMIFS(T_TTAFStock[TTAF_Qty],T_TTAFStock[RM_Code],$A65,T_TTAFStock[WeekIndex],5),E65+'Grid_Incoming'!F65-'Grid_Requirement'!F65))</f>
        <v/>
      </c>
      <c r="G65">
        <f>IF(COUNTIFS(T_StockCount[RM_Code],$A65,T_StockCount[WeekIndex],6)&gt;0,SUMIFS(T_StockCount[CountedQty],T_StockCount[RM_Code],$A65,T_StockCount[WeekIndex],6),IF((COUNTIFS(T_SelfStock[RM_Code],$A65,T_SelfStock[WeekIndex],6)&gt;0)*(COUNTIFS(T_TTAFStock[RM_Code],$A65,T_TTAFStock[WeekIndex],6)&gt;0)&gt;0,SUMIFS(T_SelfStock[Self_Qty],T_SelfStock[RM_Code],$A65,T_SelfStock[WeekIndex],6)+SUMIFS(T_TTAFStock[TTAF_Qty],T_TTAFStock[RM_Code],$A65,T_TTAFStock[WeekIndex],6),F65+'Grid_Incoming'!G65-'Grid_Requirement'!G65))</f>
        <v/>
      </c>
      <c r="H65">
        <f>IF(COUNTIFS(T_StockCount[RM_Code],$A65,T_StockCount[WeekIndex],7)&gt;0,SUMIFS(T_StockCount[CountedQty],T_StockCount[RM_Code],$A65,T_StockCount[WeekIndex],7),IF((COUNTIFS(T_SelfStock[RM_Code],$A65,T_SelfStock[WeekIndex],7)&gt;0)*(COUNTIFS(T_TTAFStock[RM_Code],$A65,T_TTAFStock[WeekIndex],7)&gt;0)&gt;0,SUMIFS(T_SelfStock[Self_Qty],T_SelfStock[RM_Code],$A65,T_SelfStock[WeekIndex],7)+SUMIFS(T_TTAFStock[TTAF_Qty],T_TTAFStock[RM_Code],$A65,T_TTAFStock[WeekIndex],7),G65+'Grid_Incoming'!H65-'Grid_Requirement'!H65))</f>
        <v/>
      </c>
      <c r="I65">
        <f>IF(COUNTIFS(T_StockCount[RM_Code],$A65,T_StockCount[WeekIndex],8)&gt;0,SUMIFS(T_StockCount[CountedQty],T_StockCount[RM_Code],$A65,T_StockCount[WeekIndex],8),IF((COUNTIFS(T_SelfStock[RM_Code],$A65,T_SelfStock[WeekIndex],8)&gt;0)*(COUNTIFS(T_TTAFStock[RM_Code],$A65,T_TTAFStock[WeekIndex],8)&gt;0)&gt;0,SUMIFS(T_SelfStock[Self_Qty],T_SelfStock[RM_Code],$A65,T_SelfStock[WeekIndex],8)+SUMIFS(T_TTAFStock[TTAF_Qty],T_TTAFStock[RM_Code],$A65,T_TTAFStock[WeekIndex],8),H65+'Grid_Incoming'!I65-'Grid_Requirement'!I65))</f>
        <v/>
      </c>
      <c r="J65">
        <f>IF(COUNTIFS(T_StockCount[RM_Code],$A65,T_StockCount[WeekIndex],9)&gt;0,SUMIFS(T_StockCount[CountedQty],T_StockCount[RM_Code],$A65,T_StockCount[WeekIndex],9),IF((COUNTIFS(T_SelfStock[RM_Code],$A65,T_SelfStock[WeekIndex],9)&gt;0)*(COUNTIFS(T_TTAFStock[RM_Code],$A65,T_TTAFStock[WeekIndex],9)&gt;0)&gt;0,SUMIFS(T_SelfStock[Self_Qty],T_SelfStock[RM_Code],$A65,T_SelfStock[WeekIndex],9)+SUMIFS(T_TTAFStock[TTAF_Qty],T_TTAFStock[RM_Code],$A65,T_TTAFStock[WeekIndex],9),I65+'Grid_Incoming'!J65-'Grid_Requirement'!J65))</f>
        <v/>
      </c>
      <c r="K65">
        <f>IF(COUNTIFS(T_StockCount[RM_Code],$A65,T_StockCount[WeekIndex],10)&gt;0,SUMIFS(T_StockCount[CountedQty],T_StockCount[RM_Code],$A65,T_StockCount[WeekIndex],10),IF((COUNTIFS(T_SelfStock[RM_Code],$A65,T_SelfStock[WeekIndex],10)&gt;0)*(COUNTIFS(T_TTAFStock[RM_Code],$A65,T_TTAFStock[WeekIndex],10)&gt;0)&gt;0,SUMIFS(T_SelfStock[Self_Qty],T_SelfStock[RM_Code],$A65,T_SelfStock[WeekIndex],10)+SUMIFS(T_TTAFStock[TTAF_Qty],T_TTAFStock[RM_Code],$A65,T_TTAFStock[WeekIndex],10),J65+'Grid_Incoming'!K65-'Grid_Requirement'!K65))</f>
        <v/>
      </c>
      <c r="L65">
        <f>IF(COUNTIFS(T_StockCount[RM_Code],$A65,T_StockCount[WeekIndex],11)&gt;0,SUMIFS(T_StockCount[CountedQty],T_StockCount[RM_Code],$A65,T_StockCount[WeekIndex],11),IF((COUNTIFS(T_SelfStock[RM_Code],$A65,T_SelfStock[WeekIndex],11)&gt;0)*(COUNTIFS(T_TTAFStock[RM_Code],$A65,T_TTAFStock[WeekIndex],11)&gt;0)&gt;0,SUMIFS(T_SelfStock[Self_Qty],T_SelfStock[RM_Code],$A65,T_SelfStock[WeekIndex],11)+SUMIFS(T_TTAFStock[TTAF_Qty],T_TTAFStock[RM_Code],$A65,T_TTAFStock[WeekIndex],11),K65+'Grid_Incoming'!L65-'Grid_Requirement'!L65))</f>
        <v/>
      </c>
      <c r="M65">
        <f>IF(COUNTIFS(T_StockCount[RM_Code],$A65,T_StockCount[WeekIndex],12)&gt;0,SUMIFS(T_StockCount[CountedQty],T_StockCount[RM_Code],$A65,T_StockCount[WeekIndex],12),IF((COUNTIFS(T_SelfStock[RM_Code],$A65,T_SelfStock[WeekIndex],12)&gt;0)*(COUNTIFS(T_TTAFStock[RM_Code],$A65,T_TTAFStock[WeekIndex],12)&gt;0)&gt;0,SUMIFS(T_SelfStock[Self_Qty],T_SelfStock[RM_Code],$A65,T_SelfStock[WeekIndex],12)+SUMIFS(T_TTAFStock[TTAF_Qty],T_TTAFStock[RM_Code],$A65,T_TTAFStock[WeekIndex],12),L65+'Grid_Incoming'!M65-'Grid_Requirement'!M65))</f>
        <v/>
      </c>
      <c r="N65">
        <f>IF(COUNTIFS(T_StockCount[RM_Code],$A65,T_StockCount[WeekIndex],13)&gt;0,SUMIFS(T_StockCount[CountedQty],T_StockCount[RM_Code],$A65,T_StockCount[WeekIndex],13),IF((COUNTIFS(T_SelfStock[RM_Code],$A65,T_SelfStock[WeekIndex],13)&gt;0)*(COUNTIFS(T_TTAFStock[RM_Code],$A65,T_TTAFStock[WeekIndex],13)&gt;0)&gt;0,SUMIFS(T_SelfStock[Self_Qty],T_SelfStock[RM_Code],$A65,T_SelfStock[WeekIndex],13)+SUMIFS(T_TTAFStock[TTAF_Qty],T_TTAFStock[RM_Code],$A65,T_TTAFStock[WeekIndex],13),M65+'Grid_Incoming'!N65-'Grid_Requirement'!N65))</f>
        <v/>
      </c>
      <c r="O65">
        <f>IF(COUNTIFS(T_StockCount[RM_Code],$A65,T_StockCount[WeekIndex],14)&gt;0,SUMIFS(T_StockCount[CountedQty],T_StockCount[RM_Code],$A65,T_StockCount[WeekIndex],14),IF((COUNTIFS(T_SelfStock[RM_Code],$A65,T_SelfStock[WeekIndex],14)&gt;0)*(COUNTIFS(T_TTAFStock[RM_Code],$A65,T_TTAFStock[WeekIndex],14)&gt;0)&gt;0,SUMIFS(T_SelfStock[Self_Qty],T_SelfStock[RM_Code],$A65,T_SelfStock[WeekIndex],14)+SUMIFS(T_TTAFStock[TTAF_Qty],T_TTAFStock[RM_Code],$A65,T_TTAFStock[WeekIndex],14),N65+'Grid_Incoming'!O65-'Grid_Requirement'!O65))</f>
        <v/>
      </c>
      <c r="P65">
        <f>IF(COUNTIFS(T_StockCount[RM_Code],$A65,T_StockCount[WeekIndex],15)&gt;0,SUMIFS(T_StockCount[CountedQty],T_StockCount[RM_Code],$A65,T_StockCount[WeekIndex],15),IF((COUNTIFS(T_SelfStock[RM_Code],$A65,T_SelfStock[WeekIndex],15)&gt;0)*(COUNTIFS(T_TTAFStock[RM_Code],$A65,T_TTAFStock[WeekIndex],15)&gt;0)&gt;0,SUMIFS(T_SelfStock[Self_Qty],T_SelfStock[RM_Code],$A65,T_SelfStock[WeekIndex],15)+SUMIFS(T_TTAFStock[TTAF_Qty],T_TTAFStock[RM_Code],$A65,T_TTAFStock[WeekIndex],15),O65+'Grid_Incoming'!P65-'Grid_Requirement'!P65))</f>
        <v/>
      </c>
      <c r="Q65">
        <f>IF(COUNTIFS(T_StockCount[RM_Code],$A65,T_StockCount[WeekIndex],16)&gt;0,SUMIFS(T_StockCount[CountedQty],T_StockCount[RM_Code],$A65,T_StockCount[WeekIndex],16),IF((COUNTIFS(T_SelfStock[RM_Code],$A65,T_SelfStock[WeekIndex],16)&gt;0)*(COUNTIFS(T_TTAFStock[RM_Code],$A65,T_TTAFStock[WeekIndex],16)&gt;0)&gt;0,SUMIFS(T_SelfStock[Self_Qty],T_SelfStock[RM_Code],$A65,T_SelfStock[WeekIndex],16)+SUMIFS(T_TTAFStock[TTAF_Qty],T_TTAFStock[RM_Code],$A65,T_TTAFStock[WeekIndex],16),P65+'Grid_Incoming'!Q65-'Grid_Requirement'!Q65))</f>
        <v/>
      </c>
      <c r="R65">
        <f>IF(COUNTIFS(T_StockCount[RM_Code],$A65,T_StockCount[WeekIndex],17)&gt;0,SUMIFS(T_StockCount[CountedQty],T_StockCount[RM_Code],$A65,T_StockCount[WeekIndex],17),IF((COUNTIFS(T_SelfStock[RM_Code],$A65,T_SelfStock[WeekIndex],17)&gt;0)*(COUNTIFS(T_TTAFStock[RM_Code],$A65,T_TTAFStock[WeekIndex],17)&gt;0)&gt;0,SUMIFS(T_SelfStock[Self_Qty],T_SelfStock[RM_Code],$A65,T_SelfStock[WeekIndex],17)+SUMIFS(T_TTAFStock[TTAF_Qty],T_TTAFStock[RM_Code],$A65,T_TTAFStock[WeekIndex],17),Q65+'Grid_Incoming'!R65-'Grid_Requirement'!R65))</f>
        <v/>
      </c>
      <c r="S65">
        <f>IF(COUNTIFS(T_StockCount[RM_Code],$A65,T_StockCount[WeekIndex],18)&gt;0,SUMIFS(T_StockCount[CountedQty],T_StockCount[RM_Code],$A65,T_StockCount[WeekIndex],18),IF((COUNTIFS(T_SelfStock[RM_Code],$A65,T_SelfStock[WeekIndex],18)&gt;0)*(COUNTIFS(T_TTAFStock[RM_Code],$A65,T_TTAFStock[WeekIndex],18)&gt;0)&gt;0,SUMIFS(T_SelfStock[Self_Qty],T_SelfStock[RM_Code],$A65,T_SelfStock[WeekIndex],18)+SUMIFS(T_TTAFStock[TTAF_Qty],T_TTAFStock[RM_Code],$A65,T_TTAFStock[WeekIndex],18),R65+'Grid_Incoming'!S65-'Grid_Requirement'!S65))</f>
        <v/>
      </c>
      <c r="T65">
        <f>IF(COUNTIFS(T_StockCount[RM_Code],$A65,T_StockCount[WeekIndex],19)&gt;0,SUMIFS(T_StockCount[CountedQty],T_StockCount[RM_Code],$A65,T_StockCount[WeekIndex],19),IF((COUNTIFS(T_SelfStock[RM_Code],$A65,T_SelfStock[WeekIndex],19)&gt;0)*(COUNTIFS(T_TTAFStock[RM_Code],$A65,T_TTAFStock[WeekIndex],19)&gt;0)&gt;0,SUMIFS(T_SelfStock[Self_Qty],T_SelfStock[RM_Code],$A65,T_SelfStock[WeekIndex],19)+SUMIFS(T_TTAFStock[TTAF_Qty],T_TTAFStock[RM_Code],$A65,T_TTAFStock[WeekIndex],19),S65+'Grid_Incoming'!T65-'Grid_Requirement'!T65))</f>
        <v/>
      </c>
      <c r="U65">
        <f>IF(COUNTIFS(T_StockCount[RM_Code],$A65,T_StockCount[WeekIndex],20)&gt;0,SUMIFS(T_StockCount[CountedQty],T_StockCount[RM_Code],$A65,T_StockCount[WeekIndex],20),IF((COUNTIFS(T_SelfStock[RM_Code],$A65,T_SelfStock[WeekIndex],20)&gt;0)*(COUNTIFS(T_TTAFStock[RM_Code],$A65,T_TTAFStock[WeekIndex],20)&gt;0)&gt;0,SUMIFS(T_SelfStock[Self_Qty],T_SelfStock[RM_Code],$A65,T_SelfStock[WeekIndex],20)+SUMIFS(T_TTAFStock[TTAF_Qty],T_TTAFStock[RM_Code],$A65,T_TTAFStock[WeekIndex],20),T65+'Grid_Incoming'!U65-'Grid_Requirement'!U65))</f>
        <v/>
      </c>
      <c r="V65">
        <f>IF(COUNTIFS(T_StockCount[RM_Code],$A65,T_StockCount[WeekIndex],21)&gt;0,SUMIFS(T_StockCount[CountedQty],T_StockCount[RM_Code],$A65,T_StockCount[WeekIndex],21),IF((COUNTIFS(T_SelfStock[RM_Code],$A65,T_SelfStock[WeekIndex],21)&gt;0)*(COUNTIFS(T_TTAFStock[RM_Code],$A65,T_TTAFStock[WeekIndex],21)&gt;0)&gt;0,SUMIFS(T_SelfStock[Self_Qty],T_SelfStock[RM_Code],$A65,T_SelfStock[WeekIndex],21)+SUMIFS(T_TTAFStock[TTAF_Qty],T_TTAFStock[RM_Code],$A65,T_TTAFStock[WeekIndex],21),U65+'Grid_Incoming'!V65-'Grid_Requirement'!V65))</f>
        <v/>
      </c>
      <c r="W65">
        <f>IF(COUNTIFS(T_StockCount[RM_Code],$A65,T_StockCount[WeekIndex],22)&gt;0,SUMIFS(T_StockCount[CountedQty],T_StockCount[RM_Code],$A65,T_StockCount[WeekIndex],22),IF((COUNTIFS(T_SelfStock[RM_Code],$A65,T_SelfStock[WeekIndex],22)&gt;0)*(COUNTIFS(T_TTAFStock[RM_Code],$A65,T_TTAFStock[WeekIndex],22)&gt;0)&gt;0,SUMIFS(T_SelfStock[Self_Qty],T_SelfStock[RM_Code],$A65,T_SelfStock[WeekIndex],22)+SUMIFS(T_TTAFStock[TTAF_Qty],T_TTAFStock[RM_Code],$A65,T_TTAFStock[WeekIndex],22),V65+'Grid_Incoming'!W65-'Grid_Requirement'!W65))</f>
        <v/>
      </c>
      <c r="X65">
        <f>IF(COUNTIFS(T_StockCount[RM_Code],$A65,T_StockCount[WeekIndex],23)&gt;0,SUMIFS(T_StockCount[CountedQty],T_StockCount[RM_Code],$A65,T_StockCount[WeekIndex],23),IF((COUNTIFS(T_SelfStock[RM_Code],$A65,T_SelfStock[WeekIndex],23)&gt;0)*(COUNTIFS(T_TTAFStock[RM_Code],$A65,T_TTAFStock[WeekIndex],23)&gt;0)&gt;0,SUMIFS(T_SelfStock[Self_Qty],T_SelfStock[RM_Code],$A65,T_SelfStock[WeekIndex],23)+SUMIFS(T_TTAFStock[TTAF_Qty],T_TTAFStock[RM_Code],$A65,T_TTAFStock[WeekIndex],23),W65+'Grid_Incoming'!X65-'Grid_Requirement'!X65))</f>
        <v/>
      </c>
      <c r="Y65">
        <f>IF(COUNTIFS(T_StockCount[RM_Code],$A65,T_StockCount[WeekIndex],24)&gt;0,SUMIFS(T_StockCount[CountedQty],T_StockCount[RM_Code],$A65,T_StockCount[WeekIndex],24),IF((COUNTIFS(T_SelfStock[RM_Code],$A65,T_SelfStock[WeekIndex],24)&gt;0)*(COUNTIFS(T_TTAFStock[RM_Code],$A65,T_TTAFStock[WeekIndex],24)&gt;0)&gt;0,SUMIFS(T_SelfStock[Self_Qty],T_SelfStock[RM_Code],$A65,T_SelfStock[WeekIndex],24)+SUMIFS(T_TTAFStock[TTAF_Qty],T_TTAFStock[RM_Code],$A65,T_TTAFStock[WeekIndex],24),X65+'Grid_Incoming'!Y65-'Grid_Requirement'!Y65))</f>
        <v/>
      </c>
      <c r="Z65">
        <f>IF(COUNTIFS(T_StockCount[RM_Code],$A65,T_StockCount[WeekIndex],25)&gt;0,SUMIFS(T_StockCount[CountedQty],T_StockCount[RM_Code],$A65,T_StockCount[WeekIndex],25),IF((COUNTIFS(T_SelfStock[RM_Code],$A65,T_SelfStock[WeekIndex],25)&gt;0)*(COUNTIFS(T_TTAFStock[RM_Code],$A65,T_TTAFStock[WeekIndex],25)&gt;0)&gt;0,SUMIFS(T_SelfStock[Self_Qty],T_SelfStock[RM_Code],$A65,T_SelfStock[WeekIndex],25)+SUMIFS(T_TTAFStock[TTAF_Qty],T_TTAFStock[RM_Code],$A65,T_TTAFStock[WeekIndex],25),Y65+'Grid_Incoming'!Z65-'Grid_Requirement'!Z65))</f>
        <v/>
      </c>
      <c r="AA65">
        <f>IF(COUNTIFS(T_StockCount[RM_Code],$A65,T_StockCount[WeekIndex],26)&gt;0,SUMIFS(T_StockCount[CountedQty],T_StockCount[RM_Code],$A65,T_StockCount[WeekIndex],26),IF((COUNTIFS(T_SelfStock[RM_Code],$A65,T_SelfStock[WeekIndex],26)&gt;0)*(COUNTIFS(T_TTAFStock[RM_Code],$A65,T_TTAFStock[WeekIndex],26)&gt;0)&gt;0,SUMIFS(T_SelfStock[Self_Qty],T_SelfStock[RM_Code],$A65,T_SelfStock[WeekIndex],26)+SUMIFS(T_TTAFStock[TTAF_Qty],T_TTAFStock[RM_Code],$A65,T_TTAFStock[WeekIndex],26),Z65+'Grid_Incoming'!AA65-'Grid_Requirement'!AA65))</f>
        <v/>
      </c>
      <c r="AB65">
        <f>IF(COUNTIFS(T_StockCount[RM_Code],$A65,T_StockCount[WeekIndex],27)&gt;0,SUMIFS(T_StockCount[CountedQty],T_StockCount[RM_Code],$A65,T_StockCount[WeekIndex],27),IF((COUNTIFS(T_SelfStock[RM_Code],$A65,T_SelfStock[WeekIndex],27)&gt;0)*(COUNTIFS(T_TTAFStock[RM_Code],$A65,T_TTAFStock[WeekIndex],27)&gt;0)&gt;0,SUMIFS(T_SelfStock[Self_Qty],T_SelfStock[RM_Code],$A65,T_SelfStock[WeekIndex],27)+SUMIFS(T_TTAFStock[TTAF_Qty],T_TTAFStock[RM_Code],$A65,T_TTAFStock[WeekIndex],27),AA65+'Grid_Incoming'!AB65-'Grid_Requirement'!AB65))</f>
        <v/>
      </c>
      <c r="AC65">
        <f>IF(COUNTIFS(T_StockCount[RM_Code],$A65,T_StockCount[WeekIndex],28)&gt;0,SUMIFS(T_StockCount[CountedQty],T_StockCount[RM_Code],$A65,T_StockCount[WeekIndex],28),IF((COUNTIFS(T_SelfStock[RM_Code],$A65,T_SelfStock[WeekIndex],28)&gt;0)*(COUNTIFS(T_TTAFStock[RM_Code],$A65,T_TTAFStock[WeekIndex],28)&gt;0)&gt;0,SUMIFS(T_SelfStock[Self_Qty],T_SelfStock[RM_Code],$A65,T_SelfStock[WeekIndex],28)+SUMIFS(T_TTAFStock[TTAF_Qty],T_TTAFStock[RM_Code],$A65,T_TTAFStock[WeekIndex],28),AB65+'Grid_Incoming'!AC65-'Grid_Requirement'!AC65))</f>
        <v/>
      </c>
      <c r="AD65">
        <f>IF(COUNTIFS(T_StockCount[RM_Code],$A65,T_StockCount[WeekIndex],29)&gt;0,SUMIFS(T_StockCount[CountedQty],T_StockCount[RM_Code],$A65,T_StockCount[WeekIndex],29),IF((COUNTIFS(T_SelfStock[RM_Code],$A65,T_SelfStock[WeekIndex],29)&gt;0)*(COUNTIFS(T_TTAFStock[RM_Code],$A65,T_TTAFStock[WeekIndex],29)&gt;0)&gt;0,SUMIFS(T_SelfStock[Self_Qty],T_SelfStock[RM_Code],$A65,T_SelfStock[WeekIndex],29)+SUMIFS(T_TTAFStock[TTAF_Qty],T_TTAFStock[RM_Code],$A65,T_TTAFStock[WeekIndex],29),AC65+'Grid_Incoming'!AD65-'Grid_Requirement'!AD65))</f>
        <v/>
      </c>
      <c r="AE65">
        <f>IF(COUNTIFS(T_StockCount[RM_Code],$A65,T_StockCount[WeekIndex],30)&gt;0,SUMIFS(T_StockCount[CountedQty],T_StockCount[RM_Code],$A65,T_StockCount[WeekIndex],30),IF((COUNTIFS(T_SelfStock[RM_Code],$A65,T_SelfStock[WeekIndex],30)&gt;0)*(COUNTIFS(T_TTAFStock[RM_Code],$A65,T_TTAFStock[WeekIndex],30)&gt;0)&gt;0,SUMIFS(T_SelfStock[Self_Qty],T_SelfStock[RM_Code],$A65,T_SelfStock[WeekIndex],30)+SUMIFS(T_TTAFStock[TTAF_Qty],T_TTAFStock[RM_Code],$A65,T_TTAFStock[WeekIndex],30),AD65+'Grid_Incoming'!AE65-'Grid_Requirement'!AE65))</f>
        <v/>
      </c>
      <c r="AF65">
        <f>IF(COUNTIFS(T_StockCount[RM_Code],$A65,T_StockCount[WeekIndex],31)&gt;0,SUMIFS(T_StockCount[CountedQty],T_StockCount[RM_Code],$A65,T_StockCount[WeekIndex],31),IF((COUNTIFS(T_SelfStock[RM_Code],$A65,T_SelfStock[WeekIndex],31)&gt;0)*(COUNTIFS(T_TTAFStock[RM_Code],$A65,T_TTAFStock[WeekIndex],31)&gt;0)&gt;0,SUMIFS(T_SelfStock[Self_Qty],T_SelfStock[RM_Code],$A65,T_SelfStock[WeekIndex],31)+SUMIFS(T_TTAFStock[TTAF_Qty],T_TTAFStock[RM_Code],$A65,T_TTAFStock[WeekIndex],31),AE65+'Grid_Incoming'!AF65-'Grid_Requirement'!AF65))</f>
        <v/>
      </c>
      <c r="AG65">
        <f>IF(COUNTIFS(T_StockCount[RM_Code],$A65,T_StockCount[WeekIndex],32)&gt;0,SUMIFS(T_StockCount[CountedQty],T_StockCount[RM_Code],$A65,T_StockCount[WeekIndex],32),IF((COUNTIFS(T_SelfStock[RM_Code],$A65,T_SelfStock[WeekIndex],32)&gt;0)*(COUNTIFS(T_TTAFStock[RM_Code],$A65,T_TTAFStock[WeekIndex],32)&gt;0)&gt;0,SUMIFS(T_SelfStock[Self_Qty],T_SelfStock[RM_Code],$A65,T_SelfStock[WeekIndex],32)+SUMIFS(T_TTAFStock[TTAF_Qty],T_TTAFStock[RM_Code],$A65,T_TTAFStock[WeekIndex],32),AF65+'Grid_Incoming'!AG65-'Grid_Requirement'!AG65))</f>
        <v/>
      </c>
      <c r="AH65">
        <f>IF(COUNTIFS(T_StockCount[RM_Code],$A65,T_StockCount[WeekIndex],33)&gt;0,SUMIFS(T_StockCount[CountedQty],T_StockCount[RM_Code],$A65,T_StockCount[WeekIndex],33),IF((COUNTIFS(T_SelfStock[RM_Code],$A65,T_SelfStock[WeekIndex],33)&gt;0)*(COUNTIFS(T_TTAFStock[RM_Code],$A65,T_TTAFStock[WeekIndex],33)&gt;0)&gt;0,SUMIFS(T_SelfStock[Self_Qty],T_SelfStock[RM_Code],$A65,T_SelfStock[WeekIndex],33)+SUMIFS(T_TTAFStock[TTAF_Qty],T_TTAFStock[RM_Code],$A65,T_TTAFStock[WeekIndex],33),AG65+'Grid_Incoming'!AH65-'Grid_Requirement'!AH65))</f>
        <v/>
      </c>
      <c r="AI65">
        <f>IF(COUNTIFS(T_StockCount[RM_Code],$A65,T_StockCount[WeekIndex],34)&gt;0,SUMIFS(T_StockCount[CountedQty],T_StockCount[RM_Code],$A65,T_StockCount[WeekIndex],34),IF((COUNTIFS(T_SelfStock[RM_Code],$A65,T_SelfStock[WeekIndex],34)&gt;0)*(COUNTIFS(T_TTAFStock[RM_Code],$A65,T_TTAFStock[WeekIndex],34)&gt;0)&gt;0,SUMIFS(T_SelfStock[Self_Qty],T_SelfStock[RM_Code],$A65,T_SelfStock[WeekIndex],34)+SUMIFS(T_TTAFStock[TTAF_Qty],T_TTAFStock[RM_Code],$A65,T_TTAFStock[WeekIndex],34),AH65+'Grid_Incoming'!AI65-'Grid_Requirement'!AI65))</f>
        <v/>
      </c>
      <c r="AJ65">
        <f>IF(COUNTIFS(T_StockCount[RM_Code],$A65,T_StockCount[WeekIndex],35)&gt;0,SUMIFS(T_StockCount[CountedQty],T_StockCount[RM_Code],$A65,T_StockCount[WeekIndex],35),IF((COUNTIFS(T_SelfStock[RM_Code],$A65,T_SelfStock[WeekIndex],35)&gt;0)*(COUNTIFS(T_TTAFStock[RM_Code],$A65,T_TTAFStock[WeekIndex],35)&gt;0)&gt;0,SUMIFS(T_SelfStock[Self_Qty],T_SelfStock[RM_Code],$A65,T_SelfStock[WeekIndex],35)+SUMIFS(T_TTAFStock[TTAF_Qty],T_TTAFStock[RM_Code],$A65,T_TTAFStock[WeekIndex],35),AI65+'Grid_Incoming'!AJ65-'Grid_Requirement'!AJ65))</f>
        <v/>
      </c>
      <c r="AK65">
        <f>IF(COUNTIFS(T_StockCount[RM_Code],$A65,T_StockCount[WeekIndex],36)&gt;0,SUMIFS(T_StockCount[CountedQty],T_StockCount[RM_Code],$A65,T_StockCount[WeekIndex],36),IF((COUNTIFS(T_SelfStock[RM_Code],$A65,T_SelfStock[WeekIndex],36)&gt;0)*(COUNTIFS(T_TTAFStock[RM_Code],$A65,T_TTAFStock[WeekIndex],36)&gt;0)&gt;0,SUMIFS(T_SelfStock[Self_Qty],T_SelfStock[RM_Code],$A65,T_SelfStock[WeekIndex],36)+SUMIFS(T_TTAFStock[TTAF_Qty],T_TTAFStock[RM_Code],$A65,T_TTAFStock[WeekIndex],36),AJ65+'Grid_Incoming'!AK65-'Grid_Requirement'!AK65))</f>
        <v/>
      </c>
      <c r="AL65">
        <f>IF(COUNTIFS(T_StockCount[RM_Code],$A65,T_StockCount[WeekIndex],37)&gt;0,SUMIFS(T_StockCount[CountedQty],T_StockCount[RM_Code],$A65,T_StockCount[WeekIndex],37),IF((COUNTIFS(T_SelfStock[RM_Code],$A65,T_SelfStock[WeekIndex],37)&gt;0)*(COUNTIFS(T_TTAFStock[RM_Code],$A65,T_TTAFStock[WeekIndex],37)&gt;0)&gt;0,SUMIFS(T_SelfStock[Self_Qty],T_SelfStock[RM_Code],$A65,T_SelfStock[WeekIndex],37)+SUMIFS(T_TTAFStock[TTAF_Qty],T_TTAFStock[RM_Code],$A65,T_TTAFStock[WeekIndex],37),AK65+'Grid_Incoming'!AL65-'Grid_Requirement'!AL65))</f>
        <v/>
      </c>
      <c r="AM65">
        <f>IF(COUNTIFS(T_StockCount[RM_Code],$A65,T_StockCount[WeekIndex],38)&gt;0,SUMIFS(T_StockCount[CountedQty],T_StockCount[RM_Code],$A65,T_StockCount[WeekIndex],38),IF((COUNTIFS(T_SelfStock[RM_Code],$A65,T_SelfStock[WeekIndex],38)&gt;0)*(COUNTIFS(T_TTAFStock[RM_Code],$A65,T_TTAFStock[WeekIndex],38)&gt;0)&gt;0,SUMIFS(T_SelfStock[Self_Qty],T_SelfStock[RM_Code],$A65,T_SelfStock[WeekIndex],38)+SUMIFS(T_TTAFStock[TTAF_Qty],T_TTAFStock[RM_Code],$A65,T_TTAFStock[WeekIndex],38),AL65+'Grid_Incoming'!AM65-'Grid_Requirement'!AM65))</f>
        <v/>
      </c>
      <c r="AN65">
        <f>IF(COUNTIFS(T_StockCount[RM_Code],$A65,T_StockCount[WeekIndex],39)&gt;0,SUMIFS(T_StockCount[CountedQty],T_StockCount[RM_Code],$A65,T_StockCount[WeekIndex],39),IF((COUNTIFS(T_SelfStock[RM_Code],$A65,T_SelfStock[WeekIndex],39)&gt;0)*(COUNTIFS(T_TTAFStock[RM_Code],$A65,T_TTAFStock[WeekIndex],39)&gt;0)&gt;0,SUMIFS(T_SelfStock[Self_Qty],T_SelfStock[RM_Code],$A65,T_SelfStock[WeekIndex],39)+SUMIFS(T_TTAFStock[TTAF_Qty],T_TTAFStock[RM_Code],$A65,T_TTAFStock[WeekIndex],39),AM65+'Grid_Incoming'!AN65-'Grid_Requirement'!AN65))</f>
        <v/>
      </c>
      <c r="AO65">
        <f>IF(COUNTIFS(T_StockCount[RM_Code],$A65,T_StockCount[WeekIndex],40)&gt;0,SUMIFS(T_StockCount[CountedQty],T_StockCount[RM_Code],$A65,T_StockCount[WeekIndex],40),IF((COUNTIFS(T_SelfStock[RM_Code],$A65,T_SelfStock[WeekIndex],40)&gt;0)*(COUNTIFS(T_TTAFStock[RM_Code],$A65,T_TTAFStock[WeekIndex],40)&gt;0)&gt;0,SUMIFS(T_SelfStock[Self_Qty],T_SelfStock[RM_Code],$A65,T_SelfStock[WeekIndex],40)+SUMIFS(T_TTAFStock[TTAF_Qty],T_TTAFStock[RM_Code],$A65,T_TTAFStock[WeekIndex],40),AN65+'Grid_Incoming'!AO65-'Grid_Requirement'!AO65))</f>
        <v/>
      </c>
      <c r="AP65">
        <f>IF(COUNTIFS(T_StockCount[RM_Code],$A65,T_StockCount[WeekIndex],41)&gt;0,SUMIFS(T_StockCount[CountedQty],T_StockCount[RM_Code],$A65,T_StockCount[WeekIndex],41),IF((COUNTIFS(T_SelfStock[RM_Code],$A65,T_SelfStock[WeekIndex],41)&gt;0)*(COUNTIFS(T_TTAFStock[RM_Code],$A65,T_TTAFStock[WeekIndex],41)&gt;0)&gt;0,SUMIFS(T_SelfStock[Self_Qty],T_SelfStock[RM_Code],$A65,T_SelfStock[WeekIndex],41)+SUMIFS(T_TTAFStock[TTAF_Qty],T_TTAFStock[RM_Code],$A65,T_TTAFStock[WeekIndex],41),AO65+'Grid_Incoming'!AP65-'Grid_Requirement'!AP65))</f>
        <v/>
      </c>
      <c r="AQ65">
        <f>IF(COUNTIFS(T_StockCount[RM_Code],$A65,T_StockCount[WeekIndex],42)&gt;0,SUMIFS(T_StockCount[CountedQty],T_StockCount[RM_Code],$A65,T_StockCount[WeekIndex],42),IF((COUNTIFS(T_SelfStock[RM_Code],$A65,T_SelfStock[WeekIndex],42)&gt;0)*(COUNTIFS(T_TTAFStock[RM_Code],$A65,T_TTAFStock[WeekIndex],42)&gt;0)&gt;0,SUMIFS(T_SelfStock[Self_Qty],T_SelfStock[RM_Code],$A65,T_SelfStock[WeekIndex],42)+SUMIFS(T_TTAFStock[TTAF_Qty],T_TTAFStock[RM_Code],$A65,T_TTAFStock[WeekIndex],42),AP65+'Grid_Incoming'!AQ65-'Grid_Requirement'!AQ65))</f>
        <v/>
      </c>
      <c r="AR65">
        <f>IF(COUNTIFS(T_StockCount[RM_Code],$A65,T_StockCount[WeekIndex],43)&gt;0,SUMIFS(T_StockCount[CountedQty],T_StockCount[RM_Code],$A65,T_StockCount[WeekIndex],43),IF((COUNTIFS(T_SelfStock[RM_Code],$A65,T_SelfStock[WeekIndex],43)&gt;0)*(COUNTIFS(T_TTAFStock[RM_Code],$A65,T_TTAFStock[WeekIndex],43)&gt;0)&gt;0,SUMIFS(T_SelfStock[Self_Qty],T_SelfStock[RM_Code],$A65,T_SelfStock[WeekIndex],43)+SUMIFS(T_TTAFStock[TTAF_Qty],T_TTAFStock[RM_Code],$A65,T_TTAFStock[WeekIndex],43),AQ65+'Grid_Incoming'!AR65-'Grid_Requirement'!AR65))</f>
        <v/>
      </c>
      <c r="AS65">
        <f>IF(COUNTIFS(T_StockCount[RM_Code],$A65,T_StockCount[WeekIndex],44)&gt;0,SUMIFS(T_StockCount[CountedQty],T_StockCount[RM_Code],$A65,T_StockCount[WeekIndex],44),IF((COUNTIFS(T_SelfStock[RM_Code],$A65,T_SelfStock[WeekIndex],44)&gt;0)*(COUNTIFS(T_TTAFStock[RM_Code],$A65,T_TTAFStock[WeekIndex],44)&gt;0)&gt;0,SUMIFS(T_SelfStock[Self_Qty],T_SelfStock[RM_Code],$A65,T_SelfStock[WeekIndex],44)+SUMIFS(T_TTAFStock[TTAF_Qty],T_TTAFStock[RM_Code],$A65,T_TTAFStock[WeekIndex],44),AR65+'Grid_Incoming'!AS65-'Grid_Requirement'!AS65))</f>
        <v/>
      </c>
      <c r="AT65">
        <f>IF(COUNTIFS(T_StockCount[RM_Code],$A65,T_StockCount[WeekIndex],45)&gt;0,SUMIFS(T_StockCount[CountedQty],T_StockCount[RM_Code],$A65,T_StockCount[WeekIndex],45),IF((COUNTIFS(T_SelfStock[RM_Code],$A65,T_SelfStock[WeekIndex],45)&gt;0)*(COUNTIFS(T_TTAFStock[RM_Code],$A65,T_TTAFStock[WeekIndex],45)&gt;0)&gt;0,SUMIFS(T_SelfStock[Self_Qty],T_SelfStock[RM_Code],$A65,T_SelfStock[WeekIndex],45)+SUMIFS(T_TTAFStock[TTAF_Qty],T_TTAFStock[RM_Code],$A65,T_TTAFStock[WeekIndex],45),AS65+'Grid_Incoming'!AT65-'Grid_Requirement'!AT65))</f>
        <v/>
      </c>
      <c r="AU65">
        <f>IF(COUNTIFS(T_StockCount[RM_Code],$A65,T_StockCount[WeekIndex],46)&gt;0,SUMIFS(T_StockCount[CountedQty],T_StockCount[RM_Code],$A65,T_StockCount[WeekIndex],46),IF((COUNTIFS(T_SelfStock[RM_Code],$A65,T_SelfStock[WeekIndex],46)&gt;0)*(COUNTIFS(T_TTAFStock[RM_Code],$A65,T_TTAFStock[WeekIndex],46)&gt;0)&gt;0,SUMIFS(T_SelfStock[Self_Qty],T_SelfStock[RM_Code],$A65,T_SelfStock[WeekIndex],46)+SUMIFS(T_TTAFStock[TTAF_Qty],T_TTAFStock[RM_Code],$A65,T_TTAFStock[WeekIndex],46),AT65+'Grid_Incoming'!AU65-'Grid_Requirement'!AU65))</f>
        <v/>
      </c>
      <c r="AV65">
        <f>IF(COUNTIFS(T_StockCount[RM_Code],$A65,T_StockCount[WeekIndex],47)&gt;0,SUMIFS(T_StockCount[CountedQty],T_StockCount[RM_Code],$A65,T_StockCount[WeekIndex],47),IF((COUNTIFS(T_SelfStock[RM_Code],$A65,T_SelfStock[WeekIndex],47)&gt;0)*(COUNTIFS(T_TTAFStock[RM_Code],$A65,T_TTAFStock[WeekIndex],47)&gt;0)&gt;0,SUMIFS(T_SelfStock[Self_Qty],T_SelfStock[RM_Code],$A65,T_SelfStock[WeekIndex],47)+SUMIFS(T_TTAFStock[TTAF_Qty],T_TTAFStock[RM_Code],$A65,T_TTAFStock[WeekIndex],47),AU65+'Grid_Incoming'!AV65-'Grid_Requirement'!AV65))</f>
        <v/>
      </c>
      <c r="AW65">
        <f>IF(COUNTIFS(T_StockCount[RM_Code],$A65,T_StockCount[WeekIndex],48)&gt;0,SUMIFS(T_StockCount[CountedQty],T_StockCount[RM_Code],$A65,T_StockCount[WeekIndex],48),IF((COUNTIFS(T_SelfStock[RM_Code],$A65,T_SelfStock[WeekIndex],48)&gt;0)*(COUNTIFS(T_TTAFStock[RM_Code],$A65,T_TTAFStock[WeekIndex],48)&gt;0)&gt;0,SUMIFS(T_SelfStock[Self_Qty],T_SelfStock[RM_Code],$A65,T_SelfStock[WeekIndex],48)+SUMIFS(T_TTAFStock[TTAF_Qty],T_TTAFStock[RM_Code],$A65,T_TTAFStock[WeekIndex],48),AV65+'Grid_Incoming'!AW65-'Grid_Requirement'!AW65))</f>
        <v/>
      </c>
      <c r="AX65">
        <f>IF(COUNTIFS(T_StockCount[RM_Code],$A65,T_StockCount[WeekIndex],49)&gt;0,SUMIFS(T_StockCount[CountedQty],T_StockCount[RM_Code],$A65,T_StockCount[WeekIndex],49),IF((COUNTIFS(T_SelfStock[RM_Code],$A65,T_SelfStock[WeekIndex],49)&gt;0)*(COUNTIFS(T_TTAFStock[RM_Code],$A65,T_TTAFStock[WeekIndex],49)&gt;0)&gt;0,SUMIFS(T_SelfStock[Self_Qty],T_SelfStock[RM_Code],$A65,T_SelfStock[WeekIndex],49)+SUMIFS(T_TTAFStock[TTAF_Qty],T_TTAFStock[RM_Code],$A65,T_TTAFStock[WeekIndex],49),AW65+'Grid_Incoming'!AX65-'Grid_Requirement'!AX65))</f>
        <v/>
      </c>
      <c r="AY65">
        <f>IF(COUNTIFS(T_StockCount[RM_Code],$A65,T_StockCount[WeekIndex],50)&gt;0,SUMIFS(T_StockCount[CountedQty],T_StockCount[RM_Code],$A65,T_StockCount[WeekIndex],50),IF((COUNTIFS(T_SelfStock[RM_Code],$A65,T_SelfStock[WeekIndex],50)&gt;0)*(COUNTIFS(T_TTAFStock[RM_Code],$A65,T_TTAFStock[WeekIndex],50)&gt;0)&gt;0,SUMIFS(T_SelfStock[Self_Qty],T_SelfStock[RM_Code],$A65,T_SelfStock[WeekIndex],50)+SUMIFS(T_TTAFStock[TTAF_Qty],T_TTAFStock[RM_Code],$A65,T_TTAFStock[WeekIndex],50),AX65+'Grid_Incoming'!AY65-'Grid_Requirement'!AY65))</f>
        <v/>
      </c>
      <c r="AZ65">
        <f>IF(COUNTIFS(T_StockCount[RM_Code],$A65,T_StockCount[WeekIndex],51)&gt;0,SUMIFS(T_StockCount[CountedQty],T_StockCount[RM_Code],$A65,T_StockCount[WeekIndex],51),IF((COUNTIFS(T_SelfStock[RM_Code],$A65,T_SelfStock[WeekIndex],51)&gt;0)*(COUNTIFS(T_TTAFStock[RM_Code],$A65,T_TTAFStock[WeekIndex],51)&gt;0)&gt;0,SUMIFS(T_SelfStock[Self_Qty],T_SelfStock[RM_Code],$A65,T_SelfStock[WeekIndex],51)+SUMIFS(T_TTAFStock[TTAF_Qty],T_TTAFStock[RM_Code],$A65,T_TTAFStock[WeekIndex],51),AY65+'Grid_Incoming'!AZ65-'Grid_Requirement'!AZ65))</f>
        <v/>
      </c>
      <c r="BA65">
        <f>IF(COUNTIFS(T_StockCount[RM_Code],$A65,T_StockCount[WeekIndex],52)&gt;0,SUMIFS(T_StockCount[CountedQty],T_StockCount[RM_Code],$A65,T_StockCount[WeekIndex],52),IF((COUNTIFS(T_SelfStock[RM_Code],$A65,T_SelfStock[WeekIndex],52)&gt;0)*(COUNTIFS(T_TTAFStock[RM_Code],$A65,T_TTAFStock[WeekIndex],52)&gt;0)&gt;0,SUMIFS(T_SelfStock[Self_Qty],T_SelfStock[RM_Code],$A65,T_SelfStock[WeekIndex],52)+SUMIFS(T_TTAFStock[TTAF_Qty],T_TTAFStock[RM_Code],$A65,T_TTAFStock[WeekIndex],52),AZ65+'Grid_Incoming'!BA65-'Grid_Requirement'!BA65))</f>
        <v/>
      </c>
      <c r="BB65">
        <f>IF(COUNTIFS(T_StockCount[RM_Code],$A65,T_StockCount[WeekIndex],53)&gt;0,SUMIFS(T_StockCount[CountedQty],T_StockCount[RM_Code],$A65,T_StockCount[WeekIndex],53),IF((COUNTIFS(T_SelfStock[RM_Code],$A65,T_SelfStock[WeekIndex],53)&gt;0)*(COUNTIFS(T_TTAFStock[RM_Code],$A65,T_TTAFStock[WeekIndex],53)&gt;0)&gt;0,SUMIFS(T_SelfStock[Self_Qty],T_SelfStock[RM_Code],$A65,T_SelfStock[WeekIndex],53)+SUMIFS(T_TTAFStock[TTAF_Qty],T_TTAFStock[RM_Code],$A65,T_TTAFStock[WeekIndex],53),BA65+'Grid_Incoming'!BB65-'Grid_Requirement'!BB65))</f>
        <v/>
      </c>
      <c r="BC65">
        <f>IF(COUNTIFS(T_StockCount[RM_Code],$A65,T_StockCount[WeekIndex],54)&gt;0,SUMIFS(T_StockCount[CountedQty],T_StockCount[RM_Code],$A65,T_StockCount[WeekIndex],54),IF((COUNTIFS(T_SelfStock[RM_Code],$A65,T_SelfStock[WeekIndex],54)&gt;0)*(COUNTIFS(T_TTAFStock[RM_Code],$A65,T_TTAFStock[WeekIndex],54)&gt;0)&gt;0,SUMIFS(T_SelfStock[Self_Qty],T_SelfStock[RM_Code],$A65,T_SelfStock[WeekIndex],54)+SUMIFS(T_TTAFStock[TTAF_Qty],T_TTAFStock[RM_Code],$A65,T_TTAFStock[WeekIndex],54),BB65+'Grid_Incoming'!BC65-'Grid_Requirement'!BC65))</f>
        <v/>
      </c>
      <c r="BD65">
        <f>IF(COUNTIFS(T_StockCount[RM_Code],$A65,T_StockCount[WeekIndex],55)&gt;0,SUMIFS(T_StockCount[CountedQty],T_StockCount[RM_Code],$A65,T_StockCount[WeekIndex],55),IF((COUNTIFS(T_SelfStock[RM_Code],$A65,T_SelfStock[WeekIndex],55)&gt;0)*(COUNTIFS(T_TTAFStock[RM_Code],$A65,T_TTAFStock[WeekIndex],55)&gt;0)&gt;0,SUMIFS(T_SelfStock[Self_Qty],T_SelfStock[RM_Code],$A65,T_SelfStock[WeekIndex],55)+SUMIFS(T_TTAFStock[TTAF_Qty],T_TTAFStock[RM_Code],$A65,T_TTAFStock[WeekIndex],55),BC65+'Grid_Incoming'!BD65-'Grid_Requirement'!BD65))</f>
        <v/>
      </c>
      <c r="BE65">
        <f>IF(COUNTIFS(T_StockCount[RM_Code],$A65,T_StockCount[WeekIndex],56)&gt;0,SUMIFS(T_StockCount[CountedQty],T_StockCount[RM_Code],$A65,T_StockCount[WeekIndex],56),IF((COUNTIFS(T_SelfStock[RM_Code],$A65,T_SelfStock[WeekIndex],56)&gt;0)*(COUNTIFS(T_TTAFStock[RM_Code],$A65,T_TTAFStock[WeekIndex],56)&gt;0)&gt;0,SUMIFS(T_SelfStock[Self_Qty],T_SelfStock[RM_Code],$A65,T_SelfStock[WeekIndex],56)+SUMIFS(T_TTAFStock[TTAF_Qty],T_TTAFStock[RM_Code],$A65,T_TTAFStock[WeekIndex],56),BD65+'Grid_Incoming'!BE65-'Grid_Requirement'!BE65))</f>
        <v/>
      </c>
      <c r="BF65">
        <f>IF(COUNTIFS(T_StockCount[RM_Code],$A65,T_StockCount[WeekIndex],57)&gt;0,SUMIFS(T_StockCount[CountedQty],T_StockCount[RM_Code],$A65,T_StockCount[WeekIndex],57),IF((COUNTIFS(T_SelfStock[RM_Code],$A65,T_SelfStock[WeekIndex],57)&gt;0)*(COUNTIFS(T_TTAFStock[RM_Code],$A65,T_TTAFStock[WeekIndex],57)&gt;0)&gt;0,SUMIFS(T_SelfStock[Self_Qty],T_SelfStock[RM_Code],$A65,T_SelfStock[WeekIndex],57)+SUMIFS(T_TTAFStock[TTAF_Qty],T_TTAFStock[RM_Code],$A65,T_TTAFStock[WeekIndex],57),BE65+'Grid_Incoming'!BF65-'Grid_Requirement'!BF65))</f>
        <v/>
      </c>
      <c r="BG65">
        <f>IF(COUNTIFS(T_StockCount[RM_Code],$A65,T_StockCount[WeekIndex],58)&gt;0,SUMIFS(T_StockCount[CountedQty],T_StockCount[RM_Code],$A65,T_StockCount[WeekIndex],58),IF((COUNTIFS(T_SelfStock[RM_Code],$A65,T_SelfStock[WeekIndex],58)&gt;0)*(COUNTIFS(T_TTAFStock[RM_Code],$A65,T_TTAFStock[WeekIndex],58)&gt;0)&gt;0,SUMIFS(T_SelfStock[Self_Qty],T_SelfStock[RM_Code],$A65,T_SelfStock[WeekIndex],58)+SUMIFS(T_TTAFStock[TTAF_Qty],T_TTAFStock[RM_Code],$A65,T_TTAFStock[WeekIndex],58),BF65+'Grid_Incoming'!BG65-'Grid_Requirement'!BG65))</f>
        <v/>
      </c>
      <c r="BH65">
        <f>IF(COUNTIFS(T_StockCount[RM_Code],$A65,T_StockCount[WeekIndex],59)&gt;0,SUMIFS(T_StockCount[CountedQty],T_StockCount[RM_Code],$A65,T_StockCount[WeekIndex],59),IF((COUNTIFS(T_SelfStock[RM_Code],$A65,T_SelfStock[WeekIndex],59)&gt;0)*(COUNTIFS(T_TTAFStock[RM_Code],$A65,T_TTAFStock[WeekIndex],59)&gt;0)&gt;0,SUMIFS(T_SelfStock[Self_Qty],T_SelfStock[RM_Code],$A65,T_SelfStock[WeekIndex],59)+SUMIFS(T_TTAFStock[TTAF_Qty],T_TTAFStock[RM_Code],$A65,T_TTAFStock[WeekIndex],59),BG65+'Grid_Incoming'!BH65-'Grid_Requirement'!BH65))</f>
        <v/>
      </c>
      <c r="BI65">
        <f>IF(COUNTIFS(T_StockCount[RM_Code],$A65,T_StockCount[WeekIndex],60)&gt;0,SUMIFS(T_StockCount[CountedQty],T_StockCount[RM_Code],$A65,T_StockCount[WeekIndex],60),IF((COUNTIFS(T_SelfStock[RM_Code],$A65,T_SelfStock[WeekIndex],60)&gt;0)*(COUNTIFS(T_TTAFStock[RM_Code],$A65,T_TTAFStock[WeekIndex],60)&gt;0)&gt;0,SUMIFS(T_SelfStock[Self_Qty],T_SelfStock[RM_Code],$A65,T_SelfStock[WeekIndex],60)+SUMIFS(T_TTAFStock[TTAF_Qty],T_TTAFStock[RM_Code],$A65,T_TTAFStock[WeekIndex],60),BH65+'Grid_Incoming'!BI65-'Grid_Requirement'!BI65))</f>
        <v/>
      </c>
      <c r="BJ65">
        <f>IF(COUNTIFS(T_StockCount[RM_Code],$A65,T_StockCount[WeekIndex],61)&gt;0,SUMIFS(T_StockCount[CountedQty],T_StockCount[RM_Code],$A65,T_StockCount[WeekIndex],61),IF((COUNTIFS(T_SelfStock[RM_Code],$A65,T_SelfStock[WeekIndex],61)&gt;0)*(COUNTIFS(T_TTAFStock[RM_Code],$A65,T_TTAFStock[WeekIndex],61)&gt;0)&gt;0,SUMIFS(T_SelfStock[Self_Qty],T_SelfStock[RM_Code],$A65,T_SelfStock[WeekIndex],61)+SUMIFS(T_TTAFStock[TTAF_Qty],T_TTAFStock[RM_Code],$A65,T_TTAFStock[WeekIndex],61),BI65+'Grid_Incoming'!BJ65-'Grid_Requirement'!BJ65))</f>
        <v/>
      </c>
      <c r="BK65">
        <f>IF(COUNTIFS(T_StockCount[RM_Code],$A65,T_StockCount[WeekIndex],62)&gt;0,SUMIFS(T_StockCount[CountedQty],T_StockCount[RM_Code],$A65,T_StockCount[WeekIndex],62),IF((COUNTIFS(T_SelfStock[RM_Code],$A65,T_SelfStock[WeekIndex],62)&gt;0)*(COUNTIFS(T_TTAFStock[RM_Code],$A65,T_TTAFStock[WeekIndex],62)&gt;0)&gt;0,SUMIFS(T_SelfStock[Self_Qty],T_SelfStock[RM_Code],$A65,T_SelfStock[WeekIndex],62)+SUMIFS(T_TTAFStock[TTAF_Qty],T_TTAFStock[RM_Code],$A65,T_TTAFStock[WeekIndex],62),BJ65+'Grid_Incoming'!BK65-'Grid_Requirement'!BK65))</f>
        <v/>
      </c>
      <c r="BL65">
        <f>IF(COUNTIFS(T_StockCount[RM_Code],$A65,T_StockCount[WeekIndex],63)&gt;0,SUMIFS(T_StockCount[CountedQty],T_StockCount[RM_Code],$A65,T_StockCount[WeekIndex],63),IF((COUNTIFS(T_SelfStock[RM_Code],$A65,T_SelfStock[WeekIndex],63)&gt;0)*(COUNTIFS(T_TTAFStock[RM_Code],$A65,T_TTAFStock[WeekIndex],63)&gt;0)&gt;0,SUMIFS(T_SelfStock[Self_Qty],T_SelfStock[RM_Code],$A65,T_SelfStock[WeekIndex],63)+SUMIFS(T_TTAFStock[TTAF_Qty],T_TTAFStock[RM_Code],$A65,T_TTAFStock[WeekIndex],63),BK65+'Grid_Incoming'!BL65-'Grid_Requirement'!BL65))</f>
        <v/>
      </c>
      <c r="BM65">
        <f>IF(COUNTIFS(T_StockCount[RM_Code],$A65,T_StockCount[WeekIndex],64)&gt;0,SUMIFS(T_StockCount[CountedQty],T_StockCount[RM_Code],$A65,T_StockCount[WeekIndex],64),IF((COUNTIFS(T_SelfStock[RM_Code],$A65,T_SelfStock[WeekIndex],64)&gt;0)*(COUNTIFS(T_TTAFStock[RM_Code],$A65,T_TTAFStock[WeekIndex],64)&gt;0)&gt;0,SUMIFS(T_SelfStock[Self_Qty],T_SelfStock[RM_Code],$A65,T_SelfStock[WeekIndex],64)+SUMIFS(T_TTAFStock[TTAF_Qty],T_TTAFStock[RM_Code],$A65,T_TTAFStock[WeekIndex],64),BL65+'Grid_Incoming'!BM65-'Grid_Requirement'!BM65))</f>
        <v/>
      </c>
      <c r="BN65">
        <f>IF(COUNTIFS(T_StockCount[RM_Code],$A65,T_StockCount[WeekIndex],65)&gt;0,SUMIFS(T_StockCount[CountedQty],T_StockCount[RM_Code],$A65,T_StockCount[WeekIndex],65),IF((COUNTIFS(T_SelfStock[RM_Code],$A65,T_SelfStock[WeekIndex],65)&gt;0)*(COUNTIFS(T_TTAFStock[RM_Code],$A65,T_TTAFStock[WeekIndex],65)&gt;0)&gt;0,SUMIFS(T_SelfStock[Self_Qty],T_SelfStock[RM_Code],$A65,T_SelfStock[WeekIndex],65)+SUMIFS(T_TTAFStock[TTAF_Qty],T_TTAFStock[RM_Code],$A65,T_TTAFStock[WeekIndex],65),BM65+'Grid_Incoming'!BN65-'Grid_Requirement'!BN65))</f>
        <v/>
      </c>
      <c r="BO65">
        <f>IF(COUNTIFS(T_StockCount[RM_Code],$A65,T_StockCount[WeekIndex],66)&gt;0,SUMIFS(T_StockCount[CountedQty],T_StockCount[RM_Code],$A65,T_StockCount[WeekIndex],66),IF((COUNTIFS(T_SelfStock[RM_Code],$A65,T_SelfStock[WeekIndex],66)&gt;0)*(COUNTIFS(T_TTAFStock[RM_Code],$A65,T_TTAFStock[WeekIndex],66)&gt;0)&gt;0,SUMIFS(T_SelfStock[Self_Qty],T_SelfStock[RM_Code],$A65,T_SelfStock[WeekIndex],66)+SUMIFS(T_TTAFStock[TTAF_Qty],T_TTAFStock[RM_Code],$A65,T_TTAFStock[WeekIndex],66),BN65+'Grid_Incoming'!BO65-'Grid_Requirement'!BO65))</f>
        <v/>
      </c>
      <c r="BP65">
        <f>IF(COUNTIFS(T_StockCount[RM_Code],$A65,T_StockCount[WeekIndex],67)&gt;0,SUMIFS(T_StockCount[CountedQty],T_StockCount[RM_Code],$A65,T_StockCount[WeekIndex],67),IF((COUNTIFS(T_SelfStock[RM_Code],$A65,T_SelfStock[WeekIndex],67)&gt;0)*(COUNTIFS(T_TTAFStock[RM_Code],$A65,T_TTAFStock[WeekIndex],67)&gt;0)&gt;0,SUMIFS(T_SelfStock[Self_Qty],T_SelfStock[RM_Code],$A65,T_SelfStock[WeekIndex],67)+SUMIFS(T_TTAFStock[TTAF_Qty],T_TTAFStock[RM_Code],$A65,T_TTAFStock[WeekIndex],67),BO65+'Grid_Incoming'!BP65-'Grid_Requirement'!BP65))</f>
        <v/>
      </c>
      <c r="BQ65">
        <f>IF(COUNTIFS(T_StockCount[RM_Code],$A65,T_StockCount[WeekIndex],68)&gt;0,SUMIFS(T_StockCount[CountedQty],T_StockCount[RM_Code],$A65,T_StockCount[WeekIndex],68),IF((COUNTIFS(T_SelfStock[RM_Code],$A65,T_SelfStock[WeekIndex],68)&gt;0)*(COUNTIFS(T_TTAFStock[RM_Code],$A65,T_TTAFStock[WeekIndex],68)&gt;0)&gt;0,SUMIFS(T_SelfStock[Self_Qty],T_SelfStock[RM_Code],$A65,T_SelfStock[WeekIndex],68)+SUMIFS(T_TTAFStock[TTAF_Qty],T_TTAFStock[RM_Code],$A65,T_TTAFStock[WeekIndex],68),BP65+'Grid_Incoming'!BQ65-'Grid_Requirement'!BQ65))</f>
        <v/>
      </c>
      <c r="BR65">
        <f>IF(COUNTIFS(T_StockCount[RM_Code],$A65,T_StockCount[WeekIndex],69)&gt;0,SUMIFS(T_StockCount[CountedQty],T_StockCount[RM_Code],$A65,T_StockCount[WeekIndex],69),IF((COUNTIFS(T_SelfStock[RM_Code],$A65,T_SelfStock[WeekIndex],69)&gt;0)*(COUNTIFS(T_TTAFStock[RM_Code],$A65,T_TTAFStock[WeekIndex],69)&gt;0)&gt;0,SUMIFS(T_SelfStock[Self_Qty],T_SelfStock[RM_Code],$A65,T_SelfStock[WeekIndex],69)+SUMIFS(T_TTAFStock[TTAF_Qty],T_TTAFStock[RM_Code],$A65,T_TTAFStock[WeekIndex],69),BQ65+'Grid_Incoming'!BR65-'Grid_Requirement'!BR65))</f>
        <v/>
      </c>
      <c r="BS65">
        <f>IF(COUNTIFS(T_StockCount[RM_Code],$A65,T_StockCount[WeekIndex],70)&gt;0,SUMIFS(T_StockCount[CountedQty],T_StockCount[RM_Code],$A65,T_StockCount[WeekIndex],70),IF((COUNTIFS(T_SelfStock[RM_Code],$A65,T_SelfStock[WeekIndex],70)&gt;0)*(COUNTIFS(T_TTAFStock[RM_Code],$A65,T_TTAFStock[WeekIndex],70)&gt;0)&gt;0,SUMIFS(T_SelfStock[Self_Qty],T_SelfStock[RM_Code],$A65,T_SelfStock[WeekIndex],70)+SUMIFS(T_TTAFStock[TTAF_Qty],T_TTAFStock[RM_Code],$A65,T_TTAFStock[WeekIndex],70),BR65+'Grid_Incoming'!BS65-'Grid_Requirement'!BS65))</f>
        <v/>
      </c>
      <c r="BT65">
        <f>IF(COUNTIFS(T_StockCount[RM_Code],$A65,T_StockCount[WeekIndex],71)&gt;0,SUMIFS(T_StockCount[CountedQty],T_StockCount[RM_Code],$A65,T_StockCount[WeekIndex],71),IF((COUNTIFS(T_SelfStock[RM_Code],$A65,T_SelfStock[WeekIndex],71)&gt;0)*(COUNTIFS(T_TTAFStock[RM_Code],$A65,T_TTAFStock[WeekIndex],71)&gt;0)&gt;0,SUMIFS(T_SelfStock[Self_Qty],T_SelfStock[RM_Code],$A65,T_SelfStock[WeekIndex],71)+SUMIFS(T_TTAFStock[TTAF_Qty],T_TTAFStock[RM_Code],$A65,T_TTAFStock[WeekIndex],71),BS65+'Grid_Incoming'!BT65-'Grid_Requirement'!BT65))</f>
        <v/>
      </c>
      <c r="BU65">
        <f>IF(COUNTIFS(T_StockCount[RM_Code],$A65,T_StockCount[WeekIndex],72)&gt;0,SUMIFS(T_StockCount[CountedQty],T_StockCount[RM_Code],$A65,T_StockCount[WeekIndex],72),IF((COUNTIFS(T_SelfStock[RM_Code],$A65,T_SelfStock[WeekIndex],72)&gt;0)*(COUNTIFS(T_TTAFStock[RM_Code],$A65,T_TTAFStock[WeekIndex],72)&gt;0)&gt;0,SUMIFS(T_SelfStock[Self_Qty],T_SelfStock[RM_Code],$A65,T_SelfStock[WeekIndex],72)+SUMIFS(T_TTAFStock[TTAF_Qty],T_TTAFStock[RM_Code],$A65,T_TTAFStock[WeekIndex],72),BT65+'Grid_Incoming'!BU65-'Grid_Requirement'!BU65))</f>
        <v/>
      </c>
      <c r="BV65">
        <f>IF(COUNTIFS(T_StockCount[RM_Code],$A65,T_StockCount[WeekIndex],73)&gt;0,SUMIFS(T_StockCount[CountedQty],T_StockCount[RM_Code],$A65,T_StockCount[WeekIndex],73),IF((COUNTIFS(T_SelfStock[RM_Code],$A65,T_SelfStock[WeekIndex],73)&gt;0)*(COUNTIFS(T_TTAFStock[RM_Code],$A65,T_TTAFStock[WeekIndex],73)&gt;0)&gt;0,SUMIFS(T_SelfStock[Self_Qty],T_SelfStock[RM_Code],$A65,T_SelfStock[WeekIndex],73)+SUMIFS(T_TTAFStock[TTAF_Qty],T_TTAFStock[RM_Code],$A65,T_TTAFStock[WeekIndex],73),BU65+'Grid_Incoming'!BV65-'Grid_Requirement'!BV65))</f>
        <v/>
      </c>
      <c r="BW65">
        <f>IF(COUNTIFS(T_StockCount[RM_Code],$A65,T_StockCount[WeekIndex],74)&gt;0,SUMIFS(T_StockCount[CountedQty],T_StockCount[RM_Code],$A65,T_StockCount[WeekIndex],74),IF((COUNTIFS(T_SelfStock[RM_Code],$A65,T_SelfStock[WeekIndex],74)&gt;0)*(COUNTIFS(T_TTAFStock[RM_Code],$A65,T_TTAFStock[WeekIndex],74)&gt;0)&gt;0,SUMIFS(T_SelfStock[Self_Qty],T_SelfStock[RM_Code],$A65,T_SelfStock[WeekIndex],74)+SUMIFS(T_TTAFStock[TTAF_Qty],T_TTAFStock[RM_Code],$A65,T_TTAFStock[WeekIndex],74),BV65+'Grid_Incoming'!BW65-'Grid_Requirement'!BW65))</f>
        <v/>
      </c>
      <c r="BX65">
        <f>IF(COUNTIFS(T_StockCount[RM_Code],$A65,T_StockCount[WeekIndex],75)&gt;0,SUMIFS(T_StockCount[CountedQty],T_StockCount[RM_Code],$A65,T_StockCount[WeekIndex],75),IF((COUNTIFS(T_SelfStock[RM_Code],$A65,T_SelfStock[WeekIndex],75)&gt;0)*(COUNTIFS(T_TTAFStock[RM_Code],$A65,T_TTAFStock[WeekIndex],75)&gt;0)&gt;0,SUMIFS(T_SelfStock[Self_Qty],T_SelfStock[RM_Code],$A65,T_SelfStock[WeekIndex],75)+SUMIFS(T_TTAFStock[TTAF_Qty],T_TTAFStock[RM_Code],$A65,T_TTAFStock[WeekIndex],75),BW65+'Grid_Incoming'!BX65-'Grid_Requirement'!BX65))</f>
        <v/>
      </c>
      <c r="BY65">
        <f>IF(COUNTIFS(T_StockCount[RM_Code],$A65,T_StockCount[WeekIndex],76)&gt;0,SUMIFS(T_StockCount[CountedQty],T_StockCount[RM_Code],$A65,T_StockCount[WeekIndex],76),IF((COUNTIFS(T_SelfStock[RM_Code],$A65,T_SelfStock[WeekIndex],76)&gt;0)*(COUNTIFS(T_TTAFStock[RM_Code],$A65,T_TTAFStock[WeekIndex],76)&gt;0)&gt;0,SUMIFS(T_SelfStock[Self_Qty],T_SelfStock[RM_Code],$A65,T_SelfStock[WeekIndex],76)+SUMIFS(T_TTAFStock[TTAF_Qty],T_TTAFStock[RM_Code],$A65,T_TTAFStock[WeekIndex],76),BX65+'Grid_Incoming'!BY65-'Grid_Requirement'!BY65))</f>
        <v/>
      </c>
      <c r="BZ65">
        <f>IF(COUNTIFS(T_StockCount[RM_Code],$A65,T_StockCount[WeekIndex],77)&gt;0,SUMIFS(T_StockCount[CountedQty],T_StockCount[RM_Code],$A65,T_StockCount[WeekIndex],77),IF((COUNTIFS(T_SelfStock[RM_Code],$A65,T_SelfStock[WeekIndex],77)&gt;0)*(COUNTIFS(T_TTAFStock[RM_Code],$A65,T_TTAFStock[WeekIndex],77)&gt;0)&gt;0,SUMIFS(T_SelfStock[Self_Qty],T_SelfStock[RM_Code],$A65,T_SelfStock[WeekIndex],77)+SUMIFS(T_TTAFStock[TTAF_Qty],T_TTAFStock[RM_Code],$A65,T_TTAFStock[WeekIndex],77),BY65+'Grid_Incoming'!BZ65-'Grid_Requirement'!BZ65))</f>
        <v/>
      </c>
      <c r="CA65">
        <f>IF(COUNTIFS(T_StockCount[RM_Code],$A65,T_StockCount[WeekIndex],78)&gt;0,SUMIFS(T_StockCount[CountedQty],T_StockCount[RM_Code],$A65,T_StockCount[WeekIndex],78),IF((COUNTIFS(T_SelfStock[RM_Code],$A65,T_SelfStock[WeekIndex],78)&gt;0)*(COUNTIFS(T_TTAFStock[RM_Code],$A65,T_TTAFStock[WeekIndex],78)&gt;0)&gt;0,SUMIFS(T_SelfStock[Self_Qty],T_SelfStock[RM_Code],$A65,T_SelfStock[WeekIndex],78)+SUMIFS(T_TTAFStock[TTAF_Qty],T_TTAFStock[RM_Code],$A65,T_TTAFStock[WeekIndex],78),BZ65+'Grid_Incoming'!CA65-'Grid_Requirement'!CA65))</f>
        <v/>
      </c>
      <c r="CB65">
        <f>IF(COUNTIFS(T_StockCount[RM_Code],$A65,T_StockCount[WeekIndex],79)&gt;0,SUMIFS(T_StockCount[CountedQty],T_StockCount[RM_Code],$A65,T_StockCount[WeekIndex],79),IF((COUNTIFS(T_SelfStock[RM_Code],$A65,T_SelfStock[WeekIndex],79)&gt;0)*(COUNTIFS(T_TTAFStock[RM_Code],$A65,T_TTAFStock[WeekIndex],79)&gt;0)&gt;0,SUMIFS(T_SelfStock[Self_Qty],T_SelfStock[RM_Code],$A65,T_SelfStock[WeekIndex],79)+SUMIFS(T_TTAFStock[TTAF_Qty],T_TTAFStock[RM_Code],$A65,T_TTAFStock[WeekIndex],79),CA65+'Grid_Incoming'!CB65-'Grid_Requirement'!CB65))</f>
        <v/>
      </c>
      <c r="CC65">
        <f>IF(COUNTIFS(T_StockCount[RM_Code],$A65,T_StockCount[WeekIndex],80)&gt;0,SUMIFS(T_StockCount[CountedQty],T_StockCount[RM_Code],$A65,T_StockCount[WeekIndex],80),IF((COUNTIFS(T_SelfStock[RM_Code],$A65,T_SelfStock[WeekIndex],80)&gt;0)*(COUNTIFS(T_TTAFStock[RM_Code],$A65,T_TTAFStock[WeekIndex],80)&gt;0)&gt;0,SUMIFS(T_SelfStock[Self_Qty],T_SelfStock[RM_Code],$A65,T_SelfStock[WeekIndex],80)+SUMIFS(T_TTAFStock[TTAF_Qty],T_TTAFStock[RM_Code],$A65,T_TTAFStock[WeekIndex],80),CB65+'Grid_Incoming'!CC65-'Grid_Requirement'!CC65))</f>
        <v/>
      </c>
      <c r="CD65">
        <f>IF(COUNTIFS(T_StockCount[RM_Code],$A65,T_StockCount[WeekIndex],81)&gt;0,SUMIFS(T_StockCount[CountedQty],T_StockCount[RM_Code],$A65,T_StockCount[WeekIndex],81),IF((COUNTIFS(T_SelfStock[RM_Code],$A65,T_SelfStock[WeekIndex],81)&gt;0)*(COUNTIFS(T_TTAFStock[RM_Code],$A65,T_TTAFStock[WeekIndex],81)&gt;0)&gt;0,SUMIFS(T_SelfStock[Self_Qty],T_SelfStock[RM_Code],$A65,T_SelfStock[WeekIndex],81)+SUMIFS(T_TTAFStock[TTAF_Qty],T_TTAFStock[RM_Code],$A65,T_TTAFStock[WeekIndex],81),CC65+'Grid_Incoming'!CD65-'Grid_Requirement'!CD65))</f>
        <v/>
      </c>
      <c r="CE65">
        <f>IF(COUNTIFS(T_StockCount[RM_Code],$A65,T_StockCount[WeekIndex],82)&gt;0,SUMIFS(T_StockCount[CountedQty],T_StockCount[RM_Code],$A65,T_StockCount[WeekIndex],82),IF((COUNTIFS(T_SelfStock[RM_Code],$A65,T_SelfStock[WeekIndex],82)&gt;0)*(COUNTIFS(T_TTAFStock[RM_Code],$A65,T_TTAFStock[WeekIndex],82)&gt;0)&gt;0,SUMIFS(T_SelfStock[Self_Qty],T_SelfStock[RM_Code],$A65,T_SelfStock[WeekIndex],82)+SUMIFS(T_TTAFStock[TTAF_Qty],T_TTAFStock[RM_Code],$A65,T_TTAFStock[WeekIndex],82),CD65+'Grid_Incoming'!CE65-'Grid_Requirement'!CE65))</f>
        <v/>
      </c>
      <c r="CF65">
        <f>IF(COUNTIFS(T_StockCount[RM_Code],$A65,T_StockCount[WeekIndex],83)&gt;0,SUMIFS(T_StockCount[CountedQty],T_StockCount[RM_Code],$A65,T_StockCount[WeekIndex],83),IF((COUNTIFS(T_SelfStock[RM_Code],$A65,T_SelfStock[WeekIndex],83)&gt;0)*(COUNTIFS(T_TTAFStock[RM_Code],$A65,T_TTAFStock[WeekIndex],83)&gt;0)&gt;0,SUMIFS(T_SelfStock[Self_Qty],T_SelfStock[RM_Code],$A65,T_SelfStock[WeekIndex],83)+SUMIFS(T_TTAFStock[TTAF_Qty],T_TTAFStock[RM_Code],$A65,T_TTAFStock[WeekIndex],83),CE65+'Grid_Incoming'!CF65-'Grid_Requirement'!CF65))</f>
        <v/>
      </c>
      <c r="CG65">
        <f>IF(COUNTIFS(T_StockCount[RM_Code],$A65,T_StockCount[WeekIndex],84)&gt;0,SUMIFS(T_StockCount[CountedQty],T_StockCount[RM_Code],$A65,T_StockCount[WeekIndex],84),IF((COUNTIFS(T_SelfStock[RM_Code],$A65,T_SelfStock[WeekIndex],84)&gt;0)*(COUNTIFS(T_TTAFStock[RM_Code],$A65,T_TTAFStock[WeekIndex],84)&gt;0)&gt;0,SUMIFS(T_SelfStock[Self_Qty],T_SelfStock[RM_Code],$A65,T_SelfStock[WeekIndex],84)+SUMIFS(T_TTAFStock[TTAF_Qty],T_TTAFStock[RM_Code],$A65,T_TTAFStock[WeekIndex],84),CF65+'Grid_Incoming'!CG65-'Grid_Requirement'!CG65))</f>
        <v/>
      </c>
      <c r="CH65">
        <f>IF(COUNTIFS(T_StockCount[RM_Code],$A65,T_StockCount[WeekIndex],85)&gt;0,SUMIFS(T_StockCount[CountedQty],T_StockCount[RM_Code],$A65,T_StockCount[WeekIndex],85),IF((COUNTIFS(T_SelfStock[RM_Code],$A65,T_SelfStock[WeekIndex],85)&gt;0)*(COUNTIFS(T_TTAFStock[RM_Code],$A65,T_TTAFStock[WeekIndex],85)&gt;0)&gt;0,SUMIFS(T_SelfStock[Self_Qty],T_SelfStock[RM_Code],$A65,T_SelfStock[WeekIndex],85)+SUMIFS(T_TTAFStock[TTAF_Qty],T_TTAFStock[RM_Code],$A65,T_TTAFStock[WeekIndex],85),CG65+'Grid_Incoming'!CH65-'Grid_Requirement'!CH65))</f>
        <v/>
      </c>
      <c r="CI65">
        <f>IF(COUNTIFS(T_StockCount[RM_Code],$A65,T_StockCount[WeekIndex],86)&gt;0,SUMIFS(T_StockCount[CountedQty],T_StockCount[RM_Code],$A65,T_StockCount[WeekIndex],86),IF((COUNTIFS(T_SelfStock[RM_Code],$A65,T_SelfStock[WeekIndex],86)&gt;0)*(COUNTIFS(T_TTAFStock[RM_Code],$A65,T_TTAFStock[WeekIndex],86)&gt;0)&gt;0,SUMIFS(T_SelfStock[Self_Qty],T_SelfStock[RM_Code],$A65,T_SelfStock[WeekIndex],86)+SUMIFS(T_TTAFStock[TTAF_Qty],T_TTAFStock[RM_Code],$A65,T_TTAFStock[WeekIndex],86),CH65+'Grid_Incoming'!CI65-'Grid_Requirement'!CI65))</f>
        <v/>
      </c>
      <c r="CJ65">
        <f>IF(COUNTIFS(T_StockCount[RM_Code],$A65,T_StockCount[WeekIndex],87)&gt;0,SUMIFS(T_StockCount[CountedQty],T_StockCount[RM_Code],$A65,T_StockCount[WeekIndex],87),IF((COUNTIFS(T_SelfStock[RM_Code],$A65,T_SelfStock[WeekIndex],87)&gt;0)*(COUNTIFS(T_TTAFStock[RM_Code],$A65,T_TTAFStock[WeekIndex],87)&gt;0)&gt;0,SUMIFS(T_SelfStock[Self_Qty],T_SelfStock[RM_Code],$A65,T_SelfStock[WeekIndex],87)+SUMIFS(T_TTAFStock[TTAF_Qty],T_TTAFStock[RM_Code],$A65,T_TTAFStock[WeekIndex],87),CI65+'Grid_Incoming'!CJ65-'Grid_Requirement'!CJ65))</f>
        <v/>
      </c>
      <c r="CK65">
        <f>IF(COUNTIFS(T_StockCount[RM_Code],$A65,T_StockCount[WeekIndex],88)&gt;0,SUMIFS(T_StockCount[CountedQty],T_StockCount[RM_Code],$A65,T_StockCount[WeekIndex],88),IF((COUNTIFS(T_SelfStock[RM_Code],$A65,T_SelfStock[WeekIndex],88)&gt;0)*(COUNTIFS(T_TTAFStock[RM_Code],$A65,T_TTAFStock[WeekIndex],88)&gt;0)&gt;0,SUMIFS(T_SelfStock[Self_Qty],T_SelfStock[RM_Code],$A65,T_SelfStock[WeekIndex],88)+SUMIFS(T_TTAFStock[TTAF_Qty],T_TTAFStock[RM_Code],$A65,T_TTAFStock[WeekIndex],88),CJ65+'Grid_Incoming'!CK65-'Grid_Requirement'!CK65))</f>
        <v/>
      </c>
      <c r="CL65">
        <f>IF(COUNTIFS(T_StockCount[RM_Code],$A65,T_StockCount[WeekIndex],89)&gt;0,SUMIFS(T_StockCount[CountedQty],T_StockCount[RM_Code],$A65,T_StockCount[WeekIndex],89),IF((COUNTIFS(T_SelfStock[RM_Code],$A65,T_SelfStock[WeekIndex],89)&gt;0)*(COUNTIFS(T_TTAFStock[RM_Code],$A65,T_TTAFStock[WeekIndex],89)&gt;0)&gt;0,SUMIFS(T_SelfStock[Self_Qty],T_SelfStock[RM_Code],$A65,T_SelfStock[WeekIndex],89)+SUMIFS(T_TTAFStock[TTAF_Qty],T_TTAFStock[RM_Code],$A65,T_TTAFStock[WeekIndex],89),CK65+'Grid_Incoming'!CL65-'Grid_Requirement'!CL65))</f>
        <v/>
      </c>
      <c r="CM65">
        <f>IF(COUNTIFS(T_StockCount[RM_Code],$A65,T_StockCount[WeekIndex],90)&gt;0,SUMIFS(T_StockCount[CountedQty],T_StockCount[RM_Code],$A65,T_StockCount[WeekIndex],90),IF((COUNTIFS(T_SelfStock[RM_Code],$A65,T_SelfStock[WeekIndex],90)&gt;0)*(COUNTIFS(T_TTAFStock[RM_Code],$A65,T_TTAFStock[WeekIndex],90)&gt;0)&gt;0,SUMIFS(T_SelfStock[Self_Qty],T_SelfStock[RM_Code],$A65,T_SelfStock[WeekIndex],90)+SUMIFS(T_TTAFStock[TTAF_Qty],T_TTAFStock[RM_Code],$A65,T_TTAFStock[WeekIndex],90),CL65+'Grid_Incoming'!CM65-'Grid_Requirement'!CM65))</f>
        <v/>
      </c>
      <c r="CN65">
        <f>IF(COUNTIFS(T_StockCount[RM_Code],$A65,T_StockCount[WeekIndex],91)&gt;0,SUMIFS(T_StockCount[CountedQty],T_StockCount[RM_Code],$A65,T_StockCount[WeekIndex],91),IF((COUNTIFS(T_SelfStock[RM_Code],$A65,T_SelfStock[WeekIndex],91)&gt;0)*(COUNTIFS(T_TTAFStock[RM_Code],$A65,T_TTAFStock[WeekIndex],91)&gt;0)&gt;0,SUMIFS(T_SelfStock[Self_Qty],T_SelfStock[RM_Code],$A65,T_SelfStock[WeekIndex],91)+SUMIFS(T_TTAFStock[TTAF_Qty],T_TTAFStock[RM_Code],$A65,T_TTAFStock[WeekIndex],91),CM65+'Grid_Incoming'!CN65-'Grid_Requirement'!CN65))</f>
        <v/>
      </c>
      <c r="CO65">
        <f>IF(COUNTIFS(T_StockCount[RM_Code],$A65,T_StockCount[WeekIndex],92)&gt;0,SUMIFS(T_StockCount[CountedQty],T_StockCount[RM_Code],$A65,T_StockCount[WeekIndex],92),IF((COUNTIFS(T_SelfStock[RM_Code],$A65,T_SelfStock[WeekIndex],92)&gt;0)*(COUNTIFS(T_TTAFStock[RM_Code],$A65,T_TTAFStock[WeekIndex],92)&gt;0)&gt;0,SUMIFS(T_SelfStock[Self_Qty],T_SelfStock[RM_Code],$A65,T_SelfStock[WeekIndex],92)+SUMIFS(T_TTAFStock[TTAF_Qty],T_TTAFStock[RM_Code],$A65,T_TTAFStock[WeekIndex],92),CN65+'Grid_Incoming'!CO65-'Grid_Requirement'!CO65))</f>
        <v/>
      </c>
      <c r="CP65">
        <f>IF(COUNTIFS(T_StockCount[RM_Code],$A65,T_StockCount[WeekIndex],93)&gt;0,SUMIFS(T_StockCount[CountedQty],T_StockCount[RM_Code],$A65,T_StockCount[WeekIndex],93),IF((COUNTIFS(T_SelfStock[RM_Code],$A65,T_SelfStock[WeekIndex],93)&gt;0)*(COUNTIFS(T_TTAFStock[RM_Code],$A65,T_TTAFStock[WeekIndex],93)&gt;0)&gt;0,SUMIFS(T_SelfStock[Self_Qty],T_SelfStock[RM_Code],$A65,T_SelfStock[WeekIndex],93)+SUMIFS(T_TTAFStock[TTAF_Qty],T_TTAFStock[RM_Code],$A65,T_TTAFStock[WeekIndex],93),CO65+'Grid_Incoming'!CP65-'Grid_Requirement'!CP65))</f>
        <v/>
      </c>
      <c r="CQ65">
        <f>IF(COUNTIFS(T_StockCount[RM_Code],$A65,T_StockCount[WeekIndex],94)&gt;0,SUMIFS(T_StockCount[CountedQty],T_StockCount[RM_Code],$A65,T_StockCount[WeekIndex],94),IF((COUNTIFS(T_SelfStock[RM_Code],$A65,T_SelfStock[WeekIndex],94)&gt;0)*(COUNTIFS(T_TTAFStock[RM_Code],$A65,T_TTAFStock[WeekIndex],94)&gt;0)&gt;0,SUMIFS(T_SelfStock[Self_Qty],T_SelfStock[RM_Code],$A65,T_SelfStock[WeekIndex],94)+SUMIFS(T_TTAFStock[TTAF_Qty],T_TTAFStock[RM_Code],$A65,T_TTAFStock[WeekIndex],94),CP65+'Grid_Incoming'!CQ65-'Grid_Requirement'!CQ65))</f>
        <v/>
      </c>
      <c r="CR65">
        <f>IF(COUNTIFS(T_StockCount[RM_Code],$A65,T_StockCount[WeekIndex],95)&gt;0,SUMIFS(T_StockCount[CountedQty],T_StockCount[RM_Code],$A65,T_StockCount[WeekIndex],95),IF((COUNTIFS(T_SelfStock[RM_Code],$A65,T_SelfStock[WeekIndex],95)&gt;0)*(COUNTIFS(T_TTAFStock[RM_Code],$A65,T_TTAFStock[WeekIndex],95)&gt;0)&gt;0,SUMIFS(T_SelfStock[Self_Qty],T_SelfStock[RM_Code],$A65,T_SelfStock[WeekIndex],95)+SUMIFS(T_TTAFStock[TTAF_Qty],T_TTAFStock[RM_Code],$A65,T_TTAFStock[WeekIndex],95),CQ65+'Grid_Incoming'!CR65-'Grid_Requirement'!CR65))</f>
        <v/>
      </c>
      <c r="CS65">
        <f>IF(COUNTIFS(T_StockCount[RM_Code],$A65,T_StockCount[WeekIndex],96)&gt;0,SUMIFS(T_StockCount[CountedQty],T_StockCount[RM_Code],$A65,T_StockCount[WeekIndex],96),IF((COUNTIFS(T_SelfStock[RM_Code],$A65,T_SelfStock[WeekIndex],96)&gt;0)*(COUNTIFS(T_TTAFStock[RM_Code],$A65,T_TTAFStock[WeekIndex],96)&gt;0)&gt;0,SUMIFS(T_SelfStock[Self_Qty],T_SelfStock[RM_Code],$A65,T_SelfStock[WeekIndex],96)+SUMIFS(T_TTAFStock[TTAF_Qty],T_TTAFStock[RM_Code],$A65,T_TTAFStock[WeekIndex],96),CR65+'Grid_Incoming'!CS65-'Grid_Requirement'!CS65))</f>
        <v/>
      </c>
      <c r="CT65">
        <f>IF(COUNTIFS(T_StockCount[RM_Code],$A65,T_StockCount[WeekIndex],97)&gt;0,SUMIFS(T_StockCount[CountedQty],T_StockCount[RM_Code],$A65,T_StockCount[WeekIndex],97),IF((COUNTIFS(T_SelfStock[RM_Code],$A65,T_SelfStock[WeekIndex],97)&gt;0)*(COUNTIFS(T_TTAFStock[RM_Code],$A65,T_TTAFStock[WeekIndex],97)&gt;0)&gt;0,SUMIFS(T_SelfStock[Self_Qty],T_SelfStock[RM_Code],$A65,T_SelfStock[WeekIndex],97)+SUMIFS(T_TTAFStock[TTAF_Qty],T_TTAFStock[RM_Code],$A65,T_TTAFStock[WeekIndex],97),CS65+'Grid_Incoming'!CT65-'Grid_Requirement'!CT65))</f>
        <v/>
      </c>
      <c r="CU65">
        <f>IF(COUNTIFS(T_StockCount[RM_Code],$A65,T_StockCount[WeekIndex],98)&gt;0,SUMIFS(T_StockCount[CountedQty],T_StockCount[RM_Code],$A65,T_StockCount[WeekIndex],98),IF((COUNTIFS(T_SelfStock[RM_Code],$A65,T_SelfStock[WeekIndex],98)&gt;0)*(COUNTIFS(T_TTAFStock[RM_Code],$A65,T_TTAFStock[WeekIndex],98)&gt;0)&gt;0,SUMIFS(T_SelfStock[Self_Qty],T_SelfStock[RM_Code],$A65,T_SelfStock[WeekIndex],98)+SUMIFS(T_TTAFStock[TTAF_Qty],T_TTAFStock[RM_Code],$A65,T_TTAFStock[WeekIndex],98),CT65+'Grid_Incoming'!CU65-'Grid_Requirement'!CU65))</f>
        <v/>
      </c>
      <c r="CV65">
        <f>IF(COUNTIFS(T_StockCount[RM_Code],$A65,T_StockCount[WeekIndex],99)&gt;0,SUMIFS(T_StockCount[CountedQty],T_StockCount[RM_Code],$A65,T_StockCount[WeekIndex],99),IF((COUNTIFS(T_SelfStock[RM_Code],$A65,T_SelfStock[WeekIndex],99)&gt;0)*(COUNTIFS(T_TTAFStock[RM_Code],$A65,T_TTAFStock[WeekIndex],99)&gt;0)&gt;0,SUMIFS(T_SelfStock[Self_Qty],T_SelfStock[RM_Code],$A65,T_SelfStock[WeekIndex],99)+SUMIFS(T_TTAFStock[TTAF_Qty],T_TTAFStock[RM_Code],$A65,T_TTAFStock[WeekIndex],99),CU65+'Grid_Incoming'!CV65-'Grid_Requirement'!CV65))</f>
        <v/>
      </c>
      <c r="CW65">
        <f>IF(COUNTIFS(T_StockCount[RM_Code],$A65,T_StockCount[WeekIndex],100)&gt;0,SUMIFS(T_StockCount[CountedQty],T_StockCount[RM_Code],$A65,T_StockCount[WeekIndex],100),IF((COUNTIFS(T_SelfStock[RM_Code],$A65,T_SelfStock[WeekIndex],100)&gt;0)*(COUNTIFS(T_TTAFStock[RM_Code],$A65,T_TTAFStock[WeekIndex],100)&gt;0)&gt;0,SUMIFS(T_SelfStock[Self_Qty],T_SelfStock[RM_Code],$A65,T_SelfStock[WeekIndex],100)+SUMIFS(T_TTAFStock[TTAF_Qty],T_TTAFStock[RM_Code],$A65,T_TTAFStock[WeekIndex],100),CV65+'Grid_Incoming'!CW65-'Grid_Requirement'!CW65))</f>
        <v/>
      </c>
      <c r="CX65">
        <f>IF(COUNTIFS(T_StockCount[RM_Code],$A65,T_StockCount[WeekIndex],101)&gt;0,SUMIFS(T_StockCount[CountedQty],T_StockCount[RM_Code],$A65,T_StockCount[WeekIndex],101),IF((COUNTIFS(T_SelfStock[RM_Code],$A65,T_SelfStock[WeekIndex],101)&gt;0)*(COUNTIFS(T_TTAFStock[RM_Code],$A65,T_TTAFStock[WeekIndex],101)&gt;0)&gt;0,SUMIFS(T_SelfStock[Self_Qty],T_SelfStock[RM_Code],$A65,T_SelfStock[WeekIndex],101)+SUMIFS(T_TTAFStock[TTAF_Qty],T_TTAFStock[RM_Code],$A65,T_TTAFStock[WeekIndex],101),CW65+'Grid_Incoming'!CX65-'Grid_Requirement'!CX65))</f>
        <v/>
      </c>
      <c r="CY65">
        <f>IF(COUNTIFS(T_StockCount[RM_Code],$A65,T_StockCount[WeekIndex],102)&gt;0,SUMIFS(T_StockCount[CountedQty],T_StockCount[RM_Code],$A65,T_StockCount[WeekIndex],102),IF((COUNTIFS(T_SelfStock[RM_Code],$A65,T_SelfStock[WeekIndex],102)&gt;0)*(COUNTIFS(T_TTAFStock[RM_Code],$A65,T_TTAFStock[WeekIndex],102)&gt;0)&gt;0,SUMIFS(T_SelfStock[Self_Qty],T_SelfStock[RM_Code],$A65,T_SelfStock[WeekIndex],102)+SUMIFS(T_TTAFStock[TTAF_Qty],T_TTAFStock[RM_Code],$A65,T_TTAFStock[WeekIndex],102),CX65+'Grid_Incoming'!CY65-'Grid_Requirement'!CY65))</f>
        <v/>
      </c>
      <c r="CZ65">
        <f>IF(COUNTIFS(T_StockCount[RM_Code],$A65,T_StockCount[WeekIndex],103)&gt;0,SUMIFS(T_StockCount[CountedQty],T_StockCount[RM_Code],$A65,T_StockCount[WeekIndex],103),IF((COUNTIFS(T_SelfStock[RM_Code],$A65,T_SelfStock[WeekIndex],103)&gt;0)*(COUNTIFS(T_TTAFStock[RM_Code],$A65,T_TTAFStock[WeekIndex],103)&gt;0)&gt;0,SUMIFS(T_SelfStock[Self_Qty],T_SelfStock[RM_Code],$A65,T_SelfStock[WeekIndex],103)+SUMIFS(T_TTAFStock[TTAF_Qty],T_TTAFStock[RM_Code],$A65,T_TTAFStock[WeekIndex],103),CY65+'Grid_Incoming'!CZ65-'Grid_Requirement'!CZ65))</f>
        <v/>
      </c>
      <c r="DA65">
        <f>IF(COUNTIFS(T_StockCount[RM_Code],$A65,T_StockCount[WeekIndex],104)&gt;0,SUMIFS(T_StockCount[CountedQty],T_StockCount[RM_Code],$A65,T_StockCount[WeekIndex],104),IF((COUNTIFS(T_SelfStock[RM_Code],$A65,T_SelfStock[WeekIndex],104)&gt;0)*(COUNTIFS(T_TTAFStock[RM_Code],$A65,T_TTAFStock[WeekIndex],104)&gt;0)&gt;0,SUMIFS(T_SelfStock[Self_Qty],T_SelfStock[RM_Code],$A65,T_SelfStock[WeekIndex],104)+SUMIFS(T_TTAFStock[TTAF_Qty],T_TTAFStock[RM_Code],$A65,T_TTAFStock[WeekIndex],104),CZ65+'Grid_Incoming'!DA65-'Grid_Requirement'!DA65))</f>
        <v/>
      </c>
    </row>
    <row r="66">
      <c r="A66" t="inlineStr">
        <is>
          <t>V03</t>
        </is>
      </c>
      <c r="B66">
        <f>IF(COUNTIFS(T_StockCount[RM_Code],$A66,T_StockCount[WeekIndex],1)&gt;0,SUMIFS(T_StockCount[CountedQty],T_StockCount[RM_Code],$A66,T_StockCount[WeekIndex],1),IF((COUNTIFS(T_SelfStock[RM_Code],$A66,T_SelfStock[WeekIndex],1)&gt;0)*(COUNTIFS(T_TTAFStock[RM_Code],$A66,T_TTAFStock[WeekIndex],1)&gt;0)&gt;0,SUMIFS(T_SelfStock[Self_Qty],T_SelfStock[RM_Code],$A66,T_SelfStock[WeekIndex],1)+SUMIFS(T_TTAFStock[TTAF_Qty],T_TTAFStock[RM_Code],$A66,T_TTAFStock[WeekIndex],1),IFERROR(INDEX(T_OpeningStock[Opening_Qty],MATCH($A66,T_OpeningStock[RM_Code],0)),0)+'Grid_Incoming'!B66-'Grid_Requirement'!B66))</f>
        <v/>
      </c>
      <c r="C66">
        <f>IF(COUNTIFS(T_StockCount[RM_Code],$A66,T_StockCount[WeekIndex],2)&gt;0,SUMIFS(T_StockCount[CountedQty],T_StockCount[RM_Code],$A66,T_StockCount[WeekIndex],2),IF((COUNTIFS(T_SelfStock[RM_Code],$A66,T_SelfStock[WeekIndex],2)&gt;0)*(COUNTIFS(T_TTAFStock[RM_Code],$A66,T_TTAFStock[WeekIndex],2)&gt;0)&gt;0,SUMIFS(T_SelfStock[Self_Qty],T_SelfStock[RM_Code],$A66,T_SelfStock[WeekIndex],2)+SUMIFS(T_TTAFStock[TTAF_Qty],T_TTAFStock[RM_Code],$A66,T_TTAFStock[WeekIndex],2),B66+'Grid_Incoming'!C66-'Grid_Requirement'!C66))</f>
        <v/>
      </c>
      <c r="D66">
        <f>IF(COUNTIFS(T_StockCount[RM_Code],$A66,T_StockCount[WeekIndex],3)&gt;0,SUMIFS(T_StockCount[CountedQty],T_StockCount[RM_Code],$A66,T_StockCount[WeekIndex],3),IF((COUNTIFS(T_SelfStock[RM_Code],$A66,T_SelfStock[WeekIndex],3)&gt;0)*(COUNTIFS(T_TTAFStock[RM_Code],$A66,T_TTAFStock[WeekIndex],3)&gt;0)&gt;0,SUMIFS(T_SelfStock[Self_Qty],T_SelfStock[RM_Code],$A66,T_SelfStock[WeekIndex],3)+SUMIFS(T_TTAFStock[TTAF_Qty],T_TTAFStock[RM_Code],$A66,T_TTAFStock[WeekIndex],3),C66+'Grid_Incoming'!D66-'Grid_Requirement'!D66))</f>
        <v/>
      </c>
      <c r="E66">
        <f>IF(COUNTIFS(T_StockCount[RM_Code],$A66,T_StockCount[WeekIndex],4)&gt;0,SUMIFS(T_StockCount[CountedQty],T_StockCount[RM_Code],$A66,T_StockCount[WeekIndex],4),IF((COUNTIFS(T_SelfStock[RM_Code],$A66,T_SelfStock[WeekIndex],4)&gt;0)*(COUNTIFS(T_TTAFStock[RM_Code],$A66,T_TTAFStock[WeekIndex],4)&gt;0)&gt;0,SUMIFS(T_SelfStock[Self_Qty],T_SelfStock[RM_Code],$A66,T_SelfStock[WeekIndex],4)+SUMIFS(T_TTAFStock[TTAF_Qty],T_TTAFStock[RM_Code],$A66,T_TTAFStock[WeekIndex],4),D66+'Grid_Incoming'!E66-'Grid_Requirement'!E66))</f>
        <v/>
      </c>
      <c r="F66">
        <f>IF(COUNTIFS(T_StockCount[RM_Code],$A66,T_StockCount[WeekIndex],5)&gt;0,SUMIFS(T_StockCount[CountedQty],T_StockCount[RM_Code],$A66,T_StockCount[WeekIndex],5),IF((COUNTIFS(T_SelfStock[RM_Code],$A66,T_SelfStock[WeekIndex],5)&gt;0)*(COUNTIFS(T_TTAFStock[RM_Code],$A66,T_TTAFStock[WeekIndex],5)&gt;0)&gt;0,SUMIFS(T_SelfStock[Self_Qty],T_SelfStock[RM_Code],$A66,T_SelfStock[WeekIndex],5)+SUMIFS(T_TTAFStock[TTAF_Qty],T_TTAFStock[RM_Code],$A66,T_TTAFStock[WeekIndex],5),E66+'Grid_Incoming'!F66-'Grid_Requirement'!F66))</f>
        <v/>
      </c>
      <c r="G66">
        <f>IF(COUNTIFS(T_StockCount[RM_Code],$A66,T_StockCount[WeekIndex],6)&gt;0,SUMIFS(T_StockCount[CountedQty],T_StockCount[RM_Code],$A66,T_StockCount[WeekIndex],6),IF((COUNTIFS(T_SelfStock[RM_Code],$A66,T_SelfStock[WeekIndex],6)&gt;0)*(COUNTIFS(T_TTAFStock[RM_Code],$A66,T_TTAFStock[WeekIndex],6)&gt;0)&gt;0,SUMIFS(T_SelfStock[Self_Qty],T_SelfStock[RM_Code],$A66,T_SelfStock[WeekIndex],6)+SUMIFS(T_TTAFStock[TTAF_Qty],T_TTAFStock[RM_Code],$A66,T_TTAFStock[WeekIndex],6),F66+'Grid_Incoming'!G66-'Grid_Requirement'!G66))</f>
        <v/>
      </c>
      <c r="H66">
        <f>IF(COUNTIFS(T_StockCount[RM_Code],$A66,T_StockCount[WeekIndex],7)&gt;0,SUMIFS(T_StockCount[CountedQty],T_StockCount[RM_Code],$A66,T_StockCount[WeekIndex],7),IF((COUNTIFS(T_SelfStock[RM_Code],$A66,T_SelfStock[WeekIndex],7)&gt;0)*(COUNTIFS(T_TTAFStock[RM_Code],$A66,T_TTAFStock[WeekIndex],7)&gt;0)&gt;0,SUMIFS(T_SelfStock[Self_Qty],T_SelfStock[RM_Code],$A66,T_SelfStock[WeekIndex],7)+SUMIFS(T_TTAFStock[TTAF_Qty],T_TTAFStock[RM_Code],$A66,T_TTAFStock[WeekIndex],7),G66+'Grid_Incoming'!H66-'Grid_Requirement'!H66))</f>
        <v/>
      </c>
      <c r="I66">
        <f>IF(COUNTIFS(T_StockCount[RM_Code],$A66,T_StockCount[WeekIndex],8)&gt;0,SUMIFS(T_StockCount[CountedQty],T_StockCount[RM_Code],$A66,T_StockCount[WeekIndex],8),IF((COUNTIFS(T_SelfStock[RM_Code],$A66,T_SelfStock[WeekIndex],8)&gt;0)*(COUNTIFS(T_TTAFStock[RM_Code],$A66,T_TTAFStock[WeekIndex],8)&gt;0)&gt;0,SUMIFS(T_SelfStock[Self_Qty],T_SelfStock[RM_Code],$A66,T_SelfStock[WeekIndex],8)+SUMIFS(T_TTAFStock[TTAF_Qty],T_TTAFStock[RM_Code],$A66,T_TTAFStock[WeekIndex],8),H66+'Grid_Incoming'!I66-'Grid_Requirement'!I66))</f>
        <v/>
      </c>
      <c r="J66">
        <f>IF(COUNTIFS(T_StockCount[RM_Code],$A66,T_StockCount[WeekIndex],9)&gt;0,SUMIFS(T_StockCount[CountedQty],T_StockCount[RM_Code],$A66,T_StockCount[WeekIndex],9),IF((COUNTIFS(T_SelfStock[RM_Code],$A66,T_SelfStock[WeekIndex],9)&gt;0)*(COUNTIFS(T_TTAFStock[RM_Code],$A66,T_TTAFStock[WeekIndex],9)&gt;0)&gt;0,SUMIFS(T_SelfStock[Self_Qty],T_SelfStock[RM_Code],$A66,T_SelfStock[WeekIndex],9)+SUMIFS(T_TTAFStock[TTAF_Qty],T_TTAFStock[RM_Code],$A66,T_TTAFStock[WeekIndex],9),I66+'Grid_Incoming'!J66-'Grid_Requirement'!J66))</f>
        <v/>
      </c>
      <c r="K66">
        <f>IF(COUNTIFS(T_StockCount[RM_Code],$A66,T_StockCount[WeekIndex],10)&gt;0,SUMIFS(T_StockCount[CountedQty],T_StockCount[RM_Code],$A66,T_StockCount[WeekIndex],10),IF((COUNTIFS(T_SelfStock[RM_Code],$A66,T_SelfStock[WeekIndex],10)&gt;0)*(COUNTIFS(T_TTAFStock[RM_Code],$A66,T_TTAFStock[WeekIndex],10)&gt;0)&gt;0,SUMIFS(T_SelfStock[Self_Qty],T_SelfStock[RM_Code],$A66,T_SelfStock[WeekIndex],10)+SUMIFS(T_TTAFStock[TTAF_Qty],T_TTAFStock[RM_Code],$A66,T_TTAFStock[WeekIndex],10),J66+'Grid_Incoming'!K66-'Grid_Requirement'!K66))</f>
        <v/>
      </c>
      <c r="L66">
        <f>IF(COUNTIFS(T_StockCount[RM_Code],$A66,T_StockCount[WeekIndex],11)&gt;0,SUMIFS(T_StockCount[CountedQty],T_StockCount[RM_Code],$A66,T_StockCount[WeekIndex],11),IF((COUNTIFS(T_SelfStock[RM_Code],$A66,T_SelfStock[WeekIndex],11)&gt;0)*(COUNTIFS(T_TTAFStock[RM_Code],$A66,T_TTAFStock[WeekIndex],11)&gt;0)&gt;0,SUMIFS(T_SelfStock[Self_Qty],T_SelfStock[RM_Code],$A66,T_SelfStock[WeekIndex],11)+SUMIFS(T_TTAFStock[TTAF_Qty],T_TTAFStock[RM_Code],$A66,T_TTAFStock[WeekIndex],11),K66+'Grid_Incoming'!L66-'Grid_Requirement'!L66))</f>
        <v/>
      </c>
      <c r="M66">
        <f>IF(COUNTIFS(T_StockCount[RM_Code],$A66,T_StockCount[WeekIndex],12)&gt;0,SUMIFS(T_StockCount[CountedQty],T_StockCount[RM_Code],$A66,T_StockCount[WeekIndex],12),IF((COUNTIFS(T_SelfStock[RM_Code],$A66,T_SelfStock[WeekIndex],12)&gt;0)*(COUNTIFS(T_TTAFStock[RM_Code],$A66,T_TTAFStock[WeekIndex],12)&gt;0)&gt;0,SUMIFS(T_SelfStock[Self_Qty],T_SelfStock[RM_Code],$A66,T_SelfStock[WeekIndex],12)+SUMIFS(T_TTAFStock[TTAF_Qty],T_TTAFStock[RM_Code],$A66,T_TTAFStock[WeekIndex],12),L66+'Grid_Incoming'!M66-'Grid_Requirement'!M66))</f>
        <v/>
      </c>
      <c r="N66">
        <f>IF(COUNTIFS(T_StockCount[RM_Code],$A66,T_StockCount[WeekIndex],13)&gt;0,SUMIFS(T_StockCount[CountedQty],T_StockCount[RM_Code],$A66,T_StockCount[WeekIndex],13),IF((COUNTIFS(T_SelfStock[RM_Code],$A66,T_SelfStock[WeekIndex],13)&gt;0)*(COUNTIFS(T_TTAFStock[RM_Code],$A66,T_TTAFStock[WeekIndex],13)&gt;0)&gt;0,SUMIFS(T_SelfStock[Self_Qty],T_SelfStock[RM_Code],$A66,T_SelfStock[WeekIndex],13)+SUMIFS(T_TTAFStock[TTAF_Qty],T_TTAFStock[RM_Code],$A66,T_TTAFStock[WeekIndex],13),M66+'Grid_Incoming'!N66-'Grid_Requirement'!N66))</f>
        <v/>
      </c>
      <c r="O66">
        <f>IF(COUNTIFS(T_StockCount[RM_Code],$A66,T_StockCount[WeekIndex],14)&gt;0,SUMIFS(T_StockCount[CountedQty],T_StockCount[RM_Code],$A66,T_StockCount[WeekIndex],14),IF((COUNTIFS(T_SelfStock[RM_Code],$A66,T_SelfStock[WeekIndex],14)&gt;0)*(COUNTIFS(T_TTAFStock[RM_Code],$A66,T_TTAFStock[WeekIndex],14)&gt;0)&gt;0,SUMIFS(T_SelfStock[Self_Qty],T_SelfStock[RM_Code],$A66,T_SelfStock[WeekIndex],14)+SUMIFS(T_TTAFStock[TTAF_Qty],T_TTAFStock[RM_Code],$A66,T_TTAFStock[WeekIndex],14),N66+'Grid_Incoming'!O66-'Grid_Requirement'!O66))</f>
        <v/>
      </c>
      <c r="P66">
        <f>IF(COUNTIFS(T_StockCount[RM_Code],$A66,T_StockCount[WeekIndex],15)&gt;0,SUMIFS(T_StockCount[CountedQty],T_StockCount[RM_Code],$A66,T_StockCount[WeekIndex],15),IF((COUNTIFS(T_SelfStock[RM_Code],$A66,T_SelfStock[WeekIndex],15)&gt;0)*(COUNTIFS(T_TTAFStock[RM_Code],$A66,T_TTAFStock[WeekIndex],15)&gt;0)&gt;0,SUMIFS(T_SelfStock[Self_Qty],T_SelfStock[RM_Code],$A66,T_SelfStock[WeekIndex],15)+SUMIFS(T_TTAFStock[TTAF_Qty],T_TTAFStock[RM_Code],$A66,T_TTAFStock[WeekIndex],15),O66+'Grid_Incoming'!P66-'Grid_Requirement'!P66))</f>
        <v/>
      </c>
      <c r="Q66">
        <f>IF(COUNTIFS(T_StockCount[RM_Code],$A66,T_StockCount[WeekIndex],16)&gt;0,SUMIFS(T_StockCount[CountedQty],T_StockCount[RM_Code],$A66,T_StockCount[WeekIndex],16),IF((COUNTIFS(T_SelfStock[RM_Code],$A66,T_SelfStock[WeekIndex],16)&gt;0)*(COUNTIFS(T_TTAFStock[RM_Code],$A66,T_TTAFStock[WeekIndex],16)&gt;0)&gt;0,SUMIFS(T_SelfStock[Self_Qty],T_SelfStock[RM_Code],$A66,T_SelfStock[WeekIndex],16)+SUMIFS(T_TTAFStock[TTAF_Qty],T_TTAFStock[RM_Code],$A66,T_TTAFStock[WeekIndex],16),P66+'Grid_Incoming'!Q66-'Grid_Requirement'!Q66))</f>
        <v/>
      </c>
      <c r="R66">
        <f>IF(COUNTIFS(T_StockCount[RM_Code],$A66,T_StockCount[WeekIndex],17)&gt;0,SUMIFS(T_StockCount[CountedQty],T_StockCount[RM_Code],$A66,T_StockCount[WeekIndex],17),IF((COUNTIFS(T_SelfStock[RM_Code],$A66,T_SelfStock[WeekIndex],17)&gt;0)*(COUNTIFS(T_TTAFStock[RM_Code],$A66,T_TTAFStock[WeekIndex],17)&gt;0)&gt;0,SUMIFS(T_SelfStock[Self_Qty],T_SelfStock[RM_Code],$A66,T_SelfStock[WeekIndex],17)+SUMIFS(T_TTAFStock[TTAF_Qty],T_TTAFStock[RM_Code],$A66,T_TTAFStock[WeekIndex],17),Q66+'Grid_Incoming'!R66-'Grid_Requirement'!R66))</f>
        <v/>
      </c>
      <c r="S66">
        <f>IF(COUNTIFS(T_StockCount[RM_Code],$A66,T_StockCount[WeekIndex],18)&gt;0,SUMIFS(T_StockCount[CountedQty],T_StockCount[RM_Code],$A66,T_StockCount[WeekIndex],18),IF((COUNTIFS(T_SelfStock[RM_Code],$A66,T_SelfStock[WeekIndex],18)&gt;0)*(COUNTIFS(T_TTAFStock[RM_Code],$A66,T_TTAFStock[WeekIndex],18)&gt;0)&gt;0,SUMIFS(T_SelfStock[Self_Qty],T_SelfStock[RM_Code],$A66,T_SelfStock[WeekIndex],18)+SUMIFS(T_TTAFStock[TTAF_Qty],T_TTAFStock[RM_Code],$A66,T_TTAFStock[WeekIndex],18),R66+'Grid_Incoming'!S66-'Grid_Requirement'!S66))</f>
        <v/>
      </c>
      <c r="T66">
        <f>IF(COUNTIFS(T_StockCount[RM_Code],$A66,T_StockCount[WeekIndex],19)&gt;0,SUMIFS(T_StockCount[CountedQty],T_StockCount[RM_Code],$A66,T_StockCount[WeekIndex],19),IF((COUNTIFS(T_SelfStock[RM_Code],$A66,T_SelfStock[WeekIndex],19)&gt;0)*(COUNTIFS(T_TTAFStock[RM_Code],$A66,T_TTAFStock[WeekIndex],19)&gt;0)&gt;0,SUMIFS(T_SelfStock[Self_Qty],T_SelfStock[RM_Code],$A66,T_SelfStock[WeekIndex],19)+SUMIFS(T_TTAFStock[TTAF_Qty],T_TTAFStock[RM_Code],$A66,T_TTAFStock[WeekIndex],19),S66+'Grid_Incoming'!T66-'Grid_Requirement'!T66))</f>
        <v/>
      </c>
      <c r="U66">
        <f>IF(COUNTIFS(T_StockCount[RM_Code],$A66,T_StockCount[WeekIndex],20)&gt;0,SUMIFS(T_StockCount[CountedQty],T_StockCount[RM_Code],$A66,T_StockCount[WeekIndex],20),IF((COUNTIFS(T_SelfStock[RM_Code],$A66,T_SelfStock[WeekIndex],20)&gt;0)*(COUNTIFS(T_TTAFStock[RM_Code],$A66,T_TTAFStock[WeekIndex],20)&gt;0)&gt;0,SUMIFS(T_SelfStock[Self_Qty],T_SelfStock[RM_Code],$A66,T_SelfStock[WeekIndex],20)+SUMIFS(T_TTAFStock[TTAF_Qty],T_TTAFStock[RM_Code],$A66,T_TTAFStock[WeekIndex],20),T66+'Grid_Incoming'!U66-'Grid_Requirement'!U66))</f>
        <v/>
      </c>
      <c r="V66">
        <f>IF(COUNTIFS(T_StockCount[RM_Code],$A66,T_StockCount[WeekIndex],21)&gt;0,SUMIFS(T_StockCount[CountedQty],T_StockCount[RM_Code],$A66,T_StockCount[WeekIndex],21),IF((COUNTIFS(T_SelfStock[RM_Code],$A66,T_SelfStock[WeekIndex],21)&gt;0)*(COUNTIFS(T_TTAFStock[RM_Code],$A66,T_TTAFStock[WeekIndex],21)&gt;0)&gt;0,SUMIFS(T_SelfStock[Self_Qty],T_SelfStock[RM_Code],$A66,T_SelfStock[WeekIndex],21)+SUMIFS(T_TTAFStock[TTAF_Qty],T_TTAFStock[RM_Code],$A66,T_TTAFStock[WeekIndex],21),U66+'Grid_Incoming'!V66-'Grid_Requirement'!V66))</f>
        <v/>
      </c>
      <c r="W66">
        <f>IF(COUNTIFS(T_StockCount[RM_Code],$A66,T_StockCount[WeekIndex],22)&gt;0,SUMIFS(T_StockCount[CountedQty],T_StockCount[RM_Code],$A66,T_StockCount[WeekIndex],22),IF((COUNTIFS(T_SelfStock[RM_Code],$A66,T_SelfStock[WeekIndex],22)&gt;0)*(COUNTIFS(T_TTAFStock[RM_Code],$A66,T_TTAFStock[WeekIndex],22)&gt;0)&gt;0,SUMIFS(T_SelfStock[Self_Qty],T_SelfStock[RM_Code],$A66,T_SelfStock[WeekIndex],22)+SUMIFS(T_TTAFStock[TTAF_Qty],T_TTAFStock[RM_Code],$A66,T_TTAFStock[WeekIndex],22),V66+'Grid_Incoming'!W66-'Grid_Requirement'!W66))</f>
        <v/>
      </c>
      <c r="X66">
        <f>IF(COUNTIFS(T_StockCount[RM_Code],$A66,T_StockCount[WeekIndex],23)&gt;0,SUMIFS(T_StockCount[CountedQty],T_StockCount[RM_Code],$A66,T_StockCount[WeekIndex],23),IF((COUNTIFS(T_SelfStock[RM_Code],$A66,T_SelfStock[WeekIndex],23)&gt;0)*(COUNTIFS(T_TTAFStock[RM_Code],$A66,T_TTAFStock[WeekIndex],23)&gt;0)&gt;0,SUMIFS(T_SelfStock[Self_Qty],T_SelfStock[RM_Code],$A66,T_SelfStock[WeekIndex],23)+SUMIFS(T_TTAFStock[TTAF_Qty],T_TTAFStock[RM_Code],$A66,T_TTAFStock[WeekIndex],23),W66+'Grid_Incoming'!X66-'Grid_Requirement'!X66))</f>
        <v/>
      </c>
      <c r="Y66">
        <f>IF(COUNTIFS(T_StockCount[RM_Code],$A66,T_StockCount[WeekIndex],24)&gt;0,SUMIFS(T_StockCount[CountedQty],T_StockCount[RM_Code],$A66,T_StockCount[WeekIndex],24),IF((COUNTIFS(T_SelfStock[RM_Code],$A66,T_SelfStock[WeekIndex],24)&gt;0)*(COUNTIFS(T_TTAFStock[RM_Code],$A66,T_TTAFStock[WeekIndex],24)&gt;0)&gt;0,SUMIFS(T_SelfStock[Self_Qty],T_SelfStock[RM_Code],$A66,T_SelfStock[WeekIndex],24)+SUMIFS(T_TTAFStock[TTAF_Qty],T_TTAFStock[RM_Code],$A66,T_TTAFStock[WeekIndex],24),X66+'Grid_Incoming'!Y66-'Grid_Requirement'!Y66))</f>
        <v/>
      </c>
      <c r="Z66">
        <f>IF(COUNTIFS(T_StockCount[RM_Code],$A66,T_StockCount[WeekIndex],25)&gt;0,SUMIFS(T_StockCount[CountedQty],T_StockCount[RM_Code],$A66,T_StockCount[WeekIndex],25),IF((COUNTIFS(T_SelfStock[RM_Code],$A66,T_SelfStock[WeekIndex],25)&gt;0)*(COUNTIFS(T_TTAFStock[RM_Code],$A66,T_TTAFStock[WeekIndex],25)&gt;0)&gt;0,SUMIFS(T_SelfStock[Self_Qty],T_SelfStock[RM_Code],$A66,T_SelfStock[WeekIndex],25)+SUMIFS(T_TTAFStock[TTAF_Qty],T_TTAFStock[RM_Code],$A66,T_TTAFStock[WeekIndex],25),Y66+'Grid_Incoming'!Z66-'Grid_Requirement'!Z66))</f>
        <v/>
      </c>
      <c r="AA66">
        <f>IF(COUNTIFS(T_StockCount[RM_Code],$A66,T_StockCount[WeekIndex],26)&gt;0,SUMIFS(T_StockCount[CountedQty],T_StockCount[RM_Code],$A66,T_StockCount[WeekIndex],26),IF((COUNTIFS(T_SelfStock[RM_Code],$A66,T_SelfStock[WeekIndex],26)&gt;0)*(COUNTIFS(T_TTAFStock[RM_Code],$A66,T_TTAFStock[WeekIndex],26)&gt;0)&gt;0,SUMIFS(T_SelfStock[Self_Qty],T_SelfStock[RM_Code],$A66,T_SelfStock[WeekIndex],26)+SUMIFS(T_TTAFStock[TTAF_Qty],T_TTAFStock[RM_Code],$A66,T_TTAFStock[WeekIndex],26),Z66+'Grid_Incoming'!AA66-'Grid_Requirement'!AA66))</f>
        <v/>
      </c>
      <c r="AB66">
        <f>IF(COUNTIFS(T_StockCount[RM_Code],$A66,T_StockCount[WeekIndex],27)&gt;0,SUMIFS(T_StockCount[CountedQty],T_StockCount[RM_Code],$A66,T_StockCount[WeekIndex],27),IF((COUNTIFS(T_SelfStock[RM_Code],$A66,T_SelfStock[WeekIndex],27)&gt;0)*(COUNTIFS(T_TTAFStock[RM_Code],$A66,T_TTAFStock[WeekIndex],27)&gt;0)&gt;0,SUMIFS(T_SelfStock[Self_Qty],T_SelfStock[RM_Code],$A66,T_SelfStock[WeekIndex],27)+SUMIFS(T_TTAFStock[TTAF_Qty],T_TTAFStock[RM_Code],$A66,T_TTAFStock[WeekIndex],27),AA66+'Grid_Incoming'!AB66-'Grid_Requirement'!AB66))</f>
        <v/>
      </c>
      <c r="AC66">
        <f>IF(COUNTIFS(T_StockCount[RM_Code],$A66,T_StockCount[WeekIndex],28)&gt;0,SUMIFS(T_StockCount[CountedQty],T_StockCount[RM_Code],$A66,T_StockCount[WeekIndex],28),IF((COUNTIFS(T_SelfStock[RM_Code],$A66,T_SelfStock[WeekIndex],28)&gt;0)*(COUNTIFS(T_TTAFStock[RM_Code],$A66,T_TTAFStock[WeekIndex],28)&gt;0)&gt;0,SUMIFS(T_SelfStock[Self_Qty],T_SelfStock[RM_Code],$A66,T_SelfStock[WeekIndex],28)+SUMIFS(T_TTAFStock[TTAF_Qty],T_TTAFStock[RM_Code],$A66,T_TTAFStock[WeekIndex],28),AB66+'Grid_Incoming'!AC66-'Grid_Requirement'!AC66))</f>
        <v/>
      </c>
      <c r="AD66">
        <f>IF(COUNTIFS(T_StockCount[RM_Code],$A66,T_StockCount[WeekIndex],29)&gt;0,SUMIFS(T_StockCount[CountedQty],T_StockCount[RM_Code],$A66,T_StockCount[WeekIndex],29),IF((COUNTIFS(T_SelfStock[RM_Code],$A66,T_SelfStock[WeekIndex],29)&gt;0)*(COUNTIFS(T_TTAFStock[RM_Code],$A66,T_TTAFStock[WeekIndex],29)&gt;0)&gt;0,SUMIFS(T_SelfStock[Self_Qty],T_SelfStock[RM_Code],$A66,T_SelfStock[WeekIndex],29)+SUMIFS(T_TTAFStock[TTAF_Qty],T_TTAFStock[RM_Code],$A66,T_TTAFStock[WeekIndex],29),AC66+'Grid_Incoming'!AD66-'Grid_Requirement'!AD66))</f>
        <v/>
      </c>
      <c r="AE66">
        <f>IF(COUNTIFS(T_StockCount[RM_Code],$A66,T_StockCount[WeekIndex],30)&gt;0,SUMIFS(T_StockCount[CountedQty],T_StockCount[RM_Code],$A66,T_StockCount[WeekIndex],30),IF((COUNTIFS(T_SelfStock[RM_Code],$A66,T_SelfStock[WeekIndex],30)&gt;0)*(COUNTIFS(T_TTAFStock[RM_Code],$A66,T_TTAFStock[WeekIndex],30)&gt;0)&gt;0,SUMIFS(T_SelfStock[Self_Qty],T_SelfStock[RM_Code],$A66,T_SelfStock[WeekIndex],30)+SUMIFS(T_TTAFStock[TTAF_Qty],T_TTAFStock[RM_Code],$A66,T_TTAFStock[WeekIndex],30),AD66+'Grid_Incoming'!AE66-'Grid_Requirement'!AE66))</f>
        <v/>
      </c>
      <c r="AF66">
        <f>IF(COUNTIFS(T_StockCount[RM_Code],$A66,T_StockCount[WeekIndex],31)&gt;0,SUMIFS(T_StockCount[CountedQty],T_StockCount[RM_Code],$A66,T_StockCount[WeekIndex],31),IF((COUNTIFS(T_SelfStock[RM_Code],$A66,T_SelfStock[WeekIndex],31)&gt;0)*(COUNTIFS(T_TTAFStock[RM_Code],$A66,T_TTAFStock[WeekIndex],31)&gt;0)&gt;0,SUMIFS(T_SelfStock[Self_Qty],T_SelfStock[RM_Code],$A66,T_SelfStock[WeekIndex],31)+SUMIFS(T_TTAFStock[TTAF_Qty],T_TTAFStock[RM_Code],$A66,T_TTAFStock[WeekIndex],31),AE66+'Grid_Incoming'!AF66-'Grid_Requirement'!AF66))</f>
        <v/>
      </c>
      <c r="AG66">
        <f>IF(COUNTIFS(T_StockCount[RM_Code],$A66,T_StockCount[WeekIndex],32)&gt;0,SUMIFS(T_StockCount[CountedQty],T_StockCount[RM_Code],$A66,T_StockCount[WeekIndex],32),IF((COUNTIFS(T_SelfStock[RM_Code],$A66,T_SelfStock[WeekIndex],32)&gt;0)*(COUNTIFS(T_TTAFStock[RM_Code],$A66,T_TTAFStock[WeekIndex],32)&gt;0)&gt;0,SUMIFS(T_SelfStock[Self_Qty],T_SelfStock[RM_Code],$A66,T_SelfStock[WeekIndex],32)+SUMIFS(T_TTAFStock[TTAF_Qty],T_TTAFStock[RM_Code],$A66,T_TTAFStock[WeekIndex],32),AF66+'Grid_Incoming'!AG66-'Grid_Requirement'!AG66))</f>
        <v/>
      </c>
      <c r="AH66">
        <f>IF(COUNTIFS(T_StockCount[RM_Code],$A66,T_StockCount[WeekIndex],33)&gt;0,SUMIFS(T_StockCount[CountedQty],T_StockCount[RM_Code],$A66,T_StockCount[WeekIndex],33),IF((COUNTIFS(T_SelfStock[RM_Code],$A66,T_SelfStock[WeekIndex],33)&gt;0)*(COUNTIFS(T_TTAFStock[RM_Code],$A66,T_TTAFStock[WeekIndex],33)&gt;0)&gt;0,SUMIFS(T_SelfStock[Self_Qty],T_SelfStock[RM_Code],$A66,T_SelfStock[WeekIndex],33)+SUMIFS(T_TTAFStock[TTAF_Qty],T_TTAFStock[RM_Code],$A66,T_TTAFStock[WeekIndex],33),AG66+'Grid_Incoming'!AH66-'Grid_Requirement'!AH66))</f>
        <v/>
      </c>
      <c r="AI66">
        <f>IF(COUNTIFS(T_StockCount[RM_Code],$A66,T_StockCount[WeekIndex],34)&gt;0,SUMIFS(T_StockCount[CountedQty],T_StockCount[RM_Code],$A66,T_StockCount[WeekIndex],34),IF((COUNTIFS(T_SelfStock[RM_Code],$A66,T_SelfStock[WeekIndex],34)&gt;0)*(COUNTIFS(T_TTAFStock[RM_Code],$A66,T_TTAFStock[WeekIndex],34)&gt;0)&gt;0,SUMIFS(T_SelfStock[Self_Qty],T_SelfStock[RM_Code],$A66,T_SelfStock[WeekIndex],34)+SUMIFS(T_TTAFStock[TTAF_Qty],T_TTAFStock[RM_Code],$A66,T_TTAFStock[WeekIndex],34),AH66+'Grid_Incoming'!AI66-'Grid_Requirement'!AI66))</f>
        <v/>
      </c>
      <c r="AJ66">
        <f>IF(COUNTIFS(T_StockCount[RM_Code],$A66,T_StockCount[WeekIndex],35)&gt;0,SUMIFS(T_StockCount[CountedQty],T_StockCount[RM_Code],$A66,T_StockCount[WeekIndex],35),IF((COUNTIFS(T_SelfStock[RM_Code],$A66,T_SelfStock[WeekIndex],35)&gt;0)*(COUNTIFS(T_TTAFStock[RM_Code],$A66,T_TTAFStock[WeekIndex],35)&gt;0)&gt;0,SUMIFS(T_SelfStock[Self_Qty],T_SelfStock[RM_Code],$A66,T_SelfStock[WeekIndex],35)+SUMIFS(T_TTAFStock[TTAF_Qty],T_TTAFStock[RM_Code],$A66,T_TTAFStock[WeekIndex],35),AI66+'Grid_Incoming'!AJ66-'Grid_Requirement'!AJ66))</f>
        <v/>
      </c>
      <c r="AK66">
        <f>IF(COUNTIFS(T_StockCount[RM_Code],$A66,T_StockCount[WeekIndex],36)&gt;0,SUMIFS(T_StockCount[CountedQty],T_StockCount[RM_Code],$A66,T_StockCount[WeekIndex],36),IF((COUNTIFS(T_SelfStock[RM_Code],$A66,T_SelfStock[WeekIndex],36)&gt;0)*(COUNTIFS(T_TTAFStock[RM_Code],$A66,T_TTAFStock[WeekIndex],36)&gt;0)&gt;0,SUMIFS(T_SelfStock[Self_Qty],T_SelfStock[RM_Code],$A66,T_SelfStock[WeekIndex],36)+SUMIFS(T_TTAFStock[TTAF_Qty],T_TTAFStock[RM_Code],$A66,T_TTAFStock[WeekIndex],36),AJ66+'Grid_Incoming'!AK66-'Grid_Requirement'!AK66))</f>
        <v/>
      </c>
      <c r="AL66">
        <f>IF(COUNTIFS(T_StockCount[RM_Code],$A66,T_StockCount[WeekIndex],37)&gt;0,SUMIFS(T_StockCount[CountedQty],T_StockCount[RM_Code],$A66,T_StockCount[WeekIndex],37),IF((COUNTIFS(T_SelfStock[RM_Code],$A66,T_SelfStock[WeekIndex],37)&gt;0)*(COUNTIFS(T_TTAFStock[RM_Code],$A66,T_TTAFStock[WeekIndex],37)&gt;0)&gt;0,SUMIFS(T_SelfStock[Self_Qty],T_SelfStock[RM_Code],$A66,T_SelfStock[WeekIndex],37)+SUMIFS(T_TTAFStock[TTAF_Qty],T_TTAFStock[RM_Code],$A66,T_TTAFStock[WeekIndex],37),AK66+'Grid_Incoming'!AL66-'Grid_Requirement'!AL66))</f>
        <v/>
      </c>
      <c r="AM66">
        <f>IF(COUNTIFS(T_StockCount[RM_Code],$A66,T_StockCount[WeekIndex],38)&gt;0,SUMIFS(T_StockCount[CountedQty],T_StockCount[RM_Code],$A66,T_StockCount[WeekIndex],38),IF((COUNTIFS(T_SelfStock[RM_Code],$A66,T_SelfStock[WeekIndex],38)&gt;0)*(COUNTIFS(T_TTAFStock[RM_Code],$A66,T_TTAFStock[WeekIndex],38)&gt;0)&gt;0,SUMIFS(T_SelfStock[Self_Qty],T_SelfStock[RM_Code],$A66,T_SelfStock[WeekIndex],38)+SUMIFS(T_TTAFStock[TTAF_Qty],T_TTAFStock[RM_Code],$A66,T_TTAFStock[WeekIndex],38),AL66+'Grid_Incoming'!AM66-'Grid_Requirement'!AM66))</f>
        <v/>
      </c>
      <c r="AN66">
        <f>IF(COUNTIFS(T_StockCount[RM_Code],$A66,T_StockCount[WeekIndex],39)&gt;0,SUMIFS(T_StockCount[CountedQty],T_StockCount[RM_Code],$A66,T_StockCount[WeekIndex],39),IF((COUNTIFS(T_SelfStock[RM_Code],$A66,T_SelfStock[WeekIndex],39)&gt;0)*(COUNTIFS(T_TTAFStock[RM_Code],$A66,T_TTAFStock[WeekIndex],39)&gt;0)&gt;0,SUMIFS(T_SelfStock[Self_Qty],T_SelfStock[RM_Code],$A66,T_SelfStock[WeekIndex],39)+SUMIFS(T_TTAFStock[TTAF_Qty],T_TTAFStock[RM_Code],$A66,T_TTAFStock[WeekIndex],39),AM66+'Grid_Incoming'!AN66-'Grid_Requirement'!AN66))</f>
        <v/>
      </c>
      <c r="AO66">
        <f>IF(COUNTIFS(T_StockCount[RM_Code],$A66,T_StockCount[WeekIndex],40)&gt;0,SUMIFS(T_StockCount[CountedQty],T_StockCount[RM_Code],$A66,T_StockCount[WeekIndex],40),IF((COUNTIFS(T_SelfStock[RM_Code],$A66,T_SelfStock[WeekIndex],40)&gt;0)*(COUNTIFS(T_TTAFStock[RM_Code],$A66,T_TTAFStock[WeekIndex],40)&gt;0)&gt;0,SUMIFS(T_SelfStock[Self_Qty],T_SelfStock[RM_Code],$A66,T_SelfStock[WeekIndex],40)+SUMIFS(T_TTAFStock[TTAF_Qty],T_TTAFStock[RM_Code],$A66,T_TTAFStock[WeekIndex],40),AN66+'Grid_Incoming'!AO66-'Grid_Requirement'!AO66))</f>
        <v/>
      </c>
      <c r="AP66">
        <f>IF(COUNTIFS(T_StockCount[RM_Code],$A66,T_StockCount[WeekIndex],41)&gt;0,SUMIFS(T_StockCount[CountedQty],T_StockCount[RM_Code],$A66,T_StockCount[WeekIndex],41),IF((COUNTIFS(T_SelfStock[RM_Code],$A66,T_SelfStock[WeekIndex],41)&gt;0)*(COUNTIFS(T_TTAFStock[RM_Code],$A66,T_TTAFStock[WeekIndex],41)&gt;0)&gt;0,SUMIFS(T_SelfStock[Self_Qty],T_SelfStock[RM_Code],$A66,T_SelfStock[WeekIndex],41)+SUMIFS(T_TTAFStock[TTAF_Qty],T_TTAFStock[RM_Code],$A66,T_TTAFStock[WeekIndex],41),AO66+'Grid_Incoming'!AP66-'Grid_Requirement'!AP66))</f>
        <v/>
      </c>
      <c r="AQ66">
        <f>IF(COUNTIFS(T_StockCount[RM_Code],$A66,T_StockCount[WeekIndex],42)&gt;0,SUMIFS(T_StockCount[CountedQty],T_StockCount[RM_Code],$A66,T_StockCount[WeekIndex],42),IF((COUNTIFS(T_SelfStock[RM_Code],$A66,T_SelfStock[WeekIndex],42)&gt;0)*(COUNTIFS(T_TTAFStock[RM_Code],$A66,T_TTAFStock[WeekIndex],42)&gt;0)&gt;0,SUMIFS(T_SelfStock[Self_Qty],T_SelfStock[RM_Code],$A66,T_SelfStock[WeekIndex],42)+SUMIFS(T_TTAFStock[TTAF_Qty],T_TTAFStock[RM_Code],$A66,T_TTAFStock[WeekIndex],42),AP66+'Grid_Incoming'!AQ66-'Grid_Requirement'!AQ66))</f>
        <v/>
      </c>
      <c r="AR66">
        <f>IF(COUNTIFS(T_StockCount[RM_Code],$A66,T_StockCount[WeekIndex],43)&gt;0,SUMIFS(T_StockCount[CountedQty],T_StockCount[RM_Code],$A66,T_StockCount[WeekIndex],43),IF((COUNTIFS(T_SelfStock[RM_Code],$A66,T_SelfStock[WeekIndex],43)&gt;0)*(COUNTIFS(T_TTAFStock[RM_Code],$A66,T_TTAFStock[WeekIndex],43)&gt;0)&gt;0,SUMIFS(T_SelfStock[Self_Qty],T_SelfStock[RM_Code],$A66,T_SelfStock[WeekIndex],43)+SUMIFS(T_TTAFStock[TTAF_Qty],T_TTAFStock[RM_Code],$A66,T_TTAFStock[WeekIndex],43),AQ66+'Grid_Incoming'!AR66-'Grid_Requirement'!AR66))</f>
        <v/>
      </c>
      <c r="AS66">
        <f>IF(COUNTIFS(T_StockCount[RM_Code],$A66,T_StockCount[WeekIndex],44)&gt;0,SUMIFS(T_StockCount[CountedQty],T_StockCount[RM_Code],$A66,T_StockCount[WeekIndex],44),IF((COUNTIFS(T_SelfStock[RM_Code],$A66,T_SelfStock[WeekIndex],44)&gt;0)*(COUNTIFS(T_TTAFStock[RM_Code],$A66,T_TTAFStock[WeekIndex],44)&gt;0)&gt;0,SUMIFS(T_SelfStock[Self_Qty],T_SelfStock[RM_Code],$A66,T_SelfStock[WeekIndex],44)+SUMIFS(T_TTAFStock[TTAF_Qty],T_TTAFStock[RM_Code],$A66,T_TTAFStock[WeekIndex],44),AR66+'Grid_Incoming'!AS66-'Grid_Requirement'!AS66))</f>
        <v/>
      </c>
      <c r="AT66">
        <f>IF(COUNTIFS(T_StockCount[RM_Code],$A66,T_StockCount[WeekIndex],45)&gt;0,SUMIFS(T_StockCount[CountedQty],T_StockCount[RM_Code],$A66,T_StockCount[WeekIndex],45),IF((COUNTIFS(T_SelfStock[RM_Code],$A66,T_SelfStock[WeekIndex],45)&gt;0)*(COUNTIFS(T_TTAFStock[RM_Code],$A66,T_TTAFStock[WeekIndex],45)&gt;0)&gt;0,SUMIFS(T_SelfStock[Self_Qty],T_SelfStock[RM_Code],$A66,T_SelfStock[WeekIndex],45)+SUMIFS(T_TTAFStock[TTAF_Qty],T_TTAFStock[RM_Code],$A66,T_TTAFStock[WeekIndex],45),AS66+'Grid_Incoming'!AT66-'Grid_Requirement'!AT66))</f>
        <v/>
      </c>
      <c r="AU66">
        <f>IF(COUNTIFS(T_StockCount[RM_Code],$A66,T_StockCount[WeekIndex],46)&gt;0,SUMIFS(T_StockCount[CountedQty],T_StockCount[RM_Code],$A66,T_StockCount[WeekIndex],46),IF((COUNTIFS(T_SelfStock[RM_Code],$A66,T_SelfStock[WeekIndex],46)&gt;0)*(COUNTIFS(T_TTAFStock[RM_Code],$A66,T_TTAFStock[WeekIndex],46)&gt;0)&gt;0,SUMIFS(T_SelfStock[Self_Qty],T_SelfStock[RM_Code],$A66,T_SelfStock[WeekIndex],46)+SUMIFS(T_TTAFStock[TTAF_Qty],T_TTAFStock[RM_Code],$A66,T_TTAFStock[WeekIndex],46),AT66+'Grid_Incoming'!AU66-'Grid_Requirement'!AU66))</f>
        <v/>
      </c>
      <c r="AV66">
        <f>IF(COUNTIFS(T_StockCount[RM_Code],$A66,T_StockCount[WeekIndex],47)&gt;0,SUMIFS(T_StockCount[CountedQty],T_StockCount[RM_Code],$A66,T_StockCount[WeekIndex],47),IF((COUNTIFS(T_SelfStock[RM_Code],$A66,T_SelfStock[WeekIndex],47)&gt;0)*(COUNTIFS(T_TTAFStock[RM_Code],$A66,T_TTAFStock[WeekIndex],47)&gt;0)&gt;0,SUMIFS(T_SelfStock[Self_Qty],T_SelfStock[RM_Code],$A66,T_SelfStock[WeekIndex],47)+SUMIFS(T_TTAFStock[TTAF_Qty],T_TTAFStock[RM_Code],$A66,T_TTAFStock[WeekIndex],47),AU66+'Grid_Incoming'!AV66-'Grid_Requirement'!AV66))</f>
        <v/>
      </c>
      <c r="AW66">
        <f>IF(COUNTIFS(T_StockCount[RM_Code],$A66,T_StockCount[WeekIndex],48)&gt;0,SUMIFS(T_StockCount[CountedQty],T_StockCount[RM_Code],$A66,T_StockCount[WeekIndex],48),IF((COUNTIFS(T_SelfStock[RM_Code],$A66,T_SelfStock[WeekIndex],48)&gt;0)*(COUNTIFS(T_TTAFStock[RM_Code],$A66,T_TTAFStock[WeekIndex],48)&gt;0)&gt;0,SUMIFS(T_SelfStock[Self_Qty],T_SelfStock[RM_Code],$A66,T_SelfStock[WeekIndex],48)+SUMIFS(T_TTAFStock[TTAF_Qty],T_TTAFStock[RM_Code],$A66,T_TTAFStock[WeekIndex],48),AV66+'Grid_Incoming'!AW66-'Grid_Requirement'!AW66))</f>
        <v/>
      </c>
      <c r="AX66">
        <f>IF(COUNTIFS(T_StockCount[RM_Code],$A66,T_StockCount[WeekIndex],49)&gt;0,SUMIFS(T_StockCount[CountedQty],T_StockCount[RM_Code],$A66,T_StockCount[WeekIndex],49),IF((COUNTIFS(T_SelfStock[RM_Code],$A66,T_SelfStock[WeekIndex],49)&gt;0)*(COUNTIFS(T_TTAFStock[RM_Code],$A66,T_TTAFStock[WeekIndex],49)&gt;0)&gt;0,SUMIFS(T_SelfStock[Self_Qty],T_SelfStock[RM_Code],$A66,T_SelfStock[WeekIndex],49)+SUMIFS(T_TTAFStock[TTAF_Qty],T_TTAFStock[RM_Code],$A66,T_TTAFStock[WeekIndex],49),AW66+'Grid_Incoming'!AX66-'Grid_Requirement'!AX66))</f>
        <v/>
      </c>
      <c r="AY66">
        <f>IF(COUNTIFS(T_StockCount[RM_Code],$A66,T_StockCount[WeekIndex],50)&gt;0,SUMIFS(T_StockCount[CountedQty],T_StockCount[RM_Code],$A66,T_StockCount[WeekIndex],50),IF((COUNTIFS(T_SelfStock[RM_Code],$A66,T_SelfStock[WeekIndex],50)&gt;0)*(COUNTIFS(T_TTAFStock[RM_Code],$A66,T_TTAFStock[WeekIndex],50)&gt;0)&gt;0,SUMIFS(T_SelfStock[Self_Qty],T_SelfStock[RM_Code],$A66,T_SelfStock[WeekIndex],50)+SUMIFS(T_TTAFStock[TTAF_Qty],T_TTAFStock[RM_Code],$A66,T_TTAFStock[WeekIndex],50),AX66+'Grid_Incoming'!AY66-'Grid_Requirement'!AY66))</f>
        <v/>
      </c>
      <c r="AZ66">
        <f>IF(COUNTIFS(T_StockCount[RM_Code],$A66,T_StockCount[WeekIndex],51)&gt;0,SUMIFS(T_StockCount[CountedQty],T_StockCount[RM_Code],$A66,T_StockCount[WeekIndex],51),IF((COUNTIFS(T_SelfStock[RM_Code],$A66,T_SelfStock[WeekIndex],51)&gt;0)*(COUNTIFS(T_TTAFStock[RM_Code],$A66,T_TTAFStock[WeekIndex],51)&gt;0)&gt;0,SUMIFS(T_SelfStock[Self_Qty],T_SelfStock[RM_Code],$A66,T_SelfStock[WeekIndex],51)+SUMIFS(T_TTAFStock[TTAF_Qty],T_TTAFStock[RM_Code],$A66,T_TTAFStock[WeekIndex],51),AY66+'Grid_Incoming'!AZ66-'Grid_Requirement'!AZ66))</f>
        <v/>
      </c>
      <c r="BA66">
        <f>IF(COUNTIFS(T_StockCount[RM_Code],$A66,T_StockCount[WeekIndex],52)&gt;0,SUMIFS(T_StockCount[CountedQty],T_StockCount[RM_Code],$A66,T_StockCount[WeekIndex],52),IF((COUNTIFS(T_SelfStock[RM_Code],$A66,T_SelfStock[WeekIndex],52)&gt;0)*(COUNTIFS(T_TTAFStock[RM_Code],$A66,T_TTAFStock[WeekIndex],52)&gt;0)&gt;0,SUMIFS(T_SelfStock[Self_Qty],T_SelfStock[RM_Code],$A66,T_SelfStock[WeekIndex],52)+SUMIFS(T_TTAFStock[TTAF_Qty],T_TTAFStock[RM_Code],$A66,T_TTAFStock[WeekIndex],52),AZ66+'Grid_Incoming'!BA66-'Grid_Requirement'!BA66))</f>
        <v/>
      </c>
      <c r="BB66">
        <f>IF(COUNTIFS(T_StockCount[RM_Code],$A66,T_StockCount[WeekIndex],53)&gt;0,SUMIFS(T_StockCount[CountedQty],T_StockCount[RM_Code],$A66,T_StockCount[WeekIndex],53),IF((COUNTIFS(T_SelfStock[RM_Code],$A66,T_SelfStock[WeekIndex],53)&gt;0)*(COUNTIFS(T_TTAFStock[RM_Code],$A66,T_TTAFStock[WeekIndex],53)&gt;0)&gt;0,SUMIFS(T_SelfStock[Self_Qty],T_SelfStock[RM_Code],$A66,T_SelfStock[WeekIndex],53)+SUMIFS(T_TTAFStock[TTAF_Qty],T_TTAFStock[RM_Code],$A66,T_TTAFStock[WeekIndex],53),BA66+'Grid_Incoming'!BB66-'Grid_Requirement'!BB66))</f>
        <v/>
      </c>
      <c r="BC66">
        <f>IF(COUNTIFS(T_StockCount[RM_Code],$A66,T_StockCount[WeekIndex],54)&gt;0,SUMIFS(T_StockCount[CountedQty],T_StockCount[RM_Code],$A66,T_StockCount[WeekIndex],54),IF((COUNTIFS(T_SelfStock[RM_Code],$A66,T_SelfStock[WeekIndex],54)&gt;0)*(COUNTIFS(T_TTAFStock[RM_Code],$A66,T_TTAFStock[WeekIndex],54)&gt;0)&gt;0,SUMIFS(T_SelfStock[Self_Qty],T_SelfStock[RM_Code],$A66,T_SelfStock[WeekIndex],54)+SUMIFS(T_TTAFStock[TTAF_Qty],T_TTAFStock[RM_Code],$A66,T_TTAFStock[WeekIndex],54),BB66+'Grid_Incoming'!BC66-'Grid_Requirement'!BC66))</f>
        <v/>
      </c>
      <c r="BD66">
        <f>IF(COUNTIFS(T_StockCount[RM_Code],$A66,T_StockCount[WeekIndex],55)&gt;0,SUMIFS(T_StockCount[CountedQty],T_StockCount[RM_Code],$A66,T_StockCount[WeekIndex],55),IF((COUNTIFS(T_SelfStock[RM_Code],$A66,T_SelfStock[WeekIndex],55)&gt;0)*(COUNTIFS(T_TTAFStock[RM_Code],$A66,T_TTAFStock[WeekIndex],55)&gt;0)&gt;0,SUMIFS(T_SelfStock[Self_Qty],T_SelfStock[RM_Code],$A66,T_SelfStock[WeekIndex],55)+SUMIFS(T_TTAFStock[TTAF_Qty],T_TTAFStock[RM_Code],$A66,T_TTAFStock[WeekIndex],55),BC66+'Grid_Incoming'!BD66-'Grid_Requirement'!BD66))</f>
        <v/>
      </c>
      <c r="BE66">
        <f>IF(COUNTIFS(T_StockCount[RM_Code],$A66,T_StockCount[WeekIndex],56)&gt;0,SUMIFS(T_StockCount[CountedQty],T_StockCount[RM_Code],$A66,T_StockCount[WeekIndex],56),IF((COUNTIFS(T_SelfStock[RM_Code],$A66,T_SelfStock[WeekIndex],56)&gt;0)*(COUNTIFS(T_TTAFStock[RM_Code],$A66,T_TTAFStock[WeekIndex],56)&gt;0)&gt;0,SUMIFS(T_SelfStock[Self_Qty],T_SelfStock[RM_Code],$A66,T_SelfStock[WeekIndex],56)+SUMIFS(T_TTAFStock[TTAF_Qty],T_TTAFStock[RM_Code],$A66,T_TTAFStock[WeekIndex],56),BD66+'Grid_Incoming'!BE66-'Grid_Requirement'!BE66))</f>
        <v/>
      </c>
      <c r="BF66">
        <f>IF(COUNTIFS(T_StockCount[RM_Code],$A66,T_StockCount[WeekIndex],57)&gt;0,SUMIFS(T_StockCount[CountedQty],T_StockCount[RM_Code],$A66,T_StockCount[WeekIndex],57),IF((COUNTIFS(T_SelfStock[RM_Code],$A66,T_SelfStock[WeekIndex],57)&gt;0)*(COUNTIFS(T_TTAFStock[RM_Code],$A66,T_TTAFStock[WeekIndex],57)&gt;0)&gt;0,SUMIFS(T_SelfStock[Self_Qty],T_SelfStock[RM_Code],$A66,T_SelfStock[WeekIndex],57)+SUMIFS(T_TTAFStock[TTAF_Qty],T_TTAFStock[RM_Code],$A66,T_TTAFStock[WeekIndex],57),BE66+'Grid_Incoming'!BF66-'Grid_Requirement'!BF66))</f>
        <v/>
      </c>
      <c r="BG66">
        <f>IF(COUNTIFS(T_StockCount[RM_Code],$A66,T_StockCount[WeekIndex],58)&gt;0,SUMIFS(T_StockCount[CountedQty],T_StockCount[RM_Code],$A66,T_StockCount[WeekIndex],58),IF((COUNTIFS(T_SelfStock[RM_Code],$A66,T_SelfStock[WeekIndex],58)&gt;0)*(COUNTIFS(T_TTAFStock[RM_Code],$A66,T_TTAFStock[WeekIndex],58)&gt;0)&gt;0,SUMIFS(T_SelfStock[Self_Qty],T_SelfStock[RM_Code],$A66,T_SelfStock[WeekIndex],58)+SUMIFS(T_TTAFStock[TTAF_Qty],T_TTAFStock[RM_Code],$A66,T_TTAFStock[WeekIndex],58),BF66+'Grid_Incoming'!BG66-'Grid_Requirement'!BG66))</f>
        <v/>
      </c>
      <c r="BH66">
        <f>IF(COUNTIFS(T_StockCount[RM_Code],$A66,T_StockCount[WeekIndex],59)&gt;0,SUMIFS(T_StockCount[CountedQty],T_StockCount[RM_Code],$A66,T_StockCount[WeekIndex],59),IF((COUNTIFS(T_SelfStock[RM_Code],$A66,T_SelfStock[WeekIndex],59)&gt;0)*(COUNTIFS(T_TTAFStock[RM_Code],$A66,T_TTAFStock[WeekIndex],59)&gt;0)&gt;0,SUMIFS(T_SelfStock[Self_Qty],T_SelfStock[RM_Code],$A66,T_SelfStock[WeekIndex],59)+SUMIFS(T_TTAFStock[TTAF_Qty],T_TTAFStock[RM_Code],$A66,T_TTAFStock[WeekIndex],59),BG66+'Grid_Incoming'!BH66-'Grid_Requirement'!BH66))</f>
        <v/>
      </c>
      <c r="BI66">
        <f>IF(COUNTIFS(T_StockCount[RM_Code],$A66,T_StockCount[WeekIndex],60)&gt;0,SUMIFS(T_StockCount[CountedQty],T_StockCount[RM_Code],$A66,T_StockCount[WeekIndex],60),IF((COUNTIFS(T_SelfStock[RM_Code],$A66,T_SelfStock[WeekIndex],60)&gt;0)*(COUNTIFS(T_TTAFStock[RM_Code],$A66,T_TTAFStock[WeekIndex],60)&gt;0)&gt;0,SUMIFS(T_SelfStock[Self_Qty],T_SelfStock[RM_Code],$A66,T_SelfStock[WeekIndex],60)+SUMIFS(T_TTAFStock[TTAF_Qty],T_TTAFStock[RM_Code],$A66,T_TTAFStock[WeekIndex],60),BH66+'Grid_Incoming'!BI66-'Grid_Requirement'!BI66))</f>
        <v/>
      </c>
      <c r="BJ66">
        <f>IF(COUNTIFS(T_StockCount[RM_Code],$A66,T_StockCount[WeekIndex],61)&gt;0,SUMIFS(T_StockCount[CountedQty],T_StockCount[RM_Code],$A66,T_StockCount[WeekIndex],61),IF((COUNTIFS(T_SelfStock[RM_Code],$A66,T_SelfStock[WeekIndex],61)&gt;0)*(COUNTIFS(T_TTAFStock[RM_Code],$A66,T_TTAFStock[WeekIndex],61)&gt;0)&gt;0,SUMIFS(T_SelfStock[Self_Qty],T_SelfStock[RM_Code],$A66,T_SelfStock[WeekIndex],61)+SUMIFS(T_TTAFStock[TTAF_Qty],T_TTAFStock[RM_Code],$A66,T_TTAFStock[WeekIndex],61),BI66+'Grid_Incoming'!BJ66-'Grid_Requirement'!BJ66))</f>
        <v/>
      </c>
      <c r="BK66">
        <f>IF(COUNTIFS(T_StockCount[RM_Code],$A66,T_StockCount[WeekIndex],62)&gt;0,SUMIFS(T_StockCount[CountedQty],T_StockCount[RM_Code],$A66,T_StockCount[WeekIndex],62),IF((COUNTIFS(T_SelfStock[RM_Code],$A66,T_SelfStock[WeekIndex],62)&gt;0)*(COUNTIFS(T_TTAFStock[RM_Code],$A66,T_TTAFStock[WeekIndex],62)&gt;0)&gt;0,SUMIFS(T_SelfStock[Self_Qty],T_SelfStock[RM_Code],$A66,T_SelfStock[WeekIndex],62)+SUMIFS(T_TTAFStock[TTAF_Qty],T_TTAFStock[RM_Code],$A66,T_TTAFStock[WeekIndex],62),BJ66+'Grid_Incoming'!BK66-'Grid_Requirement'!BK66))</f>
        <v/>
      </c>
      <c r="BL66">
        <f>IF(COUNTIFS(T_StockCount[RM_Code],$A66,T_StockCount[WeekIndex],63)&gt;0,SUMIFS(T_StockCount[CountedQty],T_StockCount[RM_Code],$A66,T_StockCount[WeekIndex],63),IF((COUNTIFS(T_SelfStock[RM_Code],$A66,T_SelfStock[WeekIndex],63)&gt;0)*(COUNTIFS(T_TTAFStock[RM_Code],$A66,T_TTAFStock[WeekIndex],63)&gt;0)&gt;0,SUMIFS(T_SelfStock[Self_Qty],T_SelfStock[RM_Code],$A66,T_SelfStock[WeekIndex],63)+SUMIFS(T_TTAFStock[TTAF_Qty],T_TTAFStock[RM_Code],$A66,T_TTAFStock[WeekIndex],63),BK66+'Grid_Incoming'!BL66-'Grid_Requirement'!BL66))</f>
        <v/>
      </c>
      <c r="BM66">
        <f>IF(COUNTIFS(T_StockCount[RM_Code],$A66,T_StockCount[WeekIndex],64)&gt;0,SUMIFS(T_StockCount[CountedQty],T_StockCount[RM_Code],$A66,T_StockCount[WeekIndex],64),IF((COUNTIFS(T_SelfStock[RM_Code],$A66,T_SelfStock[WeekIndex],64)&gt;0)*(COUNTIFS(T_TTAFStock[RM_Code],$A66,T_TTAFStock[WeekIndex],64)&gt;0)&gt;0,SUMIFS(T_SelfStock[Self_Qty],T_SelfStock[RM_Code],$A66,T_SelfStock[WeekIndex],64)+SUMIFS(T_TTAFStock[TTAF_Qty],T_TTAFStock[RM_Code],$A66,T_TTAFStock[WeekIndex],64),BL66+'Grid_Incoming'!BM66-'Grid_Requirement'!BM66))</f>
        <v/>
      </c>
      <c r="BN66">
        <f>IF(COUNTIFS(T_StockCount[RM_Code],$A66,T_StockCount[WeekIndex],65)&gt;0,SUMIFS(T_StockCount[CountedQty],T_StockCount[RM_Code],$A66,T_StockCount[WeekIndex],65),IF((COUNTIFS(T_SelfStock[RM_Code],$A66,T_SelfStock[WeekIndex],65)&gt;0)*(COUNTIFS(T_TTAFStock[RM_Code],$A66,T_TTAFStock[WeekIndex],65)&gt;0)&gt;0,SUMIFS(T_SelfStock[Self_Qty],T_SelfStock[RM_Code],$A66,T_SelfStock[WeekIndex],65)+SUMIFS(T_TTAFStock[TTAF_Qty],T_TTAFStock[RM_Code],$A66,T_TTAFStock[WeekIndex],65),BM66+'Grid_Incoming'!BN66-'Grid_Requirement'!BN66))</f>
        <v/>
      </c>
      <c r="BO66">
        <f>IF(COUNTIFS(T_StockCount[RM_Code],$A66,T_StockCount[WeekIndex],66)&gt;0,SUMIFS(T_StockCount[CountedQty],T_StockCount[RM_Code],$A66,T_StockCount[WeekIndex],66),IF((COUNTIFS(T_SelfStock[RM_Code],$A66,T_SelfStock[WeekIndex],66)&gt;0)*(COUNTIFS(T_TTAFStock[RM_Code],$A66,T_TTAFStock[WeekIndex],66)&gt;0)&gt;0,SUMIFS(T_SelfStock[Self_Qty],T_SelfStock[RM_Code],$A66,T_SelfStock[WeekIndex],66)+SUMIFS(T_TTAFStock[TTAF_Qty],T_TTAFStock[RM_Code],$A66,T_TTAFStock[WeekIndex],66),BN66+'Grid_Incoming'!BO66-'Grid_Requirement'!BO66))</f>
        <v/>
      </c>
      <c r="BP66">
        <f>IF(COUNTIFS(T_StockCount[RM_Code],$A66,T_StockCount[WeekIndex],67)&gt;0,SUMIFS(T_StockCount[CountedQty],T_StockCount[RM_Code],$A66,T_StockCount[WeekIndex],67),IF((COUNTIFS(T_SelfStock[RM_Code],$A66,T_SelfStock[WeekIndex],67)&gt;0)*(COUNTIFS(T_TTAFStock[RM_Code],$A66,T_TTAFStock[WeekIndex],67)&gt;0)&gt;0,SUMIFS(T_SelfStock[Self_Qty],T_SelfStock[RM_Code],$A66,T_SelfStock[WeekIndex],67)+SUMIFS(T_TTAFStock[TTAF_Qty],T_TTAFStock[RM_Code],$A66,T_TTAFStock[WeekIndex],67),BO66+'Grid_Incoming'!BP66-'Grid_Requirement'!BP66))</f>
        <v/>
      </c>
      <c r="BQ66">
        <f>IF(COUNTIFS(T_StockCount[RM_Code],$A66,T_StockCount[WeekIndex],68)&gt;0,SUMIFS(T_StockCount[CountedQty],T_StockCount[RM_Code],$A66,T_StockCount[WeekIndex],68),IF((COUNTIFS(T_SelfStock[RM_Code],$A66,T_SelfStock[WeekIndex],68)&gt;0)*(COUNTIFS(T_TTAFStock[RM_Code],$A66,T_TTAFStock[WeekIndex],68)&gt;0)&gt;0,SUMIFS(T_SelfStock[Self_Qty],T_SelfStock[RM_Code],$A66,T_SelfStock[WeekIndex],68)+SUMIFS(T_TTAFStock[TTAF_Qty],T_TTAFStock[RM_Code],$A66,T_TTAFStock[WeekIndex],68),BP66+'Grid_Incoming'!BQ66-'Grid_Requirement'!BQ66))</f>
        <v/>
      </c>
      <c r="BR66">
        <f>IF(COUNTIFS(T_StockCount[RM_Code],$A66,T_StockCount[WeekIndex],69)&gt;0,SUMIFS(T_StockCount[CountedQty],T_StockCount[RM_Code],$A66,T_StockCount[WeekIndex],69),IF((COUNTIFS(T_SelfStock[RM_Code],$A66,T_SelfStock[WeekIndex],69)&gt;0)*(COUNTIFS(T_TTAFStock[RM_Code],$A66,T_TTAFStock[WeekIndex],69)&gt;0)&gt;0,SUMIFS(T_SelfStock[Self_Qty],T_SelfStock[RM_Code],$A66,T_SelfStock[WeekIndex],69)+SUMIFS(T_TTAFStock[TTAF_Qty],T_TTAFStock[RM_Code],$A66,T_TTAFStock[WeekIndex],69),BQ66+'Grid_Incoming'!BR66-'Grid_Requirement'!BR66))</f>
        <v/>
      </c>
      <c r="BS66">
        <f>IF(COUNTIFS(T_StockCount[RM_Code],$A66,T_StockCount[WeekIndex],70)&gt;0,SUMIFS(T_StockCount[CountedQty],T_StockCount[RM_Code],$A66,T_StockCount[WeekIndex],70),IF((COUNTIFS(T_SelfStock[RM_Code],$A66,T_SelfStock[WeekIndex],70)&gt;0)*(COUNTIFS(T_TTAFStock[RM_Code],$A66,T_TTAFStock[WeekIndex],70)&gt;0)&gt;0,SUMIFS(T_SelfStock[Self_Qty],T_SelfStock[RM_Code],$A66,T_SelfStock[WeekIndex],70)+SUMIFS(T_TTAFStock[TTAF_Qty],T_TTAFStock[RM_Code],$A66,T_TTAFStock[WeekIndex],70),BR66+'Grid_Incoming'!BS66-'Grid_Requirement'!BS66))</f>
        <v/>
      </c>
      <c r="BT66">
        <f>IF(COUNTIFS(T_StockCount[RM_Code],$A66,T_StockCount[WeekIndex],71)&gt;0,SUMIFS(T_StockCount[CountedQty],T_StockCount[RM_Code],$A66,T_StockCount[WeekIndex],71),IF((COUNTIFS(T_SelfStock[RM_Code],$A66,T_SelfStock[WeekIndex],71)&gt;0)*(COUNTIFS(T_TTAFStock[RM_Code],$A66,T_TTAFStock[WeekIndex],71)&gt;0)&gt;0,SUMIFS(T_SelfStock[Self_Qty],T_SelfStock[RM_Code],$A66,T_SelfStock[WeekIndex],71)+SUMIFS(T_TTAFStock[TTAF_Qty],T_TTAFStock[RM_Code],$A66,T_TTAFStock[WeekIndex],71),BS66+'Grid_Incoming'!BT66-'Grid_Requirement'!BT66))</f>
        <v/>
      </c>
      <c r="BU66">
        <f>IF(COUNTIFS(T_StockCount[RM_Code],$A66,T_StockCount[WeekIndex],72)&gt;0,SUMIFS(T_StockCount[CountedQty],T_StockCount[RM_Code],$A66,T_StockCount[WeekIndex],72),IF((COUNTIFS(T_SelfStock[RM_Code],$A66,T_SelfStock[WeekIndex],72)&gt;0)*(COUNTIFS(T_TTAFStock[RM_Code],$A66,T_TTAFStock[WeekIndex],72)&gt;0)&gt;0,SUMIFS(T_SelfStock[Self_Qty],T_SelfStock[RM_Code],$A66,T_SelfStock[WeekIndex],72)+SUMIFS(T_TTAFStock[TTAF_Qty],T_TTAFStock[RM_Code],$A66,T_TTAFStock[WeekIndex],72),BT66+'Grid_Incoming'!BU66-'Grid_Requirement'!BU66))</f>
        <v/>
      </c>
      <c r="BV66">
        <f>IF(COUNTIFS(T_StockCount[RM_Code],$A66,T_StockCount[WeekIndex],73)&gt;0,SUMIFS(T_StockCount[CountedQty],T_StockCount[RM_Code],$A66,T_StockCount[WeekIndex],73),IF((COUNTIFS(T_SelfStock[RM_Code],$A66,T_SelfStock[WeekIndex],73)&gt;0)*(COUNTIFS(T_TTAFStock[RM_Code],$A66,T_TTAFStock[WeekIndex],73)&gt;0)&gt;0,SUMIFS(T_SelfStock[Self_Qty],T_SelfStock[RM_Code],$A66,T_SelfStock[WeekIndex],73)+SUMIFS(T_TTAFStock[TTAF_Qty],T_TTAFStock[RM_Code],$A66,T_TTAFStock[WeekIndex],73),BU66+'Grid_Incoming'!BV66-'Grid_Requirement'!BV66))</f>
        <v/>
      </c>
      <c r="BW66">
        <f>IF(COUNTIFS(T_StockCount[RM_Code],$A66,T_StockCount[WeekIndex],74)&gt;0,SUMIFS(T_StockCount[CountedQty],T_StockCount[RM_Code],$A66,T_StockCount[WeekIndex],74),IF((COUNTIFS(T_SelfStock[RM_Code],$A66,T_SelfStock[WeekIndex],74)&gt;0)*(COUNTIFS(T_TTAFStock[RM_Code],$A66,T_TTAFStock[WeekIndex],74)&gt;0)&gt;0,SUMIFS(T_SelfStock[Self_Qty],T_SelfStock[RM_Code],$A66,T_SelfStock[WeekIndex],74)+SUMIFS(T_TTAFStock[TTAF_Qty],T_TTAFStock[RM_Code],$A66,T_TTAFStock[WeekIndex],74),BV66+'Grid_Incoming'!BW66-'Grid_Requirement'!BW66))</f>
        <v/>
      </c>
      <c r="BX66">
        <f>IF(COUNTIFS(T_StockCount[RM_Code],$A66,T_StockCount[WeekIndex],75)&gt;0,SUMIFS(T_StockCount[CountedQty],T_StockCount[RM_Code],$A66,T_StockCount[WeekIndex],75),IF((COUNTIFS(T_SelfStock[RM_Code],$A66,T_SelfStock[WeekIndex],75)&gt;0)*(COUNTIFS(T_TTAFStock[RM_Code],$A66,T_TTAFStock[WeekIndex],75)&gt;0)&gt;0,SUMIFS(T_SelfStock[Self_Qty],T_SelfStock[RM_Code],$A66,T_SelfStock[WeekIndex],75)+SUMIFS(T_TTAFStock[TTAF_Qty],T_TTAFStock[RM_Code],$A66,T_TTAFStock[WeekIndex],75),BW66+'Grid_Incoming'!BX66-'Grid_Requirement'!BX66))</f>
        <v/>
      </c>
      <c r="BY66">
        <f>IF(COUNTIFS(T_StockCount[RM_Code],$A66,T_StockCount[WeekIndex],76)&gt;0,SUMIFS(T_StockCount[CountedQty],T_StockCount[RM_Code],$A66,T_StockCount[WeekIndex],76),IF((COUNTIFS(T_SelfStock[RM_Code],$A66,T_SelfStock[WeekIndex],76)&gt;0)*(COUNTIFS(T_TTAFStock[RM_Code],$A66,T_TTAFStock[WeekIndex],76)&gt;0)&gt;0,SUMIFS(T_SelfStock[Self_Qty],T_SelfStock[RM_Code],$A66,T_SelfStock[WeekIndex],76)+SUMIFS(T_TTAFStock[TTAF_Qty],T_TTAFStock[RM_Code],$A66,T_TTAFStock[WeekIndex],76),BX66+'Grid_Incoming'!BY66-'Grid_Requirement'!BY66))</f>
        <v/>
      </c>
      <c r="BZ66">
        <f>IF(COUNTIFS(T_StockCount[RM_Code],$A66,T_StockCount[WeekIndex],77)&gt;0,SUMIFS(T_StockCount[CountedQty],T_StockCount[RM_Code],$A66,T_StockCount[WeekIndex],77),IF((COUNTIFS(T_SelfStock[RM_Code],$A66,T_SelfStock[WeekIndex],77)&gt;0)*(COUNTIFS(T_TTAFStock[RM_Code],$A66,T_TTAFStock[WeekIndex],77)&gt;0)&gt;0,SUMIFS(T_SelfStock[Self_Qty],T_SelfStock[RM_Code],$A66,T_SelfStock[WeekIndex],77)+SUMIFS(T_TTAFStock[TTAF_Qty],T_TTAFStock[RM_Code],$A66,T_TTAFStock[WeekIndex],77),BY66+'Grid_Incoming'!BZ66-'Grid_Requirement'!BZ66))</f>
        <v/>
      </c>
      <c r="CA66">
        <f>IF(COUNTIFS(T_StockCount[RM_Code],$A66,T_StockCount[WeekIndex],78)&gt;0,SUMIFS(T_StockCount[CountedQty],T_StockCount[RM_Code],$A66,T_StockCount[WeekIndex],78),IF((COUNTIFS(T_SelfStock[RM_Code],$A66,T_SelfStock[WeekIndex],78)&gt;0)*(COUNTIFS(T_TTAFStock[RM_Code],$A66,T_TTAFStock[WeekIndex],78)&gt;0)&gt;0,SUMIFS(T_SelfStock[Self_Qty],T_SelfStock[RM_Code],$A66,T_SelfStock[WeekIndex],78)+SUMIFS(T_TTAFStock[TTAF_Qty],T_TTAFStock[RM_Code],$A66,T_TTAFStock[WeekIndex],78),BZ66+'Grid_Incoming'!CA66-'Grid_Requirement'!CA66))</f>
        <v/>
      </c>
      <c r="CB66">
        <f>IF(COUNTIFS(T_StockCount[RM_Code],$A66,T_StockCount[WeekIndex],79)&gt;0,SUMIFS(T_StockCount[CountedQty],T_StockCount[RM_Code],$A66,T_StockCount[WeekIndex],79),IF((COUNTIFS(T_SelfStock[RM_Code],$A66,T_SelfStock[WeekIndex],79)&gt;0)*(COUNTIFS(T_TTAFStock[RM_Code],$A66,T_TTAFStock[WeekIndex],79)&gt;0)&gt;0,SUMIFS(T_SelfStock[Self_Qty],T_SelfStock[RM_Code],$A66,T_SelfStock[WeekIndex],79)+SUMIFS(T_TTAFStock[TTAF_Qty],T_TTAFStock[RM_Code],$A66,T_TTAFStock[WeekIndex],79),CA66+'Grid_Incoming'!CB66-'Grid_Requirement'!CB66))</f>
        <v/>
      </c>
      <c r="CC66">
        <f>IF(COUNTIFS(T_StockCount[RM_Code],$A66,T_StockCount[WeekIndex],80)&gt;0,SUMIFS(T_StockCount[CountedQty],T_StockCount[RM_Code],$A66,T_StockCount[WeekIndex],80),IF((COUNTIFS(T_SelfStock[RM_Code],$A66,T_SelfStock[WeekIndex],80)&gt;0)*(COUNTIFS(T_TTAFStock[RM_Code],$A66,T_TTAFStock[WeekIndex],80)&gt;0)&gt;0,SUMIFS(T_SelfStock[Self_Qty],T_SelfStock[RM_Code],$A66,T_SelfStock[WeekIndex],80)+SUMIFS(T_TTAFStock[TTAF_Qty],T_TTAFStock[RM_Code],$A66,T_TTAFStock[WeekIndex],80),CB66+'Grid_Incoming'!CC66-'Grid_Requirement'!CC66))</f>
        <v/>
      </c>
      <c r="CD66">
        <f>IF(COUNTIFS(T_StockCount[RM_Code],$A66,T_StockCount[WeekIndex],81)&gt;0,SUMIFS(T_StockCount[CountedQty],T_StockCount[RM_Code],$A66,T_StockCount[WeekIndex],81),IF((COUNTIFS(T_SelfStock[RM_Code],$A66,T_SelfStock[WeekIndex],81)&gt;0)*(COUNTIFS(T_TTAFStock[RM_Code],$A66,T_TTAFStock[WeekIndex],81)&gt;0)&gt;0,SUMIFS(T_SelfStock[Self_Qty],T_SelfStock[RM_Code],$A66,T_SelfStock[WeekIndex],81)+SUMIFS(T_TTAFStock[TTAF_Qty],T_TTAFStock[RM_Code],$A66,T_TTAFStock[WeekIndex],81),CC66+'Grid_Incoming'!CD66-'Grid_Requirement'!CD66))</f>
        <v/>
      </c>
      <c r="CE66">
        <f>IF(COUNTIFS(T_StockCount[RM_Code],$A66,T_StockCount[WeekIndex],82)&gt;0,SUMIFS(T_StockCount[CountedQty],T_StockCount[RM_Code],$A66,T_StockCount[WeekIndex],82),IF((COUNTIFS(T_SelfStock[RM_Code],$A66,T_SelfStock[WeekIndex],82)&gt;0)*(COUNTIFS(T_TTAFStock[RM_Code],$A66,T_TTAFStock[WeekIndex],82)&gt;0)&gt;0,SUMIFS(T_SelfStock[Self_Qty],T_SelfStock[RM_Code],$A66,T_SelfStock[WeekIndex],82)+SUMIFS(T_TTAFStock[TTAF_Qty],T_TTAFStock[RM_Code],$A66,T_TTAFStock[WeekIndex],82),CD66+'Grid_Incoming'!CE66-'Grid_Requirement'!CE66))</f>
        <v/>
      </c>
      <c r="CF66">
        <f>IF(COUNTIFS(T_StockCount[RM_Code],$A66,T_StockCount[WeekIndex],83)&gt;0,SUMIFS(T_StockCount[CountedQty],T_StockCount[RM_Code],$A66,T_StockCount[WeekIndex],83),IF((COUNTIFS(T_SelfStock[RM_Code],$A66,T_SelfStock[WeekIndex],83)&gt;0)*(COUNTIFS(T_TTAFStock[RM_Code],$A66,T_TTAFStock[WeekIndex],83)&gt;0)&gt;0,SUMIFS(T_SelfStock[Self_Qty],T_SelfStock[RM_Code],$A66,T_SelfStock[WeekIndex],83)+SUMIFS(T_TTAFStock[TTAF_Qty],T_TTAFStock[RM_Code],$A66,T_TTAFStock[WeekIndex],83),CE66+'Grid_Incoming'!CF66-'Grid_Requirement'!CF66))</f>
        <v/>
      </c>
      <c r="CG66">
        <f>IF(COUNTIFS(T_StockCount[RM_Code],$A66,T_StockCount[WeekIndex],84)&gt;0,SUMIFS(T_StockCount[CountedQty],T_StockCount[RM_Code],$A66,T_StockCount[WeekIndex],84),IF((COUNTIFS(T_SelfStock[RM_Code],$A66,T_SelfStock[WeekIndex],84)&gt;0)*(COUNTIFS(T_TTAFStock[RM_Code],$A66,T_TTAFStock[WeekIndex],84)&gt;0)&gt;0,SUMIFS(T_SelfStock[Self_Qty],T_SelfStock[RM_Code],$A66,T_SelfStock[WeekIndex],84)+SUMIFS(T_TTAFStock[TTAF_Qty],T_TTAFStock[RM_Code],$A66,T_TTAFStock[WeekIndex],84),CF66+'Grid_Incoming'!CG66-'Grid_Requirement'!CG66))</f>
        <v/>
      </c>
      <c r="CH66">
        <f>IF(COUNTIFS(T_StockCount[RM_Code],$A66,T_StockCount[WeekIndex],85)&gt;0,SUMIFS(T_StockCount[CountedQty],T_StockCount[RM_Code],$A66,T_StockCount[WeekIndex],85),IF((COUNTIFS(T_SelfStock[RM_Code],$A66,T_SelfStock[WeekIndex],85)&gt;0)*(COUNTIFS(T_TTAFStock[RM_Code],$A66,T_TTAFStock[WeekIndex],85)&gt;0)&gt;0,SUMIFS(T_SelfStock[Self_Qty],T_SelfStock[RM_Code],$A66,T_SelfStock[WeekIndex],85)+SUMIFS(T_TTAFStock[TTAF_Qty],T_TTAFStock[RM_Code],$A66,T_TTAFStock[WeekIndex],85),CG66+'Grid_Incoming'!CH66-'Grid_Requirement'!CH66))</f>
        <v/>
      </c>
      <c r="CI66">
        <f>IF(COUNTIFS(T_StockCount[RM_Code],$A66,T_StockCount[WeekIndex],86)&gt;0,SUMIFS(T_StockCount[CountedQty],T_StockCount[RM_Code],$A66,T_StockCount[WeekIndex],86),IF((COUNTIFS(T_SelfStock[RM_Code],$A66,T_SelfStock[WeekIndex],86)&gt;0)*(COUNTIFS(T_TTAFStock[RM_Code],$A66,T_TTAFStock[WeekIndex],86)&gt;0)&gt;0,SUMIFS(T_SelfStock[Self_Qty],T_SelfStock[RM_Code],$A66,T_SelfStock[WeekIndex],86)+SUMIFS(T_TTAFStock[TTAF_Qty],T_TTAFStock[RM_Code],$A66,T_TTAFStock[WeekIndex],86),CH66+'Grid_Incoming'!CI66-'Grid_Requirement'!CI66))</f>
        <v/>
      </c>
      <c r="CJ66">
        <f>IF(COUNTIFS(T_StockCount[RM_Code],$A66,T_StockCount[WeekIndex],87)&gt;0,SUMIFS(T_StockCount[CountedQty],T_StockCount[RM_Code],$A66,T_StockCount[WeekIndex],87),IF((COUNTIFS(T_SelfStock[RM_Code],$A66,T_SelfStock[WeekIndex],87)&gt;0)*(COUNTIFS(T_TTAFStock[RM_Code],$A66,T_TTAFStock[WeekIndex],87)&gt;0)&gt;0,SUMIFS(T_SelfStock[Self_Qty],T_SelfStock[RM_Code],$A66,T_SelfStock[WeekIndex],87)+SUMIFS(T_TTAFStock[TTAF_Qty],T_TTAFStock[RM_Code],$A66,T_TTAFStock[WeekIndex],87),CI66+'Grid_Incoming'!CJ66-'Grid_Requirement'!CJ66))</f>
        <v/>
      </c>
      <c r="CK66">
        <f>IF(COUNTIFS(T_StockCount[RM_Code],$A66,T_StockCount[WeekIndex],88)&gt;0,SUMIFS(T_StockCount[CountedQty],T_StockCount[RM_Code],$A66,T_StockCount[WeekIndex],88),IF((COUNTIFS(T_SelfStock[RM_Code],$A66,T_SelfStock[WeekIndex],88)&gt;0)*(COUNTIFS(T_TTAFStock[RM_Code],$A66,T_TTAFStock[WeekIndex],88)&gt;0)&gt;0,SUMIFS(T_SelfStock[Self_Qty],T_SelfStock[RM_Code],$A66,T_SelfStock[WeekIndex],88)+SUMIFS(T_TTAFStock[TTAF_Qty],T_TTAFStock[RM_Code],$A66,T_TTAFStock[WeekIndex],88),CJ66+'Grid_Incoming'!CK66-'Grid_Requirement'!CK66))</f>
        <v/>
      </c>
      <c r="CL66">
        <f>IF(COUNTIFS(T_StockCount[RM_Code],$A66,T_StockCount[WeekIndex],89)&gt;0,SUMIFS(T_StockCount[CountedQty],T_StockCount[RM_Code],$A66,T_StockCount[WeekIndex],89),IF((COUNTIFS(T_SelfStock[RM_Code],$A66,T_SelfStock[WeekIndex],89)&gt;0)*(COUNTIFS(T_TTAFStock[RM_Code],$A66,T_TTAFStock[WeekIndex],89)&gt;0)&gt;0,SUMIFS(T_SelfStock[Self_Qty],T_SelfStock[RM_Code],$A66,T_SelfStock[WeekIndex],89)+SUMIFS(T_TTAFStock[TTAF_Qty],T_TTAFStock[RM_Code],$A66,T_TTAFStock[WeekIndex],89),CK66+'Grid_Incoming'!CL66-'Grid_Requirement'!CL66))</f>
        <v/>
      </c>
      <c r="CM66">
        <f>IF(COUNTIFS(T_StockCount[RM_Code],$A66,T_StockCount[WeekIndex],90)&gt;0,SUMIFS(T_StockCount[CountedQty],T_StockCount[RM_Code],$A66,T_StockCount[WeekIndex],90),IF((COUNTIFS(T_SelfStock[RM_Code],$A66,T_SelfStock[WeekIndex],90)&gt;0)*(COUNTIFS(T_TTAFStock[RM_Code],$A66,T_TTAFStock[WeekIndex],90)&gt;0)&gt;0,SUMIFS(T_SelfStock[Self_Qty],T_SelfStock[RM_Code],$A66,T_SelfStock[WeekIndex],90)+SUMIFS(T_TTAFStock[TTAF_Qty],T_TTAFStock[RM_Code],$A66,T_TTAFStock[WeekIndex],90),CL66+'Grid_Incoming'!CM66-'Grid_Requirement'!CM66))</f>
        <v/>
      </c>
      <c r="CN66">
        <f>IF(COUNTIFS(T_StockCount[RM_Code],$A66,T_StockCount[WeekIndex],91)&gt;0,SUMIFS(T_StockCount[CountedQty],T_StockCount[RM_Code],$A66,T_StockCount[WeekIndex],91),IF((COUNTIFS(T_SelfStock[RM_Code],$A66,T_SelfStock[WeekIndex],91)&gt;0)*(COUNTIFS(T_TTAFStock[RM_Code],$A66,T_TTAFStock[WeekIndex],91)&gt;0)&gt;0,SUMIFS(T_SelfStock[Self_Qty],T_SelfStock[RM_Code],$A66,T_SelfStock[WeekIndex],91)+SUMIFS(T_TTAFStock[TTAF_Qty],T_TTAFStock[RM_Code],$A66,T_TTAFStock[WeekIndex],91),CM66+'Grid_Incoming'!CN66-'Grid_Requirement'!CN66))</f>
        <v/>
      </c>
      <c r="CO66">
        <f>IF(COUNTIFS(T_StockCount[RM_Code],$A66,T_StockCount[WeekIndex],92)&gt;0,SUMIFS(T_StockCount[CountedQty],T_StockCount[RM_Code],$A66,T_StockCount[WeekIndex],92),IF((COUNTIFS(T_SelfStock[RM_Code],$A66,T_SelfStock[WeekIndex],92)&gt;0)*(COUNTIFS(T_TTAFStock[RM_Code],$A66,T_TTAFStock[WeekIndex],92)&gt;0)&gt;0,SUMIFS(T_SelfStock[Self_Qty],T_SelfStock[RM_Code],$A66,T_SelfStock[WeekIndex],92)+SUMIFS(T_TTAFStock[TTAF_Qty],T_TTAFStock[RM_Code],$A66,T_TTAFStock[WeekIndex],92),CN66+'Grid_Incoming'!CO66-'Grid_Requirement'!CO66))</f>
        <v/>
      </c>
      <c r="CP66">
        <f>IF(COUNTIFS(T_StockCount[RM_Code],$A66,T_StockCount[WeekIndex],93)&gt;0,SUMIFS(T_StockCount[CountedQty],T_StockCount[RM_Code],$A66,T_StockCount[WeekIndex],93),IF((COUNTIFS(T_SelfStock[RM_Code],$A66,T_SelfStock[WeekIndex],93)&gt;0)*(COUNTIFS(T_TTAFStock[RM_Code],$A66,T_TTAFStock[WeekIndex],93)&gt;0)&gt;0,SUMIFS(T_SelfStock[Self_Qty],T_SelfStock[RM_Code],$A66,T_SelfStock[WeekIndex],93)+SUMIFS(T_TTAFStock[TTAF_Qty],T_TTAFStock[RM_Code],$A66,T_TTAFStock[WeekIndex],93),CO66+'Grid_Incoming'!CP66-'Grid_Requirement'!CP66))</f>
        <v/>
      </c>
      <c r="CQ66">
        <f>IF(COUNTIFS(T_StockCount[RM_Code],$A66,T_StockCount[WeekIndex],94)&gt;0,SUMIFS(T_StockCount[CountedQty],T_StockCount[RM_Code],$A66,T_StockCount[WeekIndex],94),IF((COUNTIFS(T_SelfStock[RM_Code],$A66,T_SelfStock[WeekIndex],94)&gt;0)*(COUNTIFS(T_TTAFStock[RM_Code],$A66,T_TTAFStock[WeekIndex],94)&gt;0)&gt;0,SUMIFS(T_SelfStock[Self_Qty],T_SelfStock[RM_Code],$A66,T_SelfStock[WeekIndex],94)+SUMIFS(T_TTAFStock[TTAF_Qty],T_TTAFStock[RM_Code],$A66,T_TTAFStock[WeekIndex],94),CP66+'Grid_Incoming'!CQ66-'Grid_Requirement'!CQ66))</f>
        <v/>
      </c>
      <c r="CR66">
        <f>IF(COUNTIFS(T_StockCount[RM_Code],$A66,T_StockCount[WeekIndex],95)&gt;0,SUMIFS(T_StockCount[CountedQty],T_StockCount[RM_Code],$A66,T_StockCount[WeekIndex],95),IF((COUNTIFS(T_SelfStock[RM_Code],$A66,T_SelfStock[WeekIndex],95)&gt;0)*(COUNTIFS(T_TTAFStock[RM_Code],$A66,T_TTAFStock[WeekIndex],95)&gt;0)&gt;0,SUMIFS(T_SelfStock[Self_Qty],T_SelfStock[RM_Code],$A66,T_SelfStock[WeekIndex],95)+SUMIFS(T_TTAFStock[TTAF_Qty],T_TTAFStock[RM_Code],$A66,T_TTAFStock[WeekIndex],95),CQ66+'Grid_Incoming'!CR66-'Grid_Requirement'!CR66))</f>
        <v/>
      </c>
      <c r="CS66">
        <f>IF(COUNTIFS(T_StockCount[RM_Code],$A66,T_StockCount[WeekIndex],96)&gt;0,SUMIFS(T_StockCount[CountedQty],T_StockCount[RM_Code],$A66,T_StockCount[WeekIndex],96),IF((COUNTIFS(T_SelfStock[RM_Code],$A66,T_SelfStock[WeekIndex],96)&gt;0)*(COUNTIFS(T_TTAFStock[RM_Code],$A66,T_TTAFStock[WeekIndex],96)&gt;0)&gt;0,SUMIFS(T_SelfStock[Self_Qty],T_SelfStock[RM_Code],$A66,T_SelfStock[WeekIndex],96)+SUMIFS(T_TTAFStock[TTAF_Qty],T_TTAFStock[RM_Code],$A66,T_TTAFStock[WeekIndex],96),CR66+'Grid_Incoming'!CS66-'Grid_Requirement'!CS66))</f>
        <v/>
      </c>
      <c r="CT66">
        <f>IF(COUNTIFS(T_StockCount[RM_Code],$A66,T_StockCount[WeekIndex],97)&gt;0,SUMIFS(T_StockCount[CountedQty],T_StockCount[RM_Code],$A66,T_StockCount[WeekIndex],97),IF((COUNTIFS(T_SelfStock[RM_Code],$A66,T_SelfStock[WeekIndex],97)&gt;0)*(COUNTIFS(T_TTAFStock[RM_Code],$A66,T_TTAFStock[WeekIndex],97)&gt;0)&gt;0,SUMIFS(T_SelfStock[Self_Qty],T_SelfStock[RM_Code],$A66,T_SelfStock[WeekIndex],97)+SUMIFS(T_TTAFStock[TTAF_Qty],T_TTAFStock[RM_Code],$A66,T_TTAFStock[WeekIndex],97),CS66+'Grid_Incoming'!CT66-'Grid_Requirement'!CT66))</f>
        <v/>
      </c>
      <c r="CU66">
        <f>IF(COUNTIFS(T_StockCount[RM_Code],$A66,T_StockCount[WeekIndex],98)&gt;0,SUMIFS(T_StockCount[CountedQty],T_StockCount[RM_Code],$A66,T_StockCount[WeekIndex],98),IF((COUNTIFS(T_SelfStock[RM_Code],$A66,T_SelfStock[WeekIndex],98)&gt;0)*(COUNTIFS(T_TTAFStock[RM_Code],$A66,T_TTAFStock[WeekIndex],98)&gt;0)&gt;0,SUMIFS(T_SelfStock[Self_Qty],T_SelfStock[RM_Code],$A66,T_SelfStock[WeekIndex],98)+SUMIFS(T_TTAFStock[TTAF_Qty],T_TTAFStock[RM_Code],$A66,T_TTAFStock[WeekIndex],98),CT66+'Grid_Incoming'!CU66-'Grid_Requirement'!CU66))</f>
        <v/>
      </c>
      <c r="CV66">
        <f>IF(COUNTIFS(T_StockCount[RM_Code],$A66,T_StockCount[WeekIndex],99)&gt;0,SUMIFS(T_StockCount[CountedQty],T_StockCount[RM_Code],$A66,T_StockCount[WeekIndex],99),IF((COUNTIFS(T_SelfStock[RM_Code],$A66,T_SelfStock[WeekIndex],99)&gt;0)*(COUNTIFS(T_TTAFStock[RM_Code],$A66,T_TTAFStock[WeekIndex],99)&gt;0)&gt;0,SUMIFS(T_SelfStock[Self_Qty],T_SelfStock[RM_Code],$A66,T_SelfStock[WeekIndex],99)+SUMIFS(T_TTAFStock[TTAF_Qty],T_TTAFStock[RM_Code],$A66,T_TTAFStock[WeekIndex],99),CU66+'Grid_Incoming'!CV66-'Grid_Requirement'!CV66))</f>
        <v/>
      </c>
      <c r="CW66">
        <f>IF(COUNTIFS(T_StockCount[RM_Code],$A66,T_StockCount[WeekIndex],100)&gt;0,SUMIFS(T_StockCount[CountedQty],T_StockCount[RM_Code],$A66,T_StockCount[WeekIndex],100),IF((COUNTIFS(T_SelfStock[RM_Code],$A66,T_SelfStock[WeekIndex],100)&gt;0)*(COUNTIFS(T_TTAFStock[RM_Code],$A66,T_TTAFStock[WeekIndex],100)&gt;0)&gt;0,SUMIFS(T_SelfStock[Self_Qty],T_SelfStock[RM_Code],$A66,T_SelfStock[WeekIndex],100)+SUMIFS(T_TTAFStock[TTAF_Qty],T_TTAFStock[RM_Code],$A66,T_TTAFStock[WeekIndex],100),CV66+'Grid_Incoming'!CW66-'Grid_Requirement'!CW66))</f>
        <v/>
      </c>
      <c r="CX66">
        <f>IF(COUNTIFS(T_StockCount[RM_Code],$A66,T_StockCount[WeekIndex],101)&gt;0,SUMIFS(T_StockCount[CountedQty],T_StockCount[RM_Code],$A66,T_StockCount[WeekIndex],101),IF((COUNTIFS(T_SelfStock[RM_Code],$A66,T_SelfStock[WeekIndex],101)&gt;0)*(COUNTIFS(T_TTAFStock[RM_Code],$A66,T_TTAFStock[WeekIndex],101)&gt;0)&gt;0,SUMIFS(T_SelfStock[Self_Qty],T_SelfStock[RM_Code],$A66,T_SelfStock[WeekIndex],101)+SUMIFS(T_TTAFStock[TTAF_Qty],T_TTAFStock[RM_Code],$A66,T_TTAFStock[WeekIndex],101),CW66+'Grid_Incoming'!CX66-'Grid_Requirement'!CX66))</f>
        <v/>
      </c>
      <c r="CY66">
        <f>IF(COUNTIFS(T_StockCount[RM_Code],$A66,T_StockCount[WeekIndex],102)&gt;0,SUMIFS(T_StockCount[CountedQty],T_StockCount[RM_Code],$A66,T_StockCount[WeekIndex],102),IF((COUNTIFS(T_SelfStock[RM_Code],$A66,T_SelfStock[WeekIndex],102)&gt;0)*(COUNTIFS(T_TTAFStock[RM_Code],$A66,T_TTAFStock[WeekIndex],102)&gt;0)&gt;0,SUMIFS(T_SelfStock[Self_Qty],T_SelfStock[RM_Code],$A66,T_SelfStock[WeekIndex],102)+SUMIFS(T_TTAFStock[TTAF_Qty],T_TTAFStock[RM_Code],$A66,T_TTAFStock[WeekIndex],102),CX66+'Grid_Incoming'!CY66-'Grid_Requirement'!CY66))</f>
        <v/>
      </c>
      <c r="CZ66">
        <f>IF(COUNTIFS(T_StockCount[RM_Code],$A66,T_StockCount[WeekIndex],103)&gt;0,SUMIFS(T_StockCount[CountedQty],T_StockCount[RM_Code],$A66,T_StockCount[WeekIndex],103),IF((COUNTIFS(T_SelfStock[RM_Code],$A66,T_SelfStock[WeekIndex],103)&gt;0)*(COUNTIFS(T_TTAFStock[RM_Code],$A66,T_TTAFStock[WeekIndex],103)&gt;0)&gt;0,SUMIFS(T_SelfStock[Self_Qty],T_SelfStock[RM_Code],$A66,T_SelfStock[WeekIndex],103)+SUMIFS(T_TTAFStock[TTAF_Qty],T_TTAFStock[RM_Code],$A66,T_TTAFStock[WeekIndex],103),CY66+'Grid_Incoming'!CZ66-'Grid_Requirement'!CZ66))</f>
        <v/>
      </c>
      <c r="DA66">
        <f>IF(COUNTIFS(T_StockCount[RM_Code],$A66,T_StockCount[WeekIndex],104)&gt;0,SUMIFS(T_StockCount[CountedQty],T_StockCount[RM_Code],$A66,T_StockCount[WeekIndex],104),IF((COUNTIFS(T_SelfStock[RM_Code],$A66,T_SelfStock[WeekIndex],104)&gt;0)*(COUNTIFS(T_TTAFStock[RM_Code],$A66,T_TTAFStock[WeekIndex],104)&gt;0)&gt;0,SUMIFS(T_SelfStock[Self_Qty],T_SelfStock[RM_Code],$A66,T_SelfStock[WeekIndex],104)+SUMIFS(T_TTAFStock[TTAF_Qty],T_TTAFStock[RM_Code],$A66,T_TTAFStock[WeekIndex],104),CZ66+'Grid_Incoming'!DA66-'Grid_Requirement'!DA66))</f>
        <v/>
      </c>
    </row>
    <row r="67">
      <c r="A67" t="inlineStr">
        <is>
          <t>V19</t>
        </is>
      </c>
      <c r="B67">
        <f>IF(COUNTIFS(T_StockCount[RM_Code],$A67,T_StockCount[WeekIndex],1)&gt;0,SUMIFS(T_StockCount[CountedQty],T_StockCount[RM_Code],$A67,T_StockCount[WeekIndex],1),IF((COUNTIFS(T_SelfStock[RM_Code],$A67,T_SelfStock[WeekIndex],1)&gt;0)*(COUNTIFS(T_TTAFStock[RM_Code],$A67,T_TTAFStock[WeekIndex],1)&gt;0)&gt;0,SUMIFS(T_SelfStock[Self_Qty],T_SelfStock[RM_Code],$A67,T_SelfStock[WeekIndex],1)+SUMIFS(T_TTAFStock[TTAF_Qty],T_TTAFStock[RM_Code],$A67,T_TTAFStock[WeekIndex],1),IFERROR(INDEX(T_OpeningStock[Opening_Qty],MATCH($A67,T_OpeningStock[RM_Code],0)),0)+'Grid_Incoming'!B67-'Grid_Requirement'!B67))</f>
        <v/>
      </c>
      <c r="C67">
        <f>IF(COUNTIFS(T_StockCount[RM_Code],$A67,T_StockCount[WeekIndex],2)&gt;0,SUMIFS(T_StockCount[CountedQty],T_StockCount[RM_Code],$A67,T_StockCount[WeekIndex],2),IF((COUNTIFS(T_SelfStock[RM_Code],$A67,T_SelfStock[WeekIndex],2)&gt;0)*(COUNTIFS(T_TTAFStock[RM_Code],$A67,T_TTAFStock[WeekIndex],2)&gt;0)&gt;0,SUMIFS(T_SelfStock[Self_Qty],T_SelfStock[RM_Code],$A67,T_SelfStock[WeekIndex],2)+SUMIFS(T_TTAFStock[TTAF_Qty],T_TTAFStock[RM_Code],$A67,T_TTAFStock[WeekIndex],2),B67+'Grid_Incoming'!C67-'Grid_Requirement'!C67))</f>
        <v/>
      </c>
      <c r="D67">
        <f>IF(COUNTIFS(T_StockCount[RM_Code],$A67,T_StockCount[WeekIndex],3)&gt;0,SUMIFS(T_StockCount[CountedQty],T_StockCount[RM_Code],$A67,T_StockCount[WeekIndex],3),IF((COUNTIFS(T_SelfStock[RM_Code],$A67,T_SelfStock[WeekIndex],3)&gt;0)*(COUNTIFS(T_TTAFStock[RM_Code],$A67,T_TTAFStock[WeekIndex],3)&gt;0)&gt;0,SUMIFS(T_SelfStock[Self_Qty],T_SelfStock[RM_Code],$A67,T_SelfStock[WeekIndex],3)+SUMIFS(T_TTAFStock[TTAF_Qty],T_TTAFStock[RM_Code],$A67,T_TTAFStock[WeekIndex],3),C67+'Grid_Incoming'!D67-'Grid_Requirement'!D67))</f>
        <v/>
      </c>
      <c r="E67">
        <f>IF(COUNTIFS(T_StockCount[RM_Code],$A67,T_StockCount[WeekIndex],4)&gt;0,SUMIFS(T_StockCount[CountedQty],T_StockCount[RM_Code],$A67,T_StockCount[WeekIndex],4),IF((COUNTIFS(T_SelfStock[RM_Code],$A67,T_SelfStock[WeekIndex],4)&gt;0)*(COUNTIFS(T_TTAFStock[RM_Code],$A67,T_TTAFStock[WeekIndex],4)&gt;0)&gt;0,SUMIFS(T_SelfStock[Self_Qty],T_SelfStock[RM_Code],$A67,T_SelfStock[WeekIndex],4)+SUMIFS(T_TTAFStock[TTAF_Qty],T_TTAFStock[RM_Code],$A67,T_TTAFStock[WeekIndex],4),D67+'Grid_Incoming'!E67-'Grid_Requirement'!E67))</f>
        <v/>
      </c>
      <c r="F67">
        <f>IF(COUNTIFS(T_StockCount[RM_Code],$A67,T_StockCount[WeekIndex],5)&gt;0,SUMIFS(T_StockCount[CountedQty],T_StockCount[RM_Code],$A67,T_StockCount[WeekIndex],5),IF((COUNTIFS(T_SelfStock[RM_Code],$A67,T_SelfStock[WeekIndex],5)&gt;0)*(COUNTIFS(T_TTAFStock[RM_Code],$A67,T_TTAFStock[WeekIndex],5)&gt;0)&gt;0,SUMIFS(T_SelfStock[Self_Qty],T_SelfStock[RM_Code],$A67,T_SelfStock[WeekIndex],5)+SUMIFS(T_TTAFStock[TTAF_Qty],T_TTAFStock[RM_Code],$A67,T_TTAFStock[WeekIndex],5),E67+'Grid_Incoming'!F67-'Grid_Requirement'!F67))</f>
        <v/>
      </c>
      <c r="G67">
        <f>IF(COUNTIFS(T_StockCount[RM_Code],$A67,T_StockCount[WeekIndex],6)&gt;0,SUMIFS(T_StockCount[CountedQty],T_StockCount[RM_Code],$A67,T_StockCount[WeekIndex],6),IF((COUNTIFS(T_SelfStock[RM_Code],$A67,T_SelfStock[WeekIndex],6)&gt;0)*(COUNTIFS(T_TTAFStock[RM_Code],$A67,T_TTAFStock[WeekIndex],6)&gt;0)&gt;0,SUMIFS(T_SelfStock[Self_Qty],T_SelfStock[RM_Code],$A67,T_SelfStock[WeekIndex],6)+SUMIFS(T_TTAFStock[TTAF_Qty],T_TTAFStock[RM_Code],$A67,T_TTAFStock[WeekIndex],6),F67+'Grid_Incoming'!G67-'Grid_Requirement'!G67))</f>
        <v/>
      </c>
      <c r="H67">
        <f>IF(COUNTIFS(T_StockCount[RM_Code],$A67,T_StockCount[WeekIndex],7)&gt;0,SUMIFS(T_StockCount[CountedQty],T_StockCount[RM_Code],$A67,T_StockCount[WeekIndex],7),IF((COUNTIFS(T_SelfStock[RM_Code],$A67,T_SelfStock[WeekIndex],7)&gt;0)*(COUNTIFS(T_TTAFStock[RM_Code],$A67,T_TTAFStock[WeekIndex],7)&gt;0)&gt;0,SUMIFS(T_SelfStock[Self_Qty],T_SelfStock[RM_Code],$A67,T_SelfStock[WeekIndex],7)+SUMIFS(T_TTAFStock[TTAF_Qty],T_TTAFStock[RM_Code],$A67,T_TTAFStock[WeekIndex],7),G67+'Grid_Incoming'!H67-'Grid_Requirement'!H67))</f>
        <v/>
      </c>
      <c r="I67">
        <f>IF(COUNTIFS(T_StockCount[RM_Code],$A67,T_StockCount[WeekIndex],8)&gt;0,SUMIFS(T_StockCount[CountedQty],T_StockCount[RM_Code],$A67,T_StockCount[WeekIndex],8),IF((COUNTIFS(T_SelfStock[RM_Code],$A67,T_SelfStock[WeekIndex],8)&gt;0)*(COUNTIFS(T_TTAFStock[RM_Code],$A67,T_TTAFStock[WeekIndex],8)&gt;0)&gt;0,SUMIFS(T_SelfStock[Self_Qty],T_SelfStock[RM_Code],$A67,T_SelfStock[WeekIndex],8)+SUMIFS(T_TTAFStock[TTAF_Qty],T_TTAFStock[RM_Code],$A67,T_TTAFStock[WeekIndex],8),H67+'Grid_Incoming'!I67-'Grid_Requirement'!I67))</f>
        <v/>
      </c>
      <c r="J67">
        <f>IF(COUNTIFS(T_StockCount[RM_Code],$A67,T_StockCount[WeekIndex],9)&gt;0,SUMIFS(T_StockCount[CountedQty],T_StockCount[RM_Code],$A67,T_StockCount[WeekIndex],9),IF((COUNTIFS(T_SelfStock[RM_Code],$A67,T_SelfStock[WeekIndex],9)&gt;0)*(COUNTIFS(T_TTAFStock[RM_Code],$A67,T_TTAFStock[WeekIndex],9)&gt;0)&gt;0,SUMIFS(T_SelfStock[Self_Qty],T_SelfStock[RM_Code],$A67,T_SelfStock[WeekIndex],9)+SUMIFS(T_TTAFStock[TTAF_Qty],T_TTAFStock[RM_Code],$A67,T_TTAFStock[WeekIndex],9),I67+'Grid_Incoming'!J67-'Grid_Requirement'!J67))</f>
        <v/>
      </c>
      <c r="K67">
        <f>IF(COUNTIFS(T_StockCount[RM_Code],$A67,T_StockCount[WeekIndex],10)&gt;0,SUMIFS(T_StockCount[CountedQty],T_StockCount[RM_Code],$A67,T_StockCount[WeekIndex],10),IF((COUNTIFS(T_SelfStock[RM_Code],$A67,T_SelfStock[WeekIndex],10)&gt;0)*(COUNTIFS(T_TTAFStock[RM_Code],$A67,T_TTAFStock[WeekIndex],10)&gt;0)&gt;0,SUMIFS(T_SelfStock[Self_Qty],T_SelfStock[RM_Code],$A67,T_SelfStock[WeekIndex],10)+SUMIFS(T_TTAFStock[TTAF_Qty],T_TTAFStock[RM_Code],$A67,T_TTAFStock[WeekIndex],10),J67+'Grid_Incoming'!K67-'Grid_Requirement'!K67))</f>
        <v/>
      </c>
      <c r="L67">
        <f>IF(COUNTIFS(T_StockCount[RM_Code],$A67,T_StockCount[WeekIndex],11)&gt;0,SUMIFS(T_StockCount[CountedQty],T_StockCount[RM_Code],$A67,T_StockCount[WeekIndex],11),IF((COUNTIFS(T_SelfStock[RM_Code],$A67,T_SelfStock[WeekIndex],11)&gt;0)*(COUNTIFS(T_TTAFStock[RM_Code],$A67,T_TTAFStock[WeekIndex],11)&gt;0)&gt;0,SUMIFS(T_SelfStock[Self_Qty],T_SelfStock[RM_Code],$A67,T_SelfStock[WeekIndex],11)+SUMIFS(T_TTAFStock[TTAF_Qty],T_TTAFStock[RM_Code],$A67,T_TTAFStock[WeekIndex],11),K67+'Grid_Incoming'!L67-'Grid_Requirement'!L67))</f>
        <v/>
      </c>
      <c r="M67">
        <f>IF(COUNTIFS(T_StockCount[RM_Code],$A67,T_StockCount[WeekIndex],12)&gt;0,SUMIFS(T_StockCount[CountedQty],T_StockCount[RM_Code],$A67,T_StockCount[WeekIndex],12),IF((COUNTIFS(T_SelfStock[RM_Code],$A67,T_SelfStock[WeekIndex],12)&gt;0)*(COUNTIFS(T_TTAFStock[RM_Code],$A67,T_TTAFStock[WeekIndex],12)&gt;0)&gt;0,SUMIFS(T_SelfStock[Self_Qty],T_SelfStock[RM_Code],$A67,T_SelfStock[WeekIndex],12)+SUMIFS(T_TTAFStock[TTAF_Qty],T_TTAFStock[RM_Code],$A67,T_TTAFStock[WeekIndex],12),L67+'Grid_Incoming'!M67-'Grid_Requirement'!M67))</f>
        <v/>
      </c>
      <c r="N67">
        <f>IF(COUNTIFS(T_StockCount[RM_Code],$A67,T_StockCount[WeekIndex],13)&gt;0,SUMIFS(T_StockCount[CountedQty],T_StockCount[RM_Code],$A67,T_StockCount[WeekIndex],13),IF((COUNTIFS(T_SelfStock[RM_Code],$A67,T_SelfStock[WeekIndex],13)&gt;0)*(COUNTIFS(T_TTAFStock[RM_Code],$A67,T_TTAFStock[WeekIndex],13)&gt;0)&gt;0,SUMIFS(T_SelfStock[Self_Qty],T_SelfStock[RM_Code],$A67,T_SelfStock[WeekIndex],13)+SUMIFS(T_TTAFStock[TTAF_Qty],T_TTAFStock[RM_Code],$A67,T_TTAFStock[WeekIndex],13),M67+'Grid_Incoming'!N67-'Grid_Requirement'!N67))</f>
        <v/>
      </c>
      <c r="O67">
        <f>IF(COUNTIFS(T_StockCount[RM_Code],$A67,T_StockCount[WeekIndex],14)&gt;0,SUMIFS(T_StockCount[CountedQty],T_StockCount[RM_Code],$A67,T_StockCount[WeekIndex],14),IF((COUNTIFS(T_SelfStock[RM_Code],$A67,T_SelfStock[WeekIndex],14)&gt;0)*(COUNTIFS(T_TTAFStock[RM_Code],$A67,T_TTAFStock[WeekIndex],14)&gt;0)&gt;0,SUMIFS(T_SelfStock[Self_Qty],T_SelfStock[RM_Code],$A67,T_SelfStock[WeekIndex],14)+SUMIFS(T_TTAFStock[TTAF_Qty],T_TTAFStock[RM_Code],$A67,T_TTAFStock[WeekIndex],14),N67+'Grid_Incoming'!O67-'Grid_Requirement'!O67))</f>
        <v/>
      </c>
      <c r="P67">
        <f>IF(COUNTIFS(T_StockCount[RM_Code],$A67,T_StockCount[WeekIndex],15)&gt;0,SUMIFS(T_StockCount[CountedQty],T_StockCount[RM_Code],$A67,T_StockCount[WeekIndex],15),IF((COUNTIFS(T_SelfStock[RM_Code],$A67,T_SelfStock[WeekIndex],15)&gt;0)*(COUNTIFS(T_TTAFStock[RM_Code],$A67,T_TTAFStock[WeekIndex],15)&gt;0)&gt;0,SUMIFS(T_SelfStock[Self_Qty],T_SelfStock[RM_Code],$A67,T_SelfStock[WeekIndex],15)+SUMIFS(T_TTAFStock[TTAF_Qty],T_TTAFStock[RM_Code],$A67,T_TTAFStock[WeekIndex],15),O67+'Grid_Incoming'!P67-'Grid_Requirement'!P67))</f>
        <v/>
      </c>
      <c r="Q67">
        <f>IF(COUNTIFS(T_StockCount[RM_Code],$A67,T_StockCount[WeekIndex],16)&gt;0,SUMIFS(T_StockCount[CountedQty],T_StockCount[RM_Code],$A67,T_StockCount[WeekIndex],16),IF((COUNTIFS(T_SelfStock[RM_Code],$A67,T_SelfStock[WeekIndex],16)&gt;0)*(COUNTIFS(T_TTAFStock[RM_Code],$A67,T_TTAFStock[WeekIndex],16)&gt;0)&gt;0,SUMIFS(T_SelfStock[Self_Qty],T_SelfStock[RM_Code],$A67,T_SelfStock[WeekIndex],16)+SUMIFS(T_TTAFStock[TTAF_Qty],T_TTAFStock[RM_Code],$A67,T_TTAFStock[WeekIndex],16),P67+'Grid_Incoming'!Q67-'Grid_Requirement'!Q67))</f>
        <v/>
      </c>
      <c r="R67">
        <f>IF(COUNTIFS(T_StockCount[RM_Code],$A67,T_StockCount[WeekIndex],17)&gt;0,SUMIFS(T_StockCount[CountedQty],T_StockCount[RM_Code],$A67,T_StockCount[WeekIndex],17),IF((COUNTIFS(T_SelfStock[RM_Code],$A67,T_SelfStock[WeekIndex],17)&gt;0)*(COUNTIFS(T_TTAFStock[RM_Code],$A67,T_TTAFStock[WeekIndex],17)&gt;0)&gt;0,SUMIFS(T_SelfStock[Self_Qty],T_SelfStock[RM_Code],$A67,T_SelfStock[WeekIndex],17)+SUMIFS(T_TTAFStock[TTAF_Qty],T_TTAFStock[RM_Code],$A67,T_TTAFStock[WeekIndex],17),Q67+'Grid_Incoming'!R67-'Grid_Requirement'!R67))</f>
        <v/>
      </c>
      <c r="S67">
        <f>IF(COUNTIFS(T_StockCount[RM_Code],$A67,T_StockCount[WeekIndex],18)&gt;0,SUMIFS(T_StockCount[CountedQty],T_StockCount[RM_Code],$A67,T_StockCount[WeekIndex],18),IF((COUNTIFS(T_SelfStock[RM_Code],$A67,T_SelfStock[WeekIndex],18)&gt;0)*(COUNTIFS(T_TTAFStock[RM_Code],$A67,T_TTAFStock[WeekIndex],18)&gt;0)&gt;0,SUMIFS(T_SelfStock[Self_Qty],T_SelfStock[RM_Code],$A67,T_SelfStock[WeekIndex],18)+SUMIFS(T_TTAFStock[TTAF_Qty],T_TTAFStock[RM_Code],$A67,T_TTAFStock[WeekIndex],18),R67+'Grid_Incoming'!S67-'Grid_Requirement'!S67))</f>
        <v/>
      </c>
      <c r="T67">
        <f>IF(COUNTIFS(T_StockCount[RM_Code],$A67,T_StockCount[WeekIndex],19)&gt;0,SUMIFS(T_StockCount[CountedQty],T_StockCount[RM_Code],$A67,T_StockCount[WeekIndex],19),IF((COUNTIFS(T_SelfStock[RM_Code],$A67,T_SelfStock[WeekIndex],19)&gt;0)*(COUNTIFS(T_TTAFStock[RM_Code],$A67,T_TTAFStock[WeekIndex],19)&gt;0)&gt;0,SUMIFS(T_SelfStock[Self_Qty],T_SelfStock[RM_Code],$A67,T_SelfStock[WeekIndex],19)+SUMIFS(T_TTAFStock[TTAF_Qty],T_TTAFStock[RM_Code],$A67,T_TTAFStock[WeekIndex],19),S67+'Grid_Incoming'!T67-'Grid_Requirement'!T67))</f>
        <v/>
      </c>
      <c r="U67">
        <f>IF(COUNTIFS(T_StockCount[RM_Code],$A67,T_StockCount[WeekIndex],20)&gt;0,SUMIFS(T_StockCount[CountedQty],T_StockCount[RM_Code],$A67,T_StockCount[WeekIndex],20),IF((COUNTIFS(T_SelfStock[RM_Code],$A67,T_SelfStock[WeekIndex],20)&gt;0)*(COUNTIFS(T_TTAFStock[RM_Code],$A67,T_TTAFStock[WeekIndex],20)&gt;0)&gt;0,SUMIFS(T_SelfStock[Self_Qty],T_SelfStock[RM_Code],$A67,T_SelfStock[WeekIndex],20)+SUMIFS(T_TTAFStock[TTAF_Qty],T_TTAFStock[RM_Code],$A67,T_TTAFStock[WeekIndex],20),T67+'Grid_Incoming'!U67-'Grid_Requirement'!U67))</f>
        <v/>
      </c>
      <c r="V67">
        <f>IF(COUNTIFS(T_StockCount[RM_Code],$A67,T_StockCount[WeekIndex],21)&gt;0,SUMIFS(T_StockCount[CountedQty],T_StockCount[RM_Code],$A67,T_StockCount[WeekIndex],21),IF((COUNTIFS(T_SelfStock[RM_Code],$A67,T_SelfStock[WeekIndex],21)&gt;0)*(COUNTIFS(T_TTAFStock[RM_Code],$A67,T_TTAFStock[WeekIndex],21)&gt;0)&gt;0,SUMIFS(T_SelfStock[Self_Qty],T_SelfStock[RM_Code],$A67,T_SelfStock[WeekIndex],21)+SUMIFS(T_TTAFStock[TTAF_Qty],T_TTAFStock[RM_Code],$A67,T_TTAFStock[WeekIndex],21),U67+'Grid_Incoming'!V67-'Grid_Requirement'!V67))</f>
        <v/>
      </c>
      <c r="W67">
        <f>IF(COUNTIFS(T_StockCount[RM_Code],$A67,T_StockCount[WeekIndex],22)&gt;0,SUMIFS(T_StockCount[CountedQty],T_StockCount[RM_Code],$A67,T_StockCount[WeekIndex],22),IF((COUNTIFS(T_SelfStock[RM_Code],$A67,T_SelfStock[WeekIndex],22)&gt;0)*(COUNTIFS(T_TTAFStock[RM_Code],$A67,T_TTAFStock[WeekIndex],22)&gt;0)&gt;0,SUMIFS(T_SelfStock[Self_Qty],T_SelfStock[RM_Code],$A67,T_SelfStock[WeekIndex],22)+SUMIFS(T_TTAFStock[TTAF_Qty],T_TTAFStock[RM_Code],$A67,T_TTAFStock[WeekIndex],22),V67+'Grid_Incoming'!W67-'Grid_Requirement'!W67))</f>
        <v/>
      </c>
      <c r="X67">
        <f>IF(COUNTIFS(T_StockCount[RM_Code],$A67,T_StockCount[WeekIndex],23)&gt;0,SUMIFS(T_StockCount[CountedQty],T_StockCount[RM_Code],$A67,T_StockCount[WeekIndex],23),IF((COUNTIFS(T_SelfStock[RM_Code],$A67,T_SelfStock[WeekIndex],23)&gt;0)*(COUNTIFS(T_TTAFStock[RM_Code],$A67,T_TTAFStock[WeekIndex],23)&gt;0)&gt;0,SUMIFS(T_SelfStock[Self_Qty],T_SelfStock[RM_Code],$A67,T_SelfStock[WeekIndex],23)+SUMIFS(T_TTAFStock[TTAF_Qty],T_TTAFStock[RM_Code],$A67,T_TTAFStock[WeekIndex],23),W67+'Grid_Incoming'!X67-'Grid_Requirement'!X67))</f>
        <v/>
      </c>
      <c r="Y67">
        <f>IF(COUNTIFS(T_StockCount[RM_Code],$A67,T_StockCount[WeekIndex],24)&gt;0,SUMIFS(T_StockCount[CountedQty],T_StockCount[RM_Code],$A67,T_StockCount[WeekIndex],24),IF((COUNTIFS(T_SelfStock[RM_Code],$A67,T_SelfStock[WeekIndex],24)&gt;0)*(COUNTIFS(T_TTAFStock[RM_Code],$A67,T_TTAFStock[WeekIndex],24)&gt;0)&gt;0,SUMIFS(T_SelfStock[Self_Qty],T_SelfStock[RM_Code],$A67,T_SelfStock[WeekIndex],24)+SUMIFS(T_TTAFStock[TTAF_Qty],T_TTAFStock[RM_Code],$A67,T_TTAFStock[WeekIndex],24),X67+'Grid_Incoming'!Y67-'Grid_Requirement'!Y67))</f>
        <v/>
      </c>
      <c r="Z67">
        <f>IF(COUNTIFS(T_StockCount[RM_Code],$A67,T_StockCount[WeekIndex],25)&gt;0,SUMIFS(T_StockCount[CountedQty],T_StockCount[RM_Code],$A67,T_StockCount[WeekIndex],25),IF((COUNTIFS(T_SelfStock[RM_Code],$A67,T_SelfStock[WeekIndex],25)&gt;0)*(COUNTIFS(T_TTAFStock[RM_Code],$A67,T_TTAFStock[WeekIndex],25)&gt;0)&gt;0,SUMIFS(T_SelfStock[Self_Qty],T_SelfStock[RM_Code],$A67,T_SelfStock[WeekIndex],25)+SUMIFS(T_TTAFStock[TTAF_Qty],T_TTAFStock[RM_Code],$A67,T_TTAFStock[WeekIndex],25),Y67+'Grid_Incoming'!Z67-'Grid_Requirement'!Z67))</f>
        <v/>
      </c>
      <c r="AA67">
        <f>IF(COUNTIFS(T_StockCount[RM_Code],$A67,T_StockCount[WeekIndex],26)&gt;0,SUMIFS(T_StockCount[CountedQty],T_StockCount[RM_Code],$A67,T_StockCount[WeekIndex],26),IF((COUNTIFS(T_SelfStock[RM_Code],$A67,T_SelfStock[WeekIndex],26)&gt;0)*(COUNTIFS(T_TTAFStock[RM_Code],$A67,T_TTAFStock[WeekIndex],26)&gt;0)&gt;0,SUMIFS(T_SelfStock[Self_Qty],T_SelfStock[RM_Code],$A67,T_SelfStock[WeekIndex],26)+SUMIFS(T_TTAFStock[TTAF_Qty],T_TTAFStock[RM_Code],$A67,T_TTAFStock[WeekIndex],26),Z67+'Grid_Incoming'!AA67-'Grid_Requirement'!AA67))</f>
        <v/>
      </c>
      <c r="AB67">
        <f>IF(COUNTIFS(T_StockCount[RM_Code],$A67,T_StockCount[WeekIndex],27)&gt;0,SUMIFS(T_StockCount[CountedQty],T_StockCount[RM_Code],$A67,T_StockCount[WeekIndex],27),IF((COUNTIFS(T_SelfStock[RM_Code],$A67,T_SelfStock[WeekIndex],27)&gt;0)*(COUNTIFS(T_TTAFStock[RM_Code],$A67,T_TTAFStock[WeekIndex],27)&gt;0)&gt;0,SUMIFS(T_SelfStock[Self_Qty],T_SelfStock[RM_Code],$A67,T_SelfStock[WeekIndex],27)+SUMIFS(T_TTAFStock[TTAF_Qty],T_TTAFStock[RM_Code],$A67,T_TTAFStock[WeekIndex],27),AA67+'Grid_Incoming'!AB67-'Grid_Requirement'!AB67))</f>
        <v/>
      </c>
      <c r="AC67">
        <f>IF(COUNTIFS(T_StockCount[RM_Code],$A67,T_StockCount[WeekIndex],28)&gt;0,SUMIFS(T_StockCount[CountedQty],T_StockCount[RM_Code],$A67,T_StockCount[WeekIndex],28),IF((COUNTIFS(T_SelfStock[RM_Code],$A67,T_SelfStock[WeekIndex],28)&gt;0)*(COUNTIFS(T_TTAFStock[RM_Code],$A67,T_TTAFStock[WeekIndex],28)&gt;0)&gt;0,SUMIFS(T_SelfStock[Self_Qty],T_SelfStock[RM_Code],$A67,T_SelfStock[WeekIndex],28)+SUMIFS(T_TTAFStock[TTAF_Qty],T_TTAFStock[RM_Code],$A67,T_TTAFStock[WeekIndex],28),AB67+'Grid_Incoming'!AC67-'Grid_Requirement'!AC67))</f>
        <v/>
      </c>
      <c r="AD67">
        <f>IF(COUNTIFS(T_StockCount[RM_Code],$A67,T_StockCount[WeekIndex],29)&gt;0,SUMIFS(T_StockCount[CountedQty],T_StockCount[RM_Code],$A67,T_StockCount[WeekIndex],29),IF((COUNTIFS(T_SelfStock[RM_Code],$A67,T_SelfStock[WeekIndex],29)&gt;0)*(COUNTIFS(T_TTAFStock[RM_Code],$A67,T_TTAFStock[WeekIndex],29)&gt;0)&gt;0,SUMIFS(T_SelfStock[Self_Qty],T_SelfStock[RM_Code],$A67,T_SelfStock[WeekIndex],29)+SUMIFS(T_TTAFStock[TTAF_Qty],T_TTAFStock[RM_Code],$A67,T_TTAFStock[WeekIndex],29),AC67+'Grid_Incoming'!AD67-'Grid_Requirement'!AD67))</f>
        <v/>
      </c>
      <c r="AE67">
        <f>IF(COUNTIFS(T_StockCount[RM_Code],$A67,T_StockCount[WeekIndex],30)&gt;0,SUMIFS(T_StockCount[CountedQty],T_StockCount[RM_Code],$A67,T_StockCount[WeekIndex],30),IF((COUNTIFS(T_SelfStock[RM_Code],$A67,T_SelfStock[WeekIndex],30)&gt;0)*(COUNTIFS(T_TTAFStock[RM_Code],$A67,T_TTAFStock[WeekIndex],30)&gt;0)&gt;0,SUMIFS(T_SelfStock[Self_Qty],T_SelfStock[RM_Code],$A67,T_SelfStock[WeekIndex],30)+SUMIFS(T_TTAFStock[TTAF_Qty],T_TTAFStock[RM_Code],$A67,T_TTAFStock[WeekIndex],30),AD67+'Grid_Incoming'!AE67-'Grid_Requirement'!AE67))</f>
        <v/>
      </c>
      <c r="AF67">
        <f>IF(COUNTIFS(T_StockCount[RM_Code],$A67,T_StockCount[WeekIndex],31)&gt;0,SUMIFS(T_StockCount[CountedQty],T_StockCount[RM_Code],$A67,T_StockCount[WeekIndex],31),IF((COUNTIFS(T_SelfStock[RM_Code],$A67,T_SelfStock[WeekIndex],31)&gt;0)*(COUNTIFS(T_TTAFStock[RM_Code],$A67,T_TTAFStock[WeekIndex],31)&gt;0)&gt;0,SUMIFS(T_SelfStock[Self_Qty],T_SelfStock[RM_Code],$A67,T_SelfStock[WeekIndex],31)+SUMIFS(T_TTAFStock[TTAF_Qty],T_TTAFStock[RM_Code],$A67,T_TTAFStock[WeekIndex],31),AE67+'Grid_Incoming'!AF67-'Grid_Requirement'!AF67))</f>
        <v/>
      </c>
      <c r="AG67">
        <f>IF(COUNTIFS(T_StockCount[RM_Code],$A67,T_StockCount[WeekIndex],32)&gt;0,SUMIFS(T_StockCount[CountedQty],T_StockCount[RM_Code],$A67,T_StockCount[WeekIndex],32),IF((COUNTIFS(T_SelfStock[RM_Code],$A67,T_SelfStock[WeekIndex],32)&gt;0)*(COUNTIFS(T_TTAFStock[RM_Code],$A67,T_TTAFStock[WeekIndex],32)&gt;0)&gt;0,SUMIFS(T_SelfStock[Self_Qty],T_SelfStock[RM_Code],$A67,T_SelfStock[WeekIndex],32)+SUMIFS(T_TTAFStock[TTAF_Qty],T_TTAFStock[RM_Code],$A67,T_TTAFStock[WeekIndex],32),AF67+'Grid_Incoming'!AG67-'Grid_Requirement'!AG67))</f>
        <v/>
      </c>
      <c r="AH67">
        <f>IF(COUNTIFS(T_StockCount[RM_Code],$A67,T_StockCount[WeekIndex],33)&gt;0,SUMIFS(T_StockCount[CountedQty],T_StockCount[RM_Code],$A67,T_StockCount[WeekIndex],33),IF((COUNTIFS(T_SelfStock[RM_Code],$A67,T_SelfStock[WeekIndex],33)&gt;0)*(COUNTIFS(T_TTAFStock[RM_Code],$A67,T_TTAFStock[WeekIndex],33)&gt;0)&gt;0,SUMIFS(T_SelfStock[Self_Qty],T_SelfStock[RM_Code],$A67,T_SelfStock[WeekIndex],33)+SUMIFS(T_TTAFStock[TTAF_Qty],T_TTAFStock[RM_Code],$A67,T_TTAFStock[WeekIndex],33),AG67+'Grid_Incoming'!AH67-'Grid_Requirement'!AH67))</f>
        <v/>
      </c>
      <c r="AI67">
        <f>IF(COUNTIFS(T_StockCount[RM_Code],$A67,T_StockCount[WeekIndex],34)&gt;0,SUMIFS(T_StockCount[CountedQty],T_StockCount[RM_Code],$A67,T_StockCount[WeekIndex],34),IF((COUNTIFS(T_SelfStock[RM_Code],$A67,T_SelfStock[WeekIndex],34)&gt;0)*(COUNTIFS(T_TTAFStock[RM_Code],$A67,T_TTAFStock[WeekIndex],34)&gt;0)&gt;0,SUMIFS(T_SelfStock[Self_Qty],T_SelfStock[RM_Code],$A67,T_SelfStock[WeekIndex],34)+SUMIFS(T_TTAFStock[TTAF_Qty],T_TTAFStock[RM_Code],$A67,T_TTAFStock[WeekIndex],34),AH67+'Grid_Incoming'!AI67-'Grid_Requirement'!AI67))</f>
        <v/>
      </c>
      <c r="AJ67">
        <f>IF(COUNTIFS(T_StockCount[RM_Code],$A67,T_StockCount[WeekIndex],35)&gt;0,SUMIFS(T_StockCount[CountedQty],T_StockCount[RM_Code],$A67,T_StockCount[WeekIndex],35),IF((COUNTIFS(T_SelfStock[RM_Code],$A67,T_SelfStock[WeekIndex],35)&gt;0)*(COUNTIFS(T_TTAFStock[RM_Code],$A67,T_TTAFStock[WeekIndex],35)&gt;0)&gt;0,SUMIFS(T_SelfStock[Self_Qty],T_SelfStock[RM_Code],$A67,T_SelfStock[WeekIndex],35)+SUMIFS(T_TTAFStock[TTAF_Qty],T_TTAFStock[RM_Code],$A67,T_TTAFStock[WeekIndex],35),AI67+'Grid_Incoming'!AJ67-'Grid_Requirement'!AJ67))</f>
        <v/>
      </c>
      <c r="AK67">
        <f>IF(COUNTIFS(T_StockCount[RM_Code],$A67,T_StockCount[WeekIndex],36)&gt;0,SUMIFS(T_StockCount[CountedQty],T_StockCount[RM_Code],$A67,T_StockCount[WeekIndex],36),IF((COUNTIFS(T_SelfStock[RM_Code],$A67,T_SelfStock[WeekIndex],36)&gt;0)*(COUNTIFS(T_TTAFStock[RM_Code],$A67,T_TTAFStock[WeekIndex],36)&gt;0)&gt;0,SUMIFS(T_SelfStock[Self_Qty],T_SelfStock[RM_Code],$A67,T_SelfStock[WeekIndex],36)+SUMIFS(T_TTAFStock[TTAF_Qty],T_TTAFStock[RM_Code],$A67,T_TTAFStock[WeekIndex],36),AJ67+'Grid_Incoming'!AK67-'Grid_Requirement'!AK67))</f>
        <v/>
      </c>
      <c r="AL67">
        <f>IF(COUNTIFS(T_StockCount[RM_Code],$A67,T_StockCount[WeekIndex],37)&gt;0,SUMIFS(T_StockCount[CountedQty],T_StockCount[RM_Code],$A67,T_StockCount[WeekIndex],37),IF((COUNTIFS(T_SelfStock[RM_Code],$A67,T_SelfStock[WeekIndex],37)&gt;0)*(COUNTIFS(T_TTAFStock[RM_Code],$A67,T_TTAFStock[WeekIndex],37)&gt;0)&gt;0,SUMIFS(T_SelfStock[Self_Qty],T_SelfStock[RM_Code],$A67,T_SelfStock[WeekIndex],37)+SUMIFS(T_TTAFStock[TTAF_Qty],T_TTAFStock[RM_Code],$A67,T_TTAFStock[WeekIndex],37),AK67+'Grid_Incoming'!AL67-'Grid_Requirement'!AL67))</f>
        <v/>
      </c>
      <c r="AM67">
        <f>IF(COUNTIFS(T_StockCount[RM_Code],$A67,T_StockCount[WeekIndex],38)&gt;0,SUMIFS(T_StockCount[CountedQty],T_StockCount[RM_Code],$A67,T_StockCount[WeekIndex],38),IF((COUNTIFS(T_SelfStock[RM_Code],$A67,T_SelfStock[WeekIndex],38)&gt;0)*(COUNTIFS(T_TTAFStock[RM_Code],$A67,T_TTAFStock[WeekIndex],38)&gt;0)&gt;0,SUMIFS(T_SelfStock[Self_Qty],T_SelfStock[RM_Code],$A67,T_SelfStock[WeekIndex],38)+SUMIFS(T_TTAFStock[TTAF_Qty],T_TTAFStock[RM_Code],$A67,T_TTAFStock[WeekIndex],38),AL67+'Grid_Incoming'!AM67-'Grid_Requirement'!AM67))</f>
        <v/>
      </c>
      <c r="AN67">
        <f>IF(COUNTIFS(T_StockCount[RM_Code],$A67,T_StockCount[WeekIndex],39)&gt;0,SUMIFS(T_StockCount[CountedQty],T_StockCount[RM_Code],$A67,T_StockCount[WeekIndex],39),IF((COUNTIFS(T_SelfStock[RM_Code],$A67,T_SelfStock[WeekIndex],39)&gt;0)*(COUNTIFS(T_TTAFStock[RM_Code],$A67,T_TTAFStock[WeekIndex],39)&gt;0)&gt;0,SUMIFS(T_SelfStock[Self_Qty],T_SelfStock[RM_Code],$A67,T_SelfStock[WeekIndex],39)+SUMIFS(T_TTAFStock[TTAF_Qty],T_TTAFStock[RM_Code],$A67,T_TTAFStock[WeekIndex],39),AM67+'Grid_Incoming'!AN67-'Grid_Requirement'!AN67))</f>
        <v/>
      </c>
      <c r="AO67">
        <f>IF(COUNTIFS(T_StockCount[RM_Code],$A67,T_StockCount[WeekIndex],40)&gt;0,SUMIFS(T_StockCount[CountedQty],T_StockCount[RM_Code],$A67,T_StockCount[WeekIndex],40),IF((COUNTIFS(T_SelfStock[RM_Code],$A67,T_SelfStock[WeekIndex],40)&gt;0)*(COUNTIFS(T_TTAFStock[RM_Code],$A67,T_TTAFStock[WeekIndex],40)&gt;0)&gt;0,SUMIFS(T_SelfStock[Self_Qty],T_SelfStock[RM_Code],$A67,T_SelfStock[WeekIndex],40)+SUMIFS(T_TTAFStock[TTAF_Qty],T_TTAFStock[RM_Code],$A67,T_TTAFStock[WeekIndex],40),AN67+'Grid_Incoming'!AO67-'Grid_Requirement'!AO67))</f>
        <v/>
      </c>
      <c r="AP67">
        <f>IF(COUNTIFS(T_StockCount[RM_Code],$A67,T_StockCount[WeekIndex],41)&gt;0,SUMIFS(T_StockCount[CountedQty],T_StockCount[RM_Code],$A67,T_StockCount[WeekIndex],41),IF((COUNTIFS(T_SelfStock[RM_Code],$A67,T_SelfStock[WeekIndex],41)&gt;0)*(COUNTIFS(T_TTAFStock[RM_Code],$A67,T_TTAFStock[WeekIndex],41)&gt;0)&gt;0,SUMIFS(T_SelfStock[Self_Qty],T_SelfStock[RM_Code],$A67,T_SelfStock[WeekIndex],41)+SUMIFS(T_TTAFStock[TTAF_Qty],T_TTAFStock[RM_Code],$A67,T_TTAFStock[WeekIndex],41),AO67+'Grid_Incoming'!AP67-'Grid_Requirement'!AP67))</f>
        <v/>
      </c>
      <c r="AQ67">
        <f>IF(COUNTIFS(T_StockCount[RM_Code],$A67,T_StockCount[WeekIndex],42)&gt;0,SUMIFS(T_StockCount[CountedQty],T_StockCount[RM_Code],$A67,T_StockCount[WeekIndex],42),IF((COUNTIFS(T_SelfStock[RM_Code],$A67,T_SelfStock[WeekIndex],42)&gt;0)*(COUNTIFS(T_TTAFStock[RM_Code],$A67,T_TTAFStock[WeekIndex],42)&gt;0)&gt;0,SUMIFS(T_SelfStock[Self_Qty],T_SelfStock[RM_Code],$A67,T_SelfStock[WeekIndex],42)+SUMIFS(T_TTAFStock[TTAF_Qty],T_TTAFStock[RM_Code],$A67,T_TTAFStock[WeekIndex],42),AP67+'Grid_Incoming'!AQ67-'Grid_Requirement'!AQ67))</f>
        <v/>
      </c>
      <c r="AR67">
        <f>IF(COUNTIFS(T_StockCount[RM_Code],$A67,T_StockCount[WeekIndex],43)&gt;0,SUMIFS(T_StockCount[CountedQty],T_StockCount[RM_Code],$A67,T_StockCount[WeekIndex],43),IF((COUNTIFS(T_SelfStock[RM_Code],$A67,T_SelfStock[WeekIndex],43)&gt;0)*(COUNTIFS(T_TTAFStock[RM_Code],$A67,T_TTAFStock[WeekIndex],43)&gt;0)&gt;0,SUMIFS(T_SelfStock[Self_Qty],T_SelfStock[RM_Code],$A67,T_SelfStock[WeekIndex],43)+SUMIFS(T_TTAFStock[TTAF_Qty],T_TTAFStock[RM_Code],$A67,T_TTAFStock[WeekIndex],43),AQ67+'Grid_Incoming'!AR67-'Grid_Requirement'!AR67))</f>
        <v/>
      </c>
      <c r="AS67">
        <f>IF(COUNTIFS(T_StockCount[RM_Code],$A67,T_StockCount[WeekIndex],44)&gt;0,SUMIFS(T_StockCount[CountedQty],T_StockCount[RM_Code],$A67,T_StockCount[WeekIndex],44),IF((COUNTIFS(T_SelfStock[RM_Code],$A67,T_SelfStock[WeekIndex],44)&gt;0)*(COUNTIFS(T_TTAFStock[RM_Code],$A67,T_TTAFStock[WeekIndex],44)&gt;0)&gt;0,SUMIFS(T_SelfStock[Self_Qty],T_SelfStock[RM_Code],$A67,T_SelfStock[WeekIndex],44)+SUMIFS(T_TTAFStock[TTAF_Qty],T_TTAFStock[RM_Code],$A67,T_TTAFStock[WeekIndex],44),AR67+'Grid_Incoming'!AS67-'Grid_Requirement'!AS67))</f>
        <v/>
      </c>
      <c r="AT67">
        <f>IF(COUNTIFS(T_StockCount[RM_Code],$A67,T_StockCount[WeekIndex],45)&gt;0,SUMIFS(T_StockCount[CountedQty],T_StockCount[RM_Code],$A67,T_StockCount[WeekIndex],45),IF((COUNTIFS(T_SelfStock[RM_Code],$A67,T_SelfStock[WeekIndex],45)&gt;0)*(COUNTIFS(T_TTAFStock[RM_Code],$A67,T_TTAFStock[WeekIndex],45)&gt;0)&gt;0,SUMIFS(T_SelfStock[Self_Qty],T_SelfStock[RM_Code],$A67,T_SelfStock[WeekIndex],45)+SUMIFS(T_TTAFStock[TTAF_Qty],T_TTAFStock[RM_Code],$A67,T_TTAFStock[WeekIndex],45),AS67+'Grid_Incoming'!AT67-'Grid_Requirement'!AT67))</f>
        <v/>
      </c>
      <c r="AU67">
        <f>IF(COUNTIFS(T_StockCount[RM_Code],$A67,T_StockCount[WeekIndex],46)&gt;0,SUMIFS(T_StockCount[CountedQty],T_StockCount[RM_Code],$A67,T_StockCount[WeekIndex],46),IF((COUNTIFS(T_SelfStock[RM_Code],$A67,T_SelfStock[WeekIndex],46)&gt;0)*(COUNTIFS(T_TTAFStock[RM_Code],$A67,T_TTAFStock[WeekIndex],46)&gt;0)&gt;0,SUMIFS(T_SelfStock[Self_Qty],T_SelfStock[RM_Code],$A67,T_SelfStock[WeekIndex],46)+SUMIFS(T_TTAFStock[TTAF_Qty],T_TTAFStock[RM_Code],$A67,T_TTAFStock[WeekIndex],46),AT67+'Grid_Incoming'!AU67-'Grid_Requirement'!AU67))</f>
        <v/>
      </c>
      <c r="AV67">
        <f>IF(COUNTIFS(T_StockCount[RM_Code],$A67,T_StockCount[WeekIndex],47)&gt;0,SUMIFS(T_StockCount[CountedQty],T_StockCount[RM_Code],$A67,T_StockCount[WeekIndex],47),IF((COUNTIFS(T_SelfStock[RM_Code],$A67,T_SelfStock[WeekIndex],47)&gt;0)*(COUNTIFS(T_TTAFStock[RM_Code],$A67,T_TTAFStock[WeekIndex],47)&gt;0)&gt;0,SUMIFS(T_SelfStock[Self_Qty],T_SelfStock[RM_Code],$A67,T_SelfStock[WeekIndex],47)+SUMIFS(T_TTAFStock[TTAF_Qty],T_TTAFStock[RM_Code],$A67,T_TTAFStock[WeekIndex],47),AU67+'Grid_Incoming'!AV67-'Grid_Requirement'!AV67))</f>
        <v/>
      </c>
      <c r="AW67">
        <f>IF(COUNTIFS(T_StockCount[RM_Code],$A67,T_StockCount[WeekIndex],48)&gt;0,SUMIFS(T_StockCount[CountedQty],T_StockCount[RM_Code],$A67,T_StockCount[WeekIndex],48),IF((COUNTIFS(T_SelfStock[RM_Code],$A67,T_SelfStock[WeekIndex],48)&gt;0)*(COUNTIFS(T_TTAFStock[RM_Code],$A67,T_TTAFStock[WeekIndex],48)&gt;0)&gt;0,SUMIFS(T_SelfStock[Self_Qty],T_SelfStock[RM_Code],$A67,T_SelfStock[WeekIndex],48)+SUMIFS(T_TTAFStock[TTAF_Qty],T_TTAFStock[RM_Code],$A67,T_TTAFStock[WeekIndex],48),AV67+'Grid_Incoming'!AW67-'Grid_Requirement'!AW67))</f>
        <v/>
      </c>
      <c r="AX67">
        <f>IF(COUNTIFS(T_StockCount[RM_Code],$A67,T_StockCount[WeekIndex],49)&gt;0,SUMIFS(T_StockCount[CountedQty],T_StockCount[RM_Code],$A67,T_StockCount[WeekIndex],49),IF((COUNTIFS(T_SelfStock[RM_Code],$A67,T_SelfStock[WeekIndex],49)&gt;0)*(COUNTIFS(T_TTAFStock[RM_Code],$A67,T_TTAFStock[WeekIndex],49)&gt;0)&gt;0,SUMIFS(T_SelfStock[Self_Qty],T_SelfStock[RM_Code],$A67,T_SelfStock[WeekIndex],49)+SUMIFS(T_TTAFStock[TTAF_Qty],T_TTAFStock[RM_Code],$A67,T_TTAFStock[WeekIndex],49),AW67+'Grid_Incoming'!AX67-'Grid_Requirement'!AX67))</f>
        <v/>
      </c>
      <c r="AY67">
        <f>IF(COUNTIFS(T_StockCount[RM_Code],$A67,T_StockCount[WeekIndex],50)&gt;0,SUMIFS(T_StockCount[CountedQty],T_StockCount[RM_Code],$A67,T_StockCount[WeekIndex],50),IF((COUNTIFS(T_SelfStock[RM_Code],$A67,T_SelfStock[WeekIndex],50)&gt;0)*(COUNTIFS(T_TTAFStock[RM_Code],$A67,T_TTAFStock[WeekIndex],50)&gt;0)&gt;0,SUMIFS(T_SelfStock[Self_Qty],T_SelfStock[RM_Code],$A67,T_SelfStock[WeekIndex],50)+SUMIFS(T_TTAFStock[TTAF_Qty],T_TTAFStock[RM_Code],$A67,T_TTAFStock[WeekIndex],50),AX67+'Grid_Incoming'!AY67-'Grid_Requirement'!AY67))</f>
        <v/>
      </c>
      <c r="AZ67">
        <f>IF(COUNTIFS(T_StockCount[RM_Code],$A67,T_StockCount[WeekIndex],51)&gt;0,SUMIFS(T_StockCount[CountedQty],T_StockCount[RM_Code],$A67,T_StockCount[WeekIndex],51),IF((COUNTIFS(T_SelfStock[RM_Code],$A67,T_SelfStock[WeekIndex],51)&gt;0)*(COUNTIFS(T_TTAFStock[RM_Code],$A67,T_TTAFStock[WeekIndex],51)&gt;0)&gt;0,SUMIFS(T_SelfStock[Self_Qty],T_SelfStock[RM_Code],$A67,T_SelfStock[WeekIndex],51)+SUMIFS(T_TTAFStock[TTAF_Qty],T_TTAFStock[RM_Code],$A67,T_TTAFStock[WeekIndex],51),AY67+'Grid_Incoming'!AZ67-'Grid_Requirement'!AZ67))</f>
        <v/>
      </c>
      <c r="BA67">
        <f>IF(COUNTIFS(T_StockCount[RM_Code],$A67,T_StockCount[WeekIndex],52)&gt;0,SUMIFS(T_StockCount[CountedQty],T_StockCount[RM_Code],$A67,T_StockCount[WeekIndex],52),IF((COUNTIFS(T_SelfStock[RM_Code],$A67,T_SelfStock[WeekIndex],52)&gt;0)*(COUNTIFS(T_TTAFStock[RM_Code],$A67,T_TTAFStock[WeekIndex],52)&gt;0)&gt;0,SUMIFS(T_SelfStock[Self_Qty],T_SelfStock[RM_Code],$A67,T_SelfStock[WeekIndex],52)+SUMIFS(T_TTAFStock[TTAF_Qty],T_TTAFStock[RM_Code],$A67,T_TTAFStock[WeekIndex],52),AZ67+'Grid_Incoming'!BA67-'Grid_Requirement'!BA67))</f>
        <v/>
      </c>
      <c r="BB67">
        <f>IF(COUNTIFS(T_StockCount[RM_Code],$A67,T_StockCount[WeekIndex],53)&gt;0,SUMIFS(T_StockCount[CountedQty],T_StockCount[RM_Code],$A67,T_StockCount[WeekIndex],53),IF((COUNTIFS(T_SelfStock[RM_Code],$A67,T_SelfStock[WeekIndex],53)&gt;0)*(COUNTIFS(T_TTAFStock[RM_Code],$A67,T_TTAFStock[WeekIndex],53)&gt;0)&gt;0,SUMIFS(T_SelfStock[Self_Qty],T_SelfStock[RM_Code],$A67,T_SelfStock[WeekIndex],53)+SUMIFS(T_TTAFStock[TTAF_Qty],T_TTAFStock[RM_Code],$A67,T_TTAFStock[WeekIndex],53),BA67+'Grid_Incoming'!BB67-'Grid_Requirement'!BB67))</f>
        <v/>
      </c>
      <c r="BC67">
        <f>IF(COUNTIFS(T_StockCount[RM_Code],$A67,T_StockCount[WeekIndex],54)&gt;0,SUMIFS(T_StockCount[CountedQty],T_StockCount[RM_Code],$A67,T_StockCount[WeekIndex],54),IF((COUNTIFS(T_SelfStock[RM_Code],$A67,T_SelfStock[WeekIndex],54)&gt;0)*(COUNTIFS(T_TTAFStock[RM_Code],$A67,T_TTAFStock[WeekIndex],54)&gt;0)&gt;0,SUMIFS(T_SelfStock[Self_Qty],T_SelfStock[RM_Code],$A67,T_SelfStock[WeekIndex],54)+SUMIFS(T_TTAFStock[TTAF_Qty],T_TTAFStock[RM_Code],$A67,T_TTAFStock[WeekIndex],54),BB67+'Grid_Incoming'!BC67-'Grid_Requirement'!BC67))</f>
        <v/>
      </c>
      <c r="BD67">
        <f>IF(COUNTIFS(T_StockCount[RM_Code],$A67,T_StockCount[WeekIndex],55)&gt;0,SUMIFS(T_StockCount[CountedQty],T_StockCount[RM_Code],$A67,T_StockCount[WeekIndex],55),IF((COUNTIFS(T_SelfStock[RM_Code],$A67,T_SelfStock[WeekIndex],55)&gt;0)*(COUNTIFS(T_TTAFStock[RM_Code],$A67,T_TTAFStock[WeekIndex],55)&gt;0)&gt;0,SUMIFS(T_SelfStock[Self_Qty],T_SelfStock[RM_Code],$A67,T_SelfStock[WeekIndex],55)+SUMIFS(T_TTAFStock[TTAF_Qty],T_TTAFStock[RM_Code],$A67,T_TTAFStock[WeekIndex],55),BC67+'Grid_Incoming'!BD67-'Grid_Requirement'!BD67))</f>
        <v/>
      </c>
      <c r="BE67">
        <f>IF(COUNTIFS(T_StockCount[RM_Code],$A67,T_StockCount[WeekIndex],56)&gt;0,SUMIFS(T_StockCount[CountedQty],T_StockCount[RM_Code],$A67,T_StockCount[WeekIndex],56),IF((COUNTIFS(T_SelfStock[RM_Code],$A67,T_SelfStock[WeekIndex],56)&gt;0)*(COUNTIFS(T_TTAFStock[RM_Code],$A67,T_TTAFStock[WeekIndex],56)&gt;0)&gt;0,SUMIFS(T_SelfStock[Self_Qty],T_SelfStock[RM_Code],$A67,T_SelfStock[WeekIndex],56)+SUMIFS(T_TTAFStock[TTAF_Qty],T_TTAFStock[RM_Code],$A67,T_TTAFStock[WeekIndex],56),BD67+'Grid_Incoming'!BE67-'Grid_Requirement'!BE67))</f>
        <v/>
      </c>
      <c r="BF67">
        <f>IF(COUNTIFS(T_StockCount[RM_Code],$A67,T_StockCount[WeekIndex],57)&gt;0,SUMIFS(T_StockCount[CountedQty],T_StockCount[RM_Code],$A67,T_StockCount[WeekIndex],57),IF((COUNTIFS(T_SelfStock[RM_Code],$A67,T_SelfStock[WeekIndex],57)&gt;0)*(COUNTIFS(T_TTAFStock[RM_Code],$A67,T_TTAFStock[WeekIndex],57)&gt;0)&gt;0,SUMIFS(T_SelfStock[Self_Qty],T_SelfStock[RM_Code],$A67,T_SelfStock[WeekIndex],57)+SUMIFS(T_TTAFStock[TTAF_Qty],T_TTAFStock[RM_Code],$A67,T_TTAFStock[WeekIndex],57),BE67+'Grid_Incoming'!BF67-'Grid_Requirement'!BF67))</f>
        <v/>
      </c>
      <c r="BG67">
        <f>IF(COUNTIFS(T_StockCount[RM_Code],$A67,T_StockCount[WeekIndex],58)&gt;0,SUMIFS(T_StockCount[CountedQty],T_StockCount[RM_Code],$A67,T_StockCount[WeekIndex],58),IF((COUNTIFS(T_SelfStock[RM_Code],$A67,T_SelfStock[WeekIndex],58)&gt;0)*(COUNTIFS(T_TTAFStock[RM_Code],$A67,T_TTAFStock[WeekIndex],58)&gt;0)&gt;0,SUMIFS(T_SelfStock[Self_Qty],T_SelfStock[RM_Code],$A67,T_SelfStock[WeekIndex],58)+SUMIFS(T_TTAFStock[TTAF_Qty],T_TTAFStock[RM_Code],$A67,T_TTAFStock[WeekIndex],58),BF67+'Grid_Incoming'!BG67-'Grid_Requirement'!BG67))</f>
        <v/>
      </c>
      <c r="BH67">
        <f>IF(COUNTIFS(T_StockCount[RM_Code],$A67,T_StockCount[WeekIndex],59)&gt;0,SUMIFS(T_StockCount[CountedQty],T_StockCount[RM_Code],$A67,T_StockCount[WeekIndex],59),IF((COUNTIFS(T_SelfStock[RM_Code],$A67,T_SelfStock[WeekIndex],59)&gt;0)*(COUNTIFS(T_TTAFStock[RM_Code],$A67,T_TTAFStock[WeekIndex],59)&gt;0)&gt;0,SUMIFS(T_SelfStock[Self_Qty],T_SelfStock[RM_Code],$A67,T_SelfStock[WeekIndex],59)+SUMIFS(T_TTAFStock[TTAF_Qty],T_TTAFStock[RM_Code],$A67,T_TTAFStock[WeekIndex],59),BG67+'Grid_Incoming'!BH67-'Grid_Requirement'!BH67))</f>
        <v/>
      </c>
      <c r="BI67">
        <f>IF(COUNTIFS(T_StockCount[RM_Code],$A67,T_StockCount[WeekIndex],60)&gt;0,SUMIFS(T_StockCount[CountedQty],T_StockCount[RM_Code],$A67,T_StockCount[WeekIndex],60),IF((COUNTIFS(T_SelfStock[RM_Code],$A67,T_SelfStock[WeekIndex],60)&gt;0)*(COUNTIFS(T_TTAFStock[RM_Code],$A67,T_TTAFStock[WeekIndex],60)&gt;0)&gt;0,SUMIFS(T_SelfStock[Self_Qty],T_SelfStock[RM_Code],$A67,T_SelfStock[WeekIndex],60)+SUMIFS(T_TTAFStock[TTAF_Qty],T_TTAFStock[RM_Code],$A67,T_TTAFStock[WeekIndex],60),BH67+'Grid_Incoming'!BI67-'Grid_Requirement'!BI67))</f>
        <v/>
      </c>
      <c r="BJ67">
        <f>IF(COUNTIFS(T_StockCount[RM_Code],$A67,T_StockCount[WeekIndex],61)&gt;0,SUMIFS(T_StockCount[CountedQty],T_StockCount[RM_Code],$A67,T_StockCount[WeekIndex],61),IF((COUNTIFS(T_SelfStock[RM_Code],$A67,T_SelfStock[WeekIndex],61)&gt;0)*(COUNTIFS(T_TTAFStock[RM_Code],$A67,T_TTAFStock[WeekIndex],61)&gt;0)&gt;0,SUMIFS(T_SelfStock[Self_Qty],T_SelfStock[RM_Code],$A67,T_SelfStock[WeekIndex],61)+SUMIFS(T_TTAFStock[TTAF_Qty],T_TTAFStock[RM_Code],$A67,T_TTAFStock[WeekIndex],61),BI67+'Grid_Incoming'!BJ67-'Grid_Requirement'!BJ67))</f>
        <v/>
      </c>
      <c r="BK67">
        <f>IF(COUNTIFS(T_StockCount[RM_Code],$A67,T_StockCount[WeekIndex],62)&gt;0,SUMIFS(T_StockCount[CountedQty],T_StockCount[RM_Code],$A67,T_StockCount[WeekIndex],62),IF((COUNTIFS(T_SelfStock[RM_Code],$A67,T_SelfStock[WeekIndex],62)&gt;0)*(COUNTIFS(T_TTAFStock[RM_Code],$A67,T_TTAFStock[WeekIndex],62)&gt;0)&gt;0,SUMIFS(T_SelfStock[Self_Qty],T_SelfStock[RM_Code],$A67,T_SelfStock[WeekIndex],62)+SUMIFS(T_TTAFStock[TTAF_Qty],T_TTAFStock[RM_Code],$A67,T_TTAFStock[WeekIndex],62),BJ67+'Grid_Incoming'!BK67-'Grid_Requirement'!BK67))</f>
        <v/>
      </c>
      <c r="BL67">
        <f>IF(COUNTIFS(T_StockCount[RM_Code],$A67,T_StockCount[WeekIndex],63)&gt;0,SUMIFS(T_StockCount[CountedQty],T_StockCount[RM_Code],$A67,T_StockCount[WeekIndex],63),IF((COUNTIFS(T_SelfStock[RM_Code],$A67,T_SelfStock[WeekIndex],63)&gt;0)*(COUNTIFS(T_TTAFStock[RM_Code],$A67,T_TTAFStock[WeekIndex],63)&gt;0)&gt;0,SUMIFS(T_SelfStock[Self_Qty],T_SelfStock[RM_Code],$A67,T_SelfStock[WeekIndex],63)+SUMIFS(T_TTAFStock[TTAF_Qty],T_TTAFStock[RM_Code],$A67,T_TTAFStock[WeekIndex],63),BK67+'Grid_Incoming'!BL67-'Grid_Requirement'!BL67))</f>
        <v/>
      </c>
      <c r="BM67">
        <f>IF(COUNTIFS(T_StockCount[RM_Code],$A67,T_StockCount[WeekIndex],64)&gt;0,SUMIFS(T_StockCount[CountedQty],T_StockCount[RM_Code],$A67,T_StockCount[WeekIndex],64),IF((COUNTIFS(T_SelfStock[RM_Code],$A67,T_SelfStock[WeekIndex],64)&gt;0)*(COUNTIFS(T_TTAFStock[RM_Code],$A67,T_TTAFStock[WeekIndex],64)&gt;0)&gt;0,SUMIFS(T_SelfStock[Self_Qty],T_SelfStock[RM_Code],$A67,T_SelfStock[WeekIndex],64)+SUMIFS(T_TTAFStock[TTAF_Qty],T_TTAFStock[RM_Code],$A67,T_TTAFStock[WeekIndex],64),BL67+'Grid_Incoming'!BM67-'Grid_Requirement'!BM67))</f>
        <v/>
      </c>
      <c r="BN67">
        <f>IF(COUNTIFS(T_StockCount[RM_Code],$A67,T_StockCount[WeekIndex],65)&gt;0,SUMIFS(T_StockCount[CountedQty],T_StockCount[RM_Code],$A67,T_StockCount[WeekIndex],65),IF((COUNTIFS(T_SelfStock[RM_Code],$A67,T_SelfStock[WeekIndex],65)&gt;0)*(COUNTIFS(T_TTAFStock[RM_Code],$A67,T_TTAFStock[WeekIndex],65)&gt;0)&gt;0,SUMIFS(T_SelfStock[Self_Qty],T_SelfStock[RM_Code],$A67,T_SelfStock[WeekIndex],65)+SUMIFS(T_TTAFStock[TTAF_Qty],T_TTAFStock[RM_Code],$A67,T_TTAFStock[WeekIndex],65),BM67+'Grid_Incoming'!BN67-'Grid_Requirement'!BN67))</f>
        <v/>
      </c>
      <c r="BO67">
        <f>IF(COUNTIFS(T_StockCount[RM_Code],$A67,T_StockCount[WeekIndex],66)&gt;0,SUMIFS(T_StockCount[CountedQty],T_StockCount[RM_Code],$A67,T_StockCount[WeekIndex],66),IF((COUNTIFS(T_SelfStock[RM_Code],$A67,T_SelfStock[WeekIndex],66)&gt;0)*(COUNTIFS(T_TTAFStock[RM_Code],$A67,T_TTAFStock[WeekIndex],66)&gt;0)&gt;0,SUMIFS(T_SelfStock[Self_Qty],T_SelfStock[RM_Code],$A67,T_SelfStock[WeekIndex],66)+SUMIFS(T_TTAFStock[TTAF_Qty],T_TTAFStock[RM_Code],$A67,T_TTAFStock[WeekIndex],66),BN67+'Grid_Incoming'!BO67-'Grid_Requirement'!BO67))</f>
        <v/>
      </c>
      <c r="BP67">
        <f>IF(COUNTIFS(T_StockCount[RM_Code],$A67,T_StockCount[WeekIndex],67)&gt;0,SUMIFS(T_StockCount[CountedQty],T_StockCount[RM_Code],$A67,T_StockCount[WeekIndex],67),IF((COUNTIFS(T_SelfStock[RM_Code],$A67,T_SelfStock[WeekIndex],67)&gt;0)*(COUNTIFS(T_TTAFStock[RM_Code],$A67,T_TTAFStock[WeekIndex],67)&gt;0)&gt;0,SUMIFS(T_SelfStock[Self_Qty],T_SelfStock[RM_Code],$A67,T_SelfStock[WeekIndex],67)+SUMIFS(T_TTAFStock[TTAF_Qty],T_TTAFStock[RM_Code],$A67,T_TTAFStock[WeekIndex],67),BO67+'Grid_Incoming'!BP67-'Grid_Requirement'!BP67))</f>
        <v/>
      </c>
      <c r="BQ67">
        <f>IF(COUNTIFS(T_StockCount[RM_Code],$A67,T_StockCount[WeekIndex],68)&gt;0,SUMIFS(T_StockCount[CountedQty],T_StockCount[RM_Code],$A67,T_StockCount[WeekIndex],68),IF((COUNTIFS(T_SelfStock[RM_Code],$A67,T_SelfStock[WeekIndex],68)&gt;0)*(COUNTIFS(T_TTAFStock[RM_Code],$A67,T_TTAFStock[WeekIndex],68)&gt;0)&gt;0,SUMIFS(T_SelfStock[Self_Qty],T_SelfStock[RM_Code],$A67,T_SelfStock[WeekIndex],68)+SUMIFS(T_TTAFStock[TTAF_Qty],T_TTAFStock[RM_Code],$A67,T_TTAFStock[WeekIndex],68),BP67+'Grid_Incoming'!BQ67-'Grid_Requirement'!BQ67))</f>
        <v/>
      </c>
      <c r="BR67">
        <f>IF(COUNTIFS(T_StockCount[RM_Code],$A67,T_StockCount[WeekIndex],69)&gt;0,SUMIFS(T_StockCount[CountedQty],T_StockCount[RM_Code],$A67,T_StockCount[WeekIndex],69),IF((COUNTIFS(T_SelfStock[RM_Code],$A67,T_SelfStock[WeekIndex],69)&gt;0)*(COUNTIFS(T_TTAFStock[RM_Code],$A67,T_TTAFStock[WeekIndex],69)&gt;0)&gt;0,SUMIFS(T_SelfStock[Self_Qty],T_SelfStock[RM_Code],$A67,T_SelfStock[WeekIndex],69)+SUMIFS(T_TTAFStock[TTAF_Qty],T_TTAFStock[RM_Code],$A67,T_TTAFStock[WeekIndex],69),BQ67+'Grid_Incoming'!BR67-'Grid_Requirement'!BR67))</f>
        <v/>
      </c>
      <c r="BS67">
        <f>IF(COUNTIFS(T_StockCount[RM_Code],$A67,T_StockCount[WeekIndex],70)&gt;0,SUMIFS(T_StockCount[CountedQty],T_StockCount[RM_Code],$A67,T_StockCount[WeekIndex],70),IF((COUNTIFS(T_SelfStock[RM_Code],$A67,T_SelfStock[WeekIndex],70)&gt;0)*(COUNTIFS(T_TTAFStock[RM_Code],$A67,T_TTAFStock[WeekIndex],70)&gt;0)&gt;0,SUMIFS(T_SelfStock[Self_Qty],T_SelfStock[RM_Code],$A67,T_SelfStock[WeekIndex],70)+SUMIFS(T_TTAFStock[TTAF_Qty],T_TTAFStock[RM_Code],$A67,T_TTAFStock[WeekIndex],70),BR67+'Grid_Incoming'!BS67-'Grid_Requirement'!BS67))</f>
        <v/>
      </c>
      <c r="BT67">
        <f>IF(COUNTIFS(T_StockCount[RM_Code],$A67,T_StockCount[WeekIndex],71)&gt;0,SUMIFS(T_StockCount[CountedQty],T_StockCount[RM_Code],$A67,T_StockCount[WeekIndex],71),IF((COUNTIFS(T_SelfStock[RM_Code],$A67,T_SelfStock[WeekIndex],71)&gt;0)*(COUNTIFS(T_TTAFStock[RM_Code],$A67,T_TTAFStock[WeekIndex],71)&gt;0)&gt;0,SUMIFS(T_SelfStock[Self_Qty],T_SelfStock[RM_Code],$A67,T_SelfStock[WeekIndex],71)+SUMIFS(T_TTAFStock[TTAF_Qty],T_TTAFStock[RM_Code],$A67,T_TTAFStock[WeekIndex],71),BS67+'Grid_Incoming'!BT67-'Grid_Requirement'!BT67))</f>
        <v/>
      </c>
      <c r="BU67">
        <f>IF(COUNTIFS(T_StockCount[RM_Code],$A67,T_StockCount[WeekIndex],72)&gt;0,SUMIFS(T_StockCount[CountedQty],T_StockCount[RM_Code],$A67,T_StockCount[WeekIndex],72),IF((COUNTIFS(T_SelfStock[RM_Code],$A67,T_SelfStock[WeekIndex],72)&gt;0)*(COUNTIFS(T_TTAFStock[RM_Code],$A67,T_TTAFStock[WeekIndex],72)&gt;0)&gt;0,SUMIFS(T_SelfStock[Self_Qty],T_SelfStock[RM_Code],$A67,T_SelfStock[WeekIndex],72)+SUMIFS(T_TTAFStock[TTAF_Qty],T_TTAFStock[RM_Code],$A67,T_TTAFStock[WeekIndex],72),BT67+'Grid_Incoming'!BU67-'Grid_Requirement'!BU67))</f>
        <v/>
      </c>
      <c r="BV67">
        <f>IF(COUNTIFS(T_StockCount[RM_Code],$A67,T_StockCount[WeekIndex],73)&gt;0,SUMIFS(T_StockCount[CountedQty],T_StockCount[RM_Code],$A67,T_StockCount[WeekIndex],73),IF((COUNTIFS(T_SelfStock[RM_Code],$A67,T_SelfStock[WeekIndex],73)&gt;0)*(COUNTIFS(T_TTAFStock[RM_Code],$A67,T_TTAFStock[WeekIndex],73)&gt;0)&gt;0,SUMIFS(T_SelfStock[Self_Qty],T_SelfStock[RM_Code],$A67,T_SelfStock[WeekIndex],73)+SUMIFS(T_TTAFStock[TTAF_Qty],T_TTAFStock[RM_Code],$A67,T_TTAFStock[WeekIndex],73),BU67+'Grid_Incoming'!BV67-'Grid_Requirement'!BV67))</f>
        <v/>
      </c>
      <c r="BW67">
        <f>IF(COUNTIFS(T_StockCount[RM_Code],$A67,T_StockCount[WeekIndex],74)&gt;0,SUMIFS(T_StockCount[CountedQty],T_StockCount[RM_Code],$A67,T_StockCount[WeekIndex],74),IF((COUNTIFS(T_SelfStock[RM_Code],$A67,T_SelfStock[WeekIndex],74)&gt;0)*(COUNTIFS(T_TTAFStock[RM_Code],$A67,T_TTAFStock[WeekIndex],74)&gt;0)&gt;0,SUMIFS(T_SelfStock[Self_Qty],T_SelfStock[RM_Code],$A67,T_SelfStock[WeekIndex],74)+SUMIFS(T_TTAFStock[TTAF_Qty],T_TTAFStock[RM_Code],$A67,T_TTAFStock[WeekIndex],74),BV67+'Grid_Incoming'!BW67-'Grid_Requirement'!BW67))</f>
        <v/>
      </c>
      <c r="BX67">
        <f>IF(COUNTIFS(T_StockCount[RM_Code],$A67,T_StockCount[WeekIndex],75)&gt;0,SUMIFS(T_StockCount[CountedQty],T_StockCount[RM_Code],$A67,T_StockCount[WeekIndex],75),IF((COUNTIFS(T_SelfStock[RM_Code],$A67,T_SelfStock[WeekIndex],75)&gt;0)*(COUNTIFS(T_TTAFStock[RM_Code],$A67,T_TTAFStock[WeekIndex],75)&gt;0)&gt;0,SUMIFS(T_SelfStock[Self_Qty],T_SelfStock[RM_Code],$A67,T_SelfStock[WeekIndex],75)+SUMIFS(T_TTAFStock[TTAF_Qty],T_TTAFStock[RM_Code],$A67,T_TTAFStock[WeekIndex],75),BW67+'Grid_Incoming'!BX67-'Grid_Requirement'!BX67))</f>
        <v/>
      </c>
      <c r="BY67">
        <f>IF(COUNTIFS(T_StockCount[RM_Code],$A67,T_StockCount[WeekIndex],76)&gt;0,SUMIFS(T_StockCount[CountedQty],T_StockCount[RM_Code],$A67,T_StockCount[WeekIndex],76),IF((COUNTIFS(T_SelfStock[RM_Code],$A67,T_SelfStock[WeekIndex],76)&gt;0)*(COUNTIFS(T_TTAFStock[RM_Code],$A67,T_TTAFStock[WeekIndex],76)&gt;0)&gt;0,SUMIFS(T_SelfStock[Self_Qty],T_SelfStock[RM_Code],$A67,T_SelfStock[WeekIndex],76)+SUMIFS(T_TTAFStock[TTAF_Qty],T_TTAFStock[RM_Code],$A67,T_TTAFStock[WeekIndex],76),BX67+'Grid_Incoming'!BY67-'Grid_Requirement'!BY67))</f>
        <v/>
      </c>
      <c r="BZ67">
        <f>IF(COUNTIFS(T_StockCount[RM_Code],$A67,T_StockCount[WeekIndex],77)&gt;0,SUMIFS(T_StockCount[CountedQty],T_StockCount[RM_Code],$A67,T_StockCount[WeekIndex],77),IF((COUNTIFS(T_SelfStock[RM_Code],$A67,T_SelfStock[WeekIndex],77)&gt;0)*(COUNTIFS(T_TTAFStock[RM_Code],$A67,T_TTAFStock[WeekIndex],77)&gt;0)&gt;0,SUMIFS(T_SelfStock[Self_Qty],T_SelfStock[RM_Code],$A67,T_SelfStock[WeekIndex],77)+SUMIFS(T_TTAFStock[TTAF_Qty],T_TTAFStock[RM_Code],$A67,T_TTAFStock[WeekIndex],77),BY67+'Grid_Incoming'!BZ67-'Grid_Requirement'!BZ67))</f>
        <v/>
      </c>
      <c r="CA67">
        <f>IF(COUNTIFS(T_StockCount[RM_Code],$A67,T_StockCount[WeekIndex],78)&gt;0,SUMIFS(T_StockCount[CountedQty],T_StockCount[RM_Code],$A67,T_StockCount[WeekIndex],78),IF((COUNTIFS(T_SelfStock[RM_Code],$A67,T_SelfStock[WeekIndex],78)&gt;0)*(COUNTIFS(T_TTAFStock[RM_Code],$A67,T_TTAFStock[WeekIndex],78)&gt;0)&gt;0,SUMIFS(T_SelfStock[Self_Qty],T_SelfStock[RM_Code],$A67,T_SelfStock[WeekIndex],78)+SUMIFS(T_TTAFStock[TTAF_Qty],T_TTAFStock[RM_Code],$A67,T_TTAFStock[WeekIndex],78),BZ67+'Grid_Incoming'!CA67-'Grid_Requirement'!CA67))</f>
        <v/>
      </c>
      <c r="CB67">
        <f>IF(COUNTIFS(T_StockCount[RM_Code],$A67,T_StockCount[WeekIndex],79)&gt;0,SUMIFS(T_StockCount[CountedQty],T_StockCount[RM_Code],$A67,T_StockCount[WeekIndex],79),IF((COUNTIFS(T_SelfStock[RM_Code],$A67,T_SelfStock[WeekIndex],79)&gt;0)*(COUNTIFS(T_TTAFStock[RM_Code],$A67,T_TTAFStock[WeekIndex],79)&gt;0)&gt;0,SUMIFS(T_SelfStock[Self_Qty],T_SelfStock[RM_Code],$A67,T_SelfStock[WeekIndex],79)+SUMIFS(T_TTAFStock[TTAF_Qty],T_TTAFStock[RM_Code],$A67,T_TTAFStock[WeekIndex],79),CA67+'Grid_Incoming'!CB67-'Grid_Requirement'!CB67))</f>
        <v/>
      </c>
      <c r="CC67">
        <f>IF(COUNTIFS(T_StockCount[RM_Code],$A67,T_StockCount[WeekIndex],80)&gt;0,SUMIFS(T_StockCount[CountedQty],T_StockCount[RM_Code],$A67,T_StockCount[WeekIndex],80),IF((COUNTIFS(T_SelfStock[RM_Code],$A67,T_SelfStock[WeekIndex],80)&gt;0)*(COUNTIFS(T_TTAFStock[RM_Code],$A67,T_TTAFStock[WeekIndex],80)&gt;0)&gt;0,SUMIFS(T_SelfStock[Self_Qty],T_SelfStock[RM_Code],$A67,T_SelfStock[WeekIndex],80)+SUMIFS(T_TTAFStock[TTAF_Qty],T_TTAFStock[RM_Code],$A67,T_TTAFStock[WeekIndex],80),CB67+'Grid_Incoming'!CC67-'Grid_Requirement'!CC67))</f>
        <v/>
      </c>
      <c r="CD67">
        <f>IF(COUNTIFS(T_StockCount[RM_Code],$A67,T_StockCount[WeekIndex],81)&gt;0,SUMIFS(T_StockCount[CountedQty],T_StockCount[RM_Code],$A67,T_StockCount[WeekIndex],81),IF((COUNTIFS(T_SelfStock[RM_Code],$A67,T_SelfStock[WeekIndex],81)&gt;0)*(COUNTIFS(T_TTAFStock[RM_Code],$A67,T_TTAFStock[WeekIndex],81)&gt;0)&gt;0,SUMIFS(T_SelfStock[Self_Qty],T_SelfStock[RM_Code],$A67,T_SelfStock[WeekIndex],81)+SUMIFS(T_TTAFStock[TTAF_Qty],T_TTAFStock[RM_Code],$A67,T_TTAFStock[WeekIndex],81),CC67+'Grid_Incoming'!CD67-'Grid_Requirement'!CD67))</f>
        <v/>
      </c>
      <c r="CE67">
        <f>IF(COUNTIFS(T_StockCount[RM_Code],$A67,T_StockCount[WeekIndex],82)&gt;0,SUMIFS(T_StockCount[CountedQty],T_StockCount[RM_Code],$A67,T_StockCount[WeekIndex],82),IF((COUNTIFS(T_SelfStock[RM_Code],$A67,T_SelfStock[WeekIndex],82)&gt;0)*(COUNTIFS(T_TTAFStock[RM_Code],$A67,T_TTAFStock[WeekIndex],82)&gt;0)&gt;0,SUMIFS(T_SelfStock[Self_Qty],T_SelfStock[RM_Code],$A67,T_SelfStock[WeekIndex],82)+SUMIFS(T_TTAFStock[TTAF_Qty],T_TTAFStock[RM_Code],$A67,T_TTAFStock[WeekIndex],82),CD67+'Grid_Incoming'!CE67-'Grid_Requirement'!CE67))</f>
        <v/>
      </c>
      <c r="CF67">
        <f>IF(COUNTIFS(T_StockCount[RM_Code],$A67,T_StockCount[WeekIndex],83)&gt;0,SUMIFS(T_StockCount[CountedQty],T_StockCount[RM_Code],$A67,T_StockCount[WeekIndex],83),IF((COUNTIFS(T_SelfStock[RM_Code],$A67,T_SelfStock[WeekIndex],83)&gt;0)*(COUNTIFS(T_TTAFStock[RM_Code],$A67,T_TTAFStock[WeekIndex],83)&gt;0)&gt;0,SUMIFS(T_SelfStock[Self_Qty],T_SelfStock[RM_Code],$A67,T_SelfStock[WeekIndex],83)+SUMIFS(T_TTAFStock[TTAF_Qty],T_TTAFStock[RM_Code],$A67,T_TTAFStock[WeekIndex],83),CE67+'Grid_Incoming'!CF67-'Grid_Requirement'!CF67))</f>
        <v/>
      </c>
      <c r="CG67">
        <f>IF(COUNTIFS(T_StockCount[RM_Code],$A67,T_StockCount[WeekIndex],84)&gt;0,SUMIFS(T_StockCount[CountedQty],T_StockCount[RM_Code],$A67,T_StockCount[WeekIndex],84),IF((COUNTIFS(T_SelfStock[RM_Code],$A67,T_SelfStock[WeekIndex],84)&gt;0)*(COUNTIFS(T_TTAFStock[RM_Code],$A67,T_TTAFStock[WeekIndex],84)&gt;0)&gt;0,SUMIFS(T_SelfStock[Self_Qty],T_SelfStock[RM_Code],$A67,T_SelfStock[WeekIndex],84)+SUMIFS(T_TTAFStock[TTAF_Qty],T_TTAFStock[RM_Code],$A67,T_TTAFStock[WeekIndex],84),CF67+'Grid_Incoming'!CG67-'Grid_Requirement'!CG67))</f>
        <v/>
      </c>
      <c r="CH67">
        <f>IF(COUNTIFS(T_StockCount[RM_Code],$A67,T_StockCount[WeekIndex],85)&gt;0,SUMIFS(T_StockCount[CountedQty],T_StockCount[RM_Code],$A67,T_StockCount[WeekIndex],85),IF((COUNTIFS(T_SelfStock[RM_Code],$A67,T_SelfStock[WeekIndex],85)&gt;0)*(COUNTIFS(T_TTAFStock[RM_Code],$A67,T_TTAFStock[WeekIndex],85)&gt;0)&gt;0,SUMIFS(T_SelfStock[Self_Qty],T_SelfStock[RM_Code],$A67,T_SelfStock[WeekIndex],85)+SUMIFS(T_TTAFStock[TTAF_Qty],T_TTAFStock[RM_Code],$A67,T_TTAFStock[WeekIndex],85),CG67+'Grid_Incoming'!CH67-'Grid_Requirement'!CH67))</f>
        <v/>
      </c>
      <c r="CI67">
        <f>IF(COUNTIFS(T_StockCount[RM_Code],$A67,T_StockCount[WeekIndex],86)&gt;0,SUMIFS(T_StockCount[CountedQty],T_StockCount[RM_Code],$A67,T_StockCount[WeekIndex],86),IF((COUNTIFS(T_SelfStock[RM_Code],$A67,T_SelfStock[WeekIndex],86)&gt;0)*(COUNTIFS(T_TTAFStock[RM_Code],$A67,T_TTAFStock[WeekIndex],86)&gt;0)&gt;0,SUMIFS(T_SelfStock[Self_Qty],T_SelfStock[RM_Code],$A67,T_SelfStock[WeekIndex],86)+SUMIFS(T_TTAFStock[TTAF_Qty],T_TTAFStock[RM_Code],$A67,T_TTAFStock[WeekIndex],86),CH67+'Grid_Incoming'!CI67-'Grid_Requirement'!CI67))</f>
        <v/>
      </c>
      <c r="CJ67">
        <f>IF(COUNTIFS(T_StockCount[RM_Code],$A67,T_StockCount[WeekIndex],87)&gt;0,SUMIFS(T_StockCount[CountedQty],T_StockCount[RM_Code],$A67,T_StockCount[WeekIndex],87),IF((COUNTIFS(T_SelfStock[RM_Code],$A67,T_SelfStock[WeekIndex],87)&gt;0)*(COUNTIFS(T_TTAFStock[RM_Code],$A67,T_TTAFStock[WeekIndex],87)&gt;0)&gt;0,SUMIFS(T_SelfStock[Self_Qty],T_SelfStock[RM_Code],$A67,T_SelfStock[WeekIndex],87)+SUMIFS(T_TTAFStock[TTAF_Qty],T_TTAFStock[RM_Code],$A67,T_TTAFStock[WeekIndex],87),CI67+'Grid_Incoming'!CJ67-'Grid_Requirement'!CJ67))</f>
        <v/>
      </c>
      <c r="CK67">
        <f>IF(COUNTIFS(T_StockCount[RM_Code],$A67,T_StockCount[WeekIndex],88)&gt;0,SUMIFS(T_StockCount[CountedQty],T_StockCount[RM_Code],$A67,T_StockCount[WeekIndex],88),IF((COUNTIFS(T_SelfStock[RM_Code],$A67,T_SelfStock[WeekIndex],88)&gt;0)*(COUNTIFS(T_TTAFStock[RM_Code],$A67,T_TTAFStock[WeekIndex],88)&gt;0)&gt;0,SUMIFS(T_SelfStock[Self_Qty],T_SelfStock[RM_Code],$A67,T_SelfStock[WeekIndex],88)+SUMIFS(T_TTAFStock[TTAF_Qty],T_TTAFStock[RM_Code],$A67,T_TTAFStock[WeekIndex],88),CJ67+'Grid_Incoming'!CK67-'Grid_Requirement'!CK67))</f>
        <v/>
      </c>
      <c r="CL67">
        <f>IF(COUNTIFS(T_StockCount[RM_Code],$A67,T_StockCount[WeekIndex],89)&gt;0,SUMIFS(T_StockCount[CountedQty],T_StockCount[RM_Code],$A67,T_StockCount[WeekIndex],89),IF((COUNTIFS(T_SelfStock[RM_Code],$A67,T_SelfStock[WeekIndex],89)&gt;0)*(COUNTIFS(T_TTAFStock[RM_Code],$A67,T_TTAFStock[WeekIndex],89)&gt;0)&gt;0,SUMIFS(T_SelfStock[Self_Qty],T_SelfStock[RM_Code],$A67,T_SelfStock[WeekIndex],89)+SUMIFS(T_TTAFStock[TTAF_Qty],T_TTAFStock[RM_Code],$A67,T_TTAFStock[WeekIndex],89),CK67+'Grid_Incoming'!CL67-'Grid_Requirement'!CL67))</f>
        <v/>
      </c>
      <c r="CM67">
        <f>IF(COUNTIFS(T_StockCount[RM_Code],$A67,T_StockCount[WeekIndex],90)&gt;0,SUMIFS(T_StockCount[CountedQty],T_StockCount[RM_Code],$A67,T_StockCount[WeekIndex],90),IF((COUNTIFS(T_SelfStock[RM_Code],$A67,T_SelfStock[WeekIndex],90)&gt;0)*(COUNTIFS(T_TTAFStock[RM_Code],$A67,T_TTAFStock[WeekIndex],90)&gt;0)&gt;0,SUMIFS(T_SelfStock[Self_Qty],T_SelfStock[RM_Code],$A67,T_SelfStock[WeekIndex],90)+SUMIFS(T_TTAFStock[TTAF_Qty],T_TTAFStock[RM_Code],$A67,T_TTAFStock[WeekIndex],90),CL67+'Grid_Incoming'!CM67-'Grid_Requirement'!CM67))</f>
        <v/>
      </c>
      <c r="CN67">
        <f>IF(COUNTIFS(T_StockCount[RM_Code],$A67,T_StockCount[WeekIndex],91)&gt;0,SUMIFS(T_StockCount[CountedQty],T_StockCount[RM_Code],$A67,T_StockCount[WeekIndex],91),IF((COUNTIFS(T_SelfStock[RM_Code],$A67,T_SelfStock[WeekIndex],91)&gt;0)*(COUNTIFS(T_TTAFStock[RM_Code],$A67,T_TTAFStock[WeekIndex],91)&gt;0)&gt;0,SUMIFS(T_SelfStock[Self_Qty],T_SelfStock[RM_Code],$A67,T_SelfStock[WeekIndex],91)+SUMIFS(T_TTAFStock[TTAF_Qty],T_TTAFStock[RM_Code],$A67,T_TTAFStock[WeekIndex],91),CM67+'Grid_Incoming'!CN67-'Grid_Requirement'!CN67))</f>
        <v/>
      </c>
      <c r="CO67">
        <f>IF(COUNTIFS(T_StockCount[RM_Code],$A67,T_StockCount[WeekIndex],92)&gt;0,SUMIFS(T_StockCount[CountedQty],T_StockCount[RM_Code],$A67,T_StockCount[WeekIndex],92),IF((COUNTIFS(T_SelfStock[RM_Code],$A67,T_SelfStock[WeekIndex],92)&gt;0)*(COUNTIFS(T_TTAFStock[RM_Code],$A67,T_TTAFStock[WeekIndex],92)&gt;0)&gt;0,SUMIFS(T_SelfStock[Self_Qty],T_SelfStock[RM_Code],$A67,T_SelfStock[WeekIndex],92)+SUMIFS(T_TTAFStock[TTAF_Qty],T_TTAFStock[RM_Code],$A67,T_TTAFStock[WeekIndex],92),CN67+'Grid_Incoming'!CO67-'Grid_Requirement'!CO67))</f>
        <v/>
      </c>
      <c r="CP67">
        <f>IF(COUNTIFS(T_StockCount[RM_Code],$A67,T_StockCount[WeekIndex],93)&gt;0,SUMIFS(T_StockCount[CountedQty],T_StockCount[RM_Code],$A67,T_StockCount[WeekIndex],93),IF((COUNTIFS(T_SelfStock[RM_Code],$A67,T_SelfStock[WeekIndex],93)&gt;0)*(COUNTIFS(T_TTAFStock[RM_Code],$A67,T_TTAFStock[WeekIndex],93)&gt;0)&gt;0,SUMIFS(T_SelfStock[Self_Qty],T_SelfStock[RM_Code],$A67,T_SelfStock[WeekIndex],93)+SUMIFS(T_TTAFStock[TTAF_Qty],T_TTAFStock[RM_Code],$A67,T_TTAFStock[WeekIndex],93),CO67+'Grid_Incoming'!CP67-'Grid_Requirement'!CP67))</f>
        <v/>
      </c>
      <c r="CQ67">
        <f>IF(COUNTIFS(T_StockCount[RM_Code],$A67,T_StockCount[WeekIndex],94)&gt;0,SUMIFS(T_StockCount[CountedQty],T_StockCount[RM_Code],$A67,T_StockCount[WeekIndex],94),IF((COUNTIFS(T_SelfStock[RM_Code],$A67,T_SelfStock[WeekIndex],94)&gt;0)*(COUNTIFS(T_TTAFStock[RM_Code],$A67,T_TTAFStock[WeekIndex],94)&gt;0)&gt;0,SUMIFS(T_SelfStock[Self_Qty],T_SelfStock[RM_Code],$A67,T_SelfStock[WeekIndex],94)+SUMIFS(T_TTAFStock[TTAF_Qty],T_TTAFStock[RM_Code],$A67,T_TTAFStock[WeekIndex],94),CP67+'Grid_Incoming'!CQ67-'Grid_Requirement'!CQ67))</f>
        <v/>
      </c>
      <c r="CR67">
        <f>IF(COUNTIFS(T_StockCount[RM_Code],$A67,T_StockCount[WeekIndex],95)&gt;0,SUMIFS(T_StockCount[CountedQty],T_StockCount[RM_Code],$A67,T_StockCount[WeekIndex],95),IF((COUNTIFS(T_SelfStock[RM_Code],$A67,T_SelfStock[WeekIndex],95)&gt;0)*(COUNTIFS(T_TTAFStock[RM_Code],$A67,T_TTAFStock[WeekIndex],95)&gt;0)&gt;0,SUMIFS(T_SelfStock[Self_Qty],T_SelfStock[RM_Code],$A67,T_SelfStock[WeekIndex],95)+SUMIFS(T_TTAFStock[TTAF_Qty],T_TTAFStock[RM_Code],$A67,T_TTAFStock[WeekIndex],95),CQ67+'Grid_Incoming'!CR67-'Grid_Requirement'!CR67))</f>
        <v/>
      </c>
      <c r="CS67">
        <f>IF(COUNTIFS(T_StockCount[RM_Code],$A67,T_StockCount[WeekIndex],96)&gt;0,SUMIFS(T_StockCount[CountedQty],T_StockCount[RM_Code],$A67,T_StockCount[WeekIndex],96),IF((COUNTIFS(T_SelfStock[RM_Code],$A67,T_SelfStock[WeekIndex],96)&gt;0)*(COUNTIFS(T_TTAFStock[RM_Code],$A67,T_TTAFStock[WeekIndex],96)&gt;0)&gt;0,SUMIFS(T_SelfStock[Self_Qty],T_SelfStock[RM_Code],$A67,T_SelfStock[WeekIndex],96)+SUMIFS(T_TTAFStock[TTAF_Qty],T_TTAFStock[RM_Code],$A67,T_TTAFStock[WeekIndex],96),CR67+'Grid_Incoming'!CS67-'Grid_Requirement'!CS67))</f>
        <v/>
      </c>
      <c r="CT67">
        <f>IF(COUNTIFS(T_StockCount[RM_Code],$A67,T_StockCount[WeekIndex],97)&gt;0,SUMIFS(T_StockCount[CountedQty],T_StockCount[RM_Code],$A67,T_StockCount[WeekIndex],97),IF((COUNTIFS(T_SelfStock[RM_Code],$A67,T_SelfStock[WeekIndex],97)&gt;0)*(COUNTIFS(T_TTAFStock[RM_Code],$A67,T_TTAFStock[WeekIndex],97)&gt;0)&gt;0,SUMIFS(T_SelfStock[Self_Qty],T_SelfStock[RM_Code],$A67,T_SelfStock[WeekIndex],97)+SUMIFS(T_TTAFStock[TTAF_Qty],T_TTAFStock[RM_Code],$A67,T_TTAFStock[WeekIndex],97),CS67+'Grid_Incoming'!CT67-'Grid_Requirement'!CT67))</f>
        <v/>
      </c>
      <c r="CU67">
        <f>IF(COUNTIFS(T_StockCount[RM_Code],$A67,T_StockCount[WeekIndex],98)&gt;0,SUMIFS(T_StockCount[CountedQty],T_StockCount[RM_Code],$A67,T_StockCount[WeekIndex],98),IF((COUNTIFS(T_SelfStock[RM_Code],$A67,T_SelfStock[WeekIndex],98)&gt;0)*(COUNTIFS(T_TTAFStock[RM_Code],$A67,T_TTAFStock[WeekIndex],98)&gt;0)&gt;0,SUMIFS(T_SelfStock[Self_Qty],T_SelfStock[RM_Code],$A67,T_SelfStock[WeekIndex],98)+SUMIFS(T_TTAFStock[TTAF_Qty],T_TTAFStock[RM_Code],$A67,T_TTAFStock[WeekIndex],98),CT67+'Grid_Incoming'!CU67-'Grid_Requirement'!CU67))</f>
        <v/>
      </c>
      <c r="CV67">
        <f>IF(COUNTIFS(T_StockCount[RM_Code],$A67,T_StockCount[WeekIndex],99)&gt;0,SUMIFS(T_StockCount[CountedQty],T_StockCount[RM_Code],$A67,T_StockCount[WeekIndex],99),IF((COUNTIFS(T_SelfStock[RM_Code],$A67,T_SelfStock[WeekIndex],99)&gt;0)*(COUNTIFS(T_TTAFStock[RM_Code],$A67,T_TTAFStock[WeekIndex],99)&gt;0)&gt;0,SUMIFS(T_SelfStock[Self_Qty],T_SelfStock[RM_Code],$A67,T_SelfStock[WeekIndex],99)+SUMIFS(T_TTAFStock[TTAF_Qty],T_TTAFStock[RM_Code],$A67,T_TTAFStock[WeekIndex],99),CU67+'Grid_Incoming'!CV67-'Grid_Requirement'!CV67))</f>
        <v/>
      </c>
      <c r="CW67">
        <f>IF(COUNTIFS(T_StockCount[RM_Code],$A67,T_StockCount[WeekIndex],100)&gt;0,SUMIFS(T_StockCount[CountedQty],T_StockCount[RM_Code],$A67,T_StockCount[WeekIndex],100),IF((COUNTIFS(T_SelfStock[RM_Code],$A67,T_SelfStock[WeekIndex],100)&gt;0)*(COUNTIFS(T_TTAFStock[RM_Code],$A67,T_TTAFStock[WeekIndex],100)&gt;0)&gt;0,SUMIFS(T_SelfStock[Self_Qty],T_SelfStock[RM_Code],$A67,T_SelfStock[WeekIndex],100)+SUMIFS(T_TTAFStock[TTAF_Qty],T_TTAFStock[RM_Code],$A67,T_TTAFStock[WeekIndex],100),CV67+'Grid_Incoming'!CW67-'Grid_Requirement'!CW67))</f>
        <v/>
      </c>
      <c r="CX67">
        <f>IF(COUNTIFS(T_StockCount[RM_Code],$A67,T_StockCount[WeekIndex],101)&gt;0,SUMIFS(T_StockCount[CountedQty],T_StockCount[RM_Code],$A67,T_StockCount[WeekIndex],101),IF((COUNTIFS(T_SelfStock[RM_Code],$A67,T_SelfStock[WeekIndex],101)&gt;0)*(COUNTIFS(T_TTAFStock[RM_Code],$A67,T_TTAFStock[WeekIndex],101)&gt;0)&gt;0,SUMIFS(T_SelfStock[Self_Qty],T_SelfStock[RM_Code],$A67,T_SelfStock[WeekIndex],101)+SUMIFS(T_TTAFStock[TTAF_Qty],T_TTAFStock[RM_Code],$A67,T_TTAFStock[WeekIndex],101),CW67+'Grid_Incoming'!CX67-'Grid_Requirement'!CX67))</f>
        <v/>
      </c>
      <c r="CY67">
        <f>IF(COUNTIFS(T_StockCount[RM_Code],$A67,T_StockCount[WeekIndex],102)&gt;0,SUMIFS(T_StockCount[CountedQty],T_StockCount[RM_Code],$A67,T_StockCount[WeekIndex],102),IF((COUNTIFS(T_SelfStock[RM_Code],$A67,T_SelfStock[WeekIndex],102)&gt;0)*(COUNTIFS(T_TTAFStock[RM_Code],$A67,T_TTAFStock[WeekIndex],102)&gt;0)&gt;0,SUMIFS(T_SelfStock[Self_Qty],T_SelfStock[RM_Code],$A67,T_SelfStock[WeekIndex],102)+SUMIFS(T_TTAFStock[TTAF_Qty],T_TTAFStock[RM_Code],$A67,T_TTAFStock[WeekIndex],102),CX67+'Grid_Incoming'!CY67-'Grid_Requirement'!CY67))</f>
        <v/>
      </c>
      <c r="CZ67">
        <f>IF(COUNTIFS(T_StockCount[RM_Code],$A67,T_StockCount[WeekIndex],103)&gt;0,SUMIFS(T_StockCount[CountedQty],T_StockCount[RM_Code],$A67,T_StockCount[WeekIndex],103),IF((COUNTIFS(T_SelfStock[RM_Code],$A67,T_SelfStock[WeekIndex],103)&gt;0)*(COUNTIFS(T_TTAFStock[RM_Code],$A67,T_TTAFStock[WeekIndex],103)&gt;0)&gt;0,SUMIFS(T_SelfStock[Self_Qty],T_SelfStock[RM_Code],$A67,T_SelfStock[WeekIndex],103)+SUMIFS(T_TTAFStock[TTAF_Qty],T_TTAFStock[RM_Code],$A67,T_TTAFStock[WeekIndex],103),CY67+'Grid_Incoming'!CZ67-'Grid_Requirement'!CZ67))</f>
        <v/>
      </c>
      <c r="DA67">
        <f>IF(COUNTIFS(T_StockCount[RM_Code],$A67,T_StockCount[WeekIndex],104)&gt;0,SUMIFS(T_StockCount[CountedQty],T_StockCount[RM_Code],$A67,T_StockCount[WeekIndex],104),IF((COUNTIFS(T_SelfStock[RM_Code],$A67,T_SelfStock[WeekIndex],104)&gt;0)*(COUNTIFS(T_TTAFStock[RM_Code],$A67,T_TTAFStock[WeekIndex],104)&gt;0)&gt;0,SUMIFS(T_SelfStock[Self_Qty],T_SelfStock[RM_Code],$A67,T_SelfStock[WeekIndex],104)+SUMIFS(T_TTAFStock[TTAF_Qty],T_TTAFStock[RM_Code],$A67,T_TTAFStock[WeekIndex],104),CZ67+'Grid_Incoming'!DA67-'Grid_Requirement'!DA67))</f>
        <v/>
      </c>
    </row>
    <row r="68">
      <c r="A68" t="inlineStr">
        <is>
          <t>3TP</t>
        </is>
      </c>
      <c r="B68">
        <f>IF(COUNTIFS(T_StockCount[RM_Code],$A68,T_StockCount[WeekIndex],1)&gt;0,SUMIFS(T_StockCount[CountedQty],T_StockCount[RM_Code],$A68,T_StockCount[WeekIndex],1),IF((COUNTIFS(T_SelfStock[RM_Code],$A68,T_SelfStock[WeekIndex],1)&gt;0)*(COUNTIFS(T_TTAFStock[RM_Code],$A68,T_TTAFStock[WeekIndex],1)&gt;0)&gt;0,SUMIFS(T_SelfStock[Self_Qty],T_SelfStock[RM_Code],$A68,T_SelfStock[WeekIndex],1)+SUMIFS(T_TTAFStock[TTAF_Qty],T_TTAFStock[RM_Code],$A68,T_TTAFStock[WeekIndex],1),IFERROR(INDEX(T_OpeningStock[Opening_Qty],MATCH($A68,T_OpeningStock[RM_Code],0)),0)+'Grid_Incoming'!B68-'Grid_Requirement'!B68))</f>
        <v/>
      </c>
      <c r="C68">
        <f>IF(COUNTIFS(T_StockCount[RM_Code],$A68,T_StockCount[WeekIndex],2)&gt;0,SUMIFS(T_StockCount[CountedQty],T_StockCount[RM_Code],$A68,T_StockCount[WeekIndex],2),IF((COUNTIFS(T_SelfStock[RM_Code],$A68,T_SelfStock[WeekIndex],2)&gt;0)*(COUNTIFS(T_TTAFStock[RM_Code],$A68,T_TTAFStock[WeekIndex],2)&gt;0)&gt;0,SUMIFS(T_SelfStock[Self_Qty],T_SelfStock[RM_Code],$A68,T_SelfStock[WeekIndex],2)+SUMIFS(T_TTAFStock[TTAF_Qty],T_TTAFStock[RM_Code],$A68,T_TTAFStock[WeekIndex],2),B68+'Grid_Incoming'!C68-'Grid_Requirement'!C68))</f>
        <v/>
      </c>
      <c r="D68">
        <f>IF(COUNTIFS(T_StockCount[RM_Code],$A68,T_StockCount[WeekIndex],3)&gt;0,SUMIFS(T_StockCount[CountedQty],T_StockCount[RM_Code],$A68,T_StockCount[WeekIndex],3),IF((COUNTIFS(T_SelfStock[RM_Code],$A68,T_SelfStock[WeekIndex],3)&gt;0)*(COUNTIFS(T_TTAFStock[RM_Code],$A68,T_TTAFStock[WeekIndex],3)&gt;0)&gt;0,SUMIFS(T_SelfStock[Self_Qty],T_SelfStock[RM_Code],$A68,T_SelfStock[WeekIndex],3)+SUMIFS(T_TTAFStock[TTAF_Qty],T_TTAFStock[RM_Code],$A68,T_TTAFStock[WeekIndex],3),C68+'Grid_Incoming'!D68-'Grid_Requirement'!D68))</f>
        <v/>
      </c>
      <c r="E68">
        <f>IF(COUNTIFS(T_StockCount[RM_Code],$A68,T_StockCount[WeekIndex],4)&gt;0,SUMIFS(T_StockCount[CountedQty],T_StockCount[RM_Code],$A68,T_StockCount[WeekIndex],4),IF((COUNTIFS(T_SelfStock[RM_Code],$A68,T_SelfStock[WeekIndex],4)&gt;0)*(COUNTIFS(T_TTAFStock[RM_Code],$A68,T_TTAFStock[WeekIndex],4)&gt;0)&gt;0,SUMIFS(T_SelfStock[Self_Qty],T_SelfStock[RM_Code],$A68,T_SelfStock[WeekIndex],4)+SUMIFS(T_TTAFStock[TTAF_Qty],T_TTAFStock[RM_Code],$A68,T_TTAFStock[WeekIndex],4),D68+'Grid_Incoming'!E68-'Grid_Requirement'!E68))</f>
        <v/>
      </c>
      <c r="F68">
        <f>IF(COUNTIFS(T_StockCount[RM_Code],$A68,T_StockCount[WeekIndex],5)&gt;0,SUMIFS(T_StockCount[CountedQty],T_StockCount[RM_Code],$A68,T_StockCount[WeekIndex],5),IF((COUNTIFS(T_SelfStock[RM_Code],$A68,T_SelfStock[WeekIndex],5)&gt;0)*(COUNTIFS(T_TTAFStock[RM_Code],$A68,T_TTAFStock[WeekIndex],5)&gt;0)&gt;0,SUMIFS(T_SelfStock[Self_Qty],T_SelfStock[RM_Code],$A68,T_SelfStock[WeekIndex],5)+SUMIFS(T_TTAFStock[TTAF_Qty],T_TTAFStock[RM_Code],$A68,T_TTAFStock[WeekIndex],5),E68+'Grid_Incoming'!F68-'Grid_Requirement'!F68))</f>
        <v/>
      </c>
      <c r="G68">
        <f>IF(COUNTIFS(T_StockCount[RM_Code],$A68,T_StockCount[WeekIndex],6)&gt;0,SUMIFS(T_StockCount[CountedQty],T_StockCount[RM_Code],$A68,T_StockCount[WeekIndex],6),IF((COUNTIFS(T_SelfStock[RM_Code],$A68,T_SelfStock[WeekIndex],6)&gt;0)*(COUNTIFS(T_TTAFStock[RM_Code],$A68,T_TTAFStock[WeekIndex],6)&gt;0)&gt;0,SUMIFS(T_SelfStock[Self_Qty],T_SelfStock[RM_Code],$A68,T_SelfStock[WeekIndex],6)+SUMIFS(T_TTAFStock[TTAF_Qty],T_TTAFStock[RM_Code],$A68,T_TTAFStock[WeekIndex],6),F68+'Grid_Incoming'!G68-'Grid_Requirement'!G68))</f>
        <v/>
      </c>
      <c r="H68">
        <f>IF(COUNTIFS(T_StockCount[RM_Code],$A68,T_StockCount[WeekIndex],7)&gt;0,SUMIFS(T_StockCount[CountedQty],T_StockCount[RM_Code],$A68,T_StockCount[WeekIndex],7),IF((COUNTIFS(T_SelfStock[RM_Code],$A68,T_SelfStock[WeekIndex],7)&gt;0)*(COUNTIFS(T_TTAFStock[RM_Code],$A68,T_TTAFStock[WeekIndex],7)&gt;0)&gt;0,SUMIFS(T_SelfStock[Self_Qty],T_SelfStock[RM_Code],$A68,T_SelfStock[WeekIndex],7)+SUMIFS(T_TTAFStock[TTAF_Qty],T_TTAFStock[RM_Code],$A68,T_TTAFStock[WeekIndex],7),G68+'Grid_Incoming'!H68-'Grid_Requirement'!H68))</f>
        <v/>
      </c>
      <c r="I68">
        <f>IF(COUNTIFS(T_StockCount[RM_Code],$A68,T_StockCount[WeekIndex],8)&gt;0,SUMIFS(T_StockCount[CountedQty],T_StockCount[RM_Code],$A68,T_StockCount[WeekIndex],8),IF((COUNTIFS(T_SelfStock[RM_Code],$A68,T_SelfStock[WeekIndex],8)&gt;0)*(COUNTIFS(T_TTAFStock[RM_Code],$A68,T_TTAFStock[WeekIndex],8)&gt;0)&gt;0,SUMIFS(T_SelfStock[Self_Qty],T_SelfStock[RM_Code],$A68,T_SelfStock[WeekIndex],8)+SUMIFS(T_TTAFStock[TTAF_Qty],T_TTAFStock[RM_Code],$A68,T_TTAFStock[WeekIndex],8),H68+'Grid_Incoming'!I68-'Grid_Requirement'!I68))</f>
        <v/>
      </c>
      <c r="J68">
        <f>IF(COUNTIFS(T_StockCount[RM_Code],$A68,T_StockCount[WeekIndex],9)&gt;0,SUMIFS(T_StockCount[CountedQty],T_StockCount[RM_Code],$A68,T_StockCount[WeekIndex],9),IF((COUNTIFS(T_SelfStock[RM_Code],$A68,T_SelfStock[WeekIndex],9)&gt;0)*(COUNTIFS(T_TTAFStock[RM_Code],$A68,T_TTAFStock[WeekIndex],9)&gt;0)&gt;0,SUMIFS(T_SelfStock[Self_Qty],T_SelfStock[RM_Code],$A68,T_SelfStock[WeekIndex],9)+SUMIFS(T_TTAFStock[TTAF_Qty],T_TTAFStock[RM_Code],$A68,T_TTAFStock[WeekIndex],9),I68+'Grid_Incoming'!J68-'Grid_Requirement'!J68))</f>
        <v/>
      </c>
      <c r="K68">
        <f>IF(COUNTIFS(T_StockCount[RM_Code],$A68,T_StockCount[WeekIndex],10)&gt;0,SUMIFS(T_StockCount[CountedQty],T_StockCount[RM_Code],$A68,T_StockCount[WeekIndex],10),IF((COUNTIFS(T_SelfStock[RM_Code],$A68,T_SelfStock[WeekIndex],10)&gt;0)*(COUNTIFS(T_TTAFStock[RM_Code],$A68,T_TTAFStock[WeekIndex],10)&gt;0)&gt;0,SUMIFS(T_SelfStock[Self_Qty],T_SelfStock[RM_Code],$A68,T_SelfStock[WeekIndex],10)+SUMIFS(T_TTAFStock[TTAF_Qty],T_TTAFStock[RM_Code],$A68,T_TTAFStock[WeekIndex],10),J68+'Grid_Incoming'!K68-'Grid_Requirement'!K68))</f>
        <v/>
      </c>
      <c r="L68">
        <f>IF(COUNTIFS(T_StockCount[RM_Code],$A68,T_StockCount[WeekIndex],11)&gt;0,SUMIFS(T_StockCount[CountedQty],T_StockCount[RM_Code],$A68,T_StockCount[WeekIndex],11),IF((COUNTIFS(T_SelfStock[RM_Code],$A68,T_SelfStock[WeekIndex],11)&gt;0)*(COUNTIFS(T_TTAFStock[RM_Code],$A68,T_TTAFStock[WeekIndex],11)&gt;0)&gt;0,SUMIFS(T_SelfStock[Self_Qty],T_SelfStock[RM_Code],$A68,T_SelfStock[WeekIndex],11)+SUMIFS(T_TTAFStock[TTAF_Qty],T_TTAFStock[RM_Code],$A68,T_TTAFStock[WeekIndex],11),K68+'Grid_Incoming'!L68-'Grid_Requirement'!L68))</f>
        <v/>
      </c>
      <c r="M68">
        <f>IF(COUNTIFS(T_StockCount[RM_Code],$A68,T_StockCount[WeekIndex],12)&gt;0,SUMIFS(T_StockCount[CountedQty],T_StockCount[RM_Code],$A68,T_StockCount[WeekIndex],12),IF((COUNTIFS(T_SelfStock[RM_Code],$A68,T_SelfStock[WeekIndex],12)&gt;0)*(COUNTIFS(T_TTAFStock[RM_Code],$A68,T_TTAFStock[WeekIndex],12)&gt;0)&gt;0,SUMIFS(T_SelfStock[Self_Qty],T_SelfStock[RM_Code],$A68,T_SelfStock[WeekIndex],12)+SUMIFS(T_TTAFStock[TTAF_Qty],T_TTAFStock[RM_Code],$A68,T_TTAFStock[WeekIndex],12),L68+'Grid_Incoming'!M68-'Grid_Requirement'!M68))</f>
        <v/>
      </c>
      <c r="N68">
        <f>IF(COUNTIFS(T_StockCount[RM_Code],$A68,T_StockCount[WeekIndex],13)&gt;0,SUMIFS(T_StockCount[CountedQty],T_StockCount[RM_Code],$A68,T_StockCount[WeekIndex],13),IF((COUNTIFS(T_SelfStock[RM_Code],$A68,T_SelfStock[WeekIndex],13)&gt;0)*(COUNTIFS(T_TTAFStock[RM_Code],$A68,T_TTAFStock[WeekIndex],13)&gt;0)&gt;0,SUMIFS(T_SelfStock[Self_Qty],T_SelfStock[RM_Code],$A68,T_SelfStock[WeekIndex],13)+SUMIFS(T_TTAFStock[TTAF_Qty],T_TTAFStock[RM_Code],$A68,T_TTAFStock[WeekIndex],13),M68+'Grid_Incoming'!N68-'Grid_Requirement'!N68))</f>
        <v/>
      </c>
      <c r="O68">
        <f>IF(COUNTIFS(T_StockCount[RM_Code],$A68,T_StockCount[WeekIndex],14)&gt;0,SUMIFS(T_StockCount[CountedQty],T_StockCount[RM_Code],$A68,T_StockCount[WeekIndex],14),IF((COUNTIFS(T_SelfStock[RM_Code],$A68,T_SelfStock[WeekIndex],14)&gt;0)*(COUNTIFS(T_TTAFStock[RM_Code],$A68,T_TTAFStock[WeekIndex],14)&gt;0)&gt;0,SUMIFS(T_SelfStock[Self_Qty],T_SelfStock[RM_Code],$A68,T_SelfStock[WeekIndex],14)+SUMIFS(T_TTAFStock[TTAF_Qty],T_TTAFStock[RM_Code],$A68,T_TTAFStock[WeekIndex],14),N68+'Grid_Incoming'!O68-'Grid_Requirement'!O68))</f>
        <v/>
      </c>
      <c r="P68">
        <f>IF(COUNTIFS(T_StockCount[RM_Code],$A68,T_StockCount[WeekIndex],15)&gt;0,SUMIFS(T_StockCount[CountedQty],T_StockCount[RM_Code],$A68,T_StockCount[WeekIndex],15),IF((COUNTIFS(T_SelfStock[RM_Code],$A68,T_SelfStock[WeekIndex],15)&gt;0)*(COUNTIFS(T_TTAFStock[RM_Code],$A68,T_TTAFStock[WeekIndex],15)&gt;0)&gt;0,SUMIFS(T_SelfStock[Self_Qty],T_SelfStock[RM_Code],$A68,T_SelfStock[WeekIndex],15)+SUMIFS(T_TTAFStock[TTAF_Qty],T_TTAFStock[RM_Code],$A68,T_TTAFStock[WeekIndex],15),O68+'Grid_Incoming'!P68-'Grid_Requirement'!P68))</f>
        <v/>
      </c>
      <c r="Q68">
        <f>IF(COUNTIFS(T_StockCount[RM_Code],$A68,T_StockCount[WeekIndex],16)&gt;0,SUMIFS(T_StockCount[CountedQty],T_StockCount[RM_Code],$A68,T_StockCount[WeekIndex],16),IF((COUNTIFS(T_SelfStock[RM_Code],$A68,T_SelfStock[WeekIndex],16)&gt;0)*(COUNTIFS(T_TTAFStock[RM_Code],$A68,T_TTAFStock[WeekIndex],16)&gt;0)&gt;0,SUMIFS(T_SelfStock[Self_Qty],T_SelfStock[RM_Code],$A68,T_SelfStock[WeekIndex],16)+SUMIFS(T_TTAFStock[TTAF_Qty],T_TTAFStock[RM_Code],$A68,T_TTAFStock[WeekIndex],16),P68+'Grid_Incoming'!Q68-'Grid_Requirement'!Q68))</f>
        <v/>
      </c>
      <c r="R68">
        <f>IF(COUNTIFS(T_StockCount[RM_Code],$A68,T_StockCount[WeekIndex],17)&gt;0,SUMIFS(T_StockCount[CountedQty],T_StockCount[RM_Code],$A68,T_StockCount[WeekIndex],17),IF((COUNTIFS(T_SelfStock[RM_Code],$A68,T_SelfStock[WeekIndex],17)&gt;0)*(COUNTIFS(T_TTAFStock[RM_Code],$A68,T_TTAFStock[WeekIndex],17)&gt;0)&gt;0,SUMIFS(T_SelfStock[Self_Qty],T_SelfStock[RM_Code],$A68,T_SelfStock[WeekIndex],17)+SUMIFS(T_TTAFStock[TTAF_Qty],T_TTAFStock[RM_Code],$A68,T_TTAFStock[WeekIndex],17),Q68+'Grid_Incoming'!R68-'Grid_Requirement'!R68))</f>
        <v/>
      </c>
      <c r="S68">
        <f>IF(COUNTIFS(T_StockCount[RM_Code],$A68,T_StockCount[WeekIndex],18)&gt;0,SUMIFS(T_StockCount[CountedQty],T_StockCount[RM_Code],$A68,T_StockCount[WeekIndex],18),IF((COUNTIFS(T_SelfStock[RM_Code],$A68,T_SelfStock[WeekIndex],18)&gt;0)*(COUNTIFS(T_TTAFStock[RM_Code],$A68,T_TTAFStock[WeekIndex],18)&gt;0)&gt;0,SUMIFS(T_SelfStock[Self_Qty],T_SelfStock[RM_Code],$A68,T_SelfStock[WeekIndex],18)+SUMIFS(T_TTAFStock[TTAF_Qty],T_TTAFStock[RM_Code],$A68,T_TTAFStock[WeekIndex],18),R68+'Grid_Incoming'!S68-'Grid_Requirement'!S68))</f>
        <v/>
      </c>
      <c r="T68">
        <f>IF(COUNTIFS(T_StockCount[RM_Code],$A68,T_StockCount[WeekIndex],19)&gt;0,SUMIFS(T_StockCount[CountedQty],T_StockCount[RM_Code],$A68,T_StockCount[WeekIndex],19),IF((COUNTIFS(T_SelfStock[RM_Code],$A68,T_SelfStock[WeekIndex],19)&gt;0)*(COUNTIFS(T_TTAFStock[RM_Code],$A68,T_TTAFStock[WeekIndex],19)&gt;0)&gt;0,SUMIFS(T_SelfStock[Self_Qty],T_SelfStock[RM_Code],$A68,T_SelfStock[WeekIndex],19)+SUMIFS(T_TTAFStock[TTAF_Qty],T_TTAFStock[RM_Code],$A68,T_TTAFStock[WeekIndex],19),S68+'Grid_Incoming'!T68-'Grid_Requirement'!T68))</f>
        <v/>
      </c>
      <c r="U68">
        <f>IF(COUNTIFS(T_StockCount[RM_Code],$A68,T_StockCount[WeekIndex],20)&gt;0,SUMIFS(T_StockCount[CountedQty],T_StockCount[RM_Code],$A68,T_StockCount[WeekIndex],20),IF((COUNTIFS(T_SelfStock[RM_Code],$A68,T_SelfStock[WeekIndex],20)&gt;0)*(COUNTIFS(T_TTAFStock[RM_Code],$A68,T_TTAFStock[WeekIndex],20)&gt;0)&gt;0,SUMIFS(T_SelfStock[Self_Qty],T_SelfStock[RM_Code],$A68,T_SelfStock[WeekIndex],20)+SUMIFS(T_TTAFStock[TTAF_Qty],T_TTAFStock[RM_Code],$A68,T_TTAFStock[WeekIndex],20),T68+'Grid_Incoming'!U68-'Grid_Requirement'!U68))</f>
        <v/>
      </c>
      <c r="V68">
        <f>IF(COUNTIFS(T_StockCount[RM_Code],$A68,T_StockCount[WeekIndex],21)&gt;0,SUMIFS(T_StockCount[CountedQty],T_StockCount[RM_Code],$A68,T_StockCount[WeekIndex],21),IF((COUNTIFS(T_SelfStock[RM_Code],$A68,T_SelfStock[WeekIndex],21)&gt;0)*(COUNTIFS(T_TTAFStock[RM_Code],$A68,T_TTAFStock[WeekIndex],21)&gt;0)&gt;0,SUMIFS(T_SelfStock[Self_Qty],T_SelfStock[RM_Code],$A68,T_SelfStock[WeekIndex],21)+SUMIFS(T_TTAFStock[TTAF_Qty],T_TTAFStock[RM_Code],$A68,T_TTAFStock[WeekIndex],21),U68+'Grid_Incoming'!V68-'Grid_Requirement'!V68))</f>
        <v/>
      </c>
      <c r="W68">
        <f>IF(COUNTIFS(T_StockCount[RM_Code],$A68,T_StockCount[WeekIndex],22)&gt;0,SUMIFS(T_StockCount[CountedQty],T_StockCount[RM_Code],$A68,T_StockCount[WeekIndex],22),IF((COUNTIFS(T_SelfStock[RM_Code],$A68,T_SelfStock[WeekIndex],22)&gt;0)*(COUNTIFS(T_TTAFStock[RM_Code],$A68,T_TTAFStock[WeekIndex],22)&gt;0)&gt;0,SUMIFS(T_SelfStock[Self_Qty],T_SelfStock[RM_Code],$A68,T_SelfStock[WeekIndex],22)+SUMIFS(T_TTAFStock[TTAF_Qty],T_TTAFStock[RM_Code],$A68,T_TTAFStock[WeekIndex],22),V68+'Grid_Incoming'!W68-'Grid_Requirement'!W68))</f>
        <v/>
      </c>
      <c r="X68">
        <f>IF(COUNTIFS(T_StockCount[RM_Code],$A68,T_StockCount[WeekIndex],23)&gt;0,SUMIFS(T_StockCount[CountedQty],T_StockCount[RM_Code],$A68,T_StockCount[WeekIndex],23),IF((COUNTIFS(T_SelfStock[RM_Code],$A68,T_SelfStock[WeekIndex],23)&gt;0)*(COUNTIFS(T_TTAFStock[RM_Code],$A68,T_TTAFStock[WeekIndex],23)&gt;0)&gt;0,SUMIFS(T_SelfStock[Self_Qty],T_SelfStock[RM_Code],$A68,T_SelfStock[WeekIndex],23)+SUMIFS(T_TTAFStock[TTAF_Qty],T_TTAFStock[RM_Code],$A68,T_TTAFStock[WeekIndex],23),W68+'Grid_Incoming'!X68-'Grid_Requirement'!X68))</f>
        <v/>
      </c>
      <c r="Y68">
        <f>IF(COUNTIFS(T_StockCount[RM_Code],$A68,T_StockCount[WeekIndex],24)&gt;0,SUMIFS(T_StockCount[CountedQty],T_StockCount[RM_Code],$A68,T_StockCount[WeekIndex],24),IF((COUNTIFS(T_SelfStock[RM_Code],$A68,T_SelfStock[WeekIndex],24)&gt;0)*(COUNTIFS(T_TTAFStock[RM_Code],$A68,T_TTAFStock[WeekIndex],24)&gt;0)&gt;0,SUMIFS(T_SelfStock[Self_Qty],T_SelfStock[RM_Code],$A68,T_SelfStock[WeekIndex],24)+SUMIFS(T_TTAFStock[TTAF_Qty],T_TTAFStock[RM_Code],$A68,T_TTAFStock[WeekIndex],24),X68+'Grid_Incoming'!Y68-'Grid_Requirement'!Y68))</f>
        <v/>
      </c>
      <c r="Z68">
        <f>IF(COUNTIFS(T_StockCount[RM_Code],$A68,T_StockCount[WeekIndex],25)&gt;0,SUMIFS(T_StockCount[CountedQty],T_StockCount[RM_Code],$A68,T_StockCount[WeekIndex],25),IF((COUNTIFS(T_SelfStock[RM_Code],$A68,T_SelfStock[WeekIndex],25)&gt;0)*(COUNTIFS(T_TTAFStock[RM_Code],$A68,T_TTAFStock[WeekIndex],25)&gt;0)&gt;0,SUMIFS(T_SelfStock[Self_Qty],T_SelfStock[RM_Code],$A68,T_SelfStock[WeekIndex],25)+SUMIFS(T_TTAFStock[TTAF_Qty],T_TTAFStock[RM_Code],$A68,T_TTAFStock[WeekIndex],25),Y68+'Grid_Incoming'!Z68-'Grid_Requirement'!Z68))</f>
        <v/>
      </c>
      <c r="AA68">
        <f>IF(COUNTIFS(T_StockCount[RM_Code],$A68,T_StockCount[WeekIndex],26)&gt;0,SUMIFS(T_StockCount[CountedQty],T_StockCount[RM_Code],$A68,T_StockCount[WeekIndex],26),IF((COUNTIFS(T_SelfStock[RM_Code],$A68,T_SelfStock[WeekIndex],26)&gt;0)*(COUNTIFS(T_TTAFStock[RM_Code],$A68,T_TTAFStock[WeekIndex],26)&gt;0)&gt;0,SUMIFS(T_SelfStock[Self_Qty],T_SelfStock[RM_Code],$A68,T_SelfStock[WeekIndex],26)+SUMIFS(T_TTAFStock[TTAF_Qty],T_TTAFStock[RM_Code],$A68,T_TTAFStock[WeekIndex],26),Z68+'Grid_Incoming'!AA68-'Grid_Requirement'!AA68))</f>
        <v/>
      </c>
      <c r="AB68">
        <f>IF(COUNTIFS(T_StockCount[RM_Code],$A68,T_StockCount[WeekIndex],27)&gt;0,SUMIFS(T_StockCount[CountedQty],T_StockCount[RM_Code],$A68,T_StockCount[WeekIndex],27),IF((COUNTIFS(T_SelfStock[RM_Code],$A68,T_SelfStock[WeekIndex],27)&gt;0)*(COUNTIFS(T_TTAFStock[RM_Code],$A68,T_TTAFStock[WeekIndex],27)&gt;0)&gt;0,SUMIFS(T_SelfStock[Self_Qty],T_SelfStock[RM_Code],$A68,T_SelfStock[WeekIndex],27)+SUMIFS(T_TTAFStock[TTAF_Qty],T_TTAFStock[RM_Code],$A68,T_TTAFStock[WeekIndex],27),AA68+'Grid_Incoming'!AB68-'Grid_Requirement'!AB68))</f>
        <v/>
      </c>
      <c r="AC68">
        <f>IF(COUNTIFS(T_StockCount[RM_Code],$A68,T_StockCount[WeekIndex],28)&gt;0,SUMIFS(T_StockCount[CountedQty],T_StockCount[RM_Code],$A68,T_StockCount[WeekIndex],28),IF((COUNTIFS(T_SelfStock[RM_Code],$A68,T_SelfStock[WeekIndex],28)&gt;0)*(COUNTIFS(T_TTAFStock[RM_Code],$A68,T_TTAFStock[WeekIndex],28)&gt;0)&gt;0,SUMIFS(T_SelfStock[Self_Qty],T_SelfStock[RM_Code],$A68,T_SelfStock[WeekIndex],28)+SUMIFS(T_TTAFStock[TTAF_Qty],T_TTAFStock[RM_Code],$A68,T_TTAFStock[WeekIndex],28),AB68+'Grid_Incoming'!AC68-'Grid_Requirement'!AC68))</f>
        <v/>
      </c>
      <c r="AD68">
        <f>IF(COUNTIFS(T_StockCount[RM_Code],$A68,T_StockCount[WeekIndex],29)&gt;0,SUMIFS(T_StockCount[CountedQty],T_StockCount[RM_Code],$A68,T_StockCount[WeekIndex],29),IF((COUNTIFS(T_SelfStock[RM_Code],$A68,T_SelfStock[WeekIndex],29)&gt;0)*(COUNTIFS(T_TTAFStock[RM_Code],$A68,T_TTAFStock[WeekIndex],29)&gt;0)&gt;0,SUMIFS(T_SelfStock[Self_Qty],T_SelfStock[RM_Code],$A68,T_SelfStock[WeekIndex],29)+SUMIFS(T_TTAFStock[TTAF_Qty],T_TTAFStock[RM_Code],$A68,T_TTAFStock[WeekIndex],29),AC68+'Grid_Incoming'!AD68-'Grid_Requirement'!AD68))</f>
        <v/>
      </c>
      <c r="AE68">
        <f>IF(COUNTIFS(T_StockCount[RM_Code],$A68,T_StockCount[WeekIndex],30)&gt;0,SUMIFS(T_StockCount[CountedQty],T_StockCount[RM_Code],$A68,T_StockCount[WeekIndex],30),IF((COUNTIFS(T_SelfStock[RM_Code],$A68,T_SelfStock[WeekIndex],30)&gt;0)*(COUNTIFS(T_TTAFStock[RM_Code],$A68,T_TTAFStock[WeekIndex],30)&gt;0)&gt;0,SUMIFS(T_SelfStock[Self_Qty],T_SelfStock[RM_Code],$A68,T_SelfStock[WeekIndex],30)+SUMIFS(T_TTAFStock[TTAF_Qty],T_TTAFStock[RM_Code],$A68,T_TTAFStock[WeekIndex],30),AD68+'Grid_Incoming'!AE68-'Grid_Requirement'!AE68))</f>
        <v/>
      </c>
      <c r="AF68">
        <f>IF(COUNTIFS(T_StockCount[RM_Code],$A68,T_StockCount[WeekIndex],31)&gt;0,SUMIFS(T_StockCount[CountedQty],T_StockCount[RM_Code],$A68,T_StockCount[WeekIndex],31),IF((COUNTIFS(T_SelfStock[RM_Code],$A68,T_SelfStock[WeekIndex],31)&gt;0)*(COUNTIFS(T_TTAFStock[RM_Code],$A68,T_TTAFStock[WeekIndex],31)&gt;0)&gt;0,SUMIFS(T_SelfStock[Self_Qty],T_SelfStock[RM_Code],$A68,T_SelfStock[WeekIndex],31)+SUMIFS(T_TTAFStock[TTAF_Qty],T_TTAFStock[RM_Code],$A68,T_TTAFStock[WeekIndex],31),AE68+'Grid_Incoming'!AF68-'Grid_Requirement'!AF68))</f>
        <v/>
      </c>
      <c r="AG68">
        <f>IF(COUNTIFS(T_StockCount[RM_Code],$A68,T_StockCount[WeekIndex],32)&gt;0,SUMIFS(T_StockCount[CountedQty],T_StockCount[RM_Code],$A68,T_StockCount[WeekIndex],32),IF((COUNTIFS(T_SelfStock[RM_Code],$A68,T_SelfStock[WeekIndex],32)&gt;0)*(COUNTIFS(T_TTAFStock[RM_Code],$A68,T_TTAFStock[WeekIndex],32)&gt;0)&gt;0,SUMIFS(T_SelfStock[Self_Qty],T_SelfStock[RM_Code],$A68,T_SelfStock[WeekIndex],32)+SUMIFS(T_TTAFStock[TTAF_Qty],T_TTAFStock[RM_Code],$A68,T_TTAFStock[WeekIndex],32),AF68+'Grid_Incoming'!AG68-'Grid_Requirement'!AG68))</f>
        <v/>
      </c>
      <c r="AH68">
        <f>IF(COUNTIFS(T_StockCount[RM_Code],$A68,T_StockCount[WeekIndex],33)&gt;0,SUMIFS(T_StockCount[CountedQty],T_StockCount[RM_Code],$A68,T_StockCount[WeekIndex],33),IF((COUNTIFS(T_SelfStock[RM_Code],$A68,T_SelfStock[WeekIndex],33)&gt;0)*(COUNTIFS(T_TTAFStock[RM_Code],$A68,T_TTAFStock[WeekIndex],33)&gt;0)&gt;0,SUMIFS(T_SelfStock[Self_Qty],T_SelfStock[RM_Code],$A68,T_SelfStock[WeekIndex],33)+SUMIFS(T_TTAFStock[TTAF_Qty],T_TTAFStock[RM_Code],$A68,T_TTAFStock[WeekIndex],33),AG68+'Grid_Incoming'!AH68-'Grid_Requirement'!AH68))</f>
        <v/>
      </c>
      <c r="AI68">
        <f>IF(COUNTIFS(T_StockCount[RM_Code],$A68,T_StockCount[WeekIndex],34)&gt;0,SUMIFS(T_StockCount[CountedQty],T_StockCount[RM_Code],$A68,T_StockCount[WeekIndex],34),IF((COUNTIFS(T_SelfStock[RM_Code],$A68,T_SelfStock[WeekIndex],34)&gt;0)*(COUNTIFS(T_TTAFStock[RM_Code],$A68,T_TTAFStock[WeekIndex],34)&gt;0)&gt;0,SUMIFS(T_SelfStock[Self_Qty],T_SelfStock[RM_Code],$A68,T_SelfStock[WeekIndex],34)+SUMIFS(T_TTAFStock[TTAF_Qty],T_TTAFStock[RM_Code],$A68,T_TTAFStock[WeekIndex],34),AH68+'Grid_Incoming'!AI68-'Grid_Requirement'!AI68))</f>
        <v/>
      </c>
      <c r="AJ68">
        <f>IF(COUNTIFS(T_StockCount[RM_Code],$A68,T_StockCount[WeekIndex],35)&gt;0,SUMIFS(T_StockCount[CountedQty],T_StockCount[RM_Code],$A68,T_StockCount[WeekIndex],35),IF((COUNTIFS(T_SelfStock[RM_Code],$A68,T_SelfStock[WeekIndex],35)&gt;0)*(COUNTIFS(T_TTAFStock[RM_Code],$A68,T_TTAFStock[WeekIndex],35)&gt;0)&gt;0,SUMIFS(T_SelfStock[Self_Qty],T_SelfStock[RM_Code],$A68,T_SelfStock[WeekIndex],35)+SUMIFS(T_TTAFStock[TTAF_Qty],T_TTAFStock[RM_Code],$A68,T_TTAFStock[WeekIndex],35),AI68+'Grid_Incoming'!AJ68-'Grid_Requirement'!AJ68))</f>
        <v/>
      </c>
      <c r="AK68">
        <f>IF(COUNTIFS(T_StockCount[RM_Code],$A68,T_StockCount[WeekIndex],36)&gt;0,SUMIFS(T_StockCount[CountedQty],T_StockCount[RM_Code],$A68,T_StockCount[WeekIndex],36),IF((COUNTIFS(T_SelfStock[RM_Code],$A68,T_SelfStock[WeekIndex],36)&gt;0)*(COUNTIFS(T_TTAFStock[RM_Code],$A68,T_TTAFStock[WeekIndex],36)&gt;0)&gt;0,SUMIFS(T_SelfStock[Self_Qty],T_SelfStock[RM_Code],$A68,T_SelfStock[WeekIndex],36)+SUMIFS(T_TTAFStock[TTAF_Qty],T_TTAFStock[RM_Code],$A68,T_TTAFStock[WeekIndex],36),AJ68+'Grid_Incoming'!AK68-'Grid_Requirement'!AK68))</f>
        <v/>
      </c>
      <c r="AL68">
        <f>IF(COUNTIFS(T_StockCount[RM_Code],$A68,T_StockCount[WeekIndex],37)&gt;0,SUMIFS(T_StockCount[CountedQty],T_StockCount[RM_Code],$A68,T_StockCount[WeekIndex],37),IF((COUNTIFS(T_SelfStock[RM_Code],$A68,T_SelfStock[WeekIndex],37)&gt;0)*(COUNTIFS(T_TTAFStock[RM_Code],$A68,T_TTAFStock[WeekIndex],37)&gt;0)&gt;0,SUMIFS(T_SelfStock[Self_Qty],T_SelfStock[RM_Code],$A68,T_SelfStock[WeekIndex],37)+SUMIFS(T_TTAFStock[TTAF_Qty],T_TTAFStock[RM_Code],$A68,T_TTAFStock[WeekIndex],37),AK68+'Grid_Incoming'!AL68-'Grid_Requirement'!AL68))</f>
        <v/>
      </c>
      <c r="AM68">
        <f>IF(COUNTIFS(T_StockCount[RM_Code],$A68,T_StockCount[WeekIndex],38)&gt;0,SUMIFS(T_StockCount[CountedQty],T_StockCount[RM_Code],$A68,T_StockCount[WeekIndex],38),IF((COUNTIFS(T_SelfStock[RM_Code],$A68,T_SelfStock[WeekIndex],38)&gt;0)*(COUNTIFS(T_TTAFStock[RM_Code],$A68,T_TTAFStock[WeekIndex],38)&gt;0)&gt;0,SUMIFS(T_SelfStock[Self_Qty],T_SelfStock[RM_Code],$A68,T_SelfStock[WeekIndex],38)+SUMIFS(T_TTAFStock[TTAF_Qty],T_TTAFStock[RM_Code],$A68,T_TTAFStock[WeekIndex],38),AL68+'Grid_Incoming'!AM68-'Grid_Requirement'!AM68))</f>
        <v/>
      </c>
      <c r="AN68">
        <f>IF(COUNTIFS(T_StockCount[RM_Code],$A68,T_StockCount[WeekIndex],39)&gt;0,SUMIFS(T_StockCount[CountedQty],T_StockCount[RM_Code],$A68,T_StockCount[WeekIndex],39),IF((COUNTIFS(T_SelfStock[RM_Code],$A68,T_SelfStock[WeekIndex],39)&gt;0)*(COUNTIFS(T_TTAFStock[RM_Code],$A68,T_TTAFStock[WeekIndex],39)&gt;0)&gt;0,SUMIFS(T_SelfStock[Self_Qty],T_SelfStock[RM_Code],$A68,T_SelfStock[WeekIndex],39)+SUMIFS(T_TTAFStock[TTAF_Qty],T_TTAFStock[RM_Code],$A68,T_TTAFStock[WeekIndex],39),AM68+'Grid_Incoming'!AN68-'Grid_Requirement'!AN68))</f>
        <v/>
      </c>
      <c r="AO68">
        <f>IF(COUNTIFS(T_StockCount[RM_Code],$A68,T_StockCount[WeekIndex],40)&gt;0,SUMIFS(T_StockCount[CountedQty],T_StockCount[RM_Code],$A68,T_StockCount[WeekIndex],40),IF((COUNTIFS(T_SelfStock[RM_Code],$A68,T_SelfStock[WeekIndex],40)&gt;0)*(COUNTIFS(T_TTAFStock[RM_Code],$A68,T_TTAFStock[WeekIndex],40)&gt;0)&gt;0,SUMIFS(T_SelfStock[Self_Qty],T_SelfStock[RM_Code],$A68,T_SelfStock[WeekIndex],40)+SUMIFS(T_TTAFStock[TTAF_Qty],T_TTAFStock[RM_Code],$A68,T_TTAFStock[WeekIndex],40),AN68+'Grid_Incoming'!AO68-'Grid_Requirement'!AO68))</f>
        <v/>
      </c>
      <c r="AP68">
        <f>IF(COUNTIFS(T_StockCount[RM_Code],$A68,T_StockCount[WeekIndex],41)&gt;0,SUMIFS(T_StockCount[CountedQty],T_StockCount[RM_Code],$A68,T_StockCount[WeekIndex],41),IF((COUNTIFS(T_SelfStock[RM_Code],$A68,T_SelfStock[WeekIndex],41)&gt;0)*(COUNTIFS(T_TTAFStock[RM_Code],$A68,T_TTAFStock[WeekIndex],41)&gt;0)&gt;0,SUMIFS(T_SelfStock[Self_Qty],T_SelfStock[RM_Code],$A68,T_SelfStock[WeekIndex],41)+SUMIFS(T_TTAFStock[TTAF_Qty],T_TTAFStock[RM_Code],$A68,T_TTAFStock[WeekIndex],41),AO68+'Grid_Incoming'!AP68-'Grid_Requirement'!AP68))</f>
        <v/>
      </c>
      <c r="AQ68">
        <f>IF(COUNTIFS(T_StockCount[RM_Code],$A68,T_StockCount[WeekIndex],42)&gt;0,SUMIFS(T_StockCount[CountedQty],T_StockCount[RM_Code],$A68,T_StockCount[WeekIndex],42),IF((COUNTIFS(T_SelfStock[RM_Code],$A68,T_SelfStock[WeekIndex],42)&gt;0)*(COUNTIFS(T_TTAFStock[RM_Code],$A68,T_TTAFStock[WeekIndex],42)&gt;0)&gt;0,SUMIFS(T_SelfStock[Self_Qty],T_SelfStock[RM_Code],$A68,T_SelfStock[WeekIndex],42)+SUMIFS(T_TTAFStock[TTAF_Qty],T_TTAFStock[RM_Code],$A68,T_TTAFStock[WeekIndex],42),AP68+'Grid_Incoming'!AQ68-'Grid_Requirement'!AQ68))</f>
        <v/>
      </c>
      <c r="AR68">
        <f>IF(COUNTIFS(T_StockCount[RM_Code],$A68,T_StockCount[WeekIndex],43)&gt;0,SUMIFS(T_StockCount[CountedQty],T_StockCount[RM_Code],$A68,T_StockCount[WeekIndex],43),IF((COUNTIFS(T_SelfStock[RM_Code],$A68,T_SelfStock[WeekIndex],43)&gt;0)*(COUNTIFS(T_TTAFStock[RM_Code],$A68,T_TTAFStock[WeekIndex],43)&gt;0)&gt;0,SUMIFS(T_SelfStock[Self_Qty],T_SelfStock[RM_Code],$A68,T_SelfStock[WeekIndex],43)+SUMIFS(T_TTAFStock[TTAF_Qty],T_TTAFStock[RM_Code],$A68,T_TTAFStock[WeekIndex],43),AQ68+'Grid_Incoming'!AR68-'Grid_Requirement'!AR68))</f>
        <v/>
      </c>
      <c r="AS68">
        <f>IF(COUNTIFS(T_StockCount[RM_Code],$A68,T_StockCount[WeekIndex],44)&gt;0,SUMIFS(T_StockCount[CountedQty],T_StockCount[RM_Code],$A68,T_StockCount[WeekIndex],44),IF((COUNTIFS(T_SelfStock[RM_Code],$A68,T_SelfStock[WeekIndex],44)&gt;0)*(COUNTIFS(T_TTAFStock[RM_Code],$A68,T_TTAFStock[WeekIndex],44)&gt;0)&gt;0,SUMIFS(T_SelfStock[Self_Qty],T_SelfStock[RM_Code],$A68,T_SelfStock[WeekIndex],44)+SUMIFS(T_TTAFStock[TTAF_Qty],T_TTAFStock[RM_Code],$A68,T_TTAFStock[WeekIndex],44),AR68+'Grid_Incoming'!AS68-'Grid_Requirement'!AS68))</f>
        <v/>
      </c>
      <c r="AT68">
        <f>IF(COUNTIFS(T_StockCount[RM_Code],$A68,T_StockCount[WeekIndex],45)&gt;0,SUMIFS(T_StockCount[CountedQty],T_StockCount[RM_Code],$A68,T_StockCount[WeekIndex],45),IF((COUNTIFS(T_SelfStock[RM_Code],$A68,T_SelfStock[WeekIndex],45)&gt;0)*(COUNTIFS(T_TTAFStock[RM_Code],$A68,T_TTAFStock[WeekIndex],45)&gt;0)&gt;0,SUMIFS(T_SelfStock[Self_Qty],T_SelfStock[RM_Code],$A68,T_SelfStock[WeekIndex],45)+SUMIFS(T_TTAFStock[TTAF_Qty],T_TTAFStock[RM_Code],$A68,T_TTAFStock[WeekIndex],45),AS68+'Grid_Incoming'!AT68-'Grid_Requirement'!AT68))</f>
        <v/>
      </c>
      <c r="AU68">
        <f>IF(COUNTIFS(T_StockCount[RM_Code],$A68,T_StockCount[WeekIndex],46)&gt;0,SUMIFS(T_StockCount[CountedQty],T_StockCount[RM_Code],$A68,T_StockCount[WeekIndex],46),IF((COUNTIFS(T_SelfStock[RM_Code],$A68,T_SelfStock[WeekIndex],46)&gt;0)*(COUNTIFS(T_TTAFStock[RM_Code],$A68,T_TTAFStock[WeekIndex],46)&gt;0)&gt;0,SUMIFS(T_SelfStock[Self_Qty],T_SelfStock[RM_Code],$A68,T_SelfStock[WeekIndex],46)+SUMIFS(T_TTAFStock[TTAF_Qty],T_TTAFStock[RM_Code],$A68,T_TTAFStock[WeekIndex],46),AT68+'Grid_Incoming'!AU68-'Grid_Requirement'!AU68))</f>
        <v/>
      </c>
      <c r="AV68">
        <f>IF(COUNTIFS(T_StockCount[RM_Code],$A68,T_StockCount[WeekIndex],47)&gt;0,SUMIFS(T_StockCount[CountedQty],T_StockCount[RM_Code],$A68,T_StockCount[WeekIndex],47),IF((COUNTIFS(T_SelfStock[RM_Code],$A68,T_SelfStock[WeekIndex],47)&gt;0)*(COUNTIFS(T_TTAFStock[RM_Code],$A68,T_TTAFStock[WeekIndex],47)&gt;0)&gt;0,SUMIFS(T_SelfStock[Self_Qty],T_SelfStock[RM_Code],$A68,T_SelfStock[WeekIndex],47)+SUMIFS(T_TTAFStock[TTAF_Qty],T_TTAFStock[RM_Code],$A68,T_TTAFStock[WeekIndex],47),AU68+'Grid_Incoming'!AV68-'Grid_Requirement'!AV68))</f>
        <v/>
      </c>
      <c r="AW68">
        <f>IF(COUNTIFS(T_StockCount[RM_Code],$A68,T_StockCount[WeekIndex],48)&gt;0,SUMIFS(T_StockCount[CountedQty],T_StockCount[RM_Code],$A68,T_StockCount[WeekIndex],48),IF((COUNTIFS(T_SelfStock[RM_Code],$A68,T_SelfStock[WeekIndex],48)&gt;0)*(COUNTIFS(T_TTAFStock[RM_Code],$A68,T_TTAFStock[WeekIndex],48)&gt;0)&gt;0,SUMIFS(T_SelfStock[Self_Qty],T_SelfStock[RM_Code],$A68,T_SelfStock[WeekIndex],48)+SUMIFS(T_TTAFStock[TTAF_Qty],T_TTAFStock[RM_Code],$A68,T_TTAFStock[WeekIndex],48),AV68+'Grid_Incoming'!AW68-'Grid_Requirement'!AW68))</f>
        <v/>
      </c>
      <c r="AX68">
        <f>IF(COUNTIFS(T_StockCount[RM_Code],$A68,T_StockCount[WeekIndex],49)&gt;0,SUMIFS(T_StockCount[CountedQty],T_StockCount[RM_Code],$A68,T_StockCount[WeekIndex],49),IF((COUNTIFS(T_SelfStock[RM_Code],$A68,T_SelfStock[WeekIndex],49)&gt;0)*(COUNTIFS(T_TTAFStock[RM_Code],$A68,T_TTAFStock[WeekIndex],49)&gt;0)&gt;0,SUMIFS(T_SelfStock[Self_Qty],T_SelfStock[RM_Code],$A68,T_SelfStock[WeekIndex],49)+SUMIFS(T_TTAFStock[TTAF_Qty],T_TTAFStock[RM_Code],$A68,T_TTAFStock[WeekIndex],49),AW68+'Grid_Incoming'!AX68-'Grid_Requirement'!AX68))</f>
        <v/>
      </c>
      <c r="AY68">
        <f>IF(COUNTIFS(T_StockCount[RM_Code],$A68,T_StockCount[WeekIndex],50)&gt;0,SUMIFS(T_StockCount[CountedQty],T_StockCount[RM_Code],$A68,T_StockCount[WeekIndex],50),IF((COUNTIFS(T_SelfStock[RM_Code],$A68,T_SelfStock[WeekIndex],50)&gt;0)*(COUNTIFS(T_TTAFStock[RM_Code],$A68,T_TTAFStock[WeekIndex],50)&gt;0)&gt;0,SUMIFS(T_SelfStock[Self_Qty],T_SelfStock[RM_Code],$A68,T_SelfStock[WeekIndex],50)+SUMIFS(T_TTAFStock[TTAF_Qty],T_TTAFStock[RM_Code],$A68,T_TTAFStock[WeekIndex],50),AX68+'Grid_Incoming'!AY68-'Grid_Requirement'!AY68))</f>
        <v/>
      </c>
      <c r="AZ68">
        <f>IF(COUNTIFS(T_StockCount[RM_Code],$A68,T_StockCount[WeekIndex],51)&gt;0,SUMIFS(T_StockCount[CountedQty],T_StockCount[RM_Code],$A68,T_StockCount[WeekIndex],51),IF((COUNTIFS(T_SelfStock[RM_Code],$A68,T_SelfStock[WeekIndex],51)&gt;0)*(COUNTIFS(T_TTAFStock[RM_Code],$A68,T_TTAFStock[WeekIndex],51)&gt;0)&gt;0,SUMIFS(T_SelfStock[Self_Qty],T_SelfStock[RM_Code],$A68,T_SelfStock[WeekIndex],51)+SUMIFS(T_TTAFStock[TTAF_Qty],T_TTAFStock[RM_Code],$A68,T_TTAFStock[WeekIndex],51),AY68+'Grid_Incoming'!AZ68-'Grid_Requirement'!AZ68))</f>
        <v/>
      </c>
      <c r="BA68">
        <f>IF(COUNTIFS(T_StockCount[RM_Code],$A68,T_StockCount[WeekIndex],52)&gt;0,SUMIFS(T_StockCount[CountedQty],T_StockCount[RM_Code],$A68,T_StockCount[WeekIndex],52),IF((COUNTIFS(T_SelfStock[RM_Code],$A68,T_SelfStock[WeekIndex],52)&gt;0)*(COUNTIFS(T_TTAFStock[RM_Code],$A68,T_TTAFStock[WeekIndex],52)&gt;0)&gt;0,SUMIFS(T_SelfStock[Self_Qty],T_SelfStock[RM_Code],$A68,T_SelfStock[WeekIndex],52)+SUMIFS(T_TTAFStock[TTAF_Qty],T_TTAFStock[RM_Code],$A68,T_TTAFStock[WeekIndex],52),AZ68+'Grid_Incoming'!BA68-'Grid_Requirement'!BA68))</f>
        <v/>
      </c>
      <c r="BB68">
        <f>IF(COUNTIFS(T_StockCount[RM_Code],$A68,T_StockCount[WeekIndex],53)&gt;0,SUMIFS(T_StockCount[CountedQty],T_StockCount[RM_Code],$A68,T_StockCount[WeekIndex],53),IF((COUNTIFS(T_SelfStock[RM_Code],$A68,T_SelfStock[WeekIndex],53)&gt;0)*(COUNTIFS(T_TTAFStock[RM_Code],$A68,T_TTAFStock[WeekIndex],53)&gt;0)&gt;0,SUMIFS(T_SelfStock[Self_Qty],T_SelfStock[RM_Code],$A68,T_SelfStock[WeekIndex],53)+SUMIFS(T_TTAFStock[TTAF_Qty],T_TTAFStock[RM_Code],$A68,T_TTAFStock[WeekIndex],53),BA68+'Grid_Incoming'!BB68-'Grid_Requirement'!BB68))</f>
        <v/>
      </c>
      <c r="BC68">
        <f>IF(COUNTIFS(T_StockCount[RM_Code],$A68,T_StockCount[WeekIndex],54)&gt;0,SUMIFS(T_StockCount[CountedQty],T_StockCount[RM_Code],$A68,T_StockCount[WeekIndex],54),IF((COUNTIFS(T_SelfStock[RM_Code],$A68,T_SelfStock[WeekIndex],54)&gt;0)*(COUNTIFS(T_TTAFStock[RM_Code],$A68,T_TTAFStock[WeekIndex],54)&gt;0)&gt;0,SUMIFS(T_SelfStock[Self_Qty],T_SelfStock[RM_Code],$A68,T_SelfStock[WeekIndex],54)+SUMIFS(T_TTAFStock[TTAF_Qty],T_TTAFStock[RM_Code],$A68,T_TTAFStock[WeekIndex],54),BB68+'Grid_Incoming'!BC68-'Grid_Requirement'!BC68))</f>
        <v/>
      </c>
      <c r="BD68">
        <f>IF(COUNTIFS(T_StockCount[RM_Code],$A68,T_StockCount[WeekIndex],55)&gt;0,SUMIFS(T_StockCount[CountedQty],T_StockCount[RM_Code],$A68,T_StockCount[WeekIndex],55),IF((COUNTIFS(T_SelfStock[RM_Code],$A68,T_SelfStock[WeekIndex],55)&gt;0)*(COUNTIFS(T_TTAFStock[RM_Code],$A68,T_TTAFStock[WeekIndex],55)&gt;0)&gt;0,SUMIFS(T_SelfStock[Self_Qty],T_SelfStock[RM_Code],$A68,T_SelfStock[WeekIndex],55)+SUMIFS(T_TTAFStock[TTAF_Qty],T_TTAFStock[RM_Code],$A68,T_TTAFStock[WeekIndex],55),BC68+'Grid_Incoming'!BD68-'Grid_Requirement'!BD68))</f>
        <v/>
      </c>
      <c r="BE68">
        <f>IF(COUNTIFS(T_StockCount[RM_Code],$A68,T_StockCount[WeekIndex],56)&gt;0,SUMIFS(T_StockCount[CountedQty],T_StockCount[RM_Code],$A68,T_StockCount[WeekIndex],56),IF((COUNTIFS(T_SelfStock[RM_Code],$A68,T_SelfStock[WeekIndex],56)&gt;0)*(COUNTIFS(T_TTAFStock[RM_Code],$A68,T_TTAFStock[WeekIndex],56)&gt;0)&gt;0,SUMIFS(T_SelfStock[Self_Qty],T_SelfStock[RM_Code],$A68,T_SelfStock[WeekIndex],56)+SUMIFS(T_TTAFStock[TTAF_Qty],T_TTAFStock[RM_Code],$A68,T_TTAFStock[WeekIndex],56),BD68+'Grid_Incoming'!BE68-'Grid_Requirement'!BE68))</f>
        <v/>
      </c>
      <c r="BF68">
        <f>IF(COUNTIFS(T_StockCount[RM_Code],$A68,T_StockCount[WeekIndex],57)&gt;0,SUMIFS(T_StockCount[CountedQty],T_StockCount[RM_Code],$A68,T_StockCount[WeekIndex],57),IF((COUNTIFS(T_SelfStock[RM_Code],$A68,T_SelfStock[WeekIndex],57)&gt;0)*(COUNTIFS(T_TTAFStock[RM_Code],$A68,T_TTAFStock[WeekIndex],57)&gt;0)&gt;0,SUMIFS(T_SelfStock[Self_Qty],T_SelfStock[RM_Code],$A68,T_SelfStock[WeekIndex],57)+SUMIFS(T_TTAFStock[TTAF_Qty],T_TTAFStock[RM_Code],$A68,T_TTAFStock[WeekIndex],57),BE68+'Grid_Incoming'!BF68-'Grid_Requirement'!BF68))</f>
        <v/>
      </c>
      <c r="BG68">
        <f>IF(COUNTIFS(T_StockCount[RM_Code],$A68,T_StockCount[WeekIndex],58)&gt;0,SUMIFS(T_StockCount[CountedQty],T_StockCount[RM_Code],$A68,T_StockCount[WeekIndex],58),IF((COUNTIFS(T_SelfStock[RM_Code],$A68,T_SelfStock[WeekIndex],58)&gt;0)*(COUNTIFS(T_TTAFStock[RM_Code],$A68,T_TTAFStock[WeekIndex],58)&gt;0)&gt;0,SUMIFS(T_SelfStock[Self_Qty],T_SelfStock[RM_Code],$A68,T_SelfStock[WeekIndex],58)+SUMIFS(T_TTAFStock[TTAF_Qty],T_TTAFStock[RM_Code],$A68,T_TTAFStock[WeekIndex],58),BF68+'Grid_Incoming'!BG68-'Grid_Requirement'!BG68))</f>
        <v/>
      </c>
      <c r="BH68">
        <f>IF(COUNTIFS(T_StockCount[RM_Code],$A68,T_StockCount[WeekIndex],59)&gt;0,SUMIFS(T_StockCount[CountedQty],T_StockCount[RM_Code],$A68,T_StockCount[WeekIndex],59),IF((COUNTIFS(T_SelfStock[RM_Code],$A68,T_SelfStock[WeekIndex],59)&gt;0)*(COUNTIFS(T_TTAFStock[RM_Code],$A68,T_TTAFStock[WeekIndex],59)&gt;0)&gt;0,SUMIFS(T_SelfStock[Self_Qty],T_SelfStock[RM_Code],$A68,T_SelfStock[WeekIndex],59)+SUMIFS(T_TTAFStock[TTAF_Qty],T_TTAFStock[RM_Code],$A68,T_TTAFStock[WeekIndex],59),BG68+'Grid_Incoming'!BH68-'Grid_Requirement'!BH68))</f>
        <v/>
      </c>
      <c r="BI68">
        <f>IF(COUNTIFS(T_StockCount[RM_Code],$A68,T_StockCount[WeekIndex],60)&gt;0,SUMIFS(T_StockCount[CountedQty],T_StockCount[RM_Code],$A68,T_StockCount[WeekIndex],60),IF((COUNTIFS(T_SelfStock[RM_Code],$A68,T_SelfStock[WeekIndex],60)&gt;0)*(COUNTIFS(T_TTAFStock[RM_Code],$A68,T_TTAFStock[WeekIndex],60)&gt;0)&gt;0,SUMIFS(T_SelfStock[Self_Qty],T_SelfStock[RM_Code],$A68,T_SelfStock[WeekIndex],60)+SUMIFS(T_TTAFStock[TTAF_Qty],T_TTAFStock[RM_Code],$A68,T_TTAFStock[WeekIndex],60),BH68+'Grid_Incoming'!BI68-'Grid_Requirement'!BI68))</f>
        <v/>
      </c>
      <c r="BJ68">
        <f>IF(COUNTIFS(T_StockCount[RM_Code],$A68,T_StockCount[WeekIndex],61)&gt;0,SUMIFS(T_StockCount[CountedQty],T_StockCount[RM_Code],$A68,T_StockCount[WeekIndex],61),IF((COUNTIFS(T_SelfStock[RM_Code],$A68,T_SelfStock[WeekIndex],61)&gt;0)*(COUNTIFS(T_TTAFStock[RM_Code],$A68,T_TTAFStock[WeekIndex],61)&gt;0)&gt;0,SUMIFS(T_SelfStock[Self_Qty],T_SelfStock[RM_Code],$A68,T_SelfStock[WeekIndex],61)+SUMIFS(T_TTAFStock[TTAF_Qty],T_TTAFStock[RM_Code],$A68,T_TTAFStock[WeekIndex],61),BI68+'Grid_Incoming'!BJ68-'Grid_Requirement'!BJ68))</f>
        <v/>
      </c>
      <c r="BK68">
        <f>IF(COUNTIFS(T_StockCount[RM_Code],$A68,T_StockCount[WeekIndex],62)&gt;0,SUMIFS(T_StockCount[CountedQty],T_StockCount[RM_Code],$A68,T_StockCount[WeekIndex],62),IF((COUNTIFS(T_SelfStock[RM_Code],$A68,T_SelfStock[WeekIndex],62)&gt;0)*(COUNTIFS(T_TTAFStock[RM_Code],$A68,T_TTAFStock[WeekIndex],62)&gt;0)&gt;0,SUMIFS(T_SelfStock[Self_Qty],T_SelfStock[RM_Code],$A68,T_SelfStock[WeekIndex],62)+SUMIFS(T_TTAFStock[TTAF_Qty],T_TTAFStock[RM_Code],$A68,T_TTAFStock[WeekIndex],62),BJ68+'Grid_Incoming'!BK68-'Grid_Requirement'!BK68))</f>
        <v/>
      </c>
      <c r="BL68">
        <f>IF(COUNTIFS(T_StockCount[RM_Code],$A68,T_StockCount[WeekIndex],63)&gt;0,SUMIFS(T_StockCount[CountedQty],T_StockCount[RM_Code],$A68,T_StockCount[WeekIndex],63),IF((COUNTIFS(T_SelfStock[RM_Code],$A68,T_SelfStock[WeekIndex],63)&gt;0)*(COUNTIFS(T_TTAFStock[RM_Code],$A68,T_TTAFStock[WeekIndex],63)&gt;0)&gt;0,SUMIFS(T_SelfStock[Self_Qty],T_SelfStock[RM_Code],$A68,T_SelfStock[WeekIndex],63)+SUMIFS(T_TTAFStock[TTAF_Qty],T_TTAFStock[RM_Code],$A68,T_TTAFStock[WeekIndex],63),BK68+'Grid_Incoming'!BL68-'Grid_Requirement'!BL68))</f>
        <v/>
      </c>
      <c r="BM68">
        <f>IF(COUNTIFS(T_StockCount[RM_Code],$A68,T_StockCount[WeekIndex],64)&gt;0,SUMIFS(T_StockCount[CountedQty],T_StockCount[RM_Code],$A68,T_StockCount[WeekIndex],64),IF((COUNTIFS(T_SelfStock[RM_Code],$A68,T_SelfStock[WeekIndex],64)&gt;0)*(COUNTIFS(T_TTAFStock[RM_Code],$A68,T_TTAFStock[WeekIndex],64)&gt;0)&gt;0,SUMIFS(T_SelfStock[Self_Qty],T_SelfStock[RM_Code],$A68,T_SelfStock[WeekIndex],64)+SUMIFS(T_TTAFStock[TTAF_Qty],T_TTAFStock[RM_Code],$A68,T_TTAFStock[WeekIndex],64),BL68+'Grid_Incoming'!BM68-'Grid_Requirement'!BM68))</f>
        <v/>
      </c>
      <c r="BN68">
        <f>IF(COUNTIFS(T_StockCount[RM_Code],$A68,T_StockCount[WeekIndex],65)&gt;0,SUMIFS(T_StockCount[CountedQty],T_StockCount[RM_Code],$A68,T_StockCount[WeekIndex],65),IF((COUNTIFS(T_SelfStock[RM_Code],$A68,T_SelfStock[WeekIndex],65)&gt;0)*(COUNTIFS(T_TTAFStock[RM_Code],$A68,T_TTAFStock[WeekIndex],65)&gt;0)&gt;0,SUMIFS(T_SelfStock[Self_Qty],T_SelfStock[RM_Code],$A68,T_SelfStock[WeekIndex],65)+SUMIFS(T_TTAFStock[TTAF_Qty],T_TTAFStock[RM_Code],$A68,T_TTAFStock[WeekIndex],65),BM68+'Grid_Incoming'!BN68-'Grid_Requirement'!BN68))</f>
        <v/>
      </c>
      <c r="BO68">
        <f>IF(COUNTIFS(T_StockCount[RM_Code],$A68,T_StockCount[WeekIndex],66)&gt;0,SUMIFS(T_StockCount[CountedQty],T_StockCount[RM_Code],$A68,T_StockCount[WeekIndex],66),IF((COUNTIFS(T_SelfStock[RM_Code],$A68,T_SelfStock[WeekIndex],66)&gt;0)*(COUNTIFS(T_TTAFStock[RM_Code],$A68,T_TTAFStock[WeekIndex],66)&gt;0)&gt;0,SUMIFS(T_SelfStock[Self_Qty],T_SelfStock[RM_Code],$A68,T_SelfStock[WeekIndex],66)+SUMIFS(T_TTAFStock[TTAF_Qty],T_TTAFStock[RM_Code],$A68,T_TTAFStock[WeekIndex],66),BN68+'Grid_Incoming'!BO68-'Grid_Requirement'!BO68))</f>
        <v/>
      </c>
      <c r="BP68">
        <f>IF(COUNTIFS(T_StockCount[RM_Code],$A68,T_StockCount[WeekIndex],67)&gt;0,SUMIFS(T_StockCount[CountedQty],T_StockCount[RM_Code],$A68,T_StockCount[WeekIndex],67),IF((COUNTIFS(T_SelfStock[RM_Code],$A68,T_SelfStock[WeekIndex],67)&gt;0)*(COUNTIFS(T_TTAFStock[RM_Code],$A68,T_TTAFStock[WeekIndex],67)&gt;0)&gt;0,SUMIFS(T_SelfStock[Self_Qty],T_SelfStock[RM_Code],$A68,T_SelfStock[WeekIndex],67)+SUMIFS(T_TTAFStock[TTAF_Qty],T_TTAFStock[RM_Code],$A68,T_TTAFStock[WeekIndex],67),BO68+'Grid_Incoming'!BP68-'Grid_Requirement'!BP68))</f>
        <v/>
      </c>
      <c r="BQ68">
        <f>IF(COUNTIFS(T_StockCount[RM_Code],$A68,T_StockCount[WeekIndex],68)&gt;0,SUMIFS(T_StockCount[CountedQty],T_StockCount[RM_Code],$A68,T_StockCount[WeekIndex],68),IF((COUNTIFS(T_SelfStock[RM_Code],$A68,T_SelfStock[WeekIndex],68)&gt;0)*(COUNTIFS(T_TTAFStock[RM_Code],$A68,T_TTAFStock[WeekIndex],68)&gt;0)&gt;0,SUMIFS(T_SelfStock[Self_Qty],T_SelfStock[RM_Code],$A68,T_SelfStock[WeekIndex],68)+SUMIFS(T_TTAFStock[TTAF_Qty],T_TTAFStock[RM_Code],$A68,T_TTAFStock[WeekIndex],68),BP68+'Grid_Incoming'!BQ68-'Grid_Requirement'!BQ68))</f>
        <v/>
      </c>
      <c r="BR68">
        <f>IF(COUNTIFS(T_StockCount[RM_Code],$A68,T_StockCount[WeekIndex],69)&gt;0,SUMIFS(T_StockCount[CountedQty],T_StockCount[RM_Code],$A68,T_StockCount[WeekIndex],69),IF((COUNTIFS(T_SelfStock[RM_Code],$A68,T_SelfStock[WeekIndex],69)&gt;0)*(COUNTIFS(T_TTAFStock[RM_Code],$A68,T_TTAFStock[WeekIndex],69)&gt;0)&gt;0,SUMIFS(T_SelfStock[Self_Qty],T_SelfStock[RM_Code],$A68,T_SelfStock[WeekIndex],69)+SUMIFS(T_TTAFStock[TTAF_Qty],T_TTAFStock[RM_Code],$A68,T_TTAFStock[WeekIndex],69),BQ68+'Grid_Incoming'!BR68-'Grid_Requirement'!BR68))</f>
        <v/>
      </c>
      <c r="BS68">
        <f>IF(COUNTIFS(T_StockCount[RM_Code],$A68,T_StockCount[WeekIndex],70)&gt;0,SUMIFS(T_StockCount[CountedQty],T_StockCount[RM_Code],$A68,T_StockCount[WeekIndex],70),IF((COUNTIFS(T_SelfStock[RM_Code],$A68,T_SelfStock[WeekIndex],70)&gt;0)*(COUNTIFS(T_TTAFStock[RM_Code],$A68,T_TTAFStock[WeekIndex],70)&gt;0)&gt;0,SUMIFS(T_SelfStock[Self_Qty],T_SelfStock[RM_Code],$A68,T_SelfStock[WeekIndex],70)+SUMIFS(T_TTAFStock[TTAF_Qty],T_TTAFStock[RM_Code],$A68,T_TTAFStock[WeekIndex],70),BR68+'Grid_Incoming'!BS68-'Grid_Requirement'!BS68))</f>
        <v/>
      </c>
      <c r="BT68">
        <f>IF(COUNTIFS(T_StockCount[RM_Code],$A68,T_StockCount[WeekIndex],71)&gt;0,SUMIFS(T_StockCount[CountedQty],T_StockCount[RM_Code],$A68,T_StockCount[WeekIndex],71),IF((COUNTIFS(T_SelfStock[RM_Code],$A68,T_SelfStock[WeekIndex],71)&gt;0)*(COUNTIFS(T_TTAFStock[RM_Code],$A68,T_TTAFStock[WeekIndex],71)&gt;0)&gt;0,SUMIFS(T_SelfStock[Self_Qty],T_SelfStock[RM_Code],$A68,T_SelfStock[WeekIndex],71)+SUMIFS(T_TTAFStock[TTAF_Qty],T_TTAFStock[RM_Code],$A68,T_TTAFStock[WeekIndex],71),BS68+'Grid_Incoming'!BT68-'Grid_Requirement'!BT68))</f>
        <v/>
      </c>
      <c r="BU68">
        <f>IF(COUNTIFS(T_StockCount[RM_Code],$A68,T_StockCount[WeekIndex],72)&gt;0,SUMIFS(T_StockCount[CountedQty],T_StockCount[RM_Code],$A68,T_StockCount[WeekIndex],72),IF((COUNTIFS(T_SelfStock[RM_Code],$A68,T_SelfStock[WeekIndex],72)&gt;0)*(COUNTIFS(T_TTAFStock[RM_Code],$A68,T_TTAFStock[WeekIndex],72)&gt;0)&gt;0,SUMIFS(T_SelfStock[Self_Qty],T_SelfStock[RM_Code],$A68,T_SelfStock[WeekIndex],72)+SUMIFS(T_TTAFStock[TTAF_Qty],T_TTAFStock[RM_Code],$A68,T_TTAFStock[WeekIndex],72),BT68+'Grid_Incoming'!BU68-'Grid_Requirement'!BU68))</f>
        <v/>
      </c>
      <c r="BV68">
        <f>IF(COUNTIFS(T_StockCount[RM_Code],$A68,T_StockCount[WeekIndex],73)&gt;0,SUMIFS(T_StockCount[CountedQty],T_StockCount[RM_Code],$A68,T_StockCount[WeekIndex],73),IF((COUNTIFS(T_SelfStock[RM_Code],$A68,T_SelfStock[WeekIndex],73)&gt;0)*(COUNTIFS(T_TTAFStock[RM_Code],$A68,T_TTAFStock[WeekIndex],73)&gt;0)&gt;0,SUMIFS(T_SelfStock[Self_Qty],T_SelfStock[RM_Code],$A68,T_SelfStock[WeekIndex],73)+SUMIFS(T_TTAFStock[TTAF_Qty],T_TTAFStock[RM_Code],$A68,T_TTAFStock[WeekIndex],73),BU68+'Grid_Incoming'!BV68-'Grid_Requirement'!BV68))</f>
        <v/>
      </c>
      <c r="BW68">
        <f>IF(COUNTIFS(T_StockCount[RM_Code],$A68,T_StockCount[WeekIndex],74)&gt;0,SUMIFS(T_StockCount[CountedQty],T_StockCount[RM_Code],$A68,T_StockCount[WeekIndex],74),IF((COUNTIFS(T_SelfStock[RM_Code],$A68,T_SelfStock[WeekIndex],74)&gt;0)*(COUNTIFS(T_TTAFStock[RM_Code],$A68,T_TTAFStock[WeekIndex],74)&gt;0)&gt;0,SUMIFS(T_SelfStock[Self_Qty],T_SelfStock[RM_Code],$A68,T_SelfStock[WeekIndex],74)+SUMIFS(T_TTAFStock[TTAF_Qty],T_TTAFStock[RM_Code],$A68,T_TTAFStock[WeekIndex],74),BV68+'Grid_Incoming'!BW68-'Grid_Requirement'!BW68))</f>
        <v/>
      </c>
      <c r="BX68">
        <f>IF(COUNTIFS(T_StockCount[RM_Code],$A68,T_StockCount[WeekIndex],75)&gt;0,SUMIFS(T_StockCount[CountedQty],T_StockCount[RM_Code],$A68,T_StockCount[WeekIndex],75),IF((COUNTIFS(T_SelfStock[RM_Code],$A68,T_SelfStock[WeekIndex],75)&gt;0)*(COUNTIFS(T_TTAFStock[RM_Code],$A68,T_TTAFStock[WeekIndex],75)&gt;0)&gt;0,SUMIFS(T_SelfStock[Self_Qty],T_SelfStock[RM_Code],$A68,T_SelfStock[WeekIndex],75)+SUMIFS(T_TTAFStock[TTAF_Qty],T_TTAFStock[RM_Code],$A68,T_TTAFStock[WeekIndex],75),BW68+'Grid_Incoming'!BX68-'Grid_Requirement'!BX68))</f>
        <v/>
      </c>
      <c r="BY68">
        <f>IF(COUNTIFS(T_StockCount[RM_Code],$A68,T_StockCount[WeekIndex],76)&gt;0,SUMIFS(T_StockCount[CountedQty],T_StockCount[RM_Code],$A68,T_StockCount[WeekIndex],76),IF((COUNTIFS(T_SelfStock[RM_Code],$A68,T_SelfStock[WeekIndex],76)&gt;0)*(COUNTIFS(T_TTAFStock[RM_Code],$A68,T_TTAFStock[WeekIndex],76)&gt;0)&gt;0,SUMIFS(T_SelfStock[Self_Qty],T_SelfStock[RM_Code],$A68,T_SelfStock[WeekIndex],76)+SUMIFS(T_TTAFStock[TTAF_Qty],T_TTAFStock[RM_Code],$A68,T_TTAFStock[WeekIndex],76),BX68+'Grid_Incoming'!BY68-'Grid_Requirement'!BY68))</f>
        <v/>
      </c>
      <c r="BZ68">
        <f>IF(COUNTIFS(T_StockCount[RM_Code],$A68,T_StockCount[WeekIndex],77)&gt;0,SUMIFS(T_StockCount[CountedQty],T_StockCount[RM_Code],$A68,T_StockCount[WeekIndex],77),IF((COUNTIFS(T_SelfStock[RM_Code],$A68,T_SelfStock[WeekIndex],77)&gt;0)*(COUNTIFS(T_TTAFStock[RM_Code],$A68,T_TTAFStock[WeekIndex],77)&gt;0)&gt;0,SUMIFS(T_SelfStock[Self_Qty],T_SelfStock[RM_Code],$A68,T_SelfStock[WeekIndex],77)+SUMIFS(T_TTAFStock[TTAF_Qty],T_TTAFStock[RM_Code],$A68,T_TTAFStock[WeekIndex],77),BY68+'Grid_Incoming'!BZ68-'Grid_Requirement'!BZ68))</f>
        <v/>
      </c>
      <c r="CA68">
        <f>IF(COUNTIFS(T_StockCount[RM_Code],$A68,T_StockCount[WeekIndex],78)&gt;0,SUMIFS(T_StockCount[CountedQty],T_StockCount[RM_Code],$A68,T_StockCount[WeekIndex],78),IF((COUNTIFS(T_SelfStock[RM_Code],$A68,T_SelfStock[WeekIndex],78)&gt;0)*(COUNTIFS(T_TTAFStock[RM_Code],$A68,T_TTAFStock[WeekIndex],78)&gt;0)&gt;0,SUMIFS(T_SelfStock[Self_Qty],T_SelfStock[RM_Code],$A68,T_SelfStock[WeekIndex],78)+SUMIFS(T_TTAFStock[TTAF_Qty],T_TTAFStock[RM_Code],$A68,T_TTAFStock[WeekIndex],78),BZ68+'Grid_Incoming'!CA68-'Grid_Requirement'!CA68))</f>
        <v/>
      </c>
      <c r="CB68">
        <f>IF(COUNTIFS(T_StockCount[RM_Code],$A68,T_StockCount[WeekIndex],79)&gt;0,SUMIFS(T_StockCount[CountedQty],T_StockCount[RM_Code],$A68,T_StockCount[WeekIndex],79),IF((COUNTIFS(T_SelfStock[RM_Code],$A68,T_SelfStock[WeekIndex],79)&gt;0)*(COUNTIFS(T_TTAFStock[RM_Code],$A68,T_TTAFStock[WeekIndex],79)&gt;0)&gt;0,SUMIFS(T_SelfStock[Self_Qty],T_SelfStock[RM_Code],$A68,T_SelfStock[WeekIndex],79)+SUMIFS(T_TTAFStock[TTAF_Qty],T_TTAFStock[RM_Code],$A68,T_TTAFStock[WeekIndex],79),CA68+'Grid_Incoming'!CB68-'Grid_Requirement'!CB68))</f>
        <v/>
      </c>
      <c r="CC68">
        <f>IF(COUNTIFS(T_StockCount[RM_Code],$A68,T_StockCount[WeekIndex],80)&gt;0,SUMIFS(T_StockCount[CountedQty],T_StockCount[RM_Code],$A68,T_StockCount[WeekIndex],80),IF((COUNTIFS(T_SelfStock[RM_Code],$A68,T_SelfStock[WeekIndex],80)&gt;0)*(COUNTIFS(T_TTAFStock[RM_Code],$A68,T_TTAFStock[WeekIndex],80)&gt;0)&gt;0,SUMIFS(T_SelfStock[Self_Qty],T_SelfStock[RM_Code],$A68,T_SelfStock[WeekIndex],80)+SUMIFS(T_TTAFStock[TTAF_Qty],T_TTAFStock[RM_Code],$A68,T_TTAFStock[WeekIndex],80),CB68+'Grid_Incoming'!CC68-'Grid_Requirement'!CC68))</f>
        <v/>
      </c>
      <c r="CD68">
        <f>IF(COUNTIFS(T_StockCount[RM_Code],$A68,T_StockCount[WeekIndex],81)&gt;0,SUMIFS(T_StockCount[CountedQty],T_StockCount[RM_Code],$A68,T_StockCount[WeekIndex],81),IF((COUNTIFS(T_SelfStock[RM_Code],$A68,T_SelfStock[WeekIndex],81)&gt;0)*(COUNTIFS(T_TTAFStock[RM_Code],$A68,T_TTAFStock[WeekIndex],81)&gt;0)&gt;0,SUMIFS(T_SelfStock[Self_Qty],T_SelfStock[RM_Code],$A68,T_SelfStock[WeekIndex],81)+SUMIFS(T_TTAFStock[TTAF_Qty],T_TTAFStock[RM_Code],$A68,T_TTAFStock[WeekIndex],81),CC68+'Grid_Incoming'!CD68-'Grid_Requirement'!CD68))</f>
        <v/>
      </c>
      <c r="CE68">
        <f>IF(COUNTIFS(T_StockCount[RM_Code],$A68,T_StockCount[WeekIndex],82)&gt;0,SUMIFS(T_StockCount[CountedQty],T_StockCount[RM_Code],$A68,T_StockCount[WeekIndex],82),IF((COUNTIFS(T_SelfStock[RM_Code],$A68,T_SelfStock[WeekIndex],82)&gt;0)*(COUNTIFS(T_TTAFStock[RM_Code],$A68,T_TTAFStock[WeekIndex],82)&gt;0)&gt;0,SUMIFS(T_SelfStock[Self_Qty],T_SelfStock[RM_Code],$A68,T_SelfStock[WeekIndex],82)+SUMIFS(T_TTAFStock[TTAF_Qty],T_TTAFStock[RM_Code],$A68,T_TTAFStock[WeekIndex],82),CD68+'Grid_Incoming'!CE68-'Grid_Requirement'!CE68))</f>
        <v/>
      </c>
      <c r="CF68">
        <f>IF(COUNTIFS(T_StockCount[RM_Code],$A68,T_StockCount[WeekIndex],83)&gt;0,SUMIFS(T_StockCount[CountedQty],T_StockCount[RM_Code],$A68,T_StockCount[WeekIndex],83),IF((COUNTIFS(T_SelfStock[RM_Code],$A68,T_SelfStock[WeekIndex],83)&gt;0)*(COUNTIFS(T_TTAFStock[RM_Code],$A68,T_TTAFStock[WeekIndex],83)&gt;0)&gt;0,SUMIFS(T_SelfStock[Self_Qty],T_SelfStock[RM_Code],$A68,T_SelfStock[WeekIndex],83)+SUMIFS(T_TTAFStock[TTAF_Qty],T_TTAFStock[RM_Code],$A68,T_TTAFStock[WeekIndex],83),CE68+'Grid_Incoming'!CF68-'Grid_Requirement'!CF68))</f>
        <v/>
      </c>
      <c r="CG68">
        <f>IF(COUNTIFS(T_StockCount[RM_Code],$A68,T_StockCount[WeekIndex],84)&gt;0,SUMIFS(T_StockCount[CountedQty],T_StockCount[RM_Code],$A68,T_StockCount[WeekIndex],84),IF((COUNTIFS(T_SelfStock[RM_Code],$A68,T_SelfStock[WeekIndex],84)&gt;0)*(COUNTIFS(T_TTAFStock[RM_Code],$A68,T_TTAFStock[WeekIndex],84)&gt;0)&gt;0,SUMIFS(T_SelfStock[Self_Qty],T_SelfStock[RM_Code],$A68,T_SelfStock[WeekIndex],84)+SUMIFS(T_TTAFStock[TTAF_Qty],T_TTAFStock[RM_Code],$A68,T_TTAFStock[WeekIndex],84),CF68+'Grid_Incoming'!CG68-'Grid_Requirement'!CG68))</f>
        <v/>
      </c>
      <c r="CH68">
        <f>IF(COUNTIFS(T_StockCount[RM_Code],$A68,T_StockCount[WeekIndex],85)&gt;0,SUMIFS(T_StockCount[CountedQty],T_StockCount[RM_Code],$A68,T_StockCount[WeekIndex],85),IF((COUNTIFS(T_SelfStock[RM_Code],$A68,T_SelfStock[WeekIndex],85)&gt;0)*(COUNTIFS(T_TTAFStock[RM_Code],$A68,T_TTAFStock[WeekIndex],85)&gt;0)&gt;0,SUMIFS(T_SelfStock[Self_Qty],T_SelfStock[RM_Code],$A68,T_SelfStock[WeekIndex],85)+SUMIFS(T_TTAFStock[TTAF_Qty],T_TTAFStock[RM_Code],$A68,T_TTAFStock[WeekIndex],85),CG68+'Grid_Incoming'!CH68-'Grid_Requirement'!CH68))</f>
        <v/>
      </c>
      <c r="CI68">
        <f>IF(COUNTIFS(T_StockCount[RM_Code],$A68,T_StockCount[WeekIndex],86)&gt;0,SUMIFS(T_StockCount[CountedQty],T_StockCount[RM_Code],$A68,T_StockCount[WeekIndex],86),IF((COUNTIFS(T_SelfStock[RM_Code],$A68,T_SelfStock[WeekIndex],86)&gt;0)*(COUNTIFS(T_TTAFStock[RM_Code],$A68,T_TTAFStock[WeekIndex],86)&gt;0)&gt;0,SUMIFS(T_SelfStock[Self_Qty],T_SelfStock[RM_Code],$A68,T_SelfStock[WeekIndex],86)+SUMIFS(T_TTAFStock[TTAF_Qty],T_TTAFStock[RM_Code],$A68,T_TTAFStock[WeekIndex],86),CH68+'Grid_Incoming'!CI68-'Grid_Requirement'!CI68))</f>
        <v/>
      </c>
      <c r="CJ68">
        <f>IF(COUNTIFS(T_StockCount[RM_Code],$A68,T_StockCount[WeekIndex],87)&gt;0,SUMIFS(T_StockCount[CountedQty],T_StockCount[RM_Code],$A68,T_StockCount[WeekIndex],87),IF((COUNTIFS(T_SelfStock[RM_Code],$A68,T_SelfStock[WeekIndex],87)&gt;0)*(COUNTIFS(T_TTAFStock[RM_Code],$A68,T_TTAFStock[WeekIndex],87)&gt;0)&gt;0,SUMIFS(T_SelfStock[Self_Qty],T_SelfStock[RM_Code],$A68,T_SelfStock[WeekIndex],87)+SUMIFS(T_TTAFStock[TTAF_Qty],T_TTAFStock[RM_Code],$A68,T_TTAFStock[WeekIndex],87),CI68+'Grid_Incoming'!CJ68-'Grid_Requirement'!CJ68))</f>
        <v/>
      </c>
      <c r="CK68">
        <f>IF(COUNTIFS(T_StockCount[RM_Code],$A68,T_StockCount[WeekIndex],88)&gt;0,SUMIFS(T_StockCount[CountedQty],T_StockCount[RM_Code],$A68,T_StockCount[WeekIndex],88),IF((COUNTIFS(T_SelfStock[RM_Code],$A68,T_SelfStock[WeekIndex],88)&gt;0)*(COUNTIFS(T_TTAFStock[RM_Code],$A68,T_TTAFStock[WeekIndex],88)&gt;0)&gt;0,SUMIFS(T_SelfStock[Self_Qty],T_SelfStock[RM_Code],$A68,T_SelfStock[WeekIndex],88)+SUMIFS(T_TTAFStock[TTAF_Qty],T_TTAFStock[RM_Code],$A68,T_TTAFStock[WeekIndex],88),CJ68+'Grid_Incoming'!CK68-'Grid_Requirement'!CK68))</f>
        <v/>
      </c>
      <c r="CL68">
        <f>IF(COUNTIFS(T_StockCount[RM_Code],$A68,T_StockCount[WeekIndex],89)&gt;0,SUMIFS(T_StockCount[CountedQty],T_StockCount[RM_Code],$A68,T_StockCount[WeekIndex],89),IF((COUNTIFS(T_SelfStock[RM_Code],$A68,T_SelfStock[WeekIndex],89)&gt;0)*(COUNTIFS(T_TTAFStock[RM_Code],$A68,T_TTAFStock[WeekIndex],89)&gt;0)&gt;0,SUMIFS(T_SelfStock[Self_Qty],T_SelfStock[RM_Code],$A68,T_SelfStock[WeekIndex],89)+SUMIFS(T_TTAFStock[TTAF_Qty],T_TTAFStock[RM_Code],$A68,T_TTAFStock[WeekIndex],89),CK68+'Grid_Incoming'!CL68-'Grid_Requirement'!CL68))</f>
        <v/>
      </c>
      <c r="CM68">
        <f>IF(COUNTIFS(T_StockCount[RM_Code],$A68,T_StockCount[WeekIndex],90)&gt;0,SUMIFS(T_StockCount[CountedQty],T_StockCount[RM_Code],$A68,T_StockCount[WeekIndex],90),IF((COUNTIFS(T_SelfStock[RM_Code],$A68,T_SelfStock[WeekIndex],90)&gt;0)*(COUNTIFS(T_TTAFStock[RM_Code],$A68,T_TTAFStock[WeekIndex],90)&gt;0)&gt;0,SUMIFS(T_SelfStock[Self_Qty],T_SelfStock[RM_Code],$A68,T_SelfStock[WeekIndex],90)+SUMIFS(T_TTAFStock[TTAF_Qty],T_TTAFStock[RM_Code],$A68,T_TTAFStock[WeekIndex],90),CL68+'Grid_Incoming'!CM68-'Grid_Requirement'!CM68))</f>
        <v/>
      </c>
      <c r="CN68">
        <f>IF(COUNTIFS(T_StockCount[RM_Code],$A68,T_StockCount[WeekIndex],91)&gt;0,SUMIFS(T_StockCount[CountedQty],T_StockCount[RM_Code],$A68,T_StockCount[WeekIndex],91),IF((COUNTIFS(T_SelfStock[RM_Code],$A68,T_SelfStock[WeekIndex],91)&gt;0)*(COUNTIFS(T_TTAFStock[RM_Code],$A68,T_TTAFStock[WeekIndex],91)&gt;0)&gt;0,SUMIFS(T_SelfStock[Self_Qty],T_SelfStock[RM_Code],$A68,T_SelfStock[WeekIndex],91)+SUMIFS(T_TTAFStock[TTAF_Qty],T_TTAFStock[RM_Code],$A68,T_TTAFStock[WeekIndex],91),CM68+'Grid_Incoming'!CN68-'Grid_Requirement'!CN68))</f>
        <v/>
      </c>
      <c r="CO68">
        <f>IF(COUNTIFS(T_StockCount[RM_Code],$A68,T_StockCount[WeekIndex],92)&gt;0,SUMIFS(T_StockCount[CountedQty],T_StockCount[RM_Code],$A68,T_StockCount[WeekIndex],92),IF((COUNTIFS(T_SelfStock[RM_Code],$A68,T_SelfStock[WeekIndex],92)&gt;0)*(COUNTIFS(T_TTAFStock[RM_Code],$A68,T_TTAFStock[WeekIndex],92)&gt;0)&gt;0,SUMIFS(T_SelfStock[Self_Qty],T_SelfStock[RM_Code],$A68,T_SelfStock[WeekIndex],92)+SUMIFS(T_TTAFStock[TTAF_Qty],T_TTAFStock[RM_Code],$A68,T_TTAFStock[WeekIndex],92),CN68+'Grid_Incoming'!CO68-'Grid_Requirement'!CO68))</f>
        <v/>
      </c>
      <c r="CP68">
        <f>IF(COUNTIFS(T_StockCount[RM_Code],$A68,T_StockCount[WeekIndex],93)&gt;0,SUMIFS(T_StockCount[CountedQty],T_StockCount[RM_Code],$A68,T_StockCount[WeekIndex],93),IF((COUNTIFS(T_SelfStock[RM_Code],$A68,T_SelfStock[WeekIndex],93)&gt;0)*(COUNTIFS(T_TTAFStock[RM_Code],$A68,T_TTAFStock[WeekIndex],93)&gt;0)&gt;0,SUMIFS(T_SelfStock[Self_Qty],T_SelfStock[RM_Code],$A68,T_SelfStock[WeekIndex],93)+SUMIFS(T_TTAFStock[TTAF_Qty],T_TTAFStock[RM_Code],$A68,T_TTAFStock[WeekIndex],93),CO68+'Grid_Incoming'!CP68-'Grid_Requirement'!CP68))</f>
        <v/>
      </c>
      <c r="CQ68">
        <f>IF(COUNTIFS(T_StockCount[RM_Code],$A68,T_StockCount[WeekIndex],94)&gt;0,SUMIFS(T_StockCount[CountedQty],T_StockCount[RM_Code],$A68,T_StockCount[WeekIndex],94),IF((COUNTIFS(T_SelfStock[RM_Code],$A68,T_SelfStock[WeekIndex],94)&gt;0)*(COUNTIFS(T_TTAFStock[RM_Code],$A68,T_TTAFStock[WeekIndex],94)&gt;0)&gt;0,SUMIFS(T_SelfStock[Self_Qty],T_SelfStock[RM_Code],$A68,T_SelfStock[WeekIndex],94)+SUMIFS(T_TTAFStock[TTAF_Qty],T_TTAFStock[RM_Code],$A68,T_TTAFStock[WeekIndex],94),CP68+'Grid_Incoming'!CQ68-'Grid_Requirement'!CQ68))</f>
        <v/>
      </c>
      <c r="CR68">
        <f>IF(COUNTIFS(T_StockCount[RM_Code],$A68,T_StockCount[WeekIndex],95)&gt;0,SUMIFS(T_StockCount[CountedQty],T_StockCount[RM_Code],$A68,T_StockCount[WeekIndex],95),IF((COUNTIFS(T_SelfStock[RM_Code],$A68,T_SelfStock[WeekIndex],95)&gt;0)*(COUNTIFS(T_TTAFStock[RM_Code],$A68,T_TTAFStock[WeekIndex],95)&gt;0)&gt;0,SUMIFS(T_SelfStock[Self_Qty],T_SelfStock[RM_Code],$A68,T_SelfStock[WeekIndex],95)+SUMIFS(T_TTAFStock[TTAF_Qty],T_TTAFStock[RM_Code],$A68,T_TTAFStock[WeekIndex],95),CQ68+'Grid_Incoming'!CR68-'Grid_Requirement'!CR68))</f>
        <v/>
      </c>
      <c r="CS68">
        <f>IF(COUNTIFS(T_StockCount[RM_Code],$A68,T_StockCount[WeekIndex],96)&gt;0,SUMIFS(T_StockCount[CountedQty],T_StockCount[RM_Code],$A68,T_StockCount[WeekIndex],96),IF((COUNTIFS(T_SelfStock[RM_Code],$A68,T_SelfStock[WeekIndex],96)&gt;0)*(COUNTIFS(T_TTAFStock[RM_Code],$A68,T_TTAFStock[WeekIndex],96)&gt;0)&gt;0,SUMIFS(T_SelfStock[Self_Qty],T_SelfStock[RM_Code],$A68,T_SelfStock[WeekIndex],96)+SUMIFS(T_TTAFStock[TTAF_Qty],T_TTAFStock[RM_Code],$A68,T_TTAFStock[WeekIndex],96),CR68+'Grid_Incoming'!CS68-'Grid_Requirement'!CS68))</f>
        <v/>
      </c>
      <c r="CT68">
        <f>IF(COUNTIFS(T_StockCount[RM_Code],$A68,T_StockCount[WeekIndex],97)&gt;0,SUMIFS(T_StockCount[CountedQty],T_StockCount[RM_Code],$A68,T_StockCount[WeekIndex],97),IF((COUNTIFS(T_SelfStock[RM_Code],$A68,T_SelfStock[WeekIndex],97)&gt;0)*(COUNTIFS(T_TTAFStock[RM_Code],$A68,T_TTAFStock[WeekIndex],97)&gt;0)&gt;0,SUMIFS(T_SelfStock[Self_Qty],T_SelfStock[RM_Code],$A68,T_SelfStock[WeekIndex],97)+SUMIFS(T_TTAFStock[TTAF_Qty],T_TTAFStock[RM_Code],$A68,T_TTAFStock[WeekIndex],97),CS68+'Grid_Incoming'!CT68-'Grid_Requirement'!CT68))</f>
        <v/>
      </c>
      <c r="CU68">
        <f>IF(COUNTIFS(T_StockCount[RM_Code],$A68,T_StockCount[WeekIndex],98)&gt;0,SUMIFS(T_StockCount[CountedQty],T_StockCount[RM_Code],$A68,T_StockCount[WeekIndex],98),IF((COUNTIFS(T_SelfStock[RM_Code],$A68,T_SelfStock[WeekIndex],98)&gt;0)*(COUNTIFS(T_TTAFStock[RM_Code],$A68,T_TTAFStock[WeekIndex],98)&gt;0)&gt;0,SUMIFS(T_SelfStock[Self_Qty],T_SelfStock[RM_Code],$A68,T_SelfStock[WeekIndex],98)+SUMIFS(T_TTAFStock[TTAF_Qty],T_TTAFStock[RM_Code],$A68,T_TTAFStock[WeekIndex],98),CT68+'Grid_Incoming'!CU68-'Grid_Requirement'!CU68))</f>
        <v/>
      </c>
      <c r="CV68">
        <f>IF(COUNTIFS(T_StockCount[RM_Code],$A68,T_StockCount[WeekIndex],99)&gt;0,SUMIFS(T_StockCount[CountedQty],T_StockCount[RM_Code],$A68,T_StockCount[WeekIndex],99),IF((COUNTIFS(T_SelfStock[RM_Code],$A68,T_SelfStock[WeekIndex],99)&gt;0)*(COUNTIFS(T_TTAFStock[RM_Code],$A68,T_TTAFStock[WeekIndex],99)&gt;0)&gt;0,SUMIFS(T_SelfStock[Self_Qty],T_SelfStock[RM_Code],$A68,T_SelfStock[WeekIndex],99)+SUMIFS(T_TTAFStock[TTAF_Qty],T_TTAFStock[RM_Code],$A68,T_TTAFStock[WeekIndex],99),CU68+'Grid_Incoming'!CV68-'Grid_Requirement'!CV68))</f>
        <v/>
      </c>
      <c r="CW68">
        <f>IF(COUNTIFS(T_StockCount[RM_Code],$A68,T_StockCount[WeekIndex],100)&gt;0,SUMIFS(T_StockCount[CountedQty],T_StockCount[RM_Code],$A68,T_StockCount[WeekIndex],100),IF((COUNTIFS(T_SelfStock[RM_Code],$A68,T_SelfStock[WeekIndex],100)&gt;0)*(COUNTIFS(T_TTAFStock[RM_Code],$A68,T_TTAFStock[WeekIndex],100)&gt;0)&gt;0,SUMIFS(T_SelfStock[Self_Qty],T_SelfStock[RM_Code],$A68,T_SelfStock[WeekIndex],100)+SUMIFS(T_TTAFStock[TTAF_Qty],T_TTAFStock[RM_Code],$A68,T_TTAFStock[WeekIndex],100),CV68+'Grid_Incoming'!CW68-'Grid_Requirement'!CW68))</f>
        <v/>
      </c>
      <c r="CX68">
        <f>IF(COUNTIFS(T_StockCount[RM_Code],$A68,T_StockCount[WeekIndex],101)&gt;0,SUMIFS(T_StockCount[CountedQty],T_StockCount[RM_Code],$A68,T_StockCount[WeekIndex],101),IF((COUNTIFS(T_SelfStock[RM_Code],$A68,T_SelfStock[WeekIndex],101)&gt;0)*(COUNTIFS(T_TTAFStock[RM_Code],$A68,T_TTAFStock[WeekIndex],101)&gt;0)&gt;0,SUMIFS(T_SelfStock[Self_Qty],T_SelfStock[RM_Code],$A68,T_SelfStock[WeekIndex],101)+SUMIFS(T_TTAFStock[TTAF_Qty],T_TTAFStock[RM_Code],$A68,T_TTAFStock[WeekIndex],101),CW68+'Grid_Incoming'!CX68-'Grid_Requirement'!CX68))</f>
        <v/>
      </c>
      <c r="CY68">
        <f>IF(COUNTIFS(T_StockCount[RM_Code],$A68,T_StockCount[WeekIndex],102)&gt;0,SUMIFS(T_StockCount[CountedQty],T_StockCount[RM_Code],$A68,T_StockCount[WeekIndex],102),IF((COUNTIFS(T_SelfStock[RM_Code],$A68,T_SelfStock[WeekIndex],102)&gt;0)*(COUNTIFS(T_TTAFStock[RM_Code],$A68,T_TTAFStock[WeekIndex],102)&gt;0)&gt;0,SUMIFS(T_SelfStock[Self_Qty],T_SelfStock[RM_Code],$A68,T_SelfStock[WeekIndex],102)+SUMIFS(T_TTAFStock[TTAF_Qty],T_TTAFStock[RM_Code],$A68,T_TTAFStock[WeekIndex],102),CX68+'Grid_Incoming'!CY68-'Grid_Requirement'!CY68))</f>
        <v/>
      </c>
      <c r="CZ68">
        <f>IF(COUNTIFS(T_StockCount[RM_Code],$A68,T_StockCount[WeekIndex],103)&gt;0,SUMIFS(T_StockCount[CountedQty],T_StockCount[RM_Code],$A68,T_StockCount[WeekIndex],103),IF((COUNTIFS(T_SelfStock[RM_Code],$A68,T_SelfStock[WeekIndex],103)&gt;0)*(COUNTIFS(T_TTAFStock[RM_Code],$A68,T_TTAFStock[WeekIndex],103)&gt;0)&gt;0,SUMIFS(T_SelfStock[Self_Qty],T_SelfStock[RM_Code],$A68,T_SelfStock[WeekIndex],103)+SUMIFS(T_TTAFStock[TTAF_Qty],T_TTAFStock[RM_Code],$A68,T_TTAFStock[WeekIndex],103),CY68+'Grid_Incoming'!CZ68-'Grid_Requirement'!CZ68))</f>
        <v/>
      </c>
      <c r="DA68">
        <f>IF(COUNTIFS(T_StockCount[RM_Code],$A68,T_StockCount[WeekIndex],104)&gt;0,SUMIFS(T_StockCount[CountedQty],T_StockCount[RM_Code],$A68,T_StockCount[WeekIndex],104),IF((COUNTIFS(T_SelfStock[RM_Code],$A68,T_SelfStock[WeekIndex],104)&gt;0)*(COUNTIFS(T_TTAFStock[RM_Code],$A68,T_TTAFStock[WeekIndex],104)&gt;0)&gt;0,SUMIFS(T_SelfStock[Self_Qty],T_SelfStock[RM_Code],$A68,T_SelfStock[WeekIndex],104)+SUMIFS(T_TTAFStock[TTAF_Qty],T_TTAFStock[RM_Code],$A68,T_TTAFStock[WeekIndex],104),CZ68+'Grid_Incoming'!DA68-'Grid_Requirement'!DA68))</f>
        <v/>
      </c>
    </row>
    <row r="69">
      <c r="A69" t="inlineStr">
        <is>
          <t>CHEM-1740</t>
        </is>
      </c>
      <c r="B69">
        <f>IF(COUNTIFS(T_StockCount[RM_Code],$A69,T_StockCount[WeekIndex],1)&gt;0,SUMIFS(T_StockCount[CountedQty],T_StockCount[RM_Code],$A69,T_StockCount[WeekIndex],1),IF((COUNTIFS(T_SelfStock[RM_Code],$A69,T_SelfStock[WeekIndex],1)&gt;0)*(COUNTIFS(T_TTAFStock[RM_Code],$A69,T_TTAFStock[WeekIndex],1)&gt;0)&gt;0,SUMIFS(T_SelfStock[Self_Qty],T_SelfStock[RM_Code],$A69,T_SelfStock[WeekIndex],1)+SUMIFS(T_TTAFStock[TTAF_Qty],T_TTAFStock[RM_Code],$A69,T_TTAFStock[WeekIndex],1),IFERROR(INDEX(T_OpeningStock[Opening_Qty],MATCH($A69,T_OpeningStock[RM_Code],0)),0)+'Grid_Incoming'!B69-'Grid_Requirement'!B69))</f>
        <v/>
      </c>
      <c r="C69">
        <f>IF(COUNTIFS(T_StockCount[RM_Code],$A69,T_StockCount[WeekIndex],2)&gt;0,SUMIFS(T_StockCount[CountedQty],T_StockCount[RM_Code],$A69,T_StockCount[WeekIndex],2),IF((COUNTIFS(T_SelfStock[RM_Code],$A69,T_SelfStock[WeekIndex],2)&gt;0)*(COUNTIFS(T_TTAFStock[RM_Code],$A69,T_TTAFStock[WeekIndex],2)&gt;0)&gt;0,SUMIFS(T_SelfStock[Self_Qty],T_SelfStock[RM_Code],$A69,T_SelfStock[WeekIndex],2)+SUMIFS(T_TTAFStock[TTAF_Qty],T_TTAFStock[RM_Code],$A69,T_TTAFStock[WeekIndex],2),B69+'Grid_Incoming'!C69-'Grid_Requirement'!C69))</f>
        <v/>
      </c>
      <c r="D69">
        <f>IF(COUNTIFS(T_StockCount[RM_Code],$A69,T_StockCount[WeekIndex],3)&gt;0,SUMIFS(T_StockCount[CountedQty],T_StockCount[RM_Code],$A69,T_StockCount[WeekIndex],3),IF((COUNTIFS(T_SelfStock[RM_Code],$A69,T_SelfStock[WeekIndex],3)&gt;0)*(COUNTIFS(T_TTAFStock[RM_Code],$A69,T_TTAFStock[WeekIndex],3)&gt;0)&gt;0,SUMIFS(T_SelfStock[Self_Qty],T_SelfStock[RM_Code],$A69,T_SelfStock[WeekIndex],3)+SUMIFS(T_TTAFStock[TTAF_Qty],T_TTAFStock[RM_Code],$A69,T_TTAFStock[WeekIndex],3),C69+'Grid_Incoming'!D69-'Grid_Requirement'!D69))</f>
        <v/>
      </c>
      <c r="E69">
        <f>IF(COUNTIFS(T_StockCount[RM_Code],$A69,T_StockCount[WeekIndex],4)&gt;0,SUMIFS(T_StockCount[CountedQty],T_StockCount[RM_Code],$A69,T_StockCount[WeekIndex],4),IF((COUNTIFS(T_SelfStock[RM_Code],$A69,T_SelfStock[WeekIndex],4)&gt;0)*(COUNTIFS(T_TTAFStock[RM_Code],$A69,T_TTAFStock[WeekIndex],4)&gt;0)&gt;0,SUMIFS(T_SelfStock[Self_Qty],T_SelfStock[RM_Code],$A69,T_SelfStock[WeekIndex],4)+SUMIFS(T_TTAFStock[TTAF_Qty],T_TTAFStock[RM_Code],$A69,T_TTAFStock[WeekIndex],4),D69+'Grid_Incoming'!E69-'Grid_Requirement'!E69))</f>
        <v/>
      </c>
      <c r="F69">
        <f>IF(COUNTIFS(T_StockCount[RM_Code],$A69,T_StockCount[WeekIndex],5)&gt;0,SUMIFS(T_StockCount[CountedQty],T_StockCount[RM_Code],$A69,T_StockCount[WeekIndex],5),IF((COUNTIFS(T_SelfStock[RM_Code],$A69,T_SelfStock[WeekIndex],5)&gt;0)*(COUNTIFS(T_TTAFStock[RM_Code],$A69,T_TTAFStock[WeekIndex],5)&gt;0)&gt;0,SUMIFS(T_SelfStock[Self_Qty],T_SelfStock[RM_Code],$A69,T_SelfStock[WeekIndex],5)+SUMIFS(T_TTAFStock[TTAF_Qty],T_TTAFStock[RM_Code],$A69,T_TTAFStock[WeekIndex],5),E69+'Grid_Incoming'!F69-'Grid_Requirement'!F69))</f>
        <v/>
      </c>
      <c r="G69">
        <f>IF(COUNTIFS(T_StockCount[RM_Code],$A69,T_StockCount[WeekIndex],6)&gt;0,SUMIFS(T_StockCount[CountedQty],T_StockCount[RM_Code],$A69,T_StockCount[WeekIndex],6),IF((COUNTIFS(T_SelfStock[RM_Code],$A69,T_SelfStock[WeekIndex],6)&gt;0)*(COUNTIFS(T_TTAFStock[RM_Code],$A69,T_TTAFStock[WeekIndex],6)&gt;0)&gt;0,SUMIFS(T_SelfStock[Self_Qty],T_SelfStock[RM_Code],$A69,T_SelfStock[WeekIndex],6)+SUMIFS(T_TTAFStock[TTAF_Qty],T_TTAFStock[RM_Code],$A69,T_TTAFStock[WeekIndex],6),F69+'Grid_Incoming'!G69-'Grid_Requirement'!G69))</f>
        <v/>
      </c>
      <c r="H69">
        <f>IF(COUNTIFS(T_StockCount[RM_Code],$A69,T_StockCount[WeekIndex],7)&gt;0,SUMIFS(T_StockCount[CountedQty],T_StockCount[RM_Code],$A69,T_StockCount[WeekIndex],7),IF((COUNTIFS(T_SelfStock[RM_Code],$A69,T_SelfStock[WeekIndex],7)&gt;0)*(COUNTIFS(T_TTAFStock[RM_Code],$A69,T_TTAFStock[WeekIndex],7)&gt;0)&gt;0,SUMIFS(T_SelfStock[Self_Qty],T_SelfStock[RM_Code],$A69,T_SelfStock[WeekIndex],7)+SUMIFS(T_TTAFStock[TTAF_Qty],T_TTAFStock[RM_Code],$A69,T_TTAFStock[WeekIndex],7),G69+'Grid_Incoming'!H69-'Grid_Requirement'!H69))</f>
        <v/>
      </c>
      <c r="I69">
        <f>IF(COUNTIFS(T_StockCount[RM_Code],$A69,T_StockCount[WeekIndex],8)&gt;0,SUMIFS(T_StockCount[CountedQty],T_StockCount[RM_Code],$A69,T_StockCount[WeekIndex],8),IF((COUNTIFS(T_SelfStock[RM_Code],$A69,T_SelfStock[WeekIndex],8)&gt;0)*(COUNTIFS(T_TTAFStock[RM_Code],$A69,T_TTAFStock[WeekIndex],8)&gt;0)&gt;0,SUMIFS(T_SelfStock[Self_Qty],T_SelfStock[RM_Code],$A69,T_SelfStock[WeekIndex],8)+SUMIFS(T_TTAFStock[TTAF_Qty],T_TTAFStock[RM_Code],$A69,T_TTAFStock[WeekIndex],8),H69+'Grid_Incoming'!I69-'Grid_Requirement'!I69))</f>
        <v/>
      </c>
      <c r="J69">
        <f>IF(COUNTIFS(T_StockCount[RM_Code],$A69,T_StockCount[WeekIndex],9)&gt;0,SUMIFS(T_StockCount[CountedQty],T_StockCount[RM_Code],$A69,T_StockCount[WeekIndex],9),IF((COUNTIFS(T_SelfStock[RM_Code],$A69,T_SelfStock[WeekIndex],9)&gt;0)*(COUNTIFS(T_TTAFStock[RM_Code],$A69,T_TTAFStock[WeekIndex],9)&gt;0)&gt;0,SUMIFS(T_SelfStock[Self_Qty],T_SelfStock[RM_Code],$A69,T_SelfStock[WeekIndex],9)+SUMIFS(T_TTAFStock[TTAF_Qty],T_TTAFStock[RM_Code],$A69,T_TTAFStock[WeekIndex],9),I69+'Grid_Incoming'!J69-'Grid_Requirement'!J69))</f>
        <v/>
      </c>
      <c r="K69">
        <f>IF(COUNTIFS(T_StockCount[RM_Code],$A69,T_StockCount[WeekIndex],10)&gt;0,SUMIFS(T_StockCount[CountedQty],T_StockCount[RM_Code],$A69,T_StockCount[WeekIndex],10),IF((COUNTIFS(T_SelfStock[RM_Code],$A69,T_SelfStock[WeekIndex],10)&gt;0)*(COUNTIFS(T_TTAFStock[RM_Code],$A69,T_TTAFStock[WeekIndex],10)&gt;0)&gt;0,SUMIFS(T_SelfStock[Self_Qty],T_SelfStock[RM_Code],$A69,T_SelfStock[WeekIndex],10)+SUMIFS(T_TTAFStock[TTAF_Qty],T_TTAFStock[RM_Code],$A69,T_TTAFStock[WeekIndex],10),J69+'Grid_Incoming'!K69-'Grid_Requirement'!K69))</f>
        <v/>
      </c>
      <c r="L69">
        <f>IF(COUNTIFS(T_StockCount[RM_Code],$A69,T_StockCount[WeekIndex],11)&gt;0,SUMIFS(T_StockCount[CountedQty],T_StockCount[RM_Code],$A69,T_StockCount[WeekIndex],11),IF((COUNTIFS(T_SelfStock[RM_Code],$A69,T_SelfStock[WeekIndex],11)&gt;0)*(COUNTIFS(T_TTAFStock[RM_Code],$A69,T_TTAFStock[WeekIndex],11)&gt;0)&gt;0,SUMIFS(T_SelfStock[Self_Qty],T_SelfStock[RM_Code],$A69,T_SelfStock[WeekIndex],11)+SUMIFS(T_TTAFStock[TTAF_Qty],T_TTAFStock[RM_Code],$A69,T_TTAFStock[WeekIndex],11),K69+'Grid_Incoming'!L69-'Grid_Requirement'!L69))</f>
        <v/>
      </c>
      <c r="M69">
        <f>IF(COUNTIFS(T_StockCount[RM_Code],$A69,T_StockCount[WeekIndex],12)&gt;0,SUMIFS(T_StockCount[CountedQty],T_StockCount[RM_Code],$A69,T_StockCount[WeekIndex],12),IF((COUNTIFS(T_SelfStock[RM_Code],$A69,T_SelfStock[WeekIndex],12)&gt;0)*(COUNTIFS(T_TTAFStock[RM_Code],$A69,T_TTAFStock[WeekIndex],12)&gt;0)&gt;0,SUMIFS(T_SelfStock[Self_Qty],T_SelfStock[RM_Code],$A69,T_SelfStock[WeekIndex],12)+SUMIFS(T_TTAFStock[TTAF_Qty],T_TTAFStock[RM_Code],$A69,T_TTAFStock[WeekIndex],12),L69+'Grid_Incoming'!M69-'Grid_Requirement'!M69))</f>
        <v/>
      </c>
      <c r="N69">
        <f>IF(COUNTIFS(T_StockCount[RM_Code],$A69,T_StockCount[WeekIndex],13)&gt;0,SUMIFS(T_StockCount[CountedQty],T_StockCount[RM_Code],$A69,T_StockCount[WeekIndex],13),IF((COUNTIFS(T_SelfStock[RM_Code],$A69,T_SelfStock[WeekIndex],13)&gt;0)*(COUNTIFS(T_TTAFStock[RM_Code],$A69,T_TTAFStock[WeekIndex],13)&gt;0)&gt;0,SUMIFS(T_SelfStock[Self_Qty],T_SelfStock[RM_Code],$A69,T_SelfStock[WeekIndex],13)+SUMIFS(T_TTAFStock[TTAF_Qty],T_TTAFStock[RM_Code],$A69,T_TTAFStock[WeekIndex],13),M69+'Grid_Incoming'!N69-'Grid_Requirement'!N69))</f>
        <v/>
      </c>
      <c r="O69">
        <f>IF(COUNTIFS(T_StockCount[RM_Code],$A69,T_StockCount[WeekIndex],14)&gt;0,SUMIFS(T_StockCount[CountedQty],T_StockCount[RM_Code],$A69,T_StockCount[WeekIndex],14),IF((COUNTIFS(T_SelfStock[RM_Code],$A69,T_SelfStock[WeekIndex],14)&gt;0)*(COUNTIFS(T_TTAFStock[RM_Code],$A69,T_TTAFStock[WeekIndex],14)&gt;0)&gt;0,SUMIFS(T_SelfStock[Self_Qty],T_SelfStock[RM_Code],$A69,T_SelfStock[WeekIndex],14)+SUMIFS(T_TTAFStock[TTAF_Qty],T_TTAFStock[RM_Code],$A69,T_TTAFStock[WeekIndex],14),N69+'Grid_Incoming'!O69-'Grid_Requirement'!O69))</f>
        <v/>
      </c>
      <c r="P69">
        <f>IF(COUNTIFS(T_StockCount[RM_Code],$A69,T_StockCount[WeekIndex],15)&gt;0,SUMIFS(T_StockCount[CountedQty],T_StockCount[RM_Code],$A69,T_StockCount[WeekIndex],15),IF((COUNTIFS(T_SelfStock[RM_Code],$A69,T_SelfStock[WeekIndex],15)&gt;0)*(COUNTIFS(T_TTAFStock[RM_Code],$A69,T_TTAFStock[WeekIndex],15)&gt;0)&gt;0,SUMIFS(T_SelfStock[Self_Qty],T_SelfStock[RM_Code],$A69,T_SelfStock[WeekIndex],15)+SUMIFS(T_TTAFStock[TTAF_Qty],T_TTAFStock[RM_Code],$A69,T_TTAFStock[WeekIndex],15),O69+'Grid_Incoming'!P69-'Grid_Requirement'!P69))</f>
        <v/>
      </c>
      <c r="Q69">
        <f>IF(COUNTIFS(T_StockCount[RM_Code],$A69,T_StockCount[WeekIndex],16)&gt;0,SUMIFS(T_StockCount[CountedQty],T_StockCount[RM_Code],$A69,T_StockCount[WeekIndex],16),IF((COUNTIFS(T_SelfStock[RM_Code],$A69,T_SelfStock[WeekIndex],16)&gt;0)*(COUNTIFS(T_TTAFStock[RM_Code],$A69,T_TTAFStock[WeekIndex],16)&gt;0)&gt;0,SUMIFS(T_SelfStock[Self_Qty],T_SelfStock[RM_Code],$A69,T_SelfStock[WeekIndex],16)+SUMIFS(T_TTAFStock[TTAF_Qty],T_TTAFStock[RM_Code],$A69,T_TTAFStock[WeekIndex],16),P69+'Grid_Incoming'!Q69-'Grid_Requirement'!Q69))</f>
        <v/>
      </c>
      <c r="R69">
        <f>IF(COUNTIFS(T_StockCount[RM_Code],$A69,T_StockCount[WeekIndex],17)&gt;0,SUMIFS(T_StockCount[CountedQty],T_StockCount[RM_Code],$A69,T_StockCount[WeekIndex],17),IF((COUNTIFS(T_SelfStock[RM_Code],$A69,T_SelfStock[WeekIndex],17)&gt;0)*(COUNTIFS(T_TTAFStock[RM_Code],$A69,T_TTAFStock[WeekIndex],17)&gt;0)&gt;0,SUMIFS(T_SelfStock[Self_Qty],T_SelfStock[RM_Code],$A69,T_SelfStock[WeekIndex],17)+SUMIFS(T_TTAFStock[TTAF_Qty],T_TTAFStock[RM_Code],$A69,T_TTAFStock[WeekIndex],17),Q69+'Grid_Incoming'!R69-'Grid_Requirement'!R69))</f>
        <v/>
      </c>
      <c r="S69">
        <f>IF(COUNTIFS(T_StockCount[RM_Code],$A69,T_StockCount[WeekIndex],18)&gt;0,SUMIFS(T_StockCount[CountedQty],T_StockCount[RM_Code],$A69,T_StockCount[WeekIndex],18),IF((COUNTIFS(T_SelfStock[RM_Code],$A69,T_SelfStock[WeekIndex],18)&gt;0)*(COUNTIFS(T_TTAFStock[RM_Code],$A69,T_TTAFStock[WeekIndex],18)&gt;0)&gt;0,SUMIFS(T_SelfStock[Self_Qty],T_SelfStock[RM_Code],$A69,T_SelfStock[WeekIndex],18)+SUMIFS(T_TTAFStock[TTAF_Qty],T_TTAFStock[RM_Code],$A69,T_TTAFStock[WeekIndex],18),R69+'Grid_Incoming'!S69-'Grid_Requirement'!S69))</f>
        <v/>
      </c>
      <c r="T69">
        <f>IF(COUNTIFS(T_StockCount[RM_Code],$A69,T_StockCount[WeekIndex],19)&gt;0,SUMIFS(T_StockCount[CountedQty],T_StockCount[RM_Code],$A69,T_StockCount[WeekIndex],19),IF((COUNTIFS(T_SelfStock[RM_Code],$A69,T_SelfStock[WeekIndex],19)&gt;0)*(COUNTIFS(T_TTAFStock[RM_Code],$A69,T_TTAFStock[WeekIndex],19)&gt;0)&gt;0,SUMIFS(T_SelfStock[Self_Qty],T_SelfStock[RM_Code],$A69,T_SelfStock[WeekIndex],19)+SUMIFS(T_TTAFStock[TTAF_Qty],T_TTAFStock[RM_Code],$A69,T_TTAFStock[WeekIndex],19),S69+'Grid_Incoming'!T69-'Grid_Requirement'!T69))</f>
        <v/>
      </c>
      <c r="U69">
        <f>IF(COUNTIFS(T_StockCount[RM_Code],$A69,T_StockCount[WeekIndex],20)&gt;0,SUMIFS(T_StockCount[CountedQty],T_StockCount[RM_Code],$A69,T_StockCount[WeekIndex],20),IF((COUNTIFS(T_SelfStock[RM_Code],$A69,T_SelfStock[WeekIndex],20)&gt;0)*(COUNTIFS(T_TTAFStock[RM_Code],$A69,T_TTAFStock[WeekIndex],20)&gt;0)&gt;0,SUMIFS(T_SelfStock[Self_Qty],T_SelfStock[RM_Code],$A69,T_SelfStock[WeekIndex],20)+SUMIFS(T_TTAFStock[TTAF_Qty],T_TTAFStock[RM_Code],$A69,T_TTAFStock[WeekIndex],20),T69+'Grid_Incoming'!U69-'Grid_Requirement'!U69))</f>
        <v/>
      </c>
      <c r="V69">
        <f>IF(COUNTIFS(T_StockCount[RM_Code],$A69,T_StockCount[WeekIndex],21)&gt;0,SUMIFS(T_StockCount[CountedQty],T_StockCount[RM_Code],$A69,T_StockCount[WeekIndex],21),IF((COUNTIFS(T_SelfStock[RM_Code],$A69,T_SelfStock[WeekIndex],21)&gt;0)*(COUNTIFS(T_TTAFStock[RM_Code],$A69,T_TTAFStock[WeekIndex],21)&gt;0)&gt;0,SUMIFS(T_SelfStock[Self_Qty],T_SelfStock[RM_Code],$A69,T_SelfStock[WeekIndex],21)+SUMIFS(T_TTAFStock[TTAF_Qty],T_TTAFStock[RM_Code],$A69,T_TTAFStock[WeekIndex],21),U69+'Grid_Incoming'!V69-'Grid_Requirement'!V69))</f>
        <v/>
      </c>
      <c r="W69">
        <f>IF(COUNTIFS(T_StockCount[RM_Code],$A69,T_StockCount[WeekIndex],22)&gt;0,SUMIFS(T_StockCount[CountedQty],T_StockCount[RM_Code],$A69,T_StockCount[WeekIndex],22),IF((COUNTIFS(T_SelfStock[RM_Code],$A69,T_SelfStock[WeekIndex],22)&gt;0)*(COUNTIFS(T_TTAFStock[RM_Code],$A69,T_TTAFStock[WeekIndex],22)&gt;0)&gt;0,SUMIFS(T_SelfStock[Self_Qty],T_SelfStock[RM_Code],$A69,T_SelfStock[WeekIndex],22)+SUMIFS(T_TTAFStock[TTAF_Qty],T_TTAFStock[RM_Code],$A69,T_TTAFStock[WeekIndex],22),V69+'Grid_Incoming'!W69-'Grid_Requirement'!W69))</f>
        <v/>
      </c>
      <c r="X69">
        <f>IF(COUNTIFS(T_StockCount[RM_Code],$A69,T_StockCount[WeekIndex],23)&gt;0,SUMIFS(T_StockCount[CountedQty],T_StockCount[RM_Code],$A69,T_StockCount[WeekIndex],23),IF((COUNTIFS(T_SelfStock[RM_Code],$A69,T_SelfStock[WeekIndex],23)&gt;0)*(COUNTIFS(T_TTAFStock[RM_Code],$A69,T_TTAFStock[WeekIndex],23)&gt;0)&gt;0,SUMIFS(T_SelfStock[Self_Qty],T_SelfStock[RM_Code],$A69,T_SelfStock[WeekIndex],23)+SUMIFS(T_TTAFStock[TTAF_Qty],T_TTAFStock[RM_Code],$A69,T_TTAFStock[WeekIndex],23),W69+'Grid_Incoming'!X69-'Grid_Requirement'!X69))</f>
        <v/>
      </c>
      <c r="Y69">
        <f>IF(COUNTIFS(T_StockCount[RM_Code],$A69,T_StockCount[WeekIndex],24)&gt;0,SUMIFS(T_StockCount[CountedQty],T_StockCount[RM_Code],$A69,T_StockCount[WeekIndex],24),IF((COUNTIFS(T_SelfStock[RM_Code],$A69,T_SelfStock[WeekIndex],24)&gt;0)*(COUNTIFS(T_TTAFStock[RM_Code],$A69,T_TTAFStock[WeekIndex],24)&gt;0)&gt;0,SUMIFS(T_SelfStock[Self_Qty],T_SelfStock[RM_Code],$A69,T_SelfStock[WeekIndex],24)+SUMIFS(T_TTAFStock[TTAF_Qty],T_TTAFStock[RM_Code],$A69,T_TTAFStock[WeekIndex],24),X69+'Grid_Incoming'!Y69-'Grid_Requirement'!Y69))</f>
        <v/>
      </c>
      <c r="Z69">
        <f>IF(COUNTIFS(T_StockCount[RM_Code],$A69,T_StockCount[WeekIndex],25)&gt;0,SUMIFS(T_StockCount[CountedQty],T_StockCount[RM_Code],$A69,T_StockCount[WeekIndex],25),IF((COUNTIFS(T_SelfStock[RM_Code],$A69,T_SelfStock[WeekIndex],25)&gt;0)*(COUNTIFS(T_TTAFStock[RM_Code],$A69,T_TTAFStock[WeekIndex],25)&gt;0)&gt;0,SUMIFS(T_SelfStock[Self_Qty],T_SelfStock[RM_Code],$A69,T_SelfStock[WeekIndex],25)+SUMIFS(T_TTAFStock[TTAF_Qty],T_TTAFStock[RM_Code],$A69,T_TTAFStock[WeekIndex],25),Y69+'Grid_Incoming'!Z69-'Grid_Requirement'!Z69))</f>
        <v/>
      </c>
      <c r="AA69">
        <f>IF(COUNTIFS(T_StockCount[RM_Code],$A69,T_StockCount[WeekIndex],26)&gt;0,SUMIFS(T_StockCount[CountedQty],T_StockCount[RM_Code],$A69,T_StockCount[WeekIndex],26),IF((COUNTIFS(T_SelfStock[RM_Code],$A69,T_SelfStock[WeekIndex],26)&gt;0)*(COUNTIFS(T_TTAFStock[RM_Code],$A69,T_TTAFStock[WeekIndex],26)&gt;0)&gt;0,SUMIFS(T_SelfStock[Self_Qty],T_SelfStock[RM_Code],$A69,T_SelfStock[WeekIndex],26)+SUMIFS(T_TTAFStock[TTAF_Qty],T_TTAFStock[RM_Code],$A69,T_TTAFStock[WeekIndex],26),Z69+'Grid_Incoming'!AA69-'Grid_Requirement'!AA69))</f>
        <v/>
      </c>
      <c r="AB69">
        <f>IF(COUNTIFS(T_StockCount[RM_Code],$A69,T_StockCount[WeekIndex],27)&gt;0,SUMIFS(T_StockCount[CountedQty],T_StockCount[RM_Code],$A69,T_StockCount[WeekIndex],27),IF((COUNTIFS(T_SelfStock[RM_Code],$A69,T_SelfStock[WeekIndex],27)&gt;0)*(COUNTIFS(T_TTAFStock[RM_Code],$A69,T_TTAFStock[WeekIndex],27)&gt;0)&gt;0,SUMIFS(T_SelfStock[Self_Qty],T_SelfStock[RM_Code],$A69,T_SelfStock[WeekIndex],27)+SUMIFS(T_TTAFStock[TTAF_Qty],T_TTAFStock[RM_Code],$A69,T_TTAFStock[WeekIndex],27),AA69+'Grid_Incoming'!AB69-'Grid_Requirement'!AB69))</f>
        <v/>
      </c>
      <c r="AC69">
        <f>IF(COUNTIFS(T_StockCount[RM_Code],$A69,T_StockCount[WeekIndex],28)&gt;0,SUMIFS(T_StockCount[CountedQty],T_StockCount[RM_Code],$A69,T_StockCount[WeekIndex],28),IF((COUNTIFS(T_SelfStock[RM_Code],$A69,T_SelfStock[WeekIndex],28)&gt;0)*(COUNTIFS(T_TTAFStock[RM_Code],$A69,T_TTAFStock[WeekIndex],28)&gt;0)&gt;0,SUMIFS(T_SelfStock[Self_Qty],T_SelfStock[RM_Code],$A69,T_SelfStock[WeekIndex],28)+SUMIFS(T_TTAFStock[TTAF_Qty],T_TTAFStock[RM_Code],$A69,T_TTAFStock[WeekIndex],28),AB69+'Grid_Incoming'!AC69-'Grid_Requirement'!AC69))</f>
        <v/>
      </c>
      <c r="AD69">
        <f>IF(COUNTIFS(T_StockCount[RM_Code],$A69,T_StockCount[WeekIndex],29)&gt;0,SUMIFS(T_StockCount[CountedQty],T_StockCount[RM_Code],$A69,T_StockCount[WeekIndex],29),IF((COUNTIFS(T_SelfStock[RM_Code],$A69,T_SelfStock[WeekIndex],29)&gt;0)*(COUNTIFS(T_TTAFStock[RM_Code],$A69,T_TTAFStock[WeekIndex],29)&gt;0)&gt;0,SUMIFS(T_SelfStock[Self_Qty],T_SelfStock[RM_Code],$A69,T_SelfStock[WeekIndex],29)+SUMIFS(T_TTAFStock[TTAF_Qty],T_TTAFStock[RM_Code],$A69,T_TTAFStock[WeekIndex],29),AC69+'Grid_Incoming'!AD69-'Grid_Requirement'!AD69))</f>
        <v/>
      </c>
      <c r="AE69">
        <f>IF(COUNTIFS(T_StockCount[RM_Code],$A69,T_StockCount[WeekIndex],30)&gt;0,SUMIFS(T_StockCount[CountedQty],T_StockCount[RM_Code],$A69,T_StockCount[WeekIndex],30),IF((COUNTIFS(T_SelfStock[RM_Code],$A69,T_SelfStock[WeekIndex],30)&gt;0)*(COUNTIFS(T_TTAFStock[RM_Code],$A69,T_TTAFStock[WeekIndex],30)&gt;0)&gt;0,SUMIFS(T_SelfStock[Self_Qty],T_SelfStock[RM_Code],$A69,T_SelfStock[WeekIndex],30)+SUMIFS(T_TTAFStock[TTAF_Qty],T_TTAFStock[RM_Code],$A69,T_TTAFStock[WeekIndex],30),AD69+'Grid_Incoming'!AE69-'Grid_Requirement'!AE69))</f>
        <v/>
      </c>
      <c r="AF69">
        <f>IF(COUNTIFS(T_StockCount[RM_Code],$A69,T_StockCount[WeekIndex],31)&gt;0,SUMIFS(T_StockCount[CountedQty],T_StockCount[RM_Code],$A69,T_StockCount[WeekIndex],31),IF((COUNTIFS(T_SelfStock[RM_Code],$A69,T_SelfStock[WeekIndex],31)&gt;0)*(COUNTIFS(T_TTAFStock[RM_Code],$A69,T_TTAFStock[WeekIndex],31)&gt;0)&gt;0,SUMIFS(T_SelfStock[Self_Qty],T_SelfStock[RM_Code],$A69,T_SelfStock[WeekIndex],31)+SUMIFS(T_TTAFStock[TTAF_Qty],T_TTAFStock[RM_Code],$A69,T_TTAFStock[WeekIndex],31),AE69+'Grid_Incoming'!AF69-'Grid_Requirement'!AF69))</f>
        <v/>
      </c>
      <c r="AG69">
        <f>IF(COUNTIFS(T_StockCount[RM_Code],$A69,T_StockCount[WeekIndex],32)&gt;0,SUMIFS(T_StockCount[CountedQty],T_StockCount[RM_Code],$A69,T_StockCount[WeekIndex],32),IF((COUNTIFS(T_SelfStock[RM_Code],$A69,T_SelfStock[WeekIndex],32)&gt;0)*(COUNTIFS(T_TTAFStock[RM_Code],$A69,T_TTAFStock[WeekIndex],32)&gt;0)&gt;0,SUMIFS(T_SelfStock[Self_Qty],T_SelfStock[RM_Code],$A69,T_SelfStock[WeekIndex],32)+SUMIFS(T_TTAFStock[TTAF_Qty],T_TTAFStock[RM_Code],$A69,T_TTAFStock[WeekIndex],32),AF69+'Grid_Incoming'!AG69-'Grid_Requirement'!AG69))</f>
        <v/>
      </c>
      <c r="AH69">
        <f>IF(COUNTIFS(T_StockCount[RM_Code],$A69,T_StockCount[WeekIndex],33)&gt;0,SUMIFS(T_StockCount[CountedQty],T_StockCount[RM_Code],$A69,T_StockCount[WeekIndex],33),IF((COUNTIFS(T_SelfStock[RM_Code],$A69,T_SelfStock[WeekIndex],33)&gt;0)*(COUNTIFS(T_TTAFStock[RM_Code],$A69,T_TTAFStock[WeekIndex],33)&gt;0)&gt;0,SUMIFS(T_SelfStock[Self_Qty],T_SelfStock[RM_Code],$A69,T_SelfStock[WeekIndex],33)+SUMIFS(T_TTAFStock[TTAF_Qty],T_TTAFStock[RM_Code],$A69,T_TTAFStock[WeekIndex],33),AG69+'Grid_Incoming'!AH69-'Grid_Requirement'!AH69))</f>
        <v/>
      </c>
      <c r="AI69">
        <f>IF(COUNTIFS(T_StockCount[RM_Code],$A69,T_StockCount[WeekIndex],34)&gt;0,SUMIFS(T_StockCount[CountedQty],T_StockCount[RM_Code],$A69,T_StockCount[WeekIndex],34),IF((COUNTIFS(T_SelfStock[RM_Code],$A69,T_SelfStock[WeekIndex],34)&gt;0)*(COUNTIFS(T_TTAFStock[RM_Code],$A69,T_TTAFStock[WeekIndex],34)&gt;0)&gt;0,SUMIFS(T_SelfStock[Self_Qty],T_SelfStock[RM_Code],$A69,T_SelfStock[WeekIndex],34)+SUMIFS(T_TTAFStock[TTAF_Qty],T_TTAFStock[RM_Code],$A69,T_TTAFStock[WeekIndex],34),AH69+'Grid_Incoming'!AI69-'Grid_Requirement'!AI69))</f>
        <v/>
      </c>
      <c r="AJ69">
        <f>IF(COUNTIFS(T_StockCount[RM_Code],$A69,T_StockCount[WeekIndex],35)&gt;0,SUMIFS(T_StockCount[CountedQty],T_StockCount[RM_Code],$A69,T_StockCount[WeekIndex],35),IF((COUNTIFS(T_SelfStock[RM_Code],$A69,T_SelfStock[WeekIndex],35)&gt;0)*(COUNTIFS(T_TTAFStock[RM_Code],$A69,T_TTAFStock[WeekIndex],35)&gt;0)&gt;0,SUMIFS(T_SelfStock[Self_Qty],T_SelfStock[RM_Code],$A69,T_SelfStock[WeekIndex],35)+SUMIFS(T_TTAFStock[TTAF_Qty],T_TTAFStock[RM_Code],$A69,T_TTAFStock[WeekIndex],35),AI69+'Grid_Incoming'!AJ69-'Grid_Requirement'!AJ69))</f>
        <v/>
      </c>
      <c r="AK69">
        <f>IF(COUNTIFS(T_StockCount[RM_Code],$A69,T_StockCount[WeekIndex],36)&gt;0,SUMIFS(T_StockCount[CountedQty],T_StockCount[RM_Code],$A69,T_StockCount[WeekIndex],36),IF((COUNTIFS(T_SelfStock[RM_Code],$A69,T_SelfStock[WeekIndex],36)&gt;0)*(COUNTIFS(T_TTAFStock[RM_Code],$A69,T_TTAFStock[WeekIndex],36)&gt;0)&gt;0,SUMIFS(T_SelfStock[Self_Qty],T_SelfStock[RM_Code],$A69,T_SelfStock[WeekIndex],36)+SUMIFS(T_TTAFStock[TTAF_Qty],T_TTAFStock[RM_Code],$A69,T_TTAFStock[WeekIndex],36),AJ69+'Grid_Incoming'!AK69-'Grid_Requirement'!AK69))</f>
        <v/>
      </c>
      <c r="AL69">
        <f>IF(COUNTIFS(T_StockCount[RM_Code],$A69,T_StockCount[WeekIndex],37)&gt;0,SUMIFS(T_StockCount[CountedQty],T_StockCount[RM_Code],$A69,T_StockCount[WeekIndex],37),IF((COUNTIFS(T_SelfStock[RM_Code],$A69,T_SelfStock[WeekIndex],37)&gt;0)*(COUNTIFS(T_TTAFStock[RM_Code],$A69,T_TTAFStock[WeekIndex],37)&gt;0)&gt;0,SUMIFS(T_SelfStock[Self_Qty],T_SelfStock[RM_Code],$A69,T_SelfStock[WeekIndex],37)+SUMIFS(T_TTAFStock[TTAF_Qty],T_TTAFStock[RM_Code],$A69,T_TTAFStock[WeekIndex],37),AK69+'Grid_Incoming'!AL69-'Grid_Requirement'!AL69))</f>
        <v/>
      </c>
      <c r="AM69">
        <f>IF(COUNTIFS(T_StockCount[RM_Code],$A69,T_StockCount[WeekIndex],38)&gt;0,SUMIFS(T_StockCount[CountedQty],T_StockCount[RM_Code],$A69,T_StockCount[WeekIndex],38),IF((COUNTIFS(T_SelfStock[RM_Code],$A69,T_SelfStock[WeekIndex],38)&gt;0)*(COUNTIFS(T_TTAFStock[RM_Code],$A69,T_TTAFStock[WeekIndex],38)&gt;0)&gt;0,SUMIFS(T_SelfStock[Self_Qty],T_SelfStock[RM_Code],$A69,T_SelfStock[WeekIndex],38)+SUMIFS(T_TTAFStock[TTAF_Qty],T_TTAFStock[RM_Code],$A69,T_TTAFStock[WeekIndex],38),AL69+'Grid_Incoming'!AM69-'Grid_Requirement'!AM69))</f>
        <v/>
      </c>
      <c r="AN69">
        <f>IF(COUNTIFS(T_StockCount[RM_Code],$A69,T_StockCount[WeekIndex],39)&gt;0,SUMIFS(T_StockCount[CountedQty],T_StockCount[RM_Code],$A69,T_StockCount[WeekIndex],39),IF((COUNTIFS(T_SelfStock[RM_Code],$A69,T_SelfStock[WeekIndex],39)&gt;0)*(COUNTIFS(T_TTAFStock[RM_Code],$A69,T_TTAFStock[WeekIndex],39)&gt;0)&gt;0,SUMIFS(T_SelfStock[Self_Qty],T_SelfStock[RM_Code],$A69,T_SelfStock[WeekIndex],39)+SUMIFS(T_TTAFStock[TTAF_Qty],T_TTAFStock[RM_Code],$A69,T_TTAFStock[WeekIndex],39),AM69+'Grid_Incoming'!AN69-'Grid_Requirement'!AN69))</f>
        <v/>
      </c>
      <c r="AO69">
        <f>IF(COUNTIFS(T_StockCount[RM_Code],$A69,T_StockCount[WeekIndex],40)&gt;0,SUMIFS(T_StockCount[CountedQty],T_StockCount[RM_Code],$A69,T_StockCount[WeekIndex],40),IF((COUNTIFS(T_SelfStock[RM_Code],$A69,T_SelfStock[WeekIndex],40)&gt;0)*(COUNTIFS(T_TTAFStock[RM_Code],$A69,T_TTAFStock[WeekIndex],40)&gt;0)&gt;0,SUMIFS(T_SelfStock[Self_Qty],T_SelfStock[RM_Code],$A69,T_SelfStock[WeekIndex],40)+SUMIFS(T_TTAFStock[TTAF_Qty],T_TTAFStock[RM_Code],$A69,T_TTAFStock[WeekIndex],40),AN69+'Grid_Incoming'!AO69-'Grid_Requirement'!AO69))</f>
        <v/>
      </c>
      <c r="AP69">
        <f>IF(COUNTIFS(T_StockCount[RM_Code],$A69,T_StockCount[WeekIndex],41)&gt;0,SUMIFS(T_StockCount[CountedQty],T_StockCount[RM_Code],$A69,T_StockCount[WeekIndex],41),IF((COUNTIFS(T_SelfStock[RM_Code],$A69,T_SelfStock[WeekIndex],41)&gt;0)*(COUNTIFS(T_TTAFStock[RM_Code],$A69,T_TTAFStock[WeekIndex],41)&gt;0)&gt;0,SUMIFS(T_SelfStock[Self_Qty],T_SelfStock[RM_Code],$A69,T_SelfStock[WeekIndex],41)+SUMIFS(T_TTAFStock[TTAF_Qty],T_TTAFStock[RM_Code],$A69,T_TTAFStock[WeekIndex],41),AO69+'Grid_Incoming'!AP69-'Grid_Requirement'!AP69))</f>
        <v/>
      </c>
      <c r="AQ69">
        <f>IF(COUNTIFS(T_StockCount[RM_Code],$A69,T_StockCount[WeekIndex],42)&gt;0,SUMIFS(T_StockCount[CountedQty],T_StockCount[RM_Code],$A69,T_StockCount[WeekIndex],42),IF((COUNTIFS(T_SelfStock[RM_Code],$A69,T_SelfStock[WeekIndex],42)&gt;0)*(COUNTIFS(T_TTAFStock[RM_Code],$A69,T_TTAFStock[WeekIndex],42)&gt;0)&gt;0,SUMIFS(T_SelfStock[Self_Qty],T_SelfStock[RM_Code],$A69,T_SelfStock[WeekIndex],42)+SUMIFS(T_TTAFStock[TTAF_Qty],T_TTAFStock[RM_Code],$A69,T_TTAFStock[WeekIndex],42),AP69+'Grid_Incoming'!AQ69-'Grid_Requirement'!AQ69))</f>
        <v/>
      </c>
      <c r="AR69">
        <f>IF(COUNTIFS(T_StockCount[RM_Code],$A69,T_StockCount[WeekIndex],43)&gt;0,SUMIFS(T_StockCount[CountedQty],T_StockCount[RM_Code],$A69,T_StockCount[WeekIndex],43),IF((COUNTIFS(T_SelfStock[RM_Code],$A69,T_SelfStock[WeekIndex],43)&gt;0)*(COUNTIFS(T_TTAFStock[RM_Code],$A69,T_TTAFStock[WeekIndex],43)&gt;0)&gt;0,SUMIFS(T_SelfStock[Self_Qty],T_SelfStock[RM_Code],$A69,T_SelfStock[WeekIndex],43)+SUMIFS(T_TTAFStock[TTAF_Qty],T_TTAFStock[RM_Code],$A69,T_TTAFStock[WeekIndex],43),AQ69+'Grid_Incoming'!AR69-'Grid_Requirement'!AR69))</f>
        <v/>
      </c>
      <c r="AS69">
        <f>IF(COUNTIFS(T_StockCount[RM_Code],$A69,T_StockCount[WeekIndex],44)&gt;0,SUMIFS(T_StockCount[CountedQty],T_StockCount[RM_Code],$A69,T_StockCount[WeekIndex],44),IF((COUNTIFS(T_SelfStock[RM_Code],$A69,T_SelfStock[WeekIndex],44)&gt;0)*(COUNTIFS(T_TTAFStock[RM_Code],$A69,T_TTAFStock[WeekIndex],44)&gt;0)&gt;0,SUMIFS(T_SelfStock[Self_Qty],T_SelfStock[RM_Code],$A69,T_SelfStock[WeekIndex],44)+SUMIFS(T_TTAFStock[TTAF_Qty],T_TTAFStock[RM_Code],$A69,T_TTAFStock[WeekIndex],44),AR69+'Grid_Incoming'!AS69-'Grid_Requirement'!AS69))</f>
        <v/>
      </c>
      <c r="AT69">
        <f>IF(COUNTIFS(T_StockCount[RM_Code],$A69,T_StockCount[WeekIndex],45)&gt;0,SUMIFS(T_StockCount[CountedQty],T_StockCount[RM_Code],$A69,T_StockCount[WeekIndex],45),IF((COUNTIFS(T_SelfStock[RM_Code],$A69,T_SelfStock[WeekIndex],45)&gt;0)*(COUNTIFS(T_TTAFStock[RM_Code],$A69,T_TTAFStock[WeekIndex],45)&gt;0)&gt;0,SUMIFS(T_SelfStock[Self_Qty],T_SelfStock[RM_Code],$A69,T_SelfStock[WeekIndex],45)+SUMIFS(T_TTAFStock[TTAF_Qty],T_TTAFStock[RM_Code],$A69,T_TTAFStock[WeekIndex],45),AS69+'Grid_Incoming'!AT69-'Grid_Requirement'!AT69))</f>
        <v/>
      </c>
      <c r="AU69">
        <f>IF(COUNTIFS(T_StockCount[RM_Code],$A69,T_StockCount[WeekIndex],46)&gt;0,SUMIFS(T_StockCount[CountedQty],T_StockCount[RM_Code],$A69,T_StockCount[WeekIndex],46),IF((COUNTIFS(T_SelfStock[RM_Code],$A69,T_SelfStock[WeekIndex],46)&gt;0)*(COUNTIFS(T_TTAFStock[RM_Code],$A69,T_TTAFStock[WeekIndex],46)&gt;0)&gt;0,SUMIFS(T_SelfStock[Self_Qty],T_SelfStock[RM_Code],$A69,T_SelfStock[WeekIndex],46)+SUMIFS(T_TTAFStock[TTAF_Qty],T_TTAFStock[RM_Code],$A69,T_TTAFStock[WeekIndex],46),AT69+'Grid_Incoming'!AU69-'Grid_Requirement'!AU69))</f>
        <v/>
      </c>
      <c r="AV69">
        <f>IF(COUNTIFS(T_StockCount[RM_Code],$A69,T_StockCount[WeekIndex],47)&gt;0,SUMIFS(T_StockCount[CountedQty],T_StockCount[RM_Code],$A69,T_StockCount[WeekIndex],47),IF((COUNTIFS(T_SelfStock[RM_Code],$A69,T_SelfStock[WeekIndex],47)&gt;0)*(COUNTIFS(T_TTAFStock[RM_Code],$A69,T_TTAFStock[WeekIndex],47)&gt;0)&gt;0,SUMIFS(T_SelfStock[Self_Qty],T_SelfStock[RM_Code],$A69,T_SelfStock[WeekIndex],47)+SUMIFS(T_TTAFStock[TTAF_Qty],T_TTAFStock[RM_Code],$A69,T_TTAFStock[WeekIndex],47),AU69+'Grid_Incoming'!AV69-'Grid_Requirement'!AV69))</f>
        <v/>
      </c>
      <c r="AW69">
        <f>IF(COUNTIFS(T_StockCount[RM_Code],$A69,T_StockCount[WeekIndex],48)&gt;0,SUMIFS(T_StockCount[CountedQty],T_StockCount[RM_Code],$A69,T_StockCount[WeekIndex],48),IF((COUNTIFS(T_SelfStock[RM_Code],$A69,T_SelfStock[WeekIndex],48)&gt;0)*(COUNTIFS(T_TTAFStock[RM_Code],$A69,T_TTAFStock[WeekIndex],48)&gt;0)&gt;0,SUMIFS(T_SelfStock[Self_Qty],T_SelfStock[RM_Code],$A69,T_SelfStock[WeekIndex],48)+SUMIFS(T_TTAFStock[TTAF_Qty],T_TTAFStock[RM_Code],$A69,T_TTAFStock[WeekIndex],48),AV69+'Grid_Incoming'!AW69-'Grid_Requirement'!AW69))</f>
        <v/>
      </c>
      <c r="AX69">
        <f>IF(COUNTIFS(T_StockCount[RM_Code],$A69,T_StockCount[WeekIndex],49)&gt;0,SUMIFS(T_StockCount[CountedQty],T_StockCount[RM_Code],$A69,T_StockCount[WeekIndex],49),IF((COUNTIFS(T_SelfStock[RM_Code],$A69,T_SelfStock[WeekIndex],49)&gt;0)*(COUNTIFS(T_TTAFStock[RM_Code],$A69,T_TTAFStock[WeekIndex],49)&gt;0)&gt;0,SUMIFS(T_SelfStock[Self_Qty],T_SelfStock[RM_Code],$A69,T_SelfStock[WeekIndex],49)+SUMIFS(T_TTAFStock[TTAF_Qty],T_TTAFStock[RM_Code],$A69,T_TTAFStock[WeekIndex],49),AW69+'Grid_Incoming'!AX69-'Grid_Requirement'!AX69))</f>
        <v/>
      </c>
      <c r="AY69">
        <f>IF(COUNTIFS(T_StockCount[RM_Code],$A69,T_StockCount[WeekIndex],50)&gt;0,SUMIFS(T_StockCount[CountedQty],T_StockCount[RM_Code],$A69,T_StockCount[WeekIndex],50),IF((COUNTIFS(T_SelfStock[RM_Code],$A69,T_SelfStock[WeekIndex],50)&gt;0)*(COUNTIFS(T_TTAFStock[RM_Code],$A69,T_TTAFStock[WeekIndex],50)&gt;0)&gt;0,SUMIFS(T_SelfStock[Self_Qty],T_SelfStock[RM_Code],$A69,T_SelfStock[WeekIndex],50)+SUMIFS(T_TTAFStock[TTAF_Qty],T_TTAFStock[RM_Code],$A69,T_TTAFStock[WeekIndex],50),AX69+'Grid_Incoming'!AY69-'Grid_Requirement'!AY69))</f>
        <v/>
      </c>
      <c r="AZ69">
        <f>IF(COUNTIFS(T_StockCount[RM_Code],$A69,T_StockCount[WeekIndex],51)&gt;0,SUMIFS(T_StockCount[CountedQty],T_StockCount[RM_Code],$A69,T_StockCount[WeekIndex],51),IF((COUNTIFS(T_SelfStock[RM_Code],$A69,T_SelfStock[WeekIndex],51)&gt;0)*(COUNTIFS(T_TTAFStock[RM_Code],$A69,T_TTAFStock[WeekIndex],51)&gt;0)&gt;0,SUMIFS(T_SelfStock[Self_Qty],T_SelfStock[RM_Code],$A69,T_SelfStock[WeekIndex],51)+SUMIFS(T_TTAFStock[TTAF_Qty],T_TTAFStock[RM_Code],$A69,T_TTAFStock[WeekIndex],51),AY69+'Grid_Incoming'!AZ69-'Grid_Requirement'!AZ69))</f>
        <v/>
      </c>
      <c r="BA69">
        <f>IF(COUNTIFS(T_StockCount[RM_Code],$A69,T_StockCount[WeekIndex],52)&gt;0,SUMIFS(T_StockCount[CountedQty],T_StockCount[RM_Code],$A69,T_StockCount[WeekIndex],52),IF((COUNTIFS(T_SelfStock[RM_Code],$A69,T_SelfStock[WeekIndex],52)&gt;0)*(COUNTIFS(T_TTAFStock[RM_Code],$A69,T_TTAFStock[WeekIndex],52)&gt;0)&gt;0,SUMIFS(T_SelfStock[Self_Qty],T_SelfStock[RM_Code],$A69,T_SelfStock[WeekIndex],52)+SUMIFS(T_TTAFStock[TTAF_Qty],T_TTAFStock[RM_Code],$A69,T_TTAFStock[WeekIndex],52),AZ69+'Grid_Incoming'!BA69-'Grid_Requirement'!BA69))</f>
        <v/>
      </c>
      <c r="BB69">
        <f>IF(COUNTIFS(T_StockCount[RM_Code],$A69,T_StockCount[WeekIndex],53)&gt;0,SUMIFS(T_StockCount[CountedQty],T_StockCount[RM_Code],$A69,T_StockCount[WeekIndex],53),IF((COUNTIFS(T_SelfStock[RM_Code],$A69,T_SelfStock[WeekIndex],53)&gt;0)*(COUNTIFS(T_TTAFStock[RM_Code],$A69,T_TTAFStock[WeekIndex],53)&gt;0)&gt;0,SUMIFS(T_SelfStock[Self_Qty],T_SelfStock[RM_Code],$A69,T_SelfStock[WeekIndex],53)+SUMIFS(T_TTAFStock[TTAF_Qty],T_TTAFStock[RM_Code],$A69,T_TTAFStock[WeekIndex],53),BA69+'Grid_Incoming'!BB69-'Grid_Requirement'!BB69))</f>
        <v/>
      </c>
      <c r="BC69">
        <f>IF(COUNTIFS(T_StockCount[RM_Code],$A69,T_StockCount[WeekIndex],54)&gt;0,SUMIFS(T_StockCount[CountedQty],T_StockCount[RM_Code],$A69,T_StockCount[WeekIndex],54),IF((COUNTIFS(T_SelfStock[RM_Code],$A69,T_SelfStock[WeekIndex],54)&gt;0)*(COUNTIFS(T_TTAFStock[RM_Code],$A69,T_TTAFStock[WeekIndex],54)&gt;0)&gt;0,SUMIFS(T_SelfStock[Self_Qty],T_SelfStock[RM_Code],$A69,T_SelfStock[WeekIndex],54)+SUMIFS(T_TTAFStock[TTAF_Qty],T_TTAFStock[RM_Code],$A69,T_TTAFStock[WeekIndex],54),BB69+'Grid_Incoming'!BC69-'Grid_Requirement'!BC69))</f>
        <v/>
      </c>
      <c r="BD69">
        <f>IF(COUNTIFS(T_StockCount[RM_Code],$A69,T_StockCount[WeekIndex],55)&gt;0,SUMIFS(T_StockCount[CountedQty],T_StockCount[RM_Code],$A69,T_StockCount[WeekIndex],55),IF((COUNTIFS(T_SelfStock[RM_Code],$A69,T_SelfStock[WeekIndex],55)&gt;0)*(COUNTIFS(T_TTAFStock[RM_Code],$A69,T_TTAFStock[WeekIndex],55)&gt;0)&gt;0,SUMIFS(T_SelfStock[Self_Qty],T_SelfStock[RM_Code],$A69,T_SelfStock[WeekIndex],55)+SUMIFS(T_TTAFStock[TTAF_Qty],T_TTAFStock[RM_Code],$A69,T_TTAFStock[WeekIndex],55),BC69+'Grid_Incoming'!BD69-'Grid_Requirement'!BD69))</f>
        <v/>
      </c>
      <c r="BE69">
        <f>IF(COUNTIFS(T_StockCount[RM_Code],$A69,T_StockCount[WeekIndex],56)&gt;0,SUMIFS(T_StockCount[CountedQty],T_StockCount[RM_Code],$A69,T_StockCount[WeekIndex],56),IF((COUNTIFS(T_SelfStock[RM_Code],$A69,T_SelfStock[WeekIndex],56)&gt;0)*(COUNTIFS(T_TTAFStock[RM_Code],$A69,T_TTAFStock[WeekIndex],56)&gt;0)&gt;0,SUMIFS(T_SelfStock[Self_Qty],T_SelfStock[RM_Code],$A69,T_SelfStock[WeekIndex],56)+SUMIFS(T_TTAFStock[TTAF_Qty],T_TTAFStock[RM_Code],$A69,T_TTAFStock[WeekIndex],56),BD69+'Grid_Incoming'!BE69-'Grid_Requirement'!BE69))</f>
        <v/>
      </c>
      <c r="BF69">
        <f>IF(COUNTIFS(T_StockCount[RM_Code],$A69,T_StockCount[WeekIndex],57)&gt;0,SUMIFS(T_StockCount[CountedQty],T_StockCount[RM_Code],$A69,T_StockCount[WeekIndex],57),IF((COUNTIFS(T_SelfStock[RM_Code],$A69,T_SelfStock[WeekIndex],57)&gt;0)*(COUNTIFS(T_TTAFStock[RM_Code],$A69,T_TTAFStock[WeekIndex],57)&gt;0)&gt;0,SUMIFS(T_SelfStock[Self_Qty],T_SelfStock[RM_Code],$A69,T_SelfStock[WeekIndex],57)+SUMIFS(T_TTAFStock[TTAF_Qty],T_TTAFStock[RM_Code],$A69,T_TTAFStock[WeekIndex],57),BE69+'Grid_Incoming'!BF69-'Grid_Requirement'!BF69))</f>
        <v/>
      </c>
      <c r="BG69">
        <f>IF(COUNTIFS(T_StockCount[RM_Code],$A69,T_StockCount[WeekIndex],58)&gt;0,SUMIFS(T_StockCount[CountedQty],T_StockCount[RM_Code],$A69,T_StockCount[WeekIndex],58),IF((COUNTIFS(T_SelfStock[RM_Code],$A69,T_SelfStock[WeekIndex],58)&gt;0)*(COUNTIFS(T_TTAFStock[RM_Code],$A69,T_TTAFStock[WeekIndex],58)&gt;0)&gt;0,SUMIFS(T_SelfStock[Self_Qty],T_SelfStock[RM_Code],$A69,T_SelfStock[WeekIndex],58)+SUMIFS(T_TTAFStock[TTAF_Qty],T_TTAFStock[RM_Code],$A69,T_TTAFStock[WeekIndex],58),BF69+'Grid_Incoming'!BG69-'Grid_Requirement'!BG69))</f>
        <v/>
      </c>
      <c r="BH69">
        <f>IF(COUNTIFS(T_StockCount[RM_Code],$A69,T_StockCount[WeekIndex],59)&gt;0,SUMIFS(T_StockCount[CountedQty],T_StockCount[RM_Code],$A69,T_StockCount[WeekIndex],59),IF((COUNTIFS(T_SelfStock[RM_Code],$A69,T_SelfStock[WeekIndex],59)&gt;0)*(COUNTIFS(T_TTAFStock[RM_Code],$A69,T_TTAFStock[WeekIndex],59)&gt;0)&gt;0,SUMIFS(T_SelfStock[Self_Qty],T_SelfStock[RM_Code],$A69,T_SelfStock[WeekIndex],59)+SUMIFS(T_TTAFStock[TTAF_Qty],T_TTAFStock[RM_Code],$A69,T_TTAFStock[WeekIndex],59),BG69+'Grid_Incoming'!BH69-'Grid_Requirement'!BH69))</f>
        <v/>
      </c>
      <c r="BI69">
        <f>IF(COUNTIFS(T_StockCount[RM_Code],$A69,T_StockCount[WeekIndex],60)&gt;0,SUMIFS(T_StockCount[CountedQty],T_StockCount[RM_Code],$A69,T_StockCount[WeekIndex],60),IF((COUNTIFS(T_SelfStock[RM_Code],$A69,T_SelfStock[WeekIndex],60)&gt;0)*(COUNTIFS(T_TTAFStock[RM_Code],$A69,T_TTAFStock[WeekIndex],60)&gt;0)&gt;0,SUMIFS(T_SelfStock[Self_Qty],T_SelfStock[RM_Code],$A69,T_SelfStock[WeekIndex],60)+SUMIFS(T_TTAFStock[TTAF_Qty],T_TTAFStock[RM_Code],$A69,T_TTAFStock[WeekIndex],60),BH69+'Grid_Incoming'!BI69-'Grid_Requirement'!BI69))</f>
        <v/>
      </c>
      <c r="BJ69">
        <f>IF(COUNTIFS(T_StockCount[RM_Code],$A69,T_StockCount[WeekIndex],61)&gt;0,SUMIFS(T_StockCount[CountedQty],T_StockCount[RM_Code],$A69,T_StockCount[WeekIndex],61),IF((COUNTIFS(T_SelfStock[RM_Code],$A69,T_SelfStock[WeekIndex],61)&gt;0)*(COUNTIFS(T_TTAFStock[RM_Code],$A69,T_TTAFStock[WeekIndex],61)&gt;0)&gt;0,SUMIFS(T_SelfStock[Self_Qty],T_SelfStock[RM_Code],$A69,T_SelfStock[WeekIndex],61)+SUMIFS(T_TTAFStock[TTAF_Qty],T_TTAFStock[RM_Code],$A69,T_TTAFStock[WeekIndex],61),BI69+'Grid_Incoming'!BJ69-'Grid_Requirement'!BJ69))</f>
        <v/>
      </c>
      <c r="BK69">
        <f>IF(COUNTIFS(T_StockCount[RM_Code],$A69,T_StockCount[WeekIndex],62)&gt;0,SUMIFS(T_StockCount[CountedQty],T_StockCount[RM_Code],$A69,T_StockCount[WeekIndex],62),IF((COUNTIFS(T_SelfStock[RM_Code],$A69,T_SelfStock[WeekIndex],62)&gt;0)*(COUNTIFS(T_TTAFStock[RM_Code],$A69,T_TTAFStock[WeekIndex],62)&gt;0)&gt;0,SUMIFS(T_SelfStock[Self_Qty],T_SelfStock[RM_Code],$A69,T_SelfStock[WeekIndex],62)+SUMIFS(T_TTAFStock[TTAF_Qty],T_TTAFStock[RM_Code],$A69,T_TTAFStock[WeekIndex],62),BJ69+'Grid_Incoming'!BK69-'Grid_Requirement'!BK69))</f>
        <v/>
      </c>
      <c r="BL69">
        <f>IF(COUNTIFS(T_StockCount[RM_Code],$A69,T_StockCount[WeekIndex],63)&gt;0,SUMIFS(T_StockCount[CountedQty],T_StockCount[RM_Code],$A69,T_StockCount[WeekIndex],63),IF((COUNTIFS(T_SelfStock[RM_Code],$A69,T_SelfStock[WeekIndex],63)&gt;0)*(COUNTIFS(T_TTAFStock[RM_Code],$A69,T_TTAFStock[WeekIndex],63)&gt;0)&gt;0,SUMIFS(T_SelfStock[Self_Qty],T_SelfStock[RM_Code],$A69,T_SelfStock[WeekIndex],63)+SUMIFS(T_TTAFStock[TTAF_Qty],T_TTAFStock[RM_Code],$A69,T_TTAFStock[WeekIndex],63),BK69+'Grid_Incoming'!BL69-'Grid_Requirement'!BL69))</f>
        <v/>
      </c>
      <c r="BM69">
        <f>IF(COUNTIFS(T_StockCount[RM_Code],$A69,T_StockCount[WeekIndex],64)&gt;0,SUMIFS(T_StockCount[CountedQty],T_StockCount[RM_Code],$A69,T_StockCount[WeekIndex],64),IF((COUNTIFS(T_SelfStock[RM_Code],$A69,T_SelfStock[WeekIndex],64)&gt;0)*(COUNTIFS(T_TTAFStock[RM_Code],$A69,T_TTAFStock[WeekIndex],64)&gt;0)&gt;0,SUMIFS(T_SelfStock[Self_Qty],T_SelfStock[RM_Code],$A69,T_SelfStock[WeekIndex],64)+SUMIFS(T_TTAFStock[TTAF_Qty],T_TTAFStock[RM_Code],$A69,T_TTAFStock[WeekIndex],64),BL69+'Grid_Incoming'!BM69-'Grid_Requirement'!BM69))</f>
        <v/>
      </c>
      <c r="BN69">
        <f>IF(COUNTIFS(T_StockCount[RM_Code],$A69,T_StockCount[WeekIndex],65)&gt;0,SUMIFS(T_StockCount[CountedQty],T_StockCount[RM_Code],$A69,T_StockCount[WeekIndex],65),IF((COUNTIFS(T_SelfStock[RM_Code],$A69,T_SelfStock[WeekIndex],65)&gt;0)*(COUNTIFS(T_TTAFStock[RM_Code],$A69,T_TTAFStock[WeekIndex],65)&gt;0)&gt;0,SUMIFS(T_SelfStock[Self_Qty],T_SelfStock[RM_Code],$A69,T_SelfStock[WeekIndex],65)+SUMIFS(T_TTAFStock[TTAF_Qty],T_TTAFStock[RM_Code],$A69,T_TTAFStock[WeekIndex],65),BM69+'Grid_Incoming'!BN69-'Grid_Requirement'!BN69))</f>
        <v/>
      </c>
      <c r="BO69">
        <f>IF(COUNTIFS(T_StockCount[RM_Code],$A69,T_StockCount[WeekIndex],66)&gt;0,SUMIFS(T_StockCount[CountedQty],T_StockCount[RM_Code],$A69,T_StockCount[WeekIndex],66),IF((COUNTIFS(T_SelfStock[RM_Code],$A69,T_SelfStock[WeekIndex],66)&gt;0)*(COUNTIFS(T_TTAFStock[RM_Code],$A69,T_TTAFStock[WeekIndex],66)&gt;0)&gt;0,SUMIFS(T_SelfStock[Self_Qty],T_SelfStock[RM_Code],$A69,T_SelfStock[WeekIndex],66)+SUMIFS(T_TTAFStock[TTAF_Qty],T_TTAFStock[RM_Code],$A69,T_TTAFStock[WeekIndex],66),BN69+'Grid_Incoming'!BO69-'Grid_Requirement'!BO69))</f>
        <v/>
      </c>
      <c r="BP69">
        <f>IF(COUNTIFS(T_StockCount[RM_Code],$A69,T_StockCount[WeekIndex],67)&gt;0,SUMIFS(T_StockCount[CountedQty],T_StockCount[RM_Code],$A69,T_StockCount[WeekIndex],67),IF((COUNTIFS(T_SelfStock[RM_Code],$A69,T_SelfStock[WeekIndex],67)&gt;0)*(COUNTIFS(T_TTAFStock[RM_Code],$A69,T_TTAFStock[WeekIndex],67)&gt;0)&gt;0,SUMIFS(T_SelfStock[Self_Qty],T_SelfStock[RM_Code],$A69,T_SelfStock[WeekIndex],67)+SUMIFS(T_TTAFStock[TTAF_Qty],T_TTAFStock[RM_Code],$A69,T_TTAFStock[WeekIndex],67),BO69+'Grid_Incoming'!BP69-'Grid_Requirement'!BP69))</f>
        <v/>
      </c>
      <c r="BQ69">
        <f>IF(COUNTIFS(T_StockCount[RM_Code],$A69,T_StockCount[WeekIndex],68)&gt;0,SUMIFS(T_StockCount[CountedQty],T_StockCount[RM_Code],$A69,T_StockCount[WeekIndex],68),IF((COUNTIFS(T_SelfStock[RM_Code],$A69,T_SelfStock[WeekIndex],68)&gt;0)*(COUNTIFS(T_TTAFStock[RM_Code],$A69,T_TTAFStock[WeekIndex],68)&gt;0)&gt;0,SUMIFS(T_SelfStock[Self_Qty],T_SelfStock[RM_Code],$A69,T_SelfStock[WeekIndex],68)+SUMIFS(T_TTAFStock[TTAF_Qty],T_TTAFStock[RM_Code],$A69,T_TTAFStock[WeekIndex],68),BP69+'Grid_Incoming'!BQ69-'Grid_Requirement'!BQ69))</f>
        <v/>
      </c>
      <c r="BR69">
        <f>IF(COUNTIFS(T_StockCount[RM_Code],$A69,T_StockCount[WeekIndex],69)&gt;0,SUMIFS(T_StockCount[CountedQty],T_StockCount[RM_Code],$A69,T_StockCount[WeekIndex],69),IF((COUNTIFS(T_SelfStock[RM_Code],$A69,T_SelfStock[WeekIndex],69)&gt;0)*(COUNTIFS(T_TTAFStock[RM_Code],$A69,T_TTAFStock[WeekIndex],69)&gt;0)&gt;0,SUMIFS(T_SelfStock[Self_Qty],T_SelfStock[RM_Code],$A69,T_SelfStock[WeekIndex],69)+SUMIFS(T_TTAFStock[TTAF_Qty],T_TTAFStock[RM_Code],$A69,T_TTAFStock[WeekIndex],69),BQ69+'Grid_Incoming'!BR69-'Grid_Requirement'!BR69))</f>
        <v/>
      </c>
      <c r="BS69">
        <f>IF(COUNTIFS(T_StockCount[RM_Code],$A69,T_StockCount[WeekIndex],70)&gt;0,SUMIFS(T_StockCount[CountedQty],T_StockCount[RM_Code],$A69,T_StockCount[WeekIndex],70),IF((COUNTIFS(T_SelfStock[RM_Code],$A69,T_SelfStock[WeekIndex],70)&gt;0)*(COUNTIFS(T_TTAFStock[RM_Code],$A69,T_TTAFStock[WeekIndex],70)&gt;0)&gt;0,SUMIFS(T_SelfStock[Self_Qty],T_SelfStock[RM_Code],$A69,T_SelfStock[WeekIndex],70)+SUMIFS(T_TTAFStock[TTAF_Qty],T_TTAFStock[RM_Code],$A69,T_TTAFStock[WeekIndex],70),BR69+'Grid_Incoming'!BS69-'Grid_Requirement'!BS69))</f>
        <v/>
      </c>
      <c r="BT69">
        <f>IF(COUNTIFS(T_StockCount[RM_Code],$A69,T_StockCount[WeekIndex],71)&gt;0,SUMIFS(T_StockCount[CountedQty],T_StockCount[RM_Code],$A69,T_StockCount[WeekIndex],71),IF((COUNTIFS(T_SelfStock[RM_Code],$A69,T_SelfStock[WeekIndex],71)&gt;0)*(COUNTIFS(T_TTAFStock[RM_Code],$A69,T_TTAFStock[WeekIndex],71)&gt;0)&gt;0,SUMIFS(T_SelfStock[Self_Qty],T_SelfStock[RM_Code],$A69,T_SelfStock[WeekIndex],71)+SUMIFS(T_TTAFStock[TTAF_Qty],T_TTAFStock[RM_Code],$A69,T_TTAFStock[WeekIndex],71),BS69+'Grid_Incoming'!BT69-'Grid_Requirement'!BT69))</f>
        <v/>
      </c>
      <c r="BU69">
        <f>IF(COUNTIFS(T_StockCount[RM_Code],$A69,T_StockCount[WeekIndex],72)&gt;0,SUMIFS(T_StockCount[CountedQty],T_StockCount[RM_Code],$A69,T_StockCount[WeekIndex],72),IF((COUNTIFS(T_SelfStock[RM_Code],$A69,T_SelfStock[WeekIndex],72)&gt;0)*(COUNTIFS(T_TTAFStock[RM_Code],$A69,T_TTAFStock[WeekIndex],72)&gt;0)&gt;0,SUMIFS(T_SelfStock[Self_Qty],T_SelfStock[RM_Code],$A69,T_SelfStock[WeekIndex],72)+SUMIFS(T_TTAFStock[TTAF_Qty],T_TTAFStock[RM_Code],$A69,T_TTAFStock[WeekIndex],72),BT69+'Grid_Incoming'!BU69-'Grid_Requirement'!BU69))</f>
        <v/>
      </c>
      <c r="BV69">
        <f>IF(COUNTIFS(T_StockCount[RM_Code],$A69,T_StockCount[WeekIndex],73)&gt;0,SUMIFS(T_StockCount[CountedQty],T_StockCount[RM_Code],$A69,T_StockCount[WeekIndex],73),IF((COUNTIFS(T_SelfStock[RM_Code],$A69,T_SelfStock[WeekIndex],73)&gt;0)*(COUNTIFS(T_TTAFStock[RM_Code],$A69,T_TTAFStock[WeekIndex],73)&gt;0)&gt;0,SUMIFS(T_SelfStock[Self_Qty],T_SelfStock[RM_Code],$A69,T_SelfStock[WeekIndex],73)+SUMIFS(T_TTAFStock[TTAF_Qty],T_TTAFStock[RM_Code],$A69,T_TTAFStock[WeekIndex],73),BU69+'Grid_Incoming'!BV69-'Grid_Requirement'!BV69))</f>
        <v/>
      </c>
      <c r="BW69">
        <f>IF(COUNTIFS(T_StockCount[RM_Code],$A69,T_StockCount[WeekIndex],74)&gt;0,SUMIFS(T_StockCount[CountedQty],T_StockCount[RM_Code],$A69,T_StockCount[WeekIndex],74),IF((COUNTIFS(T_SelfStock[RM_Code],$A69,T_SelfStock[WeekIndex],74)&gt;0)*(COUNTIFS(T_TTAFStock[RM_Code],$A69,T_TTAFStock[WeekIndex],74)&gt;0)&gt;0,SUMIFS(T_SelfStock[Self_Qty],T_SelfStock[RM_Code],$A69,T_SelfStock[WeekIndex],74)+SUMIFS(T_TTAFStock[TTAF_Qty],T_TTAFStock[RM_Code],$A69,T_TTAFStock[WeekIndex],74),BV69+'Grid_Incoming'!BW69-'Grid_Requirement'!BW69))</f>
        <v/>
      </c>
      <c r="BX69">
        <f>IF(COUNTIFS(T_StockCount[RM_Code],$A69,T_StockCount[WeekIndex],75)&gt;0,SUMIFS(T_StockCount[CountedQty],T_StockCount[RM_Code],$A69,T_StockCount[WeekIndex],75),IF((COUNTIFS(T_SelfStock[RM_Code],$A69,T_SelfStock[WeekIndex],75)&gt;0)*(COUNTIFS(T_TTAFStock[RM_Code],$A69,T_TTAFStock[WeekIndex],75)&gt;0)&gt;0,SUMIFS(T_SelfStock[Self_Qty],T_SelfStock[RM_Code],$A69,T_SelfStock[WeekIndex],75)+SUMIFS(T_TTAFStock[TTAF_Qty],T_TTAFStock[RM_Code],$A69,T_TTAFStock[WeekIndex],75),BW69+'Grid_Incoming'!BX69-'Grid_Requirement'!BX69))</f>
        <v/>
      </c>
      <c r="BY69">
        <f>IF(COUNTIFS(T_StockCount[RM_Code],$A69,T_StockCount[WeekIndex],76)&gt;0,SUMIFS(T_StockCount[CountedQty],T_StockCount[RM_Code],$A69,T_StockCount[WeekIndex],76),IF((COUNTIFS(T_SelfStock[RM_Code],$A69,T_SelfStock[WeekIndex],76)&gt;0)*(COUNTIFS(T_TTAFStock[RM_Code],$A69,T_TTAFStock[WeekIndex],76)&gt;0)&gt;0,SUMIFS(T_SelfStock[Self_Qty],T_SelfStock[RM_Code],$A69,T_SelfStock[WeekIndex],76)+SUMIFS(T_TTAFStock[TTAF_Qty],T_TTAFStock[RM_Code],$A69,T_TTAFStock[WeekIndex],76),BX69+'Grid_Incoming'!BY69-'Grid_Requirement'!BY69))</f>
        <v/>
      </c>
      <c r="BZ69">
        <f>IF(COUNTIFS(T_StockCount[RM_Code],$A69,T_StockCount[WeekIndex],77)&gt;0,SUMIFS(T_StockCount[CountedQty],T_StockCount[RM_Code],$A69,T_StockCount[WeekIndex],77),IF((COUNTIFS(T_SelfStock[RM_Code],$A69,T_SelfStock[WeekIndex],77)&gt;0)*(COUNTIFS(T_TTAFStock[RM_Code],$A69,T_TTAFStock[WeekIndex],77)&gt;0)&gt;0,SUMIFS(T_SelfStock[Self_Qty],T_SelfStock[RM_Code],$A69,T_SelfStock[WeekIndex],77)+SUMIFS(T_TTAFStock[TTAF_Qty],T_TTAFStock[RM_Code],$A69,T_TTAFStock[WeekIndex],77),BY69+'Grid_Incoming'!BZ69-'Grid_Requirement'!BZ69))</f>
        <v/>
      </c>
      <c r="CA69">
        <f>IF(COUNTIFS(T_StockCount[RM_Code],$A69,T_StockCount[WeekIndex],78)&gt;0,SUMIFS(T_StockCount[CountedQty],T_StockCount[RM_Code],$A69,T_StockCount[WeekIndex],78),IF((COUNTIFS(T_SelfStock[RM_Code],$A69,T_SelfStock[WeekIndex],78)&gt;0)*(COUNTIFS(T_TTAFStock[RM_Code],$A69,T_TTAFStock[WeekIndex],78)&gt;0)&gt;0,SUMIFS(T_SelfStock[Self_Qty],T_SelfStock[RM_Code],$A69,T_SelfStock[WeekIndex],78)+SUMIFS(T_TTAFStock[TTAF_Qty],T_TTAFStock[RM_Code],$A69,T_TTAFStock[WeekIndex],78),BZ69+'Grid_Incoming'!CA69-'Grid_Requirement'!CA69))</f>
        <v/>
      </c>
      <c r="CB69">
        <f>IF(COUNTIFS(T_StockCount[RM_Code],$A69,T_StockCount[WeekIndex],79)&gt;0,SUMIFS(T_StockCount[CountedQty],T_StockCount[RM_Code],$A69,T_StockCount[WeekIndex],79),IF((COUNTIFS(T_SelfStock[RM_Code],$A69,T_SelfStock[WeekIndex],79)&gt;0)*(COUNTIFS(T_TTAFStock[RM_Code],$A69,T_TTAFStock[WeekIndex],79)&gt;0)&gt;0,SUMIFS(T_SelfStock[Self_Qty],T_SelfStock[RM_Code],$A69,T_SelfStock[WeekIndex],79)+SUMIFS(T_TTAFStock[TTAF_Qty],T_TTAFStock[RM_Code],$A69,T_TTAFStock[WeekIndex],79),CA69+'Grid_Incoming'!CB69-'Grid_Requirement'!CB69))</f>
        <v/>
      </c>
      <c r="CC69">
        <f>IF(COUNTIFS(T_StockCount[RM_Code],$A69,T_StockCount[WeekIndex],80)&gt;0,SUMIFS(T_StockCount[CountedQty],T_StockCount[RM_Code],$A69,T_StockCount[WeekIndex],80),IF((COUNTIFS(T_SelfStock[RM_Code],$A69,T_SelfStock[WeekIndex],80)&gt;0)*(COUNTIFS(T_TTAFStock[RM_Code],$A69,T_TTAFStock[WeekIndex],80)&gt;0)&gt;0,SUMIFS(T_SelfStock[Self_Qty],T_SelfStock[RM_Code],$A69,T_SelfStock[WeekIndex],80)+SUMIFS(T_TTAFStock[TTAF_Qty],T_TTAFStock[RM_Code],$A69,T_TTAFStock[WeekIndex],80),CB69+'Grid_Incoming'!CC69-'Grid_Requirement'!CC69))</f>
        <v/>
      </c>
      <c r="CD69">
        <f>IF(COUNTIFS(T_StockCount[RM_Code],$A69,T_StockCount[WeekIndex],81)&gt;0,SUMIFS(T_StockCount[CountedQty],T_StockCount[RM_Code],$A69,T_StockCount[WeekIndex],81),IF((COUNTIFS(T_SelfStock[RM_Code],$A69,T_SelfStock[WeekIndex],81)&gt;0)*(COUNTIFS(T_TTAFStock[RM_Code],$A69,T_TTAFStock[WeekIndex],81)&gt;0)&gt;0,SUMIFS(T_SelfStock[Self_Qty],T_SelfStock[RM_Code],$A69,T_SelfStock[WeekIndex],81)+SUMIFS(T_TTAFStock[TTAF_Qty],T_TTAFStock[RM_Code],$A69,T_TTAFStock[WeekIndex],81),CC69+'Grid_Incoming'!CD69-'Grid_Requirement'!CD69))</f>
        <v/>
      </c>
      <c r="CE69">
        <f>IF(COUNTIFS(T_StockCount[RM_Code],$A69,T_StockCount[WeekIndex],82)&gt;0,SUMIFS(T_StockCount[CountedQty],T_StockCount[RM_Code],$A69,T_StockCount[WeekIndex],82),IF((COUNTIFS(T_SelfStock[RM_Code],$A69,T_SelfStock[WeekIndex],82)&gt;0)*(COUNTIFS(T_TTAFStock[RM_Code],$A69,T_TTAFStock[WeekIndex],82)&gt;0)&gt;0,SUMIFS(T_SelfStock[Self_Qty],T_SelfStock[RM_Code],$A69,T_SelfStock[WeekIndex],82)+SUMIFS(T_TTAFStock[TTAF_Qty],T_TTAFStock[RM_Code],$A69,T_TTAFStock[WeekIndex],82),CD69+'Grid_Incoming'!CE69-'Grid_Requirement'!CE69))</f>
        <v/>
      </c>
      <c r="CF69">
        <f>IF(COUNTIFS(T_StockCount[RM_Code],$A69,T_StockCount[WeekIndex],83)&gt;0,SUMIFS(T_StockCount[CountedQty],T_StockCount[RM_Code],$A69,T_StockCount[WeekIndex],83),IF((COUNTIFS(T_SelfStock[RM_Code],$A69,T_SelfStock[WeekIndex],83)&gt;0)*(COUNTIFS(T_TTAFStock[RM_Code],$A69,T_TTAFStock[WeekIndex],83)&gt;0)&gt;0,SUMIFS(T_SelfStock[Self_Qty],T_SelfStock[RM_Code],$A69,T_SelfStock[WeekIndex],83)+SUMIFS(T_TTAFStock[TTAF_Qty],T_TTAFStock[RM_Code],$A69,T_TTAFStock[WeekIndex],83),CE69+'Grid_Incoming'!CF69-'Grid_Requirement'!CF69))</f>
        <v/>
      </c>
      <c r="CG69">
        <f>IF(COUNTIFS(T_StockCount[RM_Code],$A69,T_StockCount[WeekIndex],84)&gt;0,SUMIFS(T_StockCount[CountedQty],T_StockCount[RM_Code],$A69,T_StockCount[WeekIndex],84),IF((COUNTIFS(T_SelfStock[RM_Code],$A69,T_SelfStock[WeekIndex],84)&gt;0)*(COUNTIFS(T_TTAFStock[RM_Code],$A69,T_TTAFStock[WeekIndex],84)&gt;0)&gt;0,SUMIFS(T_SelfStock[Self_Qty],T_SelfStock[RM_Code],$A69,T_SelfStock[WeekIndex],84)+SUMIFS(T_TTAFStock[TTAF_Qty],T_TTAFStock[RM_Code],$A69,T_TTAFStock[WeekIndex],84),CF69+'Grid_Incoming'!CG69-'Grid_Requirement'!CG69))</f>
        <v/>
      </c>
      <c r="CH69">
        <f>IF(COUNTIFS(T_StockCount[RM_Code],$A69,T_StockCount[WeekIndex],85)&gt;0,SUMIFS(T_StockCount[CountedQty],T_StockCount[RM_Code],$A69,T_StockCount[WeekIndex],85),IF((COUNTIFS(T_SelfStock[RM_Code],$A69,T_SelfStock[WeekIndex],85)&gt;0)*(COUNTIFS(T_TTAFStock[RM_Code],$A69,T_TTAFStock[WeekIndex],85)&gt;0)&gt;0,SUMIFS(T_SelfStock[Self_Qty],T_SelfStock[RM_Code],$A69,T_SelfStock[WeekIndex],85)+SUMIFS(T_TTAFStock[TTAF_Qty],T_TTAFStock[RM_Code],$A69,T_TTAFStock[WeekIndex],85),CG69+'Grid_Incoming'!CH69-'Grid_Requirement'!CH69))</f>
        <v/>
      </c>
      <c r="CI69">
        <f>IF(COUNTIFS(T_StockCount[RM_Code],$A69,T_StockCount[WeekIndex],86)&gt;0,SUMIFS(T_StockCount[CountedQty],T_StockCount[RM_Code],$A69,T_StockCount[WeekIndex],86),IF((COUNTIFS(T_SelfStock[RM_Code],$A69,T_SelfStock[WeekIndex],86)&gt;0)*(COUNTIFS(T_TTAFStock[RM_Code],$A69,T_TTAFStock[WeekIndex],86)&gt;0)&gt;0,SUMIFS(T_SelfStock[Self_Qty],T_SelfStock[RM_Code],$A69,T_SelfStock[WeekIndex],86)+SUMIFS(T_TTAFStock[TTAF_Qty],T_TTAFStock[RM_Code],$A69,T_TTAFStock[WeekIndex],86),CH69+'Grid_Incoming'!CI69-'Grid_Requirement'!CI69))</f>
        <v/>
      </c>
      <c r="CJ69">
        <f>IF(COUNTIFS(T_StockCount[RM_Code],$A69,T_StockCount[WeekIndex],87)&gt;0,SUMIFS(T_StockCount[CountedQty],T_StockCount[RM_Code],$A69,T_StockCount[WeekIndex],87),IF((COUNTIFS(T_SelfStock[RM_Code],$A69,T_SelfStock[WeekIndex],87)&gt;0)*(COUNTIFS(T_TTAFStock[RM_Code],$A69,T_TTAFStock[WeekIndex],87)&gt;0)&gt;0,SUMIFS(T_SelfStock[Self_Qty],T_SelfStock[RM_Code],$A69,T_SelfStock[WeekIndex],87)+SUMIFS(T_TTAFStock[TTAF_Qty],T_TTAFStock[RM_Code],$A69,T_TTAFStock[WeekIndex],87),CI69+'Grid_Incoming'!CJ69-'Grid_Requirement'!CJ69))</f>
        <v/>
      </c>
      <c r="CK69">
        <f>IF(COUNTIFS(T_StockCount[RM_Code],$A69,T_StockCount[WeekIndex],88)&gt;0,SUMIFS(T_StockCount[CountedQty],T_StockCount[RM_Code],$A69,T_StockCount[WeekIndex],88),IF((COUNTIFS(T_SelfStock[RM_Code],$A69,T_SelfStock[WeekIndex],88)&gt;0)*(COUNTIFS(T_TTAFStock[RM_Code],$A69,T_TTAFStock[WeekIndex],88)&gt;0)&gt;0,SUMIFS(T_SelfStock[Self_Qty],T_SelfStock[RM_Code],$A69,T_SelfStock[WeekIndex],88)+SUMIFS(T_TTAFStock[TTAF_Qty],T_TTAFStock[RM_Code],$A69,T_TTAFStock[WeekIndex],88),CJ69+'Grid_Incoming'!CK69-'Grid_Requirement'!CK69))</f>
        <v/>
      </c>
      <c r="CL69">
        <f>IF(COUNTIFS(T_StockCount[RM_Code],$A69,T_StockCount[WeekIndex],89)&gt;0,SUMIFS(T_StockCount[CountedQty],T_StockCount[RM_Code],$A69,T_StockCount[WeekIndex],89),IF((COUNTIFS(T_SelfStock[RM_Code],$A69,T_SelfStock[WeekIndex],89)&gt;0)*(COUNTIFS(T_TTAFStock[RM_Code],$A69,T_TTAFStock[WeekIndex],89)&gt;0)&gt;0,SUMIFS(T_SelfStock[Self_Qty],T_SelfStock[RM_Code],$A69,T_SelfStock[WeekIndex],89)+SUMIFS(T_TTAFStock[TTAF_Qty],T_TTAFStock[RM_Code],$A69,T_TTAFStock[WeekIndex],89),CK69+'Grid_Incoming'!CL69-'Grid_Requirement'!CL69))</f>
        <v/>
      </c>
      <c r="CM69">
        <f>IF(COUNTIFS(T_StockCount[RM_Code],$A69,T_StockCount[WeekIndex],90)&gt;0,SUMIFS(T_StockCount[CountedQty],T_StockCount[RM_Code],$A69,T_StockCount[WeekIndex],90),IF((COUNTIFS(T_SelfStock[RM_Code],$A69,T_SelfStock[WeekIndex],90)&gt;0)*(COUNTIFS(T_TTAFStock[RM_Code],$A69,T_TTAFStock[WeekIndex],90)&gt;0)&gt;0,SUMIFS(T_SelfStock[Self_Qty],T_SelfStock[RM_Code],$A69,T_SelfStock[WeekIndex],90)+SUMIFS(T_TTAFStock[TTAF_Qty],T_TTAFStock[RM_Code],$A69,T_TTAFStock[WeekIndex],90),CL69+'Grid_Incoming'!CM69-'Grid_Requirement'!CM69))</f>
        <v/>
      </c>
      <c r="CN69">
        <f>IF(COUNTIFS(T_StockCount[RM_Code],$A69,T_StockCount[WeekIndex],91)&gt;0,SUMIFS(T_StockCount[CountedQty],T_StockCount[RM_Code],$A69,T_StockCount[WeekIndex],91),IF((COUNTIFS(T_SelfStock[RM_Code],$A69,T_SelfStock[WeekIndex],91)&gt;0)*(COUNTIFS(T_TTAFStock[RM_Code],$A69,T_TTAFStock[WeekIndex],91)&gt;0)&gt;0,SUMIFS(T_SelfStock[Self_Qty],T_SelfStock[RM_Code],$A69,T_SelfStock[WeekIndex],91)+SUMIFS(T_TTAFStock[TTAF_Qty],T_TTAFStock[RM_Code],$A69,T_TTAFStock[WeekIndex],91),CM69+'Grid_Incoming'!CN69-'Grid_Requirement'!CN69))</f>
        <v/>
      </c>
      <c r="CO69">
        <f>IF(COUNTIFS(T_StockCount[RM_Code],$A69,T_StockCount[WeekIndex],92)&gt;0,SUMIFS(T_StockCount[CountedQty],T_StockCount[RM_Code],$A69,T_StockCount[WeekIndex],92),IF((COUNTIFS(T_SelfStock[RM_Code],$A69,T_SelfStock[WeekIndex],92)&gt;0)*(COUNTIFS(T_TTAFStock[RM_Code],$A69,T_TTAFStock[WeekIndex],92)&gt;0)&gt;0,SUMIFS(T_SelfStock[Self_Qty],T_SelfStock[RM_Code],$A69,T_SelfStock[WeekIndex],92)+SUMIFS(T_TTAFStock[TTAF_Qty],T_TTAFStock[RM_Code],$A69,T_TTAFStock[WeekIndex],92),CN69+'Grid_Incoming'!CO69-'Grid_Requirement'!CO69))</f>
        <v/>
      </c>
      <c r="CP69">
        <f>IF(COUNTIFS(T_StockCount[RM_Code],$A69,T_StockCount[WeekIndex],93)&gt;0,SUMIFS(T_StockCount[CountedQty],T_StockCount[RM_Code],$A69,T_StockCount[WeekIndex],93),IF((COUNTIFS(T_SelfStock[RM_Code],$A69,T_SelfStock[WeekIndex],93)&gt;0)*(COUNTIFS(T_TTAFStock[RM_Code],$A69,T_TTAFStock[WeekIndex],93)&gt;0)&gt;0,SUMIFS(T_SelfStock[Self_Qty],T_SelfStock[RM_Code],$A69,T_SelfStock[WeekIndex],93)+SUMIFS(T_TTAFStock[TTAF_Qty],T_TTAFStock[RM_Code],$A69,T_TTAFStock[WeekIndex],93),CO69+'Grid_Incoming'!CP69-'Grid_Requirement'!CP69))</f>
        <v/>
      </c>
      <c r="CQ69">
        <f>IF(COUNTIFS(T_StockCount[RM_Code],$A69,T_StockCount[WeekIndex],94)&gt;0,SUMIFS(T_StockCount[CountedQty],T_StockCount[RM_Code],$A69,T_StockCount[WeekIndex],94),IF((COUNTIFS(T_SelfStock[RM_Code],$A69,T_SelfStock[WeekIndex],94)&gt;0)*(COUNTIFS(T_TTAFStock[RM_Code],$A69,T_TTAFStock[WeekIndex],94)&gt;0)&gt;0,SUMIFS(T_SelfStock[Self_Qty],T_SelfStock[RM_Code],$A69,T_SelfStock[WeekIndex],94)+SUMIFS(T_TTAFStock[TTAF_Qty],T_TTAFStock[RM_Code],$A69,T_TTAFStock[WeekIndex],94),CP69+'Grid_Incoming'!CQ69-'Grid_Requirement'!CQ69))</f>
        <v/>
      </c>
      <c r="CR69">
        <f>IF(COUNTIFS(T_StockCount[RM_Code],$A69,T_StockCount[WeekIndex],95)&gt;0,SUMIFS(T_StockCount[CountedQty],T_StockCount[RM_Code],$A69,T_StockCount[WeekIndex],95),IF((COUNTIFS(T_SelfStock[RM_Code],$A69,T_SelfStock[WeekIndex],95)&gt;0)*(COUNTIFS(T_TTAFStock[RM_Code],$A69,T_TTAFStock[WeekIndex],95)&gt;0)&gt;0,SUMIFS(T_SelfStock[Self_Qty],T_SelfStock[RM_Code],$A69,T_SelfStock[WeekIndex],95)+SUMIFS(T_TTAFStock[TTAF_Qty],T_TTAFStock[RM_Code],$A69,T_TTAFStock[WeekIndex],95),CQ69+'Grid_Incoming'!CR69-'Grid_Requirement'!CR69))</f>
        <v/>
      </c>
      <c r="CS69">
        <f>IF(COUNTIFS(T_StockCount[RM_Code],$A69,T_StockCount[WeekIndex],96)&gt;0,SUMIFS(T_StockCount[CountedQty],T_StockCount[RM_Code],$A69,T_StockCount[WeekIndex],96),IF((COUNTIFS(T_SelfStock[RM_Code],$A69,T_SelfStock[WeekIndex],96)&gt;0)*(COUNTIFS(T_TTAFStock[RM_Code],$A69,T_TTAFStock[WeekIndex],96)&gt;0)&gt;0,SUMIFS(T_SelfStock[Self_Qty],T_SelfStock[RM_Code],$A69,T_SelfStock[WeekIndex],96)+SUMIFS(T_TTAFStock[TTAF_Qty],T_TTAFStock[RM_Code],$A69,T_TTAFStock[WeekIndex],96),CR69+'Grid_Incoming'!CS69-'Grid_Requirement'!CS69))</f>
        <v/>
      </c>
      <c r="CT69">
        <f>IF(COUNTIFS(T_StockCount[RM_Code],$A69,T_StockCount[WeekIndex],97)&gt;0,SUMIFS(T_StockCount[CountedQty],T_StockCount[RM_Code],$A69,T_StockCount[WeekIndex],97),IF((COUNTIFS(T_SelfStock[RM_Code],$A69,T_SelfStock[WeekIndex],97)&gt;0)*(COUNTIFS(T_TTAFStock[RM_Code],$A69,T_TTAFStock[WeekIndex],97)&gt;0)&gt;0,SUMIFS(T_SelfStock[Self_Qty],T_SelfStock[RM_Code],$A69,T_SelfStock[WeekIndex],97)+SUMIFS(T_TTAFStock[TTAF_Qty],T_TTAFStock[RM_Code],$A69,T_TTAFStock[WeekIndex],97),CS69+'Grid_Incoming'!CT69-'Grid_Requirement'!CT69))</f>
        <v/>
      </c>
      <c r="CU69">
        <f>IF(COUNTIFS(T_StockCount[RM_Code],$A69,T_StockCount[WeekIndex],98)&gt;0,SUMIFS(T_StockCount[CountedQty],T_StockCount[RM_Code],$A69,T_StockCount[WeekIndex],98),IF((COUNTIFS(T_SelfStock[RM_Code],$A69,T_SelfStock[WeekIndex],98)&gt;0)*(COUNTIFS(T_TTAFStock[RM_Code],$A69,T_TTAFStock[WeekIndex],98)&gt;0)&gt;0,SUMIFS(T_SelfStock[Self_Qty],T_SelfStock[RM_Code],$A69,T_SelfStock[WeekIndex],98)+SUMIFS(T_TTAFStock[TTAF_Qty],T_TTAFStock[RM_Code],$A69,T_TTAFStock[WeekIndex],98),CT69+'Grid_Incoming'!CU69-'Grid_Requirement'!CU69))</f>
        <v/>
      </c>
      <c r="CV69">
        <f>IF(COUNTIFS(T_StockCount[RM_Code],$A69,T_StockCount[WeekIndex],99)&gt;0,SUMIFS(T_StockCount[CountedQty],T_StockCount[RM_Code],$A69,T_StockCount[WeekIndex],99),IF((COUNTIFS(T_SelfStock[RM_Code],$A69,T_SelfStock[WeekIndex],99)&gt;0)*(COUNTIFS(T_TTAFStock[RM_Code],$A69,T_TTAFStock[WeekIndex],99)&gt;0)&gt;0,SUMIFS(T_SelfStock[Self_Qty],T_SelfStock[RM_Code],$A69,T_SelfStock[WeekIndex],99)+SUMIFS(T_TTAFStock[TTAF_Qty],T_TTAFStock[RM_Code],$A69,T_TTAFStock[WeekIndex],99),CU69+'Grid_Incoming'!CV69-'Grid_Requirement'!CV69))</f>
        <v/>
      </c>
      <c r="CW69">
        <f>IF(COUNTIFS(T_StockCount[RM_Code],$A69,T_StockCount[WeekIndex],100)&gt;0,SUMIFS(T_StockCount[CountedQty],T_StockCount[RM_Code],$A69,T_StockCount[WeekIndex],100),IF((COUNTIFS(T_SelfStock[RM_Code],$A69,T_SelfStock[WeekIndex],100)&gt;0)*(COUNTIFS(T_TTAFStock[RM_Code],$A69,T_TTAFStock[WeekIndex],100)&gt;0)&gt;0,SUMIFS(T_SelfStock[Self_Qty],T_SelfStock[RM_Code],$A69,T_SelfStock[WeekIndex],100)+SUMIFS(T_TTAFStock[TTAF_Qty],T_TTAFStock[RM_Code],$A69,T_TTAFStock[WeekIndex],100),CV69+'Grid_Incoming'!CW69-'Grid_Requirement'!CW69))</f>
        <v/>
      </c>
      <c r="CX69">
        <f>IF(COUNTIFS(T_StockCount[RM_Code],$A69,T_StockCount[WeekIndex],101)&gt;0,SUMIFS(T_StockCount[CountedQty],T_StockCount[RM_Code],$A69,T_StockCount[WeekIndex],101),IF((COUNTIFS(T_SelfStock[RM_Code],$A69,T_SelfStock[WeekIndex],101)&gt;0)*(COUNTIFS(T_TTAFStock[RM_Code],$A69,T_TTAFStock[WeekIndex],101)&gt;0)&gt;0,SUMIFS(T_SelfStock[Self_Qty],T_SelfStock[RM_Code],$A69,T_SelfStock[WeekIndex],101)+SUMIFS(T_TTAFStock[TTAF_Qty],T_TTAFStock[RM_Code],$A69,T_TTAFStock[WeekIndex],101),CW69+'Grid_Incoming'!CX69-'Grid_Requirement'!CX69))</f>
        <v/>
      </c>
      <c r="CY69">
        <f>IF(COUNTIFS(T_StockCount[RM_Code],$A69,T_StockCount[WeekIndex],102)&gt;0,SUMIFS(T_StockCount[CountedQty],T_StockCount[RM_Code],$A69,T_StockCount[WeekIndex],102),IF((COUNTIFS(T_SelfStock[RM_Code],$A69,T_SelfStock[WeekIndex],102)&gt;0)*(COUNTIFS(T_TTAFStock[RM_Code],$A69,T_TTAFStock[WeekIndex],102)&gt;0)&gt;0,SUMIFS(T_SelfStock[Self_Qty],T_SelfStock[RM_Code],$A69,T_SelfStock[WeekIndex],102)+SUMIFS(T_TTAFStock[TTAF_Qty],T_TTAFStock[RM_Code],$A69,T_TTAFStock[WeekIndex],102),CX69+'Grid_Incoming'!CY69-'Grid_Requirement'!CY69))</f>
        <v/>
      </c>
      <c r="CZ69">
        <f>IF(COUNTIFS(T_StockCount[RM_Code],$A69,T_StockCount[WeekIndex],103)&gt;0,SUMIFS(T_StockCount[CountedQty],T_StockCount[RM_Code],$A69,T_StockCount[WeekIndex],103),IF((COUNTIFS(T_SelfStock[RM_Code],$A69,T_SelfStock[WeekIndex],103)&gt;0)*(COUNTIFS(T_TTAFStock[RM_Code],$A69,T_TTAFStock[WeekIndex],103)&gt;0)&gt;0,SUMIFS(T_SelfStock[Self_Qty],T_SelfStock[RM_Code],$A69,T_SelfStock[WeekIndex],103)+SUMIFS(T_TTAFStock[TTAF_Qty],T_TTAFStock[RM_Code],$A69,T_TTAFStock[WeekIndex],103),CY69+'Grid_Incoming'!CZ69-'Grid_Requirement'!CZ69))</f>
        <v/>
      </c>
      <c r="DA69">
        <f>IF(COUNTIFS(T_StockCount[RM_Code],$A69,T_StockCount[WeekIndex],104)&gt;0,SUMIFS(T_StockCount[CountedQty],T_StockCount[RM_Code],$A69,T_StockCount[WeekIndex],104),IF((COUNTIFS(T_SelfStock[RM_Code],$A69,T_SelfStock[WeekIndex],104)&gt;0)*(COUNTIFS(T_TTAFStock[RM_Code],$A69,T_TTAFStock[WeekIndex],104)&gt;0)&gt;0,SUMIFS(T_SelfStock[Self_Qty],T_SelfStock[RM_Code],$A69,T_SelfStock[WeekIndex],104)+SUMIFS(T_TTAFStock[TTAF_Qty],T_TTAFStock[RM_Code],$A69,T_TTAFStock[WeekIndex],104),CZ69+'Grid_Incoming'!DA69-'Grid_Requirement'!DA69))</f>
        <v/>
      </c>
    </row>
    <row r="70">
      <c r="A70" t="inlineStr">
        <is>
          <t>CHEM-1750</t>
        </is>
      </c>
      <c r="B70">
        <f>IF(COUNTIFS(T_StockCount[RM_Code],$A70,T_StockCount[WeekIndex],1)&gt;0,SUMIFS(T_StockCount[CountedQty],T_StockCount[RM_Code],$A70,T_StockCount[WeekIndex],1),IF((COUNTIFS(T_SelfStock[RM_Code],$A70,T_SelfStock[WeekIndex],1)&gt;0)*(COUNTIFS(T_TTAFStock[RM_Code],$A70,T_TTAFStock[WeekIndex],1)&gt;0)&gt;0,SUMIFS(T_SelfStock[Self_Qty],T_SelfStock[RM_Code],$A70,T_SelfStock[WeekIndex],1)+SUMIFS(T_TTAFStock[TTAF_Qty],T_TTAFStock[RM_Code],$A70,T_TTAFStock[WeekIndex],1),IFERROR(INDEX(T_OpeningStock[Opening_Qty],MATCH($A70,T_OpeningStock[RM_Code],0)),0)+'Grid_Incoming'!B70-'Grid_Requirement'!B70))</f>
        <v/>
      </c>
      <c r="C70">
        <f>IF(COUNTIFS(T_StockCount[RM_Code],$A70,T_StockCount[WeekIndex],2)&gt;0,SUMIFS(T_StockCount[CountedQty],T_StockCount[RM_Code],$A70,T_StockCount[WeekIndex],2),IF((COUNTIFS(T_SelfStock[RM_Code],$A70,T_SelfStock[WeekIndex],2)&gt;0)*(COUNTIFS(T_TTAFStock[RM_Code],$A70,T_TTAFStock[WeekIndex],2)&gt;0)&gt;0,SUMIFS(T_SelfStock[Self_Qty],T_SelfStock[RM_Code],$A70,T_SelfStock[WeekIndex],2)+SUMIFS(T_TTAFStock[TTAF_Qty],T_TTAFStock[RM_Code],$A70,T_TTAFStock[WeekIndex],2),B70+'Grid_Incoming'!C70-'Grid_Requirement'!C70))</f>
        <v/>
      </c>
      <c r="D70">
        <f>IF(COUNTIFS(T_StockCount[RM_Code],$A70,T_StockCount[WeekIndex],3)&gt;0,SUMIFS(T_StockCount[CountedQty],T_StockCount[RM_Code],$A70,T_StockCount[WeekIndex],3),IF((COUNTIFS(T_SelfStock[RM_Code],$A70,T_SelfStock[WeekIndex],3)&gt;0)*(COUNTIFS(T_TTAFStock[RM_Code],$A70,T_TTAFStock[WeekIndex],3)&gt;0)&gt;0,SUMIFS(T_SelfStock[Self_Qty],T_SelfStock[RM_Code],$A70,T_SelfStock[WeekIndex],3)+SUMIFS(T_TTAFStock[TTAF_Qty],T_TTAFStock[RM_Code],$A70,T_TTAFStock[WeekIndex],3),C70+'Grid_Incoming'!D70-'Grid_Requirement'!D70))</f>
        <v/>
      </c>
      <c r="E70">
        <f>IF(COUNTIFS(T_StockCount[RM_Code],$A70,T_StockCount[WeekIndex],4)&gt;0,SUMIFS(T_StockCount[CountedQty],T_StockCount[RM_Code],$A70,T_StockCount[WeekIndex],4),IF((COUNTIFS(T_SelfStock[RM_Code],$A70,T_SelfStock[WeekIndex],4)&gt;0)*(COUNTIFS(T_TTAFStock[RM_Code],$A70,T_TTAFStock[WeekIndex],4)&gt;0)&gt;0,SUMIFS(T_SelfStock[Self_Qty],T_SelfStock[RM_Code],$A70,T_SelfStock[WeekIndex],4)+SUMIFS(T_TTAFStock[TTAF_Qty],T_TTAFStock[RM_Code],$A70,T_TTAFStock[WeekIndex],4),D70+'Grid_Incoming'!E70-'Grid_Requirement'!E70))</f>
        <v/>
      </c>
      <c r="F70">
        <f>IF(COUNTIFS(T_StockCount[RM_Code],$A70,T_StockCount[WeekIndex],5)&gt;0,SUMIFS(T_StockCount[CountedQty],T_StockCount[RM_Code],$A70,T_StockCount[WeekIndex],5),IF((COUNTIFS(T_SelfStock[RM_Code],$A70,T_SelfStock[WeekIndex],5)&gt;0)*(COUNTIFS(T_TTAFStock[RM_Code],$A70,T_TTAFStock[WeekIndex],5)&gt;0)&gt;0,SUMIFS(T_SelfStock[Self_Qty],T_SelfStock[RM_Code],$A70,T_SelfStock[WeekIndex],5)+SUMIFS(T_TTAFStock[TTAF_Qty],T_TTAFStock[RM_Code],$A70,T_TTAFStock[WeekIndex],5),E70+'Grid_Incoming'!F70-'Grid_Requirement'!F70))</f>
        <v/>
      </c>
      <c r="G70">
        <f>IF(COUNTIFS(T_StockCount[RM_Code],$A70,T_StockCount[WeekIndex],6)&gt;0,SUMIFS(T_StockCount[CountedQty],T_StockCount[RM_Code],$A70,T_StockCount[WeekIndex],6),IF((COUNTIFS(T_SelfStock[RM_Code],$A70,T_SelfStock[WeekIndex],6)&gt;0)*(COUNTIFS(T_TTAFStock[RM_Code],$A70,T_TTAFStock[WeekIndex],6)&gt;0)&gt;0,SUMIFS(T_SelfStock[Self_Qty],T_SelfStock[RM_Code],$A70,T_SelfStock[WeekIndex],6)+SUMIFS(T_TTAFStock[TTAF_Qty],T_TTAFStock[RM_Code],$A70,T_TTAFStock[WeekIndex],6),F70+'Grid_Incoming'!G70-'Grid_Requirement'!G70))</f>
        <v/>
      </c>
      <c r="H70">
        <f>IF(COUNTIFS(T_StockCount[RM_Code],$A70,T_StockCount[WeekIndex],7)&gt;0,SUMIFS(T_StockCount[CountedQty],T_StockCount[RM_Code],$A70,T_StockCount[WeekIndex],7),IF((COUNTIFS(T_SelfStock[RM_Code],$A70,T_SelfStock[WeekIndex],7)&gt;0)*(COUNTIFS(T_TTAFStock[RM_Code],$A70,T_TTAFStock[WeekIndex],7)&gt;0)&gt;0,SUMIFS(T_SelfStock[Self_Qty],T_SelfStock[RM_Code],$A70,T_SelfStock[WeekIndex],7)+SUMIFS(T_TTAFStock[TTAF_Qty],T_TTAFStock[RM_Code],$A70,T_TTAFStock[WeekIndex],7),G70+'Grid_Incoming'!H70-'Grid_Requirement'!H70))</f>
        <v/>
      </c>
      <c r="I70">
        <f>IF(COUNTIFS(T_StockCount[RM_Code],$A70,T_StockCount[WeekIndex],8)&gt;0,SUMIFS(T_StockCount[CountedQty],T_StockCount[RM_Code],$A70,T_StockCount[WeekIndex],8),IF((COUNTIFS(T_SelfStock[RM_Code],$A70,T_SelfStock[WeekIndex],8)&gt;0)*(COUNTIFS(T_TTAFStock[RM_Code],$A70,T_TTAFStock[WeekIndex],8)&gt;0)&gt;0,SUMIFS(T_SelfStock[Self_Qty],T_SelfStock[RM_Code],$A70,T_SelfStock[WeekIndex],8)+SUMIFS(T_TTAFStock[TTAF_Qty],T_TTAFStock[RM_Code],$A70,T_TTAFStock[WeekIndex],8),H70+'Grid_Incoming'!I70-'Grid_Requirement'!I70))</f>
        <v/>
      </c>
      <c r="J70">
        <f>IF(COUNTIFS(T_StockCount[RM_Code],$A70,T_StockCount[WeekIndex],9)&gt;0,SUMIFS(T_StockCount[CountedQty],T_StockCount[RM_Code],$A70,T_StockCount[WeekIndex],9),IF((COUNTIFS(T_SelfStock[RM_Code],$A70,T_SelfStock[WeekIndex],9)&gt;0)*(COUNTIFS(T_TTAFStock[RM_Code],$A70,T_TTAFStock[WeekIndex],9)&gt;0)&gt;0,SUMIFS(T_SelfStock[Self_Qty],T_SelfStock[RM_Code],$A70,T_SelfStock[WeekIndex],9)+SUMIFS(T_TTAFStock[TTAF_Qty],T_TTAFStock[RM_Code],$A70,T_TTAFStock[WeekIndex],9),I70+'Grid_Incoming'!J70-'Grid_Requirement'!J70))</f>
        <v/>
      </c>
      <c r="K70">
        <f>IF(COUNTIFS(T_StockCount[RM_Code],$A70,T_StockCount[WeekIndex],10)&gt;0,SUMIFS(T_StockCount[CountedQty],T_StockCount[RM_Code],$A70,T_StockCount[WeekIndex],10),IF((COUNTIFS(T_SelfStock[RM_Code],$A70,T_SelfStock[WeekIndex],10)&gt;0)*(COUNTIFS(T_TTAFStock[RM_Code],$A70,T_TTAFStock[WeekIndex],10)&gt;0)&gt;0,SUMIFS(T_SelfStock[Self_Qty],T_SelfStock[RM_Code],$A70,T_SelfStock[WeekIndex],10)+SUMIFS(T_TTAFStock[TTAF_Qty],T_TTAFStock[RM_Code],$A70,T_TTAFStock[WeekIndex],10),J70+'Grid_Incoming'!K70-'Grid_Requirement'!K70))</f>
        <v/>
      </c>
      <c r="L70">
        <f>IF(COUNTIFS(T_StockCount[RM_Code],$A70,T_StockCount[WeekIndex],11)&gt;0,SUMIFS(T_StockCount[CountedQty],T_StockCount[RM_Code],$A70,T_StockCount[WeekIndex],11),IF((COUNTIFS(T_SelfStock[RM_Code],$A70,T_SelfStock[WeekIndex],11)&gt;0)*(COUNTIFS(T_TTAFStock[RM_Code],$A70,T_TTAFStock[WeekIndex],11)&gt;0)&gt;0,SUMIFS(T_SelfStock[Self_Qty],T_SelfStock[RM_Code],$A70,T_SelfStock[WeekIndex],11)+SUMIFS(T_TTAFStock[TTAF_Qty],T_TTAFStock[RM_Code],$A70,T_TTAFStock[WeekIndex],11),K70+'Grid_Incoming'!L70-'Grid_Requirement'!L70))</f>
        <v/>
      </c>
      <c r="M70">
        <f>IF(COUNTIFS(T_StockCount[RM_Code],$A70,T_StockCount[WeekIndex],12)&gt;0,SUMIFS(T_StockCount[CountedQty],T_StockCount[RM_Code],$A70,T_StockCount[WeekIndex],12),IF((COUNTIFS(T_SelfStock[RM_Code],$A70,T_SelfStock[WeekIndex],12)&gt;0)*(COUNTIFS(T_TTAFStock[RM_Code],$A70,T_TTAFStock[WeekIndex],12)&gt;0)&gt;0,SUMIFS(T_SelfStock[Self_Qty],T_SelfStock[RM_Code],$A70,T_SelfStock[WeekIndex],12)+SUMIFS(T_TTAFStock[TTAF_Qty],T_TTAFStock[RM_Code],$A70,T_TTAFStock[WeekIndex],12),L70+'Grid_Incoming'!M70-'Grid_Requirement'!M70))</f>
        <v/>
      </c>
      <c r="N70">
        <f>IF(COUNTIFS(T_StockCount[RM_Code],$A70,T_StockCount[WeekIndex],13)&gt;0,SUMIFS(T_StockCount[CountedQty],T_StockCount[RM_Code],$A70,T_StockCount[WeekIndex],13),IF((COUNTIFS(T_SelfStock[RM_Code],$A70,T_SelfStock[WeekIndex],13)&gt;0)*(COUNTIFS(T_TTAFStock[RM_Code],$A70,T_TTAFStock[WeekIndex],13)&gt;0)&gt;0,SUMIFS(T_SelfStock[Self_Qty],T_SelfStock[RM_Code],$A70,T_SelfStock[WeekIndex],13)+SUMIFS(T_TTAFStock[TTAF_Qty],T_TTAFStock[RM_Code],$A70,T_TTAFStock[WeekIndex],13),M70+'Grid_Incoming'!N70-'Grid_Requirement'!N70))</f>
        <v/>
      </c>
      <c r="O70">
        <f>IF(COUNTIFS(T_StockCount[RM_Code],$A70,T_StockCount[WeekIndex],14)&gt;0,SUMIFS(T_StockCount[CountedQty],T_StockCount[RM_Code],$A70,T_StockCount[WeekIndex],14),IF((COUNTIFS(T_SelfStock[RM_Code],$A70,T_SelfStock[WeekIndex],14)&gt;0)*(COUNTIFS(T_TTAFStock[RM_Code],$A70,T_TTAFStock[WeekIndex],14)&gt;0)&gt;0,SUMIFS(T_SelfStock[Self_Qty],T_SelfStock[RM_Code],$A70,T_SelfStock[WeekIndex],14)+SUMIFS(T_TTAFStock[TTAF_Qty],T_TTAFStock[RM_Code],$A70,T_TTAFStock[WeekIndex],14),N70+'Grid_Incoming'!O70-'Grid_Requirement'!O70))</f>
        <v/>
      </c>
      <c r="P70">
        <f>IF(COUNTIFS(T_StockCount[RM_Code],$A70,T_StockCount[WeekIndex],15)&gt;0,SUMIFS(T_StockCount[CountedQty],T_StockCount[RM_Code],$A70,T_StockCount[WeekIndex],15),IF((COUNTIFS(T_SelfStock[RM_Code],$A70,T_SelfStock[WeekIndex],15)&gt;0)*(COUNTIFS(T_TTAFStock[RM_Code],$A70,T_TTAFStock[WeekIndex],15)&gt;0)&gt;0,SUMIFS(T_SelfStock[Self_Qty],T_SelfStock[RM_Code],$A70,T_SelfStock[WeekIndex],15)+SUMIFS(T_TTAFStock[TTAF_Qty],T_TTAFStock[RM_Code],$A70,T_TTAFStock[WeekIndex],15),O70+'Grid_Incoming'!P70-'Grid_Requirement'!P70))</f>
        <v/>
      </c>
      <c r="Q70">
        <f>IF(COUNTIFS(T_StockCount[RM_Code],$A70,T_StockCount[WeekIndex],16)&gt;0,SUMIFS(T_StockCount[CountedQty],T_StockCount[RM_Code],$A70,T_StockCount[WeekIndex],16),IF((COUNTIFS(T_SelfStock[RM_Code],$A70,T_SelfStock[WeekIndex],16)&gt;0)*(COUNTIFS(T_TTAFStock[RM_Code],$A70,T_TTAFStock[WeekIndex],16)&gt;0)&gt;0,SUMIFS(T_SelfStock[Self_Qty],T_SelfStock[RM_Code],$A70,T_SelfStock[WeekIndex],16)+SUMIFS(T_TTAFStock[TTAF_Qty],T_TTAFStock[RM_Code],$A70,T_TTAFStock[WeekIndex],16),P70+'Grid_Incoming'!Q70-'Grid_Requirement'!Q70))</f>
        <v/>
      </c>
      <c r="R70">
        <f>IF(COUNTIFS(T_StockCount[RM_Code],$A70,T_StockCount[WeekIndex],17)&gt;0,SUMIFS(T_StockCount[CountedQty],T_StockCount[RM_Code],$A70,T_StockCount[WeekIndex],17),IF((COUNTIFS(T_SelfStock[RM_Code],$A70,T_SelfStock[WeekIndex],17)&gt;0)*(COUNTIFS(T_TTAFStock[RM_Code],$A70,T_TTAFStock[WeekIndex],17)&gt;0)&gt;0,SUMIFS(T_SelfStock[Self_Qty],T_SelfStock[RM_Code],$A70,T_SelfStock[WeekIndex],17)+SUMIFS(T_TTAFStock[TTAF_Qty],T_TTAFStock[RM_Code],$A70,T_TTAFStock[WeekIndex],17),Q70+'Grid_Incoming'!R70-'Grid_Requirement'!R70))</f>
        <v/>
      </c>
      <c r="S70">
        <f>IF(COUNTIFS(T_StockCount[RM_Code],$A70,T_StockCount[WeekIndex],18)&gt;0,SUMIFS(T_StockCount[CountedQty],T_StockCount[RM_Code],$A70,T_StockCount[WeekIndex],18),IF((COUNTIFS(T_SelfStock[RM_Code],$A70,T_SelfStock[WeekIndex],18)&gt;0)*(COUNTIFS(T_TTAFStock[RM_Code],$A70,T_TTAFStock[WeekIndex],18)&gt;0)&gt;0,SUMIFS(T_SelfStock[Self_Qty],T_SelfStock[RM_Code],$A70,T_SelfStock[WeekIndex],18)+SUMIFS(T_TTAFStock[TTAF_Qty],T_TTAFStock[RM_Code],$A70,T_TTAFStock[WeekIndex],18),R70+'Grid_Incoming'!S70-'Grid_Requirement'!S70))</f>
        <v/>
      </c>
      <c r="T70">
        <f>IF(COUNTIFS(T_StockCount[RM_Code],$A70,T_StockCount[WeekIndex],19)&gt;0,SUMIFS(T_StockCount[CountedQty],T_StockCount[RM_Code],$A70,T_StockCount[WeekIndex],19),IF((COUNTIFS(T_SelfStock[RM_Code],$A70,T_SelfStock[WeekIndex],19)&gt;0)*(COUNTIFS(T_TTAFStock[RM_Code],$A70,T_TTAFStock[WeekIndex],19)&gt;0)&gt;0,SUMIFS(T_SelfStock[Self_Qty],T_SelfStock[RM_Code],$A70,T_SelfStock[WeekIndex],19)+SUMIFS(T_TTAFStock[TTAF_Qty],T_TTAFStock[RM_Code],$A70,T_TTAFStock[WeekIndex],19),S70+'Grid_Incoming'!T70-'Grid_Requirement'!T70))</f>
        <v/>
      </c>
      <c r="U70">
        <f>IF(COUNTIFS(T_StockCount[RM_Code],$A70,T_StockCount[WeekIndex],20)&gt;0,SUMIFS(T_StockCount[CountedQty],T_StockCount[RM_Code],$A70,T_StockCount[WeekIndex],20),IF((COUNTIFS(T_SelfStock[RM_Code],$A70,T_SelfStock[WeekIndex],20)&gt;0)*(COUNTIFS(T_TTAFStock[RM_Code],$A70,T_TTAFStock[WeekIndex],20)&gt;0)&gt;0,SUMIFS(T_SelfStock[Self_Qty],T_SelfStock[RM_Code],$A70,T_SelfStock[WeekIndex],20)+SUMIFS(T_TTAFStock[TTAF_Qty],T_TTAFStock[RM_Code],$A70,T_TTAFStock[WeekIndex],20),T70+'Grid_Incoming'!U70-'Grid_Requirement'!U70))</f>
        <v/>
      </c>
      <c r="V70">
        <f>IF(COUNTIFS(T_StockCount[RM_Code],$A70,T_StockCount[WeekIndex],21)&gt;0,SUMIFS(T_StockCount[CountedQty],T_StockCount[RM_Code],$A70,T_StockCount[WeekIndex],21),IF((COUNTIFS(T_SelfStock[RM_Code],$A70,T_SelfStock[WeekIndex],21)&gt;0)*(COUNTIFS(T_TTAFStock[RM_Code],$A70,T_TTAFStock[WeekIndex],21)&gt;0)&gt;0,SUMIFS(T_SelfStock[Self_Qty],T_SelfStock[RM_Code],$A70,T_SelfStock[WeekIndex],21)+SUMIFS(T_TTAFStock[TTAF_Qty],T_TTAFStock[RM_Code],$A70,T_TTAFStock[WeekIndex],21),U70+'Grid_Incoming'!V70-'Grid_Requirement'!V70))</f>
        <v/>
      </c>
      <c r="W70">
        <f>IF(COUNTIFS(T_StockCount[RM_Code],$A70,T_StockCount[WeekIndex],22)&gt;0,SUMIFS(T_StockCount[CountedQty],T_StockCount[RM_Code],$A70,T_StockCount[WeekIndex],22),IF((COUNTIFS(T_SelfStock[RM_Code],$A70,T_SelfStock[WeekIndex],22)&gt;0)*(COUNTIFS(T_TTAFStock[RM_Code],$A70,T_TTAFStock[WeekIndex],22)&gt;0)&gt;0,SUMIFS(T_SelfStock[Self_Qty],T_SelfStock[RM_Code],$A70,T_SelfStock[WeekIndex],22)+SUMIFS(T_TTAFStock[TTAF_Qty],T_TTAFStock[RM_Code],$A70,T_TTAFStock[WeekIndex],22),V70+'Grid_Incoming'!W70-'Grid_Requirement'!W70))</f>
        <v/>
      </c>
      <c r="X70">
        <f>IF(COUNTIFS(T_StockCount[RM_Code],$A70,T_StockCount[WeekIndex],23)&gt;0,SUMIFS(T_StockCount[CountedQty],T_StockCount[RM_Code],$A70,T_StockCount[WeekIndex],23),IF((COUNTIFS(T_SelfStock[RM_Code],$A70,T_SelfStock[WeekIndex],23)&gt;0)*(COUNTIFS(T_TTAFStock[RM_Code],$A70,T_TTAFStock[WeekIndex],23)&gt;0)&gt;0,SUMIFS(T_SelfStock[Self_Qty],T_SelfStock[RM_Code],$A70,T_SelfStock[WeekIndex],23)+SUMIFS(T_TTAFStock[TTAF_Qty],T_TTAFStock[RM_Code],$A70,T_TTAFStock[WeekIndex],23),W70+'Grid_Incoming'!X70-'Grid_Requirement'!X70))</f>
        <v/>
      </c>
      <c r="Y70">
        <f>IF(COUNTIFS(T_StockCount[RM_Code],$A70,T_StockCount[WeekIndex],24)&gt;0,SUMIFS(T_StockCount[CountedQty],T_StockCount[RM_Code],$A70,T_StockCount[WeekIndex],24),IF((COUNTIFS(T_SelfStock[RM_Code],$A70,T_SelfStock[WeekIndex],24)&gt;0)*(COUNTIFS(T_TTAFStock[RM_Code],$A70,T_TTAFStock[WeekIndex],24)&gt;0)&gt;0,SUMIFS(T_SelfStock[Self_Qty],T_SelfStock[RM_Code],$A70,T_SelfStock[WeekIndex],24)+SUMIFS(T_TTAFStock[TTAF_Qty],T_TTAFStock[RM_Code],$A70,T_TTAFStock[WeekIndex],24),X70+'Grid_Incoming'!Y70-'Grid_Requirement'!Y70))</f>
        <v/>
      </c>
      <c r="Z70">
        <f>IF(COUNTIFS(T_StockCount[RM_Code],$A70,T_StockCount[WeekIndex],25)&gt;0,SUMIFS(T_StockCount[CountedQty],T_StockCount[RM_Code],$A70,T_StockCount[WeekIndex],25),IF((COUNTIFS(T_SelfStock[RM_Code],$A70,T_SelfStock[WeekIndex],25)&gt;0)*(COUNTIFS(T_TTAFStock[RM_Code],$A70,T_TTAFStock[WeekIndex],25)&gt;0)&gt;0,SUMIFS(T_SelfStock[Self_Qty],T_SelfStock[RM_Code],$A70,T_SelfStock[WeekIndex],25)+SUMIFS(T_TTAFStock[TTAF_Qty],T_TTAFStock[RM_Code],$A70,T_TTAFStock[WeekIndex],25),Y70+'Grid_Incoming'!Z70-'Grid_Requirement'!Z70))</f>
        <v/>
      </c>
      <c r="AA70">
        <f>IF(COUNTIFS(T_StockCount[RM_Code],$A70,T_StockCount[WeekIndex],26)&gt;0,SUMIFS(T_StockCount[CountedQty],T_StockCount[RM_Code],$A70,T_StockCount[WeekIndex],26),IF((COUNTIFS(T_SelfStock[RM_Code],$A70,T_SelfStock[WeekIndex],26)&gt;0)*(COUNTIFS(T_TTAFStock[RM_Code],$A70,T_TTAFStock[WeekIndex],26)&gt;0)&gt;0,SUMIFS(T_SelfStock[Self_Qty],T_SelfStock[RM_Code],$A70,T_SelfStock[WeekIndex],26)+SUMIFS(T_TTAFStock[TTAF_Qty],T_TTAFStock[RM_Code],$A70,T_TTAFStock[WeekIndex],26),Z70+'Grid_Incoming'!AA70-'Grid_Requirement'!AA70))</f>
        <v/>
      </c>
      <c r="AB70">
        <f>IF(COUNTIFS(T_StockCount[RM_Code],$A70,T_StockCount[WeekIndex],27)&gt;0,SUMIFS(T_StockCount[CountedQty],T_StockCount[RM_Code],$A70,T_StockCount[WeekIndex],27),IF((COUNTIFS(T_SelfStock[RM_Code],$A70,T_SelfStock[WeekIndex],27)&gt;0)*(COUNTIFS(T_TTAFStock[RM_Code],$A70,T_TTAFStock[WeekIndex],27)&gt;0)&gt;0,SUMIFS(T_SelfStock[Self_Qty],T_SelfStock[RM_Code],$A70,T_SelfStock[WeekIndex],27)+SUMIFS(T_TTAFStock[TTAF_Qty],T_TTAFStock[RM_Code],$A70,T_TTAFStock[WeekIndex],27),AA70+'Grid_Incoming'!AB70-'Grid_Requirement'!AB70))</f>
        <v/>
      </c>
      <c r="AC70">
        <f>IF(COUNTIFS(T_StockCount[RM_Code],$A70,T_StockCount[WeekIndex],28)&gt;0,SUMIFS(T_StockCount[CountedQty],T_StockCount[RM_Code],$A70,T_StockCount[WeekIndex],28),IF((COUNTIFS(T_SelfStock[RM_Code],$A70,T_SelfStock[WeekIndex],28)&gt;0)*(COUNTIFS(T_TTAFStock[RM_Code],$A70,T_TTAFStock[WeekIndex],28)&gt;0)&gt;0,SUMIFS(T_SelfStock[Self_Qty],T_SelfStock[RM_Code],$A70,T_SelfStock[WeekIndex],28)+SUMIFS(T_TTAFStock[TTAF_Qty],T_TTAFStock[RM_Code],$A70,T_TTAFStock[WeekIndex],28),AB70+'Grid_Incoming'!AC70-'Grid_Requirement'!AC70))</f>
        <v/>
      </c>
      <c r="AD70">
        <f>IF(COUNTIFS(T_StockCount[RM_Code],$A70,T_StockCount[WeekIndex],29)&gt;0,SUMIFS(T_StockCount[CountedQty],T_StockCount[RM_Code],$A70,T_StockCount[WeekIndex],29),IF((COUNTIFS(T_SelfStock[RM_Code],$A70,T_SelfStock[WeekIndex],29)&gt;0)*(COUNTIFS(T_TTAFStock[RM_Code],$A70,T_TTAFStock[WeekIndex],29)&gt;0)&gt;0,SUMIFS(T_SelfStock[Self_Qty],T_SelfStock[RM_Code],$A70,T_SelfStock[WeekIndex],29)+SUMIFS(T_TTAFStock[TTAF_Qty],T_TTAFStock[RM_Code],$A70,T_TTAFStock[WeekIndex],29),AC70+'Grid_Incoming'!AD70-'Grid_Requirement'!AD70))</f>
        <v/>
      </c>
      <c r="AE70">
        <f>IF(COUNTIFS(T_StockCount[RM_Code],$A70,T_StockCount[WeekIndex],30)&gt;0,SUMIFS(T_StockCount[CountedQty],T_StockCount[RM_Code],$A70,T_StockCount[WeekIndex],30),IF((COUNTIFS(T_SelfStock[RM_Code],$A70,T_SelfStock[WeekIndex],30)&gt;0)*(COUNTIFS(T_TTAFStock[RM_Code],$A70,T_TTAFStock[WeekIndex],30)&gt;0)&gt;0,SUMIFS(T_SelfStock[Self_Qty],T_SelfStock[RM_Code],$A70,T_SelfStock[WeekIndex],30)+SUMIFS(T_TTAFStock[TTAF_Qty],T_TTAFStock[RM_Code],$A70,T_TTAFStock[WeekIndex],30),AD70+'Grid_Incoming'!AE70-'Grid_Requirement'!AE70))</f>
        <v/>
      </c>
      <c r="AF70">
        <f>IF(COUNTIFS(T_StockCount[RM_Code],$A70,T_StockCount[WeekIndex],31)&gt;0,SUMIFS(T_StockCount[CountedQty],T_StockCount[RM_Code],$A70,T_StockCount[WeekIndex],31),IF((COUNTIFS(T_SelfStock[RM_Code],$A70,T_SelfStock[WeekIndex],31)&gt;0)*(COUNTIFS(T_TTAFStock[RM_Code],$A70,T_TTAFStock[WeekIndex],31)&gt;0)&gt;0,SUMIFS(T_SelfStock[Self_Qty],T_SelfStock[RM_Code],$A70,T_SelfStock[WeekIndex],31)+SUMIFS(T_TTAFStock[TTAF_Qty],T_TTAFStock[RM_Code],$A70,T_TTAFStock[WeekIndex],31),AE70+'Grid_Incoming'!AF70-'Grid_Requirement'!AF70))</f>
        <v/>
      </c>
      <c r="AG70">
        <f>IF(COUNTIFS(T_StockCount[RM_Code],$A70,T_StockCount[WeekIndex],32)&gt;0,SUMIFS(T_StockCount[CountedQty],T_StockCount[RM_Code],$A70,T_StockCount[WeekIndex],32),IF((COUNTIFS(T_SelfStock[RM_Code],$A70,T_SelfStock[WeekIndex],32)&gt;0)*(COUNTIFS(T_TTAFStock[RM_Code],$A70,T_TTAFStock[WeekIndex],32)&gt;0)&gt;0,SUMIFS(T_SelfStock[Self_Qty],T_SelfStock[RM_Code],$A70,T_SelfStock[WeekIndex],32)+SUMIFS(T_TTAFStock[TTAF_Qty],T_TTAFStock[RM_Code],$A70,T_TTAFStock[WeekIndex],32),AF70+'Grid_Incoming'!AG70-'Grid_Requirement'!AG70))</f>
        <v/>
      </c>
      <c r="AH70">
        <f>IF(COUNTIFS(T_StockCount[RM_Code],$A70,T_StockCount[WeekIndex],33)&gt;0,SUMIFS(T_StockCount[CountedQty],T_StockCount[RM_Code],$A70,T_StockCount[WeekIndex],33),IF((COUNTIFS(T_SelfStock[RM_Code],$A70,T_SelfStock[WeekIndex],33)&gt;0)*(COUNTIFS(T_TTAFStock[RM_Code],$A70,T_TTAFStock[WeekIndex],33)&gt;0)&gt;0,SUMIFS(T_SelfStock[Self_Qty],T_SelfStock[RM_Code],$A70,T_SelfStock[WeekIndex],33)+SUMIFS(T_TTAFStock[TTAF_Qty],T_TTAFStock[RM_Code],$A70,T_TTAFStock[WeekIndex],33),AG70+'Grid_Incoming'!AH70-'Grid_Requirement'!AH70))</f>
        <v/>
      </c>
      <c r="AI70">
        <f>IF(COUNTIFS(T_StockCount[RM_Code],$A70,T_StockCount[WeekIndex],34)&gt;0,SUMIFS(T_StockCount[CountedQty],T_StockCount[RM_Code],$A70,T_StockCount[WeekIndex],34),IF((COUNTIFS(T_SelfStock[RM_Code],$A70,T_SelfStock[WeekIndex],34)&gt;0)*(COUNTIFS(T_TTAFStock[RM_Code],$A70,T_TTAFStock[WeekIndex],34)&gt;0)&gt;0,SUMIFS(T_SelfStock[Self_Qty],T_SelfStock[RM_Code],$A70,T_SelfStock[WeekIndex],34)+SUMIFS(T_TTAFStock[TTAF_Qty],T_TTAFStock[RM_Code],$A70,T_TTAFStock[WeekIndex],34),AH70+'Grid_Incoming'!AI70-'Grid_Requirement'!AI70))</f>
        <v/>
      </c>
      <c r="AJ70">
        <f>IF(COUNTIFS(T_StockCount[RM_Code],$A70,T_StockCount[WeekIndex],35)&gt;0,SUMIFS(T_StockCount[CountedQty],T_StockCount[RM_Code],$A70,T_StockCount[WeekIndex],35),IF((COUNTIFS(T_SelfStock[RM_Code],$A70,T_SelfStock[WeekIndex],35)&gt;0)*(COUNTIFS(T_TTAFStock[RM_Code],$A70,T_TTAFStock[WeekIndex],35)&gt;0)&gt;0,SUMIFS(T_SelfStock[Self_Qty],T_SelfStock[RM_Code],$A70,T_SelfStock[WeekIndex],35)+SUMIFS(T_TTAFStock[TTAF_Qty],T_TTAFStock[RM_Code],$A70,T_TTAFStock[WeekIndex],35),AI70+'Grid_Incoming'!AJ70-'Grid_Requirement'!AJ70))</f>
        <v/>
      </c>
      <c r="AK70">
        <f>IF(COUNTIFS(T_StockCount[RM_Code],$A70,T_StockCount[WeekIndex],36)&gt;0,SUMIFS(T_StockCount[CountedQty],T_StockCount[RM_Code],$A70,T_StockCount[WeekIndex],36),IF((COUNTIFS(T_SelfStock[RM_Code],$A70,T_SelfStock[WeekIndex],36)&gt;0)*(COUNTIFS(T_TTAFStock[RM_Code],$A70,T_TTAFStock[WeekIndex],36)&gt;0)&gt;0,SUMIFS(T_SelfStock[Self_Qty],T_SelfStock[RM_Code],$A70,T_SelfStock[WeekIndex],36)+SUMIFS(T_TTAFStock[TTAF_Qty],T_TTAFStock[RM_Code],$A70,T_TTAFStock[WeekIndex],36),AJ70+'Grid_Incoming'!AK70-'Grid_Requirement'!AK70))</f>
        <v/>
      </c>
      <c r="AL70">
        <f>IF(COUNTIFS(T_StockCount[RM_Code],$A70,T_StockCount[WeekIndex],37)&gt;0,SUMIFS(T_StockCount[CountedQty],T_StockCount[RM_Code],$A70,T_StockCount[WeekIndex],37),IF((COUNTIFS(T_SelfStock[RM_Code],$A70,T_SelfStock[WeekIndex],37)&gt;0)*(COUNTIFS(T_TTAFStock[RM_Code],$A70,T_TTAFStock[WeekIndex],37)&gt;0)&gt;0,SUMIFS(T_SelfStock[Self_Qty],T_SelfStock[RM_Code],$A70,T_SelfStock[WeekIndex],37)+SUMIFS(T_TTAFStock[TTAF_Qty],T_TTAFStock[RM_Code],$A70,T_TTAFStock[WeekIndex],37),AK70+'Grid_Incoming'!AL70-'Grid_Requirement'!AL70))</f>
        <v/>
      </c>
      <c r="AM70">
        <f>IF(COUNTIFS(T_StockCount[RM_Code],$A70,T_StockCount[WeekIndex],38)&gt;0,SUMIFS(T_StockCount[CountedQty],T_StockCount[RM_Code],$A70,T_StockCount[WeekIndex],38),IF((COUNTIFS(T_SelfStock[RM_Code],$A70,T_SelfStock[WeekIndex],38)&gt;0)*(COUNTIFS(T_TTAFStock[RM_Code],$A70,T_TTAFStock[WeekIndex],38)&gt;0)&gt;0,SUMIFS(T_SelfStock[Self_Qty],T_SelfStock[RM_Code],$A70,T_SelfStock[WeekIndex],38)+SUMIFS(T_TTAFStock[TTAF_Qty],T_TTAFStock[RM_Code],$A70,T_TTAFStock[WeekIndex],38),AL70+'Grid_Incoming'!AM70-'Grid_Requirement'!AM70))</f>
        <v/>
      </c>
      <c r="AN70">
        <f>IF(COUNTIFS(T_StockCount[RM_Code],$A70,T_StockCount[WeekIndex],39)&gt;0,SUMIFS(T_StockCount[CountedQty],T_StockCount[RM_Code],$A70,T_StockCount[WeekIndex],39),IF((COUNTIFS(T_SelfStock[RM_Code],$A70,T_SelfStock[WeekIndex],39)&gt;0)*(COUNTIFS(T_TTAFStock[RM_Code],$A70,T_TTAFStock[WeekIndex],39)&gt;0)&gt;0,SUMIFS(T_SelfStock[Self_Qty],T_SelfStock[RM_Code],$A70,T_SelfStock[WeekIndex],39)+SUMIFS(T_TTAFStock[TTAF_Qty],T_TTAFStock[RM_Code],$A70,T_TTAFStock[WeekIndex],39),AM70+'Grid_Incoming'!AN70-'Grid_Requirement'!AN70))</f>
        <v/>
      </c>
      <c r="AO70">
        <f>IF(COUNTIFS(T_StockCount[RM_Code],$A70,T_StockCount[WeekIndex],40)&gt;0,SUMIFS(T_StockCount[CountedQty],T_StockCount[RM_Code],$A70,T_StockCount[WeekIndex],40),IF((COUNTIFS(T_SelfStock[RM_Code],$A70,T_SelfStock[WeekIndex],40)&gt;0)*(COUNTIFS(T_TTAFStock[RM_Code],$A70,T_TTAFStock[WeekIndex],40)&gt;0)&gt;0,SUMIFS(T_SelfStock[Self_Qty],T_SelfStock[RM_Code],$A70,T_SelfStock[WeekIndex],40)+SUMIFS(T_TTAFStock[TTAF_Qty],T_TTAFStock[RM_Code],$A70,T_TTAFStock[WeekIndex],40),AN70+'Grid_Incoming'!AO70-'Grid_Requirement'!AO70))</f>
        <v/>
      </c>
      <c r="AP70">
        <f>IF(COUNTIFS(T_StockCount[RM_Code],$A70,T_StockCount[WeekIndex],41)&gt;0,SUMIFS(T_StockCount[CountedQty],T_StockCount[RM_Code],$A70,T_StockCount[WeekIndex],41),IF((COUNTIFS(T_SelfStock[RM_Code],$A70,T_SelfStock[WeekIndex],41)&gt;0)*(COUNTIFS(T_TTAFStock[RM_Code],$A70,T_TTAFStock[WeekIndex],41)&gt;0)&gt;0,SUMIFS(T_SelfStock[Self_Qty],T_SelfStock[RM_Code],$A70,T_SelfStock[WeekIndex],41)+SUMIFS(T_TTAFStock[TTAF_Qty],T_TTAFStock[RM_Code],$A70,T_TTAFStock[WeekIndex],41),AO70+'Grid_Incoming'!AP70-'Grid_Requirement'!AP70))</f>
        <v/>
      </c>
      <c r="AQ70">
        <f>IF(COUNTIFS(T_StockCount[RM_Code],$A70,T_StockCount[WeekIndex],42)&gt;0,SUMIFS(T_StockCount[CountedQty],T_StockCount[RM_Code],$A70,T_StockCount[WeekIndex],42),IF((COUNTIFS(T_SelfStock[RM_Code],$A70,T_SelfStock[WeekIndex],42)&gt;0)*(COUNTIFS(T_TTAFStock[RM_Code],$A70,T_TTAFStock[WeekIndex],42)&gt;0)&gt;0,SUMIFS(T_SelfStock[Self_Qty],T_SelfStock[RM_Code],$A70,T_SelfStock[WeekIndex],42)+SUMIFS(T_TTAFStock[TTAF_Qty],T_TTAFStock[RM_Code],$A70,T_TTAFStock[WeekIndex],42),AP70+'Grid_Incoming'!AQ70-'Grid_Requirement'!AQ70))</f>
        <v/>
      </c>
      <c r="AR70">
        <f>IF(COUNTIFS(T_StockCount[RM_Code],$A70,T_StockCount[WeekIndex],43)&gt;0,SUMIFS(T_StockCount[CountedQty],T_StockCount[RM_Code],$A70,T_StockCount[WeekIndex],43),IF((COUNTIFS(T_SelfStock[RM_Code],$A70,T_SelfStock[WeekIndex],43)&gt;0)*(COUNTIFS(T_TTAFStock[RM_Code],$A70,T_TTAFStock[WeekIndex],43)&gt;0)&gt;0,SUMIFS(T_SelfStock[Self_Qty],T_SelfStock[RM_Code],$A70,T_SelfStock[WeekIndex],43)+SUMIFS(T_TTAFStock[TTAF_Qty],T_TTAFStock[RM_Code],$A70,T_TTAFStock[WeekIndex],43),AQ70+'Grid_Incoming'!AR70-'Grid_Requirement'!AR70))</f>
        <v/>
      </c>
      <c r="AS70">
        <f>IF(COUNTIFS(T_StockCount[RM_Code],$A70,T_StockCount[WeekIndex],44)&gt;0,SUMIFS(T_StockCount[CountedQty],T_StockCount[RM_Code],$A70,T_StockCount[WeekIndex],44),IF((COUNTIFS(T_SelfStock[RM_Code],$A70,T_SelfStock[WeekIndex],44)&gt;0)*(COUNTIFS(T_TTAFStock[RM_Code],$A70,T_TTAFStock[WeekIndex],44)&gt;0)&gt;0,SUMIFS(T_SelfStock[Self_Qty],T_SelfStock[RM_Code],$A70,T_SelfStock[WeekIndex],44)+SUMIFS(T_TTAFStock[TTAF_Qty],T_TTAFStock[RM_Code],$A70,T_TTAFStock[WeekIndex],44),AR70+'Grid_Incoming'!AS70-'Grid_Requirement'!AS70))</f>
        <v/>
      </c>
      <c r="AT70">
        <f>IF(COUNTIFS(T_StockCount[RM_Code],$A70,T_StockCount[WeekIndex],45)&gt;0,SUMIFS(T_StockCount[CountedQty],T_StockCount[RM_Code],$A70,T_StockCount[WeekIndex],45),IF((COUNTIFS(T_SelfStock[RM_Code],$A70,T_SelfStock[WeekIndex],45)&gt;0)*(COUNTIFS(T_TTAFStock[RM_Code],$A70,T_TTAFStock[WeekIndex],45)&gt;0)&gt;0,SUMIFS(T_SelfStock[Self_Qty],T_SelfStock[RM_Code],$A70,T_SelfStock[WeekIndex],45)+SUMIFS(T_TTAFStock[TTAF_Qty],T_TTAFStock[RM_Code],$A70,T_TTAFStock[WeekIndex],45),AS70+'Grid_Incoming'!AT70-'Grid_Requirement'!AT70))</f>
        <v/>
      </c>
      <c r="AU70">
        <f>IF(COUNTIFS(T_StockCount[RM_Code],$A70,T_StockCount[WeekIndex],46)&gt;0,SUMIFS(T_StockCount[CountedQty],T_StockCount[RM_Code],$A70,T_StockCount[WeekIndex],46),IF((COUNTIFS(T_SelfStock[RM_Code],$A70,T_SelfStock[WeekIndex],46)&gt;0)*(COUNTIFS(T_TTAFStock[RM_Code],$A70,T_TTAFStock[WeekIndex],46)&gt;0)&gt;0,SUMIFS(T_SelfStock[Self_Qty],T_SelfStock[RM_Code],$A70,T_SelfStock[WeekIndex],46)+SUMIFS(T_TTAFStock[TTAF_Qty],T_TTAFStock[RM_Code],$A70,T_TTAFStock[WeekIndex],46),AT70+'Grid_Incoming'!AU70-'Grid_Requirement'!AU70))</f>
        <v/>
      </c>
      <c r="AV70">
        <f>IF(COUNTIFS(T_StockCount[RM_Code],$A70,T_StockCount[WeekIndex],47)&gt;0,SUMIFS(T_StockCount[CountedQty],T_StockCount[RM_Code],$A70,T_StockCount[WeekIndex],47),IF((COUNTIFS(T_SelfStock[RM_Code],$A70,T_SelfStock[WeekIndex],47)&gt;0)*(COUNTIFS(T_TTAFStock[RM_Code],$A70,T_TTAFStock[WeekIndex],47)&gt;0)&gt;0,SUMIFS(T_SelfStock[Self_Qty],T_SelfStock[RM_Code],$A70,T_SelfStock[WeekIndex],47)+SUMIFS(T_TTAFStock[TTAF_Qty],T_TTAFStock[RM_Code],$A70,T_TTAFStock[WeekIndex],47),AU70+'Grid_Incoming'!AV70-'Grid_Requirement'!AV70))</f>
        <v/>
      </c>
      <c r="AW70">
        <f>IF(COUNTIFS(T_StockCount[RM_Code],$A70,T_StockCount[WeekIndex],48)&gt;0,SUMIFS(T_StockCount[CountedQty],T_StockCount[RM_Code],$A70,T_StockCount[WeekIndex],48),IF((COUNTIFS(T_SelfStock[RM_Code],$A70,T_SelfStock[WeekIndex],48)&gt;0)*(COUNTIFS(T_TTAFStock[RM_Code],$A70,T_TTAFStock[WeekIndex],48)&gt;0)&gt;0,SUMIFS(T_SelfStock[Self_Qty],T_SelfStock[RM_Code],$A70,T_SelfStock[WeekIndex],48)+SUMIFS(T_TTAFStock[TTAF_Qty],T_TTAFStock[RM_Code],$A70,T_TTAFStock[WeekIndex],48),AV70+'Grid_Incoming'!AW70-'Grid_Requirement'!AW70))</f>
        <v/>
      </c>
      <c r="AX70">
        <f>IF(COUNTIFS(T_StockCount[RM_Code],$A70,T_StockCount[WeekIndex],49)&gt;0,SUMIFS(T_StockCount[CountedQty],T_StockCount[RM_Code],$A70,T_StockCount[WeekIndex],49),IF((COUNTIFS(T_SelfStock[RM_Code],$A70,T_SelfStock[WeekIndex],49)&gt;0)*(COUNTIFS(T_TTAFStock[RM_Code],$A70,T_TTAFStock[WeekIndex],49)&gt;0)&gt;0,SUMIFS(T_SelfStock[Self_Qty],T_SelfStock[RM_Code],$A70,T_SelfStock[WeekIndex],49)+SUMIFS(T_TTAFStock[TTAF_Qty],T_TTAFStock[RM_Code],$A70,T_TTAFStock[WeekIndex],49),AW70+'Grid_Incoming'!AX70-'Grid_Requirement'!AX70))</f>
        <v/>
      </c>
      <c r="AY70">
        <f>IF(COUNTIFS(T_StockCount[RM_Code],$A70,T_StockCount[WeekIndex],50)&gt;0,SUMIFS(T_StockCount[CountedQty],T_StockCount[RM_Code],$A70,T_StockCount[WeekIndex],50),IF((COUNTIFS(T_SelfStock[RM_Code],$A70,T_SelfStock[WeekIndex],50)&gt;0)*(COUNTIFS(T_TTAFStock[RM_Code],$A70,T_TTAFStock[WeekIndex],50)&gt;0)&gt;0,SUMIFS(T_SelfStock[Self_Qty],T_SelfStock[RM_Code],$A70,T_SelfStock[WeekIndex],50)+SUMIFS(T_TTAFStock[TTAF_Qty],T_TTAFStock[RM_Code],$A70,T_TTAFStock[WeekIndex],50),AX70+'Grid_Incoming'!AY70-'Grid_Requirement'!AY70))</f>
        <v/>
      </c>
      <c r="AZ70">
        <f>IF(COUNTIFS(T_StockCount[RM_Code],$A70,T_StockCount[WeekIndex],51)&gt;0,SUMIFS(T_StockCount[CountedQty],T_StockCount[RM_Code],$A70,T_StockCount[WeekIndex],51),IF((COUNTIFS(T_SelfStock[RM_Code],$A70,T_SelfStock[WeekIndex],51)&gt;0)*(COUNTIFS(T_TTAFStock[RM_Code],$A70,T_TTAFStock[WeekIndex],51)&gt;0)&gt;0,SUMIFS(T_SelfStock[Self_Qty],T_SelfStock[RM_Code],$A70,T_SelfStock[WeekIndex],51)+SUMIFS(T_TTAFStock[TTAF_Qty],T_TTAFStock[RM_Code],$A70,T_TTAFStock[WeekIndex],51),AY70+'Grid_Incoming'!AZ70-'Grid_Requirement'!AZ70))</f>
        <v/>
      </c>
      <c r="BA70">
        <f>IF(COUNTIFS(T_StockCount[RM_Code],$A70,T_StockCount[WeekIndex],52)&gt;0,SUMIFS(T_StockCount[CountedQty],T_StockCount[RM_Code],$A70,T_StockCount[WeekIndex],52),IF((COUNTIFS(T_SelfStock[RM_Code],$A70,T_SelfStock[WeekIndex],52)&gt;0)*(COUNTIFS(T_TTAFStock[RM_Code],$A70,T_TTAFStock[WeekIndex],52)&gt;0)&gt;0,SUMIFS(T_SelfStock[Self_Qty],T_SelfStock[RM_Code],$A70,T_SelfStock[WeekIndex],52)+SUMIFS(T_TTAFStock[TTAF_Qty],T_TTAFStock[RM_Code],$A70,T_TTAFStock[WeekIndex],52),AZ70+'Grid_Incoming'!BA70-'Grid_Requirement'!BA70))</f>
        <v/>
      </c>
      <c r="BB70">
        <f>IF(COUNTIFS(T_StockCount[RM_Code],$A70,T_StockCount[WeekIndex],53)&gt;0,SUMIFS(T_StockCount[CountedQty],T_StockCount[RM_Code],$A70,T_StockCount[WeekIndex],53),IF((COUNTIFS(T_SelfStock[RM_Code],$A70,T_SelfStock[WeekIndex],53)&gt;0)*(COUNTIFS(T_TTAFStock[RM_Code],$A70,T_TTAFStock[WeekIndex],53)&gt;0)&gt;0,SUMIFS(T_SelfStock[Self_Qty],T_SelfStock[RM_Code],$A70,T_SelfStock[WeekIndex],53)+SUMIFS(T_TTAFStock[TTAF_Qty],T_TTAFStock[RM_Code],$A70,T_TTAFStock[WeekIndex],53),BA70+'Grid_Incoming'!BB70-'Grid_Requirement'!BB70))</f>
        <v/>
      </c>
      <c r="BC70">
        <f>IF(COUNTIFS(T_StockCount[RM_Code],$A70,T_StockCount[WeekIndex],54)&gt;0,SUMIFS(T_StockCount[CountedQty],T_StockCount[RM_Code],$A70,T_StockCount[WeekIndex],54),IF((COUNTIFS(T_SelfStock[RM_Code],$A70,T_SelfStock[WeekIndex],54)&gt;0)*(COUNTIFS(T_TTAFStock[RM_Code],$A70,T_TTAFStock[WeekIndex],54)&gt;0)&gt;0,SUMIFS(T_SelfStock[Self_Qty],T_SelfStock[RM_Code],$A70,T_SelfStock[WeekIndex],54)+SUMIFS(T_TTAFStock[TTAF_Qty],T_TTAFStock[RM_Code],$A70,T_TTAFStock[WeekIndex],54),BB70+'Grid_Incoming'!BC70-'Grid_Requirement'!BC70))</f>
        <v/>
      </c>
      <c r="BD70">
        <f>IF(COUNTIFS(T_StockCount[RM_Code],$A70,T_StockCount[WeekIndex],55)&gt;0,SUMIFS(T_StockCount[CountedQty],T_StockCount[RM_Code],$A70,T_StockCount[WeekIndex],55),IF((COUNTIFS(T_SelfStock[RM_Code],$A70,T_SelfStock[WeekIndex],55)&gt;0)*(COUNTIFS(T_TTAFStock[RM_Code],$A70,T_TTAFStock[WeekIndex],55)&gt;0)&gt;0,SUMIFS(T_SelfStock[Self_Qty],T_SelfStock[RM_Code],$A70,T_SelfStock[WeekIndex],55)+SUMIFS(T_TTAFStock[TTAF_Qty],T_TTAFStock[RM_Code],$A70,T_TTAFStock[WeekIndex],55),BC70+'Grid_Incoming'!BD70-'Grid_Requirement'!BD70))</f>
        <v/>
      </c>
      <c r="BE70">
        <f>IF(COUNTIFS(T_StockCount[RM_Code],$A70,T_StockCount[WeekIndex],56)&gt;0,SUMIFS(T_StockCount[CountedQty],T_StockCount[RM_Code],$A70,T_StockCount[WeekIndex],56),IF((COUNTIFS(T_SelfStock[RM_Code],$A70,T_SelfStock[WeekIndex],56)&gt;0)*(COUNTIFS(T_TTAFStock[RM_Code],$A70,T_TTAFStock[WeekIndex],56)&gt;0)&gt;0,SUMIFS(T_SelfStock[Self_Qty],T_SelfStock[RM_Code],$A70,T_SelfStock[WeekIndex],56)+SUMIFS(T_TTAFStock[TTAF_Qty],T_TTAFStock[RM_Code],$A70,T_TTAFStock[WeekIndex],56),BD70+'Grid_Incoming'!BE70-'Grid_Requirement'!BE70))</f>
        <v/>
      </c>
      <c r="BF70">
        <f>IF(COUNTIFS(T_StockCount[RM_Code],$A70,T_StockCount[WeekIndex],57)&gt;0,SUMIFS(T_StockCount[CountedQty],T_StockCount[RM_Code],$A70,T_StockCount[WeekIndex],57),IF((COUNTIFS(T_SelfStock[RM_Code],$A70,T_SelfStock[WeekIndex],57)&gt;0)*(COUNTIFS(T_TTAFStock[RM_Code],$A70,T_TTAFStock[WeekIndex],57)&gt;0)&gt;0,SUMIFS(T_SelfStock[Self_Qty],T_SelfStock[RM_Code],$A70,T_SelfStock[WeekIndex],57)+SUMIFS(T_TTAFStock[TTAF_Qty],T_TTAFStock[RM_Code],$A70,T_TTAFStock[WeekIndex],57),BE70+'Grid_Incoming'!BF70-'Grid_Requirement'!BF70))</f>
        <v/>
      </c>
      <c r="BG70">
        <f>IF(COUNTIFS(T_StockCount[RM_Code],$A70,T_StockCount[WeekIndex],58)&gt;0,SUMIFS(T_StockCount[CountedQty],T_StockCount[RM_Code],$A70,T_StockCount[WeekIndex],58),IF((COUNTIFS(T_SelfStock[RM_Code],$A70,T_SelfStock[WeekIndex],58)&gt;0)*(COUNTIFS(T_TTAFStock[RM_Code],$A70,T_TTAFStock[WeekIndex],58)&gt;0)&gt;0,SUMIFS(T_SelfStock[Self_Qty],T_SelfStock[RM_Code],$A70,T_SelfStock[WeekIndex],58)+SUMIFS(T_TTAFStock[TTAF_Qty],T_TTAFStock[RM_Code],$A70,T_TTAFStock[WeekIndex],58),BF70+'Grid_Incoming'!BG70-'Grid_Requirement'!BG70))</f>
        <v/>
      </c>
      <c r="BH70">
        <f>IF(COUNTIFS(T_StockCount[RM_Code],$A70,T_StockCount[WeekIndex],59)&gt;0,SUMIFS(T_StockCount[CountedQty],T_StockCount[RM_Code],$A70,T_StockCount[WeekIndex],59),IF((COUNTIFS(T_SelfStock[RM_Code],$A70,T_SelfStock[WeekIndex],59)&gt;0)*(COUNTIFS(T_TTAFStock[RM_Code],$A70,T_TTAFStock[WeekIndex],59)&gt;0)&gt;0,SUMIFS(T_SelfStock[Self_Qty],T_SelfStock[RM_Code],$A70,T_SelfStock[WeekIndex],59)+SUMIFS(T_TTAFStock[TTAF_Qty],T_TTAFStock[RM_Code],$A70,T_TTAFStock[WeekIndex],59),BG70+'Grid_Incoming'!BH70-'Grid_Requirement'!BH70))</f>
        <v/>
      </c>
      <c r="BI70">
        <f>IF(COUNTIFS(T_StockCount[RM_Code],$A70,T_StockCount[WeekIndex],60)&gt;0,SUMIFS(T_StockCount[CountedQty],T_StockCount[RM_Code],$A70,T_StockCount[WeekIndex],60),IF((COUNTIFS(T_SelfStock[RM_Code],$A70,T_SelfStock[WeekIndex],60)&gt;0)*(COUNTIFS(T_TTAFStock[RM_Code],$A70,T_TTAFStock[WeekIndex],60)&gt;0)&gt;0,SUMIFS(T_SelfStock[Self_Qty],T_SelfStock[RM_Code],$A70,T_SelfStock[WeekIndex],60)+SUMIFS(T_TTAFStock[TTAF_Qty],T_TTAFStock[RM_Code],$A70,T_TTAFStock[WeekIndex],60),BH70+'Grid_Incoming'!BI70-'Grid_Requirement'!BI70))</f>
        <v/>
      </c>
      <c r="BJ70">
        <f>IF(COUNTIFS(T_StockCount[RM_Code],$A70,T_StockCount[WeekIndex],61)&gt;0,SUMIFS(T_StockCount[CountedQty],T_StockCount[RM_Code],$A70,T_StockCount[WeekIndex],61),IF((COUNTIFS(T_SelfStock[RM_Code],$A70,T_SelfStock[WeekIndex],61)&gt;0)*(COUNTIFS(T_TTAFStock[RM_Code],$A70,T_TTAFStock[WeekIndex],61)&gt;0)&gt;0,SUMIFS(T_SelfStock[Self_Qty],T_SelfStock[RM_Code],$A70,T_SelfStock[WeekIndex],61)+SUMIFS(T_TTAFStock[TTAF_Qty],T_TTAFStock[RM_Code],$A70,T_TTAFStock[WeekIndex],61),BI70+'Grid_Incoming'!BJ70-'Grid_Requirement'!BJ70))</f>
        <v/>
      </c>
      <c r="BK70">
        <f>IF(COUNTIFS(T_StockCount[RM_Code],$A70,T_StockCount[WeekIndex],62)&gt;0,SUMIFS(T_StockCount[CountedQty],T_StockCount[RM_Code],$A70,T_StockCount[WeekIndex],62),IF((COUNTIFS(T_SelfStock[RM_Code],$A70,T_SelfStock[WeekIndex],62)&gt;0)*(COUNTIFS(T_TTAFStock[RM_Code],$A70,T_TTAFStock[WeekIndex],62)&gt;0)&gt;0,SUMIFS(T_SelfStock[Self_Qty],T_SelfStock[RM_Code],$A70,T_SelfStock[WeekIndex],62)+SUMIFS(T_TTAFStock[TTAF_Qty],T_TTAFStock[RM_Code],$A70,T_TTAFStock[WeekIndex],62),BJ70+'Grid_Incoming'!BK70-'Grid_Requirement'!BK70))</f>
        <v/>
      </c>
      <c r="BL70">
        <f>IF(COUNTIFS(T_StockCount[RM_Code],$A70,T_StockCount[WeekIndex],63)&gt;0,SUMIFS(T_StockCount[CountedQty],T_StockCount[RM_Code],$A70,T_StockCount[WeekIndex],63),IF((COUNTIFS(T_SelfStock[RM_Code],$A70,T_SelfStock[WeekIndex],63)&gt;0)*(COUNTIFS(T_TTAFStock[RM_Code],$A70,T_TTAFStock[WeekIndex],63)&gt;0)&gt;0,SUMIFS(T_SelfStock[Self_Qty],T_SelfStock[RM_Code],$A70,T_SelfStock[WeekIndex],63)+SUMIFS(T_TTAFStock[TTAF_Qty],T_TTAFStock[RM_Code],$A70,T_TTAFStock[WeekIndex],63),BK70+'Grid_Incoming'!BL70-'Grid_Requirement'!BL70))</f>
        <v/>
      </c>
      <c r="BM70">
        <f>IF(COUNTIFS(T_StockCount[RM_Code],$A70,T_StockCount[WeekIndex],64)&gt;0,SUMIFS(T_StockCount[CountedQty],T_StockCount[RM_Code],$A70,T_StockCount[WeekIndex],64),IF((COUNTIFS(T_SelfStock[RM_Code],$A70,T_SelfStock[WeekIndex],64)&gt;0)*(COUNTIFS(T_TTAFStock[RM_Code],$A70,T_TTAFStock[WeekIndex],64)&gt;0)&gt;0,SUMIFS(T_SelfStock[Self_Qty],T_SelfStock[RM_Code],$A70,T_SelfStock[WeekIndex],64)+SUMIFS(T_TTAFStock[TTAF_Qty],T_TTAFStock[RM_Code],$A70,T_TTAFStock[WeekIndex],64),BL70+'Grid_Incoming'!BM70-'Grid_Requirement'!BM70))</f>
        <v/>
      </c>
      <c r="BN70">
        <f>IF(COUNTIFS(T_StockCount[RM_Code],$A70,T_StockCount[WeekIndex],65)&gt;0,SUMIFS(T_StockCount[CountedQty],T_StockCount[RM_Code],$A70,T_StockCount[WeekIndex],65),IF((COUNTIFS(T_SelfStock[RM_Code],$A70,T_SelfStock[WeekIndex],65)&gt;0)*(COUNTIFS(T_TTAFStock[RM_Code],$A70,T_TTAFStock[WeekIndex],65)&gt;0)&gt;0,SUMIFS(T_SelfStock[Self_Qty],T_SelfStock[RM_Code],$A70,T_SelfStock[WeekIndex],65)+SUMIFS(T_TTAFStock[TTAF_Qty],T_TTAFStock[RM_Code],$A70,T_TTAFStock[WeekIndex],65),BM70+'Grid_Incoming'!BN70-'Grid_Requirement'!BN70))</f>
        <v/>
      </c>
      <c r="BO70">
        <f>IF(COUNTIFS(T_StockCount[RM_Code],$A70,T_StockCount[WeekIndex],66)&gt;0,SUMIFS(T_StockCount[CountedQty],T_StockCount[RM_Code],$A70,T_StockCount[WeekIndex],66),IF((COUNTIFS(T_SelfStock[RM_Code],$A70,T_SelfStock[WeekIndex],66)&gt;0)*(COUNTIFS(T_TTAFStock[RM_Code],$A70,T_TTAFStock[WeekIndex],66)&gt;0)&gt;0,SUMIFS(T_SelfStock[Self_Qty],T_SelfStock[RM_Code],$A70,T_SelfStock[WeekIndex],66)+SUMIFS(T_TTAFStock[TTAF_Qty],T_TTAFStock[RM_Code],$A70,T_TTAFStock[WeekIndex],66),BN70+'Grid_Incoming'!BO70-'Grid_Requirement'!BO70))</f>
        <v/>
      </c>
      <c r="BP70">
        <f>IF(COUNTIFS(T_StockCount[RM_Code],$A70,T_StockCount[WeekIndex],67)&gt;0,SUMIFS(T_StockCount[CountedQty],T_StockCount[RM_Code],$A70,T_StockCount[WeekIndex],67),IF((COUNTIFS(T_SelfStock[RM_Code],$A70,T_SelfStock[WeekIndex],67)&gt;0)*(COUNTIFS(T_TTAFStock[RM_Code],$A70,T_TTAFStock[WeekIndex],67)&gt;0)&gt;0,SUMIFS(T_SelfStock[Self_Qty],T_SelfStock[RM_Code],$A70,T_SelfStock[WeekIndex],67)+SUMIFS(T_TTAFStock[TTAF_Qty],T_TTAFStock[RM_Code],$A70,T_TTAFStock[WeekIndex],67),BO70+'Grid_Incoming'!BP70-'Grid_Requirement'!BP70))</f>
        <v/>
      </c>
      <c r="BQ70">
        <f>IF(COUNTIFS(T_StockCount[RM_Code],$A70,T_StockCount[WeekIndex],68)&gt;0,SUMIFS(T_StockCount[CountedQty],T_StockCount[RM_Code],$A70,T_StockCount[WeekIndex],68),IF((COUNTIFS(T_SelfStock[RM_Code],$A70,T_SelfStock[WeekIndex],68)&gt;0)*(COUNTIFS(T_TTAFStock[RM_Code],$A70,T_TTAFStock[WeekIndex],68)&gt;0)&gt;0,SUMIFS(T_SelfStock[Self_Qty],T_SelfStock[RM_Code],$A70,T_SelfStock[WeekIndex],68)+SUMIFS(T_TTAFStock[TTAF_Qty],T_TTAFStock[RM_Code],$A70,T_TTAFStock[WeekIndex],68),BP70+'Grid_Incoming'!BQ70-'Grid_Requirement'!BQ70))</f>
        <v/>
      </c>
      <c r="BR70">
        <f>IF(COUNTIFS(T_StockCount[RM_Code],$A70,T_StockCount[WeekIndex],69)&gt;0,SUMIFS(T_StockCount[CountedQty],T_StockCount[RM_Code],$A70,T_StockCount[WeekIndex],69),IF((COUNTIFS(T_SelfStock[RM_Code],$A70,T_SelfStock[WeekIndex],69)&gt;0)*(COUNTIFS(T_TTAFStock[RM_Code],$A70,T_TTAFStock[WeekIndex],69)&gt;0)&gt;0,SUMIFS(T_SelfStock[Self_Qty],T_SelfStock[RM_Code],$A70,T_SelfStock[WeekIndex],69)+SUMIFS(T_TTAFStock[TTAF_Qty],T_TTAFStock[RM_Code],$A70,T_TTAFStock[WeekIndex],69),BQ70+'Grid_Incoming'!BR70-'Grid_Requirement'!BR70))</f>
        <v/>
      </c>
      <c r="BS70">
        <f>IF(COUNTIFS(T_StockCount[RM_Code],$A70,T_StockCount[WeekIndex],70)&gt;0,SUMIFS(T_StockCount[CountedQty],T_StockCount[RM_Code],$A70,T_StockCount[WeekIndex],70),IF((COUNTIFS(T_SelfStock[RM_Code],$A70,T_SelfStock[WeekIndex],70)&gt;0)*(COUNTIFS(T_TTAFStock[RM_Code],$A70,T_TTAFStock[WeekIndex],70)&gt;0)&gt;0,SUMIFS(T_SelfStock[Self_Qty],T_SelfStock[RM_Code],$A70,T_SelfStock[WeekIndex],70)+SUMIFS(T_TTAFStock[TTAF_Qty],T_TTAFStock[RM_Code],$A70,T_TTAFStock[WeekIndex],70),BR70+'Grid_Incoming'!BS70-'Grid_Requirement'!BS70))</f>
        <v/>
      </c>
      <c r="BT70">
        <f>IF(COUNTIFS(T_StockCount[RM_Code],$A70,T_StockCount[WeekIndex],71)&gt;0,SUMIFS(T_StockCount[CountedQty],T_StockCount[RM_Code],$A70,T_StockCount[WeekIndex],71),IF((COUNTIFS(T_SelfStock[RM_Code],$A70,T_SelfStock[WeekIndex],71)&gt;0)*(COUNTIFS(T_TTAFStock[RM_Code],$A70,T_TTAFStock[WeekIndex],71)&gt;0)&gt;0,SUMIFS(T_SelfStock[Self_Qty],T_SelfStock[RM_Code],$A70,T_SelfStock[WeekIndex],71)+SUMIFS(T_TTAFStock[TTAF_Qty],T_TTAFStock[RM_Code],$A70,T_TTAFStock[WeekIndex],71),BS70+'Grid_Incoming'!BT70-'Grid_Requirement'!BT70))</f>
        <v/>
      </c>
      <c r="BU70">
        <f>IF(COUNTIFS(T_StockCount[RM_Code],$A70,T_StockCount[WeekIndex],72)&gt;0,SUMIFS(T_StockCount[CountedQty],T_StockCount[RM_Code],$A70,T_StockCount[WeekIndex],72),IF((COUNTIFS(T_SelfStock[RM_Code],$A70,T_SelfStock[WeekIndex],72)&gt;0)*(COUNTIFS(T_TTAFStock[RM_Code],$A70,T_TTAFStock[WeekIndex],72)&gt;0)&gt;0,SUMIFS(T_SelfStock[Self_Qty],T_SelfStock[RM_Code],$A70,T_SelfStock[WeekIndex],72)+SUMIFS(T_TTAFStock[TTAF_Qty],T_TTAFStock[RM_Code],$A70,T_TTAFStock[WeekIndex],72),BT70+'Grid_Incoming'!BU70-'Grid_Requirement'!BU70))</f>
        <v/>
      </c>
      <c r="BV70">
        <f>IF(COUNTIFS(T_StockCount[RM_Code],$A70,T_StockCount[WeekIndex],73)&gt;0,SUMIFS(T_StockCount[CountedQty],T_StockCount[RM_Code],$A70,T_StockCount[WeekIndex],73),IF((COUNTIFS(T_SelfStock[RM_Code],$A70,T_SelfStock[WeekIndex],73)&gt;0)*(COUNTIFS(T_TTAFStock[RM_Code],$A70,T_TTAFStock[WeekIndex],73)&gt;0)&gt;0,SUMIFS(T_SelfStock[Self_Qty],T_SelfStock[RM_Code],$A70,T_SelfStock[WeekIndex],73)+SUMIFS(T_TTAFStock[TTAF_Qty],T_TTAFStock[RM_Code],$A70,T_TTAFStock[WeekIndex],73),BU70+'Grid_Incoming'!BV70-'Grid_Requirement'!BV70))</f>
        <v/>
      </c>
      <c r="BW70">
        <f>IF(COUNTIFS(T_StockCount[RM_Code],$A70,T_StockCount[WeekIndex],74)&gt;0,SUMIFS(T_StockCount[CountedQty],T_StockCount[RM_Code],$A70,T_StockCount[WeekIndex],74),IF((COUNTIFS(T_SelfStock[RM_Code],$A70,T_SelfStock[WeekIndex],74)&gt;0)*(COUNTIFS(T_TTAFStock[RM_Code],$A70,T_TTAFStock[WeekIndex],74)&gt;0)&gt;0,SUMIFS(T_SelfStock[Self_Qty],T_SelfStock[RM_Code],$A70,T_SelfStock[WeekIndex],74)+SUMIFS(T_TTAFStock[TTAF_Qty],T_TTAFStock[RM_Code],$A70,T_TTAFStock[WeekIndex],74),BV70+'Grid_Incoming'!BW70-'Grid_Requirement'!BW70))</f>
        <v/>
      </c>
      <c r="BX70">
        <f>IF(COUNTIFS(T_StockCount[RM_Code],$A70,T_StockCount[WeekIndex],75)&gt;0,SUMIFS(T_StockCount[CountedQty],T_StockCount[RM_Code],$A70,T_StockCount[WeekIndex],75),IF((COUNTIFS(T_SelfStock[RM_Code],$A70,T_SelfStock[WeekIndex],75)&gt;0)*(COUNTIFS(T_TTAFStock[RM_Code],$A70,T_TTAFStock[WeekIndex],75)&gt;0)&gt;0,SUMIFS(T_SelfStock[Self_Qty],T_SelfStock[RM_Code],$A70,T_SelfStock[WeekIndex],75)+SUMIFS(T_TTAFStock[TTAF_Qty],T_TTAFStock[RM_Code],$A70,T_TTAFStock[WeekIndex],75),BW70+'Grid_Incoming'!BX70-'Grid_Requirement'!BX70))</f>
        <v/>
      </c>
      <c r="BY70">
        <f>IF(COUNTIFS(T_StockCount[RM_Code],$A70,T_StockCount[WeekIndex],76)&gt;0,SUMIFS(T_StockCount[CountedQty],T_StockCount[RM_Code],$A70,T_StockCount[WeekIndex],76),IF((COUNTIFS(T_SelfStock[RM_Code],$A70,T_SelfStock[WeekIndex],76)&gt;0)*(COUNTIFS(T_TTAFStock[RM_Code],$A70,T_TTAFStock[WeekIndex],76)&gt;0)&gt;0,SUMIFS(T_SelfStock[Self_Qty],T_SelfStock[RM_Code],$A70,T_SelfStock[WeekIndex],76)+SUMIFS(T_TTAFStock[TTAF_Qty],T_TTAFStock[RM_Code],$A70,T_TTAFStock[WeekIndex],76),BX70+'Grid_Incoming'!BY70-'Grid_Requirement'!BY70))</f>
        <v/>
      </c>
      <c r="BZ70">
        <f>IF(COUNTIFS(T_StockCount[RM_Code],$A70,T_StockCount[WeekIndex],77)&gt;0,SUMIFS(T_StockCount[CountedQty],T_StockCount[RM_Code],$A70,T_StockCount[WeekIndex],77),IF((COUNTIFS(T_SelfStock[RM_Code],$A70,T_SelfStock[WeekIndex],77)&gt;0)*(COUNTIFS(T_TTAFStock[RM_Code],$A70,T_TTAFStock[WeekIndex],77)&gt;0)&gt;0,SUMIFS(T_SelfStock[Self_Qty],T_SelfStock[RM_Code],$A70,T_SelfStock[WeekIndex],77)+SUMIFS(T_TTAFStock[TTAF_Qty],T_TTAFStock[RM_Code],$A70,T_TTAFStock[WeekIndex],77),BY70+'Grid_Incoming'!BZ70-'Grid_Requirement'!BZ70))</f>
        <v/>
      </c>
      <c r="CA70">
        <f>IF(COUNTIFS(T_StockCount[RM_Code],$A70,T_StockCount[WeekIndex],78)&gt;0,SUMIFS(T_StockCount[CountedQty],T_StockCount[RM_Code],$A70,T_StockCount[WeekIndex],78),IF((COUNTIFS(T_SelfStock[RM_Code],$A70,T_SelfStock[WeekIndex],78)&gt;0)*(COUNTIFS(T_TTAFStock[RM_Code],$A70,T_TTAFStock[WeekIndex],78)&gt;0)&gt;0,SUMIFS(T_SelfStock[Self_Qty],T_SelfStock[RM_Code],$A70,T_SelfStock[WeekIndex],78)+SUMIFS(T_TTAFStock[TTAF_Qty],T_TTAFStock[RM_Code],$A70,T_TTAFStock[WeekIndex],78),BZ70+'Grid_Incoming'!CA70-'Grid_Requirement'!CA70))</f>
        <v/>
      </c>
      <c r="CB70">
        <f>IF(COUNTIFS(T_StockCount[RM_Code],$A70,T_StockCount[WeekIndex],79)&gt;0,SUMIFS(T_StockCount[CountedQty],T_StockCount[RM_Code],$A70,T_StockCount[WeekIndex],79),IF((COUNTIFS(T_SelfStock[RM_Code],$A70,T_SelfStock[WeekIndex],79)&gt;0)*(COUNTIFS(T_TTAFStock[RM_Code],$A70,T_TTAFStock[WeekIndex],79)&gt;0)&gt;0,SUMIFS(T_SelfStock[Self_Qty],T_SelfStock[RM_Code],$A70,T_SelfStock[WeekIndex],79)+SUMIFS(T_TTAFStock[TTAF_Qty],T_TTAFStock[RM_Code],$A70,T_TTAFStock[WeekIndex],79),CA70+'Grid_Incoming'!CB70-'Grid_Requirement'!CB70))</f>
        <v/>
      </c>
      <c r="CC70">
        <f>IF(COUNTIFS(T_StockCount[RM_Code],$A70,T_StockCount[WeekIndex],80)&gt;0,SUMIFS(T_StockCount[CountedQty],T_StockCount[RM_Code],$A70,T_StockCount[WeekIndex],80),IF((COUNTIFS(T_SelfStock[RM_Code],$A70,T_SelfStock[WeekIndex],80)&gt;0)*(COUNTIFS(T_TTAFStock[RM_Code],$A70,T_TTAFStock[WeekIndex],80)&gt;0)&gt;0,SUMIFS(T_SelfStock[Self_Qty],T_SelfStock[RM_Code],$A70,T_SelfStock[WeekIndex],80)+SUMIFS(T_TTAFStock[TTAF_Qty],T_TTAFStock[RM_Code],$A70,T_TTAFStock[WeekIndex],80),CB70+'Grid_Incoming'!CC70-'Grid_Requirement'!CC70))</f>
        <v/>
      </c>
      <c r="CD70">
        <f>IF(COUNTIFS(T_StockCount[RM_Code],$A70,T_StockCount[WeekIndex],81)&gt;0,SUMIFS(T_StockCount[CountedQty],T_StockCount[RM_Code],$A70,T_StockCount[WeekIndex],81),IF((COUNTIFS(T_SelfStock[RM_Code],$A70,T_SelfStock[WeekIndex],81)&gt;0)*(COUNTIFS(T_TTAFStock[RM_Code],$A70,T_TTAFStock[WeekIndex],81)&gt;0)&gt;0,SUMIFS(T_SelfStock[Self_Qty],T_SelfStock[RM_Code],$A70,T_SelfStock[WeekIndex],81)+SUMIFS(T_TTAFStock[TTAF_Qty],T_TTAFStock[RM_Code],$A70,T_TTAFStock[WeekIndex],81),CC70+'Grid_Incoming'!CD70-'Grid_Requirement'!CD70))</f>
        <v/>
      </c>
      <c r="CE70">
        <f>IF(COUNTIFS(T_StockCount[RM_Code],$A70,T_StockCount[WeekIndex],82)&gt;0,SUMIFS(T_StockCount[CountedQty],T_StockCount[RM_Code],$A70,T_StockCount[WeekIndex],82),IF((COUNTIFS(T_SelfStock[RM_Code],$A70,T_SelfStock[WeekIndex],82)&gt;0)*(COUNTIFS(T_TTAFStock[RM_Code],$A70,T_TTAFStock[WeekIndex],82)&gt;0)&gt;0,SUMIFS(T_SelfStock[Self_Qty],T_SelfStock[RM_Code],$A70,T_SelfStock[WeekIndex],82)+SUMIFS(T_TTAFStock[TTAF_Qty],T_TTAFStock[RM_Code],$A70,T_TTAFStock[WeekIndex],82),CD70+'Grid_Incoming'!CE70-'Grid_Requirement'!CE70))</f>
        <v/>
      </c>
      <c r="CF70">
        <f>IF(COUNTIFS(T_StockCount[RM_Code],$A70,T_StockCount[WeekIndex],83)&gt;0,SUMIFS(T_StockCount[CountedQty],T_StockCount[RM_Code],$A70,T_StockCount[WeekIndex],83),IF((COUNTIFS(T_SelfStock[RM_Code],$A70,T_SelfStock[WeekIndex],83)&gt;0)*(COUNTIFS(T_TTAFStock[RM_Code],$A70,T_TTAFStock[WeekIndex],83)&gt;0)&gt;0,SUMIFS(T_SelfStock[Self_Qty],T_SelfStock[RM_Code],$A70,T_SelfStock[WeekIndex],83)+SUMIFS(T_TTAFStock[TTAF_Qty],T_TTAFStock[RM_Code],$A70,T_TTAFStock[WeekIndex],83),CE70+'Grid_Incoming'!CF70-'Grid_Requirement'!CF70))</f>
        <v/>
      </c>
      <c r="CG70">
        <f>IF(COUNTIFS(T_StockCount[RM_Code],$A70,T_StockCount[WeekIndex],84)&gt;0,SUMIFS(T_StockCount[CountedQty],T_StockCount[RM_Code],$A70,T_StockCount[WeekIndex],84),IF((COUNTIFS(T_SelfStock[RM_Code],$A70,T_SelfStock[WeekIndex],84)&gt;0)*(COUNTIFS(T_TTAFStock[RM_Code],$A70,T_TTAFStock[WeekIndex],84)&gt;0)&gt;0,SUMIFS(T_SelfStock[Self_Qty],T_SelfStock[RM_Code],$A70,T_SelfStock[WeekIndex],84)+SUMIFS(T_TTAFStock[TTAF_Qty],T_TTAFStock[RM_Code],$A70,T_TTAFStock[WeekIndex],84),CF70+'Grid_Incoming'!CG70-'Grid_Requirement'!CG70))</f>
        <v/>
      </c>
      <c r="CH70">
        <f>IF(COUNTIFS(T_StockCount[RM_Code],$A70,T_StockCount[WeekIndex],85)&gt;0,SUMIFS(T_StockCount[CountedQty],T_StockCount[RM_Code],$A70,T_StockCount[WeekIndex],85),IF((COUNTIFS(T_SelfStock[RM_Code],$A70,T_SelfStock[WeekIndex],85)&gt;0)*(COUNTIFS(T_TTAFStock[RM_Code],$A70,T_TTAFStock[WeekIndex],85)&gt;0)&gt;0,SUMIFS(T_SelfStock[Self_Qty],T_SelfStock[RM_Code],$A70,T_SelfStock[WeekIndex],85)+SUMIFS(T_TTAFStock[TTAF_Qty],T_TTAFStock[RM_Code],$A70,T_TTAFStock[WeekIndex],85),CG70+'Grid_Incoming'!CH70-'Grid_Requirement'!CH70))</f>
        <v/>
      </c>
      <c r="CI70">
        <f>IF(COUNTIFS(T_StockCount[RM_Code],$A70,T_StockCount[WeekIndex],86)&gt;0,SUMIFS(T_StockCount[CountedQty],T_StockCount[RM_Code],$A70,T_StockCount[WeekIndex],86),IF((COUNTIFS(T_SelfStock[RM_Code],$A70,T_SelfStock[WeekIndex],86)&gt;0)*(COUNTIFS(T_TTAFStock[RM_Code],$A70,T_TTAFStock[WeekIndex],86)&gt;0)&gt;0,SUMIFS(T_SelfStock[Self_Qty],T_SelfStock[RM_Code],$A70,T_SelfStock[WeekIndex],86)+SUMIFS(T_TTAFStock[TTAF_Qty],T_TTAFStock[RM_Code],$A70,T_TTAFStock[WeekIndex],86),CH70+'Grid_Incoming'!CI70-'Grid_Requirement'!CI70))</f>
        <v/>
      </c>
      <c r="CJ70">
        <f>IF(COUNTIFS(T_StockCount[RM_Code],$A70,T_StockCount[WeekIndex],87)&gt;0,SUMIFS(T_StockCount[CountedQty],T_StockCount[RM_Code],$A70,T_StockCount[WeekIndex],87),IF((COUNTIFS(T_SelfStock[RM_Code],$A70,T_SelfStock[WeekIndex],87)&gt;0)*(COUNTIFS(T_TTAFStock[RM_Code],$A70,T_TTAFStock[WeekIndex],87)&gt;0)&gt;0,SUMIFS(T_SelfStock[Self_Qty],T_SelfStock[RM_Code],$A70,T_SelfStock[WeekIndex],87)+SUMIFS(T_TTAFStock[TTAF_Qty],T_TTAFStock[RM_Code],$A70,T_TTAFStock[WeekIndex],87),CI70+'Grid_Incoming'!CJ70-'Grid_Requirement'!CJ70))</f>
        <v/>
      </c>
      <c r="CK70">
        <f>IF(COUNTIFS(T_StockCount[RM_Code],$A70,T_StockCount[WeekIndex],88)&gt;0,SUMIFS(T_StockCount[CountedQty],T_StockCount[RM_Code],$A70,T_StockCount[WeekIndex],88),IF((COUNTIFS(T_SelfStock[RM_Code],$A70,T_SelfStock[WeekIndex],88)&gt;0)*(COUNTIFS(T_TTAFStock[RM_Code],$A70,T_TTAFStock[WeekIndex],88)&gt;0)&gt;0,SUMIFS(T_SelfStock[Self_Qty],T_SelfStock[RM_Code],$A70,T_SelfStock[WeekIndex],88)+SUMIFS(T_TTAFStock[TTAF_Qty],T_TTAFStock[RM_Code],$A70,T_TTAFStock[WeekIndex],88),CJ70+'Grid_Incoming'!CK70-'Grid_Requirement'!CK70))</f>
        <v/>
      </c>
      <c r="CL70">
        <f>IF(COUNTIFS(T_StockCount[RM_Code],$A70,T_StockCount[WeekIndex],89)&gt;0,SUMIFS(T_StockCount[CountedQty],T_StockCount[RM_Code],$A70,T_StockCount[WeekIndex],89),IF((COUNTIFS(T_SelfStock[RM_Code],$A70,T_SelfStock[WeekIndex],89)&gt;0)*(COUNTIFS(T_TTAFStock[RM_Code],$A70,T_TTAFStock[WeekIndex],89)&gt;0)&gt;0,SUMIFS(T_SelfStock[Self_Qty],T_SelfStock[RM_Code],$A70,T_SelfStock[WeekIndex],89)+SUMIFS(T_TTAFStock[TTAF_Qty],T_TTAFStock[RM_Code],$A70,T_TTAFStock[WeekIndex],89),CK70+'Grid_Incoming'!CL70-'Grid_Requirement'!CL70))</f>
        <v/>
      </c>
      <c r="CM70">
        <f>IF(COUNTIFS(T_StockCount[RM_Code],$A70,T_StockCount[WeekIndex],90)&gt;0,SUMIFS(T_StockCount[CountedQty],T_StockCount[RM_Code],$A70,T_StockCount[WeekIndex],90),IF((COUNTIFS(T_SelfStock[RM_Code],$A70,T_SelfStock[WeekIndex],90)&gt;0)*(COUNTIFS(T_TTAFStock[RM_Code],$A70,T_TTAFStock[WeekIndex],90)&gt;0)&gt;0,SUMIFS(T_SelfStock[Self_Qty],T_SelfStock[RM_Code],$A70,T_SelfStock[WeekIndex],90)+SUMIFS(T_TTAFStock[TTAF_Qty],T_TTAFStock[RM_Code],$A70,T_TTAFStock[WeekIndex],90),CL70+'Grid_Incoming'!CM70-'Grid_Requirement'!CM70))</f>
        <v/>
      </c>
      <c r="CN70">
        <f>IF(COUNTIFS(T_StockCount[RM_Code],$A70,T_StockCount[WeekIndex],91)&gt;0,SUMIFS(T_StockCount[CountedQty],T_StockCount[RM_Code],$A70,T_StockCount[WeekIndex],91),IF((COUNTIFS(T_SelfStock[RM_Code],$A70,T_SelfStock[WeekIndex],91)&gt;0)*(COUNTIFS(T_TTAFStock[RM_Code],$A70,T_TTAFStock[WeekIndex],91)&gt;0)&gt;0,SUMIFS(T_SelfStock[Self_Qty],T_SelfStock[RM_Code],$A70,T_SelfStock[WeekIndex],91)+SUMIFS(T_TTAFStock[TTAF_Qty],T_TTAFStock[RM_Code],$A70,T_TTAFStock[WeekIndex],91),CM70+'Grid_Incoming'!CN70-'Grid_Requirement'!CN70))</f>
        <v/>
      </c>
      <c r="CO70">
        <f>IF(COUNTIFS(T_StockCount[RM_Code],$A70,T_StockCount[WeekIndex],92)&gt;0,SUMIFS(T_StockCount[CountedQty],T_StockCount[RM_Code],$A70,T_StockCount[WeekIndex],92),IF((COUNTIFS(T_SelfStock[RM_Code],$A70,T_SelfStock[WeekIndex],92)&gt;0)*(COUNTIFS(T_TTAFStock[RM_Code],$A70,T_TTAFStock[WeekIndex],92)&gt;0)&gt;0,SUMIFS(T_SelfStock[Self_Qty],T_SelfStock[RM_Code],$A70,T_SelfStock[WeekIndex],92)+SUMIFS(T_TTAFStock[TTAF_Qty],T_TTAFStock[RM_Code],$A70,T_TTAFStock[WeekIndex],92),CN70+'Grid_Incoming'!CO70-'Grid_Requirement'!CO70))</f>
        <v/>
      </c>
      <c r="CP70">
        <f>IF(COUNTIFS(T_StockCount[RM_Code],$A70,T_StockCount[WeekIndex],93)&gt;0,SUMIFS(T_StockCount[CountedQty],T_StockCount[RM_Code],$A70,T_StockCount[WeekIndex],93),IF((COUNTIFS(T_SelfStock[RM_Code],$A70,T_SelfStock[WeekIndex],93)&gt;0)*(COUNTIFS(T_TTAFStock[RM_Code],$A70,T_TTAFStock[WeekIndex],93)&gt;0)&gt;0,SUMIFS(T_SelfStock[Self_Qty],T_SelfStock[RM_Code],$A70,T_SelfStock[WeekIndex],93)+SUMIFS(T_TTAFStock[TTAF_Qty],T_TTAFStock[RM_Code],$A70,T_TTAFStock[WeekIndex],93),CO70+'Grid_Incoming'!CP70-'Grid_Requirement'!CP70))</f>
        <v/>
      </c>
      <c r="CQ70">
        <f>IF(COUNTIFS(T_StockCount[RM_Code],$A70,T_StockCount[WeekIndex],94)&gt;0,SUMIFS(T_StockCount[CountedQty],T_StockCount[RM_Code],$A70,T_StockCount[WeekIndex],94),IF((COUNTIFS(T_SelfStock[RM_Code],$A70,T_SelfStock[WeekIndex],94)&gt;0)*(COUNTIFS(T_TTAFStock[RM_Code],$A70,T_TTAFStock[WeekIndex],94)&gt;0)&gt;0,SUMIFS(T_SelfStock[Self_Qty],T_SelfStock[RM_Code],$A70,T_SelfStock[WeekIndex],94)+SUMIFS(T_TTAFStock[TTAF_Qty],T_TTAFStock[RM_Code],$A70,T_TTAFStock[WeekIndex],94),CP70+'Grid_Incoming'!CQ70-'Grid_Requirement'!CQ70))</f>
        <v/>
      </c>
      <c r="CR70">
        <f>IF(COUNTIFS(T_StockCount[RM_Code],$A70,T_StockCount[WeekIndex],95)&gt;0,SUMIFS(T_StockCount[CountedQty],T_StockCount[RM_Code],$A70,T_StockCount[WeekIndex],95),IF((COUNTIFS(T_SelfStock[RM_Code],$A70,T_SelfStock[WeekIndex],95)&gt;0)*(COUNTIFS(T_TTAFStock[RM_Code],$A70,T_TTAFStock[WeekIndex],95)&gt;0)&gt;0,SUMIFS(T_SelfStock[Self_Qty],T_SelfStock[RM_Code],$A70,T_SelfStock[WeekIndex],95)+SUMIFS(T_TTAFStock[TTAF_Qty],T_TTAFStock[RM_Code],$A70,T_TTAFStock[WeekIndex],95),CQ70+'Grid_Incoming'!CR70-'Grid_Requirement'!CR70))</f>
        <v/>
      </c>
      <c r="CS70">
        <f>IF(COUNTIFS(T_StockCount[RM_Code],$A70,T_StockCount[WeekIndex],96)&gt;0,SUMIFS(T_StockCount[CountedQty],T_StockCount[RM_Code],$A70,T_StockCount[WeekIndex],96),IF((COUNTIFS(T_SelfStock[RM_Code],$A70,T_SelfStock[WeekIndex],96)&gt;0)*(COUNTIFS(T_TTAFStock[RM_Code],$A70,T_TTAFStock[WeekIndex],96)&gt;0)&gt;0,SUMIFS(T_SelfStock[Self_Qty],T_SelfStock[RM_Code],$A70,T_SelfStock[WeekIndex],96)+SUMIFS(T_TTAFStock[TTAF_Qty],T_TTAFStock[RM_Code],$A70,T_TTAFStock[WeekIndex],96),CR70+'Grid_Incoming'!CS70-'Grid_Requirement'!CS70))</f>
        <v/>
      </c>
      <c r="CT70">
        <f>IF(COUNTIFS(T_StockCount[RM_Code],$A70,T_StockCount[WeekIndex],97)&gt;0,SUMIFS(T_StockCount[CountedQty],T_StockCount[RM_Code],$A70,T_StockCount[WeekIndex],97),IF((COUNTIFS(T_SelfStock[RM_Code],$A70,T_SelfStock[WeekIndex],97)&gt;0)*(COUNTIFS(T_TTAFStock[RM_Code],$A70,T_TTAFStock[WeekIndex],97)&gt;0)&gt;0,SUMIFS(T_SelfStock[Self_Qty],T_SelfStock[RM_Code],$A70,T_SelfStock[WeekIndex],97)+SUMIFS(T_TTAFStock[TTAF_Qty],T_TTAFStock[RM_Code],$A70,T_TTAFStock[WeekIndex],97),CS70+'Grid_Incoming'!CT70-'Grid_Requirement'!CT70))</f>
        <v/>
      </c>
      <c r="CU70">
        <f>IF(COUNTIFS(T_StockCount[RM_Code],$A70,T_StockCount[WeekIndex],98)&gt;0,SUMIFS(T_StockCount[CountedQty],T_StockCount[RM_Code],$A70,T_StockCount[WeekIndex],98),IF((COUNTIFS(T_SelfStock[RM_Code],$A70,T_SelfStock[WeekIndex],98)&gt;0)*(COUNTIFS(T_TTAFStock[RM_Code],$A70,T_TTAFStock[WeekIndex],98)&gt;0)&gt;0,SUMIFS(T_SelfStock[Self_Qty],T_SelfStock[RM_Code],$A70,T_SelfStock[WeekIndex],98)+SUMIFS(T_TTAFStock[TTAF_Qty],T_TTAFStock[RM_Code],$A70,T_TTAFStock[WeekIndex],98),CT70+'Grid_Incoming'!CU70-'Grid_Requirement'!CU70))</f>
        <v/>
      </c>
      <c r="CV70">
        <f>IF(COUNTIFS(T_StockCount[RM_Code],$A70,T_StockCount[WeekIndex],99)&gt;0,SUMIFS(T_StockCount[CountedQty],T_StockCount[RM_Code],$A70,T_StockCount[WeekIndex],99),IF((COUNTIFS(T_SelfStock[RM_Code],$A70,T_SelfStock[WeekIndex],99)&gt;0)*(COUNTIFS(T_TTAFStock[RM_Code],$A70,T_TTAFStock[WeekIndex],99)&gt;0)&gt;0,SUMIFS(T_SelfStock[Self_Qty],T_SelfStock[RM_Code],$A70,T_SelfStock[WeekIndex],99)+SUMIFS(T_TTAFStock[TTAF_Qty],T_TTAFStock[RM_Code],$A70,T_TTAFStock[WeekIndex],99),CU70+'Grid_Incoming'!CV70-'Grid_Requirement'!CV70))</f>
        <v/>
      </c>
      <c r="CW70">
        <f>IF(COUNTIFS(T_StockCount[RM_Code],$A70,T_StockCount[WeekIndex],100)&gt;0,SUMIFS(T_StockCount[CountedQty],T_StockCount[RM_Code],$A70,T_StockCount[WeekIndex],100),IF((COUNTIFS(T_SelfStock[RM_Code],$A70,T_SelfStock[WeekIndex],100)&gt;0)*(COUNTIFS(T_TTAFStock[RM_Code],$A70,T_TTAFStock[WeekIndex],100)&gt;0)&gt;0,SUMIFS(T_SelfStock[Self_Qty],T_SelfStock[RM_Code],$A70,T_SelfStock[WeekIndex],100)+SUMIFS(T_TTAFStock[TTAF_Qty],T_TTAFStock[RM_Code],$A70,T_TTAFStock[WeekIndex],100),CV70+'Grid_Incoming'!CW70-'Grid_Requirement'!CW70))</f>
        <v/>
      </c>
      <c r="CX70">
        <f>IF(COUNTIFS(T_StockCount[RM_Code],$A70,T_StockCount[WeekIndex],101)&gt;0,SUMIFS(T_StockCount[CountedQty],T_StockCount[RM_Code],$A70,T_StockCount[WeekIndex],101),IF((COUNTIFS(T_SelfStock[RM_Code],$A70,T_SelfStock[WeekIndex],101)&gt;0)*(COUNTIFS(T_TTAFStock[RM_Code],$A70,T_TTAFStock[WeekIndex],101)&gt;0)&gt;0,SUMIFS(T_SelfStock[Self_Qty],T_SelfStock[RM_Code],$A70,T_SelfStock[WeekIndex],101)+SUMIFS(T_TTAFStock[TTAF_Qty],T_TTAFStock[RM_Code],$A70,T_TTAFStock[WeekIndex],101),CW70+'Grid_Incoming'!CX70-'Grid_Requirement'!CX70))</f>
        <v/>
      </c>
      <c r="CY70">
        <f>IF(COUNTIFS(T_StockCount[RM_Code],$A70,T_StockCount[WeekIndex],102)&gt;0,SUMIFS(T_StockCount[CountedQty],T_StockCount[RM_Code],$A70,T_StockCount[WeekIndex],102),IF((COUNTIFS(T_SelfStock[RM_Code],$A70,T_SelfStock[WeekIndex],102)&gt;0)*(COUNTIFS(T_TTAFStock[RM_Code],$A70,T_TTAFStock[WeekIndex],102)&gt;0)&gt;0,SUMIFS(T_SelfStock[Self_Qty],T_SelfStock[RM_Code],$A70,T_SelfStock[WeekIndex],102)+SUMIFS(T_TTAFStock[TTAF_Qty],T_TTAFStock[RM_Code],$A70,T_TTAFStock[WeekIndex],102),CX70+'Grid_Incoming'!CY70-'Grid_Requirement'!CY70))</f>
        <v/>
      </c>
      <c r="CZ70">
        <f>IF(COUNTIFS(T_StockCount[RM_Code],$A70,T_StockCount[WeekIndex],103)&gt;0,SUMIFS(T_StockCount[CountedQty],T_StockCount[RM_Code],$A70,T_StockCount[WeekIndex],103),IF((COUNTIFS(T_SelfStock[RM_Code],$A70,T_SelfStock[WeekIndex],103)&gt;0)*(COUNTIFS(T_TTAFStock[RM_Code],$A70,T_TTAFStock[WeekIndex],103)&gt;0)&gt;0,SUMIFS(T_SelfStock[Self_Qty],T_SelfStock[RM_Code],$A70,T_SelfStock[WeekIndex],103)+SUMIFS(T_TTAFStock[TTAF_Qty],T_TTAFStock[RM_Code],$A70,T_TTAFStock[WeekIndex],103),CY70+'Grid_Incoming'!CZ70-'Grid_Requirement'!CZ70))</f>
        <v/>
      </c>
      <c r="DA70">
        <f>IF(COUNTIFS(T_StockCount[RM_Code],$A70,T_StockCount[WeekIndex],104)&gt;0,SUMIFS(T_StockCount[CountedQty],T_StockCount[RM_Code],$A70,T_StockCount[WeekIndex],104),IF((COUNTIFS(T_SelfStock[RM_Code],$A70,T_SelfStock[WeekIndex],104)&gt;0)*(COUNTIFS(T_TTAFStock[RM_Code],$A70,T_TTAFStock[WeekIndex],104)&gt;0)&gt;0,SUMIFS(T_SelfStock[Self_Qty],T_SelfStock[RM_Code],$A70,T_SelfStock[WeekIndex],104)+SUMIFS(T_TTAFStock[TTAF_Qty],T_TTAFStock[RM_Code],$A70,T_TTAFStock[WeekIndex],104),CZ70+'Grid_Incoming'!DA70-'Grid_Requirement'!DA70))</f>
        <v/>
      </c>
    </row>
    <row r="71">
      <c r="A71" t="inlineStr">
        <is>
          <t>848530</t>
        </is>
      </c>
      <c r="B71">
        <f>IF(COUNTIFS(T_StockCount[RM_Code],$A71,T_StockCount[WeekIndex],1)&gt;0,SUMIFS(T_StockCount[CountedQty],T_StockCount[RM_Code],$A71,T_StockCount[WeekIndex],1),IF((COUNTIFS(T_SelfStock[RM_Code],$A71,T_SelfStock[WeekIndex],1)&gt;0)*(COUNTIFS(T_TTAFStock[RM_Code],$A71,T_TTAFStock[WeekIndex],1)&gt;0)&gt;0,SUMIFS(T_SelfStock[Self_Qty],T_SelfStock[RM_Code],$A71,T_SelfStock[WeekIndex],1)+SUMIFS(T_TTAFStock[TTAF_Qty],T_TTAFStock[RM_Code],$A71,T_TTAFStock[WeekIndex],1),IFERROR(INDEX(T_OpeningStock[Opening_Qty],MATCH($A71,T_OpeningStock[RM_Code],0)),0)+'Grid_Incoming'!B71-'Grid_Requirement'!B71))</f>
        <v/>
      </c>
      <c r="C71">
        <f>IF(COUNTIFS(T_StockCount[RM_Code],$A71,T_StockCount[WeekIndex],2)&gt;0,SUMIFS(T_StockCount[CountedQty],T_StockCount[RM_Code],$A71,T_StockCount[WeekIndex],2),IF((COUNTIFS(T_SelfStock[RM_Code],$A71,T_SelfStock[WeekIndex],2)&gt;0)*(COUNTIFS(T_TTAFStock[RM_Code],$A71,T_TTAFStock[WeekIndex],2)&gt;0)&gt;0,SUMIFS(T_SelfStock[Self_Qty],T_SelfStock[RM_Code],$A71,T_SelfStock[WeekIndex],2)+SUMIFS(T_TTAFStock[TTAF_Qty],T_TTAFStock[RM_Code],$A71,T_TTAFStock[WeekIndex],2),B71+'Grid_Incoming'!C71-'Grid_Requirement'!C71))</f>
        <v/>
      </c>
      <c r="D71">
        <f>IF(COUNTIFS(T_StockCount[RM_Code],$A71,T_StockCount[WeekIndex],3)&gt;0,SUMIFS(T_StockCount[CountedQty],T_StockCount[RM_Code],$A71,T_StockCount[WeekIndex],3),IF((COUNTIFS(T_SelfStock[RM_Code],$A71,T_SelfStock[WeekIndex],3)&gt;0)*(COUNTIFS(T_TTAFStock[RM_Code],$A71,T_TTAFStock[WeekIndex],3)&gt;0)&gt;0,SUMIFS(T_SelfStock[Self_Qty],T_SelfStock[RM_Code],$A71,T_SelfStock[WeekIndex],3)+SUMIFS(T_TTAFStock[TTAF_Qty],T_TTAFStock[RM_Code],$A71,T_TTAFStock[WeekIndex],3),C71+'Grid_Incoming'!D71-'Grid_Requirement'!D71))</f>
        <v/>
      </c>
      <c r="E71">
        <f>IF(COUNTIFS(T_StockCount[RM_Code],$A71,T_StockCount[WeekIndex],4)&gt;0,SUMIFS(T_StockCount[CountedQty],T_StockCount[RM_Code],$A71,T_StockCount[WeekIndex],4),IF((COUNTIFS(T_SelfStock[RM_Code],$A71,T_SelfStock[WeekIndex],4)&gt;0)*(COUNTIFS(T_TTAFStock[RM_Code],$A71,T_TTAFStock[WeekIndex],4)&gt;0)&gt;0,SUMIFS(T_SelfStock[Self_Qty],T_SelfStock[RM_Code],$A71,T_SelfStock[WeekIndex],4)+SUMIFS(T_TTAFStock[TTAF_Qty],T_TTAFStock[RM_Code],$A71,T_TTAFStock[WeekIndex],4),D71+'Grid_Incoming'!E71-'Grid_Requirement'!E71))</f>
        <v/>
      </c>
      <c r="F71">
        <f>IF(COUNTIFS(T_StockCount[RM_Code],$A71,T_StockCount[WeekIndex],5)&gt;0,SUMIFS(T_StockCount[CountedQty],T_StockCount[RM_Code],$A71,T_StockCount[WeekIndex],5),IF((COUNTIFS(T_SelfStock[RM_Code],$A71,T_SelfStock[WeekIndex],5)&gt;0)*(COUNTIFS(T_TTAFStock[RM_Code],$A71,T_TTAFStock[WeekIndex],5)&gt;0)&gt;0,SUMIFS(T_SelfStock[Self_Qty],T_SelfStock[RM_Code],$A71,T_SelfStock[WeekIndex],5)+SUMIFS(T_TTAFStock[TTAF_Qty],T_TTAFStock[RM_Code],$A71,T_TTAFStock[WeekIndex],5),E71+'Grid_Incoming'!F71-'Grid_Requirement'!F71))</f>
        <v/>
      </c>
      <c r="G71">
        <f>IF(COUNTIFS(T_StockCount[RM_Code],$A71,T_StockCount[WeekIndex],6)&gt;0,SUMIFS(T_StockCount[CountedQty],T_StockCount[RM_Code],$A71,T_StockCount[WeekIndex],6),IF((COUNTIFS(T_SelfStock[RM_Code],$A71,T_SelfStock[WeekIndex],6)&gt;0)*(COUNTIFS(T_TTAFStock[RM_Code],$A71,T_TTAFStock[WeekIndex],6)&gt;0)&gt;0,SUMIFS(T_SelfStock[Self_Qty],T_SelfStock[RM_Code],$A71,T_SelfStock[WeekIndex],6)+SUMIFS(T_TTAFStock[TTAF_Qty],T_TTAFStock[RM_Code],$A71,T_TTAFStock[WeekIndex],6),F71+'Grid_Incoming'!G71-'Grid_Requirement'!G71))</f>
        <v/>
      </c>
      <c r="H71">
        <f>IF(COUNTIFS(T_StockCount[RM_Code],$A71,T_StockCount[WeekIndex],7)&gt;0,SUMIFS(T_StockCount[CountedQty],T_StockCount[RM_Code],$A71,T_StockCount[WeekIndex],7),IF((COUNTIFS(T_SelfStock[RM_Code],$A71,T_SelfStock[WeekIndex],7)&gt;0)*(COUNTIFS(T_TTAFStock[RM_Code],$A71,T_TTAFStock[WeekIndex],7)&gt;0)&gt;0,SUMIFS(T_SelfStock[Self_Qty],T_SelfStock[RM_Code],$A71,T_SelfStock[WeekIndex],7)+SUMIFS(T_TTAFStock[TTAF_Qty],T_TTAFStock[RM_Code],$A71,T_TTAFStock[WeekIndex],7),G71+'Grid_Incoming'!H71-'Grid_Requirement'!H71))</f>
        <v/>
      </c>
      <c r="I71">
        <f>IF(COUNTIFS(T_StockCount[RM_Code],$A71,T_StockCount[WeekIndex],8)&gt;0,SUMIFS(T_StockCount[CountedQty],T_StockCount[RM_Code],$A71,T_StockCount[WeekIndex],8),IF((COUNTIFS(T_SelfStock[RM_Code],$A71,T_SelfStock[WeekIndex],8)&gt;0)*(COUNTIFS(T_TTAFStock[RM_Code],$A71,T_TTAFStock[WeekIndex],8)&gt;0)&gt;0,SUMIFS(T_SelfStock[Self_Qty],T_SelfStock[RM_Code],$A71,T_SelfStock[WeekIndex],8)+SUMIFS(T_TTAFStock[TTAF_Qty],T_TTAFStock[RM_Code],$A71,T_TTAFStock[WeekIndex],8),H71+'Grid_Incoming'!I71-'Grid_Requirement'!I71))</f>
        <v/>
      </c>
      <c r="J71">
        <f>IF(COUNTIFS(T_StockCount[RM_Code],$A71,T_StockCount[WeekIndex],9)&gt;0,SUMIFS(T_StockCount[CountedQty],T_StockCount[RM_Code],$A71,T_StockCount[WeekIndex],9),IF((COUNTIFS(T_SelfStock[RM_Code],$A71,T_SelfStock[WeekIndex],9)&gt;0)*(COUNTIFS(T_TTAFStock[RM_Code],$A71,T_TTAFStock[WeekIndex],9)&gt;0)&gt;0,SUMIFS(T_SelfStock[Self_Qty],T_SelfStock[RM_Code],$A71,T_SelfStock[WeekIndex],9)+SUMIFS(T_TTAFStock[TTAF_Qty],T_TTAFStock[RM_Code],$A71,T_TTAFStock[WeekIndex],9),I71+'Grid_Incoming'!J71-'Grid_Requirement'!J71))</f>
        <v/>
      </c>
      <c r="K71">
        <f>IF(COUNTIFS(T_StockCount[RM_Code],$A71,T_StockCount[WeekIndex],10)&gt;0,SUMIFS(T_StockCount[CountedQty],T_StockCount[RM_Code],$A71,T_StockCount[WeekIndex],10),IF((COUNTIFS(T_SelfStock[RM_Code],$A71,T_SelfStock[WeekIndex],10)&gt;0)*(COUNTIFS(T_TTAFStock[RM_Code],$A71,T_TTAFStock[WeekIndex],10)&gt;0)&gt;0,SUMIFS(T_SelfStock[Self_Qty],T_SelfStock[RM_Code],$A71,T_SelfStock[WeekIndex],10)+SUMIFS(T_TTAFStock[TTAF_Qty],T_TTAFStock[RM_Code],$A71,T_TTAFStock[WeekIndex],10),J71+'Grid_Incoming'!K71-'Grid_Requirement'!K71))</f>
        <v/>
      </c>
      <c r="L71">
        <f>IF(COUNTIFS(T_StockCount[RM_Code],$A71,T_StockCount[WeekIndex],11)&gt;0,SUMIFS(T_StockCount[CountedQty],T_StockCount[RM_Code],$A71,T_StockCount[WeekIndex],11),IF((COUNTIFS(T_SelfStock[RM_Code],$A71,T_SelfStock[WeekIndex],11)&gt;0)*(COUNTIFS(T_TTAFStock[RM_Code],$A71,T_TTAFStock[WeekIndex],11)&gt;0)&gt;0,SUMIFS(T_SelfStock[Self_Qty],T_SelfStock[RM_Code],$A71,T_SelfStock[WeekIndex],11)+SUMIFS(T_TTAFStock[TTAF_Qty],T_TTAFStock[RM_Code],$A71,T_TTAFStock[WeekIndex],11),K71+'Grid_Incoming'!L71-'Grid_Requirement'!L71))</f>
        <v/>
      </c>
      <c r="M71">
        <f>IF(COUNTIFS(T_StockCount[RM_Code],$A71,T_StockCount[WeekIndex],12)&gt;0,SUMIFS(T_StockCount[CountedQty],T_StockCount[RM_Code],$A71,T_StockCount[WeekIndex],12),IF((COUNTIFS(T_SelfStock[RM_Code],$A71,T_SelfStock[WeekIndex],12)&gt;0)*(COUNTIFS(T_TTAFStock[RM_Code],$A71,T_TTAFStock[WeekIndex],12)&gt;0)&gt;0,SUMIFS(T_SelfStock[Self_Qty],T_SelfStock[RM_Code],$A71,T_SelfStock[WeekIndex],12)+SUMIFS(T_TTAFStock[TTAF_Qty],T_TTAFStock[RM_Code],$A71,T_TTAFStock[WeekIndex],12),L71+'Grid_Incoming'!M71-'Grid_Requirement'!M71))</f>
        <v/>
      </c>
      <c r="N71">
        <f>IF(COUNTIFS(T_StockCount[RM_Code],$A71,T_StockCount[WeekIndex],13)&gt;0,SUMIFS(T_StockCount[CountedQty],T_StockCount[RM_Code],$A71,T_StockCount[WeekIndex],13),IF((COUNTIFS(T_SelfStock[RM_Code],$A71,T_SelfStock[WeekIndex],13)&gt;0)*(COUNTIFS(T_TTAFStock[RM_Code],$A71,T_TTAFStock[WeekIndex],13)&gt;0)&gt;0,SUMIFS(T_SelfStock[Self_Qty],T_SelfStock[RM_Code],$A71,T_SelfStock[WeekIndex],13)+SUMIFS(T_TTAFStock[TTAF_Qty],T_TTAFStock[RM_Code],$A71,T_TTAFStock[WeekIndex],13),M71+'Grid_Incoming'!N71-'Grid_Requirement'!N71))</f>
        <v/>
      </c>
      <c r="O71">
        <f>IF(COUNTIFS(T_StockCount[RM_Code],$A71,T_StockCount[WeekIndex],14)&gt;0,SUMIFS(T_StockCount[CountedQty],T_StockCount[RM_Code],$A71,T_StockCount[WeekIndex],14),IF((COUNTIFS(T_SelfStock[RM_Code],$A71,T_SelfStock[WeekIndex],14)&gt;0)*(COUNTIFS(T_TTAFStock[RM_Code],$A71,T_TTAFStock[WeekIndex],14)&gt;0)&gt;0,SUMIFS(T_SelfStock[Self_Qty],T_SelfStock[RM_Code],$A71,T_SelfStock[WeekIndex],14)+SUMIFS(T_TTAFStock[TTAF_Qty],T_TTAFStock[RM_Code],$A71,T_TTAFStock[WeekIndex],14),N71+'Grid_Incoming'!O71-'Grid_Requirement'!O71))</f>
        <v/>
      </c>
      <c r="P71">
        <f>IF(COUNTIFS(T_StockCount[RM_Code],$A71,T_StockCount[WeekIndex],15)&gt;0,SUMIFS(T_StockCount[CountedQty],T_StockCount[RM_Code],$A71,T_StockCount[WeekIndex],15),IF((COUNTIFS(T_SelfStock[RM_Code],$A71,T_SelfStock[WeekIndex],15)&gt;0)*(COUNTIFS(T_TTAFStock[RM_Code],$A71,T_TTAFStock[WeekIndex],15)&gt;0)&gt;0,SUMIFS(T_SelfStock[Self_Qty],T_SelfStock[RM_Code],$A71,T_SelfStock[WeekIndex],15)+SUMIFS(T_TTAFStock[TTAF_Qty],T_TTAFStock[RM_Code],$A71,T_TTAFStock[WeekIndex],15),O71+'Grid_Incoming'!P71-'Grid_Requirement'!P71))</f>
        <v/>
      </c>
      <c r="Q71">
        <f>IF(COUNTIFS(T_StockCount[RM_Code],$A71,T_StockCount[WeekIndex],16)&gt;0,SUMIFS(T_StockCount[CountedQty],T_StockCount[RM_Code],$A71,T_StockCount[WeekIndex],16),IF((COUNTIFS(T_SelfStock[RM_Code],$A71,T_SelfStock[WeekIndex],16)&gt;0)*(COUNTIFS(T_TTAFStock[RM_Code],$A71,T_TTAFStock[WeekIndex],16)&gt;0)&gt;0,SUMIFS(T_SelfStock[Self_Qty],T_SelfStock[RM_Code],$A71,T_SelfStock[WeekIndex],16)+SUMIFS(T_TTAFStock[TTAF_Qty],T_TTAFStock[RM_Code],$A71,T_TTAFStock[WeekIndex],16),P71+'Grid_Incoming'!Q71-'Grid_Requirement'!Q71))</f>
        <v/>
      </c>
      <c r="R71">
        <f>IF(COUNTIFS(T_StockCount[RM_Code],$A71,T_StockCount[WeekIndex],17)&gt;0,SUMIFS(T_StockCount[CountedQty],T_StockCount[RM_Code],$A71,T_StockCount[WeekIndex],17),IF((COUNTIFS(T_SelfStock[RM_Code],$A71,T_SelfStock[WeekIndex],17)&gt;0)*(COUNTIFS(T_TTAFStock[RM_Code],$A71,T_TTAFStock[WeekIndex],17)&gt;0)&gt;0,SUMIFS(T_SelfStock[Self_Qty],T_SelfStock[RM_Code],$A71,T_SelfStock[WeekIndex],17)+SUMIFS(T_TTAFStock[TTAF_Qty],T_TTAFStock[RM_Code],$A71,T_TTAFStock[WeekIndex],17),Q71+'Grid_Incoming'!R71-'Grid_Requirement'!R71))</f>
        <v/>
      </c>
      <c r="S71">
        <f>IF(COUNTIFS(T_StockCount[RM_Code],$A71,T_StockCount[WeekIndex],18)&gt;0,SUMIFS(T_StockCount[CountedQty],T_StockCount[RM_Code],$A71,T_StockCount[WeekIndex],18),IF((COUNTIFS(T_SelfStock[RM_Code],$A71,T_SelfStock[WeekIndex],18)&gt;0)*(COUNTIFS(T_TTAFStock[RM_Code],$A71,T_TTAFStock[WeekIndex],18)&gt;0)&gt;0,SUMIFS(T_SelfStock[Self_Qty],T_SelfStock[RM_Code],$A71,T_SelfStock[WeekIndex],18)+SUMIFS(T_TTAFStock[TTAF_Qty],T_TTAFStock[RM_Code],$A71,T_TTAFStock[WeekIndex],18),R71+'Grid_Incoming'!S71-'Grid_Requirement'!S71))</f>
        <v/>
      </c>
      <c r="T71">
        <f>IF(COUNTIFS(T_StockCount[RM_Code],$A71,T_StockCount[WeekIndex],19)&gt;0,SUMIFS(T_StockCount[CountedQty],T_StockCount[RM_Code],$A71,T_StockCount[WeekIndex],19),IF((COUNTIFS(T_SelfStock[RM_Code],$A71,T_SelfStock[WeekIndex],19)&gt;0)*(COUNTIFS(T_TTAFStock[RM_Code],$A71,T_TTAFStock[WeekIndex],19)&gt;0)&gt;0,SUMIFS(T_SelfStock[Self_Qty],T_SelfStock[RM_Code],$A71,T_SelfStock[WeekIndex],19)+SUMIFS(T_TTAFStock[TTAF_Qty],T_TTAFStock[RM_Code],$A71,T_TTAFStock[WeekIndex],19),S71+'Grid_Incoming'!T71-'Grid_Requirement'!T71))</f>
        <v/>
      </c>
      <c r="U71">
        <f>IF(COUNTIFS(T_StockCount[RM_Code],$A71,T_StockCount[WeekIndex],20)&gt;0,SUMIFS(T_StockCount[CountedQty],T_StockCount[RM_Code],$A71,T_StockCount[WeekIndex],20),IF((COUNTIFS(T_SelfStock[RM_Code],$A71,T_SelfStock[WeekIndex],20)&gt;0)*(COUNTIFS(T_TTAFStock[RM_Code],$A71,T_TTAFStock[WeekIndex],20)&gt;0)&gt;0,SUMIFS(T_SelfStock[Self_Qty],T_SelfStock[RM_Code],$A71,T_SelfStock[WeekIndex],20)+SUMIFS(T_TTAFStock[TTAF_Qty],T_TTAFStock[RM_Code],$A71,T_TTAFStock[WeekIndex],20),T71+'Grid_Incoming'!U71-'Grid_Requirement'!U71))</f>
        <v/>
      </c>
      <c r="V71">
        <f>IF(COUNTIFS(T_StockCount[RM_Code],$A71,T_StockCount[WeekIndex],21)&gt;0,SUMIFS(T_StockCount[CountedQty],T_StockCount[RM_Code],$A71,T_StockCount[WeekIndex],21),IF((COUNTIFS(T_SelfStock[RM_Code],$A71,T_SelfStock[WeekIndex],21)&gt;0)*(COUNTIFS(T_TTAFStock[RM_Code],$A71,T_TTAFStock[WeekIndex],21)&gt;0)&gt;0,SUMIFS(T_SelfStock[Self_Qty],T_SelfStock[RM_Code],$A71,T_SelfStock[WeekIndex],21)+SUMIFS(T_TTAFStock[TTAF_Qty],T_TTAFStock[RM_Code],$A71,T_TTAFStock[WeekIndex],21),U71+'Grid_Incoming'!V71-'Grid_Requirement'!V71))</f>
        <v/>
      </c>
      <c r="W71">
        <f>IF(COUNTIFS(T_StockCount[RM_Code],$A71,T_StockCount[WeekIndex],22)&gt;0,SUMIFS(T_StockCount[CountedQty],T_StockCount[RM_Code],$A71,T_StockCount[WeekIndex],22),IF((COUNTIFS(T_SelfStock[RM_Code],$A71,T_SelfStock[WeekIndex],22)&gt;0)*(COUNTIFS(T_TTAFStock[RM_Code],$A71,T_TTAFStock[WeekIndex],22)&gt;0)&gt;0,SUMIFS(T_SelfStock[Self_Qty],T_SelfStock[RM_Code],$A71,T_SelfStock[WeekIndex],22)+SUMIFS(T_TTAFStock[TTAF_Qty],T_TTAFStock[RM_Code],$A71,T_TTAFStock[WeekIndex],22),V71+'Grid_Incoming'!W71-'Grid_Requirement'!W71))</f>
        <v/>
      </c>
      <c r="X71">
        <f>IF(COUNTIFS(T_StockCount[RM_Code],$A71,T_StockCount[WeekIndex],23)&gt;0,SUMIFS(T_StockCount[CountedQty],T_StockCount[RM_Code],$A71,T_StockCount[WeekIndex],23),IF((COUNTIFS(T_SelfStock[RM_Code],$A71,T_SelfStock[WeekIndex],23)&gt;0)*(COUNTIFS(T_TTAFStock[RM_Code],$A71,T_TTAFStock[WeekIndex],23)&gt;0)&gt;0,SUMIFS(T_SelfStock[Self_Qty],T_SelfStock[RM_Code],$A71,T_SelfStock[WeekIndex],23)+SUMIFS(T_TTAFStock[TTAF_Qty],T_TTAFStock[RM_Code],$A71,T_TTAFStock[WeekIndex],23),W71+'Grid_Incoming'!X71-'Grid_Requirement'!X71))</f>
        <v/>
      </c>
      <c r="Y71">
        <f>IF(COUNTIFS(T_StockCount[RM_Code],$A71,T_StockCount[WeekIndex],24)&gt;0,SUMIFS(T_StockCount[CountedQty],T_StockCount[RM_Code],$A71,T_StockCount[WeekIndex],24),IF((COUNTIFS(T_SelfStock[RM_Code],$A71,T_SelfStock[WeekIndex],24)&gt;0)*(COUNTIFS(T_TTAFStock[RM_Code],$A71,T_TTAFStock[WeekIndex],24)&gt;0)&gt;0,SUMIFS(T_SelfStock[Self_Qty],T_SelfStock[RM_Code],$A71,T_SelfStock[WeekIndex],24)+SUMIFS(T_TTAFStock[TTAF_Qty],T_TTAFStock[RM_Code],$A71,T_TTAFStock[WeekIndex],24),X71+'Grid_Incoming'!Y71-'Grid_Requirement'!Y71))</f>
        <v/>
      </c>
      <c r="Z71">
        <f>IF(COUNTIFS(T_StockCount[RM_Code],$A71,T_StockCount[WeekIndex],25)&gt;0,SUMIFS(T_StockCount[CountedQty],T_StockCount[RM_Code],$A71,T_StockCount[WeekIndex],25),IF((COUNTIFS(T_SelfStock[RM_Code],$A71,T_SelfStock[WeekIndex],25)&gt;0)*(COUNTIFS(T_TTAFStock[RM_Code],$A71,T_TTAFStock[WeekIndex],25)&gt;0)&gt;0,SUMIFS(T_SelfStock[Self_Qty],T_SelfStock[RM_Code],$A71,T_SelfStock[WeekIndex],25)+SUMIFS(T_TTAFStock[TTAF_Qty],T_TTAFStock[RM_Code],$A71,T_TTAFStock[WeekIndex],25),Y71+'Grid_Incoming'!Z71-'Grid_Requirement'!Z71))</f>
        <v/>
      </c>
      <c r="AA71">
        <f>IF(COUNTIFS(T_StockCount[RM_Code],$A71,T_StockCount[WeekIndex],26)&gt;0,SUMIFS(T_StockCount[CountedQty],T_StockCount[RM_Code],$A71,T_StockCount[WeekIndex],26),IF((COUNTIFS(T_SelfStock[RM_Code],$A71,T_SelfStock[WeekIndex],26)&gt;0)*(COUNTIFS(T_TTAFStock[RM_Code],$A71,T_TTAFStock[WeekIndex],26)&gt;0)&gt;0,SUMIFS(T_SelfStock[Self_Qty],T_SelfStock[RM_Code],$A71,T_SelfStock[WeekIndex],26)+SUMIFS(T_TTAFStock[TTAF_Qty],T_TTAFStock[RM_Code],$A71,T_TTAFStock[WeekIndex],26),Z71+'Grid_Incoming'!AA71-'Grid_Requirement'!AA71))</f>
        <v/>
      </c>
      <c r="AB71">
        <f>IF(COUNTIFS(T_StockCount[RM_Code],$A71,T_StockCount[WeekIndex],27)&gt;0,SUMIFS(T_StockCount[CountedQty],T_StockCount[RM_Code],$A71,T_StockCount[WeekIndex],27),IF((COUNTIFS(T_SelfStock[RM_Code],$A71,T_SelfStock[WeekIndex],27)&gt;0)*(COUNTIFS(T_TTAFStock[RM_Code],$A71,T_TTAFStock[WeekIndex],27)&gt;0)&gt;0,SUMIFS(T_SelfStock[Self_Qty],T_SelfStock[RM_Code],$A71,T_SelfStock[WeekIndex],27)+SUMIFS(T_TTAFStock[TTAF_Qty],T_TTAFStock[RM_Code],$A71,T_TTAFStock[WeekIndex],27),AA71+'Grid_Incoming'!AB71-'Grid_Requirement'!AB71))</f>
        <v/>
      </c>
      <c r="AC71">
        <f>IF(COUNTIFS(T_StockCount[RM_Code],$A71,T_StockCount[WeekIndex],28)&gt;0,SUMIFS(T_StockCount[CountedQty],T_StockCount[RM_Code],$A71,T_StockCount[WeekIndex],28),IF((COUNTIFS(T_SelfStock[RM_Code],$A71,T_SelfStock[WeekIndex],28)&gt;0)*(COUNTIFS(T_TTAFStock[RM_Code],$A71,T_TTAFStock[WeekIndex],28)&gt;0)&gt;0,SUMIFS(T_SelfStock[Self_Qty],T_SelfStock[RM_Code],$A71,T_SelfStock[WeekIndex],28)+SUMIFS(T_TTAFStock[TTAF_Qty],T_TTAFStock[RM_Code],$A71,T_TTAFStock[WeekIndex],28),AB71+'Grid_Incoming'!AC71-'Grid_Requirement'!AC71))</f>
        <v/>
      </c>
      <c r="AD71">
        <f>IF(COUNTIFS(T_StockCount[RM_Code],$A71,T_StockCount[WeekIndex],29)&gt;0,SUMIFS(T_StockCount[CountedQty],T_StockCount[RM_Code],$A71,T_StockCount[WeekIndex],29),IF((COUNTIFS(T_SelfStock[RM_Code],$A71,T_SelfStock[WeekIndex],29)&gt;0)*(COUNTIFS(T_TTAFStock[RM_Code],$A71,T_TTAFStock[WeekIndex],29)&gt;0)&gt;0,SUMIFS(T_SelfStock[Self_Qty],T_SelfStock[RM_Code],$A71,T_SelfStock[WeekIndex],29)+SUMIFS(T_TTAFStock[TTAF_Qty],T_TTAFStock[RM_Code],$A71,T_TTAFStock[WeekIndex],29),AC71+'Grid_Incoming'!AD71-'Grid_Requirement'!AD71))</f>
        <v/>
      </c>
      <c r="AE71">
        <f>IF(COUNTIFS(T_StockCount[RM_Code],$A71,T_StockCount[WeekIndex],30)&gt;0,SUMIFS(T_StockCount[CountedQty],T_StockCount[RM_Code],$A71,T_StockCount[WeekIndex],30),IF((COUNTIFS(T_SelfStock[RM_Code],$A71,T_SelfStock[WeekIndex],30)&gt;0)*(COUNTIFS(T_TTAFStock[RM_Code],$A71,T_TTAFStock[WeekIndex],30)&gt;0)&gt;0,SUMIFS(T_SelfStock[Self_Qty],T_SelfStock[RM_Code],$A71,T_SelfStock[WeekIndex],30)+SUMIFS(T_TTAFStock[TTAF_Qty],T_TTAFStock[RM_Code],$A71,T_TTAFStock[WeekIndex],30),AD71+'Grid_Incoming'!AE71-'Grid_Requirement'!AE71))</f>
        <v/>
      </c>
      <c r="AF71">
        <f>IF(COUNTIFS(T_StockCount[RM_Code],$A71,T_StockCount[WeekIndex],31)&gt;0,SUMIFS(T_StockCount[CountedQty],T_StockCount[RM_Code],$A71,T_StockCount[WeekIndex],31),IF((COUNTIFS(T_SelfStock[RM_Code],$A71,T_SelfStock[WeekIndex],31)&gt;0)*(COUNTIFS(T_TTAFStock[RM_Code],$A71,T_TTAFStock[WeekIndex],31)&gt;0)&gt;0,SUMIFS(T_SelfStock[Self_Qty],T_SelfStock[RM_Code],$A71,T_SelfStock[WeekIndex],31)+SUMIFS(T_TTAFStock[TTAF_Qty],T_TTAFStock[RM_Code],$A71,T_TTAFStock[WeekIndex],31),AE71+'Grid_Incoming'!AF71-'Grid_Requirement'!AF71))</f>
        <v/>
      </c>
      <c r="AG71">
        <f>IF(COUNTIFS(T_StockCount[RM_Code],$A71,T_StockCount[WeekIndex],32)&gt;0,SUMIFS(T_StockCount[CountedQty],T_StockCount[RM_Code],$A71,T_StockCount[WeekIndex],32),IF((COUNTIFS(T_SelfStock[RM_Code],$A71,T_SelfStock[WeekIndex],32)&gt;0)*(COUNTIFS(T_TTAFStock[RM_Code],$A71,T_TTAFStock[WeekIndex],32)&gt;0)&gt;0,SUMIFS(T_SelfStock[Self_Qty],T_SelfStock[RM_Code],$A71,T_SelfStock[WeekIndex],32)+SUMIFS(T_TTAFStock[TTAF_Qty],T_TTAFStock[RM_Code],$A71,T_TTAFStock[WeekIndex],32),AF71+'Grid_Incoming'!AG71-'Grid_Requirement'!AG71))</f>
        <v/>
      </c>
      <c r="AH71">
        <f>IF(COUNTIFS(T_StockCount[RM_Code],$A71,T_StockCount[WeekIndex],33)&gt;0,SUMIFS(T_StockCount[CountedQty],T_StockCount[RM_Code],$A71,T_StockCount[WeekIndex],33),IF((COUNTIFS(T_SelfStock[RM_Code],$A71,T_SelfStock[WeekIndex],33)&gt;0)*(COUNTIFS(T_TTAFStock[RM_Code],$A71,T_TTAFStock[WeekIndex],33)&gt;0)&gt;0,SUMIFS(T_SelfStock[Self_Qty],T_SelfStock[RM_Code],$A71,T_SelfStock[WeekIndex],33)+SUMIFS(T_TTAFStock[TTAF_Qty],T_TTAFStock[RM_Code],$A71,T_TTAFStock[WeekIndex],33),AG71+'Grid_Incoming'!AH71-'Grid_Requirement'!AH71))</f>
        <v/>
      </c>
      <c r="AI71">
        <f>IF(COUNTIFS(T_StockCount[RM_Code],$A71,T_StockCount[WeekIndex],34)&gt;0,SUMIFS(T_StockCount[CountedQty],T_StockCount[RM_Code],$A71,T_StockCount[WeekIndex],34),IF((COUNTIFS(T_SelfStock[RM_Code],$A71,T_SelfStock[WeekIndex],34)&gt;0)*(COUNTIFS(T_TTAFStock[RM_Code],$A71,T_TTAFStock[WeekIndex],34)&gt;0)&gt;0,SUMIFS(T_SelfStock[Self_Qty],T_SelfStock[RM_Code],$A71,T_SelfStock[WeekIndex],34)+SUMIFS(T_TTAFStock[TTAF_Qty],T_TTAFStock[RM_Code],$A71,T_TTAFStock[WeekIndex],34),AH71+'Grid_Incoming'!AI71-'Grid_Requirement'!AI71))</f>
        <v/>
      </c>
      <c r="AJ71">
        <f>IF(COUNTIFS(T_StockCount[RM_Code],$A71,T_StockCount[WeekIndex],35)&gt;0,SUMIFS(T_StockCount[CountedQty],T_StockCount[RM_Code],$A71,T_StockCount[WeekIndex],35),IF((COUNTIFS(T_SelfStock[RM_Code],$A71,T_SelfStock[WeekIndex],35)&gt;0)*(COUNTIFS(T_TTAFStock[RM_Code],$A71,T_TTAFStock[WeekIndex],35)&gt;0)&gt;0,SUMIFS(T_SelfStock[Self_Qty],T_SelfStock[RM_Code],$A71,T_SelfStock[WeekIndex],35)+SUMIFS(T_TTAFStock[TTAF_Qty],T_TTAFStock[RM_Code],$A71,T_TTAFStock[WeekIndex],35),AI71+'Grid_Incoming'!AJ71-'Grid_Requirement'!AJ71))</f>
        <v/>
      </c>
      <c r="AK71">
        <f>IF(COUNTIFS(T_StockCount[RM_Code],$A71,T_StockCount[WeekIndex],36)&gt;0,SUMIFS(T_StockCount[CountedQty],T_StockCount[RM_Code],$A71,T_StockCount[WeekIndex],36),IF((COUNTIFS(T_SelfStock[RM_Code],$A71,T_SelfStock[WeekIndex],36)&gt;0)*(COUNTIFS(T_TTAFStock[RM_Code],$A71,T_TTAFStock[WeekIndex],36)&gt;0)&gt;0,SUMIFS(T_SelfStock[Self_Qty],T_SelfStock[RM_Code],$A71,T_SelfStock[WeekIndex],36)+SUMIFS(T_TTAFStock[TTAF_Qty],T_TTAFStock[RM_Code],$A71,T_TTAFStock[WeekIndex],36),AJ71+'Grid_Incoming'!AK71-'Grid_Requirement'!AK71))</f>
        <v/>
      </c>
      <c r="AL71">
        <f>IF(COUNTIFS(T_StockCount[RM_Code],$A71,T_StockCount[WeekIndex],37)&gt;0,SUMIFS(T_StockCount[CountedQty],T_StockCount[RM_Code],$A71,T_StockCount[WeekIndex],37),IF((COUNTIFS(T_SelfStock[RM_Code],$A71,T_SelfStock[WeekIndex],37)&gt;0)*(COUNTIFS(T_TTAFStock[RM_Code],$A71,T_TTAFStock[WeekIndex],37)&gt;0)&gt;0,SUMIFS(T_SelfStock[Self_Qty],T_SelfStock[RM_Code],$A71,T_SelfStock[WeekIndex],37)+SUMIFS(T_TTAFStock[TTAF_Qty],T_TTAFStock[RM_Code],$A71,T_TTAFStock[WeekIndex],37),AK71+'Grid_Incoming'!AL71-'Grid_Requirement'!AL71))</f>
        <v/>
      </c>
      <c r="AM71">
        <f>IF(COUNTIFS(T_StockCount[RM_Code],$A71,T_StockCount[WeekIndex],38)&gt;0,SUMIFS(T_StockCount[CountedQty],T_StockCount[RM_Code],$A71,T_StockCount[WeekIndex],38),IF((COUNTIFS(T_SelfStock[RM_Code],$A71,T_SelfStock[WeekIndex],38)&gt;0)*(COUNTIFS(T_TTAFStock[RM_Code],$A71,T_TTAFStock[WeekIndex],38)&gt;0)&gt;0,SUMIFS(T_SelfStock[Self_Qty],T_SelfStock[RM_Code],$A71,T_SelfStock[WeekIndex],38)+SUMIFS(T_TTAFStock[TTAF_Qty],T_TTAFStock[RM_Code],$A71,T_TTAFStock[WeekIndex],38),AL71+'Grid_Incoming'!AM71-'Grid_Requirement'!AM71))</f>
        <v/>
      </c>
      <c r="AN71">
        <f>IF(COUNTIFS(T_StockCount[RM_Code],$A71,T_StockCount[WeekIndex],39)&gt;0,SUMIFS(T_StockCount[CountedQty],T_StockCount[RM_Code],$A71,T_StockCount[WeekIndex],39),IF((COUNTIFS(T_SelfStock[RM_Code],$A71,T_SelfStock[WeekIndex],39)&gt;0)*(COUNTIFS(T_TTAFStock[RM_Code],$A71,T_TTAFStock[WeekIndex],39)&gt;0)&gt;0,SUMIFS(T_SelfStock[Self_Qty],T_SelfStock[RM_Code],$A71,T_SelfStock[WeekIndex],39)+SUMIFS(T_TTAFStock[TTAF_Qty],T_TTAFStock[RM_Code],$A71,T_TTAFStock[WeekIndex],39),AM71+'Grid_Incoming'!AN71-'Grid_Requirement'!AN71))</f>
        <v/>
      </c>
      <c r="AO71">
        <f>IF(COUNTIFS(T_StockCount[RM_Code],$A71,T_StockCount[WeekIndex],40)&gt;0,SUMIFS(T_StockCount[CountedQty],T_StockCount[RM_Code],$A71,T_StockCount[WeekIndex],40),IF((COUNTIFS(T_SelfStock[RM_Code],$A71,T_SelfStock[WeekIndex],40)&gt;0)*(COUNTIFS(T_TTAFStock[RM_Code],$A71,T_TTAFStock[WeekIndex],40)&gt;0)&gt;0,SUMIFS(T_SelfStock[Self_Qty],T_SelfStock[RM_Code],$A71,T_SelfStock[WeekIndex],40)+SUMIFS(T_TTAFStock[TTAF_Qty],T_TTAFStock[RM_Code],$A71,T_TTAFStock[WeekIndex],40),AN71+'Grid_Incoming'!AO71-'Grid_Requirement'!AO71))</f>
        <v/>
      </c>
      <c r="AP71">
        <f>IF(COUNTIFS(T_StockCount[RM_Code],$A71,T_StockCount[WeekIndex],41)&gt;0,SUMIFS(T_StockCount[CountedQty],T_StockCount[RM_Code],$A71,T_StockCount[WeekIndex],41),IF((COUNTIFS(T_SelfStock[RM_Code],$A71,T_SelfStock[WeekIndex],41)&gt;0)*(COUNTIFS(T_TTAFStock[RM_Code],$A71,T_TTAFStock[WeekIndex],41)&gt;0)&gt;0,SUMIFS(T_SelfStock[Self_Qty],T_SelfStock[RM_Code],$A71,T_SelfStock[WeekIndex],41)+SUMIFS(T_TTAFStock[TTAF_Qty],T_TTAFStock[RM_Code],$A71,T_TTAFStock[WeekIndex],41),AO71+'Grid_Incoming'!AP71-'Grid_Requirement'!AP71))</f>
        <v/>
      </c>
      <c r="AQ71">
        <f>IF(COUNTIFS(T_StockCount[RM_Code],$A71,T_StockCount[WeekIndex],42)&gt;0,SUMIFS(T_StockCount[CountedQty],T_StockCount[RM_Code],$A71,T_StockCount[WeekIndex],42),IF((COUNTIFS(T_SelfStock[RM_Code],$A71,T_SelfStock[WeekIndex],42)&gt;0)*(COUNTIFS(T_TTAFStock[RM_Code],$A71,T_TTAFStock[WeekIndex],42)&gt;0)&gt;0,SUMIFS(T_SelfStock[Self_Qty],T_SelfStock[RM_Code],$A71,T_SelfStock[WeekIndex],42)+SUMIFS(T_TTAFStock[TTAF_Qty],T_TTAFStock[RM_Code],$A71,T_TTAFStock[WeekIndex],42),AP71+'Grid_Incoming'!AQ71-'Grid_Requirement'!AQ71))</f>
        <v/>
      </c>
      <c r="AR71">
        <f>IF(COUNTIFS(T_StockCount[RM_Code],$A71,T_StockCount[WeekIndex],43)&gt;0,SUMIFS(T_StockCount[CountedQty],T_StockCount[RM_Code],$A71,T_StockCount[WeekIndex],43),IF((COUNTIFS(T_SelfStock[RM_Code],$A71,T_SelfStock[WeekIndex],43)&gt;0)*(COUNTIFS(T_TTAFStock[RM_Code],$A71,T_TTAFStock[WeekIndex],43)&gt;0)&gt;0,SUMIFS(T_SelfStock[Self_Qty],T_SelfStock[RM_Code],$A71,T_SelfStock[WeekIndex],43)+SUMIFS(T_TTAFStock[TTAF_Qty],T_TTAFStock[RM_Code],$A71,T_TTAFStock[WeekIndex],43),AQ71+'Grid_Incoming'!AR71-'Grid_Requirement'!AR71))</f>
        <v/>
      </c>
      <c r="AS71">
        <f>IF(COUNTIFS(T_StockCount[RM_Code],$A71,T_StockCount[WeekIndex],44)&gt;0,SUMIFS(T_StockCount[CountedQty],T_StockCount[RM_Code],$A71,T_StockCount[WeekIndex],44),IF((COUNTIFS(T_SelfStock[RM_Code],$A71,T_SelfStock[WeekIndex],44)&gt;0)*(COUNTIFS(T_TTAFStock[RM_Code],$A71,T_TTAFStock[WeekIndex],44)&gt;0)&gt;0,SUMIFS(T_SelfStock[Self_Qty],T_SelfStock[RM_Code],$A71,T_SelfStock[WeekIndex],44)+SUMIFS(T_TTAFStock[TTAF_Qty],T_TTAFStock[RM_Code],$A71,T_TTAFStock[WeekIndex],44),AR71+'Grid_Incoming'!AS71-'Grid_Requirement'!AS71))</f>
        <v/>
      </c>
      <c r="AT71">
        <f>IF(COUNTIFS(T_StockCount[RM_Code],$A71,T_StockCount[WeekIndex],45)&gt;0,SUMIFS(T_StockCount[CountedQty],T_StockCount[RM_Code],$A71,T_StockCount[WeekIndex],45),IF((COUNTIFS(T_SelfStock[RM_Code],$A71,T_SelfStock[WeekIndex],45)&gt;0)*(COUNTIFS(T_TTAFStock[RM_Code],$A71,T_TTAFStock[WeekIndex],45)&gt;0)&gt;0,SUMIFS(T_SelfStock[Self_Qty],T_SelfStock[RM_Code],$A71,T_SelfStock[WeekIndex],45)+SUMIFS(T_TTAFStock[TTAF_Qty],T_TTAFStock[RM_Code],$A71,T_TTAFStock[WeekIndex],45),AS71+'Grid_Incoming'!AT71-'Grid_Requirement'!AT71))</f>
        <v/>
      </c>
      <c r="AU71">
        <f>IF(COUNTIFS(T_StockCount[RM_Code],$A71,T_StockCount[WeekIndex],46)&gt;0,SUMIFS(T_StockCount[CountedQty],T_StockCount[RM_Code],$A71,T_StockCount[WeekIndex],46),IF((COUNTIFS(T_SelfStock[RM_Code],$A71,T_SelfStock[WeekIndex],46)&gt;0)*(COUNTIFS(T_TTAFStock[RM_Code],$A71,T_TTAFStock[WeekIndex],46)&gt;0)&gt;0,SUMIFS(T_SelfStock[Self_Qty],T_SelfStock[RM_Code],$A71,T_SelfStock[WeekIndex],46)+SUMIFS(T_TTAFStock[TTAF_Qty],T_TTAFStock[RM_Code],$A71,T_TTAFStock[WeekIndex],46),AT71+'Grid_Incoming'!AU71-'Grid_Requirement'!AU71))</f>
        <v/>
      </c>
      <c r="AV71">
        <f>IF(COUNTIFS(T_StockCount[RM_Code],$A71,T_StockCount[WeekIndex],47)&gt;0,SUMIFS(T_StockCount[CountedQty],T_StockCount[RM_Code],$A71,T_StockCount[WeekIndex],47),IF((COUNTIFS(T_SelfStock[RM_Code],$A71,T_SelfStock[WeekIndex],47)&gt;0)*(COUNTIFS(T_TTAFStock[RM_Code],$A71,T_TTAFStock[WeekIndex],47)&gt;0)&gt;0,SUMIFS(T_SelfStock[Self_Qty],T_SelfStock[RM_Code],$A71,T_SelfStock[WeekIndex],47)+SUMIFS(T_TTAFStock[TTAF_Qty],T_TTAFStock[RM_Code],$A71,T_TTAFStock[WeekIndex],47),AU71+'Grid_Incoming'!AV71-'Grid_Requirement'!AV71))</f>
        <v/>
      </c>
      <c r="AW71">
        <f>IF(COUNTIFS(T_StockCount[RM_Code],$A71,T_StockCount[WeekIndex],48)&gt;0,SUMIFS(T_StockCount[CountedQty],T_StockCount[RM_Code],$A71,T_StockCount[WeekIndex],48),IF((COUNTIFS(T_SelfStock[RM_Code],$A71,T_SelfStock[WeekIndex],48)&gt;0)*(COUNTIFS(T_TTAFStock[RM_Code],$A71,T_TTAFStock[WeekIndex],48)&gt;0)&gt;0,SUMIFS(T_SelfStock[Self_Qty],T_SelfStock[RM_Code],$A71,T_SelfStock[WeekIndex],48)+SUMIFS(T_TTAFStock[TTAF_Qty],T_TTAFStock[RM_Code],$A71,T_TTAFStock[WeekIndex],48),AV71+'Grid_Incoming'!AW71-'Grid_Requirement'!AW71))</f>
        <v/>
      </c>
      <c r="AX71">
        <f>IF(COUNTIFS(T_StockCount[RM_Code],$A71,T_StockCount[WeekIndex],49)&gt;0,SUMIFS(T_StockCount[CountedQty],T_StockCount[RM_Code],$A71,T_StockCount[WeekIndex],49),IF((COUNTIFS(T_SelfStock[RM_Code],$A71,T_SelfStock[WeekIndex],49)&gt;0)*(COUNTIFS(T_TTAFStock[RM_Code],$A71,T_TTAFStock[WeekIndex],49)&gt;0)&gt;0,SUMIFS(T_SelfStock[Self_Qty],T_SelfStock[RM_Code],$A71,T_SelfStock[WeekIndex],49)+SUMIFS(T_TTAFStock[TTAF_Qty],T_TTAFStock[RM_Code],$A71,T_TTAFStock[WeekIndex],49),AW71+'Grid_Incoming'!AX71-'Grid_Requirement'!AX71))</f>
        <v/>
      </c>
      <c r="AY71">
        <f>IF(COUNTIFS(T_StockCount[RM_Code],$A71,T_StockCount[WeekIndex],50)&gt;0,SUMIFS(T_StockCount[CountedQty],T_StockCount[RM_Code],$A71,T_StockCount[WeekIndex],50),IF((COUNTIFS(T_SelfStock[RM_Code],$A71,T_SelfStock[WeekIndex],50)&gt;0)*(COUNTIFS(T_TTAFStock[RM_Code],$A71,T_TTAFStock[WeekIndex],50)&gt;0)&gt;0,SUMIFS(T_SelfStock[Self_Qty],T_SelfStock[RM_Code],$A71,T_SelfStock[WeekIndex],50)+SUMIFS(T_TTAFStock[TTAF_Qty],T_TTAFStock[RM_Code],$A71,T_TTAFStock[WeekIndex],50),AX71+'Grid_Incoming'!AY71-'Grid_Requirement'!AY71))</f>
        <v/>
      </c>
      <c r="AZ71">
        <f>IF(COUNTIFS(T_StockCount[RM_Code],$A71,T_StockCount[WeekIndex],51)&gt;0,SUMIFS(T_StockCount[CountedQty],T_StockCount[RM_Code],$A71,T_StockCount[WeekIndex],51),IF((COUNTIFS(T_SelfStock[RM_Code],$A71,T_SelfStock[WeekIndex],51)&gt;0)*(COUNTIFS(T_TTAFStock[RM_Code],$A71,T_TTAFStock[WeekIndex],51)&gt;0)&gt;0,SUMIFS(T_SelfStock[Self_Qty],T_SelfStock[RM_Code],$A71,T_SelfStock[WeekIndex],51)+SUMIFS(T_TTAFStock[TTAF_Qty],T_TTAFStock[RM_Code],$A71,T_TTAFStock[WeekIndex],51),AY71+'Grid_Incoming'!AZ71-'Grid_Requirement'!AZ71))</f>
        <v/>
      </c>
      <c r="BA71">
        <f>IF(COUNTIFS(T_StockCount[RM_Code],$A71,T_StockCount[WeekIndex],52)&gt;0,SUMIFS(T_StockCount[CountedQty],T_StockCount[RM_Code],$A71,T_StockCount[WeekIndex],52),IF((COUNTIFS(T_SelfStock[RM_Code],$A71,T_SelfStock[WeekIndex],52)&gt;0)*(COUNTIFS(T_TTAFStock[RM_Code],$A71,T_TTAFStock[WeekIndex],52)&gt;0)&gt;0,SUMIFS(T_SelfStock[Self_Qty],T_SelfStock[RM_Code],$A71,T_SelfStock[WeekIndex],52)+SUMIFS(T_TTAFStock[TTAF_Qty],T_TTAFStock[RM_Code],$A71,T_TTAFStock[WeekIndex],52),AZ71+'Grid_Incoming'!BA71-'Grid_Requirement'!BA71))</f>
        <v/>
      </c>
      <c r="BB71">
        <f>IF(COUNTIFS(T_StockCount[RM_Code],$A71,T_StockCount[WeekIndex],53)&gt;0,SUMIFS(T_StockCount[CountedQty],T_StockCount[RM_Code],$A71,T_StockCount[WeekIndex],53),IF((COUNTIFS(T_SelfStock[RM_Code],$A71,T_SelfStock[WeekIndex],53)&gt;0)*(COUNTIFS(T_TTAFStock[RM_Code],$A71,T_TTAFStock[WeekIndex],53)&gt;0)&gt;0,SUMIFS(T_SelfStock[Self_Qty],T_SelfStock[RM_Code],$A71,T_SelfStock[WeekIndex],53)+SUMIFS(T_TTAFStock[TTAF_Qty],T_TTAFStock[RM_Code],$A71,T_TTAFStock[WeekIndex],53),BA71+'Grid_Incoming'!BB71-'Grid_Requirement'!BB71))</f>
        <v/>
      </c>
      <c r="BC71">
        <f>IF(COUNTIFS(T_StockCount[RM_Code],$A71,T_StockCount[WeekIndex],54)&gt;0,SUMIFS(T_StockCount[CountedQty],T_StockCount[RM_Code],$A71,T_StockCount[WeekIndex],54),IF((COUNTIFS(T_SelfStock[RM_Code],$A71,T_SelfStock[WeekIndex],54)&gt;0)*(COUNTIFS(T_TTAFStock[RM_Code],$A71,T_TTAFStock[WeekIndex],54)&gt;0)&gt;0,SUMIFS(T_SelfStock[Self_Qty],T_SelfStock[RM_Code],$A71,T_SelfStock[WeekIndex],54)+SUMIFS(T_TTAFStock[TTAF_Qty],T_TTAFStock[RM_Code],$A71,T_TTAFStock[WeekIndex],54),BB71+'Grid_Incoming'!BC71-'Grid_Requirement'!BC71))</f>
        <v/>
      </c>
      <c r="BD71">
        <f>IF(COUNTIFS(T_StockCount[RM_Code],$A71,T_StockCount[WeekIndex],55)&gt;0,SUMIFS(T_StockCount[CountedQty],T_StockCount[RM_Code],$A71,T_StockCount[WeekIndex],55),IF((COUNTIFS(T_SelfStock[RM_Code],$A71,T_SelfStock[WeekIndex],55)&gt;0)*(COUNTIFS(T_TTAFStock[RM_Code],$A71,T_TTAFStock[WeekIndex],55)&gt;0)&gt;0,SUMIFS(T_SelfStock[Self_Qty],T_SelfStock[RM_Code],$A71,T_SelfStock[WeekIndex],55)+SUMIFS(T_TTAFStock[TTAF_Qty],T_TTAFStock[RM_Code],$A71,T_TTAFStock[WeekIndex],55),BC71+'Grid_Incoming'!BD71-'Grid_Requirement'!BD71))</f>
        <v/>
      </c>
      <c r="BE71">
        <f>IF(COUNTIFS(T_StockCount[RM_Code],$A71,T_StockCount[WeekIndex],56)&gt;0,SUMIFS(T_StockCount[CountedQty],T_StockCount[RM_Code],$A71,T_StockCount[WeekIndex],56),IF((COUNTIFS(T_SelfStock[RM_Code],$A71,T_SelfStock[WeekIndex],56)&gt;0)*(COUNTIFS(T_TTAFStock[RM_Code],$A71,T_TTAFStock[WeekIndex],56)&gt;0)&gt;0,SUMIFS(T_SelfStock[Self_Qty],T_SelfStock[RM_Code],$A71,T_SelfStock[WeekIndex],56)+SUMIFS(T_TTAFStock[TTAF_Qty],T_TTAFStock[RM_Code],$A71,T_TTAFStock[WeekIndex],56),BD71+'Grid_Incoming'!BE71-'Grid_Requirement'!BE71))</f>
        <v/>
      </c>
      <c r="BF71">
        <f>IF(COUNTIFS(T_StockCount[RM_Code],$A71,T_StockCount[WeekIndex],57)&gt;0,SUMIFS(T_StockCount[CountedQty],T_StockCount[RM_Code],$A71,T_StockCount[WeekIndex],57),IF((COUNTIFS(T_SelfStock[RM_Code],$A71,T_SelfStock[WeekIndex],57)&gt;0)*(COUNTIFS(T_TTAFStock[RM_Code],$A71,T_TTAFStock[WeekIndex],57)&gt;0)&gt;0,SUMIFS(T_SelfStock[Self_Qty],T_SelfStock[RM_Code],$A71,T_SelfStock[WeekIndex],57)+SUMIFS(T_TTAFStock[TTAF_Qty],T_TTAFStock[RM_Code],$A71,T_TTAFStock[WeekIndex],57),BE71+'Grid_Incoming'!BF71-'Grid_Requirement'!BF71))</f>
        <v/>
      </c>
      <c r="BG71">
        <f>IF(COUNTIFS(T_StockCount[RM_Code],$A71,T_StockCount[WeekIndex],58)&gt;0,SUMIFS(T_StockCount[CountedQty],T_StockCount[RM_Code],$A71,T_StockCount[WeekIndex],58),IF((COUNTIFS(T_SelfStock[RM_Code],$A71,T_SelfStock[WeekIndex],58)&gt;0)*(COUNTIFS(T_TTAFStock[RM_Code],$A71,T_TTAFStock[WeekIndex],58)&gt;0)&gt;0,SUMIFS(T_SelfStock[Self_Qty],T_SelfStock[RM_Code],$A71,T_SelfStock[WeekIndex],58)+SUMIFS(T_TTAFStock[TTAF_Qty],T_TTAFStock[RM_Code],$A71,T_TTAFStock[WeekIndex],58),BF71+'Grid_Incoming'!BG71-'Grid_Requirement'!BG71))</f>
        <v/>
      </c>
      <c r="BH71">
        <f>IF(COUNTIFS(T_StockCount[RM_Code],$A71,T_StockCount[WeekIndex],59)&gt;0,SUMIFS(T_StockCount[CountedQty],T_StockCount[RM_Code],$A71,T_StockCount[WeekIndex],59),IF((COUNTIFS(T_SelfStock[RM_Code],$A71,T_SelfStock[WeekIndex],59)&gt;0)*(COUNTIFS(T_TTAFStock[RM_Code],$A71,T_TTAFStock[WeekIndex],59)&gt;0)&gt;0,SUMIFS(T_SelfStock[Self_Qty],T_SelfStock[RM_Code],$A71,T_SelfStock[WeekIndex],59)+SUMIFS(T_TTAFStock[TTAF_Qty],T_TTAFStock[RM_Code],$A71,T_TTAFStock[WeekIndex],59),BG71+'Grid_Incoming'!BH71-'Grid_Requirement'!BH71))</f>
        <v/>
      </c>
      <c r="BI71">
        <f>IF(COUNTIFS(T_StockCount[RM_Code],$A71,T_StockCount[WeekIndex],60)&gt;0,SUMIFS(T_StockCount[CountedQty],T_StockCount[RM_Code],$A71,T_StockCount[WeekIndex],60),IF((COUNTIFS(T_SelfStock[RM_Code],$A71,T_SelfStock[WeekIndex],60)&gt;0)*(COUNTIFS(T_TTAFStock[RM_Code],$A71,T_TTAFStock[WeekIndex],60)&gt;0)&gt;0,SUMIFS(T_SelfStock[Self_Qty],T_SelfStock[RM_Code],$A71,T_SelfStock[WeekIndex],60)+SUMIFS(T_TTAFStock[TTAF_Qty],T_TTAFStock[RM_Code],$A71,T_TTAFStock[WeekIndex],60),BH71+'Grid_Incoming'!BI71-'Grid_Requirement'!BI71))</f>
        <v/>
      </c>
      <c r="BJ71">
        <f>IF(COUNTIFS(T_StockCount[RM_Code],$A71,T_StockCount[WeekIndex],61)&gt;0,SUMIFS(T_StockCount[CountedQty],T_StockCount[RM_Code],$A71,T_StockCount[WeekIndex],61),IF((COUNTIFS(T_SelfStock[RM_Code],$A71,T_SelfStock[WeekIndex],61)&gt;0)*(COUNTIFS(T_TTAFStock[RM_Code],$A71,T_TTAFStock[WeekIndex],61)&gt;0)&gt;0,SUMIFS(T_SelfStock[Self_Qty],T_SelfStock[RM_Code],$A71,T_SelfStock[WeekIndex],61)+SUMIFS(T_TTAFStock[TTAF_Qty],T_TTAFStock[RM_Code],$A71,T_TTAFStock[WeekIndex],61),BI71+'Grid_Incoming'!BJ71-'Grid_Requirement'!BJ71))</f>
        <v/>
      </c>
      <c r="BK71">
        <f>IF(COUNTIFS(T_StockCount[RM_Code],$A71,T_StockCount[WeekIndex],62)&gt;0,SUMIFS(T_StockCount[CountedQty],T_StockCount[RM_Code],$A71,T_StockCount[WeekIndex],62),IF((COUNTIFS(T_SelfStock[RM_Code],$A71,T_SelfStock[WeekIndex],62)&gt;0)*(COUNTIFS(T_TTAFStock[RM_Code],$A71,T_TTAFStock[WeekIndex],62)&gt;0)&gt;0,SUMIFS(T_SelfStock[Self_Qty],T_SelfStock[RM_Code],$A71,T_SelfStock[WeekIndex],62)+SUMIFS(T_TTAFStock[TTAF_Qty],T_TTAFStock[RM_Code],$A71,T_TTAFStock[WeekIndex],62),BJ71+'Grid_Incoming'!BK71-'Grid_Requirement'!BK71))</f>
        <v/>
      </c>
      <c r="BL71">
        <f>IF(COUNTIFS(T_StockCount[RM_Code],$A71,T_StockCount[WeekIndex],63)&gt;0,SUMIFS(T_StockCount[CountedQty],T_StockCount[RM_Code],$A71,T_StockCount[WeekIndex],63),IF((COUNTIFS(T_SelfStock[RM_Code],$A71,T_SelfStock[WeekIndex],63)&gt;0)*(COUNTIFS(T_TTAFStock[RM_Code],$A71,T_TTAFStock[WeekIndex],63)&gt;0)&gt;0,SUMIFS(T_SelfStock[Self_Qty],T_SelfStock[RM_Code],$A71,T_SelfStock[WeekIndex],63)+SUMIFS(T_TTAFStock[TTAF_Qty],T_TTAFStock[RM_Code],$A71,T_TTAFStock[WeekIndex],63),BK71+'Grid_Incoming'!BL71-'Grid_Requirement'!BL71))</f>
        <v/>
      </c>
      <c r="BM71">
        <f>IF(COUNTIFS(T_StockCount[RM_Code],$A71,T_StockCount[WeekIndex],64)&gt;0,SUMIFS(T_StockCount[CountedQty],T_StockCount[RM_Code],$A71,T_StockCount[WeekIndex],64),IF((COUNTIFS(T_SelfStock[RM_Code],$A71,T_SelfStock[WeekIndex],64)&gt;0)*(COUNTIFS(T_TTAFStock[RM_Code],$A71,T_TTAFStock[WeekIndex],64)&gt;0)&gt;0,SUMIFS(T_SelfStock[Self_Qty],T_SelfStock[RM_Code],$A71,T_SelfStock[WeekIndex],64)+SUMIFS(T_TTAFStock[TTAF_Qty],T_TTAFStock[RM_Code],$A71,T_TTAFStock[WeekIndex],64),BL71+'Grid_Incoming'!BM71-'Grid_Requirement'!BM71))</f>
        <v/>
      </c>
      <c r="BN71">
        <f>IF(COUNTIFS(T_StockCount[RM_Code],$A71,T_StockCount[WeekIndex],65)&gt;0,SUMIFS(T_StockCount[CountedQty],T_StockCount[RM_Code],$A71,T_StockCount[WeekIndex],65),IF((COUNTIFS(T_SelfStock[RM_Code],$A71,T_SelfStock[WeekIndex],65)&gt;0)*(COUNTIFS(T_TTAFStock[RM_Code],$A71,T_TTAFStock[WeekIndex],65)&gt;0)&gt;0,SUMIFS(T_SelfStock[Self_Qty],T_SelfStock[RM_Code],$A71,T_SelfStock[WeekIndex],65)+SUMIFS(T_TTAFStock[TTAF_Qty],T_TTAFStock[RM_Code],$A71,T_TTAFStock[WeekIndex],65),BM71+'Grid_Incoming'!BN71-'Grid_Requirement'!BN71))</f>
        <v/>
      </c>
      <c r="BO71">
        <f>IF(COUNTIFS(T_StockCount[RM_Code],$A71,T_StockCount[WeekIndex],66)&gt;0,SUMIFS(T_StockCount[CountedQty],T_StockCount[RM_Code],$A71,T_StockCount[WeekIndex],66),IF((COUNTIFS(T_SelfStock[RM_Code],$A71,T_SelfStock[WeekIndex],66)&gt;0)*(COUNTIFS(T_TTAFStock[RM_Code],$A71,T_TTAFStock[WeekIndex],66)&gt;0)&gt;0,SUMIFS(T_SelfStock[Self_Qty],T_SelfStock[RM_Code],$A71,T_SelfStock[WeekIndex],66)+SUMIFS(T_TTAFStock[TTAF_Qty],T_TTAFStock[RM_Code],$A71,T_TTAFStock[WeekIndex],66),BN71+'Grid_Incoming'!BO71-'Grid_Requirement'!BO71))</f>
        <v/>
      </c>
      <c r="BP71">
        <f>IF(COUNTIFS(T_StockCount[RM_Code],$A71,T_StockCount[WeekIndex],67)&gt;0,SUMIFS(T_StockCount[CountedQty],T_StockCount[RM_Code],$A71,T_StockCount[WeekIndex],67),IF((COUNTIFS(T_SelfStock[RM_Code],$A71,T_SelfStock[WeekIndex],67)&gt;0)*(COUNTIFS(T_TTAFStock[RM_Code],$A71,T_TTAFStock[WeekIndex],67)&gt;0)&gt;0,SUMIFS(T_SelfStock[Self_Qty],T_SelfStock[RM_Code],$A71,T_SelfStock[WeekIndex],67)+SUMIFS(T_TTAFStock[TTAF_Qty],T_TTAFStock[RM_Code],$A71,T_TTAFStock[WeekIndex],67),BO71+'Grid_Incoming'!BP71-'Grid_Requirement'!BP71))</f>
        <v/>
      </c>
      <c r="BQ71">
        <f>IF(COUNTIFS(T_StockCount[RM_Code],$A71,T_StockCount[WeekIndex],68)&gt;0,SUMIFS(T_StockCount[CountedQty],T_StockCount[RM_Code],$A71,T_StockCount[WeekIndex],68),IF((COUNTIFS(T_SelfStock[RM_Code],$A71,T_SelfStock[WeekIndex],68)&gt;0)*(COUNTIFS(T_TTAFStock[RM_Code],$A71,T_TTAFStock[WeekIndex],68)&gt;0)&gt;0,SUMIFS(T_SelfStock[Self_Qty],T_SelfStock[RM_Code],$A71,T_SelfStock[WeekIndex],68)+SUMIFS(T_TTAFStock[TTAF_Qty],T_TTAFStock[RM_Code],$A71,T_TTAFStock[WeekIndex],68),BP71+'Grid_Incoming'!BQ71-'Grid_Requirement'!BQ71))</f>
        <v/>
      </c>
      <c r="BR71">
        <f>IF(COUNTIFS(T_StockCount[RM_Code],$A71,T_StockCount[WeekIndex],69)&gt;0,SUMIFS(T_StockCount[CountedQty],T_StockCount[RM_Code],$A71,T_StockCount[WeekIndex],69),IF((COUNTIFS(T_SelfStock[RM_Code],$A71,T_SelfStock[WeekIndex],69)&gt;0)*(COUNTIFS(T_TTAFStock[RM_Code],$A71,T_TTAFStock[WeekIndex],69)&gt;0)&gt;0,SUMIFS(T_SelfStock[Self_Qty],T_SelfStock[RM_Code],$A71,T_SelfStock[WeekIndex],69)+SUMIFS(T_TTAFStock[TTAF_Qty],T_TTAFStock[RM_Code],$A71,T_TTAFStock[WeekIndex],69),BQ71+'Grid_Incoming'!BR71-'Grid_Requirement'!BR71))</f>
        <v/>
      </c>
      <c r="BS71">
        <f>IF(COUNTIFS(T_StockCount[RM_Code],$A71,T_StockCount[WeekIndex],70)&gt;0,SUMIFS(T_StockCount[CountedQty],T_StockCount[RM_Code],$A71,T_StockCount[WeekIndex],70),IF((COUNTIFS(T_SelfStock[RM_Code],$A71,T_SelfStock[WeekIndex],70)&gt;0)*(COUNTIFS(T_TTAFStock[RM_Code],$A71,T_TTAFStock[WeekIndex],70)&gt;0)&gt;0,SUMIFS(T_SelfStock[Self_Qty],T_SelfStock[RM_Code],$A71,T_SelfStock[WeekIndex],70)+SUMIFS(T_TTAFStock[TTAF_Qty],T_TTAFStock[RM_Code],$A71,T_TTAFStock[WeekIndex],70),BR71+'Grid_Incoming'!BS71-'Grid_Requirement'!BS71))</f>
        <v/>
      </c>
      <c r="BT71">
        <f>IF(COUNTIFS(T_StockCount[RM_Code],$A71,T_StockCount[WeekIndex],71)&gt;0,SUMIFS(T_StockCount[CountedQty],T_StockCount[RM_Code],$A71,T_StockCount[WeekIndex],71),IF((COUNTIFS(T_SelfStock[RM_Code],$A71,T_SelfStock[WeekIndex],71)&gt;0)*(COUNTIFS(T_TTAFStock[RM_Code],$A71,T_TTAFStock[WeekIndex],71)&gt;0)&gt;0,SUMIFS(T_SelfStock[Self_Qty],T_SelfStock[RM_Code],$A71,T_SelfStock[WeekIndex],71)+SUMIFS(T_TTAFStock[TTAF_Qty],T_TTAFStock[RM_Code],$A71,T_TTAFStock[WeekIndex],71),BS71+'Grid_Incoming'!BT71-'Grid_Requirement'!BT71))</f>
        <v/>
      </c>
      <c r="BU71">
        <f>IF(COUNTIFS(T_StockCount[RM_Code],$A71,T_StockCount[WeekIndex],72)&gt;0,SUMIFS(T_StockCount[CountedQty],T_StockCount[RM_Code],$A71,T_StockCount[WeekIndex],72),IF((COUNTIFS(T_SelfStock[RM_Code],$A71,T_SelfStock[WeekIndex],72)&gt;0)*(COUNTIFS(T_TTAFStock[RM_Code],$A71,T_TTAFStock[WeekIndex],72)&gt;0)&gt;0,SUMIFS(T_SelfStock[Self_Qty],T_SelfStock[RM_Code],$A71,T_SelfStock[WeekIndex],72)+SUMIFS(T_TTAFStock[TTAF_Qty],T_TTAFStock[RM_Code],$A71,T_TTAFStock[WeekIndex],72),BT71+'Grid_Incoming'!BU71-'Grid_Requirement'!BU71))</f>
        <v/>
      </c>
      <c r="BV71">
        <f>IF(COUNTIFS(T_StockCount[RM_Code],$A71,T_StockCount[WeekIndex],73)&gt;0,SUMIFS(T_StockCount[CountedQty],T_StockCount[RM_Code],$A71,T_StockCount[WeekIndex],73),IF((COUNTIFS(T_SelfStock[RM_Code],$A71,T_SelfStock[WeekIndex],73)&gt;0)*(COUNTIFS(T_TTAFStock[RM_Code],$A71,T_TTAFStock[WeekIndex],73)&gt;0)&gt;0,SUMIFS(T_SelfStock[Self_Qty],T_SelfStock[RM_Code],$A71,T_SelfStock[WeekIndex],73)+SUMIFS(T_TTAFStock[TTAF_Qty],T_TTAFStock[RM_Code],$A71,T_TTAFStock[WeekIndex],73),BU71+'Grid_Incoming'!BV71-'Grid_Requirement'!BV71))</f>
        <v/>
      </c>
      <c r="BW71">
        <f>IF(COUNTIFS(T_StockCount[RM_Code],$A71,T_StockCount[WeekIndex],74)&gt;0,SUMIFS(T_StockCount[CountedQty],T_StockCount[RM_Code],$A71,T_StockCount[WeekIndex],74),IF((COUNTIFS(T_SelfStock[RM_Code],$A71,T_SelfStock[WeekIndex],74)&gt;0)*(COUNTIFS(T_TTAFStock[RM_Code],$A71,T_TTAFStock[WeekIndex],74)&gt;0)&gt;0,SUMIFS(T_SelfStock[Self_Qty],T_SelfStock[RM_Code],$A71,T_SelfStock[WeekIndex],74)+SUMIFS(T_TTAFStock[TTAF_Qty],T_TTAFStock[RM_Code],$A71,T_TTAFStock[WeekIndex],74),BV71+'Grid_Incoming'!BW71-'Grid_Requirement'!BW71))</f>
        <v/>
      </c>
      <c r="BX71">
        <f>IF(COUNTIFS(T_StockCount[RM_Code],$A71,T_StockCount[WeekIndex],75)&gt;0,SUMIFS(T_StockCount[CountedQty],T_StockCount[RM_Code],$A71,T_StockCount[WeekIndex],75),IF((COUNTIFS(T_SelfStock[RM_Code],$A71,T_SelfStock[WeekIndex],75)&gt;0)*(COUNTIFS(T_TTAFStock[RM_Code],$A71,T_TTAFStock[WeekIndex],75)&gt;0)&gt;0,SUMIFS(T_SelfStock[Self_Qty],T_SelfStock[RM_Code],$A71,T_SelfStock[WeekIndex],75)+SUMIFS(T_TTAFStock[TTAF_Qty],T_TTAFStock[RM_Code],$A71,T_TTAFStock[WeekIndex],75),BW71+'Grid_Incoming'!BX71-'Grid_Requirement'!BX71))</f>
        <v/>
      </c>
      <c r="BY71">
        <f>IF(COUNTIFS(T_StockCount[RM_Code],$A71,T_StockCount[WeekIndex],76)&gt;0,SUMIFS(T_StockCount[CountedQty],T_StockCount[RM_Code],$A71,T_StockCount[WeekIndex],76),IF((COUNTIFS(T_SelfStock[RM_Code],$A71,T_SelfStock[WeekIndex],76)&gt;0)*(COUNTIFS(T_TTAFStock[RM_Code],$A71,T_TTAFStock[WeekIndex],76)&gt;0)&gt;0,SUMIFS(T_SelfStock[Self_Qty],T_SelfStock[RM_Code],$A71,T_SelfStock[WeekIndex],76)+SUMIFS(T_TTAFStock[TTAF_Qty],T_TTAFStock[RM_Code],$A71,T_TTAFStock[WeekIndex],76),BX71+'Grid_Incoming'!BY71-'Grid_Requirement'!BY71))</f>
        <v/>
      </c>
      <c r="BZ71">
        <f>IF(COUNTIFS(T_StockCount[RM_Code],$A71,T_StockCount[WeekIndex],77)&gt;0,SUMIFS(T_StockCount[CountedQty],T_StockCount[RM_Code],$A71,T_StockCount[WeekIndex],77),IF((COUNTIFS(T_SelfStock[RM_Code],$A71,T_SelfStock[WeekIndex],77)&gt;0)*(COUNTIFS(T_TTAFStock[RM_Code],$A71,T_TTAFStock[WeekIndex],77)&gt;0)&gt;0,SUMIFS(T_SelfStock[Self_Qty],T_SelfStock[RM_Code],$A71,T_SelfStock[WeekIndex],77)+SUMIFS(T_TTAFStock[TTAF_Qty],T_TTAFStock[RM_Code],$A71,T_TTAFStock[WeekIndex],77),BY71+'Grid_Incoming'!BZ71-'Grid_Requirement'!BZ71))</f>
        <v/>
      </c>
      <c r="CA71">
        <f>IF(COUNTIFS(T_StockCount[RM_Code],$A71,T_StockCount[WeekIndex],78)&gt;0,SUMIFS(T_StockCount[CountedQty],T_StockCount[RM_Code],$A71,T_StockCount[WeekIndex],78),IF((COUNTIFS(T_SelfStock[RM_Code],$A71,T_SelfStock[WeekIndex],78)&gt;0)*(COUNTIFS(T_TTAFStock[RM_Code],$A71,T_TTAFStock[WeekIndex],78)&gt;0)&gt;0,SUMIFS(T_SelfStock[Self_Qty],T_SelfStock[RM_Code],$A71,T_SelfStock[WeekIndex],78)+SUMIFS(T_TTAFStock[TTAF_Qty],T_TTAFStock[RM_Code],$A71,T_TTAFStock[WeekIndex],78),BZ71+'Grid_Incoming'!CA71-'Grid_Requirement'!CA71))</f>
        <v/>
      </c>
      <c r="CB71">
        <f>IF(COUNTIFS(T_StockCount[RM_Code],$A71,T_StockCount[WeekIndex],79)&gt;0,SUMIFS(T_StockCount[CountedQty],T_StockCount[RM_Code],$A71,T_StockCount[WeekIndex],79),IF((COUNTIFS(T_SelfStock[RM_Code],$A71,T_SelfStock[WeekIndex],79)&gt;0)*(COUNTIFS(T_TTAFStock[RM_Code],$A71,T_TTAFStock[WeekIndex],79)&gt;0)&gt;0,SUMIFS(T_SelfStock[Self_Qty],T_SelfStock[RM_Code],$A71,T_SelfStock[WeekIndex],79)+SUMIFS(T_TTAFStock[TTAF_Qty],T_TTAFStock[RM_Code],$A71,T_TTAFStock[WeekIndex],79),CA71+'Grid_Incoming'!CB71-'Grid_Requirement'!CB71))</f>
        <v/>
      </c>
      <c r="CC71">
        <f>IF(COUNTIFS(T_StockCount[RM_Code],$A71,T_StockCount[WeekIndex],80)&gt;0,SUMIFS(T_StockCount[CountedQty],T_StockCount[RM_Code],$A71,T_StockCount[WeekIndex],80),IF((COUNTIFS(T_SelfStock[RM_Code],$A71,T_SelfStock[WeekIndex],80)&gt;0)*(COUNTIFS(T_TTAFStock[RM_Code],$A71,T_TTAFStock[WeekIndex],80)&gt;0)&gt;0,SUMIFS(T_SelfStock[Self_Qty],T_SelfStock[RM_Code],$A71,T_SelfStock[WeekIndex],80)+SUMIFS(T_TTAFStock[TTAF_Qty],T_TTAFStock[RM_Code],$A71,T_TTAFStock[WeekIndex],80),CB71+'Grid_Incoming'!CC71-'Grid_Requirement'!CC71))</f>
        <v/>
      </c>
      <c r="CD71">
        <f>IF(COUNTIFS(T_StockCount[RM_Code],$A71,T_StockCount[WeekIndex],81)&gt;0,SUMIFS(T_StockCount[CountedQty],T_StockCount[RM_Code],$A71,T_StockCount[WeekIndex],81),IF((COUNTIFS(T_SelfStock[RM_Code],$A71,T_SelfStock[WeekIndex],81)&gt;0)*(COUNTIFS(T_TTAFStock[RM_Code],$A71,T_TTAFStock[WeekIndex],81)&gt;0)&gt;0,SUMIFS(T_SelfStock[Self_Qty],T_SelfStock[RM_Code],$A71,T_SelfStock[WeekIndex],81)+SUMIFS(T_TTAFStock[TTAF_Qty],T_TTAFStock[RM_Code],$A71,T_TTAFStock[WeekIndex],81),CC71+'Grid_Incoming'!CD71-'Grid_Requirement'!CD71))</f>
        <v/>
      </c>
      <c r="CE71">
        <f>IF(COUNTIFS(T_StockCount[RM_Code],$A71,T_StockCount[WeekIndex],82)&gt;0,SUMIFS(T_StockCount[CountedQty],T_StockCount[RM_Code],$A71,T_StockCount[WeekIndex],82),IF((COUNTIFS(T_SelfStock[RM_Code],$A71,T_SelfStock[WeekIndex],82)&gt;0)*(COUNTIFS(T_TTAFStock[RM_Code],$A71,T_TTAFStock[WeekIndex],82)&gt;0)&gt;0,SUMIFS(T_SelfStock[Self_Qty],T_SelfStock[RM_Code],$A71,T_SelfStock[WeekIndex],82)+SUMIFS(T_TTAFStock[TTAF_Qty],T_TTAFStock[RM_Code],$A71,T_TTAFStock[WeekIndex],82),CD71+'Grid_Incoming'!CE71-'Grid_Requirement'!CE71))</f>
        <v/>
      </c>
      <c r="CF71">
        <f>IF(COUNTIFS(T_StockCount[RM_Code],$A71,T_StockCount[WeekIndex],83)&gt;0,SUMIFS(T_StockCount[CountedQty],T_StockCount[RM_Code],$A71,T_StockCount[WeekIndex],83),IF((COUNTIFS(T_SelfStock[RM_Code],$A71,T_SelfStock[WeekIndex],83)&gt;0)*(COUNTIFS(T_TTAFStock[RM_Code],$A71,T_TTAFStock[WeekIndex],83)&gt;0)&gt;0,SUMIFS(T_SelfStock[Self_Qty],T_SelfStock[RM_Code],$A71,T_SelfStock[WeekIndex],83)+SUMIFS(T_TTAFStock[TTAF_Qty],T_TTAFStock[RM_Code],$A71,T_TTAFStock[WeekIndex],83),CE71+'Grid_Incoming'!CF71-'Grid_Requirement'!CF71))</f>
        <v/>
      </c>
      <c r="CG71">
        <f>IF(COUNTIFS(T_StockCount[RM_Code],$A71,T_StockCount[WeekIndex],84)&gt;0,SUMIFS(T_StockCount[CountedQty],T_StockCount[RM_Code],$A71,T_StockCount[WeekIndex],84),IF((COUNTIFS(T_SelfStock[RM_Code],$A71,T_SelfStock[WeekIndex],84)&gt;0)*(COUNTIFS(T_TTAFStock[RM_Code],$A71,T_TTAFStock[WeekIndex],84)&gt;0)&gt;0,SUMIFS(T_SelfStock[Self_Qty],T_SelfStock[RM_Code],$A71,T_SelfStock[WeekIndex],84)+SUMIFS(T_TTAFStock[TTAF_Qty],T_TTAFStock[RM_Code],$A71,T_TTAFStock[WeekIndex],84),CF71+'Grid_Incoming'!CG71-'Grid_Requirement'!CG71))</f>
        <v/>
      </c>
      <c r="CH71">
        <f>IF(COUNTIFS(T_StockCount[RM_Code],$A71,T_StockCount[WeekIndex],85)&gt;0,SUMIFS(T_StockCount[CountedQty],T_StockCount[RM_Code],$A71,T_StockCount[WeekIndex],85),IF((COUNTIFS(T_SelfStock[RM_Code],$A71,T_SelfStock[WeekIndex],85)&gt;0)*(COUNTIFS(T_TTAFStock[RM_Code],$A71,T_TTAFStock[WeekIndex],85)&gt;0)&gt;0,SUMIFS(T_SelfStock[Self_Qty],T_SelfStock[RM_Code],$A71,T_SelfStock[WeekIndex],85)+SUMIFS(T_TTAFStock[TTAF_Qty],T_TTAFStock[RM_Code],$A71,T_TTAFStock[WeekIndex],85),CG71+'Grid_Incoming'!CH71-'Grid_Requirement'!CH71))</f>
        <v/>
      </c>
      <c r="CI71">
        <f>IF(COUNTIFS(T_StockCount[RM_Code],$A71,T_StockCount[WeekIndex],86)&gt;0,SUMIFS(T_StockCount[CountedQty],T_StockCount[RM_Code],$A71,T_StockCount[WeekIndex],86),IF((COUNTIFS(T_SelfStock[RM_Code],$A71,T_SelfStock[WeekIndex],86)&gt;0)*(COUNTIFS(T_TTAFStock[RM_Code],$A71,T_TTAFStock[WeekIndex],86)&gt;0)&gt;0,SUMIFS(T_SelfStock[Self_Qty],T_SelfStock[RM_Code],$A71,T_SelfStock[WeekIndex],86)+SUMIFS(T_TTAFStock[TTAF_Qty],T_TTAFStock[RM_Code],$A71,T_TTAFStock[WeekIndex],86),CH71+'Grid_Incoming'!CI71-'Grid_Requirement'!CI71))</f>
        <v/>
      </c>
      <c r="CJ71">
        <f>IF(COUNTIFS(T_StockCount[RM_Code],$A71,T_StockCount[WeekIndex],87)&gt;0,SUMIFS(T_StockCount[CountedQty],T_StockCount[RM_Code],$A71,T_StockCount[WeekIndex],87),IF((COUNTIFS(T_SelfStock[RM_Code],$A71,T_SelfStock[WeekIndex],87)&gt;0)*(COUNTIFS(T_TTAFStock[RM_Code],$A71,T_TTAFStock[WeekIndex],87)&gt;0)&gt;0,SUMIFS(T_SelfStock[Self_Qty],T_SelfStock[RM_Code],$A71,T_SelfStock[WeekIndex],87)+SUMIFS(T_TTAFStock[TTAF_Qty],T_TTAFStock[RM_Code],$A71,T_TTAFStock[WeekIndex],87),CI71+'Grid_Incoming'!CJ71-'Grid_Requirement'!CJ71))</f>
        <v/>
      </c>
      <c r="CK71">
        <f>IF(COUNTIFS(T_StockCount[RM_Code],$A71,T_StockCount[WeekIndex],88)&gt;0,SUMIFS(T_StockCount[CountedQty],T_StockCount[RM_Code],$A71,T_StockCount[WeekIndex],88),IF((COUNTIFS(T_SelfStock[RM_Code],$A71,T_SelfStock[WeekIndex],88)&gt;0)*(COUNTIFS(T_TTAFStock[RM_Code],$A71,T_TTAFStock[WeekIndex],88)&gt;0)&gt;0,SUMIFS(T_SelfStock[Self_Qty],T_SelfStock[RM_Code],$A71,T_SelfStock[WeekIndex],88)+SUMIFS(T_TTAFStock[TTAF_Qty],T_TTAFStock[RM_Code],$A71,T_TTAFStock[WeekIndex],88),CJ71+'Grid_Incoming'!CK71-'Grid_Requirement'!CK71))</f>
        <v/>
      </c>
      <c r="CL71">
        <f>IF(COUNTIFS(T_StockCount[RM_Code],$A71,T_StockCount[WeekIndex],89)&gt;0,SUMIFS(T_StockCount[CountedQty],T_StockCount[RM_Code],$A71,T_StockCount[WeekIndex],89),IF((COUNTIFS(T_SelfStock[RM_Code],$A71,T_SelfStock[WeekIndex],89)&gt;0)*(COUNTIFS(T_TTAFStock[RM_Code],$A71,T_TTAFStock[WeekIndex],89)&gt;0)&gt;0,SUMIFS(T_SelfStock[Self_Qty],T_SelfStock[RM_Code],$A71,T_SelfStock[WeekIndex],89)+SUMIFS(T_TTAFStock[TTAF_Qty],T_TTAFStock[RM_Code],$A71,T_TTAFStock[WeekIndex],89),CK71+'Grid_Incoming'!CL71-'Grid_Requirement'!CL71))</f>
        <v/>
      </c>
      <c r="CM71">
        <f>IF(COUNTIFS(T_StockCount[RM_Code],$A71,T_StockCount[WeekIndex],90)&gt;0,SUMIFS(T_StockCount[CountedQty],T_StockCount[RM_Code],$A71,T_StockCount[WeekIndex],90),IF((COUNTIFS(T_SelfStock[RM_Code],$A71,T_SelfStock[WeekIndex],90)&gt;0)*(COUNTIFS(T_TTAFStock[RM_Code],$A71,T_TTAFStock[WeekIndex],90)&gt;0)&gt;0,SUMIFS(T_SelfStock[Self_Qty],T_SelfStock[RM_Code],$A71,T_SelfStock[WeekIndex],90)+SUMIFS(T_TTAFStock[TTAF_Qty],T_TTAFStock[RM_Code],$A71,T_TTAFStock[WeekIndex],90),CL71+'Grid_Incoming'!CM71-'Grid_Requirement'!CM71))</f>
        <v/>
      </c>
      <c r="CN71">
        <f>IF(COUNTIFS(T_StockCount[RM_Code],$A71,T_StockCount[WeekIndex],91)&gt;0,SUMIFS(T_StockCount[CountedQty],T_StockCount[RM_Code],$A71,T_StockCount[WeekIndex],91),IF((COUNTIFS(T_SelfStock[RM_Code],$A71,T_SelfStock[WeekIndex],91)&gt;0)*(COUNTIFS(T_TTAFStock[RM_Code],$A71,T_TTAFStock[WeekIndex],91)&gt;0)&gt;0,SUMIFS(T_SelfStock[Self_Qty],T_SelfStock[RM_Code],$A71,T_SelfStock[WeekIndex],91)+SUMIFS(T_TTAFStock[TTAF_Qty],T_TTAFStock[RM_Code],$A71,T_TTAFStock[WeekIndex],91),CM71+'Grid_Incoming'!CN71-'Grid_Requirement'!CN71))</f>
        <v/>
      </c>
      <c r="CO71">
        <f>IF(COUNTIFS(T_StockCount[RM_Code],$A71,T_StockCount[WeekIndex],92)&gt;0,SUMIFS(T_StockCount[CountedQty],T_StockCount[RM_Code],$A71,T_StockCount[WeekIndex],92),IF((COUNTIFS(T_SelfStock[RM_Code],$A71,T_SelfStock[WeekIndex],92)&gt;0)*(COUNTIFS(T_TTAFStock[RM_Code],$A71,T_TTAFStock[WeekIndex],92)&gt;0)&gt;0,SUMIFS(T_SelfStock[Self_Qty],T_SelfStock[RM_Code],$A71,T_SelfStock[WeekIndex],92)+SUMIFS(T_TTAFStock[TTAF_Qty],T_TTAFStock[RM_Code],$A71,T_TTAFStock[WeekIndex],92),CN71+'Grid_Incoming'!CO71-'Grid_Requirement'!CO71))</f>
        <v/>
      </c>
      <c r="CP71">
        <f>IF(COUNTIFS(T_StockCount[RM_Code],$A71,T_StockCount[WeekIndex],93)&gt;0,SUMIFS(T_StockCount[CountedQty],T_StockCount[RM_Code],$A71,T_StockCount[WeekIndex],93),IF((COUNTIFS(T_SelfStock[RM_Code],$A71,T_SelfStock[WeekIndex],93)&gt;0)*(COUNTIFS(T_TTAFStock[RM_Code],$A71,T_TTAFStock[WeekIndex],93)&gt;0)&gt;0,SUMIFS(T_SelfStock[Self_Qty],T_SelfStock[RM_Code],$A71,T_SelfStock[WeekIndex],93)+SUMIFS(T_TTAFStock[TTAF_Qty],T_TTAFStock[RM_Code],$A71,T_TTAFStock[WeekIndex],93),CO71+'Grid_Incoming'!CP71-'Grid_Requirement'!CP71))</f>
        <v/>
      </c>
      <c r="CQ71">
        <f>IF(COUNTIFS(T_StockCount[RM_Code],$A71,T_StockCount[WeekIndex],94)&gt;0,SUMIFS(T_StockCount[CountedQty],T_StockCount[RM_Code],$A71,T_StockCount[WeekIndex],94),IF((COUNTIFS(T_SelfStock[RM_Code],$A71,T_SelfStock[WeekIndex],94)&gt;0)*(COUNTIFS(T_TTAFStock[RM_Code],$A71,T_TTAFStock[WeekIndex],94)&gt;0)&gt;0,SUMIFS(T_SelfStock[Self_Qty],T_SelfStock[RM_Code],$A71,T_SelfStock[WeekIndex],94)+SUMIFS(T_TTAFStock[TTAF_Qty],T_TTAFStock[RM_Code],$A71,T_TTAFStock[WeekIndex],94),CP71+'Grid_Incoming'!CQ71-'Grid_Requirement'!CQ71))</f>
        <v/>
      </c>
      <c r="CR71">
        <f>IF(COUNTIFS(T_StockCount[RM_Code],$A71,T_StockCount[WeekIndex],95)&gt;0,SUMIFS(T_StockCount[CountedQty],T_StockCount[RM_Code],$A71,T_StockCount[WeekIndex],95),IF((COUNTIFS(T_SelfStock[RM_Code],$A71,T_SelfStock[WeekIndex],95)&gt;0)*(COUNTIFS(T_TTAFStock[RM_Code],$A71,T_TTAFStock[WeekIndex],95)&gt;0)&gt;0,SUMIFS(T_SelfStock[Self_Qty],T_SelfStock[RM_Code],$A71,T_SelfStock[WeekIndex],95)+SUMIFS(T_TTAFStock[TTAF_Qty],T_TTAFStock[RM_Code],$A71,T_TTAFStock[WeekIndex],95),CQ71+'Grid_Incoming'!CR71-'Grid_Requirement'!CR71))</f>
        <v/>
      </c>
      <c r="CS71">
        <f>IF(COUNTIFS(T_StockCount[RM_Code],$A71,T_StockCount[WeekIndex],96)&gt;0,SUMIFS(T_StockCount[CountedQty],T_StockCount[RM_Code],$A71,T_StockCount[WeekIndex],96),IF((COUNTIFS(T_SelfStock[RM_Code],$A71,T_SelfStock[WeekIndex],96)&gt;0)*(COUNTIFS(T_TTAFStock[RM_Code],$A71,T_TTAFStock[WeekIndex],96)&gt;0)&gt;0,SUMIFS(T_SelfStock[Self_Qty],T_SelfStock[RM_Code],$A71,T_SelfStock[WeekIndex],96)+SUMIFS(T_TTAFStock[TTAF_Qty],T_TTAFStock[RM_Code],$A71,T_TTAFStock[WeekIndex],96),CR71+'Grid_Incoming'!CS71-'Grid_Requirement'!CS71))</f>
        <v/>
      </c>
      <c r="CT71">
        <f>IF(COUNTIFS(T_StockCount[RM_Code],$A71,T_StockCount[WeekIndex],97)&gt;0,SUMIFS(T_StockCount[CountedQty],T_StockCount[RM_Code],$A71,T_StockCount[WeekIndex],97),IF((COUNTIFS(T_SelfStock[RM_Code],$A71,T_SelfStock[WeekIndex],97)&gt;0)*(COUNTIFS(T_TTAFStock[RM_Code],$A71,T_TTAFStock[WeekIndex],97)&gt;0)&gt;0,SUMIFS(T_SelfStock[Self_Qty],T_SelfStock[RM_Code],$A71,T_SelfStock[WeekIndex],97)+SUMIFS(T_TTAFStock[TTAF_Qty],T_TTAFStock[RM_Code],$A71,T_TTAFStock[WeekIndex],97),CS71+'Grid_Incoming'!CT71-'Grid_Requirement'!CT71))</f>
        <v/>
      </c>
      <c r="CU71">
        <f>IF(COUNTIFS(T_StockCount[RM_Code],$A71,T_StockCount[WeekIndex],98)&gt;0,SUMIFS(T_StockCount[CountedQty],T_StockCount[RM_Code],$A71,T_StockCount[WeekIndex],98),IF((COUNTIFS(T_SelfStock[RM_Code],$A71,T_SelfStock[WeekIndex],98)&gt;0)*(COUNTIFS(T_TTAFStock[RM_Code],$A71,T_TTAFStock[WeekIndex],98)&gt;0)&gt;0,SUMIFS(T_SelfStock[Self_Qty],T_SelfStock[RM_Code],$A71,T_SelfStock[WeekIndex],98)+SUMIFS(T_TTAFStock[TTAF_Qty],T_TTAFStock[RM_Code],$A71,T_TTAFStock[WeekIndex],98),CT71+'Grid_Incoming'!CU71-'Grid_Requirement'!CU71))</f>
        <v/>
      </c>
      <c r="CV71">
        <f>IF(COUNTIFS(T_StockCount[RM_Code],$A71,T_StockCount[WeekIndex],99)&gt;0,SUMIFS(T_StockCount[CountedQty],T_StockCount[RM_Code],$A71,T_StockCount[WeekIndex],99),IF((COUNTIFS(T_SelfStock[RM_Code],$A71,T_SelfStock[WeekIndex],99)&gt;0)*(COUNTIFS(T_TTAFStock[RM_Code],$A71,T_TTAFStock[WeekIndex],99)&gt;0)&gt;0,SUMIFS(T_SelfStock[Self_Qty],T_SelfStock[RM_Code],$A71,T_SelfStock[WeekIndex],99)+SUMIFS(T_TTAFStock[TTAF_Qty],T_TTAFStock[RM_Code],$A71,T_TTAFStock[WeekIndex],99),CU71+'Grid_Incoming'!CV71-'Grid_Requirement'!CV71))</f>
        <v/>
      </c>
      <c r="CW71">
        <f>IF(COUNTIFS(T_StockCount[RM_Code],$A71,T_StockCount[WeekIndex],100)&gt;0,SUMIFS(T_StockCount[CountedQty],T_StockCount[RM_Code],$A71,T_StockCount[WeekIndex],100),IF((COUNTIFS(T_SelfStock[RM_Code],$A71,T_SelfStock[WeekIndex],100)&gt;0)*(COUNTIFS(T_TTAFStock[RM_Code],$A71,T_TTAFStock[WeekIndex],100)&gt;0)&gt;0,SUMIFS(T_SelfStock[Self_Qty],T_SelfStock[RM_Code],$A71,T_SelfStock[WeekIndex],100)+SUMIFS(T_TTAFStock[TTAF_Qty],T_TTAFStock[RM_Code],$A71,T_TTAFStock[WeekIndex],100),CV71+'Grid_Incoming'!CW71-'Grid_Requirement'!CW71))</f>
        <v/>
      </c>
      <c r="CX71">
        <f>IF(COUNTIFS(T_StockCount[RM_Code],$A71,T_StockCount[WeekIndex],101)&gt;0,SUMIFS(T_StockCount[CountedQty],T_StockCount[RM_Code],$A71,T_StockCount[WeekIndex],101),IF((COUNTIFS(T_SelfStock[RM_Code],$A71,T_SelfStock[WeekIndex],101)&gt;0)*(COUNTIFS(T_TTAFStock[RM_Code],$A71,T_TTAFStock[WeekIndex],101)&gt;0)&gt;0,SUMIFS(T_SelfStock[Self_Qty],T_SelfStock[RM_Code],$A71,T_SelfStock[WeekIndex],101)+SUMIFS(T_TTAFStock[TTAF_Qty],T_TTAFStock[RM_Code],$A71,T_TTAFStock[WeekIndex],101),CW71+'Grid_Incoming'!CX71-'Grid_Requirement'!CX71))</f>
        <v/>
      </c>
      <c r="CY71">
        <f>IF(COUNTIFS(T_StockCount[RM_Code],$A71,T_StockCount[WeekIndex],102)&gt;0,SUMIFS(T_StockCount[CountedQty],T_StockCount[RM_Code],$A71,T_StockCount[WeekIndex],102),IF((COUNTIFS(T_SelfStock[RM_Code],$A71,T_SelfStock[WeekIndex],102)&gt;0)*(COUNTIFS(T_TTAFStock[RM_Code],$A71,T_TTAFStock[WeekIndex],102)&gt;0)&gt;0,SUMIFS(T_SelfStock[Self_Qty],T_SelfStock[RM_Code],$A71,T_SelfStock[WeekIndex],102)+SUMIFS(T_TTAFStock[TTAF_Qty],T_TTAFStock[RM_Code],$A71,T_TTAFStock[WeekIndex],102),CX71+'Grid_Incoming'!CY71-'Grid_Requirement'!CY71))</f>
        <v/>
      </c>
      <c r="CZ71">
        <f>IF(COUNTIFS(T_StockCount[RM_Code],$A71,T_StockCount[WeekIndex],103)&gt;0,SUMIFS(T_StockCount[CountedQty],T_StockCount[RM_Code],$A71,T_StockCount[WeekIndex],103),IF((COUNTIFS(T_SelfStock[RM_Code],$A71,T_SelfStock[WeekIndex],103)&gt;0)*(COUNTIFS(T_TTAFStock[RM_Code],$A71,T_TTAFStock[WeekIndex],103)&gt;0)&gt;0,SUMIFS(T_SelfStock[Self_Qty],T_SelfStock[RM_Code],$A71,T_SelfStock[WeekIndex],103)+SUMIFS(T_TTAFStock[TTAF_Qty],T_TTAFStock[RM_Code],$A71,T_TTAFStock[WeekIndex],103),CY71+'Grid_Incoming'!CZ71-'Grid_Requirement'!CZ71))</f>
        <v/>
      </c>
      <c r="DA71">
        <f>IF(COUNTIFS(T_StockCount[RM_Code],$A71,T_StockCount[WeekIndex],104)&gt;0,SUMIFS(T_StockCount[CountedQty],T_StockCount[RM_Code],$A71,T_StockCount[WeekIndex],104),IF((COUNTIFS(T_SelfStock[RM_Code],$A71,T_SelfStock[WeekIndex],104)&gt;0)*(COUNTIFS(T_TTAFStock[RM_Code],$A71,T_TTAFStock[WeekIndex],104)&gt;0)&gt;0,SUMIFS(T_SelfStock[Self_Qty],T_SelfStock[RM_Code],$A71,T_SelfStock[WeekIndex],104)+SUMIFS(T_TTAFStock[TTAF_Qty],T_TTAFStock[RM_Code],$A71,T_TTAFStock[WeekIndex],104),CZ71+'Grid_Incoming'!DA71-'Grid_Requirement'!DA71))</f>
        <v/>
      </c>
    </row>
    <row r="72">
      <c r="A72" t="inlineStr">
        <is>
          <t>848531</t>
        </is>
      </c>
      <c r="B72">
        <f>IF(COUNTIFS(T_StockCount[RM_Code],$A72,T_StockCount[WeekIndex],1)&gt;0,SUMIFS(T_StockCount[CountedQty],T_StockCount[RM_Code],$A72,T_StockCount[WeekIndex],1),IF((COUNTIFS(T_SelfStock[RM_Code],$A72,T_SelfStock[WeekIndex],1)&gt;0)*(COUNTIFS(T_TTAFStock[RM_Code],$A72,T_TTAFStock[WeekIndex],1)&gt;0)&gt;0,SUMIFS(T_SelfStock[Self_Qty],T_SelfStock[RM_Code],$A72,T_SelfStock[WeekIndex],1)+SUMIFS(T_TTAFStock[TTAF_Qty],T_TTAFStock[RM_Code],$A72,T_TTAFStock[WeekIndex],1),IFERROR(INDEX(T_OpeningStock[Opening_Qty],MATCH($A72,T_OpeningStock[RM_Code],0)),0)+'Grid_Incoming'!B72-'Grid_Requirement'!B72))</f>
        <v/>
      </c>
      <c r="C72">
        <f>IF(COUNTIFS(T_StockCount[RM_Code],$A72,T_StockCount[WeekIndex],2)&gt;0,SUMIFS(T_StockCount[CountedQty],T_StockCount[RM_Code],$A72,T_StockCount[WeekIndex],2),IF((COUNTIFS(T_SelfStock[RM_Code],$A72,T_SelfStock[WeekIndex],2)&gt;0)*(COUNTIFS(T_TTAFStock[RM_Code],$A72,T_TTAFStock[WeekIndex],2)&gt;0)&gt;0,SUMIFS(T_SelfStock[Self_Qty],T_SelfStock[RM_Code],$A72,T_SelfStock[WeekIndex],2)+SUMIFS(T_TTAFStock[TTAF_Qty],T_TTAFStock[RM_Code],$A72,T_TTAFStock[WeekIndex],2),B72+'Grid_Incoming'!C72-'Grid_Requirement'!C72))</f>
        <v/>
      </c>
      <c r="D72">
        <f>IF(COUNTIFS(T_StockCount[RM_Code],$A72,T_StockCount[WeekIndex],3)&gt;0,SUMIFS(T_StockCount[CountedQty],T_StockCount[RM_Code],$A72,T_StockCount[WeekIndex],3),IF((COUNTIFS(T_SelfStock[RM_Code],$A72,T_SelfStock[WeekIndex],3)&gt;0)*(COUNTIFS(T_TTAFStock[RM_Code],$A72,T_TTAFStock[WeekIndex],3)&gt;0)&gt;0,SUMIFS(T_SelfStock[Self_Qty],T_SelfStock[RM_Code],$A72,T_SelfStock[WeekIndex],3)+SUMIFS(T_TTAFStock[TTAF_Qty],T_TTAFStock[RM_Code],$A72,T_TTAFStock[WeekIndex],3),C72+'Grid_Incoming'!D72-'Grid_Requirement'!D72))</f>
        <v/>
      </c>
      <c r="E72">
        <f>IF(COUNTIFS(T_StockCount[RM_Code],$A72,T_StockCount[WeekIndex],4)&gt;0,SUMIFS(T_StockCount[CountedQty],T_StockCount[RM_Code],$A72,T_StockCount[WeekIndex],4),IF((COUNTIFS(T_SelfStock[RM_Code],$A72,T_SelfStock[WeekIndex],4)&gt;0)*(COUNTIFS(T_TTAFStock[RM_Code],$A72,T_TTAFStock[WeekIndex],4)&gt;0)&gt;0,SUMIFS(T_SelfStock[Self_Qty],T_SelfStock[RM_Code],$A72,T_SelfStock[WeekIndex],4)+SUMIFS(T_TTAFStock[TTAF_Qty],T_TTAFStock[RM_Code],$A72,T_TTAFStock[WeekIndex],4),D72+'Grid_Incoming'!E72-'Grid_Requirement'!E72))</f>
        <v/>
      </c>
      <c r="F72">
        <f>IF(COUNTIFS(T_StockCount[RM_Code],$A72,T_StockCount[WeekIndex],5)&gt;0,SUMIFS(T_StockCount[CountedQty],T_StockCount[RM_Code],$A72,T_StockCount[WeekIndex],5),IF((COUNTIFS(T_SelfStock[RM_Code],$A72,T_SelfStock[WeekIndex],5)&gt;0)*(COUNTIFS(T_TTAFStock[RM_Code],$A72,T_TTAFStock[WeekIndex],5)&gt;0)&gt;0,SUMIFS(T_SelfStock[Self_Qty],T_SelfStock[RM_Code],$A72,T_SelfStock[WeekIndex],5)+SUMIFS(T_TTAFStock[TTAF_Qty],T_TTAFStock[RM_Code],$A72,T_TTAFStock[WeekIndex],5),E72+'Grid_Incoming'!F72-'Grid_Requirement'!F72))</f>
        <v/>
      </c>
      <c r="G72">
        <f>IF(COUNTIFS(T_StockCount[RM_Code],$A72,T_StockCount[WeekIndex],6)&gt;0,SUMIFS(T_StockCount[CountedQty],T_StockCount[RM_Code],$A72,T_StockCount[WeekIndex],6),IF((COUNTIFS(T_SelfStock[RM_Code],$A72,T_SelfStock[WeekIndex],6)&gt;0)*(COUNTIFS(T_TTAFStock[RM_Code],$A72,T_TTAFStock[WeekIndex],6)&gt;0)&gt;0,SUMIFS(T_SelfStock[Self_Qty],T_SelfStock[RM_Code],$A72,T_SelfStock[WeekIndex],6)+SUMIFS(T_TTAFStock[TTAF_Qty],T_TTAFStock[RM_Code],$A72,T_TTAFStock[WeekIndex],6),F72+'Grid_Incoming'!G72-'Grid_Requirement'!G72))</f>
        <v/>
      </c>
      <c r="H72">
        <f>IF(COUNTIFS(T_StockCount[RM_Code],$A72,T_StockCount[WeekIndex],7)&gt;0,SUMIFS(T_StockCount[CountedQty],T_StockCount[RM_Code],$A72,T_StockCount[WeekIndex],7),IF((COUNTIFS(T_SelfStock[RM_Code],$A72,T_SelfStock[WeekIndex],7)&gt;0)*(COUNTIFS(T_TTAFStock[RM_Code],$A72,T_TTAFStock[WeekIndex],7)&gt;0)&gt;0,SUMIFS(T_SelfStock[Self_Qty],T_SelfStock[RM_Code],$A72,T_SelfStock[WeekIndex],7)+SUMIFS(T_TTAFStock[TTAF_Qty],T_TTAFStock[RM_Code],$A72,T_TTAFStock[WeekIndex],7),G72+'Grid_Incoming'!H72-'Grid_Requirement'!H72))</f>
        <v/>
      </c>
      <c r="I72">
        <f>IF(COUNTIFS(T_StockCount[RM_Code],$A72,T_StockCount[WeekIndex],8)&gt;0,SUMIFS(T_StockCount[CountedQty],T_StockCount[RM_Code],$A72,T_StockCount[WeekIndex],8),IF((COUNTIFS(T_SelfStock[RM_Code],$A72,T_SelfStock[WeekIndex],8)&gt;0)*(COUNTIFS(T_TTAFStock[RM_Code],$A72,T_TTAFStock[WeekIndex],8)&gt;0)&gt;0,SUMIFS(T_SelfStock[Self_Qty],T_SelfStock[RM_Code],$A72,T_SelfStock[WeekIndex],8)+SUMIFS(T_TTAFStock[TTAF_Qty],T_TTAFStock[RM_Code],$A72,T_TTAFStock[WeekIndex],8),H72+'Grid_Incoming'!I72-'Grid_Requirement'!I72))</f>
        <v/>
      </c>
      <c r="J72">
        <f>IF(COUNTIFS(T_StockCount[RM_Code],$A72,T_StockCount[WeekIndex],9)&gt;0,SUMIFS(T_StockCount[CountedQty],T_StockCount[RM_Code],$A72,T_StockCount[WeekIndex],9),IF((COUNTIFS(T_SelfStock[RM_Code],$A72,T_SelfStock[WeekIndex],9)&gt;0)*(COUNTIFS(T_TTAFStock[RM_Code],$A72,T_TTAFStock[WeekIndex],9)&gt;0)&gt;0,SUMIFS(T_SelfStock[Self_Qty],T_SelfStock[RM_Code],$A72,T_SelfStock[WeekIndex],9)+SUMIFS(T_TTAFStock[TTAF_Qty],T_TTAFStock[RM_Code],$A72,T_TTAFStock[WeekIndex],9),I72+'Grid_Incoming'!J72-'Grid_Requirement'!J72))</f>
        <v/>
      </c>
      <c r="K72">
        <f>IF(COUNTIFS(T_StockCount[RM_Code],$A72,T_StockCount[WeekIndex],10)&gt;0,SUMIFS(T_StockCount[CountedQty],T_StockCount[RM_Code],$A72,T_StockCount[WeekIndex],10),IF((COUNTIFS(T_SelfStock[RM_Code],$A72,T_SelfStock[WeekIndex],10)&gt;0)*(COUNTIFS(T_TTAFStock[RM_Code],$A72,T_TTAFStock[WeekIndex],10)&gt;0)&gt;0,SUMIFS(T_SelfStock[Self_Qty],T_SelfStock[RM_Code],$A72,T_SelfStock[WeekIndex],10)+SUMIFS(T_TTAFStock[TTAF_Qty],T_TTAFStock[RM_Code],$A72,T_TTAFStock[WeekIndex],10),J72+'Grid_Incoming'!K72-'Grid_Requirement'!K72))</f>
        <v/>
      </c>
      <c r="L72">
        <f>IF(COUNTIFS(T_StockCount[RM_Code],$A72,T_StockCount[WeekIndex],11)&gt;0,SUMIFS(T_StockCount[CountedQty],T_StockCount[RM_Code],$A72,T_StockCount[WeekIndex],11),IF((COUNTIFS(T_SelfStock[RM_Code],$A72,T_SelfStock[WeekIndex],11)&gt;0)*(COUNTIFS(T_TTAFStock[RM_Code],$A72,T_TTAFStock[WeekIndex],11)&gt;0)&gt;0,SUMIFS(T_SelfStock[Self_Qty],T_SelfStock[RM_Code],$A72,T_SelfStock[WeekIndex],11)+SUMIFS(T_TTAFStock[TTAF_Qty],T_TTAFStock[RM_Code],$A72,T_TTAFStock[WeekIndex],11),K72+'Grid_Incoming'!L72-'Grid_Requirement'!L72))</f>
        <v/>
      </c>
      <c r="M72">
        <f>IF(COUNTIFS(T_StockCount[RM_Code],$A72,T_StockCount[WeekIndex],12)&gt;0,SUMIFS(T_StockCount[CountedQty],T_StockCount[RM_Code],$A72,T_StockCount[WeekIndex],12),IF((COUNTIFS(T_SelfStock[RM_Code],$A72,T_SelfStock[WeekIndex],12)&gt;0)*(COUNTIFS(T_TTAFStock[RM_Code],$A72,T_TTAFStock[WeekIndex],12)&gt;0)&gt;0,SUMIFS(T_SelfStock[Self_Qty],T_SelfStock[RM_Code],$A72,T_SelfStock[WeekIndex],12)+SUMIFS(T_TTAFStock[TTAF_Qty],T_TTAFStock[RM_Code],$A72,T_TTAFStock[WeekIndex],12),L72+'Grid_Incoming'!M72-'Grid_Requirement'!M72))</f>
        <v/>
      </c>
      <c r="N72">
        <f>IF(COUNTIFS(T_StockCount[RM_Code],$A72,T_StockCount[WeekIndex],13)&gt;0,SUMIFS(T_StockCount[CountedQty],T_StockCount[RM_Code],$A72,T_StockCount[WeekIndex],13),IF((COUNTIFS(T_SelfStock[RM_Code],$A72,T_SelfStock[WeekIndex],13)&gt;0)*(COUNTIFS(T_TTAFStock[RM_Code],$A72,T_TTAFStock[WeekIndex],13)&gt;0)&gt;0,SUMIFS(T_SelfStock[Self_Qty],T_SelfStock[RM_Code],$A72,T_SelfStock[WeekIndex],13)+SUMIFS(T_TTAFStock[TTAF_Qty],T_TTAFStock[RM_Code],$A72,T_TTAFStock[WeekIndex],13),M72+'Grid_Incoming'!N72-'Grid_Requirement'!N72))</f>
        <v/>
      </c>
      <c r="O72">
        <f>IF(COUNTIFS(T_StockCount[RM_Code],$A72,T_StockCount[WeekIndex],14)&gt;0,SUMIFS(T_StockCount[CountedQty],T_StockCount[RM_Code],$A72,T_StockCount[WeekIndex],14),IF((COUNTIFS(T_SelfStock[RM_Code],$A72,T_SelfStock[WeekIndex],14)&gt;0)*(COUNTIFS(T_TTAFStock[RM_Code],$A72,T_TTAFStock[WeekIndex],14)&gt;0)&gt;0,SUMIFS(T_SelfStock[Self_Qty],T_SelfStock[RM_Code],$A72,T_SelfStock[WeekIndex],14)+SUMIFS(T_TTAFStock[TTAF_Qty],T_TTAFStock[RM_Code],$A72,T_TTAFStock[WeekIndex],14),N72+'Grid_Incoming'!O72-'Grid_Requirement'!O72))</f>
        <v/>
      </c>
      <c r="P72">
        <f>IF(COUNTIFS(T_StockCount[RM_Code],$A72,T_StockCount[WeekIndex],15)&gt;0,SUMIFS(T_StockCount[CountedQty],T_StockCount[RM_Code],$A72,T_StockCount[WeekIndex],15),IF((COUNTIFS(T_SelfStock[RM_Code],$A72,T_SelfStock[WeekIndex],15)&gt;0)*(COUNTIFS(T_TTAFStock[RM_Code],$A72,T_TTAFStock[WeekIndex],15)&gt;0)&gt;0,SUMIFS(T_SelfStock[Self_Qty],T_SelfStock[RM_Code],$A72,T_SelfStock[WeekIndex],15)+SUMIFS(T_TTAFStock[TTAF_Qty],T_TTAFStock[RM_Code],$A72,T_TTAFStock[WeekIndex],15),O72+'Grid_Incoming'!P72-'Grid_Requirement'!P72))</f>
        <v/>
      </c>
      <c r="Q72">
        <f>IF(COUNTIFS(T_StockCount[RM_Code],$A72,T_StockCount[WeekIndex],16)&gt;0,SUMIFS(T_StockCount[CountedQty],T_StockCount[RM_Code],$A72,T_StockCount[WeekIndex],16),IF((COUNTIFS(T_SelfStock[RM_Code],$A72,T_SelfStock[WeekIndex],16)&gt;0)*(COUNTIFS(T_TTAFStock[RM_Code],$A72,T_TTAFStock[WeekIndex],16)&gt;0)&gt;0,SUMIFS(T_SelfStock[Self_Qty],T_SelfStock[RM_Code],$A72,T_SelfStock[WeekIndex],16)+SUMIFS(T_TTAFStock[TTAF_Qty],T_TTAFStock[RM_Code],$A72,T_TTAFStock[WeekIndex],16),P72+'Grid_Incoming'!Q72-'Grid_Requirement'!Q72))</f>
        <v/>
      </c>
      <c r="R72">
        <f>IF(COUNTIFS(T_StockCount[RM_Code],$A72,T_StockCount[WeekIndex],17)&gt;0,SUMIFS(T_StockCount[CountedQty],T_StockCount[RM_Code],$A72,T_StockCount[WeekIndex],17),IF((COUNTIFS(T_SelfStock[RM_Code],$A72,T_SelfStock[WeekIndex],17)&gt;0)*(COUNTIFS(T_TTAFStock[RM_Code],$A72,T_TTAFStock[WeekIndex],17)&gt;0)&gt;0,SUMIFS(T_SelfStock[Self_Qty],T_SelfStock[RM_Code],$A72,T_SelfStock[WeekIndex],17)+SUMIFS(T_TTAFStock[TTAF_Qty],T_TTAFStock[RM_Code],$A72,T_TTAFStock[WeekIndex],17),Q72+'Grid_Incoming'!R72-'Grid_Requirement'!R72))</f>
        <v/>
      </c>
      <c r="S72">
        <f>IF(COUNTIFS(T_StockCount[RM_Code],$A72,T_StockCount[WeekIndex],18)&gt;0,SUMIFS(T_StockCount[CountedQty],T_StockCount[RM_Code],$A72,T_StockCount[WeekIndex],18),IF((COUNTIFS(T_SelfStock[RM_Code],$A72,T_SelfStock[WeekIndex],18)&gt;0)*(COUNTIFS(T_TTAFStock[RM_Code],$A72,T_TTAFStock[WeekIndex],18)&gt;0)&gt;0,SUMIFS(T_SelfStock[Self_Qty],T_SelfStock[RM_Code],$A72,T_SelfStock[WeekIndex],18)+SUMIFS(T_TTAFStock[TTAF_Qty],T_TTAFStock[RM_Code],$A72,T_TTAFStock[WeekIndex],18),R72+'Grid_Incoming'!S72-'Grid_Requirement'!S72))</f>
        <v/>
      </c>
      <c r="T72">
        <f>IF(COUNTIFS(T_StockCount[RM_Code],$A72,T_StockCount[WeekIndex],19)&gt;0,SUMIFS(T_StockCount[CountedQty],T_StockCount[RM_Code],$A72,T_StockCount[WeekIndex],19),IF((COUNTIFS(T_SelfStock[RM_Code],$A72,T_SelfStock[WeekIndex],19)&gt;0)*(COUNTIFS(T_TTAFStock[RM_Code],$A72,T_TTAFStock[WeekIndex],19)&gt;0)&gt;0,SUMIFS(T_SelfStock[Self_Qty],T_SelfStock[RM_Code],$A72,T_SelfStock[WeekIndex],19)+SUMIFS(T_TTAFStock[TTAF_Qty],T_TTAFStock[RM_Code],$A72,T_TTAFStock[WeekIndex],19),S72+'Grid_Incoming'!T72-'Grid_Requirement'!T72))</f>
        <v/>
      </c>
      <c r="U72">
        <f>IF(COUNTIFS(T_StockCount[RM_Code],$A72,T_StockCount[WeekIndex],20)&gt;0,SUMIFS(T_StockCount[CountedQty],T_StockCount[RM_Code],$A72,T_StockCount[WeekIndex],20),IF((COUNTIFS(T_SelfStock[RM_Code],$A72,T_SelfStock[WeekIndex],20)&gt;0)*(COUNTIFS(T_TTAFStock[RM_Code],$A72,T_TTAFStock[WeekIndex],20)&gt;0)&gt;0,SUMIFS(T_SelfStock[Self_Qty],T_SelfStock[RM_Code],$A72,T_SelfStock[WeekIndex],20)+SUMIFS(T_TTAFStock[TTAF_Qty],T_TTAFStock[RM_Code],$A72,T_TTAFStock[WeekIndex],20),T72+'Grid_Incoming'!U72-'Grid_Requirement'!U72))</f>
        <v/>
      </c>
      <c r="V72">
        <f>IF(COUNTIFS(T_StockCount[RM_Code],$A72,T_StockCount[WeekIndex],21)&gt;0,SUMIFS(T_StockCount[CountedQty],T_StockCount[RM_Code],$A72,T_StockCount[WeekIndex],21),IF((COUNTIFS(T_SelfStock[RM_Code],$A72,T_SelfStock[WeekIndex],21)&gt;0)*(COUNTIFS(T_TTAFStock[RM_Code],$A72,T_TTAFStock[WeekIndex],21)&gt;0)&gt;0,SUMIFS(T_SelfStock[Self_Qty],T_SelfStock[RM_Code],$A72,T_SelfStock[WeekIndex],21)+SUMIFS(T_TTAFStock[TTAF_Qty],T_TTAFStock[RM_Code],$A72,T_TTAFStock[WeekIndex],21),U72+'Grid_Incoming'!V72-'Grid_Requirement'!V72))</f>
        <v/>
      </c>
      <c r="W72">
        <f>IF(COUNTIFS(T_StockCount[RM_Code],$A72,T_StockCount[WeekIndex],22)&gt;0,SUMIFS(T_StockCount[CountedQty],T_StockCount[RM_Code],$A72,T_StockCount[WeekIndex],22),IF((COUNTIFS(T_SelfStock[RM_Code],$A72,T_SelfStock[WeekIndex],22)&gt;0)*(COUNTIFS(T_TTAFStock[RM_Code],$A72,T_TTAFStock[WeekIndex],22)&gt;0)&gt;0,SUMIFS(T_SelfStock[Self_Qty],T_SelfStock[RM_Code],$A72,T_SelfStock[WeekIndex],22)+SUMIFS(T_TTAFStock[TTAF_Qty],T_TTAFStock[RM_Code],$A72,T_TTAFStock[WeekIndex],22),V72+'Grid_Incoming'!W72-'Grid_Requirement'!W72))</f>
        <v/>
      </c>
      <c r="X72">
        <f>IF(COUNTIFS(T_StockCount[RM_Code],$A72,T_StockCount[WeekIndex],23)&gt;0,SUMIFS(T_StockCount[CountedQty],T_StockCount[RM_Code],$A72,T_StockCount[WeekIndex],23),IF((COUNTIFS(T_SelfStock[RM_Code],$A72,T_SelfStock[WeekIndex],23)&gt;0)*(COUNTIFS(T_TTAFStock[RM_Code],$A72,T_TTAFStock[WeekIndex],23)&gt;0)&gt;0,SUMIFS(T_SelfStock[Self_Qty],T_SelfStock[RM_Code],$A72,T_SelfStock[WeekIndex],23)+SUMIFS(T_TTAFStock[TTAF_Qty],T_TTAFStock[RM_Code],$A72,T_TTAFStock[WeekIndex],23),W72+'Grid_Incoming'!X72-'Grid_Requirement'!X72))</f>
        <v/>
      </c>
      <c r="Y72">
        <f>IF(COUNTIFS(T_StockCount[RM_Code],$A72,T_StockCount[WeekIndex],24)&gt;0,SUMIFS(T_StockCount[CountedQty],T_StockCount[RM_Code],$A72,T_StockCount[WeekIndex],24),IF((COUNTIFS(T_SelfStock[RM_Code],$A72,T_SelfStock[WeekIndex],24)&gt;0)*(COUNTIFS(T_TTAFStock[RM_Code],$A72,T_TTAFStock[WeekIndex],24)&gt;0)&gt;0,SUMIFS(T_SelfStock[Self_Qty],T_SelfStock[RM_Code],$A72,T_SelfStock[WeekIndex],24)+SUMIFS(T_TTAFStock[TTAF_Qty],T_TTAFStock[RM_Code],$A72,T_TTAFStock[WeekIndex],24),X72+'Grid_Incoming'!Y72-'Grid_Requirement'!Y72))</f>
        <v/>
      </c>
      <c r="Z72">
        <f>IF(COUNTIFS(T_StockCount[RM_Code],$A72,T_StockCount[WeekIndex],25)&gt;0,SUMIFS(T_StockCount[CountedQty],T_StockCount[RM_Code],$A72,T_StockCount[WeekIndex],25),IF((COUNTIFS(T_SelfStock[RM_Code],$A72,T_SelfStock[WeekIndex],25)&gt;0)*(COUNTIFS(T_TTAFStock[RM_Code],$A72,T_TTAFStock[WeekIndex],25)&gt;0)&gt;0,SUMIFS(T_SelfStock[Self_Qty],T_SelfStock[RM_Code],$A72,T_SelfStock[WeekIndex],25)+SUMIFS(T_TTAFStock[TTAF_Qty],T_TTAFStock[RM_Code],$A72,T_TTAFStock[WeekIndex],25),Y72+'Grid_Incoming'!Z72-'Grid_Requirement'!Z72))</f>
        <v/>
      </c>
      <c r="AA72">
        <f>IF(COUNTIFS(T_StockCount[RM_Code],$A72,T_StockCount[WeekIndex],26)&gt;0,SUMIFS(T_StockCount[CountedQty],T_StockCount[RM_Code],$A72,T_StockCount[WeekIndex],26),IF((COUNTIFS(T_SelfStock[RM_Code],$A72,T_SelfStock[WeekIndex],26)&gt;0)*(COUNTIFS(T_TTAFStock[RM_Code],$A72,T_TTAFStock[WeekIndex],26)&gt;0)&gt;0,SUMIFS(T_SelfStock[Self_Qty],T_SelfStock[RM_Code],$A72,T_SelfStock[WeekIndex],26)+SUMIFS(T_TTAFStock[TTAF_Qty],T_TTAFStock[RM_Code],$A72,T_TTAFStock[WeekIndex],26),Z72+'Grid_Incoming'!AA72-'Grid_Requirement'!AA72))</f>
        <v/>
      </c>
      <c r="AB72">
        <f>IF(COUNTIFS(T_StockCount[RM_Code],$A72,T_StockCount[WeekIndex],27)&gt;0,SUMIFS(T_StockCount[CountedQty],T_StockCount[RM_Code],$A72,T_StockCount[WeekIndex],27),IF((COUNTIFS(T_SelfStock[RM_Code],$A72,T_SelfStock[WeekIndex],27)&gt;0)*(COUNTIFS(T_TTAFStock[RM_Code],$A72,T_TTAFStock[WeekIndex],27)&gt;0)&gt;0,SUMIFS(T_SelfStock[Self_Qty],T_SelfStock[RM_Code],$A72,T_SelfStock[WeekIndex],27)+SUMIFS(T_TTAFStock[TTAF_Qty],T_TTAFStock[RM_Code],$A72,T_TTAFStock[WeekIndex],27),AA72+'Grid_Incoming'!AB72-'Grid_Requirement'!AB72))</f>
        <v/>
      </c>
      <c r="AC72">
        <f>IF(COUNTIFS(T_StockCount[RM_Code],$A72,T_StockCount[WeekIndex],28)&gt;0,SUMIFS(T_StockCount[CountedQty],T_StockCount[RM_Code],$A72,T_StockCount[WeekIndex],28),IF((COUNTIFS(T_SelfStock[RM_Code],$A72,T_SelfStock[WeekIndex],28)&gt;0)*(COUNTIFS(T_TTAFStock[RM_Code],$A72,T_TTAFStock[WeekIndex],28)&gt;0)&gt;0,SUMIFS(T_SelfStock[Self_Qty],T_SelfStock[RM_Code],$A72,T_SelfStock[WeekIndex],28)+SUMIFS(T_TTAFStock[TTAF_Qty],T_TTAFStock[RM_Code],$A72,T_TTAFStock[WeekIndex],28),AB72+'Grid_Incoming'!AC72-'Grid_Requirement'!AC72))</f>
        <v/>
      </c>
      <c r="AD72">
        <f>IF(COUNTIFS(T_StockCount[RM_Code],$A72,T_StockCount[WeekIndex],29)&gt;0,SUMIFS(T_StockCount[CountedQty],T_StockCount[RM_Code],$A72,T_StockCount[WeekIndex],29),IF((COUNTIFS(T_SelfStock[RM_Code],$A72,T_SelfStock[WeekIndex],29)&gt;0)*(COUNTIFS(T_TTAFStock[RM_Code],$A72,T_TTAFStock[WeekIndex],29)&gt;0)&gt;0,SUMIFS(T_SelfStock[Self_Qty],T_SelfStock[RM_Code],$A72,T_SelfStock[WeekIndex],29)+SUMIFS(T_TTAFStock[TTAF_Qty],T_TTAFStock[RM_Code],$A72,T_TTAFStock[WeekIndex],29),AC72+'Grid_Incoming'!AD72-'Grid_Requirement'!AD72))</f>
        <v/>
      </c>
      <c r="AE72">
        <f>IF(COUNTIFS(T_StockCount[RM_Code],$A72,T_StockCount[WeekIndex],30)&gt;0,SUMIFS(T_StockCount[CountedQty],T_StockCount[RM_Code],$A72,T_StockCount[WeekIndex],30),IF((COUNTIFS(T_SelfStock[RM_Code],$A72,T_SelfStock[WeekIndex],30)&gt;0)*(COUNTIFS(T_TTAFStock[RM_Code],$A72,T_TTAFStock[WeekIndex],30)&gt;0)&gt;0,SUMIFS(T_SelfStock[Self_Qty],T_SelfStock[RM_Code],$A72,T_SelfStock[WeekIndex],30)+SUMIFS(T_TTAFStock[TTAF_Qty],T_TTAFStock[RM_Code],$A72,T_TTAFStock[WeekIndex],30),AD72+'Grid_Incoming'!AE72-'Grid_Requirement'!AE72))</f>
        <v/>
      </c>
      <c r="AF72">
        <f>IF(COUNTIFS(T_StockCount[RM_Code],$A72,T_StockCount[WeekIndex],31)&gt;0,SUMIFS(T_StockCount[CountedQty],T_StockCount[RM_Code],$A72,T_StockCount[WeekIndex],31),IF((COUNTIFS(T_SelfStock[RM_Code],$A72,T_SelfStock[WeekIndex],31)&gt;0)*(COUNTIFS(T_TTAFStock[RM_Code],$A72,T_TTAFStock[WeekIndex],31)&gt;0)&gt;0,SUMIFS(T_SelfStock[Self_Qty],T_SelfStock[RM_Code],$A72,T_SelfStock[WeekIndex],31)+SUMIFS(T_TTAFStock[TTAF_Qty],T_TTAFStock[RM_Code],$A72,T_TTAFStock[WeekIndex],31),AE72+'Grid_Incoming'!AF72-'Grid_Requirement'!AF72))</f>
        <v/>
      </c>
      <c r="AG72">
        <f>IF(COUNTIFS(T_StockCount[RM_Code],$A72,T_StockCount[WeekIndex],32)&gt;0,SUMIFS(T_StockCount[CountedQty],T_StockCount[RM_Code],$A72,T_StockCount[WeekIndex],32),IF((COUNTIFS(T_SelfStock[RM_Code],$A72,T_SelfStock[WeekIndex],32)&gt;0)*(COUNTIFS(T_TTAFStock[RM_Code],$A72,T_TTAFStock[WeekIndex],32)&gt;0)&gt;0,SUMIFS(T_SelfStock[Self_Qty],T_SelfStock[RM_Code],$A72,T_SelfStock[WeekIndex],32)+SUMIFS(T_TTAFStock[TTAF_Qty],T_TTAFStock[RM_Code],$A72,T_TTAFStock[WeekIndex],32),AF72+'Grid_Incoming'!AG72-'Grid_Requirement'!AG72))</f>
        <v/>
      </c>
      <c r="AH72">
        <f>IF(COUNTIFS(T_StockCount[RM_Code],$A72,T_StockCount[WeekIndex],33)&gt;0,SUMIFS(T_StockCount[CountedQty],T_StockCount[RM_Code],$A72,T_StockCount[WeekIndex],33),IF((COUNTIFS(T_SelfStock[RM_Code],$A72,T_SelfStock[WeekIndex],33)&gt;0)*(COUNTIFS(T_TTAFStock[RM_Code],$A72,T_TTAFStock[WeekIndex],33)&gt;0)&gt;0,SUMIFS(T_SelfStock[Self_Qty],T_SelfStock[RM_Code],$A72,T_SelfStock[WeekIndex],33)+SUMIFS(T_TTAFStock[TTAF_Qty],T_TTAFStock[RM_Code],$A72,T_TTAFStock[WeekIndex],33),AG72+'Grid_Incoming'!AH72-'Grid_Requirement'!AH72))</f>
        <v/>
      </c>
      <c r="AI72">
        <f>IF(COUNTIFS(T_StockCount[RM_Code],$A72,T_StockCount[WeekIndex],34)&gt;0,SUMIFS(T_StockCount[CountedQty],T_StockCount[RM_Code],$A72,T_StockCount[WeekIndex],34),IF((COUNTIFS(T_SelfStock[RM_Code],$A72,T_SelfStock[WeekIndex],34)&gt;0)*(COUNTIFS(T_TTAFStock[RM_Code],$A72,T_TTAFStock[WeekIndex],34)&gt;0)&gt;0,SUMIFS(T_SelfStock[Self_Qty],T_SelfStock[RM_Code],$A72,T_SelfStock[WeekIndex],34)+SUMIFS(T_TTAFStock[TTAF_Qty],T_TTAFStock[RM_Code],$A72,T_TTAFStock[WeekIndex],34),AH72+'Grid_Incoming'!AI72-'Grid_Requirement'!AI72))</f>
        <v/>
      </c>
      <c r="AJ72">
        <f>IF(COUNTIFS(T_StockCount[RM_Code],$A72,T_StockCount[WeekIndex],35)&gt;0,SUMIFS(T_StockCount[CountedQty],T_StockCount[RM_Code],$A72,T_StockCount[WeekIndex],35),IF((COUNTIFS(T_SelfStock[RM_Code],$A72,T_SelfStock[WeekIndex],35)&gt;0)*(COUNTIFS(T_TTAFStock[RM_Code],$A72,T_TTAFStock[WeekIndex],35)&gt;0)&gt;0,SUMIFS(T_SelfStock[Self_Qty],T_SelfStock[RM_Code],$A72,T_SelfStock[WeekIndex],35)+SUMIFS(T_TTAFStock[TTAF_Qty],T_TTAFStock[RM_Code],$A72,T_TTAFStock[WeekIndex],35),AI72+'Grid_Incoming'!AJ72-'Grid_Requirement'!AJ72))</f>
        <v/>
      </c>
      <c r="AK72">
        <f>IF(COUNTIFS(T_StockCount[RM_Code],$A72,T_StockCount[WeekIndex],36)&gt;0,SUMIFS(T_StockCount[CountedQty],T_StockCount[RM_Code],$A72,T_StockCount[WeekIndex],36),IF((COUNTIFS(T_SelfStock[RM_Code],$A72,T_SelfStock[WeekIndex],36)&gt;0)*(COUNTIFS(T_TTAFStock[RM_Code],$A72,T_TTAFStock[WeekIndex],36)&gt;0)&gt;0,SUMIFS(T_SelfStock[Self_Qty],T_SelfStock[RM_Code],$A72,T_SelfStock[WeekIndex],36)+SUMIFS(T_TTAFStock[TTAF_Qty],T_TTAFStock[RM_Code],$A72,T_TTAFStock[WeekIndex],36),AJ72+'Grid_Incoming'!AK72-'Grid_Requirement'!AK72))</f>
        <v/>
      </c>
      <c r="AL72">
        <f>IF(COUNTIFS(T_StockCount[RM_Code],$A72,T_StockCount[WeekIndex],37)&gt;0,SUMIFS(T_StockCount[CountedQty],T_StockCount[RM_Code],$A72,T_StockCount[WeekIndex],37),IF((COUNTIFS(T_SelfStock[RM_Code],$A72,T_SelfStock[WeekIndex],37)&gt;0)*(COUNTIFS(T_TTAFStock[RM_Code],$A72,T_TTAFStock[WeekIndex],37)&gt;0)&gt;0,SUMIFS(T_SelfStock[Self_Qty],T_SelfStock[RM_Code],$A72,T_SelfStock[WeekIndex],37)+SUMIFS(T_TTAFStock[TTAF_Qty],T_TTAFStock[RM_Code],$A72,T_TTAFStock[WeekIndex],37),AK72+'Grid_Incoming'!AL72-'Grid_Requirement'!AL72))</f>
        <v/>
      </c>
      <c r="AM72">
        <f>IF(COUNTIFS(T_StockCount[RM_Code],$A72,T_StockCount[WeekIndex],38)&gt;0,SUMIFS(T_StockCount[CountedQty],T_StockCount[RM_Code],$A72,T_StockCount[WeekIndex],38),IF((COUNTIFS(T_SelfStock[RM_Code],$A72,T_SelfStock[WeekIndex],38)&gt;0)*(COUNTIFS(T_TTAFStock[RM_Code],$A72,T_TTAFStock[WeekIndex],38)&gt;0)&gt;0,SUMIFS(T_SelfStock[Self_Qty],T_SelfStock[RM_Code],$A72,T_SelfStock[WeekIndex],38)+SUMIFS(T_TTAFStock[TTAF_Qty],T_TTAFStock[RM_Code],$A72,T_TTAFStock[WeekIndex],38),AL72+'Grid_Incoming'!AM72-'Grid_Requirement'!AM72))</f>
        <v/>
      </c>
      <c r="AN72">
        <f>IF(COUNTIFS(T_StockCount[RM_Code],$A72,T_StockCount[WeekIndex],39)&gt;0,SUMIFS(T_StockCount[CountedQty],T_StockCount[RM_Code],$A72,T_StockCount[WeekIndex],39),IF((COUNTIFS(T_SelfStock[RM_Code],$A72,T_SelfStock[WeekIndex],39)&gt;0)*(COUNTIFS(T_TTAFStock[RM_Code],$A72,T_TTAFStock[WeekIndex],39)&gt;0)&gt;0,SUMIFS(T_SelfStock[Self_Qty],T_SelfStock[RM_Code],$A72,T_SelfStock[WeekIndex],39)+SUMIFS(T_TTAFStock[TTAF_Qty],T_TTAFStock[RM_Code],$A72,T_TTAFStock[WeekIndex],39),AM72+'Grid_Incoming'!AN72-'Grid_Requirement'!AN72))</f>
        <v/>
      </c>
      <c r="AO72">
        <f>IF(COUNTIFS(T_StockCount[RM_Code],$A72,T_StockCount[WeekIndex],40)&gt;0,SUMIFS(T_StockCount[CountedQty],T_StockCount[RM_Code],$A72,T_StockCount[WeekIndex],40),IF((COUNTIFS(T_SelfStock[RM_Code],$A72,T_SelfStock[WeekIndex],40)&gt;0)*(COUNTIFS(T_TTAFStock[RM_Code],$A72,T_TTAFStock[WeekIndex],40)&gt;0)&gt;0,SUMIFS(T_SelfStock[Self_Qty],T_SelfStock[RM_Code],$A72,T_SelfStock[WeekIndex],40)+SUMIFS(T_TTAFStock[TTAF_Qty],T_TTAFStock[RM_Code],$A72,T_TTAFStock[WeekIndex],40),AN72+'Grid_Incoming'!AO72-'Grid_Requirement'!AO72))</f>
        <v/>
      </c>
      <c r="AP72">
        <f>IF(COUNTIFS(T_StockCount[RM_Code],$A72,T_StockCount[WeekIndex],41)&gt;0,SUMIFS(T_StockCount[CountedQty],T_StockCount[RM_Code],$A72,T_StockCount[WeekIndex],41),IF((COUNTIFS(T_SelfStock[RM_Code],$A72,T_SelfStock[WeekIndex],41)&gt;0)*(COUNTIFS(T_TTAFStock[RM_Code],$A72,T_TTAFStock[WeekIndex],41)&gt;0)&gt;0,SUMIFS(T_SelfStock[Self_Qty],T_SelfStock[RM_Code],$A72,T_SelfStock[WeekIndex],41)+SUMIFS(T_TTAFStock[TTAF_Qty],T_TTAFStock[RM_Code],$A72,T_TTAFStock[WeekIndex],41),AO72+'Grid_Incoming'!AP72-'Grid_Requirement'!AP72))</f>
        <v/>
      </c>
      <c r="AQ72">
        <f>IF(COUNTIFS(T_StockCount[RM_Code],$A72,T_StockCount[WeekIndex],42)&gt;0,SUMIFS(T_StockCount[CountedQty],T_StockCount[RM_Code],$A72,T_StockCount[WeekIndex],42),IF((COUNTIFS(T_SelfStock[RM_Code],$A72,T_SelfStock[WeekIndex],42)&gt;0)*(COUNTIFS(T_TTAFStock[RM_Code],$A72,T_TTAFStock[WeekIndex],42)&gt;0)&gt;0,SUMIFS(T_SelfStock[Self_Qty],T_SelfStock[RM_Code],$A72,T_SelfStock[WeekIndex],42)+SUMIFS(T_TTAFStock[TTAF_Qty],T_TTAFStock[RM_Code],$A72,T_TTAFStock[WeekIndex],42),AP72+'Grid_Incoming'!AQ72-'Grid_Requirement'!AQ72))</f>
        <v/>
      </c>
      <c r="AR72">
        <f>IF(COUNTIFS(T_StockCount[RM_Code],$A72,T_StockCount[WeekIndex],43)&gt;0,SUMIFS(T_StockCount[CountedQty],T_StockCount[RM_Code],$A72,T_StockCount[WeekIndex],43),IF((COUNTIFS(T_SelfStock[RM_Code],$A72,T_SelfStock[WeekIndex],43)&gt;0)*(COUNTIFS(T_TTAFStock[RM_Code],$A72,T_TTAFStock[WeekIndex],43)&gt;0)&gt;0,SUMIFS(T_SelfStock[Self_Qty],T_SelfStock[RM_Code],$A72,T_SelfStock[WeekIndex],43)+SUMIFS(T_TTAFStock[TTAF_Qty],T_TTAFStock[RM_Code],$A72,T_TTAFStock[WeekIndex],43),AQ72+'Grid_Incoming'!AR72-'Grid_Requirement'!AR72))</f>
        <v/>
      </c>
      <c r="AS72">
        <f>IF(COUNTIFS(T_StockCount[RM_Code],$A72,T_StockCount[WeekIndex],44)&gt;0,SUMIFS(T_StockCount[CountedQty],T_StockCount[RM_Code],$A72,T_StockCount[WeekIndex],44),IF((COUNTIFS(T_SelfStock[RM_Code],$A72,T_SelfStock[WeekIndex],44)&gt;0)*(COUNTIFS(T_TTAFStock[RM_Code],$A72,T_TTAFStock[WeekIndex],44)&gt;0)&gt;0,SUMIFS(T_SelfStock[Self_Qty],T_SelfStock[RM_Code],$A72,T_SelfStock[WeekIndex],44)+SUMIFS(T_TTAFStock[TTAF_Qty],T_TTAFStock[RM_Code],$A72,T_TTAFStock[WeekIndex],44),AR72+'Grid_Incoming'!AS72-'Grid_Requirement'!AS72))</f>
        <v/>
      </c>
      <c r="AT72">
        <f>IF(COUNTIFS(T_StockCount[RM_Code],$A72,T_StockCount[WeekIndex],45)&gt;0,SUMIFS(T_StockCount[CountedQty],T_StockCount[RM_Code],$A72,T_StockCount[WeekIndex],45),IF((COUNTIFS(T_SelfStock[RM_Code],$A72,T_SelfStock[WeekIndex],45)&gt;0)*(COUNTIFS(T_TTAFStock[RM_Code],$A72,T_TTAFStock[WeekIndex],45)&gt;0)&gt;0,SUMIFS(T_SelfStock[Self_Qty],T_SelfStock[RM_Code],$A72,T_SelfStock[WeekIndex],45)+SUMIFS(T_TTAFStock[TTAF_Qty],T_TTAFStock[RM_Code],$A72,T_TTAFStock[WeekIndex],45),AS72+'Grid_Incoming'!AT72-'Grid_Requirement'!AT72))</f>
        <v/>
      </c>
      <c r="AU72">
        <f>IF(COUNTIFS(T_StockCount[RM_Code],$A72,T_StockCount[WeekIndex],46)&gt;0,SUMIFS(T_StockCount[CountedQty],T_StockCount[RM_Code],$A72,T_StockCount[WeekIndex],46),IF((COUNTIFS(T_SelfStock[RM_Code],$A72,T_SelfStock[WeekIndex],46)&gt;0)*(COUNTIFS(T_TTAFStock[RM_Code],$A72,T_TTAFStock[WeekIndex],46)&gt;0)&gt;0,SUMIFS(T_SelfStock[Self_Qty],T_SelfStock[RM_Code],$A72,T_SelfStock[WeekIndex],46)+SUMIFS(T_TTAFStock[TTAF_Qty],T_TTAFStock[RM_Code],$A72,T_TTAFStock[WeekIndex],46),AT72+'Grid_Incoming'!AU72-'Grid_Requirement'!AU72))</f>
        <v/>
      </c>
      <c r="AV72">
        <f>IF(COUNTIFS(T_StockCount[RM_Code],$A72,T_StockCount[WeekIndex],47)&gt;0,SUMIFS(T_StockCount[CountedQty],T_StockCount[RM_Code],$A72,T_StockCount[WeekIndex],47),IF((COUNTIFS(T_SelfStock[RM_Code],$A72,T_SelfStock[WeekIndex],47)&gt;0)*(COUNTIFS(T_TTAFStock[RM_Code],$A72,T_TTAFStock[WeekIndex],47)&gt;0)&gt;0,SUMIFS(T_SelfStock[Self_Qty],T_SelfStock[RM_Code],$A72,T_SelfStock[WeekIndex],47)+SUMIFS(T_TTAFStock[TTAF_Qty],T_TTAFStock[RM_Code],$A72,T_TTAFStock[WeekIndex],47),AU72+'Grid_Incoming'!AV72-'Grid_Requirement'!AV72))</f>
        <v/>
      </c>
      <c r="AW72">
        <f>IF(COUNTIFS(T_StockCount[RM_Code],$A72,T_StockCount[WeekIndex],48)&gt;0,SUMIFS(T_StockCount[CountedQty],T_StockCount[RM_Code],$A72,T_StockCount[WeekIndex],48),IF((COUNTIFS(T_SelfStock[RM_Code],$A72,T_SelfStock[WeekIndex],48)&gt;0)*(COUNTIFS(T_TTAFStock[RM_Code],$A72,T_TTAFStock[WeekIndex],48)&gt;0)&gt;0,SUMIFS(T_SelfStock[Self_Qty],T_SelfStock[RM_Code],$A72,T_SelfStock[WeekIndex],48)+SUMIFS(T_TTAFStock[TTAF_Qty],T_TTAFStock[RM_Code],$A72,T_TTAFStock[WeekIndex],48),AV72+'Grid_Incoming'!AW72-'Grid_Requirement'!AW72))</f>
        <v/>
      </c>
      <c r="AX72">
        <f>IF(COUNTIFS(T_StockCount[RM_Code],$A72,T_StockCount[WeekIndex],49)&gt;0,SUMIFS(T_StockCount[CountedQty],T_StockCount[RM_Code],$A72,T_StockCount[WeekIndex],49),IF((COUNTIFS(T_SelfStock[RM_Code],$A72,T_SelfStock[WeekIndex],49)&gt;0)*(COUNTIFS(T_TTAFStock[RM_Code],$A72,T_TTAFStock[WeekIndex],49)&gt;0)&gt;0,SUMIFS(T_SelfStock[Self_Qty],T_SelfStock[RM_Code],$A72,T_SelfStock[WeekIndex],49)+SUMIFS(T_TTAFStock[TTAF_Qty],T_TTAFStock[RM_Code],$A72,T_TTAFStock[WeekIndex],49),AW72+'Grid_Incoming'!AX72-'Grid_Requirement'!AX72))</f>
        <v/>
      </c>
      <c r="AY72">
        <f>IF(COUNTIFS(T_StockCount[RM_Code],$A72,T_StockCount[WeekIndex],50)&gt;0,SUMIFS(T_StockCount[CountedQty],T_StockCount[RM_Code],$A72,T_StockCount[WeekIndex],50),IF((COUNTIFS(T_SelfStock[RM_Code],$A72,T_SelfStock[WeekIndex],50)&gt;0)*(COUNTIFS(T_TTAFStock[RM_Code],$A72,T_TTAFStock[WeekIndex],50)&gt;0)&gt;0,SUMIFS(T_SelfStock[Self_Qty],T_SelfStock[RM_Code],$A72,T_SelfStock[WeekIndex],50)+SUMIFS(T_TTAFStock[TTAF_Qty],T_TTAFStock[RM_Code],$A72,T_TTAFStock[WeekIndex],50),AX72+'Grid_Incoming'!AY72-'Grid_Requirement'!AY72))</f>
        <v/>
      </c>
      <c r="AZ72">
        <f>IF(COUNTIFS(T_StockCount[RM_Code],$A72,T_StockCount[WeekIndex],51)&gt;0,SUMIFS(T_StockCount[CountedQty],T_StockCount[RM_Code],$A72,T_StockCount[WeekIndex],51),IF((COUNTIFS(T_SelfStock[RM_Code],$A72,T_SelfStock[WeekIndex],51)&gt;0)*(COUNTIFS(T_TTAFStock[RM_Code],$A72,T_TTAFStock[WeekIndex],51)&gt;0)&gt;0,SUMIFS(T_SelfStock[Self_Qty],T_SelfStock[RM_Code],$A72,T_SelfStock[WeekIndex],51)+SUMIFS(T_TTAFStock[TTAF_Qty],T_TTAFStock[RM_Code],$A72,T_TTAFStock[WeekIndex],51),AY72+'Grid_Incoming'!AZ72-'Grid_Requirement'!AZ72))</f>
        <v/>
      </c>
      <c r="BA72">
        <f>IF(COUNTIFS(T_StockCount[RM_Code],$A72,T_StockCount[WeekIndex],52)&gt;0,SUMIFS(T_StockCount[CountedQty],T_StockCount[RM_Code],$A72,T_StockCount[WeekIndex],52),IF((COUNTIFS(T_SelfStock[RM_Code],$A72,T_SelfStock[WeekIndex],52)&gt;0)*(COUNTIFS(T_TTAFStock[RM_Code],$A72,T_TTAFStock[WeekIndex],52)&gt;0)&gt;0,SUMIFS(T_SelfStock[Self_Qty],T_SelfStock[RM_Code],$A72,T_SelfStock[WeekIndex],52)+SUMIFS(T_TTAFStock[TTAF_Qty],T_TTAFStock[RM_Code],$A72,T_TTAFStock[WeekIndex],52),AZ72+'Grid_Incoming'!BA72-'Grid_Requirement'!BA72))</f>
        <v/>
      </c>
      <c r="BB72">
        <f>IF(COUNTIFS(T_StockCount[RM_Code],$A72,T_StockCount[WeekIndex],53)&gt;0,SUMIFS(T_StockCount[CountedQty],T_StockCount[RM_Code],$A72,T_StockCount[WeekIndex],53),IF((COUNTIFS(T_SelfStock[RM_Code],$A72,T_SelfStock[WeekIndex],53)&gt;0)*(COUNTIFS(T_TTAFStock[RM_Code],$A72,T_TTAFStock[WeekIndex],53)&gt;0)&gt;0,SUMIFS(T_SelfStock[Self_Qty],T_SelfStock[RM_Code],$A72,T_SelfStock[WeekIndex],53)+SUMIFS(T_TTAFStock[TTAF_Qty],T_TTAFStock[RM_Code],$A72,T_TTAFStock[WeekIndex],53),BA72+'Grid_Incoming'!BB72-'Grid_Requirement'!BB72))</f>
        <v/>
      </c>
      <c r="BC72">
        <f>IF(COUNTIFS(T_StockCount[RM_Code],$A72,T_StockCount[WeekIndex],54)&gt;0,SUMIFS(T_StockCount[CountedQty],T_StockCount[RM_Code],$A72,T_StockCount[WeekIndex],54),IF((COUNTIFS(T_SelfStock[RM_Code],$A72,T_SelfStock[WeekIndex],54)&gt;0)*(COUNTIFS(T_TTAFStock[RM_Code],$A72,T_TTAFStock[WeekIndex],54)&gt;0)&gt;0,SUMIFS(T_SelfStock[Self_Qty],T_SelfStock[RM_Code],$A72,T_SelfStock[WeekIndex],54)+SUMIFS(T_TTAFStock[TTAF_Qty],T_TTAFStock[RM_Code],$A72,T_TTAFStock[WeekIndex],54),BB72+'Grid_Incoming'!BC72-'Grid_Requirement'!BC72))</f>
        <v/>
      </c>
      <c r="BD72">
        <f>IF(COUNTIFS(T_StockCount[RM_Code],$A72,T_StockCount[WeekIndex],55)&gt;0,SUMIFS(T_StockCount[CountedQty],T_StockCount[RM_Code],$A72,T_StockCount[WeekIndex],55),IF((COUNTIFS(T_SelfStock[RM_Code],$A72,T_SelfStock[WeekIndex],55)&gt;0)*(COUNTIFS(T_TTAFStock[RM_Code],$A72,T_TTAFStock[WeekIndex],55)&gt;0)&gt;0,SUMIFS(T_SelfStock[Self_Qty],T_SelfStock[RM_Code],$A72,T_SelfStock[WeekIndex],55)+SUMIFS(T_TTAFStock[TTAF_Qty],T_TTAFStock[RM_Code],$A72,T_TTAFStock[WeekIndex],55),BC72+'Grid_Incoming'!BD72-'Grid_Requirement'!BD72))</f>
        <v/>
      </c>
      <c r="BE72">
        <f>IF(COUNTIFS(T_StockCount[RM_Code],$A72,T_StockCount[WeekIndex],56)&gt;0,SUMIFS(T_StockCount[CountedQty],T_StockCount[RM_Code],$A72,T_StockCount[WeekIndex],56),IF((COUNTIFS(T_SelfStock[RM_Code],$A72,T_SelfStock[WeekIndex],56)&gt;0)*(COUNTIFS(T_TTAFStock[RM_Code],$A72,T_TTAFStock[WeekIndex],56)&gt;0)&gt;0,SUMIFS(T_SelfStock[Self_Qty],T_SelfStock[RM_Code],$A72,T_SelfStock[WeekIndex],56)+SUMIFS(T_TTAFStock[TTAF_Qty],T_TTAFStock[RM_Code],$A72,T_TTAFStock[WeekIndex],56),BD72+'Grid_Incoming'!BE72-'Grid_Requirement'!BE72))</f>
        <v/>
      </c>
      <c r="BF72">
        <f>IF(COUNTIFS(T_StockCount[RM_Code],$A72,T_StockCount[WeekIndex],57)&gt;0,SUMIFS(T_StockCount[CountedQty],T_StockCount[RM_Code],$A72,T_StockCount[WeekIndex],57),IF((COUNTIFS(T_SelfStock[RM_Code],$A72,T_SelfStock[WeekIndex],57)&gt;0)*(COUNTIFS(T_TTAFStock[RM_Code],$A72,T_TTAFStock[WeekIndex],57)&gt;0)&gt;0,SUMIFS(T_SelfStock[Self_Qty],T_SelfStock[RM_Code],$A72,T_SelfStock[WeekIndex],57)+SUMIFS(T_TTAFStock[TTAF_Qty],T_TTAFStock[RM_Code],$A72,T_TTAFStock[WeekIndex],57),BE72+'Grid_Incoming'!BF72-'Grid_Requirement'!BF72))</f>
        <v/>
      </c>
      <c r="BG72">
        <f>IF(COUNTIFS(T_StockCount[RM_Code],$A72,T_StockCount[WeekIndex],58)&gt;0,SUMIFS(T_StockCount[CountedQty],T_StockCount[RM_Code],$A72,T_StockCount[WeekIndex],58),IF((COUNTIFS(T_SelfStock[RM_Code],$A72,T_SelfStock[WeekIndex],58)&gt;0)*(COUNTIFS(T_TTAFStock[RM_Code],$A72,T_TTAFStock[WeekIndex],58)&gt;0)&gt;0,SUMIFS(T_SelfStock[Self_Qty],T_SelfStock[RM_Code],$A72,T_SelfStock[WeekIndex],58)+SUMIFS(T_TTAFStock[TTAF_Qty],T_TTAFStock[RM_Code],$A72,T_TTAFStock[WeekIndex],58),BF72+'Grid_Incoming'!BG72-'Grid_Requirement'!BG72))</f>
        <v/>
      </c>
      <c r="BH72">
        <f>IF(COUNTIFS(T_StockCount[RM_Code],$A72,T_StockCount[WeekIndex],59)&gt;0,SUMIFS(T_StockCount[CountedQty],T_StockCount[RM_Code],$A72,T_StockCount[WeekIndex],59),IF((COUNTIFS(T_SelfStock[RM_Code],$A72,T_SelfStock[WeekIndex],59)&gt;0)*(COUNTIFS(T_TTAFStock[RM_Code],$A72,T_TTAFStock[WeekIndex],59)&gt;0)&gt;0,SUMIFS(T_SelfStock[Self_Qty],T_SelfStock[RM_Code],$A72,T_SelfStock[WeekIndex],59)+SUMIFS(T_TTAFStock[TTAF_Qty],T_TTAFStock[RM_Code],$A72,T_TTAFStock[WeekIndex],59),BG72+'Grid_Incoming'!BH72-'Grid_Requirement'!BH72))</f>
        <v/>
      </c>
      <c r="BI72">
        <f>IF(COUNTIFS(T_StockCount[RM_Code],$A72,T_StockCount[WeekIndex],60)&gt;0,SUMIFS(T_StockCount[CountedQty],T_StockCount[RM_Code],$A72,T_StockCount[WeekIndex],60),IF((COUNTIFS(T_SelfStock[RM_Code],$A72,T_SelfStock[WeekIndex],60)&gt;0)*(COUNTIFS(T_TTAFStock[RM_Code],$A72,T_TTAFStock[WeekIndex],60)&gt;0)&gt;0,SUMIFS(T_SelfStock[Self_Qty],T_SelfStock[RM_Code],$A72,T_SelfStock[WeekIndex],60)+SUMIFS(T_TTAFStock[TTAF_Qty],T_TTAFStock[RM_Code],$A72,T_TTAFStock[WeekIndex],60),BH72+'Grid_Incoming'!BI72-'Grid_Requirement'!BI72))</f>
        <v/>
      </c>
      <c r="BJ72">
        <f>IF(COUNTIFS(T_StockCount[RM_Code],$A72,T_StockCount[WeekIndex],61)&gt;0,SUMIFS(T_StockCount[CountedQty],T_StockCount[RM_Code],$A72,T_StockCount[WeekIndex],61),IF((COUNTIFS(T_SelfStock[RM_Code],$A72,T_SelfStock[WeekIndex],61)&gt;0)*(COUNTIFS(T_TTAFStock[RM_Code],$A72,T_TTAFStock[WeekIndex],61)&gt;0)&gt;0,SUMIFS(T_SelfStock[Self_Qty],T_SelfStock[RM_Code],$A72,T_SelfStock[WeekIndex],61)+SUMIFS(T_TTAFStock[TTAF_Qty],T_TTAFStock[RM_Code],$A72,T_TTAFStock[WeekIndex],61),BI72+'Grid_Incoming'!BJ72-'Grid_Requirement'!BJ72))</f>
        <v/>
      </c>
      <c r="BK72">
        <f>IF(COUNTIFS(T_StockCount[RM_Code],$A72,T_StockCount[WeekIndex],62)&gt;0,SUMIFS(T_StockCount[CountedQty],T_StockCount[RM_Code],$A72,T_StockCount[WeekIndex],62),IF((COUNTIFS(T_SelfStock[RM_Code],$A72,T_SelfStock[WeekIndex],62)&gt;0)*(COUNTIFS(T_TTAFStock[RM_Code],$A72,T_TTAFStock[WeekIndex],62)&gt;0)&gt;0,SUMIFS(T_SelfStock[Self_Qty],T_SelfStock[RM_Code],$A72,T_SelfStock[WeekIndex],62)+SUMIFS(T_TTAFStock[TTAF_Qty],T_TTAFStock[RM_Code],$A72,T_TTAFStock[WeekIndex],62),BJ72+'Grid_Incoming'!BK72-'Grid_Requirement'!BK72))</f>
        <v/>
      </c>
      <c r="BL72">
        <f>IF(COUNTIFS(T_StockCount[RM_Code],$A72,T_StockCount[WeekIndex],63)&gt;0,SUMIFS(T_StockCount[CountedQty],T_StockCount[RM_Code],$A72,T_StockCount[WeekIndex],63),IF((COUNTIFS(T_SelfStock[RM_Code],$A72,T_SelfStock[WeekIndex],63)&gt;0)*(COUNTIFS(T_TTAFStock[RM_Code],$A72,T_TTAFStock[WeekIndex],63)&gt;0)&gt;0,SUMIFS(T_SelfStock[Self_Qty],T_SelfStock[RM_Code],$A72,T_SelfStock[WeekIndex],63)+SUMIFS(T_TTAFStock[TTAF_Qty],T_TTAFStock[RM_Code],$A72,T_TTAFStock[WeekIndex],63),BK72+'Grid_Incoming'!BL72-'Grid_Requirement'!BL72))</f>
        <v/>
      </c>
      <c r="BM72">
        <f>IF(COUNTIFS(T_StockCount[RM_Code],$A72,T_StockCount[WeekIndex],64)&gt;0,SUMIFS(T_StockCount[CountedQty],T_StockCount[RM_Code],$A72,T_StockCount[WeekIndex],64),IF((COUNTIFS(T_SelfStock[RM_Code],$A72,T_SelfStock[WeekIndex],64)&gt;0)*(COUNTIFS(T_TTAFStock[RM_Code],$A72,T_TTAFStock[WeekIndex],64)&gt;0)&gt;0,SUMIFS(T_SelfStock[Self_Qty],T_SelfStock[RM_Code],$A72,T_SelfStock[WeekIndex],64)+SUMIFS(T_TTAFStock[TTAF_Qty],T_TTAFStock[RM_Code],$A72,T_TTAFStock[WeekIndex],64),BL72+'Grid_Incoming'!BM72-'Grid_Requirement'!BM72))</f>
        <v/>
      </c>
      <c r="BN72">
        <f>IF(COUNTIFS(T_StockCount[RM_Code],$A72,T_StockCount[WeekIndex],65)&gt;0,SUMIFS(T_StockCount[CountedQty],T_StockCount[RM_Code],$A72,T_StockCount[WeekIndex],65),IF((COUNTIFS(T_SelfStock[RM_Code],$A72,T_SelfStock[WeekIndex],65)&gt;0)*(COUNTIFS(T_TTAFStock[RM_Code],$A72,T_TTAFStock[WeekIndex],65)&gt;0)&gt;0,SUMIFS(T_SelfStock[Self_Qty],T_SelfStock[RM_Code],$A72,T_SelfStock[WeekIndex],65)+SUMIFS(T_TTAFStock[TTAF_Qty],T_TTAFStock[RM_Code],$A72,T_TTAFStock[WeekIndex],65),BM72+'Grid_Incoming'!BN72-'Grid_Requirement'!BN72))</f>
        <v/>
      </c>
      <c r="BO72">
        <f>IF(COUNTIFS(T_StockCount[RM_Code],$A72,T_StockCount[WeekIndex],66)&gt;0,SUMIFS(T_StockCount[CountedQty],T_StockCount[RM_Code],$A72,T_StockCount[WeekIndex],66),IF((COUNTIFS(T_SelfStock[RM_Code],$A72,T_SelfStock[WeekIndex],66)&gt;0)*(COUNTIFS(T_TTAFStock[RM_Code],$A72,T_TTAFStock[WeekIndex],66)&gt;0)&gt;0,SUMIFS(T_SelfStock[Self_Qty],T_SelfStock[RM_Code],$A72,T_SelfStock[WeekIndex],66)+SUMIFS(T_TTAFStock[TTAF_Qty],T_TTAFStock[RM_Code],$A72,T_TTAFStock[WeekIndex],66),BN72+'Grid_Incoming'!BO72-'Grid_Requirement'!BO72))</f>
        <v/>
      </c>
      <c r="BP72">
        <f>IF(COUNTIFS(T_StockCount[RM_Code],$A72,T_StockCount[WeekIndex],67)&gt;0,SUMIFS(T_StockCount[CountedQty],T_StockCount[RM_Code],$A72,T_StockCount[WeekIndex],67),IF((COUNTIFS(T_SelfStock[RM_Code],$A72,T_SelfStock[WeekIndex],67)&gt;0)*(COUNTIFS(T_TTAFStock[RM_Code],$A72,T_TTAFStock[WeekIndex],67)&gt;0)&gt;0,SUMIFS(T_SelfStock[Self_Qty],T_SelfStock[RM_Code],$A72,T_SelfStock[WeekIndex],67)+SUMIFS(T_TTAFStock[TTAF_Qty],T_TTAFStock[RM_Code],$A72,T_TTAFStock[WeekIndex],67),BO72+'Grid_Incoming'!BP72-'Grid_Requirement'!BP72))</f>
        <v/>
      </c>
      <c r="BQ72">
        <f>IF(COUNTIFS(T_StockCount[RM_Code],$A72,T_StockCount[WeekIndex],68)&gt;0,SUMIFS(T_StockCount[CountedQty],T_StockCount[RM_Code],$A72,T_StockCount[WeekIndex],68),IF((COUNTIFS(T_SelfStock[RM_Code],$A72,T_SelfStock[WeekIndex],68)&gt;0)*(COUNTIFS(T_TTAFStock[RM_Code],$A72,T_TTAFStock[WeekIndex],68)&gt;0)&gt;0,SUMIFS(T_SelfStock[Self_Qty],T_SelfStock[RM_Code],$A72,T_SelfStock[WeekIndex],68)+SUMIFS(T_TTAFStock[TTAF_Qty],T_TTAFStock[RM_Code],$A72,T_TTAFStock[WeekIndex],68),BP72+'Grid_Incoming'!BQ72-'Grid_Requirement'!BQ72))</f>
        <v/>
      </c>
      <c r="BR72">
        <f>IF(COUNTIFS(T_StockCount[RM_Code],$A72,T_StockCount[WeekIndex],69)&gt;0,SUMIFS(T_StockCount[CountedQty],T_StockCount[RM_Code],$A72,T_StockCount[WeekIndex],69),IF((COUNTIFS(T_SelfStock[RM_Code],$A72,T_SelfStock[WeekIndex],69)&gt;0)*(COUNTIFS(T_TTAFStock[RM_Code],$A72,T_TTAFStock[WeekIndex],69)&gt;0)&gt;0,SUMIFS(T_SelfStock[Self_Qty],T_SelfStock[RM_Code],$A72,T_SelfStock[WeekIndex],69)+SUMIFS(T_TTAFStock[TTAF_Qty],T_TTAFStock[RM_Code],$A72,T_TTAFStock[WeekIndex],69),BQ72+'Grid_Incoming'!BR72-'Grid_Requirement'!BR72))</f>
        <v/>
      </c>
      <c r="BS72">
        <f>IF(COUNTIFS(T_StockCount[RM_Code],$A72,T_StockCount[WeekIndex],70)&gt;0,SUMIFS(T_StockCount[CountedQty],T_StockCount[RM_Code],$A72,T_StockCount[WeekIndex],70),IF((COUNTIFS(T_SelfStock[RM_Code],$A72,T_SelfStock[WeekIndex],70)&gt;0)*(COUNTIFS(T_TTAFStock[RM_Code],$A72,T_TTAFStock[WeekIndex],70)&gt;0)&gt;0,SUMIFS(T_SelfStock[Self_Qty],T_SelfStock[RM_Code],$A72,T_SelfStock[WeekIndex],70)+SUMIFS(T_TTAFStock[TTAF_Qty],T_TTAFStock[RM_Code],$A72,T_TTAFStock[WeekIndex],70),BR72+'Grid_Incoming'!BS72-'Grid_Requirement'!BS72))</f>
        <v/>
      </c>
      <c r="BT72">
        <f>IF(COUNTIFS(T_StockCount[RM_Code],$A72,T_StockCount[WeekIndex],71)&gt;0,SUMIFS(T_StockCount[CountedQty],T_StockCount[RM_Code],$A72,T_StockCount[WeekIndex],71),IF((COUNTIFS(T_SelfStock[RM_Code],$A72,T_SelfStock[WeekIndex],71)&gt;0)*(COUNTIFS(T_TTAFStock[RM_Code],$A72,T_TTAFStock[WeekIndex],71)&gt;0)&gt;0,SUMIFS(T_SelfStock[Self_Qty],T_SelfStock[RM_Code],$A72,T_SelfStock[WeekIndex],71)+SUMIFS(T_TTAFStock[TTAF_Qty],T_TTAFStock[RM_Code],$A72,T_TTAFStock[WeekIndex],71),BS72+'Grid_Incoming'!BT72-'Grid_Requirement'!BT72))</f>
        <v/>
      </c>
      <c r="BU72">
        <f>IF(COUNTIFS(T_StockCount[RM_Code],$A72,T_StockCount[WeekIndex],72)&gt;0,SUMIFS(T_StockCount[CountedQty],T_StockCount[RM_Code],$A72,T_StockCount[WeekIndex],72),IF((COUNTIFS(T_SelfStock[RM_Code],$A72,T_SelfStock[WeekIndex],72)&gt;0)*(COUNTIFS(T_TTAFStock[RM_Code],$A72,T_TTAFStock[WeekIndex],72)&gt;0)&gt;0,SUMIFS(T_SelfStock[Self_Qty],T_SelfStock[RM_Code],$A72,T_SelfStock[WeekIndex],72)+SUMIFS(T_TTAFStock[TTAF_Qty],T_TTAFStock[RM_Code],$A72,T_TTAFStock[WeekIndex],72),BT72+'Grid_Incoming'!BU72-'Grid_Requirement'!BU72))</f>
        <v/>
      </c>
      <c r="BV72">
        <f>IF(COUNTIFS(T_StockCount[RM_Code],$A72,T_StockCount[WeekIndex],73)&gt;0,SUMIFS(T_StockCount[CountedQty],T_StockCount[RM_Code],$A72,T_StockCount[WeekIndex],73),IF((COUNTIFS(T_SelfStock[RM_Code],$A72,T_SelfStock[WeekIndex],73)&gt;0)*(COUNTIFS(T_TTAFStock[RM_Code],$A72,T_TTAFStock[WeekIndex],73)&gt;0)&gt;0,SUMIFS(T_SelfStock[Self_Qty],T_SelfStock[RM_Code],$A72,T_SelfStock[WeekIndex],73)+SUMIFS(T_TTAFStock[TTAF_Qty],T_TTAFStock[RM_Code],$A72,T_TTAFStock[WeekIndex],73),BU72+'Grid_Incoming'!BV72-'Grid_Requirement'!BV72))</f>
        <v/>
      </c>
      <c r="BW72">
        <f>IF(COUNTIFS(T_StockCount[RM_Code],$A72,T_StockCount[WeekIndex],74)&gt;0,SUMIFS(T_StockCount[CountedQty],T_StockCount[RM_Code],$A72,T_StockCount[WeekIndex],74),IF((COUNTIFS(T_SelfStock[RM_Code],$A72,T_SelfStock[WeekIndex],74)&gt;0)*(COUNTIFS(T_TTAFStock[RM_Code],$A72,T_TTAFStock[WeekIndex],74)&gt;0)&gt;0,SUMIFS(T_SelfStock[Self_Qty],T_SelfStock[RM_Code],$A72,T_SelfStock[WeekIndex],74)+SUMIFS(T_TTAFStock[TTAF_Qty],T_TTAFStock[RM_Code],$A72,T_TTAFStock[WeekIndex],74),BV72+'Grid_Incoming'!BW72-'Grid_Requirement'!BW72))</f>
        <v/>
      </c>
      <c r="BX72">
        <f>IF(COUNTIFS(T_StockCount[RM_Code],$A72,T_StockCount[WeekIndex],75)&gt;0,SUMIFS(T_StockCount[CountedQty],T_StockCount[RM_Code],$A72,T_StockCount[WeekIndex],75),IF((COUNTIFS(T_SelfStock[RM_Code],$A72,T_SelfStock[WeekIndex],75)&gt;0)*(COUNTIFS(T_TTAFStock[RM_Code],$A72,T_TTAFStock[WeekIndex],75)&gt;0)&gt;0,SUMIFS(T_SelfStock[Self_Qty],T_SelfStock[RM_Code],$A72,T_SelfStock[WeekIndex],75)+SUMIFS(T_TTAFStock[TTAF_Qty],T_TTAFStock[RM_Code],$A72,T_TTAFStock[WeekIndex],75),BW72+'Grid_Incoming'!BX72-'Grid_Requirement'!BX72))</f>
        <v/>
      </c>
      <c r="BY72">
        <f>IF(COUNTIFS(T_StockCount[RM_Code],$A72,T_StockCount[WeekIndex],76)&gt;0,SUMIFS(T_StockCount[CountedQty],T_StockCount[RM_Code],$A72,T_StockCount[WeekIndex],76),IF((COUNTIFS(T_SelfStock[RM_Code],$A72,T_SelfStock[WeekIndex],76)&gt;0)*(COUNTIFS(T_TTAFStock[RM_Code],$A72,T_TTAFStock[WeekIndex],76)&gt;0)&gt;0,SUMIFS(T_SelfStock[Self_Qty],T_SelfStock[RM_Code],$A72,T_SelfStock[WeekIndex],76)+SUMIFS(T_TTAFStock[TTAF_Qty],T_TTAFStock[RM_Code],$A72,T_TTAFStock[WeekIndex],76),BX72+'Grid_Incoming'!BY72-'Grid_Requirement'!BY72))</f>
        <v/>
      </c>
      <c r="BZ72">
        <f>IF(COUNTIFS(T_StockCount[RM_Code],$A72,T_StockCount[WeekIndex],77)&gt;0,SUMIFS(T_StockCount[CountedQty],T_StockCount[RM_Code],$A72,T_StockCount[WeekIndex],77),IF((COUNTIFS(T_SelfStock[RM_Code],$A72,T_SelfStock[WeekIndex],77)&gt;0)*(COUNTIFS(T_TTAFStock[RM_Code],$A72,T_TTAFStock[WeekIndex],77)&gt;0)&gt;0,SUMIFS(T_SelfStock[Self_Qty],T_SelfStock[RM_Code],$A72,T_SelfStock[WeekIndex],77)+SUMIFS(T_TTAFStock[TTAF_Qty],T_TTAFStock[RM_Code],$A72,T_TTAFStock[WeekIndex],77),BY72+'Grid_Incoming'!BZ72-'Grid_Requirement'!BZ72))</f>
        <v/>
      </c>
      <c r="CA72">
        <f>IF(COUNTIFS(T_StockCount[RM_Code],$A72,T_StockCount[WeekIndex],78)&gt;0,SUMIFS(T_StockCount[CountedQty],T_StockCount[RM_Code],$A72,T_StockCount[WeekIndex],78),IF((COUNTIFS(T_SelfStock[RM_Code],$A72,T_SelfStock[WeekIndex],78)&gt;0)*(COUNTIFS(T_TTAFStock[RM_Code],$A72,T_TTAFStock[WeekIndex],78)&gt;0)&gt;0,SUMIFS(T_SelfStock[Self_Qty],T_SelfStock[RM_Code],$A72,T_SelfStock[WeekIndex],78)+SUMIFS(T_TTAFStock[TTAF_Qty],T_TTAFStock[RM_Code],$A72,T_TTAFStock[WeekIndex],78),BZ72+'Grid_Incoming'!CA72-'Grid_Requirement'!CA72))</f>
        <v/>
      </c>
      <c r="CB72">
        <f>IF(COUNTIFS(T_StockCount[RM_Code],$A72,T_StockCount[WeekIndex],79)&gt;0,SUMIFS(T_StockCount[CountedQty],T_StockCount[RM_Code],$A72,T_StockCount[WeekIndex],79),IF((COUNTIFS(T_SelfStock[RM_Code],$A72,T_SelfStock[WeekIndex],79)&gt;0)*(COUNTIFS(T_TTAFStock[RM_Code],$A72,T_TTAFStock[WeekIndex],79)&gt;0)&gt;0,SUMIFS(T_SelfStock[Self_Qty],T_SelfStock[RM_Code],$A72,T_SelfStock[WeekIndex],79)+SUMIFS(T_TTAFStock[TTAF_Qty],T_TTAFStock[RM_Code],$A72,T_TTAFStock[WeekIndex],79),CA72+'Grid_Incoming'!CB72-'Grid_Requirement'!CB72))</f>
        <v/>
      </c>
      <c r="CC72">
        <f>IF(COUNTIFS(T_StockCount[RM_Code],$A72,T_StockCount[WeekIndex],80)&gt;0,SUMIFS(T_StockCount[CountedQty],T_StockCount[RM_Code],$A72,T_StockCount[WeekIndex],80),IF((COUNTIFS(T_SelfStock[RM_Code],$A72,T_SelfStock[WeekIndex],80)&gt;0)*(COUNTIFS(T_TTAFStock[RM_Code],$A72,T_TTAFStock[WeekIndex],80)&gt;0)&gt;0,SUMIFS(T_SelfStock[Self_Qty],T_SelfStock[RM_Code],$A72,T_SelfStock[WeekIndex],80)+SUMIFS(T_TTAFStock[TTAF_Qty],T_TTAFStock[RM_Code],$A72,T_TTAFStock[WeekIndex],80),CB72+'Grid_Incoming'!CC72-'Grid_Requirement'!CC72))</f>
        <v/>
      </c>
      <c r="CD72">
        <f>IF(COUNTIFS(T_StockCount[RM_Code],$A72,T_StockCount[WeekIndex],81)&gt;0,SUMIFS(T_StockCount[CountedQty],T_StockCount[RM_Code],$A72,T_StockCount[WeekIndex],81),IF((COUNTIFS(T_SelfStock[RM_Code],$A72,T_SelfStock[WeekIndex],81)&gt;0)*(COUNTIFS(T_TTAFStock[RM_Code],$A72,T_TTAFStock[WeekIndex],81)&gt;0)&gt;0,SUMIFS(T_SelfStock[Self_Qty],T_SelfStock[RM_Code],$A72,T_SelfStock[WeekIndex],81)+SUMIFS(T_TTAFStock[TTAF_Qty],T_TTAFStock[RM_Code],$A72,T_TTAFStock[WeekIndex],81),CC72+'Grid_Incoming'!CD72-'Grid_Requirement'!CD72))</f>
        <v/>
      </c>
      <c r="CE72">
        <f>IF(COUNTIFS(T_StockCount[RM_Code],$A72,T_StockCount[WeekIndex],82)&gt;0,SUMIFS(T_StockCount[CountedQty],T_StockCount[RM_Code],$A72,T_StockCount[WeekIndex],82),IF((COUNTIFS(T_SelfStock[RM_Code],$A72,T_SelfStock[WeekIndex],82)&gt;0)*(COUNTIFS(T_TTAFStock[RM_Code],$A72,T_TTAFStock[WeekIndex],82)&gt;0)&gt;0,SUMIFS(T_SelfStock[Self_Qty],T_SelfStock[RM_Code],$A72,T_SelfStock[WeekIndex],82)+SUMIFS(T_TTAFStock[TTAF_Qty],T_TTAFStock[RM_Code],$A72,T_TTAFStock[WeekIndex],82),CD72+'Grid_Incoming'!CE72-'Grid_Requirement'!CE72))</f>
        <v/>
      </c>
      <c r="CF72">
        <f>IF(COUNTIFS(T_StockCount[RM_Code],$A72,T_StockCount[WeekIndex],83)&gt;0,SUMIFS(T_StockCount[CountedQty],T_StockCount[RM_Code],$A72,T_StockCount[WeekIndex],83),IF((COUNTIFS(T_SelfStock[RM_Code],$A72,T_SelfStock[WeekIndex],83)&gt;0)*(COUNTIFS(T_TTAFStock[RM_Code],$A72,T_TTAFStock[WeekIndex],83)&gt;0)&gt;0,SUMIFS(T_SelfStock[Self_Qty],T_SelfStock[RM_Code],$A72,T_SelfStock[WeekIndex],83)+SUMIFS(T_TTAFStock[TTAF_Qty],T_TTAFStock[RM_Code],$A72,T_TTAFStock[WeekIndex],83),CE72+'Grid_Incoming'!CF72-'Grid_Requirement'!CF72))</f>
        <v/>
      </c>
      <c r="CG72">
        <f>IF(COUNTIFS(T_StockCount[RM_Code],$A72,T_StockCount[WeekIndex],84)&gt;0,SUMIFS(T_StockCount[CountedQty],T_StockCount[RM_Code],$A72,T_StockCount[WeekIndex],84),IF((COUNTIFS(T_SelfStock[RM_Code],$A72,T_SelfStock[WeekIndex],84)&gt;0)*(COUNTIFS(T_TTAFStock[RM_Code],$A72,T_TTAFStock[WeekIndex],84)&gt;0)&gt;0,SUMIFS(T_SelfStock[Self_Qty],T_SelfStock[RM_Code],$A72,T_SelfStock[WeekIndex],84)+SUMIFS(T_TTAFStock[TTAF_Qty],T_TTAFStock[RM_Code],$A72,T_TTAFStock[WeekIndex],84),CF72+'Grid_Incoming'!CG72-'Grid_Requirement'!CG72))</f>
        <v/>
      </c>
      <c r="CH72">
        <f>IF(COUNTIFS(T_StockCount[RM_Code],$A72,T_StockCount[WeekIndex],85)&gt;0,SUMIFS(T_StockCount[CountedQty],T_StockCount[RM_Code],$A72,T_StockCount[WeekIndex],85),IF((COUNTIFS(T_SelfStock[RM_Code],$A72,T_SelfStock[WeekIndex],85)&gt;0)*(COUNTIFS(T_TTAFStock[RM_Code],$A72,T_TTAFStock[WeekIndex],85)&gt;0)&gt;0,SUMIFS(T_SelfStock[Self_Qty],T_SelfStock[RM_Code],$A72,T_SelfStock[WeekIndex],85)+SUMIFS(T_TTAFStock[TTAF_Qty],T_TTAFStock[RM_Code],$A72,T_TTAFStock[WeekIndex],85),CG72+'Grid_Incoming'!CH72-'Grid_Requirement'!CH72))</f>
        <v/>
      </c>
      <c r="CI72">
        <f>IF(COUNTIFS(T_StockCount[RM_Code],$A72,T_StockCount[WeekIndex],86)&gt;0,SUMIFS(T_StockCount[CountedQty],T_StockCount[RM_Code],$A72,T_StockCount[WeekIndex],86),IF((COUNTIFS(T_SelfStock[RM_Code],$A72,T_SelfStock[WeekIndex],86)&gt;0)*(COUNTIFS(T_TTAFStock[RM_Code],$A72,T_TTAFStock[WeekIndex],86)&gt;0)&gt;0,SUMIFS(T_SelfStock[Self_Qty],T_SelfStock[RM_Code],$A72,T_SelfStock[WeekIndex],86)+SUMIFS(T_TTAFStock[TTAF_Qty],T_TTAFStock[RM_Code],$A72,T_TTAFStock[WeekIndex],86),CH72+'Grid_Incoming'!CI72-'Grid_Requirement'!CI72))</f>
        <v/>
      </c>
      <c r="CJ72">
        <f>IF(COUNTIFS(T_StockCount[RM_Code],$A72,T_StockCount[WeekIndex],87)&gt;0,SUMIFS(T_StockCount[CountedQty],T_StockCount[RM_Code],$A72,T_StockCount[WeekIndex],87),IF((COUNTIFS(T_SelfStock[RM_Code],$A72,T_SelfStock[WeekIndex],87)&gt;0)*(COUNTIFS(T_TTAFStock[RM_Code],$A72,T_TTAFStock[WeekIndex],87)&gt;0)&gt;0,SUMIFS(T_SelfStock[Self_Qty],T_SelfStock[RM_Code],$A72,T_SelfStock[WeekIndex],87)+SUMIFS(T_TTAFStock[TTAF_Qty],T_TTAFStock[RM_Code],$A72,T_TTAFStock[WeekIndex],87),CI72+'Grid_Incoming'!CJ72-'Grid_Requirement'!CJ72))</f>
        <v/>
      </c>
      <c r="CK72">
        <f>IF(COUNTIFS(T_StockCount[RM_Code],$A72,T_StockCount[WeekIndex],88)&gt;0,SUMIFS(T_StockCount[CountedQty],T_StockCount[RM_Code],$A72,T_StockCount[WeekIndex],88),IF((COUNTIFS(T_SelfStock[RM_Code],$A72,T_SelfStock[WeekIndex],88)&gt;0)*(COUNTIFS(T_TTAFStock[RM_Code],$A72,T_TTAFStock[WeekIndex],88)&gt;0)&gt;0,SUMIFS(T_SelfStock[Self_Qty],T_SelfStock[RM_Code],$A72,T_SelfStock[WeekIndex],88)+SUMIFS(T_TTAFStock[TTAF_Qty],T_TTAFStock[RM_Code],$A72,T_TTAFStock[WeekIndex],88),CJ72+'Grid_Incoming'!CK72-'Grid_Requirement'!CK72))</f>
        <v/>
      </c>
      <c r="CL72">
        <f>IF(COUNTIFS(T_StockCount[RM_Code],$A72,T_StockCount[WeekIndex],89)&gt;0,SUMIFS(T_StockCount[CountedQty],T_StockCount[RM_Code],$A72,T_StockCount[WeekIndex],89),IF((COUNTIFS(T_SelfStock[RM_Code],$A72,T_SelfStock[WeekIndex],89)&gt;0)*(COUNTIFS(T_TTAFStock[RM_Code],$A72,T_TTAFStock[WeekIndex],89)&gt;0)&gt;0,SUMIFS(T_SelfStock[Self_Qty],T_SelfStock[RM_Code],$A72,T_SelfStock[WeekIndex],89)+SUMIFS(T_TTAFStock[TTAF_Qty],T_TTAFStock[RM_Code],$A72,T_TTAFStock[WeekIndex],89),CK72+'Grid_Incoming'!CL72-'Grid_Requirement'!CL72))</f>
        <v/>
      </c>
      <c r="CM72">
        <f>IF(COUNTIFS(T_StockCount[RM_Code],$A72,T_StockCount[WeekIndex],90)&gt;0,SUMIFS(T_StockCount[CountedQty],T_StockCount[RM_Code],$A72,T_StockCount[WeekIndex],90),IF((COUNTIFS(T_SelfStock[RM_Code],$A72,T_SelfStock[WeekIndex],90)&gt;0)*(COUNTIFS(T_TTAFStock[RM_Code],$A72,T_TTAFStock[WeekIndex],90)&gt;0)&gt;0,SUMIFS(T_SelfStock[Self_Qty],T_SelfStock[RM_Code],$A72,T_SelfStock[WeekIndex],90)+SUMIFS(T_TTAFStock[TTAF_Qty],T_TTAFStock[RM_Code],$A72,T_TTAFStock[WeekIndex],90),CL72+'Grid_Incoming'!CM72-'Grid_Requirement'!CM72))</f>
        <v/>
      </c>
      <c r="CN72">
        <f>IF(COUNTIFS(T_StockCount[RM_Code],$A72,T_StockCount[WeekIndex],91)&gt;0,SUMIFS(T_StockCount[CountedQty],T_StockCount[RM_Code],$A72,T_StockCount[WeekIndex],91),IF((COUNTIFS(T_SelfStock[RM_Code],$A72,T_SelfStock[WeekIndex],91)&gt;0)*(COUNTIFS(T_TTAFStock[RM_Code],$A72,T_TTAFStock[WeekIndex],91)&gt;0)&gt;0,SUMIFS(T_SelfStock[Self_Qty],T_SelfStock[RM_Code],$A72,T_SelfStock[WeekIndex],91)+SUMIFS(T_TTAFStock[TTAF_Qty],T_TTAFStock[RM_Code],$A72,T_TTAFStock[WeekIndex],91),CM72+'Grid_Incoming'!CN72-'Grid_Requirement'!CN72))</f>
        <v/>
      </c>
      <c r="CO72">
        <f>IF(COUNTIFS(T_StockCount[RM_Code],$A72,T_StockCount[WeekIndex],92)&gt;0,SUMIFS(T_StockCount[CountedQty],T_StockCount[RM_Code],$A72,T_StockCount[WeekIndex],92),IF((COUNTIFS(T_SelfStock[RM_Code],$A72,T_SelfStock[WeekIndex],92)&gt;0)*(COUNTIFS(T_TTAFStock[RM_Code],$A72,T_TTAFStock[WeekIndex],92)&gt;0)&gt;0,SUMIFS(T_SelfStock[Self_Qty],T_SelfStock[RM_Code],$A72,T_SelfStock[WeekIndex],92)+SUMIFS(T_TTAFStock[TTAF_Qty],T_TTAFStock[RM_Code],$A72,T_TTAFStock[WeekIndex],92),CN72+'Grid_Incoming'!CO72-'Grid_Requirement'!CO72))</f>
        <v/>
      </c>
      <c r="CP72">
        <f>IF(COUNTIFS(T_StockCount[RM_Code],$A72,T_StockCount[WeekIndex],93)&gt;0,SUMIFS(T_StockCount[CountedQty],T_StockCount[RM_Code],$A72,T_StockCount[WeekIndex],93),IF((COUNTIFS(T_SelfStock[RM_Code],$A72,T_SelfStock[WeekIndex],93)&gt;0)*(COUNTIFS(T_TTAFStock[RM_Code],$A72,T_TTAFStock[WeekIndex],93)&gt;0)&gt;0,SUMIFS(T_SelfStock[Self_Qty],T_SelfStock[RM_Code],$A72,T_SelfStock[WeekIndex],93)+SUMIFS(T_TTAFStock[TTAF_Qty],T_TTAFStock[RM_Code],$A72,T_TTAFStock[WeekIndex],93),CO72+'Grid_Incoming'!CP72-'Grid_Requirement'!CP72))</f>
        <v/>
      </c>
      <c r="CQ72">
        <f>IF(COUNTIFS(T_StockCount[RM_Code],$A72,T_StockCount[WeekIndex],94)&gt;0,SUMIFS(T_StockCount[CountedQty],T_StockCount[RM_Code],$A72,T_StockCount[WeekIndex],94),IF((COUNTIFS(T_SelfStock[RM_Code],$A72,T_SelfStock[WeekIndex],94)&gt;0)*(COUNTIFS(T_TTAFStock[RM_Code],$A72,T_TTAFStock[WeekIndex],94)&gt;0)&gt;0,SUMIFS(T_SelfStock[Self_Qty],T_SelfStock[RM_Code],$A72,T_SelfStock[WeekIndex],94)+SUMIFS(T_TTAFStock[TTAF_Qty],T_TTAFStock[RM_Code],$A72,T_TTAFStock[WeekIndex],94),CP72+'Grid_Incoming'!CQ72-'Grid_Requirement'!CQ72))</f>
        <v/>
      </c>
      <c r="CR72">
        <f>IF(COUNTIFS(T_StockCount[RM_Code],$A72,T_StockCount[WeekIndex],95)&gt;0,SUMIFS(T_StockCount[CountedQty],T_StockCount[RM_Code],$A72,T_StockCount[WeekIndex],95),IF((COUNTIFS(T_SelfStock[RM_Code],$A72,T_SelfStock[WeekIndex],95)&gt;0)*(COUNTIFS(T_TTAFStock[RM_Code],$A72,T_TTAFStock[WeekIndex],95)&gt;0)&gt;0,SUMIFS(T_SelfStock[Self_Qty],T_SelfStock[RM_Code],$A72,T_SelfStock[WeekIndex],95)+SUMIFS(T_TTAFStock[TTAF_Qty],T_TTAFStock[RM_Code],$A72,T_TTAFStock[WeekIndex],95),CQ72+'Grid_Incoming'!CR72-'Grid_Requirement'!CR72))</f>
        <v/>
      </c>
      <c r="CS72">
        <f>IF(COUNTIFS(T_StockCount[RM_Code],$A72,T_StockCount[WeekIndex],96)&gt;0,SUMIFS(T_StockCount[CountedQty],T_StockCount[RM_Code],$A72,T_StockCount[WeekIndex],96),IF((COUNTIFS(T_SelfStock[RM_Code],$A72,T_SelfStock[WeekIndex],96)&gt;0)*(COUNTIFS(T_TTAFStock[RM_Code],$A72,T_TTAFStock[WeekIndex],96)&gt;0)&gt;0,SUMIFS(T_SelfStock[Self_Qty],T_SelfStock[RM_Code],$A72,T_SelfStock[WeekIndex],96)+SUMIFS(T_TTAFStock[TTAF_Qty],T_TTAFStock[RM_Code],$A72,T_TTAFStock[WeekIndex],96),CR72+'Grid_Incoming'!CS72-'Grid_Requirement'!CS72))</f>
        <v/>
      </c>
      <c r="CT72">
        <f>IF(COUNTIFS(T_StockCount[RM_Code],$A72,T_StockCount[WeekIndex],97)&gt;0,SUMIFS(T_StockCount[CountedQty],T_StockCount[RM_Code],$A72,T_StockCount[WeekIndex],97),IF((COUNTIFS(T_SelfStock[RM_Code],$A72,T_SelfStock[WeekIndex],97)&gt;0)*(COUNTIFS(T_TTAFStock[RM_Code],$A72,T_TTAFStock[WeekIndex],97)&gt;0)&gt;0,SUMIFS(T_SelfStock[Self_Qty],T_SelfStock[RM_Code],$A72,T_SelfStock[WeekIndex],97)+SUMIFS(T_TTAFStock[TTAF_Qty],T_TTAFStock[RM_Code],$A72,T_TTAFStock[WeekIndex],97),CS72+'Grid_Incoming'!CT72-'Grid_Requirement'!CT72))</f>
        <v/>
      </c>
      <c r="CU72">
        <f>IF(COUNTIFS(T_StockCount[RM_Code],$A72,T_StockCount[WeekIndex],98)&gt;0,SUMIFS(T_StockCount[CountedQty],T_StockCount[RM_Code],$A72,T_StockCount[WeekIndex],98),IF((COUNTIFS(T_SelfStock[RM_Code],$A72,T_SelfStock[WeekIndex],98)&gt;0)*(COUNTIFS(T_TTAFStock[RM_Code],$A72,T_TTAFStock[WeekIndex],98)&gt;0)&gt;0,SUMIFS(T_SelfStock[Self_Qty],T_SelfStock[RM_Code],$A72,T_SelfStock[WeekIndex],98)+SUMIFS(T_TTAFStock[TTAF_Qty],T_TTAFStock[RM_Code],$A72,T_TTAFStock[WeekIndex],98),CT72+'Grid_Incoming'!CU72-'Grid_Requirement'!CU72))</f>
        <v/>
      </c>
      <c r="CV72">
        <f>IF(COUNTIFS(T_StockCount[RM_Code],$A72,T_StockCount[WeekIndex],99)&gt;0,SUMIFS(T_StockCount[CountedQty],T_StockCount[RM_Code],$A72,T_StockCount[WeekIndex],99),IF((COUNTIFS(T_SelfStock[RM_Code],$A72,T_SelfStock[WeekIndex],99)&gt;0)*(COUNTIFS(T_TTAFStock[RM_Code],$A72,T_TTAFStock[WeekIndex],99)&gt;0)&gt;0,SUMIFS(T_SelfStock[Self_Qty],T_SelfStock[RM_Code],$A72,T_SelfStock[WeekIndex],99)+SUMIFS(T_TTAFStock[TTAF_Qty],T_TTAFStock[RM_Code],$A72,T_TTAFStock[WeekIndex],99),CU72+'Grid_Incoming'!CV72-'Grid_Requirement'!CV72))</f>
        <v/>
      </c>
      <c r="CW72">
        <f>IF(COUNTIFS(T_StockCount[RM_Code],$A72,T_StockCount[WeekIndex],100)&gt;0,SUMIFS(T_StockCount[CountedQty],T_StockCount[RM_Code],$A72,T_StockCount[WeekIndex],100),IF((COUNTIFS(T_SelfStock[RM_Code],$A72,T_SelfStock[WeekIndex],100)&gt;0)*(COUNTIFS(T_TTAFStock[RM_Code],$A72,T_TTAFStock[WeekIndex],100)&gt;0)&gt;0,SUMIFS(T_SelfStock[Self_Qty],T_SelfStock[RM_Code],$A72,T_SelfStock[WeekIndex],100)+SUMIFS(T_TTAFStock[TTAF_Qty],T_TTAFStock[RM_Code],$A72,T_TTAFStock[WeekIndex],100),CV72+'Grid_Incoming'!CW72-'Grid_Requirement'!CW72))</f>
        <v/>
      </c>
      <c r="CX72">
        <f>IF(COUNTIFS(T_StockCount[RM_Code],$A72,T_StockCount[WeekIndex],101)&gt;0,SUMIFS(T_StockCount[CountedQty],T_StockCount[RM_Code],$A72,T_StockCount[WeekIndex],101),IF((COUNTIFS(T_SelfStock[RM_Code],$A72,T_SelfStock[WeekIndex],101)&gt;0)*(COUNTIFS(T_TTAFStock[RM_Code],$A72,T_TTAFStock[WeekIndex],101)&gt;0)&gt;0,SUMIFS(T_SelfStock[Self_Qty],T_SelfStock[RM_Code],$A72,T_SelfStock[WeekIndex],101)+SUMIFS(T_TTAFStock[TTAF_Qty],T_TTAFStock[RM_Code],$A72,T_TTAFStock[WeekIndex],101),CW72+'Grid_Incoming'!CX72-'Grid_Requirement'!CX72))</f>
        <v/>
      </c>
      <c r="CY72">
        <f>IF(COUNTIFS(T_StockCount[RM_Code],$A72,T_StockCount[WeekIndex],102)&gt;0,SUMIFS(T_StockCount[CountedQty],T_StockCount[RM_Code],$A72,T_StockCount[WeekIndex],102),IF((COUNTIFS(T_SelfStock[RM_Code],$A72,T_SelfStock[WeekIndex],102)&gt;0)*(COUNTIFS(T_TTAFStock[RM_Code],$A72,T_TTAFStock[WeekIndex],102)&gt;0)&gt;0,SUMIFS(T_SelfStock[Self_Qty],T_SelfStock[RM_Code],$A72,T_SelfStock[WeekIndex],102)+SUMIFS(T_TTAFStock[TTAF_Qty],T_TTAFStock[RM_Code],$A72,T_TTAFStock[WeekIndex],102),CX72+'Grid_Incoming'!CY72-'Grid_Requirement'!CY72))</f>
        <v/>
      </c>
      <c r="CZ72">
        <f>IF(COUNTIFS(T_StockCount[RM_Code],$A72,T_StockCount[WeekIndex],103)&gt;0,SUMIFS(T_StockCount[CountedQty],T_StockCount[RM_Code],$A72,T_StockCount[WeekIndex],103),IF((COUNTIFS(T_SelfStock[RM_Code],$A72,T_SelfStock[WeekIndex],103)&gt;0)*(COUNTIFS(T_TTAFStock[RM_Code],$A72,T_TTAFStock[WeekIndex],103)&gt;0)&gt;0,SUMIFS(T_SelfStock[Self_Qty],T_SelfStock[RM_Code],$A72,T_SelfStock[WeekIndex],103)+SUMIFS(T_TTAFStock[TTAF_Qty],T_TTAFStock[RM_Code],$A72,T_TTAFStock[WeekIndex],103),CY72+'Grid_Incoming'!CZ72-'Grid_Requirement'!CZ72))</f>
        <v/>
      </c>
      <c r="DA72">
        <f>IF(COUNTIFS(T_StockCount[RM_Code],$A72,T_StockCount[WeekIndex],104)&gt;0,SUMIFS(T_StockCount[CountedQty],T_StockCount[RM_Code],$A72,T_StockCount[WeekIndex],104),IF((COUNTIFS(T_SelfStock[RM_Code],$A72,T_SelfStock[WeekIndex],104)&gt;0)*(COUNTIFS(T_TTAFStock[RM_Code],$A72,T_TTAFStock[WeekIndex],104)&gt;0)&gt;0,SUMIFS(T_SelfStock[Self_Qty],T_SelfStock[RM_Code],$A72,T_SelfStock[WeekIndex],104)+SUMIFS(T_TTAFStock[TTAF_Qty],T_TTAFStock[RM_Code],$A72,T_TTAFStock[WeekIndex],104),CZ72+'Grid_Incoming'!DA72-'Grid_Requirement'!DA72))</f>
        <v/>
      </c>
    </row>
    <row r="73">
      <c r="A73" t="inlineStr">
        <is>
          <t>846227</t>
        </is>
      </c>
      <c r="B73">
        <f>IF(COUNTIFS(T_StockCount[RM_Code],$A73,T_StockCount[WeekIndex],1)&gt;0,SUMIFS(T_StockCount[CountedQty],T_StockCount[RM_Code],$A73,T_StockCount[WeekIndex],1),IF((COUNTIFS(T_SelfStock[RM_Code],$A73,T_SelfStock[WeekIndex],1)&gt;0)*(COUNTIFS(T_TTAFStock[RM_Code],$A73,T_TTAFStock[WeekIndex],1)&gt;0)&gt;0,SUMIFS(T_SelfStock[Self_Qty],T_SelfStock[RM_Code],$A73,T_SelfStock[WeekIndex],1)+SUMIFS(T_TTAFStock[TTAF_Qty],T_TTAFStock[RM_Code],$A73,T_TTAFStock[WeekIndex],1),IFERROR(INDEX(T_OpeningStock[Opening_Qty],MATCH($A73,T_OpeningStock[RM_Code],0)),0)+'Grid_Incoming'!B73-'Grid_Requirement'!B73))</f>
        <v/>
      </c>
      <c r="C73">
        <f>IF(COUNTIFS(T_StockCount[RM_Code],$A73,T_StockCount[WeekIndex],2)&gt;0,SUMIFS(T_StockCount[CountedQty],T_StockCount[RM_Code],$A73,T_StockCount[WeekIndex],2),IF((COUNTIFS(T_SelfStock[RM_Code],$A73,T_SelfStock[WeekIndex],2)&gt;0)*(COUNTIFS(T_TTAFStock[RM_Code],$A73,T_TTAFStock[WeekIndex],2)&gt;0)&gt;0,SUMIFS(T_SelfStock[Self_Qty],T_SelfStock[RM_Code],$A73,T_SelfStock[WeekIndex],2)+SUMIFS(T_TTAFStock[TTAF_Qty],T_TTAFStock[RM_Code],$A73,T_TTAFStock[WeekIndex],2),B73+'Grid_Incoming'!C73-'Grid_Requirement'!C73))</f>
        <v/>
      </c>
      <c r="D73">
        <f>IF(COUNTIFS(T_StockCount[RM_Code],$A73,T_StockCount[WeekIndex],3)&gt;0,SUMIFS(T_StockCount[CountedQty],T_StockCount[RM_Code],$A73,T_StockCount[WeekIndex],3),IF((COUNTIFS(T_SelfStock[RM_Code],$A73,T_SelfStock[WeekIndex],3)&gt;0)*(COUNTIFS(T_TTAFStock[RM_Code],$A73,T_TTAFStock[WeekIndex],3)&gt;0)&gt;0,SUMIFS(T_SelfStock[Self_Qty],T_SelfStock[RM_Code],$A73,T_SelfStock[WeekIndex],3)+SUMIFS(T_TTAFStock[TTAF_Qty],T_TTAFStock[RM_Code],$A73,T_TTAFStock[WeekIndex],3),C73+'Grid_Incoming'!D73-'Grid_Requirement'!D73))</f>
        <v/>
      </c>
      <c r="E73">
        <f>IF(COUNTIFS(T_StockCount[RM_Code],$A73,T_StockCount[WeekIndex],4)&gt;0,SUMIFS(T_StockCount[CountedQty],T_StockCount[RM_Code],$A73,T_StockCount[WeekIndex],4),IF((COUNTIFS(T_SelfStock[RM_Code],$A73,T_SelfStock[WeekIndex],4)&gt;0)*(COUNTIFS(T_TTAFStock[RM_Code],$A73,T_TTAFStock[WeekIndex],4)&gt;0)&gt;0,SUMIFS(T_SelfStock[Self_Qty],T_SelfStock[RM_Code],$A73,T_SelfStock[WeekIndex],4)+SUMIFS(T_TTAFStock[TTAF_Qty],T_TTAFStock[RM_Code],$A73,T_TTAFStock[WeekIndex],4),D73+'Grid_Incoming'!E73-'Grid_Requirement'!E73))</f>
        <v/>
      </c>
      <c r="F73">
        <f>IF(COUNTIFS(T_StockCount[RM_Code],$A73,T_StockCount[WeekIndex],5)&gt;0,SUMIFS(T_StockCount[CountedQty],T_StockCount[RM_Code],$A73,T_StockCount[WeekIndex],5),IF((COUNTIFS(T_SelfStock[RM_Code],$A73,T_SelfStock[WeekIndex],5)&gt;0)*(COUNTIFS(T_TTAFStock[RM_Code],$A73,T_TTAFStock[WeekIndex],5)&gt;0)&gt;0,SUMIFS(T_SelfStock[Self_Qty],T_SelfStock[RM_Code],$A73,T_SelfStock[WeekIndex],5)+SUMIFS(T_TTAFStock[TTAF_Qty],T_TTAFStock[RM_Code],$A73,T_TTAFStock[WeekIndex],5),E73+'Grid_Incoming'!F73-'Grid_Requirement'!F73))</f>
        <v/>
      </c>
      <c r="G73">
        <f>IF(COUNTIFS(T_StockCount[RM_Code],$A73,T_StockCount[WeekIndex],6)&gt;0,SUMIFS(T_StockCount[CountedQty],T_StockCount[RM_Code],$A73,T_StockCount[WeekIndex],6),IF((COUNTIFS(T_SelfStock[RM_Code],$A73,T_SelfStock[WeekIndex],6)&gt;0)*(COUNTIFS(T_TTAFStock[RM_Code],$A73,T_TTAFStock[WeekIndex],6)&gt;0)&gt;0,SUMIFS(T_SelfStock[Self_Qty],T_SelfStock[RM_Code],$A73,T_SelfStock[WeekIndex],6)+SUMIFS(T_TTAFStock[TTAF_Qty],T_TTAFStock[RM_Code],$A73,T_TTAFStock[WeekIndex],6),F73+'Grid_Incoming'!G73-'Grid_Requirement'!G73))</f>
        <v/>
      </c>
      <c r="H73">
        <f>IF(COUNTIFS(T_StockCount[RM_Code],$A73,T_StockCount[WeekIndex],7)&gt;0,SUMIFS(T_StockCount[CountedQty],T_StockCount[RM_Code],$A73,T_StockCount[WeekIndex],7),IF((COUNTIFS(T_SelfStock[RM_Code],$A73,T_SelfStock[WeekIndex],7)&gt;0)*(COUNTIFS(T_TTAFStock[RM_Code],$A73,T_TTAFStock[WeekIndex],7)&gt;0)&gt;0,SUMIFS(T_SelfStock[Self_Qty],T_SelfStock[RM_Code],$A73,T_SelfStock[WeekIndex],7)+SUMIFS(T_TTAFStock[TTAF_Qty],T_TTAFStock[RM_Code],$A73,T_TTAFStock[WeekIndex],7),G73+'Grid_Incoming'!H73-'Grid_Requirement'!H73))</f>
        <v/>
      </c>
      <c r="I73">
        <f>IF(COUNTIFS(T_StockCount[RM_Code],$A73,T_StockCount[WeekIndex],8)&gt;0,SUMIFS(T_StockCount[CountedQty],T_StockCount[RM_Code],$A73,T_StockCount[WeekIndex],8),IF((COUNTIFS(T_SelfStock[RM_Code],$A73,T_SelfStock[WeekIndex],8)&gt;0)*(COUNTIFS(T_TTAFStock[RM_Code],$A73,T_TTAFStock[WeekIndex],8)&gt;0)&gt;0,SUMIFS(T_SelfStock[Self_Qty],T_SelfStock[RM_Code],$A73,T_SelfStock[WeekIndex],8)+SUMIFS(T_TTAFStock[TTAF_Qty],T_TTAFStock[RM_Code],$A73,T_TTAFStock[WeekIndex],8),H73+'Grid_Incoming'!I73-'Grid_Requirement'!I73))</f>
        <v/>
      </c>
      <c r="J73">
        <f>IF(COUNTIFS(T_StockCount[RM_Code],$A73,T_StockCount[WeekIndex],9)&gt;0,SUMIFS(T_StockCount[CountedQty],T_StockCount[RM_Code],$A73,T_StockCount[WeekIndex],9),IF((COUNTIFS(T_SelfStock[RM_Code],$A73,T_SelfStock[WeekIndex],9)&gt;0)*(COUNTIFS(T_TTAFStock[RM_Code],$A73,T_TTAFStock[WeekIndex],9)&gt;0)&gt;0,SUMIFS(T_SelfStock[Self_Qty],T_SelfStock[RM_Code],$A73,T_SelfStock[WeekIndex],9)+SUMIFS(T_TTAFStock[TTAF_Qty],T_TTAFStock[RM_Code],$A73,T_TTAFStock[WeekIndex],9),I73+'Grid_Incoming'!J73-'Grid_Requirement'!J73))</f>
        <v/>
      </c>
      <c r="K73">
        <f>IF(COUNTIFS(T_StockCount[RM_Code],$A73,T_StockCount[WeekIndex],10)&gt;0,SUMIFS(T_StockCount[CountedQty],T_StockCount[RM_Code],$A73,T_StockCount[WeekIndex],10),IF((COUNTIFS(T_SelfStock[RM_Code],$A73,T_SelfStock[WeekIndex],10)&gt;0)*(COUNTIFS(T_TTAFStock[RM_Code],$A73,T_TTAFStock[WeekIndex],10)&gt;0)&gt;0,SUMIFS(T_SelfStock[Self_Qty],T_SelfStock[RM_Code],$A73,T_SelfStock[WeekIndex],10)+SUMIFS(T_TTAFStock[TTAF_Qty],T_TTAFStock[RM_Code],$A73,T_TTAFStock[WeekIndex],10),J73+'Grid_Incoming'!K73-'Grid_Requirement'!K73))</f>
        <v/>
      </c>
      <c r="L73">
        <f>IF(COUNTIFS(T_StockCount[RM_Code],$A73,T_StockCount[WeekIndex],11)&gt;0,SUMIFS(T_StockCount[CountedQty],T_StockCount[RM_Code],$A73,T_StockCount[WeekIndex],11),IF((COUNTIFS(T_SelfStock[RM_Code],$A73,T_SelfStock[WeekIndex],11)&gt;0)*(COUNTIFS(T_TTAFStock[RM_Code],$A73,T_TTAFStock[WeekIndex],11)&gt;0)&gt;0,SUMIFS(T_SelfStock[Self_Qty],T_SelfStock[RM_Code],$A73,T_SelfStock[WeekIndex],11)+SUMIFS(T_TTAFStock[TTAF_Qty],T_TTAFStock[RM_Code],$A73,T_TTAFStock[WeekIndex],11),K73+'Grid_Incoming'!L73-'Grid_Requirement'!L73))</f>
        <v/>
      </c>
      <c r="M73">
        <f>IF(COUNTIFS(T_StockCount[RM_Code],$A73,T_StockCount[WeekIndex],12)&gt;0,SUMIFS(T_StockCount[CountedQty],T_StockCount[RM_Code],$A73,T_StockCount[WeekIndex],12),IF((COUNTIFS(T_SelfStock[RM_Code],$A73,T_SelfStock[WeekIndex],12)&gt;0)*(COUNTIFS(T_TTAFStock[RM_Code],$A73,T_TTAFStock[WeekIndex],12)&gt;0)&gt;0,SUMIFS(T_SelfStock[Self_Qty],T_SelfStock[RM_Code],$A73,T_SelfStock[WeekIndex],12)+SUMIFS(T_TTAFStock[TTAF_Qty],T_TTAFStock[RM_Code],$A73,T_TTAFStock[WeekIndex],12),L73+'Grid_Incoming'!M73-'Grid_Requirement'!M73))</f>
        <v/>
      </c>
      <c r="N73">
        <f>IF(COUNTIFS(T_StockCount[RM_Code],$A73,T_StockCount[WeekIndex],13)&gt;0,SUMIFS(T_StockCount[CountedQty],T_StockCount[RM_Code],$A73,T_StockCount[WeekIndex],13),IF((COUNTIFS(T_SelfStock[RM_Code],$A73,T_SelfStock[WeekIndex],13)&gt;0)*(COUNTIFS(T_TTAFStock[RM_Code],$A73,T_TTAFStock[WeekIndex],13)&gt;0)&gt;0,SUMIFS(T_SelfStock[Self_Qty],T_SelfStock[RM_Code],$A73,T_SelfStock[WeekIndex],13)+SUMIFS(T_TTAFStock[TTAF_Qty],T_TTAFStock[RM_Code],$A73,T_TTAFStock[WeekIndex],13),M73+'Grid_Incoming'!N73-'Grid_Requirement'!N73))</f>
        <v/>
      </c>
      <c r="O73">
        <f>IF(COUNTIFS(T_StockCount[RM_Code],$A73,T_StockCount[WeekIndex],14)&gt;0,SUMIFS(T_StockCount[CountedQty],T_StockCount[RM_Code],$A73,T_StockCount[WeekIndex],14),IF((COUNTIFS(T_SelfStock[RM_Code],$A73,T_SelfStock[WeekIndex],14)&gt;0)*(COUNTIFS(T_TTAFStock[RM_Code],$A73,T_TTAFStock[WeekIndex],14)&gt;0)&gt;0,SUMIFS(T_SelfStock[Self_Qty],T_SelfStock[RM_Code],$A73,T_SelfStock[WeekIndex],14)+SUMIFS(T_TTAFStock[TTAF_Qty],T_TTAFStock[RM_Code],$A73,T_TTAFStock[WeekIndex],14),N73+'Grid_Incoming'!O73-'Grid_Requirement'!O73))</f>
        <v/>
      </c>
      <c r="P73">
        <f>IF(COUNTIFS(T_StockCount[RM_Code],$A73,T_StockCount[WeekIndex],15)&gt;0,SUMIFS(T_StockCount[CountedQty],T_StockCount[RM_Code],$A73,T_StockCount[WeekIndex],15),IF((COUNTIFS(T_SelfStock[RM_Code],$A73,T_SelfStock[WeekIndex],15)&gt;0)*(COUNTIFS(T_TTAFStock[RM_Code],$A73,T_TTAFStock[WeekIndex],15)&gt;0)&gt;0,SUMIFS(T_SelfStock[Self_Qty],T_SelfStock[RM_Code],$A73,T_SelfStock[WeekIndex],15)+SUMIFS(T_TTAFStock[TTAF_Qty],T_TTAFStock[RM_Code],$A73,T_TTAFStock[WeekIndex],15),O73+'Grid_Incoming'!P73-'Grid_Requirement'!P73))</f>
        <v/>
      </c>
      <c r="Q73">
        <f>IF(COUNTIFS(T_StockCount[RM_Code],$A73,T_StockCount[WeekIndex],16)&gt;0,SUMIFS(T_StockCount[CountedQty],T_StockCount[RM_Code],$A73,T_StockCount[WeekIndex],16),IF((COUNTIFS(T_SelfStock[RM_Code],$A73,T_SelfStock[WeekIndex],16)&gt;0)*(COUNTIFS(T_TTAFStock[RM_Code],$A73,T_TTAFStock[WeekIndex],16)&gt;0)&gt;0,SUMIFS(T_SelfStock[Self_Qty],T_SelfStock[RM_Code],$A73,T_SelfStock[WeekIndex],16)+SUMIFS(T_TTAFStock[TTAF_Qty],T_TTAFStock[RM_Code],$A73,T_TTAFStock[WeekIndex],16),P73+'Grid_Incoming'!Q73-'Grid_Requirement'!Q73))</f>
        <v/>
      </c>
      <c r="R73">
        <f>IF(COUNTIFS(T_StockCount[RM_Code],$A73,T_StockCount[WeekIndex],17)&gt;0,SUMIFS(T_StockCount[CountedQty],T_StockCount[RM_Code],$A73,T_StockCount[WeekIndex],17),IF((COUNTIFS(T_SelfStock[RM_Code],$A73,T_SelfStock[WeekIndex],17)&gt;0)*(COUNTIFS(T_TTAFStock[RM_Code],$A73,T_TTAFStock[WeekIndex],17)&gt;0)&gt;0,SUMIFS(T_SelfStock[Self_Qty],T_SelfStock[RM_Code],$A73,T_SelfStock[WeekIndex],17)+SUMIFS(T_TTAFStock[TTAF_Qty],T_TTAFStock[RM_Code],$A73,T_TTAFStock[WeekIndex],17),Q73+'Grid_Incoming'!R73-'Grid_Requirement'!R73))</f>
        <v/>
      </c>
      <c r="S73">
        <f>IF(COUNTIFS(T_StockCount[RM_Code],$A73,T_StockCount[WeekIndex],18)&gt;0,SUMIFS(T_StockCount[CountedQty],T_StockCount[RM_Code],$A73,T_StockCount[WeekIndex],18),IF((COUNTIFS(T_SelfStock[RM_Code],$A73,T_SelfStock[WeekIndex],18)&gt;0)*(COUNTIFS(T_TTAFStock[RM_Code],$A73,T_TTAFStock[WeekIndex],18)&gt;0)&gt;0,SUMIFS(T_SelfStock[Self_Qty],T_SelfStock[RM_Code],$A73,T_SelfStock[WeekIndex],18)+SUMIFS(T_TTAFStock[TTAF_Qty],T_TTAFStock[RM_Code],$A73,T_TTAFStock[WeekIndex],18),R73+'Grid_Incoming'!S73-'Grid_Requirement'!S73))</f>
        <v/>
      </c>
      <c r="T73">
        <f>IF(COUNTIFS(T_StockCount[RM_Code],$A73,T_StockCount[WeekIndex],19)&gt;0,SUMIFS(T_StockCount[CountedQty],T_StockCount[RM_Code],$A73,T_StockCount[WeekIndex],19),IF((COUNTIFS(T_SelfStock[RM_Code],$A73,T_SelfStock[WeekIndex],19)&gt;0)*(COUNTIFS(T_TTAFStock[RM_Code],$A73,T_TTAFStock[WeekIndex],19)&gt;0)&gt;0,SUMIFS(T_SelfStock[Self_Qty],T_SelfStock[RM_Code],$A73,T_SelfStock[WeekIndex],19)+SUMIFS(T_TTAFStock[TTAF_Qty],T_TTAFStock[RM_Code],$A73,T_TTAFStock[WeekIndex],19),S73+'Grid_Incoming'!T73-'Grid_Requirement'!T73))</f>
        <v/>
      </c>
      <c r="U73">
        <f>IF(COUNTIFS(T_StockCount[RM_Code],$A73,T_StockCount[WeekIndex],20)&gt;0,SUMIFS(T_StockCount[CountedQty],T_StockCount[RM_Code],$A73,T_StockCount[WeekIndex],20),IF((COUNTIFS(T_SelfStock[RM_Code],$A73,T_SelfStock[WeekIndex],20)&gt;0)*(COUNTIFS(T_TTAFStock[RM_Code],$A73,T_TTAFStock[WeekIndex],20)&gt;0)&gt;0,SUMIFS(T_SelfStock[Self_Qty],T_SelfStock[RM_Code],$A73,T_SelfStock[WeekIndex],20)+SUMIFS(T_TTAFStock[TTAF_Qty],T_TTAFStock[RM_Code],$A73,T_TTAFStock[WeekIndex],20),T73+'Grid_Incoming'!U73-'Grid_Requirement'!U73))</f>
        <v/>
      </c>
      <c r="V73">
        <f>IF(COUNTIFS(T_StockCount[RM_Code],$A73,T_StockCount[WeekIndex],21)&gt;0,SUMIFS(T_StockCount[CountedQty],T_StockCount[RM_Code],$A73,T_StockCount[WeekIndex],21),IF((COUNTIFS(T_SelfStock[RM_Code],$A73,T_SelfStock[WeekIndex],21)&gt;0)*(COUNTIFS(T_TTAFStock[RM_Code],$A73,T_TTAFStock[WeekIndex],21)&gt;0)&gt;0,SUMIFS(T_SelfStock[Self_Qty],T_SelfStock[RM_Code],$A73,T_SelfStock[WeekIndex],21)+SUMIFS(T_TTAFStock[TTAF_Qty],T_TTAFStock[RM_Code],$A73,T_TTAFStock[WeekIndex],21),U73+'Grid_Incoming'!V73-'Grid_Requirement'!V73))</f>
        <v/>
      </c>
      <c r="W73">
        <f>IF(COUNTIFS(T_StockCount[RM_Code],$A73,T_StockCount[WeekIndex],22)&gt;0,SUMIFS(T_StockCount[CountedQty],T_StockCount[RM_Code],$A73,T_StockCount[WeekIndex],22),IF((COUNTIFS(T_SelfStock[RM_Code],$A73,T_SelfStock[WeekIndex],22)&gt;0)*(COUNTIFS(T_TTAFStock[RM_Code],$A73,T_TTAFStock[WeekIndex],22)&gt;0)&gt;0,SUMIFS(T_SelfStock[Self_Qty],T_SelfStock[RM_Code],$A73,T_SelfStock[WeekIndex],22)+SUMIFS(T_TTAFStock[TTAF_Qty],T_TTAFStock[RM_Code],$A73,T_TTAFStock[WeekIndex],22),V73+'Grid_Incoming'!W73-'Grid_Requirement'!W73))</f>
        <v/>
      </c>
      <c r="X73">
        <f>IF(COUNTIFS(T_StockCount[RM_Code],$A73,T_StockCount[WeekIndex],23)&gt;0,SUMIFS(T_StockCount[CountedQty],T_StockCount[RM_Code],$A73,T_StockCount[WeekIndex],23),IF((COUNTIFS(T_SelfStock[RM_Code],$A73,T_SelfStock[WeekIndex],23)&gt;0)*(COUNTIFS(T_TTAFStock[RM_Code],$A73,T_TTAFStock[WeekIndex],23)&gt;0)&gt;0,SUMIFS(T_SelfStock[Self_Qty],T_SelfStock[RM_Code],$A73,T_SelfStock[WeekIndex],23)+SUMIFS(T_TTAFStock[TTAF_Qty],T_TTAFStock[RM_Code],$A73,T_TTAFStock[WeekIndex],23),W73+'Grid_Incoming'!X73-'Grid_Requirement'!X73))</f>
        <v/>
      </c>
      <c r="Y73">
        <f>IF(COUNTIFS(T_StockCount[RM_Code],$A73,T_StockCount[WeekIndex],24)&gt;0,SUMIFS(T_StockCount[CountedQty],T_StockCount[RM_Code],$A73,T_StockCount[WeekIndex],24),IF((COUNTIFS(T_SelfStock[RM_Code],$A73,T_SelfStock[WeekIndex],24)&gt;0)*(COUNTIFS(T_TTAFStock[RM_Code],$A73,T_TTAFStock[WeekIndex],24)&gt;0)&gt;0,SUMIFS(T_SelfStock[Self_Qty],T_SelfStock[RM_Code],$A73,T_SelfStock[WeekIndex],24)+SUMIFS(T_TTAFStock[TTAF_Qty],T_TTAFStock[RM_Code],$A73,T_TTAFStock[WeekIndex],24),X73+'Grid_Incoming'!Y73-'Grid_Requirement'!Y73))</f>
        <v/>
      </c>
      <c r="Z73">
        <f>IF(COUNTIFS(T_StockCount[RM_Code],$A73,T_StockCount[WeekIndex],25)&gt;0,SUMIFS(T_StockCount[CountedQty],T_StockCount[RM_Code],$A73,T_StockCount[WeekIndex],25),IF((COUNTIFS(T_SelfStock[RM_Code],$A73,T_SelfStock[WeekIndex],25)&gt;0)*(COUNTIFS(T_TTAFStock[RM_Code],$A73,T_TTAFStock[WeekIndex],25)&gt;0)&gt;0,SUMIFS(T_SelfStock[Self_Qty],T_SelfStock[RM_Code],$A73,T_SelfStock[WeekIndex],25)+SUMIFS(T_TTAFStock[TTAF_Qty],T_TTAFStock[RM_Code],$A73,T_TTAFStock[WeekIndex],25),Y73+'Grid_Incoming'!Z73-'Grid_Requirement'!Z73))</f>
        <v/>
      </c>
      <c r="AA73">
        <f>IF(COUNTIFS(T_StockCount[RM_Code],$A73,T_StockCount[WeekIndex],26)&gt;0,SUMIFS(T_StockCount[CountedQty],T_StockCount[RM_Code],$A73,T_StockCount[WeekIndex],26),IF((COUNTIFS(T_SelfStock[RM_Code],$A73,T_SelfStock[WeekIndex],26)&gt;0)*(COUNTIFS(T_TTAFStock[RM_Code],$A73,T_TTAFStock[WeekIndex],26)&gt;0)&gt;0,SUMIFS(T_SelfStock[Self_Qty],T_SelfStock[RM_Code],$A73,T_SelfStock[WeekIndex],26)+SUMIFS(T_TTAFStock[TTAF_Qty],T_TTAFStock[RM_Code],$A73,T_TTAFStock[WeekIndex],26),Z73+'Grid_Incoming'!AA73-'Grid_Requirement'!AA73))</f>
        <v/>
      </c>
      <c r="AB73">
        <f>IF(COUNTIFS(T_StockCount[RM_Code],$A73,T_StockCount[WeekIndex],27)&gt;0,SUMIFS(T_StockCount[CountedQty],T_StockCount[RM_Code],$A73,T_StockCount[WeekIndex],27),IF((COUNTIFS(T_SelfStock[RM_Code],$A73,T_SelfStock[WeekIndex],27)&gt;0)*(COUNTIFS(T_TTAFStock[RM_Code],$A73,T_TTAFStock[WeekIndex],27)&gt;0)&gt;0,SUMIFS(T_SelfStock[Self_Qty],T_SelfStock[RM_Code],$A73,T_SelfStock[WeekIndex],27)+SUMIFS(T_TTAFStock[TTAF_Qty],T_TTAFStock[RM_Code],$A73,T_TTAFStock[WeekIndex],27),AA73+'Grid_Incoming'!AB73-'Grid_Requirement'!AB73))</f>
        <v/>
      </c>
      <c r="AC73">
        <f>IF(COUNTIFS(T_StockCount[RM_Code],$A73,T_StockCount[WeekIndex],28)&gt;0,SUMIFS(T_StockCount[CountedQty],T_StockCount[RM_Code],$A73,T_StockCount[WeekIndex],28),IF((COUNTIFS(T_SelfStock[RM_Code],$A73,T_SelfStock[WeekIndex],28)&gt;0)*(COUNTIFS(T_TTAFStock[RM_Code],$A73,T_TTAFStock[WeekIndex],28)&gt;0)&gt;0,SUMIFS(T_SelfStock[Self_Qty],T_SelfStock[RM_Code],$A73,T_SelfStock[WeekIndex],28)+SUMIFS(T_TTAFStock[TTAF_Qty],T_TTAFStock[RM_Code],$A73,T_TTAFStock[WeekIndex],28),AB73+'Grid_Incoming'!AC73-'Grid_Requirement'!AC73))</f>
        <v/>
      </c>
      <c r="AD73">
        <f>IF(COUNTIFS(T_StockCount[RM_Code],$A73,T_StockCount[WeekIndex],29)&gt;0,SUMIFS(T_StockCount[CountedQty],T_StockCount[RM_Code],$A73,T_StockCount[WeekIndex],29),IF((COUNTIFS(T_SelfStock[RM_Code],$A73,T_SelfStock[WeekIndex],29)&gt;0)*(COUNTIFS(T_TTAFStock[RM_Code],$A73,T_TTAFStock[WeekIndex],29)&gt;0)&gt;0,SUMIFS(T_SelfStock[Self_Qty],T_SelfStock[RM_Code],$A73,T_SelfStock[WeekIndex],29)+SUMIFS(T_TTAFStock[TTAF_Qty],T_TTAFStock[RM_Code],$A73,T_TTAFStock[WeekIndex],29),AC73+'Grid_Incoming'!AD73-'Grid_Requirement'!AD73))</f>
        <v/>
      </c>
      <c r="AE73">
        <f>IF(COUNTIFS(T_StockCount[RM_Code],$A73,T_StockCount[WeekIndex],30)&gt;0,SUMIFS(T_StockCount[CountedQty],T_StockCount[RM_Code],$A73,T_StockCount[WeekIndex],30),IF((COUNTIFS(T_SelfStock[RM_Code],$A73,T_SelfStock[WeekIndex],30)&gt;0)*(COUNTIFS(T_TTAFStock[RM_Code],$A73,T_TTAFStock[WeekIndex],30)&gt;0)&gt;0,SUMIFS(T_SelfStock[Self_Qty],T_SelfStock[RM_Code],$A73,T_SelfStock[WeekIndex],30)+SUMIFS(T_TTAFStock[TTAF_Qty],T_TTAFStock[RM_Code],$A73,T_TTAFStock[WeekIndex],30),AD73+'Grid_Incoming'!AE73-'Grid_Requirement'!AE73))</f>
        <v/>
      </c>
      <c r="AF73">
        <f>IF(COUNTIFS(T_StockCount[RM_Code],$A73,T_StockCount[WeekIndex],31)&gt;0,SUMIFS(T_StockCount[CountedQty],T_StockCount[RM_Code],$A73,T_StockCount[WeekIndex],31),IF((COUNTIFS(T_SelfStock[RM_Code],$A73,T_SelfStock[WeekIndex],31)&gt;0)*(COUNTIFS(T_TTAFStock[RM_Code],$A73,T_TTAFStock[WeekIndex],31)&gt;0)&gt;0,SUMIFS(T_SelfStock[Self_Qty],T_SelfStock[RM_Code],$A73,T_SelfStock[WeekIndex],31)+SUMIFS(T_TTAFStock[TTAF_Qty],T_TTAFStock[RM_Code],$A73,T_TTAFStock[WeekIndex],31),AE73+'Grid_Incoming'!AF73-'Grid_Requirement'!AF73))</f>
        <v/>
      </c>
      <c r="AG73">
        <f>IF(COUNTIFS(T_StockCount[RM_Code],$A73,T_StockCount[WeekIndex],32)&gt;0,SUMIFS(T_StockCount[CountedQty],T_StockCount[RM_Code],$A73,T_StockCount[WeekIndex],32),IF((COUNTIFS(T_SelfStock[RM_Code],$A73,T_SelfStock[WeekIndex],32)&gt;0)*(COUNTIFS(T_TTAFStock[RM_Code],$A73,T_TTAFStock[WeekIndex],32)&gt;0)&gt;0,SUMIFS(T_SelfStock[Self_Qty],T_SelfStock[RM_Code],$A73,T_SelfStock[WeekIndex],32)+SUMIFS(T_TTAFStock[TTAF_Qty],T_TTAFStock[RM_Code],$A73,T_TTAFStock[WeekIndex],32),AF73+'Grid_Incoming'!AG73-'Grid_Requirement'!AG73))</f>
        <v/>
      </c>
      <c r="AH73">
        <f>IF(COUNTIFS(T_StockCount[RM_Code],$A73,T_StockCount[WeekIndex],33)&gt;0,SUMIFS(T_StockCount[CountedQty],T_StockCount[RM_Code],$A73,T_StockCount[WeekIndex],33),IF((COUNTIFS(T_SelfStock[RM_Code],$A73,T_SelfStock[WeekIndex],33)&gt;0)*(COUNTIFS(T_TTAFStock[RM_Code],$A73,T_TTAFStock[WeekIndex],33)&gt;0)&gt;0,SUMIFS(T_SelfStock[Self_Qty],T_SelfStock[RM_Code],$A73,T_SelfStock[WeekIndex],33)+SUMIFS(T_TTAFStock[TTAF_Qty],T_TTAFStock[RM_Code],$A73,T_TTAFStock[WeekIndex],33),AG73+'Grid_Incoming'!AH73-'Grid_Requirement'!AH73))</f>
        <v/>
      </c>
      <c r="AI73">
        <f>IF(COUNTIFS(T_StockCount[RM_Code],$A73,T_StockCount[WeekIndex],34)&gt;0,SUMIFS(T_StockCount[CountedQty],T_StockCount[RM_Code],$A73,T_StockCount[WeekIndex],34),IF((COUNTIFS(T_SelfStock[RM_Code],$A73,T_SelfStock[WeekIndex],34)&gt;0)*(COUNTIFS(T_TTAFStock[RM_Code],$A73,T_TTAFStock[WeekIndex],34)&gt;0)&gt;0,SUMIFS(T_SelfStock[Self_Qty],T_SelfStock[RM_Code],$A73,T_SelfStock[WeekIndex],34)+SUMIFS(T_TTAFStock[TTAF_Qty],T_TTAFStock[RM_Code],$A73,T_TTAFStock[WeekIndex],34),AH73+'Grid_Incoming'!AI73-'Grid_Requirement'!AI73))</f>
        <v/>
      </c>
      <c r="AJ73">
        <f>IF(COUNTIFS(T_StockCount[RM_Code],$A73,T_StockCount[WeekIndex],35)&gt;0,SUMIFS(T_StockCount[CountedQty],T_StockCount[RM_Code],$A73,T_StockCount[WeekIndex],35),IF((COUNTIFS(T_SelfStock[RM_Code],$A73,T_SelfStock[WeekIndex],35)&gt;0)*(COUNTIFS(T_TTAFStock[RM_Code],$A73,T_TTAFStock[WeekIndex],35)&gt;0)&gt;0,SUMIFS(T_SelfStock[Self_Qty],T_SelfStock[RM_Code],$A73,T_SelfStock[WeekIndex],35)+SUMIFS(T_TTAFStock[TTAF_Qty],T_TTAFStock[RM_Code],$A73,T_TTAFStock[WeekIndex],35),AI73+'Grid_Incoming'!AJ73-'Grid_Requirement'!AJ73))</f>
        <v/>
      </c>
      <c r="AK73">
        <f>IF(COUNTIFS(T_StockCount[RM_Code],$A73,T_StockCount[WeekIndex],36)&gt;0,SUMIFS(T_StockCount[CountedQty],T_StockCount[RM_Code],$A73,T_StockCount[WeekIndex],36),IF((COUNTIFS(T_SelfStock[RM_Code],$A73,T_SelfStock[WeekIndex],36)&gt;0)*(COUNTIFS(T_TTAFStock[RM_Code],$A73,T_TTAFStock[WeekIndex],36)&gt;0)&gt;0,SUMIFS(T_SelfStock[Self_Qty],T_SelfStock[RM_Code],$A73,T_SelfStock[WeekIndex],36)+SUMIFS(T_TTAFStock[TTAF_Qty],T_TTAFStock[RM_Code],$A73,T_TTAFStock[WeekIndex],36),AJ73+'Grid_Incoming'!AK73-'Grid_Requirement'!AK73))</f>
        <v/>
      </c>
      <c r="AL73">
        <f>IF(COUNTIFS(T_StockCount[RM_Code],$A73,T_StockCount[WeekIndex],37)&gt;0,SUMIFS(T_StockCount[CountedQty],T_StockCount[RM_Code],$A73,T_StockCount[WeekIndex],37),IF((COUNTIFS(T_SelfStock[RM_Code],$A73,T_SelfStock[WeekIndex],37)&gt;0)*(COUNTIFS(T_TTAFStock[RM_Code],$A73,T_TTAFStock[WeekIndex],37)&gt;0)&gt;0,SUMIFS(T_SelfStock[Self_Qty],T_SelfStock[RM_Code],$A73,T_SelfStock[WeekIndex],37)+SUMIFS(T_TTAFStock[TTAF_Qty],T_TTAFStock[RM_Code],$A73,T_TTAFStock[WeekIndex],37),AK73+'Grid_Incoming'!AL73-'Grid_Requirement'!AL73))</f>
        <v/>
      </c>
      <c r="AM73">
        <f>IF(COUNTIFS(T_StockCount[RM_Code],$A73,T_StockCount[WeekIndex],38)&gt;0,SUMIFS(T_StockCount[CountedQty],T_StockCount[RM_Code],$A73,T_StockCount[WeekIndex],38),IF((COUNTIFS(T_SelfStock[RM_Code],$A73,T_SelfStock[WeekIndex],38)&gt;0)*(COUNTIFS(T_TTAFStock[RM_Code],$A73,T_TTAFStock[WeekIndex],38)&gt;0)&gt;0,SUMIFS(T_SelfStock[Self_Qty],T_SelfStock[RM_Code],$A73,T_SelfStock[WeekIndex],38)+SUMIFS(T_TTAFStock[TTAF_Qty],T_TTAFStock[RM_Code],$A73,T_TTAFStock[WeekIndex],38),AL73+'Grid_Incoming'!AM73-'Grid_Requirement'!AM73))</f>
        <v/>
      </c>
      <c r="AN73">
        <f>IF(COUNTIFS(T_StockCount[RM_Code],$A73,T_StockCount[WeekIndex],39)&gt;0,SUMIFS(T_StockCount[CountedQty],T_StockCount[RM_Code],$A73,T_StockCount[WeekIndex],39),IF((COUNTIFS(T_SelfStock[RM_Code],$A73,T_SelfStock[WeekIndex],39)&gt;0)*(COUNTIFS(T_TTAFStock[RM_Code],$A73,T_TTAFStock[WeekIndex],39)&gt;0)&gt;0,SUMIFS(T_SelfStock[Self_Qty],T_SelfStock[RM_Code],$A73,T_SelfStock[WeekIndex],39)+SUMIFS(T_TTAFStock[TTAF_Qty],T_TTAFStock[RM_Code],$A73,T_TTAFStock[WeekIndex],39),AM73+'Grid_Incoming'!AN73-'Grid_Requirement'!AN73))</f>
        <v/>
      </c>
      <c r="AO73">
        <f>IF(COUNTIFS(T_StockCount[RM_Code],$A73,T_StockCount[WeekIndex],40)&gt;0,SUMIFS(T_StockCount[CountedQty],T_StockCount[RM_Code],$A73,T_StockCount[WeekIndex],40),IF((COUNTIFS(T_SelfStock[RM_Code],$A73,T_SelfStock[WeekIndex],40)&gt;0)*(COUNTIFS(T_TTAFStock[RM_Code],$A73,T_TTAFStock[WeekIndex],40)&gt;0)&gt;0,SUMIFS(T_SelfStock[Self_Qty],T_SelfStock[RM_Code],$A73,T_SelfStock[WeekIndex],40)+SUMIFS(T_TTAFStock[TTAF_Qty],T_TTAFStock[RM_Code],$A73,T_TTAFStock[WeekIndex],40),AN73+'Grid_Incoming'!AO73-'Grid_Requirement'!AO73))</f>
        <v/>
      </c>
      <c r="AP73">
        <f>IF(COUNTIFS(T_StockCount[RM_Code],$A73,T_StockCount[WeekIndex],41)&gt;0,SUMIFS(T_StockCount[CountedQty],T_StockCount[RM_Code],$A73,T_StockCount[WeekIndex],41),IF((COUNTIFS(T_SelfStock[RM_Code],$A73,T_SelfStock[WeekIndex],41)&gt;0)*(COUNTIFS(T_TTAFStock[RM_Code],$A73,T_TTAFStock[WeekIndex],41)&gt;0)&gt;0,SUMIFS(T_SelfStock[Self_Qty],T_SelfStock[RM_Code],$A73,T_SelfStock[WeekIndex],41)+SUMIFS(T_TTAFStock[TTAF_Qty],T_TTAFStock[RM_Code],$A73,T_TTAFStock[WeekIndex],41),AO73+'Grid_Incoming'!AP73-'Grid_Requirement'!AP73))</f>
        <v/>
      </c>
      <c r="AQ73">
        <f>IF(COUNTIFS(T_StockCount[RM_Code],$A73,T_StockCount[WeekIndex],42)&gt;0,SUMIFS(T_StockCount[CountedQty],T_StockCount[RM_Code],$A73,T_StockCount[WeekIndex],42),IF((COUNTIFS(T_SelfStock[RM_Code],$A73,T_SelfStock[WeekIndex],42)&gt;0)*(COUNTIFS(T_TTAFStock[RM_Code],$A73,T_TTAFStock[WeekIndex],42)&gt;0)&gt;0,SUMIFS(T_SelfStock[Self_Qty],T_SelfStock[RM_Code],$A73,T_SelfStock[WeekIndex],42)+SUMIFS(T_TTAFStock[TTAF_Qty],T_TTAFStock[RM_Code],$A73,T_TTAFStock[WeekIndex],42),AP73+'Grid_Incoming'!AQ73-'Grid_Requirement'!AQ73))</f>
        <v/>
      </c>
      <c r="AR73">
        <f>IF(COUNTIFS(T_StockCount[RM_Code],$A73,T_StockCount[WeekIndex],43)&gt;0,SUMIFS(T_StockCount[CountedQty],T_StockCount[RM_Code],$A73,T_StockCount[WeekIndex],43),IF((COUNTIFS(T_SelfStock[RM_Code],$A73,T_SelfStock[WeekIndex],43)&gt;0)*(COUNTIFS(T_TTAFStock[RM_Code],$A73,T_TTAFStock[WeekIndex],43)&gt;0)&gt;0,SUMIFS(T_SelfStock[Self_Qty],T_SelfStock[RM_Code],$A73,T_SelfStock[WeekIndex],43)+SUMIFS(T_TTAFStock[TTAF_Qty],T_TTAFStock[RM_Code],$A73,T_TTAFStock[WeekIndex],43),AQ73+'Grid_Incoming'!AR73-'Grid_Requirement'!AR73))</f>
        <v/>
      </c>
      <c r="AS73">
        <f>IF(COUNTIFS(T_StockCount[RM_Code],$A73,T_StockCount[WeekIndex],44)&gt;0,SUMIFS(T_StockCount[CountedQty],T_StockCount[RM_Code],$A73,T_StockCount[WeekIndex],44),IF((COUNTIFS(T_SelfStock[RM_Code],$A73,T_SelfStock[WeekIndex],44)&gt;0)*(COUNTIFS(T_TTAFStock[RM_Code],$A73,T_TTAFStock[WeekIndex],44)&gt;0)&gt;0,SUMIFS(T_SelfStock[Self_Qty],T_SelfStock[RM_Code],$A73,T_SelfStock[WeekIndex],44)+SUMIFS(T_TTAFStock[TTAF_Qty],T_TTAFStock[RM_Code],$A73,T_TTAFStock[WeekIndex],44),AR73+'Grid_Incoming'!AS73-'Grid_Requirement'!AS73))</f>
        <v/>
      </c>
      <c r="AT73">
        <f>IF(COUNTIFS(T_StockCount[RM_Code],$A73,T_StockCount[WeekIndex],45)&gt;0,SUMIFS(T_StockCount[CountedQty],T_StockCount[RM_Code],$A73,T_StockCount[WeekIndex],45),IF((COUNTIFS(T_SelfStock[RM_Code],$A73,T_SelfStock[WeekIndex],45)&gt;0)*(COUNTIFS(T_TTAFStock[RM_Code],$A73,T_TTAFStock[WeekIndex],45)&gt;0)&gt;0,SUMIFS(T_SelfStock[Self_Qty],T_SelfStock[RM_Code],$A73,T_SelfStock[WeekIndex],45)+SUMIFS(T_TTAFStock[TTAF_Qty],T_TTAFStock[RM_Code],$A73,T_TTAFStock[WeekIndex],45),AS73+'Grid_Incoming'!AT73-'Grid_Requirement'!AT73))</f>
        <v/>
      </c>
      <c r="AU73">
        <f>IF(COUNTIFS(T_StockCount[RM_Code],$A73,T_StockCount[WeekIndex],46)&gt;0,SUMIFS(T_StockCount[CountedQty],T_StockCount[RM_Code],$A73,T_StockCount[WeekIndex],46),IF((COUNTIFS(T_SelfStock[RM_Code],$A73,T_SelfStock[WeekIndex],46)&gt;0)*(COUNTIFS(T_TTAFStock[RM_Code],$A73,T_TTAFStock[WeekIndex],46)&gt;0)&gt;0,SUMIFS(T_SelfStock[Self_Qty],T_SelfStock[RM_Code],$A73,T_SelfStock[WeekIndex],46)+SUMIFS(T_TTAFStock[TTAF_Qty],T_TTAFStock[RM_Code],$A73,T_TTAFStock[WeekIndex],46),AT73+'Grid_Incoming'!AU73-'Grid_Requirement'!AU73))</f>
        <v/>
      </c>
      <c r="AV73">
        <f>IF(COUNTIFS(T_StockCount[RM_Code],$A73,T_StockCount[WeekIndex],47)&gt;0,SUMIFS(T_StockCount[CountedQty],T_StockCount[RM_Code],$A73,T_StockCount[WeekIndex],47),IF((COUNTIFS(T_SelfStock[RM_Code],$A73,T_SelfStock[WeekIndex],47)&gt;0)*(COUNTIFS(T_TTAFStock[RM_Code],$A73,T_TTAFStock[WeekIndex],47)&gt;0)&gt;0,SUMIFS(T_SelfStock[Self_Qty],T_SelfStock[RM_Code],$A73,T_SelfStock[WeekIndex],47)+SUMIFS(T_TTAFStock[TTAF_Qty],T_TTAFStock[RM_Code],$A73,T_TTAFStock[WeekIndex],47),AU73+'Grid_Incoming'!AV73-'Grid_Requirement'!AV73))</f>
        <v/>
      </c>
      <c r="AW73">
        <f>IF(COUNTIFS(T_StockCount[RM_Code],$A73,T_StockCount[WeekIndex],48)&gt;0,SUMIFS(T_StockCount[CountedQty],T_StockCount[RM_Code],$A73,T_StockCount[WeekIndex],48),IF((COUNTIFS(T_SelfStock[RM_Code],$A73,T_SelfStock[WeekIndex],48)&gt;0)*(COUNTIFS(T_TTAFStock[RM_Code],$A73,T_TTAFStock[WeekIndex],48)&gt;0)&gt;0,SUMIFS(T_SelfStock[Self_Qty],T_SelfStock[RM_Code],$A73,T_SelfStock[WeekIndex],48)+SUMIFS(T_TTAFStock[TTAF_Qty],T_TTAFStock[RM_Code],$A73,T_TTAFStock[WeekIndex],48),AV73+'Grid_Incoming'!AW73-'Grid_Requirement'!AW73))</f>
        <v/>
      </c>
      <c r="AX73">
        <f>IF(COUNTIFS(T_StockCount[RM_Code],$A73,T_StockCount[WeekIndex],49)&gt;0,SUMIFS(T_StockCount[CountedQty],T_StockCount[RM_Code],$A73,T_StockCount[WeekIndex],49),IF((COUNTIFS(T_SelfStock[RM_Code],$A73,T_SelfStock[WeekIndex],49)&gt;0)*(COUNTIFS(T_TTAFStock[RM_Code],$A73,T_TTAFStock[WeekIndex],49)&gt;0)&gt;0,SUMIFS(T_SelfStock[Self_Qty],T_SelfStock[RM_Code],$A73,T_SelfStock[WeekIndex],49)+SUMIFS(T_TTAFStock[TTAF_Qty],T_TTAFStock[RM_Code],$A73,T_TTAFStock[WeekIndex],49),AW73+'Grid_Incoming'!AX73-'Grid_Requirement'!AX73))</f>
        <v/>
      </c>
      <c r="AY73">
        <f>IF(COUNTIFS(T_StockCount[RM_Code],$A73,T_StockCount[WeekIndex],50)&gt;0,SUMIFS(T_StockCount[CountedQty],T_StockCount[RM_Code],$A73,T_StockCount[WeekIndex],50),IF((COUNTIFS(T_SelfStock[RM_Code],$A73,T_SelfStock[WeekIndex],50)&gt;0)*(COUNTIFS(T_TTAFStock[RM_Code],$A73,T_TTAFStock[WeekIndex],50)&gt;0)&gt;0,SUMIFS(T_SelfStock[Self_Qty],T_SelfStock[RM_Code],$A73,T_SelfStock[WeekIndex],50)+SUMIFS(T_TTAFStock[TTAF_Qty],T_TTAFStock[RM_Code],$A73,T_TTAFStock[WeekIndex],50),AX73+'Grid_Incoming'!AY73-'Grid_Requirement'!AY73))</f>
        <v/>
      </c>
      <c r="AZ73">
        <f>IF(COUNTIFS(T_StockCount[RM_Code],$A73,T_StockCount[WeekIndex],51)&gt;0,SUMIFS(T_StockCount[CountedQty],T_StockCount[RM_Code],$A73,T_StockCount[WeekIndex],51),IF((COUNTIFS(T_SelfStock[RM_Code],$A73,T_SelfStock[WeekIndex],51)&gt;0)*(COUNTIFS(T_TTAFStock[RM_Code],$A73,T_TTAFStock[WeekIndex],51)&gt;0)&gt;0,SUMIFS(T_SelfStock[Self_Qty],T_SelfStock[RM_Code],$A73,T_SelfStock[WeekIndex],51)+SUMIFS(T_TTAFStock[TTAF_Qty],T_TTAFStock[RM_Code],$A73,T_TTAFStock[WeekIndex],51),AY73+'Grid_Incoming'!AZ73-'Grid_Requirement'!AZ73))</f>
        <v/>
      </c>
      <c r="BA73">
        <f>IF(COUNTIFS(T_StockCount[RM_Code],$A73,T_StockCount[WeekIndex],52)&gt;0,SUMIFS(T_StockCount[CountedQty],T_StockCount[RM_Code],$A73,T_StockCount[WeekIndex],52),IF((COUNTIFS(T_SelfStock[RM_Code],$A73,T_SelfStock[WeekIndex],52)&gt;0)*(COUNTIFS(T_TTAFStock[RM_Code],$A73,T_TTAFStock[WeekIndex],52)&gt;0)&gt;0,SUMIFS(T_SelfStock[Self_Qty],T_SelfStock[RM_Code],$A73,T_SelfStock[WeekIndex],52)+SUMIFS(T_TTAFStock[TTAF_Qty],T_TTAFStock[RM_Code],$A73,T_TTAFStock[WeekIndex],52),AZ73+'Grid_Incoming'!BA73-'Grid_Requirement'!BA73))</f>
        <v/>
      </c>
      <c r="BB73">
        <f>IF(COUNTIFS(T_StockCount[RM_Code],$A73,T_StockCount[WeekIndex],53)&gt;0,SUMIFS(T_StockCount[CountedQty],T_StockCount[RM_Code],$A73,T_StockCount[WeekIndex],53),IF((COUNTIFS(T_SelfStock[RM_Code],$A73,T_SelfStock[WeekIndex],53)&gt;0)*(COUNTIFS(T_TTAFStock[RM_Code],$A73,T_TTAFStock[WeekIndex],53)&gt;0)&gt;0,SUMIFS(T_SelfStock[Self_Qty],T_SelfStock[RM_Code],$A73,T_SelfStock[WeekIndex],53)+SUMIFS(T_TTAFStock[TTAF_Qty],T_TTAFStock[RM_Code],$A73,T_TTAFStock[WeekIndex],53),BA73+'Grid_Incoming'!BB73-'Grid_Requirement'!BB73))</f>
        <v/>
      </c>
      <c r="BC73">
        <f>IF(COUNTIFS(T_StockCount[RM_Code],$A73,T_StockCount[WeekIndex],54)&gt;0,SUMIFS(T_StockCount[CountedQty],T_StockCount[RM_Code],$A73,T_StockCount[WeekIndex],54),IF((COUNTIFS(T_SelfStock[RM_Code],$A73,T_SelfStock[WeekIndex],54)&gt;0)*(COUNTIFS(T_TTAFStock[RM_Code],$A73,T_TTAFStock[WeekIndex],54)&gt;0)&gt;0,SUMIFS(T_SelfStock[Self_Qty],T_SelfStock[RM_Code],$A73,T_SelfStock[WeekIndex],54)+SUMIFS(T_TTAFStock[TTAF_Qty],T_TTAFStock[RM_Code],$A73,T_TTAFStock[WeekIndex],54),BB73+'Grid_Incoming'!BC73-'Grid_Requirement'!BC73))</f>
        <v/>
      </c>
      <c r="BD73">
        <f>IF(COUNTIFS(T_StockCount[RM_Code],$A73,T_StockCount[WeekIndex],55)&gt;0,SUMIFS(T_StockCount[CountedQty],T_StockCount[RM_Code],$A73,T_StockCount[WeekIndex],55),IF((COUNTIFS(T_SelfStock[RM_Code],$A73,T_SelfStock[WeekIndex],55)&gt;0)*(COUNTIFS(T_TTAFStock[RM_Code],$A73,T_TTAFStock[WeekIndex],55)&gt;0)&gt;0,SUMIFS(T_SelfStock[Self_Qty],T_SelfStock[RM_Code],$A73,T_SelfStock[WeekIndex],55)+SUMIFS(T_TTAFStock[TTAF_Qty],T_TTAFStock[RM_Code],$A73,T_TTAFStock[WeekIndex],55),BC73+'Grid_Incoming'!BD73-'Grid_Requirement'!BD73))</f>
        <v/>
      </c>
      <c r="BE73">
        <f>IF(COUNTIFS(T_StockCount[RM_Code],$A73,T_StockCount[WeekIndex],56)&gt;0,SUMIFS(T_StockCount[CountedQty],T_StockCount[RM_Code],$A73,T_StockCount[WeekIndex],56),IF((COUNTIFS(T_SelfStock[RM_Code],$A73,T_SelfStock[WeekIndex],56)&gt;0)*(COUNTIFS(T_TTAFStock[RM_Code],$A73,T_TTAFStock[WeekIndex],56)&gt;0)&gt;0,SUMIFS(T_SelfStock[Self_Qty],T_SelfStock[RM_Code],$A73,T_SelfStock[WeekIndex],56)+SUMIFS(T_TTAFStock[TTAF_Qty],T_TTAFStock[RM_Code],$A73,T_TTAFStock[WeekIndex],56),BD73+'Grid_Incoming'!BE73-'Grid_Requirement'!BE73))</f>
        <v/>
      </c>
      <c r="BF73">
        <f>IF(COUNTIFS(T_StockCount[RM_Code],$A73,T_StockCount[WeekIndex],57)&gt;0,SUMIFS(T_StockCount[CountedQty],T_StockCount[RM_Code],$A73,T_StockCount[WeekIndex],57),IF((COUNTIFS(T_SelfStock[RM_Code],$A73,T_SelfStock[WeekIndex],57)&gt;0)*(COUNTIFS(T_TTAFStock[RM_Code],$A73,T_TTAFStock[WeekIndex],57)&gt;0)&gt;0,SUMIFS(T_SelfStock[Self_Qty],T_SelfStock[RM_Code],$A73,T_SelfStock[WeekIndex],57)+SUMIFS(T_TTAFStock[TTAF_Qty],T_TTAFStock[RM_Code],$A73,T_TTAFStock[WeekIndex],57),BE73+'Grid_Incoming'!BF73-'Grid_Requirement'!BF73))</f>
        <v/>
      </c>
      <c r="BG73">
        <f>IF(COUNTIFS(T_StockCount[RM_Code],$A73,T_StockCount[WeekIndex],58)&gt;0,SUMIFS(T_StockCount[CountedQty],T_StockCount[RM_Code],$A73,T_StockCount[WeekIndex],58),IF((COUNTIFS(T_SelfStock[RM_Code],$A73,T_SelfStock[WeekIndex],58)&gt;0)*(COUNTIFS(T_TTAFStock[RM_Code],$A73,T_TTAFStock[WeekIndex],58)&gt;0)&gt;0,SUMIFS(T_SelfStock[Self_Qty],T_SelfStock[RM_Code],$A73,T_SelfStock[WeekIndex],58)+SUMIFS(T_TTAFStock[TTAF_Qty],T_TTAFStock[RM_Code],$A73,T_TTAFStock[WeekIndex],58),BF73+'Grid_Incoming'!BG73-'Grid_Requirement'!BG73))</f>
        <v/>
      </c>
      <c r="BH73">
        <f>IF(COUNTIFS(T_StockCount[RM_Code],$A73,T_StockCount[WeekIndex],59)&gt;0,SUMIFS(T_StockCount[CountedQty],T_StockCount[RM_Code],$A73,T_StockCount[WeekIndex],59),IF((COUNTIFS(T_SelfStock[RM_Code],$A73,T_SelfStock[WeekIndex],59)&gt;0)*(COUNTIFS(T_TTAFStock[RM_Code],$A73,T_TTAFStock[WeekIndex],59)&gt;0)&gt;0,SUMIFS(T_SelfStock[Self_Qty],T_SelfStock[RM_Code],$A73,T_SelfStock[WeekIndex],59)+SUMIFS(T_TTAFStock[TTAF_Qty],T_TTAFStock[RM_Code],$A73,T_TTAFStock[WeekIndex],59),BG73+'Grid_Incoming'!BH73-'Grid_Requirement'!BH73))</f>
        <v/>
      </c>
      <c r="BI73">
        <f>IF(COUNTIFS(T_StockCount[RM_Code],$A73,T_StockCount[WeekIndex],60)&gt;0,SUMIFS(T_StockCount[CountedQty],T_StockCount[RM_Code],$A73,T_StockCount[WeekIndex],60),IF((COUNTIFS(T_SelfStock[RM_Code],$A73,T_SelfStock[WeekIndex],60)&gt;0)*(COUNTIFS(T_TTAFStock[RM_Code],$A73,T_TTAFStock[WeekIndex],60)&gt;0)&gt;0,SUMIFS(T_SelfStock[Self_Qty],T_SelfStock[RM_Code],$A73,T_SelfStock[WeekIndex],60)+SUMIFS(T_TTAFStock[TTAF_Qty],T_TTAFStock[RM_Code],$A73,T_TTAFStock[WeekIndex],60),BH73+'Grid_Incoming'!BI73-'Grid_Requirement'!BI73))</f>
        <v/>
      </c>
      <c r="BJ73">
        <f>IF(COUNTIFS(T_StockCount[RM_Code],$A73,T_StockCount[WeekIndex],61)&gt;0,SUMIFS(T_StockCount[CountedQty],T_StockCount[RM_Code],$A73,T_StockCount[WeekIndex],61),IF((COUNTIFS(T_SelfStock[RM_Code],$A73,T_SelfStock[WeekIndex],61)&gt;0)*(COUNTIFS(T_TTAFStock[RM_Code],$A73,T_TTAFStock[WeekIndex],61)&gt;0)&gt;0,SUMIFS(T_SelfStock[Self_Qty],T_SelfStock[RM_Code],$A73,T_SelfStock[WeekIndex],61)+SUMIFS(T_TTAFStock[TTAF_Qty],T_TTAFStock[RM_Code],$A73,T_TTAFStock[WeekIndex],61),BI73+'Grid_Incoming'!BJ73-'Grid_Requirement'!BJ73))</f>
        <v/>
      </c>
      <c r="BK73">
        <f>IF(COUNTIFS(T_StockCount[RM_Code],$A73,T_StockCount[WeekIndex],62)&gt;0,SUMIFS(T_StockCount[CountedQty],T_StockCount[RM_Code],$A73,T_StockCount[WeekIndex],62),IF((COUNTIFS(T_SelfStock[RM_Code],$A73,T_SelfStock[WeekIndex],62)&gt;0)*(COUNTIFS(T_TTAFStock[RM_Code],$A73,T_TTAFStock[WeekIndex],62)&gt;0)&gt;0,SUMIFS(T_SelfStock[Self_Qty],T_SelfStock[RM_Code],$A73,T_SelfStock[WeekIndex],62)+SUMIFS(T_TTAFStock[TTAF_Qty],T_TTAFStock[RM_Code],$A73,T_TTAFStock[WeekIndex],62),BJ73+'Grid_Incoming'!BK73-'Grid_Requirement'!BK73))</f>
        <v/>
      </c>
      <c r="BL73">
        <f>IF(COUNTIFS(T_StockCount[RM_Code],$A73,T_StockCount[WeekIndex],63)&gt;0,SUMIFS(T_StockCount[CountedQty],T_StockCount[RM_Code],$A73,T_StockCount[WeekIndex],63),IF((COUNTIFS(T_SelfStock[RM_Code],$A73,T_SelfStock[WeekIndex],63)&gt;0)*(COUNTIFS(T_TTAFStock[RM_Code],$A73,T_TTAFStock[WeekIndex],63)&gt;0)&gt;0,SUMIFS(T_SelfStock[Self_Qty],T_SelfStock[RM_Code],$A73,T_SelfStock[WeekIndex],63)+SUMIFS(T_TTAFStock[TTAF_Qty],T_TTAFStock[RM_Code],$A73,T_TTAFStock[WeekIndex],63),BK73+'Grid_Incoming'!BL73-'Grid_Requirement'!BL73))</f>
        <v/>
      </c>
      <c r="BM73">
        <f>IF(COUNTIFS(T_StockCount[RM_Code],$A73,T_StockCount[WeekIndex],64)&gt;0,SUMIFS(T_StockCount[CountedQty],T_StockCount[RM_Code],$A73,T_StockCount[WeekIndex],64),IF((COUNTIFS(T_SelfStock[RM_Code],$A73,T_SelfStock[WeekIndex],64)&gt;0)*(COUNTIFS(T_TTAFStock[RM_Code],$A73,T_TTAFStock[WeekIndex],64)&gt;0)&gt;0,SUMIFS(T_SelfStock[Self_Qty],T_SelfStock[RM_Code],$A73,T_SelfStock[WeekIndex],64)+SUMIFS(T_TTAFStock[TTAF_Qty],T_TTAFStock[RM_Code],$A73,T_TTAFStock[WeekIndex],64),BL73+'Grid_Incoming'!BM73-'Grid_Requirement'!BM73))</f>
        <v/>
      </c>
      <c r="BN73">
        <f>IF(COUNTIFS(T_StockCount[RM_Code],$A73,T_StockCount[WeekIndex],65)&gt;0,SUMIFS(T_StockCount[CountedQty],T_StockCount[RM_Code],$A73,T_StockCount[WeekIndex],65),IF((COUNTIFS(T_SelfStock[RM_Code],$A73,T_SelfStock[WeekIndex],65)&gt;0)*(COUNTIFS(T_TTAFStock[RM_Code],$A73,T_TTAFStock[WeekIndex],65)&gt;0)&gt;0,SUMIFS(T_SelfStock[Self_Qty],T_SelfStock[RM_Code],$A73,T_SelfStock[WeekIndex],65)+SUMIFS(T_TTAFStock[TTAF_Qty],T_TTAFStock[RM_Code],$A73,T_TTAFStock[WeekIndex],65),BM73+'Grid_Incoming'!BN73-'Grid_Requirement'!BN73))</f>
        <v/>
      </c>
      <c r="BO73">
        <f>IF(COUNTIFS(T_StockCount[RM_Code],$A73,T_StockCount[WeekIndex],66)&gt;0,SUMIFS(T_StockCount[CountedQty],T_StockCount[RM_Code],$A73,T_StockCount[WeekIndex],66),IF((COUNTIFS(T_SelfStock[RM_Code],$A73,T_SelfStock[WeekIndex],66)&gt;0)*(COUNTIFS(T_TTAFStock[RM_Code],$A73,T_TTAFStock[WeekIndex],66)&gt;0)&gt;0,SUMIFS(T_SelfStock[Self_Qty],T_SelfStock[RM_Code],$A73,T_SelfStock[WeekIndex],66)+SUMIFS(T_TTAFStock[TTAF_Qty],T_TTAFStock[RM_Code],$A73,T_TTAFStock[WeekIndex],66),BN73+'Grid_Incoming'!BO73-'Grid_Requirement'!BO73))</f>
        <v/>
      </c>
      <c r="BP73">
        <f>IF(COUNTIFS(T_StockCount[RM_Code],$A73,T_StockCount[WeekIndex],67)&gt;0,SUMIFS(T_StockCount[CountedQty],T_StockCount[RM_Code],$A73,T_StockCount[WeekIndex],67),IF((COUNTIFS(T_SelfStock[RM_Code],$A73,T_SelfStock[WeekIndex],67)&gt;0)*(COUNTIFS(T_TTAFStock[RM_Code],$A73,T_TTAFStock[WeekIndex],67)&gt;0)&gt;0,SUMIFS(T_SelfStock[Self_Qty],T_SelfStock[RM_Code],$A73,T_SelfStock[WeekIndex],67)+SUMIFS(T_TTAFStock[TTAF_Qty],T_TTAFStock[RM_Code],$A73,T_TTAFStock[WeekIndex],67),BO73+'Grid_Incoming'!BP73-'Grid_Requirement'!BP73))</f>
        <v/>
      </c>
      <c r="BQ73">
        <f>IF(COUNTIFS(T_StockCount[RM_Code],$A73,T_StockCount[WeekIndex],68)&gt;0,SUMIFS(T_StockCount[CountedQty],T_StockCount[RM_Code],$A73,T_StockCount[WeekIndex],68),IF((COUNTIFS(T_SelfStock[RM_Code],$A73,T_SelfStock[WeekIndex],68)&gt;0)*(COUNTIFS(T_TTAFStock[RM_Code],$A73,T_TTAFStock[WeekIndex],68)&gt;0)&gt;0,SUMIFS(T_SelfStock[Self_Qty],T_SelfStock[RM_Code],$A73,T_SelfStock[WeekIndex],68)+SUMIFS(T_TTAFStock[TTAF_Qty],T_TTAFStock[RM_Code],$A73,T_TTAFStock[WeekIndex],68),BP73+'Grid_Incoming'!BQ73-'Grid_Requirement'!BQ73))</f>
        <v/>
      </c>
      <c r="BR73">
        <f>IF(COUNTIFS(T_StockCount[RM_Code],$A73,T_StockCount[WeekIndex],69)&gt;0,SUMIFS(T_StockCount[CountedQty],T_StockCount[RM_Code],$A73,T_StockCount[WeekIndex],69),IF((COUNTIFS(T_SelfStock[RM_Code],$A73,T_SelfStock[WeekIndex],69)&gt;0)*(COUNTIFS(T_TTAFStock[RM_Code],$A73,T_TTAFStock[WeekIndex],69)&gt;0)&gt;0,SUMIFS(T_SelfStock[Self_Qty],T_SelfStock[RM_Code],$A73,T_SelfStock[WeekIndex],69)+SUMIFS(T_TTAFStock[TTAF_Qty],T_TTAFStock[RM_Code],$A73,T_TTAFStock[WeekIndex],69),BQ73+'Grid_Incoming'!BR73-'Grid_Requirement'!BR73))</f>
        <v/>
      </c>
      <c r="BS73">
        <f>IF(COUNTIFS(T_StockCount[RM_Code],$A73,T_StockCount[WeekIndex],70)&gt;0,SUMIFS(T_StockCount[CountedQty],T_StockCount[RM_Code],$A73,T_StockCount[WeekIndex],70),IF((COUNTIFS(T_SelfStock[RM_Code],$A73,T_SelfStock[WeekIndex],70)&gt;0)*(COUNTIFS(T_TTAFStock[RM_Code],$A73,T_TTAFStock[WeekIndex],70)&gt;0)&gt;0,SUMIFS(T_SelfStock[Self_Qty],T_SelfStock[RM_Code],$A73,T_SelfStock[WeekIndex],70)+SUMIFS(T_TTAFStock[TTAF_Qty],T_TTAFStock[RM_Code],$A73,T_TTAFStock[WeekIndex],70),BR73+'Grid_Incoming'!BS73-'Grid_Requirement'!BS73))</f>
        <v/>
      </c>
      <c r="BT73">
        <f>IF(COUNTIFS(T_StockCount[RM_Code],$A73,T_StockCount[WeekIndex],71)&gt;0,SUMIFS(T_StockCount[CountedQty],T_StockCount[RM_Code],$A73,T_StockCount[WeekIndex],71),IF((COUNTIFS(T_SelfStock[RM_Code],$A73,T_SelfStock[WeekIndex],71)&gt;0)*(COUNTIFS(T_TTAFStock[RM_Code],$A73,T_TTAFStock[WeekIndex],71)&gt;0)&gt;0,SUMIFS(T_SelfStock[Self_Qty],T_SelfStock[RM_Code],$A73,T_SelfStock[WeekIndex],71)+SUMIFS(T_TTAFStock[TTAF_Qty],T_TTAFStock[RM_Code],$A73,T_TTAFStock[WeekIndex],71),BS73+'Grid_Incoming'!BT73-'Grid_Requirement'!BT73))</f>
        <v/>
      </c>
      <c r="BU73">
        <f>IF(COUNTIFS(T_StockCount[RM_Code],$A73,T_StockCount[WeekIndex],72)&gt;0,SUMIFS(T_StockCount[CountedQty],T_StockCount[RM_Code],$A73,T_StockCount[WeekIndex],72),IF((COUNTIFS(T_SelfStock[RM_Code],$A73,T_SelfStock[WeekIndex],72)&gt;0)*(COUNTIFS(T_TTAFStock[RM_Code],$A73,T_TTAFStock[WeekIndex],72)&gt;0)&gt;0,SUMIFS(T_SelfStock[Self_Qty],T_SelfStock[RM_Code],$A73,T_SelfStock[WeekIndex],72)+SUMIFS(T_TTAFStock[TTAF_Qty],T_TTAFStock[RM_Code],$A73,T_TTAFStock[WeekIndex],72),BT73+'Grid_Incoming'!BU73-'Grid_Requirement'!BU73))</f>
        <v/>
      </c>
      <c r="BV73">
        <f>IF(COUNTIFS(T_StockCount[RM_Code],$A73,T_StockCount[WeekIndex],73)&gt;0,SUMIFS(T_StockCount[CountedQty],T_StockCount[RM_Code],$A73,T_StockCount[WeekIndex],73),IF((COUNTIFS(T_SelfStock[RM_Code],$A73,T_SelfStock[WeekIndex],73)&gt;0)*(COUNTIFS(T_TTAFStock[RM_Code],$A73,T_TTAFStock[WeekIndex],73)&gt;0)&gt;0,SUMIFS(T_SelfStock[Self_Qty],T_SelfStock[RM_Code],$A73,T_SelfStock[WeekIndex],73)+SUMIFS(T_TTAFStock[TTAF_Qty],T_TTAFStock[RM_Code],$A73,T_TTAFStock[WeekIndex],73),BU73+'Grid_Incoming'!BV73-'Grid_Requirement'!BV73))</f>
        <v/>
      </c>
      <c r="BW73">
        <f>IF(COUNTIFS(T_StockCount[RM_Code],$A73,T_StockCount[WeekIndex],74)&gt;0,SUMIFS(T_StockCount[CountedQty],T_StockCount[RM_Code],$A73,T_StockCount[WeekIndex],74),IF((COUNTIFS(T_SelfStock[RM_Code],$A73,T_SelfStock[WeekIndex],74)&gt;0)*(COUNTIFS(T_TTAFStock[RM_Code],$A73,T_TTAFStock[WeekIndex],74)&gt;0)&gt;0,SUMIFS(T_SelfStock[Self_Qty],T_SelfStock[RM_Code],$A73,T_SelfStock[WeekIndex],74)+SUMIFS(T_TTAFStock[TTAF_Qty],T_TTAFStock[RM_Code],$A73,T_TTAFStock[WeekIndex],74),BV73+'Grid_Incoming'!BW73-'Grid_Requirement'!BW73))</f>
        <v/>
      </c>
      <c r="BX73">
        <f>IF(COUNTIFS(T_StockCount[RM_Code],$A73,T_StockCount[WeekIndex],75)&gt;0,SUMIFS(T_StockCount[CountedQty],T_StockCount[RM_Code],$A73,T_StockCount[WeekIndex],75),IF((COUNTIFS(T_SelfStock[RM_Code],$A73,T_SelfStock[WeekIndex],75)&gt;0)*(COUNTIFS(T_TTAFStock[RM_Code],$A73,T_TTAFStock[WeekIndex],75)&gt;0)&gt;0,SUMIFS(T_SelfStock[Self_Qty],T_SelfStock[RM_Code],$A73,T_SelfStock[WeekIndex],75)+SUMIFS(T_TTAFStock[TTAF_Qty],T_TTAFStock[RM_Code],$A73,T_TTAFStock[WeekIndex],75),BW73+'Grid_Incoming'!BX73-'Grid_Requirement'!BX73))</f>
        <v/>
      </c>
      <c r="BY73">
        <f>IF(COUNTIFS(T_StockCount[RM_Code],$A73,T_StockCount[WeekIndex],76)&gt;0,SUMIFS(T_StockCount[CountedQty],T_StockCount[RM_Code],$A73,T_StockCount[WeekIndex],76),IF((COUNTIFS(T_SelfStock[RM_Code],$A73,T_SelfStock[WeekIndex],76)&gt;0)*(COUNTIFS(T_TTAFStock[RM_Code],$A73,T_TTAFStock[WeekIndex],76)&gt;0)&gt;0,SUMIFS(T_SelfStock[Self_Qty],T_SelfStock[RM_Code],$A73,T_SelfStock[WeekIndex],76)+SUMIFS(T_TTAFStock[TTAF_Qty],T_TTAFStock[RM_Code],$A73,T_TTAFStock[WeekIndex],76),BX73+'Grid_Incoming'!BY73-'Grid_Requirement'!BY73))</f>
        <v/>
      </c>
      <c r="BZ73">
        <f>IF(COUNTIFS(T_StockCount[RM_Code],$A73,T_StockCount[WeekIndex],77)&gt;0,SUMIFS(T_StockCount[CountedQty],T_StockCount[RM_Code],$A73,T_StockCount[WeekIndex],77),IF((COUNTIFS(T_SelfStock[RM_Code],$A73,T_SelfStock[WeekIndex],77)&gt;0)*(COUNTIFS(T_TTAFStock[RM_Code],$A73,T_TTAFStock[WeekIndex],77)&gt;0)&gt;0,SUMIFS(T_SelfStock[Self_Qty],T_SelfStock[RM_Code],$A73,T_SelfStock[WeekIndex],77)+SUMIFS(T_TTAFStock[TTAF_Qty],T_TTAFStock[RM_Code],$A73,T_TTAFStock[WeekIndex],77),BY73+'Grid_Incoming'!BZ73-'Grid_Requirement'!BZ73))</f>
        <v/>
      </c>
      <c r="CA73">
        <f>IF(COUNTIFS(T_StockCount[RM_Code],$A73,T_StockCount[WeekIndex],78)&gt;0,SUMIFS(T_StockCount[CountedQty],T_StockCount[RM_Code],$A73,T_StockCount[WeekIndex],78),IF((COUNTIFS(T_SelfStock[RM_Code],$A73,T_SelfStock[WeekIndex],78)&gt;0)*(COUNTIFS(T_TTAFStock[RM_Code],$A73,T_TTAFStock[WeekIndex],78)&gt;0)&gt;0,SUMIFS(T_SelfStock[Self_Qty],T_SelfStock[RM_Code],$A73,T_SelfStock[WeekIndex],78)+SUMIFS(T_TTAFStock[TTAF_Qty],T_TTAFStock[RM_Code],$A73,T_TTAFStock[WeekIndex],78),BZ73+'Grid_Incoming'!CA73-'Grid_Requirement'!CA73))</f>
        <v/>
      </c>
      <c r="CB73">
        <f>IF(COUNTIFS(T_StockCount[RM_Code],$A73,T_StockCount[WeekIndex],79)&gt;0,SUMIFS(T_StockCount[CountedQty],T_StockCount[RM_Code],$A73,T_StockCount[WeekIndex],79),IF((COUNTIFS(T_SelfStock[RM_Code],$A73,T_SelfStock[WeekIndex],79)&gt;0)*(COUNTIFS(T_TTAFStock[RM_Code],$A73,T_TTAFStock[WeekIndex],79)&gt;0)&gt;0,SUMIFS(T_SelfStock[Self_Qty],T_SelfStock[RM_Code],$A73,T_SelfStock[WeekIndex],79)+SUMIFS(T_TTAFStock[TTAF_Qty],T_TTAFStock[RM_Code],$A73,T_TTAFStock[WeekIndex],79),CA73+'Grid_Incoming'!CB73-'Grid_Requirement'!CB73))</f>
        <v/>
      </c>
      <c r="CC73">
        <f>IF(COUNTIFS(T_StockCount[RM_Code],$A73,T_StockCount[WeekIndex],80)&gt;0,SUMIFS(T_StockCount[CountedQty],T_StockCount[RM_Code],$A73,T_StockCount[WeekIndex],80),IF((COUNTIFS(T_SelfStock[RM_Code],$A73,T_SelfStock[WeekIndex],80)&gt;0)*(COUNTIFS(T_TTAFStock[RM_Code],$A73,T_TTAFStock[WeekIndex],80)&gt;0)&gt;0,SUMIFS(T_SelfStock[Self_Qty],T_SelfStock[RM_Code],$A73,T_SelfStock[WeekIndex],80)+SUMIFS(T_TTAFStock[TTAF_Qty],T_TTAFStock[RM_Code],$A73,T_TTAFStock[WeekIndex],80),CB73+'Grid_Incoming'!CC73-'Grid_Requirement'!CC73))</f>
        <v/>
      </c>
      <c r="CD73">
        <f>IF(COUNTIFS(T_StockCount[RM_Code],$A73,T_StockCount[WeekIndex],81)&gt;0,SUMIFS(T_StockCount[CountedQty],T_StockCount[RM_Code],$A73,T_StockCount[WeekIndex],81),IF((COUNTIFS(T_SelfStock[RM_Code],$A73,T_SelfStock[WeekIndex],81)&gt;0)*(COUNTIFS(T_TTAFStock[RM_Code],$A73,T_TTAFStock[WeekIndex],81)&gt;0)&gt;0,SUMIFS(T_SelfStock[Self_Qty],T_SelfStock[RM_Code],$A73,T_SelfStock[WeekIndex],81)+SUMIFS(T_TTAFStock[TTAF_Qty],T_TTAFStock[RM_Code],$A73,T_TTAFStock[WeekIndex],81),CC73+'Grid_Incoming'!CD73-'Grid_Requirement'!CD73))</f>
        <v/>
      </c>
      <c r="CE73">
        <f>IF(COUNTIFS(T_StockCount[RM_Code],$A73,T_StockCount[WeekIndex],82)&gt;0,SUMIFS(T_StockCount[CountedQty],T_StockCount[RM_Code],$A73,T_StockCount[WeekIndex],82),IF((COUNTIFS(T_SelfStock[RM_Code],$A73,T_SelfStock[WeekIndex],82)&gt;0)*(COUNTIFS(T_TTAFStock[RM_Code],$A73,T_TTAFStock[WeekIndex],82)&gt;0)&gt;0,SUMIFS(T_SelfStock[Self_Qty],T_SelfStock[RM_Code],$A73,T_SelfStock[WeekIndex],82)+SUMIFS(T_TTAFStock[TTAF_Qty],T_TTAFStock[RM_Code],$A73,T_TTAFStock[WeekIndex],82),CD73+'Grid_Incoming'!CE73-'Grid_Requirement'!CE73))</f>
        <v/>
      </c>
      <c r="CF73">
        <f>IF(COUNTIFS(T_StockCount[RM_Code],$A73,T_StockCount[WeekIndex],83)&gt;0,SUMIFS(T_StockCount[CountedQty],T_StockCount[RM_Code],$A73,T_StockCount[WeekIndex],83),IF((COUNTIFS(T_SelfStock[RM_Code],$A73,T_SelfStock[WeekIndex],83)&gt;0)*(COUNTIFS(T_TTAFStock[RM_Code],$A73,T_TTAFStock[WeekIndex],83)&gt;0)&gt;0,SUMIFS(T_SelfStock[Self_Qty],T_SelfStock[RM_Code],$A73,T_SelfStock[WeekIndex],83)+SUMIFS(T_TTAFStock[TTAF_Qty],T_TTAFStock[RM_Code],$A73,T_TTAFStock[WeekIndex],83),CE73+'Grid_Incoming'!CF73-'Grid_Requirement'!CF73))</f>
        <v/>
      </c>
      <c r="CG73">
        <f>IF(COUNTIFS(T_StockCount[RM_Code],$A73,T_StockCount[WeekIndex],84)&gt;0,SUMIFS(T_StockCount[CountedQty],T_StockCount[RM_Code],$A73,T_StockCount[WeekIndex],84),IF((COUNTIFS(T_SelfStock[RM_Code],$A73,T_SelfStock[WeekIndex],84)&gt;0)*(COUNTIFS(T_TTAFStock[RM_Code],$A73,T_TTAFStock[WeekIndex],84)&gt;0)&gt;0,SUMIFS(T_SelfStock[Self_Qty],T_SelfStock[RM_Code],$A73,T_SelfStock[WeekIndex],84)+SUMIFS(T_TTAFStock[TTAF_Qty],T_TTAFStock[RM_Code],$A73,T_TTAFStock[WeekIndex],84),CF73+'Grid_Incoming'!CG73-'Grid_Requirement'!CG73))</f>
        <v/>
      </c>
      <c r="CH73">
        <f>IF(COUNTIFS(T_StockCount[RM_Code],$A73,T_StockCount[WeekIndex],85)&gt;0,SUMIFS(T_StockCount[CountedQty],T_StockCount[RM_Code],$A73,T_StockCount[WeekIndex],85),IF((COUNTIFS(T_SelfStock[RM_Code],$A73,T_SelfStock[WeekIndex],85)&gt;0)*(COUNTIFS(T_TTAFStock[RM_Code],$A73,T_TTAFStock[WeekIndex],85)&gt;0)&gt;0,SUMIFS(T_SelfStock[Self_Qty],T_SelfStock[RM_Code],$A73,T_SelfStock[WeekIndex],85)+SUMIFS(T_TTAFStock[TTAF_Qty],T_TTAFStock[RM_Code],$A73,T_TTAFStock[WeekIndex],85),CG73+'Grid_Incoming'!CH73-'Grid_Requirement'!CH73))</f>
        <v/>
      </c>
      <c r="CI73">
        <f>IF(COUNTIFS(T_StockCount[RM_Code],$A73,T_StockCount[WeekIndex],86)&gt;0,SUMIFS(T_StockCount[CountedQty],T_StockCount[RM_Code],$A73,T_StockCount[WeekIndex],86),IF((COUNTIFS(T_SelfStock[RM_Code],$A73,T_SelfStock[WeekIndex],86)&gt;0)*(COUNTIFS(T_TTAFStock[RM_Code],$A73,T_TTAFStock[WeekIndex],86)&gt;0)&gt;0,SUMIFS(T_SelfStock[Self_Qty],T_SelfStock[RM_Code],$A73,T_SelfStock[WeekIndex],86)+SUMIFS(T_TTAFStock[TTAF_Qty],T_TTAFStock[RM_Code],$A73,T_TTAFStock[WeekIndex],86),CH73+'Grid_Incoming'!CI73-'Grid_Requirement'!CI73))</f>
        <v/>
      </c>
      <c r="CJ73">
        <f>IF(COUNTIFS(T_StockCount[RM_Code],$A73,T_StockCount[WeekIndex],87)&gt;0,SUMIFS(T_StockCount[CountedQty],T_StockCount[RM_Code],$A73,T_StockCount[WeekIndex],87),IF((COUNTIFS(T_SelfStock[RM_Code],$A73,T_SelfStock[WeekIndex],87)&gt;0)*(COUNTIFS(T_TTAFStock[RM_Code],$A73,T_TTAFStock[WeekIndex],87)&gt;0)&gt;0,SUMIFS(T_SelfStock[Self_Qty],T_SelfStock[RM_Code],$A73,T_SelfStock[WeekIndex],87)+SUMIFS(T_TTAFStock[TTAF_Qty],T_TTAFStock[RM_Code],$A73,T_TTAFStock[WeekIndex],87),CI73+'Grid_Incoming'!CJ73-'Grid_Requirement'!CJ73))</f>
        <v/>
      </c>
      <c r="CK73">
        <f>IF(COUNTIFS(T_StockCount[RM_Code],$A73,T_StockCount[WeekIndex],88)&gt;0,SUMIFS(T_StockCount[CountedQty],T_StockCount[RM_Code],$A73,T_StockCount[WeekIndex],88),IF((COUNTIFS(T_SelfStock[RM_Code],$A73,T_SelfStock[WeekIndex],88)&gt;0)*(COUNTIFS(T_TTAFStock[RM_Code],$A73,T_TTAFStock[WeekIndex],88)&gt;0)&gt;0,SUMIFS(T_SelfStock[Self_Qty],T_SelfStock[RM_Code],$A73,T_SelfStock[WeekIndex],88)+SUMIFS(T_TTAFStock[TTAF_Qty],T_TTAFStock[RM_Code],$A73,T_TTAFStock[WeekIndex],88),CJ73+'Grid_Incoming'!CK73-'Grid_Requirement'!CK73))</f>
        <v/>
      </c>
      <c r="CL73">
        <f>IF(COUNTIFS(T_StockCount[RM_Code],$A73,T_StockCount[WeekIndex],89)&gt;0,SUMIFS(T_StockCount[CountedQty],T_StockCount[RM_Code],$A73,T_StockCount[WeekIndex],89),IF((COUNTIFS(T_SelfStock[RM_Code],$A73,T_SelfStock[WeekIndex],89)&gt;0)*(COUNTIFS(T_TTAFStock[RM_Code],$A73,T_TTAFStock[WeekIndex],89)&gt;0)&gt;0,SUMIFS(T_SelfStock[Self_Qty],T_SelfStock[RM_Code],$A73,T_SelfStock[WeekIndex],89)+SUMIFS(T_TTAFStock[TTAF_Qty],T_TTAFStock[RM_Code],$A73,T_TTAFStock[WeekIndex],89),CK73+'Grid_Incoming'!CL73-'Grid_Requirement'!CL73))</f>
        <v/>
      </c>
      <c r="CM73">
        <f>IF(COUNTIFS(T_StockCount[RM_Code],$A73,T_StockCount[WeekIndex],90)&gt;0,SUMIFS(T_StockCount[CountedQty],T_StockCount[RM_Code],$A73,T_StockCount[WeekIndex],90),IF((COUNTIFS(T_SelfStock[RM_Code],$A73,T_SelfStock[WeekIndex],90)&gt;0)*(COUNTIFS(T_TTAFStock[RM_Code],$A73,T_TTAFStock[WeekIndex],90)&gt;0)&gt;0,SUMIFS(T_SelfStock[Self_Qty],T_SelfStock[RM_Code],$A73,T_SelfStock[WeekIndex],90)+SUMIFS(T_TTAFStock[TTAF_Qty],T_TTAFStock[RM_Code],$A73,T_TTAFStock[WeekIndex],90),CL73+'Grid_Incoming'!CM73-'Grid_Requirement'!CM73))</f>
        <v/>
      </c>
      <c r="CN73">
        <f>IF(COUNTIFS(T_StockCount[RM_Code],$A73,T_StockCount[WeekIndex],91)&gt;0,SUMIFS(T_StockCount[CountedQty],T_StockCount[RM_Code],$A73,T_StockCount[WeekIndex],91),IF((COUNTIFS(T_SelfStock[RM_Code],$A73,T_SelfStock[WeekIndex],91)&gt;0)*(COUNTIFS(T_TTAFStock[RM_Code],$A73,T_TTAFStock[WeekIndex],91)&gt;0)&gt;0,SUMIFS(T_SelfStock[Self_Qty],T_SelfStock[RM_Code],$A73,T_SelfStock[WeekIndex],91)+SUMIFS(T_TTAFStock[TTAF_Qty],T_TTAFStock[RM_Code],$A73,T_TTAFStock[WeekIndex],91),CM73+'Grid_Incoming'!CN73-'Grid_Requirement'!CN73))</f>
        <v/>
      </c>
      <c r="CO73">
        <f>IF(COUNTIFS(T_StockCount[RM_Code],$A73,T_StockCount[WeekIndex],92)&gt;0,SUMIFS(T_StockCount[CountedQty],T_StockCount[RM_Code],$A73,T_StockCount[WeekIndex],92),IF((COUNTIFS(T_SelfStock[RM_Code],$A73,T_SelfStock[WeekIndex],92)&gt;0)*(COUNTIFS(T_TTAFStock[RM_Code],$A73,T_TTAFStock[WeekIndex],92)&gt;0)&gt;0,SUMIFS(T_SelfStock[Self_Qty],T_SelfStock[RM_Code],$A73,T_SelfStock[WeekIndex],92)+SUMIFS(T_TTAFStock[TTAF_Qty],T_TTAFStock[RM_Code],$A73,T_TTAFStock[WeekIndex],92),CN73+'Grid_Incoming'!CO73-'Grid_Requirement'!CO73))</f>
        <v/>
      </c>
      <c r="CP73">
        <f>IF(COUNTIFS(T_StockCount[RM_Code],$A73,T_StockCount[WeekIndex],93)&gt;0,SUMIFS(T_StockCount[CountedQty],T_StockCount[RM_Code],$A73,T_StockCount[WeekIndex],93),IF((COUNTIFS(T_SelfStock[RM_Code],$A73,T_SelfStock[WeekIndex],93)&gt;0)*(COUNTIFS(T_TTAFStock[RM_Code],$A73,T_TTAFStock[WeekIndex],93)&gt;0)&gt;0,SUMIFS(T_SelfStock[Self_Qty],T_SelfStock[RM_Code],$A73,T_SelfStock[WeekIndex],93)+SUMIFS(T_TTAFStock[TTAF_Qty],T_TTAFStock[RM_Code],$A73,T_TTAFStock[WeekIndex],93),CO73+'Grid_Incoming'!CP73-'Grid_Requirement'!CP73))</f>
        <v/>
      </c>
      <c r="CQ73">
        <f>IF(COUNTIFS(T_StockCount[RM_Code],$A73,T_StockCount[WeekIndex],94)&gt;0,SUMIFS(T_StockCount[CountedQty],T_StockCount[RM_Code],$A73,T_StockCount[WeekIndex],94),IF((COUNTIFS(T_SelfStock[RM_Code],$A73,T_SelfStock[WeekIndex],94)&gt;0)*(COUNTIFS(T_TTAFStock[RM_Code],$A73,T_TTAFStock[WeekIndex],94)&gt;0)&gt;0,SUMIFS(T_SelfStock[Self_Qty],T_SelfStock[RM_Code],$A73,T_SelfStock[WeekIndex],94)+SUMIFS(T_TTAFStock[TTAF_Qty],T_TTAFStock[RM_Code],$A73,T_TTAFStock[WeekIndex],94),CP73+'Grid_Incoming'!CQ73-'Grid_Requirement'!CQ73))</f>
        <v/>
      </c>
      <c r="CR73">
        <f>IF(COUNTIFS(T_StockCount[RM_Code],$A73,T_StockCount[WeekIndex],95)&gt;0,SUMIFS(T_StockCount[CountedQty],T_StockCount[RM_Code],$A73,T_StockCount[WeekIndex],95),IF((COUNTIFS(T_SelfStock[RM_Code],$A73,T_SelfStock[WeekIndex],95)&gt;0)*(COUNTIFS(T_TTAFStock[RM_Code],$A73,T_TTAFStock[WeekIndex],95)&gt;0)&gt;0,SUMIFS(T_SelfStock[Self_Qty],T_SelfStock[RM_Code],$A73,T_SelfStock[WeekIndex],95)+SUMIFS(T_TTAFStock[TTAF_Qty],T_TTAFStock[RM_Code],$A73,T_TTAFStock[WeekIndex],95),CQ73+'Grid_Incoming'!CR73-'Grid_Requirement'!CR73))</f>
        <v/>
      </c>
      <c r="CS73">
        <f>IF(COUNTIFS(T_StockCount[RM_Code],$A73,T_StockCount[WeekIndex],96)&gt;0,SUMIFS(T_StockCount[CountedQty],T_StockCount[RM_Code],$A73,T_StockCount[WeekIndex],96),IF((COUNTIFS(T_SelfStock[RM_Code],$A73,T_SelfStock[WeekIndex],96)&gt;0)*(COUNTIFS(T_TTAFStock[RM_Code],$A73,T_TTAFStock[WeekIndex],96)&gt;0)&gt;0,SUMIFS(T_SelfStock[Self_Qty],T_SelfStock[RM_Code],$A73,T_SelfStock[WeekIndex],96)+SUMIFS(T_TTAFStock[TTAF_Qty],T_TTAFStock[RM_Code],$A73,T_TTAFStock[WeekIndex],96),CR73+'Grid_Incoming'!CS73-'Grid_Requirement'!CS73))</f>
        <v/>
      </c>
      <c r="CT73">
        <f>IF(COUNTIFS(T_StockCount[RM_Code],$A73,T_StockCount[WeekIndex],97)&gt;0,SUMIFS(T_StockCount[CountedQty],T_StockCount[RM_Code],$A73,T_StockCount[WeekIndex],97),IF((COUNTIFS(T_SelfStock[RM_Code],$A73,T_SelfStock[WeekIndex],97)&gt;0)*(COUNTIFS(T_TTAFStock[RM_Code],$A73,T_TTAFStock[WeekIndex],97)&gt;0)&gt;0,SUMIFS(T_SelfStock[Self_Qty],T_SelfStock[RM_Code],$A73,T_SelfStock[WeekIndex],97)+SUMIFS(T_TTAFStock[TTAF_Qty],T_TTAFStock[RM_Code],$A73,T_TTAFStock[WeekIndex],97),CS73+'Grid_Incoming'!CT73-'Grid_Requirement'!CT73))</f>
        <v/>
      </c>
      <c r="CU73">
        <f>IF(COUNTIFS(T_StockCount[RM_Code],$A73,T_StockCount[WeekIndex],98)&gt;0,SUMIFS(T_StockCount[CountedQty],T_StockCount[RM_Code],$A73,T_StockCount[WeekIndex],98),IF((COUNTIFS(T_SelfStock[RM_Code],$A73,T_SelfStock[WeekIndex],98)&gt;0)*(COUNTIFS(T_TTAFStock[RM_Code],$A73,T_TTAFStock[WeekIndex],98)&gt;0)&gt;0,SUMIFS(T_SelfStock[Self_Qty],T_SelfStock[RM_Code],$A73,T_SelfStock[WeekIndex],98)+SUMIFS(T_TTAFStock[TTAF_Qty],T_TTAFStock[RM_Code],$A73,T_TTAFStock[WeekIndex],98),CT73+'Grid_Incoming'!CU73-'Grid_Requirement'!CU73))</f>
        <v/>
      </c>
      <c r="CV73">
        <f>IF(COUNTIFS(T_StockCount[RM_Code],$A73,T_StockCount[WeekIndex],99)&gt;0,SUMIFS(T_StockCount[CountedQty],T_StockCount[RM_Code],$A73,T_StockCount[WeekIndex],99),IF((COUNTIFS(T_SelfStock[RM_Code],$A73,T_SelfStock[WeekIndex],99)&gt;0)*(COUNTIFS(T_TTAFStock[RM_Code],$A73,T_TTAFStock[WeekIndex],99)&gt;0)&gt;0,SUMIFS(T_SelfStock[Self_Qty],T_SelfStock[RM_Code],$A73,T_SelfStock[WeekIndex],99)+SUMIFS(T_TTAFStock[TTAF_Qty],T_TTAFStock[RM_Code],$A73,T_TTAFStock[WeekIndex],99),CU73+'Grid_Incoming'!CV73-'Grid_Requirement'!CV73))</f>
        <v/>
      </c>
      <c r="CW73">
        <f>IF(COUNTIFS(T_StockCount[RM_Code],$A73,T_StockCount[WeekIndex],100)&gt;0,SUMIFS(T_StockCount[CountedQty],T_StockCount[RM_Code],$A73,T_StockCount[WeekIndex],100),IF((COUNTIFS(T_SelfStock[RM_Code],$A73,T_SelfStock[WeekIndex],100)&gt;0)*(COUNTIFS(T_TTAFStock[RM_Code],$A73,T_TTAFStock[WeekIndex],100)&gt;0)&gt;0,SUMIFS(T_SelfStock[Self_Qty],T_SelfStock[RM_Code],$A73,T_SelfStock[WeekIndex],100)+SUMIFS(T_TTAFStock[TTAF_Qty],T_TTAFStock[RM_Code],$A73,T_TTAFStock[WeekIndex],100),CV73+'Grid_Incoming'!CW73-'Grid_Requirement'!CW73))</f>
        <v/>
      </c>
      <c r="CX73">
        <f>IF(COUNTIFS(T_StockCount[RM_Code],$A73,T_StockCount[WeekIndex],101)&gt;0,SUMIFS(T_StockCount[CountedQty],T_StockCount[RM_Code],$A73,T_StockCount[WeekIndex],101),IF((COUNTIFS(T_SelfStock[RM_Code],$A73,T_SelfStock[WeekIndex],101)&gt;0)*(COUNTIFS(T_TTAFStock[RM_Code],$A73,T_TTAFStock[WeekIndex],101)&gt;0)&gt;0,SUMIFS(T_SelfStock[Self_Qty],T_SelfStock[RM_Code],$A73,T_SelfStock[WeekIndex],101)+SUMIFS(T_TTAFStock[TTAF_Qty],T_TTAFStock[RM_Code],$A73,T_TTAFStock[WeekIndex],101),CW73+'Grid_Incoming'!CX73-'Grid_Requirement'!CX73))</f>
        <v/>
      </c>
      <c r="CY73">
        <f>IF(COUNTIFS(T_StockCount[RM_Code],$A73,T_StockCount[WeekIndex],102)&gt;0,SUMIFS(T_StockCount[CountedQty],T_StockCount[RM_Code],$A73,T_StockCount[WeekIndex],102),IF((COUNTIFS(T_SelfStock[RM_Code],$A73,T_SelfStock[WeekIndex],102)&gt;0)*(COUNTIFS(T_TTAFStock[RM_Code],$A73,T_TTAFStock[WeekIndex],102)&gt;0)&gt;0,SUMIFS(T_SelfStock[Self_Qty],T_SelfStock[RM_Code],$A73,T_SelfStock[WeekIndex],102)+SUMIFS(T_TTAFStock[TTAF_Qty],T_TTAFStock[RM_Code],$A73,T_TTAFStock[WeekIndex],102),CX73+'Grid_Incoming'!CY73-'Grid_Requirement'!CY73))</f>
        <v/>
      </c>
      <c r="CZ73">
        <f>IF(COUNTIFS(T_StockCount[RM_Code],$A73,T_StockCount[WeekIndex],103)&gt;0,SUMIFS(T_StockCount[CountedQty],T_StockCount[RM_Code],$A73,T_StockCount[WeekIndex],103),IF((COUNTIFS(T_SelfStock[RM_Code],$A73,T_SelfStock[WeekIndex],103)&gt;0)*(COUNTIFS(T_TTAFStock[RM_Code],$A73,T_TTAFStock[WeekIndex],103)&gt;0)&gt;0,SUMIFS(T_SelfStock[Self_Qty],T_SelfStock[RM_Code],$A73,T_SelfStock[WeekIndex],103)+SUMIFS(T_TTAFStock[TTAF_Qty],T_TTAFStock[RM_Code],$A73,T_TTAFStock[WeekIndex],103),CY73+'Grid_Incoming'!CZ73-'Grid_Requirement'!CZ73))</f>
        <v/>
      </c>
      <c r="DA73">
        <f>IF(COUNTIFS(T_StockCount[RM_Code],$A73,T_StockCount[WeekIndex],104)&gt;0,SUMIFS(T_StockCount[CountedQty],T_StockCount[RM_Code],$A73,T_StockCount[WeekIndex],104),IF((COUNTIFS(T_SelfStock[RM_Code],$A73,T_SelfStock[WeekIndex],104)&gt;0)*(COUNTIFS(T_TTAFStock[RM_Code],$A73,T_TTAFStock[WeekIndex],104)&gt;0)&gt;0,SUMIFS(T_SelfStock[Self_Qty],T_SelfStock[RM_Code],$A73,T_SelfStock[WeekIndex],104)+SUMIFS(T_TTAFStock[TTAF_Qty],T_TTAFStock[RM_Code],$A73,T_TTAFStock[WeekIndex],104),CZ73+'Grid_Incoming'!DA73-'Grid_Requirement'!DA73))</f>
        <v/>
      </c>
    </row>
    <row r="74">
      <c r="A74" t="inlineStr">
        <is>
          <t>OLJ</t>
        </is>
      </c>
      <c r="B74">
        <f>IF(COUNTIFS(T_StockCount[RM_Code],$A74,T_StockCount[WeekIndex],1)&gt;0,SUMIFS(T_StockCount[CountedQty],T_StockCount[RM_Code],$A74,T_StockCount[WeekIndex],1),IF((COUNTIFS(T_SelfStock[RM_Code],$A74,T_SelfStock[WeekIndex],1)&gt;0)*(COUNTIFS(T_TTAFStock[RM_Code],$A74,T_TTAFStock[WeekIndex],1)&gt;0)&gt;0,SUMIFS(T_SelfStock[Self_Qty],T_SelfStock[RM_Code],$A74,T_SelfStock[WeekIndex],1)+SUMIFS(T_TTAFStock[TTAF_Qty],T_TTAFStock[RM_Code],$A74,T_TTAFStock[WeekIndex],1),IFERROR(INDEX(T_OpeningStock[Opening_Qty],MATCH($A74,T_OpeningStock[RM_Code],0)),0)+'Grid_Incoming'!B74-'Grid_Requirement'!B74))</f>
        <v/>
      </c>
      <c r="C74">
        <f>IF(COUNTIFS(T_StockCount[RM_Code],$A74,T_StockCount[WeekIndex],2)&gt;0,SUMIFS(T_StockCount[CountedQty],T_StockCount[RM_Code],$A74,T_StockCount[WeekIndex],2),IF((COUNTIFS(T_SelfStock[RM_Code],$A74,T_SelfStock[WeekIndex],2)&gt;0)*(COUNTIFS(T_TTAFStock[RM_Code],$A74,T_TTAFStock[WeekIndex],2)&gt;0)&gt;0,SUMIFS(T_SelfStock[Self_Qty],T_SelfStock[RM_Code],$A74,T_SelfStock[WeekIndex],2)+SUMIFS(T_TTAFStock[TTAF_Qty],T_TTAFStock[RM_Code],$A74,T_TTAFStock[WeekIndex],2),B74+'Grid_Incoming'!C74-'Grid_Requirement'!C74))</f>
        <v/>
      </c>
      <c r="D74">
        <f>IF(COUNTIFS(T_StockCount[RM_Code],$A74,T_StockCount[WeekIndex],3)&gt;0,SUMIFS(T_StockCount[CountedQty],T_StockCount[RM_Code],$A74,T_StockCount[WeekIndex],3),IF((COUNTIFS(T_SelfStock[RM_Code],$A74,T_SelfStock[WeekIndex],3)&gt;0)*(COUNTIFS(T_TTAFStock[RM_Code],$A74,T_TTAFStock[WeekIndex],3)&gt;0)&gt;0,SUMIFS(T_SelfStock[Self_Qty],T_SelfStock[RM_Code],$A74,T_SelfStock[WeekIndex],3)+SUMIFS(T_TTAFStock[TTAF_Qty],T_TTAFStock[RM_Code],$A74,T_TTAFStock[WeekIndex],3),C74+'Grid_Incoming'!D74-'Grid_Requirement'!D74))</f>
        <v/>
      </c>
      <c r="E74">
        <f>IF(COUNTIFS(T_StockCount[RM_Code],$A74,T_StockCount[WeekIndex],4)&gt;0,SUMIFS(T_StockCount[CountedQty],T_StockCount[RM_Code],$A74,T_StockCount[WeekIndex],4),IF((COUNTIFS(T_SelfStock[RM_Code],$A74,T_SelfStock[WeekIndex],4)&gt;0)*(COUNTIFS(T_TTAFStock[RM_Code],$A74,T_TTAFStock[WeekIndex],4)&gt;0)&gt;0,SUMIFS(T_SelfStock[Self_Qty],T_SelfStock[RM_Code],$A74,T_SelfStock[WeekIndex],4)+SUMIFS(T_TTAFStock[TTAF_Qty],T_TTAFStock[RM_Code],$A74,T_TTAFStock[WeekIndex],4),D74+'Grid_Incoming'!E74-'Grid_Requirement'!E74))</f>
        <v/>
      </c>
      <c r="F74">
        <f>IF(COUNTIFS(T_StockCount[RM_Code],$A74,T_StockCount[WeekIndex],5)&gt;0,SUMIFS(T_StockCount[CountedQty],T_StockCount[RM_Code],$A74,T_StockCount[WeekIndex],5),IF((COUNTIFS(T_SelfStock[RM_Code],$A74,T_SelfStock[WeekIndex],5)&gt;0)*(COUNTIFS(T_TTAFStock[RM_Code],$A74,T_TTAFStock[WeekIndex],5)&gt;0)&gt;0,SUMIFS(T_SelfStock[Self_Qty],T_SelfStock[RM_Code],$A74,T_SelfStock[WeekIndex],5)+SUMIFS(T_TTAFStock[TTAF_Qty],T_TTAFStock[RM_Code],$A74,T_TTAFStock[WeekIndex],5),E74+'Grid_Incoming'!F74-'Grid_Requirement'!F74))</f>
        <v/>
      </c>
      <c r="G74">
        <f>IF(COUNTIFS(T_StockCount[RM_Code],$A74,T_StockCount[WeekIndex],6)&gt;0,SUMIFS(T_StockCount[CountedQty],T_StockCount[RM_Code],$A74,T_StockCount[WeekIndex],6),IF((COUNTIFS(T_SelfStock[RM_Code],$A74,T_SelfStock[WeekIndex],6)&gt;0)*(COUNTIFS(T_TTAFStock[RM_Code],$A74,T_TTAFStock[WeekIndex],6)&gt;0)&gt;0,SUMIFS(T_SelfStock[Self_Qty],T_SelfStock[RM_Code],$A74,T_SelfStock[WeekIndex],6)+SUMIFS(T_TTAFStock[TTAF_Qty],T_TTAFStock[RM_Code],$A74,T_TTAFStock[WeekIndex],6),F74+'Grid_Incoming'!G74-'Grid_Requirement'!G74))</f>
        <v/>
      </c>
      <c r="H74">
        <f>IF(COUNTIFS(T_StockCount[RM_Code],$A74,T_StockCount[WeekIndex],7)&gt;0,SUMIFS(T_StockCount[CountedQty],T_StockCount[RM_Code],$A74,T_StockCount[WeekIndex],7),IF((COUNTIFS(T_SelfStock[RM_Code],$A74,T_SelfStock[WeekIndex],7)&gt;0)*(COUNTIFS(T_TTAFStock[RM_Code],$A74,T_TTAFStock[WeekIndex],7)&gt;0)&gt;0,SUMIFS(T_SelfStock[Self_Qty],T_SelfStock[RM_Code],$A74,T_SelfStock[WeekIndex],7)+SUMIFS(T_TTAFStock[TTAF_Qty],T_TTAFStock[RM_Code],$A74,T_TTAFStock[WeekIndex],7),G74+'Grid_Incoming'!H74-'Grid_Requirement'!H74))</f>
        <v/>
      </c>
      <c r="I74">
        <f>IF(COUNTIFS(T_StockCount[RM_Code],$A74,T_StockCount[WeekIndex],8)&gt;0,SUMIFS(T_StockCount[CountedQty],T_StockCount[RM_Code],$A74,T_StockCount[WeekIndex],8),IF((COUNTIFS(T_SelfStock[RM_Code],$A74,T_SelfStock[WeekIndex],8)&gt;0)*(COUNTIFS(T_TTAFStock[RM_Code],$A74,T_TTAFStock[WeekIndex],8)&gt;0)&gt;0,SUMIFS(T_SelfStock[Self_Qty],T_SelfStock[RM_Code],$A74,T_SelfStock[WeekIndex],8)+SUMIFS(T_TTAFStock[TTAF_Qty],T_TTAFStock[RM_Code],$A74,T_TTAFStock[WeekIndex],8),H74+'Grid_Incoming'!I74-'Grid_Requirement'!I74))</f>
        <v/>
      </c>
      <c r="J74">
        <f>IF(COUNTIFS(T_StockCount[RM_Code],$A74,T_StockCount[WeekIndex],9)&gt;0,SUMIFS(T_StockCount[CountedQty],T_StockCount[RM_Code],$A74,T_StockCount[WeekIndex],9),IF((COUNTIFS(T_SelfStock[RM_Code],$A74,T_SelfStock[WeekIndex],9)&gt;0)*(COUNTIFS(T_TTAFStock[RM_Code],$A74,T_TTAFStock[WeekIndex],9)&gt;0)&gt;0,SUMIFS(T_SelfStock[Self_Qty],T_SelfStock[RM_Code],$A74,T_SelfStock[WeekIndex],9)+SUMIFS(T_TTAFStock[TTAF_Qty],T_TTAFStock[RM_Code],$A74,T_TTAFStock[WeekIndex],9),I74+'Grid_Incoming'!J74-'Grid_Requirement'!J74))</f>
        <v/>
      </c>
      <c r="K74">
        <f>IF(COUNTIFS(T_StockCount[RM_Code],$A74,T_StockCount[WeekIndex],10)&gt;0,SUMIFS(T_StockCount[CountedQty],T_StockCount[RM_Code],$A74,T_StockCount[WeekIndex],10),IF((COUNTIFS(T_SelfStock[RM_Code],$A74,T_SelfStock[WeekIndex],10)&gt;0)*(COUNTIFS(T_TTAFStock[RM_Code],$A74,T_TTAFStock[WeekIndex],10)&gt;0)&gt;0,SUMIFS(T_SelfStock[Self_Qty],T_SelfStock[RM_Code],$A74,T_SelfStock[WeekIndex],10)+SUMIFS(T_TTAFStock[TTAF_Qty],T_TTAFStock[RM_Code],$A74,T_TTAFStock[WeekIndex],10),J74+'Grid_Incoming'!K74-'Grid_Requirement'!K74))</f>
        <v/>
      </c>
      <c r="L74">
        <f>IF(COUNTIFS(T_StockCount[RM_Code],$A74,T_StockCount[WeekIndex],11)&gt;0,SUMIFS(T_StockCount[CountedQty],T_StockCount[RM_Code],$A74,T_StockCount[WeekIndex],11),IF((COUNTIFS(T_SelfStock[RM_Code],$A74,T_SelfStock[WeekIndex],11)&gt;0)*(COUNTIFS(T_TTAFStock[RM_Code],$A74,T_TTAFStock[WeekIndex],11)&gt;0)&gt;0,SUMIFS(T_SelfStock[Self_Qty],T_SelfStock[RM_Code],$A74,T_SelfStock[WeekIndex],11)+SUMIFS(T_TTAFStock[TTAF_Qty],T_TTAFStock[RM_Code],$A74,T_TTAFStock[WeekIndex],11),K74+'Grid_Incoming'!L74-'Grid_Requirement'!L74))</f>
        <v/>
      </c>
      <c r="M74">
        <f>IF(COUNTIFS(T_StockCount[RM_Code],$A74,T_StockCount[WeekIndex],12)&gt;0,SUMIFS(T_StockCount[CountedQty],T_StockCount[RM_Code],$A74,T_StockCount[WeekIndex],12),IF((COUNTIFS(T_SelfStock[RM_Code],$A74,T_SelfStock[WeekIndex],12)&gt;0)*(COUNTIFS(T_TTAFStock[RM_Code],$A74,T_TTAFStock[WeekIndex],12)&gt;0)&gt;0,SUMIFS(T_SelfStock[Self_Qty],T_SelfStock[RM_Code],$A74,T_SelfStock[WeekIndex],12)+SUMIFS(T_TTAFStock[TTAF_Qty],T_TTAFStock[RM_Code],$A74,T_TTAFStock[WeekIndex],12),L74+'Grid_Incoming'!M74-'Grid_Requirement'!M74))</f>
        <v/>
      </c>
      <c r="N74">
        <f>IF(COUNTIFS(T_StockCount[RM_Code],$A74,T_StockCount[WeekIndex],13)&gt;0,SUMIFS(T_StockCount[CountedQty],T_StockCount[RM_Code],$A74,T_StockCount[WeekIndex],13),IF((COUNTIFS(T_SelfStock[RM_Code],$A74,T_SelfStock[WeekIndex],13)&gt;0)*(COUNTIFS(T_TTAFStock[RM_Code],$A74,T_TTAFStock[WeekIndex],13)&gt;0)&gt;0,SUMIFS(T_SelfStock[Self_Qty],T_SelfStock[RM_Code],$A74,T_SelfStock[WeekIndex],13)+SUMIFS(T_TTAFStock[TTAF_Qty],T_TTAFStock[RM_Code],$A74,T_TTAFStock[WeekIndex],13),M74+'Grid_Incoming'!N74-'Grid_Requirement'!N74))</f>
        <v/>
      </c>
      <c r="O74">
        <f>IF(COUNTIFS(T_StockCount[RM_Code],$A74,T_StockCount[WeekIndex],14)&gt;0,SUMIFS(T_StockCount[CountedQty],T_StockCount[RM_Code],$A74,T_StockCount[WeekIndex],14),IF((COUNTIFS(T_SelfStock[RM_Code],$A74,T_SelfStock[WeekIndex],14)&gt;0)*(COUNTIFS(T_TTAFStock[RM_Code],$A74,T_TTAFStock[WeekIndex],14)&gt;0)&gt;0,SUMIFS(T_SelfStock[Self_Qty],T_SelfStock[RM_Code],$A74,T_SelfStock[WeekIndex],14)+SUMIFS(T_TTAFStock[TTAF_Qty],T_TTAFStock[RM_Code],$A74,T_TTAFStock[WeekIndex],14),N74+'Grid_Incoming'!O74-'Grid_Requirement'!O74))</f>
        <v/>
      </c>
      <c r="P74">
        <f>IF(COUNTIFS(T_StockCount[RM_Code],$A74,T_StockCount[WeekIndex],15)&gt;0,SUMIFS(T_StockCount[CountedQty],T_StockCount[RM_Code],$A74,T_StockCount[WeekIndex],15),IF((COUNTIFS(T_SelfStock[RM_Code],$A74,T_SelfStock[WeekIndex],15)&gt;0)*(COUNTIFS(T_TTAFStock[RM_Code],$A74,T_TTAFStock[WeekIndex],15)&gt;0)&gt;0,SUMIFS(T_SelfStock[Self_Qty],T_SelfStock[RM_Code],$A74,T_SelfStock[WeekIndex],15)+SUMIFS(T_TTAFStock[TTAF_Qty],T_TTAFStock[RM_Code],$A74,T_TTAFStock[WeekIndex],15),O74+'Grid_Incoming'!P74-'Grid_Requirement'!P74))</f>
        <v/>
      </c>
      <c r="Q74">
        <f>IF(COUNTIFS(T_StockCount[RM_Code],$A74,T_StockCount[WeekIndex],16)&gt;0,SUMIFS(T_StockCount[CountedQty],T_StockCount[RM_Code],$A74,T_StockCount[WeekIndex],16),IF((COUNTIFS(T_SelfStock[RM_Code],$A74,T_SelfStock[WeekIndex],16)&gt;0)*(COUNTIFS(T_TTAFStock[RM_Code],$A74,T_TTAFStock[WeekIndex],16)&gt;0)&gt;0,SUMIFS(T_SelfStock[Self_Qty],T_SelfStock[RM_Code],$A74,T_SelfStock[WeekIndex],16)+SUMIFS(T_TTAFStock[TTAF_Qty],T_TTAFStock[RM_Code],$A74,T_TTAFStock[WeekIndex],16),P74+'Grid_Incoming'!Q74-'Grid_Requirement'!Q74))</f>
        <v/>
      </c>
      <c r="R74">
        <f>IF(COUNTIFS(T_StockCount[RM_Code],$A74,T_StockCount[WeekIndex],17)&gt;0,SUMIFS(T_StockCount[CountedQty],T_StockCount[RM_Code],$A74,T_StockCount[WeekIndex],17),IF((COUNTIFS(T_SelfStock[RM_Code],$A74,T_SelfStock[WeekIndex],17)&gt;0)*(COUNTIFS(T_TTAFStock[RM_Code],$A74,T_TTAFStock[WeekIndex],17)&gt;0)&gt;0,SUMIFS(T_SelfStock[Self_Qty],T_SelfStock[RM_Code],$A74,T_SelfStock[WeekIndex],17)+SUMIFS(T_TTAFStock[TTAF_Qty],T_TTAFStock[RM_Code],$A74,T_TTAFStock[WeekIndex],17),Q74+'Grid_Incoming'!R74-'Grid_Requirement'!R74))</f>
        <v/>
      </c>
      <c r="S74">
        <f>IF(COUNTIFS(T_StockCount[RM_Code],$A74,T_StockCount[WeekIndex],18)&gt;0,SUMIFS(T_StockCount[CountedQty],T_StockCount[RM_Code],$A74,T_StockCount[WeekIndex],18),IF((COUNTIFS(T_SelfStock[RM_Code],$A74,T_SelfStock[WeekIndex],18)&gt;0)*(COUNTIFS(T_TTAFStock[RM_Code],$A74,T_TTAFStock[WeekIndex],18)&gt;0)&gt;0,SUMIFS(T_SelfStock[Self_Qty],T_SelfStock[RM_Code],$A74,T_SelfStock[WeekIndex],18)+SUMIFS(T_TTAFStock[TTAF_Qty],T_TTAFStock[RM_Code],$A74,T_TTAFStock[WeekIndex],18),R74+'Grid_Incoming'!S74-'Grid_Requirement'!S74))</f>
        <v/>
      </c>
      <c r="T74">
        <f>IF(COUNTIFS(T_StockCount[RM_Code],$A74,T_StockCount[WeekIndex],19)&gt;0,SUMIFS(T_StockCount[CountedQty],T_StockCount[RM_Code],$A74,T_StockCount[WeekIndex],19),IF((COUNTIFS(T_SelfStock[RM_Code],$A74,T_SelfStock[WeekIndex],19)&gt;0)*(COUNTIFS(T_TTAFStock[RM_Code],$A74,T_TTAFStock[WeekIndex],19)&gt;0)&gt;0,SUMIFS(T_SelfStock[Self_Qty],T_SelfStock[RM_Code],$A74,T_SelfStock[WeekIndex],19)+SUMIFS(T_TTAFStock[TTAF_Qty],T_TTAFStock[RM_Code],$A74,T_TTAFStock[WeekIndex],19),S74+'Grid_Incoming'!T74-'Grid_Requirement'!T74))</f>
        <v/>
      </c>
      <c r="U74">
        <f>IF(COUNTIFS(T_StockCount[RM_Code],$A74,T_StockCount[WeekIndex],20)&gt;0,SUMIFS(T_StockCount[CountedQty],T_StockCount[RM_Code],$A74,T_StockCount[WeekIndex],20),IF((COUNTIFS(T_SelfStock[RM_Code],$A74,T_SelfStock[WeekIndex],20)&gt;0)*(COUNTIFS(T_TTAFStock[RM_Code],$A74,T_TTAFStock[WeekIndex],20)&gt;0)&gt;0,SUMIFS(T_SelfStock[Self_Qty],T_SelfStock[RM_Code],$A74,T_SelfStock[WeekIndex],20)+SUMIFS(T_TTAFStock[TTAF_Qty],T_TTAFStock[RM_Code],$A74,T_TTAFStock[WeekIndex],20),T74+'Grid_Incoming'!U74-'Grid_Requirement'!U74))</f>
        <v/>
      </c>
      <c r="V74">
        <f>IF(COUNTIFS(T_StockCount[RM_Code],$A74,T_StockCount[WeekIndex],21)&gt;0,SUMIFS(T_StockCount[CountedQty],T_StockCount[RM_Code],$A74,T_StockCount[WeekIndex],21),IF((COUNTIFS(T_SelfStock[RM_Code],$A74,T_SelfStock[WeekIndex],21)&gt;0)*(COUNTIFS(T_TTAFStock[RM_Code],$A74,T_TTAFStock[WeekIndex],21)&gt;0)&gt;0,SUMIFS(T_SelfStock[Self_Qty],T_SelfStock[RM_Code],$A74,T_SelfStock[WeekIndex],21)+SUMIFS(T_TTAFStock[TTAF_Qty],T_TTAFStock[RM_Code],$A74,T_TTAFStock[WeekIndex],21),U74+'Grid_Incoming'!V74-'Grid_Requirement'!V74))</f>
        <v/>
      </c>
      <c r="W74">
        <f>IF(COUNTIFS(T_StockCount[RM_Code],$A74,T_StockCount[WeekIndex],22)&gt;0,SUMIFS(T_StockCount[CountedQty],T_StockCount[RM_Code],$A74,T_StockCount[WeekIndex],22),IF((COUNTIFS(T_SelfStock[RM_Code],$A74,T_SelfStock[WeekIndex],22)&gt;0)*(COUNTIFS(T_TTAFStock[RM_Code],$A74,T_TTAFStock[WeekIndex],22)&gt;0)&gt;0,SUMIFS(T_SelfStock[Self_Qty],T_SelfStock[RM_Code],$A74,T_SelfStock[WeekIndex],22)+SUMIFS(T_TTAFStock[TTAF_Qty],T_TTAFStock[RM_Code],$A74,T_TTAFStock[WeekIndex],22),V74+'Grid_Incoming'!W74-'Grid_Requirement'!W74))</f>
        <v/>
      </c>
      <c r="X74">
        <f>IF(COUNTIFS(T_StockCount[RM_Code],$A74,T_StockCount[WeekIndex],23)&gt;0,SUMIFS(T_StockCount[CountedQty],T_StockCount[RM_Code],$A74,T_StockCount[WeekIndex],23),IF((COUNTIFS(T_SelfStock[RM_Code],$A74,T_SelfStock[WeekIndex],23)&gt;0)*(COUNTIFS(T_TTAFStock[RM_Code],$A74,T_TTAFStock[WeekIndex],23)&gt;0)&gt;0,SUMIFS(T_SelfStock[Self_Qty],T_SelfStock[RM_Code],$A74,T_SelfStock[WeekIndex],23)+SUMIFS(T_TTAFStock[TTAF_Qty],T_TTAFStock[RM_Code],$A74,T_TTAFStock[WeekIndex],23),W74+'Grid_Incoming'!X74-'Grid_Requirement'!X74))</f>
        <v/>
      </c>
      <c r="Y74">
        <f>IF(COUNTIFS(T_StockCount[RM_Code],$A74,T_StockCount[WeekIndex],24)&gt;0,SUMIFS(T_StockCount[CountedQty],T_StockCount[RM_Code],$A74,T_StockCount[WeekIndex],24),IF((COUNTIFS(T_SelfStock[RM_Code],$A74,T_SelfStock[WeekIndex],24)&gt;0)*(COUNTIFS(T_TTAFStock[RM_Code],$A74,T_TTAFStock[WeekIndex],24)&gt;0)&gt;0,SUMIFS(T_SelfStock[Self_Qty],T_SelfStock[RM_Code],$A74,T_SelfStock[WeekIndex],24)+SUMIFS(T_TTAFStock[TTAF_Qty],T_TTAFStock[RM_Code],$A74,T_TTAFStock[WeekIndex],24),X74+'Grid_Incoming'!Y74-'Grid_Requirement'!Y74))</f>
        <v/>
      </c>
      <c r="Z74">
        <f>IF(COUNTIFS(T_StockCount[RM_Code],$A74,T_StockCount[WeekIndex],25)&gt;0,SUMIFS(T_StockCount[CountedQty],T_StockCount[RM_Code],$A74,T_StockCount[WeekIndex],25),IF((COUNTIFS(T_SelfStock[RM_Code],$A74,T_SelfStock[WeekIndex],25)&gt;0)*(COUNTIFS(T_TTAFStock[RM_Code],$A74,T_TTAFStock[WeekIndex],25)&gt;0)&gt;0,SUMIFS(T_SelfStock[Self_Qty],T_SelfStock[RM_Code],$A74,T_SelfStock[WeekIndex],25)+SUMIFS(T_TTAFStock[TTAF_Qty],T_TTAFStock[RM_Code],$A74,T_TTAFStock[WeekIndex],25),Y74+'Grid_Incoming'!Z74-'Grid_Requirement'!Z74))</f>
        <v/>
      </c>
      <c r="AA74">
        <f>IF(COUNTIFS(T_StockCount[RM_Code],$A74,T_StockCount[WeekIndex],26)&gt;0,SUMIFS(T_StockCount[CountedQty],T_StockCount[RM_Code],$A74,T_StockCount[WeekIndex],26),IF((COUNTIFS(T_SelfStock[RM_Code],$A74,T_SelfStock[WeekIndex],26)&gt;0)*(COUNTIFS(T_TTAFStock[RM_Code],$A74,T_TTAFStock[WeekIndex],26)&gt;0)&gt;0,SUMIFS(T_SelfStock[Self_Qty],T_SelfStock[RM_Code],$A74,T_SelfStock[WeekIndex],26)+SUMIFS(T_TTAFStock[TTAF_Qty],T_TTAFStock[RM_Code],$A74,T_TTAFStock[WeekIndex],26),Z74+'Grid_Incoming'!AA74-'Grid_Requirement'!AA74))</f>
        <v/>
      </c>
      <c r="AB74">
        <f>IF(COUNTIFS(T_StockCount[RM_Code],$A74,T_StockCount[WeekIndex],27)&gt;0,SUMIFS(T_StockCount[CountedQty],T_StockCount[RM_Code],$A74,T_StockCount[WeekIndex],27),IF((COUNTIFS(T_SelfStock[RM_Code],$A74,T_SelfStock[WeekIndex],27)&gt;0)*(COUNTIFS(T_TTAFStock[RM_Code],$A74,T_TTAFStock[WeekIndex],27)&gt;0)&gt;0,SUMIFS(T_SelfStock[Self_Qty],T_SelfStock[RM_Code],$A74,T_SelfStock[WeekIndex],27)+SUMIFS(T_TTAFStock[TTAF_Qty],T_TTAFStock[RM_Code],$A74,T_TTAFStock[WeekIndex],27),AA74+'Grid_Incoming'!AB74-'Grid_Requirement'!AB74))</f>
        <v/>
      </c>
      <c r="AC74">
        <f>IF(COUNTIFS(T_StockCount[RM_Code],$A74,T_StockCount[WeekIndex],28)&gt;0,SUMIFS(T_StockCount[CountedQty],T_StockCount[RM_Code],$A74,T_StockCount[WeekIndex],28),IF((COUNTIFS(T_SelfStock[RM_Code],$A74,T_SelfStock[WeekIndex],28)&gt;0)*(COUNTIFS(T_TTAFStock[RM_Code],$A74,T_TTAFStock[WeekIndex],28)&gt;0)&gt;0,SUMIFS(T_SelfStock[Self_Qty],T_SelfStock[RM_Code],$A74,T_SelfStock[WeekIndex],28)+SUMIFS(T_TTAFStock[TTAF_Qty],T_TTAFStock[RM_Code],$A74,T_TTAFStock[WeekIndex],28),AB74+'Grid_Incoming'!AC74-'Grid_Requirement'!AC74))</f>
        <v/>
      </c>
      <c r="AD74">
        <f>IF(COUNTIFS(T_StockCount[RM_Code],$A74,T_StockCount[WeekIndex],29)&gt;0,SUMIFS(T_StockCount[CountedQty],T_StockCount[RM_Code],$A74,T_StockCount[WeekIndex],29),IF((COUNTIFS(T_SelfStock[RM_Code],$A74,T_SelfStock[WeekIndex],29)&gt;0)*(COUNTIFS(T_TTAFStock[RM_Code],$A74,T_TTAFStock[WeekIndex],29)&gt;0)&gt;0,SUMIFS(T_SelfStock[Self_Qty],T_SelfStock[RM_Code],$A74,T_SelfStock[WeekIndex],29)+SUMIFS(T_TTAFStock[TTAF_Qty],T_TTAFStock[RM_Code],$A74,T_TTAFStock[WeekIndex],29),AC74+'Grid_Incoming'!AD74-'Grid_Requirement'!AD74))</f>
        <v/>
      </c>
      <c r="AE74">
        <f>IF(COUNTIFS(T_StockCount[RM_Code],$A74,T_StockCount[WeekIndex],30)&gt;0,SUMIFS(T_StockCount[CountedQty],T_StockCount[RM_Code],$A74,T_StockCount[WeekIndex],30),IF((COUNTIFS(T_SelfStock[RM_Code],$A74,T_SelfStock[WeekIndex],30)&gt;0)*(COUNTIFS(T_TTAFStock[RM_Code],$A74,T_TTAFStock[WeekIndex],30)&gt;0)&gt;0,SUMIFS(T_SelfStock[Self_Qty],T_SelfStock[RM_Code],$A74,T_SelfStock[WeekIndex],30)+SUMIFS(T_TTAFStock[TTAF_Qty],T_TTAFStock[RM_Code],$A74,T_TTAFStock[WeekIndex],30),AD74+'Grid_Incoming'!AE74-'Grid_Requirement'!AE74))</f>
        <v/>
      </c>
      <c r="AF74">
        <f>IF(COUNTIFS(T_StockCount[RM_Code],$A74,T_StockCount[WeekIndex],31)&gt;0,SUMIFS(T_StockCount[CountedQty],T_StockCount[RM_Code],$A74,T_StockCount[WeekIndex],31),IF((COUNTIFS(T_SelfStock[RM_Code],$A74,T_SelfStock[WeekIndex],31)&gt;0)*(COUNTIFS(T_TTAFStock[RM_Code],$A74,T_TTAFStock[WeekIndex],31)&gt;0)&gt;0,SUMIFS(T_SelfStock[Self_Qty],T_SelfStock[RM_Code],$A74,T_SelfStock[WeekIndex],31)+SUMIFS(T_TTAFStock[TTAF_Qty],T_TTAFStock[RM_Code],$A74,T_TTAFStock[WeekIndex],31),AE74+'Grid_Incoming'!AF74-'Grid_Requirement'!AF74))</f>
        <v/>
      </c>
      <c r="AG74">
        <f>IF(COUNTIFS(T_StockCount[RM_Code],$A74,T_StockCount[WeekIndex],32)&gt;0,SUMIFS(T_StockCount[CountedQty],T_StockCount[RM_Code],$A74,T_StockCount[WeekIndex],32),IF((COUNTIFS(T_SelfStock[RM_Code],$A74,T_SelfStock[WeekIndex],32)&gt;0)*(COUNTIFS(T_TTAFStock[RM_Code],$A74,T_TTAFStock[WeekIndex],32)&gt;0)&gt;0,SUMIFS(T_SelfStock[Self_Qty],T_SelfStock[RM_Code],$A74,T_SelfStock[WeekIndex],32)+SUMIFS(T_TTAFStock[TTAF_Qty],T_TTAFStock[RM_Code],$A74,T_TTAFStock[WeekIndex],32),AF74+'Grid_Incoming'!AG74-'Grid_Requirement'!AG74))</f>
        <v/>
      </c>
      <c r="AH74">
        <f>IF(COUNTIFS(T_StockCount[RM_Code],$A74,T_StockCount[WeekIndex],33)&gt;0,SUMIFS(T_StockCount[CountedQty],T_StockCount[RM_Code],$A74,T_StockCount[WeekIndex],33),IF((COUNTIFS(T_SelfStock[RM_Code],$A74,T_SelfStock[WeekIndex],33)&gt;0)*(COUNTIFS(T_TTAFStock[RM_Code],$A74,T_TTAFStock[WeekIndex],33)&gt;0)&gt;0,SUMIFS(T_SelfStock[Self_Qty],T_SelfStock[RM_Code],$A74,T_SelfStock[WeekIndex],33)+SUMIFS(T_TTAFStock[TTAF_Qty],T_TTAFStock[RM_Code],$A74,T_TTAFStock[WeekIndex],33),AG74+'Grid_Incoming'!AH74-'Grid_Requirement'!AH74))</f>
        <v/>
      </c>
      <c r="AI74">
        <f>IF(COUNTIFS(T_StockCount[RM_Code],$A74,T_StockCount[WeekIndex],34)&gt;0,SUMIFS(T_StockCount[CountedQty],T_StockCount[RM_Code],$A74,T_StockCount[WeekIndex],34),IF((COUNTIFS(T_SelfStock[RM_Code],$A74,T_SelfStock[WeekIndex],34)&gt;0)*(COUNTIFS(T_TTAFStock[RM_Code],$A74,T_TTAFStock[WeekIndex],34)&gt;0)&gt;0,SUMIFS(T_SelfStock[Self_Qty],T_SelfStock[RM_Code],$A74,T_SelfStock[WeekIndex],34)+SUMIFS(T_TTAFStock[TTAF_Qty],T_TTAFStock[RM_Code],$A74,T_TTAFStock[WeekIndex],34),AH74+'Grid_Incoming'!AI74-'Grid_Requirement'!AI74))</f>
        <v/>
      </c>
      <c r="AJ74">
        <f>IF(COUNTIFS(T_StockCount[RM_Code],$A74,T_StockCount[WeekIndex],35)&gt;0,SUMIFS(T_StockCount[CountedQty],T_StockCount[RM_Code],$A74,T_StockCount[WeekIndex],35),IF((COUNTIFS(T_SelfStock[RM_Code],$A74,T_SelfStock[WeekIndex],35)&gt;0)*(COUNTIFS(T_TTAFStock[RM_Code],$A74,T_TTAFStock[WeekIndex],35)&gt;0)&gt;0,SUMIFS(T_SelfStock[Self_Qty],T_SelfStock[RM_Code],$A74,T_SelfStock[WeekIndex],35)+SUMIFS(T_TTAFStock[TTAF_Qty],T_TTAFStock[RM_Code],$A74,T_TTAFStock[WeekIndex],35),AI74+'Grid_Incoming'!AJ74-'Grid_Requirement'!AJ74))</f>
        <v/>
      </c>
      <c r="AK74">
        <f>IF(COUNTIFS(T_StockCount[RM_Code],$A74,T_StockCount[WeekIndex],36)&gt;0,SUMIFS(T_StockCount[CountedQty],T_StockCount[RM_Code],$A74,T_StockCount[WeekIndex],36),IF((COUNTIFS(T_SelfStock[RM_Code],$A74,T_SelfStock[WeekIndex],36)&gt;0)*(COUNTIFS(T_TTAFStock[RM_Code],$A74,T_TTAFStock[WeekIndex],36)&gt;0)&gt;0,SUMIFS(T_SelfStock[Self_Qty],T_SelfStock[RM_Code],$A74,T_SelfStock[WeekIndex],36)+SUMIFS(T_TTAFStock[TTAF_Qty],T_TTAFStock[RM_Code],$A74,T_TTAFStock[WeekIndex],36),AJ74+'Grid_Incoming'!AK74-'Grid_Requirement'!AK74))</f>
        <v/>
      </c>
      <c r="AL74">
        <f>IF(COUNTIFS(T_StockCount[RM_Code],$A74,T_StockCount[WeekIndex],37)&gt;0,SUMIFS(T_StockCount[CountedQty],T_StockCount[RM_Code],$A74,T_StockCount[WeekIndex],37),IF((COUNTIFS(T_SelfStock[RM_Code],$A74,T_SelfStock[WeekIndex],37)&gt;0)*(COUNTIFS(T_TTAFStock[RM_Code],$A74,T_TTAFStock[WeekIndex],37)&gt;0)&gt;0,SUMIFS(T_SelfStock[Self_Qty],T_SelfStock[RM_Code],$A74,T_SelfStock[WeekIndex],37)+SUMIFS(T_TTAFStock[TTAF_Qty],T_TTAFStock[RM_Code],$A74,T_TTAFStock[WeekIndex],37),AK74+'Grid_Incoming'!AL74-'Grid_Requirement'!AL74))</f>
        <v/>
      </c>
      <c r="AM74">
        <f>IF(COUNTIFS(T_StockCount[RM_Code],$A74,T_StockCount[WeekIndex],38)&gt;0,SUMIFS(T_StockCount[CountedQty],T_StockCount[RM_Code],$A74,T_StockCount[WeekIndex],38),IF((COUNTIFS(T_SelfStock[RM_Code],$A74,T_SelfStock[WeekIndex],38)&gt;0)*(COUNTIFS(T_TTAFStock[RM_Code],$A74,T_TTAFStock[WeekIndex],38)&gt;0)&gt;0,SUMIFS(T_SelfStock[Self_Qty],T_SelfStock[RM_Code],$A74,T_SelfStock[WeekIndex],38)+SUMIFS(T_TTAFStock[TTAF_Qty],T_TTAFStock[RM_Code],$A74,T_TTAFStock[WeekIndex],38),AL74+'Grid_Incoming'!AM74-'Grid_Requirement'!AM74))</f>
        <v/>
      </c>
      <c r="AN74">
        <f>IF(COUNTIFS(T_StockCount[RM_Code],$A74,T_StockCount[WeekIndex],39)&gt;0,SUMIFS(T_StockCount[CountedQty],T_StockCount[RM_Code],$A74,T_StockCount[WeekIndex],39),IF((COUNTIFS(T_SelfStock[RM_Code],$A74,T_SelfStock[WeekIndex],39)&gt;0)*(COUNTIFS(T_TTAFStock[RM_Code],$A74,T_TTAFStock[WeekIndex],39)&gt;0)&gt;0,SUMIFS(T_SelfStock[Self_Qty],T_SelfStock[RM_Code],$A74,T_SelfStock[WeekIndex],39)+SUMIFS(T_TTAFStock[TTAF_Qty],T_TTAFStock[RM_Code],$A74,T_TTAFStock[WeekIndex],39),AM74+'Grid_Incoming'!AN74-'Grid_Requirement'!AN74))</f>
        <v/>
      </c>
      <c r="AO74">
        <f>IF(COUNTIFS(T_StockCount[RM_Code],$A74,T_StockCount[WeekIndex],40)&gt;0,SUMIFS(T_StockCount[CountedQty],T_StockCount[RM_Code],$A74,T_StockCount[WeekIndex],40),IF((COUNTIFS(T_SelfStock[RM_Code],$A74,T_SelfStock[WeekIndex],40)&gt;0)*(COUNTIFS(T_TTAFStock[RM_Code],$A74,T_TTAFStock[WeekIndex],40)&gt;0)&gt;0,SUMIFS(T_SelfStock[Self_Qty],T_SelfStock[RM_Code],$A74,T_SelfStock[WeekIndex],40)+SUMIFS(T_TTAFStock[TTAF_Qty],T_TTAFStock[RM_Code],$A74,T_TTAFStock[WeekIndex],40),AN74+'Grid_Incoming'!AO74-'Grid_Requirement'!AO74))</f>
        <v/>
      </c>
      <c r="AP74">
        <f>IF(COUNTIFS(T_StockCount[RM_Code],$A74,T_StockCount[WeekIndex],41)&gt;0,SUMIFS(T_StockCount[CountedQty],T_StockCount[RM_Code],$A74,T_StockCount[WeekIndex],41),IF((COUNTIFS(T_SelfStock[RM_Code],$A74,T_SelfStock[WeekIndex],41)&gt;0)*(COUNTIFS(T_TTAFStock[RM_Code],$A74,T_TTAFStock[WeekIndex],41)&gt;0)&gt;0,SUMIFS(T_SelfStock[Self_Qty],T_SelfStock[RM_Code],$A74,T_SelfStock[WeekIndex],41)+SUMIFS(T_TTAFStock[TTAF_Qty],T_TTAFStock[RM_Code],$A74,T_TTAFStock[WeekIndex],41),AO74+'Grid_Incoming'!AP74-'Grid_Requirement'!AP74))</f>
        <v/>
      </c>
      <c r="AQ74">
        <f>IF(COUNTIFS(T_StockCount[RM_Code],$A74,T_StockCount[WeekIndex],42)&gt;0,SUMIFS(T_StockCount[CountedQty],T_StockCount[RM_Code],$A74,T_StockCount[WeekIndex],42),IF((COUNTIFS(T_SelfStock[RM_Code],$A74,T_SelfStock[WeekIndex],42)&gt;0)*(COUNTIFS(T_TTAFStock[RM_Code],$A74,T_TTAFStock[WeekIndex],42)&gt;0)&gt;0,SUMIFS(T_SelfStock[Self_Qty],T_SelfStock[RM_Code],$A74,T_SelfStock[WeekIndex],42)+SUMIFS(T_TTAFStock[TTAF_Qty],T_TTAFStock[RM_Code],$A74,T_TTAFStock[WeekIndex],42),AP74+'Grid_Incoming'!AQ74-'Grid_Requirement'!AQ74))</f>
        <v/>
      </c>
      <c r="AR74">
        <f>IF(COUNTIFS(T_StockCount[RM_Code],$A74,T_StockCount[WeekIndex],43)&gt;0,SUMIFS(T_StockCount[CountedQty],T_StockCount[RM_Code],$A74,T_StockCount[WeekIndex],43),IF((COUNTIFS(T_SelfStock[RM_Code],$A74,T_SelfStock[WeekIndex],43)&gt;0)*(COUNTIFS(T_TTAFStock[RM_Code],$A74,T_TTAFStock[WeekIndex],43)&gt;0)&gt;0,SUMIFS(T_SelfStock[Self_Qty],T_SelfStock[RM_Code],$A74,T_SelfStock[WeekIndex],43)+SUMIFS(T_TTAFStock[TTAF_Qty],T_TTAFStock[RM_Code],$A74,T_TTAFStock[WeekIndex],43),AQ74+'Grid_Incoming'!AR74-'Grid_Requirement'!AR74))</f>
        <v/>
      </c>
      <c r="AS74">
        <f>IF(COUNTIFS(T_StockCount[RM_Code],$A74,T_StockCount[WeekIndex],44)&gt;0,SUMIFS(T_StockCount[CountedQty],T_StockCount[RM_Code],$A74,T_StockCount[WeekIndex],44),IF((COUNTIFS(T_SelfStock[RM_Code],$A74,T_SelfStock[WeekIndex],44)&gt;0)*(COUNTIFS(T_TTAFStock[RM_Code],$A74,T_TTAFStock[WeekIndex],44)&gt;0)&gt;0,SUMIFS(T_SelfStock[Self_Qty],T_SelfStock[RM_Code],$A74,T_SelfStock[WeekIndex],44)+SUMIFS(T_TTAFStock[TTAF_Qty],T_TTAFStock[RM_Code],$A74,T_TTAFStock[WeekIndex],44),AR74+'Grid_Incoming'!AS74-'Grid_Requirement'!AS74))</f>
        <v/>
      </c>
      <c r="AT74">
        <f>IF(COUNTIFS(T_StockCount[RM_Code],$A74,T_StockCount[WeekIndex],45)&gt;0,SUMIFS(T_StockCount[CountedQty],T_StockCount[RM_Code],$A74,T_StockCount[WeekIndex],45),IF((COUNTIFS(T_SelfStock[RM_Code],$A74,T_SelfStock[WeekIndex],45)&gt;0)*(COUNTIFS(T_TTAFStock[RM_Code],$A74,T_TTAFStock[WeekIndex],45)&gt;0)&gt;0,SUMIFS(T_SelfStock[Self_Qty],T_SelfStock[RM_Code],$A74,T_SelfStock[WeekIndex],45)+SUMIFS(T_TTAFStock[TTAF_Qty],T_TTAFStock[RM_Code],$A74,T_TTAFStock[WeekIndex],45),AS74+'Grid_Incoming'!AT74-'Grid_Requirement'!AT74))</f>
        <v/>
      </c>
      <c r="AU74">
        <f>IF(COUNTIFS(T_StockCount[RM_Code],$A74,T_StockCount[WeekIndex],46)&gt;0,SUMIFS(T_StockCount[CountedQty],T_StockCount[RM_Code],$A74,T_StockCount[WeekIndex],46),IF((COUNTIFS(T_SelfStock[RM_Code],$A74,T_SelfStock[WeekIndex],46)&gt;0)*(COUNTIFS(T_TTAFStock[RM_Code],$A74,T_TTAFStock[WeekIndex],46)&gt;0)&gt;0,SUMIFS(T_SelfStock[Self_Qty],T_SelfStock[RM_Code],$A74,T_SelfStock[WeekIndex],46)+SUMIFS(T_TTAFStock[TTAF_Qty],T_TTAFStock[RM_Code],$A74,T_TTAFStock[WeekIndex],46),AT74+'Grid_Incoming'!AU74-'Grid_Requirement'!AU74))</f>
        <v/>
      </c>
      <c r="AV74">
        <f>IF(COUNTIFS(T_StockCount[RM_Code],$A74,T_StockCount[WeekIndex],47)&gt;0,SUMIFS(T_StockCount[CountedQty],T_StockCount[RM_Code],$A74,T_StockCount[WeekIndex],47),IF((COUNTIFS(T_SelfStock[RM_Code],$A74,T_SelfStock[WeekIndex],47)&gt;0)*(COUNTIFS(T_TTAFStock[RM_Code],$A74,T_TTAFStock[WeekIndex],47)&gt;0)&gt;0,SUMIFS(T_SelfStock[Self_Qty],T_SelfStock[RM_Code],$A74,T_SelfStock[WeekIndex],47)+SUMIFS(T_TTAFStock[TTAF_Qty],T_TTAFStock[RM_Code],$A74,T_TTAFStock[WeekIndex],47),AU74+'Grid_Incoming'!AV74-'Grid_Requirement'!AV74))</f>
        <v/>
      </c>
      <c r="AW74">
        <f>IF(COUNTIFS(T_StockCount[RM_Code],$A74,T_StockCount[WeekIndex],48)&gt;0,SUMIFS(T_StockCount[CountedQty],T_StockCount[RM_Code],$A74,T_StockCount[WeekIndex],48),IF((COUNTIFS(T_SelfStock[RM_Code],$A74,T_SelfStock[WeekIndex],48)&gt;0)*(COUNTIFS(T_TTAFStock[RM_Code],$A74,T_TTAFStock[WeekIndex],48)&gt;0)&gt;0,SUMIFS(T_SelfStock[Self_Qty],T_SelfStock[RM_Code],$A74,T_SelfStock[WeekIndex],48)+SUMIFS(T_TTAFStock[TTAF_Qty],T_TTAFStock[RM_Code],$A74,T_TTAFStock[WeekIndex],48),AV74+'Grid_Incoming'!AW74-'Grid_Requirement'!AW74))</f>
        <v/>
      </c>
      <c r="AX74">
        <f>IF(COUNTIFS(T_StockCount[RM_Code],$A74,T_StockCount[WeekIndex],49)&gt;0,SUMIFS(T_StockCount[CountedQty],T_StockCount[RM_Code],$A74,T_StockCount[WeekIndex],49),IF((COUNTIFS(T_SelfStock[RM_Code],$A74,T_SelfStock[WeekIndex],49)&gt;0)*(COUNTIFS(T_TTAFStock[RM_Code],$A74,T_TTAFStock[WeekIndex],49)&gt;0)&gt;0,SUMIFS(T_SelfStock[Self_Qty],T_SelfStock[RM_Code],$A74,T_SelfStock[WeekIndex],49)+SUMIFS(T_TTAFStock[TTAF_Qty],T_TTAFStock[RM_Code],$A74,T_TTAFStock[WeekIndex],49),AW74+'Grid_Incoming'!AX74-'Grid_Requirement'!AX74))</f>
        <v/>
      </c>
      <c r="AY74">
        <f>IF(COUNTIFS(T_StockCount[RM_Code],$A74,T_StockCount[WeekIndex],50)&gt;0,SUMIFS(T_StockCount[CountedQty],T_StockCount[RM_Code],$A74,T_StockCount[WeekIndex],50),IF((COUNTIFS(T_SelfStock[RM_Code],$A74,T_SelfStock[WeekIndex],50)&gt;0)*(COUNTIFS(T_TTAFStock[RM_Code],$A74,T_TTAFStock[WeekIndex],50)&gt;0)&gt;0,SUMIFS(T_SelfStock[Self_Qty],T_SelfStock[RM_Code],$A74,T_SelfStock[WeekIndex],50)+SUMIFS(T_TTAFStock[TTAF_Qty],T_TTAFStock[RM_Code],$A74,T_TTAFStock[WeekIndex],50),AX74+'Grid_Incoming'!AY74-'Grid_Requirement'!AY74))</f>
        <v/>
      </c>
      <c r="AZ74">
        <f>IF(COUNTIFS(T_StockCount[RM_Code],$A74,T_StockCount[WeekIndex],51)&gt;0,SUMIFS(T_StockCount[CountedQty],T_StockCount[RM_Code],$A74,T_StockCount[WeekIndex],51),IF((COUNTIFS(T_SelfStock[RM_Code],$A74,T_SelfStock[WeekIndex],51)&gt;0)*(COUNTIFS(T_TTAFStock[RM_Code],$A74,T_TTAFStock[WeekIndex],51)&gt;0)&gt;0,SUMIFS(T_SelfStock[Self_Qty],T_SelfStock[RM_Code],$A74,T_SelfStock[WeekIndex],51)+SUMIFS(T_TTAFStock[TTAF_Qty],T_TTAFStock[RM_Code],$A74,T_TTAFStock[WeekIndex],51),AY74+'Grid_Incoming'!AZ74-'Grid_Requirement'!AZ74))</f>
        <v/>
      </c>
      <c r="BA74">
        <f>IF(COUNTIFS(T_StockCount[RM_Code],$A74,T_StockCount[WeekIndex],52)&gt;0,SUMIFS(T_StockCount[CountedQty],T_StockCount[RM_Code],$A74,T_StockCount[WeekIndex],52),IF((COUNTIFS(T_SelfStock[RM_Code],$A74,T_SelfStock[WeekIndex],52)&gt;0)*(COUNTIFS(T_TTAFStock[RM_Code],$A74,T_TTAFStock[WeekIndex],52)&gt;0)&gt;0,SUMIFS(T_SelfStock[Self_Qty],T_SelfStock[RM_Code],$A74,T_SelfStock[WeekIndex],52)+SUMIFS(T_TTAFStock[TTAF_Qty],T_TTAFStock[RM_Code],$A74,T_TTAFStock[WeekIndex],52),AZ74+'Grid_Incoming'!BA74-'Grid_Requirement'!BA74))</f>
        <v/>
      </c>
      <c r="BB74">
        <f>IF(COUNTIFS(T_StockCount[RM_Code],$A74,T_StockCount[WeekIndex],53)&gt;0,SUMIFS(T_StockCount[CountedQty],T_StockCount[RM_Code],$A74,T_StockCount[WeekIndex],53),IF((COUNTIFS(T_SelfStock[RM_Code],$A74,T_SelfStock[WeekIndex],53)&gt;0)*(COUNTIFS(T_TTAFStock[RM_Code],$A74,T_TTAFStock[WeekIndex],53)&gt;0)&gt;0,SUMIFS(T_SelfStock[Self_Qty],T_SelfStock[RM_Code],$A74,T_SelfStock[WeekIndex],53)+SUMIFS(T_TTAFStock[TTAF_Qty],T_TTAFStock[RM_Code],$A74,T_TTAFStock[WeekIndex],53),BA74+'Grid_Incoming'!BB74-'Grid_Requirement'!BB74))</f>
        <v/>
      </c>
      <c r="BC74">
        <f>IF(COUNTIFS(T_StockCount[RM_Code],$A74,T_StockCount[WeekIndex],54)&gt;0,SUMIFS(T_StockCount[CountedQty],T_StockCount[RM_Code],$A74,T_StockCount[WeekIndex],54),IF((COUNTIFS(T_SelfStock[RM_Code],$A74,T_SelfStock[WeekIndex],54)&gt;0)*(COUNTIFS(T_TTAFStock[RM_Code],$A74,T_TTAFStock[WeekIndex],54)&gt;0)&gt;0,SUMIFS(T_SelfStock[Self_Qty],T_SelfStock[RM_Code],$A74,T_SelfStock[WeekIndex],54)+SUMIFS(T_TTAFStock[TTAF_Qty],T_TTAFStock[RM_Code],$A74,T_TTAFStock[WeekIndex],54),BB74+'Grid_Incoming'!BC74-'Grid_Requirement'!BC74))</f>
        <v/>
      </c>
      <c r="BD74">
        <f>IF(COUNTIFS(T_StockCount[RM_Code],$A74,T_StockCount[WeekIndex],55)&gt;0,SUMIFS(T_StockCount[CountedQty],T_StockCount[RM_Code],$A74,T_StockCount[WeekIndex],55),IF((COUNTIFS(T_SelfStock[RM_Code],$A74,T_SelfStock[WeekIndex],55)&gt;0)*(COUNTIFS(T_TTAFStock[RM_Code],$A74,T_TTAFStock[WeekIndex],55)&gt;0)&gt;0,SUMIFS(T_SelfStock[Self_Qty],T_SelfStock[RM_Code],$A74,T_SelfStock[WeekIndex],55)+SUMIFS(T_TTAFStock[TTAF_Qty],T_TTAFStock[RM_Code],$A74,T_TTAFStock[WeekIndex],55),BC74+'Grid_Incoming'!BD74-'Grid_Requirement'!BD74))</f>
        <v/>
      </c>
      <c r="BE74">
        <f>IF(COUNTIFS(T_StockCount[RM_Code],$A74,T_StockCount[WeekIndex],56)&gt;0,SUMIFS(T_StockCount[CountedQty],T_StockCount[RM_Code],$A74,T_StockCount[WeekIndex],56),IF((COUNTIFS(T_SelfStock[RM_Code],$A74,T_SelfStock[WeekIndex],56)&gt;0)*(COUNTIFS(T_TTAFStock[RM_Code],$A74,T_TTAFStock[WeekIndex],56)&gt;0)&gt;0,SUMIFS(T_SelfStock[Self_Qty],T_SelfStock[RM_Code],$A74,T_SelfStock[WeekIndex],56)+SUMIFS(T_TTAFStock[TTAF_Qty],T_TTAFStock[RM_Code],$A74,T_TTAFStock[WeekIndex],56),BD74+'Grid_Incoming'!BE74-'Grid_Requirement'!BE74))</f>
        <v/>
      </c>
      <c r="BF74">
        <f>IF(COUNTIFS(T_StockCount[RM_Code],$A74,T_StockCount[WeekIndex],57)&gt;0,SUMIFS(T_StockCount[CountedQty],T_StockCount[RM_Code],$A74,T_StockCount[WeekIndex],57),IF((COUNTIFS(T_SelfStock[RM_Code],$A74,T_SelfStock[WeekIndex],57)&gt;0)*(COUNTIFS(T_TTAFStock[RM_Code],$A74,T_TTAFStock[WeekIndex],57)&gt;0)&gt;0,SUMIFS(T_SelfStock[Self_Qty],T_SelfStock[RM_Code],$A74,T_SelfStock[WeekIndex],57)+SUMIFS(T_TTAFStock[TTAF_Qty],T_TTAFStock[RM_Code],$A74,T_TTAFStock[WeekIndex],57),BE74+'Grid_Incoming'!BF74-'Grid_Requirement'!BF74))</f>
        <v/>
      </c>
      <c r="BG74">
        <f>IF(COUNTIFS(T_StockCount[RM_Code],$A74,T_StockCount[WeekIndex],58)&gt;0,SUMIFS(T_StockCount[CountedQty],T_StockCount[RM_Code],$A74,T_StockCount[WeekIndex],58),IF((COUNTIFS(T_SelfStock[RM_Code],$A74,T_SelfStock[WeekIndex],58)&gt;0)*(COUNTIFS(T_TTAFStock[RM_Code],$A74,T_TTAFStock[WeekIndex],58)&gt;0)&gt;0,SUMIFS(T_SelfStock[Self_Qty],T_SelfStock[RM_Code],$A74,T_SelfStock[WeekIndex],58)+SUMIFS(T_TTAFStock[TTAF_Qty],T_TTAFStock[RM_Code],$A74,T_TTAFStock[WeekIndex],58),BF74+'Grid_Incoming'!BG74-'Grid_Requirement'!BG74))</f>
        <v/>
      </c>
      <c r="BH74">
        <f>IF(COUNTIFS(T_StockCount[RM_Code],$A74,T_StockCount[WeekIndex],59)&gt;0,SUMIFS(T_StockCount[CountedQty],T_StockCount[RM_Code],$A74,T_StockCount[WeekIndex],59),IF((COUNTIFS(T_SelfStock[RM_Code],$A74,T_SelfStock[WeekIndex],59)&gt;0)*(COUNTIFS(T_TTAFStock[RM_Code],$A74,T_TTAFStock[WeekIndex],59)&gt;0)&gt;0,SUMIFS(T_SelfStock[Self_Qty],T_SelfStock[RM_Code],$A74,T_SelfStock[WeekIndex],59)+SUMIFS(T_TTAFStock[TTAF_Qty],T_TTAFStock[RM_Code],$A74,T_TTAFStock[WeekIndex],59),BG74+'Grid_Incoming'!BH74-'Grid_Requirement'!BH74))</f>
        <v/>
      </c>
      <c r="BI74">
        <f>IF(COUNTIFS(T_StockCount[RM_Code],$A74,T_StockCount[WeekIndex],60)&gt;0,SUMIFS(T_StockCount[CountedQty],T_StockCount[RM_Code],$A74,T_StockCount[WeekIndex],60),IF((COUNTIFS(T_SelfStock[RM_Code],$A74,T_SelfStock[WeekIndex],60)&gt;0)*(COUNTIFS(T_TTAFStock[RM_Code],$A74,T_TTAFStock[WeekIndex],60)&gt;0)&gt;0,SUMIFS(T_SelfStock[Self_Qty],T_SelfStock[RM_Code],$A74,T_SelfStock[WeekIndex],60)+SUMIFS(T_TTAFStock[TTAF_Qty],T_TTAFStock[RM_Code],$A74,T_TTAFStock[WeekIndex],60),BH74+'Grid_Incoming'!BI74-'Grid_Requirement'!BI74))</f>
        <v/>
      </c>
      <c r="BJ74">
        <f>IF(COUNTIFS(T_StockCount[RM_Code],$A74,T_StockCount[WeekIndex],61)&gt;0,SUMIFS(T_StockCount[CountedQty],T_StockCount[RM_Code],$A74,T_StockCount[WeekIndex],61),IF((COUNTIFS(T_SelfStock[RM_Code],$A74,T_SelfStock[WeekIndex],61)&gt;0)*(COUNTIFS(T_TTAFStock[RM_Code],$A74,T_TTAFStock[WeekIndex],61)&gt;0)&gt;0,SUMIFS(T_SelfStock[Self_Qty],T_SelfStock[RM_Code],$A74,T_SelfStock[WeekIndex],61)+SUMIFS(T_TTAFStock[TTAF_Qty],T_TTAFStock[RM_Code],$A74,T_TTAFStock[WeekIndex],61),BI74+'Grid_Incoming'!BJ74-'Grid_Requirement'!BJ74))</f>
        <v/>
      </c>
      <c r="BK74">
        <f>IF(COUNTIFS(T_StockCount[RM_Code],$A74,T_StockCount[WeekIndex],62)&gt;0,SUMIFS(T_StockCount[CountedQty],T_StockCount[RM_Code],$A74,T_StockCount[WeekIndex],62),IF((COUNTIFS(T_SelfStock[RM_Code],$A74,T_SelfStock[WeekIndex],62)&gt;0)*(COUNTIFS(T_TTAFStock[RM_Code],$A74,T_TTAFStock[WeekIndex],62)&gt;0)&gt;0,SUMIFS(T_SelfStock[Self_Qty],T_SelfStock[RM_Code],$A74,T_SelfStock[WeekIndex],62)+SUMIFS(T_TTAFStock[TTAF_Qty],T_TTAFStock[RM_Code],$A74,T_TTAFStock[WeekIndex],62),BJ74+'Grid_Incoming'!BK74-'Grid_Requirement'!BK74))</f>
        <v/>
      </c>
      <c r="BL74">
        <f>IF(COUNTIFS(T_StockCount[RM_Code],$A74,T_StockCount[WeekIndex],63)&gt;0,SUMIFS(T_StockCount[CountedQty],T_StockCount[RM_Code],$A74,T_StockCount[WeekIndex],63),IF((COUNTIFS(T_SelfStock[RM_Code],$A74,T_SelfStock[WeekIndex],63)&gt;0)*(COUNTIFS(T_TTAFStock[RM_Code],$A74,T_TTAFStock[WeekIndex],63)&gt;0)&gt;0,SUMIFS(T_SelfStock[Self_Qty],T_SelfStock[RM_Code],$A74,T_SelfStock[WeekIndex],63)+SUMIFS(T_TTAFStock[TTAF_Qty],T_TTAFStock[RM_Code],$A74,T_TTAFStock[WeekIndex],63),BK74+'Grid_Incoming'!BL74-'Grid_Requirement'!BL74))</f>
        <v/>
      </c>
      <c r="BM74">
        <f>IF(COUNTIFS(T_StockCount[RM_Code],$A74,T_StockCount[WeekIndex],64)&gt;0,SUMIFS(T_StockCount[CountedQty],T_StockCount[RM_Code],$A74,T_StockCount[WeekIndex],64),IF((COUNTIFS(T_SelfStock[RM_Code],$A74,T_SelfStock[WeekIndex],64)&gt;0)*(COUNTIFS(T_TTAFStock[RM_Code],$A74,T_TTAFStock[WeekIndex],64)&gt;0)&gt;0,SUMIFS(T_SelfStock[Self_Qty],T_SelfStock[RM_Code],$A74,T_SelfStock[WeekIndex],64)+SUMIFS(T_TTAFStock[TTAF_Qty],T_TTAFStock[RM_Code],$A74,T_TTAFStock[WeekIndex],64),BL74+'Grid_Incoming'!BM74-'Grid_Requirement'!BM74))</f>
        <v/>
      </c>
      <c r="BN74">
        <f>IF(COUNTIFS(T_StockCount[RM_Code],$A74,T_StockCount[WeekIndex],65)&gt;0,SUMIFS(T_StockCount[CountedQty],T_StockCount[RM_Code],$A74,T_StockCount[WeekIndex],65),IF((COUNTIFS(T_SelfStock[RM_Code],$A74,T_SelfStock[WeekIndex],65)&gt;0)*(COUNTIFS(T_TTAFStock[RM_Code],$A74,T_TTAFStock[WeekIndex],65)&gt;0)&gt;0,SUMIFS(T_SelfStock[Self_Qty],T_SelfStock[RM_Code],$A74,T_SelfStock[WeekIndex],65)+SUMIFS(T_TTAFStock[TTAF_Qty],T_TTAFStock[RM_Code],$A74,T_TTAFStock[WeekIndex],65),BM74+'Grid_Incoming'!BN74-'Grid_Requirement'!BN74))</f>
        <v/>
      </c>
      <c r="BO74">
        <f>IF(COUNTIFS(T_StockCount[RM_Code],$A74,T_StockCount[WeekIndex],66)&gt;0,SUMIFS(T_StockCount[CountedQty],T_StockCount[RM_Code],$A74,T_StockCount[WeekIndex],66),IF((COUNTIFS(T_SelfStock[RM_Code],$A74,T_SelfStock[WeekIndex],66)&gt;0)*(COUNTIFS(T_TTAFStock[RM_Code],$A74,T_TTAFStock[WeekIndex],66)&gt;0)&gt;0,SUMIFS(T_SelfStock[Self_Qty],T_SelfStock[RM_Code],$A74,T_SelfStock[WeekIndex],66)+SUMIFS(T_TTAFStock[TTAF_Qty],T_TTAFStock[RM_Code],$A74,T_TTAFStock[WeekIndex],66),BN74+'Grid_Incoming'!BO74-'Grid_Requirement'!BO74))</f>
        <v/>
      </c>
      <c r="BP74">
        <f>IF(COUNTIFS(T_StockCount[RM_Code],$A74,T_StockCount[WeekIndex],67)&gt;0,SUMIFS(T_StockCount[CountedQty],T_StockCount[RM_Code],$A74,T_StockCount[WeekIndex],67),IF((COUNTIFS(T_SelfStock[RM_Code],$A74,T_SelfStock[WeekIndex],67)&gt;0)*(COUNTIFS(T_TTAFStock[RM_Code],$A74,T_TTAFStock[WeekIndex],67)&gt;0)&gt;0,SUMIFS(T_SelfStock[Self_Qty],T_SelfStock[RM_Code],$A74,T_SelfStock[WeekIndex],67)+SUMIFS(T_TTAFStock[TTAF_Qty],T_TTAFStock[RM_Code],$A74,T_TTAFStock[WeekIndex],67),BO74+'Grid_Incoming'!BP74-'Grid_Requirement'!BP74))</f>
        <v/>
      </c>
      <c r="BQ74">
        <f>IF(COUNTIFS(T_StockCount[RM_Code],$A74,T_StockCount[WeekIndex],68)&gt;0,SUMIFS(T_StockCount[CountedQty],T_StockCount[RM_Code],$A74,T_StockCount[WeekIndex],68),IF((COUNTIFS(T_SelfStock[RM_Code],$A74,T_SelfStock[WeekIndex],68)&gt;0)*(COUNTIFS(T_TTAFStock[RM_Code],$A74,T_TTAFStock[WeekIndex],68)&gt;0)&gt;0,SUMIFS(T_SelfStock[Self_Qty],T_SelfStock[RM_Code],$A74,T_SelfStock[WeekIndex],68)+SUMIFS(T_TTAFStock[TTAF_Qty],T_TTAFStock[RM_Code],$A74,T_TTAFStock[WeekIndex],68),BP74+'Grid_Incoming'!BQ74-'Grid_Requirement'!BQ74))</f>
        <v/>
      </c>
      <c r="BR74">
        <f>IF(COUNTIFS(T_StockCount[RM_Code],$A74,T_StockCount[WeekIndex],69)&gt;0,SUMIFS(T_StockCount[CountedQty],T_StockCount[RM_Code],$A74,T_StockCount[WeekIndex],69),IF((COUNTIFS(T_SelfStock[RM_Code],$A74,T_SelfStock[WeekIndex],69)&gt;0)*(COUNTIFS(T_TTAFStock[RM_Code],$A74,T_TTAFStock[WeekIndex],69)&gt;0)&gt;0,SUMIFS(T_SelfStock[Self_Qty],T_SelfStock[RM_Code],$A74,T_SelfStock[WeekIndex],69)+SUMIFS(T_TTAFStock[TTAF_Qty],T_TTAFStock[RM_Code],$A74,T_TTAFStock[WeekIndex],69),BQ74+'Grid_Incoming'!BR74-'Grid_Requirement'!BR74))</f>
        <v/>
      </c>
      <c r="BS74">
        <f>IF(COUNTIFS(T_StockCount[RM_Code],$A74,T_StockCount[WeekIndex],70)&gt;0,SUMIFS(T_StockCount[CountedQty],T_StockCount[RM_Code],$A74,T_StockCount[WeekIndex],70),IF((COUNTIFS(T_SelfStock[RM_Code],$A74,T_SelfStock[WeekIndex],70)&gt;0)*(COUNTIFS(T_TTAFStock[RM_Code],$A74,T_TTAFStock[WeekIndex],70)&gt;0)&gt;0,SUMIFS(T_SelfStock[Self_Qty],T_SelfStock[RM_Code],$A74,T_SelfStock[WeekIndex],70)+SUMIFS(T_TTAFStock[TTAF_Qty],T_TTAFStock[RM_Code],$A74,T_TTAFStock[WeekIndex],70),BR74+'Grid_Incoming'!BS74-'Grid_Requirement'!BS74))</f>
        <v/>
      </c>
      <c r="BT74">
        <f>IF(COUNTIFS(T_StockCount[RM_Code],$A74,T_StockCount[WeekIndex],71)&gt;0,SUMIFS(T_StockCount[CountedQty],T_StockCount[RM_Code],$A74,T_StockCount[WeekIndex],71),IF((COUNTIFS(T_SelfStock[RM_Code],$A74,T_SelfStock[WeekIndex],71)&gt;0)*(COUNTIFS(T_TTAFStock[RM_Code],$A74,T_TTAFStock[WeekIndex],71)&gt;0)&gt;0,SUMIFS(T_SelfStock[Self_Qty],T_SelfStock[RM_Code],$A74,T_SelfStock[WeekIndex],71)+SUMIFS(T_TTAFStock[TTAF_Qty],T_TTAFStock[RM_Code],$A74,T_TTAFStock[WeekIndex],71),BS74+'Grid_Incoming'!BT74-'Grid_Requirement'!BT74))</f>
        <v/>
      </c>
      <c r="BU74">
        <f>IF(COUNTIFS(T_StockCount[RM_Code],$A74,T_StockCount[WeekIndex],72)&gt;0,SUMIFS(T_StockCount[CountedQty],T_StockCount[RM_Code],$A74,T_StockCount[WeekIndex],72),IF((COUNTIFS(T_SelfStock[RM_Code],$A74,T_SelfStock[WeekIndex],72)&gt;0)*(COUNTIFS(T_TTAFStock[RM_Code],$A74,T_TTAFStock[WeekIndex],72)&gt;0)&gt;0,SUMIFS(T_SelfStock[Self_Qty],T_SelfStock[RM_Code],$A74,T_SelfStock[WeekIndex],72)+SUMIFS(T_TTAFStock[TTAF_Qty],T_TTAFStock[RM_Code],$A74,T_TTAFStock[WeekIndex],72),BT74+'Grid_Incoming'!BU74-'Grid_Requirement'!BU74))</f>
        <v/>
      </c>
      <c r="BV74">
        <f>IF(COUNTIFS(T_StockCount[RM_Code],$A74,T_StockCount[WeekIndex],73)&gt;0,SUMIFS(T_StockCount[CountedQty],T_StockCount[RM_Code],$A74,T_StockCount[WeekIndex],73),IF((COUNTIFS(T_SelfStock[RM_Code],$A74,T_SelfStock[WeekIndex],73)&gt;0)*(COUNTIFS(T_TTAFStock[RM_Code],$A74,T_TTAFStock[WeekIndex],73)&gt;0)&gt;0,SUMIFS(T_SelfStock[Self_Qty],T_SelfStock[RM_Code],$A74,T_SelfStock[WeekIndex],73)+SUMIFS(T_TTAFStock[TTAF_Qty],T_TTAFStock[RM_Code],$A74,T_TTAFStock[WeekIndex],73),BU74+'Grid_Incoming'!BV74-'Grid_Requirement'!BV74))</f>
        <v/>
      </c>
      <c r="BW74">
        <f>IF(COUNTIFS(T_StockCount[RM_Code],$A74,T_StockCount[WeekIndex],74)&gt;0,SUMIFS(T_StockCount[CountedQty],T_StockCount[RM_Code],$A74,T_StockCount[WeekIndex],74),IF((COUNTIFS(T_SelfStock[RM_Code],$A74,T_SelfStock[WeekIndex],74)&gt;0)*(COUNTIFS(T_TTAFStock[RM_Code],$A74,T_TTAFStock[WeekIndex],74)&gt;0)&gt;0,SUMIFS(T_SelfStock[Self_Qty],T_SelfStock[RM_Code],$A74,T_SelfStock[WeekIndex],74)+SUMIFS(T_TTAFStock[TTAF_Qty],T_TTAFStock[RM_Code],$A74,T_TTAFStock[WeekIndex],74),BV74+'Grid_Incoming'!BW74-'Grid_Requirement'!BW74))</f>
        <v/>
      </c>
      <c r="BX74">
        <f>IF(COUNTIFS(T_StockCount[RM_Code],$A74,T_StockCount[WeekIndex],75)&gt;0,SUMIFS(T_StockCount[CountedQty],T_StockCount[RM_Code],$A74,T_StockCount[WeekIndex],75),IF((COUNTIFS(T_SelfStock[RM_Code],$A74,T_SelfStock[WeekIndex],75)&gt;0)*(COUNTIFS(T_TTAFStock[RM_Code],$A74,T_TTAFStock[WeekIndex],75)&gt;0)&gt;0,SUMIFS(T_SelfStock[Self_Qty],T_SelfStock[RM_Code],$A74,T_SelfStock[WeekIndex],75)+SUMIFS(T_TTAFStock[TTAF_Qty],T_TTAFStock[RM_Code],$A74,T_TTAFStock[WeekIndex],75),BW74+'Grid_Incoming'!BX74-'Grid_Requirement'!BX74))</f>
        <v/>
      </c>
      <c r="BY74">
        <f>IF(COUNTIFS(T_StockCount[RM_Code],$A74,T_StockCount[WeekIndex],76)&gt;0,SUMIFS(T_StockCount[CountedQty],T_StockCount[RM_Code],$A74,T_StockCount[WeekIndex],76),IF((COUNTIFS(T_SelfStock[RM_Code],$A74,T_SelfStock[WeekIndex],76)&gt;0)*(COUNTIFS(T_TTAFStock[RM_Code],$A74,T_TTAFStock[WeekIndex],76)&gt;0)&gt;0,SUMIFS(T_SelfStock[Self_Qty],T_SelfStock[RM_Code],$A74,T_SelfStock[WeekIndex],76)+SUMIFS(T_TTAFStock[TTAF_Qty],T_TTAFStock[RM_Code],$A74,T_TTAFStock[WeekIndex],76),BX74+'Grid_Incoming'!BY74-'Grid_Requirement'!BY74))</f>
        <v/>
      </c>
      <c r="BZ74">
        <f>IF(COUNTIFS(T_StockCount[RM_Code],$A74,T_StockCount[WeekIndex],77)&gt;0,SUMIFS(T_StockCount[CountedQty],T_StockCount[RM_Code],$A74,T_StockCount[WeekIndex],77),IF((COUNTIFS(T_SelfStock[RM_Code],$A74,T_SelfStock[WeekIndex],77)&gt;0)*(COUNTIFS(T_TTAFStock[RM_Code],$A74,T_TTAFStock[WeekIndex],77)&gt;0)&gt;0,SUMIFS(T_SelfStock[Self_Qty],T_SelfStock[RM_Code],$A74,T_SelfStock[WeekIndex],77)+SUMIFS(T_TTAFStock[TTAF_Qty],T_TTAFStock[RM_Code],$A74,T_TTAFStock[WeekIndex],77),BY74+'Grid_Incoming'!BZ74-'Grid_Requirement'!BZ74))</f>
        <v/>
      </c>
      <c r="CA74">
        <f>IF(COUNTIFS(T_StockCount[RM_Code],$A74,T_StockCount[WeekIndex],78)&gt;0,SUMIFS(T_StockCount[CountedQty],T_StockCount[RM_Code],$A74,T_StockCount[WeekIndex],78),IF((COUNTIFS(T_SelfStock[RM_Code],$A74,T_SelfStock[WeekIndex],78)&gt;0)*(COUNTIFS(T_TTAFStock[RM_Code],$A74,T_TTAFStock[WeekIndex],78)&gt;0)&gt;0,SUMIFS(T_SelfStock[Self_Qty],T_SelfStock[RM_Code],$A74,T_SelfStock[WeekIndex],78)+SUMIFS(T_TTAFStock[TTAF_Qty],T_TTAFStock[RM_Code],$A74,T_TTAFStock[WeekIndex],78),BZ74+'Grid_Incoming'!CA74-'Grid_Requirement'!CA74))</f>
        <v/>
      </c>
      <c r="CB74">
        <f>IF(COUNTIFS(T_StockCount[RM_Code],$A74,T_StockCount[WeekIndex],79)&gt;0,SUMIFS(T_StockCount[CountedQty],T_StockCount[RM_Code],$A74,T_StockCount[WeekIndex],79),IF((COUNTIFS(T_SelfStock[RM_Code],$A74,T_SelfStock[WeekIndex],79)&gt;0)*(COUNTIFS(T_TTAFStock[RM_Code],$A74,T_TTAFStock[WeekIndex],79)&gt;0)&gt;0,SUMIFS(T_SelfStock[Self_Qty],T_SelfStock[RM_Code],$A74,T_SelfStock[WeekIndex],79)+SUMIFS(T_TTAFStock[TTAF_Qty],T_TTAFStock[RM_Code],$A74,T_TTAFStock[WeekIndex],79),CA74+'Grid_Incoming'!CB74-'Grid_Requirement'!CB74))</f>
        <v/>
      </c>
      <c r="CC74">
        <f>IF(COUNTIFS(T_StockCount[RM_Code],$A74,T_StockCount[WeekIndex],80)&gt;0,SUMIFS(T_StockCount[CountedQty],T_StockCount[RM_Code],$A74,T_StockCount[WeekIndex],80),IF((COUNTIFS(T_SelfStock[RM_Code],$A74,T_SelfStock[WeekIndex],80)&gt;0)*(COUNTIFS(T_TTAFStock[RM_Code],$A74,T_TTAFStock[WeekIndex],80)&gt;0)&gt;0,SUMIFS(T_SelfStock[Self_Qty],T_SelfStock[RM_Code],$A74,T_SelfStock[WeekIndex],80)+SUMIFS(T_TTAFStock[TTAF_Qty],T_TTAFStock[RM_Code],$A74,T_TTAFStock[WeekIndex],80),CB74+'Grid_Incoming'!CC74-'Grid_Requirement'!CC74))</f>
        <v/>
      </c>
      <c r="CD74">
        <f>IF(COUNTIFS(T_StockCount[RM_Code],$A74,T_StockCount[WeekIndex],81)&gt;0,SUMIFS(T_StockCount[CountedQty],T_StockCount[RM_Code],$A74,T_StockCount[WeekIndex],81),IF((COUNTIFS(T_SelfStock[RM_Code],$A74,T_SelfStock[WeekIndex],81)&gt;0)*(COUNTIFS(T_TTAFStock[RM_Code],$A74,T_TTAFStock[WeekIndex],81)&gt;0)&gt;0,SUMIFS(T_SelfStock[Self_Qty],T_SelfStock[RM_Code],$A74,T_SelfStock[WeekIndex],81)+SUMIFS(T_TTAFStock[TTAF_Qty],T_TTAFStock[RM_Code],$A74,T_TTAFStock[WeekIndex],81),CC74+'Grid_Incoming'!CD74-'Grid_Requirement'!CD74))</f>
        <v/>
      </c>
      <c r="CE74">
        <f>IF(COUNTIFS(T_StockCount[RM_Code],$A74,T_StockCount[WeekIndex],82)&gt;0,SUMIFS(T_StockCount[CountedQty],T_StockCount[RM_Code],$A74,T_StockCount[WeekIndex],82),IF((COUNTIFS(T_SelfStock[RM_Code],$A74,T_SelfStock[WeekIndex],82)&gt;0)*(COUNTIFS(T_TTAFStock[RM_Code],$A74,T_TTAFStock[WeekIndex],82)&gt;0)&gt;0,SUMIFS(T_SelfStock[Self_Qty],T_SelfStock[RM_Code],$A74,T_SelfStock[WeekIndex],82)+SUMIFS(T_TTAFStock[TTAF_Qty],T_TTAFStock[RM_Code],$A74,T_TTAFStock[WeekIndex],82),CD74+'Grid_Incoming'!CE74-'Grid_Requirement'!CE74))</f>
        <v/>
      </c>
      <c r="CF74">
        <f>IF(COUNTIFS(T_StockCount[RM_Code],$A74,T_StockCount[WeekIndex],83)&gt;0,SUMIFS(T_StockCount[CountedQty],T_StockCount[RM_Code],$A74,T_StockCount[WeekIndex],83),IF((COUNTIFS(T_SelfStock[RM_Code],$A74,T_SelfStock[WeekIndex],83)&gt;0)*(COUNTIFS(T_TTAFStock[RM_Code],$A74,T_TTAFStock[WeekIndex],83)&gt;0)&gt;0,SUMIFS(T_SelfStock[Self_Qty],T_SelfStock[RM_Code],$A74,T_SelfStock[WeekIndex],83)+SUMIFS(T_TTAFStock[TTAF_Qty],T_TTAFStock[RM_Code],$A74,T_TTAFStock[WeekIndex],83),CE74+'Grid_Incoming'!CF74-'Grid_Requirement'!CF74))</f>
        <v/>
      </c>
      <c r="CG74">
        <f>IF(COUNTIFS(T_StockCount[RM_Code],$A74,T_StockCount[WeekIndex],84)&gt;0,SUMIFS(T_StockCount[CountedQty],T_StockCount[RM_Code],$A74,T_StockCount[WeekIndex],84),IF((COUNTIFS(T_SelfStock[RM_Code],$A74,T_SelfStock[WeekIndex],84)&gt;0)*(COUNTIFS(T_TTAFStock[RM_Code],$A74,T_TTAFStock[WeekIndex],84)&gt;0)&gt;0,SUMIFS(T_SelfStock[Self_Qty],T_SelfStock[RM_Code],$A74,T_SelfStock[WeekIndex],84)+SUMIFS(T_TTAFStock[TTAF_Qty],T_TTAFStock[RM_Code],$A74,T_TTAFStock[WeekIndex],84),CF74+'Grid_Incoming'!CG74-'Grid_Requirement'!CG74))</f>
        <v/>
      </c>
      <c r="CH74">
        <f>IF(COUNTIFS(T_StockCount[RM_Code],$A74,T_StockCount[WeekIndex],85)&gt;0,SUMIFS(T_StockCount[CountedQty],T_StockCount[RM_Code],$A74,T_StockCount[WeekIndex],85),IF((COUNTIFS(T_SelfStock[RM_Code],$A74,T_SelfStock[WeekIndex],85)&gt;0)*(COUNTIFS(T_TTAFStock[RM_Code],$A74,T_TTAFStock[WeekIndex],85)&gt;0)&gt;0,SUMIFS(T_SelfStock[Self_Qty],T_SelfStock[RM_Code],$A74,T_SelfStock[WeekIndex],85)+SUMIFS(T_TTAFStock[TTAF_Qty],T_TTAFStock[RM_Code],$A74,T_TTAFStock[WeekIndex],85),CG74+'Grid_Incoming'!CH74-'Grid_Requirement'!CH74))</f>
        <v/>
      </c>
      <c r="CI74">
        <f>IF(COUNTIFS(T_StockCount[RM_Code],$A74,T_StockCount[WeekIndex],86)&gt;0,SUMIFS(T_StockCount[CountedQty],T_StockCount[RM_Code],$A74,T_StockCount[WeekIndex],86),IF((COUNTIFS(T_SelfStock[RM_Code],$A74,T_SelfStock[WeekIndex],86)&gt;0)*(COUNTIFS(T_TTAFStock[RM_Code],$A74,T_TTAFStock[WeekIndex],86)&gt;0)&gt;0,SUMIFS(T_SelfStock[Self_Qty],T_SelfStock[RM_Code],$A74,T_SelfStock[WeekIndex],86)+SUMIFS(T_TTAFStock[TTAF_Qty],T_TTAFStock[RM_Code],$A74,T_TTAFStock[WeekIndex],86),CH74+'Grid_Incoming'!CI74-'Grid_Requirement'!CI74))</f>
        <v/>
      </c>
      <c r="CJ74">
        <f>IF(COUNTIFS(T_StockCount[RM_Code],$A74,T_StockCount[WeekIndex],87)&gt;0,SUMIFS(T_StockCount[CountedQty],T_StockCount[RM_Code],$A74,T_StockCount[WeekIndex],87),IF((COUNTIFS(T_SelfStock[RM_Code],$A74,T_SelfStock[WeekIndex],87)&gt;0)*(COUNTIFS(T_TTAFStock[RM_Code],$A74,T_TTAFStock[WeekIndex],87)&gt;0)&gt;0,SUMIFS(T_SelfStock[Self_Qty],T_SelfStock[RM_Code],$A74,T_SelfStock[WeekIndex],87)+SUMIFS(T_TTAFStock[TTAF_Qty],T_TTAFStock[RM_Code],$A74,T_TTAFStock[WeekIndex],87),CI74+'Grid_Incoming'!CJ74-'Grid_Requirement'!CJ74))</f>
        <v/>
      </c>
      <c r="CK74">
        <f>IF(COUNTIFS(T_StockCount[RM_Code],$A74,T_StockCount[WeekIndex],88)&gt;0,SUMIFS(T_StockCount[CountedQty],T_StockCount[RM_Code],$A74,T_StockCount[WeekIndex],88),IF((COUNTIFS(T_SelfStock[RM_Code],$A74,T_SelfStock[WeekIndex],88)&gt;0)*(COUNTIFS(T_TTAFStock[RM_Code],$A74,T_TTAFStock[WeekIndex],88)&gt;0)&gt;0,SUMIFS(T_SelfStock[Self_Qty],T_SelfStock[RM_Code],$A74,T_SelfStock[WeekIndex],88)+SUMIFS(T_TTAFStock[TTAF_Qty],T_TTAFStock[RM_Code],$A74,T_TTAFStock[WeekIndex],88),CJ74+'Grid_Incoming'!CK74-'Grid_Requirement'!CK74))</f>
        <v/>
      </c>
      <c r="CL74">
        <f>IF(COUNTIFS(T_StockCount[RM_Code],$A74,T_StockCount[WeekIndex],89)&gt;0,SUMIFS(T_StockCount[CountedQty],T_StockCount[RM_Code],$A74,T_StockCount[WeekIndex],89),IF((COUNTIFS(T_SelfStock[RM_Code],$A74,T_SelfStock[WeekIndex],89)&gt;0)*(COUNTIFS(T_TTAFStock[RM_Code],$A74,T_TTAFStock[WeekIndex],89)&gt;0)&gt;0,SUMIFS(T_SelfStock[Self_Qty],T_SelfStock[RM_Code],$A74,T_SelfStock[WeekIndex],89)+SUMIFS(T_TTAFStock[TTAF_Qty],T_TTAFStock[RM_Code],$A74,T_TTAFStock[WeekIndex],89),CK74+'Grid_Incoming'!CL74-'Grid_Requirement'!CL74))</f>
        <v/>
      </c>
      <c r="CM74">
        <f>IF(COUNTIFS(T_StockCount[RM_Code],$A74,T_StockCount[WeekIndex],90)&gt;0,SUMIFS(T_StockCount[CountedQty],T_StockCount[RM_Code],$A74,T_StockCount[WeekIndex],90),IF((COUNTIFS(T_SelfStock[RM_Code],$A74,T_SelfStock[WeekIndex],90)&gt;0)*(COUNTIFS(T_TTAFStock[RM_Code],$A74,T_TTAFStock[WeekIndex],90)&gt;0)&gt;0,SUMIFS(T_SelfStock[Self_Qty],T_SelfStock[RM_Code],$A74,T_SelfStock[WeekIndex],90)+SUMIFS(T_TTAFStock[TTAF_Qty],T_TTAFStock[RM_Code],$A74,T_TTAFStock[WeekIndex],90),CL74+'Grid_Incoming'!CM74-'Grid_Requirement'!CM74))</f>
        <v/>
      </c>
      <c r="CN74">
        <f>IF(COUNTIFS(T_StockCount[RM_Code],$A74,T_StockCount[WeekIndex],91)&gt;0,SUMIFS(T_StockCount[CountedQty],T_StockCount[RM_Code],$A74,T_StockCount[WeekIndex],91),IF((COUNTIFS(T_SelfStock[RM_Code],$A74,T_SelfStock[WeekIndex],91)&gt;0)*(COUNTIFS(T_TTAFStock[RM_Code],$A74,T_TTAFStock[WeekIndex],91)&gt;0)&gt;0,SUMIFS(T_SelfStock[Self_Qty],T_SelfStock[RM_Code],$A74,T_SelfStock[WeekIndex],91)+SUMIFS(T_TTAFStock[TTAF_Qty],T_TTAFStock[RM_Code],$A74,T_TTAFStock[WeekIndex],91),CM74+'Grid_Incoming'!CN74-'Grid_Requirement'!CN74))</f>
        <v/>
      </c>
      <c r="CO74">
        <f>IF(COUNTIFS(T_StockCount[RM_Code],$A74,T_StockCount[WeekIndex],92)&gt;0,SUMIFS(T_StockCount[CountedQty],T_StockCount[RM_Code],$A74,T_StockCount[WeekIndex],92),IF((COUNTIFS(T_SelfStock[RM_Code],$A74,T_SelfStock[WeekIndex],92)&gt;0)*(COUNTIFS(T_TTAFStock[RM_Code],$A74,T_TTAFStock[WeekIndex],92)&gt;0)&gt;0,SUMIFS(T_SelfStock[Self_Qty],T_SelfStock[RM_Code],$A74,T_SelfStock[WeekIndex],92)+SUMIFS(T_TTAFStock[TTAF_Qty],T_TTAFStock[RM_Code],$A74,T_TTAFStock[WeekIndex],92),CN74+'Grid_Incoming'!CO74-'Grid_Requirement'!CO74))</f>
        <v/>
      </c>
      <c r="CP74">
        <f>IF(COUNTIFS(T_StockCount[RM_Code],$A74,T_StockCount[WeekIndex],93)&gt;0,SUMIFS(T_StockCount[CountedQty],T_StockCount[RM_Code],$A74,T_StockCount[WeekIndex],93),IF((COUNTIFS(T_SelfStock[RM_Code],$A74,T_SelfStock[WeekIndex],93)&gt;0)*(COUNTIFS(T_TTAFStock[RM_Code],$A74,T_TTAFStock[WeekIndex],93)&gt;0)&gt;0,SUMIFS(T_SelfStock[Self_Qty],T_SelfStock[RM_Code],$A74,T_SelfStock[WeekIndex],93)+SUMIFS(T_TTAFStock[TTAF_Qty],T_TTAFStock[RM_Code],$A74,T_TTAFStock[WeekIndex],93),CO74+'Grid_Incoming'!CP74-'Grid_Requirement'!CP74))</f>
        <v/>
      </c>
      <c r="CQ74">
        <f>IF(COUNTIFS(T_StockCount[RM_Code],$A74,T_StockCount[WeekIndex],94)&gt;0,SUMIFS(T_StockCount[CountedQty],T_StockCount[RM_Code],$A74,T_StockCount[WeekIndex],94),IF((COUNTIFS(T_SelfStock[RM_Code],$A74,T_SelfStock[WeekIndex],94)&gt;0)*(COUNTIFS(T_TTAFStock[RM_Code],$A74,T_TTAFStock[WeekIndex],94)&gt;0)&gt;0,SUMIFS(T_SelfStock[Self_Qty],T_SelfStock[RM_Code],$A74,T_SelfStock[WeekIndex],94)+SUMIFS(T_TTAFStock[TTAF_Qty],T_TTAFStock[RM_Code],$A74,T_TTAFStock[WeekIndex],94),CP74+'Grid_Incoming'!CQ74-'Grid_Requirement'!CQ74))</f>
        <v/>
      </c>
      <c r="CR74">
        <f>IF(COUNTIFS(T_StockCount[RM_Code],$A74,T_StockCount[WeekIndex],95)&gt;0,SUMIFS(T_StockCount[CountedQty],T_StockCount[RM_Code],$A74,T_StockCount[WeekIndex],95),IF((COUNTIFS(T_SelfStock[RM_Code],$A74,T_SelfStock[WeekIndex],95)&gt;0)*(COUNTIFS(T_TTAFStock[RM_Code],$A74,T_TTAFStock[WeekIndex],95)&gt;0)&gt;0,SUMIFS(T_SelfStock[Self_Qty],T_SelfStock[RM_Code],$A74,T_SelfStock[WeekIndex],95)+SUMIFS(T_TTAFStock[TTAF_Qty],T_TTAFStock[RM_Code],$A74,T_TTAFStock[WeekIndex],95),CQ74+'Grid_Incoming'!CR74-'Grid_Requirement'!CR74))</f>
        <v/>
      </c>
      <c r="CS74">
        <f>IF(COUNTIFS(T_StockCount[RM_Code],$A74,T_StockCount[WeekIndex],96)&gt;0,SUMIFS(T_StockCount[CountedQty],T_StockCount[RM_Code],$A74,T_StockCount[WeekIndex],96),IF((COUNTIFS(T_SelfStock[RM_Code],$A74,T_SelfStock[WeekIndex],96)&gt;0)*(COUNTIFS(T_TTAFStock[RM_Code],$A74,T_TTAFStock[WeekIndex],96)&gt;0)&gt;0,SUMIFS(T_SelfStock[Self_Qty],T_SelfStock[RM_Code],$A74,T_SelfStock[WeekIndex],96)+SUMIFS(T_TTAFStock[TTAF_Qty],T_TTAFStock[RM_Code],$A74,T_TTAFStock[WeekIndex],96),CR74+'Grid_Incoming'!CS74-'Grid_Requirement'!CS74))</f>
        <v/>
      </c>
      <c r="CT74">
        <f>IF(COUNTIFS(T_StockCount[RM_Code],$A74,T_StockCount[WeekIndex],97)&gt;0,SUMIFS(T_StockCount[CountedQty],T_StockCount[RM_Code],$A74,T_StockCount[WeekIndex],97),IF((COUNTIFS(T_SelfStock[RM_Code],$A74,T_SelfStock[WeekIndex],97)&gt;0)*(COUNTIFS(T_TTAFStock[RM_Code],$A74,T_TTAFStock[WeekIndex],97)&gt;0)&gt;0,SUMIFS(T_SelfStock[Self_Qty],T_SelfStock[RM_Code],$A74,T_SelfStock[WeekIndex],97)+SUMIFS(T_TTAFStock[TTAF_Qty],T_TTAFStock[RM_Code],$A74,T_TTAFStock[WeekIndex],97),CS74+'Grid_Incoming'!CT74-'Grid_Requirement'!CT74))</f>
        <v/>
      </c>
      <c r="CU74">
        <f>IF(COUNTIFS(T_StockCount[RM_Code],$A74,T_StockCount[WeekIndex],98)&gt;0,SUMIFS(T_StockCount[CountedQty],T_StockCount[RM_Code],$A74,T_StockCount[WeekIndex],98),IF((COUNTIFS(T_SelfStock[RM_Code],$A74,T_SelfStock[WeekIndex],98)&gt;0)*(COUNTIFS(T_TTAFStock[RM_Code],$A74,T_TTAFStock[WeekIndex],98)&gt;0)&gt;0,SUMIFS(T_SelfStock[Self_Qty],T_SelfStock[RM_Code],$A74,T_SelfStock[WeekIndex],98)+SUMIFS(T_TTAFStock[TTAF_Qty],T_TTAFStock[RM_Code],$A74,T_TTAFStock[WeekIndex],98),CT74+'Grid_Incoming'!CU74-'Grid_Requirement'!CU74))</f>
        <v/>
      </c>
      <c r="CV74">
        <f>IF(COUNTIFS(T_StockCount[RM_Code],$A74,T_StockCount[WeekIndex],99)&gt;0,SUMIFS(T_StockCount[CountedQty],T_StockCount[RM_Code],$A74,T_StockCount[WeekIndex],99),IF((COUNTIFS(T_SelfStock[RM_Code],$A74,T_SelfStock[WeekIndex],99)&gt;0)*(COUNTIFS(T_TTAFStock[RM_Code],$A74,T_TTAFStock[WeekIndex],99)&gt;0)&gt;0,SUMIFS(T_SelfStock[Self_Qty],T_SelfStock[RM_Code],$A74,T_SelfStock[WeekIndex],99)+SUMIFS(T_TTAFStock[TTAF_Qty],T_TTAFStock[RM_Code],$A74,T_TTAFStock[WeekIndex],99),CU74+'Grid_Incoming'!CV74-'Grid_Requirement'!CV74))</f>
        <v/>
      </c>
      <c r="CW74">
        <f>IF(COUNTIFS(T_StockCount[RM_Code],$A74,T_StockCount[WeekIndex],100)&gt;0,SUMIFS(T_StockCount[CountedQty],T_StockCount[RM_Code],$A74,T_StockCount[WeekIndex],100),IF((COUNTIFS(T_SelfStock[RM_Code],$A74,T_SelfStock[WeekIndex],100)&gt;0)*(COUNTIFS(T_TTAFStock[RM_Code],$A74,T_TTAFStock[WeekIndex],100)&gt;0)&gt;0,SUMIFS(T_SelfStock[Self_Qty],T_SelfStock[RM_Code],$A74,T_SelfStock[WeekIndex],100)+SUMIFS(T_TTAFStock[TTAF_Qty],T_TTAFStock[RM_Code],$A74,T_TTAFStock[WeekIndex],100),CV74+'Grid_Incoming'!CW74-'Grid_Requirement'!CW74))</f>
        <v/>
      </c>
      <c r="CX74">
        <f>IF(COUNTIFS(T_StockCount[RM_Code],$A74,T_StockCount[WeekIndex],101)&gt;0,SUMIFS(T_StockCount[CountedQty],T_StockCount[RM_Code],$A74,T_StockCount[WeekIndex],101),IF((COUNTIFS(T_SelfStock[RM_Code],$A74,T_SelfStock[WeekIndex],101)&gt;0)*(COUNTIFS(T_TTAFStock[RM_Code],$A74,T_TTAFStock[WeekIndex],101)&gt;0)&gt;0,SUMIFS(T_SelfStock[Self_Qty],T_SelfStock[RM_Code],$A74,T_SelfStock[WeekIndex],101)+SUMIFS(T_TTAFStock[TTAF_Qty],T_TTAFStock[RM_Code],$A74,T_TTAFStock[WeekIndex],101),CW74+'Grid_Incoming'!CX74-'Grid_Requirement'!CX74))</f>
        <v/>
      </c>
      <c r="CY74">
        <f>IF(COUNTIFS(T_StockCount[RM_Code],$A74,T_StockCount[WeekIndex],102)&gt;0,SUMIFS(T_StockCount[CountedQty],T_StockCount[RM_Code],$A74,T_StockCount[WeekIndex],102),IF((COUNTIFS(T_SelfStock[RM_Code],$A74,T_SelfStock[WeekIndex],102)&gt;0)*(COUNTIFS(T_TTAFStock[RM_Code],$A74,T_TTAFStock[WeekIndex],102)&gt;0)&gt;0,SUMIFS(T_SelfStock[Self_Qty],T_SelfStock[RM_Code],$A74,T_SelfStock[WeekIndex],102)+SUMIFS(T_TTAFStock[TTAF_Qty],T_TTAFStock[RM_Code],$A74,T_TTAFStock[WeekIndex],102),CX74+'Grid_Incoming'!CY74-'Grid_Requirement'!CY74))</f>
        <v/>
      </c>
      <c r="CZ74">
        <f>IF(COUNTIFS(T_StockCount[RM_Code],$A74,T_StockCount[WeekIndex],103)&gt;0,SUMIFS(T_StockCount[CountedQty],T_StockCount[RM_Code],$A74,T_StockCount[WeekIndex],103),IF((COUNTIFS(T_SelfStock[RM_Code],$A74,T_SelfStock[WeekIndex],103)&gt;0)*(COUNTIFS(T_TTAFStock[RM_Code],$A74,T_TTAFStock[WeekIndex],103)&gt;0)&gt;0,SUMIFS(T_SelfStock[Self_Qty],T_SelfStock[RM_Code],$A74,T_SelfStock[WeekIndex],103)+SUMIFS(T_TTAFStock[TTAF_Qty],T_TTAFStock[RM_Code],$A74,T_TTAFStock[WeekIndex],103),CY74+'Grid_Incoming'!CZ74-'Grid_Requirement'!CZ74))</f>
        <v/>
      </c>
      <c r="DA74">
        <f>IF(COUNTIFS(T_StockCount[RM_Code],$A74,T_StockCount[WeekIndex],104)&gt;0,SUMIFS(T_StockCount[CountedQty],T_StockCount[RM_Code],$A74,T_StockCount[WeekIndex],104),IF((COUNTIFS(T_SelfStock[RM_Code],$A74,T_SelfStock[WeekIndex],104)&gt;0)*(COUNTIFS(T_TTAFStock[RM_Code],$A74,T_TTAFStock[WeekIndex],104)&gt;0)&gt;0,SUMIFS(T_SelfStock[Self_Qty],T_SelfStock[RM_Code],$A74,T_SelfStock[WeekIndex],104)+SUMIFS(T_TTAFStock[TTAF_Qty],T_TTAFStock[RM_Code],$A74,T_TTAFStock[WeekIndex],104),CZ74+'Grid_Incoming'!DA74-'Grid_Requirement'!DA74))</f>
        <v/>
      </c>
    </row>
    <row r="75">
      <c r="A75" t="inlineStr">
        <is>
          <t>CHEM-1500</t>
        </is>
      </c>
      <c r="B75">
        <f>IF(COUNTIFS(T_StockCount[RM_Code],$A75,T_StockCount[WeekIndex],1)&gt;0,SUMIFS(T_StockCount[CountedQty],T_StockCount[RM_Code],$A75,T_StockCount[WeekIndex],1),IF((COUNTIFS(T_SelfStock[RM_Code],$A75,T_SelfStock[WeekIndex],1)&gt;0)*(COUNTIFS(T_TTAFStock[RM_Code],$A75,T_TTAFStock[WeekIndex],1)&gt;0)&gt;0,SUMIFS(T_SelfStock[Self_Qty],T_SelfStock[RM_Code],$A75,T_SelfStock[WeekIndex],1)+SUMIFS(T_TTAFStock[TTAF_Qty],T_TTAFStock[RM_Code],$A75,T_TTAFStock[WeekIndex],1),IFERROR(INDEX(T_OpeningStock[Opening_Qty],MATCH($A75,T_OpeningStock[RM_Code],0)),0)+'Grid_Incoming'!B75-'Grid_Requirement'!B75))</f>
        <v/>
      </c>
      <c r="C75">
        <f>IF(COUNTIFS(T_StockCount[RM_Code],$A75,T_StockCount[WeekIndex],2)&gt;0,SUMIFS(T_StockCount[CountedQty],T_StockCount[RM_Code],$A75,T_StockCount[WeekIndex],2),IF((COUNTIFS(T_SelfStock[RM_Code],$A75,T_SelfStock[WeekIndex],2)&gt;0)*(COUNTIFS(T_TTAFStock[RM_Code],$A75,T_TTAFStock[WeekIndex],2)&gt;0)&gt;0,SUMIFS(T_SelfStock[Self_Qty],T_SelfStock[RM_Code],$A75,T_SelfStock[WeekIndex],2)+SUMIFS(T_TTAFStock[TTAF_Qty],T_TTAFStock[RM_Code],$A75,T_TTAFStock[WeekIndex],2),B75+'Grid_Incoming'!C75-'Grid_Requirement'!C75))</f>
        <v/>
      </c>
      <c r="D75">
        <f>IF(COUNTIFS(T_StockCount[RM_Code],$A75,T_StockCount[WeekIndex],3)&gt;0,SUMIFS(T_StockCount[CountedQty],T_StockCount[RM_Code],$A75,T_StockCount[WeekIndex],3),IF((COUNTIFS(T_SelfStock[RM_Code],$A75,T_SelfStock[WeekIndex],3)&gt;0)*(COUNTIFS(T_TTAFStock[RM_Code],$A75,T_TTAFStock[WeekIndex],3)&gt;0)&gt;0,SUMIFS(T_SelfStock[Self_Qty],T_SelfStock[RM_Code],$A75,T_SelfStock[WeekIndex],3)+SUMIFS(T_TTAFStock[TTAF_Qty],T_TTAFStock[RM_Code],$A75,T_TTAFStock[WeekIndex],3),C75+'Grid_Incoming'!D75-'Grid_Requirement'!D75))</f>
        <v/>
      </c>
      <c r="E75">
        <f>IF(COUNTIFS(T_StockCount[RM_Code],$A75,T_StockCount[WeekIndex],4)&gt;0,SUMIFS(T_StockCount[CountedQty],T_StockCount[RM_Code],$A75,T_StockCount[WeekIndex],4),IF((COUNTIFS(T_SelfStock[RM_Code],$A75,T_SelfStock[WeekIndex],4)&gt;0)*(COUNTIFS(T_TTAFStock[RM_Code],$A75,T_TTAFStock[WeekIndex],4)&gt;0)&gt;0,SUMIFS(T_SelfStock[Self_Qty],T_SelfStock[RM_Code],$A75,T_SelfStock[WeekIndex],4)+SUMIFS(T_TTAFStock[TTAF_Qty],T_TTAFStock[RM_Code],$A75,T_TTAFStock[WeekIndex],4),D75+'Grid_Incoming'!E75-'Grid_Requirement'!E75))</f>
        <v/>
      </c>
      <c r="F75">
        <f>IF(COUNTIFS(T_StockCount[RM_Code],$A75,T_StockCount[WeekIndex],5)&gt;0,SUMIFS(T_StockCount[CountedQty],T_StockCount[RM_Code],$A75,T_StockCount[WeekIndex],5),IF((COUNTIFS(T_SelfStock[RM_Code],$A75,T_SelfStock[WeekIndex],5)&gt;0)*(COUNTIFS(T_TTAFStock[RM_Code],$A75,T_TTAFStock[WeekIndex],5)&gt;0)&gt;0,SUMIFS(T_SelfStock[Self_Qty],T_SelfStock[RM_Code],$A75,T_SelfStock[WeekIndex],5)+SUMIFS(T_TTAFStock[TTAF_Qty],T_TTAFStock[RM_Code],$A75,T_TTAFStock[WeekIndex],5),E75+'Grid_Incoming'!F75-'Grid_Requirement'!F75))</f>
        <v/>
      </c>
      <c r="G75">
        <f>IF(COUNTIFS(T_StockCount[RM_Code],$A75,T_StockCount[WeekIndex],6)&gt;0,SUMIFS(T_StockCount[CountedQty],T_StockCount[RM_Code],$A75,T_StockCount[WeekIndex],6),IF((COUNTIFS(T_SelfStock[RM_Code],$A75,T_SelfStock[WeekIndex],6)&gt;0)*(COUNTIFS(T_TTAFStock[RM_Code],$A75,T_TTAFStock[WeekIndex],6)&gt;0)&gt;0,SUMIFS(T_SelfStock[Self_Qty],T_SelfStock[RM_Code],$A75,T_SelfStock[WeekIndex],6)+SUMIFS(T_TTAFStock[TTAF_Qty],T_TTAFStock[RM_Code],$A75,T_TTAFStock[WeekIndex],6),F75+'Grid_Incoming'!G75-'Grid_Requirement'!G75))</f>
        <v/>
      </c>
      <c r="H75">
        <f>IF(COUNTIFS(T_StockCount[RM_Code],$A75,T_StockCount[WeekIndex],7)&gt;0,SUMIFS(T_StockCount[CountedQty],T_StockCount[RM_Code],$A75,T_StockCount[WeekIndex],7),IF((COUNTIFS(T_SelfStock[RM_Code],$A75,T_SelfStock[WeekIndex],7)&gt;0)*(COUNTIFS(T_TTAFStock[RM_Code],$A75,T_TTAFStock[WeekIndex],7)&gt;0)&gt;0,SUMIFS(T_SelfStock[Self_Qty],T_SelfStock[RM_Code],$A75,T_SelfStock[WeekIndex],7)+SUMIFS(T_TTAFStock[TTAF_Qty],T_TTAFStock[RM_Code],$A75,T_TTAFStock[WeekIndex],7),G75+'Grid_Incoming'!H75-'Grid_Requirement'!H75))</f>
        <v/>
      </c>
      <c r="I75">
        <f>IF(COUNTIFS(T_StockCount[RM_Code],$A75,T_StockCount[WeekIndex],8)&gt;0,SUMIFS(T_StockCount[CountedQty],T_StockCount[RM_Code],$A75,T_StockCount[WeekIndex],8),IF((COUNTIFS(T_SelfStock[RM_Code],$A75,T_SelfStock[WeekIndex],8)&gt;0)*(COUNTIFS(T_TTAFStock[RM_Code],$A75,T_TTAFStock[WeekIndex],8)&gt;0)&gt;0,SUMIFS(T_SelfStock[Self_Qty],T_SelfStock[RM_Code],$A75,T_SelfStock[WeekIndex],8)+SUMIFS(T_TTAFStock[TTAF_Qty],T_TTAFStock[RM_Code],$A75,T_TTAFStock[WeekIndex],8),H75+'Grid_Incoming'!I75-'Grid_Requirement'!I75))</f>
        <v/>
      </c>
      <c r="J75">
        <f>IF(COUNTIFS(T_StockCount[RM_Code],$A75,T_StockCount[WeekIndex],9)&gt;0,SUMIFS(T_StockCount[CountedQty],T_StockCount[RM_Code],$A75,T_StockCount[WeekIndex],9),IF((COUNTIFS(T_SelfStock[RM_Code],$A75,T_SelfStock[WeekIndex],9)&gt;0)*(COUNTIFS(T_TTAFStock[RM_Code],$A75,T_TTAFStock[WeekIndex],9)&gt;0)&gt;0,SUMIFS(T_SelfStock[Self_Qty],T_SelfStock[RM_Code],$A75,T_SelfStock[WeekIndex],9)+SUMIFS(T_TTAFStock[TTAF_Qty],T_TTAFStock[RM_Code],$A75,T_TTAFStock[WeekIndex],9),I75+'Grid_Incoming'!J75-'Grid_Requirement'!J75))</f>
        <v/>
      </c>
      <c r="K75">
        <f>IF(COUNTIFS(T_StockCount[RM_Code],$A75,T_StockCount[WeekIndex],10)&gt;0,SUMIFS(T_StockCount[CountedQty],T_StockCount[RM_Code],$A75,T_StockCount[WeekIndex],10),IF((COUNTIFS(T_SelfStock[RM_Code],$A75,T_SelfStock[WeekIndex],10)&gt;0)*(COUNTIFS(T_TTAFStock[RM_Code],$A75,T_TTAFStock[WeekIndex],10)&gt;0)&gt;0,SUMIFS(T_SelfStock[Self_Qty],T_SelfStock[RM_Code],$A75,T_SelfStock[WeekIndex],10)+SUMIFS(T_TTAFStock[TTAF_Qty],T_TTAFStock[RM_Code],$A75,T_TTAFStock[WeekIndex],10),J75+'Grid_Incoming'!K75-'Grid_Requirement'!K75))</f>
        <v/>
      </c>
      <c r="L75">
        <f>IF(COUNTIFS(T_StockCount[RM_Code],$A75,T_StockCount[WeekIndex],11)&gt;0,SUMIFS(T_StockCount[CountedQty],T_StockCount[RM_Code],$A75,T_StockCount[WeekIndex],11),IF((COUNTIFS(T_SelfStock[RM_Code],$A75,T_SelfStock[WeekIndex],11)&gt;0)*(COUNTIFS(T_TTAFStock[RM_Code],$A75,T_TTAFStock[WeekIndex],11)&gt;0)&gt;0,SUMIFS(T_SelfStock[Self_Qty],T_SelfStock[RM_Code],$A75,T_SelfStock[WeekIndex],11)+SUMIFS(T_TTAFStock[TTAF_Qty],T_TTAFStock[RM_Code],$A75,T_TTAFStock[WeekIndex],11),K75+'Grid_Incoming'!L75-'Grid_Requirement'!L75))</f>
        <v/>
      </c>
      <c r="M75">
        <f>IF(COUNTIFS(T_StockCount[RM_Code],$A75,T_StockCount[WeekIndex],12)&gt;0,SUMIFS(T_StockCount[CountedQty],T_StockCount[RM_Code],$A75,T_StockCount[WeekIndex],12),IF((COUNTIFS(T_SelfStock[RM_Code],$A75,T_SelfStock[WeekIndex],12)&gt;0)*(COUNTIFS(T_TTAFStock[RM_Code],$A75,T_TTAFStock[WeekIndex],12)&gt;0)&gt;0,SUMIFS(T_SelfStock[Self_Qty],T_SelfStock[RM_Code],$A75,T_SelfStock[WeekIndex],12)+SUMIFS(T_TTAFStock[TTAF_Qty],T_TTAFStock[RM_Code],$A75,T_TTAFStock[WeekIndex],12),L75+'Grid_Incoming'!M75-'Grid_Requirement'!M75))</f>
        <v/>
      </c>
      <c r="N75">
        <f>IF(COUNTIFS(T_StockCount[RM_Code],$A75,T_StockCount[WeekIndex],13)&gt;0,SUMIFS(T_StockCount[CountedQty],T_StockCount[RM_Code],$A75,T_StockCount[WeekIndex],13),IF((COUNTIFS(T_SelfStock[RM_Code],$A75,T_SelfStock[WeekIndex],13)&gt;0)*(COUNTIFS(T_TTAFStock[RM_Code],$A75,T_TTAFStock[WeekIndex],13)&gt;0)&gt;0,SUMIFS(T_SelfStock[Self_Qty],T_SelfStock[RM_Code],$A75,T_SelfStock[WeekIndex],13)+SUMIFS(T_TTAFStock[TTAF_Qty],T_TTAFStock[RM_Code],$A75,T_TTAFStock[WeekIndex],13),M75+'Grid_Incoming'!N75-'Grid_Requirement'!N75))</f>
        <v/>
      </c>
      <c r="O75">
        <f>IF(COUNTIFS(T_StockCount[RM_Code],$A75,T_StockCount[WeekIndex],14)&gt;0,SUMIFS(T_StockCount[CountedQty],T_StockCount[RM_Code],$A75,T_StockCount[WeekIndex],14),IF((COUNTIFS(T_SelfStock[RM_Code],$A75,T_SelfStock[WeekIndex],14)&gt;0)*(COUNTIFS(T_TTAFStock[RM_Code],$A75,T_TTAFStock[WeekIndex],14)&gt;0)&gt;0,SUMIFS(T_SelfStock[Self_Qty],T_SelfStock[RM_Code],$A75,T_SelfStock[WeekIndex],14)+SUMIFS(T_TTAFStock[TTAF_Qty],T_TTAFStock[RM_Code],$A75,T_TTAFStock[WeekIndex],14),N75+'Grid_Incoming'!O75-'Grid_Requirement'!O75))</f>
        <v/>
      </c>
      <c r="P75">
        <f>IF(COUNTIFS(T_StockCount[RM_Code],$A75,T_StockCount[WeekIndex],15)&gt;0,SUMIFS(T_StockCount[CountedQty],T_StockCount[RM_Code],$A75,T_StockCount[WeekIndex],15),IF((COUNTIFS(T_SelfStock[RM_Code],$A75,T_SelfStock[WeekIndex],15)&gt;0)*(COUNTIFS(T_TTAFStock[RM_Code],$A75,T_TTAFStock[WeekIndex],15)&gt;0)&gt;0,SUMIFS(T_SelfStock[Self_Qty],T_SelfStock[RM_Code],$A75,T_SelfStock[WeekIndex],15)+SUMIFS(T_TTAFStock[TTAF_Qty],T_TTAFStock[RM_Code],$A75,T_TTAFStock[WeekIndex],15),O75+'Grid_Incoming'!P75-'Grid_Requirement'!P75))</f>
        <v/>
      </c>
      <c r="Q75">
        <f>IF(COUNTIFS(T_StockCount[RM_Code],$A75,T_StockCount[WeekIndex],16)&gt;0,SUMIFS(T_StockCount[CountedQty],T_StockCount[RM_Code],$A75,T_StockCount[WeekIndex],16),IF((COUNTIFS(T_SelfStock[RM_Code],$A75,T_SelfStock[WeekIndex],16)&gt;0)*(COUNTIFS(T_TTAFStock[RM_Code],$A75,T_TTAFStock[WeekIndex],16)&gt;0)&gt;0,SUMIFS(T_SelfStock[Self_Qty],T_SelfStock[RM_Code],$A75,T_SelfStock[WeekIndex],16)+SUMIFS(T_TTAFStock[TTAF_Qty],T_TTAFStock[RM_Code],$A75,T_TTAFStock[WeekIndex],16),P75+'Grid_Incoming'!Q75-'Grid_Requirement'!Q75))</f>
        <v/>
      </c>
      <c r="R75">
        <f>IF(COUNTIFS(T_StockCount[RM_Code],$A75,T_StockCount[WeekIndex],17)&gt;0,SUMIFS(T_StockCount[CountedQty],T_StockCount[RM_Code],$A75,T_StockCount[WeekIndex],17),IF((COUNTIFS(T_SelfStock[RM_Code],$A75,T_SelfStock[WeekIndex],17)&gt;0)*(COUNTIFS(T_TTAFStock[RM_Code],$A75,T_TTAFStock[WeekIndex],17)&gt;0)&gt;0,SUMIFS(T_SelfStock[Self_Qty],T_SelfStock[RM_Code],$A75,T_SelfStock[WeekIndex],17)+SUMIFS(T_TTAFStock[TTAF_Qty],T_TTAFStock[RM_Code],$A75,T_TTAFStock[WeekIndex],17),Q75+'Grid_Incoming'!R75-'Grid_Requirement'!R75))</f>
        <v/>
      </c>
      <c r="S75">
        <f>IF(COUNTIFS(T_StockCount[RM_Code],$A75,T_StockCount[WeekIndex],18)&gt;0,SUMIFS(T_StockCount[CountedQty],T_StockCount[RM_Code],$A75,T_StockCount[WeekIndex],18),IF((COUNTIFS(T_SelfStock[RM_Code],$A75,T_SelfStock[WeekIndex],18)&gt;0)*(COUNTIFS(T_TTAFStock[RM_Code],$A75,T_TTAFStock[WeekIndex],18)&gt;0)&gt;0,SUMIFS(T_SelfStock[Self_Qty],T_SelfStock[RM_Code],$A75,T_SelfStock[WeekIndex],18)+SUMIFS(T_TTAFStock[TTAF_Qty],T_TTAFStock[RM_Code],$A75,T_TTAFStock[WeekIndex],18),R75+'Grid_Incoming'!S75-'Grid_Requirement'!S75))</f>
        <v/>
      </c>
      <c r="T75">
        <f>IF(COUNTIFS(T_StockCount[RM_Code],$A75,T_StockCount[WeekIndex],19)&gt;0,SUMIFS(T_StockCount[CountedQty],T_StockCount[RM_Code],$A75,T_StockCount[WeekIndex],19),IF((COUNTIFS(T_SelfStock[RM_Code],$A75,T_SelfStock[WeekIndex],19)&gt;0)*(COUNTIFS(T_TTAFStock[RM_Code],$A75,T_TTAFStock[WeekIndex],19)&gt;0)&gt;0,SUMIFS(T_SelfStock[Self_Qty],T_SelfStock[RM_Code],$A75,T_SelfStock[WeekIndex],19)+SUMIFS(T_TTAFStock[TTAF_Qty],T_TTAFStock[RM_Code],$A75,T_TTAFStock[WeekIndex],19),S75+'Grid_Incoming'!T75-'Grid_Requirement'!T75))</f>
        <v/>
      </c>
      <c r="U75">
        <f>IF(COUNTIFS(T_StockCount[RM_Code],$A75,T_StockCount[WeekIndex],20)&gt;0,SUMIFS(T_StockCount[CountedQty],T_StockCount[RM_Code],$A75,T_StockCount[WeekIndex],20),IF((COUNTIFS(T_SelfStock[RM_Code],$A75,T_SelfStock[WeekIndex],20)&gt;0)*(COUNTIFS(T_TTAFStock[RM_Code],$A75,T_TTAFStock[WeekIndex],20)&gt;0)&gt;0,SUMIFS(T_SelfStock[Self_Qty],T_SelfStock[RM_Code],$A75,T_SelfStock[WeekIndex],20)+SUMIFS(T_TTAFStock[TTAF_Qty],T_TTAFStock[RM_Code],$A75,T_TTAFStock[WeekIndex],20),T75+'Grid_Incoming'!U75-'Grid_Requirement'!U75))</f>
        <v/>
      </c>
      <c r="V75">
        <f>IF(COUNTIFS(T_StockCount[RM_Code],$A75,T_StockCount[WeekIndex],21)&gt;0,SUMIFS(T_StockCount[CountedQty],T_StockCount[RM_Code],$A75,T_StockCount[WeekIndex],21),IF((COUNTIFS(T_SelfStock[RM_Code],$A75,T_SelfStock[WeekIndex],21)&gt;0)*(COUNTIFS(T_TTAFStock[RM_Code],$A75,T_TTAFStock[WeekIndex],21)&gt;0)&gt;0,SUMIFS(T_SelfStock[Self_Qty],T_SelfStock[RM_Code],$A75,T_SelfStock[WeekIndex],21)+SUMIFS(T_TTAFStock[TTAF_Qty],T_TTAFStock[RM_Code],$A75,T_TTAFStock[WeekIndex],21),U75+'Grid_Incoming'!V75-'Grid_Requirement'!V75))</f>
        <v/>
      </c>
      <c r="W75">
        <f>IF(COUNTIFS(T_StockCount[RM_Code],$A75,T_StockCount[WeekIndex],22)&gt;0,SUMIFS(T_StockCount[CountedQty],T_StockCount[RM_Code],$A75,T_StockCount[WeekIndex],22),IF((COUNTIFS(T_SelfStock[RM_Code],$A75,T_SelfStock[WeekIndex],22)&gt;0)*(COUNTIFS(T_TTAFStock[RM_Code],$A75,T_TTAFStock[WeekIndex],22)&gt;0)&gt;0,SUMIFS(T_SelfStock[Self_Qty],T_SelfStock[RM_Code],$A75,T_SelfStock[WeekIndex],22)+SUMIFS(T_TTAFStock[TTAF_Qty],T_TTAFStock[RM_Code],$A75,T_TTAFStock[WeekIndex],22),V75+'Grid_Incoming'!W75-'Grid_Requirement'!W75))</f>
        <v/>
      </c>
      <c r="X75">
        <f>IF(COUNTIFS(T_StockCount[RM_Code],$A75,T_StockCount[WeekIndex],23)&gt;0,SUMIFS(T_StockCount[CountedQty],T_StockCount[RM_Code],$A75,T_StockCount[WeekIndex],23),IF((COUNTIFS(T_SelfStock[RM_Code],$A75,T_SelfStock[WeekIndex],23)&gt;0)*(COUNTIFS(T_TTAFStock[RM_Code],$A75,T_TTAFStock[WeekIndex],23)&gt;0)&gt;0,SUMIFS(T_SelfStock[Self_Qty],T_SelfStock[RM_Code],$A75,T_SelfStock[WeekIndex],23)+SUMIFS(T_TTAFStock[TTAF_Qty],T_TTAFStock[RM_Code],$A75,T_TTAFStock[WeekIndex],23),W75+'Grid_Incoming'!X75-'Grid_Requirement'!X75))</f>
        <v/>
      </c>
      <c r="Y75">
        <f>IF(COUNTIFS(T_StockCount[RM_Code],$A75,T_StockCount[WeekIndex],24)&gt;0,SUMIFS(T_StockCount[CountedQty],T_StockCount[RM_Code],$A75,T_StockCount[WeekIndex],24),IF((COUNTIFS(T_SelfStock[RM_Code],$A75,T_SelfStock[WeekIndex],24)&gt;0)*(COUNTIFS(T_TTAFStock[RM_Code],$A75,T_TTAFStock[WeekIndex],24)&gt;0)&gt;0,SUMIFS(T_SelfStock[Self_Qty],T_SelfStock[RM_Code],$A75,T_SelfStock[WeekIndex],24)+SUMIFS(T_TTAFStock[TTAF_Qty],T_TTAFStock[RM_Code],$A75,T_TTAFStock[WeekIndex],24),X75+'Grid_Incoming'!Y75-'Grid_Requirement'!Y75))</f>
        <v/>
      </c>
      <c r="Z75">
        <f>IF(COUNTIFS(T_StockCount[RM_Code],$A75,T_StockCount[WeekIndex],25)&gt;0,SUMIFS(T_StockCount[CountedQty],T_StockCount[RM_Code],$A75,T_StockCount[WeekIndex],25),IF((COUNTIFS(T_SelfStock[RM_Code],$A75,T_SelfStock[WeekIndex],25)&gt;0)*(COUNTIFS(T_TTAFStock[RM_Code],$A75,T_TTAFStock[WeekIndex],25)&gt;0)&gt;0,SUMIFS(T_SelfStock[Self_Qty],T_SelfStock[RM_Code],$A75,T_SelfStock[WeekIndex],25)+SUMIFS(T_TTAFStock[TTAF_Qty],T_TTAFStock[RM_Code],$A75,T_TTAFStock[WeekIndex],25),Y75+'Grid_Incoming'!Z75-'Grid_Requirement'!Z75))</f>
        <v/>
      </c>
      <c r="AA75">
        <f>IF(COUNTIFS(T_StockCount[RM_Code],$A75,T_StockCount[WeekIndex],26)&gt;0,SUMIFS(T_StockCount[CountedQty],T_StockCount[RM_Code],$A75,T_StockCount[WeekIndex],26),IF((COUNTIFS(T_SelfStock[RM_Code],$A75,T_SelfStock[WeekIndex],26)&gt;0)*(COUNTIFS(T_TTAFStock[RM_Code],$A75,T_TTAFStock[WeekIndex],26)&gt;0)&gt;0,SUMIFS(T_SelfStock[Self_Qty],T_SelfStock[RM_Code],$A75,T_SelfStock[WeekIndex],26)+SUMIFS(T_TTAFStock[TTAF_Qty],T_TTAFStock[RM_Code],$A75,T_TTAFStock[WeekIndex],26),Z75+'Grid_Incoming'!AA75-'Grid_Requirement'!AA75))</f>
        <v/>
      </c>
      <c r="AB75">
        <f>IF(COUNTIFS(T_StockCount[RM_Code],$A75,T_StockCount[WeekIndex],27)&gt;0,SUMIFS(T_StockCount[CountedQty],T_StockCount[RM_Code],$A75,T_StockCount[WeekIndex],27),IF((COUNTIFS(T_SelfStock[RM_Code],$A75,T_SelfStock[WeekIndex],27)&gt;0)*(COUNTIFS(T_TTAFStock[RM_Code],$A75,T_TTAFStock[WeekIndex],27)&gt;0)&gt;0,SUMIFS(T_SelfStock[Self_Qty],T_SelfStock[RM_Code],$A75,T_SelfStock[WeekIndex],27)+SUMIFS(T_TTAFStock[TTAF_Qty],T_TTAFStock[RM_Code],$A75,T_TTAFStock[WeekIndex],27),AA75+'Grid_Incoming'!AB75-'Grid_Requirement'!AB75))</f>
        <v/>
      </c>
      <c r="AC75">
        <f>IF(COUNTIFS(T_StockCount[RM_Code],$A75,T_StockCount[WeekIndex],28)&gt;0,SUMIFS(T_StockCount[CountedQty],T_StockCount[RM_Code],$A75,T_StockCount[WeekIndex],28),IF((COUNTIFS(T_SelfStock[RM_Code],$A75,T_SelfStock[WeekIndex],28)&gt;0)*(COUNTIFS(T_TTAFStock[RM_Code],$A75,T_TTAFStock[WeekIndex],28)&gt;0)&gt;0,SUMIFS(T_SelfStock[Self_Qty],T_SelfStock[RM_Code],$A75,T_SelfStock[WeekIndex],28)+SUMIFS(T_TTAFStock[TTAF_Qty],T_TTAFStock[RM_Code],$A75,T_TTAFStock[WeekIndex],28),AB75+'Grid_Incoming'!AC75-'Grid_Requirement'!AC75))</f>
        <v/>
      </c>
      <c r="AD75">
        <f>IF(COUNTIFS(T_StockCount[RM_Code],$A75,T_StockCount[WeekIndex],29)&gt;0,SUMIFS(T_StockCount[CountedQty],T_StockCount[RM_Code],$A75,T_StockCount[WeekIndex],29),IF((COUNTIFS(T_SelfStock[RM_Code],$A75,T_SelfStock[WeekIndex],29)&gt;0)*(COUNTIFS(T_TTAFStock[RM_Code],$A75,T_TTAFStock[WeekIndex],29)&gt;0)&gt;0,SUMIFS(T_SelfStock[Self_Qty],T_SelfStock[RM_Code],$A75,T_SelfStock[WeekIndex],29)+SUMIFS(T_TTAFStock[TTAF_Qty],T_TTAFStock[RM_Code],$A75,T_TTAFStock[WeekIndex],29),AC75+'Grid_Incoming'!AD75-'Grid_Requirement'!AD75))</f>
        <v/>
      </c>
      <c r="AE75">
        <f>IF(COUNTIFS(T_StockCount[RM_Code],$A75,T_StockCount[WeekIndex],30)&gt;0,SUMIFS(T_StockCount[CountedQty],T_StockCount[RM_Code],$A75,T_StockCount[WeekIndex],30),IF((COUNTIFS(T_SelfStock[RM_Code],$A75,T_SelfStock[WeekIndex],30)&gt;0)*(COUNTIFS(T_TTAFStock[RM_Code],$A75,T_TTAFStock[WeekIndex],30)&gt;0)&gt;0,SUMIFS(T_SelfStock[Self_Qty],T_SelfStock[RM_Code],$A75,T_SelfStock[WeekIndex],30)+SUMIFS(T_TTAFStock[TTAF_Qty],T_TTAFStock[RM_Code],$A75,T_TTAFStock[WeekIndex],30),AD75+'Grid_Incoming'!AE75-'Grid_Requirement'!AE75))</f>
        <v/>
      </c>
      <c r="AF75">
        <f>IF(COUNTIFS(T_StockCount[RM_Code],$A75,T_StockCount[WeekIndex],31)&gt;0,SUMIFS(T_StockCount[CountedQty],T_StockCount[RM_Code],$A75,T_StockCount[WeekIndex],31),IF((COUNTIFS(T_SelfStock[RM_Code],$A75,T_SelfStock[WeekIndex],31)&gt;0)*(COUNTIFS(T_TTAFStock[RM_Code],$A75,T_TTAFStock[WeekIndex],31)&gt;0)&gt;0,SUMIFS(T_SelfStock[Self_Qty],T_SelfStock[RM_Code],$A75,T_SelfStock[WeekIndex],31)+SUMIFS(T_TTAFStock[TTAF_Qty],T_TTAFStock[RM_Code],$A75,T_TTAFStock[WeekIndex],31),AE75+'Grid_Incoming'!AF75-'Grid_Requirement'!AF75))</f>
        <v/>
      </c>
      <c r="AG75">
        <f>IF(COUNTIFS(T_StockCount[RM_Code],$A75,T_StockCount[WeekIndex],32)&gt;0,SUMIFS(T_StockCount[CountedQty],T_StockCount[RM_Code],$A75,T_StockCount[WeekIndex],32),IF((COUNTIFS(T_SelfStock[RM_Code],$A75,T_SelfStock[WeekIndex],32)&gt;0)*(COUNTIFS(T_TTAFStock[RM_Code],$A75,T_TTAFStock[WeekIndex],32)&gt;0)&gt;0,SUMIFS(T_SelfStock[Self_Qty],T_SelfStock[RM_Code],$A75,T_SelfStock[WeekIndex],32)+SUMIFS(T_TTAFStock[TTAF_Qty],T_TTAFStock[RM_Code],$A75,T_TTAFStock[WeekIndex],32),AF75+'Grid_Incoming'!AG75-'Grid_Requirement'!AG75))</f>
        <v/>
      </c>
      <c r="AH75">
        <f>IF(COUNTIFS(T_StockCount[RM_Code],$A75,T_StockCount[WeekIndex],33)&gt;0,SUMIFS(T_StockCount[CountedQty],T_StockCount[RM_Code],$A75,T_StockCount[WeekIndex],33),IF((COUNTIFS(T_SelfStock[RM_Code],$A75,T_SelfStock[WeekIndex],33)&gt;0)*(COUNTIFS(T_TTAFStock[RM_Code],$A75,T_TTAFStock[WeekIndex],33)&gt;0)&gt;0,SUMIFS(T_SelfStock[Self_Qty],T_SelfStock[RM_Code],$A75,T_SelfStock[WeekIndex],33)+SUMIFS(T_TTAFStock[TTAF_Qty],T_TTAFStock[RM_Code],$A75,T_TTAFStock[WeekIndex],33),AG75+'Grid_Incoming'!AH75-'Grid_Requirement'!AH75))</f>
        <v/>
      </c>
      <c r="AI75">
        <f>IF(COUNTIFS(T_StockCount[RM_Code],$A75,T_StockCount[WeekIndex],34)&gt;0,SUMIFS(T_StockCount[CountedQty],T_StockCount[RM_Code],$A75,T_StockCount[WeekIndex],34),IF((COUNTIFS(T_SelfStock[RM_Code],$A75,T_SelfStock[WeekIndex],34)&gt;0)*(COUNTIFS(T_TTAFStock[RM_Code],$A75,T_TTAFStock[WeekIndex],34)&gt;0)&gt;0,SUMIFS(T_SelfStock[Self_Qty],T_SelfStock[RM_Code],$A75,T_SelfStock[WeekIndex],34)+SUMIFS(T_TTAFStock[TTAF_Qty],T_TTAFStock[RM_Code],$A75,T_TTAFStock[WeekIndex],34),AH75+'Grid_Incoming'!AI75-'Grid_Requirement'!AI75))</f>
        <v/>
      </c>
      <c r="AJ75">
        <f>IF(COUNTIFS(T_StockCount[RM_Code],$A75,T_StockCount[WeekIndex],35)&gt;0,SUMIFS(T_StockCount[CountedQty],T_StockCount[RM_Code],$A75,T_StockCount[WeekIndex],35),IF((COUNTIFS(T_SelfStock[RM_Code],$A75,T_SelfStock[WeekIndex],35)&gt;0)*(COUNTIFS(T_TTAFStock[RM_Code],$A75,T_TTAFStock[WeekIndex],35)&gt;0)&gt;0,SUMIFS(T_SelfStock[Self_Qty],T_SelfStock[RM_Code],$A75,T_SelfStock[WeekIndex],35)+SUMIFS(T_TTAFStock[TTAF_Qty],T_TTAFStock[RM_Code],$A75,T_TTAFStock[WeekIndex],35),AI75+'Grid_Incoming'!AJ75-'Grid_Requirement'!AJ75))</f>
        <v/>
      </c>
      <c r="AK75">
        <f>IF(COUNTIFS(T_StockCount[RM_Code],$A75,T_StockCount[WeekIndex],36)&gt;0,SUMIFS(T_StockCount[CountedQty],T_StockCount[RM_Code],$A75,T_StockCount[WeekIndex],36),IF((COUNTIFS(T_SelfStock[RM_Code],$A75,T_SelfStock[WeekIndex],36)&gt;0)*(COUNTIFS(T_TTAFStock[RM_Code],$A75,T_TTAFStock[WeekIndex],36)&gt;0)&gt;0,SUMIFS(T_SelfStock[Self_Qty],T_SelfStock[RM_Code],$A75,T_SelfStock[WeekIndex],36)+SUMIFS(T_TTAFStock[TTAF_Qty],T_TTAFStock[RM_Code],$A75,T_TTAFStock[WeekIndex],36),AJ75+'Grid_Incoming'!AK75-'Grid_Requirement'!AK75))</f>
        <v/>
      </c>
      <c r="AL75">
        <f>IF(COUNTIFS(T_StockCount[RM_Code],$A75,T_StockCount[WeekIndex],37)&gt;0,SUMIFS(T_StockCount[CountedQty],T_StockCount[RM_Code],$A75,T_StockCount[WeekIndex],37),IF((COUNTIFS(T_SelfStock[RM_Code],$A75,T_SelfStock[WeekIndex],37)&gt;0)*(COUNTIFS(T_TTAFStock[RM_Code],$A75,T_TTAFStock[WeekIndex],37)&gt;0)&gt;0,SUMIFS(T_SelfStock[Self_Qty],T_SelfStock[RM_Code],$A75,T_SelfStock[WeekIndex],37)+SUMIFS(T_TTAFStock[TTAF_Qty],T_TTAFStock[RM_Code],$A75,T_TTAFStock[WeekIndex],37),AK75+'Grid_Incoming'!AL75-'Grid_Requirement'!AL75))</f>
        <v/>
      </c>
      <c r="AM75">
        <f>IF(COUNTIFS(T_StockCount[RM_Code],$A75,T_StockCount[WeekIndex],38)&gt;0,SUMIFS(T_StockCount[CountedQty],T_StockCount[RM_Code],$A75,T_StockCount[WeekIndex],38),IF((COUNTIFS(T_SelfStock[RM_Code],$A75,T_SelfStock[WeekIndex],38)&gt;0)*(COUNTIFS(T_TTAFStock[RM_Code],$A75,T_TTAFStock[WeekIndex],38)&gt;0)&gt;0,SUMIFS(T_SelfStock[Self_Qty],T_SelfStock[RM_Code],$A75,T_SelfStock[WeekIndex],38)+SUMIFS(T_TTAFStock[TTAF_Qty],T_TTAFStock[RM_Code],$A75,T_TTAFStock[WeekIndex],38),AL75+'Grid_Incoming'!AM75-'Grid_Requirement'!AM75))</f>
        <v/>
      </c>
      <c r="AN75">
        <f>IF(COUNTIFS(T_StockCount[RM_Code],$A75,T_StockCount[WeekIndex],39)&gt;0,SUMIFS(T_StockCount[CountedQty],T_StockCount[RM_Code],$A75,T_StockCount[WeekIndex],39),IF((COUNTIFS(T_SelfStock[RM_Code],$A75,T_SelfStock[WeekIndex],39)&gt;0)*(COUNTIFS(T_TTAFStock[RM_Code],$A75,T_TTAFStock[WeekIndex],39)&gt;0)&gt;0,SUMIFS(T_SelfStock[Self_Qty],T_SelfStock[RM_Code],$A75,T_SelfStock[WeekIndex],39)+SUMIFS(T_TTAFStock[TTAF_Qty],T_TTAFStock[RM_Code],$A75,T_TTAFStock[WeekIndex],39),AM75+'Grid_Incoming'!AN75-'Grid_Requirement'!AN75))</f>
        <v/>
      </c>
      <c r="AO75">
        <f>IF(COUNTIFS(T_StockCount[RM_Code],$A75,T_StockCount[WeekIndex],40)&gt;0,SUMIFS(T_StockCount[CountedQty],T_StockCount[RM_Code],$A75,T_StockCount[WeekIndex],40),IF((COUNTIFS(T_SelfStock[RM_Code],$A75,T_SelfStock[WeekIndex],40)&gt;0)*(COUNTIFS(T_TTAFStock[RM_Code],$A75,T_TTAFStock[WeekIndex],40)&gt;0)&gt;0,SUMIFS(T_SelfStock[Self_Qty],T_SelfStock[RM_Code],$A75,T_SelfStock[WeekIndex],40)+SUMIFS(T_TTAFStock[TTAF_Qty],T_TTAFStock[RM_Code],$A75,T_TTAFStock[WeekIndex],40),AN75+'Grid_Incoming'!AO75-'Grid_Requirement'!AO75))</f>
        <v/>
      </c>
      <c r="AP75">
        <f>IF(COUNTIFS(T_StockCount[RM_Code],$A75,T_StockCount[WeekIndex],41)&gt;0,SUMIFS(T_StockCount[CountedQty],T_StockCount[RM_Code],$A75,T_StockCount[WeekIndex],41),IF((COUNTIFS(T_SelfStock[RM_Code],$A75,T_SelfStock[WeekIndex],41)&gt;0)*(COUNTIFS(T_TTAFStock[RM_Code],$A75,T_TTAFStock[WeekIndex],41)&gt;0)&gt;0,SUMIFS(T_SelfStock[Self_Qty],T_SelfStock[RM_Code],$A75,T_SelfStock[WeekIndex],41)+SUMIFS(T_TTAFStock[TTAF_Qty],T_TTAFStock[RM_Code],$A75,T_TTAFStock[WeekIndex],41),AO75+'Grid_Incoming'!AP75-'Grid_Requirement'!AP75))</f>
        <v/>
      </c>
      <c r="AQ75">
        <f>IF(COUNTIFS(T_StockCount[RM_Code],$A75,T_StockCount[WeekIndex],42)&gt;0,SUMIFS(T_StockCount[CountedQty],T_StockCount[RM_Code],$A75,T_StockCount[WeekIndex],42),IF((COUNTIFS(T_SelfStock[RM_Code],$A75,T_SelfStock[WeekIndex],42)&gt;0)*(COUNTIFS(T_TTAFStock[RM_Code],$A75,T_TTAFStock[WeekIndex],42)&gt;0)&gt;0,SUMIFS(T_SelfStock[Self_Qty],T_SelfStock[RM_Code],$A75,T_SelfStock[WeekIndex],42)+SUMIFS(T_TTAFStock[TTAF_Qty],T_TTAFStock[RM_Code],$A75,T_TTAFStock[WeekIndex],42),AP75+'Grid_Incoming'!AQ75-'Grid_Requirement'!AQ75))</f>
        <v/>
      </c>
      <c r="AR75">
        <f>IF(COUNTIFS(T_StockCount[RM_Code],$A75,T_StockCount[WeekIndex],43)&gt;0,SUMIFS(T_StockCount[CountedQty],T_StockCount[RM_Code],$A75,T_StockCount[WeekIndex],43),IF((COUNTIFS(T_SelfStock[RM_Code],$A75,T_SelfStock[WeekIndex],43)&gt;0)*(COUNTIFS(T_TTAFStock[RM_Code],$A75,T_TTAFStock[WeekIndex],43)&gt;0)&gt;0,SUMIFS(T_SelfStock[Self_Qty],T_SelfStock[RM_Code],$A75,T_SelfStock[WeekIndex],43)+SUMIFS(T_TTAFStock[TTAF_Qty],T_TTAFStock[RM_Code],$A75,T_TTAFStock[WeekIndex],43),AQ75+'Grid_Incoming'!AR75-'Grid_Requirement'!AR75))</f>
        <v/>
      </c>
      <c r="AS75">
        <f>IF(COUNTIFS(T_StockCount[RM_Code],$A75,T_StockCount[WeekIndex],44)&gt;0,SUMIFS(T_StockCount[CountedQty],T_StockCount[RM_Code],$A75,T_StockCount[WeekIndex],44),IF((COUNTIFS(T_SelfStock[RM_Code],$A75,T_SelfStock[WeekIndex],44)&gt;0)*(COUNTIFS(T_TTAFStock[RM_Code],$A75,T_TTAFStock[WeekIndex],44)&gt;0)&gt;0,SUMIFS(T_SelfStock[Self_Qty],T_SelfStock[RM_Code],$A75,T_SelfStock[WeekIndex],44)+SUMIFS(T_TTAFStock[TTAF_Qty],T_TTAFStock[RM_Code],$A75,T_TTAFStock[WeekIndex],44),AR75+'Grid_Incoming'!AS75-'Grid_Requirement'!AS75))</f>
        <v/>
      </c>
      <c r="AT75">
        <f>IF(COUNTIFS(T_StockCount[RM_Code],$A75,T_StockCount[WeekIndex],45)&gt;0,SUMIFS(T_StockCount[CountedQty],T_StockCount[RM_Code],$A75,T_StockCount[WeekIndex],45),IF((COUNTIFS(T_SelfStock[RM_Code],$A75,T_SelfStock[WeekIndex],45)&gt;0)*(COUNTIFS(T_TTAFStock[RM_Code],$A75,T_TTAFStock[WeekIndex],45)&gt;0)&gt;0,SUMIFS(T_SelfStock[Self_Qty],T_SelfStock[RM_Code],$A75,T_SelfStock[WeekIndex],45)+SUMIFS(T_TTAFStock[TTAF_Qty],T_TTAFStock[RM_Code],$A75,T_TTAFStock[WeekIndex],45),AS75+'Grid_Incoming'!AT75-'Grid_Requirement'!AT75))</f>
        <v/>
      </c>
      <c r="AU75">
        <f>IF(COUNTIFS(T_StockCount[RM_Code],$A75,T_StockCount[WeekIndex],46)&gt;0,SUMIFS(T_StockCount[CountedQty],T_StockCount[RM_Code],$A75,T_StockCount[WeekIndex],46),IF((COUNTIFS(T_SelfStock[RM_Code],$A75,T_SelfStock[WeekIndex],46)&gt;0)*(COUNTIFS(T_TTAFStock[RM_Code],$A75,T_TTAFStock[WeekIndex],46)&gt;0)&gt;0,SUMIFS(T_SelfStock[Self_Qty],T_SelfStock[RM_Code],$A75,T_SelfStock[WeekIndex],46)+SUMIFS(T_TTAFStock[TTAF_Qty],T_TTAFStock[RM_Code],$A75,T_TTAFStock[WeekIndex],46),AT75+'Grid_Incoming'!AU75-'Grid_Requirement'!AU75))</f>
        <v/>
      </c>
      <c r="AV75">
        <f>IF(COUNTIFS(T_StockCount[RM_Code],$A75,T_StockCount[WeekIndex],47)&gt;0,SUMIFS(T_StockCount[CountedQty],T_StockCount[RM_Code],$A75,T_StockCount[WeekIndex],47),IF((COUNTIFS(T_SelfStock[RM_Code],$A75,T_SelfStock[WeekIndex],47)&gt;0)*(COUNTIFS(T_TTAFStock[RM_Code],$A75,T_TTAFStock[WeekIndex],47)&gt;0)&gt;0,SUMIFS(T_SelfStock[Self_Qty],T_SelfStock[RM_Code],$A75,T_SelfStock[WeekIndex],47)+SUMIFS(T_TTAFStock[TTAF_Qty],T_TTAFStock[RM_Code],$A75,T_TTAFStock[WeekIndex],47),AU75+'Grid_Incoming'!AV75-'Grid_Requirement'!AV75))</f>
        <v/>
      </c>
      <c r="AW75">
        <f>IF(COUNTIFS(T_StockCount[RM_Code],$A75,T_StockCount[WeekIndex],48)&gt;0,SUMIFS(T_StockCount[CountedQty],T_StockCount[RM_Code],$A75,T_StockCount[WeekIndex],48),IF((COUNTIFS(T_SelfStock[RM_Code],$A75,T_SelfStock[WeekIndex],48)&gt;0)*(COUNTIFS(T_TTAFStock[RM_Code],$A75,T_TTAFStock[WeekIndex],48)&gt;0)&gt;0,SUMIFS(T_SelfStock[Self_Qty],T_SelfStock[RM_Code],$A75,T_SelfStock[WeekIndex],48)+SUMIFS(T_TTAFStock[TTAF_Qty],T_TTAFStock[RM_Code],$A75,T_TTAFStock[WeekIndex],48),AV75+'Grid_Incoming'!AW75-'Grid_Requirement'!AW75))</f>
        <v/>
      </c>
      <c r="AX75">
        <f>IF(COUNTIFS(T_StockCount[RM_Code],$A75,T_StockCount[WeekIndex],49)&gt;0,SUMIFS(T_StockCount[CountedQty],T_StockCount[RM_Code],$A75,T_StockCount[WeekIndex],49),IF((COUNTIFS(T_SelfStock[RM_Code],$A75,T_SelfStock[WeekIndex],49)&gt;0)*(COUNTIFS(T_TTAFStock[RM_Code],$A75,T_TTAFStock[WeekIndex],49)&gt;0)&gt;0,SUMIFS(T_SelfStock[Self_Qty],T_SelfStock[RM_Code],$A75,T_SelfStock[WeekIndex],49)+SUMIFS(T_TTAFStock[TTAF_Qty],T_TTAFStock[RM_Code],$A75,T_TTAFStock[WeekIndex],49),AW75+'Grid_Incoming'!AX75-'Grid_Requirement'!AX75))</f>
        <v/>
      </c>
      <c r="AY75">
        <f>IF(COUNTIFS(T_StockCount[RM_Code],$A75,T_StockCount[WeekIndex],50)&gt;0,SUMIFS(T_StockCount[CountedQty],T_StockCount[RM_Code],$A75,T_StockCount[WeekIndex],50),IF((COUNTIFS(T_SelfStock[RM_Code],$A75,T_SelfStock[WeekIndex],50)&gt;0)*(COUNTIFS(T_TTAFStock[RM_Code],$A75,T_TTAFStock[WeekIndex],50)&gt;0)&gt;0,SUMIFS(T_SelfStock[Self_Qty],T_SelfStock[RM_Code],$A75,T_SelfStock[WeekIndex],50)+SUMIFS(T_TTAFStock[TTAF_Qty],T_TTAFStock[RM_Code],$A75,T_TTAFStock[WeekIndex],50),AX75+'Grid_Incoming'!AY75-'Grid_Requirement'!AY75))</f>
        <v/>
      </c>
      <c r="AZ75">
        <f>IF(COUNTIFS(T_StockCount[RM_Code],$A75,T_StockCount[WeekIndex],51)&gt;0,SUMIFS(T_StockCount[CountedQty],T_StockCount[RM_Code],$A75,T_StockCount[WeekIndex],51),IF((COUNTIFS(T_SelfStock[RM_Code],$A75,T_SelfStock[WeekIndex],51)&gt;0)*(COUNTIFS(T_TTAFStock[RM_Code],$A75,T_TTAFStock[WeekIndex],51)&gt;0)&gt;0,SUMIFS(T_SelfStock[Self_Qty],T_SelfStock[RM_Code],$A75,T_SelfStock[WeekIndex],51)+SUMIFS(T_TTAFStock[TTAF_Qty],T_TTAFStock[RM_Code],$A75,T_TTAFStock[WeekIndex],51),AY75+'Grid_Incoming'!AZ75-'Grid_Requirement'!AZ75))</f>
        <v/>
      </c>
      <c r="BA75">
        <f>IF(COUNTIFS(T_StockCount[RM_Code],$A75,T_StockCount[WeekIndex],52)&gt;0,SUMIFS(T_StockCount[CountedQty],T_StockCount[RM_Code],$A75,T_StockCount[WeekIndex],52),IF((COUNTIFS(T_SelfStock[RM_Code],$A75,T_SelfStock[WeekIndex],52)&gt;0)*(COUNTIFS(T_TTAFStock[RM_Code],$A75,T_TTAFStock[WeekIndex],52)&gt;0)&gt;0,SUMIFS(T_SelfStock[Self_Qty],T_SelfStock[RM_Code],$A75,T_SelfStock[WeekIndex],52)+SUMIFS(T_TTAFStock[TTAF_Qty],T_TTAFStock[RM_Code],$A75,T_TTAFStock[WeekIndex],52),AZ75+'Grid_Incoming'!BA75-'Grid_Requirement'!BA75))</f>
        <v/>
      </c>
      <c r="BB75">
        <f>IF(COUNTIFS(T_StockCount[RM_Code],$A75,T_StockCount[WeekIndex],53)&gt;0,SUMIFS(T_StockCount[CountedQty],T_StockCount[RM_Code],$A75,T_StockCount[WeekIndex],53),IF((COUNTIFS(T_SelfStock[RM_Code],$A75,T_SelfStock[WeekIndex],53)&gt;0)*(COUNTIFS(T_TTAFStock[RM_Code],$A75,T_TTAFStock[WeekIndex],53)&gt;0)&gt;0,SUMIFS(T_SelfStock[Self_Qty],T_SelfStock[RM_Code],$A75,T_SelfStock[WeekIndex],53)+SUMIFS(T_TTAFStock[TTAF_Qty],T_TTAFStock[RM_Code],$A75,T_TTAFStock[WeekIndex],53),BA75+'Grid_Incoming'!BB75-'Grid_Requirement'!BB75))</f>
        <v/>
      </c>
      <c r="BC75">
        <f>IF(COUNTIFS(T_StockCount[RM_Code],$A75,T_StockCount[WeekIndex],54)&gt;0,SUMIFS(T_StockCount[CountedQty],T_StockCount[RM_Code],$A75,T_StockCount[WeekIndex],54),IF((COUNTIFS(T_SelfStock[RM_Code],$A75,T_SelfStock[WeekIndex],54)&gt;0)*(COUNTIFS(T_TTAFStock[RM_Code],$A75,T_TTAFStock[WeekIndex],54)&gt;0)&gt;0,SUMIFS(T_SelfStock[Self_Qty],T_SelfStock[RM_Code],$A75,T_SelfStock[WeekIndex],54)+SUMIFS(T_TTAFStock[TTAF_Qty],T_TTAFStock[RM_Code],$A75,T_TTAFStock[WeekIndex],54),BB75+'Grid_Incoming'!BC75-'Grid_Requirement'!BC75))</f>
        <v/>
      </c>
      <c r="BD75">
        <f>IF(COUNTIFS(T_StockCount[RM_Code],$A75,T_StockCount[WeekIndex],55)&gt;0,SUMIFS(T_StockCount[CountedQty],T_StockCount[RM_Code],$A75,T_StockCount[WeekIndex],55),IF((COUNTIFS(T_SelfStock[RM_Code],$A75,T_SelfStock[WeekIndex],55)&gt;0)*(COUNTIFS(T_TTAFStock[RM_Code],$A75,T_TTAFStock[WeekIndex],55)&gt;0)&gt;0,SUMIFS(T_SelfStock[Self_Qty],T_SelfStock[RM_Code],$A75,T_SelfStock[WeekIndex],55)+SUMIFS(T_TTAFStock[TTAF_Qty],T_TTAFStock[RM_Code],$A75,T_TTAFStock[WeekIndex],55),BC75+'Grid_Incoming'!BD75-'Grid_Requirement'!BD75))</f>
        <v/>
      </c>
      <c r="BE75">
        <f>IF(COUNTIFS(T_StockCount[RM_Code],$A75,T_StockCount[WeekIndex],56)&gt;0,SUMIFS(T_StockCount[CountedQty],T_StockCount[RM_Code],$A75,T_StockCount[WeekIndex],56),IF((COUNTIFS(T_SelfStock[RM_Code],$A75,T_SelfStock[WeekIndex],56)&gt;0)*(COUNTIFS(T_TTAFStock[RM_Code],$A75,T_TTAFStock[WeekIndex],56)&gt;0)&gt;0,SUMIFS(T_SelfStock[Self_Qty],T_SelfStock[RM_Code],$A75,T_SelfStock[WeekIndex],56)+SUMIFS(T_TTAFStock[TTAF_Qty],T_TTAFStock[RM_Code],$A75,T_TTAFStock[WeekIndex],56),BD75+'Grid_Incoming'!BE75-'Grid_Requirement'!BE75))</f>
        <v/>
      </c>
      <c r="BF75">
        <f>IF(COUNTIFS(T_StockCount[RM_Code],$A75,T_StockCount[WeekIndex],57)&gt;0,SUMIFS(T_StockCount[CountedQty],T_StockCount[RM_Code],$A75,T_StockCount[WeekIndex],57),IF((COUNTIFS(T_SelfStock[RM_Code],$A75,T_SelfStock[WeekIndex],57)&gt;0)*(COUNTIFS(T_TTAFStock[RM_Code],$A75,T_TTAFStock[WeekIndex],57)&gt;0)&gt;0,SUMIFS(T_SelfStock[Self_Qty],T_SelfStock[RM_Code],$A75,T_SelfStock[WeekIndex],57)+SUMIFS(T_TTAFStock[TTAF_Qty],T_TTAFStock[RM_Code],$A75,T_TTAFStock[WeekIndex],57),BE75+'Grid_Incoming'!BF75-'Grid_Requirement'!BF75))</f>
        <v/>
      </c>
      <c r="BG75">
        <f>IF(COUNTIFS(T_StockCount[RM_Code],$A75,T_StockCount[WeekIndex],58)&gt;0,SUMIFS(T_StockCount[CountedQty],T_StockCount[RM_Code],$A75,T_StockCount[WeekIndex],58),IF((COUNTIFS(T_SelfStock[RM_Code],$A75,T_SelfStock[WeekIndex],58)&gt;0)*(COUNTIFS(T_TTAFStock[RM_Code],$A75,T_TTAFStock[WeekIndex],58)&gt;0)&gt;0,SUMIFS(T_SelfStock[Self_Qty],T_SelfStock[RM_Code],$A75,T_SelfStock[WeekIndex],58)+SUMIFS(T_TTAFStock[TTAF_Qty],T_TTAFStock[RM_Code],$A75,T_TTAFStock[WeekIndex],58),BF75+'Grid_Incoming'!BG75-'Grid_Requirement'!BG75))</f>
        <v/>
      </c>
      <c r="BH75">
        <f>IF(COUNTIFS(T_StockCount[RM_Code],$A75,T_StockCount[WeekIndex],59)&gt;0,SUMIFS(T_StockCount[CountedQty],T_StockCount[RM_Code],$A75,T_StockCount[WeekIndex],59),IF((COUNTIFS(T_SelfStock[RM_Code],$A75,T_SelfStock[WeekIndex],59)&gt;0)*(COUNTIFS(T_TTAFStock[RM_Code],$A75,T_TTAFStock[WeekIndex],59)&gt;0)&gt;0,SUMIFS(T_SelfStock[Self_Qty],T_SelfStock[RM_Code],$A75,T_SelfStock[WeekIndex],59)+SUMIFS(T_TTAFStock[TTAF_Qty],T_TTAFStock[RM_Code],$A75,T_TTAFStock[WeekIndex],59),BG75+'Grid_Incoming'!BH75-'Grid_Requirement'!BH75))</f>
        <v/>
      </c>
      <c r="BI75">
        <f>IF(COUNTIFS(T_StockCount[RM_Code],$A75,T_StockCount[WeekIndex],60)&gt;0,SUMIFS(T_StockCount[CountedQty],T_StockCount[RM_Code],$A75,T_StockCount[WeekIndex],60),IF((COUNTIFS(T_SelfStock[RM_Code],$A75,T_SelfStock[WeekIndex],60)&gt;0)*(COUNTIFS(T_TTAFStock[RM_Code],$A75,T_TTAFStock[WeekIndex],60)&gt;0)&gt;0,SUMIFS(T_SelfStock[Self_Qty],T_SelfStock[RM_Code],$A75,T_SelfStock[WeekIndex],60)+SUMIFS(T_TTAFStock[TTAF_Qty],T_TTAFStock[RM_Code],$A75,T_TTAFStock[WeekIndex],60),BH75+'Grid_Incoming'!BI75-'Grid_Requirement'!BI75))</f>
        <v/>
      </c>
      <c r="BJ75">
        <f>IF(COUNTIFS(T_StockCount[RM_Code],$A75,T_StockCount[WeekIndex],61)&gt;0,SUMIFS(T_StockCount[CountedQty],T_StockCount[RM_Code],$A75,T_StockCount[WeekIndex],61),IF((COUNTIFS(T_SelfStock[RM_Code],$A75,T_SelfStock[WeekIndex],61)&gt;0)*(COUNTIFS(T_TTAFStock[RM_Code],$A75,T_TTAFStock[WeekIndex],61)&gt;0)&gt;0,SUMIFS(T_SelfStock[Self_Qty],T_SelfStock[RM_Code],$A75,T_SelfStock[WeekIndex],61)+SUMIFS(T_TTAFStock[TTAF_Qty],T_TTAFStock[RM_Code],$A75,T_TTAFStock[WeekIndex],61),BI75+'Grid_Incoming'!BJ75-'Grid_Requirement'!BJ75))</f>
        <v/>
      </c>
      <c r="BK75">
        <f>IF(COUNTIFS(T_StockCount[RM_Code],$A75,T_StockCount[WeekIndex],62)&gt;0,SUMIFS(T_StockCount[CountedQty],T_StockCount[RM_Code],$A75,T_StockCount[WeekIndex],62),IF((COUNTIFS(T_SelfStock[RM_Code],$A75,T_SelfStock[WeekIndex],62)&gt;0)*(COUNTIFS(T_TTAFStock[RM_Code],$A75,T_TTAFStock[WeekIndex],62)&gt;0)&gt;0,SUMIFS(T_SelfStock[Self_Qty],T_SelfStock[RM_Code],$A75,T_SelfStock[WeekIndex],62)+SUMIFS(T_TTAFStock[TTAF_Qty],T_TTAFStock[RM_Code],$A75,T_TTAFStock[WeekIndex],62),BJ75+'Grid_Incoming'!BK75-'Grid_Requirement'!BK75))</f>
        <v/>
      </c>
      <c r="BL75">
        <f>IF(COUNTIFS(T_StockCount[RM_Code],$A75,T_StockCount[WeekIndex],63)&gt;0,SUMIFS(T_StockCount[CountedQty],T_StockCount[RM_Code],$A75,T_StockCount[WeekIndex],63),IF((COUNTIFS(T_SelfStock[RM_Code],$A75,T_SelfStock[WeekIndex],63)&gt;0)*(COUNTIFS(T_TTAFStock[RM_Code],$A75,T_TTAFStock[WeekIndex],63)&gt;0)&gt;0,SUMIFS(T_SelfStock[Self_Qty],T_SelfStock[RM_Code],$A75,T_SelfStock[WeekIndex],63)+SUMIFS(T_TTAFStock[TTAF_Qty],T_TTAFStock[RM_Code],$A75,T_TTAFStock[WeekIndex],63),BK75+'Grid_Incoming'!BL75-'Grid_Requirement'!BL75))</f>
        <v/>
      </c>
      <c r="BM75">
        <f>IF(COUNTIFS(T_StockCount[RM_Code],$A75,T_StockCount[WeekIndex],64)&gt;0,SUMIFS(T_StockCount[CountedQty],T_StockCount[RM_Code],$A75,T_StockCount[WeekIndex],64),IF((COUNTIFS(T_SelfStock[RM_Code],$A75,T_SelfStock[WeekIndex],64)&gt;0)*(COUNTIFS(T_TTAFStock[RM_Code],$A75,T_TTAFStock[WeekIndex],64)&gt;0)&gt;0,SUMIFS(T_SelfStock[Self_Qty],T_SelfStock[RM_Code],$A75,T_SelfStock[WeekIndex],64)+SUMIFS(T_TTAFStock[TTAF_Qty],T_TTAFStock[RM_Code],$A75,T_TTAFStock[WeekIndex],64),BL75+'Grid_Incoming'!BM75-'Grid_Requirement'!BM75))</f>
        <v/>
      </c>
      <c r="BN75">
        <f>IF(COUNTIFS(T_StockCount[RM_Code],$A75,T_StockCount[WeekIndex],65)&gt;0,SUMIFS(T_StockCount[CountedQty],T_StockCount[RM_Code],$A75,T_StockCount[WeekIndex],65),IF((COUNTIFS(T_SelfStock[RM_Code],$A75,T_SelfStock[WeekIndex],65)&gt;0)*(COUNTIFS(T_TTAFStock[RM_Code],$A75,T_TTAFStock[WeekIndex],65)&gt;0)&gt;0,SUMIFS(T_SelfStock[Self_Qty],T_SelfStock[RM_Code],$A75,T_SelfStock[WeekIndex],65)+SUMIFS(T_TTAFStock[TTAF_Qty],T_TTAFStock[RM_Code],$A75,T_TTAFStock[WeekIndex],65),BM75+'Grid_Incoming'!BN75-'Grid_Requirement'!BN75))</f>
        <v/>
      </c>
      <c r="BO75">
        <f>IF(COUNTIFS(T_StockCount[RM_Code],$A75,T_StockCount[WeekIndex],66)&gt;0,SUMIFS(T_StockCount[CountedQty],T_StockCount[RM_Code],$A75,T_StockCount[WeekIndex],66),IF((COUNTIFS(T_SelfStock[RM_Code],$A75,T_SelfStock[WeekIndex],66)&gt;0)*(COUNTIFS(T_TTAFStock[RM_Code],$A75,T_TTAFStock[WeekIndex],66)&gt;0)&gt;0,SUMIFS(T_SelfStock[Self_Qty],T_SelfStock[RM_Code],$A75,T_SelfStock[WeekIndex],66)+SUMIFS(T_TTAFStock[TTAF_Qty],T_TTAFStock[RM_Code],$A75,T_TTAFStock[WeekIndex],66),BN75+'Grid_Incoming'!BO75-'Grid_Requirement'!BO75))</f>
        <v/>
      </c>
      <c r="BP75">
        <f>IF(COUNTIFS(T_StockCount[RM_Code],$A75,T_StockCount[WeekIndex],67)&gt;0,SUMIFS(T_StockCount[CountedQty],T_StockCount[RM_Code],$A75,T_StockCount[WeekIndex],67),IF((COUNTIFS(T_SelfStock[RM_Code],$A75,T_SelfStock[WeekIndex],67)&gt;0)*(COUNTIFS(T_TTAFStock[RM_Code],$A75,T_TTAFStock[WeekIndex],67)&gt;0)&gt;0,SUMIFS(T_SelfStock[Self_Qty],T_SelfStock[RM_Code],$A75,T_SelfStock[WeekIndex],67)+SUMIFS(T_TTAFStock[TTAF_Qty],T_TTAFStock[RM_Code],$A75,T_TTAFStock[WeekIndex],67),BO75+'Grid_Incoming'!BP75-'Grid_Requirement'!BP75))</f>
        <v/>
      </c>
      <c r="BQ75">
        <f>IF(COUNTIFS(T_StockCount[RM_Code],$A75,T_StockCount[WeekIndex],68)&gt;0,SUMIFS(T_StockCount[CountedQty],T_StockCount[RM_Code],$A75,T_StockCount[WeekIndex],68),IF((COUNTIFS(T_SelfStock[RM_Code],$A75,T_SelfStock[WeekIndex],68)&gt;0)*(COUNTIFS(T_TTAFStock[RM_Code],$A75,T_TTAFStock[WeekIndex],68)&gt;0)&gt;0,SUMIFS(T_SelfStock[Self_Qty],T_SelfStock[RM_Code],$A75,T_SelfStock[WeekIndex],68)+SUMIFS(T_TTAFStock[TTAF_Qty],T_TTAFStock[RM_Code],$A75,T_TTAFStock[WeekIndex],68),BP75+'Grid_Incoming'!BQ75-'Grid_Requirement'!BQ75))</f>
        <v/>
      </c>
      <c r="BR75">
        <f>IF(COUNTIFS(T_StockCount[RM_Code],$A75,T_StockCount[WeekIndex],69)&gt;0,SUMIFS(T_StockCount[CountedQty],T_StockCount[RM_Code],$A75,T_StockCount[WeekIndex],69),IF((COUNTIFS(T_SelfStock[RM_Code],$A75,T_SelfStock[WeekIndex],69)&gt;0)*(COUNTIFS(T_TTAFStock[RM_Code],$A75,T_TTAFStock[WeekIndex],69)&gt;0)&gt;0,SUMIFS(T_SelfStock[Self_Qty],T_SelfStock[RM_Code],$A75,T_SelfStock[WeekIndex],69)+SUMIFS(T_TTAFStock[TTAF_Qty],T_TTAFStock[RM_Code],$A75,T_TTAFStock[WeekIndex],69),BQ75+'Grid_Incoming'!BR75-'Grid_Requirement'!BR75))</f>
        <v/>
      </c>
      <c r="BS75">
        <f>IF(COUNTIFS(T_StockCount[RM_Code],$A75,T_StockCount[WeekIndex],70)&gt;0,SUMIFS(T_StockCount[CountedQty],T_StockCount[RM_Code],$A75,T_StockCount[WeekIndex],70),IF((COUNTIFS(T_SelfStock[RM_Code],$A75,T_SelfStock[WeekIndex],70)&gt;0)*(COUNTIFS(T_TTAFStock[RM_Code],$A75,T_TTAFStock[WeekIndex],70)&gt;0)&gt;0,SUMIFS(T_SelfStock[Self_Qty],T_SelfStock[RM_Code],$A75,T_SelfStock[WeekIndex],70)+SUMIFS(T_TTAFStock[TTAF_Qty],T_TTAFStock[RM_Code],$A75,T_TTAFStock[WeekIndex],70),BR75+'Grid_Incoming'!BS75-'Grid_Requirement'!BS75))</f>
        <v/>
      </c>
      <c r="BT75">
        <f>IF(COUNTIFS(T_StockCount[RM_Code],$A75,T_StockCount[WeekIndex],71)&gt;0,SUMIFS(T_StockCount[CountedQty],T_StockCount[RM_Code],$A75,T_StockCount[WeekIndex],71),IF((COUNTIFS(T_SelfStock[RM_Code],$A75,T_SelfStock[WeekIndex],71)&gt;0)*(COUNTIFS(T_TTAFStock[RM_Code],$A75,T_TTAFStock[WeekIndex],71)&gt;0)&gt;0,SUMIFS(T_SelfStock[Self_Qty],T_SelfStock[RM_Code],$A75,T_SelfStock[WeekIndex],71)+SUMIFS(T_TTAFStock[TTAF_Qty],T_TTAFStock[RM_Code],$A75,T_TTAFStock[WeekIndex],71),BS75+'Grid_Incoming'!BT75-'Grid_Requirement'!BT75))</f>
        <v/>
      </c>
      <c r="BU75">
        <f>IF(COUNTIFS(T_StockCount[RM_Code],$A75,T_StockCount[WeekIndex],72)&gt;0,SUMIFS(T_StockCount[CountedQty],T_StockCount[RM_Code],$A75,T_StockCount[WeekIndex],72),IF((COUNTIFS(T_SelfStock[RM_Code],$A75,T_SelfStock[WeekIndex],72)&gt;0)*(COUNTIFS(T_TTAFStock[RM_Code],$A75,T_TTAFStock[WeekIndex],72)&gt;0)&gt;0,SUMIFS(T_SelfStock[Self_Qty],T_SelfStock[RM_Code],$A75,T_SelfStock[WeekIndex],72)+SUMIFS(T_TTAFStock[TTAF_Qty],T_TTAFStock[RM_Code],$A75,T_TTAFStock[WeekIndex],72),BT75+'Grid_Incoming'!BU75-'Grid_Requirement'!BU75))</f>
        <v/>
      </c>
      <c r="BV75">
        <f>IF(COUNTIFS(T_StockCount[RM_Code],$A75,T_StockCount[WeekIndex],73)&gt;0,SUMIFS(T_StockCount[CountedQty],T_StockCount[RM_Code],$A75,T_StockCount[WeekIndex],73),IF((COUNTIFS(T_SelfStock[RM_Code],$A75,T_SelfStock[WeekIndex],73)&gt;0)*(COUNTIFS(T_TTAFStock[RM_Code],$A75,T_TTAFStock[WeekIndex],73)&gt;0)&gt;0,SUMIFS(T_SelfStock[Self_Qty],T_SelfStock[RM_Code],$A75,T_SelfStock[WeekIndex],73)+SUMIFS(T_TTAFStock[TTAF_Qty],T_TTAFStock[RM_Code],$A75,T_TTAFStock[WeekIndex],73),BU75+'Grid_Incoming'!BV75-'Grid_Requirement'!BV75))</f>
        <v/>
      </c>
      <c r="BW75">
        <f>IF(COUNTIFS(T_StockCount[RM_Code],$A75,T_StockCount[WeekIndex],74)&gt;0,SUMIFS(T_StockCount[CountedQty],T_StockCount[RM_Code],$A75,T_StockCount[WeekIndex],74),IF((COUNTIFS(T_SelfStock[RM_Code],$A75,T_SelfStock[WeekIndex],74)&gt;0)*(COUNTIFS(T_TTAFStock[RM_Code],$A75,T_TTAFStock[WeekIndex],74)&gt;0)&gt;0,SUMIFS(T_SelfStock[Self_Qty],T_SelfStock[RM_Code],$A75,T_SelfStock[WeekIndex],74)+SUMIFS(T_TTAFStock[TTAF_Qty],T_TTAFStock[RM_Code],$A75,T_TTAFStock[WeekIndex],74),BV75+'Grid_Incoming'!BW75-'Grid_Requirement'!BW75))</f>
        <v/>
      </c>
      <c r="BX75">
        <f>IF(COUNTIFS(T_StockCount[RM_Code],$A75,T_StockCount[WeekIndex],75)&gt;0,SUMIFS(T_StockCount[CountedQty],T_StockCount[RM_Code],$A75,T_StockCount[WeekIndex],75),IF((COUNTIFS(T_SelfStock[RM_Code],$A75,T_SelfStock[WeekIndex],75)&gt;0)*(COUNTIFS(T_TTAFStock[RM_Code],$A75,T_TTAFStock[WeekIndex],75)&gt;0)&gt;0,SUMIFS(T_SelfStock[Self_Qty],T_SelfStock[RM_Code],$A75,T_SelfStock[WeekIndex],75)+SUMIFS(T_TTAFStock[TTAF_Qty],T_TTAFStock[RM_Code],$A75,T_TTAFStock[WeekIndex],75),BW75+'Grid_Incoming'!BX75-'Grid_Requirement'!BX75))</f>
        <v/>
      </c>
      <c r="BY75">
        <f>IF(COUNTIFS(T_StockCount[RM_Code],$A75,T_StockCount[WeekIndex],76)&gt;0,SUMIFS(T_StockCount[CountedQty],T_StockCount[RM_Code],$A75,T_StockCount[WeekIndex],76),IF((COUNTIFS(T_SelfStock[RM_Code],$A75,T_SelfStock[WeekIndex],76)&gt;0)*(COUNTIFS(T_TTAFStock[RM_Code],$A75,T_TTAFStock[WeekIndex],76)&gt;0)&gt;0,SUMIFS(T_SelfStock[Self_Qty],T_SelfStock[RM_Code],$A75,T_SelfStock[WeekIndex],76)+SUMIFS(T_TTAFStock[TTAF_Qty],T_TTAFStock[RM_Code],$A75,T_TTAFStock[WeekIndex],76),BX75+'Grid_Incoming'!BY75-'Grid_Requirement'!BY75))</f>
        <v/>
      </c>
      <c r="BZ75">
        <f>IF(COUNTIFS(T_StockCount[RM_Code],$A75,T_StockCount[WeekIndex],77)&gt;0,SUMIFS(T_StockCount[CountedQty],T_StockCount[RM_Code],$A75,T_StockCount[WeekIndex],77),IF((COUNTIFS(T_SelfStock[RM_Code],$A75,T_SelfStock[WeekIndex],77)&gt;0)*(COUNTIFS(T_TTAFStock[RM_Code],$A75,T_TTAFStock[WeekIndex],77)&gt;0)&gt;0,SUMIFS(T_SelfStock[Self_Qty],T_SelfStock[RM_Code],$A75,T_SelfStock[WeekIndex],77)+SUMIFS(T_TTAFStock[TTAF_Qty],T_TTAFStock[RM_Code],$A75,T_TTAFStock[WeekIndex],77),BY75+'Grid_Incoming'!BZ75-'Grid_Requirement'!BZ75))</f>
        <v/>
      </c>
      <c r="CA75">
        <f>IF(COUNTIFS(T_StockCount[RM_Code],$A75,T_StockCount[WeekIndex],78)&gt;0,SUMIFS(T_StockCount[CountedQty],T_StockCount[RM_Code],$A75,T_StockCount[WeekIndex],78),IF((COUNTIFS(T_SelfStock[RM_Code],$A75,T_SelfStock[WeekIndex],78)&gt;0)*(COUNTIFS(T_TTAFStock[RM_Code],$A75,T_TTAFStock[WeekIndex],78)&gt;0)&gt;0,SUMIFS(T_SelfStock[Self_Qty],T_SelfStock[RM_Code],$A75,T_SelfStock[WeekIndex],78)+SUMIFS(T_TTAFStock[TTAF_Qty],T_TTAFStock[RM_Code],$A75,T_TTAFStock[WeekIndex],78),BZ75+'Grid_Incoming'!CA75-'Grid_Requirement'!CA75))</f>
        <v/>
      </c>
      <c r="CB75">
        <f>IF(COUNTIFS(T_StockCount[RM_Code],$A75,T_StockCount[WeekIndex],79)&gt;0,SUMIFS(T_StockCount[CountedQty],T_StockCount[RM_Code],$A75,T_StockCount[WeekIndex],79),IF((COUNTIFS(T_SelfStock[RM_Code],$A75,T_SelfStock[WeekIndex],79)&gt;0)*(COUNTIFS(T_TTAFStock[RM_Code],$A75,T_TTAFStock[WeekIndex],79)&gt;0)&gt;0,SUMIFS(T_SelfStock[Self_Qty],T_SelfStock[RM_Code],$A75,T_SelfStock[WeekIndex],79)+SUMIFS(T_TTAFStock[TTAF_Qty],T_TTAFStock[RM_Code],$A75,T_TTAFStock[WeekIndex],79),CA75+'Grid_Incoming'!CB75-'Grid_Requirement'!CB75))</f>
        <v/>
      </c>
      <c r="CC75">
        <f>IF(COUNTIFS(T_StockCount[RM_Code],$A75,T_StockCount[WeekIndex],80)&gt;0,SUMIFS(T_StockCount[CountedQty],T_StockCount[RM_Code],$A75,T_StockCount[WeekIndex],80),IF((COUNTIFS(T_SelfStock[RM_Code],$A75,T_SelfStock[WeekIndex],80)&gt;0)*(COUNTIFS(T_TTAFStock[RM_Code],$A75,T_TTAFStock[WeekIndex],80)&gt;0)&gt;0,SUMIFS(T_SelfStock[Self_Qty],T_SelfStock[RM_Code],$A75,T_SelfStock[WeekIndex],80)+SUMIFS(T_TTAFStock[TTAF_Qty],T_TTAFStock[RM_Code],$A75,T_TTAFStock[WeekIndex],80),CB75+'Grid_Incoming'!CC75-'Grid_Requirement'!CC75))</f>
        <v/>
      </c>
      <c r="CD75">
        <f>IF(COUNTIFS(T_StockCount[RM_Code],$A75,T_StockCount[WeekIndex],81)&gt;0,SUMIFS(T_StockCount[CountedQty],T_StockCount[RM_Code],$A75,T_StockCount[WeekIndex],81),IF((COUNTIFS(T_SelfStock[RM_Code],$A75,T_SelfStock[WeekIndex],81)&gt;0)*(COUNTIFS(T_TTAFStock[RM_Code],$A75,T_TTAFStock[WeekIndex],81)&gt;0)&gt;0,SUMIFS(T_SelfStock[Self_Qty],T_SelfStock[RM_Code],$A75,T_SelfStock[WeekIndex],81)+SUMIFS(T_TTAFStock[TTAF_Qty],T_TTAFStock[RM_Code],$A75,T_TTAFStock[WeekIndex],81),CC75+'Grid_Incoming'!CD75-'Grid_Requirement'!CD75))</f>
        <v/>
      </c>
      <c r="CE75">
        <f>IF(COUNTIFS(T_StockCount[RM_Code],$A75,T_StockCount[WeekIndex],82)&gt;0,SUMIFS(T_StockCount[CountedQty],T_StockCount[RM_Code],$A75,T_StockCount[WeekIndex],82),IF((COUNTIFS(T_SelfStock[RM_Code],$A75,T_SelfStock[WeekIndex],82)&gt;0)*(COUNTIFS(T_TTAFStock[RM_Code],$A75,T_TTAFStock[WeekIndex],82)&gt;0)&gt;0,SUMIFS(T_SelfStock[Self_Qty],T_SelfStock[RM_Code],$A75,T_SelfStock[WeekIndex],82)+SUMIFS(T_TTAFStock[TTAF_Qty],T_TTAFStock[RM_Code],$A75,T_TTAFStock[WeekIndex],82),CD75+'Grid_Incoming'!CE75-'Grid_Requirement'!CE75))</f>
        <v/>
      </c>
      <c r="CF75">
        <f>IF(COUNTIFS(T_StockCount[RM_Code],$A75,T_StockCount[WeekIndex],83)&gt;0,SUMIFS(T_StockCount[CountedQty],T_StockCount[RM_Code],$A75,T_StockCount[WeekIndex],83),IF((COUNTIFS(T_SelfStock[RM_Code],$A75,T_SelfStock[WeekIndex],83)&gt;0)*(COUNTIFS(T_TTAFStock[RM_Code],$A75,T_TTAFStock[WeekIndex],83)&gt;0)&gt;0,SUMIFS(T_SelfStock[Self_Qty],T_SelfStock[RM_Code],$A75,T_SelfStock[WeekIndex],83)+SUMIFS(T_TTAFStock[TTAF_Qty],T_TTAFStock[RM_Code],$A75,T_TTAFStock[WeekIndex],83),CE75+'Grid_Incoming'!CF75-'Grid_Requirement'!CF75))</f>
        <v/>
      </c>
      <c r="CG75">
        <f>IF(COUNTIFS(T_StockCount[RM_Code],$A75,T_StockCount[WeekIndex],84)&gt;0,SUMIFS(T_StockCount[CountedQty],T_StockCount[RM_Code],$A75,T_StockCount[WeekIndex],84),IF((COUNTIFS(T_SelfStock[RM_Code],$A75,T_SelfStock[WeekIndex],84)&gt;0)*(COUNTIFS(T_TTAFStock[RM_Code],$A75,T_TTAFStock[WeekIndex],84)&gt;0)&gt;0,SUMIFS(T_SelfStock[Self_Qty],T_SelfStock[RM_Code],$A75,T_SelfStock[WeekIndex],84)+SUMIFS(T_TTAFStock[TTAF_Qty],T_TTAFStock[RM_Code],$A75,T_TTAFStock[WeekIndex],84),CF75+'Grid_Incoming'!CG75-'Grid_Requirement'!CG75))</f>
        <v/>
      </c>
      <c r="CH75">
        <f>IF(COUNTIFS(T_StockCount[RM_Code],$A75,T_StockCount[WeekIndex],85)&gt;0,SUMIFS(T_StockCount[CountedQty],T_StockCount[RM_Code],$A75,T_StockCount[WeekIndex],85),IF((COUNTIFS(T_SelfStock[RM_Code],$A75,T_SelfStock[WeekIndex],85)&gt;0)*(COUNTIFS(T_TTAFStock[RM_Code],$A75,T_TTAFStock[WeekIndex],85)&gt;0)&gt;0,SUMIFS(T_SelfStock[Self_Qty],T_SelfStock[RM_Code],$A75,T_SelfStock[WeekIndex],85)+SUMIFS(T_TTAFStock[TTAF_Qty],T_TTAFStock[RM_Code],$A75,T_TTAFStock[WeekIndex],85),CG75+'Grid_Incoming'!CH75-'Grid_Requirement'!CH75))</f>
        <v/>
      </c>
      <c r="CI75">
        <f>IF(COUNTIFS(T_StockCount[RM_Code],$A75,T_StockCount[WeekIndex],86)&gt;0,SUMIFS(T_StockCount[CountedQty],T_StockCount[RM_Code],$A75,T_StockCount[WeekIndex],86),IF((COUNTIFS(T_SelfStock[RM_Code],$A75,T_SelfStock[WeekIndex],86)&gt;0)*(COUNTIFS(T_TTAFStock[RM_Code],$A75,T_TTAFStock[WeekIndex],86)&gt;0)&gt;0,SUMIFS(T_SelfStock[Self_Qty],T_SelfStock[RM_Code],$A75,T_SelfStock[WeekIndex],86)+SUMIFS(T_TTAFStock[TTAF_Qty],T_TTAFStock[RM_Code],$A75,T_TTAFStock[WeekIndex],86),CH75+'Grid_Incoming'!CI75-'Grid_Requirement'!CI75))</f>
        <v/>
      </c>
      <c r="CJ75">
        <f>IF(COUNTIFS(T_StockCount[RM_Code],$A75,T_StockCount[WeekIndex],87)&gt;0,SUMIFS(T_StockCount[CountedQty],T_StockCount[RM_Code],$A75,T_StockCount[WeekIndex],87),IF((COUNTIFS(T_SelfStock[RM_Code],$A75,T_SelfStock[WeekIndex],87)&gt;0)*(COUNTIFS(T_TTAFStock[RM_Code],$A75,T_TTAFStock[WeekIndex],87)&gt;0)&gt;0,SUMIFS(T_SelfStock[Self_Qty],T_SelfStock[RM_Code],$A75,T_SelfStock[WeekIndex],87)+SUMIFS(T_TTAFStock[TTAF_Qty],T_TTAFStock[RM_Code],$A75,T_TTAFStock[WeekIndex],87),CI75+'Grid_Incoming'!CJ75-'Grid_Requirement'!CJ75))</f>
        <v/>
      </c>
      <c r="CK75">
        <f>IF(COUNTIFS(T_StockCount[RM_Code],$A75,T_StockCount[WeekIndex],88)&gt;0,SUMIFS(T_StockCount[CountedQty],T_StockCount[RM_Code],$A75,T_StockCount[WeekIndex],88),IF((COUNTIFS(T_SelfStock[RM_Code],$A75,T_SelfStock[WeekIndex],88)&gt;0)*(COUNTIFS(T_TTAFStock[RM_Code],$A75,T_TTAFStock[WeekIndex],88)&gt;0)&gt;0,SUMIFS(T_SelfStock[Self_Qty],T_SelfStock[RM_Code],$A75,T_SelfStock[WeekIndex],88)+SUMIFS(T_TTAFStock[TTAF_Qty],T_TTAFStock[RM_Code],$A75,T_TTAFStock[WeekIndex],88),CJ75+'Grid_Incoming'!CK75-'Grid_Requirement'!CK75))</f>
        <v/>
      </c>
      <c r="CL75">
        <f>IF(COUNTIFS(T_StockCount[RM_Code],$A75,T_StockCount[WeekIndex],89)&gt;0,SUMIFS(T_StockCount[CountedQty],T_StockCount[RM_Code],$A75,T_StockCount[WeekIndex],89),IF((COUNTIFS(T_SelfStock[RM_Code],$A75,T_SelfStock[WeekIndex],89)&gt;0)*(COUNTIFS(T_TTAFStock[RM_Code],$A75,T_TTAFStock[WeekIndex],89)&gt;0)&gt;0,SUMIFS(T_SelfStock[Self_Qty],T_SelfStock[RM_Code],$A75,T_SelfStock[WeekIndex],89)+SUMIFS(T_TTAFStock[TTAF_Qty],T_TTAFStock[RM_Code],$A75,T_TTAFStock[WeekIndex],89),CK75+'Grid_Incoming'!CL75-'Grid_Requirement'!CL75))</f>
        <v/>
      </c>
      <c r="CM75">
        <f>IF(COUNTIFS(T_StockCount[RM_Code],$A75,T_StockCount[WeekIndex],90)&gt;0,SUMIFS(T_StockCount[CountedQty],T_StockCount[RM_Code],$A75,T_StockCount[WeekIndex],90),IF((COUNTIFS(T_SelfStock[RM_Code],$A75,T_SelfStock[WeekIndex],90)&gt;0)*(COUNTIFS(T_TTAFStock[RM_Code],$A75,T_TTAFStock[WeekIndex],90)&gt;0)&gt;0,SUMIFS(T_SelfStock[Self_Qty],T_SelfStock[RM_Code],$A75,T_SelfStock[WeekIndex],90)+SUMIFS(T_TTAFStock[TTAF_Qty],T_TTAFStock[RM_Code],$A75,T_TTAFStock[WeekIndex],90),CL75+'Grid_Incoming'!CM75-'Grid_Requirement'!CM75))</f>
        <v/>
      </c>
      <c r="CN75">
        <f>IF(COUNTIFS(T_StockCount[RM_Code],$A75,T_StockCount[WeekIndex],91)&gt;0,SUMIFS(T_StockCount[CountedQty],T_StockCount[RM_Code],$A75,T_StockCount[WeekIndex],91),IF((COUNTIFS(T_SelfStock[RM_Code],$A75,T_SelfStock[WeekIndex],91)&gt;0)*(COUNTIFS(T_TTAFStock[RM_Code],$A75,T_TTAFStock[WeekIndex],91)&gt;0)&gt;0,SUMIFS(T_SelfStock[Self_Qty],T_SelfStock[RM_Code],$A75,T_SelfStock[WeekIndex],91)+SUMIFS(T_TTAFStock[TTAF_Qty],T_TTAFStock[RM_Code],$A75,T_TTAFStock[WeekIndex],91),CM75+'Grid_Incoming'!CN75-'Grid_Requirement'!CN75))</f>
        <v/>
      </c>
      <c r="CO75">
        <f>IF(COUNTIFS(T_StockCount[RM_Code],$A75,T_StockCount[WeekIndex],92)&gt;0,SUMIFS(T_StockCount[CountedQty],T_StockCount[RM_Code],$A75,T_StockCount[WeekIndex],92),IF((COUNTIFS(T_SelfStock[RM_Code],$A75,T_SelfStock[WeekIndex],92)&gt;0)*(COUNTIFS(T_TTAFStock[RM_Code],$A75,T_TTAFStock[WeekIndex],92)&gt;0)&gt;0,SUMIFS(T_SelfStock[Self_Qty],T_SelfStock[RM_Code],$A75,T_SelfStock[WeekIndex],92)+SUMIFS(T_TTAFStock[TTAF_Qty],T_TTAFStock[RM_Code],$A75,T_TTAFStock[WeekIndex],92),CN75+'Grid_Incoming'!CO75-'Grid_Requirement'!CO75))</f>
        <v/>
      </c>
      <c r="CP75">
        <f>IF(COUNTIFS(T_StockCount[RM_Code],$A75,T_StockCount[WeekIndex],93)&gt;0,SUMIFS(T_StockCount[CountedQty],T_StockCount[RM_Code],$A75,T_StockCount[WeekIndex],93),IF((COUNTIFS(T_SelfStock[RM_Code],$A75,T_SelfStock[WeekIndex],93)&gt;0)*(COUNTIFS(T_TTAFStock[RM_Code],$A75,T_TTAFStock[WeekIndex],93)&gt;0)&gt;0,SUMIFS(T_SelfStock[Self_Qty],T_SelfStock[RM_Code],$A75,T_SelfStock[WeekIndex],93)+SUMIFS(T_TTAFStock[TTAF_Qty],T_TTAFStock[RM_Code],$A75,T_TTAFStock[WeekIndex],93),CO75+'Grid_Incoming'!CP75-'Grid_Requirement'!CP75))</f>
        <v/>
      </c>
      <c r="CQ75">
        <f>IF(COUNTIFS(T_StockCount[RM_Code],$A75,T_StockCount[WeekIndex],94)&gt;0,SUMIFS(T_StockCount[CountedQty],T_StockCount[RM_Code],$A75,T_StockCount[WeekIndex],94),IF((COUNTIFS(T_SelfStock[RM_Code],$A75,T_SelfStock[WeekIndex],94)&gt;0)*(COUNTIFS(T_TTAFStock[RM_Code],$A75,T_TTAFStock[WeekIndex],94)&gt;0)&gt;0,SUMIFS(T_SelfStock[Self_Qty],T_SelfStock[RM_Code],$A75,T_SelfStock[WeekIndex],94)+SUMIFS(T_TTAFStock[TTAF_Qty],T_TTAFStock[RM_Code],$A75,T_TTAFStock[WeekIndex],94),CP75+'Grid_Incoming'!CQ75-'Grid_Requirement'!CQ75))</f>
        <v/>
      </c>
      <c r="CR75">
        <f>IF(COUNTIFS(T_StockCount[RM_Code],$A75,T_StockCount[WeekIndex],95)&gt;0,SUMIFS(T_StockCount[CountedQty],T_StockCount[RM_Code],$A75,T_StockCount[WeekIndex],95),IF((COUNTIFS(T_SelfStock[RM_Code],$A75,T_SelfStock[WeekIndex],95)&gt;0)*(COUNTIFS(T_TTAFStock[RM_Code],$A75,T_TTAFStock[WeekIndex],95)&gt;0)&gt;0,SUMIFS(T_SelfStock[Self_Qty],T_SelfStock[RM_Code],$A75,T_SelfStock[WeekIndex],95)+SUMIFS(T_TTAFStock[TTAF_Qty],T_TTAFStock[RM_Code],$A75,T_TTAFStock[WeekIndex],95),CQ75+'Grid_Incoming'!CR75-'Grid_Requirement'!CR75))</f>
        <v/>
      </c>
      <c r="CS75">
        <f>IF(COUNTIFS(T_StockCount[RM_Code],$A75,T_StockCount[WeekIndex],96)&gt;0,SUMIFS(T_StockCount[CountedQty],T_StockCount[RM_Code],$A75,T_StockCount[WeekIndex],96),IF((COUNTIFS(T_SelfStock[RM_Code],$A75,T_SelfStock[WeekIndex],96)&gt;0)*(COUNTIFS(T_TTAFStock[RM_Code],$A75,T_TTAFStock[WeekIndex],96)&gt;0)&gt;0,SUMIFS(T_SelfStock[Self_Qty],T_SelfStock[RM_Code],$A75,T_SelfStock[WeekIndex],96)+SUMIFS(T_TTAFStock[TTAF_Qty],T_TTAFStock[RM_Code],$A75,T_TTAFStock[WeekIndex],96),CR75+'Grid_Incoming'!CS75-'Grid_Requirement'!CS75))</f>
        <v/>
      </c>
      <c r="CT75">
        <f>IF(COUNTIFS(T_StockCount[RM_Code],$A75,T_StockCount[WeekIndex],97)&gt;0,SUMIFS(T_StockCount[CountedQty],T_StockCount[RM_Code],$A75,T_StockCount[WeekIndex],97),IF((COUNTIFS(T_SelfStock[RM_Code],$A75,T_SelfStock[WeekIndex],97)&gt;0)*(COUNTIFS(T_TTAFStock[RM_Code],$A75,T_TTAFStock[WeekIndex],97)&gt;0)&gt;0,SUMIFS(T_SelfStock[Self_Qty],T_SelfStock[RM_Code],$A75,T_SelfStock[WeekIndex],97)+SUMIFS(T_TTAFStock[TTAF_Qty],T_TTAFStock[RM_Code],$A75,T_TTAFStock[WeekIndex],97),CS75+'Grid_Incoming'!CT75-'Grid_Requirement'!CT75))</f>
        <v/>
      </c>
      <c r="CU75">
        <f>IF(COUNTIFS(T_StockCount[RM_Code],$A75,T_StockCount[WeekIndex],98)&gt;0,SUMIFS(T_StockCount[CountedQty],T_StockCount[RM_Code],$A75,T_StockCount[WeekIndex],98),IF((COUNTIFS(T_SelfStock[RM_Code],$A75,T_SelfStock[WeekIndex],98)&gt;0)*(COUNTIFS(T_TTAFStock[RM_Code],$A75,T_TTAFStock[WeekIndex],98)&gt;0)&gt;0,SUMIFS(T_SelfStock[Self_Qty],T_SelfStock[RM_Code],$A75,T_SelfStock[WeekIndex],98)+SUMIFS(T_TTAFStock[TTAF_Qty],T_TTAFStock[RM_Code],$A75,T_TTAFStock[WeekIndex],98),CT75+'Grid_Incoming'!CU75-'Grid_Requirement'!CU75))</f>
        <v/>
      </c>
      <c r="CV75">
        <f>IF(COUNTIFS(T_StockCount[RM_Code],$A75,T_StockCount[WeekIndex],99)&gt;0,SUMIFS(T_StockCount[CountedQty],T_StockCount[RM_Code],$A75,T_StockCount[WeekIndex],99),IF((COUNTIFS(T_SelfStock[RM_Code],$A75,T_SelfStock[WeekIndex],99)&gt;0)*(COUNTIFS(T_TTAFStock[RM_Code],$A75,T_TTAFStock[WeekIndex],99)&gt;0)&gt;0,SUMIFS(T_SelfStock[Self_Qty],T_SelfStock[RM_Code],$A75,T_SelfStock[WeekIndex],99)+SUMIFS(T_TTAFStock[TTAF_Qty],T_TTAFStock[RM_Code],$A75,T_TTAFStock[WeekIndex],99),CU75+'Grid_Incoming'!CV75-'Grid_Requirement'!CV75))</f>
        <v/>
      </c>
      <c r="CW75">
        <f>IF(COUNTIFS(T_StockCount[RM_Code],$A75,T_StockCount[WeekIndex],100)&gt;0,SUMIFS(T_StockCount[CountedQty],T_StockCount[RM_Code],$A75,T_StockCount[WeekIndex],100),IF((COUNTIFS(T_SelfStock[RM_Code],$A75,T_SelfStock[WeekIndex],100)&gt;0)*(COUNTIFS(T_TTAFStock[RM_Code],$A75,T_TTAFStock[WeekIndex],100)&gt;0)&gt;0,SUMIFS(T_SelfStock[Self_Qty],T_SelfStock[RM_Code],$A75,T_SelfStock[WeekIndex],100)+SUMIFS(T_TTAFStock[TTAF_Qty],T_TTAFStock[RM_Code],$A75,T_TTAFStock[WeekIndex],100),CV75+'Grid_Incoming'!CW75-'Grid_Requirement'!CW75))</f>
        <v/>
      </c>
      <c r="CX75">
        <f>IF(COUNTIFS(T_StockCount[RM_Code],$A75,T_StockCount[WeekIndex],101)&gt;0,SUMIFS(T_StockCount[CountedQty],T_StockCount[RM_Code],$A75,T_StockCount[WeekIndex],101),IF((COUNTIFS(T_SelfStock[RM_Code],$A75,T_SelfStock[WeekIndex],101)&gt;0)*(COUNTIFS(T_TTAFStock[RM_Code],$A75,T_TTAFStock[WeekIndex],101)&gt;0)&gt;0,SUMIFS(T_SelfStock[Self_Qty],T_SelfStock[RM_Code],$A75,T_SelfStock[WeekIndex],101)+SUMIFS(T_TTAFStock[TTAF_Qty],T_TTAFStock[RM_Code],$A75,T_TTAFStock[WeekIndex],101),CW75+'Grid_Incoming'!CX75-'Grid_Requirement'!CX75))</f>
        <v/>
      </c>
      <c r="CY75">
        <f>IF(COUNTIFS(T_StockCount[RM_Code],$A75,T_StockCount[WeekIndex],102)&gt;0,SUMIFS(T_StockCount[CountedQty],T_StockCount[RM_Code],$A75,T_StockCount[WeekIndex],102),IF((COUNTIFS(T_SelfStock[RM_Code],$A75,T_SelfStock[WeekIndex],102)&gt;0)*(COUNTIFS(T_TTAFStock[RM_Code],$A75,T_TTAFStock[WeekIndex],102)&gt;0)&gt;0,SUMIFS(T_SelfStock[Self_Qty],T_SelfStock[RM_Code],$A75,T_SelfStock[WeekIndex],102)+SUMIFS(T_TTAFStock[TTAF_Qty],T_TTAFStock[RM_Code],$A75,T_TTAFStock[WeekIndex],102),CX75+'Grid_Incoming'!CY75-'Grid_Requirement'!CY75))</f>
        <v/>
      </c>
      <c r="CZ75">
        <f>IF(COUNTIFS(T_StockCount[RM_Code],$A75,T_StockCount[WeekIndex],103)&gt;0,SUMIFS(T_StockCount[CountedQty],T_StockCount[RM_Code],$A75,T_StockCount[WeekIndex],103),IF((COUNTIFS(T_SelfStock[RM_Code],$A75,T_SelfStock[WeekIndex],103)&gt;0)*(COUNTIFS(T_TTAFStock[RM_Code],$A75,T_TTAFStock[WeekIndex],103)&gt;0)&gt;0,SUMIFS(T_SelfStock[Self_Qty],T_SelfStock[RM_Code],$A75,T_SelfStock[WeekIndex],103)+SUMIFS(T_TTAFStock[TTAF_Qty],T_TTAFStock[RM_Code],$A75,T_TTAFStock[WeekIndex],103),CY75+'Grid_Incoming'!CZ75-'Grid_Requirement'!CZ75))</f>
        <v/>
      </c>
      <c r="DA75">
        <f>IF(COUNTIFS(T_StockCount[RM_Code],$A75,T_StockCount[WeekIndex],104)&gt;0,SUMIFS(T_StockCount[CountedQty],T_StockCount[RM_Code],$A75,T_StockCount[WeekIndex],104),IF((COUNTIFS(T_SelfStock[RM_Code],$A75,T_SelfStock[WeekIndex],104)&gt;0)*(COUNTIFS(T_TTAFStock[RM_Code],$A75,T_TTAFStock[WeekIndex],104)&gt;0)&gt;0,SUMIFS(T_SelfStock[Self_Qty],T_SelfStock[RM_Code],$A75,T_SelfStock[WeekIndex],104)+SUMIFS(T_TTAFStock[TTAF_Qty],T_TTAFStock[RM_Code],$A75,T_TTAFStock[WeekIndex],104),CZ75+'Grid_Incoming'!DA75-'Grid_Requirement'!DA75))</f>
        <v/>
      </c>
    </row>
    <row r="76">
      <c r="A76" t="inlineStr">
        <is>
          <t>CHEM-1810</t>
        </is>
      </c>
      <c r="B76">
        <f>IF(COUNTIFS(T_StockCount[RM_Code],$A76,T_StockCount[WeekIndex],1)&gt;0,SUMIFS(T_StockCount[CountedQty],T_StockCount[RM_Code],$A76,T_StockCount[WeekIndex],1),IF((COUNTIFS(T_SelfStock[RM_Code],$A76,T_SelfStock[WeekIndex],1)&gt;0)*(COUNTIFS(T_TTAFStock[RM_Code],$A76,T_TTAFStock[WeekIndex],1)&gt;0)&gt;0,SUMIFS(T_SelfStock[Self_Qty],T_SelfStock[RM_Code],$A76,T_SelfStock[WeekIndex],1)+SUMIFS(T_TTAFStock[TTAF_Qty],T_TTAFStock[RM_Code],$A76,T_TTAFStock[WeekIndex],1),IFERROR(INDEX(T_OpeningStock[Opening_Qty],MATCH($A76,T_OpeningStock[RM_Code],0)),0)+'Grid_Incoming'!B76-'Grid_Requirement'!B76))</f>
        <v/>
      </c>
      <c r="C76">
        <f>IF(COUNTIFS(T_StockCount[RM_Code],$A76,T_StockCount[WeekIndex],2)&gt;0,SUMIFS(T_StockCount[CountedQty],T_StockCount[RM_Code],$A76,T_StockCount[WeekIndex],2),IF((COUNTIFS(T_SelfStock[RM_Code],$A76,T_SelfStock[WeekIndex],2)&gt;0)*(COUNTIFS(T_TTAFStock[RM_Code],$A76,T_TTAFStock[WeekIndex],2)&gt;0)&gt;0,SUMIFS(T_SelfStock[Self_Qty],T_SelfStock[RM_Code],$A76,T_SelfStock[WeekIndex],2)+SUMIFS(T_TTAFStock[TTAF_Qty],T_TTAFStock[RM_Code],$A76,T_TTAFStock[WeekIndex],2),B76+'Grid_Incoming'!C76-'Grid_Requirement'!C76))</f>
        <v/>
      </c>
      <c r="D76">
        <f>IF(COUNTIFS(T_StockCount[RM_Code],$A76,T_StockCount[WeekIndex],3)&gt;0,SUMIFS(T_StockCount[CountedQty],T_StockCount[RM_Code],$A76,T_StockCount[WeekIndex],3),IF((COUNTIFS(T_SelfStock[RM_Code],$A76,T_SelfStock[WeekIndex],3)&gt;0)*(COUNTIFS(T_TTAFStock[RM_Code],$A76,T_TTAFStock[WeekIndex],3)&gt;0)&gt;0,SUMIFS(T_SelfStock[Self_Qty],T_SelfStock[RM_Code],$A76,T_SelfStock[WeekIndex],3)+SUMIFS(T_TTAFStock[TTAF_Qty],T_TTAFStock[RM_Code],$A76,T_TTAFStock[WeekIndex],3),C76+'Grid_Incoming'!D76-'Grid_Requirement'!D76))</f>
        <v/>
      </c>
      <c r="E76">
        <f>IF(COUNTIFS(T_StockCount[RM_Code],$A76,T_StockCount[WeekIndex],4)&gt;0,SUMIFS(T_StockCount[CountedQty],T_StockCount[RM_Code],$A76,T_StockCount[WeekIndex],4),IF((COUNTIFS(T_SelfStock[RM_Code],$A76,T_SelfStock[WeekIndex],4)&gt;0)*(COUNTIFS(T_TTAFStock[RM_Code],$A76,T_TTAFStock[WeekIndex],4)&gt;0)&gt;0,SUMIFS(T_SelfStock[Self_Qty],T_SelfStock[RM_Code],$A76,T_SelfStock[WeekIndex],4)+SUMIFS(T_TTAFStock[TTAF_Qty],T_TTAFStock[RM_Code],$A76,T_TTAFStock[WeekIndex],4),D76+'Grid_Incoming'!E76-'Grid_Requirement'!E76))</f>
        <v/>
      </c>
      <c r="F76">
        <f>IF(COUNTIFS(T_StockCount[RM_Code],$A76,T_StockCount[WeekIndex],5)&gt;0,SUMIFS(T_StockCount[CountedQty],T_StockCount[RM_Code],$A76,T_StockCount[WeekIndex],5),IF((COUNTIFS(T_SelfStock[RM_Code],$A76,T_SelfStock[WeekIndex],5)&gt;0)*(COUNTIFS(T_TTAFStock[RM_Code],$A76,T_TTAFStock[WeekIndex],5)&gt;0)&gt;0,SUMIFS(T_SelfStock[Self_Qty],T_SelfStock[RM_Code],$A76,T_SelfStock[WeekIndex],5)+SUMIFS(T_TTAFStock[TTAF_Qty],T_TTAFStock[RM_Code],$A76,T_TTAFStock[WeekIndex],5),E76+'Grid_Incoming'!F76-'Grid_Requirement'!F76))</f>
        <v/>
      </c>
      <c r="G76">
        <f>IF(COUNTIFS(T_StockCount[RM_Code],$A76,T_StockCount[WeekIndex],6)&gt;0,SUMIFS(T_StockCount[CountedQty],T_StockCount[RM_Code],$A76,T_StockCount[WeekIndex],6),IF((COUNTIFS(T_SelfStock[RM_Code],$A76,T_SelfStock[WeekIndex],6)&gt;0)*(COUNTIFS(T_TTAFStock[RM_Code],$A76,T_TTAFStock[WeekIndex],6)&gt;0)&gt;0,SUMIFS(T_SelfStock[Self_Qty],T_SelfStock[RM_Code],$A76,T_SelfStock[WeekIndex],6)+SUMIFS(T_TTAFStock[TTAF_Qty],T_TTAFStock[RM_Code],$A76,T_TTAFStock[WeekIndex],6),F76+'Grid_Incoming'!G76-'Grid_Requirement'!G76))</f>
        <v/>
      </c>
      <c r="H76">
        <f>IF(COUNTIFS(T_StockCount[RM_Code],$A76,T_StockCount[WeekIndex],7)&gt;0,SUMIFS(T_StockCount[CountedQty],T_StockCount[RM_Code],$A76,T_StockCount[WeekIndex],7),IF((COUNTIFS(T_SelfStock[RM_Code],$A76,T_SelfStock[WeekIndex],7)&gt;0)*(COUNTIFS(T_TTAFStock[RM_Code],$A76,T_TTAFStock[WeekIndex],7)&gt;0)&gt;0,SUMIFS(T_SelfStock[Self_Qty],T_SelfStock[RM_Code],$A76,T_SelfStock[WeekIndex],7)+SUMIFS(T_TTAFStock[TTAF_Qty],T_TTAFStock[RM_Code],$A76,T_TTAFStock[WeekIndex],7),G76+'Grid_Incoming'!H76-'Grid_Requirement'!H76))</f>
        <v/>
      </c>
      <c r="I76">
        <f>IF(COUNTIFS(T_StockCount[RM_Code],$A76,T_StockCount[WeekIndex],8)&gt;0,SUMIFS(T_StockCount[CountedQty],T_StockCount[RM_Code],$A76,T_StockCount[WeekIndex],8),IF((COUNTIFS(T_SelfStock[RM_Code],$A76,T_SelfStock[WeekIndex],8)&gt;0)*(COUNTIFS(T_TTAFStock[RM_Code],$A76,T_TTAFStock[WeekIndex],8)&gt;0)&gt;0,SUMIFS(T_SelfStock[Self_Qty],T_SelfStock[RM_Code],$A76,T_SelfStock[WeekIndex],8)+SUMIFS(T_TTAFStock[TTAF_Qty],T_TTAFStock[RM_Code],$A76,T_TTAFStock[WeekIndex],8),H76+'Grid_Incoming'!I76-'Grid_Requirement'!I76))</f>
        <v/>
      </c>
      <c r="J76">
        <f>IF(COUNTIFS(T_StockCount[RM_Code],$A76,T_StockCount[WeekIndex],9)&gt;0,SUMIFS(T_StockCount[CountedQty],T_StockCount[RM_Code],$A76,T_StockCount[WeekIndex],9),IF((COUNTIFS(T_SelfStock[RM_Code],$A76,T_SelfStock[WeekIndex],9)&gt;0)*(COUNTIFS(T_TTAFStock[RM_Code],$A76,T_TTAFStock[WeekIndex],9)&gt;0)&gt;0,SUMIFS(T_SelfStock[Self_Qty],T_SelfStock[RM_Code],$A76,T_SelfStock[WeekIndex],9)+SUMIFS(T_TTAFStock[TTAF_Qty],T_TTAFStock[RM_Code],$A76,T_TTAFStock[WeekIndex],9),I76+'Grid_Incoming'!J76-'Grid_Requirement'!J76))</f>
        <v/>
      </c>
      <c r="K76">
        <f>IF(COUNTIFS(T_StockCount[RM_Code],$A76,T_StockCount[WeekIndex],10)&gt;0,SUMIFS(T_StockCount[CountedQty],T_StockCount[RM_Code],$A76,T_StockCount[WeekIndex],10),IF((COUNTIFS(T_SelfStock[RM_Code],$A76,T_SelfStock[WeekIndex],10)&gt;0)*(COUNTIFS(T_TTAFStock[RM_Code],$A76,T_TTAFStock[WeekIndex],10)&gt;0)&gt;0,SUMIFS(T_SelfStock[Self_Qty],T_SelfStock[RM_Code],$A76,T_SelfStock[WeekIndex],10)+SUMIFS(T_TTAFStock[TTAF_Qty],T_TTAFStock[RM_Code],$A76,T_TTAFStock[WeekIndex],10),J76+'Grid_Incoming'!K76-'Grid_Requirement'!K76))</f>
        <v/>
      </c>
      <c r="L76">
        <f>IF(COUNTIFS(T_StockCount[RM_Code],$A76,T_StockCount[WeekIndex],11)&gt;0,SUMIFS(T_StockCount[CountedQty],T_StockCount[RM_Code],$A76,T_StockCount[WeekIndex],11),IF((COUNTIFS(T_SelfStock[RM_Code],$A76,T_SelfStock[WeekIndex],11)&gt;0)*(COUNTIFS(T_TTAFStock[RM_Code],$A76,T_TTAFStock[WeekIndex],11)&gt;0)&gt;0,SUMIFS(T_SelfStock[Self_Qty],T_SelfStock[RM_Code],$A76,T_SelfStock[WeekIndex],11)+SUMIFS(T_TTAFStock[TTAF_Qty],T_TTAFStock[RM_Code],$A76,T_TTAFStock[WeekIndex],11),K76+'Grid_Incoming'!L76-'Grid_Requirement'!L76))</f>
        <v/>
      </c>
      <c r="M76">
        <f>IF(COUNTIFS(T_StockCount[RM_Code],$A76,T_StockCount[WeekIndex],12)&gt;0,SUMIFS(T_StockCount[CountedQty],T_StockCount[RM_Code],$A76,T_StockCount[WeekIndex],12),IF((COUNTIFS(T_SelfStock[RM_Code],$A76,T_SelfStock[WeekIndex],12)&gt;0)*(COUNTIFS(T_TTAFStock[RM_Code],$A76,T_TTAFStock[WeekIndex],12)&gt;0)&gt;0,SUMIFS(T_SelfStock[Self_Qty],T_SelfStock[RM_Code],$A76,T_SelfStock[WeekIndex],12)+SUMIFS(T_TTAFStock[TTAF_Qty],T_TTAFStock[RM_Code],$A76,T_TTAFStock[WeekIndex],12),L76+'Grid_Incoming'!M76-'Grid_Requirement'!M76))</f>
        <v/>
      </c>
      <c r="N76">
        <f>IF(COUNTIFS(T_StockCount[RM_Code],$A76,T_StockCount[WeekIndex],13)&gt;0,SUMIFS(T_StockCount[CountedQty],T_StockCount[RM_Code],$A76,T_StockCount[WeekIndex],13),IF((COUNTIFS(T_SelfStock[RM_Code],$A76,T_SelfStock[WeekIndex],13)&gt;0)*(COUNTIFS(T_TTAFStock[RM_Code],$A76,T_TTAFStock[WeekIndex],13)&gt;0)&gt;0,SUMIFS(T_SelfStock[Self_Qty],T_SelfStock[RM_Code],$A76,T_SelfStock[WeekIndex],13)+SUMIFS(T_TTAFStock[TTAF_Qty],T_TTAFStock[RM_Code],$A76,T_TTAFStock[WeekIndex],13),M76+'Grid_Incoming'!N76-'Grid_Requirement'!N76))</f>
        <v/>
      </c>
      <c r="O76">
        <f>IF(COUNTIFS(T_StockCount[RM_Code],$A76,T_StockCount[WeekIndex],14)&gt;0,SUMIFS(T_StockCount[CountedQty],T_StockCount[RM_Code],$A76,T_StockCount[WeekIndex],14),IF((COUNTIFS(T_SelfStock[RM_Code],$A76,T_SelfStock[WeekIndex],14)&gt;0)*(COUNTIFS(T_TTAFStock[RM_Code],$A76,T_TTAFStock[WeekIndex],14)&gt;0)&gt;0,SUMIFS(T_SelfStock[Self_Qty],T_SelfStock[RM_Code],$A76,T_SelfStock[WeekIndex],14)+SUMIFS(T_TTAFStock[TTAF_Qty],T_TTAFStock[RM_Code],$A76,T_TTAFStock[WeekIndex],14),N76+'Grid_Incoming'!O76-'Grid_Requirement'!O76))</f>
        <v/>
      </c>
      <c r="P76">
        <f>IF(COUNTIFS(T_StockCount[RM_Code],$A76,T_StockCount[WeekIndex],15)&gt;0,SUMIFS(T_StockCount[CountedQty],T_StockCount[RM_Code],$A76,T_StockCount[WeekIndex],15),IF((COUNTIFS(T_SelfStock[RM_Code],$A76,T_SelfStock[WeekIndex],15)&gt;0)*(COUNTIFS(T_TTAFStock[RM_Code],$A76,T_TTAFStock[WeekIndex],15)&gt;0)&gt;0,SUMIFS(T_SelfStock[Self_Qty],T_SelfStock[RM_Code],$A76,T_SelfStock[WeekIndex],15)+SUMIFS(T_TTAFStock[TTAF_Qty],T_TTAFStock[RM_Code],$A76,T_TTAFStock[WeekIndex],15),O76+'Grid_Incoming'!P76-'Grid_Requirement'!P76))</f>
        <v/>
      </c>
      <c r="Q76">
        <f>IF(COUNTIFS(T_StockCount[RM_Code],$A76,T_StockCount[WeekIndex],16)&gt;0,SUMIFS(T_StockCount[CountedQty],T_StockCount[RM_Code],$A76,T_StockCount[WeekIndex],16),IF((COUNTIFS(T_SelfStock[RM_Code],$A76,T_SelfStock[WeekIndex],16)&gt;0)*(COUNTIFS(T_TTAFStock[RM_Code],$A76,T_TTAFStock[WeekIndex],16)&gt;0)&gt;0,SUMIFS(T_SelfStock[Self_Qty],T_SelfStock[RM_Code],$A76,T_SelfStock[WeekIndex],16)+SUMIFS(T_TTAFStock[TTAF_Qty],T_TTAFStock[RM_Code],$A76,T_TTAFStock[WeekIndex],16),P76+'Grid_Incoming'!Q76-'Grid_Requirement'!Q76))</f>
        <v/>
      </c>
      <c r="R76">
        <f>IF(COUNTIFS(T_StockCount[RM_Code],$A76,T_StockCount[WeekIndex],17)&gt;0,SUMIFS(T_StockCount[CountedQty],T_StockCount[RM_Code],$A76,T_StockCount[WeekIndex],17),IF((COUNTIFS(T_SelfStock[RM_Code],$A76,T_SelfStock[WeekIndex],17)&gt;0)*(COUNTIFS(T_TTAFStock[RM_Code],$A76,T_TTAFStock[WeekIndex],17)&gt;0)&gt;0,SUMIFS(T_SelfStock[Self_Qty],T_SelfStock[RM_Code],$A76,T_SelfStock[WeekIndex],17)+SUMIFS(T_TTAFStock[TTAF_Qty],T_TTAFStock[RM_Code],$A76,T_TTAFStock[WeekIndex],17),Q76+'Grid_Incoming'!R76-'Grid_Requirement'!R76))</f>
        <v/>
      </c>
      <c r="S76">
        <f>IF(COUNTIFS(T_StockCount[RM_Code],$A76,T_StockCount[WeekIndex],18)&gt;0,SUMIFS(T_StockCount[CountedQty],T_StockCount[RM_Code],$A76,T_StockCount[WeekIndex],18),IF((COUNTIFS(T_SelfStock[RM_Code],$A76,T_SelfStock[WeekIndex],18)&gt;0)*(COUNTIFS(T_TTAFStock[RM_Code],$A76,T_TTAFStock[WeekIndex],18)&gt;0)&gt;0,SUMIFS(T_SelfStock[Self_Qty],T_SelfStock[RM_Code],$A76,T_SelfStock[WeekIndex],18)+SUMIFS(T_TTAFStock[TTAF_Qty],T_TTAFStock[RM_Code],$A76,T_TTAFStock[WeekIndex],18),R76+'Grid_Incoming'!S76-'Grid_Requirement'!S76))</f>
        <v/>
      </c>
      <c r="T76">
        <f>IF(COUNTIFS(T_StockCount[RM_Code],$A76,T_StockCount[WeekIndex],19)&gt;0,SUMIFS(T_StockCount[CountedQty],T_StockCount[RM_Code],$A76,T_StockCount[WeekIndex],19),IF((COUNTIFS(T_SelfStock[RM_Code],$A76,T_SelfStock[WeekIndex],19)&gt;0)*(COUNTIFS(T_TTAFStock[RM_Code],$A76,T_TTAFStock[WeekIndex],19)&gt;0)&gt;0,SUMIFS(T_SelfStock[Self_Qty],T_SelfStock[RM_Code],$A76,T_SelfStock[WeekIndex],19)+SUMIFS(T_TTAFStock[TTAF_Qty],T_TTAFStock[RM_Code],$A76,T_TTAFStock[WeekIndex],19),S76+'Grid_Incoming'!T76-'Grid_Requirement'!T76))</f>
        <v/>
      </c>
      <c r="U76">
        <f>IF(COUNTIFS(T_StockCount[RM_Code],$A76,T_StockCount[WeekIndex],20)&gt;0,SUMIFS(T_StockCount[CountedQty],T_StockCount[RM_Code],$A76,T_StockCount[WeekIndex],20),IF((COUNTIFS(T_SelfStock[RM_Code],$A76,T_SelfStock[WeekIndex],20)&gt;0)*(COUNTIFS(T_TTAFStock[RM_Code],$A76,T_TTAFStock[WeekIndex],20)&gt;0)&gt;0,SUMIFS(T_SelfStock[Self_Qty],T_SelfStock[RM_Code],$A76,T_SelfStock[WeekIndex],20)+SUMIFS(T_TTAFStock[TTAF_Qty],T_TTAFStock[RM_Code],$A76,T_TTAFStock[WeekIndex],20),T76+'Grid_Incoming'!U76-'Grid_Requirement'!U76))</f>
        <v/>
      </c>
      <c r="V76">
        <f>IF(COUNTIFS(T_StockCount[RM_Code],$A76,T_StockCount[WeekIndex],21)&gt;0,SUMIFS(T_StockCount[CountedQty],T_StockCount[RM_Code],$A76,T_StockCount[WeekIndex],21),IF((COUNTIFS(T_SelfStock[RM_Code],$A76,T_SelfStock[WeekIndex],21)&gt;0)*(COUNTIFS(T_TTAFStock[RM_Code],$A76,T_TTAFStock[WeekIndex],21)&gt;0)&gt;0,SUMIFS(T_SelfStock[Self_Qty],T_SelfStock[RM_Code],$A76,T_SelfStock[WeekIndex],21)+SUMIFS(T_TTAFStock[TTAF_Qty],T_TTAFStock[RM_Code],$A76,T_TTAFStock[WeekIndex],21),U76+'Grid_Incoming'!V76-'Grid_Requirement'!V76))</f>
        <v/>
      </c>
      <c r="W76">
        <f>IF(COUNTIFS(T_StockCount[RM_Code],$A76,T_StockCount[WeekIndex],22)&gt;0,SUMIFS(T_StockCount[CountedQty],T_StockCount[RM_Code],$A76,T_StockCount[WeekIndex],22),IF((COUNTIFS(T_SelfStock[RM_Code],$A76,T_SelfStock[WeekIndex],22)&gt;0)*(COUNTIFS(T_TTAFStock[RM_Code],$A76,T_TTAFStock[WeekIndex],22)&gt;0)&gt;0,SUMIFS(T_SelfStock[Self_Qty],T_SelfStock[RM_Code],$A76,T_SelfStock[WeekIndex],22)+SUMIFS(T_TTAFStock[TTAF_Qty],T_TTAFStock[RM_Code],$A76,T_TTAFStock[WeekIndex],22),V76+'Grid_Incoming'!W76-'Grid_Requirement'!W76))</f>
        <v/>
      </c>
      <c r="X76">
        <f>IF(COUNTIFS(T_StockCount[RM_Code],$A76,T_StockCount[WeekIndex],23)&gt;0,SUMIFS(T_StockCount[CountedQty],T_StockCount[RM_Code],$A76,T_StockCount[WeekIndex],23),IF((COUNTIFS(T_SelfStock[RM_Code],$A76,T_SelfStock[WeekIndex],23)&gt;0)*(COUNTIFS(T_TTAFStock[RM_Code],$A76,T_TTAFStock[WeekIndex],23)&gt;0)&gt;0,SUMIFS(T_SelfStock[Self_Qty],T_SelfStock[RM_Code],$A76,T_SelfStock[WeekIndex],23)+SUMIFS(T_TTAFStock[TTAF_Qty],T_TTAFStock[RM_Code],$A76,T_TTAFStock[WeekIndex],23),W76+'Grid_Incoming'!X76-'Grid_Requirement'!X76))</f>
        <v/>
      </c>
      <c r="Y76">
        <f>IF(COUNTIFS(T_StockCount[RM_Code],$A76,T_StockCount[WeekIndex],24)&gt;0,SUMIFS(T_StockCount[CountedQty],T_StockCount[RM_Code],$A76,T_StockCount[WeekIndex],24),IF((COUNTIFS(T_SelfStock[RM_Code],$A76,T_SelfStock[WeekIndex],24)&gt;0)*(COUNTIFS(T_TTAFStock[RM_Code],$A76,T_TTAFStock[WeekIndex],24)&gt;0)&gt;0,SUMIFS(T_SelfStock[Self_Qty],T_SelfStock[RM_Code],$A76,T_SelfStock[WeekIndex],24)+SUMIFS(T_TTAFStock[TTAF_Qty],T_TTAFStock[RM_Code],$A76,T_TTAFStock[WeekIndex],24),X76+'Grid_Incoming'!Y76-'Grid_Requirement'!Y76))</f>
        <v/>
      </c>
      <c r="Z76">
        <f>IF(COUNTIFS(T_StockCount[RM_Code],$A76,T_StockCount[WeekIndex],25)&gt;0,SUMIFS(T_StockCount[CountedQty],T_StockCount[RM_Code],$A76,T_StockCount[WeekIndex],25),IF((COUNTIFS(T_SelfStock[RM_Code],$A76,T_SelfStock[WeekIndex],25)&gt;0)*(COUNTIFS(T_TTAFStock[RM_Code],$A76,T_TTAFStock[WeekIndex],25)&gt;0)&gt;0,SUMIFS(T_SelfStock[Self_Qty],T_SelfStock[RM_Code],$A76,T_SelfStock[WeekIndex],25)+SUMIFS(T_TTAFStock[TTAF_Qty],T_TTAFStock[RM_Code],$A76,T_TTAFStock[WeekIndex],25),Y76+'Grid_Incoming'!Z76-'Grid_Requirement'!Z76))</f>
        <v/>
      </c>
      <c r="AA76">
        <f>IF(COUNTIFS(T_StockCount[RM_Code],$A76,T_StockCount[WeekIndex],26)&gt;0,SUMIFS(T_StockCount[CountedQty],T_StockCount[RM_Code],$A76,T_StockCount[WeekIndex],26),IF((COUNTIFS(T_SelfStock[RM_Code],$A76,T_SelfStock[WeekIndex],26)&gt;0)*(COUNTIFS(T_TTAFStock[RM_Code],$A76,T_TTAFStock[WeekIndex],26)&gt;0)&gt;0,SUMIFS(T_SelfStock[Self_Qty],T_SelfStock[RM_Code],$A76,T_SelfStock[WeekIndex],26)+SUMIFS(T_TTAFStock[TTAF_Qty],T_TTAFStock[RM_Code],$A76,T_TTAFStock[WeekIndex],26),Z76+'Grid_Incoming'!AA76-'Grid_Requirement'!AA76))</f>
        <v/>
      </c>
      <c r="AB76">
        <f>IF(COUNTIFS(T_StockCount[RM_Code],$A76,T_StockCount[WeekIndex],27)&gt;0,SUMIFS(T_StockCount[CountedQty],T_StockCount[RM_Code],$A76,T_StockCount[WeekIndex],27),IF((COUNTIFS(T_SelfStock[RM_Code],$A76,T_SelfStock[WeekIndex],27)&gt;0)*(COUNTIFS(T_TTAFStock[RM_Code],$A76,T_TTAFStock[WeekIndex],27)&gt;0)&gt;0,SUMIFS(T_SelfStock[Self_Qty],T_SelfStock[RM_Code],$A76,T_SelfStock[WeekIndex],27)+SUMIFS(T_TTAFStock[TTAF_Qty],T_TTAFStock[RM_Code],$A76,T_TTAFStock[WeekIndex],27),AA76+'Grid_Incoming'!AB76-'Grid_Requirement'!AB76))</f>
        <v/>
      </c>
      <c r="AC76">
        <f>IF(COUNTIFS(T_StockCount[RM_Code],$A76,T_StockCount[WeekIndex],28)&gt;0,SUMIFS(T_StockCount[CountedQty],T_StockCount[RM_Code],$A76,T_StockCount[WeekIndex],28),IF((COUNTIFS(T_SelfStock[RM_Code],$A76,T_SelfStock[WeekIndex],28)&gt;0)*(COUNTIFS(T_TTAFStock[RM_Code],$A76,T_TTAFStock[WeekIndex],28)&gt;0)&gt;0,SUMIFS(T_SelfStock[Self_Qty],T_SelfStock[RM_Code],$A76,T_SelfStock[WeekIndex],28)+SUMIFS(T_TTAFStock[TTAF_Qty],T_TTAFStock[RM_Code],$A76,T_TTAFStock[WeekIndex],28),AB76+'Grid_Incoming'!AC76-'Grid_Requirement'!AC76))</f>
        <v/>
      </c>
      <c r="AD76">
        <f>IF(COUNTIFS(T_StockCount[RM_Code],$A76,T_StockCount[WeekIndex],29)&gt;0,SUMIFS(T_StockCount[CountedQty],T_StockCount[RM_Code],$A76,T_StockCount[WeekIndex],29),IF((COUNTIFS(T_SelfStock[RM_Code],$A76,T_SelfStock[WeekIndex],29)&gt;0)*(COUNTIFS(T_TTAFStock[RM_Code],$A76,T_TTAFStock[WeekIndex],29)&gt;0)&gt;0,SUMIFS(T_SelfStock[Self_Qty],T_SelfStock[RM_Code],$A76,T_SelfStock[WeekIndex],29)+SUMIFS(T_TTAFStock[TTAF_Qty],T_TTAFStock[RM_Code],$A76,T_TTAFStock[WeekIndex],29),AC76+'Grid_Incoming'!AD76-'Grid_Requirement'!AD76))</f>
        <v/>
      </c>
      <c r="AE76">
        <f>IF(COUNTIFS(T_StockCount[RM_Code],$A76,T_StockCount[WeekIndex],30)&gt;0,SUMIFS(T_StockCount[CountedQty],T_StockCount[RM_Code],$A76,T_StockCount[WeekIndex],30),IF((COUNTIFS(T_SelfStock[RM_Code],$A76,T_SelfStock[WeekIndex],30)&gt;0)*(COUNTIFS(T_TTAFStock[RM_Code],$A76,T_TTAFStock[WeekIndex],30)&gt;0)&gt;0,SUMIFS(T_SelfStock[Self_Qty],T_SelfStock[RM_Code],$A76,T_SelfStock[WeekIndex],30)+SUMIFS(T_TTAFStock[TTAF_Qty],T_TTAFStock[RM_Code],$A76,T_TTAFStock[WeekIndex],30),AD76+'Grid_Incoming'!AE76-'Grid_Requirement'!AE76))</f>
        <v/>
      </c>
      <c r="AF76">
        <f>IF(COUNTIFS(T_StockCount[RM_Code],$A76,T_StockCount[WeekIndex],31)&gt;0,SUMIFS(T_StockCount[CountedQty],T_StockCount[RM_Code],$A76,T_StockCount[WeekIndex],31),IF((COUNTIFS(T_SelfStock[RM_Code],$A76,T_SelfStock[WeekIndex],31)&gt;0)*(COUNTIFS(T_TTAFStock[RM_Code],$A76,T_TTAFStock[WeekIndex],31)&gt;0)&gt;0,SUMIFS(T_SelfStock[Self_Qty],T_SelfStock[RM_Code],$A76,T_SelfStock[WeekIndex],31)+SUMIFS(T_TTAFStock[TTAF_Qty],T_TTAFStock[RM_Code],$A76,T_TTAFStock[WeekIndex],31),AE76+'Grid_Incoming'!AF76-'Grid_Requirement'!AF76))</f>
        <v/>
      </c>
      <c r="AG76">
        <f>IF(COUNTIFS(T_StockCount[RM_Code],$A76,T_StockCount[WeekIndex],32)&gt;0,SUMIFS(T_StockCount[CountedQty],T_StockCount[RM_Code],$A76,T_StockCount[WeekIndex],32),IF((COUNTIFS(T_SelfStock[RM_Code],$A76,T_SelfStock[WeekIndex],32)&gt;0)*(COUNTIFS(T_TTAFStock[RM_Code],$A76,T_TTAFStock[WeekIndex],32)&gt;0)&gt;0,SUMIFS(T_SelfStock[Self_Qty],T_SelfStock[RM_Code],$A76,T_SelfStock[WeekIndex],32)+SUMIFS(T_TTAFStock[TTAF_Qty],T_TTAFStock[RM_Code],$A76,T_TTAFStock[WeekIndex],32),AF76+'Grid_Incoming'!AG76-'Grid_Requirement'!AG76))</f>
        <v/>
      </c>
      <c r="AH76">
        <f>IF(COUNTIFS(T_StockCount[RM_Code],$A76,T_StockCount[WeekIndex],33)&gt;0,SUMIFS(T_StockCount[CountedQty],T_StockCount[RM_Code],$A76,T_StockCount[WeekIndex],33),IF((COUNTIFS(T_SelfStock[RM_Code],$A76,T_SelfStock[WeekIndex],33)&gt;0)*(COUNTIFS(T_TTAFStock[RM_Code],$A76,T_TTAFStock[WeekIndex],33)&gt;0)&gt;0,SUMIFS(T_SelfStock[Self_Qty],T_SelfStock[RM_Code],$A76,T_SelfStock[WeekIndex],33)+SUMIFS(T_TTAFStock[TTAF_Qty],T_TTAFStock[RM_Code],$A76,T_TTAFStock[WeekIndex],33),AG76+'Grid_Incoming'!AH76-'Grid_Requirement'!AH76))</f>
        <v/>
      </c>
      <c r="AI76">
        <f>IF(COUNTIFS(T_StockCount[RM_Code],$A76,T_StockCount[WeekIndex],34)&gt;0,SUMIFS(T_StockCount[CountedQty],T_StockCount[RM_Code],$A76,T_StockCount[WeekIndex],34),IF((COUNTIFS(T_SelfStock[RM_Code],$A76,T_SelfStock[WeekIndex],34)&gt;0)*(COUNTIFS(T_TTAFStock[RM_Code],$A76,T_TTAFStock[WeekIndex],34)&gt;0)&gt;0,SUMIFS(T_SelfStock[Self_Qty],T_SelfStock[RM_Code],$A76,T_SelfStock[WeekIndex],34)+SUMIFS(T_TTAFStock[TTAF_Qty],T_TTAFStock[RM_Code],$A76,T_TTAFStock[WeekIndex],34),AH76+'Grid_Incoming'!AI76-'Grid_Requirement'!AI76))</f>
        <v/>
      </c>
      <c r="AJ76">
        <f>IF(COUNTIFS(T_StockCount[RM_Code],$A76,T_StockCount[WeekIndex],35)&gt;0,SUMIFS(T_StockCount[CountedQty],T_StockCount[RM_Code],$A76,T_StockCount[WeekIndex],35),IF((COUNTIFS(T_SelfStock[RM_Code],$A76,T_SelfStock[WeekIndex],35)&gt;0)*(COUNTIFS(T_TTAFStock[RM_Code],$A76,T_TTAFStock[WeekIndex],35)&gt;0)&gt;0,SUMIFS(T_SelfStock[Self_Qty],T_SelfStock[RM_Code],$A76,T_SelfStock[WeekIndex],35)+SUMIFS(T_TTAFStock[TTAF_Qty],T_TTAFStock[RM_Code],$A76,T_TTAFStock[WeekIndex],35),AI76+'Grid_Incoming'!AJ76-'Grid_Requirement'!AJ76))</f>
        <v/>
      </c>
      <c r="AK76">
        <f>IF(COUNTIFS(T_StockCount[RM_Code],$A76,T_StockCount[WeekIndex],36)&gt;0,SUMIFS(T_StockCount[CountedQty],T_StockCount[RM_Code],$A76,T_StockCount[WeekIndex],36),IF((COUNTIFS(T_SelfStock[RM_Code],$A76,T_SelfStock[WeekIndex],36)&gt;0)*(COUNTIFS(T_TTAFStock[RM_Code],$A76,T_TTAFStock[WeekIndex],36)&gt;0)&gt;0,SUMIFS(T_SelfStock[Self_Qty],T_SelfStock[RM_Code],$A76,T_SelfStock[WeekIndex],36)+SUMIFS(T_TTAFStock[TTAF_Qty],T_TTAFStock[RM_Code],$A76,T_TTAFStock[WeekIndex],36),AJ76+'Grid_Incoming'!AK76-'Grid_Requirement'!AK76))</f>
        <v/>
      </c>
      <c r="AL76">
        <f>IF(COUNTIFS(T_StockCount[RM_Code],$A76,T_StockCount[WeekIndex],37)&gt;0,SUMIFS(T_StockCount[CountedQty],T_StockCount[RM_Code],$A76,T_StockCount[WeekIndex],37),IF((COUNTIFS(T_SelfStock[RM_Code],$A76,T_SelfStock[WeekIndex],37)&gt;0)*(COUNTIFS(T_TTAFStock[RM_Code],$A76,T_TTAFStock[WeekIndex],37)&gt;0)&gt;0,SUMIFS(T_SelfStock[Self_Qty],T_SelfStock[RM_Code],$A76,T_SelfStock[WeekIndex],37)+SUMIFS(T_TTAFStock[TTAF_Qty],T_TTAFStock[RM_Code],$A76,T_TTAFStock[WeekIndex],37),AK76+'Grid_Incoming'!AL76-'Grid_Requirement'!AL76))</f>
        <v/>
      </c>
      <c r="AM76">
        <f>IF(COUNTIFS(T_StockCount[RM_Code],$A76,T_StockCount[WeekIndex],38)&gt;0,SUMIFS(T_StockCount[CountedQty],T_StockCount[RM_Code],$A76,T_StockCount[WeekIndex],38),IF((COUNTIFS(T_SelfStock[RM_Code],$A76,T_SelfStock[WeekIndex],38)&gt;0)*(COUNTIFS(T_TTAFStock[RM_Code],$A76,T_TTAFStock[WeekIndex],38)&gt;0)&gt;0,SUMIFS(T_SelfStock[Self_Qty],T_SelfStock[RM_Code],$A76,T_SelfStock[WeekIndex],38)+SUMIFS(T_TTAFStock[TTAF_Qty],T_TTAFStock[RM_Code],$A76,T_TTAFStock[WeekIndex],38),AL76+'Grid_Incoming'!AM76-'Grid_Requirement'!AM76))</f>
        <v/>
      </c>
      <c r="AN76">
        <f>IF(COUNTIFS(T_StockCount[RM_Code],$A76,T_StockCount[WeekIndex],39)&gt;0,SUMIFS(T_StockCount[CountedQty],T_StockCount[RM_Code],$A76,T_StockCount[WeekIndex],39),IF((COUNTIFS(T_SelfStock[RM_Code],$A76,T_SelfStock[WeekIndex],39)&gt;0)*(COUNTIFS(T_TTAFStock[RM_Code],$A76,T_TTAFStock[WeekIndex],39)&gt;0)&gt;0,SUMIFS(T_SelfStock[Self_Qty],T_SelfStock[RM_Code],$A76,T_SelfStock[WeekIndex],39)+SUMIFS(T_TTAFStock[TTAF_Qty],T_TTAFStock[RM_Code],$A76,T_TTAFStock[WeekIndex],39),AM76+'Grid_Incoming'!AN76-'Grid_Requirement'!AN76))</f>
        <v/>
      </c>
      <c r="AO76">
        <f>IF(COUNTIFS(T_StockCount[RM_Code],$A76,T_StockCount[WeekIndex],40)&gt;0,SUMIFS(T_StockCount[CountedQty],T_StockCount[RM_Code],$A76,T_StockCount[WeekIndex],40),IF((COUNTIFS(T_SelfStock[RM_Code],$A76,T_SelfStock[WeekIndex],40)&gt;0)*(COUNTIFS(T_TTAFStock[RM_Code],$A76,T_TTAFStock[WeekIndex],40)&gt;0)&gt;0,SUMIFS(T_SelfStock[Self_Qty],T_SelfStock[RM_Code],$A76,T_SelfStock[WeekIndex],40)+SUMIFS(T_TTAFStock[TTAF_Qty],T_TTAFStock[RM_Code],$A76,T_TTAFStock[WeekIndex],40),AN76+'Grid_Incoming'!AO76-'Grid_Requirement'!AO76))</f>
        <v/>
      </c>
      <c r="AP76">
        <f>IF(COUNTIFS(T_StockCount[RM_Code],$A76,T_StockCount[WeekIndex],41)&gt;0,SUMIFS(T_StockCount[CountedQty],T_StockCount[RM_Code],$A76,T_StockCount[WeekIndex],41),IF((COUNTIFS(T_SelfStock[RM_Code],$A76,T_SelfStock[WeekIndex],41)&gt;0)*(COUNTIFS(T_TTAFStock[RM_Code],$A76,T_TTAFStock[WeekIndex],41)&gt;0)&gt;0,SUMIFS(T_SelfStock[Self_Qty],T_SelfStock[RM_Code],$A76,T_SelfStock[WeekIndex],41)+SUMIFS(T_TTAFStock[TTAF_Qty],T_TTAFStock[RM_Code],$A76,T_TTAFStock[WeekIndex],41),AO76+'Grid_Incoming'!AP76-'Grid_Requirement'!AP76))</f>
        <v/>
      </c>
      <c r="AQ76">
        <f>IF(COUNTIFS(T_StockCount[RM_Code],$A76,T_StockCount[WeekIndex],42)&gt;0,SUMIFS(T_StockCount[CountedQty],T_StockCount[RM_Code],$A76,T_StockCount[WeekIndex],42),IF((COUNTIFS(T_SelfStock[RM_Code],$A76,T_SelfStock[WeekIndex],42)&gt;0)*(COUNTIFS(T_TTAFStock[RM_Code],$A76,T_TTAFStock[WeekIndex],42)&gt;0)&gt;0,SUMIFS(T_SelfStock[Self_Qty],T_SelfStock[RM_Code],$A76,T_SelfStock[WeekIndex],42)+SUMIFS(T_TTAFStock[TTAF_Qty],T_TTAFStock[RM_Code],$A76,T_TTAFStock[WeekIndex],42),AP76+'Grid_Incoming'!AQ76-'Grid_Requirement'!AQ76))</f>
        <v/>
      </c>
      <c r="AR76">
        <f>IF(COUNTIFS(T_StockCount[RM_Code],$A76,T_StockCount[WeekIndex],43)&gt;0,SUMIFS(T_StockCount[CountedQty],T_StockCount[RM_Code],$A76,T_StockCount[WeekIndex],43),IF((COUNTIFS(T_SelfStock[RM_Code],$A76,T_SelfStock[WeekIndex],43)&gt;0)*(COUNTIFS(T_TTAFStock[RM_Code],$A76,T_TTAFStock[WeekIndex],43)&gt;0)&gt;0,SUMIFS(T_SelfStock[Self_Qty],T_SelfStock[RM_Code],$A76,T_SelfStock[WeekIndex],43)+SUMIFS(T_TTAFStock[TTAF_Qty],T_TTAFStock[RM_Code],$A76,T_TTAFStock[WeekIndex],43),AQ76+'Grid_Incoming'!AR76-'Grid_Requirement'!AR76))</f>
        <v/>
      </c>
      <c r="AS76">
        <f>IF(COUNTIFS(T_StockCount[RM_Code],$A76,T_StockCount[WeekIndex],44)&gt;0,SUMIFS(T_StockCount[CountedQty],T_StockCount[RM_Code],$A76,T_StockCount[WeekIndex],44),IF((COUNTIFS(T_SelfStock[RM_Code],$A76,T_SelfStock[WeekIndex],44)&gt;0)*(COUNTIFS(T_TTAFStock[RM_Code],$A76,T_TTAFStock[WeekIndex],44)&gt;0)&gt;0,SUMIFS(T_SelfStock[Self_Qty],T_SelfStock[RM_Code],$A76,T_SelfStock[WeekIndex],44)+SUMIFS(T_TTAFStock[TTAF_Qty],T_TTAFStock[RM_Code],$A76,T_TTAFStock[WeekIndex],44),AR76+'Grid_Incoming'!AS76-'Grid_Requirement'!AS76))</f>
        <v/>
      </c>
      <c r="AT76">
        <f>IF(COUNTIFS(T_StockCount[RM_Code],$A76,T_StockCount[WeekIndex],45)&gt;0,SUMIFS(T_StockCount[CountedQty],T_StockCount[RM_Code],$A76,T_StockCount[WeekIndex],45),IF((COUNTIFS(T_SelfStock[RM_Code],$A76,T_SelfStock[WeekIndex],45)&gt;0)*(COUNTIFS(T_TTAFStock[RM_Code],$A76,T_TTAFStock[WeekIndex],45)&gt;0)&gt;0,SUMIFS(T_SelfStock[Self_Qty],T_SelfStock[RM_Code],$A76,T_SelfStock[WeekIndex],45)+SUMIFS(T_TTAFStock[TTAF_Qty],T_TTAFStock[RM_Code],$A76,T_TTAFStock[WeekIndex],45),AS76+'Grid_Incoming'!AT76-'Grid_Requirement'!AT76))</f>
        <v/>
      </c>
      <c r="AU76">
        <f>IF(COUNTIFS(T_StockCount[RM_Code],$A76,T_StockCount[WeekIndex],46)&gt;0,SUMIFS(T_StockCount[CountedQty],T_StockCount[RM_Code],$A76,T_StockCount[WeekIndex],46),IF((COUNTIFS(T_SelfStock[RM_Code],$A76,T_SelfStock[WeekIndex],46)&gt;0)*(COUNTIFS(T_TTAFStock[RM_Code],$A76,T_TTAFStock[WeekIndex],46)&gt;0)&gt;0,SUMIFS(T_SelfStock[Self_Qty],T_SelfStock[RM_Code],$A76,T_SelfStock[WeekIndex],46)+SUMIFS(T_TTAFStock[TTAF_Qty],T_TTAFStock[RM_Code],$A76,T_TTAFStock[WeekIndex],46),AT76+'Grid_Incoming'!AU76-'Grid_Requirement'!AU76))</f>
        <v/>
      </c>
      <c r="AV76">
        <f>IF(COUNTIFS(T_StockCount[RM_Code],$A76,T_StockCount[WeekIndex],47)&gt;0,SUMIFS(T_StockCount[CountedQty],T_StockCount[RM_Code],$A76,T_StockCount[WeekIndex],47),IF((COUNTIFS(T_SelfStock[RM_Code],$A76,T_SelfStock[WeekIndex],47)&gt;0)*(COUNTIFS(T_TTAFStock[RM_Code],$A76,T_TTAFStock[WeekIndex],47)&gt;0)&gt;0,SUMIFS(T_SelfStock[Self_Qty],T_SelfStock[RM_Code],$A76,T_SelfStock[WeekIndex],47)+SUMIFS(T_TTAFStock[TTAF_Qty],T_TTAFStock[RM_Code],$A76,T_TTAFStock[WeekIndex],47),AU76+'Grid_Incoming'!AV76-'Grid_Requirement'!AV76))</f>
        <v/>
      </c>
      <c r="AW76">
        <f>IF(COUNTIFS(T_StockCount[RM_Code],$A76,T_StockCount[WeekIndex],48)&gt;0,SUMIFS(T_StockCount[CountedQty],T_StockCount[RM_Code],$A76,T_StockCount[WeekIndex],48),IF((COUNTIFS(T_SelfStock[RM_Code],$A76,T_SelfStock[WeekIndex],48)&gt;0)*(COUNTIFS(T_TTAFStock[RM_Code],$A76,T_TTAFStock[WeekIndex],48)&gt;0)&gt;0,SUMIFS(T_SelfStock[Self_Qty],T_SelfStock[RM_Code],$A76,T_SelfStock[WeekIndex],48)+SUMIFS(T_TTAFStock[TTAF_Qty],T_TTAFStock[RM_Code],$A76,T_TTAFStock[WeekIndex],48),AV76+'Grid_Incoming'!AW76-'Grid_Requirement'!AW76))</f>
        <v/>
      </c>
      <c r="AX76">
        <f>IF(COUNTIFS(T_StockCount[RM_Code],$A76,T_StockCount[WeekIndex],49)&gt;0,SUMIFS(T_StockCount[CountedQty],T_StockCount[RM_Code],$A76,T_StockCount[WeekIndex],49),IF((COUNTIFS(T_SelfStock[RM_Code],$A76,T_SelfStock[WeekIndex],49)&gt;0)*(COUNTIFS(T_TTAFStock[RM_Code],$A76,T_TTAFStock[WeekIndex],49)&gt;0)&gt;0,SUMIFS(T_SelfStock[Self_Qty],T_SelfStock[RM_Code],$A76,T_SelfStock[WeekIndex],49)+SUMIFS(T_TTAFStock[TTAF_Qty],T_TTAFStock[RM_Code],$A76,T_TTAFStock[WeekIndex],49),AW76+'Grid_Incoming'!AX76-'Grid_Requirement'!AX76))</f>
        <v/>
      </c>
      <c r="AY76">
        <f>IF(COUNTIFS(T_StockCount[RM_Code],$A76,T_StockCount[WeekIndex],50)&gt;0,SUMIFS(T_StockCount[CountedQty],T_StockCount[RM_Code],$A76,T_StockCount[WeekIndex],50),IF((COUNTIFS(T_SelfStock[RM_Code],$A76,T_SelfStock[WeekIndex],50)&gt;0)*(COUNTIFS(T_TTAFStock[RM_Code],$A76,T_TTAFStock[WeekIndex],50)&gt;0)&gt;0,SUMIFS(T_SelfStock[Self_Qty],T_SelfStock[RM_Code],$A76,T_SelfStock[WeekIndex],50)+SUMIFS(T_TTAFStock[TTAF_Qty],T_TTAFStock[RM_Code],$A76,T_TTAFStock[WeekIndex],50),AX76+'Grid_Incoming'!AY76-'Grid_Requirement'!AY76))</f>
        <v/>
      </c>
      <c r="AZ76">
        <f>IF(COUNTIFS(T_StockCount[RM_Code],$A76,T_StockCount[WeekIndex],51)&gt;0,SUMIFS(T_StockCount[CountedQty],T_StockCount[RM_Code],$A76,T_StockCount[WeekIndex],51),IF((COUNTIFS(T_SelfStock[RM_Code],$A76,T_SelfStock[WeekIndex],51)&gt;0)*(COUNTIFS(T_TTAFStock[RM_Code],$A76,T_TTAFStock[WeekIndex],51)&gt;0)&gt;0,SUMIFS(T_SelfStock[Self_Qty],T_SelfStock[RM_Code],$A76,T_SelfStock[WeekIndex],51)+SUMIFS(T_TTAFStock[TTAF_Qty],T_TTAFStock[RM_Code],$A76,T_TTAFStock[WeekIndex],51),AY76+'Grid_Incoming'!AZ76-'Grid_Requirement'!AZ76))</f>
        <v/>
      </c>
      <c r="BA76">
        <f>IF(COUNTIFS(T_StockCount[RM_Code],$A76,T_StockCount[WeekIndex],52)&gt;0,SUMIFS(T_StockCount[CountedQty],T_StockCount[RM_Code],$A76,T_StockCount[WeekIndex],52),IF((COUNTIFS(T_SelfStock[RM_Code],$A76,T_SelfStock[WeekIndex],52)&gt;0)*(COUNTIFS(T_TTAFStock[RM_Code],$A76,T_TTAFStock[WeekIndex],52)&gt;0)&gt;0,SUMIFS(T_SelfStock[Self_Qty],T_SelfStock[RM_Code],$A76,T_SelfStock[WeekIndex],52)+SUMIFS(T_TTAFStock[TTAF_Qty],T_TTAFStock[RM_Code],$A76,T_TTAFStock[WeekIndex],52),AZ76+'Grid_Incoming'!BA76-'Grid_Requirement'!BA76))</f>
        <v/>
      </c>
      <c r="BB76">
        <f>IF(COUNTIFS(T_StockCount[RM_Code],$A76,T_StockCount[WeekIndex],53)&gt;0,SUMIFS(T_StockCount[CountedQty],T_StockCount[RM_Code],$A76,T_StockCount[WeekIndex],53),IF((COUNTIFS(T_SelfStock[RM_Code],$A76,T_SelfStock[WeekIndex],53)&gt;0)*(COUNTIFS(T_TTAFStock[RM_Code],$A76,T_TTAFStock[WeekIndex],53)&gt;0)&gt;0,SUMIFS(T_SelfStock[Self_Qty],T_SelfStock[RM_Code],$A76,T_SelfStock[WeekIndex],53)+SUMIFS(T_TTAFStock[TTAF_Qty],T_TTAFStock[RM_Code],$A76,T_TTAFStock[WeekIndex],53),BA76+'Grid_Incoming'!BB76-'Grid_Requirement'!BB76))</f>
        <v/>
      </c>
      <c r="BC76">
        <f>IF(COUNTIFS(T_StockCount[RM_Code],$A76,T_StockCount[WeekIndex],54)&gt;0,SUMIFS(T_StockCount[CountedQty],T_StockCount[RM_Code],$A76,T_StockCount[WeekIndex],54),IF((COUNTIFS(T_SelfStock[RM_Code],$A76,T_SelfStock[WeekIndex],54)&gt;0)*(COUNTIFS(T_TTAFStock[RM_Code],$A76,T_TTAFStock[WeekIndex],54)&gt;0)&gt;0,SUMIFS(T_SelfStock[Self_Qty],T_SelfStock[RM_Code],$A76,T_SelfStock[WeekIndex],54)+SUMIFS(T_TTAFStock[TTAF_Qty],T_TTAFStock[RM_Code],$A76,T_TTAFStock[WeekIndex],54),BB76+'Grid_Incoming'!BC76-'Grid_Requirement'!BC76))</f>
        <v/>
      </c>
      <c r="BD76">
        <f>IF(COUNTIFS(T_StockCount[RM_Code],$A76,T_StockCount[WeekIndex],55)&gt;0,SUMIFS(T_StockCount[CountedQty],T_StockCount[RM_Code],$A76,T_StockCount[WeekIndex],55),IF((COUNTIFS(T_SelfStock[RM_Code],$A76,T_SelfStock[WeekIndex],55)&gt;0)*(COUNTIFS(T_TTAFStock[RM_Code],$A76,T_TTAFStock[WeekIndex],55)&gt;0)&gt;0,SUMIFS(T_SelfStock[Self_Qty],T_SelfStock[RM_Code],$A76,T_SelfStock[WeekIndex],55)+SUMIFS(T_TTAFStock[TTAF_Qty],T_TTAFStock[RM_Code],$A76,T_TTAFStock[WeekIndex],55),BC76+'Grid_Incoming'!BD76-'Grid_Requirement'!BD76))</f>
        <v/>
      </c>
      <c r="BE76">
        <f>IF(COUNTIFS(T_StockCount[RM_Code],$A76,T_StockCount[WeekIndex],56)&gt;0,SUMIFS(T_StockCount[CountedQty],T_StockCount[RM_Code],$A76,T_StockCount[WeekIndex],56),IF((COUNTIFS(T_SelfStock[RM_Code],$A76,T_SelfStock[WeekIndex],56)&gt;0)*(COUNTIFS(T_TTAFStock[RM_Code],$A76,T_TTAFStock[WeekIndex],56)&gt;0)&gt;0,SUMIFS(T_SelfStock[Self_Qty],T_SelfStock[RM_Code],$A76,T_SelfStock[WeekIndex],56)+SUMIFS(T_TTAFStock[TTAF_Qty],T_TTAFStock[RM_Code],$A76,T_TTAFStock[WeekIndex],56),BD76+'Grid_Incoming'!BE76-'Grid_Requirement'!BE76))</f>
        <v/>
      </c>
      <c r="BF76">
        <f>IF(COUNTIFS(T_StockCount[RM_Code],$A76,T_StockCount[WeekIndex],57)&gt;0,SUMIFS(T_StockCount[CountedQty],T_StockCount[RM_Code],$A76,T_StockCount[WeekIndex],57),IF((COUNTIFS(T_SelfStock[RM_Code],$A76,T_SelfStock[WeekIndex],57)&gt;0)*(COUNTIFS(T_TTAFStock[RM_Code],$A76,T_TTAFStock[WeekIndex],57)&gt;0)&gt;0,SUMIFS(T_SelfStock[Self_Qty],T_SelfStock[RM_Code],$A76,T_SelfStock[WeekIndex],57)+SUMIFS(T_TTAFStock[TTAF_Qty],T_TTAFStock[RM_Code],$A76,T_TTAFStock[WeekIndex],57),BE76+'Grid_Incoming'!BF76-'Grid_Requirement'!BF76))</f>
        <v/>
      </c>
      <c r="BG76">
        <f>IF(COUNTIFS(T_StockCount[RM_Code],$A76,T_StockCount[WeekIndex],58)&gt;0,SUMIFS(T_StockCount[CountedQty],T_StockCount[RM_Code],$A76,T_StockCount[WeekIndex],58),IF((COUNTIFS(T_SelfStock[RM_Code],$A76,T_SelfStock[WeekIndex],58)&gt;0)*(COUNTIFS(T_TTAFStock[RM_Code],$A76,T_TTAFStock[WeekIndex],58)&gt;0)&gt;0,SUMIFS(T_SelfStock[Self_Qty],T_SelfStock[RM_Code],$A76,T_SelfStock[WeekIndex],58)+SUMIFS(T_TTAFStock[TTAF_Qty],T_TTAFStock[RM_Code],$A76,T_TTAFStock[WeekIndex],58),BF76+'Grid_Incoming'!BG76-'Grid_Requirement'!BG76))</f>
        <v/>
      </c>
      <c r="BH76">
        <f>IF(COUNTIFS(T_StockCount[RM_Code],$A76,T_StockCount[WeekIndex],59)&gt;0,SUMIFS(T_StockCount[CountedQty],T_StockCount[RM_Code],$A76,T_StockCount[WeekIndex],59),IF((COUNTIFS(T_SelfStock[RM_Code],$A76,T_SelfStock[WeekIndex],59)&gt;0)*(COUNTIFS(T_TTAFStock[RM_Code],$A76,T_TTAFStock[WeekIndex],59)&gt;0)&gt;0,SUMIFS(T_SelfStock[Self_Qty],T_SelfStock[RM_Code],$A76,T_SelfStock[WeekIndex],59)+SUMIFS(T_TTAFStock[TTAF_Qty],T_TTAFStock[RM_Code],$A76,T_TTAFStock[WeekIndex],59),BG76+'Grid_Incoming'!BH76-'Grid_Requirement'!BH76))</f>
        <v/>
      </c>
      <c r="BI76">
        <f>IF(COUNTIFS(T_StockCount[RM_Code],$A76,T_StockCount[WeekIndex],60)&gt;0,SUMIFS(T_StockCount[CountedQty],T_StockCount[RM_Code],$A76,T_StockCount[WeekIndex],60),IF((COUNTIFS(T_SelfStock[RM_Code],$A76,T_SelfStock[WeekIndex],60)&gt;0)*(COUNTIFS(T_TTAFStock[RM_Code],$A76,T_TTAFStock[WeekIndex],60)&gt;0)&gt;0,SUMIFS(T_SelfStock[Self_Qty],T_SelfStock[RM_Code],$A76,T_SelfStock[WeekIndex],60)+SUMIFS(T_TTAFStock[TTAF_Qty],T_TTAFStock[RM_Code],$A76,T_TTAFStock[WeekIndex],60),BH76+'Grid_Incoming'!BI76-'Grid_Requirement'!BI76))</f>
        <v/>
      </c>
      <c r="BJ76">
        <f>IF(COUNTIFS(T_StockCount[RM_Code],$A76,T_StockCount[WeekIndex],61)&gt;0,SUMIFS(T_StockCount[CountedQty],T_StockCount[RM_Code],$A76,T_StockCount[WeekIndex],61),IF((COUNTIFS(T_SelfStock[RM_Code],$A76,T_SelfStock[WeekIndex],61)&gt;0)*(COUNTIFS(T_TTAFStock[RM_Code],$A76,T_TTAFStock[WeekIndex],61)&gt;0)&gt;0,SUMIFS(T_SelfStock[Self_Qty],T_SelfStock[RM_Code],$A76,T_SelfStock[WeekIndex],61)+SUMIFS(T_TTAFStock[TTAF_Qty],T_TTAFStock[RM_Code],$A76,T_TTAFStock[WeekIndex],61),BI76+'Grid_Incoming'!BJ76-'Grid_Requirement'!BJ76))</f>
        <v/>
      </c>
      <c r="BK76">
        <f>IF(COUNTIFS(T_StockCount[RM_Code],$A76,T_StockCount[WeekIndex],62)&gt;0,SUMIFS(T_StockCount[CountedQty],T_StockCount[RM_Code],$A76,T_StockCount[WeekIndex],62),IF((COUNTIFS(T_SelfStock[RM_Code],$A76,T_SelfStock[WeekIndex],62)&gt;0)*(COUNTIFS(T_TTAFStock[RM_Code],$A76,T_TTAFStock[WeekIndex],62)&gt;0)&gt;0,SUMIFS(T_SelfStock[Self_Qty],T_SelfStock[RM_Code],$A76,T_SelfStock[WeekIndex],62)+SUMIFS(T_TTAFStock[TTAF_Qty],T_TTAFStock[RM_Code],$A76,T_TTAFStock[WeekIndex],62),BJ76+'Grid_Incoming'!BK76-'Grid_Requirement'!BK76))</f>
        <v/>
      </c>
      <c r="BL76">
        <f>IF(COUNTIFS(T_StockCount[RM_Code],$A76,T_StockCount[WeekIndex],63)&gt;0,SUMIFS(T_StockCount[CountedQty],T_StockCount[RM_Code],$A76,T_StockCount[WeekIndex],63),IF((COUNTIFS(T_SelfStock[RM_Code],$A76,T_SelfStock[WeekIndex],63)&gt;0)*(COUNTIFS(T_TTAFStock[RM_Code],$A76,T_TTAFStock[WeekIndex],63)&gt;0)&gt;0,SUMIFS(T_SelfStock[Self_Qty],T_SelfStock[RM_Code],$A76,T_SelfStock[WeekIndex],63)+SUMIFS(T_TTAFStock[TTAF_Qty],T_TTAFStock[RM_Code],$A76,T_TTAFStock[WeekIndex],63),BK76+'Grid_Incoming'!BL76-'Grid_Requirement'!BL76))</f>
        <v/>
      </c>
      <c r="BM76">
        <f>IF(COUNTIFS(T_StockCount[RM_Code],$A76,T_StockCount[WeekIndex],64)&gt;0,SUMIFS(T_StockCount[CountedQty],T_StockCount[RM_Code],$A76,T_StockCount[WeekIndex],64),IF((COUNTIFS(T_SelfStock[RM_Code],$A76,T_SelfStock[WeekIndex],64)&gt;0)*(COUNTIFS(T_TTAFStock[RM_Code],$A76,T_TTAFStock[WeekIndex],64)&gt;0)&gt;0,SUMIFS(T_SelfStock[Self_Qty],T_SelfStock[RM_Code],$A76,T_SelfStock[WeekIndex],64)+SUMIFS(T_TTAFStock[TTAF_Qty],T_TTAFStock[RM_Code],$A76,T_TTAFStock[WeekIndex],64),BL76+'Grid_Incoming'!BM76-'Grid_Requirement'!BM76))</f>
        <v/>
      </c>
      <c r="BN76">
        <f>IF(COUNTIFS(T_StockCount[RM_Code],$A76,T_StockCount[WeekIndex],65)&gt;0,SUMIFS(T_StockCount[CountedQty],T_StockCount[RM_Code],$A76,T_StockCount[WeekIndex],65),IF((COUNTIFS(T_SelfStock[RM_Code],$A76,T_SelfStock[WeekIndex],65)&gt;0)*(COUNTIFS(T_TTAFStock[RM_Code],$A76,T_TTAFStock[WeekIndex],65)&gt;0)&gt;0,SUMIFS(T_SelfStock[Self_Qty],T_SelfStock[RM_Code],$A76,T_SelfStock[WeekIndex],65)+SUMIFS(T_TTAFStock[TTAF_Qty],T_TTAFStock[RM_Code],$A76,T_TTAFStock[WeekIndex],65),BM76+'Grid_Incoming'!BN76-'Grid_Requirement'!BN76))</f>
        <v/>
      </c>
      <c r="BO76">
        <f>IF(COUNTIFS(T_StockCount[RM_Code],$A76,T_StockCount[WeekIndex],66)&gt;0,SUMIFS(T_StockCount[CountedQty],T_StockCount[RM_Code],$A76,T_StockCount[WeekIndex],66),IF((COUNTIFS(T_SelfStock[RM_Code],$A76,T_SelfStock[WeekIndex],66)&gt;0)*(COUNTIFS(T_TTAFStock[RM_Code],$A76,T_TTAFStock[WeekIndex],66)&gt;0)&gt;0,SUMIFS(T_SelfStock[Self_Qty],T_SelfStock[RM_Code],$A76,T_SelfStock[WeekIndex],66)+SUMIFS(T_TTAFStock[TTAF_Qty],T_TTAFStock[RM_Code],$A76,T_TTAFStock[WeekIndex],66),BN76+'Grid_Incoming'!BO76-'Grid_Requirement'!BO76))</f>
        <v/>
      </c>
      <c r="BP76">
        <f>IF(COUNTIFS(T_StockCount[RM_Code],$A76,T_StockCount[WeekIndex],67)&gt;0,SUMIFS(T_StockCount[CountedQty],T_StockCount[RM_Code],$A76,T_StockCount[WeekIndex],67),IF((COUNTIFS(T_SelfStock[RM_Code],$A76,T_SelfStock[WeekIndex],67)&gt;0)*(COUNTIFS(T_TTAFStock[RM_Code],$A76,T_TTAFStock[WeekIndex],67)&gt;0)&gt;0,SUMIFS(T_SelfStock[Self_Qty],T_SelfStock[RM_Code],$A76,T_SelfStock[WeekIndex],67)+SUMIFS(T_TTAFStock[TTAF_Qty],T_TTAFStock[RM_Code],$A76,T_TTAFStock[WeekIndex],67),BO76+'Grid_Incoming'!BP76-'Grid_Requirement'!BP76))</f>
        <v/>
      </c>
      <c r="BQ76">
        <f>IF(COUNTIFS(T_StockCount[RM_Code],$A76,T_StockCount[WeekIndex],68)&gt;0,SUMIFS(T_StockCount[CountedQty],T_StockCount[RM_Code],$A76,T_StockCount[WeekIndex],68),IF((COUNTIFS(T_SelfStock[RM_Code],$A76,T_SelfStock[WeekIndex],68)&gt;0)*(COUNTIFS(T_TTAFStock[RM_Code],$A76,T_TTAFStock[WeekIndex],68)&gt;0)&gt;0,SUMIFS(T_SelfStock[Self_Qty],T_SelfStock[RM_Code],$A76,T_SelfStock[WeekIndex],68)+SUMIFS(T_TTAFStock[TTAF_Qty],T_TTAFStock[RM_Code],$A76,T_TTAFStock[WeekIndex],68),BP76+'Grid_Incoming'!BQ76-'Grid_Requirement'!BQ76))</f>
        <v/>
      </c>
      <c r="BR76">
        <f>IF(COUNTIFS(T_StockCount[RM_Code],$A76,T_StockCount[WeekIndex],69)&gt;0,SUMIFS(T_StockCount[CountedQty],T_StockCount[RM_Code],$A76,T_StockCount[WeekIndex],69),IF((COUNTIFS(T_SelfStock[RM_Code],$A76,T_SelfStock[WeekIndex],69)&gt;0)*(COUNTIFS(T_TTAFStock[RM_Code],$A76,T_TTAFStock[WeekIndex],69)&gt;0)&gt;0,SUMIFS(T_SelfStock[Self_Qty],T_SelfStock[RM_Code],$A76,T_SelfStock[WeekIndex],69)+SUMIFS(T_TTAFStock[TTAF_Qty],T_TTAFStock[RM_Code],$A76,T_TTAFStock[WeekIndex],69),BQ76+'Grid_Incoming'!BR76-'Grid_Requirement'!BR76))</f>
        <v/>
      </c>
      <c r="BS76">
        <f>IF(COUNTIFS(T_StockCount[RM_Code],$A76,T_StockCount[WeekIndex],70)&gt;0,SUMIFS(T_StockCount[CountedQty],T_StockCount[RM_Code],$A76,T_StockCount[WeekIndex],70),IF((COUNTIFS(T_SelfStock[RM_Code],$A76,T_SelfStock[WeekIndex],70)&gt;0)*(COUNTIFS(T_TTAFStock[RM_Code],$A76,T_TTAFStock[WeekIndex],70)&gt;0)&gt;0,SUMIFS(T_SelfStock[Self_Qty],T_SelfStock[RM_Code],$A76,T_SelfStock[WeekIndex],70)+SUMIFS(T_TTAFStock[TTAF_Qty],T_TTAFStock[RM_Code],$A76,T_TTAFStock[WeekIndex],70),BR76+'Grid_Incoming'!BS76-'Grid_Requirement'!BS76))</f>
        <v/>
      </c>
      <c r="BT76">
        <f>IF(COUNTIFS(T_StockCount[RM_Code],$A76,T_StockCount[WeekIndex],71)&gt;0,SUMIFS(T_StockCount[CountedQty],T_StockCount[RM_Code],$A76,T_StockCount[WeekIndex],71),IF((COUNTIFS(T_SelfStock[RM_Code],$A76,T_SelfStock[WeekIndex],71)&gt;0)*(COUNTIFS(T_TTAFStock[RM_Code],$A76,T_TTAFStock[WeekIndex],71)&gt;0)&gt;0,SUMIFS(T_SelfStock[Self_Qty],T_SelfStock[RM_Code],$A76,T_SelfStock[WeekIndex],71)+SUMIFS(T_TTAFStock[TTAF_Qty],T_TTAFStock[RM_Code],$A76,T_TTAFStock[WeekIndex],71),BS76+'Grid_Incoming'!BT76-'Grid_Requirement'!BT76))</f>
        <v/>
      </c>
      <c r="BU76">
        <f>IF(COUNTIFS(T_StockCount[RM_Code],$A76,T_StockCount[WeekIndex],72)&gt;0,SUMIFS(T_StockCount[CountedQty],T_StockCount[RM_Code],$A76,T_StockCount[WeekIndex],72),IF((COUNTIFS(T_SelfStock[RM_Code],$A76,T_SelfStock[WeekIndex],72)&gt;0)*(COUNTIFS(T_TTAFStock[RM_Code],$A76,T_TTAFStock[WeekIndex],72)&gt;0)&gt;0,SUMIFS(T_SelfStock[Self_Qty],T_SelfStock[RM_Code],$A76,T_SelfStock[WeekIndex],72)+SUMIFS(T_TTAFStock[TTAF_Qty],T_TTAFStock[RM_Code],$A76,T_TTAFStock[WeekIndex],72),BT76+'Grid_Incoming'!BU76-'Grid_Requirement'!BU76))</f>
        <v/>
      </c>
      <c r="BV76">
        <f>IF(COUNTIFS(T_StockCount[RM_Code],$A76,T_StockCount[WeekIndex],73)&gt;0,SUMIFS(T_StockCount[CountedQty],T_StockCount[RM_Code],$A76,T_StockCount[WeekIndex],73),IF((COUNTIFS(T_SelfStock[RM_Code],$A76,T_SelfStock[WeekIndex],73)&gt;0)*(COUNTIFS(T_TTAFStock[RM_Code],$A76,T_TTAFStock[WeekIndex],73)&gt;0)&gt;0,SUMIFS(T_SelfStock[Self_Qty],T_SelfStock[RM_Code],$A76,T_SelfStock[WeekIndex],73)+SUMIFS(T_TTAFStock[TTAF_Qty],T_TTAFStock[RM_Code],$A76,T_TTAFStock[WeekIndex],73),BU76+'Grid_Incoming'!BV76-'Grid_Requirement'!BV76))</f>
        <v/>
      </c>
      <c r="BW76">
        <f>IF(COUNTIFS(T_StockCount[RM_Code],$A76,T_StockCount[WeekIndex],74)&gt;0,SUMIFS(T_StockCount[CountedQty],T_StockCount[RM_Code],$A76,T_StockCount[WeekIndex],74),IF((COUNTIFS(T_SelfStock[RM_Code],$A76,T_SelfStock[WeekIndex],74)&gt;0)*(COUNTIFS(T_TTAFStock[RM_Code],$A76,T_TTAFStock[WeekIndex],74)&gt;0)&gt;0,SUMIFS(T_SelfStock[Self_Qty],T_SelfStock[RM_Code],$A76,T_SelfStock[WeekIndex],74)+SUMIFS(T_TTAFStock[TTAF_Qty],T_TTAFStock[RM_Code],$A76,T_TTAFStock[WeekIndex],74),BV76+'Grid_Incoming'!BW76-'Grid_Requirement'!BW76))</f>
        <v/>
      </c>
      <c r="BX76">
        <f>IF(COUNTIFS(T_StockCount[RM_Code],$A76,T_StockCount[WeekIndex],75)&gt;0,SUMIFS(T_StockCount[CountedQty],T_StockCount[RM_Code],$A76,T_StockCount[WeekIndex],75),IF((COUNTIFS(T_SelfStock[RM_Code],$A76,T_SelfStock[WeekIndex],75)&gt;0)*(COUNTIFS(T_TTAFStock[RM_Code],$A76,T_TTAFStock[WeekIndex],75)&gt;0)&gt;0,SUMIFS(T_SelfStock[Self_Qty],T_SelfStock[RM_Code],$A76,T_SelfStock[WeekIndex],75)+SUMIFS(T_TTAFStock[TTAF_Qty],T_TTAFStock[RM_Code],$A76,T_TTAFStock[WeekIndex],75),BW76+'Grid_Incoming'!BX76-'Grid_Requirement'!BX76))</f>
        <v/>
      </c>
      <c r="BY76">
        <f>IF(COUNTIFS(T_StockCount[RM_Code],$A76,T_StockCount[WeekIndex],76)&gt;0,SUMIFS(T_StockCount[CountedQty],T_StockCount[RM_Code],$A76,T_StockCount[WeekIndex],76),IF((COUNTIFS(T_SelfStock[RM_Code],$A76,T_SelfStock[WeekIndex],76)&gt;0)*(COUNTIFS(T_TTAFStock[RM_Code],$A76,T_TTAFStock[WeekIndex],76)&gt;0)&gt;0,SUMIFS(T_SelfStock[Self_Qty],T_SelfStock[RM_Code],$A76,T_SelfStock[WeekIndex],76)+SUMIFS(T_TTAFStock[TTAF_Qty],T_TTAFStock[RM_Code],$A76,T_TTAFStock[WeekIndex],76),BX76+'Grid_Incoming'!BY76-'Grid_Requirement'!BY76))</f>
        <v/>
      </c>
      <c r="BZ76">
        <f>IF(COUNTIFS(T_StockCount[RM_Code],$A76,T_StockCount[WeekIndex],77)&gt;0,SUMIFS(T_StockCount[CountedQty],T_StockCount[RM_Code],$A76,T_StockCount[WeekIndex],77),IF((COUNTIFS(T_SelfStock[RM_Code],$A76,T_SelfStock[WeekIndex],77)&gt;0)*(COUNTIFS(T_TTAFStock[RM_Code],$A76,T_TTAFStock[WeekIndex],77)&gt;0)&gt;0,SUMIFS(T_SelfStock[Self_Qty],T_SelfStock[RM_Code],$A76,T_SelfStock[WeekIndex],77)+SUMIFS(T_TTAFStock[TTAF_Qty],T_TTAFStock[RM_Code],$A76,T_TTAFStock[WeekIndex],77),BY76+'Grid_Incoming'!BZ76-'Grid_Requirement'!BZ76))</f>
        <v/>
      </c>
      <c r="CA76">
        <f>IF(COUNTIFS(T_StockCount[RM_Code],$A76,T_StockCount[WeekIndex],78)&gt;0,SUMIFS(T_StockCount[CountedQty],T_StockCount[RM_Code],$A76,T_StockCount[WeekIndex],78),IF((COUNTIFS(T_SelfStock[RM_Code],$A76,T_SelfStock[WeekIndex],78)&gt;0)*(COUNTIFS(T_TTAFStock[RM_Code],$A76,T_TTAFStock[WeekIndex],78)&gt;0)&gt;0,SUMIFS(T_SelfStock[Self_Qty],T_SelfStock[RM_Code],$A76,T_SelfStock[WeekIndex],78)+SUMIFS(T_TTAFStock[TTAF_Qty],T_TTAFStock[RM_Code],$A76,T_TTAFStock[WeekIndex],78),BZ76+'Grid_Incoming'!CA76-'Grid_Requirement'!CA76))</f>
        <v/>
      </c>
      <c r="CB76">
        <f>IF(COUNTIFS(T_StockCount[RM_Code],$A76,T_StockCount[WeekIndex],79)&gt;0,SUMIFS(T_StockCount[CountedQty],T_StockCount[RM_Code],$A76,T_StockCount[WeekIndex],79),IF((COUNTIFS(T_SelfStock[RM_Code],$A76,T_SelfStock[WeekIndex],79)&gt;0)*(COUNTIFS(T_TTAFStock[RM_Code],$A76,T_TTAFStock[WeekIndex],79)&gt;0)&gt;0,SUMIFS(T_SelfStock[Self_Qty],T_SelfStock[RM_Code],$A76,T_SelfStock[WeekIndex],79)+SUMIFS(T_TTAFStock[TTAF_Qty],T_TTAFStock[RM_Code],$A76,T_TTAFStock[WeekIndex],79),CA76+'Grid_Incoming'!CB76-'Grid_Requirement'!CB76))</f>
        <v/>
      </c>
      <c r="CC76">
        <f>IF(COUNTIFS(T_StockCount[RM_Code],$A76,T_StockCount[WeekIndex],80)&gt;0,SUMIFS(T_StockCount[CountedQty],T_StockCount[RM_Code],$A76,T_StockCount[WeekIndex],80),IF((COUNTIFS(T_SelfStock[RM_Code],$A76,T_SelfStock[WeekIndex],80)&gt;0)*(COUNTIFS(T_TTAFStock[RM_Code],$A76,T_TTAFStock[WeekIndex],80)&gt;0)&gt;0,SUMIFS(T_SelfStock[Self_Qty],T_SelfStock[RM_Code],$A76,T_SelfStock[WeekIndex],80)+SUMIFS(T_TTAFStock[TTAF_Qty],T_TTAFStock[RM_Code],$A76,T_TTAFStock[WeekIndex],80),CB76+'Grid_Incoming'!CC76-'Grid_Requirement'!CC76))</f>
        <v/>
      </c>
      <c r="CD76">
        <f>IF(COUNTIFS(T_StockCount[RM_Code],$A76,T_StockCount[WeekIndex],81)&gt;0,SUMIFS(T_StockCount[CountedQty],T_StockCount[RM_Code],$A76,T_StockCount[WeekIndex],81),IF((COUNTIFS(T_SelfStock[RM_Code],$A76,T_SelfStock[WeekIndex],81)&gt;0)*(COUNTIFS(T_TTAFStock[RM_Code],$A76,T_TTAFStock[WeekIndex],81)&gt;0)&gt;0,SUMIFS(T_SelfStock[Self_Qty],T_SelfStock[RM_Code],$A76,T_SelfStock[WeekIndex],81)+SUMIFS(T_TTAFStock[TTAF_Qty],T_TTAFStock[RM_Code],$A76,T_TTAFStock[WeekIndex],81),CC76+'Grid_Incoming'!CD76-'Grid_Requirement'!CD76))</f>
        <v/>
      </c>
      <c r="CE76">
        <f>IF(COUNTIFS(T_StockCount[RM_Code],$A76,T_StockCount[WeekIndex],82)&gt;0,SUMIFS(T_StockCount[CountedQty],T_StockCount[RM_Code],$A76,T_StockCount[WeekIndex],82),IF((COUNTIFS(T_SelfStock[RM_Code],$A76,T_SelfStock[WeekIndex],82)&gt;0)*(COUNTIFS(T_TTAFStock[RM_Code],$A76,T_TTAFStock[WeekIndex],82)&gt;0)&gt;0,SUMIFS(T_SelfStock[Self_Qty],T_SelfStock[RM_Code],$A76,T_SelfStock[WeekIndex],82)+SUMIFS(T_TTAFStock[TTAF_Qty],T_TTAFStock[RM_Code],$A76,T_TTAFStock[WeekIndex],82),CD76+'Grid_Incoming'!CE76-'Grid_Requirement'!CE76))</f>
        <v/>
      </c>
      <c r="CF76">
        <f>IF(COUNTIFS(T_StockCount[RM_Code],$A76,T_StockCount[WeekIndex],83)&gt;0,SUMIFS(T_StockCount[CountedQty],T_StockCount[RM_Code],$A76,T_StockCount[WeekIndex],83),IF((COUNTIFS(T_SelfStock[RM_Code],$A76,T_SelfStock[WeekIndex],83)&gt;0)*(COUNTIFS(T_TTAFStock[RM_Code],$A76,T_TTAFStock[WeekIndex],83)&gt;0)&gt;0,SUMIFS(T_SelfStock[Self_Qty],T_SelfStock[RM_Code],$A76,T_SelfStock[WeekIndex],83)+SUMIFS(T_TTAFStock[TTAF_Qty],T_TTAFStock[RM_Code],$A76,T_TTAFStock[WeekIndex],83),CE76+'Grid_Incoming'!CF76-'Grid_Requirement'!CF76))</f>
        <v/>
      </c>
      <c r="CG76">
        <f>IF(COUNTIFS(T_StockCount[RM_Code],$A76,T_StockCount[WeekIndex],84)&gt;0,SUMIFS(T_StockCount[CountedQty],T_StockCount[RM_Code],$A76,T_StockCount[WeekIndex],84),IF((COUNTIFS(T_SelfStock[RM_Code],$A76,T_SelfStock[WeekIndex],84)&gt;0)*(COUNTIFS(T_TTAFStock[RM_Code],$A76,T_TTAFStock[WeekIndex],84)&gt;0)&gt;0,SUMIFS(T_SelfStock[Self_Qty],T_SelfStock[RM_Code],$A76,T_SelfStock[WeekIndex],84)+SUMIFS(T_TTAFStock[TTAF_Qty],T_TTAFStock[RM_Code],$A76,T_TTAFStock[WeekIndex],84),CF76+'Grid_Incoming'!CG76-'Grid_Requirement'!CG76))</f>
        <v/>
      </c>
      <c r="CH76">
        <f>IF(COUNTIFS(T_StockCount[RM_Code],$A76,T_StockCount[WeekIndex],85)&gt;0,SUMIFS(T_StockCount[CountedQty],T_StockCount[RM_Code],$A76,T_StockCount[WeekIndex],85),IF((COUNTIFS(T_SelfStock[RM_Code],$A76,T_SelfStock[WeekIndex],85)&gt;0)*(COUNTIFS(T_TTAFStock[RM_Code],$A76,T_TTAFStock[WeekIndex],85)&gt;0)&gt;0,SUMIFS(T_SelfStock[Self_Qty],T_SelfStock[RM_Code],$A76,T_SelfStock[WeekIndex],85)+SUMIFS(T_TTAFStock[TTAF_Qty],T_TTAFStock[RM_Code],$A76,T_TTAFStock[WeekIndex],85),CG76+'Grid_Incoming'!CH76-'Grid_Requirement'!CH76))</f>
        <v/>
      </c>
      <c r="CI76">
        <f>IF(COUNTIFS(T_StockCount[RM_Code],$A76,T_StockCount[WeekIndex],86)&gt;0,SUMIFS(T_StockCount[CountedQty],T_StockCount[RM_Code],$A76,T_StockCount[WeekIndex],86),IF((COUNTIFS(T_SelfStock[RM_Code],$A76,T_SelfStock[WeekIndex],86)&gt;0)*(COUNTIFS(T_TTAFStock[RM_Code],$A76,T_TTAFStock[WeekIndex],86)&gt;0)&gt;0,SUMIFS(T_SelfStock[Self_Qty],T_SelfStock[RM_Code],$A76,T_SelfStock[WeekIndex],86)+SUMIFS(T_TTAFStock[TTAF_Qty],T_TTAFStock[RM_Code],$A76,T_TTAFStock[WeekIndex],86),CH76+'Grid_Incoming'!CI76-'Grid_Requirement'!CI76))</f>
        <v/>
      </c>
      <c r="CJ76">
        <f>IF(COUNTIFS(T_StockCount[RM_Code],$A76,T_StockCount[WeekIndex],87)&gt;0,SUMIFS(T_StockCount[CountedQty],T_StockCount[RM_Code],$A76,T_StockCount[WeekIndex],87),IF((COUNTIFS(T_SelfStock[RM_Code],$A76,T_SelfStock[WeekIndex],87)&gt;0)*(COUNTIFS(T_TTAFStock[RM_Code],$A76,T_TTAFStock[WeekIndex],87)&gt;0)&gt;0,SUMIFS(T_SelfStock[Self_Qty],T_SelfStock[RM_Code],$A76,T_SelfStock[WeekIndex],87)+SUMIFS(T_TTAFStock[TTAF_Qty],T_TTAFStock[RM_Code],$A76,T_TTAFStock[WeekIndex],87),CI76+'Grid_Incoming'!CJ76-'Grid_Requirement'!CJ76))</f>
        <v/>
      </c>
      <c r="CK76">
        <f>IF(COUNTIFS(T_StockCount[RM_Code],$A76,T_StockCount[WeekIndex],88)&gt;0,SUMIFS(T_StockCount[CountedQty],T_StockCount[RM_Code],$A76,T_StockCount[WeekIndex],88),IF((COUNTIFS(T_SelfStock[RM_Code],$A76,T_SelfStock[WeekIndex],88)&gt;0)*(COUNTIFS(T_TTAFStock[RM_Code],$A76,T_TTAFStock[WeekIndex],88)&gt;0)&gt;0,SUMIFS(T_SelfStock[Self_Qty],T_SelfStock[RM_Code],$A76,T_SelfStock[WeekIndex],88)+SUMIFS(T_TTAFStock[TTAF_Qty],T_TTAFStock[RM_Code],$A76,T_TTAFStock[WeekIndex],88),CJ76+'Grid_Incoming'!CK76-'Grid_Requirement'!CK76))</f>
        <v/>
      </c>
      <c r="CL76">
        <f>IF(COUNTIFS(T_StockCount[RM_Code],$A76,T_StockCount[WeekIndex],89)&gt;0,SUMIFS(T_StockCount[CountedQty],T_StockCount[RM_Code],$A76,T_StockCount[WeekIndex],89),IF((COUNTIFS(T_SelfStock[RM_Code],$A76,T_SelfStock[WeekIndex],89)&gt;0)*(COUNTIFS(T_TTAFStock[RM_Code],$A76,T_TTAFStock[WeekIndex],89)&gt;0)&gt;0,SUMIFS(T_SelfStock[Self_Qty],T_SelfStock[RM_Code],$A76,T_SelfStock[WeekIndex],89)+SUMIFS(T_TTAFStock[TTAF_Qty],T_TTAFStock[RM_Code],$A76,T_TTAFStock[WeekIndex],89),CK76+'Grid_Incoming'!CL76-'Grid_Requirement'!CL76))</f>
        <v/>
      </c>
      <c r="CM76">
        <f>IF(COUNTIFS(T_StockCount[RM_Code],$A76,T_StockCount[WeekIndex],90)&gt;0,SUMIFS(T_StockCount[CountedQty],T_StockCount[RM_Code],$A76,T_StockCount[WeekIndex],90),IF((COUNTIFS(T_SelfStock[RM_Code],$A76,T_SelfStock[WeekIndex],90)&gt;0)*(COUNTIFS(T_TTAFStock[RM_Code],$A76,T_TTAFStock[WeekIndex],90)&gt;0)&gt;0,SUMIFS(T_SelfStock[Self_Qty],T_SelfStock[RM_Code],$A76,T_SelfStock[WeekIndex],90)+SUMIFS(T_TTAFStock[TTAF_Qty],T_TTAFStock[RM_Code],$A76,T_TTAFStock[WeekIndex],90),CL76+'Grid_Incoming'!CM76-'Grid_Requirement'!CM76))</f>
        <v/>
      </c>
      <c r="CN76">
        <f>IF(COUNTIFS(T_StockCount[RM_Code],$A76,T_StockCount[WeekIndex],91)&gt;0,SUMIFS(T_StockCount[CountedQty],T_StockCount[RM_Code],$A76,T_StockCount[WeekIndex],91),IF((COUNTIFS(T_SelfStock[RM_Code],$A76,T_SelfStock[WeekIndex],91)&gt;0)*(COUNTIFS(T_TTAFStock[RM_Code],$A76,T_TTAFStock[WeekIndex],91)&gt;0)&gt;0,SUMIFS(T_SelfStock[Self_Qty],T_SelfStock[RM_Code],$A76,T_SelfStock[WeekIndex],91)+SUMIFS(T_TTAFStock[TTAF_Qty],T_TTAFStock[RM_Code],$A76,T_TTAFStock[WeekIndex],91),CM76+'Grid_Incoming'!CN76-'Grid_Requirement'!CN76))</f>
        <v/>
      </c>
      <c r="CO76">
        <f>IF(COUNTIFS(T_StockCount[RM_Code],$A76,T_StockCount[WeekIndex],92)&gt;0,SUMIFS(T_StockCount[CountedQty],T_StockCount[RM_Code],$A76,T_StockCount[WeekIndex],92),IF((COUNTIFS(T_SelfStock[RM_Code],$A76,T_SelfStock[WeekIndex],92)&gt;0)*(COUNTIFS(T_TTAFStock[RM_Code],$A76,T_TTAFStock[WeekIndex],92)&gt;0)&gt;0,SUMIFS(T_SelfStock[Self_Qty],T_SelfStock[RM_Code],$A76,T_SelfStock[WeekIndex],92)+SUMIFS(T_TTAFStock[TTAF_Qty],T_TTAFStock[RM_Code],$A76,T_TTAFStock[WeekIndex],92),CN76+'Grid_Incoming'!CO76-'Grid_Requirement'!CO76))</f>
        <v/>
      </c>
      <c r="CP76">
        <f>IF(COUNTIFS(T_StockCount[RM_Code],$A76,T_StockCount[WeekIndex],93)&gt;0,SUMIFS(T_StockCount[CountedQty],T_StockCount[RM_Code],$A76,T_StockCount[WeekIndex],93),IF((COUNTIFS(T_SelfStock[RM_Code],$A76,T_SelfStock[WeekIndex],93)&gt;0)*(COUNTIFS(T_TTAFStock[RM_Code],$A76,T_TTAFStock[WeekIndex],93)&gt;0)&gt;0,SUMIFS(T_SelfStock[Self_Qty],T_SelfStock[RM_Code],$A76,T_SelfStock[WeekIndex],93)+SUMIFS(T_TTAFStock[TTAF_Qty],T_TTAFStock[RM_Code],$A76,T_TTAFStock[WeekIndex],93),CO76+'Grid_Incoming'!CP76-'Grid_Requirement'!CP76))</f>
        <v/>
      </c>
      <c r="CQ76">
        <f>IF(COUNTIFS(T_StockCount[RM_Code],$A76,T_StockCount[WeekIndex],94)&gt;0,SUMIFS(T_StockCount[CountedQty],T_StockCount[RM_Code],$A76,T_StockCount[WeekIndex],94),IF((COUNTIFS(T_SelfStock[RM_Code],$A76,T_SelfStock[WeekIndex],94)&gt;0)*(COUNTIFS(T_TTAFStock[RM_Code],$A76,T_TTAFStock[WeekIndex],94)&gt;0)&gt;0,SUMIFS(T_SelfStock[Self_Qty],T_SelfStock[RM_Code],$A76,T_SelfStock[WeekIndex],94)+SUMIFS(T_TTAFStock[TTAF_Qty],T_TTAFStock[RM_Code],$A76,T_TTAFStock[WeekIndex],94),CP76+'Grid_Incoming'!CQ76-'Grid_Requirement'!CQ76))</f>
        <v/>
      </c>
      <c r="CR76">
        <f>IF(COUNTIFS(T_StockCount[RM_Code],$A76,T_StockCount[WeekIndex],95)&gt;0,SUMIFS(T_StockCount[CountedQty],T_StockCount[RM_Code],$A76,T_StockCount[WeekIndex],95),IF((COUNTIFS(T_SelfStock[RM_Code],$A76,T_SelfStock[WeekIndex],95)&gt;0)*(COUNTIFS(T_TTAFStock[RM_Code],$A76,T_TTAFStock[WeekIndex],95)&gt;0)&gt;0,SUMIFS(T_SelfStock[Self_Qty],T_SelfStock[RM_Code],$A76,T_SelfStock[WeekIndex],95)+SUMIFS(T_TTAFStock[TTAF_Qty],T_TTAFStock[RM_Code],$A76,T_TTAFStock[WeekIndex],95),CQ76+'Grid_Incoming'!CR76-'Grid_Requirement'!CR76))</f>
        <v/>
      </c>
      <c r="CS76">
        <f>IF(COUNTIFS(T_StockCount[RM_Code],$A76,T_StockCount[WeekIndex],96)&gt;0,SUMIFS(T_StockCount[CountedQty],T_StockCount[RM_Code],$A76,T_StockCount[WeekIndex],96),IF((COUNTIFS(T_SelfStock[RM_Code],$A76,T_SelfStock[WeekIndex],96)&gt;0)*(COUNTIFS(T_TTAFStock[RM_Code],$A76,T_TTAFStock[WeekIndex],96)&gt;0)&gt;0,SUMIFS(T_SelfStock[Self_Qty],T_SelfStock[RM_Code],$A76,T_SelfStock[WeekIndex],96)+SUMIFS(T_TTAFStock[TTAF_Qty],T_TTAFStock[RM_Code],$A76,T_TTAFStock[WeekIndex],96),CR76+'Grid_Incoming'!CS76-'Grid_Requirement'!CS76))</f>
        <v/>
      </c>
      <c r="CT76">
        <f>IF(COUNTIFS(T_StockCount[RM_Code],$A76,T_StockCount[WeekIndex],97)&gt;0,SUMIFS(T_StockCount[CountedQty],T_StockCount[RM_Code],$A76,T_StockCount[WeekIndex],97),IF((COUNTIFS(T_SelfStock[RM_Code],$A76,T_SelfStock[WeekIndex],97)&gt;0)*(COUNTIFS(T_TTAFStock[RM_Code],$A76,T_TTAFStock[WeekIndex],97)&gt;0)&gt;0,SUMIFS(T_SelfStock[Self_Qty],T_SelfStock[RM_Code],$A76,T_SelfStock[WeekIndex],97)+SUMIFS(T_TTAFStock[TTAF_Qty],T_TTAFStock[RM_Code],$A76,T_TTAFStock[WeekIndex],97),CS76+'Grid_Incoming'!CT76-'Grid_Requirement'!CT76))</f>
        <v/>
      </c>
      <c r="CU76">
        <f>IF(COUNTIFS(T_StockCount[RM_Code],$A76,T_StockCount[WeekIndex],98)&gt;0,SUMIFS(T_StockCount[CountedQty],T_StockCount[RM_Code],$A76,T_StockCount[WeekIndex],98),IF((COUNTIFS(T_SelfStock[RM_Code],$A76,T_SelfStock[WeekIndex],98)&gt;0)*(COUNTIFS(T_TTAFStock[RM_Code],$A76,T_TTAFStock[WeekIndex],98)&gt;0)&gt;0,SUMIFS(T_SelfStock[Self_Qty],T_SelfStock[RM_Code],$A76,T_SelfStock[WeekIndex],98)+SUMIFS(T_TTAFStock[TTAF_Qty],T_TTAFStock[RM_Code],$A76,T_TTAFStock[WeekIndex],98),CT76+'Grid_Incoming'!CU76-'Grid_Requirement'!CU76))</f>
        <v/>
      </c>
      <c r="CV76">
        <f>IF(COUNTIFS(T_StockCount[RM_Code],$A76,T_StockCount[WeekIndex],99)&gt;0,SUMIFS(T_StockCount[CountedQty],T_StockCount[RM_Code],$A76,T_StockCount[WeekIndex],99),IF((COUNTIFS(T_SelfStock[RM_Code],$A76,T_SelfStock[WeekIndex],99)&gt;0)*(COUNTIFS(T_TTAFStock[RM_Code],$A76,T_TTAFStock[WeekIndex],99)&gt;0)&gt;0,SUMIFS(T_SelfStock[Self_Qty],T_SelfStock[RM_Code],$A76,T_SelfStock[WeekIndex],99)+SUMIFS(T_TTAFStock[TTAF_Qty],T_TTAFStock[RM_Code],$A76,T_TTAFStock[WeekIndex],99),CU76+'Grid_Incoming'!CV76-'Grid_Requirement'!CV76))</f>
        <v/>
      </c>
      <c r="CW76">
        <f>IF(COUNTIFS(T_StockCount[RM_Code],$A76,T_StockCount[WeekIndex],100)&gt;0,SUMIFS(T_StockCount[CountedQty],T_StockCount[RM_Code],$A76,T_StockCount[WeekIndex],100),IF((COUNTIFS(T_SelfStock[RM_Code],$A76,T_SelfStock[WeekIndex],100)&gt;0)*(COUNTIFS(T_TTAFStock[RM_Code],$A76,T_TTAFStock[WeekIndex],100)&gt;0)&gt;0,SUMIFS(T_SelfStock[Self_Qty],T_SelfStock[RM_Code],$A76,T_SelfStock[WeekIndex],100)+SUMIFS(T_TTAFStock[TTAF_Qty],T_TTAFStock[RM_Code],$A76,T_TTAFStock[WeekIndex],100),CV76+'Grid_Incoming'!CW76-'Grid_Requirement'!CW76))</f>
        <v/>
      </c>
      <c r="CX76">
        <f>IF(COUNTIFS(T_StockCount[RM_Code],$A76,T_StockCount[WeekIndex],101)&gt;0,SUMIFS(T_StockCount[CountedQty],T_StockCount[RM_Code],$A76,T_StockCount[WeekIndex],101),IF((COUNTIFS(T_SelfStock[RM_Code],$A76,T_SelfStock[WeekIndex],101)&gt;0)*(COUNTIFS(T_TTAFStock[RM_Code],$A76,T_TTAFStock[WeekIndex],101)&gt;0)&gt;0,SUMIFS(T_SelfStock[Self_Qty],T_SelfStock[RM_Code],$A76,T_SelfStock[WeekIndex],101)+SUMIFS(T_TTAFStock[TTAF_Qty],T_TTAFStock[RM_Code],$A76,T_TTAFStock[WeekIndex],101),CW76+'Grid_Incoming'!CX76-'Grid_Requirement'!CX76))</f>
        <v/>
      </c>
      <c r="CY76">
        <f>IF(COUNTIFS(T_StockCount[RM_Code],$A76,T_StockCount[WeekIndex],102)&gt;0,SUMIFS(T_StockCount[CountedQty],T_StockCount[RM_Code],$A76,T_StockCount[WeekIndex],102),IF((COUNTIFS(T_SelfStock[RM_Code],$A76,T_SelfStock[WeekIndex],102)&gt;0)*(COUNTIFS(T_TTAFStock[RM_Code],$A76,T_TTAFStock[WeekIndex],102)&gt;0)&gt;0,SUMIFS(T_SelfStock[Self_Qty],T_SelfStock[RM_Code],$A76,T_SelfStock[WeekIndex],102)+SUMIFS(T_TTAFStock[TTAF_Qty],T_TTAFStock[RM_Code],$A76,T_TTAFStock[WeekIndex],102),CX76+'Grid_Incoming'!CY76-'Grid_Requirement'!CY76))</f>
        <v/>
      </c>
      <c r="CZ76">
        <f>IF(COUNTIFS(T_StockCount[RM_Code],$A76,T_StockCount[WeekIndex],103)&gt;0,SUMIFS(T_StockCount[CountedQty],T_StockCount[RM_Code],$A76,T_StockCount[WeekIndex],103),IF((COUNTIFS(T_SelfStock[RM_Code],$A76,T_SelfStock[WeekIndex],103)&gt;0)*(COUNTIFS(T_TTAFStock[RM_Code],$A76,T_TTAFStock[WeekIndex],103)&gt;0)&gt;0,SUMIFS(T_SelfStock[Self_Qty],T_SelfStock[RM_Code],$A76,T_SelfStock[WeekIndex],103)+SUMIFS(T_TTAFStock[TTAF_Qty],T_TTAFStock[RM_Code],$A76,T_TTAFStock[WeekIndex],103),CY76+'Grid_Incoming'!CZ76-'Grid_Requirement'!CZ76))</f>
        <v/>
      </c>
      <c r="DA76">
        <f>IF(COUNTIFS(T_StockCount[RM_Code],$A76,T_StockCount[WeekIndex],104)&gt;0,SUMIFS(T_StockCount[CountedQty],T_StockCount[RM_Code],$A76,T_StockCount[WeekIndex],104),IF((COUNTIFS(T_SelfStock[RM_Code],$A76,T_SelfStock[WeekIndex],104)&gt;0)*(COUNTIFS(T_TTAFStock[RM_Code],$A76,T_TTAFStock[WeekIndex],104)&gt;0)&gt;0,SUMIFS(T_SelfStock[Self_Qty],T_SelfStock[RM_Code],$A76,T_SelfStock[WeekIndex],104)+SUMIFS(T_TTAFStock[TTAF_Qty],T_TTAFStock[RM_Code],$A76,T_TTAFStock[WeekIndex],104),CZ76+'Grid_Incoming'!DA76-'Grid_Requirement'!DA76))</f>
        <v/>
      </c>
    </row>
    <row r="77">
      <c r="A77" t="inlineStr">
        <is>
          <t>Chem-1220</t>
        </is>
      </c>
      <c r="B77">
        <f>IF(COUNTIFS(T_StockCount[RM_Code],$A77,T_StockCount[WeekIndex],1)&gt;0,SUMIFS(T_StockCount[CountedQty],T_StockCount[RM_Code],$A77,T_StockCount[WeekIndex],1),IF((COUNTIFS(T_SelfStock[RM_Code],$A77,T_SelfStock[WeekIndex],1)&gt;0)*(COUNTIFS(T_TTAFStock[RM_Code],$A77,T_TTAFStock[WeekIndex],1)&gt;0)&gt;0,SUMIFS(T_SelfStock[Self_Qty],T_SelfStock[RM_Code],$A77,T_SelfStock[WeekIndex],1)+SUMIFS(T_TTAFStock[TTAF_Qty],T_TTAFStock[RM_Code],$A77,T_TTAFStock[WeekIndex],1),IFERROR(INDEX(T_OpeningStock[Opening_Qty],MATCH($A77,T_OpeningStock[RM_Code],0)),0)+'Grid_Incoming'!B77-'Grid_Requirement'!B77))</f>
        <v/>
      </c>
      <c r="C77">
        <f>IF(COUNTIFS(T_StockCount[RM_Code],$A77,T_StockCount[WeekIndex],2)&gt;0,SUMIFS(T_StockCount[CountedQty],T_StockCount[RM_Code],$A77,T_StockCount[WeekIndex],2),IF((COUNTIFS(T_SelfStock[RM_Code],$A77,T_SelfStock[WeekIndex],2)&gt;0)*(COUNTIFS(T_TTAFStock[RM_Code],$A77,T_TTAFStock[WeekIndex],2)&gt;0)&gt;0,SUMIFS(T_SelfStock[Self_Qty],T_SelfStock[RM_Code],$A77,T_SelfStock[WeekIndex],2)+SUMIFS(T_TTAFStock[TTAF_Qty],T_TTAFStock[RM_Code],$A77,T_TTAFStock[WeekIndex],2),B77+'Grid_Incoming'!C77-'Grid_Requirement'!C77))</f>
        <v/>
      </c>
      <c r="D77">
        <f>IF(COUNTIFS(T_StockCount[RM_Code],$A77,T_StockCount[WeekIndex],3)&gt;0,SUMIFS(T_StockCount[CountedQty],T_StockCount[RM_Code],$A77,T_StockCount[WeekIndex],3),IF((COUNTIFS(T_SelfStock[RM_Code],$A77,T_SelfStock[WeekIndex],3)&gt;0)*(COUNTIFS(T_TTAFStock[RM_Code],$A77,T_TTAFStock[WeekIndex],3)&gt;0)&gt;0,SUMIFS(T_SelfStock[Self_Qty],T_SelfStock[RM_Code],$A77,T_SelfStock[WeekIndex],3)+SUMIFS(T_TTAFStock[TTAF_Qty],T_TTAFStock[RM_Code],$A77,T_TTAFStock[WeekIndex],3),C77+'Grid_Incoming'!D77-'Grid_Requirement'!D77))</f>
        <v/>
      </c>
      <c r="E77">
        <f>IF(COUNTIFS(T_StockCount[RM_Code],$A77,T_StockCount[WeekIndex],4)&gt;0,SUMIFS(T_StockCount[CountedQty],T_StockCount[RM_Code],$A77,T_StockCount[WeekIndex],4),IF((COUNTIFS(T_SelfStock[RM_Code],$A77,T_SelfStock[WeekIndex],4)&gt;0)*(COUNTIFS(T_TTAFStock[RM_Code],$A77,T_TTAFStock[WeekIndex],4)&gt;0)&gt;0,SUMIFS(T_SelfStock[Self_Qty],T_SelfStock[RM_Code],$A77,T_SelfStock[WeekIndex],4)+SUMIFS(T_TTAFStock[TTAF_Qty],T_TTAFStock[RM_Code],$A77,T_TTAFStock[WeekIndex],4),D77+'Grid_Incoming'!E77-'Grid_Requirement'!E77))</f>
        <v/>
      </c>
      <c r="F77">
        <f>IF(COUNTIFS(T_StockCount[RM_Code],$A77,T_StockCount[WeekIndex],5)&gt;0,SUMIFS(T_StockCount[CountedQty],T_StockCount[RM_Code],$A77,T_StockCount[WeekIndex],5),IF((COUNTIFS(T_SelfStock[RM_Code],$A77,T_SelfStock[WeekIndex],5)&gt;0)*(COUNTIFS(T_TTAFStock[RM_Code],$A77,T_TTAFStock[WeekIndex],5)&gt;0)&gt;0,SUMIFS(T_SelfStock[Self_Qty],T_SelfStock[RM_Code],$A77,T_SelfStock[WeekIndex],5)+SUMIFS(T_TTAFStock[TTAF_Qty],T_TTAFStock[RM_Code],$A77,T_TTAFStock[WeekIndex],5),E77+'Grid_Incoming'!F77-'Grid_Requirement'!F77))</f>
        <v/>
      </c>
      <c r="G77">
        <f>IF(COUNTIFS(T_StockCount[RM_Code],$A77,T_StockCount[WeekIndex],6)&gt;0,SUMIFS(T_StockCount[CountedQty],T_StockCount[RM_Code],$A77,T_StockCount[WeekIndex],6),IF((COUNTIFS(T_SelfStock[RM_Code],$A77,T_SelfStock[WeekIndex],6)&gt;0)*(COUNTIFS(T_TTAFStock[RM_Code],$A77,T_TTAFStock[WeekIndex],6)&gt;0)&gt;0,SUMIFS(T_SelfStock[Self_Qty],T_SelfStock[RM_Code],$A77,T_SelfStock[WeekIndex],6)+SUMIFS(T_TTAFStock[TTAF_Qty],T_TTAFStock[RM_Code],$A77,T_TTAFStock[WeekIndex],6),F77+'Grid_Incoming'!G77-'Grid_Requirement'!G77))</f>
        <v/>
      </c>
      <c r="H77">
        <f>IF(COUNTIFS(T_StockCount[RM_Code],$A77,T_StockCount[WeekIndex],7)&gt;0,SUMIFS(T_StockCount[CountedQty],T_StockCount[RM_Code],$A77,T_StockCount[WeekIndex],7),IF((COUNTIFS(T_SelfStock[RM_Code],$A77,T_SelfStock[WeekIndex],7)&gt;0)*(COUNTIFS(T_TTAFStock[RM_Code],$A77,T_TTAFStock[WeekIndex],7)&gt;0)&gt;0,SUMIFS(T_SelfStock[Self_Qty],T_SelfStock[RM_Code],$A77,T_SelfStock[WeekIndex],7)+SUMIFS(T_TTAFStock[TTAF_Qty],T_TTAFStock[RM_Code],$A77,T_TTAFStock[WeekIndex],7),G77+'Grid_Incoming'!H77-'Grid_Requirement'!H77))</f>
        <v/>
      </c>
      <c r="I77">
        <f>IF(COUNTIFS(T_StockCount[RM_Code],$A77,T_StockCount[WeekIndex],8)&gt;0,SUMIFS(T_StockCount[CountedQty],T_StockCount[RM_Code],$A77,T_StockCount[WeekIndex],8),IF((COUNTIFS(T_SelfStock[RM_Code],$A77,T_SelfStock[WeekIndex],8)&gt;0)*(COUNTIFS(T_TTAFStock[RM_Code],$A77,T_TTAFStock[WeekIndex],8)&gt;0)&gt;0,SUMIFS(T_SelfStock[Self_Qty],T_SelfStock[RM_Code],$A77,T_SelfStock[WeekIndex],8)+SUMIFS(T_TTAFStock[TTAF_Qty],T_TTAFStock[RM_Code],$A77,T_TTAFStock[WeekIndex],8),H77+'Grid_Incoming'!I77-'Grid_Requirement'!I77))</f>
        <v/>
      </c>
      <c r="J77">
        <f>IF(COUNTIFS(T_StockCount[RM_Code],$A77,T_StockCount[WeekIndex],9)&gt;0,SUMIFS(T_StockCount[CountedQty],T_StockCount[RM_Code],$A77,T_StockCount[WeekIndex],9),IF((COUNTIFS(T_SelfStock[RM_Code],$A77,T_SelfStock[WeekIndex],9)&gt;0)*(COUNTIFS(T_TTAFStock[RM_Code],$A77,T_TTAFStock[WeekIndex],9)&gt;0)&gt;0,SUMIFS(T_SelfStock[Self_Qty],T_SelfStock[RM_Code],$A77,T_SelfStock[WeekIndex],9)+SUMIFS(T_TTAFStock[TTAF_Qty],T_TTAFStock[RM_Code],$A77,T_TTAFStock[WeekIndex],9),I77+'Grid_Incoming'!J77-'Grid_Requirement'!J77))</f>
        <v/>
      </c>
      <c r="K77">
        <f>IF(COUNTIFS(T_StockCount[RM_Code],$A77,T_StockCount[WeekIndex],10)&gt;0,SUMIFS(T_StockCount[CountedQty],T_StockCount[RM_Code],$A77,T_StockCount[WeekIndex],10),IF((COUNTIFS(T_SelfStock[RM_Code],$A77,T_SelfStock[WeekIndex],10)&gt;0)*(COUNTIFS(T_TTAFStock[RM_Code],$A77,T_TTAFStock[WeekIndex],10)&gt;0)&gt;0,SUMIFS(T_SelfStock[Self_Qty],T_SelfStock[RM_Code],$A77,T_SelfStock[WeekIndex],10)+SUMIFS(T_TTAFStock[TTAF_Qty],T_TTAFStock[RM_Code],$A77,T_TTAFStock[WeekIndex],10),J77+'Grid_Incoming'!K77-'Grid_Requirement'!K77))</f>
        <v/>
      </c>
      <c r="L77">
        <f>IF(COUNTIFS(T_StockCount[RM_Code],$A77,T_StockCount[WeekIndex],11)&gt;0,SUMIFS(T_StockCount[CountedQty],T_StockCount[RM_Code],$A77,T_StockCount[WeekIndex],11),IF((COUNTIFS(T_SelfStock[RM_Code],$A77,T_SelfStock[WeekIndex],11)&gt;0)*(COUNTIFS(T_TTAFStock[RM_Code],$A77,T_TTAFStock[WeekIndex],11)&gt;0)&gt;0,SUMIFS(T_SelfStock[Self_Qty],T_SelfStock[RM_Code],$A77,T_SelfStock[WeekIndex],11)+SUMIFS(T_TTAFStock[TTAF_Qty],T_TTAFStock[RM_Code],$A77,T_TTAFStock[WeekIndex],11),K77+'Grid_Incoming'!L77-'Grid_Requirement'!L77))</f>
        <v/>
      </c>
      <c r="M77">
        <f>IF(COUNTIFS(T_StockCount[RM_Code],$A77,T_StockCount[WeekIndex],12)&gt;0,SUMIFS(T_StockCount[CountedQty],T_StockCount[RM_Code],$A77,T_StockCount[WeekIndex],12),IF((COUNTIFS(T_SelfStock[RM_Code],$A77,T_SelfStock[WeekIndex],12)&gt;0)*(COUNTIFS(T_TTAFStock[RM_Code],$A77,T_TTAFStock[WeekIndex],12)&gt;0)&gt;0,SUMIFS(T_SelfStock[Self_Qty],T_SelfStock[RM_Code],$A77,T_SelfStock[WeekIndex],12)+SUMIFS(T_TTAFStock[TTAF_Qty],T_TTAFStock[RM_Code],$A77,T_TTAFStock[WeekIndex],12),L77+'Grid_Incoming'!M77-'Grid_Requirement'!M77))</f>
        <v/>
      </c>
      <c r="N77">
        <f>IF(COUNTIFS(T_StockCount[RM_Code],$A77,T_StockCount[WeekIndex],13)&gt;0,SUMIFS(T_StockCount[CountedQty],T_StockCount[RM_Code],$A77,T_StockCount[WeekIndex],13),IF((COUNTIFS(T_SelfStock[RM_Code],$A77,T_SelfStock[WeekIndex],13)&gt;0)*(COUNTIFS(T_TTAFStock[RM_Code],$A77,T_TTAFStock[WeekIndex],13)&gt;0)&gt;0,SUMIFS(T_SelfStock[Self_Qty],T_SelfStock[RM_Code],$A77,T_SelfStock[WeekIndex],13)+SUMIFS(T_TTAFStock[TTAF_Qty],T_TTAFStock[RM_Code],$A77,T_TTAFStock[WeekIndex],13),M77+'Grid_Incoming'!N77-'Grid_Requirement'!N77))</f>
        <v/>
      </c>
      <c r="O77">
        <f>IF(COUNTIFS(T_StockCount[RM_Code],$A77,T_StockCount[WeekIndex],14)&gt;0,SUMIFS(T_StockCount[CountedQty],T_StockCount[RM_Code],$A77,T_StockCount[WeekIndex],14),IF((COUNTIFS(T_SelfStock[RM_Code],$A77,T_SelfStock[WeekIndex],14)&gt;0)*(COUNTIFS(T_TTAFStock[RM_Code],$A77,T_TTAFStock[WeekIndex],14)&gt;0)&gt;0,SUMIFS(T_SelfStock[Self_Qty],T_SelfStock[RM_Code],$A77,T_SelfStock[WeekIndex],14)+SUMIFS(T_TTAFStock[TTAF_Qty],T_TTAFStock[RM_Code],$A77,T_TTAFStock[WeekIndex],14),N77+'Grid_Incoming'!O77-'Grid_Requirement'!O77))</f>
        <v/>
      </c>
      <c r="P77">
        <f>IF(COUNTIFS(T_StockCount[RM_Code],$A77,T_StockCount[WeekIndex],15)&gt;0,SUMIFS(T_StockCount[CountedQty],T_StockCount[RM_Code],$A77,T_StockCount[WeekIndex],15),IF((COUNTIFS(T_SelfStock[RM_Code],$A77,T_SelfStock[WeekIndex],15)&gt;0)*(COUNTIFS(T_TTAFStock[RM_Code],$A77,T_TTAFStock[WeekIndex],15)&gt;0)&gt;0,SUMIFS(T_SelfStock[Self_Qty],T_SelfStock[RM_Code],$A77,T_SelfStock[WeekIndex],15)+SUMIFS(T_TTAFStock[TTAF_Qty],T_TTAFStock[RM_Code],$A77,T_TTAFStock[WeekIndex],15),O77+'Grid_Incoming'!P77-'Grid_Requirement'!P77))</f>
        <v/>
      </c>
      <c r="Q77">
        <f>IF(COUNTIFS(T_StockCount[RM_Code],$A77,T_StockCount[WeekIndex],16)&gt;0,SUMIFS(T_StockCount[CountedQty],T_StockCount[RM_Code],$A77,T_StockCount[WeekIndex],16),IF((COUNTIFS(T_SelfStock[RM_Code],$A77,T_SelfStock[WeekIndex],16)&gt;0)*(COUNTIFS(T_TTAFStock[RM_Code],$A77,T_TTAFStock[WeekIndex],16)&gt;0)&gt;0,SUMIFS(T_SelfStock[Self_Qty],T_SelfStock[RM_Code],$A77,T_SelfStock[WeekIndex],16)+SUMIFS(T_TTAFStock[TTAF_Qty],T_TTAFStock[RM_Code],$A77,T_TTAFStock[WeekIndex],16),P77+'Grid_Incoming'!Q77-'Grid_Requirement'!Q77))</f>
        <v/>
      </c>
      <c r="R77">
        <f>IF(COUNTIFS(T_StockCount[RM_Code],$A77,T_StockCount[WeekIndex],17)&gt;0,SUMIFS(T_StockCount[CountedQty],T_StockCount[RM_Code],$A77,T_StockCount[WeekIndex],17),IF((COUNTIFS(T_SelfStock[RM_Code],$A77,T_SelfStock[WeekIndex],17)&gt;0)*(COUNTIFS(T_TTAFStock[RM_Code],$A77,T_TTAFStock[WeekIndex],17)&gt;0)&gt;0,SUMIFS(T_SelfStock[Self_Qty],T_SelfStock[RM_Code],$A77,T_SelfStock[WeekIndex],17)+SUMIFS(T_TTAFStock[TTAF_Qty],T_TTAFStock[RM_Code],$A77,T_TTAFStock[WeekIndex],17),Q77+'Grid_Incoming'!R77-'Grid_Requirement'!R77))</f>
        <v/>
      </c>
      <c r="S77">
        <f>IF(COUNTIFS(T_StockCount[RM_Code],$A77,T_StockCount[WeekIndex],18)&gt;0,SUMIFS(T_StockCount[CountedQty],T_StockCount[RM_Code],$A77,T_StockCount[WeekIndex],18),IF((COUNTIFS(T_SelfStock[RM_Code],$A77,T_SelfStock[WeekIndex],18)&gt;0)*(COUNTIFS(T_TTAFStock[RM_Code],$A77,T_TTAFStock[WeekIndex],18)&gt;0)&gt;0,SUMIFS(T_SelfStock[Self_Qty],T_SelfStock[RM_Code],$A77,T_SelfStock[WeekIndex],18)+SUMIFS(T_TTAFStock[TTAF_Qty],T_TTAFStock[RM_Code],$A77,T_TTAFStock[WeekIndex],18),R77+'Grid_Incoming'!S77-'Grid_Requirement'!S77))</f>
        <v/>
      </c>
      <c r="T77">
        <f>IF(COUNTIFS(T_StockCount[RM_Code],$A77,T_StockCount[WeekIndex],19)&gt;0,SUMIFS(T_StockCount[CountedQty],T_StockCount[RM_Code],$A77,T_StockCount[WeekIndex],19),IF((COUNTIFS(T_SelfStock[RM_Code],$A77,T_SelfStock[WeekIndex],19)&gt;0)*(COUNTIFS(T_TTAFStock[RM_Code],$A77,T_TTAFStock[WeekIndex],19)&gt;0)&gt;0,SUMIFS(T_SelfStock[Self_Qty],T_SelfStock[RM_Code],$A77,T_SelfStock[WeekIndex],19)+SUMIFS(T_TTAFStock[TTAF_Qty],T_TTAFStock[RM_Code],$A77,T_TTAFStock[WeekIndex],19),S77+'Grid_Incoming'!T77-'Grid_Requirement'!T77))</f>
        <v/>
      </c>
      <c r="U77">
        <f>IF(COUNTIFS(T_StockCount[RM_Code],$A77,T_StockCount[WeekIndex],20)&gt;0,SUMIFS(T_StockCount[CountedQty],T_StockCount[RM_Code],$A77,T_StockCount[WeekIndex],20),IF((COUNTIFS(T_SelfStock[RM_Code],$A77,T_SelfStock[WeekIndex],20)&gt;0)*(COUNTIFS(T_TTAFStock[RM_Code],$A77,T_TTAFStock[WeekIndex],20)&gt;0)&gt;0,SUMIFS(T_SelfStock[Self_Qty],T_SelfStock[RM_Code],$A77,T_SelfStock[WeekIndex],20)+SUMIFS(T_TTAFStock[TTAF_Qty],T_TTAFStock[RM_Code],$A77,T_TTAFStock[WeekIndex],20),T77+'Grid_Incoming'!U77-'Grid_Requirement'!U77))</f>
        <v/>
      </c>
      <c r="V77">
        <f>IF(COUNTIFS(T_StockCount[RM_Code],$A77,T_StockCount[WeekIndex],21)&gt;0,SUMIFS(T_StockCount[CountedQty],T_StockCount[RM_Code],$A77,T_StockCount[WeekIndex],21),IF((COUNTIFS(T_SelfStock[RM_Code],$A77,T_SelfStock[WeekIndex],21)&gt;0)*(COUNTIFS(T_TTAFStock[RM_Code],$A77,T_TTAFStock[WeekIndex],21)&gt;0)&gt;0,SUMIFS(T_SelfStock[Self_Qty],T_SelfStock[RM_Code],$A77,T_SelfStock[WeekIndex],21)+SUMIFS(T_TTAFStock[TTAF_Qty],T_TTAFStock[RM_Code],$A77,T_TTAFStock[WeekIndex],21),U77+'Grid_Incoming'!V77-'Grid_Requirement'!V77))</f>
        <v/>
      </c>
      <c r="W77">
        <f>IF(COUNTIFS(T_StockCount[RM_Code],$A77,T_StockCount[WeekIndex],22)&gt;0,SUMIFS(T_StockCount[CountedQty],T_StockCount[RM_Code],$A77,T_StockCount[WeekIndex],22),IF((COUNTIFS(T_SelfStock[RM_Code],$A77,T_SelfStock[WeekIndex],22)&gt;0)*(COUNTIFS(T_TTAFStock[RM_Code],$A77,T_TTAFStock[WeekIndex],22)&gt;0)&gt;0,SUMIFS(T_SelfStock[Self_Qty],T_SelfStock[RM_Code],$A77,T_SelfStock[WeekIndex],22)+SUMIFS(T_TTAFStock[TTAF_Qty],T_TTAFStock[RM_Code],$A77,T_TTAFStock[WeekIndex],22),V77+'Grid_Incoming'!W77-'Grid_Requirement'!W77))</f>
        <v/>
      </c>
      <c r="X77">
        <f>IF(COUNTIFS(T_StockCount[RM_Code],$A77,T_StockCount[WeekIndex],23)&gt;0,SUMIFS(T_StockCount[CountedQty],T_StockCount[RM_Code],$A77,T_StockCount[WeekIndex],23),IF((COUNTIFS(T_SelfStock[RM_Code],$A77,T_SelfStock[WeekIndex],23)&gt;0)*(COUNTIFS(T_TTAFStock[RM_Code],$A77,T_TTAFStock[WeekIndex],23)&gt;0)&gt;0,SUMIFS(T_SelfStock[Self_Qty],T_SelfStock[RM_Code],$A77,T_SelfStock[WeekIndex],23)+SUMIFS(T_TTAFStock[TTAF_Qty],T_TTAFStock[RM_Code],$A77,T_TTAFStock[WeekIndex],23),W77+'Grid_Incoming'!X77-'Grid_Requirement'!X77))</f>
        <v/>
      </c>
      <c r="Y77">
        <f>IF(COUNTIFS(T_StockCount[RM_Code],$A77,T_StockCount[WeekIndex],24)&gt;0,SUMIFS(T_StockCount[CountedQty],T_StockCount[RM_Code],$A77,T_StockCount[WeekIndex],24),IF((COUNTIFS(T_SelfStock[RM_Code],$A77,T_SelfStock[WeekIndex],24)&gt;0)*(COUNTIFS(T_TTAFStock[RM_Code],$A77,T_TTAFStock[WeekIndex],24)&gt;0)&gt;0,SUMIFS(T_SelfStock[Self_Qty],T_SelfStock[RM_Code],$A77,T_SelfStock[WeekIndex],24)+SUMIFS(T_TTAFStock[TTAF_Qty],T_TTAFStock[RM_Code],$A77,T_TTAFStock[WeekIndex],24),X77+'Grid_Incoming'!Y77-'Grid_Requirement'!Y77))</f>
        <v/>
      </c>
      <c r="Z77">
        <f>IF(COUNTIFS(T_StockCount[RM_Code],$A77,T_StockCount[WeekIndex],25)&gt;0,SUMIFS(T_StockCount[CountedQty],T_StockCount[RM_Code],$A77,T_StockCount[WeekIndex],25),IF((COUNTIFS(T_SelfStock[RM_Code],$A77,T_SelfStock[WeekIndex],25)&gt;0)*(COUNTIFS(T_TTAFStock[RM_Code],$A77,T_TTAFStock[WeekIndex],25)&gt;0)&gt;0,SUMIFS(T_SelfStock[Self_Qty],T_SelfStock[RM_Code],$A77,T_SelfStock[WeekIndex],25)+SUMIFS(T_TTAFStock[TTAF_Qty],T_TTAFStock[RM_Code],$A77,T_TTAFStock[WeekIndex],25),Y77+'Grid_Incoming'!Z77-'Grid_Requirement'!Z77))</f>
        <v/>
      </c>
      <c r="AA77">
        <f>IF(COUNTIFS(T_StockCount[RM_Code],$A77,T_StockCount[WeekIndex],26)&gt;0,SUMIFS(T_StockCount[CountedQty],T_StockCount[RM_Code],$A77,T_StockCount[WeekIndex],26),IF((COUNTIFS(T_SelfStock[RM_Code],$A77,T_SelfStock[WeekIndex],26)&gt;0)*(COUNTIFS(T_TTAFStock[RM_Code],$A77,T_TTAFStock[WeekIndex],26)&gt;0)&gt;0,SUMIFS(T_SelfStock[Self_Qty],T_SelfStock[RM_Code],$A77,T_SelfStock[WeekIndex],26)+SUMIFS(T_TTAFStock[TTAF_Qty],T_TTAFStock[RM_Code],$A77,T_TTAFStock[WeekIndex],26),Z77+'Grid_Incoming'!AA77-'Grid_Requirement'!AA77))</f>
        <v/>
      </c>
      <c r="AB77">
        <f>IF(COUNTIFS(T_StockCount[RM_Code],$A77,T_StockCount[WeekIndex],27)&gt;0,SUMIFS(T_StockCount[CountedQty],T_StockCount[RM_Code],$A77,T_StockCount[WeekIndex],27),IF((COUNTIFS(T_SelfStock[RM_Code],$A77,T_SelfStock[WeekIndex],27)&gt;0)*(COUNTIFS(T_TTAFStock[RM_Code],$A77,T_TTAFStock[WeekIndex],27)&gt;0)&gt;0,SUMIFS(T_SelfStock[Self_Qty],T_SelfStock[RM_Code],$A77,T_SelfStock[WeekIndex],27)+SUMIFS(T_TTAFStock[TTAF_Qty],T_TTAFStock[RM_Code],$A77,T_TTAFStock[WeekIndex],27),AA77+'Grid_Incoming'!AB77-'Grid_Requirement'!AB77))</f>
        <v/>
      </c>
      <c r="AC77">
        <f>IF(COUNTIFS(T_StockCount[RM_Code],$A77,T_StockCount[WeekIndex],28)&gt;0,SUMIFS(T_StockCount[CountedQty],T_StockCount[RM_Code],$A77,T_StockCount[WeekIndex],28),IF((COUNTIFS(T_SelfStock[RM_Code],$A77,T_SelfStock[WeekIndex],28)&gt;0)*(COUNTIFS(T_TTAFStock[RM_Code],$A77,T_TTAFStock[WeekIndex],28)&gt;0)&gt;0,SUMIFS(T_SelfStock[Self_Qty],T_SelfStock[RM_Code],$A77,T_SelfStock[WeekIndex],28)+SUMIFS(T_TTAFStock[TTAF_Qty],T_TTAFStock[RM_Code],$A77,T_TTAFStock[WeekIndex],28),AB77+'Grid_Incoming'!AC77-'Grid_Requirement'!AC77))</f>
        <v/>
      </c>
      <c r="AD77">
        <f>IF(COUNTIFS(T_StockCount[RM_Code],$A77,T_StockCount[WeekIndex],29)&gt;0,SUMIFS(T_StockCount[CountedQty],T_StockCount[RM_Code],$A77,T_StockCount[WeekIndex],29),IF((COUNTIFS(T_SelfStock[RM_Code],$A77,T_SelfStock[WeekIndex],29)&gt;0)*(COUNTIFS(T_TTAFStock[RM_Code],$A77,T_TTAFStock[WeekIndex],29)&gt;0)&gt;0,SUMIFS(T_SelfStock[Self_Qty],T_SelfStock[RM_Code],$A77,T_SelfStock[WeekIndex],29)+SUMIFS(T_TTAFStock[TTAF_Qty],T_TTAFStock[RM_Code],$A77,T_TTAFStock[WeekIndex],29),AC77+'Grid_Incoming'!AD77-'Grid_Requirement'!AD77))</f>
        <v/>
      </c>
      <c r="AE77">
        <f>IF(COUNTIFS(T_StockCount[RM_Code],$A77,T_StockCount[WeekIndex],30)&gt;0,SUMIFS(T_StockCount[CountedQty],T_StockCount[RM_Code],$A77,T_StockCount[WeekIndex],30),IF((COUNTIFS(T_SelfStock[RM_Code],$A77,T_SelfStock[WeekIndex],30)&gt;0)*(COUNTIFS(T_TTAFStock[RM_Code],$A77,T_TTAFStock[WeekIndex],30)&gt;0)&gt;0,SUMIFS(T_SelfStock[Self_Qty],T_SelfStock[RM_Code],$A77,T_SelfStock[WeekIndex],30)+SUMIFS(T_TTAFStock[TTAF_Qty],T_TTAFStock[RM_Code],$A77,T_TTAFStock[WeekIndex],30),AD77+'Grid_Incoming'!AE77-'Grid_Requirement'!AE77))</f>
        <v/>
      </c>
      <c r="AF77">
        <f>IF(COUNTIFS(T_StockCount[RM_Code],$A77,T_StockCount[WeekIndex],31)&gt;0,SUMIFS(T_StockCount[CountedQty],T_StockCount[RM_Code],$A77,T_StockCount[WeekIndex],31),IF((COUNTIFS(T_SelfStock[RM_Code],$A77,T_SelfStock[WeekIndex],31)&gt;0)*(COUNTIFS(T_TTAFStock[RM_Code],$A77,T_TTAFStock[WeekIndex],31)&gt;0)&gt;0,SUMIFS(T_SelfStock[Self_Qty],T_SelfStock[RM_Code],$A77,T_SelfStock[WeekIndex],31)+SUMIFS(T_TTAFStock[TTAF_Qty],T_TTAFStock[RM_Code],$A77,T_TTAFStock[WeekIndex],31),AE77+'Grid_Incoming'!AF77-'Grid_Requirement'!AF77))</f>
        <v/>
      </c>
      <c r="AG77">
        <f>IF(COUNTIFS(T_StockCount[RM_Code],$A77,T_StockCount[WeekIndex],32)&gt;0,SUMIFS(T_StockCount[CountedQty],T_StockCount[RM_Code],$A77,T_StockCount[WeekIndex],32),IF((COUNTIFS(T_SelfStock[RM_Code],$A77,T_SelfStock[WeekIndex],32)&gt;0)*(COUNTIFS(T_TTAFStock[RM_Code],$A77,T_TTAFStock[WeekIndex],32)&gt;0)&gt;0,SUMIFS(T_SelfStock[Self_Qty],T_SelfStock[RM_Code],$A77,T_SelfStock[WeekIndex],32)+SUMIFS(T_TTAFStock[TTAF_Qty],T_TTAFStock[RM_Code],$A77,T_TTAFStock[WeekIndex],32),AF77+'Grid_Incoming'!AG77-'Grid_Requirement'!AG77))</f>
        <v/>
      </c>
      <c r="AH77">
        <f>IF(COUNTIFS(T_StockCount[RM_Code],$A77,T_StockCount[WeekIndex],33)&gt;0,SUMIFS(T_StockCount[CountedQty],T_StockCount[RM_Code],$A77,T_StockCount[WeekIndex],33),IF((COUNTIFS(T_SelfStock[RM_Code],$A77,T_SelfStock[WeekIndex],33)&gt;0)*(COUNTIFS(T_TTAFStock[RM_Code],$A77,T_TTAFStock[WeekIndex],33)&gt;0)&gt;0,SUMIFS(T_SelfStock[Self_Qty],T_SelfStock[RM_Code],$A77,T_SelfStock[WeekIndex],33)+SUMIFS(T_TTAFStock[TTAF_Qty],T_TTAFStock[RM_Code],$A77,T_TTAFStock[WeekIndex],33),AG77+'Grid_Incoming'!AH77-'Grid_Requirement'!AH77))</f>
        <v/>
      </c>
      <c r="AI77">
        <f>IF(COUNTIFS(T_StockCount[RM_Code],$A77,T_StockCount[WeekIndex],34)&gt;0,SUMIFS(T_StockCount[CountedQty],T_StockCount[RM_Code],$A77,T_StockCount[WeekIndex],34),IF((COUNTIFS(T_SelfStock[RM_Code],$A77,T_SelfStock[WeekIndex],34)&gt;0)*(COUNTIFS(T_TTAFStock[RM_Code],$A77,T_TTAFStock[WeekIndex],34)&gt;0)&gt;0,SUMIFS(T_SelfStock[Self_Qty],T_SelfStock[RM_Code],$A77,T_SelfStock[WeekIndex],34)+SUMIFS(T_TTAFStock[TTAF_Qty],T_TTAFStock[RM_Code],$A77,T_TTAFStock[WeekIndex],34),AH77+'Grid_Incoming'!AI77-'Grid_Requirement'!AI77))</f>
        <v/>
      </c>
      <c r="AJ77">
        <f>IF(COUNTIFS(T_StockCount[RM_Code],$A77,T_StockCount[WeekIndex],35)&gt;0,SUMIFS(T_StockCount[CountedQty],T_StockCount[RM_Code],$A77,T_StockCount[WeekIndex],35),IF((COUNTIFS(T_SelfStock[RM_Code],$A77,T_SelfStock[WeekIndex],35)&gt;0)*(COUNTIFS(T_TTAFStock[RM_Code],$A77,T_TTAFStock[WeekIndex],35)&gt;0)&gt;0,SUMIFS(T_SelfStock[Self_Qty],T_SelfStock[RM_Code],$A77,T_SelfStock[WeekIndex],35)+SUMIFS(T_TTAFStock[TTAF_Qty],T_TTAFStock[RM_Code],$A77,T_TTAFStock[WeekIndex],35),AI77+'Grid_Incoming'!AJ77-'Grid_Requirement'!AJ77))</f>
        <v/>
      </c>
      <c r="AK77">
        <f>IF(COUNTIFS(T_StockCount[RM_Code],$A77,T_StockCount[WeekIndex],36)&gt;0,SUMIFS(T_StockCount[CountedQty],T_StockCount[RM_Code],$A77,T_StockCount[WeekIndex],36),IF((COUNTIFS(T_SelfStock[RM_Code],$A77,T_SelfStock[WeekIndex],36)&gt;0)*(COUNTIFS(T_TTAFStock[RM_Code],$A77,T_TTAFStock[WeekIndex],36)&gt;0)&gt;0,SUMIFS(T_SelfStock[Self_Qty],T_SelfStock[RM_Code],$A77,T_SelfStock[WeekIndex],36)+SUMIFS(T_TTAFStock[TTAF_Qty],T_TTAFStock[RM_Code],$A77,T_TTAFStock[WeekIndex],36),AJ77+'Grid_Incoming'!AK77-'Grid_Requirement'!AK77))</f>
        <v/>
      </c>
      <c r="AL77">
        <f>IF(COUNTIFS(T_StockCount[RM_Code],$A77,T_StockCount[WeekIndex],37)&gt;0,SUMIFS(T_StockCount[CountedQty],T_StockCount[RM_Code],$A77,T_StockCount[WeekIndex],37),IF((COUNTIFS(T_SelfStock[RM_Code],$A77,T_SelfStock[WeekIndex],37)&gt;0)*(COUNTIFS(T_TTAFStock[RM_Code],$A77,T_TTAFStock[WeekIndex],37)&gt;0)&gt;0,SUMIFS(T_SelfStock[Self_Qty],T_SelfStock[RM_Code],$A77,T_SelfStock[WeekIndex],37)+SUMIFS(T_TTAFStock[TTAF_Qty],T_TTAFStock[RM_Code],$A77,T_TTAFStock[WeekIndex],37),AK77+'Grid_Incoming'!AL77-'Grid_Requirement'!AL77))</f>
        <v/>
      </c>
      <c r="AM77">
        <f>IF(COUNTIFS(T_StockCount[RM_Code],$A77,T_StockCount[WeekIndex],38)&gt;0,SUMIFS(T_StockCount[CountedQty],T_StockCount[RM_Code],$A77,T_StockCount[WeekIndex],38),IF((COUNTIFS(T_SelfStock[RM_Code],$A77,T_SelfStock[WeekIndex],38)&gt;0)*(COUNTIFS(T_TTAFStock[RM_Code],$A77,T_TTAFStock[WeekIndex],38)&gt;0)&gt;0,SUMIFS(T_SelfStock[Self_Qty],T_SelfStock[RM_Code],$A77,T_SelfStock[WeekIndex],38)+SUMIFS(T_TTAFStock[TTAF_Qty],T_TTAFStock[RM_Code],$A77,T_TTAFStock[WeekIndex],38),AL77+'Grid_Incoming'!AM77-'Grid_Requirement'!AM77))</f>
        <v/>
      </c>
      <c r="AN77">
        <f>IF(COUNTIFS(T_StockCount[RM_Code],$A77,T_StockCount[WeekIndex],39)&gt;0,SUMIFS(T_StockCount[CountedQty],T_StockCount[RM_Code],$A77,T_StockCount[WeekIndex],39),IF((COUNTIFS(T_SelfStock[RM_Code],$A77,T_SelfStock[WeekIndex],39)&gt;0)*(COUNTIFS(T_TTAFStock[RM_Code],$A77,T_TTAFStock[WeekIndex],39)&gt;0)&gt;0,SUMIFS(T_SelfStock[Self_Qty],T_SelfStock[RM_Code],$A77,T_SelfStock[WeekIndex],39)+SUMIFS(T_TTAFStock[TTAF_Qty],T_TTAFStock[RM_Code],$A77,T_TTAFStock[WeekIndex],39),AM77+'Grid_Incoming'!AN77-'Grid_Requirement'!AN77))</f>
        <v/>
      </c>
      <c r="AO77">
        <f>IF(COUNTIFS(T_StockCount[RM_Code],$A77,T_StockCount[WeekIndex],40)&gt;0,SUMIFS(T_StockCount[CountedQty],T_StockCount[RM_Code],$A77,T_StockCount[WeekIndex],40),IF((COUNTIFS(T_SelfStock[RM_Code],$A77,T_SelfStock[WeekIndex],40)&gt;0)*(COUNTIFS(T_TTAFStock[RM_Code],$A77,T_TTAFStock[WeekIndex],40)&gt;0)&gt;0,SUMIFS(T_SelfStock[Self_Qty],T_SelfStock[RM_Code],$A77,T_SelfStock[WeekIndex],40)+SUMIFS(T_TTAFStock[TTAF_Qty],T_TTAFStock[RM_Code],$A77,T_TTAFStock[WeekIndex],40),AN77+'Grid_Incoming'!AO77-'Grid_Requirement'!AO77))</f>
        <v/>
      </c>
      <c r="AP77">
        <f>IF(COUNTIFS(T_StockCount[RM_Code],$A77,T_StockCount[WeekIndex],41)&gt;0,SUMIFS(T_StockCount[CountedQty],T_StockCount[RM_Code],$A77,T_StockCount[WeekIndex],41),IF((COUNTIFS(T_SelfStock[RM_Code],$A77,T_SelfStock[WeekIndex],41)&gt;0)*(COUNTIFS(T_TTAFStock[RM_Code],$A77,T_TTAFStock[WeekIndex],41)&gt;0)&gt;0,SUMIFS(T_SelfStock[Self_Qty],T_SelfStock[RM_Code],$A77,T_SelfStock[WeekIndex],41)+SUMIFS(T_TTAFStock[TTAF_Qty],T_TTAFStock[RM_Code],$A77,T_TTAFStock[WeekIndex],41),AO77+'Grid_Incoming'!AP77-'Grid_Requirement'!AP77))</f>
        <v/>
      </c>
      <c r="AQ77">
        <f>IF(COUNTIFS(T_StockCount[RM_Code],$A77,T_StockCount[WeekIndex],42)&gt;0,SUMIFS(T_StockCount[CountedQty],T_StockCount[RM_Code],$A77,T_StockCount[WeekIndex],42),IF((COUNTIFS(T_SelfStock[RM_Code],$A77,T_SelfStock[WeekIndex],42)&gt;0)*(COUNTIFS(T_TTAFStock[RM_Code],$A77,T_TTAFStock[WeekIndex],42)&gt;0)&gt;0,SUMIFS(T_SelfStock[Self_Qty],T_SelfStock[RM_Code],$A77,T_SelfStock[WeekIndex],42)+SUMIFS(T_TTAFStock[TTAF_Qty],T_TTAFStock[RM_Code],$A77,T_TTAFStock[WeekIndex],42),AP77+'Grid_Incoming'!AQ77-'Grid_Requirement'!AQ77))</f>
        <v/>
      </c>
      <c r="AR77">
        <f>IF(COUNTIFS(T_StockCount[RM_Code],$A77,T_StockCount[WeekIndex],43)&gt;0,SUMIFS(T_StockCount[CountedQty],T_StockCount[RM_Code],$A77,T_StockCount[WeekIndex],43),IF((COUNTIFS(T_SelfStock[RM_Code],$A77,T_SelfStock[WeekIndex],43)&gt;0)*(COUNTIFS(T_TTAFStock[RM_Code],$A77,T_TTAFStock[WeekIndex],43)&gt;0)&gt;0,SUMIFS(T_SelfStock[Self_Qty],T_SelfStock[RM_Code],$A77,T_SelfStock[WeekIndex],43)+SUMIFS(T_TTAFStock[TTAF_Qty],T_TTAFStock[RM_Code],$A77,T_TTAFStock[WeekIndex],43),AQ77+'Grid_Incoming'!AR77-'Grid_Requirement'!AR77))</f>
        <v/>
      </c>
      <c r="AS77">
        <f>IF(COUNTIFS(T_StockCount[RM_Code],$A77,T_StockCount[WeekIndex],44)&gt;0,SUMIFS(T_StockCount[CountedQty],T_StockCount[RM_Code],$A77,T_StockCount[WeekIndex],44),IF((COUNTIFS(T_SelfStock[RM_Code],$A77,T_SelfStock[WeekIndex],44)&gt;0)*(COUNTIFS(T_TTAFStock[RM_Code],$A77,T_TTAFStock[WeekIndex],44)&gt;0)&gt;0,SUMIFS(T_SelfStock[Self_Qty],T_SelfStock[RM_Code],$A77,T_SelfStock[WeekIndex],44)+SUMIFS(T_TTAFStock[TTAF_Qty],T_TTAFStock[RM_Code],$A77,T_TTAFStock[WeekIndex],44),AR77+'Grid_Incoming'!AS77-'Grid_Requirement'!AS77))</f>
        <v/>
      </c>
      <c r="AT77">
        <f>IF(COUNTIFS(T_StockCount[RM_Code],$A77,T_StockCount[WeekIndex],45)&gt;0,SUMIFS(T_StockCount[CountedQty],T_StockCount[RM_Code],$A77,T_StockCount[WeekIndex],45),IF((COUNTIFS(T_SelfStock[RM_Code],$A77,T_SelfStock[WeekIndex],45)&gt;0)*(COUNTIFS(T_TTAFStock[RM_Code],$A77,T_TTAFStock[WeekIndex],45)&gt;0)&gt;0,SUMIFS(T_SelfStock[Self_Qty],T_SelfStock[RM_Code],$A77,T_SelfStock[WeekIndex],45)+SUMIFS(T_TTAFStock[TTAF_Qty],T_TTAFStock[RM_Code],$A77,T_TTAFStock[WeekIndex],45),AS77+'Grid_Incoming'!AT77-'Grid_Requirement'!AT77))</f>
        <v/>
      </c>
      <c r="AU77">
        <f>IF(COUNTIFS(T_StockCount[RM_Code],$A77,T_StockCount[WeekIndex],46)&gt;0,SUMIFS(T_StockCount[CountedQty],T_StockCount[RM_Code],$A77,T_StockCount[WeekIndex],46),IF((COUNTIFS(T_SelfStock[RM_Code],$A77,T_SelfStock[WeekIndex],46)&gt;0)*(COUNTIFS(T_TTAFStock[RM_Code],$A77,T_TTAFStock[WeekIndex],46)&gt;0)&gt;0,SUMIFS(T_SelfStock[Self_Qty],T_SelfStock[RM_Code],$A77,T_SelfStock[WeekIndex],46)+SUMIFS(T_TTAFStock[TTAF_Qty],T_TTAFStock[RM_Code],$A77,T_TTAFStock[WeekIndex],46),AT77+'Grid_Incoming'!AU77-'Grid_Requirement'!AU77))</f>
        <v/>
      </c>
      <c r="AV77">
        <f>IF(COUNTIFS(T_StockCount[RM_Code],$A77,T_StockCount[WeekIndex],47)&gt;0,SUMIFS(T_StockCount[CountedQty],T_StockCount[RM_Code],$A77,T_StockCount[WeekIndex],47),IF((COUNTIFS(T_SelfStock[RM_Code],$A77,T_SelfStock[WeekIndex],47)&gt;0)*(COUNTIFS(T_TTAFStock[RM_Code],$A77,T_TTAFStock[WeekIndex],47)&gt;0)&gt;0,SUMIFS(T_SelfStock[Self_Qty],T_SelfStock[RM_Code],$A77,T_SelfStock[WeekIndex],47)+SUMIFS(T_TTAFStock[TTAF_Qty],T_TTAFStock[RM_Code],$A77,T_TTAFStock[WeekIndex],47),AU77+'Grid_Incoming'!AV77-'Grid_Requirement'!AV77))</f>
        <v/>
      </c>
      <c r="AW77">
        <f>IF(COUNTIFS(T_StockCount[RM_Code],$A77,T_StockCount[WeekIndex],48)&gt;0,SUMIFS(T_StockCount[CountedQty],T_StockCount[RM_Code],$A77,T_StockCount[WeekIndex],48),IF((COUNTIFS(T_SelfStock[RM_Code],$A77,T_SelfStock[WeekIndex],48)&gt;0)*(COUNTIFS(T_TTAFStock[RM_Code],$A77,T_TTAFStock[WeekIndex],48)&gt;0)&gt;0,SUMIFS(T_SelfStock[Self_Qty],T_SelfStock[RM_Code],$A77,T_SelfStock[WeekIndex],48)+SUMIFS(T_TTAFStock[TTAF_Qty],T_TTAFStock[RM_Code],$A77,T_TTAFStock[WeekIndex],48),AV77+'Grid_Incoming'!AW77-'Grid_Requirement'!AW77))</f>
        <v/>
      </c>
      <c r="AX77">
        <f>IF(COUNTIFS(T_StockCount[RM_Code],$A77,T_StockCount[WeekIndex],49)&gt;0,SUMIFS(T_StockCount[CountedQty],T_StockCount[RM_Code],$A77,T_StockCount[WeekIndex],49),IF((COUNTIFS(T_SelfStock[RM_Code],$A77,T_SelfStock[WeekIndex],49)&gt;0)*(COUNTIFS(T_TTAFStock[RM_Code],$A77,T_TTAFStock[WeekIndex],49)&gt;0)&gt;0,SUMIFS(T_SelfStock[Self_Qty],T_SelfStock[RM_Code],$A77,T_SelfStock[WeekIndex],49)+SUMIFS(T_TTAFStock[TTAF_Qty],T_TTAFStock[RM_Code],$A77,T_TTAFStock[WeekIndex],49),AW77+'Grid_Incoming'!AX77-'Grid_Requirement'!AX77))</f>
        <v/>
      </c>
      <c r="AY77">
        <f>IF(COUNTIFS(T_StockCount[RM_Code],$A77,T_StockCount[WeekIndex],50)&gt;0,SUMIFS(T_StockCount[CountedQty],T_StockCount[RM_Code],$A77,T_StockCount[WeekIndex],50),IF((COUNTIFS(T_SelfStock[RM_Code],$A77,T_SelfStock[WeekIndex],50)&gt;0)*(COUNTIFS(T_TTAFStock[RM_Code],$A77,T_TTAFStock[WeekIndex],50)&gt;0)&gt;0,SUMIFS(T_SelfStock[Self_Qty],T_SelfStock[RM_Code],$A77,T_SelfStock[WeekIndex],50)+SUMIFS(T_TTAFStock[TTAF_Qty],T_TTAFStock[RM_Code],$A77,T_TTAFStock[WeekIndex],50),AX77+'Grid_Incoming'!AY77-'Grid_Requirement'!AY77))</f>
        <v/>
      </c>
      <c r="AZ77">
        <f>IF(COUNTIFS(T_StockCount[RM_Code],$A77,T_StockCount[WeekIndex],51)&gt;0,SUMIFS(T_StockCount[CountedQty],T_StockCount[RM_Code],$A77,T_StockCount[WeekIndex],51),IF((COUNTIFS(T_SelfStock[RM_Code],$A77,T_SelfStock[WeekIndex],51)&gt;0)*(COUNTIFS(T_TTAFStock[RM_Code],$A77,T_TTAFStock[WeekIndex],51)&gt;0)&gt;0,SUMIFS(T_SelfStock[Self_Qty],T_SelfStock[RM_Code],$A77,T_SelfStock[WeekIndex],51)+SUMIFS(T_TTAFStock[TTAF_Qty],T_TTAFStock[RM_Code],$A77,T_TTAFStock[WeekIndex],51),AY77+'Grid_Incoming'!AZ77-'Grid_Requirement'!AZ77))</f>
        <v/>
      </c>
      <c r="BA77">
        <f>IF(COUNTIFS(T_StockCount[RM_Code],$A77,T_StockCount[WeekIndex],52)&gt;0,SUMIFS(T_StockCount[CountedQty],T_StockCount[RM_Code],$A77,T_StockCount[WeekIndex],52),IF((COUNTIFS(T_SelfStock[RM_Code],$A77,T_SelfStock[WeekIndex],52)&gt;0)*(COUNTIFS(T_TTAFStock[RM_Code],$A77,T_TTAFStock[WeekIndex],52)&gt;0)&gt;0,SUMIFS(T_SelfStock[Self_Qty],T_SelfStock[RM_Code],$A77,T_SelfStock[WeekIndex],52)+SUMIFS(T_TTAFStock[TTAF_Qty],T_TTAFStock[RM_Code],$A77,T_TTAFStock[WeekIndex],52),AZ77+'Grid_Incoming'!BA77-'Grid_Requirement'!BA77))</f>
        <v/>
      </c>
      <c r="BB77">
        <f>IF(COUNTIFS(T_StockCount[RM_Code],$A77,T_StockCount[WeekIndex],53)&gt;0,SUMIFS(T_StockCount[CountedQty],T_StockCount[RM_Code],$A77,T_StockCount[WeekIndex],53),IF((COUNTIFS(T_SelfStock[RM_Code],$A77,T_SelfStock[WeekIndex],53)&gt;0)*(COUNTIFS(T_TTAFStock[RM_Code],$A77,T_TTAFStock[WeekIndex],53)&gt;0)&gt;0,SUMIFS(T_SelfStock[Self_Qty],T_SelfStock[RM_Code],$A77,T_SelfStock[WeekIndex],53)+SUMIFS(T_TTAFStock[TTAF_Qty],T_TTAFStock[RM_Code],$A77,T_TTAFStock[WeekIndex],53),BA77+'Grid_Incoming'!BB77-'Grid_Requirement'!BB77))</f>
        <v/>
      </c>
      <c r="BC77">
        <f>IF(COUNTIFS(T_StockCount[RM_Code],$A77,T_StockCount[WeekIndex],54)&gt;0,SUMIFS(T_StockCount[CountedQty],T_StockCount[RM_Code],$A77,T_StockCount[WeekIndex],54),IF((COUNTIFS(T_SelfStock[RM_Code],$A77,T_SelfStock[WeekIndex],54)&gt;0)*(COUNTIFS(T_TTAFStock[RM_Code],$A77,T_TTAFStock[WeekIndex],54)&gt;0)&gt;0,SUMIFS(T_SelfStock[Self_Qty],T_SelfStock[RM_Code],$A77,T_SelfStock[WeekIndex],54)+SUMIFS(T_TTAFStock[TTAF_Qty],T_TTAFStock[RM_Code],$A77,T_TTAFStock[WeekIndex],54),BB77+'Grid_Incoming'!BC77-'Grid_Requirement'!BC77))</f>
        <v/>
      </c>
      <c r="BD77">
        <f>IF(COUNTIFS(T_StockCount[RM_Code],$A77,T_StockCount[WeekIndex],55)&gt;0,SUMIFS(T_StockCount[CountedQty],T_StockCount[RM_Code],$A77,T_StockCount[WeekIndex],55),IF((COUNTIFS(T_SelfStock[RM_Code],$A77,T_SelfStock[WeekIndex],55)&gt;0)*(COUNTIFS(T_TTAFStock[RM_Code],$A77,T_TTAFStock[WeekIndex],55)&gt;0)&gt;0,SUMIFS(T_SelfStock[Self_Qty],T_SelfStock[RM_Code],$A77,T_SelfStock[WeekIndex],55)+SUMIFS(T_TTAFStock[TTAF_Qty],T_TTAFStock[RM_Code],$A77,T_TTAFStock[WeekIndex],55),BC77+'Grid_Incoming'!BD77-'Grid_Requirement'!BD77))</f>
        <v/>
      </c>
      <c r="BE77">
        <f>IF(COUNTIFS(T_StockCount[RM_Code],$A77,T_StockCount[WeekIndex],56)&gt;0,SUMIFS(T_StockCount[CountedQty],T_StockCount[RM_Code],$A77,T_StockCount[WeekIndex],56),IF((COUNTIFS(T_SelfStock[RM_Code],$A77,T_SelfStock[WeekIndex],56)&gt;0)*(COUNTIFS(T_TTAFStock[RM_Code],$A77,T_TTAFStock[WeekIndex],56)&gt;0)&gt;0,SUMIFS(T_SelfStock[Self_Qty],T_SelfStock[RM_Code],$A77,T_SelfStock[WeekIndex],56)+SUMIFS(T_TTAFStock[TTAF_Qty],T_TTAFStock[RM_Code],$A77,T_TTAFStock[WeekIndex],56),BD77+'Grid_Incoming'!BE77-'Grid_Requirement'!BE77))</f>
        <v/>
      </c>
      <c r="BF77">
        <f>IF(COUNTIFS(T_StockCount[RM_Code],$A77,T_StockCount[WeekIndex],57)&gt;0,SUMIFS(T_StockCount[CountedQty],T_StockCount[RM_Code],$A77,T_StockCount[WeekIndex],57),IF((COUNTIFS(T_SelfStock[RM_Code],$A77,T_SelfStock[WeekIndex],57)&gt;0)*(COUNTIFS(T_TTAFStock[RM_Code],$A77,T_TTAFStock[WeekIndex],57)&gt;0)&gt;0,SUMIFS(T_SelfStock[Self_Qty],T_SelfStock[RM_Code],$A77,T_SelfStock[WeekIndex],57)+SUMIFS(T_TTAFStock[TTAF_Qty],T_TTAFStock[RM_Code],$A77,T_TTAFStock[WeekIndex],57),BE77+'Grid_Incoming'!BF77-'Grid_Requirement'!BF77))</f>
        <v/>
      </c>
      <c r="BG77">
        <f>IF(COUNTIFS(T_StockCount[RM_Code],$A77,T_StockCount[WeekIndex],58)&gt;0,SUMIFS(T_StockCount[CountedQty],T_StockCount[RM_Code],$A77,T_StockCount[WeekIndex],58),IF((COUNTIFS(T_SelfStock[RM_Code],$A77,T_SelfStock[WeekIndex],58)&gt;0)*(COUNTIFS(T_TTAFStock[RM_Code],$A77,T_TTAFStock[WeekIndex],58)&gt;0)&gt;0,SUMIFS(T_SelfStock[Self_Qty],T_SelfStock[RM_Code],$A77,T_SelfStock[WeekIndex],58)+SUMIFS(T_TTAFStock[TTAF_Qty],T_TTAFStock[RM_Code],$A77,T_TTAFStock[WeekIndex],58),BF77+'Grid_Incoming'!BG77-'Grid_Requirement'!BG77))</f>
        <v/>
      </c>
      <c r="BH77">
        <f>IF(COUNTIFS(T_StockCount[RM_Code],$A77,T_StockCount[WeekIndex],59)&gt;0,SUMIFS(T_StockCount[CountedQty],T_StockCount[RM_Code],$A77,T_StockCount[WeekIndex],59),IF((COUNTIFS(T_SelfStock[RM_Code],$A77,T_SelfStock[WeekIndex],59)&gt;0)*(COUNTIFS(T_TTAFStock[RM_Code],$A77,T_TTAFStock[WeekIndex],59)&gt;0)&gt;0,SUMIFS(T_SelfStock[Self_Qty],T_SelfStock[RM_Code],$A77,T_SelfStock[WeekIndex],59)+SUMIFS(T_TTAFStock[TTAF_Qty],T_TTAFStock[RM_Code],$A77,T_TTAFStock[WeekIndex],59),BG77+'Grid_Incoming'!BH77-'Grid_Requirement'!BH77))</f>
        <v/>
      </c>
      <c r="BI77">
        <f>IF(COUNTIFS(T_StockCount[RM_Code],$A77,T_StockCount[WeekIndex],60)&gt;0,SUMIFS(T_StockCount[CountedQty],T_StockCount[RM_Code],$A77,T_StockCount[WeekIndex],60),IF((COUNTIFS(T_SelfStock[RM_Code],$A77,T_SelfStock[WeekIndex],60)&gt;0)*(COUNTIFS(T_TTAFStock[RM_Code],$A77,T_TTAFStock[WeekIndex],60)&gt;0)&gt;0,SUMIFS(T_SelfStock[Self_Qty],T_SelfStock[RM_Code],$A77,T_SelfStock[WeekIndex],60)+SUMIFS(T_TTAFStock[TTAF_Qty],T_TTAFStock[RM_Code],$A77,T_TTAFStock[WeekIndex],60),BH77+'Grid_Incoming'!BI77-'Grid_Requirement'!BI77))</f>
        <v/>
      </c>
      <c r="BJ77">
        <f>IF(COUNTIFS(T_StockCount[RM_Code],$A77,T_StockCount[WeekIndex],61)&gt;0,SUMIFS(T_StockCount[CountedQty],T_StockCount[RM_Code],$A77,T_StockCount[WeekIndex],61),IF((COUNTIFS(T_SelfStock[RM_Code],$A77,T_SelfStock[WeekIndex],61)&gt;0)*(COUNTIFS(T_TTAFStock[RM_Code],$A77,T_TTAFStock[WeekIndex],61)&gt;0)&gt;0,SUMIFS(T_SelfStock[Self_Qty],T_SelfStock[RM_Code],$A77,T_SelfStock[WeekIndex],61)+SUMIFS(T_TTAFStock[TTAF_Qty],T_TTAFStock[RM_Code],$A77,T_TTAFStock[WeekIndex],61),BI77+'Grid_Incoming'!BJ77-'Grid_Requirement'!BJ77))</f>
        <v/>
      </c>
      <c r="BK77">
        <f>IF(COUNTIFS(T_StockCount[RM_Code],$A77,T_StockCount[WeekIndex],62)&gt;0,SUMIFS(T_StockCount[CountedQty],T_StockCount[RM_Code],$A77,T_StockCount[WeekIndex],62),IF((COUNTIFS(T_SelfStock[RM_Code],$A77,T_SelfStock[WeekIndex],62)&gt;0)*(COUNTIFS(T_TTAFStock[RM_Code],$A77,T_TTAFStock[WeekIndex],62)&gt;0)&gt;0,SUMIFS(T_SelfStock[Self_Qty],T_SelfStock[RM_Code],$A77,T_SelfStock[WeekIndex],62)+SUMIFS(T_TTAFStock[TTAF_Qty],T_TTAFStock[RM_Code],$A77,T_TTAFStock[WeekIndex],62),BJ77+'Grid_Incoming'!BK77-'Grid_Requirement'!BK77))</f>
        <v/>
      </c>
      <c r="BL77">
        <f>IF(COUNTIFS(T_StockCount[RM_Code],$A77,T_StockCount[WeekIndex],63)&gt;0,SUMIFS(T_StockCount[CountedQty],T_StockCount[RM_Code],$A77,T_StockCount[WeekIndex],63),IF((COUNTIFS(T_SelfStock[RM_Code],$A77,T_SelfStock[WeekIndex],63)&gt;0)*(COUNTIFS(T_TTAFStock[RM_Code],$A77,T_TTAFStock[WeekIndex],63)&gt;0)&gt;0,SUMIFS(T_SelfStock[Self_Qty],T_SelfStock[RM_Code],$A77,T_SelfStock[WeekIndex],63)+SUMIFS(T_TTAFStock[TTAF_Qty],T_TTAFStock[RM_Code],$A77,T_TTAFStock[WeekIndex],63),BK77+'Grid_Incoming'!BL77-'Grid_Requirement'!BL77))</f>
        <v/>
      </c>
      <c r="BM77">
        <f>IF(COUNTIFS(T_StockCount[RM_Code],$A77,T_StockCount[WeekIndex],64)&gt;0,SUMIFS(T_StockCount[CountedQty],T_StockCount[RM_Code],$A77,T_StockCount[WeekIndex],64),IF((COUNTIFS(T_SelfStock[RM_Code],$A77,T_SelfStock[WeekIndex],64)&gt;0)*(COUNTIFS(T_TTAFStock[RM_Code],$A77,T_TTAFStock[WeekIndex],64)&gt;0)&gt;0,SUMIFS(T_SelfStock[Self_Qty],T_SelfStock[RM_Code],$A77,T_SelfStock[WeekIndex],64)+SUMIFS(T_TTAFStock[TTAF_Qty],T_TTAFStock[RM_Code],$A77,T_TTAFStock[WeekIndex],64),BL77+'Grid_Incoming'!BM77-'Grid_Requirement'!BM77))</f>
        <v/>
      </c>
      <c r="BN77">
        <f>IF(COUNTIFS(T_StockCount[RM_Code],$A77,T_StockCount[WeekIndex],65)&gt;0,SUMIFS(T_StockCount[CountedQty],T_StockCount[RM_Code],$A77,T_StockCount[WeekIndex],65),IF((COUNTIFS(T_SelfStock[RM_Code],$A77,T_SelfStock[WeekIndex],65)&gt;0)*(COUNTIFS(T_TTAFStock[RM_Code],$A77,T_TTAFStock[WeekIndex],65)&gt;0)&gt;0,SUMIFS(T_SelfStock[Self_Qty],T_SelfStock[RM_Code],$A77,T_SelfStock[WeekIndex],65)+SUMIFS(T_TTAFStock[TTAF_Qty],T_TTAFStock[RM_Code],$A77,T_TTAFStock[WeekIndex],65),BM77+'Grid_Incoming'!BN77-'Grid_Requirement'!BN77))</f>
        <v/>
      </c>
      <c r="BO77">
        <f>IF(COUNTIFS(T_StockCount[RM_Code],$A77,T_StockCount[WeekIndex],66)&gt;0,SUMIFS(T_StockCount[CountedQty],T_StockCount[RM_Code],$A77,T_StockCount[WeekIndex],66),IF((COUNTIFS(T_SelfStock[RM_Code],$A77,T_SelfStock[WeekIndex],66)&gt;0)*(COUNTIFS(T_TTAFStock[RM_Code],$A77,T_TTAFStock[WeekIndex],66)&gt;0)&gt;0,SUMIFS(T_SelfStock[Self_Qty],T_SelfStock[RM_Code],$A77,T_SelfStock[WeekIndex],66)+SUMIFS(T_TTAFStock[TTAF_Qty],T_TTAFStock[RM_Code],$A77,T_TTAFStock[WeekIndex],66),BN77+'Grid_Incoming'!BO77-'Grid_Requirement'!BO77))</f>
        <v/>
      </c>
      <c r="BP77">
        <f>IF(COUNTIFS(T_StockCount[RM_Code],$A77,T_StockCount[WeekIndex],67)&gt;0,SUMIFS(T_StockCount[CountedQty],T_StockCount[RM_Code],$A77,T_StockCount[WeekIndex],67),IF((COUNTIFS(T_SelfStock[RM_Code],$A77,T_SelfStock[WeekIndex],67)&gt;0)*(COUNTIFS(T_TTAFStock[RM_Code],$A77,T_TTAFStock[WeekIndex],67)&gt;0)&gt;0,SUMIFS(T_SelfStock[Self_Qty],T_SelfStock[RM_Code],$A77,T_SelfStock[WeekIndex],67)+SUMIFS(T_TTAFStock[TTAF_Qty],T_TTAFStock[RM_Code],$A77,T_TTAFStock[WeekIndex],67),BO77+'Grid_Incoming'!BP77-'Grid_Requirement'!BP77))</f>
        <v/>
      </c>
      <c r="BQ77">
        <f>IF(COUNTIFS(T_StockCount[RM_Code],$A77,T_StockCount[WeekIndex],68)&gt;0,SUMIFS(T_StockCount[CountedQty],T_StockCount[RM_Code],$A77,T_StockCount[WeekIndex],68),IF((COUNTIFS(T_SelfStock[RM_Code],$A77,T_SelfStock[WeekIndex],68)&gt;0)*(COUNTIFS(T_TTAFStock[RM_Code],$A77,T_TTAFStock[WeekIndex],68)&gt;0)&gt;0,SUMIFS(T_SelfStock[Self_Qty],T_SelfStock[RM_Code],$A77,T_SelfStock[WeekIndex],68)+SUMIFS(T_TTAFStock[TTAF_Qty],T_TTAFStock[RM_Code],$A77,T_TTAFStock[WeekIndex],68),BP77+'Grid_Incoming'!BQ77-'Grid_Requirement'!BQ77))</f>
        <v/>
      </c>
      <c r="BR77">
        <f>IF(COUNTIFS(T_StockCount[RM_Code],$A77,T_StockCount[WeekIndex],69)&gt;0,SUMIFS(T_StockCount[CountedQty],T_StockCount[RM_Code],$A77,T_StockCount[WeekIndex],69),IF((COUNTIFS(T_SelfStock[RM_Code],$A77,T_SelfStock[WeekIndex],69)&gt;0)*(COUNTIFS(T_TTAFStock[RM_Code],$A77,T_TTAFStock[WeekIndex],69)&gt;0)&gt;0,SUMIFS(T_SelfStock[Self_Qty],T_SelfStock[RM_Code],$A77,T_SelfStock[WeekIndex],69)+SUMIFS(T_TTAFStock[TTAF_Qty],T_TTAFStock[RM_Code],$A77,T_TTAFStock[WeekIndex],69),BQ77+'Grid_Incoming'!BR77-'Grid_Requirement'!BR77))</f>
        <v/>
      </c>
      <c r="BS77">
        <f>IF(COUNTIFS(T_StockCount[RM_Code],$A77,T_StockCount[WeekIndex],70)&gt;0,SUMIFS(T_StockCount[CountedQty],T_StockCount[RM_Code],$A77,T_StockCount[WeekIndex],70),IF((COUNTIFS(T_SelfStock[RM_Code],$A77,T_SelfStock[WeekIndex],70)&gt;0)*(COUNTIFS(T_TTAFStock[RM_Code],$A77,T_TTAFStock[WeekIndex],70)&gt;0)&gt;0,SUMIFS(T_SelfStock[Self_Qty],T_SelfStock[RM_Code],$A77,T_SelfStock[WeekIndex],70)+SUMIFS(T_TTAFStock[TTAF_Qty],T_TTAFStock[RM_Code],$A77,T_TTAFStock[WeekIndex],70),BR77+'Grid_Incoming'!BS77-'Grid_Requirement'!BS77))</f>
        <v/>
      </c>
      <c r="BT77">
        <f>IF(COUNTIFS(T_StockCount[RM_Code],$A77,T_StockCount[WeekIndex],71)&gt;0,SUMIFS(T_StockCount[CountedQty],T_StockCount[RM_Code],$A77,T_StockCount[WeekIndex],71),IF((COUNTIFS(T_SelfStock[RM_Code],$A77,T_SelfStock[WeekIndex],71)&gt;0)*(COUNTIFS(T_TTAFStock[RM_Code],$A77,T_TTAFStock[WeekIndex],71)&gt;0)&gt;0,SUMIFS(T_SelfStock[Self_Qty],T_SelfStock[RM_Code],$A77,T_SelfStock[WeekIndex],71)+SUMIFS(T_TTAFStock[TTAF_Qty],T_TTAFStock[RM_Code],$A77,T_TTAFStock[WeekIndex],71),BS77+'Grid_Incoming'!BT77-'Grid_Requirement'!BT77))</f>
        <v/>
      </c>
      <c r="BU77">
        <f>IF(COUNTIFS(T_StockCount[RM_Code],$A77,T_StockCount[WeekIndex],72)&gt;0,SUMIFS(T_StockCount[CountedQty],T_StockCount[RM_Code],$A77,T_StockCount[WeekIndex],72),IF((COUNTIFS(T_SelfStock[RM_Code],$A77,T_SelfStock[WeekIndex],72)&gt;0)*(COUNTIFS(T_TTAFStock[RM_Code],$A77,T_TTAFStock[WeekIndex],72)&gt;0)&gt;0,SUMIFS(T_SelfStock[Self_Qty],T_SelfStock[RM_Code],$A77,T_SelfStock[WeekIndex],72)+SUMIFS(T_TTAFStock[TTAF_Qty],T_TTAFStock[RM_Code],$A77,T_TTAFStock[WeekIndex],72),BT77+'Grid_Incoming'!BU77-'Grid_Requirement'!BU77))</f>
        <v/>
      </c>
      <c r="BV77">
        <f>IF(COUNTIFS(T_StockCount[RM_Code],$A77,T_StockCount[WeekIndex],73)&gt;0,SUMIFS(T_StockCount[CountedQty],T_StockCount[RM_Code],$A77,T_StockCount[WeekIndex],73),IF((COUNTIFS(T_SelfStock[RM_Code],$A77,T_SelfStock[WeekIndex],73)&gt;0)*(COUNTIFS(T_TTAFStock[RM_Code],$A77,T_TTAFStock[WeekIndex],73)&gt;0)&gt;0,SUMIFS(T_SelfStock[Self_Qty],T_SelfStock[RM_Code],$A77,T_SelfStock[WeekIndex],73)+SUMIFS(T_TTAFStock[TTAF_Qty],T_TTAFStock[RM_Code],$A77,T_TTAFStock[WeekIndex],73),BU77+'Grid_Incoming'!BV77-'Grid_Requirement'!BV77))</f>
        <v/>
      </c>
      <c r="BW77">
        <f>IF(COUNTIFS(T_StockCount[RM_Code],$A77,T_StockCount[WeekIndex],74)&gt;0,SUMIFS(T_StockCount[CountedQty],T_StockCount[RM_Code],$A77,T_StockCount[WeekIndex],74),IF((COUNTIFS(T_SelfStock[RM_Code],$A77,T_SelfStock[WeekIndex],74)&gt;0)*(COUNTIFS(T_TTAFStock[RM_Code],$A77,T_TTAFStock[WeekIndex],74)&gt;0)&gt;0,SUMIFS(T_SelfStock[Self_Qty],T_SelfStock[RM_Code],$A77,T_SelfStock[WeekIndex],74)+SUMIFS(T_TTAFStock[TTAF_Qty],T_TTAFStock[RM_Code],$A77,T_TTAFStock[WeekIndex],74),BV77+'Grid_Incoming'!BW77-'Grid_Requirement'!BW77))</f>
        <v/>
      </c>
      <c r="BX77">
        <f>IF(COUNTIFS(T_StockCount[RM_Code],$A77,T_StockCount[WeekIndex],75)&gt;0,SUMIFS(T_StockCount[CountedQty],T_StockCount[RM_Code],$A77,T_StockCount[WeekIndex],75),IF((COUNTIFS(T_SelfStock[RM_Code],$A77,T_SelfStock[WeekIndex],75)&gt;0)*(COUNTIFS(T_TTAFStock[RM_Code],$A77,T_TTAFStock[WeekIndex],75)&gt;0)&gt;0,SUMIFS(T_SelfStock[Self_Qty],T_SelfStock[RM_Code],$A77,T_SelfStock[WeekIndex],75)+SUMIFS(T_TTAFStock[TTAF_Qty],T_TTAFStock[RM_Code],$A77,T_TTAFStock[WeekIndex],75),BW77+'Grid_Incoming'!BX77-'Grid_Requirement'!BX77))</f>
        <v/>
      </c>
      <c r="BY77">
        <f>IF(COUNTIFS(T_StockCount[RM_Code],$A77,T_StockCount[WeekIndex],76)&gt;0,SUMIFS(T_StockCount[CountedQty],T_StockCount[RM_Code],$A77,T_StockCount[WeekIndex],76),IF((COUNTIFS(T_SelfStock[RM_Code],$A77,T_SelfStock[WeekIndex],76)&gt;0)*(COUNTIFS(T_TTAFStock[RM_Code],$A77,T_TTAFStock[WeekIndex],76)&gt;0)&gt;0,SUMIFS(T_SelfStock[Self_Qty],T_SelfStock[RM_Code],$A77,T_SelfStock[WeekIndex],76)+SUMIFS(T_TTAFStock[TTAF_Qty],T_TTAFStock[RM_Code],$A77,T_TTAFStock[WeekIndex],76),BX77+'Grid_Incoming'!BY77-'Grid_Requirement'!BY77))</f>
        <v/>
      </c>
      <c r="BZ77">
        <f>IF(COUNTIFS(T_StockCount[RM_Code],$A77,T_StockCount[WeekIndex],77)&gt;0,SUMIFS(T_StockCount[CountedQty],T_StockCount[RM_Code],$A77,T_StockCount[WeekIndex],77),IF((COUNTIFS(T_SelfStock[RM_Code],$A77,T_SelfStock[WeekIndex],77)&gt;0)*(COUNTIFS(T_TTAFStock[RM_Code],$A77,T_TTAFStock[WeekIndex],77)&gt;0)&gt;0,SUMIFS(T_SelfStock[Self_Qty],T_SelfStock[RM_Code],$A77,T_SelfStock[WeekIndex],77)+SUMIFS(T_TTAFStock[TTAF_Qty],T_TTAFStock[RM_Code],$A77,T_TTAFStock[WeekIndex],77),BY77+'Grid_Incoming'!BZ77-'Grid_Requirement'!BZ77))</f>
        <v/>
      </c>
      <c r="CA77">
        <f>IF(COUNTIFS(T_StockCount[RM_Code],$A77,T_StockCount[WeekIndex],78)&gt;0,SUMIFS(T_StockCount[CountedQty],T_StockCount[RM_Code],$A77,T_StockCount[WeekIndex],78),IF((COUNTIFS(T_SelfStock[RM_Code],$A77,T_SelfStock[WeekIndex],78)&gt;0)*(COUNTIFS(T_TTAFStock[RM_Code],$A77,T_TTAFStock[WeekIndex],78)&gt;0)&gt;0,SUMIFS(T_SelfStock[Self_Qty],T_SelfStock[RM_Code],$A77,T_SelfStock[WeekIndex],78)+SUMIFS(T_TTAFStock[TTAF_Qty],T_TTAFStock[RM_Code],$A77,T_TTAFStock[WeekIndex],78),BZ77+'Grid_Incoming'!CA77-'Grid_Requirement'!CA77))</f>
        <v/>
      </c>
      <c r="CB77">
        <f>IF(COUNTIFS(T_StockCount[RM_Code],$A77,T_StockCount[WeekIndex],79)&gt;0,SUMIFS(T_StockCount[CountedQty],T_StockCount[RM_Code],$A77,T_StockCount[WeekIndex],79),IF((COUNTIFS(T_SelfStock[RM_Code],$A77,T_SelfStock[WeekIndex],79)&gt;0)*(COUNTIFS(T_TTAFStock[RM_Code],$A77,T_TTAFStock[WeekIndex],79)&gt;0)&gt;0,SUMIFS(T_SelfStock[Self_Qty],T_SelfStock[RM_Code],$A77,T_SelfStock[WeekIndex],79)+SUMIFS(T_TTAFStock[TTAF_Qty],T_TTAFStock[RM_Code],$A77,T_TTAFStock[WeekIndex],79),CA77+'Grid_Incoming'!CB77-'Grid_Requirement'!CB77))</f>
        <v/>
      </c>
      <c r="CC77">
        <f>IF(COUNTIFS(T_StockCount[RM_Code],$A77,T_StockCount[WeekIndex],80)&gt;0,SUMIFS(T_StockCount[CountedQty],T_StockCount[RM_Code],$A77,T_StockCount[WeekIndex],80),IF((COUNTIFS(T_SelfStock[RM_Code],$A77,T_SelfStock[WeekIndex],80)&gt;0)*(COUNTIFS(T_TTAFStock[RM_Code],$A77,T_TTAFStock[WeekIndex],80)&gt;0)&gt;0,SUMIFS(T_SelfStock[Self_Qty],T_SelfStock[RM_Code],$A77,T_SelfStock[WeekIndex],80)+SUMIFS(T_TTAFStock[TTAF_Qty],T_TTAFStock[RM_Code],$A77,T_TTAFStock[WeekIndex],80),CB77+'Grid_Incoming'!CC77-'Grid_Requirement'!CC77))</f>
        <v/>
      </c>
      <c r="CD77">
        <f>IF(COUNTIFS(T_StockCount[RM_Code],$A77,T_StockCount[WeekIndex],81)&gt;0,SUMIFS(T_StockCount[CountedQty],T_StockCount[RM_Code],$A77,T_StockCount[WeekIndex],81),IF((COUNTIFS(T_SelfStock[RM_Code],$A77,T_SelfStock[WeekIndex],81)&gt;0)*(COUNTIFS(T_TTAFStock[RM_Code],$A77,T_TTAFStock[WeekIndex],81)&gt;0)&gt;0,SUMIFS(T_SelfStock[Self_Qty],T_SelfStock[RM_Code],$A77,T_SelfStock[WeekIndex],81)+SUMIFS(T_TTAFStock[TTAF_Qty],T_TTAFStock[RM_Code],$A77,T_TTAFStock[WeekIndex],81),CC77+'Grid_Incoming'!CD77-'Grid_Requirement'!CD77))</f>
        <v/>
      </c>
      <c r="CE77">
        <f>IF(COUNTIFS(T_StockCount[RM_Code],$A77,T_StockCount[WeekIndex],82)&gt;0,SUMIFS(T_StockCount[CountedQty],T_StockCount[RM_Code],$A77,T_StockCount[WeekIndex],82),IF((COUNTIFS(T_SelfStock[RM_Code],$A77,T_SelfStock[WeekIndex],82)&gt;0)*(COUNTIFS(T_TTAFStock[RM_Code],$A77,T_TTAFStock[WeekIndex],82)&gt;0)&gt;0,SUMIFS(T_SelfStock[Self_Qty],T_SelfStock[RM_Code],$A77,T_SelfStock[WeekIndex],82)+SUMIFS(T_TTAFStock[TTAF_Qty],T_TTAFStock[RM_Code],$A77,T_TTAFStock[WeekIndex],82),CD77+'Grid_Incoming'!CE77-'Grid_Requirement'!CE77))</f>
        <v/>
      </c>
      <c r="CF77">
        <f>IF(COUNTIFS(T_StockCount[RM_Code],$A77,T_StockCount[WeekIndex],83)&gt;0,SUMIFS(T_StockCount[CountedQty],T_StockCount[RM_Code],$A77,T_StockCount[WeekIndex],83),IF((COUNTIFS(T_SelfStock[RM_Code],$A77,T_SelfStock[WeekIndex],83)&gt;0)*(COUNTIFS(T_TTAFStock[RM_Code],$A77,T_TTAFStock[WeekIndex],83)&gt;0)&gt;0,SUMIFS(T_SelfStock[Self_Qty],T_SelfStock[RM_Code],$A77,T_SelfStock[WeekIndex],83)+SUMIFS(T_TTAFStock[TTAF_Qty],T_TTAFStock[RM_Code],$A77,T_TTAFStock[WeekIndex],83),CE77+'Grid_Incoming'!CF77-'Grid_Requirement'!CF77))</f>
        <v/>
      </c>
      <c r="CG77">
        <f>IF(COUNTIFS(T_StockCount[RM_Code],$A77,T_StockCount[WeekIndex],84)&gt;0,SUMIFS(T_StockCount[CountedQty],T_StockCount[RM_Code],$A77,T_StockCount[WeekIndex],84),IF((COUNTIFS(T_SelfStock[RM_Code],$A77,T_SelfStock[WeekIndex],84)&gt;0)*(COUNTIFS(T_TTAFStock[RM_Code],$A77,T_TTAFStock[WeekIndex],84)&gt;0)&gt;0,SUMIFS(T_SelfStock[Self_Qty],T_SelfStock[RM_Code],$A77,T_SelfStock[WeekIndex],84)+SUMIFS(T_TTAFStock[TTAF_Qty],T_TTAFStock[RM_Code],$A77,T_TTAFStock[WeekIndex],84),CF77+'Grid_Incoming'!CG77-'Grid_Requirement'!CG77))</f>
        <v/>
      </c>
      <c r="CH77">
        <f>IF(COUNTIFS(T_StockCount[RM_Code],$A77,T_StockCount[WeekIndex],85)&gt;0,SUMIFS(T_StockCount[CountedQty],T_StockCount[RM_Code],$A77,T_StockCount[WeekIndex],85),IF((COUNTIFS(T_SelfStock[RM_Code],$A77,T_SelfStock[WeekIndex],85)&gt;0)*(COUNTIFS(T_TTAFStock[RM_Code],$A77,T_TTAFStock[WeekIndex],85)&gt;0)&gt;0,SUMIFS(T_SelfStock[Self_Qty],T_SelfStock[RM_Code],$A77,T_SelfStock[WeekIndex],85)+SUMIFS(T_TTAFStock[TTAF_Qty],T_TTAFStock[RM_Code],$A77,T_TTAFStock[WeekIndex],85),CG77+'Grid_Incoming'!CH77-'Grid_Requirement'!CH77))</f>
        <v/>
      </c>
      <c r="CI77">
        <f>IF(COUNTIFS(T_StockCount[RM_Code],$A77,T_StockCount[WeekIndex],86)&gt;0,SUMIFS(T_StockCount[CountedQty],T_StockCount[RM_Code],$A77,T_StockCount[WeekIndex],86),IF((COUNTIFS(T_SelfStock[RM_Code],$A77,T_SelfStock[WeekIndex],86)&gt;0)*(COUNTIFS(T_TTAFStock[RM_Code],$A77,T_TTAFStock[WeekIndex],86)&gt;0)&gt;0,SUMIFS(T_SelfStock[Self_Qty],T_SelfStock[RM_Code],$A77,T_SelfStock[WeekIndex],86)+SUMIFS(T_TTAFStock[TTAF_Qty],T_TTAFStock[RM_Code],$A77,T_TTAFStock[WeekIndex],86),CH77+'Grid_Incoming'!CI77-'Grid_Requirement'!CI77))</f>
        <v/>
      </c>
      <c r="CJ77">
        <f>IF(COUNTIFS(T_StockCount[RM_Code],$A77,T_StockCount[WeekIndex],87)&gt;0,SUMIFS(T_StockCount[CountedQty],T_StockCount[RM_Code],$A77,T_StockCount[WeekIndex],87),IF((COUNTIFS(T_SelfStock[RM_Code],$A77,T_SelfStock[WeekIndex],87)&gt;0)*(COUNTIFS(T_TTAFStock[RM_Code],$A77,T_TTAFStock[WeekIndex],87)&gt;0)&gt;0,SUMIFS(T_SelfStock[Self_Qty],T_SelfStock[RM_Code],$A77,T_SelfStock[WeekIndex],87)+SUMIFS(T_TTAFStock[TTAF_Qty],T_TTAFStock[RM_Code],$A77,T_TTAFStock[WeekIndex],87),CI77+'Grid_Incoming'!CJ77-'Grid_Requirement'!CJ77))</f>
        <v/>
      </c>
      <c r="CK77">
        <f>IF(COUNTIFS(T_StockCount[RM_Code],$A77,T_StockCount[WeekIndex],88)&gt;0,SUMIFS(T_StockCount[CountedQty],T_StockCount[RM_Code],$A77,T_StockCount[WeekIndex],88),IF((COUNTIFS(T_SelfStock[RM_Code],$A77,T_SelfStock[WeekIndex],88)&gt;0)*(COUNTIFS(T_TTAFStock[RM_Code],$A77,T_TTAFStock[WeekIndex],88)&gt;0)&gt;0,SUMIFS(T_SelfStock[Self_Qty],T_SelfStock[RM_Code],$A77,T_SelfStock[WeekIndex],88)+SUMIFS(T_TTAFStock[TTAF_Qty],T_TTAFStock[RM_Code],$A77,T_TTAFStock[WeekIndex],88),CJ77+'Grid_Incoming'!CK77-'Grid_Requirement'!CK77))</f>
        <v/>
      </c>
      <c r="CL77">
        <f>IF(COUNTIFS(T_StockCount[RM_Code],$A77,T_StockCount[WeekIndex],89)&gt;0,SUMIFS(T_StockCount[CountedQty],T_StockCount[RM_Code],$A77,T_StockCount[WeekIndex],89),IF((COUNTIFS(T_SelfStock[RM_Code],$A77,T_SelfStock[WeekIndex],89)&gt;0)*(COUNTIFS(T_TTAFStock[RM_Code],$A77,T_TTAFStock[WeekIndex],89)&gt;0)&gt;0,SUMIFS(T_SelfStock[Self_Qty],T_SelfStock[RM_Code],$A77,T_SelfStock[WeekIndex],89)+SUMIFS(T_TTAFStock[TTAF_Qty],T_TTAFStock[RM_Code],$A77,T_TTAFStock[WeekIndex],89),CK77+'Grid_Incoming'!CL77-'Grid_Requirement'!CL77))</f>
        <v/>
      </c>
      <c r="CM77">
        <f>IF(COUNTIFS(T_StockCount[RM_Code],$A77,T_StockCount[WeekIndex],90)&gt;0,SUMIFS(T_StockCount[CountedQty],T_StockCount[RM_Code],$A77,T_StockCount[WeekIndex],90),IF((COUNTIFS(T_SelfStock[RM_Code],$A77,T_SelfStock[WeekIndex],90)&gt;0)*(COUNTIFS(T_TTAFStock[RM_Code],$A77,T_TTAFStock[WeekIndex],90)&gt;0)&gt;0,SUMIFS(T_SelfStock[Self_Qty],T_SelfStock[RM_Code],$A77,T_SelfStock[WeekIndex],90)+SUMIFS(T_TTAFStock[TTAF_Qty],T_TTAFStock[RM_Code],$A77,T_TTAFStock[WeekIndex],90),CL77+'Grid_Incoming'!CM77-'Grid_Requirement'!CM77))</f>
        <v/>
      </c>
      <c r="CN77">
        <f>IF(COUNTIFS(T_StockCount[RM_Code],$A77,T_StockCount[WeekIndex],91)&gt;0,SUMIFS(T_StockCount[CountedQty],T_StockCount[RM_Code],$A77,T_StockCount[WeekIndex],91),IF((COUNTIFS(T_SelfStock[RM_Code],$A77,T_SelfStock[WeekIndex],91)&gt;0)*(COUNTIFS(T_TTAFStock[RM_Code],$A77,T_TTAFStock[WeekIndex],91)&gt;0)&gt;0,SUMIFS(T_SelfStock[Self_Qty],T_SelfStock[RM_Code],$A77,T_SelfStock[WeekIndex],91)+SUMIFS(T_TTAFStock[TTAF_Qty],T_TTAFStock[RM_Code],$A77,T_TTAFStock[WeekIndex],91),CM77+'Grid_Incoming'!CN77-'Grid_Requirement'!CN77))</f>
        <v/>
      </c>
      <c r="CO77">
        <f>IF(COUNTIFS(T_StockCount[RM_Code],$A77,T_StockCount[WeekIndex],92)&gt;0,SUMIFS(T_StockCount[CountedQty],T_StockCount[RM_Code],$A77,T_StockCount[WeekIndex],92),IF((COUNTIFS(T_SelfStock[RM_Code],$A77,T_SelfStock[WeekIndex],92)&gt;0)*(COUNTIFS(T_TTAFStock[RM_Code],$A77,T_TTAFStock[WeekIndex],92)&gt;0)&gt;0,SUMIFS(T_SelfStock[Self_Qty],T_SelfStock[RM_Code],$A77,T_SelfStock[WeekIndex],92)+SUMIFS(T_TTAFStock[TTAF_Qty],T_TTAFStock[RM_Code],$A77,T_TTAFStock[WeekIndex],92),CN77+'Grid_Incoming'!CO77-'Grid_Requirement'!CO77))</f>
        <v/>
      </c>
      <c r="CP77">
        <f>IF(COUNTIFS(T_StockCount[RM_Code],$A77,T_StockCount[WeekIndex],93)&gt;0,SUMIFS(T_StockCount[CountedQty],T_StockCount[RM_Code],$A77,T_StockCount[WeekIndex],93),IF((COUNTIFS(T_SelfStock[RM_Code],$A77,T_SelfStock[WeekIndex],93)&gt;0)*(COUNTIFS(T_TTAFStock[RM_Code],$A77,T_TTAFStock[WeekIndex],93)&gt;0)&gt;0,SUMIFS(T_SelfStock[Self_Qty],T_SelfStock[RM_Code],$A77,T_SelfStock[WeekIndex],93)+SUMIFS(T_TTAFStock[TTAF_Qty],T_TTAFStock[RM_Code],$A77,T_TTAFStock[WeekIndex],93),CO77+'Grid_Incoming'!CP77-'Grid_Requirement'!CP77))</f>
        <v/>
      </c>
      <c r="CQ77">
        <f>IF(COUNTIFS(T_StockCount[RM_Code],$A77,T_StockCount[WeekIndex],94)&gt;0,SUMIFS(T_StockCount[CountedQty],T_StockCount[RM_Code],$A77,T_StockCount[WeekIndex],94),IF((COUNTIFS(T_SelfStock[RM_Code],$A77,T_SelfStock[WeekIndex],94)&gt;0)*(COUNTIFS(T_TTAFStock[RM_Code],$A77,T_TTAFStock[WeekIndex],94)&gt;0)&gt;0,SUMIFS(T_SelfStock[Self_Qty],T_SelfStock[RM_Code],$A77,T_SelfStock[WeekIndex],94)+SUMIFS(T_TTAFStock[TTAF_Qty],T_TTAFStock[RM_Code],$A77,T_TTAFStock[WeekIndex],94),CP77+'Grid_Incoming'!CQ77-'Grid_Requirement'!CQ77))</f>
        <v/>
      </c>
      <c r="CR77">
        <f>IF(COUNTIFS(T_StockCount[RM_Code],$A77,T_StockCount[WeekIndex],95)&gt;0,SUMIFS(T_StockCount[CountedQty],T_StockCount[RM_Code],$A77,T_StockCount[WeekIndex],95),IF((COUNTIFS(T_SelfStock[RM_Code],$A77,T_SelfStock[WeekIndex],95)&gt;0)*(COUNTIFS(T_TTAFStock[RM_Code],$A77,T_TTAFStock[WeekIndex],95)&gt;0)&gt;0,SUMIFS(T_SelfStock[Self_Qty],T_SelfStock[RM_Code],$A77,T_SelfStock[WeekIndex],95)+SUMIFS(T_TTAFStock[TTAF_Qty],T_TTAFStock[RM_Code],$A77,T_TTAFStock[WeekIndex],95),CQ77+'Grid_Incoming'!CR77-'Grid_Requirement'!CR77))</f>
        <v/>
      </c>
      <c r="CS77">
        <f>IF(COUNTIFS(T_StockCount[RM_Code],$A77,T_StockCount[WeekIndex],96)&gt;0,SUMIFS(T_StockCount[CountedQty],T_StockCount[RM_Code],$A77,T_StockCount[WeekIndex],96),IF((COUNTIFS(T_SelfStock[RM_Code],$A77,T_SelfStock[WeekIndex],96)&gt;0)*(COUNTIFS(T_TTAFStock[RM_Code],$A77,T_TTAFStock[WeekIndex],96)&gt;0)&gt;0,SUMIFS(T_SelfStock[Self_Qty],T_SelfStock[RM_Code],$A77,T_SelfStock[WeekIndex],96)+SUMIFS(T_TTAFStock[TTAF_Qty],T_TTAFStock[RM_Code],$A77,T_TTAFStock[WeekIndex],96),CR77+'Grid_Incoming'!CS77-'Grid_Requirement'!CS77))</f>
        <v/>
      </c>
      <c r="CT77">
        <f>IF(COUNTIFS(T_StockCount[RM_Code],$A77,T_StockCount[WeekIndex],97)&gt;0,SUMIFS(T_StockCount[CountedQty],T_StockCount[RM_Code],$A77,T_StockCount[WeekIndex],97),IF((COUNTIFS(T_SelfStock[RM_Code],$A77,T_SelfStock[WeekIndex],97)&gt;0)*(COUNTIFS(T_TTAFStock[RM_Code],$A77,T_TTAFStock[WeekIndex],97)&gt;0)&gt;0,SUMIFS(T_SelfStock[Self_Qty],T_SelfStock[RM_Code],$A77,T_SelfStock[WeekIndex],97)+SUMIFS(T_TTAFStock[TTAF_Qty],T_TTAFStock[RM_Code],$A77,T_TTAFStock[WeekIndex],97),CS77+'Grid_Incoming'!CT77-'Grid_Requirement'!CT77))</f>
        <v/>
      </c>
      <c r="CU77">
        <f>IF(COUNTIFS(T_StockCount[RM_Code],$A77,T_StockCount[WeekIndex],98)&gt;0,SUMIFS(T_StockCount[CountedQty],T_StockCount[RM_Code],$A77,T_StockCount[WeekIndex],98),IF((COUNTIFS(T_SelfStock[RM_Code],$A77,T_SelfStock[WeekIndex],98)&gt;0)*(COUNTIFS(T_TTAFStock[RM_Code],$A77,T_TTAFStock[WeekIndex],98)&gt;0)&gt;0,SUMIFS(T_SelfStock[Self_Qty],T_SelfStock[RM_Code],$A77,T_SelfStock[WeekIndex],98)+SUMIFS(T_TTAFStock[TTAF_Qty],T_TTAFStock[RM_Code],$A77,T_TTAFStock[WeekIndex],98),CT77+'Grid_Incoming'!CU77-'Grid_Requirement'!CU77))</f>
        <v/>
      </c>
      <c r="CV77">
        <f>IF(COUNTIFS(T_StockCount[RM_Code],$A77,T_StockCount[WeekIndex],99)&gt;0,SUMIFS(T_StockCount[CountedQty],T_StockCount[RM_Code],$A77,T_StockCount[WeekIndex],99),IF((COUNTIFS(T_SelfStock[RM_Code],$A77,T_SelfStock[WeekIndex],99)&gt;0)*(COUNTIFS(T_TTAFStock[RM_Code],$A77,T_TTAFStock[WeekIndex],99)&gt;0)&gt;0,SUMIFS(T_SelfStock[Self_Qty],T_SelfStock[RM_Code],$A77,T_SelfStock[WeekIndex],99)+SUMIFS(T_TTAFStock[TTAF_Qty],T_TTAFStock[RM_Code],$A77,T_TTAFStock[WeekIndex],99),CU77+'Grid_Incoming'!CV77-'Grid_Requirement'!CV77))</f>
        <v/>
      </c>
      <c r="CW77">
        <f>IF(COUNTIFS(T_StockCount[RM_Code],$A77,T_StockCount[WeekIndex],100)&gt;0,SUMIFS(T_StockCount[CountedQty],T_StockCount[RM_Code],$A77,T_StockCount[WeekIndex],100),IF((COUNTIFS(T_SelfStock[RM_Code],$A77,T_SelfStock[WeekIndex],100)&gt;0)*(COUNTIFS(T_TTAFStock[RM_Code],$A77,T_TTAFStock[WeekIndex],100)&gt;0)&gt;0,SUMIFS(T_SelfStock[Self_Qty],T_SelfStock[RM_Code],$A77,T_SelfStock[WeekIndex],100)+SUMIFS(T_TTAFStock[TTAF_Qty],T_TTAFStock[RM_Code],$A77,T_TTAFStock[WeekIndex],100),CV77+'Grid_Incoming'!CW77-'Grid_Requirement'!CW77))</f>
        <v/>
      </c>
      <c r="CX77">
        <f>IF(COUNTIFS(T_StockCount[RM_Code],$A77,T_StockCount[WeekIndex],101)&gt;0,SUMIFS(T_StockCount[CountedQty],T_StockCount[RM_Code],$A77,T_StockCount[WeekIndex],101),IF((COUNTIFS(T_SelfStock[RM_Code],$A77,T_SelfStock[WeekIndex],101)&gt;0)*(COUNTIFS(T_TTAFStock[RM_Code],$A77,T_TTAFStock[WeekIndex],101)&gt;0)&gt;0,SUMIFS(T_SelfStock[Self_Qty],T_SelfStock[RM_Code],$A77,T_SelfStock[WeekIndex],101)+SUMIFS(T_TTAFStock[TTAF_Qty],T_TTAFStock[RM_Code],$A77,T_TTAFStock[WeekIndex],101),CW77+'Grid_Incoming'!CX77-'Grid_Requirement'!CX77))</f>
        <v/>
      </c>
      <c r="CY77">
        <f>IF(COUNTIFS(T_StockCount[RM_Code],$A77,T_StockCount[WeekIndex],102)&gt;0,SUMIFS(T_StockCount[CountedQty],T_StockCount[RM_Code],$A77,T_StockCount[WeekIndex],102),IF((COUNTIFS(T_SelfStock[RM_Code],$A77,T_SelfStock[WeekIndex],102)&gt;0)*(COUNTIFS(T_TTAFStock[RM_Code],$A77,T_TTAFStock[WeekIndex],102)&gt;0)&gt;0,SUMIFS(T_SelfStock[Self_Qty],T_SelfStock[RM_Code],$A77,T_SelfStock[WeekIndex],102)+SUMIFS(T_TTAFStock[TTAF_Qty],T_TTAFStock[RM_Code],$A77,T_TTAFStock[WeekIndex],102),CX77+'Grid_Incoming'!CY77-'Grid_Requirement'!CY77))</f>
        <v/>
      </c>
      <c r="CZ77">
        <f>IF(COUNTIFS(T_StockCount[RM_Code],$A77,T_StockCount[WeekIndex],103)&gt;0,SUMIFS(T_StockCount[CountedQty],T_StockCount[RM_Code],$A77,T_StockCount[WeekIndex],103),IF((COUNTIFS(T_SelfStock[RM_Code],$A77,T_SelfStock[WeekIndex],103)&gt;0)*(COUNTIFS(T_TTAFStock[RM_Code],$A77,T_TTAFStock[WeekIndex],103)&gt;0)&gt;0,SUMIFS(T_SelfStock[Self_Qty],T_SelfStock[RM_Code],$A77,T_SelfStock[WeekIndex],103)+SUMIFS(T_TTAFStock[TTAF_Qty],T_TTAFStock[RM_Code],$A77,T_TTAFStock[WeekIndex],103),CY77+'Grid_Incoming'!CZ77-'Grid_Requirement'!CZ77))</f>
        <v/>
      </c>
      <c r="DA77">
        <f>IF(COUNTIFS(T_StockCount[RM_Code],$A77,T_StockCount[WeekIndex],104)&gt;0,SUMIFS(T_StockCount[CountedQty],T_StockCount[RM_Code],$A77,T_StockCount[WeekIndex],104),IF((COUNTIFS(T_SelfStock[RM_Code],$A77,T_SelfStock[WeekIndex],104)&gt;0)*(COUNTIFS(T_TTAFStock[RM_Code],$A77,T_TTAFStock[WeekIndex],104)&gt;0)&gt;0,SUMIFS(T_SelfStock[Self_Qty],T_SelfStock[RM_Code],$A77,T_SelfStock[WeekIndex],104)+SUMIFS(T_TTAFStock[TTAF_Qty],T_TTAFStock[RM_Code],$A77,T_TTAFStock[WeekIndex],104),CZ77+'Grid_Incoming'!DA77-'Grid_Requirement'!DA77))</f>
        <v/>
      </c>
    </row>
    <row r="78">
      <c r="A78" t="inlineStr">
        <is>
          <t>Chem-1610</t>
        </is>
      </c>
      <c r="B78">
        <f>IF(COUNTIFS(T_StockCount[RM_Code],$A78,T_StockCount[WeekIndex],1)&gt;0,SUMIFS(T_StockCount[CountedQty],T_StockCount[RM_Code],$A78,T_StockCount[WeekIndex],1),IF((COUNTIFS(T_SelfStock[RM_Code],$A78,T_SelfStock[WeekIndex],1)&gt;0)*(COUNTIFS(T_TTAFStock[RM_Code],$A78,T_TTAFStock[WeekIndex],1)&gt;0)&gt;0,SUMIFS(T_SelfStock[Self_Qty],T_SelfStock[RM_Code],$A78,T_SelfStock[WeekIndex],1)+SUMIFS(T_TTAFStock[TTAF_Qty],T_TTAFStock[RM_Code],$A78,T_TTAFStock[WeekIndex],1),IFERROR(INDEX(T_OpeningStock[Opening_Qty],MATCH($A78,T_OpeningStock[RM_Code],0)),0)+'Grid_Incoming'!B78-'Grid_Requirement'!B78))</f>
        <v/>
      </c>
      <c r="C78">
        <f>IF(COUNTIFS(T_StockCount[RM_Code],$A78,T_StockCount[WeekIndex],2)&gt;0,SUMIFS(T_StockCount[CountedQty],T_StockCount[RM_Code],$A78,T_StockCount[WeekIndex],2),IF((COUNTIFS(T_SelfStock[RM_Code],$A78,T_SelfStock[WeekIndex],2)&gt;0)*(COUNTIFS(T_TTAFStock[RM_Code],$A78,T_TTAFStock[WeekIndex],2)&gt;0)&gt;0,SUMIFS(T_SelfStock[Self_Qty],T_SelfStock[RM_Code],$A78,T_SelfStock[WeekIndex],2)+SUMIFS(T_TTAFStock[TTAF_Qty],T_TTAFStock[RM_Code],$A78,T_TTAFStock[WeekIndex],2),B78+'Grid_Incoming'!C78-'Grid_Requirement'!C78))</f>
        <v/>
      </c>
      <c r="D78">
        <f>IF(COUNTIFS(T_StockCount[RM_Code],$A78,T_StockCount[WeekIndex],3)&gt;0,SUMIFS(T_StockCount[CountedQty],T_StockCount[RM_Code],$A78,T_StockCount[WeekIndex],3),IF((COUNTIFS(T_SelfStock[RM_Code],$A78,T_SelfStock[WeekIndex],3)&gt;0)*(COUNTIFS(T_TTAFStock[RM_Code],$A78,T_TTAFStock[WeekIndex],3)&gt;0)&gt;0,SUMIFS(T_SelfStock[Self_Qty],T_SelfStock[RM_Code],$A78,T_SelfStock[WeekIndex],3)+SUMIFS(T_TTAFStock[TTAF_Qty],T_TTAFStock[RM_Code],$A78,T_TTAFStock[WeekIndex],3),C78+'Grid_Incoming'!D78-'Grid_Requirement'!D78))</f>
        <v/>
      </c>
      <c r="E78">
        <f>IF(COUNTIFS(T_StockCount[RM_Code],$A78,T_StockCount[WeekIndex],4)&gt;0,SUMIFS(T_StockCount[CountedQty],T_StockCount[RM_Code],$A78,T_StockCount[WeekIndex],4),IF((COUNTIFS(T_SelfStock[RM_Code],$A78,T_SelfStock[WeekIndex],4)&gt;0)*(COUNTIFS(T_TTAFStock[RM_Code],$A78,T_TTAFStock[WeekIndex],4)&gt;0)&gt;0,SUMIFS(T_SelfStock[Self_Qty],T_SelfStock[RM_Code],$A78,T_SelfStock[WeekIndex],4)+SUMIFS(T_TTAFStock[TTAF_Qty],T_TTAFStock[RM_Code],$A78,T_TTAFStock[WeekIndex],4),D78+'Grid_Incoming'!E78-'Grid_Requirement'!E78))</f>
        <v/>
      </c>
      <c r="F78">
        <f>IF(COUNTIFS(T_StockCount[RM_Code],$A78,T_StockCount[WeekIndex],5)&gt;0,SUMIFS(T_StockCount[CountedQty],T_StockCount[RM_Code],$A78,T_StockCount[WeekIndex],5),IF((COUNTIFS(T_SelfStock[RM_Code],$A78,T_SelfStock[WeekIndex],5)&gt;0)*(COUNTIFS(T_TTAFStock[RM_Code],$A78,T_TTAFStock[WeekIndex],5)&gt;0)&gt;0,SUMIFS(T_SelfStock[Self_Qty],T_SelfStock[RM_Code],$A78,T_SelfStock[WeekIndex],5)+SUMIFS(T_TTAFStock[TTAF_Qty],T_TTAFStock[RM_Code],$A78,T_TTAFStock[WeekIndex],5),E78+'Grid_Incoming'!F78-'Grid_Requirement'!F78))</f>
        <v/>
      </c>
      <c r="G78">
        <f>IF(COUNTIFS(T_StockCount[RM_Code],$A78,T_StockCount[WeekIndex],6)&gt;0,SUMIFS(T_StockCount[CountedQty],T_StockCount[RM_Code],$A78,T_StockCount[WeekIndex],6),IF((COUNTIFS(T_SelfStock[RM_Code],$A78,T_SelfStock[WeekIndex],6)&gt;0)*(COUNTIFS(T_TTAFStock[RM_Code],$A78,T_TTAFStock[WeekIndex],6)&gt;0)&gt;0,SUMIFS(T_SelfStock[Self_Qty],T_SelfStock[RM_Code],$A78,T_SelfStock[WeekIndex],6)+SUMIFS(T_TTAFStock[TTAF_Qty],T_TTAFStock[RM_Code],$A78,T_TTAFStock[WeekIndex],6),F78+'Grid_Incoming'!G78-'Grid_Requirement'!G78))</f>
        <v/>
      </c>
      <c r="H78">
        <f>IF(COUNTIFS(T_StockCount[RM_Code],$A78,T_StockCount[WeekIndex],7)&gt;0,SUMIFS(T_StockCount[CountedQty],T_StockCount[RM_Code],$A78,T_StockCount[WeekIndex],7),IF((COUNTIFS(T_SelfStock[RM_Code],$A78,T_SelfStock[WeekIndex],7)&gt;0)*(COUNTIFS(T_TTAFStock[RM_Code],$A78,T_TTAFStock[WeekIndex],7)&gt;0)&gt;0,SUMIFS(T_SelfStock[Self_Qty],T_SelfStock[RM_Code],$A78,T_SelfStock[WeekIndex],7)+SUMIFS(T_TTAFStock[TTAF_Qty],T_TTAFStock[RM_Code],$A78,T_TTAFStock[WeekIndex],7),G78+'Grid_Incoming'!H78-'Grid_Requirement'!H78))</f>
        <v/>
      </c>
      <c r="I78">
        <f>IF(COUNTIFS(T_StockCount[RM_Code],$A78,T_StockCount[WeekIndex],8)&gt;0,SUMIFS(T_StockCount[CountedQty],T_StockCount[RM_Code],$A78,T_StockCount[WeekIndex],8),IF((COUNTIFS(T_SelfStock[RM_Code],$A78,T_SelfStock[WeekIndex],8)&gt;0)*(COUNTIFS(T_TTAFStock[RM_Code],$A78,T_TTAFStock[WeekIndex],8)&gt;0)&gt;0,SUMIFS(T_SelfStock[Self_Qty],T_SelfStock[RM_Code],$A78,T_SelfStock[WeekIndex],8)+SUMIFS(T_TTAFStock[TTAF_Qty],T_TTAFStock[RM_Code],$A78,T_TTAFStock[WeekIndex],8),H78+'Grid_Incoming'!I78-'Grid_Requirement'!I78))</f>
        <v/>
      </c>
      <c r="J78">
        <f>IF(COUNTIFS(T_StockCount[RM_Code],$A78,T_StockCount[WeekIndex],9)&gt;0,SUMIFS(T_StockCount[CountedQty],T_StockCount[RM_Code],$A78,T_StockCount[WeekIndex],9),IF((COUNTIFS(T_SelfStock[RM_Code],$A78,T_SelfStock[WeekIndex],9)&gt;0)*(COUNTIFS(T_TTAFStock[RM_Code],$A78,T_TTAFStock[WeekIndex],9)&gt;0)&gt;0,SUMIFS(T_SelfStock[Self_Qty],T_SelfStock[RM_Code],$A78,T_SelfStock[WeekIndex],9)+SUMIFS(T_TTAFStock[TTAF_Qty],T_TTAFStock[RM_Code],$A78,T_TTAFStock[WeekIndex],9),I78+'Grid_Incoming'!J78-'Grid_Requirement'!J78))</f>
        <v/>
      </c>
      <c r="K78">
        <f>IF(COUNTIFS(T_StockCount[RM_Code],$A78,T_StockCount[WeekIndex],10)&gt;0,SUMIFS(T_StockCount[CountedQty],T_StockCount[RM_Code],$A78,T_StockCount[WeekIndex],10),IF((COUNTIFS(T_SelfStock[RM_Code],$A78,T_SelfStock[WeekIndex],10)&gt;0)*(COUNTIFS(T_TTAFStock[RM_Code],$A78,T_TTAFStock[WeekIndex],10)&gt;0)&gt;0,SUMIFS(T_SelfStock[Self_Qty],T_SelfStock[RM_Code],$A78,T_SelfStock[WeekIndex],10)+SUMIFS(T_TTAFStock[TTAF_Qty],T_TTAFStock[RM_Code],$A78,T_TTAFStock[WeekIndex],10),J78+'Grid_Incoming'!K78-'Grid_Requirement'!K78))</f>
        <v/>
      </c>
      <c r="L78">
        <f>IF(COUNTIFS(T_StockCount[RM_Code],$A78,T_StockCount[WeekIndex],11)&gt;0,SUMIFS(T_StockCount[CountedQty],T_StockCount[RM_Code],$A78,T_StockCount[WeekIndex],11),IF((COUNTIFS(T_SelfStock[RM_Code],$A78,T_SelfStock[WeekIndex],11)&gt;0)*(COUNTIFS(T_TTAFStock[RM_Code],$A78,T_TTAFStock[WeekIndex],11)&gt;0)&gt;0,SUMIFS(T_SelfStock[Self_Qty],T_SelfStock[RM_Code],$A78,T_SelfStock[WeekIndex],11)+SUMIFS(T_TTAFStock[TTAF_Qty],T_TTAFStock[RM_Code],$A78,T_TTAFStock[WeekIndex],11),K78+'Grid_Incoming'!L78-'Grid_Requirement'!L78))</f>
        <v/>
      </c>
      <c r="M78">
        <f>IF(COUNTIFS(T_StockCount[RM_Code],$A78,T_StockCount[WeekIndex],12)&gt;0,SUMIFS(T_StockCount[CountedQty],T_StockCount[RM_Code],$A78,T_StockCount[WeekIndex],12),IF((COUNTIFS(T_SelfStock[RM_Code],$A78,T_SelfStock[WeekIndex],12)&gt;0)*(COUNTIFS(T_TTAFStock[RM_Code],$A78,T_TTAFStock[WeekIndex],12)&gt;0)&gt;0,SUMIFS(T_SelfStock[Self_Qty],T_SelfStock[RM_Code],$A78,T_SelfStock[WeekIndex],12)+SUMIFS(T_TTAFStock[TTAF_Qty],T_TTAFStock[RM_Code],$A78,T_TTAFStock[WeekIndex],12),L78+'Grid_Incoming'!M78-'Grid_Requirement'!M78))</f>
        <v/>
      </c>
      <c r="N78">
        <f>IF(COUNTIFS(T_StockCount[RM_Code],$A78,T_StockCount[WeekIndex],13)&gt;0,SUMIFS(T_StockCount[CountedQty],T_StockCount[RM_Code],$A78,T_StockCount[WeekIndex],13),IF((COUNTIFS(T_SelfStock[RM_Code],$A78,T_SelfStock[WeekIndex],13)&gt;0)*(COUNTIFS(T_TTAFStock[RM_Code],$A78,T_TTAFStock[WeekIndex],13)&gt;0)&gt;0,SUMIFS(T_SelfStock[Self_Qty],T_SelfStock[RM_Code],$A78,T_SelfStock[WeekIndex],13)+SUMIFS(T_TTAFStock[TTAF_Qty],T_TTAFStock[RM_Code],$A78,T_TTAFStock[WeekIndex],13),M78+'Grid_Incoming'!N78-'Grid_Requirement'!N78))</f>
        <v/>
      </c>
      <c r="O78">
        <f>IF(COUNTIFS(T_StockCount[RM_Code],$A78,T_StockCount[WeekIndex],14)&gt;0,SUMIFS(T_StockCount[CountedQty],T_StockCount[RM_Code],$A78,T_StockCount[WeekIndex],14),IF((COUNTIFS(T_SelfStock[RM_Code],$A78,T_SelfStock[WeekIndex],14)&gt;0)*(COUNTIFS(T_TTAFStock[RM_Code],$A78,T_TTAFStock[WeekIndex],14)&gt;0)&gt;0,SUMIFS(T_SelfStock[Self_Qty],T_SelfStock[RM_Code],$A78,T_SelfStock[WeekIndex],14)+SUMIFS(T_TTAFStock[TTAF_Qty],T_TTAFStock[RM_Code],$A78,T_TTAFStock[WeekIndex],14),N78+'Grid_Incoming'!O78-'Grid_Requirement'!O78))</f>
        <v/>
      </c>
      <c r="P78">
        <f>IF(COUNTIFS(T_StockCount[RM_Code],$A78,T_StockCount[WeekIndex],15)&gt;0,SUMIFS(T_StockCount[CountedQty],T_StockCount[RM_Code],$A78,T_StockCount[WeekIndex],15),IF((COUNTIFS(T_SelfStock[RM_Code],$A78,T_SelfStock[WeekIndex],15)&gt;0)*(COUNTIFS(T_TTAFStock[RM_Code],$A78,T_TTAFStock[WeekIndex],15)&gt;0)&gt;0,SUMIFS(T_SelfStock[Self_Qty],T_SelfStock[RM_Code],$A78,T_SelfStock[WeekIndex],15)+SUMIFS(T_TTAFStock[TTAF_Qty],T_TTAFStock[RM_Code],$A78,T_TTAFStock[WeekIndex],15),O78+'Grid_Incoming'!P78-'Grid_Requirement'!P78))</f>
        <v/>
      </c>
      <c r="Q78">
        <f>IF(COUNTIFS(T_StockCount[RM_Code],$A78,T_StockCount[WeekIndex],16)&gt;0,SUMIFS(T_StockCount[CountedQty],T_StockCount[RM_Code],$A78,T_StockCount[WeekIndex],16),IF((COUNTIFS(T_SelfStock[RM_Code],$A78,T_SelfStock[WeekIndex],16)&gt;0)*(COUNTIFS(T_TTAFStock[RM_Code],$A78,T_TTAFStock[WeekIndex],16)&gt;0)&gt;0,SUMIFS(T_SelfStock[Self_Qty],T_SelfStock[RM_Code],$A78,T_SelfStock[WeekIndex],16)+SUMIFS(T_TTAFStock[TTAF_Qty],T_TTAFStock[RM_Code],$A78,T_TTAFStock[WeekIndex],16),P78+'Grid_Incoming'!Q78-'Grid_Requirement'!Q78))</f>
        <v/>
      </c>
      <c r="R78">
        <f>IF(COUNTIFS(T_StockCount[RM_Code],$A78,T_StockCount[WeekIndex],17)&gt;0,SUMIFS(T_StockCount[CountedQty],T_StockCount[RM_Code],$A78,T_StockCount[WeekIndex],17),IF((COUNTIFS(T_SelfStock[RM_Code],$A78,T_SelfStock[WeekIndex],17)&gt;0)*(COUNTIFS(T_TTAFStock[RM_Code],$A78,T_TTAFStock[WeekIndex],17)&gt;0)&gt;0,SUMIFS(T_SelfStock[Self_Qty],T_SelfStock[RM_Code],$A78,T_SelfStock[WeekIndex],17)+SUMIFS(T_TTAFStock[TTAF_Qty],T_TTAFStock[RM_Code],$A78,T_TTAFStock[WeekIndex],17),Q78+'Grid_Incoming'!R78-'Grid_Requirement'!R78))</f>
        <v/>
      </c>
      <c r="S78">
        <f>IF(COUNTIFS(T_StockCount[RM_Code],$A78,T_StockCount[WeekIndex],18)&gt;0,SUMIFS(T_StockCount[CountedQty],T_StockCount[RM_Code],$A78,T_StockCount[WeekIndex],18),IF((COUNTIFS(T_SelfStock[RM_Code],$A78,T_SelfStock[WeekIndex],18)&gt;0)*(COUNTIFS(T_TTAFStock[RM_Code],$A78,T_TTAFStock[WeekIndex],18)&gt;0)&gt;0,SUMIFS(T_SelfStock[Self_Qty],T_SelfStock[RM_Code],$A78,T_SelfStock[WeekIndex],18)+SUMIFS(T_TTAFStock[TTAF_Qty],T_TTAFStock[RM_Code],$A78,T_TTAFStock[WeekIndex],18),R78+'Grid_Incoming'!S78-'Grid_Requirement'!S78))</f>
        <v/>
      </c>
      <c r="T78">
        <f>IF(COUNTIFS(T_StockCount[RM_Code],$A78,T_StockCount[WeekIndex],19)&gt;0,SUMIFS(T_StockCount[CountedQty],T_StockCount[RM_Code],$A78,T_StockCount[WeekIndex],19),IF((COUNTIFS(T_SelfStock[RM_Code],$A78,T_SelfStock[WeekIndex],19)&gt;0)*(COUNTIFS(T_TTAFStock[RM_Code],$A78,T_TTAFStock[WeekIndex],19)&gt;0)&gt;0,SUMIFS(T_SelfStock[Self_Qty],T_SelfStock[RM_Code],$A78,T_SelfStock[WeekIndex],19)+SUMIFS(T_TTAFStock[TTAF_Qty],T_TTAFStock[RM_Code],$A78,T_TTAFStock[WeekIndex],19),S78+'Grid_Incoming'!T78-'Grid_Requirement'!T78))</f>
        <v/>
      </c>
      <c r="U78">
        <f>IF(COUNTIFS(T_StockCount[RM_Code],$A78,T_StockCount[WeekIndex],20)&gt;0,SUMIFS(T_StockCount[CountedQty],T_StockCount[RM_Code],$A78,T_StockCount[WeekIndex],20),IF((COUNTIFS(T_SelfStock[RM_Code],$A78,T_SelfStock[WeekIndex],20)&gt;0)*(COUNTIFS(T_TTAFStock[RM_Code],$A78,T_TTAFStock[WeekIndex],20)&gt;0)&gt;0,SUMIFS(T_SelfStock[Self_Qty],T_SelfStock[RM_Code],$A78,T_SelfStock[WeekIndex],20)+SUMIFS(T_TTAFStock[TTAF_Qty],T_TTAFStock[RM_Code],$A78,T_TTAFStock[WeekIndex],20),T78+'Grid_Incoming'!U78-'Grid_Requirement'!U78))</f>
        <v/>
      </c>
      <c r="V78">
        <f>IF(COUNTIFS(T_StockCount[RM_Code],$A78,T_StockCount[WeekIndex],21)&gt;0,SUMIFS(T_StockCount[CountedQty],T_StockCount[RM_Code],$A78,T_StockCount[WeekIndex],21),IF((COUNTIFS(T_SelfStock[RM_Code],$A78,T_SelfStock[WeekIndex],21)&gt;0)*(COUNTIFS(T_TTAFStock[RM_Code],$A78,T_TTAFStock[WeekIndex],21)&gt;0)&gt;0,SUMIFS(T_SelfStock[Self_Qty],T_SelfStock[RM_Code],$A78,T_SelfStock[WeekIndex],21)+SUMIFS(T_TTAFStock[TTAF_Qty],T_TTAFStock[RM_Code],$A78,T_TTAFStock[WeekIndex],21),U78+'Grid_Incoming'!V78-'Grid_Requirement'!V78))</f>
        <v/>
      </c>
      <c r="W78">
        <f>IF(COUNTIFS(T_StockCount[RM_Code],$A78,T_StockCount[WeekIndex],22)&gt;0,SUMIFS(T_StockCount[CountedQty],T_StockCount[RM_Code],$A78,T_StockCount[WeekIndex],22),IF((COUNTIFS(T_SelfStock[RM_Code],$A78,T_SelfStock[WeekIndex],22)&gt;0)*(COUNTIFS(T_TTAFStock[RM_Code],$A78,T_TTAFStock[WeekIndex],22)&gt;0)&gt;0,SUMIFS(T_SelfStock[Self_Qty],T_SelfStock[RM_Code],$A78,T_SelfStock[WeekIndex],22)+SUMIFS(T_TTAFStock[TTAF_Qty],T_TTAFStock[RM_Code],$A78,T_TTAFStock[WeekIndex],22),V78+'Grid_Incoming'!W78-'Grid_Requirement'!W78))</f>
        <v/>
      </c>
      <c r="X78">
        <f>IF(COUNTIFS(T_StockCount[RM_Code],$A78,T_StockCount[WeekIndex],23)&gt;0,SUMIFS(T_StockCount[CountedQty],T_StockCount[RM_Code],$A78,T_StockCount[WeekIndex],23),IF((COUNTIFS(T_SelfStock[RM_Code],$A78,T_SelfStock[WeekIndex],23)&gt;0)*(COUNTIFS(T_TTAFStock[RM_Code],$A78,T_TTAFStock[WeekIndex],23)&gt;0)&gt;0,SUMIFS(T_SelfStock[Self_Qty],T_SelfStock[RM_Code],$A78,T_SelfStock[WeekIndex],23)+SUMIFS(T_TTAFStock[TTAF_Qty],T_TTAFStock[RM_Code],$A78,T_TTAFStock[WeekIndex],23),W78+'Grid_Incoming'!X78-'Grid_Requirement'!X78))</f>
        <v/>
      </c>
      <c r="Y78">
        <f>IF(COUNTIFS(T_StockCount[RM_Code],$A78,T_StockCount[WeekIndex],24)&gt;0,SUMIFS(T_StockCount[CountedQty],T_StockCount[RM_Code],$A78,T_StockCount[WeekIndex],24),IF((COUNTIFS(T_SelfStock[RM_Code],$A78,T_SelfStock[WeekIndex],24)&gt;0)*(COUNTIFS(T_TTAFStock[RM_Code],$A78,T_TTAFStock[WeekIndex],24)&gt;0)&gt;0,SUMIFS(T_SelfStock[Self_Qty],T_SelfStock[RM_Code],$A78,T_SelfStock[WeekIndex],24)+SUMIFS(T_TTAFStock[TTAF_Qty],T_TTAFStock[RM_Code],$A78,T_TTAFStock[WeekIndex],24),X78+'Grid_Incoming'!Y78-'Grid_Requirement'!Y78))</f>
        <v/>
      </c>
      <c r="Z78">
        <f>IF(COUNTIFS(T_StockCount[RM_Code],$A78,T_StockCount[WeekIndex],25)&gt;0,SUMIFS(T_StockCount[CountedQty],T_StockCount[RM_Code],$A78,T_StockCount[WeekIndex],25),IF((COUNTIFS(T_SelfStock[RM_Code],$A78,T_SelfStock[WeekIndex],25)&gt;0)*(COUNTIFS(T_TTAFStock[RM_Code],$A78,T_TTAFStock[WeekIndex],25)&gt;0)&gt;0,SUMIFS(T_SelfStock[Self_Qty],T_SelfStock[RM_Code],$A78,T_SelfStock[WeekIndex],25)+SUMIFS(T_TTAFStock[TTAF_Qty],T_TTAFStock[RM_Code],$A78,T_TTAFStock[WeekIndex],25),Y78+'Grid_Incoming'!Z78-'Grid_Requirement'!Z78))</f>
        <v/>
      </c>
      <c r="AA78">
        <f>IF(COUNTIFS(T_StockCount[RM_Code],$A78,T_StockCount[WeekIndex],26)&gt;0,SUMIFS(T_StockCount[CountedQty],T_StockCount[RM_Code],$A78,T_StockCount[WeekIndex],26),IF((COUNTIFS(T_SelfStock[RM_Code],$A78,T_SelfStock[WeekIndex],26)&gt;0)*(COUNTIFS(T_TTAFStock[RM_Code],$A78,T_TTAFStock[WeekIndex],26)&gt;0)&gt;0,SUMIFS(T_SelfStock[Self_Qty],T_SelfStock[RM_Code],$A78,T_SelfStock[WeekIndex],26)+SUMIFS(T_TTAFStock[TTAF_Qty],T_TTAFStock[RM_Code],$A78,T_TTAFStock[WeekIndex],26),Z78+'Grid_Incoming'!AA78-'Grid_Requirement'!AA78))</f>
        <v/>
      </c>
      <c r="AB78">
        <f>IF(COUNTIFS(T_StockCount[RM_Code],$A78,T_StockCount[WeekIndex],27)&gt;0,SUMIFS(T_StockCount[CountedQty],T_StockCount[RM_Code],$A78,T_StockCount[WeekIndex],27),IF((COUNTIFS(T_SelfStock[RM_Code],$A78,T_SelfStock[WeekIndex],27)&gt;0)*(COUNTIFS(T_TTAFStock[RM_Code],$A78,T_TTAFStock[WeekIndex],27)&gt;0)&gt;0,SUMIFS(T_SelfStock[Self_Qty],T_SelfStock[RM_Code],$A78,T_SelfStock[WeekIndex],27)+SUMIFS(T_TTAFStock[TTAF_Qty],T_TTAFStock[RM_Code],$A78,T_TTAFStock[WeekIndex],27),AA78+'Grid_Incoming'!AB78-'Grid_Requirement'!AB78))</f>
        <v/>
      </c>
      <c r="AC78">
        <f>IF(COUNTIFS(T_StockCount[RM_Code],$A78,T_StockCount[WeekIndex],28)&gt;0,SUMIFS(T_StockCount[CountedQty],T_StockCount[RM_Code],$A78,T_StockCount[WeekIndex],28),IF((COUNTIFS(T_SelfStock[RM_Code],$A78,T_SelfStock[WeekIndex],28)&gt;0)*(COUNTIFS(T_TTAFStock[RM_Code],$A78,T_TTAFStock[WeekIndex],28)&gt;0)&gt;0,SUMIFS(T_SelfStock[Self_Qty],T_SelfStock[RM_Code],$A78,T_SelfStock[WeekIndex],28)+SUMIFS(T_TTAFStock[TTAF_Qty],T_TTAFStock[RM_Code],$A78,T_TTAFStock[WeekIndex],28),AB78+'Grid_Incoming'!AC78-'Grid_Requirement'!AC78))</f>
        <v/>
      </c>
      <c r="AD78">
        <f>IF(COUNTIFS(T_StockCount[RM_Code],$A78,T_StockCount[WeekIndex],29)&gt;0,SUMIFS(T_StockCount[CountedQty],T_StockCount[RM_Code],$A78,T_StockCount[WeekIndex],29),IF((COUNTIFS(T_SelfStock[RM_Code],$A78,T_SelfStock[WeekIndex],29)&gt;0)*(COUNTIFS(T_TTAFStock[RM_Code],$A78,T_TTAFStock[WeekIndex],29)&gt;0)&gt;0,SUMIFS(T_SelfStock[Self_Qty],T_SelfStock[RM_Code],$A78,T_SelfStock[WeekIndex],29)+SUMIFS(T_TTAFStock[TTAF_Qty],T_TTAFStock[RM_Code],$A78,T_TTAFStock[WeekIndex],29),AC78+'Grid_Incoming'!AD78-'Grid_Requirement'!AD78))</f>
        <v/>
      </c>
      <c r="AE78">
        <f>IF(COUNTIFS(T_StockCount[RM_Code],$A78,T_StockCount[WeekIndex],30)&gt;0,SUMIFS(T_StockCount[CountedQty],T_StockCount[RM_Code],$A78,T_StockCount[WeekIndex],30),IF((COUNTIFS(T_SelfStock[RM_Code],$A78,T_SelfStock[WeekIndex],30)&gt;0)*(COUNTIFS(T_TTAFStock[RM_Code],$A78,T_TTAFStock[WeekIndex],30)&gt;0)&gt;0,SUMIFS(T_SelfStock[Self_Qty],T_SelfStock[RM_Code],$A78,T_SelfStock[WeekIndex],30)+SUMIFS(T_TTAFStock[TTAF_Qty],T_TTAFStock[RM_Code],$A78,T_TTAFStock[WeekIndex],30),AD78+'Grid_Incoming'!AE78-'Grid_Requirement'!AE78))</f>
        <v/>
      </c>
      <c r="AF78">
        <f>IF(COUNTIFS(T_StockCount[RM_Code],$A78,T_StockCount[WeekIndex],31)&gt;0,SUMIFS(T_StockCount[CountedQty],T_StockCount[RM_Code],$A78,T_StockCount[WeekIndex],31),IF((COUNTIFS(T_SelfStock[RM_Code],$A78,T_SelfStock[WeekIndex],31)&gt;0)*(COUNTIFS(T_TTAFStock[RM_Code],$A78,T_TTAFStock[WeekIndex],31)&gt;0)&gt;0,SUMIFS(T_SelfStock[Self_Qty],T_SelfStock[RM_Code],$A78,T_SelfStock[WeekIndex],31)+SUMIFS(T_TTAFStock[TTAF_Qty],T_TTAFStock[RM_Code],$A78,T_TTAFStock[WeekIndex],31),AE78+'Grid_Incoming'!AF78-'Grid_Requirement'!AF78))</f>
        <v/>
      </c>
      <c r="AG78">
        <f>IF(COUNTIFS(T_StockCount[RM_Code],$A78,T_StockCount[WeekIndex],32)&gt;0,SUMIFS(T_StockCount[CountedQty],T_StockCount[RM_Code],$A78,T_StockCount[WeekIndex],32),IF((COUNTIFS(T_SelfStock[RM_Code],$A78,T_SelfStock[WeekIndex],32)&gt;0)*(COUNTIFS(T_TTAFStock[RM_Code],$A78,T_TTAFStock[WeekIndex],32)&gt;0)&gt;0,SUMIFS(T_SelfStock[Self_Qty],T_SelfStock[RM_Code],$A78,T_SelfStock[WeekIndex],32)+SUMIFS(T_TTAFStock[TTAF_Qty],T_TTAFStock[RM_Code],$A78,T_TTAFStock[WeekIndex],32),AF78+'Grid_Incoming'!AG78-'Grid_Requirement'!AG78))</f>
        <v/>
      </c>
      <c r="AH78">
        <f>IF(COUNTIFS(T_StockCount[RM_Code],$A78,T_StockCount[WeekIndex],33)&gt;0,SUMIFS(T_StockCount[CountedQty],T_StockCount[RM_Code],$A78,T_StockCount[WeekIndex],33),IF((COUNTIFS(T_SelfStock[RM_Code],$A78,T_SelfStock[WeekIndex],33)&gt;0)*(COUNTIFS(T_TTAFStock[RM_Code],$A78,T_TTAFStock[WeekIndex],33)&gt;0)&gt;0,SUMIFS(T_SelfStock[Self_Qty],T_SelfStock[RM_Code],$A78,T_SelfStock[WeekIndex],33)+SUMIFS(T_TTAFStock[TTAF_Qty],T_TTAFStock[RM_Code],$A78,T_TTAFStock[WeekIndex],33),AG78+'Grid_Incoming'!AH78-'Grid_Requirement'!AH78))</f>
        <v/>
      </c>
      <c r="AI78">
        <f>IF(COUNTIFS(T_StockCount[RM_Code],$A78,T_StockCount[WeekIndex],34)&gt;0,SUMIFS(T_StockCount[CountedQty],T_StockCount[RM_Code],$A78,T_StockCount[WeekIndex],34),IF((COUNTIFS(T_SelfStock[RM_Code],$A78,T_SelfStock[WeekIndex],34)&gt;0)*(COUNTIFS(T_TTAFStock[RM_Code],$A78,T_TTAFStock[WeekIndex],34)&gt;0)&gt;0,SUMIFS(T_SelfStock[Self_Qty],T_SelfStock[RM_Code],$A78,T_SelfStock[WeekIndex],34)+SUMIFS(T_TTAFStock[TTAF_Qty],T_TTAFStock[RM_Code],$A78,T_TTAFStock[WeekIndex],34),AH78+'Grid_Incoming'!AI78-'Grid_Requirement'!AI78))</f>
        <v/>
      </c>
      <c r="AJ78">
        <f>IF(COUNTIFS(T_StockCount[RM_Code],$A78,T_StockCount[WeekIndex],35)&gt;0,SUMIFS(T_StockCount[CountedQty],T_StockCount[RM_Code],$A78,T_StockCount[WeekIndex],35),IF((COUNTIFS(T_SelfStock[RM_Code],$A78,T_SelfStock[WeekIndex],35)&gt;0)*(COUNTIFS(T_TTAFStock[RM_Code],$A78,T_TTAFStock[WeekIndex],35)&gt;0)&gt;0,SUMIFS(T_SelfStock[Self_Qty],T_SelfStock[RM_Code],$A78,T_SelfStock[WeekIndex],35)+SUMIFS(T_TTAFStock[TTAF_Qty],T_TTAFStock[RM_Code],$A78,T_TTAFStock[WeekIndex],35),AI78+'Grid_Incoming'!AJ78-'Grid_Requirement'!AJ78))</f>
        <v/>
      </c>
      <c r="AK78">
        <f>IF(COUNTIFS(T_StockCount[RM_Code],$A78,T_StockCount[WeekIndex],36)&gt;0,SUMIFS(T_StockCount[CountedQty],T_StockCount[RM_Code],$A78,T_StockCount[WeekIndex],36),IF((COUNTIFS(T_SelfStock[RM_Code],$A78,T_SelfStock[WeekIndex],36)&gt;0)*(COUNTIFS(T_TTAFStock[RM_Code],$A78,T_TTAFStock[WeekIndex],36)&gt;0)&gt;0,SUMIFS(T_SelfStock[Self_Qty],T_SelfStock[RM_Code],$A78,T_SelfStock[WeekIndex],36)+SUMIFS(T_TTAFStock[TTAF_Qty],T_TTAFStock[RM_Code],$A78,T_TTAFStock[WeekIndex],36),AJ78+'Grid_Incoming'!AK78-'Grid_Requirement'!AK78))</f>
        <v/>
      </c>
      <c r="AL78">
        <f>IF(COUNTIFS(T_StockCount[RM_Code],$A78,T_StockCount[WeekIndex],37)&gt;0,SUMIFS(T_StockCount[CountedQty],T_StockCount[RM_Code],$A78,T_StockCount[WeekIndex],37),IF((COUNTIFS(T_SelfStock[RM_Code],$A78,T_SelfStock[WeekIndex],37)&gt;0)*(COUNTIFS(T_TTAFStock[RM_Code],$A78,T_TTAFStock[WeekIndex],37)&gt;0)&gt;0,SUMIFS(T_SelfStock[Self_Qty],T_SelfStock[RM_Code],$A78,T_SelfStock[WeekIndex],37)+SUMIFS(T_TTAFStock[TTAF_Qty],T_TTAFStock[RM_Code],$A78,T_TTAFStock[WeekIndex],37),AK78+'Grid_Incoming'!AL78-'Grid_Requirement'!AL78))</f>
        <v/>
      </c>
      <c r="AM78">
        <f>IF(COUNTIFS(T_StockCount[RM_Code],$A78,T_StockCount[WeekIndex],38)&gt;0,SUMIFS(T_StockCount[CountedQty],T_StockCount[RM_Code],$A78,T_StockCount[WeekIndex],38),IF((COUNTIFS(T_SelfStock[RM_Code],$A78,T_SelfStock[WeekIndex],38)&gt;0)*(COUNTIFS(T_TTAFStock[RM_Code],$A78,T_TTAFStock[WeekIndex],38)&gt;0)&gt;0,SUMIFS(T_SelfStock[Self_Qty],T_SelfStock[RM_Code],$A78,T_SelfStock[WeekIndex],38)+SUMIFS(T_TTAFStock[TTAF_Qty],T_TTAFStock[RM_Code],$A78,T_TTAFStock[WeekIndex],38),AL78+'Grid_Incoming'!AM78-'Grid_Requirement'!AM78))</f>
        <v/>
      </c>
      <c r="AN78">
        <f>IF(COUNTIFS(T_StockCount[RM_Code],$A78,T_StockCount[WeekIndex],39)&gt;0,SUMIFS(T_StockCount[CountedQty],T_StockCount[RM_Code],$A78,T_StockCount[WeekIndex],39),IF((COUNTIFS(T_SelfStock[RM_Code],$A78,T_SelfStock[WeekIndex],39)&gt;0)*(COUNTIFS(T_TTAFStock[RM_Code],$A78,T_TTAFStock[WeekIndex],39)&gt;0)&gt;0,SUMIFS(T_SelfStock[Self_Qty],T_SelfStock[RM_Code],$A78,T_SelfStock[WeekIndex],39)+SUMIFS(T_TTAFStock[TTAF_Qty],T_TTAFStock[RM_Code],$A78,T_TTAFStock[WeekIndex],39),AM78+'Grid_Incoming'!AN78-'Grid_Requirement'!AN78))</f>
        <v/>
      </c>
      <c r="AO78">
        <f>IF(COUNTIFS(T_StockCount[RM_Code],$A78,T_StockCount[WeekIndex],40)&gt;0,SUMIFS(T_StockCount[CountedQty],T_StockCount[RM_Code],$A78,T_StockCount[WeekIndex],40),IF((COUNTIFS(T_SelfStock[RM_Code],$A78,T_SelfStock[WeekIndex],40)&gt;0)*(COUNTIFS(T_TTAFStock[RM_Code],$A78,T_TTAFStock[WeekIndex],40)&gt;0)&gt;0,SUMIFS(T_SelfStock[Self_Qty],T_SelfStock[RM_Code],$A78,T_SelfStock[WeekIndex],40)+SUMIFS(T_TTAFStock[TTAF_Qty],T_TTAFStock[RM_Code],$A78,T_TTAFStock[WeekIndex],40),AN78+'Grid_Incoming'!AO78-'Grid_Requirement'!AO78))</f>
        <v/>
      </c>
      <c r="AP78">
        <f>IF(COUNTIFS(T_StockCount[RM_Code],$A78,T_StockCount[WeekIndex],41)&gt;0,SUMIFS(T_StockCount[CountedQty],T_StockCount[RM_Code],$A78,T_StockCount[WeekIndex],41),IF((COUNTIFS(T_SelfStock[RM_Code],$A78,T_SelfStock[WeekIndex],41)&gt;0)*(COUNTIFS(T_TTAFStock[RM_Code],$A78,T_TTAFStock[WeekIndex],41)&gt;0)&gt;0,SUMIFS(T_SelfStock[Self_Qty],T_SelfStock[RM_Code],$A78,T_SelfStock[WeekIndex],41)+SUMIFS(T_TTAFStock[TTAF_Qty],T_TTAFStock[RM_Code],$A78,T_TTAFStock[WeekIndex],41),AO78+'Grid_Incoming'!AP78-'Grid_Requirement'!AP78))</f>
        <v/>
      </c>
      <c r="AQ78">
        <f>IF(COUNTIFS(T_StockCount[RM_Code],$A78,T_StockCount[WeekIndex],42)&gt;0,SUMIFS(T_StockCount[CountedQty],T_StockCount[RM_Code],$A78,T_StockCount[WeekIndex],42),IF((COUNTIFS(T_SelfStock[RM_Code],$A78,T_SelfStock[WeekIndex],42)&gt;0)*(COUNTIFS(T_TTAFStock[RM_Code],$A78,T_TTAFStock[WeekIndex],42)&gt;0)&gt;0,SUMIFS(T_SelfStock[Self_Qty],T_SelfStock[RM_Code],$A78,T_SelfStock[WeekIndex],42)+SUMIFS(T_TTAFStock[TTAF_Qty],T_TTAFStock[RM_Code],$A78,T_TTAFStock[WeekIndex],42),AP78+'Grid_Incoming'!AQ78-'Grid_Requirement'!AQ78))</f>
        <v/>
      </c>
      <c r="AR78">
        <f>IF(COUNTIFS(T_StockCount[RM_Code],$A78,T_StockCount[WeekIndex],43)&gt;0,SUMIFS(T_StockCount[CountedQty],T_StockCount[RM_Code],$A78,T_StockCount[WeekIndex],43),IF((COUNTIFS(T_SelfStock[RM_Code],$A78,T_SelfStock[WeekIndex],43)&gt;0)*(COUNTIFS(T_TTAFStock[RM_Code],$A78,T_TTAFStock[WeekIndex],43)&gt;0)&gt;0,SUMIFS(T_SelfStock[Self_Qty],T_SelfStock[RM_Code],$A78,T_SelfStock[WeekIndex],43)+SUMIFS(T_TTAFStock[TTAF_Qty],T_TTAFStock[RM_Code],$A78,T_TTAFStock[WeekIndex],43),AQ78+'Grid_Incoming'!AR78-'Grid_Requirement'!AR78))</f>
        <v/>
      </c>
      <c r="AS78">
        <f>IF(COUNTIFS(T_StockCount[RM_Code],$A78,T_StockCount[WeekIndex],44)&gt;0,SUMIFS(T_StockCount[CountedQty],T_StockCount[RM_Code],$A78,T_StockCount[WeekIndex],44),IF((COUNTIFS(T_SelfStock[RM_Code],$A78,T_SelfStock[WeekIndex],44)&gt;0)*(COUNTIFS(T_TTAFStock[RM_Code],$A78,T_TTAFStock[WeekIndex],44)&gt;0)&gt;0,SUMIFS(T_SelfStock[Self_Qty],T_SelfStock[RM_Code],$A78,T_SelfStock[WeekIndex],44)+SUMIFS(T_TTAFStock[TTAF_Qty],T_TTAFStock[RM_Code],$A78,T_TTAFStock[WeekIndex],44),AR78+'Grid_Incoming'!AS78-'Grid_Requirement'!AS78))</f>
        <v/>
      </c>
      <c r="AT78">
        <f>IF(COUNTIFS(T_StockCount[RM_Code],$A78,T_StockCount[WeekIndex],45)&gt;0,SUMIFS(T_StockCount[CountedQty],T_StockCount[RM_Code],$A78,T_StockCount[WeekIndex],45),IF((COUNTIFS(T_SelfStock[RM_Code],$A78,T_SelfStock[WeekIndex],45)&gt;0)*(COUNTIFS(T_TTAFStock[RM_Code],$A78,T_TTAFStock[WeekIndex],45)&gt;0)&gt;0,SUMIFS(T_SelfStock[Self_Qty],T_SelfStock[RM_Code],$A78,T_SelfStock[WeekIndex],45)+SUMIFS(T_TTAFStock[TTAF_Qty],T_TTAFStock[RM_Code],$A78,T_TTAFStock[WeekIndex],45),AS78+'Grid_Incoming'!AT78-'Grid_Requirement'!AT78))</f>
        <v/>
      </c>
      <c r="AU78">
        <f>IF(COUNTIFS(T_StockCount[RM_Code],$A78,T_StockCount[WeekIndex],46)&gt;0,SUMIFS(T_StockCount[CountedQty],T_StockCount[RM_Code],$A78,T_StockCount[WeekIndex],46),IF((COUNTIFS(T_SelfStock[RM_Code],$A78,T_SelfStock[WeekIndex],46)&gt;0)*(COUNTIFS(T_TTAFStock[RM_Code],$A78,T_TTAFStock[WeekIndex],46)&gt;0)&gt;0,SUMIFS(T_SelfStock[Self_Qty],T_SelfStock[RM_Code],$A78,T_SelfStock[WeekIndex],46)+SUMIFS(T_TTAFStock[TTAF_Qty],T_TTAFStock[RM_Code],$A78,T_TTAFStock[WeekIndex],46),AT78+'Grid_Incoming'!AU78-'Grid_Requirement'!AU78))</f>
        <v/>
      </c>
      <c r="AV78">
        <f>IF(COUNTIFS(T_StockCount[RM_Code],$A78,T_StockCount[WeekIndex],47)&gt;0,SUMIFS(T_StockCount[CountedQty],T_StockCount[RM_Code],$A78,T_StockCount[WeekIndex],47),IF((COUNTIFS(T_SelfStock[RM_Code],$A78,T_SelfStock[WeekIndex],47)&gt;0)*(COUNTIFS(T_TTAFStock[RM_Code],$A78,T_TTAFStock[WeekIndex],47)&gt;0)&gt;0,SUMIFS(T_SelfStock[Self_Qty],T_SelfStock[RM_Code],$A78,T_SelfStock[WeekIndex],47)+SUMIFS(T_TTAFStock[TTAF_Qty],T_TTAFStock[RM_Code],$A78,T_TTAFStock[WeekIndex],47),AU78+'Grid_Incoming'!AV78-'Grid_Requirement'!AV78))</f>
        <v/>
      </c>
      <c r="AW78">
        <f>IF(COUNTIFS(T_StockCount[RM_Code],$A78,T_StockCount[WeekIndex],48)&gt;0,SUMIFS(T_StockCount[CountedQty],T_StockCount[RM_Code],$A78,T_StockCount[WeekIndex],48),IF((COUNTIFS(T_SelfStock[RM_Code],$A78,T_SelfStock[WeekIndex],48)&gt;0)*(COUNTIFS(T_TTAFStock[RM_Code],$A78,T_TTAFStock[WeekIndex],48)&gt;0)&gt;0,SUMIFS(T_SelfStock[Self_Qty],T_SelfStock[RM_Code],$A78,T_SelfStock[WeekIndex],48)+SUMIFS(T_TTAFStock[TTAF_Qty],T_TTAFStock[RM_Code],$A78,T_TTAFStock[WeekIndex],48),AV78+'Grid_Incoming'!AW78-'Grid_Requirement'!AW78))</f>
        <v/>
      </c>
      <c r="AX78">
        <f>IF(COUNTIFS(T_StockCount[RM_Code],$A78,T_StockCount[WeekIndex],49)&gt;0,SUMIFS(T_StockCount[CountedQty],T_StockCount[RM_Code],$A78,T_StockCount[WeekIndex],49),IF((COUNTIFS(T_SelfStock[RM_Code],$A78,T_SelfStock[WeekIndex],49)&gt;0)*(COUNTIFS(T_TTAFStock[RM_Code],$A78,T_TTAFStock[WeekIndex],49)&gt;0)&gt;0,SUMIFS(T_SelfStock[Self_Qty],T_SelfStock[RM_Code],$A78,T_SelfStock[WeekIndex],49)+SUMIFS(T_TTAFStock[TTAF_Qty],T_TTAFStock[RM_Code],$A78,T_TTAFStock[WeekIndex],49),AW78+'Grid_Incoming'!AX78-'Grid_Requirement'!AX78))</f>
        <v/>
      </c>
      <c r="AY78">
        <f>IF(COUNTIFS(T_StockCount[RM_Code],$A78,T_StockCount[WeekIndex],50)&gt;0,SUMIFS(T_StockCount[CountedQty],T_StockCount[RM_Code],$A78,T_StockCount[WeekIndex],50),IF((COUNTIFS(T_SelfStock[RM_Code],$A78,T_SelfStock[WeekIndex],50)&gt;0)*(COUNTIFS(T_TTAFStock[RM_Code],$A78,T_TTAFStock[WeekIndex],50)&gt;0)&gt;0,SUMIFS(T_SelfStock[Self_Qty],T_SelfStock[RM_Code],$A78,T_SelfStock[WeekIndex],50)+SUMIFS(T_TTAFStock[TTAF_Qty],T_TTAFStock[RM_Code],$A78,T_TTAFStock[WeekIndex],50),AX78+'Grid_Incoming'!AY78-'Grid_Requirement'!AY78))</f>
        <v/>
      </c>
      <c r="AZ78">
        <f>IF(COUNTIFS(T_StockCount[RM_Code],$A78,T_StockCount[WeekIndex],51)&gt;0,SUMIFS(T_StockCount[CountedQty],T_StockCount[RM_Code],$A78,T_StockCount[WeekIndex],51),IF((COUNTIFS(T_SelfStock[RM_Code],$A78,T_SelfStock[WeekIndex],51)&gt;0)*(COUNTIFS(T_TTAFStock[RM_Code],$A78,T_TTAFStock[WeekIndex],51)&gt;0)&gt;0,SUMIFS(T_SelfStock[Self_Qty],T_SelfStock[RM_Code],$A78,T_SelfStock[WeekIndex],51)+SUMIFS(T_TTAFStock[TTAF_Qty],T_TTAFStock[RM_Code],$A78,T_TTAFStock[WeekIndex],51),AY78+'Grid_Incoming'!AZ78-'Grid_Requirement'!AZ78))</f>
        <v/>
      </c>
      <c r="BA78">
        <f>IF(COUNTIFS(T_StockCount[RM_Code],$A78,T_StockCount[WeekIndex],52)&gt;0,SUMIFS(T_StockCount[CountedQty],T_StockCount[RM_Code],$A78,T_StockCount[WeekIndex],52),IF((COUNTIFS(T_SelfStock[RM_Code],$A78,T_SelfStock[WeekIndex],52)&gt;0)*(COUNTIFS(T_TTAFStock[RM_Code],$A78,T_TTAFStock[WeekIndex],52)&gt;0)&gt;0,SUMIFS(T_SelfStock[Self_Qty],T_SelfStock[RM_Code],$A78,T_SelfStock[WeekIndex],52)+SUMIFS(T_TTAFStock[TTAF_Qty],T_TTAFStock[RM_Code],$A78,T_TTAFStock[WeekIndex],52),AZ78+'Grid_Incoming'!BA78-'Grid_Requirement'!BA78))</f>
        <v/>
      </c>
      <c r="BB78">
        <f>IF(COUNTIFS(T_StockCount[RM_Code],$A78,T_StockCount[WeekIndex],53)&gt;0,SUMIFS(T_StockCount[CountedQty],T_StockCount[RM_Code],$A78,T_StockCount[WeekIndex],53),IF((COUNTIFS(T_SelfStock[RM_Code],$A78,T_SelfStock[WeekIndex],53)&gt;0)*(COUNTIFS(T_TTAFStock[RM_Code],$A78,T_TTAFStock[WeekIndex],53)&gt;0)&gt;0,SUMIFS(T_SelfStock[Self_Qty],T_SelfStock[RM_Code],$A78,T_SelfStock[WeekIndex],53)+SUMIFS(T_TTAFStock[TTAF_Qty],T_TTAFStock[RM_Code],$A78,T_TTAFStock[WeekIndex],53),BA78+'Grid_Incoming'!BB78-'Grid_Requirement'!BB78))</f>
        <v/>
      </c>
      <c r="BC78">
        <f>IF(COUNTIFS(T_StockCount[RM_Code],$A78,T_StockCount[WeekIndex],54)&gt;0,SUMIFS(T_StockCount[CountedQty],T_StockCount[RM_Code],$A78,T_StockCount[WeekIndex],54),IF((COUNTIFS(T_SelfStock[RM_Code],$A78,T_SelfStock[WeekIndex],54)&gt;0)*(COUNTIFS(T_TTAFStock[RM_Code],$A78,T_TTAFStock[WeekIndex],54)&gt;0)&gt;0,SUMIFS(T_SelfStock[Self_Qty],T_SelfStock[RM_Code],$A78,T_SelfStock[WeekIndex],54)+SUMIFS(T_TTAFStock[TTAF_Qty],T_TTAFStock[RM_Code],$A78,T_TTAFStock[WeekIndex],54),BB78+'Grid_Incoming'!BC78-'Grid_Requirement'!BC78))</f>
        <v/>
      </c>
      <c r="BD78">
        <f>IF(COUNTIFS(T_StockCount[RM_Code],$A78,T_StockCount[WeekIndex],55)&gt;0,SUMIFS(T_StockCount[CountedQty],T_StockCount[RM_Code],$A78,T_StockCount[WeekIndex],55),IF((COUNTIFS(T_SelfStock[RM_Code],$A78,T_SelfStock[WeekIndex],55)&gt;0)*(COUNTIFS(T_TTAFStock[RM_Code],$A78,T_TTAFStock[WeekIndex],55)&gt;0)&gt;0,SUMIFS(T_SelfStock[Self_Qty],T_SelfStock[RM_Code],$A78,T_SelfStock[WeekIndex],55)+SUMIFS(T_TTAFStock[TTAF_Qty],T_TTAFStock[RM_Code],$A78,T_TTAFStock[WeekIndex],55),BC78+'Grid_Incoming'!BD78-'Grid_Requirement'!BD78))</f>
        <v/>
      </c>
      <c r="BE78">
        <f>IF(COUNTIFS(T_StockCount[RM_Code],$A78,T_StockCount[WeekIndex],56)&gt;0,SUMIFS(T_StockCount[CountedQty],T_StockCount[RM_Code],$A78,T_StockCount[WeekIndex],56),IF((COUNTIFS(T_SelfStock[RM_Code],$A78,T_SelfStock[WeekIndex],56)&gt;0)*(COUNTIFS(T_TTAFStock[RM_Code],$A78,T_TTAFStock[WeekIndex],56)&gt;0)&gt;0,SUMIFS(T_SelfStock[Self_Qty],T_SelfStock[RM_Code],$A78,T_SelfStock[WeekIndex],56)+SUMIFS(T_TTAFStock[TTAF_Qty],T_TTAFStock[RM_Code],$A78,T_TTAFStock[WeekIndex],56),BD78+'Grid_Incoming'!BE78-'Grid_Requirement'!BE78))</f>
        <v/>
      </c>
      <c r="BF78">
        <f>IF(COUNTIFS(T_StockCount[RM_Code],$A78,T_StockCount[WeekIndex],57)&gt;0,SUMIFS(T_StockCount[CountedQty],T_StockCount[RM_Code],$A78,T_StockCount[WeekIndex],57),IF((COUNTIFS(T_SelfStock[RM_Code],$A78,T_SelfStock[WeekIndex],57)&gt;0)*(COUNTIFS(T_TTAFStock[RM_Code],$A78,T_TTAFStock[WeekIndex],57)&gt;0)&gt;0,SUMIFS(T_SelfStock[Self_Qty],T_SelfStock[RM_Code],$A78,T_SelfStock[WeekIndex],57)+SUMIFS(T_TTAFStock[TTAF_Qty],T_TTAFStock[RM_Code],$A78,T_TTAFStock[WeekIndex],57),BE78+'Grid_Incoming'!BF78-'Grid_Requirement'!BF78))</f>
        <v/>
      </c>
      <c r="BG78">
        <f>IF(COUNTIFS(T_StockCount[RM_Code],$A78,T_StockCount[WeekIndex],58)&gt;0,SUMIFS(T_StockCount[CountedQty],T_StockCount[RM_Code],$A78,T_StockCount[WeekIndex],58),IF((COUNTIFS(T_SelfStock[RM_Code],$A78,T_SelfStock[WeekIndex],58)&gt;0)*(COUNTIFS(T_TTAFStock[RM_Code],$A78,T_TTAFStock[WeekIndex],58)&gt;0)&gt;0,SUMIFS(T_SelfStock[Self_Qty],T_SelfStock[RM_Code],$A78,T_SelfStock[WeekIndex],58)+SUMIFS(T_TTAFStock[TTAF_Qty],T_TTAFStock[RM_Code],$A78,T_TTAFStock[WeekIndex],58),BF78+'Grid_Incoming'!BG78-'Grid_Requirement'!BG78))</f>
        <v/>
      </c>
      <c r="BH78">
        <f>IF(COUNTIFS(T_StockCount[RM_Code],$A78,T_StockCount[WeekIndex],59)&gt;0,SUMIFS(T_StockCount[CountedQty],T_StockCount[RM_Code],$A78,T_StockCount[WeekIndex],59),IF((COUNTIFS(T_SelfStock[RM_Code],$A78,T_SelfStock[WeekIndex],59)&gt;0)*(COUNTIFS(T_TTAFStock[RM_Code],$A78,T_TTAFStock[WeekIndex],59)&gt;0)&gt;0,SUMIFS(T_SelfStock[Self_Qty],T_SelfStock[RM_Code],$A78,T_SelfStock[WeekIndex],59)+SUMIFS(T_TTAFStock[TTAF_Qty],T_TTAFStock[RM_Code],$A78,T_TTAFStock[WeekIndex],59),BG78+'Grid_Incoming'!BH78-'Grid_Requirement'!BH78))</f>
        <v/>
      </c>
      <c r="BI78">
        <f>IF(COUNTIFS(T_StockCount[RM_Code],$A78,T_StockCount[WeekIndex],60)&gt;0,SUMIFS(T_StockCount[CountedQty],T_StockCount[RM_Code],$A78,T_StockCount[WeekIndex],60),IF((COUNTIFS(T_SelfStock[RM_Code],$A78,T_SelfStock[WeekIndex],60)&gt;0)*(COUNTIFS(T_TTAFStock[RM_Code],$A78,T_TTAFStock[WeekIndex],60)&gt;0)&gt;0,SUMIFS(T_SelfStock[Self_Qty],T_SelfStock[RM_Code],$A78,T_SelfStock[WeekIndex],60)+SUMIFS(T_TTAFStock[TTAF_Qty],T_TTAFStock[RM_Code],$A78,T_TTAFStock[WeekIndex],60),BH78+'Grid_Incoming'!BI78-'Grid_Requirement'!BI78))</f>
        <v/>
      </c>
      <c r="BJ78">
        <f>IF(COUNTIFS(T_StockCount[RM_Code],$A78,T_StockCount[WeekIndex],61)&gt;0,SUMIFS(T_StockCount[CountedQty],T_StockCount[RM_Code],$A78,T_StockCount[WeekIndex],61),IF((COUNTIFS(T_SelfStock[RM_Code],$A78,T_SelfStock[WeekIndex],61)&gt;0)*(COUNTIFS(T_TTAFStock[RM_Code],$A78,T_TTAFStock[WeekIndex],61)&gt;0)&gt;0,SUMIFS(T_SelfStock[Self_Qty],T_SelfStock[RM_Code],$A78,T_SelfStock[WeekIndex],61)+SUMIFS(T_TTAFStock[TTAF_Qty],T_TTAFStock[RM_Code],$A78,T_TTAFStock[WeekIndex],61),BI78+'Grid_Incoming'!BJ78-'Grid_Requirement'!BJ78))</f>
        <v/>
      </c>
      <c r="BK78">
        <f>IF(COUNTIFS(T_StockCount[RM_Code],$A78,T_StockCount[WeekIndex],62)&gt;0,SUMIFS(T_StockCount[CountedQty],T_StockCount[RM_Code],$A78,T_StockCount[WeekIndex],62),IF((COUNTIFS(T_SelfStock[RM_Code],$A78,T_SelfStock[WeekIndex],62)&gt;0)*(COUNTIFS(T_TTAFStock[RM_Code],$A78,T_TTAFStock[WeekIndex],62)&gt;0)&gt;0,SUMIFS(T_SelfStock[Self_Qty],T_SelfStock[RM_Code],$A78,T_SelfStock[WeekIndex],62)+SUMIFS(T_TTAFStock[TTAF_Qty],T_TTAFStock[RM_Code],$A78,T_TTAFStock[WeekIndex],62),BJ78+'Grid_Incoming'!BK78-'Grid_Requirement'!BK78))</f>
        <v/>
      </c>
      <c r="BL78">
        <f>IF(COUNTIFS(T_StockCount[RM_Code],$A78,T_StockCount[WeekIndex],63)&gt;0,SUMIFS(T_StockCount[CountedQty],T_StockCount[RM_Code],$A78,T_StockCount[WeekIndex],63),IF((COUNTIFS(T_SelfStock[RM_Code],$A78,T_SelfStock[WeekIndex],63)&gt;0)*(COUNTIFS(T_TTAFStock[RM_Code],$A78,T_TTAFStock[WeekIndex],63)&gt;0)&gt;0,SUMIFS(T_SelfStock[Self_Qty],T_SelfStock[RM_Code],$A78,T_SelfStock[WeekIndex],63)+SUMIFS(T_TTAFStock[TTAF_Qty],T_TTAFStock[RM_Code],$A78,T_TTAFStock[WeekIndex],63),BK78+'Grid_Incoming'!BL78-'Grid_Requirement'!BL78))</f>
        <v/>
      </c>
      <c r="BM78">
        <f>IF(COUNTIFS(T_StockCount[RM_Code],$A78,T_StockCount[WeekIndex],64)&gt;0,SUMIFS(T_StockCount[CountedQty],T_StockCount[RM_Code],$A78,T_StockCount[WeekIndex],64),IF((COUNTIFS(T_SelfStock[RM_Code],$A78,T_SelfStock[WeekIndex],64)&gt;0)*(COUNTIFS(T_TTAFStock[RM_Code],$A78,T_TTAFStock[WeekIndex],64)&gt;0)&gt;0,SUMIFS(T_SelfStock[Self_Qty],T_SelfStock[RM_Code],$A78,T_SelfStock[WeekIndex],64)+SUMIFS(T_TTAFStock[TTAF_Qty],T_TTAFStock[RM_Code],$A78,T_TTAFStock[WeekIndex],64),BL78+'Grid_Incoming'!BM78-'Grid_Requirement'!BM78))</f>
        <v/>
      </c>
      <c r="BN78">
        <f>IF(COUNTIFS(T_StockCount[RM_Code],$A78,T_StockCount[WeekIndex],65)&gt;0,SUMIFS(T_StockCount[CountedQty],T_StockCount[RM_Code],$A78,T_StockCount[WeekIndex],65),IF((COUNTIFS(T_SelfStock[RM_Code],$A78,T_SelfStock[WeekIndex],65)&gt;0)*(COUNTIFS(T_TTAFStock[RM_Code],$A78,T_TTAFStock[WeekIndex],65)&gt;0)&gt;0,SUMIFS(T_SelfStock[Self_Qty],T_SelfStock[RM_Code],$A78,T_SelfStock[WeekIndex],65)+SUMIFS(T_TTAFStock[TTAF_Qty],T_TTAFStock[RM_Code],$A78,T_TTAFStock[WeekIndex],65),BM78+'Grid_Incoming'!BN78-'Grid_Requirement'!BN78))</f>
        <v/>
      </c>
      <c r="BO78">
        <f>IF(COUNTIFS(T_StockCount[RM_Code],$A78,T_StockCount[WeekIndex],66)&gt;0,SUMIFS(T_StockCount[CountedQty],T_StockCount[RM_Code],$A78,T_StockCount[WeekIndex],66),IF((COUNTIFS(T_SelfStock[RM_Code],$A78,T_SelfStock[WeekIndex],66)&gt;0)*(COUNTIFS(T_TTAFStock[RM_Code],$A78,T_TTAFStock[WeekIndex],66)&gt;0)&gt;0,SUMIFS(T_SelfStock[Self_Qty],T_SelfStock[RM_Code],$A78,T_SelfStock[WeekIndex],66)+SUMIFS(T_TTAFStock[TTAF_Qty],T_TTAFStock[RM_Code],$A78,T_TTAFStock[WeekIndex],66),BN78+'Grid_Incoming'!BO78-'Grid_Requirement'!BO78))</f>
        <v/>
      </c>
      <c r="BP78">
        <f>IF(COUNTIFS(T_StockCount[RM_Code],$A78,T_StockCount[WeekIndex],67)&gt;0,SUMIFS(T_StockCount[CountedQty],T_StockCount[RM_Code],$A78,T_StockCount[WeekIndex],67),IF((COUNTIFS(T_SelfStock[RM_Code],$A78,T_SelfStock[WeekIndex],67)&gt;0)*(COUNTIFS(T_TTAFStock[RM_Code],$A78,T_TTAFStock[WeekIndex],67)&gt;0)&gt;0,SUMIFS(T_SelfStock[Self_Qty],T_SelfStock[RM_Code],$A78,T_SelfStock[WeekIndex],67)+SUMIFS(T_TTAFStock[TTAF_Qty],T_TTAFStock[RM_Code],$A78,T_TTAFStock[WeekIndex],67),BO78+'Grid_Incoming'!BP78-'Grid_Requirement'!BP78))</f>
        <v/>
      </c>
      <c r="BQ78">
        <f>IF(COUNTIFS(T_StockCount[RM_Code],$A78,T_StockCount[WeekIndex],68)&gt;0,SUMIFS(T_StockCount[CountedQty],T_StockCount[RM_Code],$A78,T_StockCount[WeekIndex],68),IF((COUNTIFS(T_SelfStock[RM_Code],$A78,T_SelfStock[WeekIndex],68)&gt;0)*(COUNTIFS(T_TTAFStock[RM_Code],$A78,T_TTAFStock[WeekIndex],68)&gt;0)&gt;0,SUMIFS(T_SelfStock[Self_Qty],T_SelfStock[RM_Code],$A78,T_SelfStock[WeekIndex],68)+SUMIFS(T_TTAFStock[TTAF_Qty],T_TTAFStock[RM_Code],$A78,T_TTAFStock[WeekIndex],68),BP78+'Grid_Incoming'!BQ78-'Grid_Requirement'!BQ78))</f>
        <v/>
      </c>
      <c r="BR78">
        <f>IF(COUNTIFS(T_StockCount[RM_Code],$A78,T_StockCount[WeekIndex],69)&gt;0,SUMIFS(T_StockCount[CountedQty],T_StockCount[RM_Code],$A78,T_StockCount[WeekIndex],69),IF((COUNTIFS(T_SelfStock[RM_Code],$A78,T_SelfStock[WeekIndex],69)&gt;0)*(COUNTIFS(T_TTAFStock[RM_Code],$A78,T_TTAFStock[WeekIndex],69)&gt;0)&gt;0,SUMIFS(T_SelfStock[Self_Qty],T_SelfStock[RM_Code],$A78,T_SelfStock[WeekIndex],69)+SUMIFS(T_TTAFStock[TTAF_Qty],T_TTAFStock[RM_Code],$A78,T_TTAFStock[WeekIndex],69),BQ78+'Grid_Incoming'!BR78-'Grid_Requirement'!BR78))</f>
        <v/>
      </c>
      <c r="BS78">
        <f>IF(COUNTIFS(T_StockCount[RM_Code],$A78,T_StockCount[WeekIndex],70)&gt;0,SUMIFS(T_StockCount[CountedQty],T_StockCount[RM_Code],$A78,T_StockCount[WeekIndex],70),IF((COUNTIFS(T_SelfStock[RM_Code],$A78,T_SelfStock[WeekIndex],70)&gt;0)*(COUNTIFS(T_TTAFStock[RM_Code],$A78,T_TTAFStock[WeekIndex],70)&gt;0)&gt;0,SUMIFS(T_SelfStock[Self_Qty],T_SelfStock[RM_Code],$A78,T_SelfStock[WeekIndex],70)+SUMIFS(T_TTAFStock[TTAF_Qty],T_TTAFStock[RM_Code],$A78,T_TTAFStock[WeekIndex],70),BR78+'Grid_Incoming'!BS78-'Grid_Requirement'!BS78))</f>
        <v/>
      </c>
      <c r="BT78">
        <f>IF(COUNTIFS(T_StockCount[RM_Code],$A78,T_StockCount[WeekIndex],71)&gt;0,SUMIFS(T_StockCount[CountedQty],T_StockCount[RM_Code],$A78,T_StockCount[WeekIndex],71),IF((COUNTIFS(T_SelfStock[RM_Code],$A78,T_SelfStock[WeekIndex],71)&gt;0)*(COUNTIFS(T_TTAFStock[RM_Code],$A78,T_TTAFStock[WeekIndex],71)&gt;0)&gt;0,SUMIFS(T_SelfStock[Self_Qty],T_SelfStock[RM_Code],$A78,T_SelfStock[WeekIndex],71)+SUMIFS(T_TTAFStock[TTAF_Qty],T_TTAFStock[RM_Code],$A78,T_TTAFStock[WeekIndex],71),BS78+'Grid_Incoming'!BT78-'Grid_Requirement'!BT78))</f>
        <v/>
      </c>
      <c r="BU78">
        <f>IF(COUNTIFS(T_StockCount[RM_Code],$A78,T_StockCount[WeekIndex],72)&gt;0,SUMIFS(T_StockCount[CountedQty],T_StockCount[RM_Code],$A78,T_StockCount[WeekIndex],72),IF((COUNTIFS(T_SelfStock[RM_Code],$A78,T_SelfStock[WeekIndex],72)&gt;0)*(COUNTIFS(T_TTAFStock[RM_Code],$A78,T_TTAFStock[WeekIndex],72)&gt;0)&gt;0,SUMIFS(T_SelfStock[Self_Qty],T_SelfStock[RM_Code],$A78,T_SelfStock[WeekIndex],72)+SUMIFS(T_TTAFStock[TTAF_Qty],T_TTAFStock[RM_Code],$A78,T_TTAFStock[WeekIndex],72),BT78+'Grid_Incoming'!BU78-'Grid_Requirement'!BU78))</f>
        <v/>
      </c>
      <c r="BV78">
        <f>IF(COUNTIFS(T_StockCount[RM_Code],$A78,T_StockCount[WeekIndex],73)&gt;0,SUMIFS(T_StockCount[CountedQty],T_StockCount[RM_Code],$A78,T_StockCount[WeekIndex],73),IF((COUNTIFS(T_SelfStock[RM_Code],$A78,T_SelfStock[WeekIndex],73)&gt;0)*(COUNTIFS(T_TTAFStock[RM_Code],$A78,T_TTAFStock[WeekIndex],73)&gt;0)&gt;0,SUMIFS(T_SelfStock[Self_Qty],T_SelfStock[RM_Code],$A78,T_SelfStock[WeekIndex],73)+SUMIFS(T_TTAFStock[TTAF_Qty],T_TTAFStock[RM_Code],$A78,T_TTAFStock[WeekIndex],73),BU78+'Grid_Incoming'!BV78-'Grid_Requirement'!BV78))</f>
        <v/>
      </c>
      <c r="BW78">
        <f>IF(COUNTIFS(T_StockCount[RM_Code],$A78,T_StockCount[WeekIndex],74)&gt;0,SUMIFS(T_StockCount[CountedQty],T_StockCount[RM_Code],$A78,T_StockCount[WeekIndex],74),IF((COUNTIFS(T_SelfStock[RM_Code],$A78,T_SelfStock[WeekIndex],74)&gt;0)*(COUNTIFS(T_TTAFStock[RM_Code],$A78,T_TTAFStock[WeekIndex],74)&gt;0)&gt;0,SUMIFS(T_SelfStock[Self_Qty],T_SelfStock[RM_Code],$A78,T_SelfStock[WeekIndex],74)+SUMIFS(T_TTAFStock[TTAF_Qty],T_TTAFStock[RM_Code],$A78,T_TTAFStock[WeekIndex],74),BV78+'Grid_Incoming'!BW78-'Grid_Requirement'!BW78))</f>
        <v/>
      </c>
      <c r="BX78">
        <f>IF(COUNTIFS(T_StockCount[RM_Code],$A78,T_StockCount[WeekIndex],75)&gt;0,SUMIFS(T_StockCount[CountedQty],T_StockCount[RM_Code],$A78,T_StockCount[WeekIndex],75),IF((COUNTIFS(T_SelfStock[RM_Code],$A78,T_SelfStock[WeekIndex],75)&gt;0)*(COUNTIFS(T_TTAFStock[RM_Code],$A78,T_TTAFStock[WeekIndex],75)&gt;0)&gt;0,SUMIFS(T_SelfStock[Self_Qty],T_SelfStock[RM_Code],$A78,T_SelfStock[WeekIndex],75)+SUMIFS(T_TTAFStock[TTAF_Qty],T_TTAFStock[RM_Code],$A78,T_TTAFStock[WeekIndex],75),BW78+'Grid_Incoming'!BX78-'Grid_Requirement'!BX78))</f>
        <v/>
      </c>
      <c r="BY78">
        <f>IF(COUNTIFS(T_StockCount[RM_Code],$A78,T_StockCount[WeekIndex],76)&gt;0,SUMIFS(T_StockCount[CountedQty],T_StockCount[RM_Code],$A78,T_StockCount[WeekIndex],76),IF((COUNTIFS(T_SelfStock[RM_Code],$A78,T_SelfStock[WeekIndex],76)&gt;0)*(COUNTIFS(T_TTAFStock[RM_Code],$A78,T_TTAFStock[WeekIndex],76)&gt;0)&gt;0,SUMIFS(T_SelfStock[Self_Qty],T_SelfStock[RM_Code],$A78,T_SelfStock[WeekIndex],76)+SUMIFS(T_TTAFStock[TTAF_Qty],T_TTAFStock[RM_Code],$A78,T_TTAFStock[WeekIndex],76),BX78+'Grid_Incoming'!BY78-'Grid_Requirement'!BY78))</f>
        <v/>
      </c>
      <c r="BZ78">
        <f>IF(COUNTIFS(T_StockCount[RM_Code],$A78,T_StockCount[WeekIndex],77)&gt;0,SUMIFS(T_StockCount[CountedQty],T_StockCount[RM_Code],$A78,T_StockCount[WeekIndex],77),IF((COUNTIFS(T_SelfStock[RM_Code],$A78,T_SelfStock[WeekIndex],77)&gt;0)*(COUNTIFS(T_TTAFStock[RM_Code],$A78,T_TTAFStock[WeekIndex],77)&gt;0)&gt;0,SUMIFS(T_SelfStock[Self_Qty],T_SelfStock[RM_Code],$A78,T_SelfStock[WeekIndex],77)+SUMIFS(T_TTAFStock[TTAF_Qty],T_TTAFStock[RM_Code],$A78,T_TTAFStock[WeekIndex],77),BY78+'Grid_Incoming'!BZ78-'Grid_Requirement'!BZ78))</f>
        <v/>
      </c>
      <c r="CA78">
        <f>IF(COUNTIFS(T_StockCount[RM_Code],$A78,T_StockCount[WeekIndex],78)&gt;0,SUMIFS(T_StockCount[CountedQty],T_StockCount[RM_Code],$A78,T_StockCount[WeekIndex],78),IF((COUNTIFS(T_SelfStock[RM_Code],$A78,T_SelfStock[WeekIndex],78)&gt;0)*(COUNTIFS(T_TTAFStock[RM_Code],$A78,T_TTAFStock[WeekIndex],78)&gt;0)&gt;0,SUMIFS(T_SelfStock[Self_Qty],T_SelfStock[RM_Code],$A78,T_SelfStock[WeekIndex],78)+SUMIFS(T_TTAFStock[TTAF_Qty],T_TTAFStock[RM_Code],$A78,T_TTAFStock[WeekIndex],78),BZ78+'Grid_Incoming'!CA78-'Grid_Requirement'!CA78))</f>
        <v/>
      </c>
      <c r="CB78">
        <f>IF(COUNTIFS(T_StockCount[RM_Code],$A78,T_StockCount[WeekIndex],79)&gt;0,SUMIFS(T_StockCount[CountedQty],T_StockCount[RM_Code],$A78,T_StockCount[WeekIndex],79),IF((COUNTIFS(T_SelfStock[RM_Code],$A78,T_SelfStock[WeekIndex],79)&gt;0)*(COUNTIFS(T_TTAFStock[RM_Code],$A78,T_TTAFStock[WeekIndex],79)&gt;0)&gt;0,SUMIFS(T_SelfStock[Self_Qty],T_SelfStock[RM_Code],$A78,T_SelfStock[WeekIndex],79)+SUMIFS(T_TTAFStock[TTAF_Qty],T_TTAFStock[RM_Code],$A78,T_TTAFStock[WeekIndex],79),CA78+'Grid_Incoming'!CB78-'Grid_Requirement'!CB78))</f>
        <v/>
      </c>
      <c r="CC78">
        <f>IF(COUNTIFS(T_StockCount[RM_Code],$A78,T_StockCount[WeekIndex],80)&gt;0,SUMIFS(T_StockCount[CountedQty],T_StockCount[RM_Code],$A78,T_StockCount[WeekIndex],80),IF((COUNTIFS(T_SelfStock[RM_Code],$A78,T_SelfStock[WeekIndex],80)&gt;0)*(COUNTIFS(T_TTAFStock[RM_Code],$A78,T_TTAFStock[WeekIndex],80)&gt;0)&gt;0,SUMIFS(T_SelfStock[Self_Qty],T_SelfStock[RM_Code],$A78,T_SelfStock[WeekIndex],80)+SUMIFS(T_TTAFStock[TTAF_Qty],T_TTAFStock[RM_Code],$A78,T_TTAFStock[WeekIndex],80),CB78+'Grid_Incoming'!CC78-'Grid_Requirement'!CC78))</f>
        <v/>
      </c>
      <c r="CD78">
        <f>IF(COUNTIFS(T_StockCount[RM_Code],$A78,T_StockCount[WeekIndex],81)&gt;0,SUMIFS(T_StockCount[CountedQty],T_StockCount[RM_Code],$A78,T_StockCount[WeekIndex],81),IF((COUNTIFS(T_SelfStock[RM_Code],$A78,T_SelfStock[WeekIndex],81)&gt;0)*(COUNTIFS(T_TTAFStock[RM_Code],$A78,T_TTAFStock[WeekIndex],81)&gt;0)&gt;0,SUMIFS(T_SelfStock[Self_Qty],T_SelfStock[RM_Code],$A78,T_SelfStock[WeekIndex],81)+SUMIFS(T_TTAFStock[TTAF_Qty],T_TTAFStock[RM_Code],$A78,T_TTAFStock[WeekIndex],81),CC78+'Grid_Incoming'!CD78-'Grid_Requirement'!CD78))</f>
        <v/>
      </c>
      <c r="CE78">
        <f>IF(COUNTIFS(T_StockCount[RM_Code],$A78,T_StockCount[WeekIndex],82)&gt;0,SUMIFS(T_StockCount[CountedQty],T_StockCount[RM_Code],$A78,T_StockCount[WeekIndex],82),IF((COUNTIFS(T_SelfStock[RM_Code],$A78,T_SelfStock[WeekIndex],82)&gt;0)*(COUNTIFS(T_TTAFStock[RM_Code],$A78,T_TTAFStock[WeekIndex],82)&gt;0)&gt;0,SUMIFS(T_SelfStock[Self_Qty],T_SelfStock[RM_Code],$A78,T_SelfStock[WeekIndex],82)+SUMIFS(T_TTAFStock[TTAF_Qty],T_TTAFStock[RM_Code],$A78,T_TTAFStock[WeekIndex],82),CD78+'Grid_Incoming'!CE78-'Grid_Requirement'!CE78))</f>
        <v/>
      </c>
      <c r="CF78">
        <f>IF(COUNTIFS(T_StockCount[RM_Code],$A78,T_StockCount[WeekIndex],83)&gt;0,SUMIFS(T_StockCount[CountedQty],T_StockCount[RM_Code],$A78,T_StockCount[WeekIndex],83),IF((COUNTIFS(T_SelfStock[RM_Code],$A78,T_SelfStock[WeekIndex],83)&gt;0)*(COUNTIFS(T_TTAFStock[RM_Code],$A78,T_TTAFStock[WeekIndex],83)&gt;0)&gt;0,SUMIFS(T_SelfStock[Self_Qty],T_SelfStock[RM_Code],$A78,T_SelfStock[WeekIndex],83)+SUMIFS(T_TTAFStock[TTAF_Qty],T_TTAFStock[RM_Code],$A78,T_TTAFStock[WeekIndex],83),CE78+'Grid_Incoming'!CF78-'Grid_Requirement'!CF78))</f>
        <v/>
      </c>
      <c r="CG78">
        <f>IF(COUNTIFS(T_StockCount[RM_Code],$A78,T_StockCount[WeekIndex],84)&gt;0,SUMIFS(T_StockCount[CountedQty],T_StockCount[RM_Code],$A78,T_StockCount[WeekIndex],84),IF((COUNTIFS(T_SelfStock[RM_Code],$A78,T_SelfStock[WeekIndex],84)&gt;0)*(COUNTIFS(T_TTAFStock[RM_Code],$A78,T_TTAFStock[WeekIndex],84)&gt;0)&gt;0,SUMIFS(T_SelfStock[Self_Qty],T_SelfStock[RM_Code],$A78,T_SelfStock[WeekIndex],84)+SUMIFS(T_TTAFStock[TTAF_Qty],T_TTAFStock[RM_Code],$A78,T_TTAFStock[WeekIndex],84),CF78+'Grid_Incoming'!CG78-'Grid_Requirement'!CG78))</f>
        <v/>
      </c>
      <c r="CH78">
        <f>IF(COUNTIFS(T_StockCount[RM_Code],$A78,T_StockCount[WeekIndex],85)&gt;0,SUMIFS(T_StockCount[CountedQty],T_StockCount[RM_Code],$A78,T_StockCount[WeekIndex],85),IF((COUNTIFS(T_SelfStock[RM_Code],$A78,T_SelfStock[WeekIndex],85)&gt;0)*(COUNTIFS(T_TTAFStock[RM_Code],$A78,T_TTAFStock[WeekIndex],85)&gt;0)&gt;0,SUMIFS(T_SelfStock[Self_Qty],T_SelfStock[RM_Code],$A78,T_SelfStock[WeekIndex],85)+SUMIFS(T_TTAFStock[TTAF_Qty],T_TTAFStock[RM_Code],$A78,T_TTAFStock[WeekIndex],85),CG78+'Grid_Incoming'!CH78-'Grid_Requirement'!CH78))</f>
        <v/>
      </c>
      <c r="CI78">
        <f>IF(COUNTIFS(T_StockCount[RM_Code],$A78,T_StockCount[WeekIndex],86)&gt;0,SUMIFS(T_StockCount[CountedQty],T_StockCount[RM_Code],$A78,T_StockCount[WeekIndex],86),IF((COUNTIFS(T_SelfStock[RM_Code],$A78,T_SelfStock[WeekIndex],86)&gt;0)*(COUNTIFS(T_TTAFStock[RM_Code],$A78,T_TTAFStock[WeekIndex],86)&gt;0)&gt;0,SUMIFS(T_SelfStock[Self_Qty],T_SelfStock[RM_Code],$A78,T_SelfStock[WeekIndex],86)+SUMIFS(T_TTAFStock[TTAF_Qty],T_TTAFStock[RM_Code],$A78,T_TTAFStock[WeekIndex],86),CH78+'Grid_Incoming'!CI78-'Grid_Requirement'!CI78))</f>
        <v/>
      </c>
      <c r="CJ78">
        <f>IF(COUNTIFS(T_StockCount[RM_Code],$A78,T_StockCount[WeekIndex],87)&gt;0,SUMIFS(T_StockCount[CountedQty],T_StockCount[RM_Code],$A78,T_StockCount[WeekIndex],87),IF((COUNTIFS(T_SelfStock[RM_Code],$A78,T_SelfStock[WeekIndex],87)&gt;0)*(COUNTIFS(T_TTAFStock[RM_Code],$A78,T_TTAFStock[WeekIndex],87)&gt;0)&gt;0,SUMIFS(T_SelfStock[Self_Qty],T_SelfStock[RM_Code],$A78,T_SelfStock[WeekIndex],87)+SUMIFS(T_TTAFStock[TTAF_Qty],T_TTAFStock[RM_Code],$A78,T_TTAFStock[WeekIndex],87),CI78+'Grid_Incoming'!CJ78-'Grid_Requirement'!CJ78))</f>
        <v/>
      </c>
      <c r="CK78">
        <f>IF(COUNTIFS(T_StockCount[RM_Code],$A78,T_StockCount[WeekIndex],88)&gt;0,SUMIFS(T_StockCount[CountedQty],T_StockCount[RM_Code],$A78,T_StockCount[WeekIndex],88),IF((COUNTIFS(T_SelfStock[RM_Code],$A78,T_SelfStock[WeekIndex],88)&gt;0)*(COUNTIFS(T_TTAFStock[RM_Code],$A78,T_TTAFStock[WeekIndex],88)&gt;0)&gt;0,SUMIFS(T_SelfStock[Self_Qty],T_SelfStock[RM_Code],$A78,T_SelfStock[WeekIndex],88)+SUMIFS(T_TTAFStock[TTAF_Qty],T_TTAFStock[RM_Code],$A78,T_TTAFStock[WeekIndex],88),CJ78+'Grid_Incoming'!CK78-'Grid_Requirement'!CK78))</f>
        <v/>
      </c>
      <c r="CL78">
        <f>IF(COUNTIFS(T_StockCount[RM_Code],$A78,T_StockCount[WeekIndex],89)&gt;0,SUMIFS(T_StockCount[CountedQty],T_StockCount[RM_Code],$A78,T_StockCount[WeekIndex],89),IF((COUNTIFS(T_SelfStock[RM_Code],$A78,T_SelfStock[WeekIndex],89)&gt;0)*(COUNTIFS(T_TTAFStock[RM_Code],$A78,T_TTAFStock[WeekIndex],89)&gt;0)&gt;0,SUMIFS(T_SelfStock[Self_Qty],T_SelfStock[RM_Code],$A78,T_SelfStock[WeekIndex],89)+SUMIFS(T_TTAFStock[TTAF_Qty],T_TTAFStock[RM_Code],$A78,T_TTAFStock[WeekIndex],89),CK78+'Grid_Incoming'!CL78-'Grid_Requirement'!CL78))</f>
        <v/>
      </c>
      <c r="CM78">
        <f>IF(COUNTIFS(T_StockCount[RM_Code],$A78,T_StockCount[WeekIndex],90)&gt;0,SUMIFS(T_StockCount[CountedQty],T_StockCount[RM_Code],$A78,T_StockCount[WeekIndex],90),IF((COUNTIFS(T_SelfStock[RM_Code],$A78,T_SelfStock[WeekIndex],90)&gt;0)*(COUNTIFS(T_TTAFStock[RM_Code],$A78,T_TTAFStock[WeekIndex],90)&gt;0)&gt;0,SUMIFS(T_SelfStock[Self_Qty],T_SelfStock[RM_Code],$A78,T_SelfStock[WeekIndex],90)+SUMIFS(T_TTAFStock[TTAF_Qty],T_TTAFStock[RM_Code],$A78,T_TTAFStock[WeekIndex],90),CL78+'Grid_Incoming'!CM78-'Grid_Requirement'!CM78))</f>
        <v/>
      </c>
      <c r="CN78">
        <f>IF(COUNTIFS(T_StockCount[RM_Code],$A78,T_StockCount[WeekIndex],91)&gt;0,SUMIFS(T_StockCount[CountedQty],T_StockCount[RM_Code],$A78,T_StockCount[WeekIndex],91),IF((COUNTIFS(T_SelfStock[RM_Code],$A78,T_SelfStock[WeekIndex],91)&gt;0)*(COUNTIFS(T_TTAFStock[RM_Code],$A78,T_TTAFStock[WeekIndex],91)&gt;0)&gt;0,SUMIFS(T_SelfStock[Self_Qty],T_SelfStock[RM_Code],$A78,T_SelfStock[WeekIndex],91)+SUMIFS(T_TTAFStock[TTAF_Qty],T_TTAFStock[RM_Code],$A78,T_TTAFStock[WeekIndex],91),CM78+'Grid_Incoming'!CN78-'Grid_Requirement'!CN78))</f>
        <v/>
      </c>
      <c r="CO78">
        <f>IF(COUNTIFS(T_StockCount[RM_Code],$A78,T_StockCount[WeekIndex],92)&gt;0,SUMIFS(T_StockCount[CountedQty],T_StockCount[RM_Code],$A78,T_StockCount[WeekIndex],92),IF((COUNTIFS(T_SelfStock[RM_Code],$A78,T_SelfStock[WeekIndex],92)&gt;0)*(COUNTIFS(T_TTAFStock[RM_Code],$A78,T_TTAFStock[WeekIndex],92)&gt;0)&gt;0,SUMIFS(T_SelfStock[Self_Qty],T_SelfStock[RM_Code],$A78,T_SelfStock[WeekIndex],92)+SUMIFS(T_TTAFStock[TTAF_Qty],T_TTAFStock[RM_Code],$A78,T_TTAFStock[WeekIndex],92),CN78+'Grid_Incoming'!CO78-'Grid_Requirement'!CO78))</f>
        <v/>
      </c>
      <c r="CP78">
        <f>IF(COUNTIFS(T_StockCount[RM_Code],$A78,T_StockCount[WeekIndex],93)&gt;0,SUMIFS(T_StockCount[CountedQty],T_StockCount[RM_Code],$A78,T_StockCount[WeekIndex],93),IF((COUNTIFS(T_SelfStock[RM_Code],$A78,T_SelfStock[WeekIndex],93)&gt;0)*(COUNTIFS(T_TTAFStock[RM_Code],$A78,T_TTAFStock[WeekIndex],93)&gt;0)&gt;0,SUMIFS(T_SelfStock[Self_Qty],T_SelfStock[RM_Code],$A78,T_SelfStock[WeekIndex],93)+SUMIFS(T_TTAFStock[TTAF_Qty],T_TTAFStock[RM_Code],$A78,T_TTAFStock[WeekIndex],93),CO78+'Grid_Incoming'!CP78-'Grid_Requirement'!CP78))</f>
        <v/>
      </c>
      <c r="CQ78">
        <f>IF(COUNTIFS(T_StockCount[RM_Code],$A78,T_StockCount[WeekIndex],94)&gt;0,SUMIFS(T_StockCount[CountedQty],T_StockCount[RM_Code],$A78,T_StockCount[WeekIndex],94),IF((COUNTIFS(T_SelfStock[RM_Code],$A78,T_SelfStock[WeekIndex],94)&gt;0)*(COUNTIFS(T_TTAFStock[RM_Code],$A78,T_TTAFStock[WeekIndex],94)&gt;0)&gt;0,SUMIFS(T_SelfStock[Self_Qty],T_SelfStock[RM_Code],$A78,T_SelfStock[WeekIndex],94)+SUMIFS(T_TTAFStock[TTAF_Qty],T_TTAFStock[RM_Code],$A78,T_TTAFStock[WeekIndex],94),CP78+'Grid_Incoming'!CQ78-'Grid_Requirement'!CQ78))</f>
        <v/>
      </c>
      <c r="CR78">
        <f>IF(COUNTIFS(T_StockCount[RM_Code],$A78,T_StockCount[WeekIndex],95)&gt;0,SUMIFS(T_StockCount[CountedQty],T_StockCount[RM_Code],$A78,T_StockCount[WeekIndex],95),IF((COUNTIFS(T_SelfStock[RM_Code],$A78,T_SelfStock[WeekIndex],95)&gt;0)*(COUNTIFS(T_TTAFStock[RM_Code],$A78,T_TTAFStock[WeekIndex],95)&gt;0)&gt;0,SUMIFS(T_SelfStock[Self_Qty],T_SelfStock[RM_Code],$A78,T_SelfStock[WeekIndex],95)+SUMIFS(T_TTAFStock[TTAF_Qty],T_TTAFStock[RM_Code],$A78,T_TTAFStock[WeekIndex],95),CQ78+'Grid_Incoming'!CR78-'Grid_Requirement'!CR78))</f>
        <v/>
      </c>
      <c r="CS78">
        <f>IF(COUNTIFS(T_StockCount[RM_Code],$A78,T_StockCount[WeekIndex],96)&gt;0,SUMIFS(T_StockCount[CountedQty],T_StockCount[RM_Code],$A78,T_StockCount[WeekIndex],96),IF((COUNTIFS(T_SelfStock[RM_Code],$A78,T_SelfStock[WeekIndex],96)&gt;0)*(COUNTIFS(T_TTAFStock[RM_Code],$A78,T_TTAFStock[WeekIndex],96)&gt;0)&gt;0,SUMIFS(T_SelfStock[Self_Qty],T_SelfStock[RM_Code],$A78,T_SelfStock[WeekIndex],96)+SUMIFS(T_TTAFStock[TTAF_Qty],T_TTAFStock[RM_Code],$A78,T_TTAFStock[WeekIndex],96),CR78+'Grid_Incoming'!CS78-'Grid_Requirement'!CS78))</f>
        <v/>
      </c>
      <c r="CT78">
        <f>IF(COUNTIFS(T_StockCount[RM_Code],$A78,T_StockCount[WeekIndex],97)&gt;0,SUMIFS(T_StockCount[CountedQty],T_StockCount[RM_Code],$A78,T_StockCount[WeekIndex],97),IF((COUNTIFS(T_SelfStock[RM_Code],$A78,T_SelfStock[WeekIndex],97)&gt;0)*(COUNTIFS(T_TTAFStock[RM_Code],$A78,T_TTAFStock[WeekIndex],97)&gt;0)&gt;0,SUMIFS(T_SelfStock[Self_Qty],T_SelfStock[RM_Code],$A78,T_SelfStock[WeekIndex],97)+SUMIFS(T_TTAFStock[TTAF_Qty],T_TTAFStock[RM_Code],$A78,T_TTAFStock[WeekIndex],97),CS78+'Grid_Incoming'!CT78-'Grid_Requirement'!CT78))</f>
        <v/>
      </c>
      <c r="CU78">
        <f>IF(COUNTIFS(T_StockCount[RM_Code],$A78,T_StockCount[WeekIndex],98)&gt;0,SUMIFS(T_StockCount[CountedQty],T_StockCount[RM_Code],$A78,T_StockCount[WeekIndex],98),IF((COUNTIFS(T_SelfStock[RM_Code],$A78,T_SelfStock[WeekIndex],98)&gt;0)*(COUNTIFS(T_TTAFStock[RM_Code],$A78,T_TTAFStock[WeekIndex],98)&gt;0)&gt;0,SUMIFS(T_SelfStock[Self_Qty],T_SelfStock[RM_Code],$A78,T_SelfStock[WeekIndex],98)+SUMIFS(T_TTAFStock[TTAF_Qty],T_TTAFStock[RM_Code],$A78,T_TTAFStock[WeekIndex],98),CT78+'Grid_Incoming'!CU78-'Grid_Requirement'!CU78))</f>
        <v/>
      </c>
      <c r="CV78">
        <f>IF(COUNTIFS(T_StockCount[RM_Code],$A78,T_StockCount[WeekIndex],99)&gt;0,SUMIFS(T_StockCount[CountedQty],T_StockCount[RM_Code],$A78,T_StockCount[WeekIndex],99),IF((COUNTIFS(T_SelfStock[RM_Code],$A78,T_SelfStock[WeekIndex],99)&gt;0)*(COUNTIFS(T_TTAFStock[RM_Code],$A78,T_TTAFStock[WeekIndex],99)&gt;0)&gt;0,SUMIFS(T_SelfStock[Self_Qty],T_SelfStock[RM_Code],$A78,T_SelfStock[WeekIndex],99)+SUMIFS(T_TTAFStock[TTAF_Qty],T_TTAFStock[RM_Code],$A78,T_TTAFStock[WeekIndex],99),CU78+'Grid_Incoming'!CV78-'Grid_Requirement'!CV78))</f>
        <v/>
      </c>
      <c r="CW78">
        <f>IF(COUNTIFS(T_StockCount[RM_Code],$A78,T_StockCount[WeekIndex],100)&gt;0,SUMIFS(T_StockCount[CountedQty],T_StockCount[RM_Code],$A78,T_StockCount[WeekIndex],100),IF((COUNTIFS(T_SelfStock[RM_Code],$A78,T_SelfStock[WeekIndex],100)&gt;0)*(COUNTIFS(T_TTAFStock[RM_Code],$A78,T_TTAFStock[WeekIndex],100)&gt;0)&gt;0,SUMIFS(T_SelfStock[Self_Qty],T_SelfStock[RM_Code],$A78,T_SelfStock[WeekIndex],100)+SUMIFS(T_TTAFStock[TTAF_Qty],T_TTAFStock[RM_Code],$A78,T_TTAFStock[WeekIndex],100),CV78+'Grid_Incoming'!CW78-'Grid_Requirement'!CW78))</f>
        <v/>
      </c>
      <c r="CX78">
        <f>IF(COUNTIFS(T_StockCount[RM_Code],$A78,T_StockCount[WeekIndex],101)&gt;0,SUMIFS(T_StockCount[CountedQty],T_StockCount[RM_Code],$A78,T_StockCount[WeekIndex],101),IF((COUNTIFS(T_SelfStock[RM_Code],$A78,T_SelfStock[WeekIndex],101)&gt;0)*(COUNTIFS(T_TTAFStock[RM_Code],$A78,T_TTAFStock[WeekIndex],101)&gt;0)&gt;0,SUMIFS(T_SelfStock[Self_Qty],T_SelfStock[RM_Code],$A78,T_SelfStock[WeekIndex],101)+SUMIFS(T_TTAFStock[TTAF_Qty],T_TTAFStock[RM_Code],$A78,T_TTAFStock[WeekIndex],101),CW78+'Grid_Incoming'!CX78-'Grid_Requirement'!CX78))</f>
        <v/>
      </c>
      <c r="CY78">
        <f>IF(COUNTIFS(T_StockCount[RM_Code],$A78,T_StockCount[WeekIndex],102)&gt;0,SUMIFS(T_StockCount[CountedQty],T_StockCount[RM_Code],$A78,T_StockCount[WeekIndex],102),IF((COUNTIFS(T_SelfStock[RM_Code],$A78,T_SelfStock[WeekIndex],102)&gt;0)*(COUNTIFS(T_TTAFStock[RM_Code],$A78,T_TTAFStock[WeekIndex],102)&gt;0)&gt;0,SUMIFS(T_SelfStock[Self_Qty],T_SelfStock[RM_Code],$A78,T_SelfStock[WeekIndex],102)+SUMIFS(T_TTAFStock[TTAF_Qty],T_TTAFStock[RM_Code],$A78,T_TTAFStock[WeekIndex],102),CX78+'Grid_Incoming'!CY78-'Grid_Requirement'!CY78))</f>
        <v/>
      </c>
      <c r="CZ78">
        <f>IF(COUNTIFS(T_StockCount[RM_Code],$A78,T_StockCount[WeekIndex],103)&gt;0,SUMIFS(T_StockCount[CountedQty],T_StockCount[RM_Code],$A78,T_StockCount[WeekIndex],103),IF((COUNTIFS(T_SelfStock[RM_Code],$A78,T_SelfStock[WeekIndex],103)&gt;0)*(COUNTIFS(T_TTAFStock[RM_Code],$A78,T_TTAFStock[WeekIndex],103)&gt;0)&gt;0,SUMIFS(T_SelfStock[Self_Qty],T_SelfStock[RM_Code],$A78,T_SelfStock[WeekIndex],103)+SUMIFS(T_TTAFStock[TTAF_Qty],T_TTAFStock[RM_Code],$A78,T_TTAFStock[WeekIndex],103),CY78+'Grid_Incoming'!CZ78-'Grid_Requirement'!CZ78))</f>
        <v/>
      </c>
      <c r="DA78">
        <f>IF(COUNTIFS(T_StockCount[RM_Code],$A78,T_StockCount[WeekIndex],104)&gt;0,SUMIFS(T_StockCount[CountedQty],T_StockCount[RM_Code],$A78,T_StockCount[WeekIndex],104),IF((COUNTIFS(T_SelfStock[RM_Code],$A78,T_SelfStock[WeekIndex],104)&gt;0)*(COUNTIFS(T_TTAFStock[RM_Code],$A78,T_TTAFStock[WeekIndex],104)&gt;0)&gt;0,SUMIFS(T_SelfStock[Self_Qty],T_SelfStock[RM_Code],$A78,T_SelfStock[WeekIndex],104)+SUMIFS(T_TTAFStock[TTAF_Qty],T_TTAFStock[RM_Code],$A78,T_TTAFStock[WeekIndex],104),CZ78+'Grid_Incoming'!DA78-'Grid_Requirement'!DA78))</f>
        <v/>
      </c>
    </row>
    <row r="79">
      <c r="A79" t="inlineStr">
        <is>
          <t>Chem-1490</t>
        </is>
      </c>
      <c r="B79">
        <f>IF(COUNTIFS(T_StockCount[RM_Code],$A79,T_StockCount[WeekIndex],1)&gt;0,SUMIFS(T_StockCount[CountedQty],T_StockCount[RM_Code],$A79,T_StockCount[WeekIndex],1),IF((COUNTIFS(T_SelfStock[RM_Code],$A79,T_SelfStock[WeekIndex],1)&gt;0)*(COUNTIFS(T_TTAFStock[RM_Code],$A79,T_TTAFStock[WeekIndex],1)&gt;0)&gt;0,SUMIFS(T_SelfStock[Self_Qty],T_SelfStock[RM_Code],$A79,T_SelfStock[WeekIndex],1)+SUMIFS(T_TTAFStock[TTAF_Qty],T_TTAFStock[RM_Code],$A79,T_TTAFStock[WeekIndex],1),IFERROR(INDEX(T_OpeningStock[Opening_Qty],MATCH($A79,T_OpeningStock[RM_Code],0)),0)+'Grid_Incoming'!B79-'Grid_Requirement'!B79))</f>
        <v/>
      </c>
      <c r="C79">
        <f>IF(COUNTIFS(T_StockCount[RM_Code],$A79,T_StockCount[WeekIndex],2)&gt;0,SUMIFS(T_StockCount[CountedQty],T_StockCount[RM_Code],$A79,T_StockCount[WeekIndex],2),IF((COUNTIFS(T_SelfStock[RM_Code],$A79,T_SelfStock[WeekIndex],2)&gt;0)*(COUNTIFS(T_TTAFStock[RM_Code],$A79,T_TTAFStock[WeekIndex],2)&gt;0)&gt;0,SUMIFS(T_SelfStock[Self_Qty],T_SelfStock[RM_Code],$A79,T_SelfStock[WeekIndex],2)+SUMIFS(T_TTAFStock[TTAF_Qty],T_TTAFStock[RM_Code],$A79,T_TTAFStock[WeekIndex],2),B79+'Grid_Incoming'!C79-'Grid_Requirement'!C79))</f>
        <v/>
      </c>
      <c r="D79">
        <f>IF(COUNTIFS(T_StockCount[RM_Code],$A79,T_StockCount[WeekIndex],3)&gt;0,SUMIFS(T_StockCount[CountedQty],T_StockCount[RM_Code],$A79,T_StockCount[WeekIndex],3),IF((COUNTIFS(T_SelfStock[RM_Code],$A79,T_SelfStock[WeekIndex],3)&gt;0)*(COUNTIFS(T_TTAFStock[RM_Code],$A79,T_TTAFStock[WeekIndex],3)&gt;0)&gt;0,SUMIFS(T_SelfStock[Self_Qty],T_SelfStock[RM_Code],$A79,T_SelfStock[WeekIndex],3)+SUMIFS(T_TTAFStock[TTAF_Qty],T_TTAFStock[RM_Code],$A79,T_TTAFStock[WeekIndex],3),C79+'Grid_Incoming'!D79-'Grid_Requirement'!D79))</f>
        <v/>
      </c>
      <c r="E79">
        <f>IF(COUNTIFS(T_StockCount[RM_Code],$A79,T_StockCount[WeekIndex],4)&gt;0,SUMIFS(T_StockCount[CountedQty],T_StockCount[RM_Code],$A79,T_StockCount[WeekIndex],4),IF((COUNTIFS(T_SelfStock[RM_Code],$A79,T_SelfStock[WeekIndex],4)&gt;0)*(COUNTIFS(T_TTAFStock[RM_Code],$A79,T_TTAFStock[WeekIndex],4)&gt;0)&gt;0,SUMIFS(T_SelfStock[Self_Qty],T_SelfStock[RM_Code],$A79,T_SelfStock[WeekIndex],4)+SUMIFS(T_TTAFStock[TTAF_Qty],T_TTAFStock[RM_Code],$A79,T_TTAFStock[WeekIndex],4),D79+'Grid_Incoming'!E79-'Grid_Requirement'!E79))</f>
        <v/>
      </c>
      <c r="F79">
        <f>IF(COUNTIFS(T_StockCount[RM_Code],$A79,T_StockCount[WeekIndex],5)&gt;0,SUMIFS(T_StockCount[CountedQty],T_StockCount[RM_Code],$A79,T_StockCount[WeekIndex],5),IF((COUNTIFS(T_SelfStock[RM_Code],$A79,T_SelfStock[WeekIndex],5)&gt;0)*(COUNTIFS(T_TTAFStock[RM_Code],$A79,T_TTAFStock[WeekIndex],5)&gt;0)&gt;0,SUMIFS(T_SelfStock[Self_Qty],T_SelfStock[RM_Code],$A79,T_SelfStock[WeekIndex],5)+SUMIFS(T_TTAFStock[TTAF_Qty],T_TTAFStock[RM_Code],$A79,T_TTAFStock[WeekIndex],5),E79+'Grid_Incoming'!F79-'Grid_Requirement'!F79))</f>
        <v/>
      </c>
      <c r="G79">
        <f>IF(COUNTIFS(T_StockCount[RM_Code],$A79,T_StockCount[WeekIndex],6)&gt;0,SUMIFS(T_StockCount[CountedQty],T_StockCount[RM_Code],$A79,T_StockCount[WeekIndex],6),IF((COUNTIFS(T_SelfStock[RM_Code],$A79,T_SelfStock[WeekIndex],6)&gt;0)*(COUNTIFS(T_TTAFStock[RM_Code],$A79,T_TTAFStock[WeekIndex],6)&gt;0)&gt;0,SUMIFS(T_SelfStock[Self_Qty],T_SelfStock[RM_Code],$A79,T_SelfStock[WeekIndex],6)+SUMIFS(T_TTAFStock[TTAF_Qty],T_TTAFStock[RM_Code],$A79,T_TTAFStock[WeekIndex],6),F79+'Grid_Incoming'!G79-'Grid_Requirement'!G79))</f>
        <v/>
      </c>
      <c r="H79">
        <f>IF(COUNTIFS(T_StockCount[RM_Code],$A79,T_StockCount[WeekIndex],7)&gt;0,SUMIFS(T_StockCount[CountedQty],T_StockCount[RM_Code],$A79,T_StockCount[WeekIndex],7),IF((COUNTIFS(T_SelfStock[RM_Code],$A79,T_SelfStock[WeekIndex],7)&gt;0)*(COUNTIFS(T_TTAFStock[RM_Code],$A79,T_TTAFStock[WeekIndex],7)&gt;0)&gt;0,SUMIFS(T_SelfStock[Self_Qty],T_SelfStock[RM_Code],$A79,T_SelfStock[WeekIndex],7)+SUMIFS(T_TTAFStock[TTAF_Qty],T_TTAFStock[RM_Code],$A79,T_TTAFStock[WeekIndex],7),G79+'Grid_Incoming'!H79-'Grid_Requirement'!H79))</f>
        <v/>
      </c>
      <c r="I79">
        <f>IF(COUNTIFS(T_StockCount[RM_Code],$A79,T_StockCount[WeekIndex],8)&gt;0,SUMIFS(T_StockCount[CountedQty],T_StockCount[RM_Code],$A79,T_StockCount[WeekIndex],8),IF((COUNTIFS(T_SelfStock[RM_Code],$A79,T_SelfStock[WeekIndex],8)&gt;0)*(COUNTIFS(T_TTAFStock[RM_Code],$A79,T_TTAFStock[WeekIndex],8)&gt;0)&gt;0,SUMIFS(T_SelfStock[Self_Qty],T_SelfStock[RM_Code],$A79,T_SelfStock[WeekIndex],8)+SUMIFS(T_TTAFStock[TTAF_Qty],T_TTAFStock[RM_Code],$A79,T_TTAFStock[WeekIndex],8),H79+'Grid_Incoming'!I79-'Grid_Requirement'!I79))</f>
        <v/>
      </c>
      <c r="J79">
        <f>IF(COUNTIFS(T_StockCount[RM_Code],$A79,T_StockCount[WeekIndex],9)&gt;0,SUMIFS(T_StockCount[CountedQty],T_StockCount[RM_Code],$A79,T_StockCount[WeekIndex],9),IF((COUNTIFS(T_SelfStock[RM_Code],$A79,T_SelfStock[WeekIndex],9)&gt;0)*(COUNTIFS(T_TTAFStock[RM_Code],$A79,T_TTAFStock[WeekIndex],9)&gt;0)&gt;0,SUMIFS(T_SelfStock[Self_Qty],T_SelfStock[RM_Code],$A79,T_SelfStock[WeekIndex],9)+SUMIFS(T_TTAFStock[TTAF_Qty],T_TTAFStock[RM_Code],$A79,T_TTAFStock[WeekIndex],9),I79+'Grid_Incoming'!J79-'Grid_Requirement'!J79))</f>
        <v/>
      </c>
      <c r="K79">
        <f>IF(COUNTIFS(T_StockCount[RM_Code],$A79,T_StockCount[WeekIndex],10)&gt;0,SUMIFS(T_StockCount[CountedQty],T_StockCount[RM_Code],$A79,T_StockCount[WeekIndex],10),IF((COUNTIFS(T_SelfStock[RM_Code],$A79,T_SelfStock[WeekIndex],10)&gt;0)*(COUNTIFS(T_TTAFStock[RM_Code],$A79,T_TTAFStock[WeekIndex],10)&gt;0)&gt;0,SUMIFS(T_SelfStock[Self_Qty],T_SelfStock[RM_Code],$A79,T_SelfStock[WeekIndex],10)+SUMIFS(T_TTAFStock[TTAF_Qty],T_TTAFStock[RM_Code],$A79,T_TTAFStock[WeekIndex],10),J79+'Grid_Incoming'!K79-'Grid_Requirement'!K79))</f>
        <v/>
      </c>
      <c r="L79">
        <f>IF(COUNTIFS(T_StockCount[RM_Code],$A79,T_StockCount[WeekIndex],11)&gt;0,SUMIFS(T_StockCount[CountedQty],T_StockCount[RM_Code],$A79,T_StockCount[WeekIndex],11),IF((COUNTIFS(T_SelfStock[RM_Code],$A79,T_SelfStock[WeekIndex],11)&gt;0)*(COUNTIFS(T_TTAFStock[RM_Code],$A79,T_TTAFStock[WeekIndex],11)&gt;0)&gt;0,SUMIFS(T_SelfStock[Self_Qty],T_SelfStock[RM_Code],$A79,T_SelfStock[WeekIndex],11)+SUMIFS(T_TTAFStock[TTAF_Qty],T_TTAFStock[RM_Code],$A79,T_TTAFStock[WeekIndex],11),K79+'Grid_Incoming'!L79-'Grid_Requirement'!L79))</f>
        <v/>
      </c>
      <c r="M79">
        <f>IF(COUNTIFS(T_StockCount[RM_Code],$A79,T_StockCount[WeekIndex],12)&gt;0,SUMIFS(T_StockCount[CountedQty],T_StockCount[RM_Code],$A79,T_StockCount[WeekIndex],12),IF((COUNTIFS(T_SelfStock[RM_Code],$A79,T_SelfStock[WeekIndex],12)&gt;0)*(COUNTIFS(T_TTAFStock[RM_Code],$A79,T_TTAFStock[WeekIndex],12)&gt;0)&gt;0,SUMIFS(T_SelfStock[Self_Qty],T_SelfStock[RM_Code],$A79,T_SelfStock[WeekIndex],12)+SUMIFS(T_TTAFStock[TTAF_Qty],T_TTAFStock[RM_Code],$A79,T_TTAFStock[WeekIndex],12),L79+'Grid_Incoming'!M79-'Grid_Requirement'!M79))</f>
        <v/>
      </c>
      <c r="N79">
        <f>IF(COUNTIFS(T_StockCount[RM_Code],$A79,T_StockCount[WeekIndex],13)&gt;0,SUMIFS(T_StockCount[CountedQty],T_StockCount[RM_Code],$A79,T_StockCount[WeekIndex],13),IF((COUNTIFS(T_SelfStock[RM_Code],$A79,T_SelfStock[WeekIndex],13)&gt;0)*(COUNTIFS(T_TTAFStock[RM_Code],$A79,T_TTAFStock[WeekIndex],13)&gt;0)&gt;0,SUMIFS(T_SelfStock[Self_Qty],T_SelfStock[RM_Code],$A79,T_SelfStock[WeekIndex],13)+SUMIFS(T_TTAFStock[TTAF_Qty],T_TTAFStock[RM_Code],$A79,T_TTAFStock[WeekIndex],13),M79+'Grid_Incoming'!N79-'Grid_Requirement'!N79))</f>
        <v/>
      </c>
      <c r="O79">
        <f>IF(COUNTIFS(T_StockCount[RM_Code],$A79,T_StockCount[WeekIndex],14)&gt;0,SUMIFS(T_StockCount[CountedQty],T_StockCount[RM_Code],$A79,T_StockCount[WeekIndex],14),IF((COUNTIFS(T_SelfStock[RM_Code],$A79,T_SelfStock[WeekIndex],14)&gt;0)*(COUNTIFS(T_TTAFStock[RM_Code],$A79,T_TTAFStock[WeekIndex],14)&gt;0)&gt;0,SUMIFS(T_SelfStock[Self_Qty],T_SelfStock[RM_Code],$A79,T_SelfStock[WeekIndex],14)+SUMIFS(T_TTAFStock[TTAF_Qty],T_TTAFStock[RM_Code],$A79,T_TTAFStock[WeekIndex],14),N79+'Grid_Incoming'!O79-'Grid_Requirement'!O79))</f>
        <v/>
      </c>
      <c r="P79">
        <f>IF(COUNTIFS(T_StockCount[RM_Code],$A79,T_StockCount[WeekIndex],15)&gt;0,SUMIFS(T_StockCount[CountedQty],T_StockCount[RM_Code],$A79,T_StockCount[WeekIndex],15),IF((COUNTIFS(T_SelfStock[RM_Code],$A79,T_SelfStock[WeekIndex],15)&gt;0)*(COUNTIFS(T_TTAFStock[RM_Code],$A79,T_TTAFStock[WeekIndex],15)&gt;0)&gt;0,SUMIFS(T_SelfStock[Self_Qty],T_SelfStock[RM_Code],$A79,T_SelfStock[WeekIndex],15)+SUMIFS(T_TTAFStock[TTAF_Qty],T_TTAFStock[RM_Code],$A79,T_TTAFStock[WeekIndex],15),O79+'Grid_Incoming'!P79-'Grid_Requirement'!P79))</f>
        <v/>
      </c>
      <c r="Q79">
        <f>IF(COUNTIFS(T_StockCount[RM_Code],$A79,T_StockCount[WeekIndex],16)&gt;0,SUMIFS(T_StockCount[CountedQty],T_StockCount[RM_Code],$A79,T_StockCount[WeekIndex],16),IF((COUNTIFS(T_SelfStock[RM_Code],$A79,T_SelfStock[WeekIndex],16)&gt;0)*(COUNTIFS(T_TTAFStock[RM_Code],$A79,T_TTAFStock[WeekIndex],16)&gt;0)&gt;0,SUMIFS(T_SelfStock[Self_Qty],T_SelfStock[RM_Code],$A79,T_SelfStock[WeekIndex],16)+SUMIFS(T_TTAFStock[TTAF_Qty],T_TTAFStock[RM_Code],$A79,T_TTAFStock[WeekIndex],16),P79+'Grid_Incoming'!Q79-'Grid_Requirement'!Q79))</f>
        <v/>
      </c>
      <c r="R79">
        <f>IF(COUNTIFS(T_StockCount[RM_Code],$A79,T_StockCount[WeekIndex],17)&gt;0,SUMIFS(T_StockCount[CountedQty],T_StockCount[RM_Code],$A79,T_StockCount[WeekIndex],17),IF((COUNTIFS(T_SelfStock[RM_Code],$A79,T_SelfStock[WeekIndex],17)&gt;0)*(COUNTIFS(T_TTAFStock[RM_Code],$A79,T_TTAFStock[WeekIndex],17)&gt;0)&gt;0,SUMIFS(T_SelfStock[Self_Qty],T_SelfStock[RM_Code],$A79,T_SelfStock[WeekIndex],17)+SUMIFS(T_TTAFStock[TTAF_Qty],T_TTAFStock[RM_Code],$A79,T_TTAFStock[WeekIndex],17),Q79+'Grid_Incoming'!R79-'Grid_Requirement'!R79))</f>
        <v/>
      </c>
      <c r="S79">
        <f>IF(COUNTIFS(T_StockCount[RM_Code],$A79,T_StockCount[WeekIndex],18)&gt;0,SUMIFS(T_StockCount[CountedQty],T_StockCount[RM_Code],$A79,T_StockCount[WeekIndex],18),IF((COUNTIFS(T_SelfStock[RM_Code],$A79,T_SelfStock[WeekIndex],18)&gt;0)*(COUNTIFS(T_TTAFStock[RM_Code],$A79,T_TTAFStock[WeekIndex],18)&gt;0)&gt;0,SUMIFS(T_SelfStock[Self_Qty],T_SelfStock[RM_Code],$A79,T_SelfStock[WeekIndex],18)+SUMIFS(T_TTAFStock[TTAF_Qty],T_TTAFStock[RM_Code],$A79,T_TTAFStock[WeekIndex],18),R79+'Grid_Incoming'!S79-'Grid_Requirement'!S79))</f>
        <v/>
      </c>
      <c r="T79">
        <f>IF(COUNTIFS(T_StockCount[RM_Code],$A79,T_StockCount[WeekIndex],19)&gt;0,SUMIFS(T_StockCount[CountedQty],T_StockCount[RM_Code],$A79,T_StockCount[WeekIndex],19),IF((COUNTIFS(T_SelfStock[RM_Code],$A79,T_SelfStock[WeekIndex],19)&gt;0)*(COUNTIFS(T_TTAFStock[RM_Code],$A79,T_TTAFStock[WeekIndex],19)&gt;0)&gt;0,SUMIFS(T_SelfStock[Self_Qty],T_SelfStock[RM_Code],$A79,T_SelfStock[WeekIndex],19)+SUMIFS(T_TTAFStock[TTAF_Qty],T_TTAFStock[RM_Code],$A79,T_TTAFStock[WeekIndex],19),S79+'Grid_Incoming'!T79-'Grid_Requirement'!T79))</f>
        <v/>
      </c>
      <c r="U79">
        <f>IF(COUNTIFS(T_StockCount[RM_Code],$A79,T_StockCount[WeekIndex],20)&gt;0,SUMIFS(T_StockCount[CountedQty],T_StockCount[RM_Code],$A79,T_StockCount[WeekIndex],20),IF((COUNTIFS(T_SelfStock[RM_Code],$A79,T_SelfStock[WeekIndex],20)&gt;0)*(COUNTIFS(T_TTAFStock[RM_Code],$A79,T_TTAFStock[WeekIndex],20)&gt;0)&gt;0,SUMIFS(T_SelfStock[Self_Qty],T_SelfStock[RM_Code],$A79,T_SelfStock[WeekIndex],20)+SUMIFS(T_TTAFStock[TTAF_Qty],T_TTAFStock[RM_Code],$A79,T_TTAFStock[WeekIndex],20),T79+'Grid_Incoming'!U79-'Grid_Requirement'!U79))</f>
        <v/>
      </c>
      <c r="V79">
        <f>IF(COUNTIFS(T_StockCount[RM_Code],$A79,T_StockCount[WeekIndex],21)&gt;0,SUMIFS(T_StockCount[CountedQty],T_StockCount[RM_Code],$A79,T_StockCount[WeekIndex],21),IF((COUNTIFS(T_SelfStock[RM_Code],$A79,T_SelfStock[WeekIndex],21)&gt;0)*(COUNTIFS(T_TTAFStock[RM_Code],$A79,T_TTAFStock[WeekIndex],21)&gt;0)&gt;0,SUMIFS(T_SelfStock[Self_Qty],T_SelfStock[RM_Code],$A79,T_SelfStock[WeekIndex],21)+SUMIFS(T_TTAFStock[TTAF_Qty],T_TTAFStock[RM_Code],$A79,T_TTAFStock[WeekIndex],21),U79+'Grid_Incoming'!V79-'Grid_Requirement'!V79))</f>
        <v/>
      </c>
      <c r="W79">
        <f>IF(COUNTIFS(T_StockCount[RM_Code],$A79,T_StockCount[WeekIndex],22)&gt;0,SUMIFS(T_StockCount[CountedQty],T_StockCount[RM_Code],$A79,T_StockCount[WeekIndex],22),IF((COUNTIFS(T_SelfStock[RM_Code],$A79,T_SelfStock[WeekIndex],22)&gt;0)*(COUNTIFS(T_TTAFStock[RM_Code],$A79,T_TTAFStock[WeekIndex],22)&gt;0)&gt;0,SUMIFS(T_SelfStock[Self_Qty],T_SelfStock[RM_Code],$A79,T_SelfStock[WeekIndex],22)+SUMIFS(T_TTAFStock[TTAF_Qty],T_TTAFStock[RM_Code],$A79,T_TTAFStock[WeekIndex],22),V79+'Grid_Incoming'!W79-'Grid_Requirement'!W79))</f>
        <v/>
      </c>
      <c r="X79">
        <f>IF(COUNTIFS(T_StockCount[RM_Code],$A79,T_StockCount[WeekIndex],23)&gt;0,SUMIFS(T_StockCount[CountedQty],T_StockCount[RM_Code],$A79,T_StockCount[WeekIndex],23),IF((COUNTIFS(T_SelfStock[RM_Code],$A79,T_SelfStock[WeekIndex],23)&gt;0)*(COUNTIFS(T_TTAFStock[RM_Code],$A79,T_TTAFStock[WeekIndex],23)&gt;0)&gt;0,SUMIFS(T_SelfStock[Self_Qty],T_SelfStock[RM_Code],$A79,T_SelfStock[WeekIndex],23)+SUMIFS(T_TTAFStock[TTAF_Qty],T_TTAFStock[RM_Code],$A79,T_TTAFStock[WeekIndex],23),W79+'Grid_Incoming'!X79-'Grid_Requirement'!X79))</f>
        <v/>
      </c>
      <c r="Y79">
        <f>IF(COUNTIFS(T_StockCount[RM_Code],$A79,T_StockCount[WeekIndex],24)&gt;0,SUMIFS(T_StockCount[CountedQty],T_StockCount[RM_Code],$A79,T_StockCount[WeekIndex],24),IF((COUNTIFS(T_SelfStock[RM_Code],$A79,T_SelfStock[WeekIndex],24)&gt;0)*(COUNTIFS(T_TTAFStock[RM_Code],$A79,T_TTAFStock[WeekIndex],24)&gt;0)&gt;0,SUMIFS(T_SelfStock[Self_Qty],T_SelfStock[RM_Code],$A79,T_SelfStock[WeekIndex],24)+SUMIFS(T_TTAFStock[TTAF_Qty],T_TTAFStock[RM_Code],$A79,T_TTAFStock[WeekIndex],24),X79+'Grid_Incoming'!Y79-'Grid_Requirement'!Y79))</f>
        <v/>
      </c>
      <c r="Z79">
        <f>IF(COUNTIFS(T_StockCount[RM_Code],$A79,T_StockCount[WeekIndex],25)&gt;0,SUMIFS(T_StockCount[CountedQty],T_StockCount[RM_Code],$A79,T_StockCount[WeekIndex],25),IF((COUNTIFS(T_SelfStock[RM_Code],$A79,T_SelfStock[WeekIndex],25)&gt;0)*(COUNTIFS(T_TTAFStock[RM_Code],$A79,T_TTAFStock[WeekIndex],25)&gt;0)&gt;0,SUMIFS(T_SelfStock[Self_Qty],T_SelfStock[RM_Code],$A79,T_SelfStock[WeekIndex],25)+SUMIFS(T_TTAFStock[TTAF_Qty],T_TTAFStock[RM_Code],$A79,T_TTAFStock[WeekIndex],25),Y79+'Grid_Incoming'!Z79-'Grid_Requirement'!Z79))</f>
        <v/>
      </c>
      <c r="AA79">
        <f>IF(COUNTIFS(T_StockCount[RM_Code],$A79,T_StockCount[WeekIndex],26)&gt;0,SUMIFS(T_StockCount[CountedQty],T_StockCount[RM_Code],$A79,T_StockCount[WeekIndex],26),IF((COUNTIFS(T_SelfStock[RM_Code],$A79,T_SelfStock[WeekIndex],26)&gt;0)*(COUNTIFS(T_TTAFStock[RM_Code],$A79,T_TTAFStock[WeekIndex],26)&gt;0)&gt;0,SUMIFS(T_SelfStock[Self_Qty],T_SelfStock[RM_Code],$A79,T_SelfStock[WeekIndex],26)+SUMIFS(T_TTAFStock[TTAF_Qty],T_TTAFStock[RM_Code],$A79,T_TTAFStock[WeekIndex],26),Z79+'Grid_Incoming'!AA79-'Grid_Requirement'!AA79))</f>
        <v/>
      </c>
      <c r="AB79">
        <f>IF(COUNTIFS(T_StockCount[RM_Code],$A79,T_StockCount[WeekIndex],27)&gt;0,SUMIFS(T_StockCount[CountedQty],T_StockCount[RM_Code],$A79,T_StockCount[WeekIndex],27),IF((COUNTIFS(T_SelfStock[RM_Code],$A79,T_SelfStock[WeekIndex],27)&gt;0)*(COUNTIFS(T_TTAFStock[RM_Code],$A79,T_TTAFStock[WeekIndex],27)&gt;0)&gt;0,SUMIFS(T_SelfStock[Self_Qty],T_SelfStock[RM_Code],$A79,T_SelfStock[WeekIndex],27)+SUMIFS(T_TTAFStock[TTAF_Qty],T_TTAFStock[RM_Code],$A79,T_TTAFStock[WeekIndex],27),AA79+'Grid_Incoming'!AB79-'Grid_Requirement'!AB79))</f>
        <v/>
      </c>
      <c r="AC79">
        <f>IF(COUNTIFS(T_StockCount[RM_Code],$A79,T_StockCount[WeekIndex],28)&gt;0,SUMIFS(T_StockCount[CountedQty],T_StockCount[RM_Code],$A79,T_StockCount[WeekIndex],28),IF((COUNTIFS(T_SelfStock[RM_Code],$A79,T_SelfStock[WeekIndex],28)&gt;0)*(COUNTIFS(T_TTAFStock[RM_Code],$A79,T_TTAFStock[WeekIndex],28)&gt;0)&gt;0,SUMIFS(T_SelfStock[Self_Qty],T_SelfStock[RM_Code],$A79,T_SelfStock[WeekIndex],28)+SUMIFS(T_TTAFStock[TTAF_Qty],T_TTAFStock[RM_Code],$A79,T_TTAFStock[WeekIndex],28),AB79+'Grid_Incoming'!AC79-'Grid_Requirement'!AC79))</f>
        <v/>
      </c>
      <c r="AD79">
        <f>IF(COUNTIFS(T_StockCount[RM_Code],$A79,T_StockCount[WeekIndex],29)&gt;0,SUMIFS(T_StockCount[CountedQty],T_StockCount[RM_Code],$A79,T_StockCount[WeekIndex],29),IF((COUNTIFS(T_SelfStock[RM_Code],$A79,T_SelfStock[WeekIndex],29)&gt;0)*(COUNTIFS(T_TTAFStock[RM_Code],$A79,T_TTAFStock[WeekIndex],29)&gt;0)&gt;0,SUMIFS(T_SelfStock[Self_Qty],T_SelfStock[RM_Code],$A79,T_SelfStock[WeekIndex],29)+SUMIFS(T_TTAFStock[TTAF_Qty],T_TTAFStock[RM_Code],$A79,T_TTAFStock[WeekIndex],29),AC79+'Grid_Incoming'!AD79-'Grid_Requirement'!AD79))</f>
        <v/>
      </c>
      <c r="AE79">
        <f>IF(COUNTIFS(T_StockCount[RM_Code],$A79,T_StockCount[WeekIndex],30)&gt;0,SUMIFS(T_StockCount[CountedQty],T_StockCount[RM_Code],$A79,T_StockCount[WeekIndex],30),IF((COUNTIFS(T_SelfStock[RM_Code],$A79,T_SelfStock[WeekIndex],30)&gt;0)*(COUNTIFS(T_TTAFStock[RM_Code],$A79,T_TTAFStock[WeekIndex],30)&gt;0)&gt;0,SUMIFS(T_SelfStock[Self_Qty],T_SelfStock[RM_Code],$A79,T_SelfStock[WeekIndex],30)+SUMIFS(T_TTAFStock[TTAF_Qty],T_TTAFStock[RM_Code],$A79,T_TTAFStock[WeekIndex],30),AD79+'Grid_Incoming'!AE79-'Grid_Requirement'!AE79))</f>
        <v/>
      </c>
      <c r="AF79">
        <f>IF(COUNTIFS(T_StockCount[RM_Code],$A79,T_StockCount[WeekIndex],31)&gt;0,SUMIFS(T_StockCount[CountedQty],T_StockCount[RM_Code],$A79,T_StockCount[WeekIndex],31),IF((COUNTIFS(T_SelfStock[RM_Code],$A79,T_SelfStock[WeekIndex],31)&gt;0)*(COUNTIFS(T_TTAFStock[RM_Code],$A79,T_TTAFStock[WeekIndex],31)&gt;0)&gt;0,SUMIFS(T_SelfStock[Self_Qty],T_SelfStock[RM_Code],$A79,T_SelfStock[WeekIndex],31)+SUMIFS(T_TTAFStock[TTAF_Qty],T_TTAFStock[RM_Code],$A79,T_TTAFStock[WeekIndex],31),AE79+'Grid_Incoming'!AF79-'Grid_Requirement'!AF79))</f>
        <v/>
      </c>
      <c r="AG79">
        <f>IF(COUNTIFS(T_StockCount[RM_Code],$A79,T_StockCount[WeekIndex],32)&gt;0,SUMIFS(T_StockCount[CountedQty],T_StockCount[RM_Code],$A79,T_StockCount[WeekIndex],32),IF((COUNTIFS(T_SelfStock[RM_Code],$A79,T_SelfStock[WeekIndex],32)&gt;0)*(COUNTIFS(T_TTAFStock[RM_Code],$A79,T_TTAFStock[WeekIndex],32)&gt;0)&gt;0,SUMIFS(T_SelfStock[Self_Qty],T_SelfStock[RM_Code],$A79,T_SelfStock[WeekIndex],32)+SUMIFS(T_TTAFStock[TTAF_Qty],T_TTAFStock[RM_Code],$A79,T_TTAFStock[WeekIndex],32),AF79+'Grid_Incoming'!AG79-'Grid_Requirement'!AG79))</f>
        <v/>
      </c>
      <c r="AH79">
        <f>IF(COUNTIFS(T_StockCount[RM_Code],$A79,T_StockCount[WeekIndex],33)&gt;0,SUMIFS(T_StockCount[CountedQty],T_StockCount[RM_Code],$A79,T_StockCount[WeekIndex],33),IF((COUNTIFS(T_SelfStock[RM_Code],$A79,T_SelfStock[WeekIndex],33)&gt;0)*(COUNTIFS(T_TTAFStock[RM_Code],$A79,T_TTAFStock[WeekIndex],33)&gt;0)&gt;0,SUMIFS(T_SelfStock[Self_Qty],T_SelfStock[RM_Code],$A79,T_SelfStock[WeekIndex],33)+SUMIFS(T_TTAFStock[TTAF_Qty],T_TTAFStock[RM_Code],$A79,T_TTAFStock[WeekIndex],33),AG79+'Grid_Incoming'!AH79-'Grid_Requirement'!AH79))</f>
        <v/>
      </c>
      <c r="AI79">
        <f>IF(COUNTIFS(T_StockCount[RM_Code],$A79,T_StockCount[WeekIndex],34)&gt;0,SUMIFS(T_StockCount[CountedQty],T_StockCount[RM_Code],$A79,T_StockCount[WeekIndex],34),IF((COUNTIFS(T_SelfStock[RM_Code],$A79,T_SelfStock[WeekIndex],34)&gt;0)*(COUNTIFS(T_TTAFStock[RM_Code],$A79,T_TTAFStock[WeekIndex],34)&gt;0)&gt;0,SUMIFS(T_SelfStock[Self_Qty],T_SelfStock[RM_Code],$A79,T_SelfStock[WeekIndex],34)+SUMIFS(T_TTAFStock[TTAF_Qty],T_TTAFStock[RM_Code],$A79,T_TTAFStock[WeekIndex],34),AH79+'Grid_Incoming'!AI79-'Grid_Requirement'!AI79))</f>
        <v/>
      </c>
      <c r="AJ79">
        <f>IF(COUNTIFS(T_StockCount[RM_Code],$A79,T_StockCount[WeekIndex],35)&gt;0,SUMIFS(T_StockCount[CountedQty],T_StockCount[RM_Code],$A79,T_StockCount[WeekIndex],35),IF((COUNTIFS(T_SelfStock[RM_Code],$A79,T_SelfStock[WeekIndex],35)&gt;0)*(COUNTIFS(T_TTAFStock[RM_Code],$A79,T_TTAFStock[WeekIndex],35)&gt;0)&gt;0,SUMIFS(T_SelfStock[Self_Qty],T_SelfStock[RM_Code],$A79,T_SelfStock[WeekIndex],35)+SUMIFS(T_TTAFStock[TTAF_Qty],T_TTAFStock[RM_Code],$A79,T_TTAFStock[WeekIndex],35),AI79+'Grid_Incoming'!AJ79-'Grid_Requirement'!AJ79))</f>
        <v/>
      </c>
      <c r="AK79">
        <f>IF(COUNTIFS(T_StockCount[RM_Code],$A79,T_StockCount[WeekIndex],36)&gt;0,SUMIFS(T_StockCount[CountedQty],T_StockCount[RM_Code],$A79,T_StockCount[WeekIndex],36),IF((COUNTIFS(T_SelfStock[RM_Code],$A79,T_SelfStock[WeekIndex],36)&gt;0)*(COUNTIFS(T_TTAFStock[RM_Code],$A79,T_TTAFStock[WeekIndex],36)&gt;0)&gt;0,SUMIFS(T_SelfStock[Self_Qty],T_SelfStock[RM_Code],$A79,T_SelfStock[WeekIndex],36)+SUMIFS(T_TTAFStock[TTAF_Qty],T_TTAFStock[RM_Code],$A79,T_TTAFStock[WeekIndex],36),AJ79+'Grid_Incoming'!AK79-'Grid_Requirement'!AK79))</f>
        <v/>
      </c>
      <c r="AL79">
        <f>IF(COUNTIFS(T_StockCount[RM_Code],$A79,T_StockCount[WeekIndex],37)&gt;0,SUMIFS(T_StockCount[CountedQty],T_StockCount[RM_Code],$A79,T_StockCount[WeekIndex],37),IF((COUNTIFS(T_SelfStock[RM_Code],$A79,T_SelfStock[WeekIndex],37)&gt;0)*(COUNTIFS(T_TTAFStock[RM_Code],$A79,T_TTAFStock[WeekIndex],37)&gt;0)&gt;0,SUMIFS(T_SelfStock[Self_Qty],T_SelfStock[RM_Code],$A79,T_SelfStock[WeekIndex],37)+SUMIFS(T_TTAFStock[TTAF_Qty],T_TTAFStock[RM_Code],$A79,T_TTAFStock[WeekIndex],37),AK79+'Grid_Incoming'!AL79-'Grid_Requirement'!AL79))</f>
        <v/>
      </c>
      <c r="AM79">
        <f>IF(COUNTIFS(T_StockCount[RM_Code],$A79,T_StockCount[WeekIndex],38)&gt;0,SUMIFS(T_StockCount[CountedQty],T_StockCount[RM_Code],$A79,T_StockCount[WeekIndex],38),IF((COUNTIFS(T_SelfStock[RM_Code],$A79,T_SelfStock[WeekIndex],38)&gt;0)*(COUNTIFS(T_TTAFStock[RM_Code],$A79,T_TTAFStock[WeekIndex],38)&gt;0)&gt;0,SUMIFS(T_SelfStock[Self_Qty],T_SelfStock[RM_Code],$A79,T_SelfStock[WeekIndex],38)+SUMIFS(T_TTAFStock[TTAF_Qty],T_TTAFStock[RM_Code],$A79,T_TTAFStock[WeekIndex],38),AL79+'Grid_Incoming'!AM79-'Grid_Requirement'!AM79))</f>
        <v/>
      </c>
      <c r="AN79">
        <f>IF(COUNTIFS(T_StockCount[RM_Code],$A79,T_StockCount[WeekIndex],39)&gt;0,SUMIFS(T_StockCount[CountedQty],T_StockCount[RM_Code],$A79,T_StockCount[WeekIndex],39),IF((COUNTIFS(T_SelfStock[RM_Code],$A79,T_SelfStock[WeekIndex],39)&gt;0)*(COUNTIFS(T_TTAFStock[RM_Code],$A79,T_TTAFStock[WeekIndex],39)&gt;0)&gt;0,SUMIFS(T_SelfStock[Self_Qty],T_SelfStock[RM_Code],$A79,T_SelfStock[WeekIndex],39)+SUMIFS(T_TTAFStock[TTAF_Qty],T_TTAFStock[RM_Code],$A79,T_TTAFStock[WeekIndex],39),AM79+'Grid_Incoming'!AN79-'Grid_Requirement'!AN79))</f>
        <v/>
      </c>
      <c r="AO79">
        <f>IF(COUNTIFS(T_StockCount[RM_Code],$A79,T_StockCount[WeekIndex],40)&gt;0,SUMIFS(T_StockCount[CountedQty],T_StockCount[RM_Code],$A79,T_StockCount[WeekIndex],40),IF((COUNTIFS(T_SelfStock[RM_Code],$A79,T_SelfStock[WeekIndex],40)&gt;0)*(COUNTIFS(T_TTAFStock[RM_Code],$A79,T_TTAFStock[WeekIndex],40)&gt;0)&gt;0,SUMIFS(T_SelfStock[Self_Qty],T_SelfStock[RM_Code],$A79,T_SelfStock[WeekIndex],40)+SUMIFS(T_TTAFStock[TTAF_Qty],T_TTAFStock[RM_Code],$A79,T_TTAFStock[WeekIndex],40),AN79+'Grid_Incoming'!AO79-'Grid_Requirement'!AO79))</f>
        <v/>
      </c>
      <c r="AP79">
        <f>IF(COUNTIFS(T_StockCount[RM_Code],$A79,T_StockCount[WeekIndex],41)&gt;0,SUMIFS(T_StockCount[CountedQty],T_StockCount[RM_Code],$A79,T_StockCount[WeekIndex],41),IF((COUNTIFS(T_SelfStock[RM_Code],$A79,T_SelfStock[WeekIndex],41)&gt;0)*(COUNTIFS(T_TTAFStock[RM_Code],$A79,T_TTAFStock[WeekIndex],41)&gt;0)&gt;0,SUMIFS(T_SelfStock[Self_Qty],T_SelfStock[RM_Code],$A79,T_SelfStock[WeekIndex],41)+SUMIFS(T_TTAFStock[TTAF_Qty],T_TTAFStock[RM_Code],$A79,T_TTAFStock[WeekIndex],41),AO79+'Grid_Incoming'!AP79-'Grid_Requirement'!AP79))</f>
        <v/>
      </c>
      <c r="AQ79">
        <f>IF(COUNTIFS(T_StockCount[RM_Code],$A79,T_StockCount[WeekIndex],42)&gt;0,SUMIFS(T_StockCount[CountedQty],T_StockCount[RM_Code],$A79,T_StockCount[WeekIndex],42),IF((COUNTIFS(T_SelfStock[RM_Code],$A79,T_SelfStock[WeekIndex],42)&gt;0)*(COUNTIFS(T_TTAFStock[RM_Code],$A79,T_TTAFStock[WeekIndex],42)&gt;0)&gt;0,SUMIFS(T_SelfStock[Self_Qty],T_SelfStock[RM_Code],$A79,T_SelfStock[WeekIndex],42)+SUMIFS(T_TTAFStock[TTAF_Qty],T_TTAFStock[RM_Code],$A79,T_TTAFStock[WeekIndex],42),AP79+'Grid_Incoming'!AQ79-'Grid_Requirement'!AQ79))</f>
        <v/>
      </c>
      <c r="AR79">
        <f>IF(COUNTIFS(T_StockCount[RM_Code],$A79,T_StockCount[WeekIndex],43)&gt;0,SUMIFS(T_StockCount[CountedQty],T_StockCount[RM_Code],$A79,T_StockCount[WeekIndex],43),IF((COUNTIFS(T_SelfStock[RM_Code],$A79,T_SelfStock[WeekIndex],43)&gt;0)*(COUNTIFS(T_TTAFStock[RM_Code],$A79,T_TTAFStock[WeekIndex],43)&gt;0)&gt;0,SUMIFS(T_SelfStock[Self_Qty],T_SelfStock[RM_Code],$A79,T_SelfStock[WeekIndex],43)+SUMIFS(T_TTAFStock[TTAF_Qty],T_TTAFStock[RM_Code],$A79,T_TTAFStock[WeekIndex],43),AQ79+'Grid_Incoming'!AR79-'Grid_Requirement'!AR79))</f>
        <v/>
      </c>
      <c r="AS79">
        <f>IF(COUNTIFS(T_StockCount[RM_Code],$A79,T_StockCount[WeekIndex],44)&gt;0,SUMIFS(T_StockCount[CountedQty],T_StockCount[RM_Code],$A79,T_StockCount[WeekIndex],44),IF((COUNTIFS(T_SelfStock[RM_Code],$A79,T_SelfStock[WeekIndex],44)&gt;0)*(COUNTIFS(T_TTAFStock[RM_Code],$A79,T_TTAFStock[WeekIndex],44)&gt;0)&gt;0,SUMIFS(T_SelfStock[Self_Qty],T_SelfStock[RM_Code],$A79,T_SelfStock[WeekIndex],44)+SUMIFS(T_TTAFStock[TTAF_Qty],T_TTAFStock[RM_Code],$A79,T_TTAFStock[WeekIndex],44),AR79+'Grid_Incoming'!AS79-'Grid_Requirement'!AS79))</f>
        <v/>
      </c>
      <c r="AT79">
        <f>IF(COUNTIFS(T_StockCount[RM_Code],$A79,T_StockCount[WeekIndex],45)&gt;0,SUMIFS(T_StockCount[CountedQty],T_StockCount[RM_Code],$A79,T_StockCount[WeekIndex],45),IF((COUNTIFS(T_SelfStock[RM_Code],$A79,T_SelfStock[WeekIndex],45)&gt;0)*(COUNTIFS(T_TTAFStock[RM_Code],$A79,T_TTAFStock[WeekIndex],45)&gt;0)&gt;0,SUMIFS(T_SelfStock[Self_Qty],T_SelfStock[RM_Code],$A79,T_SelfStock[WeekIndex],45)+SUMIFS(T_TTAFStock[TTAF_Qty],T_TTAFStock[RM_Code],$A79,T_TTAFStock[WeekIndex],45),AS79+'Grid_Incoming'!AT79-'Grid_Requirement'!AT79))</f>
        <v/>
      </c>
      <c r="AU79">
        <f>IF(COUNTIFS(T_StockCount[RM_Code],$A79,T_StockCount[WeekIndex],46)&gt;0,SUMIFS(T_StockCount[CountedQty],T_StockCount[RM_Code],$A79,T_StockCount[WeekIndex],46),IF((COUNTIFS(T_SelfStock[RM_Code],$A79,T_SelfStock[WeekIndex],46)&gt;0)*(COUNTIFS(T_TTAFStock[RM_Code],$A79,T_TTAFStock[WeekIndex],46)&gt;0)&gt;0,SUMIFS(T_SelfStock[Self_Qty],T_SelfStock[RM_Code],$A79,T_SelfStock[WeekIndex],46)+SUMIFS(T_TTAFStock[TTAF_Qty],T_TTAFStock[RM_Code],$A79,T_TTAFStock[WeekIndex],46),AT79+'Grid_Incoming'!AU79-'Grid_Requirement'!AU79))</f>
        <v/>
      </c>
      <c r="AV79">
        <f>IF(COUNTIFS(T_StockCount[RM_Code],$A79,T_StockCount[WeekIndex],47)&gt;0,SUMIFS(T_StockCount[CountedQty],T_StockCount[RM_Code],$A79,T_StockCount[WeekIndex],47),IF((COUNTIFS(T_SelfStock[RM_Code],$A79,T_SelfStock[WeekIndex],47)&gt;0)*(COUNTIFS(T_TTAFStock[RM_Code],$A79,T_TTAFStock[WeekIndex],47)&gt;0)&gt;0,SUMIFS(T_SelfStock[Self_Qty],T_SelfStock[RM_Code],$A79,T_SelfStock[WeekIndex],47)+SUMIFS(T_TTAFStock[TTAF_Qty],T_TTAFStock[RM_Code],$A79,T_TTAFStock[WeekIndex],47),AU79+'Grid_Incoming'!AV79-'Grid_Requirement'!AV79))</f>
        <v/>
      </c>
      <c r="AW79">
        <f>IF(COUNTIFS(T_StockCount[RM_Code],$A79,T_StockCount[WeekIndex],48)&gt;0,SUMIFS(T_StockCount[CountedQty],T_StockCount[RM_Code],$A79,T_StockCount[WeekIndex],48),IF((COUNTIFS(T_SelfStock[RM_Code],$A79,T_SelfStock[WeekIndex],48)&gt;0)*(COUNTIFS(T_TTAFStock[RM_Code],$A79,T_TTAFStock[WeekIndex],48)&gt;0)&gt;0,SUMIFS(T_SelfStock[Self_Qty],T_SelfStock[RM_Code],$A79,T_SelfStock[WeekIndex],48)+SUMIFS(T_TTAFStock[TTAF_Qty],T_TTAFStock[RM_Code],$A79,T_TTAFStock[WeekIndex],48),AV79+'Grid_Incoming'!AW79-'Grid_Requirement'!AW79))</f>
        <v/>
      </c>
      <c r="AX79">
        <f>IF(COUNTIFS(T_StockCount[RM_Code],$A79,T_StockCount[WeekIndex],49)&gt;0,SUMIFS(T_StockCount[CountedQty],T_StockCount[RM_Code],$A79,T_StockCount[WeekIndex],49),IF((COUNTIFS(T_SelfStock[RM_Code],$A79,T_SelfStock[WeekIndex],49)&gt;0)*(COUNTIFS(T_TTAFStock[RM_Code],$A79,T_TTAFStock[WeekIndex],49)&gt;0)&gt;0,SUMIFS(T_SelfStock[Self_Qty],T_SelfStock[RM_Code],$A79,T_SelfStock[WeekIndex],49)+SUMIFS(T_TTAFStock[TTAF_Qty],T_TTAFStock[RM_Code],$A79,T_TTAFStock[WeekIndex],49),AW79+'Grid_Incoming'!AX79-'Grid_Requirement'!AX79))</f>
        <v/>
      </c>
      <c r="AY79">
        <f>IF(COUNTIFS(T_StockCount[RM_Code],$A79,T_StockCount[WeekIndex],50)&gt;0,SUMIFS(T_StockCount[CountedQty],T_StockCount[RM_Code],$A79,T_StockCount[WeekIndex],50),IF((COUNTIFS(T_SelfStock[RM_Code],$A79,T_SelfStock[WeekIndex],50)&gt;0)*(COUNTIFS(T_TTAFStock[RM_Code],$A79,T_TTAFStock[WeekIndex],50)&gt;0)&gt;0,SUMIFS(T_SelfStock[Self_Qty],T_SelfStock[RM_Code],$A79,T_SelfStock[WeekIndex],50)+SUMIFS(T_TTAFStock[TTAF_Qty],T_TTAFStock[RM_Code],$A79,T_TTAFStock[WeekIndex],50),AX79+'Grid_Incoming'!AY79-'Grid_Requirement'!AY79))</f>
        <v/>
      </c>
      <c r="AZ79">
        <f>IF(COUNTIFS(T_StockCount[RM_Code],$A79,T_StockCount[WeekIndex],51)&gt;0,SUMIFS(T_StockCount[CountedQty],T_StockCount[RM_Code],$A79,T_StockCount[WeekIndex],51),IF((COUNTIFS(T_SelfStock[RM_Code],$A79,T_SelfStock[WeekIndex],51)&gt;0)*(COUNTIFS(T_TTAFStock[RM_Code],$A79,T_TTAFStock[WeekIndex],51)&gt;0)&gt;0,SUMIFS(T_SelfStock[Self_Qty],T_SelfStock[RM_Code],$A79,T_SelfStock[WeekIndex],51)+SUMIFS(T_TTAFStock[TTAF_Qty],T_TTAFStock[RM_Code],$A79,T_TTAFStock[WeekIndex],51),AY79+'Grid_Incoming'!AZ79-'Grid_Requirement'!AZ79))</f>
        <v/>
      </c>
      <c r="BA79">
        <f>IF(COUNTIFS(T_StockCount[RM_Code],$A79,T_StockCount[WeekIndex],52)&gt;0,SUMIFS(T_StockCount[CountedQty],T_StockCount[RM_Code],$A79,T_StockCount[WeekIndex],52),IF((COUNTIFS(T_SelfStock[RM_Code],$A79,T_SelfStock[WeekIndex],52)&gt;0)*(COUNTIFS(T_TTAFStock[RM_Code],$A79,T_TTAFStock[WeekIndex],52)&gt;0)&gt;0,SUMIFS(T_SelfStock[Self_Qty],T_SelfStock[RM_Code],$A79,T_SelfStock[WeekIndex],52)+SUMIFS(T_TTAFStock[TTAF_Qty],T_TTAFStock[RM_Code],$A79,T_TTAFStock[WeekIndex],52),AZ79+'Grid_Incoming'!BA79-'Grid_Requirement'!BA79))</f>
        <v/>
      </c>
      <c r="BB79">
        <f>IF(COUNTIFS(T_StockCount[RM_Code],$A79,T_StockCount[WeekIndex],53)&gt;0,SUMIFS(T_StockCount[CountedQty],T_StockCount[RM_Code],$A79,T_StockCount[WeekIndex],53),IF((COUNTIFS(T_SelfStock[RM_Code],$A79,T_SelfStock[WeekIndex],53)&gt;0)*(COUNTIFS(T_TTAFStock[RM_Code],$A79,T_TTAFStock[WeekIndex],53)&gt;0)&gt;0,SUMIFS(T_SelfStock[Self_Qty],T_SelfStock[RM_Code],$A79,T_SelfStock[WeekIndex],53)+SUMIFS(T_TTAFStock[TTAF_Qty],T_TTAFStock[RM_Code],$A79,T_TTAFStock[WeekIndex],53),BA79+'Grid_Incoming'!BB79-'Grid_Requirement'!BB79))</f>
        <v/>
      </c>
      <c r="BC79">
        <f>IF(COUNTIFS(T_StockCount[RM_Code],$A79,T_StockCount[WeekIndex],54)&gt;0,SUMIFS(T_StockCount[CountedQty],T_StockCount[RM_Code],$A79,T_StockCount[WeekIndex],54),IF((COUNTIFS(T_SelfStock[RM_Code],$A79,T_SelfStock[WeekIndex],54)&gt;0)*(COUNTIFS(T_TTAFStock[RM_Code],$A79,T_TTAFStock[WeekIndex],54)&gt;0)&gt;0,SUMIFS(T_SelfStock[Self_Qty],T_SelfStock[RM_Code],$A79,T_SelfStock[WeekIndex],54)+SUMIFS(T_TTAFStock[TTAF_Qty],T_TTAFStock[RM_Code],$A79,T_TTAFStock[WeekIndex],54),BB79+'Grid_Incoming'!BC79-'Grid_Requirement'!BC79))</f>
        <v/>
      </c>
      <c r="BD79">
        <f>IF(COUNTIFS(T_StockCount[RM_Code],$A79,T_StockCount[WeekIndex],55)&gt;0,SUMIFS(T_StockCount[CountedQty],T_StockCount[RM_Code],$A79,T_StockCount[WeekIndex],55),IF((COUNTIFS(T_SelfStock[RM_Code],$A79,T_SelfStock[WeekIndex],55)&gt;0)*(COUNTIFS(T_TTAFStock[RM_Code],$A79,T_TTAFStock[WeekIndex],55)&gt;0)&gt;0,SUMIFS(T_SelfStock[Self_Qty],T_SelfStock[RM_Code],$A79,T_SelfStock[WeekIndex],55)+SUMIFS(T_TTAFStock[TTAF_Qty],T_TTAFStock[RM_Code],$A79,T_TTAFStock[WeekIndex],55),BC79+'Grid_Incoming'!BD79-'Grid_Requirement'!BD79))</f>
        <v/>
      </c>
      <c r="BE79">
        <f>IF(COUNTIFS(T_StockCount[RM_Code],$A79,T_StockCount[WeekIndex],56)&gt;0,SUMIFS(T_StockCount[CountedQty],T_StockCount[RM_Code],$A79,T_StockCount[WeekIndex],56),IF((COUNTIFS(T_SelfStock[RM_Code],$A79,T_SelfStock[WeekIndex],56)&gt;0)*(COUNTIFS(T_TTAFStock[RM_Code],$A79,T_TTAFStock[WeekIndex],56)&gt;0)&gt;0,SUMIFS(T_SelfStock[Self_Qty],T_SelfStock[RM_Code],$A79,T_SelfStock[WeekIndex],56)+SUMIFS(T_TTAFStock[TTAF_Qty],T_TTAFStock[RM_Code],$A79,T_TTAFStock[WeekIndex],56),BD79+'Grid_Incoming'!BE79-'Grid_Requirement'!BE79))</f>
        <v/>
      </c>
      <c r="BF79">
        <f>IF(COUNTIFS(T_StockCount[RM_Code],$A79,T_StockCount[WeekIndex],57)&gt;0,SUMIFS(T_StockCount[CountedQty],T_StockCount[RM_Code],$A79,T_StockCount[WeekIndex],57),IF((COUNTIFS(T_SelfStock[RM_Code],$A79,T_SelfStock[WeekIndex],57)&gt;0)*(COUNTIFS(T_TTAFStock[RM_Code],$A79,T_TTAFStock[WeekIndex],57)&gt;0)&gt;0,SUMIFS(T_SelfStock[Self_Qty],T_SelfStock[RM_Code],$A79,T_SelfStock[WeekIndex],57)+SUMIFS(T_TTAFStock[TTAF_Qty],T_TTAFStock[RM_Code],$A79,T_TTAFStock[WeekIndex],57),BE79+'Grid_Incoming'!BF79-'Grid_Requirement'!BF79))</f>
        <v/>
      </c>
      <c r="BG79">
        <f>IF(COUNTIFS(T_StockCount[RM_Code],$A79,T_StockCount[WeekIndex],58)&gt;0,SUMIFS(T_StockCount[CountedQty],T_StockCount[RM_Code],$A79,T_StockCount[WeekIndex],58),IF((COUNTIFS(T_SelfStock[RM_Code],$A79,T_SelfStock[WeekIndex],58)&gt;0)*(COUNTIFS(T_TTAFStock[RM_Code],$A79,T_TTAFStock[WeekIndex],58)&gt;0)&gt;0,SUMIFS(T_SelfStock[Self_Qty],T_SelfStock[RM_Code],$A79,T_SelfStock[WeekIndex],58)+SUMIFS(T_TTAFStock[TTAF_Qty],T_TTAFStock[RM_Code],$A79,T_TTAFStock[WeekIndex],58),BF79+'Grid_Incoming'!BG79-'Grid_Requirement'!BG79))</f>
        <v/>
      </c>
      <c r="BH79">
        <f>IF(COUNTIFS(T_StockCount[RM_Code],$A79,T_StockCount[WeekIndex],59)&gt;0,SUMIFS(T_StockCount[CountedQty],T_StockCount[RM_Code],$A79,T_StockCount[WeekIndex],59),IF((COUNTIFS(T_SelfStock[RM_Code],$A79,T_SelfStock[WeekIndex],59)&gt;0)*(COUNTIFS(T_TTAFStock[RM_Code],$A79,T_TTAFStock[WeekIndex],59)&gt;0)&gt;0,SUMIFS(T_SelfStock[Self_Qty],T_SelfStock[RM_Code],$A79,T_SelfStock[WeekIndex],59)+SUMIFS(T_TTAFStock[TTAF_Qty],T_TTAFStock[RM_Code],$A79,T_TTAFStock[WeekIndex],59),BG79+'Grid_Incoming'!BH79-'Grid_Requirement'!BH79))</f>
        <v/>
      </c>
      <c r="BI79">
        <f>IF(COUNTIFS(T_StockCount[RM_Code],$A79,T_StockCount[WeekIndex],60)&gt;0,SUMIFS(T_StockCount[CountedQty],T_StockCount[RM_Code],$A79,T_StockCount[WeekIndex],60),IF((COUNTIFS(T_SelfStock[RM_Code],$A79,T_SelfStock[WeekIndex],60)&gt;0)*(COUNTIFS(T_TTAFStock[RM_Code],$A79,T_TTAFStock[WeekIndex],60)&gt;0)&gt;0,SUMIFS(T_SelfStock[Self_Qty],T_SelfStock[RM_Code],$A79,T_SelfStock[WeekIndex],60)+SUMIFS(T_TTAFStock[TTAF_Qty],T_TTAFStock[RM_Code],$A79,T_TTAFStock[WeekIndex],60),BH79+'Grid_Incoming'!BI79-'Grid_Requirement'!BI79))</f>
        <v/>
      </c>
      <c r="BJ79">
        <f>IF(COUNTIFS(T_StockCount[RM_Code],$A79,T_StockCount[WeekIndex],61)&gt;0,SUMIFS(T_StockCount[CountedQty],T_StockCount[RM_Code],$A79,T_StockCount[WeekIndex],61),IF((COUNTIFS(T_SelfStock[RM_Code],$A79,T_SelfStock[WeekIndex],61)&gt;0)*(COUNTIFS(T_TTAFStock[RM_Code],$A79,T_TTAFStock[WeekIndex],61)&gt;0)&gt;0,SUMIFS(T_SelfStock[Self_Qty],T_SelfStock[RM_Code],$A79,T_SelfStock[WeekIndex],61)+SUMIFS(T_TTAFStock[TTAF_Qty],T_TTAFStock[RM_Code],$A79,T_TTAFStock[WeekIndex],61),BI79+'Grid_Incoming'!BJ79-'Grid_Requirement'!BJ79))</f>
        <v/>
      </c>
      <c r="BK79">
        <f>IF(COUNTIFS(T_StockCount[RM_Code],$A79,T_StockCount[WeekIndex],62)&gt;0,SUMIFS(T_StockCount[CountedQty],T_StockCount[RM_Code],$A79,T_StockCount[WeekIndex],62),IF((COUNTIFS(T_SelfStock[RM_Code],$A79,T_SelfStock[WeekIndex],62)&gt;0)*(COUNTIFS(T_TTAFStock[RM_Code],$A79,T_TTAFStock[WeekIndex],62)&gt;0)&gt;0,SUMIFS(T_SelfStock[Self_Qty],T_SelfStock[RM_Code],$A79,T_SelfStock[WeekIndex],62)+SUMIFS(T_TTAFStock[TTAF_Qty],T_TTAFStock[RM_Code],$A79,T_TTAFStock[WeekIndex],62),BJ79+'Grid_Incoming'!BK79-'Grid_Requirement'!BK79))</f>
        <v/>
      </c>
      <c r="BL79">
        <f>IF(COUNTIFS(T_StockCount[RM_Code],$A79,T_StockCount[WeekIndex],63)&gt;0,SUMIFS(T_StockCount[CountedQty],T_StockCount[RM_Code],$A79,T_StockCount[WeekIndex],63),IF((COUNTIFS(T_SelfStock[RM_Code],$A79,T_SelfStock[WeekIndex],63)&gt;0)*(COUNTIFS(T_TTAFStock[RM_Code],$A79,T_TTAFStock[WeekIndex],63)&gt;0)&gt;0,SUMIFS(T_SelfStock[Self_Qty],T_SelfStock[RM_Code],$A79,T_SelfStock[WeekIndex],63)+SUMIFS(T_TTAFStock[TTAF_Qty],T_TTAFStock[RM_Code],$A79,T_TTAFStock[WeekIndex],63),BK79+'Grid_Incoming'!BL79-'Grid_Requirement'!BL79))</f>
        <v/>
      </c>
      <c r="BM79">
        <f>IF(COUNTIFS(T_StockCount[RM_Code],$A79,T_StockCount[WeekIndex],64)&gt;0,SUMIFS(T_StockCount[CountedQty],T_StockCount[RM_Code],$A79,T_StockCount[WeekIndex],64),IF((COUNTIFS(T_SelfStock[RM_Code],$A79,T_SelfStock[WeekIndex],64)&gt;0)*(COUNTIFS(T_TTAFStock[RM_Code],$A79,T_TTAFStock[WeekIndex],64)&gt;0)&gt;0,SUMIFS(T_SelfStock[Self_Qty],T_SelfStock[RM_Code],$A79,T_SelfStock[WeekIndex],64)+SUMIFS(T_TTAFStock[TTAF_Qty],T_TTAFStock[RM_Code],$A79,T_TTAFStock[WeekIndex],64),BL79+'Grid_Incoming'!BM79-'Grid_Requirement'!BM79))</f>
        <v/>
      </c>
      <c r="BN79">
        <f>IF(COUNTIFS(T_StockCount[RM_Code],$A79,T_StockCount[WeekIndex],65)&gt;0,SUMIFS(T_StockCount[CountedQty],T_StockCount[RM_Code],$A79,T_StockCount[WeekIndex],65),IF((COUNTIFS(T_SelfStock[RM_Code],$A79,T_SelfStock[WeekIndex],65)&gt;0)*(COUNTIFS(T_TTAFStock[RM_Code],$A79,T_TTAFStock[WeekIndex],65)&gt;0)&gt;0,SUMIFS(T_SelfStock[Self_Qty],T_SelfStock[RM_Code],$A79,T_SelfStock[WeekIndex],65)+SUMIFS(T_TTAFStock[TTAF_Qty],T_TTAFStock[RM_Code],$A79,T_TTAFStock[WeekIndex],65),BM79+'Grid_Incoming'!BN79-'Grid_Requirement'!BN79))</f>
        <v/>
      </c>
      <c r="BO79">
        <f>IF(COUNTIFS(T_StockCount[RM_Code],$A79,T_StockCount[WeekIndex],66)&gt;0,SUMIFS(T_StockCount[CountedQty],T_StockCount[RM_Code],$A79,T_StockCount[WeekIndex],66),IF((COUNTIFS(T_SelfStock[RM_Code],$A79,T_SelfStock[WeekIndex],66)&gt;0)*(COUNTIFS(T_TTAFStock[RM_Code],$A79,T_TTAFStock[WeekIndex],66)&gt;0)&gt;0,SUMIFS(T_SelfStock[Self_Qty],T_SelfStock[RM_Code],$A79,T_SelfStock[WeekIndex],66)+SUMIFS(T_TTAFStock[TTAF_Qty],T_TTAFStock[RM_Code],$A79,T_TTAFStock[WeekIndex],66),BN79+'Grid_Incoming'!BO79-'Grid_Requirement'!BO79))</f>
        <v/>
      </c>
      <c r="BP79">
        <f>IF(COUNTIFS(T_StockCount[RM_Code],$A79,T_StockCount[WeekIndex],67)&gt;0,SUMIFS(T_StockCount[CountedQty],T_StockCount[RM_Code],$A79,T_StockCount[WeekIndex],67),IF((COUNTIFS(T_SelfStock[RM_Code],$A79,T_SelfStock[WeekIndex],67)&gt;0)*(COUNTIFS(T_TTAFStock[RM_Code],$A79,T_TTAFStock[WeekIndex],67)&gt;0)&gt;0,SUMIFS(T_SelfStock[Self_Qty],T_SelfStock[RM_Code],$A79,T_SelfStock[WeekIndex],67)+SUMIFS(T_TTAFStock[TTAF_Qty],T_TTAFStock[RM_Code],$A79,T_TTAFStock[WeekIndex],67),BO79+'Grid_Incoming'!BP79-'Grid_Requirement'!BP79))</f>
        <v/>
      </c>
      <c r="BQ79">
        <f>IF(COUNTIFS(T_StockCount[RM_Code],$A79,T_StockCount[WeekIndex],68)&gt;0,SUMIFS(T_StockCount[CountedQty],T_StockCount[RM_Code],$A79,T_StockCount[WeekIndex],68),IF((COUNTIFS(T_SelfStock[RM_Code],$A79,T_SelfStock[WeekIndex],68)&gt;0)*(COUNTIFS(T_TTAFStock[RM_Code],$A79,T_TTAFStock[WeekIndex],68)&gt;0)&gt;0,SUMIFS(T_SelfStock[Self_Qty],T_SelfStock[RM_Code],$A79,T_SelfStock[WeekIndex],68)+SUMIFS(T_TTAFStock[TTAF_Qty],T_TTAFStock[RM_Code],$A79,T_TTAFStock[WeekIndex],68),BP79+'Grid_Incoming'!BQ79-'Grid_Requirement'!BQ79))</f>
        <v/>
      </c>
      <c r="BR79">
        <f>IF(COUNTIFS(T_StockCount[RM_Code],$A79,T_StockCount[WeekIndex],69)&gt;0,SUMIFS(T_StockCount[CountedQty],T_StockCount[RM_Code],$A79,T_StockCount[WeekIndex],69),IF((COUNTIFS(T_SelfStock[RM_Code],$A79,T_SelfStock[WeekIndex],69)&gt;0)*(COUNTIFS(T_TTAFStock[RM_Code],$A79,T_TTAFStock[WeekIndex],69)&gt;0)&gt;0,SUMIFS(T_SelfStock[Self_Qty],T_SelfStock[RM_Code],$A79,T_SelfStock[WeekIndex],69)+SUMIFS(T_TTAFStock[TTAF_Qty],T_TTAFStock[RM_Code],$A79,T_TTAFStock[WeekIndex],69),BQ79+'Grid_Incoming'!BR79-'Grid_Requirement'!BR79))</f>
        <v/>
      </c>
      <c r="BS79">
        <f>IF(COUNTIFS(T_StockCount[RM_Code],$A79,T_StockCount[WeekIndex],70)&gt;0,SUMIFS(T_StockCount[CountedQty],T_StockCount[RM_Code],$A79,T_StockCount[WeekIndex],70),IF((COUNTIFS(T_SelfStock[RM_Code],$A79,T_SelfStock[WeekIndex],70)&gt;0)*(COUNTIFS(T_TTAFStock[RM_Code],$A79,T_TTAFStock[WeekIndex],70)&gt;0)&gt;0,SUMIFS(T_SelfStock[Self_Qty],T_SelfStock[RM_Code],$A79,T_SelfStock[WeekIndex],70)+SUMIFS(T_TTAFStock[TTAF_Qty],T_TTAFStock[RM_Code],$A79,T_TTAFStock[WeekIndex],70),BR79+'Grid_Incoming'!BS79-'Grid_Requirement'!BS79))</f>
        <v/>
      </c>
      <c r="BT79">
        <f>IF(COUNTIFS(T_StockCount[RM_Code],$A79,T_StockCount[WeekIndex],71)&gt;0,SUMIFS(T_StockCount[CountedQty],T_StockCount[RM_Code],$A79,T_StockCount[WeekIndex],71),IF((COUNTIFS(T_SelfStock[RM_Code],$A79,T_SelfStock[WeekIndex],71)&gt;0)*(COUNTIFS(T_TTAFStock[RM_Code],$A79,T_TTAFStock[WeekIndex],71)&gt;0)&gt;0,SUMIFS(T_SelfStock[Self_Qty],T_SelfStock[RM_Code],$A79,T_SelfStock[WeekIndex],71)+SUMIFS(T_TTAFStock[TTAF_Qty],T_TTAFStock[RM_Code],$A79,T_TTAFStock[WeekIndex],71),BS79+'Grid_Incoming'!BT79-'Grid_Requirement'!BT79))</f>
        <v/>
      </c>
      <c r="BU79">
        <f>IF(COUNTIFS(T_StockCount[RM_Code],$A79,T_StockCount[WeekIndex],72)&gt;0,SUMIFS(T_StockCount[CountedQty],T_StockCount[RM_Code],$A79,T_StockCount[WeekIndex],72),IF((COUNTIFS(T_SelfStock[RM_Code],$A79,T_SelfStock[WeekIndex],72)&gt;0)*(COUNTIFS(T_TTAFStock[RM_Code],$A79,T_TTAFStock[WeekIndex],72)&gt;0)&gt;0,SUMIFS(T_SelfStock[Self_Qty],T_SelfStock[RM_Code],$A79,T_SelfStock[WeekIndex],72)+SUMIFS(T_TTAFStock[TTAF_Qty],T_TTAFStock[RM_Code],$A79,T_TTAFStock[WeekIndex],72),BT79+'Grid_Incoming'!BU79-'Grid_Requirement'!BU79))</f>
        <v/>
      </c>
      <c r="BV79">
        <f>IF(COUNTIFS(T_StockCount[RM_Code],$A79,T_StockCount[WeekIndex],73)&gt;0,SUMIFS(T_StockCount[CountedQty],T_StockCount[RM_Code],$A79,T_StockCount[WeekIndex],73),IF((COUNTIFS(T_SelfStock[RM_Code],$A79,T_SelfStock[WeekIndex],73)&gt;0)*(COUNTIFS(T_TTAFStock[RM_Code],$A79,T_TTAFStock[WeekIndex],73)&gt;0)&gt;0,SUMIFS(T_SelfStock[Self_Qty],T_SelfStock[RM_Code],$A79,T_SelfStock[WeekIndex],73)+SUMIFS(T_TTAFStock[TTAF_Qty],T_TTAFStock[RM_Code],$A79,T_TTAFStock[WeekIndex],73),BU79+'Grid_Incoming'!BV79-'Grid_Requirement'!BV79))</f>
        <v/>
      </c>
      <c r="BW79">
        <f>IF(COUNTIFS(T_StockCount[RM_Code],$A79,T_StockCount[WeekIndex],74)&gt;0,SUMIFS(T_StockCount[CountedQty],T_StockCount[RM_Code],$A79,T_StockCount[WeekIndex],74),IF((COUNTIFS(T_SelfStock[RM_Code],$A79,T_SelfStock[WeekIndex],74)&gt;0)*(COUNTIFS(T_TTAFStock[RM_Code],$A79,T_TTAFStock[WeekIndex],74)&gt;0)&gt;0,SUMIFS(T_SelfStock[Self_Qty],T_SelfStock[RM_Code],$A79,T_SelfStock[WeekIndex],74)+SUMIFS(T_TTAFStock[TTAF_Qty],T_TTAFStock[RM_Code],$A79,T_TTAFStock[WeekIndex],74),BV79+'Grid_Incoming'!BW79-'Grid_Requirement'!BW79))</f>
        <v/>
      </c>
      <c r="BX79">
        <f>IF(COUNTIFS(T_StockCount[RM_Code],$A79,T_StockCount[WeekIndex],75)&gt;0,SUMIFS(T_StockCount[CountedQty],T_StockCount[RM_Code],$A79,T_StockCount[WeekIndex],75),IF((COUNTIFS(T_SelfStock[RM_Code],$A79,T_SelfStock[WeekIndex],75)&gt;0)*(COUNTIFS(T_TTAFStock[RM_Code],$A79,T_TTAFStock[WeekIndex],75)&gt;0)&gt;0,SUMIFS(T_SelfStock[Self_Qty],T_SelfStock[RM_Code],$A79,T_SelfStock[WeekIndex],75)+SUMIFS(T_TTAFStock[TTAF_Qty],T_TTAFStock[RM_Code],$A79,T_TTAFStock[WeekIndex],75),BW79+'Grid_Incoming'!BX79-'Grid_Requirement'!BX79))</f>
        <v/>
      </c>
      <c r="BY79">
        <f>IF(COUNTIFS(T_StockCount[RM_Code],$A79,T_StockCount[WeekIndex],76)&gt;0,SUMIFS(T_StockCount[CountedQty],T_StockCount[RM_Code],$A79,T_StockCount[WeekIndex],76),IF((COUNTIFS(T_SelfStock[RM_Code],$A79,T_SelfStock[WeekIndex],76)&gt;0)*(COUNTIFS(T_TTAFStock[RM_Code],$A79,T_TTAFStock[WeekIndex],76)&gt;0)&gt;0,SUMIFS(T_SelfStock[Self_Qty],T_SelfStock[RM_Code],$A79,T_SelfStock[WeekIndex],76)+SUMIFS(T_TTAFStock[TTAF_Qty],T_TTAFStock[RM_Code],$A79,T_TTAFStock[WeekIndex],76),BX79+'Grid_Incoming'!BY79-'Grid_Requirement'!BY79))</f>
        <v/>
      </c>
      <c r="BZ79">
        <f>IF(COUNTIFS(T_StockCount[RM_Code],$A79,T_StockCount[WeekIndex],77)&gt;0,SUMIFS(T_StockCount[CountedQty],T_StockCount[RM_Code],$A79,T_StockCount[WeekIndex],77),IF((COUNTIFS(T_SelfStock[RM_Code],$A79,T_SelfStock[WeekIndex],77)&gt;0)*(COUNTIFS(T_TTAFStock[RM_Code],$A79,T_TTAFStock[WeekIndex],77)&gt;0)&gt;0,SUMIFS(T_SelfStock[Self_Qty],T_SelfStock[RM_Code],$A79,T_SelfStock[WeekIndex],77)+SUMIFS(T_TTAFStock[TTAF_Qty],T_TTAFStock[RM_Code],$A79,T_TTAFStock[WeekIndex],77),BY79+'Grid_Incoming'!BZ79-'Grid_Requirement'!BZ79))</f>
        <v/>
      </c>
      <c r="CA79">
        <f>IF(COUNTIFS(T_StockCount[RM_Code],$A79,T_StockCount[WeekIndex],78)&gt;0,SUMIFS(T_StockCount[CountedQty],T_StockCount[RM_Code],$A79,T_StockCount[WeekIndex],78),IF((COUNTIFS(T_SelfStock[RM_Code],$A79,T_SelfStock[WeekIndex],78)&gt;0)*(COUNTIFS(T_TTAFStock[RM_Code],$A79,T_TTAFStock[WeekIndex],78)&gt;0)&gt;0,SUMIFS(T_SelfStock[Self_Qty],T_SelfStock[RM_Code],$A79,T_SelfStock[WeekIndex],78)+SUMIFS(T_TTAFStock[TTAF_Qty],T_TTAFStock[RM_Code],$A79,T_TTAFStock[WeekIndex],78),BZ79+'Grid_Incoming'!CA79-'Grid_Requirement'!CA79))</f>
        <v/>
      </c>
      <c r="CB79">
        <f>IF(COUNTIFS(T_StockCount[RM_Code],$A79,T_StockCount[WeekIndex],79)&gt;0,SUMIFS(T_StockCount[CountedQty],T_StockCount[RM_Code],$A79,T_StockCount[WeekIndex],79),IF((COUNTIFS(T_SelfStock[RM_Code],$A79,T_SelfStock[WeekIndex],79)&gt;0)*(COUNTIFS(T_TTAFStock[RM_Code],$A79,T_TTAFStock[WeekIndex],79)&gt;0)&gt;0,SUMIFS(T_SelfStock[Self_Qty],T_SelfStock[RM_Code],$A79,T_SelfStock[WeekIndex],79)+SUMIFS(T_TTAFStock[TTAF_Qty],T_TTAFStock[RM_Code],$A79,T_TTAFStock[WeekIndex],79),CA79+'Grid_Incoming'!CB79-'Grid_Requirement'!CB79))</f>
        <v/>
      </c>
      <c r="CC79">
        <f>IF(COUNTIFS(T_StockCount[RM_Code],$A79,T_StockCount[WeekIndex],80)&gt;0,SUMIFS(T_StockCount[CountedQty],T_StockCount[RM_Code],$A79,T_StockCount[WeekIndex],80),IF((COUNTIFS(T_SelfStock[RM_Code],$A79,T_SelfStock[WeekIndex],80)&gt;0)*(COUNTIFS(T_TTAFStock[RM_Code],$A79,T_TTAFStock[WeekIndex],80)&gt;0)&gt;0,SUMIFS(T_SelfStock[Self_Qty],T_SelfStock[RM_Code],$A79,T_SelfStock[WeekIndex],80)+SUMIFS(T_TTAFStock[TTAF_Qty],T_TTAFStock[RM_Code],$A79,T_TTAFStock[WeekIndex],80),CB79+'Grid_Incoming'!CC79-'Grid_Requirement'!CC79))</f>
        <v/>
      </c>
      <c r="CD79">
        <f>IF(COUNTIFS(T_StockCount[RM_Code],$A79,T_StockCount[WeekIndex],81)&gt;0,SUMIFS(T_StockCount[CountedQty],T_StockCount[RM_Code],$A79,T_StockCount[WeekIndex],81),IF((COUNTIFS(T_SelfStock[RM_Code],$A79,T_SelfStock[WeekIndex],81)&gt;0)*(COUNTIFS(T_TTAFStock[RM_Code],$A79,T_TTAFStock[WeekIndex],81)&gt;0)&gt;0,SUMIFS(T_SelfStock[Self_Qty],T_SelfStock[RM_Code],$A79,T_SelfStock[WeekIndex],81)+SUMIFS(T_TTAFStock[TTAF_Qty],T_TTAFStock[RM_Code],$A79,T_TTAFStock[WeekIndex],81),CC79+'Grid_Incoming'!CD79-'Grid_Requirement'!CD79))</f>
        <v/>
      </c>
      <c r="CE79">
        <f>IF(COUNTIFS(T_StockCount[RM_Code],$A79,T_StockCount[WeekIndex],82)&gt;0,SUMIFS(T_StockCount[CountedQty],T_StockCount[RM_Code],$A79,T_StockCount[WeekIndex],82),IF((COUNTIFS(T_SelfStock[RM_Code],$A79,T_SelfStock[WeekIndex],82)&gt;0)*(COUNTIFS(T_TTAFStock[RM_Code],$A79,T_TTAFStock[WeekIndex],82)&gt;0)&gt;0,SUMIFS(T_SelfStock[Self_Qty],T_SelfStock[RM_Code],$A79,T_SelfStock[WeekIndex],82)+SUMIFS(T_TTAFStock[TTAF_Qty],T_TTAFStock[RM_Code],$A79,T_TTAFStock[WeekIndex],82),CD79+'Grid_Incoming'!CE79-'Grid_Requirement'!CE79))</f>
        <v/>
      </c>
      <c r="CF79">
        <f>IF(COUNTIFS(T_StockCount[RM_Code],$A79,T_StockCount[WeekIndex],83)&gt;0,SUMIFS(T_StockCount[CountedQty],T_StockCount[RM_Code],$A79,T_StockCount[WeekIndex],83),IF((COUNTIFS(T_SelfStock[RM_Code],$A79,T_SelfStock[WeekIndex],83)&gt;0)*(COUNTIFS(T_TTAFStock[RM_Code],$A79,T_TTAFStock[WeekIndex],83)&gt;0)&gt;0,SUMIFS(T_SelfStock[Self_Qty],T_SelfStock[RM_Code],$A79,T_SelfStock[WeekIndex],83)+SUMIFS(T_TTAFStock[TTAF_Qty],T_TTAFStock[RM_Code],$A79,T_TTAFStock[WeekIndex],83),CE79+'Grid_Incoming'!CF79-'Grid_Requirement'!CF79))</f>
        <v/>
      </c>
      <c r="CG79">
        <f>IF(COUNTIFS(T_StockCount[RM_Code],$A79,T_StockCount[WeekIndex],84)&gt;0,SUMIFS(T_StockCount[CountedQty],T_StockCount[RM_Code],$A79,T_StockCount[WeekIndex],84),IF((COUNTIFS(T_SelfStock[RM_Code],$A79,T_SelfStock[WeekIndex],84)&gt;0)*(COUNTIFS(T_TTAFStock[RM_Code],$A79,T_TTAFStock[WeekIndex],84)&gt;0)&gt;0,SUMIFS(T_SelfStock[Self_Qty],T_SelfStock[RM_Code],$A79,T_SelfStock[WeekIndex],84)+SUMIFS(T_TTAFStock[TTAF_Qty],T_TTAFStock[RM_Code],$A79,T_TTAFStock[WeekIndex],84),CF79+'Grid_Incoming'!CG79-'Grid_Requirement'!CG79))</f>
        <v/>
      </c>
      <c r="CH79">
        <f>IF(COUNTIFS(T_StockCount[RM_Code],$A79,T_StockCount[WeekIndex],85)&gt;0,SUMIFS(T_StockCount[CountedQty],T_StockCount[RM_Code],$A79,T_StockCount[WeekIndex],85),IF((COUNTIFS(T_SelfStock[RM_Code],$A79,T_SelfStock[WeekIndex],85)&gt;0)*(COUNTIFS(T_TTAFStock[RM_Code],$A79,T_TTAFStock[WeekIndex],85)&gt;0)&gt;0,SUMIFS(T_SelfStock[Self_Qty],T_SelfStock[RM_Code],$A79,T_SelfStock[WeekIndex],85)+SUMIFS(T_TTAFStock[TTAF_Qty],T_TTAFStock[RM_Code],$A79,T_TTAFStock[WeekIndex],85),CG79+'Grid_Incoming'!CH79-'Grid_Requirement'!CH79))</f>
        <v/>
      </c>
      <c r="CI79">
        <f>IF(COUNTIFS(T_StockCount[RM_Code],$A79,T_StockCount[WeekIndex],86)&gt;0,SUMIFS(T_StockCount[CountedQty],T_StockCount[RM_Code],$A79,T_StockCount[WeekIndex],86),IF((COUNTIFS(T_SelfStock[RM_Code],$A79,T_SelfStock[WeekIndex],86)&gt;0)*(COUNTIFS(T_TTAFStock[RM_Code],$A79,T_TTAFStock[WeekIndex],86)&gt;0)&gt;0,SUMIFS(T_SelfStock[Self_Qty],T_SelfStock[RM_Code],$A79,T_SelfStock[WeekIndex],86)+SUMIFS(T_TTAFStock[TTAF_Qty],T_TTAFStock[RM_Code],$A79,T_TTAFStock[WeekIndex],86),CH79+'Grid_Incoming'!CI79-'Grid_Requirement'!CI79))</f>
        <v/>
      </c>
      <c r="CJ79">
        <f>IF(COUNTIFS(T_StockCount[RM_Code],$A79,T_StockCount[WeekIndex],87)&gt;0,SUMIFS(T_StockCount[CountedQty],T_StockCount[RM_Code],$A79,T_StockCount[WeekIndex],87),IF((COUNTIFS(T_SelfStock[RM_Code],$A79,T_SelfStock[WeekIndex],87)&gt;0)*(COUNTIFS(T_TTAFStock[RM_Code],$A79,T_TTAFStock[WeekIndex],87)&gt;0)&gt;0,SUMIFS(T_SelfStock[Self_Qty],T_SelfStock[RM_Code],$A79,T_SelfStock[WeekIndex],87)+SUMIFS(T_TTAFStock[TTAF_Qty],T_TTAFStock[RM_Code],$A79,T_TTAFStock[WeekIndex],87),CI79+'Grid_Incoming'!CJ79-'Grid_Requirement'!CJ79))</f>
        <v/>
      </c>
      <c r="CK79">
        <f>IF(COUNTIFS(T_StockCount[RM_Code],$A79,T_StockCount[WeekIndex],88)&gt;0,SUMIFS(T_StockCount[CountedQty],T_StockCount[RM_Code],$A79,T_StockCount[WeekIndex],88),IF((COUNTIFS(T_SelfStock[RM_Code],$A79,T_SelfStock[WeekIndex],88)&gt;0)*(COUNTIFS(T_TTAFStock[RM_Code],$A79,T_TTAFStock[WeekIndex],88)&gt;0)&gt;0,SUMIFS(T_SelfStock[Self_Qty],T_SelfStock[RM_Code],$A79,T_SelfStock[WeekIndex],88)+SUMIFS(T_TTAFStock[TTAF_Qty],T_TTAFStock[RM_Code],$A79,T_TTAFStock[WeekIndex],88),CJ79+'Grid_Incoming'!CK79-'Grid_Requirement'!CK79))</f>
        <v/>
      </c>
      <c r="CL79">
        <f>IF(COUNTIFS(T_StockCount[RM_Code],$A79,T_StockCount[WeekIndex],89)&gt;0,SUMIFS(T_StockCount[CountedQty],T_StockCount[RM_Code],$A79,T_StockCount[WeekIndex],89),IF((COUNTIFS(T_SelfStock[RM_Code],$A79,T_SelfStock[WeekIndex],89)&gt;0)*(COUNTIFS(T_TTAFStock[RM_Code],$A79,T_TTAFStock[WeekIndex],89)&gt;0)&gt;0,SUMIFS(T_SelfStock[Self_Qty],T_SelfStock[RM_Code],$A79,T_SelfStock[WeekIndex],89)+SUMIFS(T_TTAFStock[TTAF_Qty],T_TTAFStock[RM_Code],$A79,T_TTAFStock[WeekIndex],89),CK79+'Grid_Incoming'!CL79-'Grid_Requirement'!CL79))</f>
        <v/>
      </c>
      <c r="CM79">
        <f>IF(COUNTIFS(T_StockCount[RM_Code],$A79,T_StockCount[WeekIndex],90)&gt;0,SUMIFS(T_StockCount[CountedQty],T_StockCount[RM_Code],$A79,T_StockCount[WeekIndex],90),IF((COUNTIFS(T_SelfStock[RM_Code],$A79,T_SelfStock[WeekIndex],90)&gt;0)*(COUNTIFS(T_TTAFStock[RM_Code],$A79,T_TTAFStock[WeekIndex],90)&gt;0)&gt;0,SUMIFS(T_SelfStock[Self_Qty],T_SelfStock[RM_Code],$A79,T_SelfStock[WeekIndex],90)+SUMIFS(T_TTAFStock[TTAF_Qty],T_TTAFStock[RM_Code],$A79,T_TTAFStock[WeekIndex],90),CL79+'Grid_Incoming'!CM79-'Grid_Requirement'!CM79))</f>
        <v/>
      </c>
      <c r="CN79">
        <f>IF(COUNTIFS(T_StockCount[RM_Code],$A79,T_StockCount[WeekIndex],91)&gt;0,SUMIFS(T_StockCount[CountedQty],T_StockCount[RM_Code],$A79,T_StockCount[WeekIndex],91),IF((COUNTIFS(T_SelfStock[RM_Code],$A79,T_SelfStock[WeekIndex],91)&gt;0)*(COUNTIFS(T_TTAFStock[RM_Code],$A79,T_TTAFStock[WeekIndex],91)&gt;0)&gt;0,SUMIFS(T_SelfStock[Self_Qty],T_SelfStock[RM_Code],$A79,T_SelfStock[WeekIndex],91)+SUMIFS(T_TTAFStock[TTAF_Qty],T_TTAFStock[RM_Code],$A79,T_TTAFStock[WeekIndex],91),CM79+'Grid_Incoming'!CN79-'Grid_Requirement'!CN79))</f>
        <v/>
      </c>
      <c r="CO79">
        <f>IF(COUNTIFS(T_StockCount[RM_Code],$A79,T_StockCount[WeekIndex],92)&gt;0,SUMIFS(T_StockCount[CountedQty],T_StockCount[RM_Code],$A79,T_StockCount[WeekIndex],92),IF((COUNTIFS(T_SelfStock[RM_Code],$A79,T_SelfStock[WeekIndex],92)&gt;0)*(COUNTIFS(T_TTAFStock[RM_Code],$A79,T_TTAFStock[WeekIndex],92)&gt;0)&gt;0,SUMIFS(T_SelfStock[Self_Qty],T_SelfStock[RM_Code],$A79,T_SelfStock[WeekIndex],92)+SUMIFS(T_TTAFStock[TTAF_Qty],T_TTAFStock[RM_Code],$A79,T_TTAFStock[WeekIndex],92),CN79+'Grid_Incoming'!CO79-'Grid_Requirement'!CO79))</f>
        <v/>
      </c>
      <c r="CP79">
        <f>IF(COUNTIFS(T_StockCount[RM_Code],$A79,T_StockCount[WeekIndex],93)&gt;0,SUMIFS(T_StockCount[CountedQty],T_StockCount[RM_Code],$A79,T_StockCount[WeekIndex],93),IF((COUNTIFS(T_SelfStock[RM_Code],$A79,T_SelfStock[WeekIndex],93)&gt;0)*(COUNTIFS(T_TTAFStock[RM_Code],$A79,T_TTAFStock[WeekIndex],93)&gt;0)&gt;0,SUMIFS(T_SelfStock[Self_Qty],T_SelfStock[RM_Code],$A79,T_SelfStock[WeekIndex],93)+SUMIFS(T_TTAFStock[TTAF_Qty],T_TTAFStock[RM_Code],$A79,T_TTAFStock[WeekIndex],93),CO79+'Grid_Incoming'!CP79-'Grid_Requirement'!CP79))</f>
        <v/>
      </c>
      <c r="CQ79">
        <f>IF(COUNTIFS(T_StockCount[RM_Code],$A79,T_StockCount[WeekIndex],94)&gt;0,SUMIFS(T_StockCount[CountedQty],T_StockCount[RM_Code],$A79,T_StockCount[WeekIndex],94),IF((COUNTIFS(T_SelfStock[RM_Code],$A79,T_SelfStock[WeekIndex],94)&gt;0)*(COUNTIFS(T_TTAFStock[RM_Code],$A79,T_TTAFStock[WeekIndex],94)&gt;0)&gt;0,SUMIFS(T_SelfStock[Self_Qty],T_SelfStock[RM_Code],$A79,T_SelfStock[WeekIndex],94)+SUMIFS(T_TTAFStock[TTAF_Qty],T_TTAFStock[RM_Code],$A79,T_TTAFStock[WeekIndex],94),CP79+'Grid_Incoming'!CQ79-'Grid_Requirement'!CQ79))</f>
        <v/>
      </c>
      <c r="CR79">
        <f>IF(COUNTIFS(T_StockCount[RM_Code],$A79,T_StockCount[WeekIndex],95)&gt;0,SUMIFS(T_StockCount[CountedQty],T_StockCount[RM_Code],$A79,T_StockCount[WeekIndex],95),IF((COUNTIFS(T_SelfStock[RM_Code],$A79,T_SelfStock[WeekIndex],95)&gt;0)*(COUNTIFS(T_TTAFStock[RM_Code],$A79,T_TTAFStock[WeekIndex],95)&gt;0)&gt;0,SUMIFS(T_SelfStock[Self_Qty],T_SelfStock[RM_Code],$A79,T_SelfStock[WeekIndex],95)+SUMIFS(T_TTAFStock[TTAF_Qty],T_TTAFStock[RM_Code],$A79,T_TTAFStock[WeekIndex],95),CQ79+'Grid_Incoming'!CR79-'Grid_Requirement'!CR79))</f>
        <v/>
      </c>
      <c r="CS79">
        <f>IF(COUNTIFS(T_StockCount[RM_Code],$A79,T_StockCount[WeekIndex],96)&gt;0,SUMIFS(T_StockCount[CountedQty],T_StockCount[RM_Code],$A79,T_StockCount[WeekIndex],96),IF((COUNTIFS(T_SelfStock[RM_Code],$A79,T_SelfStock[WeekIndex],96)&gt;0)*(COUNTIFS(T_TTAFStock[RM_Code],$A79,T_TTAFStock[WeekIndex],96)&gt;0)&gt;0,SUMIFS(T_SelfStock[Self_Qty],T_SelfStock[RM_Code],$A79,T_SelfStock[WeekIndex],96)+SUMIFS(T_TTAFStock[TTAF_Qty],T_TTAFStock[RM_Code],$A79,T_TTAFStock[WeekIndex],96),CR79+'Grid_Incoming'!CS79-'Grid_Requirement'!CS79))</f>
        <v/>
      </c>
      <c r="CT79">
        <f>IF(COUNTIFS(T_StockCount[RM_Code],$A79,T_StockCount[WeekIndex],97)&gt;0,SUMIFS(T_StockCount[CountedQty],T_StockCount[RM_Code],$A79,T_StockCount[WeekIndex],97),IF((COUNTIFS(T_SelfStock[RM_Code],$A79,T_SelfStock[WeekIndex],97)&gt;0)*(COUNTIFS(T_TTAFStock[RM_Code],$A79,T_TTAFStock[WeekIndex],97)&gt;0)&gt;0,SUMIFS(T_SelfStock[Self_Qty],T_SelfStock[RM_Code],$A79,T_SelfStock[WeekIndex],97)+SUMIFS(T_TTAFStock[TTAF_Qty],T_TTAFStock[RM_Code],$A79,T_TTAFStock[WeekIndex],97),CS79+'Grid_Incoming'!CT79-'Grid_Requirement'!CT79))</f>
        <v/>
      </c>
      <c r="CU79">
        <f>IF(COUNTIFS(T_StockCount[RM_Code],$A79,T_StockCount[WeekIndex],98)&gt;0,SUMIFS(T_StockCount[CountedQty],T_StockCount[RM_Code],$A79,T_StockCount[WeekIndex],98),IF((COUNTIFS(T_SelfStock[RM_Code],$A79,T_SelfStock[WeekIndex],98)&gt;0)*(COUNTIFS(T_TTAFStock[RM_Code],$A79,T_TTAFStock[WeekIndex],98)&gt;0)&gt;0,SUMIFS(T_SelfStock[Self_Qty],T_SelfStock[RM_Code],$A79,T_SelfStock[WeekIndex],98)+SUMIFS(T_TTAFStock[TTAF_Qty],T_TTAFStock[RM_Code],$A79,T_TTAFStock[WeekIndex],98),CT79+'Grid_Incoming'!CU79-'Grid_Requirement'!CU79))</f>
        <v/>
      </c>
      <c r="CV79">
        <f>IF(COUNTIFS(T_StockCount[RM_Code],$A79,T_StockCount[WeekIndex],99)&gt;0,SUMIFS(T_StockCount[CountedQty],T_StockCount[RM_Code],$A79,T_StockCount[WeekIndex],99),IF((COUNTIFS(T_SelfStock[RM_Code],$A79,T_SelfStock[WeekIndex],99)&gt;0)*(COUNTIFS(T_TTAFStock[RM_Code],$A79,T_TTAFStock[WeekIndex],99)&gt;0)&gt;0,SUMIFS(T_SelfStock[Self_Qty],T_SelfStock[RM_Code],$A79,T_SelfStock[WeekIndex],99)+SUMIFS(T_TTAFStock[TTAF_Qty],T_TTAFStock[RM_Code],$A79,T_TTAFStock[WeekIndex],99),CU79+'Grid_Incoming'!CV79-'Grid_Requirement'!CV79))</f>
        <v/>
      </c>
      <c r="CW79">
        <f>IF(COUNTIFS(T_StockCount[RM_Code],$A79,T_StockCount[WeekIndex],100)&gt;0,SUMIFS(T_StockCount[CountedQty],T_StockCount[RM_Code],$A79,T_StockCount[WeekIndex],100),IF((COUNTIFS(T_SelfStock[RM_Code],$A79,T_SelfStock[WeekIndex],100)&gt;0)*(COUNTIFS(T_TTAFStock[RM_Code],$A79,T_TTAFStock[WeekIndex],100)&gt;0)&gt;0,SUMIFS(T_SelfStock[Self_Qty],T_SelfStock[RM_Code],$A79,T_SelfStock[WeekIndex],100)+SUMIFS(T_TTAFStock[TTAF_Qty],T_TTAFStock[RM_Code],$A79,T_TTAFStock[WeekIndex],100),CV79+'Grid_Incoming'!CW79-'Grid_Requirement'!CW79))</f>
        <v/>
      </c>
      <c r="CX79">
        <f>IF(COUNTIFS(T_StockCount[RM_Code],$A79,T_StockCount[WeekIndex],101)&gt;0,SUMIFS(T_StockCount[CountedQty],T_StockCount[RM_Code],$A79,T_StockCount[WeekIndex],101),IF((COUNTIFS(T_SelfStock[RM_Code],$A79,T_SelfStock[WeekIndex],101)&gt;0)*(COUNTIFS(T_TTAFStock[RM_Code],$A79,T_TTAFStock[WeekIndex],101)&gt;0)&gt;0,SUMIFS(T_SelfStock[Self_Qty],T_SelfStock[RM_Code],$A79,T_SelfStock[WeekIndex],101)+SUMIFS(T_TTAFStock[TTAF_Qty],T_TTAFStock[RM_Code],$A79,T_TTAFStock[WeekIndex],101),CW79+'Grid_Incoming'!CX79-'Grid_Requirement'!CX79))</f>
        <v/>
      </c>
      <c r="CY79">
        <f>IF(COUNTIFS(T_StockCount[RM_Code],$A79,T_StockCount[WeekIndex],102)&gt;0,SUMIFS(T_StockCount[CountedQty],T_StockCount[RM_Code],$A79,T_StockCount[WeekIndex],102),IF((COUNTIFS(T_SelfStock[RM_Code],$A79,T_SelfStock[WeekIndex],102)&gt;0)*(COUNTIFS(T_TTAFStock[RM_Code],$A79,T_TTAFStock[WeekIndex],102)&gt;0)&gt;0,SUMIFS(T_SelfStock[Self_Qty],T_SelfStock[RM_Code],$A79,T_SelfStock[WeekIndex],102)+SUMIFS(T_TTAFStock[TTAF_Qty],T_TTAFStock[RM_Code],$A79,T_TTAFStock[WeekIndex],102),CX79+'Grid_Incoming'!CY79-'Grid_Requirement'!CY79))</f>
        <v/>
      </c>
      <c r="CZ79">
        <f>IF(COUNTIFS(T_StockCount[RM_Code],$A79,T_StockCount[WeekIndex],103)&gt;0,SUMIFS(T_StockCount[CountedQty],T_StockCount[RM_Code],$A79,T_StockCount[WeekIndex],103),IF((COUNTIFS(T_SelfStock[RM_Code],$A79,T_SelfStock[WeekIndex],103)&gt;0)*(COUNTIFS(T_TTAFStock[RM_Code],$A79,T_TTAFStock[WeekIndex],103)&gt;0)&gt;0,SUMIFS(T_SelfStock[Self_Qty],T_SelfStock[RM_Code],$A79,T_SelfStock[WeekIndex],103)+SUMIFS(T_TTAFStock[TTAF_Qty],T_TTAFStock[RM_Code],$A79,T_TTAFStock[WeekIndex],103),CY79+'Grid_Incoming'!CZ79-'Grid_Requirement'!CZ79))</f>
        <v/>
      </c>
      <c r="DA79">
        <f>IF(COUNTIFS(T_StockCount[RM_Code],$A79,T_StockCount[WeekIndex],104)&gt;0,SUMIFS(T_StockCount[CountedQty],T_StockCount[RM_Code],$A79,T_StockCount[WeekIndex],104),IF((COUNTIFS(T_SelfStock[RM_Code],$A79,T_SelfStock[WeekIndex],104)&gt;0)*(COUNTIFS(T_TTAFStock[RM_Code],$A79,T_TTAFStock[WeekIndex],104)&gt;0)&gt;0,SUMIFS(T_SelfStock[Self_Qty],T_SelfStock[RM_Code],$A79,T_SelfStock[WeekIndex],104)+SUMIFS(T_TTAFStock[TTAF_Qty],T_TTAFStock[RM_Code],$A79,T_TTAFStock[WeekIndex],104),CZ79+'Grid_Incoming'!DA79-'Grid_Requirement'!DA79))</f>
        <v/>
      </c>
    </row>
    <row r="80">
      <c r="A80" t="inlineStr">
        <is>
          <t>Chem-1790</t>
        </is>
      </c>
      <c r="B80">
        <f>IF(COUNTIFS(T_StockCount[RM_Code],$A80,T_StockCount[WeekIndex],1)&gt;0,SUMIFS(T_StockCount[CountedQty],T_StockCount[RM_Code],$A80,T_StockCount[WeekIndex],1),IF((COUNTIFS(T_SelfStock[RM_Code],$A80,T_SelfStock[WeekIndex],1)&gt;0)*(COUNTIFS(T_TTAFStock[RM_Code],$A80,T_TTAFStock[WeekIndex],1)&gt;0)&gt;0,SUMIFS(T_SelfStock[Self_Qty],T_SelfStock[RM_Code],$A80,T_SelfStock[WeekIndex],1)+SUMIFS(T_TTAFStock[TTAF_Qty],T_TTAFStock[RM_Code],$A80,T_TTAFStock[WeekIndex],1),IFERROR(INDEX(T_OpeningStock[Opening_Qty],MATCH($A80,T_OpeningStock[RM_Code],0)),0)+'Grid_Incoming'!B80-'Grid_Requirement'!B80))</f>
        <v/>
      </c>
      <c r="C80">
        <f>IF(COUNTIFS(T_StockCount[RM_Code],$A80,T_StockCount[WeekIndex],2)&gt;0,SUMIFS(T_StockCount[CountedQty],T_StockCount[RM_Code],$A80,T_StockCount[WeekIndex],2),IF((COUNTIFS(T_SelfStock[RM_Code],$A80,T_SelfStock[WeekIndex],2)&gt;0)*(COUNTIFS(T_TTAFStock[RM_Code],$A80,T_TTAFStock[WeekIndex],2)&gt;0)&gt;0,SUMIFS(T_SelfStock[Self_Qty],T_SelfStock[RM_Code],$A80,T_SelfStock[WeekIndex],2)+SUMIFS(T_TTAFStock[TTAF_Qty],T_TTAFStock[RM_Code],$A80,T_TTAFStock[WeekIndex],2),B80+'Grid_Incoming'!C80-'Grid_Requirement'!C80))</f>
        <v/>
      </c>
      <c r="D80">
        <f>IF(COUNTIFS(T_StockCount[RM_Code],$A80,T_StockCount[WeekIndex],3)&gt;0,SUMIFS(T_StockCount[CountedQty],T_StockCount[RM_Code],$A80,T_StockCount[WeekIndex],3),IF((COUNTIFS(T_SelfStock[RM_Code],$A80,T_SelfStock[WeekIndex],3)&gt;0)*(COUNTIFS(T_TTAFStock[RM_Code],$A80,T_TTAFStock[WeekIndex],3)&gt;0)&gt;0,SUMIFS(T_SelfStock[Self_Qty],T_SelfStock[RM_Code],$A80,T_SelfStock[WeekIndex],3)+SUMIFS(T_TTAFStock[TTAF_Qty],T_TTAFStock[RM_Code],$A80,T_TTAFStock[WeekIndex],3),C80+'Grid_Incoming'!D80-'Grid_Requirement'!D80))</f>
        <v/>
      </c>
      <c r="E80">
        <f>IF(COUNTIFS(T_StockCount[RM_Code],$A80,T_StockCount[WeekIndex],4)&gt;0,SUMIFS(T_StockCount[CountedQty],T_StockCount[RM_Code],$A80,T_StockCount[WeekIndex],4),IF((COUNTIFS(T_SelfStock[RM_Code],$A80,T_SelfStock[WeekIndex],4)&gt;0)*(COUNTIFS(T_TTAFStock[RM_Code],$A80,T_TTAFStock[WeekIndex],4)&gt;0)&gt;0,SUMIFS(T_SelfStock[Self_Qty],T_SelfStock[RM_Code],$A80,T_SelfStock[WeekIndex],4)+SUMIFS(T_TTAFStock[TTAF_Qty],T_TTAFStock[RM_Code],$A80,T_TTAFStock[WeekIndex],4),D80+'Grid_Incoming'!E80-'Grid_Requirement'!E80))</f>
        <v/>
      </c>
      <c r="F80">
        <f>IF(COUNTIFS(T_StockCount[RM_Code],$A80,T_StockCount[WeekIndex],5)&gt;0,SUMIFS(T_StockCount[CountedQty],T_StockCount[RM_Code],$A80,T_StockCount[WeekIndex],5),IF((COUNTIFS(T_SelfStock[RM_Code],$A80,T_SelfStock[WeekIndex],5)&gt;0)*(COUNTIFS(T_TTAFStock[RM_Code],$A80,T_TTAFStock[WeekIndex],5)&gt;0)&gt;0,SUMIFS(T_SelfStock[Self_Qty],T_SelfStock[RM_Code],$A80,T_SelfStock[WeekIndex],5)+SUMIFS(T_TTAFStock[TTAF_Qty],T_TTAFStock[RM_Code],$A80,T_TTAFStock[WeekIndex],5),E80+'Grid_Incoming'!F80-'Grid_Requirement'!F80))</f>
        <v/>
      </c>
      <c r="G80">
        <f>IF(COUNTIFS(T_StockCount[RM_Code],$A80,T_StockCount[WeekIndex],6)&gt;0,SUMIFS(T_StockCount[CountedQty],T_StockCount[RM_Code],$A80,T_StockCount[WeekIndex],6),IF((COUNTIFS(T_SelfStock[RM_Code],$A80,T_SelfStock[WeekIndex],6)&gt;0)*(COUNTIFS(T_TTAFStock[RM_Code],$A80,T_TTAFStock[WeekIndex],6)&gt;0)&gt;0,SUMIFS(T_SelfStock[Self_Qty],T_SelfStock[RM_Code],$A80,T_SelfStock[WeekIndex],6)+SUMIFS(T_TTAFStock[TTAF_Qty],T_TTAFStock[RM_Code],$A80,T_TTAFStock[WeekIndex],6),F80+'Grid_Incoming'!G80-'Grid_Requirement'!G80))</f>
        <v/>
      </c>
      <c r="H80">
        <f>IF(COUNTIFS(T_StockCount[RM_Code],$A80,T_StockCount[WeekIndex],7)&gt;0,SUMIFS(T_StockCount[CountedQty],T_StockCount[RM_Code],$A80,T_StockCount[WeekIndex],7),IF((COUNTIFS(T_SelfStock[RM_Code],$A80,T_SelfStock[WeekIndex],7)&gt;0)*(COUNTIFS(T_TTAFStock[RM_Code],$A80,T_TTAFStock[WeekIndex],7)&gt;0)&gt;0,SUMIFS(T_SelfStock[Self_Qty],T_SelfStock[RM_Code],$A80,T_SelfStock[WeekIndex],7)+SUMIFS(T_TTAFStock[TTAF_Qty],T_TTAFStock[RM_Code],$A80,T_TTAFStock[WeekIndex],7),G80+'Grid_Incoming'!H80-'Grid_Requirement'!H80))</f>
        <v/>
      </c>
      <c r="I80">
        <f>IF(COUNTIFS(T_StockCount[RM_Code],$A80,T_StockCount[WeekIndex],8)&gt;0,SUMIFS(T_StockCount[CountedQty],T_StockCount[RM_Code],$A80,T_StockCount[WeekIndex],8),IF((COUNTIFS(T_SelfStock[RM_Code],$A80,T_SelfStock[WeekIndex],8)&gt;0)*(COUNTIFS(T_TTAFStock[RM_Code],$A80,T_TTAFStock[WeekIndex],8)&gt;0)&gt;0,SUMIFS(T_SelfStock[Self_Qty],T_SelfStock[RM_Code],$A80,T_SelfStock[WeekIndex],8)+SUMIFS(T_TTAFStock[TTAF_Qty],T_TTAFStock[RM_Code],$A80,T_TTAFStock[WeekIndex],8),H80+'Grid_Incoming'!I80-'Grid_Requirement'!I80))</f>
        <v/>
      </c>
      <c r="J80">
        <f>IF(COUNTIFS(T_StockCount[RM_Code],$A80,T_StockCount[WeekIndex],9)&gt;0,SUMIFS(T_StockCount[CountedQty],T_StockCount[RM_Code],$A80,T_StockCount[WeekIndex],9),IF((COUNTIFS(T_SelfStock[RM_Code],$A80,T_SelfStock[WeekIndex],9)&gt;0)*(COUNTIFS(T_TTAFStock[RM_Code],$A80,T_TTAFStock[WeekIndex],9)&gt;0)&gt;0,SUMIFS(T_SelfStock[Self_Qty],T_SelfStock[RM_Code],$A80,T_SelfStock[WeekIndex],9)+SUMIFS(T_TTAFStock[TTAF_Qty],T_TTAFStock[RM_Code],$A80,T_TTAFStock[WeekIndex],9),I80+'Grid_Incoming'!J80-'Grid_Requirement'!J80))</f>
        <v/>
      </c>
      <c r="K80">
        <f>IF(COUNTIFS(T_StockCount[RM_Code],$A80,T_StockCount[WeekIndex],10)&gt;0,SUMIFS(T_StockCount[CountedQty],T_StockCount[RM_Code],$A80,T_StockCount[WeekIndex],10),IF((COUNTIFS(T_SelfStock[RM_Code],$A80,T_SelfStock[WeekIndex],10)&gt;0)*(COUNTIFS(T_TTAFStock[RM_Code],$A80,T_TTAFStock[WeekIndex],10)&gt;0)&gt;0,SUMIFS(T_SelfStock[Self_Qty],T_SelfStock[RM_Code],$A80,T_SelfStock[WeekIndex],10)+SUMIFS(T_TTAFStock[TTAF_Qty],T_TTAFStock[RM_Code],$A80,T_TTAFStock[WeekIndex],10),J80+'Grid_Incoming'!K80-'Grid_Requirement'!K80))</f>
        <v/>
      </c>
      <c r="L80">
        <f>IF(COUNTIFS(T_StockCount[RM_Code],$A80,T_StockCount[WeekIndex],11)&gt;0,SUMIFS(T_StockCount[CountedQty],T_StockCount[RM_Code],$A80,T_StockCount[WeekIndex],11),IF((COUNTIFS(T_SelfStock[RM_Code],$A80,T_SelfStock[WeekIndex],11)&gt;0)*(COUNTIFS(T_TTAFStock[RM_Code],$A80,T_TTAFStock[WeekIndex],11)&gt;0)&gt;0,SUMIFS(T_SelfStock[Self_Qty],T_SelfStock[RM_Code],$A80,T_SelfStock[WeekIndex],11)+SUMIFS(T_TTAFStock[TTAF_Qty],T_TTAFStock[RM_Code],$A80,T_TTAFStock[WeekIndex],11),K80+'Grid_Incoming'!L80-'Grid_Requirement'!L80))</f>
        <v/>
      </c>
      <c r="M80">
        <f>IF(COUNTIFS(T_StockCount[RM_Code],$A80,T_StockCount[WeekIndex],12)&gt;0,SUMIFS(T_StockCount[CountedQty],T_StockCount[RM_Code],$A80,T_StockCount[WeekIndex],12),IF((COUNTIFS(T_SelfStock[RM_Code],$A80,T_SelfStock[WeekIndex],12)&gt;0)*(COUNTIFS(T_TTAFStock[RM_Code],$A80,T_TTAFStock[WeekIndex],12)&gt;0)&gt;0,SUMIFS(T_SelfStock[Self_Qty],T_SelfStock[RM_Code],$A80,T_SelfStock[WeekIndex],12)+SUMIFS(T_TTAFStock[TTAF_Qty],T_TTAFStock[RM_Code],$A80,T_TTAFStock[WeekIndex],12),L80+'Grid_Incoming'!M80-'Grid_Requirement'!M80))</f>
        <v/>
      </c>
      <c r="N80">
        <f>IF(COUNTIFS(T_StockCount[RM_Code],$A80,T_StockCount[WeekIndex],13)&gt;0,SUMIFS(T_StockCount[CountedQty],T_StockCount[RM_Code],$A80,T_StockCount[WeekIndex],13),IF((COUNTIFS(T_SelfStock[RM_Code],$A80,T_SelfStock[WeekIndex],13)&gt;0)*(COUNTIFS(T_TTAFStock[RM_Code],$A80,T_TTAFStock[WeekIndex],13)&gt;0)&gt;0,SUMIFS(T_SelfStock[Self_Qty],T_SelfStock[RM_Code],$A80,T_SelfStock[WeekIndex],13)+SUMIFS(T_TTAFStock[TTAF_Qty],T_TTAFStock[RM_Code],$A80,T_TTAFStock[WeekIndex],13),M80+'Grid_Incoming'!N80-'Grid_Requirement'!N80))</f>
        <v/>
      </c>
      <c r="O80">
        <f>IF(COUNTIFS(T_StockCount[RM_Code],$A80,T_StockCount[WeekIndex],14)&gt;0,SUMIFS(T_StockCount[CountedQty],T_StockCount[RM_Code],$A80,T_StockCount[WeekIndex],14),IF((COUNTIFS(T_SelfStock[RM_Code],$A80,T_SelfStock[WeekIndex],14)&gt;0)*(COUNTIFS(T_TTAFStock[RM_Code],$A80,T_TTAFStock[WeekIndex],14)&gt;0)&gt;0,SUMIFS(T_SelfStock[Self_Qty],T_SelfStock[RM_Code],$A80,T_SelfStock[WeekIndex],14)+SUMIFS(T_TTAFStock[TTAF_Qty],T_TTAFStock[RM_Code],$A80,T_TTAFStock[WeekIndex],14),N80+'Grid_Incoming'!O80-'Grid_Requirement'!O80))</f>
        <v/>
      </c>
      <c r="P80">
        <f>IF(COUNTIFS(T_StockCount[RM_Code],$A80,T_StockCount[WeekIndex],15)&gt;0,SUMIFS(T_StockCount[CountedQty],T_StockCount[RM_Code],$A80,T_StockCount[WeekIndex],15),IF((COUNTIFS(T_SelfStock[RM_Code],$A80,T_SelfStock[WeekIndex],15)&gt;0)*(COUNTIFS(T_TTAFStock[RM_Code],$A80,T_TTAFStock[WeekIndex],15)&gt;0)&gt;0,SUMIFS(T_SelfStock[Self_Qty],T_SelfStock[RM_Code],$A80,T_SelfStock[WeekIndex],15)+SUMIFS(T_TTAFStock[TTAF_Qty],T_TTAFStock[RM_Code],$A80,T_TTAFStock[WeekIndex],15),O80+'Grid_Incoming'!P80-'Grid_Requirement'!P80))</f>
        <v/>
      </c>
      <c r="Q80">
        <f>IF(COUNTIFS(T_StockCount[RM_Code],$A80,T_StockCount[WeekIndex],16)&gt;0,SUMIFS(T_StockCount[CountedQty],T_StockCount[RM_Code],$A80,T_StockCount[WeekIndex],16),IF((COUNTIFS(T_SelfStock[RM_Code],$A80,T_SelfStock[WeekIndex],16)&gt;0)*(COUNTIFS(T_TTAFStock[RM_Code],$A80,T_TTAFStock[WeekIndex],16)&gt;0)&gt;0,SUMIFS(T_SelfStock[Self_Qty],T_SelfStock[RM_Code],$A80,T_SelfStock[WeekIndex],16)+SUMIFS(T_TTAFStock[TTAF_Qty],T_TTAFStock[RM_Code],$A80,T_TTAFStock[WeekIndex],16),P80+'Grid_Incoming'!Q80-'Grid_Requirement'!Q80))</f>
        <v/>
      </c>
      <c r="R80">
        <f>IF(COUNTIFS(T_StockCount[RM_Code],$A80,T_StockCount[WeekIndex],17)&gt;0,SUMIFS(T_StockCount[CountedQty],T_StockCount[RM_Code],$A80,T_StockCount[WeekIndex],17),IF((COUNTIFS(T_SelfStock[RM_Code],$A80,T_SelfStock[WeekIndex],17)&gt;0)*(COUNTIFS(T_TTAFStock[RM_Code],$A80,T_TTAFStock[WeekIndex],17)&gt;0)&gt;0,SUMIFS(T_SelfStock[Self_Qty],T_SelfStock[RM_Code],$A80,T_SelfStock[WeekIndex],17)+SUMIFS(T_TTAFStock[TTAF_Qty],T_TTAFStock[RM_Code],$A80,T_TTAFStock[WeekIndex],17),Q80+'Grid_Incoming'!R80-'Grid_Requirement'!R80))</f>
        <v/>
      </c>
      <c r="S80">
        <f>IF(COUNTIFS(T_StockCount[RM_Code],$A80,T_StockCount[WeekIndex],18)&gt;0,SUMIFS(T_StockCount[CountedQty],T_StockCount[RM_Code],$A80,T_StockCount[WeekIndex],18),IF((COUNTIFS(T_SelfStock[RM_Code],$A80,T_SelfStock[WeekIndex],18)&gt;0)*(COUNTIFS(T_TTAFStock[RM_Code],$A80,T_TTAFStock[WeekIndex],18)&gt;0)&gt;0,SUMIFS(T_SelfStock[Self_Qty],T_SelfStock[RM_Code],$A80,T_SelfStock[WeekIndex],18)+SUMIFS(T_TTAFStock[TTAF_Qty],T_TTAFStock[RM_Code],$A80,T_TTAFStock[WeekIndex],18),R80+'Grid_Incoming'!S80-'Grid_Requirement'!S80))</f>
        <v/>
      </c>
      <c r="T80">
        <f>IF(COUNTIFS(T_StockCount[RM_Code],$A80,T_StockCount[WeekIndex],19)&gt;0,SUMIFS(T_StockCount[CountedQty],T_StockCount[RM_Code],$A80,T_StockCount[WeekIndex],19),IF((COUNTIFS(T_SelfStock[RM_Code],$A80,T_SelfStock[WeekIndex],19)&gt;0)*(COUNTIFS(T_TTAFStock[RM_Code],$A80,T_TTAFStock[WeekIndex],19)&gt;0)&gt;0,SUMIFS(T_SelfStock[Self_Qty],T_SelfStock[RM_Code],$A80,T_SelfStock[WeekIndex],19)+SUMIFS(T_TTAFStock[TTAF_Qty],T_TTAFStock[RM_Code],$A80,T_TTAFStock[WeekIndex],19),S80+'Grid_Incoming'!T80-'Grid_Requirement'!T80))</f>
        <v/>
      </c>
      <c r="U80">
        <f>IF(COUNTIFS(T_StockCount[RM_Code],$A80,T_StockCount[WeekIndex],20)&gt;0,SUMIFS(T_StockCount[CountedQty],T_StockCount[RM_Code],$A80,T_StockCount[WeekIndex],20),IF((COUNTIFS(T_SelfStock[RM_Code],$A80,T_SelfStock[WeekIndex],20)&gt;0)*(COUNTIFS(T_TTAFStock[RM_Code],$A80,T_TTAFStock[WeekIndex],20)&gt;0)&gt;0,SUMIFS(T_SelfStock[Self_Qty],T_SelfStock[RM_Code],$A80,T_SelfStock[WeekIndex],20)+SUMIFS(T_TTAFStock[TTAF_Qty],T_TTAFStock[RM_Code],$A80,T_TTAFStock[WeekIndex],20),T80+'Grid_Incoming'!U80-'Grid_Requirement'!U80))</f>
        <v/>
      </c>
      <c r="V80">
        <f>IF(COUNTIFS(T_StockCount[RM_Code],$A80,T_StockCount[WeekIndex],21)&gt;0,SUMIFS(T_StockCount[CountedQty],T_StockCount[RM_Code],$A80,T_StockCount[WeekIndex],21),IF((COUNTIFS(T_SelfStock[RM_Code],$A80,T_SelfStock[WeekIndex],21)&gt;0)*(COUNTIFS(T_TTAFStock[RM_Code],$A80,T_TTAFStock[WeekIndex],21)&gt;0)&gt;0,SUMIFS(T_SelfStock[Self_Qty],T_SelfStock[RM_Code],$A80,T_SelfStock[WeekIndex],21)+SUMIFS(T_TTAFStock[TTAF_Qty],T_TTAFStock[RM_Code],$A80,T_TTAFStock[WeekIndex],21),U80+'Grid_Incoming'!V80-'Grid_Requirement'!V80))</f>
        <v/>
      </c>
      <c r="W80">
        <f>IF(COUNTIFS(T_StockCount[RM_Code],$A80,T_StockCount[WeekIndex],22)&gt;0,SUMIFS(T_StockCount[CountedQty],T_StockCount[RM_Code],$A80,T_StockCount[WeekIndex],22),IF((COUNTIFS(T_SelfStock[RM_Code],$A80,T_SelfStock[WeekIndex],22)&gt;0)*(COUNTIFS(T_TTAFStock[RM_Code],$A80,T_TTAFStock[WeekIndex],22)&gt;0)&gt;0,SUMIFS(T_SelfStock[Self_Qty],T_SelfStock[RM_Code],$A80,T_SelfStock[WeekIndex],22)+SUMIFS(T_TTAFStock[TTAF_Qty],T_TTAFStock[RM_Code],$A80,T_TTAFStock[WeekIndex],22),V80+'Grid_Incoming'!W80-'Grid_Requirement'!W80))</f>
        <v/>
      </c>
      <c r="X80">
        <f>IF(COUNTIFS(T_StockCount[RM_Code],$A80,T_StockCount[WeekIndex],23)&gt;0,SUMIFS(T_StockCount[CountedQty],T_StockCount[RM_Code],$A80,T_StockCount[WeekIndex],23),IF((COUNTIFS(T_SelfStock[RM_Code],$A80,T_SelfStock[WeekIndex],23)&gt;0)*(COUNTIFS(T_TTAFStock[RM_Code],$A80,T_TTAFStock[WeekIndex],23)&gt;0)&gt;0,SUMIFS(T_SelfStock[Self_Qty],T_SelfStock[RM_Code],$A80,T_SelfStock[WeekIndex],23)+SUMIFS(T_TTAFStock[TTAF_Qty],T_TTAFStock[RM_Code],$A80,T_TTAFStock[WeekIndex],23),W80+'Grid_Incoming'!X80-'Grid_Requirement'!X80))</f>
        <v/>
      </c>
      <c r="Y80">
        <f>IF(COUNTIFS(T_StockCount[RM_Code],$A80,T_StockCount[WeekIndex],24)&gt;0,SUMIFS(T_StockCount[CountedQty],T_StockCount[RM_Code],$A80,T_StockCount[WeekIndex],24),IF((COUNTIFS(T_SelfStock[RM_Code],$A80,T_SelfStock[WeekIndex],24)&gt;0)*(COUNTIFS(T_TTAFStock[RM_Code],$A80,T_TTAFStock[WeekIndex],24)&gt;0)&gt;0,SUMIFS(T_SelfStock[Self_Qty],T_SelfStock[RM_Code],$A80,T_SelfStock[WeekIndex],24)+SUMIFS(T_TTAFStock[TTAF_Qty],T_TTAFStock[RM_Code],$A80,T_TTAFStock[WeekIndex],24),X80+'Grid_Incoming'!Y80-'Grid_Requirement'!Y80))</f>
        <v/>
      </c>
      <c r="Z80">
        <f>IF(COUNTIFS(T_StockCount[RM_Code],$A80,T_StockCount[WeekIndex],25)&gt;0,SUMIFS(T_StockCount[CountedQty],T_StockCount[RM_Code],$A80,T_StockCount[WeekIndex],25),IF((COUNTIFS(T_SelfStock[RM_Code],$A80,T_SelfStock[WeekIndex],25)&gt;0)*(COUNTIFS(T_TTAFStock[RM_Code],$A80,T_TTAFStock[WeekIndex],25)&gt;0)&gt;0,SUMIFS(T_SelfStock[Self_Qty],T_SelfStock[RM_Code],$A80,T_SelfStock[WeekIndex],25)+SUMIFS(T_TTAFStock[TTAF_Qty],T_TTAFStock[RM_Code],$A80,T_TTAFStock[WeekIndex],25),Y80+'Grid_Incoming'!Z80-'Grid_Requirement'!Z80))</f>
        <v/>
      </c>
      <c r="AA80">
        <f>IF(COUNTIFS(T_StockCount[RM_Code],$A80,T_StockCount[WeekIndex],26)&gt;0,SUMIFS(T_StockCount[CountedQty],T_StockCount[RM_Code],$A80,T_StockCount[WeekIndex],26),IF((COUNTIFS(T_SelfStock[RM_Code],$A80,T_SelfStock[WeekIndex],26)&gt;0)*(COUNTIFS(T_TTAFStock[RM_Code],$A80,T_TTAFStock[WeekIndex],26)&gt;0)&gt;0,SUMIFS(T_SelfStock[Self_Qty],T_SelfStock[RM_Code],$A80,T_SelfStock[WeekIndex],26)+SUMIFS(T_TTAFStock[TTAF_Qty],T_TTAFStock[RM_Code],$A80,T_TTAFStock[WeekIndex],26),Z80+'Grid_Incoming'!AA80-'Grid_Requirement'!AA80))</f>
        <v/>
      </c>
      <c r="AB80">
        <f>IF(COUNTIFS(T_StockCount[RM_Code],$A80,T_StockCount[WeekIndex],27)&gt;0,SUMIFS(T_StockCount[CountedQty],T_StockCount[RM_Code],$A80,T_StockCount[WeekIndex],27),IF((COUNTIFS(T_SelfStock[RM_Code],$A80,T_SelfStock[WeekIndex],27)&gt;0)*(COUNTIFS(T_TTAFStock[RM_Code],$A80,T_TTAFStock[WeekIndex],27)&gt;0)&gt;0,SUMIFS(T_SelfStock[Self_Qty],T_SelfStock[RM_Code],$A80,T_SelfStock[WeekIndex],27)+SUMIFS(T_TTAFStock[TTAF_Qty],T_TTAFStock[RM_Code],$A80,T_TTAFStock[WeekIndex],27),AA80+'Grid_Incoming'!AB80-'Grid_Requirement'!AB80))</f>
        <v/>
      </c>
      <c r="AC80">
        <f>IF(COUNTIFS(T_StockCount[RM_Code],$A80,T_StockCount[WeekIndex],28)&gt;0,SUMIFS(T_StockCount[CountedQty],T_StockCount[RM_Code],$A80,T_StockCount[WeekIndex],28),IF((COUNTIFS(T_SelfStock[RM_Code],$A80,T_SelfStock[WeekIndex],28)&gt;0)*(COUNTIFS(T_TTAFStock[RM_Code],$A80,T_TTAFStock[WeekIndex],28)&gt;0)&gt;0,SUMIFS(T_SelfStock[Self_Qty],T_SelfStock[RM_Code],$A80,T_SelfStock[WeekIndex],28)+SUMIFS(T_TTAFStock[TTAF_Qty],T_TTAFStock[RM_Code],$A80,T_TTAFStock[WeekIndex],28),AB80+'Grid_Incoming'!AC80-'Grid_Requirement'!AC80))</f>
        <v/>
      </c>
      <c r="AD80">
        <f>IF(COUNTIFS(T_StockCount[RM_Code],$A80,T_StockCount[WeekIndex],29)&gt;0,SUMIFS(T_StockCount[CountedQty],T_StockCount[RM_Code],$A80,T_StockCount[WeekIndex],29),IF((COUNTIFS(T_SelfStock[RM_Code],$A80,T_SelfStock[WeekIndex],29)&gt;0)*(COUNTIFS(T_TTAFStock[RM_Code],$A80,T_TTAFStock[WeekIndex],29)&gt;0)&gt;0,SUMIFS(T_SelfStock[Self_Qty],T_SelfStock[RM_Code],$A80,T_SelfStock[WeekIndex],29)+SUMIFS(T_TTAFStock[TTAF_Qty],T_TTAFStock[RM_Code],$A80,T_TTAFStock[WeekIndex],29),AC80+'Grid_Incoming'!AD80-'Grid_Requirement'!AD80))</f>
        <v/>
      </c>
      <c r="AE80">
        <f>IF(COUNTIFS(T_StockCount[RM_Code],$A80,T_StockCount[WeekIndex],30)&gt;0,SUMIFS(T_StockCount[CountedQty],T_StockCount[RM_Code],$A80,T_StockCount[WeekIndex],30),IF((COUNTIFS(T_SelfStock[RM_Code],$A80,T_SelfStock[WeekIndex],30)&gt;0)*(COUNTIFS(T_TTAFStock[RM_Code],$A80,T_TTAFStock[WeekIndex],30)&gt;0)&gt;0,SUMIFS(T_SelfStock[Self_Qty],T_SelfStock[RM_Code],$A80,T_SelfStock[WeekIndex],30)+SUMIFS(T_TTAFStock[TTAF_Qty],T_TTAFStock[RM_Code],$A80,T_TTAFStock[WeekIndex],30),AD80+'Grid_Incoming'!AE80-'Grid_Requirement'!AE80))</f>
        <v/>
      </c>
      <c r="AF80">
        <f>IF(COUNTIFS(T_StockCount[RM_Code],$A80,T_StockCount[WeekIndex],31)&gt;0,SUMIFS(T_StockCount[CountedQty],T_StockCount[RM_Code],$A80,T_StockCount[WeekIndex],31),IF((COUNTIFS(T_SelfStock[RM_Code],$A80,T_SelfStock[WeekIndex],31)&gt;0)*(COUNTIFS(T_TTAFStock[RM_Code],$A80,T_TTAFStock[WeekIndex],31)&gt;0)&gt;0,SUMIFS(T_SelfStock[Self_Qty],T_SelfStock[RM_Code],$A80,T_SelfStock[WeekIndex],31)+SUMIFS(T_TTAFStock[TTAF_Qty],T_TTAFStock[RM_Code],$A80,T_TTAFStock[WeekIndex],31),AE80+'Grid_Incoming'!AF80-'Grid_Requirement'!AF80))</f>
        <v/>
      </c>
      <c r="AG80">
        <f>IF(COUNTIFS(T_StockCount[RM_Code],$A80,T_StockCount[WeekIndex],32)&gt;0,SUMIFS(T_StockCount[CountedQty],T_StockCount[RM_Code],$A80,T_StockCount[WeekIndex],32),IF((COUNTIFS(T_SelfStock[RM_Code],$A80,T_SelfStock[WeekIndex],32)&gt;0)*(COUNTIFS(T_TTAFStock[RM_Code],$A80,T_TTAFStock[WeekIndex],32)&gt;0)&gt;0,SUMIFS(T_SelfStock[Self_Qty],T_SelfStock[RM_Code],$A80,T_SelfStock[WeekIndex],32)+SUMIFS(T_TTAFStock[TTAF_Qty],T_TTAFStock[RM_Code],$A80,T_TTAFStock[WeekIndex],32),AF80+'Grid_Incoming'!AG80-'Grid_Requirement'!AG80))</f>
        <v/>
      </c>
      <c r="AH80">
        <f>IF(COUNTIFS(T_StockCount[RM_Code],$A80,T_StockCount[WeekIndex],33)&gt;0,SUMIFS(T_StockCount[CountedQty],T_StockCount[RM_Code],$A80,T_StockCount[WeekIndex],33),IF((COUNTIFS(T_SelfStock[RM_Code],$A80,T_SelfStock[WeekIndex],33)&gt;0)*(COUNTIFS(T_TTAFStock[RM_Code],$A80,T_TTAFStock[WeekIndex],33)&gt;0)&gt;0,SUMIFS(T_SelfStock[Self_Qty],T_SelfStock[RM_Code],$A80,T_SelfStock[WeekIndex],33)+SUMIFS(T_TTAFStock[TTAF_Qty],T_TTAFStock[RM_Code],$A80,T_TTAFStock[WeekIndex],33),AG80+'Grid_Incoming'!AH80-'Grid_Requirement'!AH80))</f>
        <v/>
      </c>
      <c r="AI80">
        <f>IF(COUNTIFS(T_StockCount[RM_Code],$A80,T_StockCount[WeekIndex],34)&gt;0,SUMIFS(T_StockCount[CountedQty],T_StockCount[RM_Code],$A80,T_StockCount[WeekIndex],34),IF((COUNTIFS(T_SelfStock[RM_Code],$A80,T_SelfStock[WeekIndex],34)&gt;0)*(COUNTIFS(T_TTAFStock[RM_Code],$A80,T_TTAFStock[WeekIndex],34)&gt;0)&gt;0,SUMIFS(T_SelfStock[Self_Qty],T_SelfStock[RM_Code],$A80,T_SelfStock[WeekIndex],34)+SUMIFS(T_TTAFStock[TTAF_Qty],T_TTAFStock[RM_Code],$A80,T_TTAFStock[WeekIndex],34),AH80+'Grid_Incoming'!AI80-'Grid_Requirement'!AI80))</f>
        <v/>
      </c>
      <c r="AJ80">
        <f>IF(COUNTIFS(T_StockCount[RM_Code],$A80,T_StockCount[WeekIndex],35)&gt;0,SUMIFS(T_StockCount[CountedQty],T_StockCount[RM_Code],$A80,T_StockCount[WeekIndex],35),IF((COUNTIFS(T_SelfStock[RM_Code],$A80,T_SelfStock[WeekIndex],35)&gt;0)*(COUNTIFS(T_TTAFStock[RM_Code],$A80,T_TTAFStock[WeekIndex],35)&gt;0)&gt;0,SUMIFS(T_SelfStock[Self_Qty],T_SelfStock[RM_Code],$A80,T_SelfStock[WeekIndex],35)+SUMIFS(T_TTAFStock[TTAF_Qty],T_TTAFStock[RM_Code],$A80,T_TTAFStock[WeekIndex],35),AI80+'Grid_Incoming'!AJ80-'Grid_Requirement'!AJ80))</f>
        <v/>
      </c>
      <c r="AK80">
        <f>IF(COUNTIFS(T_StockCount[RM_Code],$A80,T_StockCount[WeekIndex],36)&gt;0,SUMIFS(T_StockCount[CountedQty],T_StockCount[RM_Code],$A80,T_StockCount[WeekIndex],36),IF((COUNTIFS(T_SelfStock[RM_Code],$A80,T_SelfStock[WeekIndex],36)&gt;0)*(COUNTIFS(T_TTAFStock[RM_Code],$A80,T_TTAFStock[WeekIndex],36)&gt;0)&gt;0,SUMIFS(T_SelfStock[Self_Qty],T_SelfStock[RM_Code],$A80,T_SelfStock[WeekIndex],36)+SUMIFS(T_TTAFStock[TTAF_Qty],T_TTAFStock[RM_Code],$A80,T_TTAFStock[WeekIndex],36),AJ80+'Grid_Incoming'!AK80-'Grid_Requirement'!AK80))</f>
        <v/>
      </c>
      <c r="AL80">
        <f>IF(COUNTIFS(T_StockCount[RM_Code],$A80,T_StockCount[WeekIndex],37)&gt;0,SUMIFS(T_StockCount[CountedQty],T_StockCount[RM_Code],$A80,T_StockCount[WeekIndex],37),IF((COUNTIFS(T_SelfStock[RM_Code],$A80,T_SelfStock[WeekIndex],37)&gt;0)*(COUNTIFS(T_TTAFStock[RM_Code],$A80,T_TTAFStock[WeekIndex],37)&gt;0)&gt;0,SUMIFS(T_SelfStock[Self_Qty],T_SelfStock[RM_Code],$A80,T_SelfStock[WeekIndex],37)+SUMIFS(T_TTAFStock[TTAF_Qty],T_TTAFStock[RM_Code],$A80,T_TTAFStock[WeekIndex],37),AK80+'Grid_Incoming'!AL80-'Grid_Requirement'!AL80))</f>
        <v/>
      </c>
      <c r="AM80">
        <f>IF(COUNTIFS(T_StockCount[RM_Code],$A80,T_StockCount[WeekIndex],38)&gt;0,SUMIFS(T_StockCount[CountedQty],T_StockCount[RM_Code],$A80,T_StockCount[WeekIndex],38),IF((COUNTIFS(T_SelfStock[RM_Code],$A80,T_SelfStock[WeekIndex],38)&gt;0)*(COUNTIFS(T_TTAFStock[RM_Code],$A80,T_TTAFStock[WeekIndex],38)&gt;0)&gt;0,SUMIFS(T_SelfStock[Self_Qty],T_SelfStock[RM_Code],$A80,T_SelfStock[WeekIndex],38)+SUMIFS(T_TTAFStock[TTAF_Qty],T_TTAFStock[RM_Code],$A80,T_TTAFStock[WeekIndex],38),AL80+'Grid_Incoming'!AM80-'Grid_Requirement'!AM80))</f>
        <v/>
      </c>
      <c r="AN80">
        <f>IF(COUNTIFS(T_StockCount[RM_Code],$A80,T_StockCount[WeekIndex],39)&gt;0,SUMIFS(T_StockCount[CountedQty],T_StockCount[RM_Code],$A80,T_StockCount[WeekIndex],39),IF((COUNTIFS(T_SelfStock[RM_Code],$A80,T_SelfStock[WeekIndex],39)&gt;0)*(COUNTIFS(T_TTAFStock[RM_Code],$A80,T_TTAFStock[WeekIndex],39)&gt;0)&gt;0,SUMIFS(T_SelfStock[Self_Qty],T_SelfStock[RM_Code],$A80,T_SelfStock[WeekIndex],39)+SUMIFS(T_TTAFStock[TTAF_Qty],T_TTAFStock[RM_Code],$A80,T_TTAFStock[WeekIndex],39),AM80+'Grid_Incoming'!AN80-'Grid_Requirement'!AN80))</f>
        <v/>
      </c>
      <c r="AO80">
        <f>IF(COUNTIFS(T_StockCount[RM_Code],$A80,T_StockCount[WeekIndex],40)&gt;0,SUMIFS(T_StockCount[CountedQty],T_StockCount[RM_Code],$A80,T_StockCount[WeekIndex],40),IF((COUNTIFS(T_SelfStock[RM_Code],$A80,T_SelfStock[WeekIndex],40)&gt;0)*(COUNTIFS(T_TTAFStock[RM_Code],$A80,T_TTAFStock[WeekIndex],40)&gt;0)&gt;0,SUMIFS(T_SelfStock[Self_Qty],T_SelfStock[RM_Code],$A80,T_SelfStock[WeekIndex],40)+SUMIFS(T_TTAFStock[TTAF_Qty],T_TTAFStock[RM_Code],$A80,T_TTAFStock[WeekIndex],40),AN80+'Grid_Incoming'!AO80-'Grid_Requirement'!AO80))</f>
        <v/>
      </c>
      <c r="AP80">
        <f>IF(COUNTIFS(T_StockCount[RM_Code],$A80,T_StockCount[WeekIndex],41)&gt;0,SUMIFS(T_StockCount[CountedQty],T_StockCount[RM_Code],$A80,T_StockCount[WeekIndex],41),IF((COUNTIFS(T_SelfStock[RM_Code],$A80,T_SelfStock[WeekIndex],41)&gt;0)*(COUNTIFS(T_TTAFStock[RM_Code],$A80,T_TTAFStock[WeekIndex],41)&gt;0)&gt;0,SUMIFS(T_SelfStock[Self_Qty],T_SelfStock[RM_Code],$A80,T_SelfStock[WeekIndex],41)+SUMIFS(T_TTAFStock[TTAF_Qty],T_TTAFStock[RM_Code],$A80,T_TTAFStock[WeekIndex],41),AO80+'Grid_Incoming'!AP80-'Grid_Requirement'!AP80))</f>
        <v/>
      </c>
      <c r="AQ80">
        <f>IF(COUNTIFS(T_StockCount[RM_Code],$A80,T_StockCount[WeekIndex],42)&gt;0,SUMIFS(T_StockCount[CountedQty],T_StockCount[RM_Code],$A80,T_StockCount[WeekIndex],42),IF((COUNTIFS(T_SelfStock[RM_Code],$A80,T_SelfStock[WeekIndex],42)&gt;0)*(COUNTIFS(T_TTAFStock[RM_Code],$A80,T_TTAFStock[WeekIndex],42)&gt;0)&gt;0,SUMIFS(T_SelfStock[Self_Qty],T_SelfStock[RM_Code],$A80,T_SelfStock[WeekIndex],42)+SUMIFS(T_TTAFStock[TTAF_Qty],T_TTAFStock[RM_Code],$A80,T_TTAFStock[WeekIndex],42),AP80+'Grid_Incoming'!AQ80-'Grid_Requirement'!AQ80))</f>
        <v/>
      </c>
      <c r="AR80">
        <f>IF(COUNTIFS(T_StockCount[RM_Code],$A80,T_StockCount[WeekIndex],43)&gt;0,SUMIFS(T_StockCount[CountedQty],T_StockCount[RM_Code],$A80,T_StockCount[WeekIndex],43),IF((COUNTIFS(T_SelfStock[RM_Code],$A80,T_SelfStock[WeekIndex],43)&gt;0)*(COUNTIFS(T_TTAFStock[RM_Code],$A80,T_TTAFStock[WeekIndex],43)&gt;0)&gt;0,SUMIFS(T_SelfStock[Self_Qty],T_SelfStock[RM_Code],$A80,T_SelfStock[WeekIndex],43)+SUMIFS(T_TTAFStock[TTAF_Qty],T_TTAFStock[RM_Code],$A80,T_TTAFStock[WeekIndex],43),AQ80+'Grid_Incoming'!AR80-'Grid_Requirement'!AR80))</f>
        <v/>
      </c>
      <c r="AS80">
        <f>IF(COUNTIFS(T_StockCount[RM_Code],$A80,T_StockCount[WeekIndex],44)&gt;0,SUMIFS(T_StockCount[CountedQty],T_StockCount[RM_Code],$A80,T_StockCount[WeekIndex],44),IF((COUNTIFS(T_SelfStock[RM_Code],$A80,T_SelfStock[WeekIndex],44)&gt;0)*(COUNTIFS(T_TTAFStock[RM_Code],$A80,T_TTAFStock[WeekIndex],44)&gt;0)&gt;0,SUMIFS(T_SelfStock[Self_Qty],T_SelfStock[RM_Code],$A80,T_SelfStock[WeekIndex],44)+SUMIFS(T_TTAFStock[TTAF_Qty],T_TTAFStock[RM_Code],$A80,T_TTAFStock[WeekIndex],44),AR80+'Grid_Incoming'!AS80-'Grid_Requirement'!AS80))</f>
        <v/>
      </c>
      <c r="AT80">
        <f>IF(COUNTIFS(T_StockCount[RM_Code],$A80,T_StockCount[WeekIndex],45)&gt;0,SUMIFS(T_StockCount[CountedQty],T_StockCount[RM_Code],$A80,T_StockCount[WeekIndex],45),IF((COUNTIFS(T_SelfStock[RM_Code],$A80,T_SelfStock[WeekIndex],45)&gt;0)*(COUNTIFS(T_TTAFStock[RM_Code],$A80,T_TTAFStock[WeekIndex],45)&gt;0)&gt;0,SUMIFS(T_SelfStock[Self_Qty],T_SelfStock[RM_Code],$A80,T_SelfStock[WeekIndex],45)+SUMIFS(T_TTAFStock[TTAF_Qty],T_TTAFStock[RM_Code],$A80,T_TTAFStock[WeekIndex],45),AS80+'Grid_Incoming'!AT80-'Grid_Requirement'!AT80))</f>
        <v/>
      </c>
      <c r="AU80">
        <f>IF(COUNTIFS(T_StockCount[RM_Code],$A80,T_StockCount[WeekIndex],46)&gt;0,SUMIFS(T_StockCount[CountedQty],T_StockCount[RM_Code],$A80,T_StockCount[WeekIndex],46),IF((COUNTIFS(T_SelfStock[RM_Code],$A80,T_SelfStock[WeekIndex],46)&gt;0)*(COUNTIFS(T_TTAFStock[RM_Code],$A80,T_TTAFStock[WeekIndex],46)&gt;0)&gt;0,SUMIFS(T_SelfStock[Self_Qty],T_SelfStock[RM_Code],$A80,T_SelfStock[WeekIndex],46)+SUMIFS(T_TTAFStock[TTAF_Qty],T_TTAFStock[RM_Code],$A80,T_TTAFStock[WeekIndex],46),AT80+'Grid_Incoming'!AU80-'Grid_Requirement'!AU80))</f>
        <v/>
      </c>
      <c r="AV80">
        <f>IF(COUNTIFS(T_StockCount[RM_Code],$A80,T_StockCount[WeekIndex],47)&gt;0,SUMIFS(T_StockCount[CountedQty],T_StockCount[RM_Code],$A80,T_StockCount[WeekIndex],47),IF((COUNTIFS(T_SelfStock[RM_Code],$A80,T_SelfStock[WeekIndex],47)&gt;0)*(COUNTIFS(T_TTAFStock[RM_Code],$A80,T_TTAFStock[WeekIndex],47)&gt;0)&gt;0,SUMIFS(T_SelfStock[Self_Qty],T_SelfStock[RM_Code],$A80,T_SelfStock[WeekIndex],47)+SUMIFS(T_TTAFStock[TTAF_Qty],T_TTAFStock[RM_Code],$A80,T_TTAFStock[WeekIndex],47),AU80+'Grid_Incoming'!AV80-'Grid_Requirement'!AV80))</f>
        <v/>
      </c>
      <c r="AW80">
        <f>IF(COUNTIFS(T_StockCount[RM_Code],$A80,T_StockCount[WeekIndex],48)&gt;0,SUMIFS(T_StockCount[CountedQty],T_StockCount[RM_Code],$A80,T_StockCount[WeekIndex],48),IF((COUNTIFS(T_SelfStock[RM_Code],$A80,T_SelfStock[WeekIndex],48)&gt;0)*(COUNTIFS(T_TTAFStock[RM_Code],$A80,T_TTAFStock[WeekIndex],48)&gt;0)&gt;0,SUMIFS(T_SelfStock[Self_Qty],T_SelfStock[RM_Code],$A80,T_SelfStock[WeekIndex],48)+SUMIFS(T_TTAFStock[TTAF_Qty],T_TTAFStock[RM_Code],$A80,T_TTAFStock[WeekIndex],48),AV80+'Grid_Incoming'!AW80-'Grid_Requirement'!AW80))</f>
        <v/>
      </c>
      <c r="AX80">
        <f>IF(COUNTIFS(T_StockCount[RM_Code],$A80,T_StockCount[WeekIndex],49)&gt;0,SUMIFS(T_StockCount[CountedQty],T_StockCount[RM_Code],$A80,T_StockCount[WeekIndex],49),IF((COUNTIFS(T_SelfStock[RM_Code],$A80,T_SelfStock[WeekIndex],49)&gt;0)*(COUNTIFS(T_TTAFStock[RM_Code],$A80,T_TTAFStock[WeekIndex],49)&gt;0)&gt;0,SUMIFS(T_SelfStock[Self_Qty],T_SelfStock[RM_Code],$A80,T_SelfStock[WeekIndex],49)+SUMIFS(T_TTAFStock[TTAF_Qty],T_TTAFStock[RM_Code],$A80,T_TTAFStock[WeekIndex],49),AW80+'Grid_Incoming'!AX80-'Grid_Requirement'!AX80))</f>
        <v/>
      </c>
      <c r="AY80">
        <f>IF(COUNTIFS(T_StockCount[RM_Code],$A80,T_StockCount[WeekIndex],50)&gt;0,SUMIFS(T_StockCount[CountedQty],T_StockCount[RM_Code],$A80,T_StockCount[WeekIndex],50),IF((COUNTIFS(T_SelfStock[RM_Code],$A80,T_SelfStock[WeekIndex],50)&gt;0)*(COUNTIFS(T_TTAFStock[RM_Code],$A80,T_TTAFStock[WeekIndex],50)&gt;0)&gt;0,SUMIFS(T_SelfStock[Self_Qty],T_SelfStock[RM_Code],$A80,T_SelfStock[WeekIndex],50)+SUMIFS(T_TTAFStock[TTAF_Qty],T_TTAFStock[RM_Code],$A80,T_TTAFStock[WeekIndex],50),AX80+'Grid_Incoming'!AY80-'Grid_Requirement'!AY80))</f>
        <v/>
      </c>
      <c r="AZ80">
        <f>IF(COUNTIFS(T_StockCount[RM_Code],$A80,T_StockCount[WeekIndex],51)&gt;0,SUMIFS(T_StockCount[CountedQty],T_StockCount[RM_Code],$A80,T_StockCount[WeekIndex],51),IF((COUNTIFS(T_SelfStock[RM_Code],$A80,T_SelfStock[WeekIndex],51)&gt;0)*(COUNTIFS(T_TTAFStock[RM_Code],$A80,T_TTAFStock[WeekIndex],51)&gt;0)&gt;0,SUMIFS(T_SelfStock[Self_Qty],T_SelfStock[RM_Code],$A80,T_SelfStock[WeekIndex],51)+SUMIFS(T_TTAFStock[TTAF_Qty],T_TTAFStock[RM_Code],$A80,T_TTAFStock[WeekIndex],51),AY80+'Grid_Incoming'!AZ80-'Grid_Requirement'!AZ80))</f>
        <v/>
      </c>
      <c r="BA80">
        <f>IF(COUNTIFS(T_StockCount[RM_Code],$A80,T_StockCount[WeekIndex],52)&gt;0,SUMIFS(T_StockCount[CountedQty],T_StockCount[RM_Code],$A80,T_StockCount[WeekIndex],52),IF((COUNTIFS(T_SelfStock[RM_Code],$A80,T_SelfStock[WeekIndex],52)&gt;0)*(COUNTIFS(T_TTAFStock[RM_Code],$A80,T_TTAFStock[WeekIndex],52)&gt;0)&gt;0,SUMIFS(T_SelfStock[Self_Qty],T_SelfStock[RM_Code],$A80,T_SelfStock[WeekIndex],52)+SUMIFS(T_TTAFStock[TTAF_Qty],T_TTAFStock[RM_Code],$A80,T_TTAFStock[WeekIndex],52),AZ80+'Grid_Incoming'!BA80-'Grid_Requirement'!BA80))</f>
        <v/>
      </c>
      <c r="BB80">
        <f>IF(COUNTIFS(T_StockCount[RM_Code],$A80,T_StockCount[WeekIndex],53)&gt;0,SUMIFS(T_StockCount[CountedQty],T_StockCount[RM_Code],$A80,T_StockCount[WeekIndex],53),IF((COUNTIFS(T_SelfStock[RM_Code],$A80,T_SelfStock[WeekIndex],53)&gt;0)*(COUNTIFS(T_TTAFStock[RM_Code],$A80,T_TTAFStock[WeekIndex],53)&gt;0)&gt;0,SUMIFS(T_SelfStock[Self_Qty],T_SelfStock[RM_Code],$A80,T_SelfStock[WeekIndex],53)+SUMIFS(T_TTAFStock[TTAF_Qty],T_TTAFStock[RM_Code],$A80,T_TTAFStock[WeekIndex],53),BA80+'Grid_Incoming'!BB80-'Grid_Requirement'!BB80))</f>
        <v/>
      </c>
      <c r="BC80">
        <f>IF(COUNTIFS(T_StockCount[RM_Code],$A80,T_StockCount[WeekIndex],54)&gt;0,SUMIFS(T_StockCount[CountedQty],T_StockCount[RM_Code],$A80,T_StockCount[WeekIndex],54),IF((COUNTIFS(T_SelfStock[RM_Code],$A80,T_SelfStock[WeekIndex],54)&gt;0)*(COUNTIFS(T_TTAFStock[RM_Code],$A80,T_TTAFStock[WeekIndex],54)&gt;0)&gt;0,SUMIFS(T_SelfStock[Self_Qty],T_SelfStock[RM_Code],$A80,T_SelfStock[WeekIndex],54)+SUMIFS(T_TTAFStock[TTAF_Qty],T_TTAFStock[RM_Code],$A80,T_TTAFStock[WeekIndex],54),BB80+'Grid_Incoming'!BC80-'Grid_Requirement'!BC80))</f>
        <v/>
      </c>
      <c r="BD80">
        <f>IF(COUNTIFS(T_StockCount[RM_Code],$A80,T_StockCount[WeekIndex],55)&gt;0,SUMIFS(T_StockCount[CountedQty],T_StockCount[RM_Code],$A80,T_StockCount[WeekIndex],55),IF((COUNTIFS(T_SelfStock[RM_Code],$A80,T_SelfStock[WeekIndex],55)&gt;0)*(COUNTIFS(T_TTAFStock[RM_Code],$A80,T_TTAFStock[WeekIndex],55)&gt;0)&gt;0,SUMIFS(T_SelfStock[Self_Qty],T_SelfStock[RM_Code],$A80,T_SelfStock[WeekIndex],55)+SUMIFS(T_TTAFStock[TTAF_Qty],T_TTAFStock[RM_Code],$A80,T_TTAFStock[WeekIndex],55),BC80+'Grid_Incoming'!BD80-'Grid_Requirement'!BD80))</f>
        <v/>
      </c>
      <c r="BE80">
        <f>IF(COUNTIFS(T_StockCount[RM_Code],$A80,T_StockCount[WeekIndex],56)&gt;0,SUMIFS(T_StockCount[CountedQty],T_StockCount[RM_Code],$A80,T_StockCount[WeekIndex],56),IF((COUNTIFS(T_SelfStock[RM_Code],$A80,T_SelfStock[WeekIndex],56)&gt;0)*(COUNTIFS(T_TTAFStock[RM_Code],$A80,T_TTAFStock[WeekIndex],56)&gt;0)&gt;0,SUMIFS(T_SelfStock[Self_Qty],T_SelfStock[RM_Code],$A80,T_SelfStock[WeekIndex],56)+SUMIFS(T_TTAFStock[TTAF_Qty],T_TTAFStock[RM_Code],$A80,T_TTAFStock[WeekIndex],56),BD80+'Grid_Incoming'!BE80-'Grid_Requirement'!BE80))</f>
        <v/>
      </c>
      <c r="BF80">
        <f>IF(COUNTIFS(T_StockCount[RM_Code],$A80,T_StockCount[WeekIndex],57)&gt;0,SUMIFS(T_StockCount[CountedQty],T_StockCount[RM_Code],$A80,T_StockCount[WeekIndex],57),IF((COUNTIFS(T_SelfStock[RM_Code],$A80,T_SelfStock[WeekIndex],57)&gt;0)*(COUNTIFS(T_TTAFStock[RM_Code],$A80,T_TTAFStock[WeekIndex],57)&gt;0)&gt;0,SUMIFS(T_SelfStock[Self_Qty],T_SelfStock[RM_Code],$A80,T_SelfStock[WeekIndex],57)+SUMIFS(T_TTAFStock[TTAF_Qty],T_TTAFStock[RM_Code],$A80,T_TTAFStock[WeekIndex],57),BE80+'Grid_Incoming'!BF80-'Grid_Requirement'!BF80))</f>
        <v/>
      </c>
      <c r="BG80">
        <f>IF(COUNTIFS(T_StockCount[RM_Code],$A80,T_StockCount[WeekIndex],58)&gt;0,SUMIFS(T_StockCount[CountedQty],T_StockCount[RM_Code],$A80,T_StockCount[WeekIndex],58),IF((COUNTIFS(T_SelfStock[RM_Code],$A80,T_SelfStock[WeekIndex],58)&gt;0)*(COUNTIFS(T_TTAFStock[RM_Code],$A80,T_TTAFStock[WeekIndex],58)&gt;0)&gt;0,SUMIFS(T_SelfStock[Self_Qty],T_SelfStock[RM_Code],$A80,T_SelfStock[WeekIndex],58)+SUMIFS(T_TTAFStock[TTAF_Qty],T_TTAFStock[RM_Code],$A80,T_TTAFStock[WeekIndex],58),BF80+'Grid_Incoming'!BG80-'Grid_Requirement'!BG80))</f>
        <v/>
      </c>
      <c r="BH80">
        <f>IF(COUNTIFS(T_StockCount[RM_Code],$A80,T_StockCount[WeekIndex],59)&gt;0,SUMIFS(T_StockCount[CountedQty],T_StockCount[RM_Code],$A80,T_StockCount[WeekIndex],59),IF((COUNTIFS(T_SelfStock[RM_Code],$A80,T_SelfStock[WeekIndex],59)&gt;0)*(COUNTIFS(T_TTAFStock[RM_Code],$A80,T_TTAFStock[WeekIndex],59)&gt;0)&gt;0,SUMIFS(T_SelfStock[Self_Qty],T_SelfStock[RM_Code],$A80,T_SelfStock[WeekIndex],59)+SUMIFS(T_TTAFStock[TTAF_Qty],T_TTAFStock[RM_Code],$A80,T_TTAFStock[WeekIndex],59),BG80+'Grid_Incoming'!BH80-'Grid_Requirement'!BH80))</f>
        <v/>
      </c>
      <c r="BI80">
        <f>IF(COUNTIFS(T_StockCount[RM_Code],$A80,T_StockCount[WeekIndex],60)&gt;0,SUMIFS(T_StockCount[CountedQty],T_StockCount[RM_Code],$A80,T_StockCount[WeekIndex],60),IF((COUNTIFS(T_SelfStock[RM_Code],$A80,T_SelfStock[WeekIndex],60)&gt;0)*(COUNTIFS(T_TTAFStock[RM_Code],$A80,T_TTAFStock[WeekIndex],60)&gt;0)&gt;0,SUMIFS(T_SelfStock[Self_Qty],T_SelfStock[RM_Code],$A80,T_SelfStock[WeekIndex],60)+SUMIFS(T_TTAFStock[TTAF_Qty],T_TTAFStock[RM_Code],$A80,T_TTAFStock[WeekIndex],60),BH80+'Grid_Incoming'!BI80-'Grid_Requirement'!BI80))</f>
        <v/>
      </c>
      <c r="BJ80">
        <f>IF(COUNTIFS(T_StockCount[RM_Code],$A80,T_StockCount[WeekIndex],61)&gt;0,SUMIFS(T_StockCount[CountedQty],T_StockCount[RM_Code],$A80,T_StockCount[WeekIndex],61),IF((COUNTIFS(T_SelfStock[RM_Code],$A80,T_SelfStock[WeekIndex],61)&gt;0)*(COUNTIFS(T_TTAFStock[RM_Code],$A80,T_TTAFStock[WeekIndex],61)&gt;0)&gt;0,SUMIFS(T_SelfStock[Self_Qty],T_SelfStock[RM_Code],$A80,T_SelfStock[WeekIndex],61)+SUMIFS(T_TTAFStock[TTAF_Qty],T_TTAFStock[RM_Code],$A80,T_TTAFStock[WeekIndex],61),BI80+'Grid_Incoming'!BJ80-'Grid_Requirement'!BJ80))</f>
        <v/>
      </c>
      <c r="BK80">
        <f>IF(COUNTIFS(T_StockCount[RM_Code],$A80,T_StockCount[WeekIndex],62)&gt;0,SUMIFS(T_StockCount[CountedQty],T_StockCount[RM_Code],$A80,T_StockCount[WeekIndex],62),IF((COUNTIFS(T_SelfStock[RM_Code],$A80,T_SelfStock[WeekIndex],62)&gt;0)*(COUNTIFS(T_TTAFStock[RM_Code],$A80,T_TTAFStock[WeekIndex],62)&gt;0)&gt;0,SUMIFS(T_SelfStock[Self_Qty],T_SelfStock[RM_Code],$A80,T_SelfStock[WeekIndex],62)+SUMIFS(T_TTAFStock[TTAF_Qty],T_TTAFStock[RM_Code],$A80,T_TTAFStock[WeekIndex],62),BJ80+'Grid_Incoming'!BK80-'Grid_Requirement'!BK80))</f>
        <v/>
      </c>
      <c r="BL80">
        <f>IF(COUNTIFS(T_StockCount[RM_Code],$A80,T_StockCount[WeekIndex],63)&gt;0,SUMIFS(T_StockCount[CountedQty],T_StockCount[RM_Code],$A80,T_StockCount[WeekIndex],63),IF((COUNTIFS(T_SelfStock[RM_Code],$A80,T_SelfStock[WeekIndex],63)&gt;0)*(COUNTIFS(T_TTAFStock[RM_Code],$A80,T_TTAFStock[WeekIndex],63)&gt;0)&gt;0,SUMIFS(T_SelfStock[Self_Qty],T_SelfStock[RM_Code],$A80,T_SelfStock[WeekIndex],63)+SUMIFS(T_TTAFStock[TTAF_Qty],T_TTAFStock[RM_Code],$A80,T_TTAFStock[WeekIndex],63),BK80+'Grid_Incoming'!BL80-'Grid_Requirement'!BL80))</f>
        <v/>
      </c>
      <c r="BM80">
        <f>IF(COUNTIFS(T_StockCount[RM_Code],$A80,T_StockCount[WeekIndex],64)&gt;0,SUMIFS(T_StockCount[CountedQty],T_StockCount[RM_Code],$A80,T_StockCount[WeekIndex],64),IF((COUNTIFS(T_SelfStock[RM_Code],$A80,T_SelfStock[WeekIndex],64)&gt;0)*(COUNTIFS(T_TTAFStock[RM_Code],$A80,T_TTAFStock[WeekIndex],64)&gt;0)&gt;0,SUMIFS(T_SelfStock[Self_Qty],T_SelfStock[RM_Code],$A80,T_SelfStock[WeekIndex],64)+SUMIFS(T_TTAFStock[TTAF_Qty],T_TTAFStock[RM_Code],$A80,T_TTAFStock[WeekIndex],64),BL80+'Grid_Incoming'!BM80-'Grid_Requirement'!BM80))</f>
        <v/>
      </c>
      <c r="BN80">
        <f>IF(COUNTIFS(T_StockCount[RM_Code],$A80,T_StockCount[WeekIndex],65)&gt;0,SUMIFS(T_StockCount[CountedQty],T_StockCount[RM_Code],$A80,T_StockCount[WeekIndex],65),IF((COUNTIFS(T_SelfStock[RM_Code],$A80,T_SelfStock[WeekIndex],65)&gt;0)*(COUNTIFS(T_TTAFStock[RM_Code],$A80,T_TTAFStock[WeekIndex],65)&gt;0)&gt;0,SUMIFS(T_SelfStock[Self_Qty],T_SelfStock[RM_Code],$A80,T_SelfStock[WeekIndex],65)+SUMIFS(T_TTAFStock[TTAF_Qty],T_TTAFStock[RM_Code],$A80,T_TTAFStock[WeekIndex],65),BM80+'Grid_Incoming'!BN80-'Grid_Requirement'!BN80))</f>
        <v/>
      </c>
      <c r="BO80">
        <f>IF(COUNTIFS(T_StockCount[RM_Code],$A80,T_StockCount[WeekIndex],66)&gt;0,SUMIFS(T_StockCount[CountedQty],T_StockCount[RM_Code],$A80,T_StockCount[WeekIndex],66),IF((COUNTIFS(T_SelfStock[RM_Code],$A80,T_SelfStock[WeekIndex],66)&gt;0)*(COUNTIFS(T_TTAFStock[RM_Code],$A80,T_TTAFStock[WeekIndex],66)&gt;0)&gt;0,SUMIFS(T_SelfStock[Self_Qty],T_SelfStock[RM_Code],$A80,T_SelfStock[WeekIndex],66)+SUMIFS(T_TTAFStock[TTAF_Qty],T_TTAFStock[RM_Code],$A80,T_TTAFStock[WeekIndex],66),BN80+'Grid_Incoming'!BO80-'Grid_Requirement'!BO80))</f>
        <v/>
      </c>
      <c r="BP80">
        <f>IF(COUNTIFS(T_StockCount[RM_Code],$A80,T_StockCount[WeekIndex],67)&gt;0,SUMIFS(T_StockCount[CountedQty],T_StockCount[RM_Code],$A80,T_StockCount[WeekIndex],67),IF((COUNTIFS(T_SelfStock[RM_Code],$A80,T_SelfStock[WeekIndex],67)&gt;0)*(COUNTIFS(T_TTAFStock[RM_Code],$A80,T_TTAFStock[WeekIndex],67)&gt;0)&gt;0,SUMIFS(T_SelfStock[Self_Qty],T_SelfStock[RM_Code],$A80,T_SelfStock[WeekIndex],67)+SUMIFS(T_TTAFStock[TTAF_Qty],T_TTAFStock[RM_Code],$A80,T_TTAFStock[WeekIndex],67),BO80+'Grid_Incoming'!BP80-'Grid_Requirement'!BP80))</f>
        <v/>
      </c>
      <c r="BQ80">
        <f>IF(COUNTIFS(T_StockCount[RM_Code],$A80,T_StockCount[WeekIndex],68)&gt;0,SUMIFS(T_StockCount[CountedQty],T_StockCount[RM_Code],$A80,T_StockCount[WeekIndex],68),IF((COUNTIFS(T_SelfStock[RM_Code],$A80,T_SelfStock[WeekIndex],68)&gt;0)*(COUNTIFS(T_TTAFStock[RM_Code],$A80,T_TTAFStock[WeekIndex],68)&gt;0)&gt;0,SUMIFS(T_SelfStock[Self_Qty],T_SelfStock[RM_Code],$A80,T_SelfStock[WeekIndex],68)+SUMIFS(T_TTAFStock[TTAF_Qty],T_TTAFStock[RM_Code],$A80,T_TTAFStock[WeekIndex],68),BP80+'Grid_Incoming'!BQ80-'Grid_Requirement'!BQ80))</f>
        <v/>
      </c>
      <c r="BR80">
        <f>IF(COUNTIFS(T_StockCount[RM_Code],$A80,T_StockCount[WeekIndex],69)&gt;0,SUMIFS(T_StockCount[CountedQty],T_StockCount[RM_Code],$A80,T_StockCount[WeekIndex],69),IF((COUNTIFS(T_SelfStock[RM_Code],$A80,T_SelfStock[WeekIndex],69)&gt;0)*(COUNTIFS(T_TTAFStock[RM_Code],$A80,T_TTAFStock[WeekIndex],69)&gt;0)&gt;0,SUMIFS(T_SelfStock[Self_Qty],T_SelfStock[RM_Code],$A80,T_SelfStock[WeekIndex],69)+SUMIFS(T_TTAFStock[TTAF_Qty],T_TTAFStock[RM_Code],$A80,T_TTAFStock[WeekIndex],69),BQ80+'Grid_Incoming'!BR80-'Grid_Requirement'!BR80))</f>
        <v/>
      </c>
      <c r="BS80">
        <f>IF(COUNTIFS(T_StockCount[RM_Code],$A80,T_StockCount[WeekIndex],70)&gt;0,SUMIFS(T_StockCount[CountedQty],T_StockCount[RM_Code],$A80,T_StockCount[WeekIndex],70),IF((COUNTIFS(T_SelfStock[RM_Code],$A80,T_SelfStock[WeekIndex],70)&gt;0)*(COUNTIFS(T_TTAFStock[RM_Code],$A80,T_TTAFStock[WeekIndex],70)&gt;0)&gt;0,SUMIFS(T_SelfStock[Self_Qty],T_SelfStock[RM_Code],$A80,T_SelfStock[WeekIndex],70)+SUMIFS(T_TTAFStock[TTAF_Qty],T_TTAFStock[RM_Code],$A80,T_TTAFStock[WeekIndex],70),BR80+'Grid_Incoming'!BS80-'Grid_Requirement'!BS80))</f>
        <v/>
      </c>
      <c r="BT80">
        <f>IF(COUNTIFS(T_StockCount[RM_Code],$A80,T_StockCount[WeekIndex],71)&gt;0,SUMIFS(T_StockCount[CountedQty],T_StockCount[RM_Code],$A80,T_StockCount[WeekIndex],71),IF((COUNTIFS(T_SelfStock[RM_Code],$A80,T_SelfStock[WeekIndex],71)&gt;0)*(COUNTIFS(T_TTAFStock[RM_Code],$A80,T_TTAFStock[WeekIndex],71)&gt;0)&gt;0,SUMIFS(T_SelfStock[Self_Qty],T_SelfStock[RM_Code],$A80,T_SelfStock[WeekIndex],71)+SUMIFS(T_TTAFStock[TTAF_Qty],T_TTAFStock[RM_Code],$A80,T_TTAFStock[WeekIndex],71),BS80+'Grid_Incoming'!BT80-'Grid_Requirement'!BT80))</f>
        <v/>
      </c>
      <c r="BU80">
        <f>IF(COUNTIFS(T_StockCount[RM_Code],$A80,T_StockCount[WeekIndex],72)&gt;0,SUMIFS(T_StockCount[CountedQty],T_StockCount[RM_Code],$A80,T_StockCount[WeekIndex],72),IF((COUNTIFS(T_SelfStock[RM_Code],$A80,T_SelfStock[WeekIndex],72)&gt;0)*(COUNTIFS(T_TTAFStock[RM_Code],$A80,T_TTAFStock[WeekIndex],72)&gt;0)&gt;0,SUMIFS(T_SelfStock[Self_Qty],T_SelfStock[RM_Code],$A80,T_SelfStock[WeekIndex],72)+SUMIFS(T_TTAFStock[TTAF_Qty],T_TTAFStock[RM_Code],$A80,T_TTAFStock[WeekIndex],72),BT80+'Grid_Incoming'!BU80-'Grid_Requirement'!BU80))</f>
        <v/>
      </c>
      <c r="BV80">
        <f>IF(COUNTIFS(T_StockCount[RM_Code],$A80,T_StockCount[WeekIndex],73)&gt;0,SUMIFS(T_StockCount[CountedQty],T_StockCount[RM_Code],$A80,T_StockCount[WeekIndex],73),IF((COUNTIFS(T_SelfStock[RM_Code],$A80,T_SelfStock[WeekIndex],73)&gt;0)*(COUNTIFS(T_TTAFStock[RM_Code],$A80,T_TTAFStock[WeekIndex],73)&gt;0)&gt;0,SUMIFS(T_SelfStock[Self_Qty],T_SelfStock[RM_Code],$A80,T_SelfStock[WeekIndex],73)+SUMIFS(T_TTAFStock[TTAF_Qty],T_TTAFStock[RM_Code],$A80,T_TTAFStock[WeekIndex],73),BU80+'Grid_Incoming'!BV80-'Grid_Requirement'!BV80))</f>
        <v/>
      </c>
      <c r="BW80">
        <f>IF(COUNTIFS(T_StockCount[RM_Code],$A80,T_StockCount[WeekIndex],74)&gt;0,SUMIFS(T_StockCount[CountedQty],T_StockCount[RM_Code],$A80,T_StockCount[WeekIndex],74),IF((COUNTIFS(T_SelfStock[RM_Code],$A80,T_SelfStock[WeekIndex],74)&gt;0)*(COUNTIFS(T_TTAFStock[RM_Code],$A80,T_TTAFStock[WeekIndex],74)&gt;0)&gt;0,SUMIFS(T_SelfStock[Self_Qty],T_SelfStock[RM_Code],$A80,T_SelfStock[WeekIndex],74)+SUMIFS(T_TTAFStock[TTAF_Qty],T_TTAFStock[RM_Code],$A80,T_TTAFStock[WeekIndex],74),BV80+'Grid_Incoming'!BW80-'Grid_Requirement'!BW80))</f>
        <v/>
      </c>
      <c r="BX80">
        <f>IF(COUNTIFS(T_StockCount[RM_Code],$A80,T_StockCount[WeekIndex],75)&gt;0,SUMIFS(T_StockCount[CountedQty],T_StockCount[RM_Code],$A80,T_StockCount[WeekIndex],75),IF((COUNTIFS(T_SelfStock[RM_Code],$A80,T_SelfStock[WeekIndex],75)&gt;0)*(COUNTIFS(T_TTAFStock[RM_Code],$A80,T_TTAFStock[WeekIndex],75)&gt;0)&gt;0,SUMIFS(T_SelfStock[Self_Qty],T_SelfStock[RM_Code],$A80,T_SelfStock[WeekIndex],75)+SUMIFS(T_TTAFStock[TTAF_Qty],T_TTAFStock[RM_Code],$A80,T_TTAFStock[WeekIndex],75),BW80+'Grid_Incoming'!BX80-'Grid_Requirement'!BX80))</f>
        <v/>
      </c>
      <c r="BY80">
        <f>IF(COUNTIFS(T_StockCount[RM_Code],$A80,T_StockCount[WeekIndex],76)&gt;0,SUMIFS(T_StockCount[CountedQty],T_StockCount[RM_Code],$A80,T_StockCount[WeekIndex],76),IF((COUNTIFS(T_SelfStock[RM_Code],$A80,T_SelfStock[WeekIndex],76)&gt;0)*(COUNTIFS(T_TTAFStock[RM_Code],$A80,T_TTAFStock[WeekIndex],76)&gt;0)&gt;0,SUMIFS(T_SelfStock[Self_Qty],T_SelfStock[RM_Code],$A80,T_SelfStock[WeekIndex],76)+SUMIFS(T_TTAFStock[TTAF_Qty],T_TTAFStock[RM_Code],$A80,T_TTAFStock[WeekIndex],76),BX80+'Grid_Incoming'!BY80-'Grid_Requirement'!BY80))</f>
        <v/>
      </c>
      <c r="BZ80">
        <f>IF(COUNTIFS(T_StockCount[RM_Code],$A80,T_StockCount[WeekIndex],77)&gt;0,SUMIFS(T_StockCount[CountedQty],T_StockCount[RM_Code],$A80,T_StockCount[WeekIndex],77),IF((COUNTIFS(T_SelfStock[RM_Code],$A80,T_SelfStock[WeekIndex],77)&gt;0)*(COUNTIFS(T_TTAFStock[RM_Code],$A80,T_TTAFStock[WeekIndex],77)&gt;0)&gt;0,SUMIFS(T_SelfStock[Self_Qty],T_SelfStock[RM_Code],$A80,T_SelfStock[WeekIndex],77)+SUMIFS(T_TTAFStock[TTAF_Qty],T_TTAFStock[RM_Code],$A80,T_TTAFStock[WeekIndex],77),BY80+'Grid_Incoming'!BZ80-'Grid_Requirement'!BZ80))</f>
        <v/>
      </c>
      <c r="CA80">
        <f>IF(COUNTIFS(T_StockCount[RM_Code],$A80,T_StockCount[WeekIndex],78)&gt;0,SUMIFS(T_StockCount[CountedQty],T_StockCount[RM_Code],$A80,T_StockCount[WeekIndex],78),IF((COUNTIFS(T_SelfStock[RM_Code],$A80,T_SelfStock[WeekIndex],78)&gt;0)*(COUNTIFS(T_TTAFStock[RM_Code],$A80,T_TTAFStock[WeekIndex],78)&gt;0)&gt;0,SUMIFS(T_SelfStock[Self_Qty],T_SelfStock[RM_Code],$A80,T_SelfStock[WeekIndex],78)+SUMIFS(T_TTAFStock[TTAF_Qty],T_TTAFStock[RM_Code],$A80,T_TTAFStock[WeekIndex],78),BZ80+'Grid_Incoming'!CA80-'Grid_Requirement'!CA80))</f>
        <v/>
      </c>
      <c r="CB80">
        <f>IF(COUNTIFS(T_StockCount[RM_Code],$A80,T_StockCount[WeekIndex],79)&gt;0,SUMIFS(T_StockCount[CountedQty],T_StockCount[RM_Code],$A80,T_StockCount[WeekIndex],79),IF((COUNTIFS(T_SelfStock[RM_Code],$A80,T_SelfStock[WeekIndex],79)&gt;0)*(COUNTIFS(T_TTAFStock[RM_Code],$A80,T_TTAFStock[WeekIndex],79)&gt;0)&gt;0,SUMIFS(T_SelfStock[Self_Qty],T_SelfStock[RM_Code],$A80,T_SelfStock[WeekIndex],79)+SUMIFS(T_TTAFStock[TTAF_Qty],T_TTAFStock[RM_Code],$A80,T_TTAFStock[WeekIndex],79),CA80+'Grid_Incoming'!CB80-'Grid_Requirement'!CB80))</f>
        <v/>
      </c>
      <c r="CC80">
        <f>IF(COUNTIFS(T_StockCount[RM_Code],$A80,T_StockCount[WeekIndex],80)&gt;0,SUMIFS(T_StockCount[CountedQty],T_StockCount[RM_Code],$A80,T_StockCount[WeekIndex],80),IF((COUNTIFS(T_SelfStock[RM_Code],$A80,T_SelfStock[WeekIndex],80)&gt;0)*(COUNTIFS(T_TTAFStock[RM_Code],$A80,T_TTAFStock[WeekIndex],80)&gt;0)&gt;0,SUMIFS(T_SelfStock[Self_Qty],T_SelfStock[RM_Code],$A80,T_SelfStock[WeekIndex],80)+SUMIFS(T_TTAFStock[TTAF_Qty],T_TTAFStock[RM_Code],$A80,T_TTAFStock[WeekIndex],80),CB80+'Grid_Incoming'!CC80-'Grid_Requirement'!CC80))</f>
        <v/>
      </c>
      <c r="CD80">
        <f>IF(COUNTIFS(T_StockCount[RM_Code],$A80,T_StockCount[WeekIndex],81)&gt;0,SUMIFS(T_StockCount[CountedQty],T_StockCount[RM_Code],$A80,T_StockCount[WeekIndex],81),IF((COUNTIFS(T_SelfStock[RM_Code],$A80,T_SelfStock[WeekIndex],81)&gt;0)*(COUNTIFS(T_TTAFStock[RM_Code],$A80,T_TTAFStock[WeekIndex],81)&gt;0)&gt;0,SUMIFS(T_SelfStock[Self_Qty],T_SelfStock[RM_Code],$A80,T_SelfStock[WeekIndex],81)+SUMIFS(T_TTAFStock[TTAF_Qty],T_TTAFStock[RM_Code],$A80,T_TTAFStock[WeekIndex],81),CC80+'Grid_Incoming'!CD80-'Grid_Requirement'!CD80))</f>
        <v/>
      </c>
      <c r="CE80">
        <f>IF(COUNTIFS(T_StockCount[RM_Code],$A80,T_StockCount[WeekIndex],82)&gt;0,SUMIFS(T_StockCount[CountedQty],T_StockCount[RM_Code],$A80,T_StockCount[WeekIndex],82),IF((COUNTIFS(T_SelfStock[RM_Code],$A80,T_SelfStock[WeekIndex],82)&gt;0)*(COUNTIFS(T_TTAFStock[RM_Code],$A80,T_TTAFStock[WeekIndex],82)&gt;0)&gt;0,SUMIFS(T_SelfStock[Self_Qty],T_SelfStock[RM_Code],$A80,T_SelfStock[WeekIndex],82)+SUMIFS(T_TTAFStock[TTAF_Qty],T_TTAFStock[RM_Code],$A80,T_TTAFStock[WeekIndex],82),CD80+'Grid_Incoming'!CE80-'Grid_Requirement'!CE80))</f>
        <v/>
      </c>
      <c r="CF80">
        <f>IF(COUNTIFS(T_StockCount[RM_Code],$A80,T_StockCount[WeekIndex],83)&gt;0,SUMIFS(T_StockCount[CountedQty],T_StockCount[RM_Code],$A80,T_StockCount[WeekIndex],83),IF((COUNTIFS(T_SelfStock[RM_Code],$A80,T_SelfStock[WeekIndex],83)&gt;0)*(COUNTIFS(T_TTAFStock[RM_Code],$A80,T_TTAFStock[WeekIndex],83)&gt;0)&gt;0,SUMIFS(T_SelfStock[Self_Qty],T_SelfStock[RM_Code],$A80,T_SelfStock[WeekIndex],83)+SUMIFS(T_TTAFStock[TTAF_Qty],T_TTAFStock[RM_Code],$A80,T_TTAFStock[WeekIndex],83),CE80+'Grid_Incoming'!CF80-'Grid_Requirement'!CF80))</f>
        <v/>
      </c>
      <c r="CG80">
        <f>IF(COUNTIFS(T_StockCount[RM_Code],$A80,T_StockCount[WeekIndex],84)&gt;0,SUMIFS(T_StockCount[CountedQty],T_StockCount[RM_Code],$A80,T_StockCount[WeekIndex],84),IF((COUNTIFS(T_SelfStock[RM_Code],$A80,T_SelfStock[WeekIndex],84)&gt;0)*(COUNTIFS(T_TTAFStock[RM_Code],$A80,T_TTAFStock[WeekIndex],84)&gt;0)&gt;0,SUMIFS(T_SelfStock[Self_Qty],T_SelfStock[RM_Code],$A80,T_SelfStock[WeekIndex],84)+SUMIFS(T_TTAFStock[TTAF_Qty],T_TTAFStock[RM_Code],$A80,T_TTAFStock[WeekIndex],84),CF80+'Grid_Incoming'!CG80-'Grid_Requirement'!CG80))</f>
        <v/>
      </c>
      <c r="CH80">
        <f>IF(COUNTIFS(T_StockCount[RM_Code],$A80,T_StockCount[WeekIndex],85)&gt;0,SUMIFS(T_StockCount[CountedQty],T_StockCount[RM_Code],$A80,T_StockCount[WeekIndex],85),IF((COUNTIFS(T_SelfStock[RM_Code],$A80,T_SelfStock[WeekIndex],85)&gt;0)*(COUNTIFS(T_TTAFStock[RM_Code],$A80,T_TTAFStock[WeekIndex],85)&gt;0)&gt;0,SUMIFS(T_SelfStock[Self_Qty],T_SelfStock[RM_Code],$A80,T_SelfStock[WeekIndex],85)+SUMIFS(T_TTAFStock[TTAF_Qty],T_TTAFStock[RM_Code],$A80,T_TTAFStock[WeekIndex],85),CG80+'Grid_Incoming'!CH80-'Grid_Requirement'!CH80))</f>
        <v/>
      </c>
      <c r="CI80">
        <f>IF(COUNTIFS(T_StockCount[RM_Code],$A80,T_StockCount[WeekIndex],86)&gt;0,SUMIFS(T_StockCount[CountedQty],T_StockCount[RM_Code],$A80,T_StockCount[WeekIndex],86),IF((COUNTIFS(T_SelfStock[RM_Code],$A80,T_SelfStock[WeekIndex],86)&gt;0)*(COUNTIFS(T_TTAFStock[RM_Code],$A80,T_TTAFStock[WeekIndex],86)&gt;0)&gt;0,SUMIFS(T_SelfStock[Self_Qty],T_SelfStock[RM_Code],$A80,T_SelfStock[WeekIndex],86)+SUMIFS(T_TTAFStock[TTAF_Qty],T_TTAFStock[RM_Code],$A80,T_TTAFStock[WeekIndex],86),CH80+'Grid_Incoming'!CI80-'Grid_Requirement'!CI80))</f>
        <v/>
      </c>
      <c r="CJ80">
        <f>IF(COUNTIFS(T_StockCount[RM_Code],$A80,T_StockCount[WeekIndex],87)&gt;0,SUMIFS(T_StockCount[CountedQty],T_StockCount[RM_Code],$A80,T_StockCount[WeekIndex],87),IF((COUNTIFS(T_SelfStock[RM_Code],$A80,T_SelfStock[WeekIndex],87)&gt;0)*(COUNTIFS(T_TTAFStock[RM_Code],$A80,T_TTAFStock[WeekIndex],87)&gt;0)&gt;0,SUMIFS(T_SelfStock[Self_Qty],T_SelfStock[RM_Code],$A80,T_SelfStock[WeekIndex],87)+SUMIFS(T_TTAFStock[TTAF_Qty],T_TTAFStock[RM_Code],$A80,T_TTAFStock[WeekIndex],87),CI80+'Grid_Incoming'!CJ80-'Grid_Requirement'!CJ80))</f>
        <v/>
      </c>
      <c r="CK80">
        <f>IF(COUNTIFS(T_StockCount[RM_Code],$A80,T_StockCount[WeekIndex],88)&gt;0,SUMIFS(T_StockCount[CountedQty],T_StockCount[RM_Code],$A80,T_StockCount[WeekIndex],88),IF((COUNTIFS(T_SelfStock[RM_Code],$A80,T_SelfStock[WeekIndex],88)&gt;0)*(COUNTIFS(T_TTAFStock[RM_Code],$A80,T_TTAFStock[WeekIndex],88)&gt;0)&gt;0,SUMIFS(T_SelfStock[Self_Qty],T_SelfStock[RM_Code],$A80,T_SelfStock[WeekIndex],88)+SUMIFS(T_TTAFStock[TTAF_Qty],T_TTAFStock[RM_Code],$A80,T_TTAFStock[WeekIndex],88),CJ80+'Grid_Incoming'!CK80-'Grid_Requirement'!CK80))</f>
        <v/>
      </c>
      <c r="CL80">
        <f>IF(COUNTIFS(T_StockCount[RM_Code],$A80,T_StockCount[WeekIndex],89)&gt;0,SUMIFS(T_StockCount[CountedQty],T_StockCount[RM_Code],$A80,T_StockCount[WeekIndex],89),IF((COUNTIFS(T_SelfStock[RM_Code],$A80,T_SelfStock[WeekIndex],89)&gt;0)*(COUNTIFS(T_TTAFStock[RM_Code],$A80,T_TTAFStock[WeekIndex],89)&gt;0)&gt;0,SUMIFS(T_SelfStock[Self_Qty],T_SelfStock[RM_Code],$A80,T_SelfStock[WeekIndex],89)+SUMIFS(T_TTAFStock[TTAF_Qty],T_TTAFStock[RM_Code],$A80,T_TTAFStock[WeekIndex],89),CK80+'Grid_Incoming'!CL80-'Grid_Requirement'!CL80))</f>
        <v/>
      </c>
      <c r="CM80">
        <f>IF(COUNTIFS(T_StockCount[RM_Code],$A80,T_StockCount[WeekIndex],90)&gt;0,SUMIFS(T_StockCount[CountedQty],T_StockCount[RM_Code],$A80,T_StockCount[WeekIndex],90),IF((COUNTIFS(T_SelfStock[RM_Code],$A80,T_SelfStock[WeekIndex],90)&gt;0)*(COUNTIFS(T_TTAFStock[RM_Code],$A80,T_TTAFStock[WeekIndex],90)&gt;0)&gt;0,SUMIFS(T_SelfStock[Self_Qty],T_SelfStock[RM_Code],$A80,T_SelfStock[WeekIndex],90)+SUMIFS(T_TTAFStock[TTAF_Qty],T_TTAFStock[RM_Code],$A80,T_TTAFStock[WeekIndex],90),CL80+'Grid_Incoming'!CM80-'Grid_Requirement'!CM80))</f>
        <v/>
      </c>
      <c r="CN80">
        <f>IF(COUNTIFS(T_StockCount[RM_Code],$A80,T_StockCount[WeekIndex],91)&gt;0,SUMIFS(T_StockCount[CountedQty],T_StockCount[RM_Code],$A80,T_StockCount[WeekIndex],91),IF((COUNTIFS(T_SelfStock[RM_Code],$A80,T_SelfStock[WeekIndex],91)&gt;0)*(COUNTIFS(T_TTAFStock[RM_Code],$A80,T_TTAFStock[WeekIndex],91)&gt;0)&gt;0,SUMIFS(T_SelfStock[Self_Qty],T_SelfStock[RM_Code],$A80,T_SelfStock[WeekIndex],91)+SUMIFS(T_TTAFStock[TTAF_Qty],T_TTAFStock[RM_Code],$A80,T_TTAFStock[WeekIndex],91),CM80+'Grid_Incoming'!CN80-'Grid_Requirement'!CN80))</f>
        <v/>
      </c>
      <c r="CO80">
        <f>IF(COUNTIFS(T_StockCount[RM_Code],$A80,T_StockCount[WeekIndex],92)&gt;0,SUMIFS(T_StockCount[CountedQty],T_StockCount[RM_Code],$A80,T_StockCount[WeekIndex],92),IF((COUNTIFS(T_SelfStock[RM_Code],$A80,T_SelfStock[WeekIndex],92)&gt;0)*(COUNTIFS(T_TTAFStock[RM_Code],$A80,T_TTAFStock[WeekIndex],92)&gt;0)&gt;0,SUMIFS(T_SelfStock[Self_Qty],T_SelfStock[RM_Code],$A80,T_SelfStock[WeekIndex],92)+SUMIFS(T_TTAFStock[TTAF_Qty],T_TTAFStock[RM_Code],$A80,T_TTAFStock[WeekIndex],92),CN80+'Grid_Incoming'!CO80-'Grid_Requirement'!CO80))</f>
        <v/>
      </c>
      <c r="CP80">
        <f>IF(COUNTIFS(T_StockCount[RM_Code],$A80,T_StockCount[WeekIndex],93)&gt;0,SUMIFS(T_StockCount[CountedQty],T_StockCount[RM_Code],$A80,T_StockCount[WeekIndex],93),IF((COUNTIFS(T_SelfStock[RM_Code],$A80,T_SelfStock[WeekIndex],93)&gt;0)*(COUNTIFS(T_TTAFStock[RM_Code],$A80,T_TTAFStock[WeekIndex],93)&gt;0)&gt;0,SUMIFS(T_SelfStock[Self_Qty],T_SelfStock[RM_Code],$A80,T_SelfStock[WeekIndex],93)+SUMIFS(T_TTAFStock[TTAF_Qty],T_TTAFStock[RM_Code],$A80,T_TTAFStock[WeekIndex],93),CO80+'Grid_Incoming'!CP80-'Grid_Requirement'!CP80))</f>
        <v/>
      </c>
      <c r="CQ80">
        <f>IF(COUNTIFS(T_StockCount[RM_Code],$A80,T_StockCount[WeekIndex],94)&gt;0,SUMIFS(T_StockCount[CountedQty],T_StockCount[RM_Code],$A80,T_StockCount[WeekIndex],94),IF((COUNTIFS(T_SelfStock[RM_Code],$A80,T_SelfStock[WeekIndex],94)&gt;0)*(COUNTIFS(T_TTAFStock[RM_Code],$A80,T_TTAFStock[WeekIndex],94)&gt;0)&gt;0,SUMIFS(T_SelfStock[Self_Qty],T_SelfStock[RM_Code],$A80,T_SelfStock[WeekIndex],94)+SUMIFS(T_TTAFStock[TTAF_Qty],T_TTAFStock[RM_Code],$A80,T_TTAFStock[WeekIndex],94),CP80+'Grid_Incoming'!CQ80-'Grid_Requirement'!CQ80))</f>
        <v/>
      </c>
      <c r="CR80">
        <f>IF(COUNTIFS(T_StockCount[RM_Code],$A80,T_StockCount[WeekIndex],95)&gt;0,SUMIFS(T_StockCount[CountedQty],T_StockCount[RM_Code],$A80,T_StockCount[WeekIndex],95),IF((COUNTIFS(T_SelfStock[RM_Code],$A80,T_SelfStock[WeekIndex],95)&gt;0)*(COUNTIFS(T_TTAFStock[RM_Code],$A80,T_TTAFStock[WeekIndex],95)&gt;0)&gt;0,SUMIFS(T_SelfStock[Self_Qty],T_SelfStock[RM_Code],$A80,T_SelfStock[WeekIndex],95)+SUMIFS(T_TTAFStock[TTAF_Qty],T_TTAFStock[RM_Code],$A80,T_TTAFStock[WeekIndex],95),CQ80+'Grid_Incoming'!CR80-'Grid_Requirement'!CR80))</f>
        <v/>
      </c>
      <c r="CS80">
        <f>IF(COUNTIFS(T_StockCount[RM_Code],$A80,T_StockCount[WeekIndex],96)&gt;0,SUMIFS(T_StockCount[CountedQty],T_StockCount[RM_Code],$A80,T_StockCount[WeekIndex],96),IF((COUNTIFS(T_SelfStock[RM_Code],$A80,T_SelfStock[WeekIndex],96)&gt;0)*(COUNTIFS(T_TTAFStock[RM_Code],$A80,T_TTAFStock[WeekIndex],96)&gt;0)&gt;0,SUMIFS(T_SelfStock[Self_Qty],T_SelfStock[RM_Code],$A80,T_SelfStock[WeekIndex],96)+SUMIFS(T_TTAFStock[TTAF_Qty],T_TTAFStock[RM_Code],$A80,T_TTAFStock[WeekIndex],96),CR80+'Grid_Incoming'!CS80-'Grid_Requirement'!CS80))</f>
        <v/>
      </c>
      <c r="CT80">
        <f>IF(COUNTIFS(T_StockCount[RM_Code],$A80,T_StockCount[WeekIndex],97)&gt;0,SUMIFS(T_StockCount[CountedQty],T_StockCount[RM_Code],$A80,T_StockCount[WeekIndex],97),IF((COUNTIFS(T_SelfStock[RM_Code],$A80,T_SelfStock[WeekIndex],97)&gt;0)*(COUNTIFS(T_TTAFStock[RM_Code],$A80,T_TTAFStock[WeekIndex],97)&gt;0)&gt;0,SUMIFS(T_SelfStock[Self_Qty],T_SelfStock[RM_Code],$A80,T_SelfStock[WeekIndex],97)+SUMIFS(T_TTAFStock[TTAF_Qty],T_TTAFStock[RM_Code],$A80,T_TTAFStock[WeekIndex],97),CS80+'Grid_Incoming'!CT80-'Grid_Requirement'!CT80))</f>
        <v/>
      </c>
      <c r="CU80">
        <f>IF(COUNTIFS(T_StockCount[RM_Code],$A80,T_StockCount[WeekIndex],98)&gt;0,SUMIFS(T_StockCount[CountedQty],T_StockCount[RM_Code],$A80,T_StockCount[WeekIndex],98),IF((COUNTIFS(T_SelfStock[RM_Code],$A80,T_SelfStock[WeekIndex],98)&gt;0)*(COUNTIFS(T_TTAFStock[RM_Code],$A80,T_TTAFStock[WeekIndex],98)&gt;0)&gt;0,SUMIFS(T_SelfStock[Self_Qty],T_SelfStock[RM_Code],$A80,T_SelfStock[WeekIndex],98)+SUMIFS(T_TTAFStock[TTAF_Qty],T_TTAFStock[RM_Code],$A80,T_TTAFStock[WeekIndex],98),CT80+'Grid_Incoming'!CU80-'Grid_Requirement'!CU80))</f>
        <v/>
      </c>
      <c r="CV80">
        <f>IF(COUNTIFS(T_StockCount[RM_Code],$A80,T_StockCount[WeekIndex],99)&gt;0,SUMIFS(T_StockCount[CountedQty],T_StockCount[RM_Code],$A80,T_StockCount[WeekIndex],99),IF((COUNTIFS(T_SelfStock[RM_Code],$A80,T_SelfStock[WeekIndex],99)&gt;0)*(COUNTIFS(T_TTAFStock[RM_Code],$A80,T_TTAFStock[WeekIndex],99)&gt;0)&gt;0,SUMIFS(T_SelfStock[Self_Qty],T_SelfStock[RM_Code],$A80,T_SelfStock[WeekIndex],99)+SUMIFS(T_TTAFStock[TTAF_Qty],T_TTAFStock[RM_Code],$A80,T_TTAFStock[WeekIndex],99),CU80+'Grid_Incoming'!CV80-'Grid_Requirement'!CV80))</f>
        <v/>
      </c>
      <c r="CW80">
        <f>IF(COUNTIFS(T_StockCount[RM_Code],$A80,T_StockCount[WeekIndex],100)&gt;0,SUMIFS(T_StockCount[CountedQty],T_StockCount[RM_Code],$A80,T_StockCount[WeekIndex],100),IF((COUNTIFS(T_SelfStock[RM_Code],$A80,T_SelfStock[WeekIndex],100)&gt;0)*(COUNTIFS(T_TTAFStock[RM_Code],$A80,T_TTAFStock[WeekIndex],100)&gt;0)&gt;0,SUMIFS(T_SelfStock[Self_Qty],T_SelfStock[RM_Code],$A80,T_SelfStock[WeekIndex],100)+SUMIFS(T_TTAFStock[TTAF_Qty],T_TTAFStock[RM_Code],$A80,T_TTAFStock[WeekIndex],100),CV80+'Grid_Incoming'!CW80-'Grid_Requirement'!CW80))</f>
        <v/>
      </c>
      <c r="CX80">
        <f>IF(COUNTIFS(T_StockCount[RM_Code],$A80,T_StockCount[WeekIndex],101)&gt;0,SUMIFS(T_StockCount[CountedQty],T_StockCount[RM_Code],$A80,T_StockCount[WeekIndex],101),IF((COUNTIFS(T_SelfStock[RM_Code],$A80,T_SelfStock[WeekIndex],101)&gt;0)*(COUNTIFS(T_TTAFStock[RM_Code],$A80,T_TTAFStock[WeekIndex],101)&gt;0)&gt;0,SUMIFS(T_SelfStock[Self_Qty],T_SelfStock[RM_Code],$A80,T_SelfStock[WeekIndex],101)+SUMIFS(T_TTAFStock[TTAF_Qty],T_TTAFStock[RM_Code],$A80,T_TTAFStock[WeekIndex],101),CW80+'Grid_Incoming'!CX80-'Grid_Requirement'!CX80))</f>
        <v/>
      </c>
      <c r="CY80">
        <f>IF(COUNTIFS(T_StockCount[RM_Code],$A80,T_StockCount[WeekIndex],102)&gt;0,SUMIFS(T_StockCount[CountedQty],T_StockCount[RM_Code],$A80,T_StockCount[WeekIndex],102),IF((COUNTIFS(T_SelfStock[RM_Code],$A80,T_SelfStock[WeekIndex],102)&gt;0)*(COUNTIFS(T_TTAFStock[RM_Code],$A80,T_TTAFStock[WeekIndex],102)&gt;0)&gt;0,SUMIFS(T_SelfStock[Self_Qty],T_SelfStock[RM_Code],$A80,T_SelfStock[WeekIndex],102)+SUMIFS(T_TTAFStock[TTAF_Qty],T_TTAFStock[RM_Code],$A80,T_TTAFStock[WeekIndex],102),CX80+'Grid_Incoming'!CY80-'Grid_Requirement'!CY80))</f>
        <v/>
      </c>
      <c r="CZ80">
        <f>IF(COUNTIFS(T_StockCount[RM_Code],$A80,T_StockCount[WeekIndex],103)&gt;0,SUMIFS(T_StockCount[CountedQty],T_StockCount[RM_Code],$A80,T_StockCount[WeekIndex],103),IF((COUNTIFS(T_SelfStock[RM_Code],$A80,T_SelfStock[WeekIndex],103)&gt;0)*(COUNTIFS(T_TTAFStock[RM_Code],$A80,T_TTAFStock[WeekIndex],103)&gt;0)&gt;0,SUMIFS(T_SelfStock[Self_Qty],T_SelfStock[RM_Code],$A80,T_SelfStock[WeekIndex],103)+SUMIFS(T_TTAFStock[TTAF_Qty],T_TTAFStock[RM_Code],$A80,T_TTAFStock[WeekIndex],103),CY80+'Grid_Incoming'!CZ80-'Grid_Requirement'!CZ80))</f>
        <v/>
      </c>
      <c r="DA80">
        <f>IF(COUNTIFS(T_StockCount[RM_Code],$A80,T_StockCount[WeekIndex],104)&gt;0,SUMIFS(T_StockCount[CountedQty],T_StockCount[RM_Code],$A80,T_StockCount[WeekIndex],104),IF((COUNTIFS(T_SelfStock[RM_Code],$A80,T_SelfStock[WeekIndex],104)&gt;0)*(COUNTIFS(T_TTAFStock[RM_Code],$A80,T_TTAFStock[WeekIndex],104)&gt;0)&gt;0,SUMIFS(T_SelfStock[Self_Qty],T_SelfStock[RM_Code],$A80,T_SelfStock[WeekIndex],104)+SUMIFS(T_TTAFStock[TTAF_Qty],T_TTAFStock[RM_Code],$A80,T_TTAFStock[WeekIndex],104),CZ80+'Grid_Incoming'!DA80-'Grid_Requirement'!DA80))</f>
        <v/>
      </c>
    </row>
    <row r="81">
      <c r="A81" t="inlineStr">
        <is>
          <t>Chem-1800</t>
        </is>
      </c>
      <c r="B81">
        <f>IF(COUNTIFS(T_StockCount[RM_Code],$A81,T_StockCount[WeekIndex],1)&gt;0,SUMIFS(T_StockCount[CountedQty],T_StockCount[RM_Code],$A81,T_StockCount[WeekIndex],1),IF((COUNTIFS(T_SelfStock[RM_Code],$A81,T_SelfStock[WeekIndex],1)&gt;0)*(COUNTIFS(T_TTAFStock[RM_Code],$A81,T_TTAFStock[WeekIndex],1)&gt;0)&gt;0,SUMIFS(T_SelfStock[Self_Qty],T_SelfStock[RM_Code],$A81,T_SelfStock[WeekIndex],1)+SUMIFS(T_TTAFStock[TTAF_Qty],T_TTAFStock[RM_Code],$A81,T_TTAFStock[WeekIndex],1),IFERROR(INDEX(T_OpeningStock[Opening_Qty],MATCH($A81,T_OpeningStock[RM_Code],0)),0)+'Grid_Incoming'!B81-'Grid_Requirement'!B81))</f>
        <v/>
      </c>
      <c r="C81">
        <f>IF(COUNTIFS(T_StockCount[RM_Code],$A81,T_StockCount[WeekIndex],2)&gt;0,SUMIFS(T_StockCount[CountedQty],T_StockCount[RM_Code],$A81,T_StockCount[WeekIndex],2),IF((COUNTIFS(T_SelfStock[RM_Code],$A81,T_SelfStock[WeekIndex],2)&gt;0)*(COUNTIFS(T_TTAFStock[RM_Code],$A81,T_TTAFStock[WeekIndex],2)&gt;0)&gt;0,SUMIFS(T_SelfStock[Self_Qty],T_SelfStock[RM_Code],$A81,T_SelfStock[WeekIndex],2)+SUMIFS(T_TTAFStock[TTAF_Qty],T_TTAFStock[RM_Code],$A81,T_TTAFStock[WeekIndex],2),B81+'Grid_Incoming'!C81-'Grid_Requirement'!C81))</f>
        <v/>
      </c>
      <c r="D81">
        <f>IF(COUNTIFS(T_StockCount[RM_Code],$A81,T_StockCount[WeekIndex],3)&gt;0,SUMIFS(T_StockCount[CountedQty],T_StockCount[RM_Code],$A81,T_StockCount[WeekIndex],3),IF((COUNTIFS(T_SelfStock[RM_Code],$A81,T_SelfStock[WeekIndex],3)&gt;0)*(COUNTIFS(T_TTAFStock[RM_Code],$A81,T_TTAFStock[WeekIndex],3)&gt;0)&gt;0,SUMIFS(T_SelfStock[Self_Qty],T_SelfStock[RM_Code],$A81,T_SelfStock[WeekIndex],3)+SUMIFS(T_TTAFStock[TTAF_Qty],T_TTAFStock[RM_Code],$A81,T_TTAFStock[WeekIndex],3),C81+'Grid_Incoming'!D81-'Grid_Requirement'!D81))</f>
        <v/>
      </c>
      <c r="E81">
        <f>IF(COUNTIFS(T_StockCount[RM_Code],$A81,T_StockCount[WeekIndex],4)&gt;0,SUMIFS(T_StockCount[CountedQty],T_StockCount[RM_Code],$A81,T_StockCount[WeekIndex],4),IF((COUNTIFS(T_SelfStock[RM_Code],$A81,T_SelfStock[WeekIndex],4)&gt;0)*(COUNTIFS(T_TTAFStock[RM_Code],$A81,T_TTAFStock[WeekIndex],4)&gt;0)&gt;0,SUMIFS(T_SelfStock[Self_Qty],T_SelfStock[RM_Code],$A81,T_SelfStock[WeekIndex],4)+SUMIFS(T_TTAFStock[TTAF_Qty],T_TTAFStock[RM_Code],$A81,T_TTAFStock[WeekIndex],4),D81+'Grid_Incoming'!E81-'Grid_Requirement'!E81))</f>
        <v/>
      </c>
      <c r="F81">
        <f>IF(COUNTIFS(T_StockCount[RM_Code],$A81,T_StockCount[WeekIndex],5)&gt;0,SUMIFS(T_StockCount[CountedQty],T_StockCount[RM_Code],$A81,T_StockCount[WeekIndex],5),IF((COUNTIFS(T_SelfStock[RM_Code],$A81,T_SelfStock[WeekIndex],5)&gt;0)*(COUNTIFS(T_TTAFStock[RM_Code],$A81,T_TTAFStock[WeekIndex],5)&gt;0)&gt;0,SUMIFS(T_SelfStock[Self_Qty],T_SelfStock[RM_Code],$A81,T_SelfStock[WeekIndex],5)+SUMIFS(T_TTAFStock[TTAF_Qty],T_TTAFStock[RM_Code],$A81,T_TTAFStock[WeekIndex],5),E81+'Grid_Incoming'!F81-'Grid_Requirement'!F81))</f>
        <v/>
      </c>
      <c r="G81">
        <f>IF(COUNTIFS(T_StockCount[RM_Code],$A81,T_StockCount[WeekIndex],6)&gt;0,SUMIFS(T_StockCount[CountedQty],T_StockCount[RM_Code],$A81,T_StockCount[WeekIndex],6),IF((COUNTIFS(T_SelfStock[RM_Code],$A81,T_SelfStock[WeekIndex],6)&gt;0)*(COUNTIFS(T_TTAFStock[RM_Code],$A81,T_TTAFStock[WeekIndex],6)&gt;0)&gt;0,SUMIFS(T_SelfStock[Self_Qty],T_SelfStock[RM_Code],$A81,T_SelfStock[WeekIndex],6)+SUMIFS(T_TTAFStock[TTAF_Qty],T_TTAFStock[RM_Code],$A81,T_TTAFStock[WeekIndex],6),F81+'Grid_Incoming'!G81-'Grid_Requirement'!G81))</f>
        <v/>
      </c>
      <c r="H81">
        <f>IF(COUNTIFS(T_StockCount[RM_Code],$A81,T_StockCount[WeekIndex],7)&gt;0,SUMIFS(T_StockCount[CountedQty],T_StockCount[RM_Code],$A81,T_StockCount[WeekIndex],7),IF((COUNTIFS(T_SelfStock[RM_Code],$A81,T_SelfStock[WeekIndex],7)&gt;0)*(COUNTIFS(T_TTAFStock[RM_Code],$A81,T_TTAFStock[WeekIndex],7)&gt;0)&gt;0,SUMIFS(T_SelfStock[Self_Qty],T_SelfStock[RM_Code],$A81,T_SelfStock[WeekIndex],7)+SUMIFS(T_TTAFStock[TTAF_Qty],T_TTAFStock[RM_Code],$A81,T_TTAFStock[WeekIndex],7),G81+'Grid_Incoming'!H81-'Grid_Requirement'!H81))</f>
        <v/>
      </c>
      <c r="I81">
        <f>IF(COUNTIFS(T_StockCount[RM_Code],$A81,T_StockCount[WeekIndex],8)&gt;0,SUMIFS(T_StockCount[CountedQty],T_StockCount[RM_Code],$A81,T_StockCount[WeekIndex],8),IF((COUNTIFS(T_SelfStock[RM_Code],$A81,T_SelfStock[WeekIndex],8)&gt;0)*(COUNTIFS(T_TTAFStock[RM_Code],$A81,T_TTAFStock[WeekIndex],8)&gt;0)&gt;0,SUMIFS(T_SelfStock[Self_Qty],T_SelfStock[RM_Code],$A81,T_SelfStock[WeekIndex],8)+SUMIFS(T_TTAFStock[TTAF_Qty],T_TTAFStock[RM_Code],$A81,T_TTAFStock[WeekIndex],8),H81+'Grid_Incoming'!I81-'Grid_Requirement'!I81))</f>
        <v/>
      </c>
      <c r="J81">
        <f>IF(COUNTIFS(T_StockCount[RM_Code],$A81,T_StockCount[WeekIndex],9)&gt;0,SUMIFS(T_StockCount[CountedQty],T_StockCount[RM_Code],$A81,T_StockCount[WeekIndex],9),IF((COUNTIFS(T_SelfStock[RM_Code],$A81,T_SelfStock[WeekIndex],9)&gt;0)*(COUNTIFS(T_TTAFStock[RM_Code],$A81,T_TTAFStock[WeekIndex],9)&gt;0)&gt;0,SUMIFS(T_SelfStock[Self_Qty],T_SelfStock[RM_Code],$A81,T_SelfStock[WeekIndex],9)+SUMIFS(T_TTAFStock[TTAF_Qty],T_TTAFStock[RM_Code],$A81,T_TTAFStock[WeekIndex],9),I81+'Grid_Incoming'!J81-'Grid_Requirement'!J81))</f>
        <v/>
      </c>
      <c r="K81">
        <f>IF(COUNTIFS(T_StockCount[RM_Code],$A81,T_StockCount[WeekIndex],10)&gt;0,SUMIFS(T_StockCount[CountedQty],T_StockCount[RM_Code],$A81,T_StockCount[WeekIndex],10),IF((COUNTIFS(T_SelfStock[RM_Code],$A81,T_SelfStock[WeekIndex],10)&gt;0)*(COUNTIFS(T_TTAFStock[RM_Code],$A81,T_TTAFStock[WeekIndex],10)&gt;0)&gt;0,SUMIFS(T_SelfStock[Self_Qty],T_SelfStock[RM_Code],$A81,T_SelfStock[WeekIndex],10)+SUMIFS(T_TTAFStock[TTAF_Qty],T_TTAFStock[RM_Code],$A81,T_TTAFStock[WeekIndex],10),J81+'Grid_Incoming'!K81-'Grid_Requirement'!K81))</f>
        <v/>
      </c>
      <c r="L81">
        <f>IF(COUNTIFS(T_StockCount[RM_Code],$A81,T_StockCount[WeekIndex],11)&gt;0,SUMIFS(T_StockCount[CountedQty],T_StockCount[RM_Code],$A81,T_StockCount[WeekIndex],11),IF((COUNTIFS(T_SelfStock[RM_Code],$A81,T_SelfStock[WeekIndex],11)&gt;0)*(COUNTIFS(T_TTAFStock[RM_Code],$A81,T_TTAFStock[WeekIndex],11)&gt;0)&gt;0,SUMIFS(T_SelfStock[Self_Qty],T_SelfStock[RM_Code],$A81,T_SelfStock[WeekIndex],11)+SUMIFS(T_TTAFStock[TTAF_Qty],T_TTAFStock[RM_Code],$A81,T_TTAFStock[WeekIndex],11),K81+'Grid_Incoming'!L81-'Grid_Requirement'!L81))</f>
        <v/>
      </c>
      <c r="M81">
        <f>IF(COUNTIFS(T_StockCount[RM_Code],$A81,T_StockCount[WeekIndex],12)&gt;0,SUMIFS(T_StockCount[CountedQty],T_StockCount[RM_Code],$A81,T_StockCount[WeekIndex],12),IF((COUNTIFS(T_SelfStock[RM_Code],$A81,T_SelfStock[WeekIndex],12)&gt;0)*(COUNTIFS(T_TTAFStock[RM_Code],$A81,T_TTAFStock[WeekIndex],12)&gt;0)&gt;0,SUMIFS(T_SelfStock[Self_Qty],T_SelfStock[RM_Code],$A81,T_SelfStock[WeekIndex],12)+SUMIFS(T_TTAFStock[TTAF_Qty],T_TTAFStock[RM_Code],$A81,T_TTAFStock[WeekIndex],12),L81+'Grid_Incoming'!M81-'Grid_Requirement'!M81))</f>
        <v/>
      </c>
      <c r="N81">
        <f>IF(COUNTIFS(T_StockCount[RM_Code],$A81,T_StockCount[WeekIndex],13)&gt;0,SUMIFS(T_StockCount[CountedQty],T_StockCount[RM_Code],$A81,T_StockCount[WeekIndex],13),IF((COUNTIFS(T_SelfStock[RM_Code],$A81,T_SelfStock[WeekIndex],13)&gt;0)*(COUNTIFS(T_TTAFStock[RM_Code],$A81,T_TTAFStock[WeekIndex],13)&gt;0)&gt;0,SUMIFS(T_SelfStock[Self_Qty],T_SelfStock[RM_Code],$A81,T_SelfStock[WeekIndex],13)+SUMIFS(T_TTAFStock[TTAF_Qty],T_TTAFStock[RM_Code],$A81,T_TTAFStock[WeekIndex],13),M81+'Grid_Incoming'!N81-'Grid_Requirement'!N81))</f>
        <v/>
      </c>
      <c r="O81">
        <f>IF(COUNTIFS(T_StockCount[RM_Code],$A81,T_StockCount[WeekIndex],14)&gt;0,SUMIFS(T_StockCount[CountedQty],T_StockCount[RM_Code],$A81,T_StockCount[WeekIndex],14),IF((COUNTIFS(T_SelfStock[RM_Code],$A81,T_SelfStock[WeekIndex],14)&gt;0)*(COUNTIFS(T_TTAFStock[RM_Code],$A81,T_TTAFStock[WeekIndex],14)&gt;0)&gt;0,SUMIFS(T_SelfStock[Self_Qty],T_SelfStock[RM_Code],$A81,T_SelfStock[WeekIndex],14)+SUMIFS(T_TTAFStock[TTAF_Qty],T_TTAFStock[RM_Code],$A81,T_TTAFStock[WeekIndex],14),N81+'Grid_Incoming'!O81-'Grid_Requirement'!O81))</f>
        <v/>
      </c>
      <c r="P81">
        <f>IF(COUNTIFS(T_StockCount[RM_Code],$A81,T_StockCount[WeekIndex],15)&gt;0,SUMIFS(T_StockCount[CountedQty],T_StockCount[RM_Code],$A81,T_StockCount[WeekIndex],15),IF((COUNTIFS(T_SelfStock[RM_Code],$A81,T_SelfStock[WeekIndex],15)&gt;0)*(COUNTIFS(T_TTAFStock[RM_Code],$A81,T_TTAFStock[WeekIndex],15)&gt;0)&gt;0,SUMIFS(T_SelfStock[Self_Qty],T_SelfStock[RM_Code],$A81,T_SelfStock[WeekIndex],15)+SUMIFS(T_TTAFStock[TTAF_Qty],T_TTAFStock[RM_Code],$A81,T_TTAFStock[WeekIndex],15),O81+'Grid_Incoming'!P81-'Grid_Requirement'!P81))</f>
        <v/>
      </c>
      <c r="Q81">
        <f>IF(COUNTIFS(T_StockCount[RM_Code],$A81,T_StockCount[WeekIndex],16)&gt;0,SUMIFS(T_StockCount[CountedQty],T_StockCount[RM_Code],$A81,T_StockCount[WeekIndex],16),IF((COUNTIFS(T_SelfStock[RM_Code],$A81,T_SelfStock[WeekIndex],16)&gt;0)*(COUNTIFS(T_TTAFStock[RM_Code],$A81,T_TTAFStock[WeekIndex],16)&gt;0)&gt;0,SUMIFS(T_SelfStock[Self_Qty],T_SelfStock[RM_Code],$A81,T_SelfStock[WeekIndex],16)+SUMIFS(T_TTAFStock[TTAF_Qty],T_TTAFStock[RM_Code],$A81,T_TTAFStock[WeekIndex],16),P81+'Grid_Incoming'!Q81-'Grid_Requirement'!Q81))</f>
        <v/>
      </c>
      <c r="R81">
        <f>IF(COUNTIFS(T_StockCount[RM_Code],$A81,T_StockCount[WeekIndex],17)&gt;0,SUMIFS(T_StockCount[CountedQty],T_StockCount[RM_Code],$A81,T_StockCount[WeekIndex],17),IF((COUNTIFS(T_SelfStock[RM_Code],$A81,T_SelfStock[WeekIndex],17)&gt;0)*(COUNTIFS(T_TTAFStock[RM_Code],$A81,T_TTAFStock[WeekIndex],17)&gt;0)&gt;0,SUMIFS(T_SelfStock[Self_Qty],T_SelfStock[RM_Code],$A81,T_SelfStock[WeekIndex],17)+SUMIFS(T_TTAFStock[TTAF_Qty],T_TTAFStock[RM_Code],$A81,T_TTAFStock[WeekIndex],17),Q81+'Grid_Incoming'!R81-'Grid_Requirement'!R81))</f>
        <v/>
      </c>
      <c r="S81">
        <f>IF(COUNTIFS(T_StockCount[RM_Code],$A81,T_StockCount[WeekIndex],18)&gt;0,SUMIFS(T_StockCount[CountedQty],T_StockCount[RM_Code],$A81,T_StockCount[WeekIndex],18),IF((COUNTIFS(T_SelfStock[RM_Code],$A81,T_SelfStock[WeekIndex],18)&gt;0)*(COUNTIFS(T_TTAFStock[RM_Code],$A81,T_TTAFStock[WeekIndex],18)&gt;0)&gt;0,SUMIFS(T_SelfStock[Self_Qty],T_SelfStock[RM_Code],$A81,T_SelfStock[WeekIndex],18)+SUMIFS(T_TTAFStock[TTAF_Qty],T_TTAFStock[RM_Code],$A81,T_TTAFStock[WeekIndex],18),R81+'Grid_Incoming'!S81-'Grid_Requirement'!S81))</f>
        <v/>
      </c>
      <c r="T81">
        <f>IF(COUNTIFS(T_StockCount[RM_Code],$A81,T_StockCount[WeekIndex],19)&gt;0,SUMIFS(T_StockCount[CountedQty],T_StockCount[RM_Code],$A81,T_StockCount[WeekIndex],19),IF((COUNTIFS(T_SelfStock[RM_Code],$A81,T_SelfStock[WeekIndex],19)&gt;0)*(COUNTIFS(T_TTAFStock[RM_Code],$A81,T_TTAFStock[WeekIndex],19)&gt;0)&gt;0,SUMIFS(T_SelfStock[Self_Qty],T_SelfStock[RM_Code],$A81,T_SelfStock[WeekIndex],19)+SUMIFS(T_TTAFStock[TTAF_Qty],T_TTAFStock[RM_Code],$A81,T_TTAFStock[WeekIndex],19),S81+'Grid_Incoming'!T81-'Grid_Requirement'!T81))</f>
        <v/>
      </c>
      <c r="U81">
        <f>IF(COUNTIFS(T_StockCount[RM_Code],$A81,T_StockCount[WeekIndex],20)&gt;0,SUMIFS(T_StockCount[CountedQty],T_StockCount[RM_Code],$A81,T_StockCount[WeekIndex],20),IF((COUNTIFS(T_SelfStock[RM_Code],$A81,T_SelfStock[WeekIndex],20)&gt;0)*(COUNTIFS(T_TTAFStock[RM_Code],$A81,T_TTAFStock[WeekIndex],20)&gt;0)&gt;0,SUMIFS(T_SelfStock[Self_Qty],T_SelfStock[RM_Code],$A81,T_SelfStock[WeekIndex],20)+SUMIFS(T_TTAFStock[TTAF_Qty],T_TTAFStock[RM_Code],$A81,T_TTAFStock[WeekIndex],20),T81+'Grid_Incoming'!U81-'Grid_Requirement'!U81))</f>
        <v/>
      </c>
      <c r="V81">
        <f>IF(COUNTIFS(T_StockCount[RM_Code],$A81,T_StockCount[WeekIndex],21)&gt;0,SUMIFS(T_StockCount[CountedQty],T_StockCount[RM_Code],$A81,T_StockCount[WeekIndex],21),IF((COUNTIFS(T_SelfStock[RM_Code],$A81,T_SelfStock[WeekIndex],21)&gt;0)*(COUNTIFS(T_TTAFStock[RM_Code],$A81,T_TTAFStock[WeekIndex],21)&gt;0)&gt;0,SUMIFS(T_SelfStock[Self_Qty],T_SelfStock[RM_Code],$A81,T_SelfStock[WeekIndex],21)+SUMIFS(T_TTAFStock[TTAF_Qty],T_TTAFStock[RM_Code],$A81,T_TTAFStock[WeekIndex],21),U81+'Grid_Incoming'!V81-'Grid_Requirement'!V81))</f>
        <v/>
      </c>
      <c r="W81">
        <f>IF(COUNTIFS(T_StockCount[RM_Code],$A81,T_StockCount[WeekIndex],22)&gt;0,SUMIFS(T_StockCount[CountedQty],T_StockCount[RM_Code],$A81,T_StockCount[WeekIndex],22),IF((COUNTIFS(T_SelfStock[RM_Code],$A81,T_SelfStock[WeekIndex],22)&gt;0)*(COUNTIFS(T_TTAFStock[RM_Code],$A81,T_TTAFStock[WeekIndex],22)&gt;0)&gt;0,SUMIFS(T_SelfStock[Self_Qty],T_SelfStock[RM_Code],$A81,T_SelfStock[WeekIndex],22)+SUMIFS(T_TTAFStock[TTAF_Qty],T_TTAFStock[RM_Code],$A81,T_TTAFStock[WeekIndex],22),V81+'Grid_Incoming'!W81-'Grid_Requirement'!W81))</f>
        <v/>
      </c>
      <c r="X81">
        <f>IF(COUNTIFS(T_StockCount[RM_Code],$A81,T_StockCount[WeekIndex],23)&gt;0,SUMIFS(T_StockCount[CountedQty],T_StockCount[RM_Code],$A81,T_StockCount[WeekIndex],23),IF((COUNTIFS(T_SelfStock[RM_Code],$A81,T_SelfStock[WeekIndex],23)&gt;0)*(COUNTIFS(T_TTAFStock[RM_Code],$A81,T_TTAFStock[WeekIndex],23)&gt;0)&gt;0,SUMIFS(T_SelfStock[Self_Qty],T_SelfStock[RM_Code],$A81,T_SelfStock[WeekIndex],23)+SUMIFS(T_TTAFStock[TTAF_Qty],T_TTAFStock[RM_Code],$A81,T_TTAFStock[WeekIndex],23),W81+'Grid_Incoming'!X81-'Grid_Requirement'!X81))</f>
        <v/>
      </c>
      <c r="Y81">
        <f>IF(COUNTIFS(T_StockCount[RM_Code],$A81,T_StockCount[WeekIndex],24)&gt;0,SUMIFS(T_StockCount[CountedQty],T_StockCount[RM_Code],$A81,T_StockCount[WeekIndex],24),IF((COUNTIFS(T_SelfStock[RM_Code],$A81,T_SelfStock[WeekIndex],24)&gt;0)*(COUNTIFS(T_TTAFStock[RM_Code],$A81,T_TTAFStock[WeekIndex],24)&gt;0)&gt;0,SUMIFS(T_SelfStock[Self_Qty],T_SelfStock[RM_Code],$A81,T_SelfStock[WeekIndex],24)+SUMIFS(T_TTAFStock[TTAF_Qty],T_TTAFStock[RM_Code],$A81,T_TTAFStock[WeekIndex],24),X81+'Grid_Incoming'!Y81-'Grid_Requirement'!Y81))</f>
        <v/>
      </c>
      <c r="Z81">
        <f>IF(COUNTIFS(T_StockCount[RM_Code],$A81,T_StockCount[WeekIndex],25)&gt;0,SUMIFS(T_StockCount[CountedQty],T_StockCount[RM_Code],$A81,T_StockCount[WeekIndex],25),IF((COUNTIFS(T_SelfStock[RM_Code],$A81,T_SelfStock[WeekIndex],25)&gt;0)*(COUNTIFS(T_TTAFStock[RM_Code],$A81,T_TTAFStock[WeekIndex],25)&gt;0)&gt;0,SUMIFS(T_SelfStock[Self_Qty],T_SelfStock[RM_Code],$A81,T_SelfStock[WeekIndex],25)+SUMIFS(T_TTAFStock[TTAF_Qty],T_TTAFStock[RM_Code],$A81,T_TTAFStock[WeekIndex],25),Y81+'Grid_Incoming'!Z81-'Grid_Requirement'!Z81))</f>
        <v/>
      </c>
      <c r="AA81">
        <f>IF(COUNTIFS(T_StockCount[RM_Code],$A81,T_StockCount[WeekIndex],26)&gt;0,SUMIFS(T_StockCount[CountedQty],T_StockCount[RM_Code],$A81,T_StockCount[WeekIndex],26),IF((COUNTIFS(T_SelfStock[RM_Code],$A81,T_SelfStock[WeekIndex],26)&gt;0)*(COUNTIFS(T_TTAFStock[RM_Code],$A81,T_TTAFStock[WeekIndex],26)&gt;0)&gt;0,SUMIFS(T_SelfStock[Self_Qty],T_SelfStock[RM_Code],$A81,T_SelfStock[WeekIndex],26)+SUMIFS(T_TTAFStock[TTAF_Qty],T_TTAFStock[RM_Code],$A81,T_TTAFStock[WeekIndex],26),Z81+'Grid_Incoming'!AA81-'Grid_Requirement'!AA81))</f>
        <v/>
      </c>
      <c r="AB81">
        <f>IF(COUNTIFS(T_StockCount[RM_Code],$A81,T_StockCount[WeekIndex],27)&gt;0,SUMIFS(T_StockCount[CountedQty],T_StockCount[RM_Code],$A81,T_StockCount[WeekIndex],27),IF((COUNTIFS(T_SelfStock[RM_Code],$A81,T_SelfStock[WeekIndex],27)&gt;0)*(COUNTIFS(T_TTAFStock[RM_Code],$A81,T_TTAFStock[WeekIndex],27)&gt;0)&gt;0,SUMIFS(T_SelfStock[Self_Qty],T_SelfStock[RM_Code],$A81,T_SelfStock[WeekIndex],27)+SUMIFS(T_TTAFStock[TTAF_Qty],T_TTAFStock[RM_Code],$A81,T_TTAFStock[WeekIndex],27),AA81+'Grid_Incoming'!AB81-'Grid_Requirement'!AB81))</f>
        <v/>
      </c>
      <c r="AC81">
        <f>IF(COUNTIFS(T_StockCount[RM_Code],$A81,T_StockCount[WeekIndex],28)&gt;0,SUMIFS(T_StockCount[CountedQty],T_StockCount[RM_Code],$A81,T_StockCount[WeekIndex],28),IF((COUNTIFS(T_SelfStock[RM_Code],$A81,T_SelfStock[WeekIndex],28)&gt;0)*(COUNTIFS(T_TTAFStock[RM_Code],$A81,T_TTAFStock[WeekIndex],28)&gt;0)&gt;0,SUMIFS(T_SelfStock[Self_Qty],T_SelfStock[RM_Code],$A81,T_SelfStock[WeekIndex],28)+SUMIFS(T_TTAFStock[TTAF_Qty],T_TTAFStock[RM_Code],$A81,T_TTAFStock[WeekIndex],28),AB81+'Grid_Incoming'!AC81-'Grid_Requirement'!AC81))</f>
        <v/>
      </c>
      <c r="AD81">
        <f>IF(COUNTIFS(T_StockCount[RM_Code],$A81,T_StockCount[WeekIndex],29)&gt;0,SUMIFS(T_StockCount[CountedQty],T_StockCount[RM_Code],$A81,T_StockCount[WeekIndex],29),IF((COUNTIFS(T_SelfStock[RM_Code],$A81,T_SelfStock[WeekIndex],29)&gt;0)*(COUNTIFS(T_TTAFStock[RM_Code],$A81,T_TTAFStock[WeekIndex],29)&gt;0)&gt;0,SUMIFS(T_SelfStock[Self_Qty],T_SelfStock[RM_Code],$A81,T_SelfStock[WeekIndex],29)+SUMIFS(T_TTAFStock[TTAF_Qty],T_TTAFStock[RM_Code],$A81,T_TTAFStock[WeekIndex],29),AC81+'Grid_Incoming'!AD81-'Grid_Requirement'!AD81))</f>
        <v/>
      </c>
      <c r="AE81">
        <f>IF(COUNTIFS(T_StockCount[RM_Code],$A81,T_StockCount[WeekIndex],30)&gt;0,SUMIFS(T_StockCount[CountedQty],T_StockCount[RM_Code],$A81,T_StockCount[WeekIndex],30),IF((COUNTIFS(T_SelfStock[RM_Code],$A81,T_SelfStock[WeekIndex],30)&gt;0)*(COUNTIFS(T_TTAFStock[RM_Code],$A81,T_TTAFStock[WeekIndex],30)&gt;0)&gt;0,SUMIFS(T_SelfStock[Self_Qty],T_SelfStock[RM_Code],$A81,T_SelfStock[WeekIndex],30)+SUMIFS(T_TTAFStock[TTAF_Qty],T_TTAFStock[RM_Code],$A81,T_TTAFStock[WeekIndex],30),AD81+'Grid_Incoming'!AE81-'Grid_Requirement'!AE81))</f>
        <v/>
      </c>
      <c r="AF81">
        <f>IF(COUNTIFS(T_StockCount[RM_Code],$A81,T_StockCount[WeekIndex],31)&gt;0,SUMIFS(T_StockCount[CountedQty],T_StockCount[RM_Code],$A81,T_StockCount[WeekIndex],31),IF((COUNTIFS(T_SelfStock[RM_Code],$A81,T_SelfStock[WeekIndex],31)&gt;0)*(COUNTIFS(T_TTAFStock[RM_Code],$A81,T_TTAFStock[WeekIndex],31)&gt;0)&gt;0,SUMIFS(T_SelfStock[Self_Qty],T_SelfStock[RM_Code],$A81,T_SelfStock[WeekIndex],31)+SUMIFS(T_TTAFStock[TTAF_Qty],T_TTAFStock[RM_Code],$A81,T_TTAFStock[WeekIndex],31),AE81+'Grid_Incoming'!AF81-'Grid_Requirement'!AF81))</f>
        <v/>
      </c>
      <c r="AG81">
        <f>IF(COUNTIFS(T_StockCount[RM_Code],$A81,T_StockCount[WeekIndex],32)&gt;0,SUMIFS(T_StockCount[CountedQty],T_StockCount[RM_Code],$A81,T_StockCount[WeekIndex],32),IF((COUNTIFS(T_SelfStock[RM_Code],$A81,T_SelfStock[WeekIndex],32)&gt;0)*(COUNTIFS(T_TTAFStock[RM_Code],$A81,T_TTAFStock[WeekIndex],32)&gt;0)&gt;0,SUMIFS(T_SelfStock[Self_Qty],T_SelfStock[RM_Code],$A81,T_SelfStock[WeekIndex],32)+SUMIFS(T_TTAFStock[TTAF_Qty],T_TTAFStock[RM_Code],$A81,T_TTAFStock[WeekIndex],32),AF81+'Grid_Incoming'!AG81-'Grid_Requirement'!AG81))</f>
        <v/>
      </c>
      <c r="AH81">
        <f>IF(COUNTIFS(T_StockCount[RM_Code],$A81,T_StockCount[WeekIndex],33)&gt;0,SUMIFS(T_StockCount[CountedQty],T_StockCount[RM_Code],$A81,T_StockCount[WeekIndex],33),IF((COUNTIFS(T_SelfStock[RM_Code],$A81,T_SelfStock[WeekIndex],33)&gt;0)*(COUNTIFS(T_TTAFStock[RM_Code],$A81,T_TTAFStock[WeekIndex],33)&gt;0)&gt;0,SUMIFS(T_SelfStock[Self_Qty],T_SelfStock[RM_Code],$A81,T_SelfStock[WeekIndex],33)+SUMIFS(T_TTAFStock[TTAF_Qty],T_TTAFStock[RM_Code],$A81,T_TTAFStock[WeekIndex],33),AG81+'Grid_Incoming'!AH81-'Grid_Requirement'!AH81))</f>
        <v/>
      </c>
      <c r="AI81">
        <f>IF(COUNTIFS(T_StockCount[RM_Code],$A81,T_StockCount[WeekIndex],34)&gt;0,SUMIFS(T_StockCount[CountedQty],T_StockCount[RM_Code],$A81,T_StockCount[WeekIndex],34),IF((COUNTIFS(T_SelfStock[RM_Code],$A81,T_SelfStock[WeekIndex],34)&gt;0)*(COUNTIFS(T_TTAFStock[RM_Code],$A81,T_TTAFStock[WeekIndex],34)&gt;0)&gt;0,SUMIFS(T_SelfStock[Self_Qty],T_SelfStock[RM_Code],$A81,T_SelfStock[WeekIndex],34)+SUMIFS(T_TTAFStock[TTAF_Qty],T_TTAFStock[RM_Code],$A81,T_TTAFStock[WeekIndex],34),AH81+'Grid_Incoming'!AI81-'Grid_Requirement'!AI81))</f>
        <v/>
      </c>
      <c r="AJ81">
        <f>IF(COUNTIFS(T_StockCount[RM_Code],$A81,T_StockCount[WeekIndex],35)&gt;0,SUMIFS(T_StockCount[CountedQty],T_StockCount[RM_Code],$A81,T_StockCount[WeekIndex],35),IF((COUNTIFS(T_SelfStock[RM_Code],$A81,T_SelfStock[WeekIndex],35)&gt;0)*(COUNTIFS(T_TTAFStock[RM_Code],$A81,T_TTAFStock[WeekIndex],35)&gt;0)&gt;0,SUMIFS(T_SelfStock[Self_Qty],T_SelfStock[RM_Code],$A81,T_SelfStock[WeekIndex],35)+SUMIFS(T_TTAFStock[TTAF_Qty],T_TTAFStock[RM_Code],$A81,T_TTAFStock[WeekIndex],35),AI81+'Grid_Incoming'!AJ81-'Grid_Requirement'!AJ81))</f>
        <v/>
      </c>
      <c r="AK81">
        <f>IF(COUNTIFS(T_StockCount[RM_Code],$A81,T_StockCount[WeekIndex],36)&gt;0,SUMIFS(T_StockCount[CountedQty],T_StockCount[RM_Code],$A81,T_StockCount[WeekIndex],36),IF((COUNTIFS(T_SelfStock[RM_Code],$A81,T_SelfStock[WeekIndex],36)&gt;0)*(COUNTIFS(T_TTAFStock[RM_Code],$A81,T_TTAFStock[WeekIndex],36)&gt;0)&gt;0,SUMIFS(T_SelfStock[Self_Qty],T_SelfStock[RM_Code],$A81,T_SelfStock[WeekIndex],36)+SUMIFS(T_TTAFStock[TTAF_Qty],T_TTAFStock[RM_Code],$A81,T_TTAFStock[WeekIndex],36),AJ81+'Grid_Incoming'!AK81-'Grid_Requirement'!AK81))</f>
        <v/>
      </c>
      <c r="AL81">
        <f>IF(COUNTIFS(T_StockCount[RM_Code],$A81,T_StockCount[WeekIndex],37)&gt;0,SUMIFS(T_StockCount[CountedQty],T_StockCount[RM_Code],$A81,T_StockCount[WeekIndex],37),IF((COUNTIFS(T_SelfStock[RM_Code],$A81,T_SelfStock[WeekIndex],37)&gt;0)*(COUNTIFS(T_TTAFStock[RM_Code],$A81,T_TTAFStock[WeekIndex],37)&gt;0)&gt;0,SUMIFS(T_SelfStock[Self_Qty],T_SelfStock[RM_Code],$A81,T_SelfStock[WeekIndex],37)+SUMIFS(T_TTAFStock[TTAF_Qty],T_TTAFStock[RM_Code],$A81,T_TTAFStock[WeekIndex],37),AK81+'Grid_Incoming'!AL81-'Grid_Requirement'!AL81))</f>
        <v/>
      </c>
      <c r="AM81">
        <f>IF(COUNTIFS(T_StockCount[RM_Code],$A81,T_StockCount[WeekIndex],38)&gt;0,SUMIFS(T_StockCount[CountedQty],T_StockCount[RM_Code],$A81,T_StockCount[WeekIndex],38),IF((COUNTIFS(T_SelfStock[RM_Code],$A81,T_SelfStock[WeekIndex],38)&gt;0)*(COUNTIFS(T_TTAFStock[RM_Code],$A81,T_TTAFStock[WeekIndex],38)&gt;0)&gt;0,SUMIFS(T_SelfStock[Self_Qty],T_SelfStock[RM_Code],$A81,T_SelfStock[WeekIndex],38)+SUMIFS(T_TTAFStock[TTAF_Qty],T_TTAFStock[RM_Code],$A81,T_TTAFStock[WeekIndex],38),AL81+'Grid_Incoming'!AM81-'Grid_Requirement'!AM81))</f>
        <v/>
      </c>
      <c r="AN81">
        <f>IF(COUNTIFS(T_StockCount[RM_Code],$A81,T_StockCount[WeekIndex],39)&gt;0,SUMIFS(T_StockCount[CountedQty],T_StockCount[RM_Code],$A81,T_StockCount[WeekIndex],39),IF((COUNTIFS(T_SelfStock[RM_Code],$A81,T_SelfStock[WeekIndex],39)&gt;0)*(COUNTIFS(T_TTAFStock[RM_Code],$A81,T_TTAFStock[WeekIndex],39)&gt;0)&gt;0,SUMIFS(T_SelfStock[Self_Qty],T_SelfStock[RM_Code],$A81,T_SelfStock[WeekIndex],39)+SUMIFS(T_TTAFStock[TTAF_Qty],T_TTAFStock[RM_Code],$A81,T_TTAFStock[WeekIndex],39),AM81+'Grid_Incoming'!AN81-'Grid_Requirement'!AN81))</f>
        <v/>
      </c>
      <c r="AO81">
        <f>IF(COUNTIFS(T_StockCount[RM_Code],$A81,T_StockCount[WeekIndex],40)&gt;0,SUMIFS(T_StockCount[CountedQty],T_StockCount[RM_Code],$A81,T_StockCount[WeekIndex],40),IF((COUNTIFS(T_SelfStock[RM_Code],$A81,T_SelfStock[WeekIndex],40)&gt;0)*(COUNTIFS(T_TTAFStock[RM_Code],$A81,T_TTAFStock[WeekIndex],40)&gt;0)&gt;0,SUMIFS(T_SelfStock[Self_Qty],T_SelfStock[RM_Code],$A81,T_SelfStock[WeekIndex],40)+SUMIFS(T_TTAFStock[TTAF_Qty],T_TTAFStock[RM_Code],$A81,T_TTAFStock[WeekIndex],40),AN81+'Grid_Incoming'!AO81-'Grid_Requirement'!AO81))</f>
        <v/>
      </c>
      <c r="AP81">
        <f>IF(COUNTIFS(T_StockCount[RM_Code],$A81,T_StockCount[WeekIndex],41)&gt;0,SUMIFS(T_StockCount[CountedQty],T_StockCount[RM_Code],$A81,T_StockCount[WeekIndex],41),IF((COUNTIFS(T_SelfStock[RM_Code],$A81,T_SelfStock[WeekIndex],41)&gt;0)*(COUNTIFS(T_TTAFStock[RM_Code],$A81,T_TTAFStock[WeekIndex],41)&gt;0)&gt;0,SUMIFS(T_SelfStock[Self_Qty],T_SelfStock[RM_Code],$A81,T_SelfStock[WeekIndex],41)+SUMIFS(T_TTAFStock[TTAF_Qty],T_TTAFStock[RM_Code],$A81,T_TTAFStock[WeekIndex],41),AO81+'Grid_Incoming'!AP81-'Grid_Requirement'!AP81))</f>
        <v/>
      </c>
      <c r="AQ81">
        <f>IF(COUNTIFS(T_StockCount[RM_Code],$A81,T_StockCount[WeekIndex],42)&gt;0,SUMIFS(T_StockCount[CountedQty],T_StockCount[RM_Code],$A81,T_StockCount[WeekIndex],42),IF((COUNTIFS(T_SelfStock[RM_Code],$A81,T_SelfStock[WeekIndex],42)&gt;0)*(COUNTIFS(T_TTAFStock[RM_Code],$A81,T_TTAFStock[WeekIndex],42)&gt;0)&gt;0,SUMIFS(T_SelfStock[Self_Qty],T_SelfStock[RM_Code],$A81,T_SelfStock[WeekIndex],42)+SUMIFS(T_TTAFStock[TTAF_Qty],T_TTAFStock[RM_Code],$A81,T_TTAFStock[WeekIndex],42),AP81+'Grid_Incoming'!AQ81-'Grid_Requirement'!AQ81))</f>
        <v/>
      </c>
      <c r="AR81">
        <f>IF(COUNTIFS(T_StockCount[RM_Code],$A81,T_StockCount[WeekIndex],43)&gt;0,SUMIFS(T_StockCount[CountedQty],T_StockCount[RM_Code],$A81,T_StockCount[WeekIndex],43),IF((COUNTIFS(T_SelfStock[RM_Code],$A81,T_SelfStock[WeekIndex],43)&gt;0)*(COUNTIFS(T_TTAFStock[RM_Code],$A81,T_TTAFStock[WeekIndex],43)&gt;0)&gt;0,SUMIFS(T_SelfStock[Self_Qty],T_SelfStock[RM_Code],$A81,T_SelfStock[WeekIndex],43)+SUMIFS(T_TTAFStock[TTAF_Qty],T_TTAFStock[RM_Code],$A81,T_TTAFStock[WeekIndex],43),AQ81+'Grid_Incoming'!AR81-'Grid_Requirement'!AR81))</f>
        <v/>
      </c>
      <c r="AS81">
        <f>IF(COUNTIFS(T_StockCount[RM_Code],$A81,T_StockCount[WeekIndex],44)&gt;0,SUMIFS(T_StockCount[CountedQty],T_StockCount[RM_Code],$A81,T_StockCount[WeekIndex],44),IF((COUNTIFS(T_SelfStock[RM_Code],$A81,T_SelfStock[WeekIndex],44)&gt;0)*(COUNTIFS(T_TTAFStock[RM_Code],$A81,T_TTAFStock[WeekIndex],44)&gt;0)&gt;0,SUMIFS(T_SelfStock[Self_Qty],T_SelfStock[RM_Code],$A81,T_SelfStock[WeekIndex],44)+SUMIFS(T_TTAFStock[TTAF_Qty],T_TTAFStock[RM_Code],$A81,T_TTAFStock[WeekIndex],44),AR81+'Grid_Incoming'!AS81-'Grid_Requirement'!AS81))</f>
        <v/>
      </c>
      <c r="AT81">
        <f>IF(COUNTIFS(T_StockCount[RM_Code],$A81,T_StockCount[WeekIndex],45)&gt;0,SUMIFS(T_StockCount[CountedQty],T_StockCount[RM_Code],$A81,T_StockCount[WeekIndex],45),IF((COUNTIFS(T_SelfStock[RM_Code],$A81,T_SelfStock[WeekIndex],45)&gt;0)*(COUNTIFS(T_TTAFStock[RM_Code],$A81,T_TTAFStock[WeekIndex],45)&gt;0)&gt;0,SUMIFS(T_SelfStock[Self_Qty],T_SelfStock[RM_Code],$A81,T_SelfStock[WeekIndex],45)+SUMIFS(T_TTAFStock[TTAF_Qty],T_TTAFStock[RM_Code],$A81,T_TTAFStock[WeekIndex],45),AS81+'Grid_Incoming'!AT81-'Grid_Requirement'!AT81))</f>
        <v/>
      </c>
      <c r="AU81">
        <f>IF(COUNTIFS(T_StockCount[RM_Code],$A81,T_StockCount[WeekIndex],46)&gt;0,SUMIFS(T_StockCount[CountedQty],T_StockCount[RM_Code],$A81,T_StockCount[WeekIndex],46),IF((COUNTIFS(T_SelfStock[RM_Code],$A81,T_SelfStock[WeekIndex],46)&gt;0)*(COUNTIFS(T_TTAFStock[RM_Code],$A81,T_TTAFStock[WeekIndex],46)&gt;0)&gt;0,SUMIFS(T_SelfStock[Self_Qty],T_SelfStock[RM_Code],$A81,T_SelfStock[WeekIndex],46)+SUMIFS(T_TTAFStock[TTAF_Qty],T_TTAFStock[RM_Code],$A81,T_TTAFStock[WeekIndex],46),AT81+'Grid_Incoming'!AU81-'Grid_Requirement'!AU81))</f>
        <v/>
      </c>
      <c r="AV81">
        <f>IF(COUNTIFS(T_StockCount[RM_Code],$A81,T_StockCount[WeekIndex],47)&gt;0,SUMIFS(T_StockCount[CountedQty],T_StockCount[RM_Code],$A81,T_StockCount[WeekIndex],47),IF((COUNTIFS(T_SelfStock[RM_Code],$A81,T_SelfStock[WeekIndex],47)&gt;0)*(COUNTIFS(T_TTAFStock[RM_Code],$A81,T_TTAFStock[WeekIndex],47)&gt;0)&gt;0,SUMIFS(T_SelfStock[Self_Qty],T_SelfStock[RM_Code],$A81,T_SelfStock[WeekIndex],47)+SUMIFS(T_TTAFStock[TTAF_Qty],T_TTAFStock[RM_Code],$A81,T_TTAFStock[WeekIndex],47),AU81+'Grid_Incoming'!AV81-'Grid_Requirement'!AV81))</f>
        <v/>
      </c>
      <c r="AW81">
        <f>IF(COUNTIFS(T_StockCount[RM_Code],$A81,T_StockCount[WeekIndex],48)&gt;0,SUMIFS(T_StockCount[CountedQty],T_StockCount[RM_Code],$A81,T_StockCount[WeekIndex],48),IF((COUNTIFS(T_SelfStock[RM_Code],$A81,T_SelfStock[WeekIndex],48)&gt;0)*(COUNTIFS(T_TTAFStock[RM_Code],$A81,T_TTAFStock[WeekIndex],48)&gt;0)&gt;0,SUMIFS(T_SelfStock[Self_Qty],T_SelfStock[RM_Code],$A81,T_SelfStock[WeekIndex],48)+SUMIFS(T_TTAFStock[TTAF_Qty],T_TTAFStock[RM_Code],$A81,T_TTAFStock[WeekIndex],48),AV81+'Grid_Incoming'!AW81-'Grid_Requirement'!AW81))</f>
        <v/>
      </c>
      <c r="AX81">
        <f>IF(COUNTIFS(T_StockCount[RM_Code],$A81,T_StockCount[WeekIndex],49)&gt;0,SUMIFS(T_StockCount[CountedQty],T_StockCount[RM_Code],$A81,T_StockCount[WeekIndex],49),IF((COUNTIFS(T_SelfStock[RM_Code],$A81,T_SelfStock[WeekIndex],49)&gt;0)*(COUNTIFS(T_TTAFStock[RM_Code],$A81,T_TTAFStock[WeekIndex],49)&gt;0)&gt;0,SUMIFS(T_SelfStock[Self_Qty],T_SelfStock[RM_Code],$A81,T_SelfStock[WeekIndex],49)+SUMIFS(T_TTAFStock[TTAF_Qty],T_TTAFStock[RM_Code],$A81,T_TTAFStock[WeekIndex],49),AW81+'Grid_Incoming'!AX81-'Grid_Requirement'!AX81))</f>
        <v/>
      </c>
      <c r="AY81">
        <f>IF(COUNTIFS(T_StockCount[RM_Code],$A81,T_StockCount[WeekIndex],50)&gt;0,SUMIFS(T_StockCount[CountedQty],T_StockCount[RM_Code],$A81,T_StockCount[WeekIndex],50),IF((COUNTIFS(T_SelfStock[RM_Code],$A81,T_SelfStock[WeekIndex],50)&gt;0)*(COUNTIFS(T_TTAFStock[RM_Code],$A81,T_TTAFStock[WeekIndex],50)&gt;0)&gt;0,SUMIFS(T_SelfStock[Self_Qty],T_SelfStock[RM_Code],$A81,T_SelfStock[WeekIndex],50)+SUMIFS(T_TTAFStock[TTAF_Qty],T_TTAFStock[RM_Code],$A81,T_TTAFStock[WeekIndex],50),AX81+'Grid_Incoming'!AY81-'Grid_Requirement'!AY81))</f>
        <v/>
      </c>
      <c r="AZ81">
        <f>IF(COUNTIFS(T_StockCount[RM_Code],$A81,T_StockCount[WeekIndex],51)&gt;0,SUMIFS(T_StockCount[CountedQty],T_StockCount[RM_Code],$A81,T_StockCount[WeekIndex],51),IF((COUNTIFS(T_SelfStock[RM_Code],$A81,T_SelfStock[WeekIndex],51)&gt;0)*(COUNTIFS(T_TTAFStock[RM_Code],$A81,T_TTAFStock[WeekIndex],51)&gt;0)&gt;0,SUMIFS(T_SelfStock[Self_Qty],T_SelfStock[RM_Code],$A81,T_SelfStock[WeekIndex],51)+SUMIFS(T_TTAFStock[TTAF_Qty],T_TTAFStock[RM_Code],$A81,T_TTAFStock[WeekIndex],51),AY81+'Grid_Incoming'!AZ81-'Grid_Requirement'!AZ81))</f>
        <v/>
      </c>
      <c r="BA81">
        <f>IF(COUNTIFS(T_StockCount[RM_Code],$A81,T_StockCount[WeekIndex],52)&gt;0,SUMIFS(T_StockCount[CountedQty],T_StockCount[RM_Code],$A81,T_StockCount[WeekIndex],52),IF((COUNTIFS(T_SelfStock[RM_Code],$A81,T_SelfStock[WeekIndex],52)&gt;0)*(COUNTIFS(T_TTAFStock[RM_Code],$A81,T_TTAFStock[WeekIndex],52)&gt;0)&gt;0,SUMIFS(T_SelfStock[Self_Qty],T_SelfStock[RM_Code],$A81,T_SelfStock[WeekIndex],52)+SUMIFS(T_TTAFStock[TTAF_Qty],T_TTAFStock[RM_Code],$A81,T_TTAFStock[WeekIndex],52),AZ81+'Grid_Incoming'!BA81-'Grid_Requirement'!BA81))</f>
        <v/>
      </c>
      <c r="BB81">
        <f>IF(COUNTIFS(T_StockCount[RM_Code],$A81,T_StockCount[WeekIndex],53)&gt;0,SUMIFS(T_StockCount[CountedQty],T_StockCount[RM_Code],$A81,T_StockCount[WeekIndex],53),IF((COUNTIFS(T_SelfStock[RM_Code],$A81,T_SelfStock[WeekIndex],53)&gt;0)*(COUNTIFS(T_TTAFStock[RM_Code],$A81,T_TTAFStock[WeekIndex],53)&gt;0)&gt;0,SUMIFS(T_SelfStock[Self_Qty],T_SelfStock[RM_Code],$A81,T_SelfStock[WeekIndex],53)+SUMIFS(T_TTAFStock[TTAF_Qty],T_TTAFStock[RM_Code],$A81,T_TTAFStock[WeekIndex],53),BA81+'Grid_Incoming'!BB81-'Grid_Requirement'!BB81))</f>
        <v/>
      </c>
      <c r="BC81">
        <f>IF(COUNTIFS(T_StockCount[RM_Code],$A81,T_StockCount[WeekIndex],54)&gt;0,SUMIFS(T_StockCount[CountedQty],T_StockCount[RM_Code],$A81,T_StockCount[WeekIndex],54),IF((COUNTIFS(T_SelfStock[RM_Code],$A81,T_SelfStock[WeekIndex],54)&gt;0)*(COUNTIFS(T_TTAFStock[RM_Code],$A81,T_TTAFStock[WeekIndex],54)&gt;0)&gt;0,SUMIFS(T_SelfStock[Self_Qty],T_SelfStock[RM_Code],$A81,T_SelfStock[WeekIndex],54)+SUMIFS(T_TTAFStock[TTAF_Qty],T_TTAFStock[RM_Code],$A81,T_TTAFStock[WeekIndex],54),BB81+'Grid_Incoming'!BC81-'Grid_Requirement'!BC81))</f>
        <v/>
      </c>
      <c r="BD81">
        <f>IF(COUNTIFS(T_StockCount[RM_Code],$A81,T_StockCount[WeekIndex],55)&gt;0,SUMIFS(T_StockCount[CountedQty],T_StockCount[RM_Code],$A81,T_StockCount[WeekIndex],55),IF((COUNTIFS(T_SelfStock[RM_Code],$A81,T_SelfStock[WeekIndex],55)&gt;0)*(COUNTIFS(T_TTAFStock[RM_Code],$A81,T_TTAFStock[WeekIndex],55)&gt;0)&gt;0,SUMIFS(T_SelfStock[Self_Qty],T_SelfStock[RM_Code],$A81,T_SelfStock[WeekIndex],55)+SUMIFS(T_TTAFStock[TTAF_Qty],T_TTAFStock[RM_Code],$A81,T_TTAFStock[WeekIndex],55),BC81+'Grid_Incoming'!BD81-'Grid_Requirement'!BD81))</f>
        <v/>
      </c>
      <c r="BE81">
        <f>IF(COUNTIFS(T_StockCount[RM_Code],$A81,T_StockCount[WeekIndex],56)&gt;0,SUMIFS(T_StockCount[CountedQty],T_StockCount[RM_Code],$A81,T_StockCount[WeekIndex],56),IF((COUNTIFS(T_SelfStock[RM_Code],$A81,T_SelfStock[WeekIndex],56)&gt;0)*(COUNTIFS(T_TTAFStock[RM_Code],$A81,T_TTAFStock[WeekIndex],56)&gt;0)&gt;0,SUMIFS(T_SelfStock[Self_Qty],T_SelfStock[RM_Code],$A81,T_SelfStock[WeekIndex],56)+SUMIFS(T_TTAFStock[TTAF_Qty],T_TTAFStock[RM_Code],$A81,T_TTAFStock[WeekIndex],56),BD81+'Grid_Incoming'!BE81-'Grid_Requirement'!BE81))</f>
        <v/>
      </c>
      <c r="BF81">
        <f>IF(COUNTIFS(T_StockCount[RM_Code],$A81,T_StockCount[WeekIndex],57)&gt;0,SUMIFS(T_StockCount[CountedQty],T_StockCount[RM_Code],$A81,T_StockCount[WeekIndex],57),IF((COUNTIFS(T_SelfStock[RM_Code],$A81,T_SelfStock[WeekIndex],57)&gt;0)*(COUNTIFS(T_TTAFStock[RM_Code],$A81,T_TTAFStock[WeekIndex],57)&gt;0)&gt;0,SUMIFS(T_SelfStock[Self_Qty],T_SelfStock[RM_Code],$A81,T_SelfStock[WeekIndex],57)+SUMIFS(T_TTAFStock[TTAF_Qty],T_TTAFStock[RM_Code],$A81,T_TTAFStock[WeekIndex],57),BE81+'Grid_Incoming'!BF81-'Grid_Requirement'!BF81))</f>
        <v/>
      </c>
      <c r="BG81">
        <f>IF(COUNTIFS(T_StockCount[RM_Code],$A81,T_StockCount[WeekIndex],58)&gt;0,SUMIFS(T_StockCount[CountedQty],T_StockCount[RM_Code],$A81,T_StockCount[WeekIndex],58),IF((COUNTIFS(T_SelfStock[RM_Code],$A81,T_SelfStock[WeekIndex],58)&gt;0)*(COUNTIFS(T_TTAFStock[RM_Code],$A81,T_TTAFStock[WeekIndex],58)&gt;0)&gt;0,SUMIFS(T_SelfStock[Self_Qty],T_SelfStock[RM_Code],$A81,T_SelfStock[WeekIndex],58)+SUMIFS(T_TTAFStock[TTAF_Qty],T_TTAFStock[RM_Code],$A81,T_TTAFStock[WeekIndex],58),BF81+'Grid_Incoming'!BG81-'Grid_Requirement'!BG81))</f>
        <v/>
      </c>
      <c r="BH81">
        <f>IF(COUNTIFS(T_StockCount[RM_Code],$A81,T_StockCount[WeekIndex],59)&gt;0,SUMIFS(T_StockCount[CountedQty],T_StockCount[RM_Code],$A81,T_StockCount[WeekIndex],59),IF((COUNTIFS(T_SelfStock[RM_Code],$A81,T_SelfStock[WeekIndex],59)&gt;0)*(COUNTIFS(T_TTAFStock[RM_Code],$A81,T_TTAFStock[WeekIndex],59)&gt;0)&gt;0,SUMIFS(T_SelfStock[Self_Qty],T_SelfStock[RM_Code],$A81,T_SelfStock[WeekIndex],59)+SUMIFS(T_TTAFStock[TTAF_Qty],T_TTAFStock[RM_Code],$A81,T_TTAFStock[WeekIndex],59),BG81+'Grid_Incoming'!BH81-'Grid_Requirement'!BH81))</f>
        <v/>
      </c>
      <c r="BI81">
        <f>IF(COUNTIFS(T_StockCount[RM_Code],$A81,T_StockCount[WeekIndex],60)&gt;0,SUMIFS(T_StockCount[CountedQty],T_StockCount[RM_Code],$A81,T_StockCount[WeekIndex],60),IF((COUNTIFS(T_SelfStock[RM_Code],$A81,T_SelfStock[WeekIndex],60)&gt;0)*(COUNTIFS(T_TTAFStock[RM_Code],$A81,T_TTAFStock[WeekIndex],60)&gt;0)&gt;0,SUMIFS(T_SelfStock[Self_Qty],T_SelfStock[RM_Code],$A81,T_SelfStock[WeekIndex],60)+SUMIFS(T_TTAFStock[TTAF_Qty],T_TTAFStock[RM_Code],$A81,T_TTAFStock[WeekIndex],60),BH81+'Grid_Incoming'!BI81-'Grid_Requirement'!BI81))</f>
        <v/>
      </c>
      <c r="BJ81">
        <f>IF(COUNTIFS(T_StockCount[RM_Code],$A81,T_StockCount[WeekIndex],61)&gt;0,SUMIFS(T_StockCount[CountedQty],T_StockCount[RM_Code],$A81,T_StockCount[WeekIndex],61),IF((COUNTIFS(T_SelfStock[RM_Code],$A81,T_SelfStock[WeekIndex],61)&gt;0)*(COUNTIFS(T_TTAFStock[RM_Code],$A81,T_TTAFStock[WeekIndex],61)&gt;0)&gt;0,SUMIFS(T_SelfStock[Self_Qty],T_SelfStock[RM_Code],$A81,T_SelfStock[WeekIndex],61)+SUMIFS(T_TTAFStock[TTAF_Qty],T_TTAFStock[RM_Code],$A81,T_TTAFStock[WeekIndex],61),BI81+'Grid_Incoming'!BJ81-'Grid_Requirement'!BJ81))</f>
        <v/>
      </c>
      <c r="BK81">
        <f>IF(COUNTIFS(T_StockCount[RM_Code],$A81,T_StockCount[WeekIndex],62)&gt;0,SUMIFS(T_StockCount[CountedQty],T_StockCount[RM_Code],$A81,T_StockCount[WeekIndex],62),IF((COUNTIFS(T_SelfStock[RM_Code],$A81,T_SelfStock[WeekIndex],62)&gt;0)*(COUNTIFS(T_TTAFStock[RM_Code],$A81,T_TTAFStock[WeekIndex],62)&gt;0)&gt;0,SUMIFS(T_SelfStock[Self_Qty],T_SelfStock[RM_Code],$A81,T_SelfStock[WeekIndex],62)+SUMIFS(T_TTAFStock[TTAF_Qty],T_TTAFStock[RM_Code],$A81,T_TTAFStock[WeekIndex],62),BJ81+'Grid_Incoming'!BK81-'Grid_Requirement'!BK81))</f>
        <v/>
      </c>
      <c r="BL81">
        <f>IF(COUNTIFS(T_StockCount[RM_Code],$A81,T_StockCount[WeekIndex],63)&gt;0,SUMIFS(T_StockCount[CountedQty],T_StockCount[RM_Code],$A81,T_StockCount[WeekIndex],63),IF((COUNTIFS(T_SelfStock[RM_Code],$A81,T_SelfStock[WeekIndex],63)&gt;0)*(COUNTIFS(T_TTAFStock[RM_Code],$A81,T_TTAFStock[WeekIndex],63)&gt;0)&gt;0,SUMIFS(T_SelfStock[Self_Qty],T_SelfStock[RM_Code],$A81,T_SelfStock[WeekIndex],63)+SUMIFS(T_TTAFStock[TTAF_Qty],T_TTAFStock[RM_Code],$A81,T_TTAFStock[WeekIndex],63),BK81+'Grid_Incoming'!BL81-'Grid_Requirement'!BL81))</f>
        <v/>
      </c>
      <c r="BM81">
        <f>IF(COUNTIFS(T_StockCount[RM_Code],$A81,T_StockCount[WeekIndex],64)&gt;0,SUMIFS(T_StockCount[CountedQty],T_StockCount[RM_Code],$A81,T_StockCount[WeekIndex],64),IF((COUNTIFS(T_SelfStock[RM_Code],$A81,T_SelfStock[WeekIndex],64)&gt;0)*(COUNTIFS(T_TTAFStock[RM_Code],$A81,T_TTAFStock[WeekIndex],64)&gt;0)&gt;0,SUMIFS(T_SelfStock[Self_Qty],T_SelfStock[RM_Code],$A81,T_SelfStock[WeekIndex],64)+SUMIFS(T_TTAFStock[TTAF_Qty],T_TTAFStock[RM_Code],$A81,T_TTAFStock[WeekIndex],64),BL81+'Grid_Incoming'!BM81-'Grid_Requirement'!BM81))</f>
        <v/>
      </c>
      <c r="BN81">
        <f>IF(COUNTIFS(T_StockCount[RM_Code],$A81,T_StockCount[WeekIndex],65)&gt;0,SUMIFS(T_StockCount[CountedQty],T_StockCount[RM_Code],$A81,T_StockCount[WeekIndex],65),IF((COUNTIFS(T_SelfStock[RM_Code],$A81,T_SelfStock[WeekIndex],65)&gt;0)*(COUNTIFS(T_TTAFStock[RM_Code],$A81,T_TTAFStock[WeekIndex],65)&gt;0)&gt;0,SUMIFS(T_SelfStock[Self_Qty],T_SelfStock[RM_Code],$A81,T_SelfStock[WeekIndex],65)+SUMIFS(T_TTAFStock[TTAF_Qty],T_TTAFStock[RM_Code],$A81,T_TTAFStock[WeekIndex],65),BM81+'Grid_Incoming'!BN81-'Grid_Requirement'!BN81))</f>
        <v/>
      </c>
      <c r="BO81">
        <f>IF(COUNTIFS(T_StockCount[RM_Code],$A81,T_StockCount[WeekIndex],66)&gt;0,SUMIFS(T_StockCount[CountedQty],T_StockCount[RM_Code],$A81,T_StockCount[WeekIndex],66),IF((COUNTIFS(T_SelfStock[RM_Code],$A81,T_SelfStock[WeekIndex],66)&gt;0)*(COUNTIFS(T_TTAFStock[RM_Code],$A81,T_TTAFStock[WeekIndex],66)&gt;0)&gt;0,SUMIFS(T_SelfStock[Self_Qty],T_SelfStock[RM_Code],$A81,T_SelfStock[WeekIndex],66)+SUMIFS(T_TTAFStock[TTAF_Qty],T_TTAFStock[RM_Code],$A81,T_TTAFStock[WeekIndex],66),BN81+'Grid_Incoming'!BO81-'Grid_Requirement'!BO81))</f>
        <v/>
      </c>
      <c r="BP81">
        <f>IF(COUNTIFS(T_StockCount[RM_Code],$A81,T_StockCount[WeekIndex],67)&gt;0,SUMIFS(T_StockCount[CountedQty],T_StockCount[RM_Code],$A81,T_StockCount[WeekIndex],67),IF((COUNTIFS(T_SelfStock[RM_Code],$A81,T_SelfStock[WeekIndex],67)&gt;0)*(COUNTIFS(T_TTAFStock[RM_Code],$A81,T_TTAFStock[WeekIndex],67)&gt;0)&gt;0,SUMIFS(T_SelfStock[Self_Qty],T_SelfStock[RM_Code],$A81,T_SelfStock[WeekIndex],67)+SUMIFS(T_TTAFStock[TTAF_Qty],T_TTAFStock[RM_Code],$A81,T_TTAFStock[WeekIndex],67),BO81+'Grid_Incoming'!BP81-'Grid_Requirement'!BP81))</f>
        <v/>
      </c>
      <c r="BQ81">
        <f>IF(COUNTIFS(T_StockCount[RM_Code],$A81,T_StockCount[WeekIndex],68)&gt;0,SUMIFS(T_StockCount[CountedQty],T_StockCount[RM_Code],$A81,T_StockCount[WeekIndex],68),IF((COUNTIFS(T_SelfStock[RM_Code],$A81,T_SelfStock[WeekIndex],68)&gt;0)*(COUNTIFS(T_TTAFStock[RM_Code],$A81,T_TTAFStock[WeekIndex],68)&gt;0)&gt;0,SUMIFS(T_SelfStock[Self_Qty],T_SelfStock[RM_Code],$A81,T_SelfStock[WeekIndex],68)+SUMIFS(T_TTAFStock[TTAF_Qty],T_TTAFStock[RM_Code],$A81,T_TTAFStock[WeekIndex],68),BP81+'Grid_Incoming'!BQ81-'Grid_Requirement'!BQ81))</f>
        <v/>
      </c>
      <c r="BR81">
        <f>IF(COUNTIFS(T_StockCount[RM_Code],$A81,T_StockCount[WeekIndex],69)&gt;0,SUMIFS(T_StockCount[CountedQty],T_StockCount[RM_Code],$A81,T_StockCount[WeekIndex],69),IF((COUNTIFS(T_SelfStock[RM_Code],$A81,T_SelfStock[WeekIndex],69)&gt;0)*(COUNTIFS(T_TTAFStock[RM_Code],$A81,T_TTAFStock[WeekIndex],69)&gt;0)&gt;0,SUMIFS(T_SelfStock[Self_Qty],T_SelfStock[RM_Code],$A81,T_SelfStock[WeekIndex],69)+SUMIFS(T_TTAFStock[TTAF_Qty],T_TTAFStock[RM_Code],$A81,T_TTAFStock[WeekIndex],69),BQ81+'Grid_Incoming'!BR81-'Grid_Requirement'!BR81))</f>
        <v/>
      </c>
      <c r="BS81">
        <f>IF(COUNTIFS(T_StockCount[RM_Code],$A81,T_StockCount[WeekIndex],70)&gt;0,SUMIFS(T_StockCount[CountedQty],T_StockCount[RM_Code],$A81,T_StockCount[WeekIndex],70),IF((COUNTIFS(T_SelfStock[RM_Code],$A81,T_SelfStock[WeekIndex],70)&gt;0)*(COUNTIFS(T_TTAFStock[RM_Code],$A81,T_TTAFStock[WeekIndex],70)&gt;0)&gt;0,SUMIFS(T_SelfStock[Self_Qty],T_SelfStock[RM_Code],$A81,T_SelfStock[WeekIndex],70)+SUMIFS(T_TTAFStock[TTAF_Qty],T_TTAFStock[RM_Code],$A81,T_TTAFStock[WeekIndex],70),BR81+'Grid_Incoming'!BS81-'Grid_Requirement'!BS81))</f>
        <v/>
      </c>
      <c r="BT81">
        <f>IF(COUNTIFS(T_StockCount[RM_Code],$A81,T_StockCount[WeekIndex],71)&gt;0,SUMIFS(T_StockCount[CountedQty],T_StockCount[RM_Code],$A81,T_StockCount[WeekIndex],71),IF((COUNTIFS(T_SelfStock[RM_Code],$A81,T_SelfStock[WeekIndex],71)&gt;0)*(COUNTIFS(T_TTAFStock[RM_Code],$A81,T_TTAFStock[WeekIndex],71)&gt;0)&gt;0,SUMIFS(T_SelfStock[Self_Qty],T_SelfStock[RM_Code],$A81,T_SelfStock[WeekIndex],71)+SUMIFS(T_TTAFStock[TTAF_Qty],T_TTAFStock[RM_Code],$A81,T_TTAFStock[WeekIndex],71),BS81+'Grid_Incoming'!BT81-'Grid_Requirement'!BT81))</f>
        <v/>
      </c>
      <c r="BU81">
        <f>IF(COUNTIFS(T_StockCount[RM_Code],$A81,T_StockCount[WeekIndex],72)&gt;0,SUMIFS(T_StockCount[CountedQty],T_StockCount[RM_Code],$A81,T_StockCount[WeekIndex],72),IF((COUNTIFS(T_SelfStock[RM_Code],$A81,T_SelfStock[WeekIndex],72)&gt;0)*(COUNTIFS(T_TTAFStock[RM_Code],$A81,T_TTAFStock[WeekIndex],72)&gt;0)&gt;0,SUMIFS(T_SelfStock[Self_Qty],T_SelfStock[RM_Code],$A81,T_SelfStock[WeekIndex],72)+SUMIFS(T_TTAFStock[TTAF_Qty],T_TTAFStock[RM_Code],$A81,T_TTAFStock[WeekIndex],72),BT81+'Grid_Incoming'!BU81-'Grid_Requirement'!BU81))</f>
        <v/>
      </c>
      <c r="BV81">
        <f>IF(COUNTIFS(T_StockCount[RM_Code],$A81,T_StockCount[WeekIndex],73)&gt;0,SUMIFS(T_StockCount[CountedQty],T_StockCount[RM_Code],$A81,T_StockCount[WeekIndex],73),IF((COUNTIFS(T_SelfStock[RM_Code],$A81,T_SelfStock[WeekIndex],73)&gt;0)*(COUNTIFS(T_TTAFStock[RM_Code],$A81,T_TTAFStock[WeekIndex],73)&gt;0)&gt;0,SUMIFS(T_SelfStock[Self_Qty],T_SelfStock[RM_Code],$A81,T_SelfStock[WeekIndex],73)+SUMIFS(T_TTAFStock[TTAF_Qty],T_TTAFStock[RM_Code],$A81,T_TTAFStock[WeekIndex],73),BU81+'Grid_Incoming'!BV81-'Grid_Requirement'!BV81))</f>
        <v/>
      </c>
      <c r="BW81">
        <f>IF(COUNTIFS(T_StockCount[RM_Code],$A81,T_StockCount[WeekIndex],74)&gt;0,SUMIFS(T_StockCount[CountedQty],T_StockCount[RM_Code],$A81,T_StockCount[WeekIndex],74),IF((COUNTIFS(T_SelfStock[RM_Code],$A81,T_SelfStock[WeekIndex],74)&gt;0)*(COUNTIFS(T_TTAFStock[RM_Code],$A81,T_TTAFStock[WeekIndex],74)&gt;0)&gt;0,SUMIFS(T_SelfStock[Self_Qty],T_SelfStock[RM_Code],$A81,T_SelfStock[WeekIndex],74)+SUMIFS(T_TTAFStock[TTAF_Qty],T_TTAFStock[RM_Code],$A81,T_TTAFStock[WeekIndex],74),BV81+'Grid_Incoming'!BW81-'Grid_Requirement'!BW81))</f>
        <v/>
      </c>
      <c r="BX81">
        <f>IF(COUNTIFS(T_StockCount[RM_Code],$A81,T_StockCount[WeekIndex],75)&gt;0,SUMIFS(T_StockCount[CountedQty],T_StockCount[RM_Code],$A81,T_StockCount[WeekIndex],75),IF((COUNTIFS(T_SelfStock[RM_Code],$A81,T_SelfStock[WeekIndex],75)&gt;0)*(COUNTIFS(T_TTAFStock[RM_Code],$A81,T_TTAFStock[WeekIndex],75)&gt;0)&gt;0,SUMIFS(T_SelfStock[Self_Qty],T_SelfStock[RM_Code],$A81,T_SelfStock[WeekIndex],75)+SUMIFS(T_TTAFStock[TTAF_Qty],T_TTAFStock[RM_Code],$A81,T_TTAFStock[WeekIndex],75),BW81+'Grid_Incoming'!BX81-'Grid_Requirement'!BX81))</f>
        <v/>
      </c>
      <c r="BY81">
        <f>IF(COUNTIFS(T_StockCount[RM_Code],$A81,T_StockCount[WeekIndex],76)&gt;0,SUMIFS(T_StockCount[CountedQty],T_StockCount[RM_Code],$A81,T_StockCount[WeekIndex],76),IF((COUNTIFS(T_SelfStock[RM_Code],$A81,T_SelfStock[WeekIndex],76)&gt;0)*(COUNTIFS(T_TTAFStock[RM_Code],$A81,T_TTAFStock[WeekIndex],76)&gt;0)&gt;0,SUMIFS(T_SelfStock[Self_Qty],T_SelfStock[RM_Code],$A81,T_SelfStock[WeekIndex],76)+SUMIFS(T_TTAFStock[TTAF_Qty],T_TTAFStock[RM_Code],$A81,T_TTAFStock[WeekIndex],76),BX81+'Grid_Incoming'!BY81-'Grid_Requirement'!BY81))</f>
        <v/>
      </c>
      <c r="BZ81">
        <f>IF(COUNTIFS(T_StockCount[RM_Code],$A81,T_StockCount[WeekIndex],77)&gt;0,SUMIFS(T_StockCount[CountedQty],T_StockCount[RM_Code],$A81,T_StockCount[WeekIndex],77),IF((COUNTIFS(T_SelfStock[RM_Code],$A81,T_SelfStock[WeekIndex],77)&gt;0)*(COUNTIFS(T_TTAFStock[RM_Code],$A81,T_TTAFStock[WeekIndex],77)&gt;0)&gt;0,SUMIFS(T_SelfStock[Self_Qty],T_SelfStock[RM_Code],$A81,T_SelfStock[WeekIndex],77)+SUMIFS(T_TTAFStock[TTAF_Qty],T_TTAFStock[RM_Code],$A81,T_TTAFStock[WeekIndex],77),BY81+'Grid_Incoming'!BZ81-'Grid_Requirement'!BZ81))</f>
        <v/>
      </c>
      <c r="CA81">
        <f>IF(COUNTIFS(T_StockCount[RM_Code],$A81,T_StockCount[WeekIndex],78)&gt;0,SUMIFS(T_StockCount[CountedQty],T_StockCount[RM_Code],$A81,T_StockCount[WeekIndex],78),IF((COUNTIFS(T_SelfStock[RM_Code],$A81,T_SelfStock[WeekIndex],78)&gt;0)*(COUNTIFS(T_TTAFStock[RM_Code],$A81,T_TTAFStock[WeekIndex],78)&gt;0)&gt;0,SUMIFS(T_SelfStock[Self_Qty],T_SelfStock[RM_Code],$A81,T_SelfStock[WeekIndex],78)+SUMIFS(T_TTAFStock[TTAF_Qty],T_TTAFStock[RM_Code],$A81,T_TTAFStock[WeekIndex],78),BZ81+'Grid_Incoming'!CA81-'Grid_Requirement'!CA81))</f>
        <v/>
      </c>
      <c r="CB81">
        <f>IF(COUNTIFS(T_StockCount[RM_Code],$A81,T_StockCount[WeekIndex],79)&gt;0,SUMIFS(T_StockCount[CountedQty],T_StockCount[RM_Code],$A81,T_StockCount[WeekIndex],79),IF((COUNTIFS(T_SelfStock[RM_Code],$A81,T_SelfStock[WeekIndex],79)&gt;0)*(COUNTIFS(T_TTAFStock[RM_Code],$A81,T_TTAFStock[WeekIndex],79)&gt;0)&gt;0,SUMIFS(T_SelfStock[Self_Qty],T_SelfStock[RM_Code],$A81,T_SelfStock[WeekIndex],79)+SUMIFS(T_TTAFStock[TTAF_Qty],T_TTAFStock[RM_Code],$A81,T_TTAFStock[WeekIndex],79),CA81+'Grid_Incoming'!CB81-'Grid_Requirement'!CB81))</f>
        <v/>
      </c>
      <c r="CC81">
        <f>IF(COUNTIFS(T_StockCount[RM_Code],$A81,T_StockCount[WeekIndex],80)&gt;0,SUMIFS(T_StockCount[CountedQty],T_StockCount[RM_Code],$A81,T_StockCount[WeekIndex],80),IF((COUNTIFS(T_SelfStock[RM_Code],$A81,T_SelfStock[WeekIndex],80)&gt;0)*(COUNTIFS(T_TTAFStock[RM_Code],$A81,T_TTAFStock[WeekIndex],80)&gt;0)&gt;0,SUMIFS(T_SelfStock[Self_Qty],T_SelfStock[RM_Code],$A81,T_SelfStock[WeekIndex],80)+SUMIFS(T_TTAFStock[TTAF_Qty],T_TTAFStock[RM_Code],$A81,T_TTAFStock[WeekIndex],80),CB81+'Grid_Incoming'!CC81-'Grid_Requirement'!CC81))</f>
        <v/>
      </c>
      <c r="CD81">
        <f>IF(COUNTIFS(T_StockCount[RM_Code],$A81,T_StockCount[WeekIndex],81)&gt;0,SUMIFS(T_StockCount[CountedQty],T_StockCount[RM_Code],$A81,T_StockCount[WeekIndex],81),IF((COUNTIFS(T_SelfStock[RM_Code],$A81,T_SelfStock[WeekIndex],81)&gt;0)*(COUNTIFS(T_TTAFStock[RM_Code],$A81,T_TTAFStock[WeekIndex],81)&gt;0)&gt;0,SUMIFS(T_SelfStock[Self_Qty],T_SelfStock[RM_Code],$A81,T_SelfStock[WeekIndex],81)+SUMIFS(T_TTAFStock[TTAF_Qty],T_TTAFStock[RM_Code],$A81,T_TTAFStock[WeekIndex],81),CC81+'Grid_Incoming'!CD81-'Grid_Requirement'!CD81))</f>
        <v/>
      </c>
      <c r="CE81">
        <f>IF(COUNTIFS(T_StockCount[RM_Code],$A81,T_StockCount[WeekIndex],82)&gt;0,SUMIFS(T_StockCount[CountedQty],T_StockCount[RM_Code],$A81,T_StockCount[WeekIndex],82),IF((COUNTIFS(T_SelfStock[RM_Code],$A81,T_SelfStock[WeekIndex],82)&gt;0)*(COUNTIFS(T_TTAFStock[RM_Code],$A81,T_TTAFStock[WeekIndex],82)&gt;0)&gt;0,SUMIFS(T_SelfStock[Self_Qty],T_SelfStock[RM_Code],$A81,T_SelfStock[WeekIndex],82)+SUMIFS(T_TTAFStock[TTAF_Qty],T_TTAFStock[RM_Code],$A81,T_TTAFStock[WeekIndex],82),CD81+'Grid_Incoming'!CE81-'Grid_Requirement'!CE81))</f>
        <v/>
      </c>
      <c r="CF81">
        <f>IF(COUNTIFS(T_StockCount[RM_Code],$A81,T_StockCount[WeekIndex],83)&gt;0,SUMIFS(T_StockCount[CountedQty],T_StockCount[RM_Code],$A81,T_StockCount[WeekIndex],83),IF((COUNTIFS(T_SelfStock[RM_Code],$A81,T_SelfStock[WeekIndex],83)&gt;0)*(COUNTIFS(T_TTAFStock[RM_Code],$A81,T_TTAFStock[WeekIndex],83)&gt;0)&gt;0,SUMIFS(T_SelfStock[Self_Qty],T_SelfStock[RM_Code],$A81,T_SelfStock[WeekIndex],83)+SUMIFS(T_TTAFStock[TTAF_Qty],T_TTAFStock[RM_Code],$A81,T_TTAFStock[WeekIndex],83),CE81+'Grid_Incoming'!CF81-'Grid_Requirement'!CF81))</f>
        <v/>
      </c>
      <c r="CG81">
        <f>IF(COUNTIFS(T_StockCount[RM_Code],$A81,T_StockCount[WeekIndex],84)&gt;0,SUMIFS(T_StockCount[CountedQty],T_StockCount[RM_Code],$A81,T_StockCount[WeekIndex],84),IF((COUNTIFS(T_SelfStock[RM_Code],$A81,T_SelfStock[WeekIndex],84)&gt;0)*(COUNTIFS(T_TTAFStock[RM_Code],$A81,T_TTAFStock[WeekIndex],84)&gt;0)&gt;0,SUMIFS(T_SelfStock[Self_Qty],T_SelfStock[RM_Code],$A81,T_SelfStock[WeekIndex],84)+SUMIFS(T_TTAFStock[TTAF_Qty],T_TTAFStock[RM_Code],$A81,T_TTAFStock[WeekIndex],84),CF81+'Grid_Incoming'!CG81-'Grid_Requirement'!CG81))</f>
        <v/>
      </c>
      <c r="CH81">
        <f>IF(COUNTIFS(T_StockCount[RM_Code],$A81,T_StockCount[WeekIndex],85)&gt;0,SUMIFS(T_StockCount[CountedQty],T_StockCount[RM_Code],$A81,T_StockCount[WeekIndex],85),IF((COUNTIFS(T_SelfStock[RM_Code],$A81,T_SelfStock[WeekIndex],85)&gt;0)*(COUNTIFS(T_TTAFStock[RM_Code],$A81,T_TTAFStock[WeekIndex],85)&gt;0)&gt;0,SUMIFS(T_SelfStock[Self_Qty],T_SelfStock[RM_Code],$A81,T_SelfStock[WeekIndex],85)+SUMIFS(T_TTAFStock[TTAF_Qty],T_TTAFStock[RM_Code],$A81,T_TTAFStock[WeekIndex],85),CG81+'Grid_Incoming'!CH81-'Grid_Requirement'!CH81))</f>
        <v/>
      </c>
      <c r="CI81">
        <f>IF(COUNTIFS(T_StockCount[RM_Code],$A81,T_StockCount[WeekIndex],86)&gt;0,SUMIFS(T_StockCount[CountedQty],T_StockCount[RM_Code],$A81,T_StockCount[WeekIndex],86),IF((COUNTIFS(T_SelfStock[RM_Code],$A81,T_SelfStock[WeekIndex],86)&gt;0)*(COUNTIFS(T_TTAFStock[RM_Code],$A81,T_TTAFStock[WeekIndex],86)&gt;0)&gt;0,SUMIFS(T_SelfStock[Self_Qty],T_SelfStock[RM_Code],$A81,T_SelfStock[WeekIndex],86)+SUMIFS(T_TTAFStock[TTAF_Qty],T_TTAFStock[RM_Code],$A81,T_TTAFStock[WeekIndex],86),CH81+'Grid_Incoming'!CI81-'Grid_Requirement'!CI81))</f>
        <v/>
      </c>
      <c r="CJ81">
        <f>IF(COUNTIFS(T_StockCount[RM_Code],$A81,T_StockCount[WeekIndex],87)&gt;0,SUMIFS(T_StockCount[CountedQty],T_StockCount[RM_Code],$A81,T_StockCount[WeekIndex],87),IF((COUNTIFS(T_SelfStock[RM_Code],$A81,T_SelfStock[WeekIndex],87)&gt;0)*(COUNTIFS(T_TTAFStock[RM_Code],$A81,T_TTAFStock[WeekIndex],87)&gt;0)&gt;0,SUMIFS(T_SelfStock[Self_Qty],T_SelfStock[RM_Code],$A81,T_SelfStock[WeekIndex],87)+SUMIFS(T_TTAFStock[TTAF_Qty],T_TTAFStock[RM_Code],$A81,T_TTAFStock[WeekIndex],87),CI81+'Grid_Incoming'!CJ81-'Grid_Requirement'!CJ81))</f>
        <v/>
      </c>
      <c r="CK81">
        <f>IF(COUNTIFS(T_StockCount[RM_Code],$A81,T_StockCount[WeekIndex],88)&gt;0,SUMIFS(T_StockCount[CountedQty],T_StockCount[RM_Code],$A81,T_StockCount[WeekIndex],88),IF((COUNTIFS(T_SelfStock[RM_Code],$A81,T_SelfStock[WeekIndex],88)&gt;0)*(COUNTIFS(T_TTAFStock[RM_Code],$A81,T_TTAFStock[WeekIndex],88)&gt;0)&gt;0,SUMIFS(T_SelfStock[Self_Qty],T_SelfStock[RM_Code],$A81,T_SelfStock[WeekIndex],88)+SUMIFS(T_TTAFStock[TTAF_Qty],T_TTAFStock[RM_Code],$A81,T_TTAFStock[WeekIndex],88),CJ81+'Grid_Incoming'!CK81-'Grid_Requirement'!CK81))</f>
        <v/>
      </c>
      <c r="CL81">
        <f>IF(COUNTIFS(T_StockCount[RM_Code],$A81,T_StockCount[WeekIndex],89)&gt;0,SUMIFS(T_StockCount[CountedQty],T_StockCount[RM_Code],$A81,T_StockCount[WeekIndex],89),IF((COUNTIFS(T_SelfStock[RM_Code],$A81,T_SelfStock[WeekIndex],89)&gt;0)*(COUNTIFS(T_TTAFStock[RM_Code],$A81,T_TTAFStock[WeekIndex],89)&gt;0)&gt;0,SUMIFS(T_SelfStock[Self_Qty],T_SelfStock[RM_Code],$A81,T_SelfStock[WeekIndex],89)+SUMIFS(T_TTAFStock[TTAF_Qty],T_TTAFStock[RM_Code],$A81,T_TTAFStock[WeekIndex],89),CK81+'Grid_Incoming'!CL81-'Grid_Requirement'!CL81))</f>
        <v/>
      </c>
      <c r="CM81">
        <f>IF(COUNTIFS(T_StockCount[RM_Code],$A81,T_StockCount[WeekIndex],90)&gt;0,SUMIFS(T_StockCount[CountedQty],T_StockCount[RM_Code],$A81,T_StockCount[WeekIndex],90),IF((COUNTIFS(T_SelfStock[RM_Code],$A81,T_SelfStock[WeekIndex],90)&gt;0)*(COUNTIFS(T_TTAFStock[RM_Code],$A81,T_TTAFStock[WeekIndex],90)&gt;0)&gt;0,SUMIFS(T_SelfStock[Self_Qty],T_SelfStock[RM_Code],$A81,T_SelfStock[WeekIndex],90)+SUMIFS(T_TTAFStock[TTAF_Qty],T_TTAFStock[RM_Code],$A81,T_TTAFStock[WeekIndex],90),CL81+'Grid_Incoming'!CM81-'Grid_Requirement'!CM81))</f>
        <v/>
      </c>
      <c r="CN81">
        <f>IF(COUNTIFS(T_StockCount[RM_Code],$A81,T_StockCount[WeekIndex],91)&gt;0,SUMIFS(T_StockCount[CountedQty],T_StockCount[RM_Code],$A81,T_StockCount[WeekIndex],91),IF((COUNTIFS(T_SelfStock[RM_Code],$A81,T_SelfStock[WeekIndex],91)&gt;0)*(COUNTIFS(T_TTAFStock[RM_Code],$A81,T_TTAFStock[WeekIndex],91)&gt;0)&gt;0,SUMIFS(T_SelfStock[Self_Qty],T_SelfStock[RM_Code],$A81,T_SelfStock[WeekIndex],91)+SUMIFS(T_TTAFStock[TTAF_Qty],T_TTAFStock[RM_Code],$A81,T_TTAFStock[WeekIndex],91),CM81+'Grid_Incoming'!CN81-'Grid_Requirement'!CN81))</f>
        <v/>
      </c>
      <c r="CO81">
        <f>IF(COUNTIFS(T_StockCount[RM_Code],$A81,T_StockCount[WeekIndex],92)&gt;0,SUMIFS(T_StockCount[CountedQty],T_StockCount[RM_Code],$A81,T_StockCount[WeekIndex],92),IF((COUNTIFS(T_SelfStock[RM_Code],$A81,T_SelfStock[WeekIndex],92)&gt;0)*(COUNTIFS(T_TTAFStock[RM_Code],$A81,T_TTAFStock[WeekIndex],92)&gt;0)&gt;0,SUMIFS(T_SelfStock[Self_Qty],T_SelfStock[RM_Code],$A81,T_SelfStock[WeekIndex],92)+SUMIFS(T_TTAFStock[TTAF_Qty],T_TTAFStock[RM_Code],$A81,T_TTAFStock[WeekIndex],92),CN81+'Grid_Incoming'!CO81-'Grid_Requirement'!CO81))</f>
        <v/>
      </c>
      <c r="CP81">
        <f>IF(COUNTIFS(T_StockCount[RM_Code],$A81,T_StockCount[WeekIndex],93)&gt;0,SUMIFS(T_StockCount[CountedQty],T_StockCount[RM_Code],$A81,T_StockCount[WeekIndex],93),IF((COUNTIFS(T_SelfStock[RM_Code],$A81,T_SelfStock[WeekIndex],93)&gt;0)*(COUNTIFS(T_TTAFStock[RM_Code],$A81,T_TTAFStock[WeekIndex],93)&gt;0)&gt;0,SUMIFS(T_SelfStock[Self_Qty],T_SelfStock[RM_Code],$A81,T_SelfStock[WeekIndex],93)+SUMIFS(T_TTAFStock[TTAF_Qty],T_TTAFStock[RM_Code],$A81,T_TTAFStock[WeekIndex],93),CO81+'Grid_Incoming'!CP81-'Grid_Requirement'!CP81))</f>
        <v/>
      </c>
      <c r="CQ81">
        <f>IF(COUNTIFS(T_StockCount[RM_Code],$A81,T_StockCount[WeekIndex],94)&gt;0,SUMIFS(T_StockCount[CountedQty],T_StockCount[RM_Code],$A81,T_StockCount[WeekIndex],94),IF((COUNTIFS(T_SelfStock[RM_Code],$A81,T_SelfStock[WeekIndex],94)&gt;0)*(COUNTIFS(T_TTAFStock[RM_Code],$A81,T_TTAFStock[WeekIndex],94)&gt;0)&gt;0,SUMIFS(T_SelfStock[Self_Qty],T_SelfStock[RM_Code],$A81,T_SelfStock[WeekIndex],94)+SUMIFS(T_TTAFStock[TTAF_Qty],T_TTAFStock[RM_Code],$A81,T_TTAFStock[WeekIndex],94),CP81+'Grid_Incoming'!CQ81-'Grid_Requirement'!CQ81))</f>
        <v/>
      </c>
      <c r="CR81">
        <f>IF(COUNTIFS(T_StockCount[RM_Code],$A81,T_StockCount[WeekIndex],95)&gt;0,SUMIFS(T_StockCount[CountedQty],T_StockCount[RM_Code],$A81,T_StockCount[WeekIndex],95),IF((COUNTIFS(T_SelfStock[RM_Code],$A81,T_SelfStock[WeekIndex],95)&gt;0)*(COUNTIFS(T_TTAFStock[RM_Code],$A81,T_TTAFStock[WeekIndex],95)&gt;0)&gt;0,SUMIFS(T_SelfStock[Self_Qty],T_SelfStock[RM_Code],$A81,T_SelfStock[WeekIndex],95)+SUMIFS(T_TTAFStock[TTAF_Qty],T_TTAFStock[RM_Code],$A81,T_TTAFStock[WeekIndex],95),CQ81+'Grid_Incoming'!CR81-'Grid_Requirement'!CR81))</f>
        <v/>
      </c>
      <c r="CS81">
        <f>IF(COUNTIFS(T_StockCount[RM_Code],$A81,T_StockCount[WeekIndex],96)&gt;0,SUMIFS(T_StockCount[CountedQty],T_StockCount[RM_Code],$A81,T_StockCount[WeekIndex],96),IF((COUNTIFS(T_SelfStock[RM_Code],$A81,T_SelfStock[WeekIndex],96)&gt;0)*(COUNTIFS(T_TTAFStock[RM_Code],$A81,T_TTAFStock[WeekIndex],96)&gt;0)&gt;0,SUMIFS(T_SelfStock[Self_Qty],T_SelfStock[RM_Code],$A81,T_SelfStock[WeekIndex],96)+SUMIFS(T_TTAFStock[TTAF_Qty],T_TTAFStock[RM_Code],$A81,T_TTAFStock[WeekIndex],96),CR81+'Grid_Incoming'!CS81-'Grid_Requirement'!CS81))</f>
        <v/>
      </c>
      <c r="CT81">
        <f>IF(COUNTIFS(T_StockCount[RM_Code],$A81,T_StockCount[WeekIndex],97)&gt;0,SUMIFS(T_StockCount[CountedQty],T_StockCount[RM_Code],$A81,T_StockCount[WeekIndex],97),IF((COUNTIFS(T_SelfStock[RM_Code],$A81,T_SelfStock[WeekIndex],97)&gt;0)*(COUNTIFS(T_TTAFStock[RM_Code],$A81,T_TTAFStock[WeekIndex],97)&gt;0)&gt;0,SUMIFS(T_SelfStock[Self_Qty],T_SelfStock[RM_Code],$A81,T_SelfStock[WeekIndex],97)+SUMIFS(T_TTAFStock[TTAF_Qty],T_TTAFStock[RM_Code],$A81,T_TTAFStock[WeekIndex],97),CS81+'Grid_Incoming'!CT81-'Grid_Requirement'!CT81))</f>
        <v/>
      </c>
      <c r="CU81">
        <f>IF(COUNTIFS(T_StockCount[RM_Code],$A81,T_StockCount[WeekIndex],98)&gt;0,SUMIFS(T_StockCount[CountedQty],T_StockCount[RM_Code],$A81,T_StockCount[WeekIndex],98),IF((COUNTIFS(T_SelfStock[RM_Code],$A81,T_SelfStock[WeekIndex],98)&gt;0)*(COUNTIFS(T_TTAFStock[RM_Code],$A81,T_TTAFStock[WeekIndex],98)&gt;0)&gt;0,SUMIFS(T_SelfStock[Self_Qty],T_SelfStock[RM_Code],$A81,T_SelfStock[WeekIndex],98)+SUMIFS(T_TTAFStock[TTAF_Qty],T_TTAFStock[RM_Code],$A81,T_TTAFStock[WeekIndex],98),CT81+'Grid_Incoming'!CU81-'Grid_Requirement'!CU81))</f>
        <v/>
      </c>
      <c r="CV81">
        <f>IF(COUNTIFS(T_StockCount[RM_Code],$A81,T_StockCount[WeekIndex],99)&gt;0,SUMIFS(T_StockCount[CountedQty],T_StockCount[RM_Code],$A81,T_StockCount[WeekIndex],99),IF((COUNTIFS(T_SelfStock[RM_Code],$A81,T_SelfStock[WeekIndex],99)&gt;0)*(COUNTIFS(T_TTAFStock[RM_Code],$A81,T_TTAFStock[WeekIndex],99)&gt;0)&gt;0,SUMIFS(T_SelfStock[Self_Qty],T_SelfStock[RM_Code],$A81,T_SelfStock[WeekIndex],99)+SUMIFS(T_TTAFStock[TTAF_Qty],T_TTAFStock[RM_Code],$A81,T_TTAFStock[WeekIndex],99),CU81+'Grid_Incoming'!CV81-'Grid_Requirement'!CV81))</f>
        <v/>
      </c>
      <c r="CW81">
        <f>IF(COUNTIFS(T_StockCount[RM_Code],$A81,T_StockCount[WeekIndex],100)&gt;0,SUMIFS(T_StockCount[CountedQty],T_StockCount[RM_Code],$A81,T_StockCount[WeekIndex],100),IF((COUNTIFS(T_SelfStock[RM_Code],$A81,T_SelfStock[WeekIndex],100)&gt;0)*(COUNTIFS(T_TTAFStock[RM_Code],$A81,T_TTAFStock[WeekIndex],100)&gt;0)&gt;0,SUMIFS(T_SelfStock[Self_Qty],T_SelfStock[RM_Code],$A81,T_SelfStock[WeekIndex],100)+SUMIFS(T_TTAFStock[TTAF_Qty],T_TTAFStock[RM_Code],$A81,T_TTAFStock[WeekIndex],100),CV81+'Grid_Incoming'!CW81-'Grid_Requirement'!CW81))</f>
        <v/>
      </c>
      <c r="CX81">
        <f>IF(COUNTIFS(T_StockCount[RM_Code],$A81,T_StockCount[WeekIndex],101)&gt;0,SUMIFS(T_StockCount[CountedQty],T_StockCount[RM_Code],$A81,T_StockCount[WeekIndex],101),IF((COUNTIFS(T_SelfStock[RM_Code],$A81,T_SelfStock[WeekIndex],101)&gt;0)*(COUNTIFS(T_TTAFStock[RM_Code],$A81,T_TTAFStock[WeekIndex],101)&gt;0)&gt;0,SUMIFS(T_SelfStock[Self_Qty],T_SelfStock[RM_Code],$A81,T_SelfStock[WeekIndex],101)+SUMIFS(T_TTAFStock[TTAF_Qty],T_TTAFStock[RM_Code],$A81,T_TTAFStock[WeekIndex],101),CW81+'Grid_Incoming'!CX81-'Grid_Requirement'!CX81))</f>
        <v/>
      </c>
      <c r="CY81">
        <f>IF(COUNTIFS(T_StockCount[RM_Code],$A81,T_StockCount[WeekIndex],102)&gt;0,SUMIFS(T_StockCount[CountedQty],T_StockCount[RM_Code],$A81,T_StockCount[WeekIndex],102),IF((COUNTIFS(T_SelfStock[RM_Code],$A81,T_SelfStock[WeekIndex],102)&gt;0)*(COUNTIFS(T_TTAFStock[RM_Code],$A81,T_TTAFStock[WeekIndex],102)&gt;0)&gt;0,SUMIFS(T_SelfStock[Self_Qty],T_SelfStock[RM_Code],$A81,T_SelfStock[WeekIndex],102)+SUMIFS(T_TTAFStock[TTAF_Qty],T_TTAFStock[RM_Code],$A81,T_TTAFStock[WeekIndex],102),CX81+'Grid_Incoming'!CY81-'Grid_Requirement'!CY81))</f>
        <v/>
      </c>
      <c r="CZ81">
        <f>IF(COUNTIFS(T_StockCount[RM_Code],$A81,T_StockCount[WeekIndex],103)&gt;0,SUMIFS(T_StockCount[CountedQty],T_StockCount[RM_Code],$A81,T_StockCount[WeekIndex],103),IF((COUNTIFS(T_SelfStock[RM_Code],$A81,T_SelfStock[WeekIndex],103)&gt;0)*(COUNTIFS(T_TTAFStock[RM_Code],$A81,T_TTAFStock[WeekIndex],103)&gt;0)&gt;0,SUMIFS(T_SelfStock[Self_Qty],T_SelfStock[RM_Code],$A81,T_SelfStock[WeekIndex],103)+SUMIFS(T_TTAFStock[TTAF_Qty],T_TTAFStock[RM_Code],$A81,T_TTAFStock[WeekIndex],103),CY81+'Grid_Incoming'!CZ81-'Grid_Requirement'!CZ81))</f>
        <v/>
      </c>
      <c r="DA81">
        <f>IF(COUNTIFS(T_StockCount[RM_Code],$A81,T_StockCount[WeekIndex],104)&gt;0,SUMIFS(T_StockCount[CountedQty],T_StockCount[RM_Code],$A81,T_StockCount[WeekIndex],104),IF((COUNTIFS(T_SelfStock[RM_Code],$A81,T_SelfStock[WeekIndex],104)&gt;0)*(COUNTIFS(T_TTAFStock[RM_Code],$A81,T_TTAFStock[WeekIndex],104)&gt;0)&gt;0,SUMIFS(T_SelfStock[Self_Qty],T_SelfStock[RM_Code],$A81,T_SelfStock[WeekIndex],104)+SUMIFS(T_TTAFStock[TTAF_Qty],T_TTAFStock[RM_Code],$A81,T_TTAFStock[WeekIndex],104),CZ81+'Grid_Incoming'!DA81-'Grid_Requirement'!DA81))</f>
        <v/>
      </c>
    </row>
    <row r="82">
      <c r="A82" t="inlineStr">
        <is>
          <t>A043</t>
        </is>
      </c>
      <c r="B82">
        <f>IF(COUNTIFS(T_StockCount[RM_Code],$A82,T_StockCount[WeekIndex],1)&gt;0,SUMIFS(T_StockCount[CountedQty],T_StockCount[RM_Code],$A82,T_StockCount[WeekIndex],1),IF((COUNTIFS(T_SelfStock[RM_Code],$A82,T_SelfStock[WeekIndex],1)&gt;0)*(COUNTIFS(T_TTAFStock[RM_Code],$A82,T_TTAFStock[WeekIndex],1)&gt;0)&gt;0,SUMIFS(T_SelfStock[Self_Qty],T_SelfStock[RM_Code],$A82,T_SelfStock[WeekIndex],1)+SUMIFS(T_TTAFStock[TTAF_Qty],T_TTAFStock[RM_Code],$A82,T_TTAFStock[WeekIndex],1),IFERROR(INDEX(T_OpeningStock[Opening_Qty],MATCH($A82,T_OpeningStock[RM_Code],0)),0)+'Grid_Incoming'!B82-'Grid_Requirement'!B82))</f>
        <v/>
      </c>
      <c r="C82">
        <f>IF(COUNTIFS(T_StockCount[RM_Code],$A82,T_StockCount[WeekIndex],2)&gt;0,SUMIFS(T_StockCount[CountedQty],T_StockCount[RM_Code],$A82,T_StockCount[WeekIndex],2),IF((COUNTIFS(T_SelfStock[RM_Code],$A82,T_SelfStock[WeekIndex],2)&gt;0)*(COUNTIFS(T_TTAFStock[RM_Code],$A82,T_TTAFStock[WeekIndex],2)&gt;0)&gt;0,SUMIFS(T_SelfStock[Self_Qty],T_SelfStock[RM_Code],$A82,T_SelfStock[WeekIndex],2)+SUMIFS(T_TTAFStock[TTAF_Qty],T_TTAFStock[RM_Code],$A82,T_TTAFStock[WeekIndex],2),B82+'Grid_Incoming'!C82-'Grid_Requirement'!C82))</f>
        <v/>
      </c>
      <c r="D82">
        <f>IF(COUNTIFS(T_StockCount[RM_Code],$A82,T_StockCount[WeekIndex],3)&gt;0,SUMIFS(T_StockCount[CountedQty],T_StockCount[RM_Code],$A82,T_StockCount[WeekIndex],3),IF((COUNTIFS(T_SelfStock[RM_Code],$A82,T_SelfStock[WeekIndex],3)&gt;0)*(COUNTIFS(T_TTAFStock[RM_Code],$A82,T_TTAFStock[WeekIndex],3)&gt;0)&gt;0,SUMIFS(T_SelfStock[Self_Qty],T_SelfStock[RM_Code],$A82,T_SelfStock[WeekIndex],3)+SUMIFS(T_TTAFStock[TTAF_Qty],T_TTAFStock[RM_Code],$A82,T_TTAFStock[WeekIndex],3),C82+'Grid_Incoming'!D82-'Grid_Requirement'!D82))</f>
        <v/>
      </c>
      <c r="E82">
        <f>IF(COUNTIFS(T_StockCount[RM_Code],$A82,T_StockCount[WeekIndex],4)&gt;0,SUMIFS(T_StockCount[CountedQty],T_StockCount[RM_Code],$A82,T_StockCount[WeekIndex],4),IF((COUNTIFS(T_SelfStock[RM_Code],$A82,T_SelfStock[WeekIndex],4)&gt;0)*(COUNTIFS(T_TTAFStock[RM_Code],$A82,T_TTAFStock[WeekIndex],4)&gt;0)&gt;0,SUMIFS(T_SelfStock[Self_Qty],T_SelfStock[RM_Code],$A82,T_SelfStock[WeekIndex],4)+SUMIFS(T_TTAFStock[TTAF_Qty],T_TTAFStock[RM_Code],$A82,T_TTAFStock[WeekIndex],4),D82+'Grid_Incoming'!E82-'Grid_Requirement'!E82))</f>
        <v/>
      </c>
      <c r="F82">
        <f>IF(COUNTIFS(T_StockCount[RM_Code],$A82,T_StockCount[WeekIndex],5)&gt;0,SUMIFS(T_StockCount[CountedQty],T_StockCount[RM_Code],$A82,T_StockCount[WeekIndex],5),IF((COUNTIFS(T_SelfStock[RM_Code],$A82,T_SelfStock[WeekIndex],5)&gt;0)*(COUNTIFS(T_TTAFStock[RM_Code],$A82,T_TTAFStock[WeekIndex],5)&gt;0)&gt;0,SUMIFS(T_SelfStock[Self_Qty],T_SelfStock[RM_Code],$A82,T_SelfStock[WeekIndex],5)+SUMIFS(T_TTAFStock[TTAF_Qty],T_TTAFStock[RM_Code],$A82,T_TTAFStock[WeekIndex],5),E82+'Grid_Incoming'!F82-'Grid_Requirement'!F82))</f>
        <v/>
      </c>
      <c r="G82">
        <f>IF(COUNTIFS(T_StockCount[RM_Code],$A82,T_StockCount[WeekIndex],6)&gt;0,SUMIFS(T_StockCount[CountedQty],T_StockCount[RM_Code],$A82,T_StockCount[WeekIndex],6),IF((COUNTIFS(T_SelfStock[RM_Code],$A82,T_SelfStock[WeekIndex],6)&gt;0)*(COUNTIFS(T_TTAFStock[RM_Code],$A82,T_TTAFStock[WeekIndex],6)&gt;0)&gt;0,SUMIFS(T_SelfStock[Self_Qty],T_SelfStock[RM_Code],$A82,T_SelfStock[WeekIndex],6)+SUMIFS(T_TTAFStock[TTAF_Qty],T_TTAFStock[RM_Code],$A82,T_TTAFStock[WeekIndex],6),F82+'Grid_Incoming'!G82-'Grid_Requirement'!G82))</f>
        <v/>
      </c>
      <c r="H82">
        <f>IF(COUNTIFS(T_StockCount[RM_Code],$A82,T_StockCount[WeekIndex],7)&gt;0,SUMIFS(T_StockCount[CountedQty],T_StockCount[RM_Code],$A82,T_StockCount[WeekIndex],7),IF((COUNTIFS(T_SelfStock[RM_Code],$A82,T_SelfStock[WeekIndex],7)&gt;0)*(COUNTIFS(T_TTAFStock[RM_Code],$A82,T_TTAFStock[WeekIndex],7)&gt;0)&gt;0,SUMIFS(T_SelfStock[Self_Qty],T_SelfStock[RM_Code],$A82,T_SelfStock[WeekIndex],7)+SUMIFS(T_TTAFStock[TTAF_Qty],T_TTAFStock[RM_Code],$A82,T_TTAFStock[WeekIndex],7),G82+'Grid_Incoming'!H82-'Grid_Requirement'!H82))</f>
        <v/>
      </c>
      <c r="I82">
        <f>IF(COUNTIFS(T_StockCount[RM_Code],$A82,T_StockCount[WeekIndex],8)&gt;0,SUMIFS(T_StockCount[CountedQty],T_StockCount[RM_Code],$A82,T_StockCount[WeekIndex],8),IF((COUNTIFS(T_SelfStock[RM_Code],$A82,T_SelfStock[WeekIndex],8)&gt;0)*(COUNTIFS(T_TTAFStock[RM_Code],$A82,T_TTAFStock[WeekIndex],8)&gt;0)&gt;0,SUMIFS(T_SelfStock[Self_Qty],T_SelfStock[RM_Code],$A82,T_SelfStock[WeekIndex],8)+SUMIFS(T_TTAFStock[TTAF_Qty],T_TTAFStock[RM_Code],$A82,T_TTAFStock[WeekIndex],8),H82+'Grid_Incoming'!I82-'Grid_Requirement'!I82))</f>
        <v/>
      </c>
      <c r="J82">
        <f>IF(COUNTIFS(T_StockCount[RM_Code],$A82,T_StockCount[WeekIndex],9)&gt;0,SUMIFS(T_StockCount[CountedQty],T_StockCount[RM_Code],$A82,T_StockCount[WeekIndex],9),IF((COUNTIFS(T_SelfStock[RM_Code],$A82,T_SelfStock[WeekIndex],9)&gt;0)*(COUNTIFS(T_TTAFStock[RM_Code],$A82,T_TTAFStock[WeekIndex],9)&gt;0)&gt;0,SUMIFS(T_SelfStock[Self_Qty],T_SelfStock[RM_Code],$A82,T_SelfStock[WeekIndex],9)+SUMIFS(T_TTAFStock[TTAF_Qty],T_TTAFStock[RM_Code],$A82,T_TTAFStock[WeekIndex],9),I82+'Grid_Incoming'!J82-'Grid_Requirement'!J82))</f>
        <v/>
      </c>
      <c r="K82">
        <f>IF(COUNTIFS(T_StockCount[RM_Code],$A82,T_StockCount[WeekIndex],10)&gt;0,SUMIFS(T_StockCount[CountedQty],T_StockCount[RM_Code],$A82,T_StockCount[WeekIndex],10),IF((COUNTIFS(T_SelfStock[RM_Code],$A82,T_SelfStock[WeekIndex],10)&gt;0)*(COUNTIFS(T_TTAFStock[RM_Code],$A82,T_TTAFStock[WeekIndex],10)&gt;0)&gt;0,SUMIFS(T_SelfStock[Self_Qty],T_SelfStock[RM_Code],$A82,T_SelfStock[WeekIndex],10)+SUMIFS(T_TTAFStock[TTAF_Qty],T_TTAFStock[RM_Code],$A82,T_TTAFStock[WeekIndex],10),J82+'Grid_Incoming'!K82-'Grid_Requirement'!K82))</f>
        <v/>
      </c>
      <c r="L82">
        <f>IF(COUNTIFS(T_StockCount[RM_Code],$A82,T_StockCount[WeekIndex],11)&gt;0,SUMIFS(T_StockCount[CountedQty],T_StockCount[RM_Code],$A82,T_StockCount[WeekIndex],11),IF((COUNTIFS(T_SelfStock[RM_Code],$A82,T_SelfStock[WeekIndex],11)&gt;0)*(COUNTIFS(T_TTAFStock[RM_Code],$A82,T_TTAFStock[WeekIndex],11)&gt;0)&gt;0,SUMIFS(T_SelfStock[Self_Qty],T_SelfStock[RM_Code],$A82,T_SelfStock[WeekIndex],11)+SUMIFS(T_TTAFStock[TTAF_Qty],T_TTAFStock[RM_Code],$A82,T_TTAFStock[WeekIndex],11),K82+'Grid_Incoming'!L82-'Grid_Requirement'!L82))</f>
        <v/>
      </c>
      <c r="M82">
        <f>IF(COUNTIFS(T_StockCount[RM_Code],$A82,T_StockCount[WeekIndex],12)&gt;0,SUMIFS(T_StockCount[CountedQty],T_StockCount[RM_Code],$A82,T_StockCount[WeekIndex],12),IF((COUNTIFS(T_SelfStock[RM_Code],$A82,T_SelfStock[WeekIndex],12)&gt;0)*(COUNTIFS(T_TTAFStock[RM_Code],$A82,T_TTAFStock[WeekIndex],12)&gt;0)&gt;0,SUMIFS(T_SelfStock[Self_Qty],T_SelfStock[RM_Code],$A82,T_SelfStock[WeekIndex],12)+SUMIFS(T_TTAFStock[TTAF_Qty],T_TTAFStock[RM_Code],$A82,T_TTAFStock[WeekIndex],12),L82+'Grid_Incoming'!M82-'Grid_Requirement'!M82))</f>
        <v/>
      </c>
      <c r="N82">
        <f>IF(COUNTIFS(T_StockCount[RM_Code],$A82,T_StockCount[WeekIndex],13)&gt;0,SUMIFS(T_StockCount[CountedQty],T_StockCount[RM_Code],$A82,T_StockCount[WeekIndex],13),IF((COUNTIFS(T_SelfStock[RM_Code],$A82,T_SelfStock[WeekIndex],13)&gt;0)*(COUNTIFS(T_TTAFStock[RM_Code],$A82,T_TTAFStock[WeekIndex],13)&gt;0)&gt;0,SUMIFS(T_SelfStock[Self_Qty],T_SelfStock[RM_Code],$A82,T_SelfStock[WeekIndex],13)+SUMIFS(T_TTAFStock[TTAF_Qty],T_TTAFStock[RM_Code],$A82,T_TTAFStock[WeekIndex],13),M82+'Grid_Incoming'!N82-'Grid_Requirement'!N82))</f>
        <v/>
      </c>
      <c r="O82">
        <f>IF(COUNTIFS(T_StockCount[RM_Code],$A82,T_StockCount[WeekIndex],14)&gt;0,SUMIFS(T_StockCount[CountedQty],T_StockCount[RM_Code],$A82,T_StockCount[WeekIndex],14),IF((COUNTIFS(T_SelfStock[RM_Code],$A82,T_SelfStock[WeekIndex],14)&gt;0)*(COUNTIFS(T_TTAFStock[RM_Code],$A82,T_TTAFStock[WeekIndex],14)&gt;0)&gt;0,SUMIFS(T_SelfStock[Self_Qty],T_SelfStock[RM_Code],$A82,T_SelfStock[WeekIndex],14)+SUMIFS(T_TTAFStock[TTAF_Qty],T_TTAFStock[RM_Code],$A82,T_TTAFStock[WeekIndex],14),N82+'Grid_Incoming'!O82-'Grid_Requirement'!O82))</f>
        <v/>
      </c>
      <c r="P82">
        <f>IF(COUNTIFS(T_StockCount[RM_Code],$A82,T_StockCount[WeekIndex],15)&gt;0,SUMIFS(T_StockCount[CountedQty],T_StockCount[RM_Code],$A82,T_StockCount[WeekIndex],15),IF((COUNTIFS(T_SelfStock[RM_Code],$A82,T_SelfStock[WeekIndex],15)&gt;0)*(COUNTIFS(T_TTAFStock[RM_Code],$A82,T_TTAFStock[WeekIndex],15)&gt;0)&gt;0,SUMIFS(T_SelfStock[Self_Qty],T_SelfStock[RM_Code],$A82,T_SelfStock[WeekIndex],15)+SUMIFS(T_TTAFStock[TTAF_Qty],T_TTAFStock[RM_Code],$A82,T_TTAFStock[WeekIndex],15),O82+'Grid_Incoming'!P82-'Grid_Requirement'!P82))</f>
        <v/>
      </c>
      <c r="Q82">
        <f>IF(COUNTIFS(T_StockCount[RM_Code],$A82,T_StockCount[WeekIndex],16)&gt;0,SUMIFS(T_StockCount[CountedQty],T_StockCount[RM_Code],$A82,T_StockCount[WeekIndex],16),IF((COUNTIFS(T_SelfStock[RM_Code],$A82,T_SelfStock[WeekIndex],16)&gt;0)*(COUNTIFS(T_TTAFStock[RM_Code],$A82,T_TTAFStock[WeekIndex],16)&gt;0)&gt;0,SUMIFS(T_SelfStock[Self_Qty],T_SelfStock[RM_Code],$A82,T_SelfStock[WeekIndex],16)+SUMIFS(T_TTAFStock[TTAF_Qty],T_TTAFStock[RM_Code],$A82,T_TTAFStock[WeekIndex],16),P82+'Grid_Incoming'!Q82-'Grid_Requirement'!Q82))</f>
        <v/>
      </c>
      <c r="R82">
        <f>IF(COUNTIFS(T_StockCount[RM_Code],$A82,T_StockCount[WeekIndex],17)&gt;0,SUMIFS(T_StockCount[CountedQty],T_StockCount[RM_Code],$A82,T_StockCount[WeekIndex],17),IF((COUNTIFS(T_SelfStock[RM_Code],$A82,T_SelfStock[WeekIndex],17)&gt;0)*(COUNTIFS(T_TTAFStock[RM_Code],$A82,T_TTAFStock[WeekIndex],17)&gt;0)&gt;0,SUMIFS(T_SelfStock[Self_Qty],T_SelfStock[RM_Code],$A82,T_SelfStock[WeekIndex],17)+SUMIFS(T_TTAFStock[TTAF_Qty],T_TTAFStock[RM_Code],$A82,T_TTAFStock[WeekIndex],17),Q82+'Grid_Incoming'!R82-'Grid_Requirement'!R82))</f>
        <v/>
      </c>
      <c r="S82">
        <f>IF(COUNTIFS(T_StockCount[RM_Code],$A82,T_StockCount[WeekIndex],18)&gt;0,SUMIFS(T_StockCount[CountedQty],T_StockCount[RM_Code],$A82,T_StockCount[WeekIndex],18),IF((COUNTIFS(T_SelfStock[RM_Code],$A82,T_SelfStock[WeekIndex],18)&gt;0)*(COUNTIFS(T_TTAFStock[RM_Code],$A82,T_TTAFStock[WeekIndex],18)&gt;0)&gt;0,SUMIFS(T_SelfStock[Self_Qty],T_SelfStock[RM_Code],$A82,T_SelfStock[WeekIndex],18)+SUMIFS(T_TTAFStock[TTAF_Qty],T_TTAFStock[RM_Code],$A82,T_TTAFStock[WeekIndex],18),R82+'Grid_Incoming'!S82-'Grid_Requirement'!S82))</f>
        <v/>
      </c>
      <c r="T82">
        <f>IF(COUNTIFS(T_StockCount[RM_Code],$A82,T_StockCount[WeekIndex],19)&gt;0,SUMIFS(T_StockCount[CountedQty],T_StockCount[RM_Code],$A82,T_StockCount[WeekIndex],19),IF((COUNTIFS(T_SelfStock[RM_Code],$A82,T_SelfStock[WeekIndex],19)&gt;0)*(COUNTIFS(T_TTAFStock[RM_Code],$A82,T_TTAFStock[WeekIndex],19)&gt;0)&gt;0,SUMIFS(T_SelfStock[Self_Qty],T_SelfStock[RM_Code],$A82,T_SelfStock[WeekIndex],19)+SUMIFS(T_TTAFStock[TTAF_Qty],T_TTAFStock[RM_Code],$A82,T_TTAFStock[WeekIndex],19),S82+'Grid_Incoming'!T82-'Grid_Requirement'!T82))</f>
        <v/>
      </c>
      <c r="U82">
        <f>IF(COUNTIFS(T_StockCount[RM_Code],$A82,T_StockCount[WeekIndex],20)&gt;0,SUMIFS(T_StockCount[CountedQty],T_StockCount[RM_Code],$A82,T_StockCount[WeekIndex],20),IF((COUNTIFS(T_SelfStock[RM_Code],$A82,T_SelfStock[WeekIndex],20)&gt;0)*(COUNTIFS(T_TTAFStock[RM_Code],$A82,T_TTAFStock[WeekIndex],20)&gt;0)&gt;0,SUMIFS(T_SelfStock[Self_Qty],T_SelfStock[RM_Code],$A82,T_SelfStock[WeekIndex],20)+SUMIFS(T_TTAFStock[TTAF_Qty],T_TTAFStock[RM_Code],$A82,T_TTAFStock[WeekIndex],20),T82+'Grid_Incoming'!U82-'Grid_Requirement'!U82))</f>
        <v/>
      </c>
      <c r="V82">
        <f>IF(COUNTIFS(T_StockCount[RM_Code],$A82,T_StockCount[WeekIndex],21)&gt;0,SUMIFS(T_StockCount[CountedQty],T_StockCount[RM_Code],$A82,T_StockCount[WeekIndex],21),IF((COUNTIFS(T_SelfStock[RM_Code],$A82,T_SelfStock[WeekIndex],21)&gt;0)*(COUNTIFS(T_TTAFStock[RM_Code],$A82,T_TTAFStock[WeekIndex],21)&gt;0)&gt;0,SUMIFS(T_SelfStock[Self_Qty],T_SelfStock[RM_Code],$A82,T_SelfStock[WeekIndex],21)+SUMIFS(T_TTAFStock[TTAF_Qty],T_TTAFStock[RM_Code],$A82,T_TTAFStock[WeekIndex],21),U82+'Grid_Incoming'!V82-'Grid_Requirement'!V82))</f>
        <v/>
      </c>
      <c r="W82">
        <f>IF(COUNTIFS(T_StockCount[RM_Code],$A82,T_StockCount[WeekIndex],22)&gt;0,SUMIFS(T_StockCount[CountedQty],T_StockCount[RM_Code],$A82,T_StockCount[WeekIndex],22),IF((COUNTIFS(T_SelfStock[RM_Code],$A82,T_SelfStock[WeekIndex],22)&gt;0)*(COUNTIFS(T_TTAFStock[RM_Code],$A82,T_TTAFStock[WeekIndex],22)&gt;0)&gt;0,SUMIFS(T_SelfStock[Self_Qty],T_SelfStock[RM_Code],$A82,T_SelfStock[WeekIndex],22)+SUMIFS(T_TTAFStock[TTAF_Qty],T_TTAFStock[RM_Code],$A82,T_TTAFStock[WeekIndex],22),V82+'Grid_Incoming'!W82-'Grid_Requirement'!W82))</f>
        <v/>
      </c>
      <c r="X82">
        <f>IF(COUNTIFS(T_StockCount[RM_Code],$A82,T_StockCount[WeekIndex],23)&gt;0,SUMIFS(T_StockCount[CountedQty],T_StockCount[RM_Code],$A82,T_StockCount[WeekIndex],23),IF((COUNTIFS(T_SelfStock[RM_Code],$A82,T_SelfStock[WeekIndex],23)&gt;0)*(COUNTIFS(T_TTAFStock[RM_Code],$A82,T_TTAFStock[WeekIndex],23)&gt;0)&gt;0,SUMIFS(T_SelfStock[Self_Qty],T_SelfStock[RM_Code],$A82,T_SelfStock[WeekIndex],23)+SUMIFS(T_TTAFStock[TTAF_Qty],T_TTAFStock[RM_Code],$A82,T_TTAFStock[WeekIndex],23),W82+'Grid_Incoming'!X82-'Grid_Requirement'!X82))</f>
        <v/>
      </c>
      <c r="Y82">
        <f>IF(COUNTIFS(T_StockCount[RM_Code],$A82,T_StockCount[WeekIndex],24)&gt;0,SUMIFS(T_StockCount[CountedQty],T_StockCount[RM_Code],$A82,T_StockCount[WeekIndex],24),IF((COUNTIFS(T_SelfStock[RM_Code],$A82,T_SelfStock[WeekIndex],24)&gt;0)*(COUNTIFS(T_TTAFStock[RM_Code],$A82,T_TTAFStock[WeekIndex],24)&gt;0)&gt;0,SUMIFS(T_SelfStock[Self_Qty],T_SelfStock[RM_Code],$A82,T_SelfStock[WeekIndex],24)+SUMIFS(T_TTAFStock[TTAF_Qty],T_TTAFStock[RM_Code],$A82,T_TTAFStock[WeekIndex],24),X82+'Grid_Incoming'!Y82-'Grid_Requirement'!Y82))</f>
        <v/>
      </c>
      <c r="Z82">
        <f>IF(COUNTIFS(T_StockCount[RM_Code],$A82,T_StockCount[WeekIndex],25)&gt;0,SUMIFS(T_StockCount[CountedQty],T_StockCount[RM_Code],$A82,T_StockCount[WeekIndex],25),IF((COUNTIFS(T_SelfStock[RM_Code],$A82,T_SelfStock[WeekIndex],25)&gt;0)*(COUNTIFS(T_TTAFStock[RM_Code],$A82,T_TTAFStock[WeekIndex],25)&gt;0)&gt;0,SUMIFS(T_SelfStock[Self_Qty],T_SelfStock[RM_Code],$A82,T_SelfStock[WeekIndex],25)+SUMIFS(T_TTAFStock[TTAF_Qty],T_TTAFStock[RM_Code],$A82,T_TTAFStock[WeekIndex],25),Y82+'Grid_Incoming'!Z82-'Grid_Requirement'!Z82))</f>
        <v/>
      </c>
      <c r="AA82">
        <f>IF(COUNTIFS(T_StockCount[RM_Code],$A82,T_StockCount[WeekIndex],26)&gt;0,SUMIFS(T_StockCount[CountedQty],T_StockCount[RM_Code],$A82,T_StockCount[WeekIndex],26),IF((COUNTIFS(T_SelfStock[RM_Code],$A82,T_SelfStock[WeekIndex],26)&gt;0)*(COUNTIFS(T_TTAFStock[RM_Code],$A82,T_TTAFStock[WeekIndex],26)&gt;0)&gt;0,SUMIFS(T_SelfStock[Self_Qty],T_SelfStock[RM_Code],$A82,T_SelfStock[WeekIndex],26)+SUMIFS(T_TTAFStock[TTAF_Qty],T_TTAFStock[RM_Code],$A82,T_TTAFStock[WeekIndex],26),Z82+'Grid_Incoming'!AA82-'Grid_Requirement'!AA82))</f>
        <v/>
      </c>
      <c r="AB82">
        <f>IF(COUNTIFS(T_StockCount[RM_Code],$A82,T_StockCount[WeekIndex],27)&gt;0,SUMIFS(T_StockCount[CountedQty],T_StockCount[RM_Code],$A82,T_StockCount[WeekIndex],27),IF((COUNTIFS(T_SelfStock[RM_Code],$A82,T_SelfStock[WeekIndex],27)&gt;0)*(COUNTIFS(T_TTAFStock[RM_Code],$A82,T_TTAFStock[WeekIndex],27)&gt;0)&gt;0,SUMIFS(T_SelfStock[Self_Qty],T_SelfStock[RM_Code],$A82,T_SelfStock[WeekIndex],27)+SUMIFS(T_TTAFStock[TTAF_Qty],T_TTAFStock[RM_Code],$A82,T_TTAFStock[WeekIndex],27),AA82+'Grid_Incoming'!AB82-'Grid_Requirement'!AB82))</f>
        <v/>
      </c>
      <c r="AC82">
        <f>IF(COUNTIFS(T_StockCount[RM_Code],$A82,T_StockCount[WeekIndex],28)&gt;0,SUMIFS(T_StockCount[CountedQty],T_StockCount[RM_Code],$A82,T_StockCount[WeekIndex],28),IF((COUNTIFS(T_SelfStock[RM_Code],$A82,T_SelfStock[WeekIndex],28)&gt;0)*(COUNTIFS(T_TTAFStock[RM_Code],$A82,T_TTAFStock[WeekIndex],28)&gt;0)&gt;0,SUMIFS(T_SelfStock[Self_Qty],T_SelfStock[RM_Code],$A82,T_SelfStock[WeekIndex],28)+SUMIFS(T_TTAFStock[TTAF_Qty],T_TTAFStock[RM_Code],$A82,T_TTAFStock[WeekIndex],28),AB82+'Grid_Incoming'!AC82-'Grid_Requirement'!AC82))</f>
        <v/>
      </c>
      <c r="AD82">
        <f>IF(COUNTIFS(T_StockCount[RM_Code],$A82,T_StockCount[WeekIndex],29)&gt;0,SUMIFS(T_StockCount[CountedQty],T_StockCount[RM_Code],$A82,T_StockCount[WeekIndex],29),IF((COUNTIFS(T_SelfStock[RM_Code],$A82,T_SelfStock[WeekIndex],29)&gt;0)*(COUNTIFS(T_TTAFStock[RM_Code],$A82,T_TTAFStock[WeekIndex],29)&gt;0)&gt;0,SUMIFS(T_SelfStock[Self_Qty],T_SelfStock[RM_Code],$A82,T_SelfStock[WeekIndex],29)+SUMIFS(T_TTAFStock[TTAF_Qty],T_TTAFStock[RM_Code],$A82,T_TTAFStock[WeekIndex],29),AC82+'Grid_Incoming'!AD82-'Grid_Requirement'!AD82))</f>
        <v/>
      </c>
      <c r="AE82">
        <f>IF(COUNTIFS(T_StockCount[RM_Code],$A82,T_StockCount[WeekIndex],30)&gt;0,SUMIFS(T_StockCount[CountedQty],T_StockCount[RM_Code],$A82,T_StockCount[WeekIndex],30),IF((COUNTIFS(T_SelfStock[RM_Code],$A82,T_SelfStock[WeekIndex],30)&gt;0)*(COUNTIFS(T_TTAFStock[RM_Code],$A82,T_TTAFStock[WeekIndex],30)&gt;0)&gt;0,SUMIFS(T_SelfStock[Self_Qty],T_SelfStock[RM_Code],$A82,T_SelfStock[WeekIndex],30)+SUMIFS(T_TTAFStock[TTAF_Qty],T_TTAFStock[RM_Code],$A82,T_TTAFStock[WeekIndex],30),AD82+'Grid_Incoming'!AE82-'Grid_Requirement'!AE82))</f>
        <v/>
      </c>
      <c r="AF82">
        <f>IF(COUNTIFS(T_StockCount[RM_Code],$A82,T_StockCount[WeekIndex],31)&gt;0,SUMIFS(T_StockCount[CountedQty],T_StockCount[RM_Code],$A82,T_StockCount[WeekIndex],31),IF((COUNTIFS(T_SelfStock[RM_Code],$A82,T_SelfStock[WeekIndex],31)&gt;0)*(COUNTIFS(T_TTAFStock[RM_Code],$A82,T_TTAFStock[WeekIndex],31)&gt;0)&gt;0,SUMIFS(T_SelfStock[Self_Qty],T_SelfStock[RM_Code],$A82,T_SelfStock[WeekIndex],31)+SUMIFS(T_TTAFStock[TTAF_Qty],T_TTAFStock[RM_Code],$A82,T_TTAFStock[WeekIndex],31),AE82+'Grid_Incoming'!AF82-'Grid_Requirement'!AF82))</f>
        <v/>
      </c>
      <c r="AG82">
        <f>IF(COUNTIFS(T_StockCount[RM_Code],$A82,T_StockCount[WeekIndex],32)&gt;0,SUMIFS(T_StockCount[CountedQty],T_StockCount[RM_Code],$A82,T_StockCount[WeekIndex],32),IF((COUNTIFS(T_SelfStock[RM_Code],$A82,T_SelfStock[WeekIndex],32)&gt;0)*(COUNTIFS(T_TTAFStock[RM_Code],$A82,T_TTAFStock[WeekIndex],32)&gt;0)&gt;0,SUMIFS(T_SelfStock[Self_Qty],T_SelfStock[RM_Code],$A82,T_SelfStock[WeekIndex],32)+SUMIFS(T_TTAFStock[TTAF_Qty],T_TTAFStock[RM_Code],$A82,T_TTAFStock[WeekIndex],32),AF82+'Grid_Incoming'!AG82-'Grid_Requirement'!AG82))</f>
        <v/>
      </c>
      <c r="AH82">
        <f>IF(COUNTIFS(T_StockCount[RM_Code],$A82,T_StockCount[WeekIndex],33)&gt;0,SUMIFS(T_StockCount[CountedQty],T_StockCount[RM_Code],$A82,T_StockCount[WeekIndex],33),IF((COUNTIFS(T_SelfStock[RM_Code],$A82,T_SelfStock[WeekIndex],33)&gt;0)*(COUNTIFS(T_TTAFStock[RM_Code],$A82,T_TTAFStock[WeekIndex],33)&gt;0)&gt;0,SUMIFS(T_SelfStock[Self_Qty],T_SelfStock[RM_Code],$A82,T_SelfStock[WeekIndex],33)+SUMIFS(T_TTAFStock[TTAF_Qty],T_TTAFStock[RM_Code],$A82,T_TTAFStock[WeekIndex],33),AG82+'Grid_Incoming'!AH82-'Grid_Requirement'!AH82))</f>
        <v/>
      </c>
      <c r="AI82">
        <f>IF(COUNTIFS(T_StockCount[RM_Code],$A82,T_StockCount[WeekIndex],34)&gt;0,SUMIFS(T_StockCount[CountedQty],T_StockCount[RM_Code],$A82,T_StockCount[WeekIndex],34),IF((COUNTIFS(T_SelfStock[RM_Code],$A82,T_SelfStock[WeekIndex],34)&gt;0)*(COUNTIFS(T_TTAFStock[RM_Code],$A82,T_TTAFStock[WeekIndex],34)&gt;0)&gt;0,SUMIFS(T_SelfStock[Self_Qty],T_SelfStock[RM_Code],$A82,T_SelfStock[WeekIndex],34)+SUMIFS(T_TTAFStock[TTAF_Qty],T_TTAFStock[RM_Code],$A82,T_TTAFStock[WeekIndex],34),AH82+'Grid_Incoming'!AI82-'Grid_Requirement'!AI82))</f>
        <v/>
      </c>
      <c r="AJ82">
        <f>IF(COUNTIFS(T_StockCount[RM_Code],$A82,T_StockCount[WeekIndex],35)&gt;0,SUMIFS(T_StockCount[CountedQty],T_StockCount[RM_Code],$A82,T_StockCount[WeekIndex],35),IF((COUNTIFS(T_SelfStock[RM_Code],$A82,T_SelfStock[WeekIndex],35)&gt;0)*(COUNTIFS(T_TTAFStock[RM_Code],$A82,T_TTAFStock[WeekIndex],35)&gt;0)&gt;0,SUMIFS(T_SelfStock[Self_Qty],T_SelfStock[RM_Code],$A82,T_SelfStock[WeekIndex],35)+SUMIFS(T_TTAFStock[TTAF_Qty],T_TTAFStock[RM_Code],$A82,T_TTAFStock[WeekIndex],35),AI82+'Grid_Incoming'!AJ82-'Grid_Requirement'!AJ82))</f>
        <v/>
      </c>
      <c r="AK82">
        <f>IF(COUNTIFS(T_StockCount[RM_Code],$A82,T_StockCount[WeekIndex],36)&gt;0,SUMIFS(T_StockCount[CountedQty],T_StockCount[RM_Code],$A82,T_StockCount[WeekIndex],36),IF((COUNTIFS(T_SelfStock[RM_Code],$A82,T_SelfStock[WeekIndex],36)&gt;0)*(COUNTIFS(T_TTAFStock[RM_Code],$A82,T_TTAFStock[WeekIndex],36)&gt;0)&gt;0,SUMIFS(T_SelfStock[Self_Qty],T_SelfStock[RM_Code],$A82,T_SelfStock[WeekIndex],36)+SUMIFS(T_TTAFStock[TTAF_Qty],T_TTAFStock[RM_Code],$A82,T_TTAFStock[WeekIndex],36),AJ82+'Grid_Incoming'!AK82-'Grid_Requirement'!AK82))</f>
        <v/>
      </c>
      <c r="AL82">
        <f>IF(COUNTIFS(T_StockCount[RM_Code],$A82,T_StockCount[WeekIndex],37)&gt;0,SUMIFS(T_StockCount[CountedQty],T_StockCount[RM_Code],$A82,T_StockCount[WeekIndex],37),IF((COUNTIFS(T_SelfStock[RM_Code],$A82,T_SelfStock[WeekIndex],37)&gt;0)*(COUNTIFS(T_TTAFStock[RM_Code],$A82,T_TTAFStock[WeekIndex],37)&gt;0)&gt;0,SUMIFS(T_SelfStock[Self_Qty],T_SelfStock[RM_Code],$A82,T_SelfStock[WeekIndex],37)+SUMIFS(T_TTAFStock[TTAF_Qty],T_TTAFStock[RM_Code],$A82,T_TTAFStock[WeekIndex],37),AK82+'Grid_Incoming'!AL82-'Grid_Requirement'!AL82))</f>
        <v/>
      </c>
      <c r="AM82">
        <f>IF(COUNTIFS(T_StockCount[RM_Code],$A82,T_StockCount[WeekIndex],38)&gt;0,SUMIFS(T_StockCount[CountedQty],T_StockCount[RM_Code],$A82,T_StockCount[WeekIndex],38),IF((COUNTIFS(T_SelfStock[RM_Code],$A82,T_SelfStock[WeekIndex],38)&gt;0)*(COUNTIFS(T_TTAFStock[RM_Code],$A82,T_TTAFStock[WeekIndex],38)&gt;0)&gt;0,SUMIFS(T_SelfStock[Self_Qty],T_SelfStock[RM_Code],$A82,T_SelfStock[WeekIndex],38)+SUMIFS(T_TTAFStock[TTAF_Qty],T_TTAFStock[RM_Code],$A82,T_TTAFStock[WeekIndex],38),AL82+'Grid_Incoming'!AM82-'Grid_Requirement'!AM82))</f>
        <v/>
      </c>
      <c r="AN82">
        <f>IF(COUNTIFS(T_StockCount[RM_Code],$A82,T_StockCount[WeekIndex],39)&gt;0,SUMIFS(T_StockCount[CountedQty],T_StockCount[RM_Code],$A82,T_StockCount[WeekIndex],39),IF((COUNTIFS(T_SelfStock[RM_Code],$A82,T_SelfStock[WeekIndex],39)&gt;0)*(COUNTIFS(T_TTAFStock[RM_Code],$A82,T_TTAFStock[WeekIndex],39)&gt;0)&gt;0,SUMIFS(T_SelfStock[Self_Qty],T_SelfStock[RM_Code],$A82,T_SelfStock[WeekIndex],39)+SUMIFS(T_TTAFStock[TTAF_Qty],T_TTAFStock[RM_Code],$A82,T_TTAFStock[WeekIndex],39),AM82+'Grid_Incoming'!AN82-'Grid_Requirement'!AN82))</f>
        <v/>
      </c>
      <c r="AO82">
        <f>IF(COUNTIFS(T_StockCount[RM_Code],$A82,T_StockCount[WeekIndex],40)&gt;0,SUMIFS(T_StockCount[CountedQty],T_StockCount[RM_Code],$A82,T_StockCount[WeekIndex],40),IF((COUNTIFS(T_SelfStock[RM_Code],$A82,T_SelfStock[WeekIndex],40)&gt;0)*(COUNTIFS(T_TTAFStock[RM_Code],$A82,T_TTAFStock[WeekIndex],40)&gt;0)&gt;0,SUMIFS(T_SelfStock[Self_Qty],T_SelfStock[RM_Code],$A82,T_SelfStock[WeekIndex],40)+SUMIFS(T_TTAFStock[TTAF_Qty],T_TTAFStock[RM_Code],$A82,T_TTAFStock[WeekIndex],40),AN82+'Grid_Incoming'!AO82-'Grid_Requirement'!AO82))</f>
        <v/>
      </c>
      <c r="AP82">
        <f>IF(COUNTIFS(T_StockCount[RM_Code],$A82,T_StockCount[WeekIndex],41)&gt;0,SUMIFS(T_StockCount[CountedQty],T_StockCount[RM_Code],$A82,T_StockCount[WeekIndex],41),IF((COUNTIFS(T_SelfStock[RM_Code],$A82,T_SelfStock[WeekIndex],41)&gt;0)*(COUNTIFS(T_TTAFStock[RM_Code],$A82,T_TTAFStock[WeekIndex],41)&gt;0)&gt;0,SUMIFS(T_SelfStock[Self_Qty],T_SelfStock[RM_Code],$A82,T_SelfStock[WeekIndex],41)+SUMIFS(T_TTAFStock[TTAF_Qty],T_TTAFStock[RM_Code],$A82,T_TTAFStock[WeekIndex],41),AO82+'Grid_Incoming'!AP82-'Grid_Requirement'!AP82))</f>
        <v/>
      </c>
      <c r="AQ82">
        <f>IF(COUNTIFS(T_StockCount[RM_Code],$A82,T_StockCount[WeekIndex],42)&gt;0,SUMIFS(T_StockCount[CountedQty],T_StockCount[RM_Code],$A82,T_StockCount[WeekIndex],42),IF((COUNTIFS(T_SelfStock[RM_Code],$A82,T_SelfStock[WeekIndex],42)&gt;0)*(COUNTIFS(T_TTAFStock[RM_Code],$A82,T_TTAFStock[WeekIndex],42)&gt;0)&gt;0,SUMIFS(T_SelfStock[Self_Qty],T_SelfStock[RM_Code],$A82,T_SelfStock[WeekIndex],42)+SUMIFS(T_TTAFStock[TTAF_Qty],T_TTAFStock[RM_Code],$A82,T_TTAFStock[WeekIndex],42),AP82+'Grid_Incoming'!AQ82-'Grid_Requirement'!AQ82))</f>
        <v/>
      </c>
      <c r="AR82">
        <f>IF(COUNTIFS(T_StockCount[RM_Code],$A82,T_StockCount[WeekIndex],43)&gt;0,SUMIFS(T_StockCount[CountedQty],T_StockCount[RM_Code],$A82,T_StockCount[WeekIndex],43),IF((COUNTIFS(T_SelfStock[RM_Code],$A82,T_SelfStock[WeekIndex],43)&gt;0)*(COUNTIFS(T_TTAFStock[RM_Code],$A82,T_TTAFStock[WeekIndex],43)&gt;0)&gt;0,SUMIFS(T_SelfStock[Self_Qty],T_SelfStock[RM_Code],$A82,T_SelfStock[WeekIndex],43)+SUMIFS(T_TTAFStock[TTAF_Qty],T_TTAFStock[RM_Code],$A82,T_TTAFStock[WeekIndex],43),AQ82+'Grid_Incoming'!AR82-'Grid_Requirement'!AR82))</f>
        <v/>
      </c>
      <c r="AS82">
        <f>IF(COUNTIFS(T_StockCount[RM_Code],$A82,T_StockCount[WeekIndex],44)&gt;0,SUMIFS(T_StockCount[CountedQty],T_StockCount[RM_Code],$A82,T_StockCount[WeekIndex],44),IF((COUNTIFS(T_SelfStock[RM_Code],$A82,T_SelfStock[WeekIndex],44)&gt;0)*(COUNTIFS(T_TTAFStock[RM_Code],$A82,T_TTAFStock[WeekIndex],44)&gt;0)&gt;0,SUMIFS(T_SelfStock[Self_Qty],T_SelfStock[RM_Code],$A82,T_SelfStock[WeekIndex],44)+SUMIFS(T_TTAFStock[TTAF_Qty],T_TTAFStock[RM_Code],$A82,T_TTAFStock[WeekIndex],44),AR82+'Grid_Incoming'!AS82-'Grid_Requirement'!AS82))</f>
        <v/>
      </c>
      <c r="AT82">
        <f>IF(COUNTIFS(T_StockCount[RM_Code],$A82,T_StockCount[WeekIndex],45)&gt;0,SUMIFS(T_StockCount[CountedQty],T_StockCount[RM_Code],$A82,T_StockCount[WeekIndex],45),IF((COUNTIFS(T_SelfStock[RM_Code],$A82,T_SelfStock[WeekIndex],45)&gt;0)*(COUNTIFS(T_TTAFStock[RM_Code],$A82,T_TTAFStock[WeekIndex],45)&gt;0)&gt;0,SUMIFS(T_SelfStock[Self_Qty],T_SelfStock[RM_Code],$A82,T_SelfStock[WeekIndex],45)+SUMIFS(T_TTAFStock[TTAF_Qty],T_TTAFStock[RM_Code],$A82,T_TTAFStock[WeekIndex],45),AS82+'Grid_Incoming'!AT82-'Grid_Requirement'!AT82))</f>
        <v/>
      </c>
      <c r="AU82">
        <f>IF(COUNTIFS(T_StockCount[RM_Code],$A82,T_StockCount[WeekIndex],46)&gt;0,SUMIFS(T_StockCount[CountedQty],T_StockCount[RM_Code],$A82,T_StockCount[WeekIndex],46),IF((COUNTIFS(T_SelfStock[RM_Code],$A82,T_SelfStock[WeekIndex],46)&gt;0)*(COUNTIFS(T_TTAFStock[RM_Code],$A82,T_TTAFStock[WeekIndex],46)&gt;0)&gt;0,SUMIFS(T_SelfStock[Self_Qty],T_SelfStock[RM_Code],$A82,T_SelfStock[WeekIndex],46)+SUMIFS(T_TTAFStock[TTAF_Qty],T_TTAFStock[RM_Code],$A82,T_TTAFStock[WeekIndex],46),AT82+'Grid_Incoming'!AU82-'Grid_Requirement'!AU82))</f>
        <v/>
      </c>
      <c r="AV82">
        <f>IF(COUNTIFS(T_StockCount[RM_Code],$A82,T_StockCount[WeekIndex],47)&gt;0,SUMIFS(T_StockCount[CountedQty],T_StockCount[RM_Code],$A82,T_StockCount[WeekIndex],47),IF((COUNTIFS(T_SelfStock[RM_Code],$A82,T_SelfStock[WeekIndex],47)&gt;0)*(COUNTIFS(T_TTAFStock[RM_Code],$A82,T_TTAFStock[WeekIndex],47)&gt;0)&gt;0,SUMIFS(T_SelfStock[Self_Qty],T_SelfStock[RM_Code],$A82,T_SelfStock[WeekIndex],47)+SUMIFS(T_TTAFStock[TTAF_Qty],T_TTAFStock[RM_Code],$A82,T_TTAFStock[WeekIndex],47),AU82+'Grid_Incoming'!AV82-'Grid_Requirement'!AV82))</f>
        <v/>
      </c>
      <c r="AW82">
        <f>IF(COUNTIFS(T_StockCount[RM_Code],$A82,T_StockCount[WeekIndex],48)&gt;0,SUMIFS(T_StockCount[CountedQty],T_StockCount[RM_Code],$A82,T_StockCount[WeekIndex],48),IF((COUNTIFS(T_SelfStock[RM_Code],$A82,T_SelfStock[WeekIndex],48)&gt;0)*(COUNTIFS(T_TTAFStock[RM_Code],$A82,T_TTAFStock[WeekIndex],48)&gt;0)&gt;0,SUMIFS(T_SelfStock[Self_Qty],T_SelfStock[RM_Code],$A82,T_SelfStock[WeekIndex],48)+SUMIFS(T_TTAFStock[TTAF_Qty],T_TTAFStock[RM_Code],$A82,T_TTAFStock[WeekIndex],48),AV82+'Grid_Incoming'!AW82-'Grid_Requirement'!AW82))</f>
        <v/>
      </c>
      <c r="AX82">
        <f>IF(COUNTIFS(T_StockCount[RM_Code],$A82,T_StockCount[WeekIndex],49)&gt;0,SUMIFS(T_StockCount[CountedQty],T_StockCount[RM_Code],$A82,T_StockCount[WeekIndex],49),IF((COUNTIFS(T_SelfStock[RM_Code],$A82,T_SelfStock[WeekIndex],49)&gt;0)*(COUNTIFS(T_TTAFStock[RM_Code],$A82,T_TTAFStock[WeekIndex],49)&gt;0)&gt;0,SUMIFS(T_SelfStock[Self_Qty],T_SelfStock[RM_Code],$A82,T_SelfStock[WeekIndex],49)+SUMIFS(T_TTAFStock[TTAF_Qty],T_TTAFStock[RM_Code],$A82,T_TTAFStock[WeekIndex],49),AW82+'Grid_Incoming'!AX82-'Grid_Requirement'!AX82))</f>
        <v/>
      </c>
      <c r="AY82">
        <f>IF(COUNTIFS(T_StockCount[RM_Code],$A82,T_StockCount[WeekIndex],50)&gt;0,SUMIFS(T_StockCount[CountedQty],T_StockCount[RM_Code],$A82,T_StockCount[WeekIndex],50),IF((COUNTIFS(T_SelfStock[RM_Code],$A82,T_SelfStock[WeekIndex],50)&gt;0)*(COUNTIFS(T_TTAFStock[RM_Code],$A82,T_TTAFStock[WeekIndex],50)&gt;0)&gt;0,SUMIFS(T_SelfStock[Self_Qty],T_SelfStock[RM_Code],$A82,T_SelfStock[WeekIndex],50)+SUMIFS(T_TTAFStock[TTAF_Qty],T_TTAFStock[RM_Code],$A82,T_TTAFStock[WeekIndex],50),AX82+'Grid_Incoming'!AY82-'Grid_Requirement'!AY82))</f>
        <v/>
      </c>
      <c r="AZ82">
        <f>IF(COUNTIFS(T_StockCount[RM_Code],$A82,T_StockCount[WeekIndex],51)&gt;0,SUMIFS(T_StockCount[CountedQty],T_StockCount[RM_Code],$A82,T_StockCount[WeekIndex],51),IF((COUNTIFS(T_SelfStock[RM_Code],$A82,T_SelfStock[WeekIndex],51)&gt;0)*(COUNTIFS(T_TTAFStock[RM_Code],$A82,T_TTAFStock[WeekIndex],51)&gt;0)&gt;0,SUMIFS(T_SelfStock[Self_Qty],T_SelfStock[RM_Code],$A82,T_SelfStock[WeekIndex],51)+SUMIFS(T_TTAFStock[TTAF_Qty],T_TTAFStock[RM_Code],$A82,T_TTAFStock[WeekIndex],51),AY82+'Grid_Incoming'!AZ82-'Grid_Requirement'!AZ82))</f>
        <v/>
      </c>
      <c r="BA82">
        <f>IF(COUNTIFS(T_StockCount[RM_Code],$A82,T_StockCount[WeekIndex],52)&gt;0,SUMIFS(T_StockCount[CountedQty],T_StockCount[RM_Code],$A82,T_StockCount[WeekIndex],52),IF((COUNTIFS(T_SelfStock[RM_Code],$A82,T_SelfStock[WeekIndex],52)&gt;0)*(COUNTIFS(T_TTAFStock[RM_Code],$A82,T_TTAFStock[WeekIndex],52)&gt;0)&gt;0,SUMIFS(T_SelfStock[Self_Qty],T_SelfStock[RM_Code],$A82,T_SelfStock[WeekIndex],52)+SUMIFS(T_TTAFStock[TTAF_Qty],T_TTAFStock[RM_Code],$A82,T_TTAFStock[WeekIndex],52),AZ82+'Grid_Incoming'!BA82-'Grid_Requirement'!BA82))</f>
        <v/>
      </c>
      <c r="BB82">
        <f>IF(COUNTIFS(T_StockCount[RM_Code],$A82,T_StockCount[WeekIndex],53)&gt;0,SUMIFS(T_StockCount[CountedQty],T_StockCount[RM_Code],$A82,T_StockCount[WeekIndex],53),IF((COUNTIFS(T_SelfStock[RM_Code],$A82,T_SelfStock[WeekIndex],53)&gt;0)*(COUNTIFS(T_TTAFStock[RM_Code],$A82,T_TTAFStock[WeekIndex],53)&gt;0)&gt;0,SUMIFS(T_SelfStock[Self_Qty],T_SelfStock[RM_Code],$A82,T_SelfStock[WeekIndex],53)+SUMIFS(T_TTAFStock[TTAF_Qty],T_TTAFStock[RM_Code],$A82,T_TTAFStock[WeekIndex],53),BA82+'Grid_Incoming'!BB82-'Grid_Requirement'!BB82))</f>
        <v/>
      </c>
      <c r="BC82">
        <f>IF(COUNTIFS(T_StockCount[RM_Code],$A82,T_StockCount[WeekIndex],54)&gt;0,SUMIFS(T_StockCount[CountedQty],T_StockCount[RM_Code],$A82,T_StockCount[WeekIndex],54),IF((COUNTIFS(T_SelfStock[RM_Code],$A82,T_SelfStock[WeekIndex],54)&gt;0)*(COUNTIFS(T_TTAFStock[RM_Code],$A82,T_TTAFStock[WeekIndex],54)&gt;0)&gt;0,SUMIFS(T_SelfStock[Self_Qty],T_SelfStock[RM_Code],$A82,T_SelfStock[WeekIndex],54)+SUMIFS(T_TTAFStock[TTAF_Qty],T_TTAFStock[RM_Code],$A82,T_TTAFStock[WeekIndex],54),BB82+'Grid_Incoming'!BC82-'Grid_Requirement'!BC82))</f>
        <v/>
      </c>
      <c r="BD82">
        <f>IF(COUNTIFS(T_StockCount[RM_Code],$A82,T_StockCount[WeekIndex],55)&gt;0,SUMIFS(T_StockCount[CountedQty],T_StockCount[RM_Code],$A82,T_StockCount[WeekIndex],55),IF((COUNTIFS(T_SelfStock[RM_Code],$A82,T_SelfStock[WeekIndex],55)&gt;0)*(COUNTIFS(T_TTAFStock[RM_Code],$A82,T_TTAFStock[WeekIndex],55)&gt;0)&gt;0,SUMIFS(T_SelfStock[Self_Qty],T_SelfStock[RM_Code],$A82,T_SelfStock[WeekIndex],55)+SUMIFS(T_TTAFStock[TTAF_Qty],T_TTAFStock[RM_Code],$A82,T_TTAFStock[WeekIndex],55),BC82+'Grid_Incoming'!BD82-'Grid_Requirement'!BD82))</f>
        <v/>
      </c>
      <c r="BE82">
        <f>IF(COUNTIFS(T_StockCount[RM_Code],$A82,T_StockCount[WeekIndex],56)&gt;0,SUMIFS(T_StockCount[CountedQty],T_StockCount[RM_Code],$A82,T_StockCount[WeekIndex],56),IF((COUNTIFS(T_SelfStock[RM_Code],$A82,T_SelfStock[WeekIndex],56)&gt;0)*(COUNTIFS(T_TTAFStock[RM_Code],$A82,T_TTAFStock[WeekIndex],56)&gt;0)&gt;0,SUMIFS(T_SelfStock[Self_Qty],T_SelfStock[RM_Code],$A82,T_SelfStock[WeekIndex],56)+SUMIFS(T_TTAFStock[TTAF_Qty],T_TTAFStock[RM_Code],$A82,T_TTAFStock[WeekIndex],56),BD82+'Grid_Incoming'!BE82-'Grid_Requirement'!BE82))</f>
        <v/>
      </c>
      <c r="BF82">
        <f>IF(COUNTIFS(T_StockCount[RM_Code],$A82,T_StockCount[WeekIndex],57)&gt;0,SUMIFS(T_StockCount[CountedQty],T_StockCount[RM_Code],$A82,T_StockCount[WeekIndex],57),IF((COUNTIFS(T_SelfStock[RM_Code],$A82,T_SelfStock[WeekIndex],57)&gt;0)*(COUNTIFS(T_TTAFStock[RM_Code],$A82,T_TTAFStock[WeekIndex],57)&gt;0)&gt;0,SUMIFS(T_SelfStock[Self_Qty],T_SelfStock[RM_Code],$A82,T_SelfStock[WeekIndex],57)+SUMIFS(T_TTAFStock[TTAF_Qty],T_TTAFStock[RM_Code],$A82,T_TTAFStock[WeekIndex],57),BE82+'Grid_Incoming'!BF82-'Grid_Requirement'!BF82))</f>
        <v/>
      </c>
      <c r="BG82">
        <f>IF(COUNTIFS(T_StockCount[RM_Code],$A82,T_StockCount[WeekIndex],58)&gt;0,SUMIFS(T_StockCount[CountedQty],T_StockCount[RM_Code],$A82,T_StockCount[WeekIndex],58),IF((COUNTIFS(T_SelfStock[RM_Code],$A82,T_SelfStock[WeekIndex],58)&gt;0)*(COUNTIFS(T_TTAFStock[RM_Code],$A82,T_TTAFStock[WeekIndex],58)&gt;0)&gt;0,SUMIFS(T_SelfStock[Self_Qty],T_SelfStock[RM_Code],$A82,T_SelfStock[WeekIndex],58)+SUMIFS(T_TTAFStock[TTAF_Qty],T_TTAFStock[RM_Code],$A82,T_TTAFStock[WeekIndex],58),BF82+'Grid_Incoming'!BG82-'Grid_Requirement'!BG82))</f>
        <v/>
      </c>
      <c r="BH82">
        <f>IF(COUNTIFS(T_StockCount[RM_Code],$A82,T_StockCount[WeekIndex],59)&gt;0,SUMIFS(T_StockCount[CountedQty],T_StockCount[RM_Code],$A82,T_StockCount[WeekIndex],59),IF((COUNTIFS(T_SelfStock[RM_Code],$A82,T_SelfStock[WeekIndex],59)&gt;0)*(COUNTIFS(T_TTAFStock[RM_Code],$A82,T_TTAFStock[WeekIndex],59)&gt;0)&gt;0,SUMIFS(T_SelfStock[Self_Qty],T_SelfStock[RM_Code],$A82,T_SelfStock[WeekIndex],59)+SUMIFS(T_TTAFStock[TTAF_Qty],T_TTAFStock[RM_Code],$A82,T_TTAFStock[WeekIndex],59),BG82+'Grid_Incoming'!BH82-'Grid_Requirement'!BH82))</f>
        <v/>
      </c>
      <c r="BI82">
        <f>IF(COUNTIFS(T_StockCount[RM_Code],$A82,T_StockCount[WeekIndex],60)&gt;0,SUMIFS(T_StockCount[CountedQty],T_StockCount[RM_Code],$A82,T_StockCount[WeekIndex],60),IF((COUNTIFS(T_SelfStock[RM_Code],$A82,T_SelfStock[WeekIndex],60)&gt;0)*(COUNTIFS(T_TTAFStock[RM_Code],$A82,T_TTAFStock[WeekIndex],60)&gt;0)&gt;0,SUMIFS(T_SelfStock[Self_Qty],T_SelfStock[RM_Code],$A82,T_SelfStock[WeekIndex],60)+SUMIFS(T_TTAFStock[TTAF_Qty],T_TTAFStock[RM_Code],$A82,T_TTAFStock[WeekIndex],60),BH82+'Grid_Incoming'!BI82-'Grid_Requirement'!BI82))</f>
        <v/>
      </c>
      <c r="BJ82">
        <f>IF(COUNTIFS(T_StockCount[RM_Code],$A82,T_StockCount[WeekIndex],61)&gt;0,SUMIFS(T_StockCount[CountedQty],T_StockCount[RM_Code],$A82,T_StockCount[WeekIndex],61),IF((COUNTIFS(T_SelfStock[RM_Code],$A82,T_SelfStock[WeekIndex],61)&gt;0)*(COUNTIFS(T_TTAFStock[RM_Code],$A82,T_TTAFStock[WeekIndex],61)&gt;0)&gt;0,SUMIFS(T_SelfStock[Self_Qty],T_SelfStock[RM_Code],$A82,T_SelfStock[WeekIndex],61)+SUMIFS(T_TTAFStock[TTAF_Qty],T_TTAFStock[RM_Code],$A82,T_TTAFStock[WeekIndex],61),BI82+'Grid_Incoming'!BJ82-'Grid_Requirement'!BJ82))</f>
        <v/>
      </c>
      <c r="BK82">
        <f>IF(COUNTIFS(T_StockCount[RM_Code],$A82,T_StockCount[WeekIndex],62)&gt;0,SUMIFS(T_StockCount[CountedQty],T_StockCount[RM_Code],$A82,T_StockCount[WeekIndex],62),IF((COUNTIFS(T_SelfStock[RM_Code],$A82,T_SelfStock[WeekIndex],62)&gt;0)*(COUNTIFS(T_TTAFStock[RM_Code],$A82,T_TTAFStock[WeekIndex],62)&gt;0)&gt;0,SUMIFS(T_SelfStock[Self_Qty],T_SelfStock[RM_Code],$A82,T_SelfStock[WeekIndex],62)+SUMIFS(T_TTAFStock[TTAF_Qty],T_TTAFStock[RM_Code],$A82,T_TTAFStock[WeekIndex],62),BJ82+'Grid_Incoming'!BK82-'Grid_Requirement'!BK82))</f>
        <v/>
      </c>
      <c r="BL82">
        <f>IF(COUNTIFS(T_StockCount[RM_Code],$A82,T_StockCount[WeekIndex],63)&gt;0,SUMIFS(T_StockCount[CountedQty],T_StockCount[RM_Code],$A82,T_StockCount[WeekIndex],63),IF((COUNTIFS(T_SelfStock[RM_Code],$A82,T_SelfStock[WeekIndex],63)&gt;0)*(COUNTIFS(T_TTAFStock[RM_Code],$A82,T_TTAFStock[WeekIndex],63)&gt;0)&gt;0,SUMIFS(T_SelfStock[Self_Qty],T_SelfStock[RM_Code],$A82,T_SelfStock[WeekIndex],63)+SUMIFS(T_TTAFStock[TTAF_Qty],T_TTAFStock[RM_Code],$A82,T_TTAFStock[WeekIndex],63),BK82+'Grid_Incoming'!BL82-'Grid_Requirement'!BL82))</f>
        <v/>
      </c>
      <c r="BM82">
        <f>IF(COUNTIFS(T_StockCount[RM_Code],$A82,T_StockCount[WeekIndex],64)&gt;0,SUMIFS(T_StockCount[CountedQty],T_StockCount[RM_Code],$A82,T_StockCount[WeekIndex],64),IF((COUNTIFS(T_SelfStock[RM_Code],$A82,T_SelfStock[WeekIndex],64)&gt;0)*(COUNTIFS(T_TTAFStock[RM_Code],$A82,T_TTAFStock[WeekIndex],64)&gt;0)&gt;0,SUMIFS(T_SelfStock[Self_Qty],T_SelfStock[RM_Code],$A82,T_SelfStock[WeekIndex],64)+SUMIFS(T_TTAFStock[TTAF_Qty],T_TTAFStock[RM_Code],$A82,T_TTAFStock[WeekIndex],64),BL82+'Grid_Incoming'!BM82-'Grid_Requirement'!BM82))</f>
        <v/>
      </c>
      <c r="BN82">
        <f>IF(COUNTIFS(T_StockCount[RM_Code],$A82,T_StockCount[WeekIndex],65)&gt;0,SUMIFS(T_StockCount[CountedQty],T_StockCount[RM_Code],$A82,T_StockCount[WeekIndex],65),IF((COUNTIFS(T_SelfStock[RM_Code],$A82,T_SelfStock[WeekIndex],65)&gt;0)*(COUNTIFS(T_TTAFStock[RM_Code],$A82,T_TTAFStock[WeekIndex],65)&gt;0)&gt;0,SUMIFS(T_SelfStock[Self_Qty],T_SelfStock[RM_Code],$A82,T_SelfStock[WeekIndex],65)+SUMIFS(T_TTAFStock[TTAF_Qty],T_TTAFStock[RM_Code],$A82,T_TTAFStock[WeekIndex],65),BM82+'Grid_Incoming'!BN82-'Grid_Requirement'!BN82))</f>
        <v/>
      </c>
      <c r="BO82">
        <f>IF(COUNTIFS(T_StockCount[RM_Code],$A82,T_StockCount[WeekIndex],66)&gt;0,SUMIFS(T_StockCount[CountedQty],T_StockCount[RM_Code],$A82,T_StockCount[WeekIndex],66),IF((COUNTIFS(T_SelfStock[RM_Code],$A82,T_SelfStock[WeekIndex],66)&gt;0)*(COUNTIFS(T_TTAFStock[RM_Code],$A82,T_TTAFStock[WeekIndex],66)&gt;0)&gt;0,SUMIFS(T_SelfStock[Self_Qty],T_SelfStock[RM_Code],$A82,T_SelfStock[WeekIndex],66)+SUMIFS(T_TTAFStock[TTAF_Qty],T_TTAFStock[RM_Code],$A82,T_TTAFStock[WeekIndex],66),BN82+'Grid_Incoming'!BO82-'Grid_Requirement'!BO82))</f>
        <v/>
      </c>
      <c r="BP82">
        <f>IF(COUNTIFS(T_StockCount[RM_Code],$A82,T_StockCount[WeekIndex],67)&gt;0,SUMIFS(T_StockCount[CountedQty],T_StockCount[RM_Code],$A82,T_StockCount[WeekIndex],67),IF((COUNTIFS(T_SelfStock[RM_Code],$A82,T_SelfStock[WeekIndex],67)&gt;0)*(COUNTIFS(T_TTAFStock[RM_Code],$A82,T_TTAFStock[WeekIndex],67)&gt;0)&gt;0,SUMIFS(T_SelfStock[Self_Qty],T_SelfStock[RM_Code],$A82,T_SelfStock[WeekIndex],67)+SUMIFS(T_TTAFStock[TTAF_Qty],T_TTAFStock[RM_Code],$A82,T_TTAFStock[WeekIndex],67),BO82+'Grid_Incoming'!BP82-'Grid_Requirement'!BP82))</f>
        <v/>
      </c>
      <c r="BQ82">
        <f>IF(COUNTIFS(T_StockCount[RM_Code],$A82,T_StockCount[WeekIndex],68)&gt;0,SUMIFS(T_StockCount[CountedQty],T_StockCount[RM_Code],$A82,T_StockCount[WeekIndex],68),IF((COUNTIFS(T_SelfStock[RM_Code],$A82,T_SelfStock[WeekIndex],68)&gt;0)*(COUNTIFS(T_TTAFStock[RM_Code],$A82,T_TTAFStock[WeekIndex],68)&gt;0)&gt;0,SUMIFS(T_SelfStock[Self_Qty],T_SelfStock[RM_Code],$A82,T_SelfStock[WeekIndex],68)+SUMIFS(T_TTAFStock[TTAF_Qty],T_TTAFStock[RM_Code],$A82,T_TTAFStock[WeekIndex],68),BP82+'Grid_Incoming'!BQ82-'Grid_Requirement'!BQ82))</f>
        <v/>
      </c>
      <c r="BR82">
        <f>IF(COUNTIFS(T_StockCount[RM_Code],$A82,T_StockCount[WeekIndex],69)&gt;0,SUMIFS(T_StockCount[CountedQty],T_StockCount[RM_Code],$A82,T_StockCount[WeekIndex],69),IF((COUNTIFS(T_SelfStock[RM_Code],$A82,T_SelfStock[WeekIndex],69)&gt;0)*(COUNTIFS(T_TTAFStock[RM_Code],$A82,T_TTAFStock[WeekIndex],69)&gt;0)&gt;0,SUMIFS(T_SelfStock[Self_Qty],T_SelfStock[RM_Code],$A82,T_SelfStock[WeekIndex],69)+SUMIFS(T_TTAFStock[TTAF_Qty],T_TTAFStock[RM_Code],$A82,T_TTAFStock[WeekIndex],69),BQ82+'Grid_Incoming'!BR82-'Grid_Requirement'!BR82))</f>
        <v/>
      </c>
      <c r="BS82">
        <f>IF(COUNTIFS(T_StockCount[RM_Code],$A82,T_StockCount[WeekIndex],70)&gt;0,SUMIFS(T_StockCount[CountedQty],T_StockCount[RM_Code],$A82,T_StockCount[WeekIndex],70),IF((COUNTIFS(T_SelfStock[RM_Code],$A82,T_SelfStock[WeekIndex],70)&gt;0)*(COUNTIFS(T_TTAFStock[RM_Code],$A82,T_TTAFStock[WeekIndex],70)&gt;0)&gt;0,SUMIFS(T_SelfStock[Self_Qty],T_SelfStock[RM_Code],$A82,T_SelfStock[WeekIndex],70)+SUMIFS(T_TTAFStock[TTAF_Qty],T_TTAFStock[RM_Code],$A82,T_TTAFStock[WeekIndex],70),BR82+'Grid_Incoming'!BS82-'Grid_Requirement'!BS82))</f>
        <v/>
      </c>
      <c r="BT82">
        <f>IF(COUNTIFS(T_StockCount[RM_Code],$A82,T_StockCount[WeekIndex],71)&gt;0,SUMIFS(T_StockCount[CountedQty],T_StockCount[RM_Code],$A82,T_StockCount[WeekIndex],71),IF((COUNTIFS(T_SelfStock[RM_Code],$A82,T_SelfStock[WeekIndex],71)&gt;0)*(COUNTIFS(T_TTAFStock[RM_Code],$A82,T_TTAFStock[WeekIndex],71)&gt;0)&gt;0,SUMIFS(T_SelfStock[Self_Qty],T_SelfStock[RM_Code],$A82,T_SelfStock[WeekIndex],71)+SUMIFS(T_TTAFStock[TTAF_Qty],T_TTAFStock[RM_Code],$A82,T_TTAFStock[WeekIndex],71),BS82+'Grid_Incoming'!BT82-'Grid_Requirement'!BT82))</f>
        <v/>
      </c>
      <c r="BU82">
        <f>IF(COUNTIFS(T_StockCount[RM_Code],$A82,T_StockCount[WeekIndex],72)&gt;0,SUMIFS(T_StockCount[CountedQty],T_StockCount[RM_Code],$A82,T_StockCount[WeekIndex],72),IF((COUNTIFS(T_SelfStock[RM_Code],$A82,T_SelfStock[WeekIndex],72)&gt;0)*(COUNTIFS(T_TTAFStock[RM_Code],$A82,T_TTAFStock[WeekIndex],72)&gt;0)&gt;0,SUMIFS(T_SelfStock[Self_Qty],T_SelfStock[RM_Code],$A82,T_SelfStock[WeekIndex],72)+SUMIFS(T_TTAFStock[TTAF_Qty],T_TTAFStock[RM_Code],$A82,T_TTAFStock[WeekIndex],72),BT82+'Grid_Incoming'!BU82-'Grid_Requirement'!BU82))</f>
        <v/>
      </c>
      <c r="BV82">
        <f>IF(COUNTIFS(T_StockCount[RM_Code],$A82,T_StockCount[WeekIndex],73)&gt;0,SUMIFS(T_StockCount[CountedQty],T_StockCount[RM_Code],$A82,T_StockCount[WeekIndex],73),IF((COUNTIFS(T_SelfStock[RM_Code],$A82,T_SelfStock[WeekIndex],73)&gt;0)*(COUNTIFS(T_TTAFStock[RM_Code],$A82,T_TTAFStock[WeekIndex],73)&gt;0)&gt;0,SUMIFS(T_SelfStock[Self_Qty],T_SelfStock[RM_Code],$A82,T_SelfStock[WeekIndex],73)+SUMIFS(T_TTAFStock[TTAF_Qty],T_TTAFStock[RM_Code],$A82,T_TTAFStock[WeekIndex],73),BU82+'Grid_Incoming'!BV82-'Grid_Requirement'!BV82))</f>
        <v/>
      </c>
      <c r="BW82">
        <f>IF(COUNTIFS(T_StockCount[RM_Code],$A82,T_StockCount[WeekIndex],74)&gt;0,SUMIFS(T_StockCount[CountedQty],T_StockCount[RM_Code],$A82,T_StockCount[WeekIndex],74),IF((COUNTIFS(T_SelfStock[RM_Code],$A82,T_SelfStock[WeekIndex],74)&gt;0)*(COUNTIFS(T_TTAFStock[RM_Code],$A82,T_TTAFStock[WeekIndex],74)&gt;0)&gt;0,SUMIFS(T_SelfStock[Self_Qty],T_SelfStock[RM_Code],$A82,T_SelfStock[WeekIndex],74)+SUMIFS(T_TTAFStock[TTAF_Qty],T_TTAFStock[RM_Code],$A82,T_TTAFStock[WeekIndex],74),BV82+'Grid_Incoming'!BW82-'Grid_Requirement'!BW82))</f>
        <v/>
      </c>
      <c r="BX82">
        <f>IF(COUNTIFS(T_StockCount[RM_Code],$A82,T_StockCount[WeekIndex],75)&gt;0,SUMIFS(T_StockCount[CountedQty],T_StockCount[RM_Code],$A82,T_StockCount[WeekIndex],75),IF((COUNTIFS(T_SelfStock[RM_Code],$A82,T_SelfStock[WeekIndex],75)&gt;0)*(COUNTIFS(T_TTAFStock[RM_Code],$A82,T_TTAFStock[WeekIndex],75)&gt;0)&gt;0,SUMIFS(T_SelfStock[Self_Qty],T_SelfStock[RM_Code],$A82,T_SelfStock[WeekIndex],75)+SUMIFS(T_TTAFStock[TTAF_Qty],T_TTAFStock[RM_Code],$A82,T_TTAFStock[WeekIndex],75),BW82+'Grid_Incoming'!BX82-'Grid_Requirement'!BX82))</f>
        <v/>
      </c>
      <c r="BY82">
        <f>IF(COUNTIFS(T_StockCount[RM_Code],$A82,T_StockCount[WeekIndex],76)&gt;0,SUMIFS(T_StockCount[CountedQty],T_StockCount[RM_Code],$A82,T_StockCount[WeekIndex],76),IF((COUNTIFS(T_SelfStock[RM_Code],$A82,T_SelfStock[WeekIndex],76)&gt;0)*(COUNTIFS(T_TTAFStock[RM_Code],$A82,T_TTAFStock[WeekIndex],76)&gt;0)&gt;0,SUMIFS(T_SelfStock[Self_Qty],T_SelfStock[RM_Code],$A82,T_SelfStock[WeekIndex],76)+SUMIFS(T_TTAFStock[TTAF_Qty],T_TTAFStock[RM_Code],$A82,T_TTAFStock[WeekIndex],76),BX82+'Grid_Incoming'!BY82-'Grid_Requirement'!BY82))</f>
        <v/>
      </c>
      <c r="BZ82">
        <f>IF(COUNTIFS(T_StockCount[RM_Code],$A82,T_StockCount[WeekIndex],77)&gt;0,SUMIFS(T_StockCount[CountedQty],T_StockCount[RM_Code],$A82,T_StockCount[WeekIndex],77),IF((COUNTIFS(T_SelfStock[RM_Code],$A82,T_SelfStock[WeekIndex],77)&gt;0)*(COUNTIFS(T_TTAFStock[RM_Code],$A82,T_TTAFStock[WeekIndex],77)&gt;0)&gt;0,SUMIFS(T_SelfStock[Self_Qty],T_SelfStock[RM_Code],$A82,T_SelfStock[WeekIndex],77)+SUMIFS(T_TTAFStock[TTAF_Qty],T_TTAFStock[RM_Code],$A82,T_TTAFStock[WeekIndex],77),BY82+'Grid_Incoming'!BZ82-'Grid_Requirement'!BZ82))</f>
        <v/>
      </c>
      <c r="CA82">
        <f>IF(COUNTIFS(T_StockCount[RM_Code],$A82,T_StockCount[WeekIndex],78)&gt;0,SUMIFS(T_StockCount[CountedQty],T_StockCount[RM_Code],$A82,T_StockCount[WeekIndex],78),IF((COUNTIFS(T_SelfStock[RM_Code],$A82,T_SelfStock[WeekIndex],78)&gt;0)*(COUNTIFS(T_TTAFStock[RM_Code],$A82,T_TTAFStock[WeekIndex],78)&gt;0)&gt;0,SUMIFS(T_SelfStock[Self_Qty],T_SelfStock[RM_Code],$A82,T_SelfStock[WeekIndex],78)+SUMIFS(T_TTAFStock[TTAF_Qty],T_TTAFStock[RM_Code],$A82,T_TTAFStock[WeekIndex],78),BZ82+'Grid_Incoming'!CA82-'Grid_Requirement'!CA82))</f>
        <v/>
      </c>
      <c r="CB82">
        <f>IF(COUNTIFS(T_StockCount[RM_Code],$A82,T_StockCount[WeekIndex],79)&gt;0,SUMIFS(T_StockCount[CountedQty],T_StockCount[RM_Code],$A82,T_StockCount[WeekIndex],79),IF((COUNTIFS(T_SelfStock[RM_Code],$A82,T_SelfStock[WeekIndex],79)&gt;0)*(COUNTIFS(T_TTAFStock[RM_Code],$A82,T_TTAFStock[WeekIndex],79)&gt;0)&gt;0,SUMIFS(T_SelfStock[Self_Qty],T_SelfStock[RM_Code],$A82,T_SelfStock[WeekIndex],79)+SUMIFS(T_TTAFStock[TTAF_Qty],T_TTAFStock[RM_Code],$A82,T_TTAFStock[WeekIndex],79),CA82+'Grid_Incoming'!CB82-'Grid_Requirement'!CB82))</f>
        <v/>
      </c>
      <c r="CC82">
        <f>IF(COUNTIFS(T_StockCount[RM_Code],$A82,T_StockCount[WeekIndex],80)&gt;0,SUMIFS(T_StockCount[CountedQty],T_StockCount[RM_Code],$A82,T_StockCount[WeekIndex],80),IF((COUNTIFS(T_SelfStock[RM_Code],$A82,T_SelfStock[WeekIndex],80)&gt;0)*(COUNTIFS(T_TTAFStock[RM_Code],$A82,T_TTAFStock[WeekIndex],80)&gt;0)&gt;0,SUMIFS(T_SelfStock[Self_Qty],T_SelfStock[RM_Code],$A82,T_SelfStock[WeekIndex],80)+SUMIFS(T_TTAFStock[TTAF_Qty],T_TTAFStock[RM_Code],$A82,T_TTAFStock[WeekIndex],80),CB82+'Grid_Incoming'!CC82-'Grid_Requirement'!CC82))</f>
        <v/>
      </c>
      <c r="CD82">
        <f>IF(COUNTIFS(T_StockCount[RM_Code],$A82,T_StockCount[WeekIndex],81)&gt;0,SUMIFS(T_StockCount[CountedQty],T_StockCount[RM_Code],$A82,T_StockCount[WeekIndex],81),IF((COUNTIFS(T_SelfStock[RM_Code],$A82,T_SelfStock[WeekIndex],81)&gt;0)*(COUNTIFS(T_TTAFStock[RM_Code],$A82,T_TTAFStock[WeekIndex],81)&gt;0)&gt;0,SUMIFS(T_SelfStock[Self_Qty],T_SelfStock[RM_Code],$A82,T_SelfStock[WeekIndex],81)+SUMIFS(T_TTAFStock[TTAF_Qty],T_TTAFStock[RM_Code],$A82,T_TTAFStock[WeekIndex],81),CC82+'Grid_Incoming'!CD82-'Grid_Requirement'!CD82))</f>
        <v/>
      </c>
      <c r="CE82">
        <f>IF(COUNTIFS(T_StockCount[RM_Code],$A82,T_StockCount[WeekIndex],82)&gt;0,SUMIFS(T_StockCount[CountedQty],T_StockCount[RM_Code],$A82,T_StockCount[WeekIndex],82),IF((COUNTIFS(T_SelfStock[RM_Code],$A82,T_SelfStock[WeekIndex],82)&gt;0)*(COUNTIFS(T_TTAFStock[RM_Code],$A82,T_TTAFStock[WeekIndex],82)&gt;0)&gt;0,SUMIFS(T_SelfStock[Self_Qty],T_SelfStock[RM_Code],$A82,T_SelfStock[WeekIndex],82)+SUMIFS(T_TTAFStock[TTAF_Qty],T_TTAFStock[RM_Code],$A82,T_TTAFStock[WeekIndex],82),CD82+'Grid_Incoming'!CE82-'Grid_Requirement'!CE82))</f>
        <v/>
      </c>
      <c r="CF82">
        <f>IF(COUNTIFS(T_StockCount[RM_Code],$A82,T_StockCount[WeekIndex],83)&gt;0,SUMIFS(T_StockCount[CountedQty],T_StockCount[RM_Code],$A82,T_StockCount[WeekIndex],83),IF((COUNTIFS(T_SelfStock[RM_Code],$A82,T_SelfStock[WeekIndex],83)&gt;0)*(COUNTIFS(T_TTAFStock[RM_Code],$A82,T_TTAFStock[WeekIndex],83)&gt;0)&gt;0,SUMIFS(T_SelfStock[Self_Qty],T_SelfStock[RM_Code],$A82,T_SelfStock[WeekIndex],83)+SUMIFS(T_TTAFStock[TTAF_Qty],T_TTAFStock[RM_Code],$A82,T_TTAFStock[WeekIndex],83),CE82+'Grid_Incoming'!CF82-'Grid_Requirement'!CF82))</f>
        <v/>
      </c>
      <c r="CG82">
        <f>IF(COUNTIFS(T_StockCount[RM_Code],$A82,T_StockCount[WeekIndex],84)&gt;0,SUMIFS(T_StockCount[CountedQty],T_StockCount[RM_Code],$A82,T_StockCount[WeekIndex],84),IF((COUNTIFS(T_SelfStock[RM_Code],$A82,T_SelfStock[WeekIndex],84)&gt;0)*(COUNTIFS(T_TTAFStock[RM_Code],$A82,T_TTAFStock[WeekIndex],84)&gt;0)&gt;0,SUMIFS(T_SelfStock[Self_Qty],T_SelfStock[RM_Code],$A82,T_SelfStock[WeekIndex],84)+SUMIFS(T_TTAFStock[TTAF_Qty],T_TTAFStock[RM_Code],$A82,T_TTAFStock[WeekIndex],84),CF82+'Grid_Incoming'!CG82-'Grid_Requirement'!CG82))</f>
        <v/>
      </c>
      <c r="CH82">
        <f>IF(COUNTIFS(T_StockCount[RM_Code],$A82,T_StockCount[WeekIndex],85)&gt;0,SUMIFS(T_StockCount[CountedQty],T_StockCount[RM_Code],$A82,T_StockCount[WeekIndex],85),IF((COUNTIFS(T_SelfStock[RM_Code],$A82,T_SelfStock[WeekIndex],85)&gt;0)*(COUNTIFS(T_TTAFStock[RM_Code],$A82,T_TTAFStock[WeekIndex],85)&gt;0)&gt;0,SUMIFS(T_SelfStock[Self_Qty],T_SelfStock[RM_Code],$A82,T_SelfStock[WeekIndex],85)+SUMIFS(T_TTAFStock[TTAF_Qty],T_TTAFStock[RM_Code],$A82,T_TTAFStock[WeekIndex],85),CG82+'Grid_Incoming'!CH82-'Grid_Requirement'!CH82))</f>
        <v/>
      </c>
      <c r="CI82">
        <f>IF(COUNTIFS(T_StockCount[RM_Code],$A82,T_StockCount[WeekIndex],86)&gt;0,SUMIFS(T_StockCount[CountedQty],T_StockCount[RM_Code],$A82,T_StockCount[WeekIndex],86),IF((COUNTIFS(T_SelfStock[RM_Code],$A82,T_SelfStock[WeekIndex],86)&gt;0)*(COUNTIFS(T_TTAFStock[RM_Code],$A82,T_TTAFStock[WeekIndex],86)&gt;0)&gt;0,SUMIFS(T_SelfStock[Self_Qty],T_SelfStock[RM_Code],$A82,T_SelfStock[WeekIndex],86)+SUMIFS(T_TTAFStock[TTAF_Qty],T_TTAFStock[RM_Code],$A82,T_TTAFStock[WeekIndex],86),CH82+'Grid_Incoming'!CI82-'Grid_Requirement'!CI82))</f>
        <v/>
      </c>
      <c r="CJ82">
        <f>IF(COUNTIFS(T_StockCount[RM_Code],$A82,T_StockCount[WeekIndex],87)&gt;0,SUMIFS(T_StockCount[CountedQty],T_StockCount[RM_Code],$A82,T_StockCount[WeekIndex],87),IF((COUNTIFS(T_SelfStock[RM_Code],$A82,T_SelfStock[WeekIndex],87)&gt;0)*(COUNTIFS(T_TTAFStock[RM_Code],$A82,T_TTAFStock[WeekIndex],87)&gt;0)&gt;0,SUMIFS(T_SelfStock[Self_Qty],T_SelfStock[RM_Code],$A82,T_SelfStock[WeekIndex],87)+SUMIFS(T_TTAFStock[TTAF_Qty],T_TTAFStock[RM_Code],$A82,T_TTAFStock[WeekIndex],87),CI82+'Grid_Incoming'!CJ82-'Grid_Requirement'!CJ82))</f>
        <v/>
      </c>
      <c r="CK82">
        <f>IF(COUNTIFS(T_StockCount[RM_Code],$A82,T_StockCount[WeekIndex],88)&gt;0,SUMIFS(T_StockCount[CountedQty],T_StockCount[RM_Code],$A82,T_StockCount[WeekIndex],88),IF((COUNTIFS(T_SelfStock[RM_Code],$A82,T_SelfStock[WeekIndex],88)&gt;0)*(COUNTIFS(T_TTAFStock[RM_Code],$A82,T_TTAFStock[WeekIndex],88)&gt;0)&gt;0,SUMIFS(T_SelfStock[Self_Qty],T_SelfStock[RM_Code],$A82,T_SelfStock[WeekIndex],88)+SUMIFS(T_TTAFStock[TTAF_Qty],T_TTAFStock[RM_Code],$A82,T_TTAFStock[WeekIndex],88),CJ82+'Grid_Incoming'!CK82-'Grid_Requirement'!CK82))</f>
        <v/>
      </c>
      <c r="CL82">
        <f>IF(COUNTIFS(T_StockCount[RM_Code],$A82,T_StockCount[WeekIndex],89)&gt;0,SUMIFS(T_StockCount[CountedQty],T_StockCount[RM_Code],$A82,T_StockCount[WeekIndex],89),IF((COUNTIFS(T_SelfStock[RM_Code],$A82,T_SelfStock[WeekIndex],89)&gt;0)*(COUNTIFS(T_TTAFStock[RM_Code],$A82,T_TTAFStock[WeekIndex],89)&gt;0)&gt;0,SUMIFS(T_SelfStock[Self_Qty],T_SelfStock[RM_Code],$A82,T_SelfStock[WeekIndex],89)+SUMIFS(T_TTAFStock[TTAF_Qty],T_TTAFStock[RM_Code],$A82,T_TTAFStock[WeekIndex],89),CK82+'Grid_Incoming'!CL82-'Grid_Requirement'!CL82))</f>
        <v/>
      </c>
      <c r="CM82">
        <f>IF(COUNTIFS(T_StockCount[RM_Code],$A82,T_StockCount[WeekIndex],90)&gt;0,SUMIFS(T_StockCount[CountedQty],T_StockCount[RM_Code],$A82,T_StockCount[WeekIndex],90),IF((COUNTIFS(T_SelfStock[RM_Code],$A82,T_SelfStock[WeekIndex],90)&gt;0)*(COUNTIFS(T_TTAFStock[RM_Code],$A82,T_TTAFStock[WeekIndex],90)&gt;0)&gt;0,SUMIFS(T_SelfStock[Self_Qty],T_SelfStock[RM_Code],$A82,T_SelfStock[WeekIndex],90)+SUMIFS(T_TTAFStock[TTAF_Qty],T_TTAFStock[RM_Code],$A82,T_TTAFStock[WeekIndex],90),CL82+'Grid_Incoming'!CM82-'Grid_Requirement'!CM82))</f>
        <v/>
      </c>
      <c r="CN82">
        <f>IF(COUNTIFS(T_StockCount[RM_Code],$A82,T_StockCount[WeekIndex],91)&gt;0,SUMIFS(T_StockCount[CountedQty],T_StockCount[RM_Code],$A82,T_StockCount[WeekIndex],91),IF((COUNTIFS(T_SelfStock[RM_Code],$A82,T_SelfStock[WeekIndex],91)&gt;0)*(COUNTIFS(T_TTAFStock[RM_Code],$A82,T_TTAFStock[WeekIndex],91)&gt;0)&gt;0,SUMIFS(T_SelfStock[Self_Qty],T_SelfStock[RM_Code],$A82,T_SelfStock[WeekIndex],91)+SUMIFS(T_TTAFStock[TTAF_Qty],T_TTAFStock[RM_Code],$A82,T_TTAFStock[WeekIndex],91),CM82+'Grid_Incoming'!CN82-'Grid_Requirement'!CN82))</f>
        <v/>
      </c>
      <c r="CO82">
        <f>IF(COUNTIFS(T_StockCount[RM_Code],$A82,T_StockCount[WeekIndex],92)&gt;0,SUMIFS(T_StockCount[CountedQty],T_StockCount[RM_Code],$A82,T_StockCount[WeekIndex],92),IF((COUNTIFS(T_SelfStock[RM_Code],$A82,T_SelfStock[WeekIndex],92)&gt;0)*(COUNTIFS(T_TTAFStock[RM_Code],$A82,T_TTAFStock[WeekIndex],92)&gt;0)&gt;0,SUMIFS(T_SelfStock[Self_Qty],T_SelfStock[RM_Code],$A82,T_SelfStock[WeekIndex],92)+SUMIFS(T_TTAFStock[TTAF_Qty],T_TTAFStock[RM_Code],$A82,T_TTAFStock[WeekIndex],92),CN82+'Grid_Incoming'!CO82-'Grid_Requirement'!CO82))</f>
        <v/>
      </c>
      <c r="CP82">
        <f>IF(COUNTIFS(T_StockCount[RM_Code],$A82,T_StockCount[WeekIndex],93)&gt;0,SUMIFS(T_StockCount[CountedQty],T_StockCount[RM_Code],$A82,T_StockCount[WeekIndex],93),IF((COUNTIFS(T_SelfStock[RM_Code],$A82,T_SelfStock[WeekIndex],93)&gt;0)*(COUNTIFS(T_TTAFStock[RM_Code],$A82,T_TTAFStock[WeekIndex],93)&gt;0)&gt;0,SUMIFS(T_SelfStock[Self_Qty],T_SelfStock[RM_Code],$A82,T_SelfStock[WeekIndex],93)+SUMIFS(T_TTAFStock[TTAF_Qty],T_TTAFStock[RM_Code],$A82,T_TTAFStock[WeekIndex],93),CO82+'Grid_Incoming'!CP82-'Grid_Requirement'!CP82))</f>
        <v/>
      </c>
      <c r="CQ82">
        <f>IF(COUNTIFS(T_StockCount[RM_Code],$A82,T_StockCount[WeekIndex],94)&gt;0,SUMIFS(T_StockCount[CountedQty],T_StockCount[RM_Code],$A82,T_StockCount[WeekIndex],94),IF((COUNTIFS(T_SelfStock[RM_Code],$A82,T_SelfStock[WeekIndex],94)&gt;0)*(COUNTIFS(T_TTAFStock[RM_Code],$A82,T_TTAFStock[WeekIndex],94)&gt;0)&gt;0,SUMIFS(T_SelfStock[Self_Qty],T_SelfStock[RM_Code],$A82,T_SelfStock[WeekIndex],94)+SUMIFS(T_TTAFStock[TTAF_Qty],T_TTAFStock[RM_Code],$A82,T_TTAFStock[WeekIndex],94),CP82+'Grid_Incoming'!CQ82-'Grid_Requirement'!CQ82))</f>
        <v/>
      </c>
      <c r="CR82">
        <f>IF(COUNTIFS(T_StockCount[RM_Code],$A82,T_StockCount[WeekIndex],95)&gt;0,SUMIFS(T_StockCount[CountedQty],T_StockCount[RM_Code],$A82,T_StockCount[WeekIndex],95),IF((COUNTIFS(T_SelfStock[RM_Code],$A82,T_SelfStock[WeekIndex],95)&gt;0)*(COUNTIFS(T_TTAFStock[RM_Code],$A82,T_TTAFStock[WeekIndex],95)&gt;0)&gt;0,SUMIFS(T_SelfStock[Self_Qty],T_SelfStock[RM_Code],$A82,T_SelfStock[WeekIndex],95)+SUMIFS(T_TTAFStock[TTAF_Qty],T_TTAFStock[RM_Code],$A82,T_TTAFStock[WeekIndex],95),CQ82+'Grid_Incoming'!CR82-'Grid_Requirement'!CR82))</f>
        <v/>
      </c>
      <c r="CS82">
        <f>IF(COUNTIFS(T_StockCount[RM_Code],$A82,T_StockCount[WeekIndex],96)&gt;0,SUMIFS(T_StockCount[CountedQty],T_StockCount[RM_Code],$A82,T_StockCount[WeekIndex],96),IF((COUNTIFS(T_SelfStock[RM_Code],$A82,T_SelfStock[WeekIndex],96)&gt;0)*(COUNTIFS(T_TTAFStock[RM_Code],$A82,T_TTAFStock[WeekIndex],96)&gt;0)&gt;0,SUMIFS(T_SelfStock[Self_Qty],T_SelfStock[RM_Code],$A82,T_SelfStock[WeekIndex],96)+SUMIFS(T_TTAFStock[TTAF_Qty],T_TTAFStock[RM_Code],$A82,T_TTAFStock[WeekIndex],96),CR82+'Grid_Incoming'!CS82-'Grid_Requirement'!CS82))</f>
        <v/>
      </c>
      <c r="CT82">
        <f>IF(COUNTIFS(T_StockCount[RM_Code],$A82,T_StockCount[WeekIndex],97)&gt;0,SUMIFS(T_StockCount[CountedQty],T_StockCount[RM_Code],$A82,T_StockCount[WeekIndex],97),IF((COUNTIFS(T_SelfStock[RM_Code],$A82,T_SelfStock[WeekIndex],97)&gt;0)*(COUNTIFS(T_TTAFStock[RM_Code],$A82,T_TTAFStock[WeekIndex],97)&gt;0)&gt;0,SUMIFS(T_SelfStock[Self_Qty],T_SelfStock[RM_Code],$A82,T_SelfStock[WeekIndex],97)+SUMIFS(T_TTAFStock[TTAF_Qty],T_TTAFStock[RM_Code],$A82,T_TTAFStock[WeekIndex],97),CS82+'Grid_Incoming'!CT82-'Grid_Requirement'!CT82))</f>
        <v/>
      </c>
      <c r="CU82">
        <f>IF(COUNTIFS(T_StockCount[RM_Code],$A82,T_StockCount[WeekIndex],98)&gt;0,SUMIFS(T_StockCount[CountedQty],T_StockCount[RM_Code],$A82,T_StockCount[WeekIndex],98),IF((COUNTIFS(T_SelfStock[RM_Code],$A82,T_SelfStock[WeekIndex],98)&gt;0)*(COUNTIFS(T_TTAFStock[RM_Code],$A82,T_TTAFStock[WeekIndex],98)&gt;0)&gt;0,SUMIFS(T_SelfStock[Self_Qty],T_SelfStock[RM_Code],$A82,T_SelfStock[WeekIndex],98)+SUMIFS(T_TTAFStock[TTAF_Qty],T_TTAFStock[RM_Code],$A82,T_TTAFStock[WeekIndex],98),CT82+'Grid_Incoming'!CU82-'Grid_Requirement'!CU82))</f>
        <v/>
      </c>
      <c r="CV82">
        <f>IF(COUNTIFS(T_StockCount[RM_Code],$A82,T_StockCount[WeekIndex],99)&gt;0,SUMIFS(T_StockCount[CountedQty],T_StockCount[RM_Code],$A82,T_StockCount[WeekIndex],99),IF((COUNTIFS(T_SelfStock[RM_Code],$A82,T_SelfStock[WeekIndex],99)&gt;0)*(COUNTIFS(T_TTAFStock[RM_Code],$A82,T_TTAFStock[WeekIndex],99)&gt;0)&gt;0,SUMIFS(T_SelfStock[Self_Qty],T_SelfStock[RM_Code],$A82,T_SelfStock[WeekIndex],99)+SUMIFS(T_TTAFStock[TTAF_Qty],T_TTAFStock[RM_Code],$A82,T_TTAFStock[WeekIndex],99),CU82+'Grid_Incoming'!CV82-'Grid_Requirement'!CV82))</f>
        <v/>
      </c>
      <c r="CW82">
        <f>IF(COUNTIFS(T_StockCount[RM_Code],$A82,T_StockCount[WeekIndex],100)&gt;0,SUMIFS(T_StockCount[CountedQty],T_StockCount[RM_Code],$A82,T_StockCount[WeekIndex],100),IF((COUNTIFS(T_SelfStock[RM_Code],$A82,T_SelfStock[WeekIndex],100)&gt;0)*(COUNTIFS(T_TTAFStock[RM_Code],$A82,T_TTAFStock[WeekIndex],100)&gt;0)&gt;0,SUMIFS(T_SelfStock[Self_Qty],T_SelfStock[RM_Code],$A82,T_SelfStock[WeekIndex],100)+SUMIFS(T_TTAFStock[TTAF_Qty],T_TTAFStock[RM_Code],$A82,T_TTAFStock[WeekIndex],100),CV82+'Grid_Incoming'!CW82-'Grid_Requirement'!CW82))</f>
        <v/>
      </c>
      <c r="CX82">
        <f>IF(COUNTIFS(T_StockCount[RM_Code],$A82,T_StockCount[WeekIndex],101)&gt;0,SUMIFS(T_StockCount[CountedQty],T_StockCount[RM_Code],$A82,T_StockCount[WeekIndex],101),IF((COUNTIFS(T_SelfStock[RM_Code],$A82,T_SelfStock[WeekIndex],101)&gt;0)*(COUNTIFS(T_TTAFStock[RM_Code],$A82,T_TTAFStock[WeekIndex],101)&gt;0)&gt;0,SUMIFS(T_SelfStock[Self_Qty],T_SelfStock[RM_Code],$A82,T_SelfStock[WeekIndex],101)+SUMIFS(T_TTAFStock[TTAF_Qty],T_TTAFStock[RM_Code],$A82,T_TTAFStock[WeekIndex],101),CW82+'Grid_Incoming'!CX82-'Grid_Requirement'!CX82))</f>
        <v/>
      </c>
      <c r="CY82">
        <f>IF(COUNTIFS(T_StockCount[RM_Code],$A82,T_StockCount[WeekIndex],102)&gt;0,SUMIFS(T_StockCount[CountedQty],T_StockCount[RM_Code],$A82,T_StockCount[WeekIndex],102),IF((COUNTIFS(T_SelfStock[RM_Code],$A82,T_SelfStock[WeekIndex],102)&gt;0)*(COUNTIFS(T_TTAFStock[RM_Code],$A82,T_TTAFStock[WeekIndex],102)&gt;0)&gt;0,SUMIFS(T_SelfStock[Self_Qty],T_SelfStock[RM_Code],$A82,T_SelfStock[WeekIndex],102)+SUMIFS(T_TTAFStock[TTAF_Qty],T_TTAFStock[RM_Code],$A82,T_TTAFStock[WeekIndex],102),CX82+'Grid_Incoming'!CY82-'Grid_Requirement'!CY82))</f>
        <v/>
      </c>
      <c r="CZ82">
        <f>IF(COUNTIFS(T_StockCount[RM_Code],$A82,T_StockCount[WeekIndex],103)&gt;0,SUMIFS(T_StockCount[CountedQty],T_StockCount[RM_Code],$A82,T_StockCount[WeekIndex],103),IF((COUNTIFS(T_SelfStock[RM_Code],$A82,T_SelfStock[WeekIndex],103)&gt;0)*(COUNTIFS(T_TTAFStock[RM_Code],$A82,T_TTAFStock[WeekIndex],103)&gt;0)&gt;0,SUMIFS(T_SelfStock[Self_Qty],T_SelfStock[RM_Code],$A82,T_SelfStock[WeekIndex],103)+SUMIFS(T_TTAFStock[TTAF_Qty],T_TTAFStock[RM_Code],$A82,T_TTAFStock[WeekIndex],103),CY82+'Grid_Incoming'!CZ82-'Grid_Requirement'!CZ82))</f>
        <v/>
      </c>
      <c r="DA82">
        <f>IF(COUNTIFS(T_StockCount[RM_Code],$A82,T_StockCount[WeekIndex],104)&gt;0,SUMIFS(T_StockCount[CountedQty],T_StockCount[RM_Code],$A82,T_StockCount[WeekIndex],104),IF((COUNTIFS(T_SelfStock[RM_Code],$A82,T_SelfStock[WeekIndex],104)&gt;0)*(COUNTIFS(T_TTAFStock[RM_Code],$A82,T_TTAFStock[WeekIndex],104)&gt;0)&gt;0,SUMIFS(T_SelfStock[Self_Qty],T_SelfStock[RM_Code],$A82,T_SelfStock[WeekIndex],104)+SUMIFS(T_TTAFStock[TTAF_Qty],T_TTAFStock[RM_Code],$A82,T_TTAFStock[WeekIndex],104),CZ82+'Grid_Incoming'!DA82-'Grid_Requirement'!DA82))</f>
        <v/>
      </c>
    </row>
    <row r="83">
      <c r="A83" t="inlineStr">
        <is>
          <t>CHEM-1220</t>
        </is>
      </c>
      <c r="B83">
        <f>IF(COUNTIFS(T_StockCount[RM_Code],$A83,T_StockCount[WeekIndex],1)&gt;0,SUMIFS(T_StockCount[CountedQty],T_StockCount[RM_Code],$A83,T_StockCount[WeekIndex],1),IF((COUNTIFS(T_SelfStock[RM_Code],$A83,T_SelfStock[WeekIndex],1)&gt;0)*(COUNTIFS(T_TTAFStock[RM_Code],$A83,T_TTAFStock[WeekIndex],1)&gt;0)&gt;0,SUMIFS(T_SelfStock[Self_Qty],T_SelfStock[RM_Code],$A83,T_SelfStock[WeekIndex],1)+SUMIFS(T_TTAFStock[TTAF_Qty],T_TTAFStock[RM_Code],$A83,T_TTAFStock[WeekIndex],1),IFERROR(INDEX(T_OpeningStock[Opening_Qty],MATCH($A83,T_OpeningStock[RM_Code],0)),0)+'Grid_Incoming'!B83-'Grid_Requirement'!B83))</f>
        <v/>
      </c>
      <c r="C83">
        <f>IF(COUNTIFS(T_StockCount[RM_Code],$A83,T_StockCount[WeekIndex],2)&gt;0,SUMIFS(T_StockCount[CountedQty],T_StockCount[RM_Code],$A83,T_StockCount[WeekIndex],2),IF((COUNTIFS(T_SelfStock[RM_Code],$A83,T_SelfStock[WeekIndex],2)&gt;0)*(COUNTIFS(T_TTAFStock[RM_Code],$A83,T_TTAFStock[WeekIndex],2)&gt;0)&gt;0,SUMIFS(T_SelfStock[Self_Qty],T_SelfStock[RM_Code],$A83,T_SelfStock[WeekIndex],2)+SUMIFS(T_TTAFStock[TTAF_Qty],T_TTAFStock[RM_Code],$A83,T_TTAFStock[WeekIndex],2),B83+'Grid_Incoming'!C83-'Grid_Requirement'!C83))</f>
        <v/>
      </c>
      <c r="D83">
        <f>IF(COUNTIFS(T_StockCount[RM_Code],$A83,T_StockCount[WeekIndex],3)&gt;0,SUMIFS(T_StockCount[CountedQty],T_StockCount[RM_Code],$A83,T_StockCount[WeekIndex],3),IF((COUNTIFS(T_SelfStock[RM_Code],$A83,T_SelfStock[WeekIndex],3)&gt;0)*(COUNTIFS(T_TTAFStock[RM_Code],$A83,T_TTAFStock[WeekIndex],3)&gt;0)&gt;0,SUMIFS(T_SelfStock[Self_Qty],T_SelfStock[RM_Code],$A83,T_SelfStock[WeekIndex],3)+SUMIFS(T_TTAFStock[TTAF_Qty],T_TTAFStock[RM_Code],$A83,T_TTAFStock[WeekIndex],3),C83+'Grid_Incoming'!D83-'Grid_Requirement'!D83))</f>
        <v/>
      </c>
      <c r="E83">
        <f>IF(COUNTIFS(T_StockCount[RM_Code],$A83,T_StockCount[WeekIndex],4)&gt;0,SUMIFS(T_StockCount[CountedQty],T_StockCount[RM_Code],$A83,T_StockCount[WeekIndex],4),IF((COUNTIFS(T_SelfStock[RM_Code],$A83,T_SelfStock[WeekIndex],4)&gt;0)*(COUNTIFS(T_TTAFStock[RM_Code],$A83,T_TTAFStock[WeekIndex],4)&gt;0)&gt;0,SUMIFS(T_SelfStock[Self_Qty],T_SelfStock[RM_Code],$A83,T_SelfStock[WeekIndex],4)+SUMIFS(T_TTAFStock[TTAF_Qty],T_TTAFStock[RM_Code],$A83,T_TTAFStock[WeekIndex],4),D83+'Grid_Incoming'!E83-'Grid_Requirement'!E83))</f>
        <v/>
      </c>
      <c r="F83">
        <f>IF(COUNTIFS(T_StockCount[RM_Code],$A83,T_StockCount[WeekIndex],5)&gt;0,SUMIFS(T_StockCount[CountedQty],T_StockCount[RM_Code],$A83,T_StockCount[WeekIndex],5),IF((COUNTIFS(T_SelfStock[RM_Code],$A83,T_SelfStock[WeekIndex],5)&gt;0)*(COUNTIFS(T_TTAFStock[RM_Code],$A83,T_TTAFStock[WeekIndex],5)&gt;0)&gt;0,SUMIFS(T_SelfStock[Self_Qty],T_SelfStock[RM_Code],$A83,T_SelfStock[WeekIndex],5)+SUMIFS(T_TTAFStock[TTAF_Qty],T_TTAFStock[RM_Code],$A83,T_TTAFStock[WeekIndex],5),E83+'Grid_Incoming'!F83-'Grid_Requirement'!F83))</f>
        <v/>
      </c>
      <c r="G83">
        <f>IF(COUNTIFS(T_StockCount[RM_Code],$A83,T_StockCount[WeekIndex],6)&gt;0,SUMIFS(T_StockCount[CountedQty],T_StockCount[RM_Code],$A83,T_StockCount[WeekIndex],6),IF((COUNTIFS(T_SelfStock[RM_Code],$A83,T_SelfStock[WeekIndex],6)&gt;0)*(COUNTIFS(T_TTAFStock[RM_Code],$A83,T_TTAFStock[WeekIndex],6)&gt;0)&gt;0,SUMIFS(T_SelfStock[Self_Qty],T_SelfStock[RM_Code],$A83,T_SelfStock[WeekIndex],6)+SUMIFS(T_TTAFStock[TTAF_Qty],T_TTAFStock[RM_Code],$A83,T_TTAFStock[WeekIndex],6),F83+'Grid_Incoming'!G83-'Grid_Requirement'!G83))</f>
        <v/>
      </c>
      <c r="H83">
        <f>IF(COUNTIFS(T_StockCount[RM_Code],$A83,T_StockCount[WeekIndex],7)&gt;0,SUMIFS(T_StockCount[CountedQty],T_StockCount[RM_Code],$A83,T_StockCount[WeekIndex],7),IF((COUNTIFS(T_SelfStock[RM_Code],$A83,T_SelfStock[WeekIndex],7)&gt;0)*(COUNTIFS(T_TTAFStock[RM_Code],$A83,T_TTAFStock[WeekIndex],7)&gt;0)&gt;0,SUMIFS(T_SelfStock[Self_Qty],T_SelfStock[RM_Code],$A83,T_SelfStock[WeekIndex],7)+SUMIFS(T_TTAFStock[TTAF_Qty],T_TTAFStock[RM_Code],$A83,T_TTAFStock[WeekIndex],7),G83+'Grid_Incoming'!H83-'Grid_Requirement'!H83))</f>
        <v/>
      </c>
      <c r="I83">
        <f>IF(COUNTIFS(T_StockCount[RM_Code],$A83,T_StockCount[WeekIndex],8)&gt;0,SUMIFS(T_StockCount[CountedQty],T_StockCount[RM_Code],$A83,T_StockCount[WeekIndex],8),IF((COUNTIFS(T_SelfStock[RM_Code],$A83,T_SelfStock[WeekIndex],8)&gt;0)*(COUNTIFS(T_TTAFStock[RM_Code],$A83,T_TTAFStock[WeekIndex],8)&gt;0)&gt;0,SUMIFS(T_SelfStock[Self_Qty],T_SelfStock[RM_Code],$A83,T_SelfStock[WeekIndex],8)+SUMIFS(T_TTAFStock[TTAF_Qty],T_TTAFStock[RM_Code],$A83,T_TTAFStock[WeekIndex],8),H83+'Grid_Incoming'!I83-'Grid_Requirement'!I83))</f>
        <v/>
      </c>
      <c r="J83">
        <f>IF(COUNTIFS(T_StockCount[RM_Code],$A83,T_StockCount[WeekIndex],9)&gt;0,SUMIFS(T_StockCount[CountedQty],T_StockCount[RM_Code],$A83,T_StockCount[WeekIndex],9),IF((COUNTIFS(T_SelfStock[RM_Code],$A83,T_SelfStock[WeekIndex],9)&gt;0)*(COUNTIFS(T_TTAFStock[RM_Code],$A83,T_TTAFStock[WeekIndex],9)&gt;0)&gt;0,SUMIFS(T_SelfStock[Self_Qty],T_SelfStock[RM_Code],$A83,T_SelfStock[WeekIndex],9)+SUMIFS(T_TTAFStock[TTAF_Qty],T_TTAFStock[RM_Code],$A83,T_TTAFStock[WeekIndex],9),I83+'Grid_Incoming'!J83-'Grid_Requirement'!J83))</f>
        <v/>
      </c>
      <c r="K83">
        <f>IF(COUNTIFS(T_StockCount[RM_Code],$A83,T_StockCount[WeekIndex],10)&gt;0,SUMIFS(T_StockCount[CountedQty],T_StockCount[RM_Code],$A83,T_StockCount[WeekIndex],10),IF((COUNTIFS(T_SelfStock[RM_Code],$A83,T_SelfStock[WeekIndex],10)&gt;0)*(COUNTIFS(T_TTAFStock[RM_Code],$A83,T_TTAFStock[WeekIndex],10)&gt;0)&gt;0,SUMIFS(T_SelfStock[Self_Qty],T_SelfStock[RM_Code],$A83,T_SelfStock[WeekIndex],10)+SUMIFS(T_TTAFStock[TTAF_Qty],T_TTAFStock[RM_Code],$A83,T_TTAFStock[WeekIndex],10),J83+'Grid_Incoming'!K83-'Grid_Requirement'!K83))</f>
        <v/>
      </c>
      <c r="L83">
        <f>IF(COUNTIFS(T_StockCount[RM_Code],$A83,T_StockCount[WeekIndex],11)&gt;0,SUMIFS(T_StockCount[CountedQty],T_StockCount[RM_Code],$A83,T_StockCount[WeekIndex],11),IF((COUNTIFS(T_SelfStock[RM_Code],$A83,T_SelfStock[WeekIndex],11)&gt;0)*(COUNTIFS(T_TTAFStock[RM_Code],$A83,T_TTAFStock[WeekIndex],11)&gt;0)&gt;0,SUMIFS(T_SelfStock[Self_Qty],T_SelfStock[RM_Code],$A83,T_SelfStock[WeekIndex],11)+SUMIFS(T_TTAFStock[TTAF_Qty],T_TTAFStock[RM_Code],$A83,T_TTAFStock[WeekIndex],11),K83+'Grid_Incoming'!L83-'Grid_Requirement'!L83))</f>
        <v/>
      </c>
      <c r="M83">
        <f>IF(COUNTIFS(T_StockCount[RM_Code],$A83,T_StockCount[WeekIndex],12)&gt;0,SUMIFS(T_StockCount[CountedQty],T_StockCount[RM_Code],$A83,T_StockCount[WeekIndex],12),IF((COUNTIFS(T_SelfStock[RM_Code],$A83,T_SelfStock[WeekIndex],12)&gt;0)*(COUNTIFS(T_TTAFStock[RM_Code],$A83,T_TTAFStock[WeekIndex],12)&gt;0)&gt;0,SUMIFS(T_SelfStock[Self_Qty],T_SelfStock[RM_Code],$A83,T_SelfStock[WeekIndex],12)+SUMIFS(T_TTAFStock[TTAF_Qty],T_TTAFStock[RM_Code],$A83,T_TTAFStock[WeekIndex],12),L83+'Grid_Incoming'!M83-'Grid_Requirement'!M83))</f>
        <v/>
      </c>
      <c r="N83">
        <f>IF(COUNTIFS(T_StockCount[RM_Code],$A83,T_StockCount[WeekIndex],13)&gt;0,SUMIFS(T_StockCount[CountedQty],T_StockCount[RM_Code],$A83,T_StockCount[WeekIndex],13),IF((COUNTIFS(T_SelfStock[RM_Code],$A83,T_SelfStock[WeekIndex],13)&gt;0)*(COUNTIFS(T_TTAFStock[RM_Code],$A83,T_TTAFStock[WeekIndex],13)&gt;0)&gt;0,SUMIFS(T_SelfStock[Self_Qty],T_SelfStock[RM_Code],$A83,T_SelfStock[WeekIndex],13)+SUMIFS(T_TTAFStock[TTAF_Qty],T_TTAFStock[RM_Code],$A83,T_TTAFStock[WeekIndex],13),M83+'Grid_Incoming'!N83-'Grid_Requirement'!N83))</f>
        <v/>
      </c>
      <c r="O83">
        <f>IF(COUNTIFS(T_StockCount[RM_Code],$A83,T_StockCount[WeekIndex],14)&gt;0,SUMIFS(T_StockCount[CountedQty],T_StockCount[RM_Code],$A83,T_StockCount[WeekIndex],14),IF((COUNTIFS(T_SelfStock[RM_Code],$A83,T_SelfStock[WeekIndex],14)&gt;0)*(COUNTIFS(T_TTAFStock[RM_Code],$A83,T_TTAFStock[WeekIndex],14)&gt;0)&gt;0,SUMIFS(T_SelfStock[Self_Qty],T_SelfStock[RM_Code],$A83,T_SelfStock[WeekIndex],14)+SUMIFS(T_TTAFStock[TTAF_Qty],T_TTAFStock[RM_Code],$A83,T_TTAFStock[WeekIndex],14),N83+'Grid_Incoming'!O83-'Grid_Requirement'!O83))</f>
        <v/>
      </c>
      <c r="P83">
        <f>IF(COUNTIFS(T_StockCount[RM_Code],$A83,T_StockCount[WeekIndex],15)&gt;0,SUMIFS(T_StockCount[CountedQty],T_StockCount[RM_Code],$A83,T_StockCount[WeekIndex],15),IF((COUNTIFS(T_SelfStock[RM_Code],$A83,T_SelfStock[WeekIndex],15)&gt;0)*(COUNTIFS(T_TTAFStock[RM_Code],$A83,T_TTAFStock[WeekIndex],15)&gt;0)&gt;0,SUMIFS(T_SelfStock[Self_Qty],T_SelfStock[RM_Code],$A83,T_SelfStock[WeekIndex],15)+SUMIFS(T_TTAFStock[TTAF_Qty],T_TTAFStock[RM_Code],$A83,T_TTAFStock[WeekIndex],15),O83+'Grid_Incoming'!P83-'Grid_Requirement'!P83))</f>
        <v/>
      </c>
      <c r="Q83">
        <f>IF(COUNTIFS(T_StockCount[RM_Code],$A83,T_StockCount[WeekIndex],16)&gt;0,SUMIFS(T_StockCount[CountedQty],T_StockCount[RM_Code],$A83,T_StockCount[WeekIndex],16),IF((COUNTIFS(T_SelfStock[RM_Code],$A83,T_SelfStock[WeekIndex],16)&gt;0)*(COUNTIFS(T_TTAFStock[RM_Code],$A83,T_TTAFStock[WeekIndex],16)&gt;0)&gt;0,SUMIFS(T_SelfStock[Self_Qty],T_SelfStock[RM_Code],$A83,T_SelfStock[WeekIndex],16)+SUMIFS(T_TTAFStock[TTAF_Qty],T_TTAFStock[RM_Code],$A83,T_TTAFStock[WeekIndex],16),P83+'Grid_Incoming'!Q83-'Grid_Requirement'!Q83))</f>
        <v/>
      </c>
      <c r="R83">
        <f>IF(COUNTIFS(T_StockCount[RM_Code],$A83,T_StockCount[WeekIndex],17)&gt;0,SUMIFS(T_StockCount[CountedQty],T_StockCount[RM_Code],$A83,T_StockCount[WeekIndex],17),IF((COUNTIFS(T_SelfStock[RM_Code],$A83,T_SelfStock[WeekIndex],17)&gt;0)*(COUNTIFS(T_TTAFStock[RM_Code],$A83,T_TTAFStock[WeekIndex],17)&gt;0)&gt;0,SUMIFS(T_SelfStock[Self_Qty],T_SelfStock[RM_Code],$A83,T_SelfStock[WeekIndex],17)+SUMIFS(T_TTAFStock[TTAF_Qty],T_TTAFStock[RM_Code],$A83,T_TTAFStock[WeekIndex],17),Q83+'Grid_Incoming'!R83-'Grid_Requirement'!R83))</f>
        <v/>
      </c>
      <c r="S83">
        <f>IF(COUNTIFS(T_StockCount[RM_Code],$A83,T_StockCount[WeekIndex],18)&gt;0,SUMIFS(T_StockCount[CountedQty],T_StockCount[RM_Code],$A83,T_StockCount[WeekIndex],18),IF((COUNTIFS(T_SelfStock[RM_Code],$A83,T_SelfStock[WeekIndex],18)&gt;0)*(COUNTIFS(T_TTAFStock[RM_Code],$A83,T_TTAFStock[WeekIndex],18)&gt;0)&gt;0,SUMIFS(T_SelfStock[Self_Qty],T_SelfStock[RM_Code],$A83,T_SelfStock[WeekIndex],18)+SUMIFS(T_TTAFStock[TTAF_Qty],T_TTAFStock[RM_Code],$A83,T_TTAFStock[WeekIndex],18),R83+'Grid_Incoming'!S83-'Grid_Requirement'!S83))</f>
        <v/>
      </c>
      <c r="T83">
        <f>IF(COUNTIFS(T_StockCount[RM_Code],$A83,T_StockCount[WeekIndex],19)&gt;0,SUMIFS(T_StockCount[CountedQty],T_StockCount[RM_Code],$A83,T_StockCount[WeekIndex],19),IF((COUNTIFS(T_SelfStock[RM_Code],$A83,T_SelfStock[WeekIndex],19)&gt;0)*(COUNTIFS(T_TTAFStock[RM_Code],$A83,T_TTAFStock[WeekIndex],19)&gt;0)&gt;0,SUMIFS(T_SelfStock[Self_Qty],T_SelfStock[RM_Code],$A83,T_SelfStock[WeekIndex],19)+SUMIFS(T_TTAFStock[TTAF_Qty],T_TTAFStock[RM_Code],$A83,T_TTAFStock[WeekIndex],19),S83+'Grid_Incoming'!T83-'Grid_Requirement'!T83))</f>
        <v/>
      </c>
      <c r="U83">
        <f>IF(COUNTIFS(T_StockCount[RM_Code],$A83,T_StockCount[WeekIndex],20)&gt;0,SUMIFS(T_StockCount[CountedQty],T_StockCount[RM_Code],$A83,T_StockCount[WeekIndex],20),IF((COUNTIFS(T_SelfStock[RM_Code],$A83,T_SelfStock[WeekIndex],20)&gt;0)*(COUNTIFS(T_TTAFStock[RM_Code],$A83,T_TTAFStock[WeekIndex],20)&gt;0)&gt;0,SUMIFS(T_SelfStock[Self_Qty],T_SelfStock[RM_Code],$A83,T_SelfStock[WeekIndex],20)+SUMIFS(T_TTAFStock[TTAF_Qty],T_TTAFStock[RM_Code],$A83,T_TTAFStock[WeekIndex],20),T83+'Grid_Incoming'!U83-'Grid_Requirement'!U83))</f>
        <v/>
      </c>
      <c r="V83">
        <f>IF(COUNTIFS(T_StockCount[RM_Code],$A83,T_StockCount[WeekIndex],21)&gt;0,SUMIFS(T_StockCount[CountedQty],T_StockCount[RM_Code],$A83,T_StockCount[WeekIndex],21),IF((COUNTIFS(T_SelfStock[RM_Code],$A83,T_SelfStock[WeekIndex],21)&gt;0)*(COUNTIFS(T_TTAFStock[RM_Code],$A83,T_TTAFStock[WeekIndex],21)&gt;0)&gt;0,SUMIFS(T_SelfStock[Self_Qty],T_SelfStock[RM_Code],$A83,T_SelfStock[WeekIndex],21)+SUMIFS(T_TTAFStock[TTAF_Qty],T_TTAFStock[RM_Code],$A83,T_TTAFStock[WeekIndex],21),U83+'Grid_Incoming'!V83-'Grid_Requirement'!V83))</f>
        <v/>
      </c>
      <c r="W83">
        <f>IF(COUNTIFS(T_StockCount[RM_Code],$A83,T_StockCount[WeekIndex],22)&gt;0,SUMIFS(T_StockCount[CountedQty],T_StockCount[RM_Code],$A83,T_StockCount[WeekIndex],22),IF((COUNTIFS(T_SelfStock[RM_Code],$A83,T_SelfStock[WeekIndex],22)&gt;0)*(COUNTIFS(T_TTAFStock[RM_Code],$A83,T_TTAFStock[WeekIndex],22)&gt;0)&gt;0,SUMIFS(T_SelfStock[Self_Qty],T_SelfStock[RM_Code],$A83,T_SelfStock[WeekIndex],22)+SUMIFS(T_TTAFStock[TTAF_Qty],T_TTAFStock[RM_Code],$A83,T_TTAFStock[WeekIndex],22),V83+'Grid_Incoming'!W83-'Grid_Requirement'!W83))</f>
        <v/>
      </c>
      <c r="X83">
        <f>IF(COUNTIFS(T_StockCount[RM_Code],$A83,T_StockCount[WeekIndex],23)&gt;0,SUMIFS(T_StockCount[CountedQty],T_StockCount[RM_Code],$A83,T_StockCount[WeekIndex],23),IF((COUNTIFS(T_SelfStock[RM_Code],$A83,T_SelfStock[WeekIndex],23)&gt;0)*(COUNTIFS(T_TTAFStock[RM_Code],$A83,T_TTAFStock[WeekIndex],23)&gt;0)&gt;0,SUMIFS(T_SelfStock[Self_Qty],T_SelfStock[RM_Code],$A83,T_SelfStock[WeekIndex],23)+SUMIFS(T_TTAFStock[TTAF_Qty],T_TTAFStock[RM_Code],$A83,T_TTAFStock[WeekIndex],23),W83+'Grid_Incoming'!X83-'Grid_Requirement'!X83))</f>
        <v/>
      </c>
      <c r="Y83">
        <f>IF(COUNTIFS(T_StockCount[RM_Code],$A83,T_StockCount[WeekIndex],24)&gt;0,SUMIFS(T_StockCount[CountedQty],T_StockCount[RM_Code],$A83,T_StockCount[WeekIndex],24),IF((COUNTIFS(T_SelfStock[RM_Code],$A83,T_SelfStock[WeekIndex],24)&gt;0)*(COUNTIFS(T_TTAFStock[RM_Code],$A83,T_TTAFStock[WeekIndex],24)&gt;0)&gt;0,SUMIFS(T_SelfStock[Self_Qty],T_SelfStock[RM_Code],$A83,T_SelfStock[WeekIndex],24)+SUMIFS(T_TTAFStock[TTAF_Qty],T_TTAFStock[RM_Code],$A83,T_TTAFStock[WeekIndex],24),X83+'Grid_Incoming'!Y83-'Grid_Requirement'!Y83))</f>
        <v/>
      </c>
      <c r="Z83">
        <f>IF(COUNTIFS(T_StockCount[RM_Code],$A83,T_StockCount[WeekIndex],25)&gt;0,SUMIFS(T_StockCount[CountedQty],T_StockCount[RM_Code],$A83,T_StockCount[WeekIndex],25),IF((COUNTIFS(T_SelfStock[RM_Code],$A83,T_SelfStock[WeekIndex],25)&gt;0)*(COUNTIFS(T_TTAFStock[RM_Code],$A83,T_TTAFStock[WeekIndex],25)&gt;0)&gt;0,SUMIFS(T_SelfStock[Self_Qty],T_SelfStock[RM_Code],$A83,T_SelfStock[WeekIndex],25)+SUMIFS(T_TTAFStock[TTAF_Qty],T_TTAFStock[RM_Code],$A83,T_TTAFStock[WeekIndex],25),Y83+'Grid_Incoming'!Z83-'Grid_Requirement'!Z83))</f>
        <v/>
      </c>
      <c r="AA83">
        <f>IF(COUNTIFS(T_StockCount[RM_Code],$A83,T_StockCount[WeekIndex],26)&gt;0,SUMIFS(T_StockCount[CountedQty],T_StockCount[RM_Code],$A83,T_StockCount[WeekIndex],26),IF((COUNTIFS(T_SelfStock[RM_Code],$A83,T_SelfStock[WeekIndex],26)&gt;0)*(COUNTIFS(T_TTAFStock[RM_Code],$A83,T_TTAFStock[WeekIndex],26)&gt;0)&gt;0,SUMIFS(T_SelfStock[Self_Qty],T_SelfStock[RM_Code],$A83,T_SelfStock[WeekIndex],26)+SUMIFS(T_TTAFStock[TTAF_Qty],T_TTAFStock[RM_Code],$A83,T_TTAFStock[WeekIndex],26),Z83+'Grid_Incoming'!AA83-'Grid_Requirement'!AA83))</f>
        <v/>
      </c>
      <c r="AB83">
        <f>IF(COUNTIFS(T_StockCount[RM_Code],$A83,T_StockCount[WeekIndex],27)&gt;0,SUMIFS(T_StockCount[CountedQty],T_StockCount[RM_Code],$A83,T_StockCount[WeekIndex],27),IF((COUNTIFS(T_SelfStock[RM_Code],$A83,T_SelfStock[WeekIndex],27)&gt;0)*(COUNTIFS(T_TTAFStock[RM_Code],$A83,T_TTAFStock[WeekIndex],27)&gt;0)&gt;0,SUMIFS(T_SelfStock[Self_Qty],T_SelfStock[RM_Code],$A83,T_SelfStock[WeekIndex],27)+SUMIFS(T_TTAFStock[TTAF_Qty],T_TTAFStock[RM_Code],$A83,T_TTAFStock[WeekIndex],27),AA83+'Grid_Incoming'!AB83-'Grid_Requirement'!AB83))</f>
        <v/>
      </c>
      <c r="AC83">
        <f>IF(COUNTIFS(T_StockCount[RM_Code],$A83,T_StockCount[WeekIndex],28)&gt;0,SUMIFS(T_StockCount[CountedQty],T_StockCount[RM_Code],$A83,T_StockCount[WeekIndex],28),IF((COUNTIFS(T_SelfStock[RM_Code],$A83,T_SelfStock[WeekIndex],28)&gt;0)*(COUNTIFS(T_TTAFStock[RM_Code],$A83,T_TTAFStock[WeekIndex],28)&gt;0)&gt;0,SUMIFS(T_SelfStock[Self_Qty],T_SelfStock[RM_Code],$A83,T_SelfStock[WeekIndex],28)+SUMIFS(T_TTAFStock[TTAF_Qty],T_TTAFStock[RM_Code],$A83,T_TTAFStock[WeekIndex],28),AB83+'Grid_Incoming'!AC83-'Grid_Requirement'!AC83))</f>
        <v/>
      </c>
      <c r="AD83">
        <f>IF(COUNTIFS(T_StockCount[RM_Code],$A83,T_StockCount[WeekIndex],29)&gt;0,SUMIFS(T_StockCount[CountedQty],T_StockCount[RM_Code],$A83,T_StockCount[WeekIndex],29),IF((COUNTIFS(T_SelfStock[RM_Code],$A83,T_SelfStock[WeekIndex],29)&gt;0)*(COUNTIFS(T_TTAFStock[RM_Code],$A83,T_TTAFStock[WeekIndex],29)&gt;0)&gt;0,SUMIFS(T_SelfStock[Self_Qty],T_SelfStock[RM_Code],$A83,T_SelfStock[WeekIndex],29)+SUMIFS(T_TTAFStock[TTAF_Qty],T_TTAFStock[RM_Code],$A83,T_TTAFStock[WeekIndex],29),AC83+'Grid_Incoming'!AD83-'Grid_Requirement'!AD83))</f>
        <v/>
      </c>
      <c r="AE83">
        <f>IF(COUNTIFS(T_StockCount[RM_Code],$A83,T_StockCount[WeekIndex],30)&gt;0,SUMIFS(T_StockCount[CountedQty],T_StockCount[RM_Code],$A83,T_StockCount[WeekIndex],30),IF((COUNTIFS(T_SelfStock[RM_Code],$A83,T_SelfStock[WeekIndex],30)&gt;0)*(COUNTIFS(T_TTAFStock[RM_Code],$A83,T_TTAFStock[WeekIndex],30)&gt;0)&gt;0,SUMIFS(T_SelfStock[Self_Qty],T_SelfStock[RM_Code],$A83,T_SelfStock[WeekIndex],30)+SUMIFS(T_TTAFStock[TTAF_Qty],T_TTAFStock[RM_Code],$A83,T_TTAFStock[WeekIndex],30),AD83+'Grid_Incoming'!AE83-'Grid_Requirement'!AE83))</f>
        <v/>
      </c>
      <c r="AF83">
        <f>IF(COUNTIFS(T_StockCount[RM_Code],$A83,T_StockCount[WeekIndex],31)&gt;0,SUMIFS(T_StockCount[CountedQty],T_StockCount[RM_Code],$A83,T_StockCount[WeekIndex],31),IF((COUNTIFS(T_SelfStock[RM_Code],$A83,T_SelfStock[WeekIndex],31)&gt;0)*(COUNTIFS(T_TTAFStock[RM_Code],$A83,T_TTAFStock[WeekIndex],31)&gt;0)&gt;0,SUMIFS(T_SelfStock[Self_Qty],T_SelfStock[RM_Code],$A83,T_SelfStock[WeekIndex],31)+SUMIFS(T_TTAFStock[TTAF_Qty],T_TTAFStock[RM_Code],$A83,T_TTAFStock[WeekIndex],31),AE83+'Grid_Incoming'!AF83-'Grid_Requirement'!AF83))</f>
        <v/>
      </c>
      <c r="AG83">
        <f>IF(COUNTIFS(T_StockCount[RM_Code],$A83,T_StockCount[WeekIndex],32)&gt;0,SUMIFS(T_StockCount[CountedQty],T_StockCount[RM_Code],$A83,T_StockCount[WeekIndex],32),IF((COUNTIFS(T_SelfStock[RM_Code],$A83,T_SelfStock[WeekIndex],32)&gt;0)*(COUNTIFS(T_TTAFStock[RM_Code],$A83,T_TTAFStock[WeekIndex],32)&gt;0)&gt;0,SUMIFS(T_SelfStock[Self_Qty],T_SelfStock[RM_Code],$A83,T_SelfStock[WeekIndex],32)+SUMIFS(T_TTAFStock[TTAF_Qty],T_TTAFStock[RM_Code],$A83,T_TTAFStock[WeekIndex],32),AF83+'Grid_Incoming'!AG83-'Grid_Requirement'!AG83))</f>
        <v/>
      </c>
      <c r="AH83">
        <f>IF(COUNTIFS(T_StockCount[RM_Code],$A83,T_StockCount[WeekIndex],33)&gt;0,SUMIFS(T_StockCount[CountedQty],T_StockCount[RM_Code],$A83,T_StockCount[WeekIndex],33),IF((COUNTIFS(T_SelfStock[RM_Code],$A83,T_SelfStock[WeekIndex],33)&gt;0)*(COUNTIFS(T_TTAFStock[RM_Code],$A83,T_TTAFStock[WeekIndex],33)&gt;0)&gt;0,SUMIFS(T_SelfStock[Self_Qty],T_SelfStock[RM_Code],$A83,T_SelfStock[WeekIndex],33)+SUMIFS(T_TTAFStock[TTAF_Qty],T_TTAFStock[RM_Code],$A83,T_TTAFStock[WeekIndex],33),AG83+'Grid_Incoming'!AH83-'Grid_Requirement'!AH83))</f>
        <v/>
      </c>
      <c r="AI83">
        <f>IF(COUNTIFS(T_StockCount[RM_Code],$A83,T_StockCount[WeekIndex],34)&gt;0,SUMIFS(T_StockCount[CountedQty],T_StockCount[RM_Code],$A83,T_StockCount[WeekIndex],34),IF((COUNTIFS(T_SelfStock[RM_Code],$A83,T_SelfStock[WeekIndex],34)&gt;0)*(COUNTIFS(T_TTAFStock[RM_Code],$A83,T_TTAFStock[WeekIndex],34)&gt;0)&gt;0,SUMIFS(T_SelfStock[Self_Qty],T_SelfStock[RM_Code],$A83,T_SelfStock[WeekIndex],34)+SUMIFS(T_TTAFStock[TTAF_Qty],T_TTAFStock[RM_Code],$A83,T_TTAFStock[WeekIndex],34),AH83+'Grid_Incoming'!AI83-'Grid_Requirement'!AI83))</f>
        <v/>
      </c>
      <c r="AJ83">
        <f>IF(COUNTIFS(T_StockCount[RM_Code],$A83,T_StockCount[WeekIndex],35)&gt;0,SUMIFS(T_StockCount[CountedQty],T_StockCount[RM_Code],$A83,T_StockCount[WeekIndex],35),IF((COUNTIFS(T_SelfStock[RM_Code],$A83,T_SelfStock[WeekIndex],35)&gt;0)*(COUNTIFS(T_TTAFStock[RM_Code],$A83,T_TTAFStock[WeekIndex],35)&gt;0)&gt;0,SUMIFS(T_SelfStock[Self_Qty],T_SelfStock[RM_Code],$A83,T_SelfStock[WeekIndex],35)+SUMIFS(T_TTAFStock[TTAF_Qty],T_TTAFStock[RM_Code],$A83,T_TTAFStock[WeekIndex],35),AI83+'Grid_Incoming'!AJ83-'Grid_Requirement'!AJ83))</f>
        <v/>
      </c>
      <c r="AK83">
        <f>IF(COUNTIFS(T_StockCount[RM_Code],$A83,T_StockCount[WeekIndex],36)&gt;0,SUMIFS(T_StockCount[CountedQty],T_StockCount[RM_Code],$A83,T_StockCount[WeekIndex],36),IF((COUNTIFS(T_SelfStock[RM_Code],$A83,T_SelfStock[WeekIndex],36)&gt;0)*(COUNTIFS(T_TTAFStock[RM_Code],$A83,T_TTAFStock[WeekIndex],36)&gt;0)&gt;0,SUMIFS(T_SelfStock[Self_Qty],T_SelfStock[RM_Code],$A83,T_SelfStock[WeekIndex],36)+SUMIFS(T_TTAFStock[TTAF_Qty],T_TTAFStock[RM_Code],$A83,T_TTAFStock[WeekIndex],36),AJ83+'Grid_Incoming'!AK83-'Grid_Requirement'!AK83))</f>
        <v/>
      </c>
      <c r="AL83">
        <f>IF(COUNTIFS(T_StockCount[RM_Code],$A83,T_StockCount[WeekIndex],37)&gt;0,SUMIFS(T_StockCount[CountedQty],T_StockCount[RM_Code],$A83,T_StockCount[WeekIndex],37),IF((COUNTIFS(T_SelfStock[RM_Code],$A83,T_SelfStock[WeekIndex],37)&gt;0)*(COUNTIFS(T_TTAFStock[RM_Code],$A83,T_TTAFStock[WeekIndex],37)&gt;0)&gt;0,SUMIFS(T_SelfStock[Self_Qty],T_SelfStock[RM_Code],$A83,T_SelfStock[WeekIndex],37)+SUMIFS(T_TTAFStock[TTAF_Qty],T_TTAFStock[RM_Code],$A83,T_TTAFStock[WeekIndex],37),AK83+'Grid_Incoming'!AL83-'Grid_Requirement'!AL83))</f>
        <v/>
      </c>
      <c r="AM83">
        <f>IF(COUNTIFS(T_StockCount[RM_Code],$A83,T_StockCount[WeekIndex],38)&gt;0,SUMIFS(T_StockCount[CountedQty],T_StockCount[RM_Code],$A83,T_StockCount[WeekIndex],38),IF((COUNTIFS(T_SelfStock[RM_Code],$A83,T_SelfStock[WeekIndex],38)&gt;0)*(COUNTIFS(T_TTAFStock[RM_Code],$A83,T_TTAFStock[WeekIndex],38)&gt;0)&gt;0,SUMIFS(T_SelfStock[Self_Qty],T_SelfStock[RM_Code],$A83,T_SelfStock[WeekIndex],38)+SUMIFS(T_TTAFStock[TTAF_Qty],T_TTAFStock[RM_Code],$A83,T_TTAFStock[WeekIndex],38),AL83+'Grid_Incoming'!AM83-'Grid_Requirement'!AM83))</f>
        <v/>
      </c>
      <c r="AN83">
        <f>IF(COUNTIFS(T_StockCount[RM_Code],$A83,T_StockCount[WeekIndex],39)&gt;0,SUMIFS(T_StockCount[CountedQty],T_StockCount[RM_Code],$A83,T_StockCount[WeekIndex],39),IF((COUNTIFS(T_SelfStock[RM_Code],$A83,T_SelfStock[WeekIndex],39)&gt;0)*(COUNTIFS(T_TTAFStock[RM_Code],$A83,T_TTAFStock[WeekIndex],39)&gt;0)&gt;0,SUMIFS(T_SelfStock[Self_Qty],T_SelfStock[RM_Code],$A83,T_SelfStock[WeekIndex],39)+SUMIFS(T_TTAFStock[TTAF_Qty],T_TTAFStock[RM_Code],$A83,T_TTAFStock[WeekIndex],39),AM83+'Grid_Incoming'!AN83-'Grid_Requirement'!AN83))</f>
        <v/>
      </c>
      <c r="AO83">
        <f>IF(COUNTIFS(T_StockCount[RM_Code],$A83,T_StockCount[WeekIndex],40)&gt;0,SUMIFS(T_StockCount[CountedQty],T_StockCount[RM_Code],$A83,T_StockCount[WeekIndex],40),IF((COUNTIFS(T_SelfStock[RM_Code],$A83,T_SelfStock[WeekIndex],40)&gt;0)*(COUNTIFS(T_TTAFStock[RM_Code],$A83,T_TTAFStock[WeekIndex],40)&gt;0)&gt;0,SUMIFS(T_SelfStock[Self_Qty],T_SelfStock[RM_Code],$A83,T_SelfStock[WeekIndex],40)+SUMIFS(T_TTAFStock[TTAF_Qty],T_TTAFStock[RM_Code],$A83,T_TTAFStock[WeekIndex],40),AN83+'Grid_Incoming'!AO83-'Grid_Requirement'!AO83))</f>
        <v/>
      </c>
      <c r="AP83">
        <f>IF(COUNTIFS(T_StockCount[RM_Code],$A83,T_StockCount[WeekIndex],41)&gt;0,SUMIFS(T_StockCount[CountedQty],T_StockCount[RM_Code],$A83,T_StockCount[WeekIndex],41),IF((COUNTIFS(T_SelfStock[RM_Code],$A83,T_SelfStock[WeekIndex],41)&gt;0)*(COUNTIFS(T_TTAFStock[RM_Code],$A83,T_TTAFStock[WeekIndex],41)&gt;0)&gt;0,SUMIFS(T_SelfStock[Self_Qty],T_SelfStock[RM_Code],$A83,T_SelfStock[WeekIndex],41)+SUMIFS(T_TTAFStock[TTAF_Qty],T_TTAFStock[RM_Code],$A83,T_TTAFStock[WeekIndex],41),AO83+'Grid_Incoming'!AP83-'Grid_Requirement'!AP83))</f>
        <v/>
      </c>
      <c r="AQ83">
        <f>IF(COUNTIFS(T_StockCount[RM_Code],$A83,T_StockCount[WeekIndex],42)&gt;0,SUMIFS(T_StockCount[CountedQty],T_StockCount[RM_Code],$A83,T_StockCount[WeekIndex],42),IF((COUNTIFS(T_SelfStock[RM_Code],$A83,T_SelfStock[WeekIndex],42)&gt;0)*(COUNTIFS(T_TTAFStock[RM_Code],$A83,T_TTAFStock[WeekIndex],42)&gt;0)&gt;0,SUMIFS(T_SelfStock[Self_Qty],T_SelfStock[RM_Code],$A83,T_SelfStock[WeekIndex],42)+SUMIFS(T_TTAFStock[TTAF_Qty],T_TTAFStock[RM_Code],$A83,T_TTAFStock[WeekIndex],42),AP83+'Grid_Incoming'!AQ83-'Grid_Requirement'!AQ83))</f>
        <v/>
      </c>
      <c r="AR83">
        <f>IF(COUNTIFS(T_StockCount[RM_Code],$A83,T_StockCount[WeekIndex],43)&gt;0,SUMIFS(T_StockCount[CountedQty],T_StockCount[RM_Code],$A83,T_StockCount[WeekIndex],43),IF((COUNTIFS(T_SelfStock[RM_Code],$A83,T_SelfStock[WeekIndex],43)&gt;0)*(COUNTIFS(T_TTAFStock[RM_Code],$A83,T_TTAFStock[WeekIndex],43)&gt;0)&gt;0,SUMIFS(T_SelfStock[Self_Qty],T_SelfStock[RM_Code],$A83,T_SelfStock[WeekIndex],43)+SUMIFS(T_TTAFStock[TTAF_Qty],T_TTAFStock[RM_Code],$A83,T_TTAFStock[WeekIndex],43),AQ83+'Grid_Incoming'!AR83-'Grid_Requirement'!AR83))</f>
        <v/>
      </c>
      <c r="AS83">
        <f>IF(COUNTIFS(T_StockCount[RM_Code],$A83,T_StockCount[WeekIndex],44)&gt;0,SUMIFS(T_StockCount[CountedQty],T_StockCount[RM_Code],$A83,T_StockCount[WeekIndex],44),IF((COUNTIFS(T_SelfStock[RM_Code],$A83,T_SelfStock[WeekIndex],44)&gt;0)*(COUNTIFS(T_TTAFStock[RM_Code],$A83,T_TTAFStock[WeekIndex],44)&gt;0)&gt;0,SUMIFS(T_SelfStock[Self_Qty],T_SelfStock[RM_Code],$A83,T_SelfStock[WeekIndex],44)+SUMIFS(T_TTAFStock[TTAF_Qty],T_TTAFStock[RM_Code],$A83,T_TTAFStock[WeekIndex],44),AR83+'Grid_Incoming'!AS83-'Grid_Requirement'!AS83))</f>
        <v/>
      </c>
      <c r="AT83">
        <f>IF(COUNTIFS(T_StockCount[RM_Code],$A83,T_StockCount[WeekIndex],45)&gt;0,SUMIFS(T_StockCount[CountedQty],T_StockCount[RM_Code],$A83,T_StockCount[WeekIndex],45),IF((COUNTIFS(T_SelfStock[RM_Code],$A83,T_SelfStock[WeekIndex],45)&gt;0)*(COUNTIFS(T_TTAFStock[RM_Code],$A83,T_TTAFStock[WeekIndex],45)&gt;0)&gt;0,SUMIFS(T_SelfStock[Self_Qty],T_SelfStock[RM_Code],$A83,T_SelfStock[WeekIndex],45)+SUMIFS(T_TTAFStock[TTAF_Qty],T_TTAFStock[RM_Code],$A83,T_TTAFStock[WeekIndex],45),AS83+'Grid_Incoming'!AT83-'Grid_Requirement'!AT83))</f>
        <v/>
      </c>
      <c r="AU83">
        <f>IF(COUNTIFS(T_StockCount[RM_Code],$A83,T_StockCount[WeekIndex],46)&gt;0,SUMIFS(T_StockCount[CountedQty],T_StockCount[RM_Code],$A83,T_StockCount[WeekIndex],46),IF((COUNTIFS(T_SelfStock[RM_Code],$A83,T_SelfStock[WeekIndex],46)&gt;0)*(COUNTIFS(T_TTAFStock[RM_Code],$A83,T_TTAFStock[WeekIndex],46)&gt;0)&gt;0,SUMIFS(T_SelfStock[Self_Qty],T_SelfStock[RM_Code],$A83,T_SelfStock[WeekIndex],46)+SUMIFS(T_TTAFStock[TTAF_Qty],T_TTAFStock[RM_Code],$A83,T_TTAFStock[WeekIndex],46),AT83+'Grid_Incoming'!AU83-'Grid_Requirement'!AU83))</f>
        <v/>
      </c>
      <c r="AV83">
        <f>IF(COUNTIFS(T_StockCount[RM_Code],$A83,T_StockCount[WeekIndex],47)&gt;0,SUMIFS(T_StockCount[CountedQty],T_StockCount[RM_Code],$A83,T_StockCount[WeekIndex],47),IF((COUNTIFS(T_SelfStock[RM_Code],$A83,T_SelfStock[WeekIndex],47)&gt;0)*(COUNTIFS(T_TTAFStock[RM_Code],$A83,T_TTAFStock[WeekIndex],47)&gt;0)&gt;0,SUMIFS(T_SelfStock[Self_Qty],T_SelfStock[RM_Code],$A83,T_SelfStock[WeekIndex],47)+SUMIFS(T_TTAFStock[TTAF_Qty],T_TTAFStock[RM_Code],$A83,T_TTAFStock[WeekIndex],47),AU83+'Grid_Incoming'!AV83-'Grid_Requirement'!AV83))</f>
        <v/>
      </c>
      <c r="AW83">
        <f>IF(COUNTIFS(T_StockCount[RM_Code],$A83,T_StockCount[WeekIndex],48)&gt;0,SUMIFS(T_StockCount[CountedQty],T_StockCount[RM_Code],$A83,T_StockCount[WeekIndex],48),IF((COUNTIFS(T_SelfStock[RM_Code],$A83,T_SelfStock[WeekIndex],48)&gt;0)*(COUNTIFS(T_TTAFStock[RM_Code],$A83,T_TTAFStock[WeekIndex],48)&gt;0)&gt;0,SUMIFS(T_SelfStock[Self_Qty],T_SelfStock[RM_Code],$A83,T_SelfStock[WeekIndex],48)+SUMIFS(T_TTAFStock[TTAF_Qty],T_TTAFStock[RM_Code],$A83,T_TTAFStock[WeekIndex],48),AV83+'Grid_Incoming'!AW83-'Grid_Requirement'!AW83))</f>
        <v/>
      </c>
      <c r="AX83">
        <f>IF(COUNTIFS(T_StockCount[RM_Code],$A83,T_StockCount[WeekIndex],49)&gt;0,SUMIFS(T_StockCount[CountedQty],T_StockCount[RM_Code],$A83,T_StockCount[WeekIndex],49),IF((COUNTIFS(T_SelfStock[RM_Code],$A83,T_SelfStock[WeekIndex],49)&gt;0)*(COUNTIFS(T_TTAFStock[RM_Code],$A83,T_TTAFStock[WeekIndex],49)&gt;0)&gt;0,SUMIFS(T_SelfStock[Self_Qty],T_SelfStock[RM_Code],$A83,T_SelfStock[WeekIndex],49)+SUMIFS(T_TTAFStock[TTAF_Qty],T_TTAFStock[RM_Code],$A83,T_TTAFStock[WeekIndex],49),AW83+'Grid_Incoming'!AX83-'Grid_Requirement'!AX83))</f>
        <v/>
      </c>
      <c r="AY83">
        <f>IF(COUNTIFS(T_StockCount[RM_Code],$A83,T_StockCount[WeekIndex],50)&gt;0,SUMIFS(T_StockCount[CountedQty],T_StockCount[RM_Code],$A83,T_StockCount[WeekIndex],50),IF((COUNTIFS(T_SelfStock[RM_Code],$A83,T_SelfStock[WeekIndex],50)&gt;0)*(COUNTIFS(T_TTAFStock[RM_Code],$A83,T_TTAFStock[WeekIndex],50)&gt;0)&gt;0,SUMIFS(T_SelfStock[Self_Qty],T_SelfStock[RM_Code],$A83,T_SelfStock[WeekIndex],50)+SUMIFS(T_TTAFStock[TTAF_Qty],T_TTAFStock[RM_Code],$A83,T_TTAFStock[WeekIndex],50),AX83+'Grid_Incoming'!AY83-'Grid_Requirement'!AY83))</f>
        <v/>
      </c>
      <c r="AZ83">
        <f>IF(COUNTIFS(T_StockCount[RM_Code],$A83,T_StockCount[WeekIndex],51)&gt;0,SUMIFS(T_StockCount[CountedQty],T_StockCount[RM_Code],$A83,T_StockCount[WeekIndex],51),IF((COUNTIFS(T_SelfStock[RM_Code],$A83,T_SelfStock[WeekIndex],51)&gt;0)*(COUNTIFS(T_TTAFStock[RM_Code],$A83,T_TTAFStock[WeekIndex],51)&gt;0)&gt;0,SUMIFS(T_SelfStock[Self_Qty],T_SelfStock[RM_Code],$A83,T_SelfStock[WeekIndex],51)+SUMIFS(T_TTAFStock[TTAF_Qty],T_TTAFStock[RM_Code],$A83,T_TTAFStock[WeekIndex],51),AY83+'Grid_Incoming'!AZ83-'Grid_Requirement'!AZ83))</f>
        <v/>
      </c>
      <c r="BA83">
        <f>IF(COUNTIFS(T_StockCount[RM_Code],$A83,T_StockCount[WeekIndex],52)&gt;0,SUMIFS(T_StockCount[CountedQty],T_StockCount[RM_Code],$A83,T_StockCount[WeekIndex],52),IF((COUNTIFS(T_SelfStock[RM_Code],$A83,T_SelfStock[WeekIndex],52)&gt;0)*(COUNTIFS(T_TTAFStock[RM_Code],$A83,T_TTAFStock[WeekIndex],52)&gt;0)&gt;0,SUMIFS(T_SelfStock[Self_Qty],T_SelfStock[RM_Code],$A83,T_SelfStock[WeekIndex],52)+SUMIFS(T_TTAFStock[TTAF_Qty],T_TTAFStock[RM_Code],$A83,T_TTAFStock[WeekIndex],52),AZ83+'Grid_Incoming'!BA83-'Grid_Requirement'!BA83))</f>
        <v/>
      </c>
      <c r="BB83">
        <f>IF(COUNTIFS(T_StockCount[RM_Code],$A83,T_StockCount[WeekIndex],53)&gt;0,SUMIFS(T_StockCount[CountedQty],T_StockCount[RM_Code],$A83,T_StockCount[WeekIndex],53),IF((COUNTIFS(T_SelfStock[RM_Code],$A83,T_SelfStock[WeekIndex],53)&gt;0)*(COUNTIFS(T_TTAFStock[RM_Code],$A83,T_TTAFStock[WeekIndex],53)&gt;0)&gt;0,SUMIFS(T_SelfStock[Self_Qty],T_SelfStock[RM_Code],$A83,T_SelfStock[WeekIndex],53)+SUMIFS(T_TTAFStock[TTAF_Qty],T_TTAFStock[RM_Code],$A83,T_TTAFStock[WeekIndex],53),BA83+'Grid_Incoming'!BB83-'Grid_Requirement'!BB83))</f>
        <v/>
      </c>
      <c r="BC83">
        <f>IF(COUNTIFS(T_StockCount[RM_Code],$A83,T_StockCount[WeekIndex],54)&gt;0,SUMIFS(T_StockCount[CountedQty],T_StockCount[RM_Code],$A83,T_StockCount[WeekIndex],54),IF((COUNTIFS(T_SelfStock[RM_Code],$A83,T_SelfStock[WeekIndex],54)&gt;0)*(COUNTIFS(T_TTAFStock[RM_Code],$A83,T_TTAFStock[WeekIndex],54)&gt;0)&gt;0,SUMIFS(T_SelfStock[Self_Qty],T_SelfStock[RM_Code],$A83,T_SelfStock[WeekIndex],54)+SUMIFS(T_TTAFStock[TTAF_Qty],T_TTAFStock[RM_Code],$A83,T_TTAFStock[WeekIndex],54),BB83+'Grid_Incoming'!BC83-'Grid_Requirement'!BC83))</f>
        <v/>
      </c>
      <c r="BD83">
        <f>IF(COUNTIFS(T_StockCount[RM_Code],$A83,T_StockCount[WeekIndex],55)&gt;0,SUMIFS(T_StockCount[CountedQty],T_StockCount[RM_Code],$A83,T_StockCount[WeekIndex],55),IF((COUNTIFS(T_SelfStock[RM_Code],$A83,T_SelfStock[WeekIndex],55)&gt;0)*(COUNTIFS(T_TTAFStock[RM_Code],$A83,T_TTAFStock[WeekIndex],55)&gt;0)&gt;0,SUMIFS(T_SelfStock[Self_Qty],T_SelfStock[RM_Code],$A83,T_SelfStock[WeekIndex],55)+SUMIFS(T_TTAFStock[TTAF_Qty],T_TTAFStock[RM_Code],$A83,T_TTAFStock[WeekIndex],55),BC83+'Grid_Incoming'!BD83-'Grid_Requirement'!BD83))</f>
        <v/>
      </c>
      <c r="BE83">
        <f>IF(COUNTIFS(T_StockCount[RM_Code],$A83,T_StockCount[WeekIndex],56)&gt;0,SUMIFS(T_StockCount[CountedQty],T_StockCount[RM_Code],$A83,T_StockCount[WeekIndex],56),IF((COUNTIFS(T_SelfStock[RM_Code],$A83,T_SelfStock[WeekIndex],56)&gt;0)*(COUNTIFS(T_TTAFStock[RM_Code],$A83,T_TTAFStock[WeekIndex],56)&gt;0)&gt;0,SUMIFS(T_SelfStock[Self_Qty],T_SelfStock[RM_Code],$A83,T_SelfStock[WeekIndex],56)+SUMIFS(T_TTAFStock[TTAF_Qty],T_TTAFStock[RM_Code],$A83,T_TTAFStock[WeekIndex],56),BD83+'Grid_Incoming'!BE83-'Grid_Requirement'!BE83))</f>
        <v/>
      </c>
      <c r="BF83">
        <f>IF(COUNTIFS(T_StockCount[RM_Code],$A83,T_StockCount[WeekIndex],57)&gt;0,SUMIFS(T_StockCount[CountedQty],T_StockCount[RM_Code],$A83,T_StockCount[WeekIndex],57),IF((COUNTIFS(T_SelfStock[RM_Code],$A83,T_SelfStock[WeekIndex],57)&gt;0)*(COUNTIFS(T_TTAFStock[RM_Code],$A83,T_TTAFStock[WeekIndex],57)&gt;0)&gt;0,SUMIFS(T_SelfStock[Self_Qty],T_SelfStock[RM_Code],$A83,T_SelfStock[WeekIndex],57)+SUMIFS(T_TTAFStock[TTAF_Qty],T_TTAFStock[RM_Code],$A83,T_TTAFStock[WeekIndex],57),BE83+'Grid_Incoming'!BF83-'Grid_Requirement'!BF83))</f>
        <v/>
      </c>
      <c r="BG83">
        <f>IF(COUNTIFS(T_StockCount[RM_Code],$A83,T_StockCount[WeekIndex],58)&gt;0,SUMIFS(T_StockCount[CountedQty],T_StockCount[RM_Code],$A83,T_StockCount[WeekIndex],58),IF((COUNTIFS(T_SelfStock[RM_Code],$A83,T_SelfStock[WeekIndex],58)&gt;0)*(COUNTIFS(T_TTAFStock[RM_Code],$A83,T_TTAFStock[WeekIndex],58)&gt;0)&gt;0,SUMIFS(T_SelfStock[Self_Qty],T_SelfStock[RM_Code],$A83,T_SelfStock[WeekIndex],58)+SUMIFS(T_TTAFStock[TTAF_Qty],T_TTAFStock[RM_Code],$A83,T_TTAFStock[WeekIndex],58),BF83+'Grid_Incoming'!BG83-'Grid_Requirement'!BG83))</f>
        <v/>
      </c>
      <c r="BH83">
        <f>IF(COUNTIFS(T_StockCount[RM_Code],$A83,T_StockCount[WeekIndex],59)&gt;0,SUMIFS(T_StockCount[CountedQty],T_StockCount[RM_Code],$A83,T_StockCount[WeekIndex],59),IF((COUNTIFS(T_SelfStock[RM_Code],$A83,T_SelfStock[WeekIndex],59)&gt;0)*(COUNTIFS(T_TTAFStock[RM_Code],$A83,T_TTAFStock[WeekIndex],59)&gt;0)&gt;0,SUMIFS(T_SelfStock[Self_Qty],T_SelfStock[RM_Code],$A83,T_SelfStock[WeekIndex],59)+SUMIFS(T_TTAFStock[TTAF_Qty],T_TTAFStock[RM_Code],$A83,T_TTAFStock[WeekIndex],59),BG83+'Grid_Incoming'!BH83-'Grid_Requirement'!BH83))</f>
        <v/>
      </c>
      <c r="BI83">
        <f>IF(COUNTIFS(T_StockCount[RM_Code],$A83,T_StockCount[WeekIndex],60)&gt;0,SUMIFS(T_StockCount[CountedQty],T_StockCount[RM_Code],$A83,T_StockCount[WeekIndex],60),IF((COUNTIFS(T_SelfStock[RM_Code],$A83,T_SelfStock[WeekIndex],60)&gt;0)*(COUNTIFS(T_TTAFStock[RM_Code],$A83,T_TTAFStock[WeekIndex],60)&gt;0)&gt;0,SUMIFS(T_SelfStock[Self_Qty],T_SelfStock[RM_Code],$A83,T_SelfStock[WeekIndex],60)+SUMIFS(T_TTAFStock[TTAF_Qty],T_TTAFStock[RM_Code],$A83,T_TTAFStock[WeekIndex],60),BH83+'Grid_Incoming'!BI83-'Grid_Requirement'!BI83))</f>
        <v/>
      </c>
      <c r="BJ83">
        <f>IF(COUNTIFS(T_StockCount[RM_Code],$A83,T_StockCount[WeekIndex],61)&gt;0,SUMIFS(T_StockCount[CountedQty],T_StockCount[RM_Code],$A83,T_StockCount[WeekIndex],61),IF((COUNTIFS(T_SelfStock[RM_Code],$A83,T_SelfStock[WeekIndex],61)&gt;0)*(COUNTIFS(T_TTAFStock[RM_Code],$A83,T_TTAFStock[WeekIndex],61)&gt;0)&gt;0,SUMIFS(T_SelfStock[Self_Qty],T_SelfStock[RM_Code],$A83,T_SelfStock[WeekIndex],61)+SUMIFS(T_TTAFStock[TTAF_Qty],T_TTAFStock[RM_Code],$A83,T_TTAFStock[WeekIndex],61),BI83+'Grid_Incoming'!BJ83-'Grid_Requirement'!BJ83))</f>
        <v/>
      </c>
      <c r="BK83">
        <f>IF(COUNTIFS(T_StockCount[RM_Code],$A83,T_StockCount[WeekIndex],62)&gt;0,SUMIFS(T_StockCount[CountedQty],T_StockCount[RM_Code],$A83,T_StockCount[WeekIndex],62),IF((COUNTIFS(T_SelfStock[RM_Code],$A83,T_SelfStock[WeekIndex],62)&gt;0)*(COUNTIFS(T_TTAFStock[RM_Code],$A83,T_TTAFStock[WeekIndex],62)&gt;0)&gt;0,SUMIFS(T_SelfStock[Self_Qty],T_SelfStock[RM_Code],$A83,T_SelfStock[WeekIndex],62)+SUMIFS(T_TTAFStock[TTAF_Qty],T_TTAFStock[RM_Code],$A83,T_TTAFStock[WeekIndex],62),BJ83+'Grid_Incoming'!BK83-'Grid_Requirement'!BK83))</f>
        <v/>
      </c>
      <c r="BL83">
        <f>IF(COUNTIFS(T_StockCount[RM_Code],$A83,T_StockCount[WeekIndex],63)&gt;0,SUMIFS(T_StockCount[CountedQty],T_StockCount[RM_Code],$A83,T_StockCount[WeekIndex],63),IF((COUNTIFS(T_SelfStock[RM_Code],$A83,T_SelfStock[WeekIndex],63)&gt;0)*(COUNTIFS(T_TTAFStock[RM_Code],$A83,T_TTAFStock[WeekIndex],63)&gt;0)&gt;0,SUMIFS(T_SelfStock[Self_Qty],T_SelfStock[RM_Code],$A83,T_SelfStock[WeekIndex],63)+SUMIFS(T_TTAFStock[TTAF_Qty],T_TTAFStock[RM_Code],$A83,T_TTAFStock[WeekIndex],63),BK83+'Grid_Incoming'!BL83-'Grid_Requirement'!BL83))</f>
        <v/>
      </c>
      <c r="BM83">
        <f>IF(COUNTIFS(T_StockCount[RM_Code],$A83,T_StockCount[WeekIndex],64)&gt;0,SUMIFS(T_StockCount[CountedQty],T_StockCount[RM_Code],$A83,T_StockCount[WeekIndex],64),IF((COUNTIFS(T_SelfStock[RM_Code],$A83,T_SelfStock[WeekIndex],64)&gt;0)*(COUNTIFS(T_TTAFStock[RM_Code],$A83,T_TTAFStock[WeekIndex],64)&gt;0)&gt;0,SUMIFS(T_SelfStock[Self_Qty],T_SelfStock[RM_Code],$A83,T_SelfStock[WeekIndex],64)+SUMIFS(T_TTAFStock[TTAF_Qty],T_TTAFStock[RM_Code],$A83,T_TTAFStock[WeekIndex],64),BL83+'Grid_Incoming'!BM83-'Grid_Requirement'!BM83))</f>
        <v/>
      </c>
      <c r="BN83">
        <f>IF(COUNTIFS(T_StockCount[RM_Code],$A83,T_StockCount[WeekIndex],65)&gt;0,SUMIFS(T_StockCount[CountedQty],T_StockCount[RM_Code],$A83,T_StockCount[WeekIndex],65),IF((COUNTIFS(T_SelfStock[RM_Code],$A83,T_SelfStock[WeekIndex],65)&gt;0)*(COUNTIFS(T_TTAFStock[RM_Code],$A83,T_TTAFStock[WeekIndex],65)&gt;0)&gt;0,SUMIFS(T_SelfStock[Self_Qty],T_SelfStock[RM_Code],$A83,T_SelfStock[WeekIndex],65)+SUMIFS(T_TTAFStock[TTAF_Qty],T_TTAFStock[RM_Code],$A83,T_TTAFStock[WeekIndex],65),BM83+'Grid_Incoming'!BN83-'Grid_Requirement'!BN83))</f>
        <v/>
      </c>
      <c r="BO83">
        <f>IF(COUNTIFS(T_StockCount[RM_Code],$A83,T_StockCount[WeekIndex],66)&gt;0,SUMIFS(T_StockCount[CountedQty],T_StockCount[RM_Code],$A83,T_StockCount[WeekIndex],66),IF((COUNTIFS(T_SelfStock[RM_Code],$A83,T_SelfStock[WeekIndex],66)&gt;0)*(COUNTIFS(T_TTAFStock[RM_Code],$A83,T_TTAFStock[WeekIndex],66)&gt;0)&gt;0,SUMIFS(T_SelfStock[Self_Qty],T_SelfStock[RM_Code],$A83,T_SelfStock[WeekIndex],66)+SUMIFS(T_TTAFStock[TTAF_Qty],T_TTAFStock[RM_Code],$A83,T_TTAFStock[WeekIndex],66),BN83+'Grid_Incoming'!BO83-'Grid_Requirement'!BO83))</f>
        <v/>
      </c>
      <c r="BP83">
        <f>IF(COUNTIFS(T_StockCount[RM_Code],$A83,T_StockCount[WeekIndex],67)&gt;0,SUMIFS(T_StockCount[CountedQty],T_StockCount[RM_Code],$A83,T_StockCount[WeekIndex],67),IF((COUNTIFS(T_SelfStock[RM_Code],$A83,T_SelfStock[WeekIndex],67)&gt;0)*(COUNTIFS(T_TTAFStock[RM_Code],$A83,T_TTAFStock[WeekIndex],67)&gt;0)&gt;0,SUMIFS(T_SelfStock[Self_Qty],T_SelfStock[RM_Code],$A83,T_SelfStock[WeekIndex],67)+SUMIFS(T_TTAFStock[TTAF_Qty],T_TTAFStock[RM_Code],$A83,T_TTAFStock[WeekIndex],67),BO83+'Grid_Incoming'!BP83-'Grid_Requirement'!BP83))</f>
        <v/>
      </c>
      <c r="BQ83">
        <f>IF(COUNTIFS(T_StockCount[RM_Code],$A83,T_StockCount[WeekIndex],68)&gt;0,SUMIFS(T_StockCount[CountedQty],T_StockCount[RM_Code],$A83,T_StockCount[WeekIndex],68),IF((COUNTIFS(T_SelfStock[RM_Code],$A83,T_SelfStock[WeekIndex],68)&gt;0)*(COUNTIFS(T_TTAFStock[RM_Code],$A83,T_TTAFStock[WeekIndex],68)&gt;0)&gt;0,SUMIFS(T_SelfStock[Self_Qty],T_SelfStock[RM_Code],$A83,T_SelfStock[WeekIndex],68)+SUMIFS(T_TTAFStock[TTAF_Qty],T_TTAFStock[RM_Code],$A83,T_TTAFStock[WeekIndex],68),BP83+'Grid_Incoming'!BQ83-'Grid_Requirement'!BQ83))</f>
        <v/>
      </c>
      <c r="BR83">
        <f>IF(COUNTIFS(T_StockCount[RM_Code],$A83,T_StockCount[WeekIndex],69)&gt;0,SUMIFS(T_StockCount[CountedQty],T_StockCount[RM_Code],$A83,T_StockCount[WeekIndex],69),IF((COUNTIFS(T_SelfStock[RM_Code],$A83,T_SelfStock[WeekIndex],69)&gt;0)*(COUNTIFS(T_TTAFStock[RM_Code],$A83,T_TTAFStock[WeekIndex],69)&gt;0)&gt;0,SUMIFS(T_SelfStock[Self_Qty],T_SelfStock[RM_Code],$A83,T_SelfStock[WeekIndex],69)+SUMIFS(T_TTAFStock[TTAF_Qty],T_TTAFStock[RM_Code],$A83,T_TTAFStock[WeekIndex],69),BQ83+'Grid_Incoming'!BR83-'Grid_Requirement'!BR83))</f>
        <v/>
      </c>
      <c r="BS83">
        <f>IF(COUNTIFS(T_StockCount[RM_Code],$A83,T_StockCount[WeekIndex],70)&gt;0,SUMIFS(T_StockCount[CountedQty],T_StockCount[RM_Code],$A83,T_StockCount[WeekIndex],70),IF((COUNTIFS(T_SelfStock[RM_Code],$A83,T_SelfStock[WeekIndex],70)&gt;0)*(COUNTIFS(T_TTAFStock[RM_Code],$A83,T_TTAFStock[WeekIndex],70)&gt;0)&gt;0,SUMIFS(T_SelfStock[Self_Qty],T_SelfStock[RM_Code],$A83,T_SelfStock[WeekIndex],70)+SUMIFS(T_TTAFStock[TTAF_Qty],T_TTAFStock[RM_Code],$A83,T_TTAFStock[WeekIndex],70),BR83+'Grid_Incoming'!BS83-'Grid_Requirement'!BS83))</f>
        <v/>
      </c>
      <c r="BT83">
        <f>IF(COUNTIFS(T_StockCount[RM_Code],$A83,T_StockCount[WeekIndex],71)&gt;0,SUMIFS(T_StockCount[CountedQty],T_StockCount[RM_Code],$A83,T_StockCount[WeekIndex],71),IF((COUNTIFS(T_SelfStock[RM_Code],$A83,T_SelfStock[WeekIndex],71)&gt;0)*(COUNTIFS(T_TTAFStock[RM_Code],$A83,T_TTAFStock[WeekIndex],71)&gt;0)&gt;0,SUMIFS(T_SelfStock[Self_Qty],T_SelfStock[RM_Code],$A83,T_SelfStock[WeekIndex],71)+SUMIFS(T_TTAFStock[TTAF_Qty],T_TTAFStock[RM_Code],$A83,T_TTAFStock[WeekIndex],71),BS83+'Grid_Incoming'!BT83-'Grid_Requirement'!BT83))</f>
        <v/>
      </c>
      <c r="BU83">
        <f>IF(COUNTIFS(T_StockCount[RM_Code],$A83,T_StockCount[WeekIndex],72)&gt;0,SUMIFS(T_StockCount[CountedQty],T_StockCount[RM_Code],$A83,T_StockCount[WeekIndex],72),IF((COUNTIFS(T_SelfStock[RM_Code],$A83,T_SelfStock[WeekIndex],72)&gt;0)*(COUNTIFS(T_TTAFStock[RM_Code],$A83,T_TTAFStock[WeekIndex],72)&gt;0)&gt;0,SUMIFS(T_SelfStock[Self_Qty],T_SelfStock[RM_Code],$A83,T_SelfStock[WeekIndex],72)+SUMIFS(T_TTAFStock[TTAF_Qty],T_TTAFStock[RM_Code],$A83,T_TTAFStock[WeekIndex],72),BT83+'Grid_Incoming'!BU83-'Grid_Requirement'!BU83))</f>
        <v/>
      </c>
      <c r="BV83">
        <f>IF(COUNTIFS(T_StockCount[RM_Code],$A83,T_StockCount[WeekIndex],73)&gt;0,SUMIFS(T_StockCount[CountedQty],T_StockCount[RM_Code],$A83,T_StockCount[WeekIndex],73),IF((COUNTIFS(T_SelfStock[RM_Code],$A83,T_SelfStock[WeekIndex],73)&gt;0)*(COUNTIFS(T_TTAFStock[RM_Code],$A83,T_TTAFStock[WeekIndex],73)&gt;0)&gt;0,SUMIFS(T_SelfStock[Self_Qty],T_SelfStock[RM_Code],$A83,T_SelfStock[WeekIndex],73)+SUMIFS(T_TTAFStock[TTAF_Qty],T_TTAFStock[RM_Code],$A83,T_TTAFStock[WeekIndex],73),BU83+'Grid_Incoming'!BV83-'Grid_Requirement'!BV83))</f>
        <v/>
      </c>
      <c r="BW83">
        <f>IF(COUNTIFS(T_StockCount[RM_Code],$A83,T_StockCount[WeekIndex],74)&gt;0,SUMIFS(T_StockCount[CountedQty],T_StockCount[RM_Code],$A83,T_StockCount[WeekIndex],74),IF((COUNTIFS(T_SelfStock[RM_Code],$A83,T_SelfStock[WeekIndex],74)&gt;0)*(COUNTIFS(T_TTAFStock[RM_Code],$A83,T_TTAFStock[WeekIndex],74)&gt;0)&gt;0,SUMIFS(T_SelfStock[Self_Qty],T_SelfStock[RM_Code],$A83,T_SelfStock[WeekIndex],74)+SUMIFS(T_TTAFStock[TTAF_Qty],T_TTAFStock[RM_Code],$A83,T_TTAFStock[WeekIndex],74),BV83+'Grid_Incoming'!BW83-'Grid_Requirement'!BW83))</f>
        <v/>
      </c>
      <c r="BX83">
        <f>IF(COUNTIFS(T_StockCount[RM_Code],$A83,T_StockCount[WeekIndex],75)&gt;0,SUMIFS(T_StockCount[CountedQty],T_StockCount[RM_Code],$A83,T_StockCount[WeekIndex],75),IF((COUNTIFS(T_SelfStock[RM_Code],$A83,T_SelfStock[WeekIndex],75)&gt;0)*(COUNTIFS(T_TTAFStock[RM_Code],$A83,T_TTAFStock[WeekIndex],75)&gt;0)&gt;0,SUMIFS(T_SelfStock[Self_Qty],T_SelfStock[RM_Code],$A83,T_SelfStock[WeekIndex],75)+SUMIFS(T_TTAFStock[TTAF_Qty],T_TTAFStock[RM_Code],$A83,T_TTAFStock[WeekIndex],75),BW83+'Grid_Incoming'!BX83-'Grid_Requirement'!BX83))</f>
        <v/>
      </c>
      <c r="BY83">
        <f>IF(COUNTIFS(T_StockCount[RM_Code],$A83,T_StockCount[WeekIndex],76)&gt;0,SUMIFS(T_StockCount[CountedQty],T_StockCount[RM_Code],$A83,T_StockCount[WeekIndex],76),IF((COUNTIFS(T_SelfStock[RM_Code],$A83,T_SelfStock[WeekIndex],76)&gt;0)*(COUNTIFS(T_TTAFStock[RM_Code],$A83,T_TTAFStock[WeekIndex],76)&gt;0)&gt;0,SUMIFS(T_SelfStock[Self_Qty],T_SelfStock[RM_Code],$A83,T_SelfStock[WeekIndex],76)+SUMIFS(T_TTAFStock[TTAF_Qty],T_TTAFStock[RM_Code],$A83,T_TTAFStock[WeekIndex],76),BX83+'Grid_Incoming'!BY83-'Grid_Requirement'!BY83))</f>
        <v/>
      </c>
      <c r="BZ83">
        <f>IF(COUNTIFS(T_StockCount[RM_Code],$A83,T_StockCount[WeekIndex],77)&gt;0,SUMIFS(T_StockCount[CountedQty],T_StockCount[RM_Code],$A83,T_StockCount[WeekIndex],77),IF((COUNTIFS(T_SelfStock[RM_Code],$A83,T_SelfStock[WeekIndex],77)&gt;0)*(COUNTIFS(T_TTAFStock[RM_Code],$A83,T_TTAFStock[WeekIndex],77)&gt;0)&gt;0,SUMIFS(T_SelfStock[Self_Qty],T_SelfStock[RM_Code],$A83,T_SelfStock[WeekIndex],77)+SUMIFS(T_TTAFStock[TTAF_Qty],T_TTAFStock[RM_Code],$A83,T_TTAFStock[WeekIndex],77),BY83+'Grid_Incoming'!BZ83-'Grid_Requirement'!BZ83))</f>
        <v/>
      </c>
      <c r="CA83">
        <f>IF(COUNTIFS(T_StockCount[RM_Code],$A83,T_StockCount[WeekIndex],78)&gt;0,SUMIFS(T_StockCount[CountedQty],T_StockCount[RM_Code],$A83,T_StockCount[WeekIndex],78),IF((COUNTIFS(T_SelfStock[RM_Code],$A83,T_SelfStock[WeekIndex],78)&gt;0)*(COUNTIFS(T_TTAFStock[RM_Code],$A83,T_TTAFStock[WeekIndex],78)&gt;0)&gt;0,SUMIFS(T_SelfStock[Self_Qty],T_SelfStock[RM_Code],$A83,T_SelfStock[WeekIndex],78)+SUMIFS(T_TTAFStock[TTAF_Qty],T_TTAFStock[RM_Code],$A83,T_TTAFStock[WeekIndex],78),BZ83+'Grid_Incoming'!CA83-'Grid_Requirement'!CA83))</f>
        <v/>
      </c>
      <c r="CB83">
        <f>IF(COUNTIFS(T_StockCount[RM_Code],$A83,T_StockCount[WeekIndex],79)&gt;0,SUMIFS(T_StockCount[CountedQty],T_StockCount[RM_Code],$A83,T_StockCount[WeekIndex],79),IF((COUNTIFS(T_SelfStock[RM_Code],$A83,T_SelfStock[WeekIndex],79)&gt;0)*(COUNTIFS(T_TTAFStock[RM_Code],$A83,T_TTAFStock[WeekIndex],79)&gt;0)&gt;0,SUMIFS(T_SelfStock[Self_Qty],T_SelfStock[RM_Code],$A83,T_SelfStock[WeekIndex],79)+SUMIFS(T_TTAFStock[TTAF_Qty],T_TTAFStock[RM_Code],$A83,T_TTAFStock[WeekIndex],79),CA83+'Grid_Incoming'!CB83-'Grid_Requirement'!CB83))</f>
        <v/>
      </c>
      <c r="CC83">
        <f>IF(COUNTIFS(T_StockCount[RM_Code],$A83,T_StockCount[WeekIndex],80)&gt;0,SUMIFS(T_StockCount[CountedQty],T_StockCount[RM_Code],$A83,T_StockCount[WeekIndex],80),IF((COUNTIFS(T_SelfStock[RM_Code],$A83,T_SelfStock[WeekIndex],80)&gt;0)*(COUNTIFS(T_TTAFStock[RM_Code],$A83,T_TTAFStock[WeekIndex],80)&gt;0)&gt;0,SUMIFS(T_SelfStock[Self_Qty],T_SelfStock[RM_Code],$A83,T_SelfStock[WeekIndex],80)+SUMIFS(T_TTAFStock[TTAF_Qty],T_TTAFStock[RM_Code],$A83,T_TTAFStock[WeekIndex],80),CB83+'Grid_Incoming'!CC83-'Grid_Requirement'!CC83))</f>
        <v/>
      </c>
      <c r="CD83">
        <f>IF(COUNTIFS(T_StockCount[RM_Code],$A83,T_StockCount[WeekIndex],81)&gt;0,SUMIFS(T_StockCount[CountedQty],T_StockCount[RM_Code],$A83,T_StockCount[WeekIndex],81),IF((COUNTIFS(T_SelfStock[RM_Code],$A83,T_SelfStock[WeekIndex],81)&gt;0)*(COUNTIFS(T_TTAFStock[RM_Code],$A83,T_TTAFStock[WeekIndex],81)&gt;0)&gt;0,SUMIFS(T_SelfStock[Self_Qty],T_SelfStock[RM_Code],$A83,T_SelfStock[WeekIndex],81)+SUMIFS(T_TTAFStock[TTAF_Qty],T_TTAFStock[RM_Code],$A83,T_TTAFStock[WeekIndex],81),CC83+'Grid_Incoming'!CD83-'Grid_Requirement'!CD83))</f>
        <v/>
      </c>
      <c r="CE83">
        <f>IF(COUNTIFS(T_StockCount[RM_Code],$A83,T_StockCount[WeekIndex],82)&gt;0,SUMIFS(T_StockCount[CountedQty],T_StockCount[RM_Code],$A83,T_StockCount[WeekIndex],82),IF((COUNTIFS(T_SelfStock[RM_Code],$A83,T_SelfStock[WeekIndex],82)&gt;0)*(COUNTIFS(T_TTAFStock[RM_Code],$A83,T_TTAFStock[WeekIndex],82)&gt;0)&gt;0,SUMIFS(T_SelfStock[Self_Qty],T_SelfStock[RM_Code],$A83,T_SelfStock[WeekIndex],82)+SUMIFS(T_TTAFStock[TTAF_Qty],T_TTAFStock[RM_Code],$A83,T_TTAFStock[WeekIndex],82),CD83+'Grid_Incoming'!CE83-'Grid_Requirement'!CE83))</f>
        <v/>
      </c>
      <c r="CF83">
        <f>IF(COUNTIFS(T_StockCount[RM_Code],$A83,T_StockCount[WeekIndex],83)&gt;0,SUMIFS(T_StockCount[CountedQty],T_StockCount[RM_Code],$A83,T_StockCount[WeekIndex],83),IF((COUNTIFS(T_SelfStock[RM_Code],$A83,T_SelfStock[WeekIndex],83)&gt;0)*(COUNTIFS(T_TTAFStock[RM_Code],$A83,T_TTAFStock[WeekIndex],83)&gt;0)&gt;0,SUMIFS(T_SelfStock[Self_Qty],T_SelfStock[RM_Code],$A83,T_SelfStock[WeekIndex],83)+SUMIFS(T_TTAFStock[TTAF_Qty],T_TTAFStock[RM_Code],$A83,T_TTAFStock[WeekIndex],83),CE83+'Grid_Incoming'!CF83-'Grid_Requirement'!CF83))</f>
        <v/>
      </c>
      <c r="CG83">
        <f>IF(COUNTIFS(T_StockCount[RM_Code],$A83,T_StockCount[WeekIndex],84)&gt;0,SUMIFS(T_StockCount[CountedQty],T_StockCount[RM_Code],$A83,T_StockCount[WeekIndex],84),IF((COUNTIFS(T_SelfStock[RM_Code],$A83,T_SelfStock[WeekIndex],84)&gt;0)*(COUNTIFS(T_TTAFStock[RM_Code],$A83,T_TTAFStock[WeekIndex],84)&gt;0)&gt;0,SUMIFS(T_SelfStock[Self_Qty],T_SelfStock[RM_Code],$A83,T_SelfStock[WeekIndex],84)+SUMIFS(T_TTAFStock[TTAF_Qty],T_TTAFStock[RM_Code],$A83,T_TTAFStock[WeekIndex],84),CF83+'Grid_Incoming'!CG83-'Grid_Requirement'!CG83))</f>
        <v/>
      </c>
      <c r="CH83">
        <f>IF(COUNTIFS(T_StockCount[RM_Code],$A83,T_StockCount[WeekIndex],85)&gt;0,SUMIFS(T_StockCount[CountedQty],T_StockCount[RM_Code],$A83,T_StockCount[WeekIndex],85),IF((COUNTIFS(T_SelfStock[RM_Code],$A83,T_SelfStock[WeekIndex],85)&gt;0)*(COUNTIFS(T_TTAFStock[RM_Code],$A83,T_TTAFStock[WeekIndex],85)&gt;0)&gt;0,SUMIFS(T_SelfStock[Self_Qty],T_SelfStock[RM_Code],$A83,T_SelfStock[WeekIndex],85)+SUMIFS(T_TTAFStock[TTAF_Qty],T_TTAFStock[RM_Code],$A83,T_TTAFStock[WeekIndex],85),CG83+'Grid_Incoming'!CH83-'Grid_Requirement'!CH83))</f>
        <v/>
      </c>
      <c r="CI83">
        <f>IF(COUNTIFS(T_StockCount[RM_Code],$A83,T_StockCount[WeekIndex],86)&gt;0,SUMIFS(T_StockCount[CountedQty],T_StockCount[RM_Code],$A83,T_StockCount[WeekIndex],86),IF((COUNTIFS(T_SelfStock[RM_Code],$A83,T_SelfStock[WeekIndex],86)&gt;0)*(COUNTIFS(T_TTAFStock[RM_Code],$A83,T_TTAFStock[WeekIndex],86)&gt;0)&gt;0,SUMIFS(T_SelfStock[Self_Qty],T_SelfStock[RM_Code],$A83,T_SelfStock[WeekIndex],86)+SUMIFS(T_TTAFStock[TTAF_Qty],T_TTAFStock[RM_Code],$A83,T_TTAFStock[WeekIndex],86),CH83+'Grid_Incoming'!CI83-'Grid_Requirement'!CI83))</f>
        <v/>
      </c>
      <c r="CJ83">
        <f>IF(COUNTIFS(T_StockCount[RM_Code],$A83,T_StockCount[WeekIndex],87)&gt;0,SUMIFS(T_StockCount[CountedQty],T_StockCount[RM_Code],$A83,T_StockCount[WeekIndex],87),IF((COUNTIFS(T_SelfStock[RM_Code],$A83,T_SelfStock[WeekIndex],87)&gt;0)*(COUNTIFS(T_TTAFStock[RM_Code],$A83,T_TTAFStock[WeekIndex],87)&gt;0)&gt;0,SUMIFS(T_SelfStock[Self_Qty],T_SelfStock[RM_Code],$A83,T_SelfStock[WeekIndex],87)+SUMIFS(T_TTAFStock[TTAF_Qty],T_TTAFStock[RM_Code],$A83,T_TTAFStock[WeekIndex],87),CI83+'Grid_Incoming'!CJ83-'Grid_Requirement'!CJ83))</f>
        <v/>
      </c>
      <c r="CK83">
        <f>IF(COUNTIFS(T_StockCount[RM_Code],$A83,T_StockCount[WeekIndex],88)&gt;0,SUMIFS(T_StockCount[CountedQty],T_StockCount[RM_Code],$A83,T_StockCount[WeekIndex],88),IF((COUNTIFS(T_SelfStock[RM_Code],$A83,T_SelfStock[WeekIndex],88)&gt;0)*(COUNTIFS(T_TTAFStock[RM_Code],$A83,T_TTAFStock[WeekIndex],88)&gt;0)&gt;0,SUMIFS(T_SelfStock[Self_Qty],T_SelfStock[RM_Code],$A83,T_SelfStock[WeekIndex],88)+SUMIFS(T_TTAFStock[TTAF_Qty],T_TTAFStock[RM_Code],$A83,T_TTAFStock[WeekIndex],88),CJ83+'Grid_Incoming'!CK83-'Grid_Requirement'!CK83))</f>
        <v/>
      </c>
      <c r="CL83">
        <f>IF(COUNTIFS(T_StockCount[RM_Code],$A83,T_StockCount[WeekIndex],89)&gt;0,SUMIFS(T_StockCount[CountedQty],T_StockCount[RM_Code],$A83,T_StockCount[WeekIndex],89),IF((COUNTIFS(T_SelfStock[RM_Code],$A83,T_SelfStock[WeekIndex],89)&gt;0)*(COUNTIFS(T_TTAFStock[RM_Code],$A83,T_TTAFStock[WeekIndex],89)&gt;0)&gt;0,SUMIFS(T_SelfStock[Self_Qty],T_SelfStock[RM_Code],$A83,T_SelfStock[WeekIndex],89)+SUMIFS(T_TTAFStock[TTAF_Qty],T_TTAFStock[RM_Code],$A83,T_TTAFStock[WeekIndex],89),CK83+'Grid_Incoming'!CL83-'Grid_Requirement'!CL83))</f>
        <v/>
      </c>
      <c r="CM83">
        <f>IF(COUNTIFS(T_StockCount[RM_Code],$A83,T_StockCount[WeekIndex],90)&gt;0,SUMIFS(T_StockCount[CountedQty],T_StockCount[RM_Code],$A83,T_StockCount[WeekIndex],90),IF((COUNTIFS(T_SelfStock[RM_Code],$A83,T_SelfStock[WeekIndex],90)&gt;0)*(COUNTIFS(T_TTAFStock[RM_Code],$A83,T_TTAFStock[WeekIndex],90)&gt;0)&gt;0,SUMIFS(T_SelfStock[Self_Qty],T_SelfStock[RM_Code],$A83,T_SelfStock[WeekIndex],90)+SUMIFS(T_TTAFStock[TTAF_Qty],T_TTAFStock[RM_Code],$A83,T_TTAFStock[WeekIndex],90),CL83+'Grid_Incoming'!CM83-'Grid_Requirement'!CM83))</f>
        <v/>
      </c>
      <c r="CN83">
        <f>IF(COUNTIFS(T_StockCount[RM_Code],$A83,T_StockCount[WeekIndex],91)&gt;0,SUMIFS(T_StockCount[CountedQty],T_StockCount[RM_Code],$A83,T_StockCount[WeekIndex],91),IF((COUNTIFS(T_SelfStock[RM_Code],$A83,T_SelfStock[WeekIndex],91)&gt;0)*(COUNTIFS(T_TTAFStock[RM_Code],$A83,T_TTAFStock[WeekIndex],91)&gt;0)&gt;0,SUMIFS(T_SelfStock[Self_Qty],T_SelfStock[RM_Code],$A83,T_SelfStock[WeekIndex],91)+SUMIFS(T_TTAFStock[TTAF_Qty],T_TTAFStock[RM_Code],$A83,T_TTAFStock[WeekIndex],91),CM83+'Grid_Incoming'!CN83-'Grid_Requirement'!CN83))</f>
        <v/>
      </c>
      <c r="CO83">
        <f>IF(COUNTIFS(T_StockCount[RM_Code],$A83,T_StockCount[WeekIndex],92)&gt;0,SUMIFS(T_StockCount[CountedQty],T_StockCount[RM_Code],$A83,T_StockCount[WeekIndex],92),IF((COUNTIFS(T_SelfStock[RM_Code],$A83,T_SelfStock[WeekIndex],92)&gt;0)*(COUNTIFS(T_TTAFStock[RM_Code],$A83,T_TTAFStock[WeekIndex],92)&gt;0)&gt;0,SUMIFS(T_SelfStock[Self_Qty],T_SelfStock[RM_Code],$A83,T_SelfStock[WeekIndex],92)+SUMIFS(T_TTAFStock[TTAF_Qty],T_TTAFStock[RM_Code],$A83,T_TTAFStock[WeekIndex],92),CN83+'Grid_Incoming'!CO83-'Grid_Requirement'!CO83))</f>
        <v/>
      </c>
      <c r="CP83">
        <f>IF(COUNTIFS(T_StockCount[RM_Code],$A83,T_StockCount[WeekIndex],93)&gt;0,SUMIFS(T_StockCount[CountedQty],T_StockCount[RM_Code],$A83,T_StockCount[WeekIndex],93),IF((COUNTIFS(T_SelfStock[RM_Code],$A83,T_SelfStock[WeekIndex],93)&gt;0)*(COUNTIFS(T_TTAFStock[RM_Code],$A83,T_TTAFStock[WeekIndex],93)&gt;0)&gt;0,SUMIFS(T_SelfStock[Self_Qty],T_SelfStock[RM_Code],$A83,T_SelfStock[WeekIndex],93)+SUMIFS(T_TTAFStock[TTAF_Qty],T_TTAFStock[RM_Code],$A83,T_TTAFStock[WeekIndex],93),CO83+'Grid_Incoming'!CP83-'Grid_Requirement'!CP83))</f>
        <v/>
      </c>
      <c r="CQ83">
        <f>IF(COUNTIFS(T_StockCount[RM_Code],$A83,T_StockCount[WeekIndex],94)&gt;0,SUMIFS(T_StockCount[CountedQty],T_StockCount[RM_Code],$A83,T_StockCount[WeekIndex],94),IF((COUNTIFS(T_SelfStock[RM_Code],$A83,T_SelfStock[WeekIndex],94)&gt;0)*(COUNTIFS(T_TTAFStock[RM_Code],$A83,T_TTAFStock[WeekIndex],94)&gt;0)&gt;0,SUMIFS(T_SelfStock[Self_Qty],T_SelfStock[RM_Code],$A83,T_SelfStock[WeekIndex],94)+SUMIFS(T_TTAFStock[TTAF_Qty],T_TTAFStock[RM_Code],$A83,T_TTAFStock[WeekIndex],94),CP83+'Grid_Incoming'!CQ83-'Grid_Requirement'!CQ83))</f>
        <v/>
      </c>
      <c r="CR83">
        <f>IF(COUNTIFS(T_StockCount[RM_Code],$A83,T_StockCount[WeekIndex],95)&gt;0,SUMIFS(T_StockCount[CountedQty],T_StockCount[RM_Code],$A83,T_StockCount[WeekIndex],95),IF((COUNTIFS(T_SelfStock[RM_Code],$A83,T_SelfStock[WeekIndex],95)&gt;0)*(COUNTIFS(T_TTAFStock[RM_Code],$A83,T_TTAFStock[WeekIndex],95)&gt;0)&gt;0,SUMIFS(T_SelfStock[Self_Qty],T_SelfStock[RM_Code],$A83,T_SelfStock[WeekIndex],95)+SUMIFS(T_TTAFStock[TTAF_Qty],T_TTAFStock[RM_Code],$A83,T_TTAFStock[WeekIndex],95),CQ83+'Grid_Incoming'!CR83-'Grid_Requirement'!CR83))</f>
        <v/>
      </c>
      <c r="CS83">
        <f>IF(COUNTIFS(T_StockCount[RM_Code],$A83,T_StockCount[WeekIndex],96)&gt;0,SUMIFS(T_StockCount[CountedQty],T_StockCount[RM_Code],$A83,T_StockCount[WeekIndex],96),IF((COUNTIFS(T_SelfStock[RM_Code],$A83,T_SelfStock[WeekIndex],96)&gt;0)*(COUNTIFS(T_TTAFStock[RM_Code],$A83,T_TTAFStock[WeekIndex],96)&gt;0)&gt;0,SUMIFS(T_SelfStock[Self_Qty],T_SelfStock[RM_Code],$A83,T_SelfStock[WeekIndex],96)+SUMIFS(T_TTAFStock[TTAF_Qty],T_TTAFStock[RM_Code],$A83,T_TTAFStock[WeekIndex],96),CR83+'Grid_Incoming'!CS83-'Grid_Requirement'!CS83))</f>
        <v/>
      </c>
      <c r="CT83">
        <f>IF(COUNTIFS(T_StockCount[RM_Code],$A83,T_StockCount[WeekIndex],97)&gt;0,SUMIFS(T_StockCount[CountedQty],T_StockCount[RM_Code],$A83,T_StockCount[WeekIndex],97),IF((COUNTIFS(T_SelfStock[RM_Code],$A83,T_SelfStock[WeekIndex],97)&gt;0)*(COUNTIFS(T_TTAFStock[RM_Code],$A83,T_TTAFStock[WeekIndex],97)&gt;0)&gt;0,SUMIFS(T_SelfStock[Self_Qty],T_SelfStock[RM_Code],$A83,T_SelfStock[WeekIndex],97)+SUMIFS(T_TTAFStock[TTAF_Qty],T_TTAFStock[RM_Code],$A83,T_TTAFStock[WeekIndex],97),CS83+'Grid_Incoming'!CT83-'Grid_Requirement'!CT83))</f>
        <v/>
      </c>
      <c r="CU83">
        <f>IF(COUNTIFS(T_StockCount[RM_Code],$A83,T_StockCount[WeekIndex],98)&gt;0,SUMIFS(T_StockCount[CountedQty],T_StockCount[RM_Code],$A83,T_StockCount[WeekIndex],98),IF((COUNTIFS(T_SelfStock[RM_Code],$A83,T_SelfStock[WeekIndex],98)&gt;0)*(COUNTIFS(T_TTAFStock[RM_Code],$A83,T_TTAFStock[WeekIndex],98)&gt;0)&gt;0,SUMIFS(T_SelfStock[Self_Qty],T_SelfStock[RM_Code],$A83,T_SelfStock[WeekIndex],98)+SUMIFS(T_TTAFStock[TTAF_Qty],T_TTAFStock[RM_Code],$A83,T_TTAFStock[WeekIndex],98),CT83+'Grid_Incoming'!CU83-'Grid_Requirement'!CU83))</f>
        <v/>
      </c>
      <c r="CV83">
        <f>IF(COUNTIFS(T_StockCount[RM_Code],$A83,T_StockCount[WeekIndex],99)&gt;0,SUMIFS(T_StockCount[CountedQty],T_StockCount[RM_Code],$A83,T_StockCount[WeekIndex],99),IF((COUNTIFS(T_SelfStock[RM_Code],$A83,T_SelfStock[WeekIndex],99)&gt;0)*(COUNTIFS(T_TTAFStock[RM_Code],$A83,T_TTAFStock[WeekIndex],99)&gt;0)&gt;0,SUMIFS(T_SelfStock[Self_Qty],T_SelfStock[RM_Code],$A83,T_SelfStock[WeekIndex],99)+SUMIFS(T_TTAFStock[TTAF_Qty],T_TTAFStock[RM_Code],$A83,T_TTAFStock[WeekIndex],99),CU83+'Grid_Incoming'!CV83-'Grid_Requirement'!CV83))</f>
        <v/>
      </c>
      <c r="CW83">
        <f>IF(COUNTIFS(T_StockCount[RM_Code],$A83,T_StockCount[WeekIndex],100)&gt;0,SUMIFS(T_StockCount[CountedQty],T_StockCount[RM_Code],$A83,T_StockCount[WeekIndex],100),IF((COUNTIFS(T_SelfStock[RM_Code],$A83,T_SelfStock[WeekIndex],100)&gt;0)*(COUNTIFS(T_TTAFStock[RM_Code],$A83,T_TTAFStock[WeekIndex],100)&gt;0)&gt;0,SUMIFS(T_SelfStock[Self_Qty],T_SelfStock[RM_Code],$A83,T_SelfStock[WeekIndex],100)+SUMIFS(T_TTAFStock[TTAF_Qty],T_TTAFStock[RM_Code],$A83,T_TTAFStock[WeekIndex],100),CV83+'Grid_Incoming'!CW83-'Grid_Requirement'!CW83))</f>
        <v/>
      </c>
      <c r="CX83">
        <f>IF(COUNTIFS(T_StockCount[RM_Code],$A83,T_StockCount[WeekIndex],101)&gt;0,SUMIFS(T_StockCount[CountedQty],T_StockCount[RM_Code],$A83,T_StockCount[WeekIndex],101),IF((COUNTIFS(T_SelfStock[RM_Code],$A83,T_SelfStock[WeekIndex],101)&gt;0)*(COUNTIFS(T_TTAFStock[RM_Code],$A83,T_TTAFStock[WeekIndex],101)&gt;0)&gt;0,SUMIFS(T_SelfStock[Self_Qty],T_SelfStock[RM_Code],$A83,T_SelfStock[WeekIndex],101)+SUMIFS(T_TTAFStock[TTAF_Qty],T_TTAFStock[RM_Code],$A83,T_TTAFStock[WeekIndex],101),CW83+'Grid_Incoming'!CX83-'Grid_Requirement'!CX83))</f>
        <v/>
      </c>
      <c r="CY83">
        <f>IF(COUNTIFS(T_StockCount[RM_Code],$A83,T_StockCount[WeekIndex],102)&gt;0,SUMIFS(T_StockCount[CountedQty],T_StockCount[RM_Code],$A83,T_StockCount[WeekIndex],102),IF((COUNTIFS(T_SelfStock[RM_Code],$A83,T_SelfStock[WeekIndex],102)&gt;0)*(COUNTIFS(T_TTAFStock[RM_Code],$A83,T_TTAFStock[WeekIndex],102)&gt;0)&gt;0,SUMIFS(T_SelfStock[Self_Qty],T_SelfStock[RM_Code],$A83,T_SelfStock[WeekIndex],102)+SUMIFS(T_TTAFStock[TTAF_Qty],T_TTAFStock[RM_Code],$A83,T_TTAFStock[WeekIndex],102),CX83+'Grid_Incoming'!CY83-'Grid_Requirement'!CY83))</f>
        <v/>
      </c>
      <c r="CZ83">
        <f>IF(COUNTIFS(T_StockCount[RM_Code],$A83,T_StockCount[WeekIndex],103)&gt;0,SUMIFS(T_StockCount[CountedQty],T_StockCount[RM_Code],$A83,T_StockCount[WeekIndex],103),IF((COUNTIFS(T_SelfStock[RM_Code],$A83,T_SelfStock[WeekIndex],103)&gt;0)*(COUNTIFS(T_TTAFStock[RM_Code],$A83,T_TTAFStock[WeekIndex],103)&gt;0)&gt;0,SUMIFS(T_SelfStock[Self_Qty],T_SelfStock[RM_Code],$A83,T_SelfStock[WeekIndex],103)+SUMIFS(T_TTAFStock[TTAF_Qty],T_TTAFStock[RM_Code],$A83,T_TTAFStock[WeekIndex],103),CY83+'Grid_Incoming'!CZ83-'Grid_Requirement'!CZ83))</f>
        <v/>
      </c>
      <c r="DA83">
        <f>IF(COUNTIFS(T_StockCount[RM_Code],$A83,T_StockCount[WeekIndex],104)&gt;0,SUMIFS(T_StockCount[CountedQty],T_StockCount[RM_Code],$A83,T_StockCount[WeekIndex],104),IF((COUNTIFS(T_SelfStock[RM_Code],$A83,T_SelfStock[WeekIndex],104)&gt;0)*(COUNTIFS(T_TTAFStock[RM_Code],$A83,T_TTAFStock[WeekIndex],104)&gt;0)&gt;0,SUMIFS(T_SelfStock[Self_Qty],T_SelfStock[RM_Code],$A83,T_SelfStock[WeekIndex],104)+SUMIFS(T_TTAFStock[TTAF_Qty],T_TTAFStock[RM_Code],$A83,T_TTAFStock[WeekIndex],104),CZ83+'Grid_Incoming'!DA83-'Grid_Requirement'!DA83))</f>
        <v/>
      </c>
    </row>
    <row r="84">
      <c r="A84" t="inlineStr">
        <is>
          <t>CHEM-1260</t>
        </is>
      </c>
      <c r="B84">
        <f>IF(COUNTIFS(T_StockCount[RM_Code],$A84,T_StockCount[WeekIndex],1)&gt;0,SUMIFS(T_StockCount[CountedQty],T_StockCount[RM_Code],$A84,T_StockCount[WeekIndex],1),IF((COUNTIFS(T_SelfStock[RM_Code],$A84,T_SelfStock[WeekIndex],1)&gt;0)*(COUNTIFS(T_TTAFStock[RM_Code],$A84,T_TTAFStock[WeekIndex],1)&gt;0)&gt;0,SUMIFS(T_SelfStock[Self_Qty],T_SelfStock[RM_Code],$A84,T_SelfStock[WeekIndex],1)+SUMIFS(T_TTAFStock[TTAF_Qty],T_TTAFStock[RM_Code],$A84,T_TTAFStock[WeekIndex],1),IFERROR(INDEX(T_OpeningStock[Opening_Qty],MATCH($A84,T_OpeningStock[RM_Code],0)),0)+'Grid_Incoming'!B84-'Grid_Requirement'!B84))</f>
        <v/>
      </c>
      <c r="C84">
        <f>IF(COUNTIFS(T_StockCount[RM_Code],$A84,T_StockCount[WeekIndex],2)&gt;0,SUMIFS(T_StockCount[CountedQty],T_StockCount[RM_Code],$A84,T_StockCount[WeekIndex],2),IF((COUNTIFS(T_SelfStock[RM_Code],$A84,T_SelfStock[WeekIndex],2)&gt;0)*(COUNTIFS(T_TTAFStock[RM_Code],$A84,T_TTAFStock[WeekIndex],2)&gt;0)&gt;0,SUMIFS(T_SelfStock[Self_Qty],T_SelfStock[RM_Code],$A84,T_SelfStock[WeekIndex],2)+SUMIFS(T_TTAFStock[TTAF_Qty],T_TTAFStock[RM_Code],$A84,T_TTAFStock[WeekIndex],2),B84+'Grid_Incoming'!C84-'Grid_Requirement'!C84))</f>
        <v/>
      </c>
      <c r="D84">
        <f>IF(COUNTIFS(T_StockCount[RM_Code],$A84,T_StockCount[WeekIndex],3)&gt;0,SUMIFS(T_StockCount[CountedQty],T_StockCount[RM_Code],$A84,T_StockCount[WeekIndex],3),IF((COUNTIFS(T_SelfStock[RM_Code],$A84,T_SelfStock[WeekIndex],3)&gt;0)*(COUNTIFS(T_TTAFStock[RM_Code],$A84,T_TTAFStock[WeekIndex],3)&gt;0)&gt;0,SUMIFS(T_SelfStock[Self_Qty],T_SelfStock[RM_Code],$A84,T_SelfStock[WeekIndex],3)+SUMIFS(T_TTAFStock[TTAF_Qty],T_TTAFStock[RM_Code],$A84,T_TTAFStock[WeekIndex],3),C84+'Grid_Incoming'!D84-'Grid_Requirement'!D84))</f>
        <v/>
      </c>
      <c r="E84">
        <f>IF(COUNTIFS(T_StockCount[RM_Code],$A84,T_StockCount[WeekIndex],4)&gt;0,SUMIFS(T_StockCount[CountedQty],T_StockCount[RM_Code],$A84,T_StockCount[WeekIndex],4),IF((COUNTIFS(T_SelfStock[RM_Code],$A84,T_SelfStock[WeekIndex],4)&gt;0)*(COUNTIFS(T_TTAFStock[RM_Code],$A84,T_TTAFStock[WeekIndex],4)&gt;0)&gt;0,SUMIFS(T_SelfStock[Self_Qty],T_SelfStock[RM_Code],$A84,T_SelfStock[WeekIndex],4)+SUMIFS(T_TTAFStock[TTAF_Qty],T_TTAFStock[RM_Code],$A84,T_TTAFStock[WeekIndex],4),D84+'Grid_Incoming'!E84-'Grid_Requirement'!E84))</f>
        <v/>
      </c>
      <c r="F84">
        <f>IF(COUNTIFS(T_StockCount[RM_Code],$A84,T_StockCount[WeekIndex],5)&gt;0,SUMIFS(T_StockCount[CountedQty],T_StockCount[RM_Code],$A84,T_StockCount[WeekIndex],5),IF((COUNTIFS(T_SelfStock[RM_Code],$A84,T_SelfStock[WeekIndex],5)&gt;0)*(COUNTIFS(T_TTAFStock[RM_Code],$A84,T_TTAFStock[WeekIndex],5)&gt;0)&gt;0,SUMIFS(T_SelfStock[Self_Qty],T_SelfStock[RM_Code],$A84,T_SelfStock[WeekIndex],5)+SUMIFS(T_TTAFStock[TTAF_Qty],T_TTAFStock[RM_Code],$A84,T_TTAFStock[WeekIndex],5),E84+'Grid_Incoming'!F84-'Grid_Requirement'!F84))</f>
        <v/>
      </c>
      <c r="G84">
        <f>IF(COUNTIFS(T_StockCount[RM_Code],$A84,T_StockCount[WeekIndex],6)&gt;0,SUMIFS(T_StockCount[CountedQty],T_StockCount[RM_Code],$A84,T_StockCount[WeekIndex],6),IF((COUNTIFS(T_SelfStock[RM_Code],$A84,T_SelfStock[WeekIndex],6)&gt;0)*(COUNTIFS(T_TTAFStock[RM_Code],$A84,T_TTAFStock[WeekIndex],6)&gt;0)&gt;0,SUMIFS(T_SelfStock[Self_Qty],T_SelfStock[RM_Code],$A84,T_SelfStock[WeekIndex],6)+SUMIFS(T_TTAFStock[TTAF_Qty],T_TTAFStock[RM_Code],$A84,T_TTAFStock[WeekIndex],6),F84+'Grid_Incoming'!G84-'Grid_Requirement'!G84))</f>
        <v/>
      </c>
      <c r="H84">
        <f>IF(COUNTIFS(T_StockCount[RM_Code],$A84,T_StockCount[WeekIndex],7)&gt;0,SUMIFS(T_StockCount[CountedQty],T_StockCount[RM_Code],$A84,T_StockCount[WeekIndex],7),IF((COUNTIFS(T_SelfStock[RM_Code],$A84,T_SelfStock[WeekIndex],7)&gt;0)*(COUNTIFS(T_TTAFStock[RM_Code],$A84,T_TTAFStock[WeekIndex],7)&gt;0)&gt;0,SUMIFS(T_SelfStock[Self_Qty],T_SelfStock[RM_Code],$A84,T_SelfStock[WeekIndex],7)+SUMIFS(T_TTAFStock[TTAF_Qty],T_TTAFStock[RM_Code],$A84,T_TTAFStock[WeekIndex],7),G84+'Grid_Incoming'!H84-'Grid_Requirement'!H84))</f>
        <v/>
      </c>
      <c r="I84">
        <f>IF(COUNTIFS(T_StockCount[RM_Code],$A84,T_StockCount[WeekIndex],8)&gt;0,SUMIFS(T_StockCount[CountedQty],T_StockCount[RM_Code],$A84,T_StockCount[WeekIndex],8),IF((COUNTIFS(T_SelfStock[RM_Code],$A84,T_SelfStock[WeekIndex],8)&gt;0)*(COUNTIFS(T_TTAFStock[RM_Code],$A84,T_TTAFStock[WeekIndex],8)&gt;0)&gt;0,SUMIFS(T_SelfStock[Self_Qty],T_SelfStock[RM_Code],$A84,T_SelfStock[WeekIndex],8)+SUMIFS(T_TTAFStock[TTAF_Qty],T_TTAFStock[RM_Code],$A84,T_TTAFStock[WeekIndex],8),H84+'Grid_Incoming'!I84-'Grid_Requirement'!I84))</f>
        <v/>
      </c>
      <c r="J84">
        <f>IF(COUNTIFS(T_StockCount[RM_Code],$A84,T_StockCount[WeekIndex],9)&gt;0,SUMIFS(T_StockCount[CountedQty],T_StockCount[RM_Code],$A84,T_StockCount[WeekIndex],9),IF((COUNTIFS(T_SelfStock[RM_Code],$A84,T_SelfStock[WeekIndex],9)&gt;0)*(COUNTIFS(T_TTAFStock[RM_Code],$A84,T_TTAFStock[WeekIndex],9)&gt;0)&gt;0,SUMIFS(T_SelfStock[Self_Qty],T_SelfStock[RM_Code],$A84,T_SelfStock[WeekIndex],9)+SUMIFS(T_TTAFStock[TTAF_Qty],T_TTAFStock[RM_Code],$A84,T_TTAFStock[WeekIndex],9),I84+'Grid_Incoming'!J84-'Grid_Requirement'!J84))</f>
        <v/>
      </c>
      <c r="K84">
        <f>IF(COUNTIFS(T_StockCount[RM_Code],$A84,T_StockCount[WeekIndex],10)&gt;0,SUMIFS(T_StockCount[CountedQty],T_StockCount[RM_Code],$A84,T_StockCount[WeekIndex],10),IF((COUNTIFS(T_SelfStock[RM_Code],$A84,T_SelfStock[WeekIndex],10)&gt;0)*(COUNTIFS(T_TTAFStock[RM_Code],$A84,T_TTAFStock[WeekIndex],10)&gt;0)&gt;0,SUMIFS(T_SelfStock[Self_Qty],T_SelfStock[RM_Code],$A84,T_SelfStock[WeekIndex],10)+SUMIFS(T_TTAFStock[TTAF_Qty],T_TTAFStock[RM_Code],$A84,T_TTAFStock[WeekIndex],10),J84+'Grid_Incoming'!K84-'Grid_Requirement'!K84))</f>
        <v/>
      </c>
      <c r="L84">
        <f>IF(COUNTIFS(T_StockCount[RM_Code],$A84,T_StockCount[WeekIndex],11)&gt;0,SUMIFS(T_StockCount[CountedQty],T_StockCount[RM_Code],$A84,T_StockCount[WeekIndex],11),IF((COUNTIFS(T_SelfStock[RM_Code],$A84,T_SelfStock[WeekIndex],11)&gt;0)*(COUNTIFS(T_TTAFStock[RM_Code],$A84,T_TTAFStock[WeekIndex],11)&gt;0)&gt;0,SUMIFS(T_SelfStock[Self_Qty],T_SelfStock[RM_Code],$A84,T_SelfStock[WeekIndex],11)+SUMIFS(T_TTAFStock[TTAF_Qty],T_TTAFStock[RM_Code],$A84,T_TTAFStock[WeekIndex],11),K84+'Grid_Incoming'!L84-'Grid_Requirement'!L84))</f>
        <v/>
      </c>
      <c r="M84">
        <f>IF(COUNTIFS(T_StockCount[RM_Code],$A84,T_StockCount[WeekIndex],12)&gt;0,SUMIFS(T_StockCount[CountedQty],T_StockCount[RM_Code],$A84,T_StockCount[WeekIndex],12),IF((COUNTIFS(T_SelfStock[RM_Code],$A84,T_SelfStock[WeekIndex],12)&gt;0)*(COUNTIFS(T_TTAFStock[RM_Code],$A84,T_TTAFStock[WeekIndex],12)&gt;0)&gt;0,SUMIFS(T_SelfStock[Self_Qty],T_SelfStock[RM_Code],$A84,T_SelfStock[WeekIndex],12)+SUMIFS(T_TTAFStock[TTAF_Qty],T_TTAFStock[RM_Code],$A84,T_TTAFStock[WeekIndex],12),L84+'Grid_Incoming'!M84-'Grid_Requirement'!M84))</f>
        <v/>
      </c>
      <c r="N84">
        <f>IF(COUNTIFS(T_StockCount[RM_Code],$A84,T_StockCount[WeekIndex],13)&gt;0,SUMIFS(T_StockCount[CountedQty],T_StockCount[RM_Code],$A84,T_StockCount[WeekIndex],13),IF((COUNTIFS(T_SelfStock[RM_Code],$A84,T_SelfStock[WeekIndex],13)&gt;0)*(COUNTIFS(T_TTAFStock[RM_Code],$A84,T_TTAFStock[WeekIndex],13)&gt;0)&gt;0,SUMIFS(T_SelfStock[Self_Qty],T_SelfStock[RM_Code],$A84,T_SelfStock[WeekIndex],13)+SUMIFS(T_TTAFStock[TTAF_Qty],T_TTAFStock[RM_Code],$A84,T_TTAFStock[WeekIndex],13),M84+'Grid_Incoming'!N84-'Grid_Requirement'!N84))</f>
        <v/>
      </c>
      <c r="O84">
        <f>IF(COUNTIFS(T_StockCount[RM_Code],$A84,T_StockCount[WeekIndex],14)&gt;0,SUMIFS(T_StockCount[CountedQty],T_StockCount[RM_Code],$A84,T_StockCount[WeekIndex],14),IF((COUNTIFS(T_SelfStock[RM_Code],$A84,T_SelfStock[WeekIndex],14)&gt;0)*(COUNTIFS(T_TTAFStock[RM_Code],$A84,T_TTAFStock[WeekIndex],14)&gt;0)&gt;0,SUMIFS(T_SelfStock[Self_Qty],T_SelfStock[RM_Code],$A84,T_SelfStock[WeekIndex],14)+SUMIFS(T_TTAFStock[TTAF_Qty],T_TTAFStock[RM_Code],$A84,T_TTAFStock[WeekIndex],14),N84+'Grid_Incoming'!O84-'Grid_Requirement'!O84))</f>
        <v/>
      </c>
      <c r="P84">
        <f>IF(COUNTIFS(T_StockCount[RM_Code],$A84,T_StockCount[WeekIndex],15)&gt;0,SUMIFS(T_StockCount[CountedQty],T_StockCount[RM_Code],$A84,T_StockCount[WeekIndex],15),IF((COUNTIFS(T_SelfStock[RM_Code],$A84,T_SelfStock[WeekIndex],15)&gt;0)*(COUNTIFS(T_TTAFStock[RM_Code],$A84,T_TTAFStock[WeekIndex],15)&gt;0)&gt;0,SUMIFS(T_SelfStock[Self_Qty],T_SelfStock[RM_Code],$A84,T_SelfStock[WeekIndex],15)+SUMIFS(T_TTAFStock[TTAF_Qty],T_TTAFStock[RM_Code],$A84,T_TTAFStock[WeekIndex],15),O84+'Grid_Incoming'!P84-'Grid_Requirement'!P84))</f>
        <v/>
      </c>
      <c r="Q84">
        <f>IF(COUNTIFS(T_StockCount[RM_Code],$A84,T_StockCount[WeekIndex],16)&gt;0,SUMIFS(T_StockCount[CountedQty],T_StockCount[RM_Code],$A84,T_StockCount[WeekIndex],16),IF((COUNTIFS(T_SelfStock[RM_Code],$A84,T_SelfStock[WeekIndex],16)&gt;0)*(COUNTIFS(T_TTAFStock[RM_Code],$A84,T_TTAFStock[WeekIndex],16)&gt;0)&gt;0,SUMIFS(T_SelfStock[Self_Qty],T_SelfStock[RM_Code],$A84,T_SelfStock[WeekIndex],16)+SUMIFS(T_TTAFStock[TTAF_Qty],T_TTAFStock[RM_Code],$A84,T_TTAFStock[WeekIndex],16),P84+'Grid_Incoming'!Q84-'Grid_Requirement'!Q84))</f>
        <v/>
      </c>
      <c r="R84">
        <f>IF(COUNTIFS(T_StockCount[RM_Code],$A84,T_StockCount[WeekIndex],17)&gt;0,SUMIFS(T_StockCount[CountedQty],T_StockCount[RM_Code],$A84,T_StockCount[WeekIndex],17),IF((COUNTIFS(T_SelfStock[RM_Code],$A84,T_SelfStock[WeekIndex],17)&gt;0)*(COUNTIFS(T_TTAFStock[RM_Code],$A84,T_TTAFStock[WeekIndex],17)&gt;0)&gt;0,SUMIFS(T_SelfStock[Self_Qty],T_SelfStock[RM_Code],$A84,T_SelfStock[WeekIndex],17)+SUMIFS(T_TTAFStock[TTAF_Qty],T_TTAFStock[RM_Code],$A84,T_TTAFStock[WeekIndex],17),Q84+'Grid_Incoming'!R84-'Grid_Requirement'!R84))</f>
        <v/>
      </c>
      <c r="S84">
        <f>IF(COUNTIFS(T_StockCount[RM_Code],$A84,T_StockCount[WeekIndex],18)&gt;0,SUMIFS(T_StockCount[CountedQty],T_StockCount[RM_Code],$A84,T_StockCount[WeekIndex],18),IF((COUNTIFS(T_SelfStock[RM_Code],$A84,T_SelfStock[WeekIndex],18)&gt;0)*(COUNTIFS(T_TTAFStock[RM_Code],$A84,T_TTAFStock[WeekIndex],18)&gt;0)&gt;0,SUMIFS(T_SelfStock[Self_Qty],T_SelfStock[RM_Code],$A84,T_SelfStock[WeekIndex],18)+SUMIFS(T_TTAFStock[TTAF_Qty],T_TTAFStock[RM_Code],$A84,T_TTAFStock[WeekIndex],18),R84+'Grid_Incoming'!S84-'Grid_Requirement'!S84))</f>
        <v/>
      </c>
      <c r="T84">
        <f>IF(COUNTIFS(T_StockCount[RM_Code],$A84,T_StockCount[WeekIndex],19)&gt;0,SUMIFS(T_StockCount[CountedQty],T_StockCount[RM_Code],$A84,T_StockCount[WeekIndex],19),IF((COUNTIFS(T_SelfStock[RM_Code],$A84,T_SelfStock[WeekIndex],19)&gt;0)*(COUNTIFS(T_TTAFStock[RM_Code],$A84,T_TTAFStock[WeekIndex],19)&gt;0)&gt;0,SUMIFS(T_SelfStock[Self_Qty],T_SelfStock[RM_Code],$A84,T_SelfStock[WeekIndex],19)+SUMIFS(T_TTAFStock[TTAF_Qty],T_TTAFStock[RM_Code],$A84,T_TTAFStock[WeekIndex],19),S84+'Grid_Incoming'!T84-'Grid_Requirement'!T84))</f>
        <v/>
      </c>
      <c r="U84">
        <f>IF(COUNTIFS(T_StockCount[RM_Code],$A84,T_StockCount[WeekIndex],20)&gt;0,SUMIFS(T_StockCount[CountedQty],T_StockCount[RM_Code],$A84,T_StockCount[WeekIndex],20),IF((COUNTIFS(T_SelfStock[RM_Code],$A84,T_SelfStock[WeekIndex],20)&gt;0)*(COUNTIFS(T_TTAFStock[RM_Code],$A84,T_TTAFStock[WeekIndex],20)&gt;0)&gt;0,SUMIFS(T_SelfStock[Self_Qty],T_SelfStock[RM_Code],$A84,T_SelfStock[WeekIndex],20)+SUMIFS(T_TTAFStock[TTAF_Qty],T_TTAFStock[RM_Code],$A84,T_TTAFStock[WeekIndex],20),T84+'Grid_Incoming'!U84-'Grid_Requirement'!U84))</f>
        <v/>
      </c>
      <c r="V84">
        <f>IF(COUNTIFS(T_StockCount[RM_Code],$A84,T_StockCount[WeekIndex],21)&gt;0,SUMIFS(T_StockCount[CountedQty],T_StockCount[RM_Code],$A84,T_StockCount[WeekIndex],21),IF((COUNTIFS(T_SelfStock[RM_Code],$A84,T_SelfStock[WeekIndex],21)&gt;0)*(COUNTIFS(T_TTAFStock[RM_Code],$A84,T_TTAFStock[WeekIndex],21)&gt;0)&gt;0,SUMIFS(T_SelfStock[Self_Qty],T_SelfStock[RM_Code],$A84,T_SelfStock[WeekIndex],21)+SUMIFS(T_TTAFStock[TTAF_Qty],T_TTAFStock[RM_Code],$A84,T_TTAFStock[WeekIndex],21),U84+'Grid_Incoming'!V84-'Grid_Requirement'!V84))</f>
        <v/>
      </c>
      <c r="W84">
        <f>IF(COUNTIFS(T_StockCount[RM_Code],$A84,T_StockCount[WeekIndex],22)&gt;0,SUMIFS(T_StockCount[CountedQty],T_StockCount[RM_Code],$A84,T_StockCount[WeekIndex],22),IF((COUNTIFS(T_SelfStock[RM_Code],$A84,T_SelfStock[WeekIndex],22)&gt;0)*(COUNTIFS(T_TTAFStock[RM_Code],$A84,T_TTAFStock[WeekIndex],22)&gt;0)&gt;0,SUMIFS(T_SelfStock[Self_Qty],T_SelfStock[RM_Code],$A84,T_SelfStock[WeekIndex],22)+SUMIFS(T_TTAFStock[TTAF_Qty],T_TTAFStock[RM_Code],$A84,T_TTAFStock[WeekIndex],22),V84+'Grid_Incoming'!W84-'Grid_Requirement'!W84))</f>
        <v/>
      </c>
      <c r="X84">
        <f>IF(COUNTIFS(T_StockCount[RM_Code],$A84,T_StockCount[WeekIndex],23)&gt;0,SUMIFS(T_StockCount[CountedQty],T_StockCount[RM_Code],$A84,T_StockCount[WeekIndex],23),IF((COUNTIFS(T_SelfStock[RM_Code],$A84,T_SelfStock[WeekIndex],23)&gt;0)*(COUNTIFS(T_TTAFStock[RM_Code],$A84,T_TTAFStock[WeekIndex],23)&gt;0)&gt;0,SUMIFS(T_SelfStock[Self_Qty],T_SelfStock[RM_Code],$A84,T_SelfStock[WeekIndex],23)+SUMIFS(T_TTAFStock[TTAF_Qty],T_TTAFStock[RM_Code],$A84,T_TTAFStock[WeekIndex],23),W84+'Grid_Incoming'!X84-'Grid_Requirement'!X84))</f>
        <v/>
      </c>
      <c r="Y84">
        <f>IF(COUNTIFS(T_StockCount[RM_Code],$A84,T_StockCount[WeekIndex],24)&gt;0,SUMIFS(T_StockCount[CountedQty],T_StockCount[RM_Code],$A84,T_StockCount[WeekIndex],24),IF((COUNTIFS(T_SelfStock[RM_Code],$A84,T_SelfStock[WeekIndex],24)&gt;0)*(COUNTIFS(T_TTAFStock[RM_Code],$A84,T_TTAFStock[WeekIndex],24)&gt;0)&gt;0,SUMIFS(T_SelfStock[Self_Qty],T_SelfStock[RM_Code],$A84,T_SelfStock[WeekIndex],24)+SUMIFS(T_TTAFStock[TTAF_Qty],T_TTAFStock[RM_Code],$A84,T_TTAFStock[WeekIndex],24),X84+'Grid_Incoming'!Y84-'Grid_Requirement'!Y84))</f>
        <v/>
      </c>
      <c r="Z84">
        <f>IF(COUNTIFS(T_StockCount[RM_Code],$A84,T_StockCount[WeekIndex],25)&gt;0,SUMIFS(T_StockCount[CountedQty],T_StockCount[RM_Code],$A84,T_StockCount[WeekIndex],25),IF((COUNTIFS(T_SelfStock[RM_Code],$A84,T_SelfStock[WeekIndex],25)&gt;0)*(COUNTIFS(T_TTAFStock[RM_Code],$A84,T_TTAFStock[WeekIndex],25)&gt;0)&gt;0,SUMIFS(T_SelfStock[Self_Qty],T_SelfStock[RM_Code],$A84,T_SelfStock[WeekIndex],25)+SUMIFS(T_TTAFStock[TTAF_Qty],T_TTAFStock[RM_Code],$A84,T_TTAFStock[WeekIndex],25),Y84+'Grid_Incoming'!Z84-'Grid_Requirement'!Z84))</f>
        <v/>
      </c>
      <c r="AA84">
        <f>IF(COUNTIFS(T_StockCount[RM_Code],$A84,T_StockCount[WeekIndex],26)&gt;0,SUMIFS(T_StockCount[CountedQty],T_StockCount[RM_Code],$A84,T_StockCount[WeekIndex],26),IF((COUNTIFS(T_SelfStock[RM_Code],$A84,T_SelfStock[WeekIndex],26)&gt;0)*(COUNTIFS(T_TTAFStock[RM_Code],$A84,T_TTAFStock[WeekIndex],26)&gt;0)&gt;0,SUMIFS(T_SelfStock[Self_Qty],T_SelfStock[RM_Code],$A84,T_SelfStock[WeekIndex],26)+SUMIFS(T_TTAFStock[TTAF_Qty],T_TTAFStock[RM_Code],$A84,T_TTAFStock[WeekIndex],26),Z84+'Grid_Incoming'!AA84-'Grid_Requirement'!AA84))</f>
        <v/>
      </c>
      <c r="AB84">
        <f>IF(COUNTIFS(T_StockCount[RM_Code],$A84,T_StockCount[WeekIndex],27)&gt;0,SUMIFS(T_StockCount[CountedQty],T_StockCount[RM_Code],$A84,T_StockCount[WeekIndex],27),IF((COUNTIFS(T_SelfStock[RM_Code],$A84,T_SelfStock[WeekIndex],27)&gt;0)*(COUNTIFS(T_TTAFStock[RM_Code],$A84,T_TTAFStock[WeekIndex],27)&gt;0)&gt;0,SUMIFS(T_SelfStock[Self_Qty],T_SelfStock[RM_Code],$A84,T_SelfStock[WeekIndex],27)+SUMIFS(T_TTAFStock[TTAF_Qty],T_TTAFStock[RM_Code],$A84,T_TTAFStock[WeekIndex],27),AA84+'Grid_Incoming'!AB84-'Grid_Requirement'!AB84))</f>
        <v/>
      </c>
      <c r="AC84">
        <f>IF(COUNTIFS(T_StockCount[RM_Code],$A84,T_StockCount[WeekIndex],28)&gt;0,SUMIFS(T_StockCount[CountedQty],T_StockCount[RM_Code],$A84,T_StockCount[WeekIndex],28),IF((COUNTIFS(T_SelfStock[RM_Code],$A84,T_SelfStock[WeekIndex],28)&gt;0)*(COUNTIFS(T_TTAFStock[RM_Code],$A84,T_TTAFStock[WeekIndex],28)&gt;0)&gt;0,SUMIFS(T_SelfStock[Self_Qty],T_SelfStock[RM_Code],$A84,T_SelfStock[WeekIndex],28)+SUMIFS(T_TTAFStock[TTAF_Qty],T_TTAFStock[RM_Code],$A84,T_TTAFStock[WeekIndex],28),AB84+'Grid_Incoming'!AC84-'Grid_Requirement'!AC84))</f>
        <v/>
      </c>
      <c r="AD84">
        <f>IF(COUNTIFS(T_StockCount[RM_Code],$A84,T_StockCount[WeekIndex],29)&gt;0,SUMIFS(T_StockCount[CountedQty],T_StockCount[RM_Code],$A84,T_StockCount[WeekIndex],29),IF((COUNTIFS(T_SelfStock[RM_Code],$A84,T_SelfStock[WeekIndex],29)&gt;0)*(COUNTIFS(T_TTAFStock[RM_Code],$A84,T_TTAFStock[WeekIndex],29)&gt;0)&gt;0,SUMIFS(T_SelfStock[Self_Qty],T_SelfStock[RM_Code],$A84,T_SelfStock[WeekIndex],29)+SUMIFS(T_TTAFStock[TTAF_Qty],T_TTAFStock[RM_Code],$A84,T_TTAFStock[WeekIndex],29),AC84+'Grid_Incoming'!AD84-'Grid_Requirement'!AD84))</f>
        <v/>
      </c>
      <c r="AE84">
        <f>IF(COUNTIFS(T_StockCount[RM_Code],$A84,T_StockCount[WeekIndex],30)&gt;0,SUMIFS(T_StockCount[CountedQty],T_StockCount[RM_Code],$A84,T_StockCount[WeekIndex],30),IF((COUNTIFS(T_SelfStock[RM_Code],$A84,T_SelfStock[WeekIndex],30)&gt;0)*(COUNTIFS(T_TTAFStock[RM_Code],$A84,T_TTAFStock[WeekIndex],30)&gt;0)&gt;0,SUMIFS(T_SelfStock[Self_Qty],T_SelfStock[RM_Code],$A84,T_SelfStock[WeekIndex],30)+SUMIFS(T_TTAFStock[TTAF_Qty],T_TTAFStock[RM_Code],$A84,T_TTAFStock[WeekIndex],30),AD84+'Grid_Incoming'!AE84-'Grid_Requirement'!AE84))</f>
        <v/>
      </c>
      <c r="AF84">
        <f>IF(COUNTIFS(T_StockCount[RM_Code],$A84,T_StockCount[WeekIndex],31)&gt;0,SUMIFS(T_StockCount[CountedQty],T_StockCount[RM_Code],$A84,T_StockCount[WeekIndex],31),IF((COUNTIFS(T_SelfStock[RM_Code],$A84,T_SelfStock[WeekIndex],31)&gt;0)*(COUNTIFS(T_TTAFStock[RM_Code],$A84,T_TTAFStock[WeekIndex],31)&gt;0)&gt;0,SUMIFS(T_SelfStock[Self_Qty],T_SelfStock[RM_Code],$A84,T_SelfStock[WeekIndex],31)+SUMIFS(T_TTAFStock[TTAF_Qty],T_TTAFStock[RM_Code],$A84,T_TTAFStock[WeekIndex],31),AE84+'Grid_Incoming'!AF84-'Grid_Requirement'!AF84))</f>
        <v/>
      </c>
      <c r="AG84">
        <f>IF(COUNTIFS(T_StockCount[RM_Code],$A84,T_StockCount[WeekIndex],32)&gt;0,SUMIFS(T_StockCount[CountedQty],T_StockCount[RM_Code],$A84,T_StockCount[WeekIndex],32),IF((COUNTIFS(T_SelfStock[RM_Code],$A84,T_SelfStock[WeekIndex],32)&gt;0)*(COUNTIFS(T_TTAFStock[RM_Code],$A84,T_TTAFStock[WeekIndex],32)&gt;0)&gt;0,SUMIFS(T_SelfStock[Self_Qty],T_SelfStock[RM_Code],$A84,T_SelfStock[WeekIndex],32)+SUMIFS(T_TTAFStock[TTAF_Qty],T_TTAFStock[RM_Code],$A84,T_TTAFStock[WeekIndex],32),AF84+'Grid_Incoming'!AG84-'Grid_Requirement'!AG84))</f>
        <v/>
      </c>
      <c r="AH84">
        <f>IF(COUNTIFS(T_StockCount[RM_Code],$A84,T_StockCount[WeekIndex],33)&gt;0,SUMIFS(T_StockCount[CountedQty],T_StockCount[RM_Code],$A84,T_StockCount[WeekIndex],33),IF((COUNTIFS(T_SelfStock[RM_Code],$A84,T_SelfStock[WeekIndex],33)&gt;0)*(COUNTIFS(T_TTAFStock[RM_Code],$A84,T_TTAFStock[WeekIndex],33)&gt;0)&gt;0,SUMIFS(T_SelfStock[Self_Qty],T_SelfStock[RM_Code],$A84,T_SelfStock[WeekIndex],33)+SUMIFS(T_TTAFStock[TTAF_Qty],T_TTAFStock[RM_Code],$A84,T_TTAFStock[WeekIndex],33),AG84+'Grid_Incoming'!AH84-'Grid_Requirement'!AH84))</f>
        <v/>
      </c>
      <c r="AI84">
        <f>IF(COUNTIFS(T_StockCount[RM_Code],$A84,T_StockCount[WeekIndex],34)&gt;0,SUMIFS(T_StockCount[CountedQty],T_StockCount[RM_Code],$A84,T_StockCount[WeekIndex],34),IF((COUNTIFS(T_SelfStock[RM_Code],$A84,T_SelfStock[WeekIndex],34)&gt;0)*(COUNTIFS(T_TTAFStock[RM_Code],$A84,T_TTAFStock[WeekIndex],34)&gt;0)&gt;0,SUMIFS(T_SelfStock[Self_Qty],T_SelfStock[RM_Code],$A84,T_SelfStock[WeekIndex],34)+SUMIFS(T_TTAFStock[TTAF_Qty],T_TTAFStock[RM_Code],$A84,T_TTAFStock[WeekIndex],34),AH84+'Grid_Incoming'!AI84-'Grid_Requirement'!AI84))</f>
        <v/>
      </c>
      <c r="AJ84">
        <f>IF(COUNTIFS(T_StockCount[RM_Code],$A84,T_StockCount[WeekIndex],35)&gt;0,SUMIFS(T_StockCount[CountedQty],T_StockCount[RM_Code],$A84,T_StockCount[WeekIndex],35),IF((COUNTIFS(T_SelfStock[RM_Code],$A84,T_SelfStock[WeekIndex],35)&gt;0)*(COUNTIFS(T_TTAFStock[RM_Code],$A84,T_TTAFStock[WeekIndex],35)&gt;0)&gt;0,SUMIFS(T_SelfStock[Self_Qty],T_SelfStock[RM_Code],$A84,T_SelfStock[WeekIndex],35)+SUMIFS(T_TTAFStock[TTAF_Qty],T_TTAFStock[RM_Code],$A84,T_TTAFStock[WeekIndex],35),AI84+'Grid_Incoming'!AJ84-'Grid_Requirement'!AJ84))</f>
        <v/>
      </c>
      <c r="AK84">
        <f>IF(COUNTIFS(T_StockCount[RM_Code],$A84,T_StockCount[WeekIndex],36)&gt;0,SUMIFS(T_StockCount[CountedQty],T_StockCount[RM_Code],$A84,T_StockCount[WeekIndex],36),IF((COUNTIFS(T_SelfStock[RM_Code],$A84,T_SelfStock[WeekIndex],36)&gt;0)*(COUNTIFS(T_TTAFStock[RM_Code],$A84,T_TTAFStock[WeekIndex],36)&gt;0)&gt;0,SUMIFS(T_SelfStock[Self_Qty],T_SelfStock[RM_Code],$A84,T_SelfStock[WeekIndex],36)+SUMIFS(T_TTAFStock[TTAF_Qty],T_TTAFStock[RM_Code],$A84,T_TTAFStock[WeekIndex],36),AJ84+'Grid_Incoming'!AK84-'Grid_Requirement'!AK84))</f>
        <v/>
      </c>
      <c r="AL84">
        <f>IF(COUNTIFS(T_StockCount[RM_Code],$A84,T_StockCount[WeekIndex],37)&gt;0,SUMIFS(T_StockCount[CountedQty],T_StockCount[RM_Code],$A84,T_StockCount[WeekIndex],37),IF((COUNTIFS(T_SelfStock[RM_Code],$A84,T_SelfStock[WeekIndex],37)&gt;0)*(COUNTIFS(T_TTAFStock[RM_Code],$A84,T_TTAFStock[WeekIndex],37)&gt;0)&gt;0,SUMIFS(T_SelfStock[Self_Qty],T_SelfStock[RM_Code],$A84,T_SelfStock[WeekIndex],37)+SUMIFS(T_TTAFStock[TTAF_Qty],T_TTAFStock[RM_Code],$A84,T_TTAFStock[WeekIndex],37),AK84+'Grid_Incoming'!AL84-'Grid_Requirement'!AL84))</f>
        <v/>
      </c>
      <c r="AM84">
        <f>IF(COUNTIFS(T_StockCount[RM_Code],$A84,T_StockCount[WeekIndex],38)&gt;0,SUMIFS(T_StockCount[CountedQty],T_StockCount[RM_Code],$A84,T_StockCount[WeekIndex],38),IF((COUNTIFS(T_SelfStock[RM_Code],$A84,T_SelfStock[WeekIndex],38)&gt;0)*(COUNTIFS(T_TTAFStock[RM_Code],$A84,T_TTAFStock[WeekIndex],38)&gt;0)&gt;0,SUMIFS(T_SelfStock[Self_Qty],T_SelfStock[RM_Code],$A84,T_SelfStock[WeekIndex],38)+SUMIFS(T_TTAFStock[TTAF_Qty],T_TTAFStock[RM_Code],$A84,T_TTAFStock[WeekIndex],38),AL84+'Grid_Incoming'!AM84-'Grid_Requirement'!AM84))</f>
        <v/>
      </c>
      <c r="AN84">
        <f>IF(COUNTIFS(T_StockCount[RM_Code],$A84,T_StockCount[WeekIndex],39)&gt;0,SUMIFS(T_StockCount[CountedQty],T_StockCount[RM_Code],$A84,T_StockCount[WeekIndex],39),IF((COUNTIFS(T_SelfStock[RM_Code],$A84,T_SelfStock[WeekIndex],39)&gt;0)*(COUNTIFS(T_TTAFStock[RM_Code],$A84,T_TTAFStock[WeekIndex],39)&gt;0)&gt;0,SUMIFS(T_SelfStock[Self_Qty],T_SelfStock[RM_Code],$A84,T_SelfStock[WeekIndex],39)+SUMIFS(T_TTAFStock[TTAF_Qty],T_TTAFStock[RM_Code],$A84,T_TTAFStock[WeekIndex],39),AM84+'Grid_Incoming'!AN84-'Grid_Requirement'!AN84))</f>
        <v/>
      </c>
      <c r="AO84">
        <f>IF(COUNTIFS(T_StockCount[RM_Code],$A84,T_StockCount[WeekIndex],40)&gt;0,SUMIFS(T_StockCount[CountedQty],T_StockCount[RM_Code],$A84,T_StockCount[WeekIndex],40),IF((COUNTIFS(T_SelfStock[RM_Code],$A84,T_SelfStock[WeekIndex],40)&gt;0)*(COUNTIFS(T_TTAFStock[RM_Code],$A84,T_TTAFStock[WeekIndex],40)&gt;0)&gt;0,SUMIFS(T_SelfStock[Self_Qty],T_SelfStock[RM_Code],$A84,T_SelfStock[WeekIndex],40)+SUMIFS(T_TTAFStock[TTAF_Qty],T_TTAFStock[RM_Code],$A84,T_TTAFStock[WeekIndex],40),AN84+'Grid_Incoming'!AO84-'Grid_Requirement'!AO84))</f>
        <v/>
      </c>
      <c r="AP84">
        <f>IF(COUNTIFS(T_StockCount[RM_Code],$A84,T_StockCount[WeekIndex],41)&gt;0,SUMIFS(T_StockCount[CountedQty],T_StockCount[RM_Code],$A84,T_StockCount[WeekIndex],41),IF((COUNTIFS(T_SelfStock[RM_Code],$A84,T_SelfStock[WeekIndex],41)&gt;0)*(COUNTIFS(T_TTAFStock[RM_Code],$A84,T_TTAFStock[WeekIndex],41)&gt;0)&gt;0,SUMIFS(T_SelfStock[Self_Qty],T_SelfStock[RM_Code],$A84,T_SelfStock[WeekIndex],41)+SUMIFS(T_TTAFStock[TTAF_Qty],T_TTAFStock[RM_Code],$A84,T_TTAFStock[WeekIndex],41),AO84+'Grid_Incoming'!AP84-'Grid_Requirement'!AP84))</f>
        <v/>
      </c>
      <c r="AQ84">
        <f>IF(COUNTIFS(T_StockCount[RM_Code],$A84,T_StockCount[WeekIndex],42)&gt;0,SUMIFS(T_StockCount[CountedQty],T_StockCount[RM_Code],$A84,T_StockCount[WeekIndex],42),IF((COUNTIFS(T_SelfStock[RM_Code],$A84,T_SelfStock[WeekIndex],42)&gt;0)*(COUNTIFS(T_TTAFStock[RM_Code],$A84,T_TTAFStock[WeekIndex],42)&gt;0)&gt;0,SUMIFS(T_SelfStock[Self_Qty],T_SelfStock[RM_Code],$A84,T_SelfStock[WeekIndex],42)+SUMIFS(T_TTAFStock[TTAF_Qty],T_TTAFStock[RM_Code],$A84,T_TTAFStock[WeekIndex],42),AP84+'Grid_Incoming'!AQ84-'Grid_Requirement'!AQ84))</f>
        <v/>
      </c>
      <c r="AR84">
        <f>IF(COUNTIFS(T_StockCount[RM_Code],$A84,T_StockCount[WeekIndex],43)&gt;0,SUMIFS(T_StockCount[CountedQty],T_StockCount[RM_Code],$A84,T_StockCount[WeekIndex],43),IF((COUNTIFS(T_SelfStock[RM_Code],$A84,T_SelfStock[WeekIndex],43)&gt;0)*(COUNTIFS(T_TTAFStock[RM_Code],$A84,T_TTAFStock[WeekIndex],43)&gt;0)&gt;0,SUMIFS(T_SelfStock[Self_Qty],T_SelfStock[RM_Code],$A84,T_SelfStock[WeekIndex],43)+SUMIFS(T_TTAFStock[TTAF_Qty],T_TTAFStock[RM_Code],$A84,T_TTAFStock[WeekIndex],43),AQ84+'Grid_Incoming'!AR84-'Grid_Requirement'!AR84))</f>
        <v/>
      </c>
      <c r="AS84">
        <f>IF(COUNTIFS(T_StockCount[RM_Code],$A84,T_StockCount[WeekIndex],44)&gt;0,SUMIFS(T_StockCount[CountedQty],T_StockCount[RM_Code],$A84,T_StockCount[WeekIndex],44),IF((COUNTIFS(T_SelfStock[RM_Code],$A84,T_SelfStock[WeekIndex],44)&gt;0)*(COUNTIFS(T_TTAFStock[RM_Code],$A84,T_TTAFStock[WeekIndex],44)&gt;0)&gt;0,SUMIFS(T_SelfStock[Self_Qty],T_SelfStock[RM_Code],$A84,T_SelfStock[WeekIndex],44)+SUMIFS(T_TTAFStock[TTAF_Qty],T_TTAFStock[RM_Code],$A84,T_TTAFStock[WeekIndex],44),AR84+'Grid_Incoming'!AS84-'Grid_Requirement'!AS84))</f>
        <v/>
      </c>
      <c r="AT84">
        <f>IF(COUNTIFS(T_StockCount[RM_Code],$A84,T_StockCount[WeekIndex],45)&gt;0,SUMIFS(T_StockCount[CountedQty],T_StockCount[RM_Code],$A84,T_StockCount[WeekIndex],45),IF((COUNTIFS(T_SelfStock[RM_Code],$A84,T_SelfStock[WeekIndex],45)&gt;0)*(COUNTIFS(T_TTAFStock[RM_Code],$A84,T_TTAFStock[WeekIndex],45)&gt;0)&gt;0,SUMIFS(T_SelfStock[Self_Qty],T_SelfStock[RM_Code],$A84,T_SelfStock[WeekIndex],45)+SUMIFS(T_TTAFStock[TTAF_Qty],T_TTAFStock[RM_Code],$A84,T_TTAFStock[WeekIndex],45),AS84+'Grid_Incoming'!AT84-'Grid_Requirement'!AT84))</f>
        <v/>
      </c>
      <c r="AU84">
        <f>IF(COUNTIFS(T_StockCount[RM_Code],$A84,T_StockCount[WeekIndex],46)&gt;0,SUMIFS(T_StockCount[CountedQty],T_StockCount[RM_Code],$A84,T_StockCount[WeekIndex],46),IF((COUNTIFS(T_SelfStock[RM_Code],$A84,T_SelfStock[WeekIndex],46)&gt;0)*(COUNTIFS(T_TTAFStock[RM_Code],$A84,T_TTAFStock[WeekIndex],46)&gt;0)&gt;0,SUMIFS(T_SelfStock[Self_Qty],T_SelfStock[RM_Code],$A84,T_SelfStock[WeekIndex],46)+SUMIFS(T_TTAFStock[TTAF_Qty],T_TTAFStock[RM_Code],$A84,T_TTAFStock[WeekIndex],46),AT84+'Grid_Incoming'!AU84-'Grid_Requirement'!AU84))</f>
        <v/>
      </c>
      <c r="AV84">
        <f>IF(COUNTIFS(T_StockCount[RM_Code],$A84,T_StockCount[WeekIndex],47)&gt;0,SUMIFS(T_StockCount[CountedQty],T_StockCount[RM_Code],$A84,T_StockCount[WeekIndex],47),IF((COUNTIFS(T_SelfStock[RM_Code],$A84,T_SelfStock[WeekIndex],47)&gt;0)*(COUNTIFS(T_TTAFStock[RM_Code],$A84,T_TTAFStock[WeekIndex],47)&gt;0)&gt;0,SUMIFS(T_SelfStock[Self_Qty],T_SelfStock[RM_Code],$A84,T_SelfStock[WeekIndex],47)+SUMIFS(T_TTAFStock[TTAF_Qty],T_TTAFStock[RM_Code],$A84,T_TTAFStock[WeekIndex],47),AU84+'Grid_Incoming'!AV84-'Grid_Requirement'!AV84))</f>
        <v/>
      </c>
      <c r="AW84">
        <f>IF(COUNTIFS(T_StockCount[RM_Code],$A84,T_StockCount[WeekIndex],48)&gt;0,SUMIFS(T_StockCount[CountedQty],T_StockCount[RM_Code],$A84,T_StockCount[WeekIndex],48),IF((COUNTIFS(T_SelfStock[RM_Code],$A84,T_SelfStock[WeekIndex],48)&gt;0)*(COUNTIFS(T_TTAFStock[RM_Code],$A84,T_TTAFStock[WeekIndex],48)&gt;0)&gt;0,SUMIFS(T_SelfStock[Self_Qty],T_SelfStock[RM_Code],$A84,T_SelfStock[WeekIndex],48)+SUMIFS(T_TTAFStock[TTAF_Qty],T_TTAFStock[RM_Code],$A84,T_TTAFStock[WeekIndex],48),AV84+'Grid_Incoming'!AW84-'Grid_Requirement'!AW84))</f>
        <v/>
      </c>
      <c r="AX84">
        <f>IF(COUNTIFS(T_StockCount[RM_Code],$A84,T_StockCount[WeekIndex],49)&gt;0,SUMIFS(T_StockCount[CountedQty],T_StockCount[RM_Code],$A84,T_StockCount[WeekIndex],49),IF((COUNTIFS(T_SelfStock[RM_Code],$A84,T_SelfStock[WeekIndex],49)&gt;0)*(COUNTIFS(T_TTAFStock[RM_Code],$A84,T_TTAFStock[WeekIndex],49)&gt;0)&gt;0,SUMIFS(T_SelfStock[Self_Qty],T_SelfStock[RM_Code],$A84,T_SelfStock[WeekIndex],49)+SUMIFS(T_TTAFStock[TTAF_Qty],T_TTAFStock[RM_Code],$A84,T_TTAFStock[WeekIndex],49),AW84+'Grid_Incoming'!AX84-'Grid_Requirement'!AX84))</f>
        <v/>
      </c>
      <c r="AY84">
        <f>IF(COUNTIFS(T_StockCount[RM_Code],$A84,T_StockCount[WeekIndex],50)&gt;0,SUMIFS(T_StockCount[CountedQty],T_StockCount[RM_Code],$A84,T_StockCount[WeekIndex],50),IF((COUNTIFS(T_SelfStock[RM_Code],$A84,T_SelfStock[WeekIndex],50)&gt;0)*(COUNTIFS(T_TTAFStock[RM_Code],$A84,T_TTAFStock[WeekIndex],50)&gt;0)&gt;0,SUMIFS(T_SelfStock[Self_Qty],T_SelfStock[RM_Code],$A84,T_SelfStock[WeekIndex],50)+SUMIFS(T_TTAFStock[TTAF_Qty],T_TTAFStock[RM_Code],$A84,T_TTAFStock[WeekIndex],50),AX84+'Grid_Incoming'!AY84-'Grid_Requirement'!AY84))</f>
        <v/>
      </c>
      <c r="AZ84">
        <f>IF(COUNTIFS(T_StockCount[RM_Code],$A84,T_StockCount[WeekIndex],51)&gt;0,SUMIFS(T_StockCount[CountedQty],T_StockCount[RM_Code],$A84,T_StockCount[WeekIndex],51),IF((COUNTIFS(T_SelfStock[RM_Code],$A84,T_SelfStock[WeekIndex],51)&gt;0)*(COUNTIFS(T_TTAFStock[RM_Code],$A84,T_TTAFStock[WeekIndex],51)&gt;0)&gt;0,SUMIFS(T_SelfStock[Self_Qty],T_SelfStock[RM_Code],$A84,T_SelfStock[WeekIndex],51)+SUMIFS(T_TTAFStock[TTAF_Qty],T_TTAFStock[RM_Code],$A84,T_TTAFStock[WeekIndex],51),AY84+'Grid_Incoming'!AZ84-'Grid_Requirement'!AZ84))</f>
        <v/>
      </c>
      <c r="BA84">
        <f>IF(COUNTIFS(T_StockCount[RM_Code],$A84,T_StockCount[WeekIndex],52)&gt;0,SUMIFS(T_StockCount[CountedQty],T_StockCount[RM_Code],$A84,T_StockCount[WeekIndex],52),IF((COUNTIFS(T_SelfStock[RM_Code],$A84,T_SelfStock[WeekIndex],52)&gt;0)*(COUNTIFS(T_TTAFStock[RM_Code],$A84,T_TTAFStock[WeekIndex],52)&gt;0)&gt;0,SUMIFS(T_SelfStock[Self_Qty],T_SelfStock[RM_Code],$A84,T_SelfStock[WeekIndex],52)+SUMIFS(T_TTAFStock[TTAF_Qty],T_TTAFStock[RM_Code],$A84,T_TTAFStock[WeekIndex],52),AZ84+'Grid_Incoming'!BA84-'Grid_Requirement'!BA84))</f>
        <v/>
      </c>
      <c r="BB84">
        <f>IF(COUNTIFS(T_StockCount[RM_Code],$A84,T_StockCount[WeekIndex],53)&gt;0,SUMIFS(T_StockCount[CountedQty],T_StockCount[RM_Code],$A84,T_StockCount[WeekIndex],53),IF((COUNTIFS(T_SelfStock[RM_Code],$A84,T_SelfStock[WeekIndex],53)&gt;0)*(COUNTIFS(T_TTAFStock[RM_Code],$A84,T_TTAFStock[WeekIndex],53)&gt;0)&gt;0,SUMIFS(T_SelfStock[Self_Qty],T_SelfStock[RM_Code],$A84,T_SelfStock[WeekIndex],53)+SUMIFS(T_TTAFStock[TTAF_Qty],T_TTAFStock[RM_Code],$A84,T_TTAFStock[WeekIndex],53),BA84+'Grid_Incoming'!BB84-'Grid_Requirement'!BB84))</f>
        <v/>
      </c>
      <c r="BC84">
        <f>IF(COUNTIFS(T_StockCount[RM_Code],$A84,T_StockCount[WeekIndex],54)&gt;0,SUMIFS(T_StockCount[CountedQty],T_StockCount[RM_Code],$A84,T_StockCount[WeekIndex],54),IF((COUNTIFS(T_SelfStock[RM_Code],$A84,T_SelfStock[WeekIndex],54)&gt;0)*(COUNTIFS(T_TTAFStock[RM_Code],$A84,T_TTAFStock[WeekIndex],54)&gt;0)&gt;0,SUMIFS(T_SelfStock[Self_Qty],T_SelfStock[RM_Code],$A84,T_SelfStock[WeekIndex],54)+SUMIFS(T_TTAFStock[TTAF_Qty],T_TTAFStock[RM_Code],$A84,T_TTAFStock[WeekIndex],54),BB84+'Grid_Incoming'!BC84-'Grid_Requirement'!BC84))</f>
        <v/>
      </c>
      <c r="BD84">
        <f>IF(COUNTIFS(T_StockCount[RM_Code],$A84,T_StockCount[WeekIndex],55)&gt;0,SUMIFS(T_StockCount[CountedQty],T_StockCount[RM_Code],$A84,T_StockCount[WeekIndex],55),IF((COUNTIFS(T_SelfStock[RM_Code],$A84,T_SelfStock[WeekIndex],55)&gt;0)*(COUNTIFS(T_TTAFStock[RM_Code],$A84,T_TTAFStock[WeekIndex],55)&gt;0)&gt;0,SUMIFS(T_SelfStock[Self_Qty],T_SelfStock[RM_Code],$A84,T_SelfStock[WeekIndex],55)+SUMIFS(T_TTAFStock[TTAF_Qty],T_TTAFStock[RM_Code],$A84,T_TTAFStock[WeekIndex],55),BC84+'Grid_Incoming'!BD84-'Grid_Requirement'!BD84))</f>
        <v/>
      </c>
      <c r="BE84">
        <f>IF(COUNTIFS(T_StockCount[RM_Code],$A84,T_StockCount[WeekIndex],56)&gt;0,SUMIFS(T_StockCount[CountedQty],T_StockCount[RM_Code],$A84,T_StockCount[WeekIndex],56),IF((COUNTIFS(T_SelfStock[RM_Code],$A84,T_SelfStock[WeekIndex],56)&gt;0)*(COUNTIFS(T_TTAFStock[RM_Code],$A84,T_TTAFStock[WeekIndex],56)&gt;0)&gt;0,SUMIFS(T_SelfStock[Self_Qty],T_SelfStock[RM_Code],$A84,T_SelfStock[WeekIndex],56)+SUMIFS(T_TTAFStock[TTAF_Qty],T_TTAFStock[RM_Code],$A84,T_TTAFStock[WeekIndex],56),BD84+'Grid_Incoming'!BE84-'Grid_Requirement'!BE84))</f>
        <v/>
      </c>
      <c r="BF84">
        <f>IF(COUNTIFS(T_StockCount[RM_Code],$A84,T_StockCount[WeekIndex],57)&gt;0,SUMIFS(T_StockCount[CountedQty],T_StockCount[RM_Code],$A84,T_StockCount[WeekIndex],57),IF((COUNTIFS(T_SelfStock[RM_Code],$A84,T_SelfStock[WeekIndex],57)&gt;0)*(COUNTIFS(T_TTAFStock[RM_Code],$A84,T_TTAFStock[WeekIndex],57)&gt;0)&gt;0,SUMIFS(T_SelfStock[Self_Qty],T_SelfStock[RM_Code],$A84,T_SelfStock[WeekIndex],57)+SUMIFS(T_TTAFStock[TTAF_Qty],T_TTAFStock[RM_Code],$A84,T_TTAFStock[WeekIndex],57),BE84+'Grid_Incoming'!BF84-'Grid_Requirement'!BF84))</f>
        <v/>
      </c>
      <c r="BG84">
        <f>IF(COUNTIFS(T_StockCount[RM_Code],$A84,T_StockCount[WeekIndex],58)&gt;0,SUMIFS(T_StockCount[CountedQty],T_StockCount[RM_Code],$A84,T_StockCount[WeekIndex],58),IF((COUNTIFS(T_SelfStock[RM_Code],$A84,T_SelfStock[WeekIndex],58)&gt;0)*(COUNTIFS(T_TTAFStock[RM_Code],$A84,T_TTAFStock[WeekIndex],58)&gt;0)&gt;0,SUMIFS(T_SelfStock[Self_Qty],T_SelfStock[RM_Code],$A84,T_SelfStock[WeekIndex],58)+SUMIFS(T_TTAFStock[TTAF_Qty],T_TTAFStock[RM_Code],$A84,T_TTAFStock[WeekIndex],58),BF84+'Grid_Incoming'!BG84-'Grid_Requirement'!BG84))</f>
        <v/>
      </c>
      <c r="BH84">
        <f>IF(COUNTIFS(T_StockCount[RM_Code],$A84,T_StockCount[WeekIndex],59)&gt;0,SUMIFS(T_StockCount[CountedQty],T_StockCount[RM_Code],$A84,T_StockCount[WeekIndex],59),IF((COUNTIFS(T_SelfStock[RM_Code],$A84,T_SelfStock[WeekIndex],59)&gt;0)*(COUNTIFS(T_TTAFStock[RM_Code],$A84,T_TTAFStock[WeekIndex],59)&gt;0)&gt;0,SUMIFS(T_SelfStock[Self_Qty],T_SelfStock[RM_Code],$A84,T_SelfStock[WeekIndex],59)+SUMIFS(T_TTAFStock[TTAF_Qty],T_TTAFStock[RM_Code],$A84,T_TTAFStock[WeekIndex],59),BG84+'Grid_Incoming'!BH84-'Grid_Requirement'!BH84))</f>
        <v/>
      </c>
      <c r="BI84">
        <f>IF(COUNTIFS(T_StockCount[RM_Code],$A84,T_StockCount[WeekIndex],60)&gt;0,SUMIFS(T_StockCount[CountedQty],T_StockCount[RM_Code],$A84,T_StockCount[WeekIndex],60),IF((COUNTIFS(T_SelfStock[RM_Code],$A84,T_SelfStock[WeekIndex],60)&gt;0)*(COUNTIFS(T_TTAFStock[RM_Code],$A84,T_TTAFStock[WeekIndex],60)&gt;0)&gt;0,SUMIFS(T_SelfStock[Self_Qty],T_SelfStock[RM_Code],$A84,T_SelfStock[WeekIndex],60)+SUMIFS(T_TTAFStock[TTAF_Qty],T_TTAFStock[RM_Code],$A84,T_TTAFStock[WeekIndex],60),BH84+'Grid_Incoming'!BI84-'Grid_Requirement'!BI84))</f>
        <v/>
      </c>
      <c r="BJ84">
        <f>IF(COUNTIFS(T_StockCount[RM_Code],$A84,T_StockCount[WeekIndex],61)&gt;0,SUMIFS(T_StockCount[CountedQty],T_StockCount[RM_Code],$A84,T_StockCount[WeekIndex],61),IF((COUNTIFS(T_SelfStock[RM_Code],$A84,T_SelfStock[WeekIndex],61)&gt;0)*(COUNTIFS(T_TTAFStock[RM_Code],$A84,T_TTAFStock[WeekIndex],61)&gt;0)&gt;0,SUMIFS(T_SelfStock[Self_Qty],T_SelfStock[RM_Code],$A84,T_SelfStock[WeekIndex],61)+SUMIFS(T_TTAFStock[TTAF_Qty],T_TTAFStock[RM_Code],$A84,T_TTAFStock[WeekIndex],61),BI84+'Grid_Incoming'!BJ84-'Grid_Requirement'!BJ84))</f>
        <v/>
      </c>
      <c r="BK84">
        <f>IF(COUNTIFS(T_StockCount[RM_Code],$A84,T_StockCount[WeekIndex],62)&gt;0,SUMIFS(T_StockCount[CountedQty],T_StockCount[RM_Code],$A84,T_StockCount[WeekIndex],62),IF((COUNTIFS(T_SelfStock[RM_Code],$A84,T_SelfStock[WeekIndex],62)&gt;0)*(COUNTIFS(T_TTAFStock[RM_Code],$A84,T_TTAFStock[WeekIndex],62)&gt;0)&gt;0,SUMIFS(T_SelfStock[Self_Qty],T_SelfStock[RM_Code],$A84,T_SelfStock[WeekIndex],62)+SUMIFS(T_TTAFStock[TTAF_Qty],T_TTAFStock[RM_Code],$A84,T_TTAFStock[WeekIndex],62),BJ84+'Grid_Incoming'!BK84-'Grid_Requirement'!BK84))</f>
        <v/>
      </c>
      <c r="BL84">
        <f>IF(COUNTIFS(T_StockCount[RM_Code],$A84,T_StockCount[WeekIndex],63)&gt;0,SUMIFS(T_StockCount[CountedQty],T_StockCount[RM_Code],$A84,T_StockCount[WeekIndex],63),IF((COUNTIFS(T_SelfStock[RM_Code],$A84,T_SelfStock[WeekIndex],63)&gt;0)*(COUNTIFS(T_TTAFStock[RM_Code],$A84,T_TTAFStock[WeekIndex],63)&gt;0)&gt;0,SUMIFS(T_SelfStock[Self_Qty],T_SelfStock[RM_Code],$A84,T_SelfStock[WeekIndex],63)+SUMIFS(T_TTAFStock[TTAF_Qty],T_TTAFStock[RM_Code],$A84,T_TTAFStock[WeekIndex],63),BK84+'Grid_Incoming'!BL84-'Grid_Requirement'!BL84))</f>
        <v/>
      </c>
      <c r="BM84">
        <f>IF(COUNTIFS(T_StockCount[RM_Code],$A84,T_StockCount[WeekIndex],64)&gt;0,SUMIFS(T_StockCount[CountedQty],T_StockCount[RM_Code],$A84,T_StockCount[WeekIndex],64),IF((COUNTIFS(T_SelfStock[RM_Code],$A84,T_SelfStock[WeekIndex],64)&gt;0)*(COUNTIFS(T_TTAFStock[RM_Code],$A84,T_TTAFStock[WeekIndex],64)&gt;0)&gt;0,SUMIFS(T_SelfStock[Self_Qty],T_SelfStock[RM_Code],$A84,T_SelfStock[WeekIndex],64)+SUMIFS(T_TTAFStock[TTAF_Qty],T_TTAFStock[RM_Code],$A84,T_TTAFStock[WeekIndex],64),BL84+'Grid_Incoming'!BM84-'Grid_Requirement'!BM84))</f>
        <v/>
      </c>
      <c r="BN84">
        <f>IF(COUNTIFS(T_StockCount[RM_Code],$A84,T_StockCount[WeekIndex],65)&gt;0,SUMIFS(T_StockCount[CountedQty],T_StockCount[RM_Code],$A84,T_StockCount[WeekIndex],65),IF((COUNTIFS(T_SelfStock[RM_Code],$A84,T_SelfStock[WeekIndex],65)&gt;0)*(COUNTIFS(T_TTAFStock[RM_Code],$A84,T_TTAFStock[WeekIndex],65)&gt;0)&gt;0,SUMIFS(T_SelfStock[Self_Qty],T_SelfStock[RM_Code],$A84,T_SelfStock[WeekIndex],65)+SUMIFS(T_TTAFStock[TTAF_Qty],T_TTAFStock[RM_Code],$A84,T_TTAFStock[WeekIndex],65),BM84+'Grid_Incoming'!BN84-'Grid_Requirement'!BN84))</f>
        <v/>
      </c>
      <c r="BO84">
        <f>IF(COUNTIFS(T_StockCount[RM_Code],$A84,T_StockCount[WeekIndex],66)&gt;0,SUMIFS(T_StockCount[CountedQty],T_StockCount[RM_Code],$A84,T_StockCount[WeekIndex],66),IF((COUNTIFS(T_SelfStock[RM_Code],$A84,T_SelfStock[WeekIndex],66)&gt;0)*(COUNTIFS(T_TTAFStock[RM_Code],$A84,T_TTAFStock[WeekIndex],66)&gt;0)&gt;0,SUMIFS(T_SelfStock[Self_Qty],T_SelfStock[RM_Code],$A84,T_SelfStock[WeekIndex],66)+SUMIFS(T_TTAFStock[TTAF_Qty],T_TTAFStock[RM_Code],$A84,T_TTAFStock[WeekIndex],66),BN84+'Grid_Incoming'!BO84-'Grid_Requirement'!BO84))</f>
        <v/>
      </c>
      <c r="BP84">
        <f>IF(COUNTIFS(T_StockCount[RM_Code],$A84,T_StockCount[WeekIndex],67)&gt;0,SUMIFS(T_StockCount[CountedQty],T_StockCount[RM_Code],$A84,T_StockCount[WeekIndex],67),IF((COUNTIFS(T_SelfStock[RM_Code],$A84,T_SelfStock[WeekIndex],67)&gt;0)*(COUNTIFS(T_TTAFStock[RM_Code],$A84,T_TTAFStock[WeekIndex],67)&gt;0)&gt;0,SUMIFS(T_SelfStock[Self_Qty],T_SelfStock[RM_Code],$A84,T_SelfStock[WeekIndex],67)+SUMIFS(T_TTAFStock[TTAF_Qty],T_TTAFStock[RM_Code],$A84,T_TTAFStock[WeekIndex],67),BO84+'Grid_Incoming'!BP84-'Grid_Requirement'!BP84))</f>
        <v/>
      </c>
      <c r="BQ84">
        <f>IF(COUNTIFS(T_StockCount[RM_Code],$A84,T_StockCount[WeekIndex],68)&gt;0,SUMIFS(T_StockCount[CountedQty],T_StockCount[RM_Code],$A84,T_StockCount[WeekIndex],68),IF((COUNTIFS(T_SelfStock[RM_Code],$A84,T_SelfStock[WeekIndex],68)&gt;0)*(COUNTIFS(T_TTAFStock[RM_Code],$A84,T_TTAFStock[WeekIndex],68)&gt;0)&gt;0,SUMIFS(T_SelfStock[Self_Qty],T_SelfStock[RM_Code],$A84,T_SelfStock[WeekIndex],68)+SUMIFS(T_TTAFStock[TTAF_Qty],T_TTAFStock[RM_Code],$A84,T_TTAFStock[WeekIndex],68),BP84+'Grid_Incoming'!BQ84-'Grid_Requirement'!BQ84))</f>
        <v/>
      </c>
      <c r="BR84">
        <f>IF(COUNTIFS(T_StockCount[RM_Code],$A84,T_StockCount[WeekIndex],69)&gt;0,SUMIFS(T_StockCount[CountedQty],T_StockCount[RM_Code],$A84,T_StockCount[WeekIndex],69),IF((COUNTIFS(T_SelfStock[RM_Code],$A84,T_SelfStock[WeekIndex],69)&gt;0)*(COUNTIFS(T_TTAFStock[RM_Code],$A84,T_TTAFStock[WeekIndex],69)&gt;0)&gt;0,SUMIFS(T_SelfStock[Self_Qty],T_SelfStock[RM_Code],$A84,T_SelfStock[WeekIndex],69)+SUMIFS(T_TTAFStock[TTAF_Qty],T_TTAFStock[RM_Code],$A84,T_TTAFStock[WeekIndex],69),BQ84+'Grid_Incoming'!BR84-'Grid_Requirement'!BR84))</f>
        <v/>
      </c>
      <c r="BS84">
        <f>IF(COUNTIFS(T_StockCount[RM_Code],$A84,T_StockCount[WeekIndex],70)&gt;0,SUMIFS(T_StockCount[CountedQty],T_StockCount[RM_Code],$A84,T_StockCount[WeekIndex],70),IF((COUNTIFS(T_SelfStock[RM_Code],$A84,T_SelfStock[WeekIndex],70)&gt;0)*(COUNTIFS(T_TTAFStock[RM_Code],$A84,T_TTAFStock[WeekIndex],70)&gt;0)&gt;0,SUMIFS(T_SelfStock[Self_Qty],T_SelfStock[RM_Code],$A84,T_SelfStock[WeekIndex],70)+SUMIFS(T_TTAFStock[TTAF_Qty],T_TTAFStock[RM_Code],$A84,T_TTAFStock[WeekIndex],70),BR84+'Grid_Incoming'!BS84-'Grid_Requirement'!BS84))</f>
        <v/>
      </c>
      <c r="BT84">
        <f>IF(COUNTIFS(T_StockCount[RM_Code],$A84,T_StockCount[WeekIndex],71)&gt;0,SUMIFS(T_StockCount[CountedQty],T_StockCount[RM_Code],$A84,T_StockCount[WeekIndex],71),IF((COUNTIFS(T_SelfStock[RM_Code],$A84,T_SelfStock[WeekIndex],71)&gt;0)*(COUNTIFS(T_TTAFStock[RM_Code],$A84,T_TTAFStock[WeekIndex],71)&gt;0)&gt;0,SUMIFS(T_SelfStock[Self_Qty],T_SelfStock[RM_Code],$A84,T_SelfStock[WeekIndex],71)+SUMIFS(T_TTAFStock[TTAF_Qty],T_TTAFStock[RM_Code],$A84,T_TTAFStock[WeekIndex],71),BS84+'Grid_Incoming'!BT84-'Grid_Requirement'!BT84))</f>
        <v/>
      </c>
      <c r="BU84">
        <f>IF(COUNTIFS(T_StockCount[RM_Code],$A84,T_StockCount[WeekIndex],72)&gt;0,SUMIFS(T_StockCount[CountedQty],T_StockCount[RM_Code],$A84,T_StockCount[WeekIndex],72),IF((COUNTIFS(T_SelfStock[RM_Code],$A84,T_SelfStock[WeekIndex],72)&gt;0)*(COUNTIFS(T_TTAFStock[RM_Code],$A84,T_TTAFStock[WeekIndex],72)&gt;0)&gt;0,SUMIFS(T_SelfStock[Self_Qty],T_SelfStock[RM_Code],$A84,T_SelfStock[WeekIndex],72)+SUMIFS(T_TTAFStock[TTAF_Qty],T_TTAFStock[RM_Code],$A84,T_TTAFStock[WeekIndex],72),BT84+'Grid_Incoming'!BU84-'Grid_Requirement'!BU84))</f>
        <v/>
      </c>
      <c r="BV84">
        <f>IF(COUNTIFS(T_StockCount[RM_Code],$A84,T_StockCount[WeekIndex],73)&gt;0,SUMIFS(T_StockCount[CountedQty],T_StockCount[RM_Code],$A84,T_StockCount[WeekIndex],73),IF((COUNTIFS(T_SelfStock[RM_Code],$A84,T_SelfStock[WeekIndex],73)&gt;0)*(COUNTIFS(T_TTAFStock[RM_Code],$A84,T_TTAFStock[WeekIndex],73)&gt;0)&gt;0,SUMIFS(T_SelfStock[Self_Qty],T_SelfStock[RM_Code],$A84,T_SelfStock[WeekIndex],73)+SUMIFS(T_TTAFStock[TTAF_Qty],T_TTAFStock[RM_Code],$A84,T_TTAFStock[WeekIndex],73),BU84+'Grid_Incoming'!BV84-'Grid_Requirement'!BV84))</f>
        <v/>
      </c>
      <c r="BW84">
        <f>IF(COUNTIFS(T_StockCount[RM_Code],$A84,T_StockCount[WeekIndex],74)&gt;0,SUMIFS(T_StockCount[CountedQty],T_StockCount[RM_Code],$A84,T_StockCount[WeekIndex],74),IF((COUNTIFS(T_SelfStock[RM_Code],$A84,T_SelfStock[WeekIndex],74)&gt;0)*(COUNTIFS(T_TTAFStock[RM_Code],$A84,T_TTAFStock[WeekIndex],74)&gt;0)&gt;0,SUMIFS(T_SelfStock[Self_Qty],T_SelfStock[RM_Code],$A84,T_SelfStock[WeekIndex],74)+SUMIFS(T_TTAFStock[TTAF_Qty],T_TTAFStock[RM_Code],$A84,T_TTAFStock[WeekIndex],74),BV84+'Grid_Incoming'!BW84-'Grid_Requirement'!BW84))</f>
        <v/>
      </c>
      <c r="BX84">
        <f>IF(COUNTIFS(T_StockCount[RM_Code],$A84,T_StockCount[WeekIndex],75)&gt;0,SUMIFS(T_StockCount[CountedQty],T_StockCount[RM_Code],$A84,T_StockCount[WeekIndex],75),IF((COUNTIFS(T_SelfStock[RM_Code],$A84,T_SelfStock[WeekIndex],75)&gt;0)*(COUNTIFS(T_TTAFStock[RM_Code],$A84,T_TTAFStock[WeekIndex],75)&gt;0)&gt;0,SUMIFS(T_SelfStock[Self_Qty],T_SelfStock[RM_Code],$A84,T_SelfStock[WeekIndex],75)+SUMIFS(T_TTAFStock[TTAF_Qty],T_TTAFStock[RM_Code],$A84,T_TTAFStock[WeekIndex],75),BW84+'Grid_Incoming'!BX84-'Grid_Requirement'!BX84))</f>
        <v/>
      </c>
      <c r="BY84">
        <f>IF(COUNTIFS(T_StockCount[RM_Code],$A84,T_StockCount[WeekIndex],76)&gt;0,SUMIFS(T_StockCount[CountedQty],T_StockCount[RM_Code],$A84,T_StockCount[WeekIndex],76),IF((COUNTIFS(T_SelfStock[RM_Code],$A84,T_SelfStock[WeekIndex],76)&gt;0)*(COUNTIFS(T_TTAFStock[RM_Code],$A84,T_TTAFStock[WeekIndex],76)&gt;0)&gt;0,SUMIFS(T_SelfStock[Self_Qty],T_SelfStock[RM_Code],$A84,T_SelfStock[WeekIndex],76)+SUMIFS(T_TTAFStock[TTAF_Qty],T_TTAFStock[RM_Code],$A84,T_TTAFStock[WeekIndex],76),BX84+'Grid_Incoming'!BY84-'Grid_Requirement'!BY84))</f>
        <v/>
      </c>
      <c r="BZ84">
        <f>IF(COUNTIFS(T_StockCount[RM_Code],$A84,T_StockCount[WeekIndex],77)&gt;0,SUMIFS(T_StockCount[CountedQty],T_StockCount[RM_Code],$A84,T_StockCount[WeekIndex],77),IF((COUNTIFS(T_SelfStock[RM_Code],$A84,T_SelfStock[WeekIndex],77)&gt;0)*(COUNTIFS(T_TTAFStock[RM_Code],$A84,T_TTAFStock[WeekIndex],77)&gt;0)&gt;0,SUMIFS(T_SelfStock[Self_Qty],T_SelfStock[RM_Code],$A84,T_SelfStock[WeekIndex],77)+SUMIFS(T_TTAFStock[TTAF_Qty],T_TTAFStock[RM_Code],$A84,T_TTAFStock[WeekIndex],77),BY84+'Grid_Incoming'!BZ84-'Grid_Requirement'!BZ84))</f>
        <v/>
      </c>
      <c r="CA84">
        <f>IF(COUNTIFS(T_StockCount[RM_Code],$A84,T_StockCount[WeekIndex],78)&gt;0,SUMIFS(T_StockCount[CountedQty],T_StockCount[RM_Code],$A84,T_StockCount[WeekIndex],78),IF((COUNTIFS(T_SelfStock[RM_Code],$A84,T_SelfStock[WeekIndex],78)&gt;0)*(COUNTIFS(T_TTAFStock[RM_Code],$A84,T_TTAFStock[WeekIndex],78)&gt;0)&gt;0,SUMIFS(T_SelfStock[Self_Qty],T_SelfStock[RM_Code],$A84,T_SelfStock[WeekIndex],78)+SUMIFS(T_TTAFStock[TTAF_Qty],T_TTAFStock[RM_Code],$A84,T_TTAFStock[WeekIndex],78),BZ84+'Grid_Incoming'!CA84-'Grid_Requirement'!CA84))</f>
        <v/>
      </c>
      <c r="CB84">
        <f>IF(COUNTIFS(T_StockCount[RM_Code],$A84,T_StockCount[WeekIndex],79)&gt;0,SUMIFS(T_StockCount[CountedQty],T_StockCount[RM_Code],$A84,T_StockCount[WeekIndex],79),IF((COUNTIFS(T_SelfStock[RM_Code],$A84,T_SelfStock[WeekIndex],79)&gt;0)*(COUNTIFS(T_TTAFStock[RM_Code],$A84,T_TTAFStock[WeekIndex],79)&gt;0)&gt;0,SUMIFS(T_SelfStock[Self_Qty],T_SelfStock[RM_Code],$A84,T_SelfStock[WeekIndex],79)+SUMIFS(T_TTAFStock[TTAF_Qty],T_TTAFStock[RM_Code],$A84,T_TTAFStock[WeekIndex],79),CA84+'Grid_Incoming'!CB84-'Grid_Requirement'!CB84))</f>
        <v/>
      </c>
      <c r="CC84">
        <f>IF(COUNTIFS(T_StockCount[RM_Code],$A84,T_StockCount[WeekIndex],80)&gt;0,SUMIFS(T_StockCount[CountedQty],T_StockCount[RM_Code],$A84,T_StockCount[WeekIndex],80),IF((COUNTIFS(T_SelfStock[RM_Code],$A84,T_SelfStock[WeekIndex],80)&gt;0)*(COUNTIFS(T_TTAFStock[RM_Code],$A84,T_TTAFStock[WeekIndex],80)&gt;0)&gt;0,SUMIFS(T_SelfStock[Self_Qty],T_SelfStock[RM_Code],$A84,T_SelfStock[WeekIndex],80)+SUMIFS(T_TTAFStock[TTAF_Qty],T_TTAFStock[RM_Code],$A84,T_TTAFStock[WeekIndex],80),CB84+'Grid_Incoming'!CC84-'Grid_Requirement'!CC84))</f>
        <v/>
      </c>
      <c r="CD84">
        <f>IF(COUNTIFS(T_StockCount[RM_Code],$A84,T_StockCount[WeekIndex],81)&gt;0,SUMIFS(T_StockCount[CountedQty],T_StockCount[RM_Code],$A84,T_StockCount[WeekIndex],81),IF((COUNTIFS(T_SelfStock[RM_Code],$A84,T_SelfStock[WeekIndex],81)&gt;0)*(COUNTIFS(T_TTAFStock[RM_Code],$A84,T_TTAFStock[WeekIndex],81)&gt;0)&gt;0,SUMIFS(T_SelfStock[Self_Qty],T_SelfStock[RM_Code],$A84,T_SelfStock[WeekIndex],81)+SUMIFS(T_TTAFStock[TTAF_Qty],T_TTAFStock[RM_Code],$A84,T_TTAFStock[WeekIndex],81),CC84+'Grid_Incoming'!CD84-'Grid_Requirement'!CD84))</f>
        <v/>
      </c>
      <c r="CE84">
        <f>IF(COUNTIFS(T_StockCount[RM_Code],$A84,T_StockCount[WeekIndex],82)&gt;0,SUMIFS(T_StockCount[CountedQty],T_StockCount[RM_Code],$A84,T_StockCount[WeekIndex],82),IF((COUNTIFS(T_SelfStock[RM_Code],$A84,T_SelfStock[WeekIndex],82)&gt;0)*(COUNTIFS(T_TTAFStock[RM_Code],$A84,T_TTAFStock[WeekIndex],82)&gt;0)&gt;0,SUMIFS(T_SelfStock[Self_Qty],T_SelfStock[RM_Code],$A84,T_SelfStock[WeekIndex],82)+SUMIFS(T_TTAFStock[TTAF_Qty],T_TTAFStock[RM_Code],$A84,T_TTAFStock[WeekIndex],82),CD84+'Grid_Incoming'!CE84-'Grid_Requirement'!CE84))</f>
        <v/>
      </c>
      <c r="CF84">
        <f>IF(COUNTIFS(T_StockCount[RM_Code],$A84,T_StockCount[WeekIndex],83)&gt;0,SUMIFS(T_StockCount[CountedQty],T_StockCount[RM_Code],$A84,T_StockCount[WeekIndex],83),IF((COUNTIFS(T_SelfStock[RM_Code],$A84,T_SelfStock[WeekIndex],83)&gt;0)*(COUNTIFS(T_TTAFStock[RM_Code],$A84,T_TTAFStock[WeekIndex],83)&gt;0)&gt;0,SUMIFS(T_SelfStock[Self_Qty],T_SelfStock[RM_Code],$A84,T_SelfStock[WeekIndex],83)+SUMIFS(T_TTAFStock[TTAF_Qty],T_TTAFStock[RM_Code],$A84,T_TTAFStock[WeekIndex],83),CE84+'Grid_Incoming'!CF84-'Grid_Requirement'!CF84))</f>
        <v/>
      </c>
      <c r="CG84">
        <f>IF(COUNTIFS(T_StockCount[RM_Code],$A84,T_StockCount[WeekIndex],84)&gt;0,SUMIFS(T_StockCount[CountedQty],T_StockCount[RM_Code],$A84,T_StockCount[WeekIndex],84),IF((COUNTIFS(T_SelfStock[RM_Code],$A84,T_SelfStock[WeekIndex],84)&gt;0)*(COUNTIFS(T_TTAFStock[RM_Code],$A84,T_TTAFStock[WeekIndex],84)&gt;0)&gt;0,SUMIFS(T_SelfStock[Self_Qty],T_SelfStock[RM_Code],$A84,T_SelfStock[WeekIndex],84)+SUMIFS(T_TTAFStock[TTAF_Qty],T_TTAFStock[RM_Code],$A84,T_TTAFStock[WeekIndex],84),CF84+'Grid_Incoming'!CG84-'Grid_Requirement'!CG84))</f>
        <v/>
      </c>
      <c r="CH84">
        <f>IF(COUNTIFS(T_StockCount[RM_Code],$A84,T_StockCount[WeekIndex],85)&gt;0,SUMIFS(T_StockCount[CountedQty],T_StockCount[RM_Code],$A84,T_StockCount[WeekIndex],85),IF((COUNTIFS(T_SelfStock[RM_Code],$A84,T_SelfStock[WeekIndex],85)&gt;0)*(COUNTIFS(T_TTAFStock[RM_Code],$A84,T_TTAFStock[WeekIndex],85)&gt;0)&gt;0,SUMIFS(T_SelfStock[Self_Qty],T_SelfStock[RM_Code],$A84,T_SelfStock[WeekIndex],85)+SUMIFS(T_TTAFStock[TTAF_Qty],T_TTAFStock[RM_Code],$A84,T_TTAFStock[WeekIndex],85),CG84+'Grid_Incoming'!CH84-'Grid_Requirement'!CH84))</f>
        <v/>
      </c>
      <c r="CI84">
        <f>IF(COUNTIFS(T_StockCount[RM_Code],$A84,T_StockCount[WeekIndex],86)&gt;0,SUMIFS(T_StockCount[CountedQty],T_StockCount[RM_Code],$A84,T_StockCount[WeekIndex],86),IF((COUNTIFS(T_SelfStock[RM_Code],$A84,T_SelfStock[WeekIndex],86)&gt;0)*(COUNTIFS(T_TTAFStock[RM_Code],$A84,T_TTAFStock[WeekIndex],86)&gt;0)&gt;0,SUMIFS(T_SelfStock[Self_Qty],T_SelfStock[RM_Code],$A84,T_SelfStock[WeekIndex],86)+SUMIFS(T_TTAFStock[TTAF_Qty],T_TTAFStock[RM_Code],$A84,T_TTAFStock[WeekIndex],86),CH84+'Grid_Incoming'!CI84-'Grid_Requirement'!CI84))</f>
        <v/>
      </c>
      <c r="CJ84">
        <f>IF(COUNTIFS(T_StockCount[RM_Code],$A84,T_StockCount[WeekIndex],87)&gt;0,SUMIFS(T_StockCount[CountedQty],T_StockCount[RM_Code],$A84,T_StockCount[WeekIndex],87),IF((COUNTIFS(T_SelfStock[RM_Code],$A84,T_SelfStock[WeekIndex],87)&gt;0)*(COUNTIFS(T_TTAFStock[RM_Code],$A84,T_TTAFStock[WeekIndex],87)&gt;0)&gt;0,SUMIFS(T_SelfStock[Self_Qty],T_SelfStock[RM_Code],$A84,T_SelfStock[WeekIndex],87)+SUMIFS(T_TTAFStock[TTAF_Qty],T_TTAFStock[RM_Code],$A84,T_TTAFStock[WeekIndex],87),CI84+'Grid_Incoming'!CJ84-'Grid_Requirement'!CJ84))</f>
        <v/>
      </c>
      <c r="CK84">
        <f>IF(COUNTIFS(T_StockCount[RM_Code],$A84,T_StockCount[WeekIndex],88)&gt;0,SUMIFS(T_StockCount[CountedQty],T_StockCount[RM_Code],$A84,T_StockCount[WeekIndex],88),IF((COUNTIFS(T_SelfStock[RM_Code],$A84,T_SelfStock[WeekIndex],88)&gt;0)*(COUNTIFS(T_TTAFStock[RM_Code],$A84,T_TTAFStock[WeekIndex],88)&gt;0)&gt;0,SUMIFS(T_SelfStock[Self_Qty],T_SelfStock[RM_Code],$A84,T_SelfStock[WeekIndex],88)+SUMIFS(T_TTAFStock[TTAF_Qty],T_TTAFStock[RM_Code],$A84,T_TTAFStock[WeekIndex],88),CJ84+'Grid_Incoming'!CK84-'Grid_Requirement'!CK84))</f>
        <v/>
      </c>
      <c r="CL84">
        <f>IF(COUNTIFS(T_StockCount[RM_Code],$A84,T_StockCount[WeekIndex],89)&gt;0,SUMIFS(T_StockCount[CountedQty],T_StockCount[RM_Code],$A84,T_StockCount[WeekIndex],89),IF((COUNTIFS(T_SelfStock[RM_Code],$A84,T_SelfStock[WeekIndex],89)&gt;0)*(COUNTIFS(T_TTAFStock[RM_Code],$A84,T_TTAFStock[WeekIndex],89)&gt;0)&gt;0,SUMIFS(T_SelfStock[Self_Qty],T_SelfStock[RM_Code],$A84,T_SelfStock[WeekIndex],89)+SUMIFS(T_TTAFStock[TTAF_Qty],T_TTAFStock[RM_Code],$A84,T_TTAFStock[WeekIndex],89),CK84+'Grid_Incoming'!CL84-'Grid_Requirement'!CL84))</f>
        <v/>
      </c>
      <c r="CM84">
        <f>IF(COUNTIFS(T_StockCount[RM_Code],$A84,T_StockCount[WeekIndex],90)&gt;0,SUMIFS(T_StockCount[CountedQty],T_StockCount[RM_Code],$A84,T_StockCount[WeekIndex],90),IF((COUNTIFS(T_SelfStock[RM_Code],$A84,T_SelfStock[WeekIndex],90)&gt;0)*(COUNTIFS(T_TTAFStock[RM_Code],$A84,T_TTAFStock[WeekIndex],90)&gt;0)&gt;0,SUMIFS(T_SelfStock[Self_Qty],T_SelfStock[RM_Code],$A84,T_SelfStock[WeekIndex],90)+SUMIFS(T_TTAFStock[TTAF_Qty],T_TTAFStock[RM_Code],$A84,T_TTAFStock[WeekIndex],90),CL84+'Grid_Incoming'!CM84-'Grid_Requirement'!CM84))</f>
        <v/>
      </c>
      <c r="CN84">
        <f>IF(COUNTIFS(T_StockCount[RM_Code],$A84,T_StockCount[WeekIndex],91)&gt;0,SUMIFS(T_StockCount[CountedQty],T_StockCount[RM_Code],$A84,T_StockCount[WeekIndex],91),IF((COUNTIFS(T_SelfStock[RM_Code],$A84,T_SelfStock[WeekIndex],91)&gt;0)*(COUNTIFS(T_TTAFStock[RM_Code],$A84,T_TTAFStock[WeekIndex],91)&gt;0)&gt;0,SUMIFS(T_SelfStock[Self_Qty],T_SelfStock[RM_Code],$A84,T_SelfStock[WeekIndex],91)+SUMIFS(T_TTAFStock[TTAF_Qty],T_TTAFStock[RM_Code],$A84,T_TTAFStock[WeekIndex],91),CM84+'Grid_Incoming'!CN84-'Grid_Requirement'!CN84))</f>
        <v/>
      </c>
      <c r="CO84">
        <f>IF(COUNTIFS(T_StockCount[RM_Code],$A84,T_StockCount[WeekIndex],92)&gt;0,SUMIFS(T_StockCount[CountedQty],T_StockCount[RM_Code],$A84,T_StockCount[WeekIndex],92),IF((COUNTIFS(T_SelfStock[RM_Code],$A84,T_SelfStock[WeekIndex],92)&gt;0)*(COUNTIFS(T_TTAFStock[RM_Code],$A84,T_TTAFStock[WeekIndex],92)&gt;0)&gt;0,SUMIFS(T_SelfStock[Self_Qty],T_SelfStock[RM_Code],$A84,T_SelfStock[WeekIndex],92)+SUMIFS(T_TTAFStock[TTAF_Qty],T_TTAFStock[RM_Code],$A84,T_TTAFStock[WeekIndex],92),CN84+'Grid_Incoming'!CO84-'Grid_Requirement'!CO84))</f>
        <v/>
      </c>
      <c r="CP84">
        <f>IF(COUNTIFS(T_StockCount[RM_Code],$A84,T_StockCount[WeekIndex],93)&gt;0,SUMIFS(T_StockCount[CountedQty],T_StockCount[RM_Code],$A84,T_StockCount[WeekIndex],93),IF((COUNTIFS(T_SelfStock[RM_Code],$A84,T_SelfStock[WeekIndex],93)&gt;0)*(COUNTIFS(T_TTAFStock[RM_Code],$A84,T_TTAFStock[WeekIndex],93)&gt;0)&gt;0,SUMIFS(T_SelfStock[Self_Qty],T_SelfStock[RM_Code],$A84,T_SelfStock[WeekIndex],93)+SUMIFS(T_TTAFStock[TTAF_Qty],T_TTAFStock[RM_Code],$A84,T_TTAFStock[WeekIndex],93),CO84+'Grid_Incoming'!CP84-'Grid_Requirement'!CP84))</f>
        <v/>
      </c>
      <c r="CQ84">
        <f>IF(COUNTIFS(T_StockCount[RM_Code],$A84,T_StockCount[WeekIndex],94)&gt;0,SUMIFS(T_StockCount[CountedQty],T_StockCount[RM_Code],$A84,T_StockCount[WeekIndex],94),IF((COUNTIFS(T_SelfStock[RM_Code],$A84,T_SelfStock[WeekIndex],94)&gt;0)*(COUNTIFS(T_TTAFStock[RM_Code],$A84,T_TTAFStock[WeekIndex],94)&gt;0)&gt;0,SUMIFS(T_SelfStock[Self_Qty],T_SelfStock[RM_Code],$A84,T_SelfStock[WeekIndex],94)+SUMIFS(T_TTAFStock[TTAF_Qty],T_TTAFStock[RM_Code],$A84,T_TTAFStock[WeekIndex],94),CP84+'Grid_Incoming'!CQ84-'Grid_Requirement'!CQ84))</f>
        <v/>
      </c>
      <c r="CR84">
        <f>IF(COUNTIFS(T_StockCount[RM_Code],$A84,T_StockCount[WeekIndex],95)&gt;0,SUMIFS(T_StockCount[CountedQty],T_StockCount[RM_Code],$A84,T_StockCount[WeekIndex],95),IF((COUNTIFS(T_SelfStock[RM_Code],$A84,T_SelfStock[WeekIndex],95)&gt;0)*(COUNTIFS(T_TTAFStock[RM_Code],$A84,T_TTAFStock[WeekIndex],95)&gt;0)&gt;0,SUMIFS(T_SelfStock[Self_Qty],T_SelfStock[RM_Code],$A84,T_SelfStock[WeekIndex],95)+SUMIFS(T_TTAFStock[TTAF_Qty],T_TTAFStock[RM_Code],$A84,T_TTAFStock[WeekIndex],95),CQ84+'Grid_Incoming'!CR84-'Grid_Requirement'!CR84))</f>
        <v/>
      </c>
      <c r="CS84">
        <f>IF(COUNTIFS(T_StockCount[RM_Code],$A84,T_StockCount[WeekIndex],96)&gt;0,SUMIFS(T_StockCount[CountedQty],T_StockCount[RM_Code],$A84,T_StockCount[WeekIndex],96),IF((COUNTIFS(T_SelfStock[RM_Code],$A84,T_SelfStock[WeekIndex],96)&gt;0)*(COUNTIFS(T_TTAFStock[RM_Code],$A84,T_TTAFStock[WeekIndex],96)&gt;0)&gt;0,SUMIFS(T_SelfStock[Self_Qty],T_SelfStock[RM_Code],$A84,T_SelfStock[WeekIndex],96)+SUMIFS(T_TTAFStock[TTAF_Qty],T_TTAFStock[RM_Code],$A84,T_TTAFStock[WeekIndex],96),CR84+'Grid_Incoming'!CS84-'Grid_Requirement'!CS84))</f>
        <v/>
      </c>
      <c r="CT84">
        <f>IF(COUNTIFS(T_StockCount[RM_Code],$A84,T_StockCount[WeekIndex],97)&gt;0,SUMIFS(T_StockCount[CountedQty],T_StockCount[RM_Code],$A84,T_StockCount[WeekIndex],97),IF((COUNTIFS(T_SelfStock[RM_Code],$A84,T_SelfStock[WeekIndex],97)&gt;0)*(COUNTIFS(T_TTAFStock[RM_Code],$A84,T_TTAFStock[WeekIndex],97)&gt;0)&gt;0,SUMIFS(T_SelfStock[Self_Qty],T_SelfStock[RM_Code],$A84,T_SelfStock[WeekIndex],97)+SUMIFS(T_TTAFStock[TTAF_Qty],T_TTAFStock[RM_Code],$A84,T_TTAFStock[WeekIndex],97),CS84+'Grid_Incoming'!CT84-'Grid_Requirement'!CT84))</f>
        <v/>
      </c>
      <c r="CU84">
        <f>IF(COUNTIFS(T_StockCount[RM_Code],$A84,T_StockCount[WeekIndex],98)&gt;0,SUMIFS(T_StockCount[CountedQty],T_StockCount[RM_Code],$A84,T_StockCount[WeekIndex],98),IF((COUNTIFS(T_SelfStock[RM_Code],$A84,T_SelfStock[WeekIndex],98)&gt;0)*(COUNTIFS(T_TTAFStock[RM_Code],$A84,T_TTAFStock[WeekIndex],98)&gt;0)&gt;0,SUMIFS(T_SelfStock[Self_Qty],T_SelfStock[RM_Code],$A84,T_SelfStock[WeekIndex],98)+SUMIFS(T_TTAFStock[TTAF_Qty],T_TTAFStock[RM_Code],$A84,T_TTAFStock[WeekIndex],98),CT84+'Grid_Incoming'!CU84-'Grid_Requirement'!CU84))</f>
        <v/>
      </c>
      <c r="CV84">
        <f>IF(COUNTIFS(T_StockCount[RM_Code],$A84,T_StockCount[WeekIndex],99)&gt;0,SUMIFS(T_StockCount[CountedQty],T_StockCount[RM_Code],$A84,T_StockCount[WeekIndex],99),IF((COUNTIFS(T_SelfStock[RM_Code],$A84,T_SelfStock[WeekIndex],99)&gt;0)*(COUNTIFS(T_TTAFStock[RM_Code],$A84,T_TTAFStock[WeekIndex],99)&gt;0)&gt;0,SUMIFS(T_SelfStock[Self_Qty],T_SelfStock[RM_Code],$A84,T_SelfStock[WeekIndex],99)+SUMIFS(T_TTAFStock[TTAF_Qty],T_TTAFStock[RM_Code],$A84,T_TTAFStock[WeekIndex],99),CU84+'Grid_Incoming'!CV84-'Grid_Requirement'!CV84))</f>
        <v/>
      </c>
      <c r="CW84">
        <f>IF(COUNTIFS(T_StockCount[RM_Code],$A84,T_StockCount[WeekIndex],100)&gt;0,SUMIFS(T_StockCount[CountedQty],T_StockCount[RM_Code],$A84,T_StockCount[WeekIndex],100),IF((COUNTIFS(T_SelfStock[RM_Code],$A84,T_SelfStock[WeekIndex],100)&gt;0)*(COUNTIFS(T_TTAFStock[RM_Code],$A84,T_TTAFStock[WeekIndex],100)&gt;0)&gt;0,SUMIFS(T_SelfStock[Self_Qty],T_SelfStock[RM_Code],$A84,T_SelfStock[WeekIndex],100)+SUMIFS(T_TTAFStock[TTAF_Qty],T_TTAFStock[RM_Code],$A84,T_TTAFStock[WeekIndex],100),CV84+'Grid_Incoming'!CW84-'Grid_Requirement'!CW84))</f>
        <v/>
      </c>
      <c r="CX84">
        <f>IF(COUNTIFS(T_StockCount[RM_Code],$A84,T_StockCount[WeekIndex],101)&gt;0,SUMIFS(T_StockCount[CountedQty],T_StockCount[RM_Code],$A84,T_StockCount[WeekIndex],101),IF((COUNTIFS(T_SelfStock[RM_Code],$A84,T_SelfStock[WeekIndex],101)&gt;0)*(COUNTIFS(T_TTAFStock[RM_Code],$A84,T_TTAFStock[WeekIndex],101)&gt;0)&gt;0,SUMIFS(T_SelfStock[Self_Qty],T_SelfStock[RM_Code],$A84,T_SelfStock[WeekIndex],101)+SUMIFS(T_TTAFStock[TTAF_Qty],T_TTAFStock[RM_Code],$A84,T_TTAFStock[WeekIndex],101),CW84+'Grid_Incoming'!CX84-'Grid_Requirement'!CX84))</f>
        <v/>
      </c>
      <c r="CY84">
        <f>IF(COUNTIFS(T_StockCount[RM_Code],$A84,T_StockCount[WeekIndex],102)&gt;0,SUMIFS(T_StockCount[CountedQty],T_StockCount[RM_Code],$A84,T_StockCount[WeekIndex],102),IF((COUNTIFS(T_SelfStock[RM_Code],$A84,T_SelfStock[WeekIndex],102)&gt;0)*(COUNTIFS(T_TTAFStock[RM_Code],$A84,T_TTAFStock[WeekIndex],102)&gt;0)&gt;0,SUMIFS(T_SelfStock[Self_Qty],T_SelfStock[RM_Code],$A84,T_SelfStock[WeekIndex],102)+SUMIFS(T_TTAFStock[TTAF_Qty],T_TTAFStock[RM_Code],$A84,T_TTAFStock[WeekIndex],102),CX84+'Grid_Incoming'!CY84-'Grid_Requirement'!CY84))</f>
        <v/>
      </c>
      <c r="CZ84">
        <f>IF(COUNTIFS(T_StockCount[RM_Code],$A84,T_StockCount[WeekIndex],103)&gt;0,SUMIFS(T_StockCount[CountedQty],T_StockCount[RM_Code],$A84,T_StockCount[WeekIndex],103),IF((COUNTIFS(T_SelfStock[RM_Code],$A84,T_SelfStock[WeekIndex],103)&gt;0)*(COUNTIFS(T_TTAFStock[RM_Code],$A84,T_TTAFStock[WeekIndex],103)&gt;0)&gt;0,SUMIFS(T_SelfStock[Self_Qty],T_SelfStock[RM_Code],$A84,T_SelfStock[WeekIndex],103)+SUMIFS(T_TTAFStock[TTAF_Qty],T_TTAFStock[RM_Code],$A84,T_TTAFStock[WeekIndex],103),CY84+'Grid_Incoming'!CZ84-'Grid_Requirement'!CZ84))</f>
        <v/>
      </c>
      <c r="DA84">
        <f>IF(COUNTIFS(T_StockCount[RM_Code],$A84,T_StockCount[WeekIndex],104)&gt;0,SUMIFS(T_StockCount[CountedQty],T_StockCount[RM_Code],$A84,T_StockCount[WeekIndex],104),IF((COUNTIFS(T_SelfStock[RM_Code],$A84,T_SelfStock[WeekIndex],104)&gt;0)*(COUNTIFS(T_TTAFStock[RM_Code],$A84,T_TTAFStock[WeekIndex],104)&gt;0)&gt;0,SUMIFS(T_SelfStock[Self_Qty],T_SelfStock[RM_Code],$A84,T_SelfStock[WeekIndex],104)+SUMIFS(T_TTAFStock[TTAF_Qty],T_TTAFStock[RM_Code],$A84,T_TTAFStock[WeekIndex],104),CZ84+'Grid_Incoming'!DA84-'Grid_Requirement'!DA84))</f>
        <v/>
      </c>
    </row>
    <row r="85">
      <c r="A85" t="inlineStr">
        <is>
          <t>CHEM-1790</t>
        </is>
      </c>
      <c r="B85">
        <f>IF(COUNTIFS(T_StockCount[RM_Code],$A85,T_StockCount[WeekIndex],1)&gt;0,SUMIFS(T_StockCount[CountedQty],T_StockCount[RM_Code],$A85,T_StockCount[WeekIndex],1),IF((COUNTIFS(T_SelfStock[RM_Code],$A85,T_SelfStock[WeekIndex],1)&gt;0)*(COUNTIFS(T_TTAFStock[RM_Code],$A85,T_TTAFStock[WeekIndex],1)&gt;0)&gt;0,SUMIFS(T_SelfStock[Self_Qty],T_SelfStock[RM_Code],$A85,T_SelfStock[WeekIndex],1)+SUMIFS(T_TTAFStock[TTAF_Qty],T_TTAFStock[RM_Code],$A85,T_TTAFStock[WeekIndex],1),IFERROR(INDEX(T_OpeningStock[Opening_Qty],MATCH($A85,T_OpeningStock[RM_Code],0)),0)+'Grid_Incoming'!B85-'Grid_Requirement'!B85))</f>
        <v/>
      </c>
      <c r="C85">
        <f>IF(COUNTIFS(T_StockCount[RM_Code],$A85,T_StockCount[WeekIndex],2)&gt;0,SUMIFS(T_StockCount[CountedQty],T_StockCount[RM_Code],$A85,T_StockCount[WeekIndex],2),IF((COUNTIFS(T_SelfStock[RM_Code],$A85,T_SelfStock[WeekIndex],2)&gt;0)*(COUNTIFS(T_TTAFStock[RM_Code],$A85,T_TTAFStock[WeekIndex],2)&gt;0)&gt;0,SUMIFS(T_SelfStock[Self_Qty],T_SelfStock[RM_Code],$A85,T_SelfStock[WeekIndex],2)+SUMIFS(T_TTAFStock[TTAF_Qty],T_TTAFStock[RM_Code],$A85,T_TTAFStock[WeekIndex],2),B85+'Grid_Incoming'!C85-'Grid_Requirement'!C85))</f>
        <v/>
      </c>
      <c r="D85">
        <f>IF(COUNTIFS(T_StockCount[RM_Code],$A85,T_StockCount[WeekIndex],3)&gt;0,SUMIFS(T_StockCount[CountedQty],T_StockCount[RM_Code],$A85,T_StockCount[WeekIndex],3),IF((COUNTIFS(T_SelfStock[RM_Code],$A85,T_SelfStock[WeekIndex],3)&gt;0)*(COUNTIFS(T_TTAFStock[RM_Code],$A85,T_TTAFStock[WeekIndex],3)&gt;0)&gt;0,SUMIFS(T_SelfStock[Self_Qty],T_SelfStock[RM_Code],$A85,T_SelfStock[WeekIndex],3)+SUMIFS(T_TTAFStock[TTAF_Qty],T_TTAFStock[RM_Code],$A85,T_TTAFStock[WeekIndex],3),C85+'Grid_Incoming'!D85-'Grid_Requirement'!D85))</f>
        <v/>
      </c>
      <c r="E85">
        <f>IF(COUNTIFS(T_StockCount[RM_Code],$A85,T_StockCount[WeekIndex],4)&gt;0,SUMIFS(T_StockCount[CountedQty],T_StockCount[RM_Code],$A85,T_StockCount[WeekIndex],4),IF((COUNTIFS(T_SelfStock[RM_Code],$A85,T_SelfStock[WeekIndex],4)&gt;0)*(COUNTIFS(T_TTAFStock[RM_Code],$A85,T_TTAFStock[WeekIndex],4)&gt;0)&gt;0,SUMIFS(T_SelfStock[Self_Qty],T_SelfStock[RM_Code],$A85,T_SelfStock[WeekIndex],4)+SUMIFS(T_TTAFStock[TTAF_Qty],T_TTAFStock[RM_Code],$A85,T_TTAFStock[WeekIndex],4),D85+'Grid_Incoming'!E85-'Grid_Requirement'!E85))</f>
        <v/>
      </c>
      <c r="F85">
        <f>IF(COUNTIFS(T_StockCount[RM_Code],$A85,T_StockCount[WeekIndex],5)&gt;0,SUMIFS(T_StockCount[CountedQty],T_StockCount[RM_Code],$A85,T_StockCount[WeekIndex],5),IF((COUNTIFS(T_SelfStock[RM_Code],$A85,T_SelfStock[WeekIndex],5)&gt;0)*(COUNTIFS(T_TTAFStock[RM_Code],$A85,T_TTAFStock[WeekIndex],5)&gt;0)&gt;0,SUMIFS(T_SelfStock[Self_Qty],T_SelfStock[RM_Code],$A85,T_SelfStock[WeekIndex],5)+SUMIFS(T_TTAFStock[TTAF_Qty],T_TTAFStock[RM_Code],$A85,T_TTAFStock[WeekIndex],5),E85+'Grid_Incoming'!F85-'Grid_Requirement'!F85))</f>
        <v/>
      </c>
      <c r="G85">
        <f>IF(COUNTIFS(T_StockCount[RM_Code],$A85,T_StockCount[WeekIndex],6)&gt;0,SUMIFS(T_StockCount[CountedQty],T_StockCount[RM_Code],$A85,T_StockCount[WeekIndex],6),IF((COUNTIFS(T_SelfStock[RM_Code],$A85,T_SelfStock[WeekIndex],6)&gt;0)*(COUNTIFS(T_TTAFStock[RM_Code],$A85,T_TTAFStock[WeekIndex],6)&gt;0)&gt;0,SUMIFS(T_SelfStock[Self_Qty],T_SelfStock[RM_Code],$A85,T_SelfStock[WeekIndex],6)+SUMIFS(T_TTAFStock[TTAF_Qty],T_TTAFStock[RM_Code],$A85,T_TTAFStock[WeekIndex],6),F85+'Grid_Incoming'!G85-'Grid_Requirement'!G85))</f>
        <v/>
      </c>
      <c r="H85">
        <f>IF(COUNTIFS(T_StockCount[RM_Code],$A85,T_StockCount[WeekIndex],7)&gt;0,SUMIFS(T_StockCount[CountedQty],T_StockCount[RM_Code],$A85,T_StockCount[WeekIndex],7),IF((COUNTIFS(T_SelfStock[RM_Code],$A85,T_SelfStock[WeekIndex],7)&gt;0)*(COUNTIFS(T_TTAFStock[RM_Code],$A85,T_TTAFStock[WeekIndex],7)&gt;0)&gt;0,SUMIFS(T_SelfStock[Self_Qty],T_SelfStock[RM_Code],$A85,T_SelfStock[WeekIndex],7)+SUMIFS(T_TTAFStock[TTAF_Qty],T_TTAFStock[RM_Code],$A85,T_TTAFStock[WeekIndex],7),G85+'Grid_Incoming'!H85-'Grid_Requirement'!H85))</f>
        <v/>
      </c>
      <c r="I85">
        <f>IF(COUNTIFS(T_StockCount[RM_Code],$A85,T_StockCount[WeekIndex],8)&gt;0,SUMIFS(T_StockCount[CountedQty],T_StockCount[RM_Code],$A85,T_StockCount[WeekIndex],8),IF((COUNTIFS(T_SelfStock[RM_Code],$A85,T_SelfStock[WeekIndex],8)&gt;0)*(COUNTIFS(T_TTAFStock[RM_Code],$A85,T_TTAFStock[WeekIndex],8)&gt;0)&gt;0,SUMIFS(T_SelfStock[Self_Qty],T_SelfStock[RM_Code],$A85,T_SelfStock[WeekIndex],8)+SUMIFS(T_TTAFStock[TTAF_Qty],T_TTAFStock[RM_Code],$A85,T_TTAFStock[WeekIndex],8),H85+'Grid_Incoming'!I85-'Grid_Requirement'!I85))</f>
        <v/>
      </c>
      <c r="J85">
        <f>IF(COUNTIFS(T_StockCount[RM_Code],$A85,T_StockCount[WeekIndex],9)&gt;0,SUMIFS(T_StockCount[CountedQty],T_StockCount[RM_Code],$A85,T_StockCount[WeekIndex],9),IF((COUNTIFS(T_SelfStock[RM_Code],$A85,T_SelfStock[WeekIndex],9)&gt;0)*(COUNTIFS(T_TTAFStock[RM_Code],$A85,T_TTAFStock[WeekIndex],9)&gt;0)&gt;0,SUMIFS(T_SelfStock[Self_Qty],T_SelfStock[RM_Code],$A85,T_SelfStock[WeekIndex],9)+SUMIFS(T_TTAFStock[TTAF_Qty],T_TTAFStock[RM_Code],$A85,T_TTAFStock[WeekIndex],9),I85+'Grid_Incoming'!J85-'Grid_Requirement'!J85))</f>
        <v/>
      </c>
      <c r="K85">
        <f>IF(COUNTIFS(T_StockCount[RM_Code],$A85,T_StockCount[WeekIndex],10)&gt;0,SUMIFS(T_StockCount[CountedQty],T_StockCount[RM_Code],$A85,T_StockCount[WeekIndex],10),IF((COUNTIFS(T_SelfStock[RM_Code],$A85,T_SelfStock[WeekIndex],10)&gt;0)*(COUNTIFS(T_TTAFStock[RM_Code],$A85,T_TTAFStock[WeekIndex],10)&gt;0)&gt;0,SUMIFS(T_SelfStock[Self_Qty],T_SelfStock[RM_Code],$A85,T_SelfStock[WeekIndex],10)+SUMIFS(T_TTAFStock[TTAF_Qty],T_TTAFStock[RM_Code],$A85,T_TTAFStock[WeekIndex],10),J85+'Grid_Incoming'!K85-'Grid_Requirement'!K85))</f>
        <v/>
      </c>
      <c r="L85">
        <f>IF(COUNTIFS(T_StockCount[RM_Code],$A85,T_StockCount[WeekIndex],11)&gt;0,SUMIFS(T_StockCount[CountedQty],T_StockCount[RM_Code],$A85,T_StockCount[WeekIndex],11),IF((COUNTIFS(T_SelfStock[RM_Code],$A85,T_SelfStock[WeekIndex],11)&gt;0)*(COUNTIFS(T_TTAFStock[RM_Code],$A85,T_TTAFStock[WeekIndex],11)&gt;0)&gt;0,SUMIFS(T_SelfStock[Self_Qty],T_SelfStock[RM_Code],$A85,T_SelfStock[WeekIndex],11)+SUMIFS(T_TTAFStock[TTAF_Qty],T_TTAFStock[RM_Code],$A85,T_TTAFStock[WeekIndex],11),K85+'Grid_Incoming'!L85-'Grid_Requirement'!L85))</f>
        <v/>
      </c>
      <c r="M85">
        <f>IF(COUNTIFS(T_StockCount[RM_Code],$A85,T_StockCount[WeekIndex],12)&gt;0,SUMIFS(T_StockCount[CountedQty],T_StockCount[RM_Code],$A85,T_StockCount[WeekIndex],12),IF((COUNTIFS(T_SelfStock[RM_Code],$A85,T_SelfStock[WeekIndex],12)&gt;0)*(COUNTIFS(T_TTAFStock[RM_Code],$A85,T_TTAFStock[WeekIndex],12)&gt;0)&gt;0,SUMIFS(T_SelfStock[Self_Qty],T_SelfStock[RM_Code],$A85,T_SelfStock[WeekIndex],12)+SUMIFS(T_TTAFStock[TTAF_Qty],T_TTAFStock[RM_Code],$A85,T_TTAFStock[WeekIndex],12),L85+'Grid_Incoming'!M85-'Grid_Requirement'!M85))</f>
        <v/>
      </c>
      <c r="N85">
        <f>IF(COUNTIFS(T_StockCount[RM_Code],$A85,T_StockCount[WeekIndex],13)&gt;0,SUMIFS(T_StockCount[CountedQty],T_StockCount[RM_Code],$A85,T_StockCount[WeekIndex],13),IF((COUNTIFS(T_SelfStock[RM_Code],$A85,T_SelfStock[WeekIndex],13)&gt;0)*(COUNTIFS(T_TTAFStock[RM_Code],$A85,T_TTAFStock[WeekIndex],13)&gt;0)&gt;0,SUMIFS(T_SelfStock[Self_Qty],T_SelfStock[RM_Code],$A85,T_SelfStock[WeekIndex],13)+SUMIFS(T_TTAFStock[TTAF_Qty],T_TTAFStock[RM_Code],$A85,T_TTAFStock[WeekIndex],13),M85+'Grid_Incoming'!N85-'Grid_Requirement'!N85))</f>
        <v/>
      </c>
      <c r="O85">
        <f>IF(COUNTIFS(T_StockCount[RM_Code],$A85,T_StockCount[WeekIndex],14)&gt;0,SUMIFS(T_StockCount[CountedQty],T_StockCount[RM_Code],$A85,T_StockCount[WeekIndex],14),IF((COUNTIFS(T_SelfStock[RM_Code],$A85,T_SelfStock[WeekIndex],14)&gt;0)*(COUNTIFS(T_TTAFStock[RM_Code],$A85,T_TTAFStock[WeekIndex],14)&gt;0)&gt;0,SUMIFS(T_SelfStock[Self_Qty],T_SelfStock[RM_Code],$A85,T_SelfStock[WeekIndex],14)+SUMIFS(T_TTAFStock[TTAF_Qty],T_TTAFStock[RM_Code],$A85,T_TTAFStock[WeekIndex],14),N85+'Grid_Incoming'!O85-'Grid_Requirement'!O85))</f>
        <v/>
      </c>
      <c r="P85">
        <f>IF(COUNTIFS(T_StockCount[RM_Code],$A85,T_StockCount[WeekIndex],15)&gt;0,SUMIFS(T_StockCount[CountedQty],T_StockCount[RM_Code],$A85,T_StockCount[WeekIndex],15),IF((COUNTIFS(T_SelfStock[RM_Code],$A85,T_SelfStock[WeekIndex],15)&gt;0)*(COUNTIFS(T_TTAFStock[RM_Code],$A85,T_TTAFStock[WeekIndex],15)&gt;0)&gt;0,SUMIFS(T_SelfStock[Self_Qty],T_SelfStock[RM_Code],$A85,T_SelfStock[WeekIndex],15)+SUMIFS(T_TTAFStock[TTAF_Qty],T_TTAFStock[RM_Code],$A85,T_TTAFStock[WeekIndex],15),O85+'Grid_Incoming'!P85-'Grid_Requirement'!P85))</f>
        <v/>
      </c>
      <c r="Q85">
        <f>IF(COUNTIFS(T_StockCount[RM_Code],$A85,T_StockCount[WeekIndex],16)&gt;0,SUMIFS(T_StockCount[CountedQty],T_StockCount[RM_Code],$A85,T_StockCount[WeekIndex],16),IF((COUNTIFS(T_SelfStock[RM_Code],$A85,T_SelfStock[WeekIndex],16)&gt;0)*(COUNTIFS(T_TTAFStock[RM_Code],$A85,T_TTAFStock[WeekIndex],16)&gt;0)&gt;0,SUMIFS(T_SelfStock[Self_Qty],T_SelfStock[RM_Code],$A85,T_SelfStock[WeekIndex],16)+SUMIFS(T_TTAFStock[TTAF_Qty],T_TTAFStock[RM_Code],$A85,T_TTAFStock[WeekIndex],16),P85+'Grid_Incoming'!Q85-'Grid_Requirement'!Q85))</f>
        <v/>
      </c>
      <c r="R85">
        <f>IF(COUNTIFS(T_StockCount[RM_Code],$A85,T_StockCount[WeekIndex],17)&gt;0,SUMIFS(T_StockCount[CountedQty],T_StockCount[RM_Code],$A85,T_StockCount[WeekIndex],17),IF((COUNTIFS(T_SelfStock[RM_Code],$A85,T_SelfStock[WeekIndex],17)&gt;0)*(COUNTIFS(T_TTAFStock[RM_Code],$A85,T_TTAFStock[WeekIndex],17)&gt;0)&gt;0,SUMIFS(T_SelfStock[Self_Qty],T_SelfStock[RM_Code],$A85,T_SelfStock[WeekIndex],17)+SUMIFS(T_TTAFStock[TTAF_Qty],T_TTAFStock[RM_Code],$A85,T_TTAFStock[WeekIndex],17),Q85+'Grid_Incoming'!R85-'Grid_Requirement'!R85))</f>
        <v/>
      </c>
      <c r="S85">
        <f>IF(COUNTIFS(T_StockCount[RM_Code],$A85,T_StockCount[WeekIndex],18)&gt;0,SUMIFS(T_StockCount[CountedQty],T_StockCount[RM_Code],$A85,T_StockCount[WeekIndex],18),IF((COUNTIFS(T_SelfStock[RM_Code],$A85,T_SelfStock[WeekIndex],18)&gt;0)*(COUNTIFS(T_TTAFStock[RM_Code],$A85,T_TTAFStock[WeekIndex],18)&gt;0)&gt;0,SUMIFS(T_SelfStock[Self_Qty],T_SelfStock[RM_Code],$A85,T_SelfStock[WeekIndex],18)+SUMIFS(T_TTAFStock[TTAF_Qty],T_TTAFStock[RM_Code],$A85,T_TTAFStock[WeekIndex],18),R85+'Grid_Incoming'!S85-'Grid_Requirement'!S85))</f>
        <v/>
      </c>
      <c r="T85">
        <f>IF(COUNTIFS(T_StockCount[RM_Code],$A85,T_StockCount[WeekIndex],19)&gt;0,SUMIFS(T_StockCount[CountedQty],T_StockCount[RM_Code],$A85,T_StockCount[WeekIndex],19),IF((COUNTIFS(T_SelfStock[RM_Code],$A85,T_SelfStock[WeekIndex],19)&gt;0)*(COUNTIFS(T_TTAFStock[RM_Code],$A85,T_TTAFStock[WeekIndex],19)&gt;0)&gt;0,SUMIFS(T_SelfStock[Self_Qty],T_SelfStock[RM_Code],$A85,T_SelfStock[WeekIndex],19)+SUMIFS(T_TTAFStock[TTAF_Qty],T_TTAFStock[RM_Code],$A85,T_TTAFStock[WeekIndex],19),S85+'Grid_Incoming'!T85-'Grid_Requirement'!T85))</f>
        <v/>
      </c>
      <c r="U85">
        <f>IF(COUNTIFS(T_StockCount[RM_Code],$A85,T_StockCount[WeekIndex],20)&gt;0,SUMIFS(T_StockCount[CountedQty],T_StockCount[RM_Code],$A85,T_StockCount[WeekIndex],20),IF((COUNTIFS(T_SelfStock[RM_Code],$A85,T_SelfStock[WeekIndex],20)&gt;0)*(COUNTIFS(T_TTAFStock[RM_Code],$A85,T_TTAFStock[WeekIndex],20)&gt;0)&gt;0,SUMIFS(T_SelfStock[Self_Qty],T_SelfStock[RM_Code],$A85,T_SelfStock[WeekIndex],20)+SUMIFS(T_TTAFStock[TTAF_Qty],T_TTAFStock[RM_Code],$A85,T_TTAFStock[WeekIndex],20),T85+'Grid_Incoming'!U85-'Grid_Requirement'!U85))</f>
        <v/>
      </c>
      <c r="V85">
        <f>IF(COUNTIFS(T_StockCount[RM_Code],$A85,T_StockCount[WeekIndex],21)&gt;0,SUMIFS(T_StockCount[CountedQty],T_StockCount[RM_Code],$A85,T_StockCount[WeekIndex],21),IF((COUNTIFS(T_SelfStock[RM_Code],$A85,T_SelfStock[WeekIndex],21)&gt;0)*(COUNTIFS(T_TTAFStock[RM_Code],$A85,T_TTAFStock[WeekIndex],21)&gt;0)&gt;0,SUMIFS(T_SelfStock[Self_Qty],T_SelfStock[RM_Code],$A85,T_SelfStock[WeekIndex],21)+SUMIFS(T_TTAFStock[TTAF_Qty],T_TTAFStock[RM_Code],$A85,T_TTAFStock[WeekIndex],21),U85+'Grid_Incoming'!V85-'Grid_Requirement'!V85))</f>
        <v/>
      </c>
      <c r="W85">
        <f>IF(COUNTIFS(T_StockCount[RM_Code],$A85,T_StockCount[WeekIndex],22)&gt;0,SUMIFS(T_StockCount[CountedQty],T_StockCount[RM_Code],$A85,T_StockCount[WeekIndex],22),IF((COUNTIFS(T_SelfStock[RM_Code],$A85,T_SelfStock[WeekIndex],22)&gt;0)*(COUNTIFS(T_TTAFStock[RM_Code],$A85,T_TTAFStock[WeekIndex],22)&gt;0)&gt;0,SUMIFS(T_SelfStock[Self_Qty],T_SelfStock[RM_Code],$A85,T_SelfStock[WeekIndex],22)+SUMIFS(T_TTAFStock[TTAF_Qty],T_TTAFStock[RM_Code],$A85,T_TTAFStock[WeekIndex],22),V85+'Grid_Incoming'!W85-'Grid_Requirement'!W85))</f>
        <v/>
      </c>
      <c r="X85">
        <f>IF(COUNTIFS(T_StockCount[RM_Code],$A85,T_StockCount[WeekIndex],23)&gt;0,SUMIFS(T_StockCount[CountedQty],T_StockCount[RM_Code],$A85,T_StockCount[WeekIndex],23),IF((COUNTIFS(T_SelfStock[RM_Code],$A85,T_SelfStock[WeekIndex],23)&gt;0)*(COUNTIFS(T_TTAFStock[RM_Code],$A85,T_TTAFStock[WeekIndex],23)&gt;0)&gt;0,SUMIFS(T_SelfStock[Self_Qty],T_SelfStock[RM_Code],$A85,T_SelfStock[WeekIndex],23)+SUMIFS(T_TTAFStock[TTAF_Qty],T_TTAFStock[RM_Code],$A85,T_TTAFStock[WeekIndex],23),W85+'Grid_Incoming'!X85-'Grid_Requirement'!X85))</f>
        <v/>
      </c>
      <c r="Y85">
        <f>IF(COUNTIFS(T_StockCount[RM_Code],$A85,T_StockCount[WeekIndex],24)&gt;0,SUMIFS(T_StockCount[CountedQty],T_StockCount[RM_Code],$A85,T_StockCount[WeekIndex],24),IF((COUNTIFS(T_SelfStock[RM_Code],$A85,T_SelfStock[WeekIndex],24)&gt;0)*(COUNTIFS(T_TTAFStock[RM_Code],$A85,T_TTAFStock[WeekIndex],24)&gt;0)&gt;0,SUMIFS(T_SelfStock[Self_Qty],T_SelfStock[RM_Code],$A85,T_SelfStock[WeekIndex],24)+SUMIFS(T_TTAFStock[TTAF_Qty],T_TTAFStock[RM_Code],$A85,T_TTAFStock[WeekIndex],24),X85+'Grid_Incoming'!Y85-'Grid_Requirement'!Y85))</f>
        <v/>
      </c>
      <c r="Z85">
        <f>IF(COUNTIFS(T_StockCount[RM_Code],$A85,T_StockCount[WeekIndex],25)&gt;0,SUMIFS(T_StockCount[CountedQty],T_StockCount[RM_Code],$A85,T_StockCount[WeekIndex],25),IF((COUNTIFS(T_SelfStock[RM_Code],$A85,T_SelfStock[WeekIndex],25)&gt;0)*(COUNTIFS(T_TTAFStock[RM_Code],$A85,T_TTAFStock[WeekIndex],25)&gt;0)&gt;0,SUMIFS(T_SelfStock[Self_Qty],T_SelfStock[RM_Code],$A85,T_SelfStock[WeekIndex],25)+SUMIFS(T_TTAFStock[TTAF_Qty],T_TTAFStock[RM_Code],$A85,T_TTAFStock[WeekIndex],25),Y85+'Grid_Incoming'!Z85-'Grid_Requirement'!Z85))</f>
        <v/>
      </c>
      <c r="AA85">
        <f>IF(COUNTIFS(T_StockCount[RM_Code],$A85,T_StockCount[WeekIndex],26)&gt;0,SUMIFS(T_StockCount[CountedQty],T_StockCount[RM_Code],$A85,T_StockCount[WeekIndex],26),IF((COUNTIFS(T_SelfStock[RM_Code],$A85,T_SelfStock[WeekIndex],26)&gt;0)*(COUNTIFS(T_TTAFStock[RM_Code],$A85,T_TTAFStock[WeekIndex],26)&gt;0)&gt;0,SUMIFS(T_SelfStock[Self_Qty],T_SelfStock[RM_Code],$A85,T_SelfStock[WeekIndex],26)+SUMIFS(T_TTAFStock[TTAF_Qty],T_TTAFStock[RM_Code],$A85,T_TTAFStock[WeekIndex],26),Z85+'Grid_Incoming'!AA85-'Grid_Requirement'!AA85))</f>
        <v/>
      </c>
      <c r="AB85">
        <f>IF(COUNTIFS(T_StockCount[RM_Code],$A85,T_StockCount[WeekIndex],27)&gt;0,SUMIFS(T_StockCount[CountedQty],T_StockCount[RM_Code],$A85,T_StockCount[WeekIndex],27),IF((COUNTIFS(T_SelfStock[RM_Code],$A85,T_SelfStock[WeekIndex],27)&gt;0)*(COUNTIFS(T_TTAFStock[RM_Code],$A85,T_TTAFStock[WeekIndex],27)&gt;0)&gt;0,SUMIFS(T_SelfStock[Self_Qty],T_SelfStock[RM_Code],$A85,T_SelfStock[WeekIndex],27)+SUMIFS(T_TTAFStock[TTAF_Qty],T_TTAFStock[RM_Code],$A85,T_TTAFStock[WeekIndex],27),AA85+'Grid_Incoming'!AB85-'Grid_Requirement'!AB85))</f>
        <v/>
      </c>
      <c r="AC85">
        <f>IF(COUNTIFS(T_StockCount[RM_Code],$A85,T_StockCount[WeekIndex],28)&gt;0,SUMIFS(T_StockCount[CountedQty],T_StockCount[RM_Code],$A85,T_StockCount[WeekIndex],28),IF((COUNTIFS(T_SelfStock[RM_Code],$A85,T_SelfStock[WeekIndex],28)&gt;0)*(COUNTIFS(T_TTAFStock[RM_Code],$A85,T_TTAFStock[WeekIndex],28)&gt;0)&gt;0,SUMIFS(T_SelfStock[Self_Qty],T_SelfStock[RM_Code],$A85,T_SelfStock[WeekIndex],28)+SUMIFS(T_TTAFStock[TTAF_Qty],T_TTAFStock[RM_Code],$A85,T_TTAFStock[WeekIndex],28),AB85+'Grid_Incoming'!AC85-'Grid_Requirement'!AC85))</f>
        <v/>
      </c>
      <c r="AD85">
        <f>IF(COUNTIFS(T_StockCount[RM_Code],$A85,T_StockCount[WeekIndex],29)&gt;0,SUMIFS(T_StockCount[CountedQty],T_StockCount[RM_Code],$A85,T_StockCount[WeekIndex],29),IF((COUNTIFS(T_SelfStock[RM_Code],$A85,T_SelfStock[WeekIndex],29)&gt;0)*(COUNTIFS(T_TTAFStock[RM_Code],$A85,T_TTAFStock[WeekIndex],29)&gt;0)&gt;0,SUMIFS(T_SelfStock[Self_Qty],T_SelfStock[RM_Code],$A85,T_SelfStock[WeekIndex],29)+SUMIFS(T_TTAFStock[TTAF_Qty],T_TTAFStock[RM_Code],$A85,T_TTAFStock[WeekIndex],29),AC85+'Grid_Incoming'!AD85-'Grid_Requirement'!AD85))</f>
        <v/>
      </c>
      <c r="AE85">
        <f>IF(COUNTIFS(T_StockCount[RM_Code],$A85,T_StockCount[WeekIndex],30)&gt;0,SUMIFS(T_StockCount[CountedQty],T_StockCount[RM_Code],$A85,T_StockCount[WeekIndex],30),IF((COUNTIFS(T_SelfStock[RM_Code],$A85,T_SelfStock[WeekIndex],30)&gt;0)*(COUNTIFS(T_TTAFStock[RM_Code],$A85,T_TTAFStock[WeekIndex],30)&gt;0)&gt;0,SUMIFS(T_SelfStock[Self_Qty],T_SelfStock[RM_Code],$A85,T_SelfStock[WeekIndex],30)+SUMIFS(T_TTAFStock[TTAF_Qty],T_TTAFStock[RM_Code],$A85,T_TTAFStock[WeekIndex],30),AD85+'Grid_Incoming'!AE85-'Grid_Requirement'!AE85))</f>
        <v/>
      </c>
      <c r="AF85">
        <f>IF(COUNTIFS(T_StockCount[RM_Code],$A85,T_StockCount[WeekIndex],31)&gt;0,SUMIFS(T_StockCount[CountedQty],T_StockCount[RM_Code],$A85,T_StockCount[WeekIndex],31),IF((COUNTIFS(T_SelfStock[RM_Code],$A85,T_SelfStock[WeekIndex],31)&gt;0)*(COUNTIFS(T_TTAFStock[RM_Code],$A85,T_TTAFStock[WeekIndex],31)&gt;0)&gt;0,SUMIFS(T_SelfStock[Self_Qty],T_SelfStock[RM_Code],$A85,T_SelfStock[WeekIndex],31)+SUMIFS(T_TTAFStock[TTAF_Qty],T_TTAFStock[RM_Code],$A85,T_TTAFStock[WeekIndex],31),AE85+'Grid_Incoming'!AF85-'Grid_Requirement'!AF85))</f>
        <v/>
      </c>
      <c r="AG85">
        <f>IF(COUNTIFS(T_StockCount[RM_Code],$A85,T_StockCount[WeekIndex],32)&gt;0,SUMIFS(T_StockCount[CountedQty],T_StockCount[RM_Code],$A85,T_StockCount[WeekIndex],32),IF((COUNTIFS(T_SelfStock[RM_Code],$A85,T_SelfStock[WeekIndex],32)&gt;0)*(COUNTIFS(T_TTAFStock[RM_Code],$A85,T_TTAFStock[WeekIndex],32)&gt;0)&gt;0,SUMIFS(T_SelfStock[Self_Qty],T_SelfStock[RM_Code],$A85,T_SelfStock[WeekIndex],32)+SUMIFS(T_TTAFStock[TTAF_Qty],T_TTAFStock[RM_Code],$A85,T_TTAFStock[WeekIndex],32),AF85+'Grid_Incoming'!AG85-'Grid_Requirement'!AG85))</f>
        <v/>
      </c>
      <c r="AH85">
        <f>IF(COUNTIFS(T_StockCount[RM_Code],$A85,T_StockCount[WeekIndex],33)&gt;0,SUMIFS(T_StockCount[CountedQty],T_StockCount[RM_Code],$A85,T_StockCount[WeekIndex],33),IF((COUNTIFS(T_SelfStock[RM_Code],$A85,T_SelfStock[WeekIndex],33)&gt;0)*(COUNTIFS(T_TTAFStock[RM_Code],$A85,T_TTAFStock[WeekIndex],33)&gt;0)&gt;0,SUMIFS(T_SelfStock[Self_Qty],T_SelfStock[RM_Code],$A85,T_SelfStock[WeekIndex],33)+SUMIFS(T_TTAFStock[TTAF_Qty],T_TTAFStock[RM_Code],$A85,T_TTAFStock[WeekIndex],33),AG85+'Grid_Incoming'!AH85-'Grid_Requirement'!AH85))</f>
        <v/>
      </c>
      <c r="AI85">
        <f>IF(COUNTIFS(T_StockCount[RM_Code],$A85,T_StockCount[WeekIndex],34)&gt;0,SUMIFS(T_StockCount[CountedQty],T_StockCount[RM_Code],$A85,T_StockCount[WeekIndex],34),IF((COUNTIFS(T_SelfStock[RM_Code],$A85,T_SelfStock[WeekIndex],34)&gt;0)*(COUNTIFS(T_TTAFStock[RM_Code],$A85,T_TTAFStock[WeekIndex],34)&gt;0)&gt;0,SUMIFS(T_SelfStock[Self_Qty],T_SelfStock[RM_Code],$A85,T_SelfStock[WeekIndex],34)+SUMIFS(T_TTAFStock[TTAF_Qty],T_TTAFStock[RM_Code],$A85,T_TTAFStock[WeekIndex],34),AH85+'Grid_Incoming'!AI85-'Grid_Requirement'!AI85))</f>
        <v/>
      </c>
      <c r="AJ85">
        <f>IF(COUNTIFS(T_StockCount[RM_Code],$A85,T_StockCount[WeekIndex],35)&gt;0,SUMIFS(T_StockCount[CountedQty],T_StockCount[RM_Code],$A85,T_StockCount[WeekIndex],35),IF((COUNTIFS(T_SelfStock[RM_Code],$A85,T_SelfStock[WeekIndex],35)&gt;0)*(COUNTIFS(T_TTAFStock[RM_Code],$A85,T_TTAFStock[WeekIndex],35)&gt;0)&gt;0,SUMIFS(T_SelfStock[Self_Qty],T_SelfStock[RM_Code],$A85,T_SelfStock[WeekIndex],35)+SUMIFS(T_TTAFStock[TTAF_Qty],T_TTAFStock[RM_Code],$A85,T_TTAFStock[WeekIndex],35),AI85+'Grid_Incoming'!AJ85-'Grid_Requirement'!AJ85))</f>
        <v/>
      </c>
      <c r="AK85">
        <f>IF(COUNTIFS(T_StockCount[RM_Code],$A85,T_StockCount[WeekIndex],36)&gt;0,SUMIFS(T_StockCount[CountedQty],T_StockCount[RM_Code],$A85,T_StockCount[WeekIndex],36),IF((COUNTIFS(T_SelfStock[RM_Code],$A85,T_SelfStock[WeekIndex],36)&gt;0)*(COUNTIFS(T_TTAFStock[RM_Code],$A85,T_TTAFStock[WeekIndex],36)&gt;0)&gt;0,SUMIFS(T_SelfStock[Self_Qty],T_SelfStock[RM_Code],$A85,T_SelfStock[WeekIndex],36)+SUMIFS(T_TTAFStock[TTAF_Qty],T_TTAFStock[RM_Code],$A85,T_TTAFStock[WeekIndex],36),AJ85+'Grid_Incoming'!AK85-'Grid_Requirement'!AK85))</f>
        <v/>
      </c>
      <c r="AL85">
        <f>IF(COUNTIFS(T_StockCount[RM_Code],$A85,T_StockCount[WeekIndex],37)&gt;0,SUMIFS(T_StockCount[CountedQty],T_StockCount[RM_Code],$A85,T_StockCount[WeekIndex],37),IF((COUNTIFS(T_SelfStock[RM_Code],$A85,T_SelfStock[WeekIndex],37)&gt;0)*(COUNTIFS(T_TTAFStock[RM_Code],$A85,T_TTAFStock[WeekIndex],37)&gt;0)&gt;0,SUMIFS(T_SelfStock[Self_Qty],T_SelfStock[RM_Code],$A85,T_SelfStock[WeekIndex],37)+SUMIFS(T_TTAFStock[TTAF_Qty],T_TTAFStock[RM_Code],$A85,T_TTAFStock[WeekIndex],37),AK85+'Grid_Incoming'!AL85-'Grid_Requirement'!AL85))</f>
        <v/>
      </c>
      <c r="AM85">
        <f>IF(COUNTIFS(T_StockCount[RM_Code],$A85,T_StockCount[WeekIndex],38)&gt;0,SUMIFS(T_StockCount[CountedQty],T_StockCount[RM_Code],$A85,T_StockCount[WeekIndex],38),IF((COUNTIFS(T_SelfStock[RM_Code],$A85,T_SelfStock[WeekIndex],38)&gt;0)*(COUNTIFS(T_TTAFStock[RM_Code],$A85,T_TTAFStock[WeekIndex],38)&gt;0)&gt;0,SUMIFS(T_SelfStock[Self_Qty],T_SelfStock[RM_Code],$A85,T_SelfStock[WeekIndex],38)+SUMIFS(T_TTAFStock[TTAF_Qty],T_TTAFStock[RM_Code],$A85,T_TTAFStock[WeekIndex],38),AL85+'Grid_Incoming'!AM85-'Grid_Requirement'!AM85))</f>
        <v/>
      </c>
      <c r="AN85">
        <f>IF(COUNTIFS(T_StockCount[RM_Code],$A85,T_StockCount[WeekIndex],39)&gt;0,SUMIFS(T_StockCount[CountedQty],T_StockCount[RM_Code],$A85,T_StockCount[WeekIndex],39),IF((COUNTIFS(T_SelfStock[RM_Code],$A85,T_SelfStock[WeekIndex],39)&gt;0)*(COUNTIFS(T_TTAFStock[RM_Code],$A85,T_TTAFStock[WeekIndex],39)&gt;0)&gt;0,SUMIFS(T_SelfStock[Self_Qty],T_SelfStock[RM_Code],$A85,T_SelfStock[WeekIndex],39)+SUMIFS(T_TTAFStock[TTAF_Qty],T_TTAFStock[RM_Code],$A85,T_TTAFStock[WeekIndex],39),AM85+'Grid_Incoming'!AN85-'Grid_Requirement'!AN85))</f>
        <v/>
      </c>
      <c r="AO85">
        <f>IF(COUNTIFS(T_StockCount[RM_Code],$A85,T_StockCount[WeekIndex],40)&gt;0,SUMIFS(T_StockCount[CountedQty],T_StockCount[RM_Code],$A85,T_StockCount[WeekIndex],40),IF((COUNTIFS(T_SelfStock[RM_Code],$A85,T_SelfStock[WeekIndex],40)&gt;0)*(COUNTIFS(T_TTAFStock[RM_Code],$A85,T_TTAFStock[WeekIndex],40)&gt;0)&gt;0,SUMIFS(T_SelfStock[Self_Qty],T_SelfStock[RM_Code],$A85,T_SelfStock[WeekIndex],40)+SUMIFS(T_TTAFStock[TTAF_Qty],T_TTAFStock[RM_Code],$A85,T_TTAFStock[WeekIndex],40),AN85+'Grid_Incoming'!AO85-'Grid_Requirement'!AO85))</f>
        <v/>
      </c>
      <c r="AP85">
        <f>IF(COUNTIFS(T_StockCount[RM_Code],$A85,T_StockCount[WeekIndex],41)&gt;0,SUMIFS(T_StockCount[CountedQty],T_StockCount[RM_Code],$A85,T_StockCount[WeekIndex],41),IF((COUNTIFS(T_SelfStock[RM_Code],$A85,T_SelfStock[WeekIndex],41)&gt;0)*(COUNTIFS(T_TTAFStock[RM_Code],$A85,T_TTAFStock[WeekIndex],41)&gt;0)&gt;0,SUMIFS(T_SelfStock[Self_Qty],T_SelfStock[RM_Code],$A85,T_SelfStock[WeekIndex],41)+SUMIFS(T_TTAFStock[TTAF_Qty],T_TTAFStock[RM_Code],$A85,T_TTAFStock[WeekIndex],41),AO85+'Grid_Incoming'!AP85-'Grid_Requirement'!AP85))</f>
        <v/>
      </c>
      <c r="AQ85">
        <f>IF(COUNTIFS(T_StockCount[RM_Code],$A85,T_StockCount[WeekIndex],42)&gt;0,SUMIFS(T_StockCount[CountedQty],T_StockCount[RM_Code],$A85,T_StockCount[WeekIndex],42),IF((COUNTIFS(T_SelfStock[RM_Code],$A85,T_SelfStock[WeekIndex],42)&gt;0)*(COUNTIFS(T_TTAFStock[RM_Code],$A85,T_TTAFStock[WeekIndex],42)&gt;0)&gt;0,SUMIFS(T_SelfStock[Self_Qty],T_SelfStock[RM_Code],$A85,T_SelfStock[WeekIndex],42)+SUMIFS(T_TTAFStock[TTAF_Qty],T_TTAFStock[RM_Code],$A85,T_TTAFStock[WeekIndex],42),AP85+'Grid_Incoming'!AQ85-'Grid_Requirement'!AQ85))</f>
        <v/>
      </c>
      <c r="AR85">
        <f>IF(COUNTIFS(T_StockCount[RM_Code],$A85,T_StockCount[WeekIndex],43)&gt;0,SUMIFS(T_StockCount[CountedQty],T_StockCount[RM_Code],$A85,T_StockCount[WeekIndex],43),IF((COUNTIFS(T_SelfStock[RM_Code],$A85,T_SelfStock[WeekIndex],43)&gt;0)*(COUNTIFS(T_TTAFStock[RM_Code],$A85,T_TTAFStock[WeekIndex],43)&gt;0)&gt;0,SUMIFS(T_SelfStock[Self_Qty],T_SelfStock[RM_Code],$A85,T_SelfStock[WeekIndex],43)+SUMIFS(T_TTAFStock[TTAF_Qty],T_TTAFStock[RM_Code],$A85,T_TTAFStock[WeekIndex],43),AQ85+'Grid_Incoming'!AR85-'Grid_Requirement'!AR85))</f>
        <v/>
      </c>
      <c r="AS85">
        <f>IF(COUNTIFS(T_StockCount[RM_Code],$A85,T_StockCount[WeekIndex],44)&gt;0,SUMIFS(T_StockCount[CountedQty],T_StockCount[RM_Code],$A85,T_StockCount[WeekIndex],44),IF((COUNTIFS(T_SelfStock[RM_Code],$A85,T_SelfStock[WeekIndex],44)&gt;0)*(COUNTIFS(T_TTAFStock[RM_Code],$A85,T_TTAFStock[WeekIndex],44)&gt;0)&gt;0,SUMIFS(T_SelfStock[Self_Qty],T_SelfStock[RM_Code],$A85,T_SelfStock[WeekIndex],44)+SUMIFS(T_TTAFStock[TTAF_Qty],T_TTAFStock[RM_Code],$A85,T_TTAFStock[WeekIndex],44),AR85+'Grid_Incoming'!AS85-'Grid_Requirement'!AS85))</f>
        <v/>
      </c>
      <c r="AT85">
        <f>IF(COUNTIFS(T_StockCount[RM_Code],$A85,T_StockCount[WeekIndex],45)&gt;0,SUMIFS(T_StockCount[CountedQty],T_StockCount[RM_Code],$A85,T_StockCount[WeekIndex],45),IF((COUNTIFS(T_SelfStock[RM_Code],$A85,T_SelfStock[WeekIndex],45)&gt;0)*(COUNTIFS(T_TTAFStock[RM_Code],$A85,T_TTAFStock[WeekIndex],45)&gt;0)&gt;0,SUMIFS(T_SelfStock[Self_Qty],T_SelfStock[RM_Code],$A85,T_SelfStock[WeekIndex],45)+SUMIFS(T_TTAFStock[TTAF_Qty],T_TTAFStock[RM_Code],$A85,T_TTAFStock[WeekIndex],45),AS85+'Grid_Incoming'!AT85-'Grid_Requirement'!AT85))</f>
        <v/>
      </c>
      <c r="AU85">
        <f>IF(COUNTIFS(T_StockCount[RM_Code],$A85,T_StockCount[WeekIndex],46)&gt;0,SUMIFS(T_StockCount[CountedQty],T_StockCount[RM_Code],$A85,T_StockCount[WeekIndex],46),IF((COUNTIFS(T_SelfStock[RM_Code],$A85,T_SelfStock[WeekIndex],46)&gt;0)*(COUNTIFS(T_TTAFStock[RM_Code],$A85,T_TTAFStock[WeekIndex],46)&gt;0)&gt;0,SUMIFS(T_SelfStock[Self_Qty],T_SelfStock[RM_Code],$A85,T_SelfStock[WeekIndex],46)+SUMIFS(T_TTAFStock[TTAF_Qty],T_TTAFStock[RM_Code],$A85,T_TTAFStock[WeekIndex],46),AT85+'Grid_Incoming'!AU85-'Grid_Requirement'!AU85))</f>
        <v/>
      </c>
      <c r="AV85">
        <f>IF(COUNTIFS(T_StockCount[RM_Code],$A85,T_StockCount[WeekIndex],47)&gt;0,SUMIFS(T_StockCount[CountedQty],T_StockCount[RM_Code],$A85,T_StockCount[WeekIndex],47),IF((COUNTIFS(T_SelfStock[RM_Code],$A85,T_SelfStock[WeekIndex],47)&gt;0)*(COUNTIFS(T_TTAFStock[RM_Code],$A85,T_TTAFStock[WeekIndex],47)&gt;0)&gt;0,SUMIFS(T_SelfStock[Self_Qty],T_SelfStock[RM_Code],$A85,T_SelfStock[WeekIndex],47)+SUMIFS(T_TTAFStock[TTAF_Qty],T_TTAFStock[RM_Code],$A85,T_TTAFStock[WeekIndex],47),AU85+'Grid_Incoming'!AV85-'Grid_Requirement'!AV85))</f>
        <v/>
      </c>
      <c r="AW85">
        <f>IF(COUNTIFS(T_StockCount[RM_Code],$A85,T_StockCount[WeekIndex],48)&gt;0,SUMIFS(T_StockCount[CountedQty],T_StockCount[RM_Code],$A85,T_StockCount[WeekIndex],48),IF((COUNTIFS(T_SelfStock[RM_Code],$A85,T_SelfStock[WeekIndex],48)&gt;0)*(COUNTIFS(T_TTAFStock[RM_Code],$A85,T_TTAFStock[WeekIndex],48)&gt;0)&gt;0,SUMIFS(T_SelfStock[Self_Qty],T_SelfStock[RM_Code],$A85,T_SelfStock[WeekIndex],48)+SUMIFS(T_TTAFStock[TTAF_Qty],T_TTAFStock[RM_Code],$A85,T_TTAFStock[WeekIndex],48),AV85+'Grid_Incoming'!AW85-'Grid_Requirement'!AW85))</f>
        <v/>
      </c>
      <c r="AX85">
        <f>IF(COUNTIFS(T_StockCount[RM_Code],$A85,T_StockCount[WeekIndex],49)&gt;0,SUMIFS(T_StockCount[CountedQty],T_StockCount[RM_Code],$A85,T_StockCount[WeekIndex],49),IF((COUNTIFS(T_SelfStock[RM_Code],$A85,T_SelfStock[WeekIndex],49)&gt;0)*(COUNTIFS(T_TTAFStock[RM_Code],$A85,T_TTAFStock[WeekIndex],49)&gt;0)&gt;0,SUMIFS(T_SelfStock[Self_Qty],T_SelfStock[RM_Code],$A85,T_SelfStock[WeekIndex],49)+SUMIFS(T_TTAFStock[TTAF_Qty],T_TTAFStock[RM_Code],$A85,T_TTAFStock[WeekIndex],49),AW85+'Grid_Incoming'!AX85-'Grid_Requirement'!AX85))</f>
        <v/>
      </c>
      <c r="AY85">
        <f>IF(COUNTIFS(T_StockCount[RM_Code],$A85,T_StockCount[WeekIndex],50)&gt;0,SUMIFS(T_StockCount[CountedQty],T_StockCount[RM_Code],$A85,T_StockCount[WeekIndex],50),IF((COUNTIFS(T_SelfStock[RM_Code],$A85,T_SelfStock[WeekIndex],50)&gt;0)*(COUNTIFS(T_TTAFStock[RM_Code],$A85,T_TTAFStock[WeekIndex],50)&gt;0)&gt;0,SUMIFS(T_SelfStock[Self_Qty],T_SelfStock[RM_Code],$A85,T_SelfStock[WeekIndex],50)+SUMIFS(T_TTAFStock[TTAF_Qty],T_TTAFStock[RM_Code],$A85,T_TTAFStock[WeekIndex],50),AX85+'Grid_Incoming'!AY85-'Grid_Requirement'!AY85))</f>
        <v/>
      </c>
      <c r="AZ85">
        <f>IF(COUNTIFS(T_StockCount[RM_Code],$A85,T_StockCount[WeekIndex],51)&gt;0,SUMIFS(T_StockCount[CountedQty],T_StockCount[RM_Code],$A85,T_StockCount[WeekIndex],51),IF((COUNTIFS(T_SelfStock[RM_Code],$A85,T_SelfStock[WeekIndex],51)&gt;0)*(COUNTIFS(T_TTAFStock[RM_Code],$A85,T_TTAFStock[WeekIndex],51)&gt;0)&gt;0,SUMIFS(T_SelfStock[Self_Qty],T_SelfStock[RM_Code],$A85,T_SelfStock[WeekIndex],51)+SUMIFS(T_TTAFStock[TTAF_Qty],T_TTAFStock[RM_Code],$A85,T_TTAFStock[WeekIndex],51),AY85+'Grid_Incoming'!AZ85-'Grid_Requirement'!AZ85))</f>
        <v/>
      </c>
      <c r="BA85">
        <f>IF(COUNTIFS(T_StockCount[RM_Code],$A85,T_StockCount[WeekIndex],52)&gt;0,SUMIFS(T_StockCount[CountedQty],T_StockCount[RM_Code],$A85,T_StockCount[WeekIndex],52),IF((COUNTIFS(T_SelfStock[RM_Code],$A85,T_SelfStock[WeekIndex],52)&gt;0)*(COUNTIFS(T_TTAFStock[RM_Code],$A85,T_TTAFStock[WeekIndex],52)&gt;0)&gt;0,SUMIFS(T_SelfStock[Self_Qty],T_SelfStock[RM_Code],$A85,T_SelfStock[WeekIndex],52)+SUMIFS(T_TTAFStock[TTAF_Qty],T_TTAFStock[RM_Code],$A85,T_TTAFStock[WeekIndex],52),AZ85+'Grid_Incoming'!BA85-'Grid_Requirement'!BA85))</f>
        <v/>
      </c>
      <c r="BB85">
        <f>IF(COUNTIFS(T_StockCount[RM_Code],$A85,T_StockCount[WeekIndex],53)&gt;0,SUMIFS(T_StockCount[CountedQty],T_StockCount[RM_Code],$A85,T_StockCount[WeekIndex],53),IF((COUNTIFS(T_SelfStock[RM_Code],$A85,T_SelfStock[WeekIndex],53)&gt;0)*(COUNTIFS(T_TTAFStock[RM_Code],$A85,T_TTAFStock[WeekIndex],53)&gt;0)&gt;0,SUMIFS(T_SelfStock[Self_Qty],T_SelfStock[RM_Code],$A85,T_SelfStock[WeekIndex],53)+SUMIFS(T_TTAFStock[TTAF_Qty],T_TTAFStock[RM_Code],$A85,T_TTAFStock[WeekIndex],53),BA85+'Grid_Incoming'!BB85-'Grid_Requirement'!BB85))</f>
        <v/>
      </c>
      <c r="BC85">
        <f>IF(COUNTIFS(T_StockCount[RM_Code],$A85,T_StockCount[WeekIndex],54)&gt;0,SUMIFS(T_StockCount[CountedQty],T_StockCount[RM_Code],$A85,T_StockCount[WeekIndex],54),IF((COUNTIFS(T_SelfStock[RM_Code],$A85,T_SelfStock[WeekIndex],54)&gt;0)*(COUNTIFS(T_TTAFStock[RM_Code],$A85,T_TTAFStock[WeekIndex],54)&gt;0)&gt;0,SUMIFS(T_SelfStock[Self_Qty],T_SelfStock[RM_Code],$A85,T_SelfStock[WeekIndex],54)+SUMIFS(T_TTAFStock[TTAF_Qty],T_TTAFStock[RM_Code],$A85,T_TTAFStock[WeekIndex],54),BB85+'Grid_Incoming'!BC85-'Grid_Requirement'!BC85))</f>
        <v/>
      </c>
      <c r="BD85">
        <f>IF(COUNTIFS(T_StockCount[RM_Code],$A85,T_StockCount[WeekIndex],55)&gt;0,SUMIFS(T_StockCount[CountedQty],T_StockCount[RM_Code],$A85,T_StockCount[WeekIndex],55),IF((COUNTIFS(T_SelfStock[RM_Code],$A85,T_SelfStock[WeekIndex],55)&gt;0)*(COUNTIFS(T_TTAFStock[RM_Code],$A85,T_TTAFStock[WeekIndex],55)&gt;0)&gt;0,SUMIFS(T_SelfStock[Self_Qty],T_SelfStock[RM_Code],$A85,T_SelfStock[WeekIndex],55)+SUMIFS(T_TTAFStock[TTAF_Qty],T_TTAFStock[RM_Code],$A85,T_TTAFStock[WeekIndex],55),BC85+'Grid_Incoming'!BD85-'Grid_Requirement'!BD85))</f>
        <v/>
      </c>
      <c r="BE85">
        <f>IF(COUNTIFS(T_StockCount[RM_Code],$A85,T_StockCount[WeekIndex],56)&gt;0,SUMIFS(T_StockCount[CountedQty],T_StockCount[RM_Code],$A85,T_StockCount[WeekIndex],56),IF((COUNTIFS(T_SelfStock[RM_Code],$A85,T_SelfStock[WeekIndex],56)&gt;0)*(COUNTIFS(T_TTAFStock[RM_Code],$A85,T_TTAFStock[WeekIndex],56)&gt;0)&gt;0,SUMIFS(T_SelfStock[Self_Qty],T_SelfStock[RM_Code],$A85,T_SelfStock[WeekIndex],56)+SUMIFS(T_TTAFStock[TTAF_Qty],T_TTAFStock[RM_Code],$A85,T_TTAFStock[WeekIndex],56),BD85+'Grid_Incoming'!BE85-'Grid_Requirement'!BE85))</f>
        <v/>
      </c>
      <c r="BF85">
        <f>IF(COUNTIFS(T_StockCount[RM_Code],$A85,T_StockCount[WeekIndex],57)&gt;0,SUMIFS(T_StockCount[CountedQty],T_StockCount[RM_Code],$A85,T_StockCount[WeekIndex],57),IF((COUNTIFS(T_SelfStock[RM_Code],$A85,T_SelfStock[WeekIndex],57)&gt;0)*(COUNTIFS(T_TTAFStock[RM_Code],$A85,T_TTAFStock[WeekIndex],57)&gt;0)&gt;0,SUMIFS(T_SelfStock[Self_Qty],T_SelfStock[RM_Code],$A85,T_SelfStock[WeekIndex],57)+SUMIFS(T_TTAFStock[TTAF_Qty],T_TTAFStock[RM_Code],$A85,T_TTAFStock[WeekIndex],57),BE85+'Grid_Incoming'!BF85-'Grid_Requirement'!BF85))</f>
        <v/>
      </c>
      <c r="BG85">
        <f>IF(COUNTIFS(T_StockCount[RM_Code],$A85,T_StockCount[WeekIndex],58)&gt;0,SUMIFS(T_StockCount[CountedQty],T_StockCount[RM_Code],$A85,T_StockCount[WeekIndex],58),IF((COUNTIFS(T_SelfStock[RM_Code],$A85,T_SelfStock[WeekIndex],58)&gt;0)*(COUNTIFS(T_TTAFStock[RM_Code],$A85,T_TTAFStock[WeekIndex],58)&gt;0)&gt;0,SUMIFS(T_SelfStock[Self_Qty],T_SelfStock[RM_Code],$A85,T_SelfStock[WeekIndex],58)+SUMIFS(T_TTAFStock[TTAF_Qty],T_TTAFStock[RM_Code],$A85,T_TTAFStock[WeekIndex],58),BF85+'Grid_Incoming'!BG85-'Grid_Requirement'!BG85))</f>
        <v/>
      </c>
      <c r="BH85">
        <f>IF(COUNTIFS(T_StockCount[RM_Code],$A85,T_StockCount[WeekIndex],59)&gt;0,SUMIFS(T_StockCount[CountedQty],T_StockCount[RM_Code],$A85,T_StockCount[WeekIndex],59),IF((COUNTIFS(T_SelfStock[RM_Code],$A85,T_SelfStock[WeekIndex],59)&gt;0)*(COUNTIFS(T_TTAFStock[RM_Code],$A85,T_TTAFStock[WeekIndex],59)&gt;0)&gt;0,SUMIFS(T_SelfStock[Self_Qty],T_SelfStock[RM_Code],$A85,T_SelfStock[WeekIndex],59)+SUMIFS(T_TTAFStock[TTAF_Qty],T_TTAFStock[RM_Code],$A85,T_TTAFStock[WeekIndex],59),BG85+'Grid_Incoming'!BH85-'Grid_Requirement'!BH85))</f>
        <v/>
      </c>
      <c r="BI85">
        <f>IF(COUNTIFS(T_StockCount[RM_Code],$A85,T_StockCount[WeekIndex],60)&gt;0,SUMIFS(T_StockCount[CountedQty],T_StockCount[RM_Code],$A85,T_StockCount[WeekIndex],60),IF((COUNTIFS(T_SelfStock[RM_Code],$A85,T_SelfStock[WeekIndex],60)&gt;0)*(COUNTIFS(T_TTAFStock[RM_Code],$A85,T_TTAFStock[WeekIndex],60)&gt;0)&gt;0,SUMIFS(T_SelfStock[Self_Qty],T_SelfStock[RM_Code],$A85,T_SelfStock[WeekIndex],60)+SUMIFS(T_TTAFStock[TTAF_Qty],T_TTAFStock[RM_Code],$A85,T_TTAFStock[WeekIndex],60),BH85+'Grid_Incoming'!BI85-'Grid_Requirement'!BI85))</f>
        <v/>
      </c>
      <c r="BJ85">
        <f>IF(COUNTIFS(T_StockCount[RM_Code],$A85,T_StockCount[WeekIndex],61)&gt;0,SUMIFS(T_StockCount[CountedQty],T_StockCount[RM_Code],$A85,T_StockCount[WeekIndex],61),IF((COUNTIFS(T_SelfStock[RM_Code],$A85,T_SelfStock[WeekIndex],61)&gt;0)*(COUNTIFS(T_TTAFStock[RM_Code],$A85,T_TTAFStock[WeekIndex],61)&gt;0)&gt;0,SUMIFS(T_SelfStock[Self_Qty],T_SelfStock[RM_Code],$A85,T_SelfStock[WeekIndex],61)+SUMIFS(T_TTAFStock[TTAF_Qty],T_TTAFStock[RM_Code],$A85,T_TTAFStock[WeekIndex],61),BI85+'Grid_Incoming'!BJ85-'Grid_Requirement'!BJ85))</f>
        <v/>
      </c>
      <c r="BK85">
        <f>IF(COUNTIFS(T_StockCount[RM_Code],$A85,T_StockCount[WeekIndex],62)&gt;0,SUMIFS(T_StockCount[CountedQty],T_StockCount[RM_Code],$A85,T_StockCount[WeekIndex],62),IF((COUNTIFS(T_SelfStock[RM_Code],$A85,T_SelfStock[WeekIndex],62)&gt;0)*(COUNTIFS(T_TTAFStock[RM_Code],$A85,T_TTAFStock[WeekIndex],62)&gt;0)&gt;0,SUMIFS(T_SelfStock[Self_Qty],T_SelfStock[RM_Code],$A85,T_SelfStock[WeekIndex],62)+SUMIFS(T_TTAFStock[TTAF_Qty],T_TTAFStock[RM_Code],$A85,T_TTAFStock[WeekIndex],62),BJ85+'Grid_Incoming'!BK85-'Grid_Requirement'!BK85))</f>
        <v/>
      </c>
      <c r="BL85">
        <f>IF(COUNTIFS(T_StockCount[RM_Code],$A85,T_StockCount[WeekIndex],63)&gt;0,SUMIFS(T_StockCount[CountedQty],T_StockCount[RM_Code],$A85,T_StockCount[WeekIndex],63),IF((COUNTIFS(T_SelfStock[RM_Code],$A85,T_SelfStock[WeekIndex],63)&gt;0)*(COUNTIFS(T_TTAFStock[RM_Code],$A85,T_TTAFStock[WeekIndex],63)&gt;0)&gt;0,SUMIFS(T_SelfStock[Self_Qty],T_SelfStock[RM_Code],$A85,T_SelfStock[WeekIndex],63)+SUMIFS(T_TTAFStock[TTAF_Qty],T_TTAFStock[RM_Code],$A85,T_TTAFStock[WeekIndex],63),BK85+'Grid_Incoming'!BL85-'Grid_Requirement'!BL85))</f>
        <v/>
      </c>
      <c r="BM85">
        <f>IF(COUNTIFS(T_StockCount[RM_Code],$A85,T_StockCount[WeekIndex],64)&gt;0,SUMIFS(T_StockCount[CountedQty],T_StockCount[RM_Code],$A85,T_StockCount[WeekIndex],64),IF((COUNTIFS(T_SelfStock[RM_Code],$A85,T_SelfStock[WeekIndex],64)&gt;0)*(COUNTIFS(T_TTAFStock[RM_Code],$A85,T_TTAFStock[WeekIndex],64)&gt;0)&gt;0,SUMIFS(T_SelfStock[Self_Qty],T_SelfStock[RM_Code],$A85,T_SelfStock[WeekIndex],64)+SUMIFS(T_TTAFStock[TTAF_Qty],T_TTAFStock[RM_Code],$A85,T_TTAFStock[WeekIndex],64),BL85+'Grid_Incoming'!BM85-'Grid_Requirement'!BM85))</f>
        <v/>
      </c>
      <c r="BN85">
        <f>IF(COUNTIFS(T_StockCount[RM_Code],$A85,T_StockCount[WeekIndex],65)&gt;0,SUMIFS(T_StockCount[CountedQty],T_StockCount[RM_Code],$A85,T_StockCount[WeekIndex],65),IF((COUNTIFS(T_SelfStock[RM_Code],$A85,T_SelfStock[WeekIndex],65)&gt;0)*(COUNTIFS(T_TTAFStock[RM_Code],$A85,T_TTAFStock[WeekIndex],65)&gt;0)&gt;0,SUMIFS(T_SelfStock[Self_Qty],T_SelfStock[RM_Code],$A85,T_SelfStock[WeekIndex],65)+SUMIFS(T_TTAFStock[TTAF_Qty],T_TTAFStock[RM_Code],$A85,T_TTAFStock[WeekIndex],65),BM85+'Grid_Incoming'!BN85-'Grid_Requirement'!BN85))</f>
        <v/>
      </c>
      <c r="BO85">
        <f>IF(COUNTIFS(T_StockCount[RM_Code],$A85,T_StockCount[WeekIndex],66)&gt;0,SUMIFS(T_StockCount[CountedQty],T_StockCount[RM_Code],$A85,T_StockCount[WeekIndex],66),IF((COUNTIFS(T_SelfStock[RM_Code],$A85,T_SelfStock[WeekIndex],66)&gt;0)*(COUNTIFS(T_TTAFStock[RM_Code],$A85,T_TTAFStock[WeekIndex],66)&gt;0)&gt;0,SUMIFS(T_SelfStock[Self_Qty],T_SelfStock[RM_Code],$A85,T_SelfStock[WeekIndex],66)+SUMIFS(T_TTAFStock[TTAF_Qty],T_TTAFStock[RM_Code],$A85,T_TTAFStock[WeekIndex],66),BN85+'Grid_Incoming'!BO85-'Grid_Requirement'!BO85))</f>
        <v/>
      </c>
      <c r="BP85">
        <f>IF(COUNTIFS(T_StockCount[RM_Code],$A85,T_StockCount[WeekIndex],67)&gt;0,SUMIFS(T_StockCount[CountedQty],T_StockCount[RM_Code],$A85,T_StockCount[WeekIndex],67),IF((COUNTIFS(T_SelfStock[RM_Code],$A85,T_SelfStock[WeekIndex],67)&gt;0)*(COUNTIFS(T_TTAFStock[RM_Code],$A85,T_TTAFStock[WeekIndex],67)&gt;0)&gt;0,SUMIFS(T_SelfStock[Self_Qty],T_SelfStock[RM_Code],$A85,T_SelfStock[WeekIndex],67)+SUMIFS(T_TTAFStock[TTAF_Qty],T_TTAFStock[RM_Code],$A85,T_TTAFStock[WeekIndex],67),BO85+'Grid_Incoming'!BP85-'Grid_Requirement'!BP85))</f>
        <v/>
      </c>
      <c r="BQ85">
        <f>IF(COUNTIFS(T_StockCount[RM_Code],$A85,T_StockCount[WeekIndex],68)&gt;0,SUMIFS(T_StockCount[CountedQty],T_StockCount[RM_Code],$A85,T_StockCount[WeekIndex],68),IF((COUNTIFS(T_SelfStock[RM_Code],$A85,T_SelfStock[WeekIndex],68)&gt;0)*(COUNTIFS(T_TTAFStock[RM_Code],$A85,T_TTAFStock[WeekIndex],68)&gt;0)&gt;0,SUMIFS(T_SelfStock[Self_Qty],T_SelfStock[RM_Code],$A85,T_SelfStock[WeekIndex],68)+SUMIFS(T_TTAFStock[TTAF_Qty],T_TTAFStock[RM_Code],$A85,T_TTAFStock[WeekIndex],68),BP85+'Grid_Incoming'!BQ85-'Grid_Requirement'!BQ85))</f>
        <v/>
      </c>
      <c r="BR85">
        <f>IF(COUNTIFS(T_StockCount[RM_Code],$A85,T_StockCount[WeekIndex],69)&gt;0,SUMIFS(T_StockCount[CountedQty],T_StockCount[RM_Code],$A85,T_StockCount[WeekIndex],69),IF((COUNTIFS(T_SelfStock[RM_Code],$A85,T_SelfStock[WeekIndex],69)&gt;0)*(COUNTIFS(T_TTAFStock[RM_Code],$A85,T_TTAFStock[WeekIndex],69)&gt;0)&gt;0,SUMIFS(T_SelfStock[Self_Qty],T_SelfStock[RM_Code],$A85,T_SelfStock[WeekIndex],69)+SUMIFS(T_TTAFStock[TTAF_Qty],T_TTAFStock[RM_Code],$A85,T_TTAFStock[WeekIndex],69),BQ85+'Grid_Incoming'!BR85-'Grid_Requirement'!BR85))</f>
        <v/>
      </c>
      <c r="BS85">
        <f>IF(COUNTIFS(T_StockCount[RM_Code],$A85,T_StockCount[WeekIndex],70)&gt;0,SUMIFS(T_StockCount[CountedQty],T_StockCount[RM_Code],$A85,T_StockCount[WeekIndex],70),IF((COUNTIFS(T_SelfStock[RM_Code],$A85,T_SelfStock[WeekIndex],70)&gt;0)*(COUNTIFS(T_TTAFStock[RM_Code],$A85,T_TTAFStock[WeekIndex],70)&gt;0)&gt;0,SUMIFS(T_SelfStock[Self_Qty],T_SelfStock[RM_Code],$A85,T_SelfStock[WeekIndex],70)+SUMIFS(T_TTAFStock[TTAF_Qty],T_TTAFStock[RM_Code],$A85,T_TTAFStock[WeekIndex],70),BR85+'Grid_Incoming'!BS85-'Grid_Requirement'!BS85))</f>
        <v/>
      </c>
      <c r="BT85">
        <f>IF(COUNTIFS(T_StockCount[RM_Code],$A85,T_StockCount[WeekIndex],71)&gt;0,SUMIFS(T_StockCount[CountedQty],T_StockCount[RM_Code],$A85,T_StockCount[WeekIndex],71),IF((COUNTIFS(T_SelfStock[RM_Code],$A85,T_SelfStock[WeekIndex],71)&gt;0)*(COUNTIFS(T_TTAFStock[RM_Code],$A85,T_TTAFStock[WeekIndex],71)&gt;0)&gt;0,SUMIFS(T_SelfStock[Self_Qty],T_SelfStock[RM_Code],$A85,T_SelfStock[WeekIndex],71)+SUMIFS(T_TTAFStock[TTAF_Qty],T_TTAFStock[RM_Code],$A85,T_TTAFStock[WeekIndex],71),BS85+'Grid_Incoming'!BT85-'Grid_Requirement'!BT85))</f>
        <v/>
      </c>
      <c r="BU85">
        <f>IF(COUNTIFS(T_StockCount[RM_Code],$A85,T_StockCount[WeekIndex],72)&gt;0,SUMIFS(T_StockCount[CountedQty],T_StockCount[RM_Code],$A85,T_StockCount[WeekIndex],72),IF((COUNTIFS(T_SelfStock[RM_Code],$A85,T_SelfStock[WeekIndex],72)&gt;0)*(COUNTIFS(T_TTAFStock[RM_Code],$A85,T_TTAFStock[WeekIndex],72)&gt;0)&gt;0,SUMIFS(T_SelfStock[Self_Qty],T_SelfStock[RM_Code],$A85,T_SelfStock[WeekIndex],72)+SUMIFS(T_TTAFStock[TTAF_Qty],T_TTAFStock[RM_Code],$A85,T_TTAFStock[WeekIndex],72),BT85+'Grid_Incoming'!BU85-'Grid_Requirement'!BU85))</f>
        <v/>
      </c>
      <c r="BV85">
        <f>IF(COUNTIFS(T_StockCount[RM_Code],$A85,T_StockCount[WeekIndex],73)&gt;0,SUMIFS(T_StockCount[CountedQty],T_StockCount[RM_Code],$A85,T_StockCount[WeekIndex],73),IF((COUNTIFS(T_SelfStock[RM_Code],$A85,T_SelfStock[WeekIndex],73)&gt;0)*(COUNTIFS(T_TTAFStock[RM_Code],$A85,T_TTAFStock[WeekIndex],73)&gt;0)&gt;0,SUMIFS(T_SelfStock[Self_Qty],T_SelfStock[RM_Code],$A85,T_SelfStock[WeekIndex],73)+SUMIFS(T_TTAFStock[TTAF_Qty],T_TTAFStock[RM_Code],$A85,T_TTAFStock[WeekIndex],73),BU85+'Grid_Incoming'!BV85-'Grid_Requirement'!BV85))</f>
        <v/>
      </c>
      <c r="BW85">
        <f>IF(COUNTIFS(T_StockCount[RM_Code],$A85,T_StockCount[WeekIndex],74)&gt;0,SUMIFS(T_StockCount[CountedQty],T_StockCount[RM_Code],$A85,T_StockCount[WeekIndex],74),IF((COUNTIFS(T_SelfStock[RM_Code],$A85,T_SelfStock[WeekIndex],74)&gt;0)*(COUNTIFS(T_TTAFStock[RM_Code],$A85,T_TTAFStock[WeekIndex],74)&gt;0)&gt;0,SUMIFS(T_SelfStock[Self_Qty],T_SelfStock[RM_Code],$A85,T_SelfStock[WeekIndex],74)+SUMIFS(T_TTAFStock[TTAF_Qty],T_TTAFStock[RM_Code],$A85,T_TTAFStock[WeekIndex],74),BV85+'Grid_Incoming'!BW85-'Grid_Requirement'!BW85))</f>
        <v/>
      </c>
      <c r="BX85">
        <f>IF(COUNTIFS(T_StockCount[RM_Code],$A85,T_StockCount[WeekIndex],75)&gt;0,SUMIFS(T_StockCount[CountedQty],T_StockCount[RM_Code],$A85,T_StockCount[WeekIndex],75),IF((COUNTIFS(T_SelfStock[RM_Code],$A85,T_SelfStock[WeekIndex],75)&gt;0)*(COUNTIFS(T_TTAFStock[RM_Code],$A85,T_TTAFStock[WeekIndex],75)&gt;0)&gt;0,SUMIFS(T_SelfStock[Self_Qty],T_SelfStock[RM_Code],$A85,T_SelfStock[WeekIndex],75)+SUMIFS(T_TTAFStock[TTAF_Qty],T_TTAFStock[RM_Code],$A85,T_TTAFStock[WeekIndex],75),BW85+'Grid_Incoming'!BX85-'Grid_Requirement'!BX85))</f>
        <v/>
      </c>
      <c r="BY85">
        <f>IF(COUNTIFS(T_StockCount[RM_Code],$A85,T_StockCount[WeekIndex],76)&gt;0,SUMIFS(T_StockCount[CountedQty],T_StockCount[RM_Code],$A85,T_StockCount[WeekIndex],76),IF((COUNTIFS(T_SelfStock[RM_Code],$A85,T_SelfStock[WeekIndex],76)&gt;0)*(COUNTIFS(T_TTAFStock[RM_Code],$A85,T_TTAFStock[WeekIndex],76)&gt;0)&gt;0,SUMIFS(T_SelfStock[Self_Qty],T_SelfStock[RM_Code],$A85,T_SelfStock[WeekIndex],76)+SUMIFS(T_TTAFStock[TTAF_Qty],T_TTAFStock[RM_Code],$A85,T_TTAFStock[WeekIndex],76),BX85+'Grid_Incoming'!BY85-'Grid_Requirement'!BY85))</f>
        <v/>
      </c>
      <c r="BZ85">
        <f>IF(COUNTIFS(T_StockCount[RM_Code],$A85,T_StockCount[WeekIndex],77)&gt;0,SUMIFS(T_StockCount[CountedQty],T_StockCount[RM_Code],$A85,T_StockCount[WeekIndex],77),IF((COUNTIFS(T_SelfStock[RM_Code],$A85,T_SelfStock[WeekIndex],77)&gt;0)*(COUNTIFS(T_TTAFStock[RM_Code],$A85,T_TTAFStock[WeekIndex],77)&gt;0)&gt;0,SUMIFS(T_SelfStock[Self_Qty],T_SelfStock[RM_Code],$A85,T_SelfStock[WeekIndex],77)+SUMIFS(T_TTAFStock[TTAF_Qty],T_TTAFStock[RM_Code],$A85,T_TTAFStock[WeekIndex],77),BY85+'Grid_Incoming'!BZ85-'Grid_Requirement'!BZ85))</f>
        <v/>
      </c>
      <c r="CA85">
        <f>IF(COUNTIFS(T_StockCount[RM_Code],$A85,T_StockCount[WeekIndex],78)&gt;0,SUMIFS(T_StockCount[CountedQty],T_StockCount[RM_Code],$A85,T_StockCount[WeekIndex],78),IF((COUNTIFS(T_SelfStock[RM_Code],$A85,T_SelfStock[WeekIndex],78)&gt;0)*(COUNTIFS(T_TTAFStock[RM_Code],$A85,T_TTAFStock[WeekIndex],78)&gt;0)&gt;0,SUMIFS(T_SelfStock[Self_Qty],T_SelfStock[RM_Code],$A85,T_SelfStock[WeekIndex],78)+SUMIFS(T_TTAFStock[TTAF_Qty],T_TTAFStock[RM_Code],$A85,T_TTAFStock[WeekIndex],78),BZ85+'Grid_Incoming'!CA85-'Grid_Requirement'!CA85))</f>
        <v/>
      </c>
      <c r="CB85">
        <f>IF(COUNTIFS(T_StockCount[RM_Code],$A85,T_StockCount[WeekIndex],79)&gt;0,SUMIFS(T_StockCount[CountedQty],T_StockCount[RM_Code],$A85,T_StockCount[WeekIndex],79),IF((COUNTIFS(T_SelfStock[RM_Code],$A85,T_SelfStock[WeekIndex],79)&gt;0)*(COUNTIFS(T_TTAFStock[RM_Code],$A85,T_TTAFStock[WeekIndex],79)&gt;0)&gt;0,SUMIFS(T_SelfStock[Self_Qty],T_SelfStock[RM_Code],$A85,T_SelfStock[WeekIndex],79)+SUMIFS(T_TTAFStock[TTAF_Qty],T_TTAFStock[RM_Code],$A85,T_TTAFStock[WeekIndex],79),CA85+'Grid_Incoming'!CB85-'Grid_Requirement'!CB85))</f>
        <v/>
      </c>
      <c r="CC85">
        <f>IF(COUNTIFS(T_StockCount[RM_Code],$A85,T_StockCount[WeekIndex],80)&gt;0,SUMIFS(T_StockCount[CountedQty],T_StockCount[RM_Code],$A85,T_StockCount[WeekIndex],80),IF((COUNTIFS(T_SelfStock[RM_Code],$A85,T_SelfStock[WeekIndex],80)&gt;0)*(COUNTIFS(T_TTAFStock[RM_Code],$A85,T_TTAFStock[WeekIndex],80)&gt;0)&gt;0,SUMIFS(T_SelfStock[Self_Qty],T_SelfStock[RM_Code],$A85,T_SelfStock[WeekIndex],80)+SUMIFS(T_TTAFStock[TTAF_Qty],T_TTAFStock[RM_Code],$A85,T_TTAFStock[WeekIndex],80),CB85+'Grid_Incoming'!CC85-'Grid_Requirement'!CC85))</f>
        <v/>
      </c>
      <c r="CD85">
        <f>IF(COUNTIFS(T_StockCount[RM_Code],$A85,T_StockCount[WeekIndex],81)&gt;0,SUMIFS(T_StockCount[CountedQty],T_StockCount[RM_Code],$A85,T_StockCount[WeekIndex],81),IF((COUNTIFS(T_SelfStock[RM_Code],$A85,T_SelfStock[WeekIndex],81)&gt;0)*(COUNTIFS(T_TTAFStock[RM_Code],$A85,T_TTAFStock[WeekIndex],81)&gt;0)&gt;0,SUMIFS(T_SelfStock[Self_Qty],T_SelfStock[RM_Code],$A85,T_SelfStock[WeekIndex],81)+SUMIFS(T_TTAFStock[TTAF_Qty],T_TTAFStock[RM_Code],$A85,T_TTAFStock[WeekIndex],81),CC85+'Grid_Incoming'!CD85-'Grid_Requirement'!CD85))</f>
        <v/>
      </c>
      <c r="CE85">
        <f>IF(COUNTIFS(T_StockCount[RM_Code],$A85,T_StockCount[WeekIndex],82)&gt;0,SUMIFS(T_StockCount[CountedQty],T_StockCount[RM_Code],$A85,T_StockCount[WeekIndex],82),IF((COUNTIFS(T_SelfStock[RM_Code],$A85,T_SelfStock[WeekIndex],82)&gt;0)*(COUNTIFS(T_TTAFStock[RM_Code],$A85,T_TTAFStock[WeekIndex],82)&gt;0)&gt;0,SUMIFS(T_SelfStock[Self_Qty],T_SelfStock[RM_Code],$A85,T_SelfStock[WeekIndex],82)+SUMIFS(T_TTAFStock[TTAF_Qty],T_TTAFStock[RM_Code],$A85,T_TTAFStock[WeekIndex],82),CD85+'Grid_Incoming'!CE85-'Grid_Requirement'!CE85))</f>
        <v/>
      </c>
      <c r="CF85">
        <f>IF(COUNTIFS(T_StockCount[RM_Code],$A85,T_StockCount[WeekIndex],83)&gt;0,SUMIFS(T_StockCount[CountedQty],T_StockCount[RM_Code],$A85,T_StockCount[WeekIndex],83),IF((COUNTIFS(T_SelfStock[RM_Code],$A85,T_SelfStock[WeekIndex],83)&gt;0)*(COUNTIFS(T_TTAFStock[RM_Code],$A85,T_TTAFStock[WeekIndex],83)&gt;0)&gt;0,SUMIFS(T_SelfStock[Self_Qty],T_SelfStock[RM_Code],$A85,T_SelfStock[WeekIndex],83)+SUMIFS(T_TTAFStock[TTAF_Qty],T_TTAFStock[RM_Code],$A85,T_TTAFStock[WeekIndex],83),CE85+'Grid_Incoming'!CF85-'Grid_Requirement'!CF85))</f>
        <v/>
      </c>
      <c r="CG85">
        <f>IF(COUNTIFS(T_StockCount[RM_Code],$A85,T_StockCount[WeekIndex],84)&gt;0,SUMIFS(T_StockCount[CountedQty],T_StockCount[RM_Code],$A85,T_StockCount[WeekIndex],84),IF((COUNTIFS(T_SelfStock[RM_Code],$A85,T_SelfStock[WeekIndex],84)&gt;0)*(COUNTIFS(T_TTAFStock[RM_Code],$A85,T_TTAFStock[WeekIndex],84)&gt;0)&gt;0,SUMIFS(T_SelfStock[Self_Qty],T_SelfStock[RM_Code],$A85,T_SelfStock[WeekIndex],84)+SUMIFS(T_TTAFStock[TTAF_Qty],T_TTAFStock[RM_Code],$A85,T_TTAFStock[WeekIndex],84),CF85+'Grid_Incoming'!CG85-'Grid_Requirement'!CG85))</f>
        <v/>
      </c>
      <c r="CH85">
        <f>IF(COUNTIFS(T_StockCount[RM_Code],$A85,T_StockCount[WeekIndex],85)&gt;0,SUMIFS(T_StockCount[CountedQty],T_StockCount[RM_Code],$A85,T_StockCount[WeekIndex],85),IF((COUNTIFS(T_SelfStock[RM_Code],$A85,T_SelfStock[WeekIndex],85)&gt;0)*(COUNTIFS(T_TTAFStock[RM_Code],$A85,T_TTAFStock[WeekIndex],85)&gt;0)&gt;0,SUMIFS(T_SelfStock[Self_Qty],T_SelfStock[RM_Code],$A85,T_SelfStock[WeekIndex],85)+SUMIFS(T_TTAFStock[TTAF_Qty],T_TTAFStock[RM_Code],$A85,T_TTAFStock[WeekIndex],85),CG85+'Grid_Incoming'!CH85-'Grid_Requirement'!CH85))</f>
        <v/>
      </c>
      <c r="CI85">
        <f>IF(COUNTIFS(T_StockCount[RM_Code],$A85,T_StockCount[WeekIndex],86)&gt;0,SUMIFS(T_StockCount[CountedQty],T_StockCount[RM_Code],$A85,T_StockCount[WeekIndex],86),IF((COUNTIFS(T_SelfStock[RM_Code],$A85,T_SelfStock[WeekIndex],86)&gt;0)*(COUNTIFS(T_TTAFStock[RM_Code],$A85,T_TTAFStock[WeekIndex],86)&gt;0)&gt;0,SUMIFS(T_SelfStock[Self_Qty],T_SelfStock[RM_Code],$A85,T_SelfStock[WeekIndex],86)+SUMIFS(T_TTAFStock[TTAF_Qty],T_TTAFStock[RM_Code],$A85,T_TTAFStock[WeekIndex],86),CH85+'Grid_Incoming'!CI85-'Grid_Requirement'!CI85))</f>
        <v/>
      </c>
      <c r="CJ85">
        <f>IF(COUNTIFS(T_StockCount[RM_Code],$A85,T_StockCount[WeekIndex],87)&gt;0,SUMIFS(T_StockCount[CountedQty],T_StockCount[RM_Code],$A85,T_StockCount[WeekIndex],87),IF((COUNTIFS(T_SelfStock[RM_Code],$A85,T_SelfStock[WeekIndex],87)&gt;0)*(COUNTIFS(T_TTAFStock[RM_Code],$A85,T_TTAFStock[WeekIndex],87)&gt;0)&gt;0,SUMIFS(T_SelfStock[Self_Qty],T_SelfStock[RM_Code],$A85,T_SelfStock[WeekIndex],87)+SUMIFS(T_TTAFStock[TTAF_Qty],T_TTAFStock[RM_Code],$A85,T_TTAFStock[WeekIndex],87),CI85+'Grid_Incoming'!CJ85-'Grid_Requirement'!CJ85))</f>
        <v/>
      </c>
      <c r="CK85">
        <f>IF(COUNTIFS(T_StockCount[RM_Code],$A85,T_StockCount[WeekIndex],88)&gt;0,SUMIFS(T_StockCount[CountedQty],T_StockCount[RM_Code],$A85,T_StockCount[WeekIndex],88),IF((COUNTIFS(T_SelfStock[RM_Code],$A85,T_SelfStock[WeekIndex],88)&gt;0)*(COUNTIFS(T_TTAFStock[RM_Code],$A85,T_TTAFStock[WeekIndex],88)&gt;0)&gt;0,SUMIFS(T_SelfStock[Self_Qty],T_SelfStock[RM_Code],$A85,T_SelfStock[WeekIndex],88)+SUMIFS(T_TTAFStock[TTAF_Qty],T_TTAFStock[RM_Code],$A85,T_TTAFStock[WeekIndex],88),CJ85+'Grid_Incoming'!CK85-'Grid_Requirement'!CK85))</f>
        <v/>
      </c>
      <c r="CL85">
        <f>IF(COUNTIFS(T_StockCount[RM_Code],$A85,T_StockCount[WeekIndex],89)&gt;0,SUMIFS(T_StockCount[CountedQty],T_StockCount[RM_Code],$A85,T_StockCount[WeekIndex],89),IF((COUNTIFS(T_SelfStock[RM_Code],$A85,T_SelfStock[WeekIndex],89)&gt;0)*(COUNTIFS(T_TTAFStock[RM_Code],$A85,T_TTAFStock[WeekIndex],89)&gt;0)&gt;0,SUMIFS(T_SelfStock[Self_Qty],T_SelfStock[RM_Code],$A85,T_SelfStock[WeekIndex],89)+SUMIFS(T_TTAFStock[TTAF_Qty],T_TTAFStock[RM_Code],$A85,T_TTAFStock[WeekIndex],89),CK85+'Grid_Incoming'!CL85-'Grid_Requirement'!CL85))</f>
        <v/>
      </c>
      <c r="CM85">
        <f>IF(COUNTIFS(T_StockCount[RM_Code],$A85,T_StockCount[WeekIndex],90)&gt;0,SUMIFS(T_StockCount[CountedQty],T_StockCount[RM_Code],$A85,T_StockCount[WeekIndex],90),IF((COUNTIFS(T_SelfStock[RM_Code],$A85,T_SelfStock[WeekIndex],90)&gt;0)*(COUNTIFS(T_TTAFStock[RM_Code],$A85,T_TTAFStock[WeekIndex],90)&gt;0)&gt;0,SUMIFS(T_SelfStock[Self_Qty],T_SelfStock[RM_Code],$A85,T_SelfStock[WeekIndex],90)+SUMIFS(T_TTAFStock[TTAF_Qty],T_TTAFStock[RM_Code],$A85,T_TTAFStock[WeekIndex],90),CL85+'Grid_Incoming'!CM85-'Grid_Requirement'!CM85))</f>
        <v/>
      </c>
      <c r="CN85">
        <f>IF(COUNTIFS(T_StockCount[RM_Code],$A85,T_StockCount[WeekIndex],91)&gt;0,SUMIFS(T_StockCount[CountedQty],T_StockCount[RM_Code],$A85,T_StockCount[WeekIndex],91),IF((COUNTIFS(T_SelfStock[RM_Code],$A85,T_SelfStock[WeekIndex],91)&gt;0)*(COUNTIFS(T_TTAFStock[RM_Code],$A85,T_TTAFStock[WeekIndex],91)&gt;0)&gt;0,SUMIFS(T_SelfStock[Self_Qty],T_SelfStock[RM_Code],$A85,T_SelfStock[WeekIndex],91)+SUMIFS(T_TTAFStock[TTAF_Qty],T_TTAFStock[RM_Code],$A85,T_TTAFStock[WeekIndex],91),CM85+'Grid_Incoming'!CN85-'Grid_Requirement'!CN85))</f>
        <v/>
      </c>
      <c r="CO85">
        <f>IF(COUNTIFS(T_StockCount[RM_Code],$A85,T_StockCount[WeekIndex],92)&gt;0,SUMIFS(T_StockCount[CountedQty],T_StockCount[RM_Code],$A85,T_StockCount[WeekIndex],92),IF((COUNTIFS(T_SelfStock[RM_Code],$A85,T_SelfStock[WeekIndex],92)&gt;0)*(COUNTIFS(T_TTAFStock[RM_Code],$A85,T_TTAFStock[WeekIndex],92)&gt;0)&gt;0,SUMIFS(T_SelfStock[Self_Qty],T_SelfStock[RM_Code],$A85,T_SelfStock[WeekIndex],92)+SUMIFS(T_TTAFStock[TTAF_Qty],T_TTAFStock[RM_Code],$A85,T_TTAFStock[WeekIndex],92),CN85+'Grid_Incoming'!CO85-'Grid_Requirement'!CO85))</f>
        <v/>
      </c>
      <c r="CP85">
        <f>IF(COUNTIFS(T_StockCount[RM_Code],$A85,T_StockCount[WeekIndex],93)&gt;0,SUMIFS(T_StockCount[CountedQty],T_StockCount[RM_Code],$A85,T_StockCount[WeekIndex],93),IF((COUNTIFS(T_SelfStock[RM_Code],$A85,T_SelfStock[WeekIndex],93)&gt;0)*(COUNTIFS(T_TTAFStock[RM_Code],$A85,T_TTAFStock[WeekIndex],93)&gt;0)&gt;0,SUMIFS(T_SelfStock[Self_Qty],T_SelfStock[RM_Code],$A85,T_SelfStock[WeekIndex],93)+SUMIFS(T_TTAFStock[TTAF_Qty],T_TTAFStock[RM_Code],$A85,T_TTAFStock[WeekIndex],93),CO85+'Grid_Incoming'!CP85-'Grid_Requirement'!CP85))</f>
        <v/>
      </c>
      <c r="CQ85">
        <f>IF(COUNTIFS(T_StockCount[RM_Code],$A85,T_StockCount[WeekIndex],94)&gt;0,SUMIFS(T_StockCount[CountedQty],T_StockCount[RM_Code],$A85,T_StockCount[WeekIndex],94),IF((COUNTIFS(T_SelfStock[RM_Code],$A85,T_SelfStock[WeekIndex],94)&gt;0)*(COUNTIFS(T_TTAFStock[RM_Code],$A85,T_TTAFStock[WeekIndex],94)&gt;0)&gt;0,SUMIFS(T_SelfStock[Self_Qty],T_SelfStock[RM_Code],$A85,T_SelfStock[WeekIndex],94)+SUMIFS(T_TTAFStock[TTAF_Qty],T_TTAFStock[RM_Code],$A85,T_TTAFStock[WeekIndex],94),CP85+'Grid_Incoming'!CQ85-'Grid_Requirement'!CQ85))</f>
        <v/>
      </c>
      <c r="CR85">
        <f>IF(COUNTIFS(T_StockCount[RM_Code],$A85,T_StockCount[WeekIndex],95)&gt;0,SUMIFS(T_StockCount[CountedQty],T_StockCount[RM_Code],$A85,T_StockCount[WeekIndex],95),IF((COUNTIFS(T_SelfStock[RM_Code],$A85,T_SelfStock[WeekIndex],95)&gt;0)*(COUNTIFS(T_TTAFStock[RM_Code],$A85,T_TTAFStock[WeekIndex],95)&gt;0)&gt;0,SUMIFS(T_SelfStock[Self_Qty],T_SelfStock[RM_Code],$A85,T_SelfStock[WeekIndex],95)+SUMIFS(T_TTAFStock[TTAF_Qty],T_TTAFStock[RM_Code],$A85,T_TTAFStock[WeekIndex],95),CQ85+'Grid_Incoming'!CR85-'Grid_Requirement'!CR85))</f>
        <v/>
      </c>
      <c r="CS85">
        <f>IF(COUNTIFS(T_StockCount[RM_Code],$A85,T_StockCount[WeekIndex],96)&gt;0,SUMIFS(T_StockCount[CountedQty],T_StockCount[RM_Code],$A85,T_StockCount[WeekIndex],96),IF((COUNTIFS(T_SelfStock[RM_Code],$A85,T_SelfStock[WeekIndex],96)&gt;0)*(COUNTIFS(T_TTAFStock[RM_Code],$A85,T_TTAFStock[WeekIndex],96)&gt;0)&gt;0,SUMIFS(T_SelfStock[Self_Qty],T_SelfStock[RM_Code],$A85,T_SelfStock[WeekIndex],96)+SUMIFS(T_TTAFStock[TTAF_Qty],T_TTAFStock[RM_Code],$A85,T_TTAFStock[WeekIndex],96),CR85+'Grid_Incoming'!CS85-'Grid_Requirement'!CS85))</f>
        <v/>
      </c>
      <c r="CT85">
        <f>IF(COUNTIFS(T_StockCount[RM_Code],$A85,T_StockCount[WeekIndex],97)&gt;0,SUMIFS(T_StockCount[CountedQty],T_StockCount[RM_Code],$A85,T_StockCount[WeekIndex],97),IF((COUNTIFS(T_SelfStock[RM_Code],$A85,T_SelfStock[WeekIndex],97)&gt;0)*(COUNTIFS(T_TTAFStock[RM_Code],$A85,T_TTAFStock[WeekIndex],97)&gt;0)&gt;0,SUMIFS(T_SelfStock[Self_Qty],T_SelfStock[RM_Code],$A85,T_SelfStock[WeekIndex],97)+SUMIFS(T_TTAFStock[TTAF_Qty],T_TTAFStock[RM_Code],$A85,T_TTAFStock[WeekIndex],97),CS85+'Grid_Incoming'!CT85-'Grid_Requirement'!CT85))</f>
        <v/>
      </c>
      <c r="CU85">
        <f>IF(COUNTIFS(T_StockCount[RM_Code],$A85,T_StockCount[WeekIndex],98)&gt;0,SUMIFS(T_StockCount[CountedQty],T_StockCount[RM_Code],$A85,T_StockCount[WeekIndex],98),IF((COUNTIFS(T_SelfStock[RM_Code],$A85,T_SelfStock[WeekIndex],98)&gt;0)*(COUNTIFS(T_TTAFStock[RM_Code],$A85,T_TTAFStock[WeekIndex],98)&gt;0)&gt;0,SUMIFS(T_SelfStock[Self_Qty],T_SelfStock[RM_Code],$A85,T_SelfStock[WeekIndex],98)+SUMIFS(T_TTAFStock[TTAF_Qty],T_TTAFStock[RM_Code],$A85,T_TTAFStock[WeekIndex],98),CT85+'Grid_Incoming'!CU85-'Grid_Requirement'!CU85))</f>
        <v/>
      </c>
      <c r="CV85">
        <f>IF(COUNTIFS(T_StockCount[RM_Code],$A85,T_StockCount[WeekIndex],99)&gt;0,SUMIFS(T_StockCount[CountedQty],T_StockCount[RM_Code],$A85,T_StockCount[WeekIndex],99),IF((COUNTIFS(T_SelfStock[RM_Code],$A85,T_SelfStock[WeekIndex],99)&gt;0)*(COUNTIFS(T_TTAFStock[RM_Code],$A85,T_TTAFStock[WeekIndex],99)&gt;0)&gt;0,SUMIFS(T_SelfStock[Self_Qty],T_SelfStock[RM_Code],$A85,T_SelfStock[WeekIndex],99)+SUMIFS(T_TTAFStock[TTAF_Qty],T_TTAFStock[RM_Code],$A85,T_TTAFStock[WeekIndex],99),CU85+'Grid_Incoming'!CV85-'Grid_Requirement'!CV85))</f>
        <v/>
      </c>
      <c r="CW85">
        <f>IF(COUNTIFS(T_StockCount[RM_Code],$A85,T_StockCount[WeekIndex],100)&gt;0,SUMIFS(T_StockCount[CountedQty],T_StockCount[RM_Code],$A85,T_StockCount[WeekIndex],100),IF((COUNTIFS(T_SelfStock[RM_Code],$A85,T_SelfStock[WeekIndex],100)&gt;0)*(COUNTIFS(T_TTAFStock[RM_Code],$A85,T_TTAFStock[WeekIndex],100)&gt;0)&gt;0,SUMIFS(T_SelfStock[Self_Qty],T_SelfStock[RM_Code],$A85,T_SelfStock[WeekIndex],100)+SUMIFS(T_TTAFStock[TTAF_Qty],T_TTAFStock[RM_Code],$A85,T_TTAFStock[WeekIndex],100),CV85+'Grid_Incoming'!CW85-'Grid_Requirement'!CW85))</f>
        <v/>
      </c>
      <c r="CX85">
        <f>IF(COUNTIFS(T_StockCount[RM_Code],$A85,T_StockCount[WeekIndex],101)&gt;0,SUMIFS(T_StockCount[CountedQty],T_StockCount[RM_Code],$A85,T_StockCount[WeekIndex],101),IF((COUNTIFS(T_SelfStock[RM_Code],$A85,T_SelfStock[WeekIndex],101)&gt;0)*(COUNTIFS(T_TTAFStock[RM_Code],$A85,T_TTAFStock[WeekIndex],101)&gt;0)&gt;0,SUMIFS(T_SelfStock[Self_Qty],T_SelfStock[RM_Code],$A85,T_SelfStock[WeekIndex],101)+SUMIFS(T_TTAFStock[TTAF_Qty],T_TTAFStock[RM_Code],$A85,T_TTAFStock[WeekIndex],101),CW85+'Grid_Incoming'!CX85-'Grid_Requirement'!CX85))</f>
        <v/>
      </c>
      <c r="CY85">
        <f>IF(COUNTIFS(T_StockCount[RM_Code],$A85,T_StockCount[WeekIndex],102)&gt;0,SUMIFS(T_StockCount[CountedQty],T_StockCount[RM_Code],$A85,T_StockCount[WeekIndex],102),IF((COUNTIFS(T_SelfStock[RM_Code],$A85,T_SelfStock[WeekIndex],102)&gt;0)*(COUNTIFS(T_TTAFStock[RM_Code],$A85,T_TTAFStock[WeekIndex],102)&gt;0)&gt;0,SUMIFS(T_SelfStock[Self_Qty],T_SelfStock[RM_Code],$A85,T_SelfStock[WeekIndex],102)+SUMIFS(T_TTAFStock[TTAF_Qty],T_TTAFStock[RM_Code],$A85,T_TTAFStock[WeekIndex],102),CX85+'Grid_Incoming'!CY85-'Grid_Requirement'!CY85))</f>
        <v/>
      </c>
      <c r="CZ85">
        <f>IF(COUNTIFS(T_StockCount[RM_Code],$A85,T_StockCount[WeekIndex],103)&gt;0,SUMIFS(T_StockCount[CountedQty],T_StockCount[RM_Code],$A85,T_StockCount[WeekIndex],103),IF((COUNTIFS(T_SelfStock[RM_Code],$A85,T_SelfStock[WeekIndex],103)&gt;0)*(COUNTIFS(T_TTAFStock[RM_Code],$A85,T_TTAFStock[WeekIndex],103)&gt;0)&gt;0,SUMIFS(T_SelfStock[Self_Qty],T_SelfStock[RM_Code],$A85,T_SelfStock[WeekIndex],103)+SUMIFS(T_TTAFStock[TTAF_Qty],T_TTAFStock[RM_Code],$A85,T_TTAFStock[WeekIndex],103),CY85+'Grid_Incoming'!CZ85-'Grid_Requirement'!CZ85))</f>
        <v/>
      </c>
      <c r="DA85">
        <f>IF(COUNTIFS(T_StockCount[RM_Code],$A85,T_StockCount[WeekIndex],104)&gt;0,SUMIFS(T_StockCount[CountedQty],T_StockCount[RM_Code],$A85,T_StockCount[WeekIndex],104),IF((COUNTIFS(T_SelfStock[RM_Code],$A85,T_SelfStock[WeekIndex],104)&gt;0)*(COUNTIFS(T_TTAFStock[RM_Code],$A85,T_TTAFStock[WeekIndex],104)&gt;0)&gt;0,SUMIFS(T_SelfStock[Self_Qty],T_SelfStock[RM_Code],$A85,T_SelfStock[WeekIndex],104)+SUMIFS(T_TTAFStock[TTAF_Qty],T_TTAFStock[RM_Code],$A85,T_TTAFStock[WeekIndex],104),CZ85+'Grid_Incoming'!DA85-'Grid_Requirement'!DA85))</f>
        <v/>
      </c>
    </row>
    <row r="86">
      <c r="A86" t="inlineStr">
        <is>
          <t>TSZ-616</t>
        </is>
      </c>
      <c r="B86">
        <f>IF(COUNTIFS(T_StockCount[RM_Code],$A86,T_StockCount[WeekIndex],1)&gt;0,SUMIFS(T_StockCount[CountedQty],T_StockCount[RM_Code],$A86,T_StockCount[WeekIndex],1),IF((COUNTIFS(T_SelfStock[RM_Code],$A86,T_SelfStock[WeekIndex],1)&gt;0)*(COUNTIFS(T_TTAFStock[RM_Code],$A86,T_TTAFStock[WeekIndex],1)&gt;0)&gt;0,SUMIFS(T_SelfStock[Self_Qty],T_SelfStock[RM_Code],$A86,T_SelfStock[WeekIndex],1)+SUMIFS(T_TTAFStock[TTAF_Qty],T_TTAFStock[RM_Code],$A86,T_TTAFStock[WeekIndex],1),IFERROR(INDEX(T_OpeningStock[Opening_Qty],MATCH($A86,T_OpeningStock[RM_Code],0)),0)+'Grid_Incoming'!B86-'Grid_Requirement'!B86))</f>
        <v/>
      </c>
      <c r="C86">
        <f>IF(COUNTIFS(T_StockCount[RM_Code],$A86,T_StockCount[WeekIndex],2)&gt;0,SUMIFS(T_StockCount[CountedQty],T_StockCount[RM_Code],$A86,T_StockCount[WeekIndex],2),IF((COUNTIFS(T_SelfStock[RM_Code],$A86,T_SelfStock[WeekIndex],2)&gt;0)*(COUNTIFS(T_TTAFStock[RM_Code],$A86,T_TTAFStock[WeekIndex],2)&gt;0)&gt;0,SUMIFS(T_SelfStock[Self_Qty],T_SelfStock[RM_Code],$A86,T_SelfStock[WeekIndex],2)+SUMIFS(T_TTAFStock[TTAF_Qty],T_TTAFStock[RM_Code],$A86,T_TTAFStock[WeekIndex],2),B86+'Grid_Incoming'!C86-'Grid_Requirement'!C86))</f>
        <v/>
      </c>
      <c r="D86">
        <f>IF(COUNTIFS(T_StockCount[RM_Code],$A86,T_StockCount[WeekIndex],3)&gt;0,SUMIFS(T_StockCount[CountedQty],T_StockCount[RM_Code],$A86,T_StockCount[WeekIndex],3),IF((COUNTIFS(T_SelfStock[RM_Code],$A86,T_SelfStock[WeekIndex],3)&gt;0)*(COUNTIFS(T_TTAFStock[RM_Code],$A86,T_TTAFStock[WeekIndex],3)&gt;0)&gt;0,SUMIFS(T_SelfStock[Self_Qty],T_SelfStock[RM_Code],$A86,T_SelfStock[WeekIndex],3)+SUMIFS(T_TTAFStock[TTAF_Qty],T_TTAFStock[RM_Code],$A86,T_TTAFStock[WeekIndex],3),C86+'Grid_Incoming'!D86-'Grid_Requirement'!D86))</f>
        <v/>
      </c>
      <c r="E86">
        <f>IF(COUNTIFS(T_StockCount[RM_Code],$A86,T_StockCount[WeekIndex],4)&gt;0,SUMIFS(T_StockCount[CountedQty],T_StockCount[RM_Code],$A86,T_StockCount[WeekIndex],4),IF((COUNTIFS(T_SelfStock[RM_Code],$A86,T_SelfStock[WeekIndex],4)&gt;0)*(COUNTIFS(T_TTAFStock[RM_Code],$A86,T_TTAFStock[WeekIndex],4)&gt;0)&gt;0,SUMIFS(T_SelfStock[Self_Qty],T_SelfStock[RM_Code],$A86,T_SelfStock[WeekIndex],4)+SUMIFS(T_TTAFStock[TTAF_Qty],T_TTAFStock[RM_Code],$A86,T_TTAFStock[WeekIndex],4),D86+'Grid_Incoming'!E86-'Grid_Requirement'!E86))</f>
        <v/>
      </c>
      <c r="F86">
        <f>IF(COUNTIFS(T_StockCount[RM_Code],$A86,T_StockCount[WeekIndex],5)&gt;0,SUMIFS(T_StockCount[CountedQty],T_StockCount[RM_Code],$A86,T_StockCount[WeekIndex],5),IF((COUNTIFS(T_SelfStock[RM_Code],$A86,T_SelfStock[WeekIndex],5)&gt;0)*(COUNTIFS(T_TTAFStock[RM_Code],$A86,T_TTAFStock[WeekIndex],5)&gt;0)&gt;0,SUMIFS(T_SelfStock[Self_Qty],T_SelfStock[RM_Code],$A86,T_SelfStock[WeekIndex],5)+SUMIFS(T_TTAFStock[TTAF_Qty],T_TTAFStock[RM_Code],$A86,T_TTAFStock[WeekIndex],5),E86+'Grid_Incoming'!F86-'Grid_Requirement'!F86))</f>
        <v/>
      </c>
      <c r="G86">
        <f>IF(COUNTIFS(T_StockCount[RM_Code],$A86,T_StockCount[WeekIndex],6)&gt;0,SUMIFS(T_StockCount[CountedQty],T_StockCount[RM_Code],$A86,T_StockCount[WeekIndex],6),IF((COUNTIFS(T_SelfStock[RM_Code],$A86,T_SelfStock[WeekIndex],6)&gt;0)*(COUNTIFS(T_TTAFStock[RM_Code],$A86,T_TTAFStock[WeekIndex],6)&gt;0)&gt;0,SUMIFS(T_SelfStock[Self_Qty],T_SelfStock[RM_Code],$A86,T_SelfStock[WeekIndex],6)+SUMIFS(T_TTAFStock[TTAF_Qty],T_TTAFStock[RM_Code],$A86,T_TTAFStock[WeekIndex],6),F86+'Grid_Incoming'!G86-'Grid_Requirement'!G86))</f>
        <v/>
      </c>
      <c r="H86">
        <f>IF(COUNTIFS(T_StockCount[RM_Code],$A86,T_StockCount[WeekIndex],7)&gt;0,SUMIFS(T_StockCount[CountedQty],T_StockCount[RM_Code],$A86,T_StockCount[WeekIndex],7),IF((COUNTIFS(T_SelfStock[RM_Code],$A86,T_SelfStock[WeekIndex],7)&gt;0)*(COUNTIFS(T_TTAFStock[RM_Code],$A86,T_TTAFStock[WeekIndex],7)&gt;0)&gt;0,SUMIFS(T_SelfStock[Self_Qty],T_SelfStock[RM_Code],$A86,T_SelfStock[WeekIndex],7)+SUMIFS(T_TTAFStock[TTAF_Qty],T_TTAFStock[RM_Code],$A86,T_TTAFStock[WeekIndex],7),G86+'Grid_Incoming'!H86-'Grid_Requirement'!H86))</f>
        <v/>
      </c>
      <c r="I86">
        <f>IF(COUNTIFS(T_StockCount[RM_Code],$A86,T_StockCount[WeekIndex],8)&gt;0,SUMIFS(T_StockCount[CountedQty],T_StockCount[RM_Code],$A86,T_StockCount[WeekIndex],8),IF((COUNTIFS(T_SelfStock[RM_Code],$A86,T_SelfStock[WeekIndex],8)&gt;0)*(COUNTIFS(T_TTAFStock[RM_Code],$A86,T_TTAFStock[WeekIndex],8)&gt;0)&gt;0,SUMIFS(T_SelfStock[Self_Qty],T_SelfStock[RM_Code],$A86,T_SelfStock[WeekIndex],8)+SUMIFS(T_TTAFStock[TTAF_Qty],T_TTAFStock[RM_Code],$A86,T_TTAFStock[WeekIndex],8),H86+'Grid_Incoming'!I86-'Grid_Requirement'!I86))</f>
        <v/>
      </c>
      <c r="J86">
        <f>IF(COUNTIFS(T_StockCount[RM_Code],$A86,T_StockCount[WeekIndex],9)&gt;0,SUMIFS(T_StockCount[CountedQty],T_StockCount[RM_Code],$A86,T_StockCount[WeekIndex],9),IF((COUNTIFS(T_SelfStock[RM_Code],$A86,T_SelfStock[WeekIndex],9)&gt;0)*(COUNTIFS(T_TTAFStock[RM_Code],$A86,T_TTAFStock[WeekIndex],9)&gt;0)&gt;0,SUMIFS(T_SelfStock[Self_Qty],T_SelfStock[RM_Code],$A86,T_SelfStock[WeekIndex],9)+SUMIFS(T_TTAFStock[TTAF_Qty],T_TTAFStock[RM_Code],$A86,T_TTAFStock[WeekIndex],9),I86+'Grid_Incoming'!J86-'Grid_Requirement'!J86))</f>
        <v/>
      </c>
      <c r="K86">
        <f>IF(COUNTIFS(T_StockCount[RM_Code],$A86,T_StockCount[WeekIndex],10)&gt;0,SUMIFS(T_StockCount[CountedQty],T_StockCount[RM_Code],$A86,T_StockCount[WeekIndex],10),IF((COUNTIFS(T_SelfStock[RM_Code],$A86,T_SelfStock[WeekIndex],10)&gt;0)*(COUNTIFS(T_TTAFStock[RM_Code],$A86,T_TTAFStock[WeekIndex],10)&gt;0)&gt;0,SUMIFS(T_SelfStock[Self_Qty],T_SelfStock[RM_Code],$A86,T_SelfStock[WeekIndex],10)+SUMIFS(T_TTAFStock[TTAF_Qty],T_TTAFStock[RM_Code],$A86,T_TTAFStock[WeekIndex],10),J86+'Grid_Incoming'!K86-'Grid_Requirement'!K86))</f>
        <v/>
      </c>
      <c r="L86">
        <f>IF(COUNTIFS(T_StockCount[RM_Code],$A86,T_StockCount[WeekIndex],11)&gt;0,SUMIFS(T_StockCount[CountedQty],T_StockCount[RM_Code],$A86,T_StockCount[WeekIndex],11),IF((COUNTIFS(T_SelfStock[RM_Code],$A86,T_SelfStock[WeekIndex],11)&gt;0)*(COUNTIFS(T_TTAFStock[RM_Code],$A86,T_TTAFStock[WeekIndex],11)&gt;0)&gt;0,SUMIFS(T_SelfStock[Self_Qty],T_SelfStock[RM_Code],$A86,T_SelfStock[WeekIndex],11)+SUMIFS(T_TTAFStock[TTAF_Qty],T_TTAFStock[RM_Code],$A86,T_TTAFStock[WeekIndex],11),K86+'Grid_Incoming'!L86-'Grid_Requirement'!L86))</f>
        <v/>
      </c>
      <c r="M86">
        <f>IF(COUNTIFS(T_StockCount[RM_Code],$A86,T_StockCount[WeekIndex],12)&gt;0,SUMIFS(T_StockCount[CountedQty],T_StockCount[RM_Code],$A86,T_StockCount[WeekIndex],12),IF((COUNTIFS(T_SelfStock[RM_Code],$A86,T_SelfStock[WeekIndex],12)&gt;0)*(COUNTIFS(T_TTAFStock[RM_Code],$A86,T_TTAFStock[WeekIndex],12)&gt;0)&gt;0,SUMIFS(T_SelfStock[Self_Qty],T_SelfStock[RM_Code],$A86,T_SelfStock[WeekIndex],12)+SUMIFS(T_TTAFStock[TTAF_Qty],T_TTAFStock[RM_Code],$A86,T_TTAFStock[WeekIndex],12),L86+'Grid_Incoming'!M86-'Grid_Requirement'!M86))</f>
        <v/>
      </c>
      <c r="N86">
        <f>IF(COUNTIFS(T_StockCount[RM_Code],$A86,T_StockCount[WeekIndex],13)&gt;0,SUMIFS(T_StockCount[CountedQty],T_StockCount[RM_Code],$A86,T_StockCount[WeekIndex],13),IF((COUNTIFS(T_SelfStock[RM_Code],$A86,T_SelfStock[WeekIndex],13)&gt;0)*(COUNTIFS(T_TTAFStock[RM_Code],$A86,T_TTAFStock[WeekIndex],13)&gt;0)&gt;0,SUMIFS(T_SelfStock[Self_Qty],T_SelfStock[RM_Code],$A86,T_SelfStock[WeekIndex],13)+SUMIFS(T_TTAFStock[TTAF_Qty],T_TTAFStock[RM_Code],$A86,T_TTAFStock[WeekIndex],13),M86+'Grid_Incoming'!N86-'Grid_Requirement'!N86))</f>
        <v/>
      </c>
      <c r="O86">
        <f>IF(COUNTIFS(T_StockCount[RM_Code],$A86,T_StockCount[WeekIndex],14)&gt;0,SUMIFS(T_StockCount[CountedQty],T_StockCount[RM_Code],$A86,T_StockCount[WeekIndex],14),IF((COUNTIFS(T_SelfStock[RM_Code],$A86,T_SelfStock[WeekIndex],14)&gt;0)*(COUNTIFS(T_TTAFStock[RM_Code],$A86,T_TTAFStock[WeekIndex],14)&gt;0)&gt;0,SUMIFS(T_SelfStock[Self_Qty],T_SelfStock[RM_Code],$A86,T_SelfStock[WeekIndex],14)+SUMIFS(T_TTAFStock[TTAF_Qty],T_TTAFStock[RM_Code],$A86,T_TTAFStock[WeekIndex],14),N86+'Grid_Incoming'!O86-'Grid_Requirement'!O86))</f>
        <v/>
      </c>
      <c r="P86">
        <f>IF(COUNTIFS(T_StockCount[RM_Code],$A86,T_StockCount[WeekIndex],15)&gt;0,SUMIFS(T_StockCount[CountedQty],T_StockCount[RM_Code],$A86,T_StockCount[WeekIndex],15),IF((COUNTIFS(T_SelfStock[RM_Code],$A86,T_SelfStock[WeekIndex],15)&gt;0)*(COUNTIFS(T_TTAFStock[RM_Code],$A86,T_TTAFStock[WeekIndex],15)&gt;0)&gt;0,SUMIFS(T_SelfStock[Self_Qty],T_SelfStock[RM_Code],$A86,T_SelfStock[WeekIndex],15)+SUMIFS(T_TTAFStock[TTAF_Qty],T_TTAFStock[RM_Code],$A86,T_TTAFStock[WeekIndex],15),O86+'Grid_Incoming'!P86-'Grid_Requirement'!P86))</f>
        <v/>
      </c>
      <c r="Q86">
        <f>IF(COUNTIFS(T_StockCount[RM_Code],$A86,T_StockCount[WeekIndex],16)&gt;0,SUMIFS(T_StockCount[CountedQty],T_StockCount[RM_Code],$A86,T_StockCount[WeekIndex],16),IF((COUNTIFS(T_SelfStock[RM_Code],$A86,T_SelfStock[WeekIndex],16)&gt;0)*(COUNTIFS(T_TTAFStock[RM_Code],$A86,T_TTAFStock[WeekIndex],16)&gt;0)&gt;0,SUMIFS(T_SelfStock[Self_Qty],T_SelfStock[RM_Code],$A86,T_SelfStock[WeekIndex],16)+SUMIFS(T_TTAFStock[TTAF_Qty],T_TTAFStock[RM_Code],$A86,T_TTAFStock[WeekIndex],16),P86+'Grid_Incoming'!Q86-'Grid_Requirement'!Q86))</f>
        <v/>
      </c>
      <c r="R86">
        <f>IF(COUNTIFS(T_StockCount[RM_Code],$A86,T_StockCount[WeekIndex],17)&gt;0,SUMIFS(T_StockCount[CountedQty],T_StockCount[RM_Code],$A86,T_StockCount[WeekIndex],17),IF((COUNTIFS(T_SelfStock[RM_Code],$A86,T_SelfStock[WeekIndex],17)&gt;0)*(COUNTIFS(T_TTAFStock[RM_Code],$A86,T_TTAFStock[WeekIndex],17)&gt;0)&gt;0,SUMIFS(T_SelfStock[Self_Qty],T_SelfStock[RM_Code],$A86,T_SelfStock[WeekIndex],17)+SUMIFS(T_TTAFStock[TTAF_Qty],T_TTAFStock[RM_Code],$A86,T_TTAFStock[WeekIndex],17),Q86+'Grid_Incoming'!R86-'Grid_Requirement'!R86))</f>
        <v/>
      </c>
      <c r="S86">
        <f>IF(COUNTIFS(T_StockCount[RM_Code],$A86,T_StockCount[WeekIndex],18)&gt;0,SUMIFS(T_StockCount[CountedQty],T_StockCount[RM_Code],$A86,T_StockCount[WeekIndex],18),IF((COUNTIFS(T_SelfStock[RM_Code],$A86,T_SelfStock[WeekIndex],18)&gt;0)*(COUNTIFS(T_TTAFStock[RM_Code],$A86,T_TTAFStock[WeekIndex],18)&gt;0)&gt;0,SUMIFS(T_SelfStock[Self_Qty],T_SelfStock[RM_Code],$A86,T_SelfStock[WeekIndex],18)+SUMIFS(T_TTAFStock[TTAF_Qty],T_TTAFStock[RM_Code],$A86,T_TTAFStock[WeekIndex],18),R86+'Grid_Incoming'!S86-'Grid_Requirement'!S86))</f>
        <v/>
      </c>
      <c r="T86">
        <f>IF(COUNTIFS(T_StockCount[RM_Code],$A86,T_StockCount[WeekIndex],19)&gt;0,SUMIFS(T_StockCount[CountedQty],T_StockCount[RM_Code],$A86,T_StockCount[WeekIndex],19),IF((COUNTIFS(T_SelfStock[RM_Code],$A86,T_SelfStock[WeekIndex],19)&gt;0)*(COUNTIFS(T_TTAFStock[RM_Code],$A86,T_TTAFStock[WeekIndex],19)&gt;0)&gt;0,SUMIFS(T_SelfStock[Self_Qty],T_SelfStock[RM_Code],$A86,T_SelfStock[WeekIndex],19)+SUMIFS(T_TTAFStock[TTAF_Qty],T_TTAFStock[RM_Code],$A86,T_TTAFStock[WeekIndex],19),S86+'Grid_Incoming'!T86-'Grid_Requirement'!T86))</f>
        <v/>
      </c>
      <c r="U86">
        <f>IF(COUNTIFS(T_StockCount[RM_Code],$A86,T_StockCount[WeekIndex],20)&gt;0,SUMIFS(T_StockCount[CountedQty],T_StockCount[RM_Code],$A86,T_StockCount[WeekIndex],20),IF((COUNTIFS(T_SelfStock[RM_Code],$A86,T_SelfStock[WeekIndex],20)&gt;0)*(COUNTIFS(T_TTAFStock[RM_Code],$A86,T_TTAFStock[WeekIndex],20)&gt;0)&gt;0,SUMIFS(T_SelfStock[Self_Qty],T_SelfStock[RM_Code],$A86,T_SelfStock[WeekIndex],20)+SUMIFS(T_TTAFStock[TTAF_Qty],T_TTAFStock[RM_Code],$A86,T_TTAFStock[WeekIndex],20),T86+'Grid_Incoming'!U86-'Grid_Requirement'!U86))</f>
        <v/>
      </c>
      <c r="V86">
        <f>IF(COUNTIFS(T_StockCount[RM_Code],$A86,T_StockCount[WeekIndex],21)&gt;0,SUMIFS(T_StockCount[CountedQty],T_StockCount[RM_Code],$A86,T_StockCount[WeekIndex],21),IF((COUNTIFS(T_SelfStock[RM_Code],$A86,T_SelfStock[WeekIndex],21)&gt;0)*(COUNTIFS(T_TTAFStock[RM_Code],$A86,T_TTAFStock[WeekIndex],21)&gt;0)&gt;0,SUMIFS(T_SelfStock[Self_Qty],T_SelfStock[RM_Code],$A86,T_SelfStock[WeekIndex],21)+SUMIFS(T_TTAFStock[TTAF_Qty],T_TTAFStock[RM_Code],$A86,T_TTAFStock[WeekIndex],21),U86+'Grid_Incoming'!V86-'Grid_Requirement'!V86))</f>
        <v/>
      </c>
      <c r="W86">
        <f>IF(COUNTIFS(T_StockCount[RM_Code],$A86,T_StockCount[WeekIndex],22)&gt;0,SUMIFS(T_StockCount[CountedQty],T_StockCount[RM_Code],$A86,T_StockCount[WeekIndex],22),IF((COUNTIFS(T_SelfStock[RM_Code],$A86,T_SelfStock[WeekIndex],22)&gt;0)*(COUNTIFS(T_TTAFStock[RM_Code],$A86,T_TTAFStock[WeekIndex],22)&gt;0)&gt;0,SUMIFS(T_SelfStock[Self_Qty],T_SelfStock[RM_Code],$A86,T_SelfStock[WeekIndex],22)+SUMIFS(T_TTAFStock[TTAF_Qty],T_TTAFStock[RM_Code],$A86,T_TTAFStock[WeekIndex],22),V86+'Grid_Incoming'!W86-'Grid_Requirement'!W86))</f>
        <v/>
      </c>
      <c r="X86">
        <f>IF(COUNTIFS(T_StockCount[RM_Code],$A86,T_StockCount[WeekIndex],23)&gt;0,SUMIFS(T_StockCount[CountedQty],T_StockCount[RM_Code],$A86,T_StockCount[WeekIndex],23),IF((COUNTIFS(T_SelfStock[RM_Code],$A86,T_SelfStock[WeekIndex],23)&gt;0)*(COUNTIFS(T_TTAFStock[RM_Code],$A86,T_TTAFStock[WeekIndex],23)&gt;0)&gt;0,SUMIFS(T_SelfStock[Self_Qty],T_SelfStock[RM_Code],$A86,T_SelfStock[WeekIndex],23)+SUMIFS(T_TTAFStock[TTAF_Qty],T_TTAFStock[RM_Code],$A86,T_TTAFStock[WeekIndex],23),W86+'Grid_Incoming'!X86-'Grid_Requirement'!X86))</f>
        <v/>
      </c>
      <c r="Y86">
        <f>IF(COUNTIFS(T_StockCount[RM_Code],$A86,T_StockCount[WeekIndex],24)&gt;0,SUMIFS(T_StockCount[CountedQty],T_StockCount[RM_Code],$A86,T_StockCount[WeekIndex],24),IF((COUNTIFS(T_SelfStock[RM_Code],$A86,T_SelfStock[WeekIndex],24)&gt;0)*(COUNTIFS(T_TTAFStock[RM_Code],$A86,T_TTAFStock[WeekIndex],24)&gt;0)&gt;0,SUMIFS(T_SelfStock[Self_Qty],T_SelfStock[RM_Code],$A86,T_SelfStock[WeekIndex],24)+SUMIFS(T_TTAFStock[TTAF_Qty],T_TTAFStock[RM_Code],$A86,T_TTAFStock[WeekIndex],24),X86+'Grid_Incoming'!Y86-'Grid_Requirement'!Y86))</f>
        <v/>
      </c>
      <c r="Z86">
        <f>IF(COUNTIFS(T_StockCount[RM_Code],$A86,T_StockCount[WeekIndex],25)&gt;0,SUMIFS(T_StockCount[CountedQty],T_StockCount[RM_Code],$A86,T_StockCount[WeekIndex],25),IF((COUNTIFS(T_SelfStock[RM_Code],$A86,T_SelfStock[WeekIndex],25)&gt;0)*(COUNTIFS(T_TTAFStock[RM_Code],$A86,T_TTAFStock[WeekIndex],25)&gt;0)&gt;0,SUMIFS(T_SelfStock[Self_Qty],T_SelfStock[RM_Code],$A86,T_SelfStock[WeekIndex],25)+SUMIFS(T_TTAFStock[TTAF_Qty],T_TTAFStock[RM_Code],$A86,T_TTAFStock[WeekIndex],25),Y86+'Grid_Incoming'!Z86-'Grid_Requirement'!Z86))</f>
        <v/>
      </c>
      <c r="AA86">
        <f>IF(COUNTIFS(T_StockCount[RM_Code],$A86,T_StockCount[WeekIndex],26)&gt;0,SUMIFS(T_StockCount[CountedQty],T_StockCount[RM_Code],$A86,T_StockCount[WeekIndex],26),IF((COUNTIFS(T_SelfStock[RM_Code],$A86,T_SelfStock[WeekIndex],26)&gt;0)*(COUNTIFS(T_TTAFStock[RM_Code],$A86,T_TTAFStock[WeekIndex],26)&gt;0)&gt;0,SUMIFS(T_SelfStock[Self_Qty],T_SelfStock[RM_Code],$A86,T_SelfStock[WeekIndex],26)+SUMIFS(T_TTAFStock[TTAF_Qty],T_TTAFStock[RM_Code],$A86,T_TTAFStock[WeekIndex],26),Z86+'Grid_Incoming'!AA86-'Grid_Requirement'!AA86))</f>
        <v/>
      </c>
      <c r="AB86">
        <f>IF(COUNTIFS(T_StockCount[RM_Code],$A86,T_StockCount[WeekIndex],27)&gt;0,SUMIFS(T_StockCount[CountedQty],T_StockCount[RM_Code],$A86,T_StockCount[WeekIndex],27),IF((COUNTIFS(T_SelfStock[RM_Code],$A86,T_SelfStock[WeekIndex],27)&gt;0)*(COUNTIFS(T_TTAFStock[RM_Code],$A86,T_TTAFStock[WeekIndex],27)&gt;0)&gt;0,SUMIFS(T_SelfStock[Self_Qty],T_SelfStock[RM_Code],$A86,T_SelfStock[WeekIndex],27)+SUMIFS(T_TTAFStock[TTAF_Qty],T_TTAFStock[RM_Code],$A86,T_TTAFStock[WeekIndex],27),AA86+'Grid_Incoming'!AB86-'Grid_Requirement'!AB86))</f>
        <v/>
      </c>
      <c r="AC86">
        <f>IF(COUNTIFS(T_StockCount[RM_Code],$A86,T_StockCount[WeekIndex],28)&gt;0,SUMIFS(T_StockCount[CountedQty],T_StockCount[RM_Code],$A86,T_StockCount[WeekIndex],28),IF((COUNTIFS(T_SelfStock[RM_Code],$A86,T_SelfStock[WeekIndex],28)&gt;0)*(COUNTIFS(T_TTAFStock[RM_Code],$A86,T_TTAFStock[WeekIndex],28)&gt;0)&gt;0,SUMIFS(T_SelfStock[Self_Qty],T_SelfStock[RM_Code],$A86,T_SelfStock[WeekIndex],28)+SUMIFS(T_TTAFStock[TTAF_Qty],T_TTAFStock[RM_Code],$A86,T_TTAFStock[WeekIndex],28),AB86+'Grid_Incoming'!AC86-'Grid_Requirement'!AC86))</f>
        <v/>
      </c>
      <c r="AD86">
        <f>IF(COUNTIFS(T_StockCount[RM_Code],$A86,T_StockCount[WeekIndex],29)&gt;0,SUMIFS(T_StockCount[CountedQty],T_StockCount[RM_Code],$A86,T_StockCount[WeekIndex],29),IF((COUNTIFS(T_SelfStock[RM_Code],$A86,T_SelfStock[WeekIndex],29)&gt;0)*(COUNTIFS(T_TTAFStock[RM_Code],$A86,T_TTAFStock[WeekIndex],29)&gt;0)&gt;0,SUMIFS(T_SelfStock[Self_Qty],T_SelfStock[RM_Code],$A86,T_SelfStock[WeekIndex],29)+SUMIFS(T_TTAFStock[TTAF_Qty],T_TTAFStock[RM_Code],$A86,T_TTAFStock[WeekIndex],29),AC86+'Grid_Incoming'!AD86-'Grid_Requirement'!AD86))</f>
        <v/>
      </c>
      <c r="AE86">
        <f>IF(COUNTIFS(T_StockCount[RM_Code],$A86,T_StockCount[WeekIndex],30)&gt;0,SUMIFS(T_StockCount[CountedQty],T_StockCount[RM_Code],$A86,T_StockCount[WeekIndex],30),IF((COUNTIFS(T_SelfStock[RM_Code],$A86,T_SelfStock[WeekIndex],30)&gt;0)*(COUNTIFS(T_TTAFStock[RM_Code],$A86,T_TTAFStock[WeekIndex],30)&gt;0)&gt;0,SUMIFS(T_SelfStock[Self_Qty],T_SelfStock[RM_Code],$A86,T_SelfStock[WeekIndex],30)+SUMIFS(T_TTAFStock[TTAF_Qty],T_TTAFStock[RM_Code],$A86,T_TTAFStock[WeekIndex],30),AD86+'Grid_Incoming'!AE86-'Grid_Requirement'!AE86))</f>
        <v/>
      </c>
      <c r="AF86">
        <f>IF(COUNTIFS(T_StockCount[RM_Code],$A86,T_StockCount[WeekIndex],31)&gt;0,SUMIFS(T_StockCount[CountedQty],T_StockCount[RM_Code],$A86,T_StockCount[WeekIndex],31),IF((COUNTIFS(T_SelfStock[RM_Code],$A86,T_SelfStock[WeekIndex],31)&gt;0)*(COUNTIFS(T_TTAFStock[RM_Code],$A86,T_TTAFStock[WeekIndex],31)&gt;0)&gt;0,SUMIFS(T_SelfStock[Self_Qty],T_SelfStock[RM_Code],$A86,T_SelfStock[WeekIndex],31)+SUMIFS(T_TTAFStock[TTAF_Qty],T_TTAFStock[RM_Code],$A86,T_TTAFStock[WeekIndex],31),AE86+'Grid_Incoming'!AF86-'Grid_Requirement'!AF86))</f>
        <v/>
      </c>
      <c r="AG86">
        <f>IF(COUNTIFS(T_StockCount[RM_Code],$A86,T_StockCount[WeekIndex],32)&gt;0,SUMIFS(T_StockCount[CountedQty],T_StockCount[RM_Code],$A86,T_StockCount[WeekIndex],32),IF((COUNTIFS(T_SelfStock[RM_Code],$A86,T_SelfStock[WeekIndex],32)&gt;0)*(COUNTIFS(T_TTAFStock[RM_Code],$A86,T_TTAFStock[WeekIndex],32)&gt;0)&gt;0,SUMIFS(T_SelfStock[Self_Qty],T_SelfStock[RM_Code],$A86,T_SelfStock[WeekIndex],32)+SUMIFS(T_TTAFStock[TTAF_Qty],T_TTAFStock[RM_Code],$A86,T_TTAFStock[WeekIndex],32),AF86+'Grid_Incoming'!AG86-'Grid_Requirement'!AG86))</f>
        <v/>
      </c>
      <c r="AH86">
        <f>IF(COUNTIFS(T_StockCount[RM_Code],$A86,T_StockCount[WeekIndex],33)&gt;0,SUMIFS(T_StockCount[CountedQty],T_StockCount[RM_Code],$A86,T_StockCount[WeekIndex],33),IF((COUNTIFS(T_SelfStock[RM_Code],$A86,T_SelfStock[WeekIndex],33)&gt;0)*(COUNTIFS(T_TTAFStock[RM_Code],$A86,T_TTAFStock[WeekIndex],33)&gt;0)&gt;0,SUMIFS(T_SelfStock[Self_Qty],T_SelfStock[RM_Code],$A86,T_SelfStock[WeekIndex],33)+SUMIFS(T_TTAFStock[TTAF_Qty],T_TTAFStock[RM_Code],$A86,T_TTAFStock[WeekIndex],33),AG86+'Grid_Incoming'!AH86-'Grid_Requirement'!AH86))</f>
        <v/>
      </c>
      <c r="AI86">
        <f>IF(COUNTIFS(T_StockCount[RM_Code],$A86,T_StockCount[WeekIndex],34)&gt;0,SUMIFS(T_StockCount[CountedQty],T_StockCount[RM_Code],$A86,T_StockCount[WeekIndex],34),IF((COUNTIFS(T_SelfStock[RM_Code],$A86,T_SelfStock[WeekIndex],34)&gt;0)*(COUNTIFS(T_TTAFStock[RM_Code],$A86,T_TTAFStock[WeekIndex],34)&gt;0)&gt;0,SUMIFS(T_SelfStock[Self_Qty],T_SelfStock[RM_Code],$A86,T_SelfStock[WeekIndex],34)+SUMIFS(T_TTAFStock[TTAF_Qty],T_TTAFStock[RM_Code],$A86,T_TTAFStock[WeekIndex],34),AH86+'Grid_Incoming'!AI86-'Grid_Requirement'!AI86))</f>
        <v/>
      </c>
      <c r="AJ86">
        <f>IF(COUNTIFS(T_StockCount[RM_Code],$A86,T_StockCount[WeekIndex],35)&gt;0,SUMIFS(T_StockCount[CountedQty],T_StockCount[RM_Code],$A86,T_StockCount[WeekIndex],35),IF((COUNTIFS(T_SelfStock[RM_Code],$A86,T_SelfStock[WeekIndex],35)&gt;0)*(COUNTIFS(T_TTAFStock[RM_Code],$A86,T_TTAFStock[WeekIndex],35)&gt;0)&gt;0,SUMIFS(T_SelfStock[Self_Qty],T_SelfStock[RM_Code],$A86,T_SelfStock[WeekIndex],35)+SUMIFS(T_TTAFStock[TTAF_Qty],T_TTAFStock[RM_Code],$A86,T_TTAFStock[WeekIndex],35),AI86+'Grid_Incoming'!AJ86-'Grid_Requirement'!AJ86))</f>
        <v/>
      </c>
      <c r="AK86">
        <f>IF(COUNTIFS(T_StockCount[RM_Code],$A86,T_StockCount[WeekIndex],36)&gt;0,SUMIFS(T_StockCount[CountedQty],T_StockCount[RM_Code],$A86,T_StockCount[WeekIndex],36),IF((COUNTIFS(T_SelfStock[RM_Code],$A86,T_SelfStock[WeekIndex],36)&gt;0)*(COUNTIFS(T_TTAFStock[RM_Code],$A86,T_TTAFStock[WeekIndex],36)&gt;0)&gt;0,SUMIFS(T_SelfStock[Self_Qty],T_SelfStock[RM_Code],$A86,T_SelfStock[WeekIndex],36)+SUMIFS(T_TTAFStock[TTAF_Qty],T_TTAFStock[RM_Code],$A86,T_TTAFStock[WeekIndex],36),AJ86+'Grid_Incoming'!AK86-'Grid_Requirement'!AK86))</f>
        <v/>
      </c>
      <c r="AL86">
        <f>IF(COUNTIFS(T_StockCount[RM_Code],$A86,T_StockCount[WeekIndex],37)&gt;0,SUMIFS(T_StockCount[CountedQty],T_StockCount[RM_Code],$A86,T_StockCount[WeekIndex],37),IF((COUNTIFS(T_SelfStock[RM_Code],$A86,T_SelfStock[WeekIndex],37)&gt;0)*(COUNTIFS(T_TTAFStock[RM_Code],$A86,T_TTAFStock[WeekIndex],37)&gt;0)&gt;0,SUMIFS(T_SelfStock[Self_Qty],T_SelfStock[RM_Code],$A86,T_SelfStock[WeekIndex],37)+SUMIFS(T_TTAFStock[TTAF_Qty],T_TTAFStock[RM_Code],$A86,T_TTAFStock[WeekIndex],37),AK86+'Grid_Incoming'!AL86-'Grid_Requirement'!AL86))</f>
        <v/>
      </c>
      <c r="AM86">
        <f>IF(COUNTIFS(T_StockCount[RM_Code],$A86,T_StockCount[WeekIndex],38)&gt;0,SUMIFS(T_StockCount[CountedQty],T_StockCount[RM_Code],$A86,T_StockCount[WeekIndex],38),IF((COUNTIFS(T_SelfStock[RM_Code],$A86,T_SelfStock[WeekIndex],38)&gt;0)*(COUNTIFS(T_TTAFStock[RM_Code],$A86,T_TTAFStock[WeekIndex],38)&gt;0)&gt;0,SUMIFS(T_SelfStock[Self_Qty],T_SelfStock[RM_Code],$A86,T_SelfStock[WeekIndex],38)+SUMIFS(T_TTAFStock[TTAF_Qty],T_TTAFStock[RM_Code],$A86,T_TTAFStock[WeekIndex],38),AL86+'Grid_Incoming'!AM86-'Grid_Requirement'!AM86))</f>
        <v/>
      </c>
      <c r="AN86">
        <f>IF(COUNTIFS(T_StockCount[RM_Code],$A86,T_StockCount[WeekIndex],39)&gt;0,SUMIFS(T_StockCount[CountedQty],T_StockCount[RM_Code],$A86,T_StockCount[WeekIndex],39),IF((COUNTIFS(T_SelfStock[RM_Code],$A86,T_SelfStock[WeekIndex],39)&gt;0)*(COUNTIFS(T_TTAFStock[RM_Code],$A86,T_TTAFStock[WeekIndex],39)&gt;0)&gt;0,SUMIFS(T_SelfStock[Self_Qty],T_SelfStock[RM_Code],$A86,T_SelfStock[WeekIndex],39)+SUMIFS(T_TTAFStock[TTAF_Qty],T_TTAFStock[RM_Code],$A86,T_TTAFStock[WeekIndex],39),AM86+'Grid_Incoming'!AN86-'Grid_Requirement'!AN86))</f>
        <v/>
      </c>
      <c r="AO86">
        <f>IF(COUNTIFS(T_StockCount[RM_Code],$A86,T_StockCount[WeekIndex],40)&gt;0,SUMIFS(T_StockCount[CountedQty],T_StockCount[RM_Code],$A86,T_StockCount[WeekIndex],40),IF((COUNTIFS(T_SelfStock[RM_Code],$A86,T_SelfStock[WeekIndex],40)&gt;0)*(COUNTIFS(T_TTAFStock[RM_Code],$A86,T_TTAFStock[WeekIndex],40)&gt;0)&gt;0,SUMIFS(T_SelfStock[Self_Qty],T_SelfStock[RM_Code],$A86,T_SelfStock[WeekIndex],40)+SUMIFS(T_TTAFStock[TTAF_Qty],T_TTAFStock[RM_Code],$A86,T_TTAFStock[WeekIndex],40),AN86+'Grid_Incoming'!AO86-'Grid_Requirement'!AO86))</f>
        <v/>
      </c>
      <c r="AP86">
        <f>IF(COUNTIFS(T_StockCount[RM_Code],$A86,T_StockCount[WeekIndex],41)&gt;0,SUMIFS(T_StockCount[CountedQty],T_StockCount[RM_Code],$A86,T_StockCount[WeekIndex],41),IF((COUNTIFS(T_SelfStock[RM_Code],$A86,T_SelfStock[WeekIndex],41)&gt;0)*(COUNTIFS(T_TTAFStock[RM_Code],$A86,T_TTAFStock[WeekIndex],41)&gt;0)&gt;0,SUMIFS(T_SelfStock[Self_Qty],T_SelfStock[RM_Code],$A86,T_SelfStock[WeekIndex],41)+SUMIFS(T_TTAFStock[TTAF_Qty],T_TTAFStock[RM_Code],$A86,T_TTAFStock[WeekIndex],41),AO86+'Grid_Incoming'!AP86-'Grid_Requirement'!AP86))</f>
        <v/>
      </c>
      <c r="AQ86">
        <f>IF(COUNTIFS(T_StockCount[RM_Code],$A86,T_StockCount[WeekIndex],42)&gt;0,SUMIFS(T_StockCount[CountedQty],T_StockCount[RM_Code],$A86,T_StockCount[WeekIndex],42),IF((COUNTIFS(T_SelfStock[RM_Code],$A86,T_SelfStock[WeekIndex],42)&gt;0)*(COUNTIFS(T_TTAFStock[RM_Code],$A86,T_TTAFStock[WeekIndex],42)&gt;0)&gt;0,SUMIFS(T_SelfStock[Self_Qty],T_SelfStock[RM_Code],$A86,T_SelfStock[WeekIndex],42)+SUMIFS(T_TTAFStock[TTAF_Qty],T_TTAFStock[RM_Code],$A86,T_TTAFStock[WeekIndex],42),AP86+'Grid_Incoming'!AQ86-'Grid_Requirement'!AQ86))</f>
        <v/>
      </c>
      <c r="AR86">
        <f>IF(COUNTIFS(T_StockCount[RM_Code],$A86,T_StockCount[WeekIndex],43)&gt;0,SUMIFS(T_StockCount[CountedQty],T_StockCount[RM_Code],$A86,T_StockCount[WeekIndex],43),IF((COUNTIFS(T_SelfStock[RM_Code],$A86,T_SelfStock[WeekIndex],43)&gt;0)*(COUNTIFS(T_TTAFStock[RM_Code],$A86,T_TTAFStock[WeekIndex],43)&gt;0)&gt;0,SUMIFS(T_SelfStock[Self_Qty],T_SelfStock[RM_Code],$A86,T_SelfStock[WeekIndex],43)+SUMIFS(T_TTAFStock[TTAF_Qty],T_TTAFStock[RM_Code],$A86,T_TTAFStock[WeekIndex],43),AQ86+'Grid_Incoming'!AR86-'Grid_Requirement'!AR86))</f>
        <v/>
      </c>
      <c r="AS86">
        <f>IF(COUNTIFS(T_StockCount[RM_Code],$A86,T_StockCount[WeekIndex],44)&gt;0,SUMIFS(T_StockCount[CountedQty],T_StockCount[RM_Code],$A86,T_StockCount[WeekIndex],44),IF((COUNTIFS(T_SelfStock[RM_Code],$A86,T_SelfStock[WeekIndex],44)&gt;0)*(COUNTIFS(T_TTAFStock[RM_Code],$A86,T_TTAFStock[WeekIndex],44)&gt;0)&gt;0,SUMIFS(T_SelfStock[Self_Qty],T_SelfStock[RM_Code],$A86,T_SelfStock[WeekIndex],44)+SUMIFS(T_TTAFStock[TTAF_Qty],T_TTAFStock[RM_Code],$A86,T_TTAFStock[WeekIndex],44),AR86+'Grid_Incoming'!AS86-'Grid_Requirement'!AS86))</f>
        <v/>
      </c>
      <c r="AT86">
        <f>IF(COUNTIFS(T_StockCount[RM_Code],$A86,T_StockCount[WeekIndex],45)&gt;0,SUMIFS(T_StockCount[CountedQty],T_StockCount[RM_Code],$A86,T_StockCount[WeekIndex],45),IF((COUNTIFS(T_SelfStock[RM_Code],$A86,T_SelfStock[WeekIndex],45)&gt;0)*(COUNTIFS(T_TTAFStock[RM_Code],$A86,T_TTAFStock[WeekIndex],45)&gt;0)&gt;0,SUMIFS(T_SelfStock[Self_Qty],T_SelfStock[RM_Code],$A86,T_SelfStock[WeekIndex],45)+SUMIFS(T_TTAFStock[TTAF_Qty],T_TTAFStock[RM_Code],$A86,T_TTAFStock[WeekIndex],45),AS86+'Grid_Incoming'!AT86-'Grid_Requirement'!AT86))</f>
        <v/>
      </c>
      <c r="AU86">
        <f>IF(COUNTIFS(T_StockCount[RM_Code],$A86,T_StockCount[WeekIndex],46)&gt;0,SUMIFS(T_StockCount[CountedQty],T_StockCount[RM_Code],$A86,T_StockCount[WeekIndex],46),IF((COUNTIFS(T_SelfStock[RM_Code],$A86,T_SelfStock[WeekIndex],46)&gt;0)*(COUNTIFS(T_TTAFStock[RM_Code],$A86,T_TTAFStock[WeekIndex],46)&gt;0)&gt;0,SUMIFS(T_SelfStock[Self_Qty],T_SelfStock[RM_Code],$A86,T_SelfStock[WeekIndex],46)+SUMIFS(T_TTAFStock[TTAF_Qty],T_TTAFStock[RM_Code],$A86,T_TTAFStock[WeekIndex],46),AT86+'Grid_Incoming'!AU86-'Grid_Requirement'!AU86))</f>
        <v/>
      </c>
      <c r="AV86">
        <f>IF(COUNTIFS(T_StockCount[RM_Code],$A86,T_StockCount[WeekIndex],47)&gt;0,SUMIFS(T_StockCount[CountedQty],T_StockCount[RM_Code],$A86,T_StockCount[WeekIndex],47),IF((COUNTIFS(T_SelfStock[RM_Code],$A86,T_SelfStock[WeekIndex],47)&gt;0)*(COUNTIFS(T_TTAFStock[RM_Code],$A86,T_TTAFStock[WeekIndex],47)&gt;0)&gt;0,SUMIFS(T_SelfStock[Self_Qty],T_SelfStock[RM_Code],$A86,T_SelfStock[WeekIndex],47)+SUMIFS(T_TTAFStock[TTAF_Qty],T_TTAFStock[RM_Code],$A86,T_TTAFStock[WeekIndex],47),AU86+'Grid_Incoming'!AV86-'Grid_Requirement'!AV86))</f>
        <v/>
      </c>
      <c r="AW86">
        <f>IF(COUNTIFS(T_StockCount[RM_Code],$A86,T_StockCount[WeekIndex],48)&gt;0,SUMIFS(T_StockCount[CountedQty],T_StockCount[RM_Code],$A86,T_StockCount[WeekIndex],48),IF((COUNTIFS(T_SelfStock[RM_Code],$A86,T_SelfStock[WeekIndex],48)&gt;0)*(COUNTIFS(T_TTAFStock[RM_Code],$A86,T_TTAFStock[WeekIndex],48)&gt;0)&gt;0,SUMIFS(T_SelfStock[Self_Qty],T_SelfStock[RM_Code],$A86,T_SelfStock[WeekIndex],48)+SUMIFS(T_TTAFStock[TTAF_Qty],T_TTAFStock[RM_Code],$A86,T_TTAFStock[WeekIndex],48),AV86+'Grid_Incoming'!AW86-'Grid_Requirement'!AW86))</f>
        <v/>
      </c>
      <c r="AX86">
        <f>IF(COUNTIFS(T_StockCount[RM_Code],$A86,T_StockCount[WeekIndex],49)&gt;0,SUMIFS(T_StockCount[CountedQty],T_StockCount[RM_Code],$A86,T_StockCount[WeekIndex],49),IF((COUNTIFS(T_SelfStock[RM_Code],$A86,T_SelfStock[WeekIndex],49)&gt;0)*(COUNTIFS(T_TTAFStock[RM_Code],$A86,T_TTAFStock[WeekIndex],49)&gt;0)&gt;0,SUMIFS(T_SelfStock[Self_Qty],T_SelfStock[RM_Code],$A86,T_SelfStock[WeekIndex],49)+SUMIFS(T_TTAFStock[TTAF_Qty],T_TTAFStock[RM_Code],$A86,T_TTAFStock[WeekIndex],49),AW86+'Grid_Incoming'!AX86-'Grid_Requirement'!AX86))</f>
        <v/>
      </c>
      <c r="AY86">
        <f>IF(COUNTIFS(T_StockCount[RM_Code],$A86,T_StockCount[WeekIndex],50)&gt;0,SUMIFS(T_StockCount[CountedQty],T_StockCount[RM_Code],$A86,T_StockCount[WeekIndex],50),IF((COUNTIFS(T_SelfStock[RM_Code],$A86,T_SelfStock[WeekIndex],50)&gt;0)*(COUNTIFS(T_TTAFStock[RM_Code],$A86,T_TTAFStock[WeekIndex],50)&gt;0)&gt;0,SUMIFS(T_SelfStock[Self_Qty],T_SelfStock[RM_Code],$A86,T_SelfStock[WeekIndex],50)+SUMIFS(T_TTAFStock[TTAF_Qty],T_TTAFStock[RM_Code],$A86,T_TTAFStock[WeekIndex],50),AX86+'Grid_Incoming'!AY86-'Grid_Requirement'!AY86))</f>
        <v/>
      </c>
      <c r="AZ86">
        <f>IF(COUNTIFS(T_StockCount[RM_Code],$A86,T_StockCount[WeekIndex],51)&gt;0,SUMIFS(T_StockCount[CountedQty],T_StockCount[RM_Code],$A86,T_StockCount[WeekIndex],51),IF((COUNTIFS(T_SelfStock[RM_Code],$A86,T_SelfStock[WeekIndex],51)&gt;0)*(COUNTIFS(T_TTAFStock[RM_Code],$A86,T_TTAFStock[WeekIndex],51)&gt;0)&gt;0,SUMIFS(T_SelfStock[Self_Qty],T_SelfStock[RM_Code],$A86,T_SelfStock[WeekIndex],51)+SUMIFS(T_TTAFStock[TTAF_Qty],T_TTAFStock[RM_Code],$A86,T_TTAFStock[WeekIndex],51),AY86+'Grid_Incoming'!AZ86-'Grid_Requirement'!AZ86))</f>
        <v/>
      </c>
      <c r="BA86">
        <f>IF(COUNTIFS(T_StockCount[RM_Code],$A86,T_StockCount[WeekIndex],52)&gt;0,SUMIFS(T_StockCount[CountedQty],T_StockCount[RM_Code],$A86,T_StockCount[WeekIndex],52),IF((COUNTIFS(T_SelfStock[RM_Code],$A86,T_SelfStock[WeekIndex],52)&gt;0)*(COUNTIFS(T_TTAFStock[RM_Code],$A86,T_TTAFStock[WeekIndex],52)&gt;0)&gt;0,SUMIFS(T_SelfStock[Self_Qty],T_SelfStock[RM_Code],$A86,T_SelfStock[WeekIndex],52)+SUMIFS(T_TTAFStock[TTAF_Qty],T_TTAFStock[RM_Code],$A86,T_TTAFStock[WeekIndex],52),AZ86+'Grid_Incoming'!BA86-'Grid_Requirement'!BA86))</f>
        <v/>
      </c>
      <c r="BB86">
        <f>IF(COUNTIFS(T_StockCount[RM_Code],$A86,T_StockCount[WeekIndex],53)&gt;0,SUMIFS(T_StockCount[CountedQty],T_StockCount[RM_Code],$A86,T_StockCount[WeekIndex],53),IF((COUNTIFS(T_SelfStock[RM_Code],$A86,T_SelfStock[WeekIndex],53)&gt;0)*(COUNTIFS(T_TTAFStock[RM_Code],$A86,T_TTAFStock[WeekIndex],53)&gt;0)&gt;0,SUMIFS(T_SelfStock[Self_Qty],T_SelfStock[RM_Code],$A86,T_SelfStock[WeekIndex],53)+SUMIFS(T_TTAFStock[TTAF_Qty],T_TTAFStock[RM_Code],$A86,T_TTAFStock[WeekIndex],53),BA86+'Grid_Incoming'!BB86-'Grid_Requirement'!BB86))</f>
        <v/>
      </c>
      <c r="BC86">
        <f>IF(COUNTIFS(T_StockCount[RM_Code],$A86,T_StockCount[WeekIndex],54)&gt;0,SUMIFS(T_StockCount[CountedQty],T_StockCount[RM_Code],$A86,T_StockCount[WeekIndex],54),IF((COUNTIFS(T_SelfStock[RM_Code],$A86,T_SelfStock[WeekIndex],54)&gt;0)*(COUNTIFS(T_TTAFStock[RM_Code],$A86,T_TTAFStock[WeekIndex],54)&gt;0)&gt;0,SUMIFS(T_SelfStock[Self_Qty],T_SelfStock[RM_Code],$A86,T_SelfStock[WeekIndex],54)+SUMIFS(T_TTAFStock[TTAF_Qty],T_TTAFStock[RM_Code],$A86,T_TTAFStock[WeekIndex],54),BB86+'Grid_Incoming'!BC86-'Grid_Requirement'!BC86))</f>
        <v/>
      </c>
      <c r="BD86">
        <f>IF(COUNTIFS(T_StockCount[RM_Code],$A86,T_StockCount[WeekIndex],55)&gt;0,SUMIFS(T_StockCount[CountedQty],T_StockCount[RM_Code],$A86,T_StockCount[WeekIndex],55),IF((COUNTIFS(T_SelfStock[RM_Code],$A86,T_SelfStock[WeekIndex],55)&gt;0)*(COUNTIFS(T_TTAFStock[RM_Code],$A86,T_TTAFStock[WeekIndex],55)&gt;0)&gt;0,SUMIFS(T_SelfStock[Self_Qty],T_SelfStock[RM_Code],$A86,T_SelfStock[WeekIndex],55)+SUMIFS(T_TTAFStock[TTAF_Qty],T_TTAFStock[RM_Code],$A86,T_TTAFStock[WeekIndex],55),BC86+'Grid_Incoming'!BD86-'Grid_Requirement'!BD86))</f>
        <v/>
      </c>
      <c r="BE86">
        <f>IF(COUNTIFS(T_StockCount[RM_Code],$A86,T_StockCount[WeekIndex],56)&gt;0,SUMIFS(T_StockCount[CountedQty],T_StockCount[RM_Code],$A86,T_StockCount[WeekIndex],56),IF((COUNTIFS(T_SelfStock[RM_Code],$A86,T_SelfStock[WeekIndex],56)&gt;0)*(COUNTIFS(T_TTAFStock[RM_Code],$A86,T_TTAFStock[WeekIndex],56)&gt;0)&gt;0,SUMIFS(T_SelfStock[Self_Qty],T_SelfStock[RM_Code],$A86,T_SelfStock[WeekIndex],56)+SUMIFS(T_TTAFStock[TTAF_Qty],T_TTAFStock[RM_Code],$A86,T_TTAFStock[WeekIndex],56),BD86+'Grid_Incoming'!BE86-'Grid_Requirement'!BE86))</f>
        <v/>
      </c>
      <c r="BF86">
        <f>IF(COUNTIFS(T_StockCount[RM_Code],$A86,T_StockCount[WeekIndex],57)&gt;0,SUMIFS(T_StockCount[CountedQty],T_StockCount[RM_Code],$A86,T_StockCount[WeekIndex],57),IF((COUNTIFS(T_SelfStock[RM_Code],$A86,T_SelfStock[WeekIndex],57)&gt;0)*(COUNTIFS(T_TTAFStock[RM_Code],$A86,T_TTAFStock[WeekIndex],57)&gt;0)&gt;0,SUMIFS(T_SelfStock[Self_Qty],T_SelfStock[RM_Code],$A86,T_SelfStock[WeekIndex],57)+SUMIFS(T_TTAFStock[TTAF_Qty],T_TTAFStock[RM_Code],$A86,T_TTAFStock[WeekIndex],57),BE86+'Grid_Incoming'!BF86-'Grid_Requirement'!BF86))</f>
        <v/>
      </c>
      <c r="BG86">
        <f>IF(COUNTIFS(T_StockCount[RM_Code],$A86,T_StockCount[WeekIndex],58)&gt;0,SUMIFS(T_StockCount[CountedQty],T_StockCount[RM_Code],$A86,T_StockCount[WeekIndex],58),IF((COUNTIFS(T_SelfStock[RM_Code],$A86,T_SelfStock[WeekIndex],58)&gt;0)*(COUNTIFS(T_TTAFStock[RM_Code],$A86,T_TTAFStock[WeekIndex],58)&gt;0)&gt;0,SUMIFS(T_SelfStock[Self_Qty],T_SelfStock[RM_Code],$A86,T_SelfStock[WeekIndex],58)+SUMIFS(T_TTAFStock[TTAF_Qty],T_TTAFStock[RM_Code],$A86,T_TTAFStock[WeekIndex],58),BF86+'Grid_Incoming'!BG86-'Grid_Requirement'!BG86))</f>
        <v/>
      </c>
      <c r="BH86">
        <f>IF(COUNTIFS(T_StockCount[RM_Code],$A86,T_StockCount[WeekIndex],59)&gt;0,SUMIFS(T_StockCount[CountedQty],T_StockCount[RM_Code],$A86,T_StockCount[WeekIndex],59),IF((COUNTIFS(T_SelfStock[RM_Code],$A86,T_SelfStock[WeekIndex],59)&gt;0)*(COUNTIFS(T_TTAFStock[RM_Code],$A86,T_TTAFStock[WeekIndex],59)&gt;0)&gt;0,SUMIFS(T_SelfStock[Self_Qty],T_SelfStock[RM_Code],$A86,T_SelfStock[WeekIndex],59)+SUMIFS(T_TTAFStock[TTAF_Qty],T_TTAFStock[RM_Code],$A86,T_TTAFStock[WeekIndex],59),BG86+'Grid_Incoming'!BH86-'Grid_Requirement'!BH86))</f>
        <v/>
      </c>
      <c r="BI86">
        <f>IF(COUNTIFS(T_StockCount[RM_Code],$A86,T_StockCount[WeekIndex],60)&gt;0,SUMIFS(T_StockCount[CountedQty],T_StockCount[RM_Code],$A86,T_StockCount[WeekIndex],60),IF((COUNTIFS(T_SelfStock[RM_Code],$A86,T_SelfStock[WeekIndex],60)&gt;0)*(COUNTIFS(T_TTAFStock[RM_Code],$A86,T_TTAFStock[WeekIndex],60)&gt;0)&gt;0,SUMIFS(T_SelfStock[Self_Qty],T_SelfStock[RM_Code],$A86,T_SelfStock[WeekIndex],60)+SUMIFS(T_TTAFStock[TTAF_Qty],T_TTAFStock[RM_Code],$A86,T_TTAFStock[WeekIndex],60),BH86+'Grid_Incoming'!BI86-'Grid_Requirement'!BI86))</f>
        <v/>
      </c>
      <c r="BJ86">
        <f>IF(COUNTIFS(T_StockCount[RM_Code],$A86,T_StockCount[WeekIndex],61)&gt;0,SUMIFS(T_StockCount[CountedQty],T_StockCount[RM_Code],$A86,T_StockCount[WeekIndex],61),IF((COUNTIFS(T_SelfStock[RM_Code],$A86,T_SelfStock[WeekIndex],61)&gt;0)*(COUNTIFS(T_TTAFStock[RM_Code],$A86,T_TTAFStock[WeekIndex],61)&gt;0)&gt;0,SUMIFS(T_SelfStock[Self_Qty],T_SelfStock[RM_Code],$A86,T_SelfStock[WeekIndex],61)+SUMIFS(T_TTAFStock[TTAF_Qty],T_TTAFStock[RM_Code],$A86,T_TTAFStock[WeekIndex],61),BI86+'Grid_Incoming'!BJ86-'Grid_Requirement'!BJ86))</f>
        <v/>
      </c>
      <c r="BK86">
        <f>IF(COUNTIFS(T_StockCount[RM_Code],$A86,T_StockCount[WeekIndex],62)&gt;0,SUMIFS(T_StockCount[CountedQty],T_StockCount[RM_Code],$A86,T_StockCount[WeekIndex],62),IF((COUNTIFS(T_SelfStock[RM_Code],$A86,T_SelfStock[WeekIndex],62)&gt;0)*(COUNTIFS(T_TTAFStock[RM_Code],$A86,T_TTAFStock[WeekIndex],62)&gt;0)&gt;0,SUMIFS(T_SelfStock[Self_Qty],T_SelfStock[RM_Code],$A86,T_SelfStock[WeekIndex],62)+SUMIFS(T_TTAFStock[TTAF_Qty],T_TTAFStock[RM_Code],$A86,T_TTAFStock[WeekIndex],62),BJ86+'Grid_Incoming'!BK86-'Grid_Requirement'!BK86))</f>
        <v/>
      </c>
      <c r="BL86">
        <f>IF(COUNTIFS(T_StockCount[RM_Code],$A86,T_StockCount[WeekIndex],63)&gt;0,SUMIFS(T_StockCount[CountedQty],T_StockCount[RM_Code],$A86,T_StockCount[WeekIndex],63),IF((COUNTIFS(T_SelfStock[RM_Code],$A86,T_SelfStock[WeekIndex],63)&gt;0)*(COUNTIFS(T_TTAFStock[RM_Code],$A86,T_TTAFStock[WeekIndex],63)&gt;0)&gt;0,SUMIFS(T_SelfStock[Self_Qty],T_SelfStock[RM_Code],$A86,T_SelfStock[WeekIndex],63)+SUMIFS(T_TTAFStock[TTAF_Qty],T_TTAFStock[RM_Code],$A86,T_TTAFStock[WeekIndex],63),BK86+'Grid_Incoming'!BL86-'Grid_Requirement'!BL86))</f>
        <v/>
      </c>
      <c r="BM86">
        <f>IF(COUNTIFS(T_StockCount[RM_Code],$A86,T_StockCount[WeekIndex],64)&gt;0,SUMIFS(T_StockCount[CountedQty],T_StockCount[RM_Code],$A86,T_StockCount[WeekIndex],64),IF((COUNTIFS(T_SelfStock[RM_Code],$A86,T_SelfStock[WeekIndex],64)&gt;0)*(COUNTIFS(T_TTAFStock[RM_Code],$A86,T_TTAFStock[WeekIndex],64)&gt;0)&gt;0,SUMIFS(T_SelfStock[Self_Qty],T_SelfStock[RM_Code],$A86,T_SelfStock[WeekIndex],64)+SUMIFS(T_TTAFStock[TTAF_Qty],T_TTAFStock[RM_Code],$A86,T_TTAFStock[WeekIndex],64),BL86+'Grid_Incoming'!BM86-'Grid_Requirement'!BM86))</f>
        <v/>
      </c>
      <c r="BN86">
        <f>IF(COUNTIFS(T_StockCount[RM_Code],$A86,T_StockCount[WeekIndex],65)&gt;0,SUMIFS(T_StockCount[CountedQty],T_StockCount[RM_Code],$A86,T_StockCount[WeekIndex],65),IF((COUNTIFS(T_SelfStock[RM_Code],$A86,T_SelfStock[WeekIndex],65)&gt;0)*(COUNTIFS(T_TTAFStock[RM_Code],$A86,T_TTAFStock[WeekIndex],65)&gt;0)&gt;0,SUMIFS(T_SelfStock[Self_Qty],T_SelfStock[RM_Code],$A86,T_SelfStock[WeekIndex],65)+SUMIFS(T_TTAFStock[TTAF_Qty],T_TTAFStock[RM_Code],$A86,T_TTAFStock[WeekIndex],65),BM86+'Grid_Incoming'!BN86-'Grid_Requirement'!BN86))</f>
        <v/>
      </c>
      <c r="BO86">
        <f>IF(COUNTIFS(T_StockCount[RM_Code],$A86,T_StockCount[WeekIndex],66)&gt;0,SUMIFS(T_StockCount[CountedQty],T_StockCount[RM_Code],$A86,T_StockCount[WeekIndex],66),IF((COUNTIFS(T_SelfStock[RM_Code],$A86,T_SelfStock[WeekIndex],66)&gt;0)*(COUNTIFS(T_TTAFStock[RM_Code],$A86,T_TTAFStock[WeekIndex],66)&gt;0)&gt;0,SUMIFS(T_SelfStock[Self_Qty],T_SelfStock[RM_Code],$A86,T_SelfStock[WeekIndex],66)+SUMIFS(T_TTAFStock[TTAF_Qty],T_TTAFStock[RM_Code],$A86,T_TTAFStock[WeekIndex],66),BN86+'Grid_Incoming'!BO86-'Grid_Requirement'!BO86))</f>
        <v/>
      </c>
      <c r="BP86">
        <f>IF(COUNTIFS(T_StockCount[RM_Code],$A86,T_StockCount[WeekIndex],67)&gt;0,SUMIFS(T_StockCount[CountedQty],T_StockCount[RM_Code],$A86,T_StockCount[WeekIndex],67),IF((COUNTIFS(T_SelfStock[RM_Code],$A86,T_SelfStock[WeekIndex],67)&gt;0)*(COUNTIFS(T_TTAFStock[RM_Code],$A86,T_TTAFStock[WeekIndex],67)&gt;0)&gt;0,SUMIFS(T_SelfStock[Self_Qty],T_SelfStock[RM_Code],$A86,T_SelfStock[WeekIndex],67)+SUMIFS(T_TTAFStock[TTAF_Qty],T_TTAFStock[RM_Code],$A86,T_TTAFStock[WeekIndex],67),BO86+'Grid_Incoming'!BP86-'Grid_Requirement'!BP86))</f>
        <v/>
      </c>
      <c r="BQ86">
        <f>IF(COUNTIFS(T_StockCount[RM_Code],$A86,T_StockCount[WeekIndex],68)&gt;0,SUMIFS(T_StockCount[CountedQty],T_StockCount[RM_Code],$A86,T_StockCount[WeekIndex],68),IF((COUNTIFS(T_SelfStock[RM_Code],$A86,T_SelfStock[WeekIndex],68)&gt;0)*(COUNTIFS(T_TTAFStock[RM_Code],$A86,T_TTAFStock[WeekIndex],68)&gt;0)&gt;0,SUMIFS(T_SelfStock[Self_Qty],T_SelfStock[RM_Code],$A86,T_SelfStock[WeekIndex],68)+SUMIFS(T_TTAFStock[TTAF_Qty],T_TTAFStock[RM_Code],$A86,T_TTAFStock[WeekIndex],68),BP86+'Grid_Incoming'!BQ86-'Grid_Requirement'!BQ86))</f>
        <v/>
      </c>
      <c r="BR86">
        <f>IF(COUNTIFS(T_StockCount[RM_Code],$A86,T_StockCount[WeekIndex],69)&gt;0,SUMIFS(T_StockCount[CountedQty],T_StockCount[RM_Code],$A86,T_StockCount[WeekIndex],69),IF((COUNTIFS(T_SelfStock[RM_Code],$A86,T_SelfStock[WeekIndex],69)&gt;0)*(COUNTIFS(T_TTAFStock[RM_Code],$A86,T_TTAFStock[WeekIndex],69)&gt;0)&gt;0,SUMIFS(T_SelfStock[Self_Qty],T_SelfStock[RM_Code],$A86,T_SelfStock[WeekIndex],69)+SUMIFS(T_TTAFStock[TTAF_Qty],T_TTAFStock[RM_Code],$A86,T_TTAFStock[WeekIndex],69),BQ86+'Grid_Incoming'!BR86-'Grid_Requirement'!BR86))</f>
        <v/>
      </c>
      <c r="BS86">
        <f>IF(COUNTIFS(T_StockCount[RM_Code],$A86,T_StockCount[WeekIndex],70)&gt;0,SUMIFS(T_StockCount[CountedQty],T_StockCount[RM_Code],$A86,T_StockCount[WeekIndex],70),IF((COUNTIFS(T_SelfStock[RM_Code],$A86,T_SelfStock[WeekIndex],70)&gt;0)*(COUNTIFS(T_TTAFStock[RM_Code],$A86,T_TTAFStock[WeekIndex],70)&gt;0)&gt;0,SUMIFS(T_SelfStock[Self_Qty],T_SelfStock[RM_Code],$A86,T_SelfStock[WeekIndex],70)+SUMIFS(T_TTAFStock[TTAF_Qty],T_TTAFStock[RM_Code],$A86,T_TTAFStock[WeekIndex],70),BR86+'Grid_Incoming'!BS86-'Grid_Requirement'!BS86))</f>
        <v/>
      </c>
      <c r="BT86">
        <f>IF(COUNTIFS(T_StockCount[RM_Code],$A86,T_StockCount[WeekIndex],71)&gt;0,SUMIFS(T_StockCount[CountedQty],T_StockCount[RM_Code],$A86,T_StockCount[WeekIndex],71),IF((COUNTIFS(T_SelfStock[RM_Code],$A86,T_SelfStock[WeekIndex],71)&gt;0)*(COUNTIFS(T_TTAFStock[RM_Code],$A86,T_TTAFStock[WeekIndex],71)&gt;0)&gt;0,SUMIFS(T_SelfStock[Self_Qty],T_SelfStock[RM_Code],$A86,T_SelfStock[WeekIndex],71)+SUMIFS(T_TTAFStock[TTAF_Qty],T_TTAFStock[RM_Code],$A86,T_TTAFStock[WeekIndex],71),BS86+'Grid_Incoming'!BT86-'Grid_Requirement'!BT86))</f>
        <v/>
      </c>
      <c r="BU86">
        <f>IF(COUNTIFS(T_StockCount[RM_Code],$A86,T_StockCount[WeekIndex],72)&gt;0,SUMIFS(T_StockCount[CountedQty],T_StockCount[RM_Code],$A86,T_StockCount[WeekIndex],72),IF((COUNTIFS(T_SelfStock[RM_Code],$A86,T_SelfStock[WeekIndex],72)&gt;0)*(COUNTIFS(T_TTAFStock[RM_Code],$A86,T_TTAFStock[WeekIndex],72)&gt;0)&gt;0,SUMIFS(T_SelfStock[Self_Qty],T_SelfStock[RM_Code],$A86,T_SelfStock[WeekIndex],72)+SUMIFS(T_TTAFStock[TTAF_Qty],T_TTAFStock[RM_Code],$A86,T_TTAFStock[WeekIndex],72),BT86+'Grid_Incoming'!BU86-'Grid_Requirement'!BU86))</f>
        <v/>
      </c>
      <c r="BV86">
        <f>IF(COUNTIFS(T_StockCount[RM_Code],$A86,T_StockCount[WeekIndex],73)&gt;0,SUMIFS(T_StockCount[CountedQty],T_StockCount[RM_Code],$A86,T_StockCount[WeekIndex],73),IF((COUNTIFS(T_SelfStock[RM_Code],$A86,T_SelfStock[WeekIndex],73)&gt;0)*(COUNTIFS(T_TTAFStock[RM_Code],$A86,T_TTAFStock[WeekIndex],73)&gt;0)&gt;0,SUMIFS(T_SelfStock[Self_Qty],T_SelfStock[RM_Code],$A86,T_SelfStock[WeekIndex],73)+SUMIFS(T_TTAFStock[TTAF_Qty],T_TTAFStock[RM_Code],$A86,T_TTAFStock[WeekIndex],73),BU86+'Grid_Incoming'!BV86-'Grid_Requirement'!BV86))</f>
        <v/>
      </c>
      <c r="BW86">
        <f>IF(COUNTIFS(T_StockCount[RM_Code],$A86,T_StockCount[WeekIndex],74)&gt;0,SUMIFS(T_StockCount[CountedQty],T_StockCount[RM_Code],$A86,T_StockCount[WeekIndex],74),IF((COUNTIFS(T_SelfStock[RM_Code],$A86,T_SelfStock[WeekIndex],74)&gt;0)*(COUNTIFS(T_TTAFStock[RM_Code],$A86,T_TTAFStock[WeekIndex],74)&gt;0)&gt;0,SUMIFS(T_SelfStock[Self_Qty],T_SelfStock[RM_Code],$A86,T_SelfStock[WeekIndex],74)+SUMIFS(T_TTAFStock[TTAF_Qty],T_TTAFStock[RM_Code],$A86,T_TTAFStock[WeekIndex],74),BV86+'Grid_Incoming'!BW86-'Grid_Requirement'!BW86))</f>
        <v/>
      </c>
      <c r="BX86">
        <f>IF(COUNTIFS(T_StockCount[RM_Code],$A86,T_StockCount[WeekIndex],75)&gt;0,SUMIFS(T_StockCount[CountedQty],T_StockCount[RM_Code],$A86,T_StockCount[WeekIndex],75),IF((COUNTIFS(T_SelfStock[RM_Code],$A86,T_SelfStock[WeekIndex],75)&gt;0)*(COUNTIFS(T_TTAFStock[RM_Code],$A86,T_TTAFStock[WeekIndex],75)&gt;0)&gt;0,SUMIFS(T_SelfStock[Self_Qty],T_SelfStock[RM_Code],$A86,T_SelfStock[WeekIndex],75)+SUMIFS(T_TTAFStock[TTAF_Qty],T_TTAFStock[RM_Code],$A86,T_TTAFStock[WeekIndex],75),BW86+'Grid_Incoming'!BX86-'Grid_Requirement'!BX86))</f>
        <v/>
      </c>
      <c r="BY86">
        <f>IF(COUNTIFS(T_StockCount[RM_Code],$A86,T_StockCount[WeekIndex],76)&gt;0,SUMIFS(T_StockCount[CountedQty],T_StockCount[RM_Code],$A86,T_StockCount[WeekIndex],76),IF((COUNTIFS(T_SelfStock[RM_Code],$A86,T_SelfStock[WeekIndex],76)&gt;0)*(COUNTIFS(T_TTAFStock[RM_Code],$A86,T_TTAFStock[WeekIndex],76)&gt;0)&gt;0,SUMIFS(T_SelfStock[Self_Qty],T_SelfStock[RM_Code],$A86,T_SelfStock[WeekIndex],76)+SUMIFS(T_TTAFStock[TTAF_Qty],T_TTAFStock[RM_Code],$A86,T_TTAFStock[WeekIndex],76),BX86+'Grid_Incoming'!BY86-'Grid_Requirement'!BY86))</f>
        <v/>
      </c>
      <c r="BZ86">
        <f>IF(COUNTIFS(T_StockCount[RM_Code],$A86,T_StockCount[WeekIndex],77)&gt;0,SUMIFS(T_StockCount[CountedQty],T_StockCount[RM_Code],$A86,T_StockCount[WeekIndex],77),IF((COUNTIFS(T_SelfStock[RM_Code],$A86,T_SelfStock[WeekIndex],77)&gt;0)*(COUNTIFS(T_TTAFStock[RM_Code],$A86,T_TTAFStock[WeekIndex],77)&gt;0)&gt;0,SUMIFS(T_SelfStock[Self_Qty],T_SelfStock[RM_Code],$A86,T_SelfStock[WeekIndex],77)+SUMIFS(T_TTAFStock[TTAF_Qty],T_TTAFStock[RM_Code],$A86,T_TTAFStock[WeekIndex],77),BY86+'Grid_Incoming'!BZ86-'Grid_Requirement'!BZ86))</f>
        <v/>
      </c>
      <c r="CA86">
        <f>IF(COUNTIFS(T_StockCount[RM_Code],$A86,T_StockCount[WeekIndex],78)&gt;0,SUMIFS(T_StockCount[CountedQty],T_StockCount[RM_Code],$A86,T_StockCount[WeekIndex],78),IF((COUNTIFS(T_SelfStock[RM_Code],$A86,T_SelfStock[WeekIndex],78)&gt;0)*(COUNTIFS(T_TTAFStock[RM_Code],$A86,T_TTAFStock[WeekIndex],78)&gt;0)&gt;0,SUMIFS(T_SelfStock[Self_Qty],T_SelfStock[RM_Code],$A86,T_SelfStock[WeekIndex],78)+SUMIFS(T_TTAFStock[TTAF_Qty],T_TTAFStock[RM_Code],$A86,T_TTAFStock[WeekIndex],78),BZ86+'Grid_Incoming'!CA86-'Grid_Requirement'!CA86))</f>
        <v/>
      </c>
      <c r="CB86">
        <f>IF(COUNTIFS(T_StockCount[RM_Code],$A86,T_StockCount[WeekIndex],79)&gt;0,SUMIFS(T_StockCount[CountedQty],T_StockCount[RM_Code],$A86,T_StockCount[WeekIndex],79),IF((COUNTIFS(T_SelfStock[RM_Code],$A86,T_SelfStock[WeekIndex],79)&gt;0)*(COUNTIFS(T_TTAFStock[RM_Code],$A86,T_TTAFStock[WeekIndex],79)&gt;0)&gt;0,SUMIFS(T_SelfStock[Self_Qty],T_SelfStock[RM_Code],$A86,T_SelfStock[WeekIndex],79)+SUMIFS(T_TTAFStock[TTAF_Qty],T_TTAFStock[RM_Code],$A86,T_TTAFStock[WeekIndex],79),CA86+'Grid_Incoming'!CB86-'Grid_Requirement'!CB86))</f>
        <v/>
      </c>
      <c r="CC86">
        <f>IF(COUNTIFS(T_StockCount[RM_Code],$A86,T_StockCount[WeekIndex],80)&gt;0,SUMIFS(T_StockCount[CountedQty],T_StockCount[RM_Code],$A86,T_StockCount[WeekIndex],80),IF((COUNTIFS(T_SelfStock[RM_Code],$A86,T_SelfStock[WeekIndex],80)&gt;0)*(COUNTIFS(T_TTAFStock[RM_Code],$A86,T_TTAFStock[WeekIndex],80)&gt;0)&gt;0,SUMIFS(T_SelfStock[Self_Qty],T_SelfStock[RM_Code],$A86,T_SelfStock[WeekIndex],80)+SUMIFS(T_TTAFStock[TTAF_Qty],T_TTAFStock[RM_Code],$A86,T_TTAFStock[WeekIndex],80),CB86+'Grid_Incoming'!CC86-'Grid_Requirement'!CC86))</f>
        <v/>
      </c>
      <c r="CD86">
        <f>IF(COUNTIFS(T_StockCount[RM_Code],$A86,T_StockCount[WeekIndex],81)&gt;0,SUMIFS(T_StockCount[CountedQty],T_StockCount[RM_Code],$A86,T_StockCount[WeekIndex],81),IF((COUNTIFS(T_SelfStock[RM_Code],$A86,T_SelfStock[WeekIndex],81)&gt;0)*(COUNTIFS(T_TTAFStock[RM_Code],$A86,T_TTAFStock[WeekIndex],81)&gt;0)&gt;0,SUMIFS(T_SelfStock[Self_Qty],T_SelfStock[RM_Code],$A86,T_SelfStock[WeekIndex],81)+SUMIFS(T_TTAFStock[TTAF_Qty],T_TTAFStock[RM_Code],$A86,T_TTAFStock[WeekIndex],81),CC86+'Grid_Incoming'!CD86-'Grid_Requirement'!CD86))</f>
        <v/>
      </c>
      <c r="CE86">
        <f>IF(COUNTIFS(T_StockCount[RM_Code],$A86,T_StockCount[WeekIndex],82)&gt;0,SUMIFS(T_StockCount[CountedQty],T_StockCount[RM_Code],$A86,T_StockCount[WeekIndex],82),IF((COUNTIFS(T_SelfStock[RM_Code],$A86,T_SelfStock[WeekIndex],82)&gt;0)*(COUNTIFS(T_TTAFStock[RM_Code],$A86,T_TTAFStock[WeekIndex],82)&gt;0)&gt;0,SUMIFS(T_SelfStock[Self_Qty],T_SelfStock[RM_Code],$A86,T_SelfStock[WeekIndex],82)+SUMIFS(T_TTAFStock[TTAF_Qty],T_TTAFStock[RM_Code],$A86,T_TTAFStock[WeekIndex],82),CD86+'Grid_Incoming'!CE86-'Grid_Requirement'!CE86))</f>
        <v/>
      </c>
      <c r="CF86">
        <f>IF(COUNTIFS(T_StockCount[RM_Code],$A86,T_StockCount[WeekIndex],83)&gt;0,SUMIFS(T_StockCount[CountedQty],T_StockCount[RM_Code],$A86,T_StockCount[WeekIndex],83),IF((COUNTIFS(T_SelfStock[RM_Code],$A86,T_SelfStock[WeekIndex],83)&gt;0)*(COUNTIFS(T_TTAFStock[RM_Code],$A86,T_TTAFStock[WeekIndex],83)&gt;0)&gt;0,SUMIFS(T_SelfStock[Self_Qty],T_SelfStock[RM_Code],$A86,T_SelfStock[WeekIndex],83)+SUMIFS(T_TTAFStock[TTAF_Qty],T_TTAFStock[RM_Code],$A86,T_TTAFStock[WeekIndex],83),CE86+'Grid_Incoming'!CF86-'Grid_Requirement'!CF86))</f>
        <v/>
      </c>
      <c r="CG86">
        <f>IF(COUNTIFS(T_StockCount[RM_Code],$A86,T_StockCount[WeekIndex],84)&gt;0,SUMIFS(T_StockCount[CountedQty],T_StockCount[RM_Code],$A86,T_StockCount[WeekIndex],84),IF((COUNTIFS(T_SelfStock[RM_Code],$A86,T_SelfStock[WeekIndex],84)&gt;0)*(COUNTIFS(T_TTAFStock[RM_Code],$A86,T_TTAFStock[WeekIndex],84)&gt;0)&gt;0,SUMIFS(T_SelfStock[Self_Qty],T_SelfStock[RM_Code],$A86,T_SelfStock[WeekIndex],84)+SUMIFS(T_TTAFStock[TTAF_Qty],T_TTAFStock[RM_Code],$A86,T_TTAFStock[WeekIndex],84),CF86+'Grid_Incoming'!CG86-'Grid_Requirement'!CG86))</f>
        <v/>
      </c>
      <c r="CH86">
        <f>IF(COUNTIFS(T_StockCount[RM_Code],$A86,T_StockCount[WeekIndex],85)&gt;0,SUMIFS(T_StockCount[CountedQty],T_StockCount[RM_Code],$A86,T_StockCount[WeekIndex],85),IF((COUNTIFS(T_SelfStock[RM_Code],$A86,T_SelfStock[WeekIndex],85)&gt;0)*(COUNTIFS(T_TTAFStock[RM_Code],$A86,T_TTAFStock[WeekIndex],85)&gt;0)&gt;0,SUMIFS(T_SelfStock[Self_Qty],T_SelfStock[RM_Code],$A86,T_SelfStock[WeekIndex],85)+SUMIFS(T_TTAFStock[TTAF_Qty],T_TTAFStock[RM_Code],$A86,T_TTAFStock[WeekIndex],85),CG86+'Grid_Incoming'!CH86-'Grid_Requirement'!CH86))</f>
        <v/>
      </c>
      <c r="CI86">
        <f>IF(COUNTIFS(T_StockCount[RM_Code],$A86,T_StockCount[WeekIndex],86)&gt;0,SUMIFS(T_StockCount[CountedQty],T_StockCount[RM_Code],$A86,T_StockCount[WeekIndex],86),IF((COUNTIFS(T_SelfStock[RM_Code],$A86,T_SelfStock[WeekIndex],86)&gt;0)*(COUNTIFS(T_TTAFStock[RM_Code],$A86,T_TTAFStock[WeekIndex],86)&gt;0)&gt;0,SUMIFS(T_SelfStock[Self_Qty],T_SelfStock[RM_Code],$A86,T_SelfStock[WeekIndex],86)+SUMIFS(T_TTAFStock[TTAF_Qty],T_TTAFStock[RM_Code],$A86,T_TTAFStock[WeekIndex],86),CH86+'Grid_Incoming'!CI86-'Grid_Requirement'!CI86))</f>
        <v/>
      </c>
      <c r="CJ86">
        <f>IF(COUNTIFS(T_StockCount[RM_Code],$A86,T_StockCount[WeekIndex],87)&gt;0,SUMIFS(T_StockCount[CountedQty],T_StockCount[RM_Code],$A86,T_StockCount[WeekIndex],87),IF((COUNTIFS(T_SelfStock[RM_Code],$A86,T_SelfStock[WeekIndex],87)&gt;0)*(COUNTIFS(T_TTAFStock[RM_Code],$A86,T_TTAFStock[WeekIndex],87)&gt;0)&gt;0,SUMIFS(T_SelfStock[Self_Qty],T_SelfStock[RM_Code],$A86,T_SelfStock[WeekIndex],87)+SUMIFS(T_TTAFStock[TTAF_Qty],T_TTAFStock[RM_Code],$A86,T_TTAFStock[WeekIndex],87),CI86+'Grid_Incoming'!CJ86-'Grid_Requirement'!CJ86))</f>
        <v/>
      </c>
      <c r="CK86">
        <f>IF(COUNTIFS(T_StockCount[RM_Code],$A86,T_StockCount[WeekIndex],88)&gt;0,SUMIFS(T_StockCount[CountedQty],T_StockCount[RM_Code],$A86,T_StockCount[WeekIndex],88),IF((COUNTIFS(T_SelfStock[RM_Code],$A86,T_SelfStock[WeekIndex],88)&gt;0)*(COUNTIFS(T_TTAFStock[RM_Code],$A86,T_TTAFStock[WeekIndex],88)&gt;0)&gt;0,SUMIFS(T_SelfStock[Self_Qty],T_SelfStock[RM_Code],$A86,T_SelfStock[WeekIndex],88)+SUMIFS(T_TTAFStock[TTAF_Qty],T_TTAFStock[RM_Code],$A86,T_TTAFStock[WeekIndex],88),CJ86+'Grid_Incoming'!CK86-'Grid_Requirement'!CK86))</f>
        <v/>
      </c>
      <c r="CL86">
        <f>IF(COUNTIFS(T_StockCount[RM_Code],$A86,T_StockCount[WeekIndex],89)&gt;0,SUMIFS(T_StockCount[CountedQty],T_StockCount[RM_Code],$A86,T_StockCount[WeekIndex],89),IF((COUNTIFS(T_SelfStock[RM_Code],$A86,T_SelfStock[WeekIndex],89)&gt;0)*(COUNTIFS(T_TTAFStock[RM_Code],$A86,T_TTAFStock[WeekIndex],89)&gt;0)&gt;0,SUMIFS(T_SelfStock[Self_Qty],T_SelfStock[RM_Code],$A86,T_SelfStock[WeekIndex],89)+SUMIFS(T_TTAFStock[TTAF_Qty],T_TTAFStock[RM_Code],$A86,T_TTAFStock[WeekIndex],89),CK86+'Grid_Incoming'!CL86-'Grid_Requirement'!CL86))</f>
        <v/>
      </c>
      <c r="CM86">
        <f>IF(COUNTIFS(T_StockCount[RM_Code],$A86,T_StockCount[WeekIndex],90)&gt;0,SUMIFS(T_StockCount[CountedQty],T_StockCount[RM_Code],$A86,T_StockCount[WeekIndex],90),IF((COUNTIFS(T_SelfStock[RM_Code],$A86,T_SelfStock[WeekIndex],90)&gt;0)*(COUNTIFS(T_TTAFStock[RM_Code],$A86,T_TTAFStock[WeekIndex],90)&gt;0)&gt;0,SUMIFS(T_SelfStock[Self_Qty],T_SelfStock[RM_Code],$A86,T_SelfStock[WeekIndex],90)+SUMIFS(T_TTAFStock[TTAF_Qty],T_TTAFStock[RM_Code],$A86,T_TTAFStock[WeekIndex],90),CL86+'Grid_Incoming'!CM86-'Grid_Requirement'!CM86))</f>
        <v/>
      </c>
      <c r="CN86">
        <f>IF(COUNTIFS(T_StockCount[RM_Code],$A86,T_StockCount[WeekIndex],91)&gt;0,SUMIFS(T_StockCount[CountedQty],T_StockCount[RM_Code],$A86,T_StockCount[WeekIndex],91),IF((COUNTIFS(T_SelfStock[RM_Code],$A86,T_SelfStock[WeekIndex],91)&gt;0)*(COUNTIFS(T_TTAFStock[RM_Code],$A86,T_TTAFStock[WeekIndex],91)&gt;0)&gt;0,SUMIFS(T_SelfStock[Self_Qty],T_SelfStock[RM_Code],$A86,T_SelfStock[WeekIndex],91)+SUMIFS(T_TTAFStock[TTAF_Qty],T_TTAFStock[RM_Code],$A86,T_TTAFStock[WeekIndex],91),CM86+'Grid_Incoming'!CN86-'Grid_Requirement'!CN86))</f>
        <v/>
      </c>
      <c r="CO86">
        <f>IF(COUNTIFS(T_StockCount[RM_Code],$A86,T_StockCount[WeekIndex],92)&gt;0,SUMIFS(T_StockCount[CountedQty],T_StockCount[RM_Code],$A86,T_StockCount[WeekIndex],92),IF((COUNTIFS(T_SelfStock[RM_Code],$A86,T_SelfStock[WeekIndex],92)&gt;0)*(COUNTIFS(T_TTAFStock[RM_Code],$A86,T_TTAFStock[WeekIndex],92)&gt;0)&gt;0,SUMIFS(T_SelfStock[Self_Qty],T_SelfStock[RM_Code],$A86,T_SelfStock[WeekIndex],92)+SUMIFS(T_TTAFStock[TTAF_Qty],T_TTAFStock[RM_Code],$A86,T_TTAFStock[WeekIndex],92),CN86+'Grid_Incoming'!CO86-'Grid_Requirement'!CO86))</f>
        <v/>
      </c>
      <c r="CP86">
        <f>IF(COUNTIFS(T_StockCount[RM_Code],$A86,T_StockCount[WeekIndex],93)&gt;0,SUMIFS(T_StockCount[CountedQty],T_StockCount[RM_Code],$A86,T_StockCount[WeekIndex],93),IF((COUNTIFS(T_SelfStock[RM_Code],$A86,T_SelfStock[WeekIndex],93)&gt;0)*(COUNTIFS(T_TTAFStock[RM_Code],$A86,T_TTAFStock[WeekIndex],93)&gt;0)&gt;0,SUMIFS(T_SelfStock[Self_Qty],T_SelfStock[RM_Code],$A86,T_SelfStock[WeekIndex],93)+SUMIFS(T_TTAFStock[TTAF_Qty],T_TTAFStock[RM_Code],$A86,T_TTAFStock[WeekIndex],93),CO86+'Grid_Incoming'!CP86-'Grid_Requirement'!CP86))</f>
        <v/>
      </c>
      <c r="CQ86">
        <f>IF(COUNTIFS(T_StockCount[RM_Code],$A86,T_StockCount[WeekIndex],94)&gt;0,SUMIFS(T_StockCount[CountedQty],T_StockCount[RM_Code],$A86,T_StockCount[WeekIndex],94),IF((COUNTIFS(T_SelfStock[RM_Code],$A86,T_SelfStock[WeekIndex],94)&gt;0)*(COUNTIFS(T_TTAFStock[RM_Code],$A86,T_TTAFStock[WeekIndex],94)&gt;0)&gt;0,SUMIFS(T_SelfStock[Self_Qty],T_SelfStock[RM_Code],$A86,T_SelfStock[WeekIndex],94)+SUMIFS(T_TTAFStock[TTAF_Qty],T_TTAFStock[RM_Code],$A86,T_TTAFStock[WeekIndex],94),CP86+'Grid_Incoming'!CQ86-'Grid_Requirement'!CQ86))</f>
        <v/>
      </c>
      <c r="CR86">
        <f>IF(COUNTIFS(T_StockCount[RM_Code],$A86,T_StockCount[WeekIndex],95)&gt;0,SUMIFS(T_StockCount[CountedQty],T_StockCount[RM_Code],$A86,T_StockCount[WeekIndex],95),IF((COUNTIFS(T_SelfStock[RM_Code],$A86,T_SelfStock[WeekIndex],95)&gt;0)*(COUNTIFS(T_TTAFStock[RM_Code],$A86,T_TTAFStock[WeekIndex],95)&gt;0)&gt;0,SUMIFS(T_SelfStock[Self_Qty],T_SelfStock[RM_Code],$A86,T_SelfStock[WeekIndex],95)+SUMIFS(T_TTAFStock[TTAF_Qty],T_TTAFStock[RM_Code],$A86,T_TTAFStock[WeekIndex],95),CQ86+'Grid_Incoming'!CR86-'Grid_Requirement'!CR86))</f>
        <v/>
      </c>
      <c r="CS86">
        <f>IF(COUNTIFS(T_StockCount[RM_Code],$A86,T_StockCount[WeekIndex],96)&gt;0,SUMIFS(T_StockCount[CountedQty],T_StockCount[RM_Code],$A86,T_StockCount[WeekIndex],96),IF((COUNTIFS(T_SelfStock[RM_Code],$A86,T_SelfStock[WeekIndex],96)&gt;0)*(COUNTIFS(T_TTAFStock[RM_Code],$A86,T_TTAFStock[WeekIndex],96)&gt;0)&gt;0,SUMIFS(T_SelfStock[Self_Qty],T_SelfStock[RM_Code],$A86,T_SelfStock[WeekIndex],96)+SUMIFS(T_TTAFStock[TTAF_Qty],T_TTAFStock[RM_Code],$A86,T_TTAFStock[WeekIndex],96),CR86+'Grid_Incoming'!CS86-'Grid_Requirement'!CS86))</f>
        <v/>
      </c>
      <c r="CT86">
        <f>IF(COUNTIFS(T_StockCount[RM_Code],$A86,T_StockCount[WeekIndex],97)&gt;0,SUMIFS(T_StockCount[CountedQty],T_StockCount[RM_Code],$A86,T_StockCount[WeekIndex],97),IF((COUNTIFS(T_SelfStock[RM_Code],$A86,T_SelfStock[WeekIndex],97)&gt;0)*(COUNTIFS(T_TTAFStock[RM_Code],$A86,T_TTAFStock[WeekIndex],97)&gt;0)&gt;0,SUMIFS(T_SelfStock[Self_Qty],T_SelfStock[RM_Code],$A86,T_SelfStock[WeekIndex],97)+SUMIFS(T_TTAFStock[TTAF_Qty],T_TTAFStock[RM_Code],$A86,T_TTAFStock[WeekIndex],97),CS86+'Grid_Incoming'!CT86-'Grid_Requirement'!CT86))</f>
        <v/>
      </c>
      <c r="CU86">
        <f>IF(COUNTIFS(T_StockCount[RM_Code],$A86,T_StockCount[WeekIndex],98)&gt;0,SUMIFS(T_StockCount[CountedQty],T_StockCount[RM_Code],$A86,T_StockCount[WeekIndex],98),IF((COUNTIFS(T_SelfStock[RM_Code],$A86,T_SelfStock[WeekIndex],98)&gt;0)*(COUNTIFS(T_TTAFStock[RM_Code],$A86,T_TTAFStock[WeekIndex],98)&gt;0)&gt;0,SUMIFS(T_SelfStock[Self_Qty],T_SelfStock[RM_Code],$A86,T_SelfStock[WeekIndex],98)+SUMIFS(T_TTAFStock[TTAF_Qty],T_TTAFStock[RM_Code],$A86,T_TTAFStock[WeekIndex],98),CT86+'Grid_Incoming'!CU86-'Grid_Requirement'!CU86))</f>
        <v/>
      </c>
      <c r="CV86">
        <f>IF(COUNTIFS(T_StockCount[RM_Code],$A86,T_StockCount[WeekIndex],99)&gt;0,SUMIFS(T_StockCount[CountedQty],T_StockCount[RM_Code],$A86,T_StockCount[WeekIndex],99),IF((COUNTIFS(T_SelfStock[RM_Code],$A86,T_SelfStock[WeekIndex],99)&gt;0)*(COUNTIFS(T_TTAFStock[RM_Code],$A86,T_TTAFStock[WeekIndex],99)&gt;0)&gt;0,SUMIFS(T_SelfStock[Self_Qty],T_SelfStock[RM_Code],$A86,T_SelfStock[WeekIndex],99)+SUMIFS(T_TTAFStock[TTAF_Qty],T_TTAFStock[RM_Code],$A86,T_TTAFStock[WeekIndex],99),CU86+'Grid_Incoming'!CV86-'Grid_Requirement'!CV86))</f>
        <v/>
      </c>
      <c r="CW86">
        <f>IF(COUNTIFS(T_StockCount[RM_Code],$A86,T_StockCount[WeekIndex],100)&gt;0,SUMIFS(T_StockCount[CountedQty],T_StockCount[RM_Code],$A86,T_StockCount[WeekIndex],100),IF((COUNTIFS(T_SelfStock[RM_Code],$A86,T_SelfStock[WeekIndex],100)&gt;0)*(COUNTIFS(T_TTAFStock[RM_Code],$A86,T_TTAFStock[WeekIndex],100)&gt;0)&gt;0,SUMIFS(T_SelfStock[Self_Qty],T_SelfStock[RM_Code],$A86,T_SelfStock[WeekIndex],100)+SUMIFS(T_TTAFStock[TTAF_Qty],T_TTAFStock[RM_Code],$A86,T_TTAFStock[WeekIndex],100),CV86+'Grid_Incoming'!CW86-'Grid_Requirement'!CW86))</f>
        <v/>
      </c>
      <c r="CX86">
        <f>IF(COUNTIFS(T_StockCount[RM_Code],$A86,T_StockCount[WeekIndex],101)&gt;0,SUMIFS(T_StockCount[CountedQty],T_StockCount[RM_Code],$A86,T_StockCount[WeekIndex],101),IF((COUNTIFS(T_SelfStock[RM_Code],$A86,T_SelfStock[WeekIndex],101)&gt;0)*(COUNTIFS(T_TTAFStock[RM_Code],$A86,T_TTAFStock[WeekIndex],101)&gt;0)&gt;0,SUMIFS(T_SelfStock[Self_Qty],T_SelfStock[RM_Code],$A86,T_SelfStock[WeekIndex],101)+SUMIFS(T_TTAFStock[TTAF_Qty],T_TTAFStock[RM_Code],$A86,T_TTAFStock[WeekIndex],101),CW86+'Grid_Incoming'!CX86-'Grid_Requirement'!CX86))</f>
        <v/>
      </c>
      <c r="CY86">
        <f>IF(COUNTIFS(T_StockCount[RM_Code],$A86,T_StockCount[WeekIndex],102)&gt;0,SUMIFS(T_StockCount[CountedQty],T_StockCount[RM_Code],$A86,T_StockCount[WeekIndex],102),IF((COUNTIFS(T_SelfStock[RM_Code],$A86,T_SelfStock[WeekIndex],102)&gt;0)*(COUNTIFS(T_TTAFStock[RM_Code],$A86,T_TTAFStock[WeekIndex],102)&gt;0)&gt;0,SUMIFS(T_SelfStock[Self_Qty],T_SelfStock[RM_Code],$A86,T_SelfStock[WeekIndex],102)+SUMIFS(T_TTAFStock[TTAF_Qty],T_TTAFStock[RM_Code],$A86,T_TTAFStock[WeekIndex],102),CX86+'Grid_Incoming'!CY86-'Grid_Requirement'!CY86))</f>
        <v/>
      </c>
      <c r="CZ86">
        <f>IF(COUNTIFS(T_StockCount[RM_Code],$A86,T_StockCount[WeekIndex],103)&gt;0,SUMIFS(T_StockCount[CountedQty],T_StockCount[RM_Code],$A86,T_StockCount[WeekIndex],103),IF((COUNTIFS(T_SelfStock[RM_Code],$A86,T_SelfStock[WeekIndex],103)&gt;0)*(COUNTIFS(T_TTAFStock[RM_Code],$A86,T_TTAFStock[WeekIndex],103)&gt;0)&gt;0,SUMIFS(T_SelfStock[Self_Qty],T_SelfStock[RM_Code],$A86,T_SelfStock[WeekIndex],103)+SUMIFS(T_TTAFStock[TTAF_Qty],T_TTAFStock[RM_Code],$A86,T_TTAFStock[WeekIndex],103),CY86+'Grid_Incoming'!CZ86-'Grid_Requirement'!CZ86))</f>
        <v/>
      </c>
      <c r="DA86">
        <f>IF(COUNTIFS(T_StockCount[RM_Code],$A86,T_StockCount[WeekIndex],104)&gt;0,SUMIFS(T_StockCount[CountedQty],T_StockCount[RM_Code],$A86,T_StockCount[WeekIndex],104),IF((COUNTIFS(T_SelfStock[RM_Code],$A86,T_SelfStock[WeekIndex],104)&gt;0)*(COUNTIFS(T_TTAFStock[RM_Code],$A86,T_TTAFStock[WeekIndex],104)&gt;0)&gt;0,SUMIFS(T_SelfStock[Self_Qty],T_SelfStock[RM_Code],$A86,T_SelfStock[WeekIndex],104)+SUMIFS(T_TTAFStock[TTAF_Qty],T_TTAFStock[RM_Code],$A86,T_TTAFStock[WeekIndex],104),CZ86+'Grid_Incoming'!DA86-'Grid_Requirement'!DA86))</f>
        <v/>
      </c>
    </row>
    <row r="87">
      <c r="A87" t="inlineStr">
        <is>
          <t>CHEM-1180</t>
        </is>
      </c>
      <c r="B87">
        <f>IF(COUNTIFS(T_StockCount[RM_Code],$A87,T_StockCount[WeekIndex],1)&gt;0,SUMIFS(T_StockCount[CountedQty],T_StockCount[RM_Code],$A87,T_StockCount[WeekIndex],1),IF((COUNTIFS(T_SelfStock[RM_Code],$A87,T_SelfStock[WeekIndex],1)&gt;0)*(COUNTIFS(T_TTAFStock[RM_Code],$A87,T_TTAFStock[WeekIndex],1)&gt;0)&gt;0,SUMIFS(T_SelfStock[Self_Qty],T_SelfStock[RM_Code],$A87,T_SelfStock[WeekIndex],1)+SUMIFS(T_TTAFStock[TTAF_Qty],T_TTAFStock[RM_Code],$A87,T_TTAFStock[WeekIndex],1),IFERROR(INDEX(T_OpeningStock[Opening_Qty],MATCH($A87,T_OpeningStock[RM_Code],0)),0)+'Grid_Incoming'!B87-'Grid_Requirement'!B87))</f>
        <v/>
      </c>
      <c r="C87">
        <f>IF(COUNTIFS(T_StockCount[RM_Code],$A87,T_StockCount[WeekIndex],2)&gt;0,SUMIFS(T_StockCount[CountedQty],T_StockCount[RM_Code],$A87,T_StockCount[WeekIndex],2),IF((COUNTIFS(T_SelfStock[RM_Code],$A87,T_SelfStock[WeekIndex],2)&gt;0)*(COUNTIFS(T_TTAFStock[RM_Code],$A87,T_TTAFStock[WeekIndex],2)&gt;0)&gt;0,SUMIFS(T_SelfStock[Self_Qty],T_SelfStock[RM_Code],$A87,T_SelfStock[WeekIndex],2)+SUMIFS(T_TTAFStock[TTAF_Qty],T_TTAFStock[RM_Code],$A87,T_TTAFStock[WeekIndex],2),B87+'Grid_Incoming'!C87-'Grid_Requirement'!C87))</f>
        <v/>
      </c>
      <c r="D87">
        <f>IF(COUNTIFS(T_StockCount[RM_Code],$A87,T_StockCount[WeekIndex],3)&gt;0,SUMIFS(T_StockCount[CountedQty],T_StockCount[RM_Code],$A87,T_StockCount[WeekIndex],3),IF((COUNTIFS(T_SelfStock[RM_Code],$A87,T_SelfStock[WeekIndex],3)&gt;0)*(COUNTIFS(T_TTAFStock[RM_Code],$A87,T_TTAFStock[WeekIndex],3)&gt;0)&gt;0,SUMIFS(T_SelfStock[Self_Qty],T_SelfStock[RM_Code],$A87,T_SelfStock[WeekIndex],3)+SUMIFS(T_TTAFStock[TTAF_Qty],T_TTAFStock[RM_Code],$A87,T_TTAFStock[WeekIndex],3),C87+'Grid_Incoming'!D87-'Grid_Requirement'!D87))</f>
        <v/>
      </c>
      <c r="E87">
        <f>IF(COUNTIFS(T_StockCount[RM_Code],$A87,T_StockCount[WeekIndex],4)&gt;0,SUMIFS(T_StockCount[CountedQty],T_StockCount[RM_Code],$A87,T_StockCount[WeekIndex],4),IF((COUNTIFS(T_SelfStock[RM_Code],$A87,T_SelfStock[WeekIndex],4)&gt;0)*(COUNTIFS(T_TTAFStock[RM_Code],$A87,T_TTAFStock[WeekIndex],4)&gt;0)&gt;0,SUMIFS(T_SelfStock[Self_Qty],T_SelfStock[RM_Code],$A87,T_SelfStock[WeekIndex],4)+SUMIFS(T_TTAFStock[TTAF_Qty],T_TTAFStock[RM_Code],$A87,T_TTAFStock[WeekIndex],4),D87+'Grid_Incoming'!E87-'Grid_Requirement'!E87))</f>
        <v/>
      </c>
      <c r="F87">
        <f>IF(COUNTIFS(T_StockCount[RM_Code],$A87,T_StockCount[WeekIndex],5)&gt;0,SUMIFS(T_StockCount[CountedQty],T_StockCount[RM_Code],$A87,T_StockCount[WeekIndex],5),IF((COUNTIFS(T_SelfStock[RM_Code],$A87,T_SelfStock[WeekIndex],5)&gt;0)*(COUNTIFS(T_TTAFStock[RM_Code],$A87,T_TTAFStock[WeekIndex],5)&gt;0)&gt;0,SUMIFS(T_SelfStock[Self_Qty],T_SelfStock[RM_Code],$A87,T_SelfStock[WeekIndex],5)+SUMIFS(T_TTAFStock[TTAF_Qty],T_TTAFStock[RM_Code],$A87,T_TTAFStock[WeekIndex],5),E87+'Grid_Incoming'!F87-'Grid_Requirement'!F87))</f>
        <v/>
      </c>
      <c r="G87">
        <f>IF(COUNTIFS(T_StockCount[RM_Code],$A87,T_StockCount[WeekIndex],6)&gt;0,SUMIFS(T_StockCount[CountedQty],T_StockCount[RM_Code],$A87,T_StockCount[WeekIndex],6),IF((COUNTIFS(T_SelfStock[RM_Code],$A87,T_SelfStock[WeekIndex],6)&gt;0)*(COUNTIFS(T_TTAFStock[RM_Code],$A87,T_TTAFStock[WeekIndex],6)&gt;0)&gt;0,SUMIFS(T_SelfStock[Self_Qty],T_SelfStock[RM_Code],$A87,T_SelfStock[WeekIndex],6)+SUMIFS(T_TTAFStock[TTAF_Qty],T_TTAFStock[RM_Code],$A87,T_TTAFStock[WeekIndex],6),F87+'Grid_Incoming'!G87-'Grid_Requirement'!G87))</f>
        <v/>
      </c>
      <c r="H87">
        <f>IF(COUNTIFS(T_StockCount[RM_Code],$A87,T_StockCount[WeekIndex],7)&gt;0,SUMIFS(T_StockCount[CountedQty],T_StockCount[RM_Code],$A87,T_StockCount[WeekIndex],7),IF((COUNTIFS(T_SelfStock[RM_Code],$A87,T_SelfStock[WeekIndex],7)&gt;0)*(COUNTIFS(T_TTAFStock[RM_Code],$A87,T_TTAFStock[WeekIndex],7)&gt;0)&gt;0,SUMIFS(T_SelfStock[Self_Qty],T_SelfStock[RM_Code],$A87,T_SelfStock[WeekIndex],7)+SUMIFS(T_TTAFStock[TTAF_Qty],T_TTAFStock[RM_Code],$A87,T_TTAFStock[WeekIndex],7),G87+'Grid_Incoming'!H87-'Grid_Requirement'!H87))</f>
        <v/>
      </c>
      <c r="I87">
        <f>IF(COUNTIFS(T_StockCount[RM_Code],$A87,T_StockCount[WeekIndex],8)&gt;0,SUMIFS(T_StockCount[CountedQty],T_StockCount[RM_Code],$A87,T_StockCount[WeekIndex],8),IF((COUNTIFS(T_SelfStock[RM_Code],$A87,T_SelfStock[WeekIndex],8)&gt;0)*(COUNTIFS(T_TTAFStock[RM_Code],$A87,T_TTAFStock[WeekIndex],8)&gt;0)&gt;0,SUMIFS(T_SelfStock[Self_Qty],T_SelfStock[RM_Code],$A87,T_SelfStock[WeekIndex],8)+SUMIFS(T_TTAFStock[TTAF_Qty],T_TTAFStock[RM_Code],$A87,T_TTAFStock[WeekIndex],8),H87+'Grid_Incoming'!I87-'Grid_Requirement'!I87))</f>
        <v/>
      </c>
      <c r="J87">
        <f>IF(COUNTIFS(T_StockCount[RM_Code],$A87,T_StockCount[WeekIndex],9)&gt;0,SUMIFS(T_StockCount[CountedQty],T_StockCount[RM_Code],$A87,T_StockCount[WeekIndex],9),IF((COUNTIFS(T_SelfStock[RM_Code],$A87,T_SelfStock[WeekIndex],9)&gt;0)*(COUNTIFS(T_TTAFStock[RM_Code],$A87,T_TTAFStock[WeekIndex],9)&gt;0)&gt;0,SUMIFS(T_SelfStock[Self_Qty],T_SelfStock[RM_Code],$A87,T_SelfStock[WeekIndex],9)+SUMIFS(T_TTAFStock[TTAF_Qty],T_TTAFStock[RM_Code],$A87,T_TTAFStock[WeekIndex],9),I87+'Grid_Incoming'!J87-'Grid_Requirement'!J87))</f>
        <v/>
      </c>
      <c r="K87">
        <f>IF(COUNTIFS(T_StockCount[RM_Code],$A87,T_StockCount[WeekIndex],10)&gt;0,SUMIFS(T_StockCount[CountedQty],T_StockCount[RM_Code],$A87,T_StockCount[WeekIndex],10),IF((COUNTIFS(T_SelfStock[RM_Code],$A87,T_SelfStock[WeekIndex],10)&gt;0)*(COUNTIFS(T_TTAFStock[RM_Code],$A87,T_TTAFStock[WeekIndex],10)&gt;0)&gt;0,SUMIFS(T_SelfStock[Self_Qty],T_SelfStock[RM_Code],$A87,T_SelfStock[WeekIndex],10)+SUMIFS(T_TTAFStock[TTAF_Qty],T_TTAFStock[RM_Code],$A87,T_TTAFStock[WeekIndex],10),J87+'Grid_Incoming'!K87-'Grid_Requirement'!K87))</f>
        <v/>
      </c>
      <c r="L87">
        <f>IF(COUNTIFS(T_StockCount[RM_Code],$A87,T_StockCount[WeekIndex],11)&gt;0,SUMIFS(T_StockCount[CountedQty],T_StockCount[RM_Code],$A87,T_StockCount[WeekIndex],11),IF((COUNTIFS(T_SelfStock[RM_Code],$A87,T_SelfStock[WeekIndex],11)&gt;0)*(COUNTIFS(T_TTAFStock[RM_Code],$A87,T_TTAFStock[WeekIndex],11)&gt;0)&gt;0,SUMIFS(T_SelfStock[Self_Qty],T_SelfStock[RM_Code],$A87,T_SelfStock[WeekIndex],11)+SUMIFS(T_TTAFStock[TTAF_Qty],T_TTAFStock[RM_Code],$A87,T_TTAFStock[WeekIndex],11),K87+'Grid_Incoming'!L87-'Grid_Requirement'!L87))</f>
        <v/>
      </c>
      <c r="M87">
        <f>IF(COUNTIFS(T_StockCount[RM_Code],$A87,T_StockCount[WeekIndex],12)&gt;0,SUMIFS(T_StockCount[CountedQty],T_StockCount[RM_Code],$A87,T_StockCount[WeekIndex],12),IF((COUNTIFS(T_SelfStock[RM_Code],$A87,T_SelfStock[WeekIndex],12)&gt;0)*(COUNTIFS(T_TTAFStock[RM_Code],$A87,T_TTAFStock[WeekIndex],12)&gt;0)&gt;0,SUMIFS(T_SelfStock[Self_Qty],T_SelfStock[RM_Code],$A87,T_SelfStock[WeekIndex],12)+SUMIFS(T_TTAFStock[TTAF_Qty],T_TTAFStock[RM_Code],$A87,T_TTAFStock[WeekIndex],12),L87+'Grid_Incoming'!M87-'Grid_Requirement'!M87))</f>
        <v/>
      </c>
      <c r="N87">
        <f>IF(COUNTIFS(T_StockCount[RM_Code],$A87,T_StockCount[WeekIndex],13)&gt;0,SUMIFS(T_StockCount[CountedQty],T_StockCount[RM_Code],$A87,T_StockCount[WeekIndex],13),IF((COUNTIFS(T_SelfStock[RM_Code],$A87,T_SelfStock[WeekIndex],13)&gt;0)*(COUNTIFS(T_TTAFStock[RM_Code],$A87,T_TTAFStock[WeekIndex],13)&gt;0)&gt;0,SUMIFS(T_SelfStock[Self_Qty],T_SelfStock[RM_Code],$A87,T_SelfStock[WeekIndex],13)+SUMIFS(T_TTAFStock[TTAF_Qty],T_TTAFStock[RM_Code],$A87,T_TTAFStock[WeekIndex],13),M87+'Grid_Incoming'!N87-'Grid_Requirement'!N87))</f>
        <v/>
      </c>
      <c r="O87">
        <f>IF(COUNTIFS(T_StockCount[RM_Code],$A87,T_StockCount[WeekIndex],14)&gt;0,SUMIFS(T_StockCount[CountedQty],T_StockCount[RM_Code],$A87,T_StockCount[WeekIndex],14),IF((COUNTIFS(T_SelfStock[RM_Code],$A87,T_SelfStock[WeekIndex],14)&gt;0)*(COUNTIFS(T_TTAFStock[RM_Code],$A87,T_TTAFStock[WeekIndex],14)&gt;0)&gt;0,SUMIFS(T_SelfStock[Self_Qty],T_SelfStock[RM_Code],$A87,T_SelfStock[WeekIndex],14)+SUMIFS(T_TTAFStock[TTAF_Qty],T_TTAFStock[RM_Code],$A87,T_TTAFStock[WeekIndex],14),N87+'Grid_Incoming'!O87-'Grid_Requirement'!O87))</f>
        <v/>
      </c>
      <c r="P87">
        <f>IF(COUNTIFS(T_StockCount[RM_Code],$A87,T_StockCount[WeekIndex],15)&gt;0,SUMIFS(T_StockCount[CountedQty],T_StockCount[RM_Code],$A87,T_StockCount[WeekIndex],15),IF((COUNTIFS(T_SelfStock[RM_Code],$A87,T_SelfStock[WeekIndex],15)&gt;0)*(COUNTIFS(T_TTAFStock[RM_Code],$A87,T_TTAFStock[WeekIndex],15)&gt;0)&gt;0,SUMIFS(T_SelfStock[Self_Qty],T_SelfStock[RM_Code],$A87,T_SelfStock[WeekIndex],15)+SUMIFS(T_TTAFStock[TTAF_Qty],T_TTAFStock[RM_Code],$A87,T_TTAFStock[WeekIndex],15),O87+'Grid_Incoming'!P87-'Grid_Requirement'!P87))</f>
        <v/>
      </c>
      <c r="Q87">
        <f>IF(COUNTIFS(T_StockCount[RM_Code],$A87,T_StockCount[WeekIndex],16)&gt;0,SUMIFS(T_StockCount[CountedQty],T_StockCount[RM_Code],$A87,T_StockCount[WeekIndex],16),IF((COUNTIFS(T_SelfStock[RM_Code],$A87,T_SelfStock[WeekIndex],16)&gt;0)*(COUNTIFS(T_TTAFStock[RM_Code],$A87,T_TTAFStock[WeekIndex],16)&gt;0)&gt;0,SUMIFS(T_SelfStock[Self_Qty],T_SelfStock[RM_Code],$A87,T_SelfStock[WeekIndex],16)+SUMIFS(T_TTAFStock[TTAF_Qty],T_TTAFStock[RM_Code],$A87,T_TTAFStock[WeekIndex],16),P87+'Grid_Incoming'!Q87-'Grid_Requirement'!Q87))</f>
        <v/>
      </c>
      <c r="R87">
        <f>IF(COUNTIFS(T_StockCount[RM_Code],$A87,T_StockCount[WeekIndex],17)&gt;0,SUMIFS(T_StockCount[CountedQty],T_StockCount[RM_Code],$A87,T_StockCount[WeekIndex],17),IF((COUNTIFS(T_SelfStock[RM_Code],$A87,T_SelfStock[WeekIndex],17)&gt;0)*(COUNTIFS(T_TTAFStock[RM_Code],$A87,T_TTAFStock[WeekIndex],17)&gt;0)&gt;0,SUMIFS(T_SelfStock[Self_Qty],T_SelfStock[RM_Code],$A87,T_SelfStock[WeekIndex],17)+SUMIFS(T_TTAFStock[TTAF_Qty],T_TTAFStock[RM_Code],$A87,T_TTAFStock[WeekIndex],17),Q87+'Grid_Incoming'!R87-'Grid_Requirement'!R87))</f>
        <v/>
      </c>
      <c r="S87">
        <f>IF(COUNTIFS(T_StockCount[RM_Code],$A87,T_StockCount[WeekIndex],18)&gt;0,SUMIFS(T_StockCount[CountedQty],T_StockCount[RM_Code],$A87,T_StockCount[WeekIndex],18),IF((COUNTIFS(T_SelfStock[RM_Code],$A87,T_SelfStock[WeekIndex],18)&gt;0)*(COUNTIFS(T_TTAFStock[RM_Code],$A87,T_TTAFStock[WeekIndex],18)&gt;0)&gt;0,SUMIFS(T_SelfStock[Self_Qty],T_SelfStock[RM_Code],$A87,T_SelfStock[WeekIndex],18)+SUMIFS(T_TTAFStock[TTAF_Qty],T_TTAFStock[RM_Code],$A87,T_TTAFStock[WeekIndex],18),R87+'Grid_Incoming'!S87-'Grid_Requirement'!S87))</f>
        <v/>
      </c>
      <c r="T87">
        <f>IF(COUNTIFS(T_StockCount[RM_Code],$A87,T_StockCount[WeekIndex],19)&gt;0,SUMIFS(T_StockCount[CountedQty],T_StockCount[RM_Code],$A87,T_StockCount[WeekIndex],19),IF((COUNTIFS(T_SelfStock[RM_Code],$A87,T_SelfStock[WeekIndex],19)&gt;0)*(COUNTIFS(T_TTAFStock[RM_Code],$A87,T_TTAFStock[WeekIndex],19)&gt;0)&gt;0,SUMIFS(T_SelfStock[Self_Qty],T_SelfStock[RM_Code],$A87,T_SelfStock[WeekIndex],19)+SUMIFS(T_TTAFStock[TTAF_Qty],T_TTAFStock[RM_Code],$A87,T_TTAFStock[WeekIndex],19),S87+'Grid_Incoming'!T87-'Grid_Requirement'!T87))</f>
        <v/>
      </c>
      <c r="U87">
        <f>IF(COUNTIFS(T_StockCount[RM_Code],$A87,T_StockCount[WeekIndex],20)&gt;0,SUMIFS(T_StockCount[CountedQty],T_StockCount[RM_Code],$A87,T_StockCount[WeekIndex],20),IF((COUNTIFS(T_SelfStock[RM_Code],$A87,T_SelfStock[WeekIndex],20)&gt;0)*(COUNTIFS(T_TTAFStock[RM_Code],$A87,T_TTAFStock[WeekIndex],20)&gt;0)&gt;0,SUMIFS(T_SelfStock[Self_Qty],T_SelfStock[RM_Code],$A87,T_SelfStock[WeekIndex],20)+SUMIFS(T_TTAFStock[TTAF_Qty],T_TTAFStock[RM_Code],$A87,T_TTAFStock[WeekIndex],20),T87+'Grid_Incoming'!U87-'Grid_Requirement'!U87))</f>
        <v/>
      </c>
      <c r="V87">
        <f>IF(COUNTIFS(T_StockCount[RM_Code],$A87,T_StockCount[WeekIndex],21)&gt;0,SUMIFS(T_StockCount[CountedQty],T_StockCount[RM_Code],$A87,T_StockCount[WeekIndex],21),IF((COUNTIFS(T_SelfStock[RM_Code],$A87,T_SelfStock[WeekIndex],21)&gt;0)*(COUNTIFS(T_TTAFStock[RM_Code],$A87,T_TTAFStock[WeekIndex],21)&gt;0)&gt;0,SUMIFS(T_SelfStock[Self_Qty],T_SelfStock[RM_Code],$A87,T_SelfStock[WeekIndex],21)+SUMIFS(T_TTAFStock[TTAF_Qty],T_TTAFStock[RM_Code],$A87,T_TTAFStock[WeekIndex],21),U87+'Grid_Incoming'!V87-'Grid_Requirement'!V87))</f>
        <v/>
      </c>
      <c r="W87">
        <f>IF(COUNTIFS(T_StockCount[RM_Code],$A87,T_StockCount[WeekIndex],22)&gt;0,SUMIFS(T_StockCount[CountedQty],T_StockCount[RM_Code],$A87,T_StockCount[WeekIndex],22),IF((COUNTIFS(T_SelfStock[RM_Code],$A87,T_SelfStock[WeekIndex],22)&gt;0)*(COUNTIFS(T_TTAFStock[RM_Code],$A87,T_TTAFStock[WeekIndex],22)&gt;0)&gt;0,SUMIFS(T_SelfStock[Self_Qty],T_SelfStock[RM_Code],$A87,T_SelfStock[WeekIndex],22)+SUMIFS(T_TTAFStock[TTAF_Qty],T_TTAFStock[RM_Code],$A87,T_TTAFStock[WeekIndex],22),V87+'Grid_Incoming'!W87-'Grid_Requirement'!W87))</f>
        <v/>
      </c>
      <c r="X87">
        <f>IF(COUNTIFS(T_StockCount[RM_Code],$A87,T_StockCount[WeekIndex],23)&gt;0,SUMIFS(T_StockCount[CountedQty],T_StockCount[RM_Code],$A87,T_StockCount[WeekIndex],23),IF((COUNTIFS(T_SelfStock[RM_Code],$A87,T_SelfStock[WeekIndex],23)&gt;0)*(COUNTIFS(T_TTAFStock[RM_Code],$A87,T_TTAFStock[WeekIndex],23)&gt;0)&gt;0,SUMIFS(T_SelfStock[Self_Qty],T_SelfStock[RM_Code],$A87,T_SelfStock[WeekIndex],23)+SUMIFS(T_TTAFStock[TTAF_Qty],T_TTAFStock[RM_Code],$A87,T_TTAFStock[WeekIndex],23),W87+'Grid_Incoming'!X87-'Grid_Requirement'!X87))</f>
        <v/>
      </c>
      <c r="Y87">
        <f>IF(COUNTIFS(T_StockCount[RM_Code],$A87,T_StockCount[WeekIndex],24)&gt;0,SUMIFS(T_StockCount[CountedQty],T_StockCount[RM_Code],$A87,T_StockCount[WeekIndex],24),IF((COUNTIFS(T_SelfStock[RM_Code],$A87,T_SelfStock[WeekIndex],24)&gt;0)*(COUNTIFS(T_TTAFStock[RM_Code],$A87,T_TTAFStock[WeekIndex],24)&gt;0)&gt;0,SUMIFS(T_SelfStock[Self_Qty],T_SelfStock[RM_Code],$A87,T_SelfStock[WeekIndex],24)+SUMIFS(T_TTAFStock[TTAF_Qty],T_TTAFStock[RM_Code],$A87,T_TTAFStock[WeekIndex],24),X87+'Grid_Incoming'!Y87-'Grid_Requirement'!Y87))</f>
        <v/>
      </c>
      <c r="Z87">
        <f>IF(COUNTIFS(T_StockCount[RM_Code],$A87,T_StockCount[WeekIndex],25)&gt;0,SUMIFS(T_StockCount[CountedQty],T_StockCount[RM_Code],$A87,T_StockCount[WeekIndex],25),IF((COUNTIFS(T_SelfStock[RM_Code],$A87,T_SelfStock[WeekIndex],25)&gt;0)*(COUNTIFS(T_TTAFStock[RM_Code],$A87,T_TTAFStock[WeekIndex],25)&gt;0)&gt;0,SUMIFS(T_SelfStock[Self_Qty],T_SelfStock[RM_Code],$A87,T_SelfStock[WeekIndex],25)+SUMIFS(T_TTAFStock[TTAF_Qty],T_TTAFStock[RM_Code],$A87,T_TTAFStock[WeekIndex],25),Y87+'Grid_Incoming'!Z87-'Grid_Requirement'!Z87))</f>
        <v/>
      </c>
      <c r="AA87">
        <f>IF(COUNTIFS(T_StockCount[RM_Code],$A87,T_StockCount[WeekIndex],26)&gt;0,SUMIFS(T_StockCount[CountedQty],T_StockCount[RM_Code],$A87,T_StockCount[WeekIndex],26),IF((COUNTIFS(T_SelfStock[RM_Code],$A87,T_SelfStock[WeekIndex],26)&gt;0)*(COUNTIFS(T_TTAFStock[RM_Code],$A87,T_TTAFStock[WeekIndex],26)&gt;0)&gt;0,SUMIFS(T_SelfStock[Self_Qty],T_SelfStock[RM_Code],$A87,T_SelfStock[WeekIndex],26)+SUMIFS(T_TTAFStock[TTAF_Qty],T_TTAFStock[RM_Code],$A87,T_TTAFStock[WeekIndex],26),Z87+'Grid_Incoming'!AA87-'Grid_Requirement'!AA87))</f>
        <v/>
      </c>
      <c r="AB87">
        <f>IF(COUNTIFS(T_StockCount[RM_Code],$A87,T_StockCount[WeekIndex],27)&gt;0,SUMIFS(T_StockCount[CountedQty],T_StockCount[RM_Code],$A87,T_StockCount[WeekIndex],27),IF((COUNTIFS(T_SelfStock[RM_Code],$A87,T_SelfStock[WeekIndex],27)&gt;0)*(COUNTIFS(T_TTAFStock[RM_Code],$A87,T_TTAFStock[WeekIndex],27)&gt;0)&gt;0,SUMIFS(T_SelfStock[Self_Qty],T_SelfStock[RM_Code],$A87,T_SelfStock[WeekIndex],27)+SUMIFS(T_TTAFStock[TTAF_Qty],T_TTAFStock[RM_Code],$A87,T_TTAFStock[WeekIndex],27),AA87+'Grid_Incoming'!AB87-'Grid_Requirement'!AB87))</f>
        <v/>
      </c>
      <c r="AC87">
        <f>IF(COUNTIFS(T_StockCount[RM_Code],$A87,T_StockCount[WeekIndex],28)&gt;0,SUMIFS(T_StockCount[CountedQty],T_StockCount[RM_Code],$A87,T_StockCount[WeekIndex],28),IF((COUNTIFS(T_SelfStock[RM_Code],$A87,T_SelfStock[WeekIndex],28)&gt;0)*(COUNTIFS(T_TTAFStock[RM_Code],$A87,T_TTAFStock[WeekIndex],28)&gt;0)&gt;0,SUMIFS(T_SelfStock[Self_Qty],T_SelfStock[RM_Code],$A87,T_SelfStock[WeekIndex],28)+SUMIFS(T_TTAFStock[TTAF_Qty],T_TTAFStock[RM_Code],$A87,T_TTAFStock[WeekIndex],28),AB87+'Grid_Incoming'!AC87-'Grid_Requirement'!AC87))</f>
        <v/>
      </c>
      <c r="AD87">
        <f>IF(COUNTIFS(T_StockCount[RM_Code],$A87,T_StockCount[WeekIndex],29)&gt;0,SUMIFS(T_StockCount[CountedQty],T_StockCount[RM_Code],$A87,T_StockCount[WeekIndex],29),IF((COUNTIFS(T_SelfStock[RM_Code],$A87,T_SelfStock[WeekIndex],29)&gt;0)*(COUNTIFS(T_TTAFStock[RM_Code],$A87,T_TTAFStock[WeekIndex],29)&gt;0)&gt;0,SUMIFS(T_SelfStock[Self_Qty],T_SelfStock[RM_Code],$A87,T_SelfStock[WeekIndex],29)+SUMIFS(T_TTAFStock[TTAF_Qty],T_TTAFStock[RM_Code],$A87,T_TTAFStock[WeekIndex],29),AC87+'Grid_Incoming'!AD87-'Grid_Requirement'!AD87))</f>
        <v/>
      </c>
      <c r="AE87">
        <f>IF(COUNTIFS(T_StockCount[RM_Code],$A87,T_StockCount[WeekIndex],30)&gt;0,SUMIFS(T_StockCount[CountedQty],T_StockCount[RM_Code],$A87,T_StockCount[WeekIndex],30),IF((COUNTIFS(T_SelfStock[RM_Code],$A87,T_SelfStock[WeekIndex],30)&gt;0)*(COUNTIFS(T_TTAFStock[RM_Code],$A87,T_TTAFStock[WeekIndex],30)&gt;0)&gt;0,SUMIFS(T_SelfStock[Self_Qty],T_SelfStock[RM_Code],$A87,T_SelfStock[WeekIndex],30)+SUMIFS(T_TTAFStock[TTAF_Qty],T_TTAFStock[RM_Code],$A87,T_TTAFStock[WeekIndex],30),AD87+'Grid_Incoming'!AE87-'Grid_Requirement'!AE87))</f>
        <v/>
      </c>
      <c r="AF87">
        <f>IF(COUNTIFS(T_StockCount[RM_Code],$A87,T_StockCount[WeekIndex],31)&gt;0,SUMIFS(T_StockCount[CountedQty],T_StockCount[RM_Code],$A87,T_StockCount[WeekIndex],31),IF((COUNTIFS(T_SelfStock[RM_Code],$A87,T_SelfStock[WeekIndex],31)&gt;0)*(COUNTIFS(T_TTAFStock[RM_Code],$A87,T_TTAFStock[WeekIndex],31)&gt;0)&gt;0,SUMIFS(T_SelfStock[Self_Qty],T_SelfStock[RM_Code],$A87,T_SelfStock[WeekIndex],31)+SUMIFS(T_TTAFStock[TTAF_Qty],T_TTAFStock[RM_Code],$A87,T_TTAFStock[WeekIndex],31),AE87+'Grid_Incoming'!AF87-'Grid_Requirement'!AF87))</f>
        <v/>
      </c>
      <c r="AG87">
        <f>IF(COUNTIFS(T_StockCount[RM_Code],$A87,T_StockCount[WeekIndex],32)&gt;0,SUMIFS(T_StockCount[CountedQty],T_StockCount[RM_Code],$A87,T_StockCount[WeekIndex],32),IF((COUNTIFS(T_SelfStock[RM_Code],$A87,T_SelfStock[WeekIndex],32)&gt;0)*(COUNTIFS(T_TTAFStock[RM_Code],$A87,T_TTAFStock[WeekIndex],32)&gt;0)&gt;0,SUMIFS(T_SelfStock[Self_Qty],T_SelfStock[RM_Code],$A87,T_SelfStock[WeekIndex],32)+SUMIFS(T_TTAFStock[TTAF_Qty],T_TTAFStock[RM_Code],$A87,T_TTAFStock[WeekIndex],32),AF87+'Grid_Incoming'!AG87-'Grid_Requirement'!AG87))</f>
        <v/>
      </c>
      <c r="AH87">
        <f>IF(COUNTIFS(T_StockCount[RM_Code],$A87,T_StockCount[WeekIndex],33)&gt;0,SUMIFS(T_StockCount[CountedQty],T_StockCount[RM_Code],$A87,T_StockCount[WeekIndex],33),IF((COUNTIFS(T_SelfStock[RM_Code],$A87,T_SelfStock[WeekIndex],33)&gt;0)*(COUNTIFS(T_TTAFStock[RM_Code],$A87,T_TTAFStock[WeekIndex],33)&gt;0)&gt;0,SUMIFS(T_SelfStock[Self_Qty],T_SelfStock[RM_Code],$A87,T_SelfStock[WeekIndex],33)+SUMIFS(T_TTAFStock[TTAF_Qty],T_TTAFStock[RM_Code],$A87,T_TTAFStock[WeekIndex],33),AG87+'Grid_Incoming'!AH87-'Grid_Requirement'!AH87))</f>
        <v/>
      </c>
      <c r="AI87">
        <f>IF(COUNTIFS(T_StockCount[RM_Code],$A87,T_StockCount[WeekIndex],34)&gt;0,SUMIFS(T_StockCount[CountedQty],T_StockCount[RM_Code],$A87,T_StockCount[WeekIndex],34),IF((COUNTIFS(T_SelfStock[RM_Code],$A87,T_SelfStock[WeekIndex],34)&gt;0)*(COUNTIFS(T_TTAFStock[RM_Code],$A87,T_TTAFStock[WeekIndex],34)&gt;0)&gt;0,SUMIFS(T_SelfStock[Self_Qty],T_SelfStock[RM_Code],$A87,T_SelfStock[WeekIndex],34)+SUMIFS(T_TTAFStock[TTAF_Qty],T_TTAFStock[RM_Code],$A87,T_TTAFStock[WeekIndex],34),AH87+'Grid_Incoming'!AI87-'Grid_Requirement'!AI87))</f>
        <v/>
      </c>
      <c r="AJ87">
        <f>IF(COUNTIFS(T_StockCount[RM_Code],$A87,T_StockCount[WeekIndex],35)&gt;0,SUMIFS(T_StockCount[CountedQty],T_StockCount[RM_Code],$A87,T_StockCount[WeekIndex],35),IF((COUNTIFS(T_SelfStock[RM_Code],$A87,T_SelfStock[WeekIndex],35)&gt;0)*(COUNTIFS(T_TTAFStock[RM_Code],$A87,T_TTAFStock[WeekIndex],35)&gt;0)&gt;0,SUMIFS(T_SelfStock[Self_Qty],T_SelfStock[RM_Code],$A87,T_SelfStock[WeekIndex],35)+SUMIFS(T_TTAFStock[TTAF_Qty],T_TTAFStock[RM_Code],$A87,T_TTAFStock[WeekIndex],35),AI87+'Grid_Incoming'!AJ87-'Grid_Requirement'!AJ87))</f>
        <v/>
      </c>
      <c r="AK87">
        <f>IF(COUNTIFS(T_StockCount[RM_Code],$A87,T_StockCount[WeekIndex],36)&gt;0,SUMIFS(T_StockCount[CountedQty],T_StockCount[RM_Code],$A87,T_StockCount[WeekIndex],36),IF((COUNTIFS(T_SelfStock[RM_Code],$A87,T_SelfStock[WeekIndex],36)&gt;0)*(COUNTIFS(T_TTAFStock[RM_Code],$A87,T_TTAFStock[WeekIndex],36)&gt;0)&gt;0,SUMIFS(T_SelfStock[Self_Qty],T_SelfStock[RM_Code],$A87,T_SelfStock[WeekIndex],36)+SUMIFS(T_TTAFStock[TTAF_Qty],T_TTAFStock[RM_Code],$A87,T_TTAFStock[WeekIndex],36),AJ87+'Grid_Incoming'!AK87-'Grid_Requirement'!AK87))</f>
        <v/>
      </c>
      <c r="AL87">
        <f>IF(COUNTIFS(T_StockCount[RM_Code],$A87,T_StockCount[WeekIndex],37)&gt;0,SUMIFS(T_StockCount[CountedQty],T_StockCount[RM_Code],$A87,T_StockCount[WeekIndex],37),IF((COUNTIFS(T_SelfStock[RM_Code],$A87,T_SelfStock[WeekIndex],37)&gt;0)*(COUNTIFS(T_TTAFStock[RM_Code],$A87,T_TTAFStock[WeekIndex],37)&gt;0)&gt;0,SUMIFS(T_SelfStock[Self_Qty],T_SelfStock[RM_Code],$A87,T_SelfStock[WeekIndex],37)+SUMIFS(T_TTAFStock[TTAF_Qty],T_TTAFStock[RM_Code],$A87,T_TTAFStock[WeekIndex],37),AK87+'Grid_Incoming'!AL87-'Grid_Requirement'!AL87))</f>
        <v/>
      </c>
      <c r="AM87">
        <f>IF(COUNTIFS(T_StockCount[RM_Code],$A87,T_StockCount[WeekIndex],38)&gt;0,SUMIFS(T_StockCount[CountedQty],T_StockCount[RM_Code],$A87,T_StockCount[WeekIndex],38),IF((COUNTIFS(T_SelfStock[RM_Code],$A87,T_SelfStock[WeekIndex],38)&gt;0)*(COUNTIFS(T_TTAFStock[RM_Code],$A87,T_TTAFStock[WeekIndex],38)&gt;0)&gt;0,SUMIFS(T_SelfStock[Self_Qty],T_SelfStock[RM_Code],$A87,T_SelfStock[WeekIndex],38)+SUMIFS(T_TTAFStock[TTAF_Qty],T_TTAFStock[RM_Code],$A87,T_TTAFStock[WeekIndex],38),AL87+'Grid_Incoming'!AM87-'Grid_Requirement'!AM87))</f>
        <v/>
      </c>
      <c r="AN87">
        <f>IF(COUNTIFS(T_StockCount[RM_Code],$A87,T_StockCount[WeekIndex],39)&gt;0,SUMIFS(T_StockCount[CountedQty],T_StockCount[RM_Code],$A87,T_StockCount[WeekIndex],39),IF((COUNTIFS(T_SelfStock[RM_Code],$A87,T_SelfStock[WeekIndex],39)&gt;0)*(COUNTIFS(T_TTAFStock[RM_Code],$A87,T_TTAFStock[WeekIndex],39)&gt;0)&gt;0,SUMIFS(T_SelfStock[Self_Qty],T_SelfStock[RM_Code],$A87,T_SelfStock[WeekIndex],39)+SUMIFS(T_TTAFStock[TTAF_Qty],T_TTAFStock[RM_Code],$A87,T_TTAFStock[WeekIndex],39),AM87+'Grid_Incoming'!AN87-'Grid_Requirement'!AN87))</f>
        <v/>
      </c>
      <c r="AO87">
        <f>IF(COUNTIFS(T_StockCount[RM_Code],$A87,T_StockCount[WeekIndex],40)&gt;0,SUMIFS(T_StockCount[CountedQty],T_StockCount[RM_Code],$A87,T_StockCount[WeekIndex],40),IF((COUNTIFS(T_SelfStock[RM_Code],$A87,T_SelfStock[WeekIndex],40)&gt;0)*(COUNTIFS(T_TTAFStock[RM_Code],$A87,T_TTAFStock[WeekIndex],40)&gt;0)&gt;0,SUMIFS(T_SelfStock[Self_Qty],T_SelfStock[RM_Code],$A87,T_SelfStock[WeekIndex],40)+SUMIFS(T_TTAFStock[TTAF_Qty],T_TTAFStock[RM_Code],$A87,T_TTAFStock[WeekIndex],40),AN87+'Grid_Incoming'!AO87-'Grid_Requirement'!AO87))</f>
        <v/>
      </c>
      <c r="AP87">
        <f>IF(COUNTIFS(T_StockCount[RM_Code],$A87,T_StockCount[WeekIndex],41)&gt;0,SUMIFS(T_StockCount[CountedQty],T_StockCount[RM_Code],$A87,T_StockCount[WeekIndex],41),IF((COUNTIFS(T_SelfStock[RM_Code],$A87,T_SelfStock[WeekIndex],41)&gt;0)*(COUNTIFS(T_TTAFStock[RM_Code],$A87,T_TTAFStock[WeekIndex],41)&gt;0)&gt;0,SUMIFS(T_SelfStock[Self_Qty],T_SelfStock[RM_Code],$A87,T_SelfStock[WeekIndex],41)+SUMIFS(T_TTAFStock[TTAF_Qty],T_TTAFStock[RM_Code],$A87,T_TTAFStock[WeekIndex],41),AO87+'Grid_Incoming'!AP87-'Grid_Requirement'!AP87))</f>
        <v/>
      </c>
      <c r="AQ87">
        <f>IF(COUNTIFS(T_StockCount[RM_Code],$A87,T_StockCount[WeekIndex],42)&gt;0,SUMIFS(T_StockCount[CountedQty],T_StockCount[RM_Code],$A87,T_StockCount[WeekIndex],42),IF((COUNTIFS(T_SelfStock[RM_Code],$A87,T_SelfStock[WeekIndex],42)&gt;0)*(COUNTIFS(T_TTAFStock[RM_Code],$A87,T_TTAFStock[WeekIndex],42)&gt;0)&gt;0,SUMIFS(T_SelfStock[Self_Qty],T_SelfStock[RM_Code],$A87,T_SelfStock[WeekIndex],42)+SUMIFS(T_TTAFStock[TTAF_Qty],T_TTAFStock[RM_Code],$A87,T_TTAFStock[WeekIndex],42),AP87+'Grid_Incoming'!AQ87-'Grid_Requirement'!AQ87))</f>
        <v/>
      </c>
      <c r="AR87">
        <f>IF(COUNTIFS(T_StockCount[RM_Code],$A87,T_StockCount[WeekIndex],43)&gt;0,SUMIFS(T_StockCount[CountedQty],T_StockCount[RM_Code],$A87,T_StockCount[WeekIndex],43),IF((COUNTIFS(T_SelfStock[RM_Code],$A87,T_SelfStock[WeekIndex],43)&gt;0)*(COUNTIFS(T_TTAFStock[RM_Code],$A87,T_TTAFStock[WeekIndex],43)&gt;0)&gt;0,SUMIFS(T_SelfStock[Self_Qty],T_SelfStock[RM_Code],$A87,T_SelfStock[WeekIndex],43)+SUMIFS(T_TTAFStock[TTAF_Qty],T_TTAFStock[RM_Code],$A87,T_TTAFStock[WeekIndex],43),AQ87+'Grid_Incoming'!AR87-'Grid_Requirement'!AR87))</f>
        <v/>
      </c>
      <c r="AS87">
        <f>IF(COUNTIFS(T_StockCount[RM_Code],$A87,T_StockCount[WeekIndex],44)&gt;0,SUMIFS(T_StockCount[CountedQty],T_StockCount[RM_Code],$A87,T_StockCount[WeekIndex],44),IF((COUNTIFS(T_SelfStock[RM_Code],$A87,T_SelfStock[WeekIndex],44)&gt;0)*(COUNTIFS(T_TTAFStock[RM_Code],$A87,T_TTAFStock[WeekIndex],44)&gt;0)&gt;0,SUMIFS(T_SelfStock[Self_Qty],T_SelfStock[RM_Code],$A87,T_SelfStock[WeekIndex],44)+SUMIFS(T_TTAFStock[TTAF_Qty],T_TTAFStock[RM_Code],$A87,T_TTAFStock[WeekIndex],44),AR87+'Grid_Incoming'!AS87-'Grid_Requirement'!AS87))</f>
        <v/>
      </c>
      <c r="AT87">
        <f>IF(COUNTIFS(T_StockCount[RM_Code],$A87,T_StockCount[WeekIndex],45)&gt;0,SUMIFS(T_StockCount[CountedQty],T_StockCount[RM_Code],$A87,T_StockCount[WeekIndex],45),IF((COUNTIFS(T_SelfStock[RM_Code],$A87,T_SelfStock[WeekIndex],45)&gt;0)*(COUNTIFS(T_TTAFStock[RM_Code],$A87,T_TTAFStock[WeekIndex],45)&gt;0)&gt;0,SUMIFS(T_SelfStock[Self_Qty],T_SelfStock[RM_Code],$A87,T_SelfStock[WeekIndex],45)+SUMIFS(T_TTAFStock[TTAF_Qty],T_TTAFStock[RM_Code],$A87,T_TTAFStock[WeekIndex],45),AS87+'Grid_Incoming'!AT87-'Grid_Requirement'!AT87))</f>
        <v/>
      </c>
      <c r="AU87">
        <f>IF(COUNTIFS(T_StockCount[RM_Code],$A87,T_StockCount[WeekIndex],46)&gt;0,SUMIFS(T_StockCount[CountedQty],T_StockCount[RM_Code],$A87,T_StockCount[WeekIndex],46),IF((COUNTIFS(T_SelfStock[RM_Code],$A87,T_SelfStock[WeekIndex],46)&gt;0)*(COUNTIFS(T_TTAFStock[RM_Code],$A87,T_TTAFStock[WeekIndex],46)&gt;0)&gt;0,SUMIFS(T_SelfStock[Self_Qty],T_SelfStock[RM_Code],$A87,T_SelfStock[WeekIndex],46)+SUMIFS(T_TTAFStock[TTAF_Qty],T_TTAFStock[RM_Code],$A87,T_TTAFStock[WeekIndex],46),AT87+'Grid_Incoming'!AU87-'Grid_Requirement'!AU87))</f>
        <v/>
      </c>
      <c r="AV87">
        <f>IF(COUNTIFS(T_StockCount[RM_Code],$A87,T_StockCount[WeekIndex],47)&gt;0,SUMIFS(T_StockCount[CountedQty],T_StockCount[RM_Code],$A87,T_StockCount[WeekIndex],47),IF((COUNTIFS(T_SelfStock[RM_Code],$A87,T_SelfStock[WeekIndex],47)&gt;0)*(COUNTIFS(T_TTAFStock[RM_Code],$A87,T_TTAFStock[WeekIndex],47)&gt;0)&gt;0,SUMIFS(T_SelfStock[Self_Qty],T_SelfStock[RM_Code],$A87,T_SelfStock[WeekIndex],47)+SUMIFS(T_TTAFStock[TTAF_Qty],T_TTAFStock[RM_Code],$A87,T_TTAFStock[WeekIndex],47),AU87+'Grid_Incoming'!AV87-'Grid_Requirement'!AV87))</f>
        <v/>
      </c>
      <c r="AW87">
        <f>IF(COUNTIFS(T_StockCount[RM_Code],$A87,T_StockCount[WeekIndex],48)&gt;0,SUMIFS(T_StockCount[CountedQty],T_StockCount[RM_Code],$A87,T_StockCount[WeekIndex],48),IF((COUNTIFS(T_SelfStock[RM_Code],$A87,T_SelfStock[WeekIndex],48)&gt;0)*(COUNTIFS(T_TTAFStock[RM_Code],$A87,T_TTAFStock[WeekIndex],48)&gt;0)&gt;0,SUMIFS(T_SelfStock[Self_Qty],T_SelfStock[RM_Code],$A87,T_SelfStock[WeekIndex],48)+SUMIFS(T_TTAFStock[TTAF_Qty],T_TTAFStock[RM_Code],$A87,T_TTAFStock[WeekIndex],48),AV87+'Grid_Incoming'!AW87-'Grid_Requirement'!AW87))</f>
        <v/>
      </c>
      <c r="AX87">
        <f>IF(COUNTIFS(T_StockCount[RM_Code],$A87,T_StockCount[WeekIndex],49)&gt;0,SUMIFS(T_StockCount[CountedQty],T_StockCount[RM_Code],$A87,T_StockCount[WeekIndex],49),IF((COUNTIFS(T_SelfStock[RM_Code],$A87,T_SelfStock[WeekIndex],49)&gt;0)*(COUNTIFS(T_TTAFStock[RM_Code],$A87,T_TTAFStock[WeekIndex],49)&gt;0)&gt;0,SUMIFS(T_SelfStock[Self_Qty],T_SelfStock[RM_Code],$A87,T_SelfStock[WeekIndex],49)+SUMIFS(T_TTAFStock[TTAF_Qty],T_TTAFStock[RM_Code],$A87,T_TTAFStock[WeekIndex],49),AW87+'Grid_Incoming'!AX87-'Grid_Requirement'!AX87))</f>
        <v/>
      </c>
      <c r="AY87">
        <f>IF(COUNTIFS(T_StockCount[RM_Code],$A87,T_StockCount[WeekIndex],50)&gt;0,SUMIFS(T_StockCount[CountedQty],T_StockCount[RM_Code],$A87,T_StockCount[WeekIndex],50),IF((COUNTIFS(T_SelfStock[RM_Code],$A87,T_SelfStock[WeekIndex],50)&gt;0)*(COUNTIFS(T_TTAFStock[RM_Code],$A87,T_TTAFStock[WeekIndex],50)&gt;0)&gt;0,SUMIFS(T_SelfStock[Self_Qty],T_SelfStock[RM_Code],$A87,T_SelfStock[WeekIndex],50)+SUMIFS(T_TTAFStock[TTAF_Qty],T_TTAFStock[RM_Code],$A87,T_TTAFStock[WeekIndex],50),AX87+'Grid_Incoming'!AY87-'Grid_Requirement'!AY87))</f>
        <v/>
      </c>
      <c r="AZ87">
        <f>IF(COUNTIFS(T_StockCount[RM_Code],$A87,T_StockCount[WeekIndex],51)&gt;0,SUMIFS(T_StockCount[CountedQty],T_StockCount[RM_Code],$A87,T_StockCount[WeekIndex],51),IF((COUNTIFS(T_SelfStock[RM_Code],$A87,T_SelfStock[WeekIndex],51)&gt;0)*(COUNTIFS(T_TTAFStock[RM_Code],$A87,T_TTAFStock[WeekIndex],51)&gt;0)&gt;0,SUMIFS(T_SelfStock[Self_Qty],T_SelfStock[RM_Code],$A87,T_SelfStock[WeekIndex],51)+SUMIFS(T_TTAFStock[TTAF_Qty],T_TTAFStock[RM_Code],$A87,T_TTAFStock[WeekIndex],51),AY87+'Grid_Incoming'!AZ87-'Grid_Requirement'!AZ87))</f>
        <v/>
      </c>
      <c r="BA87">
        <f>IF(COUNTIFS(T_StockCount[RM_Code],$A87,T_StockCount[WeekIndex],52)&gt;0,SUMIFS(T_StockCount[CountedQty],T_StockCount[RM_Code],$A87,T_StockCount[WeekIndex],52),IF((COUNTIFS(T_SelfStock[RM_Code],$A87,T_SelfStock[WeekIndex],52)&gt;0)*(COUNTIFS(T_TTAFStock[RM_Code],$A87,T_TTAFStock[WeekIndex],52)&gt;0)&gt;0,SUMIFS(T_SelfStock[Self_Qty],T_SelfStock[RM_Code],$A87,T_SelfStock[WeekIndex],52)+SUMIFS(T_TTAFStock[TTAF_Qty],T_TTAFStock[RM_Code],$A87,T_TTAFStock[WeekIndex],52),AZ87+'Grid_Incoming'!BA87-'Grid_Requirement'!BA87))</f>
        <v/>
      </c>
      <c r="BB87">
        <f>IF(COUNTIFS(T_StockCount[RM_Code],$A87,T_StockCount[WeekIndex],53)&gt;0,SUMIFS(T_StockCount[CountedQty],T_StockCount[RM_Code],$A87,T_StockCount[WeekIndex],53),IF((COUNTIFS(T_SelfStock[RM_Code],$A87,T_SelfStock[WeekIndex],53)&gt;0)*(COUNTIFS(T_TTAFStock[RM_Code],$A87,T_TTAFStock[WeekIndex],53)&gt;0)&gt;0,SUMIFS(T_SelfStock[Self_Qty],T_SelfStock[RM_Code],$A87,T_SelfStock[WeekIndex],53)+SUMIFS(T_TTAFStock[TTAF_Qty],T_TTAFStock[RM_Code],$A87,T_TTAFStock[WeekIndex],53),BA87+'Grid_Incoming'!BB87-'Grid_Requirement'!BB87))</f>
        <v/>
      </c>
      <c r="BC87">
        <f>IF(COUNTIFS(T_StockCount[RM_Code],$A87,T_StockCount[WeekIndex],54)&gt;0,SUMIFS(T_StockCount[CountedQty],T_StockCount[RM_Code],$A87,T_StockCount[WeekIndex],54),IF((COUNTIFS(T_SelfStock[RM_Code],$A87,T_SelfStock[WeekIndex],54)&gt;0)*(COUNTIFS(T_TTAFStock[RM_Code],$A87,T_TTAFStock[WeekIndex],54)&gt;0)&gt;0,SUMIFS(T_SelfStock[Self_Qty],T_SelfStock[RM_Code],$A87,T_SelfStock[WeekIndex],54)+SUMIFS(T_TTAFStock[TTAF_Qty],T_TTAFStock[RM_Code],$A87,T_TTAFStock[WeekIndex],54),BB87+'Grid_Incoming'!BC87-'Grid_Requirement'!BC87))</f>
        <v/>
      </c>
      <c r="BD87">
        <f>IF(COUNTIFS(T_StockCount[RM_Code],$A87,T_StockCount[WeekIndex],55)&gt;0,SUMIFS(T_StockCount[CountedQty],T_StockCount[RM_Code],$A87,T_StockCount[WeekIndex],55),IF((COUNTIFS(T_SelfStock[RM_Code],$A87,T_SelfStock[WeekIndex],55)&gt;0)*(COUNTIFS(T_TTAFStock[RM_Code],$A87,T_TTAFStock[WeekIndex],55)&gt;0)&gt;0,SUMIFS(T_SelfStock[Self_Qty],T_SelfStock[RM_Code],$A87,T_SelfStock[WeekIndex],55)+SUMIFS(T_TTAFStock[TTAF_Qty],T_TTAFStock[RM_Code],$A87,T_TTAFStock[WeekIndex],55),BC87+'Grid_Incoming'!BD87-'Grid_Requirement'!BD87))</f>
        <v/>
      </c>
      <c r="BE87">
        <f>IF(COUNTIFS(T_StockCount[RM_Code],$A87,T_StockCount[WeekIndex],56)&gt;0,SUMIFS(T_StockCount[CountedQty],T_StockCount[RM_Code],$A87,T_StockCount[WeekIndex],56),IF((COUNTIFS(T_SelfStock[RM_Code],$A87,T_SelfStock[WeekIndex],56)&gt;0)*(COUNTIFS(T_TTAFStock[RM_Code],$A87,T_TTAFStock[WeekIndex],56)&gt;0)&gt;0,SUMIFS(T_SelfStock[Self_Qty],T_SelfStock[RM_Code],$A87,T_SelfStock[WeekIndex],56)+SUMIFS(T_TTAFStock[TTAF_Qty],T_TTAFStock[RM_Code],$A87,T_TTAFStock[WeekIndex],56),BD87+'Grid_Incoming'!BE87-'Grid_Requirement'!BE87))</f>
        <v/>
      </c>
      <c r="BF87">
        <f>IF(COUNTIFS(T_StockCount[RM_Code],$A87,T_StockCount[WeekIndex],57)&gt;0,SUMIFS(T_StockCount[CountedQty],T_StockCount[RM_Code],$A87,T_StockCount[WeekIndex],57),IF((COUNTIFS(T_SelfStock[RM_Code],$A87,T_SelfStock[WeekIndex],57)&gt;0)*(COUNTIFS(T_TTAFStock[RM_Code],$A87,T_TTAFStock[WeekIndex],57)&gt;0)&gt;0,SUMIFS(T_SelfStock[Self_Qty],T_SelfStock[RM_Code],$A87,T_SelfStock[WeekIndex],57)+SUMIFS(T_TTAFStock[TTAF_Qty],T_TTAFStock[RM_Code],$A87,T_TTAFStock[WeekIndex],57),BE87+'Grid_Incoming'!BF87-'Grid_Requirement'!BF87))</f>
        <v/>
      </c>
      <c r="BG87">
        <f>IF(COUNTIFS(T_StockCount[RM_Code],$A87,T_StockCount[WeekIndex],58)&gt;0,SUMIFS(T_StockCount[CountedQty],T_StockCount[RM_Code],$A87,T_StockCount[WeekIndex],58),IF((COUNTIFS(T_SelfStock[RM_Code],$A87,T_SelfStock[WeekIndex],58)&gt;0)*(COUNTIFS(T_TTAFStock[RM_Code],$A87,T_TTAFStock[WeekIndex],58)&gt;0)&gt;0,SUMIFS(T_SelfStock[Self_Qty],T_SelfStock[RM_Code],$A87,T_SelfStock[WeekIndex],58)+SUMIFS(T_TTAFStock[TTAF_Qty],T_TTAFStock[RM_Code],$A87,T_TTAFStock[WeekIndex],58),BF87+'Grid_Incoming'!BG87-'Grid_Requirement'!BG87))</f>
        <v/>
      </c>
      <c r="BH87">
        <f>IF(COUNTIFS(T_StockCount[RM_Code],$A87,T_StockCount[WeekIndex],59)&gt;0,SUMIFS(T_StockCount[CountedQty],T_StockCount[RM_Code],$A87,T_StockCount[WeekIndex],59),IF((COUNTIFS(T_SelfStock[RM_Code],$A87,T_SelfStock[WeekIndex],59)&gt;0)*(COUNTIFS(T_TTAFStock[RM_Code],$A87,T_TTAFStock[WeekIndex],59)&gt;0)&gt;0,SUMIFS(T_SelfStock[Self_Qty],T_SelfStock[RM_Code],$A87,T_SelfStock[WeekIndex],59)+SUMIFS(T_TTAFStock[TTAF_Qty],T_TTAFStock[RM_Code],$A87,T_TTAFStock[WeekIndex],59),BG87+'Grid_Incoming'!BH87-'Grid_Requirement'!BH87))</f>
        <v/>
      </c>
      <c r="BI87">
        <f>IF(COUNTIFS(T_StockCount[RM_Code],$A87,T_StockCount[WeekIndex],60)&gt;0,SUMIFS(T_StockCount[CountedQty],T_StockCount[RM_Code],$A87,T_StockCount[WeekIndex],60),IF((COUNTIFS(T_SelfStock[RM_Code],$A87,T_SelfStock[WeekIndex],60)&gt;0)*(COUNTIFS(T_TTAFStock[RM_Code],$A87,T_TTAFStock[WeekIndex],60)&gt;0)&gt;0,SUMIFS(T_SelfStock[Self_Qty],T_SelfStock[RM_Code],$A87,T_SelfStock[WeekIndex],60)+SUMIFS(T_TTAFStock[TTAF_Qty],T_TTAFStock[RM_Code],$A87,T_TTAFStock[WeekIndex],60),BH87+'Grid_Incoming'!BI87-'Grid_Requirement'!BI87))</f>
        <v/>
      </c>
      <c r="BJ87">
        <f>IF(COUNTIFS(T_StockCount[RM_Code],$A87,T_StockCount[WeekIndex],61)&gt;0,SUMIFS(T_StockCount[CountedQty],T_StockCount[RM_Code],$A87,T_StockCount[WeekIndex],61),IF((COUNTIFS(T_SelfStock[RM_Code],$A87,T_SelfStock[WeekIndex],61)&gt;0)*(COUNTIFS(T_TTAFStock[RM_Code],$A87,T_TTAFStock[WeekIndex],61)&gt;0)&gt;0,SUMIFS(T_SelfStock[Self_Qty],T_SelfStock[RM_Code],$A87,T_SelfStock[WeekIndex],61)+SUMIFS(T_TTAFStock[TTAF_Qty],T_TTAFStock[RM_Code],$A87,T_TTAFStock[WeekIndex],61),BI87+'Grid_Incoming'!BJ87-'Grid_Requirement'!BJ87))</f>
        <v/>
      </c>
      <c r="BK87">
        <f>IF(COUNTIFS(T_StockCount[RM_Code],$A87,T_StockCount[WeekIndex],62)&gt;0,SUMIFS(T_StockCount[CountedQty],T_StockCount[RM_Code],$A87,T_StockCount[WeekIndex],62),IF((COUNTIFS(T_SelfStock[RM_Code],$A87,T_SelfStock[WeekIndex],62)&gt;0)*(COUNTIFS(T_TTAFStock[RM_Code],$A87,T_TTAFStock[WeekIndex],62)&gt;0)&gt;0,SUMIFS(T_SelfStock[Self_Qty],T_SelfStock[RM_Code],$A87,T_SelfStock[WeekIndex],62)+SUMIFS(T_TTAFStock[TTAF_Qty],T_TTAFStock[RM_Code],$A87,T_TTAFStock[WeekIndex],62),BJ87+'Grid_Incoming'!BK87-'Grid_Requirement'!BK87))</f>
        <v/>
      </c>
      <c r="BL87">
        <f>IF(COUNTIFS(T_StockCount[RM_Code],$A87,T_StockCount[WeekIndex],63)&gt;0,SUMIFS(T_StockCount[CountedQty],T_StockCount[RM_Code],$A87,T_StockCount[WeekIndex],63),IF((COUNTIFS(T_SelfStock[RM_Code],$A87,T_SelfStock[WeekIndex],63)&gt;0)*(COUNTIFS(T_TTAFStock[RM_Code],$A87,T_TTAFStock[WeekIndex],63)&gt;0)&gt;0,SUMIFS(T_SelfStock[Self_Qty],T_SelfStock[RM_Code],$A87,T_SelfStock[WeekIndex],63)+SUMIFS(T_TTAFStock[TTAF_Qty],T_TTAFStock[RM_Code],$A87,T_TTAFStock[WeekIndex],63),BK87+'Grid_Incoming'!BL87-'Grid_Requirement'!BL87))</f>
        <v/>
      </c>
      <c r="BM87">
        <f>IF(COUNTIFS(T_StockCount[RM_Code],$A87,T_StockCount[WeekIndex],64)&gt;0,SUMIFS(T_StockCount[CountedQty],T_StockCount[RM_Code],$A87,T_StockCount[WeekIndex],64),IF((COUNTIFS(T_SelfStock[RM_Code],$A87,T_SelfStock[WeekIndex],64)&gt;0)*(COUNTIFS(T_TTAFStock[RM_Code],$A87,T_TTAFStock[WeekIndex],64)&gt;0)&gt;0,SUMIFS(T_SelfStock[Self_Qty],T_SelfStock[RM_Code],$A87,T_SelfStock[WeekIndex],64)+SUMIFS(T_TTAFStock[TTAF_Qty],T_TTAFStock[RM_Code],$A87,T_TTAFStock[WeekIndex],64),BL87+'Grid_Incoming'!BM87-'Grid_Requirement'!BM87))</f>
        <v/>
      </c>
      <c r="BN87">
        <f>IF(COUNTIFS(T_StockCount[RM_Code],$A87,T_StockCount[WeekIndex],65)&gt;0,SUMIFS(T_StockCount[CountedQty],T_StockCount[RM_Code],$A87,T_StockCount[WeekIndex],65),IF((COUNTIFS(T_SelfStock[RM_Code],$A87,T_SelfStock[WeekIndex],65)&gt;0)*(COUNTIFS(T_TTAFStock[RM_Code],$A87,T_TTAFStock[WeekIndex],65)&gt;0)&gt;0,SUMIFS(T_SelfStock[Self_Qty],T_SelfStock[RM_Code],$A87,T_SelfStock[WeekIndex],65)+SUMIFS(T_TTAFStock[TTAF_Qty],T_TTAFStock[RM_Code],$A87,T_TTAFStock[WeekIndex],65),BM87+'Grid_Incoming'!BN87-'Grid_Requirement'!BN87))</f>
        <v/>
      </c>
      <c r="BO87">
        <f>IF(COUNTIFS(T_StockCount[RM_Code],$A87,T_StockCount[WeekIndex],66)&gt;0,SUMIFS(T_StockCount[CountedQty],T_StockCount[RM_Code],$A87,T_StockCount[WeekIndex],66),IF((COUNTIFS(T_SelfStock[RM_Code],$A87,T_SelfStock[WeekIndex],66)&gt;0)*(COUNTIFS(T_TTAFStock[RM_Code],$A87,T_TTAFStock[WeekIndex],66)&gt;0)&gt;0,SUMIFS(T_SelfStock[Self_Qty],T_SelfStock[RM_Code],$A87,T_SelfStock[WeekIndex],66)+SUMIFS(T_TTAFStock[TTAF_Qty],T_TTAFStock[RM_Code],$A87,T_TTAFStock[WeekIndex],66),BN87+'Grid_Incoming'!BO87-'Grid_Requirement'!BO87))</f>
        <v/>
      </c>
      <c r="BP87">
        <f>IF(COUNTIFS(T_StockCount[RM_Code],$A87,T_StockCount[WeekIndex],67)&gt;0,SUMIFS(T_StockCount[CountedQty],T_StockCount[RM_Code],$A87,T_StockCount[WeekIndex],67),IF((COUNTIFS(T_SelfStock[RM_Code],$A87,T_SelfStock[WeekIndex],67)&gt;0)*(COUNTIFS(T_TTAFStock[RM_Code],$A87,T_TTAFStock[WeekIndex],67)&gt;0)&gt;0,SUMIFS(T_SelfStock[Self_Qty],T_SelfStock[RM_Code],$A87,T_SelfStock[WeekIndex],67)+SUMIFS(T_TTAFStock[TTAF_Qty],T_TTAFStock[RM_Code],$A87,T_TTAFStock[WeekIndex],67),BO87+'Grid_Incoming'!BP87-'Grid_Requirement'!BP87))</f>
        <v/>
      </c>
      <c r="BQ87">
        <f>IF(COUNTIFS(T_StockCount[RM_Code],$A87,T_StockCount[WeekIndex],68)&gt;0,SUMIFS(T_StockCount[CountedQty],T_StockCount[RM_Code],$A87,T_StockCount[WeekIndex],68),IF((COUNTIFS(T_SelfStock[RM_Code],$A87,T_SelfStock[WeekIndex],68)&gt;0)*(COUNTIFS(T_TTAFStock[RM_Code],$A87,T_TTAFStock[WeekIndex],68)&gt;0)&gt;0,SUMIFS(T_SelfStock[Self_Qty],T_SelfStock[RM_Code],$A87,T_SelfStock[WeekIndex],68)+SUMIFS(T_TTAFStock[TTAF_Qty],T_TTAFStock[RM_Code],$A87,T_TTAFStock[WeekIndex],68),BP87+'Grid_Incoming'!BQ87-'Grid_Requirement'!BQ87))</f>
        <v/>
      </c>
      <c r="BR87">
        <f>IF(COUNTIFS(T_StockCount[RM_Code],$A87,T_StockCount[WeekIndex],69)&gt;0,SUMIFS(T_StockCount[CountedQty],T_StockCount[RM_Code],$A87,T_StockCount[WeekIndex],69),IF((COUNTIFS(T_SelfStock[RM_Code],$A87,T_SelfStock[WeekIndex],69)&gt;0)*(COUNTIFS(T_TTAFStock[RM_Code],$A87,T_TTAFStock[WeekIndex],69)&gt;0)&gt;0,SUMIFS(T_SelfStock[Self_Qty],T_SelfStock[RM_Code],$A87,T_SelfStock[WeekIndex],69)+SUMIFS(T_TTAFStock[TTAF_Qty],T_TTAFStock[RM_Code],$A87,T_TTAFStock[WeekIndex],69),BQ87+'Grid_Incoming'!BR87-'Grid_Requirement'!BR87))</f>
        <v/>
      </c>
      <c r="BS87">
        <f>IF(COUNTIFS(T_StockCount[RM_Code],$A87,T_StockCount[WeekIndex],70)&gt;0,SUMIFS(T_StockCount[CountedQty],T_StockCount[RM_Code],$A87,T_StockCount[WeekIndex],70),IF((COUNTIFS(T_SelfStock[RM_Code],$A87,T_SelfStock[WeekIndex],70)&gt;0)*(COUNTIFS(T_TTAFStock[RM_Code],$A87,T_TTAFStock[WeekIndex],70)&gt;0)&gt;0,SUMIFS(T_SelfStock[Self_Qty],T_SelfStock[RM_Code],$A87,T_SelfStock[WeekIndex],70)+SUMIFS(T_TTAFStock[TTAF_Qty],T_TTAFStock[RM_Code],$A87,T_TTAFStock[WeekIndex],70),BR87+'Grid_Incoming'!BS87-'Grid_Requirement'!BS87))</f>
        <v/>
      </c>
      <c r="BT87">
        <f>IF(COUNTIFS(T_StockCount[RM_Code],$A87,T_StockCount[WeekIndex],71)&gt;0,SUMIFS(T_StockCount[CountedQty],T_StockCount[RM_Code],$A87,T_StockCount[WeekIndex],71),IF((COUNTIFS(T_SelfStock[RM_Code],$A87,T_SelfStock[WeekIndex],71)&gt;0)*(COUNTIFS(T_TTAFStock[RM_Code],$A87,T_TTAFStock[WeekIndex],71)&gt;0)&gt;0,SUMIFS(T_SelfStock[Self_Qty],T_SelfStock[RM_Code],$A87,T_SelfStock[WeekIndex],71)+SUMIFS(T_TTAFStock[TTAF_Qty],T_TTAFStock[RM_Code],$A87,T_TTAFStock[WeekIndex],71),BS87+'Grid_Incoming'!BT87-'Grid_Requirement'!BT87))</f>
        <v/>
      </c>
      <c r="BU87">
        <f>IF(COUNTIFS(T_StockCount[RM_Code],$A87,T_StockCount[WeekIndex],72)&gt;0,SUMIFS(T_StockCount[CountedQty],T_StockCount[RM_Code],$A87,T_StockCount[WeekIndex],72),IF((COUNTIFS(T_SelfStock[RM_Code],$A87,T_SelfStock[WeekIndex],72)&gt;0)*(COUNTIFS(T_TTAFStock[RM_Code],$A87,T_TTAFStock[WeekIndex],72)&gt;0)&gt;0,SUMIFS(T_SelfStock[Self_Qty],T_SelfStock[RM_Code],$A87,T_SelfStock[WeekIndex],72)+SUMIFS(T_TTAFStock[TTAF_Qty],T_TTAFStock[RM_Code],$A87,T_TTAFStock[WeekIndex],72),BT87+'Grid_Incoming'!BU87-'Grid_Requirement'!BU87))</f>
        <v/>
      </c>
      <c r="BV87">
        <f>IF(COUNTIFS(T_StockCount[RM_Code],$A87,T_StockCount[WeekIndex],73)&gt;0,SUMIFS(T_StockCount[CountedQty],T_StockCount[RM_Code],$A87,T_StockCount[WeekIndex],73),IF((COUNTIFS(T_SelfStock[RM_Code],$A87,T_SelfStock[WeekIndex],73)&gt;0)*(COUNTIFS(T_TTAFStock[RM_Code],$A87,T_TTAFStock[WeekIndex],73)&gt;0)&gt;0,SUMIFS(T_SelfStock[Self_Qty],T_SelfStock[RM_Code],$A87,T_SelfStock[WeekIndex],73)+SUMIFS(T_TTAFStock[TTAF_Qty],T_TTAFStock[RM_Code],$A87,T_TTAFStock[WeekIndex],73),BU87+'Grid_Incoming'!BV87-'Grid_Requirement'!BV87))</f>
        <v/>
      </c>
      <c r="BW87">
        <f>IF(COUNTIFS(T_StockCount[RM_Code],$A87,T_StockCount[WeekIndex],74)&gt;0,SUMIFS(T_StockCount[CountedQty],T_StockCount[RM_Code],$A87,T_StockCount[WeekIndex],74),IF((COUNTIFS(T_SelfStock[RM_Code],$A87,T_SelfStock[WeekIndex],74)&gt;0)*(COUNTIFS(T_TTAFStock[RM_Code],$A87,T_TTAFStock[WeekIndex],74)&gt;0)&gt;0,SUMIFS(T_SelfStock[Self_Qty],T_SelfStock[RM_Code],$A87,T_SelfStock[WeekIndex],74)+SUMIFS(T_TTAFStock[TTAF_Qty],T_TTAFStock[RM_Code],$A87,T_TTAFStock[WeekIndex],74),BV87+'Grid_Incoming'!BW87-'Grid_Requirement'!BW87))</f>
        <v/>
      </c>
      <c r="BX87">
        <f>IF(COUNTIFS(T_StockCount[RM_Code],$A87,T_StockCount[WeekIndex],75)&gt;0,SUMIFS(T_StockCount[CountedQty],T_StockCount[RM_Code],$A87,T_StockCount[WeekIndex],75),IF((COUNTIFS(T_SelfStock[RM_Code],$A87,T_SelfStock[WeekIndex],75)&gt;0)*(COUNTIFS(T_TTAFStock[RM_Code],$A87,T_TTAFStock[WeekIndex],75)&gt;0)&gt;0,SUMIFS(T_SelfStock[Self_Qty],T_SelfStock[RM_Code],$A87,T_SelfStock[WeekIndex],75)+SUMIFS(T_TTAFStock[TTAF_Qty],T_TTAFStock[RM_Code],$A87,T_TTAFStock[WeekIndex],75),BW87+'Grid_Incoming'!BX87-'Grid_Requirement'!BX87))</f>
        <v/>
      </c>
      <c r="BY87">
        <f>IF(COUNTIFS(T_StockCount[RM_Code],$A87,T_StockCount[WeekIndex],76)&gt;0,SUMIFS(T_StockCount[CountedQty],T_StockCount[RM_Code],$A87,T_StockCount[WeekIndex],76),IF((COUNTIFS(T_SelfStock[RM_Code],$A87,T_SelfStock[WeekIndex],76)&gt;0)*(COUNTIFS(T_TTAFStock[RM_Code],$A87,T_TTAFStock[WeekIndex],76)&gt;0)&gt;0,SUMIFS(T_SelfStock[Self_Qty],T_SelfStock[RM_Code],$A87,T_SelfStock[WeekIndex],76)+SUMIFS(T_TTAFStock[TTAF_Qty],T_TTAFStock[RM_Code],$A87,T_TTAFStock[WeekIndex],76),BX87+'Grid_Incoming'!BY87-'Grid_Requirement'!BY87))</f>
        <v/>
      </c>
      <c r="BZ87">
        <f>IF(COUNTIFS(T_StockCount[RM_Code],$A87,T_StockCount[WeekIndex],77)&gt;0,SUMIFS(T_StockCount[CountedQty],T_StockCount[RM_Code],$A87,T_StockCount[WeekIndex],77),IF((COUNTIFS(T_SelfStock[RM_Code],$A87,T_SelfStock[WeekIndex],77)&gt;0)*(COUNTIFS(T_TTAFStock[RM_Code],$A87,T_TTAFStock[WeekIndex],77)&gt;0)&gt;0,SUMIFS(T_SelfStock[Self_Qty],T_SelfStock[RM_Code],$A87,T_SelfStock[WeekIndex],77)+SUMIFS(T_TTAFStock[TTAF_Qty],T_TTAFStock[RM_Code],$A87,T_TTAFStock[WeekIndex],77),BY87+'Grid_Incoming'!BZ87-'Grid_Requirement'!BZ87))</f>
        <v/>
      </c>
      <c r="CA87">
        <f>IF(COUNTIFS(T_StockCount[RM_Code],$A87,T_StockCount[WeekIndex],78)&gt;0,SUMIFS(T_StockCount[CountedQty],T_StockCount[RM_Code],$A87,T_StockCount[WeekIndex],78),IF((COUNTIFS(T_SelfStock[RM_Code],$A87,T_SelfStock[WeekIndex],78)&gt;0)*(COUNTIFS(T_TTAFStock[RM_Code],$A87,T_TTAFStock[WeekIndex],78)&gt;0)&gt;0,SUMIFS(T_SelfStock[Self_Qty],T_SelfStock[RM_Code],$A87,T_SelfStock[WeekIndex],78)+SUMIFS(T_TTAFStock[TTAF_Qty],T_TTAFStock[RM_Code],$A87,T_TTAFStock[WeekIndex],78),BZ87+'Grid_Incoming'!CA87-'Grid_Requirement'!CA87))</f>
        <v/>
      </c>
      <c r="CB87">
        <f>IF(COUNTIFS(T_StockCount[RM_Code],$A87,T_StockCount[WeekIndex],79)&gt;0,SUMIFS(T_StockCount[CountedQty],T_StockCount[RM_Code],$A87,T_StockCount[WeekIndex],79),IF((COUNTIFS(T_SelfStock[RM_Code],$A87,T_SelfStock[WeekIndex],79)&gt;0)*(COUNTIFS(T_TTAFStock[RM_Code],$A87,T_TTAFStock[WeekIndex],79)&gt;0)&gt;0,SUMIFS(T_SelfStock[Self_Qty],T_SelfStock[RM_Code],$A87,T_SelfStock[WeekIndex],79)+SUMIFS(T_TTAFStock[TTAF_Qty],T_TTAFStock[RM_Code],$A87,T_TTAFStock[WeekIndex],79),CA87+'Grid_Incoming'!CB87-'Grid_Requirement'!CB87))</f>
        <v/>
      </c>
      <c r="CC87">
        <f>IF(COUNTIFS(T_StockCount[RM_Code],$A87,T_StockCount[WeekIndex],80)&gt;0,SUMIFS(T_StockCount[CountedQty],T_StockCount[RM_Code],$A87,T_StockCount[WeekIndex],80),IF((COUNTIFS(T_SelfStock[RM_Code],$A87,T_SelfStock[WeekIndex],80)&gt;0)*(COUNTIFS(T_TTAFStock[RM_Code],$A87,T_TTAFStock[WeekIndex],80)&gt;0)&gt;0,SUMIFS(T_SelfStock[Self_Qty],T_SelfStock[RM_Code],$A87,T_SelfStock[WeekIndex],80)+SUMIFS(T_TTAFStock[TTAF_Qty],T_TTAFStock[RM_Code],$A87,T_TTAFStock[WeekIndex],80),CB87+'Grid_Incoming'!CC87-'Grid_Requirement'!CC87))</f>
        <v/>
      </c>
      <c r="CD87">
        <f>IF(COUNTIFS(T_StockCount[RM_Code],$A87,T_StockCount[WeekIndex],81)&gt;0,SUMIFS(T_StockCount[CountedQty],T_StockCount[RM_Code],$A87,T_StockCount[WeekIndex],81),IF((COUNTIFS(T_SelfStock[RM_Code],$A87,T_SelfStock[WeekIndex],81)&gt;0)*(COUNTIFS(T_TTAFStock[RM_Code],$A87,T_TTAFStock[WeekIndex],81)&gt;0)&gt;0,SUMIFS(T_SelfStock[Self_Qty],T_SelfStock[RM_Code],$A87,T_SelfStock[WeekIndex],81)+SUMIFS(T_TTAFStock[TTAF_Qty],T_TTAFStock[RM_Code],$A87,T_TTAFStock[WeekIndex],81),CC87+'Grid_Incoming'!CD87-'Grid_Requirement'!CD87))</f>
        <v/>
      </c>
      <c r="CE87">
        <f>IF(COUNTIFS(T_StockCount[RM_Code],$A87,T_StockCount[WeekIndex],82)&gt;0,SUMIFS(T_StockCount[CountedQty],T_StockCount[RM_Code],$A87,T_StockCount[WeekIndex],82),IF((COUNTIFS(T_SelfStock[RM_Code],$A87,T_SelfStock[WeekIndex],82)&gt;0)*(COUNTIFS(T_TTAFStock[RM_Code],$A87,T_TTAFStock[WeekIndex],82)&gt;0)&gt;0,SUMIFS(T_SelfStock[Self_Qty],T_SelfStock[RM_Code],$A87,T_SelfStock[WeekIndex],82)+SUMIFS(T_TTAFStock[TTAF_Qty],T_TTAFStock[RM_Code],$A87,T_TTAFStock[WeekIndex],82),CD87+'Grid_Incoming'!CE87-'Grid_Requirement'!CE87))</f>
        <v/>
      </c>
      <c r="CF87">
        <f>IF(COUNTIFS(T_StockCount[RM_Code],$A87,T_StockCount[WeekIndex],83)&gt;0,SUMIFS(T_StockCount[CountedQty],T_StockCount[RM_Code],$A87,T_StockCount[WeekIndex],83),IF((COUNTIFS(T_SelfStock[RM_Code],$A87,T_SelfStock[WeekIndex],83)&gt;0)*(COUNTIFS(T_TTAFStock[RM_Code],$A87,T_TTAFStock[WeekIndex],83)&gt;0)&gt;0,SUMIFS(T_SelfStock[Self_Qty],T_SelfStock[RM_Code],$A87,T_SelfStock[WeekIndex],83)+SUMIFS(T_TTAFStock[TTAF_Qty],T_TTAFStock[RM_Code],$A87,T_TTAFStock[WeekIndex],83),CE87+'Grid_Incoming'!CF87-'Grid_Requirement'!CF87))</f>
        <v/>
      </c>
      <c r="CG87">
        <f>IF(COUNTIFS(T_StockCount[RM_Code],$A87,T_StockCount[WeekIndex],84)&gt;0,SUMIFS(T_StockCount[CountedQty],T_StockCount[RM_Code],$A87,T_StockCount[WeekIndex],84),IF((COUNTIFS(T_SelfStock[RM_Code],$A87,T_SelfStock[WeekIndex],84)&gt;0)*(COUNTIFS(T_TTAFStock[RM_Code],$A87,T_TTAFStock[WeekIndex],84)&gt;0)&gt;0,SUMIFS(T_SelfStock[Self_Qty],T_SelfStock[RM_Code],$A87,T_SelfStock[WeekIndex],84)+SUMIFS(T_TTAFStock[TTAF_Qty],T_TTAFStock[RM_Code],$A87,T_TTAFStock[WeekIndex],84),CF87+'Grid_Incoming'!CG87-'Grid_Requirement'!CG87))</f>
        <v/>
      </c>
      <c r="CH87">
        <f>IF(COUNTIFS(T_StockCount[RM_Code],$A87,T_StockCount[WeekIndex],85)&gt;0,SUMIFS(T_StockCount[CountedQty],T_StockCount[RM_Code],$A87,T_StockCount[WeekIndex],85),IF((COUNTIFS(T_SelfStock[RM_Code],$A87,T_SelfStock[WeekIndex],85)&gt;0)*(COUNTIFS(T_TTAFStock[RM_Code],$A87,T_TTAFStock[WeekIndex],85)&gt;0)&gt;0,SUMIFS(T_SelfStock[Self_Qty],T_SelfStock[RM_Code],$A87,T_SelfStock[WeekIndex],85)+SUMIFS(T_TTAFStock[TTAF_Qty],T_TTAFStock[RM_Code],$A87,T_TTAFStock[WeekIndex],85),CG87+'Grid_Incoming'!CH87-'Grid_Requirement'!CH87))</f>
        <v/>
      </c>
      <c r="CI87">
        <f>IF(COUNTIFS(T_StockCount[RM_Code],$A87,T_StockCount[WeekIndex],86)&gt;0,SUMIFS(T_StockCount[CountedQty],T_StockCount[RM_Code],$A87,T_StockCount[WeekIndex],86),IF((COUNTIFS(T_SelfStock[RM_Code],$A87,T_SelfStock[WeekIndex],86)&gt;0)*(COUNTIFS(T_TTAFStock[RM_Code],$A87,T_TTAFStock[WeekIndex],86)&gt;0)&gt;0,SUMIFS(T_SelfStock[Self_Qty],T_SelfStock[RM_Code],$A87,T_SelfStock[WeekIndex],86)+SUMIFS(T_TTAFStock[TTAF_Qty],T_TTAFStock[RM_Code],$A87,T_TTAFStock[WeekIndex],86),CH87+'Grid_Incoming'!CI87-'Grid_Requirement'!CI87))</f>
        <v/>
      </c>
      <c r="CJ87">
        <f>IF(COUNTIFS(T_StockCount[RM_Code],$A87,T_StockCount[WeekIndex],87)&gt;0,SUMIFS(T_StockCount[CountedQty],T_StockCount[RM_Code],$A87,T_StockCount[WeekIndex],87),IF((COUNTIFS(T_SelfStock[RM_Code],$A87,T_SelfStock[WeekIndex],87)&gt;0)*(COUNTIFS(T_TTAFStock[RM_Code],$A87,T_TTAFStock[WeekIndex],87)&gt;0)&gt;0,SUMIFS(T_SelfStock[Self_Qty],T_SelfStock[RM_Code],$A87,T_SelfStock[WeekIndex],87)+SUMIFS(T_TTAFStock[TTAF_Qty],T_TTAFStock[RM_Code],$A87,T_TTAFStock[WeekIndex],87),CI87+'Grid_Incoming'!CJ87-'Grid_Requirement'!CJ87))</f>
        <v/>
      </c>
      <c r="CK87">
        <f>IF(COUNTIFS(T_StockCount[RM_Code],$A87,T_StockCount[WeekIndex],88)&gt;0,SUMIFS(T_StockCount[CountedQty],T_StockCount[RM_Code],$A87,T_StockCount[WeekIndex],88),IF((COUNTIFS(T_SelfStock[RM_Code],$A87,T_SelfStock[WeekIndex],88)&gt;0)*(COUNTIFS(T_TTAFStock[RM_Code],$A87,T_TTAFStock[WeekIndex],88)&gt;0)&gt;0,SUMIFS(T_SelfStock[Self_Qty],T_SelfStock[RM_Code],$A87,T_SelfStock[WeekIndex],88)+SUMIFS(T_TTAFStock[TTAF_Qty],T_TTAFStock[RM_Code],$A87,T_TTAFStock[WeekIndex],88),CJ87+'Grid_Incoming'!CK87-'Grid_Requirement'!CK87))</f>
        <v/>
      </c>
      <c r="CL87">
        <f>IF(COUNTIFS(T_StockCount[RM_Code],$A87,T_StockCount[WeekIndex],89)&gt;0,SUMIFS(T_StockCount[CountedQty],T_StockCount[RM_Code],$A87,T_StockCount[WeekIndex],89),IF((COUNTIFS(T_SelfStock[RM_Code],$A87,T_SelfStock[WeekIndex],89)&gt;0)*(COUNTIFS(T_TTAFStock[RM_Code],$A87,T_TTAFStock[WeekIndex],89)&gt;0)&gt;0,SUMIFS(T_SelfStock[Self_Qty],T_SelfStock[RM_Code],$A87,T_SelfStock[WeekIndex],89)+SUMIFS(T_TTAFStock[TTAF_Qty],T_TTAFStock[RM_Code],$A87,T_TTAFStock[WeekIndex],89),CK87+'Grid_Incoming'!CL87-'Grid_Requirement'!CL87))</f>
        <v/>
      </c>
      <c r="CM87">
        <f>IF(COUNTIFS(T_StockCount[RM_Code],$A87,T_StockCount[WeekIndex],90)&gt;0,SUMIFS(T_StockCount[CountedQty],T_StockCount[RM_Code],$A87,T_StockCount[WeekIndex],90),IF((COUNTIFS(T_SelfStock[RM_Code],$A87,T_SelfStock[WeekIndex],90)&gt;0)*(COUNTIFS(T_TTAFStock[RM_Code],$A87,T_TTAFStock[WeekIndex],90)&gt;0)&gt;0,SUMIFS(T_SelfStock[Self_Qty],T_SelfStock[RM_Code],$A87,T_SelfStock[WeekIndex],90)+SUMIFS(T_TTAFStock[TTAF_Qty],T_TTAFStock[RM_Code],$A87,T_TTAFStock[WeekIndex],90),CL87+'Grid_Incoming'!CM87-'Grid_Requirement'!CM87))</f>
        <v/>
      </c>
      <c r="CN87">
        <f>IF(COUNTIFS(T_StockCount[RM_Code],$A87,T_StockCount[WeekIndex],91)&gt;0,SUMIFS(T_StockCount[CountedQty],T_StockCount[RM_Code],$A87,T_StockCount[WeekIndex],91),IF((COUNTIFS(T_SelfStock[RM_Code],$A87,T_SelfStock[WeekIndex],91)&gt;0)*(COUNTIFS(T_TTAFStock[RM_Code],$A87,T_TTAFStock[WeekIndex],91)&gt;0)&gt;0,SUMIFS(T_SelfStock[Self_Qty],T_SelfStock[RM_Code],$A87,T_SelfStock[WeekIndex],91)+SUMIFS(T_TTAFStock[TTAF_Qty],T_TTAFStock[RM_Code],$A87,T_TTAFStock[WeekIndex],91),CM87+'Grid_Incoming'!CN87-'Grid_Requirement'!CN87))</f>
        <v/>
      </c>
      <c r="CO87">
        <f>IF(COUNTIFS(T_StockCount[RM_Code],$A87,T_StockCount[WeekIndex],92)&gt;0,SUMIFS(T_StockCount[CountedQty],T_StockCount[RM_Code],$A87,T_StockCount[WeekIndex],92),IF((COUNTIFS(T_SelfStock[RM_Code],$A87,T_SelfStock[WeekIndex],92)&gt;0)*(COUNTIFS(T_TTAFStock[RM_Code],$A87,T_TTAFStock[WeekIndex],92)&gt;0)&gt;0,SUMIFS(T_SelfStock[Self_Qty],T_SelfStock[RM_Code],$A87,T_SelfStock[WeekIndex],92)+SUMIFS(T_TTAFStock[TTAF_Qty],T_TTAFStock[RM_Code],$A87,T_TTAFStock[WeekIndex],92),CN87+'Grid_Incoming'!CO87-'Grid_Requirement'!CO87))</f>
        <v/>
      </c>
      <c r="CP87">
        <f>IF(COUNTIFS(T_StockCount[RM_Code],$A87,T_StockCount[WeekIndex],93)&gt;0,SUMIFS(T_StockCount[CountedQty],T_StockCount[RM_Code],$A87,T_StockCount[WeekIndex],93),IF((COUNTIFS(T_SelfStock[RM_Code],$A87,T_SelfStock[WeekIndex],93)&gt;0)*(COUNTIFS(T_TTAFStock[RM_Code],$A87,T_TTAFStock[WeekIndex],93)&gt;0)&gt;0,SUMIFS(T_SelfStock[Self_Qty],T_SelfStock[RM_Code],$A87,T_SelfStock[WeekIndex],93)+SUMIFS(T_TTAFStock[TTAF_Qty],T_TTAFStock[RM_Code],$A87,T_TTAFStock[WeekIndex],93),CO87+'Grid_Incoming'!CP87-'Grid_Requirement'!CP87))</f>
        <v/>
      </c>
      <c r="CQ87">
        <f>IF(COUNTIFS(T_StockCount[RM_Code],$A87,T_StockCount[WeekIndex],94)&gt;0,SUMIFS(T_StockCount[CountedQty],T_StockCount[RM_Code],$A87,T_StockCount[WeekIndex],94),IF((COUNTIFS(T_SelfStock[RM_Code],$A87,T_SelfStock[WeekIndex],94)&gt;0)*(COUNTIFS(T_TTAFStock[RM_Code],$A87,T_TTAFStock[WeekIndex],94)&gt;0)&gt;0,SUMIFS(T_SelfStock[Self_Qty],T_SelfStock[RM_Code],$A87,T_SelfStock[WeekIndex],94)+SUMIFS(T_TTAFStock[TTAF_Qty],T_TTAFStock[RM_Code],$A87,T_TTAFStock[WeekIndex],94),CP87+'Grid_Incoming'!CQ87-'Grid_Requirement'!CQ87))</f>
        <v/>
      </c>
      <c r="CR87">
        <f>IF(COUNTIFS(T_StockCount[RM_Code],$A87,T_StockCount[WeekIndex],95)&gt;0,SUMIFS(T_StockCount[CountedQty],T_StockCount[RM_Code],$A87,T_StockCount[WeekIndex],95),IF((COUNTIFS(T_SelfStock[RM_Code],$A87,T_SelfStock[WeekIndex],95)&gt;0)*(COUNTIFS(T_TTAFStock[RM_Code],$A87,T_TTAFStock[WeekIndex],95)&gt;0)&gt;0,SUMIFS(T_SelfStock[Self_Qty],T_SelfStock[RM_Code],$A87,T_SelfStock[WeekIndex],95)+SUMIFS(T_TTAFStock[TTAF_Qty],T_TTAFStock[RM_Code],$A87,T_TTAFStock[WeekIndex],95),CQ87+'Grid_Incoming'!CR87-'Grid_Requirement'!CR87))</f>
        <v/>
      </c>
      <c r="CS87">
        <f>IF(COUNTIFS(T_StockCount[RM_Code],$A87,T_StockCount[WeekIndex],96)&gt;0,SUMIFS(T_StockCount[CountedQty],T_StockCount[RM_Code],$A87,T_StockCount[WeekIndex],96),IF((COUNTIFS(T_SelfStock[RM_Code],$A87,T_SelfStock[WeekIndex],96)&gt;0)*(COUNTIFS(T_TTAFStock[RM_Code],$A87,T_TTAFStock[WeekIndex],96)&gt;0)&gt;0,SUMIFS(T_SelfStock[Self_Qty],T_SelfStock[RM_Code],$A87,T_SelfStock[WeekIndex],96)+SUMIFS(T_TTAFStock[TTAF_Qty],T_TTAFStock[RM_Code],$A87,T_TTAFStock[WeekIndex],96),CR87+'Grid_Incoming'!CS87-'Grid_Requirement'!CS87))</f>
        <v/>
      </c>
      <c r="CT87">
        <f>IF(COUNTIFS(T_StockCount[RM_Code],$A87,T_StockCount[WeekIndex],97)&gt;0,SUMIFS(T_StockCount[CountedQty],T_StockCount[RM_Code],$A87,T_StockCount[WeekIndex],97),IF((COUNTIFS(T_SelfStock[RM_Code],$A87,T_SelfStock[WeekIndex],97)&gt;0)*(COUNTIFS(T_TTAFStock[RM_Code],$A87,T_TTAFStock[WeekIndex],97)&gt;0)&gt;0,SUMIFS(T_SelfStock[Self_Qty],T_SelfStock[RM_Code],$A87,T_SelfStock[WeekIndex],97)+SUMIFS(T_TTAFStock[TTAF_Qty],T_TTAFStock[RM_Code],$A87,T_TTAFStock[WeekIndex],97),CS87+'Grid_Incoming'!CT87-'Grid_Requirement'!CT87))</f>
        <v/>
      </c>
      <c r="CU87">
        <f>IF(COUNTIFS(T_StockCount[RM_Code],$A87,T_StockCount[WeekIndex],98)&gt;0,SUMIFS(T_StockCount[CountedQty],T_StockCount[RM_Code],$A87,T_StockCount[WeekIndex],98),IF((COUNTIFS(T_SelfStock[RM_Code],$A87,T_SelfStock[WeekIndex],98)&gt;0)*(COUNTIFS(T_TTAFStock[RM_Code],$A87,T_TTAFStock[WeekIndex],98)&gt;0)&gt;0,SUMIFS(T_SelfStock[Self_Qty],T_SelfStock[RM_Code],$A87,T_SelfStock[WeekIndex],98)+SUMIFS(T_TTAFStock[TTAF_Qty],T_TTAFStock[RM_Code],$A87,T_TTAFStock[WeekIndex],98),CT87+'Grid_Incoming'!CU87-'Grid_Requirement'!CU87))</f>
        <v/>
      </c>
      <c r="CV87">
        <f>IF(COUNTIFS(T_StockCount[RM_Code],$A87,T_StockCount[WeekIndex],99)&gt;0,SUMIFS(T_StockCount[CountedQty],T_StockCount[RM_Code],$A87,T_StockCount[WeekIndex],99),IF((COUNTIFS(T_SelfStock[RM_Code],$A87,T_SelfStock[WeekIndex],99)&gt;0)*(COUNTIFS(T_TTAFStock[RM_Code],$A87,T_TTAFStock[WeekIndex],99)&gt;0)&gt;0,SUMIFS(T_SelfStock[Self_Qty],T_SelfStock[RM_Code],$A87,T_SelfStock[WeekIndex],99)+SUMIFS(T_TTAFStock[TTAF_Qty],T_TTAFStock[RM_Code],$A87,T_TTAFStock[WeekIndex],99),CU87+'Grid_Incoming'!CV87-'Grid_Requirement'!CV87))</f>
        <v/>
      </c>
      <c r="CW87">
        <f>IF(COUNTIFS(T_StockCount[RM_Code],$A87,T_StockCount[WeekIndex],100)&gt;0,SUMIFS(T_StockCount[CountedQty],T_StockCount[RM_Code],$A87,T_StockCount[WeekIndex],100),IF((COUNTIFS(T_SelfStock[RM_Code],$A87,T_SelfStock[WeekIndex],100)&gt;0)*(COUNTIFS(T_TTAFStock[RM_Code],$A87,T_TTAFStock[WeekIndex],100)&gt;0)&gt;0,SUMIFS(T_SelfStock[Self_Qty],T_SelfStock[RM_Code],$A87,T_SelfStock[WeekIndex],100)+SUMIFS(T_TTAFStock[TTAF_Qty],T_TTAFStock[RM_Code],$A87,T_TTAFStock[WeekIndex],100),CV87+'Grid_Incoming'!CW87-'Grid_Requirement'!CW87))</f>
        <v/>
      </c>
      <c r="CX87">
        <f>IF(COUNTIFS(T_StockCount[RM_Code],$A87,T_StockCount[WeekIndex],101)&gt;0,SUMIFS(T_StockCount[CountedQty],T_StockCount[RM_Code],$A87,T_StockCount[WeekIndex],101),IF((COUNTIFS(T_SelfStock[RM_Code],$A87,T_SelfStock[WeekIndex],101)&gt;0)*(COUNTIFS(T_TTAFStock[RM_Code],$A87,T_TTAFStock[WeekIndex],101)&gt;0)&gt;0,SUMIFS(T_SelfStock[Self_Qty],T_SelfStock[RM_Code],$A87,T_SelfStock[WeekIndex],101)+SUMIFS(T_TTAFStock[TTAF_Qty],T_TTAFStock[RM_Code],$A87,T_TTAFStock[WeekIndex],101),CW87+'Grid_Incoming'!CX87-'Grid_Requirement'!CX87))</f>
        <v/>
      </c>
      <c r="CY87">
        <f>IF(COUNTIFS(T_StockCount[RM_Code],$A87,T_StockCount[WeekIndex],102)&gt;0,SUMIFS(T_StockCount[CountedQty],T_StockCount[RM_Code],$A87,T_StockCount[WeekIndex],102),IF((COUNTIFS(T_SelfStock[RM_Code],$A87,T_SelfStock[WeekIndex],102)&gt;0)*(COUNTIFS(T_TTAFStock[RM_Code],$A87,T_TTAFStock[WeekIndex],102)&gt;0)&gt;0,SUMIFS(T_SelfStock[Self_Qty],T_SelfStock[RM_Code],$A87,T_SelfStock[WeekIndex],102)+SUMIFS(T_TTAFStock[TTAF_Qty],T_TTAFStock[RM_Code],$A87,T_TTAFStock[WeekIndex],102),CX87+'Grid_Incoming'!CY87-'Grid_Requirement'!CY87))</f>
        <v/>
      </c>
      <c r="CZ87">
        <f>IF(COUNTIFS(T_StockCount[RM_Code],$A87,T_StockCount[WeekIndex],103)&gt;0,SUMIFS(T_StockCount[CountedQty],T_StockCount[RM_Code],$A87,T_StockCount[WeekIndex],103),IF((COUNTIFS(T_SelfStock[RM_Code],$A87,T_SelfStock[WeekIndex],103)&gt;0)*(COUNTIFS(T_TTAFStock[RM_Code],$A87,T_TTAFStock[WeekIndex],103)&gt;0)&gt;0,SUMIFS(T_SelfStock[Self_Qty],T_SelfStock[RM_Code],$A87,T_SelfStock[WeekIndex],103)+SUMIFS(T_TTAFStock[TTAF_Qty],T_TTAFStock[RM_Code],$A87,T_TTAFStock[WeekIndex],103),CY87+'Grid_Incoming'!CZ87-'Grid_Requirement'!CZ87))</f>
        <v/>
      </c>
      <c r="DA87">
        <f>IF(COUNTIFS(T_StockCount[RM_Code],$A87,T_StockCount[WeekIndex],104)&gt;0,SUMIFS(T_StockCount[CountedQty],T_StockCount[RM_Code],$A87,T_StockCount[WeekIndex],104),IF((COUNTIFS(T_SelfStock[RM_Code],$A87,T_SelfStock[WeekIndex],104)&gt;0)*(COUNTIFS(T_TTAFStock[RM_Code],$A87,T_TTAFStock[WeekIndex],104)&gt;0)&gt;0,SUMIFS(T_SelfStock[Self_Qty],T_SelfStock[RM_Code],$A87,T_SelfStock[WeekIndex],104)+SUMIFS(T_TTAFStock[TTAF_Qty],T_TTAFStock[RM_Code],$A87,T_TTAFStock[WeekIndex],104),CZ87+'Grid_Incoming'!DA87-'Grid_Requirement'!DA87))</f>
        <v/>
      </c>
    </row>
    <row r="88">
      <c r="A88" t="inlineStr">
        <is>
          <t>TSZ-938</t>
        </is>
      </c>
      <c r="B88">
        <f>IF(COUNTIFS(T_StockCount[RM_Code],$A88,T_StockCount[WeekIndex],1)&gt;0,SUMIFS(T_StockCount[CountedQty],T_StockCount[RM_Code],$A88,T_StockCount[WeekIndex],1),IF((COUNTIFS(T_SelfStock[RM_Code],$A88,T_SelfStock[WeekIndex],1)&gt;0)*(COUNTIFS(T_TTAFStock[RM_Code],$A88,T_TTAFStock[WeekIndex],1)&gt;0)&gt;0,SUMIFS(T_SelfStock[Self_Qty],T_SelfStock[RM_Code],$A88,T_SelfStock[WeekIndex],1)+SUMIFS(T_TTAFStock[TTAF_Qty],T_TTAFStock[RM_Code],$A88,T_TTAFStock[WeekIndex],1),IFERROR(INDEX(T_OpeningStock[Opening_Qty],MATCH($A88,T_OpeningStock[RM_Code],0)),0)+'Grid_Incoming'!B88-'Grid_Requirement'!B88))</f>
        <v/>
      </c>
      <c r="C88">
        <f>IF(COUNTIFS(T_StockCount[RM_Code],$A88,T_StockCount[WeekIndex],2)&gt;0,SUMIFS(T_StockCount[CountedQty],T_StockCount[RM_Code],$A88,T_StockCount[WeekIndex],2),IF((COUNTIFS(T_SelfStock[RM_Code],$A88,T_SelfStock[WeekIndex],2)&gt;0)*(COUNTIFS(T_TTAFStock[RM_Code],$A88,T_TTAFStock[WeekIndex],2)&gt;0)&gt;0,SUMIFS(T_SelfStock[Self_Qty],T_SelfStock[RM_Code],$A88,T_SelfStock[WeekIndex],2)+SUMIFS(T_TTAFStock[TTAF_Qty],T_TTAFStock[RM_Code],$A88,T_TTAFStock[WeekIndex],2),B88+'Grid_Incoming'!C88-'Grid_Requirement'!C88))</f>
        <v/>
      </c>
      <c r="D88">
        <f>IF(COUNTIFS(T_StockCount[RM_Code],$A88,T_StockCount[WeekIndex],3)&gt;0,SUMIFS(T_StockCount[CountedQty],T_StockCount[RM_Code],$A88,T_StockCount[WeekIndex],3),IF((COUNTIFS(T_SelfStock[RM_Code],$A88,T_SelfStock[WeekIndex],3)&gt;0)*(COUNTIFS(T_TTAFStock[RM_Code],$A88,T_TTAFStock[WeekIndex],3)&gt;0)&gt;0,SUMIFS(T_SelfStock[Self_Qty],T_SelfStock[RM_Code],$A88,T_SelfStock[WeekIndex],3)+SUMIFS(T_TTAFStock[TTAF_Qty],T_TTAFStock[RM_Code],$A88,T_TTAFStock[WeekIndex],3),C88+'Grid_Incoming'!D88-'Grid_Requirement'!D88))</f>
        <v/>
      </c>
      <c r="E88">
        <f>IF(COUNTIFS(T_StockCount[RM_Code],$A88,T_StockCount[WeekIndex],4)&gt;0,SUMIFS(T_StockCount[CountedQty],T_StockCount[RM_Code],$A88,T_StockCount[WeekIndex],4),IF((COUNTIFS(T_SelfStock[RM_Code],$A88,T_SelfStock[WeekIndex],4)&gt;0)*(COUNTIFS(T_TTAFStock[RM_Code],$A88,T_TTAFStock[WeekIndex],4)&gt;0)&gt;0,SUMIFS(T_SelfStock[Self_Qty],T_SelfStock[RM_Code],$A88,T_SelfStock[WeekIndex],4)+SUMIFS(T_TTAFStock[TTAF_Qty],T_TTAFStock[RM_Code],$A88,T_TTAFStock[WeekIndex],4),D88+'Grid_Incoming'!E88-'Grid_Requirement'!E88))</f>
        <v/>
      </c>
      <c r="F88">
        <f>IF(COUNTIFS(T_StockCount[RM_Code],$A88,T_StockCount[WeekIndex],5)&gt;0,SUMIFS(T_StockCount[CountedQty],T_StockCount[RM_Code],$A88,T_StockCount[WeekIndex],5),IF((COUNTIFS(T_SelfStock[RM_Code],$A88,T_SelfStock[WeekIndex],5)&gt;0)*(COUNTIFS(T_TTAFStock[RM_Code],$A88,T_TTAFStock[WeekIndex],5)&gt;0)&gt;0,SUMIFS(T_SelfStock[Self_Qty],T_SelfStock[RM_Code],$A88,T_SelfStock[WeekIndex],5)+SUMIFS(T_TTAFStock[TTAF_Qty],T_TTAFStock[RM_Code],$A88,T_TTAFStock[WeekIndex],5),E88+'Grid_Incoming'!F88-'Grid_Requirement'!F88))</f>
        <v/>
      </c>
      <c r="G88">
        <f>IF(COUNTIFS(T_StockCount[RM_Code],$A88,T_StockCount[WeekIndex],6)&gt;0,SUMIFS(T_StockCount[CountedQty],T_StockCount[RM_Code],$A88,T_StockCount[WeekIndex],6),IF((COUNTIFS(T_SelfStock[RM_Code],$A88,T_SelfStock[WeekIndex],6)&gt;0)*(COUNTIFS(T_TTAFStock[RM_Code],$A88,T_TTAFStock[WeekIndex],6)&gt;0)&gt;0,SUMIFS(T_SelfStock[Self_Qty],T_SelfStock[RM_Code],$A88,T_SelfStock[WeekIndex],6)+SUMIFS(T_TTAFStock[TTAF_Qty],T_TTAFStock[RM_Code],$A88,T_TTAFStock[WeekIndex],6),F88+'Grid_Incoming'!G88-'Grid_Requirement'!G88))</f>
        <v/>
      </c>
      <c r="H88">
        <f>IF(COUNTIFS(T_StockCount[RM_Code],$A88,T_StockCount[WeekIndex],7)&gt;0,SUMIFS(T_StockCount[CountedQty],T_StockCount[RM_Code],$A88,T_StockCount[WeekIndex],7),IF((COUNTIFS(T_SelfStock[RM_Code],$A88,T_SelfStock[WeekIndex],7)&gt;0)*(COUNTIFS(T_TTAFStock[RM_Code],$A88,T_TTAFStock[WeekIndex],7)&gt;0)&gt;0,SUMIFS(T_SelfStock[Self_Qty],T_SelfStock[RM_Code],$A88,T_SelfStock[WeekIndex],7)+SUMIFS(T_TTAFStock[TTAF_Qty],T_TTAFStock[RM_Code],$A88,T_TTAFStock[WeekIndex],7),G88+'Grid_Incoming'!H88-'Grid_Requirement'!H88))</f>
        <v/>
      </c>
      <c r="I88">
        <f>IF(COUNTIFS(T_StockCount[RM_Code],$A88,T_StockCount[WeekIndex],8)&gt;0,SUMIFS(T_StockCount[CountedQty],T_StockCount[RM_Code],$A88,T_StockCount[WeekIndex],8),IF((COUNTIFS(T_SelfStock[RM_Code],$A88,T_SelfStock[WeekIndex],8)&gt;0)*(COUNTIFS(T_TTAFStock[RM_Code],$A88,T_TTAFStock[WeekIndex],8)&gt;0)&gt;0,SUMIFS(T_SelfStock[Self_Qty],T_SelfStock[RM_Code],$A88,T_SelfStock[WeekIndex],8)+SUMIFS(T_TTAFStock[TTAF_Qty],T_TTAFStock[RM_Code],$A88,T_TTAFStock[WeekIndex],8),H88+'Grid_Incoming'!I88-'Grid_Requirement'!I88))</f>
        <v/>
      </c>
      <c r="J88">
        <f>IF(COUNTIFS(T_StockCount[RM_Code],$A88,T_StockCount[WeekIndex],9)&gt;0,SUMIFS(T_StockCount[CountedQty],T_StockCount[RM_Code],$A88,T_StockCount[WeekIndex],9),IF((COUNTIFS(T_SelfStock[RM_Code],$A88,T_SelfStock[WeekIndex],9)&gt;0)*(COUNTIFS(T_TTAFStock[RM_Code],$A88,T_TTAFStock[WeekIndex],9)&gt;0)&gt;0,SUMIFS(T_SelfStock[Self_Qty],T_SelfStock[RM_Code],$A88,T_SelfStock[WeekIndex],9)+SUMIFS(T_TTAFStock[TTAF_Qty],T_TTAFStock[RM_Code],$A88,T_TTAFStock[WeekIndex],9),I88+'Grid_Incoming'!J88-'Grid_Requirement'!J88))</f>
        <v/>
      </c>
      <c r="K88">
        <f>IF(COUNTIFS(T_StockCount[RM_Code],$A88,T_StockCount[WeekIndex],10)&gt;0,SUMIFS(T_StockCount[CountedQty],T_StockCount[RM_Code],$A88,T_StockCount[WeekIndex],10),IF((COUNTIFS(T_SelfStock[RM_Code],$A88,T_SelfStock[WeekIndex],10)&gt;0)*(COUNTIFS(T_TTAFStock[RM_Code],$A88,T_TTAFStock[WeekIndex],10)&gt;0)&gt;0,SUMIFS(T_SelfStock[Self_Qty],T_SelfStock[RM_Code],$A88,T_SelfStock[WeekIndex],10)+SUMIFS(T_TTAFStock[TTAF_Qty],T_TTAFStock[RM_Code],$A88,T_TTAFStock[WeekIndex],10),J88+'Grid_Incoming'!K88-'Grid_Requirement'!K88))</f>
        <v/>
      </c>
      <c r="L88">
        <f>IF(COUNTIFS(T_StockCount[RM_Code],$A88,T_StockCount[WeekIndex],11)&gt;0,SUMIFS(T_StockCount[CountedQty],T_StockCount[RM_Code],$A88,T_StockCount[WeekIndex],11),IF((COUNTIFS(T_SelfStock[RM_Code],$A88,T_SelfStock[WeekIndex],11)&gt;0)*(COUNTIFS(T_TTAFStock[RM_Code],$A88,T_TTAFStock[WeekIndex],11)&gt;0)&gt;0,SUMIFS(T_SelfStock[Self_Qty],T_SelfStock[RM_Code],$A88,T_SelfStock[WeekIndex],11)+SUMIFS(T_TTAFStock[TTAF_Qty],T_TTAFStock[RM_Code],$A88,T_TTAFStock[WeekIndex],11),K88+'Grid_Incoming'!L88-'Grid_Requirement'!L88))</f>
        <v/>
      </c>
      <c r="M88">
        <f>IF(COUNTIFS(T_StockCount[RM_Code],$A88,T_StockCount[WeekIndex],12)&gt;0,SUMIFS(T_StockCount[CountedQty],T_StockCount[RM_Code],$A88,T_StockCount[WeekIndex],12),IF((COUNTIFS(T_SelfStock[RM_Code],$A88,T_SelfStock[WeekIndex],12)&gt;0)*(COUNTIFS(T_TTAFStock[RM_Code],$A88,T_TTAFStock[WeekIndex],12)&gt;0)&gt;0,SUMIFS(T_SelfStock[Self_Qty],T_SelfStock[RM_Code],$A88,T_SelfStock[WeekIndex],12)+SUMIFS(T_TTAFStock[TTAF_Qty],T_TTAFStock[RM_Code],$A88,T_TTAFStock[WeekIndex],12),L88+'Grid_Incoming'!M88-'Grid_Requirement'!M88))</f>
        <v/>
      </c>
      <c r="N88">
        <f>IF(COUNTIFS(T_StockCount[RM_Code],$A88,T_StockCount[WeekIndex],13)&gt;0,SUMIFS(T_StockCount[CountedQty],T_StockCount[RM_Code],$A88,T_StockCount[WeekIndex],13),IF((COUNTIFS(T_SelfStock[RM_Code],$A88,T_SelfStock[WeekIndex],13)&gt;0)*(COUNTIFS(T_TTAFStock[RM_Code],$A88,T_TTAFStock[WeekIndex],13)&gt;0)&gt;0,SUMIFS(T_SelfStock[Self_Qty],T_SelfStock[RM_Code],$A88,T_SelfStock[WeekIndex],13)+SUMIFS(T_TTAFStock[TTAF_Qty],T_TTAFStock[RM_Code],$A88,T_TTAFStock[WeekIndex],13),M88+'Grid_Incoming'!N88-'Grid_Requirement'!N88))</f>
        <v/>
      </c>
      <c r="O88">
        <f>IF(COUNTIFS(T_StockCount[RM_Code],$A88,T_StockCount[WeekIndex],14)&gt;0,SUMIFS(T_StockCount[CountedQty],T_StockCount[RM_Code],$A88,T_StockCount[WeekIndex],14),IF((COUNTIFS(T_SelfStock[RM_Code],$A88,T_SelfStock[WeekIndex],14)&gt;0)*(COUNTIFS(T_TTAFStock[RM_Code],$A88,T_TTAFStock[WeekIndex],14)&gt;0)&gt;0,SUMIFS(T_SelfStock[Self_Qty],T_SelfStock[RM_Code],$A88,T_SelfStock[WeekIndex],14)+SUMIFS(T_TTAFStock[TTAF_Qty],T_TTAFStock[RM_Code],$A88,T_TTAFStock[WeekIndex],14),N88+'Grid_Incoming'!O88-'Grid_Requirement'!O88))</f>
        <v/>
      </c>
      <c r="P88">
        <f>IF(COUNTIFS(T_StockCount[RM_Code],$A88,T_StockCount[WeekIndex],15)&gt;0,SUMIFS(T_StockCount[CountedQty],T_StockCount[RM_Code],$A88,T_StockCount[WeekIndex],15),IF((COUNTIFS(T_SelfStock[RM_Code],$A88,T_SelfStock[WeekIndex],15)&gt;0)*(COUNTIFS(T_TTAFStock[RM_Code],$A88,T_TTAFStock[WeekIndex],15)&gt;0)&gt;0,SUMIFS(T_SelfStock[Self_Qty],T_SelfStock[RM_Code],$A88,T_SelfStock[WeekIndex],15)+SUMIFS(T_TTAFStock[TTAF_Qty],T_TTAFStock[RM_Code],$A88,T_TTAFStock[WeekIndex],15),O88+'Grid_Incoming'!P88-'Grid_Requirement'!P88))</f>
        <v/>
      </c>
      <c r="Q88">
        <f>IF(COUNTIFS(T_StockCount[RM_Code],$A88,T_StockCount[WeekIndex],16)&gt;0,SUMIFS(T_StockCount[CountedQty],T_StockCount[RM_Code],$A88,T_StockCount[WeekIndex],16),IF((COUNTIFS(T_SelfStock[RM_Code],$A88,T_SelfStock[WeekIndex],16)&gt;0)*(COUNTIFS(T_TTAFStock[RM_Code],$A88,T_TTAFStock[WeekIndex],16)&gt;0)&gt;0,SUMIFS(T_SelfStock[Self_Qty],T_SelfStock[RM_Code],$A88,T_SelfStock[WeekIndex],16)+SUMIFS(T_TTAFStock[TTAF_Qty],T_TTAFStock[RM_Code],$A88,T_TTAFStock[WeekIndex],16),P88+'Grid_Incoming'!Q88-'Grid_Requirement'!Q88))</f>
        <v/>
      </c>
      <c r="R88">
        <f>IF(COUNTIFS(T_StockCount[RM_Code],$A88,T_StockCount[WeekIndex],17)&gt;0,SUMIFS(T_StockCount[CountedQty],T_StockCount[RM_Code],$A88,T_StockCount[WeekIndex],17),IF((COUNTIFS(T_SelfStock[RM_Code],$A88,T_SelfStock[WeekIndex],17)&gt;0)*(COUNTIFS(T_TTAFStock[RM_Code],$A88,T_TTAFStock[WeekIndex],17)&gt;0)&gt;0,SUMIFS(T_SelfStock[Self_Qty],T_SelfStock[RM_Code],$A88,T_SelfStock[WeekIndex],17)+SUMIFS(T_TTAFStock[TTAF_Qty],T_TTAFStock[RM_Code],$A88,T_TTAFStock[WeekIndex],17),Q88+'Grid_Incoming'!R88-'Grid_Requirement'!R88))</f>
        <v/>
      </c>
      <c r="S88">
        <f>IF(COUNTIFS(T_StockCount[RM_Code],$A88,T_StockCount[WeekIndex],18)&gt;0,SUMIFS(T_StockCount[CountedQty],T_StockCount[RM_Code],$A88,T_StockCount[WeekIndex],18),IF((COUNTIFS(T_SelfStock[RM_Code],$A88,T_SelfStock[WeekIndex],18)&gt;0)*(COUNTIFS(T_TTAFStock[RM_Code],$A88,T_TTAFStock[WeekIndex],18)&gt;0)&gt;0,SUMIFS(T_SelfStock[Self_Qty],T_SelfStock[RM_Code],$A88,T_SelfStock[WeekIndex],18)+SUMIFS(T_TTAFStock[TTAF_Qty],T_TTAFStock[RM_Code],$A88,T_TTAFStock[WeekIndex],18),R88+'Grid_Incoming'!S88-'Grid_Requirement'!S88))</f>
        <v/>
      </c>
      <c r="T88">
        <f>IF(COUNTIFS(T_StockCount[RM_Code],$A88,T_StockCount[WeekIndex],19)&gt;0,SUMIFS(T_StockCount[CountedQty],T_StockCount[RM_Code],$A88,T_StockCount[WeekIndex],19),IF((COUNTIFS(T_SelfStock[RM_Code],$A88,T_SelfStock[WeekIndex],19)&gt;0)*(COUNTIFS(T_TTAFStock[RM_Code],$A88,T_TTAFStock[WeekIndex],19)&gt;0)&gt;0,SUMIFS(T_SelfStock[Self_Qty],T_SelfStock[RM_Code],$A88,T_SelfStock[WeekIndex],19)+SUMIFS(T_TTAFStock[TTAF_Qty],T_TTAFStock[RM_Code],$A88,T_TTAFStock[WeekIndex],19),S88+'Grid_Incoming'!T88-'Grid_Requirement'!T88))</f>
        <v/>
      </c>
      <c r="U88">
        <f>IF(COUNTIFS(T_StockCount[RM_Code],$A88,T_StockCount[WeekIndex],20)&gt;0,SUMIFS(T_StockCount[CountedQty],T_StockCount[RM_Code],$A88,T_StockCount[WeekIndex],20),IF((COUNTIFS(T_SelfStock[RM_Code],$A88,T_SelfStock[WeekIndex],20)&gt;0)*(COUNTIFS(T_TTAFStock[RM_Code],$A88,T_TTAFStock[WeekIndex],20)&gt;0)&gt;0,SUMIFS(T_SelfStock[Self_Qty],T_SelfStock[RM_Code],$A88,T_SelfStock[WeekIndex],20)+SUMIFS(T_TTAFStock[TTAF_Qty],T_TTAFStock[RM_Code],$A88,T_TTAFStock[WeekIndex],20),T88+'Grid_Incoming'!U88-'Grid_Requirement'!U88))</f>
        <v/>
      </c>
      <c r="V88">
        <f>IF(COUNTIFS(T_StockCount[RM_Code],$A88,T_StockCount[WeekIndex],21)&gt;0,SUMIFS(T_StockCount[CountedQty],T_StockCount[RM_Code],$A88,T_StockCount[WeekIndex],21),IF((COUNTIFS(T_SelfStock[RM_Code],$A88,T_SelfStock[WeekIndex],21)&gt;0)*(COUNTIFS(T_TTAFStock[RM_Code],$A88,T_TTAFStock[WeekIndex],21)&gt;0)&gt;0,SUMIFS(T_SelfStock[Self_Qty],T_SelfStock[RM_Code],$A88,T_SelfStock[WeekIndex],21)+SUMIFS(T_TTAFStock[TTAF_Qty],T_TTAFStock[RM_Code],$A88,T_TTAFStock[WeekIndex],21),U88+'Grid_Incoming'!V88-'Grid_Requirement'!V88))</f>
        <v/>
      </c>
      <c r="W88">
        <f>IF(COUNTIFS(T_StockCount[RM_Code],$A88,T_StockCount[WeekIndex],22)&gt;0,SUMIFS(T_StockCount[CountedQty],T_StockCount[RM_Code],$A88,T_StockCount[WeekIndex],22),IF((COUNTIFS(T_SelfStock[RM_Code],$A88,T_SelfStock[WeekIndex],22)&gt;0)*(COUNTIFS(T_TTAFStock[RM_Code],$A88,T_TTAFStock[WeekIndex],22)&gt;0)&gt;0,SUMIFS(T_SelfStock[Self_Qty],T_SelfStock[RM_Code],$A88,T_SelfStock[WeekIndex],22)+SUMIFS(T_TTAFStock[TTAF_Qty],T_TTAFStock[RM_Code],$A88,T_TTAFStock[WeekIndex],22),V88+'Grid_Incoming'!W88-'Grid_Requirement'!W88))</f>
        <v/>
      </c>
      <c r="X88">
        <f>IF(COUNTIFS(T_StockCount[RM_Code],$A88,T_StockCount[WeekIndex],23)&gt;0,SUMIFS(T_StockCount[CountedQty],T_StockCount[RM_Code],$A88,T_StockCount[WeekIndex],23),IF((COUNTIFS(T_SelfStock[RM_Code],$A88,T_SelfStock[WeekIndex],23)&gt;0)*(COUNTIFS(T_TTAFStock[RM_Code],$A88,T_TTAFStock[WeekIndex],23)&gt;0)&gt;0,SUMIFS(T_SelfStock[Self_Qty],T_SelfStock[RM_Code],$A88,T_SelfStock[WeekIndex],23)+SUMIFS(T_TTAFStock[TTAF_Qty],T_TTAFStock[RM_Code],$A88,T_TTAFStock[WeekIndex],23),W88+'Grid_Incoming'!X88-'Grid_Requirement'!X88))</f>
        <v/>
      </c>
      <c r="Y88">
        <f>IF(COUNTIFS(T_StockCount[RM_Code],$A88,T_StockCount[WeekIndex],24)&gt;0,SUMIFS(T_StockCount[CountedQty],T_StockCount[RM_Code],$A88,T_StockCount[WeekIndex],24),IF((COUNTIFS(T_SelfStock[RM_Code],$A88,T_SelfStock[WeekIndex],24)&gt;0)*(COUNTIFS(T_TTAFStock[RM_Code],$A88,T_TTAFStock[WeekIndex],24)&gt;0)&gt;0,SUMIFS(T_SelfStock[Self_Qty],T_SelfStock[RM_Code],$A88,T_SelfStock[WeekIndex],24)+SUMIFS(T_TTAFStock[TTAF_Qty],T_TTAFStock[RM_Code],$A88,T_TTAFStock[WeekIndex],24),X88+'Grid_Incoming'!Y88-'Grid_Requirement'!Y88))</f>
        <v/>
      </c>
      <c r="Z88">
        <f>IF(COUNTIFS(T_StockCount[RM_Code],$A88,T_StockCount[WeekIndex],25)&gt;0,SUMIFS(T_StockCount[CountedQty],T_StockCount[RM_Code],$A88,T_StockCount[WeekIndex],25),IF((COUNTIFS(T_SelfStock[RM_Code],$A88,T_SelfStock[WeekIndex],25)&gt;0)*(COUNTIFS(T_TTAFStock[RM_Code],$A88,T_TTAFStock[WeekIndex],25)&gt;0)&gt;0,SUMIFS(T_SelfStock[Self_Qty],T_SelfStock[RM_Code],$A88,T_SelfStock[WeekIndex],25)+SUMIFS(T_TTAFStock[TTAF_Qty],T_TTAFStock[RM_Code],$A88,T_TTAFStock[WeekIndex],25),Y88+'Grid_Incoming'!Z88-'Grid_Requirement'!Z88))</f>
        <v/>
      </c>
      <c r="AA88">
        <f>IF(COUNTIFS(T_StockCount[RM_Code],$A88,T_StockCount[WeekIndex],26)&gt;0,SUMIFS(T_StockCount[CountedQty],T_StockCount[RM_Code],$A88,T_StockCount[WeekIndex],26),IF((COUNTIFS(T_SelfStock[RM_Code],$A88,T_SelfStock[WeekIndex],26)&gt;0)*(COUNTIFS(T_TTAFStock[RM_Code],$A88,T_TTAFStock[WeekIndex],26)&gt;0)&gt;0,SUMIFS(T_SelfStock[Self_Qty],T_SelfStock[RM_Code],$A88,T_SelfStock[WeekIndex],26)+SUMIFS(T_TTAFStock[TTAF_Qty],T_TTAFStock[RM_Code],$A88,T_TTAFStock[WeekIndex],26),Z88+'Grid_Incoming'!AA88-'Grid_Requirement'!AA88))</f>
        <v/>
      </c>
      <c r="AB88">
        <f>IF(COUNTIFS(T_StockCount[RM_Code],$A88,T_StockCount[WeekIndex],27)&gt;0,SUMIFS(T_StockCount[CountedQty],T_StockCount[RM_Code],$A88,T_StockCount[WeekIndex],27),IF((COUNTIFS(T_SelfStock[RM_Code],$A88,T_SelfStock[WeekIndex],27)&gt;0)*(COUNTIFS(T_TTAFStock[RM_Code],$A88,T_TTAFStock[WeekIndex],27)&gt;0)&gt;0,SUMIFS(T_SelfStock[Self_Qty],T_SelfStock[RM_Code],$A88,T_SelfStock[WeekIndex],27)+SUMIFS(T_TTAFStock[TTAF_Qty],T_TTAFStock[RM_Code],$A88,T_TTAFStock[WeekIndex],27),AA88+'Grid_Incoming'!AB88-'Grid_Requirement'!AB88))</f>
        <v/>
      </c>
      <c r="AC88">
        <f>IF(COUNTIFS(T_StockCount[RM_Code],$A88,T_StockCount[WeekIndex],28)&gt;0,SUMIFS(T_StockCount[CountedQty],T_StockCount[RM_Code],$A88,T_StockCount[WeekIndex],28),IF((COUNTIFS(T_SelfStock[RM_Code],$A88,T_SelfStock[WeekIndex],28)&gt;0)*(COUNTIFS(T_TTAFStock[RM_Code],$A88,T_TTAFStock[WeekIndex],28)&gt;0)&gt;0,SUMIFS(T_SelfStock[Self_Qty],T_SelfStock[RM_Code],$A88,T_SelfStock[WeekIndex],28)+SUMIFS(T_TTAFStock[TTAF_Qty],T_TTAFStock[RM_Code],$A88,T_TTAFStock[WeekIndex],28),AB88+'Grid_Incoming'!AC88-'Grid_Requirement'!AC88))</f>
        <v/>
      </c>
      <c r="AD88">
        <f>IF(COUNTIFS(T_StockCount[RM_Code],$A88,T_StockCount[WeekIndex],29)&gt;0,SUMIFS(T_StockCount[CountedQty],T_StockCount[RM_Code],$A88,T_StockCount[WeekIndex],29),IF((COUNTIFS(T_SelfStock[RM_Code],$A88,T_SelfStock[WeekIndex],29)&gt;0)*(COUNTIFS(T_TTAFStock[RM_Code],$A88,T_TTAFStock[WeekIndex],29)&gt;0)&gt;0,SUMIFS(T_SelfStock[Self_Qty],T_SelfStock[RM_Code],$A88,T_SelfStock[WeekIndex],29)+SUMIFS(T_TTAFStock[TTAF_Qty],T_TTAFStock[RM_Code],$A88,T_TTAFStock[WeekIndex],29),AC88+'Grid_Incoming'!AD88-'Grid_Requirement'!AD88))</f>
        <v/>
      </c>
      <c r="AE88">
        <f>IF(COUNTIFS(T_StockCount[RM_Code],$A88,T_StockCount[WeekIndex],30)&gt;0,SUMIFS(T_StockCount[CountedQty],T_StockCount[RM_Code],$A88,T_StockCount[WeekIndex],30),IF((COUNTIFS(T_SelfStock[RM_Code],$A88,T_SelfStock[WeekIndex],30)&gt;0)*(COUNTIFS(T_TTAFStock[RM_Code],$A88,T_TTAFStock[WeekIndex],30)&gt;0)&gt;0,SUMIFS(T_SelfStock[Self_Qty],T_SelfStock[RM_Code],$A88,T_SelfStock[WeekIndex],30)+SUMIFS(T_TTAFStock[TTAF_Qty],T_TTAFStock[RM_Code],$A88,T_TTAFStock[WeekIndex],30),AD88+'Grid_Incoming'!AE88-'Grid_Requirement'!AE88))</f>
        <v/>
      </c>
      <c r="AF88">
        <f>IF(COUNTIFS(T_StockCount[RM_Code],$A88,T_StockCount[WeekIndex],31)&gt;0,SUMIFS(T_StockCount[CountedQty],T_StockCount[RM_Code],$A88,T_StockCount[WeekIndex],31),IF((COUNTIFS(T_SelfStock[RM_Code],$A88,T_SelfStock[WeekIndex],31)&gt;0)*(COUNTIFS(T_TTAFStock[RM_Code],$A88,T_TTAFStock[WeekIndex],31)&gt;0)&gt;0,SUMIFS(T_SelfStock[Self_Qty],T_SelfStock[RM_Code],$A88,T_SelfStock[WeekIndex],31)+SUMIFS(T_TTAFStock[TTAF_Qty],T_TTAFStock[RM_Code],$A88,T_TTAFStock[WeekIndex],31),AE88+'Grid_Incoming'!AF88-'Grid_Requirement'!AF88))</f>
        <v/>
      </c>
      <c r="AG88">
        <f>IF(COUNTIFS(T_StockCount[RM_Code],$A88,T_StockCount[WeekIndex],32)&gt;0,SUMIFS(T_StockCount[CountedQty],T_StockCount[RM_Code],$A88,T_StockCount[WeekIndex],32),IF((COUNTIFS(T_SelfStock[RM_Code],$A88,T_SelfStock[WeekIndex],32)&gt;0)*(COUNTIFS(T_TTAFStock[RM_Code],$A88,T_TTAFStock[WeekIndex],32)&gt;0)&gt;0,SUMIFS(T_SelfStock[Self_Qty],T_SelfStock[RM_Code],$A88,T_SelfStock[WeekIndex],32)+SUMIFS(T_TTAFStock[TTAF_Qty],T_TTAFStock[RM_Code],$A88,T_TTAFStock[WeekIndex],32),AF88+'Grid_Incoming'!AG88-'Grid_Requirement'!AG88))</f>
        <v/>
      </c>
      <c r="AH88">
        <f>IF(COUNTIFS(T_StockCount[RM_Code],$A88,T_StockCount[WeekIndex],33)&gt;0,SUMIFS(T_StockCount[CountedQty],T_StockCount[RM_Code],$A88,T_StockCount[WeekIndex],33),IF((COUNTIFS(T_SelfStock[RM_Code],$A88,T_SelfStock[WeekIndex],33)&gt;0)*(COUNTIFS(T_TTAFStock[RM_Code],$A88,T_TTAFStock[WeekIndex],33)&gt;0)&gt;0,SUMIFS(T_SelfStock[Self_Qty],T_SelfStock[RM_Code],$A88,T_SelfStock[WeekIndex],33)+SUMIFS(T_TTAFStock[TTAF_Qty],T_TTAFStock[RM_Code],$A88,T_TTAFStock[WeekIndex],33),AG88+'Grid_Incoming'!AH88-'Grid_Requirement'!AH88))</f>
        <v/>
      </c>
      <c r="AI88">
        <f>IF(COUNTIFS(T_StockCount[RM_Code],$A88,T_StockCount[WeekIndex],34)&gt;0,SUMIFS(T_StockCount[CountedQty],T_StockCount[RM_Code],$A88,T_StockCount[WeekIndex],34),IF((COUNTIFS(T_SelfStock[RM_Code],$A88,T_SelfStock[WeekIndex],34)&gt;0)*(COUNTIFS(T_TTAFStock[RM_Code],$A88,T_TTAFStock[WeekIndex],34)&gt;0)&gt;0,SUMIFS(T_SelfStock[Self_Qty],T_SelfStock[RM_Code],$A88,T_SelfStock[WeekIndex],34)+SUMIFS(T_TTAFStock[TTAF_Qty],T_TTAFStock[RM_Code],$A88,T_TTAFStock[WeekIndex],34),AH88+'Grid_Incoming'!AI88-'Grid_Requirement'!AI88))</f>
        <v/>
      </c>
      <c r="AJ88">
        <f>IF(COUNTIFS(T_StockCount[RM_Code],$A88,T_StockCount[WeekIndex],35)&gt;0,SUMIFS(T_StockCount[CountedQty],T_StockCount[RM_Code],$A88,T_StockCount[WeekIndex],35),IF((COUNTIFS(T_SelfStock[RM_Code],$A88,T_SelfStock[WeekIndex],35)&gt;0)*(COUNTIFS(T_TTAFStock[RM_Code],$A88,T_TTAFStock[WeekIndex],35)&gt;0)&gt;0,SUMIFS(T_SelfStock[Self_Qty],T_SelfStock[RM_Code],$A88,T_SelfStock[WeekIndex],35)+SUMIFS(T_TTAFStock[TTAF_Qty],T_TTAFStock[RM_Code],$A88,T_TTAFStock[WeekIndex],35),AI88+'Grid_Incoming'!AJ88-'Grid_Requirement'!AJ88))</f>
        <v/>
      </c>
      <c r="AK88">
        <f>IF(COUNTIFS(T_StockCount[RM_Code],$A88,T_StockCount[WeekIndex],36)&gt;0,SUMIFS(T_StockCount[CountedQty],T_StockCount[RM_Code],$A88,T_StockCount[WeekIndex],36),IF((COUNTIFS(T_SelfStock[RM_Code],$A88,T_SelfStock[WeekIndex],36)&gt;0)*(COUNTIFS(T_TTAFStock[RM_Code],$A88,T_TTAFStock[WeekIndex],36)&gt;0)&gt;0,SUMIFS(T_SelfStock[Self_Qty],T_SelfStock[RM_Code],$A88,T_SelfStock[WeekIndex],36)+SUMIFS(T_TTAFStock[TTAF_Qty],T_TTAFStock[RM_Code],$A88,T_TTAFStock[WeekIndex],36),AJ88+'Grid_Incoming'!AK88-'Grid_Requirement'!AK88))</f>
        <v/>
      </c>
      <c r="AL88">
        <f>IF(COUNTIFS(T_StockCount[RM_Code],$A88,T_StockCount[WeekIndex],37)&gt;0,SUMIFS(T_StockCount[CountedQty],T_StockCount[RM_Code],$A88,T_StockCount[WeekIndex],37),IF((COUNTIFS(T_SelfStock[RM_Code],$A88,T_SelfStock[WeekIndex],37)&gt;0)*(COUNTIFS(T_TTAFStock[RM_Code],$A88,T_TTAFStock[WeekIndex],37)&gt;0)&gt;0,SUMIFS(T_SelfStock[Self_Qty],T_SelfStock[RM_Code],$A88,T_SelfStock[WeekIndex],37)+SUMIFS(T_TTAFStock[TTAF_Qty],T_TTAFStock[RM_Code],$A88,T_TTAFStock[WeekIndex],37),AK88+'Grid_Incoming'!AL88-'Grid_Requirement'!AL88))</f>
        <v/>
      </c>
      <c r="AM88">
        <f>IF(COUNTIFS(T_StockCount[RM_Code],$A88,T_StockCount[WeekIndex],38)&gt;0,SUMIFS(T_StockCount[CountedQty],T_StockCount[RM_Code],$A88,T_StockCount[WeekIndex],38),IF((COUNTIFS(T_SelfStock[RM_Code],$A88,T_SelfStock[WeekIndex],38)&gt;0)*(COUNTIFS(T_TTAFStock[RM_Code],$A88,T_TTAFStock[WeekIndex],38)&gt;0)&gt;0,SUMIFS(T_SelfStock[Self_Qty],T_SelfStock[RM_Code],$A88,T_SelfStock[WeekIndex],38)+SUMIFS(T_TTAFStock[TTAF_Qty],T_TTAFStock[RM_Code],$A88,T_TTAFStock[WeekIndex],38),AL88+'Grid_Incoming'!AM88-'Grid_Requirement'!AM88))</f>
        <v/>
      </c>
      <c r="AN88">
        <f>IF(COUNTIFS(T_StockCount[RM_Code],$A88,T_StockCount[WeekIndex],39)&gt;0,SUMIFS(T_StockCount[CountedQty],T_StockCount[RM_Code],$A88,T_StockCount[WeekIndex],39),IF((COUNTIFS(T_SelfStock[RM_Code],$A88,T_SelfStock[WeekIndex],39)&gt;0)*(COUNTIFS(T_TTAFStock[RM_Code],$A88,T_TTAFStock[WeekIndex],39)&gt;0)&gt;0,SUMIFS(T_SelfStock[Self_Qty],T_SelfStock[RM_Code],$A88,T_SelfStock[WeekIndex],39)+SUMIFS(T_TTAFStock[TTAF_Qty],T_TTAFStock[RM_Code],$A88,T_TTAFStock[WeekIndex],39),AM88+'Grid_Incoming'!AN88-'Grid_Requirement'!AN88))</f>
        <v/>
      </c>
      <c r="AO88">
        <f>IF(COUNTIFS(T_StockCount[RM_Code],$A88,T_StockCount[WeekIndex],40)&gt;0,SUMIFS(T_StockCount[CountedQty],T_StockCount[RM_Code],$A88,T_StockCount[WeekIndex],40),IF((COUNTIFS(T_SelfStock[RM_Code],$A88,T_SelfStock[WeekIndex],40)&gt;0)*(COUNTIFS(T_TTAFStock[RM_Code],$A88,T_TTAFStock[WeekIndex],40)&gt;0)&gt;0,SUMIFS(T_SelfStock[Self_Qty],T_SelfStock[RM_Code],$A88,T_SelfStock[WeekIndex],40)+SUMIFS(T_TTAFStock[TTAF_Qty],T_TTAFStock[RM_Code],$A88,T_TTAFStock[WeekIndex],40),AN88+'Grid_Incoming'!AO88-'Grid_Requirement'!AO88))</f>
        <v/>
      </c>
      <c r="AP88">
        <f>IF(COUNTIFS(T_StockCount[RM_Code],$A88,T_StockCount[WeekIndex],41)&gt;0,SUMIFS(T_StockCount[CountedQty],T_StockCount[RM_Code],$A88,T_StockCount[WeekIndex],41),IF((COUNTIFS(T_SelfStock[RM_Code],$A88,T_SelfStock[WeekIndex],41)&gt;0)*(COUNTIFS(T_TTAFStock[RM_Code],$A88,T_TTAFStock[WeekIndex],41)&gt;0)&gt;0,SUMIFS(T_SelfStock[Self_Qty],T_SelfStock[RM_Code],$A88,T_SelfStock[WeekIndex],41)+SUMIFS(T_TTAFStock[TTAF_Qty],T_TTAFStock[RM_Code],$A88,T_TTAFStock[WeekIndex],41),AO88+'Grid_Incoming'!AP88-'Grid_Requirement'!AP88))</f>
        <v/>
      </c>
      <c r="AQ88">
        <f>IF(COUNTIFS(T_StockCount[RM_Code],$A88,T_StockCount[WeekIndex],42)&gt;0,SUMIFS(T_StockCount[CountedQty],T_StockCount[RM_Code],$A88,T_StockCount[WeekIndex],42),IF((COUNTIFS(T_SelfStock[RM_Code],$A88,T_SelfStock[WeekIndex],42)&gt;0)*(COUNTIFS(T_TTAFStock[RM_Code],$A88,T_TTAFStock[WeekIndex],42)&gt;0)&gt;0,SUMIFS(T_SelfStock[Self_Qty],T_SelfStock[RM_Code],$A88,T_SelfStock[WeekIndex],42)+SUMIFS(T_TTAFStock[TTAF_Qty],T_TTAFStock[RM_Code],$A88,T_TTAFStock[WeekIndex],42),AP88+'Grid_Incoming'!AQ88-'Grid_Requirement'!AQ88))</f>
        <v/>
      </c>
      <c r="AR88">
        <f>IF(COUNTIFS(T_StockCount[RM_Code],$A88,T_StockCount[WeekIndex],43)&gt;0,SUMIFS(T_StockCount[CountedQty],T_StockCount[RM_Code],$A88,T_StockCount[WeekIndex],43),IF((COUNTIFS(T_SelfStock[RM_Code],$A88,T_SelfStock[WeekIndex],43)&gt;0)*(COUNTIFS(T_TTAFStock[RM_Code],$A88,T_TTAFStock[WeekIndex],43)&gt;0)&gt;0,SUMIFS(T_SelfStock[Self_Qty],T_SelfStock[RM_Code],$A88,T_SelfStock[WeekIndex],43)+SUMIFS(T_TTAFStock[TTAF_Qty],T_TTAFStock[RM_Code],$A88,T_TTAFStock[WeekIndex],43),AQ88+'Grid_Incoming'!AR88-'Grid_Requirement'!AR88))</f>
        <v/>
      </c>
      <c r="AS88">
        <f>IF(COUNTIFS(T_StockCount[RM_Code],$A88,T_StockCount[WeekIndex],44)&gt;0,SUMIFS(T_StockCount[CountedQty],T_StockCount[RM_Code],$A88,T_StockCount[WeekIndex],44),IF((COUNTIFS(T_SelfStock[RM_Code],$A88,T_SelfStock[WeekIndex],44)&gt;0)*(COUNTIFS(T_TTAFStock[RM_Code],$A88,T_TTAFStock[WeekIndex],44)&gt;0)&gt;0,SUMIFS(T_SelfStock[Self_Qty],T_SelfStock[RM_Code],$A88,T_SelfStock[WeekIndex],44)+SUMIFS(T_TTAFStock[TTAF_Qty],T_TTAFStock[RM_Code],$A88,T_TTAFStock[WeekIndex],44),AR88+'Grid_Incoming'!AS88-'Grid_Requirement'!AS88))</f>
        <v/>
      </c>
      <c r="AT88">
        <f>IF(COUNTIFS(T_StockCount[RM_Code],$A88,T_StockCount[WeekIndex],45)&gt;0,SUMIFS(T_StockCount[CountedQty],T_StockCount[RM_Code],$A88,T_StockCount[WeekIndex],45),IF((COUNTIFS(T_SelfStock[RM_Code],$A88,T_SelfStock[WeekIndex],45)&gt;0)*(COUNTIFS(T_TTAFStock[RM_Code],$A88,T_TTAFStock[WeekIndex],45)&gt;0)&gt;0,SUMIFS(T_SelfStock[Self_Qty],T_SelfStock[RM_Code],$A88,T_SelfStock[WeekIndex],45)+SUMIFS(T_TTAFStock[TTAF_Qty],T_TTAFStock[RM_Code],$A88,T_TTAFStock[WeekIndex],45),AS88+'Grid_Incoming'!AT88-'Grid_Requirement'!AT88))</f>
        <v/>
      </c>
      <c r="AU88">
        <f>IF(COUNTIFS(T_StockCount[RM_Code],$A88,T_StockCount[WeekIndex],46)&gt;0,SUMIFS(T_StockCount[CountedQty],T_StockCount[RM_Code],$A88,T_StockCount[WeekIndex],46),IF((COUNTIFS(T_SelfStock[RM_Code],$A88,T_SelfStock[WeekIndex],46)&gt;0)*(COUNTIFS(T_TTAFStock[RM_Code],$A88,T_TTAFStock[WeekIndex],46)&gt;0)&gt;0,SUMIFS(T_SelfStock[Self_Qty],T_SelfStock[RM_Code],$A88,T_SelfStock[WeekIndex],46)+SUMIFS(T_TTAFStock[TTAF_Qty],T_TTAFStock[RM_Code],$A88,T_TTAFStock[WeekIndex],46),AT88+'Grid_Incoming'!AU88-'Grid_Requirement'!AU88))</f>
        <v/>
      </c>
      <c r="AV88">
        <f>IF(COUNTIFS(T_StockCount[RM_Code],$A88,T_StockCount[WeekIndex],47)&gt;0,SUMIFS(T_StockCount[CountedQty],T_StockCount[RM_Code],$A88,T_StockCount[WeekIndex],47),IF((COUNTIFS(T_SelfStock[RM_Code],$A88,T_SelfStock[WeekIndex],47)&gt;0)*(COUNTIFS(T_TTAFStock[RM_Code],$A88,T_TTAFStock[WeekIndex],47)&gt;0)&gt;0,SUMIFS(T_SelfStock[Self_Qty],T_SelfStock[RM_Code],$A88,T_SelfStock[WeekIndex],47)+SUMIFS(T_TTAFStock[TTAF_Qty],T_TTAFStock[RM_Code],$A88,T_TTAFStock[WeekIndex],47),AU88+'Grid_Incoming'!AV88-'Grid_Requirement'!AV88))</f>
        <v/>
      </c>
      <c r="AW88">
        <f>IF(COUNTIFS(T_StockCount[RM_Code],$A88,T_StockCount[WeekIndex],48)&gt;0,SUMIFS(T_StockCount[CountedQty],T_StockCount[RM_Code],$A88,T_StockCount[WeekIndex],48),IF((COUNTIFS(T_SelfStock[RM_Code],$A88,T_SelfStock[WeekIndex],48)&gt;0)*(COUNTIFS(T_TTAFStock[RM_Code],$A88,T_TTAFStock[WeekIndex],48)&gt;0)&gt;0,SUMIFS(T_SelfStock[Self_Qty],T_SelfStock[RM_Code],$A88,T_SelfStock[WeekIndex],48)+SUMIFS(T_TTAFStock[TTAF_Qty],T_TTAFStock[RM_Code],$A88,T_TTAFStock[WeekIndex],48),AV88+'Grid_Incoming'!AW88-'Grid_Requirement'!AW88))</f>
        <v/>
      </c>
      <c r="AX88">
        <f>IF(COUNTIFS(T_StockCount[RM_Code],$A88,T_StockCount[WeekIndex],49)&gt;0,SUMIFS(T_StockCount[CountedQty],T_StockCount[RM_Code],$A88,T_StockCount[WeekIndex],49),IF((COUNTIFS(T_SelfStock[RM_Code],$A88,T_SelfStock[WeekIndex],49)&gt;0)*(COUNTIFS(T_TTAFStock[RM_Code],$A88,T_TTAFStock[WeekIndex],49)&gt;0)&gt;0,SUMIFS(T_SelfStock[Self_Qty],T_SelfStock[RM_Code],$A88,T_SelfStock[WeekIndex],49)+SUMIFS(T_TTAFStock[TTAF_Qty],T_TTAFStock[RM_Code],$A88,T_TTAFStock[WeekIndex],49),AW88+'Grid_Incoming'!AX88-'Grid_Requirement'!AX88))</f>
        <v/>
      </c>
      <c r="AY88">
        <f>IF(COUNTIFS(T_StockCount[RM_Code],$A88,T_StockCount[WeekIndex],50)&gt;0,SUMIFS(T_StockCount[CountedQty],T_StockCount[RM_Code],$A88,T_StockCount[WeekIndex],50),IF((COUNTIFS(T_SelfStock[RM_Code],$A88,T_SelfStock[WeekIndex],50)&gt;0)*(COUNTIFS(T_TTAFStock[RM_Code],$A88,T_TTAFStock[WeekIndex],50)&gt;0)&gt;0,SUMIFS(T_SelfStock[Self_Qty],T_SelfStock[RM_Code],$A88,T_SelfStock[WeekIndex],50)+SUMIFS(T_TTAFStock[TTAF_Qty],T_TTAFStock[RM_Code],$A88,T_TTAFStock[WeekIndex],50),AX88+'Grid_Incoming'!AY88-'Grid_Requirement'!AY88))</f>
        <v/>
      </c>
      <c r="AZ88">
        <f>IF(COUNTIFS(T_StockCount[RM_Code],$A88,T_StockCount[WeekIndex],51)&gt;0,SUMIFS(T_StockCount[CountedQty],T_StockCount[RM_Code],$A88,T_StockCount[WeekIndex],51),IF((COUNTIFS(T_SelfStock[RM_Code],$A88,T_SelfStock[WeekIndex],51)&gt;0)*(COUNTIFS(T_TTAFStock[RM_Code],$A88,T_TTAFStock[WeekIndex],51)&gt;0)&gt;0,SUMIFS(T_SelfStock[Self_Qty],T_SelfStock[RM_Code],$A88,T_SelfStock[WeekIndex],51)+SUMIFS(T_TTAFStock[TTAF_Qty],T_TTAFStock[RM_Code],$A88,T_TTAFStock[WeekIndex],51),AY88+'Grid_Incoming'!AZ88-'Grid_Requirement'!AZ88))</f>
        <v/>
      </c>
      <c r="BA88">
        <f>IF(COUNTIFS(T_StockCount[RM_Code],$A88,T_StockCount[WeekIndex],52)&gt;0,SUMIFS(T_StockCount[CountedQty],T_StockCount[RM_Code],$A88,T_StockCount[WeekIndex],52),IF((COUNTIFS(T_SelfStock[RM_Code],$A88,T_SelfStock[WeekIndex],52)&gt;0)*(COUNTIFS(T_TTAFStock[RM_Code],$A88,T_TTAFStock[WeekIndex],52)&gt;0)&gt;0,SUMIFS(T_SelfStock[Self_Qty],T_SelfStock[RM_Code],$A88,T_SelfStock[WeekIndex],52)+SUMIFS(T_TTAFStock[TTAF_Qty],T_TTAFStock[RM_Code],$A88,T_TTAFStock[WeekIndex],52),AZ88+'Grid_Incoming'!BA88-'Grid_Requirement'!BA88))</f>
        <v/>
      </c>
      <c r="BB88">
        <f>IF(COUNTIFS(T_StockCount[RM_Code],$A88,T_StockCount[WeekIndex],53)&gt;0,SUMIFS(T_StockCount[CountedQty],T_StockCount[RM_Code],$A88,T_StockCount[WeekIndex],53),IF((COUNTIFS(T_SelfStock[RM_Code],$A88,T_SelfStock[WeekIndex],53)&gt;0)*(COUNTIFS(T_TTAFStock[RM_Code],$A88,T_TTAFStock[WeekIndex],53)&gt;0)&gt;0,SUMIFS(T_SelfStock[Self_Qty],T_SelfStock[RM_Code],$A88,T_SelfStock[WeekIndex],53)+SUMIFS(T_TTAFStock[TTAF_Qty],T_TTAFStock[RM_Code],$A88,T_TTAFStock[WeekIndex],53),BA88+'Grid_Incoming'!BB88-'Grid_Requirement'!BB88))</f>
        <v/>
      </c>
      <c r="BC88">
        <f>IF(COUNTIFS(T_StockCount[RM_Code],$A88,T_StockCount[WeekIndex],54)&gt;0,SUMIFS(T_StockCount[CountedQty],T_StockCount[RM_Code],$A88,T_StockCount[WeekIndex],54),IF((COUNTIFS(T_SelfStock[RM_Code],$A88,T_SelfStock[WeekIndex],54)&gt;0)*(COUNTIFS(T_TTAFStock[RM_Code],$A88,T_TTAFStock[WeekIndex],54)&gt;0)&gt;0,SUMIFS(T_SelfStock[Self_Qty],T_SelfStock[RM_Code],$A88,T_SelfStock[WeekIndex],54)+SUMIFS(T_TTAFStock[TTAF_Qty],T_TTAFStock[RM_Code],$A88,T_TTAFStock[WeekIndex],54),BB88+'Grid_Incoming'!BC88-'Grid_Requirement'!BC88))</f>
        <v/>
      </c>
      <c r="BD88">
        <f>IF(COUNTIFS(T_StockCount[RM_Code],$A88,T_StockCount[WeekIndex],55)&gt;0,SUMIFS(T_StockCount[CountedQty],T_StockCount[RM_Code],$A88,T_StockCount[WeekIndex],55),IF((COUNTIFS(T_SelfStock[RM_Code],$A88,T_SelfStock[WeekIndex],55)&gt;0)*(COUNTIFS(T_TTAFStock[RM_Code],$A88,T_TTAFStock[WeekIndex],55)&gt;0)&gt;0,SUMIFS(T_SelfStock[Self_Qty],T_SelfStock[RM_Code],$A88,T_SelfStock[WeekIndex],55)+SUMIFS(T_TTAFStock[TTAF_Qty],T_TTAFStock[RM_Code],$A88,T_TTAFStock[WeekIndex],55),BC88+'Grid_Incoming'!BD88-'Grid_Requirement'!BD88))</f>
        <v/>
      </c>
      <c r="BE88">
        <f>IF(COUNTIFS(T_StockCount[RM_Code],$A88,T_StockCount[WeekIndex],56)&gt;0,SUMIFS(T_StockCount[CountedQty],T_StockCount[RM_Code],$A88,T_StockCount[WeekIndex],56),IF((COUNTIFS(T_SelfStock[RM_Code],$A88,T_SelfStock[WeekIndex],56)&gt;0)*(COUNTIFS(T_TTAFStock[RM_Code],$A88,T_TTAFStock[WeekIndex],56)&gt;0)&gt;0,SUMIFS(T_SelfStock[Self_Qty],T_SelfStock[RM_Code],$A88,T_SelfStock[WeekIndex],56)+SUMIFS(T_TTAFStock[TTAF_Qty],T_TTAFStock[RM_Code],$A88,T_TTAFStock[WeekIndex],56),BD88+'Grid_Incoming'!BE88-'Grid_Requirement'!BE88))</f>
        <v/>
      </c>
      <c r="BF88">
        <f>IF(COUNTIFS(T_StockCount[RM_Code],$A88,T_StockCount[WeekIndex],57)&gt;0,SUMIFS(T_StockCount[CountedQty],T_StockCount[RM_Code],$A88,T_StockCount[WeekIndex],57),IF((COUNTIFS(T_SelfStock[RM_Code],$A88,T_SelfStock[WeekIndex],57)&gt;0)*(COUNTIFS(T_TTAFStock[RM_Code],$A88,T_TTAFStock[WeekIndex],57)&gt;0)&gt;0,SUMIFS(T_SelfStock[Self_Qty],T_SelfStock[RM_Code],$A88,T_SelfStock[WeekIndex],57)+SUMIFS(T_TTAFStock[TTAF_Qty],T_TTAFStock[RM_Code],$A88,T_TTAFStock[WeekIndex],57),BE88+'Grid_Incoming'!BF88-'Grid_Requirement'!BF88))</f>
        <v/>
      </c>
      <c r="BG88">
        <f>IF(COUNTIFS(T_StockCount[RM_Code],$A88,T_StockCount[WeekIndex],58)&gt;0,SUMIFS(T_StockCount[CountedQty],T_StockCount[RM_Code],$A88,T_StockCount[WeekIndex],58),IF((COUNTIFS(T_SelfStock[RM_Code],$A88,T_SelfStock[WeekIndex],58)&gt;0)*(COUNTIFS(T_TTAFStock[RM_Code],$A88,T_TTAFStock[WeekIndex],58)&gt;0)&gt;0,SUMIFS(T_SelfStock[Self_Qty],T_SelfStock[RM_Code],$A88,T_SelfStock[WeekIndex],58)+SUMIFS(T_TTAFStock[TTAF_Qty],T_TTAFStock[RM_Code],$A88,T_TTAFStock[WeekIndex],58),BF88+'Grid_Incoming'!BG88-'Grid_Requirement'!BG88))</f>
        <v/>
      </c>
      <c r="BH88">
        <f>IF(COUNTIFS(T_StockCount[RM_Code],$A88,T_StockCount[WeekIndex],59)&gt;0,SUMIFS(T_StockCount[CountedQty],T_StockCount[RM_Code],$A88,T_StockCount[WeekIndex],59),IF((COUNTIFS(T_SelfStock[RM_Code],$A88,T_SelfStock[WeekIndex],59)&gt;0)*(COUNTIFS(T_TTAFStock[RM_Code],$A88,T_TTAFStock[WeekIndex],59)&gt;0)&gt;0,SUMIFS(T_SelfStock[Self_Qty],T_SelfStock[RM_Code],$A88,T_SelfStock[WeekIndex],59)+SUMIFS(T_TTAFStock[TTAF_Qty],T_TTAFStock[RM_Code],$A88,T_TTAFStock[WeekIndex],59),BG88+'Grid_Incoming'!BH88-'Grid_Requirement'!BH88))</f>
        <v/>
      </c>
      <c r="BI88">
        <f>IF(COUNTIFS(T_StockCount[RM_Code],$A88,T_StockCount[WeekIndex],60)&gt;0,SUMIFS(T_StockCount[CountedQty],T_StockCount[RM_Code],$A88,T_StockCount[WeekIndex],60),IF((COUNTIFS(T_SelfStock[RM_Code],$A88,T_SelfStock[WeekIndex],60)&gt;0)*(COUNTIFS(T_TTAFStock[RM_Code],$A88,T_TTAFStock[WeekIndex],60)&gt;0)&gt;0,SUMIFS(T_SelfStock[Self_Qty],T_SelfStock[RM_Code],$A88,T_SelfStock[WeekIndex],60)+SUMIFS(T_TTAFStock[TTAF_Qty],T_TTAFStock[RM_Code],$A88,T_TTAFStock[WeekIndex],60),BH88+'Grid_Incoming'!BI88-'Grid_Requirement'!BI88))</f>
        <v/>
      </c>
      <c r="BJ88">
        <f>IF(COUNTIFS(T_StockCount[RM_Code],$A88,T_StockCount[WeekIndex],61)&gt;0,SUMIFS(T_StockCount[CountedQty],T_StockCount[RM_Code],$A88,T_StockCount[WeekIndex],61),IF((COUNTIFS(T_SelfStock[RM_Code],$A88,T_SelfStock[WeekIndex],61)&gt;0)*(COUNTIFS(T_TTAFStock[RM_Code],$A88,T_TTAFStock[WeekIndex],61)&gt;0)&gt;0,SUMIFS(T_SelfStock[Self_Qty],T_SelfStock[RM_Code],$A88,T_SelfStock[WeekIndex],61)+SUMIFS(T_TTAFStock[TTAF_Qty],T_TTAFStock[RM_Code],$A88,T_TTAFStock[WeekIndex],61),BI88+'Grid_Incoming'!BJ88-'Grid_Requirement'!BJ88))</f>
        <v/>
      </c>
      <c r="BK88">
        <f>IF(COUNTIFS(T_StockCount[RM_Code],$A88,T_StockCount[WeekIndex],62)&gt;0,SUMIFS(T_StockCount[CountedQty],T_StockCount[RM_Code],$A88,T_StockCount[WeekIndex],62),IF((COUNTIFS(T_SelfStock[RM_Code],$A88,T_SelfStock[WeekIndex],62)&gt;0)*(COUNTIFS(T_TTAFStock[RM_Code],$A88,T_TTAFStock[WeekIndex],62)&gt;0)&gt;0,SUMIFS(T_SelfStock[Self_Qty],T_SelfStock[RM_Code],$A88,T_SelfStock[WeekIndex],62)+SUMIFS(T_TTAFStock[TTAF_Qty],T_TTAFStock[RM_Code],$A88,T_TTAFStock[WeekIndex],62),BJ88+'Grid_Incoming'!BK88-'Grid_Requirement'!BK88))</f>
        <v/>
      </c>
      <c r="BL88">
        <f>IF(COUNTIFS(T_StockCount[RM_Code],$A88,T_StockCount[WeekIndex],63)&gt;0,SUMIFS(T_StockCount[CountedQty],T_StockCount[RM_Code],$A88,T_StockCount[WeekIndex],63),IF((COUNTIFS(T_SelfStock[RM_Code],$A88,T_SelfStock[WeekIndex],63)&gt;0)*(COUNTIFS(T_TTAFStock[RM_Code],$A88,T_TTAFStock[WeekIndex],63)&gt;0)&gt;0,SUMIFS(T_SelfStock[Self_Qty],T_SelfStock[RM_Code],$A88,T_SelfStock[WeekIndex],63)+SUMIFS(T_TTAFStock[TTAF_Qty],T_TTAFStock[RM_Code],$A88,T_TTAFStock[WeekIndex],63),BK88+'Grid_Incoming'!BL88-'Grid_Requirement'!BL88))</f>
        <v/>
      </c>
      <c r="BM88">
        <f>IF(COUNTIFS(T_StockCount[RM_Code],$A88,T_StockCount[WeekIndex],64)&gt;0,SUMIFS(T_StockCount[CountedQty],T_StockCount[RM_Code],$A88,T_StockCount[WeekIndex],64),IF((COUNTIFS(T_SelfStock[RM_Code],$A88,T_SelfStock[WeekIndex],64)&gt;0)*(COUNTIFS(T_TTAFStock[RM_Code],$A88,T_TTAFStock[WeekIndex],64)&gt;0)&gt;0,SUMIFS(T_SelfStock[Self_Qty],T_SelfStock[RM_Code],$A88,T_SelfStock[WeekIndex],64)+SUMIFS(T_TTAFStock[TTAF_Qty],T_TTAFStock[RM_Code],$A88,T_TTAFStock[WeekIndex],64),BL88+'Grid_Incoming'!BM88-'Grid_Requirement'!BM88))</f>
        <v/>
      </c>
      <c r="BN88">
        <f>IF(COUNTIFS(T_StockCount[RM_Code],$A88,T_StockCount[WeekIndex],65)&gt;0,SUMIFS(T_StockCount[CountedQty],T_StockCount[RM_Code],$A88,T_StockCount[WeekIndex],65),IF((COUNTIFS(T_SelfStock[RM_Code],$A88,T_SelfStock[WeekIndex],65)&gt;0)*(COUNTIFS(T_TTAFStock[RM_Code],$A88,T_TTAFStock[WeekIndex],65)&gt;0)&gt;0,SUMIFS(T_SelfStock[Self_Qty],T_SelfStock[RM_Code],$A88,T_SelfStock[WeekIndex],65)+SUMIFS(T_TTAFStock[TTAF_Qty],T_TTAFStock[RM_Code],$A88,T_TTAFStock[WeekIndex],65),BM88+'Grid_Incoming'!BN88-'Grid_Requirement'!BN88))</f>
        <v/>
      </c>
      <c r="BO88">
        <f>IF(COUNTIFS(T_StockCount[RM_Code],$A88,T_StockCount[WeekIndex],66)&gt;0,SUMIFS(T_StockCount[CountedQty],T_StockCount[RM_Code],$A88,T_StockCount[WeekIndex],66),IF((COUNTIFS(T_SelfStock[RM_Code],$A88,T_SelfStock[WeekIndex],66)&gt;0)*(COUNTIFS(T_TTAFStock[RM_Code],$A88,T_TTAFStock[WeekIndex],66)&gt;0)&gt;0,SUMIFS(T_SelfStock[Self_Qty],T_SelfStock[RM_Code],$A88,T_SelfStock[WeekIndex],66)+SUMIFS(T_TTAFStock[TTAF_Qty],T_TTAFStock[RM_Code],$A88,T_TTAFStock[WeekIndex],66),BN88+'Grid_Incoming'!BO88-'Grid_Requirement'!BO88))</f>
        <v/>
      </c>
      <c r="BP88">
        <f>IF(COUNTIFS(T_StockCount[RM_Code],$A88,T_StockCount[WeekIndex],67)&gt;0,SUMIFS(T_StockCount[CountedQty],T_StockCount[RM_Code],$A88,T_StockCount[WeekIndex],67),IF((COUNTIFS(T_SelfStock[RM_Code],$A88,T_SelfStock[WeekIndex],67)&gt;0)*(COUNTIFS(T_TTAFStock[RM_Code],$A88,T_TTAFStock[WeekIndex],67)&gt;0)&gt;0,SUMIFS(T_SelfStock[Self_Qty],T_SelfStock[RM_Code],$A88,T_SelfStock[WeekIndex],67)+SUMIFS(T_TTAFStock[TTAF_Qty],T_TTAFStock[RM_Code],$A88,T_TTAFStock[WeekIndex],67),BO88+'Grid_Incoming'!BP88-'Grid_Requirement'!BP88))</f>
        <v/>
      </c>
      <c r="BQ88">
        <f>IF(COUNTIFS(T_StockCount[RM_Code],$A88,T_StockCount[WeekIndex],68)&gt;0,SUMIFS(T_StockCount[CountedQty],T_StockCount[RM_Code],$A88,T_StockCount[WeekIndex],68),IF((COUNTIFS(T_SelfStock[RM_Code],$A88,T_SelfStock[WeekIndex],68)&gt;0)*(COUNTIFS(T_TTAFStock[RM_Code],$A88,T_TTAFStock[WeekIndex],68)&gt;0)&gt;0,SUMIFS(T_SelfStock[Self_Qty],T_SelfStock[RM_Code],$A88,T_SelfStock[WeekIndex],68)+SUMIFS(T_TTAFStock[TTAF_Qty],T_TTAFStock[RM_Code],$A88,T_TTAFStock[WeekIndex],68),BP88+'Grid_Incoming'!BQ88-'Grid_Requirement'!BQ88))</f>
        <v/>
      </c>
      <c r="BR88">
        <f>IF(COUNTIFS(T_StockCount[RM_Code],$A88,T_StockCount[WeekIndex],69)&gt;0,SUMIFS(T_StockCount[CountedQty],T_StockCount[RM_Code],$A88,T_StockCount[WeekIndex],69),IF((COUNTIFS(T_SelfStock[RM_Code],$A88,T_SelfStock[WeekIndex],69)&gt;0)*(COUNTIFS(T_TTAFStock[RM_Code],$A88,T_TTAFStock[WeekIndex],69)&gt;0)&gt;0,SUMIFS(T_SelfStock[Self_Qty],T_SelfStock[RM_Code],$A88,T_SelfStock[WeekIndex],69)+SUMIFS(T_TTAFStock[TTAF_Qty],T_TTAFStock[RM_Code],$A88,T_TTAFStock[WeekIndex],69),BQ88+'Grid_Incoming'!BR88-'Grid_Requirement'!BR88))</f>
        <v/>
      </c>
      <c r="BS88">
        <f>IF(COUNTIFS(T_StockCount[RM_Code],$A88,T_StockCount[WeekIndex],70)&gt;0,SUMIFS(T_StockCount[CountedQty],T_StockCount[RM_Code],$A88,T_StockCount[WeekIndex],70),IF((COUNTIFS(T_SelfStock[RM_Code],$A88,T_SelfStock[WeekIndex],70)&gt;0)*(COUNTIFS(T_TTAFStock[RM_Code],$A88,T_TTAFStock[WeekIndex],70)&gt;0)&gt;0,SUMIFS(T_SelfStock[Self_Qty],T_SelfStock[RM_Code],$A88,T_SelfStock[WeekIndex],70)+SUMIFS(T_TTAFStock[TTAF_Qty],T_TTAFStock[RM_Code],$A88,T_TTAFStock[WeekIndex],70),BR88+'Grid_Incoming'!BS88-'Grid_Requirement'!BS88))</f>
        <v/>
      </c>
      <c r="BT88">
        <f>IF(COUNTIFS(T_StockCount[RM_Code],$A88,T_StockCount[WeekIndex],71)&gt;0,SUMIFS(T_StockCount[CountedQty],T_StockCount[RM_Code],$A88,T_StockCount[WeekIndex],71),IF((COUNTIFS(T_SelfStock[RM_Code],$A88,T_SelfStock[WeekIndex],71)&gt;0)*(COUNTIFS(T_TTAFStock[RM_Code],$A88,T_TTAFStock[WeekIndex],71)&gt;0)&gt;0,SUMIFS(T_SelfStock[Self_Qty],T_SelfStock[RM_Code],$A88,T_SelfStock[WeekIndex],71)+SUMIFS(T_TTAFStock[TTAF_Qty],T_TTAFStock[RM_Code],$A88,T_TTAFStock[WeekIndex],71),BS88+'Grid_Incoming'!BT88-'Grid_Requirement'!BT88))</f>
        <v/>
      </c>
      <c r="BU88">
        <f>IF(COUNTIFS(T_StockCount[RM_Code],$A88,T_StockCount[WeekIndex],72)&gt;0,SUMIFS(T_StockCount[CountedQty],T_StockCount[RM_Code],$A88,T_StockCount[WeekIndex],72),IF((COUNTIFS(T_SelfStock[RM_Code],$A88,T_SelfStock[WeekIndex],72)&gt;0)*(COUNTIFS(T_TTAFStock[RM_Code],$A88,T_TTAFStock[WeekIndex],72)&gt;0)&gt;0,SUMIFS(T_SelfStock[Self_Qty],T_SelfStock[RM_Code],$A88,T_SelfStock[WeekIndex],72)+SUMIFS(T_TTAFStock[TTAF_Qty],T_TTAFStock[RM_Code],$A88,T_TTAFStock[WeekIndex],72),BT88+'Grid_Incoming'!BU88-'Grid_Requirement'!BU88))</f>
        <v/>
      </c>
      <c r="BV88">
        <f>IF(COUNTIFS(T_StockCount[RM_Code],$A88,T_StockCount[WeekIndex],73)&gt;0,SUMIFS(T_StockCount[CountedQty],T_StockCount[RM_Code],$A88,T_StockCount[WeekIndex],73),IF((COUNTIFS(T_SelfStock[RM_Code],$A88,T_SelfStock[WeekIndex],73)&gt;0)*(COUNTIFS(T_TTAFStock[RM_Code],$A88,T_TTAFStock[WeekIndex],73)&gt;0)&gt;0,SUMIFS(T_SelfStock[Self_Qty],T_SelfStock[RM_Code],$A88,T_SelfStock[WeekIndex],73)+SUMIFS(T_TTAFStock[TTAF_Qty],T_TTAFStock[RM_Code],$A88,T_TTAFStock[WeekIndex],73),BU88+'Grid_Incoming'!BV88-'Grid_Requirement'!BV88))</f>
        <v/>
      </c>
      <c r="BW88">
        <f>IF(COUNTIFS(T_StockCount[RM_Code],$A88,T_StockCount[WeekIndex],74)&gt;0,SUMIFS(T_StockCount[CountedQty],T_StockCount[RM_Code],$A88,T_StockCount[WeekIndex],74),IF((COUNTIFS(T_SelfStock[RM_Code],$A88,T_SelfStock[WeekIndex],74)&gt;0)*(COUNTIFS(T_TTAFStock[RM_Code],$A88,T_TTAFStock[WeekIndex],74)&gt;0)&gt;0,SUMIFS(T_SelfStock[Self_Qty],T_SelfStock[RM_Code],$A88,T_SelfStock[WeekIndex],74)+SUMIFS(T_TTAFStock[TTAF_Qty],T_TTAFStock[RM_Code],$A88,T_TTAFStock[WeekIndex],74),BV88+'Grid_Incoming'!BW88-'Grid_Requirement'!BW88))</f>
        <v/>
      </c>
      <c r="BX88">
        <f>IF(COUNTIFS(T_StockCount[RM_Code],$A88,T_StockCount[WeekIndex],75)&gt;0,SUMIFS(T_StockCount[CountedQty],T_StockCount[RM_Code],$A88,T_StockCount[WeekIndex],75),IF((COUNTIFS(T_SelfStock[RM_Code],$A88,T_SelfStock[WeekIndex],75)&gt;0)*(COUNTIFS(T_TTAFStock[RM_Code],$A88,T_TTAFStock[WeekIndex],75)&gt;0)&gt;0,SUMIFS(T_SelfStock[Self_Qty],T_SelfStock[RM_Code],$A88,T_SelfStock[WeekIndex],75)+SUMIFS(T_TTAFStock[TTAF_Qty],T_TTAFStock[RM_Code],$A88,T_TTAFStock[WeekIndex],75),BW88+'Grid_Incoming'!BX88-'Grid_Requirement'!BX88))</f>
        <v/>
      </c>
      <c r="BY88">
        <f>IF(COUNTIFS(T_StockCount[RM_Code],$A88,T_StockCount[WeekIndex],76)&gt;0,SUMIFS(T_StockCount[CountedQty],T_StockCount[RM_Code],$A88,T_StockCount[WeekIndex],76),IF((COUNTIFS(T_SelfStock[RM_Code],$A88,T_SelfStock[WeekIndex],76)&gt;0)*(COUNTIFS(T_TTAFStock[RM_Code],$A88,T_TTAFStock[WeekIndex],76)&gt;0)&gt;0,SUMIFS(T_SelfStock[Self_Qty],T_SelfStock[RM_Code],$A88,T_SelfStock[WeekIndex],76)+SUMIFS(T_TTAFStock[TTAF_Qty],T_TTAFStock[RM_Code],$A88,T_TTAFStock[WeekIndex],76),BX88+'Grid_Incoming'!BY88-'Grid_Requirement'!BY88))</f>
        <v/>
      </c>
      <c r="BZ88">
        <f>IF(COUNTIFS(T_StockCount[RM_Code],$A88,T_StockCount[WeekIndex],77)&gt;0,SUMIFS(T_StockCount[CountedQty],T_StockCount[RM_Code],$A88,T_StockCount[WeekIndex],77),IF((COUNTIFS(T_SelfStock[RM_Code],$A88,T_SelfStock[WeekIndex],77)&gt;0)*(COUNTIFS(T_TTAFStock[RM_Code],$A88,T_TTAFStock[WeekIndex],77)&gt;0)&gt;0,SUMIFS(T_SelfStock[Self_Qty],T_SelfStock[RM_Code],$A88,T_SelfStock[WeekIndex],77)+SUMIFS(T_TTAFStock[TTAF_Qty],T_TTAFStock[RM_Code],$A88,T_TTAFStock[WeekIndex],77),BY88+'Grid_Incoming'!BZ88-'Grid_Requirement'!BZ88))</f>
        <v/>
      </c>
      <c r="CA88">
        <f>IF(COUNTIFS(T_StockCount[RM_Code],$A88,T_StockCount[WeekIndex],78)&gt;0,SUMIFS(T_StockCount[CountedQty],T_StockCount[RM_Code],$A88,T_StockCount[WeekIndex],78),IF((COUNTIFS(T_SelfStock[RM_Code],$A88,T_SelfStock[WeekIndex],78)&gt;0)*(COUNTIFS(T_TTAFStock[RM_Code],$A88,T_TTAFStock[WeekIndex],78)&gt;0)&gt;0,SUMIFS(T_SelfStock[Self_Qty],T_SelfStock[RM_Code],$A88,T_SelfStock[WeekIndex],78)+SUMIFS(T_TTAFStock[TTAF_Qty],T_TTAFStock[RM_Code],$A88,T_TTAFStock[WeekIndex],78),BZ88+'Grid_Incoming'!CA88-'Grid_Requirement'!CA88))</f>
        <v/>
      </c>
      <c r="CB88">
        <f>IF(COUNTIFS(T_StockCount[RM_Code],$A88,T_StockCount[WeekIndex],79)&gt;0,SUMIFS(T_StockCount[CountedQty],T_StockCount[RM_Code],$A88,T_StockCount[WeekIndex],79),IF((COUNTIFS(T_SelfStock[RM_Code],$A88,T_SelfStock[WeekIndex],79)&gt;0)*(COUNTIFS(T_TTAFStock[RM_Code],$A88,T_TTAFStock[WeekIndex],79)&gt;0)&gt;0,SUMIFS(T_SelfStock[Self_Qty],T_SelfStock[RM_Code],$A88,T_SelfStock[WeekIndex],79)+SUMIFS(T_TTAFStock[TTAF_Qty],T_TTAFStock[RM_Code],$A88,T_TTAFStock[WeekIndex],79),CA88+'Grid_Incoming'!CB88-'Grid_Requirement'!CB88))</f>
        <v/>
      </c>
      <c r="CC88">
        <f>IF(COUNTIFS(T_StockCount[RM_Code],$A88,T_StockCount[WeekIndex],80)&gt;0,SUMIFS(T_StockCount[CountedQty],T_StockCount[RM_Code],$A88,T_StockCount[WeekIndex],80),IF((COUNTIFS(T_SelfStock[RM_Code],$A88,T_SelfStock[WeekIndex],80)&gt;0)*(COUNTIFS(T_TTAFStock[RM_Code],$A88,T_TTAFStock[WeekIndex],80)&gt;0)&gt;0,SUMIFS(T_SelfStock[Self_Qty],T_SelfStock[RM_Code],$A88,T_SelfStock[WeekIndex],80)+SUMIFS(T_TTAFStock[TTAF_Qty],T_TTAFStock[RM_Code],$A88,T_TTAFStock[WeekIndex],80),CB88+'Grid_Incoming'!CC88-'Grid_Requirement'!CC88))</f>
        <v/>
      </c>
      <c r="CD88">
        <f>IF(COUNTIFS(T_StockCount[RM_Code],$A88,T_StockCount[WeekIndex],81)&gt;0,SUMIFS(T_StockCount[CountedQty],T_StockCount[RM_Code],$A88,T_StockCount[WeekIndex],81),IF((COUNTIFS(T_SelfStock[RM_Code],$A88,T_SelfStock[WeekIndex],81)&gt;0)*(COUNTIFS(T_TTAFStock[RM_Code],$A88,T_TTAFStock[WeekIndex],81)&gt;0)&gt;0,SUMIFS(T_SelfStock[Self_Qty],T_SelfStock[RM_Code],$A88,T_SelfStock[WeekIndex],81)+SUMIFS(T_TTAFStock[TTAF_Qty],T_TTAFStock[RM_Code],$A88,T_TTAFStock[WeekIndex],81),CC88+'Grid_Incoming'!CD88-'Grid_Requirement'!CD88))</f>
        <v/>
      </c>
      <c r="CE88">
        <f>IF(COUNTIFS(T_StockCount[RM_Code],$A88,T_StockCount[WeekIndex],82)&gt;0,SUMIFS(T_StockCount[CountedQty],T_StockCount[RM_Code],$A88,T_StockCount[WeekIndex],82),IF((COUNTIFS(T_SelfStock[RM_Code],$A88,T_SelfStock[WeekIndex],82)&gt;0)*(COUNTIFS(T_TTAFStock[RM_Code],$A88,T_TTAFStock[WeekIndex],82)&gt;0)&gt;0,SUMIFS(T_SelfStock[Self_Qty],T_SelfStock[RM_Code],$A88,T_SelfStock[WeekIndex],82)+SUMIFS(T_TTAFStock[TTAF_Qty],T_TTAFStock[RM_Code],$A88,T_TTAFStock[WeekIndex],82),CD88+'Grid_Incoming'!CE88-'Grid_Requirement'!CE88))</f>
        <v/>
      </c>
      <c r="CF88">
        <f>IF(COUNTIFS(T_StockCount[RM_Code],$A88,T_StockCount[WeekIndex],83)&gt;0,SUMIFS(T_StockCount[CountedQty],T_StockCount[RM_Code],$A88,T_StockCount[WeekIndex],83),IF((COUNTIFS(T_SelfStock[RM_Code],$A88,T_SelfStock[WeekIndex],83)&gt;0)*(COUNTIFS(T_TTAFStock[RM_Code],$A88,T_TTAFStock[WeekIndex],83)&gt;0)&gt;0,SUMIFS(T_SelfStock[Self_Qty],T_SelfStock[RM_Code],$A88,T_SelfStock[WeekIndex],83)+SUMIFS(T_TTAFStock[TTAF_Qty],T_TTAFStock[RM_Code],$A88,T_TTAFStock[WeekIndex],83),CE88+'Grid_Incoming'!CF88-'Grid_Requirement'!CF88))</f>
        <v/>
      </c>
      <c r="CG88">
        <f>IF(COUNTIFS(T_StockCount[RM_Code],$A88,T_StockCount[WeekIndex],84)&gt;0,SUMIFS(T_StockCount[CountedQty],T_StockCount[RM_Code],$A88,T_StockCount[WeekIndex],84),IF((COUNTIFS(T_SelfStock[RM_Code],$A88,T_SelfStock[WeekIndex],84)&gt;0)*(COUNTIFS(T_TTAFStock[RM_Code],$A88,T_TTAFStock[WeekIndex],84)&gt;0)&gt;0,SUMIFS(T_SelfStock[Self_Qty],T_SelfStock[RM_Code],$A88,T_SelfStock[WeekIndex],84)+SUMIFS(T_TTAFStock[TTAF_Qty],T_TTAFStock[RM_Code],$A88,T_TTAFStock[WeekIndex],84),CF88+'Grid_Incoming'!CG88-'Grid_Requirement'!CG88))</f>
        <v/>
      </c>
      <c r="CH88">
        <f>IF(COUNTIFS(T_StockCount[RM_Code],$A88,T_StockCount[WeekIndex],85)&gt;0,SUMIFS(T_StockCount[CountedQty],T_StockCount[RM_Code],$A88,T_StockCount[WeekIndex],85),IF((COUNTIFS(T_SelfStock[RM_Code],$A88,T_SelfStock[WeekIndex],85)&gt;0)*(COUNTIFS(T_TTAFStock[RM_Code],$A88,T_TTAFStock[WeekIndex],85)&gt;0)&gt;0,SUMIFS(T_SelfStock[Self_Qty],T_SelfStock[RM_Code],$A88,T_SelfStock[WeekIndex],85)+SUMIFS(T_TTAFStock[TTAF_Qty],T_TTAFStock[RM_Code],$A88,T_TTAFStock[WeekIndex],85),CG88+'Grid_Incoming'!CH88-'Grid_Requirement'!CH88))</f>
        <v/>
      </c>
      <c r="CI88">
        <f>IF(COUNTIFS(T_StockCount[RM_Code],$A88,T_StockCount[WeekIndex],86)&gt;0,SUMIFS(T_StockCount[CountedQty],T_StockCount[RM_Code],$A88,T_StockCount[WeekIndex],86),IF((COUNTIFS(T_SelfStock[RM_Code],$A88,T_SelfStock[WeekIndex],86)&gt;0)*(COUNTIFS(T_TTAFStock[RM_Code],$A88,T_TTAFStock[WeekIndex],86)&gt;0)&gt;0,SUMIFS(T_SelfStock[Self_Qty],T_SelfStock[RM_Code],$A88,T_SelfStock[WeekIndex],86)+SUMIFS(T_TTAFStock[TTAF_Qty],T_TTAFStock[RM_Code],$A88,T_TTAFStock[WeekIndex],86),CH88+'Grid_Incoming'!CI88-'Grid_Requirement'!CI88))</f>
        <v/>
      </c>
      <c r="CJ88">
        <f>IF(COUNTIFS(T_StockCount[RM_Code],$A88,T_StockCount[WeekIndex],87)&gt;0,SUMIFS(T_StockCount[CountedQty],T_StockCount[RM_Code],$A88,T_StockCount[WeekIndex],87),IF((COUNTIFS(T_SelfStock[RM_Code],$A88,T_SelfStock[WeekIndex],87)&gt;0)*(COUNTIFS(T_TTAFStock[RM_Code],$A88,T_TTAFStock[WeekIndex],87)&gt;0)&gt;0,SUMIFS(T_SelfStock[Self_Qty],T_SelfStock[RM_Code],$A88,T_SelfStock[WeekIndex],87)+SUMIFS(T_TTAFStock[TTAF_Qty],T_TTAFStock[RM_Code],$A88,T_TTAFStock[WeekIndex],87),CI88+'Grid_Incoming'!CJ88-'Grid_Requirement'!CJ88))</f>
        <v/>
      </c>
      <c r="CK88">
        <f>IF(COUNTIFS(T_StockCount[RM_Code],$A88,T_StockCount[WeekIndex],88)&gt;0,SUMIFS(T_StockCount[CountedQty],T_StockCount[RM_Code],$A88,T_StockCount[WeekIndex],88),IF((COUNTIFS(T_SelfStock[RM_Code],$A88,T_SelfStock[WeekIndex],88)&gt;0)*(COUNTIFS(T_TTAFStock[RM_Code],$A88,T_TTAFStock[WeekIndex],88)&gt;0)&gt;0,SUMIFS(T_SelfStock[Self_Qty],T_SelfStock[RM_Code],$A88,T_SelfStock[WeekIndex],88)+SUMIFS(T_TTAFStock[TTAF_Qty],T_TTAFStock[RM_Code],$A88,T_TTAFStock[WeekIndex],88),CJ88+'Grid_Incoming'!CK88-'Grid_Requirement'!CK88))</f>
        <v/>
      </c>
      <c r="CL88">
        <f>IF(COUNTIFS(T_StockCount[RM_Code],$A88,T_StockCount[WeekIndex],89)&gt;0,SUMIFS(T_StockCount[CountedQty],T_StockCount[RM_Code],$A88,T_StockCount[WeekIndex],89),IF((COUNTIFS(T_SelfStock[RM_Code],$A88,T_SelfStock[WeekIndex],89)&gt;0)*(COUNTIFS(T_TTAFStock[RM_Code],$A88,T_TTAFStock[WeekIndex],89)&gt;0)&gt;0,SUMIFS(T_SelfStock[Self_Qty],T_SelfStock[RM_Code],$A88,T_SelfStock[WeekIndex],89)+SUMIFS(T_TTAFStock[TTAF_Qty],T_TTAFStock[RM_Code],$A88,T_TTAFStock[WeekIndex],89),CK88+'Grid_Incoming'!CL88-'Grid_Requirement'!CL88))</f>
        <v/>
      </c>
      <c r="CM88">
        <f>IF(COUNTIFS(T_StockCount[RM_Code],$A88,T_StockCount[WeekIndex],90)&gt;0,SUMIFS(T_StockCount[CountedQty],T_StockCount[RM_Code],$A88,T_StockCount[WeekIndex],90),IF((COUNTIFS(T_SelfStock[RM_Code],$A88,T_SelfStock[WeekIndex],90)&gt;0)*(COUNTIFS(T_TTAFStock[RM_Code],$A88,T_TTAFStock[WeekIndex],90)&gt;0)&gt;0,SUMIFS(T_SelfStock[Self_Qty],T_SelfStock[RM_Code],$A88,T_SelfStock[WeekIndex],90)+SUMIFS(T_TTAFStock[TTAF_Qty],T_TTAFStock[RM_Code],$A88,T_TTAFStock[WeekIndex],90),CL88+'Grid_Incoming'!CM88-'Grid_Requirement'!CM88))</f>
        <v/>
      </c>
      <c r="CN88">
        <f>IF(COUNTIFS(T_StockCount[RM_Code],$A88,T_StockCount[WeekIndex],91)&gt;0,SUMIFS(T_StockCount[CountedQty],T_StockCount[RM_Code],$A88,T_StockCount[WeekIndex],91),IF((COUNTIFS(T_SelfStock[RM_Code],$A88,T_SelfStock[WeekIndex],91)&gt;0)*(COUNTIFS(T_TTAFStock[RM_Code],$A88,T_TTAFStock[WeekIndex],91)&gt;0)&gt;0,SUMIFS(T_SelfStock[Self_Qty],T_SelfStock[RM_Code],$A88,T_SelfStock[WeekIndex],91)+SUMIFS(T_TTAFStock[TTAF_Qty],T_TTAFStock[RM_Code],$A88,T_TTAFStock[WeekIndex],91),CM88+'Grid_Incoming'!CN88-'Grid_Requirement'!CN88))</f>
        <v/>
      </c>
      <c r="CO88">
        <f>IF(COUNTIFS(T_StockCount[RM_Code],$A88,T_StockCount[WeekIndex],92)&gt;0,SUMIFS(T_StockCount[CountedQty],T_StockCount[RM_Code],$A88,T_StockCount[WeekIndex],92),IF((COUNTIFS(T_SelfStock[RM_Code],$A88,T_SelfStock[WeekIndex],92)&gt;0)*(COUNTIFS(T_TTAFStock[RM_Code],$A88,T_TTAFStock[WeekIndex],92)&gt;0)&gt;0,SUMIFS(T_SelfStock[Self_Qty],T_SelfStock[RM_Code],$A88,T_SelfStock[WeekIndex],92)+SUMIFS(T_TTAFStock[TTAF_Qty],T_TTAFStock[RM_Code],$A88,T_TTAFStock[WeekIndex],92),CN88+'Grid_Incoming'!CO88-'Grid_Requirement'!CO88))</f>
        <v/>
      </c>
      <c r="CP88">
        <f>IF(COUNTIFS(T_StockCount[RM_Code],$A88,T_StockCount[WeekIndex],93)&gt;0,SUMIFS(T_StockCount[CountedQty],T_StockCount[RM_Code],$A88,T_StockCount[WeekIndex],93),IF((COUNTIFS(T_SelfStock[RM_Code],$A88,T_SelfStock[WeekIndex],93)&gt;0)*(COUNTIFS(T_TTAFStock[RM_Code],$A88,T_TTAFStock[WeekIndex],93)&gt;0)&gt;0,SUMIFS(T_SelfStock[Self_Qty],T_SelfStock[RM_Code],$A88,T_SelfStock[WeekIndex],93)+SUMIFS(T_TTAFStock[TTAF_Qty],T_TTAFStock[RM_Code],$A88,T_TTAFStock[WeekIndex],93),CO88+'Grid_Incoming'!CP88-'Grid_Requirement'!CP88))</f>
        <v/>
      </c>
      <c r="CQ88">
        <f>IF(COUNTIFS(T_StockCount[RM_Code],$A88,T_StockCount[WeekIndex],94)&gt;0,SUMIFS(T_StockCount[CountedQty],T_StockCount[RM_Code],$A88,T_StockCount[WeekIndex],94),IF((COUNTIFS(T_SelfStock[RM_Code],$A88,T_SelfStock[WeekIndex],94)&gt;0)*(COUNTIFS(T_TTAFStock[RM_Code],$A88,T_TTAFStock[WeekIndex],94)&gt;0)&gt;0,SUMIFS(T_SelfStock[Self_Qty],T_SelfStock[RM_Code],$A88,T_SelfStock[WeekIndex],94)+SUMIFS(T_TTAFStock[TTAF_Qty],T_TTAFStock[RM_Code],$A88,T_TTAFStock[WeekIndex],94),CP88+'Grid_Incoming'!CQ88-'Grid_Requirement'!CQ88))</f>
        <v/>
      </c>
      <c r="CR88">
        <f>IF(COUNTIFS(T_StockCount[RM_Code],$A88,T_StockCount[WeekIndex],95)&gt;0,SUMIFS(T_StockCount[CountedQty],T_StockCount[RM_Code],$A88,T_StockCount[WeekIndex],95),IF((COUNTIFS(T_SelfStock[RM_Code],$A88,T_SelfStock[WeekIndex],95)&gt;0)*(COUNTIFS(T_TTAFStock[RM_Code],$A88,T_TTAFStock[WeekIndex],95)&gt;0)&gt;0,SUMIFS(T_SelfStock[Self_Qty],T_SelfStock[RM_Code],$A88,T_SelfStock[WeekIndex],95)+SUMIFS(T_TTAFStock[TTAF_Qty],T_TTAFStock[RM_Code],$A88,T_TTAFStock[WeekIndex],95),CQ88+'Grid_Incoming'!CR88-'Grid_Requirement'!CR88))</f>
        <v/>
      </c>
      <c r="CS88">
        <f>IF(COUNTIFS(T_StockCount[RM_Code],$A88,T_StockCount[WeekIndex],96)&gt;0,SUMIFS(T_StockCount[CountedQty],T_StockCount[RM_Code],$A88,T_StockCount[WeekIndex],96),IF((COUNTIFS(T_SelfStock[RM_Code],$A88,T_SelfStock[WeekIndex],96)&gt;0)*(COUNTIFS(T_TTAFStock[RM_Code],$A88,T_TTAFStock[WeekIndex],96)&gt;0)&gt;0,SUMIFS(T_SelfStock[Self_Qty],T_SelfStock[RM_Code],$A88,T_SelfStock[WeekIndex],96)+SUMIFS(T_TTAFStock[TTAF_Qty],T_TTAFStock[RM_Code],$A88,T_TTAFStock[WeekIndex],96),CR88+'Grid_Incoming'!CS88-'Grid_Requirement'!CS88))</f>
        <v/>
      </c>
      <c r="CT88">
        <f>IF(COUNTIFS(T_StockCount[RM_Code],$A88,T_StockCount[WeekIndex],97)&gt;0,SUMIFS(T_StockCount[CountedQty],T_StockCount[RM_Code],$A88,T_StockCount[WeekIndex],97),IF((COUNTIFS(T_SelfStock[RM_Code],$A88,T_SelfStock[WeekIndex],97)&gt;0)*(COUNTIFS(T_TTAFStock[RM_Code],$A88,T_TTAFStock[WeekIndex],97)&gt;0)&gt;0,SUMIFS(T_SelfStock[Self_Qty],T_SelfStock[RM_Code],$A88,T_SelfStock[WeekIndex],97)+SUMIFS(T_TTAFStock[TTAF_Qty],T_TTAFStock[RM_Code],$A88,T_TTAFStock[WeekIndex],97),CS88+'Grid_Incoming'!CT88-'Grid_Requirement'!CT88))</f>
        <v/>
      </c>
      <c r="CU88">
        <f>IF(COUNTIFS(T_StockCount[RM_Code],$A88,T_StockCount[WeekIndex],98)&gt;0,SUMIFS(T_StockCount[CountedQty],T_StockCount[RM_Code],$A88,T_StockCount[WeekIndex],98),IF((COUNTIFS(T_SelfStock[RM_Code],$A88,T_SelfStock[WeekIndex],98)&gt;0)*(COUNTIFS(T_TTAFStock[RM_Code],$A88,T_TTAFStock[WeekIndex],98)&gt;0)&gt;0,SUMIFS(T_SelfStock[Self_Qty],T_SelfStock[RM_Code],$A88,T_SelfStock[WeekIndex],98)+SUMIFS(T_TTAFStock[TTAF_Qty],T_TTAFStock[RM_Code],$A88,T_TTAFStock[WeekIndex],98),CT88+'Grid_Incoming'!CU88-'Grid_Requirement'!CU88))</f>
        <v/>
      </c>
      <c r="CV88">
        <f>IF(COUNTIFS(T_StockCount[RM_Code],$A88,T_StockCount[WeekIndex],99)&gt;0,SUMIFS(T_StockCount[CountedQty],T_StockCount[RM_Code],$A88,T_StockCount[WeekIndex],99),IF((COUNTIFS(T_SelfStock[RM_Code],$A88,T_SelfStock[WeekIndex],99)&gt;0)*(COUNTIFS(T_TTAFStock[RM_Code],$A88,T_TTAFStock[WeekIndex],99)&gt;0)&gt;0,SUMIFS(T_SelfStock[Self_Qty],T_SelfStock[RM_Code],$A88,T_SelfStock[WeekIndex],99)+SUMIFS(T_TTAFStock[TTAF_Qty],T_TTAFStock[RM_Code],$A88,T_TTAFStock[WeekIndex],99),CU88+'Grid_Incoming'!CV88-'Grid_Requirement'!CV88))</f>
        <v/>
      </c>
      <c r="CW88">
        <f>IF(COUNTIFS(T_StockCount[RM_Code],$A88,T_StockCount[WeekIndex],100)&gt;0,SUMIFS(T_StockCount[CountedQty],T_StockCount[RM_Code],$A88,T_StockCount[WeekIndex],100),IF((COUNTIFS(T_SelfStock[RM_Code],$A88,T_SelfStock[WeekIndex],100)&gt;0)*(COUNTIFS(T_TTAFStock[RM_Code],$A88,T_TTAFStock[WeekIndex],100)&gt;0)&gt;0,SUMIFS(T_SelfStock[Self_Qty],T_SelfStock[RM_Code],$A88,T_SelfStock[WeekIndex],100)+SUMIFS(T_TTAFStock[TTAF_Qty],T_TTAFStock[RM_Code],$A88,T_TTAFStock[WeekIndex],100),CV88+'Grid_Incoming'!CW88-'Grid_Requirement'!CW88))</f>
        <v/>
      </c>
      <c r="CX88">
        <f>IF(COUNTIFS(T_StockCount[RM_Code],$A88,T_StockCount[WeekIndex],101)&gt;0,SUMIFS(T_StockCount[CountedQty],T_StockCount[RM_Code],$A88,T_StockCount[WeekIndex],101),IF((COUNTIFS(T_SelfStock[RM_Code],$A88,T_SelfStock[WeekIndex],101)&gt;0)*(COUNTIFS(T_TTAFStock[RM_Code],$A88,T_TTAFStock[WeekIndex],101)&gt;0)&gt;0,SUMIFS(T_SelfStock[Self_Qty],T_SelfStock[RM_Code],$A88,T_SelfStock[WeekIndex],101)+SUMIFS(T_TTAFStock[TTAF_Qty],T_TTAFStock[RM_Code],$A88,T_TTAFStock[WeekIndex],101),CW88+'Grid_Incoming'!CX88-'Grid_Requirement'!CX88))</f>
        <v/>
      </c>
      <c r="CY88">
        <f>IF(COUNTIFS(T_StockCount[RM_Code],$A88,T_StockCount[WeekIndex],102)&gt;0,SUMIFS(T_StockCount[CountedQty],T_StockCount[RM_Code],$A88,T_StockCount[WeekIndex],102),IF((COUNTIFS(T_SelfStock[RM_Code],$A88,T_SelfStock[WeekIndex],102)&gt;0)*(COUNTIFS(T_TTAFStock[RM_Code],$A88,T_TTAFStock[WeekIndex],102)&gt;0)&gt;0,SUMIFS(T_SelfStock[Self_Qty],T_SelfStock[RM_Code],$A88,T_SelfStock[WeekIndex],102)+SUMIFS(T_TTAFStock[TTAF_Qty],T_TTAFStock[RM_Code],$A88,T_TTAFStock[WeekIndex],102),CX88+'Grid_Incoming'!CY88-'Grid_Requirement'!CY88))</f>
        <v/>
      </c>
      <c r="CZ88">
        <f>IF(COUNTIFS(T_StockCount[RM_Code],$A88,T_StockCount[WeekIndex],103)&gt;0,SUMIFS(T_StockCount[CountedQty],T_StockCount[RM_Code],$A88,T_StockCount[WeekIndex],103),IF((COUNTIFS(T_SelfStock[RM_Code],$A88,T_SelfStock[WeekIndex],103)&gt;0)*(COUNTIFS(T_TTAFStock[RM_Code],$A88,T_TTAFStock[WeekIndex],103)&gt;0)&gt;0,SUMIFS(T_SelfStock[Self_Qty],T_SelfStock[RM_Code],$A88,T_SelfStock[WeekIndex],103)+SUMIFS(T_TTAFStock[TTAF_Qty],T_TTAFStock[RM_Code],$A88,T_TTAFStock[WeekIndex],103),CY88+'Grid_Incoming'!CZ88-'Grid_Requirement'!CZ88))</f>
        <v/>
      </c>
      <c r="DA88">
        <f>IF(COUNTIFS(T_StockCount[RM_Code],$A88,T_StockCount[WeekIndex],104)&gt;0,SUMIFS(T_StockCount[CountedQty],T_StockCount[RM_Code],$A88,T_StockCount[WeekIndex],104),IF((COUNTIFS(T_SelfStock[RM_Code],$A88,T_SelfStock[WeekIndex],104)&gt;0)*(COUNTIFS(T_TTAFStock[RM_Code],$A88,T_TTAFStock[WeekIndex],104)&gt;0)&gt;0,SUMIFS(T_SelfStock[Self_Qty],T_SelfStock[RM_Code],$A88,T_SelfStock[WeekIndex],104)+SUMIFS(T_TTAFStock[TTAF_Qty],T_TTAFStock[RM_Code],$A88,T_TTAFStock[WeekIndex],104),CZ88+'Grid_Incoming'!DA88-'Grid_Requirement'!DA88))</f>
        <v/>
      </c>
    </row>
    <row r="89">
      <c r="A89" t="inlineStr">
        <is>
          <t>CHEM-1460</t>
        </is>
      </c>
      <c r="B89">
        <f>IF(COUNTIFS(T_StockCount[RM_Code],$A89,T_StockCount[WeekIndex],1)&gt;0,SUMIFS(T_StockCount[CountedQty],T_StockCount[RM_Code],$A89,T_StockCount[WeekIndex],1),IF((COUNTIFS(T_SelfStock[RM_Code],$A89,T_SelfStock[WeekIndex],1)&gt;0)*(COUNTIFS(T_TTAFStock[RM_Code],$A89,T_TTAFStock[WeekIndex],1)&gt;0)&gt;0,SUMIFS(T_SelfStock[Self_Qty],T_SelfStock[RM_Code],$A89,T_SelfStock[WeekIndex],1)+SUMIFS(T_TTAFStock[TTAF_Qty],T_TTAFStock[RM_Code],$A89,T_TTAFStock[WeekIndex],1),IFERROR(INDEX(T_OpeningStock[Opening_Qty],MATCH($A89,T_OpeningStock[RM_Code],0)),0)+'Grid_Incoming'!B89-'Grid_Requirement'!B89))</f>
        <v/>
      </c>
      <c r="C89">
        <f>IF(COUNTIFS(T_StockCount[RM_Code],$A89,T_StockCount[WeekIndex],2)&gt;0,SUMIFS(T_StockCount[CountedQty],T_StockCount[RM_Code],$A89,T_StockCount[WeekIndex],2),IF((COUNTIFS(T_SelfStock[RM_Code],$A89,T_SelfStock[WeekIndex],2)&gt;0)*(COUNTIFS(T_TTAFStock[RM_Code],$A89,T_TTAFStock[WeekIndex],2)&gt;0)&gt;0,SUMIFS(T_SelfStock[Self_Qty],T_SelfStock[RM_Code],$A89,T_SelfStock[WeekIndex],2)+SUMIFS(T_TTAFStock[TTAF_Qty],T_TTAFStock[RM_Code],$A89,T_TTAFStock[WeekIndex],2),B89+'Grid_Incoming'!C89-'Grid_Requirement'!C89))</f>
        <v/>
      </c>
      <c r="D89">
        <f>IF(COUNTIFS(T_StockCount[RM_Code],$A89,T_StockCount[WeekIndex],3)&gt;0,SUMIFS(T_StockCount[CountedQty],T_StockCount[RM_Code],$A89,T_StockCount[WeekIndex],3),IF((COUNTIFS(T_SelfStock[RM_Code],$A89,T_SelfStock[WeekIndex],3)&gt;0)*(COUNTIFS(T_TTAFStock[RM_Code],$A89,T_TTAFStock[WeekIndex],3)&gt;0)&gt;0,SUMIFS(T_SelfStock[Self_Qty],T_SelfStock[RM_Code],$A89,T_SelfStock[WeekIndex],3)+SUMIFS(T_TTAFStock[TTAF_Qty],T_TTAFStock[RM_Code],$A89,T_TTAFStock[WeekIndex],3),C89+'Grid_Incoming'!D89-'Grid_Requirement'!D89))</f>
        <v/>
      </c>
      <c r="E89">
        <f>IF(COUNTIFS(T_StockCount[RM_Code],$A89,T_StockCount[WeekIndex],4)&gt;0,SUMIFS(T_StockCount[CountedQty],T_StockCount[RM_Code],$A89,T_StockCount[WeekIndex],4),IF((COUNTIFS(T_SelfStock[RM_Code],$A89,T_SelfStock[WeekIndex],4)&gt;0)*(COUNTIFS(T_TTAFStock[RM_Code],$A89,T_TTAFStock[WeekIndex],4)&gt;0)&gt;0,SUMIFS(T_SelfStock[Self_Qty],T_SelfStock[RM_Code],$A89,T_SelfStock[WeekIndex],4)+SUMIFS(T_TTAFStock[TTAF_Qty],T_TTAFStock[RM_Code],$A89,T_TTAFStock[WeekIndex],4),D89+'Grid_Incoming'!E89-'Grid_Requirement'!E89))</f>
        <v/>
      </c>
      <c r="F89">
        <f>IF(COUNTIFS(T_StockCount[RM_Code],$A89,T_StockCount[WeekIndex],5)&gt;0,SUMIFS(T_StockCount[CountedQty],T_StockCount[RM_Code],$A89,T_StockCount[WeekIndex],5),IF((COUNTIFS(T_SelfStock[RM_Code],$A89,T_SelfStock[WeekIndex],5)&gt;0)*(COUNTIFS(T_TTAFStock[RM_Code],$A89,T_TTAFStock[WeekIndex],5)&gt;0)&gt;0,SUMIFS(T_SelfStock[Self_Qty],T_SelfStock[RM_Code],$A89,T_SelfStock[WeekIndex],5)+SUMIFS(T_TTAFStock[TTAF_Qty],T_TTAFStock[RM_Code],$A89,T_TTAFStock[WeekIndex],5),E89+'Grid_Incoming'!F89-'Grid_Requirement'!F89))</f>
        <v/>
      </c>
      <c r="G89">
        <f>IF(COUNTIFS(T_StockCount[RM_Code],$A89,T_StockCount[WeekIndex],6)&gt;0,SUMIFS(T_StockCount[CountedQty],T_StockCount[RM_Code],$A89,T_StockCount[WeekIndex],6),IF((COUNTIFS(T_SelfStock[RM_Code],$A89,T_SelfStock[WeekIndex],6)&gt;0)*(COUNTIFS(T_TTAFStock[RM_Code],$A89,T_TTAFStock[WeekIndex],6)&gt;0)&gt;0,SUMIFS(T_SelfStock[Self_Qty],T_SelfStock[RM_Code],$A89,T_SelfStock[WeekIndex],6)+SUMIFS(T_TTAFStock[TTAF_Qty],T_TTAFStock[RM_Code],$A89,T_TTAFStock[WeekIndex],6),F89+'Grid_Incoming'!G89-'Grid_Requirement'!G89))</f>
        <v/>
      </c>
      <c r="H89">
        <f>IF(COUNTIFS(T_StockCount[RM_Code],$A89,T_StockCount[WeekIndex],7)&gt;0,SUMIFS(T_StockCount[CountedQty],T_StockCount[RM_Code],$A89,T_StockCount[WeekIndex],7),IF((COUNTIFS(T_SelfStock[RM_Code],$A89,T_SelfStock[WeekIndex],7)&gt;0)*(COUNTIFS(T_TTAFStock[RM_Code],$A89,T_TTAFStock[WeekIndex],7)&gt;0)&gt;0,SUMIFS(T_SelfStock[Self_Qty],T_SelfStock[RM_Code],$A89,T_SelfStock[WeekIndex],7)+SUMIFS(T_TTAFStock[TTAF_Qty],T_TTAFStock[RM_Code],$A89,T_TTAFStock[WeekIndex],7),G89+'Grid_Incoming'!H89-'Grid_Requirement'!H89))</f>
        <v/>
      </c>
      <c r="I89">
        <f>IF(COUNTIFS(T_StockCount[RM_Code],$A89,T_StockCount[WeekIndex],8)&gt;0,SUMIFS(T_StockCount[CountedQty],T_StockCount[RM_Code],$A89,T_StockCount[WeekIndex],8),IF((COUNTIFS(T_SelfStock[RM_Code],$A89,T_SelfStock[WeekIndex],8)&gt;0)*(COUNTIFS(T_TTAFStock[RM_Code],$A89,T_TTAFStock[WeekIndex],8)&gt;0)&gt;0,SUMIFS(T_SelfStock[Self_Qty],T_SelfStock[RM_Code],$A89,T_SelfStock[WeekIndex],8)+SUMIFS(T_TTAFStock[TTAF_Qty],T_TTAFStock[RM_Code],$A89,T_TTAFStock[WeekIndex],8),H89+'Grid_Incoming'!I89-'Grid_Requirement'!I89))</f>
        <v/>
      </c>
      <c r="J89">
        <f>IF(COUNTIFS(T_StockCount[RM_Code],$A89,T_StockCount[WeekIndex],9)&gt;0,SUMIFS(T_StockCount[CountedQty],T_StockCount[RM_Code],$A89,T_StockCount[WeekIndex],9),IF((COUNTIFS(T_SelfStock[RM_Code],$A89,T_SelfStock[WeekIndex],9)&gt;0)*(COUNTIFS(T_TTAFStock[RM_Code],$A89,T_TTAFStock[WeekIndex],9)&gt;0)&gt;0,SUMIFS(T_SelfStock[Self_Qty],T_SelfStock[RM_Code],$A89,T_SelfStock[WeekIndex],9)+SUMIFS(T_TTAFStock[TTAF_Qty],T_TTAFStock[RM_Code],$A89,T_TTAFStock[WeekIndex],9),I89+'Grid_Incoming'!J89-'Grid_Requirement'!J89))</f>
        <v/>
      </c>
      <c r="K89">
        <f>IF(COUNTIFS(T_StockCount[RM_Code],$A89,T_StockCount[WeekIndex],10)&gt;0,SUMIFS(T_StockCount[CountedQty],T_StockCount[RM_Code],$A89,T_StockCount[WeekIndex],10),IF((COUNTIFS(T_SelfStock[RM_Code],$A89,T_SelfStock[WeekIndex],10)&gt;0)*(COUNTIFS(T_TTAFStock[RM_Code],$A89,T_TTAFStock[WeekIndex],10)&gt;0)&gt;0,SUMIFS(T_SelfStock[Self_Qty],T_SelfStock[RM_Code],$A89,T_SelfStock[WeekIndex],10)+SUMIFS(T_TTAFStock[TTAF_Qty],T_TTAFStock[RM_Code],$A89,T_TTAFStock[WeekIndex],10),J89+'Grid_Incoming'!K89-'Grid_Requirement'!K89))</f>
        <v/>
      </c>
      <c r="L89">
        <f>IF(COUNTIFS(T_StockCount[RM_Code],$A89,T_StockCount[WeekIndex],11)&gt;0,SUMIFS(T_StockCount[CountedQty],T_StockCount[RM_Code],$A89,T_StockCount[WeekIndex],11),IF((COUNTIFS(T_SelfStock[RM_Code],$A89,T_SelfStock[WeekIndex],11)&gt;0)*(COUNTIFS(T_TTAFStock[RM_Code],$A89,T_TTAFStock[WeekIndex],11)&gt;0)&gt;0,SUMIFS(T_SelfStock[Self_Qty],T_SelfStock[RM_Code],$A89,T_SelfStock[WeekIndex],11)+SUMIFS(T_TTAFStock[TTAF_Qty],T_TTAFStock[RM_Code],$A89,T_TTAFStock[WeekIndex],11),K89+'Grid_Incoming'!L89-'Grid_Requirement'!L89))</f>
        <v/>
      </c>
      <c r="M89">
        <f>IF(COUNTIFS(T_StockCount[RM_Code],$A89,T_StockCount[WeekIndex],12)&gt;0,SUMIFS(T_StockCount[CountedQty],T_StockCount[RM_Code],$A89,T_StockCount[WeekIndex],12),IF((COUNTIFS(T_SelfStock[RM_Code],$A89,T_SelfStock[WeekIndex],12)&gt;0)*(COUNTIFS(T_TTAFStock[RM_Code],$A89,T_TTAFStock[WeekIndex],12)&gt;0)&gt;0,SUMIFS(T_SelfStock[Self_Qty],T_SelfStock[RM_Code],$A89,T_SelfStock[WeekIndex],12)+SUMIFS(T_TTAFStock[TTAF_Qty],T_TTAFStock[RM_Code],$A89,T_TTAFStock[WeekIndex],12),L89+'Grid_Incoming'!M89-'Grid_Requirement'!M89))</f>
        <v/>
      </c>
      <c r="N89">
        <f>IF(COUNTIFS(T_StockCount[RM_Code],$A89,T_StockCount[WeekIndex],13)&gt;0,SUMIFS(T_StockCount[CountedQty],T_StockCount[RM_Code],$A89,T_StockCount[WeekIndex],13),IF((COUNTIFS(T_SelfStock[RM_Code],$A89,T_SelfStock[WeekIndex],13)&gt;0)*(COUNTIFS(T_TTAFStock[RM_Code],$A89,T_TTAFStock[WeekIndex],13)&gt;0)&gt;0,SUMIFS(T_SelfStock[Self_Qty],T_SelfStock[RM_Code],$A89,T_SelfStock[WeekIndex],13)+SUMIFS(T_TTAFStock[TTAF_Qty],T_TTAFStock[RM_Code],$A89,T_TTAFStock[WeekIndex],13),M89+'Grid_Incoming'!N89-'Grid_Requirement'!N89))</f>
        <v/>
      </c>
      <c r="O89">
        <f>IF(COUNTIFS(T_StockCount[RM_Code],$A89,T_StockCount[WeekIndex],14)&gt;0,SUMIFS(T_StockCount[CountedQty],T_StockCount[RM_Code],$A89,T_StockCount[WeekIndex],14),IF((COUNTIFS(T_SelfStock[RM_Code],$A89,T_SelfStock[WeekIndex],14)&gt;0)*(COUNTIFS(T_TTAFStock[RM_Code],$A89,T_TTAFStock[WeekIndex],14)&gt;0)&gt;0,SUMIFS(T_SelfStock[Self_Qty],T_SelfStock[RM_Code],$A89,T_SelfStock[WeekIndex],14)+SUMIFS(T_TTAFStock[TTAF_Qty],T_TTAFStock[RM_Code],$A89,T_TTAFStock[WeekIndex],14),N89+'Grid_Incoming'!O89-'Grid_Requirement'!O89))</f>
        <v/>
      </c>
      <c r="P89">
        <f>IF(COUNTIFS(T_StockCount[RM_Code],$A89,T_StockCount[WeekIndex],15)&gt;0,SUMIFS(T_StockCount[CountedQty],T_StockCount[RM_Code],$A89,T_StockCount[WeekIndex],15),IF((COUNTIFS(T_SelfStock[RM_Code],$A89,T_SelfStock[WeekIndex],15)&gt;0)*(COUNTIFS(T_TTAFStock[RM_Code],$A89,T_TTAFStock[WeekIndex],15)&gt;0)&gt;0,SUMIFS(T_SelfStock[Self_Qty],T_SelfStock[RM_Code],$A89,T_SelfStock[WeekIndex],15)+SUMIFS(T_TTAFStock[TTAF_Qty],T_TTAFStock[RM_Code],$A89,T_TTAFStock[WeekIndex],15),O89+'Grid_Incoming'!P89-'Grid_Requirement'!P89))</f>
        <v/>
      </c>
      <c r="Q89">
        <f>IF(COUNTIFS(T_StockCount[RM_Code],$A89,T_StockCount[WeekIndex],16)&gt;0,SUMIFS(T_StockCount[CountedQty],T_StockCount[RM_Code],$A89,T_StockCount[WeekIndex],16),IF((COUNTIFS(T_SelfStock[RM_Code],$A89,T_SelfStock[WeekIndex],16)&gt;0)*(COUNTIFS(T_TTAFStock[RM_Code],$A89,T_TTAFStock[WeekIndex],16)&gt;0)&gt;0,SUMIFS(T_SelfStock[Self_Qty],T_SelfStock[RM_Code],$A89,T_SelfStock[WeekIndex],16)+SUMIFS(T_TTAFStock[TTAF_Qty],T_TTAFStock[RM_Code],$A89,T_TTAFStock[WeekIndex],16),P89+'Grid_Incoming'!Q89-'Grid_Requirement'!Q89))</f>
        <v/>
      </c>
      <c r="R89">
        <f>IF(COUNTIFS(T_StockCount[RM_Code],$A89,T_StockCount[WeekIndex],17)&gt;0,SUMIFS(T_StockCount[CountedQty],T_StockCount[RM_Code],$A89,T_StockCount[WeekIndex],17),IF((COUNTIFS(T_SelfStock[RM_Code],$A89,T_SelfStock[WeekIndex],17)&gt;0)*(COUNTIFS(T_TTAFStock[RM_Code],$A89,T_TTAFStock[WeekIndex],17)&gt;0)&gt;0,SUMIFS(T_SelfStock[Self_Qty],T_SelfStock[RM_Code],$A89,T_SelfStock[WeekIndex],17)+SUMIFS(T_TTAFStock[TTAF_Qty],T_TTAFStock[RM_Code],$A89,T_TTAFStock[WeekIndex],17),Q89+'Grid_Incoming'!R89-'Grid_Requirement'!R89))</f>
        <v/>
      </c>
      <c r="S89">
        <f>IF(COUNTIFS(T_StockCount[RM_Code],$A89,T_StockCount[WeekIndex],18)&gt;0,SUMIFS(T_StockCount[CountedQty],T_StockCount[RM_Code],$A89,T_StockCount[WeekIndex],18),IF((COUNTIFS(T_SelfStock[RM_Code],$A89,T_SelfStock[WeekIndex],18)&gt;0)*(COUNTIFS(T_TTAFStock[RM_Code],$A89,T_TTAFStock[WeekIndex],18)&gt;0)&gt;0,SUMIFS(T_SelfStock[Self_Qty],T_SelfStock[RM_Code],$A89,T_SelfStock[WeekIndex],18)+SUMIFS(T_TTAFStock[TTAF_Qty],T_TTAFStock[RM_Code],$A89,T_TTAFStock[WeekIndex],18),R89+'Grid_Incoming'!S89-'Grid_Requirement'!S89))</f>
        <v/>
      </c>
      <c r="T89">
        <f>IF(COUNTIFS(T_StockCount[RM_Code],$A89,T_StockCount[WeekIndex],19)&gt;0,SUMIFS(T_StockCount[CountedQty],T_StockCount[RM_Code],$A89,T_StockCount[WeekIndex],19),IF((COUNTIFS(T_SelfStock[RM_Code],$A89,T_SelfStock[WeekIndex],19)&gt;0)*(COUNTIFS(T_TTAFStock[RM_Code],$A89,T_TTAFStock[WeekIndex],19)&gt;0)&gt;0,SUMIFS(T_SelfStock[Self_Qty],T_SelfStock[RM_Code],$A89,T_SelfStock[WeekIndex],19)+SUMIFS(T_TTAFStock[TTAF_Qty],T_TTAFStock[RM_Code],$A89,T_TTAFStock[WeekIndex],19),S89+'Grid_Incoming'!T89-'Grid_Requirement'!T89))</f>
        <v/>
      </c>
      <c r="U89">
        <f>IF(COUNTIFS(T_StockCount[RM_Code],$A89,T_StockCount[WeekIndex],20)&gt;0,SUMIFS(T_StockCount[CountedQty],T_StockCount[RM_Code],$A89,T_StockCount[WeekIndex],20),IF((COUNTIFS(T_SelfStock[RM_Code],$A89,T_SelfStock[WeekIndex],20)&gt;0)*(COUNTIFS(T_TTAFStock[RM_Code],$A89,T_TTAFStock[WeekIndex],20)&gt;0)&gt;0,SUMIFS(T_SelfStock[Self_Qty],T_SelfStock[RM_Code],$A89,T_SelfStock[WeekIndex],20)+SUMIFS(T_TTAFStock[TTAF_Qty],T_TTAFStock[RM_Code],$A89,T_TTAFStock[WeekIndex],20),T89+'Grid_Incoming'!U89-'Grid_Requirement'!U89))</f>
        <v/>
      </c>
      <c r="V89">
        <f>IF(COUNTIFS(T_StockCount[RM_Code],$A89,T_StockCount[WeekIndex],21)&gt;0,SUMIFS(T_StockCount[CountedQty],T_StockCount[RM_Code],$A89,T_StockCount[WeekIndex],21),IF((COUNTIFS(T_SelfStock[RM_Code],$A89,T_SelfStock[WeekIndex],21)&gt;0)*(COUNTIFS(T_TTAFStock[RM_Code],$A89,T_TTAFStock[WeekIndex],21)&gt;0)&gt;0,SUMIFS(T_SelfStock[Self_Qty],T_SelfStock[RM_Code],$A89,T_SelfStock[WeekIndex],21)+SUMIFS(T_TTAFStock[TTAF_Qty],T_TTAFStock[RM_Code],$A89,T_TTAFStock[WeekIndex],21),U89+'Grid_Incoming'!V89-'Grid_Requirement'!V89))</f>
        <v/>
      </c>
      <c r="W89">
        <f>IF(COUNTIFS(T_StockCount[RM_Code],$A89,T_StockCount[WeekIndex],22)&gt;0,SUMIFS(T_StockCount[CountedQty],T_StockCount[RM_Code],$A89,T_StockCount[WeekIndex],22),IF((COUNTIFS(T_SelfStock[RM_Code],$A89,T_SelfStock[WeekIndex],22)&gt;0)*(COUNTIFS(T_TTAFStock[RM_Code],$A89,T_TTAFStock[WeekIndex],22)&gt;0)&gt;0,SUMIFS(T_SelfStock[Self_Qty],T_SelfStock[RM_Code],$A89,T_SelfStock[WeekIndex],22)+SUMIFS(T_TTAFStock[TTAF_Qty],T_TTAFStock[RM_Code],$A89,T_TTAFStock[WeekIndex],22),V89+'Grid_Incoming'!W89-'Grid_Requirement'!W89))</f>
        <v/>
      </c>
      <c r="X89">
        <f>IF(COUNTIFS(T_StockCount[RM_Code],$A89,T_StockCount[WeekIndex],23)&gt;0,SUMIFS(T_StockCount[CountedQty],T_StockCount[RM_Code],$A89,T_StockCount[WeekIndex],23),IF((COUNTIFS(T_SelfStock[RM_Code],$A89,T_SelfStock[WeekIndex],23)&gt;0)*(COUNTIFS(T_TTAFStock[RM_Code],$A89,T_TTAFStock[WeekIndex],23)&gt;0)&gt;0,SUMIFS(T_SelfStock[Self_Qty],T_SelfStock[RM_Code],$A89,T_SelfStock[WeekIndex],23)+SUMIFS(T_TTAFStock[TTAF_Qty],T_TTAFStock[RM_Code],$A89,T_TTAFStock[WeekIndex],23),W89+'Grid_Incoming'!X89-'Grid_Requirement'!X89))</f>
        <v/>
      </c>
      <c r="Y89">
        <f>IF(COUNTIFS(T_StockCount[RM_Code],$A89,T_StockCount[WeekIndex],24)&gt;0,SUMIFS(T_StockCount[CountedQty],T_StockCount[RM_Code],$A89,T_StockCount[WeekIndex],24),IF((COUNTIFS(T_SelfStock[RM_Code],$A89,T_SelfStock[WeekIndex],24)&gt;0)*(COUNTIFS(T_TTAFStock[RM_Code],$A89,T_TTAFStock[WeekIndex],24)&gt;0)&gt;0,SUMIFS(T_SelfStock[Self_Qty],T_SelfStock[RM_Code],$A89,T_SelfStock[WeekIndex],24)+SUMIFS(T_TTAFStock[TTAF_Qty],T_TTAFStock[RM_Code],$A89,T_TTAFStock[WeekIndex],24),X89+'Grid_Incoming'!Y89-'Grid_Requirement'!Y89))</f>
        <v/>
      </c>
      <c r="Z89">
        <f>IF(COUNTIFS(T_StockCount[RM_Code],$A89,T_StockCount[WeekIndex],25)&gt;0,SUMIFS(T_StockCount[CountedQty],T_StockCount[RM_Code],$A89,T_StockCount[WeekIndex],25),IF((COUNTIFS(T_SelfStock[RM_Code],$A89,T_SelfStock[WeekIndex],25)&gt;0)*(COUNTIFS(T_TTAFStock[RM_Code],$A89,T_TTAFStock[WeekIndex],25)&gt;0)&gt;0,SUMIFS(T_SelfStock[Self_Qty],T_SelfStock[RM_Code],$A89,T_SelfStock[WeekIndex],25)+SUMIFS(T_TTAFStock[TTAF_Qty],T_TTAFStock[RM_Code],$A89,T_TTAFStock[WeekIndex],25),Y89+'Grid_Incoming'!Z89-'Grid_Requirement'!Z89))</f>
        <v/>
      </c>
      <c r="AA89">
        <f>IF(COUNTIFS(T_StockCount[RM_Code],$A89,T_StockCount[WeekIndex],26)&gt;0,SUMIFS(T_StockCount[CountedQty],T_StockCount[RM_Code],$A89,T_StockCount[WeekIndex],26),IF((COUNTIFS(T_SelfStock[RM_Code],$A89,T_SelfStock[WeekIndex],26)&gt;0)*(COUNTIFS(T_TTAFStock[RM_Code],$A89,T_TTAFStock[WeekIndex],26)&gt;0)&gt;0,SUMIFS(T_SelfStock[Self_Qty],T_SelfStock[RM_Code],$A89,T_SelfStock[WeekIndex],26)+SUMIFS(T_TTAFStock[TTAF_Qty],T_TTAFStock[RM_Code],$A89,T_TTAFStock[WeekIndex],26),Z89+'Grid_Incoming'!AA89-'Grid_Requirement'!AA89))</f>
        <v/>
      </c>
      <c r="AB89">
        <f>IF(COUNTIFS(T_StockCount[RM_Code],$A89,T_StockCount[WeekIndex],27)&gt;0,SUMIFS(T_StockCount[CountedQty],T_StockCount[RM_Code],$A89,T_StockCount[WeekIndex],27),IF((COUNTIFS(T_SelfStock[RM_Code],$A89,T_SelfStock[WeekIndex],27)&gt;0)*(COUNTIFS(T_TTAFStock[RM_Code],$A89,T_TTAFStock[WeekIndex],27)&gt;0)&gt;0,SUMIFS(T_SelfStock[Self_Qty],T_SelfStock[RM_Code],$A89,T_SelfStock[WeekIndex],27)+SUMIFS(T_TTAFStock[TTAF_Qty],T_TTAFStock[RM_Code],$A89,T_TTAFStock[WeekIndex],27),AA89+'Grid_Incoming'!AB89-'Grid_Requirement'!AB89))</f>
        <v/>
      </c>
      <c r="AC89">
        <f>IF(COUNTIFS(T_StockCount[RM_Code],$A89,T_StockCount[WeekIndex],28)&gt;0,SUMIFS(T_StockCount[CountedQty],T_StockCount[RM_Code],$A89,T_StockCount[WeekIndex],28),IF((COUNTIFS(T_SelfStock[RM_Code],$A89,T_SelfStock[WeekIndex],28)&gt;0)*(COUNTIFS(T_TTAFStock[RM_Code],$A89,T_TTAFStock[WeekIndex],28)&gt;0)&gt;0,SUMIFS(T_SelfStock[Self_Qty],T_SelfStock[RM_Code],$A89,T_SelfStock[WeekIndex],28)+SUMIFS(T_TTAFStock[TTAF_Qty],T_TTAFStock[RM_Code],$A89,T_TTAFStock[WeekIndex],28),AB89+'Grid_Incoming'!AC89-'Grid_Requirement'!AC89))</f>
        <v/>
      </c>
      <c r="AD89">
        <f>IF(COUNTIFS(T_StockCount[RM_Code],$A89,T_StockCount[WeekIndex],29)&gt;0,SUMIFS(T_StockCount[CountedQty],T_StockCount[RM_Code],$A89,T_StockCount[WeekIndex],29),IF((COUNTIFS(T_SelfStock[RM_Code],$A89,T_SelfStock[WeekIndex],29)&gt;0)*(COUNTIFS(T_TTAFStock[RM_Code],$A89,T_TTAFStock[WeekIndex],29)&gt;0)&gt;0,SUMIFS(T_SelfStock[Self_Qty],T_SelfStock[RM_Code],$A89,T_SelfStock[WeekIndex],29)+SUMIFS(T_TTAFStock[TTAF_Qty],T_TTAFStock[RM_Code],$A89,T_TTAFStock[WeekIndex],29),AC89+'Grid_Incoming'!AD89-'Grid_Requirement'!AD89))</f>
        <v/>
      </c>
      <c r="AE89">
        <f>IF(COUNTIFS(T_StockCount[RM_Code],$A89,T_StockCount[WeekIndex],30)&gt;0,SUMIFS(T_StockCount[CountedQty],T_StockCount[RM_Code],$A89,T_StockCount[WeekIndex],30),IF((COUNTIFS(T_SelfStock[RM_Code],$A89,T_SelfStock[WeekIndex],30)&gt;0)*(COUNTIFS(T_TTAFStock[RM_Code],$A89,T_TTAFStock[WeekIndex],30)&gt;0)&gt;0,SUMIFS(T_SelfStock[Self_Qty],T_SelfStock[RM_Code],$A89,T_SelfStock[WeekIndex],30)+SUMIFS(T_TTAFStock[TTAF_Qty],T_TTAFStock[RM_Code],$A89,T_TTAFStock[WeekIndex],30),AD89+'Grid_Incoming'!AE89-'Grid_Requirement'!AE89))</f>
        <v/>
      </c>
      <c r="AF89">
        <f>IF(COUNTIFS(T_StockCount[RM_Code],$A89,T_StockCount[WeekIndex],31)&gt;0,SUMIFS(T_StockCount[CountedQty],T_StockCount[RM_Code],$A89,T_StockCount[WeekIndex],31),IF((COUNTIFS(T_SelfStock[RM_Code],$A89,T_SelfStock[WeekIndex],31)&gt;0)*(COUNTIFS(T_TTAFStock[RM_Code],$A89,T_TTAFStock[WeekIndex],31)&gt;0)&gt;0,SUMIFS(T_SelfStock[Self_Qty],T_SelfStock[RM_Code],$A89,T_SelfStock[WeekIndex],31)+SUMIFS(T_TTAFStock[TTAF_Qty],T_TTAFStock[RM_Code],$A89,T_TTAFStock[WeekIndex],31),AE89+'Grid_Incoming'!AF89-'Grid_Requirement'!AF89))</f>
        <v/>
      </c>
      <c r="AG89">
        <f>IF(COUNTIFS(T_StockCount[RM_Code],$A89,T_StockCount[WeekIndex],32)&gt;0,SUMIFS(T_StockCount[CountedQty],T_StockCount[RM_Code],$A89,T_StockCount[WeekIndex],32),IF((COUNTIFS(T_SelfStock[RM_Code],$A89,T_SelfStock[WeekIndex],32)&gt;0)*(COUNTIFS(T_TTAFStock[RM_Code],$A89,T_TTAFStock[WeekIndex],32)&gt;0)&gt;0,SUMIFS(T_SelfStock[Self_Qty],T_SelfStock[RM_Code],$A89,T_SelfStock[WeekIndex],32)+SUMIFS(T_TTAFStock[TTAF_Qty],T_TTAFStock[RM_Code],$A89,T_TTAFStock[WeekIndex],32),AF89+'Grid_Incoming'!AG89-'Grid_Requirement'!AG89))</f>
        <v/>
      </c>
      <c r="AH89">
        <f>IF(COUNTIFS(T_StockCount[RM_Code],$A89,T_StockCount[WeekIndex],33)&gt;0,SUMIFS(T_StockCount[CountedQty],T_StockCount[RM_Code],$A89,T_StockCount[WeekIndex],33),IF((COUNTIFS(T_SelfStock[RM_Code],$A89,T_SelfStock[WeekIndex],33)&gt;0)*(COUNTIFS(T_TTAFStock[RM_Code],$A89,T_TTAFStock[WeekIndex],33)&gt;0)&gt;0,SUMIFS(T_SelfStock[Self_Qty],T_SelfStock[RM_Code],$A89,T_SelfStock[WeekIndex],33)+SUMIFS(T_TTAFStock[TTAF_Qty],T_TTAFStock[RM_Code],$A89,T_TTAFStock[WeekIndex],33),AG89+'Grid_Incoming'!AH89-'Grid_Requirement'!AH89))</f>
        <v/>
      </c>
      <c r="AI89">
        <f>IF(COUNTIFS(T_StockCount[RM_Code],$A89,T_StockCount[WeekIndex],34)&gt;0,SUMIFS(T_StockCount[CountedQty],T_StockCount[RM_Code],$A89,T_StockCount[WeekIndex],34),IF((COUNTIFS(T_SelfStock[RM_Code],$A89,T_SelfStock[WeekIndex],34)&gt;0)*(COUNTIFS(T_TTAFStock[RM_Code],$A89,T_TTAFStock[WeekIndex],34)&gt;0)&gt;0,SUMIFS(T_SelfStock[Self_Qty],T_SelfStock[RM_Code],$A89,T_SelfStock[WeekIndex],34)+SUMIFS(T_TTAFStock[TTAF_Qty],T_TTAFStock[RM_Code],$A89,T_TTAFStock[WeekIndex],34),AH89+'Grid_Incoming'!AI89-'Grid_Requirement'!AI89))</f>
        <v/>
      </c>
      <c r="AJ89">
        <f>IF(COUNTIFS(T_StockCount[RM_Code],$A89,T_StockCount[WeekIndex],35)&gt;0,SUMIFS(T_StockCount[CountedQty],T_StockCount[RM_Code],$A89,T_StockCount[WeekIndex],35),IF((COUNTIFS(T_SelfStock[RM_Code],$A89,T_SelfStock[WeekIndex],35)&gt;0)*(COUNTIFS(T_TTAFStock[RM_Code],$A89,T_TTAFStock[WeekIndex],35)&gt;0)&gt;0,SUMIFS(T_SelfStock[Self_Qty],T_SelfStock[RM_Code],$A89,T_SelfStock[WeekIndex],35)+SUMIFS(T_TTAFStock[TTAF_Qty],T_TTAFStock[RM_Code],$A89,T_TTAFStock[WeekIndex],35),AI89+'Grid_Incoming'!AJ89-'Grid_Requirement'!AJ89))</f>
        <v/>
      </c>
      <c r="AK89">
        <f>IF(COUNTIFS(T_StockCount[RM_Code],$A89,T_StockCount[WeekIndex],36)&gt;0,SUMIFS(T_StockCount[CountedQty],T_StockCount[RM_Code],$A89,T_StockCount[WeekIndex],36),IF((COUNTIFS(T_SelfStock[RM_Code],$A89,T_SelfStock[WeekIndex],36)&gt;0)*(COUNTIFS(T_TTAFStock[RM_Code],$A89,T_TTAFStock[WeekIndex],36)&gt;0)&gt;0,SUMIFS(T_SelfStock[Self_Qty],T_SelfStock[RM_Code],$A89,T_SelfStock[WeekIndex],36)+SUMIFS(T_TTAFStock[TTAF_Qty],T_TTAFStock[RM_Code],$A89,T_TTAFStock[WeekIndex],36),AJ89+'Grid_Incoming'!AK89-'Grid_Requirement'!AK89))</f>
        <v/>
      </c>
      <c r="AL89">
        <f>IF(COUNTIFS(T_StockCount[RM_Code],$A89,T_StockCount[WeekIndex],37)&gt;0,SUMIFS(T_StockCount[CountedQty],T_StockCount[RM_Code],$A89,T_StockCount[WeekIndex],37),IF((COUNTIFS(T_SelfStock[RM_Code],$A89,T_SelfStock[WeekIndex],37)&gt;0)*(COUNTIFS(T_TTAFStock[RM_Code],$A89,T_TTAFStock[WeekIndex],37)&gt;0)&gt;0,SUMIFS(T_SelfStock[Self_Qty],T_SelfStock[RM_Code],$A89,T_SelfStock[WeekIndex],37)+SUMIFS(T_TTAFStock[TTAF_Qty],T_TTAFStock[RM_Code],$A89,T_TTAFStock[WeekIndex],37),AK89+'Grid_Incoming'!AL89-'Grid_Requirement'!AL89))</f>
        <v/>
      </c>
      <c r="AM89">
        <f>IF(COUNTIFS(T_StockCount[RM_Code],$A89,T_StockCount[WeekIndex],38)&gt;0,SUMIFS(T_StockCount[CountedQty],T_StockCount[RM_Code],$A89,T_StockCount[WeekIndex],38),IF((COUNTIFS(T_SelfStock[RM_Code],$A89,T_SelfStock[WeekIndex],38)&gt;0)*(COUNTIFS(T_TTAFStock[RM_Code],$A89,T_TTAFStock[WeekIndex],38)&gt;0)&gt;0,SUMIFS(T_SelfStock[Self_Qty],T_SelfStock[RM_Code],$A89,T_SelfStock[WeekIndex],38)+SUMIFS(T_TTAFStock[TTAF_Qty],T_TTAFStock[RM_Code],$A89,T_TTAFStock[WeekIndex],38),AL89+'Grid_Incoming'!AM89-'Grid_Requirement'!AM89))</f>
        <v/>
      </c>
      <c r="AN89">
        <f>IF(COUNTIFS(T_StockCount[RM_Code],$A89,T_StockCount[WeekIndex],39)&gt;0,SUMIFS(T_StockCount[CountedQty],T_StockCount[RM_Code],$A89,T_StockCount[WeekIndex],39),IF((COUNTIFS(T_SelfStock[RM_Code],$A89,T_SelfStock[WeekIndex],39)&gt;0)*(COUNTIFS(T_TTAFStock[RM_Code],$A89,T_TTAFStock[WeekIndex],39)&gt;0)&gt;0,SUMIFS(T_SelfStock[Self_Qty],T_SelfStock[RM_Code],$A89,T_SelfStock[WeekIndex],39)+SUMIFS(T_TTAFStock[TTAF_Qty],T_TTAFStock[RM_Code],$A89,T_TTAFStock[WeekIndex],39),AM89+'Grid_Incoming'!AN89-'Grid_Requirement'!AN89))</f>
        <v/>
      </c>
      <c r="AO89">
        <f>IF(COUNTIFS(T_StockCount[RM_Code],$A89,T_StockCount[WeekIndex],40)&gt;0,SUMIFS(T_StockCount[CountedQty],T_StockCount[RM_Code],$A89,T_StockCount[WeekIndex],40),IF((COUNTIFS(T_SelfStock[RM_Code],$A89,T_SelfStock[WeekIndex],40)&gt;0)*(COUNTIFS(T_TTAFStock[RM_Code],$A89,T_TTAFStock[WeekIndex],40)&gt;0)&gt;0,SUMIFS(T_SelfStock[Self_Qty],T_SelfStock[RM_Code],$A89,T_SelfStock[WeekIndex],40)+SUMIFS(T_TTAFStock[TTAF_Qty],T_TTAFStock[RM_Code],$A89,T_TTAFStock[WeekIndex],40),AN89+'Grid_Incoming'!AO89-'Grid_Requirement'!AO89))</f>
        <v/>
      </c>
      <c r="AP89">
        <f>IF(COUNTIFS(T_StockCount[RM_Code],$A89,T_StockCount[WeekIndex],41)&gt;0,SUMIFS(T_StockCount[CountedQty],T_StockCount[RM_Code],$A89,T_StockCount[WeekIndex],41),IF((COUNTIFS(T_SelfStock[RM_Code],$A89,T_SelfStock[WeekIndex],41)&gt;0)*(COUNTIFS(T_TTAFStock[RM_Code],$A89,T_TTAFStock[WeekIndex],41)&gt;0)&gt;0,SUMIFS(T_SelfStock[Self_Qty],T_SelfStock[RM_Code],$A89,T_SelfStock[WeekIndex],41)+SUMIFS(T_TTAFStock[TTAF_Qty],T_TTAFStock[RM_Code],$A89,T_TTAFStock[WeekIndex],41),AO89+'Grid_Incoming'!AP89-'Grid_Requirement'!AP89))</f>
        <v/>
      </c>
      <c r="AQ89">
        <f>IF(COUNTIFS(T_StockCount[RM_Code],$A89,T_StockCount[WeekIndex],42)&gt;0,SUMIFS(T_StockCount[CountedQty],T_StockCount[RM_Code],$A89,T_StockCount[WeekIndex],42),IF((COUNTIFS(T_SelfStock[RM_Code],$A89,T_SelfStock[WeekIndex],42)&gt;0)*(COUNTIFS(T_TTAFStock[RM_Code],$A89,T_TTAFStock[WeekIndex],42)&gt;0)&gt;0,SUMIFS(T_SelfStock[Self_Qty],T_SelfStock[RM_Code],$A89,T_SelfStock[WeekIndex],42)+SUMIFS(T_TTAFStock[TTAF_Qty],T_TTAFStock[RM_Code],$A89,T_TTAFStock[WeekIndex],42),AP89+'Grid_Incoming'!AQ89-'Grid_Requirement'!AQ89))</f>
        <v/>
      </c>
      <c r="AR89">
        <f>IF(COUNTIFS(T_StockCount[RM_Code],$A89,T_StockCount[WeekIndex],43)&gt;0,SUMIFS(T_StockCount[CountedQty],T_StockCount[RM_Code],$A89,T_StockCount[WeekIndex],43),IF((COUNTIFS(T_SelfStock[RM_Code],$A89,T_SelfStock[WeekIndex],43)&gt;0)*(COUNTIFS(T_TTAFStock[RM_Code],$A89,T_TTAFStock[WeekIndex],43)&gt;0)&gt;0,SUMIFS(T_SelfStock[Self_Qty],T_SelfStock[RM_Code],$A89,T_SelfStock[WeekIndex],43)+SUMIFS(T_TTAFStock[TTAF_Qty],T_TTAFStock[RM_Code],$A89,T_TTAFStock[WeekIndex],43),AQ89+'Grid_Incoming'!AR89-'Grid_Requirement'!AR89))</f>
        <v/>
      </c>
      <c r="AS89">
        <f>IF(COUNTIFS(T_StockCount[RM_Code],$A89,T_StockCount[WeekIndex],44)&gt;0,SUMIFS(T_StockCount[CountedQty],T_StockCount[RM_Code],$A89,T_StockCount[WeekIndex],44),IF((COUNTIFS(T_SelfStock[RM_Code],$A89,T_SelfStock[WeekIndex],44)&gt;0)*(COUNTIFS(T_TTAFStock[RM_Code],$A89,T_TTAFStock[WeekIndex],44)&gt;0)&gt;0,SUMIFS(T_SelfStock[Self_Qty],T_SelfStock[RM_Code],$A89,T_SelfStock[WeekIndex],44)+SUMIFS(T_TTAFStock[TTAF_Qty],T_TTAFStock[RM_Code],$A89,T_TTAFStock[WeekIndex],44),AR89+'Grid_Incoming'!AS89-'Grid_Requirement'!AS89))</f>
        <v/>
      </c>
      <c r="AT89">
        <f>IF(COUNTIFS(T_StockCount[RM_Code],$A89,T_StockCount[WeekIndex],45)&gt;0,SUMIFS(T_StockCount[CountedQty],T_StockCount[RM_Code],$A89,T_StockCount[WeekIndex],45),IF((COUNTIFS(T_SelfStock[RM_Code],$A89,T_SelfStock[WeekIndex],45)&gt;0)*(COUNTIFS(T_TTAFStock[RM_Code],$A89,T_TTAFStock[WeekIndex],45)&gt;0)&gt;0,SUMIFS(T_SelfStock[Self_Qty],T_SelfStock[RM_Code],$A89,T_SelfStock[WeekIndex],45)+SUMIFS(T_TTAFStock[TTAF_Qty],T_TTAFStock[RM_Code],$A89,T_TTAFStock[WeekIndex],45),AS89+'Grid_Incoming'!AT89-'Grid_Requirement'!AT89))</f>
        <v/>
      </c>
      <c r="AU89">
        <f>IF(COUNTIFS(T_StockCount[RM_Code],$A89,T_StockCount[WeekIndex],46)&gt;0,SUMIFS(T_StockCount[CountedQty],T_StockCount[RM_Code],$A89,T_StockCount[WeekIndex],46),IF((COUNTIFS(T_SelfStock[RM_Code],$A89,T_SelfStock[WeekIndex],46)&gt;0)*(COUNTIFS(T_TTAFStock[RM_Code],$A89,T_TTAFStock[WeekIndex],46)&gt;0)&gt;0,SUMIFS(T_SelfStock[Self_Qty],T_SelfStock[RM_Code],$A89,T_SelfStock[WeekIndex],46)+SUMIFS(T_TTAFStock[TTAF_Qty],T_TTAFStock[RM_Code],$A89,T_TTAFStock[WeekIndex],46),AT89+'Grid_Incoming'!AU89-'Grid_Requirement'!AU89))</f>
        <v/>
      </c>
      <c r="AV89">
        <f>IF(COUNTIFS(T_StockCount[RM_Code],$A89,T_StockCount[WeekIndex],47)&gt;0,SUMIFS(T_StockCount[CountedQty],T_StockCount[RM_Code],$A89,T_StockCount[WeekIndex],47),IF((COUNTIFS(T_SelfStock[RM_Code],$A89,T_SelfStock[WeekIndex],47)&gt;0)*(COUNTIFS(T_TTAFStock[RM_Code],$A89,T_TTAFStock[WeekIndex],47)&gt;0)&gt;0,SUMIFS(T_SelfStock[Self_Qty],T_SelfStock[RM_Code],$A89,T_SelfStock[WeekIndex],47)+SUMIFS(T_TTAFStock[TTAF_Qty],T_TTAFStock[RM_Code],$A89,T_TTAFStock[WeekIndex],47),AU89+'Grid_Incoming'!AV89-'Grid_Requirement'!AV89))</f>
        <v/>
      </c>
      <c r="AW89">
        <f>IF(COUNTIFS(T_StockCount[RM_Code],$A89,T_StockCount[WeekIndex],48)&gt;0,SUMIFS(T_StockCount[CountedQty],T_StockCount[RM_Code],$A89,T_StockCount[WeekIndex],48),IF((COUNTIFS(T_SelfStock[RM_Code],$A89,T_SelfStock[WeekIndex],48)&gt;0)*(COUNTIFS(T_TTAFStock[RM_Code],$A89,T_TTAFStock[WeekIndex],48)&gt;0)&gt;0,SUMIFS(T_SelfStock[Self_Qty],T_SelfStock[RM_Code],$A89,T_SelfStock[WeekIndex],48)+SUMIFS(T_TTAFStock[TTAF_Qty],T_TTAFStock[RM_Code],$A89,T_TTAFStock[WeekIndex],48),AV89+'Grid_Incoming'!AW89-'Grid_Requirement'!AW89))</f>
        <v/>
      </c>
      <c r="AX89">
        <f>IF(COUNTIFS(T_StockCount[RM_Code],$A89,T_StockCount[WeekIndex],49)&gt;0,SUMIFS(T_StockCount[CountedQty],T_StockCount[RM_Code],$A89,T_StockCount[WeekIndex],49),IF((COUNTIFS(T_SelfStock[RM_Code],$A89,T_SelfStock[WeekIndex],49)&gt;0)*(COUNTIFS(T_TTAFStock[RM_Code],$A89,T_TTAFStock[WeekIndex],49)&gt;0)&gt;0,SUMIFS(T_SelfStock[Self_Qty],T_SelfStock[RM_Code],$A89,T_SelfStock[WeekIndex],49)+SUMIFS(T_TTAFStock[TTAF_Qty],T_TTAFStock[RM_Code],$A89,T_TTAFStock[WeekIndex],49),AW89+'Grid_Incoming'!AX89-'Grid_Requirement'!AX89))</f>
        <v/>
      </c>
      <c r="AY89">
        <f>IF(COUNTIFS(T_StockCount[RM_Code],$A89,T_StockCount[WeekIndex],50)&gt;0,SUMIFS(T_StockCount[CountedQty],T_StockCount[RM_Code],$A89,T_StockCount[WeekIndex],50),IF((COUNTIFS(T_SelfStock[RM_Code],$A89,T_SelfStock[WeekIndex],50)&gt;0)*(COUNTIFS(T_TTAFStock[RM_Code],$A89,T_TTAFStock[WeekIndex],50)&gt;0)&gt;0,SUMIFS(T_SelfStock[Self_Qty],T_SelfStock[RM_Code],$A89,T_SelfStock[WeekIndex],50)+SUMIFS(T_TTAFStock[TTAF_Qty],T_TTAFStock[RM_Code],$A89,T_TTAFStock[WeekIndex],50),AX89+'Grid_Incoming'!AY89-'Grid_Requirement'!AY89))</f>
        <v/>
      </c>
      <c r="AZ89">
        <f>IF(COUNTIFS(T_StockCount[RM_Code],$A89,T_StockCount[WeekIndex],51)&gt;0,SUMIFS(T_StockCount[CountedQty],T_StockCount[RM_Code],$A89,T_StockCount[WeekIndex],51),IF((COUNTIFS(T_SelfStock[RM_Code],$A89,T_SelfStock[WeekIndex],51)&gt;0)*(COUNTIFS(T_TTAFStock[RM_Code],$A89,T_TTAFStock[WeekIndex],51)&gt;0)&gt;0,SUMIFS(T_SelfStock[Self_Qty],T_SelfStock[RM_Code],$A89,T_SelfStock[WeekIndex],51)+SUMIFS(T_TTAFStock[TTAF_Qty],T_TTAFStock[RM_Code],$A89,T_TTAFStock[WeekIndex],51),AY89+'Grid_Incoming'!AZ89-'Grid_Requirement'!AZ89))</f>
        <v/>
      </c>
      <c r="BA89">
        <f>IF(COUNTIFS(T_StockCount[RM_Code],$A89,T_StockCount[WeekIndex],52)&gt;0,SUMIFS(T_StockCount[CountedQty],T_StockCount[RM_Code],$A89,T_StockCount[WeekIndex],52),IF((COUNTIFS(T_SelfStock[RM_Code],$A89,T_SelfStock[WeekIndex],52)&gt;0)*(COUNTIFS(T_TTAFStock[RM_Code],$A89,T_TTAFStock[WeekIndex],52)&gt;0)&gt;0,SUMIFS(T_SelfStock[Self_Qty],T_SelfStock[RM_Code],$A89,T_SelfStock[WeekIndex],52)+SUMIFS(T_TTAFStock[TTAF_Qty],T_TTAFStock[RM_Code],$A89,T_TTAFStock[WeekIndex],52),AZ89+'Grid_Incoming'!BA89-'Grid_Requirement'!BA89))</f>
        <v/>
      </c>
      <c r="BB89">
        <f>IF(COUNTIFS(T_StockCount[RM_Code],$A89,T_StockCount[WeekIndex],53)&gt;0,SUMIFS(T_StockCount[CountedQty],T_StockCount[RM_Code],$A89,T_StockCount[WeekIndex],53),IF((COUNTIFS(T_SelfStock[RM_Code],$A89,T_SelfStock[WeekIndex],53)&gt;0)*(COUNTIFS(T_TTAFStock[RM_Code],$A89,T_TTAFStock[WeekIndex],53)&gt;0)&gt;0,SUMIFS(T_SelfStock[Self_Qty],T_SelfStock[RM_Code],$A89,T_SelfStock[WeekIndex],53)+SUMIFS(T_TTAFStock[TTAF_Qty],T_TTAFStock[RM_Code],$A89,T_TTAFStock[WeekIndex],53),BA89+'Grid_Incoming'!BB89-'Grid_Requirement'!BB89))</f>
        <v/>
      </c>
      <c r="BC89">
        <f>IF(COUNTIFS(T_StockCount[RM_Code],$A89,T_StockCount[WeekIndex],54)&gt;0,SUMIFS(T_StockCount[CountedQty],T_StockCount[RM_Code],$A89,T_StockCount[WeekIndex],54),IF((COUNTIFS(T_SelfStock[RM_Code],$A89,T_SelfStock[WeekIndex],54)&gt;0)*(COUNTIFS(T_TTAFStock[RM_Code],$A89,T_TTAFStock[WeekIndex],54)&gt;0)&gt;0,SUMIFS(T_SelfStock[Self_Qty],T_SelfStock[RM_Code],$A89,T_SelfStock[WeekIndex],54)+SUMIFS(T_TTAFStock[TTAF_Qty],T_TTAFStock[RM_Code],$A89,T_TTAFStock[WeekIndex],54),BB89+'Grid_Incoming'!BC89-'Grid_Requirement'!BC89))</f>
        <v/>
      </c>
      <c r="BD89">
        <f>IF(COUNTIFS(T_StockCount[RM_Code],$A89,T_StockCount[WeekIndex],55)&gt;0,SUMIFS(T_StockCount[CountedQty],T_StockCount[RM_Code],$A89,T_StockCount[WeekIndex],55),IF((COUNTIFS(T_SelfStock[RM_Code],$A89,T_SelfStock[WeekIndex],55)&gt;0)*(COUNTIFS(T_TTAFStock[RM_Code],$A89,T_TTAFStock[WeekIndex],55)&gt;0)&gt;0,SUMIFS(T_SelfStock[Self_Qty],T_SelfStock[RM_Code],$A89,T_SelfStock[WeekIndex],55)+SUMIFS(T_TTAFStock[TTAF_Qty],T_TTAFStock[RM_Code],$A89,T_TTAFStock[WeekIndex],55),BC89+'Grid_Incoming'!BD89-'Grid_Requirement'!BD89))</f>
        <v/>
      </c>
      <c r="BE89">
        <f>IF(COUNTIFS(T_StockCount[RM_Code],$A89,T_StockCount[WeekIndex],56)&gt;0,SUMIFS(T_StockCount[CountedQty],T_StockCount[RM_Code],$A89,T_StockCount[WeekIndex],56),IF((COUNTIFS(T_SelfStock[RM_Code],$A89,T_SelfStock[WeekIndex],56)&gt;0)*(COUNTIFS(T_TTAFStock[RM_Code],$A89,T_TTAFStock[WeekIndex],56)&gt;0)&gt;0,SUMIFS(T_SelfStock[Self_Qty],T_SelfStock[RM_Code],$A89,T_SelfStock[WeekIndex],56)+SUMIFS(T_TTAFStock[TTAF_Qty],T_TTAFStock[RM_Code],$A89,T_TTAFStock[WeekIndex],56),BD89+'Grid_Incoming'!BE89-'Grid_Requirement'!BE89))</f>
        <v/>
      </c>
      <c r="BF89">
        <f>IF(COUNTIFS(T_StockCount[RM_Code],$A89,T_StockCount[WeekIndex],57)&gt;0,SUMIFS(T_StockCount[CountedQty],T_StockCount[RM_Code],$A89,T_StockCount[WeekIndex],57),IF((COUNTIFS(T_SelfStock[RM_Code],$A89,T_SelfStock[WeekIndex],57)&gt;0)*(COUNTIFS(T_TTAFStock[RM_Code],$A89,T_TTAFStock[WeekIndex],57)&gt;0)&gt;0,SUMIFS(T_SelfStock[Self_Qty],T_SelfStock[RM_Code],$A89,T_SelfStock[WeekIndex],57)+SUMIFS(T_TTAFStock[TTAF_Qty],T_TTAFStock[RM_Code],$A89,T_TTAFStock[WeekIndex],57),BE89+'Grid_Incoming'!BF89-'Grid_Requirement'!BF89))</f>
        <v/>
      </c>
      <c r="BG89">
        <f>IF(COUNTIFS(T_StockCount[RM_Code],$A89,T_StockCount[WeekIndex],58)&gt;0,SUMIFS(T_StockCount[CountedQty],T_StockCount[RM_Code],$A89,T_StockCount[WeekIndex],58),IF((COUNTIFS(T_SelfStock[RM_Code],$A89,T_SelfStock[WeekIndex],58)&gt;0)*(COUNTIFS(T_TTAFStock[RM_Code],$A89,T_TTAFStock[WeekIndex],58)&gt;0)&gt;0,SUMIFS(T_SelfStock[Self_Qty],T_SelfStock[RM_Code],$A89,T_SelfStock[WeekIndex],58)+SUMIFS(T_TTAFStock[TTAF_Qty],T_TTAFStock[RM_Code],$A89,T_TTAFStock[WeekIndex],58),BF89+'Grid_Incoming'!BG89-'Grid_Requirement'!BG89))</f>
        <v/>
      </c>
      <c r="BH89">
        <f>IF(COUNTIFS(T_StockCount[RM_Code],$A89,T_StockCount[WeekIndex],59)&gt;0,SUMIFS(T_StockCount[CountedQty],T_StockCount[RM_Code],$A89,T_StockCount[WeekIndex],59),IF((COUNTIFS(T_SelfStock[RM_Code],$A89,T_SelfStock[WeekIndex],59)&gt;0)*(COUNTIFS(T_TTAFStock[RM_Code],$A89,T_TTAFStock[WeekIndex],59)&gt;0)&gt;0,SUMIFS(T_SelfStock[Self_Qty],T_SelfStock[RM_Code],$A89,T_SelfStock[WeekIndex],59)+SUMIFS(T_TTAFStock[TTAF_Qty],T_TTAFStock[RM_Code],$A89,T_TTAFStock[WeekIndex],59),BG89+'Grid_Incoming'!BH89-'Grid_Requirement'!BH89))</f>
        <v/>
      </c>
      <c r="BI89">
        <f>IF(COUNTIFS(T_StockCount[RM_Code],$A89,T_StockCount[WeekIndex],60)&gt;0,SUMIFS(T_StockCount[CountedQty],T_StockCount[RM_Code],$A89,T_StockCount[WeekIndex],60),IF((COUNTIFS(T_SelfStock[RM_Code],$A89,T_SelfStock[WeekIndex],60)&gt;0)*(COUNTIFS(T_TTAFStock[RM_Code],$A89,T_TTAFStock[WeekIndex],60)&gt;0)&gt;0,SUMIFS(T_SelfStock[Self_Qty],T_SelfStock[RM_Code],$A89,T_SelfStock[WeekIndex],60)+SUMIFS(T_TTAFStock[TTAF_Qty],T_TTAFStock[RM_Code],$A89,T_TTAFStock[WeekIndex],60),BH89+'Grid_Incoming'!BI89-'Grid_Requirement'!BI89))</f>
        <v/>
      </c>
      <c r="BJ89">
        <f>IF(COUNTIFS(T_StockCount[RM_Code],$A89,T_StockCount[WeekIndex],61)&gt;0,SUMIFS(T_StockCount[CountedQty],T_StockCount[RM_Code],$A89,T_StockCount[WeekIndex],61),IF((COUNTIFS(T_SelfStock[RM_Code],$A89,T_SelfStock[WeekIndex],61)&gt;0)*(COUNTIFS(T_TTAFStock[RM_Code],$A89,T_TTAFStock[WeekIndex],61)&gt;0)&gt;0,SUMIFS(T_SelfStock[Self_Qty],T_SelfStock[RM_Code],$A89,T_SelfStock[WeekIndex],61)+SUMIFS(T_TTAFStock[TTAF_Qty],T_TTAFStock[RM_Code],$A89,T_TTAFStock[WeekIndex],61),BI89+'Grid_Incoming'!BJ89-'Grid_Requirement'!BJ89))</f>
        <v/>
      </c>
      <c r="BK89">
        <f>IF(COUNTIFS(T_StockCount[RM_Code],$A89,T_StockCount[WeekIndex],62)&gt;0,SUMIFS(T_StockCount[CountedQty],T_StockCount[RM_Code],$A89,T_StockCount[WeekIndex],62),IF((COUNTIFS(T_SelfStock[RM_Code],$A89,T_SelfStock[WeekIndex],62)&gt;0)*(COUNTIFS(T_TTAFStock[RM_Code],$A89,T_TTAFStock[WeekIndex],62)&gt;0)&gt;0,SUMIFS(T_SelfStock[Self_Qty],T_SelfStock[RM_Code],$A89,T_SelfStock[WeekIndex],62)+SUMIFS(T_TTAFStock[TTAF_Qty],T_TTAFStock[RM_Code],$A89,T_TTAFStock[WeekIndex],62),BJ89+'Grid_Incoming'!BK89-'Grid_Requirement'!BK89))</f>
        <v/>
      </c>
      <c r="BL89">
        <f>IF(COUNTIFS(T_StockCount[RM_Code],$A89,T_StockCount[WeekIndex],63)&gt;0,SUMIFS(T_StockCount[CountedQty],T_StockCount[RM_Code],$A89,T_StockCount[WeekIndex],63),IF((COUNTIFS(T_SelfStock[RM_Code],$A89,T_SelfStock[WeekIndex],63)&gt;0)*(COUNTIFS(T_TTAFStock[RM_Code],$A89,T_TTAFStock[WeekIndex],63)&gt;0)&gt;0,SUMIFS(T_SelfStock[Self_Qty],T_SelfStock[RM_Code],$A89,T_SelfStock[WeekIndex],63)+SUMIFS(T_TTAFStock[TTAF_Qty],T_TTAFStock[RM_Code],$A89,T_TTAFStock[WeekIndex],63),BK89+'Grid_Incoming'!BL89-'Grid_Requirement'!BL89))</f>
        <v/>
      </c>
      <c r="BM89">
        <f>IF(COUNTIFS(T_StockCount[RM_Code],$A89,T_StockCount[WeekIndex],64)&gt;0,SUMIFS(T_StockCount[CountedQty],T_StockCount[RM_Code],$A89,T_StockCount[WeekIndex],64),IF((COUNTIFS(T_SelfStock[RM_Code],$A89,T_SelfStock[WeekIndex],64)&gt;0)*(COUNTIFS(T_TTAFStock[RM_Code],$A89,T_TTAFStock[WeekIndex],64)&gt;0)&gt;0,SUMIFS(T_SelfStock[Self_Qty],T_SelfStock[RM_Code],$A89,T_SelfStock[WeekIndex],64)+SUMIFS(T_TTAFStock[TTAF_Qty],T_TTAFStock[RM_Code],$A89,T_TTAFStock[WeekIndex],64),BL89+'Grid_Incoming'!BM89-'Grid_Requirement'!BM89))</f>
        <v/>
      </c>
      <c r="BN89">
        <f>IF(COUNTIFS(T_StockCount[RM_Code],$A89,T_StockCount[WeekIndex],65)&gt;0,SUMIFS(T_StockCount[CountedQty],T_StockCount[RM_Code],$A89,T_StockCount[WeekIndex],65),IF((COUNTIFS(T_SelfStock[RM_Code],$A89,T_SelfStock[WeekIndex],65)&gt;0)*(COUNTIFS(T_TTAFStock[RM_Code],$A89,T_TTAFStock[WeekIndex],65)&gt;0)&gt;0,SUMIFS(T_SelfStock[Self_Qty],T_SelfStock[RM_Code],$A89,T_SelfStock[WeekIndex],65)+SUMIFS(T_TTAFStock[TTAF_Qty],T_TTAFStock[RM_Code],$A89,T_TTAFStock[WeekIndex],65),BM89+'Grid_Incoming'!BN89-'Grid_Requirement'!BN89))</f>
        <v/>
      </c>
      <c r="BO89">
        <f>IF(COUNTIFS(T_StockCount[RM_Code],$A89,T_StockCount[WeekIndex],66)&gt;0,SUMIFS(T_StockCount[CountedQty],T_StockCount[RM_Code],$A89,T_StockCount[WeekIndex],66),IF((COUNTIFS(T_SelfStock[RM_Code],$A89,T_SelfStock[WeekIndex],66)&gt;0)*(COUNTIFS(T_TTAFStock[RM_Code],$A89,T_TTAFStock[WeekIndex],66)&gt;0)&gt;0,SUMIFS(T_SelfStock[Self_Qty],T_SelfStock[RM_Code],$A89,T_SelfStock[WeekIndex],66)+SUMIFS(T_TTAFStock[TTAF_Qty],T_TTAFStock[RM_Code],$A89,T_TTAFStock[WeekIndex],66),BN89+'Grid_Incoming'!BO89-'Grid_Requirement'!BO89))</f>
        <v/>
      </c>
      <c r="BP89">
        <f>IF(COUNTIFS(T_StockCount[RM_Code],$A89,T_StockCount[WeekIndex],67)&gt;0,SUMIFS(T_StockCount[CountedQty],T_StockCount[RM_Code],$A89,T_StockCount[WeekIndex],67),IF((COUNTIFS(T_SelfStock[RM_Code],$A89,T_SelfStock[WeekIndex],67)&gt;0)*(COUNTIFS(T_TTAFStock[RM_Code],$A89,T_TTAFStock[WeekIndex],67)&gt;0)&gt;0,SUMIFS(T_SelfStock[Self_Qty],T_SelfStock[RM_Code],$A89,T_SelfStock[WeekIndex],67)+SUMIFS(T_TTAFStock[TTAF_Qty],T_TTAFStock[RM_Code],$A89,T_TTAFStock[WeekIndex],67),BO89+'Grid_Incoming'!BP89-'Grid_Requirement'!BP89))</f>
        <v/>
      </c>
      <c r="BQ89">
        <f>IF(COUNTIFS(T_StockCount[RM_Code],$A89,T_StockCount[WeekIndex],68)&gt;0,SUMIFS(T_StockCount[CountedQty],T_StockCount[RM_Code],$A89,T_StockCount[WeekIndex],68),IF((COUNTIFS(T_SelfStock[RM_Code],$A89,T_SelfStock[WeekIndex],68)&gt;0)*(COUNTIFS(T_TTAFStock[RM_Code],$A89,T_TTAFStock[WeekIndex],68)&gt;0)&gt;0,SUMIFS(T_SelfStock[Self_Qty],T_SelfStock[RM_Code],$A89,T_SelfStock[WeekIndex],68)+SUMIFS(T_TTAFStock[TTAF_Qty],T_TTAFStock[RM_Code],$A89,T_TTAFStock[WeekIndex],68),BP89+'Grid_Incoming'!BQ89-'Grid_Requirement'!BQ89))</f>
        <v/>
      </c>
      <c r="BR89">
        <f>IF(COUNTIFS(T_StockCount[RM_Code],$A89,T_StockCount[WeekIndex],69)&gt;0,SUMIFS(T_StockCount[CountedQty],T_StockCount[RM_Code],$A89,T_StockCount[WeekIndex],69),IF((COUNTIFS(T_SelfStock[RM_Code],$A89,T_SelfStock[WeekIndex],69)&gt;0)*(COUNTIFS(T_TTAFStock[RM_Code],$A89,T_TTAFStock[WeekIndex],69)&gt;0)&gt;0,SUMIFS(T_SelfStock[Self_Qty],T_SelfStock[RM_Code],$A89,T_SelfStock[WeekIndex],69)+SUMIFS(T_TTAFStock[TTAF_Qty],T_TTAFStock[RM_Code],$A89,T_TTAFStock[WeekIndex],69),BQ89+'Grid_Incoming'!BR89-'Grid_Requirement'!BR89))</f>
        <v/>
      </c>
      <c r="BS89">
        <f>IF(COUNTIFS(T_StockCount[RM_Code],$A89,T_StockCount[WeekIndex],70)&gt;0,SUMIFS(T_StockCount[CountedQty],T_StockCount[RM_Code],$A89,T_StockCount[WeekIndex],70),IF((COUNTIFS(T_SelfStock[RM_Code],$A89,T_SelfStock[WeekIndex],70)&gt;0)*(COUNTIFS(T_TTAFStock[RM_Code],$A89,T_TTAFStock[WeekIndex],70)&gt;0)&gt;0,SUMIFS(T_SelfStock[Self_Qty],T_SelfStock[RM_Code],$A89,T_SelfStock[WeekIndex],70)+SUMIFS(T_TTAFStock[TTAF_Qty],T_TTAFStock[RM_Code],$A89,T_TTAFStock[WeekIndex],70),BR89+'Grid_Incoming'!BS89-'Grid_Requirement'!BS89))</f>
        <v/>
      </c>
      <c r="BT89">
        <f>IF(COUNTIFS(T_StockCount[RM_Code],$A89,T_StockCount[WeekIndex],71)&gt;0,SUMIFS(T_StockCount[CountedQty],T_StockCount[RM_Code],$A89,T_StockCount[WeekIndex],71),IF((COUNTIFS(T_SelfStock[RM_Code],$A89,T_SelfStock[WeekIndex],71)&gt;0)*(COUNTIFS(T_TTAFStock[RM_Code],$A89,T_TTAFStock[WeekIndex],71)&gt;0)&gt;0,SUMIFS(T_SelfStock[Self_Qty],T_SelfStock[RM_Code],$A89,T_SelfStock[WeekIndex],71)+SUMIFS(T_TTAFStock[TTAF_Qty],T_TTAFStock[RM_Code],$A89,T_TTAFStock[WeekIndex],71),BS89+'Grid_Incoming'!BT89-'Grid_Requirement'!BT89))</f>
        <v/>
      </c>
      <c r="BU89">
        <f>IF(COUNTIFS(T_StockCount[RM_Code],$A89,T_StockCount[WeekIndex],72)&gt;0,SUMIFS(T_StockCount[CountedQty],T_StockCount[RM_Code],$A89,T_StockCount[WeekIndex],72),IF((COUNTIFS(T_SelfStock[RM_Code],$A89,T_SelfStock[WeekIndex],72)&gt;0)*(COUNTIFS(T_TTAFStock[RM_Code],$A89,T_TTAFStock[WeekIndex],72)&gt;0)&gt;0,SUMIFS(T_SelfStock[Self_Qty],T_SelfStock[RM_Code],$A89,T_SelfStock[WeekIndex],72)+SUMIFS(T_TTAFStock[TTAF_Qty],T_TTAFStock[RM_Code],$A89,T_TTAFStock[WeekIndex],72),BT89+'Grid_Incoming'!BU89-'Grid_Requirement'!BU89))</f>
        <v/>
      </c>
      <c r="BV89">
        <f>IF(COUNTIFS(T_StockCount[RM_Code],$A89,T_StockCount[WeekIndex],73)&gt;0,SUMIFS(T_StockCount[CountedQty],T_StockCount[RM_Code],$A89,T_StockCount[WeekIndex],73),IF((COUNTIFS(T_SelfStock[RM_Code],$A89,T_SelfStock[WeekIndex],73)&gt;0)*(COUNTIFS(T_TTAFStock[RM_Code],$A89,T_TTAFStock[WeekIndex],73)&gt;0)&gt;0,SUMIFS(T_SelfStock[Self_Qty],T_SelfStock[RM_Code],$A89,T_SelfStock[WeekIndex],73)+SUMIFS(T_TTAFStock[TTAF_Qty],T_TTAFStock[RM_Code],$A89,T_TTAFStock[WeekIndex],73),BU89+'Grid_Incoming'!BV89-'Grid_Requirement'!BV89))</f>
        <v/>
      </c>
      <c r="BW89">
        <f>IF(COUNTIFS(T_StockCount[RM_Code],$A89,T_StockCount[WeekIndex],74)&gt;0,SUMIFS(T_StockCount[CountedQty],T_StockCount[RM_Code],$A89,T_StockCount[WeekIndex],74),IF((COUNTIFS(T_SelfStock[RM_Code],$A89,T_SelfStock[WeekIndex],74)&gt;0)*(COUNTIFS(T_TTAFStock[RM_Code],$A89,T_TTAFStock[WeekIndex],74)&gt;0)&gt;0,SUMIFS(T_SelfStock[Self_Qty],T_SelfStock[RM_Code],$A89,T_SelfStock[WeekIndex],74)+SUMIFS(T_TTAFStock[TTAF_Qty],T_TTAFStock[RM_Code],$A89,T_TTAFStock[WeekIndex],74),BV89+'Grid_Incoming'!BW89-'Grid_Requirement'!BW89))</f>
        <v/>
      </c>
      <c r="BX89">
        <f>IF(COUNTIFS(T_StockCount[RM_Code],$A89,T_StockCount[WeekIndex],75)&gt;0,SUMIFS(T_StockCount[CountedQty],T_StockCount[RM_Code],$A89,T_StockCount[WeekIndex],75),IF((COUNTIFS(T_SelfStock[RM_Code],$A89,T_SelfStock[WeekIndex],75)&gt;0)*(COUNTIFS(T_TTAFStock[RM_Code],$A89,T_TTAFStock[WeekIndex],75)&gt;0)&gt;0,SUMIFS(T_SelfStock[Self_Qty],T_SelfStock[RM_Code],$A89,T_SelfStock[WeekIndex],75)+SUMIFS(T_TTAFStock[TTAF_Qty],T_TTAFStock[RM_Code],$A89,T_TTAFStock[WeekIndex],75),BW89+'Grid_Incoming'!BX89-'Grid_Requirement'!BX89))</f>
        <v/>
      </c>
      <c r="BY89">
        <f>IF(COUNTIFS(T_StockCount[RM_Code],$A89,T_StockCount[WeekIndex],76)&gt;0,SUMIFS(T_StockCount[CountedQty],T_StockCount[RM_Code],$A89,T_StockCount[WeekIndex],76),IF((COUNTIFS(T_SelfStock[RM_Code],$A89,T_SelfStock[WeekIndex],76)&gt;0)*(COUNTIFS(T_TTAFStock[RM_Code],$A89,T_TTAFStock[WeekIndex],76)&gt;0)&gt;0,SUMIFS(T_SelfStock[Self_Qty],T_SelfStock[RM_Code],$A89,T_SelfStock[WeekIndex],76)+SUMIFS(T_TTAFStock[TTAF_Qty],T_TTAFStock[RM_Code],$A89,T_TTAFStock[WeekIndex],76),BX89+'Grid_Incoming'!BY89-'Grid_Requirement'!BY89))</f>
        <v/>
      </c>
      <c r="BZ89">
        <f>IF(COUNTIFS(T_StockCount[RM_Code],$A89,T_StockCount[WeekIndex],77)&gt;0,SUMIFS(T_StockCount[CountedQty],T_StockCount[RM_Code],$A89,T_StockCount[WeekIndex],77),IF((COUNTIFS(T_SelfStock[RM_Code],$A89,T_SelfStock[WeekIndex],77)&gt;0)*(COUNTIFS(T_TTAFStock[RM_Code],$A89,T_TTAFStock[WeekIndex],77)&gt;0)&gt;0,SUMIFS(T_SelfStock[Self_Qty],T_SelfStock[RM_Code],$A89,T_SelfStock[WeekIndex],77)+SUMIFS(T_TTAFStock[TTAF_Qty],T_TTAFStock[RM_Code],$A89,T_TTAFStock[WeekIndex],77),BY89+'Grid_Incoming'!BZ89-'Grid_Requirement'!BZ89))</f>
        <v/>
      </c>
      <c r="CA89">
        <f>IF(COUNTIFS(T_StockCount[RM_Code],$A89,T_StockCount[WeekIndex],78)&gt;0,SUMIFS(T_StockCount[CountedQty],T_StockCount[RM_Code],$A89,T_StockCount[WeekIndex],78),IF((COUNTIFS(T_SelfStock[RM_Code],$A89,T_SelfStock[WeekIndex],78)&gt;0)*(COUNTIFS(T_TTAFStock[RM_Code],$A89,T_TTAFStock[WeekIndex],78)&gt;0)&gt;0,SUMIFS(T_SelfStock[Self_Qty],T_SelfStock[RM_Code],$A89,T_SelfStock[WeekIndex],78)+SUMIFS(T_TTAFStock[TTAF_Qty],T_TTAFStock[RM_Code],$A89,T_TTAFStock[WeekIndex],78),BZ89+'Grid_Incoming'!CA89-'Grid_Requirement'!CA89))</f>
        <v/>
      </c>
      <c r="CB89">
        <f>IF(COUNTIFS(T_StockCount[RM_Code],$A89,T_StockCount[WeekIndex],79)&gt;0,SUMIFS(T_StockCount[CountedQty],T_StockCount[RM_Code],$A89,T_StockCount[WeekIndex],79),IF((COUNTIFS(T_SelfStock[RM_Code],$A89,T_SelfStock[WeekIndex],79)&gt;0)*(COUNTIFS(T_TTAFStock[RM_Code],$A89,T_TTAFStock[WeekIndex],79)&gt;0)&gt;0,SUMIFS(T_SelfStock[Self_Qty],T_SelfStock[RM_Code],$A89,T_SelfStock[WeekIndex],79)+SUMIFS(T_TTAFStock[TTAF_Qty],T_TTAFStock[RM_Code],$A89,T_TTAFStock[WeekIndex],79),CA89+'Grid_Incoming'!CB89-'Grid_Requirement'!CB89))</f>
        <v/>
      </c>
      <c r="CC89">
        <f>IF(COUNTIFS(T_StockCount[RM_Code],$A89,T_StockCount[WeekIndex],80)&gt;0,SUMIFS(T_StockCount[CountedQty],T_StockCount[RM_Code],$A89,T_StockCount[WeekIndex],80),IF((COUNTIFS(T_SelfStock[RM_Code],$A89,T_SelfStock[WeekIndex],80)&gt;0)*(COUNTIFS(T_TTAFStock[RM_Code],$A89,T_TTAFStock[WeekIndex],80)&gt;0)&gt;0,SUMIFS(T_SelfStock[Self_Qty],T_SelfStock[RM_Code],$A89,T_SelfStock[WeekIndex],80)+SUMIFS(T_TTAFStock[TTAF_Qty],T_TTAFStock[RM_Code],$A89,T_TTAFStock[WeekIndex],80),CB89+'Grid_Incoming'!CC89-'Grid_Requirement'!CC89))</f>
        <v/>
      </c>
      <c r="CD89">
        <f>IF(COUNTIFS(T_StockCount[RM_Code],$A89,T_StockCount[WeekIndex],81)&gt;0,SUMIFS(T_StockCount[CountedQty],T_StockCount[RM_Code],$A89,T_StockCount[WeekIndex],81),IF((COUNTIFS(T_SelfStock[RM_Code],$A89,T_SelfStock[WeekIndex],81)&gt;0)*(COUNTIFS(T_TTAFStock[RM_Code],$A89,T_TTAFStock[WeekIndex],81)&gt;0)&gt;0,SUMIFS(T_SelfStock[Self_Qty],T_SelfStock[RM_Code],$A89,T_SelfStock[WeekIndex],81)+SUMIFS(T_TTAFStock[TTAF_Qty],T_TTAFStock[RM_Code],$A89,T_TTAFStock[WeekIndex],81),CC89+'Grid_Incoming'!CD89-'Grid_Requirement'!CD89))</f>
        <v/>
      </c>
      <c r="CE89">
        <f>IF(COUNTIFS(T_StockCount[RM_Code],$A89,T_StockCount[WeekIndex],82)&gt;0,SUMIFS(T_StockCount[CountedQty],T_StockCount[RM_Code],$A89,T_StockCount[WeekIndex],82),IF((COUNTIFS(T_SelfStock[RM_Code],$A89,T_SelfStock[WeekIndex],82)&gt;0)*(COUNTIFS(T_TTAFStock[RM_Code],$A89,T_TTAFStock[WeekIndex],82)&gt;0)&gt;0,SUMIFS(T_SelfStock[Self_Qty],T_SelfStock[RM_Code],$A89,T_SelfStock[WeekIndex],82)+SUMIFS(T_TTAFStock[TTAF_Qty],T_TTAFStock[RM_Code],$A89,T_TTAFStock[WeekIndex],82),CD89+'Grid_Incoming'!CE89-'Grid_Requirement'!CE89))</f>
        <v/>
      </c>
      <c r="CF89">
        <f>IF(COUNTIFS(T_StockCount[RM_Code],$A89,T_StockCount[WeekIndex],83)&gt;0,SUMIFS(T_StockCount[CountedQty],T_StockCount[RM_Code],$A89,T_StockCount[WeekIndex],83),IF((COUNTIFS(T_SelfStock[RM_Code],$A89,T_SelfStock[WeekIndex],83)&gt;0)*(COUNTIFS(T_TTAFStock[RM_Code],$A89,T_TTAFStock[WeekIndex],83)&gt;0)&gt;0,SUMIFS(T_SelfStock[Self_Qty],T_SelfStock[RM_Code],$A89,T_SelfStock[WeekIndex],83)+SUMIFS(T_TTAFStock[TTAF_Qty],T_TTAFStock[RM_Code],$A89,T_TTAFStock[WeekIndex],83),CE89+'Grid_Incoming'!CF89-'Grid_Requirement'!CF89))</f>
        <v/>
      </c>
      <c r="CG89">
        <f>IF(COUNTIFS(T_StockCount[RM_Code],$A89,T_StockCount[WeekIndex],84)&gt;0,SUMIFS(T_StockCount[CountedQty],T_StockCount[RM_Code],$A89,T_StockCount[WeekIndex],84),IF((COUNTIFS(T_SelfStock[RM_Code],$A89,T_SelfStock[WeekIndex],84)&gt;0)*(COUNTIFS(T_TTAFStock[RM_Code],$A89,T_TTAFStock[WeekIndex],84)&gt;0)&gt;0,SUMIFS(T_SelfStock[Self_Qty],T_SelfStock[RM_Code],$A89,T_SelfStock[WeekIndex],84)+SUMIFS(T_TTAFStock[TTAF_Qty],T_TTAFStock[RM_Code],$A89,T_TTAFStock[WeekIndex],84),CF89+'Grid_Incoming'!CG89-'Grid_Requirement'!CG89))</f>
        <v/>
      </c>
      <c r="CH89">
        <f>IF(COUNTIFS(T_StockCount[RM_Code],$A89,T_StockCount[WeekIndex],85)&gt;0,SUMIFS(T_StockCount[CountedQty],T_StockCount[RM_Code],$A89,T_StockCount[WeekIndex],85),IF((COUNTIFS(T_SelfStock[RM_Code],$A89,T_SelfStock[WeekIndex],85)&gt;0)*(COUNTIFS(T_TTAFStock[RM_Code],$A89,T_TTAFStock[WeekIndex],85)&gt;0)&gt;0,SUMIFS(T_SelfStock[Self_Qty],T_SelfStock[RM_Code],$A89,T_SelfStock[WeekIndex],85)+SUMIFS(T_TTAFStock[TTAF_Qty],T_TTAFStock[RM_Code],$A89,T_TTAFStock[WeekIndex],85),CG89+'Grid_Incoming'!CH89-'Grid_Requirement'!CH89))</f>
        <v/>
      </c>
      <c r="CI89">
        <f>IF(COUNTIFS(T_StockCount[RM_Code],$A89,T_StockCount[WeekIndex],86)&gt;0,SUMIFS(T_StockCount[CountedQty],T_StockCount[RM_Code],$A89,T_StockCount[WeekIndex],86),IF((COUNTIFS(T_SelfStock[RM_Code],$A89,T_SelfStock[WeekIndex],86)&gt;0)*(COUNTIFS(T_TTAFStock[RM_Code],$A89,T_TTAFStock[WeekIndex],86)&gt;0)&gt;0,SUMIFS(T_SelfStock[Self_Qty],T_SelfStock[RM_Code],$A89,T_SelfStock[WeekIndex],86)+SUMIFS(T_TTAFStock[TTAF_Qty],T_TTAFStock[RM_Code],$A89,T_TTAFStock[WeekIndex],86),CH89+'Grid_Incoming'!CI89-'Grid_Requirement'!CI89))</f>
        <v/>
      </c>
      <c r="CJ89">
        <f>IF(COUNTIFS(T_StockCount[RM_Code],$A89,T_StockCount[WeekIndex],87)&gt;0,SUMIFS(T_StockCount[CountedQty],T_StockCount[RM_Code],$A89,T_StockCount[WeekIndex],87),IF((COUNTIFS(T_SelfStock[RM_Code],$A89,T_SelfStock[WeekIndex],87)&gt;0)*(COUNTIFS(T_TTAFStock[RM_Code],$A89,T_TTAFStock[WeekIndex],87)&gt;0)&gt;0,SUMIFS(T_SelfStock[Self_Qty],T_SelfStock[RM_Code],$A89,T_SelfStock[WeekIndex],87)+SUMIFS(T_TTAFStock[TTAF_Qty],T_TTAFStock[RM_Code],$A89,T_TTAFStock[WeekIndex],87),CI89+'Grid_Incoming'!CJ89-'Grid_Requirement'!CJ89))</f>
        <v/>
      </c>
      <c r="CK89">
        <f>IF(COUNTIFS(T_StockCount[RM_Code],$A89,T_StockCount[WeekIndex],88)&gt;0,SUMIFS(T_StockCount[CountedQty],T_StockCount[RM_Code],$A89,T_StockCount[WeekIndex],88),IF((COUNTIFS(T_SelfStock[RM_Code],$A89,T_SelfStock[WeekIndex],88)&gt;0)*(COUNTIFS(T_TTAFStock[RM_Code],$A89,T_TTAFStock[WeekIndex],88)&gt;0)&gt;0,SUMIFS(T_SelfStock[Self_Qty],T_SelfStock[RM_Code],$A89,T_SelfStock[WeekIndex],88)+SUMIFS(T_TTAFStock[TTAF_Qty],T_TTAFStock[RM_Code],$A89,T_TTAFStock[WeekIndex],88),CJ89+'Grid_Incoming'!CK89-'Grid_Requirement'!CK89))</f>
        <v/>
      </c>
      <c r="CL89">
        <f>IF(COUNTIFS(T_StockCount[RM_Code],$A89,T_StockCount[WeekIndex],89)&gt;0,SUMIFS(T_StockCount[CountedQty],T_StockCount[RM_Code],$A89,T_StockCount[WeekIndex],89),IF((COUNTIFS(T_SelfStock[RM_Code],$A89,T_SelfStock[WeekIndex],89)&gt;0)*(COUNTIFS(T_TTAFStock[RM_Code],$A89,T_TTAFStock[WeekIndex],89)&gt;0)&gt;0,SUMIFS(T_SelfStock[Self_Qty],T_SelfStock[RM_Code],$A89,T_SelfStock[WeekIndex],89)+SUMIFS(T_TTAFStock[TTAF_Qty],T_TTAFStock[RM_Code],$A89,T_TTAFStock[WeekIndex],89),CK89+'Grid_Incoming'!CL89-'Grid_Requirement'!CL89))</f>
        <v/>
      </c>
      <c r="CM89">
        <f>IF(COUNTIFS(T_StockCount[RM_Code],$A89,T_StockCount[WeekIndex],90)&gt;0,SUMIFS(T_StockCount[CountedQty],T_StockCount[RM_Code],$A89,T_StockCount[WeekIndex],90),IF((COUNTIFS(T_SelfStock[RM_Code],$A89,T_SelfStock[WeekIndex],90)&gt;0)*(COUNTIFS(T_TTAFStock[RM_Code],$A89,T_TTAFStock[WeekIndex],90)&gt;0)&gt;0,SUMIFS(T_SelfStock[Self_Qty],T_SelfStock[RM_Code],$A89,T_SelfStock[WeekIndex],90)+SUMIFS(T_TTAFStock[TTAF_Qty],T_TTAFStock[RM_Code],$A89,T_TTAFStock[WeekIndex],90),CL89+'Grid_Incoming'!CM89-'Grid_Requirement'!CM89))</f>
        <v/>
      </c>
      <c r="CN89">
        <f>IF(COUNTIFS(T_StockCount[RM_Code],$A89,T_StockCount[WeekIndex],91)&gt;0,SUMIFS(T_StockCount[CountedQty],T_StockCount[RM_Code],$A89,T_StockCount[WeekIndex],91),IF((COUNTIFS(T_SelfStock[RM_Code],$A89,T_SelfStock[WeekIndex],91)&gt;0)*(COUNTIFS(T_TTAFStock[RM_Code],$A89,T_TTAFStock[WeekIndex],91)&gt;0)&gt;0,SUMIFS(T_SelfStock[Self_Qty],T_SelfStock[RM_Code],$A89,T_SelfStock[WeekIndex],91)+SUMIFS(T_TTAFStock[TTAF_Qty],T_TTAFStock[RM_Code],$A89,T_TTAFStock[WeekIndex],91),CM89+'Grid_Incoming'!CN89-'Grid_Requirement'!CN89))</f>
        <v/>
      </c>
      <c r="CO89">
        <f>IF(COUNTIFS(T_StockCount[RM_Code],$A89,T_StockCount[WeekIndex],92)&gt;0,SUMIFS(T_StockCount[CountedQty],T_StockCount[RM_Code],$A89,T_StockCount[WeekIndex],92),IF((COUNTIFS(T_SelfStock[RM_Code],$A89,T_SelfStock[WeekIndex],92)&gt;0)*(COUNTIFS(T_TTAFStock[RM_Code],$A89,T_TTAFStock[WeekIndex],92)&gt;0)&gt;0,SUMIFS(T_SelfStock[Self_Qty],T_SelfStock[RM_Code],$A89,T_SelfStock[WeekIndex],92)+SUMIFS(T_TTAFStock[TTAF_Qty],T_TTAFStock[RM_Code],$A89,T_TTAFStock[WeekIndex],92),CN89+'Grid_Incoming'!CO89-'Grid_Requirement'!CO89))</f>
        <v/>
      </c>
      <c r="CP89">
        <f>IF(COUNTIFS(T_StockCount[RM_Code],$A89,T_StockCount[WeekIndex],93)&gt;0,SUMIFS(T_StockCount[CountedQty],T_StockCount[RM_Code],$A89,T_StockCount[WeekIndex],93),IF((COUNTIFS(T_SelfStock[RM_Code],$A89,T_SelfStock[WeekIndex],93)&gt;0)*(COUNTIFS(T_TTAFStock[RM_Code],$A89,T_TTAFStock[WeekIndex],93)&gt;0)&gt;0,SUMIFS(T_SelfStock[Self_Qty],T_SelfStock[RM_Code],$A89,T_SelfStock[WeekIndex],93)+SUMIFS(T_TTAFStock[TTAF_Qty],T_TTAFStock[RM_Code],$A89,T_TTAFStock[WeekIndex],93),CO89+'Grid_Incoming'!CP89-'Grid_Requirement'!CP89))</f>
        <v/>
      </c>
      <c r="CQ89">
        <f>IF(COUNTIFS(T_StockCount[RM_Code],$A89,T_StockCount[WeekIndex],94)&gt;0,SUMIFS(T_StockCount[CountedQty],T_StockCount[RM_Code],$A89,T_StockCount[WeekIndex],94),IF((COUNTIFS(T_SelfStock[RM_Code],$A89,T_SelfStock[WeekIndex],94)&gt;0)*(COUNTIFS(T_TTAFStock[RM_Code],$A89,T_TTAFStock[WeekIndex],94)&gt;0)&gt;0,SUMIFS(T_SelfStock[Self_Qty],T_SelfStock[RM_Code],$A89,T_SelfStock[WeekIndex],94)+SUMIFS(T_TTAFStock[TTAF_Qty],T_TTAFStock[RM_Code],$A89,T_TTAFStock[WeekIndex],94),CP89+'Grid_Incoming'!CQ89-'Grid_Requirement'!CQ89))</f>
        <v/>
      </c>
      <c r="CR89">
        <f>IF(COUNTIFS(T_StockCount[RM_Code],$A89,T_StockCount[WeekIndex],95)&gt;0,SUMIFS(T_StockCount[CountedQty],T_StockCount[RM_Code],$A89,T_StockCount[WeekIndex],95),IF((COUNTIFS(T_SelfStock[RM_Code],$A89,T_SelfStock[WeekIndex],95)&gt;0)*(COUNTIFS(T_TTAFStock[RM_Code],$A89,T_TTAFStock[WeekIndex],95)&gt;0)&gt;0,SUMIFS(T_SelfStock[Self_Qty],T_SelfStock[RM_Code],$A89,T_SelfStock[WeekIndex],95)+SUMIFS(T_TTAFStock[TTAF_Qty],T_TTAFStock[RM_Code],$A89,T_TTAFStock[WeekIndex],95),CQ89+'Grid_Incoming'!CR89-'Grid_Requirement'!CR89))</f>
        <v/>
      </c>
      <c r="CS89">
        <f>IF(COUNTIFS(T_StockCount[RM_Code],$A89,T_StockCount[WeekIndex],96)&gt;0,SUMIFS(T_StockCount[CountedQty],T_StockCount[RM_Code],$A89,T_StockCount[WeekIndex],96),IF((COUNTIFS(T_SelfStock[RM_Code],$A89,T_SelfStock[WeekIndex],96)&gt;0)*(COUNTIFS(T_TTAFStock[RM_Code],$A89,T_TTAFStock[WeekIndex],96)&gt;0)&gt;0,SUMIFS(T_SelfStock[Self_Qty],T_SelfStock[RM_Code],$A89,T_SelfStock[WeekIndex],96)+SUMIFS(T_TTAFStock[TTAF_Qty],T_TTAFStock[RM_Code],$A89,T_TTAFStock[WeekIndex],96),CR89+'Grid_Incoming'!CS89-'Grid_Requirement'!CS89))</f>
        <v/>
      </c>
      <c r="CT89">
        <f>IF(COUNTIFS(T_StockCount[RM_Code],$A89,T_StockCount[WeekIndex],97)&gt;0,SUMIFS(T_StockCount[CountedQty],T_StockCount[RM_Code],$A89,T_StockCount[WeekIndex],97),IF((COUNTIFS(T_SelfStock[RM_Code],$A89,T_SelfStock[WeekIndex],97)&gt;0)*(COUNTIFS(T_TTAFStock[RM_Code],$A89,T_TTAFStock[WeekIndex],97)&gt;0)&gt;0,SUMIFS(T_SelfStock[Self_Qty],T_SelfStock[RM_Code],$A89,T_SelfStock[WeekIndex],97)+SUMIFS(T_TTAFStock[TTAF_Qty],T_TTAFStock[RM_Code],$A89,T_TTAFStock[WeekIndex],97),CS89+'Grid_Incoming'!CT89-'Grid_Requirement'!CT89))</f>
        <v/>
      </c>
      <c r="CU89">
        <f>IF(COUNTIFS(T_StockCount[RM_Code],$A89,T_StockCount[WeekIndex],98)&gt;0,SUMIFS(T_StockCount[CountedQty],T_StockCount[RM_Code],$A89,T_StockCount[WeekIndex],98),IF((COUNTIFS(T_SelfStock[RM_Code],$A89,T_SelfStock[WeekIndex],98)&gt;0)*(COUNTIFS(T_TTAFStock[RM_Code],$A89,T_TTAFStock[WeekIndex],98)&gt;0)&gt;0,SUMIFS(T_SelfStock[Self_Qty],T_SelfStock[RM_Code],$A89,T_SelfStock[WeekIndex],98)+SUMIFS(T_TTAFStock[TTAF_Qty],T_TTAFStock[RM_Code],$A89,T_TTAFStock[WeekIndex],98),CT89+'Grid_Incoming'!CU89-'Grid_Requirement'!CU89))</f>
        <v/>
      </c>
      <c r="CV89">
        <f>IF(COUNTIFS(T_StockCount[RM_Code],$A89,T_StockCount[WeekIndex],99)&gt;0,SUMIFS(T_StockCount[CountedQty],T_StockCount[RM_Code],$A89,T_StockCount[WeekIndex],99),IF((COUNTIFS(T_SelfStock[RM_Code],$A89,T_SelfStock[WeekIndex],99)&gt;0)*(COUNTIFS(T_TTAFStock[RM_Code],$A89,T_TTAFStock[WeekIndex],99)&gt;0)&gt;0,SUMIFS(T_SelfStock[Self_Qty],T_SelfStock[RM_Code],$A89,T_SelfStock[WeekIndex],99)+SUMIFS(T_TTAFStock[TTAF_Qty],T_TTAFStock[RM_Code],$A89,T_TTAFStock[WeekIndex],99),CU89+'Grid_Incoming'!CV89-'Grid_Requirement'!CV89))</f>
        <v/>
      </c>
      <c r="CW89">
        <f>IF(COUNTIFS(T_StockCount[RM_Code],$A89,T_StockCount[WeekIndex],100)&gt;0,SUMIFS(T_StockCount[CountedQty],T_StockCount[RM_Code],$A89,T_StockCount[WeekIndex],100),IF((COUNTIFS(T_SelfStock[RM_Code],$A89,T_SelfStock[WeekIndex],100)&gt;0)*(COUNTIFS(T_TTAFStock[RM_Code],$A89,T_TTAFStock[WeekIndex],100)&gt;0)&gt;0,SUMIFS(T_SelfStock[Self_Qty],T_SelfStock[RM_Code],$A89,T_SelfStock[WeekIndex],100)+SUMIFS(T_TTAFStock[TTAF_Qty],T_TTAFStock[RM_Code],$A89,T_TTAFStock[WeekIndex],100),CV89+'Grid_Incoming'!CW89-'Grid_Requirement'!CW89))</f>
        <v/>
      </c>
      <c r="CX89">
        <f>IF(COUNTIFS(T_StockCount[RM_Code],$A89,T_StockCount[WeekIndex],101)&gt;0,SUMIFS(T_StockCount[CountedQty],T_StockCount[RM_Code],$A89,T_StockCount[WeekIndex],101),IF((COUNTIFS(T_SelfStock[RM_Code],$A89,T_SelfStock[WeekIndex],101)&gt;0)*(COUNTIFS(T_TTAFStock[RM_Code],$A89,T_TTAFStock[WeekIndex],101)&gt;0)&gt;0,SUMIFS(T_SelfStock[Self_Qty],T_SelfStock[RM_Code],$A89,T_SelfStock[WeekIndex],101)+SUMIFS(T_TTAFStock[TTAF_Qty],T_TTAFStock[RM_Code],$A89,T_TTAFStock[WeekIndex],101),CW89+'Grid_Incoming'!CX89-'Grid_Requirement'!CX89))</f>
        <v/>
      </c>
      <c r="CY89">
        <f>IF(COUNTIFS(T_StockCount[RM_Code],$A89,T_StockCount[WeekIndex],102)&gt;0,SUMIFS(T_StockCount[CountedQty],T_StockCount[RM_Code],$A89,T_StockCount[WeekIndex],102),IF((COUNTIFS(T_SelfStock[RM_Code],$A89,T_SelfStock[WeekIndex],102)&gt;0)*(COUNTIFS(T_TTAFStock[RM_Code],$A89,T_TTAFStock[WeekIndex],102)&gt;0)&gt;0,SUMIFS(T_SelfStock[Self_Qty],T_SelfStock[RM_Code],$A89,T_SelfStock[WeekIndex],102)+SUMIFS(T_TTAFStock[TTAF_Qty],T_TTAFStock[RM_Code],$A89,T_TTAFStock[WeekIndex],102),CX89+'Grid_Incoming'!CY89-'Grid_Requirement'!CY89))</f>
        <v/>
      </c>
      <c r="CZ89">
        <f>IF(COUNTIFS(T_StockCount[RM_Code],$A89,T_StockCount[WeekIndex],103)&gt;0,SUMIFS(T_StockCount[CountedQty],T_StockCount[RM_Code],$A89,T_StockCount[WeekIndex],103),IF((COUNTIFS(T_SelfStock[RM_Code],$A89,T_SelfStock[WeekIndex],103)&gt;0)*(COUNTIFS(T_TTAFStock[RM_Code],$A89,T_TTAFStock[WeekIndex],103)&gt;0)&gt;0,SUMIFS(T_SelfStock[Self_Qty],T_SelfStock[RM_Code],$A89,T_SelfStock[WeekIndex],103)+SUMIFS(T_TTAFStock[TTAF_Qty],T_TTAFStock[RM_Code],$A89,T_TTAFStock[WeekIndex],103),CY89+'Grid_Incoming'!CZ89-'Grid_Requirement'!CZ89))</f>
        <v/>
      </c>
      <c r="DA89">
        <f>IF(COUNTIFS(T_StockCount[RM_Code],$A89,T_StockCount[WeekIndex],104)&gt;0,SUMIFS(T_StockCount[CountedQty],T_StockCount[RM_Code],$A89,T_StockCount[WeekIndex],104),IF((COUNTIFS(T_SelfStock[RM_Code],$A89,T_SelfStock[WeekIndex],104)&gt;0)*(COUNTIFS(T_TTAFStock[RM_Code],$A89,T_TTAFStock[WeekIndex],104)&gt;0)&gt;0,SUMIFS(T_SelfStock[Self_Qty],T_SelfStock[RM_Code],$A89,T_SelfStock[WeekIndex],104)+SUMIFS(T_TTAFStock[TTAF_Qty],T_TTAFStock[RM_Code],$A89,T_TTAFStock[WeekIndex],104),CZ89+'Grid_Incoming'!DA89-'Grid_Requirement'!DA89))</f>
        <v/>
      </c>
    </row>
    <row r="90">
      <c r="A90" t="inlineStr">
        <is>
          <t>CHEM-1490</t>
        </is>
      </c>
      <c r="B90">
        <f>IF(COUNTIFS(T_StockCount[RM_Code],$A90,T_StockCount[WeekIndex],1)&gt;0,SUMIFS(T_StockCount[CountedQty],T_StockCount[RM_Code],$A90,T_StockCount[WeekIndex],1),IF((COUNTIFS(T_SelfStock[RM_Code],$A90,T_SelfStock[WeekIndex],1)&gt;0)*(COUNTIFS(T_TTAFStock[RM_Code],$A90,T_TTAFStock[WeekIndex],1)&gt;0)&gt;0,SUMIFS(T_SelfStock[Self_Qty],T_SelfStock[RM_Code],$A90,T_SelfStock[WeekIndex],1)+SUMIFS(T_TTAFStock[TTAF_Qty],T_TTAFStock[RM_Code],$A90,T_TTAFStock[WeekIndex],1),IFERROR(INDEX(T_OpeningStock[Opening_Qty],MATCH($A90,T_OpeningStock[RM_Code],0)),0)+'Grid_Incoming'!B90-'Grid_Requirement'!B90))</f>
        <v/>
      </c>
      <c r="C90">
        <f>IF(COUNTIFS(T_StockCount[RM_Code],$A90,T_StockCount[WeekIndex],2)&gt;0,SUMIFS(T_StockCount[CountedQty],T_StockCount[RM_Code],$A90,T_StockCount[WeekIndex],2),IF((COUNTIFS(T_SelfStock[RM_Code],$A90,T_SelfStock[WeekIndex],2)&gt;0)*(COUNTIFS(T_TTAFStock[RM_Code],$A90,T_TTAFStock[WeekIndex],2)&gt;0)&gt;0,SUMIFS(T_SelfStock[Self_Qty],T_SelfStock[RM_Code],$A90,T_SelfStock[WeekIndex],2)+SUMIFS(T_TTAFStock[TTAF_Qty],T_TTAFStock[RM_Code],$A90,T_TTAFStock[WeekIndex],2),B90+'Grid_Incoming'!C90-'Grid_Requirement'!C90))</f>
        <v/>
      </c>
      <c r="D90">
        <f>IF(COUNTIFS(T_StockCount[RM_Code],$A90,T_StockCount[WeekIndex],3)&gt;0,SUMIFS(T_StockCount[CountedQty],T_StockCount[RM_Code],$A90,T_StockCount[WeekIndex],3),IF((COUNTIFS(T_SelfStock[RM_Code],$A90,T_SelfStock[WeekIndex],3)&gt;0)*(COUNTIFS(T_TTAFStock[RM_Code],$A90,T_TTAFStock[WeekIndex],3)&gt;0)&gt;0,SUMIFS(T_SelfStock[Self_Qty],T_SelfStock[RM_Code],$A90,T_SelfStock[WeekIndex],3)+SUMIFS(T_TTAFStock[TTAF_Qty],T_TTAFStock[RM_Code],$A90,T_TTAFStock[WeekIndex],3),C90+'Grid_Incoming'!D90-'Grid_Requirement'!D90))</f>
        <v/>
      </c>
      <c r="E90">
        <f>IF(COUNTIFS(T_StockCount[RM_Code],$A90,T_StockCount[WeekIndex],4)&gt;0,SUMIFS(T_StockCount[CountedQty],T_StockCount[RM_Code],$A90,T_StockCount[WeekIndex],4),IF((COUNTIFS(T_SelfStock[RM_Code],$A90,T_SelfStock[WeekIndex],4)&gt;0)*(COUNTIFS(T_TTAFStock[RM_Code],$A90,T_TTAFStock[WeekIndex],4)&gt;0)&gt;0,SUMIFS(T_SelfStock[Self_Qty],T_SelfStock[RM_Code],$A90,T_SelfStock[WeekIndex],4)+SUMIFS(T_TTAFStock[TTAF_Qty],T_TTAFStock[RM_Code],$A90,T_TTAFStock[WeekIndex],4),D90+'Grid_Incoming'!E90-'Grid_Requirement'!E90))</f>
        <v/>
      </c>
      <c r="F90">
        <f>IF(COUNTIFS(T_StockCount[RM_Code],$A90,T_StockCount[WeekIndex],5)&gt;0,SUMIFS(T_StockCount[CountedQty],T_StockCount[RM_Code],$A90,T_StockCount[WeekIndex],5),IF((COUNTIFS(T_SelfStock[RM_Code],$A90,T_SelfStock[WeekIndex],5)&gt;0)*(COUNTIFS(T_TTAFStock[RM_Code],$A90,T_TTAFStock[WeekIndex],5)&gt;0)&gt;0,SUMIFS(T_SelfStock[Self_Qty],T_SelfStock[RM_Code],$A90,T_SelfStock[WeekIndex],5)+SUMIFS(T_TTAFStock[TTAF_Qty],T_TTAFStock[RM_Code],$A90,T_TTAFStock[WeekIndex],5),E90+'Grid_Incoming'!F90-'Grid_Requirement'!F90))</f>
        <v/>
      </c>
      <c r="G90">
        <f>IF(COUNTIFS(T_StockCount[RM_Code],$A90,T_StockCount[WeekIndex],6)&gt;0,SUMIFS(T_StockCount[CountedQty],T_StockCount[RM_Code],$A90,T_StockCount[WeekIndex],6),IF((COUNTIFS(T_SelfStock[RM_Code],$A90,T_SelfStock[WeekIndex],6)&gt;0)*(COUNTIFS(T_TTAFStock[RM_Code],$A90,T_TTAFStock[WeekIndex],6)&gt;0)&gt;0,SUMIFS(T_SelfStock[Self_Qty],T_SelfStock[RM_Code],$A90,T_SelfStock[WeekIndex],6)+SUMIFS(T_TTAFStock[TTAF_Qty],T_TTAFStock[RM_Code],$A90,T_TTAFStock[WeekIndex],6),F90+'Grid_Incoming'!G90-'Grid_Requirement'!G90))</f>
        <v/>
      </c>
      <c r="H90">
        <f>IF(COUNTIFS(T_StockCount[RM_Code],$A90,T_StockCount[WeekIndex],7)&gt;0,SUMIFS(T_StockCount[CountedQty],T_StockCount[RM_Code],$A90,T_StockCount[WeekIndex],7),IF((COUNTIFS(T_SelfStock[RM_Code],$A90,T_SelfStock[WeekIndex],7)&gt;0)*(COUNTIFS(T_TTAFStock[RM_Code],$A90,T_TTAFStock[WeekIndex],7)&gt;0)&gt;0,SUMIFS(T_SelfStock[Self_Qty],T_SelfStock[RM_Code],$A90,T_SelfStock[WeekIndex],7)+SUMIFS(T_TTAFStock[TTAF_Qty],T_TTAFStock[RM_Code],$A90,T_TTAFStock[WeekIndex],7),G90+'Grid_Incoming'!H90-'Grid_Requirement'!H90))</f>
        <v/>
      </c>
      <c r="I90">
        <f>IF(COUNTIFS(T_StockCount[RM_Code],$A90,T_StockCount[WeekIndex],8)&gt;0,SUMIFS(T_StockCount[CountedQty],T_StockCount[RM_Code],$A90,T_StockCount[WeekIndex],8),IF((COUNTIFS(T_SelfStock[RM_Code],$A90,T_SelfStock[WeekIndex],8)&gt;0)*(COUNTIFS(T_TTAFStock[RM_Code],$A90,T_TTAFStock[WeekIndex],8)&gt;0)&gt;0,SUMIFS(T_SelfStock[Self_Qty],T_SelfStock[RM_Code],$A90,T_SelfStock[WeekIndex],8)+SUMIFS(T_TTAFStock[TTAF_Qty],T_TTAFStock[RM_Code],$A90,T_TTAFStock[WeekIndex],8),H90+'Grid_Incoming'!I90-'Grid_Requirement'!I90))</f>
        <v/>
      </c>
      <c r="J90">
        <f>IF(COUNTIFS(T_StockCount[RM_Code],$A90,T_StockCount[WeekIndex],9)&gt;0,SUMIFS(T_StockCount[CountedQty],T_StockCount[RM_Code],$A90,T_StockCount[WeekIndex],9),IF((COUNTIFS(T_SelfStock[RM_Code],$A90,T_SelfStock[WeekIndex],9)&gt;0)*(COUNTIFS(T_TTAFStock[RM_Code],$A90,T_TTAFStock[WeekIndex],9)&gt;0)&gt;0,SUMIFS(T_SelfStock[Self_Qty],T_SelfStock[RM_Code],$A90,T_SelfStock[WeekIndex],9)+SUMIFS(T_TTAFStock[TTAF_Qty],T_TTAFStock[RM_Code],$A90,T_TTAFStock[WeekIndex],9),I90+'Grid_Incoming'!J90-'Grid_Requirement'!J90))</f>
        <v/>
      </c>
      <c r="K90">
        <f>IF(COUNTIFS(T_StockCount[RM_Code],$A90,T_StockCount[WeekIndex],10)&gt;0,SUMIFS(T_StockCount[CountedQty],T_StockCount[RM_Code],$A90,T_StockCount[WeekIndex],10),IF((COUNTIFS(T_SelfStock[RM_Code],$A90,T_SelfStock[WeekIndex],10)&gt;0)*(COUNTIFS(T_TTAFStock[RM_Code],$A90,T_TTAFStock[WeekIndex],10)&gt;0)&gt;0,SUMIFS(T_SelfStock[Self_Qty],T_SelfStock[RM_Code],$A90,T_SelfStock[WeekIndex],10)+SUMIFS(T_TTAFStock[TTAF_Qty],T_TTAFStock[RM_Code],$A90,T_TTAFStock[WeekIndex],10),J90+'Grid_Incoming'!K90-'Grid_Requirement'!K90))</f>
        <v/>
      </c>
      <c r="L90">
        <f>IF(COUNTIFS(T_StockCount[RM_Code],$A90,T_StockCount[WeekIndex],11)&gt;0,SUMIFS(T_StockCount[CountedQty],T_StockCount[RM_Code],$A90,T_StockCount[WeekIndex],11),IF((COUNTIFS(T_SelfStock[RM_Code],$A90,T_SelfStock[WeekIndex],11)&gt;0)*(COUNTIFS(T_TTAFStock[RM_Code],$A90,T_TTAFStock[WeekIndex],11)&gt;0)&gt;0,SUMIFS(T_SelfStock[Self_Qty],T_SelfStock[RM_Code],$A90,T_SelfStock[WeekIndex],11)+SUMIFS(T_TTAFStock[TTAF_Qty],T_TTAFStock[RM_Code],$A90,T_TTAFStock[WeekIndex],11),K90+'Grid_Incoming'!L90-'Grid_Requirement'!L90))</f>
        <v/>
      </c>
      <c r="M90">
        <f>IF(COUNTIFS(T_StockCount[RM_Code],$A90,T_StockCount[WeekIndex],12)&gt;0,SUMIFS(T_StockCount[CountedQty],T_StockCount[RM_Code],$A90,T_StockCount[WeekIndex],12),IF((COUNTIFS(T_SelfStock[RM_Code],$A90,T_SelfStock[WeekIndex],12)&gt;0)*(COUNTIFS(T_TTAFStock[RM_Code],$A90,T_TTAFStock[WeekIndex],12)&gt;0)&gt;0,SUMIFS(T_SelfStock[Self_Qty],T_SelfStock[RM_Code],$A90,T_SelfStock[WeekIndex],12)+SUMIFS(T_TTAFStock[TTAF_Qty],T_TTAFStock[RM_Code],$A90,T_TTAFStock[WeekIndex],12),L90+'Grid_Incoming'!M90-'Grid_Requirement'!M90))</f>
        <v/>
      </c>
      <c r="N90">
        <f>IF(COUNTIFS(T_StockCount[RM_Code],$A90,T_StockCount[WeekIndex],13)&gt;0,SUMIFS(T_StockCount[CountedQty],T_StockCount[RM_Code],$A90,T_StockCount[WeekIndex],13),IF((COUNTIFS(T_SelfStock[RM_Code],$A90,T_SelfStock[WeekIndex],13)&gt;0)*(COUNTIFS(T_TTAFStock[RM_Code],$A90,T_TTAFStock[WeekIndex],13)&gt;0)&gt;0,SUMIFS(T_SelfStock[Self_Qty],T_SelfStock[RM_Code],$A90,T_SelfStock[WeekIndex],13)+SUMIFS(T_TTAFStock[TTAF_Qty],T_TTAFStock[RM_Code],$A90,T_TTAFStock[WeekIndex],13),M90+'Grid_Incoming'!N90-'Grid_Requirement'!N90))</f>
        <v/>
      </c>
      <c r="O90">
        <f>IF(COUNTIFS(T_StockCount[RM_Code],$A90,T_StockCount[WeekIndex],14)&gt;0,SUMIFS(T_StockCount[CountedQty],T_StockCount[RM_Code],$A90,T_StockCount[WeekIndex],14),IF((COUNTIFS(T_SelfStock[RM_Code],$A90,T_SelfStock[WeekIndex],14)&gt;0)*(COUNTIFS(T_TTAFStock[RM_Code],$A90,T_TTAFStock[WeekIndex],14)&gt;0)&gt;0,SUMIFS(T_SelfStock[Self_Qty],T_SelfStock[RM_Code],$A90,T_SelfStock[WeekIndex],14)+SUMIFS(T_TTAFStock[TTAF_Qty],T_TTAFStock[RM_Code],$A90,T_TTAFStock[WeekIndex],14),N90+'Grid_Incoming'!O90-'Grid_Requirement'!O90))</f>
        <v/>
      </c>
      <c r="P90">
        <f>IF(COUNTIFS(T_StockCount[RM_Code],$A90,T_StockCount[WeekIndex],15)&gt;0,SUMIFS(T_StockCount[CountedQty],T_StockCount[RM_Code],$A90,T_StockCount[WeekIndex],15),IF((COUNTIFS(T_SelfStock[RM_Code],$A90,T_SelfStock[WeekIndex],15)&gt;0)*(COUNTIFS(T_TTAFStock[RM_Code],$A90,T_TTAFStock[WeekIndex],15)&gt;0)&gt;0,SUMIFS(T_SelfStock[Self_Qty],T_SelfStock[RM_Code],$A90,T_SelfStock[WeekIndex],15)+SUMIFS(T_TTAFStock[TTAF_Qty],T_TTAFStock[RM_Code],$A90,T_TTAFStock[WeekIndex],15),O90+'Grid_Incoming'!P90-'Grid_Requirement'!P90))</f>
        <v/>
      </c>
      <c r="Q90">
        <f>IF(COUNTIFS(T_StockCount[RM_Code],$A90,T_StockCount[WeekIndex],16)&gt;0,SUMIFS(T_StockCount[CountedQty],T_StockCount[RM_Code],$A90,T_StockCount[WeekIndex],16),IF((COUNTIFS(T_SelfStock[RM_Code],$A90,T_SelfStock[WeekIndex],16)&gt;0)*(COUNTIFS(T_TTAFStock[RM_Code],$A90,T_TTAFStock[WeekIndex],16)&gt;0)&gt;0,SUMIFS(T_SelfStock[Self_Qty],T_SelfStock[RM_Code],$A90,T_SelfStock[WeekIndex],16)+SUMIFS(T_TTAFStock[TTAF_Qty],T_TTAFStock[RM_Code],$A90,T_TTAFStock[WeekIndex],16),P90+'Grid_Incoming'!Q90-'Grid_Requirement'!Q90))</f>
        <v/>
      </c>
      <c r="R90">
        <f>IF(COUNTIFS(T_StockCount[RM_Code],$A90,T_StockCount[WeekIndex],17)&gt;0,SUMIFS(T_StockCount[CountedQty],T_StockCount[RM_Code],$A90,T_StockCount[WeekIndex],17),IF((COUNTIFS(T_SelfStock[RM_Code],$A90,T_SelfStock[WeekIndex],17)&gt;0)*(COUNTIFS(T_TTAFStock[RM_Code],$A90,T_TTAFStock[WeekIndex],17)&gt;0)&gt;0,SUMIFS(T_SelfStock[Self_Qty],T_SelfStock[RM_Code],$A90,T_SelfStock[WeekIndex],17)+SUMIFS(T_TTAFStock[TTAF_Qty],T_TTAFStock[RM_Code],$A90,T_TTAFStock[WeekIndex],17),Q90+'Grid_Incoming'!R90-'Grid_Requirement'!R90))</f>
        <v/>
      </c>
      <c r="S90">
        <f>IF(COUNTIFS(T_StockCount[RM_Code],$A90,T_StockCount[WeekIndex],18)&gt;0,SUMIFS(T_StockCount[CountedQty],T_StockCount[RM_Code],$A90,T_StockCount[WeekIndex],18),IF((COUNTIFS(T_SelfStock[RM_Code],$A90,T_SelfStock[WeekIndex],18)&gt;0)*(COUNTIFS(T_TTAFStock[RM_Code],$A90,T_TTAFStock[WeekIndex],18)&gt;0)&gt;0,SUMIFS(T_SelfStock[Self_Qty],T_SelfStock[RM_Code],$A90,T_SelfStock[WeekIndex],18)+SUMIFS(T_TTAFStock[TTAF_Qty],T_TTAFStock[RM_Code],$A90,T_TTAFStock[WeekIndex],18),R90+'Grid_Incoming'!S90-'Grid_Requirement'!S90))</f>
        <v/>
      </c>
      <c r="T90">
        <f>IF(COUNTIFS(T_StockCount[RM_Code],$A90,T_StockCount[WeekIndex],19)&gt;0,SUMIFS(T_StockCount[CountedQty],T_StockCount[RM_Code],$A90,T_StockCount[WeekIndex],19),IF((COUNTIFS(T_SelfStock[RM_Code],$A90,T_SelfStock[WeekIndex],19)&gt;0)*(COUNTIFS(T_TTAFStock[RM_Code],$A90,T_TTAFStock[WeekIndex],19)&gt;0)&gt;0,SUMIFS(T_SelfStock[Self_Qty],T_SelfStock[RM_Code],$A90,T_SelfStock[WeekIndex],19)+SUMIFS(T_TTAFStock[TTAF_Qty],T_TTAFStock[RM_Code],$A90,T_TTAFStock[WeekIndex],19),S90+'Grid_Incoming'!T90-'Grid_Requirement'!T90))</f>
        <v/>
      </c>
      <c r="U90">
        <f>IF(COUNTIFS(T_StockCount[RM_Code],$A90,T_StockCount[WeekIndex],20)&gt;0,SUMIFS(T_StockCount[CountedQty],T_StockCount[RM_Code],$A90,T_StockCount[WeekIndex],20),IF((COUNTIFS(T_SelfStock[RM_Code],$A90,T_SelfStock[WeekIndex],20)&gt;0)*(COUNTIFS(T_TTAFStock[RM_Code],$A90,T_TTAFStock[WeekIndex],20)&gt;0)&gt;0,SUMIFS(T_SelfStock[Self_Qty],T_SelfStock[RM_Code],$A90,T_SelfStock[WeekIndex],20)+SUMIFS(T_TTAFStock[TTAF_Qty],T_TTAFStock[RM_Code],$A90,T_TTAFStock[WeekIndex],20),T90+'Grid_Incoming'!U90-'Grid_Requirement'!U90))</f>
        <v/>
      </c>
      <c r="V90">
        <f>IF(COUNTIFS(T_StockCount[RM_Code],$A90,T_StockCount[WeekIndex],21)&gt;0,SUMIFS(T_StockCount[CountedQty],T_StockCount[RM_Code],$A90,T_StockCount[WeekIndex],21),IF((COUNTIFS(T_SelfStock[RM_Code],$A90,T_SelfStock[WeekIndex],21)&gt;0)*(COUNTIFS(T_TTAFStock[RM_Code],$A90,T_TTAFStock[WeekIndex],21)&gt;0)&gt;0,SUMIFS(T_SelfStock[Self_Qty],T_SelfStock[RM_Code],$A90,T_SelfStock[WeekIndex],21)+SUMIFS(T_TTAFStock[TTAF_Qty],T_TTAFStock[RM_Code],$A90,T_TTAFStock[WeekIndex],21),U90+'Grid_Incoming'!V90-'Grid_Requirement'!V90))</f>
        <v/>
      </c>
      <c r="W90">
        <f>IF(COUNTIFS(T_StockCount[RM_Code],$A90,T_StockCount[WeekIndex],22)&gt;0,SUMIFS(T_StockCount[CountedQty],T_StockCount[RM_Code],$A90,T_StockCount[WeekIndex],22),IF((COUNTIFS(T_SelfStock[RM_Code],$A90,T_SelfStock[WeekIndex],22)&gt;0)*(COUNTIFS(T_TTAFStock[RM_Code],$A90,T_TTAFStock[WeekIndex],22)&gt;0)&gt;0,SUMIFS(T_SelfStock[Self_Qty],T_SelfStock[RM_Code],$A90,T_SelfStock[WeekIndex],22)+SUMIFS(T_TTAFStock[TTAF_Qty],T_TTAFStock[RM_Code],$A90,T_TTAFStock[WeekIndex],22),V90+'Grid_Incoming'!W90-'Grid_Requirement'!W90))</f>
        <v/>
      </c>
      <c r="X90">
        <f>IF(COUNTIFS(T_StockCount[RM_Code],$A90,T_StockCount[WeekIndex],23)&gt;0,SUMIFS(T_StockCount[CountedQty],T_StockCount[RM_Code],$A90,T_StockCount[WeekIndex],23),IF((COUNTIFS(T_SelfStock[RM_Code],$A90,T_SelfStock[WeekIndex],23)&gt;0)*(COUNTIFS(T_TTAFStock[RM_Code],$A90,T_TTAFStock[WeekIndex],23)&gt;0)&gt;0,SUMIFS(T_SelfStock[Self_Qty],T_SelfStock[RM_Code],$A90,T_SelfStock[WeekIndex],23)+SUMIFS(T_TTAFStock[TTAF_Qty],T_TTAFStock[RM_Code],$A90,T_TTAFStock[WeekIndex],23),W90+'Grid_Incoming'!X90-'Grid_Requirement'!X90))</f>
        <v/>
      </c>
      <c r="Y90">
        <f>IF(COUNTIFS(T_StockCount[RM_Code],$A90,T_StockCount[WeekIndex],24)&gt;0,SUMIFS(T_StockCount[CountedQty],T_StockCount[RM_Code],$A90,T_StockCount[WeekIndex],24),IF((COUNTIFS(T_SelfStock[RM_Code],$A90,T_SelfStock[WeekIndex],24)&gt;0)*(COUNTIFS(T_TTAFStock[RM_Code],$A90,T_TTAFStock[WeekIndex],24)&gt;0)&gt;0,SUMIFS(T_SelfStock[Self_Qty],T_SelfStock[RM_Code],$A90,T_SelfStock[WeekIndex],24)+SUMIFS(T_TTAFStock[TTAF_Qty],T_TTAFStock[RM_Code],$A90,T_TTAFStock[WeekIndex],24),X90+'Grid_Incoming'!Y90-'Grid_Requirement'!Y90))</f>
        <v/>
      </c>
      <c r="Z90">
        <f>IF(COUNTIFS(T_StockCount[RM_Code],$A90,T_StockCount[WeekIndex],25)&gt;0,SUMIFS(T_StockCount[CountedQty],T_StockCount[RM_Code],$A90,T_StockCount[WeekIndex],25),IF((COUNTIFS(T_SelfStock[RM_Code],$A90,T_SelfStock[WeekIndex],25)&gt;0)*(COUNTIFS(T_TTAFStock[RM_Code],$A90,T_TTAFStock[WeekIndex],25)&gt;0)&gt;0,SUMIFS(T_SelfStock[Self_Qty],T_SelfStock[RM_Code],$A90,T_SelfStock[WeekIndex],25)+SUMIFS(T_TTAFStock[TTAF_Qty],T_TTAFStock[RM_Code],$A90,T_TTAFStock[WeekIndex],25),Y90+'Grid_Incoming'!Z90-'Grid_Requirement'!Z90))</f>
        <v/>
      </c>
      <c r="AA90">
        <f>IF(COUNTIFS(T_StockCount[RM_Code],$A90,T_StockCount[WeekIndex],26)&gt;0,SUMIFS(T_StockCount[CountedQty],T_StockCount[RM_Code],$A90,T_StockCount[WeekIndex],26),IF((COUNTIFS(T_SelfStock[RM_Code],$A90,T_SelfStock[WeekIndex],26)&gt;0)*(COUNTIFS(T_TTAFStock[RM_Code],$A90,T_TTAFStock[WeekIndex],26)&gt;0)&gt;0,SUMIFS(T_SelfStock[Self_Qty],T_SelfStock[RM_Code],$A90,T_SelfStock[WeekIndex],26)+SUMIFS(T_TTAFStock[TTAF_Qty],T_TTAFStock[RM_Code],$A90,T_TTAFStock[WeekIndex],26),Z90+'Grid_Incoming'!AA90-'Grid_Requirement'!AA90))</f>
        <v/>
      </c>
      <c r="AB90">
        <f>IF(COUNTIFS(T_StockCount[RM_Code],$A90,T_StockCount[WeekIndex],27)&gt;0,SUMIFS(T_StockCount[CountedQty],T_StockCount[RM_Code],$A90,T_StockCount[WeekIndex],27),IF((COUNTIFS(T_SelfStock[RM_Code],$A90,T_SelfStock[WeekIndex],27)&gt;0)*(COUNTIFS(T_TTAFStock[RM_Code],$A90,T_TTAFStock[WeekIndex],27)&gt;0)&gt;0,SUMIFS(T_SelfStock[Self_Qty],T_SelfStock[RM_Code],$A90,T_SelfStock[WeekIndex],27)+SUMIFS(T_TTAFStock[TTAF_Qty],T_TTAFStock[RM_Code],$A90,T_TTAFStock[WeekIndex],27),AA90+'Grid_Incoming'!AB90-'Grid_Requirement'!AB90))</f>
        <v/>
      </c>
      <c r="AC90">
        <f>IF(COUNTIFS(T_StockCount[RM_Code],$A90,T_StockCount[WeekIndex],28)&gt;0,SUMIFS(T_StockCount[CountedQty],T_StockCount[RM_Code],$A90,T_StockCount[WeekIndex],28),IF((COUNTIFS(T_SelfStock[RM_Code],$A90,T_SelfStock[WeekIndex],28)&gt;0)*(COUNTIFS(T_TTAFStock[RM_Code],$A90,T_TTAFStock[WeekIndex],28)&gt;0)&gt;0,SUMIFS(T_SelfStock[Self_Qty],T_SelfStock[RM_Code],$A90,T_SelfStock[WeekIndex],28)+SUMIFS(T_TTAFStock[TTAF_Qty],T_TTAFStock[RM_Code],$A90,T_TTAFStock[WeekIndex],28),AB90+'Grid_Incoming'!AC90-'Grid_Requirement'!AC90))</f>
        <v/>
      </c>
      <c r="AD90">
        <f>IF(COUNTIFS(T_StockCount[RM_Code],$A90,T_StockCount[WeekIndex],29)&gt;0,SUMIFS(T_StockCount[CountedQty],T_StockCount[RM_Code],$A90,T_StockCount[WeekIndex],29),IF((COUNTIFS(T_SelfStock[RM_Code],$A90,T_SelfStock[WeekIndex],29)&gt;0)*(COUNTIFS(T_TTAFStock[RM_Code],$A90,T_TTAFStock[WeekIndex],29)&gt;0)&gt;0,SUMIFS(T_SelfStock[Self_Qty],T_SelfStock[RM_Code],$A90,T_SelfStock[WeekIndex],29)+SUMIFS(T_TTAFStock[TTAF_Qty],T_TTAFStock[RM_Code],$A90,T_TTAFStock[WeekIndex],29),AC90+'Grid_Incoming'!AD90-'Grid_Requirement'!AD90))</f>
        <v/>
      </c>
      <c r="AE90">
        <f>IF(COUNTIFS(T_StockCount[RM_Code],$A90,T_StockCount[WeekIndex],30)&gt;0,SUMIFS(T_StockCount[CountedQty],T_StockCount[RM_Code],$A90,T_StockCount[WeekIndex],30),IF((COUNTIFS(T_SelfStock[RM_Code],$A90,T_SelfStock[WeekIndex],30)&gt;0)*(COUNTIFS(T_TTAFStock[RM_Code],$A90,T_TTAFStock[WeekIndex],30)&gt;0)&gt;0,SUMIFS(T_SelfStock[Self_Qty],T_SelfStock[RM_Code],$A90,T_SelfStock[WeekIndex],30)+SUMIFS(T_TTAFStock[TTAF_Qty],T_TTAFStock[RM_Code],$A90,T_TTAFStock[WeekIndex],30),AD90+'Grid_Incoming'!AE90-'Grid_Requirement'!AE90))</f>
        <v/>
      </c>
      <c r="AF90">
        <f>IF(COUNTIFS(T_StockCount[RM_Code],$A90,T_StockCount[WeekIndex],31)&gt;0,SUMIFS(T_StockCount[CountedQty],T_StockCount[RM_Code],$A90,T_StockCount[WeekIndex],31),IF((COUNTIFS(T_SelfStock[RM_Code],$A90,T_SelfStock[WeekIndex],31)&gt;0)*(COUNTIFS(T_TTAFStock[RM_Code],$A90,T_TTAFStock[WeekIndex],31)&gt;0)&gt;0,SUMIFS(T_SelfStock[Self_Qty],T_SelfStock[RM_Code],$A90,T_SelfStock[WeekIndex],31)+SUMIFS(T_TTAFStock[TTAF_Qty],T_TTAFStock[RM_Code],$A90,T_TTAFStock[WeekIndex],31),AE90+'Grid_Incoming'!AF90-'Grid_Requirement'!AF90))</f>
        <v/>
      </c>
      <c r="AG90">
        <f>IF(COUNTIFS(T_StockCount[RM_Code],$A90,T_StockCount[WeekIndex],32)&gt;0,SUMIFS(T_StockCount[CountedQty],T_StockCount[RM_Code],$A90,T_StockCount[WeekIndex],32),IF((COUNTIFS(T_SelfStock[RM_Code],$A90,T_SelfStock[WeekIndex],32)&gt;0)*(COUNTIFS(T_TTAFStock[RM_Code],$A90,T_TTAFStock[WeekIndex],32)&gt;0)&gt;0,SUMIFS(T_SelfStock[Self_Qty],T_SelfStock[RM_Code],$A90,T_SelfStock[WeekIndex],32)+SUMIFS(T_TTAFStock[TTAF_Qty],T_TTAFStock[RM_Code],$A90,T_TTAFStock[WeekIndex],32),AF90+'Grid_Incoming'!AG90-'Grid_Requirement'!AG90))</f>
        <v/>
      </c>
      <c r="AH90">
        <f>IF(COUNTIFS(T_StockCount[RM_Code],$A90,T_StockCount[WeekIndex],33)&gt;0,SUMIFS(T_StockCount[CountedQty],T_StockCount[RM_Code],$A90,T_StockCount[WeekIndex],33),IF((COUNTIFS(T_SelfStock[RM_Code],$A90,T_SelfStock[WeekIndex],33)&gt;0)*(COUNTIFS(T_TTAFStock[RM_Code],$A90,T_TTAFStock[WeekIndex],33)&gt;0)&gt;0,SUMIFS(T_SelfStock[Self_Qty],T_SelfStock[RM_Code],$A90,T_SelfStock[WeekIndex],33)+SUMIFS(T_TTAFStock[TTAF_Qty],T_TTAFStock[RM_Code],$A90,T_TTAFStock[WeekIndex],33),AG90+'Grid_Incoming'!AH90-'Grid_Requirement'!AH90))</f>
        <v/>
      </c>
      <c r="AI90">
        <f>IF(COUNTIFS(T_StockCount[RM_Code],$A90,T_StockCount[WeekIndex],34)&gt;0,SUMIFS(T_StockCount[CountedQty],T_StockCount[RM_Code],$A90,T_StockCount[WeekIndex],34),IF((COUNTIFS(T_SelfStock[RM_Code],$A90,T_SelfStock[WeekIndex],34)&gt;0)*(COUNTIFS(T_TTAFStock[RM_Code],$A90,T_TTAFStock[WeekIndex],34)&gt;0)&gt;0,SUMIFS(T_SelfStock[Self_Qty],T_SelfStock[RM_Code],$A90,T_SelfStock[WeekIndex],34)+SUMIFS(T_TTAFStock[TTAF_Qty],T_TTAFStock[RM_Code],$A90,T_TTAFStock[WeekIndex],34),AH90+'Grid_Incoming'!AI90-'Grid_Requirement'!AI90))</f>
        <v/>
      </c>
      <c r="AJ90">
        <f>IF(COUNTIFS(T_StockCount[RM_Code],$A90,T_StockCount[WeekIndex],35)&gt;0,SUMIFS(T_StockCount[CountedQty],T_StockCount[RM_Code],$A90,T_StockCount[WeekIndex],35),IF((COUNTIFS(T_SelfStock[RM_Code],$A90,T_SelfStock[WeekIndex],35)&gt;0)*(COUNTIFS(T_TTAFStock[RM_Code],$A90,T_TTAFStock[WeekIndex],35)&gt;0)&gt;0,SUMIFS(T_SelfStock[Self_Qty],T_SelfStock[RM_Code],$A90,T_SelfStock[WeekIndex],35)+SUMIFS(T_TTAFStock[TTAF_Qty],T_TTAFStock[RM_Code],$A90,T_TTAFStock[WeekIndex],35),AI90+'Grid_Incoming'!AJ90-'Grid_Requirement'!AJ90))</f>
        <v/>
      </c>
      <c r="AK90">
        <f>IF(COUNTIFS(T_StockCount[RM_Code],$A90,T_StockCount[WeekIndex],36)&gt;0,SUMIFS(T_StockCount[CountedQty],T_StockCount[RM_Code],$A90,T_StockCount[WeekIndex],36),IF((COUNTIFS(T_SelfStock[RM_Code],$A90,T_SelfStock[WeekIndex],36)&gt;0)*(COUNTIFS(T_TTAFStock[RM_Code],$A90,T_TTAFStock[WeekIndex],36)&gt;0)&gt;0,SUMIFS(T_SelfStock[Self_Qty],T_SelfStock[RM_Code],$A90,T_SelfStock[WeekIndex],36)+SUMIFS(T_TTAFStock[TTAF_Qty],T_TTAFStock[RM_Code],$A90,T_TTAFStock[WeekIndex],36),AJ90+'Grid_Incoming'!AK90-'Grid_Requirement'!AK90))</f>
        <v/>
      </c>
      <c r="AL90">
        <f>IF(COUNTIFS(T_StockCount[RM_Code],$A90,T_StockCount[WeekIndex],37)&gt;0,SUMIFS(T_StockCount[CountedQty],T_StockCount[RM_Code],$A90,T_StockCount[WeekIndex],37),IF((COUNTIFS(T_SelfStock[RM_Code],$A90,T_SelfStock[WeekIndex],37)&gt;0)*(COUNTIFS(T_TTAFStock[RM_Code],$A90,T_TTAFStock[WeekIndex],37)&gt;0)&gt;0,SUMIFS(T_SelfStock[Self_Qty],T_SelfStock[RM_Code],$A90,T_SelfStock[WeekIndex],37)+SUMIFS(T_TTAFStock[TTAF_Qty],T_TTAFStock[RM_Code],$A90,T_TTAFStock[WeekIndex],37),AK90+'Grid_Incoming'!AL90-'Grid_Requirement'!AL90))</f>
        <v/>
      </c>
      <c r="AM90">
        <f>IF(COUNTIFS(T_StockCount[RM_Code],$A90,T_StockCount[WeekIndex],38)&gt;0,SUMIFS(T_StockCount[CountedQty],T_StockCount[RM_Code],$A90,T_StockCount[WeekIndex],38),IF((COUNTIFS(T_SelfStock[RM_Code],$A90,T_SelfStock[WeekIndex],38)&gt;0)*(COUNTIFS(T_TTAFStock[RM_Code],$A90,T_TTAFStock[WeekIndex],38)&gt;0)&gt;0,SUMIFS(T_SelfStock[Self_Qty],T_SelfStock[RM_Code],$A90,T_SelfStock[WeekIndex],38)+SUMIFS(T_TTAFStock[TTAF_Qty],T_TTAFStock[RM_Code],$A90,T_TTAFStock[WeekIndex],38),AL90+'Grid_Incoming'!AM90-'Grid_Requirement'!AM90))</f>
        <v/>
      </c>
      <c r="AN90">
        <f>IF(COUNTIFS(T_StockCount[RM_Code],$A90,T_StockCount[WeekIndex],39)&gt;0,SUMIFS(T_StockCount[CountedQty],T_StockCount[RM_Code],$A90,T_StockCount[WeekIndex],39),IF((COUNTIFS(T_SelfStock[RM_Code],$A90,T_SelfStock[WeekIndex],39)&gt;0)*(COUNTIFS(T_TTAFStock[RM_Code],$A90,T_TTAFStock[WeekIndex],39)&gt;0)&gt;0,SUMIFS(T_SelfStock[Self_Qty],T_SelfStock[RM_Code],$A90,T_SelfStock[WeekIndex],39)+SUMIFS(T_TTAFStock[TTAF_Qty],T_TTAFStock[RM_Code],$A90,T_TTAFStock[WeekIndex],39),AM90+'Grid_Incoming'!AN90-'Grid_Requirement'!AN90))</f>
        <v/>
      </c>
      <c r="AO90">
        <f>IF(COUNTIFS(T_StockCount[RM_Code],$A90,T_StockCount[WeekIndex],40)&gt;0,SUMIFS(T_StockCount[CountedQty],T_StockCount[RM_Code],$A90,T_StockCount[WeekIndex],40),IF((COUNTIFS(T_SelfStock[RM_Code],$A90,T_SelfStock[WeekIndex],40)&gt;0)*(COUNTIFS(T_TTAFStock[RM_Code],$A90,T_TTAFStock[WeekIndex],40)&gt;0)&gt;0,SUMIFS(T_SelfStock[Self_Qty],T_SelfStock[RM_Code],$A90,T_SelfStock[WeekIndex],40)+SUMIFS(T_TTAFStock[TTAF_Qty],T_TTAFStock[RM_Code],$A90,T_TTAFStock[WeekIndex],40),AN90+'Grid_Incoming'!AO90-'Grid_Requirement'!AO90))</f>
        <v/>
      </c>
      <c r="AP90">
        <f>IF(COUNTIFS(T_StockCount[RM_Code],$A90,T_StockCount[WeekIndex],41)&gt;0,SUMIFS(T_StockCount[CountedQty],T_StockCount[RM_Code],$A90,T_StockCount[WeekIndex],41),IF((COUNTIFS(T_SelfStock[RM_Code],$A90,T_SelfStock[WeekIndex],41)&gt;0)*(COUNTIFS(T_TTAFStock[RM_Code],$A90,T_TTAFStock[WeekIndex],41)&gt;0)&gt;0,SUMIFS(T_SelfStock[Self_Qty],T_SelfStock[RM_Code],$A90,T_SelfStock[WeekIndex],41)+SUMIFS(T_TTAFStock[TTAF_Qty],T_TTAFStock[RM_Code],$A90,T_TTAFStock[WeekIndex],41),AO90+'Grid_Incoming'!AP90-'Grid_Requirement'!AP90))</f>
        <v/>
      </c>
      <c r="AQ90">
        <f>IF(COUNTIFS(T_StockCount[RM_Code],$A90,T_StockCount[WeekIndex],42)&gt;0,SUMIFS(T_StockCount[CountedQty],T_StockCount[RM_Code],$A90,T_StockCount[WeekIndex],42),IF((COUNTIFS(T_SelfStock[RM_Code],$A90,T_SelfStock[WeekIndex],42)&gt;0)*(COUNTIFS(T_TTAFStock[RM_Code],$A90,T_TTAFStock[WeekIndex],42)&gt;0)&gt;0,SUMIFS(T_SelfStock[Self_Qty],T_SelfStock[RM_Code],$A90,T_SelfStock[WeekIndex],42)+SUMIFS(T_TTAFStock[TTAF_Qty],T_TTAFStock[RM_Code],$A90,T_TTAFStock[WeekIndex],42),AP90+'Grid_Incoming'!AQ90-'Grid_Requirement'!AQ90))</f>
        <v/>
      </c>
      <c r="AR90">
        <f>IF(COUNTIFS(T_StockCount[RM_Code],$A90,T_StockCount[WeekIndex],43)&gt;0,SUMIFS(T_StockCount[CountedQty],T_StockCount[RM_Code],$A90,T_StockCount[WeekIndex],43),IF((COUNTIFS(T_SelfStock[RM_Code],$A90,T_SelfStock[WeekIndex],43)&gt;0)*(COUNTIFS(T_TTAFStock[RM_Code],$A90,T_TTAFStock[WeekIndex],43)&gt;0)&gt;0,SUMIFS(T_SelfStock[Self_Qty],T_SelfStock[RM_Code],$A90,T_SelfStock[WeekIndex],43)+SUMIFS(T_TTAFStock[TTAF_Qty],T_TTAFStock[RM_Code],$A90,T_TTAFStock[WeekIndex],43),AQ90+'Grid_Incoming'!AR90-'Grid_Requirement'!AR90))</f>
        <v/>
      </c>
      <c r="AS90">
        <f>IF(COUNTIFS(T_StockCount[RM_Code],$A90,T_StockCount[WeekIndex],44)&gt;0,SUMIFS(T_StockCount[CountedQty],T_StockCount[RM_Code],$A90,T_StockCount[WeekIndex],44),IF((COUNTIFS(T_SelfStock[RM_Code],$A90,T_SelfStock[WeekIndex],44)&gt;0)*(COUNTIFS(T_TTAFStock[RM_Code],$A90,T_TTAFStock[WeekIndex],44)&gt;0)&gt;0,SUMIFS(T_SelfStock[Self_Qty],T_SelfStock[RM_Code],$A90,T_SelfStock[WeekIndex],44)+SUMIFS(T_TTAFStock[TTAF_Qty],T_TTAFStock[RM_Code],$A90,T_TTAFStock[WeekIndex],44),AR90+'Grid_Incoming'!AS90-'Grid_Requirement'!AS90))</f>
        <v/>
      </c>
      <c r="AT90">
        <f>IF(COUNTIFS(T_StockCount[RM_Code],$A90,T_StockCount[WeekIndex],45)&gt;0,SUMIFS(T_StockCount[CountedQty],T_StockCount[RM_Code],$A90,T_StockCount[WeekIndex],45),IF((COUNTIFS(T_SelfStock[RM_Code],$A90,T_SelfStock[WeekIndex],45)&gt;0)*(COUNTIFS(T_TTAFStock[RM_Code],$A90,T_TTAFStock[WeekIndex],45)&gt;0)&gt;0,SUMIFS(T_SelfStock[Self_Qty],T_SelfStock[RM_Code],$A90,T_SelfStock[WeekIndex],45)+SUMIFS(T_TTAFStock[TTAF_Qty],T_TTAFStock[RM_Code],$A90,T_TTAFStock[WeekIndex],45),AS90+'Grid_Incoming'!AT90-'Grid_Requirement'!AT90))</f>
        <v/>
      </c>
      <c r="AU90">
        <f>IF(COUNTIFS(T_StockCount[RM_Code],$A90,T_StockCount[WeekIndex],46)&gt;0,SUMIFS(T_StockCount[CountedQty],T_StockCount[RM_Code],$A90,T_StockCount[WeekIndex],46),IF((COUNTIFS(T_SelfStock[RM_Code],$A90,T_SelfStock[WeekIndex],46)&gt;0)*(COUNTIFS(T_TTAFStock[RM_Code],$A90,T_TTAFStock[WeekIndex],46)&gt;0)&gt;0,SUMIFS(T_SelfStock[Self_Qty],T_SelfStock[RM_Code],$A90,T_SelfStock[WeekIndex],46)+SUMIFS(T_TTAFStock[TTAF_Qty],T_TTAFStock[RM_Code],$A90,T_TTAFStock[WeekIndex],46),AT90+'Grid_Incoming'!AU90-'Grid_Requirement'!AU90))</f>
        <v/>
      </c>
      <c r="AV90">
        <f>IF(COUNTIFS(T_StockCount[RM_Code],$A90,T_StockCount[WeekIndex],47)&gt;0,SUMIFS(T_StockCount[CountedQty],T_StockCount[RM_Code],$A90,T_StockCount[WeekIndex],47),IF((COUNTIFS(T_SelfStock[RM_Code],$A90,T_SelfStock[WeekIndex],47)&gt;0)*(COUNTIFS(T_TTAFStock[RM_Code],$A90,T_TTAFStock[WeekIndex],47)&gt;0)&gt;0,SUMIFS(T_SelfStock[Self_Qty],T_SelfStock[RM_Code],$A90,T_SelfStock[WeekIndex],47)+SUMIFS(T_TTAFStock[TTAF_Qty],T_TTAFStock[RM_Code],$A90,T_TTAFStock[WeekIndex],47),AU90+'Grid_Incoming'!AV90-'Grid_Requirement'!AV90))</f>
        <v/>
      </c>
      <c r="AW90">
        <f>IF(COUNTIFS(T_StockCount[RM_Code],$A90,T_StockCount[WeekIndex],48)&gt;0,SUMIFS(T_StockCount[CountedQty],T_StockCount[RM_Code],$A90,T_StockCount[WeekIndex],48),IF((COUNTIFS(T_SelfStock[RM_Code],$A90,T_SelfStock[WeekIndex],48)&gt;0)*(COUNTIFS(T_TTAFStock[RM_Code],$A90,T_TTAFStock[WeekIndex],48)&gt;0)&gt;0,SUMIFS(T_SelfStock[Self_Qty],T_SelfStock[RM_Code],$A90,T_SelfStock[WeekIndex],48)+SUMIFS(T_TTAFStock[TTAF_Qty],T_TTAFStock[RM_Code],$A90,T_TTAFStock[WeekIndex],48),AV90+'Grid_Incoming'!AW90-'Grid_Requirement'!AW90))</f>
        <v/>
      </c>
      <c r="AX90">
        <f>IF(COUNTIFS(T_StockCount[RM_Code],$A90,T_StockCount[WeekIndex],49)&gt;0,SUMIFS(T_StockCount[CountedQty],T_StockCount[RM_Code],$A90,T_StockCount[WeekIndex],49),IF((COUNTIFS(T_SelfStock[RM_Code],$A90,T_SelfStock[WeekIndex],49)&gt;0)*(COUNTIFS(T_TTAFStock[RM_Code],$A90,T_TTAFStock[WeekIndex],49)&gt;0)&gt;0,SUMIFS(T_SelfStock[Self_Qty],T_SelfStock[RM_Code],$A90,T_SelfStock[WeekIndex],49)+SUMIFS(T_TTAFStock[TTAF_Qty],T_TTAFStock[RM_Code],$A90,T_TTAFStock[WeekIndex],49),AW90+'Grid_Incoming'!AX90-'Grid_Requirement'!AX90))</f>
        <v/>
      </c>
      <c r="AY90">
        <f>IF(COUNTIFS(T_StockCount[RM_Code],$A90,T_StockCount[WeekIndex],50)&gt;0,SUMIFS(T_StockCount[CountedQty],T_StockCount[RM_Code],$A90,T_StockCount[WeekIndex],50),IF((COUNTIFS(T_SelfStock[RM_Code],$A90,T_SelfStock[WeekIndex],50)&gt;0)*(COUNTIFS(T_TTAFStock[RM_Code],$A90,T_TTAFStock[WeekIndex],50)&gt;0)&gt;0,SUMIFS(T_SelfStock[Self_Qty],T_SelfStock[RM_Code],$A90,T_SelfStock[WeekIndex],50)+SUMIFS(T_TTAFStock[TTAF_Qty],T_TTAFStock[RM_Code],$A90,T_TTAFStock[WeekIndex],50),AX90+'Grid_Incoming'!AY90-'Grid_Requirement'!AY90))</f>
        <v/>
      </c>
      <c r="AZ90">
        <f>IF(COUNTIFS(T_StockCount[RM_Code],$A90,T_StockCount[WeekIndex],51)&gt;0,SUMIFS(T_StockCount[CountedQty],T_StockCount[RM_Code],$A90,T_StockCount[WeekIndex],51),IF((COUNTIFS(T_SelfStock[RM_Code],$A90,T_SelfStock[WeekIndex],51)&gt;0)*(COUNTIFS(T_TTAFStock[RM_Code],$A90,T_TTAFStock[WeekIndex],51)&gt;0)&gt;0,SUMIFS(T_SelfStock[Self_Qty],T_SelfStock[RM_Code],$A90,T_SelfStock[WeekIndex],51)+SUMIFS(T_TTAFStock[TTAF_Qty],T_TTAFStock[RM_Code],$A90,T_TTAFStock[WeekIndex],51),AY90+'Grid_Incoming'!AZ90-'Grid_Requirement'!AZ90))</f>
        <v/>
      </c>
      <c r="BA90">
        <f>IF(COUNTIFS(T_StockCount[RM_Code],$A90,T_StockCount[WeekIndex],52)&gt;0,SUMIFS(T_StockCount[CountedQty],T_StockCount[RM_Code],$A90,T_StockCount[WeekIndex],52),IF((COUNTIFS(T_SelfStock[RM_Code],$A90,T_SelfStock[WeekIndex],52)&gt;0)*(COUNTIFS(T_TTAFStock[RM_Code],$A90,T_TTAFStock[WeekIndex],52)&gt;0)&gt;0,SUMIFS(T_SelfStock[Self_Qty],T_SelfStock[RM_Code],$A90,T_SelfStock[WeekIndex],52)+SUMIFS(T_TTAFStock[TTAF_Qty],T_TTAFStock[RM_Code],$A90,T_TTAFStock[WeekIndex],52),AZ90+'Grid_Incoming'!BA90-'Grid_Requirement'!BA90))</f>
        <v/>
      </c>
      <c r="BB90">
        <f>IF(COUNTIFS(T_StockCount[RM_Code],$A90,T_StockCount[WeekIndex],53)&gt;0,SUMIFS(T_StockCount[CountedQty],T_StockCount[RM_Code],$A90,T_StockCount[WeekIndex],53),IF((COUNTIFS(T_SelfStock[RM_Code],$A90,T_SelfStock[WeekIndex],53)&gt;0)*(COUNTIFS(T_TTAFStock[RM_Code],$A90,T_TTAFStock[WeekIndex],53)&gt;0)&gt;0,SUMIFS(T_SelfStock[Self_Qty],T_SelfStock[RM_Code],$A90,T_SelfStock[WeekIndex],53)+SUMIFS(T_TTAFStock[TTAF_Qty],T_TTAFStock[RM_Code],$A90,T_TTAFStock[WeekIndex],53),BA90+'Grid_Incoming'!BB90-'Grid_Requirement'!BB90))</f>
        <v/>
      </c>
      <c r="BC90">
        <f>IF(COUNTIFS(T_StockCount[RM_Code],$A90,T_StockCount[WeekIndex],54)&gt;0,SUMIFS(T_StockCount[CountedQty],T_StockCount[RM_Code],$A90,T_StockCount[WeekIndex],54),IF((COUNTIFS(T_SelfStock[RM_Code],$A90,T_SelfStock[WeekIndex],54)&gt;0)*(COUNTIFS(T_TTAFStock[RM_Code],$A90,T_TTAFStock[WeekIndex],54)&gt;0)&gt;0,SUMIFS(T_SelfStock[Self_Qty],T_SelfStock[RM_Code],$A90,T_SelfStock[WeekIndex],54)+SUMIFS(T_TTAFStock[TTAF_Qty],T_TTAFStock[RM_Code],$A90,T_TTAFStock[WeekIndex],54),BB90+'Grid_Incoming'!BC90-'Grid_Requirement'!BC90))</f>
        <v/>
      </c>
      <c r="BD90">
        <f>IF(COUNTIFS(T_StockCount[RM_Code],$A90,T_StockCount[WeekIndex],55)&gt;0,SUMIFS(T_StockCount[CountedQty],T_StockCount[RM_Code],$A90,T_StockCount[WeekIndex],55),IF((COUNTIFS(T_SelfStock[RM_Code],$A90,T_SelfStock[WeekIndex],55)&gt;0)*(COUNTIFS(T_TTAFStock[RM_Code],$A90,T_TTAFStock[WeekIndex],55)&gt;0)&gt;0,SUMIFS(T_SelfStock[Self_Qty],T_SelfStock[RM_Code],$A90,T_SelfStock[WeekIndex],55)+SUMIFS(T_TTAFStock[TTAF_Qty],T_TTAFStock[RM_Code],$A90,T_TTAFStock[WeekIndex],55),BC90+'Grid_Incoming'!BD90-'Grid_Requirement'!BD90))</f>
        <v/>
      </c>
      <c r="BE90">
        <f>IF(COUNTIFS(T_StockCount[RM_Code],$A90,T_StockCount[WeekIndex],56)&gt;0,SUMIFS(T_StockCount[CountedQty],T_StockCount[RM_Code],$A90,T_StockCount[WeekIndex],56),IF((COUNTIFS(T_SelfStock[RM_Code],$A90,T_SelfStock[WeekIndex],56)&gt;0)*(COUNTIFS(T_TTAFStock[RM_Code],$A90,T_TTAFStock[WeekIndex],56)&gt;0)&gt;0,SUMIFS(T_SelfStock[Self_Qty],T_SelfStock[RM_Code],$A90,T_SelfStock[WeekIndex],56)+SUMIFS(T_TTAFStock[TTAF_Qty],T_TTAFStock[RM_Code],$A90,T_TTAFStock[WeekIndex],56),BD90+'Grid_Incoming'!BE90-'Grid_Requirement'!BE90))</f>
        <v/>
      </c>
      <c r="BF90">
        <f>IF(COUNTIFS(T_StockCount[RM_Code],$A90,T_StockCount[WeekIndex],57)&gt;0,SUMIFS(T_StockCount[CountedQty],T_StockCount[RM_Code],$A90,T_StockCount[WeekIndex],57),IF((COUNTIFS(T_SelfStock[RM_Code],$A90,T_SelfStock[WeekIndex],57)&gt;0)*(COUNTIFS(T_TTAFStock[RM_Code],$A90,T_TTAFStock[WeekIndex],57)&gt;0)&gt;0,SUMIFS(T_SelfStock[Self_Qty],T_SelfStock[RM_Code],$A90,T_SelfStock[WeekIndex],57)+SUMIFS(T_TTAFStock[TTAF_Qty],T_TTAFStock[RM_Code],$A90,T_TTAFStock[WeekIndex],57),BE90+'Grid_Incoming'!BF90-'Grid_Requirement'!BF90))</f>
        <v/>
      </c>
      <c r="BG90">
        <f>IF(COUNTIFS(T_StockCount[RM_Code],$A90,T_StockCount[WeekIndex],58)&gt;0,SUMIFS(T_StockCount[CountedQty],T_StockCount[RM_Code],$A90,T_StockCount[WeekIndex],58),IF((COUNTIFS(T_SelfStock[RM_Code],$A90,T_SelfStock[WeekIndex],58)&gt;0)*(COUNTIFS(T_TTAFStock[RM_Code],$A90,T_TTAFStock[WeekIndex],58)&gt;0)&gt;0,SUMIFS(T_SelfStock[Self_Qty],T_SelfStock[RM_Code],$A90,T_SelfStock[WeekIndex],58)+SUMIFS(T_TTAFStock[TTAF_Qty],T_TTAFStock[RM_Code],$A90,T_TTAFStock[WeekIndex],58),BF90+'Grid_Incoming'!BG90-'Grid_Requirement'!BG90))</f>
        <v/>
      </c>
      <c r="BH90">
        <f>IF(COUNTIFS(T_StockCount[RM_Code],$A90,T_StockCount[WeekIndex],59)&gt;0,SUMIFS(T_StockCount[CountedQty],T_StockCount[RM_Code],$A90,T_StockCount[WeekIndex],59),IF((COUNTIFS(T_SelfStock[RM_Code],$A90,T_SelfStock[WeekIndex],59)&gt;0)*(COUNTIFS(T_TTAFStock[RM_Code],$A90,T_TTAFStock[WeekIndex],59)&gt;0)&gt;0,SUMIFS(T_SelfStock[Self_Qty],T_SelfStock[RM_Code],$A90,T_SelfStock[WeekIndex],59)+SUMIFS(T_TTAFStock[TTAF_Qty],T_TTAFStock[RM_Code],$A90,T_TTAFStock[WeekIndex],59),BG90+'Grid_Incoming'!BH90-'Grid_Requirement'!BH90))</f>
        <v/>
      </c>
      <c r="BI90">
        <f>IF(COUNTIFS(T_StockCount[RM_Code],$A90,T_StockCount[WeekIndex],60)&gt;0,SUMIFS(T_StockCount[CountedQty],T_StockCount[RM_Code],$A90,T_StockCount[WeekIndex],60),IF((COUNTIFS(T_SelfStock[RM_Code],$A90,T_SelfStock[WeekIndex],60)&gt;0)*(COUNTIFS(T_TTAFStock[RM_Code],$A90,T_TTAFStock[WeekIndex],60)&gt;0)&gt;0,SUMIFS(T_SelfStock[Self_Qty],T_SelfStock[RM_Code],$A90,T_SelfStock[WeekIndex],60)+SUMIFS(T_TTAFStock[TTAF_Qty],T_TTAFStock[RM_Code],$A90,T_TTAFStock[WeekIndex],60),BH90+'Grid_Incoming'!BI90-'Grid_Requirement'!BI90))</f>
        <v/>
      </c>
      <c r="BJ90">
        <f>IF(COUNTIFS(T_StockCount[RM_Code],$A90,T_StockCount[WeekIndex],61)&gt;0,SUMIFS(T_StockCount[CountedQty],T_StockCount[RM_Code],$A90,T_StockCount[WeekIndex],61),IF((COUNTIFS(T_SelfStock[RM_Code],$A90,T_SelfStock[WeekIndex],61)&gt;0)*(COUNTIFS(T_TTAFStock[RM_Code],$A90,T_TTAFStock[WeekIndex],61)&gt;0)&gt;0,SUMIFS(T_SelfStock[Self_Qty],T_SelfStock[RM_Code],$A90,T_SelfStock[WeekIndex],61)+SUMIFS(T_TTAFStock[TTAF_Qty],T_TTAFStock[RM_Code],$A90,T_TTAFStock[WeekIndex],61),BI90+'Grid_Incoming'!BJ90-'Grid_Requirement'!BJ90))</f>
        <v/>
      </c>
      <c r="BK90">
        <f>IF(COUNTIFS(T_StockCount[RM_Code],$A90,T_StockCount[WeekIndex],62)&gt;0,SUMIFS(T_StockCount[CountedQty],T_StockCount[RM_Code],$A90,T_StockCount[WeekIndex],62),IF((COUNTIFS(T_SelfStock[RM_Code],$A90,T_SelfStock[WeekIndex],62)&gt;0)*(COUNTIFS(T_TTAFStock[RM_Code],$A90,T_TTAFStock[WeekIndex],62)&gt;0)&gt;0,SUMIFS(T_SelfStock[Self_Qty],T_SelfStock[RM_Code],$A90,T_SelfStock[WeekIndex],62)+SUMIFS(T_TTAFStock[TTAF_Qty],T_TTAFStock[RM_Code],$A90,T_TTAFStock[WeekIndex],62),BJ90+'Grid_Incoming'!BK90-'Grid_Requirement'!BK90))</f>
        <v/>
      </c>
      <c r="BL90">
        <f>IF(COUNTIFS(T_StockCount[RM_Code],$A90,T_StockCount[WeekIndex],63)&gt;0,SUMIFS(T_StockCount[CountedQty],T_StockCount[RM_Code],$A90,T_StockCount[WeekIndex],63),IF((COUNTIFS(T_SelfStock[RM_Code],$A90,T_SelfStock[WeekIndex],63)&gt;0)*(COUNTIFS(T_TTAFStock[RM_Code],$A90,T_TTAFStock[WeekIndex],63)&gt;0)&gt;0,SUMIFS(T_SelfStock[Self_Qty],T_SelfStock[RM_Code],$A90,T_SelfStock[WeekIndex],63)+SUMIFS(T_TTAFStock[TTAF_Qty],T_TTAFStock[RM_Code],$A90,T_TTAFStock[WeekIndex],63),BK90+'Grid_Incoming'!BL90-'Grid_Requirement'!BL90))</f>
        <v/>
      </c>
      <c r="BM90">
        <f>IF(COUNTIFS(T_StockCount[RM_Code],$A90,T_StockCount[WeekIndex],64)&gt;0,SUMIFS(T_StockCount[CountedQty],T_StockCount[RM_Code],$A90,T_StockCount[WeekIndex],64),IF((COUNTIFS(T_SelfStock[RM_Code],$A90,T_SelfStock[WeekIndex],64)&gt;0)*(COUNTIFS(T_TTAFStock[RM_Code],$A90,T_TTAFStock[WeekIndex],64)&gt;0)&gt;0,SUMIFS(T_SelfStock[Self_Qty],T_SelfStock[RM_Code],$A90,T_SelfStock[WeekIndex],64)+SUMIFS(T_TTAFStock[TTAF_Qty],T_TTAFStock[RM_Code],$A90,T_TTAFStock[WeekIndex],64),BL90+'Grid_Incoming'!BM90-'Grid_Requirement'!BM90))</f>
        <v/>
      </c>
      <c r="BN90">
        <f>IF(COUNTIFS(T_StockCount[RM_Code],$A90,T_StockCount[WeekIndex],65)&gt;0,SUMIFS(T_StockCount[CountedQty],T_StockCount[RM_Code],$A90,T_StockCount[WeekIndex],65),IF((COUNTIFS(T_SelfStock[RM_Code],$A90,T_SelfStock[WeekIndex],65)&gt;0)*(COUNTIFS(T_TTAFStock[RM_Code],$A90,T_TTAFStock[WeekIndex],65)&gt;0)&gt;0,SUMIFS(T_SelfStock[Self_Qty],T_SelfStock[RM_Code],$A90,T_SelfStock[WeekIndex],65)+SUMIFS(T_TTAFStock[TTAF_Qty],T_TTAFStock[RM_Code],$A90,T_TTAFStock[WeekIndex],65),BM90+'Grid_Incoming'!BN90-'Grid_Requirement'!BN90))</f>
        <v/>
      </c>
      <c r="BO90">
        <f>IF(COUNTIFS(T_StockCount[RM_Code],$A90,T_StockCount[WeekIndex],66)&gt;0,SUMIFS(T_StockCount[CountedQty],T_StockCount[RM_Code],$A90,T_StockCount[WeekIndex],66),IF((COUNTIFS(T_SelfStock[RM_Code],$A90,T_SelfStock[WeekIndex],66)&gt;0)*(COUNTIFS(T_TTAFStock[RM_Code],$A90,T_TTAFStock[WeekIndex],66)&gt;0)&gt;0,SUMIFS(T_SelfStock[Self_Qty],T_SelfStock[RM_Code],$A90,T_SelfStock[WeekIndex],66)+SUMIFS(T_TTAFStock[TTAF_Qty],T_TTAFStock[RM_Code],$A90,T_TTAFStock[WeekIndex],66),BN90+'Grid_Incoming'!BO90-'Grid_Requirement'!BO90))</f>
        <v/>
      </c>
      <c r="BP90">
        <f>IF(COUNTIFS(T_StockCount[RM_Code],$A90,T_StockCount[WeekIndex],67)&gt;0,SUMIFS(T_StockCount[CountedQty],T_StockCount[RM_Code],$A90,T_StockCount[WeekIndex],67),IF((COUNTIFS(T_SelfStock[RM_Code],$A90,T_SelfStock[WeekIndex],67)&gt;0)*(COUNTIFS(T_TTAFStock[RM_Code],$A90,T_TTAFStock[WeekIndex],67)&gt;0)&gt;0,SUMIFS(T_SelfStock[Self_Qty],T_SelfStock[RM_Code],$A90,T_SelfStock[WeekIndex],67)+SUMIFS(T_TTAFStock[TTAF_Qty],T_TTAFStock[RM_Code],$A90,T_TTAFStock[WeekIndex],67),BO90+'Grid_Incoming'!BP90-'Grid_Requirement'!BP90))</f>
        <v/>
      </c>
      <c r="BQ90">
        <f>IF(COUNTIFS(T_StockCount[RM_Code],$A90,T_StockCount[WeekIndex],68)&gt;0,SUMIFS(T_StockCount[CountedQty],T_StockCount[RM_Code],$A90,T_StockCount[WeekIndex],68),IF((COUNTIFS(T_SelfStock[RM_Code],$A90,T_SelfStock[WeekIndex],68)&gt;0)*(COUNTIFS(T_TTAFStock[RM_Code],$A90,T_TTAFStock[WeekIndex],68)&gt;0)&gt;0,SUMIFS(T_SelfStock[Self_Qty],T_SelfStock[RM_Code],$A90,T_SelfStock[WeekIndex],68)+SUMIFS(T_TTAFStock[TTAF_Qty],T_TTAFStock[RM_Code],$A90,T_TTAFStock[WeekIndex],68),BP90+'Grid_Incoming'!BQ90-'Grid_Requirement'!BQ90))</f>
        <v/>
      </c>
      <c r="BR90">
        <f>IF(COUNTIFS(T_StockCount[RM_Code],$A90,T_StockCount[WeekIndex],69)&gt;0,SUMIFS(T_StockCount[CountedQty],T_StockCount[RM_Code],$A90,T_StockCount[WeekIndex],69),IF((COUNTIFS(T_SelfStock[RM_Code],$A90,T_SelfStock[WeekIndex],69)&gt;0)*(COUNTIFS(T_TTAFStock[RM_Code],$A90,T_TTAFStock[WeekIndex],69)&gt;0)&gt;0,SUMIFS(T_SelfStock[Self_Qty],T_SelfStock[RM_Code],$A90,T_SelfStock[WeekIndex],69)+SUMIFS(T_TTAFStock[TTAF_Qty],T_TTAFStock[RM_Code],$A90,T_TTAFStock[WeekIndex],69),BQ90+'Grid_Incoming'!BR90-'Grid_Requirement'!BR90))</f>
        <v/>
      </c>
      <c r="BS90">
        <f>IF(COUNTIFS(T_StockCount[RM_Code],$A90,T_StockCount[WeekIndex],70)&gt;0,SUMIFS(T_StockCount[CountedQty],T_StockCount[RM_Code],$A90,T_StockCount[WeekIndex],70),IF((COUNTIFS(T_SelfStock[RM_Code],$A90,T_SelfStock[WeekIndex],70)&gt;0)*(COUNTIFS(T_TTAFStock[RM_Code],$A90,T_TTAFStock[WeekIndex],70)&gt;0)&gt;0,SUMIFS(T_SelfStock[Self_Qty],T_SelfStock[RM_Code],$A90,T_SelfStock[WeekIndex],70)+SUMIFS(T_TTAFStock[TTAF_Qty],T_TTAFStock[RM_Code],$A90,T_TTAFStock[WeekIndex],70),BR90+'Grid_Incoming'!BS90-'Grid_Requirement'!BS90))</f>
        <v/>
      </c>
      <c r="BT90">
        <f>IF(COUNTIFS(T_StockCount[RM_Code],$A90,T_StockCount[WeekIndex],71)&gt;0,SUMIFS(T_StockCount[CountedQty],T_StockCount[RM_Code],$A90,T_StockCount[WeekIndex],71),IF((COUNTIFS(T_SelfStock[RM_Code],$A90,T_SelfStock[WeekIndex],71)&gt;0)*(COUNTIFS(T_TTAFStock[RM_Code],$A90,T_TTAFStock[WeekIndex],71)&gt;0)&gt;0,SUMIFS(T_SelfStock[Self_Qty],T_SelfStock[RM_Code],$A90,T_SelfStock[WeekIndex],71)+SUMIFS(T_TTAFStock[TTAF_Qty],T_TTAFStock[RM_Code],$A90,T_TTAFStock[WeekIndex],71),BS90+'Grid_Incoming'!BT90-'Grid_Requirement'!BT90))</f>
        <v/>
      </c>
      <c r="BU90">
        <f>IF(COUNTIFS(T_StockCount[RM_Code],$A90,T_StockCount[WeekIndex],72)&gt;0,SUMIFS(T_StockCount[CountedQty],T_StockCount[RM_Code],$A90,T_StockCount[WeekIndex],72),IF((COUNTIFS(T_SelfStock[RM_Code],$A90,T_SelfStock[WeekIndex],72)&gt;0)*(COUNTIFS(T_TTAFStock[RM_Code],$A90,T_TTAFStock[WeekIndex],72)&gt;0)&gt;0,SUMIFS(T_SelfStock[Self_Qty],T_SelfStock[RM_Code],$A90,T_SelfStock[WeekIndex],72)+SUMIFS(T_TTAFStock[TTAF_Qty],T_TTAFStock[RM_Code],$A90,T_TTAFStock[WeekIndex],72),BT90+'Grid_Incoming'!BU90-'Grid_Requirement'!BU90))</f>
        <v/>
      </c>
      <c r="BV90">
        <f>IF(COUNTIFS(T_StockCount[RM_Code],$A90,T_StockCount[WeekIndex],73)&gt;0,SUMIFS(T_StockCount[CountedQty],T_StockCount[RM_Code],$A90,T_StockCount[WeekIndex],73),IF((COUNTIFS(T_SelfStock[RM_Code],$A90,T_SelfStock[WeekIndex],73)&gt;0)*(COUNTIFS(T_TTAFStock[RM_Code],$A90,T_TTAFStock[WeekIndex],73)&gt;0)&gt;0,SUMIFS(T_SelfStock[Self_Qty],T_SelfStock[RM_Code],$A90,T_SelfStock[WeekIndex],73)+SUMIFS(T_TTAFStock[TTAF_Qty],T_TTAFStock[RM_Code],$A90,T_TTAFStock[WeekIndex],73),BU90+'Grid_Incoming'!BV90-'Grid_Requirement'!BV90))</f>
        <v/>
      </c>
      <c r="BW90">
        <f>IF(COUNTIFS(T_StockCount[RM_Code],$A90,T_StockCount[WeekIndex],74)&gt;0,SUMIFS(T_StockCount[CountedQty],T_StockCount[RM_Code],$A90,T_StockCount[WeekIndex],74),IF((COUNTIFS(T_SelfStock[RM_Code],$A90,T_SelfStock[WeekIndex],74)&gt;0)*(COUNTIFS(T_TTAFStock[RM_Code],$A90,T_TTAFStock[WeekIndex],74)&gt;0)&gt;0,SUMIFS(T_SelfStock[Self_Qty],T_SelfStock[RM_Code],$A90,T_SelfStock[WeekIndex],74)+SUMIFS(T_TTAFStock[TTAF_Qty],T_TTAFStock[RM_Code],$A90,T_TTAFStock[WeekIndex],74),BV90+'Grid_Incoming'!BW90-'Grid_Requirement'!BW90))</f>
        <v/>
      </c>
      <c r="BX90">
        <f>IF(COUNTIFS(T_StockCount[RM_Code],$A90,T_StockCount[WeekIndex],75)&gt;0,SUMIFS(T_StockCount[CountedQty],T_StockCount[RM_Code],$A90,T_StockCount[WeekIndex],75),IF((COUNTIFS(T_SelfStock[RM_Code],$A90,T_SelfStock[WeekIndex],75)&gt;0)*(COUNTIFS(T_TTAFStock[RM_Code],$A90,T_TTAFStock[WeekIndex],75)&gt;0)&gt;0,SUMIFS(T_SelfStock[Self_Qty],T_SelfStock[RM_Code],$A90,T_SelfStock[WeekIndex],75)+SUMIFS(T_TTAFStock[TTAF_Qty],T_TTAFStock[RM_Code],$A90,T_TTAFStock[WeekIndex],75),BW90+'Grid_Incoming'!BX90-'Grid_Requirement'!BX90))</f>
        <v/>
      </c>
      <c r="BY90">
        <f>IF(COUNTIFS(T_StockCount[RM_Code],$A90,T_StockCount[WeekIndex],76)&gt;0,SUMIFS(T_StockCount[CountedQty],T_StockCount[RM_Code],$A90,T_StockCount[WeekIndex],76),IF((COUNTIFS(T_SelfStock[RM_Code],$A90,T_SelfStock[WeekIndex],76)&gt;0)*(COUNTIFS(T_TTAFStock[RM_Code],$A90,T_TTAFStock[WeekIndex],76)&gt;0)&gt;0,SUMIFS(T_SelfStock[Self_Qty],T_SelfStock[RM_Code],$A90,T_SelfStock[WeekIndex],76)+SUMIFS(T_TTAFStock[TTAF_Qty],T_TTAFStock[RM_Code],$A90,T_TTAFStock[WeekIndex],76),BX90+'Grid_Incoming'!BY90-'Grid_Requirement'!BY90))</f>
        <v/>
      </c>
      <c r="BZ90">
        <f>IF(COUNTIFS(T_StockCount[RM_Code],$A90,T_StockCount[WeekIndex],77)&gt;0,SUMIFS(T_StockCount[CountedQty],T_StockCount[RM_Code],$A90,T_StockCount[WeekIndex],77),IF((COUNTIFS(T_SelfStock[RM_Code],$A90,T_SelfStock[WeekIndex],77)&gt;0)*(COUNTIFS(T_TTAFStock[RM_Code],$A90,T_TTAFStock[WeekIndex],77)&gt;0)&gt;0,SUMIFS(T_SelfStock[Self_Qty],T_SelfStock[RM_Code],$A90,T_SelfStock[WeekIndex],77)+SUMIFS(T_TTAFStock[TTAF_Qty],T_TTAFStock[RM_Code],$A90,T_TTAFStock[WeekIndex],77),BY90+'Grid_Incoming'!BZ90-'Grid_Requirement'!BZ90))</f>
        <v/>
      </c>
      <c r="CA90">
        <f>IF(COUNTIFS(T_StockCount[RM_Code],$A90,T_StockCount[WeekIndex],78)&gt;0,SUMIFS(T_StockCount[CountedQty],T_StockCount[RM_Code],$A90,T_StockCount[WeekIndex],78),IF((COUNTIFS(T_SelfStock[RM_Code],$A90,T_SelfStock[WeekIndex],78)&gt;0)*(COUNTIFS(T_TTAFStock[RM_Code],$A90,T_TTAFStock[WeekIndex],78)&gt;0)&gt;0,SUMIFS(T_SelfStock[Self_Qty],T_SelfStock[RM_Code],$A90,T_SelfStock[WeekIndex],78)+SUMIFS(T_TTAFStock[TTAF_Qty],T_TTAFStock[RM_Code],$A90,T_TTAFStock[WeekIndex],78),BZ90+'Grid_Incoming'!CA90-'Grid_Requirement'!CA90))</f>
        <v/>
      </c>
      <c r="CB90">
        <f>IF(COUNTIFS(T_StockCount[RM_Code],$A90,T_StockCount[WeekIndex],79)&gt;0,SUMIFS(T_StockCount[CountedQty],T_StockCount[RM_Code],$A90,T_StockCount[WeekIndex],79),IF((COUNTIFS(T_SelfStock[RM_Code],$A90,T_SelfStock[WeekIndex],79)&gt;0)*(COUNTIFS(T_TTAFStock[RM_Code],$A90,T_TTAFStock[WeekIndex],79)&gt;0)&gt;0,SUMIFS(T_SelfStock[Self_Qty],T_SelfStock[RM_Code],$A90,T_SelfStock[WeekIndex],79)+SUMIFS(T_TTAFStock[TTAF_Qty],T_TTAFStock[RM_Code],$A90,T_TTAFStock[WeekIndex],79),CA90+'Grid_Incoming'!CB90-'Grid_Requirement'!CB90))</f>
        <v/>
      </c>
      <c r="CC90">
        <f>IF(COUNTIFS(T_StockCount[RM_Code],$A90,T_StockCount[WeekIndex],80)&gt;0,SUMIFS(T_StockCount[CountedQty],T_StockCount[RM_Code],$A90,T_StockCount[WeekIndex],80),IF((COUNTIFS(T_SelfStock[RM_Code],$A90,T_SelfStock[WeekIndex],80)&gt;0)*(COUNTIFS(T_TTAFStock[RM_Code],$A90,T_TTAFStock[WeekIndex],80)&gt;0)&gt;0,SUMIFS(T_SelfStock[Self_Qty],T_SelfStock[RM_Code],$A90,T_SelfStock[WeekIndex],80)+SUMIFS(T_TTAFStock[TTAF_Qty],T_TTAFStock[RM_Code],$A90,T_TTAFStock[WeekIndex],80),CB90+'Grid_Incoming'!CC90-'Grid_Requirement'!CC90))</f>
        <v/>
      </c>
      <c r="CD90">
        <f>IF(COUNTIFS(T_StockCount[RM_Code],$A90,T_StockCount[WeekIndex],81)&gt;0,SUMIFS(T_StockCount[CountedQty],T_StockCount[RM_Code],$A90,T_StockCount[WeekIndex],81),IF((COUNTIFS(T_SelfStock[RM_Code],$A90,T_SelfStock[WeekIndex],81)&gt;0)*(COUNTIFS(T_TTAFStock[RM_Code],$A90,T_TTAFStock[WeekIndex],81)&gt;0)&gt;0,SUMIFS(T_SelfStock[Self_Qty],T_SelfStock[RM_Code],$A90,T_SelfStock[WeekIndex],81)+SUMIFS(T_TTAFStock[TTAF_Qty],T_TTAFStock[RM_Code],$A90,T_TTAFStock[WeekIndex],81),CC90+'Grid_Incoming'!CD90-'Grid_Requirement'!CD90))</f>
        <v/>
      </c>
      <c r="CE90">
        <f>IF(COUNTIFS(T_StockCount[RM_Code],$A90,T_StockCount[WeekIndex],82)&gt;0,SUMIFS(T_StockCount[CountedQty],T_StockCount[RM_Code],$A90,T_StockCount[WeekIndex],82),IF((COUNTIFS(T_SelfStock[RM_Code],$A90,T_SelfStock[WeekIndex],82)&gt;0)*(COUNTIFS(T_TTAFStock[RM_Code],$A90,T_TTAFStock[WeekIndex],82)&gt;0)&gt;0,SUMIFS(T_SelfStock[Self_Qty],T_SelfStock[RM_Code],$A90,T_SelfStock[WeekIndex],82)+SUMIFS(T_TTAFStock[TTAF_Qty],T_TTAFStock[RM_Code],$A90,T_TTAFStock[WeekIndex],82),CD90+'Grid_Incoming'!CE90-'Grid_Requirement'!CE90))</f>
        <v/>
      </c>
      <c r="CF90">
        <f>IF(COUNTIFS(T_StockCount[RM_Code],$A90,T_StockCount[WeekIndex],83)&gt;0,SUMIFS(T_StockCount[CountedQty],T_StockCount[RM_Code],$A90,T_StockCount[WeekIndex],83),IF((COUNTIFS(T_SelfStock[RM_Code],$A90,T_SelfStock[WeekIndex],83)&gt;0)*(COUNTIFS(T_TTAFStock[RM_Code],$A90,T_TTAFStock[WeekIndex],83)&gt;0)&gt;0,SUMIFS(T_SelfStock[Self_Qty],T_SelfStock[RM_Code],$A90,T_SelfStock[WeekIndex],83)+SUMIFS(T_TTAFStock[TTAF_Qty],T_TTAFStock[RM_Code],$A90,T_TTAFStock[WeekIndex],83),CE90+'Grid_Incoming'!CF90-'Grid_Requirement'!CF90))</f>
        <v/>
      </c>
      <c r="CG90">
        <f>IF(COUNTIFS(T_StockCount[RM_Code],$A90,T_StockCount[WeekIndex],84)&gt;0,SUMIFS(T_StockCount[CountedQty],T_StockCount[RM_Code],$A90,T_StockCount[WeekIndex],84),IF((COUNTIFS(T_SelfStock[RM_Code],$A90,T_SelfStock[WeekIndex],84)&gt;0)*(COUNTIFS(T_TTAFStock[RM_Code],$A90,T_TTAFStock[WeekIndex],84)&gt;0)&gt;0,SUMIFS(T_SelfStock[Self_Qty],T_SelfStock[RM_Code],$A90,T_SelfStock[WeekIndex],84)+SUMIFS(T_TTAFStock[TTAF_Qty],T_TTAFStock[RM_Code],$A90,T_TTAFStock[WeekIndex],84),CF90+'Grid_Incoming'!CG90-'Grid_Requirement'!CG90))</f>
        <v/>
      </c>
      <c r="CH90">
        <f>IF(COUNTIFS(T_StockCount[RM_Code],$A90,T_StockCount[WeekIndex],85)&gt;0,SUMIFS(T_StockCount[CountedQty],T_StockCount[RM_Code],$A90,T_StockCount[WeekIndex],85),IF((COUNTIFS(T_SelfStock[RM_Code],$A90,T_SelfStock[WeekIndex],85)&gt;0)*(COUNTIFS(T_TTAFStock[RM_Code],$A90,T_TTAFStock[WeekIndex],85)&gt;0)&gt;0,SUMIFS(T_SelfStock[Self_Qty],T_SelfStock[RM_Code],$A90,T_SelfStock[WeekIndex],85)+SUMIFS(T_TTAFStock[TTAF_Qty],T_TTAFStock[RM_Code],$A90,T_TTAFStock[WeekIndex],85),CG90+'Grid_Incoming'!CH90-'Grid_Requirement'!CH90))</f>
        <v/>
      </c>
      <c r="CI90">
        <f>IF(COUNTIFS(T_StockCount[RM_Code],$A90,T_StockCount[WeekIndex],86)&gt;0,SUMIFS(T_StockCount[CountedQty],T_StockCount[RM_Code],$A90,T_StockCount[WeekIndex],86),IF((COUNTIFS(T_SelfStock[RM_Code],$A90,T_SelfStock[WeekIndex],86)&gt;0)*(COUNTIFS(T_TTAFStock[RM_Code],$A90,T_TTAFStock[WeekIndex],86)&gt;0)&gt;0,SUMIFS(T_SelfStock[Self_Qty],T_SelfStock[RM_Code],$A90,T_SelfStock[WeekIndex],86)+SUMIFS(T_TTAFStock[TTAF_Qty],T_TTAFStock[RM_Code],$A90,T_TTAFStock[WeekIndex],86),CH90+'Grid_Incoming'!CI90-'Grid_Requirement'!CI90))</f>
        <v/>
      </c>
      <c r="CJ90">
        <f>IF(COUNTIFS(T_StockCount[RM_Code],$A90,T_StockCount[WeekIndex],87)&gt;0,SUMIFS(T_StockCount[CountedQty],T_StockCount[RM_Code],$A90,T_StockCount[WeekIndex],87),IF((COUNTIFS(T_SelfStock[RM_Code],$A90,T_SelfStock[WeekIndex],87)&gt;0)*(COUNTIFS(T_TTAFStock[RM_Code],$A90,T_TTAFStock[WeekIndex],87)&gt;0)&gt;0,SUMIFS(T_SelfStock[Self_Qty],T_SelfStock[RM_Code],$A90,T_SelfStock[WeekIndex],87)+SUMIFS(T_TTAFStock[TTAF_Qty],T_TTAFStock[RM_Code],$A90,T_TTAFStock[WeekIndex],87),CI90+'Grid_Incoming'!CJ90-'Grid_Requirement'!CJ90))</f>
        <v/>
      </c>
      <c r="CK90">
        <f>IF(COUNTIFS(T_StockCount[RM_Code],$A90,T_StockCount[WeekIndex],88)&gt;0,SUMIFS(T_StockCount[CountedQty],T_StockCount[RM_Code],$A90,T_StockCount[WeekIndex],88),IF((COUNTIFS(T_SelfStock[RM_Code],$A90,T_SelfStock[WeekIndex],88)&gt;0)*(COUNTIFS(T_TTAFStock[RM_Code],$A90,T_TTAFStock[WeekIndex],88)&gt;0)&gt;0,SUMIFS(T_SelfStock[Self_Qty],T_SelfStock[RM_Code],$A90,T_SelfStock[WeekIndex],88)+SUMIFS(T_TTAFStock[TTAF_Qty],T_TTAFStock[RM_Code],$A90,T_TTAFStock[WeekIndex],88),CJ90+'Grid_Incoming'!CK90-'Grid_Requirement'!CK90))</f>
        <v/>
      </c>
      <c r="CL90">
        <f>IF(COUNTIFS(T_StockCount[RM_Code],$A90,T_StockCount[WeekIndex],89)&gt;0,SUMIFS(T_StockCount[CountedQty],T_StockCount[RM_Code],$A90,T_StockCount[WeekIndex],89),IF((COUNTIFS(T_SelfStock[RM_Code],$A90,T_SelfStock[WeekIndex],89)&gt;0)*(COUNTIFS(T_TTAFStock[RM_Code],$A90,T_TTAFStock[WeekIndex],89)&gt;0)&gt;0,SUMIFS(T_SelfStock[Self_Qty],T_SelfStock[RM_Code],$A90,T_SelfStock[WeekIndex],89)+SUMIFS(T_TTAFStock[TTAF_Qty],T_TTAFStock[RM_Code],$A90,T_TTAFStock[WeekIndex],89),CK90+'Grid_Incoming'!CL90-'Grid_Requirement'!CL90))</f>
        <v/>
      </c>
      <c r="CM90">
        <f>IF(COUNTIFS(T_StockCount[RM_Code],$A90,T_StockCount[WeekIndex],90)&gt;0,SUMIFS(T_StockCount[CountedQty],T_StockCount[RM_Code],$A90,T_StockCount[WeekIndex],90),IF((COUNTIFS(T_SelfStock[RM_Code],$A90,T_SelfStock[WeekIndex],90)&gt;0)*(COUNTIFS(T_TTAFStock[RM_Code],$A90,T_TTAFStock[WeekIndex],90)&gt;0)&gt;0,SUMIFS(T_SelfStock[Self_Qty],T_SelfStock[RM_Code],$A90,T_SelfStock[WeekIndex],90)+SUMIFS(T_TTAFStock[TTAF_Qty],T_TTAFStock[RM_Code],$A90,T_TTAFStock[WeekIndex],90),CL90+'Grid_Incoming'!CM90-'Grid_Requirement'!CM90))</f>
        <v/>
      </c>
      <c r="CN90">
        <f>IF(COUNTIFS(T_StockCount[RM_Code],$A90,T_StockCount[WeekIndex],91)&gt;0,SUMIFS(T_StockCount[CountedQty],T_StockCount[RM_Code],$A90,T_StockCount[WeekIndex],91),IF((COUNTIFS(T_SelfStock[RM_Code],$A90,T_SelfStock[WeekIndex],91)&gt;0)*(COUNTIFS(T_TTAFStock[RM_Code],$A90,T_TTAFStock[WeekIndex],91)&gt;0)&gt;0,SUMIFS(T_SelfStock[Self_Qty],T_SelfStock[RM_Code],$A90,T_SelfStock[WeekIndex],91)+SUMIFS(T_TTAFStock[TTAF_Qty],T_TTAFStock[RM_Code],$A90,T_TTAFStock[WeekIndex],91),CM90+'Grid_Incoming'!CN90-'Grid_Requirement'!CN90))</f>
        <v/>
      </c>
      <c r="CO90">
        <f>IF(COUNTIFS(T_StockCount[RM_Code],$A90,T_StockCount[WeekIndex],92)&gt;0,SUMIFS(T_StockCount[CountedQty],T_StockCount[RM_Code],$A90,T_StockCount[WeekIndex],92),IF((COUNTIFS(T_SelfStock[RM_Code],$A90,T_SelfStock[WeekIndex],92)&gt;0)*(COUNTIFS(T_TTAFStock[RM_Code],$A90,T_TTAFStock[WeekIndex],92)&gt;0)&gt;0,SUMIFS(T_SelfStock[Self_Qty],T_SelfStock[RM_Code],$A90,T_SelfStock[WeekIndex],92)+SUMIFS(T_TTAFStock[TTAF_Qty],T_TTAFStock[RM_Code],$A90,T_TTAFStock[WeekIndex],92),CN90+'Grid_Incoming'!CO90-'Grid_Requirement'!CO90))</f>
        <v/>
      </c>
      <c r="CP90">
        <f>IF(COUNTIFS(T_StockCount[RM_Code],$A90,T_StockCount[WeekIndex],93)&gt;0,SUMIFS(T_StockCount[CountedQty],T_StockCount[RM_Code],$A90,T_StockCount[WeekIndex],93),IF((COUNTIFS(T_SelfStock[RM_Code],$A90,T_SelfStock[WeekIndex],93)&gt;0)*(COUNTIFS(T_TTAFStock[RM_Code],$A90,T_TTAFStock[WeekIndex],93)&gt;0)&gt;0,SUMIFS(T_SelfStock[Self_Qty],T_SelfStock[RM_Code],$A90,T_SelfStock[WeekIndex],93)+SUMIFS(T_TTAFStock[TTAF_Qty],T_TTAFStock[RM_Code],$A90,T_TTAFStock[WeekIndex],93),CO90+'Grid_Incoming'!CP90-'Grid_Requirement'!CP90))</f>
        <v/>
      </c>
      <c r="CQ90">
        <f>IF(COUNTIFS(T_StockCount[RM_Code],$A90,T_StockCount[WeekIndex],94)&gt;0,SUMIFS(T_StockCount[CountedQty],T_StockCount[RM_Code],$A90,T_StockCount[WeekIndex],94),IF((COUNTIFS(T_SelfStock[RM_Code],$A90,T_SelfStock[WeekIndex],94)&gt;0)*(COUNTIFS(T_TTAFStock[RM_Code],$A90,T_TTAFStock[WeekIndex],94)&gt;0)&gt;0,SUMIFS(T_SelfStock[Self_Qty],T_SelfStock[RM_Code],$A90,T_SelfStock[WeekIndex],94)+SUMIFS(T_TTAFStock[TTAF_Qty],T_TTAFStock[RM_Code],$A90,T_TTAFStock[WeekIndex],94),CP90+'Grid_Incoming'!CQ90-'Grid_Requirement'!CQ90))</f>
        <v/>
      </c>
      <c r="CR90">
        <f>IF(COUNTIFS(T_StockCount[RM_Code],$A90,T_StockCount[WeekIndex],95)&gt;0,SUMIFS(T_StockCount[CountedQty],T_StockCount[RM_Code],$A90,T_StockCount[WeekIndex],95),IF((COUNTIFS(T_SelfStock[RM_Code],$A90,T_SelfStock[WeekIndex],95)&gt;0)*(COUNTIFS(T_TTAFStock[RM_Code],$A90,T_TTAFStock[WeekIndex],95)&gt;0)&gt;0,SUMIFS(T_SelfStock[Self_Qty],T_SelfStock[RM_Code],$A90,T_SelfStock[WeekIndex],95)+SUMIFS(T_TTAFStock[TTAF_Qty],T_TTAFStock[RM_Code],$A90,T_TTAFStock[WeekIndex],95),CQ90+'Grid_Incoming'!CR90-'Grid_Requirement'!CR90))</f>
        <v/>
      </c>
      <c r="CS90">
        <f>IF(COUNTIFS(T_StockCount[RM_Code],$A90,T_StockCount[WeekIndex],96)&gt;0,SUMIFS(T_StockCount[CountedQty],T_StockCount[RM_Code],$A90,T_StockCount[WeekIndex],96),IF((COUNTIFS(T_SelfStock[RM_Code],$A90,T_SelfStock[WeekIndex],96)&gt;0)*(COUNTIFS(T_TTAFStock[RM_Code],$A90,T_TTAFStock[WeekIndex],96)&gt;0)&gt;0,SUMIFS(T_SelfStock[Self_Qty],T_SelfStock[RM_Code],$A90,T_SelfStock[WeekIndex],96)+SUMIFS(T_TTAFStock[TTAF_Qty],T_TTAFStock[RM_Code],$A90,T_TTAFStock[WeekIndex],96),CR90+'Grid_Incoming'!CS90-'Grid_Requirement'!CS90))</f>
        <v/>
      </c>
      <c r="CT90">
        <f>IF(COUNTIFS(T_StockCount[RM_Code],$A90,T_StockCount[WeekIndex],97)&gt;0,SUMIFS(T_StockCount[CountedQty],T_StockCount[RM_Code],$A90,T_StockCount[WeekIndex],97),IF((COUNTIFS(T_SelfStock[RM_Code],$A90,T_SelfStock[WeekIndex],97)&gt;0)*(COUNTIFS(T_TTAFStock[RM_Code],$A90,T_TTAFStock[WeekIndex],97)&gt;0)&gt;0,SUMIFS(T_SelfStock[Self_Qty],T_SelfStock[RM_Code],$A90,T_SelfStock[WeekIndex],97)+SUMIFS(T_TTAFStock[TTAF_Qty],T_TTAFStock[RM_Code],$A90,T_TTAFStock[WeekIndex],97),CS90+'Grid_Incoming'!CT90-'Grid_Requirement'!CT90))</f>
        <v/>
      </c>
      <c r="CU90">
        <f>IF(COUNTIFS(T_StockCount[RM_Code],$A90,T_StockCount[WeekIndex],98)&gt;0,SUMIFS(T_StockCount[CountedQty],T_StockCount[RM_Code],$A90,T_StockCount[WeekIndex],98),IF((COUNTIFS(T_SelfStock[RM_Code],$A90,T_SelfStock[WeekIndex],98)&gt;0)*(COUNTIFS(T_TTAFStock[RM_Code],$A90,T_TTAFStock[WeekIndex],98)&gt;0)&gt;0,SUMIFS(T_SelfStock[Self_Qty],T_SelfStock[RM_Code],$A90,T_SelfStock[WeekIndex],98)+SUMIFS(T_TTAFStock[TTAF_Qty],T_TTAFStock[RM_Code],$A90,T_TTAFStock[WeekIndex],98),CT90+'Grid_Incoming'!CU90-'Grid_Requirement'!CU90))</f>
        <v/>
      </c>
      <c r="CV90">
        <f>IF(COUNTIFS(T_StockCount[RM_Code],$A90,T_StockCount[WeekIndex],99)&gt;0,SUMIFS(T_StockCount[CountedQty],T_StockCount[RM_Code],$A90,T_StockCount[WeekIndex],99),IF((COUNTIFS(T_SelfStock[RM_Code],$A90,T_SelfStock[WeekIndex],99)&gt;0)*(COUNTIFS(T_TTAFStock[RM_Code],$A90,T_TTAFStock[WeekIndex],99)&gt;0)&gt;0,SUMIFS(T_SelfStock[Self_Qty],T_SelfStock[RM_Code],$A90,T_SelfStock[WeekIndex],99)+SUMIFS(T_TTAFStock[TTAF_Qty],T_TTAFStock[RM_Code],$A90,T_TTAFStock[WeekIndex],99),CU90+'Grid_Incoming'!CV90-'Grid_Requirement'!CV90))</f>
        <v/>
      </c>
      <c r="CW90">
        <f>IF(COUNTIFS(T_StockCount[RM_Code],$A90,T_StockCount[WeekIndex],100)&gt;0,SUMIFS(T_StockCount[CountedQty],T_StockCount[RM_Code],$A90,T_StockCount[WeekIndex],100),IF((COUNTIFS(T_SelfStock[RM_Code],$A90,T_SelfStock[WeekIndex],100)&gt;0)*(COUNTIFS(T_TTAFStock[RM_Code],$A90,T_TTAFStock[WeekIndex],100)&gt;0)&gt;0,SUMIFS(T_SelfStock[Self_Qty],T_SelfStock[RM_Code],$A90,T_SelfStock[WeekIndex],100)+SUMIFS(T_TTAFStock[TTAF_Qty],T_TTAFStock[RM_Code],$A90,T_TTAFStock[WeekIndex],100),CV90+'Grid_Incoming'!CW90-'Grid_Requirement'!CW90))</f>
        <v/>
      </c>
      <c r="CX90">
        <f>IF(COUNTIFS(T_StockCount[RM_Code],$A90,T_StockCount[WeekIndex],101)&gt;0,SUMIFS(T_StockCount[CountedQty],T_StockCount[RM_Code],$A90,T_StockCount[WeekIndex],101),IF((COUNTIFS(T_SelfStock[RM_Code],$A90,T_SelfStock[WeekIndex],101)&gt;0)*(COUNTIFS(T_TTAFStock[RM_Code],$A90,T_TTAFStock[WeekIndex],101)&gt;0)&gt;0,SUMIFS(T_SelfStock[Self_Qty],T_SelfStock[RM_Code],$A90,T_SelfStock[WeekIndex],101)+SUMIFS(T_TTAFStock[TTAF_Qty],T_TTAFStock[RM_Code],$A90,T_TTAFStock[WeekIndex],101),CW90+'Grid_Incoming'!CX90-'Grid_Requirement'!CX90))</f>
        <v/>
      </c>
      <c r="CY90">
        <f>IF(COUNTIFS(T_StockCount[RM_Code],$A90,T_StockCount[WeekIndex],102)&gt;0,SUMIFS(T_StockCount[CountedQty],T_StockCount[RM_Code],$A90,T_StockCount[WeekIndex],102),IF((COUNTIFS(T_SelfStock[RM_Code],$A90,T_SelfStock[WeekIndex],102)&gt;0)*(COUNTIFS(T_TTAFStock[RM_Code],$A90,T_TTAFStock[WeekIndex],102)&gt;0)&gt;0,SUMIFS(T_SelfStock[Self_Qty],T_SelfStock[RM_Code],$A90,T_SelfStock[WeekIndex],102)+SUMIFS(T_TTAFStock[TTAF_Qty],T_TTAFStock[RM_Code],$A90,T_TTAFStock[WeekIndex],102),CX90+'Grid_Incoming'!CY90-'Grid_Requirement'!CY90))</f>
        <v/>
      </c>
      <c r="CZ90">
        <f>IF(COUNTIFS(T_StockCount[RM_Code],$A90,T_StockCount[WeekIndex],103)&gt;0,SUMIFS(T_StockCount[CountedQty],T_StockCount[RM_Code],$A90,T_StockCount[WeekIndex],103),IF((COUNTIFS(T_SelfStock[RM_Code],$A90,T_SelfStock[WeekIndex],103)&gt;0)*(COUNTIFS(T_TTAFStock[RM_Code],$A90,T_TTAFStock[WeekIndex],103)&gt;0)&gt;0,SUMIFS(T_SelfStock[Self_Qty],T_SelfStock[RM_Code],$A90,T_SelfStock[WeekIndex],103)+SUMIFS(T_TTAFStock[TTAF_Qty],T_TTAFStock[RM_Code],$A90,T_TTAFStock[WeekIndex],103),CY90+'Grid_Incoming'!CZ90-'Grid_Requirement'!CZ90))</f>
        <v/>
      </c>
      <c r="DA90">
        <f>IF(COUNTIFS(T_StockCount[RM_Code],$A90,T_StockCount[WeekIndex],104)&gt;0,SUMIFS(T_StockCount[CountedQty],T_StockCount[RM_Code],$A90,T_StockCount[WeekIndex],104),IF((COUNTIFS(T_SelfStock[RM_Code],$A90,T_SelfStock[WeekIndex],104)&gt;0)*(COUNTIFS(T_TTAFStock[RM_Code],$A90,T_TTAFStock[WeekIndex],104)&gt;0)&gt;0,SUMIFS(T_SelfStock[Self_Qty],T_SelfStock[RM_Code],$A90,T_SelfStock[WeekIndex],104)+SUMIFS(T_TTAFStock[TTAF_Qty],T_TTAFStock[RM_Code],$A90,T_TTAFStock[WeekIndex],104),CZ90+'Grid_Incoming'!DA90-'Grid_Requirement'!DA90))</f>
        <v/>
      </c>
    </row>
    <row r="91">
      <c r="A91" t="inlineStr">
        <is>
          <t>CHEM-1610</t>
        </is>
      </c>
      <c r="B91">
        <f>IF(COUNTIFS(T_StockCount[RM_Code],$A91,T_StockCount[WeekIndex],1)&gt;0,SUMIFS(T_StockCount[CountedQty],T_StockCount[RM_Code],$A91,T_StockCount[WeekIndex],1),IF((COUNTIFS(T_SelfStock[RM_Code],$A91,T_SelfStock[WeekIndex],1)&gt;0)*(COUNTIFS(T_TTAFStock[RM_Code],$A91,T_TTAFStock[WeekIndex],1)&gt;0)&gt;0,SUMIFS(T_SelfStock[Self_Qty],T_SelfStock[RM_Code],$A91,T_SelfStock[WeekIndex],1)+SUMIFS(T_TTAFStock[TTAF_Qty],T_TTAFStock[RM_Code],$A91,T_TTAFStock[WeekIndex],1),IFERROR(INDEX(T_OpeningStock[Opening_Qty],MATCH($A91,T_OpeningStock[RM_Code],0)),0)+'Grid_Incoming'!B91-'Grid_Requirement'!B91))</f>
        <v/>
      </c>
      <c r="C91">
        <f>IF(COUNTIFS(T_StockCount[RM_Code],$A91,T_StockCount[WeekIndex],2)&gt;0,SUMIFS(T_StockCount[CountedQty],T_StockCount[RM_Code],$A91,T_StockCount[WeekIndex],2),IF((COUNTIFS(T_SelfStock[RM_Code],$A91,T_SelfStock[WeekIndex],2)&gt;0)*(COUNTIFS(T_TTAFStock[RM_Code],$A91,T_TTAFStock[WeekIndex],2)&gt;0)&gt;0,SUMIFS(T_SelfStock[Self_Qty],T_SelfStock[RM_Code],$A91,T_SelfStock[WeekIndex],2)+SUMIFS(T_TTAFStock[TTAF_Qty],T_TTAFStock[RM_Code],$A91,T_TTAFStock[WeekIndex],2),B91+'Grid_Incoming'!C91-'Grid_Requirement'!C91))</f>
        <v/>
      </c>
      <c r="D91">
        <f>IF(COUNTIFS(T_StockCount[RM_Code],$A91,T_StockCount[WeekIndex],3)&gt;0,SUMIFS(T_StockCount[CountedQty],T_StockCount[RM_Code],$A91,T_StockCount[WeekIndex],3),IF((COUNTIFS(T_SelfStock[RM_Code],$A91,T_SelfStock[WeekIndex],3)&gt;0)*(COUNTIFS(T_TTAFStock[RM_Code],$A91,T_TTAFStock[WeekIndex],3)&gt;0)&gt;0,SUMIFS(T_SelfStock[Self_Qty],T_SelfStock[RM_Code],$A91,T_SelfStock[WeekIndex],3)+SUMIFS(T_TTAFStock[TTAF_Qty],T_TTAFStock[RM_Code],$A91,T_TTAFStock[WeekIndex],3),C91+'Grid_Incoming'!D91-'Grid_Requirement'!D91))</f>
        <v/>
      </c>
      <c r="E91">
        <f>IF(COUNTIFS(T_StockCount[RM_Code],$A91,T_StockCount[WeekIndex],4)&gt;0,SUMIFS(T_StockCount[CountedQty],T_StockCount[RM_Code],$A91,T_StockCount[WeekIndex],4),IF((COUNTIFS(T_SelfStock[RM_Code],$A91,T_SelfStock[WeekIndex],4)&gt;0)*(COUNTIFS(T_TTAFStock[RM_Code],$A91,T_TTAFStock[WeekIndex],4)&gt;0)&gt;0,SUMIFS(T_SelfStock[Self_Qty],T_SelfStock[RM_Code],$A91,T_SelfStock[WeekIndex],4)+SUMIFS(T_TTAFStock[TTAF_Qty],T_TTAFStock[RM_Code],$A91,T_TTAFStock[WeekIndex],4),D91+'Grid_Incoming'!E91-'Grid_Requirement'!E91))</f>
        <v/>
      </c>
      <c r="F91">
        <f>IF(COUNTIFS(T_StockCount[RM_Code],$A91,T_StockCount[WeekIndex],5)&gt;0,SUMIFS(T_StockCount[CountedQty],T_StockCount[RM_Code],$A91,T_StockCount[WeekIndex],5),IF((COUNTIFS(T_SelfStock[RM_Code],$A91,T_SelfStock[WeekIndex],5)&gt;0)*(COUNTIFS(T_TTAFStock[RM_Code],$A91,T_TTAFStock[WeekIndex],5)&gt;0)&gt;0,SUMIFS(T_SelfStock[Self_Qty],T_SelfStock[RM_Code],$A91,T_SelfStock[WeekIndex],5)+SUMIFS(T_TTAFStock[TTAF_Qty],T_TTAFStock[RM_Code],$A91,T_TTAFStock[WeekIndex],5),E91+'Grid_Incoming'!F91-'Grid_Requirement'!F91))</f>
        <v/>
      </c>
      <c r="G91">
        <f>IF(COUNTIFS(T_StockCount[RM_Code],$A91,T_StockCount[WeekIndex],6)&gt;0,SUMIFS(T_StockCount[CountedQty],T_StockCount[RM_Code],$A91,T_StockCount[WeekIndex],6),IF((COUNTIFS(T_SelfStock[RM_Code],$A91,T_SelfStock[WeekIndex],6)&gt;0)*(COUNTIFS(T_TTAFStock[RM_Code],$A91,T_TTAFStock[WeekIndex],6)&gt;0)&gt;0,SUMIFS(T_SelfStock[Self_Qty],T_SelfStock[RM_Code],$A91,T_SelfStock[WeekIndex],6)+SUMIFS(T_TTAFStock[TTAF_Qty],T_TTAFStock[RM_Code],$A91,T_TTAFStock[WeekIndex],6),F91+'Grid_Incoming'!G91-'Grid_Requirement'!G91))</f>
        <v/>
      </c>
      <c r="H91">
        <f>IF(COUNTIFS(T_StockCount[RM_Code],$A91,T_StockCount[WeekIndex],7)&gt;0,SUMIFS(T_StockCount[CountedQty],T_StockCount[RM_Code],$A91,T_StockCount[WeekIndex],7),IF((COUNTIFS(T_SelfStock[RM_Code],$A91,T_SelfStock[WeekIndex],7)&gt;0)*(COUNTIFS(T_TTAFStock[RM_Code],$A91,T_TTAFStock[WeekIndex],7)&gt;0)&gt;0,SUMIFS(T_SelfStock[Self_Qty],T_SelfStock[RM_Code],$A91,T_SelfStock[WeekIndex],7)+SUMIFS(T_TTAFStock[TTAF_Qty],T_TTAFStock[RM_Code],$A91,T_TTAFStock[WeekIndex],7),G91+'Grid_Incoming'!H91-'Grid_Requirement'!H91))</f>
        <v/>
      </c>
      <c r="I91">
        <f>IF(COUNTIFS(T_StockCount[RM_Code],$A91,T_StockCount[WeekIndex],8)&gt;0,SUMIFS(T_StockCount[CountedQty],T_StockCount[RM_Code],$A91,T_StockCount[WeekIndex],8),IF((COUNTIFS(T_SelfStock[RM_Code],$A91,T_SelfStock[WeekIndex],8)&gt;0)*(COUNTIFS(T_TTAFStock[RM_Code],$A91,T_TTAFStock[WeekIndex],8)&gt;0)&gt;0,SUMIFS(T_SelfStock[Self_Qty],T_SelfStock[RM_Code],$A91,T_SelfStock[WeekIndex],8)+SUMIFS(T_TTAFStock[TTAF_Qty],T_TTAFStock[RM_Code],$A91,T_TTAFStock[WeekIndex],8),H91+'Grid_Incoming'!I91-'Grid_Requirement'!I91))</f>
        <v/>
      </c>
      <c r="J91">
        <f>IF(COUNTIFS(T_StockCount[RM_Code],$A91,T_StockCount[WeekIndex],9)&gt;0,SUMIFS(T_StockCount[CountedQty],T_StockCount[RM_Code],$A91,T_StockCount[WeekIndex],9),IF((COUNTIFS(T_SelfStock[RM_Code],$A91,T_SelfStock[WeekIndex],9)&gt;0)*(COUNTIFS(T_TTAFStock[RM_Code],$A91,T_TTAFStock[WeekIndex],9)&gt;0)&gt;0,SUMIFS(T_SelfStock[Self_Qty],T_SelfStock[RM_Code],$A91,T_SelfStock[WeekIndex],9)+SUMIFS(T_TTAFStock[TTAF_Qty],T_TTAFStock[RM_Code],$A91,T_TTAFStock[WeekIndex],9),I91+'Grid_Incoming'!J91-'Grid_Requirement'!J91))</f>
        <v/>
      </c>
      <c r="K91">
        <f>IF(COUNTIFS(T_StockCount[RM_Code],$A91,T_StockCount[WeekIndex],10)&gt;0,SUMIFS(T_StockCount[CountedQty],T_StockCount[RM_Code],$A91,T_StockCount[WeekIndex],10),IF((COUNTIFS(T_SelfStock[RM_Code],$A91,T_SelfStock[WeekIndex],10)&gt;0)*(COUNTIFS(T_TTAFStock[RM_Code],$A91,T_TTAFStock[WeekIndex],10)&gt;0)&gt;0,SUMIFS(T_SelfStock[Self_Qty],T_SelfStock[RM_Code],$A91,T_SelfStock[WeekIndex],10)+SUMIFS(T_TTAFStock[TTAF_Qty],T_TTAFStock[RM_Code],$A91,T_TTAFStock[WeekIndex],10),J91+'Grid_Incoming'!K91-'Grid_Requirement'!K91))</f>
        <v/>
      </c>
      <c r="L91">
        <f>IF(COUNTIFS(T_StockCount[RM_Code],$A91,T_StockCount[WeekIndex],11)&gt;0,SUMIFS(T_StockCount[CountedQty],T_StockCount[RM_Code],$A91,T_StockCount[WeekIndex],11),IF((COUNTIFS(T_SelfStock[RM_Code],$A91,T_SelfStock[WeekIndex],11)&gt;0)*(COUNTIFS(T_TTAFStock[RM_Code],$A91,T_TTAFStock[WeekIndex],11)&gt;0)&gt;0,SUMIFS(T_SelfStock[Self_Qty],T_SelfStock[RM_Code],$A91,T_SelfStock[WeekIndex],11)+SUMIFS(T_TTAFStock[TTAF_Qty],T_TTAFStock[RM_Code],$A91,T_TTAFStock[WeekIndex],11),K91+'Grid_Incoming'!L91-'Grid_Requirement'!L91))</f>
        <v/>
      </c>
      <c r="M91">
        <f>IF(COUNTIFS(T_StockCount[RM_Code],$A91,T_StockCount[WeekIndex],12)&gt;0,SUMIFS(T_StockCount[CountedQty],T_StockCount[RM_Code],$A91,T_StockCount[WeekIndex],12),IF((COUNTIFS(T_SelfStock[RM_Code],$A91,T_SelfStock[WeekIndex],12)&gt;0)*(COUNTIFS(T_TTAFStock[RM_Code],$A91,T_TTAFStock[WeekIndex],12)&gt;0)&gt;0,SUMIFS(T_SelfStock[Self_Qty],T_SelfStock[RM_Code],$A91,T_SelfStock[WeekIndex],12)+SUMIFS(T_TTAFStock[TTAF_Qty],T_TTAFStock[RM_Code],$A91,T_TTAFStock[WeekIndex],12),L91+'Grid_Incoming'!M91-'Grid_Requirement'!M91))</f>
        <v/>
      </c>
      <c r="N91">
        <f>IF(COUNTIFS(T_StockCount[RM_Code],$A91,T_StockCount[WeekIndex],13)&gt;0,SUMIFS(T_StockCount[CountedQty],T_StockCount[RM_Code],$A91,T_StockCount[WeekIndex],13),IF((COUNTIFS(T_SelfStock[RM_Code],$A91,T_SelfStock[WeekIndex],13)&gt;0)*(COUNTIFS(T_TTAFStock[RM_Code],$A91,T_TTAFStock[WeekIndex],13)&gt;0)&gt;0,SUMIFS(T_SelfStock[Self_Qty],T_SelfStock[RM_Code],$A91,T_SelfStock[WeekIndex],13)+SUMIFS(T_TTAFStock[TTAF_Qty],T_TTAFStock[RM_Code],$A91,T_TTAFStock[WeekIndex],13),M91+'Grid_Incoming'!N91-'Grid_Requirement'!N91))</f>
        <v/>
      </c>
      <c r="O91">
        <f>IF(COUNTIFS(T_StockCount[RM_Code],$A91,T_StockCount[WeekIndex],14)&gt;0,SUMIFS(T_StockCount[CountedQty],T_StockCount[RM_Code],$A91,T_StockCount[WeekIndex],14),IF((COUNTIFS(T_SelfStock[RM_Code],$A91,T_SelfStock[WeekIndex],14)&gt;0)*(COUNTIFS(T_TTAFStock[RM_Code],$A91,T_TTAFStock[WeekIndex],14)&gt;0)&gt;0,SUMIFS(T_SelfStock[Self_Qty],T_SelfStock[RM_Code],$A91,T_SelfStock[WeekIndex],14)+SUMIFS(T_TTAFStock[TTAF_Qty],T_TTAFStock[RM_Code],$A91,T_TTAFStock[WeekIndex],14),N91+'Grid_Incoming'!O91-'Grid_Requirement'!O91))</f>
        <v/>
      </c>
      <c r="P91">
        <f>IF(COUNTIFS(T_StockCount[RM_Code],$A91,T_StockCount[WeekIndex],15)&gt;0,SUMIFS(T_StockCount[CountedQty],T_StockCount[RM_Code],$A91,T_StockCount[WeekIndex],15),IF((COUNTIFS(T_SelfStock[RM_Code],$A91,T_SelfStock[WeekIndex],15)&gt;0)*(COUNTIFS(T_TTAFStock[RM_Code],$A91,T_TTAFStock[WeekIndex],15)&gt;0)&gt;0,SUMIFS(T_SelfStock[Self_Qty],T_SelfStock[RM_Code],$A91,T_SelfStock[WeekIndex],15)+SUMIFS(T_TTAFStock[TTAF_Qty],T_TTAFStock[RM_Code],$A91,T_TTAFStock[WeekIndex],15),O91+'Grid_Incoming'!P91-'Grid_Requirement'!P91))</f>
        <v/>
      </c>
      <c r="Q91">
        <f>IF(COUNTIFS(T_StockCount[RM_Code],$A91,T_StockCount[WeekIndex],16)&gt;0,SUMIFS(T_StockCount[CountedQty],T_StockCount[RM_Code],$A91,T_StockCount[WeekIndex],16),IF((COUNTIFS(T_SelfStock[RM_Code],$A91,T_SelfStock[WeekIndex],16)&gt;0)*(COUNTIFS(T_TTAFStock[RM_Code],$A91,T_TTAFStock[WeekIndex],16)&gt;0)&gt;0,SUMIFS(T_SelfStock[Self_Qty],T_SelfStock[RM_Code],$A91,T_SelfStock[WeekIndex],16)+SUMIFS(T_TTAFStock[TTAF_Qty],T_TTAFStock[RM_Code],$A91,T_TTAFStock[WeekIndex],16),P91+'Grid_Incoming'!Q91-'Grid_Requirement'!Q91))</f>
        <v/>
      </c>
      <c r="R91">
        <f>IF(COUNTIFS(T_StockCount[RM_Code],$A91,T_StockCount[WeekIndex],17)&gt;0,SUMIFS(T_StockCount[CountedQty],T_StockCount[RM_Code],$A91,T_StockCount[WeekIndex],17),IF((COUNTIFS(T_SelfStock[RM_Code],$A91,T_SelfStock[WeekIndex],17)&gt;0)*(COUNTIFS(T_TTAFStock[RM_Code],$A91,T_TTAFStock[WeekIndex],17)&gt;0)&gt;0,SUMIFS(T_SelfStock[Self_Qty],T_SelfStock[RM_Code],$A91,T_SelfStock[WeekIndex],17)+SUMIFS(T_TTAFStock[TTAF_Qty],T_TTAFStock[RM_Code],$A91,T_TTAFStock[WeekIndex],17),Q91+'Grid_Incoming'!R91-'Grid_Requirement'!R91))</f>
        <v/>
      </c>
      <c r="S91">
        <f>IF(COUNTIFS(T_StockCount[RM_Code],$A91,T_StockCount[WeekIndex],18)&gt;0,SUMIFS(T_StockCount[CountedQty],T_StockCount[RM_Code],$A91,T_StockCount[WeekIndex],18),IF((COUNTIFS(T_SelfStock[RM_Code],$A91,T_SelfStock[WeekIndex],18)&gt;0)*(COUNTIFS(T_TTAFStock[RM_Code],$A91,T_TTAFStock[WeekIndex],18)&gt;0)&gt;0,SUMIFS(T_SelfStock[Self_Qty],T_SelfStock[RM_Code],$A91,T_SelfStock[WeekIndex],18)+SUMIFS(T_TTAFStock[TTAF_Qty],T_TTAFStock[RM_Code],$A91,T_TTAFStock[WeekIndex],18),R91+'Grid_Incoming'!S91-'Grid_Requirement'!S91))</f>
        <v/>
      </c>
      <c r="T91">
        <f>IF(COUNTIFS(T_StockCount[RM_Code],$A91,T_StockCount[WeekIndex],19)&gt;0,SUMIFS(T_StockCount[CountedQty],T_StockCount[RM_Code],$A91,T_StockCount[WeekIndex],19),IF((COUNTIFS(T_SelfStock[RM_Code],$A91,T_SelfStock[WeekIndex],19)&gt;0)*(COUNTIFS(T_TTAFStock[RM_Code],$A91,T_TTAFStock[WeekIndex],19)&gt;0)&gt;0,SUMIFS(T_SelfStock[Self_Qty],T_SelfStock[RM_Code],$A91,T_SelfStock[WeekIndex],19)+SUMIFS(T_TTAFStock[TTAF_Qty],T_TTAFStock[RM_Code],$A91,T_TTAFStock[WeekIndex],19),S91+'Grid_Incoming'!T91-'Grid_Requirement'!T91))</f>
        <v/>
      </c>
      <c r="U91">
        <f>IF(COUNTIFS(T_StockCount[RM_Code],$A91,T_StockCount[WeekIndex],20)&gt;0,SUMIFS(T_StockCount[CountedQty],T_StockCount[RM_Code],$A91,T_StockCount[WeekIndex],20),IF((COUNTIFS(T_SelfStock[RM_Code],$A91,T_SelfStock[WeekIndex],20)&gt;0)*(COUNTIFS(T_TTAFStock[RM_Code],$A91,T_TTAFStock[WeekIndex],20)&gt;0)&gt;0,SUMIFS(T_SelfStock[Self_Qty],T_SelfStock[RM_Code],$A91,T_SelfStock[WeekIndex],20)+SUMIFS(T_TTAFStock[TTAF_Qty],T_TTAFStock[RM_Code],$A91,T_TTAFStock[WeekIndex],20),T91+'Grid_Incoming'!U91-'Grid_Requirement'!U91))</f>
        <v/>
      </c>
      <c r="V91">
        <f>IF(COUNTIFS(T_StockCount[RM_Code],$A91,T_StockCount[WeekIndex],21)&gt;0,SUMIFS(T_StockCount[CountedQty],T_StockCount[RM_Code],$A91,T_StockCount[WeekIndex],21),IF((COUNTIFS(T_SelfStock[RM_Code],$A91,T_SelfStock[WeekIndex],21)&gt;0)*(COUNTIFS(T_TTAFStock[RM_Code],$A91,T_TTAFStock[WeekIndex],21)&gt;0)&gt;0,SUMIFS(T_SelfStock[Self_Qty],T_SelfStock[RM_Code],$A91,T_SelfStock[WeekIndex],21)+SUMIFS(T_TTAFStock[TTAF_Qty],T_TTAFStock[RM_Code],$A91,T_TTAFStock[WeekIndex],21),U91+'Grid_Incoming'!V91-'Grid_Requirement'!V91))</f>
        <v/>
      </c>
      <c r="W91">
        <f>IF(COUNTIFS(T_StockCount[RM_Code],$A91,T_StockCount[WeekIndex],22)&gt;0,SUMIFS(T_StockCount[CountedQty],T_StockCount[RM_Code],$A91,T_StockCount[WeekIndex],22),IF((COUNTIFS(T_SelfStock[RM_Code],$A91,T_SelfStock[WeekIndex],22)&gt;0)*(COUNTIFS(T_TTAFStock[RM_Code],$A91,T_TTAFStock[WeekIndex],22)&gt;0)&gt;0,SUMIFS(T_SelfStock[Self_Qty],T_SelfStock[RM_Code],$A91,T_SelfStock[WeekIndex],22)+SUMIFS(T_TTAFStock[TTAF_Qty],T_TTAFStock[RM_Code],$A91,T_TTAFStock[WeekIndex],22),V91+'Grid_Incoming'!W91-'Grid_Requirement'!W91))</f>
        <v/>
      </c>
      <c r="X91">
        <f>IF(COUNTIFS(T_StockCount[RM_Code],$A91,T_StockCount[WeekIndex],23)&gt;0,SUMIFS(T_StockCount[CountedQty],T_StockCount[RM_Code],$A91,T_StockCount[WeekIndex],23),IF((COUNTIFS(T_SelfStock[RM_Code],$A91,T_SelfStock[WeekIndex],23)&gt;0)*(COUNTIFS(T_TTAFStock[RM_Code],$A91,T_TTAFStock[WeekIndex],23)&gt;0)&gt;0,SUMIFS(T_SelfStock[Self_Qty],T_SelfStock[RM_Code],$A91,T_SelfStock[WeekIndex],23)+SUMIFS(T_TTAFStock[TTAF_Qty],T_TTAFStock[RM_Code],$A91,T_TTAFStock[WeekIndex],23),W91+'Grid_Incoming'!X91-'Grid_Requirement'!X91))</f>
        <v/>
      </c>
      <c r="Y91">
        <f>IF(COUNTIFS(T_StockCount[RM_Code],$A91,T_StockCount[WeekIndex],24)&gt;0,SUMIFS(T_StockCount[CountedQty],T_StockCount[RM_Code],$A91,T_StockCount[WeekIndex],24),IF((COUNTIFS(T_SelfStock[RM_Code],$A91,T_SelfStock[WeekIndex],24)&gt;0)*(COUNTIFS(T_TTAFStock[RM_Code],$A91,T_TTAFStock[WeekIndex],24)&gt;0)&gt;0,SUMIFS(T_SelfStock[Self_Qty],T_SelfStock[RM_Code],$A91,T_SelfStock[WeekIndex],24)+SUMIFS(T_TTAFStock[TTAF_Qty],T_TTAFStock[RM_Code],$A91,T_TTAFStock[WeekIndex],24),X91+'Grid_Incoming'!Y91-'Grid_Requirement'!Y91))</f>
        <v/>
      </c>
      <c r="Z91">
        <f>IF(COUNTIFS(T_StockCount[RM_Code],$A91,T_StockCount[WeekIndex],25)&gt;0,SUMIFS(T_StockCount[CountedQty],T_StockCount[RM_Code],$A91,T_StockCount[WeekIndex],25),IF((COUNTIFS(T_SelfStock[RM_Code],$A91,T_SelfStock[WeekIndex],25)&gt;0)*(COUNTIFS(T_TTAFStock[RM_Code],$A91,T_TTAFStock[WeekIndex],25)&gt;0)&gt;0,SUMIFS(T_SelfStock[Self_Qty],T_SelfStock[RM_Code],$A91,T_SelfStock[WeekIndex],25)+SUMIFS(T_TTAFStock[TTAF_Qty],T_TTAFStock[RM_Code],$A91,T_TTAFStock[WeekIndex],25),Y91+'Grid_Incoming'!Z91-'Grid_Requirement'!Z91))</f>
        <v/>
      </c>
      <c r="AA91">
        <f>IF(COUNTIFS(T_StockCount[RM_Code],$A91,T_StockCount[WeekIndex],26)&gt;0,SUMIFS(T_StockCount[CountedQty],T_StockCount[RM_Code],$A91,T_StockCount[WeekIndex],26),IF((COUNTIFS(T_SelfStock[RM_Code],$A91,T_SelfStock[WeekIndex],26)&gt;0)*(COUNTIFS(T_TTAFStock[RM_Code],$A91,T_TTAFStock[WeekIndex],26)&gt;0)&gt;0,SUMIFS(T_SelfStock[Self_Qty],T_SelfStock[RM_Code],$A91,T_SelfStock[WeekIndex],26)+SUMIFS(T_TTAFStock[TTAF_Qty],T_TTAFStock[RM_Code],$A91,T_TTAFStock[WeekIndex],26),Z91+'Grid_Incoming'!AA91-'Grid_Requirement'!AA91))</f>
        <v/>
      </c>
      <c r="AB91">
        <f>IF(COUNTIFS(T_StockCount[RM_Code],$A91,T_StockCount[WeekIndex],27)&gt;0,SUMIFS(T_StockCount[CountedQty],T_StockCount[RM_Code],$A91,T_StockCount[WeekIndex],27),IF((COUNTIFS(T_SelfStock[RM_Code],$A91,T_SelfStock[WeekIndex],27)&gt;0)*(COUNTIFS(T_TTAFStock[RM_Code],$A91,T_TTAFStock[WeekIndex],27)&gt;0)&gt;0,SUMIFS(T_SelfStock[Self_Qty],T_SelfStock[RM_Code],$A91,T_SelfStock[WeekIndex],27)+SUMIFS(T_TTAFStock[TTAF_Qty],T_TTAFStock[RM_Code],$A91,T_TTAFStock[WeekIndex],27),AA91+'Grid_Incoming'!AB91-'Grid_Requirement'!AB91))</f>
        <v/>
      </c>
      <c r="AC91">
        <f>IF(COUNTIFS(T_StockCount[RM_Code],$A91,T_StockCount[WeekIndex],28)&gt;0,SUMIFS(T_StockCount[CountedQty],T_StockCount[RM_Code],$A91,T_StockCount[WeekIndex],28),IF((COUNTIFS(T_SelfStock[RM_Code],$A91,T_SelfStock[WeekIndex],28)&gt;0)*(COUNTIFS(T_TTAFStock[RM_Code],$A91,T_TTAFStock[WeekIndex],28)&gt;0)&gt;0,SUMIFS(T_SelfStock[Self_Qty],T_SelfStock[RM_Code],$A91,T_SelfStock[WeekIndex],28)+SUMIFS(T_TTAFStock[TTAF_Qty],T_TTAFStock[RM_Code],$A91,T_TTAFStock[WeekIndex],28),AB91+'Grid_Incoming'!AC91-'Grid_Requirement'!AC91))</f>
        <v/>
      </c>
      <c r="AD91">
        <f>IF(COUNTIFS(T_StockCount[RM_Code],$A91,T_StockCount[WeekIndex],29)&gt;0,SUMIFS(T_StockCount[CountedQty],T_StockCount[RM_Code],$A91,T_StockCount[WeekIndex],29),IF((COUNTIFS(T_SelfStock[RM_Code],$A91,T_SelfStock[WeekIndex],29)&gt;0)*(COUNTIFS(T_TTAFStock[RM_Code],$A91,T_TTAFStock[WeekIndex],29)&gt;0)&gt;0,SUMIFS(T_SelfStock[Self_Qty],T_SelfStock[RM_Code],$A91,T_SelfStock[WeekIndex],29)+SUMIFS(T_TTAFStock[TTAF_Qty],T_TTAFStock[RM_Code],$A91,T_TTAFStock[WeekIndex],29),AC91+'Grid_Incoming'!AD91-'Grid_Requirement'!AD91))</f>
        <v/>
      </c>
      <c r="AE91">
        <f>IF(COUNTIFS(T_StockCount[RM_Code],$A91,T_StockCount[WeekIndex],30)&gt;0,SUMIFS(T_StockCount[CountedQty],T_StockCount[RM_Code],$A91,T_StockCount[WeekIndex],30),IF((COUNTIFS(T_SelfStock[RM_Code],$A91,T_SelfStock[WeekIndex],30)&gt;0)*(COUNTIFS(T_TTAFStock[RM_Code],$A91,T_TTAFStock[WeekIndex],30)&gt;0)&gt;0,SUMIFS(T_SelfStock[Self_Qty],T_SelfStock[RM_Code],$A91,T_SelfStock[WeekIndex],30)+SUMIFS(T_TTAFStock[TTAF_Qty],T_TTAFStock[RM_Code],$A91,T_TTAFStock[WeekIndex],30),AD91+'Grid_Incoming'!AE91-'Grid_Requirement'!AE91))</f>
        <v/>
      </c>
      <c r="AF91">
        <f>IF(COUNTIFS(T_StockCount[RM_Code],$A91,T_StockCount[WeekIndex],31)&gt;0,SUMIFS(T_StockCount[CountedQty],T_StockCount[RM_Code],$A91,T_StockCount[WeekIndex],31),IF((COUNTIFS(T_SelfStock[RM_Code],$A91,T_SelfStock[WeekIndex],31)&gt;0)*(COUNTIFS(T_TTAFStock[RM_Code],$A91,T_TTAFStock[WeekIndex],31)&gt;0)&gt;0,SUMIFS(T_SelfStock[Self_Qty],T_SelfStock[RM_Code],$A91,T_SelfStock[WeekIndex],31)+SUMIFS(T_TTAFStock[TTAF_Qty],T_TTAFStock[RM_Code],$A91,T_TTAFStock[WeekIndex],31),AE91+'Grid_Incoming'!AF91-'Grid_Requirement'!AF91))</f>
        <v/>
      </c>
      <c r="AG91">
        <f>IF(COUNTIFS(T_StockCount[RM_Code],$A91,T_StockCount[WeekIndex],32)&gt;0,SUMIFS(T_StockCount[CountedQty],T_StockCount[RM_Code],$A91,T_StockCount[WeekIndex],32),IF((COUNTIFS(T_SelfStock[RM_Code],$A91,T_SelfStock[WeekIndex],32)&gt;0)*(COUNTIFS(T_TTAFStock[RM_Code],$A91,T_TTAFStock[WeekIndex],32)&gt;0)&gt;0,SUMIFS(T_SelfStock[Self_Qty],T_SelfStock[RM_Code],$A91,T_SelfStock[WeekIndex],32)+SUMIFS(T_TTAFStock[TTAF_Qty],T_TTAFStock[RM_Code],$A91,T_TTAFStock[WeekIndex],32),AF91+'Grid_Incoming'!AG91-'Grid_Requirement'!AG91))</f>
        <v/>
      </c>
      <c r="AH91">
        <f>IF(COUNTIFS(T_StockCount[RM_Code],$A91,T_StockCount[WeekIndex],33)&gt;0,SUMIFS(T_StockCount[CountedQty],T_StockCount[RM_Code],$A91,T_StockCount[WeekIndex],33),IF((COUNTIFS(T_SelfStock[RM_Code],$A91,T_SelfStock[WeekIndex],33)&gt;0)*(COUNTIFS(T_TTAFStock[RM_Code],$A91,T_TTAFStock[WeekIndex],33)&gt;0)&gt;0,SUMIFS(T_SelfStock[Self_Qty],T_SelfStock[RM_Code],$A91,T_SelfStock[WeekIndex],33)+SUMIFS(T_TTAFStock[TTAF_Qty],T_TTAFStock[RM_Code],$A91,T_TTAFStock[WeekIndex],33),AG91+'Grid_Incoming'!AH91-'Grid_Requirement'!AH91))</f>
        <v/>
      </c>
      <c r="AI91">
        <f>IF(COUNTIFS(T_StockCount[RM_Code],$A91,T_StockCount[WeekIndex],34)&gt;0,SUMIFS(T_StockCount[CountedQty],T_StockCount[RM_Code],$A91,T_StockCount[WeekIndex],34),IF((COUNTIFS(T_SelfStock[RM_Code],$A91,T_SelfStock[WeekIndex],34)&gt;0)*(COUNTIFS(T_TTAFStock[RM_Code],$A91,T_TTAFStock[WeekIndex],34)&gt;0)&gt;0,SUMIFS(T_SelfStock[Self_Qty],T_SelfStock[RM_Code],$A91,T_SelfStock[WeekIndex],34)+SUMIFS(T_TTAFStock[TTAF_Qty],T_TTAFStock[RM_Code],$A91,T_TTAFStock[WeekIndex],34),AH91+'Grid_Incoming'!AI91-'Grid_Requirement'!AI91))</f>
        <v/>
      </c>
      <c r="AJ91">
        <f>IF(COUNTIFS(T_StockCount[RM_Code],$A91,T_StockCount[WeekIndex],35)&gt;0,SUMIFS(T_StockCount[CountedQty],T_StockCount[RM_Code],$A91,T_StockCount[WeekIndex],35),IF((COUNTIFS(T_SelfStock[RM_Code],$A91,T_SelfStock[WeekIndex],35)&gt;0)*(COUNTIFS(T_TTAFStock[RM_Code],$A91,T_TTAFStock[WeekIndex],35)&gt;0)&gt;0,SUMIFS(T_SelfStock[Self_Qty],T_SelfStock[RM_Code],$A91,T_SelfStock[WeekIndex],35)+SUMIFS(T_TTAFStock[TTAF_Qty],T_TTAFStock[RM_Code],$A91,T_TTAFStock[WeekIndex],35),AI91+'Grid_Incoming'!AJ91-'Grid_Requirement'!AJ91))</f>
        <v/>
      </c>
      <c r="AK91">
        <f>IF(COUNTIFS(T_StockCount[RM_Code],$A91,T_StockCount[WeekIndex],36)&gt;0,SUMIFS(T_StockCount[CountedQty],T_StockCount[RM_Code],$A91,T_StockCount[WeekIndex],36),IF((COUNTIFS(T_SelfStock[RM_Code],$A91,T_SelfStock[WeekIndex],36)&gt;0)*(COUNTIFS(T_TTAFStock[RM_Code],$A91,T_TTAFStock[WeekIndex],36)&gt;0)&gt;0,SUMIFS(T_SelfStock[Self_Qty],T_SelfStock[RM_Code],$A91,T_SelfStock[WeekIndex],36)+SUMIFS(T_TTAFStock[TTAF_Qty],T_TTAFStock[RM_Code],$A91,T_TTAFStock[WeekIndex],36),AJ91+'Grid_Incoming'!AK91-'Grid_Requirement'!AK91))</f>
        <v/>
      </c>
      <c r="AL91">
        <f>IF(COUNTIFS(T_StockCount[RM_Code],$A91,T_StockCount[WeekIndex],37)&gt;0,SUMIFS(T_StockCount[CountedQty],T_StockCount[RM_Code],$A91,T_StockCount[WeekIndex],37),IF((COUNTIFS(T_SelfStock[RM_Code],$A91,T_SelfStock[WeekIndex],37)&gt;0)*(COUNTIFS(T_TTAFStock[RM_Code],$A91,T_TTAFStock[WeekIndex],37)&gt;0)&gt;0,SUMIFS(T_SelfStock[Self_Qty],T_SelfStock[RM_Code],$A91,T_SelfStock[WeekIndex],37)+SUMIFS(T_TTAFStock[TTAF_Qty],T_TTAFStock[RM_Code],$A91,T_TTAFStock[WeekIndex],37),AK91+'Grid_Incoming'!AL91-'Grid_Requirement'!AL91))</f>
        <v/>
      </c>
      <c r="AM91">
        <f>IF(COUNTIFS(T_StockCount[RM_Code],$A91,T_StockCount[WeekIndex],38)&gt;0,SUMIFS(T_StockCount[CountedQty],T_StockCount[RM_Code],$A91,T_StockCount[WeekIndex],38),IF((COUNTIFS(T_SelfStock[RM_Code],$A91,T_SelfStock[WeekIndex],38)&gt;0)*(COUNTIFS(T_TTAFStock[RM_Code],$A91,T_TTAFStock[WeekIndex],38)&gt;0)&gt;0,SUMIFS(T_SelfStock[Self_Qty],T_SelfStock[RM_Code],$A91,T_SelfStock[WeekIndex],38)+SUMIFS(T_TTAFStock[TTAF_Qty],T_TTAFStock[RM_Code],$A91,T_TTAFStock[WeekIndex],38),AL91+'Grid_Incoming'!AM91-'Grid_Requirement'!AM91))</f>
        <v/>
      </c>
      <c r="AN91">
        <f>IF(COUNTIFS(T_StockCount[RM_Code],$A91,T_StockCount[WeekIndex],39)&gt;0,SUMIFS(T_StockCount[CountedQty],T_StockCount[RM_Code],$A91,T_StockCount[WeekIndex],39),IF((COUNTIFS(T_SelfStock[RM_Code],$A91,T_SelfStock[WeekIndex],39)&gt;0)*(COUNTIFS(T_TTAFStock[RM_Code],$A91,T_TTAFStock[WeekIndex],39)&gt;0)&gt;0,SUMIFS(T_SelfStock[Self_Qty],T_SelfStock[RM_Code],$A91,T_SelfStock[WeekIndex],39)+SUMIFS(T_TTAFStock[TTAF_Qty],T_TTAFStock[RM_Code],$A91,T_TTAFStock[WeekIndex],39),AM91+'Grid_Incoming'!AN91-'Grid_Requirement'!AN91))</f>
        <v/>
      </c>
      <c r="AO91">
        <f>IF(COUNTIFS(T_StockCount[RM_Code],$A91,T_StockCount[WeekIndex],40)&gt;0,SUMIFS(T_StockCount[CountedQty],T_StockCount[RM_Code],$A91,T_StockCount[WeekIndex],40),IF((COUNTIFS(T_SelfStock[RM_Code],$A91,T_SelfStock[WeekIndex],40)&gt;0)*(COUNTIFS(T_TTAFStock[RM_Code],$A91,T_TTAFStock[WeekIndex],40)&gt;0)&gt;0,SUMIFS(T_SelfStock[Self_Qty],T_SelfStock[RM_Code],$A91,T_SelfStock[WeekIndex],40)+SUMIFS(T_TTAFStock[TTAF_Qty],T_TTAFStock[RM_Code],$A91,T_TTAFStock[WeekIndex],40),AN91+'Grid_Incoming'!AO91-'Grid_Requirement'!AO91))</f>
        <v/>
      </c>
      <c r="AP91">
        <f>IF(COUNTIFS(T_StockCount[RM_Code],$A91,T_StockCount[WeekIndex],41)&gt;0,SUMIFS(T_StockCount[CountedQty],T_StockCount[RM_Code],$A91,T_StockCount[WeekIndex],41),IF((COUNTIFS(T_SelfStock[RM_Code],$A91,T_SelfStock[WeekIndex],41)&gt;0)*(COUNTIFS(T_TTAFStock[RM_Code],$A91,T_TTAFStock[WeekIndex],41)&gt;0)&gt;0,SUMIFS(T_SelfStock[Self_Qty],T_SelfStock[RM_Code],$A91,T_SelfStock[WeekIndex],41)+SUMIFS(T_TTAFStock[TTAF_Qty],T_TTAFStock[RM_Code],$A91,T_TTAFStock[WeekIndex],41),AO91+'Grid_Incoming'!AP91-'Grid_Requirement'!AP91))</f>
        <v/>
      </c>
      <c r="AQ91">
        <f>IF(COUNTIFS(T_StockCount[RM_Code],$A91,T_StockCount[WeekIndex],42)&gt;0,SUMIFS(T_StockCount[CountedQty],T_StockCount[RM_Code],$A91,T_StockCount[WeekIndex],42),IF((COUNTIFS(T_SelfStock[RM_Code],$A91,T_SelfStock[WeekIndex],42)&gt;0)*(COUNTIFS(T_TTAFStock[RM_Code],$A91,T_TTAFStock[WeekIndex],42)&gt;0)&gt;0,SUMIFS(T_SelfStock[Self_Qty],T_SelfStock[RM_Code],$A91,T_SelfStock[WeekIndex],42)+SUMIFS(T_TTAFStock[TTAF_Qty],T_TTAFStock[RM_Code],$A91,T_TTAFStock[WeekIndex],42),AP91+'Grid_Incoming'!AQ91-'Grid_Requirement'!AQ91))</f>
        <v/>
      </c>
      <c r="AR91">
        <f>IF(COUNTIFS(T_StockCount[RM_Code],$A91,T_StockCount[WeekIndex],43)&gt;0,SUMIFS(T_StockCount[CountedQty],T_StockCount[RM_Code],$A91,T_StockCount[WeekIndex],43),IF((COUNTIFS(T_SelfStock[RM_Code],$A91,T_SelfStock[WeekIndex],43)&gt;0)*(COUNTIFS(T_TTAFStock[RM_Code],$A91,T_TTAFStock[WeekIndex],43)&gt;0)&gt;0,SUMIFS(T_SelfStock[Self_Qty],T_SelfStock[RM_Code],$A91,T_SelfStock[WeekIndex],43)+SUMIFS(T_TTAFStock[TTAF_Qty],T_TTAFStock[RM_Code],$A91,T_TTAFStock[WeekIndex],43),AQ91+'Grid_Incoming'!AR91-'Grid_Requirement'!AR91))</f>
        <v/>
      </c>
      <c r="AS91">
        <f>IF(COUNTIFS(T_StockCount[RM_Code],$A91,T_StockCount[WeekIndex],44)&gt;0,SUMIFS(T_StockCount[CountedQty],T_StockCount[RM_Code],$A91,T_StockCount[WeekIndex],44),IF((COUNTIFS(T_SelfStock[RM_Code],$A91,T_SelfStock[WeekIndex],44)&gt;0)*(COUNTIFS(T_TTAFStock[RM_Code],$A91,T_TTAFStock[WeekIndex],44)&gt;0)&gt;0,SUMIFS(T_SelfStock[Self_Qty],T_SelfStock[RM_Code],$A91,T_SelfStock[WeekIndex],44)+SUMIFS(T_TTAFStock[TTAF_Qty],T_TTAFStock[RM_Code],$A91,T_TTAFStock[WeekIndex],44),AR91+'Grid_Incoming'!AS91-'Grid_Requirement'!AS91))</f>
        <v/>
      </c>
      <c r="AT91">
        <f>IF(COUNTIFS(T_StockCount[RM_Code],$A91,T_StockCount[WeekIndex],45)&gt;0,SUMIFS(T_StockCount[CountedQty],T_StockCount[RM_Code],$A91,T_StockCount[WeekIndex],45),IF((COUNTIFS(T_SelfStock[RM_Code],$A91,T_SelfStock[WeekIndex],45)&gt;0)*(COUNTIFS(T_TTAFStock[RM_Code],$A91,T_TTAFStock[WeekIndex],45)&gt;0)&gt;0,SUMIFS(T_SelfStock[Self_Qty],T_SelfStock[RM_Code],$A91,T_SelfStock[WeekIndex],45)+SUMIFS(T_TTAFStock[TTAF_Qty],T_TTAFStock[RM_Code],$A91,T_TTAFStock[WeekIndex],45),AS91+'Grid_Incoming'!AT91-'Grid_Requirement'!AT91))</f>
        <v/>
      </c>
      <c r="AU91">
        <f>IF(COUNTIFS(T_StockCount[RM_Code],$A91,T_StockCount[WeekIndex],46)&gt;0,SUMIFS(T_StockCount[CountedQty],T_StockCount[RM_Code],$A91,T_StockCount[WeekIndex],46),IF((COUNTIFS(T_SelfStock[RM_Code],$A91,T_SelfStock[WeekIndex],46)&gt;0)*(COUNTIFS(T_TTAFStock[RM_Code],$A91,T_TTAFStock[WeekIndex],46)&gt;0)&gt;0,SUMIFS(T_SelfStock[Self_Qty],T_SelfStock[RM_Code],$A91,T_SelfStock[WeekIndex],46)+SUMIFS(T_TTAFStock[TTAF_Qty],T_TTAFStock[RM_Code],$A91,T_TTAFStock[WeekIndex],46),AT91+'Grid_Incoming'!AU91-'Grid_Requirement'!AU91))</f>
        <v/>
      </c>
      <c r="AV91">
        <f>IF(COUNTIFS(T_StockCount[RM_Code],$A91,T_StockCount[WeekIndex],47)&gt;0,SUMIFS(T_StockCount[CountedQty],T_StockCount[RM_Code],$A91,T_StockCount[WeekIndex],47),IF((COUNTIFS(T_SelfStock[RM_Code],$A91,T_SelfStock[WeekIndex],47)&gt;0)*(COUNTIFS(T_TTAFStock[RM_Code],$A91,T_TTAFStock[WeekIndex],47)&gt;0)&gt;0,SUMIFS(T_SelfStock[Self_Qty],T_SelfStock[RM_Code],$A91,T_SelfStock[WeekIndex],47)+SUMIFS(T_TTAFStock[TTAF_Qty],T_TTAFStock[RM_Code],$A91,T_TTAFStock[WeekIndex],47),AU91+'Grid_Incoming'!AV91-'Grid_Requirement'!AV91))</f>
        <v/>
      </c>
      <c r="AW91">
        <f>IF(COUNTIFS(T_StockCount[RM_Code],$A91,T_StockCount[WeekIndex],48)&gt;0,SUMIFS(T_StockCount[CountedQty],T_StockCount[RM_Code],$A91,T_StockCount[WeekIndex],48),IF((COUNTIFS(T_SelfStock[RM_Code],$A91,T_SelfStock[WeekIndex],48)&gt;0)*(COUNTIFS(T_TTAFStock[RM_Code],$A91,T_TTAFStock[WeekIndex],48)&gt;0)&gt;0,SUMIFS(T_SelfStock[Self_Qty],T_SelfStock[RM_Code],$A91,T_SelfStock[WeekIndex],48)+SUMIFS(T_TTAFStock[TTAF_Qty],T_TTAFStock[RM_Code],$A91,T_TTAFStock[WeekIndex],48),AV91+'Grid_Incoming'!AW91-'Grid_Requirement'!AW91))</f>
        <v/>
      </c>
      <c r="AX91">
        <f>IF(COUNTIFS(T_StockCount[RM_Code],$A91,T_StockCount[WeekIndex],49)&gt;0,SUMIFS(T_StockCount[CountedQty],T_StockCount[RM_Code],$A91,T_StockCount[WeekIndex],49),IF((COUNTIFS(T_SelfStock[RM_Code],$A91,T_SelfStock[WeekIndex],49)&gt;0)*(COUNTIFS(T_TTAFStock[RM_Code],$A91,T_TTAFStock[WeekIndex],49)&gt;0)&gt;0,SUMIFS(T_SelfStock[Self_Qty],T_SelfStock[RM_Code],$A91,T_SelfStock[WeekIndex],49)+SUMIFS(T_TTAFStock[TTAF_Qty],T_TTAFStock[RM_Code],$A91,T_TTAFStock[WeekIndex],49),AW91+'Grid_Incoming'!AX91-'Grid_Requirement'!AX91))</f>
        <v/>
      </c>
      <c r="AY91">
        <f>IF(COUNTIFS(T_StockCount[RM_Code],$A91,T_StockCount[WeekIndex],50)&gt;0,SUMIFS(T_StockCount[CountedQty],T_StockCount[RM_Code],$A91,T_StockCount[WeekIndex],50),IF((COUNTIFS(T_SelfStock[RM_Code],$A91,T_SelfStock[WeekIndex],50)&gt;0)*(COUNTIFS(T_TTAFStock[RM_Code],$A91,T_TTAFStock[WeekIndex],50)&gt;0)&gt;0,SUMIFS(T_SelfStock[Self_Qty],T_SelfStock[RM_Code],$A91,T_SelfStock[WeekIndex],50)+SUMIFS(T_TTAFStock[TTAF_Qty],T_TTAFStock[RM_Code],$A91,T_TTAFStock[WeekIndex],50),AX91+'Grid_Incoming'!AY91-'Grid_Requirement'!AY91))</f>
        <v/>
      </c>
      <c r="AZ91">
        <f>IF(COUNTIFS(T_StockCount[RM_Code],$A91,T_StockCount[WeekIndex],51)&gt;0,SUMIFS(T_StockCount[CountedQty],T_StockCount[RM_Code],$A91,T_StockCount[WeekIndex],51),IF((COUNTIFS(T_SelfStock[RM_Code],$A91,T_SelfStock[WeekIndex],51)&gt;0)*(COUNTIFS(T_TTAFStock[RM_Code],$A91,T_TTAFStock[WeekIndex],51)&gt;0)&gt;0,SUMIFS(T_SelfStock[Self_Qty],T_SelfStock[RM_Code],$A91,T_SelfStock[WeekIndex],51)+SUMIFS(T_TTAFStock[TTAF_Qty],T_TTAFStock[RM_Code],$A91,T_TTAFStock[WeekIndex],51),AY91+'Grid_Incoming'!AZ91-'Grid_Requirement'!AZ91))</f>
        <v/>
      </c>
      <c r="BA91">
        <f>IF(COUNTIFS(T_StockCount[RM_Code],$A91,T_StockCount[WeekIndex],52)&gt;0,SUMIFS(T_StockCount[CountedQty],T_StockCount[RM_Code],$A91,T_StockCount[WeekIndex],52),IF((COUNTIFS(T_SelfStock[RM_Code],$A91,T_SelfStock[WeekIndex],52)&gt;0)*(COUNTIFS(T_TTAFStock[RM_Code],$A91,T_TTAFStock[WeekIndex],52)&gt;0)&gt;0,SUMIFS(T_SelfStock[Self_Qty],T_SelfStock[RM_Code],$A91,T_SelfStock[WeekIndex],52)+SUMIFS(T_TTAFStock[TTAF_Qty],T_TTAFStock[RM_Code],$A91,T_TTAFStock[WeekIndex],52),AZ91+'Grid_Incoming'!BA91-'Grid_Requirement'!BA91))</f>
        <v/>
      </c>
      <c r="BB91">
        <f>IF(COUNTIFS(T_StockCount[RM_Code],$A91,T_StockCount[WeekIndex],53)&gt;0,SUMIFS(T_StockCount[CountedQty],T_StockCount[RM_Code],$A91,T_StockCount[WeekIndex],53),IF((COUNTIFS(T_SelfStock[RM_Code],$A91,T_SelfStock[WeekIndex],53)&gt;0)*(COUNTIFS(T_TTAFStock[RM_Code],$A91,T_TTAFStock[WeekIndex],53)&gt;0)&gt;0,SUMIFS(T_SelfStock[Self_Qty],T_SelfStock[RM_Code],$A91,T_SelfStock[WeekIndex],53)+SUMIFS(T_TTAFStock[TTAF_Qty],T_TTAFStock[RM_Code],$A91,T_TTAFStock[WeekIndex],53),BA91+'Grid_Incoming'!BB91-'Grid_Requirement'!BB91))</f>
        <v/>
      </c>
      <c r="BC91">
        <f>IF(COUNTIFS(T_StockCount[RM_Code],$A91,T_StockCount[WeekIndex],54)&gt;0,SUMIFS(T_StockCount[CountedQty],T_StockCount[RM_Code],$A91,T_StockCount[WeekIndex],54),IF((COUNTIFS(T_SelfStock[RM_Code],$A91,T_SelfStock[WeekIndex],54)&gt;0)*(COUNTIFS(T_TTAFStock[RM_Code],$A91,T_TTAFStock[WeekIndex],54)&gt;0)&gt;0,SUMIFS(T_SelfStock[Self_Qty],T_SelfStock[RM_Code],$A91,T_SelfStock[WeekIndex],54)+SUMIFS(T_TTAFStock[TTAF_Qty],T_TTAFStock[RM_Code],$A91,T_TTAFStock[WeekIndex],54),BB91+'Grid_Incoming'!BC91-'Grid_Requirement'!BC91))</f>
        <v/>
      </c>
      <c r="BD91">
        <f>IF(COUNTIFS(T_StockCount[RM_Code],$A91,T_StockCount[WeekIndex],55)&gt;0,SUMIFS(T_StockCount[CountedQty],T_StockCount[RM_Code],$A91,T_StockCount[WeekIndex],55),IF((COUNTIFS(T_SelfStock[RM_Code],$A91,T_SelfStock[WeekIndex],55)&gt;0)*(COUNTIFS(T_TTAFStock[RM_Code],$A91,T_TTAFStock[WeekIndex],55)&gt;0)&gt;0,SUMIFS(T_SelfStock[Self_Qty],T_SelfStock[RM_Code],$A91,T_SelfStock[WeekIndex],55)+SUMIFS(T_TTAFStock[TTAF_Qty],T_TTAFStock[RM_Code],$A91,T_TTAFStock[WeekIndex],55),BC91+'Grid_Incoming'!BD91-'Grid_Requirement'!BD91))</f>
        <v/>
      </c>
      <c r="BE91">
        <f>IF(COUNTIFS(T_StockCount[RM_Code],$A91,T_StockCount[WeekIndex],56)&gt;0,SUMIFS(T_StockCount[CountedQty],T_StockCount[RM_Code],$A91,T_StockCount[WeekIndex],56),IF((COUNTIFS(T_SelfStock[RM_Code],$A91,T_SelfStock[WeekIndex],56)&gt;0)*(COUNTIFS(T_TTAFStock[RM_Code],$A91,T_TTAFStock[WeekIndex],56)&gt;0)&gt;0,SUMIFS(T_SelfStock[Self_Qty],T_SelfStock[RM_Code],$A91,T_SelfStock[WeekIndex],56)+SUMIFS(T_TTAFStock[TTAF_Qty],T_TTAFStock[RM_Code],$A91,T_TTAFStock[WeekIndex],56),BD91+'Grid_Incoming'!BE91-'Grid_Requirement'!BE91))</f>
        <v/>
      </c>
      <c r="BF91">
        <f>IF(COUNTIFS(T_StockCount[RM_Code],$A91,T_StockCount[WeekIndex],57)&gt;0,SUMIFS(T_StockCount[CountedQty],T_StockCount[RM_Code],$A91,T_StockCount[WeekIndex],57),IF((COUNTIFS(T_SelfStock[RM_Code],$A91,T_SelfStock[WeekIndex],57)&gt;0)*(COUNTIFS(T_TTAFStock[RM_Code],$A91,T_TTAFStock[WeekIndex],57)&gt;0)&gt;0,SUMIFS(T_SelfStock[Self_Qty],T_SelfStock[RM_Code],$A91,T_SelfStock[WeekIndex],57)+SUMIFS(T_TTAFStock[TTAF_Qty],T_TTAFStock[RM_Code],$A91,T_TTAFStock[WeekIndex],57),BE91+'Grid_Incoming'!BF91-'Grid_Requirement'!BF91))</f>
        <v/>
      </c>
      <c r="BG91">
        <f>IF(COUNTIFS(T_StockCount[RM_Code],$A91,T_StockCount[WeekIndex],58)&gt;0,SUMIFS(T_StockCount[CountedQty],T_StockCount[RM_Code],$A91,T_StockCount[WeekIndex],58),IF((COUNTIFS(T_SelfStock[RM_Code],$A91,T_SelfStock[WeekIndex],58)&gt;0)*(COUNTIFS(T_TTAFStock[RM_Code],$A91,T_TTAFStock[WeekIndex],58)&gt;0)&gt;0,SUMIFS(T_SelfStock[Self_Qty],T_SelfStock[RM_Code],$A91,T_SelfStock[WeekIndex],58)+SUMIFS(T_TTAFStock[TTAF_Qty],T_TTAFStock[RM_Code],$A91,T_TTAFStock[WeekIndex],58),BF91+'Grid_Incoming'!BG91-'Grid_Requirement'!BG91))</f>
        <v/>
      </c>
      <c r="BH91">
        <f>IF(COUNTIFS(T_StockCount[RM_Code],$A91,T_StockCount[WeekIndex],59)&gt;0,SUMIFS(T_StockCount[CountedQty],T_StockCount[RM_Code],$A91,T_StockCount[WeekIndex],59),IF((COUNTIFS(T_SelfStock[RM_Code],$A91,T_SelfStock[WeekIndex],59)&gt;0)*(COUNTIFS(T_TTAFStock[RM_Code],$A91,T_TTAFStock[WeekIndex],59)&gt;0)&gt;0,SUMIFS(T_SelfStock[Self_Qty],T_SelfStock[RM_Code],$A91,T_SelfStock[WeekIndex],59)+SUMIFS(T_TTAFStock[TTAF_Qty],T_TTAFStock[RM_Code],$A91,T_TTAFStock[WeekIndex],59),BG91+'Grid_Incoming'!BH91-'Grid_Requirement'!BH91))</f>
        <v/>
      </c>
      <c r="BI91">
        <f>IF(COUNTIFS(T_StockCount[RM_Code],$A91,T_StockCount[WeekIndex],60)&gt;0,SUMIFS(T_StockCount[CountedQty],T_StockCount[RM_Code],$A91,T_StockCount[WeekIndex],60),IF((COUNTIFS(T_SelfStock[RM_Code],$A91,T_SelfStock[WeekIndex],60)&gt;0)*(COUNTIFS(T_TTAFStock[RM_Code],$A91,T_TTAFStock[WeekIndex],60)&gt;0)&gt;0,SUMIFS(T_SelfStock[Self_Qty],T_SelfStock[RM_Code],$A91,T_SelfStock[WeekIndex],60)+SUMIFS(T_TTAFStock[TTAF_Qty],T_TTAFStock[RM_Code],$A91,T_TTAFStock[WeekIndex],60),BH91+'Grid_Incoming'!BI91-'Grid_Requirement'!BI91))</f>
        <v/>
      </c>
      <c r="BJ91">
        <f>IF(COUNTIFS(T_StockCount[RM_Code],$A91,T_StockCount[WeekIndex],61)&gt;0,SUMIFS(T_StockCount[CountedQty],T_StockCount[RM_Code],$A91,T_StockCount[WeekIndex],61),IF((COUNTIFS(T_SelfStock[RM_Code],$A91,T_SelfStock[WeekIndex],61)&gt;0)*(COUNTIFS(T_TTAFStock[RM_Code],$A91,T_TTAFStock[WeekIndex],61)&gt;0)&gt;0,SUMIFS(T_SelfStock[Self_Qty],T_SelfStock[RM_Code],$A91,T_SelfStock[WeekIndex],61)+SUMIFS(T_TTAFStock[TTAF_Qty],T_TTAFStock[RM_Code],$A91,T_TTAFStock[WeekIndex],61),BI91+'Grid_Incoming'!BJ91-'Grid_Requirement'!BJ91))</f>
        <v/>
      </c>
      <c r="BK91">
        <f>IF(COUNTIFS(T_StockCount[RM_Code],$A91,T_StockCount[WeekIndex],62)&gt;0,SUMIFS(T_StockCount[CountedQty],T_StockCount[RM_Code],$A91,T_StockCount[WeekIndex],62),IF((COUNTIFS(T_SelfStock[RM_Code],$A91,T_SelfStock[WeekIndex],62)&gt;0)*(COUNTIFS(T_TTAFStock[RM_Code],$A91,T_TTAFStock[WeekIndex],62)&gt;0)&gt;0,SUMIFS(T_SelfStock[Self_Qty],T_SelfStock[RM_Code],$A91,T_SelfStock[WeekIndex],62)+SUMIFS(T_TTAFStock[TTAF_Qty],T_TTAFStock[RM_Code],$A91,T_TTAFStock[WeekIndex],62),BJ91+'Grid_Incoming'!BK91-'Grid_Requirement'!BK91))</f>
        <v/>
      </c>
      <c r="BL91">
        <f>IF(COUNTIFS(T_StockCount[RM_Code],$A91,T_StockCount[WeekIndex],63)&gt;0,SUMIFS(T_StockCount[CountedQty],T_StockCount[RM_Code],$A91,T_StockCount[WeekIndex],63),IF((COUNTIFS(T_SelfStock[RM_Code],$A91,T_SelfStock[WeekIndex],63)&gt;0)*(COUNTIFS(T_TTAFStock[RM_Code],$A91,T_TTAFStock[WeekIndex],63)&gt;0)&gt;0,SUMIFS(T_SelfStock[Self_Qty],T_SelfStock[RM_Code],$A91,T_SelfStock[WeekIndex],63)+SUMIFS(T_TTAFStock[TTAF_Qty],T_TTAFStock[RM_Code],$A91,T_TTAFStock[WeekIndex],63),BK91+'Grid_Incoming'!BL91-'Grid_Requirement'!BL91))</f>
        <v/>
      </c>
      <c r="BM91">
        <f>IF(COUNTIFS(T_StockCount[RM_Code],$A91,T_StockCount[WeekIndex],64)&gt;0,SUMIFS(T_StockCount[CountedQty],T_StockCount[RM_Code],$A91,T_StockCount[WeekIndex],64),IF((COUNTIFS(T_SelfStock[RM_Code],$A91,T_SelfStock[WeekIndex],64)&gt;0)*(COUNTIFS(T_TTAFStock[RM_Code],$A91,T_TTAFStock[WeekIndex],64)&gt;0)&gt;0,SUMIFS(T_SelfStock[Self_Qty],T_SelfStock[RM_Code],$A91,T_SelfStock[WeekIndex],64)+SUMIFS(T_TTAFStock[TTAF_Qty],T_TTAFStock[RM_Code],$A91,T_TTAFStock[WeekIndex],64),BL91+'Grid_Incoming'!BM91-'Grid_Requirement'!BM91))</f>
        <v/>
      </c>
      <c r="BN91">
        <f>IF(COUNTIFS(T_StockCount[RM_Code],$A91,T_StockCount[WeekIndex],65)&gt;0,SUMIFS(T_StockCount[CountedQty],T_StockCount[RM_Code],$A91,T_StockCount[WeekIndex],65),IF((COUNTIFS(T_SelfStock[RM_Code],$A91,T_SelfStock[WeekIndex],65)&gt;0)*(COUNTIFS(T_TTAFStock[RM_Code],$A91,T_TTAFStock[WeekIndex],65)&gt;0)&gt;0,SUMIFS(T_SelfStock[Self_Qty],T_SelfStock[RM_Code],$A91,T_SelfStock[WeekIndex],65)+SUMIFS(T_TTAFStock[TTAF_Qty],T_TTAFStock[RM_Code],$A91,T_TTAFStock[WeekIndex],65),BM91+'Grid_Incoming'!BN91-'Grid_Requirement'!BN91))</f>
        <v/>
      </c>
      <c r="BO91">
        <f>IF(COUNTIFS(T_StockCount[RM_Code],$A91,T_StockCount[WeekIndex],66)&gt;0,SUMIFS(T_StockCount[CountedQty],T_StockCount[RM_Code],$A91,T_StockCount[WeekIndex],66),IF((COUNTIFS(T_SelfStock[RM_Code],$A91,T_SelfStock[WeekIndex],66)&gt;0)*(COUNTIFS(T_TTAFStock[RM_Code],$A91,T_TTAFStock[WeekIndex],66)&gt;0)&gt;0,SUMIFS(T_SelfStock[Self_Qty],T_SelfStock[RM_Code],$A91,T_SelfStock[WeekIndex],66)+SUMIFS(T_TTAFStock[TTAF_Qty],T_TTAFStock[RM_Code],$A91,T_TTAFStock[WeekIndex],66),BN91+'Grid_Incoming'!BO91-'Grid_Requirement'!BO91))</f>
        <v/>
      </c>
      <c r="BP91">
        <f>IF(COUNTIFS(T_StockCount[RM_Code],$A91,T_StockCount[WeekIndex],67)&gt;0,SUMIFS(T_StockCount[CountedQty],T_StockCount[RM_Code],$A91,T_StockCount[WeekIndex],67),IF((COUNTIFS(T_SelfStock[RM_Code],$A91,T_SelfStock[WeekIndex],67)&gt;0)*(COUNTIFS(T_TTAFStock[RM_Code],$A91,T_TTAFStock[WeekIndex],67)&gt;0)&gt;0,SUMIFS(T_SelfStock[Self_Qty],T_SelfStock[RM_Code],$A91,T_SelfStock[WeekIndex],67)+SUMIFS(T_TTAFStock[TTAF_Qty],T_TTAFStock[RM_Code],$A91,T_TTAFStock[WeekIndex],67),BO91+'Grid_Incoming'!BP91-'Grid_Requirement'!BP91))</f>
        <v/>
      </c>
      <c r="BQ91">
        <f>IF(COUNTIFS(T_StockCount[RM_Code],$A91,T_StockCount[WeekIndex],68)&gt;0,SUMIFS(T_StockCount[CountedQty],T_StockCount[RM_Code],$A91,T_StockCount[WeekIndex],68),IF((COUNTIFS(T_SelfStock[RM_Code],$A91,T_SelfStock[WeekIndex],68)&gt;0)*(COUNTIFS(T_TTAFStock[RM_Code],$A91,T_TTAFStock[WeekIndex],68)&gt;0)&gt;0,SUMIFS(T_SelfStock[Self_Qty],T_SelfStock[RM_Code],$A91,T_SelfStock[WeekIndex],68)+SUMIFS(T_TTAFStock[TTAF_Qty],T_TTAFStock[RM_Code],$A91,T_TTAFStock[WeekIndex],68),BP91+'Grid_Incoming'!BQ91-'Grid_Requirement'!BQ91))</f>
        <v/>
      </c>
      <c r="BR91">
        <f>IF(COUNTIFS(T_StockCount[RM_Code],$A91,T_StockCount[WeekIndex],69)&gt;0,SUMIFS(T_StockCount[CountedQty],T_StockCount[RM_Code],$A91,T_StockCount[WeekIndex],69),IF((COUNTIFS(T_SelfStock[RM_Code],$A91,T_SelfStock[WeekIndex],69)&gt;0)*(COUNTIFS(T_TTAFStock[RM_Code],$A91,T_TTAFStock[WeekIndex],69)&gt;0)&gt;0,SUMIFS(T_SelfStock[Self_Qty],T_SelfStock[RM_Code],$A91,T_SelfStock[WeekIndex],69)+SUMIFS(T_TTAFStock[TTAF_Qty],T_TTAFStock[RM_Code],$A91,T_TTAFStock[WeekIndex],69),BQ91+'Grid_Incoming'!BR91-'Grid_Requirement'!BR91))</f>
        <v/>
      </c>
      <c r="BS91">
        <f>IF(COUNTIFS(T_StockCount[RM_Code],$A91,T_StockCount[WeekIndex],70)&gt;0,SUMIFS(T_StockCount[CountedQty],T_StockCount[RM_Code],$A91,T_StockCount[WeekIndex],70),IF((COUNTIFS(T_SelfStock[RM_Code],$A91,T_SelfStock[WeekIndex],70)&gt;0)*(COUNTIFS(T_TTAFStock[RM_Code],$A91,T_TTAFStock[WeekIndex],70)&gt;0)&gt;0,SUMIFS(T_SelfStock[Self_Qty],T_SelfStock[RM_Code],$A91,T_SelfStock[WeekIndex],70)+SUMIFS(T_TTAFStock[TTAF_Qty],T_TTAFStock[RM_Code],$A91,T_TTAFStock[WeekIndex],70),BR91+'Grid_Incoming'!BS91-'Grid_Requirement'!BS91))</f>
        <v/>
      </c>
      <c r="BT91">
        <f>IF(COUNTIFS(T_StockCount[RM_Code],$A91,T_StockCount[WeekIndex],71)&gt;0,SUMIFS(T_StockCount[CountedQty],T_StockCount[RM_Code],$A91,T_StockCount[WeekIndex],71),IF((COUNTIFS(T_SelfStock[RM_Code],$A91,T_SelfStock[WeekIndex],71)&gt;0)*(COUNTIFS(T_TTAFStock[RM_Code],$A91,T_TTAFStock[WeekIndex],71)&gt;0)&gt;0,SUMIFS(T_SelfStock[Self_Qty],T_SelfStock[RM_Code],$A91,T_SelfStock[WeekIndex],71)+SUMIFS(T_TTAFStock[TTAF_Qty],T_TTAFStock[RM_Code],$A91,T_TTAFStock[WeekIndex],71),BS91+'Grid_Incoming'!BT91-'Grid_Requirement'!BT91))</f>
        <v/>
      </c>
      <c r="BU91">
        <f>IF(COUNTIFS(T_StockCount[RM_Code],$A91,T_StockCount[WeekIndex],72)&gt;0,SUMIFS(T_StockCount[CountedQty],T_StockCount[RM_Code],$A91,T_StockCount[WeekIndex],72),IF((COUNTIFS(T_SelfStock[RM_Code],$A91,T_SelfStock[WeekIndex],72)&gt;0)*(COUNTIFS(T_TTAFStock[RM_Code],$A91,T_TTAFStock[WeekIndex],72)&gt;0)&gt;0,SUMIFS(T_SelfStock[Self_Qty],T_SelfStock[RM_Code],$A91,T_SelfStock[WeekIndex],72)+SUMIFS(T_TTAFStock[TTAF_Qty],T_TTAFStock[RM_Code],$A91,T_TTAFStock[WeekIndex],72),BT91+'Grid_Incoming'!BU91-'Grid_Requirement'!BU91))</f>
        <v/>
      </c>
      <c r="BV91">
        <f>IF(COUNTIFS(T_StockCount[RM_Code],$A91,T_StockCount[WeekIndex],73)&gt;0,SUMIFS(T_StockCount[CountedQty],T_StockCount[RM_Code],$A91,T_StockCount[WeekIndex],73),IF((COUNTIFS(T_SelfStock[RM_Code],$A91,T_SelfStock[WeekIndex],73)&gt;0)*(COUNTIFS(T_TTAFStock[RM_Code],$A91,T_TTAFStock[WeekIndex],73)&gt;0)&gt;0,SUMIFS(T_SelfStock[Self_Qty],T_SelfStock[RM_Code],$A91,T_SelfStock[WeekIndex],73)+SUMIFS(T_TTAFStock[TTAF_Qty],T_TTAFStock[RM_Code],$A91,T_TTAFStock[WeekIndex],73),BU91+'Grid_Incoming'!BV91-'Grid_Requirement'!BV91))</f>
        <v/>
      </c>
      <c r="BW91">
        <f>IF(COUNTIFS(T_StockCount[RM_Code],$A91,T_StockCount[WeekIndex],74)&gt;0,SUMIFS(T_StockCount[CountedQty],T_StockCount[RM_Code],$A91,T_StockCount[WeekIndex],74),IF((COUNTIFS(T_SelfStock[RM_Code],$A91,T_SelfStock[WeekIndex],74)&gt;0)*(COUNTIFS(T_TTAFStock[RM_Code],$A91,T_TTAFStock[WeekIndex],74)&gt;0)&gt;0,SUMIFS(T_SelfStock[Self_Qty],T_SelfStock[RM_Code],$A91,T_SelfStock[WeekIndex],74)+SUMIFS(T_TTAFStock[TTAF_Qty],T_TTAFStock[RM_Code],$A91,T_TTAFStock[WeekIndex],74),BV91+'Grid_Incoming'!BW91-'Grid_Requirement'!BW91))</f>
        <v/>
      </c>
      <c r="BX91">
        <f>IF(COUNTIFS(T_StockCount[RM_Code],$A91,T_StockCount[WeekIndex],75)&gt;0,SUMIFS(T_StockCount[CountedQty],T_StockCount[RM_Code],$A91,T_StockCount[WeekIndex],75),IF((COUNTIFS(T_SelfStock[RM_Code],$A91,T_SelfStock[WeekIndex],75)&gt;0)*(COUNTIFS(T_TTAFStock[RM_Code],$A91,T_TTAFStock[WeekIndex],75)&gt;0)&gt;0,SUMIFS(T_SelfStock[Self_Qty],T_SelfStock[RM_Code],$A91,T_SelfStock[WeekIndex],75)+SUMIFS(T_TTAFStock[TTAF_Qty],T_TTAFStock[RM_Code],$A91,T_TTAFStock[WeekIndex],75),BW91+'Grid_Incoming'!BX91-'Grid_Requirement'!BX91))</f>
        <v/>
      </c>
      <c r="BY91">
        <f>IF(COUNTIFS(T_StockCount[RM_Code],$A91,T_StockCount[WeekIndex],76)&gt;0,SUMIFS(T_StockCount[CountedQty],T_StockCount[RM_Code],$A91,T_StockCount[WeekIndex],76),IF((COUNTIFS(T_SelfStock[RM_Code],$A91,T_SelfStock[WeekIndex],76)&gt;0)*(COUNTIFS(T_TTAFStock[RM_Code],$A91,T_TTAFStock[WeekIndex],76)&gt;0)&gt;0,SUMIFS(T_SelfStock[Self_Qty],T_SelfStock[RM_Code],$A91,T_SelfStock[WeekIndex],76)+SUMIFS(T_TTAFStock[TTAF_Qty],T_TTAFStock[RM_Code],$A91,T_TTAFStock[WeekIndex],76),BX91+'Grid_Incoming'!BY91-'Grid_Requirement'!BY91))</f>
        <v/>
      </c>
      <c r="BZ91">
        <f>IF(COUNTIFS(T_StockCount[RM_Code],$A91,T_StockCount[WeekIndex],77)&gt;0,SUMIFS(T_StockCount[CountedQty],T_StockCount[RM_Code],$A91,T_StockCount[WeekIndex],77),IF((COUNTIFS(T_SelfStock[RM_Code],$A91,T_SelfStock[WeekIndex],77)&gt;0)*(COUNTIFS(T_TTAFStock[RM_Code],$A91,T_TTAFStock[WeekIndex],77)&gt;0)&gt;0,SUMIFS(T_SelfStock[Self_Qty],T_SelfStock[RM_Code],$A91,T_SelfStock[WeekIndex],77)+SUMIFS(T_TTAFStock[TTAF_Qty],T_TTAFStock[RM_Code],$A91,T_TTAFStock[WeekIndex],77),BY91+'Grid_Incoming'!BZ91-'Grid_Requirement'!BZ91))</f>
        <v/>
      </c>
      <c r="CA91">
        <f>IF(COUNTIFS(T_StockCount[RM_Code],$A91,T_StockCount[WeekIndex],78)&gt;0,SUMIFS(T_StockCount[CountedQty],T_StockCount[RM_Code],$A91,T_StockCount[WeekIndex],78),IF((COUNTIFS(T_SelfStock[RM_Code],$A91,T_SelfStock[WeekIndex],78)&gt;0)*(COUNTIFS(T_TTAFStock[RM_Code],$A91,T_TTAFStock[WeekIndex],78)&gt;0)&gt;0,SUMIFS(T_SelfStock[Self_Qty],T_SelfStock[RM_Code],$A91,T_SelfStock[WeekIndex],78)+SUMIFS(T_TTAFStock[TTAF_Qty],T_TTAFStock[RM_Code],$A91,T_TTAFStock[WeekIndex],78),BZ91+'Grid_Incoming'!CA91-'Grid_Requirement'!CA91))</f>
        <v/>
      </c>
      <c r="CB91">
        <f>IF(COUNTIFS(T_StockCount[RM_Code],$A91,T_StockCount[WeekIndex],79)&gt;0,SUMIFS(T_StockCount[CountedQty],T_StockCount[RM_Code],$A91,T_StockCount[WeekIndex],79),IF((COUNTIFS(T_SelfStock[RM_Code],$A91,T_SelfStock[WeekIndex],79)&gt;0)*(COUNTIFS(T_TTAFStock[RM_Code],$A91,T_TTAFStock[WeekIndex],79)&gt;0)&gt;0,SUMIFS(T_SelfStock[Self_Qty],T_SelfStock[RM_Code],$A91,T_SelfStock[WeekIndex],79)+SUMIFS(T_TTAFStock[TTAF_Qty],T_TTAFStock[RM_Code],$A91,T_TTAFStock[WeekIndex],79),CA91+'Grid_Incoming'!CB91-'Grid_Requirement'!CB91))</f>
        <v/>
      </c>
      <c r="CC91">
        <f>IF(COUNTIFS(T_StockCount[RM_Code],$A91,T_StockCount[WeekIndex],80)&gt;0,SUMIFS(T_StockCount[CountedQty],T_StockCount[RM_Code],$A91,T_StockCount[WeekIndex],80),IF((COUNTIFS(T_SelfStock[RM_Code],$A91,T_SelfStock[WeekIndex],80)&gt;0)*(COUNTIFS(T_TTAFStock[RM_Code],$A91,T_TTAFStock[WeekIndex],80)&gt;0)&gt;0,SUMIFS(T_SelfStock[Self_Qty],T_SelfStock[RM_Code],$A91,T_SelfStock[WeekIndex],80)+SUMIFS(T_TTAFStock[TTAF_Qty],T_TTAFStock[RM_Code],$A91,T_TTAFStock[WeekIndex],80),CB91+'Grid_Incoming'!CC91-'Grid_Requirement'!CC91))</f>
        <v/>
      </c>
      <c r="CD91">
        <f>IF(COUNTIFS(T_StockCount[RM_Code],$A91,T_StockCount[WeekIndex],81)&gt;0,SUMIFS(T_StockCount[CountedQty],T_StockCount[RM_Code],$A91,T_StockCount[WeekIndex],81),IF((COUNTIFS(T_SelfStock[RM_Code],$A91,T_SelfStock[WeekIndex],81)&gt;0)*(COUNTIFS(T_TTAFStock[RM_Code],$A91,T_TTAFStock[WeekIndex],81)&gt;0)&gt;0,SUMIFS(T_SelfStock[Self_Qty],T_SelfStock[RM_Code],$A91,T_SelfStock[WeekIndex],81)+SUMIFS(T_TTAFStock[TTAF_Qty],T_TTAFStock[RM_Code],$A91,T_TTAFStock[WeekIndex],81),CC91+'Grid_Incoming'!CD91-'Grid_Requirement'!CD91))</f>
        <v/>
      </c>
      <c r="CE91">
        <f>IF(COUNTIFS(T_StockCount[RM_Code],$A91,T_StockCount[WeekIndex],82)&gt;0,SUMIFS(T_StockCount[CountedQty],T_StockCount[RM_Code],$A91,T_StockCount[WeekIndex],82),IF((COUNTIFS(T_SelfStock[RM_Code],$A91,T_SelfStock[WeekIndex],82)&gt;0)*(COUNTIFS(T_TTAFStock[RM_Code],$A91,T_TTAFStock[WeekIndex],82)&gt;0)&gt;0,SUMIFS(T_SelfStock[Self_Qty],T_SelfStock[RM_Code],$A91,T_SelfStock[WeekIndex],82)+SUMIFS(T_TTAFStock[TTAF_Qty],T_TTAFStock[RM_Code],$A91,T_TTAFStock[WeekIndex],82),CD91+'Grid_Incoming'!CE91-'Grid_Requirement'!CE91))</f>
        <v/>
      </c>
      <c r="CF91">
        <f>IF(COUNTIFS(T_StockCount[RM_Code],$A91,T_StockCount[WeekIndex],83)&gt;0,SUMIFS(T_StockCount[CountedQty],T_StockCount[RM_Code],$A91,T_StockCount[WeekIndex],83),IF((COUNTIFS(T_SelfStock[RM_Code],$A91,T_SelfStock[WeekIndex],83)&gt;0)*(COUNTIFS(T_TTAFStock[RM_Code],$A91,T_TTAFStock[WeekIndex],83)&gt;0)&gt;0,SUMIFS(T_SelfStock[Self_Qty],T_SelfStock[RM_Code],$A91,T_SelfStock[WeekIndex],83)+SUMIFS(T_TTAFStock[TTAF_Qty],T_TTAFStock[RM_Code],$A91,T_TTAFStock[WeekIndex],83),CE91+'Grid_Incoming'!CF91-'Grid_Requirement'!CF91))</f>
        <v/>
      </c>
      <c r="CG91">
        <f>IF(COUNTIFS(T_StockCount[RM_Code],$A91,T_StockCount[WeekIndex],84)&gt;0,SUMIFS(T_StockCount[CountedQty],T_StockCount[RM_Code],$A91,T_StockCount[WeekIndex],84),IF((COUNTIFS(T_SelfStock[RM_Code],$A91,T_SelfStock[WeekIndex],84)&gt;0)*(COUNTIFS(T_TTAFStock[RM_Code],$A91,T_TTAFStock[WeekIndex],84)&gt;0)&gt;0,SUMIFS(T_SelfStock[Self_Qty],T_SelfStock[RM_Code],$A91,T_SelfStock[WeekIndex],84)+SUMIFS(T_TTAFStock[TTAF_Qty],T_TTAFStock[RM_Code],$A91,T_TTAFStock[WeekIndex],84),CF91+'Grid_Incoming'!CG91-'Grid_Requirement'!CG91))</f>
        <v/>
      </c>
      <c r="CH91">
        <f>IF(COUNTIFS(T_StockCount[RM_Code],$A91,T_StockCount[WeekIndex],85)&gt;0,SUMIFS(T_StockCount[CountedQty],T_StockCount[RM_Code],$A91,T_StockCount[WeekIndex],85),IF((COUNTIFS(T_SelfStock[RM_Code],$A91,T_SelfStock[WeekIndex],85)&gt;0)*(COUNTIFS(T_TTAFStock[RM_Code],$A91,T_TTAFStock[WeekIndex],85)&gt;0)&gt;0,SUMIFS(T_SelfStock[Self_Qty],T_SelfStock[RM_Code],$A91,T_SelfStock[WeekIndex],85)+SUMIFS(T_TTAFStock[TTAF_Qty],T_TTAFStock[RM_Code],$A91,T_TTAFStock[WeekIndex],85),CG91+'Grid_Incoming'!CH91-'Grid_Requirement'!CH91))</f>
        <v/>
      </c>
      <c r="CI91">
        <f>IF(COUNTIFS(T_StockCount[RM_Code],$A91,T_StockCount[WeekIndex],86)&gt;0,SUMIFS(T_StockCount[CountedQty],T_StockCount[RM_Code],$A91,T_StockCount[WeekIndex],86),IF((COUNTIFS(T_SelfStock[RM_Code],$A91,T_SelfStock[WeekIndex],86)&gt;0)*(COUNTIFS(T_TTAFStock[RM_Code],$A91,T_TTAFStock[WeekIndex],86)&gt;0)&gt;0,SUMIFS(T_SelfStock[Self_Qty],T_SelfStock[RM_Code],$A91,T_SelfStock[WeekIndex],86)+SUMIFS(T_TTAFStock[TTAF_Qty],T_TTAFStock[RM_Code],$A91,T_TTAFStock[WeekIndex],86),CH91+'Grid_Incoming'!CI91-'Grid_Requirement'!CI91))</f>
        <v/>
      </c>
      <c r="CJ91">
        <f>IF(COUNTIFS(T_StockCount[RM_Code],$A91,T_StockCount[WeekIndex],87)&gt;0,SUMIFS(T_StockCount[CountedQty],T_StockCount[RM_Code],$A91,T_StockCount[WeekIndex],87),IF((COUNTIFS(T_SelfStock[RM_Code],$A91,T_SelfStock[WeekIndex],87)&gt;0)*(COUNTIFS(T_TTAFStock[RM_Code],$A91,T_TTAFStock[WeekIndex],87)&gt;0)&gt;0,SUMIFS(T_SelfStock[Self_Qty],T_SelfStock[RM_Code],$A91,T_SelfStock[WeekIndex],87)+SUMIFS(T_TTAFStock[TTAF_Qty],T_TTAFStock[RM_Code],$A91,T_TTAFStock[WeekIndex],87),CI91+'Grid_Incoming'!CJ91-'Grid_Requirement'!CJ91))</f>
        <v/>
      </c>
      <c r="CK91">
        <f>IF(COUNTIFS(T_StockCount[RM_Code],$A91,T_StockCount[WeekIndex],88)&gt;0,SUMIFS(T_StockCount[CountedQty],T_StockCount[RM_Code],$A91,T_StockCount[WeekIndex],88),IF((COUNTIFS(T_SelfStock[RM_Code],$A91,T_SelfStock[WeekIndex],88)&gt;0)*(COUNTIFS(T_TTAFStock[RM_Code],$A91,T_TTAFStock[WeekIndex],88)&gt;0)&gt;0,SUMIFS(T_SelfStock[Self_Qty],T_SelfStock[RM_Code],$A91,T_SelfStock[WeekIndex],88)+SUMIFS(T_TTAFStock[TTAF_Qty],T_TTAFStock[RM_Code],$A91,T_TTAFStock[WeekIndex],88),CJ91+'Grid_Incoming'!CK91-'Grid_Requirement'!CK91))</f>
        <v/>
      </c>
      <c r="CL91">
        <f>IF(COUNTIFS(T_StockCount[RM_Code],$A91,T_StockCount[WeekIndex],89)&gt;0,SUMIFS(T_StockCount[CountedQty],T_StockCount[RM_Code],$A91,T_StockCount[WeekIndex],89),IF((COUNTIFS(T_SelfStock[RM_Code],$A91,T_SelfStock[WeekIndex],89)&gt;0)*(COUNTIFS(T_TTAFStock[RM_Code],$A91,T_TTAFStock[WeekIndex],89)&gt;0)&gt;0,SUMIFS(T_SelfStock[Self_Qty],T_SelfStock[RM_Code],$A91,T_SelfStock[WeekIndex],89)+SUMIFS(T_TTAFStock[TTAF_Qty],T_TTAFStock[RM_Code],$A91,T_TTAFStock[WeekIndex],89),CK91+'Grid_Incoming'!CL91-'Grid_Requirement'!CL91))</f>
        <v/>
      </c>
      <c r="CM91">
        <f>IF(COUNTIFS(T_StockCount[RM_Code],$A91,T_StockCount[WeekIndex],90)&gt;0,SUMIFS(T_StockCount[CountedQty],T_StockCount[RM_Code],$A91,T_StockCount[WeekIndex],90),IF((COUNTIFS(T_SelfStock[RM_Code],$A91,T_SelfStock[WeekIndex],90)&gt;0)*(COUNTIFS(T_TTAFStock[RM_Code],$A91,T_TTAFStock[WeekIndex],90)&gt;0)&gt;0,SUMIFS(T_SelfStock[Self_Qty],T_SelfStock[RM_Code],$A91,T_SelfStock[WeekIndex],90)+SUMIFS(T_TTAFStock[TTAF_Qty],T_TTAFStock[RM_Code],$A91,T_TTAFStock[WeekIndex],90),CL91+'Grid_Incoming'!CM91-'Grid_Requirement'!CM91))</f>
        <v/>
      </c>
      <c r="CN91">
        <f>IF(COUNTIFS(T_StockCount[RM_Code],$A91,T_StockCount[WeekIndex],91)&gt;0,SUMIFS(T_StockCount[CountedQty],T_StockCount[RM_Code],$A91,T_StockCount[WeekIndex],91),IF((COUNTIFS(T_SelfStock[RM_Code],$A91,T_SelfStock[WeekIndex],91)&gt;0)*(COUNTIFS(T_TTAFStock[RM_Code],$A91,T_TTAFStock[WeekIndex],91)&gt;0)&gt;0,SUMIFS(T_SelfStock[Self_Qty],T_SelfStock[RM_Code],$A91,T_SelfStock[WeekIndex],91)+SUMIFS(T_TTAFStock[TTAF_Qty],T_TTAFStock[RM_Code],$A91,T_TTAFStock[WeekIndex],91),CM91+'Grid_Incoming'!CN91-'Grid_Requirement'!CN91))</f>
        <v/>
      </c>
      <c r="CO91">
        <f>IF(COUNTIFS(T_StockCount[RM_Code],$A91,T_StockCount[WeekIndex],92)&gt;0,SUMIFS(T_StockCount[CountedQty],T_StockCount[RM_Code],$A91,T_StockCount[WeekIndex],92),IF((COUNTIFS(T_SelfStock[RM_Code],$A91,T_SelfStock[WeekIndex],92)&gt;0)*(COUNTIFS(T_TTAFStock[RM_Code],$A91,T_TTAFStock[WeekIndex],92)&gt;0)&gt;0,SUMIFS(T_SelfStock[Self_Qty],T_SelfStock[RM_Code],$A91,T_SelfStock[WeekIndex],92)+SUMIFS(T_TTAFStock[TTAF_Qty],T_TTAFStock[RM_Code],$A91,T_TTAFStock[WeekIndex],92),CN91+'Grid_Incoming'!CO91-'Grid_Requirement'!CO91))</f>
        <v/>
      </c>
      <c r="CP91">
        <f>IF(COUNTIFS(T_StockCount[RM_Code],$A91,T_StockCount[WeekIndex],93)&gt;0,SUMIFS(T_StockCount[CountedQty],T_StockCount[RM_Code],$A91,T_StockCount[WeekIndex],93),IF((COUNTIFS(T_SelfStock[RM_Code],$A91,T_SelfStock[WeekIndex],93)&gt;0)*(COUNTIFS(T_TTAFStock[RM_Code],$A91,T_TTAFStock[WeekIndex],93)&gt;0)&gt;0,SUMIFS(T_SelfStock[Self_Qty],T_SelfStock[RM_Code],$A91,T_SelfStock[WeekIndex],93)+SUMIFS(T_TTAFStock[TTAF_Qty],T_TTAFStock[RM_Code],$A91,T_TTAFStock[WeekIndex],93),CO91+'Grid_Incoming'!CP91-'Grid_Requirement'!CP91))</f>
        <v/>
      </c>
      <c r="CQ91">
        <f>IF(COUNTIFS(T_StockCount[RM_Code],$A91,T_StockCount[WeekIndex],94)&gt;0,SUMIFS(T_StockCount[CountedQty],T_StockCount[RM_Code],$A91,T_StockCount[WeekIndex],94),IF((COUNTIFS(T_SelfStock[RM_Code],$A91,T_SelfStock[WeekIndex],94)&gt;0)*(COUNTIFS(T_TTAFStock[RM_Code],$A91,T_TTAFStock[WeekIndex],94)&gt;0)&gt;0,SUMIFS(T_SelfStock[Self_Qty],T_SelfStock[RM_Code],$A91,T_SelfStock[WeekIndex],94)+SUMIFS(T_TTAFStock[TTAF_Qty],T_TTAFStock[RM_Code],$A91,T_TTAFStock[WeekIndex],94),CP91+'Grid_Incoming'!CQ91-'Grid_Requirement'!CQ91))</f>
        <v/>
      </c>
      <c r="CR91">
        <f>IF(COUNTIFS(T_StockCount[RM_Code],$A91,T_StockCount[WeekIndex],95)&gt;0,SUMIFS(T_StockCount[CountedQty],T_StockCount[RM_Code],$A91,T_StockCount[WeekIndex],95),IF((COUNTIFS(T_SelfStock[RM_Code],$A91,T_SelfStock[WeekIndex],95)&gt;0)*(COUNTIFS(T_TTAFStock[RM_Code],$A91,T_TTAFStock[WeekIndex],95)&gt;0)&gt;0,SUMIFS(T_SelfStock[Self_Qty],T_SelfStock[RM_Code],$A91,T_SelfStock[WeekIndex],95)+SUMIFS(T_TTAFStock[TTAF_Qty],T_TTAFStock[RM_Code],$A91,T_TTAFStock[WeekIndex],95),CQ91+'Grid_Incoming'!CR91-'Grid_Requirement'!CR91))</f>
        <v/>
      </c>
      <c r="CS91">
        <f>IF(COUNTIFS(T_StockCount[RM_Code],$A91,T_StockCount[WeekIndex],96)&gt;0,SUMIFS(T_StockCount[CountedQty],T_StockCount[RM_Code],$A91,T_StockCount[WeekIndex],96),IF((COUNTIFS(T_SelfStock[RM_Code],$A91,T_SelfStock[WeekIndex],96)&gt;0)*(COUNTIFS(T_TTAFStock[RM_Code],$A91,T_TTAFStock[WeekIndex],96)&gt;0)&gt;0,SUMIFS(T_SelfStock[Self_Qty],T_SelfStock[RM_Code],$A91,T_SelfStock[WeekIndex],96)+SUMIFS(T_TTAFStock[TTAF_Qty],T_TTAFStock[RM_Code],$A91,T_TTAFStock[WeekIndex],96),CR91+'Grid_Incoming'!CS91-'Grid_Requirement'!CS91))</f>
        <v/>
      </c>
      <c r="CT91">
        <f>IF(COUNTIFS(T_StockCount[RM_Code],$A91,T_StockCount[WeekIndex],97)&gt;0,SUMIFS(T_StockCount[CountedQty],T_StockCount[RM_Code],$A91,T_StockCount[WeekIndex],97),IF((COUNTIFS(T_SelfStock[RM_Code],$A91,T_SelfStock[WeekIndex],97)&gt;0)*(COUNTIFS(T_TTAFStock[RM_Code],$A91,T_TTAFStock[WeekIndex],97)&gt;0)&gt;0,SUMIFS(T_SelfStock[Self_Qty],T_SelfStock[RM_Code],$A91,T_SelfStock[WeekIndex],97)+SUMIFS(T_TTAFStock[TTAF_Qty],T_TTAFStock[RM_Code],$A91,T_TTAFStock[WeekIndex],97),CS91+'Grid_Incoming'!CT91-'Grid_Requirement'!CT91))</f>
        <v/>
      </c>
      <c r="CU91">
        <f>IF(COUNTIFS(T_StockCount[RM_Code],$A91,T_StockCount[WeekIndex],98)&gt;0,SUMIFS(T_StockCount[CountedQty],T_StockCount[RM_Code],$A91,T_StockCount[WeekIndex],98),IF((COUNTIFS(T_SelfStock[RM_Code],$A91,T_SelfStock[WeekIndex],98)&gt;0)*(COUNTIFS(T_TTAFStock[RM_Code],$A91,T_TTAFStock[WeekIndex],98)&gt;0)&gt;0,SUMIFS(T_SelfStock[Self_Qty],T_SelfStock[RM_Code],$A91,T_SelfStock[WeekIndex],98)+SUMIFS(T_TTAFStock[TTAF_Qty],T_TTAFStock[RM_Code],$A91,T_TTAFStock[WeekIndex],98),CT91+'Grid_Incoming'!CU91-'Grid_Requirement'!CU91))</f>
        <v/>
      </c>
      <c r="CV91">
        <f>IF(COUNTIFS(T_StockCount[RM_Code],$A91,T_StockCount[WeekIndex],99)&gt;0,SUMIFS(T_StockCount[CountedQty],T_StockCount[RM_Code],$A91,T_StockCount[WeekIndex],99),IF((COUNTIFS(T_SelfStock[RM_Code],$A91,T_SelfStock[WeekIndex],99)&gt;0)*(COUNTIFS(T_TTAFStock[RM_Code],$A91,T_TTAFStock[WeekIndex],99)&gt;0)&gt;0,SUMIFS(T_SelfStock[Self_Qty],T_SelfStock[RM_Code],$A91,T_SelfStock[WeekIndex],99)+SUMIFS(T_TTAFStock[TTAF_Qty],T_TTAFStock[RM_Code],$A91,T_TTAFStock[WeekIndex],99),CU91+'Grid_Incoming'!CV91-'Grid_Requirement'!CV91))</f>
        <v/>
      </c>
      <c r="CW91">
        <f>IF(COUNTIFS(T_StockCount[RM_Code],$A91,T_StockCount[WeekIndex],100)&gt;0,SUMIFS(T_StockCount[CountedQty],T_StockCount[RM_Code],$A91,T_StockCount[WeekIndex],100),IF((COUNTIFS(T_SelfStock[RM_Code],$A91,T_SelfStock[WeekIndex],100)&gt;0)*(COUNTIFS(T_TTAFStock[RM_Code],$A91,T_TTAFStock[WeekIndex],100)&gt;0)&gt;0,SUMIFS(T_SelfStock[Self_Qty],T_SelfStock[RM_Code],$A91,T_SelfStock[WeekIndex],100)+SUMIFS(T_TTAFStock[TTAF_Qty],T_TTAFStock[RM_Code],$A91,T_TTAFStock[WeekIndex],100),CV91+'Grid_Incoming'!CW91-'Grid_Requirement'!CW91))</f>
        <v/>
      </c>
      <c r="CX91">
        <f>IF(COUNTIFS(T_StockCount[RM_Code],$A91,T_StockCount[WeekIndex],101)&gt;0,SUMIFS(T_StockCount[CountedQty],T_StockCount[RM_Code],$A91,T_StockCount[WeekIndex],101),IF((COUNTIFS(T_SelfStock[RM_Code],$A91,T_SelfStock[WeekIndex],101)&gt;0)*(COUNTIFS(T_TTAFStock[RM_Code],$A91,T_TTAFStock[WeekIndex],101)&gt;0)&gt;0,SUMIFS(T_SelfStock[Self_Qty],T_SelfStock[RM_Code],$A91,T_SelfStock[WeekIndex],101)+SUMIFS(T_TTAFStock[TTAF_Qty],T_TTAFStock[RM_Code],$A91,T_TTAFStock[WeekIndex],101),CW91+'Grid_Incoming'!CX91-'Grid_Requirement'!CX91))</f>
        <v/>
      </c>
      <c r="CY91">
        <f>IF(COUNTIFS(T_StockCount[RM_Code],$A91,T_StockCount[WeekIndex],102)&gt;0,SUMIFS(T_StockCount[CountedQty],T_StockCount[RM_Code],$A91,T_StockCount[WeekIndex],102),IF((COUNTIFS(T_SelfStock[RM_Code],$A91,T_SelfStock[WeekIndex],102)&gt;0)*(COUNTIFS(T_TTAFStock[RM_Code],$A91,T_TTAFStock[WeekIndex],102)&gt;0)&gt;0,SUMIFS(T_SelfStock[Self_Qty],T_SelfStock[RM_Code],$A91,T_SelfStock[WeekIndex],102)+SUMIFS(T_TTAFStock[TTAF_Qty],T_TTAFStock[RM_Code],$A91,T_TTAFStock[WeekIndex],102),CX91+'Grid_Incoming'!CY91-'Grid_Requirement'!CY91))</f>
        <v/>
      </c>
      <c r="CZ91">
        <f>IF(COUNTIFS(T_StockCount[RM_Code],$A91,T_StockCount[WeekIndex],103)&gt;0,SUMIFS(T_StockCount[CountedQty],T_StockCount[RM_Code],$A91,T_StockCount[WeekIndex],103),IF((COUNTIFS(T_SelfStock[RM_Code],$A91,T_SelfStock[WeekIndex],103)&gt;0)*(COUNTIFS(T_TTAFStock[RM_Code],$A91,T_TTAFStock[WeekIndex],103)&gt;0)&gt;0,SUMIFS(T_SelfStock[Self_Qty],T_SelfStock[RM_Code],$A91,T_SelfStock[WeekIndex],103)+SUMIFS(T_TTAFStock[TTAF_Qty],T_TTAFStock[RM_Code],$A91,T_TTAFStock[WeekIndex],103),CY91+'Grid_Incoming'!CZ91-'Grid_Requirement'!CZ91))</f>
        <v/>
      </c>
      <c r="DA91">
        <f>IF(COUNTIFS(T_StockCount[RM_Code],$A91,T_StockCount[WeekIndex],104)&gt;0,SUMIFS(T_StockCount[CountedQty],T_StockCount[RM_Code],$A91,T_StockCount[WeekIndex],104),IF((COUNTIFS(T_SelfStock[RM_Code],$A91,T_SelfStock[WeekIndex],104)&gt;0)*(COUNTIFS(T_TTAFStock[RM_Code],$A91,T_TTAFStock[WeekIndex],104)&gt;0)&gt;0,SUMIFS(T_SelfStock[Self_Qty],T_SelfStock[RM_Code],$A91,T_SelfStock[WeekIndex],104)+SUMIFS(T_TTAFStock[TTAF_Qty],T_TTAFStock[RM_Code],$A91,T_TTAFStock[WeekIndex],104),CZ91+'Grid_Incoming'!DA91-'Grid_Requirement'!DA91))</f>
        <v/>
      </c>
    </row>
    <row r="92">
      <c r="A92" t="inlineStr">
        <is>
          <t>CHEM-1640</t>
        </is>
      </c>
      <c r="B92">
        <f>IF(COUNTIFS(T_StockCount[RM_Code],$A92,T_StockCount[WeekIndex],1)&gt;0,SUMIFS(T_StockCount[CountedQty],T_StockCount[RM_Code],$A92,T_StockCount[WeekIndex],1),IF((COUNTIFS(T_SelfStock[RM_Code],$A92,T_SelfStock[WeekIndex],1)&gt;0)*(COUNTIFS(T_TTAFStock[RM_Code],$A92,T_TTAFStock[WeekIndex],1)&gt;0)&gt;0,SUMIFS(T_SelfStock[Self_Qty],T_SelfStock[RM_Code],$A92,T_SelfStock[WeekIndex],1)+SUMIFS(T_TTAFStock[TTAF_Qty],T_TTAFStock[RM_Code],$A92,T_TTAFStock[WeekIndex],1),IFERROR(INDEX(T_OpeningStock[Opening_Qty],MATCH($A92,T_OpeningStock[RM_Code],0)),0)+'Grid_Incoming'!B92-'Grid_Requirement'!B92))</f>
        <v/>
      </c>
      <c r="C92">
        <f>IF(COUNTIFS(T_StockCount[RM_Code],$A92,T_StockCount[WeekIndex],2)&gt;0,SUMIFS(T_StockCount[CountedQty],T_StockCount[RM_Code],$A92,T_StockCount[WeekIndex],2),IF((COUNTIFS(T_SelfStock[RM_Code],$A92,T_SelfStock[WeekIndex],2)&gt;0)*(COUNTIFS(T_TTAFStock[RM_Code],$A92,T_TTAFStock[WeekIndex],2)&gt;0)&gt;0,SUMIFS(T_SelfStock[Self_Qty],T_SelfStock[RM_Code],$A92,T_SelfStock[WeekIndex],2)+SUMIFS(T_TTAFStock[TTAF_Qty],T_TTAFStock[RM_Code],$A92,T_TTAFStock[WeekIndex],2),B92+'Grid_Incoming'!C92-'Grid_Requirement'!C92))</f>
        <v/>
      </c>
      <c r="D92">
        <f>IF(COUNTIFS(T_StockCount[RM_Code],$A92,T_StockCount[WeekIndex],3)&gt;0,SUMIFS(T_StockCount[CountedQty],T_StockCount[RM_Code],$A92,T_StockCount[WeekIndex],3),IF((COUNTIFS(T_SelfStock[RM_Code],$A92,T_SelfStock[WeekIndex],3)&gt;0)*(COUNTIFS(T_TTAFStock[RM_Code],$A92,T_TTAFStock[WeekIndex],3)&gt;0)&gt;0,SUMIFS(T_SelfStock[Self_Qty],T_SelfStock[RM_Code],$A92,T_SelfStock[WeekIndex],3)+SUMIFS(T_TTAFStock[TTAF_Qty],T_TTAFStock[RM_Code],$A92,T_TTAFStock[WeekIndex],3),C92+'Grid_Incoming'!D92-'Grid_Requirement'!D92))</f>
        <v/>
      </c>
      <c r="E92">
        <f>IF(COUNTIFS(T_StockCount[RM_Code],$A92,T_StockCount[WeekIndex],4)&gt;0,SUMIFS(T_StockCount[CountedQty],T_StockCount[RM_Code],$A92,T_StockCount[WeekIndex],4),IF((COUNTIFS(T_SelfStock[RM_Code],$A92,T_SelfStock[WeekIndex],4)&gt;0)*(COUNTIFS(T_TTAFStock[RM_Code],$A92,T_TTAFStock[WeekIndex],4)&gt;0)&gt;0,SUMIFS(T_SelfStock[Self_Qty],T_SelfStock[RM_Code],$A92,T_SelfStock[WeekIndex],4)+SUMIFS(T_TTAFStock[TTAF_Qty],T_TTAFStock[RM_Code],$A92,T_TTAFStock[WeekIndex],4),D92+'Grid_Incoming'!E92-'Grid_Requirement'!E92))</f>
        <v/>
      </c>
      <c r="F92">
        <f>IF(COUNTIFS(T_StockCount[RM_Code],$A92,T_StockCount[WeekIndex],5)&gt;0,SUMIFS(T_StockCount[CountedQty],T_StockCount[RM_Code],$A92,T_StockCount[WeekIndex],5),IF((COUNTIFS(T_SelfStock[RM_Code],$A92,T_SelfStock[WeekIndex],5)&gt;0)*(COUNTIFS(T_TTAFStock[RM_Code],$A92,T_TTAFStock[WeekIndex],5)&gt;0)&gt;0,SUMIFS(T_SelfStock[Self_Qty],T_SelfStock[RM_Code],$A92,T_SelfStock[WeekIndex],5)+SUMIFS(T_TTAFStock[TTAF_Qty],T_TTAFStock[RM_Code],$A92,T_TTAFStock[WeekIndex],5),E92+'Grid_Incoming'!F92-'Grid_Requirement'!F92))</f>
        <v/>
      </c>
      <c r="G92">
        <f>IF(COUNTIFS(T_StockCount[RM_Code],$A92,T_StockCount[WeekIndex],6)&gt;0,SUMIFS(T_StockCount[CountedQty],T_StockCount[RM_Code],$A92,T_StockCount[WeekIndex],6),IF((COUNTIFS(T_SelfStock[RM_Code],$A92,T_SelfStock[WeekIndex],6)&gt;0)*(COUNTIFS(T_TTAFStock[RM_Code],$A92,T_TTAFStock[WeekIndex],6)&gt;0)&gt;0,SUMIFS(T_SelfStock[Self_Qty],T_SelfStock[RM_Code],$A92,T_SelfStock[WeekIndex],6)+SUMIFS(T_TTAFStock[TTAF_Qty],T_TTAFStock[RM_Code],$A92,T_TTAFStock[WeekIndex],6),F92+'Grid_Incoming'!G92-'Grid_Requirement'!G92))</f>
        <v/>
      </c>
      <c r="H92">
        <f>IF(COUNTIFS(T_StockCount[RM_Code],$A92,T_StockCount[WeekIndex],7)&gt;0,SUMIFS(T_StockCount[CountedQty],T_StockCount[RM_Code],$A92,T_StockCount[WeekIndex],7),IF((COUNTIFS(T_SelfStock[RM_Code],$A92,T_SelfStock[WeekIndex],7)&gt;0)*(COUNTIFS(T_TTAFStock[RM_Code],$A92,T_TTAFStock[WeekIndex],7)&gt;0)&gt;0,SUMIFS(T_SelfStock[Self_Qty],T_SelfStock[RM_Code],$A92,T_SelfStock[WeekIndex],7)+SUMIFS(T_TTAFStock[TTAF_Qty],T_TTAFStock[RM_Code],$A92,T_TTAFStock[WeekIndex],7),G92+'Grid_Incoming'!H92-'Grid_Requirement'!H92))</f>
        <v/>
      </c>
      <c r="I92">
        <f>IF(COUNTIFS(T_StockCount[RM_Code],$A92,T_StockCount[WeekIndex],8)&gt;0,SUMIFS(T_StockCount[CountedQty],T_StockCount[RM_Code],$A92,T_StockCount[WeekIndex],8),IF((COUNTIFS(T_SelfStock[RM_Code],$A92,T_SelfStock[WeekIndex],8)&gt;0)*(COUNTIFS(T_TTAFStock[RM_Code],$A92,T_TTAFStock[WeekIndex],8)&gt;0)&gt;0,SUMIFS(T_SelfStock[Self_Qty],T_SelfStock[RM_Code],$A92,T_SelfStock[WeekIndex],8)+SUMIFS(T_TTAFStock[TTAF_Qty],T_TTAFStock[RM_Code],$A92,T_TTAFStock[WeekIndex],8),H92+'Grid_Incoming'!I92-'Grid_Requirement'!I92))</f>
        <v/>
      </c>
      <c r="J92">
        <f>IF(COUNTIFS(T_StockCount[RM_Code],$A92,T_StockCount[WeekIndex],9)&gt;0,SUMIFS(T_StockCount[CountedQty],T_StockCount[RM_Code],$A92,T_StockCount[WeekIndex],9),IF((COUNTIFS(T_SelfStock[RM_Code],$A92,T_SelfStock[WeekIndex],9)&gt;0)*(COUNTIFS(T_TTAFStock[RM_Code],$A92,T_TTAFStock[WeekIndex],9)&gt;0)&gt;0,SUMIFS(T_SelfStock[Self_Qty],T_SelfStock[RM_Code],$A92,T_SelfStock[WeekIndex],9)+SUMIFS(T_TTAFStock[TTAF_Qty],T_TTAFStock[RM_Code],$A92,T_TTAFStock[WeekIndex],9),I92+'Grid_Incoming'!J92-'Grid_Requirement'!J92))</f>
        <v/>
      </c>
      <c r="K92">
        <f>IF(COUNTIFS(T_StockCount[RM_Code],$A92,T_StockCount[WeekIndex],10)&gt;0,SUMIFS(T_StockCount[CountedQty],T_StockCount[RM_Code],$A92,T_StockCount[WeekIndex],10),IF((COUNTIFS(T_SelfStock[RM_Code],$A92,T_SelfStock[WeekIndex],10)&gt;0)*(COUNTIFS(T_TTAFStock[RM_Code],$A92,T_TTAFStock[WeekIndex],10)&gt;0)&gt;0,SUMIFS(T_SelfStock[Self_Qty],T_SelfStock[RM_Code],$A92,T_SelfStock[WeekIndex],10)+SUMIFS(T_TTAFStock[TTAF_Qty],T_TTAFStock[RM_Code],$A92,T_TTAFStock[WeekIndex],10),J92+'Grid_Incoming'!K92-'Grid_Requirement'!K92))</f>
        <v/>
      </c>
      <c r="L92">
        <f>IF(COUNTIFS(T_StockCount[RM_Code],$A92,T_StockCount[WeekIndex],11)&gt;0,SUMIFS(T_StockCount[CountedQty],T_StockCount[RM_Code],$A92,T_StockCount[WeekIndex],11),IF((COUNTIFS(T_SelfStock[RM_Code],$A92,T_SelfStock[WeekIndex],11)&gt;0)*(COUNTIFS(T_TTAFStock[RM_Code],$A92,T_TTAFStock[WeekIndex],11)&gt;0)&gt;0,SUMIFS(T_SelfStock[Self_Qty],T_SelfStock[RM_Code],$A92,T_SelfStock[WeekIndex],11)+SUMIFS(T_TTAFStock[TTAF_Qty],T_TTAFStock[RM_Code],$A92,T_TTAFStock[WeekIndex],11),K92+'Grid_Incoming'!L92-'Grid_Requirement'!L92))</f>
        <v/>
      </c>
      <c r="M92">
        <f>IF(COUNTIFS(T_StockCount[RM_Code],$A92,T_StockCount[WeekIndex],12)&gt;0,SUMIFS(T_StockCount[CountedQty],T_StockCount[RM_Code],$A92,T_StockCount[WeekIndex],12),IF((COUNTIFS(T_SelfStock[RM_Code],$A92,T_SelfStock[WeekIndex],12)&gt;0)*(COUNTIFS(T_TTAFStock[RM_Code],$A92,T_TTAFStock[WeekIndex],12)&gt;0)&gt;0,SUMIFS(T_SelfStock[Self_Qty],T_SelfStock[RM_Code],$A92,T_SelfStock[WeekIndex],12)+SUMIFS(T_TTAFStock[TTAF_Qty],T_TTAFStock[RM_Code],$A92,T_TTAFStock[WeekIndex],12),L92+'Grid_Incoming'!M92-'Grid_Requirement'!M92))</f>
        <v/>
      </c>
      <c r="N92">
        <f>IF(COUNTIFS(T_StockCount[RM_Code],$A92,T_StockCount[WeekIndex],13)&gt;0,SUMIFS(T_StockCount[CountedQty],T_StockCount[RM_Code],$A92,T_StockCount[WeekIndex],13),IF((COUNTIFS(T_SelfStock[RM_Code],$A92,T_SelfStock[WeekIndex],13)&gt;0)*(COUNTIFS(T_TTAFStock[RM_Code],$A92,T_TTAFStock[WeekIndex],13)&gt;0)&gt;0,SUMIFS(T_SelfStock[Self_Qty],T_SelfStock[RM_Code],$A92,T_SelfStock[WeekIndex],13)+SUMIFS(T_TTAFStock[TTAF_Qty],T_TTAFStock[RM_Code],$A92,T_TTAFStock[WeekIndex],13),M92+'Grid_Incoming'!N92-'Grid_Requirement'!N92))</f>
        <v/>
      </c>
      <c r="O92">
        <f>IF(COUNTIFS(T_StockCount[RM_Code],$A92,T_StockCount[WeekIndex],14)&gt;0,SUMIFS(T_StockCount[CountedQty],T_StockCount[RM_Code],$A92,T_StockCount[WeekIndex],14),IF((COUNTIFS(T_SelfStock[RM_Code],$A92,T_SelfStock[WeekIndex],14)&gt;0)*(COUNTIFS(T_TTAFStock[RM_Code],$A92,T_TTAFStock[WeekIndex],14)&gt;0)&gt;0,SUMIFS(T_SelfStock[Self_Qty],T_SelfStock[RM_Code],$A92,T_SelfStock[WeekIndex],14)+SUMIFS(T_TTAFStock[TTAF_Qty],T_TTAFStock[RM_Code],$A92,T_TTAFStock[WeekIndex],14),N92+'Grid_Incoming'!O92-'Grid_Requirement'!O92))</f>
        <v/>
      </c>
      <c r="P92">
        <f>IF(COUNTIFS(T_StockCount[RM_Code],$A92,T_StockCount[WeekIndex],15)&gt;0,SUMIFS(T_StockCount[CountedQty],T_StockCount[RM_Code],$A92,T_StockCount[WeekIndex],15),IF((COUNTIFS(T_SelfStock[RM_Code],$A92,T_SelfStock[WeekIndex],15)&gt;0)*(COUNTIFS(T_TTAFStock[RM_Code],$A92,T_TTAFStock[WeekIndex],15)&gt;0)&gt;0,SUMIFS(T_SelfStock[Self_Qty],T_SelfStock[RM_Code],$A92,T_SelfStock[WeekIndex],15)+SUMIFS(T_TTAFStock[TTAF_Qty],T_TTAFStock[RM_Code],$A92,T_TTAFStock[WeekIndex],15),O92+'Grid_Incoming'!P92-'Grid_Requirement'!P92))</f>
        <v/>
      </c>
      <c r="Q92">
        <f>IF(COUNTIFS(T_StockCount[RM_Code],$A92,T_StockCount[WeekIndex],16)&gt;0,SUMIFS(T_StockCount[CountedQty],T_StockCount[RM_Code],$A92,T_StockCount[WeekIndex],16),IF((COUNTIFS(T_SelfStock[RM_Code],$A92,T_SelfStock[WeekIndex],16)&gt;0)*(COUNTIFS(T_TTAFStock[RM_Code],$A92,T_TTAFStock[WeekIndex],16)&gt;0)&gt;0,SUMIFS(T_SelfStock[Self_Qty],T_SelfStock[RM_Code],$A92,T_SelfStock[WeekIndex],16)+SUMIFS(T_TTAFStock[TTAF_Qty],T_TTAFStock[RM_Code],$A92,T_TTAFStock[WeekIndex],16),P92+'Grid_Incoming'!Q92-'Grid_Requirement'!Q92))</f>
        <v/>
      </c>
      <c r="R92">
        <f>IF(COUNTIFS(T_StockCount[RM_Code],$A92,T_StockCount[WeekIndex],17)&gt;0,SUMIFS(T_StockCount[CountedQty],T_StockCount[RM_Code],$A92,T_StockCount[WeekIndex],17),IF((COUNTIFS(T_SelfStock[RM_Code],$A92,T_SelfStock[WeekIndex],17)&gt;0)*(COUNTIFS(T_TTAFStock[RM_Code],$A92,T_TTAFStock[WeekIndex],17)&gt;0)&gt;0,SUMIFS(T_SelfStock[Self_Qty],T_SelfStock[RM_Code],$A92,T_SelfStock[WeekIndex],17)+SUMIFS(T_TTAFStock[TTAF_Qty],T_TTAFStock[RM_Code],$A92,T_TTAFStock[WeekIndex],17),Q92+'Grid_Incoming'!R92-'Grid_Requirement'!R92))</f>
        <v/>
      </c>
      <c r="S92">
        <f>IF(COUNTIFS(T_StockCount[RM_Code],$A92,T_StockCount[WeekIndex],18)&gt;0,SUMIFS(T_StockCount[CountedQty],T_StockCount[RM_Code],$A92,T_StockCount[WeekIndex],18),IF((COUNTIFS(T_SelfStock[RM_Code],$A92,T_SelfStock[WeekIndex],18)&gt;0)*(COUNTIFS(T_TTAFStock[RM_Code],$A92,T_TTAFStock[WeekIndex],18)&gt;0)&gt;0,SUMIFS(T_SelfStock[Self_Qty],T_SelfStock[RM_Code],$A92,T_SelfStock[WeekIndex],18)+SUMIFS(T_TTAFStock[TTAF_Qty],T_TTAFStock[RM_Code],$A92,T_TTAFStock[WeekIndex],18),R92+'Grid_Incoming'!S92-'Grid_Requirement'!S92))</f>
        <v/>
      </c>
      <c r="T92">
        <f>IF(COUNTIFS(T_StockCount[RM_Code],$A92,T_StockCount[WeekIndex],19)&gt;0,SUMIFS(T_StockCount[CountedQty],T_StockCount[RM_Code],$A92,T_StockCount[WeekIndex],19),IF((COUNTIFS(T_SelfStock[RM_Code],$A92,T_SelfStock[WeekIndex],19)&gt;0)*(COUNTIFS(T_TTAFStock[RM_Code],$A92,T_TTAFStock[WeekIndex],19)&gt;0)&gt;0,SUMIFS(T_SelfStock[Self_Qty],T_SelfStock[RM_Code],$A92,T_SelfStock[WeekIndex],19)+SUMIFS(T_TTAFStock[TTAF_Qty],T_TTAFStock[RM_Code],$A92,T_TTAFStock[WeekIndex],19),S92+'Grid_Incoming'!T92-'Grid_Requirement'!T92))</f>
        <v/>
      </c>
      <c r="U92">
        <f>IF(COUNTIFS(T_StockCount[RM_Code],$A92,T_StockCount[WeekIndex],20)&gt;0,SUMIFS(T_StockCount[CountedQty],T_StockCount[RM_Code],$A92,T_StockCount[WeekIndex],20),IF((COUNTIFS(T_SelfStock[RM_Code],$A92,T_SelfStock[WeekIndex],20)&gt;0)*(COUNTIFS(T_TTAFStock[RM_Code],$A92,T_TTAFStock[WeekIndex],20)&gt;0)&gt;0,SUMIFS(T_SelfStock[Self_Qty],T_SelfStock[RM_Code],$A92,T_SelfStock[WeekIndex],20)+SUMIFS(T_TTAFStock[TTAF_Qty],T_TTAFStock[RM_Code],$A92,T_TTAFStock[WeekIndex],20),T92+'Grid_Incoming'!U92-'Grid_Requirement'!U92))</f>
        <v/>
      </c>
      <c r="V92">
        <f>IF(COUNTIFS(T_StockCount[RM_Code],$A92,T_StockCount[WeekIndex],21)&gt;0,SUMIFS(T_StockCount[CountedQty],T_StockCount[RM_Code],$A92,T_StockCount[WeekIndex],21),IF((COUNTIFS(T_SelfStock[RM_Code],$A92,T_SelfStock[WeekIndex],21)&gt;0)*(COUNTIFS(T_TTAFStock[RM_Code],$A92,T_TTAFStock[WeekIndex],21)&gt;0)&gt;0,SUMIFS(T_SelfStock[Self_Qty],T_SelfStock[RM_Code],$A92,T_SelfStock[WeekIndex],21)+SUMIFS(T_TTAFStock[TTAF_Qty],T_TTAFStock[RM_Code],$A92,T_TTAFStock[WeekIndex],21),U92+'Grid_Incoming'!V92-'Grid_Requirement'!V92))</f>
        <v/>
      </c>
      <c r="W92">
        <f>IF(COUNTIFS(T_StockCount[RM_Code],$A92,T_StockCount[WeekIndex],22)&gt;0,SUMIFS(T_StockCount[CountedQty],T_StockCount[RM_Code],$A92,T_StockCount[WeekIndex],22),IF((COUNTIFS(T_SelfStock[RM_Code],$A92,T_SelfStock[WeekIndex],22)&gt;0)*(COUNTIFS(T_TTAFStock[RM_Code],$A92,T_TTAFStock[WeekIndex],22)&gt;0)&gt;0,SUMIFS(T_SelfStock[Self_Qty],T_SelfStock[RM_Code],$A92,T_SelfStock[WeekIndex],22)+SUMIFS(T_TTAFStock[TTAF_Qty],T_TTAFStock[RM_Code],$A92,T_TTAFStock[WeekIndex],22),V92+'Grid_Incoming'!W92-'Grid_Requirement'!W92))</f>
        <v/>
      </c>
      <c r="X92">
        <f>IF(COUNTIFS(T_StockCount[RM_Code],$A92,T_StockCount[WeekIndex],23)&gt;0,SUMIFS(T_StockCount[CountedQty],T_StockCount[RM_Code],$A92,T_StockCount[WeekIndex],23),IF((COUNTIFS(T_SelfStock[RM_Code],$A92,T_SelfStock[WeekIndex],23)&gt;0)*(COUNTIFS(T_TTAFStock[RM_Code],$A92,T_TTAFStock[WeekIndex],23)&gt;0)&gt;0,SUMIFS(T_SelfStock[Self_Qty],T_SelfStock[RM_Code],$A92,T_SelfStock[WeekIndex],23)+SUMIFS(T_TTAFStock[TTAF_Qty],T_TTAFStock[RM_Code],$A92,T_TTAFStock[WeekIndex],23),W92+'Grid_Incoming'!X92-'Grid_Requirement'!X92))</f>
        <v/>
      </c>
      <c r="Y92">
        <f>IF(COUNTIFS(T_StockCount[RM_Code],$A92,T_StockCount[WeekIndex],24)&gt;0,SUMIFS(T_StockCount[CountedQty],T_StockCount[RM_Code],$A92,T_StockCount[WeekIndex],24),IF((COUNTIFS(T_SelfStock[RM_Code],$A92,T_SelfStock[WeekIndex],24)&gt;0)*(COUNTIFS(T_TTAFStock[RM_Code],$A92,T_TTAFStock[WeekIndex],24)&gt;0)&gt;0,SUMIFS(T_SelfStock[Self_Qty],T_SelfStock[RM_Code],$A92,T_SelfStock[WeekIndex],24)+SUMIFS(T_TTAFStock[TTAF_Qty],T_TTAFStock[RM_Code],$A92,T_TTAFStock[WeekIndex],24),X92+'Grid_Incoming'!Y92-'Grid_Requirement'!Y92))</f>
        <v/>
      </c>
      <c r="Z92">
        <f>IF(COUNTIFS(T_StockCount[RM_Code],$A92,T_StockCount[WeekIndex],25)&gt;0,SUMIFS(T_StockCount[CountedQty],T_StockCount[RM_Code],$A92,T_StockCount[WeekIndex],25),IF((COUNTIFS(T_SelfStock[RM_Code],$A92,T_SelfStock[WeekIndex],25)&gt;0)*(COUNTIFS(T_TTAFStock[RM_Code],$A92,T_TTAFStock[WeekIndex],25)&gt;0)&gt;0,SUMIFS(T_SelfStock[Self_Qty],T_SelfStock[RM_Code],$A92,T_SelfStock[WeekIndex],25)+SUMIFS(T_TTAFStock[TTAF_Qty],T_TTAFStock[RM_Code],$A92,T_TTAFStock[WeekIndex],25),Y92+'Grid_Incoming'!Z92-'Grid_Requirement'!Z92))</f>
        <v/>
      </c>
      <c r="AA92">
        <f>IF(COUNTIFS(T_StockCount[RM_Code],$A92,T_StockCount[WeekIndex],26)&gt;0,SUMIFS(T_StockCount[CountedQty],T_StockCount[RM_Code],$A92,T_StockCount[WeekIndex],26),IF((COUNTIFS(T_SelfStock[RM_Code],$A92,T_SelfStock[WeekIndex],26)&gt;0)*(COUNTIFS(T_TTAFStock[RM_Code],$A92,T_TTAFStock[WeekIndex],26)&gt;0)&gt;0,SUMIFS(T_SelfStock[Self_Qty],T_SelfStock[RM_Code],$A92,T_SelfStock[WeekIndex],26)+SUMIFS(T_TTAFStock[TTAF_Qty],T_TTAFStock[RM_Code],$A92,T_TTAFStock[WeekIndex],26),Z92+'Grid_Incoming'!AA92-'Grid_Requirement'!AA92))</f>
        <v/>
      </c>
      <c r="AB92">
        <f>IF(COUNTIFS(T_StockCount[RM_Code],$A92,T_StockCount[WeekIndex],27)&gt;0,SUMIFS(T_StockCount[CountedQty],T_StockCount[RM_Code],$A92,T_StockCount[WeekIndex],27),IF((COUNTIFS(T_SelfStock[RM_Code],$A92,T_SelfStock[WeekIndex],27)&gt;0)*(COUNTIFS(T_TTAFStock[RM_Code],$A92,T_TTAFStock[WeekIndex],27)&gt;0)&gt;0,SUMIFS(T_SelfStock[Self_Qty],T_SelfStock[RM_Code],$A92,T_SelfStock[WeekIndex],27)+SUMIFS(T_TTAFStock[TTAF_Qty],T_TTAFStock[RM_Code],$A92,T_TTAFStock[WeekIndex],27),AA92+'Grid_Incoming'!AB92-'Grid_Requirement'!AB92))</f>
        <v/>
      </c>
      <c r="AC92">
        <f>IF(COUNTIFS(T_StockCount[RM_Code],$A92,T_StockCount[WeekIndex],28)&gt;0,SUMIFS(T_StockCount[CountedQty],T_StockCount[RM_Code],$A92,T_StockCount[WeekIndex],28),IF((COUNTIFS(T_SelfStock[RM_Code],$A92,T_SelfStock[WeekIndex],28)&gt;0)*(COUNTIFS(T_TTAFStock[RM_Code],$A92,T_TTAFStock[WeekIndex],28)&gt;0)&gt;0,SUMIFS(T_SelfStock[Self_Qty],T_SelfStock[RM_Code],$A92,T_SelfStock[WeekIndex],28)+SUMIFS(T_TTAFStock[TTAF_Qty],T_TTAFStock[RM_Code],$A92,T_TTAFStock[WeekIndex],28),AB92+'Grid_Incoming'!AC92-'Grid_Requirement'!AC92))</f>
        <v/>
      </c>
      <c r="AD92">
        <f>IF(COUNTIFS(T_StockCount[RM_Code],$A92,T_StockCount[WeekIndex],29)&gt;0,SUMIFS(T_StockCount[CountedQty],T_StockCount[RM_Code],$A92,T_StockCount[WeekIndex],29),IF((COUNTIFS(T_SelfStock[RM_Code],$A92,T_SelfStock[WeekIndex],29)&gt;0)*(COUNTIFS(T_TTAFStock[RM_Code],$A92,T_TTAFStock[WeekIndex],29)&gt;0)&gt;0,SUMIFS(T_SelfStock[Self_Qty],T_SelfStock[RM_Code],$A92,T_SelfStock[WeekIndex],29)+SUMIFS(T_TTAFStock[TTAF_Qty],T_TTAFStock[RM_Code],$A92,T_TTAFStock[WeekIndex],29),AC92+'Grid_Incoming'!AD92-'Grid_Requirement'!AD92))</f>
        <v/>
      </c>
      <c r="AE92">
        <f>IF(COUNTIFS(T_StockCount[RM_Code],$A92,T_StockCount[WeekIndex],30)&gt;0,SUMIFS(T_StockCount[CountedQty],T_StockCount[RM_Code],$A92,T_StockCount[WeekIndex],30),IF((COUNTIFS(T_SelfStock[RM_Code],$A92,T_SelfStock[WeekIndex],30)&gt;0)*(COUNTIFS(T_TTAFStock[RM_Code],$A92,T_TTAFStock[WeekIndex],30)&gt;0)&gt;0,SUMIFS(T_SelfStock[Self_Qty],T_SelfStock[RM_Code],$A92,T_SelfStock[WeekIndex],30)+SUMIFS(T_TTAFStock[TTAF_Qty],T_TTAFStock[RM_Code],$A92,T_TTAFStock[WeekIndex],30),AD92+'Grid_Incoming'!AE92-'Grid_Requirement'!AE92))</f>
        <v/>
      </c>
      <c r="AF92">
        <f>IF(COUNTIFS(T_StockCount[RM_Code],$A92,T_StockCount[WeekIndex],31)&gt;0,SUMIFS(T_StockCount[CountedQty],T_StockCount[RM_Code],$A92,T_StockCount[WeekIndex],31),IF((COUNTIFS(T_SelfStock[RM_Code],$A92,T_SelfStock[WeekIndex],31)&gt;0)*(COUNTIFS(T_TTAFStock[RM_Code],$A92,T_TTAFStock[WeekIndex],31)&gt;0)&gt;0,SUMIFS(T_SelfStock[Self_Qty],T_SelfStock[RM_Code],$A92,T_SelfStock[WeekIndex],31)+SUMIFS(T_TTAFStock[TTAF_Qty],T_TTAFStock[RM_Code],$A92,T_TTAFStock[WeekIndex],31),AE92+'Grid_Incoming'!AF92-'Grid_Requirement'!AF92))</f>
        <v/>
      </c>
      <c r="AG92">
        <f>IF(COUNTIFS(T_StockCount[RM_Code],$A92,T_StockCount[WeekIndex],32)&gt;0,SUMIFS(T_StockCount[CountedQty],T_StockCount[RM_Code],$A92,T_StockCount[WeekIndex],32),IF((COUNTIFS(T_SelfStock[RM_Code],$A92,T_SelfStock[WeekIndex],32)&gt;0)*(COUNTIFS(T_TTAFStock[RM_Code],$A92,T_TTAFStock[WeekIndex],32)&gt;0)&gt;0,SUMIFS(T_SelfStock[Self_Qty],T_SelfStock[RM_Code],$A92,T_SelfStock[WeekIndex],32)+SUMIFS(T_TTAFStock[TTAF_Qty],T_TTAFStock[RM_Code],$A92,T_TTAFStock[WeekIndex],32),AF92+'Grid_Incoming'!AG92-'Grid_Requirement'!AG92))</f>
        <v/>
      </c>
      <c r="AH92">
        <f>IF(COUNTIFS(T_StockCount[RM_Code],$A92,T_StockCount[WeekIndex],33)&gt;0,SUMIFS(T_StockCount[CountedQty],T_StockCount[RM_Code],$A92,T_StockCount[WeekIndex],33),IF((COUNTIFS(T_SelfStock[RM_Code],$A92,T_SelfStock[WeekIndex],33)&gt;0)*(COUNTIFS(T_TTAFStock[RM_Code],$A92,T_TTAFStock[WeekIndex],33)&gt;0)&gt;0,SUMIFS(T_SelfStock[Self_Qty],T_SelfStock[RM_Code],$A92,T_SelfStock[WeekIndex],33)+SUMIFS(T_TTAFStock[TTAF_Qty],T_TTAFStock[RM_Code],$A92,T_TTAFStock[WeekIndex],33),AG92+'Grid_Incoming'!AH92-'Grid_Requirement'!AH92))</f>
        <v/>
      </c>
      <c r="AI92">
        <f>IF(COUNTIFS(T_StockCount[RM_Code],$A92,T_StockCount[WeekIndex],34)&gt;0,SUMIFS(T_StockCount[CountedQty],T_StockCount[RM_Code],$A92,T_StockCount[WeekIndex],34),IF((COUNTIFS(T_SelfStock[RM_Code],$A92,T_SelfStock[WeekIndex],34)&gt;0)*(COUNTIFS(T_TTAFStock[RM_Code],$A92,T_TTAFStock[WeekIndex],34)&gt;0)&gt;0,SUMIFS(T_SelfStock[Self_Qty],T_SelfStock[RM_Code],$A92,T_SelfStock[WeekIndex],34)+SUMIFS(T_TTAFStock[TTAF_Qty],T_TTAFStock[RM_Code],$A92,T_TTAFStock[WeekIndex],34),AH92+'Grid_Incoming'!AI92-'Grid_Requirement'!AI92))</f>
        <v/>
      </c>
      <c r="AJ92">
        <f>IF(COUNTIFS(T_StockCount[RM_Code],$A92,T_StockCount[WeekIndex],35)&gt;0,SUMIFS(T_StockCount[CountedQty],T_StockCount[RM_Code],$A92,T_StockCount[WeekIndex],35),IF((COUNTIFS(T_SelfStock[RM_Code],$A92,T_SelfStock[WeekIndex],35)&gt;0)*(COUNTIFS(T_TTAFStock[RM_Code],$A92,T_TTAFStock[WeekIndex],35)&gt;0)&gt;0,SUMIFS(T_SelfStock[Self_Qty],T_SelfStock[RM_Code],$A92,T_SelfStock[WeekIndex],35)+SUMIFS(T_TTAFStock[TTAF_Qty],T_TTAFStock[RM_Code],$A92,T_TTAFStock[WeekIndex],35),AI92+'Grid_Incoming'!AJ92-'Grid_Requirement'!AJ92))</f>
        <v/>
      </c>
      <c r="AK92">
        <f>IF(COUNTIFS(T_StockCount[RM_Code],$A92,T_StockCount[WeekIndex],36)&gt;0,SUMIFS(T_StockCount[CountedQty],T_StockCount[RM_Code],$A92,T_StockCount[WeekIndex],36),IF((COUNTIFS(T_SelfStock[RM_Code],$A92,T_SelfStock[WeekIndex],36)&gt;0)*(COUNTIFS(T_TTAFStock[RM_Code],$A92,T_TTAFStock[WeekIndex],36)&gt;0)&gt;0,SUMIFS(T_SelfStock[Self_Qty],T_SelfStock[RM_Code],$A92,T_SelfStock[WeekIndex],36)+SUMIFS(T_TTAFStock[TTAF_Qty],T_TTAFStock[RM_Code],$A92,T_TTAFStock[WeekIndex],36),AJ92+'Grid_Incoming'!AK92-'Grid_Requirement'!AK92))</f>
        <v/>
      </c>
      <c r="AL92">
        <f>IF(COUNTIFS(T_StockCount[RM_Code],$A92,T_StockCount[WeekIndex],37)&gt;0,SUMIFS(T_StockCount[CountedQty],T_StockCount[RM_Code],$A92,T_StockCount[WeekIndex],37),IF((COUNTIFS(T_SelfStock[RM_Code],$A92,T_SelfStock[WeekIndex],37)&gt;0)*(COUNTIFS(T_TTAFStock[RM_Code],$A92,T_TTAFStock[WeekIndex],37)&gt;0)&gt;0,SUMIFS(T_SelfStock[Self_Qty],T_SelfStock[RM_Code],$A92,T_SelfStock[WeekIndex],37)+SUMIFS(T_TTAFStock[TTAF_Qty],T_TTAFStock[RM_Code],$A92,T_TTAFStock[WeekIndex],37),AK92+'Grid_Incoming'!AL92-'Grid_Requirement'!AL92))</f>
        <v/>
      </c>
      <c r="AM92">
        <f>IF(COUNTIFS(T_StockCount[RM_Code],$A92,T_StockCount[WeekIndex],38)&gt;0,SUMIFS(T_StockCount[CountedQty],T_StockCount[RM_Code],$A92,T_StockCount[WeekIndex],38),IF((COUNTIFS(T_SelfStock[RM_Code],$A92,T_SelfStock[WeekIndex],38)&gt;0)*(COUNTIFS(T_TTAFStock[RM_Code],$A92,T_TTAFStock[WeekIndex],38)&gt;0)&gt;0,SUMIFS(T_SelfStock[Self_Qty],T_SelfStock[RM_Code],$A92,T_SelfStock[WeekIndex],38)+SUMIFS(T_TTAFStock[TTAF_Qty],T_TTAFStock[RM_Code],$A92,T_TTAFStock[WeekIndex],38),AL92+'Grid_Incoming'!AM92-'Grid_Requirement'!AM92))</f>
        <v/>
      </c>
      <c r="AN92">
        <f>IF(COUNTIFS(T_StockCount[RM_Code],$A92,T_StockCount[WeekIndex],39)&gt;0,SUMIFS(T_StockCount[CountedQty],T_StockCount[RM_Code],$A92,T_StockCount[WeekIndex],39),IF((COUNTIFS(T_SelfStock[RM_Code],$A92,T_SelfStock[WeekIndex],39)&gt;0)*(COUNTIFS(T_TTAFStock[RM_Code],$A92,T_TTAFStock[WeekIndex],39)&gt;0)&gt;0,SUMIFS(T_SelfStock[Self_Qty],T_SelfStock[RM_Code],$A92,T_SelfStock[WeekIndex],39)+SUMIFS(T_TTAFStock[TTAF_Qty],T_TTAFStock[RM_Code],$A92,T_TTAFStock[WeekIndex],39),AM92+'Grid_Incoming'!AN92-'Grid_Requirement'!AN92))</f>
        <v/>
      </c>
      <c r="AO92">
        <f>IF(COUNTIFS(T_StockCount[RM_Code],$A92,T_StockCount[WeekIndex],40)&gt;0,SUMIFS(T_StockCount[CountedQty],T_StockCount[RM_Code],$A92,T_StockCount[WeekIndex],40),IF((COUNTIFS(T_SelfStock[RM_Code],$A92,T_SelfStock[WeekIndex],40)&gt;0)*(COUNTIFS(T_TTAFStock[RM_Code],$A92,T_TTAFStock[WeekIndex],40)&gt;0)&gt;0,SUMIFS(T_SelfStock[Self_Qty],T_SelfStock[RM_Code],$A92,T_SelfStock[WeekIndex],40)+SUMIFS(T_TTAFStock[TTAF_Qty],T_TTAFStock[RM_Code],$A92,T_TTAFStock[WeekIndex],40),AN92+'Grid_Incoming'!AO92-'Grid_Requirement'!AO92))</f>
        <v/>
      </c>
      <c r="AP92">
        <f>IF(COUNTIFS(T_StockCount[RM_Code],$A92,T_StockCount[WeekIndex],41)&gt;0,SUMIFS(T_StockCount[CountedQty],T_StockCount[RM_Code],$A92,T_StockCount[WeekIndex],41),IF((COUNTIFS(T_SelfStock[RM_Code],$A92,T_SelfStock[WeekIndex],41)&gt;0)*(COUNTIFS(T_TTAFStock[RM_Code],$A92,T_TTAFStock[WeekIndex],41)&gt;0)&gt;0,SUMIFS(T_SelfStock[Self_Qty],T_SelfStock[RM_Code],$A92,T_SelfStock[WeekIndex],41)+SUMIFS(T_TTAFStock[TTAF_Qty],T_TTAFStock[RM_Code],$A92,T_TTAFStock[WeekIndex],41),AO92+'Grid_Incoming'!AP92-'Grid_Requirement'!AP92))</f>
        <v/>
      </c>
      <c r="AQ92">
        <f>IF(COUNTIFS(T_StockCount[RM_Code],$A92,T_StockCount[WeekIndex],42)&gt;0,SUMIFS(T_StockCount[CountedQty],T_StockCount[RM_Code],$A92,T_StockCount[WeekIndex],42),IF((COUNTIFS(T_SelfStock[RM_Code],$A92,T_SelfStock[WeekIndex],42)&gt;0)*(COUNTIFS(T_TTAFStock[RM_Code],$A92,T_TTAFStock[WeekIndex],42)&gt;0)&gt;0,SUMIFS(T_SelfStock[Self_Qty],T_SelfStock[RM_Code],$A92,T_SelfStock[WeekIndex],42)+SUMIFS(T_TTAFStock[TTAF_Qty],T_TTAFStock[RM_Code],$A92,T_TTAFStock[WeekIndex],42),AP92+'Grid_Incoming'!AQ92-'Grid_Requirement'!AQ92))</f>
        <v/>
      </c>
      <c r="AR92">
        <f>IF(COUNTIFS(T_StockCount[RM_Code],$A92,T_StockCount[WeekIndex],43)&gt;0,SUMIFS(T_StockCount[CountedQty],T_StockCount[RM_Code],$A92,T_StockCount[WeekIndex],43),IF((COUNTIFS(T_SelfStock[RM_Code],$A92,T_SelfStock[WeekIndex],43)&gt;0)*(COUNTIFS(T_TTAFStock[RM_Code],$A92,T_TTAFStock[WeekIndex],43)&gt;0)&gt;0,SUMIFS(T_SelfStock[Self_Qty],T_SelfStock[RM_Code],$A92,T_SelfStock[WeekIndex],43)+SUMIFS(T_TTAFStock[TTAF_Qty],T_TTAFStock[RM_Code],$A92,T_TTAFStock[WeekIndex],43),AQ92+'Grid_Incoming'!AR92-'Grid_Requirement'!AR92))</f>
        <v/>
      </c>
      <c r="AS92">
        <f>IF(COUNTIFS(T_StockCount[RM_Code],$A92,T_StockCount[WeekIndex],44)&gt;0,SUMIFS(T_StockCount[CountedQty],T_StockCount[RM_Code],$A92,T_StockCount[WeekIndex],44),IF((COUNTIFS(T_SelfStock[RM_Code],$A92,T_SelfStock[WeekIndex],44)&gt;0)*(COUNTIFS(T_TTAFStock[RM_Code],$A92,T_TTAFStock[WeekIndex],44)&gt;0)&gt;0,SUMIFS(T_SelfStock[Self_Qty],T_SelfStock[RM_Code],$A92,T_SelfStock[WeekIndex],44)+SUMIFS(T_TTAFStock[TTAF_Qty],T_TTAFStock[RM_Code],$A92,T_TTAFStock[WeekIndex],44),AR92+'Grid_Incoming'!AS92-'Grid_Requirement'!AS92))</f>
        <v/>
      </c>
      <c r="AT92">
        <f>IF(COUNTIFS(T_StockCount[RM_Code],$A92,T_StockCount[WeekIndex],45)&gt;0,SUMIFS(T_StockCount[CountedQty],T_StockCount[RM_Code],$A92,T_StockCount[WeekIndex],45),IF((COUNTIFS(T_SelfStock[RM_Code],$A92,T_SelfStock[WeekIndex],45)&gt;0)*(COUNTIFS(T_TTAFStock[RM_Code],$A92,T_TTAFStock[WeekIndex],45)&gt;0)&gt;0,SUMIFS(T_SelfStock[Self_Qty],T_SelfStock[RM_Code],$A92,T_SelfStock[WeekIndex],45)+SUMIFS(T_TTAFStock[TTAF_Qty],T_TTAFStock[RM_Code],$A92,T_TTAFStock[WeekIndex],45),AS92+'Grid_Incoming'!AT92-'Grid_Requirement'!AT92))</f>
        <v/>
      </c>
      <c r="AU92">
        <f>IF(COUNTIFS(T_StockCount[RM_Code],$A92,T_StockCount[WeekIndex],46)&gt;0,SUMIFS(T_StockCount[CountedQty],T_StockCount[RM_Code],$A92,T_StockCount[WeekIndex],46),IF((COUNTIFS(T_SelfStock[RM_Code],$A92,T_SelfStock[WeekIndex],46)&gt;0)*(COUNTIFS(T_TTAFStock[RM_Code],$A92,T_TTAFStock[WeekIndex],46)&gt;0)&gt;0,SUMIFS(T_SelfStock[Self_Qty],T_SelfStock[RM_Code],$A92,T_SelfStock[WeekIndex],46)+SUMIFS(T_TTAFStock[TTAF_Qty],T_TTAFStock[RM_Code],$A92,T_TTAFStock[WeekIndex],46),AT92+'Grid_Incoming'!AU92-'Grid_Requirement'!AU92))</f>
        <v/>
      </c>
      <c r="AV92">
        <f>IF(COUNTIFS(T_StockCount[RM_Code],$A92,T_StockCount[WeekIndex],47)&gt;0,SUMIFS(T_StockCount[CountedQty],T_StockCount[RM_Code],$A92,T_StockCount[WeekIndex],47),IF((COUNTIFS(T_SelfStock[RM_Code],$A92,T_SelfStock[WeekIndex],47)&gt;0)*(COUNTIFS(T_TTAFStock[RM_Code],$A92,T_TTAFStock[WeekIndex],47)&gt;0)&gt;0,SUMIFS(T_SelfStock[Self_Qty],T_SelfStock[RM_Code],$A92,T_SelfStock[WeekIndex],47)+SUMIFS(T_TTAFStock[TTAF_Qty],T_TTAFStock[RM_Code],$A92,T_TTAFStock[WeekIndex],47),AU92+'Grid_Incoming'!AV92-'Grid_Requirement'!AV92))</f>
        <v/>
      </c>
      <c r="AW92">
        <f>IF(COUNTIFS(T_StockCount[RM_Code],$A92,T_StockCount[WeekIndex],48)&gt;0,SUMIFS(T_StockCount[CountedQty],T_StockCount[RM_Code],$A92,T_StockCount[WeekIndex],48),IF((COUNTIFS(T_SelfStock[RM_Code],$A92,T_SelfStock[WeekIndex],48)&gt;0)*(COUNTIFS(T_TTAFStock[RM_Code],$A92,T_TTAFStock[WeekIndex],48)&gt;0)&gt;0,SUMIFS(T_SelfStock[Self_Qty],T_SelfStock[RM_Code],$A92,T_SelfStock[WeekIndex],48)+SUMIFS(T_TTAFStock[TTAF_Qty],T_TTAFStock[RM_Code],$A92,T_TTAFStock[WeekIndex],48),AV92+'Grid_Incoming'!AW92-'Grid_Requirement'!AW92))</f>
        <v/>
      </c>
      <c r="AX92">
        <f>IF(COUNTIFS(T_StockCount[RM_Code],$A92,T_StockCount[WeekIndex],49)&gt;0,SUMIFS(T_StockCount[CountedQty],T_StockCount[RM_Code],$A92,T_StockCount[WeekIndex],49),IF((COUNTIFS(T_SelfStock[RM_Code],$A92,T_SelfStock[WeekIndex],49)&gt;0)*(COUNTIFS(T_TTAFStock[RM_Code],$A92,T_TTAFStock[WeekIndex],49)&gt;0)&gt;0,SUMIFS(T_SelfStock[Self_Qty],T_SelfStock[RM_Code],$A92,T_SelfStock[WeekIndex],49)+SUMIFS(T_TTAFStock[TTAF_Qty],T_TTAFStock[RM_Code],$A92,T_TTAFStock[WeekIndex],49),AW92+'Grid_Incoming'!AX92-'Grid_Requirement'!AX92))</f>
        <v/>
      </c>
      <c r="AY92">
        <f>IF(COUNTIFS(T_StockCount[RM_Code],$A92,T_StockCount[WeekIndex],50)&gt;0,SUMIFS(T_StockCount[CountedQty],T_StockCount[RM_Code],$A92,T_StockCount[WeekIndex],50),IF((COUNTIFS(T_SelfStock[RM_Code],$A92,T_SelfStock[WeekIndex],50)&gt;0)*(COUNTIFS(T_TTAFStock[RM_Code],$A92,T_TTAFStock[WeekIndex],50)&gt;0)&gt;0,SUMIFS(T_SelfStock[Self_Qty],T_SelfStock[RM_Code],$A92,T_SelfStock[WeekIndex],50)+SUMIFS(T_TTAFStock[TTAF_Qty],T_TTAFStock[RM_Code],$A92,T_TTAFStock[WeekIndex],50),AX92+'Grid_Incoming'!AY92-'Grid_Requirement'!AY92))</f>
        <v/>
      </c>
      <c r="AZ92">
        <f>IF(COUNTIFS(T_StockCount[RM_Code],$A92,T_StockCount[WeekIndex],51)&gt;0,SUMIFS(T_StockCount[CountedQty],T_StockCount[RM_Code],$A92,T_StockCount[WeekIndex],51),IF((COUNTIFS(T_SelfStock[RM_Code],$A92,T_SelfStock[WeekIndex],51)&gt;0)*(COUNTIFS(T_TTAFStock[RM_Code],$A92,T_TTAFStock[WeekIndex],51)&gt;0)&gt;0,SUMIFS(T_SelfStock[Self_Qty],T_SelfStock[RM_Code],$A92,T_SelfStock[WeekIndex],51)+SUMIFS(T_TTAFStock[TTAF_Qty],T_TTAFStock[RM_Code],$A92,T_TTAFStock[WeekIndex],51),AY92+'Grid_Incoming'!AZ92-'Grid_Requirement'!AZ92))</f>
        <v/>
      </c>
      <c r="BA92">
        <f>IF(COUNTIFS(T_StockCount[RM_Code],$A92,T_StockCount[WeekIndex],52)&gt;0,SUMIFS(T_StockCount[CountedQty],T_StockCount[RM_Code],$A92,T_StockCount[WeekIndex],52),IF((COUNTIFS(T_SelfStock[RM_Code],$A92,T_SelfStock[WeekIndex],52)&gt;0)*(COUNTIFS(T_TTAFStock[RM_Code],$A92,T_TTAFStock[WeekIndex],52)&gt;0)&gt;0,SUMIFS(T_SelfStock[Self_Qty],T_SelfStock[RM_Code],$A92,T_SelfStock[WeekIndex],52)+SUMIFS(T_TTAFStock[TTAF_Qty],T_TTAFStock[RM_Code],$A92,T_TTAFStock[WeekIndex],52),AZ92+'Grid_Incoming'!BA92-'Grid_Requirement'!BA92))</f>
        <v/>
      </c>
      <c r="BB92">
        <f>IF(COUNTIFS(T_StockCount[RM_Code],$A92,T_StockCount[WeekIndex],53)&gt;0,SUMIFS(T_StockCount[CountedQty],T_StockCount[RM_Code],$A92,T_StockCount[WeekIndex],53),IF((COUNTIFS(T_SelfStock[RM_Code],$A92,T_SelfStock[WeekIndex],53)&gt;0)*(COUNTIFS(T_TTAFStock[RM_Code],$A92,T_TTAFStock[WeekIndex],53)&gt;0)&gt;0,SUMIFS(T_SelfStock[Self_Qty],T_SelfStock[RM_Code],$A92,T_SelfStock[WeekIndex],53)+SUMIFS(T_TTAFStock[TTAF_Qty],T_TTAFStock[RM_Code],$A92,T_TTAFStock[WeekIndex],53),BA92+'Grid_Incoming'!BB92-'Grid_Requirement'!BB92))</f>
        <v/>
      </c>
      <c r="BC92">
        <f>IF(COUNTIFS(T_StockCount[RM_Code],$A92,T_StockCount[WeekIndex],54)&gt;0,SUMIFS(T_StockCount[CountedQty],T_StockCount[RM_Code],$A92,T_StockCount[WeekIndex],54),IF((COUNTIFS(T_SelfStock[RM_Code],$A92,T_SelfStock[WeekIndex],54)&gt;0)*(COUNTIFS(T_TTAFStock[RM_Code],$A92,T_TTAFStock[WeekIndex],54)&gt;0)&gt;0,SUMIFS(T_SelfStock[Self_Qty],T_SelfStock[RM_Code],$A92,T_SelfStock[WeekIndex],54)+SUMIFS(T_TTAFStock[TTAF_Qty],T_TTAFStock[RM_Code],$A92,T_TTAFStock[WeekIndex],54),BB92+'Grid_Incoming'!BC92-'Grid_Requirement'!BC92))</f>
        <v/>
      </c>
      <c r="BD92">
        <f>IF(COUNTIFS(T_StockCount[RM_Code],$A92,T_StockCount[WeekIndex],55)&gt;0,SUMIFS(T_StockCount[CountedQty],T_StockCount[RM_Code],$A92,T_StockCount[WeekIndex],55),IF((COUNTIFS(T_SelfStock[RM_Code],$A92,T_SelfStock[WeekIndex],55)&gt;0)*(COUNTIFS(T_TTAFStock[RM_Code],$A92,T_TTAFStock[WeekIndex],55)&gt;0)&gt;0,SUMIFS(T_SelfStock[Self_Qty],T_SelfStock[RM_Code],$A92,T_SelfStock[WeekIndex],55)+SUMIFS(T_TTAFStock[TTAF_Qty],T_TTAFStock[RM_Code],$A92,T_TTAFStock[WeekIndex],55),BC92+'Grid_Incoming'!BD92-'Grid_Requirement'!BD92))</f>
        <v/>
      </c>
      <c r="BE92">
        <f>IF(COUNTIFS(T_StockCount[RM_Code],$A92,T_StockCount[WeekIndex],56)&gt;0,SUMIFS(T_StockCount[CountedQty],T_StockCount[RM_Code],$A92,T_StockCount[WeekIndex],56),IF((COUNTIFS(T_SelfStock[RM_Code],$A92,T_SelfStock[WeekIndex],56)&gt;0)*(COUNTIFS(T_TTAFStock[RM_Code],$A92,T_TTAFStock[WeekIndex],56)&gt;0)&gt;0,SUMIFS(T_SelfStock[Self_Qty],T_SelfStock[RM_Code],$A92,T_SelfStock[WeekIndex],56)+SUMIFS(T_TTAFStock[TTAF_Qty],T_TTAFStock[RM_Code],$A92,T_TTAFStock[WeekIndex],56),BD92+'Grid_Incoming'!BE92-'Grid_Requirement'!BE92))</f>
        <v/>
      </c>
      <c r="BF92">
        <f>IF(COUNTIFS(T_StockCount[RM_Code],$A92,T_StockCount[WeekIndex],57)&gt;0,SUMIFS(T_StockCount[CountedQty],T_StockCount[RM_Code],$A92,T_StockCount[WeekIndex],57),IF((COUNTIFS(T_SelfStock[RM_Code],$A92,T_SelfStock[WeekIndex],57)&gt;0)*(COUNTIFS(T_TTAFStock[RM_Code],$A92,T_TTAFStock[WeekIndex],57)&gt;0)&gt;0,SUMIFS(T_SelfStock[Self_Qty],T_SelfStock[RM_Code],$A92,T_SelfStock[WeekIndex],57)+SUMIFS(T_TTAFStock[TTAF_Qty],T_TTAFStock[RM_Code],$A92,T_TTAFStock[WeekIndex],57),BE92+'Grid_Incoming'!BF92-'Grid_Requirement'!BF92))</f>
        <v/>
      </c>
      <c r="BG92">
        <f>IF(COUNTIFS(T_StockCount[RM_Code],$A92,T_StockCount[WeekIndex],58)&gt;0,SUMIFS(T_StockCount[CountedQty],T_StockCount[RM_Code],$A92,T_StockCount[WeekIndex],58),IF((COUNTIFS(T_SelfStock[RM_Code],$A92,T_SelfStock[WeekIndex],58)&gt;0)*(COUNTIFS(T_TTAFStock[RM_Code],$A92,T_TTAFStock[WeekIndex],58)&gt;0)&gt;0,SUMIFS(T_SelfStock[Self_Qty],T_SelfStock[RM_Code],$A92,T_SelfStock[WeekIndex],58)+SUMIFS(T_TTAFStock[TTAF_Qty],T_TTAFStock[RM_Code],$A92,T_TTAFStock[WeekIndex],58),BF92+'Grid_Incoming'!BG92-'Grid_Requirement'!BG92))</f>
        <v/>
      </c>
      <c r="BH92">
        <f>IF(COUNTIFS(T_StockCount[RM_Code],$A92,T_StockCount[WeekIndex],59)&gt;0,SUMIFS(T_StockCount[CountedQty],T_StockCount[RM_Code],$A92,T_StockCount[WeekIndex],59),IF((COUNTIFS(T_SelfStock[RM_Code],$A92,T_SelfStock[WeekIndex],59)&gt;0)*(COUNTIFS(T_TTAFStock[RM_Code],$A92,T_TTAFStock[WeekIndex],59)&gt;0)&gt;0,SUMIFS(T_SelfStock[Self_Qty],T_SelfStock[RM_Code],$A92,T_SelfStock[WeekIndex],59)+SUMIFS(T_TTAFStock[TTAF_Qty],T_TTAFStock[RM_Code],$A92,T_TTAFStock[WeekIndex],59),BG92+'Grid_Incoming'!BH92-'Grid_Requirement'!BH92))</f>
        <v/>
      </c>
      <c r="BI92">
        <f>IF(COUNTIFS(T_StockCount[RM_Code],$A92,T_StockCount[WeekIndex],60)&gt;0,SUMIFS(T_StockCount[CountedQty],T_StockCount[RM_Code],$A92,T_StockCount[WeekIndex],60),IF((COUNTIFS(T_SelfStock[RM_Code],$A92,T_SelfStock[WeekIndex],60)&gt;0)*(COUNTIFS(T_TTAFStock[RM_Code],$A92,T_TTAFStock[WeekIndex],60)&gt;0)&gt;0,SUMIFS(T_SelfStock[Self_Qty],T_SelfStock[RM_Code],$A92,T_SelfStock[WeekIndex],60)+SUMIFS(T_TTAFStock[TTAF_Qty],T_TTAFStock[RM_Code],$A92,T_TTAFStock[WeekIndex],60),BH92+'Grid_Incoming'!BI92-'Grid_Requirement'!BI92))</f>
        <v/>
      </c>
      <c r="BJ92">
        <f>IF(COUNTIFS(T_StockCount[RM_Code],$A92,T_StockCount[WeekIndex],61)&gt;0,SUMIFS(T_StockCount[CountedQty],T_StockCount[RM_Code],$A92,T_StockCount[WeekIndex],61),IF((COUNTIFS(T_SelfStock[RM_Code],$A92,T_SelfStock[WeekIndex],61)&gt;0)*(COUNTIFS(T_TTAFStock[RM_Code],$A92,T_TTAFStock[WeekIndex],61)&gt;0)&gt;0,SUMIFS(T_SelfStock[Self_Qty],T_SelfStock[RM_Code],$A92,T_SelfStock[WeekIndex],61)+SUMIFS(T_TTAFStock[TTAF_Qty],T_TTAFStock[RM_Code],$A92,T_TTAFStock[WeekIndex],61),BI92+'Grid_Incoming'!BJ92-'Grid_Requirement'!BJ92))</f>
        <v/>
      </c>
      <c r="BK92">
        <f>IF(COUNTIFS(T_StockCount[RM_Code],$A92,T_StockCount[WeekIndex],62)&gt;0,SUMIFS(T_StockCount[CountedQty],T_StockCount[RM_Code],$A92,T_StockCount[WeekIndex],62),IF((COUNTIFS(T_SelfStock[RM_Code],$A92,T_SelfStock[WeekIndex],62)&gt;0)*(COUNTIFS(T_TTAFStock[RM_Code],$A92,T_TTAFStock[WeekIndex],62)&gt;0)&gt;0,SUMIFS(T_SelfStock[Self_Qty],T_SelfStock[RM_Code],$A92,T_SelfStock[WeekIndex],62)+SUMIFS(T_TTAFStock[TTAF_Qty],T_TTAFStock[RM_Code],$A92,T_TTAFStock[WeekIndex],62),BJ92+'Grid_Incoming'!BK92-'Grid_Requirement'!BK92))</f>
        <v/>
      </c>
      <c r="BL92">
        <f>IF(COUNTIFS(T_StockCount[RM_Code],$A92,T_StockCount[WeekIndex],63)&gt;0,SUMIFS(T_StockCount[CountedQty],T_StockCount[RM_Code],$A92,T_StockCount[WeekIndex],63),IF((COUNTIFS(T_SelfStock[RM_Code],$A92,T_SelfStock[WeekIndex],63)&gt;0)*(COUNTIFS(T_TTAFStock[RM_Code],$A92,T_TTAFStock[WeekIndex],63)&gt;0)&gt;0,SUMIFS(T_SelfStock[Self_Qty],T_SelfStock[RM_Code],$A92,T_SelfStock[WeekIndex],63)+SUMIFS(T_TTAFStock[TTAF_Qty],T_TTAFStock[RM_Code],$A92,T_TTAFStock[WeekIndex],63),BK92+'Grid_Incoming'!BL92-'Grid_Requirement'!BL92))</f>
        <v/>
      </c>
      <c r="BM92">
        <f>IF(COUNTIFS(T_StockCount[RM_Code],$A92,T_StockCount[WeekIndex],64)&gt;0,SUMIFS(T_StockCount[CountedQty],T_StockCount[RM_Code],$A92,T_StockCount[WeekIndex],64),IF((COUNTIFS(T_SelfStock[RM_Code],$A92,T_SelfStock[WeekIndex],64)&gt;0)*(COUNTIFS(T_TTAFStock[RM_Code],$A92,T_TTAFStock[WeekIndex],64)&gt;0)&gt;0,SUMIFS(T_SelfStock[Self_Qty],T_SelfStock[RM_Code],$A92,T_SelfStock[WeekIndex],64)+SUMIFS(T_TTAFStock[TTAF_Qty],T_TTAFStock[RM_Code],$A92,T_TTAFStock[WeekIndex],64),BL92+'Grid_Incoming'!BM92-'Grid_Requirement'!BM92))</f>
        <v/>
      </c>
      <c r="BN92">
        <f>IF(COUNTIFS(T_StockCount[RM_Code],$A92,T_StockCount[WeekIndex],65)&gt;0,SUMIFS(T_StockCount[CountedQty],T_StockCount[RM_Code],$A92,T_StockCount[WeekIndex],65),IF((COUNTIFS(T_SelfStock[RM_Code],$A92,T_SelfStock[WeekIndex],65)&gt;0)*(COUNTIFS(T_TTAFStock[RM_Code],$A92,T_TTAFStock[WeekIndex],65)&gt;0)&gt;0,SUMIFS(T_SelfStock[Self_Qty],T_SelfStock[RM_Code],$A92,T_SelfStock[WeekIndex],65)+SUMIFS(T_TTAFStock[TTAF_Qty],T_TTAFStock[RM_Code],$A92,T_TTAFStock[WeekIndex],65),BM92+'Grid_Incoming'!BN92-'Grid_Requirement'!BN92))</f>
        <v/>
      </c>
      <c r="BO92">
        <f>IF(COUNTIFS(T_StockCount[RM_Code],$A92,T_StockCount[WeekIndex],66)&gt;0,SUMIFS(T_StockCount[CountedQty],T_StockCount[RM_Code],$A92,T_StockCount[WeekIndex],66),IF((COUNTIFS(T_SelfStock[RM_Code],$A92,T_SelfStock[WeekIndex],66)&gt;0)*(COUNTIFS(T_TTAFStock[RM_Code],$A92,T_TTAFStock[WeekIndex],66)&gt;0)&gt;0,SUMIFS(T_SelfStock[Self_Qty],T_SelfStock[RM_Code],$A92,T_SelfStock[WeekIndex],66)+SUMIFS(T_TTAFStock[TTAF_Qty],T_TTAFStock[RM_Code],$A92,T_TTAFStock[WeekIndex],66),BN92+'Grid_Incoming'!BO92-'Grid_Requirement'!BO92))</f>
        <v/>
      </c>
      <c r="BP92">
        <f>IF(COUNTIFS(T_StockCount[RM_Code],$A92,T_StockCount[WeekIndex],67)&gt;0,SUMIFS(T_StockCount[CountedQty],T_StockCount[RM_Code],$A92,T_StockCount[WeekIndex],67),IF((COUNTIFS(T_SelfStock[RM_Code],$A92,T_SelfStock[WeekIndex],67)&gt;0)*(COUNTIFS(T_TTAFStock[RM_Code],$A92,T_TTAFStock[WeekIndex],67)&gt;0)&gt;0,SUMIFS(T_SelfStock[Self_Qty],T_SelfStock[RM_Code],$A92,T_SelfStock[WeekIndex],67)+SUMIFS(T_TTAFStock[TTAF_Qty],T_TTAFStock[RM_Code],$A92,T_TTAFStock[WeekIndex],67),BO92+'Grid_Incoming'!BP92-'Grid_Requirement'!BP92))</f>
        <v/>
      </c>
      <c r="BQ92">
        <f>IF(COUNTIFS(T_StockCount[RM_Code],$A92,T_StockCount[WeekIndex],68)&gt;0,SUMIFS(T_StockCount[CountedQty],T_StockCount[RM_Code],$A92,T_StockCount[WeekIndex],68),IF((COUNTIFS(T_SelfStock[RM_Code],$A92,T_SelfStock[WeekIndex],68)&gt;0)*(COUNTIFS(T_TTAFStock[RM_Code],$A92,T_TTAFStock[WeekIndex],68)&gt;0)&gt;0,SUMIFS(T_SelfStock[Self_Qty],T_SelfStock[RM_Code],$A92,T_SelfStock[WeekIndex],68)+SUMIFS(T_TTAFStock[TTAF_Qty],T_TTAFStock[RM_Code],$A92,T_TTAFStock[WeekIndex],68),BP92+'Grid_Incoming'!BQ92-'Grid_Requirement'!BQ92))</f>
        <v/>
      </c>
      <c r="BR92">
        <f>IF(COUNTIFS(T_StockCount[RM_Code],$A92,T_StockCount[WeekIndex],69)&gt;0,SUMIFS(T_StockCount[CountedQty],T_StockCount[RM_Code],$A92,T_StockCount[WeekIndex],69),IF((COUNTIFS(T_SelfStock[RM_Code],$A92,T_SelfStock[WeekIndex],69)&gt;0)*(COUNTIFS(T_TTAFStock[RM_Code],$A92,T_TTAFStock[WeekIndex],69)&gt;0)&gt;0,SUMIFS(T_SelfStock[Self_Qty],T_SelfStock[RM_Code],$A92,T_SelfStock[WeekIndex],69)+SUMIFS(T_TTAFStock[TTAF_Qty],T_TTAFStock[RM_Code],$A92,T_TTAFStock[WeekIndex],69),BQ92+'Grid_Incoming'!BR92-'Grid_Requirement'!BR92))</f>
        <v/>
      </c>
      <c r="BS92">
        <f>IF(COUNTIFS(T_StockCount[RM_Code],$A92,T_StockCount[WeekIndex],70)&gt;0,SUMIFS(T_StockCount[CountedQty],T_StockCount[RM_Code],$A92,T_StockCount[WeekIndex],70),IF((COUNTIFS(T_SelfStock[RM_Code],$A92,T_SelfStock[WeekIndex],70)&gt;0)*(COUNTIFS(T_TTAFStock[RM_Code],$A92,T_TTAFStock[WeekIndex],70)&gt;0)&gt;0,SUMIFS(T_SelfStock[Self_Qty],T_SelfStock[RM_Code],$A92,T_SelfStock[WeekIndex],70)+SUMIFS(T_TTAFStock[TTAF_Qty],T_TTAFStock[RM_Code],$A92,T_TTAFStock[WeekIndex],70),BR92+'Grid_Incoming'!BS92-'Grid_Requirement'!BS92))</f>
        <v/>
      </c>
      <c r="BT92">
        <f>IF(COUNTIFS(T_StockCount[RM_Code],$A92,T_StockCount[WeekIndex],71)&gt;0,SUMIFS(T_StockCount[CountedQty],T_StockCount[RM_Code],$A92,T_StockCount[WeekIndex],71),IF((COUNTIFS(T_SelfStock[RM_Code],$A92,T_SelfStock[WeekIndex],71)&gt;0)*(COUNTIFS(T_TTAFStock[RM_Code],$A92,T_TTAFStock[WeekIndex],71)&gt;0)&gt;0,SUMIFS(T_SelfStock[Self_Qty],T_SelfStock[RM_Code],$A92,T_SelfStock[WeekIndex],71)+SUMIFS(T_TTAFStock[TTAF_Qty],T_TTAFStock[RM_Code],$A92,T_TTAFStock[WeekIndex],71),BS92+'Grid_Incoming'!BT92-'Grid_Requirement'!BT92))</f>
        <v/>
      </c>
      <c r="BU92">
        <f>IF(COUNTIFS(T_StockCount[RM_Code],$A92,T_StockCount[WeekIndex],72)&gt;0,SUMIFS(T_StockCount[CountedQty],T_StockCount[RM_Code],$A92,T_StockCount[WeekIndex],72),IF((COUNTIFS(T_SelfStock[RM_Code],$A92,T_SelfStock[WeekIndex],72)&gt;0)*(COUNTIFS(T_TTAFStock[RM_Code],$A92,T_TTAFStock[WeekIndex],72)&gt;0)&gt;0,SUMIFS(T_SelfStock[Self_Qty],T_SelfStock[RM_Code],$A92,T_SelfStock[WeekIndex],72)+SUMIFS(T_TTAFStock[TTAF_Qty],T_TTAFStock[RM_Code],$A92,T_TTAFStock[WeekIndex],72),BT92+'Grid_Incoming'!BU92-'Grid_Requirement'!BU92))</f>
        <v/>
      </c>
      <c r="BV92">
        <f>IF(COUNTIFS(T_StockCount[RM_Code],$A92,T_StockCount[WeekIndex],73)&gt;0,SUMIFS(T_StockCount[CountedQty],T_StockCount[RM_Code],$A92,T_StockCount[WeekIndex],73),IF((COUNTIFS(T_SelfStock[RM_Code],$A92,T_SelfStock[WeekIndex],73)&gt;0)*(COUNTIFS(T_TTAFStock[RM_Code],$A92,T_TTAFStock[WeekIndex],73)&gt;0)&gt;0,SUMIFS(T_SelfStock[Self_Qty],T_SelfStock[RM_Code],$A92,T_SelfStock[WeekIndex],73)+SUMIFS(T_TTAFStock[TTAF_Qty],T_TTAFStock[RM_Code],$A92,T_TTAFStock[WeekIndex],73),BU92+'Grid_Incoming'!BV92-'Grid_Requirement'!BV92))</f>
        <v/>
      </c>
      <c r="BW92">
        <f>IF(COUNTIFS(T_StockCount[RM_Code],$A92,T_StockCount[WeekIndex],74)&gt;0,SUMIFS(T_StockCount[CountedQty],T_StockCount[RM_Code],$A92,T_StockCount[WeekIndex],74),IF((COUNTIFS(T_SelfStock[RM_Code],$A92,T_SelfStock[WeekIndex],74)&gt;0)*(COUNTIFS(T_TTAFStock[RM_Code],$A92,T_TTAFStock[WeekIndex],74)&gt;0)&gt;0,SUMIFS(T_SelfStock[Self_Qty],T_SelfStock[RM_Code],$A92,T_SelfStock[WeekIndex],74)+SUMIFS(T_TTAFStock[TTAF_Qty],T_TTAFStock[RM_Code],$A92,T_TTAFStock[WeekIndex],74),BV92+'Grid_Incoming'!BW92-'Grid_Requirement'!BW92))</f>
        <v/>
      </c>
      <c r="BX92">
        <f>IF(COUNTIFS(T_StockCount[RM_Code],$A92,T_StockCount[WeekIndex],75)&gt;0,SUMIFS(T_StockCount[CountedQty],T_StockCount[RM_Code],$A92,T_StockCount[WeekIndex],75),IF((COUNTIFS(T_SelfStock[RM_Code],$A92,T_SelfStock[WeekIndex],75)&gt;0)*(COUNTIFS(T_TTAFStock[RM_Code],$A92,T_TTAFStock[WeekIndex],75)&gt;0)&gt;0,SUMIFS(T_SelfStock[Self_Qty],T_SelfStock[RM_Code],$A92,T_SelfStock[WeekIndex],75)+SUMIFS(T_TTAFStock[TTAF_Qty],T_TTAFStock[RM_Code],$A92,T_TTAFStock[WeekIndex],75),BW92+'Grid_Incoming'!BX92-'Grid_Requirement'!BX92))</f>
        <v/>
      </c>
      <c r="BY92">
        <f>IF(COUNTIFS(T_StockCount[RM_Code],$A92,T_StockCount[WeekIndex],76)&gt;0,SUMIFS(T_StockCount[CountedQty],T_StockCount[RM_Code],$A92,T_StockCount[WeekIndex],76),IF((COUNTIFS(T_SelfStock[RM_Code],$A92,T_SelfStock[WeekIndex],76)&gt;0)*(COUNTIFS(T_TTAFStock[RM_Code],$A92,T_TTAFStock[WeekIndex],76)&gt;0)&gt;0,SUMIFS(T_SelfStock[Self_Qty],T_SelfStock[RM_Code],$A92,T_SelfStock[WeekIndex],76)+SUMIFS(T_TTAFStock[TTAF_Qty],T_TTAFStock[RM_Code],$A92,T_TTAFStock[WeekIndex],76),BX92+'Grid_Incoming'!BY92-'Grid_Requirement'!BY92))</f>
        <v/>
      </c>
      <c r="BZ92">
        <f>IF(COUNTIFS(T_StockCount[RM_Code],$A92,T_StockCount[WeekIndex],77)&gt;0,SUMIFS(T_StockCount[CountedQty],T_StockCount[RM_Code],$A92,T_StockCount[WeekIndex],77),IF((COUNTIFS(T_SelfStock[RM_Code],$A92,T_SelfStock[WeekIndex],77)&gt;0)*(COUNTIFS(T_TTAFStock[RM_Code],$A92,T_TTAFStock[WeekIndex],77)&gt;0)&gt;0,SUMIFS(T_SelfStock[Self_Qty],T_SelfStock[RM_Code],$A92,T_SelfStock[WeekIndex],77)+SUMIFS(T_TTAFStock[TTAF_Qty],T_TTAFStock[RM_Code],$A92,T_TTAFStock[WeekIndex],77),BY92+'Grid_Incoming'!BZ92-'Grid_Requirement'!BZ92))</f>
        <v/>
      </c>
      <c r="CA92">
        <f>IF(COUNTIFS(T_StockCount[RM_Code],$A92,T_StockCount[WeekIndex],78)&gt;0,SUMIFS(T_StockCount[CountedQty],T_StockCount[RM_Code],$A92,T_StockCount[WeekIndex],78),IF((COUNTIFS(T_SelfStock[RM_Code],$A92,T_SelfStock[WeekIndex],78)&gt;0)*(COUNTIFS(T_TTAFStock[RM_Code],$A92,T_TTAFStock[WeekIndex],78)&gt;0)&gt;0,SUMIFS(T_SelfStock[Self_Qty],T_SelfStock[RM_Code],$A92,T_SelfStock[WeekIndex],78)+SUMIFS(T_TTAFStock[TTAF_Qty],T_TTAFStock[RM_Code],$A92,T_TTAFStock[WeekIndex],78),BZ92+'Grid_Incoming'!CA92-'Grid_Requirement'!CA92))</f>
        <v/>
      </c>
      <c r="CB92">
        <f>IF(COUNTIFS(T_StockCount[RM_Code],$A92,T_StockCount[WeekIndex],79)&gt;0,SUMIFS(T_StockCount[CountedQty],T_StockCount[RM_Code],$A92,T_StockCount[WeekIndex],79),IF((COUNTIFS(T_SelfStock[RM_Code],$A92,T_SelfStock[WeekIndex],79)&gt;0)*(COUNTIFS(T_TTAFStock[RM_Code],$A92,T_TTAFStock[WeekIndex],79)&gt;0)&gt;0,SUMIFS(T_SelfStock[Self_Qty],T_SelfStock[RM_Code],$A92,T_SelfStock[WeekIndex],79)+SUMIFS(T_TTAFStock[TTAF_Qty],T_TTAFStock[RM_Code],$A92,T_TTAFStock[WeekIndex],79),CA92+'Grid_Incoming'!CB92-'Grid_Requirement'!CB92))</f>
        <v/>
      </c>
      <c r="CC92">
        <f>IF(COUNTIFS(T_StockCount[RM_Code],$A92,T_StockCount[WeekIndex],80)&gt;0,SUMIFS(T_StockCount[CountedQty],T_StockCount[RM_Code],$A92,T_StockCount[WeekIndex],80),IF((COUNTIFS(T_SelfStock[RM_Code],$A92,T_SelfStock[WeekIndex],80)&gt;0)*(COUNTIFS(T_TTAFStock[RM_Code],$A92,T_TTAFStock[WeekIndex],80)&gt;0)&gt;0,SUMIFS(T_SelfStock[Self_Qty],T_SelfStock[RM_Code],$A92,T_SelfStock[WeekIndex],80)+SUMIFS(T_TTAFStock[TTAF_Qty],T_TTAFStock[RM_Code],$A92,T_TTAFStock[WeekIndex],80),CB92+'Grid_Incoming'!CC92-'Grid_Requirement'!CC92))</f>
        <v/>
      </c>
      <c r="CD92">
        <f>IF(COUNTIFS(T_StockCount[RM_Code],$A92,T_StockCount[WeekIndex],81)&gt;0,SUMIFS(T_StockCount[CountedQty],T_StockCount[RM_Code],$A92,T_StockCount[WeekIndex],81),IF((COUNTIFS(T_SelfStock[RM_Code],$A92,T_SelfStock[WeekIndex],81)&gt;0)*(COUNTIFS(T_TTAFStock[RM_Code],$A92,T_TTAFStock[WeekIndex],81)&gt;0)&gt;0,SUMIFS(T_SelfStock[Self_Qty],T_SelfStock[RM_Code],$A92,T_SelfStock[WeekIndex],81)+SUMIFS(T_TTAFStock[TTAF_Qty],T_TTAFStock[RM_Code],$A92,T_TTAFStock[WeekIndex],81),CC92+'Grid_Incoming'!CD92-'Grid_Requirement'!CD92))</f>
        <v/>
      </c>
      <c r="CE92">
        <f>IF(COUNTIFS(T_StockCount[RM_Code],$A92,T_StockCount[WeekIndex],82)&gt;0,SUMIFS(T_StockCount[CountedQty],T_StockCount[RM_Code],$A92,T_StockCount[WeekIndex],82),IF((COUNTIFS(T_SelfStock[RM_Code],$A92,T_SelfStock[WeekIndex],82)&gt;0)*(COUNTIFS(T_TTAFStock[RM_Code],$A92,T_TTAFStock[WeekIndex],82)&gt;0)&gt;0,SUMIFS(T_SelfStock[Self_Qty],T_SelfStock[RM_Code],$A92,T_SelfStock[WeekIndex],82)+SUMIFS(T_TTAFStock[TTAF_Qty],T_TTAFStock[RM_Code],$A92,T_TTAFStock[WeekIndex],82),CD92+'Grid_Incoming'!CE92-'Grid_Requirement'!CE92))</f>
        <v/>
      </c>
      <c r="CF92">
        <f>IF(COUNTIFS(T_StockCount[RM_Code],$A92,T_StockCount[WeekIndex],83)&gt;0,SUMIFS(T_StockCount[CountedQty],T_StockCount[RM_Code],$A92,T_StockCount[WeekIndex],83),IF((COUNTIFS(T_SelfStock[RM_Code],$A92,T_SelfStock[WeekIndex],83)&gt;0)*(COUNTIFS(T_TTAFStock[RM_Code],$A92,T_TTAFStock[WeekIndex],83)&gt;0)&gt;0,SUMIFS(T_SelfStock[Self_Qty],T_SelfStock[RM_Code],$A92,T_SelfStock[WeekIndex],83)+SUMIFS(T_TTAFStock[TTAF_Qty],T_TTAFStock[RM_Code],$A92,T_TTAFStock[WeekIndex],83),CE92+'Grid_Incoming'!CF92-'Grid_Requirement'!CF92))</f>
        <v/>
      </c>
      <c r="CG92">
        <f>IF(COUNTIFS(T_StockCount[RM_Code],$A92,T_StockCount[WeekIndex],84)&gt;0,SUMIFS(T_StockCount[CountedQty],T_StockCount[RM_Code],$A92,T_StockCount[WeekIndex],84),IF((COUNTIFS(T_SelfStock[RM_Code],$A92,T_SelfStock[WeekIndex],84)&gt;0)*(COUNTIFS(T_TTAFStock[RM_Code],$A92,T_TTAFStock[WeekIndex],84)&gt;0)&gt;0,SUMIFS(T_SelfStock[Self_Qty],T_SelfStock[RM_Code],$A92,T_SelfStock[WeekIndex],84)+SUMIFS(T_TTAFStock[TTAF_Qty],T_TTAFStock[RM_Code],$A92,T_TTAFStock[WeekIndex],84),CF92+'Grid_Incoming'!CG92-'Grid_Requirement'!CG92))</f>
        <v/>
      </c>
      <c r="CH92">
        <f>IF(COUNTIFS(T_StockCount[RM_Code],$A92,T_StockCount[WeekIndex],85)&gt;0,SUMIFS(T_StockCount[CountedQty],T_StockCount[RM_Code],$A92,T_StockCount[WeekIndex],85),IF((COUNTIFS(T_SelfStock[RM_Code],$A92,T_SelfStock[WeekIndex],85)&gt;0)*(COUNTIFS(T_TTAFStock[RM_Code],$A92,T_TTAFStock[WeekIndex],85)&gt;0)&gt;0,SUMIFS(T_SelfStock[Self_Qty],T_SelfStock[RM_Code],$A92,T_SelfStock[WeekIndex],85)+SUMIFS(T_TTAFStock[TTAF_Qty],T_TTAFStock[RM_Code],$A92,T_TTAFStock[WeekIndex],85),CG92+'Grid_Incoming'!CH92-'Grid_Requirement'!CH92))</f>
        <v/>
      </c>
      <c r="CI92">
        <f>IF(COUNTIFS(T_StockCount[RM_Code],$A92,T_StockCount[WeekIndex],86)&gt;0,SUMIFS(T_StockCount[CountedQty],T_StockCount[RM_Code],$A92,T_StockCount[WeekIndex],86),IF((COUNTIFS(T_SelfStock[RM_Code],$A92,T_SelfStock[WeekIndex],86)&gt;0)*(COUNTIFS(T_TTAFStock[RM_Code],$A92,T_TTAFStock[WeekIndex],86)&gt;0)&gt;0,SUMIFS(T_SelfStock[Self_Qty],T_SelfStock[RM_Code],$A92,T_SelfStock[WeekIndex],86)+SUMIFS(T_TTAFStock[TTAF_Qty],T_TTAFStock[RM_Code],$A92,T_TTAFStock[WeekIndex],86),CH92+'Grid_Incoming'!CI92-'Grid_Requirement'!CI92))</f>
        <v/>
      </c>
      <c r="CJ92">
        <f>IF(COUNTIFS(T_StockCount[RM_Code],$A92,T_StockCount[WeekIndex],87)&gt;0,SUMIFS(T_StockCount[CountedQty],T_StockCount[RM_Code],$A92,T_StockCount[WeekIndex],87),IF((COUNTIFS(T_SelfStock[RM_Code],$A92,T_SelfStock[WeekIndex],87)&gt;0)*(COUNTIFS(T_TTAFStock[RM_Code],$A92,T_TTAFStock[WeekIndex],87)&gt;0)&gt;0,SUMIFS(T_SelfStock[Self_Qty],T_SelfStock[RM_Code],$A92,T_SelfStock[WeekIndex],87)+SUMIFS(T_TTAFStock[TTAF_Qty],T_TTAFStock[RM_Code],$A92,T_TTAFStock[WeekIndex],87),CI92+'Grid_Incoming'!CJ92-'Grid_Requirement'!CJ92))</f>
        <v/>
      </c>
      <c r="CK92">
        <f>IF(COUNTIFS(T_StockCount[RM_Code],$A92,T_StockCount[WeekIndex],88)&gt;0,SUMIFS(T_StockCount[CountedQty],T_StockCount[RM_Code],$A92,T_StockCount[WeekIndex],88),IF((COUNTIFS(T_SelfStock[RM_Code],$A92,T_SelfStock[WeekIndex],88)&gt;0)*(COUNTIFS(T_TTAFStock[RM_Code],$A92,T_TTAFStock[WeekIndex],88)&gt;0)&gt;0,SUMIFS(T_SelfStock[Self_Qty],T_SelfStock[RM_Code],$A92,T_SelfStock[WeekIndex],88)+SUMIFS(T_TTAFStock[TTAF_Qty],T_TTAFStock[RM_Code],$A92,T_TTAFStock[WeekIndex],88),CJ92+'Grid_Incoming'!CK92-'Grid_Requirement'!CK92))</f>
        <v/>
      </c>
      <c r="CL92">
        <f>IF(COUNTIFS(T_StockCount[RM_Code],$A92,T_StockCount[WeekIndex],89)&gt;0,SUMIFS(T_StockCount[CountedQty],T_StockCount[RM_Code],$A92,T_StockCount[WeekIndex],89),IF((COUNTIFS(T_SelfStock[RM_Code],$A92,T_SelfStock[WeekIndex],89)&gt;0)*(COUNTIFS(T_TTAFStock[RM_Code],$A92,T_TTAFStock[WeekIndex],89)&gt;0)&gt;0,SUMIFS(T_SelfStock[Self_Qty],T_SelfStock[RM_Code],$A92,T_SelfStock[WeekIndex],89)+SUMIFS(T_TTAFStock[TTAF_Qty],T_TTAFStock[RM_Code],$A92,T_TTAFStock[WeekIndex],89),CK92+'Grid_Incoming'!CL92-'Grid_Requirement'!CL92))</f>
        <v/>
      </c>
      <c r="CM92">
        <f>IF(COUNTIFS(T_StockCount[RM_Code],$A92,T_StockCount[WeekIndex],90)&gt;0,SUMIFS(T_StockCount[CountedQty],T_StockCount[RM_Code],$A92,T_StockCount[WeekIndex],90),IF((COUNTIFS(T_SelfStock[RM_Code],$A92,T_SelfStock[WeekIndex],90)&gt;0)*(COUNTIFS(T_TTAFStock[RM_Code],$A92,T_TTAFStock[WeekIndex],90)&gt;0)&gt;0,SUMIFS(T_SelfStock[Self_Qty],T_SelfStock[RM_Code],$A92,T_SelfStock[WeekIndex],90)+SUMIFS(T_TTAFStock[TTAF_Qty],T_TTAFStock[RM_Code],$A92,T_TTAFStock[WeekIndex],90),CL92+'Grid_Incoming'!CM92-'Grid_Requirement'!CM92))</f>
        <v/>
      </c>
      <c r="CN92">
        <f>IF(COUNTIFS(T_StockCount[RM_Code],$A92,T_StockCount[WeekIndex],91)&gt;0,SUMIFS(T_StockCount[CountedQty],T_StockCount[RM_Code],$A92,T_StockCount[WeekIndex],91),IF((COUNTIFS(T_SelfStock[RM_Code],$A92,T_SelfStock[WeekIndex],91)&gt;0)*(COUNTIFS(T_TTAFStock[RM_Code],$A92,T_TTAFStock[WeekIndex],91)&gt;0)&gt;0,SUMIFS(T_SelfStock[Self_Qty],T_SelfStock[RM_Code],$A92,T_SelfStock[WeekIndex],91)+SUMIFS(T_TTAFStock[TTAF_Qty],T_TTAFStock[RM_Code],$A92,T_TTAFStock[WeekIndex],91),CM92+'Grid_Incoming'!CN92-'Grid_Requirement'!CN92))</f>
        <v/>
      </c>
      <c r="CO92">
        <f>IF(COUNTIFS(T_StockCount[RM_Code],$A92,T_StockCount[WeekIndex],92)&gt;0,SUMIFS(T_StockCount[CountedQty],T_StockCount[RM_Code],$A92,T_StockCount[WeekIndex],92),IF((COUNTIFS(T_SelfStock[RM_Code],$A92,T_SelfStock[WeekIndex],92)&gt;0)*(COUNTIFS(T_TTAFStock[RM_Code],$A92,T_TTAFStock[WeekIndex],92)&gt;0)&gt;0,SUMIFS(T_SelfStock[Self_Qty],T_SelfStock[RM_Code],$A92,T_SelfStock[WeekIndex],92)+SUMIFS(T_TTAFStock[TTAF_Qty],T_TTAFStock[RM_Code],$A92,T_TTAFStock[WeekIndex],92),CN92+'Grid_Incoming'!CO92-'Grid_Requirement'!CO92))</f>
        <v/>
      </c>
      <c r="CP92">
        <f>IF(COUNTIFS(T_StockCount[RM_Code],$A92,T_StockCount[WeekIndex],93)&gt;0,SUMIFS(T_StockCount[CountedQty],T_StockCount[RM_Code],$A92,T_StockCount[WeekIndex],93),IF((COUNTIFS(T_SelfStock[RM_Code],$A92,T_SelfStock[WeekIndex],93)&gt;0)*(COUNTIFS(T_TTAFStock[RM_Code],$A92,T_TTAFStock[WeekIndex],93)&gt;0)&gt;0,SUMIFS(T_SelfStock[Self_Qty],T_SelfStock[RM_Code],$A92,T_SelfStock[WeekIndex],93)+SUMIFS(T_TTAFStock[TTAF_Qty],T_TTAFStock[RM_Code],$A92,T_TTAFStock[WeekIndex],93),CO92+'Grid_Incoming'!CP92-'Grid_Requirement'!CP92))</f>
        <v/>
      </c>
      <c r="CQ92">
        <f>IF(COUNTIFS(T_StockCount[RM_Code],$A92,T_StockCount[WeekIndex],94)&gt;0,SUMIFS(T_StockCount[CountedQty],T_StockCount[RM_Code],$A92,T_StockCount[WeekIndex],94),IF((COUNTIFS(T_SelfStock[RM_Code],$A92,T_SelfStock[WeekIndex],94)&gt;0)*(COUNTIFS(T_TTAFStock[RM_Code],$A92,T_TTAFStock[WeekIndex],94)&gt;0)&gt;0,SUMIFS(T_SelfStock[Self_Qty],T_SelfStock[RM_Code],$A92,T_SelfStock[WeekIndex],94)+SUMIFS(T_TTAFStock[TTAF_Qty],T_TTAFStock[RM_Code],$A92,T_TTAFStock[WeekIndex],94),CP92+'Grid_Incoming'!CQ92-'Grid_Requirement'!CQ92))</f>
        <v/>
      </c>
      <c r="CR92">
        <f>IF(COUNTIFS(T_StockCount[RM_Code],$A92,T_StockCount[WeekIndex],95)&gt;0,SUMIFS(T_StockCount[CountedQty],T_StockCount[RM_Code],$A92,T_StockCount[WeekIndex],95),IF((COUNTIFS(T_SelfStock[RM_Code],$A92,T_SelfStock[WeekIndex],95)&gt;0)*(COUNTIFS(T_TTAFStock[RM_Code],$A92,T_TTAFStock[WeekIndex],95)&gt;0)&gt;0,SUMIFS(T_SelfStock[Self_Qty],T_SelfStock[RM_Code],$A92,T_SelfStock[WeekIndex],95)+SUMIFS(T_TTAFStock[TTAF_Qty],T_TTAFStock[RM_Code],$A92,T_TTAFStock[WeekIndex],95),CQ92+'Grid_Incoming'!CR92-'Grid_Requirement'!CR92))</f>
        <v/>
      </c>
      <c r="CS92">
        <f>IF(COUNTIFS(T_StockCount[RM_Code],$A92,T_StockCount[WeekIndex],96)&gt;0,SUMIFS(T_StockCount[CountedQty],T_StockCount[RM_Code],$A92,T_StockCount[WeekIndex],96),IF((COUNTIFS(T_SelfStock[RM_Code],$A92,T_SelfStock[WeekIndex],96)&gt;0)*(COUNTIFS(T_TTAFStock[RM_Code],$A92,T_TTAFStock[WeekIndex],96)&gt;0)&gt;0,SUMIFS(T_SelfStock[Self_Qty],T_SelfStock[RM_Code],$A92,T_SelfStock[WeekIndex],96)+SUMIFS(T_TTAFStock[TTAF_Qty],T_TTAFStock[RM_Code],$A92,T_TTAFStock[WeekIndex],96),CR92+'Grid_Incoming'!CS92-'Grid_Requirement'!CS92))</f>
        <v/>
      </c>
      <c r="CT92">
        <f>IF(COUNTIFS(T_StockCount[RM_Code],$A92,T_StockCount[WeekIndex],97)&gt;0,SUMIFS(T_StockCount[CountedQty],T_StockCount[RM_Code],$A92,T_StockCount[WeekIndex],97),IF((COUNTIFS(T_SelfStock[RM_Code],$A92,T_SelfStock[WeekIndex],97)&gt;0)*(COUNTIFS(T_TTAFStock[RM_Code],$A92,T_TTAFStock[WeekIndex],97)&gt;0)&gt;0,SUMIFS(T_SelfStock[Self_Qty],T_SelfStock[RM_Code],$A92,T_SelfStock[WeekIndex],97)+SUMIFS(T_TTAFStock[TTAF_Qty],T_TTAFStock[RM_Code],$A92,T_TTAFStock[WeekIndex],97),CS92+'Grid_Incoming'!CT92-'Grid_Requirement'!CT92))</f>
        <v/>
      </c>
      <c r="CU92">
        <f>IF(COUNTIFS(T_StockCount[RM_Code],$A92,T_StockCount[WeekIndex],98)&gt;0,SUMIFS(T_StockCount[CountedQty],T_StockCount[RM_Code],$A92,T_StockCount[WeekIndex],98),IF((COUNTIFS(T_SelfStock[RM_Code],$A92,T_SelfStock[WeekIndex],98)&gt;0)*(COUNTIFS(T_TTAFStock[RM_Code],$A92,T_TTAFStock[WeekIndex],98)&gt;0)&gt;0,SUMIFS(T_SelfStock[Self_Qty],T_SelfStock[RM_Code],$A92,T_SelfStock[WeekIndex],98)+SUMIFS(T_TTAFStock[TTAF_Qty],T_TTAFStock[RM_Code],$A92,T_TTAFStock[WeekIndex],98),CT92+'Grid_Incoming'!CU92-'Grid_Requirement'!CU92))</f>
        <v/>
      </c>
      <c r="CV92">
        <f>IF(COUNTIFS(T_StockCount[RM_Code],$A92,T_StockCount[WeekIndex],99)&gt;0,SUMIFS(T_StockCount[CountedQty],T_StockCount[RM_Code],$A92,T_StockCount[WeekIndex],99),IF((COUNTIFS(T_SelfStock[RM_Code],$A92,T_SelfStock[WeekIndex],99)&gt;0)*(COUNTIFS(T_TTAFStock[RM_Code],$A92,T_TTAFStock[WeekIndex],99)&gt;0)&gt;0,SUMIFS(T_SelfStock[Self_Qty],T_SelfStock[RM_Code],$A92,T_SelfStock[WeekIndex],99)+SUMIFS(T_TTAFStock[TTAF_Qty],T_TTAFStock[RM_Code],$A92,T_TTAFStock[WeekIndex],99),CU92+'Grid_Incoming'!CV92-'Grid_Requirement'!CV92))</f>
        <v/>
      </c>
      <c r="CW92">
        <f>IF(COUNTIFS(T_StockCount[RM_Code],$A92,T_StockCount[WeekIndex],100)&gt;0,SUMIFS(T_StockCount[CountedQty],T_StockCount[RM_Code],$A92,T_StockCount[WeekIndex],100),IF((COUNTIFS(T_SelfStock[RM_Code],$A92,T_SelfStock[WeekIndex],100)&gt;0)*(COUNTIFS(T_TTAFStock[RM_Code],$A92,T_TTAFStock[WeekIndex],100)&gt;0)&gt;0,SUMIFS(T_SelfStock[Self_Qty],T_SelfStock[RM_Code],$A92,T_SelfStock[WeekIndex],100)+SUMIFS(T_TTAFStock[TTAF_Qty],T_TTAFStock[RM_Code],$A92,T_TTAFStock[WeekIndex],100),CV92+'Grid_Incoming'!CW92-'Grid_Requirement'!CW92))</f>
        <v/>
      </c>
      <c r="CX92">
        <f>IF(COUNTIFS(T_StockCount[RM_Code],$A92,T_StockCount[WeekIndex],101)&gt;0,SUMIFS(T_StockCount[CountedQty],T_StockCount[RM_Code],$A92,T_StockCount[WeekIndex],101),IF((COUNTIFS(T_SelfStock[RM_Code],$A92,T_SelfStock[WeekIndex],101)&gt;0)*(COUNTIFS(T_TTAFStock[RM_Code],$A92,T_TTAFStock[WeekIndex],101)&gt;0)&gt;0,SUMIFS(T_SelfStock[Self_Qty],T_SelfStock[RM_Code],$A92,T_SelfStock[WeekIndex],101)+SUMIFS(T_TTAFStock[TTAF_Qty],T_TTAFStock[RM_Code],$A92,T_TTAFStock[WeekIndex],101),CW92+'Grid_Incoming'!CX92-'Grid_Requirement'!CX92))</f>
        <v/>
      </c>
      <c r="CY92">
        <f>IF(COUNTIFS(T_StockCount[RM_Code],$A92,T_StockCount[WeekIndex],102)&gt;0,SUMIFS(T_StockCount[CountedQty],T_StockCount[RM_Code],$A92,T_StockCount[WeekIndex],102),IF((COUNTIFS(T_SelfStock[RM_Code],$A92,T_SelfStock[WeekIndex],102)&gt;0)*(COUNTIFS(T_TTAFStock[RM_Code],$A92,T_TTAFStock[WeekIndex],102)&gt;0)&gt;0,SUMIFS(T_SelfStock[Self_Qty],T_SelfStock[RM_Code],$A92,T_SelfStock[WeekIndex],102)+SUMIFS(T_TTAFStock[TTAF_Qty],T_TTAFStock[RM_Code],$A92,T_TTAFStock[WeekIndex],102),CX92+'Grid_Incoming'!CY92-'Grid_Requirement'!CY92))</f>
        <v/>
      </c>
      <c r="CZ92">
        <f>IF(COUNTIFS(T_StockCount[RM_Code],$A92,T_StockCount[WeekIndex],103)&gt;0,SUMIFS(T_StockCount[CountedQty],T_StockCount[RM_Code],$A92,T_StockCount[WeekIndex],103),IF((COUNTIFS(T_SelfStock[RM_Code],$A92,T_SelfStock[WeekIndex],103)&gt;0)*(COUNTIFS(T_TTAFStock[RM_Code],$A92,T_TTAFStock[WeekIndex],103)&gt;0)&gt;0,SUMIFS(T_SelfStock[Self_Qty],T_SelfStock[RM_Code],$A92,T_SelfStock[WeekIndex],103)+SUMIFS(T_TTAFStock[TTAF_Qty],T_TTAFStock[RM_Code],$A92,T_TTAFStock[WeekIndex],103),CY92+'Grid_Incoming'!CZ92-'Grid_Requirement'!CZ92))</f>
        <v/>
      </c>
      <c r="DA92">
        <f>IF(COUNTIFS(T_StockCount[RM_Code],$A92,T_StockCount[WeekIndex],104)&gt;0,SUMIFS(T_StockCount[CountedQty],T_StockCount[RM_Code],$A92,T_StockCount[WeekIndex],104),IF((COUNTIFS(T_SelfStock[RM_Code],$A92,T_SelfStock[WeekIndex],104)&gt;0)*(COUNTIFS(T_TTAFStock[RM_Code],$A92,T_TTAFStock[WeekIndex],104)&gt;0)&gt;0,SUMIFS(T_SelfStock[Self_Qty],T_SelfStock[RM_Code],$A92,T_SelfStock[WeekIndex],104)+SUMIFS(T_TTAFStock[TTAF_Qty],T_TTAFStock[RM_Code],$A92,T_TTAFStock[WeekIndex],104),CZ92+'Grid_Incoming'!DA92-'Grid_Requirement'!DA92))</f>
        <v/>
      </c>
    </row>
    <row r="93">
      <c r="A93" t="inlineStr">
        <is>
          <t>CHEM-1030</t>
        </is>
      </c>
      <c r="B93">
        <f>IF(COUNTIFS(T_StockCount[RM_Code],$A93,T_StockCount[WeekIndex],1)&gt;0,SUMIFS(T_StockCount[CountedQty],T_StockCount[RM_Code],$A93,T_StockCount[WeekIndex],1),IF((COUNTIFS(T_SelfStock[RM_Code],$A93,T_SelfStock[WeekIndex],1)&gt;0)*(COUNTIFS(T_TTAFStock[RM_Code],$A93,T_TTAFStock[WeekIndex],1)&gt;0)&gt;0,SUMIFS(T_SelfStock[Self_Qty],T_SelfStock[RM_Code],$A93,T_SelfStock[WeekIndex],1)+SUMIFS(T_TTAFStock[TTAF_Qty],T_TTAFStock[RM_Code],$A93,T_TTAFStock[WeekIndex],1),IFERROR(INDEX(T_OpeningStock[Opening_Qty],MATCH($A93,T_OpeningStock[RM_Code],0)),0)+'Grid_Incoming'!B93-'Grid_Requirement'!B93))</f>
        <v/>
      </c>
      <c r="C93">
        <f>IF(COUNTIFS(T_StockCount[RM_Code],$A93,T_StockCount[WeekIndex],2)&gt;0,SUMIFS(T_StockCount[CountedQty],T_StockCount[RM_Code],$A93,T_StockCount[WeekIndex],2),IF((COUNTIFS(T_SelfStock[RM_Code],$A93,T_SelfStock[WeekIndex],2)&gt;0)*(COUNTIFS(T_TTAFStock[RM_Code],$A93,T_TTAFStock[WeekIndex],2)&gt;0)&gt;0,SUMIFS(T_SelfStock[Self_Qty],T_SelfStock[RM_Code],$A93,T_SelfStock[WeekIndex],2)+SUMIFS(T_TTAFStock[TTAF_Qty],T_TTAFStock[RM_Code],$A93,T_TTAFStock[WeekIndex],2),B93+'Grid_Incoming'!C93-'Grid_Requirement'!C93))</f>
        <v/>
      </c>
      <c r="D93">
        <f>IF(COUNTIFS(T_StockCount[RM_Code],$A93,T_StockCount[WeekIndex],3)&gt;0,SUMIFS(T_StockCount[CountedQty],T_StockCount[RM_Code],$A93,T_StockCount[WeekIndex],3),IF((COUNTIFS(T_SelfStock[RM_Code],$A93,T_SelfStock[WeekIndex],3)&gt;0)*(COUNTIFS(T_TTAFStock[RM_Code],$A93,T_TTAFStock[WeekIndex],3)&gt;0)&gt;0,SUMIFS(T_SelfStock[Self_Qty],T_SelfStock[RM_Code],$A93,T_SelfStock[WeekIndex],3)+SUMIFS(T_TTAFStock[TTAF_Qty],T_TTAFStock[RM_Code],$A93,T_TTAFStock[WeekIndex],3),C93+'Grid_Incoming'!D93-'Grid_Requirement'!D93))</f>
        <v/>
      </c>
      <c r="E93">
        <f>IF(COUNTIFS(T_StockCount[RM_Code],$A93,T_StockCount[WeekIndex],4)&gt;0,SUMIFS(T_StockCount[CountedQty],T_StockCount[RM_Code],$A93,T_StockCount[WeekIndex],4),IF((COUNTIFS(T_SelfStock[RM_Code],$A93,T_SelfStock[WeekIndex],4)&gt;0)*(COUNTIFS(T_TTAFStock[RM_Code],$A93,T_TTAFStock[WeekIndex],4)&gt;0)&gt;0,SUMIFS(T_SelfStock[Self_Qty],T_SelfStock[RM_Code],$A93,T_SelfStock[WeekIndex],4)+SUMIFS(T_TTAFStock[TTAF_Qty],T_TTAFStock[RM_Code],$A93,T_TTAFStock[WeekIndex],4),D93+'Grid_Incoming'!E93-'Grid_Requirement'!E93))</f>
        <v/>
      </c>
      <c r="F93">
        <f>IF(COUNTIFS(T_StockCount[RM_Code],$A93,T_StockCount[WeekIndex],5)&gt;0,SUMIFS(T_StockCount[CountedQty],T_StockCount[RM_Code],$A93,T_StockCount[WeekIndex],5),IF((COUNTIFS(T_SelfStock[RM_Code],$A93,T_SelfStock[WeekIndex],5)&gt;0)*(COUNTIFS(T_TTAFStock[RM_Code],$A93,T_TTAFStock[WeekIndex],5)&gt;0)&gt;0,SUMIFS(T_SelfStock[Self_Qty],T_SelfStock[RM_Code],$A93,T_SelfStock[WeekIndex],5)+SUMIFS(T_TTAFStock[TTAF_Qty],T_TTAFStock[RM_Code],$A93,T_TTAFStock[WeekIndex],5),E93+'Grid_Incoming'!F93-'Grid_Requirement'!F93))</f>
        <v/>
      </c>
      <c r="G93">
        <f>IF(COUNTIFS(T_StockCount[RM_Code],$A93,T_StockCount[WeekIndex],6)&gt;0,SUMIFS(T_StockCount[CountedQty],T_StockCount[RM_Code],$A93,T_StockCount[WeekIndex],6),IF((COUNTIFS(T_SelfStock[RM_Code],$A93,T_SelfStock[WeekIndex],6)&gt;0)*(COUNTIFS(T_TTAFStock[RM_Code],$A93,T_TTAFStock[WeekIndex],6)&gt;0)&gt;0,SUMIFS(T_SelfStock[Self_Qty],T_SelfStock[RM_Code],$A93,T_SelfStock[WeekIndex],6)+SUMIFS(T_TTAFStock[TTAF_Qty],T_TTAFStock[RM_Code],$A93,T_TTAFStock[WeekIndex],6),F93+'Grid_Incoming'!G93-'Grid_Requirement'!G93))</f>
        <v/>
      </c>
      <c r="H93">
        <f>IF(COUNTIFS(T_StockCount[RM_Code],$A93,T_StockCount[WeekIndex],7)&gt;0,SUMIFS(T_StockCount[CountedQty],T_StockCount[RM_Code],$A93,T_StockCount[WeekIndex],7),IF((COUNTIFS(T_SelfStock[RM_Code],$A93,T_SelfStock[WeekIndex],7)&gt;0)*(COUNTIFS(T_TTAFStock[RM_Code],$A93,T_TTAFStock[WeekIndex],7)&gt;0)&gt;0,SUMIFS(T_SelfStock[Self_Qty],T_SelfStock[RM_Code],$A93,T_SelfStock[WeekIndex],7)+SUMIFS(T_TTAFStock[TTAF_Qty],T_TTAFStock[RM_Code],$A93,T_TTAFStock[WeekIndex],7),G93+'Grid_Incoming'!H93-'Grid_Requirement'!H93))</f>
        <v/>
      </c>
      <c r="I93">
        <f>IF(COUNTIFS(T_StockCount[RM_Code],$A93,T_StockCount[WeekIndex],8)&gt;0,SUMIFS(T_StockCount[CountedQty],T_StockCount[RM_Code],$A93,T_StockCount[WeekIndex],8),IF((COUNTIFS(T_SelfStock[RM_Code],$A93,T_SelfStock[WeekIndex],8)&gt;0)*(COUNTIFS(T_TTAFStock[RM_Code],$A93,T_TTAFStock[WeekIndex],8)&gt;0)&gt;0,SUMIFS(T_SelfStock[Self_Qty],T_SelfStock[RM_Code],$A93,T_SelfStock[WeekIndex],8)+SUMIFS(T_TTAFStock[TTAF_Qty],T_TTAFStock[RM_Code],$A93,T_TTAFStock[WeekIndex],8),H93+'Grid_Incoming'!I93-'Grid_Requirement'!I93))</f>
        <v/>
      </c>
      <c r="J93">
        <f>IF(COUNTIFS(T_StockCount[RM_Code],$A93,T_StockCount[WeekIndex],9)&gt;0,SUMIFS(T_StockCount[CountedQty],T_StockCount[RM_Code],$A93,T_StockCount[WeekIndex],9),IF((COUNTIFS(T_SelfStock[RM_Code],$A93,T_SelfStock[WeekIndex],9)&gt;0)*(COUNTIFS(T_TTAFStock[RM_Code],$A93,T_TTAFStock[WeekIndex],9)&gt;0)&gt;0,SUMIFS(T_SelfStock[Self_Qty],T_SelfStock[RM_Code],$A93,T_SelfStock[WeekIndex],9)+SUMIFS(T_TTAFStock[TTAF_Qty],T_TTAFStock[RM_Code],$A93,T_TTAFStock[WeekIndex],9),I93+'Grid_Incoming'!J93-'Grid_Requirement'!J93))</f>
        <v/>
      </c>
      <c r="K93">
        <f>IF(COUNTIFS(T_StockCount[RM_Code],$A93,T_StockCount[WeekIndex],10)&gt;0,SUMIFS(T_StockCount[CountedQty],T_StockCount[RM_Code],$A93,T_StockCount[WeekIndex],10),IF((COUNTIFS(T_SelfStock[RM_Code],$A93,T_SelfStock[WeekIndex],10)&gt;0)*(COUNTIFS(T_TTAFStock[RM_Code],$A93,T_TTAFStock[WeekIndex],10)&gt;0)&gt;0,SUMIFS(T_SelfStock[Self_Qty],T_SelfStock[RM_Code],$A93,T_SelfStock[WeekIndex],10)+SUMIFS(T_TTAFStock[TTAF_Qty],T_TTAFStock[RM_Code],$A93,T_TTAFStock[WeekIndex],10),J93+'Grid_Incoming'!K93-'Grid_Requirement'!K93))</f>
        <v/>
      </c>
      <c r="L93">
        <f>IF(COUNTIFS(T_StockCount[RM_Code],$A93,T_StockCount[WeekIndex],11)&gt;0,SUMIFS(T_StockCount[CountedQty],T_StockCount[RM_Code],$A93,T_StockCount[WeekIndex],11),IF((COUNTIFS(T_SelfStock[RM_Code],$A93,T_SelfStock[WeekIndex],11)&gt;0)*(COUNTIFS(T_TTAFStock[RM_Code],$A93,T_TTAFStock[WeekIndex],11)&gt;0)&gt;0,SUMIFS(T_SelfStock[Self_Qty],T_SelfStock[RM_Code],$A93,T_SelfStock[WeekIndex],11)+SUMIFS(T_TTAFStock[TTAF_Qty],T_TTAFStock[RM_Code],$A93,T_TTAFStock[WeekIndex],11),K93+'Grid_Incoming'!L93-'Grid_Requirement'!L93))</f>
        <v/>
      </c>
      <c r="M93">
        <f>IF(COUNTIFS(T_StockCount[RM_Code],$A93,T_StockCount[WeekIndex],12)&gt;0,SUMIFS(T_StockCount[CountedQty],T_StockCount[RM_Code],$A93,T_StockCount[WeekIndex],12),IF((COUNTIFS(T_SelfStock[RM_Code],$A93,T_SelfStock[WeekIndex],12)&gt;0)*(COUNTIFS(T_TTAFStock[RM_Code],$A93,T_TTAFStock[WeekIndex],12)&gt;0)&gt;0,SUMIFS(T_SelfStock[Self_Qty],T_SelfStock[RM_Code],$A93,T_SelfStock[WeekIndex],12)+SUMIFS(T_TTAFStock[TTAF_Qty],T_TTAFStock[RM_Code],$A93,T_TTAFStock[WeekIndex],12),L93+'Grid_Incoming'!M93-'Grid_Requirement'!M93))</f>
        <v/>
      </c>
      <c r="N93">
        <f>IF(COUNTIFS(T_StockCount[RM_Code],$A93,T_StockCount[WeekIndex],13)&gt;0,SUMIFS(T_StockCount[CountedQty],T_StockCount[RM_Code],$A93,T_StockCount[WeekIndex],13),IF((COUNTIFS(T_SelfStock[RM_Code],$A93,T_SelfStock[WeekIndex],13)&gt;0)*(COUNTIFS(T_TTAFStock[RM_Code],$A93,T_TTAFStock[WeekIndex],13)&gt;0)&gt;0,SUMIFS(T_SelfStock[Self_Qty],T_SelfStock[RM_Code],$A93,T_SelfStock[WeekIndex],13)+SUMIFS(T_TTAFStock[TTAF_Qty],T_TTAFStock[RM_Code],$A93,T_TTAFStock[WeekIndex],13),M93+'Grid_Incoming'!N93-'Grid_Requirement'!N93))</f>
        <v/>
      </c>
      <c r="O93">
        <f>IF(COUNTIFS(T_StockCount[RM_Code],$A93,T_StockCount[WeekIndex],14)&gt;0,SUMIFS(T_StockCount[CountedQty],T_StockCount[RM_Code],$A93,T_StockCount[WeekIndex],14),IF((COUNTIFS(T_SelfStock[RM_Code],$A93,T_SelfStock[WeekIndex],14)&gt;0)*(COUNTIFS(T_TTAFStock[RM_Code],$A93,T_TTAFStock[WeekIndex],14)&gt;0)&gt;0,SUMIFS(T_SelfStock[Self_Qty],T_SelfStock[RM_Code],$A93,T_SelfStock[WeekIndex],14)+SUMIFS(T_TTAFStock[TTAF_Qty],T_TTAFStock[RM_Code],$A93,T_TTAFStock[WeekIndex],14),N93+'Grid_Incoming'!O93-'Grid_Requirement'!O93))</f>
        <v/>
      </c>
      <c r="P93">
        <f>IF(COUNTIFS(T_StockCount[RM_Code],$A93,T_StockCount[WeekIndex],15)&gt;0,SUMIFS(T_StockCount[CountedQty],T_StockCount[RM_Code],$A93,T_StockCount[WeekIndex],15),IF((COUNTIFS(T_SelfStock[RM_Code],$A93,T_SelfStock[WeekIndex],15)&gt;0)*(COUNTIFS(T_TTAFStock[RM_Code],$A93,T_TTAFStock[WeekIndex],15)&gt;0)&gt;0,SUMIFS(T_SelfStock[Self_Qty],T_SelfStock[RM_Code],$A93,T_SelfStock[WeekIndex],15)+SUMIFS(T_TTAFStock[TTAF_Qty],T_TTAFStock[RM_Code],$A93,T_TTAFStock[WeekIndex],15),O93+'Grid_Incoming'!P93-'Grid_Requirement'!P93))</f>
        <v/>
      </c>
      <c r="Q93">
        <f>IF(COUNTIFS(T_StockCount[RM_Code],$A93,T_StockCount[WeekIndex],16)&gt;0,SUMIFS(T_StockCount[CountedQty],T_StockCount[RM_Code],$A93,T_StockCount[WeekIndex],16),IF((COUNTIFS(T_SelfStock[RM_Code],$A93,T_SelfStock[WeekIndex],16)&gt;0)*(COUNTIFS(T_TTAFStock[RM_Code],$A93,T_TTAFStock[WeekIndex],16)&gt;0)&gt;0,SUMIFS(T_SelfStock[Self_Qty],T_SelfStock[RM_Code],$A93,T_SelfStock[WeekIndex],16)+SUMIFS(T_TTAFStock[TTAF_Qty],T_TTAFStock[RM_Code],$A93,T_TTAFStock[WeekIndex],16),P93+'Grid_Incoming'!Q93-'Grid_Requirement'!Q93))</f>
        <v/>
      </c>
      <c r="R93">
        <f>IF(COUNTIFS(T_StockCount[RM_Code],$A93,T_StockCount[WeekIndex],17)&gt;0,SUMIFS(T_StockCount[CountedQty],T_StockCount[RM_Code],$A93,T_StockCount[WeekIndex],17),IF((COUNTIFS(T_SelfStock[RM_Code],$A93,T_SelfStock[WeekIndex],17)&gt;0)*(COUNTIFS(T_TTAFStock[RM_Code],$A93,T_TTAFStock[WeekIndex],17)&gt;0)&gt;0,SUMIFS(T_SelfStock[Self_Qty],T_SelfStock[RM_Code],$A93,T_SelfStock[WeekIndex],17)+SUMIFS(T_TTAFStock[TTAF_Qty],T_TTAFStock[RM_Code],$A93,T_TTAFStock[WeekIndex],17),Q93+'Grid_Incoming'!R93-'Grid_Requirement'!R93))</f>
        <v/>
      </c>
      <c r="S93">
        <f>IF(COUNTIFS(T_StockCount[RM_Code],$A93,T_StockCount[WeekIndex],18)&gt;0,SUMIFS(T_StockCount[CountedQty],T_StockCount[RM_Code],$A93,T_StockCount[WeekIndex],18),IF((COUNTIFS(T_SelfStock[RM_Code],$A93,T_SelfStock[WeekIndex],18)&gt;0)*(COUNTIFS(T_TTAFStock[RM_Code],$A93,T_TTAFStock[WeekIndex],18)&gt;0)&gt;0,SUMIFS(T_SelfStock[Self_Qty],T_SelfStock[RM_Code],$A93,T_SelfStock[WeekIndex],18)+SUMIFS(T_TTAFStock[TTAF_Qty],T_TTAFStock[RM_Code],$A93,T_TTAFStock[WeekIndex],18),R93+'Grid_Incoming'!S93-'Grid_Requirement'!S93))</f>
        <v/>
      </c>
      <c r="T93">
        <f>IF(COUNTIFS(T_StockCount[RM_Code],$A93,T_StockCount[WeekIndex],19)&gt;0,SUMIFS(T_StockCount[CountedQty],T_StockCount[RM_Code],$A93,T_StockCount[WeekIndex],19),IF((COUNTIFS(T_SelfStock[RM_Code],$A93,T_SelfStock[WeekIndex],19)&gt;0)*(COUNTIFS(T_TTAFStock[RM_Code],$A93,T_TTAFStock[WeekIndex],19)&gt;0)&gt;0,SUMIFS(T_SelfStock[Self_Qty],T_SelfStock[RM_Code],$A93,T_SelfStock[WeekIndex],19)+SUMIFS(T_TTAFStock[TTAF_Qty],T_TTAFStock[RM_Code],$A93,T_TTAFStock[WeekIndex],19),S93+'Grid_Incoming'!T93-'Grid_Requirement'!T93))</f>
        <v/>
      </c>
      <c r="U93">
        <f>IF(COUNTIFS(T_StockCount[RM_Code],$A93,T_StockCount[WeekIndex],20)&gt;0,SUMIFS(T_StockCount[CountedQty],T_StockCount[RM_Code],$A93,T_StockCount[WeekIndex],20),IF((COUNTIFS(T_SelfStock[RM_Code],$A93,T_SelfStock[WeekIndex],20)&gt;0)*(COUNTIFS(T_TTAFStock[RM_Code],$A93,T_TTAFStock[WeekIndex],20)&gt;0)&gt;0,SUMIFS(T_SelfStock[Self_Qty],T_SelfStock[RM_Code],$A93,T_SelfStock[WeekIndex],20)+SUMIFS(T_TTAFStock[TTAF_Qty],T_TTAFStock[RM_Code],$A93,T_TTAFStock[WeekIndex],20),T93+'Grid_Incoming'!U93-'Grid_Requirement'!U93))</f>
        <v/>
      </c>
      <c r="V93">
        <f>IF(COUNTIFS(T_StockCount[RM_Code],$A93,T_StockCount[WeekIndex],21)&gt;0,SUMIFS(T_StockCount[CountedQty],T_StockCount[RM_Code],$A93,T_StockCount[WeekIndex],21),IF((COUNTIFS(T_SelfStock[RM_Code],$A93,T_SelfStock[WeekIndex],21)&gt;0)*(COUNTIFS(T_TTAFStock[RM_Code],$A93,T_TTAFStock[WeekIndex],21)&gt;0)&gt;0,SUMIFS(T_SelfStock[Self_Qty],T_SelfStock[RM_Code],$A93,T_SelfStock[WeekIndex],21)+SUMIFS(T_TTAFStock[TTAF_Qty],T_TTAFStock[RM_Code],$A93,T_TTAFStock[WeekIndex],21),U93+'Grid_Incoming'!V93-'Grid_Requirement'!V93))</f>
        <v/>
      </c>
      <c r="W93">
        <f>IF(COUNTIFS(T_StockCount[RM_Code],$A93,T_StockCount[WeekIndex],22)&gt;0,SUMIFS(T_StockCount[CountedQty],T_StockCount[RM_Code],$A93,T_StockCount[WeekIndex],22),IF((COUNTIFS(T_SelfStock[RM_Code],$A93,T_SelfStock[WeekIndex],22)&gt;0)*(COUNTIFS(T_TTAFStock[RM_Code],$A93,T_TTAFStock[WeekIndex],22)&gt;0)&gt;0,SUMIFS(T_SelfStock[Self_Qty],T_SelfStock[RM_Code],$A93,T_SelfStock[WeekIndex],22)+SUMIFS(T_TTAFStock[TTAF_Qty],T_TTAFStock[RM_Code],$A93,T_TTAFStock[WeekIndex],22),V93+'Grid_Incoming'!W93-'Grid_Requirement'!W93))</f>
        <v/>
      </c>
      <c r="X93">
        <f>IF(COUNTIFS(T_StockCount[RM_Code],$A93,T_StockCount[WeekIndex],23)&gt;0,SUMIFS(T_StockCount[CountedQty],T_StockCount[RM_Code],$A93,T_StockCount[WeekIndex],23),IF((COUNTIFS(T_SelfStock[RM_Code],$A93,T_SelfStock[WeekIndex],23)&gt;0)*(COUNTIFS(T_TTAFStock[RM_Code],$A93,T_TTAFStock[WeekIndex],23)&gt;0)&gt;0,SUMIFS(T_SelfStock[Self_Qty],T_SelfStock[RM_Code],$A93,T_SelfStock[WeekIndex],23)+SUMIFS(T_TTAFStock[TTAF_Qty],T_TTAFStock[RM_Code],$A93,T_TTAFStock[WeekIndex],23),W93+'Grid_Incoming'!X93-'Grid_Requirement'!X93))</f>
        <v/>
      </c>
      <c r="Y93">
        <f>IF(COUNTIFS(T_StockCount[RM_Code],$A93,T_StockCount[WeekIndex],24)&gt;0,SUMIFS(T_StockCount[CountedQty],T_StockCount[RM_Code],$A93,T_StockCount[WeekIndex],24),IF((COUNTIFS(T_SelfStock[RM_Code],$A93,T_SelfStock[WeekIndex],24)&gt;0)*(COUNTIFS(T_TTAFStock[RM_Code],$A93,T_TTAFStock[WeekIndex],24)&gt;0)&gt;0,SUMIFS(T_SelfStock[Self_Qty],T_SelfStock[RM_Code],$A93,T_SelfStock[WeekIndex],24)+SUMIFS(T_TTAFStock[TTAF_Qty],T_TTAFStock[RM_Code],$A93,T_TTAFStock[WeekIndex],24),X93+'Grid_Incoming'!Y93-'Grid_Requirement'!Y93))</f>
        <v/>
      </c>
      <c r="Z93">
        <f>IF(COUNTIFS(T_StockCount[RM_Code],$A93,T_StockCount[WeekIndex],25)&gt;0,SUMIFS(T_StockCount[CountedQty],T_StockCount[RM_Code],$A93,T_StockCount[WeekIndex],25),IF((COUNTIFS(T_SelfStock[RM_Code],$A93,T_SelfStock[WeekIndex],25)&gt;0)*(COUNTIFS(T_TTAFStock[RM_Code],$A93,T_TTAFStock[WeekIndex],25)&gt;0)&gt;0,SUMIFS(T_SelfStock[Self_Qty],T_SelfStock[RM_Code],$A93,T_SelfStock[WeekIndex],25)+SUMIFS(T_TTAFStock[TTAF_Qty],T_TTAFStock[RM_Code],$A93,T_TTAFStock[WeekIndex],25),Y93+'Grid_Incoming'!Z93-'Grid_Requirement'!Z93))</f>
        <v/>
      </c>
      <c r="AA93">
        <f>IF(COUNTIFS(T_StockCount[RM_Code],$A93,T_StockCount[WeekIndex],26)&gt;0,SUMIFS(T_StockCount[CountedQty],T_StockCount[RM_Code],$A93,T_StockCount[WeekIndex],26),IF((COUNTIFS(T_SelfStock[RM_Code],$A93,T_SelfStock[WeekIndex],26)&gt;0)*(COUNTIFS(T_TTAFStock[RM_Code],$A93,T_TTAFStock[WeekIndex],26)&gt;0)&gt;0,SUMIFS(T_SelfStock[Self_Qty],T_SelfStock[RM_Code],$A93,T_SelfStock[WeekIndex],26)+SUMIFS(T_TTAFStock[TTAF_Qty],T_TTAFStock[RM_Code],$A93,T_TTAFStock[WeekIndex],26),Z93+'Grid_Incoming'!AA93-'Grid_Requirement'!AA93))</f>
        <v/>
      </c>
      <c r="AB93">
        <f>IF(COUNTIFS(T_StockCount[RM_Code],$A93,T_StockCount[WeekIndex],27)&gt;0,SUMIFS(T_StockCount[CountedQty],T_StockCount[RM_Code],$A93,T_StockCount[WeekIndex],27),IF((COUNTIFS(T_SelfStock[RM_Code],$A93,T_SelfStock[WeekIndex],27)&gt;0)*(COUNTIFS(T_TTAFStock[RM_Code],$A93,T_TTAFStock[WeekIndex],27)&gt;0)&gt;0,SUMIFS(T_SelfStock[Self_Qty],T_SelfStock[RM_Code],$A93,T_SelfStock[WeekIndex],27)+SUMIFS(T_TTAFStock[TTAF_Qty],T_TTAFStock[RM_Code],$A93,T_TTAFStock[WeekIndex],27),AA93+'Grid_Incoming'!AB93-'Grid_Requirement'!AB93))</f>
        <v/>
      </c>
      <c r="AC93">
        <f>IF(COUNTIFS(T_StockCount[RM_Code],$A93,T_StockCount[WeekIndex],28)&gt;0,SUMIFS(T_StockCount[CountedQty],T_StockCount[RM_Code],$A93,T_StockCount[WeekIndex],28),IF((COUNTIFS(T_SelfStock[RM_Code],$A93,T_SelfStock[WeekIndex],28)&gt;0)*(COUNTIFS(T_TTAFStock[RM_Code],$A93,T_TTAFStock[WeekIndex],28)&gt;0)&gt;0,SUMIFS(T_SelfStock[Self_Qty],T_SelfStock[RM_Code],$A93,T_SelfStock[WeekIndex],28)+SUMIFS(T_TTAFStock[TTAF_Qty],T_TTAFStock[RM_Code],$A93,T_TTAFStock[WeekIndex],28),AB93+'Grid_Incoming'!AC93-'Grid_Requirement'!AC93))</f>
        <v/>
      </c>
      <c r="AD93">
        <f>IF(COUNTIFS(T_StockCount[RM_Code],$A93,T_StockCount[WeekIndex],29)&gt;0,SUMIFS(T_StockCount[CountedQty],T_StockCount[RM_Code],$A93,T_StockCount[WeekIndex],29),IF((COUNTIFS(T_SelfStock[RM_Code],$A93,T_SelfStock[WeekIndex],29)&gt;0)*(COUNTIFS(T_TTAFStock[RM_Code],$A93,T_TTAFStock[WeekIndex],29)&gt;0)&gt;0,SUMIFS(T_SelfStock[Self_Qty],T_SelfStock[RM_Code],$A93,T_SelfStock[WeekIndex],29)+SUMIFS(T_TTAFStock[TTAF_Qty],T_TTAFStock[RM_Code],$A93,T_TTAFStock[WeekIndex],29),AC93+'Grid_Incoming'!AD93-'Grid_Requirement'!AD93))</f>
        <v/>
      </c>
      <c r="AE93">
        <f>IF(COUNTIFS(T_StockCount[RM_Code],$A93,T_StockCount[WeekIndex],30)&gt;0,SUMIFS(T_StockCount[CountedQty],T_StockCount[RM_Code],$A93,T_StockCount[WeekIndex],30),IF((COUNTIFS(T_SelfStock[RM_Code],$A93,T_SelfStock[WeekIndex],30)&gt;0)*(COUNTIFS(T_TTAFStock[RM_Code],$A93,T_TTAFStock[WeekIndex],30)&gt;0)&gt;0,SUMIFS(T_SelfStock[Self_Qty],T_SelfStock[RM_Code],$A93,T_SelfStock[WeekIndex],30)+SUMIFS(T_TTAFStock[TTAF_Qty],T_TTAFStock[RM_Code],$A93,T_TTAFStock[WeekIndex],30),AD93+'Grid_Incoming'!AE93-'Grid_Requirement'!AE93))</f>
        <v/>
      </c>
      <c r="AF93">
        <f>IF(COUNTIFS(T_StockCount[RM_Code],$A93,T_StockCount[WeekIndex],31)&gt;0,SUMIFS(T_StockCount[CountedQty],T_StockCount[RM_Code],$A93,T_StockCount[WeekIndex],31),IF((COUNTIFS(T_SelfStock[RM_Code],$A93,T_SelfStock[WeekIndex],31)&gt;0)*(COUNTIFS(T_TTAFStock[RM_Code],$A93,T_TTAFStock[WeekIndex],31)&gt;0)&gt;0,SUMIFS(T_SelfStock[Self_Qty],T_SelfStock[RM_Code],$A93,T_SelfStock[WeekIndex],31)+SUMIFS(T_TTAFStock[TTAF_Qty],T_TTAFStock[RM_Code],$A93,T_TTAFStock[WeekIndex],31),AE93+'Grid_Incoming'!AF93-'Grid_Requirement'!AF93))</f>
        <v/>
      </c>
      <c r="AG93">
        <f>IF(COUNTIFS(T_StockCount[RM_Code],$A93,T_StockCount[WeekIndex],32)&gt;0,SUMIFS(T_StockCount[CountedQty],T_StockCount[RM_Code],$A93,T_StockCount[WeekIndex],32),IF((COUNTIFS(T_SelfStock[RM_Code],$A93,T_SelfStock[WeekIndex],32)&gt;0)*(COUNTIFS(T_TTAFStock[RM_Code],$A93,T_TTAFStock[WeekIndex],32)&gt;0)&gt;0,SUMIFS(T_SelfStock[Self_Qty],T_SelfStock[RM_Code],$A93,T_SelfStock[WeekIndex],32)+SUMIFS(T_TTAFStock[TTAF_Qty],T_TTAFStock[RM_Code],$A93,T_TTAFStock[WeekIndex],32),AF93+'Grid_Incoming'!AG93-'Grid_Requirement'!AG93))</f>
        <v/>
      </c>
      <c r="AH93">
        <f>IF(COUNTIFS(T_StockCount[RM_Code],$A93,T_StockCount[WeekIndex],33)&gt;0,SUMIFS(T_StockCount[CountedQty],T_StockCount[RM_Code],$A93,T_StockCount[WeekIndex],33),IF((COUNTIFS(T_SelfStock[RM_Code],$A93,T_SelfStock[WeekIndex],33)&gt;0)*(COUNTIFS(T_TTAFStock[RM_Code],$A93,T_TTAFStock[WeekIndex],33)&gt;0)&gt;0,SUMIFS(T_SelfStock[Self_Qty],T_SelfStock[RM_Code],$A93,T_SelfStock[WeekIndex],33)+SUMIFS(T_TTAFStock[TTAF_Qty],T_TTAFStock[RM_Code],$A93,T_TTAFStock[WeekIndex],33),AG93+'Grid_Incoming'!AH93-'Grid_Requirement'!AH93))</f>
        <v/>
      </c>
      <c r="AI93">
        <f>IF(COUNTIFS(T_StockCount[RM_Code],$A93,T_StockCount[WeekIndex],34)&gt;0,SUMIFS(T_StockCount[CountedQty],T_StockCount[RM_Code],$A93,T_StockCount[WeekIndex],34),IF((COUNTIFS(T_SelfStock[RM_Code],$A93,T_SelfStock[WeekIndex],34)&gt;0)*(COUNTIFS(T_TTAFStock[RM_Code],$A93,T_TTAFStock[WeekIndex],34)&gt;0)&gt;0,SUMIFS(T_SelfStock[Self_Qty],T_SelfStock[RM_Code],$A93,T_SelfStock[WeekIndex],34)+SUMIFS(T_TTAFStock[TTAF_Qty],T_TTAFStock[RM_Code],$A93,T_TTAFStock[WeekIndex],34),AH93+'Grid_Incoming'!AI93-'Grid_Requirement'!AI93))</f>
        <v/>
      </c>
      <c r="AJ93">
        <f>IF(COUNTIFS(T_StockCount[RM_Code],$A93,T_StockCount[WeekIndex],35)&gt;0,SUMIFS(T_StockCount[CountedQty],T_StockCount[RM_Code],$A93,T_StockCount[WeekIndex],35),IF((COUNTIFS(T_SelfStock[RM_Code],$A93,T_SelfStock[WeekIndex],35)&gt;0)*(COUNTIFS(T_TTAFStock[RM_Code],$A93,T_TTAFStock[WeekIndex],35)&gt;0)&gt;0,SUMIFS(T_SelfStock[Self_Qty],T_SelfStock[RM_Code],$A93,T_SelfStock[WeekIndex],35)+SUMIFS(T_TTAFStock[TTAF_Qty],T_TTAFStock[RM_Code],$A93,T_TTAFStock[WeekIndex],35),AI93+'Grid_Incoming'!AJ93-'Grid_Requirement'!AJ93))</f>
        <v/>
      </c>
      <c r="AK93">
        <f>IF(COUNTIFS(T_StockCount[RM_Code],$A93,T_StockCount[WeekIndex],36)&gt;0,SUMIFS(T_StockCount[CountedQty],T_StockCount[RM_Code],$A93,T_StockCount[WeekIndex],36),IF((COUNTIFS(T_SelfStock[RM_Code],$A93,T_SelfStock[WeekIndex],36)&gt;0)*(COUNTIFS(T_TTAFStock[RM_Code],$A93,T_TTAFStock[WeekIndex],36)&gt;0)&gt;0,SUMIFS(T_SelfStock[Self_Qty],T_SelfStock[RM_Code],$A93,T_SelfStock[WeekIndex],36)+SUMIFS(T_TTAFStock[TTAF_Qty],T_TTAFStock[RM_Code],$A93,T_TTAFStock[WeekIndex],36),AJ93+'Grid_Incoming'!AK93-'Grid_Requirement'!AK93))</f>
        <v/>
      </c>
      <c r="AL93">
        <f>IF(COUNTIFS(T_StockCount[RM_Code],$A93,T_StockCount[WeekIndex],37)&gt;0,SUMIFS(T_StockCount[CountedQty],T_StockCount[RM_Code],$A93,T_StockCount[WeekIndex],37),IF((COUNTIFS(T_SelfStock[RM_Code],$A93,T_SelfStock[WeekIndex],37)&gt;0)*(COUNTIFS(T_TTAFStock[RM_Code],$A93,T_TTAFStock[WeekIndex],37)&gt;0)&gt;0,SUMIFS(T_SelfStock[Self_Qty],T_SelfStock[RM_Code],$A93,T_SelfStock[WeekIndex],37)+SUMIFS(T_TTAFStock[TTAF_Qty],T_TTAFStock[RM_Code],$A93,T_TTAFStock[WeekIndex],37),AK93+'Grid_Incoming'!AL93-'Grid_Requirement'!AL93))</f>
        <v/>
      </c>
      <c r="AM93">
        <f>IF(COUNTIFS(T_StockCount[RM_Code],$A93,T_StockCount[WeekIndex],38)&gt;0,SUMIFS(T_StockCount[CountedQty],T_StockCount[RM_Code],$A93,T_StockCount[WeekIndex],38),IF((COUNTIFS(T_SelfStock[RM_Code],$A93,T_SelfStock[WeekIndex],38)&gt;0)*(COUNTIFS(T_TTAFStock[RM_Code],$A93,T_TTAFStock[WeekIndex],38)&gt;0)&gt;0,SUMIFS(T_SelfStock[Self_Qty],T_SelfStock[RM_Code],$A93,T_SelfStock[WeekIndex],38)+SUMIFS(T_TTAFStock[TTAF_Qty],T_TTAFStock[RM_Code],$A93,T_TTAFStock[WeekIndex],38),AL93+'Grid_Incoming'!AM93-'Grid_Requirement'!AM93))</f>
        <v/>
      </c>
      <c r="AN93">
        <f>IF(COUNTIFS(T_StockCount[RM_Code],$A93,T_StockCount[WeekIndex],39)&gt;0,SUMIFS(T_StockCount[CountedQty],T_StockCount[RM_Code],$A93,T_StockCount[WeekIndex],39),IF((COUNTIFS(T_SelfStock[RM_Code],$A93,T_SelfStock[WeekIndex],39)&gt;0)*(COUNTIFS(T_TTAFStock[RM_Code],$A93,T_TTAFStock[WeekIndex],39)&gt;0)&gt;0,SUMIFS(T_SelfStock[Self_Qty],T_SelfStock[RM_Code],$A93,T_SelfStock[WeekIndex],39)+SUMIFS(T_TTAFStock[TTAF_Qty],T_TTAFStock[RM_Code],$A93,T_TTAFStock[WeekIndex],39),AM93+'Grid_Incoming'!AN93-'Grid_Requirement'!AN93))</f>
        <v/>
      </c>
      <c r="AO93">
        <f>IF(COUNTIFS(T_StockCount[RM_Code],$A93,T_StockCount[WeekIndex],40)&gt;0,SUMIFS(T_StockCount[CountedQty],T_StockCount[RM_Code],$A93,T_StockCount[WeekIndex],40),IF((COUNTIFS(T_SelfStock[RM_Code],$A93,T_SelfStock[WeekIndex],40)&gt;0)*(COUNTIFS(T_TTAFStock[RM_Code],$A93,T_TTAFStock[WeekIndex],40)&gt;0)&gt;0,SUMIFS(T_SelfStock[Self_Qty],T_SelfStock[RM_Code],$A93,T_SelfStock[WeekIndex],40)+SUMIFS(T_TTAFStock[TTAF_Qty],T_TTAFStock[RM_Code],$A93,T_TTAFStock[WeekIndex],40),AN93+'Grid_Incoming'!AO93-'Grid_Requirement'!AO93))</f>
        <v/>
      </c>
      <c r="AP93">
        <f>IF(COUNTIFS(T_StockCount[RM_Code],$A93,T_StockCount[WeekIndex],41)&gt;0,SUMIFS(T_StockCount[CountedQty],T_StockCount[RM_Code],$A93,T_StockCount[WeekIndex],41),IF((COUNTIFS(T_SelfStock[RM_Code],$A93,T_SelfStock[WeekIndex],41)&gt;0)*(COUNTIFS(T_TTAFStock[RM_Code],$A93,T_TTAFStock[WeekIndex],41)&gt;0)&gt;0,SUMIFS(T_SelfStock[Self_Qty],T_SelfStock[RM_Code],$A93,T_SelfStock[WeekIndex],41)+SUMIFS(T_TTAFStock[TTAF_Qty],T_TTAFStock[RM_Code],$A93,T_TTAFStock[WeekIndex],41),AO93+'Grid_Incoming'!AP93-'Grid_Requirement'!AP93))</f>
        <v/>
      </c>
      <c r="AQ93">
        <f>IF(COUNTIFS(T_StockCount[RM_Code],$A93,T_StockCount[WeekIndex],42)&gt;0,SUMIFS(T_StockCount[CountedQty],T_StockCount[RM_Code],$A93,T_StockCount[WeekIndex],42),IF((COUNTIFS(T_SelfStock[RM_Code],$A93,T_SelfStock[WeekIndex],42)&gt;0)*(COUNTIFS(T_TTAFStock[RM_Code],$A93,T_TTAFStock[WeekIndex],42)&gt;0)&gt;0,SUMIFS(T_SelfStock[Self_Qty],T_SelfStock[RM_Code],$A93,T_SelfStock[WeekIndex],42)+SUMIFS(T_TTAFStock[TTAF_Qty],T_TTAFStock[RM_Code],$A93,T_TTAFStock[WeekIndex],42),AP93+'Grid_Incoming'!AQ93-'Grid_Requirement'!AQ93))</f>
        <v/>
      </c>
      <c r="AR93">
        <f>IF(COUNTIFS(T_StockCount[RM_Code],$A93,T_StockCount[WeekIndex],43)&gt;0,SUMIFS(T_StockCount[CountedQty],T_StockCount[RM_Code],$A93,T_StockCount[WeekIndex],43),IF((COUNTIFS(T_SelfStock[RM_Code],$A93,T_SelfStock[WeekIndex],43)&gt;0)*(COUNTIFS(T_TTAFStock[RM_Code],$A93,T_TTAFStock[WeekIndex],43)&gt;0)&gt;0,SUMIFS(T_SelfStock[Self_Qty],T_SelfStock[RM_Code],$A93,T_SelfStock[WeekIndex],43)+SUMIFS(T_TTAFStock[TTAF_Qty],T_TTAFStock[RM_Code],$A93,T_TTAFStock[WeekIndex],43),AQ93+'Grid_Incoming'!AR93-'Grid_Requirement'!AR93))</f>
        <v/>
      </c>
      <c r="AS93">
        <f>IF(COUNTIFS(T_StockCount[RM_Code],$A93,T_StockCount[WeekIndex],44)&gt;0,SUMIFS(T_StockCount[CountedQty],T_StockCount[RM_Code],$A93,T_StockCount[WeekIndex],44),IF((COUNTIFS(T_SelfStock[RM_Code],$A93,T_SelfStock[WeekIndex],44)&gt;0)*(COUNTIFS(T_TTAFStock[RM_Code],$A93,T_TTAFStock[WeekIndex],44)&gt;0)&gt;0,SUMIFS(T_SelfStock[Self_Qty],T_SelfStock[RM_Code],$A93,T_SelfStock[WeekIndex],44)+SUMIFS(T_TTAFStock[TTAF_Qty],T_TTAFStock[RM_Code],$A93,T_TTAFStock[WeekIndex],44),AR93+'Grid_Incoming'!AS93-'Grid_Requirement'!AS93))</f>
        <v/>
      </c>
      <c r="AT93">
        <f>IF(COUNTIFS(T_StockCount[RM_Code],$A93,T_StockCount[WeekIndex],45)&gt;0,SUMIFS(T_StockCount[CountedQty],T_StockCount[RM_Code],$A93,T_StockCount[WeekIndex],45),IF((COUNTIFS(T_SelfStock[RM_Code],$A93,T_SelfStock[WeekIndex],45)&gt;0)*(COUNTIFS(T_TTAFStock[RM_Code],$A93,T_TTAFStock[WeekIndex],45)&gt;0)&gt;0,SUMIFS(T_SelfStock[Self_Qty],T_SelfStock[RM_Code],$A93,T_SelfStock[WeekIndex],45)+SUMIFS(T_TTAFStock[TTAF_Qty],T_TTAFStock[RM_Code],$A93,T_TTAFStock[WeekIndex],45),AS93+'Grid_Incoming'!AT93-'Grid_Requirement'!AT93))</f>
        <v/>
      </c>
      <c r="AU93">
        <f>IF(COUNTIFS(T_StockCount[RM_Code],$A93,T_StockCount[WeekIndex],46)&gt;0,SUMIFS(T_StockCount[CountedQty],T_StockCount[RM_Code],$A93,T_StockCount[WeekIndex],46),IF((COUNTIFS(T_SelfStock[RM_Code],$A93,T_SelfStock[WeekIndex],46)&gt;0)*(COUNTIFS(T_TTAFStock[RM_Code],$A93,T_TTAFStock[WeekIndex],46)&gt;0)&gt;0,SUMIFS(T_SelfStock[Self_Qty],T_SelfStock[RM_Code],$A93,T_SelfStock[WeekIndex],46)+SUMIFS(T_TTAFStock[TTAF_Qty],T_TTAFStock[RM_Code],$A93,T_TTAFStock[WeekIndex],46),AT93+'Grid_Incoming'!AU93-'Grid_Requirement'!AU93))</f>
        <v/>
      </c>
      <c r="AV93">
        <f>IF(COUNTIFS(T_StockCount[RM_Code],$A93,T_StockCount[WeekIndex],47)&gt;0,SUMIFS(T_StockCount[CountedQty],T_StockCount[RM_Code],$A93,T_StockCount[WeekIndex],47),IF((COUNTIFS(T_SelfStock[RM_Code],$A93,T_SelfStock[WeekIndex],47)&gt;0)*(COUNTIFS(T_TTAFStock[RM_Code],$A93,T_TTAFStock[WeekIndex],47)&gt;0)&gt;0,SUMIFS(T_SelfStock[Self_Qty],T_SelfStock[RM_Code],$A93,T_SelfStock[WeekIndex],47)+SUMIFS(T_TTAFStock[TTAF_Qty],T_TTAFStock[RM_Code],$A93,T_TTAFStock[WeekIndex],47),AU93+'Grid_Incoming'!AV93-'Grid_Requirement'!AV93))</f>
        <v/>
      </c>
      <c r="AW93">
        <f>IF(COUNTIFS(T_StockCount[RM_Code],$A93,T_StockCount[WeekIndex],48)&gt;0,SUMIFS(T_StockCount[CountedQty],T_StockCount[RM_Code],$A93,T_StockCount[WeekIndex],48),IF((COUNTIFS(T_SelfStock[RM_Code],$A93,T_SelfStock[WeekIndex],48)&gt;0)*(COUNTIFS(T_TTAFStock[RM_Code],$A93,T_TTAFStock[WeekIndex],48)&gt;0)&gt;0,SUMIFS(T_SelfStock[Self_Qty],T_SelfStock[RM_Code],$A93,T_SelfStock[WeekIndex],48)+SUMIFS(T_TTAFStock[TTAF_Qty],T_TTAFStock[RM_Code],$A93,T_TTAFStock[WeekIndex],48),AV93+'Grid_Incoming'!AW93-'Grid_Requirement'!AW93))</f>
        <v/>
      </c>
      <c r="AX93">
        <f>IF(COUNTIFS(T_StockCount[RM_Code],$A93,T_StockCount[WeekIndex],49)&gt;0,SUMIFS(T_StockCount[CountedQty],T_StockCount[RM_Code],$A93,T_StockCount[WeekIndex],49),IF((COUNTIFS(T_SelfStock[RM_Code],$A93,T_SelfStock[WeekIndex],49)&gt;0)*(COUNTIFS(T_TTAFStock[RM_Code],$A93,T_TTAFStock[WeekIndex],49)&gt;0)&gt;0,SUMIFS(T_SelfStock[Self_Qty],T_SelfStock[RM_Code],$A93,T_SelfStock[WeekIndex],49)+SUMIFS(T_TTAFStock[TTAF_Qty],T_TTAFStock[RM_Code],$A93,T_TTAFStock[WeekIndex],49),AW93+'Grid_Incoming'!AX93-'Grid_Requirement'!AX93))</f>
        <v/>
      </c>
      <c r="AY93">
        <f>IF(COUNTIFS(T_StockCount[RM_Code],$A93,T_StockCount[WeekIndex],50)&gt;0,SUMIFS(T_StockCount[CountedQty],T_StockCount[RM_Code],$A93,T_StockCount[WeekIndex],50),IF((COUNTIFS(T_SelfStock[RM_Code],$A93,T_SelfStock[WeekIndex],50)&gt;0)*(COUNTIFS(T_TTAFStock[RM_Code],$A93,T_TTAFStock[WeekIndex],50)&gt;0)&gt;0,SUMIFS(T_SelfStock[Self_Qty],T_SelfStock[RM_Code],$A93,T_SelfStock[WeekIndex],50)+SUMIFS(T_TTAFStock[TTAF_Qty],T_TTAFStock[RM_Code],$A93,T_TTAFStock[WeekIndex],50),AX93+'Grid_Incoming'!AY93-'Grid_Requirement'!AY93))</f>
        <v/>
      </c>
      <c r="AZ93">
        <f>IF(COUNTIFS(T_StockCount[RM_Code],$A93,T_StockCount[WeekIndex],51)&gt;0,SUMIFS(T_StockCount[CountedQty],T_StockCount[RM_Code],$A93,T_StockCount[WeekIndex],51),IF((COUNTIFS(T_SelfStock[RM_Code],$A93,T_SelfStock[WeekIndex],51)&gt;0)*(COUNTIFS(T_TTAFStock[RM_Code],$A93,T_TTAFStock[WeekIndex],51)&gt;0)&gt;0,SUMIFS(T_SelfStock[Self_Qty],T_SelfStock[RM_Code],$A93,T_SelfStock[WeekIndex],51)+SUMIFS(T_TTAFStock[TTAF_Qty],T_TTAFStock[RM_Code],$A93,T_TTAFStock[WeekIndex],51),AY93+'Grid_Incoming'!AZ93-'Grid_Requirement'!AZ93))</f>
        <v/>
      </c>
      <c r="BA93">
        <f>IF(COUNTIFS(T_StockCount[RM_Code],$A93,T_StockCount[WeekIndex],52)&gt;0,SUMIFS(T_StockCount[CountedQty],T_StockCount[RM_Code],$A93,T_StockCount[WeekIndex],52),IF((COUNTIFS(T_SelfStock[RM_Code],$A93,T_SelfStock[WeekIndex],52)&gt;0)*(COUNTIFS(T_TTAFStock[RM_Code],$A93,T_TTAFStock[WeekIndex],52)&gt;0)&gt;0,SUMIFS(T_SelfStock[Self_Qty],T_SelfStock[RM_Code],$A93,T_SelfStock[WeekIndex],52)+SUMIFS(T_TTAFStock[TTAF_Qty],T_TTAFStock[RM_Code],$A93,T_TTAFStock[WeekIndex],52),AZ93+'Grid_Incoming'!BA93-'Grid_Requirement'!BA93))</f>
        <v/>
      </c>
      <c r="BB93">
        <f>IF(COUNTIFS(T_StockCount[RM_Code],$A93,T_StockCount[WeekIndex],53)&gt;0,SUMIFS(T_StockCount[CountedQty],T_StockCount[RM_Code],$A93,T_StockCount[WeekIndex],53),IF((COUNTIFS(T_SelfStock[RM_Code],$A93,T_SelfStock[WeekIndex],53)&gt;0)*(COUNTIFS(T_TTAFStock[RM_Code],$A93,T_TTAFStock[WeekIndex],53)&gt;0)&gt;0,SUMIFS(T_SelfStock[Self_Qty],T_SelfStock[RM_Code],$A93,T_SelfStock[WeekIndex],53)+SUMIFS(T_TTAFStock[TTAF_Qty],T_TTAFStock[RM_Code],$A93,T_TTAFStock[WeekIndex],53),BA93+'Grid_Incoming'!BB93-'Grid_Requirement'!BB93))</f>
        <v/>
      </c>
      <c r="BC93">
        <f>IF(COUNTIFS(T_StockCount[RM_Code],$A93,T_StockCount[WeekIndex],54)&gt;0,SUMIFS(T_StockCount[CountedQty],T_StockCount[RM_Code],$A93,T_StockCount[WeekIndex],54),IF((COUNTIFS(T_SelfStock[RM_Code],$A93,T_SelfStock[WeekIndex],54)&gt;0)*(COUNTIFS(T_TTAFStock[RM_Code],$A93,T_TTAFStock[WeekIndex],54)&gt;0)&gt;0,SUMIFS(T_SelfStock[Self_Qty],T_SelfStock[RM_Code],$A93,T_SelfStock[WeekIndex],54)+SUMIFS(T_TTAFStock[TTAF_Qty],T_TTAFStock[RM_Code],$A93,T_TTAFStock[WeekIndex],54),BB93+'Grid_Incoming'!BC93-'Grid_Requirement'!BC93))</f>
        <v/>
      </c>
      <c r="BD93">
        <f>IF(COUNTIFS(T_StockCount[RM_Code],$A93,T_StockCount[WeekIndex],55)&gt;0,SUMIFS(T_StockCount[CountedQty],T_StockCount[RM_Code],$A93,T_StockCount[WeekIndex],55),IF((COUNTIFS(T_SelfStock[RM_Code],$A93,T_SelfStock[WeekIndex],55)&gt;0)*(COUNTIFS(T_TTAFStock[RM_Code],$A93,T_TTAFStock[WeekIndex],55)&gt;0)&gt;0,SUMIFS(T_SelfStock[Self_Qty],T_SelfStock[RM_Code],$A93,T_SelfStock[WeekIndex],55)+SUMIFS(T_TTAFStock[TTAF_Qty],T_TTAFStock[RM_Code],$A93,T_TTAFStock[WeekIndex],55),BC93+'Grid_Incoming'!BD93-'Grid_Requirement'!BD93))</f>
        <v/>
      </c>
      <c r="BE93">
        <f>IF(COUNTIFS(T_StockCount[RM_Code],$A93,T_StockCount[WeekIndex],56)&gt;0,SUMIFS(T_StockCount[CountedQty],T_StockCount[RM_Code],$A93,T_StockCount[WeekIndex],56),IF((COUNTIFS(T_SelfStock[RM_Code],$A93,T_SelfStock[WeekIndex],56)&gt;0)*(COUNTIFS(T_TTAFStock[RM_Code],$A93,T_TTAFStock[WeekIndex],56)&gt;0)&gt;0,SUMIFS(T_SelfStock[Self_Qty],T_SelfStock[RM_Code],$A93,T_SelfStock[WeekIndex],56)+SUMIFS(T_TTAFStock[TTAF_Qty],T_TTAFStock[RM_Code],$A93,T_TTAFStock[WeekIndex],56),BD93+'Grid_Incoming'!BE93-'Grid_Requirement'!BE93))</f>
        <v/>
      </c>
      <c r="BF93">
        <f>IF(COUNTIFS(T_StockCount[RM_Code],$A93,T_StockCount[WeekIndex],57)&gt;0,SUMIFS(T_StockCount[CountedQty],T_StockCount[RM_Code],$A93,T_StockCount[WeekIndex],57),IF((COUNTIFS(T_SelfStock[RM_Code],$A93,T_SelfStock[WeekIndex],57)&gt;0)*(COUNTIFS(T_TTAFStock[RM_Code],$A93,T_TTAFStock[WeekIndex],57)&gt;0)&gt;0,SUMIFS(T_SelfStock[Self_Qty],T_SelfStock[RM_Code],$A93,T_SelfStock[WeekIndex],57)+SUMIFS(T_TTAFStock[TTAF_Qty],T_TTAFStock[RM_Code],$A93,T_TTAFStock[WeekIndex],57),BE93+'Grid_Incoming'!BF93-'Grid_Requirement'!BF93))</f>
        <v/>
      </c>
      <c r="BG93">
        <f>IF(COUNTIFS(T_StockCount[RM_Code],$A93,T_StockCount[WeekIndex],58)&gt;0,SUMIFS(T_StockCount[CountedQty],T_StockCount[RM_Code],$A93,T_StockCount[WeekIndex],58),IF((COUNTIFS(T_SelfStock[RM_Code],$A93,T_SelfStock[WeekIndex],58)&gt;0)*(COUNTIFS(T_TTAFStock[RM_Code],$A93,T_TTAFStock[WeekIndex],58)&gt;0)&gt;0,SUMIFS(T_SelfStock[Self_Qty],T_SelfStock[RM_Code],$A93,T_SelfStock[WeekIndex],58)+SUMIFS(T_TTAFStock[TTAF_Qty],T_TTAFStock[RM_Code],$A93,T_TTAFStock[WeekIndex],58),BF93+'Grid_Incoming'!BG93-'Grid_Requirement'!BG93))</f>
        <v/>
      </c>
      <c r="BH93">
        <f>IF(COUNTIFS(T_StockCount[RM_Code],$A93,T_StockCount[WeekIndex],59)&gt;0,SUMIFS(T_StockCount[CountedQty],T_StockCount[RM_Code],$A93,T_StockCount[WeekIndex],59),IF((COUNTIFS(T_SelfStock[RM_Code],$A93,T_SelfStock[WeekIndex],59)&gt;0)*(COUNTIFS(T_TTAFStock[RM_Code],$A93,T_TTAFStock[WeekIndex],59)&gt;0)&gt;0,SUMIFS(T_SelfStock[Self_Qty],T_SelfStock[RM_Code],$A93,T_SelfStock[WeekIndex],59)+SUMIFS(T_TTAFStock[TTAF_Qty],T_TTAFStock[RM_Code],$A93,T_TTAFStock[WeekIndex],59),BG93+'Grid_Incoming'!BH93-'Grid_Requirement'!BH93))</f>
        <v/>
      </c>
      <c r="BI93">
        <f>IF(COUNTIFS(T_StockCount[RM_Code],$A93,T_StockCount[WeekIndex],60)&gt;0,SUMIFS(T_StockCount[CountedQty],T_StockCount[RM_Code],$A93,T_StockCount[WeekIndex],60),IF((COUNTIFS(T_SelfStock[RM_Code],$A93,T_SelfStock[WeekIndex],60)&gt;0)*(COUNTIFS(T_TTAFStock[RM_Code],$A93,T_TTAFStock[WeekIndex],60)&gt;0)&gt;0,SUMIFS(T_SelfStock[Self_Qty],T_SelfStock[RM_Code],$A93,T_SelfStock[WeekIndex],60)+SUMIFS(T_TTAFStock[TTAF_Qty],T_TTAFStock[RM_Code],$A93,T_TTAFStock[WeekIndex],60),BH93+'Grid_Incoming'!BI93-'Grid_Requirement'!BI93))</f>
        <v/>
      </c>
      <c r="BJ93">
        <f>IF(COUNTIFS(T_StockCount[RM_Code],$A93,T_StockCount[WeekIndex],61)&gt;0,SUMIFS(T_StockCount[CountedQty],T_StockCount[RM_Code],$A93,T_StockCount[WeekIndex],61),IF((COUNTIFS(T_SelfStock[RM_Code],$A93,T_SelfStock[WeekIndex],61)&gt;0)*(COUNTIFS(T_TTAFStock[RM_Code],$A93,T_TTAFStock[WeekIndex],61)&gt;0)&gt;0,SUMIFS(T_SelfStock[Self_Qty],T_SelfStock[RM_Code],$A93,T_SelfStock[WeekIndex],61)+SUMIFS(T_TTAFStock[TTAF_Qty],T_TTAFStock[RM_Code],$A93,T_TTAFStock[WeekIndex],61),BI93+'Grid_Incoming'!BJ93-'Grid_Requirement'!BJ93))</f>
        <v/>
      </c>
      <c r="BK93">
        <f>IF(COUNTIFS(T_StockCount[RM_Code],$A93,T_StockCount[WeekIndex],62)&gt;0,SUMIFS(T_StockCount[CountedQty],T_StockCount[RM_Code],$A93,T_StockCount[WeekIndex],62),IF((COUNTIFS(T_SelfStock[RM_Code],$A93,T_SelfStock[WeekIndex],62)&gt;0)*(COUNTIFS(T_TTAFStock[RM_Code],$A93,T_TTAFStock[WeekIndex],62)&gt;0)&gt;0,SUMIFS(T_SelfStock[Self_Qty],T_SelfStock[RM_Code],$A93,T_SelfStock[WeekIndex],62)+SUMIFS(T_TTAFStock[TTAF_Qty],T_TTAFStock[RM_Code],$A93,T_TTAFStock[WeekIndex],62),BJ93+'Grid_Incoming'!BK93-'Grid_Requirement'!BK93))</f>
        <v/>
      </c>
      <c r="BL93">
        <f>IF(COUNTIFS(T_StockCount[RM_Code],$A93,T_StockCount[WeekIndex],63)&gt;0,SUMIFS(T_StockCount[CountedQty],T_StockCount[RM_Code],$A93,T_StockCount[WeekIndex],63),IF((COUNTIFS(T_SelfStock[RM_Code],$A93,T_SelfStock[WeekIndex],63)&gt;0)*(COUNTIFS(T_TTAFStock[RM_Code],$A93,T_TTAFStock[WeekIndex],63)&gt;0)&gt;0,SUMIFS(T_SelfStock[Self_Qty],T_SelfStock[RM_Code],$A93,T_SelfStock[WeekIndex],63)+SUMIFS(T_TTAFStock[TTAF_Qty],T_TTAFStock[RM_Code],$A93,T_TTAFStock[WeekIndex],63),BK93+'Grid_Incoming'!BL93-'Grid_Requirement'!BL93))</f>
        <v/>
      </c>
      <c r="BM93">
        <f>IF(COUNTIFS(T_StockCount[RM_Code],$A93,T_StockCount[WeekIndex],64)&gt;0,SUMIFS(T_StockCount[CountedQty],T_StockCount[RM_Code],$A93,T_StockCount[WeekIndex],64),IF((COUNTIFS(T_SelfStock[RM_Code],$A93,T_SelfStock[WeekIndex],64)&gt;0)*(COUNTIFS(T_TTAFStock[RM_Code],$A93,T_TTAFStock[WeekIndex],64)&gt;0)&gt;0,SUMIFS(T_SelfStock[Self_Qty],T_SelfStock[RM_Code],$A93,T_SelfStock[WeekIndex],64)+SUMIFS(T_TTAFStock[TTAF_Qty],T_TTAFStock[RM_Code],$A93,T_TTAFStock[WeekIndex],64),BL93+'Grid_Incoming'!BM93-'Grid_Requirement'!BM93))</f>
        <v/>
      </c>
      <c r="BN93">
        <f>IF(COUNTIFS(T_StockCount[RM_Code],$A93,T_StockCount[WeekIndex],65)&gt;0,SUMIFS(T_StockCount[CountedQty],T_StockCount[RM_Code],$A93,T_StockCount[WeekIndex],65),IF((COUNTIFS(T_SelfStock[RM_Code],$A93,T_SelfStock[WeekIndex],65)&gt;0)*(COUNTIFS(T_TTAFStock[RM_Code],$A93,T_TTAFStock[WeekIndex],65)&gt;0)&gt;0,SUMIFS(T_SelfStock[Self_Qty],T_SelfStock[RM_Code],$A93,T_SelfStock[WeekIndex],65)+SUMIFS(T_TTAFStock[TTAF_Qty],T_TTAFStock[RM_Code],$A93,T_TTAFStock[WeekIndex],65),BM93+'Grid_Incoming'!BN93-'Grid_Requirement'!BN93))</f>
        <v/>
      </c>
      <c r="BO93">
        <f>IF(COUNTIFS(T_StockCount[RM_Code],$A93,T_StockCount[WeekIndex],66)&gt;0,SUMIFS(T_StockCount[CountedQty],T_StockCount[RM_Code],$A93,T_StockCount[WeekIndex],66),IF((COUNTIFS(T_SelfStock[RM_Code],$A93,T_SelfStock[WeekIndex],66)&gt;0)*(COUNTIFS(T_TTAFStock[RM_Code],$A93,T_TTAFStock[WeekIndex],66)&gt;0)&gt;0,SUMIFS(T_SelfStock[Self_Qty],T_SelfStock[RM_Code],$A93,T_SelfStock[WeekIndex],66)+SUMIFS(T_TTAFStock[TTAF_Qty],T_TTAFStock[RM_Code],$A93,T_TTAFStock[WeekIndex],66),BN93+'Grid_Incoming'!BO93-'Grid_Requirement'!BO93))</f>
        <v/>
      </c>
      <c r="BP93">
        <f>IF(COUNTIFS(T_StockCount[RM_Code],$A93,T_StockCount[WeekIndex],67)&gt;0,SUMIFS(T_StockCount[CountedQty],T_StockCount[RM_Code],$A93,T_StockCount[WeekIndex],67),IF((COUNTIFS(T_SelfStock[RM_Code],$A93,T_SelfStock[WeekIndex],67)&gt;0)*(COUNTIFS(T_TTAFStock[RM_Code],$A93,T_TTAFStock[WeekIndex],67)&gt;0)&gt;0,SUMIFS(T_SelfStock[Self_Qty],T_SelfStock[RM_Code],$A93,T_SelfStock[WeekIndex],67)+SUMIFS(T_TTAFStock[TTAF_Qty],T_TTAFStock[RM_Code],$A93,T_TTAFStock[WeekIndex],67),BO93+'Grid_Incoming'!BP93-'Grid_Requirement'!BP93))</f>
        <v/>
      </c>
      <c r="BQ93">
        <f>IF(COUNTIFS(T_StockCount[RM_Code],$A93,T_StockCount[WeekIndex],68)&gt;0,SUMIFS(T_StockCount[CountedQty],T_StockCount[RM_Code],$A93,T_StockCount[WeekIndex],68),IF((COUNTIFS(T_SelfStock[RM_Code],$A93,T_SelfStock[WeekIndex],68)&gt;0)*(COUNTIFS(T_TTAFStock[RM_Code],$A93,T_TTAFStock[WeekIndex],68)&gt;0)&gt;0,SUMIFS(T_SelfStock[Self_Qty],T_SelfStock[RM_Code],$A93,T_SelfStock[WeekIndex],68)+SUMIFS(T_TTAFStock[TTAF_Qty],T_TTAFStock[RM_Code],$A93,T_TTAFStock[WeekIndex],68),BP93+'Grid_Incoming'!BQ93-'Grid_Requirement'!BQ93))</f>
        <v/>
      </c>
      <c r="BR93">
        <f>IF(COUNTIFS(T_StockCount[RM_Code],$A93,T_StockCount[WeekIndex],69)&gt;0,SUMIFS(T_StockCount[CountedQty],T_StockCount[RM_Code],$A93,T_StockCount[WeekIndex],69),IF((COUNTIFS(T_SelfStock[RM_Code],$A93,T_SelfStock[WeekIndex],69)&gt;0)*(COUNTIFS(T_TTAFStock[RM_Code],$A93,T_TTAFStock[WeekIndex],69)&gt;0)&gt;0,SUMIFS(T_SelfStock[Self_Qty],T_SelfStock[RM_Code],$A93,T_SelfStock[WeekIndex],69)+SUMIFS(T_TTAFStock[TTAF_Qty],T_TTAFStock[RM_Code],$A93,T_TTAFStock[WeekIndex],69),BQ93+'Grid_Incoming'!BR93-'Grid_Requirement'!BR93))</f>
        <v/>
      </c>
      <c r="BS93">
        <f>IF(COUNTIFS(T_StockCount[RM_Code],$A93,T_StockCount[WeekIndex],70)&gt;0,SUMIFS(T_StockCount[CountedQty],T_StockCount[RM_Code],$A93,T_StockCount[WeekIndex],70),IF((COUNTIFS(T_SelfStock[RM_Code],$A93,T_SelfStock[WeekIndex],70)&gt;0)*(COUNTIFS(T_TTAFStock[RM_Code],$A93,T_TTAFStock[WeekIndex],70)&gt;0)&gt;0,SUMIFS(T_SelfStock[Self_Qty],T_SelfStock[RM_Code],$A93,T_SelfStock[WeekIndex],70)+SUMIFS(T_TTAFStock[TTAF_Qty],T_TTAFStock[RM_Code],$A93,T_TTAFStock[WeekIndex],70),BR93+'Grid_Incoming'!BS93-'Grid_Requirement'!BS93))</f>
        <v/>
      </c>
      <c r="BT93">
        <f>IF(COUNTIFS(T_StockCount[RM_Code],$A93,T_StockCount[WeekIndex],71)&gt;0,SUMIFS(T_StockCount[CountedQty],T_StockCount[RM_Code],$A93,T_StockCount[WeekIndex],71),IF((COUNTIFS(T_SelfStock[RM_Code],$A93,T_SelfStock[WeekIndex],71)&gt;0)*(COUNTIFS(T_TTAFStock[RM_Code],$A93,T_TTAFStock[WeekIndex],71)&gt;0)&gt;0,SUMIFS(T_SelfStock[Self_Qty],T_SelfStock[RM_Code],$A93,T_SelfStock[WeekIndex],71)+SUMIFS(T_TTAFStock[TTAF_Qty],T_TTAFStock[RM_Code],$A93,T_TTAFStock[WeekIndex],71),BS93+'Grid_Incoming'!BT93-'Grid_Requirement'!BT93))</f>
        <v/>
      </c>
      <c r="BU93">
        <f>IF(COUNTIFS(T_StockCount[RM_Code],$A93,T_StockCount[WeekIndex],72)&gt;0,SUMIFS(T_StockCount[CountedQty],T_StockCount[RM_Code],$A93,T_StockCount[WeekIndex],72),IF((COUNTIFS(T_SelfStock[RM_Code],$A93,T_SelfStock[WeekIndex],72)&gt;0)*(COUNTIFS(T_TTAFStock[RM_Code],$A93,T_TTAFStock[WeekIndex],72)&gt;0)&gt;0,SUMIFS(T_SelfStock[Self_Qty],T_SelfStock[RM_Code],$A93,T_SelfStock[WeekIndex],72)+SUMIFS(T_TTAFStock[TTAF_Qty],T_TTAFStock[RM_Code],$A93,T_TTAFStock[WeekIndex],72),BT93+'Grid_Incoming'!BU93-'Grid_Requirement'!BU93))</f>
        <v/>
      </c>
      <c r="BV93">
        <f>IF(COUNTIFS(T_StockCount[RM_Code],$A93,T_StockCount[WeekIndex],73)&gt;0,SUMIFS(T_StockCount[CountedQty],T_StockCount[RM_Code],$A93,T_StockCount[WeekIndex],73),IF((COUNTIFS(T_SelfStock[RM_Code],$A93,T_SelfStock[WeekIndex],73)&gt;0)*(COUNTIFS(T_TTAFStock[RM_Code],$A93,T_TTAFStock[WeekIndex],73)&gt;0)&gt;0,SUMIFS(T_SelfStock[Self_Qty],T_SelfStock[RM_Code],$A93,T_SelfStock[WeekIndex],73)+SUMIFS(T_TTAFStock[TTAF_Qty],T_TTAFStock[RM_Code],$A93,T_TTAFStock[WeekIndex],73),BU93+'Grid_Incoming'!BV93-'Grid_Requirement'!BV93))</f>
        <v/>
      </c>
      <c r="BW93">
        <f>IF(COUNTIFS(T_StockCount[RM_Code],$A93,T_StockCount[WeekIndex],74)&gt;0,SUMIFS(T_StockCount[CountedQty],T_StockCount[RM_Code],$A93,T_StockCount[WeekIndex],74),IF((COUNTIFS(T_SelfStock[RM_Code],$A93,T_SelfStock[WeekIndex],74)&gt;0)*(COUNTIFS(T_TTAFStock[RM_Code],$A93,T_TTAFStock[WeekIndex],74)&gt;0)&gt;0,SUMIFS(T_SelfStock[Self_Qty],T_SelfStock[RM_Code],$A93,T_SelfStock[WeekIndex],74)+SUMIFS(T_TTAFStock[TTAF_Qty],T_TTAFStock[RM_Code],$A93,T_TTAFStock[WeekIndex],74),BV93+'Grid_Incoming'!BW93-'Grid_Requirement'!BW93))</f>
        <v/>
      </c>
      <c r="BX93">
        <f>IF(COUNTIFS(T_StockCount[RM_Code],$A93,T_StockCount[WeekIndex],75)&gt;0,SUMIFS(T_StockCount[CountedQty],T_StockCount[RM_Code],$A93,T_StockCount[WeekIndex],75),IF((COUNTIFS(T_SelfStock[RM_Code],$A93,T_SelfStock[WeekIndex],75)&gt;0)*(COUNTIFS(T_TTAFStock[RM_Code],$A93,T_TTAFStock[WeekIndex],75)&gt;0)&gt;0,SUMIFS(T_SelfStock[Self_Qty],T_SelfStock[RM_Code],$A93,T_SelfStock[WeekIndex],75)+SUMIFS(T_TTAFStock[TTAF_Qty],T_TTAFStock[RM_Code],$A93,T_TTAFStock[WeekIndex],75),BW93+'Grid_Incoming'!BX93-'Grid_Requirement'!BX93))</f>
        <v/>
      </c>
      <c r="BY93">
        <f>IF(COUNTIFS(T_StockCount[RM_Code],$A93,T_StockCount[WeekIndex],76)&gt;0,SUMIFS(T_StockCount[CountedQty],T_StockCount[RM_Code],$A93,T_StockCount[WeekIndex],76),IF((COUNTIFS(T_SelfStock[RM_Code],$A93,T_SelfStock[WeekIndex],76)&gt;0)*(COUNTIFS(T_TTAFStock[RM_Code],$A93,T_TTAFStock[WeekIndex],76)&gt;0)&gt;0,SUMIFS(T_SelfStock[Self_Qty],T_SelfStock[RM_Code],$A93,T_SelfStock[WeekIndex],76)+SUMIFS(T_TTAFStock[TTAF_Qty],T_TTAFStock[RM_Code],$A93,T_TTAFStock[WeekIndex],76),BX93+'Grid_Incoming'!BY93-'Grid_Requirement'!BY93))</f>
        <v/>
      </c>
      <c r="BZ93">
        <f>IF(COUNTIFS(T_StockCount[RM_Code],$A93,T_StockCount[WeekIndex],77)&gt;0,SUMIFS(T_StockCount[CountedQty],T_StockCount[RM_Code],$A93,T_StockCount[WeekIndex],77),IF((COUNTIFS(T_SelfStock[RM_Code],$A93,T_SelfStock[WeekIndex],77)&gt;0)*(COUNTIFS(T_TTAFStock[RM_Code],$A93,T_TTAFStock[WeekIndex],77)&gt;0)&gt;0,SUMIFS(T_SelfStock[Self_Qty],T_SelfStock[RM_Code],$A93,T_SelfStock[WeekIndex],77)+SUMIFS(T_TTAFStock[TTAF_Qty],T_TTAFStock[RM_Code],$A93,T_TTAFStock[WeekIndex],77),BY93+'Grid_Incoming'!BZ93-'Grid_Requirement'!BZ93))</f>
        <v/>
      </c>
      <c r="CA93">
        <f>IF(COUNTIFS(T_StockCount[RM_Code],$A93,T_StockCount[WeekIndex],78)&gt;0,SUMIFS(T_StockCount[CountedQty],T_StockCount[RM_Code],$A93,T_StockCount[WeekIndex],78),IF((COUNTIFS(T_SelfStock[RM_Code],$A93,T_SelfStock[WeekIndex],78)&gt;0)*(COUNTIFS(T_TTAFStock[RM_Code],$A93,T_TTAFStock[WeekIndex],78)&gt;0)&gt;0,SUMIFS(T_SelfStock[Self_Qty],T_SelfStock[RM_Code],$A93,T_SelfStock[WeekIndex],78)+SUMIFS(T_TTAFStock[TTAF_Qty],T_TTAFStock[RM_Code],$A93,T_TTAFStock[WeekIndex],78),BZ93+'Grid_Incoming'!CA93-'Grid_Requirement'!CA93))</f>
        <v/>
      </c>
      <c r="CB93">
        <f>IF(COUNTIFS(T_StockCount[RM_Code],$A93,T_StockCount[WeekIndex],79)&gt;0,SUMIFS(T_StockCount[CountedQty],T_StockCount[RM_Code],$A93,T_StockCount[WeekIndex],79),IF((COUNTIFS(T_SelfStock[RM_Code],$A93,T_SelfStock[WeekIndex],79)&gt;0)*(COUNTIFS(T_TTAFStock[RM_Code],$A93,T_TTAFStock[WeekIndex],79)&gt;0)&gt;0,SUMIFS(T_SelfStock[Self_Qty],T_SelfStock[RM_Code],$A93,T_SelfStock[WeekIndex],79)+SUMIFS(T_TTAFStock[TTAF_Qty],T_TTAFStock[RM_Code],$A93,T_TTAFStock[WeekIndex],79),CA93+'Grid_Incoming'!CB93-'Grid_Requirement'!CB93))</f>
        <v/>
      </c>
      <c r="CC93">
        <f>IF(COUNTIFS(T_StockCount[RM_Code],$A93,T_StockCount[WeekIndex],80)&gt;0,SUMIFS(T_StockCount[CountedQty],T_StockCount[RM_Code],$A93,T_StockCount[WeekIndex],80),IF((COUNTIFS(T_SelfStock[RM_Code],$A93,T_SelfStock[WeekIndex],80)&gt;0)*(COUNTIFS(T_TTAFStock[RM_Code],$A93,T_TTAFStock[WeekIndex],80)&gt;0)&gt;0,SUMIFS(T_SelfStock[Self_Qty],T_SelfStock[RM_Code],$A93,T_SelfStock[WeekIndex],80)+SUMIFS(T_TTAFStock[TTAF_Qty],T_TTAFStock[RM_Code],$A93,T_TTAFStock[WeekIndex],80),CB93+'Grid_Incoming'!CC93-'Grid_Requirement'!CC93))</f>
        <v/>
      </c>
      <c r="CD93">
        <f>IF(COUNTIFS(T_StockCount[RM_Code],$A93,T_StockCount[WeekIndex],81)&gt;0,SUMIFS(T_StockCount[CountedQty],T_StockCount[RM_Code],$A93,T_StockCount[WeekIndex],81),IF((COUNTIFS(T_SelfStock[RM_Code],$A93,T_SelfStock[WeekIndex],81)&gt;0)*(COUNTIFS(T_TTAFStock[RM_Code],$A93,T_TTAFStock[WeekIndex],81)&gt;0)&gt;0,SUMIFS(T_SelfStock[Self_Qty],T_SelfStock[RM_Code],$A93,T_SelfStock[WeekIndex],81)+SUMIFS(T_TTAFStock[TTAF_Qty],T_TTAFStock[RM_Code],$A93,T_TTAFStock[WeekIndex],81),CC93+'Grid_Incoming'!CD93-'Grid_Requirement'!CD93))</f>
        <v/>
      </c>
      <c r="CE93">
        <f>IF(COUNTIFS(T_StockCount[RM_Code],$A93,T_StockCount[WeekIndex],82)&gt;0,SUMIFS(T_StockCount[CountedQty],T_StockCount[RM_Code],$A93,T_StockCount[WeekIndex],82),IF((COUNTIFS(T_SelfStock[RM_Code],$A93,T_SelfStock[WeekIndex],82)&gt;0)*(COUNTIFS(T_TTAFStock[RM_Code],$A93,T_TTAFStock[WeekIndex],82)&gt;0)&gt;0,SUMIFS(T_SelfStock[Self_Qty],T_SelfStock[RM_Code],$A93,T_SelfStock[WeekIndex],82)+SUMIFS(T_TTAFStock[TTAF_Qty],T_TTAFStock[RM_Code],$A93,T_TTAFStock[WeekIndex],82),CD93+'Grid_Incoming'!CE93-'Grid_Requirement'!CE93))</f>
        <v/>
      </c>
      <c r="CF93">
        <f>IF(COUNTIFS(T_StockCount[RM_Code],$A93,T_StockCount[WeekIndex],83)&gt;0,SUMIFS(T_StockCount[CountedQty],T_StockCount[RM_Code],$A93,T_StockCount[WeekIndex],83),IF((COUNTIFS(T_SelfStock[RM_Code],$A93,T_SelfStock[WeekIndex],83)&gt;0)*(COUNTIFS(T_TTAFStock[RM_Code],$A93,T_TTAFStock[WeekIndex],83)&gt;0)&gt;0,SUMIFS(T_SelfStock[Self_Qty],T_SelfStock[RM_Code],$A93,T_SelfStock[WeekIndex],83)+SUMIFS(T_TTAFStock[TTAF_Qty],T_TTAFStock[RM_Code],$A93,T_TTAFStock[WeekIndex],83),CE93+'Grid_Incoming'!CF93-'Grid_Requirement'!CF93))</f>
        <v/>
      </c>
      <c r="CG93">
        <f>IF(COUNTIFS(T_StockCount[RM_Code],$A93,T_StockCount[WeekIndex],84)&gt;0,SUMIFS(T_StockCount[CountedQty],T_StockCount[RM_Code],$A93,T_StockCount[WeekIndex],84),IF((COUNTIFS(T_SelfStock[RM_Code],$A93,T_SelfStock[WeekIndex],84)&gt;0)*(COUNTIFS(T_TTAFStock[RM_Code],$A93,T_TTAFStock[WeekIndex],84)&gt;0)&gt;0,SUMIFS(T_SelfStock[Self_Qty],T_SelfStock[RM_Code],$A93,T_SelfStock[WeekIndex],84)+SUMIFS(T_TTAFStock[TTAF_Qty],T_TTAFStock[RM_Code],$A93,T_TTAFStock[WeekIndex],84),CF93+'Grid_Incoming'!CG93-'Grid_Requirement'!CG93))</f>
        <v/>
      </c>
      <c r="CH93">
        <f>IF(COUNTIFS(T_StockCount[RM_Code],$A93,T_StockCount[WeekIndex],85)&gt;0,SUMIFS(T_StockCount[CountedQty],T_StockCount[RM_Code],$A93,T_StockCount[WeekIndex],85),IF((COUNTIFS(T_SelfStock[RM_Code],$A93,T_SelfStock[WeekIndex],85)&gt;0)*(COUNTIFS(T_TTAFStock[RM_Code],$A93,T_TTAFStock[WeekIndex],85)&gt;0)&gt;0,SUMIFS(T_SelfStock[Self_Qty],T_SelfStock[RM_Code],$A93,T_SelfStock[WeekIndex],85)+SUMIFS(T_TTAFStock[TTAF_Qty],T_TTAFStock[RM_Code],$A93,T_TTAFStock[WeekIndex],85),CG93+'Grid_Incoming'!CH93-'Grid_Requirement'!CH93))</f>
        <v/>
      </c>
      <c r="CI93">
        <f>IF(COUNTIFS(T_StockCount[RM_Code],$A93,T_StockCount[WeekIndex],86)&gt;0,SUMIFS(T_StockCount[CountedQty],T_StockCount[RM_Code],$A93,T_StockCount[WeekIndex],86),IF((COUNTIFS(T_SelfStock[RM_Code],$A93,T_SelfStock[WeekIndex],86)&gt;0)*(COUNTIFS(T_TTAFStock[RM_Code],$A93,T_TTAFStock[WeekIndex],86)&gt;0)&gt;0,SUMIFS(T_SelfStock[Self_Qty],T_SelfStock[RM_Code],$A93,T_SelfStock[WeekIndex],86)+SUMIFS(T_TTAFStock[TTAF_Qty],T_TTAFStock[RM_Code],$A93,T_TTAFStock[WeekIndex],86),CH93+'Grid_Incoming'!CI93-'Grid_Requirement'!CI93))</f>
        <v/>
      </c>
      <c r="CJ93">
        <f>IF(COUNTIFS(T_StockCount[RM_Code],$A93,T_StockCount[WeekIndex],87)&gt;0,SUMIFS(T_StockCount[CountedQty],T_StockCount[RM_Code],$A93,T_StockCount[WeekIndex],87),IF((COUNTIFS(T_SelfStock[RM_Code],$A93,T_SelfStock[WeekIndex],87)&gt;0)*(COUNTIFS(T_TTAFStock[RM_Code],$A93,T_TTAFStock[WeekIndex],87)&gt;0)&gt;0,SUMIFS(T_SelfStock[Self_Qty],T_SelfStock[RM_Code],$A93,T_SelfStock[WeekIndex],87)+SUMIFS(T_TTAFStock[TTAF_Qty],T_TTAFStock[RM_Code],$A93,T_TTAFStock[WeekIndex],87),CI93+'Grid_Incoming'!CJ93-'Grid_Requirement'!CJ93))</f>
        <v/>
      </c>
      <c r="CK93">
        <f>IF(COUNTIFS(T_StockCount[RM_Code],$A93,T_StockCount[WeekIndex],88)&gt;0,SUMIFS(T_StockCount[CountedQty],T_StockCount[RM_Code],$A93,T_StockCount[WeekIndex],88),IF((COUNTIFS(T_SelfStock[RM_Code],$A93,T_SelfStock[WeekIndex],88)&gt;0)*(COUNTIFS(T_TTAFStock[RM_Code],$A93,T_TTAFStock[WeekIndex],88)&gt;0)&gt;0,SUMIFS(T_SelfStock[Self_Qty],T_SelfStock[RM_Code],$A93,T_SelfStock[WeekIndex],88)+SUMIFS(T_TTAFStock[TTAF_Qty],T_TTAFStock[RM_Code],$A93,T_TTAFStock[WeekIndex],88),CJ93+'Grid_Incoming'!CK93-'Grid_Requirement'!CK93))</f>
        <v/>
      </c>
      <c r="CL93">
        <f>IF(COUNTIFS(T_StockCount[RM_Code],$A93,T_StockCount[WeekIndex],89)&gt;0,SUMIFS(T_StockCount[CountedQty],T_StockCount[RM_Code],$A93,T_StockCount[WeekIndex],89),IF((COUNTIFS(T_SelfStock[RM_Code],$A93,T_SelfStock[WeekIndex],89)&gt;0)*(COUNTIFS(T_TTAFStock[RM_Code],$A93,T_TTAFStock[WeekIndex],89)&gt;0)&gt;0,SUMIFS(T_SelfStock[Self_Qty],T_SelfStock[RM_Code],$A93,T_SelfStock[WeekIndex],89)+SUMIFS(T_TTAFStock[TTAF_Qty],T_TTAFStock[RM_Code],$A93,T_TTAFStock[WeekIndex],89),CK93+'Grid_Incoming'!CL93-'Grid_Requirement'!CL93))</f>
        <v/>
      </c>
      <c r="CM93">
        <f>IF(COUNTIFS(T_StockCount[RM_Code],$A93,T_StockCount[WeekIndex],90)&gt;0,SUMIFS(T_StockCount[CountedQty],T_StockCount[RM_Code],$A93,T_StockCount[WeekIndex],90),IF((COUNTIFS(T_SelfStock[RM_Code],$A93,T_SelfStock[WeekIndex],90)&gt;0)*(COUNTIFS(T_TTAFStock[RM_Code],$A93,T_TTAFStock[WeekIndex],90)&gt;0)&gt;0,SUMIFS(T_SelfStock[Self_Qty],T_SelfStock[RM_Code],$A93,T_SelfStock[WeekIndex],90)+SUMIFS(T_TTAFStock[TTAF_Qty],T_TTAFStock[RM_Code],$A93,T_TTAFStock[WeekIndex],90),CL93+'Grid_Incoming'!CM93-'Grid_Requirement'!CM93))</f>
        <v/>
      </c>
      <c r="CN93">
        <f>IF(COUNTIFS(T_StockCount[RM_Code],$A93,T_StockCount[WeekIndex],91)&gt;0,SUMIFS(T_StockCount[CountedQty],T_StockCount[RM_Code],$A93,T_StockCount[WeekIndex],91),IF((COUNTIFS(T_SelfStock[RM_Code],$A93,T_SelfStock[WeekIndex],91)&gt;0)*(COUNTIFS(T_TTAFStock[RM_Code],$A93,T_TTAFStock[WeekIndex],91)&gt;0)&gt;0,SUMIFS(T_SelfStock[Self_Qty],T_SelfStock[RM_Code],$A93,T_SelfStock[WeekIndex],91)+SUMIFS(T_TTAFStock[TTAF_Qty],T_TTAFStock[RM_Code],$A93,T_TTAFStock[WeekIndex],91),CM93+'Grid_Incoming'!CN93-'Grid_Requirement'!CN93))</f>
        <v/>
      </c>
      <c r="CO93">
        <f>IF(COUNTIFS(T_StockCount[RM_Code],$A93,T_StockCount[WeekIndex],92)&gt;0,SUMIFS(T_StockCount[CountedQty],T_StockCount[RM_Code],$A93,T_StockCount[WeekIndex],92),IF((COUNTIFS(T_SelfStock[RM_Code],$A93,T_SelfStock[WeekIndex],92)&gt;0)*(COUNTIFS(T_TTAFStock[RM_Code],$A93,T_TTAFStock[WeekIndex],92)&gt;0)&gt;0,SUMIFS(T_SelfStock[Self_Qty],T_SelfStock[RM_Code],$A93,T_SelfStock[WeekIndex],92)+SUMIFS(T_TTAFStock[TTAF_Qty],T_TTAFStock[RM_Code],$A93,T_TTAFStock[WeekIndex],92),CN93+'Grid_Incoming'!CO93-'Grid_Requirement'!CO93))</f>
        <v/>
      </c>
      <c r="CP93">
        <f>IF(COUNTIFS(T_StockCount[RM_Code],$A93,T_StockCount[WeekIndex],93)&gt;0,SUMIFS(T_StockCount[CountedQty],T_StockCount[RM_Code],$A93,T_StockCount[WeekIndex],93),IF((COUNTIFS(T_SelfStock[RM_Code],$A93,T_SelfStock[WeekIndex],93)&gt;0)*(COUNTIFS(T_TTAFStock[RM_Code],$A93,T_TTAFStock[WeekIndex],93)&gt;0)&gt;0,SUMIFS(T_SelfStock[Self_Qty],T_SelfStock[RM_Code],$A93,T_SelfStock[WeekIndex],93)+SUMIFS(T_TTAFStock[TTAF_Qty],T_TTAFStock[RM_Code],$A93,T_TTAFStock[WeekIndex],93),CO93+'Grid_Incoming'!CP93-'Grid_Requirement'!CP93))</f>
        <v/>
      </c>
      <c r="CQ93">
        <f>IF(COUNTIFS(T_StockCount[RM_Code],$A93,T_StockCount[WeekIndex],94)&gt;0,SUMIFS(T_StockCount[CountedQty],T_StockCount[RM_Code],$A93,T_StockCount[WeekIndex],94),IF((COUNTIFS(T_SelfStock[RM_Code],$A93,T_SelfStock[WeekIndex],94)&gt;0)*(COUNTIFS(T_TTAFStock[RM_Code],$A93,T_TTAFStock[WeekIndex],94)&gt;0)&gt;0,SUMIFS(T_SelfStock[Self_Qty],T_SelfStock[RM_Code],$A93,T_SelfStock[WeekIndex],94)+SUMIFS(T_TTAFStock[TTAF_Qty],T_TTAFStock[RM_Code],$A93,T_TTAFStock[WeekIndex],94),CP93+'Grid_Incoming'!CQ93-'Grid_Requirement'!CQ93))</f>
        <v/>
      </c>
      <c r="CR93">
        <f>IF(COUNTIFS(T_StockCount[RM_Code],$A93,T_StockCount[WeekIndex],95)&gt;0,SUMIFS(T_StockCount[CountedQty],T_StockCount[RM_Code],$A93,T_StockCount[WeekIndex],95),IF((COUNTIFS(T_SelfStock[RM_Code],$A93,T_SelfStock[WeekIndex],95)&gt;0)*(COUNTIFS(T_TTAFStock[RM_Code],$A93,T_TTAFStock[WeekIndex],95)&gt;0)&gt;0,SUMIFS(T_SelfStock[Self_Qty],T_SelfStock[RM_Code],$A93,T_SelfStock[WeekIndex],95)+SUMIFS(T_TTAFStock[TTAF_Qty],T_TTAFStock[RM_Code],$A93,T_TTAFStock[WeekIndex],95),CQ93+'Grid_Incoming'!CR93-'Grid_Requirement'!CR93))</f>
        <v/>
      </c>
      <c r="CS93">
        <f>IF(COUNTIFS(T_StockCount[RM_Code],$A93,T_StockCount[WeekIndex],96)&gt;0,SUMIFS(T_StockCount[CountedQty],T_StockCount[RM_Code],$A93,T_StockCount[WeekIndex],96),IF((COUNTIFS(T_SelfStock[RM_Code],$A93,T_SelfStock[WeekIndex],96)&gt;0)*(COUNTIFS(T_TTAFStock[RM_Code],$A93,T_TTAFStock[WeekIndex],96)&gt;0)&gt;0,SUMIFS(T_SelfStock[Self_Qty],T_SelfStock[RM_Code],$A93,T_SelfStock[WeekIndex],96)+SUMIFS(T_TTAFStock[TTAF_Qty],T_TTAFStock[RM_Code],$A93,T_TTAFStock[WeekIndex],96),CR93+'Grid_Incoming'!CS93-'Grid_Requirement'!CS93))</f>
        <v/>
      </c>
      <c r="CT93">
        <f>IF(COUNTIFS(T_StockCount[RM_Code],$A93,T_StockCount[WeekIndex],97)&gt;0,SUMIFS(T_StockCount[CountedQty],T_StockCount[RM_Code],$A93,T_StockCount[WeekIndex],97),IF((COUNTIFS(T_SelfStock[RM_Code],$A93,T_SelfStock[WeekIndex],97)&gt;0)*(COUNTIFS(T_TTAFStock[RM_Code],$A93,T_TTAFStock[WeekIndex],97)&gt;0)&gt;0,SUMIFS(T_SelfStock[Self_Qty],T_SelfStock[RM_Code],$A93,T_SelfStock[WeekIndex],97)+SUMIFS(T_TTAFStock[TTAF_Qty],T_TTAFStock[RM_Code],$A93,T_TTAFStock[WeekIndex],97),CS93+'Grid_Incoming'!CT93-'Grid_Requirement'!CT93))</f>
        <v/>
      </c>
      <c r="CU93">
        <f>IF(COUNTIFS(T_StockCount[RM_Code],$A93,T_StockCount[WeekIndex],98)&gt;0,SUMIFS(T_StockCount[CountedQty],T_StockCount[RM_Code],$A93,T_StockCount[WeekIndex],98),IF((COUNTIFS(T_SelfStock[RM_Code],$A93,T_SelfStock[WeekIndex],98)&gt;0)*(COUNTIFS(T_TTAFStock[RM_Code],$A93,T_TTAFStock[WeekIndex],98)&gt;0)&gt;0,SUMIFS(T_SelfStock[Self_Qty],T_SelfStock[RM_Code],$A93,T_SelfStock[WeekIndex],98)+SUMIFS(T_TTAFStock[TTAF_Qty],T_TTAFStock[RM_Code],$A93,T_TTAFStock[WeekIndex],98),CT93+'Grid_Incoming'!CU93-'Grid_Requirement'!CU93))</f>
        <v/>
      </c>
      <c r="CV93">
        <f>IF(COUNTIFS(T_StockCount[RM_Code],$A93,T_StockCount[WeekIndex],99)&gt;0,SUMIFS(T_StockCount[CountedQty],T_StockCount[RM_Code],$A93,T_StockCount[WeekIndex],99),IF((COUNTIFS(T_SelfStock[RM_Code],$A93,T_SelfStock[WeekIndex],99)&gt;0)*(COUNTIFS(T_TTAFStock[RM_Code],$A93,T_TTAFStock[WeekIndex],99)&gt;0)&gt;0,SUMIFS(T_SelfStock[Self_Qty],T_SelfStock[RM_Code],$A93,T_SelfStock[WeekIndex],99)+SUMIFS(T_TTAFStock[TTAF_Qty],T_TTAFStock[RM_Code],$A93,T_TTAFStock[WeekIndex],99),CU93+'Grid_Incoming'!CV93-'Grid_Requirement'!CV93))</f>
        <v/>
      </c>
      <c r="CW93">
        <f>IF(COUNTIFS(T_StockCount[RM_Code],$A93,T_StockCount[WeekIndex],100)&gt;0,SUMIFS(T_StockCount[CountedQty],T_StockCount[RM_Code],$A93,T_StockCount[WeekIndex],100),IF((COUNTIFS(T_SelfStock[RM_Code],$A93,T_SelfStock[WeekIndex],100)&gt;0)*(COUNTIFS(T_TTAFStock[RM_Code],$A93,T_TTAFStock[WeekIndex],100)&gt;0)&gt;0,SUMIFS(T_SelfStock[Self_Qty],T_SelfStock[RM_Code],$A93,T_SelfStock[WeekIndex],100)+SUMIFS(T_TTAFStock[TTAF_Qty],T_TTAFStock[RM_Code],$A93,T_TTAFStock[WeekIndex],100),CV93+'Grid_Incoming'!CW93-'Grid_Requirement'!CW93))</f>
        <v/>
      </c>
      <c r="CX93">
        <f>IF(COUNTIFS(T_StockCount[RM_Code],$A93,T_StockCount[WeekIndex],101)&gt;0,SUMIFS(T_StockCount[CountedQty],T_StockCount[RM_Code],$A93,T_StockCount[WeekIndex],101),IF((COUNTIFS(T_SelfStock[RM_Code],$A93,T_SelfStock[WeekIndex],101)&gt;0)*(COUNTIFS(T_TTAFStock[RM_Code],$A93,T_TTAFStock[WeekIndex],101)&gt;0)&gt;0,SUMIFS(T_SelfStock[Self_Qty],T_SelfStock[RM_Code],$A93,T_SelfStock[WeekIndex],101)+SUMIFS(T_TTAFStock[TTAF_Qty],T_TTAFStock[RM_Code],$A93,T_TTAFStock[WeekIndex],101),CW93+'Grid_Incoming'!CX93-'Grid_Requirement'!CX93))</f>
        <v/>
      </c>
      <c r="CY93">
        <f>IF(COUNTIFS(T_StockCount[RM_Code],$A93,T_StockCount[WeekIndex],102)&gt;0,SUMIFS(T_StockCount[CountedQty],T_StockCount[RM_Code],$A93,T_StockCount[WeekIndex],102),IF((COUNTIFS(T_SelfStock[RM_Code],$A93,T_SelfStock[WeekIndex],102)&gt;0)*(COUNTIFS(T_TTAFStock[RM_Code],$A93,T_TTAFStock[WeekIndex],102)&gt;0)&gt;0,SUMIFS(T_SelfStock[Self_Qty],T_SelfStock[RM_Code],$A93,T_SelfStock[WeekIndex],102)+SUMIFS(T_TTAFStock[TTAF_Qty],T_TTAFStock[RM_Code],$A93,T_TTAFStock[WeekIndex],102),CX93+'Grid_Incoming'!CY93-'Grid_Requirement'!CY93))</f>
        <v/>
      </c>
      <c r="CZ93">
        <f>IF(COUNTIFS(T_StockCount[RM_Code],$A93,T_StockCount[WeekIndex],103)&gt;0,SUMIFS(T_StockCount[CountedQty],T_StockCount[RM_Code],$A93,T_StockCount[WeekIndex],103),IF((COUNTIFS(T_SelfStock[RM_Code],$A93,T_SelfStock[WeekIndex],103)&gt;0)*(COUNTIFS(T_TTAFStock[RM_Code],$A93,T_TTAFStock[WeekIndex],103)&gt;0)&gt;0,SUMIFS(T_SelfStock[Self_Qty],T_SelfStock[RM_Code],$A93,T_SelfStock[WeekIndex],103)+SUMIFS(T_TTAFStock[TTAF_Qty],T_TTAFStock[RM_Code],$A93,T_TTAFStock[WeekIndex],103),CY93+'Grid_Incoming'!CZ93-'Grid_Requirement'!CZ93))</f>
        <v/>
      </c>
      <c r="DA93">
        <f>IF(COUNTIFS(T_StockCount[RM_Code],$A93,T_StockCount[WeekIndex],104)&gt;0,SUMIFS(T_StockCount[CountedQty],T_StockCount[RM_Code],$A93,T_StockCount[WeekIndex],104),IF((COUNTIFS(T_SelfStock[RM_Code],$A93,T_SelfStock[WeekIndex],104)&gt;0)*(COUNTIFS(T_TTAFStock[RM_Code],$A93,T_TTAFStock[WeekIndex],104)&gt;0)&gt;0,SUMIFS(T_SelfStock[Self_Qty],T_SelfStock[RM_Code],$A93,T_SelfStock[WeekIndex],104)+SUMIFS(T_TTAFStock[TTAF_Qty],T_TTAFStock[RM_Code],$A93,T_TTAFStock[WeekIndex],104),CZ93+'Grid_Incoming'!DA93-'Grid_Requirement'!DA93))</f>
        <v/>
      </c>
    </row>
    <row r="94">
      <c r="A94" t="inlineStr">
        <is>
          <t>CHEM-1800</t>
        </is>
      </c>
      <c r="B94">
        <f>IF(COUNTIFS(T_StockCount[RM_Code],$A94,T_StockCount[WeekIndex],1)&gt;0,SUMIFS(T_StockCount[CountedQty],T_StockCount[RM_Code],$A94,T_StockCount[WeekIndex],1),IF((COUNTIFS(T_SelfStock[RM_Code],$A94,T_SelfStock[WeekIndex],1)&gt;0)*(COUNTIFS(T_TTAFStock[RM_Code],$A94,T_TTAFStock[WeekIndex],1)&gt;0)&gt;0,SUMIFS(T_SelfStock[Self_Qty],T_SelfStock[RM_Code],$A94,T_SelfStock[WeekIndex],1)+SUMIFS(T_TTAFStock[TTAF_Qty],T_TTAFStock[RM_Code],$A94,T_TTAFStock[WeekIndex],1),IFERROR(INDEX(T_OpeningStock[Opening_Qty],MATCH($A94,T_OpeningStock[RM_Code],0)),0)+'Grid_Incoming'!B94-'Grid_Requirement'!B94))</f>
        <v/>
      </c>
      <c r="C94">
        <f>IF(COUNTIFS(T_StockCount[RM_Code],$A94,T_StockCount[WeekIndex],2)&gt;0,SUMIFS(T_StockCount[CountedQty],T_StockCount[RM_Code],$A94,T_StockCount[WeekIndex],2),IF((COUNTIFS(T_SelfStock[RM_Code],$A94,T_SelfStock[WeekIndex],2)&gt;0)*(COUNTIFS(T_TTAFStock[RM_Code],$A94,T_TTAFStock[WeekIndex],2)&gt;0)&gt;0,SUMIFS(T_SelfStock[Self_Qty],T_SelfStock[RM_Code],$A94,T_SelfStock[WeekIndex],2)+SUMIFS(T_TTAFStock[TTAF_Qty],T_TTAFStock[RM_Code],$A94,T_TTAFStock[WeekIndex],2),B94+'Grid_Incoming'!C94-'Grid_Requirement'!C94))</f>
        <v/>
      </c>
      <c r="D94">
        <f>IF(COUNTIFS(T_StockCount[RM_Code],$A94,T_StockCount[WeekIndex],3)&gt;0,SUMIFS(T_StockCount[CountedQty],T_StockCount[RM_Code],$A94,T_StockCount[WeekIndex],3),IF((COUNTIFS(T_SelfStock[RM_Code],$A94,T_SelfStock[WeekIndex],3)&gt;0)*(COUNTIFS(T_TTAFStock[RM_Code],$A94,T_TTAFStock[WeekIndex],3)&gt;0)&gt;0,SUMIFS(T_SelfStock[Self_Qty],T_SelfStock[RM_Code],$A94,T_SelfStock[WeekIndex],3)+SUMIFS(T_TTAFStock[TTAF_Qty],T_TTAFStock[RM_Code],$A94,T_TTAFStock[WeekIndex],3),C94+'Grid_Incoming'!D94-'Grid_Requirement'!D94))</f>
        <v/>
      </c>
      <c r="E94">
        <f>IF(COUNTIFS(T_StockCount[RM_Code],$A94,T_StockCount[WeekIndex],4)&gt;0,SUMIFS(T_StockCount[CountedQty],T_StockCount[RM_Code],$A94,T_StockCount[WeekIndex],4),IF((COUNTIFS(T_SelfStock[RM_Code],$A94,T_SelfStock[WeekIndex],4)&gt;0)*(COUNTIFS(T_TTAFStock[RM_Code],$A94,T_TTAFStock[WeekIndex],4)&gt;0)&gt;0,SUMIFS(T_SelfStock[Self_Qty],T_SelfStock[RM_Code],$A94,T_SelfStock[WeekIndex],4)+SUMIFS(T_TTAFStock[TTAF_Qty],T_TTAFStock[RM_Code],$A94,T_TTAFStock[WeekIndex],4),D94+'Grid_Incoming'!E94-'Grid_Requirement'!E94))</f>
        <v/>
      </c>
      <c r="F94">
        <f>IF(COUNTIFS(T_StockCount[RM_Code],$A94,T_StockCount[WeekIndex],5)&gt;0,SUMIFS(T_StockCount[CountedQty],T_StockCount[RM_Code],$A94,T_StockCount[WeekIndex],5),IF((COUNTIFS(T_SelfStock[RM_Code],$A94,T_SelfStock[WeekIndex],5)&gt;0)*(COUNTIFS(T_TTAFStock[RM_Code],$A94,T_TTAFStock[WeekIndex],5)&gt;0)&gt;0,SUMIFS(T_SelfStock[Self_Qty],T_SelfStock[RM_Code],$A94,T_SelfStock[WeekIndex],5)+SUMIFS(T_TTAFStock[TTAF_Qty],T_TTAFStock[RM_Code],$A94,T_TTAFStock[WeekIndex],5),E94+'Grid_Incoming'!F94-'Grid_Requirement'!F94))</f>
        <v/>
      </c>
      <c r="G94">
        <f>IF(COUNTIFS(T_StockCount[RM_Code],$A94,T_StockCount[WeekIndex],6)&gt;0,SUMIFS(T_StockCount[CountedQty],T_StockCount[RM_Code],$A94,T_StockCount[WeekIndex],6),IF((COUNTIFS(T_SelfStock[RM_Code],$A94,T_SelfStock[WeekIndex],6)&gt;0)*(COUNTIFS(T_TTAFStock[RM_Code],$A94,T_TTAFStock[WeekIndex],6)&gt;0)&gt;0,SUMIFS(T_SelfStock[Self_Qty],T_SelfStock[RM_Code],$A94,T_SelfStock[WeekIndex],6)+SUMIFS(T_TTAFStock[TTAF_Qty],T_TTAFStock[RM_Code],$A94,T_TTAFStock[WeekIndex],6),F94+'Grid_Incoming'!G94-'Grid_Requirement'!G94))</f>
        <v/>
      </c>
      <c r="H94">
        <f>IF(COUNTIFS(T_StockCount[RM_Code],$A94,T_StockCount[WeekIndex],7)&gt;0,SUMIFS(T_StockCount[CountedQty],T_StockCount[RM_Code],$A94,T_StockCount[WeekIndex],7),IF((COUNTIFS(T_SelfStock[RM_Code],$A94,T_SelfStock[WeekIndex],7)&gt;0)*(COUNTIFS(T_TTAFStock[RM_Code],$A94,T_TTAFStock[WeekIndex],7)&gt;0)&gt;0,SUMIFS(T_SelfStock[Self_Qty],T_SelfStock[RM_Code],$A94,T_SelfStock[WeekIndex],7)+SUMIFS(T_TTAFStock[TTAF_Qty],T_TTAFStock[RM_Code],$A94,T_TTAFStock[WeekIndex],7),G94+'Grid_Incoming'!H94-'Grid_Requirement'!H94))</f>
        <v/>
      </c>
      <c r="I94">
        <f>IF(COUNTIFS(T_StockCount[RM_Code],$A94,T_StockCount[WeekIndex],8)&gt;0,SUMIFS(T_StockCount[CountedQty],T_StockCount[RM_Code],$A94,T_StockCount[WeekIndex],8),IF((COUNTIFS(T_SelfStock[RM_Code],$A94,T_SelfStock[WeekIndex],8)&gt;0)*(COUNTIFS(T_TTAFStock[RM_Code],$A94,T_TTAFStock[WeekIndex],8)&gt;0)&gt;0,SUMIFS(T_SelfStock[Self_Qty],T_SelfStock[RM_Code],$A94,T_SelfStock[WeekIndex],8)+SUMIFS(T_TTAFStock[TTAF_Qty],T_TTAFStock[RM_Code],$A94,T_TTAFStock[WeekIndex],8),H94+'Grid_Incoming'!I94-'Grid_Requirement'!I94))</f>
        <v/>
      </c>
      <c r="J94">
        <f>IF(COUNTIFS(T_StockCount[RM_Code],$A94,T_StockCount[WeekIndex],9)&gt;0,SUMIFS(T_StockCount[CountedQty],T_StockCount[RM_Code],$A94,T_StockCount[WeekIndex],9),IF((COUNTIFS(T_SelfStock[RM_Code],$A94,T_SelfStock[WeekIndex],9)&gt;0)*(COUNTIFS(T_TTAFStock[RM_Code],$A94,T_TTAFStock[WeekIndex],9)&gt;0)&gt;0,SUMIFS(T_SelfStock[Self_Qty],T_SelfStock[RM_Code],$A94,T_SelfStock[WeekIndex],9)+SUMIFS(T_TTAFStock[TTAF_Qty],T_TTAFStock[RM_Code],$A94,T_TTAFStock[WeekIndex],9),I94+'Grid_Incoming'!J94-'Grid_Requirement'!J94))</f>
        <v/>
      </c>
      <c r="K94">
        <f>IF(COUNTIFS(T_StockCount[RM_Code],$A94,T_StockCount[WeekIndex],10)&gt;0,SUMIFS(T_StockCount[CountedQty],T_StockCount[RM_Code],$A94,T_StockCount[WeekIndex],10),IF((COUNTIFS(T_SelfStock[RM_Code],$A94,T_SelfStock[WeekIndex],10)&gt;0)*(COUNTIFS(T_TTAFStock[RM_Code],$A94,T_TTAFStock[WeekIndex],10)&gt;0)&gt;0,SUMIFS(T_SelfStock[Self_Qty],T_SelfStock[RM_Code],$A94,T_SelfStock[WeekIndex],10)+SUMIFS(T_TTAFStock[TTAF_Qty],T_TTAFStock[RM_Code],$A94,T_TTAFStock[WeekIndex],10),J94+'Grid_Incoming'!K94-'Grid_Requirement'!K94))</f>
        <v/>
      </c>
      <c r="L94">
        <f>IF(COUNTIFS(T_StockCount[RM_Code],$A94,T_StockCount[WeekIndex],11)&gt;0,SUMIFS(T_StockCount[CountedQty],T_StockCount[RM_Code],$A94,T_StockCount[WeekIndex],11),IF((COUNTIFS(T_SelfStock[RM_Code],$A94,T_SelfStock[WeekIndex],11)&gt;0)*(COUNTIFS(T_TTAFStock[RM_Code],$A94,T_TTAFStock[WeekIndex],11)&gt;0)&gt;0,SUMIFS(T_SelfStock[Self_Qty],T_SelfStock[RM_Code],$A94,T_SelfStock[WeekIndex],11)+SUMIFS(T_TTAFStock[TTAF_Qty],T_TTAFStock[RM_Code],$A94,T_TTAFStock[WeekIndex],11),K94+'Grid_Incoming'!L94-'Grid_Requirement'!L94))</f>
        <v/>
      </c>
      <c r="M94">
        <f>IF(COUNTIFS(T_StockCount[RM_Code],$A94,T_StockCount[WeekIndex],12)&gt;0,SUMIFS(T_StockCount[CountedQty],T_StockCount[RM_Code],$A94,T_StockCount[WeekIndex],12),IF((COUNTIFS(T_SelfStock[RM_Code],$A94,T_SelfStock[WeekIndex],12)&gt;0)*(COUNTIFS(T_TTAFStock[RM_Code],$A94,T_TTAFStock[WeekIndex],12)&gt;0)&gt;0,SUMIFS(T_SelfStock[Self_Qty],T_SelfStock[RM_Code],$A94,T_SelfStock[WeekIndex],12)+SUMIFS(T_TTAFStock[TTAF_Qty],T_TTAFStock[RM_Code],$A94,T_TTAFStock[WeekIndex],12),L94+'Grid_Incoming'!M94-'Grid_Requirement'!M94))</f>
        <v/>
      </c>
      <c r="N94">
        <f>IF(COUNTIFS(T_StockCount[RM_Code],$A94,T_StockCount[WeekIndex],13)&gt;0,SUMIFS(T_StockCount[CountedQty],T_StockCount[RM_Code],$A94,T_StockCount[WeekIndex],13),IF((COUNTIFS(T_SelfStock[RM_Code],$A94,T_SelfStock[WeekIndex],13)&gt;0)*(COUNTIFS(T_TTAFStock[RM_Code],$A94,T_TTAFStock[WeekIndex],13)&gt;0)&gt;0,SUMIFS(T_SelfStock[Self_Qty],T_SelfStock[RM_Code],$A94,T_SelfStock[WeekIndex],13)+SUMIFS(T_TTAFStock[TTAF_Qty],T_TTAFStock[RM_Code],$A94,T_TTAFStock[WeekIndex],13),M94+'Grid_Incoming'!N94-'Grid_Requirement'!N94))</f>
        <v/>
      </c>
      <c r="O94">
        <f>IF(COUNTIFS(T_StockCount[RM_Code],$A94,T_StockCount[WeekIndex],14)&gt;0,SUMIFS(T_StockCount[CountedQty],T_StockCount[RM_Code],$A94,T_StockCount[WeekIndex],14),IF((COUNTIFS(T_SelfStock[RM_Code],$A94,T_SelfStock[WeekIndex],14)&gt;0)*(COUNTIFS(T_TTAFStock[RM_Code],$A94,T_TTAFStock[WeekIndex],14)&gt;0)&gt;0,SUMIFS(T_SelfStock[Self_Qty],T_SelfStock[RM_Code],$A94,T_SelfStock[WeekIndex],14)+SUMIFS(T_TTAFStock[TTAF_Qty],T_TTAFStock[RM_Code],$A94,T_TTAFStock[WeekIndex],14),N94+'Grid_Incoming'!O94-'Grid_Requirement'!O94))</f>
        <v/>
      </c>
      <c r="P94">
        <f>IF(COUNTIFS(T_StockCount[RM_Code],$A94,T_StockCount[WeekIndex],15)&gt;0,SUMIFS(T_StockCount[CountedQty],T_StockCount[RM_Code],$A94,T_StockCount[WeekIndex],15),IF((COUNTIFS(T_SelfStock[RM_Code],$A94,T_SelfStock[WeekIndex],15)&gt;0)*(COUNTIFS(T_TTAFStock[RM_Code],$A94,T_TTAFStock[WeekIndex],15)&gt;0)&gt;0,SUMIFS(T_SelfStock[Self_Qty],T_SelfStock[RM_Code],$A94,T_SelfStock[WeekIndex],15)+SUMIFS(T_TTAFStock[TTAF_Qty],T_TTAFStock[RM_Code],$A94,T_TTAFStock[WeekIndex],15),O94+'Grid_Incoming'!P94-'Grid_Requirement'!P94))</f>
        <v/>
      </c>
      <c r="Q94">
        <f>IF(COUNTIFS(T_StockCount[RM_Code],$A94,T_StockCount[WeekIndex],16)&gt;0,SUMIFS(T_StockCount[CountedQty],T_StockCount[RM_Code],$A94,T_StockCount[WeekIndex],16),IF((COUNTIFS(T_SelfStock[RM_Code],$A94,T_SelfStock[WeekIndex],16)&gt;0)*(COUNTIFS(T_TTAFStock[RM_Code],$A94,T_TTAFStock[WeekIndex],16)&gt;0)&gt;0,SUMIFS(T_SelfStock[Self_Qty],T_SelfStock[RM_Code],$A94,T_SelfStock[WeekIndex],16)+SUMIFS(T_TTAFStock[TTAF_Qty],T_TTAFStock[RM_Code],$A94,T_TTAFStock[WeekIndex],16),P94+'Grid_Incoming'!Q94-'Grid_Requirement'!Q94))</f>
        <v/>
      </c>
      <c r="R94">
        <f>IF(COUNTIFS(T_StockCount[RM_Code],$A94,T_StockCount[WeekIndex],17)&gt;0,SUMIFS(T_StockCount[CountedQty],T_StockCount[RM_Code],$A94,T_StockCount[WeekIndex],17),IF((COUNTIFS(T_SelfStock[RM_Code],$A94,T_SelfStock[WeekIndex],17)&gt;0)*(COUNTIFS(T_TTAFStock[RM_Code],$A94,T_TTAFStock[WeekIndex],17)&gt;0)&gt;0,SUMIFS(T_SelfStock[Self_Qty],T_SelfStock[RM_Code],$A94,T_SelfStock[WeekIndex],17)+SUMIFS(T_TTAFStock[TTAF_Qty],T_TTAFStock[RM_Code],$A94,T_TTAFStock[WeekIndex],17),Q94+'Grid_Incoming'!R94-'Grid_Requirement'!R94))</f>
        <v/>
      </c>
      <c r="S94">
        <f>IF(COUNTIFS(T_StockCount[RM_Code],$A94,T_StockCount[WeekIndex],18)&gt;0,SUMIFS(T_StockCount[CountedQty],T_StockCount[RM_Code],$A94,T_StockCount[WeekIndex],18),IF((COUNTIFS(T_SelfStock[RM_Code],$A94,T_SelfStock[WeekIndex],18)&gt;0)*(COUNTIFS(T_TTAFStock[RM_Code],$A94,T_TTAFStock[WeekIndex],18)&gt;0)&gt;0,SUMIFS(T_SelfStock[Self_Qty],T_SelfStock[RM_Code],$A94,T_SelfStock[WeekIndex],18)+SUMIFS(T_TTAFStock[TTAF_Qty],T_TTAFStock[RM_Code],$A94,T_TTAFStock[WeekIndex],18),R94+'Grid_Incoming'!S94-'Grid_Requirement'!S94))</f>
        <v/>
      </c>
      <c r="T94">
        <f>IF(COUNTIFS(T_StockCount[RM_Code],$A94,T_StockCount[WeekIndex],19)&gt;0,SUMIFS(T_StockCount[CountedQty],T_StockCount[RM_Code],$A94,T_StockCount[WeekIndex],19),IF((COUNTIFS(T_SelfStock[RM_Code],$A94,T_SelfStock[WeekIndex],19)&gt;0)*(COUNTIFS(T_TTAFStock[RM_Code],$A94,T_TTAFStock[WeekIndex],19)&gt;0)&gt;0,SUMIFS(T_SelfStock[Self_Qty],T_SelfStock[RM_Code],$A94,T_SelfStock[WeekIndex],19)+SUMIFS(T_TTAFStock[TTAF_Qty],T_TTAFStock[RM_Code],$A94,T_TTAFStock[WeekIndex],19),S94+'Grid_Incoming'!T94-'Grid_Requirement'!T94))</f>
        <v/>
      </c>
      <c r="U94">
        <f>IF(COUNTIFS(T_StockCount[RM_Code],$A94,T_StockCount[WeekIndex],20)&gt;0,SUMIFS(T_StockCount[CountedQty],T_StockCount[RM_Code],$A94,T_StockCount[WeekIndex],20),IF((COUNTIFS(T_SelfStock[RM_Code],$A94,T_SelfStock[WeekIndex],20)&gt;0)*(COUNTIFS(T_TTAFStock[RM_Code],$A94,T_TTAFStock[WeekIndex],20)&gt;0)&gt;0,SUMIFS(T_SelfStock[Self_Qty],T_SelfStock[RM_Code],$A94,T_SelfStock[WeekIndex],20)+SUMIFS(T_TTAFStock[TTAF_Qty],T_TTAFStock[RM_Code],$A94,T_TTAFStock[WeekIndex],20),T94+'Grid_Incoming'!U94-'Grid_Requirement'!U94))</f>
        <v/>
      </c>
      <c r="V94">
        <f>IF(COUNTIFS(T_StockCount[RM_Code],$A94,T_StockCount[WeekIndex],21)&gt;0,SUMIFS(T_StockCount[CountedQty],T_StockCount[RM_Code],$A94,T_StockCount[WeekIndex],21),IF((COUNTIFS(T_SelfStock[RM_Code],$A94,T_SelfStock[WeekIndex],21)&gt;0)*(COUNTIFS(T_TTAFStock[RM_Code],$A94,T_TTAFStock[WeekIndex],21)&gt;0)&gt;0,SUMIFS(T_SelfStock[Self_Qty],T_SelfStock[RM_Code],$A94,T_SelfStock[WeekIndex],21)+SUMIFS(T_TTAFStock[TTAF_Qty],T_TTAFStock[RM_Code],$A94,T_TTAFStock[WeekIndex],21),U94+'Grid_Incoming'!V94-'Grid_Requirement'!V94))</f>
        <v/>
      </c>
      <c r="W94">
        <f>IF(COUNTIFS(T_StockCount[RM_Code],$A94,T_StockCount[WeekIndex],22)&gt;0,SUMIFS(T_StockCount[CountedQty],T_StockCount[RM_Code],$A94,T_StockCount[WeekIndex],22),IF((COUNTIFS(T_SelfStock[RM_Code],$A94,T_SelfStock[WeekIndex],22)&gt;0)*(COUNTIFS(T_TTAFStock[RM_Code],$A94,T_TTAFStock[WeekIndex],22)&gt;0)&gt;0,SUMIFS(T_SelfStock[Self_Qty],T_SelfStock[RM_Code],$A94,T_SelfStock[WeekIndex],22)+SUMIFS(T_TTAFStock[TTAF_Qty],T_TTAFStock[RM_Code],$A94,T_TTAFStock[WeekIndex],22),V94+'Grid_Incoming'!W94-'Grid_Requirement'!W94))</f>
        <v/>
      </c>
      <c r="X94">
        <f>IF(COUNTIFS(T_StockCount[RM_Code],$A94,T_StockCount[WeekIndex],23)&gt;0,SUMIFS(T_StockCount[CountedQty],T_StockCount[RM_Code],$A94,T_StockCount[WeekIndex],23),IF((COUNTIFS(T_SelfStock[RM_Code],$A94,T_SelfStock[WeekIndex],23)&gt;0)*(COUNTIFS(T_TTAFStock[RM_Code],$A94,T_TTAFStock[WeekIndex],23)&gt;0)&gt;0,SUMIFS(T_SelfStock[Self_Qty],T_SelfStock[RM_Code],$A94,T_SelfStock[WeekIndex],23)+SUMIFS(T_TTAFStock[TTAF_Qty],T_TTAFStock[RM_Code],$A94,T_TTAFStock[WeekIndex],23),W94+'Grid_Incoming'!X94-'Grid_Requirement'!X94))</f>
        <v/>
      </c>
      <c r="Y94">
        <f>IF(COUNTIFS(T_StockCount[RM_Code],$A94,T_StockCount[WeekIndex],24)&gt;0,SUMIFS(T_StockCount[CountedQty],T_StockCount[RM_Code],$A94,T_StockCount[WeekIndex],24),IF((COUNTIFS(T_SelfStock[RM_Code],$A94,T_SelfStock[WeekIndex],24)&gt;0)*(COUNTIFS(T_TTAFStock[RM_Code],$A94,T_TTAFStock[WeekIndex],24)&gt;0)&gt;0,SUMIFS(T_SelfStock[Self_Qty],T_SelfStock[RM_Code],$A94,T_SelfStock[WeekIndex],24)+SUMIFS(T_TTAFStock[TTAF_Qty],T_TTAFStock[RM_Code],$A94,T_TTAFStock[WeekIndex],24),X94+'Grid_Incoming'!Y94-'Grid_Requirement'!Y94))</f>
        <v/>
      </c>
      <c r="Z94">
        <f>IF(COUNTIFS(T_StockCount[RM_Code],$A94,T_StockCount[WeekIndex],25)&gt;0,SUMIFS(T_StockCount[CountedQty],T_StockCount[RM_Code],$A94,T_StockCount[WeekIndex],25),IF((COUNTIFS(T_SelfStock[RM_Code],$A94,T_SelfStock[WeekIndex],25)&gt;0)*(COUNTIFS(T_TTAFStock[RM_Code],$A94,T_TTAFStock[WeekIndex],25)&gt;0)&gt;0,SUMIFS(T_SelfStock[Self_Qty],T_SelfStock[RM_Code],$A94,T_SelfStock[WeekIndex],25)+SUMIFS(T_TTAFStock[TTAF_Qty],T_TTAFStock[RM_Code],$A94,T_TTAFStock[WeekIndex],25),Y94+'Grid_Incoming'!Z94-'Grid_Requirement'!Z94))</f>
        <v/>
      </c>
      <c r="AA94">
        <f>IF(COUNTIFS(T_StockCount[RM_Code],$A94,T_StockCount[WeekIndex],26)&gt;0,SUMIFS(T_StockCount[CountedQty],T_StockCount[RM_Code],$A94,T_StockCount[WeekIndex],26),IF((COUNTIFS(T_SelfStock[RM_Code],$A94,T_SelfStock[WeekIndex],26)&gt;0)*(COUNTIFS(T_TTAFStock[RM_Code],$A94,T_TTAFStock[WeekIndex],26)&gt;0)&gt;0,SUMIFS(T_SelfStock[Self_Qty],T_SelfStock[RM_Code],$A94,T_SelfStock[WeekIndex],26)+SUMIFS(T_TTAFStock[TTAF_Qty],T_TTAFStock[RM_Code],$A94,T_TTAFStock[WeekIndex],26),Z94+'Grid_Incoming'!AA94-'Grid_Requirement'!AA94))</f>
        <v/>
      </c>
      <c r="AB94">
        <f>IF(COUNTIFS(T_StockCount[RM_Code],$A94,T_StockCount[WeekIndex],27)&gt;0,SUMIFS(T_StockCount[CountedQty],T_StockCount[RM_Code],$A94,T_StockCount[WeekIndex],27),IF((COUNTIFS(T_SelfStock[RM_Code],$A94,T_SelfStock[WeekIndex],27)&gt;0)*(COUNTIFS(T_TTAFStock[RM_Code],$A94,T_TTAFStock[WeekIndex],27)&gt;0)&gt;0,SUMIFS(T_SelfStock[Self_Qty],T_SelfStock[RM_Code],$A94,T_SelfStock[WeekIndex],27)+SUMIFS(T_TTAFStock[TTAF_Qty],T_TTAFStock[RM_Code],$A94,T_TTAFStock[WeekIndex],27),AA94+'Grid_Incoming'!AB94-'Grid_Requirement'!AB94))</f>
        <v/>
      </c>
      <c r="AC94">
        <f>IF(COUNTIFS(T_StockCount[RM_Code],$A94,T_StockCount[WeekIndex],28)&gt;0,SUMIFS(T_StockCount[CountedQty],T_StockCount[RM_Code],$A94,T_StockCount[WeekIndex],28),IF((COUNTIFS(T_SelfStock[RM_Code],$A94,T_SelfStock[WeekIndex],28)&gt;0)*(COUNTIFS(T_TTAFStock[RM_Code],$A94,T_TTAFStock[WeekIndex],28)&gt;0)&gt;0,SUMIFS(T_SelfStock[Self_Qty],T_SelfStock[RM_Code],$A94,T_SelfStock[WeekIndex],28)+SUMIFS(T_TTAFStock[TTAF_Qty],T_TTAFStock[RM_Code],$A94,T_TTAFStock[WeekIndex],28),AB94+'Grid_Incoming'!AC94-'Grid_Requirement'!AC94))</f>
        <v/>
      </c>
      <c r="AD94">
        <f>IF(COUNTIFS(T_StockCount[RM_Code],$A94,T_StockCount[WeekIndex],29)&gt;0,SUMIFS(T_StockCount[CountedQty],T_StockCount[RM_Code],$A94,T_StockCount[WeekIndex],29),IF((COUNTIFS(T_SelfStock[RM_Code],$A94,T_SelfStock[WeekIndex],29)&gt;0)*(COUNTIFS(T_TTAFStock[RM_Code],$A94,T_TTAFStock[WeekIndex],29)&gt;0)&gt;0,SUMIFS(T_SelfStock[Self_Qty],T_SelfStock[RM_Code],$A94,T_SelfStock[WeekIndex],29)+SUMIFS(T_TTAFStock[TTAF_Qty],T_TTAFStock[RM_Code],$A94,T_TTAFStock[WeekIndex],29),AC94+'Grid_Incoming'!AD94-'Grid_Requirement'!AD94))</f>
        <v/>
      </c>
      <c r="AE94">
        <f>IF(COUNTIFS(T_StockCount[RM_Code],$A94,T_StockCount[WeekIndex],30)&gt;0,SUMIFS(T_StockCount[CountedQty],T_StockCount[RM_Code],$A94,T_StockCount[WeekIndex],30),IF((COUNTIFS(T_SelfStock[RM_Code],$A94,T_SelfStock[WeekIndex],30)&gt;0)*(COUNTIFS(T_TTAFStock[RM_Code],$A94,T_TTAFStock[WeekIndex],30)&gt;0)&gt;0,SUMIFS(T_SelfStock[Self_Qty],T_SelfStock[RM_Code],$A94,T_SelfStock[WeekIndex],30)+SUMIFS(T_TTAFStock[TTAF_Qty],T_TTAFStock[RM_Code],$A94,T_TTAFStock[WeekIndex],30),AD94+'Grid_Incoming'!AE94-'Grid_Requirement'!AE94))</f>
        <v/>
      </c>
      <c r="AF94">
        <f>IF(COUNTIFS(T_StockCount[RM_Code],$A94,T_StockCount[WeekIndex],31)&gt;0,SUMIFS(T_StockCount[CountedQty],T_StockCount[RM_Code],$A94,T_StockCount[WeekIndex],31),IF((COUNTIFS(T_SelfStock[RM_Code],$A94,T_SelfStock[WeekIndex],31)&gt;0)*(COUNTIFS(T_TTAFStock[RM_Code],$A94,T_TTAFStock[WeekIndex],31)&gt;0)&gt;0,SUMIFS(T_SelfStock[Self_Qty],T_SelfStock[RM_Code],$A94,T_SelfStock[WeekIndex],31)+SUMIFS(T_TTAFStock[TTAF_Qty],T_TTAFStock[RM_Code],$A94,T_TTAFStock[WeekIndex],31),AE94+'Grid_Incoming'!AF94-'Grid_Requirement'!AF94))</f>
        <v/>
      </c>
      <c r="AG94">
        <f>IF(COUNTIFS(T_StockCount[RM_Code],$A94,T_StockCount[WeekIndex],32)&gt;0,SUMIFS(T_StockCount[CountedQty],T_StockCount[RM_Code],$A94,T_StockCount[WeekIndex],32),IF((COUNTIFS(T_SelfStock[RM_Code],$A94,T_SelfStock[WeekIndex],32)&gt;0)*(COUNTIFS(T_TTAFStock[RM_Code],$A94,T_TTAFStock[WeekIndex],32)&gt;0)&gt;0,SUMIFS(T_SelfStock[Self_Qty],T_SelfStock[RM_Code],$A94,T_SelfStock[WeekIndex],32)+SUMIFS(T_TTAFStock[TTAF_Qty],T_TTAFStock[RM_Code],$A94,T_TTAFStock[WeekIndex],32),AF94+'Grid_Incoming'!AG94-'Grid_Requirement'!AG94))</f>
        <v/>
      </c>
      <c r="AH94">
        <f>IF(COUNTIFS(T_StockCount[RM_Code],$A94,T_StockCount[WeekIndex],33)&gt;0,SUMIFS(T_StockCount[CountedQty],T_StockCount[RM_Code],$A94,T_StockCount[WeekIndex],33),IF((COUNTIFS(T_SelfStock[RM_Code],$A94,T_SelfStock[WeekIndex],33)&gt;0)*(COUNTIFS(T_TTAFStock[RM_Code],$A94,T_TTAFStock[WeekIndex],33)&gt;0)&gt;0,SUMIFS(T_SelfStock[Self_Qty],T_SelfStock[RM_Code],$A94,T_SelfStock[WeekIndex],33)+SUMIFS(T_TTAFStock[TTAF_Qty],T_TTAFStock[RM_Code],$A94,T_TTAFStock[WeekIndex],33),AG94+'Grid_Incoming'!AH94-'Grid_Requirement'!AH94))</f>
        <v/>
      </c>
      <c r="AI94">
        <f>IF(COUNTIFS(T_StockCount[RM_Code],$A94,T_StockCount[WeekIndex],34)&gt;0,SUMIFS(T_StockCount[CountedQty],T_StockCount[RM_Code],$A94,T_StockCount[WeekIndex],34),IF((COUNTIFS(T_SelfStock[RM_Code],$A94,T_SelfStock[WeekIndex],34)&gt;0)*(COUNTIFS(T_TTAFStock[RM_Code],$A94,T_TTAFStock[WeekIndex],34)&gt;0)&gt;0,SUMIFS(T_SelfStock[Self_Qty],T_SelfStock[RM_Code],$A94,T_SelfStock[WeekIndex],34)+SUMIFS(T_TTAFStock[TTAF_Qty],T_TTAFStock[RM_Code],$A94,T_TTAFStock[WeekIndex],34),AH94+'Grid_Incoming'!AI94-'Grid_Requirement'!AI94))</f>
        <v/>
      </c>
      <c r="AJ94">
        <f>IF(COUNTIFS(T_StockCount[RM_Code],$A94,T_StockCount[WeekIndex],35)&gt;0,SUMIFS(T_StockCount[CountedQty],T_StockCount[RM_Code],$A94,T_StockCount[WeekIndex],35),IF((COUNTIFS(T_SelfStock[RM_Code],$A94,T_SelfStock[WeekIndex],35)&gt;0)*(COUNTIFS(T_TTAFStock[RM_Code],$A94,T_TTAFStock[WeekIndex],35)&gt;0)&gt;0,SUMIFS(T_SelfStock[Self_Qty],T_SelfStock[RM_Code],$A94,T_SelfStock[WeekIndex],35)+SUMIFS(T_TTAFStock[TTAF_Qty],T_TTAFStock[RM_Code],$A94,T_TTAFStock[WeekIndex],35),AI94+'Grid_Incoming'!AJ94-'Grid_Requirement'!AJ94))</f>
        <v/>
      </c>
      <c r="AK94">
        <f>IF(COUNTIFS(T_StockCount[RM_Code],$A94,T_StockCount[WeekIndex],36)&gt;0,SUMIFS(T_StockCount[CountedQty],T_StockCount[RM_Code],$A94,T_StockCount[WeekIndex],36),IF((COUNTIFS(T_SelfStock[RM_Code],$A94,T_SelfStock[WeekIndex],36)&gt;0)*(COUNTIFS(T_TTAFStock[RM_Code],$A94,T_TTAFStock[WeekIndex],36)&gt;0)&gt;0,SUMIFS(T_SelfStock[Self_Qty],T_SelfStock[RM_Code],$A94,T_SelfStock[WeekIndex],36)+SUMIFS(T_TTAFStock[TTAF_Qty],T_TTAFStock[RM_Code],$A94,T_TTAFStock[WeekIndex],36),AJ94+'Grid_Incoming'!AK94-'Grid_Requirement'!AK94))</f>
        <v/>
      </c>
      <c r="AL94">
        <f>IF(COUNTIFS(T_StockCount[RM_Code],$A94,T_StockCount[WeekIndex],37)&gt;0,SUMIFS(T_StockCount[CountedQty],T_StockCount[RM_Code],$A94,T_StockCount[WeekIndex],37),IF((COUNTIFS(T_SelfStock[RM_Code],$A94,T_SelfStock[WeekIndex],37)&gt;0)*(COUNTIFS(T_TTAFStock[RM_Code],$A94,T_TTAFStock[WeekIndex],37)&gt;0)&gt;0,SUMIFS(T_SelfStock[Self_Qty],T_SelfStock[RM_Code],$A94,T_SelfStock[WeekIndex],37)+SUMIFS(T_TTAFStock[TTAF_Qty],T_TTAFStock[RM_Code],$A94,T_TTAFStock[WeekIndex],37),AK94+'Grid_Incoming'!AL94-'Grid_Requirement'!AL94))</f>
        <v/>
      </c>
      <c r="AM94">
        <f>IF(COUNTIFS(T_StockCount[RM_Code],$A94,T_StockCount[WeekIndex],38)&gt;0,SUMIFS(T_StockCount[CountedQty],T_StockCount[RM_Code],$A94,T_StockCount[WeekIndex],38),IF((COUNTIFS(T_SelfStock[RM_Code],$A94,T_SelfStock[WeekIndex],38)&gt;0)*(COUNTIFS(T_TTAFStock[RM_Code],$A94,T_TTAFStock[WeekIndex],38)&gt;0)&gt;0,SUMIFS(T_SelfStock[Self_Qty],T_SelfStock[RM_Code],$A94,T_SelfStock[WeekIndex],38)+SUMIFS(T_TTAFStock[TTAF_Qty],T_TTAFStock[RM_Code],$A94,T_TTAFStock[WeekIndex],38),AL94+'Grid_Incoming'!AM94-'Grid_Requirement'!AM94))</f>
        <v/>
      </c>
      <c r="AN94">
        <f>IF(COUNTIFS(T_StockCount[RM_Code],$A94,T_StockCount[WeekIndex],39)&gt;0,SUMIFS(T_StockCount[CountedQty],T_StockCount[RM_Code],$A94,T_StockCount[WeekIndex],39),IF((COUNTIFS(T_SelfStock[RM_Code],$A94,T_SelfStock[WeekIndex],39)&gt;0)*(COUNTIFS(T_TTAFStock[RM_Code],$A94,T_TTAFStock[WeekIndex],39)&gt;0)&gt;0,SUMIFS(T_SelfStock[Self_Qty],T_SelfStock[RM_Code],$A94,T_SelfStock[WeekIndex],39)+SUMIFS(T_TTAFStock[TTAF_Qty],T_TTAFStock[RM_Code],$A94,T_TTAFStock[WeekIndex],39),AM94+'Grid_Incoming'!AN94-'Grid_Requirement'!AN94))</f>
        <v/>
      </c>
      <c r="AO94">
        <f>IF(COUNTIFS(T_StockCount[RM_Code],$A94,T_StockCount[WeekIndex],40)&gt;0,SUMIFS(T_StockCount[CountedQty],T_StockCount[RM_Code],$A94,T_StockCount[WeekIndex],40),IF((COUNTIFS(T_SelfStock[RM_Code],$A94,T_SelfStock[WeekIndex],40)&gt;0)*(COUNTIFS(T_TTAFStock[RM_Code],$A94,T_TTAFStock[WeekIndex],40)&gt;0)&gt;0,SUMIFS(T_SelfStock[Self_Qty],T_SelfStock[RM_Code],$A94,T_SelfStock[WeekIndex],40)+SUMIFS(T_TTAFStock[TTAF_Qty],T_TTAFStock[RM_Code],$A94,T_TTAFStock[WeekIndex],40),AN94+'Grid_Incoming'!AO94-'Grid_Requirement'!AO94))</f>
        <v/>
      </c>
      <c r="AP94">
        <f>IF(COUNTIFS(T_StockCount[RM_Code],$A94,T_StockCount[WeekIndex],41)&gt;0,SUMIFS(T_StockCount[CountedQty],T_StockCount[RM_Code],$A94,T_StockCount[WeekIndex],41),IF((COUNTIFS(T_SelfStock[RM_Code],$A94,T_SelfStock[WeekIndex],41)&gt;0)*(COUNTIFS(T_TTAFStock[RM_Code],$A94,T_TTAFStock[WeekIndex],41)&gt;0)&gt;0,SUMIFS(T_SelfStock[Self_Qty],T_SelfStock[RM_Code],$A94,T_SelfStock[WeekIndex],41)+SUMIFS(T_TTAFStock[TTAF_Qty],T_TTAFStock[RM_Code],$A94,T_TTAFStock[WeekIndex],41),AO94+'Grid_Incoming'!AP94-'Grid_Requirement'!AP94))</f>
        <v/>
      </c>
      <c r="AQ94">
        <f>IF(COUNTIFS(T_StockCount[RM_Code],$A94,T_StockCount[WeekIndex],42)&gt;0,SUMIFS(T_StockCount[CountedQty],T_StockCount[RM_Code],$A94,T_StockCount[WeekIndex],42),IF((COUNTIFS(T_SelfStock[RM_Code],$A94,T_SelfStock[WeekIndex],42)&gt;0)*(COUNTIFS(T_TTAFStock[RM_Code],$A94,T_TTAFStock[WeekIndex],42)&gt;0)&gt;0,SUMIFS(T_SelfStock[Self_Qty],T_SelfStock[RM_Code],$A94,T_SelfStock[WeekIndex],42)+SUMIFS(T_TTAFStock[TTAF_Qty],T_TTAFStock[RM_Code],$A94,T_TTAFStock[WeekIndex],42),AP94+'Grid_Incoming'!AQ94-'Grid_Requirement'!AQ94))</f>
        <v/>
      </c>
      <c r="AR94">
        <f>IF(COUNTIFS(T_StockCount[RM_Code],$A94,T_StockCount[WeekIndex],43)&gt;0,SUMIFS(T_StockCount[CountedQty],T_StockCount[RM_Code],$A94,T_StockCount[WeekIndex],43),IF((COUNTIFS(T_SelfStock[RM_Code],$A94,T_SelfStock[WeekIndex],43)&gt;0)*(COUNTIFS(T_TTAFStock[RM_Code],$A94,T_TTAFStock[WeekIndex],43)&gt;0)&gt;0,SUMIFS(T_SelfStock[Self_Qty],T_SelfStock[RM_Code],$A94,T_SelfStock[WeekIndex],43)+SUMIFS(T_TTAFStock[TTAF_Qty],T_TTAFStock[RM_Code],$A94,T_TTAFStock[WeekIndex],43),AQ94+'Grid_Incoming'!AR94-'Grid_Requirement'!AR94))</f>
        <v/>
      </c>
      <c r="AS94">
        <f>IF(COUNTIFS(T_StockCount[RM_Code],$A94,T_StockCount[WeekIndex],44)&gt;0,SUMIFS(T_StockCount[CountedQty],T_StockCount[RM_Code],$A94,T_StockCount[WeekIndex],44),IF((COUNTIFS(T_SelfStock[RM_Code],$A94,T_SelfStock[WeekIndex],44)&gt;0)*(COUNTIFS(T_TTAFStock[RM_Code],$A94,T_TTAFStock[WeekIndex],44)&gt;0)&gt;0,SUMIFS(T_SelfStock[Self_Qty],T_SelfStock[RM_Code],$A94,T_SelfStock[WeekIndex],44)+SUMIFS(T_TTAFStock[TTAF_Qty],T_TTAFStock[RM_Code],$A94,T_TTAFStock[WeekIndex],44),AR94+'Grid_Incoming'!AS94-'Grid_Requirement'!AS94))</f>
        <v/>
      </c>
      <c r="AT94">
        <f>IF(COUNTIFS(T_StockCount[RM_Code],$A94,T_StockCount[WeekIndex],45)&gt;0,SUMIFS(T_StockCount[CountedQty],T_StockCount[RM_Code],$A94,T_StockCount[WeekIndex],45),IF((COUNTIFS(T_SelfStock[RM_Code],$A94,T_SelfStock[WeekIndex],45)&gt;0)*(COUNTIFS(T_TTAFStock[RM_Code],$A94,T_TTAFStock[WeekIndex],45)&gt;0)&gt;0,SUMIFS(T_SelfStock[Self_Qty],T_SelfStock[RM_Code],$A94,T_SelfStock[WeekIndex],45)+SUMIFS(T_TTAFStock[TTAF_Qty],T_TTAFStock[RM_Code],$A94,T_TTAFStock[WeekIndex],45),AS94+'Grid_Incoming'!AT94-'Grid_Requirement'!AT94))</f>
        <v/>
      </c>
      <c r="AU94">
        <f>IF(COUNTIFS(T_StockCount[RM_Code],$A94,T_StockCount[WeekIndex],46)&gt;0,SUMIFS(T_StockCount[CountedQty],T_StockCount[RM_Code],$A94,T_StockCount[WeekIndex],46),IF((COUNTIFS(T_SelfStock[RM_Code],$A94,T_SelfStock[WeekIndex],46)&gt;0)*(COUNTIFS(T_TTAFStock[RM_Code],$A94,T_TTAFStock[WeekIndex],46)&gt;0)&gt;0,SUMIFS(T_SelfStock[Self_Qty],T_SelfStock[RM_Code],$A94,T_SelfStock[WeekIndex],46)+SUMIFS(T_TTAFStock[TTAF_Qty],T_TTAFStock[RM_Code],$A94,T_TTAFStock[WeekIndex],46),AT94+'Grid_Incoming'!AU94-'Grid_Requirement'!AU94))</f>
        <v/>
      </c>
      <c r="AV94">
        <f>IF(COUNTIFS(T_StockCount[RM_Code],$A94,T_StockCount[WeekIndex],47)&gt;0,SUMIFS(T_StockCount[CountedQty],T_StockCount[RM_Code],$A94,T_StockCount[WeekIndex],47),IF((COUNTIFS(T_SelfStock[RM_Code],$A94,T_SelfStock[WeekIndex],47)&gt;0)*(COUNTIFS(T_TTAFStock[RM_Code],$A94,T_TTAFStock[WeekIndex],47)&gt;0)&gt;0,SUMIFS(T_SelfStock[Self_Qty],T_SelfStock[RM_Code],$A94,T_SelfStock[WeekIndex],47)+SUMIFS(T_TTAFStock[TTAF_Qty],T_TTAFStock[RM_Code],$A94,T_TTAFStock[WeekIndex],47),AU94+'Grid_Incoming'!AV94-'Grid_Requirement'!AV94))</f>
        <v/>
      </c>
      <c r="AW94">
        <f>IF(COUNTIFS(T_StockCount[RM_Code],$A94,T_StockCount[WeekIndex],48)&gt;0,SUMIFS(T_StockCount[CountedQty],T_StockCount[RM_Code],$A94,T_StockCount[WeekIndex],48),IF((COUNTIFS(T_SelfStock[RM_Code],$A94,T_SelfStock[WeekIndex],48)&gt;0)*(COUNTIFS(T_TTAFStock[RM_Code],$A94,T_TTAFStock[WeekIndex],48)&gt;0)&gt;0,SUMIFS(T_SelfStock[Self_Qty],T_SelfStock[RM_Code],$A94,T_SelfStock[WeekIndex],48)+SUMIFS(T_TTAFStock[TTAF_Qty],T_TTAFStock[RM_Code],$A94,T_TTAFStock[WeekIndex],48),AV94+'Grid_Incoming'!AW94-'Grid_Requirement'!AW94))</f>
        <v/>
      </c>
      <c r="AX94">
        <f>IF(COUNTIFS(T_StockCount[RM_Code],$A94,T_StockCount[WeekIndex],49)&gt;0,SUMIFS(T_StockCount[CountedQty],T_StockCount[RM_Code],$A94,T_StockCount[WeekIndex],49),IF((COUNTIFS(T_SelfStock[RM_Code],$A94,T_SelfStock[WeekIndex],49)&gt;0)*(COUNTIFS(T_TTAFStock[RM_Code],$A94,T_TTAFStock[WeekIndex],49)&gt;0)&gt;0,SUMIFS(T_SelfStock[Self_Qty],T_SelfStock[RM_Code],$A94,T_SelfStock[WeekIndex],49)+SUMIFS(T_TTAFStock[TTAF_Qty],T_TTAFStock[RM_Code],$A94,T_TTAFStock[WeekIndex],49),AW94+'Grid_Incoming'!AX94-'Grid_Requirement'!AX94))</f>
        <v/>
      </c>
      <c r="AY94">
        <f>IF(COUNTIFS(T_StockCount[RM_Code],$A94,T_StockCount[WeekIndex],50)&gt;0,SUMIFS(T_StockCount[CountedQty],T_StockCount[RM_Code],$A94,T_StockCount[WeekIndex],50),IF((COUNTIFS(T_SelfStock[RM_Code],$A94,T_SelfStock[WeekIndex],50)&gt;0)*(COUNTIFS(T_TTAFStock[RM_Code],$A94,T_TTAFStock[WeekIndex],50)&gt;0)&gt;0,SUMIFS(T_SelfStock[Self_Qty],T_SelfStock[RM_Code],$A94,T_SelfStock[WeekIndex],50)+SUMIFS(T_TTAFStock[TTAF_Qty],T_TTAFStock[RM_Code],$A94,T_TTAFStock[WeekIndex],50),AX94+'Grid_Incoming'!AY94-'Grid_Requirement'!AY94))</f>
        <v/>
      </c>
      <c r="AZ94">
        <f>IF(COUNTIFS(T_StockCount[RM_Code],$A94,T_StockCount[WeekIndex],51)&gt;0,SUMIFS(T_StockCount[CountedQty],T_StockCount[RM_Code],$A94,T_StockCount[WeekIndex],51),IF((COUNTIFS(T_SelfStock[RM_Code],$A94,T_SelfStock[WeekIndex],51)&gt;0)*(COUNTIFS(T_TTAFStock[RM_Code],$A94,T_TTAFStock[WeekIndex],51)&gt;0)&gt;0,SUMIFS(T_SelfStock[Self_Qty],T_SelfStock[RM_Code],$A94,T_SelfStock[WeekIndex],51)+SUMIFS(T_TTAFStock[TTAF_Qty],T_TTAFStock[RM_Code],$A94,T_TTAFStock[WeekIndex],51),AY94+'Grid_Incoming'!AZ94-'Grid_Requirement'!AZ94))</f>
        <v/>
      </c>
      <c r="BA94">
        <f>IF(COUNTIFS(T_StockCount[RM_Code],$A94,T_StockCount[WeekIndex],52)&gt;0,SUMIFS(T_StockCount[CountedQty],T_StockCount[RM_Code],$A94,T_StockCount[WeekIndex],52),IF((COUNTIFS(T_SelfStock[RM_Code],$A94,T_SelfStock[WeekIndex],52)&gt;0)*(COUNTIFS(T_TTAFStock[RM_Code],$A94,T_TTAFStock[WeekIndex],52)&gt;0)&gt;0,SUMIFS(T_SelfStock[Self_Qty],T_SelfStock[RM_Code],$A94,T_SelfStock[WeekIndex],52)+SUMIFS(T_TTAFStock[TTAF_Qty],T_TTAFStock[RM_Code],$A94,T_TTAFStock[WeekIndex],52),AZ94+'Grid_Incoming'!BA94-'Grid_Requirement'!BA94))</f>
        <v/>
      </c>
      <c r="BB94">
        <f>IF(COUNTIFS(T_StockCount[RM_Code],$A94,T_StockCount[WeekIndex],53)&gt;0,SUMIFS(T_StockCount[CountedQty],T_StockCount[RM_Code],$A94,T_StockCount[WeekIndex],53),IF((COUNTIFS(T_SelfStock[RM_Code],$A94,T_SelfStock[WeekIndex],53)&gt;0)*(COUNTIFS(T_TTAFStock[RM_Code],$A94,T_TTAFStock[WeekIndex],53)&gt;0)&gt;0,SUMIFS(T_SelfStock[Self_Qty],T_SelfStock[RM_Code],$A94,T_SelfStock[WeekIndex],53)+SUMIFS(T_TTAFStock[TTAF_Qty],T_TTAFStock[RM_Code],$A94,T_TTAFStock[WeekIndex],53),BA94+'Grid_Incoming'!BB94-'Grid_Requirement'!BB94))</f>
        <v/>
      </c>
      <c r="BC94">
        <f>IF(COUNTIFS(T_StockCount[RM_Code],$A94,T_StockCount[WeekIndex],54)&gt;0,SUMIFS(T_StockCount[CountedQty],T_StockCount[RM_Code],$A94,T_StockCount[WeekIndex],54),IF((COUNTIFS(T_SelfStock[RM_Code],$A94,T_SelfStock[WeekIndex],54)&gt;0)*(COUNTIFS(T_TTAFStock[RM_Code],$A94,T_TTAFStock[WeekIndex],54)&gt;0)&gt;0,SUMIFS(T_SelfStock[Self_Qty],T_SelfStock[RM_Code],$A94,T_SelfStock[WeekIndex],54)+SUMIFS(T_TTAFStock[TTAF_Qty],T_TTAFStock[RM_Code],$A94,T_TTAFStock[WeekIndex],54),BB94+'Grid_Incoming'!BC94-'Grid_Requirement'!BC94))</f>
        <v/>
      </c>
      <c r="BD94">
        <f>IF(COUNTIFS(T_StockCount[RM_Code],$A94,T_StockCount[WeekIndex],55)&gt;0,SUMIFS(T_StockCount[CountedQty],T_StockCount[RM_Code],$A94,T_StockCount[WeekIndex],55),IF((COUNTIFS(T_SelfStock[RM_Code],$A94,T_SelfStock[WeekIndex],55)&gt;0)*(COUNTIFS(T_TTAFStock[RM_Code],$A94,T_TTAFStock[WeekIndex],55)&gt;0)&gt;0,SUMIFS(T_SelfStock[Self_Qty],T_SelfStock[RM_Code],$A94,T_SelfStock[WeekIndex],55)+SUMIFS(T_TTAFStock[TTAF_Qty],T_TTAFStock[RM_Code],$A94,T_TTAFStock[WeekIndex],55),BC94+'Grid_Incoming'!BD94-'Grid_Requirement'!BD94))</f>
        <v/>
      </c>
      <c r="BE94">
        <f>IF(COUNTIFS(T_StockCount[RM_Code],$A94,T_StockCount[WeekIndex],56)&gt;0,SUMIFS(T_StockCount[CountedQty],T_StockCount[RM_Code],$A94,T_StockCount[WeekIndex],56),IF((COUNTIFS(T_SelfStock[RM_Code],$A94,T_SelfStock[WeekIndex],56)&gt;0)*(COUNTIFS(T_TTAFStock[RM_Code],$A94,T_TTAFStock[WeekIndex],56)&gt;0)&gt;0,SUMIFS(T_SelfStock[Self_Qty],T_SelfStock[RM_Code],$A94,T_SelfStock[WeekIndex],56)+SUMIFS(T_TTAFStock[TTAF_Qty],T_TTAFStock[RM_Code],$A94,T_TTAFStock[WeekIndex],56),BD94+'Grid_Incoming'!BE94-'Grid_Requirement'!BE94))</f>
        <v/>
      </c>
      <c r="BF94">
        <f>IF(COUNTIFS(T_StockCount[RM_Code],$A94,T_StockCount[WeekIndex],57)&gt;0,SUMIFS(T_StockCount[CountedQty],T_StockCount[RM_Code],$A94,T_StockCount[WeekIndex],57),IF((COUNTIFS(T_SelfStock[RM_Code],$A94,T_SelfStock[WeekIndex],57)&gt;0)*(COUNTIFS(T_TTAFStock[RM_Code],$A94,T_TTAFStock[WeekIndex],57)&gt;0)&gt;0,SUMIFS(T_SelfStock[Self_Qty],T_SelfStock[RM_Code],$A94,T_SelfStock[WeekIndex],57)+SUMIFS(T_TTAFStock[TTAF_Qty],T_TTAFStock[RM_Code],$A94,T_TTAFStock[WeekIndex],57),BE94+'Grid_Incoming'!BF94-'Grid_Requirement'!BF94))</f>
        <v/>
      </c>
      <c r="BG94">
        <f>IF(COUNTIFS(T_StockCount[RM_Code],$A94,T_StockCount[WeekIndex],58)&gt;0,SUMIFS(T_StockCount[CountedQty],T_StockCount[RM_Code],$A94,T_StockCount[WeekIndex],58),IF((COUNTIFS(T_SelfStock[RM_Code],$A94,T_SelfStock[WeekIndex],58)&gt;0)*(COUNTIFS(T_TTAFStock[RM_Code],$A94,T_TTAFStock[WeekIndex],58)&gt;0)&gt;0,SUMIFS(T_SelfStock[Self_Qty],T_SelfStock[RM_Code],$A94,T_SelfStock[WeekIndex],58)+SUMIFS(T_TTAFStock[TTAF_Qty],T_TTAFStock[RM_Code],$A94,T_TTAFStock[WeekIndex],58),BF94+'Grid_Incoming'!BG94-'Grid_Requirement'!BG94))</f>
        <v/>
      </c>
      <c r="BH94">
        <f>IF(COUNTIFS(T_StockCount[RM_Code],$A94,T_StockCount[WeekIndex],59)&gt;0,SUMIFS(T_StockCount[CountedQty],T_StockCount[RM_Code],$A94,T_StockCount[WeekIndex],59),IF((COUNTIFS(T_SelfStock[RM_Code],$A94,T_SelfStock[WeekIndex],59)&gt;0)*(COUNTIFS(T_TTAFStock[RM_Code],$A94,T_TTAFStock[WeekIndex],59)&gt;0)&gt;0,SUMIFS(T_SelfStock[Self_Qty],T_SelfStock[RM_Code],$A94,T_SelfStock[WeekIndex],59)+SUMIFS(T_TTAFStock[TTAF_Qty],T_TTAFStock[RM_Code],$A94,T_TTAFStock[WeekIndex],59),BG94+'Grid_Incoming'!BH94-'Grid_Requirement'!BH94))</f>
        <v/>
      </c>
      <c r="BI94">
        <f>IF(COUNTIFS(T_StockCount[RM_Code],$A94,T_StockCount[WeekIndex],60)&gt;0,SUMIFS(T_StockCount[CountedQty],T_StockCount[RM_Code],$A94,T_StockCount[WeekIndex],60),IF((COUNTIFS(T_SelfStock[RM_Code],$A94,T_SelfStock[WeekIndex],60)&gt;0)*(COUNTIFS(T_TTAFStock[RM_Code],$A94,T_TTAFStock[WeekIndex],60)&gt;0)&gt;0,SUMIFS(T_SelfStock[Self_Qty],T_SelfStock[RM_Code],$A94,T_SelfStock[WeekIndex],60)+SUMIFS(T_TTAFStock[TTAF_Qty],T_TTAFStock[RM_Code],$A94,T_TTAFStock[WeekIndex],60),BH94+'Grid_Incoming'!BI94-'Grid_Requirement'!BI94))</f>
        <v/>
      </c>
      <c r="BJ94">
        <f>IF(COUNTIFS(T_StockCount[RM_Code],$A94,T_StockCount[WeekIndex],61)&gt;0,SUMIFS(T_StockCount[CountedQty],T_StockCount[RM_Code],$A94,T_StockCount[WeekIndex],61),IF((COUNTIFS(T_SelfStock[RM_Code],$A94,T_SelfStock[WeekIndex],61)&gt;0)*(COUNTIFS(T_TTAFStock[RM_Code],$A94,T_TTAFStock[WeekIndex],61)&gt;0)&gt;0,SUMIFS(T_SelfStock[Self_Qty],T_SelfStock[RM_Code],$A94,T_SelfStock[WeekIndex],61)+SUMIFS(T_TTAFStock[TTAF_Qty],T_TTAFStock[RM_Code],$A94,T_TTAFStock[WeekIndex],61),BI94+'Grid_Incoming'!BJ94-'Grid_Requirement'!BJ94))</f>
        <v/>
      </c>
      <c r="BK94">
        <f>IF(COUNTIFS(T_StockCount[RM_Code],$A94,T_StockCount[WeekIndex],62)&gt;0,SUMIFS(T_StockCount[CountedQty],T_StockCount[RM_Code],$A94,T_StockCount[WeekIndex],62),IF((COUNTIFS(T_SelfStock[RM_Code],$A94,T_SelfStock[WeekIndex],62)&gt;0)*(COUNTIFS(T_TTAFStock[RM_Code],$A94,T_TTAFStock[WeekIndex],62)&gt;0)&gt;0,SUMIFS(T_SelfStock[Self_Qty],T_SelfStock[RM_Code],$A94,T_SelfStock[WeekIndex],62)+SUMIFS(T_TTAFStock[TTAF_Qty],T_TTAFStock[RM_Code],$A94,T_TTAFStock[WeekIndex],62),BJ94+'Grid_Incoming'!BK94-'Grid_Requirement'!BK94))</f>
        <v/>
      </c>
      <c r="BL94">
        <f>IF(COUNTIFS(T_StockCount[RM_Code],$A94,T_StockCount[WeekIndex],63)&gt;0,SUMIFS(T_StockCount[CountedQty],T_StockCount[RM_Code],$A94,T_StockCount[WeekIndex],63),IF((COUNTIFS(T_SelfStock[RM_Code],$A94,T_SelfStock[WeekIndex],63)&gt;0)*(COUNTIFS(T_TTAFStock[RM_Code],$A94,T_TTAFStock[WeekIndex],63)&gt;0)&gt;0,SUMIFS(T_SelfStock[Self_Qty],T_SelfStock[RM_Code],$A94,T_SelfStock[WeekIndex],63)+SUMIFS(T_TTAFStock[TTAF_Qty],T_TTAFStock[RM_Code],$A94,T_TTAFStock[WeekIndex],63),BK94+'Grid_Incoming'!BL94-'Grid_Requirement'!BL94))</f>
        <v/>
      </c>
      <c r="BM94">
        <f>IF(COUNTIFS(T_StockCount[RM_Code],$A94,T_StockCount[WeekIndex],64)&gt;0,SUMIFS(T_StockCount[CountedQty],T_StockCount[RM_Code],$A94,T_StockCount[WeekIndex],64),IF((COUNTIFS(T_SelfStock[RM_Code],$A94,T_SelfStock[WeekIndex],64)&gt;0)*(COUNTIFS(T_TTAFStock[RM_Code],$A94,T_TTAFStock[WeekIndex],64)&gt;0)&gt;0,SUMIFS(T_SelfStock[Self_Qty],T_SelfStock[RM_Code],$A94,T_SelfStock[WeekIndex],64)+SUMIFS(T_TTAFStock[TTAF_Qty],T_TTAFStock[RM_Code],$A94,T_TTAFStock[WeekIndex],64),BL94+'Grid_Incoming'!BM94-'Grid_Requirement'!BM94))</f>
        <v/>
      </c>
      <c r="BN94">
        <f>IF(COUNTIFS(T_StockCount[RM_Code],$A94,T_StockCount[WeekIndex],65)&gt;0,SUMIFS(T_StockCount[CountedQty],T_StockCount[RM_Code],$A94,T_StockCount[WeekIndex],65),IF((COUNTIFS(T_SelfStock[RM_Code],$A94,T_SelfStock[WeekIndex],65)&gt;0)*(COUNTIFS(T_TTAFStock[RM_Code],$A94,T_TTAFStock[WeekIndex],65)&gt;0)&gt;0,SUMIFS(T_SelfStock[Self_Qty],T_SelfStock[RM_Code],$A94,T_SelfStock[WeekIndex],65)+SUMIFS(T_TTAFStock[TTAF_Qty],T_TTAFStock[RM_Code],$A94,T_TTAFStock[WeekIndex],65),BM94+'Grid_Incoming'!BN94-'Grid_Requirement'!BN94))</f>
        <v/>
      </c>
      <c r="BO94">
        <f>IF(COUNTIFS(T_StockCount[RM_Code],$A94,T_StockCount[WeekIndex],66)&gt;0,SUMIFS(T_StockCount[CountedQty],T_StockCount[RM_Code],$A94,T_StockCount[WeekIndex],66),IF((COUNTIFS(T_SelfStock[RM_Code],$A94,T_SelfStock[WeekIndex],66)&gt;0)*(COUNTIFS(T_TTAFStock[RM_Code],$A94,T_TTAFStock[WeekIndex],66)&gt;0)&gt;0,SUMIFS(T_SelfStock[Self_Qty],T_SelfStock[RM_Code],$A94,T_SelfStock[WeekIndex],66)+SUMIFS(T_TTAFStock[TTAF_Qty],T_TTAFStock[RM_Code],$A94,T_TTAFStock[WeekIndex],66),BN94+'Grid_Incoming'!BO94-'Grid_Requirement'!BO94))</f>
        <v/>
      </c>
      <c r="BP94">
        <f>IF(COUNTIFS(T_StockCount[RM_Code],$A94,T_StockCount[WeekIndex],67)&gt;0,SUMIFS(T_StockCount[CountedQty],T_StockCount[RM_Code],$A94,T_StockCount[WeekIndex],67),IF((COUNTIFS(T_SelfStock[RM_Code],$A94,T_SelfStock[WeekIndex],67)&gt;0)*(COUNTIFS(T_TTAFStock[RM_Code],$A94,T_TTAFStock[WeekIndex],67)&gt;0)&gt;0,SUMIFS(T_SelfStock[Self_Qty],T_SelfStock[RM_Code],$A94,T_SelfStock[WeekIndex],67)+SUMIFS(T_TTAFStock[TTAF_Qty],T_TTAFStock[RM_Code],$A94,T_TTAFStock[WeekIndex],67),BO94+'Grid_Incoming'!BP94-'Grid_Requirement'!BP94))</f>
        <v/>
      </c>
      <c r="BQ94">
        <f>IF(COUNTIFS(T_StockCount[RM_Code],$A94,T_StockCount[WeekIndex],68)&gt;0,SUMIFS(T_StockCount[CountedQty],T_StockCount[RM_Code],$A94,T_StockCount[WeekIndex],68),IF((COUNTIFS(T_SelfStock[RM_Code],$A94,T_SelfStock[WeekIndex],68)&gt;0)*(COUNTIFS(T_TTAFStock[RM_Code],$A94,T_TTAFStock[WeekIndex],68)&gt;0)&gt;0,SUMIFS(T_SelfStock[Self_Qty],T_SelfStock[RM_Code],$A94,T_SelfStock[WeekIndex],68)+SUMIFS(T_TTAFStock[TTAF_Qty],T_TTAFStock[RM_Code],$A94,T_TTAFStock[WeekIndex],68),BP94+'Grid_Incoming'!BQ94-'Grid_Requirement'!BQ94))</f>
        <v/>
      </c>
      <c r="BR94">
        <f>IF(COUNTIFS(T_StockCount[RM_Code],$A94,T_StockCount[WeekIndex],69)&gt;0,SUMIFS(T_StockCount[CountedQty],T_StockCount[RM_Code],$A94,T_StockCount[WeekIndex],69),IF((COUNTIFS(T_SelfStock[RM_Code],$A94,T_SelfStock[WeekIndex],69)&gt;0)*(COUNTIFS(T_TTAFStock[RM_Code],$A94,T_TTAFStock[WeekIndex],69)&gt;0)&gt;0,SUMIFS(T_SelfStock[Self_Qty],T_SelfStock[RM_Code],$A94,T_SelfStock[WeekIndex],69)+SUMIFS(T_TTAFStock[TTAF_Qty],T_TTAFStock[RM_Code],$A94,T_TTAFStock[WeekIndex],69),BQ94+'Grid_Incoming'!BR94-'Grid_Requirement'!BR94))</f>
        <v/>
      </c>
      <c r="BS94">
        <f>IF(COUNTIFS(T_StockCount[RM_Code],$A94,T_StockCount[WeekIndex],70)&gt;0,SUMIFS(T_StockCount[CountedQty],T_StockCount[RM_Code],$A94,T_StockCount[WeekIndex],70),IF((COUNTIFS(T_SelfStock[RM_Code],$A94,T_SelfStock[WeekIndex],70)&gt;0)*(COUNTIFS(T_TTAFStock[RM_Code],$A94,T_TTAFStock[WeekIndex],70)&gt;0)&gt;0,SUMIFS(T_SelfStock[Self_Qty],T_SelfStock[RM_Code],$A94,T_SelfStock[WeekIndex],70)+SUMIFS(T_TTAFStock[TTAF_Qty],T_TTAFStock[RM_Code],$A94,T_TTAFStock[WeekIndex],70),BR94+'Grid_Incoming'!BS94-'Grid_Requirement'!BS94))</f>
        <v/>
      </c>
      <c r="BT94">
        <f>IF(COUNTIFS(T_StockCount[RM_Code],$A94,T_StockCount[WeekIndex],71)&gt;0,SUMIFS(T_StockCount[CountedQty],T_StockCount[RM_Code],$A94,T_StockCount[WeekIndex],71),IF((COUNTIFS(T_SelfStock[RM_Code],$A94,T_SelfStock[WeekIndex],71)&gt;0)*(COUNTIFS(T_TTAFStock[RM_Code],$A94,T_TTAFStock[WeekIndex],71)&gt;0)&gt;0,SUMIFS(T_SelfStock[Self_Qty],T_SelfStock[RM_Code],$A94,T_SelfStock[WeekIndex],71)+SUMIFS(T_TTAFStock[TTAF_Qty],T_TTAFStock[RM_Code],$A94,T_TTAFStock[WeekIndex],71),BS94+'Grid_Incoming'!BT94-'Grid_Requirement'!BT94))</f>
        <v/>
      </c>
      <c r="BU94">
        <f>IF(COUNTIFS(T_StockCount[RM_Code],$A94,T_StockCount[WeekIndex],72)&gt;0,SUMIFS(T_StockCount[CountedQty],T_StockCount[RM_Code],$A94,T_StockCount[WeekIndex],72),IF((COUNTIFS(T_SelfStock[RM_Code],$A94,T_SelfStock[WeekIndex],72)&gt;0)*(COUNTIFS(T_TTAFStock[RM_Code],$A94,T_TTAFStock[WeekIndex],72)&gt;0)&gt;0,SUMIFS(T_SelfStock[Self_Qty],T_SelfStock[RM_Code],$A94,T_SelfStock[WeekIndex],72)+SUMIFS(T_TTAFStock[TTAF_Qty],T_TTAFStock[RM_Code],$A94,T_TTAFStock[WeekIndex],72),BT94+'Grid_Incoming'!BU94-'Grid_Requirement'!BU94))</f>
        <v/>
      </c>
      <c r="BV94">
        <f>IF(COUNTIFS(T_StockCount[RM_Code],$A94,T_StockCount[WeekIndex],73)&gt;0,SUMIFS(T_StockCount[CountedQty],T_StockCount[RM_Code],$A94,T_StockCount[WeekIndex],73),IF((COUNTIFS(T_SelfStock[RM_Code],$A94,T_SelfStock[WeekIndex],73)&gt;0)*(COUNTIFS(T_TTAFStock[RM_Code],$A94,T_TTAFStock[WeekIndex],73)&gt;0)&gt;0,SUMIFS(T_SelfStock[Self_Qty],T_SelfStock[RM_Code],$A94,T_SelfStock[WeekIndex],73)+SUMIFS(T_TTAFStock[TTAF_Qty],T_TTAFStock[RM_Code],$A94,T_TTAFStock[WeekIndex],73),BU94+'Grid_Incoming'!BV94-'Grid_Requirement'!BV94))</f>
        <v/>
      </c>
      <c r="BW94">
        <f>IF(COUNTIFS(T_StockCount[RM_Code],$A94,T_StockCount[WeekIndex],74)&gt;0,SUMIFS(T_StockCount[CountedQty],T_StockCount[RM_Code],$A94,T_StockCount[WeekIndex],74),IF((COUNTIFS(T_SelfStock[RM_Code],$A94,T_SelfStock[WeekIndex],74)&gt;0)*(COUNTIFS(T_TTAFStock[RM_Code],$A94,T_TTAFStock[WeekIndex],74)&gt;0)&gt;0,SUMIFS(T_SelfStock[Self_Qty],T_SelfStock[RM_Code],$A94,T_SelfStock[WeekIndex],74)+SUMIFS(T_TTAFStock[TTAF_Qty],T_TTAFStock[RM_Code],$A94,T_TTAFStock[WeekIndex],74),BV94+'Grid_Incoming'!BW94-'Grid_Requirement'!BW94))</f>
        <v/>
      </c>
      <c r="BX94">
        <f>IF(COUNTIFS(T_StockCount[RM_Code],$A94,T_StockCount[WeekIndex],75)&gt;0,SUMIFS(T_StockCount[CountedQty],T_StockCount[RM_Code],$A94,T_StockCount[WeekIndex],75),IF((COUNTIFS(T_SelfStock[RM_Code],$A94,T_SelfStock[WeekIndex],75)&gt;0)*(COUNTIFS(T_TTAFStock[RM_Code],$A94,T_TTAFStock[WeekIndex],75)&gt;0)&gt;0,SUMIFS(T_SelfStock[Self_Qty],T_SelfStock[RM_Code],$A94,T_SelfStock[WeekIndex],75)+SUMIFS(T_TTAFStock[TTAF_Qty],T_TTAFStock[RM_Code],$A94,T_TTAFStock[WeekIndex],75),BW94+'Grid_Incoming'!BX94-'Grid_Requirement'!BX94))</f>
        <v/>
      </c>
      <c r="BY94">
        <f>IF(COUNTIFS(T_StockCount[RM_Code],$A94,T_StockCount[WeekIndex],76)&gt;0,SUMIFS(T_StockCount[CountedQty],T_StockCount[RM_Code],$A94,T_StockCount[WeekIndex],76),IF((COUNTIFS(T_SelfStock[RM_Code],$A94,T_SelfStock[WeekIndex],76)&gt;0)*(COUNTIFS(T_TTAFStock[RM_Code],$A94,T_TTAFStock[WeekIndex],76)&gt;0)&gt;0,SUMIFS(T_SelfStock[Self_Qty],T_SelfStock[RM_Code],$A94,T_SelfStock[WeekIndex],76)+SUMIFS(T_TTAFStock[TTAF_Qty],T_TTAFStock[RM_Code],$A94,T_TTAFStock[WeekIndex],76),BX94+'Grid_Incoming'!BY94-'Grid_Requirement'!BY94))</f>
        <v/>
      </c>
      <c r="BZ94">
        <f>IF(COUNTIFS(T_StockCount[RM_Code],$A94,T_StockCount[WeekIndex],77)&gt;0,SUMIFS(T_StockCount[CountedQty],T_StockCount[RM_Code],$A94,T_StockCount[WeekIndex],77),IF((COUNTIFS(T_SelfStock[RM_Code],$A94,T_SelfStock[WeekIndex],77)&gt;0)*(COUNTIFS(T_TTAFStock[RM_Code],$A94,T_TTAFStock[WeekIndex],77)&gt;0)&gt;0,SUMIFS(T_SelfStock[Self_Qty],T_SelfStock[RM_Code],$A94,T_SelfStock[WeekIndex],77)+SUMIFS(T_TTAFStock[TTAF_Qty],T_TTAFStock[RM_Code],$A94,T_TTAFStock[WeekIndex],77),BY94+'Grid_Incoming'!BZ94-'Grid_Requirement'!BZ94))</f>
        <v/>
      </c>
      <c r="CA94">
        <f>IF(COUNTIFS(T_StockCount[RM_Code],$A94,T_StockCount[WeekIndex],78)&gt;0,SUMIFS(T_StockCount[CountedQty],T_StockCount[RM_Code],$A94,T_StockCount[WeekIndex],78),IF((COUNTIFS(T_SelfStock[RM_Code],$A94,T_SelfStock[WeekIndex],78)&gt;0)*(COUNTIFS(T_TTAFStock[RM_Code],$A94,T_TTAFStock[WeekIndex],78)&gt;0)&gt;0,SUMIFS(T_SelfStock[Self_Qty],T_SelfStock[RM_Code],$A94,T_SelfStock[WeekIndex],78)+SUMIFS(T_TTAFStock[TTAF_Qty],T_TTAFStock[RM_Code],$A94,T_TTAFStock[WeekIndex],78),BZ94+'Grid_Incoming'!CA94-'Grid_Requirement'!CA94))</f>
        <v/>
      </c>
      <c r="CB94">
        <f>IF(COUNTIFS(T_StockCount[RM_Code],$A94,T_StockCount[WeekIndex],79)&gt;0,SUMIFS(T_StockCount[CountedQty],T_StockCount[RM_Code],$A94,T_StockCount[WeekIndex],79),IF((COUNTIFS(T_SelfStock[RM_Code],$A94,T_SelfStock[WeekIndex],79)&gt;0)*(COUNTIFS(T_TTAFStock[RM_Code],$A94,T_TTAFStock[WeekIndex],79)&gt;0)&gt;0,SUMIFS(T_SelfStock[Self_Qty],T_SelfStock[RM_Code],$A94,T_SelfStock[WeekIndex],79)+SUMIFS(T_TTAFStock[TTAF_Qty],T_TTAFStock[RM_Code],$A94,T_TTAFStock[WeekIndex],79),CA94+'Grid_Incoming'!CB94-'Grid_Requirement'!CB94))</f>
        <v/>
      </c>
      <c r="CC94">
        <f>IF(COUNTIFS(T_StockCount[RM_Code],$A94,T_StockCount[WeekIndex],80)&gt;0,SUMIFS(T_StockCount[CountedQty],T_StockCount[RM_Code],$A94,T_StockCount[WeekIndex],80),IF((COUNTIFS(T_SelfStock[RM_Code],$A94,T_SelfStock[WeekIndex],80)&gt;0)*(COUNTIFS(T_TTAFStock[RM_Code],$A94,T_TTAFStock[WeekIndex],80)&gt;0)&gt;0,SUMIFS(T_SelfStock[Self_Qty],T_SelfStock[RM_Code],$A94,T_SelfStock[WeekIndex],80)+SUMIFS(T_TTAFStock[TTAF_Qty],T_TTAFStock[RM_Code],$A94,T_TTAFStock[WeekIndex],80),CB94+'Grid_Incoming'!CC94-'Grid_Requirement'!CC94))</f>
        <v/>
      </c>
      <c r="CD94">
        <f>IF(COUNTIFS(T_StockCount[RM_Code],$A94,T_StockCount[WeekIndex],81)&gt;0,SUMIFS(T_StockCount[CountedQty],T_StockCount[RM_Code],$A94,T_StockCount[WeekIndex],81),IF((COUNTIFS(T_SelfStock[RM_Code],$A94,T_SelfStock[WeekIndex],81)&gt;0)*(COUNTIFS(T_TTAFStock[RM_Code],$A94,T_TTAFStock[WeekIndex],81)&gt;0)&gt;0,SUMIFS(T_SelfStock[Self_Qty],T_SelfStock[RM_Code],$A94,T_SelfStock[WeekIndex],81)+SUMIFS(T_TTAFStock[TTAF_Qty],T_TTAFStock[RM_Code],$A94,T_TTAFStock[WeekIndex],81),CC94+'Grid_Incoming'!CD94-'Grid_Requirement'!CD94))</f>
        <v/>
      </c>
      <c r="CE94">
        <f>IF(COUNTIFS(T_StockCount[RM_Code],$A94,T_StockCount[WeekIndex],82)&gt;0,SUMIFS(T_StockCount[CountedQty],T_StockCount[RM_Code],$A94,T_StockCount[WeekIndex],82),IF((COUNTIFS(T_SelfStock[RM_Code],$A94,T_SelfStock[WeekIndex],82)&gt;0)*(COUNTIFS(T_TTAFStock[RM_Code],$A94,T_TTAFStock[WeekIndex],82)&gt;0)&gt;0,SUMIFS(T_SelfStock[Self_Qty],T_SelfStock[RM_Code],$A94,T_SelfStock[WeekIndex],82)+SUMIFS(T_TTAFStock[TTAF_Qty],T_TTAFStock[RM_Code],$A94,T_TTAFStock[WeekIndex],82),CD94+'Grid_Incoming'!CE94-'Grid_Requirement'!CE94))</f>
        <v/>
      </c>
      <c r="CF94">
        <f>IF(COUNTIFS(T_StockCount[RM_Code],$A94,T_StockCount[WeekIndex],83)&gt;0,SUMIFS(T_StockCount[CountedQty],T_StockCount[RM_Code],$A94,T_StockCount[WeekIndex],83),IF((COUNTIFS(T_SelfStock[RM_Code],$A94,T_SelfStock[WeekIndex],83)&gt;0)*(COUNTIFS(T_TTAFStock[RM_Code],$A94,T_TTAFStock[WeekIndex],83)&gt;0)&gt;0,SUMIFS(T_SelfStock[Self_Qty],T_SelfStock[RM_Code],$A94,T_SelfStock[WeekIndex],83)+SUMIFS(T_TTAFStock[TTAF_Qty],T_TTAFStock[RM_Code],$A94,T_TTAFStock[WeekIndex],83),CE94+'Grid_Incoming'!CF94-'Grid_Requirement'!CF94))</f>
        <v/>
      </c>
      <c r="CG94">
        <f>IF(COUNTIFS(T_StockCount[RM_Code],$A94,T_StockCount[WeekIndex],84)&gt;0,SUMIFS(T_StockCount[CountedQty],T_StockCount[RM_Code],$A94,T_StockCount[WeekIndex],84),IF((COUNTIFS(T_SelfStock[RM_Code],$A94,T_SelfStock[WeekIndex],84)&gt;0)*(COUNTIFS(T_TTAFStock[RM_Code],$A94,T_TTAFStock[WeekIndex],84)&gt;0)&gt;0,SUMIFS(T_SelfStock[Self_Qty],T_SelfStock[RM_Code],$A94,T_SelfStock[WeekIndex],84)+SUMIFS(T_TTAFStock[TTAF_Qty],T_TTAFStock[RM_Code],$A94,T_TTAFStock[WeekIndex],84),CF94+'Grid_Incoming'!CG94-'Grid_Requirement'!CG94))</f>
        <v/>
      </c>
      <c r="CH94">
        <f>IF(COUNTIFS(T_StockCount[RM_Code],$A94,T_StockCount[WeekIndex],85)&gt;0,SUMIFS(T_StockCount[CountedQty],T_StockCount[RM_Code],$A94,T_StockCount[WeekIndex],85),IF((COUNTIFS(T_SelfStock[RM_Code],$A94,T_SelfStock[WeekIndex],85)&gt;0)*(COUNTIFS(T_TTAFStock[RM_Code],$A94,T_TTAFStock[WeekIndex],85)&gt;0)&gt;0,SUMIFS(T_SelfStock[Self_Qty],T_SelfStock[RM_Code],$A94,T_SelfStock[WeekIndex],85)+SUMIFS(T_TTAFStock[TTAF_Qty],T_TTAFStock[RM_Code],$A94,T_TTAFStock[WeekIndex],85),CG94+'Grid_Incoming'!CH94-'Grid_Requirement'!CH94))</f>
        <v/>
      </c>
      <c r="CI94">
        <f>IF(COUNTIFS(T_StockCount[RM_Code],$A94,T_StockCount[WeekIndex],86)&gt;0,SUMIFS(T_StockCount[CountedQty],T_StockCount[RM_Code],$A94,T_StockCount[WeekIndex],86),IF((COUNTIFS(T_SelfStock[RM_Code],$A94,T_SelfStock[WeekIndex],86)&gt;0)*(COUNTIFS(T_TTAFStock[RM_Code],$A94,T_TTAFStock[WeekIndex],86)&gt;0)&gt;0,SUMIFS(T_SelfStock[Self_Qty],T_SelfStock[RM_Code],$A94,T_SelfStock[WeekIndex],86)+SUMIFS(T_TTAFStock[TTAF_Qty],T_TTAFStock[RM_Code],$A94,T_TTAFStock[WeekIndex],86),CH94+'Grid_Incoming'!CI94-'Grid_Requirement'!CI94))</f>
        <v/>
      </c>
      <c r="CJ94">
        <f>IF(COUNTIFS(T_StockCount[RM_Code],$A94,T_StockCount[WeekIndex],87)&gt;0,SUMIFS(T_StockCount[CountedQty],T_StockCount[RM_Code],$A94,T_StockCount[WeekIndex],87),IF((COUNTIFS(T_SelfStock[RM_Code],$A94,T_SelfStock[WeekIndex],87)&gt;0)*(COUNTIFS(T_TTAFStock[RM_Code],$A94,T_TTAFStock[WeekIndex],87)&gt;0)&gt;0,SUMIFS(T_SelfStock[Self_Qty],T_SelfStock[RM_Code],$A94,T_SelfStock[WeekIndex],87)+SUMIFS(T_TTAFStock[TTAF_Qty],T_TTAFStock[RM_Code],$A94,T_TTAFStock[WeekIndex],87),CI94+'Grid_Incoming'!CJ94-'Grid_Requirement'!CJ94))</f>
        <v/>
      </c>
      <c r="CK94">
        <f>IF(COUNTIFS(T_StockCount[RM_Code],$A94,T_StockCount[WeekIndex],88)&gt;0,SUMIFS(T_StockCount[CountedQty],T_StockCount[RM_Code],$A94,T_StockCount[WeekIndex],88),IF((COUNTIFS(T_SelfStock[RM_Code],$A94,T_SelfStock[WeekIndex],88)&gt;0)*(COUNTIFS(T_TTAFStock[RM_Code],$A94,T_TTAFStock[WeekIndex],88)&gt;0)&gt;0,SUMIFS(T_SelfStock[Self_Qty],T_SelfStock[RM_Code],$A94,T_SelfStock[WeekIndex],88)+SUMIFS(T_TTAFStock[TTAF_Qty],T_TTAFStock[RM_Code],$A94,T_TTAFStock[WeekIndex],88),CJ94+'Grid_Incoming'!CK94-'Grid_Requirement'!CK94))</f>
        <v/>
      </c>
      <c r="CL94">
        <f>IF(COUNTIFS(T_StockCount[RM_Code],$A94,T_StockCount[WeekIndex],89)&gt;0,SUMIFS(T_StockCount[CountedQty],T_StockCount[RM_Code],$A94,T_StockCount[WeekIndex],89),IF((COUNTIFS(T_SelfStock[RM_Code],$A94,T_SelfStock[WeekIndex],89)&gt;0)*(COUNTIFS(T_TTAFStock[RM_Code],$A94,T_TTAFStock[WeekIndex],89)&gt;0)&gt;0,SUMIFS(T_SelfStock[Self_Qty],T_SelfStock[RM_Code],$A94,T_SelfStock[WeekIndex],89)+SUMIFS(T_TTAFStock[TTAF_Qty],T_TTAFStock[RM_Code],$A94,T_TTAFStock[WeekIndex],89),CK94+'Grid_Incoming'!CL94-'Grid_Requirement'!CL94))</f>
        <v/>
      </c>
      <c r="CM94">
        <f>IF(COUNTIFS(T_StockCount[RM_Code],$A94,T_StockCount[WeekIndex],90)&gt;0,SUMIFS(T_StockCount[CountedQty],T_StockCount[RM_Code],$A94,T_StockCount[WeekIndex],90),IF((COUNTIFS(T_SelfStock[RM_Code],$A94,T_SelfStock[WeekIndex],90)&gt;0)*(COUNTIFS(T_TTAFStock[RM_Code],$A94,T_TTAFStock[WeekIndex],90)&gt;0)&gt;0,SUMIFS(T_SelfStock[Self_Qty],T_SelfStock[RM_Code],$A94,T_SelfStock[WeekIndex],90)+SUMIFS(T_TTAFStock[TTAF_Qty],T_TTAFStock[RM_Code],$A94,T_TTAFStock[WeekIndex],90),CL94+'Grid_Incoming'!CM94-'Grid_Requirement'!CM94))</f>
        <v/>
      </c>
      <c r="CN94">
        <f>IF(COUNTIFS(T_StockCount[RM_Code],$A94,T_StockCount[WeekIndex],91)&gt;0,SUMIFS(T_StockCount[CountedQty],T_StockCount[RM_Code],$A94,T_StockCount[WeekIndex],91),IF((COUNTIFS(T_SelfStock[RM_Code],$A94,T_SelfStock[WeekIndex],91)&gt;0)*(COUNTIFS(T_TTAFStock[RM_Code],$A94,T_TTAFStock[WeekIndex],91)&gt;0)&gt;0,SUMIFS(T_SelfStock[Self_Qty],T_SelfStock[RM_Code],$A94,T_SelfStock[WeekIndex],91)+SUMIFS(T_TTAFStock[TTAF_Qty],T_TTAFStock[RM_Code],$A94,T_TTAFStock[WeekIndex],91),CM94+'Grid_Incoming'!CN94-'Grid_Requirement'!CN94))</f>
        <v/>
      </c>
      <c r="CO94">
        <f>IF(COUNTIFS(T_StockCount[RM_Code],$A94,T_StockCount[WeekIndex],92)&gt;0,SUMIFS(T_StockCount[CountedQty],T_StockCount[RM_Code],$A94,T_StockCount[WeekIndex],92),IF((COUNTIFS(T_SelfStock[RM_Code],$A94,T_SelfStock[WeekIndex],92)&gt;0)*(COUNTIFS(T_TTAFStock[RM_Code],$A94,T_TTAFStock[WeekIndex],92)&gt;0)&gt;0,SUMIFS(T_SelfStock[Self_Qty],T_SelfStock[RM_Code],$A94,T_SelfStock[WeekIndex],92)+SUMIFS(T_TTAFStock[TTAF_Qty],T_TTAFStock[RM_Code],$A94,T_TTAFStock[WeekIndex],92),CN94+'Grid_Incoming'!CO94-'Grid_Requirement'!CO94))</f>
        <v/>
      </c>
      <c r="CP94">
        <f>IF(COUNTIFS(T_StockCount[RM_Code],$A94,T_StockCount[WeekIndex],93)&gt;0,SUMIFS(T_StockCount[CountedQty],T_StockCount[RM_Code],$A94,T_StockCount[WeekIndex],93),IF((COUNTIFS(T_SelfStock[RM_Code],$A94,T_SelfStock[WeekIndex],93)&gt;0)*(COUNTIFS(T_TTAFStock[RM_Code],$A94,T_TTAFStock[WeekIndex],93)&gt;0)&gt;0,SUMIFS(T_SelfStock[Self_Qty],T_SelfStock[RM_Code],$A94,T_SelfStock[WeekIndex],93)+SUMIFS(T_TTAFStock[TTAF_Qty],T_TTAFStock[RM_Code],$A94,T_TTAFStock[WeekIndex],93),CO94+'Grid_Incoming'!CP94-'Grid_Requirement'!CP94))</f>
        <v/>
      </c>
      <c r="CQ94">
        <f>IF(COUNTIFS(T_StockCount[RM_Code],$A94,T_StockCount[WeekIndex],94)&gt;0,SUMIFS(T_StockCount[CountedQty],T_StockCount[RM_Code],$A94,T_StockCount[WeekIndex],94),IF((COUNTIFS(T_SelfStock[RM_Code],$A94,T_SelfStock[WeekIndex],94)&gt;0)*(COUNTIFS(T_TTAFStock[RM_Code],$A94,T_TTAFStock[WeekIndex],94)&gt;0)&gt;0,SUMIFS(T_SelfStock[Self_Qty],T_SelfStock[RM_Code],$A94,T_SelfStock[WeekIndex],94)+SUMIFS(T_TTAFStock[TTAF_Qty],T_TTAFStock[RM_Code],$A94,T_TTAFStock[WeekIndex],94),CP94+'Grid_Incoming'!CQ94-'Grid_Requirement'!CQ94))</f>
        <v/>
      </c>
      <c r="CR94">
        <f>IF(COUNTIFS(T_StockCount[RM_Code],$A94,T_StockCount[WeekIndex],95)&gt;0,SUMIFS(T_StockCount[CountedQty],T_StockCount[RM_Code],$A94,T_StockCount[WeekIndex],95),IF((COUNTIFS(T_SelfStock[RM_Code],$A94,T_SelfStock[WeekIndex],95)&gt;0)*(COUNTIFS(T_TTAFStock[RM_Code],$A94,T_TTAFStock[WeekIndex],95)&gt;0)&gt;0,SUMIFS(T_SelfStock[Self_Qty],T_SelfStock[RM_Code],$A94,T_SelfStock[WeekIndex],95)+SUMIFS(T_TTAFStock[TTAF_Qty],T_TTAFStock[RM_Code],$A94,T_TTAFStock[WeekIndex],95),CQ94+'Grid_Incoming'!CR94-'Grid_Requirement'!CR94))</f>
        <v/>
      </c>
      <c r="CS94">
        <f>IF(COUNTIFS(T_StockCount[RM_Code],$A94,T_StockCount[WeekIndex],96)&gt;0,SUMIFS(T_StockCount[CountedQty],T_StockCount[RM_Code],$A94,T_StockCount[WeekIndex],96),IF((COUNTIFS(T_SelfStock[RM_Code],$A94,T_SelfStock[WeekIndex],96)&gt;0)*(COUNTIFS(T_TTAFStock[RM_Code],$A94,T_TTAFStock[WeekIndex],96)&gt;0)&gt;0,SUMIFS(T_SelfStock[Self_Qty],T_SelfStock[RM_Code],$A94,T_SelfStock[WeekIndex],96)+SUMIFS(T_TTAFStock[TTAF_Qty],T_TTAFStock[RM_Code],$A94,T_TTAFStock[WeekIndex],96),CR94+'Grid_Incoming'!CS94-'Grid_Requirement'!CS94))</f>
        <v/>
      </c>
      <c r="CT94">
        <f>IF(COUNTIFS(T_StockCount[RM_Code],$A94,T_StockCount[WeekIndex],97)&gt;0,SUMIFS(T_StockCount[CountedQty],T_StockCount[RM_Code],$A94,T_StockCount[WeekIndex],97),IF((COUNTIFS(T_SelfStock[RM_Code],$A94,T_SelfStock[WeekIndex],97)&gt;0)*(COUNTIFS(T_TTAFStock[RM_Code],$A94,T_TTAFStock[WeekIndex],97)&gt;0)&gt;0,SUMIFS(T_SelfStock[Self_Qty],T_SelfStock[RM_Code],$A94,T_SelfStock[WeekIndex],97)+SUMIFS(T_TTAFStock[TTAF_Qty],T_TTAFStock[RM_Code],$A94,T_TTAFStock[WeekIndex],97),CS94+'Grid_Incoming'!CT94-'Grid_Requirement'!CT94))</f>
        <v/>
      </c>
      <c r="CU94">
        <f>IF(COUNTIFS(T_StockCount[RM_Code],$A94,T_StockCount[WeekIndex],98)&gt;0,SUMIFS(T_StockCount[CountedQty],T_StockCount[RM_Code],$A94,T_StockCount[WeekIndex],98),IF((COUNTIFS(T_SelfStock[RM_Code],$A94,T_SelfStock[WeekIndex],98)&gt;0)*(COUNTIFS(T_TTAFStock[RM_Code],$A94,T_TTAFStock[WeekIndex],98)&gt;0)&gt;0,SUMIFS(T_SelfStock[Self_Qty],T_SelfStock[RM_Code],$A94,T_SelfStock[WeekIndex],98)+SUMIFS(T_TTAFStock[TTAF_Qty],T_TTAFStock[RM_Code],$A94,T_TTAFStock[WeekIndex],98),CT94+'Grid_Incoming'!CU94-'Grid_Requirement'!CU94))</f>
        <v/>
      </c>
      <c r="CV94">
        <f>IF(COUNTIFS(T_StockCount[RM_Code],$A94,T_StockCount[WeekIndex],99)&gt;0,SUMIFS(T_StockCount[CountedQty],T_StockCount[RM_Code],$A94,T_StockCount[WeekIndex],99),IF((COUNTIFS(T_SelfStock[RM_Code],$A94,T_SelfStock[WeekIndex],99)&gt;0)*(COUNTIFS(T_TTAFStock[RM_Code],$A94,T_TTAFStock[WeekIndex],99)&gt;0)&gt;0,SUMIFS(T_SelfStock[Self_Qty],T_SelfStock[RM_Code],$A94,T_SelfStock[WeekIndex],99)+SUMIFS(T_TTAFStock[TTAF_Qty],T_TTAFStock[RM_Code],$A94,T_TTAFStock[WeekIndex],99),CU94+'Grid_Incoming'!CV94-'Grid_Requirement'!CV94))</f>
        <v/>
      </c>
      <c r="CW94">
        <f>IF(COUNTIFS(T_StockCount[RM_Code],$A94,T_StockCount[WeekIndex],100)&gt;0,SUMIFS(T_StockCount[CountedQty],T_StockCount[RM_Code],$A94,T_StockCount[WeekIndex],100),IF((COUNTIFS(T_SelfStock[RM_Code],$A94,T_SelfStock[WeekIndex],100)&gt;0)*(COUNTIFS(T_TTAFStock[RM_Code],$A94,T_TTAFStock[WeekIndex],100)&gt;0)&gt;0,SUMIFS(T_SelfStock[Self_Qty],T_SelfStock[RM_Code],$A94,T_SelfStock[WeekIndex],100)+SUMIFS(T_TTAFStock[TTAF_Qty],T_TTAFStock[RM_Code],$A94,T_TTAFStock[WeekIndex],100),CV94+'Grid_Incoming'!CW94-'Grid_Requirement'!CW94))</f>
        <v/>
      </c>
      <c r="CX94">
        <f>IF(COUNTIFS(T_StockCount[RM_Code],$A94,T_StockCount[WeekIndex],101)&gt;0,SUMIFS(T_StockCount[CountedQty],T_StockCount[RM_Code],$A94,T_StockCount[WeekIndex],101),IF((COUNTIFS(T_SelfStock[RM_Code],$A94,T_SelfStock[WeekIndex],101)&gt;0)*(COUNTIFS(T_TTAFStock[RM_Code],$A94,T_TTAFStock[WeekIndex],101)&gt;0)&gt;0,SUMIFS(T_SelfStock[Self_Qty],T_SelfStock[RM_Code],$A94,T_SelfStock[WeekIndex],101)+SUMIFS(T_TTAFStock[TTAF_Qty],T_TTAFStock[RM_Code],$A94,T_TTAFStock[WeekIndex],101),CW94+'Grid_Incoming'!CX94-'Grid_Requirement'!CX94))</f>
        <v/>
      </c>
      <c r="CY94">
        <f>IF(COUNTIFS(T_StockCount[RM_Code],$A94,T_StockCount[WeekIndex],102)&gt;0,SUMIFS(T_StockCount[CountedQty],T_StockCount[RM_Code],$A94,T_StockCount[WeekIndex],102),IF((COUNTIFS(T_SelfStock[RM_Code],$A94,T_SelfStock[WeekIndex],102)&gt;0)*(COUNTIFS(T_TTAFStock[RM_Code],$A94,T_TTAFStock[WeekIndex],102)&gt;0)&gt;0,SUMIFS(T_SelfStock[Self_Qty],T_SelfStock[RM_Code],$A94,T_SelfStock[WeekIndex],102)+SUMIFS(T_TTAFStock[TTAF_Qty],T_TTAFStock[RM_Code],$A94,T_TTAFStock[WeekIndex],102),CX94+'Grid_Incoming'!CY94-'Grid_Requirement'!CY94))</f>
        <v/>
      </c>
      <c r="CZ94">
        <f>IF(COUNTIFS(T_StockCount[RM_Code],$A94,T_StockCount[WeekIndex],103)&gt;0,SUMIFS(T_StockCount[CountedQty],T_StockCount[RM_Code],$A94,T_StockCount[WeekIndex],103),IF((COUNTIFS(T_SelfStock[RM_Code],$A94,T_SelfStock[WeekIndex],103)&gt;0)*(COUNTIFS(T_TTAFStock[RM_Code],$A94,T_TTAFStock[WeekIndex],103)&gt;0)&gt;0,SUMIFS(T_SelfStock[Self_Qty],T_SelfStock[RM_Code],$A94,T_SelfStock[WeekIndex],103)+SUMIFS(T_TTAFStock[TTAF_Qty],T_TTAFStock[RM_Code],$A94,T_TTAFStock[WeekIndex],103),CY94+'Grid_Incoming'!CZ94-'Grid_Requirement'!CZ94))</f>
        <v/>
      </c>
      <c r="DA94">
        <f>IF(COUNTIFS(T_StockCount[RM_Code],$A94,T_StockCount[WeekIndex],104)&gt;0,SUMIFS(T_StockCount[CountedQty],T_StockCount[RM_Code],$A94,T_StockCount[WeekIndex],104),IF((COUNTIFS(T_SelfStock[RM_Code],$A94,T_SelfStock[WeekIndex],104)&gt;0)*(COUNTIFS(T_TTAFStock[RM_Code],$A94,T_TTAFStock[WeekIndex],104)&gt;0)&gt;0,SUMIFS(T_SelfStock[Self_Qty],T_SelfStock[RM_Code],$A94,T_SelfStock[WeekIndex],104)+SUMIFS(T_TTAFStock[TTAF_Qty],T_TTAFStock[RM_Code],$A94,T_TTAFStock[WeekIndex],104),CZ94+'Grid_Incoming'!DA94-'Grid_Requirement'!DA94))</f>
        <v/>
      </c>
    </row>
    <row r="95">
      <c r="A95" t="inlineStr">
        <is>
          <t>CHEM-1710</t>
        </is>
      </c>
      <c r="B95">
        <f>IF(COUNTIFS(T_StockCount[RM_Code],$A95,T_StockCount[WeekIndex],1)&gt;0,SUMIFS(T_StockCount[CountedQty],T_StockCount[RM_Code],$A95,T_StockCount[WeekIndex],1),IF((COUNTIFS(T_SelfStock[RM_Code],$A95,T_SelfStock[WeekIndex],1)&gt;0)*(COUNTIFS(T_TTAFStock[RM_Code],$A95,T_TTAFStock[WeekIndex],1)&gt;0)&gt;0,SUMIFS(T_SelfStock[Self_Qty],T_SelfStock[RM_Code],$A95,T_SelfStock[WeekIndex],1)+SUMIFS(T_TTAFStock[TTAF_Qty],T_TTAFStock[RM_Code],$A95,T_TTAFStock[WeekIndex],1),IFERROR(INDEX(T_OpeningStock[Opening_Qty],MATCH($A95,T_OpeningStock[RM_Code],0)),0)+'Grid_Incoming'!B95-'Grid_Requirement'!B95))</f>
        <v/>
      </c>
      <c r="C95">
        <f>IF(COUNTIFS(T_StockCount[RM_Code],$A95,T_StockCount[WeekIndex],2)&gt;0,SUMIFS(T_StockCount[CountedQty],T_StockCount[RM_Code],$A95,T_StockCount[WeekIndex],2),IF((COUNTIFS(T_SelfStock[RM_Code],$A95,T_SelfStock[WeekIndex],2)&gt;0)*(COUNTIFS(T_TTAFStock[RM_Code],$A95,T_TTAFStock[WeekIndex],2)&gt;0)&gt;0,SUMIFS(T_SelfStock[Self_Qty],T_SelfStock[RM_Code],$A95,T_SelfStock[WeekIndex],2)+SUMIFS(T_TTAFStock[TTAF_Qty],T_TTAFStock[RM_Code],$A95,T_TTAFStock[WeekIndex],2),B95+'Grid_Incoming'!C95-'Grid_Requirement'!C95))</f>
        <v/>
      </c>
      <c r="D95">
        <f>IF(COUNTIFS(T_StockCount[RM_Code],$A95,T_StockCount[WeekIndex],3)&gt;0,SUMIFS(T_StockCount[CountedQty],T_StockCount[RM_Code],$A95,T_StockCount[WeekIndex],3),IF((COUNTIFS(T_SelfStock[RM_Code],$A95,T_SelfStock[WeekIndex],3)&gt;0)*(COUNTIFS(T_TTAFStock[RM_Code],$A95,T_TTAFStock[WeekIndex],3)&gt;0)&gt;0,SUMIFS(T_SelfStock[Self_Qty],T_SelfStock[RM_Code],$A95,T_SelfStock[WeekIndex],3)+SUMIFS(T_TTAFStock[TTAF_Qty],T_TTAFStock[RM_Code],$A95,T_TTAFStock[WeekIndex],3),C95+'Grid_Incoming'!D95-'Grid_Requirement'!D95))</f>
        <v/>
      </c>
      <c r="E95">
        <f>IF(COUNTIFS(T_StockCount[RM_Code],$A95,T_StockCount[WeekIndex],4)&gt;0,SUMIFS(T_StockCount[CountedQty],T_StockCount[RM_Code],$A95,T_StockCount[WeekIndex],4),IF((COUNTIFS(T_SelfStock[RM_Code],$A95,T_SelfStock[WeekIndex],4)&gt;0)*(COUNTIFS(T_TTAFStock[RM_Code],$A95,T_TTAFStock[WeekIndex],4)&gt;0)&gt;0,SUMIFS(T_SelfStock[Self_Qty],T_SelfStock[RM_Code],$A95,T_SelfStock[WeekIndex],4)+SUMIFS(T_TTAFStock[TTAF_Qty],T_TTAFStock[RM_Code],$A95,T_TTAFStock[WeekIndex],4),D95+'Grid_Incoming'!E95-'Grid_Requirement'!E95))</f>
        <v/>
      </c>
      <c r="F95">
        <f>IF(COUNTIFS(T_StockCount[RM_Code],$A95,T_StockCount[WeekIndex],5)&gt;0,SUMIFS(T_StockCount[CountedQty],T_StockCount[RM_Code],$A95,T_StockCount[WeekIndex],5),IF((COUNTIFS(T_SelfStock[RM_Code],$A95,T_SelfStock[WeekIndex],5)&gt;0)*(COUNTIFS(T_TTAFStock[RM_Code],$A95,T_TTAFStock[WeekIndex],5)&gt;0)&gt;0,SUMIFS(T_SelfStock[Self_Qty],T_SelfStock[RM_Code],$A95,T_SelfStock[WeekIndex],5)+SUMIFS(T_TTAFStock[TTAF_Qty],T_TTAFStock[RM_Code],$A95,T_TTAFStock[WeekIndex],5),E95+'Grid_Incoming'!F95-'Grid_Requirement'!F95))</f>
        <v/>
      </c>
      <c r="G95">
        <f>IF(COUNTIFS(T_StockCount[RM_Code],$A95,T_StockCount[WeekIndex],6)&gt;0,SUMIFS(T_StockCount[CountedQty],T_StockCount[RM_Code],$A95,T_StockCount[WeekIndex],6),IF((COUNTIFS(T_SelfStock[RM_Code],$A95,T_SelfStock[WeekIndex],6)&gt;0)*(COUNTIFS(T_TTAFStock[RM_Code],$A95,T_TTAFStock[WeekIndex],6)&gt;0)&gt;0,SUMIFS(T_SelfStock[Self_Qty],T_SelfStock[RM_Code],$A95,T_SelfStock[WeekIndex],6)+SUMIFS(T_TTAFStock[TTAF_Qty],T_TTAFStock[RM_Code],$A95,T_TTAFStock[WeekIndex],6),F95+'Grid_Incoming'!G95-'Grid_Requirement'!G95))</f>
        <v/>
      </c>
      <c r="H95">
        <f>IF(COUNTIFS(T_StockCount[RM_Code],$A95,T_StockCount[WeekIndex],7)&gt;0,SUMIFS(T_StockCount[CountedQty],T_StockCount[RM_Code],$A95,T_StockCount[WeekIndex],7),IF((COUNTIFS(T_SelfStock[RM_Code],$A95,T_SelfStock[WeekIndex],7)&gt;0)*(COUNTIFS(T_TTAFStock[RM_Code],$A95,T_TTAFStock[WeekIndex],7)&gt;0)&gt;0,SUMIFS(T_SelfStock[Self_Qty],T_SelfStock[RM_Code],$A95,T_SelfStock[WeekIndex],7)+SUMIFS(T_TTAFStock[TTAF_Qty],T_TTAFStock[RM_Code],$A95,T_TTAFStock[WeekIndex],7),G95+'Grid_Incoming'!H95-'Grid_Requirement'!H95))</f>
        <v/>
      </c>
      <c r="I95">
        <f>IF(COUNTIFS(T_StockCount[RM_Code],$A95,T_StockCount[WeekIndex],8)&gt;0,SUMIFS(T_StockCount[CountedQty],T_StockCount[RM_Code],$A95,T_StockCount[WeekIndex],8),IF((COUNTIFS(T_SelfStock[RM_Code],$A95,T_SelfStock[WeekIndex],8)&gt;0)*(COUNTIFS(T_TTAFStock[RM_Code],$A95,T_TTAFStock[WeekIndex],8)&gt;0)&gt;0,SUMIFS(T_SelfStock[Self_Qty],T_SelfStock[RM_Code],$A95,T_SelfStock[WeekIndex],8)+SUMIFS(T_TTAFStock[TTAF_Qty],T_TTAFStock[RM_Code],$A95,T_TTAFStock[WeekIndex],8),H95+'Grid_Incoming'!I95-'Grid_Requirement'!I95))</f>
        <v/>
      </c>
      <c r="J95">
        <f>IF(COUNTIFS(T_StockCount[RM_Code],$A95,T_StockCount[WeekIndex],9)&gt;0,SUMIFS(T_StockCount[CountedQty],T_StockCount[RM_Code],$A95,T_StockCount[WeekIndex],9),IF((COUNTIFS(T_SelfStock[RM_Code],$A95,T_SelfStock[WeekIndex],9)&gt;0)*(COUNTIFS(T_TTAFStock[RM_Code],$A95,T_TTAFStock[WeekIndex],9)&gt;0)&gt;0,SUMIFS(T_SelfStock[Self_Qty],T_SelfStock[RM_Code],$A95,T_SelfStock[WeekIndex],9)+SUMIFS(T_TTAFStock[TTAF_Qty],T_TTAFStock[RM_Code],$A95,T_TTAFStock[WeekIndex],9),I95+'Grid_Incoming'!J95-'Grid_Requirement'!J95))</f>
        <v/>
      </c>
      <c r="K95">
        <f>IF(COUNTIFS(T_StockCount[RM_Code],$A95,T_StockCount[WeekIndex],10)&gt;0,SUMIFS(T_StockCount[CountedQty],T_StockCount[RM_Code],$A95,T_StockCount[WeekIndex],10),IF((COUNTIFS(T_SelfStock[RM_Code],$A95,T_SelfStock[WeekIndex],10)&gt;0)*(COUNTIFS(T_TTAFStock[RM_Code],$A95,T_TTAFStock[WeekIndex],10)&gt;0)&gt;0,SUMIFS(T_SelfStock[Self_Qty],T_SelfStock[RM_Code],$A95,T_SelfStock[WeekIndex],10)+SUMIFS(T_TTAFStock[TTAF_Qty],T_TTAFStock[RM_Code],$A95,T_TTAFStock[WeekIndex],10),J95+'Grid_Incoming'!K95-'Grid_Requirement'!K95))</f>
        <v/>
      </c>
      <c r="L95">
        <f>IF(COUNTIFS(T_StockCount[RM_Code],$A95,T_StockCount[WeekIndex],11)&gt;0,SUMIFS(T_StockCount[CountedQty],T_StockCount[RM_Code],$A95,T_StockCount[WeekIndex],11),IF((COUNTIFS(T_SelfStock[RM_Code],$A95,T_SelfStock[WeekIndex],11)&gt;0)*(COUNTIFS(T_TTAFStock[RM_Code],$A95,T_TTAFStock[WeekIndex],11)&gt;0)&gt;0,SUMIFS(T_SelfStock[Self_Qty],T_SelfStock[RM_Code],$A95,T_SelfStock[WeekIndex],11)+SUMIFS(T_TTAFStock[TTAF_Qty],T_TTAFStock[RM_Code],$A95,T_TTAFStock[WeekIndex],11),K95+'Grid_Incoming'!L95-'Grid_Requirement'!L95))</f>
        <v/>
      </c>
      <c r="M95">
        <f>IF(COUNTIFS(T_StockCount[RM_Code],$A95,T_StockCount[WeekIndex],12)&gt;0,SUMIFS(T_StockCount[CountedQty],T_StockCount[RM_Code],$A95,T_StockCount[WeekIndex],12),IF((COUNTIFS(T_SelfStock[RM_Code],$A95,T_SelfStock[WeekIndex],12)&gt;0)*(COUNTIFS(T_TTAFStock[RM_Code],$A95,T_TTAFStock[WeekIndex],12)&gt;0)&gt;0,SUMIFS(T_SelfStock[Self_Qty],T_SelfStock[RM_Code],$A95,T_SelfStock[WeekIndex],12)+SUMIFS(T_TTAFStock[TTAF_Qty],T_TTAFStock[RM_Code],$A95,T_TTAFStock[WeekIndex],12),L95+'Grid_Incoming'!M95-'Grid_Requirement'!M95))</f>
        <v/>
      </c>
      <c r="N95">
        <f>IF(COUNTIFS(T_StockCount[RM_Code],$A95,T_StockCount[WeekIndex],13)&gt;0,SUMIFS(T_StockCount[CountedQty],T_StockCount[RM_Code],$A95,T_StockCount[WeekIndex],13),IF((COUNTIFS(T_SelfStock[RM_Code],$A95,T_SelfStock[WeekIndex],13)&gt;0)*(COUNTIFS(T_TTAFStock[RM_Code],$A95,T_TTAFStock[WeekIndex],13)&gt;0)&gt;0,SUMIFS(T_SelfStock[Self_Qty],T_SelfStock[RM_Code],$A95,T_SelfStock[WeekIndex],13)+SUMIFS(T_TTAFStock[TTAF_Qty],T_TTAFStock[RM_Code],$A95,T_TTAFStock[WeekIndex],13),M95+'Grid_Incoming'!N95-'Grid_Requirement'!N95))</f>
        <v/>
      </c>
      <c r="O95">
        <f>IF(COUNTIFS(T_StockCount[RM_Code],$A95,T_StockCount[WeekIndex],14)&gt;0,SUMIFS(T_StockCount[CountedQty],T_StockCount[RM_Code],$A95,T_StockCount[WeekIndex],14),IF((COUNTIFS(T_SelfStock[RM_Code],$A95,T_SelfStock[WeekIndex],14)&gt;0)*(COUNTIFS(T_TTAFStock[RM_Code],$A95,T_TTAFStock[WeekIndex],14)&gt;0)&gt;0,SUMIFS(T_SelfStock[Self_Qty],T_SelfStock[RM_Code],$A95,T_SelfStock[WeekIndex],14)+SUMIFS(T_TTAFStock[TTAF_Qty],T_TTAFStock[RM_Code],$A95,T_TTAFStock[WeekIndex],14),N95+'Grid_Incoming'!O95-'Grid_Requirement'!O95))</f>
        <v/>
      </c>
      <c r="P95">
        <f>IF(COUNTIFS(T_StockCount[RM_Code],$A95,T_StockCount[WeekIndex],15)&gt;0,SUMIFS(T_StockCount[CountedQty],T_StockCount[RM_Code],$A95,T_StockCount[WeekIndex],15),IF((COUNTIFS(T_SelfStock[RM_Code],$A95,T_SelfStock[WeekIndex],15)&gt;0)*(COUNTIFS(T_TTAFStock[RM_Code],$A95,T_TTAFStock[WeekIndex],15)&gt;0)&gt;0,SUMIFS(T_SelfStock[Self_Qty],T_SelfStock[RM_Code],$A95,T_SelfStock[WeekIndex],15)+SUMIFS(T_TTAFStock[TTAF_Qty],T_TTAFStock[RM_Code],$A95,T_TTAFStock[WeekIndex],15),O95+'Grid_Incoming'!P95-'Grid_Requirement'!P95))</f>
        <v/>
      </c>
      <c r="Q95">
        <f>IF(COUNTIFS(T_StockCount[RM_Code],$A95,T_StockCount[WeekIndex],16)&gt;0,SUMIFS(T_StockCount[CountedQty],T_StockCount[RM_Code],$A95,T_StockCount[WeekIndex],16),IF((COUNTIFS(T_SelfStock[RM_Code],$A95,T_SelfStock[WeekIndex],16)&gt;0)*(COUNTIFS(T_TTAFStock[RM_Code],$A95,T_TTAFStock[WeekIndex],16)&gt;0)&gt;0,SUMIFS(T_SelfStock[Self_Qty],T_SelfStock[RM_Code],$A95,T_SelfStock[WeekIndex],16)+SUMIFS(T_TTAFStock[TTAF_Qty],T_TTAFStock[RM_Code],$A95,T_TTAFStock[WeekIndex],16),P95+'Grid_Incoming'!Q95-'Grid_Requirement'!Q95))</f>
        <v/>
      </c>
      <c r="R95">
        <f>IF(COUNTIFS(T_StockCount[RM_Code],$A95,T_StockCount[WeekIndex],17)&gt;0,SUMIFS(T_StockCount[CountedQty],T_StockCount[RM_Code],$A95,T_StockCount[WeekIndex],17),IF((COUNTIFS(T_SelfStock[RM_Code],$A95,T_SelfStock[WeekIndex],17)&gt;0)*(COUNTIFS(T_TTAFStock[RM_Code],$A95,T_TTAFStock[WeekIndex],17)&gt;0)&gt;0,SUMIFS(T_SelfStock[Self_Qty],T_SelfStock[RM_Code],$A95,T_SelfStock[WeekIndex],17)+SUMIFS(T_TTAFStock[TTAF_Qty],T_TTAFStock[RM_Code],$A95,T_TTAFStock[WeekIndex],17),Q95+'Grid_Incoming'!R95-'Grid_Requirement'!R95))</f>
        <v/>
      </c>
      <c r="S95">
        <f>IF(COUNTIFS(T_StockCount[RM_Code],$A95,T_StockCount[WeekIndex],18)&gt;0,SUMIFS(T_StockCount[CountedQty],T_StockCount[RM_Code],$A95,T_StockCount[WeekIndex],18),IF((COUNTIFS(T_SelfStock[RM_Code],$A95,T_SelfStock[WeekIndex],18)&gt;0)*(COUNTIFS(T_TTAFStock[RM_Code],$A95,T_TTAFStock[WeekIndex],18)&gt;0)&gt;0,SUMIFS(T_SelfStock[Self_Qty],T_SelfStock[RM_Code],$A95,T_SelfStock[WeekIndex],18)+SUMIFS(T_TTAFStock[TTAF_Qty],T_TTAFStock[RM_Code],$A95,T_TTAFStock[WeekIndex],18),R95+'Grid_Incoming'!S95-'Grid_Requirement'!S95))</f>
        <v/>
      </c>
      <c r="T95">
        <f>IF(COUNTIFS(T_StockCount[RM_Code],$A95,T_StockCount[WeekIndex],19)&gt;0,SUMIFS(T_StockCount[CountedQty],T_StockCount[RM_Code],$A95,T_StockCount[WeekIndex],19),IF((COUNTIFS(T_SelfStock[RM_Code],$A95,T_SelfStock[WeekIndex],19)&gt;0)*(COUNTIFS(T_TTAFStock[RM_Code],$A95,T_TTAFStock[WeekIndex],19)&gt;0)&gt;0,SUMIFS(T_SelfStock[Self_Qty],T_SelfStock[RM_Code],$A95,T_SelfStock[WeekIndex],19)+SUMIFS(T_TTAFStock[TTAF_Qty],T_TTAFStock[RM_Code],$A95,T_TTAFStock[WeekIndex],19),S95+'Grid_Incoming'!T95-'Grid_Requirement'!T95))</f>
        <v/>
      </c>
      <c r="U95">
        <f>IF(COUNTIFS(T_StockCount[RM_Code],$A95,T_StockCount[WeekIndex],20)&gt;0,SUMIFS(T_StockCount[CountedQty],T_StockCount[RM_Code],$A95,T_StockCount[WeekIndex],20),IF((COUNTIFS(T_SelfStock[RM_Code],$A95,T_SelfStock[WeekIndex],20)&gt;0)*(COUNTIFS(T_TTAFStock[RM_Code],$A95,T_TTAFStock[WeekIndex],20)&gt;0)&gt;0,SUMIFS(T_SelfStock[Self_Qty],T_SelfStock[RM_Code],$A95,T_SelfStock[WeekIndex],20)+SUMIFS(T_TTAFStock[TTAF_Qty],T_TTAFStock[RM_Code],$A95,T_TTAFStock[WeekIndex],20),T95+'Grid_Incoming'!U95-'Grid_Requirement'!U95))</f>
        <v/>
      </c>
      <c r="V95">
        <f>IF(COUNTIFS(T_StockCount[RM_Code],$A95,T_StockCount[WeekIndex],21)&gt;0,SUMIFS(T_StockCount[CountedQty],T_StockCount[RM_Code],$A95,T_StockCount[WeekIndex],21),IF((COUNTIFS(T_SelfStock[RM_Code],$A95,T_SelfStock[WeekIndex],21)&gt;0)*(COUNTIFS(T_TTAFStock[RM_Code],$A95,T_TTAFStock[WeekIndex],21)&gt;0)&gt;0,SUMIFS(T_SelfStock[Self_Qty],T_SelfStock[RM_Code],$A95,T_SelfStock[WeekIndex],21)+SUMIFS(T_TTAFStock[TTAF_Qty],T_TTAFStock[RM_Code],$A95,T_TTAFStock[WeekIndex],21),U95+'Grid_Incoming'!V95-'Grid_Requirement'!V95))</f>
        <v/>
      </c>
      <c r="W95">
        <f>IF(COUNTIFS(T_StockCount[RM_Code],$A95,T_StockCount[WeekIndex],22)&gt;0,SUMIFS(T_StockCount[CountedQty],T_StockCount[RM_Code],$A95,T_StockCount[WeekIndex],22),IF((COUNTIFS(T_SelfStock[RM_Code],$A95,T_SelfStock[WeekIndex],22)&gt;0)*(COUNTIFS(T_TTAFStock[RM_Code],$A95,T_TTAFStock[WeekIndex],22)&gt;0)&gt;0,SUMIFS(T_SelfStock[Self_Qty],T_SelfStock[RM_Code],$A95,T_SelfStock[WeekIndex],22)+SUMIFS(T_TTAFStock[TTAF_Qty],T_TTAFStock[RM_Code],$A95,T_TTAFStock[WeekIndex],22),V95+'Grid_Incoming'!W95-'Grid_Requirement'!W95))</f>
        <v/>
      </c>
      <c r="X95">
        <f>IF(COUNTIFS(T_StockCount[RM_Code],$A95,T_StockCount[WeekIndex],23)&gt;0,SUMIFS(T_StockCount[CountedQty],T_StockCount[RM_Code],$A95,T_StockCount[WeekIndex],23),IF((COUNTIFS(T_SelfStock[RM_Code],$A95,T_SelfStock[WeekIndex],23)&gt;0)*(COUNTIFS(T_TTAFStock[RM_Code],$A95,T_TTAFStock[WeekIndex],23)&gt;0)&gt;0,SUMIFS(T_SelfStock[Self_Qty],T_SelfStock[RM_Code],$A95,T_SelfStock[WeekIndex],23)+SUMIFS(T_TTAFStock[TTAF_Qty],T_TTAFStock[RM_Code],$A95,T_TTAFStock[WeekIndex],23),W95+'Grid_Incoming'!X95-'Grid_Requirement'!X95))</f>
        <v/>
      </c>
      <c r="Y95">
        <f>IF(COUNTIFS(T_StockCount[RM_Code],$A95,T_StockCount[WeekIndex],24)&gt;0,SUMIFS(T_StockCount[CountedQty],T_StockCount[RM_Code],$A95,T_StockCount[WeekIndex],24),IF((COUNTIFS(T_SelfStock[RM_Code],$A95,T_SelfStock[WeekIndex],24)&gt;0)*(COUNTIFS(T_TTAFStock[RM_Code],$A95,T_TTAFStock[WeekIndex],24)&gt;0)&gt;0,SUMIFS(T_SelfStock[Self_Qty],T_SelfStock[RM_Code],$A95,T_SelfStock[WeekIndex],24)+SUMIFS(T_TTAFStock[TTAF_Qty],T_TTAFStock[RM_Code],$A95,T_TTAFStock[WeekIndex],24),X95+'Grid_Incoming'!Y95-'Grid_Requirement'!Y95))</f>
        <v/>
      </c>
      <c r="Z95">
        <f>IF(COUNTIFS(T_StockCount[RM_Code],$A95,T_StockCount[WeekIndex],25)&gt;0,SUMIFS(T_StockCount[CountedQty],T_StockCount[RM_Code],$A95,T_StockCount[WeekIndex],25),IF((COUNTIFS(T_SelfStock[RM_Code],$A95,T_SelfStock[WeekIndex],25)&gt;0)*(COUNTIFS(T_TTAFStock[RM_Code],$A95,T_TTAFStock[WeekIndex],25)&gt;0)&gt;0,SUMIFS(T_SelfStock[Self_Qty],T_SelfStock[RM_Code],$A95,T_SelfStock[WeekIndex],25)+SUMIFS(T_TTAFStock[TTAF_Qty],T_TTAFStock[RM_Code],$A95,T_TTAFStock[WeekIndex],25),Y95+'Grid_Incoming'!Z95-'Grid_Requirement'!Z95))</f>
        <v/>
      </c>
      <c r="AA95">
        <f>IF(COUNTIFS(T_StockCount[RM_Code],$A95,T_StockCount[WeekIndex],26)&gt;0,SUMIFS(T_StockCount[CountedQty],T_StockCount[RM_Code],$A95,T_StockCount[WeekIndex],26),IF((COUNTIFS(T_SelfStock[RM_Code],$A95,T_SelfStock[WeekIndex],26)&gt;0)*(COUNTIFS(T_TTAFStock[RM_Code],$A95,T_TTAFStock[WeekIndex],26)&gt;0)&gt;0,SUMIFS(T_SelfStock[Self_Qty],T_SelfStock[RM_Code],$A95,T_SelfStock[WeekIndex],26)+SUMIFS(T_TTAFStock[TTAF_Qty],T_TTAFStock[RM_Code],$A95,T_TTAFStock[WeekIndex],26),Z95+'Grid_Incoming'!AA95-'Grid_Requirement'!AA95))</f>
        <v/>
      </c>
      <c r="AB95">
        <f>IF(COUNTIFS(T_StockCount[RM_Code],$A95,T_StockCount[WeekIndex],27)&gt;0,SUMIFS(T_StockCount[CountedQty],T_StockCount[RM_Code],$A95,T_StockCount[WeekIndex],27),IF((COUNTIFS(T_SelfStock[RM_Code],$A95,T_SelfStock[WeekIndex],27)&gt;0)*(COUNTIFS(T_TTAFStock[RM_Code],$A95,T_TTAFStock[WeekIndex],27)&gt;0)&gt;0,SUMIFS(T_SelfStock[Self_Qty],T_SelfStock[RM_Code],$A95,T_SelfStock[WeekIndex],27)+SUMIFS(T_TTAFStock[TTAF_Qty],T_TTAFStock[RM_Code],$A95,T_TTAFStock[WeekIndex],27),AA95+'Grid_Incoming'!AB95-'Grid_Requirement'!AB95))</f>
        <v/>
      </c>
      <c r="AC95">
        <f>IF(COUNTIFS(T_StockCount[RM_Code],$A95,T_StockCount[WeekIndex],28)&gt;0,SUMIFS(T_StockCount[CountedQty],T_StockCount[RM_Code],$A95,T_StockCount[WeekIndex],28),IF((COUNTIFS(T_SelfStock[RM_Code],$A95,T_SelfStock[WeekIndex],28)&gt;0)*(COUNTIFS(T_TTAFStock[RM_Code],$A95,T_TTAFStock[WeekIndex],28)&gt;0)&gt;0,SUMIFS(T_SelfStock[Self_Qty],T_SelfStock[RM_Code],$A95,T_SelfStock[WeekIndex],28)+SUMIFS(T_TTAFStock[TTAF_Qty],T_TTAFStock[RM_Code],$A95,T_TTAFStock[WeekIndex],28),AB95+'Grid_Incoming'!AC95-'Grid_Requirement'!AC95))</f>
        <v/>
      </c>
      <c r="AD95">
        <f>IF(COUNTIFS(T_StockCount[RM_Code],$A95,T_StockCount[WeekIndex],29)&gt;0,SUMIFS(T_StockCount[CountedQty],T_StockCount[RM_Code],$A95,T_StockCount[WeekIndex],29),IF((COUNTIFS(T_SelfStock[RM_Code],$A95,T_SelfStock[WeekIndex],29)&gt;0)*(COUNTIFS(T_TTAFStock[RM_Code],$A95,T_TTAFStock[WeekIndex],29)&gt;0)&gt;0,SUMIFS(T_SelfStock[Self_Qty],T_SelfStock[RM_Code],$A95,T_SelfStock[WeekIndex],29)+SUMIFS(T_TTAFStock[TTAF_Qty],T_TTAFStock[RM_Code],$A95,T_TTAFStock[WeekIndex],29),AC95+'Grid_Incoming'!AD95-'Grid_Requirement'!AD95))</f>
        <v/>
      </c>
      <c r="AE95">
        <f>IF(COUNTIFS(T_StockCount[RM_Code],$A95,T_StockCount[WeekIndex],30)&gt;0,SUMIFS(T_StockCount[CountedQty],T_StockCount[RM_Code],$A95,T_StockCount[WeekIndex],30),IF((COUNTIFS(T_SelfStock[RM_Code],$A95,T_SelfStock[WeekIndex],30)&gt;0)*(COUNTIFS(T_TTAFStock[RM_Code],$A95,T_TTAFStock[WeekIndex],30)&gt;0)&gt;0,SUMIFS(T_SelfStock[Self_Qty],T_SelfStock[RM_Code],$A95,T_SelfStock[WeekIndex],30)+SUMIFS(T_TTAFStock[TTAF_Qty],T_TTAFStock[RM_Code],$A95,T_TTAFStock[WeekIndex],30),AD95+'Grid_Incoming'!AE95-'Grid_Requirement'!AE95))</f>
        <v/>
      </c>
      <c r="AF95">
        <f>IF(COUNTIFS(T_StockCount[RM_Code],$A95,T_StockCount[WeekIndex],31)&gt;0,SUMIFS(T_StockCount[CountedQty],T_StockCount[RM_Code],$A95,T_StockCount[WeekIndex],31),IF((COUNTIFS(T_SelfStock[RM_Code],$A95,T_SelfStock[WeekIndex],31)&gt;0)*(COUNTIFS(T_TTAFStock[RM_Code],$A95,T_TTAFStock[WeekIndex],31)&gt;0)&gt;0,SUMIFS(T_SelfStock[Self_Qty],T_SelfStock[RM_Code],$A95,T_SelfStock[WeekIndex],31)+SUMIFS(T_TTAFStock[TTAF_Qty],T_TTAFStock[RM_Code],$A95,T_TTAFStock[WeekIndex],31),AE95+'Grid_Incoming'!AF95-'Grid_Requirement'!AF95))</f>
        <v/>
      </c>
      <c r="AG95">
        <f>IF(COUNTIFS(T_StockCount[RM_Code],$A95,T_StockCount[WeekIndex],32)&gt;0,SUMIFS(T_StockCount[CountedQty],T_StockCount[RM_Code],$A95,T_StockCount[WeekIndex],32),IF((COUNTIFS(T_SelfStock[RM_Code],$A95,T_SelfStock[WeekIndex],32)&gt;0)*(COUNTIFS(T_TTAFStock[RM_Code],$A95,T_TTAFStock[WeekIndex],32)&gt;0)&gt;0,SUMIFS(T_SelfStock[Self_Qty],T_SelfStock[RM_Code],$A95,T_SelfStock[WeekIndex],32)+SUMIFS(T_TTAFStock[TTAF_Qty],T_TTAFStock[RM_Code],$A95,T_TTAFStock[WeekIndex],32),AF95+'Grid_Incoming'!AG95-'Grid_Requirement'!AG95))</f>
        <v/>
      </c>
      <c r="AH95">
        <f>IF(COUNTIFS(T_StockCount[RM_Code],$A95,T_StockCount[WeekIndex],33)&gt;0,SUMIFS(T_StockCount[CountedQty],T_StockCount[RM_Code],$A95,T_StockCount[WeekIndex],33),IF((COUNTIFS(T_SelfStock[RM_Code],$A95,T_SelfStock[WeekIndex],33)&gt;0)*(COUNTIFS(T_TTAFStock[RM_Code],$A95,T_TTAFStock[WeekIndex],33)&gt;0)&gt;0,SUMIFS(T_SelfStock[Self_Qty],T_SelfStock[RM_Code],$A95,T_SelfStock[WeekIndex],33)+SUMIFS(T_TTAFStock[TTAF_Qty],T_TTAFStock[RM_Code],$A95,T_TTAFStock[WeekIndex],33),AG95+'Grid_Incoming'!AH95-'Grid_Requirement'!AH95))</f>
        <v/>
      </c>
      <c r="AI95">
        <f>IF(COUNTIFS(T_StockCount[RM_Code],$A95,T_StockCount[WeekIndex],34)&gt;0,SUMIFS(T_StockCount[CountedQty],T_StockCount[RM_Code],$A95,T_StockCount[WeekIndex],34),IF((COUNTIFS(T_SelfStock[RM_Code],$A95,T_SelfStock[WeekIndex],34)&gt;0)*(COUNTIFS(T_TTAFStock[RM_Code],$A95,T_TTAFStock[WeekIndex],34)&gt;0)&gt;0,SUMIFS(T_SelfStock[Self_Qty],T_SelfStock[RM_Code],$A95,T_SelfStock[WeekIndex],34)+SUMIFS(T_TTAFStock[TTAF_Qty],T_TTAFStock[RM_Code],$A95,T_TTAFStock[WeekIndex],34),AH95+'Grid_Incoming'!AI95-'Grid_Requirement'!AI95))</f>
        <v/>
      </c>
      <c r="AJ95">
        <f>IF(COUNTIFS(T_StockCount[RM_Code],$A95,T_StockCount[WeekIndex],35)&gt;0,SUMIFS(T_StockCount[CountedQty],T_StockCount[RM_Code],$A95,T_StockCount[WeekIndex],35),IF((COUNTIFS(T_SelfStock[RM_Code],$A95,T_SelfStock[WeekIndex],35)&gt;0)*(COUNTIFS(T_TTAFStock[RM_Code],$A95,T_TTAFStock[WeekIndex],35)&gt;0)&gt;0,SUMIFS(T_SelfStock[Self_Qty],T_SelfStock[RM_Code],$A95,T_SelfStock[WeekIndex],35)+SUMIFS(T_TTAFStock[TTAF_Qty],T_TTAFStock[RM_Code],$A95,T_TTAFStock[WeekIndex],35),AI95+'Grid_Incoming'!AJ95-'Grid_Requirement'!AJ95))</f>
        <v/>
      </c>
      <c r="AK95">
        <f>IF(COUNTIFS(T_StockCount[RM_Code],$A95,T_StockCount[WeekIndex],36)&gt;0,SUMIFS(T_StockCount[CountedQty],T_StockCount[RM_Code],$A95,T_StockCount[WeekIndex],36),IF((COUNTIFS(T_SelfStock[RM_Code],$A95,T_SelfStock[WeekIndex],36)&gt;0)*(COUNTIFS(T_TTAFStock[RM_Code],$A95,T_TTAFStock[WeekIndex],36)&gt;0)&gt;0,SUMIFS(T_SelfStock[Self_Qty],T_SelfStock[RM_Code],$A95,T_SelfStock[WeekIndex],36)+SUMIFS(T_TTAFStock[TTAF_Qty],T_TTAFStock[RM_Code],$A95,T_TTAFStock[WeekIndex],36),AJ95+'Grid_Incoming'!AK95-'Grid_Requirement'!AK95))</f>
        <v/>
      </c>
      <c r="AL95">
        <f>IF(COUNTIFS(T_StockCount[RM_Code],$A95,T_StockCount[WeekIndex],37)&gt;0,SUMIFS(T_StockCount[CountedQty],T_StockCount[RM_Code],$A95,T_StockCount[WeekIndex],37),IF((COUNTIFS(T_SelfStock[RM_Code],$A95,T_SelfStock[WeekIndex],37)&gt;0)*(COUNTIFS(T_TTAFStock[RM_Code],$A95,T_TTAFStock[WeekIndex],37)&gt;0)&gt;0,SUMIFS(T_SelfStock[Self_Qty],T_SelfStock[RM_Code],$A95,T_SelfStock[WeekIndex],37)+SUMIFS(T_TTAFStock[TTAF_Qty],T_TTAFStock[RM_Code],$A95,T_TTAFStock[WeekIndex],37),AK95+'Grid_Incoming'!AL95-'Grid_Requirement'!AL95))</f>
        <v/>
      </c>
      <c r="AM95">
        <f>IF(COUNTIFS(T_StockCount[RM_Code],$A95,T_StockCount[WeekIndex],38)&gt;0,SUMIFS(T_StockCount[CountedQty],T_StockCount[RM_Code],$A95,T_StockCount[WeekIndex],38),IF((COUNTIFS(T_SelfStock[RM_Code],$A95,T_SelfStock[WeekIndex],38)&gt;0)*(COUNTIFS(T_TTAFStock[RM_Code],$A95,T_TTAFStock[WeekIndex],38)&gt;0)&gt;0,SUMIFS(T_SelfStock[Self_Qty],T_SelfStock[RM_Code],$A95,T_SelfStock[WeekIndex],38)+SUMIFS(T_TTAFStock[TTAF_Qty],T_TTAFStock[RM_Code],$A95,T_TTAFStock[WeekIndex],38),AL95+'Grid_Incoming'!AM95-'Grid_Requirement'!AM95))</f>
        <v/>
      </c>
      <c r="AN95">
        <f>IF(COUNTIFS(T_StockCount[RM_Code],$A95,T_StockCount[WeekIndex],39)&gt;0,SUMIFS(T_StockCount[CountedQty],T_StockCount[RM_Code],$A95,T_StockCount[WeekIndex],39),IF((COUNTIFS(T_SelfStock[RM_Code],$A95,T_SelfStock[WeekIndex],39)&gt;0)*(COUNTIFS(T_TTAFStock[RM_Code],$A95,T_TTAFStock[WeekIndex],39)&gt;0)&gt;0,SUMIFS(T_SelfStock[Self_Qty],T_SelfStock[RM_Code],$A95,T_SelfStock[WeekIndex],39)+SUMIFS(T_TTAFStock[TTAF_Qty],T_TTAFStock[RM_Code],$A95,T_TTAFStock[WeekIndex],39),AM95+'Grid_Incoming'!AN95-'Grid_Requirement'!AN95))</f>
        <v/>
      </c>
      <c r="AO95">
        <f>IF(COUNTIFS(T_StockCount[RM_Code],$A95,T_StockCount[WeekIndex],40)&gt;0,SUMIFS(T_StockCount[CountedQty],T_StockCount[RM_Code],$A95,T_StockCount[WeekIndex],40),IF((COUNTIFS(T_SelfStock[RM_Code],$A95,T_SelfStock[WeekIndex],40)&gt;0)*(COUNTIFS(T_TTAFStock[RM_Code],$A95,T_TTAFStock[WeekIndex],40)&gt;0)&gt;0,SUMIFS(T_SelfStock[Self_Qty],T_SelfStock[RM_Code],$A95,T_SelfStock[WeekIndex],40)+SUMIFS(T_TTAFStock[TTAF_Qty],T_TTAFStock[RM_Code],$A95,T_TTAFStock[WeekIndex],40),AN95+'Grid_Incoming'!AO95-'Grid_Requirement'!AO95))</f>
        <v/>
      </c>
      <c r="AP95">
        <f>IF(COUNTIFS(T_StockCount[RM_Code],$A95,T_StockCount[WeekIndex],41)&gt;0,SUMIFS(T_StockCount[CountedQty],T_StockCount[RM_Code],$A95,T_StockCount[WeekIndex],41),IF((COUNTIFS(T_SelfStock[RM_Code],$A95,T_SelfStock[WeekIndex],41)&gt;0)*(COUNTIFS(T_TTAFStock[RM_Code],$A95,T_TTAFStock[WeekIndex],41)&gt;0)&gt;0,SUMIFS(T_SelfStock[Self_Qty],T_SelfStock[RM_Code],$A95,T_SelfStock[WeekIndex],41)+SUMIFS(T_TTAFStock[TTAF_Qty],T_TTAFStock[RM_Code],$A95,T_TTAFStock[WeekIndex],41),AO95+'Grid_Incoming'!AP95-'Grid_Requirement'!AP95))</f>
        <v/>
      </c>
      <c r="AQ95">
        <f>IF(COUNTIFS(T_StockCount[RM_Code],$A95,T_StockCount[WeekIndex],42)&gt;0,SUMIFS(T_StockCount[CountedQty],T_StockCount[RM_Code],$A95,T_StockCount[WeekIndex],42),IF((COUNTIFS(T_SelfStock[RM_Code],$A95,T_SelfStock[WeekIndex],42)&gt;0)*(COUNTIFS(T_TTAFStock[RM_Code],$A95,T_TTAFStock[WeekIndex],42)&gt;0)&gt;0,SUMIFS(T_SelfStock[Self_Qty],T_SelfStock[RM_Code],$A95,T_SelfStock[WeekIndex],42)+SUMIFS(T_TTAFStock[TTAF_Qty],T_TTAFStock[RM_Code],$A95,T_TTAFStock[WeekIndex],42),AP95+'Grid_Incoming'!AQ95-'Grid_Requirement'!AQ95))</f>
        <v/>
      </c>
      <c r="AR95">
        <f>IF(COUNTIFS(T_StockCount[RM_Code],$A95,T_StockCount[WeekIndex],43)&gt;0,SUMIFS(T_StockCount[CountedQty],T_StockCount[RM_Code],$A95,T_StockCount[WeekIndex],43),IF((COUNTIFS(T_SelfStock[RM_Code],$A95,T_SelfStock[WeekIndex],43)&gt;0)*(COUNTIFS(T_TTAFStock[RM_Code],$A95,T_TTAFStock[WeekIndex],43)&gt;0)&gt;0,SUMIFS(T_SelfStock[Self_Qty],T_SelfStock[RM_Code],$A95,T_SelfStock[WeekIndex],43)+SUMIFS(T_TTAFStock[TTAF_Qty],T_TTAFStock[RM_Code],$A95,T_TTAFStock[WeekIndex],43),AQ95+'Grid_Incoming'!AR95-'Grid_Requirement'!AR95))</f>
        <v/>
      </c>
      <c r="AS95">
        <f>IF(COUNTIFS(T_StockCount[RM_Code],$A95,T_StockCount[WeekIndex],44)&gt;0,SUMIFS(T_StockCount[CountedQty],T_StockCount[RM_Code],$A95,T_StockCount[WeekIndex],44),IF((COUNTIFS(T_SelfStock[RM_Code],$A95,T_SelfStock[WeekIndex],44)&gt;0)*(COUNTIFS(T_TTAFStock[RM_Code],$A95,T_TTAFStock[WeekIndex],44)&gt;0)&gt;0,SUMIFS(T_SelfStock[Self_Qty],T_SelfStock[RM_Code],$A95,T_SelfStock[WeekIndex],44)+SUMIFS(T_TTAFStock[TTAF_Qty],T_TTAFStock[RM_Code],$A95,T_TTAFStock[WeekIndex],44),AR95+'Grid_Incoming'!AS95-'Grid_Requirement'!AS95))</f>
        <v/>
      </c>
      <c r="AT95">
        <f>IF(COUNTIFS(T_StockCount[RM_Code],$A95,T_StockCount[WeekIndex],45)&gt;0,SUMIFS(T_StockCount[CountedQty],T_StockCount[RM_Code],$A95,T_StockCount[WeekIndex],45),IF((COUNTIFS(T_SelfStock[RM_Code],$A95,T_SelfStock[WeekIndex],45)&gt;0)*(COUNTIFS(T_TTAFStock[RM_Code],$A95,T_TTAFStock[WeekIndex],45)&gt;0)&gt;0,SUMIFS(T_SelfStock[Self_Qty],T_SelfStock[RM_Code],$A95,T_SelfStock[WeekIndex],45)+SUMIFS(T_TTAFStock[TTAF_Qty],T_TTAFStock[RM_Code],$A95,T_TTAFStock[WeekIndex],45),AS95+'Grid_Incoming'!AT95-'Grid_Requirement'!AT95))</f>
        <v/>
      </c>
      <c r="AU95">
        <f>IF(COUNTIFS(T_StockCount[RM_Code],$A95,T_StockCount[WeekIndex],46)&gt;0,SUMIFS(T_StockCount[CountedQty],T_StockCount[RM_Code],$A95,T_StockCount[WeekIndex],46),IF((COUNTIFS(T_SelfStock[RM_Code],$A95,T_SelfStock[WeekIndex],46)&gt;0)*(COUNTIFS(T_TTAFStock[RM_Code],$A95,T_TTAFStock[WeekIndex],46)&gt;0)&gt;0,SUMIFS(T_SelfStock[Self_Qty],T_SelfStock[RM_Code],$A95,T_SelfStock[WeekIndex],46)+SUMIFS(T_TTAFStock[TTAF_Qty],T_TTAFStock[RM_Code],$A95,T_TTAFStock[WeekIndex],46),AT95+'Grid_Incoming'!AU95-'Grid_Requirement'!AU95))</f>
        <v/>
      </c>
      <c r="AV95">
        <f>IF(COUNTIFS(T_StockCount[RM_Code],$A95,T_StockCount[WeekIndex],47)&gt;0,SUMIFS(T_StockCount[CountedQty],T_StockCount[RM_Code],$A95,T_StockCount[WeekIndex],47),IF((COUNTIFS(T_SelfStock[RM_Code],$A95,T_SelfStock[WeekIndex],47)&gt;0)*(COUNTIFS(T_TTAFStock[RM_Code],$A95,T_TTAFStock[WeekIndex],47)&gt;0)&gt;0,SUMIFS(T_SelfStock[Self_Qty],T_SelfStock[RM_Code],$A95,T_SelfStock[WeekIndex],47)+SUMIFS(T_TTAFStock[TTAF_Qty],T_TTAFStock[RM_Code],$A95,T_TTAFStock[WeekIndex],47),AU95+'Grid_Incoming'!AV95-'Grid_Requirement'!AV95))</f>
        <v/>
      </c>
      <c r="AW95">
        <f>IF(COUNTIFS(T_StockCount[RM_Code],$A95,T_StockCount[WeekIndex],48)&gt;0,SUMIFS(T_StockCount[CountedQty],T_StockCount[RM_Code],$A95,T_StockCount[WeekIndex],48),IF((COUNTIFS(T_SelfStock[RM_Code],$A95,T_SelfStock[WeekIndex],48)&gt;0)*(COUNTIFS(T_TTAFStock[RM_Code],$A95,T_TTAFStock[WeekIndex],48)&gt;0)&gt;0,SUMIFS(T_SelfStock[Self_Qty],T_SelfStock[RM_Code],$A95,T_SelfStock[WeekIndex],48)+SUMIFS(T_TTAFStock[TTAF_Qty],T_TTAFStock[RM_Code],$A95,T_TTAFStock[WeekIndex],48),AV95+'Grid_Incoming'!AW95-'Grid_Requirement'!AW95))</f>
        <v/>
      </c>
      <c r="AX95">
        <f>IF(COUNTIFS(T_StockCount[RM_Code],$A95,T_StockCount[WeekIndex],49)&gt;0,SUMIFS(T_StockCount[CountedQty],T_StockCount[RM_Code],$A95,T_StockCount[WeekIndex],49),IF((COUNTIFS(T_SelfStock[RM_Code],$A95,T_SelfStock[WeekIndex],49)&gt;0)*(COUNTIFS(T_TTAFStock[RM_Code],$A95,T_TTAFStock[WeekIndex],49)&gt;0)&gt;0,SUMIFS(T_SelfStock[Self_Qty],T_SelfStock[RM_Code],$A95,T_SelfStock[WeekIndex],49)+SUMIFS(T_TTAFStock[TTAF_Qty],T_TTAFStock[RM_Code],$A95,T_TTAFStock[WeekIndex],49),AW95+'Grid_Incoming'!AX95-'Grid_Requirement'!AX95))</f>
        <v/>
      </c>
      <c r="AY95">
        <f>IF(COUNTIFS(T_StockCount[RM_Code],$A95,T_StockCount[WeekIndex],50)&gt;0,SUMIFS(T_StockCount[CountedQty],T_StockCount[RM_Code],$A95,T_StockCount[WeekIndex],50),IF((COUNTIFS(T_SelfStock[RM_Code],$A95,T_SelfStock[WeekIndex],50)&gt;0)*(COUNTIFS(T_TTAFStock[RM_Code],$A95,T_TTAFStock[WeekIndex],50)&gt;0)&gt;0,SUMIFS(T_SelfStock[Self_Qty],T_SelfStock[RM_Code],$A95,T_SelfStock[WeekIndex],50)+SUMIFS(T_TTAFStock[TTAF_Qty],T_TTAFStock[RM_Code],$A95,T_TTAFStock[WeekIndex],50),AX95+'Grid_Incoming'!AY95-'Grid_Requirement'!AY95))</f>
        <v/>
      </c>
      <c r="AZ95">
        <f>IF(COUNTIFS(T_StockCount[RM_Code],$A95,T_StockCount[WeekIndex],51)&gt;0,SUMIFS(T_StockCount[CountedQty],T_StockCount[RM_Code],$A95,T_StockCount[WeekIndex],51),IF((COUNTIFS(T_SelfStock[RM_Code],$A95,T_SelfStock[WeekIndex],51)&gt;0)*(COUNTIFS(T_TTAFStock[RM_Code],$A95,T_TTAFStock[WeekIndex],51)&gt;0)&gt;0,SUMIFS(T_SelfStock[Self_Qty],T_SelfStock[RM_Code],$A95,T_SelfStock[WeekIndex],51)+SUMIFS(T_TTAFStock[TTAF_Qty],T_TTAFStock[RM_Code],$A95,T_TTAFStock[WeekIndex],51),AY95+'Grid_Incoming'!AZ95-'Grid_Requirement'!AZ95))</f>
        <v/>
      </c>
      <c r="BA95">
        <f>IF(COUNTIFS(T_StockCount[RM_Code],$A95,T_StockCount[WeekIndex],52)&gt;0,SUMIFS(T_StockCount[CountedQty],T_StockCount[RM_Code],$A95,T_StockCount[WeekIndex],52),IF((COUNTIFS(T_SelfStock[RM_Code],$A95,T_SelfStock[WeekIndex],52)&gt;0)*(COUNTIFS(T_TTAFStock[RM_Code],$A95,T_TTAFStock[WeekIndex],52)&gt;0)&gt;0,SUMIFS(T_SelfStock[Self_Qty],T_SelfStock[RM_Code],$A95,T_SelfStock[WeekIndex],52)+SUMIFS(T_TTAFStock[TTAF_Qty],T_TTAFStock[RM_Code],$A95,T_TTAFStock[WeekIndex],52),AZ95+'Grid_Incoming'!BA95-'Grid_Requirement'!BA95))</f>
        <v/>
      </c>
      <c r="BB95">
        <f>IF(COUNTIFS(T_StockCount[RM_Code],$A95,T_StockCount[WeekIndex],53)&gt;0,SUMIFS(T_StockCount[CountedQty],T_StockCount[RM_Code],$A95,T_StockCount[WeekIndex],53),IF((COUNTIFS(T_SelfStock[RM_Code],$A95,T_SelfStock[WeekIndex],53)&gt;0)*(COUNTIFS(T_TTAFStock[RM_Code],$A95,T_TTAFStock[WeekIndex],53)&gt;0)&gt;0,SUMIFS(T_SelfStock[Self_Qty],T_SelfStock[RM_Code],$A95,T_SelfStock[WeekIndex],53)+SUMIFS(T_TTAFStock[TTAF_Qty],T_TTAFStock[RM_Code],$A95,T_TTAFStock[WeekIndex],53),BA95+'Grid_Incoming'!BB95-'Grid_Requirement'!BB95))</f>
        <v/>
      </c>
      <c r="BC95">
        <f>IF(COUNTIFS(T_StockCount[RM_Code],$A95,T_StockCount[WeekIndex],54)&gt;0,SUMIFS(T_StockCount[CountedQty],T_StockCount[RM_Code],$A95,T_StockCount[WeekIndex],54),IF((COUNTIFS(T_SelfStock[RM_Code],$A95,T_SelfStock[WeekIndex],54)&gt;0)*(COUNTIFS(T_TTAFStock[RM_Code],$A95,T_TTAFStock[WeekIndex],54)&gt;0)&gt;0,SUMIFS(T_SelfStock[Self_Qty],T_SelfStock[RM_Code],$A95,T_SelfStock[WeekIndex],54)+SUMIFS(T_TTAFStock[TTAF_Qty],T_TTAFStock[RM_Code],$A95,T_TTAFStock[WeekIndex],54),BB95+'Grid_Incoming'!BC95-'Grid_Requirement'!BC95))</f>
        <v/>
      </c>
      <c r="BD95">
        <f>IF(COUNTIFS(T_StockCount[RM_Code],$A95,T_StockCount[WeekIndex],55)&gt;0,SUMIFS(T_StockCount[CountedQty],T_StockCount[RM_Code],$A95,T_StockCount[WeekIndex],55),IF((COUNTIFS(T_SelfStock[RM_Code],$A95,T_SelfStock[WeekIndex],55)&gt;0)*(COUNTIFS(T_TTAFStock[RM_Code],$A95,T_TTAFStock[WeekIndex],55)&gt;0)&gt;0,SUMIFS(T_SelfStock[Self_Qty],T_SelfStock[RM_Code],$A95,T_SelfStock[WeekIndex],55)+SUMIFS(T_TTAFStock[TTAF_Qty],T_TTAFStock[RM_Code],$A95,T_TTAFStock[WeekIndex],55),BC95+'Grid_Incoming'!BD95-'Grid_Requirement'!BD95))</f>
        <v/>
      </c>
      <c r="BE95">
        <f>IF(COUNTIFS(T_StockCount[RM_Code],$A95,T_StockCount[WeekIndex],56)&gt;0,SUMIFS(T_StockCount[CountedQty],T_StockCount[RM_Code],$A95,T_StockCount[WeekIndex],56),IF((COUNTIFS(T_SelfStock[RM_Code],$A95,T_SelfStock[WeekIndex],56)&gt;0)*(COUNTIFS(T_TTAFStock[RM_Code],$A95,T_TTAFStock[WeekIndex],56)&gt;0)&gt;0,SUMIFS(T_SelfStock[Self_Qty],T_SelfStock[RM_Code],$A95,T_SelfStock[WeekIndex],56)+SUMIFS(T_TTAFStock[TTAF_Qty],T_TTAFStock[RM_Code],$A95,T_TTAFStock[WeekIndex],56),BD95+'Grid_Incoming'!BE95-'Grid_Requirement'!BE95))</f>
        <v/>
      </c>
      <c r="BF95">
        <f>IF(COUNTIFS(T_StockCount[RM_Code],$A95,T_StockCount[WeekIndex],57)&gt;0,SUMIFS(T_StockCount[CountedQty],T_StockCount[RM_Code],$A95,T_StockCount[WeekIndex],57),IF((COUNTIFS(T_SelfStock[RM_Code],$A95,T_SelfStock[WeekIndex],57)&gt;0)*(COUNTIFS(T_TTAFStock[RM_Code],$A95,T_TTAFStock[WeekIndex],57)&gt;0)&gt;0,SUMIFS(T_SelfStock[Self_Qty],T_SelfStock[RM_Code],$A95,T_SelfStock[WeekIndex],57)+SUMIFS(T_TTAFStock[TTAF_Qty],T_TTAFStock[RM_Code],$A95,T_TTAFStock[WeekIndex],57),BE95+'Grid_Incoming'!BF95-'Grid_Requirement'!BF95))</f>
        <v/>
      </c>
      <c r="BG95">
        <f>IF(COUNTIFS(T_StockCount[RM_Code],$A95,T_StockCount[WeekIndex],58)&gt;0,SUMIFS(T_StockCount[CountedQty],T_StockCount[RM_Code],$A95,T_StockCount[WeekIndex],58),IF((COUNTIFS(T_SelfStock[RM_Code],$A95,T_SelfStock[WeekIndex],58)&gt;0)*(COUNTIFS(T_TTAFStock[RM_Code],$A95,T_TTAFStock[WeekIndex],58)&gt;0)&gt;0,SUMIFS(T_SelfStock[Self_Qty],T_SelfStock[RM_Code],$A95,T_SelfStock[WeekIndex],58)+SUMIFS(T_TTAFStock[TTAF_Qty],T_TTAFStock[RM_Code],$A95,T_TTAFStock[WeekIndex],58),BF95+'Grid_Incoming'!BG95-'Grid_Requirement'!BG95))</f>
        <v/>
      </c>
      <c r="BH95">
        <f>IF(COUNTIFS(T_StockCount[RM_Code],$A95,T_StockCount[WeekIndex],59)&gt;0,SUMIFS(T_StockCount[CountedQty],T_StockCount[RM_Code],$A95,T_StockCount[WeekIndex],59),IF((COUNTIFS(T_SelfStock[RM_Code],$A95,T_SelfStock[WeekIndex],59)&gt;0)*(COUNTIFS(T_TTAFStock[RM_Code],$A95,T_TTAFStock[WeekIndex],59)&gt;0)&gt;0,SUMIFS(T_SelfStock[Self_Qty],T_SelfStock[RM_Code],$A95,T_SelfStock[WeekIndex],59)+SUMIFS(T_TTAFStock[TTAF_Qty],T_TTAFStock[RM_Code],$A95,T_TTAFStock[WeekIndex],59),BG95+'Grid_Incoming'!BH95-'Grid_Requirement'!BH95))</f>
        <v/>
      </c>
      <c r="BI95">
        <f>IF(COUNTIFS(T_StockCount[RM_Code],$A95,T_StockCount[WeekIndex],60)&gt;0,SUMIFS(T_StockCount[CountedQty],T_StockCount[RM_Code],$A95,T_StockCount[WeekIndex],60),IF((COUNTIFS(T_SelfStock[RM_Code],$A95,T_SelfStock[WeekIndex],60)&gt;0)*(COUNTIFS(T_TTAFStock[RM_Code],$A95,T_TTAFStock[WeekIndex],60)&gt;0)&gt;0,SUMIFS(T_SelfStock[Self_Qty],T_SelfStock[RM_Code],$A95,T_SelfStock[WeekIndex],60)+SUMIFS(T_TTAFStock[TTAF_Qty],T_TTAFStock[RM_Code],$A95,T_TTAFStock[WeekIndex],60),BH95+'Grid_Incoming'!BI95-'Grid_Requirement'!BI95))</f>
        <v/>
      </c>
      <c r="BJ95">
        <f>IF(COUNTIFS(T_StockCount[RM_Code],$A95,T_StockCount[WeekIndex],61)&gt;0,SUMIFS(T_StockCount[CountedQty],T_StockCount[RM_Code],$A95,T_StockCount[WeekIndex],61),IF((COUNTIFS(T_SelfStock[RM_Code],$A95,T_SelfStock[WeekIndex],61)&gt;0)*(COUNTIFS(T_TTAFStock[RM_Code],$A95,T_TTAFStock[WeekIndex],61)&gt;0)&gt;0,SUMIFS(T_SelfStock[Self_Qty],T_SelfStock[RM_Code],$A95,T_SelfStock[WeekIndex],61)+SUMIFS(T_TTAFStock[TTAF_Qty],T_TTAFStock[RM_Code],$A95,T_TTAFStock[WeekIndex],61),BI95+'Grid_Incoming'!BJ95-'Grid_Requirement'!BJ95))</f>
        <v/>
      </c>
      <c r="BK95">
        <f>IF(COUNTIFS(T_StockCount[RM_Code],$A95,T_StockCount[WeekIndex],62)&gt;0,SUMIFS(T_StockCount[CountedQty],T_StockCount[RM_Code],$A95,T_StockCount[WeekIndex],62),IF((COUNTIFS(T_SelfStock[RM_Code],$A95,T_SelfStock[WeekIndex],62)&gt;0)*(COUNTIFS(T_TTAFStock[RM_Code],$A95,T_TTAFStock[WeekIndex],62)&gt;0)&gt;0,SUMIFS(T_SelfStock[Self_Qty],T_SelfStock[RM_Code],$A95,T_SelfStock[WeekIndex],62)+SUMIFS(T_TTAFStock[TTAF_Qty],T_TTAFStock[RM_Code],$A95,T_TTAFStock[WeekIndex],62),BJ95+'Grid_Incoming'!BK95-'Grid_Requirement'!BK95))</f>
        <v/>
      </c>
      <c r="BL95">
        <f>IF(COUNTIFS(T_StockCount[RM_Code],$A95,T_StockCount[WeekIndex],63)&gt;0,SUMIFS(T_StockCount[CountedQty],T_StockCount[RM_Code],$A95,T_StockCount[WeekIndex],63),IF((COUNTIFS(T_SelfStock[RM_Code],$A95,T_SelfStock[WeekIndex],63)&gt;0)*(COUNTIFS(T_TTAFStock[RM_Code],$A95,T_TTAFStock[WeekIndex],63)&gt;0)&gt;0,SUMIFS(T_SelfStock[Self_Qty],T_SelfStock[RM_Code],$A95,T_SelfStock[WeekIndex],63)+SUMIFS(T_TTAFStock[TTAF_Qty],T_TTAFStock[RM_Code],$A95,T_TTAFStock[WeekIndex],63),BK95+'Grid_Incoming'!BL95-'Grid_Requirement'!BL95))</f>
        <v/>
      </c>
      <c r="BM95">
        <f>IF(COUNTIFS(T_StockCount[RM_Code],$A95,T_StockCount[WeekIndex],64)&gt;0,SUMIFS(T_StockCount[CountedQty],T_StockCount[RM_Code],$A95,T_StockCount[WeekIndex],64),IF((COUNTIFS(T_SelfStock[RM_Code],$A95,T_SelfStock[WeekIndex],64)&gt;0)*(COUNTIFS(T_TTAFStock[RM_Code],$A95,T_TTAFStock[WeekIndex],64)&gt;0)&gt;0,SUMIFS(T_SelfStock[Self_Qty],T_SelfStock[RM_Code],$A95,T_SelfStock[WeekIndex],64)+SUMIFS(T_TTAFStock[TTAF_Qty],T_TTAFStock[RM_Code],$A95,T_TTAFStock[WeekIndex],64),BL95+'Grid_Incoming'!BM95-'Grid_Requirement'!BM95))</f>
        <v/>
      </c>
      <c r="BN95">
        <f>IF(COUNTIFS(T_StockCount[RM_Code],$A95,T_StockCount[WeekIndex],65)&gt;0,SUMIFS(T_StockCount[CountedQty],T_StockCount[RM_Code],$A95,T_StockCount[WeekIndex],65),IF((COUNTIFS(T_SelfStock[RM_Code],$A95,T_SelfStock[WeekIndex],65)&gt;0)*(COUNTIFS(T_TTAFStock[RM_Code],$A95,T_TTAFStock[WeekIndex],65)&gt;0)&gt;0,SUMIFS(T_SelfStock[Self_Qty],T_SelfStock[RM_Code],$A95,T_SelfStock[WeekIndex],65)+SUMIFS(T_TTAFStock[TTAF_Qty],T_TTAFStock[RM_Code],$A95,T_TTAFStock[WeekIndex],65),BM95+'Grid_Incoming'!BN95-'Grid_Requirement'!BN95))</f>
        <v/>
      </c>
      <c r="BO95">
        <f>IF(COUNTIFS(T_StockCount[RM_Code],$A95,T_StockCount[WeekIndex],66)&gt;0,SUMIFS(T_StockCount[CountedQty],T_StockCount[RM_Code],$A95,T_StockCount[WeekIndex],66),IF((COUNTIFS(T_SelfStock[RM_Code],$A95,T_SelfStock[WeekIndex],66)&gt;0)*(COUNTIFS(T_TTAFStock[RM_Code],$A95,T_TTAFStock[WeekIndex],66)&gt;0)&gt;0,SUMIFS(T_SelfStock[Self_Qty],T_SelfStock[RM_Code],$A95,T_SelfStock[WeekIndex],66)+SUMIFS(T_TTAFStock[TTAF_Qty],T_TTAFStock[RM_Code],$A95,T_TTAFStock[WeekIndex],66),BN95+'Grid_Incoming'!BO95-'Grid_Requirement'!BO95))</f>
        <v/>
      </c>
      <c r="BP95">
        <f>IF(COUNTIFS(T_StockCount[RM_Code],$A95,T_StockCount[WeekIndex],67)&gt;0,SUMIFS(T_StockCount[CountedQty],T_StockCount[RM_Code],$A95,T_StockCount[WeekIndex],67),IF((COUNTIFS(T_SelfStock[RM_Code],$A95,T_SelfStock[WeekIndex],67)&gt;0)*(COUNTIFS(T_TTAFStock[RM_Code],$A95,T_TTAFStock[WeekIndex],67)&gt;0)&gt;0,SUMIFS(T_SelfStock[Self_Qty],T_SelfStock[RM_Code],$A95,T_SelfStock[WeekIndex],67)+SUMIFS(T_TTAFStock[TTAF_Qty],T_TTAFStock[RM_Code],$A95,T_TTAFStock[WeekIndex],67),BO95+'Grid_Incoming'!BP95-'Grid_Requirement'!BP95))</f>
        <v/>
      </c>
      <c r="BQ95">
        <f>IF(COUNTIFS(T_StockCount[RM_Code],$A95,T_StockCount[WeekIndex],68)&gt;0,SUMIFS(T_StockCount[CountedQty],T_StockCount[RM_Code],$A95,T_StockCount[WeekIndex],68),IF((COUNTIFS(T_SelfStock[RM_Code],$A95,T_SelfStock[WeekIndex],68)&gt;0)*(COUNTIFS(T_TTAFStock[RM_Code],$A95,T_TTAFStock[WeekIndex],68)&gt;0)&gt;0,SUMIFS(T_SelfStock[Self_Qty],T_SelfStock[RM_Code],$A95,T_SelfStock[WeekIndex],68)+SUMIFS(T_TTAFStock[TTAF_Qty],T_TTAFStock[RM_Code],$A95,T_TTAFStock[WeekIndex],68),BP95+'Grid_Incoming'!BQ95-'Grid_Requirement'!BQ95))</f>
        <v/>
      </c>
      <c r="BR95">
        <f>IF(COUNTIFS(T_StockCount[RM_Code],$A95,T_StockCount[WeekIndex],69)&gt;0,SUMIFS(T_StockCount[CountedQty],T_StockCount[RM_Code],$A95,T_StockCount[WeekIndex],69),IF((COUNTIFS(T_SelfStock[RM_Code],$A95,T_SelfStock[WeekIndex],69)&gt;0)*(COUNTIFS(T_TTAFStock[RM_Code],$A95,T_TTAFStock[WeekIndex],69)&gt;0)&gt;0,SUMIFS(T_SelfStock[Self_Qty],T_SelfStock[RM_Code],$A95,T_SelfStock[WeekIndex],69)+SUMIFS(T_TTAFStock[TTAF_Qty],T_TTAFStock[RM_Code],$A95,T_TTAFStock[WeekIndex],69),BQ95+'Grid_Incoming'!BR95-'Grid_Requirement'!BR95))</f>
        <v/>
      </c>
      <c r="BS95">
        <f>IF(COUNTIFS(T_StockCount[RM_Code],$A95,T_StockCount[WeekIndex],70)&gt;0,SUMIFS(T_StockCount[CountedQty],T_StockCount[RM_Code],$A95,T_StockCount[WeekIndex],70),IF((COUNTIFS(T_SelfStock[RM_Code],$A95,T_SelfStock[WeekIndex],70)&gt;0)*(COUNTIFS(T_TTAFStock[RM_Code],$A95,T_TTAFStock[WeekIndex],70)&gt;0)&gt;0,SUMIFS(T_SelfStock[Self_Qty],T_SelfStock[RM_Code],$A95,T_SelfStock[WeekIndex],70)+SUMIFS(T_TTAFStock[TTAF_Qty],T_TTAFStock[RM_Code],$A95,T_TTAFStock[WeekIndex],70),BR95+'Grid_Incoming'!BS95-'Grid_Requirement'!BS95))</f>
        <v/>
      </c>
      <c r="BT95">
        <f>IF(COUNTIFS(T_StockCount[RM_Code],$A95,T_StockCount[WeekIndex],71)&gt;0,SUMIFS(T_StockCount[CountedQty],T_StockCount[RM_Code],$A95,T_StockCount[WeekIndex],71),IF((COUNTIFS(T_SelfStock[RM_Code],$A95,T_SelfStock[WeekIndex],71)&gt;0)*(COUNTIFS(T_TTAFStock[RM_Code],$A95,T_TTAFStock[WeekIndex],71)&gt;0)&gt;0,SUMIFS(T_SelfStock[Self_Qty],T_SelfStock[RM_Code],$A95,T_SelfStock[WeekIndex],71)+SUMIFS(T_TTAFStock[TTAF_Qty],T_TTAFStock[RM_Code],$A95,T_TTAFStock[WeekIndex],71),BS95+'Grid_Incoming'!BT95-'Grid_Requirement'!BT95))</f>
        <v/>
      </c>
      <c r="BU95">
        <f>IF(COUNTIFS(T_StockCount[RM_Code],$A95,T_StockCount[WeekIndex],72)&gt;0,SUMIFS(T_StockCount[CountedQty],T_StockCount[RM_Code],$A95,T_StockCount[WeekIndex],72),IF((COUNTIFS(T_SelfStock[RM_Code],$A95,T_SelfStock[WeekIndex],72)&gt;0)*(COUNTIFS(T_TTAFStock[RM_Code],$A95,T_TTAFStock[WeekIndex],72)&gt;0)&gt;0,SUMIFS(T_SelfStock[Self_Qty],T_SelfStock[RM_Code],$A95,T_SelfStock[WeekIndex],72)+SUMIFS(T_TTAFStock[TTAF_Qty],T_TTAFStock[RM_Code],$A95,T_TTAFStock[WeekIndex],72),BT95+'Grid_Incoming'!BU95-'Grid_Requirement'!BU95))</f>
        <v/>
      </c>
      <c r="BV95">
        <f>IF(COUNTIFS(T_StockCount[RM_Code],$A95,T_StockCount[WeekIndex],73)&gt;0,SUMIFS(T_StockCount[CountedQty],T_StockCount[RM_Code],$A95,T_StockCount[WeekIndex],73),IF((COUNTIFS(T_SelfStock[RM_Code],$A95,T_SelfStock[WeekIndex],73)&gt;0)*(COUNTIFS(T_TTAFStock[RM_Code],$A95,T_TTAFStock[WeekIndex],73)&gt;0)&gt;0,SUMIFS(T_SelfStock[Self_Qty],T_SelfStock[RM_Code],$A95,T_SelfStock[WeekIndex],73)+SUMIFS(T_TTAFStock[TTAF_Qty],T_TTAFStock[RM_Code],$A95,T_TTAFStock[WeekIndex],73),BU95+'Grid_Incoming'!BV95-'Grid_Requirement'!BV95))</f>
        <v/>
      </c>
      <c r="BW95">
        <f>IF(COUNTIFS(T_StockCount[RM_Code],$A95,T_StockCount[WeekIndex],74)&gt;0,SUMIFS(T_StockCount[CountedQty],T_StockCount[RM_Code],$A95,T_StockCount[WeekIndex],74),IF((COUNTIFS(T_SelfStock[RM_Code],$A95,T_SelfStock[WeekIndex],74)&gt;0)*(COUNTIFS(T_TTAFStock[RM_Code],$A95,T_TTAFStock[WeekIndex],74)&gt;0)&gt;0,SUMIFS(T_SelfStock[Self_Qty],T_SelfStock[RM_Code],$A95,T_SelfStock[WeekIndex],74)+SUMIFS(T_TTAFStock[TTAF_Qty],T_TTAFStock[RM_Code],$A95,T_TTAFStock[WeekIndex],74),BV95+'Grid_Incoming'!BW95-'Grid_Requirement'!BW95))</f>
        <v/>
      </c>
      <c r="BX95">
        <f>IF(COUNTIFS(T_StockCount[RM_Code],$A95,T_StockCount[WeekIndex],75)&gt;0,SUMIFS(T_StockCount[CountedQty],T_StockCount[RM_Code],$A95,T_StockCount[WeekIndex],75),IF((COUNTIFS(T_SelfStock[RM_Code],$A95,T_SelfStock[WeekIndex],75)&gt;0)*(COUNTIFS(T_TTAFStock[RM_Code],$A95,T_TTAFStock[WeekIndex],75)&gt;0)&gt;0,SUMIFS(T_SelfStock[Self_Qty],T_SelfStock[RM_Code],$A95,T_SelfStock[WeekIndex],75)+SUMIFS(T_TTAFStock[TTAF_Qty],T_TTAFStock[RM_Code],$A95,T_TTAFStock[WeekIndex],75),BW95+'Grid_Incoming'!BX95-'Grid_Requirement'!BX95))</f>
        <v/>
      </c>
      <c r="BY95">
        <f>IF(COUNTIFS(T_StockCount[RM_Code],$A95,T_StockCount[WeekIndex],76)&gt;0,SUMIFS(T_StockCount[CountedQty],T_StockCount[RM_Code],$A95,T_StockCount[WeekIndex],76),IF((COUNTIFS(T_SelfStock[RM_Code],$A95,T_SelfStock[WeekIndex],76)&gt;0)*(COUNTIFS(T_TTAFStock[RM_Code],$A95,T_TTAFStock[WeekIndex],76)&gt;0)&gt;0,SUMIFS(T_SelfStock[Self_Qty],T_SelfStock[RM_Code],$A95,T_SelfStock[WeekIndex],76)+SUMIFS(T_TTAFStock[TTAF_Qty],T_TTAFStock[RM_Code],$A95,T_TTAFStock[WeekIndex],76),BX95+'Grid_Incoming'!BY95-'Grid_Requirement'!BY95))</f>
        <v/>
      </c>
      <c r="BZ95">
        <f>IF(COUNTIFS(T_StockCount[RM_Code],$A95,T_StockCount[WeekIndex],77)&gt;0,SUMIFS(T_StockCount[CountedQty],T_StockCount[RM_Code],$A95,T_StockCount[WeekIndex],77),IF((COUNTIFS(T_SelfStock[RM_Code],$A95,T_SelfStock[WeekIndex],77)&gt;0)*(COUNTIFS(T_TTAFStock[RM_Code],$A95,T_TTAFStock[WeekIndex],77)&gt;0)&gt;0,SUMIFS(T_SelfStock[Self_Qty],T_SelfStock[RM_Code],$A95,T_SelfStock[WeekIndex],77)+SUMIFS(T_TTAFStock[TTAF_Qty],T_TTAFStock[RM_Code],$A95,T_TTAFStock[WeekIndex],77),BY95+'Grid_Incoming'!BZ95-'Grid_Requirement'!BZ95))</f>
        <v/>
      </c>
      <c r="CA95">
        <f>IF(COUNTIFS(T_StockCount[RM_Code],$A95,T_StockCount[WeekIndex],78)&gt;0,SUMIFS(T_StockCount[CountedQty],T_StockCount[RM_Code],$A95,T_StockCount[WeekIndex],78),IF((COUNTIFS(T_SelfStock[RM_Code],$A95,T_SelfStock[WeekIndex],78)&gt;0)*(COUNTIFS(T_TTAFStock[RM_Code],$A95,T_TTAFStock[WeekIndex],78)&gt;0)&gt;0,SUMIFS(T_SelfStock[Self_Qty],T_SelfStock[RM_Code],$A95,T_SelfStock[WeekIndex],78)+SUMIFS(T_TTAFStock[TTAF_Qty],T_TTAFStock[RM_Code],$A95,T_TTAFStock[WeekIndex],78),BZ95+'Grid_Incoming'!CA95-'Grid_Requirement'!CA95))</f>
        <v/>
      </c>
      <c r="CB95">
        <f>IF(COUNTIFS(T_StockCount[RM_Code],$A95,T_StockCount[WeekIndex],79)&gt;0,SUMIFS(T_StockCount[CountedQty],T_StockCount[RM_Code],$A95,T_StockCount[WeekIndex],79),IF((COUNTIFS(T_SelfStock[RM_Code],$A95,T_SelfStock[WeekIndex],79)&gt;0)*(COUNTIFS(T_TTAFStock[RM_Code],$A95,T_TTAFStock[WeekIndex],79)&gt;0)&gt;0,SUMIFS(T_SelfStock[Self_Qty],T_SelfStock[RM_Code],$A95,T_SelfStock[WeekIndex],79)+SUMIFS(T_TTAFStock[TTAF_Qty],T_TTAFStock[RM_Code],$A95,T_TTAFStock[WeekIndex],79),CA95+'Grid_Incoming'!CB95-'Grid_Requirement'!CB95))</f>
        <v/>
      </c>
      <c r="CC95">
        <f>IF(COUNTIFS(T_StockCount[RM_Code],$A95,T_StockCount[WeekIndex],80)&gt;0,SUMIFS(T_StockCount[CountedQty],T_StockCount[RM_Code],$A95,T_StockCount[WeekIndex],80),IF((COUNTIFS(T_SelfStock[RM_Code],$A95,T_SelfStock[WeekIndex],80)&gt;0)*(COUNTIFS(T_TTAFStock[RM_Code],$A95,T_TTAFStock[WeekIndex],80)&gt;0)&gt;0,SUMIFS(T_SelfStock[Self_Qty],T_SelfStock[RM_Code],$A95,T_SelfStock[WeekIndex],80)+SUMIFS(T_TTAFStock[TTAF_Qty],T_TTAFStock[RM_Code],$A95,T_TTAFStock[WeekIndex],80),CB95+'Grid_Incoming'!CC95-'Grid_Requirement'!CC95))</f>
        <v/>
      </c>
      <c r="CD95">
        <f>IF(COUNTIFS(T_StockCount[RM_Code],$A95,T_StockCount[WeekIndex],81)&gt;0,SUMIFS(T_StockCount[CountedQty],T_StockCount[RM_Code],$A95,T_StockCount[WeekIndex],81),IF((COUNTIFS(T_SelfStock[RM_Code],$A95,T_SelfStock[WeekIndex],81)&gt;0)*(COUNTIFS(T_TTAFStock[RM_Code],$A95,T_TTAFStock[WeekIndex],81)&gt;0)&gt;0,SUMIFS(T_SelfStock[Self_Qty],T_SelfStock[RM_Code],$A95,T_SelfStock[WeekIndex],81)+SUMIFS(T_TTAFStock[TTAF_Qty],T_TTAFStock[RM_Code],$A95,T_TTAFStock[WeekIndex],81),CC95+'Grid_Incoming'!CD95-'Grid_Requirement'!CD95))</f>
        <v/>
      </c>
      <c r="CE95">
        <f>IF(COUNTIFS(T_StockCount[RM_Code],$A95,T_StockCount[WeekIndex],82)&gt;0,SUMIFS(T_StockCount[CountedQty],T_StockCount[RM_Code],$A95,T_StockCount[WeekIndex],82),IF((COUNTIFS(T_SelfStock[RM_Code],$A95,T_SelfStock[WeekIndex],82)&gt;0)*(COUNTIFS(T_TTAFStock[RM_Code],$A95,T_TTAFStock[WeekIndex],82)&gt;0)&gt;0,SUMIFS(T_SelfStock[Self_Qty],T_SelfStock[RM_Code],$A95,T_SelfStock[WeekIndex],82)+SUMIFS(T_TTAFStock[TTAF_Qty],T_TTAFStock[RM_Code],$A95,T_TTAFStock[WeekIndex],82),CD95+'Grid_Incoming'!CE95-'Grid_Requirement'!CE95))</f>
        <v/>
      </c>
      <c r="CF95">
        <f>IF(COUNTIFS(T_StockCount[RM_Code],$A95,T_StockCount[WeekIndex],83)&gt;0,SUMIFS(T_StockCount[CountedQty],T_StockCount[RM_Code],$A95,T_StockCount[WeekIndex],83),IF((COUNTIFS(T_SelfStock[RM_Code],$A95,T_SelfStock[WeekIndex],83)&gt;0)*(COUNTIFS(T_TTAFStock[RM_Code],$A95,T_TTAFStock[WeekIndex],83)&gt;0)&gt;0,SUMIFS(T_SelfStock[Self_Qty],T_SelfStock[RM_Code],$A95,T_SelfStock[WeekIndex],83)+SUMIFS(T_TTAFStock[TTAF_Qty],T_TTAFStock[RM_Code],$A95,T_TTAFStock[WeekIndex],83),CE95+'Grid_Incoming'!CF95-'Grid_Requirement'!CF95))</f>
        <v/>
      </c>
      <c r="CG95">
        <f>IF(COUNTIFS(T_StockCount[RM_Code],$A95,T_StockCount[WeekIndex],84)&gt;0,SUMIFS(T_StockCount[CountedQty],T_StockCount[RM_Code],$A95,T_StockCount[WeekIndex],84),IF((COUNTIFS(T_SelfStock[RM_Code],$A95,T_SelfStock[WeekIndex],84)&gt;0)*(COUNTIFS(T_TTAFStock[RM_Code],$A95,T_TTAFStock[WeekIndex],84)&gt;0)&gt;0,SUMIFS(T_SelfStock[Self_Qty],T_SelfStock[RM_Code],$A95,T_SelfStock[WeekIndex],84)+SUMIFS(T_TTAFStock[TTAF_Qty],T_TTAFStock[RM_Code],$A95,T_TTAFStock[WeekIndex],84),CF95+'Grid_Incoming'!CG95-'Grid_Requirement'!CG95))</f>
        <v/>
      </c>
      <c r="CH95">
        <f>IF(COUNTIFS(T_StockCount[RM_Code],$A95,T_StockCount[WeekIndex],85)&gt;0,SUMIFS(T_StockCount[CountedQty],T_StockCount[RM_Code],$A95,T_StockCount[WeekIndex],85),IF((COUNTIFS(T_SelfStock[RM_Code],$A95,T_SelfStock[WeekIndex],85)&gt;0)*(COUNTIFS(T_TTAFStock[RM_Code],$A95,T_TTAFStock[WeekIndex],85)&gt;0)&gt;0,SUMIFS(T_SelfStock[Self_Qty],T_SelfStock[RM_Code],$A95,T_SelfStock[WeekIndex],85)+SUMIFS(T_TTAFStock[TTAF_Qty],T_TTAFStock[RM_Code],$A95,T_TTAFStock[WeekIndex],85),CG95+'Grid_Incoming'!CH95-'Grid_Requirement'!CH95))</f>
        <v/>
      </c>
      <c r="CI95">
        <f>IF(COUNTIFS(T_StockCount[RM_Code],$A95,T_StockCount[WeekIndex],86)&gt;0,SUMIFS(T_StockCount[CountedQty],T_StockCount[RM_Code],$A95,T_StockCount[WeekIndex],86),IF((COUNTIFS(T_SelfStock[RM_Code],$A95,T_SelfStock[WeekIndex],86)&gt;0)*(COUNTIFS(T_TTAFStock[RM_Code],$A95,T_TTAFStock[WeekIndex],86)&gt;0)&gt;0,SUMIFS(T_SelfStock[Self_Qty],T_SelfStock[RM_Code],$A95,T_SelfStock[WeekIndex],86)+SUMIFS(T_TTAFStock[TTAF_Qty],T_TTAFStock[RM_Code],$A95,T_TTAFStock[WeekIndex],86),CH95+'Grid_Incoming'!CI95-'Grid_Requirement'!CI95))</f>
        <v/>
      </c>
      <c r="CJ95">
        <f>IF(COUNTIFS(T_StockCount[RM_Code],$A95,T_StockCount[WeekIndex],87)&gt;0,SUMIFS(T_StockCount[CountedQty],T_StockCount[RM_Code],$A95,T_StockCount[WeekIndex],87),IF((COUNTIFS(T_SelfStock[RM_Code],$A95,T_SelfStock[WeekIndex],87)&gt;0)*(COUNTIFS(T_TTAFStock[RM_Code],$A95,T_TTAFStock[WeekIndex],87)&gt;0)&gt;0,SUMIFS(T_SelfStock[Self_Qty],T_SelfStock[RM_Code],$A95,T_SelfStock[WeekIndex],87)+SUMIFS(T_TTAFStock[TTAF_Qty],T_TTAFStock[RM_Code],$A95,T_TTAFStock[WeekIndex],87),CI95+'Grid_Incoming'!CJ95-'Grid_Requirement'!CJ95))</f>
        <v/>
      </c>
      <c r="CK95">
        <f>IF(COUNTIFS(T_StockCount[RM_Code],$A95,T_StockCount[WeekIndex],88)&gt;0,SUMIFS(T_StockCount[CountedQty],T_StockCount[RM_Code],$A95,T_StockCount[WeekIndex],88),IF((COUNTIFS(T_SelfStock[RM_Code],$A95,T_SelfStock[WeekIndex],88)&gt;0)*(COUNTIFS(T_TTAFStock[RM_Code],$A95,T_TTAFStock[WeekIndex],88)&gt;0)&gt;0,SUMIFS(T_SelfStock[Self_Qty],T_SelfStock[RM_Code],$A95,T_SelfStock[WeekIndex],88)+SUMIFS(T_TTAFStock[TTAF_Qty],T_TTAFStock[RM_Code],$A95,T_TTAFStock[WeekIndex],88),CJ95+'Grid_Incoming'!CK95-'Grid_Requirement'!CK95))</f>
        <v/>
      </c>
      <c r="CL95">
        <f>IF(COUNTIFS(T_StockCount[RM_Code],$A95,T_StockCount[WeekIndex],89)&gt;0,SUMIFS(T_StockCount[CountedQty],T_StockCount[RM_Code],$A95,T_StockCount[WeekIndex],89),IF((COUNTIFS(T_SelfStock[RM_Code],$A95,T_SelfStock[WeekIndex],89)&gt;0)*(COUNTIFS(T_TTAFStock[RM_Code],$A95,T_TTAFStock[WeekIndex],89)&gt;0)&gt;0,SUMIFS(T_SelfStock[Self_Qty],T_SelfStock[RM_Code],$A95,T_SelfStock[WeekIndex],89)+SUMIFS(T_TTAFStock[TTAF_Qty],T_TTAFStock[RM_Code],$A95,T_TTAFStock[WeekIndex],89),CK95+'Grid_Incoming'!CL95-'Grid_Requirement'!CL95))</f>
        <v/>
      </c>
      <c r="CM95">
        <f>IF(COUNTIFS(T_StockCount[RM_Code],$A95,T_StockCount[WeekIndex],90)&gt;0,SUMIFS(T_StockCount[CountedQty],T_StockCount[RM_Code],$A95,T_StockCount[WeekIndex],90),IF((COUNTIFS(T_SelfStock[RM_Code],$A95,T_SelfStock[WeekIndex],90)&gt;0)*(COUNTIFS(T_TTAFStock[RM_Code],$A95,T_TTAFStock[WeekIndex],90)&gt;0)&gt;0,SUMIFS(T_SelfStock[Self_Qty],T_SelfStock[RM_Code],$A95,T_SelfStock[WeekIndex],90)+SUMIFS(T_TTAFStock[TTAF_Qty],T_TTAFStock[RM_Code],$A95,T_TTAFStock[WeekIndex],90),CL95+'Grid_Incoming'!CM95-'Grid_Requirement'!CM95))</f>
        <v/>
      </c>
      <c r="CN95">
        <f>IF(COUNTIFS(T_StockCount[RM_Code],$A95,T_StockCount[WeekIndex],91)&gt;0,SUMIFS(T_StockCount[CountedQty],T_StockCount[RM_Code],$A95,T_StockCount[WeekIndex],91),IF((COUNTIFS(T_SelfStock[RM_Code],$A95,T_SelfStock[WeekIndex],91)&gt;0)*(COUNTIFS(T_TTAFStock[RM_Code],$A95,T_TTAFStock[WeekIndex],91)&gt;0)&gt;0,SUMIFS(T_SelfStock[Self_Qty],T_SelfStock[RM_Code],$A95,T_SelfStock[WeekIndex],91)+SUMIFS(T_TTAFStock[TTAF_Qty],T_TTAFStock[RM_Code],$A95,T_TTAFStock[WeekIndex],91),CM95+'Grid_Incoming'!CN95-'Grid_Requirement'!CN95))</f>
        <v/>
      </c>
      <c r="CO95">
        <f>IF(COUNTIFS(T_StockCount[RM_Code],$A95,T_StockCount[WeekIndex],92)&gt;0,SUMIFS(T_StockCount[CountedQty],T_StockCount[RM_Code],$A95,T_StockCount[WeekIndex],92),IF((COUNTIFS(T_SelfStock[RM_Code],$A95,T_SelfStock[WeekIndex],92)&gt;0)*(COUNTIFS(T_TTAFStock[RM_Code],$A95,T_TTAFStock[WeekIndex],92)&gt;0)&gt;0,SUMIFS(T_SelfStock[Self_Qty],T_SelfStock[RM_Code],$A95,T_SelfStock[WeekIndex],92)+SUMIFS(T_TTAFStock[TTAF_Qty],T_TTAFStock[RM_Code],$A95,T_TTAFStock[WeekIndex],92),CN95+'Grid_Incoming'!CO95-'Grid_Requirement'!CO95))</f>
        <v/>
      </c>
      <c r="CP95">
        <f>IF(COUNTIFS(T_StockCount[RM_Code],$A95,T_StockCount[WeekIndex],93)&gt;0,SUMIFS(T_StockCount[CountedQty],T_StockCount[RM_Code],$A95,T_StockCount[WeekIndex],93),IF((COUNTIFS(T_SelfStock[RM_Code],$A95,T_SelfStock[WeekIndex],93)&gt;0)*(COUNTIFS(T_TTAFStock[RM_Code],$A95,T_TTAFStock[WeekIndex],93)&gt;0)&gt;0,SUMIFS(T_SelfStock[Self_Qty],T_SelfStock[RM_Code],$A95,T_SelfStock[WeekIndex],93)+SUMIFS(T_TTAFStock[TTAF_Qty],T_TTAFStock[RM_Code],$A95,T_TTAFStock[WeekIndex],93),CO95+'Grid_Incoming'!CP95-'Grid_Requirement'!CP95))</f>
        <v/>
      </c>
      <c r="CQ95">
        <f>IF(COUNTIFS(T_StockCount[RM_Code],$A95,T_StockCount[WeekIndex],94)&gt;0,SUMIFS(T_StockCount[CountedQty],T_StockCount[RM_Code],$A95,T_StockCount[WeekIndex],94),IF((COUNTIFS(T_SelfStock[RM_Code],$A95,T_SelfStock[WeekIndex],94)&gt;0)*(COUNTIFS(T_TTAFStock[RM_Code],$A95,T_TTAFStock[WeekIndex],94)&gt;0)&gt;0,SUMIFS(T_SelfStock[Self_Qty],T_SelfStock[RM_Code],$A95,T_SelfStock[WeekIndex],94)+SUMIFS(T_TTAFStock[TTAF_Qty],T_TTAFStock[RM_Code],$A95,T_TTAFStock[WeekIndex],94),CP95+'Grid_Incoming'!CQ95-'Grid_Requirement'!CQ95))</f>
        <v/>
      </c>
      <c r="CR95">
        <f>IF(COUNTIFS(T_StockCount[RM_Code],$A95,T_StockCount[WeekIndex],95)&gt;0,SUMIFS(T_StockCount[CountedQty],T_StockCount[RM_Code],$A95,T_StockCount[WeekIndex],95),IF((COUNTIFS(T_SelfStock[RM_Code],$A95,T_SelfStock[WeekIndex],95)&gt;0)*(COUNTIFS(T_TTAFStock[RM_Code],$A95,T_TTAFStock[WeekIndex],95)&gt;0)&gt;0,SUMIFS(T_SelfStock[Self_Qty],T_SelfStock[RM_Code],$A95,T_SelfStock[WeekIndex],95)+SUMIFS(T_TTAFStock[TTAF_Qty],T_TTAFStock[RM_Code],$A95,T_TTAFStock[WeekIndex],95),CQ95+'Grid_Incoming'!CR95-'Grid_Requirement'!CR95))</f>
        <v/>
      </c>
      <c r="CS95">
        <f>IF(COUNTIFS(T_StockCount[RM_Code],$A95,T_StockCount[WeekIndex],96)&gt;0,SUMIFS(T_StockCount[CountedQty],T_StockCount[RM_Code],$A95,T_StockCount[WeekIndex],96),IF((COUNTIFS(T_SelfStock[RM_Code],$A95,T_SelfStock[WeekIndex],96)&gt;0)*(COUNTIFS(T_TTAFStock[RM_Code],$A95,T_TTAFStock[WeekIndex],96)&gt;0)&gt;0,SUMIFS(T_SelfStock[Self_Qty],T_SelfStock[RM_Code],$A95,T_SelfStock[WeekIndex],96)+SUMIFS(T_TTAFStock[TTAF_Qty],T_TTAFStock[RM_Code],$A95,T_TTAFStock[WeekIndex],96),CR95+'Grid_Incoming'!CS95-'Grid_Requirement'!CS95))</f>
        <v/>
      </c>
      <c r="CT95">
        <f>IF(COUNTIFS(T_StockCount[RM_Code],$A95,T_StockCount[WeekIndex],97)&gt;0,SUMIFS(T_StockCount[CountedQty],T_StockCount[RM_Code],$A95,T_StockCount[WeekIndex],97),IF((COUNTIFS(T_SelfStock[RM_Code],$A95,T_SelfStock[WeekIndex],97)&gt;0)*(COUNTIFS(T_TTAFStock[RM_Code],$A95,T_TTAFStock[WeekIndex],97)&gt;0)&gt;0,SUMIFS(T_SelfStock[Self_Qty],T_SelfStock[RM_Code],$A95,T_SelfStock[WeekIndex],97)+SUMIFS(T_TTAFStock[TTAF_Qty],T_TTAFStock[RM_Code],$A95,T_TTAFStock[WeekIndex],97),CS95+'Grid_Incoming'!CT95-'Grid_Requirement'!CT95))</f>
        <v/>
      </c>
      <c r="CU95">
        <f>IF(COUNTIFS(T_StockCount[RM_Code],$A95,T_StockCount[WeekIndex],98)&gt;0,SUMIFS(T_StockCount[CountedQty],T_StockCount[RM_Code],$A95,T_StockCount[WeekIndex],98),IF((COUNTIFS(T_SelfStock[RM_Code],$A95,T_SelfStock[WeekIndex],98)&gt;0)*(COUNTIFS(T_TTAFStock[RM_Code],$A95,T_TTAFStock[WeekIndex],98)&gt;0)&gt;0,SUMIFS(T_SelfStock[Self_Qty],T_SelfStock[RM_Code],$A95,T_SelfStock[WeekIndex],98)+SUMIFS(T_TTAFStock[TTAF_Qty],T_TTAFStock[RM_Code],$A95,T_TTAFStock[WeekIndex],98),CT95+'Grid_Incoming'!CU95-'Grid_Requirement'!CU95))</f>
        <v/>
      </c>
      <c r="CV95">
        <f>IF(COUNTIFS(T_StockCount[RM_Code],$A95,T_StockCount[WeekIndex],99)&gt;0,SUMIFS(T_StockCount[CountedQty],T_StockCount[RM_Code],$A95,T_StockCount[WeekIndex],99),IF((COUNTIFS(T_SelfStock[RM_Code],$A95,T_SelfStock[WeekIndex],99)&gt;0)*(COUNTIFS(T_TTAFStock[RM_Code],$A95,T_TTAFStock[WeekIndex],99)&gt;0)&gt;0,SUMIFS(T_SelfStock[Self_Qty],T_SelfStock[RM_Code],$A95,T_SelfStock[WeekIndex],99)+SUMIFS(T_TTAFStock[TTAF_Qty],T_TTAFStock[RM_Code],$A95,T_TTAFStock[WeekIndex],99),CU95+'Grid_Incoming'!CV95-'Grid_Requirement'!CV95))</f>
        <v/>
      </c>
      <c r="CW95">
        <f>IF(COUNTIFS(T_StockCount[RM_Code],$A95,T_StockCount[WeekIndex],100)&gt;0,SUMIFS(T_StockCount[CountedQty],T_StockCount[RM_Code],$A95,T_StockCount[WeekIndex],100),IF((COUNTIFS(T_SelfStock[RM_Code],$A95,T_SelfStock[WeekIndex],100)&gt;0)*(COUNTIFS(T_TTAFStock[RM_Code],$A95,T_TTAFStock[WeekIndex],100)&gt;0)&gt;0,SUMIFS(T_SelfStock[Self_Qty],T_SelfStock[RM_Code],$A95,T_SelfStock[WeekIndex],100)+SUMIFS(T_TTAFStock[TTAF_Qty],T_TTAFStock[RM_Code],$A95,T_TTAFStock[WeekIndex],100),CV95+'Grid_Incoming'!CW95-'Grid_Requirement'!CW95))</f>
        <v/>
      </c>
      <c r="CX95">
        <f>IF(COUNTIFS(T_StockCount[RM_Code],$A95,T_StockCount[WeekIndex],101)&gt;0,SUMIFS(T_StockCount[CountedQty],T_StockCount[RM_Code],$A95,T_StockCount[WeekIndex],101),IF((COUNTIFS(T_SelfStock[RM_Code],$A95,T_SelfStock[WeekIndex],101)&gt;0)*(COUNTIFS(T_TTAFStock[RM_Code],$A95,T_TTAFStock[WeekIndex],101)&gt;0)&gt;0,SUMIFS(T_SelfStock[Self_Qty],T_SelfStock[RM_Code],$A95,T_SelfStock[WeekIndex],101)+SUMIFS(T_TTAFStock[TTAF_Qty],T_TTAFStock[RM_Code],$A95,T_TTAFStock[WeekIndex],101),CW95+'Grid_Incoming'!CX95-'Grid_Requirement'!CX95))</f>
        <v/>
      </c>
      <c r="CY95">
        <f>IF(COUNTIFS(T_StockCount[RM_Code],$A95,T_StockCount[WeekIndex],102)&gt;0,SUMIFS(T_StockCount[CountedQty],T_StockCount[RM_Code],$A95,T_StockCount[WeekIndex],102),IF((COUNTIFS(T_SelfStock[RM_Code],$A95,T_SelfStock[WeekIndex],102)&gt;0)*(COUNTIFS(T_TTAFStock[RM_Code],$A95,T_TTAFStock[WeekIndex],102)&gt;0)&gt;0,SUMIFS(T_SelfStock[Self_Qty],T_SelfStock[RM_Code],$A95,T_SelfStock[WeekIndex],102)+SUMIFS(T_TTAFStock[TTAF_Qty],T_TTAFStock[RM_Code],$A95,T_TTAFStock[WeekIndex],102),CX95+'Grid_Incoming'!CY95-'Grid_Requirement'!CY95))</f>
        <v/>
      </c>
      <c r="CZ95">
        <f>IF(COUNTIFS(T_StockCount[RM_Code],$A95,T_StockCount[WeekIndex],103)&gt;0,SUMIFS(T_StockCount[CountedQty],T_StockCount[RM_Code],$A95,T_StockCount[WeekIndex],103),IF((COUNTIFS(T_SelfStock[RM_Code],$A95,T_SelfStock[WeekIndex],103)&gt;0)*(COUNTIFS(T_TTAFStock[RM_Code],$A95,T_TTAFStock[WeekIndex],103)&gt;0)&gt;0,SUMIFS(T_SelfStock[Self_Qty],T_SelfStock[RM_Code],$A95,T_SelfStock[WeekIndex],103)+SUMIFS(T_TTAFStock[TTAF_Qty],T_TTAFStock[RM_Code],$A95,T_TTAFStock[WeekIndex],103),CY95+'Grid_Incoming'!CZ95-'Grid_Requirement'!CZ95))</f>
        <v/>
      </c>
      <c r="DA95">
        <f>IF(COUNTIFS(T_StockCount[RM_Code],$A95,T_StockCount[WeekIndex],104)&gt;0,SUMIFS(T_StockCount[CountedQty],T_StockCount[RM_Code],$A95,T_StockCount[WeekIndex],104),IF((COUNTIFS(T_SelfStock[RM_Code],$A95,T_SelfStock[WeekIndex],104)&gt;0)*(COUNTIFS(T_TTAFStock[RM_Code],$A95,T_TTAFStock[WeekIndex],104)&gt;0)&gt;0,SUMIFS(T_SelfStock[Self_Qty],T_SelfStock[RM_Code],$A95,T_SelfStock[WeekIndex],104)+SUMIFS(T_TTAFStock[TTAF_Qty],T_TTAFStock[RM_Code],$A95,T_TTAFStock[WeekIndex],104),CZ95+'Grid_Incoming'!DA95-'Grid_Requirement'!DA95))</f>
        <v/>
      </c>
    </row>
    <row r="96">
      <c r="A96" t="inlineStr">
        <is>
          <t>CHEM-1170</t>
        </is>
      </c>
      <c r="B96">
        <f>IF(COUNTIFS(T_StockCount[RM_Code],$A96,T_StockCount[WeekIndex],1)&gt;0,SUMIFS(T_StockCount[CountedQty],T_StockCount[RM_Code],$A96,T_StockCount[WeekIndex],1),IF((COUNTIFS(T_SelfStock[RM_Code],$A96,T_SelfStock[WeekIndex],1)&gt;0)*(COUNTIFS(T_TTAFStock[RM_Code],$A96,T_TTAFStock[WeekIndex],1)&gt;0)&gt;0,SUMIFS(T_SelfStock[Self_Qty],T_SelfStock[RM_Code],$A96,T_SelfStock[WeekIndex],1)+SUMIFS(T_TTAFStock[TTAF_Qty],T_TTAFStock[RM_Code],$A96,T_TTAFStock[WeekIndex],1),IFERROR(INDEX(T_OpeningStock[Opening_Qty],MATCH($A96,T_OpeningStock[RM_Code],0)),0)+'Grid_Incoming'!B96-'Grid_Requirement'!B96))</f>
        <v/>
      </c>
      <c r="C96">
        <f>IF(COUNTIFS(T_StockCount[RM_Code],$A96,T_StockCount[WeekIndex],2)&gt;0,SUMIFS(T_StockCount[CountedQty],T_StockCount[RM_Code],$A96,T_StockCount[WeekIndex],2),IF((COUNTIFS(T_SelfStock[RM_Code],$A96,T_SelfStock[WeekIndex],2)&gt;0)*(COUNTIFS(T_TTAFStock[RM_Code],$A96,T_TTAFStock[WeekIndex],2)&gt;0)&gt;0,SUMIFS(T_SelfStock[Self_Qty],T_SelfStock[RM_Code],$A96,T_SelfStock[WeekIndex],2)+SUMIFS(T_TTAFStock[TTAF_Qty],T_TTAFStock[RM_Code],$A96,T_TTAFStock[WeekIndex],2),B96+'Grid_Incoming'!C96-'Grid_Requirement'!C96))</f>
        <v/>
      </c>
      <c r="D96">
        <f>IF(COUNTIFS(T_StockCount[RM_Code],$A96,T_StockCount[WeekIndex],3)&gt;0,SUMIFS(T_StockCount[CountedQty],T_StockCount[RM_Code],$A96,T_StockCount[WeekIndex],3),IF((COUNTIFS(T_SelfStock[RM_Code],$A96,T_SelfStock[WeekIndex],3)&gt;0)*(COUNTIFS(T_TTAFStock[RM_Code],$A96,T_TTAFStock[WeekIndex],3)&gt;0)&gt;0,SUMIFS(T_SelfStock[Self_Qty],T_SelfStock[RM_Code],$A96,T_SelfStock[WeekIndex],3)+SUMIFS(T_TTAFStock[TTAF_Qty],T_TTAFStock[RM_Code],$A96,T_TTAFStock[WeekIndex],3),C96+'Grid_Incoming'!D96-'Grid_Requirement'!D96))</f>
        <v/>
      </c>
      <c r="E96">
        <f>IF(COUNTIFS(T_StockCount[RM_Code],$A96,T_StockCount[WeekIndex],4)&gt;0,SUMIFS(T_StockCount[CountedQty],T_StockCount[RM_Code],$A96,T_StockCount[WeekIndex],4),IF((COUNTIFS(T_SelfStock[RM_Code],$A96,T_SelfStock[WeekIndex],4)&gt;0)*(COUNTIFS(T_TTAFStock[RM_Code],$A96,T_TTAFStock[WeekIndex],4)&gt;0)&gt;0,SUMIFS(T_SelfStock[Self_Qty],T_SelfStock[RM_Code],$A96,T_SelfStock[WeekIndex],4)+SUMIFS(T_TTAFStock[TTAF_Qty],T_TTAFStock[RM_Code],$A96,T_TTAFStock[WeekIndex],4),D96+'Grid_Incoming'!E96-'Grid_Requirement'!E96))</f>
        <v/>
      </c>
      <c r="F96">
        <f>IF(COUNTIFS(T_StockCount[RM_Code],$A96,T_StockCount[WeekIndex],5)&gt;0,SUMIFS(T_StockCount[CountedQty],T_StockCount[RM_Code],$A96,T_StockCount[WeekIndex],5),IF((COUNTIFS(T_SelfStock[RM_Code],$A96,T_SelfStock[WeekIndex],5)&gt;0)*(COUNTIFS(T_TTAFStock[RM_Code],$A96,T_TTAFStock[WeekIndex],5)&gt;0)&gt;0,SUMIFS(T_SelfStock[Self_Qty],T_SelfStock[RM_Code],$A96,T_SelfStock[WeekIndex],5)+SUMIFS(T_TTAFStock[TTAF_Qty],T_TTAFStock[RM_Code],$A96,T_TTAFStock[WeekIndex],5),E96+'Grid_Incoming'!F96-'Grid_Requirement'!F96))</f>
        <v/>
      </c>
      <c r="G96">
        <f>IF(COUNTIFS(T_StockCount[RM_Code],$A96,T_StockCount[WeekIndex],6)&gt;0,SUMIFS(T_StockCount[CountedQty],T_StockCount[RM_Code],$A96,T_StockCount[WeekIndex],6),IF((COUNTIFS(T_SelfStock[RM_Code],$A96,T_SelfStock[WeekIndex],6)&gt;0)*(COUNTIFS(T_TTAFStock[RM_Code],$A96,T_TTAFStock[WeekIndex],6)&gt;0)&gt;0,SUMIFS(T_SelfStock[Self_Qty],T_SelfStock[RM_Code],$A96,T_SelfStock[WeekIndex],6)+SUMIFS(T_TTAFStock[TTAF_Qty],T_TTAFStock[RM_Code],$A96,T_TTAFStock[WeekIndex],6),F96+'Grid_Incoming'!G96-'Grid_Requirement'!G96))</f>
        <v/>
      </c>
      <c r="H96">
        <f>IF(COUNTIFS(T_StockCount[RM_Code],$A96,T_StockCount[WeekIndex],7)&gt;0,SUMIFS(T_StockCount[CountedQty],T_StockCount[RM_Code],$A96,T_StockCount[WeekIndex],7),IF((COUNTIFS(T_SelfStock[RM_Code],$A96,T_SelfStock[WeekIndex],7)&gt;0)*(COUNTIFS(T_TTAFStock[RM_Code],$A96,T_TTAFStock[WeekIndex],7)&gt;0)&gt;0,SUMIFS(T_SelfStock[Self_Qty],T_SelfStock[RM_Code],$A96,T_SelfStock[WeekIndex],7)+SUMIFS(T_TTAFStock[TTAF_Qty],T_TTAFStock[RM_Code],$A96,T_TTAFStock[WeekIndex],7),G96+'Grid_Incoming'!H96-'Grid_Requirement'!H96))</f>
        <v/>
      </c>
      <c r="I96">
        <f>IF(COUNTIFS(T_StockCount[RM_Code],$A96,T_StockCount[WeekIndex],8)&gt;0,SUMIFS(T_StockCount[CountedQty],T_StockCount[RM_Code],$A96,T_StockCount[WeekIndex],8),IF((COUNTIFS(T_SelfStock[RM_Code],$A96,T_SelfStock[WeekIndex],8)&gt;0)*(COUNTIFS(T_TTAFStock[RM_Code],$A96,T_TTAFStock[WeekIndex],8)&gt;0)&gt;0,SUMIFS(T_SelfStock[Self_Qty],T_SelfStock[RM_Code],$A96,T_SelfStock[WeekIndex],8)+SUMIFS(T_TTAFStock[TTAF_Qty],T_TTAFStock[RM_Code],$A96,T_TTAFStock[WeekIndex],8),H96+'Grid_Incoming'!I96-'Grid_Requirement'!I96))</f>
        <v/>
      </c>
      <c r="J96">
        <f>IF(COUNTIFS(T_StockCount[RM_Code],$A96,T_StockCount[WeekIndex],9)&gt;0,SUMIFS(T_StockCount[CountedQty],T_StockCount[RM_Code],$A96,T_StockCount[WeekIndex],9),IF((COUNTIFS(T_SelfStock[RM_Code],$A96,T_SelfStock[WeekIndex],9)&gt;0)*(COUNTIFS(T_TTAFStock[RM_Code],$A96,T_TTAFStock[WeekIndex],9)&gt;0)&gt;0,SUMIFS(T_SelfStock[Self_Qty],T_SelfStock[RM_Code],$A96,T_SelfStock[WeekIndex],9)+SUMIFS(T_TTAFStock[TTAF_Qty],T_TTAFStock[RM_Code],$A96,T_TTAFStock[WeekIndex],9),I96+'Grid_Incoming'!J96-'Grid_Requirement'!J96))</f>
        <v/>
      </c>
      <c r="K96">
        <f>IF(COUNTIFS(T_StockCount[RM_Code],$A96,T_StockCount[WeekIndex],10)&gt;0,SUMIFS(T_StockCount[CountedQty],T_StockCount[RM_Code],$A96,T_StockCount[WeekIndex],10),IF((COUNTIFS(T_SelfStock[RM_Code],$A96,T_SelfStock[WeekIndex],10)&gt;0)*(COUNTIFS(T_TTAFStock[RM_Code],$A96,T_TTAFStock[WeekIndex],10)&gt;0)&gt;0,SUMIFS(T_SelfStock[Self_Qty],T_SelfStock[RM_Code],$A96,T_SelfStock[WeekIndex],10)+SUMIFS(T_TTAFStock[TTAF_Qty],T_TTAFStock[RM_Code],$A96,T_TTAFStock[WeekIndex],10),J96+'Grid_Incoming'!K96-'Grid_Requirement'!K96))</f>
        <v/>
      </c>
      <c r="L96">
        <f>IF(COUNTIFS(T_StockCount[RM_Code],$A96,T_StockCount[WeekIndex],11)&gt;0,SUMIFS(T_StockCount[CountedQty],T_StockCount[RM_Code],$A96,T_StockCount[WeekIndex],11),IF((COUNTIFS(T_SelfStock[RM_Code],$A96,T_SelfStock[WeekIndex],11)&gt;0)*(COUNTIFS(T_TTAFStock[RM_Code],$A96,T_TTAFStock[WeekIndex],11)&gt;0)&gt;0,SUMIFS(T_SelfStock[Self_Qty],T_SelfStock[RM_Code],$A96,T_SelfStock[WeekIndex],11)+SUMIFS(T_TTAFStock[TTAF_Qty],T_TTAFStock[RM_Code],$A96,T_TTAFStock[WeekIndex],11),K96+'Grid_Incoming'!L96-'Grid_Requirement'!L96))</f>
        <v/>
      </c>
      <c r="M96">
        <f>IF(COUNTIFS(T_StockCount[RM_Code],$A96,T_StockCount[WeekIndex],12)&gt;0,SUMIFS(T_StockCount[CountedQty],T_StockCount[RM_Code],$A96,T_StockCount[WeekIndex],12),IF((COUNTIFS(T_SelfStock[RM_Code],$A96,T_SelfStock[WeekIndex],12)&gt;0)*(COUNTIFS(T_TTAFStock[RM_Code],$A96,T_TTAFStock[WeekIndex],12)&gt;0)&gt;0,SUMIFS(T_SelfStock[Self_Qty],T_SelfStock[RM_Code],$A96,T_SelfStock[WeekIndex],12)+SUMIFS(T_TTAFStock[TTAF_Qty],T_TTAFStock[RM_Code],$A96,T_TTAFStock[WeekIndex],12),L96+'Grid_Incoming'!M96-'Grid_Requirement'!M96))</f>
        <v/>
      </c>
      <c r="N96">
        <f>IF(COUNTIFS(T_StockCount[RM_Code],$A96,T_StockCount[WeekIndex],13)&gt;0,SUMIFS(T_StockCount[CountedQty],T_StockCount[RM_Code],$A96,T_StockCount[WeekIndex],13),IF((COUNTIFS(T_SelfStock[RM_Code],$A96,T_SelfStock[WeekIndex],13)&gt;0)*(COUNTIFS(T_TTAFStock[RM_Code],$A96,T_TTAFStock[WeekIndex],13)&gt;0)&gt;0,SUMIFS(T_SelfStock[Self_Qty],T_SelfStock[RM_Code],$A96,T_SelfStock[WeekIndex],13)+SUMIFS(T_TTAFStock[TTAF_Qty],T_TTAFStock[RM_Code],$A96,T_TTAFStock[WeekIndex],13),M96+'Grid_Incoming'!N96-'Grid_Requirement'!N96))</f>
        <v/>
      </c>
      <c r="O96">
        <f>IF(COUNTIFS(T_StockCount[RM_Code],$A96,T_StockCount[WeekIndex],14)&gt;0,SUMIFS(T_StockCount[CountedQty],T_StockCount[RM_Code],$A96,T_StockCount[WeekIndex],14),IF((COUNTIFS(T_SelfStock[RM_Code],$A96,T_SelfStock[WeekIndex],14)&gt;0)*(COUNTIFS(T_TTAFStock[RM_Code],$A96,T_TTAFStock[WeekIndex],14)&gt;0)&gt;0,SUMIFS(T_SelfStock[Self_Qty],T_SelfStock[RM_Code],$A96,T_SelfStock[WeekIndex],14)+SUMIFS(T_TTAFStock[TTAF_Qty],T_TTAFStock[RM_Code],$A96,T_TTAFStock[WeekIndex],14),N96+'Grid_Incoming'!O96-'Grid_Requirement'!O96))</f>
        <v/>
      </c>
      <c r="P96">
        <f>IF(COUNTIFS(T_StockCount[RM_Code],$A96,T_StockCount[WeekIndex],15)&gt;0,SUMIFS(T_StockCount[CountedQty],T_StockCount[RM_Code],$A96,T_StockCount[WeekIndex],15),IF((COUNTIFS(T_SelfStock[RM_Code],$A96,T_SelfStock[WeekIndex],15)&gt;0)*(COUNTIFS(T_TTAFStock[RM_Code],$A96,T_TTAFStock[WeekIndex],15)&gt;0)&gt;0,SUMIFS(T_SelfStock[Self_Qty],T_SelfStock[RM_Code],$A96,T_SelfStock[WeekIndex],15)+SUMIFS(T_TTAFStock[TTAF_Qty],T_TTAFStock[RM_Code],$A96,T_TTAFStock[WeekIndex],15),O96+'Grid_Incoming'!P96-'Grid_Requirement'!P96))</f>
        <v/>
      </c>
      <c r="Q96">
        <f>IF(COUNTIFS(T_StockCount[RM_Code],$A96,T_StockCount[WeekIndex],16)&gt;0,SUMIFS(T_StockCount[CountedQty],T_StockCount[RM_Code],$A96,T_StockCount[WeekIndex],16),IF((COUNTIFS(T_SelfStock[RM_Code],$A96,T_SelfStock[WeekIndex],16)&gt;0)*(COUNTIFS(T_TTAFStock[RM_Code],$A96,T_TTAFStock[WeekIndex],16)&gt;0)&gt;0,SUMIFS(T_SelfStock[Self_Qty],T_SelfStock[RM_Code],$A96,T_SelfStock[WeekIndex],16)+SUMIFS(T_TTAFStock[TTAF_Qty],T_TTAFStock[RM_Code],$A96,T_TTAFStock[WeekIndex],16),P96+'Grid_Incoming'!Q96-'Grid_Requirement'!Q96))</f>
        <v/>
      </c>
      <c r="R96">
        <f>IF(COUNTIFS(T_StockCount[RM_Code],$A96,T_StockCount[WeekIndex],17)&gt;0,SUMIFS(T_StockCount[CountedQty],T_StockCount[RM_Code],$A96,T_StockCount[WeekIndex],17),IF((COUNTIFS(T_SelfStock[RM_Code],$A96,T_SelfStock[WeekIndex],17)&gt;0)*(COUNTIFS(T_TTAFStock[RM_Code],$A96,T_TTAFStock[WeekIndex],17)&gt;0)&gt;0,SUMIFS(T_SelfStock[Self_Qty],T_SelfStock[RM_Code],$A96,T_SelfStock[WeekIndex],17)+SUMIFS(T_TTAFStock[TTAF_Qty],T_TTAFStock[RM_Code],$A96,T_TTAFStock[WeekIndex],17),Q96+'Grid_Incoming'!R96-'Grid_Requirement'!R96))</f>
        <v/>
      </c>
      <c r="S96">
        <f>IF(COUNTIFS(T_StockCount[RM_Code],$A96,T_StockCount[WeekIndex],18)&gt;0,SUMIFS(T_StockCount[CountedQty],T_StockCount[RM_Code],$A96,T_StockCount[WeekIndex],18),IF((COUNTIFS(T_SelfStock[RM_Code],$A96,T_SelfStock[WeekIndex],18)&gt;0)*(COUNTIFS(T_TTAFStock[RM_Code],$A96,T_TTAFStock[WeekIndex],18)&gt;0)&gt;0,SUMIFS(T_SelfStock[Self_Qty],T_SelfStock[RM_Code],$A96,T_SelfStock[WeekIndex],18)+SUMIFS(T_TTAFStock[TTAF_Qty],T_TTAFStock[RM_Code],$A96,T_TTAFStock[WeekIndex],18),R96+'Grid_Incoming'!S96-'Grid_Requirement'!S96))</f>
        <v/>
      </c>
      <c r="T96">
        <f>IF(COUNTIFS(T_StockCount[RM_Code],$A96,T_StockCount[WeekIndex],19)&gt;0,SUMIFS(T_StockCount[CountedQty],T_StockCount[RM_Code],$A96,T_StockCount[WeekIndex],19),IF((COUNTIFS(T_SelfStock[RM_Code],$A96,T_SelfStock[WeekIndex],19)&gt;0)*(COUNTIFS(T_TTAFStock[RM_Code],$A96,T_TTAFStock[WeekIndex],19)&gt;0)&gt;0,SUMIFS(T_SelfStock[Self_Qty],T_SelfStock[RM_Code],$A96,T_SelfStock[WeekIndex],19)+SUMIFS(T_TTAFStock[TTAF_Qty],T_TTAFStock[RM_Code],$A96,T_TTAFStock[WeekIndex],19),S96+'Grid_Incoming'!T96-'Grid_Requirement'!T96))</f>
        <v/>
      </c>
      <c r="U96">
        <f>IF(COUNTIFS(T_StockCount[RM_Code],$A96,T_StockCount[WeekIndex],20)&gt;0,SUMIFS(T_StockCount[CountedQty],T_StockCount[RM_Code],$A96,T_StockCount[WeekIndex],20),IF((COUNTIFS(T_SelfStock[RM_Code],$A96,T_SelfStock[WeekIndex],20)&gt;0)*(COUNTIFS(T_TTAFStock[RM_Code],$A96,T_TTAFStock[WeekIndex],20)&gt;0)&gt;0,SUMIFS(T_SelfStock[Self_Qty],T_SelfStock[RM_Code],$A96,T_SelfStock[WeekIndex],20)+SUMIFS(T_TTAFStock[TTAF_Qty],T_TTAFStock[RM_Code],$A96,T_TTAFStock[WeekIndex],20),T96+'Grid_Incoming'!U96-'Grid_Requirement'!U96))</f>
        <v/>
      </c>
      <c r="V96">
        <f>IF(COUNTIFS(T_StockCount[RM_Code],$A96,T_StockCount[WeekIndex],21)&gt;0,SUMIFS(T_StockCount[CountedQty],T_StockCount[RM_Code],$A96,T_StockCount[WeekIndex],21),IF((COUNTIFS(T_SelfStock[RM_Code],$A96,T_SelfStock[WeekIndex],21)&gt;0)*(COUNTIFS(T_TTAFStock[RM_Code],$A96,T_TTAFStock[WeekIndex],21)&gt;0)&gt;0,SUMIFS(T_SelfStock[Self_Qty],T_SelfStock[RM_Code],$A96,T_SelfStock[WeekIndex],21)+SUMIFS(T_TTAFStock[TTAF_Qty],T_TTAFStock[RM_Code],$A96,T_TTAFStock[WeekIndex],21),U96+'Grid_Incoming'!V96-'Grid_Requirement'!V96))</f>
        <v/>
      </c>
      <c r="W96">
        <f>IF(COUNTIFS(T_StockCount[RM_Code],$A96,T_StockCount[WeekIndex],22)&gt;0,SUMIFS(T_StockCount[CountedQty],T_StockCount[RM_Code],$A96,T_StockCount[WeekIndex],22),IF((COUNTIFS(T_SelfStock[RM_Code],$A96,T_SelfStock[WeekIndex],22)&gt;0)*(COUNTIFS(T_TTAFStock[RM_Code],$A96,T_TTAFStock[WeekIndex],22)&gt;0)&gt;0,SUMIFS(T_SelfStock[Self_Qty],T_SelfStock[RM_Code],$A96,T_SelfStock[WeekIndex],22)+SUMIFS(T_TTAFStock[TTAF_Qty],T_TTAFStock[RM_Code],$A96,T_TTAFStock[WeekIndex],22),V96+'Grid_Incoming'!W96-'Grid_Requirement'!W96))</f>
        <v/>
      </c>
      <c r="X96">
        <f>IF(COUNTIFS(T_StockCount[RM_Code],$A96,T_StockCount[WeekIndex],23)&gt;0,SUMIFS(T_StockCount[CountedQty],T_StockCount[RM_Code],$A96,T_StockCount[WeekIndex],23),IF((COUNTIFS(T_SelfStock[RM_Code],$A96,T_SelfStock[WeekIndex],23)&gt;0)*(COUNTIFS(T_TTAFStock[RM_Code],$A96,T_TTAFStock[WeekIndex],23)&gt;0)&gt;0,SUMIFS(T_SelfStock[Self_Qty],T_SelfStock[RM_Code],$A96,T_SelfStock[WeekIndex],23)+SUMIFS(T_TTAFStock[TTAF_Qty],T_TTAFStock[RM_Code],$A96,T_TTAFStock[WeekIndex],23),W96+'Grid_Incoming'!X96-'Grid_Requirement'!X96))</f>
        <v/>
      </c>
      <c r="Y96">
        <f>IF(COUNTIFS(T_StockCount[RM_Code],$A96,T_StockCount[WeekIndex],24)&gt;0,SUMIFS(T_StockCount[CountedQty],T_StockCount[RM_Code],$A96,T_StockCount[WeekIndex],24),IF((COUNTIFS(T_SelfStock[RM_Code],$A96,T_SelfStock[WeekIndex],24)&gt;0)*(COUNTIFS(T_TTAFStock[RM_Code],$A96,T_TTAFStock[WeekIndex],24)&gt;0)&gt;0,SUMIFS(T_SelfStock[Self_Qty],T_SelfStock[RM_Code],$A96,T_SelfStock[WeekIndex],24)+SUMIFS(T_TTAFStock[TTAF_Qty],T_TTAFStock[RM_Code],$A96,T_TTAFStock[WeekIndex],24),X96+'Grid_Incoming'!Y96-'Grid_Requirement'!Y96))</f>
        <v/>
      </c>
      <c r="Z96">
        <f>IF(COUNTIFS(T_StockCount[RM_Code],$A96,T_StockCount[WeekIndex],25)&gt;0,SUMIFS(T_StockCount[CountedQty],T_StockCount[RM_Code],$A96,T_StockCount[WeekIndex],25),IF((COUNTIFS(T_SelfStock[RM_Code],$A96,T_SelfStock[WeekIndex],25)&gt;0)*(COUNTIFS(T_TTAFStock[RM_Code],$A96,T_TTAFStock[WeekIndex],25)&gt;0)&gt;0,SUMIFS(T_SelfStock[Self_Qty],T_SelfStock[RM_Code],$A96,T_SelfStock[WeekIndex],25)+SUMIFS(T_TTAFStock[TTAF_Qty],T_TTAFStock[RM_Code],$A96,T_TTAFStock[WeekIndex],25),Y96+'Grid_Incoming'!Z96-'Grid_Requirement'!Z96))</f>
        <v/>
      </c>
      <c r="AA96">
        <f>IF(COUNTIFS(T_StockCount[RM_Code],$A96,T_StockCount[WeekIndex],26)&gt;0,SUMIFS(T_StockCount[CountedQty],T_StockCount[RM_Code],$A96,T_StockCount[WeekIndex],26),IF((COUNTIFS(T_SelfStock[RM_Code],$A96,T_SelfStock[WeekIndex],26)&gt;0)*(COUNTIFS(T_TTAFStock[RM_Code],$A96,T_TTAFStock[WeekIndex],26)&gt;0)&gt;0,SUMIFS(T_SelfStock[Self_Qty],T_SelfStock[RM_Code],$A96,T_SelfStock[WeekIndex],26)+SUMIFS(T_TTAFStock[TTAF_Qty],T_TTAFStock[RM_Code],$A96,T_TTAFStock[WeekIndex],26),Z96+'Grid_Incoming'!AA96-'Grid_Requirement'!AA96))</f>
        <v/>
      </c>
      <c r="AB96">
        <f>IF(COUNTIFS(T_StockCount[RM_Code],$A96,T_StockCount[WeekIndex],27)&gt;0,SUMIFS(T_StockCount[CountedQty],T_StockCount[RM_Code],$A96,T_StockCount[WeekIndex],27),IF((COUNTIFS(T_SelfStock[RM_Code],$A96,T_SelfStock[WeekIndex],27)&gt;0)*(COUNTIFS(T_TTAFStock[RM_Code],$A96,T_TTAFStock[WeekIndex],27)&gt;0)&gt;0,SUMIFS(T_SelfStock[Self_Qty],T_SelfStock[RM_Code],$A96,T_SelfStock[WeekIndex],27)+SUMIFS(T_TTAFStock[TTAF_Qty],T_TTAFStock[RM_Code],$A96,T_TTAFStock[WeekIndex],27),AA96+'Grid_Incoming'!AB96-'Grid_Requirement'!AB96))</f>
        <v/>
      </c>
      <c r="AC96">
        <f>IF(COUNTIFS(T_StockCount[RM_Code],$A96,T_StockCount[WeekIndex],28)&gt;0,SUMIFS(T_StockCount[CountedQty],T_StockCount[RM_Code],$A96,T_StockCount[WeekIndex],28),IF((COUNTIFS(T_SelfStock[RM_Code],$A96,T_SelfStock[WeekIndex],28)&gt;0)*(COUNTIFS(T_TTAFStock[RM_Code],$A96,T_TTAFStock[WeekIndex],28)&gt;0)&gt;0,SUMIFS(T_SelfStock[Self_Qty],T_SelfStock[RM_Code],$A96,T_SelfStock[WeekIndex],28)+SUMIFS(T_TTAFStock[TTAF_Qty],T_TTAFStock[RM_Code],$A96,T_TTAFStock[WeekIndex],28),AB96+'Grid_Incoming'!AC96-'Grid_Requirement'!AC96))</f>
        <v/>
      </c>
      <c r="AD96">
        <f>IF(COUNTIFS(T_StockCount[RM_Code],$A96,T_StockCount[WeekIndex],29)&gt;0,SUMIFS(T_StockCount[CountedQty],T_StockCount[RM_Code],$A96,T_StockCount[WeekIndex],29),IF((COUNTIFS(T_SelfStock[RM_Code],$A96,T_SelfStock[WeekIndex],29)&gt;0)*(COUNTIFS(T_TTAFStock[RM_Code],$A96,T_TTAFStock[WeekIndex],29)&gt;0)&gt;0,SUMIFS(T_SelfStock[Self_Qty],T_SelfStock[RM_Code],$A96,T_SelfStock[WeekIndex],29)+SUMIFS(T_TTAFStock[TTAF_Qty],T_TTAFStock[RM_Code],$A96,T_TTAFStock[WeekIndex],29),AC96+'Grid_Incoming'!AD96-'Grid_Requirement'!AD96))</f>
        <v/>
      </c>
      <c r="AE96">
        <f>IF(COUNTIFS(T_StockCount[RM_Code],$A96,T_StockCount[WeekIndex],30)&gt;0,SUMIFS(T_StockCount[CountedQty],T_StockCount[RM_Code],$A96,T_StockCount[WeekIndex],30),IF((COUNTIFS(T_SelfStock[RM_Code],$A96,T_SelfStock[WeekIndex],30)&gt;0)*(COUNTIFS(T_TTAFStock[RM_Code],$A96,T_TTAFStock[WeekIndex],30)&gt;0)&gt;0,SUMIFS(T_SelfStock[Self_Qty],T_SelfStock[RM_Code],$A96,T_SelfStock[WeekIndex],30)+SUMIFS(T_TTAFStock[TTAF_Qty],T_TTAFStock[RM_Code],$A96,T_TTAFStock[WeekIndex],30),AD96+'Grid_Incoming'!AE96-'Grid_Requirement'!AE96))</f>
        <v/>
      </c>
      <c r="AF96">
        <f>IF(COUNTIFS(T_StockCount[RM_Code],$A96,T_StockCount[WeekIndex],31)&gt;0,SUMIFS(T_StockCount[CountedQty],T_StockCount[RM_Code],$A96,T_StockCount[WeekIndex],31),IF((COUNTIFS(T_SelfStock[RM_Code],$A96,T_SelfStock[WeekIndex],31)&gt;0)*(COUNTIFS(T_TTAFStock[RM_Code],$A96,T_TTAFStock[WeekIndex],31)&gt;0)&gt;0,SUMIFS(T_SelfStock[Self_Qty],T_SelfStock[RM_Code],$A96,T_SelfStock[WeekIndex],31)+SUMIFS(T_TTAFStock[TTAF_Qty],T_TTAFStock[RM_Code],$A96,T_TTAFStock[WeekIndex],31),AE96+'Grid_Incoming'!AF96-'Grid_Requirement'!AF96))</f>
        <v/>
      </c>
      <c r="AG96">
        <f>IF(COUNTIFS(T_StockCount[RM_Code],$A96,T_StockCount[WeekIndex],32)&gt;0,SUMIFS(T_StockCount[CountedQty],T_StockCount[RM_Code],$A96,T_StockCount[WeekIndex],32),IF((COUNTIFS(T_SelfStock[RM_Code],$A96,T_SelfStock[WeekIndex],32)&gt;0)*(COUNTIFS(T_TTAFStock[RM_Code],$A96,T_TTAFStock[WeekIndex],32)&gt;0)&gt;0,SUMIFS(T_SelfStock[Self_Qty],T_SelfStock[RM_Code],$A96,T_SelfStock[WeekIndex],32)+SUMIFS(T_TTAFStock[TTAF_Qty],T_TTAFStock[RM_Code],$A96,T_TTAFStock[WeekIndex],32),AF96+'Grid_Incoming'!AG96-'Grid_Requirement'!AG96))</f>
        <v/>
      </c>
      <c r="AH96">
        <f>IF(COUNTIFS(T_StockCount[RM_Code],$A96,T_StockCount[WeekIndex],33)&gt;0,SUMIFS(T_StockCount[CountedQty],T_StockCount[RM_Code],$A96,T_StockCount[WeekIndex],33),IF((COUNTIFS(T_SelfStock[RM_Code],$A96,T_SelfStock[WeekIndex],33)&gt;0)*(COUNTIFS(T_TTAFStock[RM_Code],$A96,T_TTAFStock[WeekIndex],33)&gt;0)&gt;0,SUMIFS(T_SelfStock[Self_Qty],T_SelfStock[RM_Code],$A96,T_SelfStock[WeekIndex],33)+SUMIFS(T_TTAFStock[TTAF_Qty],T_TTAFStock[RM_Code],$A96,T_TTAFStock[WeekIndex],33),AG96+'Grid_Incoming'!AH96-'Grid_Requirement'!AH96))</f>
        <v/>
      </c>
      <c r="AI96">
        <f>IF(COUNTIFS(T_StockCount[RM_Code],$A96,T_StockCount[WeekIndex],34)&gt;0,SUMIFS(T_StockCount[CountedQty],T_StockCount[RM_Code],$A96,T_StockCount[WeekIndex],34),IF((COUNTIFS(T_SelfStock[RM_Code],$A96,T_SelfStock[WeekIndex],34)&gt;0)*(COUNTIFS(T_TTAFStock[RM_Code],$A96,T_TTAFStock[WeekIndex],34)&gt;0)&gt;0,SUMIFS(T_SelfStock[Self_Qty],T_SelfStock[RM_Code],$A96,T_SelfStock[WeekIndex],34)+SUMIFS(T_TTAFStock[TTAF_Qty],T_TTAFStock[RM_Code],$A96,T_TTAFStock[WeekIndex],34),AH96+'Grid_Incoming'!AI96-'Grid_Requirement'!AI96))</f>
        <v/>
      </c>
      <c r="AJ96">
        <f>IF(COUNTIFS(T_StockCount[RM_Code],$A96,T_StockCount[WeekIndex],35)&gt;0,SUMIFS(T_StockCount[CountedQty],T_StockCount[RM_Code],$A96,T_StockCount[WeekIndex],35),IF((COUNTIFS(T_SelfStock[RM_Code],$A96,T_SelfStock[WeekIndex],35)&gt;0)*(COUNTIFS(T_TTAFStock[RM_Code],$A96,T_TTAFStock[WeekIndex],35)&gt;0)&gt;0,SUMIFS(T_SelfStock[Self_Qty],T_SelfStock[RM_Code],$A96,T_SelfStock[WeekIndex],35)+SUMIFS(T_TTAFStock[TTAF_Qty],T_TTAFStock[RM_Code],$A96,T_TTAFStock[WeekIndex],35),AI96+'Grid_Incoming'!AJ96-'Grid_Requirement'!AJ96))</f>
        <v/>
      </c>
      <c r="AK96">
        <f>IF(COUNTIFS(T_StockCount[RM_Code],$A96,T_StockCount[WeekIndex],36)&gt;0,SUMIFS(T_StockCount[CountedQty],T_StockCount[RM_Code],$A96,T_StockCount[WeekIndex],36),IF((COUNTIFS(T_SelfStock[RM_Code],$A96,T_SelfStock[WeekIndex],36)&gt;0)*(COUNTIFS(T_TTAFStock[RM_Code],$A96,T_TTAFStock[WeekIndex],36)&gt;0)&gt;0,SUMIFS(T_SelfStock[Self_Qty],T_SelfStock[RM_Code],$A96,T_SelfStock[WeekIndex],36)+SUMIFS(T_TTAFStock[TTAF_Qty],T_TTAFStock[RM_Code],$A96,T_TTAFStock[WeekIndex],36),AJ96+'Grid_Incoming'!AK96-'Grid_Requirement'!AK96))</f>
        <v/>
      </c>
      <c r="AL96">
        <f>IF(COUNTIFS(T_StockCount[RM_Code],$A96,T_StockCount[WeekIndex],37)&gt;0,SUMIFS(T_StockCount[CountedQty],T_StockCount[RM_Code],$A96,T_StockCount[WeekIndex],37),IF((COUNTIFS(T_SelfStock[RM_Code],$A96,T_SelfStock[WeekIndex],37)&gt;0)*(COUNTIFS(T_TTAFStock[RM_Code],$A96,T_TTAFStock[WeekIndex],37)&gt;0)&gt;0,SUMIFS(T_SelfStock[Self_Qty],T_SelfStock[RM_Code],$A96,T_SelfStock[WeekIndex],37)+SUMIFS(T_TTAFStock[TTAF_Qty],T_TTAFStock[RM_Code],$A96,T_TTAFStock[WeekIndex],37),AK96+'Grid_Incoming'!AL96-'Grid_Requirement'!AL96))</f>
        <v/>
      </c>
      <c r="AM96">
        <f>IF(COUNTIFS(T_StockCount[RM_Code],$A96,T_StockCount[WeekIndex],38)&gt;0,SUMIFS(T_StockCount[CountedQty],T_StockCount[RM_Code],$A96,T_StockCount[WeekIndex],38),IF((COUNTIFS(T_SelfStock[RM_Code],$A96,T_SelfStock[WeekIndex],38)&gt;0)*(COUNTIFS(T_TTAFStock[RM_Code],$A96,T_TTAFStock[WeekIndex],38)&gt;0)&gt;0,SUMIFS(T_SelfStock[Self_Qty],T_SelfStock[RM_Code],$A96,T_SelfStock[WeekIndex],38)+SUMIFS(T_TTAFStock[TTAF_Qty],T_TTAFStock[RM_Code],$A96,T_TTAFStock[WeekIndex],38),AL96+'Grid_Incoming'!AM96-'Grid_Requirement'!AM96))</f>
        <v/>
      </c>
      <c r="AN96">
        <f>IF(COUNTIFS(T_StockCount[RM_Code],$A96,T_StockCount[WeekIndex],39)&gt;0,SUMIFS(T_StockCount[CountedQty],T_StockCount[RM_Code],$A96,T_StockCount[WeekIndex],39),IF((COUNTIFS(T_SelfStock[RM_Code],$A96,T_SelfStock[WeekIndex],39)&gt;0)*(COUNTIFS(T_TTAFStock[RM_Code],$A96,T_TTAFStock[WeekIndex],39)&gt;0)&gt;0,SUMIFS(T_SelfStock[Self_Qty],T_SelfStock[RM_Code],$A96,T_SelfStock[WeekIndex],39)+SUMIFS(T_TTAFStock[TTAF_Qty],T_TTAFStock[RM_Code],$A96,T_TTAFStock[WeekIndex],39),AM96+'Grid_Incoming'!AN96-'Grid_Requirement'!AN96))</f>
        <v/>
      </c>
      <c r="AO96">
        <f>IF(COUNTIFS(T_StockCount[RM_Code],$A96,T_StockCount[WeekIndex],40)&gt;0,SUMIFS(T_StockCount[CountedQty],T_StockCount[RM_Code],$A96,T_StockCount[WeekIndex],40),IF((COUNTIFS(T_SelfStock[RM_Code],$A96,T_SelfStock[WeekIndex],40)&gt;0)*(COUNTIFS(T_TTAFStock[RM_Code],$A96,T_TTAFStock[WeekIndex],40)&gt;0)&gt;0,SUMIFS(T_SelfStock[Self_Qty],T_SelfStock[RM_Code],$A96,T_SelfStock[WeekIndex],40)+SUMIFS(T_TTAFStock[TTAF_Qty],T_TTAFStock[RM_Code],$A96,T_TTAFStock[WeekIndex],40),AN96+'Grid_Incoming'!AO96-'Grid_Requirement'!AO96))</f>
        <v/>
      </c>
      <c r="AP96">
        <f>IF(COUNTIFS(T_StockCount[RM_Code],$A96,T_StockCount[WeekIndex],41)&gt;0,SUMIFS(T_StockCount[CountedQty],T_StockCount[RM_Code],$A96,T_StockCount[WeekIndex],41),IF((COUNTIFS(T_SelfStock[RM_Code],$A96,T_SelfStock[WeekIndex],41)&gt;0)*(COUNTIFS(T_TTAFStock[RM_Code],$A96,T_TTAFStock[WeekIndex],41)&gt;0)&gt;0,SUMIFS(T_SelfStock[Self_Qty],T_SelfStock[RM_Code],$A96,T_SelfStock[WeekIndex],41)+SUMIFS(T_TTAFStock[TTAF_Qty],T_TTAFStock[RM_Code],$A96,T_TTAFStock[WeekIndex],41),AO96+'Grid_Incoming'!AP96-'Grid_Requirement'!AP96))</f>
        <v/>
      </c>
      <c r="AQ96">
        <f>IF(COUNTIFS(T_StockCount[RM_Code],$A96,T_StockCount[WeekIndex],42)&gt;0,SUMIFS(T_StockCount[CountedQty],T_StockCount[RM_Code],$A96,T_StockCount[WeekIndex],42),IF((COUNTIFS(T_SelfStock[RM_Code],$A96,T_SelfStock[WeekIndex],42)&gt;0)*(COUNTIFS(T_TTAFStock[RM_Code],$A96,T_TTAFStock[WeekIndex],42)&gt;0)&gt;0,SUMIFS(T_SelfStock[Self_Qty],T_SelfStock[RM_Code],$A96,T_SelfStock[WeekIndex],42)+SUMIFS(T_TTAFStock[TTAF_Qty],T_TTAFStock[RM_Code],$A96,T_TTAFStock[WeekIndex],42),AP96+'Grid_Incoming'!AQ96-'Grid_Requirement'!AQ96))</f>
        <v/>
      </c>
      <c r="AR96">
        <f>IF(COUNTIFS(T_StockCount[RM_Code],$A96,T_StockCount[WeekIndex],43)&gt;0,SUMIFS(T_StockCount[CountedQty],T_StockCount[RM_Code],$A96,T_StockCount[WeekIndex],43),IF((COUNTIFS(T_SelfStock[RM_Code],$A96,T_SelfStock[WeekIndex],43)&gt;0)*(COUNTIFS(T_TTAFStock[RM_Code],$A96,T_TTAFStock[WeekIndex],43)&gt;0)&gt;0,SUMIFS(T_SelfStock[Self_Qty],T_SelfStock[RM_Code],$A96,T_SelfStock[WeekIndex],43)+SUMIFS(T_TTAFStock[TTAF_Qty],T_TTAFStock[RM_Code],$A96,T_TTAFStock[WeekIndex],43),AQ96+'Grid_Incoming'!AR96-'Grid_Requirement'!AR96))</f>
        <v/>
      </c>
      <c r="AS96">
        <f>IF(COUNTIFS(T_StockCount[RM_Code],$A96,T_StockCount[WeekIndex],44)&gt;0,SUMIFS(T_StockCount[CountedQty],T_StockCount[RM_Code],$A96,T_StockCount[WeekIndex],44),IF((COUNTIFS(T_SelfStock[RM_Code],$A96,T_SelfStock[WeekIndex],44)&gt;0)*(COUNTIFS(T_TTAFStock[RM_Code],$A96,T_TTAFStock[WeekIndex],44)&gt;0)&gt;0,SUMIFS(T_SelfStock[Self_Qty],T_SelfStock[RM_Code],$A96,T_SelfStock[WeekIndex],44)+SUMIFS(T_TTAFStock[TTAF_Qty],T_TTAFStock[RM_Code],$A96,T_TTAFStock[WeekIndex],44),AR96+'Grid_Incoming'!AS96-'Grid_Requirement'!AS96))</f>
        <v/>
      </c>
      <c r="AT96">
        <f>IF(COUNTIFS(T_StockCount[RM_Code],$A96,T_StockCount[WeekIndex],45)&gt;0,SUMIFS(T_StockCount[CountedQty],T_StockCount[RM_Code],$A96,T_StockCount[WeekIndex],45),IF((COUNTIFS(T_SelfStock[RM_Code],$A96,T_SelfStock[WeekIndex],45)&gt;0)*(COUNTIFS(T_TTAFStock[RM_Code],$A96,T_TTAFStock[WeekIndex],45)&gt;0)&gt;0,SUMIFS(T_SelfStock[Self_Qty],T_SelfStock[RM_Code],$A96,T_SelfStock[WeekIndex],45)+SUMIFS(T_TTAFStock[TTAF_Qty],T_TTAFStock[RM_Code],$A96,T_TTAFStock[WeekIndex],45),AS96+'Grid_Incoming'!AT96-'Grid_Requirement'!AT96))</f>
        <v/>
      </c>
      <c r="AU96">
        <f>IF(COUNTIFS(T_StockCount[RM_Code],$A96,T_StockCount[WeekIndex],46)&gt;0,SUMIFS(T_StockCount[CountedQty],T_StockCount[RM_Code],$A96,T_StockCount[WeekIndex],46),IF((COUNTIFS(T_SelfStock[RM_Code],$A96,T_SelfStock[WeekIndex],46)&gt;0)*(COUNTIFS(T_TTAFStock[RM_Code],$A96,T_TTAFStock[WeekIndex],46)&gt;0)&gt;0,SUMIFS(T_SelfStock[Self_Qty],T_SelfStock[RM_Code],$A96,T_SelfStock[WeekIndex],46)+SUMIFS(T_TTAFStock[TTAF_Qty],T_TTAFStock[RM_Code],$A96,T_TTAFStock[WeekIndex],46),AT96+'Grid_Incoming'!AU96-'Grid_Requirement'!AU96))</f>
        <v/>
      </c>
      <c r="AV96">
        <f>IF(COUNTIFS(T_StockCount[RM_Code],$A96,T_StockCount[WeekIndex],47)&gt;0,SUMIFS(T_StockCount[CountedQty],T_StockCount[RM_Code],$A96,T_StockCount[WeekIndex],47),IF((COUNTIFS(T_SelfStock[RM_Code],$A96,T_SelfStock[WeekIndex],47)&gt;0)*(COUNTIFS(T_TTAFStock[RM_Code],$A96,T_TTAFStock[WeekIndex],47)&gt;0)&gt;0,SUMIFS(T_SelfStock[Self_Qty],T_SelfStock[RM_Code],$A96,T_SelfStock[WeekIndex],47)+SUMIFS(T_TTAFStock[TTAF_Qty],T_TTAFStock[RM_Code],$A96,T_TTAFStock[WeekIndex],47),AU96+'Grid_Incoming'!AV96-'Grid_Requirement'!AV96))</f>
        <v/>
      </c>
      <c r="AW96">
        <f>IF(COUNTIFS(T_StockCount[RM_Code],$A96,T_StockCount[WeekIndex],48)&gt;0,SUMIFS(T_StockCount[CountedQty],T_StockCount[RM_Code],$A96,T_StockCount[WeekIndex],48),IF((COUNTIFS(T_SelfStock[RM_Code],$A96,T_SelfStock[WeekIndex],48)&gt;0)*(COUNTIFS(T_TTAFStock[RM_Code],$A96,T_TTAFStock[WeekIndex],48)&gt;0)&gt;0,SUMIFS(T_SelfStock[Self_Qty],T_SelfStock[RM_Code],$A96,T_SelfStock[WeekIndex],48)+SUMIFS(T_TTAFStock[TTAF_Qty],T_TTAFStock[RM_Code],$A96,T_TTAFStock[WeekIndex],48),AV96+'Grid_Incoming'!AW96-'Grid_Requirement'!AW96))</f>
        <v/>
      </c>
      <c r="AX96">
        <f>IF(COUNTIFS(T_StockCount[RM_Code],$A96,T_StockCount[WeekIndex],49)&gt;0,SUMIFS(T_StockCount[CountedQty],T_StockCount[RM_Code],$A96,T_StockCount[WeekIndex],49),IF((COUNTIFS(T_SelfStock[RM_Code],$A96,T_SelfStock[WeekIndex],49)&gt;0)*(COUNTIFS(T_TTAFStock[RM_Code],$A96,T_TTAFStock[WeekIndex],49)&gt;0)&gt;0,SUMIFS(T_SelfStock[Self_Qty],T_SelfStock[RM_Code],$A96,T_SelfStock[WeekIndex],49)+SUMIFS(T_TTAFStock[TTAF_Qty],T_TTAFStock[RM_Code],$A96,T_TTAFStock[WeekIndex],49),AW96+'Grid_Incoming'!AX96-'Grid_Requirement'!AX96))</f>
        <v/>
      </c>
      <c r="AY96">
        <f>IF(COUNTIFS(T_StockCount[RM_Code],$A96,T_StockCount[WeekIndex],50)&gt;0,SUMIFS(T_StockCount[CountedQty],T_StockCount[RM_Code],$A96,T_StockCount[WeekIndex],50),IF((COUNTIFS(T_SelfStock[RM_Code],$A96,T_SelfStock[WeekIndex],50)&gt;0)*(COUNTIFS(T_TTAFStock[RM_Code],$A96,T_TTAFStock[WeekIndex],50)&gt;0)&gt;0,SUMIFS(T_SelfStock[Self_Qty],T_SelfStock[RM_Code],$A96,T_SelfStock[WeekIndex],50)+SUMIFS(T_TTAFStock[TTAF_Qty],T_TTAFStock[RM_Code],$A96,T_TTAFStock[WeekIndex],50),AX96+'Grid_Incoming'!AY96-'Grid_Requirement'!AY96))</f>
        <v/>
      </c>
      <c r="AZ96">
        <f>IF(COUNTIFS(T_StockCount[RM_Code],$A96,T_StockCount[WeekIndex],51)&gt;0,SUMIFS(T_StockCount[CountedQty],T_StockCount[RM_Code],$A96,T_StockCount[WeekIndex],51),IF((COUNTIFS(T_SelfStock[RM_Code],$A96,T_SelfStock[WeekIndex],51)&gt;0)*(COUNTIFS(T_TTAFStock[RM_Code],$A96,T_TTAFStock[WeekIndex],51)&gt;0)&gt;0,SUMIFS(T_SelfStock[Self_Qty],T_SelfStock[RM_Code],$A96,T_SelfStock[WeekIndex],51)+SUMIFS(T_TTAFStock[TTAF_Qty],T_TTAFStock[RM_Code],$A96,T_TTAFStock[WeekIndex],51),AY96+'Grid_Incoming'!AZ96-'Grid_Requirement'!AZ96))</f>
        <v/>
      </c>
      <c r="BA96">
        <f>IF(COUNTIFS(T_StockCount[RM_Code],$A96,T_StockCount[WeekIndex],52)&gt;0,SUMIFS(T_StockCount[CountedQty],T_StockCount[RM_Code],$A96,T_StockCount[WeekIndex],52),IF((COUNTIFS(T_SelfStock[RM_Code],$A96,T_SelfStock[WeekIndex],52)&gt;0)*(COUNTIFS(T_TTAFStock[RM_Code],$A96,T_TTAFStock[WeekIndex],52)&gt;0)&gt;0,SUMIFS(T_SelfStock[Self_Qty],T_SelfStock[RM_Code],$A96,T_SelfStock[WeekIndex],52)+SUMIFS(T_TTAFStock[TTAF_Qty],T_TTAFStock[RM_Code],$A96,T_TTAFStock[WeekIndex],52),AZ96+'Grid_Incoming'!BA96-'Grid_Requirement'!BA96))</f>
        <v/>
      </c>
      <c r="BB96">
        <f>IF(COUNTIFS(T_StockCount[RM_Code],$A96,T_StockCount[WeekIndex],53)&gt;0,SUMIFS(T_StockCount[CountedQty],T_StockCount[RM_Code],$A96,T_StockCount[WeekIndex],53),IF((COUNTIFS(T_SelfStock[RM_Code],$A96,T_SelfStock[WeekIndex],53)&gt;0)*(COUNTIFS(T_TTAFStock[RM_Code],$A96,T_TTAFStock[WeekIndex],53)&gt;0)&gt;0,SUMIFS(T_SelfStock[Self_Qty],T_SelfStock[RM_Code],$A96,T_SelfStock[WeekIndex],53)+SUMIFS(T_TTAFStock[TTAF_Qty],T_TTAFStock[RM_Code],$A96,T_TTAFStock[WeekIndex],53),BA96+'Grid_Incoming'!BB96-'Grid_Requirement'!BB96))</f>
        <v/>
      </c>
      <c r="BC96">
        <f>IF(COUNTIFS(T_StockCount[RM_Code],$A96,T_StockCount[WeekIndex],54)&gt;0,SUMIFS(T_StockCount[CountedQty],T_StockCount[RM_Code],$A96,T_StockCount[WeekIndex],54),IF((COUNTIFS(T_SelfStock[RM_Code],$A96,T_SelfStock[WeekIndex],54)&gt;0)*(COUNTIFS(T_TTAFStock[RM_Code],$A96,T_TTAFStock[WeekIndex],54)&gt;0)&gt;0,SUMIFS(T_SelfStock[Self_Qty],T_SelfStock[RM_Code],$A96,T_SelfStock[WeekIndex],54)+SUMIFS(T_TTAFStock[TTAF_Qty],T_TTAFStock[RM_Code],$A96,T_TTAFStock[WeekIndex],54),BB96+'Grid_Incoming'!BC96-'Grid_Requirement'!BC96))</f>
        <v/>
      </c>
      <c r="BD96">
        <f>IF(COUNTIFS(T_StockCount[RM_Code],$A96,T_StockCount[WeekIndex],55)&gt;0,SUMIFS(T_StockCount[CountedQty],T_StockCount[RM_Code],$A96,T_StockCount[WeekIndex],55),IF((COUNTIFS(T_SelfStock[RM_Code],$A96,T_SelfStock[WeekIndex],55)&gt;0)*(COUNTIFS(T_TTAFStock[RM_Code],$A96,T_TTAFStock[WeekIndex],55)&gt;0)&gt;0,SUMIFS(T_SelfStock[Self_Qty],T_SelfStock[RM_Code],$A96,T_SelfStock[WeekIndex],55)+SUMIFS(T_TTAFStock[TTAF_Qty],T_TTAFStock[RM_Code],$A96,T_TTAFStock[WeekIndex],55),BC96+'Grid_Incoming'!BD96-'Grid_Requirement'!BD96))</f>
        <v/>
      </c>
      <c r="BE96">
        <f>IF(COUNTIFS(T_StockCount[RM_Code],$A96,T_StockCount[WeekIndex],56)&gt;0,SUMIFS(T_StockCount[CountedQty],T_StockCount[RM_Code],$A96,T_StockCount[WeekIndex],56),IF((COUNTIFS(T_SelfStock[RM_Code],$A96,T_SelfStock[WeekIndex],56)&gt;0)*(COUNTIFS(T_TTAFStock[RM_Code],$A96,T_TTAFStock[WeekIndex],56)&gt;0)&gt;0,SUMIFS(T_SelfStock[Self_Qty],T_SelfStock[RM_Code],$A96,T_SelfStock[WeekIndex],56)+SUMIFS(T_TTAFStock[TTAF_Qty],T_TTAFStock[RM_Code],$A96,T_TTAFStock[WeekIndex],56),BD96+'Grid_Incoming'!BE96-'Grid_Requirement'!BE96))</f>
        <v/>
      </c>
      <c r="BF96">
        <f>IF(COUNTIFS(T_StockCount[RM_Code],$A96,T_StockCount[WeekIndex],57)&gt;0,SUMIFS(T_StockCount[CountedQty],T_StockCount[RM_Code],$A96,T_StockCount[WeekIndex],57),IF((COUNTIFS(T_SelfStock[RM_Code],$A96,T_SelfStock[WeekIndex],57)&gt;0)*(COUNTIFS(T_TTAFStock[RM_Code],$A96,T_TTAFStock[WeekIndex],57)&gt;0)&gt;0,SUMIFS(T_SelfStock[Self_Qty],T_SelfStock[RM_Code],$A96,T_SelfStock[WeekIndex],57)+SUMIFS(T_TTAFStock[TTAF_Qty],T_TTAFStock[RM_Code],$A96,T_TTAFStock[WeekIndex],57),BE96+'Grid_Incoming'!BF96-'Grid_Requirement'!BF96))</f>
        <v/>
      </c>
      <c r="BG96">
        <f>IF(COUNTIFS(T_StockCount[RM_Code],$A96,T_StockCount[WeekIndex],58)&gt;0,SUMIFS(T_StockCount[CountedQty],T_StockCount[RM_Code],$A96,T_StockCount[WeekIndex],58),IF((COUNTIFS(T_SelfStock[RM_Code],$A96,T_SelfStock[WeekIndex],58)&gt;0)*(COUNTIFS(T_TTAFStock[RM_Code],$A96,T_TTAFStock[WeekIndex],58)&gt;0)&gt;0,SUMIFS(T_SelfStock[Self_Qty],T_SelfStock[RM_Code],$A96,T_SelfStock[WeekIndex],58)+SUMIFS(T_TTAFStock[TTAF_Qty],T_TTAFStock[RM_Code],$A96,T_TTAFStock[WeekIndex],58),BF96+'Grid_Incoming'!BG96-'Grid_Requirement'!BG96))</f>
        <v/>
      </c>
      <c r="BH96">
        <f>IF(COUNTIFS(T_StockCount[RM_Code],$A96,T_StockCount[WeekIndex],59)&gt;0,SUMIFS(T_StockCount[CountedQty],T_StockCount[RM_Code],$A96,T_StockCount[WeekIndex],59),IF((COUNTIFS(T_SelfStock[RM_Code],$A96,T_SelfStock[WeekIndex],59)&gt;0)*(COUNTIFS(T_TTAFStock[RM_Code],$A96,T_TTAFStock[WeekIndex],59)&gt;0)&gt;0,SUMIFS(T_SelfStock[Self_Qty],T_SelfStock[RM_Code],$A96,T_SelfStock[WeekIndex],59)+SUMIFS(T_TTAFStock[TTAF_Qty],T_TTAFStock[RM_Code],$A96,T_TTAFStock[WeekIndex],59),BG96+'Grid_Incoming'!BH96-'Grid_Requirement'!BH96))</f>
        <v/>
      </c>
      <c r="BI96">
        <f>IF(COUNTIFS(T_StockCount[RM_Code],$A96,T_StockCount[WeekIndex],60)&gt;0,SUMIFS(T_StockCount[CountedQty],T_StockCount[RM_Code],$A96,T_StockCount[WeekIndex],60),IF((COUNTIFS(T_SelfStock[RM_Code],$A96,T_SelfStock[WeekIndex],60)&gt;0)*(COUNTIFS(T_TTAFStock[RM_Code],$A96,T_TTAFStock[WeekIndex],60)&gt;0)&gt;0,SUMIFS(T_SelfStock[Self_Qty],T_SelfStock[RM_Code],$A96,T_SelfStock[WeekIndex],60)+SUMIFS(T_TTAFStock[TTAF_Qty],T_TTAFStock[RM_Code],$A96,T_TTAFStock[WeekIndex],60),BH96+'Grid_Incoming'!BI96-'Grid_Requirement'!BI96))</f>
        <v/>
      </c>
      <c r="BJ96">
        <f>IF(COUNTIFS(T_StockCount[RM_Code],$A96,T_StockCount[WeekIndex],61)&gt;0,SUMIFS(T_StockCount[CountedQty],T_StockCount[RM_Code],$A96,T_StockCount[WeekIndex],61),IF((COUNTIFS(T_SelfStock[RM_Code],$A96,T_SelfStock[WeekIndex],61)&gt;0)*(COUNTIFS(T_TTAFStock[RM_Code],$A96,T_TTAFStock[WeekIndex],61)&gt;0)&gt;0,SUMIFS(T_SelfStock[Self_Qty],T_SelfStock[RM_Code],$A96,T_SelfStock[WeekIndex],61)+SUMIFS(T_TTAFStock[TTAF_Qty],T_TTAFStock[RM_Code],$A96,T_TTAFStock[WeekIndex],61),BI96+'Grid_Incoming'!BJ96-'Grid_Requirement'!BJ96))</f>
        <v/>
      </c>
      <c r="BK96">
        <f>IF(COUNTIFS(T_StockCount[RM_Code],$A96,T_StockCount[WeekIndex],62)&gt;0,SUMIFS(T_StockCount[CountedQty],T_StockCount[RM_Code],$A96,T_StockCount[WeekIndex],62),IF((COUNTIFS(T_SelfStock[RM_Code],$A96,T_SelfStock[WeekIndex],62)&gt;0)*(COUNTIFS(T_TTAFStock[RM_Code],$A96,T_TTAFStock[WeekIndex],62)&gt;0)&gt;0,SUMIFS(T_SelfStock[Self_Qty],T_SelfStock[RM_Code],$A96,T_SelfStock[WeekIndex],62)+SUMIFS(T_TTAFStock[TTAF_Qty],T_TTAFStock[RM_Code],$A96,T_TTAFStock[WeekIndex],62),BJ96+'Grid_Incoming'!BK96-'Grid_Requirement'!BK96))</f>
        <v/>
      </c>
      <c r="BL96">
        <f>IF(COUNTIFS(T_StockCount[RM_Code],$A96,T_StockCount[WeekIndex],63)&gt;0,SUMIFS(T_StockCount[CountedQty],T_StockCount[RM_Code],$A96,T_StockCount[WeekIndex],63),IF((COUNTIFS(T_SelfStock[RM_Code],$A96,T_SelfStock[WeekIndex],63)&gt;0)*(COUNTIFS(T_TTAFStock[RM_Code],$A96,T_TTAFStock[WeekIndex],63)&gt;0)&gt;0,SUMIFS(T_SelfStock[Self_Qty],T_SelfStock[RM_Code],$A96,T_SelfStock[WeekIndex],63)+SUMIFS(T_TTAFStock[TTAF_Qty],T_TTAFStock[RM_Code],$A96,T_TTAFStock[WeekIndex],63),BK96+'Grid_Incoming'!BL96-'Grid_Requirement'!BL96))</f>
        <v/>
      </c>
      <c r="BM96">
        <f>IF(COUNTIFS(T_StockCount[RM_Code],$A96,T_StockCount[WeekIndex],64)&gt;0,SUMIFS(T_StockCount[CountedQty],T_StockCount[RM_Code],$A96,T_StockCount[WeekIndex],64),IF((COUNTIFS(T_SelfStock[RM_Code],$A96,T_SelfStock[WeekIndex],64)&gt;0)*(COUNTIFS(T_TTAFStock[RM_Code],$A96,T_TTAFStock[WeekIndex],64)&gt;0)&gt;0,SUMIFS(T_SelfStock[Self_Qty],T_SelfStock[RM_Code],$A96,T_SelfStock[WeekIndex],64)+SUMIFS(T_TTAFStock[TTAF_Qty],T_TTAFStock[RM_Code],$A96,T_TTAFStock[WeekIndex],64),BL96+'Grid_Incoming'!BM96-'Grid_Requirement'!BM96))</f>
        <v/>
      </c>
      <c r="BN96">
        <f>IF(COUNTIFS(T_StockCount[RM_Code],$A96,T_StockCount[WeekIndex],65)&gt;0,SUMIFS(T_StockCount[CountedQty],T_StockCount[RM_Code],$A96,T_StockCount[WeekIndex],65),IF((COUNTIFS(T_SelfStock[RM_Code],$A96,T_SelfStock[WeekIndex],65)&gt;0)*(COUNTIFS(T_TTAFStock[RM_Code],$A96,T_TTAFStock[WeekIndex],65)&gt;0)&gt;0,SUMIFS(T_SelfStock[Self_Qty],T_SelfStock[RM_Code],$A96,T_SelfStock[WeekIndex],65)+SUMIFS(T_TTAFStock[TTAF_Qty],T_TTAFStock[RM_Code],$A96,T_TTAFStock[WeekIndex],65),BM96+'Grid_Incoming'!BN96-'Grid_Requirement'!BN96))</f>
        <v/>
      </c>
      <c r="BO96">
        <f>IF(COUNTIFS(T_StockCount[RM_Code],$A96,T_StockCount[WeekIndex],66)&gt;0,SUMIFS(T_StockCount[CountedQty],T_StockCount[RM_Code],$A96,T_StockCount[WeekIndex],66),IF((COUNTIFS(T_SelfStock[RM_Code],$A96,T_SelfStock[WeekIndex],66)&gt;0)*(COUNTIFS(T_TTAFStock[RM_Code],$A96,T_TTAFStock[WeekIndex],66)&gt;0)&gt;0,SUMIFS(T_SelfStock[Self_Qty],T_SelfStock[RM_Code],$A96,T_SelfStock[WeekIndex],66)+SUMIFS(T_TTAFStock[TTAF_Qty],T_TTAFStock[RM_Code],$A96,T_TTAFStock[WeekIndex],66),BN96+'Grid_Incoming'!BO96-'Grid_Requirement'!BO96))</f>
        <v/>
      </c>
      <c r="BP96">
        <f>IF(COUNTIFS(T_StockCount[RM_Code],$A96,T_StockCount[WeekIndex],67)&gt;0,SUMIFS(T_StockCount[CountedQty],T_StockCount[RM_Code],$A96,T_StockCount[WeekIndex],67),IF((COUNTIFS(T_SelfStock[RM_Code],$A96,T_SelfStock[WeekIndex],67)&gt;0)*(COUNTIFS(T_TTAFStock[RM_Code],$A96,T_TTAFStock[WeekIndex],67)&gt;0)&gt;0,SUMIFS(T_SelfStock[Self_Qty],T_SelfStock[RM_Code],$A96,T_SelfStock[WeekIndex],67)+SUMIFS(T_TTAFStock[TTAF_Qty],T_TTAFStock[RM_Code],$A96,T_TTAFStock[WeekIndex],67),BO96+'Grid_Incoming'!BP96-'Grid_Requirement'!BP96))</f>
        <v/>
      </c>
      <c r="BQ96">
        <f>IF(COUNTIFS(T_StockCount[RM_Code],$A96,T_StockCount[WeekIndex],68)&gt;0,SUMIFS(T_StockCount[CountedQty],T_StockCount[RM_Code],$A96,T_StockCount[WeekIndex],68),IF((COUNTIFS(T_SelfStock[RM_Code],$A96,T_SelfStock[WeekIndex],68)&gt;0)*(COUNTIFS(T_TTAFStock[RM_Code],$A96,T_TTAFStock[WeekIndex],68)&gt;0)&gt;0,SUMIFS(T_SelfStock[Self_Qty],T_SelfStock[RM_Code],$A96,T_SelfStock[WeekIndex],68)+SUMIFS(T_TTAFStock[TTAF_Qty],T_TTAFStock[RM_Code],$A96,T_TTAFStock[WeekIndex],68),BP96+'Grid_Incoming'!BQ96-'Grid_Requirement'!BQ96))</f>
        <v/>
      </c>
      <c r="BR96">
        <f>IF(COUNTIFS(T_StockCount[RM_Code],$A96,T_StockCount[WeekIndex],69)&gt;0,SUMIFS(T_StockCount[CountedQty],T_StockCount[RM_Code],$A96,T_StockCount[WeekIndex],69),IF((COUNTIFS(T_SelfStock[RM_Code],$A96,T_SelfStock[WeekIndex],69)&gt;0)*(COUNTIFS(T_TTAFStock[RM_Code],$A96,T_TTAFStock[WeekIndex],69)&gt;0)&gt;0,SUMIFS(T_SelfStock[Self_Qty],T_SelfStock[RM_Code],$A96,T_SelfStock[WeekIndex],69)+SUMIFS(T_TTAFStock[TTAF_Qty],T_TTAFStock[RM_Code],$A96,T_TTAFStock[WeekIndex],69),BQ96+'Grid_Incoming'!BR96-'Grid_Requirement'!BR96))</f>
        <v/>
      </c>
      <c r="BS96">
        <f>IF(COUNTIFS(T_StockCount[RM_Code],$A96,T_StockCount[WeekIndex],70)&gt;0,SUMIFS(T_StockCount[CountedQty],T_StockCount[RM_Code],$A96,T_StockCount[WeekIndex],70),IF((COUNTIFS(T_SelfStock[RM_Code],$A96,T_SelfStock[WeekIndex],70)&gt;0)*(COUNTIFS(T_TTAFStock[RM_Code],$A96,T_TTAFStock[WeekIndex],70)&gt;0)&gt;0,SUMIFS(T_SelfStock[Self_Qty],T_SelfStock[RM_Code],$A96,T_SelfStock[WeekIndex],70)+SUMIFS(T_TTAFStock[TTAF_Qty],T_TTAFStock[RM_Code],$A96,T_TTAFStock[WeekIndex],70),BR96+'Grid_Incoming'!BS96-'Grid_Requirement'!BS96))</f>
        <v/>
      </c>
      <c r="BT96">
        <f>IF(COUNTIFS(T_StockCount[RM_Code],$A96,T_StockCount[WeekIndex],71)&gt;0,SUMIFS(T_StockCount[CountedQty],T_StockCount[RM_Code],$A96,T_StockCount[WeekIndex],71),IF((COUNTIFS(T_SelfStock[RM_Code],$A96,T_SelfStock[WeekIndex],71)&gt;0)*(COUNTIFS(T_TTAFStock[RM_Code],$A96,T_TTAFStock[WeekIndex],71)&gt;0)&gt;0,SUMIFS(T_SelfStock[Self_Qty],T_SelfStock[RM_Code],$A96,T_SelfStock[WeekIndex],71)+SUMIFS(T_TTAFStock[TTAF_Qty],T_TTAFStock[RM_Code],$A96,T_TTAFStock[WeekIndex],71),BS96+'Grid_Incoming'!BT96-'Grid_Requirement'!BT96))</f>
        <v/>
      </c>
      <c r="BU96">
        <f>IF(COUNTIFS(T_StockCount[RM_Code],$A96,T_StockCount[WeekIndex],72)&gt;0,SUMIFS(T_StockCount[CountedQty],T_StockCount[RM_Code],$A96,T_StockCount[WeekIndex],72),IF((COUNTIFS(T_SelfStock[RM_Code],$A96,T_SelfStock[WeekIndex],72)&gt;0)*(COUNTIFS(T_TTAFStock[RM_Code],$A96,T_TTAFStock[WeekIndex],72)&gt;0)&gt;0,SUMIFS(T_SelfStock[Self_Qty],T_SelfStock[RM_Code],$A96,T_SelfStock[WeekIndex],72)+SUMIFS(T_TTAFStock[TTAF_Qty],T_TTAFStock[RM_Code],$A96,T_TTAFStock[WeekIndex],72),BT96+'Grid_Incoming'!BU96-'Grid_Requirement'!BU96))</f>
        <v/>
      </c>
      <c r="BV96">
        <f>IF(COUNTIFS(T_StockCount[RM_Code],$A96,T_StockCount[WeekIndex],73)&gt;0,SUMIFS(T_StockCount[CountedQty],T_StockCount[RM_Code],$A96,T_StockCount[WeekIndex],73),IF((COUNTIFS(T_SelfStock[RM_Code],$A96,T_SelfStock[WeekIndex],73)&gt;0)*(COUNTIFS(T_TTAFStock[RM_Code],$A96,T_TTAFStock[WeekIndex],73)&gt;0)&gt;0,SUMIFS(T_SelfStock[Self_Qty],T_SelfStock[RM_Code],$A96,T_SelfStock[WeekIndex],73)+SUMIFS(T_TTAFStock[TTAF_Qty],T_TTAFStock[RM_Code],$A96,T_TTAFStock[WeekIndex],73),BU96+'Grid_Incoming'!BV96-'Grid_Requirement'!BV96))</f>
        <v/>
      </c>
      <c r="BW96">
        <f>IF(COUNTIFS(T_StockCount[RM_Code],$A96,T_StockCount[WeekIndex],74)&gt;0,SUMIFS(T_StockCount[CountedQty],T_StockCount[RM_Code],$A96,T_StockCount[WeekIndex],74),IF((COUNTIFS(T_SelfStock[RM_Code],$A96,T_SelfStock[WeekIndex],74)&gt;0)*(COUNTIFS(T_TTAFStock[RM_Code],$A96,T_TTAFStock[WeekIndex],74)&gt;0)&gt;0,SUMIFS(T_SelfStock[Self_Qty],T_SelfStock[RM_Code],$A96,T_SelfStock[WeekIndex],74)+SUMIFS(T_TTAFStock[TTAF_Qty],T_TTAFStock[RM_Code],$A96,T_TTAFStock[WeekIndex],74),BV96+'Grid_Incoming'!BW96-'Grid_Requirement'!BW96))</f>
        <v/>
      </c>
      <c r="BX96">
        <f>IF(COUNTIFS(T_StockCount[RM_Code],$A96,T_StockCount[WeekIndex],75)&gt;0,SUMIFS(T_StockCount[CountedQty],T_StockCount[RM_Code],$A96,T_StockCount[WeekIndex],75),IF((COUNTIFS(T_SelfStock[RM_Code],$A96,T_SelfStock[WeekIndex],75)&gt;0)*(COUNTIFS(T_TTAFStock[RM_Code],$A96,T_TTAFStock[WeekIndex],75)&gt;0)&gt;0,SUMIFS(T_SelfStock[Self_Qty],T_SelfStock[RM_Code],$A96,T_SelfStock[WeekIndex],75)+SUMIFS(T_TTAFStock[TTAF_Qty],T_TTAFStock[RM_Code],$A96,T_TTAFStock[WeekIndex],75),BW96+'Grid_Incoming'!BX96-'Grid_Requirement'!BX96))</f>
        <v/>
      </c>
      <c r="BY96">
        <f>IF(COUNTIFS(T_StockCount[RM_Code],$A96,T_StockCount[WeekIndex],76)&gt;0,SUMIFS(T_StockCount[CountedQty],T_StockCount[RM_Code],$A96,T_StockCount[WeekIndex],76),IF((COUNTIFS(T_SelfStock[RM_Code],$A96,T_SelfStock[WeekIndex],76)&gt;0)*(COUNTIFS(T_TTAFStock[RM_Code],$A96,T_TTAFStock[WeekIndex],76)&gt;0)&gt;0,SUMIFS(T_SelfStock[Self_Qty],T_SelfStock[RM_Code],$A96,T_SelfStock[WeekIndex],76)+SUMIFS(T_TTAFStock[TTAF_Qty],T_TTAFStock[RM_Code],$A96,T_TTAFStock[WeekIndex],76),BX96+'Grid_Incoming'!BY96-'Grid_Requirement'!BY96))</f>
        <v/>
      </c>
      <c r="BZ96">
        <f>IF(COUNTIFS(T_StockCount[RM_Code],$A96,T_StockCount[WeekIndex],77)&gt;0,SUMIFS(T_StockCount[CountedQty],T_StockCount[RM_Code],$A96,T_StockCount[WeekIndex],77),IF((COUNTIFS(T_SelfStock[RM_Code],$A96,T_SelfStock[WeekIndex],77)&gt;0)*(COUNTIFS(T_TTAFStock[RM_Code],$A96,T_TTAFStock[WeekIndex],77)&gt;0)&gt;0,SUMIFS(T_SelfStock[Self_Qty],T_SelfStock[RM_Code],$A96,T_SelfStock[WeekIndex],77)+SUMIFS(T_TTAFStock[TTAF_Qty],T_TTAFStock[RM_Code],$A96,T_TTAFStock[WeekIndex],77),BY96+'Grid_Incoming'!BZ96-'Grid_Requirement'!BZ96))</f>
        <v/>
      </c>
      <c r="CA96">
        <f>IF(COUNTIFS(T_StockCount[RM_Code],$A96,T_StockCount[WeekIndex],78)&gt;0,SUMIFS(T_StockCount[CountedQty],T_StockCount[RM_Code],$A96,T_StockCount[WeekIndex],78),IF((COUNTIFS(T_SelfStock[RM_Code],$A96,T_SelfStock[WeekIndex],78)&gt;0)*(COUNTIFS(T_TTAFStock[RM_Code],$A96,T_TTAFStock[WeekIndex],78)&gt;0)&gt;0,SUMIFS(T_SelfStock[Self_Qty],T_SelfStock[RM_Code],$A96,T_SelfStock[WeekIndex],78)+SUMIFS(T_TTAFStock[TTAF_Qty],T_TTAFStock[RM_Code],$A96,T_TTAFStock[WeekIndex],78),BZ96+'Grid_Incoming'!CA96-'Grid_Requirement'!CA96))</f>
        <v/>
      </c>
      <c r="CB96">
        <f>IF(COUNTIFS(T_StockCount[RM_Code],$A96,T_StockCount[WeekIndex],79)&gt;0,SUMIFS(T_StockCount[CountedQty],T_StockCount[RM_Code],$A96,T_StockCount[WeekIndex],79),IF((COUNTIFS(T_SelfStock[RM_Code],$A96,T_SelfStock[WeekIndex],79)&gt;0)*(COUNTIFS(T_TTAFStock[RM_Code],$A96,T_TTAFStock[WeekIndex],79)&gt;0)&gt;0,SUMIFS(T_SelfStock[Self_Qty],T_SelfStock[RM_Code],$A96,T_SelfStock[WeekIndex],79)+SUMIFS(T_TTAFStock[TTAF_Qty],T_TTAFStock[RM_Code],$A96,T_TTAFStock[WeekIndex],79),CA96+'Grid_Incoming'!CB96-'Grid_Requirement'!CB96))</f>
        <v/>
      </c>
      <c r="CC96">
        <f>IF(COUNTIFS(T_StockCount[RM_Code],$A96,T_StockCount[WeekIndex],80)&gt;0,SUMIFS(T_StockCount[CountedQty],T_StockCount[RM_Code],$A96,T_StockCount[WeekIndex],80),IF((COUNTIFS(T_SelfStock[RM_Code],$A96,T_SelfStock[WeekIndex],80)&gt;0)*(COUNTIFS(T_TTAFStock[RM_Code],$A96,T_TTAFStock[WeekIndex],80)&gt;0)&gt;0,SUMIFS(T_SelfStock[Self_Qty],T_SelfStock[RM_Code],$A96,T_SelfStock[WeekIndex],80)+SUMIFS(T_TTAFStock[TTAF_Qty],T_TTAFStock[RM_Code],$A96,T_TTAFStock[WeekIndex],80),CB96+'Grid_Incoming'!CC96-'Grid_Requirement'!CC96))</f>
        <v/>
      </c>
      <c r="CD96">
        <f>IF(COUNTIFS(T_StockCount[RM_Code],$A96,T_StockCount[WeekIndex],81)&gt;0,SUMIFS(T_StockCount[CountedQty],T_StockCount[RM_Code],$A96,T_StockCount[WeekIndex],81),IF((COUNTIFS(T_SelfStock[RM_Code],$A96,T_SelfStock[WeekIndex],81)&gt;0)*(COUNTIFS(T_TTAFStock[RM_Code],$A96,T_TTAFStock[WeekIndex],81)&gt;0)&gt;0,SUMIFS(T_SelfStock[Self_Qty],T_SelfStock[RM_Code],$A96,T_SelfStock[WeekIndex],81)+SUMIFS(T_TTAFStock[TTAF_Qty],T_TTAFStock[RM_Code],$A96,T_TTAFStock[WeekIndex],81),CC96+'Grid_Incoming'!CD96-'Grid_Requirement'!CD96))</f>
        <v/>
      </c>
      <c r="CE96">
        <f>IF(COUNTIFS(T_StockCount[RM_Code],$A96,T_StockCount[WeekIndex],82)&gt;0,SUMIFS(T_StockCount[CountedQty],T_StockCount[RM_Code],$A96,T_StockCount[WeekIndex],82),IF((COUNTIFS(T_SelfStock[RM_Code],$A96,T_SelfStock[WeekIndex],82)&gt;0)*(COUNTIFS(T_TTAFStock[RM_Code],$A96,T_TTAFStock[WeekIndex],82)&gt;0)&gt;0,SUMIFS(T_SelfStock[Self_Qty],T_SelfStock[RM_Code],$A96,T_SelfStock[WeekIndex],82)+SUMIFS(T_TTAFStock[TTAF_Qty],T_TTAFStock[RM_Code],$A96,T_TTAFStock[WeekIndex],82),CD96+'Grid_Incoming'!CE96-'Grid_Requirement'!CE96))</f>
        <v/>
      </c>
      <c r="CF96">
        <f>IF(COUNTIFS(T_StockCount[RM_Code],$A96,T_StockCount[WeekIndex],83)&gt;0,SUMIFS(T_StockCount[CountedQty],T_StockCount[RM_Code],$A96,T_StockCount[WeekIndex],83),IF((COUNTIFS(T_SelfStock[RM_Code],$A96,T_SelfStock[WeekIndex],83)&gt;0)*(COUNTIFS(T_TTAFStock[RM_Code],$A96,T_TTAFStock[WeekIndex],83)&gt;0)&gt;0,SUMIFS(T_SelfStock[Self_Qty],T_SelfStock[RM_Code],$A96,T_SelfStock[WeekIndex],83)+SUMIFS(T_TTAFStock[TTAF_Qty],T_TTAFStock[RM_Code],$A96,T_TTAFStock[WeekIndex],83),CE96+'Grid_Incoming'!CF96-'Grid_Requirement'!CF96))</f>
        <v/>
      </c>
      <c r="CG96">
        <f>IF(COUNTIFS(T_StockCount[RM_Code],$A96,T_StockCount[WeekIndex],84)&gt;0,SUMIFS(T_StockCount[CountedQty],T_StockCount[RM_Code],$A96,T_StockCount[WeekIndex],84),IF((COUNTIFS(T_SelfStock[RM_Code],$A96,T_SelfStock[WeekIndex],84)&gt;0)*(COUNTIFS(T_TTAFStock[RM_Code],$A96,T_TTAFStock[WeekIndex],84)&gt;0)&gt;0,SUMIFS(T_SelfStock[Self_Qty],T_SelfStock[RM_Code],$A96,T_SelfStock[WeekIndex],84)+SUMIFS(T_TTAFStock[TTAF_Qty],T_TTAFStock[RM_Code],$A96,T_TTAFStock[WeekIndex],84),CF96+'Grid_Incoming'!CG96-'Grid_Requirement'!CG96))</f>
        <v/>
      </c>
      <c r="CH96">
        <f>IF(COUNTIFS(T_StockCount[RM_Code],$A96,T_StockCount[WeekIndex],85)&gt;0,SUMIFS(T_StockCount[CountedQty],T_StockCount[RM_Code],$A96,T_StockCount[WeekIndex],85),IF((COUNTIFS(T_SelfStock[RM_Code],$A96,T_SelfStock[WeekIndex],85)&gt;0)*(COUNTIFS(T_TTAFStock[RM_Code],$A96,T_TTAFStock[WeekIndex],85)&gt;0)&gt;0,SUMIFS(T_SelfStock[Self_Qty],T_SelfStock[RM_Code],$A96,T_SelfStock[WeekIndex],85)+SUMIFS(T_TTAFStock[TTAF_Qty],T_TTAFStock[RM_Code],$A96,T_TTAFStock[WeekIndex],85),CG96+'Grid_Incoming'!CH96-'Grid_Requirement'!CH96))</f>
        <v/>
      </c>
      <c r="CI96">
        <f>IF(COUNTIFS(T_StockCount[RM_Code],$A96,T_StockCount[WeekIndex],86)&gt;0,SUMIFS(T_StockCount[CountedQty],T_StockCount[RM_Code],$A96,T_StockCount[WeekIndex],86),IF((COUNTIFS(T_SelfStock[RM_Code],$A96,T_SelfStock[WeekIndex],86)&gt;0)*(COUNTIFS(T_TTAFStock[RM_Code],$A96,T_TTAFStock[WeekIndex],86)&gt;0)&gt;0,SUMIFS(T_SelfStock[Self_Qty],T_SelfStock[RM_Code],$A96,T_SelfStock[WeekIndex],86)+SUMIFS(T_TTAFStock[TTAF_Qty],T_TTAFStock[RM_Code],$A96,T_TTAFStock[WeekIndex],86),CH96+'Grid_Incoming'!CI96-'Grid_Requirement'!CI96))</f>
        <v/>
      </c>
      <c r="CJ96">
        <f>IF(COUNTIFS(T_StockCount[RM_Code],$A96,T_StockCount[WeekIndex],87)&gt;0,SUMIFS(T_StockCount[CountedQty],T_StockCount[RM_Code],$A96,T_StockCount[WeekIndex],87),IF((COUNTIFS(T_SelfStock[RM_Code],$A96,T_SelfStock[WeekIndex],87)&gt;0)*(COUNTIFS(T_TTAFStock[RM_Code],$A96,T_TTAFStock[WeekIndex],87)&gt;0)&gt;0,SUMIFS(T_SelfStock[Self_Qty],T_SelfStock[RM_Code],$A96,T_SelfStock[WeekIndex],87)+SUMIFS(T_TTAFStock[TTAF_Qty],T_TTAFStock[RM_Code],$A96,T_TTAFStock[WeekIndex],87),CI96+'Grid_Incoming'!CJ96-'Grid_Requirement'!CJ96))</f>
        <v/>
      </c>
      <c r="CK96">
        <f>IF(COUNTIFS(T_StockCount[RM_Code],$A96,T_StockCount[WeekIndex],88)&gt;0,SUMIFS(T_StockCount[CountedQty],T_StockCount[RM_Code],$A96,T_StockCount[WeekIndex],88),IF((COUNTIFS(T_SelfStock[RM_Code],$A96,T_SelfStock[WeekIndex],88)&gt;0)*(COUNTIFS(T_TTAFStock[RM_Code],$A96,T_TTAFStock[WeekIndex],88)&gt;0)&gt;0,SUMIFS(T_SelfStock[Self_Qty],T_SelfStock[RM_Code],$A96,T_SelfStock[WeekIndex],88)+SUMIFS(T_TTAFStock[TTAF_Qty],T_TTAFStock[RM_Code],$A96,T_TTAFStock[WeekIndex],88),CJ96+'Grid_Incoming'!CK96-'Grid_Requirement'!CK96))</f>
        <v/>
      </c>
      <c r="CL96">
        <f>IF(COUNTIFS(T_StockCount[RM_Code],$A96,T_StockCount[WeekIndex],89)&gt;0,SUMIFS(T_StockCount[CountedQty],T_StockCount[RM_Code],$A96,T_StockCount[WeekIndex],89),IF((COUNTIFS(T_SelfStock[RM_Code],$A96,T_SelfStock[WeekIndex],89)&gt;0)*(COUNTIFS(T_TTAFStock[RM_Code],$A96,T_TTAFStock[WeekIndex],89)&gt;0)&gt;0,SUMIFS(T_SelfStock[Self_Qty],T_SelfStock[RM_Code],$A96,T_SelfStock[WeekIndex],89)+SUMIFS(T_TTAFStock[TTAF_Qty],T_TTAFStock[RM_Code],$A96,T_TTAFStock[WeekIndex],89),CK96+'Grid_Incoming'!CL96-'Grid_Requirement'!CL96))</f>
        <v/>
      </c>
      <c r="CM96">
        <f>IF(COUNTIFS(T_StockCount[RM_Code],$A96,T_StockCount[WeekIndex],90)&gt;0,SUMIFS(T_StockCount[CountedQty],T_StockCount[RM_Code],$A96,T_StockCount[WeekIndex],90),IF((COUNTIFS(T_SelfStock[RM_Code],$A96,T_SelfStock[WeekIndex],90)&gt;0)*(COUNTIFS(T_TTAFStock[RM_Code],$A96,T_TTAFStock[WeekIndex],90)&gt;0)&gt;0,SUMIFS(T_SelfStock[Self_Qty],T_SelfStock[RM_Code],$A96,T_SelfStock[WeekIndex],90)+SUMIFS(T_TTAFStock[TTAF_Qty],T_TTAFStock[RM_Code],$A96,T_TTAFStock[WeekIndex],90),CL96+'Grid_Incoming'!CM96-'Grid_Requirement'!CM96))</f>
        <v/>
      </c>
      <c r="CN96">
        <f>IF(COUNTIFS(T_StockCount[RM_Code],$A96,T_StockCount[WeekIndex],91)&gt;0,SUMIFS(T_StockCount[CountedQty],T_StockCount[RM_Code],$A96,T_StockCount[WeekIndex],91),IF((COUNTIFS(T_SelfStock[RM_Code],$A96,T_SelfStock[WeekIndex],91)&gt;0)*(COUNTIFS(T_TTAFStock[RM_Code],$A96,T_TTAFStock[WeekIndex],91)&gt;0)&gt;0,SUMIFS(T_SelfStock[Self_Qty],T_SelfStock[RM_Code],$A96,T_SelfStock[WeekIndex],91)+SUMIFS(T_TTAFStock[TTAF_Qty],T_TTAFStock[RM_Code],$A96,T_TTAFStock[WeekIndex],91),CM96+'Grid_Incoming'!CN96-'Grid_Requirement'!CN96))</f>
        <v/>
      </c>
      <c r="CO96">
        <f>IF(COUNTIFS(T_StockCount[RM_Code],$A96,T_StockCount[WeekIndex],92)&gt;0,SUMIFS(T_StockCount[CountedQty],T_StockCount[RM_Code],$A96,T_StockCount[WeekIndex],92),IF((COUNTIFS(T_SelfStock[RM_Code],$A96,T_SelfStock[WeekIndex],92)&gt;0)*(COUNTIFS(T_TTAFStock[RM_Code],$A96,T_TTAFStock[WeekIndex],92)&gt;0)&gt;0,SUMIFS(T_SelfStock[Self_Qty],T_SelfStock[RM_Code],$A96,T_SelfStock[WeekIndex],92)+SUMIFS(T_TTAFStock[TTAF_Qty],T_TTAFStock[RM_Code],$A96,T_TTAFStock[WeekIndex],92),CN96+'Grid_Incoming'!CO96-'Grid_Requirement'!CO96))</f>
        <v/>
      </c>
      <c r="CP96">
        <f>IF(COUNTIFS(T_StockCount[RM_Code],$A96,T_StockCount[WeekIndex],93)&gt;0,SUMIFS(T_StockCount[CountedQty],T_StockCount[RM_Code],$A96,T_StockCount[WeekIndex],93),IF((COUNTIFS(T_SelfStock[RM_Code],$A96,T_SelfStock[WeekIndex],93)&gt;0)*(COUNTIFS(T_TTAFStock[RM_Code],$A96,T_TTAFStock[WeekIndex],93)&gt;0)&gt;0,SUMIFS(T_SelfStock[Self_Qty],T_SelfStock[RM_Code],$A96,T_SelfStock[WeekIndex],93)+SUMIFS(T_TTAFStock[TTAF_Qty],T_TTAFStock[RM_Code],$A96,T_TTAFStock[WeekIndex],93),CO96+'Grid_Incoming'!CP96-'Grid_Requirement'!CP96))</f>
        <v/>
      </c>
      <c r="CQ96">
        <f>IF(COUNTIFS(T_StockCount[RM_Code],$A96,T_StockCount[WeekIndex],94)&gt;0,SUMIFS(T_StockCount[CountedQty],T_StockCount[RM_Code],$A96,T_StockCount[WeekIndex],94),IF((COUNTIFS(T_SelfStock[RM_Code],$A96,T_SelfStock[WeekIndex],94)&gt;0)*(COUNTIFS(T_TTAFStock[RM_Code],$A96,T_TTAFStock[WeekIndex],94)&gt;0)&gt;0,SUMIFS(T_SelfStock[Self_Qty],T_SelfStock[RM_Code],$A96,T_SelfStock[WeekIndex],94)+SUMIFS(T_TTAFStock[TTAF_Qty],T_TTAFStock[RM_Code],$A96,T_TTAFStock[WeekIndex],94),CP96+'Grid_Incoming'!CQ96-'Grid_Requirement'!CQ96))</f>
        <v/>
      </c>
      <c r="CR96">
        <f>IF(COUNTIFS(T_StockCount[RM_Code],$A96,T_StockCount[WeekIndex],95)&gt;0,SUMIFS(T_StockCount[CountedQty],T_StockCount[RM_Code],$A96,T_StockCount[WeekIndex],95),IF((COUNTIFS(T_SelfStock[RM_Code],$A96,T_SelfStock[WeekIndex],95)&gt;0)*(COUNTIFS(T_TTAFStock[RM_Code],$A96,T_TTAFStock[WeekIndex],95)&gt;0)&gt;0,SUMIFS(T_SelfStock[Self_Qty],T_SelfStock[RM_Code],$A96,T_SelfStock[WeekIndex],95)+SUMIFS(T_TTAFStock[TTAF_Qty],T_TTAFStock[RM_Code],$A96,T_TTAFStock[WeekIndex],95),CQ96+'Grid_Incoming'!CR96-'Grid_Requirement'!CR96))</f>
        <v/>
      </c>
      <c r="CS96">
        <f>IF(COUNTIFS(T_StockCount[RM_Code],$A96,T_StockCount[WeekIndex],96)&gt;0,SUMIFS(T_StockCount[CountedQty],T_StockCount[RM_Code],$A96,T_StockCount[WeekIndex],96),IF((COUNTIFS(T_SelfStock[RM_Code],$A96,T_SelfStock[WeekIndex],96)&gt;0)*(COUNTIFS(T_TTAFStock[RM_Code],$A96,T_TTAFStock[WeekIndex],96)&gt;0)&gt;0,SUMIFS(T_SelfStock[Self_Qty],T_SelfStock[RM_Code],$A96,T_SelfStock[WeekIndex],96)+SUMIFS(T_TTAFStock[TTAF_Qty],T_TTAFStock[RM_Code],$A96,T_TTAFStock[WeekIndex],96),CR96+'Grid_Incoming'!CS96-'Grid_Requirement'!CS96))</f>
        <v/>
      </c>
      <c r="CT96">
        <f>IF(COUNTIFS(T_StockCount[RM_Code],$A96,T_StockCount[WeekIndex],97)&gt;0,SUMIFS(T_StockCount[CountedQty],T_StockCount[RM_Code],$A96,T_StockCount[WeekIndex],97),IF((COUNTIFS(T_SelfStock[RM_Code],$A96,T_SelfStock[WeekIndex],97)&gt;0)*(COUNTIFS(T_TTAFStock[RM_Code],$A96,T_TTAFStock[WeekIndex],97)&gt;0)&gt;0,SUMIFS(T_SelfStock[Self_Qty],T_SelfStock[RM_Code],$A96,T_SelfStock[WeekIndex],97)+SUMIFS(T_TTAFStock[TTAF_Qty],T_TTAFStock[RM_Code],$A96,T_TTAFStock[WeekIndex],97),CS96+'Grid_Incoming'!CT96-'Grid_Requirement'!CT96))</f>
        <v/>
      </c>
      <c r="CU96">
        <f>IF(COUNTIFS(T_StockCount[RM_Code],$A96,T_StockCount[WeekIndex],98)&gt;0,SUMIFS(T_StockCount[CountedQty],T_StockCount[RM_Code],$A96,T_StockCount[WeekIndex],98),IF((COUNTIFS(T_SelfStock[RM_Code],$A96,T_SelfStock[WeekIndex],98)&gt;0)*(COUNTIFS(T_TTAFStock[RM_Code],$A96,T_TTAFStock[WeekIndex],98)&gt;0)&gt;0,SUMIFS(T_SelfStock[Self_Qty],T_SelfStock[RM_Code],$A96,T_SelfStock[WeekIndex],98)+SUMIFS(T_TTAFStock[TTAF_Qty],T_TTAFStock[RM_Code],$A96,T_TTAFStock[WeekIndex],98),CT96+'Grid_Incoming'!CU96-'Grid_Requirement'!CU96))</f>
        <v/>
      </c>
      <c r="CV96">
        <f>IF(COUNTIFS(T_StockCount[RM_Code],$A96,T_StockCount[WeekIndex],99)&gt;0,SUMIFS(T_StockCount[CountedQty],T_StockCount[RM_Code],$A96,T_StockCount[WeekIndex],99),IF((COUNTIFS(T_SelfStock[RM_Code],$A96,T_SelfStock[WeekIndex],99)&gt;0)*(COUNTIFS(T_TTAFStock[RM_Code],$A96,T_TTAFStock[WeekIndex],99)&gt;0)&gt;0,SUMIFS(T_SelfStock[Self_Qty],T_SelfStock[RM_Code],$A96,T_SelfStock[WeekIndex],99)+SUMIFS(T_TTAFStock[TTAF_Qty],T_TTAFStock[RM_Code],$A96,T_TTAFStock[WeekIndex],99),CU96+'Grid_Incoming'!CV96-'Grid_Requirement'!CV96))</f>
        <v/>
      </c>
      <c r="CW96">
        <f>IF(COUNTIFS(T_StockCount[RM_Code],$A96,T_StockCount[WeekIndex],100)&gt;0,SUMIFS(T_StockCount[CountedQty],T_StockCount[RM_Code],$A96,T_StockCount[WeekIndex],100),IF((COUNTIFS(T_SelfStock[RM_Code],$A96,T_SelfStock[WeekIndex],100)&gt;0)*(COUNTIFS(T_TTAFStock[RM_Code],$A96,T_TTAFStock[WeekIndex],100)&gt;0)&gt;0,SUMIFS(T_SelfStock[Self_Qty],T_SelfStock[RM_Code],$A96,T_SelfStock[WeekIndex],100)+SUMIFS(T_TTAFStock[TTAF_Qty],T_TTAFStock[RM_Code],$A96,T_TTAFStock[WeekIndex],100),CV96+'Grid_Incoming'!CW96-'Grid_Requirement'!CW96))</f>
        <v/>
      </c>
      <c r="CX96">
        <f>IF(COUNTIFS(T_StockCount[RM_Code],$A96,T_StockCount[WeekIndex],101)&gt;0,SUMIFS(T_StockCount[CountedQty],T_StockCount[RM_Code],$A96,T_StockCount[WeekIndex],101),IF((COUNTIFS(T_SelfStock[RM_Code],$A96,T_SelfStock[WeekIndex],101)&gt;0)*(COUNTIFS(T_TTAFStock[RM_Code],$A96,T_TTAFStock[WeekIndex],101)&gt;0)&gt;0,SUMIFS(T_SelfStock[Self_Qty],T_SelfStock[RM_Code],$A96,T_SelfStock[WeekIndex],101)+SUMIFS(T_TTAFStock[TTAF_Qty],T_TTAFStock[RM_Code],$A96,T_TTAFStock[WeekIndex],101),CW96+'Grid_Incoming'!CX96-'Grid_Requirement'!CX96))</f>
        <v/>
      </c>
      <c r="CY96">
        <f>IF(COUNTIFS(T_StockCount[RM_Code],$A96,T_StockCount[WeekIndex],102)&gt;0,SUMIFS(T_StockCount[CountedQty],T_StockCount[RM_Code],$A96,T_StockCount[WeekIndex],102),IF((COUNTIFS(T_SelfStock[RM_Code],$A96,T_SelfStock[WeekIndex],102)&gt;0)*(COUNTIFS(T_TTAFStock[RM_Code],$A96,T_TTAFStock[WeekIndex],102)&gt;0)&gt;0,SUMIFS(T_SelfStock[Self_Qty],T_SelfStock[RM_Code],$A96,T_SelfStock[WeekIndex],102)+SUMIFS(T_TTAFStock[TTAF_Qty],T_TTAFStock[RM_Code],$A96,T_TTAFStock[WeekIndex],102),CX96+'Grid_Incoming'!CY96-'Grid_Requirement'!CY96))</f>
        <v/>
      </c>
      <c r="CZ96">
        <f>IF(COUNTIFS(T_StockCount[RM_Code],$A96,T_StockCount[WeekIndex],103)&gt;0,SUMIFS(T_StockCount[CountedQty],T_StockCount[RM_Code],$A96,T_StockCount[WeekIndex],103),IF((COUNTIFS(T_SelfStock[RM_Code],$A96,T_SelfStock[WeekIndex],103)&gt;0)*(COUNTIFS(T_TTAFStock[RM_Code],$A96,T_TTAFStock[WeekIndex],103)&gt;0)&gt;0,SUMIFS(T_SelfStock[Self_Qty],T_SelfStock[RM_Code],$A96,T_SelfStock[WeekIndex],103)+SUMIFS(T_TTAFStock[TTAF_Qty],T_TTAFStock[RM_Code],$A96,T_TTAFStock[WeekIndex],103),CY96+'Grid_Incoming'!CZ96-'Grid_Requirement'!CZ96))</f>
        <v/>
      </c>
      <c r="DA96">
        <f>IF(COUNTIFS(T_StockCount[RM_Code],$A96,T_StockCount[WeekIndex],104)&gt;0,SUMIFS(T_StockCount[CountedQty],T_StockCount[RM_Code],$A96,T_StockCount[WeekIndex],104),IF((COUNTIFS(T_SelfStock[RM_Code],$A96,T_SelfStock[WeekIndex],104)&gt;0)*(COUNTIFS(T_TTAFStock[RM_Code],$A96,T_TTAFStock[WeekIndex],104)&gt;0)&gt;0,SUMIFS(T_SelfStock[Self_Qty],T_SelfStock[RM_Code],$A96,T_SelfStock[WeekIndex],104)+SUMIFS(T_TTAFStock[TTAF_Qty],T_TTAFStock[RM_Code],$A96,T_TTAFStock[WeekIndex],104),CZ96+'Grid_Incoming'!DA96-'Grid_Requirement'!DA96))</f>
        <v/>
      </c>
    </row>
    <row r="97">
      <c r="A97" t="inlineStr">
        <is>
          <t>CHEM-1620</t>
        </is>
      </c>
      <c r="B97">
        <f>IF(COUNTIFS(T_StockCount[RM_Code],$A97,T_StockCount[WeekIndex],1)&gt;0,SUMIFS(T_StockCount[CountedQty],T_StockCount[RM_Code],$A97,T_StockCount[WeekIndex],1),IF((COUNTIFS(T_SelfStock[RM_Code],$A97,T_SelfStock[WeekIndex],1)&gt;0)*(COUNTIFS(T_TTAFStock[RM_Code],$A97,T_TTAFStock[WeekIndex],1)&gt;0)&gt;0,SUMIFS(T_SelfStock[Self_Qty],T_SelfStock[RM_Code],$A97,T_SelfStock[WeekIndex],1)+SUMIFS(T_TTAFStock[TTAF_Qty],T_TTAFStock[RM_Code],$A97,T_TTAFStock[WeekIndex],1),IFERROR(INDEX(T_OpeningStock[Opening_Qty],MATCH($A97,T_OpeningStock[RM_Code],0)),0)+'Grid_Incoming'!B97-'Grid_Requirement'!B97))</f>
        <v/>
      </c>
      <c r="C97">
        <f>IF(COUNTIFS(T_StockCount[RM_Code],$A97,T_StockCount[WeekIndex],2)&gt;0,SUMIFS(T_StockCount[CountedQty],T_StockCount[RM_Code],$A97,T_StockCount[WeekIndex],2),IF((COUNTIFS(T_SelfStock[RM_Code],$A97,T_SelfStock[WeekIndex],2)&gt;0)*(COUNTIFS(T_TTAFStock[RM_Code],$A97,T_TTAFStock[WeekIndex],2)&gt;0)&gt;0,SUMIFS(T_SelfStock[Self_Qty],T_SelfStock[RM_Code],$A97,T_SelfStock[WeekIndex],2)+SUMIFS(T_TTAFStock[TTAF_Qty],T_TTAFStock[RM_Code],$A97,T_TTAFStock[WeekIndex],2),B97+'Grid_Incoming'!C97-'Grid_Requirement'!C97))</f>
        <v/>
      </c>
      <c r="D97">
        <f>IF(COUNTIFS(T_StockCount[RM_Code],$A97,T_StockCount[WeekIndex],3)&gt;0,SUMIFS(T_StockCount[CountedQty],T_StockCount[RM_Code],$A97,T_StockCount[WeekIndex],3),IF((COUNTIFS(T_SelfStock[RM_Code],$A97,T_SelfStock[WeekIndex],3)&gt;0)*(COUNTIFS(T_TTAFStock[RM_Code],$A97,T_TTAFStock[WeekIndex],3)&gt;0)&gt;0,SUMIFS(T_SelfStock[Self_Qty],T_SelfStock[RM_Code],$A97,T_SelfStock[WeekIndex],3)+SUMIFS(T_TTAFStock[TTAF_Qty],T_TTAFStock[RM_Code],$A97,T_TTAFStock[WeekIndex],3),C97+'Grid_Incoming'!D97-'Grid_Requirement'!D97))</f>
        <v/>
      </c>
      <c r="E97">
        <f>IF(COUNTIFS(T_StockCount[RM_Code],$A97,T_StockCount[WeekIndex],4)&gt;0,SUMIFS(T_StockCount[CountedQty],T_StockCount[RM_Code],$A97,T_StockCount[WeekIndex],4),IF((COUNTIFS(T_SelfStock[RM_Code],$A97,T_SelfStock[WeekIndex],4)&gt;0)*(COUNTIFS(T_TTAFStock[RM_Code],$A97,T_TTAFStock[WeekIndex],4)&gt;0)&gt;0,SUMIFS(T_SelfStock[Self_Qty],T_SelfStock[RM_Code],$A97,T_SelfStock[WeekIndex],4)+SUMIFS(T_TTAFStock[TTAF_Qty],T_TTAFStock[RM_Code],$A97,T_TTAFStock[WeekIndex],4),D97+'Grid_Incoming'!E97-'Grid_Requirement'!E97))</f>
        <v/>
      </c>
      <c r="F97">
        <f>IF(COUNTIFS(T_StockCount[RM_Code],$A97,T_StockCount[WeekIndex],5)&gt;0,SUMIFS(T_StockCount[CountedQty],T_StockCount[RM_Code],$A97,T_StockCount[WeekIndex],5),IF((COUNTIFS(T_SelfStock[RM_Code],$A97,T_SelfStock[WeekIndex],5)&gt;0)*(COUNTIFS(T_TTAFStock[RM_Code],$A97,T_TTAFStock[WeekIndex],5)&gt;0)&gt;0,SUMIFS(T_SelfStock[Self_Qty],T_SelfStock[RM_Code],$A97,T_SelfStock[WeekIndex],5)+SUMIFS(T_TTAFStock[TTAF_Qty],T_TTAFStock[RM_Code],$A97,T_TTAFStock[WeekIndex],5),E97+'Grid_Incoming'!F97-'Grid_Requirement'!F97))</f>
        <v/>
      </c>
      <c r="G97">
        <f>IF(COUNTIFS(T_StockCount[RM_Code],$A97,T_StockCount[WeekIndex],6)&gt;0,SUMIFS(T_StockCount[CountedQty],T_StockCount[RM_Code],$A97,T_StockCount[WeekIndex],6),IF((COUNTIFS(T_SelfStock[RM_Code],$A97,T_SelfStock[WeekIndex],6)&gt;0)*(COUNTIFS(T_TTAFStock[RM_Code],$A97,T_TTAFStock[WeekIndex],6)&gt;0)&gt;0,SUMIFS(T_SelfStock[Self_Qty],T_SelfStock[RM_Code],$A97,T_SelfStock[WeekIndex],6)+SUMIFS(T_TTAFStock[TTAF_Qty],T_TTAFStock[RM_Code],$A97,T_TTAFStock[WeekIndex],6),F97+'Grid_Incoming'!G97-'Grid_Requirement'!G97))</f>
        <v/>
      </c>
      <c r="H97">
        <f>IF(COUNTIFS(T_StockCount[RM_Code],$A97,T_StockCount[WeekIndex],7)&gt;0,SUMIFS(T_StockCount[CountedQty],T_StockCount[RM_Code],$A97,T_StockCount[WeekIndex],7),IF((COUNTIFS(T_SelfStock[RM_Code],$A97,T_SelfStock[WeekIndex],7)&gt;0)*(COUNTIFS(T_TTAFStock[RM_Code],$A97,T_TTAFStock[WeekIndex],7)&gt;0)&gt;0,SUMIFS(T_SelfStock[Self_Qty],T_SelfStock[RM_Code],$A97,T_SelfStock[WeekIndex],7)+SUMIFS(T_TTAFStock[TTAF_Qty],T_TTAFStock[RM_Code],$A97,T_TTAFStock[WeekIndex],7),G97+'Grid_Incoming'!H97-'Grid_Requirement'!H97))</f>
        <v/>
      </c>
      <c r="I97">
        <f>IF(COUNTIFS(T_StockCount[RM_Code],$A97,T_StockCount[WeekIndex],8)&gt;0,SUMIFS(T_StockCount[CountedQty],T_StockCount[RM_Code],$A97,T_StockCount[WeekIndex],8),IF((COUNTIFS(T_SelfStock[RM_Code],$A97,T_SelfStock[WeekIndex],8)&gt;0)*(COUNTIFS(T_TTAFStock[RM_Code],$A97,T_TTAFStock[WeekIndex],8)&gt;0)&gt;0,SUMIFS(T_SelfStock[Self_Qty],T_SelfStock[RM_Code],$A97,T_SelfStock[WeekIndex],8)+SUMIFS(T_TTAFStock[TTAF_Qty],T_TTAFStock[RM_Code],$A97,T_TTAFStock[WeekIndex],8),H97+'Grid_Incoming'!I97-'Grid_Requirement'!I97))</f>
        <v/>
      </c>
      <c r="J97">
        <f>IF(COUNTIFS(T_StockCount[RM_Code],$A97,T_StockCount[WeekIndex],9)&gt;0,SUMIFS(T_StockCount[CountedQty],T_StockCount[RM_Code],$A97,T_StockCount[WeekIndex],9),IF((COUNTIFS(T_SelfStock[RM_Code],$A97,T_SelfStock[WeekIndex],9)&gt;0)*(COUNTIFS(T_TTAFStock[RM_Code],$A97,T_TTAFStock[WeekIndex],9)&gt;0)&gt;0,SUMIFS(T_SelfStock[Self_Qty],T_SelfStock[RM_Code],$A97,T_SelfStock[WeekIndex],9)+SUMIFS(T_TTAFStock[TTAF_Qty],T_TTAFStock[RM_Code],$A97,T_TTAFStock[WeekIndex],9),I97+'Grid_Incoming'!J97-'Grid_Requirement'!J97))</f>
        <v/>
      </c>
      <c r="K97">
        <f>IF(COUNTIFS(T_StockCount[RM_Code],$A97,T_StockCount[WeekIndex],10)&gt;0,SUMIFS(T_StockCount[CountedQty],T_StockCount[RM_Code],$A97,T_StockCount[WeekIndex],10),IF((COUNTIFS(T_SelfStock[RM_Code],$A97,T_SelfStock[WeekIndex],10)&gt;0)*(COUNTIFS(T_TTAFStock[RM_Code],$A97,T_TTAFStock[WeekIndex],10)&gt;0)&gt;0,SUMIFS(T_SelfStock[Self_Qty],T_SelfStock[RM_Code],$A97,T_SelfStock[WeekIndex],10)+SUMIFS(T_TTAFStock[TTAF_Qty],T_TTAFStock[RM_Code],$A97,T_TTAFStock[WeekIndex],10),J97+'Grid_Incoming'!K97-'Grid_Requirement'!K97))</f>
        <v/>
      </c>
      <c r="L97">
        <f>IF(COUNTIFS(T_StockCount[RM_Code],$A97,T_StockCount[WeekIndex],11)&gt;0,SUMIFS(T_StockCount[CountedQty],T_StockCount[RM_Code],$A97,T_StockCount[WeekIndex],11),IF((COUNTIFS(T_SelfStock[RM_Code],$A97,T_SelfStock[WeekIndex],11)&gt;0)*(COUNTIFS(T_TTAFStock[RM_Code],$A97,T_TTAFStock[WeekIndex],11)&gt;0)&gt;0,SUMIFS(T_SelfStock[Self_Qty],T_SelfStock[RM_Code],$A97,T_SelfStock[WeekIndex],11)+SUMIFS(T_TTAFStock[TTAF_Qty],T_TTAFStock[RM_Code],$A97,T_TTAFStock[WeekIndex],11),K97+'Grid_Incoming'!L97-'Grid_Requirement'!L97))</f>
        <v/>
      </c>
      <c r="M97">
        <f>IF(COUNTIFS(T_StockCount[RM_Code],$A97,T_StockCount[WeekIndex],12)&gt;0,SUMIFS(T_StockCount[CountedQty],T_StockCount[RM_Code],$A97,T_StockCount[WeekIndex],12),IF((COUNTIFS(T_SelfStock[RM_Code],$A97,T_SelfStock[WeekIndex],12)&gt;0)*(COUNTIFS(T_TTAFStock[RM_Code],$A97,T_TTAFStock[WeekIndex],12)&gt;0)&gt;0,SUMIFS(T_SelfStock[Self_Qty],T_SelfStock[RM_Code],$A97,T_SelfStock[WeekIndex],12)+SUMIFS(T_TTAFStock[TTAF_Qty],T_TTAFStock[RM_Code],$A97,T_TTAFStock[WeekIndex],12),L97+'Grid_Incoming'!M97-'Grid_Requirement'!M97))</f>
        <v/>
      </c>
      <c r="N97">
        <f>IF(COUNTIFS(T_StockCount[RM_Code],$A97,T_StockCount[WeekIndex],13)&gt;0,SUMIFS(T_StockCount[CountedQty],T_StockCount[RM_Code],$A97,T_StockCount[WeekIndex],13),IF((COUNTIFS(T_SelfStock[RM_Code],$A97,T_SelfStock[WeekIndex],13)&gt;0)*(COUNTIFS(T_TTAFStock[RM_Code],$A97,T_TTAFStock[WeekIndex],13)&gt;0)&gt;0,SUMIFS(T_SelfStock[Self_Qty],T_SelfStock[RM_Code],$A97,T_SelfStock[WeekIndex],13)+SUMIFS(T_TTAFStock[TTAF_Qty],T_TTAFStock[RM_Code],$A97,T_TTAFStock[WeekIndex],13),M97+'Grid_Incoming'!N97-'Grid_Requirement'!N97))</f>
        <v/>
      </c>
      <c r="O97">
        <f>IF(COUNTIFS(T_StockCount[RM_Code],$A97,T_StockCount[WeekIndex],14)&gt;0,SUMIFS(T_StockCount[CountedQty],T_StockCount[RM_Code],$A97,T_StockCount[WeekIndex],14),IF((COUNTIFS(T_SelfStock[RM_Code],$A97,T_SelfStock[WeekIndex],14)&gt;0)*(COUNTIFS(T_TTAFStock[RM_Code],$A97,T_TTAFStock[WeekIndex],14)&gt;0)&gt;0,SUMIFS(T_SelfStock[Self_Qty],T_SelfStock[RM_Code],$A97,T_SelfStock[WeekIndex],14)+SUMIFS(T_TTAFStock[TTAF_Qty],T_TTAFStock[RM_Code],$A97,T_TTAFStock[WeekIndex],14),N97+'Grid_Incoming'!O97-'Grid_Requirement'!O97))</f>
        <v/>
      </c>
      <c r="P97">
        <f>IF(COUNTIFS(T_StockCount[RM_Code],$A97,T_StockCount[WeekIndex],15)&gt;0,SUMIFS(T_StockCount[CountedQty],T_StockCount[RM_Code],$A97,T_StockCount[WeekIndex],15),IF((COUNTIFS(T_SelfStock[RM_Code],$A97,T_SelfStock[WeekIndex],15)&gt;0)*(COUNTIFS(T_TTAFStock[RM_Code],$A97,T_TTAFStock[WeekIndex],15)&gt;0)&gt;0,SUMIFS(T_SelfStock[Self_Qty],T_SelfStock[RM_Code],$A97,T_SelfStock[WeekIndex],15)+SUMIFS(T_TTAFStock[TTAF_Qty],T_TTAFStock[RM_Code],$A97,T_TTAFStock[WeekIndex],15),O97+'Grid_Incoming'!P97-'Grid_Requirement'!P97))</f>
        <v/>
      </c>
      <c r="Q97">
        <f>IF(COUNTIFS(T_StockCount[RM_Code],$A97,T_StockCount[WeekIndex],16)&gt;0,SUMIFS(T_StockCount[CountedQty],T_StockCount[RM_Code],$A97,T_StockCount[WeekIndex],16),IF((COUNTIFS(T_SelfStock[RM_Code],$A97,T_SelfStock[WeekIndex],16)&gt;0)*(COUNTIFS(T_TTAFStock[RM_Code],$A97,T_TTAFStock[WeekIndex],16)&gt;0)&gt;0,SUMIFS(T_SelfStock[Self_Qty],T_SelfStock[RM_Code],$A97,T_SelfStock[WeekIndex],16)+SUMIFS(T_TTAFStock[TTAF_Qty],T_TTAFStock[RM_Code],$A97,T_TTAFStock[WeekIndex],16),P97+'Grid_Incoming'!Q97-'Grid_Requirement'!Q97))</f>
        <v/>
      </c>
      <c r="R97">
        <f>IF(COUNTIFS(T_StockCount[RM_Code],$A97,T_StockCount[WeekIndex],17)&gt;0,SUMIFS(T_StockCount[CountedQty],T_StockCount[RM_Code],$A97,T_StockCount[WeekIndex],17),IF((COUNTIFS(T_SelfStock[RM_Code],$A97,T_SelfStock[WeekIndex],17)&gt;0)*(COUNTIFS(T_TTAFStock[RM_Code],$A97,T_TTAFStock[WeekIndex],17)&gt;0)&gt;0,SUMIFS(T_SelfStock[Self_Qty],T_SelfStock[RM_Code],$A97,T_SelfStock[WeekIndex],17)+SUMIFS(T_TTAFStock[TTAF_Qty],T_TTAFStock[RM_Code],$A97,T_TTAFStock[WeekIndex],17),Q97+'Grid_Incoming'!R97-'Grid_Requirement'!R97))</f>
        <v/>
      </c>
      <c r="S97">
        <f>IF(COUNTIFS(T_StockCount[RM_Code],$A97,T_StockCount[WeekIndex],18)&gt;0,SUMIFS(T_StockCount[CountedQty],T_StockCount[RM_Code],$A97,T_StockCount[WeekIndex],18),IF((COUNTIFS(T_SelfStock[RM_Code],$A97,T_SelfStock[WeekIndex],18)&gt;0)*(COUNTIFS(T_TTAFStock[RM_Code],$A97,T_TTAFStock[WeekIndex],18)&gt;0)&gt;0,SUMIFS(T_SelfStock[Self_Qty],T_SelfStock[RM_Code],$A97,T_SelfStock[WeekIndex],18)+SUMIFS(T_TTAFStock[TTAF_Qty],T_TTAFStock[RM_Code],$A97,T_TTAFStock[WeekIndex],18),R97+'Grid_Incoming'!S97-'Grid_Requirement'!S97))</f>
        <v/>
      </c>
      <c r="T97">
        <f>IF(COUNTIFS(T_StockCount[RM_Code],$A97,T_StockCount[WeekIndex],19)&gt;0,SUMIFS(T_StockCount[CountedQty],T_StockCount[RM_Code],$A97,T_StockCount[WeekIndex],19),IF((COUNTIFS(T_SelfStock[RM_Code],$A97,T_SelfStock[WeekIndex],19)&gt;0)*(COUNTIFS(T_TTAFStock[RM_Code],$A97,T_TTAFStock[WeekIndex],19)&gt;0)&gt;0,SUMIFS(T_SelfStock[Self_Qty],T_SelfStock[RM_Code],$A97,T_SelfStock[WeekIndex],19)+SUMIFS(T_TTAFStock[TTAF_Qty],T_TTAFStock[RM_Code],$A97,T_TTAFStock[WeekIndex],19),S97+'Grid_Incoming'!T97-'Grid_Requirement'!T97))</f>
        <v/>
      </c>
      <c r="U97">
        <f>IF(COUNTIFS(T_StockCount[RM_Code],$A97,T_StockCount[WeekIndex],20)&gt;0,SUMIFS(T_StockCount[CountedQty],T_StockCount[RM_Code],$A97,T_StockCount[WeekIndex],20),IF((COUNTIFS(T_SelfStock[RM_Code],$A97,T_SelfStock[WeekIndex],20)&gt;0)*(COUNTIFS(T_TTAFStock[RM_Code],$A97,T_TTAFStock[WeekIndex],20)&gt;0)&gt;0,SUMIFS(T_SelfStock[Self_Qty],T_SelfStock[RM_Code],$A97,T_SelfStock[WeekIndex],20)+SUMIFS(T_TTAFStock[TTAF_Qty],T_TTAFStock[RM_Code],$A97,T_TTAFStock[WeekIndex],20),T97+'Grid_Incoming'!U97-'Grid_Requirement'!U97))</f>
        <v/>
      </c>
      <c r="V97">
        <f>IF(COUNTIFS(T_StockCount[RM_Code],$A97,T_StockCount[WeekIndex],21)&gt;0,SUMIFS(T_StockCount[CountedQty],T_StockCount[RM_Code],$A97,T_StockCount[WeekIndex],21),IF((COUNTIFS(T_SelfStock[RM_Code],$A97,T_SelfStock[WeekIndex],21)&gt;0)*(COUNTIFS(T_TTAFStock[RM_Code],$A97,T_TTAFStock[WeekIndex],21)&gt;0)&gt;0,SUMIFS(T_SelfStock[Self_Qty],T_SelfStock[RM_Code],$A97,T_SelfStock[WeekIndex],21)+SUMIFS(T_TTAFStock[TTAF_Qty],T_TTAFStock[RM_Code],$A97,T_TTAFStock[WeekIndex],21),U97+'Grid_Incoming'!V97-'Grid_Requirement'!V97))</f>
        <v/>
      </c>
      <c r="W97">
        <f>IF(COUNTIFS(T_StockCount[RM_Code],$A97,T_StockCount[WeekIndex],22)&gt;0,SUMIFS(T_StockCount[CountedQty],T_StockCount[RM_Code],$A97,T_StockCount[WeekIndex],22),IF((COUNTIFS(T_SelfStock[RM_Code],$A97,T_SelfStock[WeekIndex],22)&gt;0)*(COUNTIFS(T_TTAFStock[RM_Code],$A97,T_TTAFStock[WeekIndex],22)&gt;0)&gt;0,SUMIFS(T_SelfStock[Self_Qty],T_SelfStock[RM_Code],$A97,T_SelfStock[WeekIndex],22)+SUMIFS(T_TTAFStock[TTAF_Qty],T_TTAFStock[RM_Code],$A97,T_TTAFStock[WeekIndex],22),V97+'Grid_Incoming'!W97-'Grid_Requirement'!W97))</f>
        <v/>
      </c>
      <c r="X97">
        <f>IF(COUNTIFS(T_StockCount[RM_Code],$A97,T_StockCount[WeekIndex],23)&gt;0,SUMIFS(T_StockCount[CountedQty],T_StockCount[RM_Code],$A97,T_StockCount[WeekIndex],23),IF((COUNTIFS(T_SelfStock[RM_Code],$A97,T_SelfStock[WeekIndex],23)&gt;0)*(COUNTIFS(T_TTAFStock[RM_Code],$A97,T_TTAFStock[WeekIndex],23)&gt;0)&gt;0,SUMIFS(T_SelfStock[Self_Qty],T_SelfStock[RM_Code],$A97,T_SelfStock[WeekIndex],23)+SUMIFS(T_TTAFStock[TTAF_Qty],T_TTAFStock[RM_Code],$A97,T_TTAFStock[WeekIndex],23),W97+'Grid_Incoming'!X97-'Grid_Requirement'!X97))</f>
        <v/>
      </c>
      <c r="Y97">
        <f>IF(COUNTIFS(T_StockCount[RM_Code],$A97,T_StockCount[WeekIndex],24)&gt;0,SUMIFS(T_StockCount[CountedQty],T_StockCount[RM_Code],$A97,T_StockCount[WeekIndex],24),IF((COUNTIFS(T_SelfStock[RM_Code],$A97,T_SelfStock[WeekIndex],24)&gt;0)*(COUNTIFS(T_TTAFStock[RM_Code],$A97,T_TTAFStock[WeekIndex],24)&gt;0)&gt;0,SUMIFS(T_SelfStock[Self_Qty],T_SelfStock[RM_Code],$A97,T_SelfStock[WeekIndex],24)+SUMIFS(T_TTAFStock[TTAF_Qty],T_TTAFStock[RM_Code],$A97,T_TTAFStock[WeekIndex],24),X97+'Grid_Incoming'!Y97-'Grid_Requirement'!Y97))</f>
        <v/>
      </c>
      <c r="Z97">
        <f>IF(COUNTIFS(T_StockCount[RM_Code],$A97,T_StockCount[WeekIndex],25)&gt;0,SUMIFS(T_StockCount[CountedQty],T_StockCount[RM_Code],$A97,T_StockCount[WeekIndex],25),IF((COUNTIFS(T_SelfStock[RM_Code],$A97,T_SelfStock[WeekIndex],25)&gt;0)*(COUNTIFS(T_TTAFStock[RM_Code],$A97,T_TTAFStock[WeekIndex],25)&gt;0)&gt;0,SUMIFS(T_SelfStock[Self_Qty],T_SelfStock[RM_Code],$A97,T_SelfStock[WeekIndex],25)+SUMIFS(T_TTAFStock[TTAF_Qty],T_TTAFStock[RM_Code],$A97,T_TTAFStock[WeekIndex],25),Y97+'Grid_Incoming'!Z97-'Grid_Requirement'!Z97))</f>
        <v/>
      </c>
      <c r="AA97">
        <f>IF(COUNTIFS(T_StockCount[RM_Code],$A97,T_StockCount[WeekIndex],26)&gt;0,SUMIFS(T_StockCount[CountedQty],T_StockCount[RM_Code],$A97,T_StockCount[WeekIndex],26),IF((COUNTIFS(T_SelfStock[RM_Code],$A97,T_SelfStock[WeekIndex],26)&gt;0)*(COUNTIFS(T_TTAFStock[RM_Code],$A97,T_TTAFStock[WeekIndex],26)&gt;0)&gt;0,SUMIFS(T_SelfStock[Self_Qty],T_SelfStock[RM_Code],$A97,T_SelfStock[WeekIndex],26)+SUMIFS(T_TTAFStock[TTAF_Qty],T_TTAFStock[RM_Code],$A97,T_TTAFStock[WeekIndex],26),Z97+'Grid_Incoming'!AA97-'Grid_Requirement'!AA97))</f>
        <v/>
      </c>
      <c r="AB97">
        <f>IF(COUNTIFS(T_StockCount[RM_Code],$A97,T_StockCount[WeekIndex],27)&gt;0,SUMIFS(T_StockCount[CountedQty],T_StockCount[RM_Code],$A97,T_StockCount[WeekIndex],27),IF((COUNTIFS(T_SelfStock[RM_Code],$A97,T_SelfStock[WeekIndex],27)&gt;0)*(COUNTIFS(T_TTAFStock[RM_Code],$A97,T_TTAFStock[WeekIndex],27)&gt;0)&gt;0,SUMIFS(T_SelfStock[Self_Qty],T_SelfStock[RM_Code],$A97,T_SelfStock[WeekIndex],27)+SUMIFS(T_TTAFStock[TTAF_Qty],T_TTAFStock[RM_Code],$A97,T_TTAFStock[WeekIndex],27),AA97+'Grid_Incoming'!AB97-'Grid_Requirement'!AB97))</f>
        <v/>
      </c>
      <c r="AC97">
        <f>IF(COUNTIFS(T_StockCount[RM_Code],$A97,T_StockCount[WeekIndex],28)&gt;0,SUMIFS(T_StockCount[CountedQty],T_StockCount[RM_Code],$A97,T_StockCount[WeekIndex],28),IF((COUNTIFS(T_SelfStock[RM_Code],$A97,T_SelfStock[WeekIndex],28)&gt;0)*(COUNTIFS(T_TTAFStock[RM_Code],$A97,T_TTAFStock[WeekIndex],28)&gt;0)&gt;0,SUMIFS(T_SelfStock[Self_Qty],T_SelfStock[RM_Code],$A97,T_SelfStock[WeekIndex],28)+SUMIFS(T_TTAFStock[TTAF_Qty],T_TTAFStock[RM_Code],$A97,T_TTAFStock[WeekIndex],28),AB97+'Grid_Incoming'!AC97-'Grid_Requirement'!AC97))</f>
        <v/>
      </c>
      <c r="AD97">
        <f>IF(COUNTIFS(T_StockCount[RM_Code],$A97,T_StockCount[WeekIndex],29)&gt;0,SUMIFS(T_StockCount[CountedQty],T_StockCount[RM_Code],$A97,T_StockCount[WeekIndex],29),IF((COUNTIFS(T_SelfStock[RM_Code],$A97,T_SelfStock[WeekIndex],29)&gt;0)*(COUNTIFS(T_TTAFStock[RM_Code],$A97,T_TTAFStock[WeekIndex],29)&gt;0)&gt;0,SUMIFS(T_SelfStock[Self_Qty],T_SelfStock[RM_Code],$A97,T_SelfStock[WeekIndex],29)+SUMIFS(T_TTAFStock[TTAF_Qty],T_TTAFStock[RM_Code],$A97,T_TTAFStock[WeekIndex],29),AC97+'Grid_Incoming'!AD97-'Grid_Requirement'!AD97))</f>
        <v/>
      </c>
      <c r="AE97">
        <f>IF(COUNTIFS(T_StockCount[RM_Code],$A97,T_StockCount[WeekIndex],30)&gt;0,SUMIFS(T_StockCount[CountedQty],T_StockCount[RM_Code],$A97,T_StockCount[WeekIndex],30),IF((COUNTIFS(T_SelfStock[RM_Code],$A97,T_SelfStock[WeekIndex],30)&gt;0)*(COUNTIFS(T_TTAFStock[RM_Code],$A97,T_TTAFStock[WeekIndex],30)&gt;0)&gt;0,SUMIFS(T_SelfStock[Self_Qty],T_SelfStock[RM_Code],$A97,T_SelfStock[WeekIndex],30)+SUMIFS(T_TTAFStock[TTAF_Qty],T_TTAFStock[RM_Code],$A97,T_TTAFStock[WeekIndex],30),AD97+'Grid_Incoming'!AE97-'Grid_Requirement'!AE97))</f>
        <v/>
      </c>
      <c r="AF97">
        <f>IF(COUNTIFS(T_StockCount[RM_Code],$A97,T_StockCount[WeekIndex],31)&gt;0,SUMIFS(T_StockCount[CountedQty],T_StockCount[RM_Code],$A97,T_StockCount[WeekIndex],31),IF((COUNTIFS(T_SelfStock[RM_Code],$A97,T_SelfStock[WeekIndex],31)&gt;0)*(COUNTIFS(T_TTAFStock[RM_Code],$A97,T_TTAFStock[WeekIndex],31)&gt;0)&gt;0,SUMIFS(T_SelfStock[Self_Qty],T_SelfStock[RM_Code],$A97,T_SelfStock[WeekIndex],31)+SUMIFS(T_TTAFStock[TTAF_Qty],T_TTAFStock[RM_Code],$A97,T_TTAFStock[WeekIndex],31),AE97+'Grid_Incoming'!AF97-'Grid_Requirement'!AF97))</f>
        <v/>
      </c>
      <c r="AG97">
        <f>IF(COUNTIFS(T_StockCount[RM_Code],$A97,T_StockCount[WeekIndex],32)&gt;0,SUMIFS(T_StockCount[CountedQty],T_StockCount[RM_Code],$A97,T_StockCount[WeekIndex],32),IF((COUNTIFS(T_SelfStock[RM_Code],$A97,T_SelfStock[WeekIndex],32)&gt;0)*(COUNTIFS(T_TTAFStock[RM_Code],$A97,T_TTAFStock[WeekIndex],32)&gt;0)&gt;0,SUMIFS(T_SelfStock[Self_Qty],T_SelfStock[RM_Code],$A97,T_SelfStock[WeekIndex],32)+SUMIFS(T_TTAFStock[TTAF_Qty],T_TTAFStock[RM_Code],$A97,T_TTAFStock[WeekIndex],32),AF97+'Grid_Incoming'!AG97-'Grid_Requirement'!AG97))</f>
        <v/>
      </c>
      <c r="AH97">
        <f>IF(COUNTIFS(T_StockCount[RM_Code],$A97,T_StockCount[WeekIndex],33)&gt;0,SUMIFS(T_StockCount[CountedQty],T_StockCount[RM_Code],$A97,T_StockCount[WeekIndex],33),IF((COUNTIFS(T_SelfStock[RM_Code],$A97,T_SelfStock[WeekIndex],33)&gt;0)*(COUNTIFS(T_TTAFStock[RM_Code],$A97,T_TTAFStock[WeekIndex],33)&gt;0)&gt;0,SUMIFS(T_SelfStock[Self_Qty],T_SelfStock[RM_Code],$A97,T_SelfStock[WeekIndex],33)+SUMIFS(T_TTAFStock[TTAF_Qty],T_TTAFStock[RM_Code],$A97,T_TTAFStock[WeekIndex],33),AG97+'Grid_Incoming'!AH97-'Grid_Requirement'!AH97))</f>
        <v/>
      </c>
      <c r="AI97">
        <f>IF(COUNTIFS(T_StockCount[RM_Code],$A97,T_StockCount[WeekIndex],34)&gt;0,SUMIFS(T_StockCount[CountedQty],T_StockCount[RM_Code],$A97,T_StockCount[WeekIndex],34),IF((COUNTIFS(T_SelfStock[RM_Code],$A97,T_SelfStock[WeekIndex],34)&gt;0)*(COUNTIFS(T_TTAFStock[RM_Code],$A97,T_TTAFStock[WeekIndex],34)&gt;0)&gt;0,SUMIFS(T_SelfStock[Self_Qty],T_SelfStock[RM_Code],$A97,T_SelfStock[WeekIndex],34)+SUMIFS(T_TTAFStock[TTAF_Qty],T_TTAFStock[RM_Code],$A97,T_TTAFStock[WeekIndex],34),AH97+'Grid_Incoming'!AI97-'Grid_Requirement'!AI97))</f>
        <v/>
      </c>
      <c r="AJ97">
        <f>IF(COUNTIFS(T_StockCount[RM_Code],$A97,T_StockCount[WeekIndex],35)&gt;0,SUMIFS(T_StockCount[CountedQty],T_StockCount[RM_Code],$A97,T_StockCount[WeekIndex],35),IF((COUNTIFS(T_SelfStock[RM_Code],$A97,T_SelfStock[WeekIndex],35)&gt;0)*(COUNTIFS(T_TTAFStock[RM_Code],$A97,T_TTAFStock[WeekIndex],35)&gt;0)&gt;0,SUMIFS(T_SelfStock[Self_Qty],T_SelfStock[RM_Code],$A97,T_SelfStock[WeekIndex],35)+SUMIFS(T_TTAFStock[TTAF_Qty],T_TTAFStock[RM_Code],$A97,T_TTAFStock[WeekIndex],35),AI97+'Grid_Incoming'!AJ97-'Grid_Requirement'!AJ97))</f>
        <v/>
      </c>
      <c r="AK97">
        <f>IF(COUNTIFS(T_StockCount[RM_Code],$A97,T_StockCount[WeekIndex],36)&gt;0,SUMIFS(T_StockCount[CountedQty],T_StockCount[RM_Code],$A97,T_StockCount[WeekIndex],36),IF((COUNTIFS(T_SelfStock[RM_Code],$A97,T_SelfStock[WeekIndex],36)&gt;0)*(COUNTIFS(T_TTAFStock[RM_Code],$A97,T_TTAFStock[WeekIndex],36)&gt;0)&gt;0,SUMIFS(T_SelfStock[Self_Qty],T_SelfStock[RM_Code],$A97,T_SelfStock[WeekIndex],36)+SUMIFS(T_TTAFStock[TTAF_Qty],T_TTAFStock[RM_Code],$A97,T_TTAFStock[WeekIndex],36),AJ97+'Grid_Incoming'!AK97-'Grid_Requirement'!AK97))</f>
        <v/>
      </c>
      <c r="AL97">
        <f>IF(COUNTIFS(T_StockCount[RM_Code],$A97,T_StockCount[WeekIndex],37)&gt;0,SUMIFS(T_StockCount[CountedQty],T_StockCount[RM_Code],$A97,T_StockCount[WeekIndex],37),IF((COUNTIFS(T_SelfStock[RM_Code],$A97,T_SelfStock[WeekIndex],37)&gt;0)*(COUNTIFS(T_TTAFStock[RM_Code],$A97,T_TTAFStock[WeekIndex],37)&gt;0)&gt;0,SUMIFS(T_SelfStock[Self_Qty],T_SelfStock[RM_Code],$A97,T_SelfStock[WeekIndex],37)+SUMIFS(T_TTAFStock[TTAF_Qty],T_TTAFStock[RM_Code],$A97,T_TTAFStock[WeekIndex],37),AK97+'Grid_Incoming'!AL97-'Grid_Requirement'!AL97))</f>
        <v/>
      </c>
      <c r="AM97">
        <f>IF(COUNTIFS(T_StockCount[RM_Code],$A97,T_StockCount[WeekIndex],38)&gt;0,SUMIFS(T_StockCount[CountedQty],T_StockCount[RM_Code],$A97,T_StockCount[WeekIndex],38),IF((COUNTIFS(T_SelfStock[RM_Code],$A97,T_SelfStock[WeekIndex],38)&gt;0)*(COUNTIFS(T_TTAFStock[RM_Code],$A97,T_TTAFStock[WeekIndex],38)&gt;0)&gt;0,SUMIFS(T_SelfStock[Self_Qty],T_SelfStock[RM_Code],$A97,T_SelfStock[WeekIndex],38)+SUMIFS(T_TTAFStock[TTAF_Qty],T_TTAFStock[RM_Code],$A97,T_TTAFStock[WeekIndex],38),AL97+'Grid_Incoming'!AM97-'Grid_Requirement'!AM97))</f>
        <v/>
      </c>
      <c r="AN97">
        <f>IF(COUNTIFS(T_StockCount[RM_Code],$A97,T_StockCount[WeekIndex],39)&gt;0,SUMIFS(T_StockCount[CountedQty],T_StockCount[RM_Code],$A97,T_StockCount[WeekIndex],39),IF((COUNTIFS(T_SelfStock[RM_Code],$A97,T_SelfStock[WeekIndex],39)&gt;0)*(COUNTIFS(T_TTAFStock[RM_Code],$A97,T_TTAFStock[WeekIndex],39)&gt;0)&gt;0,SUMIFS(T_SelfStock[Self_Qty],T_SelfStock[RM_Code],$A97,T_SelfStock[WeekIndex],39)+SUMIFS(T_TTAFStock[TTAF_Qty],T_TTAFStock[RM_Code],$A97,T_TTAFStock[WeekIndex],39),AM97+'Grid_Incoming'!AN97-'Grid_Requirement'!AN97))</f>
        <v/>
      </c>
      <c r="AO97">
        <f>IF(COUNTIFS(T_StockCount[RM_Code],$A97,T_StockCount[WeekIndex],40)&gt;0,SUMIFS(T_StockCount[CountedQty],T_StockCount[RM_Code],$A97,T_StockCount[WeekIndex],40),IF((COUNTIFS(T_SelfStock[RM_Code],$A97,T_SelfStock[WeekIndex],40)&gt;0)*(COUNTIFS(T_TTAFStock[RM_Code],$A97,T_TTAFStock[WeekIndex],40)&gt;0)&gt;0,SUMIFS(T_SelfStock[Self_Qty],T_SelfStock[RM_Code],$A97,T_SelfStock[WeekIndex],40)+SUMIFS(T_TTAFStock[TTAF_Qty],T_TTAFStock[RM_Code],$A97,T_TTAFStock[WeekIndex],40),AN97+'Grid_Incoming'!AO97-'Grid_Requirement'!AO97))</f>
        <v/>
      </c>
      <c r="AP97">
        <f>IF(COUNTIFS(T_StockCount[RM_Code],$A97,T_StockCount[WeekIndex],41)&gt;0,SUMIFS(T_StockCount[CountedQty],T_StockCount[RM_Code],$A97,T_StockCount[WeekIndex],41),IF((COUNTIFS(T_SelfStock[RM_Code],$A97,T_SelfStock[WeekIndex],41)&gt;0)*(COUNTIFS(T_TTAFStock[RM_Code],$A97,T_TTAFStock[WeekIndex],41)&gt;0)&gt;0,SUMIFS(T_SelfStock[Self_Qty],T_SelfStock[RM_Code],$A97,T_SelfStock[WeekIndex],41)+SUMIFS(T_TTAFStock[TTAF_Qty],T_TTAFStock[RM_Code],$A97,T_TTAFStock[WeekIndex],41),AO97+'Grid_Incoming'!AP97-'Grid_Requirement'!AP97))</f>
        <v/>
      </c>
      <c r="AQ97">
        <f>IF(COUNTIFS(T_StockCount[RM_Code],$A97,T_StockCount[WeekIndex],42)&gt;0,SUMIFS(T_StockCount[CountedQty],T_StockCount[RM_Code],$A97,T_StockCount[WeekIndex],42),IF((COUNTIFS(T_SelfStock[RM_Code],$A97,T_SelfStock[WeekIndex],42)&gt;0)*(COUNTIFS(T_TTAFStock[RM_Code],$A97,T_TTAFStock[WeekIndex],42)&gt;0)&gt;0,SUMIFS(T_SelfStock[Self_Qty],T_SelfStock[RM_Code],$A97,T_SelfStock[WeekIndex],42)+SUMIFS(T_TTAFStock[TTAF_Qty],T_TTAFStock[RM_Code],$A97,T_TTAFStock[WeekIndex],42),AP97+'Grid_Incoming'!AQ97-'Grid_Requirement'!AQ97))</f>
        <v/>
      </c>
      <c r="AR97">
        <f>IF(COUNTIFS(T_StockCount[RM_Code],$A97,T_StockCount[WeekIndex],43)&gt;0,SUMIFS(T_StockCount[CountedQty],T_StockCount[RM_Code],$A97,T_StockCount[WeekIndex],43),IF((COUNTIFS(T_SelfStock[RM_Code],$A97,T_SelfStock[WeekIndex],43)&gt;0)*(COUNTIFS(T_TTAFStock[RM_Code],$A97,T_TTAFStock[WeekIndex],43)&gt;0)&gt;0,SUMIFS(T_SelfStock[Self_Qty],T_SelfStock[RM_Code],$A97,T_SelfStock[WeekIndex],43)+SUMIFS(T_TTAFStock[TTAF_Qty],T_TTAFStock[RM_Code],$A97,T_TTAFStock[WeekIndex],43),AQ97+'Grid_Incoming'!AR97-'Grid_Requirement'!AR97))</f>
        <v/>
      </c>
      <c r="AS97">
        <f>IF(COUNTIFS(T_StockCount[RM_Code],$A97,T_StockCount[WeekIndex],44)&gt;0,SUMIFS(T_StockCount[CountedQty],T_StockCount[RM_Code],$A97,T_StockCount[WeekIndex],44),IF((COUNTIFS(T_SelfStock[RM_Code],$A97,T_SelfStock[WeekIndex],44)&gt;0)*(COUNTIFS(T_TTAFStock[RM_Code],$A97,T_TTAFStock[WeekIndex],44)&gt;0)&gt;0,SUMIFS(T_SelfStock[Self_Qty],T_SelfStock[RM_Code],$A97,T_SelfStock[WeekIndex],44)+SUMIFS(T_TTAFStock[TTAF_Qty],T_TTAFStock[RM_Code],$A97,T_TTAFStock[WeekIndex],44),AR97+'Grid_Incoming'!AS97-'Grid_Requirement'!AS97))</f>
        <v/>
      </c>
      <c r="AT97">
        <f>IF(COUNTIFS(T_StockCount[RM_Code],$A97,T_StockCount[WeekIndex],45)&gt;0,SUMIFS(T_StockCount[CountedQty],T_StockCount[RM_Code],$A97,T_StockCount[WeekIndex],45),IF((COUNTIFS(T_SelfStock[RM_Code],$A97,T_SelfStock[WeekIndex],45)&gt;0)*(COUNTIFS(T_TTAFStock[RM_Code],$A97,T_TTAFStock[WeekIndex],45)&gt;0)&gt;0,SUMIFS(T_SelfStock[Self_Qty],T_SelfStock[RM_Code],$A97,T_SelfStock[WeekIndex],45)+SUMIFS(T_TTAFStock[TTAF_Qty],T_TTAFStock[RM_Code],$A97,T_TTAFStock[WeekIndex],45),AS97+'Grid_Incoming'!AT97-'Grid_Requirement'!AT97))</f>
        <v/>
      </c>
      <c r="AU97">
        <f>IF(COUNTIFS(T_StockCount[RM_Code],$A97,T_StockCount[WeekIndex],46)&gt;0,SUMIFS(T_StockCount[CountedQty],T_StockCount[RM_Code],$A97,T_StockCount[WeekIndex],46),IF((COUNTIFS(T_SelfStock[RM_Code],$A97,T_SelfStock[WeekIndex],46)&gt;0)*(COUNTIFS(T_TTAFStock[RM_Code],$A97,T_TTAFStock[WeekIndex],46)&gt;0)&gt;0,SUMIFS(T_SelfStock[Self_Qty],T_SelfStock[RM_Code],$A97,T_SelfStock[WeekIndex],46)+SUMIFS(T_TTAFStock[TTAF_Qty],T_TTAFStock[RM_Code],$A97,T_TTAFStock[WeekIndex],46),AT97+'Grid_Incoming'!AU97-'Grid_Requirement'!AU97))</f>
        <v/>
      </c>
      <c r="AV97">
        <f>IF(COUNTIFS(T_StockCount[RM_Code],$A97,T_StockCount[WeekIndex],47)&gt;0,SUMIFS(T_StockCount[CountedQty],T_StockCount[RM_Code],$A97,T_StockCount[WeekIndex],47),IF((COUNTIFS(T_SelfStock[RM_Code],$A97,T_SelfStock[WeekIndex],47)&gt;0)*(COUNTIFS(T_TTAFStock[RM_Code],$A97,T_TTAFStock[WeekIndex],47)&gt;0)&gt;0,SUMIFS(T_SelfStock[Self_Qty],T_SelfStock[RM_Code],$A97,T_SelfStock[WeekIndex],47)+SUMIFS(T_TTAFStock[TTAF_Qty],T_TTAFStock[RM_Code],$A97,T_TTAFStock[WeekIndex],47),AU97+'Grid_Incoming'!AV97-'Grid_Requirement'!AV97))</f>
        <v/>
      </c>
      <c r="AW97">
        <f>IF(COUNTIFS(T_StockCount[RM_Code],$A97,T_StockCount[WeekIndex],48)&gt;0,SUMIFS(T_StockCount[CountedQty],T_StockCount[RM_Code],$A97,T_StockCount[WeekIndex],48),IF((COUNTIFS(T_SelfStock[RM_Code],$A97,T_SelfStock[WeekIndex],48)&gt;0)*(COUNTIFS(T_TTAFStock[RM_Code],$A97,T_TTAFStock[WeekIndex],48)&gt;0)&gt;0,SUMIFS(T_SelfStock[Self_Qty],T_SelfStock[RM_Code],$A97,T_SelfStock[WeekIndex],48)+SUMIFS(T_TTAFStock[TTAF_Qty],T_TTAFStock[RM_Code],$A97,T_TTAFStock[WeekIndex],48),AV97+'Grid_Incoming'!AW97-'Grid_Requirement'!AW97))</f>
        <v/>
      </c>
      <c r="AX97">
        <f>IF(COUNTIFS(T_StockCount[RM_Code],$A97,T_StockCount[WeekIndex],49)&gt;0,SUMIFS(T_StockCount[CountedQty],T_StockCount[RM_Code],$A97,T_StockCount[WeekIndex],49),IF((COUNTIFS(T_SelfStock[RM_Code],$A97,T_SelfStock[WeekIndex],49)&gt;0)*(COUNTIFS(T_TTAFStock[RM_Code],$A97,T_TTAFStock[WeekIndex],49)&gt;0)&gt;0,SUMIFS(T_SelfStock[Self_Qty],T_SelfStock[RM_Code],$A97,T_SelfStock[WeekIndex],49)+SUMIFS(T_TTAFStock[TTAF_Qty],T_TTAFStock[RM_Code],$A97,T_TTAFStock[WeekIndex],49),AW97+'Grid_Incoming'!AX97-'Grid_Requirement'!AX97))</f>
        <v/>
      </c>
      <c r="AY97">
        <f>IF(COUNTIFS(T_StockCount[RM_Code],$A97,T_StockCount[WeekIndex],50)&gt;0,SUMIFS(T_StockCount[CountedQty],T_StockCount[RM_Code],$A97,T_StockCount[WeekIndex],50),IF((COUNTIFS(T_SelfStock[RM_Code],$A97,T_SelfStock[WeekIndex],50)&gt;0)*(COUNTIFS(T_TTAFStock[RM_Code],$A97,T_TTAFStock[WeekIndex],50)&gt;0)&gt;0,SUMIFS(T_SelfStock[Self_Qty],T_SelfStock[RM_Code],$A97,T_SelfStock[WeekIndex],50)+SUMIFS(T_TTAFStock[TTAF_Qty],T_TTAFStock[RM_Code],$A97,T_TTAFStock[WeekIndex],50),AX97+'Grid_Incoming'!AY97-'Grid_Requirement'!AY97))</f>
        <v/>
      </c>
      <c r="AZ97">
        <f>IF(COUNTIFS(T_StockCount[RM_Code],$A97,T_StockCount[WeekIndex],51)&gt;0,SUMIFS(T_StockCount[CountedQty],T_StockCount[RM_Code],$A97,T_StockCount[WeekIndex],51),IF((COUNTIFS(T_SelfStock[RM_Code],$A97,T_SelfStock[WeekIndex],51)&gt;0)*(COUNTIFS(T_TTAFStock[RM_Code],$A97,T_TTAFStock[WeekIndex],51)&gt;0)&gt;0,SUMIFS(T_SelfStock[Self_Qty],T_SelfStock[RM_Code],$A97,T_SelfStock[WeekIndex],51)+SUMIFS(T_TTAFStock[TTAF_Qty],T_TTAFStock[RM_Code],$A97,T_TTAFStock[WeekIndex],51),AY97+'Grid_Incoming'!AZ97-'Grid_Requirement'!AZ97))</f>
        <v/>
      </c>
      <c r="BA97">
        <f>IF(COUNTIFS(T_StockCount[RM_Code],$A97,T_StockCount[WeekIndex],52)&gt;0,SUMIFS(T_StockCount[CountedQty],T_StockCount[RM_Code],$A97,T_StockCount[WeekIndex],52),IF((COUNTIFS(T_SelfStock[RM_Code],$A97,T_SelfStock[WeekIndex],52)&gt;0)*(COUNTIFS(T_TTAFStock[RM_Code],$A97,T_TTAFStock[WeekIndex],52)&gt;0)&gt;0,SUMIFS(T_SelfStock[Self_Qty],T_SelfStock[RM_Code],$A97,T_SelfStock[WeekIndex],52)+SUMIFS(T_TTAFStock[TTAF_Qty],T_TTAFStock[RM_Code],$A97,T_TTAFStock[WeekIndex],52),AZ97+'Grid_Incoming'!BA97-'Grid_Requirement'!BA97))</f>
        <v/>
      </c>
      <c r="BB97">
        <f>IF(COUNTIFS(T_StockCount[RM_Code],$A97,T_StockCount[WeekIndex],53)&gt;0,SUMIFS(T_StockCount[CountedQty],T_StockCount[RM_Code],$A97,T_StockCount[WeekIndex],53),IF((COUNTIFS(T_SelfStock[RM_Code],$A97,T_SelfStock[WeekIndex],53)&gt;0)*(COUNTIFS(T_TTAFStock[RM_Code],$A97,T_TTAFStock[WeekIndex],53)&gt;0)&gt;0,SUMIFS(T_SelfStock[Self_Qty],T_SelfStock[RM_Code],$A97,T_SelfStock[WeekIndex],53)+SUMIFS(T_TTAFStock[TTAF_Qty],T_TTAFStock[RM_Code],$A97,T_TTAFStock[WeekIndex],53),BA97+'Grid_Incoming'!BB97-'Grid_Requirement'!BB97))</f>
        <v/>
      </c>
      <c r="BC97">
        <f>IF(COUNTIFS(T_StockCount[RM_Code],$A97,T_StockCount[WeekIndex],54)&gt;0,SUMIFS(T_StockCount[CountedQty],T_StockCount[RM_Code],$A97,T_StockCount[WeekIndex],54),IF((COUNTIFS(T_SelfStock[RM_Code],$A97,T_SelfStock[WeekIndex],54)&gt;0)*(COUNTIFS(T_TTAFStock[RM_Code],$A97,T_TTAFStock[WeekIndex],54)&gt;0)&gt;0,SUMIFS(T_SelfStock[Self_Qty],T_SelfStock[RM_Code],$A97,T_SelfStock[WeekIndex],54)+SUMIFS(T_TTAFStock[TTAF_Qty],T_TTAFStock[RM_Code],$A97,T_TTAFStock[WeekIndex],54),BB97+'Grid_Incoming'!BC97-'Grid_Requirement'!BC97))</f>
        <v/>
      </c>
      <c r="BD97">
        <f>IF(COUNTIFS(T_StockCount[RM_Code],$A97,T_StockCount[WeekIndex],55)&gt;0,SUMIFS(T_StockCount[CountedQty],T_StockCount[RM_Code],$A97,T_StockCount[WeekIndex],55),IF((COUNTIFS(T_SelfStock[RM_Code],$A97,T_SelfStock[WeekIndex],55)&gt;0)*(COUNTIFS(T_TTAFStock[RM_Code],$A97,T_TTAFStock[WeekIndex],55)&gt;0)&gt;0,SUMIFS(T_SelfStock[Self_Qty],T_SelfStock[RM_Code],$A97,T_SelfStock[WeekIndex],55)+SUMIFS(T_TTAFStock[TTAF_Qty],T_TTAFStock[RM_Code],$A97,T_TTAFStock[WeekIndex],55),BC97+'Grid_Incoming'!BD97-'Grid_Requirement'!BD97))</f>
        <v/>
      </c>
      <c r="BE97">
        <f>IF(COUNTIFS(T_StockCount[RM_Code],$A97,T_StockCount[WeekIndex],56)&gt;0,SUMIFS(T_StockCount[CountedQty],T_StockCount[RM_Code],$A97,T_StockCount[WeekIndex],56),IF((COUNTIFS(T_SelfStock[RM_Code],$A97,T_SelfStock[WeekIndex],56)&gt;0)*(COUNTIFS(T_TTAFStock[RM_Code],$A97,T_TTAFStock[WeekIndex],56)&gt;0)&gt;0,SUMIFS(T_SelfStock[Self_Qty],T_SelfStock[RM_Code],$A97,T_SelfStock[WeekIndex],56)+SUMIFS(T_TTAFStock[TTAF_Qty],T_TTAFStock[RM_Code],$A97,T_TTAFStock[WeekIndex],56),BD97+'Grid_Incoming'!BE97-'Grid_Requirement'!BE97))</f>
        <v/>
      </c>
      <c r="BF97">
        <f>IF(COUNTIFS(T_StockCount[RM_Code],$A97,T_StockCount[WeekIndex],57)&gt;0,SUMIFS(T_StockCount[CountedQty],T_StockCount[RM_Code],$A97,T_StockCount[WeekIndex],57),IF((COUNTIFS(T_SelfStock[RM_Code],$A97,T_SelfStock[WeekIndex],57)&gt;0)*(COUNTIFS(T_TTAFStock[RM_Code],$A97,T_TTAFStock[WeekIndex],57)&gt;0)&gt;0,SUMIFS(T_SelfStock[Self_Qty],T_SelfStock[RM_Code],$A97,T_SelfStock[WeekIndex],57)+SUMIFS(T_TTAFStock[TTAF_Qty],T_TTAFStock[RM_Code],$A97,T_TTAFStock[WeekIndex],57),BE97+'Grid_Incoming'!BF97-'Grid_Requirement'!BF97))</f>
        <v/>
      </c>
      <c r="BG97">
        <f>IF(COUNTIFS(T_StockCount[RM_Code],$A97,T_StockCount[WeekIndex],58)&gt;0,SUMIFS(T_StockCount[CountedQty],T_StockCount[RM_Code],$A97,T_StockCount[WeekIndex],58),IF((COUNTIFS(T_SelfStock[RM_Code],$A97,T_SelfStock[WeekIndex],58)&gt;0)*(COUNTIFS(T_TTAFStock[RM_Code],$A97,T_TTAFStock[WeekIndex],58)&gt;0)&gt;0,SUMIFS(T_SelfStock[Self_Qty],T_SelfStock[RM_Code],$A97,T_SelfStock[WeekIndex],58)+SUMIFS(T_TTAFStock[TTAF_Qty],T_TTAFStock[RM_Code],$A97,T_TTAFStock[WeekIndex],58),BF97+'Grid_Incoming'!BG97-'Grid_Requirement'!BG97))</f>
        <v/>
      </c>
      <c r="BH97">
        <f>IF(COUNTIFS(T_StockCount[RM_Code],$A97,T_StockCount[WeekIndex],59)&gt;0,SUMIFS(T_StockCount[CountedQty],T_StockCount[RM_Code],$A97,T_StockCount[WeekIndex],59),IF((COUNTIFS(T_SelfStock[RM_Code],$A97,T_SelfStock[WeekIndex],59)&gt;0)*(COUNTIFS(T_TTAFStock[RM_Code],$A97,T_TTAFStock[WeekIndex],59)&gt;0)&gt;0,SUMIFS(T_SelfStock[Self_Qty],T_SelfStock[RM_Code],$A97,T_SelfStock[WeekIndex],59)+SUMIFS(T_TTAFStock[TTAF_Qty],T_TTAFStock[RM_Code],$A97,T_TTAFStock[WeekIndex],59),BG97+'Grid_Incoming'!BH97-'Grid_Requirement'!BH97))</f>
        <v/>
      </c>
      <c r="BI97">
        <f>IF(COUNTIFS(T_StockCount[RM_Code],$A97,T_StockCount[WeekIndex],60)&gt;0,SUMIFS(T_StockCount[CountedQty],T_StockCount[RM_Code],$A97,T_StockCount[WeekIndex],60),IF((COUNTIFS(T_SelfStock[RM_Code],$A97,T_SelfStock[WeekIndex],60)&gt;0)*(COUNTIFS(T_TTAFStock[RM_Code],$A97,T_TTAFStock[WeekIndex],60)&gt;0)&gt;0,SUMIFS(T_SelfStock[Self_Qty],T_SelfStock[RM_Code],$A97,T_SelfStock[WeekIndex],60)+SUMIFS(T_TTAFStock[TTAF_Qty],T_TTAFStock[RM_Code],$A97,T_TTAFStock[WeekIndex],60),BH97+'Grid_Incoming'!BI97-'Grid_Requirement'!BI97))</f>
        <v/>
      </c>
      <c r="BJ97">
        <f>IF(COUNTIFS(T_StockCount[RM_Code],$A97,T_StockCount[WeekIndex],61)&gt;0,SUMIFS(T_StockCount[CountedQty],T_StockCount[RM_Code],$A97,T_StockCount[WeekIndex],61),IF((COUNTIFS(T_SelfStock[RM_Code],$A97,T_SelfStock[WeekIndex],61)&gt;0)*(COUNTIFS(T_TTAFStock[RM_Code],$A97,T_TTAFStock[WeekIndex],61)&gt;0)&gt;0,SUMIFS(T_SelfStock[Self_Qty],T_SelfStock[RM_Code],$A97,T_SelfStock[WeekIndex],61)+SUMIFS(T_TTAFStock[TTAF_Qty],T_TTAFStock[RM_Code],$A97,T_TTAFStock[WeekIndex],61),BI97+'Grid_Incoming'!BJ97-'Grid_Requirement'!BJ97))</f>
        <v/>
      </c>
      <c r="BK97">
        <f>IF(COUNTIFS(T_StockCount[RM_Code],$A97,T_StockCount[WeekIndex],62)&gt;0,SUMIFS(T_StockCount[CountedQty],T_StockCount[RM_Code],$A97,T_StockCount[WeekIndex],62),IF((COUNTIFS(T_SelfStock[RM_Code],$A97,T_SelfStock[WeekIndex],62)&gt;0)*(COUNTIFS(T_TTAFStock[RM_Code],$A97,T_TTAFStock[WeekIndex],62)&gt;0)&gt;0,SUMIFS(T_SelfStock[Self_Qty],T_SelfStock[RM_Code],$A97,T_SelfStock[WeekIndex],62)+SUMIFS(T_TTAFStock[TTAF_Qty],T_TTAFStock[RM_Code],$A97,T_TTAFStock[WeekIndex],62),BJ97+'Grid_Incoming'!BK97-'Grid_Requirement'!BK97))</f>
        <v/>
      </c>
      <c r="BL97">
        <f>IF(COUNTIFS(T_StockCount[RM_Code],$A97,T_StockCount[WeekIndex],63)&gt;0,SUMIFS(T_StockCount[CountedQty],T_StockCount[RM_Code],$A97,T_StockCount[WeekIndex],63),IF((COUNTIFS(T_SelfStock[RM_Code],$A97,T_SelfStock[WeekIndex],63)&gt;0)*(COUNTIFS(T_TTAFStock[RM_Code],$A97,T_TTAFStock[WeekIndex],63)&gt;0)&gt;0,SUMIFS(T_SelfStock[Self_Qty],T_SelfStock[RM_Code],$A97,T_SelfStock[WeekIndex],63)+SUMIFS(T_TTAFStock[TTAF_Qty],T_TTAFStock[RM_Code],$A97,T_TTAFStock[WeekIndex],63),BK97+'Grid_Incoming'!BL97-'Grid_Requirement'!BL97))</f>
        <v/>
      </c>
      <c r="BM97">
        <f>IF(COUNTIFS(T_StockCount[RM_Code],$A97,T_StockCount[WeekIndex],64)&gt;0,SUMIFS(T_StockCount[CountedQty],T_StockCount[RM_Code],$A97,T_StockCount[WeekIndex],64),IF((COUNTIFS(T_SelfStock[RM_Code],$A97,T_SelfStock[WeekIndex],64)&gt;0)*(COUNTIFS(T_TTAFStock[RM_Code],$A97,T_TTAFStock[WeekIndex],64)&gt;0)&gt;0,SUMIFS(T_SelfStock[Self_Qty],T_SelfStock[RM_Code],$A97,T_SelfStock[WeekIndex],64)+SUMIFS(T_TTAFStock[TTAF_Qty],T_TTAFStock[RM_Code],$A97,T_TTAFStock[WeekIndex],64),BL97+'Grid_Incoming'!BM97-'Grid_Requirement'!BM97))</f>
        <v/>
      </c>
      <c r="BN97">
        <f>IF(COUNTIFS(T_StockCount[RM_Code],$A97,T_StockCount[WeekIndex],65)&gt;0,SUMIFS(T_StockCount[CountedQty],T_StockCount[RM_Code],$A97,T_StockCount[WeekIndex],65),IF((COUNTIFS(T_SelfStock[RM_Code],$A97,T_SelfStock[WeekIndex],65)&gt;0)*(COUNTIFS(T_TTAFStock[RM_Code],$A97,T_TTAFStock[WeekIndex],65)&gt;0)&gt;0,SUMIFS(T_SelfStock[Self_Qty],T_SelfStock[RM_Code],$A97,T_SelfStock[WeekIndex],65)+SUMIFS(T_TTAFStock[TTAF_Qty],T_TTAFStock[RM_Code],$A97,T_TTAFStock[WeekIndex],65),BM97+'Grid_Incoming'!BN97-'Grid_Requirement'!BN97))</f>
        <v/>
      </c>
      <c r="BO97">
        <f>IF(COUNTIFS(T_StockCount[RM_Code],$A97,T_StockCount[WeekIndex],66)&gt;0,SUMIFS(T_StockCount[CountedQty],T_StockCount[RM_Code],$A97,T_StockCount[WeekIndex],66),IF((COUNTIFS(T_SelfStock[RM_Code],$A97,T_SelfStock[WeekIndex],66)&gt;0)*(COUNTIFS(T_TTAFStock[RM_Code],$A97,T_TTAFStock[WeekIndex],66)&gt;0)&gt;0,SUMIFS(T_SelfStock[Self_Qty],T_SelfStock[RM_Code],$A97,T_SelfStock[WeekIndex],66)+SUMIFS(T_TTAFStock[TTAF_Qty],T_TTAFStock[RM_Code],$A97,T_TTAFStock[WeekIndex],66),BN97+'Grid_Incoming'!BO97-'Grid_Requirement'!BO97))</f>
        <v/>
      </c>
      <c r="BP97">
        <f>IF(COUNTIFS(T_StockCount[RM_Code],$A97,T_StockCount[WeekIndex],67)&gt;0,SUMIFS(T_StockCount[CountedQty],T_StockCount[RM_Code],$A97,T_StockCount[WeekIndex],67),IF((COUNTIFS(T_SelfStock[RM_Code],$A97,T_SelfStock[WeekIndex],67)&gt;0)*(COUNTIFS(T_TTAFStock[RM_Code],$A97,T_TTAFStock[WeekIndex],67)&gt;0)&gt;0,SUMIFS(T_SelfStock[Self_Qty],T_SelfStock[RM_Code],$A97,T_SelfStock[WeekIndex],67)+SUMIFS(T_TTAFStock[TTAF_Qty],T_TTAFStock[RM_Code],$A97,T_TTAFStock[WeekIndex],67),BO97+'Grid_Incoming'!BP97-'Grid_Requirement'!BP97))</f>
        <v/>
      </c>
      <c r="BQ97">
        <f>IF(COUNTIFS(T_StockCount[RM_Code],$A97,T_StockCount[WeekIndex],68)&gt;0,SUMIFS(T_StockCount[CountedQty],T_StockCount[RM_Code],$A97,T_StockCount[WeekIndex],68),IF((COUNTIFS(T_SelfStock[RM_Code],$A97,T_SelfStock[WeekIndex],68)&gt;0)*(COUNTIFS(T_TTAFStock[RM_Code],$A97,T_TTAFStock[WeekIndex],68)&gt;0)&gt;0,SUMIFS(T_SelfStock[Self_Qty],T_SelfStock[RM_Code],$A97,T_SelfStock[WeekIndex],68)+SUMIFS(T_TTAFStock[TTAF_Qty],T_TTAFStock[RM_Code],$A97,T_TTAFStock[WeekIndex],68),BP97+'Grid_Incoming'!BQ97-'Grid_Requirement'!BQ97))</f>
        <v/>
      </c>
      <c r="BR97">
        <f>IF(COUNTIFS(T_StockCount[RM_Code],$A97,T_StockCount[WeekIndex],69)&gt;0,SUMIFS(T_StockCount[CountedQty],T_StockCount[RM_Code],$A97,T_StockCount[WeekIndex],69),IF((COUNTIFS(T_SelfStock[RM_Code],$A97,T_SelfStock[WeekIndex],69)&gt;0)*(COUNTIFS(T_TTAFStock[RM_Code],$A97,T_TTAFStock[WeekIndex],69)&gt;0)&gt;0,SUMIFS(T_SelfStock[Self_Qty],T_SelfStock[RM_Code],$A97,T_SelfStock[WeekIndex],69)+SUMIFS(T_TTAFStock[TTAF_Qty],T_TTAFStock[RM_Code],$A97,T_TTAFStock[WeekIndex],69),BQ97+'Grid_Incoming'!BR97-'Grid_Requirement'!BR97))</f>
        <v/>
      </c>
      <c r="BS97">
        <f>IF(COUNTIFS(T_StockCount[RM_Code],$A97,T_StockCount[WeekIndex],70)&gt;0,SUMIFS(T_StockCount[CountedQty],T_StockCount[RM_Code],$A97,T_StockCount[WeekIndex],70),IF((COUNTIFS(T_SelfStock[RM_Code],$A97,T_SelfStock[WeekIndex],70)&gt;0)*(COUNTIFS(T_TTAFStock[RM_Code],$A97,T_TTAFStock[WeekIndex],70)&gt;0)&gt;0,SUMIFS(T_SelfStock[Self_Qty],T_SelfStock[RM_Code],$A97,T_SelfStock[WeekIndex],70)+SUMIFS(T_TTAFStock[TTAF_Qty],T_TTAFStock[RM_Code],$A97,T_TTAFStock[WeekIndex],70),BR97+'Grid_Incoming'!BS97-'Grid_Requirement'!BS97))</f>
        <v/>
      </c>
      <c r="BT97">
        <f>IF(COUNTIFS(T_StockCount[RM_Code],$A97,T_StockCount[WeekIndex],71)&gt;0,SUMIFS(T_StockCount[CountedQty],T_StockCount[RM_Code],$A97,T_StockCount[WeekIndex],71),IF((COUNTIFS(T_SelfStock[RM_Code],$A97,T_SelfStock[WeekIndex],71)&gt;0)*(COUNTIFS(T_TTAFStock[RM_Code],$A97,T_TTAFStock[WeekIndex],71)&gt;0)&gt;0,SUMIFS(T_SelfStock[Self_Qty],T_SelfStock[RM_Code],$A97,T_SelfStock[WeekIndex],71)+SUMIFS(T_TTAFStock[TTAF_Qty],T_TTAFStock[RM_Code],$A97,T_TTAFStock[WeekIndex],71),BS97+'Grid_Incoming'!BT97-'Grid_Requirement'!BT97))</f>
        <v/>
      </c>
      <c r="BU97">
        <f>IF(COUNTIFS(T_StockCount[RM_Code],$A97,T_StockCount[WeekIndex],72)&gt;0,SUMIFS(T_StockCount[CountedQty],T_StockCount[RM_Code],$A97,T_StockCount[WeekIndex],72),IF((COUNTIFS(T_SelfStock[RM_Code],$A97,T_SelfStock[WeekIndex],72)&gt;0)*(COUNTIFS(T_TTAFStock[RM_Code],$A97,T_TTAFStock[WeekIndex],72)&gt;0)&gt;0,SUMIFS(T_SelfStock[Self_Qty],T_SelfStock[RM_Code],$A97,T_SelfStock[WeekIndex],72)+SUMIFS(T_TTAFStock[TTAF_Qty],T_TTAFStock[RM_Code],$A97,T_TTAFStock[WeekIndex],72),BT97+'Grid_Incoming'!BU97-'Grid_Requirement'!BU97))</f>
        <v/>
      </c>
      <c r="BV97">
        <f>IF(COUNTIFS(T_StockCount[RM_Code],$A97,T_StockCount[WeekIndex],73)&gt;0,SUMIFS(T_StockCount[CountedQty],T_StockCount[RM_Code],$A97,T_StockCount[WeekIndex],73),IF((COUNTIFS(T_SelfStock[RM_Code],$A97,T_SelfStock[WeekIndex],73)&gt;0)*(COUNTIFS(T_TTAFStock[RM_Code],$A97,T_TTAFStock[WeekIndex],73)&gt;0)&gt;0,SUMIFS(T_SelfStock[Self_Qty],T_SelfStock[RM_Code],$A97,T_SelfStock[WeekIndex],73)+SUMIFS(T_TTAFStock[TTAF_Qty],T_TTAFStock[RM_Code],$A97,T_TTAFStock[WeekIndex],73),BU97+'Grid_Incoming'!BV97-'Grid_Requirement'!BV97))</f>
        <v/>
      </c>
      <c r="BW97">
        <f>IF(COUNTIFS(T_StockCount[RM_Code],$A97,T_StockCount[WeekIndex],74)&gt;0,SUMIFS(T_StockCount[CountedQty],T_StockCount[RM_Code],$A97,T_StockCount[WeekIndex],74),IF((COUNTIFS(T_SelfStock[RM_Code],$A97,T_SelfStock[WeekIndex],74)&gt;0)*(COUNTIFS(T_TTAFStock[RM_Code],$A97,T_TTAFStock[WeekIndex],74)&gt;0)&gt;0,SUMIFS(T_SelfStock[Self_Qty],T_SelfStock[RM_Code],$A97,T_SelfStock[WeekIndex],74)+SUMIFS(T_TTAFStock[TTAF_Qty],T_TTAFStock[RM_Code],$A97,T_TTAFStock[WeekIndex],74),BV97+'Grid_Incoming'!BW97-'Grid_Requirement'!BW97))</f>
        <v/>
      </c>
      <c r="BX97">
        <f>IF(COUNTIFS(T_StockCount[RM_Code],$A97,T_StockCount[WeekIndex],75)&gt;0,SUMIFS(T_StockCount[CountedQty],T_StockCount[RM_Code],$A97,T_StockCount[WeekIndex],75),IF((COUNTIFS(T_SelfStock[RM_Code],$A97,T_SelfStock[WeekIndex],75)&gt;0)*(COUNTIFS(T_TTAFStock[RM_Code],$A97,T_TTAFStock[WeekIndex],75)&gt;0)&gt;0,SUMIFS(T_SelfStock[Self_Qty],T_SelfStock[RM_Code],$A97,T_SelfStock[WeekIndex],75)+SUMIFS(T_TTAFStock[TTAF_Qty],T_TTAFStock[RM_Code],$A97,T_TTAFStock[WeekIndex],75),BW97+'Grid_Incoming'!BX97-'Grid_Requirement'!BX97))</f>
        <v/>
      </c>
      <c r="BY97">
        <f>IF(COUNTIFS(T_StockCount[RM_Code],$A97,T_StockCount[WeekIndex],76)&gt;0,SUMIFS(T_StockCount[CountedQty],T_StockCount[RM_Code],$A97,T_StockCount[WeekIndex],76),IF((COUNTIFS(T_SelfStock[RM_Code],$A97,T_SelfStock[WeekIndex],76)&gt;0)*(COUNTIFS(T_TTAFStock[RM_Code],$A97,T_TTAFStock[WeekIndex],76)&gt;0)&gt;0,SUMIFS(T_SelfStock[Self_Qty],T_SelfStock[RM_Code],$A97,T_SelfStock[WeekIndex],76)+SUMIFS(T_TTAFStock[TTAF_Qty],T_TTAFStock[RM_Code],$A97,T_TTAFStock[WeekIndex],76),BX97+'Grid_Incoming'!BY97-'Grid_Requirement'!BY97))</f>
        <v/>
      </c>
      <c r="BZ97">
        <f>IF(COUNTIFS(T_StockCount[RM_Code],$A97,T_StockCount[WeekIndex],77)&gt;0,SUMIFS(T_StockCount[CountedQty],T_StockCount[RM_Code],$A97,T_StockCount[WeekIndex],77),IF((COUNTIFS(T_SelfStock[RM_Code],$A97,T_SelfStock[WeekIndex],77)&gt;0)*(COUNTIFS(T_TTAFStock[RM_Code],$A97,T_TTAFStock[WeekIndex],77)&gt;0)&gt;0,SUMIFS(T_SelfStock[Self_Qty],T_SelfStock[RM_Code],$A97,T_SelfStock[WeekIndex],77)+SUMIFS(T_TTAFStock[TTAF_Qty],T_TTAFStock[RM_Code],$A97,T_TTAFStock[WeekIndex],77),BY97+'Grid_Incoming'!BZ97-'Grid_Requirement'!BZ97))</f>
        <v/>
      </c>
      <c r="CA97">
        <f>IF(COUNTIFS(T_StockCount[RM_Code],$A97,T_StockCount[WeekIndex],78)&gt;0,SUMIFS(T_StockCount[CountedQty],T_StockCount[RM_Code],$A97,T_StockCount[WeekIndex],78),IF((COUNTIFS(T_SelfStock[RM_Code],$A97,T_SelfStock[WeekIndex],78)&gt;0)*(COUNTIFS(T_TTAFStock[RM_Code],$A97,T_TTAFStock[WeekIndex],78)&gt;0)&gt;0,SUMIFS(T_SelfStock[Self_Qty],T_SelfStock[RM_Code],$A97,T_SelfStock[WeekIndex],78)+SUMIFS(T_TTAFStock[TTAF_Qty],T_TTAFStock[RM_Code],$A97,T_TTAFStock[WeekIndex],78),BZ97+'Grid_Incoming'!CA97-'Grid_Requirement'!CA97))</f>
        <v/>
      </c>
      <c r="CB97">
        <f>IF(COUNTIFS(T_StockCount[RM_Code],$A97,T_StockCount[WeekIndex],79)&gt;0,SUMIFS(T_StockCount[CountedQty],T_StockCount[RM_Code],$A97,T_StockCount[WeekIndex],79),IF((COUNTIFS(T_SelfStock[RM_Code],$A97,T_SelfStock[WeekIndex],79)&gt;0)*(COUNTIFS(T_TTAFStock[RM_Code],$A97,T_TTAFStock[WeekIndex],79)&gt;0)&gt;0,SUMIFS(T_SelfStock[Self_Qty],T_SelfStock[RM_Code],$A97,T_SelfStock[WeekIndex],79)+SUMIFS(T_TTAFStock[TTAF_Qty],T_TTAFStock[RM_Code],$A97,T_TTAFStock[WeekIndex],79),CA97+'Grid_Incoming'!CB97-'Grid_Requirement'!CB97))</f>
        <v/>
      </c>
      <c r="CC97">
        <f>IF(COUNTIFS(T_StockCount[RM_Code],$A97,T_StockCount[WeekIndex],80)&gt;0,SUMIFS(T_StockCount[CountedQty],T_StockCount[RM_Code],$A97,T_StockCount[WeekIndex],80),IF((COUNTIFS(T_SelfStock[RM_Code],$A97,T_SelfStock[WeekIndex],80)&gt;0)*(COUNTIFS(T_TTAFStock[RM_Code],$A97,T_TTAFStock[WeekIndex],80)&gt;0)&gt;0,SUMIFS(T_SelfStock[Self_Qty],T_SelfStock[RM_Code],$A97,T_SelfStock[WeekIndex],80)+SUMIFS(T_TTAFStock[TTAF_Qty],T_TTAFStock[RM_Code],$A97,T_TTAFStock[WeekIndex],80),CB97+'Grid_Incoming'!CC97-'Grid_Requirement'!CC97))</f>
        <v/>
      </c>
      <c r="CD97">
        <f>IF(COUNTIFS(T_StockCount[RM_Code],$A97,T_StockCount[WeekIndex],81)&gt;0,SUMIFS(T_StockCount[CountedQty],T_StockCount[RM_Code],$A97,T_StockCount[WeekIndex],81),IF((COUNTIFS(T_SelfStock[RM_Code],$A97,T_SelfStock[WeekIndex],81)&gt;0)*(COUNTIFS(T_TTAFStock[RM_Code],$A97,T_TTAFStock[WeekIndex],81)&gt;0)&gt;0,SUMIFS(T_SelfStock[Self_Qty],T_SelfStock[RM_Code],$A97,T_SelfStock[WeekIndex],81)+SUMIFS(T_TTAFStock[TTAF_Qty],T_TTAFStock[RM_Code],$A97,T_TTAFStock[WeekIndex],81),CC97+'Grid_Incoming'!CD97-'Grid_Requirement'!CD97))</f>
        <v/>
      </c>
      <c r="CE97">
        <f>IF(COUNTIFS(T_StockCount[RM_Code],$A97,T_StockCount[WeekIndex],82)&gt;0,SUMIFS(T_StockCount[CountedQty],T_StockCount[RM_Code],$A97,T_StockCount[WeekIndex],82),IF((COUNTIFS(T_SelfStock[RM_Code],$A97,T_SelfStock[WeekIndex],82)&gt;0)*(COUNTIFS(T_TTAFStock[RM_Code],$A97,T_TTAFStock[WeekIndex],82)&gt;0)&gt;0,SUMIFS(T_SelfStock[Self_Qty],T_SelfStock[RM_Code],$A97,T_SelfStock[WeekIndex],82)+SUMIFS(T_TTAFStock[TTAF_Qty],T_TTAFStock[RM_Code],$A97,T_TTAFStock[WeekIndex],82),CD97+'Grid_Incoming'!CE97-'Grid_Requirement'!CE97))</f>
        <v/>
      </c>
      <c r="CF97">
        <f>IF(COUNTIFS(T_StockCount[RM_Code],$A97,T_StockCount[WeekIndex],83)&gt;0,SUMIFS(T_StockCount[CountedQty],T_StockCount[RM_Code],$A97,T_StockCount[WeekIndex],83),IF((COUNTIFS(T_SelfStock[RM_Code],$A97,T_SelfStock[WeekIndex],83)&gt;0)*(COUNTIFS(T_TTAFStock[RM_Code],$A97,T_TTAFStock[WeekIndex],83)&gt;0)&gt;0,SUMIFS(T_SelfStock[Self_Qty],T_SelfStock[RM_Code],$A97,T_SelfStock[WeekIndex],83)+SUMIFS(T_TTAFStock[TTAF_Qty],T_TTAFStock[RM_Code],$A97,T_TTAFStock[WeekIndex],83),CE97+'Grid_Incoming'!CF97-'Grid_Requirement'!CF97))</f>
        <v/>
      </c>
      <c r="CG97">
        <f>IF(COUNTIFS(T_StockCount[RM_Code],$A97,T_StockCount[WeekIndex],84)&gt;0,SUMIFS(T_StockCount[CountedQty],T_StockCount[RM_Code],$A97,T_StockCount[WeekIndex],84),IF((COUNTIFS(T_SelfStock[RM_Code],$A97,T_SelfStock[WeekIndex],84)&gt;0)*(COUNTIFS(T_TTAFStock[RM_Code],$A97,T_TTAFStock[WeekIndex],84)&gt;0)&gt;0,SUMIFS(T_SelfStock[Self_Qty],T_SelfStock[RM_Code],$A97,T_SelfStock[WeekIndex],84)+SUMIFS(T_TTAFStock[TTAF_Qty],T_TTAFStock[RM_Code],$A97,T_TTAFStock[WeekIndex],84),CF97+'Grid_Incoming'!CG97-'Grid_Requirement'!CG97))</f>
        <v/>
      </c>
      <c r="CH97">
        <f>IF(COUNTIFS(T_StockCount[RM_Code],$A97,T_StockCount[WeekIndex],85)&gt;0,SUMIFS(T_StockCount[CountedQty],T_StockCount[RM_Code],$A97,T_StockCount[WeekIndex],85),IF((COUNTIFS(T_SelfStock[RM_Code],$A97,T_SelfStock[WeekIndex],85)&gt;0)*(COUNTIFS(T_TTAFStock[RM_Code],$A97,T_TTAFStock[WeekIndex],85)&gt;0)&gt;0,SUMIFS(T_SelfStock[Self_Qty],T_SelfStock[RM_Code],$A97,T_SelfStock[WeekIndex],85)+SUMIFS(T_TTAFStock[TTAF_Qty],T_TTAFStock[RM_Code],$A97,T_TTAFStock[WeekIndex],85),CG97+'Grid_Incoming'!CH97-'Grid_Requirement'!CH97))</f>
        <v/>
      </c>
      <c r="CI97">
        <f>IF(COUNTIFS(T_StockCount[RM_Code],$A97,T_StockCount[WeekIndex],86)&gt;0,SUMIFS(T_StockCount[CountedQty],T_StockCount[RM_Code],$A97,T_StockCount[WeekIndex],86),IF((COUNTIFS(T_SelfStock[RM_Code],$A97,T_SelfStock[WeekIndex],86)&gt;0)*(COUNTIFS(T_TTAFStock[RM_Code],$A97,T_TTAFStock[WeekIndex],86)&gt;0)&gt;0,SUMIFS(T_SelfStock[Self_Qty],T_SelfStock[RM_Code],$A97,T_SelfStock[WeekIndex],86)+SUMIFS(T_TTAFStock[TTAF_Qty],T_TTAFStock[RM_Code],$A97,T_TTAFStock[WeekIndex],86),CH97+'Grid_Incoming'!CI97-'Grid_Requirement'!CI97))</f>
        <v/>
      </c>
      <c r="CJ97">
        <f>IF(COUNTIFS(T_StockCount[RM_Code],$A97,T_StockCount[WeekIndex],87)&gt;0,SUMIFS(T_StockCount[CountedQty],T_StockCount[RM_Code],$A97,T_StockCount[WeekIndex],87),IF((COUNTIFS(T_SelfStock[RM_Code],$A97,T_SelfStock[WeekIndex],87)&gt;0)*(COUNTIFS(T_TTAFStock[RM_Code],$A97,T_TTAFStock[WeekIndex],87)&gt;0)&gt;0,SUMIFS(T_SelfStock[Self_Qty],T_SelfStock[RM_Code],$A97,T_SelfStock[WeekIndex],87)+SUMIFS(T_TTAFStock[TTAF_Qty],T_TTAFStock[RM_Code],$A97,T_TTAFStock[WeekIndex],87),CI97+'Grid_Incoming'!CJ97-'Grid_Requirement'!CJ97))</f>
        <v/>
      </c>
      <c r="CK97">
        <f>IF(COUNTIFS(T_StockCount[RM_Code],$A97,T_StockCount[WeekIndex],88)&gt;0,SUMIFS(T_StockCount[CountedQty],T_StockCount[RM_Code],$A97,T_StockCount[WeekIndex],88),IF((COUNTIFS(T_SelfStock[RM_Code],$A97,T_SelfStock[WeekIndex],88)&gt;0)*(COUNTIFS(T_TTAFStock[RM_Code],$A97,T_TTAFStock[WeekIndex],88)&gt;0)&gt;0,SUMIFS(T_SelfStock[Self_Qty],T_SelfStock[RM_Code],$A97,T_SelfStock[WeekIndex],88)+SUMIFS(T_TTAFStock[TTAF_Qty],T_TTAFStock[RM_Code],$A97,T_TTAFStock[WeekIndex],88),CJ97+'Grid_Incoming'!CK97-'Grid_Requirement'!CK97))</f>
        <v/>
      </c>
      <c r="CL97">
        <f>IF(COUNTIFS(T_StockCount[RM_Code],$A97,T_StockCount[WeekIndex],89)&gt;0,SUMIFS(T_StockCount[CountedQty],T_StockCount[RM_Code],$A97,T_StockCount[WeekIndex],89),IF((COUNTIFS(T_SelfStock[RM_Code],$A97,T_SelfStock[WeekIndex],89)&gt;0)*(COUNTIFS(T_TTAFStock[RM_Code],$A97,T_TTAFStock[WeekIndex],89)&gt;0)&gt;0,SUMIFS(T_SelfStock[Self_Qty],T_SelfStock[RM_Code],$A97,T_SelfStock[WeekIndex],89)+SUMIFS(T_TTAFStock[TTAF_Qty],T_TTAFStock[RM_Code],$A97,T_TTAFStock[WeekIndex],89),CK97+'Grid_Incoming'!CL97-'Grid_Requirement'!CL97))</f>
        <v/>
      </c>
      <c r="CM97">
        <f>IF(COUNTIFS(T_StockCount[RM_Code],$A97,T_StockCount[WeekIndex],90)&gt;0,SUMIFS(T_StockCount[CountedQty],T_StockCount[RM_Code],$A97,T_StockCount[WeekIndex],90),IF((COUNTIFS(T_SelfStock[RM_Code],$A97,T_SelfStock[WeekIndex],90)&gt;0)*(COUNTIFS(T_TTAFStock[RM_Code],$A97,T_TTAFStock[WeekIndex],90)&gt;0)&gt;0,SUMIFS(T_SelfStock[Self_Qty],T_SelfStock[RM_Code],$A97,T_SelfStock[WeekIndex],90)+SUMIFS(T_TTAFStock[TTAF_Qty],T_TTAFStock[RM_Code],$A97,T_TTAFStock[WeekIndex],90),CL97+'Grid_Incoming'!CM97-'Grid_Requirement'!CM97))</f>
        <v/>
      </c>
      <c r="CN97">
        <f>IF(COUNTIFS(T_StockCount[RM_Code],$A97,T_StockCount[WeekIndex],91)&gt;0,SUMIFS(T_StockCount[CountedQty],T_StockCount[RM_Code],$A97,T_StockCount[WeekIndex],91),IF((COUNTIFS(T_SelfStock[RM_Code],$A97,T_SelfStock[WeekIndex],91)&gt;0)*(COUNTIFS(T_TTAFStock[RM_Code],$A97,T_TTAFStock[WeekIndex],91)&gt;0)&gt;0,SUMIFS(T_SelfStock[Self_Qty],T_SelfStock[RM_Code],$A97,T_SelfStock[WeekIndex],91)+SUMIFS(T_TTAFStock[TTAF_Qty],T_TTAFStock[RM_Code],$A97,T_TTAFStock[WeekIndex],91),CM97+'Grid_Incoming'!CN97-'Grid_Requirement'!CN97))</f>
        <v/>
      </c>
      <c r="CO97">
        <f>IF(COUNTIFS(T_StockCount[RM_Code],$A97,T_StockCount[WeekIndex],92)&gt;0,SUMIFS(T_StockCount[CountedQty],T_StockCount[RM_Code],$A97,T_StockCount[WeekIndex],92),IF((COUNTIFS(T_SelfStock[RM_Code],$A97,T_SelfStock[WeekIndex],92)&gt;0)*(COUNTIFS(T_TTAFStock[RM_Code],$A97,T_TTAFStock[WeekIndex],92)&gt;0)&gt;0,SUMIFS(T_SelfStock[Self_Qty],T_SelfStock[RM_Code],$A97,T_SelfStock[WeekIndex],92)+SUMIFS(T_TTAFStock[TTAF_Qty],T_TTAFStock[RM_Code],$A97,T_TTAFStock[WeekIndex],92),CN97+'Grid_Incoming'!CO97-'Grid_Requirement'!CO97))</f>
        <v/>
      </c>
      <c r="CP97">
        <f>IF(COUNTIFS(T_StockCount[RM_Code],$A97,T_StockCount[WeekIndex],93)&gt;0,SUMIFS(T_StockCount[CountedQty],T_StockCount[RM_Code],$A97,T_StockCount[WeekIndex],93),IF((COUNTIFS(T_SelfStock[RM_Code],$A97,T_SelfStock[WeekIndex],93)&gt;0)*(COUNTIFS(T_TTAFStock[RM_Code],$A97,T_TTAFStock[WeekIndex],93)&gt;0)&gt;0,SUMIFS(T_SelfStock[Self_Qty],T_SelfStock[RM_Code],$A97,T_SelfStock[WeekIndex],93)+SUMIFS(T_TTAFStock[TTAF_Qty],T_TTAFStock[RM_Code],$A97,T_TTAFStock[WeekIndex],93),CO97+'Grid_Incoming'!CP97-'Grid_Requirement'!CP97))</f>
        <v/>
      </c>
      <c r="CQ97">
        <f>IF(COUNTIFS(T_StockCount[RM_Code],$A97,T_StockCount[WeekIndex],94)&gt;0,SUMIFS(T_StockCount[CountedQty],T_StockCount[RM_Code],$A97,T_StockCount[WeekIndex],94),IF((COUNTIFS(T_SelfStock[RM_Code],$A97,T_SelfStock[WeekIndex],94)&gt;0)*(COUNTIFS(T_TTAFStock[RM_Code],$A97,T_TTAFStock[WeekIndex],94)&gt;0)&gt;0,SUMIFS(T_SelfStock[Self_Qty],T_SelfStock[RM_Code],$A97,T_SelfStock[WeekIndex],94)+SUMIFS(T_TTAFStock[TTAF_Qty],T_TTAFStock[RM_Code],$A97,T_TTAFStock[WeekIndex],94),CP97+'Grid_Incoming'!CQ97-'Grid_Requirement'!CQ97))</f>
        <v/>
      </c>
      <c r="CR97">
        <f>IF(COUNTIFS(T_StockCount[RM_Code],$A97,T_StockCount[WeekIndex],95)&gt;0,SUMIFS(T_StockCount[CountedQty],T_StockCount[RM_Code],$A97,T_StockCount[WeekIndex],95),IF((COUNTIFS(T_SelfStock[RM_Code],$A97,T_SelfStock[WeekIndex],95)&gt;0)*(COUNTIFS(T_TTAFStock[RM_Code],$A97,T_TTAFStock[WeekIndex],95)&gt;0)&gt;0,SUMIFS(T_SelfStock[Self_Qty],T_SelfStock[RM_Code],$A97,T_SelfStock[WeekIndex],95)+SUMIFS(T_TTAFStock[TTAF_Qty],T_TTAFStock[RM_Code],$A97,T_TTAFStock[WeekIndex],95),CQ97+'Grid_Incoming'!CR97-'Grid_Requirement'!CR97))</f>
        <v/>
      </c>
      <c r="CS97">
        <f>IF(COUNTIFS(T_StockCount[RM_Code],$A97,T_StockCount[WeekIndex],96)&gt;0,SUMIFS(T_StockCount[CountedQty],T_StockCount[RM_Code],$A97,T_StockCount[WeekIndex],96),IF((COUNTIFS(T_SelfStock[RM_Code],$A97,T_SelfStock[WeekIndex],96)&gt;0)*(COUNTIFS(T_TTAFStock[RM_Code],$A97,T_TTAFStock[WeekIndex],96)&gt;0)&gt;0,SUMIFS(T_SelfStock[Self_Qty],T_SelfStock[RM_Code],$A97,T_SelfStock[WeekIndex],96)+SUMIFS(T_TTAFStock[TTAF_Qty],T_TTAFStock[RM_Code],$A97,T_TTAFStock[WeekIndex],96),CR97+'Grid_Incoming'!CS97-'Grid_Requirement'!CS97))</f>
        <v/>
      </c>
      <c r="CT97">
        <f>IF(COUNTIFS(T_StockCount[RM_Code],$A97,T_StockCount[WeekIndex],97)&gt;0,SUMIFS(T_StockCount[CountedQty],T_StockCount[RM_Code],$A97,T_StockCount[WeekIndex],97),IF((COUNTIFS(T_SelfStock[RM_Code],$A97,T_SelfStock[WeekIndex],97)&gt;0)*(COUNTIFS(T_TTAFStock[RM_Code],$A97,T_TTAFStock[WeekIndex],97)&gt;0)&gt;0,SUMIFS(T_SelfStock[Self_Qty],T_SelfStock[RM_Code],$A97,T_SelfStock[WeekIndex],97)+SUMIFS(T_TTAFStock[TTAF_Qty],T_TTAFStock[RM_Code],$A97,T_TTAFStock[WeekIndex],97),CS97+'Grid_Incoming'!CT97-'Grid_Requirement'!CT97))</f>
        <v/>
      </c>
      <c r="CU97">
        <f>IF(COUNTIFS(T_StockCount[RM_Code],$A97,T_StockCount[WeekIndex],98)&gt;0,SUMIFS(T_StockCount[CountedQty],T_StockCount[RM_Code],$A97,T_StockCount[WeekIndex],98),IF((COUNTIFS(T_SelfStock[RM_Code],$A97,T_SelfStock[WeekIndex],98)&gt;0)*(COUNTIFS(T_TTAFStock[RM_Code],$A97,T_TTAFStock[WeekIndex],98)&gt;0)&gt;0,SUMIFS(T_SelfStock[Self_Qty],T_SelfStock[RM_Code],$A97,T_SelfStock[WeekIndex],98)+SUMIFS(T_TTAFStock[TTAF_Qty],T_TTAFStock[RM_Code],$A97,T_TTAFStock[WeekIndex],98),CT97+'Grid_Incoming'!CU97-'Grid_Requirement'!CU97))</f>
        <v/>
      </c>
      <c r="CV97">
        <f>IF(COUNTIFS(T_StockCount[RM_Code],$A97,T_StockCount[WeekIndex],99)&gt;0,SUMIFS(T_StockCount[CountedQty],T_StockCount[RM_Code],$A97,T_StockCount[WeekIndex],99),IF((COUNTIFS(T_SelfStock[RM_Code],$A97,T_SelfStock[WeekIndex],99)&gt;0)*(COUNTIFS(T_TTAFStock[RM_Code],$A97,T_TTAFStock[WeekIndex],99)&gt;0)&gt;0,SUMIFS(T_SelfStock[Self_Qty],T_SelfStock[RM_Code],$A97,T_SelfStock[WeekIndex],99)+SUMIFS(T_TTAFStock[TTAF_Qty],T_TTAFStock[RM_Code],$A97,T_TTAFStock[WeekIndex],99),CU97+'Grid_Incoming'!CV97-'Grid_Requirement'!CV97))</f>
        <v/>
      </c>
      <c r="CW97">
        <f>IF(COUNTIFS(T_StockCount[RM_Code],$A97,T_StockCount[WeekIndex],100)&gt;0,SUMIFS(T_StockCount[CountedQty],T_StockCount[RM_Code],$A97,T_StockCount[WeekIndex],100),IF((COUNTIFS(T_SelfStock[RM_Code],$A97,T_SelfStock[WeekIndex],100)&gt;0)*(COUNTIFS(T_TTAFStock[RM_Code],$A97,T_TTAFStock[WeekIndex],100)&gt;0)&gt;0,SUMIFS(T_SelfStock[Self_Qty],T_SelfStock[RM_Code],$A97,T_SelfStock[WeekIndex],100)+SUMIFS(T_TTAFStock[TTAF_Qty],T_TTAFStock[RM_Code],$A97,T_TTAFStock[WeekIndex],100),CV97+'Grid_Incoming'!CW97-'Grid_Requirement'!CW97))</f>
        <v/>
      </c>
      <c r="CX97">
        <f>IF(COUNTIFS(T_StockCount[RM_Code],$A97,T_StockCount[WeekIndex],101)&gt;0,SUMIFS(T_StockCount[CountedQty],T_StockCount[RM_Code],$A97,T_StockCount[WeekIndex],101),IF((COUNTIFS(T_SelfStock[RM_Code],$A97,T_SelfStock[WeekIndex],101)&gt;0)*(COUNTIFS(T_TTAFStock[RM_Code],$A97,T_TTAFStock[WeekIndex],101)&gt;0)&gt;0,SUMIFS(T_SelfStock[Self_Qty],T_SelfStock[RM_Code],$A97,T_SelfStock[WeekIndex],101)+SUMIFS(T_TTAFStock[TTAF_Qty],T_TTAFStock[RM_Code],$A97,T_TTAFStock[WeekIndex],101),CW97+'Grid_Incoming'!CX97-'Grid_Requirement'!CX97))</f>
        <v/>
      </c>
      <c r="CY97">
        <f>IF(COUNTIFS(T_StockCount[RM_Code],$A97,T_StockCount[WeekIndex],102)&gt;0,SUMIFS(T_StockCount[CountedQty],T_StockCount[RM_Code],$A97,T_StockCount[WeekIndex],102),IF((COUNTIFS(T_SelfStock[RM_Code],$A97,T_SelfStock[WeekIndex],102)&gt;0)*(COUNTIFS(T_TTAFStock[RM_Code],$A97,T_TTAFStock[WeekIndex],102)&gt;0)&gt;0,SUMIFS(T_SelfStock[Self_Qty],T_SelfStock[RM_Code],$A97,T_SelfStock[WeekIndex],102)+SUMIFS(T_TTAFStock[TTAF_Qty],T_TTAFStock[RM_Code],$A97,T_TTAFStock[WeekIndex],102),CX97+'Grid_Incoming'!CY97-'Grid_Requirement'!CY97))</f>
        <v/>
      </c>
      <c r="CZ97">
        <f>IF(COUNTIFS(T_StockCount[RM_Code],$A97,T_StockCount[WeekIndex],103)&gt;0,SUMIFS(T_StockCount[CountedQty],T_StockCount[RM_Code],$A97,T_StockCount[WeekIndex],103),IF((COUNTIFS(T_SelfStock[RM_Code],$A97,T_SelfStock[WeekIndex],103)&gt;0)*(COUNTIFS(T_TTAFStock[RM_Code],$A97,T_TTAFStock[WeekIndex],103)&gt;0)&gt;0,SUMIFS(T_SelfStock[Self_Qty],T_SelfStock[RM_Code],$A97,T_SelfStock[WeekIndex],103)+SUMIFS(T_TTAFStock[TTAF_Qty],T_TTAFStock[RM_Code],$A97,T_TTAFStock[WeekIndex],103),CY97+'Grid_Incoming'!CZ97-'Grid_Requirement'!CZ97))</f>
        <v/>
      </c>
      <c r="DA97">
        <f>IF(COUNTIFS(T_StockCount[RM_Code],$A97,T_StockCount[WeekIndex],104)&gt;0,SUMIFS(T_StockCount[CountedQty],T_StockCount[RM_Code],$A97,T_StockCount[WeekIndex],104),IF((COUNTIFS(T_SelfStock[RM_Code],$A97,T_SelfStock[WeekIndex],104)&gt;0)*(COUNTIFS(T_TTAFStock[RM_Code],$A97,T_TTAFStock[WeekIndex],104)&gt;0)&gt;0,SUMIFS(T_SelfStock[Self_Qty],T_SelfStock[RM_Code],$A97,T_SelfStock[WeekIndex],104)+SUMIFS(T_TTAFStock[TTAF_Qty],T_TTAFStock[RM_Code],$A97,T_TTAFStock[WeekIndex],104),CZ97+'Grid_Incoming'!DA97-'Grid_Requirement'!DA97))</f>
        <v/>
      </c>
    </row>
    <row r="98">
      <c r="A98" t="inlineStr">
        <is>
          <t>CHEM-1050</t>
        </is>
      </c>
      <c r="B98">
        <f>IF(COUNTIFS(T_StockCount[RM_Code],$A98,T_StockCount[WeekIndex],1)&gt;0,SUMIFS(T_StockCount[CountedQty],T_StockCount[RM_Code],$A98,T_StockCount[WeekIndex],1),IF((COUNTIFS(T_SelfStock[RM_Code],$A98,T_SelfStock[WeekIndex],1)&gt;0)*(COUNTIFS(T_TTAFStock[RM_Code],$A98,T_TTAFStock[WeekIndex],1)&gt;0)&gt;0,SUMIFS(T_SelfStock[Self_Qty],T_SelfStock[RM_Code],$A98,T_SelfStock[WeekIndex],1)+SUMIFS(T_TTAFStock[TTAF_Qty],T_TTAFStock[RM_Code],$A98,T_TTAFStock[WeekIndex],1),IFERROR(INDEX(T_OpeningStock[Opening_Qty],MATCH($A98,T_OpeningStock[RM_Code],0)),0)+'Grid_Incoming'!B98-'Grid_Requirement'!B98))</f>
        <v/>
      </c>
      <c r="C98">
        <f>IF(COUNTIFS(T_StockCount[RM_Code],$A98,T_StockCount[WeekIndex],2)&gt;0,SUMIFS(T_StockCount[CountedQty],T_StockCount[RM_Code],$A98,T_StockCount[WeekIndex],2),IF((COUNTIFS(T_SelfStock[RM_Code],$A98,T_SelfStock[WeekIndex],2)&gt;0)*(COUNTIFS(T_TTAFStock[RM_Code],$A98,T_TTAFStock[WeekIndex],2)&gt;0)&gt;0,SUMIFS(T_SelfStock[Self_Qty],T_SelfStock[RM_Code],$A98,T_SelfStock[WeekIndex],2)+SUMIFS(T_TTAFStock[TTAF_Qty],T_TTAFStock[RM_Code],$A98,T_TTAFStock[WeekIndex],2),B98+'Grid_Incoming'!C98-'Grid_Requirement'!C98))</f>
        <v/>
      </c>
      <c r="D98">
        <f>IF(COUNTIFS(T_StockCount[RM_Code],$A98,T_StockCount[WeekIndex],3)&gt;0,SUMIFS(T_StockCount[CountedQty],T_StockCount[RM_Code],$A98,T_StockCount[WeekIndex],3),IF((COUNTIFS(T_SelfStock[RM_Code],$A98,T_SelfStock[WeekIndex],3)&gt;0)*(COUNTIFS(T_TTAFStock[RM_Code],$A98,T_TTAFStock[WeekIndex],3)&gt;0)&gt;0,SUMIFS(T_SelfStock[Self_Qty],T_SelfStock[RM_Code],$A98,T_SelfStock[WeekIndex],3)+SUMIFS(T_TTAFStock[TTAF_Qty],T_TTAFStock[RM_Code],$A98,T_TTAFStock[WeekIndex],3),C98+'Grid_Incoming'!D98-'Grid_Requirement'!D98))</f>
        <v/>
      </c>
      <c r="E98">
        <f>IF(COUNTIFS(T_StockCount[RM_Code],$A98,T_StockCount[WeekIndex],4)&gt;0,SUMIFS(T_StockCount[CountedQty],T_StockCount[RM_Code],$A98,T_StockCount[WeekIndex],4),IF((COUNTIFS(T_SelfStock[RM_Code],$A98,T_SelfStock[WeekIndex],4)&gt;0)*(COUNTIFS(T_TTAFStock[RM_Code],$A98,T_TTAFStock[WeekIndex],4)&gt;0)&gt;0,SUMIFS(T_SelfStock[Self_Qty],T_SelfStock[RM_Code],$A98,T_SelfStock[WeekIndex],4)+SUMIFS(T_TTAFStock[TTAF_Qty],T_TTAFStock[RM_Code],$A98,T_TTAFStock[WeekIndex],4),D98+'Grid_Incoming'!E98-'Grid_Requirement'!E98))</f>
        <v/>
      </c>
      <c r="F98">
        <f>IF(COUNTIFS(T_StockCount[RM_Code],$A98,T_StockCount[WeekIndex],5)&gt;0,SUMIFS(T_StockCount[CountedQty],T_StockCount[RM_Code],$A98,T_StockCount[WeekIndex],5),IF((COUNTIFS(T_SelfStock[RM_Code],$A98,T_SelfStock[WeekIndex],5)&gt;0)*(COUNTIFS(T_TTAFStock[RM_Code],$A98,T_TTAFStock[WeekIndex],5)&gt;0)&gt;0,SUMIFS(T_SelfStock[Self_Qty],T_SelfStock[RM_Code],$A98,T_SelfStock[WeekIndex],5)+SUMIFS(T_TTAFStock[TTAF_Qty],T_TTAFStock[RM_Code],$A98,T_TTAFStock[WeekIndex],5),E98+'Grid_Incoming'!F98-'Grid_Requirement'!F98))</f>
        <v/>
      </c>
      <c r="G98">
        <f>IF(COUNTIFS(T_StockCount[RM_Code],$A98,T_StockCount[WeekIndex],6)&gt;0,SUMIFS(T_StockCount[CountedQty],T_StockCount[RM_Code],$A98,T_StockCount[WeekIndex],6),IF((COUNTIFS(T_SelfStock[RM_Code],$A98,T_SelfStock[WeekIndex],6)&gt;0)*(COUNTIFS(T_TTAFStock[RM_Code],$A98,T_TTAFStock[WeekIndex],6)&gt;0)&gt;0,SUMIFS(T_SelfStock[Self_Qty],T_SelfStock[RM_Code],$A98,T_SelfStock[WeekIndex],6)+SUMIFS(T_TTAFStock[TTAF_Qty],T_TTAFStock[RM_Code],$A98,T_TTAFStock[WeekIndex],6),F98+'Grid_Incoming'!G98-'Grid_Requirement'!G98))</f>
        <v/>
      </c>
      <c r="H98">
        <f>IF(COUNTIFS(T_StockCount[RM_Code],$A98,T_StockCount[WeekIndex],7)&gt;0,SUMIFS(T_StockCount[CountedQty],T_StockCount[RM_Code],$A98,T_StockCount[WeekIndex],7),IF((COUNTIFS(T_SelfStock[RM_Code],$A98,T_SelfStock[WeekIndex],7)&gt;0)*(COUNTIFS(T_TTAFStock[RM_Code],$A98,T_TTAFStock[WeekIndex],7)&gt;0)&gt;0,SUMIFS(T_SelfStock[Self_Qty],T_SelfStock[RM_Code],$A98,T_SelfStock[WeekIndex],7)+SUMIFS(T_TTAFStock[TTAF_Qty],T_TTAFStock[RM_Code],$A98,T_TTAFStock[WeekIndex],7),G98+'Grid_Incoming'!H98-'Grid_Requirement'!H98))</f>
        <v/>
      </c>
      <c r="I98">
        <f>IF(COUNTIFS(T_StockCount[RM_Code],$A98,T_StockCount[WeekIndex],8)&gt;0,SUMIFS(T_StockCount[CountedQty],T_StockCount[RM_Code],$A98,T_StockCount[WeekIndex],8),IF((COUNTIFS(T_SelfStock[RM_Code],$A98,T_SelfStock[WeekIndex],8)&gt;0)*(COUNTIFS(T_TTAFStock[RM_Code],$A98,T_TTAFStock[WeekIndex],8)&gt;0)&gt;0,SUMIFS(T_SelfStock[Self_Qty],T_SelfStock[RM_Code],$A98,T_SelfStock[WeekIndex],8)+SUMIFS(T_TTAFStock[TTAF_Qty],T_TTAFStock[RM_Code],$A98,T_TTAFStock[WeekIndex],8),H98+'Grid_Incoming'!I98-'Grid_Requirement'!I98))</f>
        <v/>
      </c>
      <c r="J98">
        <f>IF(COUNTIFS(T_StockCount[RM_Code],$A98,T_StockCount[WeekIndex],9)&gt;0,SUMIFS(T_StockCount[CountedQty],T_StockCount[RM_Code],$A98,T_StockCount[WeekIndex],9),IF((COUNTIFS(T_SelfStock[RM_Code],$A98,T_SelfStock[WeekIndex],9)&gt;0)*(COUNTIFS(T_TTAFStock[RM_Code],$A98,T_TTAFStock[WeekIndex],9)&gt;0)&gt;0,SUMIFS(T_SelfStock[Self_Qty],T_SelfStock[RM_Code],$A98,T_SelfStock[WeekIndex],9)+SUMIFS(T_TTAFStock[TTAF_Qty],T_TTAFStock[RM_Code],$A98,T_TTAFStock[WeekIndex],9),I98+'Grid_Incoming'!J98-'Grid_Requirement'!J98))</f>
        <v/>
      </c>
      <c r="K98">
        <f>IF(COUNTIFS(T_StockCount[RM_Code],$A98,T_StockCount[WeekIndex],10)&gt;0,SUMIFS(T_StockCount[CountedQty],T_StockCount[RM_Code],$A98,T_StockCount[WeekIndex],10),IF((COUNTIFS(T_SelfStock[RM_Code],$A98,T_SelfStock[WeekIndex],10)&gt;0)*(COUNTIFS(T_TTAFStock[RM_Code],$A98,T_TTAFStock[WeekIndex],10)&gt;0)&gt;0,SUMIFS(T_SelfStock[Self_Qty],T_SelfStock[RM_Code],$A98,T_SelfStock[WeekIndex],10)+SUMIFS(T_TTAFStock[TTAF_Qty],T_TTAFStock[RM_Code],$A98,T_TTAFStock[WeekIndex],10),J98+'Grid_Incoming'!K98-'Grid_Requirement'!K98))</f>
        <v/>
      </c>
      <c r="L98">
        <f>IF(COUNTIFS(T_StockCount[RM_Code],$A98,T_StockCount[WeekIndex],11)&gt;0,SUMIFS(T_StockCount[CountedQty],T_StockCount[RM_Code],$A98,T_StockCount[WeekIndex],11),IF((COUNTIFS(T_SelfStock[RM_Code],$A98,T_SelfStock[WeekIndex],11)&gt;0)*(COUNTIFS(T_TTAFStock[RM_Code],$A98,T_TTAFStock[WeekIndex],11)&gt;0)&gt;0,SUMIFS(T_SelfStock[Self_Qty],T_SelfStock[RM_Code],$A98,T_SelfStock[WeekIndex],11)+SUMIFS(T_TTAFStock[TTAF_Qty],T_TTAFStock[RM_Code],$A98,T_TTAFStock[WeekIndex],11),K98+'Grid_Incoming'!L98-'Grid_Requirement'!L98))</f>
        <v/>
      </c>
      <c r="M98">
        <f>IF(COUNTIFS(T_StockCount[RM_Code],$A98,T_StockCount[WeekIndex],12)&gt;0,SUMIFS(T_StockCount[CountedQty],T_StockCount[RM_Code],$A98,T_StockCount[WeekIndex],12),IF((COUNTIFS(T_SelfStock[RM_Code],$A98,T_SelfStock[WeekIndex],12)&gt;0)*(COUNTIFS(T_TTAFStock[RM_Code],$A98,T_TTAFStock[WeekIndex],12)&gt;0)&gt;0,SUMIFS(T_SelfStock[Self_Qty],T_SelfStock[RM_Code],$A98,T_SelfStock[WeekIndex],12)+SUMIFS(T_TTAFStock[TTAF_Qty],T_TTAFStock[RM_Code],$A98,T_TTAFStock[WeekIndex],12),L98+'Grid_Incoming'!M98-'Grid_Requirement'!M98))</f>
        <v/>
      </c>
      <c r="N98">
        <f>IF(COUNTIFS(T_StockCount[RM_Code],$A98,T_StockCount[WeekIndex],13)&gt;0,SUMIFS(T_StockCount[CountedQty],T_StockCount[RM_Code],$A98,T_StockCount[WeekIndex],13),IF((COUNTIFS(T_SelfStock[RM_Code],$A98,T_SelfStock[WeekIndex],13)&gt;0)*(COUNTIFS(T_TTAFStock[RM_Code],$A98,T_TTAFStock[WeekIndex],13)&gt;0)&gt;0,SUMIFS(T_SelfStock[Self_Qty],T_SelfStock[RM_Code],$A98,T_SelfStock[WeekIndex],13)+SUMIFS(T_TTAFStock[TTAF_Qty],T_TTAFStock[RM_Code],$A98,T_TTAFStock[WeekIndex],13),M98+'Grid_Incoming'!N98-'Grid_Requirement'!N98))</f>
        <v/>
      </c>
      <c r="O98">
        <f>IF(COUNTIFS(T_StockCount[RM_Code],$A98,T_StockCount[WeekIndex],14)&gt;0,SUMIFS(T_StockCount[CountedQty],T_StockCount[RM_Code],$A98,T_StockCount[WeekIndex],14),IF((COUNTIFS(T_SelfStock[RM_Code],$A98,T_SelfStock[WeekIndex],14)&gt;0)*(COUNTIFS(T_TTAFStock[RM_Code],$A98,T_TTAFStock[WeekIndex],14)&gt;0)&gt;0,SUMIFS(T_SelfStock[Self_Qty],T_SelfStock[RM_Code],$A98,T_SelfStock[WeekIndex],14)+SUMIFS(T_TTAFStock[TTAF_Qty],T_TTAFStock[RM_Code],$A98,T_TTAFStock[WeekIndex],14),N98+'Grid_Incoming'!O98-'Grid_Requirement'!O98))</f>
        <v/>
      </c>
      <c r="P98">
        <f>IF(COUNTIFS(T_StockCount[RM_Code],$A98,T_StockCount[WeekIndex],15)&gt;0,SUMIFS(T_StockCount[CountedQty],T_StockCount[RM_Code],$A98,T_StockCount[WeekIndex],15),IF((COUNTIFS(T_SelfStock[RM_Code],$A98,T_SelfStock[WeekIndex],15)&gt;0)*(COUNTIFS(T_TTAFStock[RM_Code],$A98,T_TTAFStock[WeekIndex],15)&gt;0)&gt;0,SUMIFS(T_SelfStock[Self_Qty],T_SelfStock[RM_Code],$A98,T_SelfStock[WeekIndex],15)+SUMIFS(T_TTAFStock[TTAF_Qty],T_TTAFStock[RM_Code],$A98,T_TTAFStock[WeekIndex],15),O98+'Grid_Incoming'!P98-'Grid_Requirement'!P98))</f>
        <v/>
      </c>
      <c r="Q98">
        <f>IF(COUNTIFS(T_StockCount[RM_Code],$A98,T_StockCount[WeekIndex],16)&gt;0,SUMIFS(T_StockCount[CountedQty],T_StockCount[RM_Code],$A98,T_StockCount[WeekIndex],16),IF((COUNTIFS(T_SelfStock[RM_Code],$A98,T_SelfStock[WeekIndex],16)&gt;0)*(COUNTIFS(T_TTAFStock[RM_Code],$A98,T_TTAFStock[WeekIndex],16)&gt;0)&gt;0,SUMIFS(T_SelfStock[Self_Qty],T_SelfStock[RM_Code],$A98,T_SelfStock[WeekIndex],16)+SUMIFS(T_TTAFStock[TTAF_Qty],T_TTAFStock[RM_Code],$A98,T_TTAFStock[WeekIndex],16),P98+'Grid_Incoming'!Q98-'Grid_Requirement'!Q98))</f>
        <v/>
      </c>
      <c r="R98">
        <f>IF(COUNTIFS(T_StockCount[RM_Code],$A98,T_StockCount[WeekIndex],17)&gt;0,SUMIFS(T_StockCount[CountedQty],T_StockCount[RM_Code],$A98,T_StockCount[WeekIndex],17),IF((COUNTIFS(T_SelfStock[RM_Code],$A98,T_SelfStock[WeekIndex],17)&gt;0)*(COUNTIFS(T_TTAFStock[RM_Code],$A98,T_TTAFStock[WeekIndex],17)&gt;0)&gt;0,SUMIFS(T_SelfStock[Self_Qty],T_SelfStock[RM_Code],$A98,T_SelfStock[WeekIndex],17)+SUMIFS(T_TTAFStock[TTAF_Qty],T_TTAFStock[RM_Code],$A98,T_TTAFStock[WeekIndex],17),Q98+'Grid_Incoming'!R98-'Grid_Requirement'!R98))</f>
        <v/>
      </c>
      <c r="S98">
        <f>IF(COUNTIFS(T_StockCount[RM_Code],$A98,T_StockCount[WeekIndex],18)&gt;0,SUMIFS(T_StockCount[CountedQty],T_StockCount[RM_Code],$A98,T_StockCount[WeekIndex],18),IF((COUNTIFS(T_SelfStock[RM_Code],$A98,T_SelfStock[WeekIndex],18)&gt;0)*(COUNTIFS(T_TTAFStock[RM_Code],$A98,T_TTAFStock[WeekIndex],18)&gt;0)&gt;0,SUMIFS(T_SelfStock[Self_Qty],T_SelfStock[RM_Code],$A98,T_SelfStock[WeekIndex],18)+SUMIFS(T_TTAFStock[TTAF_Qty],T_TTAFStock[RM_Code],$A98,T_TTAFStock[WeekIndex],18),R98+'Grid_Incoming'!S98-'Grid_Requirement'!S98))</f>
        <v/>
      </c>
      <c r="T98">
        <f>IF(COUNTIFS(T_StockCount[RM_Code],$A98,T_StockCount[WeekIndex],19)&gt;0,SUMIFS(T_StockCount[CountedQty],T_StockCount[RM_Code],$A98,T_StockCount[WeekIndex],19),IF((COUNTIFS(T_SelfStock[RM_Code],$A98,T_SelfStock[WeekIndex],19)&gt;0)*(COUNTIFS(T_TTAFStock[RM_Code],$A98,T_TTAFStock[WeekIndex],19)&gt;0)&gt;0,SUMIFS(T_SelfStock[Self_Qty],T_SelfStock[RM_Code],$A98,T_SelfStock[WeekIndex],19)+SUMIFS(T_TTAFStock[TTAF_Qty],T_TTAFStock[RM_Code],$A98,T_TTAFStock[WeekIndex],19),S98+'Grid_Incoming'!T98-'Grid_Requirement'!T98))</f>
        <v/>
      </c>
      <c r="U98">
        <f>IF(COUNTIFS(T_StockCount[RM_Code],$A98,T_StockCount[WeekIndex],20)&gt;0,SUMIFS(T_StockCount[CountedQty],T_StockCount[RM_Code],$A98,T_StockCount[WeekIndex],20),IF((COUNTIFS(T_SelfStock[RM_Code],$A98,T_SelfStock[WeekIndex],20)&gt;0)*(COUNTIFS(T_TTAFStock[RM_Code],$A98,T_TTAFStock[WeekIndex],20)&gt;0)&gt;0,SUMIFS(T_SelfStock[Self_Qty],T_SelfStock[RM_Code],$A98,T_SelfStock[WeekIndex],20)+SUMIFS(T_TTAFStock[TTAF_Qty],T_TTAFStock[RM_Code],$A98,T_TTAFStock[WeekIndex],20),T98+'Grid_Incoming'!U98-'Grid_Requirement'!U98))</f>
        <v/>
      </c>
      <c r="V98">
        <f>IF(COUNTIFS(T_StockCount[RM_Code],$A98,T_StockCount[WeekIndex],21)&gt;0,SUMIFS(T_StockCount[CountedQty],T_StockCount[RM_Code],$A98,T_StockCount[WeekIndex],21),IF((COUNTIFS(T_SelfStock[RM_Code],$A98,T_SelfStock[WeekIndex],21)&gt;0)*(COUNTIFS(T_TTAFStock[RM_Code],$A98,T_TTAFStock[WeekIndex],21)&gt;0)&gt;0,SUMIFS(T_SelfStock[Self_Qty],T_SelfStock[RM_Code],$A98,T_SelfStock[WeekIndex],21)+SUMIFS(T_TTAFStock[TTAF_Qty],T_TTAFStock[RM_Code],$A98,T_TTAFStock[WeekIndex],21),U98+'Grid_Incoming'!V98-'Grid_Requirement'!V98))</f>
        <v/>
      </c>
      <c r="W98">
        <f>IF(COUNTIFS(T_StockCount[RM_Code],$A98,T_StockCount[WeekIndex],22)&gt;0,SUMIFS(T_StockCount[CountedQty],T_StockCount[RM_Code],$A98,T_StockCount[WeekIndex],22),IF((COUNTIFS(T_SelfStock[RM_Code],$A98,T_SelfStock[WeekIndex],22)&gt;0)*(COUNTIFS(T_TTAFStock[RM_Code],$A98,T_TTAFStock[WeekIndex],22)&gt;0)&gt;0,SUMIFS(T_SelfStock[Self_Qty],T_SelfStock[RM_Code],$A98,T_SelfStock[WeekIndex],22)+SUMIFS(T_TTAFStock[TTAF_Qty],T_TTAFStock[RM_Code],$A98,T_TTAFStock[WeekIndex],22),V98+'Grid_Incoming'!W98-'Grid_Requirement'!W98))</f>
        <v/>
      </c>
      <c r="X98">
        <f>IF(COUNTIFS(T_StockCount[RM_Code],$A98,T_StockCount[WeekIndex],23)&gt;0,SUMIFS(T_StockCount[CountedQty],T_StockCount[RM_Code],$A98,T_StockCount[WeekIndex],23),IF((COUNTIFS(T_SelfStock[RM_Code],$A98,T_SelfStock[WeekIndex],23)&gt;0)*(COUNTIFS(T_TTAFStock[RM_Code],$A98,T_TTAFStock[WeekIndex],23)&gt;0)&gt;0,SUMIFS(T_SelfStock[Self_Qty],T_SelfStock[RM_Code],$A98,T_SelfStock[WeekIndex],23)+SUMIFS(T_TTAFStock[TTAF_Qty],T_TTAFStock[RM_Code],$A98,T_TTAFStock[WeekIndex],23),W98+'Grid_Incoming'!X98-'Grid_Requirement'!X98))</f>
        <v/>
      </c>
      <c r="Y98">
        <f>IF(COUNTIFS(T_StockCount[RM_Code],$A98,T_StockCount[WeekIndex],24)&gt;0,SUMIFS(T_StockCount[CountedQty],T_StockCount[RM_Code],$A98,T_StockCount[WeekIndex],24),IF((COUNTIFS(T_SelfStock[RM_Code],$A98,T_SelfStock[WeekIndex],24)&gt;0)*(COUNTIFS(T_TTAFStock[RM_Code],$A98,T_TTAFStock[WeekIndex],24)&gt;0)&gt;0,SUMIFS(T_SelfStock[Self_Qty],T_SelfStock[RM_Code],$A98,T_SelfStock[WeekIndex],24)+SUMIFS(T_TTAFStock[TTAF_Qty],T_TTAFStock[RM_Code],$A98,T_TTAFStock[WeekIndex],24),X98+'Grid_Incoming'!Y98-'Grid_Requirement'!Y98))</f>
        <v/>
      </c>
      <c r="Z98">
        <f>IF(COUNTIFS(T_StockCount[RM_Code],$A98,T_StockCount[WeekIndex],25)&gt;0,SUMIFS(T_StockCount[CountedQty],T_StockCount[RM_Code],$A98,T_StockCount[WeekIndex],25),IF((COUNTIFS(T_SelfStock[RM_Code],$A98,T_SelfStock[WeekIndex],25)&gt;0)*(COUNTIFS(T_TTAFStock[RM_Code],$A98,T_TTAFStock[WeekIndex],25)&gt;0)&gt;0,SUMIFS(T_SelfStock[Self_Qty],T_SelfStock[RM_Code],$A98,T_SelfStock[WeekIndex],25)+SUMIFS(T_TTAFStock[TTAF_Qty],T_TTAFStock[RM_Code],$A98,T_TTAFStock[WeekIndex],25),Y98+'Grid_Incoming'!Z98-'Grid_Requirement'!Z98))</f>
        <v/>
      </c>
      <c r="AA98">
        <f>IF(COUNTIFS(T_StockCount[RM_Code],$A98,T_StockCount[WeekIndex],26)&gt;0,SUMIFS(T_StockCount[CountedQty],T_StockCount[RM_Code],$A98,T_StockCount[WeekIndex],26),IF((COUNTIFS(T_SelfStock[RM_Code],$A98,T_SelfStock[WeekIndex],26)&gt;0)*(COUNTIFS(T_TTAFStock[RM_Code],$A98,T_TTAFStock[WeekIndex],26)&gt;0)&gt;0,SUMIFS(T_SelfStock[Self_Qty],T_SelfStock[RM_Code],$A98,T_SelfStock[WeekIndex],26)+SUMIFS(T_TTAFStock[TTAF_Qty],T_TTAFStock[RM_Code],$A98,T_TTAFStock[WeekIndex],26),Z98+'Grid_Incoming'!AA98-'Grid_Requirement'!AA98))</f>
        <v/>
      </c>
      <c r="AB98">
        <f>IF(COUNTIFS(T_StockCount[RM_Code],$A98,T_StockCount[WeekIndex],27)&gt;0,SUMIFS(T_StockCount[CountedQty],T_StockCount[RM_Code],$A98,T_StockCount[WeekIndex],27),IF((COUNTIFS(T_SelfStock[RM_Code],$A98,T_SelfStock[WeekIndex],27)&gt;0)*(COUNTIFS(T_TTAFStock[RM_Code],$A98,T_TTAFStock[WeekIndex],27)&gt;0)&gt;0,SUMIFS(T_SelfStock[Self_Qty],T_SelfStock[RM_Code],$A98,T_SelfStock[WeekIndex],27)+SUMIFS(T_TTAFStock[TTAF_Qty],T_TTAFStock[RM_Code],$A98,T_TTAFStock[WeekIndex],27),AA98+'Grid_Incoming'!AB98-'Grid_Requirement'!AB98))</f>
        <v/>
      </c>
      <c r="AC98">
        <f>IF(COUNTIFS(T_StockCount[RM_Code],$A98,T_StockCount[WeekIndex],28)&gt;0,SUMIFS(T_StockCount[CountedQty],T_StockCount[RM_Code],$A98,T_StockCount[WeekIndex],28),IF((COUNTIFS(T_SelfStock[RM_Code],$A98,T_SelfStock[WeekIndex],28)&gt;0)*(COUNTIFS(T_TTAFStock[RM_Code],$A98,T_TTAFStock[WeekIndex],28)&gt;0)&gt;0,SUMIFS(T_SelfStock[Self_Qty],T_SelfStock[RM_Code],$A98,T_SelfStock[WeekIndex],28)+SUMIFS(T_TTAFStock[TTAF_Qty],T_TTAFStock[RM_Code],$A98,T_TTAFStock[WeekIndex],28),AB98+'Grid_Incoming'!AC98-'Grid_Requirement'!AC98))</f>
        <v/>
      </c>
      <c r="AD98">
        <f>IF(COUNTIFS(T_StockCount[RM_Code],$A98,T_StockCount[WeekIndex],29)&gt;0,SUMIFS(T_StockCount[CountedQty],T_StockCount[RM_Code],$A98,T_StockCount[WeekIndex],29),IF((COUNTIFS(T_SelfStock[RM_Code],$A98,T_SelfStock[WeekIndex],29)&gt;0)*(COUNTIFS(T_TTAFStock[RM_Code],$A98,T_TTAFStock[WeekIndex],29)&gt;0)&gt;0,SUMIFS(T_SelfStock[Self_Qty],T_SelfStock[RM_Code],$A98,T_SelfStock[WeekIndex],29)+SUMIFS(T_TTAFStock[TTAF_Qty],T_TTAFStock[RM_Code],$A98,T_TTAFStock[WeekIndex],29),AC98+'Grid_Incoming'!AD98-'Grid_Requirement'!AD98))</f>
        <v/>
      </c>
      <c r="AE98">
        <f>IF(COUNTIFS(T_StockCount[RM_Code],$A98,T_StockCount[WeekIndex],30)&gt;0,SUMIFS(T_StockCount[CountedQty],T_StockCount[RM_Code],$A98,T_StockCount[WeekIndex],30),IF((COUNTIFS(T_SelfStock[RM_Code],$A98,T_SelfStock[WeekIndex],30)&gt;0)*(COUNTIFS(T_TTAFStock[RM_Code],$A98,T_TTAFStock[WeekIndex],30)&gt;0)&gt;0,SUMIFS(T_SelfStock[Self_Qty],T_SelfStock[RM_Code],$A98,T_SelfStock[WeekIndex],30)+SUMIFS(T_TTAFStock[TTAF_Qty],T_TTAFStock[RM_Code],$A98,T_TTAFStock[WeekIndex],30),AD98+'Grid_Incoming'!AE98-'Grid_Requirement'!AE98))</f>
        <v/>
      </c>
      <c r="AF98">
        <f>IF(COUNTIFS(T_StockCount[RM_Code],$A98,T_StockCount[WeekIndex],31)&gt;0,SUMIFS(T_StockCount[CountedQty],T_StockCount[RM_Code],$A98,T_StockCount[WeekIndex],31),IF((COUNTIFS(T_SelfStock[RM_Code],$A98,T_SelfStock[WeekIndex],31)&gt;0)*(COUNTIFS(T_TTAFStock[RM_Code],$A98,T_TTAFStock[WeekIndex],31)&gt;0)&gt;0,SUMIFS(T_SelfStock[Self_Qty],T_SelfStock[RM_Code],$A98,T_SelfStock[WeekIndex],31)+SUMIFS(T_TTAFStock[TTAF_Qty],T_TTAFStock[RM_Code],$A98,T_TTAFStock[WeekIndex],31),AE98+'Grid_Incoming'!AF98-'Grid_Requirement'!AF98))</f>
        <v/>
      </c>
      <c r="AG98">
        <f>IF(COUNTIFS(T_StockCount[RM_Code],$A98,T_StockCount[WeekIndex],32)&gt;0,SUMIFS(T_StockCount[CountedQty],T_StockCount[RM_Code],$A98,T_StockCount[WeekIndex],32),IF((COUNTIFS(T_SelfStock[RM_Code],$A98,T_SelfStock[WeekIndex],32)&gt;0)*(COUNTIFS(T_TTAFStock[RM_Code],$A98,T_TTAFStock[WeekIndex],32)&gt;0)&gt;0,SUMIFS(T_SelfStock[Self_Qty],T_SelfStock[RM_Code],$A98,T_SelfStock[WeekIndex],32)+SUMIFS(T_TTAFStock[TTAF_Qty],T_TTAFStock[RM_Code],$A98,T_TTAFStock[WeekIndex],32),AF98+'Grid_Incoming'!AG98-'Grid_Requirement'!AG98))</f>
        <v/>
      </c>
      <c r="AH98">
        <f>IF(COUNTIFS(T_StockCount[RM_Code],$A98,T_StockCount[WeekIndex],33)&gt;0,SUMIFS(T_StockCount[CountedQty],T_StockCount[RM_Code],$A98,T_StockCount[WeekIndex],33),IF((COUNTIFS(T_SelfStock[RM_Code],$A98,T_SelfStock[WeekIndex],33)&gt;0)*(COUNTIFS(T_TTAFStock[RM_Code],$A98,T_TTAFStock[WeekIndex],33)&gt;0)&gt;0,SUMIFS(T_SelfStock[Self_Qty],T_SelfStock[RM_Code],$A98,T_SelfStock[WeekIndex],33)+SUMIFS(T_TTAFStock[TTAF_Qty],T_TTAFStock[RM_Code],$A98,T_TTAFStock[WeekIndex],33),AG98+'Grid_Incoming'!AH98-'Grid_Requirement'!AH98))</f>
        <v/>
      </c>
      <c r="AI98">
        <f>IF(COUNTIFS(T_StockCount[RM_Code],$A98,T_StockCount[WeekIndex],34)&gt;0,SUMIFS(T_StockCount[CountedQty],T_StockCount[RM_Code],$A98,T_StockCount[WeekIndex],34),IF((COUNTIFS(T_SelfStock[RM_Code],$A98,T_SelfStock[WeekIndex],34)&gt;0)*(COUNTIFS(T_TTAFStock[RM_Code],$A98,T_TTAFStock[WeekIndex],34)&gt;0)&gt;0,SUMIFS(T_SelfStock[Self_Qty],T_SelfStock[RM_Code],$A98,T_SelfStock[WeekIndex],34)+SUMIFS(T_TTAFStock[TTAF_Qty],T_TTAFStock[RM_Code],$A98,T_TTAFStock[WeekIndex],34),AH98+'Grid_Incoming'!AI98-'Grid_Requirement'!AI98))</f>
        <v/>
      </c>
      <c r="AJ98">
        <f>IF(COUNTIFS(T_StockCount[RM_Code],$A98,T_StockCount[WeekIndex],35)&gt;0,SUMIFS(T_StockCount[CountedQty],T_StockCount[RM_Code],$A98,T_StockCount[WeekIndex],35),IF((COUNTIFS(T_SelfStock[RM_Code],$A98,T_SelfStock[WeekIndex],35)&gt;0)*(COUNTIFS(T_TTAFStock[RM_Code],$A98,T_TTAFStock[WeekIndex],35)&gt;0)&gt;0,SUMIFS(T_SelfStock[Self_Qty],T_SelfStock[RM_Code],$A98,T_SelfStock[WeekIndex],35)+SUMIFS(T_TTAFStock[TTAF_Qty],T_TTAFStock[RM_Code],$A98,T_TTAFStock[WeekIndex],35),AI98+'Grid_Incoming'!AJ98-'Grid_Requirement'!AJ98))</f>
        <v/>
      </c>
      <c r="AK98">
        <f>IF(COUNTIFS(T_StockCount[RM_Code],$A98,T_StockCount[WeekIndex],36)&gt;0,SUMIFS(T_StockCount[CountedQty],T_StockCount[RM_Code],$A98,T_StockCount[WeekIndex],36),IF((COUNTIFS(T_SelfStock[RM_Code],$A98,T_SelfStock[WeekIndex],36)&gt;0)*(COUNTIFS(T_TTAFStock[RM_Code],$A98,T_TTAFStock[WeekIndex],36)&gt;0)&gt;0,SUMIFS(T_SelfStock[Self_Qty],T_SelfStock[RM_Code],$A98,T_SelfStock[WeekIndex],36)+SUMIFS(T_TTAFStock[TTAF_Qty],T_TTAFStock[RM_Code],$A98,T_TTAFStock[WeekIndex],36),AJ98+'Grid_Incoming'!AK98-'Grid_Requirement'!AK98))</f>
        <v/>
      </c>
      <c r="AL98">
        <f>IF(COUNTIFS(T_StockCount[RM_Code],$A98,T_StockCount[WeekIndex],37)&gt;0,SUMIFS(T_StockCount[CountedQty],T_StockCount[RM_Code],$A98,T_StockCount[WeekIndex],37),IF((COUNTIFS(T_SelfStock[RM_Code],$A98,T_SelfStock[WeekIndex],37)&gt;0)*(COUNTIFS(T_TTAFStock[RM_Code],$A98,T_TTAFStock[WeekIndex],37)&gt;0)&gt;0,SUMIFS(T_SelfStock[Self_Qty],T_SelfStock[RM_Code],$A98,T_SelfStock[WeekIndex],37)+SUMIFS(T_TTAFStock[TTAF_Qty],T_TTAFStock[RM_Code],$A98,T_TTAFStock[WeekIndex],37),AK98+'Grid_Incoming'!AL98-'Grid_Requirement'!AL98))</f>
        <v/>
      </c>
      <c r="AM98">
        <f>IF(COUNTIFS(T_StockCount[RM_Code],$A98,T_StockCount[WeekIndex],38)&gt;0,SUMIFS(T_StockCount[CountedQty],T_StockCount[RM_Code],$A98,T_StockCount[WeekIndex],38),IF((COUNTIFS(T_SelfStock[RM_Code],$A98,T_SelfStock[WeekIndex],38)&gt;0)*(COUNTIFS(T_TTAFStock[RM_Code],$A98,T_TTAFStock[WeekIndex],38)&gt;0)&gt;0,SUMIFS(T_SelfStock[Self_Qty],T_SelfStock[RM_Code],$A98,T_SelfStock[WeekIndex],38)+SUMIFS(T_TTAFStock[TTAF_Qty],T_TTAFStock[RM_Code],$A98,T_TTAFStock[WeekIndex],38),AL98+'Grid_Incoming'!AM98-'Grid_Requirement'!AM98))</f>
        <v/>
      </c>
      <c r="AN98">
        <f>IF(COUNTIFS(T_StockCount[RM_Code],$A98,T_StockCount[WeekIndex],39)&gt;0,SUMIFS(T_StockCount[CountedQty],T_StockCount[RM_Code],$A98,T_StockCount[WeekIndex],39),IF((COUNTIFS(T_SelfStock[RM_Code],$A98,T_SelfStock[WeekIndex],39)&gt;0)*(COUNTIFS(T_TTAFStock[RM_Code],$A98,T_TTAFStock[WeekIndex],39)&gt;0)&gt;0,SUMIFS(T_SelfStock[Self_Qty],T_SelfStock[RM_Code],$A98,T_SelfStock[WeekIndex],39)+SUMIFS(T_TTAFStock[TTAF_Qty],T_TTAFStock[RM_Code],$A98,T_TTAFStock[WeekIndex],39),AM98+'Grid_Incoming'!AN98-'Grid_Requirement'!AN98))</f>
        <v/>
      </c>
      <c r="AO98">
        <f>IF(COUNTIFS(T_StockCount[RM_Code],$A98,T_StockCount[WeekIndex],40)&gt;0,SUMIFS(T_StockCount[CountedQty],T_StockCount[RM_Code],$A98,T_StockCount[WeekIndex],40),IF((COUNTIFS(T_SelfStock[RM_Code],$A98,T_SelfStock[WeekIndex],40)&gt;0)*(COUNTIFS(T_TTAFStock[RM_Code],$A98,T_TTAFStock[WeekIndex],40)&gt;0)&gt;0,SUMIFS(T_SelfStock[Self_Qty],T_SelfStock[RM_Code],$A98,T_SelfStock[WeekIndex],40)+SUMIFS(T_TTAFStock[TTAF_Qty],T_TTAFStock[RM_Code],$A98,T_TTAFStock[WeekIndex],40),AN98+'Grid_Incoming'!AO98-'Grid_Requirement'!AO98))</f>
        <v/>
      </c>
      <c r="AP98">
        <f>IF(COUNTIFS(T_StockCount[RM_Code],$A98,T_StockCount[WeekIndex],41)&gt;0,SUMIFS(T_StockCount[CountedQty],T_StockCount[RM_Code],$A98,T_StockCount[WeekIndex],41),IF((COUNTIFS(T_SelfStock[RM_Code],$A98,T_SelfStock[WeekIndex],41)&gt;0)*(COUNTIFS(T_TTAFStock[RM_Code],$A98,T_TTAFStock[WeekIndex],41)&gt;0)&gt;0,SUMIFS(T_SelfStock[Self_Qty],T_SelfStock[RM_Code],$A98,T_SelfStock[WeekIndex],41)+SUMIFS(T_TTAFStock[TTAF_Qty],T_TTAFStock[RM_Code],$A98,T_TTAFStock[WeekIndex],41),AO98+'Grid_Incoming'!AP98-'Grid_Requirement'!AP98))</f>
        <v/>
      </c>
      <c r="AQ98">
        <f>IF(COUNTIFS(T_StockCount[RM_Code],$A98,T_StockCount[WeekIndex],42)&gt;0,SUMIFS(T_StockCount[CountedQty],T_StockCount[RM_Code],$A98,T_StockCount[WeekIndex],42),IF((COUNTIFS(T_SelfStock[RM_Code],$A98,T_SelfStock[WeekIndex],42)&gt;0)*(COUNTIFS(T_TTAFStock[RM_Code],$A98,T_TTAFStock[WeekIndex],42)&gt;0)&gt;0,SUMIFS(T_SelfStock[Self_Qty],T_SelfStock[RM_Code],$A98,T_SelfStock[WeekIndex],42)+SUMIFS(T_TTAFStock[TTAF_Qty],T_TTAFStock[RM_Code],$A98,T_TTAFStock[WeekIndex],42),AP98+'Grid_Incoming'!AQ98-'Grid_Requirement'!AQ98))</f>
        <v/>
      </c>
      <c r="AR98">
        <f>IF(COUNTIFS(T_StockCount[RM_Code],$A98,T_StockCount[WeekIndex],43)&gt;0,SUMIFS(T_StockCount[CountedQty],T_StockCount[RM_Code],$A98,T_StockCount[WeekIndex],43),IF((COUNTIFS(T_SelfStock[RM_Code],$A98,T_SelfStock[WeekIndex],43)&gt;0)*(COUNTIFS(T_TTAFStock[RM_Code],$A98,T_TTAFStock[WeekIndex],43)&gt;0)&gt;0,SUMIFS(T_SelfStock[Self_Qty],T_SelfStock[RM_Code],$A98,T_SelfStock[WeekIndex],43)+SUMIFS(T_TTAFStock[TTAF_Qty],T_TTAFStock[RM_Code],$A98,T_TTAFStock[WeekIndex],43),AQ98+'Grid_Incoming'!AR98-'Grid_Requirement'!AR98))</f>
        <v/>
      </c>
      <c r="AS98">
        <f>IF(COUNTIFS(T_StockCount[RM_Code],$A98,T_StockCount[WeekIndex],44)&gt;0,SUMIFS(T_StockCount[CountedQty],T_StockCount[RM_Code],$A98,T_StockCount[WeekIndex],44),IF((COUNTIFS(T_SelfStock[RM_Code],$A98,T_SelfStock[WeekIndex],44)&gt;0)*(COUNTIFS(T_TTAFStock[RM_Code],$A98,T_TTAFStock[WeekIndex],44)&gt;0)&gt;0,SUMIFS(T_SelfStock[Self_Qty],T_SelfStock[RM_Code],$A98,T_SelfStock[WeekIndex],44)+SUMIFS(T_TTAFStock[TTAF_Qty],T_TTAFStock[RM_Code],$A98,T_TTAFStock[WeekIndex],44),AR98+'Grid_Incoming'!AS98-'Grid_Requirement'!AS98))</f>
        <v/>
      </c>
      <c r="AT98">
        <f>IF(COUNTIFS(T_StockCount[RM_Code],$A98,T_StockCount[WeekIndex],45)&gt;0,SUMIFS(T_StockCount[CountedQty],T_StockCount[RM_Code],$A98,T_StockCount[WeekIndex],45),IF((COUNTIFS(T_SelfStock[RM_Code],$A98,T_SelfStock[WeekIndex],45)&gt;0)*(COUNTIFS(T_TTAFStock[RM_Code],$A98,T_TTAFStock[WeekIndex],45)&gt;0)&gt;0,SUMIFS(T_SelfStock[Self_Qty],T_SelfStock[RM_Code],$A98,T_SelfStock[WeekIndex],45)+SUMIFS(T_TTAFStock[TTAF_Qty],T_TTAFStock[RM_Code],$A98,T_TTAFStock[WeekIndex],45),AS98+'Grid_Incoming'!AT98-'Grid_Requirement'!AT98))</f>
        <v/>
      </c>
      <c r="AU98">
        <f>IF(COUNTIFS(T_StockCount[RM_Code],$A98,T_StockCount[WeekIndex],46)&gt;0,SUMIFS(T_StockCount[CountedQty],T_StockCount[RM_Code],$A98,T_StockCount[WeekIndex],46),IF((COUNTIFS(T_SelfStock[RM_Code],$A98,T_SelfStock[WeekIndex],46)&gt;0)*(COUNTIFS(T_TTAFStock[RM_Code],$A98,T_TTAFStock[WeekIndex],46)&gt;0)&gt;0,SUMIFS(T_SelfStock[Self_Qty],T_SelfStock[RM_Code],$A98,T_SelfStock[WeekIndex],46)+SUMIFS(T_TTAFStock[TTAF_Qty],T_TTAFStock[RM_Code],$A98,T_TTAFStock[WeekIndex],46),AT98+'Grid_Incoming'!AU98-'Grid_Requirement'!AU98))</f>
        <v/>
      </c>
      <c r="AV98">
        <f>IF(COUNTIFS(T_StockCount[RM_Code],$A98,T_StockCount[WeekIndex],47)&gt;0,SUMIFS(T_StockCount[CountedQty],T_StockCount[RM_Code],$A98,T_StockCount[WeekIndex],47),IF((COUNTIFS(T_SelfStock[RM_Code],$A98,T_SelfStock[WeekIndex],47)&gt;0)*(COUNTIFS(T_TTAFStock[RM_Code],$A98,T_TTAFStock[WeekIndex],47)&gt;0)&gt;0,SUMIFS(T_SelfStock[Self_Qty],T_SelfStock[RM_Code],$A98,T_SelfStock[WeekIndex],47)+SUMIFS(T_TTAFStock[TTAF_Qty],T_TTAFStock[RM_Code],$A98,T_TTAFStock[WeekIndex],47),AU98+'Grid_Incoming'!AV98-'Grid_Requirement'!AV98))</f>
        <v/>
      </c>
      <c r="AW98">
        <f>IF(COUNTIFS(T_StockCount[RM_Code],$A98,T_StockCount[WeekIndex],48)&gt;0,SUMIFS(T_StockCount[CountedQty],T_StockCount[RM_Code],$A98,T_StockCount[WeekIndex],48),IF((COUNTIFS(T_SelfStock[RM_Code],$A98,T_SelfStock[WeekIndex],48)&gt;0)*(COUNTIFS(T_TTAFStock[RM_Code],$A98,T_TTAFStock[WeekIndex],48)&gt;0)&gt;0,SUMIFS(T_SelfStock[Self_Qty],T_SelfStock[RM_Code],$A98,T_SelfStock[WeekIndex],48)+SUMIFS(T_TTAFStock[TTAF_Qty],T_TTAFStock[RM_Code],$A98,T_TTAFStock[WeekIndex],48),AV98+'Grid_Incoming'!AW98-'Grid_Requirement'!AW98))</f>
        <v/>
      </c>
      <c r="AX98">
        <f>IF(COUNTIFS(T_StockCount[RM_Code],$A98,T_StockCount[WeekIndex],49)&gt;0,SUMIFS(T_StockCount[CountedQty],T_StockCount[RM_Code],$A98,T_StockCount[WeekIndex],49),IF((COUNTIFS(T_SelfStock[RM_Code],$A98,T_SelfStock[WeekIndex],49)&gt;0)*(COUNTIFS(T_TTAFStock[RM_Code],$A98,T_TTAFStock[WeekIndex],49)&gt;0)&gt;0,SUMIFS(T_SelfStock[Self_Qty],T_SelfStock[RM_Code],$A98,T_SelfStock[WeekIndex],49)+SUMIFS(T_TTAFStock[TTAF_Qty],T_TTAFStock[RM_Code],$A98,T_TTAFStock[WeekIndex],49),AW98+'Grid_Incoming'!AX98-'Grid_Requirement'!AX98))</f>
        <v/>
      </c>
      <c r="AY98">
        <f>IF(COUNTIFS(T_StockCount[RM_Code],$A98,T_StockCount[WeekIndex],50)&gt;0,SUMIFS(T_StockCount[CountedQty],T_StockCount[RM_Code],$A98,T_StockCount[WeekIndex],50),IF((COUNTIFS(T_SelfStock[RM_Code],$A98,T_SelfStock[WeekIndex],50)&gt;0)*(COUNTIFS(T_TTAFStock[RM_Code],$A98,T_TTAFStock[WeekIndex],50)&gt;0)&gt;0,SUMIFS(T_SelfStock[Self_Qty],T_SelfStock[RM_Code],$A98,T_SelfStock[WeekIndex],50)+SUMIFS(T_TTAFStock[TTAF_Qty],T_TTAFStock[RM_Code],$A98,T_TTAFStock[WeekIndex],50),AX98+'Grid_Incoming'!AY98-'Grid_Requirement'!AY98))</f>
        <v/>
      </c>
      <c r="AZ98">
        <f>IF(COUNTIFS(T_StockCount[RM_Code],$A98,T_StockCount[WeekIndex],51)&gt;0,SUMIFS(T_StockCount[CountedQty],T_StockCount[RM_Code],$A98,T_StockCount[WeekIndex],51),IF((COUNTIFS(T_SelfStock[RM_Code],$A98,T_SelfStock[WeekIndex],51)&gt;0)*(COUNTIFS(T_TTAFStock[RM_Code],$A98,T_TTAFStock[WeekIndex],51)&gt;0)&gt;0,SUMIFS(T_SelfStock[Self_Qty],T_SelfStock[RM_Code],$A98,T_SelfStock[WeekIndex],51)+SUMIFS(T_TTAFStock[TTAF_Qty],T_TTAFStock[RM_Code],$A98,T_TTAFStock[WeekIndex],51),AY98+'Grid_Incoming'!AZ98-'Grid_Requirement'!AZ98))</f>
        <v/>
      </c>
      <c r="BA98">
        <f>IF(COUNTIFS(T_StockCount[RM_Code],$A98,T_StockCount[WeekIndex],52)&gt;0,SUMIFS(T_StockCount[CountedQty],T_StockCount[RM_Code],$A98,T_StockCount[WeekIndex],52),IF((COUNTIFS(T_SelfStock[RM_Code],$A98,T_SelfStock[WeekIndex],52)&gt;0)*(COUNTIFS(T_TTAFStock[RM_Code],$A98,T_TTAFStock[WeekIndex],52)&gt;0)&gt;0,SUMIFS(T_SelfStock[Self_Qty],T_SelfStock[RM_Code],$A98,T_SelfStock[WeekIndex],52)+SUMIFS(T_TTAFStock[TTAF_Qty],T_TTAFStock[RM_Code],$A98,T_TTAFStock[WeekIndex],52),AZ98+'Grid_Incoming'!BA98-'Grid_Requirement'!BA98))</f>
        <v/>
      </c>
      <c r="BB98">
        <f>IF(COUNTIFS(T_StockCount[RM_Code],$A98,T_StockCount[WeekIndex],53)&gt;0,SUMIFS(T_StockCount[CountedQty],T_StockCount[RM_Code],$A98,T_StockCount[WeekIndex],53),IF((COUNTIFS(T_SelfStock[RM_Code],$A98,T_SelfStock[WeekIndex],53)&gt;0)*(COUNTIFS(T_TTAFStock[RM_Code],$A98,T_TTAFStock[WeekIndex],53)&gt;0)&gt;0,SUMIFS(T_SelfStock[Self_Qty],T_SelfStock[RM_Code],$A98,T_SelfStock[WeekIndex],53)+SUMIFS(T_TTAFStock[TTAF_Qty],T_TTAFStock[RM_Code],$A98,T_TTAFStock[WeekIndex],53),BA98+'Grid_Incoming'!BB98-'Grid_Requirement'!BB98))</f>
        <v/>
      </c>
      <c r="BC98">
        <f>IF(COUNTIFS(T_StockCount[RM_Code],$A98,T_StockCount[WeekIndex],54)&gt;0,SUMIFS(T_StockCount[CountedQty],T_StockCount[RM_Code],$A98,T_StockCount[WeekIndex],54),IF((COUNTIFS(T_SelfStock[RM_Code],$A98,T_SelfStock[WeekIndex],54)&gt;0)*(COUNTIFS(T_TTAFStock[RM_Code],$A98,T_TTAFStock[WeekIndex],54)&gt;0)&gt;0,SUMIFS(T_SelfStock[Self_Qty],T_SelfStock[RM_Code],$A98,T_SelfStock[WeekIndex],54)+SUMIFS(T_TTAFStock[TTAF_Qty],T_TTAFStock[RM_Code],$A98,T_TTAFStock[WeekIndex],54),BB98+'Grid_Incoming'!BC98-'Grid_Requirement'!BC98))</f>
        <v/>
      </c>
      <c r="BD98">
        <f>IF(COUNTIFS(T_StockCount[RM_Code],$A98,T_StockCount[WeekIndex],55)&gt;0,SUMIFS(T_StockCount[CountedQty],T_StockCount[RM_Code],$A98,T_StockCount[WeekIndex],55),IF((COUNTIFS(T_SelfStock[RM_Code],$A98,T_SelfStock[WeekIndex],55)&gt;0)*(COUNTIFS(T_TTAFStock[RM_Code],$A98,T_TTAFStock[WeekIndex],55)&gt;0)&gt;0,SUMIFS(T_SelfStock[Self_Qty],T_SelfStock[RM_Code],$A98,T_SelfStock[WeekIndex],55)+SUMIFS(T_TTAFStock[TTAF_Qty],T_TTAFStock[RM_Code],$A98,T_TTAFStock[WeekIndex],55),BC98+'Grid_Incoming'!BD98-'Grid_Requirement'!BD98))</f>
        <v/>
      </c>
      <c r="BE98">
        <f>IF(COUNTIFS(T_StockCount[RM_Code],$A98,T_StockCount[WeekIndex],56)&gt;0,SUMIFS(T_StockCount[CountedQty],T_StockCount[RM_Code],$A98,T_StockCount[WeekIndex],56),IF((COUNTIFS(T_SelfStock[RM_Code],$A98,T_SelfStock[WeekIndex],56)&gt;0)*(COUNTIFS(T_TTAFStock[RM_Code],$A98,T_TTAFStock[WeekIndex],56)&gt;0)&gt;0,SUMIFS(T_SelfStock[Self_Qty],T_SelfStock[RM_Code],$A98,T_SelfStock[WeekIndex],56)+SUMIFS(T_TTAFStock[TTAF_Qty],T_TTAFStock[RM_Code],$A98,T_TTAFStock[WeekIndex],56),BD98+'Grid_Incoming'!BE98-'Grid_Requirement'!BE98))</f>
        <v/>
      </c>
      <c r="BF98">
        <f>IF(COUNTIFS(T_StockCount[RM_Code],$A98,T_StockCount[WeekIndex],57)&gt;0,SUMIFS(T_StockCount[CountedQty],T_StockCount[RM_Code],$A98,T_StockCount[WeekIndex],57),IF((COUNTIFS(T_SelfStock[RM_Code],$A98,T_SelfStock[WeekIndex],57)&gt;0)*(COUNTIFS(T_TTAFStock[RM_Code],$A98,T_TTAFStock[WeekIndex],57)&gt;0)&gt;0,SUMIFS(T_SelfStock[Self_Qty],T_SelfStock[RM_Code],$A98,T_SelfStock[WeekIndex],57)+SUMIFS(T_TTAFStock[TTAF_Qty],T_TTAFStock[RM_Code],$A98,T_TTAFStock[WeekIndex],57),BE98+'Grid_Incoming'!BF98-'Grid_Requirement'!BF98))</f>
        <v/>
      </c>
      <c r="BG98">
        <f>IF(COUNTIFS(T_StockCount[RM_Code],$A98,T_StockCount[WeekIndex],58)&gt;0,SUMIFS(T_StockCount[CountedQty],T_StockCount[RM_Code],$A98,T_StockCount[WeekIndex],58),IF((COUNTIFS(T_SelfStock[RM_Code],$A98,T_SelfStock[WeekIndex],58)&gt;0)*(COUNTIFS(T_TTAFStock[RM_Code],$A98,T_TTAFStock[WeekIndex],58)&gt;0)&gt;0,SUMIFS(T_SelfStock[Self_Qty],T_SelfStock[RM_Code],$A98,T_SelfStock[WeekIndex],58)+SUMIFS(T_TTAFStock[TTAF_Qty],T_TTAFStock[RM_Code],$A98,T_TTAFStock[WeekIndex],58),BF98+'Grid_Incoming'!BG98-'Grid_Requirement'!BG98))</f>
        <v/>
      </c>
      <c r="BH98">
        <f>IF(COUNTIFS(T_StockCount[RM_Code],$A98,T_StockCount[WeekIndex],59)&gt;0,SUMIFS(T_StockCount[CountedQty],T_StockCount[RM_Code],$A98,T_StockCount[WeekIndex],59),IF((COUNTIFS(T_SelfStock[RM_Code],$A98,T_SelfStock[WeekIndex],59)&gt;0)*(COUNTIFS(T_TTAFStock[RM_Code],$A98,T_TTAFStock[WeekIndex],59)&gt;0)&gt;0,SUMIFS(T_SelfStock[Self_Qty],T_SelfStock[RM_Code],$A98,T_SelfStock[WeekIndex],59)+SUMIFS(T_TTAFStock[TTAF_Qty],T_TTAFStock[RM_Code],$A98,T_TTAFStock[WeekIndex],59),BG98+'Grid_Incoming'!BH98-'Grid_Requirement'!BH98))</f>
        <v/>
      </c>
      <c r="BI98">
        <f>IF(COUNTIFS(T_StockCount[RM_Code],$A98,T_StockCount[WeekIndex],60)&gt;0,SUMIFS(T_StockCount[CountedQty],T_StockCount[RM_Code],$A98,T_StockCount[WeekIndex],60),IF((COUNTIFS(T_SelfStock[RM_Code],$A98,T_SelfStock[WeekIndex],60)&gt;0)*(COUNTIFS(T_TTAFStock[RM_Code],$A98,T_TTAFStock[WeekIndex],60)&gt;0)&gt;0,SUMIFS(T_SelfStock[Self_Qty],T_SelfStock[RM_Code],$A98,T_SelfStock[WeekIndex],60)+SUMIFS(T_TTAFStock[TTAF_Qty],T_TTAFStock[RM_Code],$A98,T_TTAFStock[WeekIndex],60),BH98+'Grid_Incoming'!BI98-'Grid_Requirement'!BI98))</f>
        <v/>
      </c>
      <c r="BJ98">
        <f>IF(COUNTIFS(T_StockCount[RM_Code],$A98,T_StockCount[WeekIndex],61)&gt;0,SUMIFS(T_StockCount[CountedQty],T_StockCount[RM_Code],$A98,T_StockCount[WeekIndex],61),IF((COUNTIFS(T_SelfStock[RM_Code],$A98,T_SelfStock[WeekIndex],61)&gt;0)*(COUNTIFS(T_TTAFStock[RM_Code],$A98,T_TTAFStock[WeekIndex],61)&gt;0)&gt;0,SUMIFS(T_SelfStock[Self_Qty],T_SelfStock[RM_Code],$A98,T_SelfStock[WeekIndex],61)+SUMIFS(T_TTAFStock[TTAF_Qty],T_TTAFStock[RM_Code],$A98,T_TTAFStock[WeekIndex],61),BI98+'Grid_Incoming'!BJ98-'Grid_Requirement'!BJ98))</f>
        <v/>
      </c>
      <c r="BK98">
        <f>IF(COUNTIFS(T_StockCount[RM_Code],$A98,T_StockCount[WeekIndex],62)&gt;0,SUMIFS(T_StockCount[CountedQty],T_StockCount[RM_Code],$A98,T_StockCount[WeekIndex],62),IF((COUNTIFS(T_SelfStock[RM_Code],$A98,T_SelfStock[WeekIndex],62)&gt;0)*(COUNTIFS(T_TTAFStock[RM_Code],$A98,T_TTAFStock[WeekIndex],62)&gt;0)&gt;0,SUMIFS(T_SelfStock[Self_Qty],T_SelfStock[RM_Code],$A98,T_SelfStock[WeekIndex],62)+SUMIFS(T_TTAFStock[TTAF_Qty],T_TTAFStock[RM_Code],$A98,T_TTAFStock[WeekIndex],62),BJ98+'Grid_Incoming'!BK98-'Grid_Requirement'!BK98))</f>
        <v/>
      </c>
      <c r="BL98">
        <f>IF(COUNTIFS(T_StockCount[RM_Code],$A98,T_StockCount[WeekIndex],63)&gt;0,SUMIFS(T_StockCount[CountedQty],T_StockCount[RM_Code],$A98,T_StockCount[WeekIndex],63),IF((COUNTIFS(T_SelfStock[RM_Code],$A98,T_SelfStock[WeekIndex],63)&gt;0)*(COUNTIFS(T_TTAFStock[RM_Code],$A98,T_TTAFStock[WeekIndex],63)&gt;0)&gt;0,SUMIFS(T_SelfStock[Self_Qty],T_SelfStock[RM_Code],$A98,T_SelfStock[WeekIndex],63)+SUMIFS(T_TTAFStock[TTAF_Qty],T_TTAFStock[RM_Code],$A98,T_TTAFStock[WeekIndex],63),BK98+'Grid_Incoming'!BL98-'Grid_Requirement'!BL98))</f>
        <v/>
      </c>
      <c r="BM98">
        <f>IF(COUNTIFS(T_StockCount[RM_Code],$A98,T_StockCount[WeekIndex],64)&gt;0,SUMIFS(T_StockCount[CountedQty],T_StockCount[RM_Code],$A98,T_StockCount[WeekIndex],64),IF((COUNTIFS(T_SelfStock[RM_Code],$A98,T_SelfStock[WeekIndex],64)&gt;0)*(COUNTIFS(T_TTAFStock[RM_Code],$A98,T_TTAFStock[WeekIndex],64)&gt;0)&gt;0,SUMIFS(T_SelfStock[Self_Qty],T_SelfStock[RM_Code],$A98,T_SelfStock[WeekIndex],64)+SUMIFS(T_TTAFStock[TTAF_Qty],T_TTAFStock[RM_Code],$A98,T_TTAFStock[WeekIndex],64),BL98+'Grid_Incoming'!BM98-'Grid_Requirement'!BM98))</f>
        <v/>
      </c>
      <c r="BN98">
        <f>IF(COUNTIFS(T_StockCount[RM_Code],$A98,T_StockCount[WeekIndex],65)&gt;0,SUMIFS(T_StockCount[CountedQty],T_StockCount[RM_Code],$A98,T_StockCount[WeekIndex],65),IF((COUNTIFS(T_SelfStock[RM_Code],$A98,T_SelfStock[WeekIndex],65)&gt;0)*(COUNTIFS(T_TTAFStock[RM_Code],$A98,T_TTAFStock[WeekIndex],65)&gt;0)&gt;0,SUMIFS(T_SelfStock[Self_Qty],T_SelfStock[RM_Code],$A98,T_SelfStock[WeekIndex],65)+SUMIFS(T_TTAFStock[TTAF_Qty],T_TTAFStock[RM_Code],$A98,T_TTAFStock[WeekIndex],65),BM98+'Grid_Incoming'!BN98-'Grid_Requirement'!BN98))</f>
        <v/>
      </c>
      <c r="BO98">
        <f>IF(COUNTIFS(T_StockCount[RM_Code],$A98,T_StockCount[WeekIndex],66)&gt;0,SUMIFS(T_StockCount[CountedQty],T_StockCount[RM_Code],$A98,T_StockCount[WeekIndex],66),IF((COUNTIFS(T_SelfStock[RM_Code],$A98,T_SelfStock[WeekIndex],66)&gt;0)*(COUNTIFS(T_TTAFStock[RM_Code],$A98,T_TTAFStock[WeekIndex],66)&gt;0)&gt;0,SUMIFS(T_SelfStock[Self_Qty],T_SelfStock[RM_Code],$A98,T_SelfStock[WeekIndex],66)+SUMIFS(T_TTAFStock[TTAF_Qty],T_TTAFStock[RM_Code],$A98,T_TTAFStock[WeekIndex],66),BN98+'Grid_Incoming'!BO98-'Grid_Requirement'!BO98))</f>
        <v/>
      </c>
      <c r="BP98">
        <f>IF(COUNTIFS(T_StockCount[RM_Code],$A98,T_StockCount[WeekIndex],67)&gt;0,SUMIFS(T_StockCount[CountedQty],T_StockCount[RM_Code],$A98,T_StockCount[WeekIndex],67),IF((COUNTIFS(T_SelfStock[RM_Code],$A98,T_SelfStock[WeekIndex],67)&gt;0)*(COUNTIFS(T_TTAFStock[RM_Code],$A98,T_TTAFStock[WeekIndex],67)&gt;0)&gt;0,SUMIFS(T_SelfStock[Self_Qty],T_SelfStock[RM_Code],$A98,T_SelfStock[WeekIndex],67)+SUMIFS(T_TTAFStock[TTAF_Qty],T_TTAFStock[RM_Code],$A98,T_TTAFStock[WeekIndex],67),BO98+'Grid_Incoming'!BP98-'Grid_Requirement'!BP98))</f>
        <v/>
      </c>
      <c r="BQ98">
        <f>IF(COUNTIFS(T_StockCount[RM_Code],$A98,T_StockCount[WeekIndex],68)&gt;0,SUMIFS(T_StockCount[CountedQty],T_StockCount[RM_Code],$A98,T_StockCount[WeekIndex],68),IF((COUNTIFS(T_SelfStock[RM_Code],$A98,T_SelfStock[WeekIndex],68)&gt;0)*(COUNTIFS(T_TTAFStock[RM_Code],$A98,T_TTAFStock[WeekIndex],68)&gt;0)&gt;0,SUMIFS(T_SelfStock[Self_Qty],T_SelfStock[RM_Code],$A98,T_SelfStock[WeekIndex],68)+SUMIFS(T_TTAFStock[TTAF_Qty],T_TTAFStock[RM_Code],$A98,T_TTAFStock[WeekIndex],68),BP98+'Grid_Incoming'!BQ98-'Grid_Requirement'!BQ98))</f>
        <v/>
      </c>
      <c r="BR98">
        <f>IF(COUNTIFS(T_StockCount[RM_Code],$A98,T_StockCount[WeekIndex],69)&gt;0,SUMIFS(T_StockCount[CountedQty],T_StockCount[RM_Code],$A98,T_StockCount[WeekIndex],69),IF((COUNTIFS(T_SelfStock[RM_Code],$A98,T_SelfStock[WeekIndex],69)&gt;0)*(COUNTIFS(T_TTAFStock[RM_Code],$A98,T_TTAFStock[WeekIndex],69)&gt;0)&gt;0,SUMIFS(T_SelfStock[Self_Qty],T_SelfStock[RM_Code],$A98,T_SelfStock[WeekIndex],69)+SUMIFS(T_TTAFStock[TTAF_Qty],T_TTAFStock[RM_Code],$A98,T_TTAFStock[WeekIndex],69),BQ98+'Grid_Incoming'!BR98-'Grid_Requirement'!BR98))</f>
        <v/>
      </c>
      <c r="BS98">
        <f>IF(COUNTIFS(T_StockCount[RM_Code],$A98,T_StockCount[WeekIndex],70)&gt;0,SUMIFS(T_StockCount[CountedQty],T_StockCount[RM_Code],$A98,T_StockCount[WeekIndex],70),IF((COUNTIFS(T_SelfStock[RM_Code],$A98,T_SelfStock[WeekIndex],70)&gt;0)*(COUNTIFS(T_TTAFStock[RM_Code],$A98,T_TTAFStock[WeekIndex],70)&gt;0)&gt;0,SUMIFS(T_SelfStock[Self_Qty],T_SelfStock[RM_Code],$A98,T_SelfStock[WeekIndex],70)+SUMIFS(T_TTAFStock[TTAF_Qty],T_TTAFStock[RM_Code],$A98,T_TTAFStock[WeekIndex],70),BR98+'Grid_Incoming'!BS98-'Grid_Requirement'!BS98))</f>
        <v/>
      </c>
      <c r="BT98">
        <f>IF(COUNTIFS(T_StockCount[RM_Code],$A98,T_StockCount[WeekIndex],71)&gt;0,SUMIFS(T_StockCount[CountedQty],T_StockCount[RM_Code],$A98,T_StockCount[WeekIndex],71),IF((COUNTIFS(T_SelfStock[RM_Code],$A98,T_SelfStock[WeekIndex],71)&gt;0)*(COUNTIFS(T_TTAFStock[RM_Code],$A98,T_TTAFStock[WeekIndex],71)&gt;0)&gt;0,SUMIFS(T_SelfStock[Self_Qty],T_SelfStock[RM_Code],$A98,T_SelfStock[WeekIndex],71)+SUMIFS(T_TTAFStock[TTAF_Qty],T_TTAFStock[RM_Code],$A98,T_TTAFStock[WeekIndex],71),BS98+'Grid_Incoming'!BT98-'Grid_Requirement'!BT98))</f>
        <v/>
      </c>
      <c r="BU98">
        <f>IF(COUNTIFS(T_StockCount[RM_Code],$A98,T_StockCount[WeekIndex],72)&gt;0,SUMIFS(T_StockCount[CountedQty],T_StockCount[RM_Code],$A98,T_StockCount[WeekIndex],72),IF((COUNTIFS(T_SelfStock[RM_Code],$A98,T_SelfStock[WeekIndex],72)&gt;0)*(COUNTIFS(T_TTAFStock[RM_Code],$A98,T_TTAFStock[WeekIndex],72)&gt;0)&gt;0,SUMIFS(T_SelfStock[Self_Qty],T_SelfStock[RM_Code],$A98,T_SelfStock[WeekIndex],72)+SUMIFS(T_TTAFStock[TTAF_Qty],T_TTAFStock[RM_Code],$A98,T_TTAFStock[WeekIndex],72),BT98+'Grid_Incoming'!BU98-'Grid_Requirement'!BU98))</f>
        <v/>
      </c>
      <c r="BV98">
        <f>IF(COUNTIFS(T_StockCount[RM_Code],$A98,T_StockCount[WeekIndex],73)&gt;0,SUMIFS(T_StockCount[CountedQty],T_StockCount[RM_Code],$A98,T_StockCount[WeekIndex],73),IF((COUNTIFS(T_SelfStock[RM_Code],$A98,T_SelfStock[WeekIndex],73)&gt;0)*(COUNTIFS(T_TTAFStock[RM_Code],$A98,T_TTAFStock[WeekIndex],73)&gt;0)&gt;0,SUMIFS(T_SelfStock[Self_Qty],T_SelfStock[RM_Code],$A98,T_SelfStock[WeekIndex],73)+SUMIFS(T_TTAFStock[TTAF_Qty],T_TTAFStock[RM_Code],$A98,T_TTAFStock[WeekIndex],73),BU98+'Grid_Incoming'!BV98-'Grid_Requirement'!BV98))</f>
        <v/>
      </c>
      <c r="BW98">
        <f>IF(COUNTIFS(T_StockCount[RM_Code],$A98,T_StockCount[WeekIndex],74)&gt;0,SUMIFS(T_StockCount[CountedQty],T_StockCount[RM_Code],$A98,T_StockCount[WeekIndex],74),IF((COUNTIFS(T_SelfStock[RM_Code],$A98,T_SelfStock[WeekIndex],74)&gt;0)*(COUNTIFS(T_TTAFStock[RM_Code],$A98,T_TTAFStock[WeekIndex],74)&gt;0)&gt;0,SUMIFS(T_SelfStock[Self_Qty],T_SelfStock[RM_Code],$A98,T_SelfStock[WeekIndex],74)+SUMIFS(T_TTAFStock[TTAF_Qty],T_TTAFStock[RM_Code],$A98,T_TTAFStock[WeekIndex],74),BV98+'Grid_Incoming'!BW98-'Grid_Requirement'!BW98))</f>
        <v/>
      </c>
      <c r="BX98">
        <f>IF(COUNTIFS(T_StockCount[RM_Code],$A98,T_StockCount[WeekIndex],75)&gt;0,SUMIFS(T_StockCount[CountedQty],T_StockCount[RM_Code],$A98,T_StockCount[WeekIndex],75),IF((COUNTIFS(T_SelfStock[RM_Code],$A98,T_SelfStock[WeekIndex],75)&gt;0)*(COUNTIFS(T_TTAFStock[RM_Code],$A98,T_TTAFStock[WeekIndex],75)&gt;0)&gt;0,SUMIFS(T_SelfStock[Self_Qty],T_SelfStock[RM_Code],$A98,T_SelfStock[WeekIndex],75)+SUMIFS(T_TTAFStock[TTAF_Qty],T_TTAFStock[RM_Code],$A98,T_TTAFStock[WeekIndex],75),BW98+'Grid_Incoming'!BX98-'Grid_Requirement'!BX98))</f>
        <v/>
      </c>
      <c r="BY98">
        <f>IF(COUNTIFS(T_StockCount[RM_Code],$A98,T_StockCount[WeekIndex],76)&gt;0,SUMIFS(T_StockCount[CountedQty],T_StockCount[RM_Code],$A98,T_StockCount[WeekIndex],76),IF((COUNTIFS(T_SelfStock[RM_Code],$A98,T_SelfStock[WeekIndex],76)&gt;0)*(COUNTIFS(T_TTAFStock[RM_Code],$A98,T_TTAFStock[WeekIndex],76)&gt;0)&gt;0,SUMIFS(T_SelfStock[Self_Qty],T_SelfStock[RM_Code],$A98,T_SelfStock[WeekIndex],76)+SUMIFS(T_TTAFStock[TTAF_Qty],T_TTAFStock[RM_Code],$A98,T_TTAFStock[WeekIndex],76),BX98+'Grid_Incoming'!BY98-'Grid_Requirement'!BY98))</f>
        <v/>
      </c>
      <c r="BZ98">
        <f>IF(COUNTIFS(T_StockCount[RM_Code],$A98,T_StockCount[WeekIndex],77)&gt;0,SUMIFS(T_StockCount[CountedQty],T_StockCount[RM_Code],$A98,T_StockCount[WeekIndex],77),IF((COUNTIFS(T_SelfStock[RM_Code],$A98,T_SelfStock[WeekIndex],77)&gt;0)*(COUNTIFS(T_TTAFStock[RM_Code],$A98,T_TTAFStock[WeekIndex],77)&gt;0)&gt;0,SUMIFS(T_SelfStock[Self_Qty],T_SelfStock[RM_Code],$A98,T_SelfStock[WeekIndex],77)+SUMIFS(T_TTAFStock[TTAF_Qty],T_TTAFStock[RM_Code],$A98,T_TTAFStock[WeekIndex],77),BY98+'Grid_Incoming'!BZ98-'Grid_Requirement'!BZ98))</f>
        <v/>
      </c>
      <c r="CA98">
        <f>IF(COUNTIFS(T_StockCount[RM_Code],$A98,T_StockCount[WeekIndex],78)&gt;0,SUMIFS(T_StockCount[CountedQty],T_StockCount[RM_Code],$A98,T_StockCount[WeekIndex],78),IF((COUNTIFS(T_SelfStock[RM_Code],$A98,T_SelfStock[WeekIndex],78)&gt;0)*(COUNTIFS(T_TTAFStock[RM_Code],$A98,T_TTAFStock[WeekIndex],78)&gt;0)&gt;0,SUMIFS(T_SelfStock[Self_Qty],T_SelfStock[RM_Code],$A98,T_SelfStock[WeekIndex],78)+SUMIFS(T_TTAFStock[TTAF_Qty],T_TTAFStock[RM_Code],$A98,T_TTAFStock[WeekIndex],78),BZ98+'Grid_Incoming'!CA98-'Grid_Requirement'!CA98))</f>
        <v/>
      </c>
      <c r="CB98">
        <f>IF(COUNTIFS(T_StockCount[RM_Code],$A98,T_StockCount[WeekIndex],79)&gt;0,SUMIFS(T_StockCount[CountedQty],T_StockCount[RM_Code],$A98,T_StockCount[WeekIndex],79),IF((COUNTIFS(T_SelfStock[RM_Code],$A98,T_SelfStock[WeekIndex],79)&gt;0)*(COUNTIFS(T_TTAFStock[RM_Code],$A98,T_TTAFStock[WeekIndex],79)&gt;0)&gt;0,SUMIFS(T_SelfStock[Self_Qty],T_SelfStock[RM_Code],$A98,T_SelfStock[WeekIndex],79)+SUMIFS(T_TTAFStock[TTAF_Qty],T_TTAFStock[RM_Code],$A98,T_TTAFStock[WeekIndex],79),CA98+'Grid_Incoming'!CB98-'Grid_Requirement'!CB98))</f>
        <v/>
      </c>
      <c r="CC98">
        <f>IF(COUNTIFS(T_StockCount[RM_Code],$A98,T_StockCount[WeekIndex],80)&gt;0,SUMIFS(T_StockCount[CountedQty],T_StockCount[RM_Code],$A98,T_StockCount[WeekIndex],80),IF((COUNTIFS(T_SelfStock[RM_Code],$A98,T_SelfStock[WeekIndex],80)&gt;0)*(COUNTIFS(T_TTAFStock[RM_Code],$A98,T_TTAFStock[WeekIndex],80)&gt;0)&gt;0,SUMIFS(T_SelfStock[Self_Qty],T_SelfStock[RM_Code],$A98,T_SelfStock[WeekIndex],80)+SUMIFS(T_TTAFStock[TTAF_Qty],T_TTAFStock[RM_Code],$A98,T_TTAFStock[WeekIndex],80),CB98+'Grid_Incoming'!CC98-'Grid_Requirement'!CC98))</f>
        <v/>
      </c>
      <c r="CD98">
        <f>IF(COUNTIFS(T_StockCount[RM_Code],$A98,T_StockCount[WeekIndex],81)&gt;0,SUMIFS(T_StockCount[CountedQty],T_StockCount[RM_Code],$A98,T_StockCount[WeekIndex],81),IF((COUNTIFS(T_SelfStock[RM_Code],$A98,T_SelfStock[WeekIndex],81)&gt;0)*(COUNTIFS(T_TTAFStock[RM_Code],$A98,T_TTAFStock[WeekIndex],81)&gt;0)&gt;0,SUMIFS(T_SelfStock[Self_Qty],T_SelfStock[RM_Code],$A98,T_SelfStock[WeekIndex],81)+SUMIFS(T_TTAFStock[TTAF_Qty],T_TTAFStock[RM_Code],$A98,T_TTAFStock[WeekIndex],81),CC98+'Grid_Incoming'!CD98-'Grid_Requirement'!CD98))</f>
        <v/>
      </c>
      <c r="CE98">
        <f>IF(COUNTIFS(T_StockCount[RM_Code],$A98,T_StockCount[WeekIndex],82)&gt;0,SUMIFS(T_StockCount[CountedQty],T_StockCount[RM_Code],$A98,T_StockCount[WeekIndex],82),IF((COUNTIFS(T_SelfStock[RM_Code],$A98,T_SelfStock[WeekIndex],82)&gt;0)*(COUNTIFS(T_TTAFStock[RM_Code],$A98,T_TTAFStock[WeekIndex],82)&gt;0)&gt;0,SUMIFS(T_SelfStock[Self_Qty],T_SelfStock[RM_Code],$A98,T_SelfStock[WeekIndex],82)+SUMIFS(T_TTAFStock[TTAF_Qty],T_TTAFStock[RM_Code],$A98,T_TTAFStock[WeekIndex],82),CD98+'Grid_Incoming'!CE98-'Grid_Requirement'!CE98))</f>
        <v/>
      </c>
      <c r="CF98">
        <f>IF(COUNTIFS(T_StockCount[RM_Code],$A98,T_StockCount[WeekIndex],83)&gt;0,SUMIFS(T_StockCount[CountedQty],T_StockCount[RM_Code],$A98,T_StockCount[WeekIndex],83),IF((COUNTIFS(T_SelfStock[RM_Code],$A98,T_SelfStock[WeekIndex],83)&gt;0)*(COUNTIFS(T_TTAFStock[RM_Code],$A98,T_TTAFStock[WeekIndex],83)&gt;0)&gt;0,SUMIFS(T_SelfStock[Self_Qty],T_SelfStock[RM_Code],$A98,T_SelfStock[WeekIndex],83)+SUMIFS(T_TTAFStock[TTAF_Qty],T_TTAFStock[RM_Code],$A98,T_TTAFStock[WeekIndex],83),CE98+'Grid_Incoming'!CF98-'Grid_Requirement'!CF98))</f>
        <v/>
      </c>
      <c r="CG98">
        <f>IF(COUNTIFS(T_StockCount[RM_Code],$A98,T_StockCount[WeekIndex],84)&gt;0,SUMIFS(T_StockCount[CountedQty],T_StockCount[RM_Code],$A98,T_StockCount[WeekIndex],84),IF((COUNTIFS(T_SelfStock[RM_Code],$A98,T_SelfStock[WeekIndex],84)&gt;0)*(COUNTIFS(T_TTAFStock[RM_Code],$A98,T_TTAFStock[WeekIndex],84)&gt;0)&gt;0,SUMIFS(T_SelfStock[Self_Qty],T_SelfStock[RM_Code],$A98,T_SelfStock[WeekIndex],84)+SUMIFS(T_TTAFStock[TTAF_Qty],T_TTAFStock[RM_Code],$A98,T_TTAFStock[WeekIndex],84),CF98+'Grid_Incoming'!CG98-'Grid_Requirement'!CG98))</f>
        <v/>
      </c>
      <c r="CH98">
        <f>IF(COUNTIFS(T_StockCount[RM_Code],$A98,T_StockCount[WeekIndex],85)&gt;0,SUMIFS(T_StockCount[CountedQty],T_StockCount[RM_Code],$A98,T_StockCount[WeekIndex],85),IF((COUNTIFS(T_SelfStock[RM_Code],$A98,T_SelfStock[WeekIndex],85)&gt;0)*(COUNTIFS(T_TTAFStock[RM_Code],$A98,T_TTAFStock[WeekIndex],85)&gt;0)&gt;0,SUMIFS(T_SelfStock[Self_Qty],T_SelfStock[RM_Code],$A98,T_SelfStock[WeekIndex],85)+SUMIFS(T_TTAFStock[TTAF_Qty],T_TTAFStock[RM_Code],$A98,T_TTAFStock[WeekIndex],85),CG98+'Grid_Incoming'!CH98-'Grid_Requirement'!CH98))</f>
        <v/>
      </c>
      <c r="CI98">
        <f>IF(COUNTIFS(T_StockCount[RM_Code],$A98,T_StockCount[WeekIndex],86)&gt;0,SUMIFS(T_StockCount[CountedQty],T_StockCount[RM_Code],$A98,T_StockCount[WeekIndex],86),IF((COUNTIFS(T_SelfStock[RM_Code],$A98,T_SelfStock[WeekIndex],86)&gt;0)*(COUNTIFS(T_TTAFStock[RM_Code],$A98,T_TTAFStock[WeekIndex],86)&gt;0)&gt;0,SUMIFS(T_SelfStock[Self_Qty],T_SelfStock[RM_Code],$A98,T_SelfStock[WeekIndex],86)+SUMIFS(T_TTAFStock[TTAF_Qty],T_TTAFStock[RM_Code],$A98,T_TTAFStock[WeekIndex],86),CH98+'Grid_Incoming'!CI98-'Grid_Requirement'!CI98))</f>
        <v/>
      </c>
      <c r="CJ98">
        <f>IF(COUNTIFS(T_StockCount[RM_Code],$A98,T_StockCount[WeekIndex],87)&gt;0,SUMIFS(T_StockCount[CountedQty],T_StockCount[RM_Code],$A98,T_StockCount[WeekIndex],87),IF((COUNTIFS(T_SelfStock[RM_Code],$A98,T_SelfStock[WeekIndex],87)&gt;0)*(COUNTIFS(T_TTAFStock[RM_Code],$A98,T_TTAFStock[WeekIndex],87)&gt;0)&gt;0,SUMIFS(T_SelfStock[Self_Qty],T_SelfStock[RM_Code],$A98,T_SelfStock[WeekIndex],87)+SUMIFS(T_TTAFStock[TTAF_Qty],T_TTAFStock[RM_Code],$A98,T_TTAFStock[WeekIndex],87),CI98+'Grid_Incoming'!CJ98-'Grid_Requirement'!CJ98))</f>
        <v/>
      </c>
      <c r="CK98">
        <f>IF(COUNTIFS(T_StockCount[RM_Code],$A98,T_StockCount[WeekIndex],88)&gt;0,SUMIFS(T_StockCount[CountedQty],T_StockCount[RM_Code],$A98,T_StockCount[WeekIndex],88),IF((COUNTIFS(T_SelfStock[RM_Code],$A98,T_SelfStock[WeekIndex],88)&gt;0)*(COUNTIFS(T_TTAFStock[RM_Code],$A98,T_TTAFStock[WeekIndex],88)&gt;0)&gt;0,SUMIFS(T_SelfStock[Self_Qty],T_SelfStock[RM_Code],$A98,T_SelfStock[WeekIndex],88)+SUMIFS(T_TTAFStock[TTAF_Qty],T_TTAFStock[RM_Code],$A98,T_TTAFStock[WeekIndex],88),CJ98+'Grid_Incoming'!CK98-'Grid_Requirement'!CK98))</f>
        <v/>
      </c>
      <c r="CL98">
        <f>IF(COUNTIFS(T_StockCount[RM_Code],$A98,T_StockCount[WeekIndex],89)&gt;0,SUMIFS(T_StockCount[CountedQty],T_StockCount[RM_Code],$A98,T_StockCount[WeekIndex],89),IF((COUNTIFS(T_SelfStock[RM_Code],$A98,T_SelfStock[WeekIndex],89)&gt;0)*(COUNTIFS(T_TTAFStock[RM_Code],$A98,T_TTAFStock[WeekIndex],89)&gt;0)&gt;0,SUMIFS(T_SelfStock[Self_Qty],T_SelfStock[RM_Code],$A98,T_SelfStock[WeekIndex],89)+SUMIFS(T_TTAFStock[TTAF_Qty],T_TTAFStock[RM_Code],$A98,T_TTAFStock[WeekIndex],89),CK98+'Grid_Incoming'!CL98-'Grid_Requirement'!CL98))</f>
        <v/>
      </c>
      <c r="CM98">
        <f>IF(COUNTIFS(T_StockCount[RM_Code],$A98,T_StockCount[WeekIndex],90)&gt;0,SUMIFS(T_StockCount[CountedQty],T_StockCount[RM_Code],$A98,T_StockCount[WeekIndex],90),IF((COUNTIFS(T_SelfStock[RM_Code],$A98,T_SelfStock[WeekIndex],90)&gt;0)*(COUNTIFS(T_TTAFStock[RM_Code],$A98,T_TTAFStock[WeekIndex],90)&gt;0)&gt;0,SUMIFS(T_SelfStock[Self_Qty],T_SelfStock[RM_Code],$A98,T_SelfStock[WeekIndex],90)+SUMIFS(T_TTAFStock[TTAF_Qty],T_TTAFStock[RM_Code],$A98,T_TTAFStock[WeekIndex],90),CL98+'Grid_Incoming'!CM98-'Grid_Requirement'!CM98))</f>
        <v/>
      </c>
      <c r="CN98">
        <f>IF(COUNTIFS(T_StockCount[RM_Code],$A98,T_StockCount[WeekIndex],91)&gt;0,SUMIFS(T_StockCount[CountedQty],T_StockCount[RM_Code],$A98,T_StockCount[WeekIndex],91),IF((COUNTIFS(T_SelfStock[RM_Code],$A98,T_SelfStock[WeekIndex],91)&gt;0)*(COUNTIFS(T_TTAFStock[RM_Code],$A98,T_TTAFStock[WeekIndex],91)&gt;0)&gt;0,SUMIFS(T_SelfStock[Self_Qty],T_SelfStock[RM_Code],$A98,T_SelfStock[WeekIndex],91)+SUMIFS(T_TTAFStock[TTAF_Qty],T_TTAFStock[RM_Code],$A98,T_TTAFStock[WeekIndex],91),CM98+'Grid_Incoming'!CN98-'Grid_Requirement'!CN98))</f>
        <v/>
      </c>
      <c r="CO98">
        <f>IF(COUNTIFS(T_StockCount[RM_Code],$A98,T_StockCount[WeekIndex],92)&gt;0,SUMIFS(T_StockCount[CountedQty],T_StockCount[RM_Code],$A98,T_StockCount[WeekIndex],92),IF((COUNTIFS(T_SelfStock[RM_Code],$A98,T_SelfStock[WeekIndex],92)&gt;0)*(COUNTIFS(T_TTAFStock[RM_Code],$A98,T_TTAFStock[WeekIndex],92)&gt;0)&gt;0,SUMIFS(T_SelfStock[Self_Qty],T_SelfStock[RM_Code],$A98,T_SelfStock[WeekIndex],92)+SUMIFS(T_TTAFStock[TTAF_Qty],T_TTAFStock[RM_Code],$A98,T_TTAFStock[WeekIndex],92),CN98+'Grid_Incoming'!CO98-'Grid_Requirement'!CO98))</f>
        <v/>
      </c>
      <c r="CP98">
        <f>IF(COUNTIFS(T_StockCount[RM_Code],$A98,T_StockCount[WeekIndex],93)&gt;0,SUMIFS(T_StockCount[CountedQty],T_StockCount[RM_Code],$A98,T_StockCount[WeekIndex],93),IF((COUNTIFS(T_SelfStock[RM_Code],$A98,T_SelfStock[WeekIndex],93)&gt;0)*(COUNTIFS(T_TTAFStock[RM_Code],$A98,T_TTAFStock[WeekIndex],93)&gt;0)&gt;0,SUMIFS(T_SelfStock[Self_Qty],T_SelfStock[RM_Code],$A98,T_SelfStock[WeekIndex],93)+SUMIFS(T_TTAFStock[TTAF_Qty],T_TTAFStock[RM_Code],$A98,T_TTAFStock[WeekIndex],93),CO98+'Grid_Incoming'!CP98-'Grid_Requirement'!CP98))</f>
        <v/>
      </c>
      <c r="CQ98">
        <f>IF(COUNTIFS(T_StockCount[RM_Code],$A98,T_StockCount[WeekIndex],94)&gt;0,SUMIFS(T_StockCount[CountedQty],T_StockCount[RM_Code],$A98,T_StockCount[WeekIndex],94),IF((COUNTIFS(T_SelfStock[RM_Code],$A98,T_SelfStock[WeekIndex],94)&gt;0)*(COUNTIFS(T_TTAFStock[RM_Code],$A98,T_TTAFStock[WeekIndex],94)&gt;0)&gt;0,SUMIFS(T_SelfStock[Self_Qty],T_SelfStock[RM_Code],$A98,T_SelfStock[WeekIndex],94)+SUMIFS(T_TTAFStock[TTAF_Qty],T_TTAFStock[RM_Code],$A98,T_TTAFStock[WeekIndex],94),CP98+'Grid_Incoming'!CQ98-'Grid_Requirement'!CQ98))</f>
        <v/>
      </c>
      <c r="CR98">
        <f>IF(COUNTIFS(T_StockCount[RM_Code],$A98,T_StockCount[WeekIndex],95)&gt;0,SUMIFS(T_StockCount[CountedQty],T_StockCount[RM_Code],$A98,T_StockCount[WeekIndex],95),IF((COUNTIFS(T_SelfStock[RM_Code],$A98,T_SelfStock[WeekIndex],95)&gt;0)*(COUNTIFS(T_TTAFStock[RM_Code],$A98,T_TTAFStock[WeekIndex],95)&gt;0)&gt;0,SUMIFS(T_SelfStock[Self_Qty],T_SelfStock[RM_Code],$A98,T_SelfStock[WeekIndex],95)+SUMIFS(T_TTAFStock[TTAF_Qty],T_TTAFStock[RM_Code],$A98,T_TTAFStock[WeekIndex],95),CQ98+'Grid_Incoming'!CR98-'Grid_Requirement'!CR98))</f>
        <v/>
      </c>
      <c r="CS98">
        <f>IF(COUNTIFS(T_StockCount[RM_Code],$A98,T_StockCount[WeekIndex],96)&gt;0,SUMIFS(T_StockCount[CountedQty],T_StockCount[RM_Code],$A98,T_StockCount[WeekIndex],96),IF((COUNTIFS(T_SelfStock[RM_Code],$A98,T_SelfStock[WeekIndex],96)&gt;0)*(COUNTIFS(T_TTAFStock[RM_Code],$A98,T_TTAFStock[WeekIndex],96)&gt;0)&gt;0,SUMIFS(T_SelfStock[Self_Qty],T_SelfStock[RM_Code],$A98,T_SelfStock[WeekIndex],96)+SUMIFS(T_TTAFStock[TTAF_Qty],T_TTAFStock[RM_Code],$A98,T_TTAFStock[WeekIndex],96),CR98+'Grid_Incoming'!CS98-'Grid_Requirement'!CS98))</f>
        <v/>
      </c>
      <c r="CT98">
        <f>IF(COUNTIFS(T_StockCount[RM_Code],$A98,T_StockCount[WeekIndex],97)&gt;0,SUMIFS(T_StockCount[CountedQty],T_StockCount[RM_Code],$A98,T_StockCount[WeekIndex],97),IF((COUNTIFS(T_SelfStock[RM_Code],$A98,T_SelfStock[WeekIndex],97)&gt;0)*(COUNTIFS(T_TTAFStock[RM_Code],$A98,T_TTAFStock[WeekIndex],97)&gt;0)&gt;0,SUMIFS(T_SelfStock[Self_Qty],T_SelfStock[RM_Code],$A98,T_SelfStock[WeekIndex],97)+SUMIFS(T_TTAFStock[TTAF_Qty],T_TTAFStock[RM_Code],$A98,T_TTAFStock[WeekIndex],97),CS98+'Grid_Incoming'!CT98-'Grid_Requirement'!CT98))</f>
        <v/>
      </c>
      <c r="CU98">
        <f>IF(COUNTIFS(T_StockCount[RM_Code],$A98,T_StockCount[WeekIndex],98)&gt;0,SUMIFS(T_StockCount[CountedQty],T_StockCount[RM_Code],$A98,T_StockCount[WeekIndex],98),IF((COUNTIFS(T_SelfStock[RM_Code],$A98,T_SelfStock[WeekIndex],98)&gt;0)*(COUNTIFS(T_TTAFStock[RM_Code],$A98,T_TTAFStock[WeekIndex],98)&gt;0)&gt;0,SUMIFS(T_SelfStock[Self_Qty],T_SelfStock[RM_Code],$A98,T_SelfStock[WeekIndex],98)+SUMIFS(T_TTAFStock[TTAF_Qty],T_TTAFStock[RM_Code],$A98,T_TTAFStock[WeekIndex],98),CT98+'Grid_Incoming'!CU98-'Grid_Requirement'!CU98))</f>
        <v/>
      </c>
      <c r="CV98">
        <f>IF(COUNTIFS(T_StockCount[RM_Code],$A98,T_StockCount[WeekIndex],99)&gt;0,SUMIFS(T_StockCount[CountedQty],T_StockCount[RM_Code],$A98,T_StockCount[WeekIndex],99),IF((COUNTIFS(T_SelfStock[RM_Code],$A98,T_SelfStock[WeekIndex],99)&gt;0)*(COUNTIFS(T_TTAFStock[RM_Code],$A98,T_TTAFStock[WeekIndex],99)&gt;0)&gt;0,SUMIFS(T_SelfStock[Self_Qty],T_SelfStock[RM_Code],$A98,T_SelfStock[WeekIndex],99)+SUMIFS(T_TTAFStock[TTAF_Qty],T_TTAFStock[RM_Code],$A98,T_TTAFStock[WeekIndex],99),CU98+'Grid_Incoming'!CV98-'Grid_Requirement'!CV98))</f>
        <v/>
      </c>
      <c r="CW98">
        <f>IF(COUNTIFS(T_StockCount[RM_Code],$A98,T_StockCount[WeekIndex],100)&gt;0,SUMIFS(T_StockCount[CountedQty],T_StockCount[RM_Code],$A98,T_StockCount[WeekIndex],100),IF((COUNTIFS(T_SelfStock[RM_Code],$A98,T_SelfStock[WeekIndex],100)&gt;0)*(COUNTIFS(T_TTAFStock[RM_Code],$A98,T_TTAFStock[WeekIndex],100)&gt;0)&gt;0,SUMIFS(T_SelfStock[Self_Qty],T_SelfStock[RM_Code],$A98,T_SelfStock[WeekIndex],100)+SUMIFS(T_TTAFStock[TTAF_Qty],T_TTAFStock[RM_Code],$A98,T_TTAFStock[WeekIndex],100),CV98+'Grid_Incoming'!CW98-'Grid_Requirement'!CW98))</f>
        <v/>
      </c>
      <c r="CX98">
        <f>IF(COUNTIFS(T_StockCount[RM_Code],$A98,T_StockCount[WeekIndex],101)&gt;0,SUMIFS(T_StockCount[CountedQty],T_StockCount[RM_Code],$A98,T_StockCount[WeekIndex],101),IF((COUNTIFS(T_SelfStock[RM_Code],$A98,T_SelfStock[WeekIndex],101)&gt;0)*(COUNTIFS(T_TTAFStock[RM_Code],$A98,T_TTAFStock[WeekIndex],101)&gt;0)&gt;0,SUMIFS(T_SelfStock[Self_Qty],T_SelfStock[RM_Code],$A98,T_SelfStock[WeekIndex],101)+SUMIFS(T_TTAFStock[TTAF_Qty],T_TTAFStock[RM_Code],$A98,T_TTAFStock[WeekIndex],101),CW98+'Grid_Incoming'!CX98-'Grid_Requirement'!CX98))</f>
        <v/>
      </c>
      <c r="CY98">
        <f>IF(COUNTIFS(T_StockCount[RM_Code],$A98,T_StockCount[WeekIndex],102)&gt;0,SUMIFS(T_StockCount[CountedQty],T_StockCount[RM_Code],$A98,T_StockCount[WeekIndex],102),IF((COUNTIFS(T_SelfStock[RM_Code],$A98,T_SelfStock[WeekIndex],102)&gt;0)*(COUNTIFS(T_TTAFStock[RM_Code],$A98,T_TTAFStock[WeekIndex],102)&gt;0)&gt;0,SUMIFS(T_SelfStock[Self_Qty],T_SelfStock[RM_Code],$A98,T_SelfStock[WeekIndex],102)+SUMIFS(T_TTAFStock[TTAF_Qty],T_TTAFStock[RM_Code],$A98,T_TTAFStock[WeekIndex],102),CX98+'Grid_Incoming'!CY98-'Grid_Requirement'!CY98))</f>
        <v/>
      </c>
      <c r="CZ98">
        <f>IF(COUNTIFS(T_StockCount[RM_Code],$A98,T_StockCount[WeekIndex],103)&gt;0,SUMIFS(T_StockCount[CountedQty],T_StockCount[RM_Code],$A98,T_StockCount[WeekIndex],103),IF((COUNTIFS(T_SelfStock[RM_Code],$A98,T_SelfStock[WeekIndex],103)&gt;0)*(COUNTIFS(T_TTAFStock[RM_Code],$A98,T_TTAFStock[WeekIndex],103)&gt;0)&gt;0,SUMIFS(T_SelfStock[Self_Qty],T_SelfStock[RM_Code],$A98,T_SelfStock[WeekIndex],103)+SUMIFS(T_TTAFStock[TTAF_Qty],T_TTAFStock[RM_Code],$A98,T_TTAFStock[WeekIndex],103),CY98+'Grid_Incoming'!CZ98-'Grid_Requirement'!CZ98))</f>
        <v/>
      </c>
      <c r="DA98">
        <f>IF(COUNTIFS(T_StockCount[RM_Code],$A98,T_StockCount[WeekIndex],104)&gt;0,SUMIFS(T_StockCount[CountedQty],T_StockCount[RM_Code],$A98,T_StockCount[WeekIndex],104),IF((COUNTIFS(T_SelfStock[RM_Code],$A98,T_SelfStock[WeekIndex],104)&gt;0)*(COUNTIFS(T_TTAFStock[RM_Code],$A98,T_TTAFStock[WeekIndex],104)&gt;0)&gt;0,SUMIFS(T_SelfStock[Self_Qty],T_SelfStock[RM_Code],$A98,T_SelfStock[WeekIndex],104)+SUMIFS(T_TTAFStock[TTAF_Qty],T_TTAFStock[RM_Code],$A98,T_TTAFStock[WeekIndex],104),CZ98+'Grid_Incoming'!DA98-'Grid_Requirement'!DA98))</f>
        <v/>
      </c>
    </row>
    <row r="99">
      <c r="A99" t="inlineStr">
        <is>
          <t>CHEM-1190</t>
        </is>
      </c>
      <c r="B99">
        <f>IF(COUNTIFS(T_StockCount[RM_Code],$A99,T_StockCount[WeekIndex],1)&gt;0,SUMIFS(T_StockCount[CountedQty],T_StockCount[RM_Code],$A99,T_StockCount[WeekIndex],1),IF((COUNTIFS(T_SelfStock[RM_Code],$A99,T_SelfStock[WeekIndex],1)&gt;0)*(COUNTIFS(T_TTAFStock[RM_Code],$A99,T_TTAFStock[WeekIndex],1)&gt;0)&gt;0,SUMIFS(T_SelfStock[Self_Qty],T_SelfStock[RM_Code],$A99,T_SelfStock[WeekIndex],1)+SUMIFS(T_TTAFStock[TTAF_Qty],T_TTAFStock[RM_Code],$A99,T_TTAFStock[WeekIndex],1),IFERROR(INDEX(T_OpeningStock[Opening_Qty],MATCH($A99,T_OpeningStock[RM_Code],0)),0)+'Grid_Incoming'!B99-'Grid_Requirement'!B99))</f>
        <v/>
      </c>
      <c r="C99">
        <f>IF(COUNTIFS(T_StockCount[RM_Code],$A99,T_StockCount[WeekIndex],2)&gt;0,SUMIFS(T_StockCount[CountedQty],T_StockCount[RM_Code],$A99,T_StockCount[WeekIndex],2),IF((COUNTIFS(T_SelfStock[RM_Code],$A99,T_SelfStock[WeekIndex],2)&gt;0)*(COUNTIFS(T_TTAFStock[RM_Code],$A99,T_TTAFStock[WeekIndex],2)&gt;0)&gt;0,SUMIFS(T_SelfStock[Self_Qty],T_SelfStock[RM_Code],$A99,T_SelfStock[WeekIndex],2)+SUMIFS(T_TTAFStock[TTAF_Qty],T_TTAFStock[RM_Code],$A99,T_TTAFStock[WeekIndex],2),B99+'Grid_Incoming'!C99-'Grid_Requirement'!C99))</f>
        <v/>
      </c>
      <c r="D99">
        <f>IF(COUNTIFS(T_StockCount[RM_Code],$A99,T_StockCount[WeekIndex],3)&gt;0,SUMIFS(T_StockCount[CountedQty],T_StockCount[RM_Code],$A99,T_StockCount[WeekIndex],3),IF((COUNTIFS(T_SelfStock[RM_Code],$A99,T_SelfStock[WeekIndex],3)&gt;0)*(COUNTIFS(T_TTAFStock[RM_Code],$A99,T_TTAFStock[WeekIndex],3)&gt;0)&gt;0,SUMIFS(T_SelfStock[Self_Qty],T_SelfStock[RM_Code],$A99,T_SelfStock[WeekIndex],3)+SUMIFS(T_TTAFStock[TTAF_Qty],T_TTAFStock[RM_Code],$A99,T_TTAFStock[WeekIndex],3),C99+'Grid_Incoming'!D99-'Grid_Requirement'!D99))</f>
        <v/>
      </c>
      <c r="E99">
        <f>IF(COUNTIFS(T_StockCount[RM_Code],$A99,T_StockCount[WeekIndex],4)&gt;0,SUMIFS(T_StockCount[CountedQty],T_StockCount[RM_Code],$A99,T_StockCount[WeekIndex],4),IF((COUNTIFS(T_SelfStock[RM_Code],$A99,T_SelfStock[WeekIndex],4)&gt;0)*(COUNTIFS(T_TTAFStock[RM_Code],$A99,T_TTAFStock[WeekIndex],4)&gt;0)&gt;0,SUMIFS(T_SelfStock[Self_Qty],T_SelfStock[RM_Code],$A99,T_SelfStock[WeekIndex],4)+SUMIFS(T_TTAFStock[TTAF_Qty],T_TTAFStock[RM_Code],$A99,T_TTAFStock[WeekIndex],4),D99+'Grid_Incoming'!E99-'Grid_Requirement'!E99))</f>
        <v/>
      </c>
      <c r="F99">
        <f>IF(COUNTIFS(T_StockCount[RM_Code],$A99,T_StockCount[WeekIndex],5)&gt;0,SUMIFS(T_StockCount[CountedQty],T_StockCount[RM_Code],$A99,T_StockCount[WeekIndex],5),IF((COUNTIFS(T_SelfStock[RM_Code],$A99,T_SelfStock[WeekIndex],5)&gt;0)*(COUNTIFS(T_TTAFStock[RM_Code],$A99,T_TTAFStock[WeekIndex],5)&gt;0)&gt;0,SUMIFS(T_SelfStock[Self_Qty],T_SelfStock[RM_Code],$A99,T_SelfStock[WeekIndex],5)+SUMIFS(T_TTAFStock[TTAF_Qty],T_TTAFStock[RM_Code],$A99,T_TTAFStock[WeekIndex],5),E99+'Grid_Incoming'!F99-'Grid_Requirement'!F99))</f>
        <v/>
      </c>
      <c r="G99">
        <f>IF(COUNTIFS(T_StockCount[RM_Code],$A99,T_StockCount[WeekIndex],6)&gt;0,SUMIFS(T_StockCount[CountedQty],T_StockCount[RM_Code],$A99,T_StockCount[WeekIndex],6),IF((COUNTIFS(T_SelfStock[RM_Code],$A99,T_SelfStock[WeekIndex],6)&gt;0)*(COUNTIFS(T_TTAFStock[RM_Code],$A99,T_TTAFStock[WeekIndex],6)&gt;0)&gt;0,SUMIFS(T_SelfStock[Self_Qty],T_SelfStock[RM_Code],$A99,T_SelfStock[WeekIndex],6)+SUMIFS(T_TTAFStock[TTAF_Qty],T_TTAFStock[RM_Code],$A99,T_TTAFStock[WeekIndex],6),F99+'Grid_Incoming'!G99-'Grid_Requirement'!G99))</f>
        <v/>
      </c>
      <c r="H99">
        <f>IF(COUNTIFS(T_StockCount[RM_Code],$A99,T_StockCount[WeekIndex],7)&gt;0,SUMIFS(T_StockCount[CountedQty],T_StockCount[RM_Code],$A99,T_StockCount[WeekIndex],7),IF((COUNTIFS(T_SelfStock[RM_Code],$A99,T_SelfStock[WeekIndex],7)&gt;0)*(COUNTIFS(T_TTAFStock[RM_Code],$A99,T_TTAFStock[WeekIndex],7)&gt;0)&gt;0,SUMIFS(T_SelfStock[Self_Qty],T_SelfStock[RM_Code],$A99,T_SelfStock[WeekIndex],7)+SUMIFS(T_TTAFStock[TTAF_Qty],T_TTAFStock[RM_Code],$A99,T_TTAFStock[WeekIndex],7),G99+'Grid_Incoming'!H99-'Grid_Requirement'!H99))</f>
        <v/>
      </c>
      <c r="I99">
        <f>IF(COUNTIFS(T_StockCount[RM_Code],$A99,T_StockCount[WeekIndex],8)&gt;0,SUMIFS(T_StockCount[CountedQty],T_StockCount[RM_Code],$A99,T_StockCount[WeekIndex],8),IF((COUNTIFS(T_SelfStock[RM_Code],$A99,T_SelfStock[WeekIndex],8)&gt;0)*(COUNTIFS(T_TTAFStock[RM_Code],$A99,T_TTAFStock[WeekIndex],8)&gt;0)&gt;0,SUMIFS(T_SelfStock[Self_Qty],T_SelfStock[RM_Code],$A99,T_SelfStock[WeekIndex],8)+SUMIFS(T_TTAFStock[TTAF_Qty],T_TTAFStock[RM_Code],$A99,T_TTAFStock[WeekIndex],8),H99+'Grid_Incoming'!I99-'Grid_Requirement'!I99))</f>
        <v/>
      </c>
      <c r="J99">
        <f>IF(COUNTIFS(T_StockCount[RM_Code],$A99,T_StockCount[WeekIndex],9)&gt;0,SUMIFS(T_StockCount[CountedQty],T_StockCount[RM_Code],$A99,T_StockCount[WeekIndex],9),IF((COUNTIFS(T_SelfStock[RM_Code],$A99,T_SelfStock[WeekIndex],9)&gt;0)*(COUNTIFS(T_TTAFStock[RM_Code],$A99,T_TTAFStock[WeekIndex],9)&gt;0)&gt;0,SUMIFS(T_SelfStock[Self_Qty],T_SelfStock[RM_Code],$A99,T_SelfStock[WeekIndex],9)+SUMIFS(T_TTAFStock[TTAF_Qty],T_TTAFStock[RM_Code],$A99,T_TTAFStock[WeekIndex],9),I99+'Grid_Incoming'!J99-'Grid_Requirement'!J99))</f>
        <v/>
      </c>
      <c r="K99">
        <f>IF(COUNTIFS(T_StockCount[RM_Code],$A99,T_StockCount[WeekIndex],10)&gt;0,SUMIFS(T_StockCount[CountedQty],T_StockCount[RM_Code],$A99,T_StockCount[WeekIndex],10),IF((COUNTIFS(T_SelfStock[RM_Code],$A99,T_SelfStock[WeekIndex],10)&gt;0)*(COUNTIFS(T_TTAFStock[RM_Code],$A99,T_TTAFStock[WeekIndex],10)&gt;0)&gt;0,SUMIFS(T_SelfStock[Self_Qty],T_SelfStock[RM_Code],$A99,T_SelfStock[WeekIndex],10)+SUMIFS(T_TTAFStock[TTAF_Qty],T_TTAFStock[RM_Code],$A99,T_TTAFStock[WeekIndex],10),J99+'Grid_Incoming'!K99-'Grid_Requirement'!K99))</f>
        <v/>
      </c>
      <c r="L99">
        <f>IF(COUNTIFS(T_StockCount[RM_Code],$A99,T_StockCount[WeekIndex],11)&gt;0,SUMIFS(T_StockCount[CountedQty],T_StockCount[RM_Code],$A99,T_StockCount[WeekIndex],11),IF((COUNTIFS(T_SelfStock[RM_Code],$A99,T_SelfStock[WeekIndex],11)&gt;0)*(COUNTIFS(T_TTAFStock[RM_Code],$A99,T_TTAFStock[WeekIndex],11)&gt;0)&gt;0,SUMIFS(T_SelfStock[Self_Qty],T_SelfStock[RM_Code],$A99,T_SelfStock[WeekIndex],11)+SUMIFS(T_TTAFStock[TTAF_Qty],T_TTAFStock[RM_Code],$A99,T_TTAFStock[WeekIndex],11),K99+'Grid_Incoming'!L99-'Grid_Requirement'!L99))</f>
        <v/>
      </c>
      <c r="M99">
        <f>IF(COUNTIFS(T_StockCount[RM_Code],$A99,T_StockCount[WeekIndex],12)&gt;0,SUMIFS(T_StockCount[CountedQty],T_StockCount[RM_Code],$A99,T_StockCount[WeekIndex],12),IF((COUNTIFS(T_SelfStock[RM_Code],$A99,T_SelfStock[WeekIndex],12)&gt;0)*(COUNTIFS(T_TTAFStock[RM_Code],$A99,T_TTAFStock[WeekIndex],12)&gt;0)&gt;0,SUMIFS(T_SelfStock[Self_Qty],T_SelfStock[RM_Code],$A99,T_SelfStock[WeekIndex],12)+SUMIFS(T_TTAFStock[TTAF_Qty],T_TTAFStock[RM_Code],$A99,T_TTAFStock[WeekIndex],12),L99+'Grid_Incoming'!M99-'Grid_Requirement'!M99))</f>
        <v/>
      </c>
      <c r="N99">
        <f>IF(COUNTIFS(T_StockCount[RM_Code],$A99,T_StockCount[WeekIndex],13)&gt;0,SUMIFS(T_StockCount[CountedQty],T_StockCount[RM_Code],$A99,T_StockCount[WeekIndex],13),IF((COUNTIFS(T_SelfStock[RM_Code],$A99,T_SelfStock[WeekIndex],13)&gt;0)*(COUNTIFS(T_TTAFStock[RM_Code],$A99,T_TTAFStock[WeekIndex],13)&gt;0)&gt;0,SUMIFS(T_SelfStock[Self_Qty],T_SelfStock[RM_Code],$A99,T_SelfStock[WeekIndex],13)+SUMIFS(T_TTAFStock[TTAF_Qty],T_TTAFStock[RM_Code],$A99,T_TTAFStock[WeekIndex],13),M99+'Grid_Incoming'!N99-'Grid_Requirement'!N99))</f>
        <v/>
      </c>
      <c r="O99">
        <f>IF(COUNTIFS(T_StockCount[RM_Code],$A99,T_StockCount[WeekIndex],14)&gt;0,SUMIFS(T_StockCount[CountedQty],T_StockCount[RM_Code],$A99,T_StockCount[WeekIndex],14),IF((COUNTIFS(T_SelfStock[RM_Code],$A99,T_SelfStock[WeekIndex],14)&gt;0)*(COUNTIFS(T_TTAFStock[RM_Code],$A99,T_TTAFStock[WeekIndex],14)&gt;0)&gt;0,SUMIFS(T_SelfStock[Self_Qty],T_SelfStock[RM_Code],$A99,T_SelfStock[WeekIndex],14)+SUMIFS(T_TTAFStock[TTAF_Qty],T_TTAFStock[RM_Code],$A99,T_TTAFStock[WeekIndex],14),N99+'Grid_Incoming'!O99-'Grid_Requirement'!O99))</f>
        <v/>
      </c>
      <c r="P99">
        <f>IF(COUNTIFS(T_StockCount[RM_Code],$A99,T_StockCount[WeekIndex],15)&gt;0,SUMIFS(T_StockCount[CountedQty],T_StockCount[RM_Code],$A99,T_StockCount[WeekIndex],15),IF((COUNTIFS(T_SelfStock[RM_Code],$A99,T_SelfStock[WeekIndex],15)&gt;0)*(COUNTIFS(T_TTAFStock[RM_Code],$A99,T_TTAFStock[WeekIndex],15)&gt;0)&gt;0,SUMIFS(T_SelfStock[Self_Qty],T_SelfStock[RM_Code],$A99,T_SelfStock[WeekIndex],15)+SUMIFS(T_TTAFStock[TTAF_Qty],T_TTAFStock[RM_Code],$A99,T_TTAFStock[WeekIndex],15),O99+'Grid_Incoming'!P99-'Grid_Requirement'!P99))</f>
        <v/>
      </c>
      <c r="Q99">
        <f>IF(COUNTIFS(T_StockCount[RM_Code],$A99,T_StockCount[WeekIndex],16)&gt;0,SUMIFS(T_StockCount[CountedQty],T_StockCount[RM_Code],$A99,T_StockCount[WeekIndex],16),IF((COUNTIFS(T_SelfStock[RM_Code],$A99,T_SelfStock[WeekIndex],16)&gt;0)*(COUNTIFS(T_TTAFStock[RM_Code],$A99,T_TTAFStock[WeekIndex],16)&gt;0)&gt;0,SUMIFS(T_SelfStock[Self_Qty],T_SelfStock[RM_Code],$A99,T_SelfStock[WeekIndex],16)+SUMIFS(T_TTAFStock[TTAF_Qty],T_TTAFStock[RM_Code],$A99,T_TTAFStock[WeekIndex],16),P99+'Grid_Incoming'!Q99-'Grid_Requirement'!Q99))</f>
        <v/>
      </c>
      <c r="R99">
        <f>IF(COUNTIFS(T_StockCount[RM_Code],$A99,T_StockCount[WeekIndex],17)&gt;0,SUMIFS(T_StockCount[CountedQty],T_StockCount[RM_Code],$A99,T_StockCount[WeekIndex],17),IF((COUNTIFS(T_SelfStock[RM_Code],$A99,T_SelfStock[WeekIndex],17)&gt;0)*(COUNTIFS(T_TTAFStock[RM_Code],$A99,T_TTAFStock[WeekIndex],17)&gt;0)&gt;0,SUMIFS(T_SelfStock[Self_Qty],T_SelfStock[RM_Code],$A99,T_SelfStock[WeekIndex],17)+SUMIFS(T_TTAFStock[TTAF_Qty],T_TTAFStock[RM_Code],$A99,T_TTAFStock[WeekIndex],17),Q99+'Grid_Incoming'!R99-'Grid_Requirement'!R99))</f>
        <v/>
      </c>
      <c r="S99">
        <f>IF(COUNTIFS(T_StockCount[RM_Code],$A99,T_StockCount[WeekIndex],18)&gt;0,SUMIFS(T_StockCount[CountedQty],T_StockCount[RM_Code],$A99,T_StockCount[WeekIndex],18),IF((COUNTIFS(T_SelfStock[RM_Code],$A99,T_SelfStock[WeekIndex],18)&gt;0)*(COUNTIFS(T_TTAFStock[RM_Code],$A99,T_TTAFStock[WeekIndex],18)&gt;0)&gt;0,SUMIFS(T_SelfStock[Self_Qty],T_SelfStock[RM_Code],$A99,T_SelfStock[WeekIndex],18)+SUMIFS(T_TTAFStock[TTAF_Qty],T_TTAFStock[RM_Code],$A99,T_TTAFStock[WeekIndex],18),R99+'Grid_Incoming'!S99-'Grid_Requirement'!S99))</f>
        <v/>
      </c>
      <c r="T99">
        <f>IF(COUNTIFS(T_StockCount[RM_Code],$A99,T_StockCount[WeekIndex],19)&gt;0,SUMIFS(T_StockCount[CountedQty],T_StockCount[RM_Code],$A99,T_StockCount[WeekIndex],19),IF((COUNTIFS(T_SelfStock[RM_Code],$A99,T_SelfStock[WeekIndex],19)&gt;0)*(COUNTIFS(T_TTAFStock[RM_Code],$A99,T_TTAFStock[WeekIndex],19)&gt;0)&gt;0,SUMIFS(T_SelfStock[Self_Qty],T_SelfStock[RM_Code],$A99,T_SelfStock[WeekIndex],19)+SUMIFS(T_TTAFStock[TTAF_Qty],T_TTAFStock[RM_Code],$A99,T_TTAFStock[WeekIndex],19),S99+'Grid_Incoming'!T99-'Grid_Requirement'!T99))</f>
        <v/>
      </c>
      <c r="U99">
        <f>IF(COUNTIFS(T_StockCount[RM_Code],$A99,T_StockCount[WeekIndex],20)&gt;0,SUMIFS(T_StockCount[CountedQty],T_StockCount[RM_Code],$A99,T_StockCount[WeekIndex],20),IF((COUNTIFS(T_SelfStock[RM_Code],$A99,T_SelfStock[WeekIndex],20)&gt;0)*(COUNTIFS(T_TTAFStock[RM_Code],$A99,T_TTAFStock[WeekIndex],20)&gt;0)&gt;0,SUMIFS(T_SelfStock[Self_Qty],T_SelfStock[RM_Code],$A99,T_SelfStock[WeekIndex],20)+SUMIFS(T_TTAFStock[TTAF_Qty],T_TTAFStock[RM_Code],$A99,T_TTAFStock[WeekIndex],20),T99+'Grid_Incoming'!U99-'Grid_Requirement'!U99))</f>
        <v/>
      </c>
      <c r="V99">
        <f>IF(COUNTIFS(T_StockCount[RM_Code],$A99,T_StockCount[WeekIndex],21)&gt;0,SUMIFS(T_StockCount[CountedQty],T_StockCount[RM_Code],$A99,T_StockCount[WeekIndex],21),IF((COUNTIFS(T_SelfStock[RM_Code],$A99,T_SelfStock[WeekIndex],21)&gt;0)*(COUNTIFS(T_TTAFStock[RM_Code],$A99,T_TTAFStock[WeekIndex],21)&gt;0)&gt;0,SUMIFS(T_SelfStock[Self_Qty],T_SelfStock[RM_Code],$A99,T_SelfStock[WeekIndex],21)+SUMIFS(T_TTAFStock[TTAF_Qty],T_TTAFStock[RM_Code],$A99,T_TTAFStock[WeekIndex],21),U99+'Grid_Incoming'!V99-'Grid_Requirement'!V99))</f>
        <v/>
      </c>
      <c r="W99">
        <f>IF(COUNTIFS(T_StockCount[RM_Code],$A99,T_StockCount[WeekIndex],22)&gt;0,SUMIFS(T_StockCount[CountedQty],T_StockCount[RM_Code],$A99,T_StockCount[WeekIndex],22),IF((COUNTIFS(T_SelfStock[RM_Code],$A99,T_SelfStock[WeekIndex],22)&gt;0)*(COUNTIFS(T_TTAFStock[RM_Code],$A99,T_TTAFStock[WeekIndex],22)&gt;0)&gt;0,SUMIFS(T_SelfStock[Self_Qty],T_SelfStock[RM_Code],$A99,T_SelfStock[WeekIndex],22)+SUMIFS(T_TTAFStock[TTAF_Qty],T_TTAFStock[RM_Code],$A99,T_TTAFStock[WeekIndex],22),V99+'Grid_Incoming'!W99-'Grid_Requirement'!W99))</f>
        <v/>
      </c>
      <c r="X99">
        <f>IF(COUNTIFS(T_StockCount[RM_Code],$A99,T_StockCount[WeekIndex],23)&gt;0,SUMIFS(T_StockCount[CountedQty],T_StockCount[RM_Code],$A99,T_StockCount[WeekIndex],23),IF((COUNTIFS(T_SelfStock[RM_Code],$A99,T_SelfStock[WeekIndex],23)&gt;0)*(COUNTIFS(T_TTAFStock[RM_Code],$A99,T_TTAFStock[WeekIndex],23)&gt;0)&gt;0,SUMIFS(T_SelfStock[Self_Qty],T_SelfStock[RM_Code],$A99,T_SelfStock[WeekIndex],23)+SUMIFS(T_TTAFStock[TTAF_Qty],T_TTAFStock[RM_Code],$A99,T_TTAFStock[WeekIndex],23),W99+'Grid_Incoming'!X99-'Grid_Requirement'!X99))</f>
        <v/>
      </c>
      <c r="Y99">
        <f>IF(COUNTIFS(T_StockCount[RM_Code],$A99,T_StockCount[WeekIndex],24)&gt;0,SUMIFS(T_StockCount[CountedQty],T_StockCount[RM_Code],$A99,T_StockCount[WeekIndex],24),IF((COUNTIFS(T_SelfStock[RM_Code],$A99,T_SelfStock[WeekIndex],24)&gt;0)*(COUNTIFS(T_TTAFStock[RM_Code],$A99,T_TTAFStock[WeekIndex],24)&gt;0)&gt;0,SUMIFS(T_SelfStock[Self_Qty],T_SelfStock[RM_Code],$A99,T_SelfStock[WeekIndex],24)+SUMIFS(T_TTAFStock[TTAF_Qty],T_TTAFStock[RM_Code],$A99,T_TTAFStock[WeekIndex],24),X99+'Grid_Incoming'!Y99-'Grid_Requirement'!Y99))</f>
        <v/>
      </c>
      <c r="Z99">
        <f>IF(COUNTIFS(T_StockCount[RM_Code],$A99,T_StockCount[WeekIndex],25)&gt;0,SUMIFS(T_StockCount[CountedQty],T_StockCount[RM_Code],$A99,T_StockCount[WeekIndex],25),IF((COUNTIFS(T_SelfStock[RM_Code],$A99,T_SelfStock[WeekIndex],25)&gt;0)*(COUNTIFS(T_TTAFStock[RM_Code],$A99,T_TTAFStock[WeekIndex],25)&gt;0)&gt;0,SUMIFS(T_SelfStock[Self_Qty],T_SelfStock[RM_Code],$A99,T_SelfStock[WeekIndex],25)+SUMIFS(T_TTAFStock[TTAF_Qty],T_TTAFStock[RM_Code],$A99,T_TTAFStock[WeekIndex],25),Y99+'Grid_Incoming'!Z99-'Grid_Requirement'!Z99))</f>
        <v/>
      </c>
      <c r="AA99">
        <f>IF(COUNTIFS(T_StockCount[RM_Code],$A99,T_StockCount[WeekIndex],26)&gt;0,SUMIFS(T_StockCount[CountedQty],T_StockCount[RM_Code],$A99,T_StockCount[WeekIndex],26),IF((COUNTIFS(T_SelfStock[RM_Code],$A99,T_SelfStock[WeekIndex],26)&gt;0)*(COUNTIFS(T_TTAFStock[RM_Code],$A99,T_TTAFStock[WeekIndex],26)&gt;0)&gt;0,SUMIFS(T_SelfStock[Self_Qty],T_SelfStock[RM_Code],$A99,T_SelfStock[WeekIndex],26)+SUMIFS(T_TTAFStock[TTAF_Qty],T_TTAFStock[RM_Code],$A99,T_TTAFStock[WeekIndex],26),Z99+'Grid_Incoming'!AA99-'Grid_Requirement'!AA99))</f>
        <v/>
      </c>
      <c r="AB99">
        <f>IF(COUNTIFS(T_StockCount[RM_Code],$A99,T_StockCount[WeekIndex],27)&gt;0,SUMIFS(T_StockCount[CountedQty],T_StockCount[RM_Code],$A99,T_StockCount[WeekIndex],27),IF((COUNTIFS(T_SelfStock[RM_Code],$A99,T_SelfStock[WeekIndex],27)&gt;0)*(COUNTIFS(T_TTAFStock[RM_Code],$A99,T_TTAFStock[WeekIndex],27)&gt;0)&gt;0,SUMIFS(T_SelfStock[Self_Qty],T_SelfStock[RM_Code],$A99,T_SelfStock[WeekIndex],27)+SUMIFS(T_TTAFStock[TTAF_Qty],T_TTAFStock[RM_Code],$A99,T_TTAFStock[WeekIndex],27),AA99+'Grid_Incoming'!AB99-'Grid_Requirement'!AB99))</f>
        <v/>
      </c>
      <c r="AC99">
        <f>IF(COUNTIFS(T_StockCount[RM_Code],$A99,T_StockCount[WeekIndex],28)&gt;0,SUMIFS(T_StockCount[CountedQty],T_StockCount[RM_Code],$A99,T_StockCount[WeekIndex],28),IF((COUNTIFS(T_SelfStock[RM_Code],$A99,T_SelfStock[WeekIndex],28)&gt;0)*(COUNTIFS(T_TTAFStock[RM_Code],$A99,T_TTAFStock[WeekIndex],28)&gt;0)&gt;0,SUMIFS(T_SelfStock[Self_Qty],T_SelfStock[RM_Code],$A99,T_SelfStock[WeekIndex],28)+SUMIFS(T_TTAFStock[TTAF_Qty],T_TTAFStock[RM_Code],$A99,T_TTAFStock[WeekIndex],28),AB99+'Grid_Incoming'!AC99-'Grid_Requirement'!AC99))</f>
        <v/>
      </c>
      <c r="AD99">
        <f>IF(COUNTIFS(T_StockCount[RM_Code],$A99,T_StockCount[WeekIndex],29)&gt;0,SUMIFS(T_StockCount[CountedQty],T_StockCount[RM_Code],$A99,T_StockCount[WeekIndex],29),IF((COUNTIFS(T_SelfStock[RM_Code],$A99,T_SelfStock[WeekIndex],29)&gt;0)*(COUNTIFS(T_TTAFStock[RM_Code],$A99,T_TTAFStock[WeekIndex],29)&gt;0)&gt;0,SUMIFS(T_SelfStock[Self_Qty],T_SelfStock[RM_Code],$A99,T_SelfStock[WeekIndex],29)+SUMIFS(T_TTAFStock[TTAF_Qty],T_TTAFStock[RM_Code],$A99,T_TTAFStock[WeekIndex],29),AC99+'Grid_Incoming'!AD99-'Grid_Requirement'!AD99))</f>
        <v/>
      </c>
      <c r="AE99">
        <f>IF(COUNTIFS(T_StockCount[RM_Code],$A99,T_StockCount[WeekIndex],30)&gt;0,SUMIFS(T_StockCount[CountedQty],T_StockCount[RM_Code],$A99,T_StockCount[WeekIndex],30),IF((COUNTIFS(T_SelfStock[RM_Code],$A99,T_SelfStock[WeekIndex],30)&gt;0)*(COUNTIFS(T_TTAFStock[RM_Code],$A99,T_TTAFStock[WeekIndex],30)&gt;0)&gt;0,SUMIFS(T_SelfStock[Self_Qty],T_SelfStock[RM_Code],$A99,T_SelfStock[WeekIndex],30)+SUMIFS(T_TTAFStock[TTAF_Qty],T_TTAFStock[RM_Code],$A99,T_TTAFStock[WeekIndex],30),AD99+'Grid_Incoming'!AE99-'Grid_Requirement'!AE99))</f>
        <v/>
      </c>
      <c r="AF99">
        <f>IF(COUNTIFS(T_StockCount[RM_Code],$A99,T_StockCount[WeekIndex],31)&gt;0,SUMIFS(T_StockCount[CountedQty],T_StockCount[RM_Code],$A99,T_StockCount[WeekIndex],31),IF((COUNTIFS(T_SelfStock[RM_Code],$A99,T_SelfStock[WeekIndex],31)&gt;0)*(COUNTIFS(T_TTAFStock[RM_Code],$A99,T_TTAFStock[WeekIndex],31)&gt;0)&gt;0,SUMIFS(T_SelfStock[Self_Qty],T_SelfStock[RM_Code],$A99,T_SelfStock[WeekIndex],31)+SUMIFS(T_TTAFStock[TTAF_Qty],T_TTAFStock[RM_Code],$A99,T_TTAFStock[WeekIndex],31),AE99+'Grid_Incoming'!AF99-'Grid_Requirement'!AF99))</f>
        <v/>
      </c>
      <c r="AG99">
        <f>IF(COUNTIFS(T_StockCount[RM_Code],$A99,T_StockCount[WeekIndex],32)&gt;0,SUMIFS(T_StockCount[CountedQty],T_StockCount[RM_Code],$A99,T_StockCount[WeekIndex],32),IF((COUNTIFS(T_SelfStock[RM_Code],$A99,T_SelfStock[WeekIndex],32)&gt;0)*(COUNTIFS(T_TTAFStock[RM_Code],$A99,T_TTAFStock[WeekIndex],32)&gt;0)&gt;0,SUMIFS(T_SelfStock[Self_Qty],T_SelfStock[RM_Code],$A99,T_SelfStock[WeekIndex],32)+SUMIFS(T_TTAFStock[TTAF_Qty],T_TTAFStock[RM_Code],$A99,T_TTAFStock[WeekIndex],32),AF99+'Grid_Incoming'!AG99-'Grid_Requirement'!AG99))</f>
        <v/>
      </c>
      <c r="AH99">
        <f>IF(COUNTIFS(T_StockCount[RM_Code],$A99,T_StockCount[WeekIndex],33)&gt;0,SUMIFS(T_StockCount[CountedQty],T_StockCount[RM_Code],$A99,T_StockCount[WeekIndex],33),IF((COUNTIFS(T_SelfStock[RM_Code],$A99,T_SelfStock[WeekIndex],33)&gt;0)*(COUNTIFS(T_TTAFStock[RM_Code],$A99,T_TTAFStock[WeekIndex],33)&gt;0)&gt;0,SUMIFS(T_SelfStock[Self_Qty],T_SelfStock[RM_Code],$A99,T_SelfStock[WeekIndex],33)+SUMIFS(T_TTAFStock[TTAF_Qty],T_TTAFStock[RM_Code],$A99,T_TTAFStock[WeekIndex],33),AG99+'Grid_Incoming'!AH99-'Grid_Requirement'!AH99))</f>
        <v/>
      </c>
      <c r="AI99">
        <f>IF(COUNTIFS(T_StockCount[RM_Code],$A99,T_StockCount[WeekIndex],34)&gt;0,SUMIFS(T_StockCount[CountedQty],T_StockCount[RM_Code],$A99,T_StockCount[WeekIndex],34),IF((COUNTIFS(T_SelfStock[RM_Code],$A99,T_SelfStock[WeekIndex],34)&gt;0)*(COUNTIFS(T_TTAFStock[RM_Code],$A99,T_TTAFStock[WeekIndex],34)&gt;0)&gt;0,SUMIFS(T_SelfStock[Self_Qty],T_SelfStock[RM_Code],$A99,T_SelfStock[WeekIndex],34)+SUMIFS(T_TTAFStock[TTAF_Qty],T_TTAFStock[RM_Code],$A99,T_TTAFStock[WeekIndex],34),AH99+'Grid_Incoming'!AI99-'Grid_Requirement'!AI99))</f>
        <v/>
      </c>
      <c r="AJ99">
        <f>IF(COUNTIFS(T_StockCount[RM_Code],$A99,T_StockCount[WeekIndex],35)&gt;0,SUMIFS(T_StockCount[CountedQty],T_StockCount[RM_Code],$A99,T_StockCount[WeekIndex],35),IF((COUNTIFS(T_SelfStock[RM_Code],$A99,T_SelfStock[WeekIndex],35)&gt;0)*(COUNTIFS(T_TTAFStock[RM_Code],$A99,T_TTAFStock[WeekIndex],35)&gt;0)&gt;0,SUMIFS(T_SelfStock[Self_Qty],T_SelfStock[RM_Code],$A99,T_SelfStock[WeekIndex],35)+SUMIFS(T_TTAFStock[TTAF_Qty],T_TTAFStock[RM_Code],$A99,T_TTAFStock[WeekIndex],35),AI99+'Grid_Incoming'!AJ99-'Grid_Requirement'!AJ99))</f>
        <v/>
      </c>
      <c r="AK99">
        <f>IF(COUNTIFS(T_StockCount[RM_Code],$A99,T_StockCount[WeekIndex],36)&gt;0,SUMIFS(T_StockCount[CountedQty],T_StockCount[RM_Code],$A99,T_StockCount[WeekIndex],36),IF((COUNTIFS(T_SelfStock[RM_Code],$A99,T_SelfStock[WeekIndex],36)&gt;0)*(COUNTIFS(T_TTAFStock[RM_Code],$A99,T_TTAFStock[WeekIndex],36)&gt;0)&gt;0,SUMIFS(T_SelfStock[Self_Qty],T_SelfStock[RM_Code],$A99,T_SelfStock[WeekIndex],36)+SUMIFS(T_TTAFStock[TTAF_Qty],T_TTAFStock[RM_Code],$A99,T_TTAFStock[WeekIndex],36),AJ99+'Grid_Incoming'!AK99-'Grid_Requirement'!AK99))</f>
        <v/>
      </c>
      <c r="AL99">
        <f>IF(COUNTIFS(T_StockCount[RM_Code],$A99,T_StockCount[WeekIndex],37)&gt;0,SUMIFS(T_StockCount[CountedQty],T_StockCount[RM_Code],$A99,T_StockCount[WeekIndex],37),IF((COUNTIFS(T_SelfStock[RM_Code],$A99,T_SelfStock[WeekIndex],37)&gt;0)*(COUNTIFS(T_TTAFStock[RM_Code],$A99,T_TTAFStock[WeekIndex],37)&gt;0)&gt;0,SUMIFS(T_SelfStock[Self_Qty],T_SelfStock[RM_Code],$A99,T_SelfStock[WeekIndex],37)+SUMIFS(T_TTAFStock[TTAF_Qty],T_TTAFStock[RM_Code],$A99,T_TTAFStock[WeekIndex],37),AK99+'Grid_Incoming'!AL99-'Grid_Requirement'!AL99))</f>
        <v/>
      </c>
      <c r="AM99">
        <f>IF(COUNTIFS(T_StockCount[RM_Code],$A99,T_StockCount[WeekIndex],38)&gt;0,SUMIFS(T_StockCount[CountedQty],T_StockCount[RM_Code],$A99,T_StockCount[WeekIndex],38),IF((COUNTIFS(T_SelfStock[RM_Code],$A99,T_SelfStock[WeekIndex],38)&gt;0)*(COUNTIFS(T_TTAFStock[RM_Code],$A99,T_TTAFStock[WeekIndex],38)&gt;0)&gt;0,SUMIFS(T_SelfStock[Self_Qty],T_SelfStock[RM_Code],$A99,T_SelfStock[WeekIndex],38)+SUMIFS(T_TTAFStock[TTAF_Qty],T_TTAFStock[RM_Code],$A99,T_TTAFStock[WeekIndex],38),AL99+'Grid_Incoming'!AM99-'Grid_Requirement'!AM99))</f>
        <v/>
      </c>
      <c r="AN99">
        <f>IF(COUNTIFS(T_StockCount[RM_Code],$A99,T_StockCount[WeekIndex],39)&gt;0,SUMIFS(T_StockCount[CountedQty],T_StockCount[RM_Code],$A99,T_StockCount[WeekIndex],39),IF((COUNTIFS(T_SelfStock[RM_Code],$A99,T_SelfStock[WeekIndex],39)&gt;0)*(COUNTIFS(T_TTAFStock[RM_Code],$A99,T_TTAFStock[WeekIndex],39)&gt;0)&gt;0,SUMIFS(T_SelfStock[Self_Qty],T_SelfStock[RM_Code],$A99,T_SelfStock[WeekIndex],39)+SUMIFS(T_TTAFStock[TTAF_Qty],T_TTAFStock[RM_Code],$A99,T_TTAFStock[WeekIndex],39),AM99+'Grid_Incoming'!AN99-'Grid_Requirement'!AN99))</f>
        <v/>
      </c>
      <c r="AO99">
        <f>IF(COUNTIFS(T_StockCount[RM_Code],$A99,T_StockCount[WeekIndex],40)&gt;0,SUMIFS(T_StockCount[CountedQty],T_StockCount[RM_Code],$A99,T_StockCount[WeekIndex],40),IF((COUNTIFS(T_SelfStock[RM_Code],$A99,T_SelfStock[WeekIndex],40)&gt;0)*(COUNTIFS(T_TTAFStock[RM_Code],$A99,T_TTAFStock[WeekIndex],40)&gt;0)&gt;0,SUMIFS(T_SelfStock[Self_Qty],T_SelfStock[RM_Code],$A99,T_SelfStock[WeekIndex],40)+SUMIFS(T_TTAFStock[TTAF_Qty],T_TTAFStock[RM_Code],$A99,T_TTAFStock[WeekIndex],40),AN99+'Grid_Incoming'!AO99-'Grid_Requirement'!AO99))</f>
        <v/>
      </c>
      <c r="AP99">
        <f>IF(COUNTIFS(T_StockCount[RM_Code],$A99,T_StockCount[WeekIndex],41)&gt;0,SUMIFS(T_StockCount[CountedQty],T_StockCount[RM_Code],$A99,T_StockCount[WeekIndex],41),IF((COUNTIFS(T_SelfStock[RM_Code],$A99,T_SelfStock[WeekIndex],41)&gt;0)*(COUNTIFS(T_TTAFStock[RM_Code],$A99,T_TTAFStock[WeekIndex],41)&gt;0)&gt;0,SUMIFS(T_SelfStock[Self_Qty],T_SelfStock[RM_Code],$A99,T_SelfStock[WeekIndex],41)+SUMIFS(T_TTAFStock[TTAF_Qty],T_TTAFStock[RM_Code],$A99,T_TTAFStock[WeekIndex],41),AO99+'Grid_Incoming'!AP99-'Grid_Requirement'!AP99))</f>
        <v/>
      </c>
      <c r="AQ99">
        <f>IF(COUNTIFS(T_StockCount[RM_Code],$A99,T_StockCount[WeekIndex],42)&gt;0,SUMIFS(T_StockCount[CountedQty],T_StockCount[RM_Code],$A99,T_StockCount[WeekIndex],42),IF((COUNTIFS(T_SelfStock[RM_Code],$A99,T_SelfStock[WeekIndex],42)&gt;0)*(COUNTIFS(T_TTAFStock[RM_Code],$A99,T_TTAFStock[WeekIndex],42)&gt;0)&gt;0,SUMIFS(T_SelfStock[Self_Qty],T_SelfStock[RM_Code],$A99,T_SelfStock[WeekIndex],42)+SUMIFS(T_TTAFStock[TTAF_Qty],T_TTAFStock[RM_Code],$A99,T_TTAFStock[WeekIndex],42),AP99+'Grid_Incoming'!AQ99-'Grid_Requirement'!AQ99))</f>
        <v/>
      </c>
      <c r="AR99">
        <f>IF(COUNTIFS(T_StockCount[RM_Code],$A99,T_StockCount[WeekIndex],43)&gt;0,SUMIFS(T_StockCount[CountedQty],T_StockCount[RM_Code],$A99,T_StockCount[WeekIndex],43),IF((COUNTIFS(T_SelfStock[RM_Code],$A99,T_SelfStock[WeekIndex],43)&gt;0)*(COUNTIFS(T_TTAFStock[RM_Code],$A99,T_TTAFStock[WeekIndex],43)&gt;0)&gt;0,SUMIFS(T_SelfStock[Self_Qty],T_SelfStock[RM_Code],$A99,T_SelfStock[WeekIndex],43)+SUMIFS(T_TTAFStock[TTAF_Qty],T_TTAFStock[RM_Code],$A99,T_TTAFStock[WeekIndex],43),AQ99+'Grid_Incoming'!AR99-'Grid_Requirement'!AR99))</f>
        <v/>
      </c>
      <c r="AS99">
        <f>IF(COUNTIFS(T_StockCount[RM_Code],$A99,T_StockCount[WeekIndex],44)&gt;0,SUMIFS(T_StockCount[CountedQty],T_StockCount[RM_Code],$A99,T_StockCount[WeekIndex],44),IF((COUNTIFS(T_SelfStock[RM_Code],$A99,T_SelfStock[WeekIndex],44)&gt;0)*(COUNTIFS(T_TTAFStock[RM_Code],$A99,T_TTAFStock[WeekIndex],44)&gt;0)&gt;0,SUMIFS(T_SelfStock[Self_Qty],T_SelfStock[RM_Code],$A99,T_SelfStock[WeekIndex],44)+SUMIFS(T_TTAFStock[TTAF_Qty],T_TTAFStock[RM_Code],$A99,T_TTAFStock[WeekIndex],44),AR99+'Grid_Incoming'!AS99-'Grid_Requirement'!AS99))</f>
        <v/>
      </c>
      <c r="AT99">
        <f>IF(COUNTIFS(T_StockCount[RM_Code],$A99,T_StockCount[WeekIndex],45)&gt;0,SUMIFS(T_StockCount[CountedQty],T_StockCount[RM_Code],$A99,T_StockCount[WeekIndex],45),IF((COUNTIFS(T_SelfStock[RM_Code],$A99,T_SelfStock[WeekIndex],45)&gt;0)*(COUNTIFS(T_TTAFStock[RM_Code],$A99,T_TTAFStock[WeekIndex],45)&gt;0)&gt;0,SUMIFS(T_SelfStock[Self_Qty],T_SelfStock[RM_Code],$A99,T_SelfStock[WeekIndex],45)+SUMIFS(T_TTAFStock[TTAF_Qty],T_TTAFStock[RM_Code],$A99,T_TTAFStock[WeekIndex],45),AS99+'Grid_Incoming'!AT99-'Grid_Requirement'!AT99))</f>
        <v/>
      </c>
      <c r="AU99">
        <f>IF(COUNTIFS(T_StockCount[RM_Code],$A99,T_StockCount[WeekIndex],46)&gt;0,SUMIFS(T_StockCount[CountedQty],T_StockCount[RM_Code],$A99,T_StockCount[WeekIndex],46),IF((COUNTIFS(T_SelfStock[RM_Code],$A99,T_SelfStock[WeekIndex],46)&gt;0)*(COUNTIFS(T_TTAFStock[RM_Code],$A99,T_TTAFStock[WeekIndex],46)&gt;0)&gt;0,SUMIFS(T_SelfStock[Self_Qty],T_SelfStock[RM_Code],$A99,T_SelfStock[WeekIndex],46)+SUMIFS(T_TTAFStock[TTAF_Qty],T_TTAFStock[RM_Code],$A99,T_TTAFStock[WeekIndex],46),AT99+'Grid_Incoming'!AU99-'Grid_Requirement'!AU99))</f>
        <v/>
      </c>
      <c r="AV99">
        <f>IF(COUNTIFS(T_StockCount[RM_Code],$A99,T_StockCount[WeekIndex],47)&gt;0,SUMIFS(T_StockCount[CountedQty],T_StockCount[RM_Code],$A99,T_StockCount[WeekIndex],47),IF((COUNTIFS(T_SelfStock[RM_Code],$A99,T_SelfStock[WeekIndex],47)&gt;0)*(COUNTIFS(T_TTAFStock[RM_Code],$A99,T_TTAFStock[WeekIndex],47)&gt;0)&gt;0,SUMIFS(T_SelfStock[Self_Qty],T_SelfStock[RM_Code],$A99,T_SelfStock[WeekIndex],47)+SUMIFS(T_TTAFStock[TTAF_Qty],T_TTAFStock[RM_Code],$A99,T_TTAFStock[WeekIndex],47),AU99+'Grid_Incoming'!AV99-'Grid_Requirement'!AV99))</f>
        <v/>
      </c>
      <c r="AW99">
        <f>IF(COUNTIFS(T_StockCount[RM_Code],$A99,T_StockCount[WeekIndex],48)&gt;0,SUMIFS(T_StockCount[CountedQty],T_StockCount[RM_Code],$A99,T_StockCount[WeekIndex],48),IF((COUNTIFS(T_SelfStock[RM_Code],$A99,T_SelfStock[WeekIndex],48)&gt;0)*(COUNTIFS(T_TTAFStock[RM_Code],$A99,T_TTAFStock[WeekIndex],48)&gt;0)&gt;0,SUMIFS(T_SelfStock[Self_Qty],T_SelfStock[RM_Code],$A99,T_SelfStock[WeekIndex],48)+SUMIFS(T_TTAFStock[TTAF_Qty],T_TTAFStock[RM_Code],$A99,T_TTAFStock[WeekIndex],48),AV99+'Grid_Incoming'!AW99-'Grid_Requirement'!AW99))</f>
        <v/>
      </c>
      <c r="AX99">
        <f>IF(COUNTIFS(T_StockCount[RM_Code],$A99,T_StockCount[WeekIndex],49)&gt;0,SUMIFS(T_StockCount[CountedQty],T_StockCount[RM_Code],$A99,T_StockCount[WeekIndex],49),IF((COUNTIFS(T_SelfStock[RM_Code],$A99,T_SelfStock[WeekIndex],49)&gt;0)*(COUNTIFS(T_TTAFStock[RM_Code],$A99,T_TTAFStock[WeekIndex],49)&gt;0)&gt;0,SUMIFS(T_SelfStock[Self_Qty],T_SelfStock[RM_Code],$A99,T_SelfStock[WeekIndex],49)+SUMIFS(T_TTAFStock[TTAF_Qty],T_TTAFStock[RM_Code],$A99,T_TTAFStock[WeekIndex],49),AW99+'Grid_Incoming'!AX99-'Grid_Requirement'!AX99))</f>
        <v/>
      </c>
      <c r="AY99">
        <f>IF(COUNTIFS(T_StockCount[RM_Code],$A99,T_StockCount[WeekIndex],50)&gt;0,SUMIFS(T_StockCount[CountedQty],T_StockCount[RM_Code],$A99,T_StockCount[WeekIndex],50),IF((COUNTIFS(T_SelfStock[RM_Code],$A99,T_SelfStock[WeekIndex],50)&gt;0)*(COUNTIFS(T_TTAFStock[RM_Code],$A99,T_TTAFStock[WeekIndex],50)&gt;0)&gt;0,SUMIFS(T_SelfStock[Self_Qty],T_SelfStock[RM_Code],$A99,T_SelfStock[WeekIndex],50)+SUMIFS(T_TTAFStock[TTAF_Qty],T_TTAFStock[RM_Code],$A99,T_TTAFStock[WeekIndex],50),AX99+'Grid_Incoming'!AY99-'Grid_Requirement'!AY99))</f>
        <v/>
      </c>
      <c r="AZ99">
        <f>IF(COUNTIFS(T_StockCount[RM_Code],$A99,T_StockCount[WeekIndex],51)&gt;0,SUMIFS(T_StockCount[CountedQty],T_StockCount[RM_Code],$A99,T_StockCount[WeekIndex],51),IF((COUNTIFS(T_SelfStock[RM_Code],$A99,T_SelfStock[WeekIndex],51)&gt;0)*(COUNTIFS(T_TTAFStock[RM_Code],$A99,T_TTAFStock[WeekIndex],51)&gt;0)&gt;0,SUMIFS(T_SelfStock[Self_Qty],T_SelfStock[RM_Code],$A99,T_SelfStock[WeekIndex],51)+SUMIFS(T_TTAFStock[TTAF_Qty],T_TTAFStock[RM_Code],$A99,T_TTAFStock[WeekIndex],51),AY99+'Grid_Incoming'!AZ99-'Grid_Requirement'!AZ99))</f>
        <v/>
      </c>
      <c r="BA99">
        <f>IF(COUNTIFS(T_StockCount[RM_Code],$A99,T_StockCount[WeekIndex],52)&gt;0,SUMIFS(T_StockCount[CountedQty],T_StockCount[RM_Code],$A99,T_StockCount[WeekIndex],52),IF((COUNTIFS(T_SelfStock[RM_Code],$A99,T_SelfStock[WeekIndex],52)&gt;0)*(COUNTIFS(T_TTAFStock[RM_Code],$A99,T_TTAFStock[WeekIndex],52)&gt;0)&gt;0,SUMIFS(T_SelfStock[Self_Qty],T_SelfStock[RM_Code],$A99,T_SelfStock[WeekIndex],52)+SUMIFS(T_TTAFStock[TTAF_Qty],T_TTAFStock[RM_Code],$A99,T_TTAFStock[WeekIndex],52),AZ99+'Grid_Incoming'!BA99-'Grid_Requirement'!BA99))</f>
        <v/>
      </c>
      <c r="BB99">
        <f>IF(COUNTIFS(T_StockCount[RM_Code],$A99,T_StockCount[WeekIndex],53)&gt;0,SUMIFS(T_StockCount[CountedQty],T_StockCount[RM_Code],$A99,T_StockCount[WeekIndex],53),IF((COUNTIFS(T_SelfStock[RM_Code],$A99,T_SelfStock[WeekIndex],53)&gt;0)*(COUNTIFS(T_TTAFStock[RM_Code],$A99,T_TTAFStock[WeekIndex],53)&gt;0)&gt;0,SUMIFS(T_SelfStock[Self_Qty],T_SelfStock[RM_Code],$A99,T_SelfStock[WeekIndex],53)+SUMIFS(T_TTAFStock[TTAF_Qty],T_TTAFStock[RM_Code],$A99,T_TTAFStock[WeekIndex],53),BA99+'Grid_Incoming'!BB99-'Grid_Requirement'!BB99))</f>
        <v/>
      </c>
      <c r="BC99">
        <f>IF(COUNTIFS(T_StockCount[RM_Code],$A99,T_StockCount[WeekIndex],54)&gt;0,SUMIFS(T_StockCount[CountedQty],T_StockCount[RM_Code],$A99,T_StockCount[WeekIndex],54),IF((COUNTIFS(T_SelfStock[RM_Code],$A99,T_SelfStock[WeekIndex],54)&gt;0)*(COUNTIFS(T_TTAFStock[RM_Code],$A99,T_TTAFStock[WeekIndex],54)&gt;0)&gt;0,SUMIFS(T_SelfStock[Self_Qty],T_SelfStock[RM_Code],$A99,T_SelfStock[WeekIndex],54)+SUMIFS(T_TTAFStock[TTAF_Qty],T_TTAFStock[RM_Code],$A99,T_TTAFStock[WeekIndex],54),BB99+'Grid_Incoming'!BC99-'Grid_Requirement'!BC99))</f>
        <v/>
      </c>
      <c r="BD99">
        <f>IF(COUNTIFS(T_StockCount[RM_Code],$A99,T_StockCount[WeekIndex],55)&gt;0,SUMIFS(T_StockCount[CountedQty],T_StockCount[RM_Code],$A99,T_StockCount[WeekIndex],55),IF((COUNTIFS(T_SelfStock[RM_Code],$A99,T_SelfStock[WeekIndex],55)&gt;0)*(COUNTIFS(T_TTAFStock[RM_Code],$A99,T_TTAFStock[WeekIndex],55)&gt;0)&gt;0,SUMIFS(T_SelfStock[Self_Qty],T_SelfStock[RM_Code],$A99,T_SelfStock[WeekIndex],55)+SUMIFS(T_TTAFStock[TTAF_Qty],T_TTAFStock[RM_Code],$A99,T_TTAFStock[WeekIndex],55),BC99+'Grid_Incoming'!BD99-'Grid_Requirement'!BD99))</f>
        <v/>
      </c>
      <c r="BE99">
        <f>IF(COUNTIFS(T_StockCount[RM_Code],$A99,T_StockCount[WeekIndex],56)&gt;0,SUMIFS(T_StockCount[CountedQty],T_StockCount[RM_Code],$A99,T_StockCount[WeekIndex],56),IF((COUNTIFS(T_SelfStock[RM_Code],$A99,T_SelfStock[WeekIndex],56)&gt;0)*(COUNTIFS(T_TTAFStock[RM_Code],$A99,T_TTAFStock[WeekIndex],56)&gt;0)&gt;0,SUMIFS(T_SelfStock[Self_Qty],T_SelfStock[RM_Code],$A99,T_SelfStock[WeekIndex],56)+SUMIFS(T_TTAFStock[TTAF_Qty],T_TTAFStock[RM_Code],$A99,T_TTAFStock[WeekIndex],56),BD99+'Grid_Incoming'!BE99-'Grid_Requirement'!BE99))</f>
        <v/>
      </c>
      <c r="BF99">
        <f>IF(COUNTIFS(T_StockCount[RM_Code],$A99,T_StockCount[WeekIndex],57)&gt;0,SUMIFS(T_StockCount[CountedQty],T_StockCount[RM_Code],$A99,T_StockCount[WeekIndex],57),IF((COUNTIFS(T_SelfStock[RM_Code],$A99,T_SelfStock[WeekIndex],57)&gt;0)*(COUNTIFS(T_TTAFStock[RM_Code],$A99,T_TTAFStock[WeekIndex],57)&gt;0)&gt;0,SUMIFS(T_SelfStock[Self_Qty],T_SelfStock[RM_Code],$A99,T_SelfStock[WeekIndex],57)+SUMIFS(T_TTAFStock[TTAF_Qty],T_TTAFStock[RM_Code],$A99,T_TTAFStock[WeekIndex],57),BE99+'Grid_Incoming'!BF99-'Grid_Requirement'!BF99))</f>
        <v/>
      </c>
      <c r="BG99">
        <f>IF(COUNTIFS(T_StockCount[RM_Code],$A99,T_StockCount[WeekIndex],58)&gt;0,SUMIFS(T_StockCount[CountedQty],T_StockCount[RM_Code],$A99,T_StockCount[WeekIndex],58),IF((COUNTIFS(T_SelfStock[RM_Code],$A99,T_SelfStock[WeekIndex],58)&gt;0)*(COUNTIFS(T_TTAFStock[RM_Code],$A99,T_TTAFStock[WeekIndex],58)&gt;0)&gt;0,SUMIFS(T_SelfStock[Self_Qty],T_SelfStock[RM_Code],$A99,T_SelfStock[WeekIndex],58)+SUMIFS(T_TTAFStock[TTAF_Qty],T_TTAFStock[RM_Code],$A99,T_TTAFStock[WeekIndex],58),BF99+'Grid_Incoming'!BG99-'Grid_Requirement'!BG99))</f>
        <v/>
      </c>
      <c r="BH99">
        <f>IF(COUNTIFS(T_StockCount[RM_Code],$A99,T_StockCount[WeekIndex],59)&gt;0,SUMIFS(T_StockCount[CountedQty],T_StockCount[RM_Code],$A99,T_StockCount[WeekIndex],59),IF((COUNTIFS(T_SelfStock[RM_Code],$A99,T_SelfStock[WeekIndex],59)&gt;0)*(COUNTIFS(T_TTAFStock[RM_Code],$A99,T_TTAFStock[WeekIndex],59)&gt;0)&gt;0,SUMIFS(T_SelfStock[Self_Qty],T_SelfStock[RM_Code],$A99,T_SelfStock[WeekIndex],59)+SUMIFS(T_TTAFStock[TTAF_Qty],T_TTAFStock[RM_Code],$A99,T_TTAFStock[WeekIndex],59),BG99+'Grid_Incoming'!BH99-'Grid_Requirement'!BH99))</f>
        <v/>
      </c>
      <c r="BI99">
        <f>IF(COUNTIFS(T_StockCount[RM_Code],$A99,T_StockCount[WeekIndex],60)&gt;0,SUMIFS(T_StockCount[CountedQty],T_StockCount[RM_Code],$A99,T_StockCount[WeekIndex],60),IF((COUNTIFS(T_SelfStock[RM_Code],$A99,T_SelfStock[WeekIndex],60)&gt;0)*(COUNTIFS(T_TTAFStock[RM_Code],$A99,T_TTAFStock[WeekIndex],60)&gt;0)&gt;0,SUMIFS(T_SelfStock[Self_Qty],T_SelfStock[RM_Code],$A99,T_SelfStock[WeekIndex],60)+SUMIFS(T_TTAFStock[TTAF_Qty],T_TTAFStock[RM_Code],$A99,T_TTAFStock[WeekIndex],60),BH99+'Grid_Incoming'!BI99-'Grid_Requirement'!BI99))</f>
        <v/>
      </c>
      <c r="BJ99">
        <f>IF(COUNTIFS(T_StockCount[RM_Code],$A99,T_StockCount[WeekIndex],61)&gt;0,SUMIFS(T_StockCount[CountedQty],T_StockCount[RM_Code],$A99,T_StockCount[WeekIndex],61),IF((COUNTIFS(T_SelfStock[RM_Code],$A99,T_SelfStock[WeekIndex],61)&gt;0)*(COUNTIFS(T_TTAFStock[RM_Code],$A99,T_TTAFStock[WeekIndex],61)&gt;0)&gt;0,SUMIFS(T_SelfStock[Self_Qty],T_SelfStock[RM_Code],$A99,T_SelfStock[WeekIndex],61)+SUMIFS(T_TTAFStock[TTAF_Qty],T_TTAFStock[RM_Code],$A99,T_TTAFStock[WeekIndex],61),BI99+'Grid_Incoming'!BJ99-'Grid_Requirement'!BJ99))</f>
        <v/>
      </c>
      <c r="BK99">
        <f>IF(COUNTIFS(T_StockCount[RM_Code],$A99,T_StockCount[WeekIndex],62)&gt;0,SUMIFS(T_StockCount[CountedQty],T_StockCount[RM_Code],$A99,T_StockCount[WeekIndex],62),IF((COUNTIFS(T_SelfStock[RM_Code],$A99,T_SelfStock[WeekIndex],62)&gt;0)*(COUNTIFS(T_TTAFStock[RM_Code],$A99,T_TTAFStock[WeekIndex],62)&gt;0)&gt;0,SUMIFS(T_SelfStock[Self_Qty],T_SelfStock[RM_Code],$A99,T_SelfStock[WeekIndex],62)+SUMIFS(T_TTAFStock[TTAF_Qty],T_TTAFStock[RM_Code],$A99,T_TTAFStock[WeekIndex],62),BJ99+'Grid_Incoming'!BK99-'Grid_Requirement'!BK99))</f>
        <v/>
      </c>
      <c r="BL99">
        <f>IF(COUNTIFS(T_StockCount[RM_Code],$A99,T_StockCount[WeekIndex],63)&gt;0,SUMIFS(T_StockCount[CountedQty],T_StockCount[RM_Code],$A99,T_StockCount[WeekIndex],63),IF((COUNTIFS(T_SelfStock[RM_Code],$A99,T_SelfStock[WeekIndex],63)&gt;0)*(COUNTIFS(T_TTAFStock[RM_Code],$A99,T_TTAFStock[WeekIndex],63)&gt;0)&gt;0,SUMIFS(T_SelfStock[Self_Qty],T_SelfStock[RM_Code],$A99,T_SelfStock[WeekIndex],63)+SUMIFS(T_TTAFStock[TTAF_Qty],T_TTAFStock[RM_Code],$A99,T_TTAFStock[WeekIndex],63),BK99+'Grid_Incoming'!BL99-'Grid_Requirement'!BL99))</f>
        <v/>
      </c>
      <c r="BM99">
        <f>IF(COUNTIFS(T_StockCount[RM_Code],$A99,T_StockCount[WeekIndex],64)&gt;0,SUMIFS(T_StockCount[CountedQty],T_StockCount[RM_Code],$A99,T_StockCount[WeekIndex],64),IF((COUNTIFS(T_SelfStock[RM_Code],$A99,T_SelfStock[WeekIndex],64)&gt;0)*(COUNTIFS(T_TTAFStock[RM_Code],$A99,T_TTAFStock[WeekIndex],64)&gt;0)&gt;0,SUMIFS(T_SelfStock[Self_Qty],T_SelfStock[RM_Code],$A99,T_SelfStock[WeekIndex],64)+SUMIFS(T_TTAFStock[TTAF_Qty],T_TTAFStock[RM_Code],$A99,T_TTAFStock[WeekIndex],64),BL99+'Grid_Incoming'!BM99-'Grid_Requirement'!BM99))</f>
        <v/>
      </c>
      <c r="BN99">
        <f>IF(COUNTIFS(T_StockCount[RM_Code],$A99,T_StockCount[WeekIndex],65)&gt;0,SUMIFS(T_StockCount[CountedQty],T_StockCount[RM_Code],$A99,T_StockCount[WeekIndex],65),IF((COUNTIFS(T_SelfStock[RM_Code],$A99,T_SelfStock[WeekIndex],65)&gt;0)*(COUNTIFS(T_TTAFStock[RM_Code],$A99,T_TTAFStock[WeekIndex],65)&gt;0)&gt;0,SUMIFS(T_SelfStock[Self_Qty],T_SelfStock[RM_Code],$A99,T_SelfStock[WeekIndex],65)+SUMIFS(T_TTAFStock[TTAF_Qty],T_TTAFStock[RM_Code],$A99,T_TTAFStock[WeekIndex],65),BM99+'Grid_Incoming'!BN99-'Grid_Requirement'!BN99))</f>
        <v/>
      </c>
      <c r="BO99">
        <f>IF(COUNTIFS(T_StockCount[RM_Code],$A99,T_StockCount[WeekIndex],66)&gt;0,SUMIFS(T_StockCount[CountedQty],T_StockCount[RM_Code],$A99,T_StockCount[WeekIndex],66),IF((COUNTIFS(T_SelfStock[RM_Code],$A99,T_SelfStock[WeekIndex],66)&gt;0)*(COUNTIFS(T_TTAFStock[RM_Code],$A99,T_TTAFStock[WeekIndex],66)&gt;0)&gt;0,SUMIFS(T_SelfStock[Self_Qty],T_SelfStock[RM_Code],$A99,T_SelfStock[WeekIndex],66)+SUMIFS(T_TTAFStock[TTAF_Qty],T_TTAFStock[RM_Code],$A99,T_TTAFStock[WeekIndex],66),BN99+'Grid_Incoming'!BO99-'Grid_Requirement'!BO99))</f>
        <v/>
      </c>
      <c r="BP99">
        <f>IF(COUNTIFS(T_StockCount[RM_Code],$A99,T_StockCount[WeekIndex],67)&gt;0,SUMIFS(T_StockCount[CountedQty],T_StockCount[RM_Code],$A99,T_StockCount[WeekIndex],67),IF((COUNTIFS(T_SelfStock[RM_Code],$A99,T_SelfStock[WeekIndex],67)&gt;0)*(COUNTIFS(T_TTAFStock[RM_Code],$A99,T_TTAFStock[WeekIndex],67)&gt;0)&gt;0,SUMIFS(T_SelfStock[Self_Qty],T_SelfStock[RM_Code],$A99,T_SelfStock[WeekIndex],67)+SUMIFS(T_TTAFStock[TTAF_Qty],T_TTAFStock[RM_Code],$A99,T_TTAFStock[WeekIndex],67),BO99+'Grid_Incoming'!BP99-'Grid_Requirement'!BP99))</f>
        <v/>
      </c>
      <c r="BQ99">
        <f>IF(COUNTIFS(T_StockCount[RM_Code],$A99,T_StockCount[WeekIndex],68)&gt;0,SUMIFS(T_StockCount[CountedQty],T_StockCount[RM_Code],$A99,T_StockCount[WeekIndex],68),IF((COUNTIFS(T_SelfStock[RM_Code],$A99,T_SelfStock[WeekIndex],68)&gt;0)*(COUNTIFS(T_TTAFStock[RM_Code],$A99,T_TTAFStock[WeekIndex],68)&gt;0)&gt;0,SUMIFS(T_SelfStock[Self_Qty],T_SelfStock[RM_Code],$A99,T_SelfStock[WeekIndex],68)+SUMIFS(T_TTAFStock[TTAF_Qty],T_TTAFStock[RM_Code],$A99,T_TTAFStock[WeekIndex],68),BP99+'Grid_Incoming'!BQ99-'Grid_Requirement'!BQ99))</f>
        <v/>
      </c>
      <c r="BR99">
        <f>IF(COUNTIFS(T_StockCount[RM_Code],$A99,T_StockCount[WeekIndex],69)&gt;0,SUMIFS(T_StockCount[CountedQty],T_StockCount[RM_Code],$A99,T_StockCount[WeekIndex],69),IF((COUNTIFS(T_SelfStock[RM_Code],$A99,T_SelfStock[WeekIndex],69)&gt;0)*(COUNTIFS(T_TTAFStock[RM_Code],$A99,T_TTAFStock[WeekIndex],69)&gt;0)&gt;0,SUMIFS(T_SelfStock[Self_Qty],T_SelfStock[RM_Code],$A99,T_SelfStock[WeekIndex],69)+SUMIFS(T_TTAFStock[TTAF_Qty],T_TTAFStock[RM_Code],$A99,T_TTAFStock[WeekIndex],69),BQ99+'Grid_Incoming'!BR99-'Grid_Requirement'!BR99))</f>
        <v/>
      </c>
      <c r="BS99">
        <f>IF(COUNTIFS(T_StockCount[RM_Code],$A99,T_StockCount[WeekIndex],70)&gt;0,SUMIFS(T_StockCount[CountedQty],T_StockCount[RM_Code],$A99,T_StockCount[WeekIndex],70),IF((COUNTIFS(T_SelfStock[RM_Code],$A99,T_SelfStock[WeekIndex],70)&gt;0)*(COUNTIFS(T_TTAFStock[RM_Code],$A99,T_TTAFStock[WeekIndex],70)&gt;0)&gt;0,SUMIFS(T_SelfStock[Self_Qty],T_SelfStock[RM_Code],$A99,T_SelfStock[WeekIndex],70)+SUMIFS(T_TTAFStock[TTAF_Qty],T_TTAFStock[RM_Code],$A99,T_TTAFStock[WeekIndex],70),BR99+'Grid_Incoming'!BS99-'Grid_Requirement'!BS99))</f>
        <v/>
      </c>
      <c r="BT99">
        <f>IF(COUNTIFS(T_StockCount[RM_Code],$A99,T_StockCount[WeekIndex],71)&gt;0,SUMIFS(T_StockCount[CountedQty],T_StockCount[RM_Code],$A99,T_StockCount[WeekIndex],71),IF((COUNTIFS(T_SelfStock[RM_Code],$A99,T_SelfStock[WeekIndex],71)&gt;0)*(COUNTIFS(T_TTAFStock[RM_Code],$A99,T_TTAFStock[WeekIndex],71)&gt;0)&gt;0,SUMIFS(T_SelfStock[Self_Qty],T_SelfStock[RM_Code],$A99,T_SelfStock[WeekIndex],71)+SUMIFS(T_TTAFStock[TTAF_Qty],T_TTAFStock[RM_Code],$A99,T_TTAFStock[WeekIndex],71),BS99+'Grid_Incoming'!BT99-'Grid_Requirement'!BT99))</f>
        <v/>
      </c>
      <c r="BU99">
        <f>IF(COUNTIFS(T_StockCount[RM_Code],$A99,T_StockCount[WeekIndex],72)&gt;0,SUMIFS(T_StockCount[CountedQty],T_StockCount[RM_Code],$A99,T_StockCount[WeekIndex],72),IF((COUNTIFS(T_SelfStock[RM_Code],$A99,T_SelfStock[WeekIndex],72)&gt;0)*(COUNTIFS(T_TTAFStock[RM_Code],$A99,T_TTAFStock[WeekIndex],72)&gt;0)&gt;0,SUMIFS(T_SelfStock[Self_Qty],T_SelfStock[RM_Code],$A99,T_SelfStock[WeekIndex],72)+SUMIFS(T_TTAFStock[TTAF_Qty],T_TTAFStock[RM_Code],$A99,T_TTAFStock[WeekIndex],72),BT99+'Grid_Incoming'!BU99-'Grid_Requirement'!BU99))</f>
        <v/>
      </c>
      <c r="BV99">
        <f>IF(COUNTIFS(T_StockCount[RM_Code],$A99,T_StockCount[WeekIndex],73)&gt;0,SUMIFS(T_StockCount[CountedQty],T_StockCount[RM_Code],$A99,T_StockCount[WeekIndex],73),IF((COUNTIFS(T_SelfStock[RM_Code],$A99,T_SelfStock[WeekIndex],73)&gt;0)*(COUNTIFS(T_TTAFStock[RM_Code],$A99,T_TTAFStock[WeekIndex],73)&gt;0)&gt;0,SUMIFS(T_SelfStock[Self_Qty],T_SelfStock[RM_Code],$A99,T_SelfStock[WeekIndex],73)+SUMIFS(T_TTAFStock[TTAF_Qty],T_TTAFStock[RM_Code],$A99,T_TTAFStock[WeekIndex],73),BU99+'Grid_Incoming'!BV99-'Grid_Requirement'!BV99))</f>
        <v/>
      </c>
      <c r="BW99">
        <f>IF(COUNTIFS(T_StockCount[RM_Code],$A99,T_StockCount[WeekIndex],74)&gt;0,SUMIFS(T_StockCount[CountedQty],T_StockCount[RM_Code],$A99,T_StockCount[WeekIndex],74),IF((COUNTIFS(T_SelfStock[RM_Code],$A99,T_SelfStock[WeekIndex],74)&gt;0)*(COUNTIFS(T_TTAFStock[RM_Code],$A99,T_TTAFStock[WeekIndex],74)&gt;0)&gt;0,SUMIFS(T_SelfStock[Self_Qty],T_SelfStock[RM_Code],$A99,T_SelfStock[WeekIndex],74)+SUMIFS(T_TTAFStock[TTAF_Qty],T_TTAFStock[RM_Code],$A99,T_TTAFStock[WeekIndex],74),BV99+'Grid_Incoming'!BW99-'Grid_Requirement'!BW99))</f>
        <v/>
      </c>
      <c r="BX99">
        <f>IF(COUNTIFS(T_StockCount[RM_Code],$A99,T_StockCount[WeekIndex],75)&gt;0,SUMIFS(T_StockCount[CountedQty],T_StockCount[RM_Code],$A99,T_StockCount[WeekIndex],75),IF((COUNTIFS(T_SelfStock[RM_Code],$A99,T_SelfStock[WeekIndex],75)&gt;0)*(COUNTIFS(T_TTAFStock[RM_Code],$A99,T_TTAFStock[WeekIndex],75)&gt;0)&gt;0,SUMIFS(T_SelfStock[Self_Qty],T_SelfStock[RM_Code],$A99,T_SelfStock[WeekIndex],75)+SUMIFS(T_TTAFStock[TTAF_Qty],T_TTAFStock[RM_Code],$A99,T_TTAFStock[WeekIndex],75),BW99+'Grid_Incoming'!BX99-'Grid_Requirement'!BX99))</f>
        <v/>
      </c>
      <c r="BY99">
        <f>IF(COUNTIFS(T_StockCount[RM_Code],$A99,T_StockCount[WeekIndex],76)&gt;0,SUMIFS(T_StockCount[CountedQty],T_StockCount[RM_Code],$A99,T_StockCount[WeekIndex],76),IF((COUNTIFS(T_SelfStock[RM_Code],$A99,T_SelfStock[WeekIndex],76)&gt;0)*(COUNTIFS(T_TTAFStock[RM_Code],$A99,T_TTAFStock[WeekIndex],76)&gt;0)&gt;0,SUMIFS(T_SelfStock[Self_Qty],T_SelfStock[RM_Code],$A99,T_SelfStock[WeekIndex],76)+SUMIFS(T_TTAFStock[TTAF_Qty],T_TTAFStock[RM_Code],$A99,T_TTAFStock[WeekIndex],76),BX99+'Grid_Incoming'!BY99-'Grid_Requirement'!BY99))</f>
        <v/>
      </c>
      <c r="BZ99">
        <f>IF(COUNTIFS(T_StockCount[RM_Code],$A99,T_StockCount[WeekIndex],77)&gt;0,SUMIFS(T_StockCount[CountedQty],T_StockCount[RM_Code],$A99,T_StockCount[WeekIndex],77),IF((COUNTIFS(T_SelfStock[RM_Code],$A99,T_SelfStock[WeekIndex],77)&gt;0)*(COUNTIFS(T_TTAFStock[RM_Code],$A99,T_TTAFStock[WeekIndex],77)&gt;0)&gt;0,SUMIFS(T_SelfStock[Self_Qty],T_SelfStock[RM_Code],$A99,T_SelfStock[WeekIndex],77)+SUMIFS(T_TTAFStock[TTAF_Qty],T_TTAFStock[RM_Code],$A99,T_TTAFStock[WeekIndex],77),BY99+'Grid_Incoming'!BZ99-'Grid_Requirement'!BZ99))</f>
        <v/>
      </c>
      <c r="CA99">
        <f>IF(COUNTIFS(T_StockCount[RM_Code],$A99,T_StockCount[WeekIndex],78)&gt;0,SUMIFS(T_StockCount[CountedQty],T_StockCount[RM_Code],$A99,T_StockCount[WeekIndex],78),IF((COUNTIFS(T_SelfStock[RM_Code],$A99,T_SelfStock[WeekIndex],78)&gt;0)*(COUNTIFS(T_TTAFStock[RM_Code],$A99,T_TTAFStock[WeekIndex],78)&gt;0)&gt;0,SUMIFS(T_SelfStock[Self_Qty],T_SelfStock[RM_Code],$A99,T_SelfStock[WeekIndex],78)+SUMIFS(T_TTAFStock[TTAF_Qty],T_TTAFStock[RM_Code],$A99,T_TTAFStock[WeekIndex],78),BZ99+'Grid_Incoming'!CA99-'Grid_Requirement'!CA99))</f>
        <v/>
      </c>
      <c r="CB99">
        <f>IF(COUNTIFS(T_StockCount[RM_Code],$A99,T_StockCount[WeekIndex],79)&gt;0,SUMIFS(T_StockCount[CountedQty],T_StockCount[RM_Code],$A99,T_StockCount[WeekIndex],79),IF((COUNTIFS(T_SelfStock[RM_Code],$A99,T_SelfStock[WeekIndex],79)&gt;0)*(COUNTIFS(T_TTAFStock[RM_Code],$A99,T_TTAFStock[WeekIndex],79)&gt;0)&gt;0,SUMIFS(T_SelfStock[Self_Qty],T_SelfStock[RM_Code],$A99,T_SelfStock[WeekIndex],79)+SUMIFS(T_TTAFStock[TTAF_Qty],T_TTAFStock[RM_Code],$A99,T_TTAFStock[WeekIndex],79),CA99+'Grid_Incoming'!CB99-'Grid_Requirement'!CB99))</f>
        <v/>
      </c>
      <c r="CC99">
        <f>IF(COUNTIFS(T_StockCount[RM_Code],$A99,T_StockCount[WeekIndex],80)&gt;0,SUMIFS(T_StockCount[CountedQty],T_StockCount[RM_Code],$A99,T_StockCount[WeekIndex],80),IF((COUNTIFS(T_SelfStock[RM_Code],$A99,T_SelfStock[WeekIndex],80)&gt;0)*(COUNTIFS(T_TTAFStock[RM_Code],$A99,T_TTAFStock[WeekIndex],80)&gt;0)&gt;0,SUMIFS(T_SelfStock[Self_Qty],T_SelfStock[RM_Code],$A99,T_SelfStock[WeekIndex],80)+SUMIFS(T_TTAFStock[TTAF_Qty],T_TTAFStock[RM_Code],$A99,T_TTAFStock[WeekIndex],80),CB99+'Grid_Incoming'!CC99-'Grid_Requirement'!CC99))</f>
        <v/>
      </c>
      <c r="CD99">
        <f>IF(COUNTIFS(T_StockCount[RM_Code],$A99,T_StockCount[WeekIndex],81)&gt;0,SUMIFS(T_StockCount[CountedQty],T_StockCount[RM_Code],$A99,T_StockCount[WeekIndex],81),IF((COUNTIFS(T_SelfStock[RM_Code],$A99,T_SelfStock[WeekIndex],81)&gt;0)*(COUNTIFS(T_TTAFStock[RM_Code],$A99,T_TTAFStock[WeekIndex],81)&gt;0)&gt;0,SUMIFS(T_SelfStock[Self_Qty],T_SelfStock[RM_Code],$A99,T_SelfStock[WeekIndex],81)+SUMIFS(T_TTAFStock[TTAF_Qty],T_TTAFStock[RM_Code],$A99,T_TTAFStock[WeekIndex],81),CC99+'Grid_Incoming'!CD99-'Grid_Requirement'!CD99))</f>
        <v/>
      </c>
      <c r="CE99">
        <f>IF(COUNTIFS(T_StockCount[RM_Code],$A99,T_StockCount[WeekIndex],82)&gt;0,SUMIFS(T_StockCount[CountedQty],T_StockCount[RM_Code],$A99,T_StockCount[WeekIndex],82),IF((COUNTIFS(T_SelfStock[RM_Code],$A99,T_SelfStock[WeekIndex],82)&gt;0)*(COUNTIFS(T_TTAFStock[RM_Code],$A99,T_TTAFStock[WeekIndex],82)&gt;0)&gt;0,SUMIFS(T_SelfStock[Self_Qty],T_SelfStock[RM_Code],$A99,T_SelfStock[WeekIndex],82)+SUMIFS(T_TTAFStock[TTAF_Qty],T_TTAFStock[RM_Code],$A99,T_TTAFStock[WeekIndex],82),CD99+'Grid_Incoming'!CE99-'Grid_Requirement'!CE99))</f>
        <v/>
      </c>
      <c r="CF99">
        <f>IF(COUNTIFS(T_StockCount[RM_Code],$A99,T_StockCount[WeekIndex],83)&gt;0,SUMIFS(T_StockCount[CountedQty],T_StockCount[RM_Code],$A99,T_StockCount[WeekIndex],83),IF((COUNTIFS(T_SelfStock[RM_Code],$A99,T_SelfStock[WeekIndex],83)&gt;0)*(COUNTIFS(T_TTAFStock[RM_Code],$A99,T_TTAFStock[WeekIndex],83)&gt;0)&gt;0,SUMIFS(T_SelfStock[Self_Qty],T_SelfStock[RM_Code],$A99,T_SelfStock[WeekIndex],83)+SUMIFS(T_TTAFStock[TTAF_Qty],T_TTAFStock[RM_Code],$A99,T_TTAFStock[WeekIndex],83),CE99+'Grid_Incoming'!CF99-'Grid_Requirement'!CF99))</f>
        <v/>
      </c>
      <c r="CG99">
        <f>IF(COUNTIFS(T_StockCount[RM_Code],$A99,T_StockCount[WeekIndex],84)&gt;0,SUMIFS(T_StockCount[CountedQty],T_StockCount[RM_Code],$A99,T_StockCount[WeekIndex],84),IF((COUNTIFS(T_SelfStock[RM_Code],$A99,T_SelfStock[WeekIndex],84)&gt;0)*(COUNTIFS(T_TTAFStock[RM_Code],$A99,T_TTAFStock[WeekIndex],84)&gt;0)&gt;0,SUMIFS(T_SelfStock[Self_Qty],T_SelfStock[RM_Code],$A99,T_SelfStock[WeekIndex],84)+SUMIFS(T_TTAFStock[TTAF_Qty],T_TTAFStock[RM_Code],$A99,T_TTAFStock[WeekIndex],84),CF99+'Grid_Incoming'!CG99-'Grid_Requirement'!CG99))</f>
        <v/>
      </c>
      <c r="CH99">
        <f>IF(COUNTIFS(T_StockCount[RM_Code],$A99,T_StockCount[WeekIndex],85)&gt;0,SUMIFS(T_StockCount[CountedQty],T_StockCount[RM_Code],$A99,T_StockCount[WeekIndex],85),IF((COUNTIFS(T_SelfStock[RM_Code],$A99,T_SelfStock[WeekIndex],85)&gt;0)*(COUNTIFS(T_TTAFStock[RM_Code],$A99,T_TTAFStock[WeekIndex],85)&gt;0)&gt;0,SUMIFS(T_SelfStock[Self_Qty],T_SelfStock[RM_Code],$A99,T_SelfStock[WeekIndex],85)+SUMIFS(T_TTAFStock[TTAF_Qty],T_TTAFStock[RM_Code],$A99,T_TTAFStock[WeekIndex],85),CG99+'Grid_Incoming'!CH99-'Grid_Requirement'!CH99))</f>
        <v/>
      </c>
      <c r="CI99">
        <f>IF(COUNTIFS(T_StockCount[RM_Code],$A99,T_StockCount[WeekIndex],86)&gt;0,SUMIFS(T_StockCount[CountedQty],T_StockCount[RM_Code],$A99,T_StockCount[WeekIndex],86),IF((COUNTIFS(T_SelfStock[RM_Code],$A99,T_SelfStock[WeekIndex],86)&gt;0)*(COUNTIFS(T_TTAFStock[RM_Code],$A99,T_TTAFStock[WeekIndex],86)&gt;0)&gt;0,SUMIFS(T_SelfStock[Self_Qty],T_SelfStock[RM_Code],$A99,T_SelfStock[WeekIndex],86)+SUMIFS(T_TTAFStock[TTAF_Qty],T_TTAFStock[RM_Code],$A99,T_TTAFStock[WeekIndex],86),CH99+'Grid_Incoming'!CI99-'Grid_Requirement'!CI99))</f>
        <v/>
      </c>
      <c r="CJ99">
        <f>IF(COUNTIFS(T_StockCount[RM_Code],$A99,T_StockCount[WeekIndex],87)&gt;0,SUMIFS(T_StockCount[CountedQty],T_StockCount[RM_Code],$A99,T_StockCount[WeekIndex],87),IF((COUNTIFS(T_SelfStock[RM_Code],$A99,T_SelfStock[WeekIndex],87)&gt;0)*(COUNTIFS(T_TTAFStock[RM_Code],$A99,T_TTAFStock[WeekIndex],87)&gt;0)&gt;0,SUMIFS(T_SelfStock[Self_Qty],T_SelfStock[RM_Code],$A99,T_SelfStock[WeekIndex],87)+SUMIFS(T_TTAFStock[TTAF_Qty],T_TTAFStock[RM_Code],$A99,T_TTAFStock[WeekIndex],87),CI99+'Grid_Incoming'!CJ99-'Grid_Requirement'!CJ99))</f>
        <v/>
      </c>
      <c r="CK99">
        <f>IF(COUNTIFS(T_StockCount[RM_Code],$A99,T_StockCount[WeekIndex],88)&gt;0,SUMIFS(T_StockCount[CountedQty],T_StockCount[RM_Code],$A99,T_StockCount[WeekIndex],88),IF((COUNTIFS(T_SelfStock[RM_Code],$A99,T_SelfStock[WeekIndex],88)&gt;0)*(COUNTIFS(T_TTAFStock[RM_Code],$A99,T_TTAFStock[WeekIndex],88)&gt;0)&gt;0,SUMIFS(T_SelfStock[Self_Qty],T_SelfStock[RM_Code],$A99,T_SelfStock[WeekIndex],88)+SUMIFS(T_TTAFStock[TTAF_Qty],T_TTAFStock[RM_Code],$A99,T_TTAFStock[WeekIndex],88),CJ99+'Grid_Incoming'!CK99-'Grid_Requirement'!CK99))</f>
        <v/>
      </c>
      <c r="CL99">
        <f>IF(COUNTIFS(T_StockCount[RM_Code],$A99,T_StockCount[WeekIndex],89)&gt;0,SUMIFS(T_StockCount[CountedQty],T_StockCount[RM_Code],$A99,T_StockCount[WeekIndex],89),IF((COUNTIFS(T_SelfStock[RM_Code],$A99,T_SelfStock[WeekIndex],89)&gt;0)*(COUNTIFS(T_TTAFStock[RM_Code],$A99,T_TTAFStock[WeekIndex],89)&gt;0)&gt;0,SUMIFS(T_SelfStock[Self_Qty],T_SelfStock[RM_Code],$A99,T_SelfStock[WeekIndex],89)+SUMIFS(T_TTAFStock[TTAF_Qty],T_TTAFStock[RM_Code],$A99,T_TTAFStock[WeekIndex],89),CK99+'Grid_Incoming'!CL99-'Grid_Requirement'!CL99))</f>
        <v/>
      </c>
      <c r="CM99">
        <f>IF(COUNTIFS(T_StockCount[RM_Code],$A99,T_StockCount[WeekIndex],90)&gt;0,SUMIFS(T_StockCount[CountedQty],T_StockCount[RM_Code],$A99,T_StockCount[WeekIndex],90),IF((COUNTIFS(T_SelfStock[RM_Code],$A99,T_SelfStock[WeekIndex],90)&gt;0)*(COUNTIFS(T_TTAFStock[RM_Code],$A99,T_TTAFStock[WeekIndex],90)&gt;0)&gt;0,SUMIFS(T_SelfStock[Self_Qty],T_SelfStock[RM_Code],$A99,T_SelfStock[WeekIndex],90)+SUMIFS(T_TTAFStock[TTAF_Qty],T_TTAFStock[RM_Code],$A99,T_TTAFStock[WeekIndex],90),CL99+'Grid_Incoming'!CM99-'Grid_Requirement'!CM99))</f>
        <v/>
      </c>
      <c r="CN99">
        <f>IF(COUNTIFS(T_StockCount[RM_Code],$A99,T_StockCount[WeekIndex],91)&gt;0,SUMIFS(T_StockCount[CountedQty],T_StockCount[RM_Code],$A99,T_StockCount[WeekIndex],91),IF((COUNTIFS(T_SelfStock[RM_Code],$A99,T_SelfStock[WeekIndex],91)&gt;0)*(COUNTIFS(T_TTAFStock[RM_Code],$A99,T_TTAFStock[WeekIndex],91)&gt;0)&gt;0,SUMIFS(T_SelfStock[Self_Qty],T_SelfStock[RM_Code],$A99,T_SelfStock[WeekIndex],91)+SUMIFS(T_TTAFStock[TTAF_Qty],T_TTAFStock[RM_Code],$A99,T_TTAFStock[WeekIndex],91),CM99+'Grid_Incoming'!CN99-'Grid_Requirement'!CN99))</f>
        <v/>
      </c>
      <c r="CO99">
        <f>IF(COUNTIFS(T_StockCount[RM_Code],$A99,T_StockCount[WeekIndex],92)&gt;0,SUMIFS(T_StockCount[CountedQty],T_StockCount[RM_Code],$A99,T_StockCount[WeekIndex],92),IF((COUNTIFS(T_SelfStock[RM_Code],$A99,T_SelfStock[WeekIndex],92)&gt;0)*(COUNTIFS(T_TTAFStock[RM_Code],$A99,T_TTAFStock[WeekIndex],92)&gt;0)&gt;0,SUMIFS(T_SelfStock[Self_Qty],T_SelfStock[RM_Code],$A99,T_SelfStock[WeekIndex],92)+SUMIFS(T_TTAFStock[TTAF_Qty],T_TTAFStock[RM_Code],$A99,T_TTAFStock[WeekIndex],92),CN99+'Grid_Incoming'!CO99-'Grid_Requirement'!CO99))</f>
        <v/>
      </c>
      <c r="CP99">
        <f>IF(COUNTIFS(T_StockCount[RM_Code],$A99,T_StockCount[WeekIndex],93)&gt;0,SUMIFS(T_StockCount[CountedQty],T_StockCount[RM_Code],$A99,T_StockCount[WeekIndex],93),IF((COUNTIFS(T_SelfStock[RM_Code],$A99,T_SelfStock[WeekIndex],93)&gt;0)*(COUNTIFS(T_TTAFStock[RM_Code],$A99,T_TTAFStock[WeekIndex],93)&gt;0)&gt;0,SUMIFS(T_SelfStock[Self_Qty],T_SelfStock[RM_Code],$A99,T_SelfStock[WeekIndex],93)+SUMIFS(T_TTAFStock[TTAF_Qty],T_TTAFStock[RM_Code],$A99,T_TTAFStock[WeekIndex],93),CO99+'Grid_Incoming'!CP99-'Grid_Requirement'!CP99))</f>
        <v/>
      </c>
      <c r="CQ99">
        <f>IF(COUNTIFS(T_StockCount[RM_Code],$A99,T_StockCount[WeekIndex],94)&gt;0,SUMIFS(T_StockCount[CountedQty],T_StockCount[RM_Code],$A99,T_StockCount[WeekIndex],94),IF((COUNTIFS(T_SelfStock[RM_Code],$A99,T_SelfStock[WeekIndex],94)&gt;0)*(COUNTIFS(T_TTAFStock[RM_Code],$A99,T_TTAFStock[WeekIndex],94)&gt;0)&gt;0,SUMIFS(T_SelfStock[Self_Qty],T_SelfStock[RM_Code],$A99,T_SelfStock[WeekIndex],94)+SUMIFS(T_TTAFStock[TTAF_Qty],T_TTAFStock[RM_Code],$A99,T_TTAFStock[WeekIndex],94),CP99+'Grid_Incoming'!CQ99-'Grid_Requirement'!CQ99))</f>
        <v/>
      </c>
      <c r="CR99">
        <f>IF(COUNTIFS(T_StockCount[RM_Code],$A99,T_StockCount[WeekIndex],95)&gt;0,SUMIFS(T_StockCount[CountedQty],T_StockCount[RM_Code],$A99,T_StockCount[WeekIndex],95),IF((COUNTIFS(T_SelfStock[RM_Code],$A99,T_SelfStock[WeekIndex],95)&gt;0)*(COUNTIFS(T_TTAFStock[RM_Code],$A99,T_TTAFStock[WeekIndex],95)&gt;0)&gt;0,SUMIFS(T_SelfStock[Self_Qty],T_SelfStock[RM_Code],$A99,T_SelfStock[WeekIndex],95)+SUMIFS(T_TTAFStock[TTAF_Qty],T_TTAFStock[RM_Code],$A99,T_TTAFStock[WeekIndex],95),CQ99+'Grid_Incoming'!CR99-'Grid_Requirement'!CR99))</f>
        <v/>
      </c>
      <c r="CS99">
        <f>IF(COUNTIFS(T_StockCount[RM_Code],$A99,T_StockCount[WeekIndex],96)&gt;0,SUMIFS(T_StockCount[CountedQty],T_StockCount[RM_Code],$A99,T_StockCount[WeekIndex],96),IF((COUNTIFS(T_SelfStock[RM_Code],$A99,T_SelfStock[WeekIndex],96)&gt;0)*(COUNTIFS(T_TTAFStock[RM_Code],$A99,T_TTAFStock[WeekIndex],96)&gt;0)&gt;0,SUMIFS(T_SelfStock[Self_Qty],T_SelfStock[RM_Code],$A99,T_SelfStock[WeekIndex],96)+SUMIFS(T_TTAFStock[TTAF_Qty],T_TTAFStock[RM_Code],$A99,T_TTAFStock[WeekIndex],96),CR99+'Grid_Incoming'!CS99-'Grid_Requirement'!CS99))</f>
        <v/>
      </c>
      <c r="CT99">
        <f>IF(COUNTIFS(T_StockCount[RM_Code],$A99,T_StockCount[WeekIndex],97)&gt;0,SUMIFS(T_StockCount[CountedQty],T_StockCount[RM_Code],$A99,T_StockCount[WeekIndex],97),IF((COUNTIFS(T_SelfStock[RM_Code],$A99,T_SelfStock[WeekIndex],97)&gt;0)*(COUNTIFS(T_TTAFStock[RM_Code],$A99,T_TTAFStock[WeekIndex],97)&gt;0)&gt;0,SUMIFS(T_SelfStock[Self_Qty],T_SelfStock[RM_Code],$A99,T_SelfStock[WeekIndex],97)+SUMIFS(T_TTAFStock[TTAF_Qty],T_TTAFStock[RM_Code],$A99,T_TTAFStock[WeekIndex],97),CS99+'Grid_Incoming'!CT99-'Grid_Requirement'!CT99))</f>
        <v/>
      </c>
      <c r="CU99">
        <f>IF(COUNTIFS(T_StockCount[RM_Code],$A99,T_StockCount[WeekIndex],98)&gt;0,SUMIFS(T_StockCount[CountedQty],T_StockCount[RM_Code],$A99,T_StockCount[WeekIndex],98),IF((COUNTIFS(T_SelfStock[RM_Code],$A99,T_SelfStock[WeekIndex],98)&gt;0)*(COUNTIFS(T_TTAFStock[RM_Code],$A99,T_TTAFStock[WeekIndex],98)&gt;0)&gt;0,SUMIFS(T_SelfStock[Self_Qty],T_SelfStock[RM_Code],$A99,T_SelfStock[WeekIndex],98)+SUMIFS(T_TTAFStock[TTAF_Qty],T_TTAFStock[RM_Code],$A99,T_TTAFStock[WeekIndex],98),CT99+'Grid_Incoming'!CU99-'Grid_Requirement'!CU99))</f>
        <v/>
      </c>
      <c r="CV99">
        <f>IF(COUNTIFS(T_StockCount[RM_Code],$A99,T_StockCount[WeekIndex],99)&gt;0,SUMIFS(T_StockCount[CountedQty],T_StockCount[RM_Code],$A99,T_StockCount[WeekIndex],99),IF((COUNTIFS(T_SelfStock[RM_Code],$A99,T_SelfStock[WeekIndex],99)&gt;0)*(COUNTIFS(T_TTAFStock[RM_Code],$A99,T_TTAFStock[WeekIndex],99)&gt;0)&gt;0,SUMIFS(T_SelfStock[Self_Qty],T_SelfStock[RM_Code],$A99,T_SelfStock[WeekIndex],99)+SUMIFS(T_TTAFStock[TTAF_Qty],T_TTAFStock[RM_Code],$A99,T_TTAFStock[WeekIndex],99),CU99+'Grid_Incoming'!CV99-'Grid_Requirement'!CV99))</f>
        <v/>
      </c>
      <c r="CW99">
        <f>IF(COUNTIFS(T_StockCount[RM_Code],$A99,T_StockCount[WeekIndex],100)&gt;0,SUMIFS(T_StockCount[CountedQty],T_StockCount[RM_Code],$A99,T_StockCount[WeekIndex],100),IF((COUNTIFS(T_SelfStock[RM_Code],$A99,T_SelfStock[WeekIndex],100)&gt;0)*(COUNTIFS(T_TTAFStock[RM_Code],$A99,T_TTAFStock[WeekIndex],100)&gt;0)&gt;0,SUMIFS(T_SelfStock[Self_Qty],T_SelfStock[RM_Code],$A99,T_SelfStock[WeekIndex],100)+SUMIFS(T_TTAFStock[TTAF_Qty],T_TTAFStock[RM_Code],$A99,T_TTAFStock[WeekIndex],100),CV99+'Grid_Incoming'!CW99-'Grid_Requirement'!CW99))</f>
        <v/>
      </c>
      <c r="CX99">
        <f>IF(COUNTIFS(T_StockCount[RM_Code],$A99,T_StockCount[WeekIndex],101)&gt;0,SUMIFS(T_StockCount[CountedQty],T_StockCount[RM_Code],$A99,T_StockCount[WeekIndex],101),IF((COUNTIFS(T_SelfStock[RM_Code],$A99,T_SelfStock[WeekIndex],101)&gt;0)*(COUNTIFS(T_TTAFStock[RM_Code],$A99,T_TTAFStock[WeekIndex],101)&gt;0)&gt;0,SUMIFS(T_SelfStock[Self_Qty],T_SelfStock[RM_Code],$A99,T_SelfStock[WeekIndex],101)+SUMIFS(T_TTAFStock[TTAF_Qty],T_TTAFStock[RM_Code],$A99,T_TTAFStock[WeekIndex],101),CW99+'Grid_Incoming'!CX99-'Grid_Requirement'!CX99))</f>
        <v/>
      </c>
      <c r="CY99">
        <f>IF(COUNTIFS(T_StockCount[RM_Code],$A99,T_StockCount[WeekIndex],102)&gt;0,SUMIFS(T_StockCount[CountedQty],T_StockCount[RM_Code],$A99,T_StockCount[WeekIndex],102),IF((COUNTIFS(T_SelfStock[RM_Code],$A99,T_SelfStock[WeekIndex],102)&gt;0)*(COUNTIFS(T_TTAFStock[RM_Code],$A99,T_TTAFStock[WeekIndex],102)&gt;0)&gt;0,SUMIFS(T_SelfStock[Self_Qty],T_SelfStock[RM_Code],$A99,T_SelfStock[WeekIndex],102)+SUMIFS(T_TTAFStock[TTAF_Qty],T_TTAFStock[RM_Code],$A99,T_TTAFStock[WeekIndex],102),CX99+'Grid_Incoming'!CY99-'Grid_Requirement'!CY99))</f>
        <v/>
      </c>
      <c r="CZ99">
        <f>IF(COUNTIFS(T_StockCount[RM_Code],$A99,T_StockCount[WeekIndex],103)&gt;0,SUMIFS(T_StockCount[CountedQty],T_StockCount[RM_Code],$A99,T_StockCount[WeekIndex],103),IF((COUNTIFS(T_SelfStock[RM_Code],$A99,T_SelfStock[WeekIndex],103)&gt;0)*(COUNTIFS(T_TTAFStock[RM_Code],$A99,T_TTAFStock[WeekIndex],103)&gt;0)&gt;0,SUMIFS(T_SelfStock[Self_Qty],T_SelfStock[RM_Code],$A99,T_SelfStock[WeekIndex],103)+SUMIFS(T_TTAFStock[TTAF_Qty],T_TTAFStock[RM_Code],$A99,T_TTAFStock[WeekIndex],103),CY99+'Grid_Incoming'!CZ99-'Grid_Requirement'!CZ99))</f>
        <v/>
      </c>
      <c r="DA99">
        <f>IF(COUNTIFS(T_StockCount[RM_Code],$A99,T_StockCount[WeekIndex],104)&gt;0,SUMIFS(T_StockCount[CountedQty],T_StockCount[RM_Code],$A99,T_StockCount[WeekIndex],104),IF((COUNTIFS(T_SelfStock[RM_Code],$A99,T_SelfStock[WeekIndex],104)&gt;0)*(COUNTIFS(T_TTAFStock[RM_Code],$A99,T_TTAFStock[WeekIndex],104)&gt;0)&gt;0,SUMIFS(T_SelfStock[Self_Qty],T_SelfStock[RM_Code],$A99,T_SelfStock[WeekIndex],104)+SUMIFS(T_TTAFStock[TTAF_Qty],T_TTAFStock[RM_Code],$A99,T_TTAFStock[WeekIndex],104),CZ99+'Grid_Incoming'!DA99-'Grid_Requirement'!DA99))</f>
        <v/>
      </c>
    </row>
    <row r="100">
      <c r="A100" t="inlineStr">
        <is>
          <t>CHEM-1630</t>
        </is>
      </c>
      <c r="B100">
        <f>IF(COUNTIFS(T_StockCount[RM_Code],$A100,T_StockCount[WeekIndex],1)&gt;0,SUMIFS(T_StockCount[CountedQty],T_StockCount[RM_Code],$A100,T_StockCount[WeekIndex],1),IF((COUNTIFS(T_SelfStock[RM_Code],$A100,T_SelfStock[WeekIndex],1)&gt;0)*(COUNTIFS(T_TTAFStock[RM_Code],$A100,T_TTAFStock[WeekIndex],1)&gt;0)&gt;0,SUMIFS(T_SelfStock[Self_Qty],T_SelfStock[RM_Code],$A100,T_SelfStock[WeekIndex],1)+SUMIFS(T_TTAFStock[TTAF_Qty],T_TTAFStock[RM_Code],$A100,T_TTAFStock[WeekIndex],1),IFERROR(INDEX(T_OpeningStock[Opening_Qty],MATCH($A100,T_OpeningStock[RM_Code],0)),0)+'Grid_Incoming'!B100-'Grid_Requirement'!B100))</f>
        <v/>
      </c>
      <c r="C100">
        <f>IF(COUNTIFS(T_StockCount[RM_Code],$A100,T_StockCount[WeekIndex],2)&gt;0,SUMIFS(T_StockCount[CountedQty],T_StockCount[RM_Code],$A100,T_StockCount[WeekIndex],2),IF((COUNTIFS(T_SelfStock[RM_Code],$A100,T_SelfStock[WeekIndex],2)&gt;0)*(COUNTIFS(T_TTAFStock[RM_Code],$A100,T_TTAFStock[WeekIndex],2)&gt;0)&gt;0,SUMIFS(T_SelfStock[Self_Qty],T_SelfStock[RM_Code],$A100,T_SelfStock[WeekIndex],2)+SUMIFS(T_TTAFStock[TTAF_Qty],T_TTAFStock[RM_Code],$A100,T_TTAFStock[WeekIndex],2),B100+'Grid_Incoming'!C100-'Grid_Requirement'!C100))</f>
        <v/>
      </c>
      <c r="D100">
        <f>IF(COUNTIFS(T_StockCount[RM_Code],$A100,T_StockCount[WeekIndex],3)&gt;0,SUMIFS(T_StockCount[CountedQty],T_StockCount[RM_Code],$A100,T_StockCount[WeekIndex],3),IF((COUNTIFS(T_SelfStock[RM_Code],$A100,T_SelfStock[WeekIndex],3)&gt;0)*(COUNTIFS(T_TTAFStock[RM_Code],$A100,T_TTAFStock[WeekIndex],3)&gt;0)&gt;0,SUMIFS(T_SelfStock[Self_Qty],T_SelfStock[RM_Code],$A100,T_SelfStock[WeekIndex],3)+SUMIFS(T_TTAFStock[TTAF_Qty],T_TTAFStock[RM_Code],$A100,T_TTAFStock[WeekIndex],3),C100+'Grid_Incoming'!D100-'Grid_Requirement'!D100))</f>
        <v/>
      </c>
      <c r="E100">
        <f>IF(COUNTIFS(T_StockCount[RM_Code],$A100,T_StockCount[WeekIndex],4)&gt;0,SUMIFS(T_StockCount[CountedQty],T_StockCount[RM_Code],$A100,T_StockCount[WeekIndex],4),IF((COUNTIFS(T_SelfStock[RM_Code],$A100,T_SelfStock[WeekIndex],4)&gt;0)*(COUNTIFS(T_TTAFStock[RM_Code],$A100,T_TTAFStock[WeekIndex],4)&gt;0)&gt;0,SUMIFS(T_SelfStock[Self_Qty],T_SelfStock[RM_Code],$A100,T_SelfStock[WeekIndex],4)+SUMIFS(T_TTAFStock[TTAF_Qty],T_TTAFStock[RM_Code],$A100,T_TTAFStock[WeekIndex],4),D100+'Grid_Incoming'!E100-'Grid_Requirement'!E100))</f>
        <v/>
      </c>
      <c r="F100">
        <f>IF(COUNTIFS(T_StockCount[RM_Code],$A100,T_StockCount[WeekIndex],5)&gt;0,SUMIFS(T_StockCount[CountedQty],T_StockCount[RM_Code],$A100,T_StockCount[WeekIndex],5),IF((COUNTIFS(T_SelfStock[RM_Code],$A100,T_SelfStock[WeekIndex],5)&gt;0)*(COUNTIFS(T_TTAFStock[RM_Code],$A100,T_TTAFStock[WeekIndex],5)&gt;0)&gt;0,SUMIFS(T_SelfStock[Self_Qty],T_SelfStock[RM_Code],$A100,T_SelfStock[WeekIndex],5)+SUMIFS(T_TTAFStock[TTAF_Qty],T_TTAFStock[RM_Code],$A100,T_TTAFStock[WeekIndex],5),E100+'Grid_Incoming'!F100-'Grid_Requirement'!F100))</f>
        <v/>
      </c>
      <c r="G100">
        <f>IF(COUNTIFS(T_StockCount[RM_Code],$A100,T_StockCount[WeekIndex],6)&gt;0,SUMIFS(T_StockCount[CountedQty],T_StockCount[RM_Code],$A100,T_StockCount[WeekIndex],6),IF((COUNTIFS(T_SelfStock[RM_Code],$A100,T_SelfStock[WeekIndex],6)&gt;0)*(COUNTIFS(T_TTAFStock[RM_Code],$A100,T_TTAFStock[WeekIndex],6)&gt;0)&gt;0,SUMIFS(T_SelfStock[Self_Qty],T_SelfStock[RM_Code],$A100,T_SelfStock[WeekIndex],6)+SUMIFS(T_TTAFStock[TTAF_Qty],T_TTAFStock[RM_Code],$A100,T_TTAFStock[WeekIndex],6),F100+'Grid_Incoming'!G100-'Grid_Requirement'!G100))</f>
        <v/>
      </c>
      <c r="H100">
        <f>IF(COUNTIFS(T_StockCount[RM_Code],$A100,T_StockCount[WeekIndex],7)&gt;0,SUMIFS(T_StockCount[CountedQty],T_StockCount[RM_Code],$A100,T_StockCount[WeekIndex],7),IF((COUNTIFS(T_SelfStock[RM_Code],$A100,T_SelfStock[WeekIndex],7)&gt;0)*(COUNTIFS(T_TTAFStock[RM_Code],$A100,T_TTAFStock[WeekIndex],7)&gt;0)&gt;0,SUMIFS(T_SelfStock[Self_Qty],T_SelfStock[RM_Code],$A100,T_SelfStock[WeekIndex],7)+SUMIFS(T_TTAFStock[TTAF_Qty],T_TTAFStock[RM_Code],$A100,T_TTAFStock[WeekIndex],7),G100+'Grid_Incoming'!H100-'Grid_Requirement'!H100))</f>
        <v/>
      </c>
      <c r="I100">
        <f>IF(COUNTIFS(T_StockCount[RM_Code],$A100,T_StockCount[WeekIndex],8)&gt;0,SUMIFS(T_StockCount[CountedQty],T_StockCount[RM_Code],$A100,T_StockCount[WeekIndex],8),IF((COUNTIFS(T_SelfStock[RM_Code],$A100,T_SelfStock[WeekIndex],8)&gt;0)*(COUNTIFS(T_TTAFStock[RM_Code],$A100,T_TTAFStock[WeekIndex],8)&gt;0)&gt;0,SUMIFS(T_SelfStock[Self_Qty],T_SelfStock[RM_Code],$A100,T_SelfStock[WeekIndex],8)+SUMIFS(T_TTAFStock[TTAF_Qty],T_TTAFStock[RM_Code],$A100,T_TTAFStock[WeekIndex],8),H100+'Grid_Incoming'!I100-'Grid_Requirement'!I100))</f>
        <v/>
      </c>
      <c r="J100">
        <f>IF(COUNTIFS(T_StockCount[RM_Code],$A100,T_StockCount[WeekIndex],9)&gt;0,SUMIFS(T_StockCount[CountedQty],T_StockCount[RM_Code],$A100,T_StockCount[WeekIndex],9),IF((COUNTIFS(T_SelfStock[RM_Code],$A100,T_SelfStock[WeekIndex],9)&gt;0)*(COUNTIFS(T_TTAFStock[RM_Code],$A100,T_TTAFStock[WeekIndex],9)&gt;0)&gt;0,SUMIFS(T_SelfStock[Self_Qty],T_SelfStock[RM_Code],$A100,T_SelfStock[WeekIndex],9)+SUMIFS(T_TTAFStock[TTAF_Qty],T_TTAFStock[RM_Code],$A100,T_TTAFStock[WeekIndex],9),I100+'Grid_Incoming'!J100-'Grid_Requirement'!J100))</f>
        <v/>
      </c>
      <c r="K100">
        <f>IF(COUNTIFS(T_StockCount[RM_Code],$A100,T_StockCount[WeekIndex],10)&gt;0,SUMIFS(T_StockCount[CountedQty],T_StockCount[RM_Code],$A100,T_StockCount[WeekIndex],10),IF((COUNTIFS(T_SelfStock[RM_Code],$A100,T_SelfStock[WeekIndex],10)&gt;0)*(COUNTIFS(T_TTAFStock[RM_Code],$A100,T_TTAFStock[WeekIndex],10)&gt;0)&gt;0,SUMIFS(T_SelfStock[Self_Qty],T_SelfStock[RM_Code],$A100,T_SelfStock[WeekIndex],10)+SUMIFS(T_TTAFStock[TTAF_Qty],T_TTAFStock[RM_Code],$A100,T_TTAFStock[WeekIndex],10),J100+'Grid_Incoming'!K100-'Grid_Requirement'!K100))</f>
        <v/>
      </c>
      <c r="L100">
        <f>IF(COUNTIFS(T_StockCount[RM_Code],$A100,T_StockCount[WeekIndex],11)&gt;0,SUMIFS(T_StockCount[CountedQty],T_StockCount[RM_Code],$A100,T_StockCount[WeekIndex],11),IF((COUNTIFS(T_SelfStock[RM_Code],$A100,T_SelfStock[WeekIndex],11)&gt;0)*(COUNTIFS(T_TTAFStock[RM_Code],$A100,T_TTAFStock[WeekIndex],11)&gt;0)&gt;0,SUMIFS(T_SelfStock[Self_Qty],T_SelfStock[RM_Code],$A100,T_SelfStock[WeekIndex],11)+SUMIFS(T_TTAFStock[TTAF_Qty],T_TTAFStock[RM_Code],$A100,T_TTAFStock[WeekIndex],11),K100+'Grid_Incoming'!L100-'Grid_Requirement'!L100))</f>
        <v/>
      </c>
      <c r="M100">
        <f>IF(COUNTIFS(T_StockCount[RM_Code],$A100,T_StockCount[WeekIndex],12)&gt;0,SUMIFS(T_StockCount[CountedQty],T_StockCount[RM_Code],$A100,T_StockCount[WeekIndex],12),IF((COUNTIFS(T_SelfStock[RM_Code],$A100,T_SelfStock[WeekIndex],12)&gt;0)*(COUNTIFS(T_TTAFStock[RM_Code],$A100,T_TTAFStock[WeekIndex],12)&gt;0)&gt;0,SUMIFS(T_SelfStock[Self_Qty],T_SelfStock[RM_Code],$A100,T_SelfStock[WeekIndex],12)+SUMIFS(T_TTAFStock[TTAF_Qty],T_TTAFStock[RM_Code],$A100,T_TTAFStock[WeekIndex],12),L100+'Grid_Incoming'!M100-'Grid_Requirement'!M100))</f>
        <v/>
      </c>
      <c r="N100">
        <f>IF(COUNTIFS(T_StockCount[RM_Code],$A100,T_StockCount[WeekIndex],13)&gt;0,SUMIFS(T_StockCount[CountedQty],T_StockCount[RM_Code],$A100,T_StockCount[WeekIndex],13),IF((COUNTIFS(T_SelfStock[RM_Code],$A100,T_SelfStock[WeekIndex],13)&gt;0)*(COUNTIFS(T_TTAFStock[RM_Code],$A100,T_TTAFStock[WeekIndex],13)&gt;0)&gt;0,SUMIFS(T_SelfStock[Self_Qty],T_SelfStock[RM_Code],$A100,T_SelfStock[WeekIndex],13)+SUMIFS(T_TTAFStock[TTAF_Qty],T_TTAFStock[RM_Code],$A100,T_TTAFStock[WeekIndex],13),M100+'Grid_Incoming'!N100-'Grid_Requirement'!N100))</f>
        <v/>
      </c>
      <c r="O100">
        <f>IF(COUNTIFS(T_StockCount[RM_Code],$A100,T_StockCount[WeekIndex],14)&gt;0,SUMIFS(T_StockCount[CountedQty],T_StockCount[RM_Code],$A100,T_StockCount[WeekIndex],14),IF((COUNTIFS(T_SelfStock[RM_Code],$A100,T_SelfStock[WeekIndex],14)&gt;0)*(COUNTIFS(T_TTAFStock[RM_Code],$A100,T_TTAFStock[WeekIndex],14)&gt;0)&gt;0,SUMIFS(T_SelfStock[Self_Qty],T_SelfStock[RM_Code],$A100,T_SelfStock[WeekIndex],14)+SUMIFS(T_TTAFStock[TTAF_Qty],T_TTAFStock[RM_Code],$A100,T_TTAFStock[WeekIndex],14),N100+'Grid_Incoming'!O100-'Grid_Requirement'!O100))</f>
        <v/>
      </c>
      <c r="P100">
        <f>IF(COUNTIFS(T_StockCount[RM_Code],$A100,T_StockCount[WeekIndex],15)&gt;0,SUMIFS(T_StockCount[CountedQty],T_StockCount[RM_Code],$A100,T_StockCount[WeekIndex],15),IF((COUNTIFS(T_SelfStock[RM_Code],$A100,T_SelfStock[WeekIndex],15)&gt;0)*(COUNTIFS(T_TTAFStock[RM_Code],$A100,T_TTAFStock[WeekIndex],15)&gt;0)&gt;0,SUMIFS(T_SelfStock[Self_Qty],T_SelfStock[RM_Code],$A100,T_SelfStock[WeekIndex],15)+SUMIFS(T_TTAFStock[TTAF_Qty],T_TTAFStock[RM_Code],$A100,T_TTAFStock[WeekIndex],15),O100+'Grid_Incoming'!P100-'Grid_Requirement'!P100))</f>
        <v/>
      </c>
      <c r="Q100">
        <f>IF(COUNTIFS(T_StockCount[RM_Code],$A100,T_StockCount[WeekIndex],16)&gt;0,SUMIFS(T_StockCount[CountedQty],T_StockCount[RM_Code],$A100,T_StockCount[WeekIndex],16),IF((COUNTIFS(T_SelfStock[RM_Code],$A100,T_SelfStock[WeekIndex],16)&gt;0)*(COUNTIFS(T_TTAFStock[RM_Code],$A100,T_TTAFStock[WeekIndex],16)&gt;0)&gt;0,SUMIFS(T_SelfStock[Self_Qty],T_SelfStock[RM_Code],$A100,T_SelfStock[WeekIndex],16)+SUMIFS(T_TTAFStock[TTAF_Qty],T_TTAFStock[RM_Code],$A100,T_TTAFStock[WeekIndex],16),P100+'Grid_Incoming'!Q100-'Grid_Requirement'!Q100))</f>
        <v/>
      </c>
      <c r="R100">
        <f>IF(COUNTIFS(T_StockCount[RM_Code],$A100,T_StockCount[WeekIndex],17)&gt;0,SUMIFS(T_StockCount[CountedQty],T_StockCount[RM_Code],$A100,T_StockCount[WeekIndex],17),IF((COUNTIFS(T_SelfStock[RM_Code],$A100,T_SelfStock[WeekIndex],17)&gt;0)*(COUNTIFS(T_TTAFStock[RM_Code],$A100,T_TTAFStock[WeekIndex],17)&gt;0)&gt;0,SUMIFS(T_SelfStock[Self_Qty],T_SelfStock[RM_Code],$A100,T_SelfStock[WeekIndex],17)+SUMIFS(T_TTAFStock[TTAF_Qty],T_TTAFStock[RM_Code],$A100,T_TTAFStock[WeekIndex],17),Q100+'Grid_Incoming'!R100-'Grid_Requirement'!R100))</f>
        <v/>
      </c>
      <c r="S100">
        <f>IF(COUNTIFS(T_StockCount[RM_Code],$A100,T_StockCount[WeekIndex],18)&gt;0,SUMIFS(T_StockCount[CountedQty],T_StockCount[RM_Code],$A100,T_StockCount[WeekIndex],18),IF((COUNTIFS(T_SelfStock[RM_Code],$A100,T_SelfStock[WeekIndex],18)&gt;0)*(COUNTIFS(T_TTAFStock[RM_Code],$A100,T_TTAFStock[WeekIndex],18)&gt;0)&gt;0,SUMIFS(T_SelfStock[Self_Qty],T_SelfStock[RM_Code],$A100,T_SelfStock[WeekIndex],18)+SUMIFS(T_TTAFStock[TTAF_Qty],T_TTAFStock[RM_Code],$A100,T_TTAFStock[WeekIndex],18),R100+'Grid_Incoming'!S100-'Grid_Requirement'!S100))</f>
        <v/>
      </c>
      <c r="T100">
        <f>IF(COUNTIFS(T_StockCount[RM_Code],$A100,T_StockCount[WeekIndex],19)&gt;0,SUMIFS(T_StockCount[CountedQty],T_StockCount[RM_Code],$A100,T_StockCount[WeekIndex],19),IF((COUNTIFS(T_SelfStock[RM_Code],$A100,T_SelfStock[WeekIndex],19)&gt;0)*(COUNTIFS(T_TTAFStock[RM_Code],$A100,T_TTAFStock[WeekIndex],19)&gt;0)&gt;0,SUMIFS(T_SelfStock[Self_Qty],T_SelfStock[RM_Code],$A100,T_SelfStock[WeekIndex],19)+SUMIFS(T_TTAFStock[TTAF_Qty],T_TTAFStock[RM_Code],$A100,T_TTAFStock[WeekIndex],19),S100+'Grid_Incoming'!T100-'Grid_Requirement'!T100))</f>
        <v/>
      </c>
      <c r="U100">
        <f>IF(COUNTIFS(T_StockCount[RM_Code],$A100,T_StockCount[WeekIndex],20)&gt;0,SUMIFS(T_StockCount[CountedQty],T_StockCount[RM_Code],$A100,T_StockCount[WeekIndex],20),IF((COUNTIFS(T_SelfStock[RM_Code],$A100,T_SelfStock[WeekIndex],20)&gt;0)*(COUNTIFS(T_TTAFStock[RM_Code],$A100,T_TTAFStock[WeekIndex],20)&gt;0)&gt;0,SUMIFS(T_SelfStock[Self_Qty],T_SelfStock[RM_Code],$A100,T_SelfStock[WeekIndex],20)+SUMIFS(T_TTAFStock[TTAF_Qty],T_TTAFStock[RM_Code],$A100,T_TTAFStock[WeekIndex],20),T100+'Grid_Incoming'!U100-'Grid_Requirement'!U100))</f>
        <v/>
      </c>
      <c r="V100">
        <f>IF(COUNTIFS(T_StockCount[RM_Code],$A100,T_StockCount[WeekIndex],21)&gt;0,SUMIFS(T_StockCount[CountedQty],T_StockCount[RM_Code],$A100,T_StockCount[WeekIndex],21),IF((COUNTIFS(T_SelfStock[RM_Code],$A100,T_SelfStock[WeekIndex],21)&gt;0)*(COUNTIFS(T_TTAFStock[RM_Code],$A100,T_TTAFStock[WeekIndex],21)&gt;0)&gt;0,SUMIFS(T_SelfStock[Self_Qty],T_SelfStock[RM_Code],$A100,T_SelfStock[WeekIndex],21)+SUMIFS(T_TTAFStock[TTAF_Qty],T_TTAFStock[RM_Code],$A100,T_TTAFStock[WeekIndex],21),U100+'Grid_Incoming'!V100-'Grid_Requirement'!V100))</f>
        <v/>
      </c>
      <c r="W100">
        <f>IF(COUNTIFS(T_StockCount[RM_Code],$A100,T_StockCount[WeekIndex],22)&gt;0,SUMIFS(T_StockCount[CountedQty],T_StockCount[RM_Code],$A100,T_StockCount[WeekIndex],22),IF((COUNTIFS(T_SelfStock[RM_Code],$A100,T_SelfStock[WeekIndex],22)&gt;0)*(COUNTIFS(T_TTAFStock[RM_Code],$A100,T_TTAFStock[WeekIndex],22)&gt;0)&gt;0,SUMIFS(T_SelfStock[Self_Qty],T_SelfStock[RM_Code],$A100,T_SelfStock[WeekIndex],22)+SUMIFS(T_TTAFStock[TTAF_Qty],T_TTAFStock[RM_Code],$A100,T_TTAFStock[WeekIndex],22),V100+'Grid_Incoming'!W100-'Grid_Requirement'!W100))</f>
        <v/>
      </c>
      <c r="X100">
        <f>IF(COUNTIFS(T_StockCount[RM_Code],$A100,T_StockCount[WeekIndex],23)&gt;0,SUMIFS(T_StockCount[CountedQty],T_StockCount[RM_Code],$A100,T_StockCount[WeekIndex],23),IF((COUNTIFS(T_SelfStock[RM_Code],$A100,T_SelfStock[WeekIndex],23)&gt;0)*(COUNTIFS(T_TTAFStock[RM_Code],$A100,T_TTAFStock[WeekIndex],23)&gt;0)&gt;0,SUMIFS(T_SelfStock[Self_Qty],T_SelfStock[RM_Code],$A100,T_SelfStock[WeekIndex],23)+SUMIFS(T_TTAFStock[TTAF_Qty],T_TTAFStock[RM_Code],$A100,T_TTAFStock[WeekIndex],23),W100+'Grid_Incoming'!X100-'Grid_Requirement'!X100))</f>
        <v/>
      </c>
      <c r="Y100">
        <f>IF(COUNTIFS(T_StockCount[RM_Code],$A100,T_StockCount[WeekIndex],24)&gt;0,SUMIFS(T_StockCount[CountedQty],T_StockCount[RM_Code],$A100,T_StockCount[WeekIndex],24),IF((COUNTIFS(T_SelfStock[RM_Code],$A100,T_SelfStock[WeekIndex],24)&gt;0)*(COUNTIFS(T_TTAFStock[RM_Code],$A100,T_TTAFStock[WeekIndex],24)&gt;0)&gt;0,SUMIFS(T_SelfStock[Self_Qty],T_SelfStock[RM_Code],$A100,T_SelfStock[WeekIndex],24)+SUMIFS(T_TTAFStock[TTAF_Qty],T_TTAFStock[RM_Code],$A100,T_TTAFStock[WeekIndex],24),X100+'Grid_Incoming'!Y100-'Grid_Requirement'!Y100))</f>
        <v/>
      </c>
      <c r="Z100">
        <f>IF(COUNTIFS(T_StockCount[RM_Code],$A100,T_StockCount[WeekIndex],25)&gt;0,SUMIFS(T_StockCount[CountedQty],T_StockCount[RM_Code],$A100,T_StockCount[WeekIndex],25),IF((COUNTIFS(T_SelfStock[RM_Code],$A100,T_SelfStock[WeekIndex],25)&gt;0)*(COUNTIFS(T_TTAFStock[RM_Code],$A100,T_TTAFStock[WeekIndex],25)&gt;0)&gt;0,SUMIFS(T_SelfStock[Self_Qty],T_SelfStock[RM_Code],$A100,T_SelfStock[WeekIndex],25)+SUMIFS(T_TTAFStock[TTAF_Qty],T_TTAFStock[RM_Code],$A100,T_TTAFStock[WeekIndex],25),Y100+'Grid_Incoming'!Z100-'Grid_Requirement'!Z100))</f>
        <v/>
      </c>
      <c r="AA100">
        <f>IF(COUNTIFS(T_StockCount[RM_Code],$A100,T_StockCount[WeekIndex],26)&gt;0,SUMIFS(T_StockCount[CountedQty],T_StockCount[RM_Code],$A100,T_StockCount[WeekIndex],26),IF((COUNTIFS(T_SelfStock[RM_Code],$A100,T_SelfStock[WeekIndex],26)&gt;0)*(COUNTIFS(T_TTAFStock[RM_Code],$A100,T_TTAFStock[WeekIndex],26)&gt;0)&gt;0,SUMIFS(T_SelfStock[Self_Qty],T_SelfStock[RM_Code],$A100,T_SelfStock[WeekIndex],26)+SUMIFS(T_TTAFStock[TTAF_Qty],T_TTAFStock[RM_Code],$A100,T_TTAFStock[WeekIndex],26),Z100+'Grid_Incoming'!AA100-'Grid_Requirement'!AA100))</f>
        <v/>
      </c>
      <c r="AB100">
        <f>IF(COUNTIFS(T_StockCount[RM_Code],$A100,T_StockCount[WeekIndex],27)&gt;0,SUMIFS(T_StockCount[CountedQty],T_StockCount[RM_Code],$A100,T_StockCount[WeekIndex],27),IF((COUNTIFS(T_SelfStock[RM_Code],$A100,T_SelfStock[WeekIndex],27)&gt;0)*(COUNTIFS(T_TTAFStock[RM_Code],$A100,T_TTAFStock[WeekIndex],27)&gt;0)&gt;0,SUMIFS(T_SelfStock[Self_Qty],T_SelfStock[RM_Code],$A100,T_SelfStock[WeekIndex],27)+SUMIFS(T_TTAFStock[TTAF_Qty],T_TTAFStock[RM_Code],$A100,T_TTAFStock[WeekIndex],27),AA100+'Grid_Incoming'!AB100-'Grid_Requirement'!AB100))</f>
        <v/>
      </c>
      <c r="AC100">
        <f>IF(COUNTIFS(T_StockCount[RM_Code],$A100,T_StockCount[WeekIndex],28)&gt;0,SUMIFS(T_StockCount[CountedQty],T_StockCount[RM_Code],$A100,T_StockCount[WeekIndex],28),IF((COUNTIFS(T_SelfStock[RM_Code],$A100,T_SelfStock[WeekIndex],28)&gt;0)*(COUNTIFS(T_TTAFStock[RM_Code],$A100,T_TTAFStock[WeekIndex],28)&gt;0)&gt;0,SUMIFS(T_SelfStock[Self_Qty],T_SelfStock[RM_Code],$A100,T_SelfStock[WeekIndex],28)+SUMIFS(T_TTAFStock[TTAF_Qty],T_TTAFStock[RM_Code],$A100,T_TTAFStock[WeekIndex],28),AB100+'Grid_Incoming'!AC100-'Grid_Requirement'!AC100))</f>
        <v/>
      </c>
      <c r="AD100">
        <f>IF(COUNTIFS(T_StockCount[RM_Code],$A100,T_StockCount[WeekIndex],29)&gt;0,SUMIFS(T_StockCount[CountedQty],T_StockCount[RM_Code],$A100,T_StockCount[WeekIndex],29),IF((COUNTIFS(T_SelfStock[RM_Code],$A100,T_SelfStock[WeekIndex],29)&gt;0)*(COUNTIFS(T_TTAFStock[RM_Code],$A100,T_TTAFStock[WeekIndex],29)&gt;0)&gt;0,SUMIFS(T_SelfStock[Self_Qty],T_SelfStock[RM_Code],$A100,T_SelfStock[WeekIndex],29)+SUMIFS(T_TTAFStock[TTAF_Qty],T_TTAFStock[RM_Code],$A100,T_TTAFStock[WeekIndex],29),AC100+'Grid_Incoming'!AD100-'Grid_Requirement'!AD100))</f>
        <v/>
      </c>
      <c r="AE100">
        <f>IF(COUNTIFS(T_StockCount[RM_Code],$A100,T_StockCount[WeekIndex],30)&gt;0,SUMIFS(T_StockCount[CountedQty],T_StockCount[RM_Code],$A100,T_StockCount[WeekIndex],30),IF((COUNTIFS(T_SelfStock[RM_Code],$A100,T_SelfStock[WeekIndex],30)&gt;0)*(COUNTIFS(T_TTAFStock[RM_Code],$A100,T_TTAFStock[WeekIndex],30)&gt;0)&gt;0,SUMIFS(T_SelfStock[Self_Qty],T_SelfStock[RM_Code],$A100,T_SelfStock[WeekIndex],30)+SUMIFS(T_TTAFStock[TTAF_Qty],T_TTAFStock[RM_Code],$A100,T_TTAFStock[WeekIndex],30),AD100+'Grid_Incoming'!AE100-'Grid_Requirement'!AE100))</f>
        <v/>
      </c>
      <c r="AF100">
        <f>IF(COUNTIFS(T_StockCount[RM_Code],$A100,T_StockCount[WeekIndex],31)&gt;0,SUMIFS(T_StockCount[CountedQty],T_StockCount[RM_Code],$A100,T_StockCount[WeekIndex],31),IF((COUNTIFS(T_SelfStock[RM_Code],$A100,T_SelfStock[WeekIndex],31)&gt;0)*(COUNTIFS(T_TTAFStock[RM_Code],$A100,T_TTAFStock[WeekIndex],31)&gt;0)&gt;0,SUMIFS(T_SelfStock[Self_Qty],T_SelfStock[RM_Code],$A100,T_SelfStock[WeekIndex],31)+SUMIFS(T_TTAFStock[TTAF_Qty],T_TTAFStock[RM_Code],$A100,T_TTAFStock[WeekIndex],31),AE100+'Grid_Incoming'!AF100-'Grid_Requirement'!AF100))</f>
        <v/>
      </c>
      <c r="AG100">
        <f>IF(COUNTIFS(T_StockCount[RM_Code],$A100,T_StockCount[WeekIndex],32)&gt;0,SUMIFS(T_StockCount[CountedQty],T_StockCount[RM_Code],$A100,T_StockCount[WeekIndex],32),IF((COUNTIFS(T_SelfStock[RM_Code],$A100,T_SelfStock[WeekIndex],32)&gt;0)*(COUNTIFS(T_TTAFStock[RM_Code],$A100,T_TTAFStock[WeekIndex],32)&gt;0)&gt;0,SUMIFS(T_SelfStock[Self_Qty],T_SelfStock[RM_Code],$A100,T_SelfStock[WeekIndex],32)+SUMIFS(T_TTAFStock[TTAF_Qty],T_TTAFStock[RM_Code],$A100,T_TTAFStock[WeekIndex],32),AF100+'Grid_Incoming'!AG100-'Grid_Requirement'!AG100))</f>
        <v/>
      </c>
      <c r="AH100">
        <f>IF(COUNTIFS(T_StockCount[RM_Code],$A100,T_StockCount[WeekIndex],33)&gt;0,SUMIFS(T_StockCount[CountedQty],T_StockCount[RM_Code],$A100,T_StockCount[WeekIndex],33),IF((COUNTIFS(T_SelfStock[RM_Code],$A100,T_SelfStock[WeekIndex],33)&gt;0)*(COUNTIFS(T_TTAFStock[RM_Code],$A100,T_TTAFStock[WeekIndex],33)&gt;0)&gt;0,SUMIFS(T_SelfStock[Self_Qty],T_SelfStock[RM_Code],$A100,T_SelfStock[WeekIndex],33)+SUMIFS(T_TTAFStock[TTAF_Qty],T_TTAFStock[RM_Code],$A100,T_TTAFStock[WeekIndex],33),AG100+'Grid_Incoming'!AH100-'Grid_Requirement'!AH100))</f>
        <v/>
      </c>
      <c r="AI100">
        <f>IF(COUNTIFS(T_StockCount[RM_Code],$A100,T_StockCount[WeekIndex],34)&gt;0,SUMIFS(T_StockCount[CountedQty],T_StockCount[RM_Code],$A100,T_StockCount[WeekIndex],34),IF((COUNTIFS(T_SelfStock[RM_Code],$A100,T_SelfStock[WeekIndex],34)&gt;0)*(COUNTIFS(T_TTAFStock[RM_Code],$A100,T_TTAFStock[WeekIndex],34)&gt;0)&gt;0,SUMIFS(T_SelfStock[Self_Qty],T_SelfStock[RM_Code],$A100,T_SelfStock[WeekIndex],34)+SUMIFS(T_TTAFStock[TTAF_Qty],T_TTAFStock[RM_Code],$A100,T_TTAFStock[WeekIndex],34),AH100+'Grid_Incoming'!AI100-'Grid_Requirement'!AI100))</f>
        <v/>
      </c>
      <c r="AJ100">
        <f>IF(COUNTIFS(T_StockCount[RM_Code],$A100,T_StockCount[WeekIndex],35)&gt;0,SUMIFS(T_StockCount[CountedQty],T_StockCount[RM_Code],$A100,T_StockCount[WeekIndex],35),IF((COUNTIFS(T_SelfStock[RM_Code],$A100,T_SelfStock[WeekIndex],35)&gt;0)*(COUNTIFS(T_TTAFStock[RM_Code],$A100,T_TTAFStock[WeekIndex],35)&gt;0)&gt;0,SUMIFS(T_SelfStock[Self_Qty],T_SelfStock[RM_Code],$A100,T_SelfStock[WeekIndex],35)+SUMIFS(T_TTAFStock[TTAF_Qty],T_TTAFStock[RM_Code],$A100,T_TTAFStock[WeekIndex],35),AI100+'Grid_Incoming'!AJ100-'Grid_Requirement'!AJ100))</f>
        <v/>
      </c>
      <c r="AK100">
        <f>IF(COUNTIFS(T_StockCount[RM_Code],$A100,T_StockCount[WeekIndex],36)&gt;0,SUMIFS(T_StockCount[CountedQty],T_StockCount[RM_Code],$A100,T_StockCount[WeekIndex],36),IF((COUNTIFS(T_SelfStock[RM_Code],$A100,T_SelfStock[WeekIndex],36)&gt;0)*(COUNTIFS(T_TTAFStock[RM_Code],$A100,T_TTAFStock[WeekIndex],36)&gt;0)&gt;0,SUMIFS(T_SelfStock[Self_Qty],T_SelfStock[RM_Code],$A100,T_SelfStock[WeekIndex],36)+SUMIFS(T_TTAFStock[TTAF_Qty],T_TTAFStock[RM_Code],$A100,T_TTAFStock[WeekIndex],36),AJ100+'Grid_Incoming'!AK100-'Grid_Requirement'!AK100))</f>
        <v/>
      </c>
      <c r="AL100">
        <f>IF(COUNTIFS(T_StockCount[RM_Code],$A100,T_StockCount[WeekIndex],37)&gt;0,SUMIFS(T_StockCount[CountedQty],T_StockCount[RM_Code],$A100,T_StockCount[WeekIndex],37),IF((COUNTIFS(T_SelfStock[RM_Code],$A100,T_SelfStock[WeekIndex],37)&gt;0)*(COUNTIFS(T_TTAFStock[RM_Code],$A100,T_TTAFStock[WeekIndex],37)&gt;0)&gt;0,SUMIFS(T_SelfStock[Self_Qty],T_SelfStock[RM_Code],$A100,T_SelfStock[WeekIndex],37)+SUMIFS(T_TTAFStock[TTAF_Qty],T_TTAFStock[RM_Code],$A100,T_TTAFStock[WeekIndex],37),AK100+'Grid_Incoming'!AL100-'Grid_Requirement'!AL100))</f>
        <v/>
      </c>
      <c r="AM100">
        <f>IF(COUNTIFS(T_StockCount[RM_Code],$A100,T_StockCount[WeekIndex],38)&gt;0,SUMIFS(T_StockCount[CountedQty],T_StockCount[RM_Code],$A100,T_StockCount[WeekIndex],38),IF((COUNTIFS(T_SelfStock[RM_Code],$A100,T_SelfStock[WeekIndex],38)&gt;0)*(COUNTIFS(T_TTAFStock[RM_Code],$A100,T_TTAFStock[WeekIndex],38)&gt;0)&gt;0,SUMIFS(T_SelfStock[Self_Qty],T_SelfStock[RM_Code],$A100,T_SelfStock[WeekIndex],38)+SUMIFS(T_TTAFStock[TTAF_Qty],T_TTAFStock[RM_Code],$A100,T_TTAFStock[WeekIndex],38),AL100+'Grid_Incoming'!AM100-'Grid_Requirement'!AM100))</f>
        <v/>
      </c>
      <c r="AN100">
        <f>IF(COUNTIFS(T_StockCount[RM_Code],$A100,T_StockCount[WeekIndex],39)&gt;0,SUMIFS(T_StockCount[CountedQty],T_StockCount[RM_Code],$A100,T_StockCount[WeekIndex],39),IF((COUNTIFS(T_SelfStock[RM_Code],$A100,T_SelfStock[WeekIndex],39)&gt;0)*(COUNTIFS(T_TTAFStock[RM_Code],$A100,T_TTAFStock[WeekIndex],39)&gt;0)&gt;0,SUMIFS(T_SelfStock[Self_Qty],T_SelfStock[RM_Code],$A100,T_SelfStock[WeekIndex],39)+SUMIFS(T_TTAFStock[TTAF_Qty],T_TTAFStock[RM_Code],$A100,T_TTAFStock[WeekIndex],39),AM100+'Grid_Incoming'!AN100-'Grid_Requirement'!AN100))</f>
        <v/>
      </c>
      <c r="AO100">
        <f>IF(COUNTIFS(T_StockCount[RM_Code],$A100,T_StockCount[WeekIndex],40)&gt;0,SUMIFS(T_StockCount[CountedQty],T_StockCount[RM_Code],$A100,T_StockCount[WeekIndex],40),IF((COUNTIFS(T_SelfStock[RM_Code],$A100,T_SelfStock[WeekIndex],40)&gt;0)*(COUNTIFS(T_TTAFStock[RM_Code],$A100,T_TTAFStock[WeekIndex],40)&gt;0)&gt;0,SUMIFS(T_SelfStock[Self_Qty],T_SelfStock[RM_Code],$A100,T_SelfStock[WeekIndex],40)+SUMIFS(T_TTAFStock[TTAF_Qty],T_TTAFStock[RM_Code],$A100,T_TTAFStock[WeekIndex],40),AN100+'Grid_Incoming'!AO100-'Grid_Requirement'!AO100))</f>
        <v/>
      </c>
      <c r="AP100">
        <f>IF(COUNTIFS(T_StockCount[RM_Code],$A100,T_StockCount[WeekIndex],41)&gt;0,SUMIFS(T_StockCount[CountedQty],T_StockCount[RM_Code],$A100,T_StockCount[WeekIndex],41),IF((COUNTIFS(T_SelfStock[RM_Code],$A100,T_SelfStock[WeekIndex],41)&gt;0)*(COUNTIFS(T_TTAFStock[RM_Code],$A100,T_TTAFStock[WeekIndex],41)&gt;0)&gt;0,SUMIFS(T_SelfStock[Self_Qty],T_SelfStock[RM_Code],$A100,T_SelfStock[WeekIndex],41)+SUMIFS(T_TTAFStock[TTAF_Qty],T_TTAFStock[RM_Code],$A100,T_TTAFStock[WeekIndex],41),AO100+'Grid_Incoming'!AP100-'Grid_Requirement'!AP100))</f>
        <v/>
      </c>
      <c r="AQ100">
        <f>IF(COUNTIFS(T_StockCount[RM_Code],$A100,T_StockCount[WeekIndex],42)&gt;0,SUMIFS(T_StockCount[CountedQty],T_StockCount[RM_Code],$A100,T_StockCount[WeekIndex],42),IF((COUNTIFS(T_SelfStock[RM_Code],$A100,T_SelfStock[WeekIndex],42)&gt;0)*(COUNTIFS(T_TTAFStock[RM_Code],$A100,T_TTAFStock[WeekIndex],42)&gt;0)&gt;0,SUMIFS(T_SelfStock[Self_Qty],T_SelfStock[RM_Code],$A100,T_SelfStock[WeekIndex],42)+SUMIFS(T_TTAFStock[TTAF_Qty],T_TTAFStock[RM_Code],$A100,T_TTAFStock[WeekIndex],42),AP100+'Grid_Incoming'!AQ100-'Grid_Requirement'!AQ100))</f>
        <v/>
      </c>
      <c r="AR100">
        <f>IF(COUNTIFS(T_StockCount[RM_Code],$A100,T_StockCount[WeekIndex],43)&gt;0,SUMIFS(T_StockCount[CountedQty],T_StockCount[RM_Code],$A100,T_StockCount[WeekIndex],43),IF((COUNTIFS(T_SelfStock[RM_Code],$A100,T_SelfStock[WeekIndex],43)&gt;0)*(COUNTIFS(T_TTAFStock[RM_Code],$A100,T_TTAFStock[WeekIndex],43)&gt;0)&gt;0,SUMIFS(T_SelfStock[Self_Qty],T_SelfStock[RM_Code],$A100,T_SelfStock[WeekIndex],43)+SUMIFS(T_TTAFStock[TTAF_Qty],T_TTAFStock[RM_Code],$A100,T_TTAFStock[WeekIndex],43),AQ100+'Grid_Incoming'!AR100-'Grid_Requirement'!AR100))</f>
        <v/>
      </c>
      <c r="AS100">
        <f>IF(COUNTIFS(T_StockCount[RM_Code],$A100,T_StockCount[WeekIndex],44)&gt;0,SUMIFS(T_StockCount[CountedQty],T_StockCount[RM_Code],$A100,T_StockCount[WeekIndex],44),IF((COUNTIFS(T_SelfStock[RM_Code],$A100,T_SelfStock[WeekIndex],44)&gt;0)*(COUNTIFS(T_TTAFStock[RM_Code],$A100,T_TTAFStock[WeekIndex],44)&gt;0)&gt;0,SUMIFS(T_SelfStock[Self_Qty],T_SelfStock[RM_Code],$A100,T_SelfStock[WeekIndex],44)+SUMIFS(T_TTAFStock[TTAF_Qty],T_TTAFStock[RM_Code],$A100,T_TTAFStock[WeekIndex],44),AR100+'Grid_Incoming'!AS100-'Grid_Requirement'!AS100))</f>
        <v/>
      </c>
      <c r="AT100">
        <f>IF(COUNTIFS(T_StockCount[RM_Code],$A100,T_StockCount[WeekIndex],45)&gt;0,SUMIFS(T_StockCount[CountedQty],T_StockCount[RM_Code],$A100,T_StockCount[WeekIndex],45),IF((COUNTIFS(T_SelfStock[RM_Code],$A100,T_SelfStock[WeekIndex],45)&gt;0)*(COUNTIFS(T_TTAFStock[RM_Code],$A100,T_TTAFStock[WeekIndex],45)&gt;0)&gt;0,SUMIFS(T_SelfStock[Self_Qty],T_SelfStock[RM_Code],$A100,T_SelfStock[WeekIndex],45)+SUMIFS(T_TTAFStock[TTAF_Qty],T_TTAFStock[RM_Code],$A100,T_TTAFStock[WeekIndex],45),AS100+'Grid_Incoming'!AT100-'Grid_Requirement'!AT100))</f>
        <v/>
      </c>
      <c r="AU100">
        <f>IF(COUNTIFS(T_StockCount[RM_Code],$A100,T_StockCount[WeekIndex],46)&gt;0,SUMIFS(T_StockCount[CountedQty],T_StockCount[RM_Code],$A100,T_StockCount[WeekIndex],46),IF((COUNTIFS(T_SelfStock[RM_Code],$A100,T_SelfStock[WeekIndex],46)&gt;0)*(COUNTIFS(T_TTAFStock[RM_Code],$A100,T_TTAFStock[WeekIndex],46)&gt;0)&gt;0,SUMIFS(T_SelfStock[Self_Qty],T_SelfStock[RM_Code],$A100,T_SelfStock[WeekIndex],46)+SUMIFS(T_TTAFStock[TTAF_Qty],T_TTAFStock[RM_Code],$A100,T_TTAFStock[WeekIndex],46),AT100+'Grid_Incoming'!AU100-'Grid_Requirement'!AU100))</f>
        <v/>
      </c>
      <c r="AV100">
        <f>IF(COUNTIFS(T_StockCount[RM_Code],$A100,T_StockCount[WeekIndex],47)&gt;0,SUMIFS(T_StockCount[CountedQty],T_StockCount[RM_Code],$A100,T_StockCount[WeekIndex],47),IF((COUNTIFS(T_SelfStock[RM_Code],$A100,T_SelfStock[WeekIndex],47)&gt;0)*(COUNTIFS(T_TTAFStock[RM_Code],$A100,T_TTAFStock[WeekIndex],47)&gt;0)&gt;0,SUMIFS(T_SelfStock[Self_Qty],T_SelfStock[RM_Code],$A100,T_SelfStock[WeekIndex],47)+SUMIFS(T_TTAFStock[TTAF_Qty],T_TTAFStock[RM_Code],$A100,T_TTAFStock[WeekIndex],47),AU100+'Grid_Incoming'!AV100-'Grid_Requirement'!AV100))</f>
        <v/>
      </c>
      <c r="AW100">
        <f>IF(COUNTIFS(T_StockCount[RM_Code],$A100,T_StockCount[WeekIndex],48)&gt;0,SUMIFS(T_StockCount[CountedQty],T_StockCount[RM_Code],$A100,T_StockCount[WeekIndex],48),IF((COUNTIFS(T_SelfStock[RM_Code],$A100,T_SelfStock[WeekIndex],48)&gt;0)*(COUNTIFS(T_TTAFStock[RM_Code],$A100,T_TTAFStock[WeekIndex],48)&gt;0)&gt;0,SUMIFS(T_SelfStock[Self_Qty],T_SelfStock[RM_Code],$A100,T_SelfStock[WeekIndex],48)+SUMIFS(T_TTAFStock[TTAF_Qty],T_TTAFStock[RM_Code],$A100,T_TTAFStock[WeekIndex],48),AV100+'Grid_Incoming'!AW100-'Grid_Requirement'!AW100))</f>
        <v/>
      </c>
      <c r="AX100">
        <f>IF(COUNTIFS(T_StockCount[RM_Code],$A100,T_StockCount[WeekIndex],49)&gt;0,SUMIFS(T_StockCount[CountedQty],T_StockCount[RM_Code],$A100,T_StockCount[WeekIndex],49),IF((COUNTIFS(T_SelfStock[RM_Code],$A100,T_SelfStock[WeekIndex],49)&gt;0)*(COUNTIFS(T_TTAFStock[RM_Code],$A100,T_TTAFStock[WeekIndex],49)&gt;0)&gt;0,SUMIFS(T_SelfStock[Self_Qty],T_SelfStock[RM_Code],$A100,T_SelfStock[WeekIndex],49)+SUMIFS(T_TTAFStock[TTAF_Qty],T_TTAFStock[RM_Code],$A100,T_TTAFStock[WeekIndex],49),AW100+'Grid_Incoming'!AX100-'Grid_Requirement'!AX100))</f>
        <v/>
      </c>
      <c r="AY100">
        <f>IF(COUNTIFS(T_StockCount[RM_Code],$A100,T_StockCount[WeekIndex],50)&gt;0,SUMIFS(T_StockCount[CountedQty],T_StockCount[RM_Code],$A100,T_StockCount[WeekIndex],50),IF((COUNTIFS(T_SelfStock[RM_Code],$A100,T_SelfStock[WeekIndex],50)&gt;0)*(COUNTIFS(T_TTAFStock[RM_Code],$A100,T_TTAFStock[WeekIndex],50)&gt;0)&gt;0,SUMIFS(T_SelfStock[Self_Qty],T_SelfStock[RM_Code],$A100,T_SelfStock[WeekIndex],50)+SUMIFS(T_TTAFStock[TTAF_Qty],T_TTAFStock[RM_Code],$A100,T_TTAFStock[WeekIndex],50),AX100+'Grid_Incoming'!AY100-'Grid_Requirement'!AY100))</f>
        <v/>
      </c>
      <c r="AZ100">
        <f>IF(COUNTIFS(T_StockCount[RM_Code],$A100,T_StockCount[WeekIndex],51)&gt;0,SUMIFS(T_StockCount[CountedQty],T_StockCount[RM_Code],$A100,T_StockCount[WeekIndex],51),IF((COUNTIFS(T_SelfStock[RM_Code],$A100,T_SelfStock[WeekIndex],51)&gt;0)*(COUNTIFS(T_TTAFStock[RM_Code],$A100,T_TTAFStock[WeekIndex],51)&gt;0)&gt;0,SUMIFS(T_SelfStock[Self_Qty],T_SelfStock[RM_Code],$A100,T_SelfStock[WeekIndex],51)+SUMIFS(T_TTAFStock[TTAF_Qty],T_TTAFStock[RM_Code],$A100,T_TTAFStock[WeekIndex],51),AY100+'Grid_Incoming'!AZ100-'Grid_Requirement'!AZ100))</f>
        <v/>
      </c>
      <c r="BA100">
        <f>IF(COUNTIFS(T_StockCount[RM_Code],$A100,T_StockCount[WeekIndex],52)&gt;0,SUMIFS(T_StockCount[CountedQty],T_StockCount[RM_Code],$A100,T_StockCount[WeekIndex],52),IF((COUNTIFS(T_SelfStock[RM_Code],$A100,T_SelfStock[WeekIndex],52)&gt;0)*(COUNTIFS(T_TTAFStock[RM_Code],$A100,T_TTAFStock[WeekIndex],52)&gt;0)&gt;0,SUMIFS(T_SelfStock[Self_Qty],T_SelfStock[RM_Code],$A100,T_SelfStock[WeekIndex],52)+SUMIFS(T_TTAFStock[TTAF_Qty],T_TTAFStock[RM_Code],$A100,T_TTAFStock[WeekIndex],52),AZ100+'Grid_Incoming'!BA100-'Grid_Requirement'!BA100))</f>
        <v/>
      </c>
      <c r="BB100">
        <f>IF(COUNTIFS(T_StockCount[RM_Code],$A100,T_StockCount[WeekIndex],53)&gt;0,SUMIFS(T_StockCount[CountedQty],T_StockCount[RM_Code],$A100,T_StockCount[WeekIndex],53),IF((COUNTIFS(T_SelfStock[RM_Code],$A100,T_SelfStock[WeekIndex],53)&gt;0)*(COUNTIFS(T_TTAFStock[RM_Code],$A100,T_TTAFStock[WeekIndex],53)&gt;0)&gt;0,SUMIFS(T_SelfStock[Self_Qty],T_SelfStock[RM_Code],$A100,T_SelfStock[WeekIndex],53)+SUMIFS(T_TTAFStock[TTAF_Qty],T_TTAFStock[RM_Code],$A100,T_TTAFStock[WeekIndex],53),BA100+'Grid_Incoming'!BB100-'Grid_Requirement'!BB100))</f>
        <v/>
      </c>
      <c r="BC100">
        <f>IF(COUNTIFS(T_StockCount[RM_Code],$A100,T_StockCount[WeekIndex],54)&gt;0,SUMIFS(T_StockCount[CountedQty],T_StockCount[RM_Code],$A100,T_StockCount[WeekIndex],54),IF((COUNTIFS(T_SelfStock[RM_Code],$A100,T_SelfStock[WeekIndex],54)&gt;0)*(COUNTIFS(T_TTAFStock[RM_Code],$A100,T_TTAFStock[WeekIndex],54)&gt;0)&gt;0,SUMIFS(T_SelfStock[Self_Qty],T_SelfStock[RM_Code],$A100,T_SelfStock[WeekIndex],54)+SUMIFS(T_TTAFStock[TTAF_Qty],T_TTAFStock[RM_Code],$A100,T_TTAFStock[WeekIndex],54),BB100+'Grid_Incoming'!BC100-'Grid_Requirement'!BC100))</f>
        <v/>
      </c>
      <c r="BD100">
        <f>IF(COUNTIFS(T_StockCount[RM_Code],$A100,T_StockCount[WeekIndex],55)&gt;0,SUMIFS(T_StockCount[CountedQty],T_StockCount[RM_Code],$A100,T_StockCount[WeekIndex],55),IF((COUNTIFS(T_SelfStock[RM_Code],$A100,T_SelfStock[WeekIndex],55)&gt;0)*(COUNTIFS(T_TTAFStock[RM_Code],$A100,T_TTAFStock[WeekIndex],55)&gt;0)&gt;0,SUMIFS(T_SelfStock[Self_Qty],T_SelfStock[RM_Code],$A100,T_SelfStock[WeekIndex],55)+SUMIFS(T_TTAFStock[TTAF_Qty],T_TTAFStock[RM_Code],$A100,T_TTAFStock[WeekIndex],55),BC100+'Grid_Incoming'!BD100-'Grid_Requirement'!BD100))</f>
        <v/>
      </c>
      <c r="BE100">
        <f>IF(COUNTIFS(T_StockCount[RM_Code],$A100,T_StockCount[WeekIndex],56)&gt;0,SUMIFS(T_StockCount[CountedQty],T_StockCount[RM_Code],$A100,T_StockCount[WeekIndex],56),IF((COUNTIFS(T_SelfStock[RM_Code],$A100,T_SelfStock[WeekIndex],56)&gt;0)*(COUNTIFS(T_TTAFStock[RM_Code],$A100,T_TTAFStock[WeekIndex],56)&gt;0)&gt;0,SUMIFS(T_SelfStock[Self_Qty],T_SelfStock[RM_Code],$A100,T_SelfStock[WeekIndex],56)+SUMIFS(T_TTAFStock[TTAF_Qty],T_TTAFStock[RM_Code],$A100,T_TTAFStock[WeekIndex],56),BD100+'Grid_Incoming'!BE100-'Grid_Requirement'!BE100))</f>
        <v/>
      </c>
      <c r="BF100">
        <f>IF(COUNTIFS(T_StockCount[RM_Code],$A100,T_StockCount[WeekIndex],57)&gt;0,SUMIFS(T_StockCount[CountedQty],T_StockCount[RM_Code],$A100,T_StockCount[WeekIndex],57),IF((COUNTIFS(T_SelfStock[RM_Code],$A100,T_SelfStock[WeekIndex],57)&gt;0)*(COUNTIFS(T_TTAFStock[RM_Code],$A100,T_TTAFStock[WeekIndex],57)&gt;0)&gt;0,SUMIFS(T_SelfStock[Self_Qty],T_SelfStock[RM_Code],$A100,T_SelfStock[WeekIndex],57)+SUMIFS(T_TTAFStock[TTAF_Qty],T_TTAFStock[RM_Code],$A100,T_TTAFStock[WeekIndex],57),BE100+'Grid_Incoming'!BF100-'Grid_Requirement'!BF100))</f>
        <v/>
      </c>
      <c r="BG100">
        <f>IF(COUNTIFS(T_StockCount[RM_Code],$A100,T_StockCount[WeekIndex],58)&gt;0,SUMIFS(T_StockCount[CountedQty],T_StockCount[RM_Code],$A100,T_StockCount[WeekIndex],58),IF((COUNTIFS(T_SelfStock[RM_Code],$A100,T_SelfStock[WeekIndex],58)&gt;0)*(COUNTIFS(T_TTAFStock[RM_Code],$A100,T_TTAFStock[WeekIndex],58)&gt;0)&gt;0,SUMIFS(T_SelfStock[Self_Qty],T_SelfStock[RM_Code],$A100,T_SelfStock[WeekIndex],58)+SUMIFS(T_TTAFStock[TTAF_Qty],T_TTAFStock[RM_Code],$A100,T_TTAFStock[WeekIndex],58),BF100+'Grid_Incoming'!BG100-'Grid_Requirement'!BG100))</f>
        <v/>
      </c>
      <c r="BH100">
        <f>IF(COUNTIFS(T_StockCount[RM_Code],$A100,T_StockCount[WeekIndex],59)&gt;0,SUMIFS(T_StockCount[CountedQty],T_StockCount[RM_Code],$A100,T_StockCount[WeekIndex],59),IF((COUNTIFS(T_SelfStock[RM_Code],$A100,T_SelfStock[WeekIndex],59)&gt;0)*(COUNTIFS(T_TTAFStock[RM_Code],$A100,T_TTAFStock[WeekIndex],59)&gt;0)&gt;0,SUMIFS(T_SelfStock[Self_Qty],T_SelfStock[RM_Code],$A100,T_SelfStock[WeekIndex],59)+SUMIFS(T_TTAFStock[TTAF_Qty],T_TTAFStock[RM_Code],$A100,T_TTAFStock[WeekIndex],59),BG100+'Grid_Incoming'!BH100-'Grid_Requirement'!BH100))</f>
        <v/>
      </c>
      <c r="BI100">
        <f>IF(COUNTIFS(T_StockCount[RM_Code],$A100,T_StockCount[WeekIndex],60)&gt;0,SUMIFS(T_StockCount[CountedQty],T_StockCount[RM_Code],$A100,T_StockCount[WeekIndex],60),IF((COUNTIFS(T_SelfStock[RM_Code],$A100,T_SelfStock[WeekIndex],60)&gt;0)*(COUNTIFS(T_TTAFStock[RM_Code],$A100,T_TTAFStock[WeekIndex],60)&gt;0)&gt;0,SUMIFS(T_SelfStock[Self_Qty],T_SelfStock[RM_Code],$A100,T_SelfStock[WeekIndex],60)+SUMIFS(T_TTAFStock[TTAF_Qty],T_TTAFStock[RM_Code],$A100,T_TTAFStock[WeekIndex],60),BH100+'Grid_Incoming'!BI100-'Grid_Requirement'!BI100))</f>
        <v/>
      </c>
      <c r="BJ100">
        <f>IF(COUNTIFS(T_StockCount[RM_Code],$A100,T_StockCount[WeekIndex],61)&gt;0,SUMIFS(T_StockCount[CountedQty],T_StockCount[RM_Code],$A100,T_StockCount[WeekIndex],61),IF((COUNTIFS(T_SelfStock[RM_Code],$A100,T_SelfStock[WeekIndex],61)&gt;0)*(COUNTIFS(T_TTAFStock[RM_Code],$A100,T_TTAFStock[WeekIndex],61)&gt;0)&gt;0,SUMIFS(T_SelfStock[Self_Qty],T_SelfStock[RM_Code],$A100,T_SelfStock[WeekIndex],61)+SUMIFS(T_TTAFStock[TTAF_Qty],T_TTAFStock[RM_Code],$A100,T_TTAFStock[WeekIndex],61),BI100+'Grid_Incoming'!BJ100-'Grid_Requirement'!BJ100))</f>
        <v/>
      </c>
      <c r="BK100">
        <f>IF(COUNTIFS(T_StockCount[RM_Code],$A100,T_StockCount[WeekIndex],62)&gt;0,SUMIFS(T_StockCount[CountedQty],T_StockCount[RM_Code],$A100,T_StockCount[WeekIndex],62),IF((COUNTIFS(T_SelfStock[RM_Code],$A100,T_SelfStock[WeekIndex],62)&gt;0)*(COUNTIFS(T_TTAFStock[RM_Code],$A100,T_TTAFStock[WeekIndex],62)&gt;0)&gt;0,SUMIFS(T_SelfStock[Self_Qty],T_SelfStock[RM_Code],$A100,T_SelfStock[WeekIndex],62)+SUMIFS(T_TTAFStock[TTAF_Qty],T_TTAFStock[RM_Code],$A100,T_TTAFStock[WeekIndex],62),BJ100+'Grid_Incoming'!BK100-'Grid_Requirement'!BK100))</f>
        <v/>
      </c>
      <c r="BL100">
        <f>IF(COUNTIFS(T_StockCount[RM_Code],$A100,T_StockCount[WeekIndex],63)&gt;0,SUMIFS(T_StockCount[CountedQty],T_StockCount[RM_Code],$A100,T_StockCount[WeekIndex],63),IF((COUNTIFS(T_SelfStock[RM_Code],$A100,T_SelfStock[WeekIndex],63)&gt;0)*(COUNTIFS(T_TTAFStock[RM_Code],$A100,T_TTAFStock[WeekIndex],63)&gt;0)&gt;0,SUMIFS(T_SelfStock[Self_Qty],T_SelfStock[RM_Code],$A100,T_SelfStock[WeekIndex],63)+SUMIFS(T_TTAFStock[TTAF_Qty],T_TTAFStock[RM_Code],$A100,T_TTAFStock[WeekIndex],63),BK100+'Grid_Incoming'!BL100-'Grid_Requirement'!BL100))</f>
        <v/>
      </c>
      <c r="BM100">
        <f>IF(COUNTIFS(T_StockCount[RM_Code],$A100,T_StockCount[WeekIndex],64)&gt;0,SUMIFS(T_StockCount[CountedQty],T_StockCount[RM_Code],$A100,T_StockCount[WeekIndex],64),IF((COUNTIFS(T_SelfStock[RM_Code],$A100,T_SelfStock[WeekIndex],64)&gt;0)*(COUNTIFS(T_TTAFStock[RM_Code],$A100,T_TTAFStock[WeekIndex],64)&gt;0)&gt;0,SUMIFS(T_SelfStock[Self_Qty],T_SelfStock[RM_Code],$A100,T_SelfStock[WeekIndex],64)+SUMIFS(T_TTAFStock[TTAF_Qty],T_TTAFStock[RM_Code],$A100,T_TTAFStock[WeekIndex],64),BL100+'Grid_Incoming'!BM100-'Grid_Requirement'!BM100))</f>
        <v/>
      </c>
      <c r="BN100">
        <f>IF(COUNTIFS(T_StockCount[RM_Code],$A100,T_StockCount[WeekIndex],65)&gt;0,SUMIFS(T_StockCount[CountedQty],T_StockCount[RM_Code],$A100,T_StockCount[WeekIndex],65),IF((COUNTIFS(T_SelfStock[RM_Code],$A100,T_SelfStock[WeekIndex],65)&gt;0)*(COUNTIFS(T_TTAFStock[RM_Code],$A100,T_TTAFStock[WeekIndex],65)&gt;0)&gt;0,SUMIFS(T_SelfStock[Self_Qty],T_SelfStock[RM_Code],$A100,T_SelfStock[WeekIndex],65)+SUMIFS(T_TTAFStock[TTAF_Qty],T_TTAFStock[RM_Code],$A100,T_TTAFStock[WeekIndex],65),BM100+'Grid_Incoming'!BN100-'Grid_Requirement'!BN100))</f>
        <v/>
      </c>
      <c r="BO100">
        <f>IF(COUNTIFS(T_StockCount[RM_Code],$A100,T_StockCount[WeekIndex],66)&gt;0,SUMIFS(T_StockCount[CountedQty],T_StockCount[RM_Code],$A100,T_StockCount[WeekIndex],66),IF((COUNTIFS(T_SelfStock[RM_Code],$A100,T_SelfStock[WeekIndex],66)&gt;0)*(COUNTIFS(T_TTAFStock[RM_Code],$A100,T_TTAFStock[WeekIndex],66)&gt;0)&gt;0,SUMIFS(T_SelfStock[Self_Qty],T_SelfStock[RM_Code],$A100,T_SelfStock[WeekIndex],66)+SUMIFS(T_TTAFStock[TTAF_Qty],T_TTAFStock[RM_Code],$A100,T_TTAFStock[WeekIndex],66),BN100+'Grid_Incoming'!BO100-'Grid_Requirement'!BO100))</f>
        <v/>
      </c>
      <c r="BP100">
        <f>IF(COUNTIFS(T_StockCount[RM_Code],$A100,T_StockCount[WeekIndex],67)&gt;0,SUMIFS(T_StockCount[CountedQty],T_StockCount[RM_Code],$A100,T_StockCount[WeekIndex],67),IF((COUNTIFS(T_SelfStock[RM_Code],$A100,T_SelfStock[WeekIndex],67)&gt;0)*(COUNTIFS(T_TTAFStock[RM_Code],$A100,T_TTAFStock[WeekIndex],67)&gt;0)&gt;0,SUMIFS(T_SelfStock[Self_Qty],T_SelfStock[RM_Code],$A100,T_SelfStock[WeekIndex],67)+SUMIFS(T_TTAFStock[TTAF_Qty],T_TTAFStock[RM_Code],$A100,T_TTAFStock[WeekIndex],67),BO100+'Grid_Incoming'!BP100-'Grid_Requirement'!BP100))</f>
        <v/>
      </c>
      <c r="BQ100">
        <f>IF(COUNTIFS(T_StockCount[RM_Code],$A100,T_StockCount[WeekIndex],68)&gt;0,SUMIFS(T_StockCount[CountedQty],T_StockCount[RM_Code],$A100,T_StockCount[WeekIndex],68),IF((COUNTIFS(T_SelfStock[RM_Code],$A100,T_SelfStock[WeekIndex],68)&gt;0)*(COUNTIFS(T_TTAFStock[RM_Code],$A100,T_TTAFStock[WeekIndex],68)&gt;0)&gt;0,SUMIFS(T_SelfStock[Self_Qty],T_SelfStock[RM_Code],$A100,T_SelfStock[WeekIndex],68)+SUMIFS(T_TTAFStock[TTAF_Qty],T_TTAFStock[RM_Code],$A100,T_TTAFStock[WeekIndex],68),BP100+'Grid_Incoming'!BQ100-'Grid_Requirement'!BQ100))</f>
        <v/>
      </c>
      <c r="BR100">
        <f>IF(COUNTIFS(T_StockCount[RM_Code],$A100,T_StockCount[WeekIndex],69)&gt;0,SUMIFS(T_StockCount[CountedQty],T_StockCount[RM_Code],$A100,T_StockCount[WeekIndex],69),IF((COUNTIFS(T_SelfStock[RM_Code],$A100,T_SelfStock[WeekIndex],69)&gt;0)*(COUNTIFS(T_TTAFStock[RM_Code],$A100,T_TTAFStock[WeekIndex],69)&gt;0)&gt;0,SUMIFS(T_SelfStock[Self_Qty],T_SelfStock[RM_Code],$A100,T_SelfStock[WeekIndex],69)+SUMIFS(T_TTAFStock[TTAF_Qty],T_TTAFStock[RM_Code],$A100,T_TTAFStock[WeekIndex],69),BQ100+'Grid_Incoming'!BR100-'Grid_Requirement'!BR100))</f>
        <v/>
      </c>
      <c r="BS100">
        <f>IF(COUNTIFS(T_StockCount[RM_Code],$A100,T_StockCount[WeekIndex],70)&gt;0,SUMIFS(T_StockCount[CountedQty],T_StockCount[RM_Code],$A100,T_StockCount[WeekIndex],70),IF((COUNTIFS(T_SelfStock[RM_Code],$A100,T_SelfStock[WeekIndex],70)&gt;0)*(COUNTIFS(T_TTAFStock[RM_Code],$A100,T_TTAFStock[WeekIndex],70)&gt;0)&gt;0,SUMIFS(T_SelfStock[Self_Qty],T_SelfStock[RM_Code],$A100,T_SelfStock[WeekIndex],70)+SUMIFS(T_TTAFStock[TTAF_Qty],T_TTAFStock[RM_Code],$A100,T_TTAFStock[WeekIndex],70),BR100+'Grid_Incoming'!BS100-'Grid_Requirement'!BS100))</f>
        <v/>
      </c>
      <c r="BT100">
        <f>IF(COUNTIFS(T_StockCount[RM_Code],$A100,T_StockCount[WeekIndex],71)&gt;0,SUMIFS(T_StockCount[CountedQty],T_StockCount[RM_Code],$A100,T_StockCount[WeekIndex],71),IF((COUNTIFS(T_SelfStock[RM_Code],$A100,T_SelfStock[WeekIndex],71)&gt;0)*(COUNTIFS(T_TTAFStock[RM_Code],$A100,T_TTAFStock[WeekIndex],71)&gt;0)&gt;0,SUMIFS(T_SelfStock[Self_Qty],T_SelfStock[RM_Code],$A100,T_SelfStock[WeekIndex],71)+SUMIFS(T_TTAFStock[TTAF_Qty],T_TTAFStock[RM_Code],$A100,T_TTAFStock[WeekIndex],71),BS100+'Grid_Incoming'!BT100-'Grid_Requirement'!BT100))</f>
        <v/>
      </c>
      <c r="BU100">
        <f>IF(COUNTIFS(T_StockCount[RM_Code],$A100,T_StockCount[WeekIndex],72)&gt;0,SUMIFS(T_StockCount[CountedQty],T_StockCount[RM_Code],$A100,T_StockCount[WeekIndex],72),IF((COUNTIFS(T_SelfStock[RM_Code],$A100,T_SelfStock[WeekIndex],72)&gt;0)*(COUNTIFS(T_TTAFStock[RM_Code],$A100,T_TTAFStock[WeekIndex],72)&gt;0)&gt;0,SUMIFS(T_SelfStock[Self_Qty],T_SelfStock[RM_Code],$A100,T_SelfStock[WeekIndex],72)+SUMIFS(T_TTAFStock[TTAF_Qty],T_TTAFStock[RM_Code],$A100,T_TTAFStock[WeekIndex],72),BT100+'Grid_Incoming'!BU100-'Grid_Requirement'!BU100))</f>
        <v/>
      </c>
      <c r="BV100">
        <f>IF(COUNTIFS(T_StockCount[RM_Code],$A100,T_StockCount[WeekIndex],73)&gt;0,SUMIFS(T_StockCount[CountedQty],T_StockCount[RM_Code],$A100,T_StockCount[WeekIndex],73),IF((COUNTIFS(T_SelfStock[RM_Code],$A100,T_SelfStock[WeekIndex],73)&gt;0)*(COUNTIFS(T_TTAFStock[RM_Code],$A100,T_TTAFStock[WeekIndex],73)&gt;0)&gt;0,SUMIFS(T_SelfStock[Self_Qty],T_SelfStock[RM_Code],$A100,T_SelfStock[WeekIndex],73)+SUMIFS(T_TTAFStock[TTAF_Qty],T_TTAFStock[RM_Code],$A100,T_TTAFStock[WeekIndex],73),BU100+'Grid_Incoming'!BV100-'Grid_Requirement'!BV100))</f>
        <v/>
      </c>
      <c r="BW100">
        <f>IF(COUNTIFS(T_StockCount[RM_Code],$A100,T_StockCount[WeekIndex],74)&gt;0,SUMIFS(T_StockCount[CountedQty],T_StockCount[RM_Code],$A100,T_StockCount[WeekIndex],74),IF((COUNTIFS(T_SelfStock[RM_Code],$A100,T_SelfStock[WeekIndex],74)&gt;0)*(COUNTIFS(T_TTAFStock[RM_Code],$A100,T_TTAFStock[WeekIndex],74)&gt;0)&gt;0,SUMIFS(T_SelfStock[Self_Qty],T_SelfStock[RM_Code],$A100,T_SelfStock[WeekIndex],74)+SUMIFS(T_TTAFStock[TTAF_Qty],T_TTAFStock[RM_Code],$A100,T_TTAFStock[WeekIndex],74),BV100+'Grid_Incoming'!BW100-'Grid_Requirement'!BW100))</f>
        <v/>
      </c>
      <c r="BX100">
        <f>IF(COUNTIFS(T_StockCount[RM_Code],$A100,T_StockCount[WeekIndex],75)&gt;0,SUMIFS(T_StockCount[CountedQty],T_StockCount[RM_Code],$A100,T_StockCount[WeekIndex],75),IF((COUNTIFS(T_SelfStock[RM_Code],$A100,T_SelfStock[WeekIndex],75)&gt;0)*(COUNTIFS(T_TTAFStock[RM_Code],$A100,T_TTAFStock[WeekIndex],75)&gt;0)&gt;0,SUMIFS(T_SelfStock[Self_Qty],T_SelfStock[RM_Code],$A100,T_SelfStock[WeekIndex],75)+SUMIFS(T_TTAFStock[TTAF_Qty],T_TTAFStock[RM_Code],$A100,T_TTAFStock[WeekIndex],75),BW100+'Grid_Incoming'!BX100-'Grid_Requirement'!BX100))</f>
        <v/>
      </c>
      <c r="BY100">
        <f>IF(COUNTIFS(T_StockCount[RM_Code],$A100,T_StockCount[WeekIndex],76)&gt;0,SUMIFS(T_StockCount[CountedQty],T_StockCount[RM_Code],$A100,T_StockCount[WeekIndex],76),IF((COUNTIFS(T_SelfStock[RM_Code],$A100,T_SelfStock[WeekIndex],76)&gt;0)*(COUNTIFS(T_TTAFStock[RM_Code],$A100,T_TTAFStock[WeekIndex],76)&gt;0)&gt;0,SUMIFS(T_SelfStock[Self_Qty],T_SelfStock[RM_Code],$A100,T_SelfStock[WeekIndex],76)+SUMIFS(T_TTAFStock[TTAF_Qty],T_TTAFStock[RM_Code],$A100,T_TTAFStock[WeekIndex],76),BX100+'Grid_Incoming'!BY100-'Grid_Requirement'!BY100))</f>
        <v/>
      </c>
      <c r="BZ100">
        <f>IF(COUNTIFS(T_StockCount[RM_Code],$A100,T_StockCount[WeekIndex],77)&gt;0,SUMIFS(T_StockCount[CountedQty],T_StockCount[RM_Code],$A100,T_StockCount[WeekIndex],77),IF((COUNTIFS(T_SelfStock[RM_Code],$A100,T_SelfStock[WeekIndex],77)&gt;0)*(COUNTIFS(T_TTAFStock[RM_Code],$A100,T_TTAFStock[WeekIndex],77)&gt;0)&gt;0,SUMIFS(T_SelfStock[Self_Qty],T_SelfStock[RM_Code],$A100,T_SelfStock[WeekIndex],77)+SUMIFS(T_TTAFStock[TTAF_Qty],T_TTAFStock[RM_Code],$A100,T_TTAFStock[WeekIndex],77),BY100+'Grid_Incoming'!BZ100-'Grid_Requirement'!BZ100))</f>
        <v/>
      </c>
      <c r="CA100">
        <f>IF(COUNTIFS(T_StockCount[RM_Code],$A100,T_StockCount[WeekIndex],78)&gt;0,SUMIFS(T_StockCount[CountedQty],T_StockCount[RM_Code],$A100,T_StockCount[WeekIndex],78),IF((COUNTIFS(T_SelfStock[RM_Code],$A100,T_SelfStock[WeekIndex],78)&gt;0)*(COUNTIFS(T_TTAFStock[RM_Code],$A100,T_TTAFStock[WeekIndex],78)&gt;0)&gt;0,SUMIFS(T_SelfStock[Self_Qty],T_SelfStock[RM_Code],$A100,T_SelfStock[WeekIndex],78)+SUMIFS(T_TTAFStock[TTAF_Qty],T_TTAFStock[RM_Code],$A100,T_TTAFStock[WeekIndex],78),BZ100+'Grid_Incoming'!CA100-'Grid_Requirement'!CA100))</f>
        <v/>
      </c>
      <c r="CB100">
        <f>IF(COUNTIFS(T_StockCount[RM_Code],$A100,T_StockCount[WeekIndex],79)&gt;0,SUMIFS(T_StockCount[CountedQty],T_StockCount[RM_Code],$A100,T_StockCount[WeekIndex],79),IF((COUNTIFS(T_SelfStock[RM_Code],$A100,T_SelfStock[WeekIndex],79)&gt;0)*(COUNTIFS(T_TTAFStock[RM_Code],$A100,T_TTAFStock[WeekIndex],79)&gt;0)&gt;0,SUMIFS(T_SelfStock[Self_Qty],T_SelfStock[RM_Code],$A100,T_SelfStock[WeekIndex],79)+SUMIFS(T_TTAFStock[TTAF_Qty],T_TTAFStock[RM_Code],$A100,T_TTAFStock[WeekIndex],79),CA100+'Grid_Incoming'!CB100-'Grid_Requirement'!CB100))</f>
        <v/>
      </c>
      <c r="CC100">
        <f>IF(COUNTIFS(T_StockCount[RM_Code],$A100,T_StockCount[WeekIndex],80)&gt;0,SUMIFS(T_StockCount[CountedQty],T_StockCount[RM_Code],$A100,T_StockCount[WeekIndex],80),IF((COUNTIFS(T_SelfStock[RM_Code],$A100,T_SelfStock[WeekIndex],80)&gt;0)*(COUNTIFS(T_TTAFStock[RM_Code],$A100,T_TTAFStock[WeekIndex],80)&gt;0)&gt;0,SUMIFS(T_SelfStock[Self_Qty],T_SelfStock[RM_Code],$A100,T_SelfStock[WeekIndex],80)+SUMIFS(T_TTAFStock[TTAF_Qty],T_TTAFStock[RM_Code],$A100,T_TTAFStock[WeekIndex],80),CB100+'Grid_Incoming'!CC100-'Grid_Requirement'!CC100))</f>
        <v/>
      </c>
      <c r="CD100">
        <f>IF(COUNTIFS(T_StockCount[RM_Code],$A100,T_StockCount[WeekIndex],81)&gt;0,SUMIFS(T_StockCount[CountedQty],T_StockCount[RM_Code],$A100,T_StockCount[WeekIndex],81),IF((COUNTIFS(T_SelfStock[RM_Code],$A100,T_SelfStock[WeekIndex],81)&gt;0)*(COUNTIFS(T_TTAFStock[RM_Code],$A100,T_TTAFStock[WeekIndex],81)&gt;0)&gt;0,SUMIFS(T_SelfStock[Self_Qty],T_SelfStock[RM_Code],$A100,T_SelfStock[WeekIndex],81)+SUMIFS(T_TTAFStock[TTAF_Qty],T_TTAFStock[RM_Code],$A100,T_TTAFStock[WeekIndex],81),CC100+'Grid_Incoming'!CD100-'Grid_Requirement'!CD100))</f>
        <v/>
      </c>
      <c r="CE100">
        <f>IF(COUNTIFS(T_StockCount[RM_Code],$A100,T_StockCount[WeekIndex],82)&gt;0,SUMIFS(T_StockCount[CountedQty],T_StockCount[RM_Code],$A100,T_StockCount[WeekIndex],82),IF((COUNTIFS(T_SelfStock[RM_Code],$A100,T_SelfStock[WeekIndex],82)&gt;0)*(COUNTIFS(T_TTAFStock[RM_Code],$A100,T_TTAFStock[WeekIndex],82)&gt;0)&gt;0,SUMIFS(T_SelfStock[Self_Qty],T_SelfStock[RM_Code],$A100,T_SelfStock[WeekIndex],82)+SUMIFS(T_TTAFStock[TTAF_Qty],T_TTAFStock[RM_Code],$A100,T_TTAFStock[WeekIndex],82),CD100+'Grid_Incoming'!CE100-'Grid_Requirement'!CE100))</f>
        <v/>
      </c>
      <c r="CF100">
        <f>IF(COUNTIFS(T_StockCount[RM_Code],$A100,T_StockCount[WeekIndex],83)&gt;0,SUMIFS(T_StockCount[CountedQty],T_StockCount[RM_Code],$A100,T_StockCount[WeekIndex],83),IF((COUNTIFS(T_SelfStock[RM_Code],$A100,T_SelfStock[WeekIndex],83)&gt;0)*(COUNTIFS(T_TTAFStock[RM_Code],$A100,T_TTAFStock[WeekIndex],83)&gt;0)&gt;0,SUMIFS(T_SelfStock[Self_Qty],T_SelfStock[RM_Code],$A100,T_SelfStock[WeekIndex],83)+SUMIFS(T_TTAFStock[TTAF_Qty],T_TTAFStock[RM_Code],$A100,T_TTAFStock[WeekIndex],83),CE100+'Grid_Incoming'!CF100-'Grid_Requirement'!CF100))</f>
        <v/>
      </c>
      <c r="CG100">
        <f>IF(COUNTIFS(T_StockCount[RM_Code],$A100,T_StockCount[WeekIndex],84)&gt;0,SUMIFS(T_StockCount[CountedQty],T_StockCount[RM_Code],$A100,T_StockCount[WeekIndex],84),IF((COUNTIFS(T_SelfStock[RM_Code],$A100,T_SelfStock[WeekIndex],84)&gt;0)*(COUNTIFS(T_TTAFStock[RM_Code],$A100,T_TTAFStock[WeekIndex],84)&gt;0)&gt;0,SUMIFS(T_SelfStock[Self_Qty],T_SelfStock[RM_Code],$A100,T_SelfStock[WeekIndex],84)+SUMIFS(T_TTAFStock[TTAF_Qty],T_TTAFStock[RM_Code],$A100,T_TTAFStock[WeekIndex],84),CF100+'Grid_Incoming'!CG100-'Grid_Requirement'!CG100))</f>
        <v/>
      </c>
      <c r="CH100">
        <f>IF(COUNTIFS(T_StockCount[RM_Code],$A100,T_StockCount[WeekIndex],85)&gt;0,SUMIFS(T_StockCount[CountedQty],T_StockCount[RM_Code],$A100,T_StockCount[WeekIndex],85),IF((COUNTIFS(T_SelfStock[RM_Code],$A100,T_SelfStock[WeekIndex],85)&gt;0)*(COUNTIFS(T_TTAFStock[RM_Code],$A100,T_TTAFStock[WeekIndex],85)&gt;0)&gt;0,SUMIFS(T_SelfStock[Self_Qty],T_SelfStock[RM_Code],$A100,T_SelfStock[WeekIndex],85)+SUMIFS(T_TTAFStock[TTAF_Qty],T_TTAFStock[RM_Code],$A100,T_TTAFStock[WeekIndex],85),CG100+'Grid_Incoming'!CH100-'Grid_Requirement'!CH100))</f>
        <v/>
      </c>
      <c r="CI100">
        <f>IF(COUNTIFS(T_StockCount[RM_Code],$A100,T_StockCount[WeekIndex],86)&gt;0,SUMIFS(T_StockCount[CountedQty],T_StockCount[RM_Code],$A100,T_StockCount[WeekIndex],86),IF((COUNTIFS(T_SelfStock[RM_Code],$A100,T_SelfStock[WeekIndex],86)&gt;0)*(COUNTIFS(T_TTAFStock[RM_Code],$A100,T_TTAFStock[WeekIndex],86)&gt;0)&gt;0,SUMIFS(T_SelfStock[Self_Qty],T_SelfStock[RM_Code],$A100,T_SelfStock[WeekIndex],86)+SUMIFS(T_TTAFStock[TTAF_Qty],T_TTAFStock[RM_Code],$A100,T_TTAFStock[WeekIndex],86),CH100+'Grid_Incoming'!CI100-'Grid_Requirement'!CI100))</f>
        <v/>
      </c>
      <c r="CJ100">
        <f>IF(COUNTIFS(T_StockCount[RM_Code],$A100,T_StockCount[WeekIndex],87)&gt;0,SUMIFS(T_StockCount[CountedQty],T_StockCount[RM_Code],$A100,T_StockCount[WeekIndex],87),IF((COUNTIFS(T_SelfStock[RM_Code],$A100,T_SelfStock[WeekIndex],87)&gt;0)*(COUNTIFS(T_TTAFStock[RM_Code],$A100,T_TTAFStock[WeekIndex],87)&gt;0)&gt;0,SUMIFS(T_SelfStock[Self_Qty],T_SelfStock[RM_Code],$A100,T_SelfStock[WeekIndex],87)+SUMIFS(T_TTAFStock[TTAF_Qty],T_TTAFStock[RM_Code],$A100,T_TTAFStock[WeekIndex],87),CI100+'Grid_Incoming'!CJ100-'Grid_Requirement'!CJ100))</f>
        <v/>
      </c>
      <c r="CK100">
        <f>IF(COUNTIFS(T_StockCount[RM_Code],$A100,T_StockCount[WeekIndex],88)&gt;0,SUMIFS(T_StockCount[CountedQty],T_StockCount[RM_Code],$A100,T_StockCount[WeekIndex],88),IF((COUNTIFS(T_SelfStock[RM_Code],$A100,T_SelfStock[WeekIndex],88)&gt;0)*(COUNTIFS(T_TTAFStock[RM_Code],$A100,T_TTAFStock[WeekIndex],88)&gt;0)&gt;0,SUMIFS(T_SelfStock[Self_Qty],T_SelfStock[RM_Code],$A100,T_SelfStock[WeekIndex],88)+SUMIFS(T_TTAFStock[TTAF_Qty],T_TTAFStock[RM_Code],$A100,T_TTAFStock[WeekIndex],88),CJ100+'Grid_Incoming'!CK100-'Grid_Requirement'!CK100))</f>
        <v/>
      </c>
      <c r="CL100">
        <f>IF(COUNTIFS(T_StockCount[RM_Code],$A100,T_StockCount[WeekIndex],89)&gt;0,SUMIFS(T_StockCount[CountedQty],T_StockCount[RM_Code],$A100,T_StockCount[WeekIndex],89),IF((COUNTIFS(T_SelfStock[RM_Code],$A100,T_SelfStock[WeekIndex],89)&gt;0)*(COUNTIFS(T_TTAFStock[RM_Code],$A100,T_TTAFStock[WeekIndex],89)&gt;0)&gt;0,SUMIFS(T_SelfStock[Self_Qty],T_SelfStock[RM_Code],$A100,T_SelfStock[WeekIndex],89)+SUMIFS(T_TTAFStock[TTAF_Qty],T_TTAFStock[RM_Code],$A100,T_TTAFStock[WeekIndex],89),CK100+'Grid_Incoming'!CL100-'Grid_Requirement'!CL100))</f>
        <v/>
      </c>
      <c r="CM100">
        <f>IF(COUNTIFS(T_StockCount[RM_Code],$A100,T_StockCount[WeekIndex],90)&gt;0,SUMIFS(T_StockCount[CountedQty],T_StockCount[RM_Code],$A100,T_StockCount[WeekIndex],90),IF((COUNTIFS(T_SelfStock[RM_Code],$A100,T_SelfStock[WeekIndex],90)&gt;0)*(COUNTIFS(T_TTAFStock[RM_Code],$A100,T_TTAFStock[WeekIndex],90)&gt;0)&gt;0,SUMIFS(T_SelfStock[Self_Qty],T_SelfStock[RM_Code],$A100,T_SelfStock[WeekIndex],90)+SUMIFS(T_TTAFStock[TTAF_Qty],T_TTAFStock[RM_Code],$A100,T_TTAFStock[WeekIndex],90),CL100+'Grid_Incoming'!CM100-'Grid_Requirement'!CM100))</f>
        <v/>
      </c>
      <c r="CN100">
        <f>IF(COUNTIFS(T_StockCount[RM_Code],$A100,T_StockCount[WeekIndex],91)&gt;0,SUMIFS(T_StockCount[CountedQty],T_StockCount[RM_Code],$A100,T_StockCount[WeekIndex],91),IF((COUNTIFS(T_SelfStock[RM_Code],$A100,T_SelfStock[WeekIndex],91)&gt;0)*(COUNTIFS(T_TTAFStock[RM_Code],$A100,T_TTAFStock[WeekIndex],91)&gt;0)&gt;0,SUMIFS(T_SelfStock[Self_Qty],T_SelfStock[RM_Code],$A100,T_SelfStock[WeekIndex],91)+SUMIFS(T_TTAFStock[TTAF_Qty],T_TTAFStock[RM_Code],$A100,T_TTAFStock[WeekIndex],91),CM100+'Grid_Incoming'!CN100-'Grid_Requirement'!CN100))</f>
        <v/>
      </c>
      <c r="CO100">
        <f>IF(COUNTIFS(T_StockCount[RM_Code],$A100,T_StockCount[WeekIndex],92)&gt;0,SUMIFS(T_StockCount[CountedQty],T_StockCount[RM_Code],$A100,T_StockCount[WeekIndex],92),IF((COUNTIFS(T_SelfStock[RM_Code],$A100,T_SelfStock[WeekIndex],92)&gt;0)*(COUNTIFS(T_TTAFStock[RM_Code],$A100,T_TTAFStock[WeekIndex],92)&gt;0)&gt;0,SUMIFS(T_SelfStock[Self_Qty],T_SelfStock[RM_Code],$A100,T_SelfStock[WeekIndex],92)+SUMIFS(T_TTAFStock[TTAF_Qty],T_TTAFStock[RM_Code],$A100,T_TTAFStock[WeekIndex],92),CN100+'Grid_Incoming'!CO100-'Grid_Requirement'!CO100))</f>
        <v/>
      </c>
      <c r="CP100">
        <f>IF(COUNTIFS(T_StockCount[RM_Code],$A100,T_StockCount[WeekIndex],93)&gt;0,SUMIFS(T_StockCount[CountedQty],T_StockCount[RM_Code],$A100,T_StockCount[WeekIndex],93),IF((COUNTIFS(T_SelfStock[RM_Code],$A100,T_SelfStock[WeekIndex],93)&gt;0)*(COUNTIFS(T_TTAFStock[RM_Code],$A100,T_TTAFStock[WeekIndex],93)&gt;0)&gt;0,SUMIFS(T_SelfStock[Self_Qty],T_SelfStock[RM_Code],$A100,T_SelfStock[WeekIndex],93)+SUMIFS(T_TTAFStock[TTAF_Qty],T_TTAFStock[RM_Code],$A100,T_TTAFStock[WeekIndex],93),CO100+'Grid_Incoming'!CP100-'Grid_Requirement'!CP100))</f>
        <v/>
      </c>
      <c r="CQ100">
        <f>IF(COUNTIFS(T_StockCount[RM_Code],$A100,T_StockCount[WeekIndex],94)&gt;0,SUMIFS(T_StockCount[CountedQty],T_StockCount[RM_Code],$A100,T_StockCount[WeekIndex],94),IF((COUNTIFS(T_SelfStock[RM_Code],$A100,T_SelfStock[WeekIndex],94)&gt;0)*(COUNTIFS(T_TTAFStock[RM_Code],$A100,T_TTAFStock[WeekIndex],94)&gt;0)&gt;0,SUMIFS(T_SelfStock[Self_Qty],T_SelfStock[RM_Code],$A100,T_SelfStock[WeekIndex],94)+SUMIFS(T_TTAFStock[TTAF_Qty],T_TTAFStock[RM_Code],$A100,T_TTAFStock[WeekIndex],94),CP100+'Grid_Incoming'!CQ100-'Grid_Requirement'!CQ100))</f>
        <v/>
      </c>
      <c r="CR100">
        <f>IF(COUNTIFS(T_StockCount[RM_Code],$A100,T_StockCount[WeekIndex],95)&gt;0,SUMIFS(T_StockCount[CountedQty],T_StockCount[RM_Code],$A100,T_StockCount[WeekIndex],95),IF((COUNTIFS(T_SelfStock[RM_Code],$A100,T_SelfStock[WeekIndex],95)&gt;0)*(COUNTIFS(T_TTAFStock[RM_Code],$A100,T_TTAFStock[WeekIndex],95)&gt;0)&gt;0,SUMIFS(T_SelfStock[Self_Qty],T_SelfStock[RM_Code],$A100,T_SelfStock[WeekIndex],95)+SUMIFS(T_TTAFStock[TTAF_Qty],T_TTAFStock[RM_Code],$A100,T_TTAFStock[WeekIndex],95),CQ100+'Grid_Incoming'!CR100-'Grid_Requirement'!CR100))</f>
        <v/>
      </c>
      <c r="CS100">
        <f>IF(COUNTIFS(T_StockCount[RM_Code],$A100,T_StockCount[WeekIndex],96)&gt;0,SUMIFS(T_StockCount[CountedQty],T_StockCount[RM_Code],$A100,T_StockCount[WeekIndex],96),IF((COUNTIFS(T_SelfStock[RM_Code],$A100,T_SelfStock[WeekIndex],96)&gt;0)*(COUNTIFS(T_TTAFStock[RM_Code],$A100,T_TTAFStock[WeekIndex],96)&gt;0)&gt;0,SUMIFS(T_SelfStock[Self_Qty],T_SelfStock[RM_Code],$A100,T_SelfStock[WeekIndex],96)+SUMIFS(T_TTAFStock[TTAF_Qty],T_TTAFStock[RM_Code],$A100,T_TTAFStock[WeekIndex],96),CR100+'Grid_Incoming'!CS100-'Grid_Requirement'!CS100))</f>
        <v/>
      </c>
      <c r="CT100">
        <f>IF(COUNTIFS(T_StockCount[RM_Code],$A100,T_StockCount[WeekIndex],97)&gt;0,SUMIFS(T_StockCount[CountedQty],T_StockCount[RM_Code],$A100,T_StockCount[WeekIndex],97),IF((COUNTIFS(T_SelfStock[RM_Code],$A100,T_SelfStock[WeekIndex],97)&gt;0)*(COUNTIFS(T_TTAFStock[RM_Code],$A100,T_TTAFStock[WeekIndex],97)&gt;0)&gt;0,SUMIFS(T_SelfStock[Self_Qty],T_SelfStock[RM_Code],$A100,T_SelfStock[WeekIndex],97)+SUMIFS(T_TTAFStock[TTAF_Qty],T_TTAFStock[RM_Code],$A100,T_TTAFStock[WeekIndex],97),CS100+'Grid_Incoming'!CT100-'Grid_Requirement'!CT100))</f>
        <v/>
      </c>
      <c r="CU100">
        <f>IF(COUNTIFS(T_StockCount[RM_Code],$A100,T_StockCount[WeekIndex],98)&gt;0,SUMIFS(T_StockCount[CountedQty],T_StockCount[RM_Code],$A100,T_StockCount[WeekIndex],98),IF((COUNTIFS(T_SelfStock[RM_Code],$A100,T_SelfStock[WeekIndex],98)&gt;0)*(COUNTIFS(T_TTAFStock[RM_Code],$A100,T_TTAFStock[WeekIndex],98)&gt;0)&gt;0,SUMIFS(T_SelfStock[Self_Qty],T_SelfStock[RM_Code],$A100,T_SelfStock[WeekIndex],98)+SUMIFS(T_TTAFStock[TTAF_Qty],T_TTAFStock[RM_Code],$A100,T_TTAFStock[WeekIndex],98),CT100+'Grid_Incoming'!CU100-'Grid_Requirement'!CU100))</f>
        <v/>
      </c>
      <c r="CV100">
        <f>IF(COUNTIFS(T_StockCount[RM_Code],$A100,T_StockCount[WeekIndex],99)&gt;0,SUMIFS(T_StockCount[CountedQty],T_StockCount[RM_Code],$A100,T_StockCount[WeekIndex],99),IF((COUNTIFS(T_SelfStock[RM_Code],$A100,T_SelfStock[WeekIndex],99)&gt;0)*(COUNTIFS(T_TTAFStock[RM_Code],$A100,T_TTAFStock[WeekIndex],99)&gt;0)&gt;0,SUMIFS(T_SelfStock[Self_Qty],T_SelfStock[RM_Code],$A100,T_SelfStock[WeekIndex],99)+SUMIFS(T_TTAFStock[TTAF_Qty],T_TTAFStock[RM_Code],$A100,T_TTAFStock[WeekIndex],99),CU100+'Grid_Incoming'!CV100-'Grid_Requirement'!CV100))</f>
        <v/>
      </c>
      <c r="CW100">
        <f>IF(COUNTIFS(T_StockCount[RM_Code],$A100,T_StockCount[WeekIndex],100)&gt;0,SUMIFS(T_StockCount[CountedQty],T_StockCount[RM_Code],$A100,T_StockCount[WeekIndex],100),IF((COUNTIFS(T_SelfStock[RM_Code],$A100,T_SelfStock[WeekIndex],100)&gt;0)*(COUNTIFS(T_TTAFStock[RM_Code],$A100,T_TTAFStock[WeekIndex],100)&gt;0)&gt;0,SUMIFS(T_SelfStock[Self_Qty],T_SelfStock[RM_Code],$A100,T_SelfStock[WeekIndex],100)+SUMIFS(T_TTAFStock[TTAF_Qty],T_TTAFStock[RM_Code],$A100,T_TTAFStock[WeekIndex],100),CV100+'Grid_Incoming'!CW100-'Grid_Requirement'!CW100))</f>
        <v/>
      </c>
      <c r="CX100">
        <f>IF(COUNTIFS(T_StockCount[RM_Code],$A100,T_StockCount[WeekIndex],101)&gt;0,SUMIFS(T_StockCount[CountedQty],T_StockCount[RM_Code],$A100,T_StockCount[WeekIndex],101),IF((COUNTIFS(T_SelfStock[RM_Code],$A100,T_SelfStock[WeekIndex],101)&gt;0)*(COUNTIFS(T_TTAFStock[RM_Code],$A100,T_TTAFStock[WeekIndex],101)&gt;0)&gt;0,SUMIFS(T_SelfStock[Self_Qty],T_SelfStock[RM_Code],$A100,T_SelfStock[WeekIndex],101)+SUMIFS(T_TTAFStock[TTAF_Qty],T_TTAFStock[RM_Code],$A100,T_TTAFStock[WeekIndex],101),CW100+'Grid_Incoming'!CX100-'Grid_Requirement'!CX100))</f>
        <v/>
      </c>
      <c r="CY100">
        <f>IF(COUNTIFS(T_StockCount[RM_Code],$A100,T_StockCount[WeekIndex],102)&gt;0,SUMIFS(T_StockCount[CountedQty],T_StockCount[RM_Code],$A100,T_StockCount[WeekIndex],102),IF((COUNTIFS(T_SelfStock[RM_Code],$A100,T_SelfStock[WeekIndex],102)&gt;0)*(COUNTIFS(T_TTAFStock[RM_Code],$A100,T_TTAFStock[WeekIndex],102)&gt;0)&gt;0,SUMIFS(T_SelfStock[Self_Qty],T_SelfStock[RM_Code],$A100,T_SelfStock[WeekIndex],102)+SUMIFS(T_TTAFStock[TTAF_Qty],T_TTAFStock[RM_Code],$A100,T_TTAFStock[WeekIndex],102),CX100+'Grid_Incoming'!CY100-'Grid_Requirement'!CY100))</f>
        <v/>
      </c>
      <c r="CZ100">
        <f>IF(COUNTIFS(T_StockCount[RM_Code],$A100,T_StockCount[WeekIndex],103)&gt;0,SUMIFS(T_StockCount[CountedQty],T_StockCount[RM_Code],$A100,T_StockCount[WeekIndex],103),IF((COUNTIFS(T_SelfStock[RM_Code],$A100,T_SelfStock[WeekIndex],103)&gt;0)*(COUNTIFS(T_TTAFStock[RM_Code],$A100,T_TTAFStock[WeekIndex],103)&gt;0)&gt;0,SUMIFS(T_SelfStock[Self_Qty],T_SelfStock[RM_Code],$A100,T_SelfStock[WeekIndex],103)+SUMIFS(T_TTAFStock[TTAF_Qty],T_TTAFStock[RM_Code],$A100,T_TTAFStock[WeekIndex],103),CY100+'Grid_Incoming'!CZ100-'Grid_Requirement'!CZ100))</f>
        <v/>
      </c>
      <c r="DA100">
        <f>IF(COUNTIFS(T_StockCount[RM_Code],$A100,T_StockCount[WeekIndex],104)&gt;0,SUMIFS(T_StockCount[CountedQty],T_StockCount[RM_Code],$A100,T_StockCount[WeekIndex],104),IF((COUNTIFS(T_SelfStock[RM_Code],$A100,T_SelfStock[WeekIndex],104)&gt;0)*(COUNTIFS(T_TTAFStock[RM_Code],$A100,T_TTAFStock[WeekIndex],104)&gt;0)&gt;0,SUMIFS(T_SelfStock[Self_Qty],T_SelfStock[RM_Code],$A100,T_SelfStock[WeekIndex],104)+SUMIFS(T_TTAFStock[TTAF_Qty],T_TTAFStock[RM_Code],$A100,T_TTAFStock[WeekIndex],104),CZ100+'Grid_Incoming'!DA100-'Grid_Requirement'!DA100))</f>
        <v/>
      </c>
    </row>
    <row r="101">
      <c r="A101" t="inlineStr">
        <is>
          <t>CHEM-1090</t>
        </is>
      </c>
      <c r="B101">
        <f>IF(COUNTIFS(T_StockCount[RM_Code],$A101,T_StockCount[WeekIndex],1)&gt;0,SUMIFS(T_StockCount[CountedQty],T_StockCount[RM_Code],$A101,T_StockCount[WeekIndex],1),IF((COUNTIFS(T_SelfStock[RM_Code],$A101,T_SelfStock[WeekIndex],1)&gt;0)*(COUNTIFS(T_TTAFStock[RM_Code],$A101,T_TTAFStock[WeekIndex],1)&gt;0)&gt;0,SUMIFS(T_SelfStock[Self_Qty],T_SelfStock[RM_Code],$A101,T_SelfStock[WeekIndex],1)+SUMIFS(T_TTAFStock[TTAF_Qty],T_TTAFStock[RM_Code],$A101,T_TTAFStock[WeekIndex],1),IFERROR(INDEX(T_OpeningStock[Opening_Qty],MATCH($A101,T_OpeningStock[RM_Code],0)),0)+'Grid_Incoming'!B101-'Grid_Requirement'!B101))</f>
        <v/>
      </c>
      <c r="C101">
        <f>IF(COUNTIFS(T_StockCount[RM_Code],$A101,T_StockCount[WeekIndex],2)&gt;0,SUMIFS(T_StockCount[CountedQty],T_StockCount[RM_Code],$A101,T_StockCount[WeekIndex],2),IF((COUNTIFS(T_SelfStock[RM_Code],$A101,T_SelfStock[WeekIndex],2)&gt;0)*(COUNTIFS(T_TTAFStock[RM_Code],$A101,T_TTAFStock[WeekIndex],2)&gt;0)&gt;0,SUMIFS(T_SelfStock[Self_Qty],T_SelfStock[RM_Code],$A101,T_SelfStock[WeekIndex],2)+SUMIFS(T_TTAFStock[TTAF_Qty],T_TTAFStock[RM_Code],$A101,T_TTAFStock[WeekIndex],2),B101+'Grid_Incoming'!C101-'Grid_Requirement'!C101))</f>
        <v/>
      </c>
      <c r="D101">
        <f>IF(COUNTIFS(T_StockCount[RM_Code],$A101,T_StockCount[WeekIndex],3)&gt;0,SUMIFS(T_StockCount[CountedQty],T_StockCount[RM_Code],$A101,T_StockCount[WeekIndex],3),IF((COUNTIFS(T_SelfStock[RM_Code],$A101,T_SelfStock[WeekIndex],3)&gt;0)*(COUNTIFS(T_TTAFStock[RM_Code],$A101,T_TTAFStock[WeekIndex],3)&gt;0)&gt;0,SUMIFS(T_SelfStock[Self_Qty],T_SelfStock[RM_Code],$A101,T_SelfStock[WeekIndex],3)+SUMIFS(T_TTAFStock[TTAF_Qty],T_TTAFStock[RM_Code],$A101,T_TTAFStock[WeekIndex],3),C101+'Grid_Incoming'!D101-'Grid_Requirement'!D101))</f>
        <v/>
      </c>
      <c r="E101">
        <f>IF(COUNTIFS(T_StockCount[RM_Code],$A101,T_StockCount[WeekIndex],4)&gt;0,SUMIFS(T_StockCount[CountedQty],T_StockCount[RM_Code],$A101,T_StockCount[WeekIndex],4),IF((COUNTIFS(T_SelfStock[RM_Code],$A101,T_SelfStock[WeekIndex],4)&gt;0)*(COUNTIFS(T_TTAFStock[RM_Code],$A101,T_TTAFStock[WeekIndex],4)&gt;0)&gt;0,SUMIFS(T_SelfStock[Self_Qty],T_SelfStock[RM_Code],$A101,T_SelfStock[WeekIndex],4)+SUMIFS(T_TTAFStock[TTAF_Qty],T_TTAFStock[RM_Code],$A101,T_TTAFStock[WeekIndex],4),D101+'Grid_Incoming'!E101-'Grid_Requirement'!E101))</f>
        <v/>
      </c>
      <c r="F101">
        <f>IF(COUNTIFS(T_StockCount[RM_Code],$A101,T_StockCount[WeekIndex],5)&gt;0,SUMIFS(T_StockCount[CountedQty],T_StockCount[RM_Code],$A101,T_StockCount[WeekIndex],5),IF((COUNTIFS(T_SelfStock[RM_Code],$A101,T_SelfStock[WeekIndex],5)&gt;0)*(COUNTIFS(T_TTAFStock[RM_Code],$A101,T_TTAFStock[WeekIndex],5)&gt;0)&gt;0,SUMIFS(T_SelfStock[Self_Qty],T_SelfStock[RM_Code],$A101,T_SelfStock[WeekIndex],5)+SUMIFS(T_TTAFStock[TTAF_Qty],T_TTAFStock[RM_Code],$A101,T_TTAFStock[WeekIndex],5),E101+'Grid_Incoming'!F101-'Grid_Requirement'!F101))</f>
        <v/>
      </c>
      <c r="G101">
        <f>IF(COUNTIFS(T_StockCount[RM_Code],$A101,T_StockCount[WeekIndex],6)&gt;0,SUMIFS(T_StockCount[CountedQty],T_StockCount[RM_Code],$A101,T_StockCount[WeekIndex],6),IF((COUNTIFS(T_SelfStock[RM_Code],$A101,T_SelfStock[WeekIndex],6)&gt;0)*(COUNTIFS(T_TTAFStock[RM_Code],$A101,T_TTAFStock[WeekIndex],6)&gt;0)&gt;0,SUMIFS(T_SelfStock[Self_Qty],T_SelfStock[RM_Code],$A101,T_SelfStock[WeekIndex],6)+SUMIFS(T_TTAFStock[TTAF_Qty],T_TTAFStock[RM_Code],$A101,T_TTAFStock[WeekIndex],6),F101+'Grid_Incoming'!G101-'Grid_Requirement'!G101))</f>
        <v/>
      </c>
      <c r="H101">
        <f>IF(COUNTIFS(T_StockCount[RM_Code],$A101,T_StockCount[WeekIndex],7)&gt;0,SUMIFS(T_StockCount[CountedQty],T_StockCount[RM_Code],$A101,T_StockCount[WeekIndex],7),IF((COUNTIFS(T_SelfStock[RM_Code],$A101,T_SelfStock[WeekIndex],7)&gt;0)*(COUNTIFS(T_TTAFStock[RM_Code],$A101,T_TTAFStock[WeekIndex],7)&gt;0)&gt;0,SUMIFS(T_SelfStock[Self_Qty],T_SelfStock[RM_Code],$A101,T_SelfStock[WeekIndex],7)+SUMIFS(T_TTAFStock[TTAF_Qty],T_TTAFStock[RM_Code],$A101,T_TTAFStock[WeekIndex],7),G101+'Grid_Incoming'!H101-'Grid_Requirement'!H101))</f>
        <v/>
      </c>
      <c r="I101">
        <f>IF(COUNTIFS(T_StockCount[RM_Code],$A101,T_StockCount[WeekIndex],8)&gt;0,SUMIFS(T_StockCount[CountedQty],T_StockCount[RM_Code],$A101,T_StockCount[WeekIndex],8),IF((COUNTIFS(T_SelfStock[RM_Code],$A101,T_SelfStock[WeekIndex],8)&gt;0)*(COUNTIFS(T_TTAFStock[RM_Code],$A101,T_TTAFStock[WeekIndex],8)&gt;0)&gt;0,SUMIFS(T_SelfStock[Self_Qty],T_SelfStock[RM_Code],$A101,T_SelfStock[WeekIndex],8)+SUMIFS(T_TTAFStock[TTAF_Qty],T_TTAFStock[RM_Code],$A101,T_TTAFStock[WeekIndex],8),H101+'Grid_Incoming'!I101-'Grid_Requirement'!I101))</f>
        <v/>
      </c>
      <c r="J101">
        <f>IF(COUNTIFS(T_StockCount[RM_Code],$A101,T_StockCount[WeekIndex],9)&gt;0,SUMIFS(T_StockCount[CountedQty],T_StockCount[RM_Code],$A101,T_StockCount[WeekIndex],9),IF((COUNTIFS(T_SelfStock[RM_Code],$A101,T_SelfStock[WeekIndex],9)&gt;0)*(COUNTIFS(T_TTAFStock[RM_Code],$A101,T_TTAFStock[WeekIndex],9)&gt;0)&gt;0,SUMIFS(T_SelfStock[Self_Qty],T_SelfStock[RM_Code],$A101,T_SelfStock[WeekIndex],9)+SUMIFS(T_TTAFStock[TTAF_Qty],T_TTAFStock[RM_Code],$A101,T_TTAFStock[WeekIndex],9),I101+'Grid_Incoming'!J101-'Grid_Requirement'!J101))</f>
        <v/>
      </c>
      <c r="K101">
        <f>IF(COUNTIFS(T_StockCount[RM_Code],$A101,T_StockCount[WeekIndex],10)&gt;0,SUMIFS(T_StockCount[CountedQty],T_StockCount[RM_Code],$A101,T_StockCount[WeekIndex],10),IF((COUNTIFS(T_SelfStock[RM_Code],$A101,T_SelfStock[WeekIndex],10)&gt;0)*(COUNTIFS(T_TTAFStock[RM_Code],$A101,T_TTAFStock[WeekIndex],10)&gt;0)&gt;0,SUMIFS(T_SelfStock[Self_Qty],T_SelfStock[RM_Code],$A101,T_SelfStock[WeekIndex],10)+SUMIFS(T_TTAFStock[TTAF_Qty],T_TTAFStock[RM_Code],$A101,T_TTAFStock[WeekIndex],10),J101+'Grid_Incoming'!K101-'Grid_Requirement'!K101))</f>
        <v/>
      </c>
      <c r="L101">
        <f>IF(COUNTIFS(T_StockCount[RM_Code],$A101,T_StockCount[WeekIndex],11)&gt;0,SUMIFS(T_StockCount[CountedQty],T_StockCount[RM_Code],$A101,T_StockCount[WeekIndex],11),IF((COUNTIFS(T_SelfStock[RM_Code],$A101,T_SelfStock[WeekIndex],11)&gt;0)*(COUNTIFS(T_TTAFStock[RM_Code],$A101,T_TTAFStock[WeekIndex],11)&gt;0)&gt;0,SUMIFS(T_SelfStock[Self_Qty],T_SelfStock[RM_Code],$A101,T_SelfStock[WeekIndex],11)+SUMIFS(T_TTAFStock[TTAF_Qty],T_TTAFStock[RM_Code],$A101,T_TTAFStock[WeekIndex],11),K101+'Grid_Incoming'!L101-'Grid_Requirement'!L101))</f>
        <v/>
      </c>
      <c r="M101">
        <f>IF(COUNTIFS(T_StockCount[RM_Code],$A101,T_StockCount[WeekIndex],12)&gt;0,SUMIFS(T_StockCount[CountedQty],T_StockCount[RM_Code],$A101,T_StockCount[WeekIndex],12),IF((COUNTIFS(T_SelfStock[RM_Code],$A101,T_SelfStock[WeekIndex],12)&gt;0)*(COUNTIFS(T_TTAFStock[RM_Code],$A101,T_TTAFStock[WeekIndex],12)&gt;0)&gt;0,SUMIFS(T_SelfStock[Self_Qty],T_SelfStock[RM_Code],$A101,T_SelfStock[WeekIndex],12)+SUMIFS(T_TTAFStock[TTAF_Qty],T_TTAFStock[RM_Code],$A101,T_TTAFStock[WeekIndex],12),L101+'Grid_Incoming'!M101-'Grid_Requirement'!M101))</f>
        <v/>
      </c>
      <c r="N101">
        <f>IF(COUNTIFS(T_StockCount[RM_Code],$A101,T_StockCount[WeekIndex],13)&gt;0,SUMIFS(T_StockCount[CountedQty],T_StockCount[RM_Code],$A101,T_StockCount[WeekIndex],13),IF((COUNTIFS(T_SelfStock[RM_Code],$A101,T_SelfStock[WeekIndex],13)&gt;0)*(COUNTIFS(T_TTAFStock[RM_Code],$A101,T_TTAFStock[WeekIndex],13)&gt;0)&gt;0,SUMIFS(T_SelfStock[Self_Qty],T_SelfStock[RM_Code],$A101,T_SelfStock[WeekIndex],13)+SUMIFS(T_TTAFStock[TTAF_Qty],T_TTAFStock[RM_Code],$A101,T_TTAFStock[WeekIndex],13),M101+'Grid_Incoming'!N101-'Grid_Requirement'!N101))</f>
        <v/>
      </c>
      <c r="O101">
        <f>IF(COUNTIFS(T_StockCount[RM_Code],$A101,T_StockCount[WeekIndex],14)&gt;0,SUMIFS(T_StockCount[CountedQty],T_StockCount[RM_Code],$A101,T_StockCount[WeekIndex],14),IF((COUNTIFS(T_SelfStock[RM_Code],$A101,T_SelfStock[WeekIndex],14)&gt;0)*(COUNTIFS(T_TTAFStock[RM_Code],$A101,T_TTAFStock[WeekIndex],14)&gt;0)&gt;0,SUMIFS(T_SelfStock[Self_Qty],T_SelfStock[RM_Code],$A101,T_SelfStock[WeekIndex],14)+SUMIFS(T_TTAFStock[TTAF_Qty],T_TTAFStock[RM_Code],$A101,T_TTAFStock[WeekIndex],14),N101+'Grid_Incoming'!O101-'Grid_Requirement'!O101))</f>
        <v/>
      </c>
      <c r="P101">
        <f>IF(COUNTIFS(T_StockCount[RM_Code],$A101,T_StockCount[WeekIndex],15)&gt;0,SUMIFS(T_StockCount[CountedQty],T_StockCount[RM_Code],$A101,T_StockCount[WeekIndex],15),IF((COUNTIFS(T_SelfStock[RM_Code],$A101,T_SelfStock[WeekIndex],15)&gt;0)*(COUNTIFS(T_TTAFStock[RM_Code],$A101,T_TTAFStock[WeekIndex],15)&gt;0)&gt;0,SUMIFS(T_SelfStock[Self_Qty],T_SelfStock[RM_Code],$A101,T_SelfStock[WeekIndex],15)+SUMIFS(T_TTAFStock[TTAF_Qty],T_TTAFStock[RM_Code],$A101,T_TTAFStock[WeekIndex],15),O101+'Grid_Incoming'!P101-'Grid_Requirement'!P101))</f>
        <v/>
      </c>
      <c r="Q101">
        <f>IF(COUNTIFS(T_StockCount[RM_Code],$A101,T_StockCount[WeekIndex],16)&gt;0,SUMIFS(T_StockCount[CountedQty],T_StockCount[RM_Code],$A101,T_StockCount[WeekIndex],16),IF((COUNTIFS(T_SelfStock[RM_Code],$A101,T_SelfStock[WeekIndex],16)&gt;0)*(COUNTIFS(T_TTAFStock[RM_Code],$A101,T_TTAFStock[WeekIndex],16)&gt;0)&gt;0,SUMIFS(T_SelfStock[Self_Qty],T_SelfStock[RM_Code],$A101,T_SelfStock[WeekIndex],16)+SUMIFS(T_TTAFStock[TTAF_Qty],T_TTAFStock[RM_Code],$A101,T_TTAFStock[WeekIndex],16),P101+'Grid_Incoming'!Q101-'Grid_Requirement'!Q101))</f>
        <v/>
      </c>
      <c r="R101">
        <f>IF(COUNTIFS(T_StockCount[RM_Code],$A101,T_StockCount[WeekIndex],17)&gt;0,SUMIFS(T_StockCount[CountedQty],T_StockCount[RM_Code],$A101,T_StockCount[WeekIndex],17),IF((COUNTIFS(T_SelfStock[RM_Code],$A101,T_SelfStock[WeekIndex],17)&gt;0)*(COUNTIFS(T_TTAFStock[RM_Code],$A101,T_TTAFStock[WeekIndex],17)&gt;0)&gt;0,SUMIFS(T_SelfStock[Self_Qty],T_SelfStock[RM_Code],$A101,T_SelfStock[WeekIndex],17)+SUMIFS(T_TTAFStock[TTAF_Qty],T_TTAFStock[RM_Code],$A101,T_TTAFStock[WeekIndex],17),Q101+'Grid_Incoming'!R101-'Grid_Requirement'!R101))</f>
        <v/>
      </c>
      <c r="S101">
        <f>IF(COUNTIFS(T_StockCount[RM_Code],$A101,T_StockCount[WeekIndex],18)&gt;0,SUMIFS(T_StockCount[CountedQty],T_StockCount[RM_Code],$A101,T_StockCount[WeekIndex],18),IF((COUNTIFS(T_SelfStock[RM_Code],$A101,T_SelfStock[WeekIndex],18)&gt;0)*(COUNTIFS(T_TTAFStock[RM_Code],$A101,T_TTAFStock[WeekIndex],18)&gt;0)&gt;0,SUMIFS(T_SelfStock[Self_Qty],T_SelfStock[RM_Code],$A101,T_SelfStock[WeekIndex],18)+SUMIFS(T_TTAFStock[TTAF_Qty],T_TTAFStock[RM_Code],$A101,T_TTAFStock[WeekIndex],18),R101+'Grid_Incoming'!S101-'Grid_Requirement'!S101))</f>
        <v/>
      </c>
      <c r="T101">
        <f>IF(COUNTIFS(T_StockCount[RM_Code],$A101,T_StockCount[WeekIndex],19)&gt;0,SUMIFS(T_StockCount[CountedQty],T_StockCount[RM_Code],$A101,T_StockCount[WeekIndex],19),IF((COUNTIFS(T_SelfStock[RM_Code],$A101,T_SelfStock[WeekIndex],19)&gt;0)*(COUNTIFS(T_TTAFStock[RM_Code],$A101,T_TTAFStock[WeekIndex],19)&gt;0)&gt;0,SUMIFS(T_SelfStock[Self_Qty],T_SelfStock[RM_Code],$A101,T_SelfStock[WeekIndex],19)+SUMIFS(T_TTAFStock[TTAF_Qty],T_TTAFStock[RM_Code],$A101,T_TTAFStock[WeekIndex],19),S101+'Grid_Incoming'!T101-'Grid_Requirement'!T101))</f>
        <v/>
      </c>
      <c r="U101">
        <f>IF(COUNTIFS(T_StockCount[RM_Code],$A101,T_StockCount[WeekIndex],20)&gt;0,SUMIFS(T_StockCount[CountedQty],T_StockCount[RM_Code],$A101,T_StockCount[WeekIndex],20),IF((COUNTIFS(T_SelfStock[RM_Code],$A101,T_SelfStock[WeekIndex],20)&gt;0)*(COUNTIFS(T_TTAFStock[RM_Code],$A101,T_TTAFStock[WeekIndex],20)&gt;0)&gt;0,SUMIFS(T_SelfStock[Self_Qty],T_SelfStock[RM_Code],$A101,T_SelfStock[WeekIndex],20)+SUMIFS(T_TTAFStock[TTAF_Qty],T_TTAFStock[RM_Code],$A101,T_TTAFStock[WeekIndex],20),T101+'Grid_Incoming'!U101-'Grid_Requirement'!U101))</f>
        <v/>
      </c>
      <c r="V101">
        <f>IF(COUNTIFS(T_StockCount[RM_Code],$A101,T_StockCount[WeekIndex],21)&gt;0,SUMIFS(T_StockCount[CountedQty],T_StockCount[RM_Code],$A101,T_StockCount[WeekIndex],21),IF((COUNTIFS(T_SelfStock[RM_Code],$A101,T_SelfStock[WeekIndex],21)&gt;0)*(COUNTIFS(T_TTAFStock[RM_Code],$A101,T_TTAFStock[WeekIndex],21)&gt;0)&gt;0,SUMIFS(T_SelfStock[Self_Qty],T_SelfStock[RM_Code],$A101,T_SelfStock[WeekIndex],21)+SUMIFS(T_TTAFStock[TTAF_Qty],T_TTAFStock[RM_Code],$A101,T_TTAFStock[WeekIndex],21),U101+'Grid_Incoming'!V101-'Grid_Requirement'!V101))</f>
        <v/>
      </c>
      <c r="W101">
        <f>IF(COUNTIFS(T_StockCount[RM_Code],$A101,T_StockCount[WeekIndex],22)&gt;0,SUMIFS(T_StockCount[CountedQty],T_StockCount[RM_Code],$A101,T_StockCount[WeekIndex],22),IF((COUNTIFS(T_SelfStock[RM_Code],$A101,T_SelfStock[WeekIndex],22)&gt;0)*(COUNTIFS(T_TTAFStock[RM_Code],$A101,T_TTAFStock[WeekIndex],22)&gt;0)&gt;0,SUMIFS(T_SelfStock[Self_Qty],T_SelfStock[RM_Code],$A101,T_SelfStock[WeekIndex],22)+SUMIFS(T_TTAFStock[TTAF_Qty],T_TTAFStock[RM_Code],$A101,T_TTAFStock[WeekIndex],22),V101+'Grid_Incoming'!W101-'Grid_Requirement'!W101))</f>
        <v/>
      </c>
      <c r="X101">
        <f>IF(COUNTIFS(T_StockCount[RM_Code],$A101,T_StockCount[WeekIndex],23)&gt;0,SUMIFS(T_StockCount[CountedQty],T_StockCount[RM_Code],$A101,T_StockCount[WeekIndex],23),IF((COUNTIFS(T_SelfStock[RM_Code],$A101,T_SelfStock[WeekIndex],23)&gt;0)*(COUNTIFS(T_TTAFStock[RM_Code],$A101,T_TTAFStock[WeekIndex],23)&gt;0)&gt;0,SUMIFS(T_SelfStock[Self_Qty],T_SelfStock[RM_Code],$A101,T_SelfStock[WeekIndex],23)+SUMIFS(T_TTAFStock[TTAF_Qty],T_TTAFStock[RM_Code],$A101,T_TTAFStock[WeekIndex],23),W101+'Grid_Incoming'!X101-'Grid_Requirement'!X101))</f>
        <v/>
      </c>
      <c r="Y101">
        <f>IF(COUNTIFS(T_StockCount[RM_Code],$A101,T_StockCount[WeekIndex],24)&gt;0,SUMIFS(T_StockCount[CountedQty],T_StockCount[RM_Code],$A101,T_StockCount[WeekIndex],24),IF((COUNTIFS(T_SelfStock[RM_Code],$A101,T_SelfStock[WeekIndex],24)&gt;0)*(COUNTIFS(T_TTAFStock[RM_Code],$A101,T_TTAFStock[WeekIndex],24)&gt;0)&gt;0,SUMIFS(T_SelfStock[Self_Qty],T_SelfStock[RM_Code],$A101,T_SelfStock[WeekIndex],24)+SUMIFS(T_TTAFStock[TTAF_Qty],T_TTAFStock[RM_Code],$A101,T_TTAFStock[WeekIndex],24),X101+'Grid_Incoming'!Y101-'Grid_Requirement'!Y101))</f>
        <v/>
      </c>
      <c r="Z101">
        <f>IF(COUNTIFS(T_StockCount[RM_Code],$A101,T_StockCount[WeekIndex],25)&gt;0,SUMIFS(T_StockCount[CountedQty],T_StockCount[RM_Code],$A101,T_StockCount[WeekIndex],25),IF((COUNTIFS(T_SelfStock[RM_Code],$A101,T_SelfStock[WeekIndex],25)&gt;0)*(COUNTIFS(T_TTAFStock[RM_Code],$A101,T_TTAFStock[WeekIndex],25)&gt;0)&gt;0,SUMIFS(T_SelfStock[Self_Qty],T_SelfStock[RM_Code],$A101,T_SelfStock[WeekIndex],25)+SUMIFS(T_TTAFStock[TTAF_Qty],T_TTAFStock[RM_Code],$A101,T_TTAFStock[WeekIndex],25),Y101+'Grid_Incoming'!Z101-'Grid_Requirement'!Z101))</f>
        <v/>
      </c>
      <c r="AA101">
        <f>IF(COUNTIFS(T_StockCount[RM_Code],$A101,T_StockCount[WeekIndex],26)&gt;0,SUMIFS(T_StockCount[CountedQty],T_StockCount[RM_Code],$A101,T_StockCount[WeekIndex],26),IF((COUNTIFS(T_SelfStock[RM_Code],$A101,T_SelfStock[WeekIndex],26)&gt;0)*(COUNTIFS(T_TTAFStock[RM_Code],$A101,T_TTAFStock[WeekIndex],26)&gt;0)&gt;0,SUMIFS(T_SelfStock[Self_Qty],T_SelfStock[RM_Code],$A101,T_SelfStock[WeekIndex],26)+SUMIFS(T_TTAFStock[TTAF_Qty],T_TTAFStock[RM_Code],$A101,T_TTAFStock[WeekIndex],26),Z101+'Grid_Incoming'!AA101-'Grid_Requirement'!AA101))</f>
        <v/>
      </c>
      <c r="AB101">
        <f>IF(COUNTIFS(T_StockCount[RM_Code],$A101,T_StockCount[WeekIndex],27)&gt;0,SUMIFS(T_StockCount[CountedQty],T_StockCount[RM_Code],$A101,T_StockCount[WeekIndex],27),IF((COUNTIFS(T_SelfStock[RM_Code],$A101,T_SelfStock[WeekIndex],27)&gt;0)*(COUNTIFS(T_TTAFStock[RM_Code],$A101,T_TTAFStock[WeekIndex],27)&gt;0)&gt;0,SUMIFS(T_SelfStock[Self_Qty],T_SelfStock[RM_Code],$A101,T_SelfStock[WeekIndex],27)+SUMIFS(T_TTAFStock[TTAF_Qty],T_TTAFStock[RM_Code],$A101,T_TTAFStock[WeekIndex],27),AA101+'Grid_Incoming'!AB101-'Grid_Requirement'!AB101))</f>
        <v/>
      </c>
      <c r="AC101">
        <f>IF(COUNTIFS(T_StockCount[RM_Code],$A101,T_StockCount[WeekIndex],28)&gt;0,SUMIFS(T_StockCount[CountedQty],T_StockCount[RM_Code],$A101,T_StockCount[WeekIndex],28),IF((COUNTIFS(T_SelfStock[RM_Code],$A101,T_SelfStock[WeekIndex],28)&gt;0)*(COUNTIFS(T_TTAFStock[RM_Code],$A101,T_TTAFStock[WeekIndex],28)&gt;0)&gt;0,SUMIFS(T_SelfStock[Self_Qty],T_SelfStock[RM_Code],$A101,T_SelfStock[WeekIndex],28)+SUMIFS(T_TTAFStock[TTAF_Qty],T_TTAFStock[RM_Code],$A101,T_TTAFStock[WeekIndex],28),AB101+'Grid_Incoming'!AC101-'Grid_Requirement'!AC101))</f>
        <v/>
      </c>
      <c r="AD101">
        <f>IF(COUNTIFS(T_StockCount[RM_Code],$A101,T_StockCount[WeekIndex],29)&gt;0,SUMIFS(T_StockCount[CountedQty],T_StockCount[RM_Code],$A101,T_StockCount[WeekIndex],29),IF((COUNTIFS(T_SelfStock[RM_Code],$A101,T_SelfStock[WeekIndex],29)&gt;0)*(COUNTIFS(T_TTAFStock[RM_Code],$A101,T_TTAFStock[WeekIndex],29)&gt;0)&gt;0,SUMIFS(T_SelfStock[Self_Qty],T_SelfStock[RM_Code],$A101,T_SelfStock[WeekIndex],29)+SUMIFS(T_TTAFStock[TTAF_Qty],T_TTAFStock[RM_Code],$A101,T_TTAFStock[WeekIndex],29),AC101+'Grid_Incoming'!AD101-'Grid_Requirement'!AD101))</f>
        <v/>
      </c>
      <c r="AE101">
        <f>IF(COUNTIFS(T_StockCount[RM_Code],$A101,T_StockCount[WeekIndex],30)&gt;0,SUMIFS(T_StockCount[CountedQty],T_StockCount[RM_Code],$A101,T_StockCount[WeekIndex],30),IF((COUNTIFS(T_SelfStock[RM_Code],$A101,T_SelfStock[WeekIndex],30)&gt;0)*(COUNTIFS(T_TTAFStock[RM_Code],$A101,T_TTAFStock[WeekIndex],30)&gt;0)&gt;0,SUMIFS(T_SelfStock[Self_Qty],T_SelfStock[RM_Code],$A101,T_SelfStock[WeekIndex],30)+SUMIFS(T_TTAFStock[TTAF_Qty],T_TTAFStock[RM_Code],$A101,T_TTAFStock[WeekIndex],30),AD101+'Grid_Incoming'!AE101-'Grid_Requirement'!AE101))</f>
        <v/>
      </c>
      <c r="AF101">
        <f>IF(COUNTIFS(T_StockCount[RM_Code],$A101,T_StockCount[WeekIndex],31)&gt;0,SUMIFS(T_StockCount[CountedQty],T_StockCount[RM_Code],$A101,T_StockCount[WeekIndex],31),IF((COUNTIFS(T_SelfStock[RM_Code],$A101,T_SelfStock[WeekIndex],31)&gt;0)*(COUNTIFS(T_TTAFStock[RM_Code],$A101,T_TTAFStock[WeekIndex],31)&gt;0)&gt;0,SUMIFS(T_SelfStock[Self_Qty],T_SelfStock[RM_Code],$A101,T_SelfStock[WeekIndex],31)+SUMIFS(T_TTAFStock[TTAF_Qty],T_TTAFStock[RM_Code],$A101,T_TTAFStock[WeekIndex],31),AE101+'Grid_Incoming'!AF101-'Grid_Requirement'!AF101))</f>
        <v/>
      </c>
      <c r="AG101">
        <f>IF(COUNTIFS(T_StockCount[RM_Code],$A101,T_StockCount[WeekIndex],32)&gt;0,SUMIFS(T_StockCount[CountedQty],T_StockCount[RM_Code],$A101,T_StockCount[WeekIndex],32),IF((COUNTIFS(T_SelfStock[RM_Code],$A101,T_SelfStock[WeekIndex],32)&gt;0)*(COUNTIFS(T_TTAFStock[RM_Code],$A101,T_TTAFStock[WeekIndex],32)&gt;0)&gt;0,SUMIFS(T_SelfStock[Self_Qty],T_SelfStock[RM_Code],$A101,T_SelfStock[WeekIndex],32)+SUMIFS(T_TTAFStock[TTAF_Qty],T_TTAFStock[RM_Code],$A101,T_TTAFStock[WeekIndex],32),AF101+'Grid_Incoming'!AG101-'Grid_Requirement'!AG101))</f>
        <v/>
      </c>
      <c r="AH101">
        <f>IF(COUNTIFS(T_StockCount[RM_Code],$A101,T_StockCount[WeekIndex],33)&gt;0,SUMIFS(T_StockCount[CountedQty],T_StockCount[RM_Code],$A101,T_StockCount[WeekIndex],33),IF((COUNTIFS(T_SelfStock[RM_Code],$A101,T_SelfStock[WeekIndex],33)&gt;0)*(COUNTIFS(T_TTAFStock[RM_Code],$A101,T_TTAFStock[WeekIndex],33)&gt;0)&gt;0,SUMIFS(T_SelfStock[Self_Qty],T_SelfStock[RM_Code],$A101,T_SelfStock[WeekIndex],33)+SUMIFS(T_TTAFStock[TTAF_Qty],T_TTAFStock[RM_Code],$A101,T_TTAFStock[WeekIndex],33),AG101+'Grid_Incoming'!AH101-'Grid_Requirement'!AH101))</f>
        <v/>
      </c>
      <c r="AI101">
        <f>IF(COUNTIFS(T_StockCount[RM_Code],$A101,T_StockCount[WeekIndex],34)&gt;0,SUMIFS(T_StockCount[CountedQty],T_StockCount[RM_Code],$A101,T_StockCount[WeekIndex],34),IF((COUNTIFS(T_SelfStock[RM_Code],$A101,T_SelfStock[WeekIndex],34)&gt;0)*(COUNTIFS(T_TTAFStock[RM_Code],$A101,T_TTAFStock[WeekIndex],34)&gt;0)&gt;0,SUMIFS(T_SelfStock[Self_Qty],T_SelfStock[RM_Code],$A101,T_SelfStock[WeekIndex],34)+SUMIFS(T_TTAFStock[TTAF_Qty],T_TTAFStock[RM_Code],$A101,T_TTAFStock[WeekIndex],34),AH101+'Grid_Incoming'!AI101-'Grid_Requirement'!AI101))</f>
        <v/>
      </c>
      <c r="AJ101">
        <f>IF(COUNTIFS(T_StockCount[RM_Code],$A101,T_StockCount[WeekIndex],35)&gt;0,SUMIFS(T_StockCount[CountedQty],T_StockCount[RM_Code],$A101,T_StockCount[WeekIndex],35),IF((COUNTIFS(T_SelfStock[RM_Code],$A101,T_SelfStock[WeekIndex],35)&gt;0)*(COUNTIFS(T_TTAFStock[RM_Code],$A101,T_TTAFStock[WeekIndex],35)&gt;0)&gt;0,SUMIFS(T_SelfStock[Self_Qty],T_SelfStock[RM_Code],$A101,T_SelfStock[WeekIndex],35)+SUMIFS(T_TTAFStock[TTAF_Qty],T_TTAFStock[RM_Code],$A101,T_TTAFStock[WeekIndex],35),AI101+'Grid_Incoming'!AJ101-'Grid_Requirement'!AJ101))</f>
        <v/>
      </c>
      <c r="AK101">
        <f>IF(COUNTIFS(T_StockCount[RM_Code],$A101,T_StockCount[WeekIndex],36)&gt;0,SUMIFS(T_StockCount[CountedQty],T_StockCount[RM_Code],$A101,T_StockCount[WeekIndex],36),IF((COUNTIFS(T_SelfStock[RM_Code],$A101,T_SelfStock[WeekIndex],36)&gt;0)*(COUNTIFS(T_TTAFStock[RM_Code],$A101,T_TTAFStock[WeekIndex],36)&gt;0)&gt;0,SUMIFS(T_SelfStock[Self_Qty],T_SelfStock[RM_Code],$A101,T_SelfStock[WeekIndex],36)+SUMIFS(T_TTAFStock[TTAF_Qty],T_TTAFStock[RM_Code],$A101,T_TTAFStock[WeekIndex],36),AJ101+'Grid_Incoming'!AK101-'Grid_Requirement'!AK101))</f>
        <v/>
      </c>
      <c r="AL101">
        <f>IF(COUNTIFS(T_StockCount[RM_Code],$A101,T_StockCount[WeekIndex],37)&gt;0,SUMIFS(T_StockCount[CountedQty],T_StockCount[RM_Code],$A101,T_StockCount[WeekIndex],37),IF((COUNTIFS(T_SelfStock[RM_Code],$A101,T_SelfStock[WeekIndex],37)&gt;0)*(COUNTIFS(T_TTAFStock[RM_Code],$A101,T_TTAFStock[WeekIndex],37)&gt;0)&gt;0,SUMIFS(T_SelfStock[Self_Qty],T_SelfStock[RM_Code],$A101,T_SelfStock[WeekIndex],37)+SUMIFS(T_TTAFStock[TTAF_Qty],T_TTAFStock[RM_Code],$A101,T_TTAFStock[WeekIndex],37),AK101+'Grid_Incoming'!AL101-'Grid_Requirement'!AL101))</f>
        <v/>
      </c>
      <c r="AM101">
        <f>IF(COUNTIFS(T_StockCount[RM_Code],$A101,T_StockCount[WeekIndex],38)&gt;0,SUMIFS(T_StockCount[CountedQty],T_StockCount[RM_Code],$A101,T_StockCount[WeekIndex],38),IF((COUNTIFS(T_SelfStock[RM_Code],$A101,T_SelfStock[WeekIndex],38)&gt;0)*(COUNTIFS(T_TTAFStock[RM_Code],$A101,T_TTAFStock[WeekIndex],38)&gt;0)&gt;0,SUMIFS(T_SelfStock[Self_Qty],T_SelfStock[RM_Code],$A101,T_SelfStock[WeekIndex],38)+SUMIFS(T_TTAFStock[TTAF_Qty],T_TTAFStock[RM_Code],$A101,T_TTAFStock[WeekIndex],38),AL101+'Grid_Incoming'!AM101-'Grid_Requirement'!AM101))</f>
        <v/>
      </c>
      <c r="AN101">
        <f>IF(COUNTIFS(T_StockCount[RM_Code],$A101,T_StockCount[WeekIndex],39)&gt;0,SUMIFS(T_StockCount[CountedQty],T_StockCount[RM_Code],$A101,T_StockCount[WeekIndex],39),IF((COUNTIFS(T_SelfStock[RM_Code],$A101,T_SelfStock[WeekIndex],39)&gt;0)*(COUNTIFS(T_TTAFStock[RM_Code],$A101,T_TTAFStock[WeekIndex],39)&gt;0)&gt;0,SUMIFS(T_SelfStock[Self_Qty],T_SelfStock[RM_Code],$A101,T_SelfStock[WeekIndex],39)+SUMIFS(T_TTAFStock[TTAF_Qty],T_TTAFStock[RM_Code],$A101,T_TTAFStock[WeekIndex],39),AM101+'Grid_Incoming'!AN101-'Grid_Requirement'!AN101))</f>
        <v/>
      </c>
      <c r="AO101">
        <f>IF(COUNTIFS(T_StockCount[RM_Code],$A101,T_StockCount[WeekIndex],40)&gt;0,SUMIFS(T_StockCount[CountedQty],T_StockCount[RM_Code],$A101,T_StockCount[WeekIndex],40),IF((COUNTIFS(T_SelfStock[RM_Code],$A101,T_SelfStock[WeekIndex],40)&gt;0)*(COUNTIFS(T_TTAFStock[RM_Code],$A101,T_TTAFStock[WeekIndex],40)&gt;0)&gt;0,SUMIFS(T_SelfStock[Self_Qty],T_SelfStock[RM_Code],$A101,T_SelfStock[WeekIndex],40)+SUMIFS(T_TTAFStock[TTAF_Qty],T_TTAFStock[RM_Code],$A101,T_TTAFStock[WeekIndex],40),AN101+'Grid_Incoming'!AO101-'Grid_Requirement'!AO101))</f>
        <v/>
      </c>
      <c r="AP101">
        <f>IF(COUNTIFS(T_StockCount[RM_Code],$A101,T_StockCount[WeekIndex],41)&gt;0,SUMIFS(T_StockCount[CountedQty],T_StockCount[RM_Code],$A101,T_StockCount[WeekIndex],41),IF((COUNTIFS(T_SelfStock[RM_Code],$A101,T_SelfStock[WeekIndex],41)&gt;0)*(COUNTIFS(T_TTAFStock[RM_Code],$A101,T_TTAFStock[WeekIndex],41)&gt;0)&gt;0,SUMIFS(T_SelfStock[Self_Qty],T_SelfStock[RM_Code],$A101,T_SelfStock[WeekIndex],41)+SUMIFS(T_TTAFStock[TTAF_Qty],T_TTAFStock[RM_Code],$A101,T_TTAFStock[WeekIndex],41),AO101+'Grid_Incoming'!AP101-'Grid_Requirement'!AP101))</f>
        <v/>
      </c>
      <c r="AQ101">
        <f>IF(COUNTIFS(T_StockCount[RM_Code],$A101,T_StockCount[WeekIndex],42)&gt;0,SUMIFS(T_StockCount[CountedQty],T_StockCount[RM_Code],$A101,T_StockCount[WeekIndex],42),IF((COUNTIFS(T_SelfStock[RM_Code],$A101,T_SelfStock[WeekIndex],42)&gt;0)*(COUNTIFS(T_TTAFStock[RM_Code],$A101,T_TTAFStock[WeekIndex],42)&gt;0)&gt;0,SUMIFS(T_SelfStock[Self_Qty],T_SelfStock[RM_Code],$A101,T_SelfStock[WeekIndex],42)+SUMIFS(T_TTAFStock[TTAF_Qty],T_TTAFStock[RM_Code],$A101,T_TTAFStock[WeekIndex],42),AP101+'Grid_Incoming'!AQ101-'Grid_Requirement'!AQ101))</f>
        <v/>
      </c>
      <c r="AR101">
        <f>IF(COUNTIFS(T_StockCount[RM_Code],$A101,T_StockCount[WeekIndex],43)&gt;0,SUMIFS(T_StockCount[CountedQty],T_StockCount[RM_Code],$A101,T_StockCount[WeekIndex],43),IF((COUNTIFS(T_SelfStock[RM_Code],$A101,T_SelfStock[WeekIndex],43)&gt;0)*(COUNTIFS(T_TTAFStock[RM_Code],$A101,T_TTAFStock[WeekIndex],43)&gt;0)&gt;0,SUMIFS(T_SelfStock[Self_Qty],T_SelfStock[RM_Code],$A101,T_SelfStock[WeekIndex],43)+SUMIFS(T_TTAFStock[TTAF_Qty],T_TTAFStock[RM_Code],$A101,T_TTAFStock[WeekIndex],43),AQ101+'Grid_Incoming'!AR101-'Grid_Requirement'!AR101))</f>
        <v/>
      </c>
      <c r="AS101">
        <f>IF(COUNTIFS(T_StockCount[RM_Code],$A101,T_StockCount[WeekIndex],44)&gt;0,SUMIFS(T_StockCount[CountedQty],T_StockCount[RM_Code],$A101,T_StockCount[WeekIndex],44),IF((COUNTIFS(T_SelfStock[RM_Code],$A101,T_SelfStock[WeekIndex],44)&gt;0)*(COUNTIFS(T_TTAFStock[RM_Code],$A101,T_TTAFStock[WeekIndex],44)&gt;0)&gt;0,SUMIFS(T_SelfStock[Self_Qty],T_SelfStock[RM_Code],$A101,T_SelfStock[WeekIndex],44)+SUMIFS(T_TTAFStock[TTAF_Qty],T_TTAFStock[RM_Code],$A101,T_TTAFStock[WeekIndex],44),AR101+'Grid_Incoming'!AS101-'Grid_Requirement'!AS101))</f>
        <v/>
      </c>
      <c r="AT101">
        <f>IF(COUNTIFS(T_StockCount[RM_Code],$A101,T_StockCount[WeekIndex],45)&gt;0,SUMIFS(T_StockCount[CountedQty],T_StockCount[RM_Code],$A101,T_StockCount[WeekIndex],45),IF((COUNTIFS(T_SelfStock[RM_Code],$A101,T_SelfStock[WeekIndex],45)&gt;0)*(COUNTIFS(T_TTAFStock[RM_Code],$A101,T_TTAFStock[WeekIndex],45)&gt;0)&gt;0,SUMIFS(T_SelfStock[Self_Qty],T_SelfStock[RM_Code],$A101,T_SelfStock[WeekIndex],45)+SUMIFS(T_TTAFStock[TTAF_Qty],T_TTAFStock[RM_Code],$A101,T_TTAFStock[WeekIndex],45),AS101+'Grid_Incoming'!AT101-'Grid_Requirement'!AT101))</f>
        <v/>
      </c>
      <c r="AU101">
        <f>IF(COUNTIFS(T_StockCount[RM_Code],$A101,T_StockCount[WeekIndex],46)&gt;0,SUMIFS(T_StockCount[CountedQty],T_StockCount[RM_Code],$A101,T_StockCount[WeekIndex],46),IF((COUNTIFS(T_SelfStock[RM_Code],$A101,T_SelfStock[WeekIndex],46)&gt;0)*(COUNTIFS(T_TTAFStock[RM_Code],$A101,T_TTAFStock[WeekIndex],46)&gt;0)&gt;0,SUMIFS(T_SelfStock[Self_Qty],T_SelfStock[RM_Code],$A101,T_SelfStock[WeekIndex],46)+SUMIFS(T_TTAFStock[TTAF_Qty],T_TTAFStock[RM_Code],$A101,T_TTAFStock[WeekIndex],46),AT101+'Grid_Incoming'!AU101-'Grid_Requirement'!AU101))</f>
        <v/>
      </c>
      <c r="AV101">
        <f>IF(COUNTIFS(T_StockCount[RM_Code],$A101,T_StockCount[WeekIndex],47)&gt;0,SUMIFS(T_StockCount[CountedQty],T_StockCount[RM_Code],$A101,T_StockCount[WeekIndex],47),IF((COUNTIFS(T_SelfStock[RM_Code],$A101,T_SelfStock[WeekIndex],47)&gt;0)*(COUNTIFS(T_TTAFStock[RM_Code],$A101,T_TTAFStock[WeekIndex],47)&gt;0)&gt;0,SUMIFS(T_SelfStock[Self_Qty],T_SelfStock[RM_Code],$A101,T_SelfStock[WeekIndex],47)+SUMIFS(T_TTAFStock[TTAF_Qty],T_TTAFStock[RM_Code],$A101,T_TTAFStock[WeekIndex],47),AU101+'Grid_Incoming'!AV101-'Grid_Requirement'!AV101))</f>
        <v/>
      </c>
      <c r="AW101">
        <f>IF(COUNTIFS(T_StockCount[RM_Code],$A101,T_StockCount[WeekIndex],48)&gt;0,SUMIFS(T_StockCount[CountedQty],T_StockCount[RM_Code],$A101,T_StockCount[WeekIndex],48),IF((COUNTIFS(T_SelfStock[RM_Code],$A101,T_SelfStock[WeekIndex],48)&gt;0)*(COUNTIFS(T_TTAFStock[RM_Code],$A101,T_TTAFStock[WeekIndex],48)&gt;0)&gt;0,SUMIFS(T_SelfStock[Self_Qty],T_SelfStock[RM_Code],$A101,T_SelfStock[WeekIndex],48)+SUMIFS(T_TTAFStock[TTAF_Qty],T_TTAFStock[RM_Code],$A101,T_TTAFStock[WeekIndex],48),AV101+'Grid_Incoming'!AW101-'Grid_Requirement'!AW101))</f>
        <v/>
      </c>
      <c r="AX101">
        <f>IF(COUNTIFS(T_StockCount[RM_Code],$A101,T_StockCount[WeekIndex],49)&gt;0,SUMIFS(T_StockCount[CountedQty],T_StockCount[RM_Code],$A101,T_StockCount[WeekIndex],49),IF((COUNTIFS(T_SelfStock[RM_Code],$A101,T_SelfStock[WeekIndex],49)&gt;0)*(COUNTIFS(T_TTAFStock[RM_Code],$A101,T_TTAFStock[WeekIndex],49)&gt;0)&gt;0,SUMIFS(T_SelfStock[Self_Qty],T_SelfStock[RM_Code],$A101,T_SelfStock[WeekIndex],49)+SUMIFS(T_TTAFStock[TTAF_Qty],T_TTAFStock[RM_Code],$A101,T_TTAFStock[WeekIndex],49),AW101+'Grid_Incoming'!AX101-'Grid_Requirement'!AX101))</f>
        <v/>
      </c>
      <c r="AY101">
        <f>IF(COUNTIFS(T_StockCount[RM_Code],$A101,T_StockCount[WeekIndex],50)&gt;0,SUMIFS(T_StockCount[CountedQty],T_StockCount[RM_Code],$A101,T_StockCount[WeekIndex],50),IF((COUNTIFS(T_SelfStock[RM_Code],$A101,T_SelfStock[WeekIndex],50)&gt;0)*(COUNTIFS(T_TTAFStock[RM_Code],$A101,T_TTAFStock[WeekIndex],50)&gt;0)&gt;0,SUMIFS(T_SelfStock[Self_Qty],T_SelfStock[RM_Code],$A101,T_SelfStock[WeekIndex],50)+SUMIFS(T_TTAFStock[TTAF_Qty],T_TTAFStock[RM_Code],$A101,T_TTAFStock[WeekIndex],50),AX101+'Grid_Incoming'!AY101-'Grid_Requirement'!AY101))</f>
        <v/>
      </c>
      <c r="AZ101">
        <f>IF(COUNTIFS(T_StockCount[RM_Code],$A101,T_StockCount[WeekIndex],51)&gt;0,SUMIFS(T_StockCount[CountedQty],T_StockCount[RM_Code],$A101,T_StockCount[WeekIndex],51),IF((COUNTIFS(T_SelfStock[RM_Code],$A101,T_SelfStock[WeekIndex],51)&gt;0)*(COUNTIFS(T_TTAFStock[RM_Code],$A101,T_TTAFStock[WeekIndex],51)&gt;0)&gt;0,SUMIFS(T_SelfStock[Self_Qty],T_SelfStock[RM_Code],$A101,T_SelfStock[WeekIndex],51)+SUMIFS(T_TTAFStock[TTAF_Qty],T_TTAFStock[RM_Code],$A101,T_TTAFStock[WeekIndex],51),AY101+'Grid_Incoming'!AZ101-'Grid_Requirement'!AZ101))</f>
        <v/>
      </c>
      <c r="BA101">
        <f>IF(COUNTIFS(T_StockCount[RM_Code],$A101,T_StockCount[WeekIndex],52)&gt;0,SUMIFS(T_StockCount[CountedQty],T_StockCount[RM_Code],$A101,T_StockCount[WeekIndex],52),IF((COUNTIFS(T_SelfStock[RM_Code],$A101,T_SelfStock[WeekIndex],52)&gt;0)*(COUNTIFS(T_TTAFStock[RM_Code],$A101,T_TTAFStock[WeekIndex],52)&gt;0)&gt;0,SUMIFS(T_SelfStock[Self_Qty],T_SelfStock[RM_Code],$A101,T_SelfStock[WeekIndex],52)+SUMIFS(T_TTAFStock[TTAF_Qty],T_TTAFStock[RM_Code],$A101,T_TTAFStock[WeekIndex],52),AZ101+'Grid_Incoming'!BA101-'Grid_Requirement'!BA101))</f>
        <v/>
      </c>
      <c r="BB101">
        <f>IF(COUNTIFS(T_StockCount[RM_Code],$A101,T_StockCount[WeekIndex],53)&gt;0,SUMIFS(T_StockCount[CountedQty],T_StockCount[RM_Code],$A101,T_StockCount[WeekIndex],53),IF((COUNTIFS(T_SelfStock[RM_Code],$A101,T_SelfStock[WeekIndex],53)&gt;0)*(COUNTIFS(T_TTAFStock[RM_Code],$A101,T_TTAFStock[WeekIndex],53)&gt;0)&gt;0,SUMIFS(T_SelfStock[Self_Qty],T_SelfStock[RM_Code],$A101,T_SelfStock[WeekIndex],53)+SUMIFS(T_TTAFStock[TTAF_Qty],T_TTAFStock[RM_Code],$A101,T_TTAFStock[WeekIndex],53),BA101+'Grid_Incoming'!BB101-'Grid_Requirement'!BB101))</f>
        <v/>
      </c>
      <c r="BC101">
        <f>IF(COUNTIFS(T_StockCount[RM_Code],$A101,T_StockCount[WeekIndex],54)&gt;0,SUMIFS(T_StockCount[CountedQty],T_StockCount[RM_Code],$A101,T_StockCount[WeekIndex],54),IF((COUNTIFS(T_SelfStock[RM_Code],$A101,T_SelfStock[WeekIndex],54)&gt;0)*(COUNTIFS(T_TTAFStock[RM_Code],$A101,T_TTAFStock[WeekIndex],54)&gt;0)&gt;0,SUMIFS(T_SelfStock[Self_Qty],T_SelfStock[RM_Code],$A101,T_SelfStock[WeekIndex],54)+SUMIFS(T_TTAFStock[TTAF_Qty],T_TTAFStock[RM_Code],$A101,T_TTAFStock[WeekIndex],54),BB101+'Grid_Incoming'!BC101-'Grid_Requirement'!BC101))</f>
        <v/>
      </c>
      <c r="BD101">
        <f>IF(COUNTIFS(T_StockCount[RM_Code],$A101,T_StockCount[WeekIndex],55)&gt;0,SUMIFS(T_StockCount[CountedQty],T_StockCount[RM_Code],$A101,T_StockCount[WeekIndex],55),IF((COUNTIFS(T_SelfStock[RM_Code],$A101,T_SelfStock[WeekIndex],55)&gt;0)*(COUNTIFS(T_TTAFStock[RM_Code],$A101,T_TTAFStock[WeekIndex],55)&gt;0)&gt;0,SUMIFS(T_SelfStock[Self_Qty],T_SelfStock[RM_Code],$A101,T_SelfStock[WeekIndex],55)+SUMIFS(T_TTAFStock[TTAF_Qty],T_TTAFStock[RM_Code],$A101,T_TTAFStock[WeekIndex],55),BC101+'Grid_Incoming'!BD101-'Grid_Requirement'!BD101))</f>
        <v/>
      </c>
      <c r="BE101">
        <f>IF(COUNTIFS(T_StockCount[RM_Code],$A101,T_StockCount[WeekIndex],56)&gt;0,SUMIFS(T_StockCount[CountedQty],T_StockCount[RM_Code],$A101,T_StockCount[WeekIndex],56),IF((COUNTIFS(T_SelfStock[RM_Code],$A101,T_SelfStock[WeekIndex],56)&gt;0)*(COUNTIFS(T_TTAFStock[RM_Code],$A101,T_TTAFStock[WeekIndex],56)&gt;0)&gt;0,SUMIFS(T_SelfStock[Self_Qty],T_SelfStock[RM_Code],$A101,T_SelfStock[WeekIndex],56)+SUMIFS(T_TTAFStock[TTAF_Qty],T_TTAFStock[RM_Code],$A101,T_TTAFStock[WeekIndex],56),BD101+'Grid_Incoming'!BE101-'Grid_Requirement'!BE101))</f>
        <v/>
      </c>
      <c r="BF101">
        <f>IF(COUNTIFS(T_StockCount[RM_Code],$A101,T_StockCount[WeekIndex],57)&gt;0,SUMIFS(T_StockCount[CountedQty],T_StockCount[RM_Code],$A101,T_StockCount[WeekIndex],57),IF((COUNTIFS(T_SelfStock[RM_Code],$A101,T_SelfStock[WeekIndex],57)&gt;0)*(COUNTIFS(T_TTAFStock[RM_Code],$A101,T_TTAFStock[WeekIndex],57)&gt;0)&gt;0,SUMIFS(T_SelfStock[Self_Qty],T_SelfStock[RM_Code],$A101,T_SelfStock[WeekIndex],57)+SUMIFS(T_TTAFStock[TTAF_Qty],T_TTAFStock[RM_Code],$A101,T_TTAFStock[WeekIndex],57),BE101+'Grid_Incoming'!BF101-'Grid_Requirement'!BF101))</f>
        <v/>
      </c>
      <c r="BG101">
        <f>IF(COUNTIFS(T_StockCount[RM_Code],$A101,T_StockCount[WeekIndex],58)&gt;0,SUMIFS(T_StockCount[CountedQty],T_StockCount[RM_Code],$A101,T_StockCount[WeekIndex],58),IF((COUNTIFS(T_SelfStock[RM_Code],$A101,T_SelfStock[WeekIndex],58)&gt;0)*(COUNTIFS(T_TTAFStock[RM_Code],$A101,T_TTAFStock[WeekIndex],58)&gt;0)&gt;0,SUMIFS(T_SelfStock[Self_Qty],T_SelfStock[RM_Code],$A101,T_SelfStock[WeekIndex],58)+SUMIFS(T_TTAFStock[TTAF_Qty],T_TTAFStock[RM_Code],$A101,T_TTAFStock[WeekIndex],58),BF101+'Grid_Incoming'!BG101-'Grid_Requirement'!BG101))</f>
        <v/>
      </c>
      <c r="BH101">
        <f>IF(COUNTIFS(T_StockCount[RM_Code],$A101,T_StockCount[WeekIndex],59)&gt;0,SUMIFS(T_StockCount[CountedQty],T_StockCount[RM_Code],$A101,T_StockCount[WeekIndex],59),IF((COUNTIFS(T_SelfStock[RM_Code],$A101,T_SelfStock[WeekIndex],59)&gt;0)*(COUNTIFS(T_TTAFStock[RM_Code],$A101,T_TTAFStock[WeekIndex],59)&gt;0)&gt;0,SUMIFS(T_SelfStock[Self_Qty],T_SelfStock[RM_Code],$A101,T_SelfStock[WeekIndex],59)+SUMIFS(T_TTAFStock[TTAF_Qty],T_TTAFStock[RM_Code],$A101,T_TTAFStock[WeekIndex],59),BG101+'Grid_Incoming'!BH101-'Grid_Requirement'!BH101))</f>
        <v/>
      </c>
      <c r="BI101">
        <f>IF(COUNTIFS(T_StockCount[RM_Code],$A101,T_StockCount[WeekIndex],60)&gt;0,SUMIFS(T_StockCount[CountedQty],T_StockCount[RM_Code],$A101,T_StockCount[WeekIndex],60),IF((COUNTIFS(T_SelfStock[RM_Code],$A101,T_SelfStock[WeekIndex],60)&gt;0)*(COUNTIFS(T_TTAFStock[RM_Code],$A101,T_TTAFStock[WeekIndex],60)&gt;0)&gt;0,SUMIFS(T_SelfStock[Self_Qty],T_SelfStock[RM_Code],$A101,T_SelfStock[WeekIndex],60)+SUMIFS(T_TTAFStock[TTAF_Qty],T_TTAFStock[RM_Code],$A101,T_TTAFStock[WeekIndex],60),BH101+'Grid_Incoming'!BI101-'Grid_Requirement'!BI101))</f>
        <v/>
      </c>
      <c r="BJ101">
        <f>IF(COUNTIFS(T_StockCount[RM_Code],$A101,T_StockCount[WeekIndex],61)&gt;0,SUMIFS(T_StockCount[CountedQty],T_StockCount[RM_Code],$A101,T_StockCount[WeekIndex],61),IF((COUNTIFS(T_SelfStock[RM_Code],$A101,T_SelfStock[WeekIndex],61)&gt;0)*(COUNTIFS(T_TTAFStock[RM_Code],$A101,T_TTAFStock[WeekIndex],61)&gt;0)&gt;0,SUMIFS(T_SelfStock[Self_Qty],T_SelfStock[RM_Code],$A101,T_SelfStock[WeekIndex],61)+SUMIFS(T_TTAFStock[TTAF_Qty],T_TTAFStock[RM_Code],$A101,T_TTAFStock[WeekIndex],61),BI101+'Grid_Incoming'!BJ101-'Grid_Requirement'!BJ101))</f>
        <v/>
      </c>
      <c r="BK101">
        <f>IF(COUNTIFS(T_StockCount[RM_Code],$A101,T_StockCount[WeekIndex],62)&gt;0,SUMIFS(T_StockCount[CountedQty],T_StockCount[RM_Code],$A101,T_StockCount[WeekIndex],62),IF((COUNTIFS(T_SelfStock[RM_Code],$A101,T_SelfStock[WeekIndex],62)&gt;0)*(COUNTIFS(T_TTAFStock[RM_Code],$A101,T_TTAFStock[WeekIndex],62)&gt;0)&gt;0,SUMIFS(T_SelfStock[Self_Qty],T_SelfStock[RM_Code],$A101,T_SelfStock[WeekIndex],62)+SUMIFS(T_TTAFStock[TTAF_Qty],T_TTAFStock[RM_Code],$A101,T_TTAFStock[WeekIndex],62),BJ101+'Grid_Incoming'!BK101-'Grid_Requirement'!BK101))</f>
        <v/>
      </c>
      <c r="BL101">
        <f>IF(COUNTIFS(T_StockCount[RM_Code],$A101,T_StockCount[WeekIndex],63)&gt;0,SUMIFS(T_StockCount[CountedQty],T_StockCount[RM_Code],$A101,T_StockCount[WeekIndex],63),IF((COUNTIFS(T_SelfStock[RM_Code],$A101,T_SelfStock[WeekIndex],63)&gt;0)*(COUNTIFS(T_TTAFStock[RM_Code],$A101,T_TTAFStock[WeekIndex],63)&gt;0)&gt;0,SUMIFS(T_SelfStock[Self_Qty],T_SelfStock[RM_Code],$A101,T_SelfStock[WeekIndex],63)+SUMIFS(T_TTAFStock[TTAF_Qty],T_TTAFStock[RM_Code],$A101,T_TTAFStock[WeekIndex],63),BK101+'Grid_Incoming'!BL101-'Grid_Requirement'!BL101))</f>
        <v/>
      </c>
      <c r="BM101">
        <f>IF(COUNTIFS(T_StockCount[RM_Code],$A101,T_StockCount[WeekIndex],64)&gt;0,SUMIFS(T_StockCount[CountedQty],T_StockCount[RM_Code],$A101,T_StockCount[WeekIndex],64),IF((COUNTIFS(T_SelfStock[RM_Code],$A101,T_SelfStock[WeekIndex],64)&gt;0)*(COUNTIFS(T_TTAFStock[RM_Code],$A101,T_TTAFStock[WeekIndex],64)&gt;0)&gt;0,SUMIFS(T_SelfStock[Self_Qty],T_SelfStock[RM_Code],$A101,T_SelfStock[WeekIndex],64)+SUMIFS(T_TTAFStock[TTAF_Qty],T_TTAFStock[RM_Code],$A101,T_TTAFStock[WeekIndex],64),BL101+'Grid_Incoming'!BM101-'Grid_Requirement'!BM101))</f>
        <v/>
      </c>
      <c r="BN101">
        <f>IF(COUNTIFS(T_StockCount[RM_Code],$A101,T_StockCount[WeekIndex],65)&gt;0,SUMIFS(T_StockCount[CountedQty],T_StockCount[RM_Code],$A101,T_StockCount[WeekIndex],65),IF((COUNTIFS(T_SelfStock[RM_Code],$A101,T_SelfStock[WeekIndex],65)&gt;0)*(COUNTIFS(T_TTAFStock[RM_Code],$A101,T_TTAFStock[WeekIndex],65)&gt;0)&gt;0,SUMIFS(T_SelfStock[Self_Qty],T_SelfStock[RM_Code],$A101,T_SelfStock[WeekIndex],65)+SUMIFS(T_TTAFStock[TTAF_Qty],T_TTAFStock[RM_Code],$A101,T_TTAFStock[WeekIndex],65),BM101+'Grid_Incoming'!BN101-'Grid_Requirement'!BN101))</f>
        <v/>
      </c>
      <c r="BO101">
        <f>IF(COUNTIFS(T_StockCount[RM_Code],$A101,T_StockCount[WeekIndex],66)&gt;0,SUMIFS(T_StockCount[CountedQty],T_StockCount[RM_Code],$A101,T_StockCount[WeekIndex],66),IF((COUNTIFS(T_SelfStock[RM_Code],$A101,T_SelfStock[WeekIndex],66)&gt;0)*(COUNTIFS(T_TTAFStock[RM_Code],$A101,T_TTAFStock[WeekIndex],66)&gt;0)&gt;0,SUMIFS(T_SelfStock[Self_Qty],T_SelfStock[RM_Code],$A101,T_SelfStock[WeekIndex],66)+SUMIFS(T_TTAFStock[TTAF_Qty],T_TTAFStock[RM_Code],$A101,T_TTAFStock[WeekIndex],66),BN101+'Grid_Incoming'!BO101-'Grid_Requirement'!BO101))</f>
        <v/>
      </c>
      <c r="BP101">
        <f>IF(COUNTIFS(T_StockCount[RM_Code],$A101,T_StockCount[WeekIndex],67)&gt;0,SUMIFS(T_StockCount[CountedQty],T_StockCount[RM_Code],$A101,T_StockCount[WeekIndex],67),IF((COUNTIFS(T_SelfStock[RM_Code],$A101,T_SelfStock[WeekIndex],67)&gt;0)*(COUNTIFS(T_TTAFStock[RM_Code],$A101,T_TTAFStock[WeekIndex],67)&gt;0)&gt;0,SUMIFS(T_SelfStock[Self_Qty],T_SelfStock[RM_Code],$A101,T_SelfStock[WeekIndex],67)+SUMIFS(T_TTAFStock[TTAF_Qty],T_TTAFStock[RM_Code],$A101,T_TTAFStock[WeekIndex],67),BO101+'Grid_Incoming'!BP101-'Grid_Requirement'!BP101))</f>
        <v/>
      </c>
      <c r="BQ101">
        <f>IF(COUNTIFS(T_StockCount[RM_Code],$A101,T_StockCount[WeekIndex],68)&gt;0,SUMIFS(T_StockCount[CountedQty],T_StockCount[RM_Code],$A101,T_StockCount[WeekIndex],68),IF((COUNTIFS(T_SelfStock[RM_Code],$A101,T_SelfStock[WeekIndex],68)&gt;0)*(COUNTIFS(T_TTAFStock[RM_Code],$A101,T_TTAFStock[WeekIndex],68)&gt;0)&gt;0,SUMIFS(T_SelfStock[Self_Qty],T_SelfStock[RM_Code],$A101,T_SelfStock[WeekIndex],68)+SUMIFS(T_TTAFStock[TTAF_Qty],T_TTAFStock[RM_Code],$A101,T_TTAFStock[WeekIndex],68),BP101+'Grid_Incoming'!BQ101-'Grid_Requirement'!BQ101))</f>
        <v/>
      </c>
      <c r="BR101">
        <f>IF(COUNTIFS(T_StockCount[RM_Code],$A101,T_StockCount[WeekIndex],69)&gt;0,SUMIFS(T_StockCount[CountedQty],T_StockCount[RM_Code],$A101,T_StockCount[WeekIndex],69),IF((COUNTIFS(T_SelfStock[RM_Code],$A101,T_SelfStock[WeekIndex],69)&gt;0)*(COUNTIFS(T_TTAFStock[RM_Code],$A101,T_TTAFStock[WeekIndex],69)&gt;0)&gt;0,SUMIFS(T_SelfStock[Self_Qty],T_SelfStock[RM_Code],$A101,T_SelfStock[WeekIndex],69)+SUMIFS(T_TTAFStock[TTAF_Qty],T_TTAFStock[RM_Code],$A101,T_TTAFStock[WeekIndex],69),BQ101+'Grid_Incoming'!BR101-'Grid_Requirement'!BR101))</f>
        <v/>
      </c>
      <c r="BS101">
        <f>IF(COUNTIFS(T_StockCount[RM_Code],$A101,T_StockCount[WeekIndex],70)&gt;0,SUMIFS(T_StockCount[CountedQty],T_StockCount[RM_Code],$A101,T_StockCount[WeekIndex],70),IF((COUNTIFS(T_SelfStock[RM_Code],$A101,T_SelfStock[WeekIndex],70)&gt;0)*(COUNTIFS(T_TTAFStock[RM_Code],$A101,T_TTAFStock[WeekIndex],70)&gt;0)&gt;0,SUMIFS(T_SelfStock[Self_Qty],T_SelfStock[RM_Code],$A101,T_SelfStock[WeekIndex],70)+SUMIFS(T_TTAFStock[TTAF_Qty],T_TTAFStock[RM_Code],$A101,T_TTAFStock[WeekIndex],70),BR101+'Grid_Incoming'!BS101-'Grid_Requirement'!BS101))</f>
        <v/>
      </c>
      <c r="BT101">
        <f>IF(COUNTIFS(T_StockCount[RM_Code],$A101,T_StockCount[WeekIndex],71)&gt;0,SUMIFS(T_StockCount[CountedQty],T_StockCount[RM_Code],$A101,T_StockCount[WeekIndex],71),IF((COUNTIFS(T_SelfStock[RM_Code],$A101,T_SelfStock[WeekIndex],71)&gt;0)*(COUNTIFS(T_TTAFStock[RM_Code],$A101,T_TTAFStock[WeekIndex],71)&gt;0)&gt;0,SUMIFS(T_SelfStock[Self_Qty],T_SelfStock[RM_Code],$A101,T_SelfStock[WeekIndex],71)+SUMIFS(T_TTAFStock[TTAF_Qty],T_TTAFStock[RM_Code],$A101,T_TTAFStock[WeekIndex],71),BS101+'Grid_Incoming'!BT101-'Grid_Requirement'!BT101))</f>
        <v/>
      </c>
      <c r="BU101">
        <f>IF(COUNTIFS(T_StockCount[RM_Code],$A101,T_StockCount[WeekIndex],72)&gt;0,SUMIFS(T_StockCount[CountedQty],T_StockCount[RM_Code],$A101,T_StockCount[WeekIndex],72),IF((COUNTIFS(T_SelfStock[RM_Code],$A101,T_SelfStock[WeekIndex],72)&gt;0)*(COUNTIFS(T_TTAFStock[RM_Code],$A101,T_TTAFStock[WeekIndex],72)&gt;0)&gt;0,SUMIFS(T_SelfStock[Self_Qty],T_SelfStock[RM_Code],$A101,T_SelfStock[WeekIndex],72)+SUMIFS(T_TTAFStock[TTAF_Qty],T_TTAFStock[RM_Code],$A101,T_TTAFStock[WeekIndex],72),BT101+'Grid_Incoming'!BU101-'Grid_Requirement'!BU101))</f>
        <v/>
      </c>
      <c r="BV101">
        <f>IF(COUNTIFS(T_StockCount[RM_Code],$A101,T_StockCount[WeekIndex],73)&gt;0,SUMIFS(T_StockCount[CountedQty],T_StockCount[RM_Code],$A101,T_StockCount[WeekIndex],73),IF((COUNTIFS(T_SelfStock[RM_Code],$A101,T_SelfStock[WeekIndex],73)&gt;0)*(COUNTIFS(T_TTAFStock[RM_Code],$A101,T_TTAFStock[WeekIndex],73)&gt;0)&gt;0,SUMIFS(T_SelfStock[Self_Qty],T_SelfStock[RM_Code],$A101,T_SelfStock[WeekIndex],73)+SUMIFS(T_TTAFStock[TTAF_Qty],T_TTAFStock[RM_Code],$A101,T_TTAFStock[WeekIndex],73),BU101+'Grid_Incoming'!BV101-'Grid_Requirement'!BV101))</f>
        <v/>
      </c>
      <c r="BW101">
        <f>IF(COUNTIFS(T_StockCount[RM_Code],$A101,T_StockCount[WeekIndex],74)&gt;0,SUMIFS(T_StockCount[CountedQty],T_StockCount[RM_Code],$A101,T_StockCount[WeekIndex],74),IF((COUNTIFS(T_SelfStock[RM_Code],$A101,T_SelfStock[WeekIndex],74)&gt;0)*(COUNTIFS(T_TTAFStock[RM_Code],$A101,T_TTAFStock[WeekIndex],74)&gt;0)&gt;0,SUMIFS(T_SelfStock[Self_Qty],T_SelfStock[RM_Code],$A101,T_SelfStock[WeekIndex],74)+SUMIFS(T_TTAFStock[TTAF_Qty],T_TTAFStock[RM_Code],$A101,T_TTAFStock[WeekIndex],74),BV101+'Grid_Incoming'!BW101-'Grid_Requirement'!BW101))</f>
        <v/>
      </c>
      <c r="BX101">
        <f>IF(COUNTIFS(T_StockCount[RM_Code],$A101,T_StockCount[WeekIndex],75)&gt;0,SUMIFS(T_StockCount[CountedQty],T_StockCount[RM_Code],$A101,T_StockCount[WeekIndex],75),IF((COUNTIFS(T_SelfStock[RM_Code],$A101,T_SelfStock[WeekIndex],75)&gt;0)*(COUNTIFS(T_TTAFStock[RM_Code],$A101,T_TTAFStock[WeekIndex],75)&gt;0)&gt;0,SUMIFS(T_SelfStock[Self_Qty],T_SelfStock[RM_Code],$A101,T_SelfStock[WeekIndex],75)+SUMIFS(T_TTAFStock[TTAF_Qty],T_TTAFStock[RM_Code],$A101,T_TTAFStock[WeekIndex],75),BW101+'Grid_Incoming'!BX101-'Grid_Requirement'!BX101))</f>
        <v/>
      </c>
      <c r="BY101">
        <f>IF(COUNTIFS(T_StockCount[RM_Code],$A101,T_StockCount[WeekIndex],76)&gt;0,SUMIFS(T_StockCount[CountedQty],T_StockCount[RM_Code],$A101,T_StockCount[WeekIndex],76),IF((COUNTIFS(T_SelfStock[RM_Code],$A101,T_SelfStock[WeekIndex],76)&gt;0)*(COUNTIFS(T_TTAFStock[RM_Code],$A101,T_TTAFStock[WeekIndex],76)&gt;0)&gt;0,SUMIFS(T_SelfStock[Self_Qty],T_SelfStock[RM_Code],$A101,T_SelfStock[WeekIndex],76)+SUMIFS(T_TTAFStock[TTAF_Qty],T_TTAFStock[RM_Code],$A101,T_TTAFStock[WeekIndex],76),BX101+'Grid_Incoming'!BY101-'Grid_Requirement'!BY101))</f>
        <v/>
      </c>
      <c r="BZ101">
        <f>IF(COUNTIFS(T_StockCount[RM_Code],$A101,T_StockCount[WeekIndex],77)&gt;0,SUMIFS(T_StockCount[CountedQty],T_StockCount[RM_Code],$A101,T_StockCount[WeekIndex],77),IF((COUNTIFS(T_SelfStock[RM_Code],$A101,T_SelfStock[WeekIndex],77)&gt;0)*(COUNTIFS(T_TTAFStock[RM_Code],$A101,T_TTAFStock[WeekIndex],77)&gt;0)&gt;0,SUMIFS(T_SelfStock[Self_Qty],T_SelfStock[RM_Code],$A101,T_SelfStock[WeekIndex],77)+SUMIFS(T_TTAFStock[TTAF_Qty],T_TTAFStock[RM_Code],$A101,T_TTAFStock[WeekIndex],77),BY101+'Grid_Incoming'!BZ101-'Grid_Requirement'!BZ101))</f>
        <v/>
      </c>
      <c r="CA101">
        <f>IF(COUNTIFS(T_StockCount[RM_Code],$A101,T_StockCount[WeekIndex],78)&gt;0,SUMIFS(T_StockCount[CountedQty],T_StockCount[RM_Code],$A101,T_StockCount[WeekIndex],78),IF((COUNTIFS(T_SelfStock[RM_Code],$A101,T_SelfStock[WeekIndex],78)&gt;0)*(COUNTIFS(T_TTAFStock[RM_Code],$A101,T_TTAFStock[WeekIndex],78)&gt;0)&gt;0,SUMIFS(T_SelfStock[Self_Qty],T_SelfStock[RM_Code],$A101,T_SelfStock[WeekIndex],78)+SUMIFS(T_TTAFStock[TTAF_Qty],T_TTAFStock[RM_Code],$A101,T_TTAFStock[WeekIndex],78),BZ101+'Grid_Incoming'!CA101-'Grid_Requirement'!CA101))</f>
        <v/>
      </c>
      <c r="CB101">
        <f>IF(COUNTIFS(T_StockCount[RM_Code],$A101,T_StockCount[WeekIndex],79)&gt;0,SUMIFS(T_StockCount[CountedQty],T_StockCount[RM_Code],$A101,T_StockCount[WeekIndex],79),IF((COUNTIFS(T_SelfStock[RM_Code],$A101,T_SelfStock[WeekIndex],79)&gt;0)*(COUNTIFS(T_TTAFStock[RM_Code],$A101,T_TTAFStock[WeekIndex],79)&gt;0)&gt;0,SUMIFS(T_SelfStock[Self_Qty],T_SelfStock[RM_Code],$A101,T_SelfStock[WeekIndex],79)+SUMIFS(T_TTAFStock[TTAF_Qty],T_TTAFStock[RM_Code],$A101,T_TTAFStock[WeekIndex],79),CA101+'Grid_Incoming'!CB101-'Grid_Requirement'!CB101))</f>
        <v/>
      </c>
      <c r="CC101">
        <f>IF(COUNTIFS(T_StockCount[RM_Code],$A101,T_StockCount[WeekIndex],80)&gt;0,SUMIFS(T_StockCount[CountedQty],T_StockCount[RM_Code],$A101,T_StockCount[WeekIndex],80),IF((COUNTIFS(T_SelfStock[RM_Code],$A101,T_SelfStock[WeekIndex],80)&gt;0)*(COUNTIFS(T_TTAFStock[RM_Code],$A101,T_TTAFStock[WeekIndex],80)&gt;0)&gt;0,SUMIFS(T_SelfStock[Self_Qty],T_SelfStock[RM_Code],$A101,T_SelfStock[WeekIndex],80)+SUMIFS(T_TTAFStock[TTAF_Qty],T_TTAFStock[RM_Code],$A101,T_TTAFStock[WeekIndex],80),CB101+'Grid_Incoming'!CC101-'Grid_Requirement'!CC101))</f>
        <v/>
      </c>
      <c r="CD101">
        <f>IF(COUNTIFS(T_StockCount[RM_Code],$A101,T_StockCount[WeekIndex],81)&gt;0,SUMIFS(T_StockCount[CountedQty],T_StockCount[RM_Code],$A101,T_StockCount[WeekIndex],81),IF((COUNTIFS(T_SelfStock[RM_Code],$A101,T_SelfStock[WeekIndex],81)&gt;0)*(COUNTIFS(T_TTAFStock[RM_Code],$A101,T_TTAFStock[WeekIndex],81)&gt;0)&gt;0,SUMIFS(T_SelfStock[Self_Qty],T_SelfStock[RM_Code],$A101,T_SelfStock[WeekIndex],81)+SUMIFS(T_TTAFStock[TTAF_Qty],T_TTAFStock[RM_Code],$A101,T_TTAFStock[WeekIndex],81),CC101+'Grid_Incoming'!CD101-'Grid_Requirement'!CD101))</f>
        <v/>
      </c>
      <c r="CE101">
        <f>IF(COUNTIFS(T_StockCount[RM_Code],$A101,T_StockCount[WeekIndex],82)&gt;0,SUMIFS(T_StockCount[CountedQty],T_StockCount[RM_Code],$A101,T_StockCount[WeekIndex],82),IF((COUNTIFS(T_SelfStock[RM_Code],$A101,T_SelfStock[WeekIndex],82)&gt;0)*(COUNTIFS(T_TTAFStock[RM_Code],$A101,T_TTAFStock[WeekIndex],82)&gt;0)&gt;0,SUMIFS(T_SelfStock[Self_Qty],T_SelfStock[RM_Code],$A101,T_SelfStock[WeekIndex],82)+SUMIFS(T_TTAFStock[TTAF_Qty],T_TTAFStock[RM_Code],$A101,T_TTAFStock[WeekIndex],82),CD101+'Grid_Incoming'!CE101-'Grid_Requirement'!CE101))</f>
        <v/>
      </c>
      <c r="CF101">
        <f>IF(COUNTIFS(T_StockCount[RM_Code],$A101,T_StockCount[WeekIndex],83)&gt;0,SUMIFS(T_StockCount[CountedQty],T_StockCount[RM_Code],$A101,T_StockCount[WeekIndex],83),IF((COUNTIFS(T_SelfStock[RM_Code],$A101,T_SelfStock[WeekIndex],83)&gt;0)*(COUNTIFS(T_TTAFStock[RM_Code],$A101,T_TTAFStock[WeekIndex],83)&gt;0)&gt;0,SUMIFS(T_SelfStock[Self_Qty],T_SelfStock[RM_Code],$A101,T_SelfStock[WeekIndex],83)+SUMIFS(T_TTAFStock[TTAF_Qty],T_TTAFStock[RM_Code],$A101,T_TTAFStock[WeekIndex],83),CE101+'Grid_Incoming'!CF101-'Grid_Requirement'!CF101))</f>
        <v/>
      </c>
      <c r="CG101">
        <f>IF(COUNTIFS(T_StockCount[RM_Code],$A101,T_StockCount[WeekIndex],84)&gt;0,SUMIFS(T_StockCount[CountedQty],T_StockCount[RM_Code],$A101,T_StockCount[WeekIndex],84),IF((COUNTIFS(T_SelfStock[RM_Code],$A101,T_SelfStock[WeekIndex],84)&gt;0)*(COUNTIFS(T_TTAFStock[RM_Code],$A101,T_TTAFStock[WeekIndex],84)&gt;0)&gt;0,SUMIFS(T_SelfStock[Self_Qty],T_SelfStock[RM_Code],$A101,T_SelfStock[WeekIndex],84)+SUMIFS(T_TTAFStock[TTAF_Qty],T_TTAFStock[RM_Code],$A101,T_TTAFStock[WeekIndex],84),CF101+'Grid_Incoming'!CG101-'Grid_Requirement'!CG101))</f>
        <v/>
      </c>
      <c r="CH101">
        <f>IF(COUNTIFS(T_StockCount[RM_Code],$A101,T_StockCount[WeekIndex],85)&gt;0,SUMIFS(T_StockCount[CountedQty],T_StockCount[RM_Code],$A101,T_StockCount[WeekIndex],85),IF((COUNTIFS(T_SelfStock[RM_Code],$A101,T_SelfStock[WeekIndex],85)&gt;0)*(COUNTIFS(T_TTAFStock[RM_Code],$A101,T_TTAFStock[WeekIndex],85)&gt;0)&gt;0,SUMIFS(T_SelfStock[Self_Qty],T_SelfStock[RM_Code],$A101,T_SelfStock[WeekIndex],85)+SUMIFS(T_TTAFStock[TTAF_Qty],T_TTAFStock[RM_Code],$A101,T_TTAFStock[WeekIndex],85),CG101+'Grid_Incoming'!CH101-'Grid_Requirement'!CH101))</f>
        <v/>
      </c>
      <c r="CI101">
        <f>IF(COUNTIFS(T_StockCount[RM_Code],$A101,T_StockCount[WeekIndex],86)&gt;0,SUMIFS(T_StockCount[CountedQty],T_StockCount[RM_Code],$A101,T_StockCount[WeekIndex],86),IF((COUNTIFS(T_SelfStock[RM_Code],$A101,T_SelfStock[WeekIndex],86)&gt;0)*(COUNTIFS(T_TTAFStock[RM_Code],$A101,T_TTAFStock[WeekIndex],86)&gt;0)&gt;0,SUMIFS(T_SelfStock[Self_Qty],T_SelfStock[RM_Code],$A101,T_SelfStock[WeekIndex],86)+SUMIFS(T_TTAFStock[TTAF_Qty],T_TTAFStock[RM_Code],$A101,T_TTAFStock[WeekIndex],86),CH101+'Grid_Incoming'!CI101-'Grid_Requirement'!CI101))</f>
        <v/>
      </c>
      <c r="CJ101">
        <f>IF(COUNTIFS(T_StockCount[RM_Code],$A101,T_StockCount[WeekIndex],87)&gt;0,SUMIFS(T_StockCount[CountedQty],T_StockCount[RM_Code],$A101,T_StockCount[WeekIndex],87),IF((COUNTIFS(T_SelfStock[RM_Code],$A101,T_SelfStock[WeekIndex],87)&gt;0)*(COUNTIFS(T_TTAFStock[RM_Code],$A101,T_TTAFStock[WeekIndex],87)&gt;0)&gt;0,SUMIFS(T_SelfStock[Self_Qty],T_SelfStock[RM_Code],$A101,T_SelfStock[WeekIndex],87)+SUMIFS(T_TTAFStock[TTAF_Qty],T_TTAFStock[RM_Code],$A101,T_TTAFStock[WeekIndex],87),CI101+'Grid_Incoming'!CJ101-'Grid_Requirement'!CJ101))</f>
        <v/>
      </c>
      <c r="CK101">
        <f>IF(COUNTIFS(T_StockCount[RM_Code],$A101,T_StockCount[WeekIndex],88)&gt;0,SUMIFS(T_StockCount[CountedQty],T_StockCount[RM_Code],$A101,T_StockCount[WeekIndex],88),IF((COUNTIFS(T_SelfStock[RM_Code],$A101,T_SelfStock[WeekIndex],88)&gt;0)*(COUNTIFS(T_TTAFStock[RM_Code],$A101,T_TTAFStock[WeekIndex],88)&gt;0)&gt;0,SUMIFS(T_SelfStock[Self_Qty],T_SelfStock[RM_Code],$A101,T_SelfStock[WeekIndex],88)+SUMIFS(T_TTAFStock[TTAF_Qty],T_TTAFStock[RM_Code],$A101,T_TTAFStock[WeekIndex],88),CJ101+'Grid_Incoming'!CK101-'Grid_Requirement'!CK101))</f>
        <v/>
      </c>
      <c r="CL101">
        <f>IF(COUNTIFS(T_StockCount[RM_Code],$A101,T_StockCount[WeekIndex],89)&gt;0,SUMIFS(T_StockCount[CountedQty],T_StockCount[RM_Code],$A101,T_StockCount[WeekIndex],89),IF((COUNTIFS(T_SelfStock[RM_Code],$A101,T_SelfStock[WeekIndex],89)&gt;0)*(COUNTIFS(T_TTAFStock[RM_Code],$A101,T_TTAFStock[WeekIndex],89)&gt;0)&gt;0,SUMIFS(T_SelfStock[Self_Qty],T_SelfStock[RM_Code],$A101,T_SelfStock[WeekIndex],89)+SUMIFS(T_TTAFStock[TTAF_Qty],T_TTAFStock[RM_Code],$A101,T_TTAFStock[WeekIndex],89),CK101+'Grid_Incoming'!CL101-'Grid_Requirement'!CL101))</f>
        <v/>
      </c>
      <c r="CM101">
        <f>IF(COUNTIFS(T_StockCount[RM_Code],$A101,T_StockCount[WeekIndex],90)&gt;0,SUMIFS(T_StockCount[CountedQty],T_StockCount[RM_Code],$A101,T_StockCount[WeekIndex],90),IF((COUNTIFS(T_SelfStock[RM_Code],$A101,T_SelfStock[WeekIndex],90)&gt;0)*(COUNTIFS(T_TTAFStock[RM_Code],$A101,T_TTAFStock[WeekIndex],90)&gt;0)&gt;0,SUMIFS(T_SelfStock[Self_Qty],T_SelfStock[RM_Code],$A101,T_SelfStock[WeekIndex],90)+SUMIFS(T_TTAFStock[TTAF_Qty],T_TTAFStock[RM_Code],$A101,T_TTAFStock[WeekIndex],90),CL101+'Grid_Incoming'!CM101-'Grid_Requirement'!CM101))</f>
        <v/>
      </c>
      <c r="CN101">
        <f>IF(COUNTIFS(T_StockCount[RM_Code],$A101,T_StockCount[WeekIndex],91)&gt;0,SUMIFS(T_StockCount[CountedQty],T_StockCount[RM_Code],$A101,T_StockCount[WeekIndex],91),IF((COUNTIFS(T_SelfStock[RM_Code],$A101,T_SelfStock[WeekIndex],91)&gt;0)*(COUNTIFS(T_TTAFStock[RM_Code],$A101,T_TTAFStock[WeekIndex],91)&gt;0)&gt;0,SUMIFS(T_SelfStock[Self_Qty],T_SelfStock[RM_Code],$A101,T_SelfStock[WeekIndex],91)+SUMIFS(T_TTAFStock[TTAF_Qty],T_TTAFStock[RM_Code],$A101,T_TTAFStock[WeekIndex],91),CM101+'Grid_Incoming'!CN101-'Grid_Requirement'!CN101))</f>
        <v/>
      </c>
      <c r="CO101">
        <f>IF(COUNTIFS(T_StockCount[RM_Code],$A101,T_StockCount[WeekIndex],92)&gt;0,SUMIFS(T_StockCount[CountedQty],T_StockCount[RM_Code],$A101,T_StockCount[WeekIndex],92),IF((COUNTIFS(T_SelfStock[RM_Code],$A101,T_SelfStock[WeekIndex],92)&gt;0)*(COUNTIFS(T_TTAFStock[RM_Code],$A101,T_TTAFStock[WeekIndex],92)&gt;0)&gt;0,SUMIFS(T_SelfStock[Self_Qty],T_SelfStock[RM_Code],$A101,T_SelfStock[WeekIndex],92)+SUMIFS(T_TTAFStock[TTAF_Qty],T_TTAFStock[RM_Code],$A101,T_TTAFStock[WeekIndex],92),CN101+'Grid_Incoming'!CO101-'Grid_Requirement'!CO101))</f>
        <v/>
      </c>
      <c r="CP101">
        <f>IF(COUNTIFS(T_StockCount[RM_Code],$A101,T_StockCount[WeekIndex],93)&gt;0,SUMIFS(T_StockCount[CountedQty],T_StockCount[RM_Code],$A101,T_StockCount[WeekIndex],93),IF((COUNTIFS(T_SelfStock[RM_Code],$A101,T_SelfStock[WeekIndex],93)&gt;0)*(COUNTIFS(T_TTAFStock[RM_Code],$A101,T_TTAFStock[WeekIndex],93)&gt;0)&gt;0,SUMIFS(T_SelfStock[Self_Qty],T_SelfStock[RM_Code],$A101,T_SelfStock[WeekIndex],93)+SUMIFS(T_TTAFStock[TTAF_Qty],T_TTAFStock[RM_Code],$A101,T_TTAFStock[WeekIndex],93),CO101+'Grid_Incoming'!CP101-'Grid_Requirement'!CP101))</f>
        <v/>
      </c>
      <c r="CQ101">
        <f>IF(COUNTIFS(T_StockCount[RM_Code],$A101,T_StockCount[WeekIndex],94)&gt;0,SUMIFS(T_StockCount[CountedQty],T_StockCount[RM_Code],$A101,T_StockCount[WeekIndex],94),IF((COUNTIFS(T_SelfStock[RM_Code],$A101,T_SelfStock[WeekIndex],94)&gt;0)*(COUNTIFS(T_TTAFStock[RM_Code],$A101,T_TTAFStock[WeekIndex],94)&gt;0)&gt;0,SUMIFS(T_SelfStock[Self_Qty],T_SelfStock[RM_Code],$A101,T_SelfStock[WeekIndex],94)+SUMIFS(T_TTAFStock[TTAF_Qty],T_TTAFStock[RM_Code],$A101,T_TTAFStock[WeekIndex],94),CP101+'Grid_Incoming'!CQ101-'Grid_Requirement'!CQ101))</f>
        <v/>
      </c>
      <c r="CR101">
        <f>IF(COUNTIFS(T_StockCount[RM_Code],$A101,T_StockCount[WeekIndex],95)&gt;0,SUMIFS(T_StockCount[CountedQty],T_StockCount[RM_Code],$A101,T_StockCount[WeekIndex],95),IF((COUNTIFS(T_SelfStock[RM_Code],$A101,T_SelfStock[WeekIndex],95)&gt;0)*(COUNTIFS(T_TTAFStock[RM_Code],$A101,T_TTAFStock[WeekIndex],95)&gt;0)&gt;0,SUMIFS(T_SelfStock[Self_Qty],T_SelfStock[RM_Code],$A101,T_SelfStock[WeekIndex],95)+SUMIFS(T_TTAFStock[TTAF_Qty],T_TTAFStock[RM_Code],$A101,T_TTAFStock[WeekIndex],95),CQ101+'Grid_Incoming'!CR101-'Grid_Requirement'!CR101))</f>
        <v/>
      </c>
      <c r="CS101">
        <f>IF(COUNTIFS(T_StockCount[RM_Code],$A101,T_StockCount[WeekIndex],96)&gt;0,SUMIFS(T_StockCount[CountedQty],T_StockCount[RM_Code],$A101,T_StockCount[WeekIndex],96),IF((COUNTIFS(T_SelfStock[RM_Code],$A101,T_SelfStock[WeekIndex],96)&gt;0)*(COUNTIFS(T_TTAFStock[RM_Code],$A101,T_TTAFStock[WeekIndex],96)&gt;0)&gt;0,SUMIFS(T_SelfStock[Self_Qty],T_SelfStock[RM_Code],$A101,T_SelfStock[WeekIndex],96)+SUMIFS(T_TTAFStock[TTAF_Qty],T_TTAFStock[RM_Code],$A101,T_TTAFStock[WeekIndex],96),CR101+'Grid_Incoming'!CS101-'Grid_Requirement'!CS101))</f>
        <v/>
      </c>
      <c r="CT101">
        <f>IF(COUNTIFS(T_StockCount[RM_Code],$A101,T_StockCount[WeekIndex],97)&gt;0,SUMIFS(T_StockCount[CountedQty],T_StockCount[RM_Code],$A101,T_StockCount[WeekIndex],97),IF((COUNTIFS(T_SelfStock[RM_Code],$A101,T_SelfStock[WeekIndex],97)&gt;0)*(COUNTIFS(T_TTAFStock[RM_Code],$A101,T_TTAFStock[WeekIndex],97)&gt;0)&gt;0,SUMIFS(T_SelfStock[Self_Qty],T_SelfStock[RM_Code],$A101,T_SelfStock[WeekIndex],97)+SUMIFS(T_TTAFStock[TTAF_Qty],T_TTAFStock[RM_Code],$A101,T_TTAFStock[WeekIndex],97),CS101+'Grid_Incoming'!CT101-'Grid_Requirement'!CT101))</f>
        <v/>
      </c>
      <c r="CU101">
        <f>IF(COUNTIFS(T_StockCount[RM_Code],$A101,T_StockCount[WeekIndex],98)&gt;0,SUMIFS(T_StockCount[CountedQty],T_StockCount[RM_Code],$A101,T_StockCount[WeekIndex],98),IF((COUNTIFS(T_SelfStock[RM_Code],$A101,T_SelfStock[WeekIndex],98)&gt;0)*(COUNTIFS(T_TTAFStock[RM_Code],$A101,T_TTAFStock[WeekIndex],98)&gt;0)&gt;0,SUMIFS(T_SelfStock[Self_Qty],T_SelfStock[RM_Code],$A101,T_SelfStock[WeekIndex],98)+SUMIFS(T_TTAFStock[TTAF_Qty],T_TTAFStock[RM_Code],$A101,T_TTAFStock[WeekIndex],98),CT101+'Grid_Incoming'!CU101-'Grid_Requirement'!CU101))</f>
        <v/>
      </c>
      <c r="CV101">
        <f>IF(COUNTIFS(T_StockCount[RM_Code],$A101,T_StockCount[WeekIndex],99)&gt;0,SUMIFS(T_StockCount[CountedQty],T_StockCount[RM_Code],$A101,T_StockCount[WeekIndex],99),IF((COUNTIFS(T_SelfStock[RM_Code],$A101,T_SelfStock[WeekIndex],99)&gt;0)*(COUNTIFS(T_TTAFStock[RM_Code],$A101,T_TTAFStock[WeekIndex],99)&gt;0)&gt;0,SUMIFS(T_SelfStock[Self_Qty],T_SelfStock[RM_Code],$A101,T_SelfStock[WeekIndex],99)+SUMIFS(T_TTAFStock[TTAF_Qty],T_TTAFStock[RM_Code],$A101,T_TTAFStock[WeekIndex],99),CU101+'Grid_Incoming'!CV101-'Grid_Requirement'!CV101))</f>
        <v/>
      </c>
      <c r="CW101">
        <f>IF(COUNTIFS(T_StockCount[RM_Code],$A101,T_StockCount[WeekIndex],100)&gt;0,SUMIFS(T_StockCount[CountedQty],T_StockCount[RM_Code],$A101,T_StockCount[WeekIndex],100),IF((COUNTIFS(T_SelfStock[RM_Code],$A101,T_SelfStock[WeekIndex],100)&gt;0)*(COUNTIFS(T_TTAFStock[RM_Code],$A101,T_TTAFStock[WeekIndex],100)&gt;0)&gt;0,SUMIFS(T_SelfStock[Self_Qty],T_SelfStock[RM_Code],$A101,T_SelfStock[WeekIndex],100)+SUMIFS(T_TTAFStock[TTAF_Qty],T_TTAFStock[RM_Code],$A101,T_TTAFStock[WeekIndex],100),CV101+'Grid_Incoming'!CW101-'Grid_Requirement'!CW101))</f>
        <v/>
      </c>
      <c r="CX101">
        <f>IF(COUNTIFS(T_StockCount[RM_Code],$A101,T_StockCount[WeekIndex],101)&gt;0,SUMIFS(T_StockCount[CountedQty],T_StockCount[RM_Code],$A101,T_StockCount[WeekIndex],101),IF((COUNTIFS(T_SelfStock[RM_Code],$A101,T_SelfStock[WeekIndex],101)&gt;0)*(COUNTIFS(T_TTAFStock[RM_Code],$A101,T_TTAFStock[WeekIndex],101)&gt;0)&gt;0,SUMIFS(T_SelfStock[Self_Qty],T_SelfStock[RM_Code],$A101,T_SelfStock[WeekIndex],101)+SUMIFS(T_TTAFStock[TTAF_Qty],T_TTAFStock[RM_Code],$A101,T_TTAFStock[WeekIndex],101),CW101+'Grid_Incoming'!CX101-'Grid_Requirement'!CX101))</f>
        <v/>
      </c>
      <c r="CY101">
        <f>IF(COUNTIFS(T_StockCount[RM_Code],$A101,T_StockCount[WeekIndex],102)&gt;0,SUMIFS(T_StockCount[CountedQty],T_StockCount[RM_Code],$A101,T_StockCount[WeekIndex],102),IF((COUNTIFS(T_SelfStock[RM_Code],$A101,T_SelfStock[WeekIndex],102)&gt;0)*(COUNTIFS(T_TTAFStock[RM_Code],$A101,T_TTAFStock[WeekIndex],102)&gt;0)&gt;0,SUMIFS(T_SelfStock[Self_Qty],T_SelfStock[RM_Code],$A101,T_SelfStock[WeekIndex],102)+SUMIFS(T_TTAFStock[TTAF_Qty],T_TTAFStock[RM_Code],$A101,T_TTAFStock[WeekIndex],102),CX101+'Grid_Incoming'!CY101-'Grid_Requirement'!CY101))</f>
        <v/>
      </c>
      <c r="CZ101">
        <f>IF(COUNTIFS(T_StockCount[RM_Code],$A101,T_StockCount[WeekIndex],103)&gt;0,SUMIFS(T_StockCount[CountedQty],T_StockCount[RM_Code],$A101,T_StockCount[WeekIndex],103),IF((COUNTIFS(T_SelfStock[RM_Code],$A101,T_SelfStock[WeekIndex],103)&gt;0)*(COUNTIFS(T_TTAFStock[RM_Code],$A101,T_TTAFStock[WeekIndex],103)&gt;0)&gt;0,SUMIFS(T_SelfStock[Self_Qty],T_SelfStock[RM_Code],$A101,T_SelfStock[WeekIndex],103)+SUMIFS(T_TTAFStock[TTAF_Qty],T_TTAFStock[RM_Code],$A101,T_TTAFStock[WeekIndex],103),CY101+'Grid_Incoming'!CZ101-'Grid_Requirement'!CZ101))</f>
        <v/>
      </c>
      <c r="DA101">
        <f>IF(COUNTIFS(T_StockCount[RM_Code],$A101,T_StockCount[WeekIndex],104)&gt;0,SUMIFS(T_StockCount[CountedQty],T_StockCount[RM_Code],$A101,T_StockCount[WeekIndex],104),IF((COUNTIFS(T_SelfStock[RM_Code],$A101,T_SelfStock[WeekIndex],104)&gt;0)*(COUNTIFS(T_TTAFStock[RM_Code],$A101,T_TTAFStock[WeekIndex],104)&gt;0)&gt;0,SUMIFS(T_SelfStock[Self_Qty],T_SelfStock[RM_Code],$A101,T_SelfStock[WeekIndex],104)+SUMIFS(T_TTAFStock[TTAF_Qty],T_TTAFStock[RM_Code],$A101,T_TTAFStock[WeekIndex],104),CZ101+'Grid_Incoming'!DA101-'Grid_Requirement'!DA101))</f>
        <v/>
      </c>
    </row>
    <row r="102">
      <c r="A102" t="inlineStr">
        <is>
          <t>CHEM-1310</t>
        </is>
      </c>
      <c r="B102">
        <f>IF(COUNTIFS(T_StockCount[RM_Code],$A102,T_StockCount[WeekIndex],1)&gt;0,SUMIFS(T_StockCount[CountedQty],T_StockCount[RM_Code],$A102,T_StockCount[WeekIndex],1),IF((COUNTIFS(T_SelfStock[RM_Code],$A102,T_SelfStock[WeekIndex],1)&gt;0)*(COUNTIFS(T_TTAFStock[RM_Code],$A102,T_TTAFStock[WeekIndex],1)&gt;0)&gt;0,SUMIFS(T_SelfStock[Self_Qty],T_SelfStock[RM_Code],$A102,T_SelfStock[WeekIndex],1)+SUMIFS(T_TTAFStock[TTAF_Qty],T_TTAFStock[RM_Code],$A102,T_TTAFStock[WeekIndex],1),IFERROR(INDEX(T_OpeningStock[Opening_Qty],MATCH($A102,T_OpeningStock[RM_Code],0)),0)+'Grid_Incoming'!B102-'Grid_Requirement'!B102))</f>
        <v/>
      </c>
      <c r="C102">
        <f>IF(COUNTIFS(T_StockCount[RM_Code],$A102,T_StockCount[WeekIndex],2)&gt;0,SUMIFS(T_StockCount[CountedQty],T_StockCount[RM_Code],$A102,T_StockCount[WeekIndex],2),IF((COUNTIFS(T_SelfStock[RM_Code],$A102,T_SelfStock[WeekIndex],2)&gt;0)*(COUNTIFS(T_TTAFStock[RM_Code],$A102,T_TTAFStock[WeekIndex],2)&gt;0)&gt;0,SUMIFS(T_SelfStock[Self_Qty],T_SelfStock[RM_Code],$A102,T_SelfStock[WeekIndex],2)+SUMIFS(T_TTAFStock[TTAF_Qty],T_TTAFStock[RM_Code],$A102,T_TTAFStock[WeekIndex],2),B102+'Grid_Incoming'!C102-'Grid_Requirement'!C102))</f>
        <v/>
      </c>
      <c r="D102">
        <f>IF(COUNTIFS(T_StockCount[RM_Code],$A102,T_StockCount[WeekIndex],3)&gt;0,SUMIFS(T_StockCount[CountedQty],T_StockCount[RM_Code],$A102,T_StockCount[WeekIndex],3),IF((COUNTIFS(T_SelfStock[RM_Code],$A102,T_SelfStock[WeekIndex],3)&gt;0)*(COUNTIFS(T_TTAFStock[RM_Code],$A102,T_TTAFStock[WeekIndex],3)&gt;0)&gt;0,SUMIFS(T_SelfStock[Self_Qty],T_SelfStock[RM_Code],$A102,T_SelfStock[WeekIndex],3)+SUMIFS(T_TTAFStock[TTAF_Qty],T_TTAFStock[RM_Code],$A102,T_TTAFStock[WeekIndex],3),C102+'Grid_Incoming'!D102-'Grid_Requirement'!D102))</f>
        <v/>
      </c>
      <c r="E102">
        <f>IF(COUNTIFS(T_StockCount[RM_Code],$A102,T_StockCount[WeekIndex],4)&gt;0,SUMIFS(T_StockCount[CountedQty],T_StockCount[RM_Code],$A102,T_StockCount[WeekIndex],4),IF((COUNTIFS(T_SelfStock[RM_Code],$A102,T_SelfStock[WeekIndex],4)&gt;0)*(COUNTIFS(T_TTAFStock[RM_Code],$A102,T_TTAFStock[WeekIndex],4)&gt;0)&gt;0,SUMIFS(T_SelfStock[Self_Qty],T_SelfStock[RM_Code],$A102,T_SelfStock[WeekIndex],4)+SUMIFS(T_TTAFStock[TTAF_Qty],T_TTAFStock[RM_Code],$A102,T_TTAFStock[WeekIndex],4),D102+'Grid_Incoming'!E102-'Grid_Requirement'!E102))</f>
        <v/>
      </c>
      <c r="F102">
        <f>IF(COUNTIFS(T_StockCount[RM_Code],$A102,T_StockCount[WeekIndex],5)&gt;0,SUMIFS(T_StockCount[CountedQty],T_StockCount[RM_Code],$A102,T_StockCount[WeekIndex],5),IF((COUNTIFS(T_SelfStock[RM_Code],$A102,T_SelfStock[WeekIndex],5)&gt;0)*(COUNTIFS(T_TTAFStock[RM_Code],$A102,T_TTAFStock[WeekIndex],5)&gt;0)&gt;0,SUMIFS(T_SelfStock[Self_Qty],T_SelfStock[RM_Code],$A102,T_SelfStock[WeekIndex],5)+SUMIFS(T_TTAFStock[TTAF_Qty],T_TTAFStock[RM_Code],$A102,T_TTAFStock[WeekIndex],5),E102+'Grid_Incoming'!F102-'Grid_Requirement'!F102))</f>
        <v/>
      </c>
      <c r="G102">
        <f>IF(COUNTIFS(T_StockCount[RM_Code],$A102,T_StockCount[WeekIndex],6)&gt;0,SUMIFS(T_StockCount[CountedQty],T_StockCount[RM_Code],$A102,T_StockCount[WeekIndex],6),IF((COUNTIFS(T_SelfStock[RM_Code],$A102,T_SelfStock[WeekIndex],6)&gt;0)*(COUNTIFS(T_TTAFStock[RM_Code],$A102,T_TTAFStock[WeekIndex],6)&gt;0)&gt;0,SUMIFS(T_SelfStock[Self_Qty],T_SelfStock[RM_Code],$A102,T_SelfStock[WeekIndex],6)+SUMIFS(T_TTAFStock[TTAF_Qty],T_TTAFStock[RM_Code],$A102,T_TTAFStock[WeekIndex],6),F102+'Grid_Incoming'!G102-'Grid_Requirement'!G102))</f>
        <v/>
      </c>
      <c r="H102">
        <f>IF(COUNTIFS(T_StockCount[RM_Code],$A102,T_StockCount[WeekIndex],7)&gt;0,SUMIFS(T_StockCount[CountedQty],T_StockCount[RM_Code],$A102,T_StockCount[WeekIndex],7),IF((COUNTIFS(T_SelfStock[RM_Code],$A102,T_SelfStock[WeekIndex],7)&gt;0)*(COUNTIFS(T_TTAFStock[RM_Code],$A102,T_TTAFStock[WeekIndex],7)&gt;0)&gt;0,SUMIFS(T_SelfStock[Self_Qty],T_SelfStock[RM_Code],$A102,T_SelfStock[WeekIndex],7)+SUMIFS(T_TTAFStock[TTAF_Qty],T_TTAFStock[RM_Code],$A102,T_TTAFStock[WeekIndex],7),G102+'Grid_Incoming'!H102-'Grid_Requirement'!H102))</f>
        <v/>
      </c>
      <c r="I102">
        <f>IF(COUNTIFS(T_StockCount[RM_Code],$A102,T_StockCount[WeekIndex],8)&gt;0,SUMIFS(T_StockCount[CountedQty],T_StockCount[RM_Code],$A102,T_StockCount[WeekIndex],8),IF((COUNTIFS(T_SelfStock[RM_Code],$A102,T_SelfStock[WeekIndex],8)&gt;0)*(COUNTIFS(T_TTAFStock[RM_Code],$A102,T_TTAFStock[WeekIndex],8)&gt;0)&gt;0,SUMIFS(T_SelfStock[Self_Qty],T_SelfStock[RM_Code],$A102,T_SelfStock[WeekIndex],8)+SUMIFS(T_TTAFStock[TTAF_Qty],T_TTAFStock[RM_Code],$A102,T_TTAFStock[WeekIndex],8),H102+'Grid_Incoming'!I102-'Grid_Requirement'!I102))</f>
        <v/>
      </c>
      <c r="J102">
        <f>IF(COUNTIFS(T_StockCount[RM_Code],$A102,T_StockCount[WeekIndex],9)&gt;0,SUMIFS(T_StockCount[CountedQty],T_StockCount[RM_Code],$A102,T_StockCount[WeekIndex],9),IF((COUNTIFS(T_SelfStock[RM_Code],$A102,T_SelfStock[WeekIndex],9)&gt;0)*(COUNTIFS(T_TTAFStock[RM_Code],$A102,T_TTAFStock[WeekIndex],9)&gt;0)&gt;0,SUMIFS(T_SelfStock[Self_Qty],T_SelfStock[RM_Code],$A102,T_SelfStock[WeekIndex],9)+SUMIFS(T_TTAFStock[TTAF_Qty],T_TTAFStock[RM_Code],$A102,T_TTAFStock[WeekIndex],9),I102+'Grid_Incoming'!J102-'Grid_Requirement'!J102))</f>
        <v/>
      </c>
      <c r="K102">
        <f>IF(COUNTIFS(T_StockCount[RM_Code],$A102,T_StockCount[WeekIndex],10)&gt;0,SUMIFS(T_StockCount[CountedQty],T_StockCount[RM_Code],$A102,T_StockCount[WeekIndex],10),IF((COUNTIFS(T_SelfStock[RM_Code],$A102,T_SelfStock[WeekIndex],10)&gt;0)*(COUNTIFS(T_TTAFStock[RM_Code],$A102,T_TTAFStock[WeekIndex],10)&gt;0)&gt;0,SUMIFS(T_SelfStock[Self_Qty],T_SelfStock[RM_Code],$A102,T_SelfStock[WeekIndex],10)+SUMIFS(T_TTAFStock[TTAF_Qty],T_TTAFStock[RM_Code],$A102,T_TTAFStock[WeekIndex],10),J102+'Grid_Incoming'!K102-'Grid_Requirement'!K102))</f>
        <v/>
      </c>
      <c r="L102">
        <f>IF(COUNTIFS(T_StockCount[RM_Code],$A102,T_StockCount[WeekIndex],11)&gt;0,SUMIFS(T_StockCount[CountedQty],T_StockCount[RM_Code],$A102,T_StockCount[WeekIndex],11),IF((COUNTIFS(T_SelfStock[RM_Code],$A102,T_SelfStock[WeekIndex],11)&gt;0)*(COUNTIFS(T_TTAFStock[RM_Code],$A102,T_TTAFStock[WeekIndex],11)&gt;0)&gt;0,SUMIFS(T_SelfStock[Self_Qty],T_SelfStock[RM_Code],$A102,T_SelfStock[WeekIndex],11)+SUMIFS(T_TTAFStock[TTAF_Qty],T_TTAFStock[RM_Code],$A102,T_TTAFStock[WeekIndex],11),K102+'Grid_Incoming'!L102-'Grid_Requirement'!L102))</f>
        <v/>
      </c>
      <c r="M102">
        <f>IF(COUNTIFS(T_StockCount[RM_Code],$A102,T_StockCount[WeekIndex],12)&gt;0,SUMIFS(T_StockCount[CountedQty],T_StockCount[RM_Code],$A102,T_StockCount[WeekIndex],12),IF((COUNTIFS(T_SelfStock[RM_Code],$A102,T_SelfStock[WeekIndex],12)&gt;0)*(COUNTIFS(T_TTAFStock[RM_Code],$A102,T_TTAFStock[WeekIndex],12)&gt;0)&gt;0,SUMIFS(T_SelfStock[Self_Qty],T_SelfStock[RM_Code],$A102,T_SelfStock[WeekIndex],12)+SUMIFS(T_TTAFStock[TTAF_Qty],T_TTAFStock[RM_Code],$A102,T_TTAFStock[WeekIndex],12),L102+'Grid_Incoming'!M102-'Grid_Requirement'!M102))</f>
        <v/>
      </c>
      <c r="N102">
        <f>IF(COUNTIFS(T_StockCount[RM_Code],$A102,T_StockCount[WeekIndex],13)&gt;0,SUMIFS(T_StockCount[CountedQty],T_StockCount[RM_Code],$A102,T_StockCount[WeekIndex],13),IF((COUNTIFS(T_SelfStock[RM_Code],$A102,T_SelfStock[WeekIndex],13)&gt;0)*(COUNTIFS(T_TTAFStock[RM_Code],$A102,T_TTAFStock[WeekIndex],13)&gt;0)&gt;0,SUMIFS(T_SelfStock[Self_Qty],T_SelfStock[RM_Code],$A102,T_SelfStock[WeekIndex],13)+SUMIFS(T_TTAFStock[TTAF_Qty],T_TTAFStock[RM_Code],$A102,T_TTAFStock[WeekIndex],13),M102+'Grid_Incoming'!N102-'Grid_Requirement'!N102))</f>
        <v/>
      </c>
      <c r="O102">
        <f>IF(COUNTIFS(T_StockCount[RM_Code],$A102,T_StockCount[WeekIndex],14)&gt;0,SUMIFS(T_StockCount[CountedQty],T_StockCount[RM_Code],$A102,T_StockCount[WeekIndex],14),IF((COUNTIFS(T_SelfStock[RM_Code],$A102,T_SelfStock[WeekIndex],14)&gt;0)*(COUNTIFS(T_TTAFStock[RM_Code],$A102,T_TTAFStock[WeekIndex],14)&gt;0)&gt;0,SUMIFS(T_SelfStock[Self_Qty],T_SelfStock[RM_Code],$A102,T_SelfStock[WeekIndex],14)+SUMIFS(T_TTAFStock[TTAF_Qty],T_TTAFStock[RM_Code],$A102,T_TTAFStock[WeekIndex],14),N102+'Grid_Incoming'!O102-'Grid_Requirement'!O102))</f>
        <v/>
      </c>
      <c r="P102">
        <f>IF(COUNTIFS(T_StockCount[RM_Code],$A102,T_StockCount[WeekIndex],15)&gt;0,SUMIFS(T_StockCount[CountedQty],T_StockCount[RM_Code],$A102,T_StockCount[WeekIndex],15),IF((COUNTIFS(T_SelfStock[RM_Code],$A102,T_SelfStock[WeekIndex],15)&gt;0)*(COUNTIFS(T_TTAFStock[RM_Code],$A102,T_TTAFStock[WeekIndex],15)&gt;0)&gt;0,SUMIFS(T_SelfStock[Self_Qty],T_SelfStock[RM_Code],$A102,T_SelfStock[WeekIndex],15)+SUMIFS(T_TTAFStock[TTAF_Qty],T_TTAFStock[RM_Code],$A102,T_TTAFStock[WeekIndex],15),O102+'Grid_Incoming'!P102-'Grid_Requirement'!P102))</f>
        <v/>
      </c>
      <c r="Q102">
        <f>IF(COUNTIFS(T_StockCount[RM_Code],$A102,T_StockCount[WeekIndex],16)&gt;0,SUMIFS(T_StockCount[CountedQty],T_StockCount[RM_Code],$A102,T_StockCount[WeekIndex],16),IF((COUNTIFS(T_SelfStock[RM_Code],$A102,T_SelfStock[WeekIndex],16)&gt;0)*(COUNTIFS(T_TTAFStock[RM_Code],$A102,T_TTAFStock[WeekIndex],16)&gt;0)&gt;0,SUMIFS(T_SelfStock[Self_Qty],T_SelfStock[RM_Code],$A102,T_SelfStock[WeekIndex],16)+SUMIFS(T_TTAFStock[TTAF_Qty],T_TTAFStock[RM_Code],$A102,T_TTAFStock[WeekIndex],16),P102+'Grid_Incoming'!Q102-'Grid_Requirement'!Q102))</f>
        <v/>
      </c>
      <c r="R102">
        <f>IF(COUNTIFS(T_StockCount[RM_Code],$A102,T_StockCount[WeekIndex],17)&gt;0,SUMIFS(T_StockCount[CountedQty],T_StockCount[RM_Code],$A102,T_StockCount[WeekIndex],17),IF((COUNTIFS(T_SelfStock[RM_Code],$A102,T_SelfStock[WeekIndex],17)&gt;0)*(COUNTIFS(T_TTAFStock[RM_Code],$A102,T_TTAFStock[WeekIndex],17)&gt;0)&gt;0,SUMIFS(T_SelfStock[Self_Qty],T_SelfStock[RM_Code],$A102,T_SelfStock[WeekIndex],17)+SUMIFS(T_TTAFStock[TTAF_Qty],T_TTAFStock[RM_Code],$A102,T_TTAFStock[WeekIndex],17),Q102+'Grid_Incoming'!R102-'Grid_Requirement'!R102))</f>
        <v/>
      </c>
      <c r="S102">
        <f>IF(COUNTIFS(T_StockCount[RM_Code],$A102,T_StockCount[WeekIndex],18)&gt;0,SUMIFS(T_StockCount[CountedQty],T_StockCount[RM_Code],$A102,T_StockCount[WeekIndex],18),IF((COUNTIFS(T_SelfStock[RM_Code],$A102,T_SelfStock[WeekIndex],18)&gt;0)*(COUNTIFS(T_TTAFStock[RM_Code],$A102,T_TTAFStock[WeekIndex],18)&gt;0)&gt;0,SUMIFS(T_SelfStock[Self_Qty],T_SelfStock[RM_Code],$A102,T_SelfStock[WeekIndex],18)+SUMIFS(T_TTAFStock[TTAF_Qty],T_TTAFStock[RM_Code],$A102,T_TTAFStock[WeekIndex],18),R102+'Grid_Incoming'!S102-'Grid_Requirement'!S102))</f>
        <v/>
      </c>
      <c r="T102">
        <f>IF(COUNTIFS(T_StockCount[RM_Code],$A102,T_StockCount[WeekIndex],19)&gt;0,SUMIFS(T_StockCount[CountedQty],T_StockCount[RM_Code],$A102,T_StockCount[WeekIndex],19),IF((COUNTIFS(T_SelfStock[RM_Code],$A102,T_SelfStock[WeekIndex],19)&gt;0)*(COUNTIFS(T_TTAFStock[RM_Code],$A102,T_TTAFStock[WeekIndex],19)&gt;0)&gt;0,SUMIFS(T_SelfStock[Self_Qty],T_SelfStock[RM_Code],$A102,T_SelfStock[WeekIndex],19)+SUMIFS(T_TTAFStock[TTAF_Qty],T_TTAFStock[RM_Code],$A102,T_TTAFStock[WeekIndex],19),S102+'Grid_Incoming'!T102-'Grid_Requirement'!T102))</f>
        <v/>
      </c>
      <c r="U102">
        <f>IF(COUNTIFS(T_StockCount[RM_Code],$A102,T_StockCount[WeekIndex],20)&gt;0,SUMIFS(T_StockCount[CountedQty],T_StockCount[RM_Code],$A102,T_StockCount[WeekIndex],20),IF((COUNTIFS(T_SelfStock[RM_Code],$A102,T_SelfStock[WeekIndex],20)&gt;0)*(COUNTIFS(T_TTAFStock[RM_Code],$A102,T_TTAFStock[WeekIndex],20)&gt;0)&gt;0,SUMIFS(T_SelfStock[Self_Qty],T_SelfStock[RM_Code],$A102,T_SelfStock[WeekIndex],20)+SUMIFS(T_TTAFStock[TTAF_Qty],T_TTAFStock[RM_Code],$A102,T_TTAFStock[WeekIndex],20),T102+'Grid_Incoming'!U102-'Grid_Requirement'!U102))</f>
        <v/>
      </c>
      <c r="V102">
        <f>IF(COUNTIFS(T_StockCount[RM_Code],$A102,T_StockCount[WeekIndex],21)&gt;0,SUMIFS(T_StockCount[CountedQty],T_StockCount[RM_Code],$A102,T_StockCount[WeekIndex],21),IF((COUNTIFS(T_SelfStock[RM_Code],$A102,T_SelfStock[WeekIndex],21)&gt;0)*(COUNTIFS(T_TTAFStock[RM_Code],$A102,T_TTAFStock[WeekIndex],21)&gt;0)&gt;0,SUMIFS(T_SelfStock[Self_Qty],T_SelfStock[RM_Code],$A102,T_SelfStock[WeekIndex],21)+SUMIFS(T_TTAFStock[TTAF_Qty],T_TTAFStock[RM_Code],$A102,T_TTAFStock[WeekIndex],21),U102+'Grid_Incoming'!V102-'Grid_Requirement'!V102))</f>
        <v/>
      </c>
      <c r="W102">
        <f>IF(COUNTIFS(T_StockCount[RM_Code],$A102,T_StockCount[WeekIndex],22)&gt;0,SUMIFS(T_StockCount[CountedQty],T_StockCount[RM_Code],$A102,T_StockCount[WeekIndex],22),IF((COUNTIFS(T_SelfStock[RM_Code],$A102,T_SelfStock[WeekIndex],22)&gt;0)*(COUNTIFS(T_TTAFStock[RM_Code],$A102,T_TTAFStock[WeekIndex],22)&gt;0)&gt;0,SUMIFS(T_SelfStock[Self_Qty],T_SelfStock[RM_Code],$A102,T_SelfStock[WeekIndex],22)+SUMIFS(T_TTAFStock[TTAF_Qty],T_TTAFStock[RM_Code],$A102,T_TTAFStock[WeekIndex],22),V102+'Grid_Incoming'!W102-'Grid_Requirement'!W102))</f>
        <v/>
      </c>
      <c r="X102">
        <f>IF(COUNTIFS(T_StockCount[RM_Code],$A102,T_StockCount[WeekIndex],23)&gt;0,SUMIFS(T_StockCount[CountedQty],T_StockCount[RM_Code],$A102,T_StockCount[WeekIndex],23),IF((COUNTIFS(T_SelfStock[RM_Code],$A102,T_SelfStock[WeekIndex],23)&gt;0)*(COUNTIFS(T_TTAFStock[RM_Code],$A102,T_TTAFStock[WeekIndex],23)&gt;0)&gt;0,SUMIFS(T_SelfStock[Self_Qty],T_SelfStock[RM_Code],$A102,T_SelfStock[WeekIndex],23)+SUMIFS(T_TTAFStock[TTAF_Qty],T_TTAFStock[RM_Code],$A102,T_TTAFStock[WeekIndex],23),W102+'Grid_Incoming'!X102-'Grid_Requirement'!X102))</f>
        <v/>
      </c>
      <c r="Y102">
        <f>IF(COUNTIFS(T_StockCount[RM_Code],$A102,T_StockCount[WeekIndex],24)&gt;0,SUMIFS(T_StockCount[CountedQty],T_StockCount[RM_Code],$A102,T_StockCount[WeekIndex],24),IF((COUNTIFS(T_SelfStock[RM_Code],$A102,T_SelfStock[WeekIndex],24)&gt;0)*(COUNTIFS(T_TTAFStock[RM_Code],$A102,T_TTAFStock[WeekIndex],24)&gt;0)&gt;0,SUMIFS(T_SelfStock[Self_Qty],T_SelfStock[RM_Code],$A102,T_SelfStock[WeekIndex],24)+SUMIFS(T_TTAFStock[TTAF_Qty],T_TTAFStock[RM_Code],$A102,T_TTAFStock[WeekIndex],24),X102+'Grid_Incoming'!Y102-'Grid_Requirement'!Y102))</f>
        <v/>
      </c>
      <c r="Z102">
        <f>IF(COUNTIFS(T_StockCount[RM_Code],$A102,T_StockCount[WeekIndex],25)&gt;0,SUMIFS(T_StockCount[CountedQty],T_StockCount[RM_Code],$A102,T_StockCount[WeekIndex],25),IF((COUNTIFS(T_SelfStock[RM_Code],$A102,T_SelfStock[WeekIndex],25)&gt;0)*(COUNTIFS(T_TTAFStock[RM_Code],$A102,T_TTAFStock[WeekIndex],25)&gt;0)&gt;0,SUMIFS(T_SelfStock[Self_Qty],T_SelfStock[RM_Code],$A102,T_SelfStock[WeekIndex],25)+SUMIFS(T_TTAFStock[TTAF_Qty],T_TTAFStock[RM_Code],$A102,T_TTAFStock[WeekIndex],25),Y102+'Grid_Incoming'!Z102-'Grid_Requirement'!Z102))</f>
        <v/>
      </c>
      <c r="AA102">
        <f>IF(COUNTIFS(T_StockCount[RM_Code],$A102,T_StockCount[WeekIndex],26)&gt;0,SUMIFS(T_StockCount[CountedQty],T_StockCount[RM_Code],$A102,T_StockCount[WeekIndex],26),IF((COUNTIFS(T_SelfStock[RM_Code],$A102,T_SelfStock[WeekIndex],26)&gt;0)*(COUNTIFS(T_TTAFStock[RM_Code],$A102,T_TTAFStock[WeekIndex],26)&gt;0)&gt;0,SUMIFS(T_SelfStock[Self_Qty],T_SelfStock[RM_Code],$A102,T_SelfStock[WeekIndex],26)+SUMIFS(T_TTAFStock[TTAF_Qty],T_TTAFStock[RM_Code],$A102,T_TTAFStock[WeekIndex],26),Z102+'Grid_Incoming'!AA102-'Grid_Requirement'!AA102))</f>
        <v/>
      </c>
      <c r="AB102">
        <f>IF(COUNTIFS(T_StockCount[RM_Code],$A102,T_StockCount[WeekIndex],27)&gt;0,SUMIFS(T_StockCount[CountedQty],T_StockCount[RM_Code],$A102,T_StockCount[WeekIndex],27),IF((COUNTIFS(T_SelfStock[RM_Code],$A102,T_SelfStock[WeekIndex],27)&gt;0)*(COUNTIFS(T_TTAFStock[RM_Code],$A102,T_TTAFStock[WeekIndex],27)&gt;0)&gt;0,SUMIFS(T_SelfStock[Self_Qty],T_SelfStock[RM_Code],$A102,T_SelfStock[WeekIndex],27)+SUMIFS(T_TTAFStock[TTAF_Qty],T_TTAFStock[RM_Code],$A102,T_TTAFStock[WeekIndex],27),AA102+'Grid_Incoming'!AB102-'Grid_Requirement'!AB102))</f>
        <v/>
      </c>
      <c r="AC102">
        <f>IF(COUNTIFS(T_StockCount[RM_Code],$A102,T_StockCount[WeekIndex],28)&gt;0,SUMIFS(T_StockCount[CountedQty],T_StockCount[RM_Code],$A102,T_StockCount[WeekIndex],28),IF((COUNTIFS(T_SelfStock[RM_Code],$A102,T_SelfStock[WeekIndex],28)&gt;0)*(COUNTIFS(T_TTAFStock[RM_Code],$A102,T_TTAFStock[WeekIndex],28)&gt;0)&gt;0,SUMIFS(T_SelfStock[Self_Qty],T_SelfStock[RM_Code],$A102,T_SelfStock[WeekIndex],28)+SUMIFS(T_TTAFStock[TTAF_Qty],T_TTAFStock[RM_Code],$A102,T_TTAFStock[WeekIndex],28),AB102+'Grid_Incoming'!AC102-'Grid_Requirement'!AC102))</f>
        <v/>
      </c>
      <c r="AD102">
        <f>IF(COUNTIFS(T_StockCount[RM_Code],$A102,T_StockCount[WeekIndex],29)&gt;0,SUMIFS(T_StockCount[CountedQty],T_StockCount[RM_Code],$A102,T_StockCount[WeekIndex],29),IF((COUNTIFS(T_SelfStock[RM_Code],$A102,T_SelfStock[WeekIndex],29)&gt;0)*(COUNTIFS(T_TTAFStock[RM_Code],$A102,T_TTAFStock[WeekIndex],29)&gt;0)&gt;0,SUMIFS(T_SelfStock[Self_Qty],T_SelfStock[RM_Code],$A102,T_SelfStock[WeekIndex],29)+SUMIFS(T_TTAFStock[TTAF_Qty],T_TTAFStock[RM_Code],$A102,T_TTAFStock[WeekIndex],29),AC102+'Grid_Incoming'!AD102-'Grid_Requirement'!AD102))</f>
        <v/>
      </c>
      <c r="AE102">
        <f>IF(COUNTIFS(T_StockCount[RM_Code],$A102,T_StockCount[WeekIndex],30)&gt;0,SUMIFS(T_StockCount[CountedQty],T_StockCount[RM_Code],$A102,T_StockCount[WeekIndex],30),IF((COUNTIFS(T_SelfStock[RM_Code],$A102,T_SelfStock[WeekIndex],30)&gt;0)*(COUNTIFS(T_TTAFStock[RM_Code],$A102,T_TTAFStock[WeekIndex],30)&gt;0)&gt;0,SUMIFS(T_SelfStock[Self_Qty],T_SelfStock[RM_Code],$A102,T_SelfStock[WeekIndex],30)+SUMIFS(T_TTAFStock[TTAF_Qty],T_TTAFStock[RM_Code],$A102,T_TTAFStock[WeekIndex],30),AD102+'Grid_Incoming'!AE102-'Grid_Requirement'!AE102))</f>
        <v/>
      </c>
      <c r="AF102">
        <f>IF(COUNTIFS(T_StockCount[RM_Code],$A102,T_StockCount[WeekIndex],31)&gt;0,SUMIFS(T_StockCount[CountedQty],T_StockCount[RM_Code],$A102,T_StockCount[WeekIndex],31),IF((COUNTIFS(T_SelfStock[RM_Code],$A102,T_SelfStock[WeekIndex],31)&gt;0)*(COUNTIFS(T_TTAFStock[RM_Code],$A102,T_TTAFStock[WeekIndex],31)&gt;0)&gt;0,SUMIFS(T_SelfStock[Self_Qty],T_SelfStock[RM_Code],$A102,T_SelfStock[WeekIndex],31)+SUMIFS(T_TTAFStock[TTAF_Qty],T_TTAFStock[RM_Code],$A102,T_TTAFStock[WeekIndex],31),AE102+'Grid_Incoming'!AF102-'Grid_Requirement'!AF102))</f>
        <v/>
      </c>
      <c r="AG102">
        <f>IF(COUNTIFS(T_StockCount[RM_Code],$A102,T_StockCount[WeekIndex],32)&gt;0,SUMIFS(T_StockCount[CountedQty],T_StockCount[RM_Code],$A102,T_StockCount[WeekIndex],32),IF((COUNTIFS(T_SelfStock[RM_Code],$A102,T_SelfStock[WeekIndex],32)&gt;0)*(COUNTIFS(T_TTAFStock[RM_Code],$A102,T_TTAFStock[WeekIndex],32)&gt;0)&gt;0,SUMIFS(T_SelfStock[Self_Qty],T_SelfStock[RM_Code],$A102,T_SelfStock[WeekIndex],32)+SUMIFS(T_TTAFStock[TTAF_Qty],T_TTAFStock[RM_Code],$A102,T_TTAFStock[WeekIndex],32),AF102+'Grid_Incoming'!AG102-'Grid_Requirement'!AG102))</f>
        <v/>
      </c>
      <c r="AH102">
        <f>IF(COUNTIFS(T_StockCount[RM_Code],$A102,T_StockCount[WeekIndex],33)&gt;0,SUMIFS(T_StockCount[CountedQty],T_StockCount[RM_Code],$A102,T_StockCount[WeekIndex],33),IF((COUNTIFS(T_SelfStock[RM_Code],$A102,T_SelfStock[WeekIndex],33)&gt;0)*(COUNTIFS(T_TTAFStock[RM_Code],$A102,T_TTAFStock[WeekIndex],33)&gt;0)&gt;0,SUMIFS(T_SelfStock[Self_Qty],T_SelfStock[RM_Code],$A102,T_SelfStock[WeekIndex],33)+SUMIFS(T_TTAFStock[TTAF_Qty],T_TTAFStock[RM_Code],$A102,T_TTAFStock[WeekIndex],33),AG102+'Grid_Incoming'!AH102-'Grid_Requirement'!AH102))</f>
        <v/>
      </c>
      <c r="AI102">
        <f>IF(COUNTIFS(T_StockCount[RM_Code],$A102,T_StockCount[WeekIndex],34)&gt;0,SUMIFS(T_StockCount[CountedQty],T_StockCount[RM_Code],$A102,T_StockCount[WeekIndex],34),IF((COUNTIFS(T_SelfStock[RM_Code],$A102,T_SelfStock[WeekIndex],34)&gt;0)*(COUNTIFS(T_TTAFStock[RM_Code],$A102,T_TTAFStock[WeekIndex],34)&gt;0)&gt;0,SUMIFS(T_SelfStock[Self_Qty],T_SelfStock[RM_Code],$A102,T_SelfStock[WeekIndex],34)+SUMIFS(T_TTAFStock[TTAF_Qty],T_TTAFStock[RM_Code],$A102,T_TTAFStock[WeekIndex],34),AH102+'Grid_Incoming'!AI102-'Grid_Requirement'!AI102))</f>
        <v/>
      </c>
      <c r="AJ102">
        <f>IF(COUNTIFS(T_StockCount[RM_Code],$A102,T_StockCount[WeekIndex],35)&gt;0,SUMIFS(T_StockCount[CountedQty],T_StockCount[RM_Code],$A102,T_StockCount[WeekIndex],35),IF((COUNTIFS(T_SelfStock[RM_Code],$A102,T_SelfStock[WeekIndex],35)&gt;0)*(COUNTIFS(T_TTAFStock[RM_Code],$A102,T_TTAFStock[WeekIndex],35)&gt;0)&gt;0,SUMIFS(T_SelfStock[Self_Qty],T_SelfStock[RM_Code],$A102,T_SelfStock[WeekIndex],35)+SUMIFS(T_TTAFStock[TTAF_Qty],T_TTAFStock[RM_Code],$A102,T_TTAFStock[WeekIndex],35),AI102+'Grid_Incoming'!AJ102-'Grid_Requirement'!AJ102))</f>
        <v/>
      </c>
      <c r="AK102">
        <f>IF(COUNTIFS(T_StockCount[RM_Code],$A102,T_StockCount[WeekIndex],36)&gt;0,SUMIFS(T_StockCount[CountedQty],T_StockCount[RM_Code],$A102,T_StockCount[WeekIndex],36),IF((COUNTIFS(T_SelfStock[RM_Code],$A102,T_SelfStock[WeekIndex],36)&gt;0)*(COUNTIFS(T_TTAFStock[RM_Code],$A102,T_TTAFStock[WeekIndex],36)&gt;0)&gt;0,SUMIFS(T_SelfStock[Self_Qty],T_SelfStock[RM_Code],$A102,T_SelfStock[WeekIndex],36)+SUMIFS(T_TTAFStock[TTAF_Qty],T_TTAFStock[RM_Code],$A102,T_TTAFStock[WeekIndex],36),AJ102+'Grid_Incoming'!AK102-'Grid_Requirement'!AK102))</f>
        <v/>
      </c>
      <c r="AL102">
        <f>IF(COUNTIFS(T_StockCount[RM_Code],$A102,T_StockCount[WeekIndex],37)&gt;0,SUMIFS(T_StockCount[CountedQty],T_StockCount[RM_Code],$A102,T_StockCount[WeekIndex],37),IF((COUNTIFS(T_SelfStock[RM_Code],$A102,T_SelfStock[WeekIndex],37)&gt;0)*(COUNTIFS(T_TTAFStock[RM_Code],$A102,T_TTAFStock[WeekIndex],37)&gt;0)&gt;0,SUMIFS(T_SelfStock[Self_Qty],T_SelfStock[RM_Code],$A102,T_SelfStock[WeekIndex],37)+SUMIFS(T_TTAFStock[TTAF_Qty],T_TTAFStock[RM_Code],$A102,T_TTAFStock[WeekIndex],37),AK102+'Grid_Incoming'!AL102-'Grid_Requirement'!AL102))</f>
        <v/>
      </c>
      <c r="AM102">
        <f>IF(COUNTIFS(T_StockCount[RM_Code],$A102,T_StockCount[WeekIndex],38)&gt;0,SUMIFS(T_StockCount[CountedQty],T_StockCount[RM_Code],$A102,T_StockCount[WeekIndex],38),IF((COUNTIFS(T_SelfStock[RM_Code],$A102,T_SelfStock[WeekIndex],38)&gt;0)*(COUNTIFS(T_TTAFStock[RM_Code],$A102,T_TTAFStock[WeekIndex],38)&gt;0)&gt;0,SUMIFS(T_SelfStock[Self_Qty],T_SelfStock[RM_Code],$A102,T_SelfStock[WeekIndex],38)+SUMIFS(T_TTAFStock[TTAF_Qty],T_TTAFStock[RM_Code],$A102,T_TTAFStock[WeekIndex],38),AL102+'Grid_Incoming'!AM102-'Grid_Requirement'!AM102))</f>
        <v/>
      </c>
      <c r="AN102">
        <f>IF(COUNTIFS(T_StockCount[RM_Code],$A102,T_StockCount[WeekIndex],39)&gt;0,SUMIFS(T_StockCount[CountedQty],T_StockCount[RM_Code],$A102,T_StockCount[WeekIndex],39),IF((COUNTIFS(T_SelfStock[RM_Code],$A102,T_SelfStock[WeekIndex],39)&gt;0)*(COUNTIFS(T_TTAFStock[RM_Code],$A102,T_TTAFStock[WeekIndex],39)&gt;0)&gt;0,SUMIFS(T_SelfStock[Self_Qty],T_SelfStock[RM_Code],$A102,T_SelfStock[WeekIndex],39)+SUMIFS(T_TTAFStock[TTAF_Qty],T_TTAFStock[RM_Code],$A102,T_TTAFStock[WeekIndex],39),AM102+'Grid_Incoming'!AN102-'Grid_Requirement'!AN102))</f>
        <v/>
      </c>
      <c r="AO102">
        <f>IF(COUNTIFS(T_StockCount[RM_Code],$A102,T_StockCount[WeekIndex],40)&gt;0,SUMIFS(T_StockCount[CountedQty],T_StockCount[RM_Code],$A102,T_StockCount[WeekIndex],40),IF((COUNTIFS(T_SelfStock[RM_Code],$A102,T_SelfStock[WeekIndex],40)&gt;0)*(COUNTIFS(T_TTAFStock[RM_Code],$A102,T_TTAFStock[WeekIndex],40)&gt;0)&gt;0,SUMIFS(T_SelfStock[Self_Qty],T_SelfStock[RM_Code],$A102,T_SelfStock[WeekIndex],40)+SUMIFS(T_TTAFStock[TTAF_Qty],T_TTAFStock[RM_Code],$A102,T_TTAFStock[WeekIndex],40),AN102+'Grid_Incoming'!AO102-'Grid_Requirement'!AO102))</f>
        <v/>
      </c>
      <c r="AP102">
        <f>IF(COUNTIFS(T_StockCount[RM_Code],$A102,T_StockCount[WeekIndex],41)&gt;0,SUMIFS(T_StockCount[CountedQty],T_StockCount[RM_Code],$A102,T_StockCount[WeekIndex],41),IF((COUNTIFS(T_SelfStock[RM_Code],$A102,T_SelfStock[WeekIndex],41)&gt;0)*(COUNTIFS(T_TTAFStock[RM_Code],$A102,T_TTAFStock[WeekIndex],41)&gt;0)&gt;0,SUMIFS(T_SelfStock[Self_Qty],T_SelfStock[RM_Code],$A102,T_SelfStock[WeekIndex],41)+SUMIFS(T_TTAFStock[TTAF_Qty],T_TTAFStock[RM_Code],$A102,T_TTAFStock[WeekIndex],41),AO102+'Grid_Incoming'!AP102-'Grid_Requirement'!AP102))</f>
        <v/>
      </c>
      <c r="AQ102">
        <f>IF(COUNTIFS(T_StockCount[RM_Code],$A102,T_StockCount[WeekIndex],42)&gt;0,SUMIFS(T_StockCount[CountedQty],T_StockCount[RM_Code],$A102,T_StockCount[WeekIndex],42),IF((COUNTIFS(T_SelfStock[RM_Code],$A102,T_SelfStock[WeekIndex],42)&gt;0)*(COUNTIFS(T_TTAFStock[RM_Code],$A102,T_TTAFStock[WeekIndex],42)&gt;0)&gt;0,SUMIFS(T_SelfStock[Self_Qty],T_SelfStock[RM_Code],$A102,T_SelfStock[WeekIndex],42)+SUMIFS(T_TTAFStock[TTAF_Qty],T_TTAFStock[RM_Code],$A102,T_TTAFStock[WeekIndex],42),AP102+'Grid_Incoming'!AQ102-'Grid_Requirement'!AQ102))</f>
        <v/>
      </c>
      <c r="AR102">
        <f>IF(COUNTIFS(T_StockCount[RM_Code],$A102,T_StockCount[WeekIndex],43)&gt;0,SUMIFS(T_StockCount[CountedQty],T_StockCount[RM_Code],$A102,T_StockCount[WeekIndex],43),IF((COUNTIFS(T_SelfStock[RM_Code],$A102,T_SelfStock[WeekIndex],43)&gt;0)*(COUNTIFS(T_TTAFStock[RM_Code],$A102,T_TTAFStock[WeekIndex],43)&gt;0)&gt;0,SUMIFS(T_SelfStock[Self_Qty],T_SelfStock[RM_Code],$A102,T_SelfStock[WeekIndex],43)+SUMIFS(T_TTAFStock[TTAF_Qty],T_TTAFStock[RM_Code],$A102,T_TTAFStock[WeekIndex],43),AQ102+'Grid_Incoming'!AR102-'Grid_Requirement'!AR102))</f>
        <v/>
      </c>
      <c r="AS102">
        <f>IF(COUNTIFS(T_StockCount[RM_Code],$A102,T_StockCount[WeekIndex],44)&gt;0,SUMIFS(T_StockCount[CountedQty],T_StockCount[RM_Code],$A102,T_StockCount[WeekIndex],44),IF((COUNTIFS(T_SelfStock[RM_Code],$A102,T_SelfStock[WeekIndex],44)&gt;0)*(COUNTIFS(T_TTAFStock[RM_Code],$A102,T_TTAFStock[WeekIndex],44)&gt;0)&gt;0,SUMIFS(T_SelfStock[Self_Qty],T_SelfStock[RM_Code],$A102,T_SelfStock[WeekIndex],44)+SUMIFS(T_TTAFStock[TTAF_Qty],T_TTAFStock[RM_Code],$A102,T_TTAFStock[WeekIndex],44),AR102+'Grid_Incoming'!AS102-'Grid_Requirement'!AS102))</f>
        <v/>
      </c>
      <c r="AT102">
        <f>IF(COUNTIFS(T_StockCount[RM_Code],$A102,T_StockCount[WeekIndex],45)&gt;0,SUMIFS(T_StockCount[CountedQty],T_StockCount[RM_Code],$A102,T_StockCount[WeekIndex],45),IF((COUNTIFS(T_SelfStock[RM_Code],$A102,T_SelfStock[WeekIndex],45)&gt;0)*(COUNTIFS(T_TTAFStock[RM_Code],$A102,T_TTAFStock[WeekIndex],45)&gt;0)&gt;0,SUMIFS(T_SelfStock[Self_Qty],T_SelfStock[RM_Code],$A102,T_SelfStock[WeekIndex],45)+SUMIFS(T_TTAFStock[TTAF_Qty],T_TTAFStock[RM_Code],$A102,T_TTAFStock[WeekIndex],45),AS102+'Grid_Incoming'!AT102-'Grid_Requirement'!AT102))</f>
        <v/>
      </c>
      <c r="AU102">
        <f>IF(COUNTIFS(T_StockCount[RM_Code],$A102,T_StockCount[WeekIndex],46)&gt;0,SUMIFS(T_StockCount[CountedQty],T_StockCount[RM_Code],$A102,T_StockCount[WeekIndex],46),IF((COUNTIFS(T_SelfStock[RM_Code],$A102,T_SelfStock[WeekIndex],46)&gt;0)*(COUNTIFS(T_TTAFStock[RM_Code],$A102,T_TTAFStock[WeekIndex],46)&gt;0)&gt;0,SUMIFS(T_SelfStock[Self_Qty],T_SelfStock[RM_Code],$A102,T_SelfStock[WeekIndex],46)+SUMIFS(T_TTAFStock[TTAF_Qty],T_TTAFStock[RM_Code],$A102,T_TTAFStock[WeekIndex],46),AT102+'Grid_Incoming'!AU102-'Grid_Requirement'!AU102))</f>
        <v/>
      </c>
      <c r="AV102">
        <f>IF(COUNTIFS(T_StockCount[RM_Code],$A102,T_StockCount[WeekIndex],47)&gt;0,SUMIFS(T_StockCount[CountedQty],T_StockCount[RM_Code],$A102,T_StockCount[WeekIndex],47),IF((COUNTIFS(T_SelfStock[RM_Code],$A102,T_SelfStock[WeekIndex],47)&gt;0)*(COUNTIFS(T_TTAFStock[RM_Code],$A102,T_TTAFStock[WeekIndex],47)&gt;0)&gt;0,SUMIFS(T_SelfStock[Self_Qty],T_SelfStock[RM_Code],$A102,T_SelfStock[WeekIndex],47)+SUMIFS(T_TTAFStock[TTAF_Qty],T_TTAFStock[RM_Code],$A102,T_TTAFStock[WeekIndex],47),AU102+'Grid_Incoming'!AV102-'Grid_Requirement'!AV102))</f>
        <v/>
      </c>
      <c r="AW102">
        <f>IF(COUNTIFS(T_StockCount[RM_Code],$A102,T_StockCount[WeekIndex],48)&gt;0,SUMIFS(T_StockCount[CountedQty],T_StockCount[RM_Code],$A102,T_StockCount[WeekIndex],48),IF((COUNTIFS(T_SelfStock[RM_Code],$A102,T_SelfStock[WeekIndex],48)&gt;0)*(COUNTIFS(T_TTAFStock[RM_Code],$A102,T_TTAFStock[WeekIndex],48)&gt;0)&gt;0,SUMIFS(T_SelfStock[Self_Qty],T_SelfStock[RM_Code],$A102,T_SelfStock[WeekIndex],48)+SUMIFS(T_TTAFStock[TTAF_Qty],T_TTAFStock[RM_Code],$A102,T_TTAFStock[WeekIndex],48),AV102+'Grid_Incoming'!AW102-'Grid_Requirement'!AW102))</f>
        <v/>
      </c>
      <c r="AX102">
        <f>IF(COUNTIFS(T_StockCount[RM_Code],$A102,T_StockCount[WeekIndex],49)&gt;0,SUMIFS(T_StockCount[CountedQty],T_StockCount[RM_Code],$A102,T_StockCount[WeekIndex],49),IF((COUNTIFS(T_SelfStock[RM_Code],$A102,T_SelfStock[WeekIndex],49)&gt;0)*(COUNTIFS(T_TTAFStock[RM_Code],$A102,T_TTAFStock[WeekIndex],49)&gt;0)&gt;0,SUMIFS(T_SelfStock[Self_Qty],T_SelfStock[RM_Code],$A102,T_SelfStock[WeekIndex],49)+SUMIFS(T_TTAFStock[TTAF_Qty],T_TTAFStock[RM_Code],$A102,T_TTAFStock[WeekIndex],49),AW102+'Grid_Incoming'!AX102-'Grid_Requirement'!AX102))</f>
        <v/>
      </c>
      <c r="AY102">
        <f>IF(COUNTIFS(T_StockCount[RM_Code],$A102,T_StockCount[WeekIndex],50)&gt;0,SUMIFS(T_StockCount[CountedQty],T_StockCount[RM_Code],$A102,T_StockCount[WeekIndex],50),IF((COUNTIFS(T_SelfStock[RM_Code],$A102,T_SelfStock[WeekIndex],50)&gt;0)*(COUNTIFS(T_TTAFStock[RM_Code],$A102,T_TTAFStock[WeekIndex],50)&gt;0)&gt;0,SUMIFS(T_SelfStock[Self_Qty],T_SelfStock[RM_Code],$A102,T_SelfStock[WeekIndex],50)+SUMIFS(T_TTAFStock[TTAF_Qty],T_TTAFStock[RM_Code],$A102,T_TTAFStock[WeekIndex],50),AX102+'Grid_Incoming'!AY102-'Grid_Requirement'!AY102))</f>
        <v/>
      </c>
      <c r="AZ102">
        <f>IF(COUNTIFS(T_StockCount[RM_Code],$A102,T_StockCount[WeekIndex],51)&gt;0,SUMIFS(T_StockCount[CountedQty],T_StockCount[RM_Code],$A102,T_StockCount[WeekIndex],51),IF((COUNTIFS(T_SelfStock[RM_Code],$A102,T_SelfStock[WeekIndex],51)&gt;0)*(COUNTIFS(T_TTAFStock[RM_Code],$A102,T_TTAFStock[WeekIndex],51)&gt;0)&gt;0,SUMIFS(T_SelfStock[Self_Qty],T_SelfStock[RM_Code],$A102,T_SelfStock[WeekIndex],51)+SUMIFS(T_TTAFStock[TTAF_Qty],T_TTAFStock[RM_Code],$A102,T_TTAFStock[WeekIndex],51),AY102+'Grid_Incoming'!AZ102-'Grid_Requirement'!AZ102))</f>
        <v/>
      </c>
      <c r="BA102">
        <f>IF(COUNTIFS(T_StockCount[RM_Code],$A102,T_StockCount[WeekIndex],52)&gt;0,SUMIFS(T_StockCount[CountedQty],T_StockCount[RM_Code],$A102,T_StockCount[WeekIndex],52),IF((COUNTIFS(T_SelfStock[RM_Code],$A102,T_SelfStock[WeekIndex],52)&gt;0)*(COUNTIFS(T_TTAFStock[RM_Code],$A102,T_TTAFStock[WeekIndex],52)&gt;0)&gt;0,SUMIFS(T_SelfStock[Self_Qty],T_SelfStock[RM_Code],$A102,T_SelfStock[WeekIndex],52)+SUMIFS(T_TTAFStock[TTAF_Qty],T_TTAFStock[RM_Code],$A102,T_TTAFStock[WeekIndex],52),AZ102+'Grid_Incoming'!BA102-'Grid_Requirement'!BA102))</f>
        <v/>
      </c>
      <c r="BB102">
        <f>IF(COUNTIFS(T_StockCount[RM_Code],$A102,T_StockCount[WeekIndex],53)&gt;0,SUMIFS(T_StockCount[CountedQty],T_StockCount[RM_Code],$A102,T_StockCount[WeekIndex],53),IF((COUNTIFS(T_SelfStock[RM_Code],$A102,T_SelfStock[WeekIndex],53)&gt;0)*(COUNTIFS(T_TTAFStock[RM_Code],$A102,T_TTAFStock[WeekIndex],53)&gt;0)&gt;0,SUMIFS(T_SelfStock[Self_Qty],T_SelfStock[RM_Code],$A102,T_SelfStock[WeekIndex],53)+SUMIFS(T_TTAFStock[TTAF_Qty],T_TTAFStock[RM_Code],$A102,T_TTAFStock[WeekIndex],53),BA102+'Grid_Incoming'!BB102-'Grid_Requirement'!BB102))</f>
        <v/>
      </c>
      <c r="BC102">
        <f>IF(COUNTIFS(T_StockCount[RM_Code],$A102,T_StockCount[WeekIndex],54)&gt;0,SUMIFS(T_StockCount[CountedQty],T_StockCount[RM_Code],$A102,T_StockCount[WeekIndex],54),IF((COUNTIFS(T_SelfStock[RM_Code],$A102,T_SelfStock[WeekIndex],54)&gt;0)*(COUNTIFS(T_TTAFStock[RM_Code],$A102,T_TTAFStock[WeekIndex],54)&gt;0)&gt;0,SUMIFS(T_SelfStock[Self_Qty],T_SelfStock[RM_Code],$A102,T_SelfStock[WeekIndex],54)+SUMIFS(T_TTAFStock[TTAF_Qty],T_TTAFStock[RM_Code],$A102,T_TTAFStock[WeekIndex],54),BB102+'Grid_Incoming'!BC102-'Grid_Requirement'!BC102))</f>
        <v/>
      </c>
      <c r="BD102">
        <f>IF(COUNTIFS(T_StockCount[RM_Code],$A102,T_StockCount[WeekIndex],55)&gt;0,SUMIFS(T_StockCount[CountedQty],T_StockCount[RM_Code],$A102,T_StockCount[WeekIndex],55),IF((COUNTIFS(T_SelfStock[RM_Code],$A102,T_SelfStock[WeekIndex],55)&gt;0)*(COUNTIFS(T_TTAFStock[RM_Code],$A102,T_TTAFStock[WeekIndex],55)&gt;0)&gt;0,SUMIFS(T_SelfStock[Self_Qty],T_SelfStock[RM_Code],$A102,T_SelfStock[WeekIndex],55)+SUMIFS(T_TTAFStock[TTAF_Qty],T_TTAFStock[RM_Code],$A102,T_TTAFStock[WeekIndex],55),BC102+'Grid_Incoming'!BD102-'Grid_Requirement'!BD102))</f>
        <v/>
      </c>
      <c r="BE102">
        <f>IF(COUNTIFS(T_StockCount[RM_Code],$A102,T_StockCount[WeekIndex],56)&gt;0,SUMIFS(T_StockCount[CountedQty],T_StockCount[RM_Code],$A102,T_StockCount[WeekIndex],56),IF((COUNTIFS(T_SelfStock[RM_Code],$A102,T_SelfStock[WeekIndex],56)&gt;0)*(COUNTIFS(T_TTAFStock[RM_Code],$A102,T_TTAFStock[WeekIndex],56)&gt;0)&gt;0,SUMIFS(T_SelfStock[Self_Qty],T_SelfStock[RM_Code],$A102,T_SelfStock[WeekIndex],56)+SUMIFS(T_TTAFStock[TTAF_Qty],T_TTAFStock[RM_Code],$A102,T_TTAFStock[WeekIndex],56),BD102+'Grid_Incoming'!BE102-'Grid_Requirement'!BE102))</f>
        <v/>
      </c>
      <c r="BF102">
        <f>IF(COUNTIFS(T_StockCount[RM_Code],$A102,T_StockCount[WeekIndex],57)&gt;0,SUMIFS(T_StockCount[CountedQty],T_StockCount[RM_Code],$A102,T_StockCount[WeekIndex],57),IF((COUNTIFS(T_SelfStock[RM_Code],$A102,T_SelfStock[WeekIndex],57)&gt;0)*(COUNTIFS(T_TTAFStock[RM_Code],$A102,T_TTAFStock[WeekIndex],57)&gt;0)&gt;0,SUMIFS(T_SelfStock[Self_Qty],T_SelfStock[RM_Code],$A102,T_SelfStock[WeekIndex],57)+SUMIFS(T_TTAFStock[TTAF_Qty],T_TTAFStock[RM_Code],$A102,T_TTAFStock[WeekIndex],57),BE102+'Grid_Incoming'!BF102-'Grid_Requirement'!BF102))</f>
        <v/>
      </c>
      <c r="BG102">
        <f>IF(COUNTIFS(T_StockCount[RM_Code],$A102,T_StockCount[WeekIndex],58)&gt;0,SUMIFS(T_StockCount[CountedQty],T_StockCount[RM_Code],$A102,T_StockCount[WeekIndex],58),IF((COUNTIFS(T_SelfStock[RM_Code],$A102,T_SelfStock[WeekIndex],58)&gt;0)*(COUNTIFS(T_TTAFStock[RM_Code],$A102,T_TTAFStock[WeekIndex],58)&gt;0)&gt;0,SUMIFS(T_SelfStock[Self_Qty],T_SelfStock[RM_Code],$A102,T_SelfStock[WeekIndex],58)+SUMIFS(T_TTAFStock[TTAF_Qty],T_TTAFStock[RM_Code],$A102,T_TTAFStock[WeekIndex],58),BF102+'Grid_Incoming'!BG102-'Grid_Requirement'!BG102))</f>
        <v/>
      </c>
      <c r="BH102">
        <f>IF(COUNTIFS(T_StockCount[RM_Code],$A102,T_StockCount[WeekIndex],59)&gt;0,SUMIFS(T_StockCount[CountedQty],T_StockCount[RM_Code],$A102,T_StockCount[WeekIndex],59),IF((COUNTIFS(T_SelfStock[RM_Code],$A102,T_SelfStock[WeekIndex],59)&gt;0)*(COUNTIFS(T_TTAFStock[RM_Code],$A102,T_TTAFStock[WeekIndex],59)&gt;0)&gt;0,SUMIFS(T_SelfStock[Self_Qty],T_SelfStock[RM_Code],$A102,T_SelfStock[WeekIndex],59)+SUMIFS(T_TTAFStock[TTAF_Qty],T_TTAFStock[RM_Code],$A102,T_TTAFStock[WeekIndex],59),BG102+'Grid_Incoming'!BH102-'Grid_Requirement'!BH102))</f>
        <v/>
      </c>
      <c r="BI102">
        <f>IF(COUNTIFS(T_StockCount[RM_Code],$A102,T_StockCount[WeekIndex],60)&gt;0,SUMIFS(T_StockCount[CountedQty],T_StockCount[RM_Code],$A102,T_StockCount[WeekIndex],60),IF((COUNTIFS(T_SelfStock[RM_Code],$A102,T_SelfStock[WeekIndex],60)&gt;0)*(COUNTIFS(T_TTAFStock[RM_Code],$A102,T_TTAFStock[WeekIndex],60)&gt;0)&gt;0,SUMIFS(T_SelfStock[Self_Qty],T_SelfStock[RM_Code],$A102,T_SelfStock[WeekIndex],60)+SUMIFS(T_TTAFStock[TTAF_Qty],T_TTAFStock[RM_Code],$A102,T_TTAFStock[WeekIndex],60),BH102+'Grid_Incoming'!BI102-'Grid_Requirement'!BI102))</f>
        <v/>
      </c>
      <c r="BJ102">
        <f>IF(COUNTIFS(T_StockCount[RM_Code],$A102,T_StockCount[WeekIndex],61)&gt;0,SUMIFS(T_StockCount[CountedQty],T_StockCount[RM_Code],$A102,T_StockCount[WeekIndex],61),IF((COUNTIFS(T_SelfStock[RM_Code],$A102,T_SelfStock[WeekIndex],61)&gt;0)*(COUNTIFS(T_TTAFStock[RM_Code],$A102,T_TTAFStock[WeekIndex],61)&gt;0)&gt;0,SUMIFS(T_SelfStock[Self_Qty],T_SelfStock[RM_Code],$A102,T_SelfStock[WeekIndex],61)+SUMIFS(T_TTAFStock[TTAF_Qty],T_TTAFStock[RM_Code],$A102,T_TTAFStock[WeekIndex],61),BI102+'Grid_Incoming'!BJ102-'Grid_Requirement'!BJ102))</f>
        <v/>
      </c>
      <c r="BK102">
        <f>IF(COUNTIFS(T_StockCount[RM_Code],$A102,T_StockCount[WeekIndex],62)&gt;0,SUMIFS(T_StockCount[CountedQty],T_StockCount[RM_Code],$A102,T_StockCount[WeekIndex],62),IF((COUNTIFS(T_SelfStock[RM_Code],$A102,T_SelfStock[WeekIndex],62)&gt;0)*(COUNTIFS(T_TTAFStock[RM_Code],$A102,T_TTAFStock[WeekIndex],62)&gt;0)&gt;0,SUMIFS(T_SelfStock[Self_Qty],T_SelfStock[RM_Code],$A102,T_SelfStock[WeekIndex],62)+SUMIFS(T_TTAFStock[TTAF_Qty],T_TTAFStock[RM_Code],$A102,T_TTAFStock[WeekIndex],62),BJ102+'Grid_Incoming'!BK102-'Grid_Requirement'!BK102))</f>
        <v/>
      </c>
      <c r="BL102">
        <f>IF(COUNTIFS(T_StockCount[RM_Code],$A102,T_StockCount[WeekIndex],63)&gt;0,SUMIFS(T_StockCount[CountedQty],T_StockCount[RM_Code],$A102,T_StockCount[WeekIndex],63),IF((COUNTIFS(T_SelfStock[RM_Code],$A102,T_SelfStock[WeekIndex],63)&gt;0)*(COUNTIFS(T_TTAFStock[RM_Code],$A102,T_TTAFStock[WeekIndex],63)&gt;0)&gt;0,SUMIFS(T_SelfStock[Self_Qty],T_SelfStock[RM_Code],$A102,T_SelfStock[WeekIndex],63)+SUMIFS(T_TTAFStock[TTAF_Qty],T_TTAFStock[RM_Code],$A102,T_TTAFStock[WeekIndex],63),BK102+'Grid_Incoming'!BL102-'Grid_Requirement'!BL102))</f>
        <v/>
      </c>
      <c r="BM102">
        <f>IF(COUNTIFS(T_StockCount[RM_Code],$A102,T_StockCount[WeekIndex],64)&gt;0,SUMIFS(T_StockCount[CountedQty],T_StockCount[RM_Code],$A102,T_StockCount[WeekIndex],64),IF((COUNTIFS(T_SelfStock[RM_Code],$A102,T_SelfStock[WeekIndex],64)&gt;0)*(COUNTIFS(T_TTAFStock[RM_Code],$A102,T_TTAFStock[WeekIndex],64)&gt;0)&gt;0,SUMIFS(T_SelfStock[Self_Qty],T_SelfStock[RM_Code],$A102,T_SelfStock[WeekIndex],64)+SUMIFS(T_TTAFStock[TTAF_Qty],T_TTAFStock[RM_Code],$A102,T_TTAFStock[WeekIndex],64),BL102+'Grid_Incoming'!BM102-'Grid_Requirement'!BM102))</f>
        <v/>
      </c>
      <c r="BN102">
        <f>IF(COUNTIFS(T_StockCount[RM_Code],$A102,T_StockCount[WeekIndex],65)&gt;0,SUMIFS(T_StockCount[CountedQty],T_StockCount[RM_Code],$A102,T_StockCount[WeekIndex],65),IF((COUNTIFS(T_SelfStock[RM_Code],$A102,T_SelfStock[WeekIndex],65)&gt;0)*(COUNTIFS(T_TTAFStock[RM_Code],$A102,T_TTAFStock[WeekIndex],65)&gt;0)&gt;0,SUMIFS(T_SelfStock[Self_Qty],T_SelfStock[RM_Code],$A102,T_SelfStock[WeekIndex],65)+SUMIFS(T_TTAFStock[TTAF_Qty],T_TTAFStock[RM_Code],$A102,T_TTAFStock[WeekIndex],65),BM102+'Grid_Incoming'!BN102-'Grid_Requirement'!BN102))</f>
        <v/>
      </c>
      <c r="BO102">
        <f>IF(COUNTIFS(T_StockCount[RM_Code],$A102,T_StockCount[WeekIndex],66)&gt;0,SUMIFS(T_StockCount[CountedQty],T_StockCount[RM_Code],$A102,T_StockCount[WeekIndex],66),IF((COUNTIFS(T_SelfStock[RM_Code],$A102,T_SelfStock[WeekIndex],66)&gt;0)*(COUNTIFS(T_TTAFStock[RM_Code],$A102,T_TTAFStock[WeekIndex],66)&gt;0)&gt;0,SUMIFS(T_SelfStock[Self_Qty],T_SelfStock[RM_Code],$A102,T_SelfStock[WeekIndex],66)+SUMIFS(T_TTAFStock[TTAF_Qty],T_TTAFStock[RM_Code],$A102,T_TTAFStock[WeekIndex],66),BN102+'Grid_Incoming'!BO102-'Grid_Requirement'!BO102))</f>
        <v/>
      </c>
      <c r="BP102">
        <f>IF(COUNTIFS(T_StockCount[RM_Code],$A102,T_StockCount[WeekIndex],67)&gt;0,SUMIFS(T_StockCount[CountedQty],T_StockCount[RM_Code],$A102,T_StockCount[WeekIndex],67),IF((COUNTIFS(T_SelfStock[RM_Code],$A102,T_SelfStock[WeekIndex],67)&gt;0)*(COUNTIFS(T_TTAFStock[RM_Code],$A102,T_TTAFStock[WeekIndex],67)&gt;0)&gt;0,SUMIFS(T_SelfStock[Self_Qty],T_SelfStock[RM_Code],$A102,T_SelfStock[WeekIndex],67)+SUMIFS(T_TTAFStock[TTAF_Qty],T_TTAFStock[RM_Code],$A102,T_TTAFStock[WeekIndex],67),BO102+'Grid_Incoming'!BP102-'Grid_Requirement'!BP102))</f>
        <v/>
      </c>
      <c r="BQ102">
        <f>IF(COUNTIFS(T_StockCount[RM_Code],$A102,T_StockCount[WeekIndex],68)&gt;0,SUMIFS(T_StockCount[CountedQty],T_StockCount[RM_Code],$A102,T_StockCount[WeekIndex],68),IF((COUNTIFS(T_SelfStock[RM_Code],$A102,T_SelfStock[WeekIndex],68)&gt;0)*(COUNTIFS(T_TTAFStock[RM_Code],$A102,T_TTAFStock[WeekIndex],68)&gt;0)&gt;0,SUMIFS(T_SelfStock[Self_Qty],T_SelfStock[RM_Code],$A102,T_SelfStock[WeekIndex],68)+SUMIFS(T_TTAFStock[TTAF_Qty],T_TTAFStock[RM_Code],$A102,T_TTAFStock[WeekIndex],68),BP102+'Grid_Incoming'!BQ102-'Grid_Requirement'!BQ102))</f>
        <v/>
      </c>
      <c r="BR102">
        <f>IF(COUNTIFS(T_StockCount[RM_Code],$A102,T_StockCount[WeekIndex],69)&gt;0,SUMIFS(T_StockCount[CountedQty],T_StockCount[RM_Code],$A102,T_StockCount[WeekIndex],69),IF((COUNTIFS(T_SelfStock[RM_Code],$A102,T_SelfStock[WeekIndex],69)&gt;0)*(COUNTIFS(T_TTAFStock[RM_Code],$A102,T_TTAFStock[WeekIndex],69)&gt;0)&gt;0,SUMIFS(T_SelfStock[Self_Qty],T_SelfStock[RM_Code],$A102,T_SelfStock[WeekIndex],69)+SUMIFS(T_TTAFStock[TTAF_Qty],T_TTAFStock[RM_Code],$A102,T_TTAFStock[WeekIndex],69),BQ102+'Grid_Incoming'!BR102-'Grid_Requirement'!BR102))</f>
        <v/>
      </c>
      <c r="BS102">
        <f>IF(COUNTIFS(T_StockCount[RM_Code],$A102,T_StockCount[WeekIndex],70)&gt;0,SUMIFS(T_StockCount[CountedQty],T_StockCount[RM_Code],$A102,T_StockCount[WeekIndex],70),IF((COUNTIFS(T_SelfStock[RM_Code],$A102,T_SelfStock[WeekIndex],70)&gt;0)*(COUNTIFS(T_TTAFStock[RM_Code],$A102,T_TTAFStock[WeekIndex],70)&gt;0)&gt;0,SUMIFS(T_SelfStock[Self_Qty],T_SelfStock[RM_Code],$A102,T_SelfStock[WeekIndex],70)+SUMIFS(T_TTAFStock[TTAF_Qty],T_TTAFStock[RM_Code],$A102,T_TTAFStock[WeekIndex],70),BR102+'Grid_Incoming'!BS102-'Grid_Requirement'!BS102))</f>
        <v/>
      </c>
      <c r="BT102">
        <f>IF(COUNTIFS(T_StockCount[RM_Code],$A102,T_StockCount[WeekIndex],71)&gt;0,SUMIFS(T_StockCount[CountedQty],T_StockCount[RM_Code],$A102,T_StockCount[WeekIndex],71),IF((COUNTIFS(T_SelfStock[RM_Code],$A102,T_SelfStock[WeekIndex],71)&gt;0)*(COUNTIFS(T_TTAFStock[RM_Code],$A102,T_TTAFStock[WeekIndex],71)&gt;0)&gt;0,SUMIFS(T_SelfStock[Self_Qty],T_SelfStock[RM_Code],$A102,T_SelfStock[WeekIndex],71)+SUMIFS(T_TTAFStock[TTAF_Qty],T_TTAFStock[RM_Code],$A102,T_TTAFStock[WeekIndex],71),BS102+'Grid_Incoming'!BT102-'Grid_Requirement'!BT102))</f>
        <v/>
      </c>
      <c r="BU102">
        <f>IF(COUNTIFS(T_StockCount[RM_Code],$A102,T_StockCount[WeekIndex],72)&gt;0,SUMIFS(T_StockCount[CountedQty],T_StockCount[RM_Code],$A102,T_StockCount[WeekIndex],72),IF((COUNTIFS(T_SelfStock[RM_Code],$A102,T_SelfStock[WeekIndex],72)&gt;0)*(COUNTIFS(T_TTAFStock[RM_Code],$A102,T_TTAFStock[WeekIndex],72)&gt;0)&gt;0,SUMIFS(T_SelfStock[Self_Qty],T_SelfStock[RM_Code],$A102,T_SelfStock[WeekIndex],72)+SUMIFS(T_TTAFStock[TTAF_Qty],T_TTAFStock[RM_Code],$A102,T_TTAFStock[WeekIndex],72),BT102+'Grid_Incoming'!BU102-'Grid_Requirement'!BU102))</f>
        <v/>
      </c>
      <c r="BV102">
        <f>IF(COUNTIFS(T_StockCount[RM_Code],$A102,T_StockCount[WeekIndex],73)&gt;0,SUMIFS(T_StockCount[CountedQty],T_StockCount[RM_Code],$A102,T_StockCount[WeekIndex],73),IF((COUNTIFS(T_SelfStock[RM_Code],$A102,T_SelfStock[WeekIndex],73)&gt;0)*(COUNTIFS(T_TTAFStock[RM_Code],$A102,T_TTAFStock[WeekIndex],73)&gt;0)&gt;0,SUMIFS(T_SelfStock[Self_Qty],T_SelfStock[RM_Code],$A102,T_SelfStock[WeekIndex],73)+SUMIFS(T_TTAFStock[TTAF_Qty],T_TTAFStock[RM_Code],$A102,T_TTAFStock[WeekIndex],73),BU102+'Grid_Incoming'!BV102-'Grid_Requirement'!BV102))</f>
        <v/>
      </c>
      <c r="BW102">
        <f>IF(COUNTIFS(T_StockCount[RM_Code],$A102,T_StockCount[WeekIndex],74)&gt;0,SUMIFS(T_StockCount[CountedQty],T_StockCount[RM_Code],$A102,T_StockCount[WeekIndex],74),IF((COUNTIFS(T_SelfStock[RM_Code],$A102,T_SelfStock[WeekIndex],74)&gt;0)*(COUNTIFS(T_TTAFStock[RM_Code],$A102,T_TTAFStock[WeekIndex],74)&gt;0)&gt;0,SUMIFS(T_SelfStock[Self_Qty],T_SelfStock[RM_Code],$A102,T_SelfStock[WeekIndex],74)+SUMIFS(T_TTAFStock[TTAF_Qty],T_TTAFStock[RM_Code],$A102,T_TTAFStock[WeekIndex],74),BV102+'Grid_Incoming'!BW102-'Grid_Requirement'!BW102))</f>
        <v/>
      </c>
      <c r="BX102">
        <f>IF(COUNTIFS(T_StockCount[RM_Code],$A102,T_StockCount[WeekIndex],75)&gt;0,SUMIFS(T_StockCount[CountedQty],T_StockCount[RM_Code],$A102,T_StockCount[WeekIndex],75),IF((COUNTIFS(T_SelfStock[RM_Code],$A102,T_SelfStock[WeekIndex],75)&gt;0)*(COUNTIFS(T_TTAFStock[RM_Code],$A102,T_TTAFStock[WeekIndex],75)&gt;0)&gt;0,SUMIFS(T_SelfStock[Self_Qty],T_SelfStock[RM_Code],$A102,T_SelfStock[WeekIndex],75)+SUMIFS(T_TTAFStock[TTAF_Qty],T_TTAFStock[RM_Code],$A102,T_TTAFStock[WeekIndex],75),BW102+'Grid_Incoming'!BX102-'Grid_Requirement'!BX102))</f>
        <v/>
      </c>
      <c r="BY102">
        <f>IF(COUNTIFS(T_StockCount[RM_Code],$A102,T_StockCount[WeekIndex],76)&gt;0,SUMIFS(T_StockCount[CountedQty],T_StockCount[RM_Code],$A102,T_StockCount[WeekIndex],76),IF((COUNTIFS(T_SelfStock[RM_Code],$A102,T_SelfStock[WeekIndex],76)&gt;0)*(COUNTIFS(T_TTAFStock[RM_Code],$A102,T_TTAFStock[WeekIndex],76)&gt;0)&gt;0,SUMIFS(T_SelfStock[Self_Qty],T_SelfStock[RM_Code],$A102,T_SelfStock[WeekIndex],76)+SUMIFS(T_TTAFStock[TTAF_Qty],T_TTAFStock[RM_Code],$A102,T_TTAFStock[WeekIndex],76),BX102+'Grid_Incoming'!BY102-'Grid_Requirement'!BY102))</f>
        <v/>
      </c>
      <c r="BZ102">
        <f>IF(COUNTIFS(T_StockCount[RM_Code],$A102,T_StockCount[WeekIndex],77)&gt;0,SUMIFS(T_StockCount[CountedQty],T_StockCount[RM_Code],$A102,T_StockCount[WeekIndex],77),IF((COUNTIFS(T_SelfStock[RM_Code],$A102,T_SelfStock[WeekIndex],77)&gt;0)*(COUNTIFS(T_TTAFStock[RM_Code],$A102,T_TTAFStock[WeekIndex],77)&gt;0)&gt;0,SUMIFS(T_SelfStock[Self_Qty],T_SelfStock[RM_Code],$A102,T_SelfStock[WeekIndex],77)+SUMIFS(T_TTAFStock[TTAF_Qty],T_TTAFStock[RM_Code],$A102,T_TTAFStock[WeekIndex],77),BY102+'Grid_Incoming'!BZ102-'Grid_Requirement'!BZ102))</f>
        <v/>
      </c>
      <c r="CA102">
        <f>IF(COUNTIFS(T_StockCount[RM_Code],$A102,T_StockCount[WeekIndex],78)&gt;0,SUMIFS(T_StockCount[CountedQty],T_StockCount[RM_Code],$A102,T_StockCount[WeekIndex],78),IF((COUNTIFS(T_SelfStock[RM_Code],$A102,T_SelfStock[WeekIndex],78)&gt;0)*(COUNTIFS(T_TTAFStock[RM_Code],$A102,T_TTAFStock[WeekIndex],78)&gt;0)&gt;0,SUMIFS(T_SelfStock[Self_Qty],T_SelfStock[RM_Code],$A102,T_SelfStock[WeekIndex],78)+SUMIFS(T_TTAFStock[TTAF_Qty],T_TTAFStock[RM_Code],$A102,T_TTAFStock[WeekIndex],78),BZ102+'Grid_Incoming'!CA102-'Grid_Requirement'!CA102))</f>
        <v/>
      </c>
      <c r="CB102">
        <f>IF(COUNTIFS(T_StockCount[RM_Code],$A102,T_StockCount[WeekIndex],79)&gt;0,SUMIFS(T_StockCount[CountedQty],T_StockCount[RM_Code],$A102,T_StockCount[WeekIndex],79),IF((COUNTIFS(T_SelfStock[RM_Code],$A102,T_SelfStock[WeekIndex],79)&gt;0)*(COUNTIFS(T_TTAFStock[RM_Code],$A102,T_TTAFStock[WeekIndex],79)&gt;0)&gt;0,SUMIFS(T_SelfStock[Self_Qty],T_SelfStock[RM_Code],$A102,T_SelfStock[WeekIndex],79)+SUMIFS(T_TTAFStock[TTAF_Qty],T_TTAFStock[RM_Code],$A102,T_TTAFStock[WeekIndex],79),CA102+'Grid_Incoming'!CB102-'Grid_Requirement'!CB102))</f>
        <v/>
      </c>
      <c r="CC102">
        <f>IF(COUNTIFS(T_StockCount[RM_Code],$A102,T_StockCount[WeekIndex],80)&gt;0,SUMIFS(T_StockCount[CountedQty],T_StockCount[RM_Code],$A102,T_StockCount[WeekIndex],80),IF((COUNTIFS(T_SelfStock[RM_Code],$A102,T_SelfStock[WeekIndex],80)&gt;0)*(COUNTIFS(T_TTAFStock[RM_Code],$A102,T_TTAFStock[WeekIndex],80)&gt;0)&gt;0,SUMIFS(T_SelfStock[Self_Qty],T_SelfStock[RM_Code],$A102,T_SelfStock[WeekIndex],80)+SUMIFS(T_TTAFStock[TTAF_Qty],T_TTAFStock[RM_Code],$A102,T_TTAFStock[WeekIndex],80),CB102+'Grid_Incoming'!CC102-'Grid_Requirement'!CC102))</f>
        <v/>
      </c>
      <c r="CD102">
        <f>IF(COUNTIFS(T_StockCount[RM_Code],$A102,T_StockCount[WeekIndex],81)&gt;0,SUMIFS(T_StockCount[CountedQty],T_StockCount[RM_Code],$A102,T_StockCount[WeekIndex],81),IF((COUNTIFS(T_SelfStock[RM_Code],$A102,T_SelfStock[WeekIndex],81)&gt;0)*(COUNTIFS(T_TTAFStock[RM_Code],$A102,T_TTAFStock[WeekIndex],81)&gt;0)&gt;0,SUMIFS(T_SelfStock[Self_Qty],T_SelfStock[RM_Code],$A102,T_SelfStock[WeekIndex],81)+SUMIFS(T_TTAFStock[TTAF_Qty],T_TTAFStock[RM_Code],$A102,T_TTAFStock[WeekIndex],81),CC102+'Grid_Incoming'!CD102-'Grid_Requirement'!CD102))</f>
        <v/>
      </c>
      <c r="CE102">
        <f>IF(COUNTIFS(T_StockCount[RM_Code],$A102,T_StockCount[WeekIndex],82)&gt;0,SUMIFS(T_StockCount[CountedQty],T_StockCount[RM_Code],$A102,T_StockCount[WeekIndex],82),IF((COUNTIFS(T_SelfStock[RM_Code],$A102,T_SelfStock[WeekIndex],82)&gt;0)*(COUNTIFS(T_TTAFStock[RM_Code],$A102,T_TTAFStock[WeekIndex],82)&gt;0)&gt;0,SUMIFS(T_SelfStock[Self_Qty],T_SelfStock[RM_Code],$A102,T_SelfStock[WeekIndex],82)+SUMIFS(T_TTAFStock[TTAF_Qty],T_TTAFStock[RM_Code],$A102,T_TTAFStock[WeekIndex],82),CD102+'Grid_Incoming'!CE102-'Grid_Requirement'!CE102))</f>
        <v/>
      </c>
      <c r="CF102">
        <f>IF(COUNTIFS(T_StockCount[RM_Code],$A102,T_StockCount[WeekIndex],83)&gt;0,SUMIFS(T_StockCount[CountedQty],T_StockCount[RM_Code],$A102,T_StockCount[WeekIndex],83),IF((COUNTIFS(T_SelfStock[RM_Code],$A102,T_SelfStock[WeekIndex],83)&gt;0)*(COUNTIFS(T_TTAFStock[RM_Code],$A102,T_TTAFStock[WeekIndex],83)&gt;0)&gt;0,SUMIFS(T_SelfStock[Self_Qty],T_SelfStock[RM_Code],$A102,T_SelfStock[WeekIndex],83)+SUMIFS(T_TTAFStock[TTAF_Qty],T_TTAFStock[RM_Code],$A102,T_TTAFStock[WeekIndex],83),CE102+'Grid_Incoming'!CF102-'Grid_Requirement'!CF102))</f>
        <v/>
      </c>
      <c r="CG102">
        <f>IF(COUNTIFS(T_StockCount[RM_Code],$A102,T_StockCount[WeekIndex],84)&gt;0,SUMIFS(T_StockCount[CountedQty],T_StockCount[RM_Code],$A102,T_StockCount[WeekIndex],84),IF((COUNTIFS(T_SelfStock[RM_Code],$A102,T_SelfStock[WeekIndex],84)&gt;0)*(COUNTIFS(T_TTAFStock[RM_Code],$A102,T_TTAFStock[WeekIndex],84)&gt;0)&gt;0,SUMIFS(T_SelfStock[Self_Qty],T_SelfStock[RM_Code],$A102,T_SelfStock[WeekIndex],84)+SUMIFS(T_TTAFStock[TTAF_Qty],T_TTAFStock[RM_Code],$A102,T_TTAFStock[WeekIndex],84),CF102+'Grid_Incoming'!CG102-'Grid_Requirement'!CG102))</f>
        <v/>
      </c>
      <c r="CH102">
        <f>IF(COUNTIFS(T_StockCount[RM_Code],$A102,T_StockCount[WeekIndex],85)&gt;0,SUMIFS(T_StockCount[CountedQty],T_StockCount[RM_Code],$A102,T_StockCount[WeekIndex],85),IF((COUNTIFS(T_SelfStock[RM_Code],$A102,T_SelfStock[WeekIndex],85)&gt;0)*(COUNTIFS(T_TTAFStock[RM_Code],$A102,T_TTAFStock[WeekIndex],85)&gt;0)&gt;0,SUMIFS(T_SelfStock[Self_Qty],T_SelfStock[RM_Code],$A102,T_SelfStock[WeekIndex],85)+SUMIFS(T_TTAFStock[TTAF_Qty],T_TTAFStock[RM_Code],$A102,T_TTAFStock[WeekIndex],85),CG102+'Grid_Incoming'!CH102-'Grid_Requirement'!CH102))</f>
        <v/>
      </c>
      <c r="CI102">
        <f>IF(COUNTIFS(T_StockCount[RM_Code],$A102,T_StockCount[WeekIndex],86)&gt;0,SUMIFS(T_StockCount[CountedQty],T_StockCount[RM_Code],$A102,T_StockCount[WeekIndex],86),IF((COUNTIFS(T_SelfStock[RM_Code],$A102,T_SelfStock[WeekIndex],86)&gt;0)*(COUNTIFS(T_TTAFStock[RM_Code],$A102,T_TTAFStock[WeekIndex],86)&gt;0)&gt;0,SUMIFS(T_SelfStock[Self_Qty],T_SelfStock[RM_Code],$A102,T_SelfStock[WeekIndex],86)+SUMIFS(T_TTAFStock[TTAF_Qty],T_TTAFStock[RM_Code],$A102,T_TTAFStock[WeekIndex],86),CH102+'Grid_Incoming'!CI102-'Grid_Requirement'!CI102))</f>
        <v/>
      </c>
      <c r="CJ102">
        <f>IF(COUNTIFS(T_StockCount[RM_Code],$A102,T_StockCount[WeekIndex],87)&gt;0,SUMIFS(T_StockCount[CountedQty],T_StockCount[RM_Code],$A102,T_StockCount[WeekIndex],87),IF((COUNTIFS(T_SelfStock[RM_Code],$A102,T_SelfStock[WeekIndex],87)&gt;0)*(COUNTIFS(T_TTAFStock[RM_Code],$A102,T_TTAFStock[WeekIndex],87)&gt;0)&gt;0,SUMIFS(T_SelfStock[Self_Qty],T_SelfStock[RM_Code],$A102,T_SelfStock[WeekIndex],87)+SUMIFS(T_TTAFStock[TTAF_Qty],T_TTAFStock[RM_Code],$A102,T_TTAFStock[WeekIndex],87),CI102+'Grid_Incoming'!CJ102-'Grid_Requirement'!CJ102))</f>
        <v/>
      </c>
      <c r="CK102">
        <f>IF(COUNTIFS(T_StockCount[RM_Code],$A102,T_StockCount[WeekIndex],88)&gt;0,SUMIFS(T_StockCount[CountedQty],T_StockCount[RM_Code],$A102,T_StockCount[WeekIndex],88),IF((COUNTIFS(T_SelfStock[RM_Code],$A102,T_SelfStock[WeekIndex],88)&gt;0)*(COUNTIFS(T_TTAFStock[RM_Code],$A102,T_TTAFStock[WeekIndex],88)&gt;0)&gt;0,SUMIFS(T_SelfStock[Self_Qty],T_SelfStock[RM_Code],$A102,T_SelfStock[WeekIndex],88)+SUMIFS(T_TTAFStock[TTAF_Qty],T_TTAFStock[RM_Code],$A102,T_TTAFStock[WeekIndex],88),CJ102+'Grid_Incoming'!CK102-'Grid_Requirement'!CK102))</f>
        <v/>
      </c>
      <c r="CL102">
        <f>IF(COUNTIFS(T_StockCount[RM_Code],$A102,T_StockCount[WeekIndex],89)&gt;0,SUMIFS(T_StockCount[CountedQty],T_StockCount[RM_Code],$A102,T_StockCount[WeekIndex],89),IF((COUNTIFS(T_SelfStock[RM_Code],$A102,T_SelfStock[WeekIndex],89)&gt;0)*(COUNTIFS(T_TTAFStock[RM_Code],$A102,T_TTAFStock[WeekIndex],89)&gt;0)&gt;0,SUMIFS(T_SelfStock[Self_Qty],T_SelfStock[RM_Code],$A102,T_SelfStock[WeekIndex],89)+SUMIFS(T_TTAFStock[TTAF_Qty],T_TTAFStock[RM_Code],$A102,T_TTAFStock[WeekIndex],89),CK102+'Grid_Incoming'!CL102-'Grid_Requirement'!CL102))</f>
        <v/>
      </c>
      <c r="CM102">
        <f>IF(COUNTIFS(T_StockCount[RM_Code],$A102,T_StockCount[WeekIndex],90)&gt;0,SUMIFS(T_StockCount[CountedQty],T_StockCount[RM_Code],$A102,T_StockCount[WeekIndex],90),IF((COUNTIFS(T_SelfStock[RM_Code],$A102,T_SelfStock[WeekIndex],90)&gt;0)*(COUNTIFS(T_TTAFStock[RM_Code],$A102,T_TTAFStock[WeekIndex],90)&gt;0)&gt;0,SUMIFS(T_SelfStock[Self_Qty],T_SelfStock[RM_Code],$A102,T_SelfStock[WeekIndex],90)+SUMIFS(T_TTAFStock[TTAF_Qty],T_TTAFStock[RM_Code],$A102,T_TTAFStock[WeekIndex],90),CL102+'Grid_Incoming'!CM102-'Grid_Requirement'!CM102))</f>
        <v/>
      </c>
      <c r="CN102">
        <f>IF(COUNTIFS(T_StockCount[RM_Code],$A102,T_StockCount[WeekIndex],91)&gt;0,SUMIFS(T_StockCount[CountedQty],T_StockCount[RM_Code],$A102,T_StockCount[WeekIndex],91),IF((COUNTIFS(T_SelfStock[RM_Code],$A102,T_SelfStock[WeekIndex],91)&gt;0)*(COUNTIFS(T_TTAFStock[RM_Code],$A102,T_TTAFStock[WeekIndex],91)&gt;0)&gt;0,SUMIFS(T_SelfStock[Self_Qty],T_SelfStock[RM_Code],$A102,T_SelfStock[WeekIndex],91)+SUMIFS(T_TTAFStock[TTAF_Qty],T_TTAFStock[RM_Code],$A102,T_TTAFStock[WeekIndex],91),CM102+'Grid_Incoming'!CN102-'Grid_Requirement'!CN102))</f>
        <v/>
      </c>
      <c r="CO102">
        <f>IF(COUNTIFS(T_StockCount[RM_Code],$A102,T_StockCount[WeekIndex],92)&gt;0,SUMIFS(T_StockCount[CountedQty],T_StockCount[RM_Code],$A102,T_StockCount[WeekIndex],92),IF((COUNTIFS(T_SelfStock[RM_Code],$A102,T_SelfStock[WeekIndex],92)&gt;0)*(COUNTIFS(T_TTAFStock[RM_Code],$A102,T_TTAFStock[WeekIndex],92)&gt;0)&gt;0,SUMIFS(T_SelfStock[Self_Qty],T_SelfStock[RM_Code],$A102,T_SelfStock[WeekIndex],92)+SUMIFS(T_TTAFStock[TTAF_Qty],T_TTAFStock[RM_Code],$A102,T_TTAFStock[WeekIndex],92),CN102+'Grid_Incoming'!CO102-'Grid_Requirement'!CO102))</f>
        <v/>
      </c>
      <c r="CP102">
        <f>IF(COUNTIFS(T_StockCount[RM_Code],$A102,T_StockCount[WeekIndex],93)&gt;0,SUMIFS(T_StockCount[CountedQty],T_StockCount[RM_Code],$A102,T_StockCount[WeekIndex],93),IF((COUNTIFS(T_SelfStock[RM_Code],$A102,T_SelfStock[WeekIndex],93)&gt;0)*(COUNTIFS(T_TTAFStock[RM_Code],$A102,T_TTAFStock[WeekIndex],93)&gt;0)&gt;0,SUMIFS(T_SelfStock[Self_Qty],T_SelfStock[RM_Code],$A102,T_SelfStock[WeekIndex],93)+SUMIFS(T_TTAFStock[TTAF_Qty],T_TTAFStock[RM_Code],$A102,T_TTAFStock[WeekIndex],93),CO102+'Grid_Incoming'!CP102-'Grid_Requirement'!CP102))</f>
        <v/>
      </c>
      <c r="CQ102">
        <f>IF(COUNTIFS(T_StockCount[RM_Code],$A102,T_StockCount[WeekIndex],94)&gt;0,SUMIFS(T_StockCount[CountedQty],T_StockCount[RM_Code],$A102,T_StockCount[WeekIndex],94),IF((COUNTIFS(T_SelfStock[RM_Code],$A102,T_SelfStock[WeekIndex],94)&gt;0)*(COUNTIFS(T_TTAFStock[RM_Code],$A102,T_TTAFStock[WeekIndex],94)&gt;0)&gt;0,SUMIFS(T_SelfStock[Self_Qty],T_SelfStock[RM_Code],$A102,T_SelfStock[WeekIndex],94)+SUMIFS(T_TTAFStock[TTAF_Qty],T_TTAFStock[RM_Code],$A102,T_TTAFStock[WeekIndex],94),CP102+'Grid_Incoming'!CQ102-'Grid_Requirement'!CQ102))</f>
        <v/>
      </c>
      <c r="CR102">
        <f>IF(COUNTIFS(T_StockCount[RM_Code],$A102,T_StockCount[WeekIndex],95)&gt;0,SUMIFS(T_StockCount[CountedQty],T_StockCount[RM_Code],$A102,T_StockCount[WeekIndex],95),IF((COUNTIFS(T_SelfStock[RM_Code],$A102,T_SelfStock[WeekIndex],95)&gt;0)*(COUNTIFS(T_TTAFStock[RM_Code],$A102,T_TTAFStock[WeekIndex],95)&gt;0)&gt;0,SUMIFS(T_SelfStock[Self_Qty],T_SelfStock[RM_Code],$A102,T_SelfStock[WeekIndex],95)+SUMIFS(T_TTAFStock[TTAF_Qty],T_TTAFStock[RM_Code],$A102,T_TTAFStock[WeekIndex],95),CQ102+'Grid_Incoming'!CR102-'Grid_Requirement'!CR102))</f>
        <v/>
      </c>
      <c r="CS102">
        <f>IF(COUNTIFS(T_StockCount[RM_Code],$A102,T_StockCount[WeekIndex],96)&gt;0,SUMIFS(T_StockCount[CountedQty],T_StockCount[RM_Code],$A102,T_StockCount[WeekIndex],96),IF((COUNTIFS(T_SelfStock[RM_Code],$A102,T_SelfStock[WeekIndex],96)&gt;0)*(COUNTIFS(T_TTAFStock[RM_Code],$A102,T_TTAFStock[WeekIndex],96)&gt;0)&gt;0,SUMIFS(T_SelfStock[Self_Qty],T_SelfStock[RM_Code],$A102,T_SelfStock[WeekIndex],96)+SUMIFS(T_TTAFStock[TTAF_Qty],T_TTAFStock[RM_Code],$A102,T_TTAFStock[WeekIndex],96),CR102+'Grid_Incoming'!CS102-'Grid_Requirement'!CS102))</f>
        <v/>
      </c>
      <c r="CT102">
        <f>IF(COUNTIFS(T_StockCount[RM_Code],$A102,T_StockCount[WeekIndex],97)&gt;0,SUMIFS(T_StockCount[CountedQty],T_StockCount[RM_Code],$A102,T_StockCount[WeekIndex],97),IF((COUNTIFS(T_SelfStock[RM_Code],$A102,T_SelfStock[WeekIndex],97)&gt;0)*(COUNTIFS(T_TTAFStock[RM_Code],$A102,T_TTAFStock[WeekIndex],97)&gt;0)&gt;0,SUMIFS(T_SelfStock[Self_Qty],T_SelfStock[RM_Code],$A102,T_SelfStock[WeekIndex],97)+SUMIFS(T_TTAFStock[TTAF_Qty],T_TTAFStock[RM_Code],$A102,T_TTAFStock[WeekIndex],97),CS102+'Grid_Incoming'!CT102-'Grid_Requirement'!CT102))</f>
        <v/>
      </c>
      <c r="CU102">
        <f>IF(COUNTIFS(T_StockCount[RM_Code],$A102,T_StockCount[WeekIndex],98)&gt;0,SUMIFS(T_StockCount[CountedQty],T_StockCount[RM_Code],$A102,T_StockCount[WeekIndex],98),IF((COUNTIFS(T_SelfStock[RM_Code],$A102,T_SelfStock[WeekIndex],98)&gt;0)*(COUNTIFS(T_TTAFStock[RM_Code],$A102,T_TTAFStock[WeekIndex],98)&gt;0)&gt;0,SUMIFS(T_SelfStock[Self_Qty],T_SelfStock[RM_Code],$A102,T_SelfStock[WeekIndex],98)+SUMIFS(T_TTAFStock[TTAF_Qty],T_TTAFStock[RM_Code],$A102,T_TTAFStock[WeekIndex],98),CT102+'Grid_Incoming'!CU102-'Grid_Requirement'!CU102))</f>
        <v/>
      </c>
      <c r="CV102">
        <f>IF(COUNTIFS(T_StockCount[RM_Code],$A102,T_StockCount[WeekIndex],99)&gt;0,SUMIFS(T_StockCount[CountedQty],T_StockCount[RM_Code],$A102,T_StockCount[WeekIndex],99),IF((COUNTIFS(T_SelfStock[RM_Code],$A102,T_SelfStock[WeekIndex],99)&gt;0)*(COUNTIFS(T_TTAFStock[RM_Code],$A102,T_TTAFStock[WeekIndex],99)&gt;0)&gt;0,SUMIFS(T_SelfStock[Self_Qty],T_SelfStock[RM_Code],$A102,T_SelfStock[WeekIndex],99)+SUMIFS(T_TTAFStock[TTAF_Qty],T_TTAFStock[RM_Code],$A102,T_TTAFStock[WeekIndex],99),CU102+'Grid_Incoming'!CV102-'Grid_Requirement'!CV102))</f>
        <v/>
      </c>
      <c r="CW102">
        <f>IF(COUNTIFS(T_StockCount[RM_Code],$A102,T_StockCount[WeekIndex],100)&gt;0,SUMIFS(T_StockCount[CountedQty],T_StockCount[RM_Code],$A102,T_StockCount[WeekIndex],100),IF((COUNTIFS(T_SelfStock[RM_Code],$A102,T_SelfStock[WeekIndex],100)&gt;0)*(COUNTIFS(T_TTAFStock[RM_Code],$A102,T_TTAFStock[WeekIndex],100)&gt;0)&gt;0,SUMIFS(T_SelfStock[Self_Qty],T_SelfStock[RM_Code],$A102,T_SelfStock[WeekIndex],100)+SUMIFS(T_TTAFStock[TTAF_Qty],T_TTAFStock[RM_Code],$A102,T_TTAFStock[WeekIndex],100),CV102+'Grid_Incoming'!CW102-'Grid_Requirement'!CW102))</f>
        <v/>
      </c>
      <c r="CX102">
        <f>IF(COUNTIFS(T_StockCount[RM_Code],$A102,T_StockCount[WeekIndex],101)&gt;0,SUMIFS(T_StockCount[CountedQty],T_StockCount[RM_Code],$A102,T_StockCount[WeekIndex],101),IF((COUNTIFS(T_SelfStock[RM_Code],$A102,T_SelfStock[WeekIndex],101)&gt;0)*(COUNTIFS(T_TTAFStock[RM_Code],$A102,T_TTAFStock[WeekIndex],101)&gt;0)&gt;0,SUMIFS(T_SelfStock[Self_Qty],T_SelfStock[RM_Code],$A102,T_SelfStock[WeekIndex],101)+SUMIFS(T_TTAFStock[TTAF_Qty],T_TTAFStock[RM_Code],$A102,T_TTAFStock[WeekIndex],101),CW102+'Grid_Incoming'!CX102-'Grid_Requirement'!CX102))</f>
        <v/>
      </c>
      <c r="CY102">
        <f>IF(COUNTIFS(T_StockCount[RM_Code],$A102,T_StockCount[WeekIndex],102)&gt;0,SUMIFS(T_StockCount[CountedQty],T_StockCount[RM_Code],$A102,T_StockCount[WeekIndex],102),IF((COUNTIFS(T_SelfStock[RM_Code],$A102,T_SelfStock[WeekIndex],102)&gt;0)*(COUNTIFS(T_TTAFStock[RM_Code],$A102,T_TTAFStock[WeekIndex],102)&gt;0)&gt;0,SUMIFS(T_SelfStock[Self_Qty],T_SelfStock[RM_Code],$A102,T_SelfStock[WeekIndex],102)+SUMIFS(T_TTAFStock[TTAF_Qty],T_TTAFStock[RM_Code],$A102,T_TTAFStock[WeekIndex],102),CX102+'Grid_Incoming'!CY102-'Grid_Requirement'!CY102))</f>
        <v/>
      </c>
      <c r="CZ102">
        <f>IF(COUNTIFS(T_StockCount[RM_Code],$A102,T_StockCount[WeekIndex],103)&gt;0,SUMIFS(T_StockCount[CountedQty],T_StockCount[RM_Code],$A102,T_StockCount[WeekIndex],103),IF((COUNTIFS(T_SelfStock[RM_Code],$A102,T_SelfStock[WeekIndex],103)&gt;0)*(COUNTIFS(T_TTAFStock[RM_Code],$A102,T_TTAFStock[WeekIndex],103)&gt;0)&gt;0,SUMIFS(T_SelfStock[Self_Qty],T_SelfStock[RM_Code],$A102,T_SelfStock[WeekIndex],103)+SUMIFS(T_TTAFStock[TTAF_Qty],T_TTAFStock[RM_Code],$A102,T_TTAFStock[WeekIndex],103),CY102+'Grid_Incoming'!CZ102-'Grid_Requirement'!CZ102))</f>
        <v/>
      </c>
      <c r="DA102">
        <f>IF(COUNTIFS(T_StockCount[RM_Code],$A102,T_StockCount[WeekIndex],104)&gt;0,SUMIFS(T_StockCount[CountedQty],T_StockCount[RM_Code],$A102,T_StockCount[WeekIndex],104),IF((COUNTIFS(T_SelfStock[RM_Code],$A102,T_SelfStock[WeekIndex],104)&gt;0)*(COUNTIFS(T_TTAFStock[RM_Code],$A102,T_TTAFStock[WeekIndex],104)&gt;0)&gt;0,SUMIFS(T_SelfStock[Self_Qty],T_SelfStock[RM_Code],$A102,T_SelfStock[WeekIndex],104)+SUMIFS(T_TTAFStock[TTAF_Qty],T_TTAFStock[RM_Code],$A102,T_TTAFStock[WeekIndex],104),CZ102+'Grid_Incoming'!DA102-'Grid_Requirement'!DA102)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2026-07-21T06:21:19Z</dcterms:created>
  <dcterms:modified xsi:type="dcterms:W3CDTF">2026-07-21T06:21:21Z</dcterms:modified>
</cp:coreProperties>
</file>